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2A09860-FAA2-45CF-8F3D-1E121BCB73AF}" xr6:coauthVersionLast="36" xr6:coauthVersionMax="36" xr10:uidLastSave="{00000000-0000-0000-0000-000000000000}"/>
  <bookViews>
    <workbookView xWindow="0" yWindow="0" windowWidth="28800" windowHeight="12180" activeTab="2" xr2:uid="{E85F786D-6007-4D67-94C8-A81E522B3C1E}"/>
  </bookViews>
  <sheets>
    <sheet name="요약" sheetId="4" r:id="rId1"/>
    <sheet name="전체DCU 현황" sheetId="2" r:id="rId2"/>
    <sheet name="검토" sheetId="5" r:id="rId3"/>
    <sheet name="KT모뎀 현장회수대상(기존정지)" sheetId="6" r:id="rId4"/>
  </sheets>
  <definedNames>
    <definedName name="_xlnm._FilterDatabase" localSheetId="2" hidden="1">검토!$B$2:$N$177</definedName>
    <definedName name="_xlnm._FilterDatabase" localSheetId="1" hidden="1">'전체DCU 현황'!$B$2:$O$19009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4" l="1"/>
  <c r="G6" i="4"/>
  <c r="G7" i="4"/>
  <c r="G3" i="4"/>
  <c r="D5" i="4"/>
  <c r="E5" i="4"/>
  <c r="F5" i="4"/>
  <c r="C5" i="4"/>
  <c r="G12913" i="2"/>
  <c r="G5" i="4" l="1"/>
  <c r="G8" i="4"/>
  <c r="C1343" i="2"/>
  <c r="D1343" i="2"/>
  <c r="F1343" i="2"/>
  <c r="G1343" i="2"/>
  <c r="H1343" i="2"/>
  <c r="J1343" i="2"/>
  <c r="K1343" i="2"/>
  <c r="L1343" i="2"/>
  <c r="C3" i="2" l="1"/>
  <c r="D3" i="2"/>
  <c r="F3" i="2"/>
  <c r="G3" i="2"/>
  <c r="H3" i="2"/>
  <c r="J3" i="2"/>
  <c r="K3" i="2"/>
  <c r="L3" i="2"/>
  <c r="C4" i="2"/>
  <c r="D4" i="2"/>
  <c r="F4" i="2"/>
  <c r="G4" i="2"/>
  <c r="H4" i="2"/>
  <c r="J4" i="2"/>
  <c r="K4" i="2"/>
  <c r="L4" i="2"/>
  <c r="C5" i="2"/>
  <c r="D5" i="2"/>
  <c r="F5" i="2"/>
  <c r="G5" i="2"/>
  <c r="H5" i="2"/>
  <c r="J5" i="2"/>
  <c r="K5" i="2"/>
  <c r="L5" i="2"/>
  <c r="C6" i="2"/>
  <c r="D6" i="2"/>
  <c r="F6" i="2"/>
  <c r="G6" i="2"/>
  <c r="H6" i="2"/>
  <c r="J6" i="2"/>
  <c r="K6" i="2"/>
  <c r="L6" i="2"/>
  <c r="C7" i="2"/>
  <c r="D7" i="2"/>
  <c r="F7" i="2"/>
  <c r="G7" i="2"/>
  <c r="H7" i="2"/>
  <c r="J7" i="2"/>
  <c r="K7" i="2"/>
  <c r="L7" i="2"/>
  <c r="C8" i="2"/>
  <c r="D8" i="2"/>
  <c r="F8" i="2"/>
  <c r="G8" i="2"/>
  <c r="H8" i="2"/>
  <c r="J8" i="2"/>
  <c r="K8" i="2"/>
  <c r="L8" i="2"/>
  <c r="C9" i="2"/>
  <c r="D9" i="2"/>
  <c r="F9" i="2"/>
  <c r="G9" i="2"/>
  <c r="H9" i="2"/>
  <c r="J9" i="2"/>
  <c r="K9" i="2"/>
  <c r="L9" i="2"/>
  <c r="C10" i="2"/>
  <c r="D10" i="2"/>
  <c r="F10" i="2"/>
  <c r="G10" i="2"/>
  <c r="H10" i="2"/>
  <c r="J10" i="2"/>
  <c r="K10" i="2"/>
  <c r="L10" i="2"/>
  <c r="C11" i="2"/>
  <c r="D11" i="2"/>
  <c r="F11" i="2"/>
  <c r="G11" i="2"/>
  <c r="H11" i="2"/>
  <c r="J11" i="2"/>
  <c r="K11" i="2"/>
  <c r="L11" i="2"/>
  <c r="C12" i="2"/>
  <c r="D12" i="2"/>
  <c r="F12" i="2"/>
  <c r="G12" i="2"/>
  <c r="H12" i="2"/>
  <c r="J12" i="2"/>
  <c r="K12" i="2"/>
  <c r="L12" i="2"/>
  <c r="C13" i="2"/>
  <c r="D13" i="2"/>
  <c r="F13" i="2"/>
  <c r="G13" i="2"/>
  <c r="H13" i="2"/>
  <c r="J13" i="2"/>
  <c r="K13" i="2"/>
  <c r="L13" i="2"/>
  <c r="C14" i="2"/>
  <c r="D14" i="2"/>
  <c r="F14" i="2"/>
  <c r="G14" i="2"/>
  <c r="H14" i="2"/>
  <c r="J14" i="2"/>
  <c r="K14" i="2"/>
  <c r="L14" i="2"/>
  <c r="C15" i="2"/>
  <c r="D15" i="2"/>
  <c r="F15" i="2"/>
  <c r="G15" i="2"/>
  <c r="H15" i="2"/>
  <c r="J15" i="2"/>
  <c r="K15" i="2"/>
  <c r="L15" i="2"/>
  <c r="C16" i="2"/>
  <c r="D16" i="2"/>
  <c r="F16" i="2"/>
  <c r="G16" i="2"/>
  <c r="H16" i="2"/>
  <c r="J16" i="2"/>
  <c r="K16" i="2"/>
  <c r="L16" i="2"/>
  <c r="C17" i="2"/>
  <c r="D17" i="2"/>
  <c r="F17" i="2"/>
  <c r="G17" i="2"/>
  <c r="H17" i="2"/>
  <c r="J17" i="2"/>
  <c r="K17" i="2"/>
  <c r="L17" i="2"/>
  <c r="C18" i="2"/>
  <c r="D18" i="2"/>
  <c r="F18" i="2"/>
  <c r="G18" i="2"/>
  <c r="H18" i="2"/>
  <c r="J18" i="2"/>
  <c r="K18" i="2"/>
  <c r="L18" i="2"/>
  <c r="C19" i="2"/>
  <c r="D19" i="2"/>
  <c r="F19" i="2"/>
  <c r="G19" i="2"/>
  <c r="H19" i="2"/>
  <c r="J19" i="2"/>
  <c r="K19" i="2"/>
  <c r="L19" i="2"/>
  <c r="C20" i="2"/>
  <c r="D20" i="2"/>
  <c r="F20" i="2"/>
  <c r="G20" i="2"/>
  <c r="H20" i="2"/>
  <c r="J20" i="2"/>
  <c r="K20" i="2"/>
  <c r="L20" i="2"/>
  <c r="C21" i="2"/>
  <c r="D21" i="2"/>
  <c r="F21" i="2"/>
  <c r="G21" i="2"/>
  <c r="H21" i="2"/>
  <c r="J21" i="2"/>
  <c r="K21" i="2"/>
  <c r="L21" i="2"/>
  <c r="C22" i="2"/>
  <c r="D22" i="2"/>
  <c r="F22" i="2"/>
  <c r="G22" i="2"/>
  <c r="H22" i="2"/>
  <c r="J22" i="2"/>
  <c r="K22" i="2"/>
  <c r="L22" i="2"/>
  <c r="C23" i="2"/>
  <c r="D23" i="2"/>
  <c r="F23" i="2"/>
  <c r="G23" i="2"/>
  <c r="H23" i="2"/>
  <c r="J23" i="2"/>
  <c r="K23" i="2"/>
  <c r="L23" i="2"/>
  <c r="C24" i="2"/>
  <c r="D24" i="2"/>
  <c r="F24" i="2"/>
  <c r="G24" i="2"/>
  <c r="H24" i="2"/>
  <c r="J24" i="2"/>
  <c r="K24" i="2"/>
  <c r="L24" i="2"/>
  <c r="C25" i="2"/>
  <c r="D25" i="2"/>
  <c r="F25" i="2"/>
  <c r="G25" i="2"/>
  <c r="H25" i="2"/>
  <c r="J25" i="2"/>
  <c r="K25" i="2"/>
  <c r="L25" i="2"/>
  <c r="C26" i="2"/>
  <c r="D26" i="2"/>
  <c r="F26" i="2"/>
  <c r="G26" i="2"/>
  <c r="H26" i="2"/>
  <c r="J26" i="2"/>
  <c r="K26" i="2"/>
  <c r="L26" i="2"/>
  <c r="C27" i="2"/>
  <c r="D27" i="2"/>
  <c r="E27" i="2"/>
  <c r="F27" i="2"/>
  <c r="G27" i="2"/>
  <c r="H27" i="2"/>
  <c r="J27" i="2"/>
  <c r="K27" i="2"/>
  <c r="L27" i="2"/>
  <c r="C28" i="2"/>
  <c r="D28" i="2"/>
  <c r="F28" i="2"/>
  <c r="G28" i="2"/>
  <c r="H28" i="2"/>
  <c r="J28" i="2"/>
  <c r="K28" i="2"/>
  <c r="L28" i="2"/>
  <c r="C29" i="2"/>
  <c r="D29" i="2"/>
  <c r="F29" i="2"/>
  <c r="G29" i="2"/>
  <c r="H29" i="2"/>
  <c r="J29" i="2"/>
  <c r="K29" i="2"/>
  <c r="L29" i="2"/>
  <c r="C30" i="2"/>
  <c r="D30" i="2"/>
  <c r="F30" i="2"/>
  <c r="G30" i="2"/>
  <c r="H30" i="2"/>
  <c r="J30" i="2"/>
  <c r="K30" i="2"/>
  <c r="L30" i="2"/>
  <c r="C31" i="2"/>
  <c r="D31" i="2"/>
  <c r="F31" i="2"/>
  <c r="G31" i="2"/>
  <c r="H31" i="2"/>
  <c r="J31" i="2"/>
  <c r="K31" i="2"/>
  <c r="L31" i="2"/>
  <c r="C32" i="2"/>
  <c r="D32" i="2"/>
  <c r="F32" i="2"/>
  <c r="G32" i="2"/>
  <c r="H32" i="2"/>
  <c r="J32" i="2"/>
  <c r="K32" i="2"/>
  <c r="L32" i="2"/>
  <c r="C33" i="2"/>
  <c r="D33" i="2"/>
  <c r="F33" i="2"/>
  <c r="G33" i="2"/>
  <c r="H33" i="2"/>
  <c r="J33" i="2"/>
  <c r="K33" i="2"/>
  <c r="L33" i="2"/>
  <c r="C34" i="2"/>
  <c r="D34" i="2"/>
  <c r="F34" i="2"/>
  <c r="G34" i="2"/>
  <c r="H34" i="2"/>
  <c r="J34" i="2"/>
  <c r="K34" i="2"/>
  <c r="L34" i="2"/>
  <c r="C35" i="2"/>
  <c r="D35" i="2"/>
  <c r="F35" i="2"/>
  <c r="G35" i="2"/>
  <c r="H35" i="2"/>
  <c r="J35" i="2"/>
  <c r="K35" i="2"/>
  <c r="L35" i="2"/>
  <c r="C36" i="2"/>
  <c r="D36" i="2"/>
  <c r="F36" i="2"/>
  <c r="G36" i="2"/>
  <c r="H36" i="2"/>
  <c r="J36" i="2"/>
  <c r="K36" i="2"/>
  <c r="L36" i="2"/>
  <c r="C37" i="2"/>
  <c r="D37" i="2"/>
  <c r="F37" i="2"/>
  <c r="G37" i="2"/>
  <c r="H37" i="2"/>
  <c r="J37" i="2"/>
  <c r="K37" i="2"/>
  <c r="L37" i="2"/>
  <c r="C38" i="2"/>
  <c r="D38" i="2"/>
  <c r="F38" i="2"/>
  <c r="G38" i="2"/>
  <c r="H38" i="2"/>
  <c r="J38" i="2"/>
  <c r="K38" i="2"/>
  <c r="L38" i="2"/>
  <c r="C39" i="2"/>
  <c r="D39" i="2"/>
  <c r="F39" i="2"/>
  <c r="G39" i="2"/>
  <c r="H39" i="2"/>
  <c r="J39" i="2"/>
  <c r="K39" i="2"/>
  <c r="L39" i="2"/>
  <c r="C40" i="2"/>
  <c r="D40" i="2"/>
  <c r="F40" i="2"/>
  <c r="G40" i="2"/>
  <c r="H40" i="2"/>
  <c r="J40" i="2"/>
  <c r="K40" i="2"/>
  <c r="L40" i="2"/>
  <c r="C41" i="2"/>
  <c r="D41" i="2"/>
  <c r="F41" i="2"/>
  <c r="G41" i="2"/>
  <c r="H41" i="2"/>
  <c r="J41" i="2"/>
  <c r="K41" i="2"/>
  <c r="L41" i="2"/>
  <c r="C42" i="2"/>
  <c r="D42" i="2"/>
  <c r="F42" i="2"/>
  <c r="G42" i="2"/>
  <c r="H42" i="2"/>
  <c r="J42" i="2"/>
  <c r="K42" i="2"/>
  <c r="L42" i="2"/>
  <c r="C43" i="2"/>
  <c r="D43" i="2"/>
  <c r="F43" i="2"/>
  <c r="G43" i="2"/>
  <c r="H43" i="2"/>
  <c r="J43" i="2"/>
  <c r="K43" i="2"/>
  <c r="L43" i="2"/>
  <c r="C44" i="2"/>
  <c r="D44" i="2"/>
  <c r="F44" i="2"/>
  <c r="G44" i="2"/>
  <c r="H44" i="2"/>
  <c r="J44" i="2"/>
  <c r="K44" i="2"/>
  <c r="L44" i="2"/>
  <c r="C45" i="2"/>
  <c r="D45" i="2"/>
  <c r="F45" i="2"/>
  <c r="G45" i="2"/>
  <c r="H45" i="2"/>
  <c r="J45" i="2"/>
  <c r="K45" i="2"/>
  <c r="L45" i="2"/>
  <c r="C46" i="2"/>
  <c r="D46" i="2"/>
  <c r="F46" i="2"/>
  <c r="G46" i="2"/>
  <c r="H46" i="2"/>
  <c r="J46" i="2"/>
  <c r="K46" i="2"/>
  <c r="L46" i="2"/>
  <c r="C47" i="2"/>
  <c r="D47" i="2"/>
  <c r="F47" i="2"/>
  <c r="G47" i="2"/>
  <c r="H47" i="2"/>
  <c r="J47" i="2"/>
  <c r="K47" i="2"/>
  <c r="L47" i="2"/>
  <c r="C48" i="2"/>
  <c r="D48" i="2"/>
  <c r="F48" i="2"/>
  <c r="G48" i="2"/>
  <c r="H48" i="2"/>
  <c r="J48" i="2"/>
  <c r="K48" i="2"/>
  <c r="L48" i="2"/>
  <c r="C49" i="2"/>
  <c r="D49" i="2"/>
  <c r="F49" i="2"/>
  <c r="G49" i="2"/>
  <c r="H49" i="2"/>
  <c r="J49" i="2"/>
  <c r="K49" i="2"/>
  <c r="L49" i="2"/>
  <c r="C50" i="2"/>
  <c r="D50" i="2"/>
  <c r="F50" i="2"/>
  <c r="G50" i="2"/>
  <c r="H50" i="2"/>
  <c r="J50" i="2"/>
  <c r="K50" i="2"/>
  <c r="L50" i="2"/>
  <c r="C51" i="2"/>
  <c r="D51" i="2"/>
  <c r="F51" i="2"/>
  <c r="G51" i="2"/>
  <c r="H51" i="2"/>
  <c r="J51" i="2"/>
  <c r="K51" i="2"/>
  <c r="L51" i="2"/>
  <c r="C52" i="2"/>
  <c r="D52" i="2"/>
  <c r="F52" i="2"/>
  <c r="G52" i="2"/>
  <c r="H52" i="2"/>
  <c r="J52" i="2"/>
  <c r="K52" i="2"/>
  <c r="L52" i="2"/>
  <c r="C53" i="2"/>
  <c r="D53" i="2"/>
  <c r="F53" i="2"/>
  <c r="G53" i="2"/>
  <c r="H53" i="2"/>
  <c r="J53" i="2"/>
  <c r="K53" i="2"/>
  <c r="L53" i="2"/>
  <c r="C54" i="2"/>
  <c r="D54" i="2"/>
  <c r="F54" i="2"/>
  <c r="G54" i="2"/>
  <c r="H54" i="2"/>
  <c r="J54" i="2"/>
  <c r="K54" i="2"/>
  <c r="L54" i="2"/>
  <c r="C55" i="2"/>
  <c r="D55" i="2"/>
  <c r="F55" i="2"/>
  <c r="G55" i="2"/>
  <c r="H55" i="2"/>
  <c r="J55" i="2"/>
  <c r="K55" i="2"/>
  <c r="L55" i="2"/>
  <c r="C56" i="2"/>
  <c r="D56" i="2"/>
  <c r="F56" i="2"/>
  <c r="G56" i="2"/>
  <c r="H56" i="2"/>
  <c r="J56" i="2"/>
  <c r="K56" i="2"/>
  <c r="L56" i="2"/>
  <c r="C57" i="2"/>
  <c r="D57" i="2"/>
  <c r="E57" i="2"/>
  <c r="F57" i="2"/>
  <c r="G57" i="2"/>
  <c r="H57" i="2"/>
  <c r="J57" i="2"/>
  <c r="K57" i="2"/>
  <c r="L57" i="2"/>
  <c r="C58" i="2"/>
  <c r="D58" i="2"/>
  <c r="F58" i="2"/>
  <c r="G58" i="2"/>
  <c r="H58" i="2"/>
  <c r="J58" i="2"/>
  <c r="K58" i="2"/>
  <c r="L58" i="2"/>
  <c r="C59" i="2"/>
  <c r="D59" i="2"/>
  <c r="F59" i="2"/>
  <c r="G59" i="2"/>
  <c r="H59" i="2"/>
  <c r="J59" i="2"/>
  <c r="K59" i="2"/>
  <c r="L59" i="2"/>
  <c r="C60" i="2"/>
  <c r="D60" i="2"/>
  <c r="F60" i="2"/>
  <c r="G60" i="2"/>
  <c r="H60" i="2"/>
  <c r="J60" i="2"/>
  <c r="K60" i="2"/>
  <c r="L60" i="2"/>
  <c r="C61" i="2"/>
  <c r="D61" i="2"/>
  <c r="F61" i="2"/>
  <c r="G61" i="2"/>
  <c r="H61" i="2"/>
  <c r="J61" i="2"/>
  <c r="K61" i="2"/>
  <c r="L61" i="2"/>
  <c r="C62" i="2"/>
  <c r="D62" i="2"/>
  <c r="F62" i="2"/>
  <c r="G62" i="2"/>
  <c r="H62" i="2"/>
  <c r="J62" i="2"/>
  <c r="K62" i="2"/>
  <c r="L62" i="2"/>
  <c r="C63" i="2"/>
  <c r="D63" i="2"/>
  <c r="F63" i="2"/>
  <c r="G63" i="2"/>
  <c r="H63" i="2"/>
  <c r="J63" i="2"/>
  <c r="K63" i="2"/>
  <c r="L63" i="2"/>
  <c r="C64" i="2"/>
  <c r="D64" i="2"/>
  <c r="F64" i="2"/>
  <c r="G64" i="2"/>
  <c r="H64" i="2"/>
  <c r="J64" i="2"/>
  <c r="K64" i="2"/>
  <c r="L64" i="2"/>
  <c r="C65" i="2"/>
  <c r="D65" i="2"/>
  <c r="F65" i="2"/>
  <c r="G65" i="2"/>
  <c r="H65" i="2"/>
  <c r="J65" i="2"/>
  <c r="K65" i="2"/>
  <c r="L65" i="2"/>
  <c r="C66" i="2"/>
  <c r="D66" i="2"/>
  <c r="F66" i="2"/>
  <c r="G66" i="2"/>
  <c r="H66" i="2"/>
  <c r="J66" i="2"/>
  <c r="K66" i="2"/>
  <c r="L66" i="2"/>
  <c r="C67" i="2"/>
  <c r="D67" i="2"/>
  <c r="F67" i="2"/>
  <c r="G67" i="2"/>
  <c r="H67" i="2"/>
  <c r="J67" i="2"/>
  <c r="K67" i="2"/>
  <c r="L67" i="2"/>
  <c r="C68" i="2"/>
  <c r="D68" i="2"/>
  <c r="F68" i="2"/>
  <c r="G68" i="2"/>
  <c r="H68" i="2"/>
  <c r="J68" i="2"/>
  <c r="K68" i="2"/>
  <c r="L68" i="2"/>
  <c r="C69" i="2"/>
  <c r="D69" i="2"/>
  <c r="F69" i="2"/>
  <c r="G69" i="2"/>
  <c r="H69" i="2"/>
  <c r="J69" i="2"/>
  <c r="K69" i="2"/>
  <c r="L69" i="2"/>
  <c r="C70" i="2"/>
  <c r="D70" i="2"/>
  <c r="F70" i="2"/>
  <c r="G70" i="2"/>
  <c r="H70" i="2"/>
  <c r="J70" i="2"/>
  <c r="K70" i="2"/>
  <c r="L70" i="2"/>
  <c r="C71" i="2"/>
  <c r="D71" i="2"/>
  <c r="F71" i="2"/>
  <c r="G71" i="2"/>
  <c r="H71" i="2"/>
  <c r="J71" i="2"/>
  <c r="K71" i="2"/>
  <c r="L71" i="2"/>
  <c r="C72" i="2"/>
  <c r="D72" i="2"/>
  <c r="F72" i="2"/>
  <c r="G72" i="2"/>
  <c r="H72" i="2"/>
  <c r="J72" i="2"/>
  <c r="K72" i="2"/>
  <c r="L72" i="2"/>
  <c r="C73" i="2"/>
  <c r="D73" i="2"/>
  <c r="F73" i="2"/>
  <c r="G73" i="2"/>
  <c r="H73" i="2"/>
  <c r="J73" i="2"/>
  <c r="K73" i="2"/>
  <c r="L73" i="2"/>
  <c r="C74" i="2"/>
  <c r="D74" i="2"/>
  <c r="F74" i="2"/>
  <c r="G74" i="2"/>
  <c r="H74" i="2"/>
  <c r="J74" i="2"/>
  <c r="K74" i="2"/>
  <c r="L74" i="2"/>
  <c r="C75" i="2"/>
  <c r="D75" i="2"/>
  <c r="F75" i="2"/>
  <c r="G75" i="2"/>
  <c r="H75" i="2"/>
  <c r="J75" i="2"/>
  <c r="K75" i="2"/>
  <c r="L75" i="2"/>
  <c r="C76" i="2"/>
  <c r="D76" i="2"/>
  <c r="F76" i="2"/>
  <c r="G76" i="2"/>
  <c r="H76" i="2"/>
  <c r="J76" i="2"/>
  <c r="K76" i="2"/>
  <c r="L76" i="2"/>
  <c r="C77" i="2"/>
  <c r="D77" i="2"/>
  <c r="F77" i="2"/>
  <c r="G77" i="2"/>
  <c r="H77" i="2"/>
  <c r="J77" i="2"/>
  <c r="K77" i="2"/>
  <c r="L77" i="2"/>
  <c r="C78" i="2"/>
  <c r="D78" i="2"/>
  <c r="F78" i="2"/>
  <c r="G78" i="2"/>
  <c r="H78" i="2"/>
  <c r="J78" i="2"/>
  <c r="K78" i="2"/>
  <c r="L78" i="2"/>
  <c r="C79" i="2"/>
  <c r="D79" i="2"/>
  <c r="F79" i="2"/>
  <c r="G79" i="2"/>
  <c r="H79" i="2"/>
  <c r="J79" i="2"/>
  <c r="K79" i="2"/>
  <c r="L79" i="2"/>
  <c r="C80" i="2"/>
  <c r="D80" i="2"/>
  <c r="F80" i="2"/>
  <c r="G80" i="2"/>
  <c r="H80" i="2"/>
  <c r="J80" i="2"/>
  <c r="K80" i="2"/>
  <c r="L80" i="2"/>
  <c r="C81" i="2"/>
  <c r="D81" i="2"/>
  <c r="F81" i="2"/>
  <c r="G81" i="2"/>
  <c r="H81" i="2"/>
  <c r="J81" i="2"/>
  <c r="K81" i="2"/>
  <c r="L81" i="2"/>
  <c r="C82" i="2"/>
  <c r="D82" i="2"/>
  <c r="F82" i="2"/>
  <c r="G82" i="2"/>
  <c r="H82" i="2"/>
  <c r="J82" i="2"/>
  <c r="K82" i="2"/>
  <c r="L82" i="2"/>
  <c r="C83" i="2"/>
  <c r="D83" i="2"/>
  <c r="F83" i="2"/>
  <c r="G83" i="2"/>
  <c r="H83" i="2"/>
  <c r="J83" i="2"/>
  <c r="K83" i="2"/>
  <c r="L83" i="2"/>
  <c r="C84" i="2"/>
  <c r="D84" i="2"/>
  <c r="F84" i="2"/>
  <c r="G84" i="2"/>
  <c r="H84" i="2"/>
  <c r="J84" i="2"/>
  <c r="K84" i="2"/>
  <c r="L84" i="2"/>
  <c r="C85" i="2"/>
  <c r="D85" i="2"/>
  <c r="F85" i="2"/>
  <c r="G85" i="2"/>
  <c r="H85" i="2"/>
  <c r="J85" i="2"/>
  <c r="K85" i="2"/>
  <c r="L85" i="2"/>
  <c r="C86" i="2"/>
  <c r="D86" i="2"/>
  <c r="F86" i="2"/>
  <c r="G86" i="2"/>
  <c r="H86" i="2"/>
  <c r="J86" i="2"/>
  <c r="K86" i="2"/>
  <c r="L86" i="2"/>
  <c r="C87" i="2"/>
  <c r="D87" i="2"/>
  <c r="F87" i="2"/>
  <c r="G87" i="2"/>
  <c r="H87" i="2"/>
  <c r="J87" i="2"/>
  <c r="K87" i="2"/>
  <c r="L87" i="2"/>
  <c r="C88" i="2"/>
  <c r="D88" i="2"/>
  <c r="F88" i="2"/>
  <c r="G88" i="2"/>
  <c r="H88" i="2"/>
  <c r="J88" i="2"/>
  <c r="K88" i="2"/>
  <c r="L88" i="2"/>
  <c r="C89" i="2"/>
  <c r="D89" i="2"/>
  <c r="F89" i="2"/>
  <c r="G89" i="2"/>
  <c r="H89" i="2"/>
  <c r="J89" i="2"/>
  <c r="K89" i="2"/>
  <c r="L89" i="2"/>
  <c r="C90" i="2"/>
  <c r="D90" i="2"/>
  <c r="F90" i="2"/>
  <c r="G90" i="2"/>
  <c r="H90" i="2"/>
  <c r="J90" i="2"/>
  <c r="K90" i="2"/>
  <c r="L90" i="2"/>
  <c r="C91" i="2"/>
  <c r="D91" i="2"/>
  <c r="F91" i="2"/>
  <c r="G91" i="2"/>
  <c r="H91" i="2"/>
  <c r="J91" i="2"/>
  <c r="K91" i="2"/>
  <c r="L91" i="2"/>
  <c r="C92" i="2"/>
  <c r="D92" i="2"/>
  <c r="F92" i="2"/>
  <c r="G92" i="2"/>
  <c r="H92" i="2"/>
  <c r="J92" i="2"/>
  <c r="K92" i="2"/>
  <c r="L92" i="2"/>
  <c r="C93" i="2"/>
  <c r="D93" i="2"/>
  <c r="F93" i="2"/>
  <c r="G93" i="2"/>
  <c r="H93" i="2"/>
  <c r="J93" i="2"/>
  <c r="K93" i="2"/>
  <c r="L93" i="2"/>
  <c r="C94" i="2"/>
  <c r="D94" i="2"/>
  <c r="F94" i="2"/>
  <c r="G94" i="2"/>
  <c r="H94" i="2"/>
  <c r="J94" i="2"/>
  <c r="K94" i="2"/>
  <c r="L94" i="2"/>
  <c r="C95" i="2"/>
  <c r="D95" i="2"/>
  <c r="F95" i="2"/>
  <c r="G95" i="2"/>
  <c r="H95" i="2"/>
  <c r="J95" i="2"/>
  <c r="K95" i="2"/>
  <c r="L95" i="2"/>
  <c r="C96" i="2"/>
  <c r="D96" i="2"/>
  <c r="F96" i="2"/>
  <c r="G96" i="2"/>
  <c r="H96" i="2"/>
  <c r="J96" i="2"/>
  <c r="K96" i="2"/>
  <c r="L96" i="2"/>
  <c r="C97" i="2"/>
  <c r="D97" i="2"/>
  <c r="F97" i="2"/>
  <c r="G97" i="2"/>
  <c r="H97" i="2"/>
  <c r="J97" i="2"/>
  <c r="K97" i="2"/>
  <c r="L97" i="2"/>
  <c r="C98" i="2"/>
  <c r="D98" i="2"/>
  <c r="F98" i="2"/>
  <c r="G98" i="2"/>
  <c r="H98" i="2"/>
  <c r="J98" i="2"/>
  <c r="K98" i="2"/>
  <c r="L98" i="2"/>
  <c r="C99" i="2"/>
  <c r="D99" i="2"/>
  <c r="F99" i="2"/>
  <c r="G99" i="2"/>
  <c r="H99" i="2"/>
  <c r="J99" i="2"/>
  <c r="K99" i="2"/>
  <c r="L99" i="2"/>
  <c r="C100" i="2"/>
  <c r="D100" i="2"/>
  <c r="F100" i="2"/>
  <c r="G100" i="2"/>
  <c r="H100" i="2"/>
  <c r="J100" i="2"/>
  <c r="K100" i="2"/>
  <c r="L100" i="2"/>
  <c r="C101" i="2"/>
  <c r="D101" i="2"/>
  <c r="F101" i="2"/>
  <c r="G101" i="2"/>
  <c r="H101" i="2"/>
  <c r="J101" i="2"/>
  <c r="K101" i="2"/>
  <c r="L101" i="2"/>
  <c r="C102" i="2"/>
  <c r="D102" i="2"/>
  <c r="F102" i="2"/>
  <c r="G102" i="2"/>
  <c r="H102" i="2"/>
  <c r="J102" i="2"/>
  <c r="K102" i="2"/>
  <c r="L102" i="2"/>
  <c r="C103" i="2"/>
  <c r="D103" i="2"/>
  <c r="F103" i="2"/>
  <c r="G103" i="2"/>
  <c r="H103" i="2"/>
  <c r="J103" i="2"/>
  <c r="K103" i="2"/>
  <c r="L103" i="2"/>
  <c r="C104" i="2"/>
  <c r="D104" i="2"/>
  <c r="F104" i="2"/>
  <c r="G104" i="2"/>
  <c r="H104" i="2"/>
  <c r="J104" i="2"/>
  <c r="K104" i="2"/>
  <c r="L104" i="2"/>
  <c r="C105" i="2"/>
  <c r="D105" i="2"/>
  <c r="F105" i="2"/>
  <c r="G105" i="2"/>
  <c r="H105" i="2"/>
  <c r="J105" i="2"/>
  <c r="K105" i="2"/>
  <c r="L105" i="2"/>
  <c r="C106" i="2"/>
  <c r="D106" i="2"/>
  <c r="F106" i="2"/>
  <c r="G106" i="2"/>
  <c r="H106" i="2"/>
  <c r="J106" i="2"/>
  <c r="K106" i="2"/>
  <c r="L106" i="2"/>
  <c r="C107" i="2"/>
  <c r="D107" i="2"/>
  <c r="F107" i="2"/>
  <c r="G107" i="2"/>
  <c r="H107" i="2"/>
  <c r="J107" i="2"/>
  <c r="K107" i="2"/>
  <c r="L107" i="2"/>
  <c r="C108" i="2"/>
  <c r="D108" i="2"/>
  <c r="F108" i="2"/>
  <c r="G108" i="2"/>
  <c r="H108" i="2"/>
  <c r="J108" i="2"/>
  <c r="K108" i="2"/>
  <c r="L108" i="2"/>
  <c r="C109" i="2"/>
  <c r="D109" i="2"/>
  <c r="F109" i="2"/>
  <c r="G109" i="2"/>
  <c r="H109" i="2"/>
  <c r="J109" i="2"/>
  <c r="K109" i="2"/>
  <c r="L109" i="2"/>
  <c r="C110" i="2"/>
  <c r="D110" i="2"/>
  <c r="F110" i="2"/>
  <c r="G110" i="2"/>
  <c r="H110" i="2"/>
  <c r="J110" i="2"/>
  <c r="K110" i="2"/>
  <c r="L110" i="2"/>
  <c r="C111" i="2"/>
  <c r="D111" i="2"/>
  <c r="F111" i="2"/>
  <c r="G111" i="2"/>
  <c r="H111" i="2"/>
  <c r="J111" i="2"/>
  <c r="K111" i="2"/>
  <c r="L111" i="2"/>
  <c r="C112" i="2"/>
  <c r="D112" i="2"/>
  <c r="F112" i="2"/>
  <c r="G112" i="2"/>
  <c r="H112" i="2"/>
  <c r="J112" i="2"/>
  <c r="K112" i="2"/>
  <c r="L112" i="2"/>
  <c r="C113" i="2"/>
  <c r="D113" i="2"/>
  <c r="F113" i="2"/>
  <c r="G113" i="2"/>
  <c r="H113" i="2"/>
  <c r="J113" i="2"/>
  <c r="K113" i="2"/>
  <c r="L113" i="2"/>
  <c r="C114" i="2"/>
  <c r="D114" i="2"/>
  <c r="F114" i="2"/>
  <c r="G114" i="2"/>
  <c r="H114" i="2"/>
  <c r="J114" i="2"/>
  <c r="K114" i="2"/>
  <c r="L114" i="2"/>
  <c r="C115" i="2"/>
  <c r="D115" i="2"/>
  <c r="F115" i="2"/>
  <c r="G115" i="2"/>
  <c r="H115" i="2"/>
  <c r="J115" i="2"/>
  <c r="K115" i="2"/>
  <c r="L115" i="2"/>
  <c r="C116" i="2"/>
  <c r="D116" i="2"/>
  <c r="F116" i="2"/>
  <c r="G116" i="2"/>
  <c r="H116" i="2"/>
  <c r="J116" i="2"/>
  <c r="K116" i="2"/>
  <c r="L116" i="2"/>
  <c r="C117" i="2"/>
  <c r="D117" i="2"/>
  <c r="F117" i="2"/>
  <c r="G117" i="2"/>
  <c r="H117" i="2"/>
  <c r="J117" i="2"/>
  <c r="K117" i="2"/>
  <c r="L117" i="2"/>
  <c r="C118" i="2"/>
  <c r="D118" i="2"/>
  <c r="F118" i="2"/>
  <c r="G118" i="2"/>
  <c r="H118" i="2"/>
  <c r="J118" i="2"/>
  <c r="K118" i="2"/>
  <c r="L118" i="2"/>
  <c r="C119" i="2"/>
  <c r="D119" i="2"/>
  <c r="F119" i="2"/>
  <c r="G119" i="2"/>
  <c r="H119" i="2"/>
  <c r="J119" i="2"/>
  <c r="K119" i="2"/>
  <c r="L119" i="2"/>
  <c r="C120" i="2"/>
  <c r="D120" i="2"/>
  <c r="F120" i="2"/>
  <c r="G120" i="2"/>
  <c r="H120" i="2"/>
  <c r="J120" i="2"/>
  <c r="K120" i="2"/>
  <c r="L120" i="2"/>
  <c r="C121" i="2"/>
  <c r="D121" i="2"/>
  <c r="F121" i="2"/>
  <c r="G121" i="2"/>
  <c r="H121" i="2"/>
  <c r="J121" i="2"/>
  <c r="K121" i="2"/>
  <c r="L121" i="2"/>
  <c r="C122" i="2"/>
  <c r="D122" i="2"/>
  <c r="F122" i="2"/>
  <c r="G122" i="2"/>
  <c r="H122" i="2"/>
  <c r="J122" i="2"/>
  <c r="K122" i="2"/>
  <c r="L122" i="2"/>
  <c r="C123" i="2"/>
  <c r="D123" i="2"/>
  <c r="F123" i="2"/>
  <c r="G123" i="2"/>
  <c r="H123" i="2"/>
  <c r="J123" i="2"/>
  <c r="K123" i="2"/>
  <c r="L123" i="2"/>
  <c r="C124" i="2"/>
  <c r="D124" i="2"/>
  <c r="F124" i="2"/>
  <c r="G124" i="2"/>
  <c r="H124" i="2"/>
  <c r="J124" i="2"/>
  <c r="K124" i="2"/>
  <c r="L124" i="2"/>
  <c r="C125" i="2"/>
  <c r="D125" i="2"/>
  <c r="F125" i="2"/>
  <c r="G125" i="2"/>
  <c r="H125" i="2"/>
  <c r="J125" i="2"/>
  <c r="K125" i="2"/>
  <c r="L125" i="2"/>
  <c r="C126" i="2"/>
  <c r="D126" i="2"/>
  <c r="F126" i="2"/>
  <c r="G126" i="2"/>
  <c r="H126" i="2"/>
  <c r="J126" i="2"/>
  <c r="K126" i="2"/>
  <c r="L126" i="2"/>
  <c r="C127" i="2"/>
  <c r="D127" i="2"/>
  <c r="F127" i="2"/>
  <c r="G127" i="2"/>
  <c r="H127" i="2"/>
  <c r="J127" i="2"/>
  <c r="K127" i="2"/>
  <c r="L127" i="2"/>
  <c r="C128" i="2"/>
  <c r="D128" i="2"/>
  <c r="F128" i="2"/>
  <c r="G128" i="2"/>
  <c r="H128" i="2"/>
  <c r="J128" i="2"/>
  <c r="K128" i="2"/>
  <c r="L128" i="2"/>
  <c r="C129" i="2"/>
  <c r="D129" i="2"/>
  <c r="F129" i="2"/>
  <c r="G129" i="2"/>
  <c r="H129" i="2"/>
  <c r="J129" i="2"/>
  <c r="K129" i="2"/>
  <c r="L129" i="2"/>
  <c r="C130" i="2"/>
  <c r="D130" i="2"/>
  <c r="F130" i="2"/>
  <c r="G130" i="2"/>
  <c r="H130" i="2"/>
  <c r="J130" i="2"/>
  <c r="K130" i="2"/>
  <c r="L130" i="2"/>
  <c r="C131" i="2"/>
  <c r="D131" i="2"/>
  <c r="F131" i="2"/>
  <c r="G131" i="2"/>
  <c r="H131" i="2"/>
  <c r="J131" i="2"/>
  <c r="K131" i="2"/>
  <c r="L131" i="2"/>
  <c r="C132" i="2"/>
  <c r="D132" i="2"/>
  <c r="F132" i="2"/>
  <c r="G132" i="2"/>
  <c r="H132" i="2"/>
  <c r="J132" i="2"/>
  <c r="K132" i="2"/>
  <c r="L132" i="2"/>
  <c r="C133" i="2"/>
  <c r="D133" i="2"/>
  <c r="F133" i="2"/>
  <c r="G133" i="2"/>
  <c r="H133" i="2"/>
  <c r="J133" i="2"/>
  <c r="K133" i="2"/>
  <c r="L133" i="2"/>
  <c r="C134" i="2"/>
  <c r="D134" i="2"/>
  <c r="F134" i="2"/>
  <c r="G134" i="2"/>
  <c r="H134" i="2"/>
  <c r="J134" i="2"/>
  <c r="K134" i="2"/>
  <c r="L134" i="2"/>
  <c r="C135" i="2"/>
  <c r="D135" i="2"/>
  <c r="F135" i="2"/>
  <c r="G135" i="2"/>
  <c r="H135" i="2"/>
  <c r="J135" i="2"/>
  <c r="K135" i="2"/>
  <c r="L135" i="2"/>
  <c r="C136" i="2"/>
  <c r="D136" i="2"/>
  <c r="F136" i="2"/>
  <c r="G136" i="2"/>
  <c r="H136" i="2"/>
  <c r="J136" i="2"/>
  <c r="K136" i="2"/>
  <c r="L136" i="2"/>
  <c r="C137" i="2"/>
  <c r="D137" i="2"/>
  <c r="F137" i="2"/>
  <c r="G137" i="2"/>
  <c r="H137" i="2"/>
  <c r="J137" i="2"/>
  <c r="K137" i="2"/>
  <c r="L137" i="2"/>
  <c r="C138" i="2"/>
  <c r="D138" i="2"/>
  <c r="F138" i="2"/>
  <c r="G138" i="2"/>
  <c r="H138" i="2"/>
  <c r="J138" i="2"/>
  <c r="K138" i="2"/>
  <c r="L138" i="2"/>
  <c r="C139" i="2"/>
  <c r="D139" i="2"/>
  <c r="F139" i="2"/>
  <c r="G139" i="2"/>
  <c r="H139" i="2"/>
  <c r="J139" i="2"/>
  <c r="K139" i="2"/>
  <c r="L139" i="2"/>
  <c r="C140" i="2"/>
  <c r="D140" i="2"/>
  <c r="F140" i="2"/>
  <c r="G140" i="2"/>
  <c r="H140" i="2"/>
  <c r="J140" i="2"/>
  <c r="K140" i="2"/>
  <c r="L140" i="2"/>
  <c r="C141" i="2"/>
  <c r="D141" i="2"/>
  <c r="F141" i="2"/>
  <c r="G141" i="2"/>
  <c r="H141" i="2"/>
  <c r="J141" i="2"/>
  <c r="K141" i="2"/>
  <c r="L141" i="2"/>
  <c r="C142" i="2"/>
  <c r="D142" i="2"/>
  <c r="F142" i="2"/>
  <c r="G142" i="2"/>
  <c r="H142" i="2"/>
  <c r="J142" i="2"/>
  <c r="K142" i="2"/>
  <c r="L142" i="2"/>
  <c r="C143" i="2"/>
  <c r="D143" i="2"/>
  <c r="F143" i="2"/>
  <c r="G143" i="2"/>
  <c r="H143" i="2"/>
  <c r="J143" i="2"/>
  <c r="K143" i="2"/>
  <c r="L143" i="2"/>
  <c r="C144" i="2"/>
  <c r="D144" i="2"/>
  <c r="F144" i="2"/>
  <c r="G144" i="2"/>
  <c r="H144" i="2"/>
  <c r="J144" i="2"/>
  <c r="K144" i="2"/>
  <c r="L144" i="2"/>
  <c r="C145" i="2"/>
  <c r="D145" i="2"/>
  <c r="F145" i="2"/>
  <c r="G145" i="2"/>
  <c r="H145" i="2"/>
  <c r="J145" i="2"/>
  <c r="K145" i="2"/>
  <c r="L145" i="2"/>
  <c r="C146" i="2"/>
  <c r="D146" i="2"/>
  <c r="F146" i="2"/>
  <c r="G146" i="2"/>
  <c r="H146" i="2"/>
  <c r="J146" i="2"/>
  <c r="K146" i="2"/>
  <c r="L146" i="2"/>
  <c r="C147" i="2"/>
  <c r="D147" i="2"/>
  <c r="F147" i="2"/>
  <c r="G147" i="2"/>
  <c r="H147" i="2"/>
  <c r="J147" i="2"/>
  <c r="K147" i="2"/>
  <c r="L147" i="2"/>
  <c r="C148" i="2"/>
  <c r="D148" i="2"/>
  <c r="F148" i="2"/>
  <c r="G148" i="2"/>
  <c r="H148" i="2"/>
  <c r="J148" i="2"/>
  <c r="K148" i="2"/>
  <c r="L148" i="2"/>
  <c r="C149" i="2"/>
  <c r="D149" i="2"/>
  <c r="F149" i="2"/>
  <c r="G149" i="2"/>
  <c r="H149" i="2"/>
  <c r="J149" i="2"/>
  <c r="K149" i="2"/>
  <c r="L149" i="2"/>
  <c r="C150" i="2"/>
  <c r="D150" i="2"/>
  <c r="F150" i="2"/>
  <c r="G150" i="2"/>
  <c r="H150" i="2"/>
  <c r="J150" i="2"/>
  <c r="K150" i="2"/>
  <c r="L150" i="2"/>
  <c r="C151" i="2"/>
  <c r="D151" i="2"/>
  <c r="F151" i="2"/>
  <c r="G151" i="2"/>
  <c r="H151" i="2"/>
  <c r="J151" i="2"/>
  <c r="K151" i="2"/>
  <c r="L151" i="2"/>
  <c r="C152" i="2"/>
  <c r="D152" i="2"/>
  <c r="F152" i="2"/>
  <c r="G152" i="2"/>
  <c r="H152" i="2"/>
  <c r="J152" i="2"/>
  <c r="K152" i="2"/>
  <c r="L152" i="2"/>
  <c r="C153" i="2"/>
  <c r="D153" i="2"/>
  <c r="F153" i="2"/>
  <c r="G153" i="2"/>
  <c r="H153" i="2"/>
  <c r="J153" i="2"/>
  <c r="K153" i="2"/>
  <c r="L153" i="2"/>
  <c r="C154" i="2"/>
  <c r="D154" i="2"/>
  <c r="F154" i="2"/>
  <c r="G154" i="2"/>
  <c r="H154" i="2"/>
  <c r="J154" i="2"/>
  <c r="K154" i="2"/>
  <c r="L154" i="2"/>
  <c r="C155" i="2"/>
  <c r="D155" i="2"/>
  <c r="F155" i="2"/>
  <c r="G155" i="2"/>
  <c r="H155" i="2"/>
  <c r="J155" i="2"/>
  <c r="K155" i="2"/>
  <c r="L155" i="2"/>
  <c r="C156" i="2"/>
  <c r="D156" i="2"/>
  <c r="F156" i="2"/>
  <c r="G156" i="2"/>
  <c r="H156" i="2"/>
  <c r="J156" i="2"/>
  <c r="K156" i="2"/>
  <c r="L156" i="2"/>
  <c r="C157" i="2"/>
  <c r="D157" i="2"/>
  <c r="F157" i="2"/>
  <c r="G157" i="2"/>
  <c r="H157" i="2"/>
  <c r="J157" i="2"/>
  <c r="K157" i="2"/>
  <c r="L157" i="2"/>
  <c r="C158" i="2"/>
  <c r="D158" i="2"/>
  <c r="F158" i="2"/>
  <c r="G158" i="2"/>
  <c r="H158" i="2"/>
  <c r="J158" i="2"/>
  <c r="K158" i="2"/>
  <c r="L158" i="2"/>
  <c r="C159" i="2"/>
  <c r="D159" i="2"/>
  <c r="F159" i="2"/>
  <c r="G159" i="2"/>
  <c r="H159" i="2"/>
  <c r="J159" i="2"/>
  <c r="K159" i="2"/>
  <c r="L159" i="2"/>
  <c r="C160" i="2"/>
  <c r="D160" i="2"/>
  <c r="F160" i="2"/>
  <c r="G160" i="2"/>
  <c r="H160" i="2"/>
  <c r="J160" i="2"/>
  <c r="K160" i="2"/>
  <c r="L160" i="2"/>
  <c r="C161" i="2"/>
  <c r="D161" i="2"/>
  <c r="F161" i="2"/>
  <c r="G161" i="2"/>
  <c r="H161" i="2"/>
  <c r="J161" i="2"/>
  <c r="K161" i="2"/>
  <c r="L161" i="2"/>
  <c r="C162" i="2"/>
  <c r="D162" i="2"/>
  <c r="F162" i="2"/>
  <c r="G162" i="2"/>
  <c r="H162" i="2"/>
  <c r="J162" i="2"/>
  <c r="K162" i="2"/>
  <c r="L162" i="2"/>
  <c r="C163" i="2"/>
  <c r="D163" i="2"/>
  <c r="F163" i="2"/>
  <c r="G163" i="2"/>
  <c r="H163" i="2"/>
  <c r="J163" i="2"/>
  <c r="K163" i="2"/>
  <c r="L163" i="2"/>
  <c r="C164" i="2"/>
  <c r="D164" i="2"/>
  <c r="F164" i="2"/>
  <c r="G164" i="2"/>
  <c r="H164" i="2"/>
  <c r="J164" i="2"/>
  <c r="K164" i="2"/>
  <c r="L164" i="2"/>
  <c r="C165" i="2"/>
  <c r="D165" i="2"/>
  <c r="F165" i="2"/>
  <c r="G165" i="2"/>
  <c r="H165" i="2"/>
  <c r="J165" i="2"/>
  <c r="K165" i="2"/>
  <c r="L165" i="2"/>
  <c r="C166" i="2"/>
  <c r="D166" i="2"/>
  <c r="F166" i="2"/>
  <c r="G166" i="2"/>
  <c r="H166" i="2"/>
  <c r="J166" i="2"/>
  <c r="K166" i="2"/>
  <c r="L166" i="2"/>
  <c r="C167" i="2"/>
  <c r="D167" i="2"/>
  <c r="F167" i="2"/>
  <c r="G167" i="2"/>
  <c r="H167" i="2"/>
  <c r="J167" i="2"/>
  <c r="K167" i="2"/>
  <c r="L167" i="2"/>
  <c r="C168" i="2"/>
  <c r="D168" i="2"/>
  <c r="F168" i="2"/>
  <c r="G168" i="2"/>
  <c r="H168" i="2"/>
  <c r="J168" i="2"/>
  <c r="K168" i="2"/>
  <c r="L168" i="2"/>
  <c r="D169" i="2"/>
  <c r="F169" i="2"/>
  <c r="G169" i="2"/>
  <c r="H169" i="2"/>
  <c r="J169" i="2"/>
  <c r="K169" i="2"/>
  <c r="L169" i="2"/>
  <c r="C170" i="2"/>
  <c r="D170" i="2"/>
  <c r="F170" i="2"/>
  <c r="G170" i="2"/>
  <c r="H170" i="2"/>
  <c r="J170" i="2"/>
  <c r="K170" i="2"/>
  <c r="L170" i="2"/>
  <c r="C171" i="2"/>
  <c r="D171" i="2"/>
  <c r="F171" i="2"/>
  <c r="G171" i="2"/>
  <c r="H171" i="2"/>
  <c r="J171" i="2"/>
  <c r="K171" i="2"/>
  <c r="L171" i="2"/>
  <c r="C172" i="2"/>
  <c r="D172" i="2"/>
  <c r="F172" i="2"/>
  <c r="G172" i="2"/>
  <c r="H172" i="2"/>
  <c r="J172" i="2"/>
  <c r="K172" i="2"/>
  <c r="L172" i="2"/>
  <c r="C173" i="2"/>
  <c r="D173" i="2"/>
  <c r="F173" i="2"/>
  <c r="G173" i="2"/>
  <c r="H173" i="2"/>
  <c r="J173" i="2"/>
  <c r="K173" i="2"/>
  <c r="L173" i="2"/>
  <c r="C174" i="2"/>
  <c r="D174" i="2"/>
  <c r="F174" i="2"/>
  <c r="G174" i="2"/>
  <c r="H174" i="2"/>
  <c r="J174" i="2"/>
  <c r="K174" i="2"/>
  <c r="L174" i="2"/>
  <c r="C175" i="2"/>
  <c r="D175" i="2"/>
  <c r="F175" i="2"/>
  <c r="G175" i="2"/>
  <c r="H175" i="2"/>
  <c r="J175" i="2"/>
  <c r="K175" i="2"/>
  <c r="L175" i="2"/>
  <c r="C176" i="2"/>
  <c r="D176" i="2"/>
  <c r="F176" i="2"/>
  <c r="G176" i="2"/>
  <c r="H176" i="2"/>
  <c r="J176" i="2"/>
  <c r="K176" i="2"/>
  <c r="L176" i="2"/>
  <c r="C177" i="2"/>
  <c r="D177" i="2"/>
  <c r="F177" i="2"/>
  <c r="G177" i="2"/>
  <c r="H177" i="2"/>
  <c r="J177" i="2"/>
  <c r="K177" i="2"/>
  <c r="L177" i="2"/>
  <c r="C178" i="2"/>
  <c r="D178" i="2"/>
  <c r="F178" i="2"/>
  <c r="G178" i="2"/>
  <c r="H178" i="2"/>
  <c r="J178" i="2"/>
  <c r="K178" i="2"/>
  <c r="L178" i="2"/>
  <c r="C179" i="2"/>
  <c r="D179" i="2"/>
  <c r="F179" i="2"/>
  <c r="G179" i="2"/>
  <c r="H179" i="2"/>
  <c r="J179" i="2"/>
  <c r="K179" i="2"/>
  <c r="L179" i="2"/>
  <c r="C180" i="2"/>
  <c r="D180" i="2"/>
  <c r="F180" i="2"/>
  <c r="G180" i="2"/>
  <c r="H180" i="2"/>
  <c r="J180" i="2"/>
  <c r="K180" i="2"/>
  <c r="L180" i="2"/>
  <c r="C181" i="2"/>
  <c r="D181" i="2"/>
  <c r="F181" i="2"/>
  <c r="G181" i="2"/>
  <c r="H181" i="2"/>
  <c r="J181" i="2"/>
  <c r="K181" i="2"/>
  <c r="L181" i="2"/>
  <c r="C182" i="2"/>
  <c r="D182" i="2"/>
  <c r="F182" i="2"/>
  <c r="G182" i="2"/>
  <c r="H182" i="2"/>
  <c r="J182" i="2"/>
  <c r="K182" i="2"/>
  <c r="L182" i="2"/>
  <c r="C183" i="2"/>
  <c r="D183" i="2"/>
  <c r="F183" i="2"/>
  <c r="G183" i="2"/>
  <c r="H183" i="2"/>
  <c r="J183" i="2"/>
  <c r="K183" i="2"/>
  <c r="L183" i="2"/>
  <c r="C184" i="2"/>
  <c r="D184" i="2"/>
  <c r="F184" i="2"/>
  <c r="G184" i="2"/>
  <c r="H184" i="2"/>
  <c r="J184" i="2"/>
  <c r="K184" i="2"/>
  <c r="L184" i="2"/>
  <c r="C185" i="2"/>
  <c r="D185" i="2"/>
  <c r="F185" i="2"/>
  <c r="G185" i="2"/>
  <c r="H185" i="2"/>
  <c r="J185" i="2"/>
  <c r="K185" i="2"/>
  <c r="L185" i="2"/>
  <c r="C186" i="2"/>
  <c r="D186" i="2"/>
  <c r="F186" i="2"/>
  <c r="G186" i="2"/>
  <c r="H186" i="2"/>
  <c r="J186" i="2"/>
  <c r="K186" i="2"/>
  <c r="L186" i="2"/>
  <c r="C187" i="2"/>
  <c r="D187" i="2"/>
  <c r="F187" i="2"/>
  <c r="G187" i="2"/>
  <c r="H187" i="2"/>
  <c r="J187" i="2"/>
  <c r="K187" i="2"/>
  <c r="L187" i="2"/>
  <c r="C188" i="2"/>
  <c r="D188" i="2"/>
  <c r="F188" i="2"/>
  <c r="G188" i="2"/>
  <c r="H188" i="2"/>
  <c r="J188" i="2"/>
  <c r="K188" i="2"/>
  <c r="L188" i="2"/>
  <c r="C189" i="2"/>
  <c r="D189" i="2"/>
  <c r="F189" i="2"/>
  <c r="G189" i="2"/>
  <c r="H189" i="2"/>
  <c r="J189" i="2"/>
  <c r="K189" i="2"/>
  <c r="L189" i="2"/>
  <c r="C190" i="2"/>
  <c r="D190" i="2"/>
  <c r="F190" i="2"/>
  <c r="G190" i="2"/>
  <c r="H190" i="2"/>
  <c r="J190" i="2"/>
  <c r="K190" i="2"/>
  <c r="L190" i="2"/>
  <c r="C191" i="2"/>
  <c r="D191" i="2"/>
  <c r="F191" i="2"/>
  <c r="G191" i="2"/>
  <c r="H191" i="2"/>
  <c r="J191" i="2"/>
  <c r="K191" i="2"/>
  <c r="L191" i="2"/>
  <c r="C192" i="2"/>
  <c r="D192" i="2"/>
  <c r="F192" i="2"/>
  <c r="G192" i="2"/>
  <c r="H192" i="2"/>
  <c r="J192" i="2"/>
  <c r="K192" i="2"/>
  <c r="L192" i="2"/>
  <c r="C193" i="2"/>
  <c r="D193" i="2"/>
  <c r="F193" i="2"/>
  <c r="G193" i="2"/>
  <c r="H193" i="2"/>
  <c r="J193" i="2"/>
  <c r="K193" i="2"/>
  <c r="L193" i="2"/>
  <c r="C194" i="2"/>
  <c r="D194" i="2"/>
  <c r="F194" i="2"/>
  <c r="G194" i="2"/>
  <c r="H194" i="2"/>
  <c r="J194" i="2"/>
  <c r="K194" i="2"/>
  <c r="L194" i="2"/>
  <c r="C195" i="2"/>
  <c r="D195" i="2"/>
  <c r="F195" i="2"/>
  <c r="G195" i="2"/>
  <c r="H195" i="2"/>
  <c r="J195" i="2"/>
  <c r="K195" i="2"/>
  <c r="L195" i="2"/>
  <c r="C196" i="2"/>
  <c r="D196" i="2"/>
  <c r="F196" i="2"/>
  <c r="G196" i="2"/>
  <c r="H196" i="2"/>
  <c r="J196" i="2"/>
  <c r="K196" i="2"/>
  <c r="L196" i="2"/>
  <c r="C197" i="2"/>
  <c r="D197" i="2"/>
  <c r="F197" i="2"/>
  <c r="G197" i="2"/>
  <c r="H197" i="2"/>
  <c r="J197" i="2"/>
  <c r="K197" i="2"/>
  <c r="L197" i="2"/>
  <c r="C198" i="2"/>
  <c r="D198" i="2"/>
  <c r="F198" i="2"/>
  <c r="G198" i="2"/>
  <c r="H198" i="2"/>
  <c r="J198" i="2"/>
  <c r="K198" i="2"/>
  <c r="L198" i="2"/>
  <c r="C199" i="2"/>
  <c r="D199" i="2"/>
  <c r="F199" i="2"/>
  <c r="G199" i="2"/>
  <c r="H199" i="2"/>
  <c r="J199" i="2"/>
  <c r="K199" i="2"/>
  <c r="L199" i="2"/>
  <c r="C200" i="2"/>
  <c r="D200" i="2"/>
  <c r="F200" i="2"/>
  <c r="G200" i="2"/>
  <c r="H200" i="2"/>
  <c r="J200" i="2"/>
  <c r="K200" i="2"/>
  <c r="L200" i="2"/>
  <c r="C201" i="2"/>
  <c r="D201" i="2"/>
  <c r="F201" i="2"/>
  <c r="G201" i="2"/>
  <c r="H201" i="2"/>
  <c r="J201" i="2"/>
  <c r="K201" i="2"/>
  <c r="L201" i="2"/>
  <c r="C202" i="2"/>
  <c r="D202" i="2"/>
  <c r="F202" i="2"/>
  <c r="G202" i="2"/>
  <c r="H202" i="2"/>
  <c r="J202" i="2"/>
  <c r="K202" i="2"/>
  <c r="L202" i="2"/>
  <c r="C203" i="2"/>
  <c r="D203" i="2"/>
  <c r="F203" i="2"/>
  <c r="G203" i="2"/>
  <c r="H203" i="2"/>
  <c r="J203" i="2"/>
  <c r="K203" i="2"/>
  <c r="L203" i="2"/>
  <c r="C204" i="2"/>
  <c r="D204" i="2"/>
  <c r="F204" i="2"/>
  <c r="G204" i="2"/>
  <c r="H204" i="2"/>
  <c r="J204" i="2"/>
  <c r="K204" i="2"/>
  <c r="L204" i="2"/>
  <c r="C205" i="2"/>
  <c r="D205" i="2"/>
  <c r="F205" i="2"/>
  <c r="G205" i="2"/>
  <c r="H205" i="2"/>
  <c r="J205" i="2"/>
  <c r="K205" i="2"/>
  <c r="L205" i="2"/>
  <c r="C206" i="2"/>
  <c r="D206" i="2"/>
  <c r="F206" i="2"/>
  <c r="G206" i="2"/>
  <c r="H206" i="2"/>
  <c r="J206" i="2"/>
  <c r="K206" i="2"/>
  <c r="L206" i="2"/>
  <c r="C207" i="2"/>
  <c r="D207" i="2"/>
  <c r="F207" i="2"/>
  <c r="G207" i="2"/>
  <c r="H207" i="2"/>
  <c r="J207" i="2"/>
  <c r="K207" i="2"/>
  <c r="L207" i="2"/>
  <c r="C208" i="2"/>
  <c r="D208" i="2"/>
  <c r="F208" i="2"/>
  <c r="G208" i="2"/>
  <c r="H208" i="2"/>
  <c r="J208" i="2"/>
  <c r="K208" i="2"/>
  <c r="L208" i="2"/>
  <c r="C209" i="2"/>
  <c r="D209" i="2"/>
  <c r="F209" i="2"/>
  <c r="G209" i="2"/>
  <c r="H209" i="2"/>
  <c r="J209" i="2"/>
  <c r="K209" i="2"/>
  <c r="L209" i="2"/>
  <c r="C210" i="2"/>
  <c r="D210" i="2"/>
  <c r="F210" i="2"/>
  <c r="G210" i="2"/>
  <c r="H210" i="2"/>
  <c r="J210" i="2"/>
  <c r="K210" i="2"/>
  <c r="L210" i="2"/>
  <c r="C211" i="2"/>
  <c r="D211" i="2"/>
  <c r="F211" i="2"/>
  <c r="G211" i="2"/>
  <c r="H211" i="2"/>
  <c r="J211" i="2"/>
  <c r="K211" i="2"/>
  <c r="L211" i="2"/>
  <c r="C212" i="2"/>
  <c r="D212" i="2"/>
  <c r="F212" i="2"/>
  <c r="G212" i="2"/>
  <c r="H212" i="2"/>
  <c r="J212" i="2"/>
  <c r="K212" i="2"/>
  <c r="L212" i="2"/>
  <c r="C213" i="2"/>
  <c r="D213" i="2"/>
  <c r="F213" i="2"/>
  <c r="G213" i="2"/>
  <c r="H213" i="2"/>
  <c r="J213" i="2"/>
  <c r="K213" i="2"/>
  <c r="L213" i="2"/>
  <c r="C214" i="2"/>
  <c r="D214" i="2"/>
  <c r="F214" i="2"/>
  <c r="G214" i="2"/>
  <c r="H214" i="2"/>
  <c r="J214" i="2"/>
  <c r="K214" i="2"/>
  <c r="L214" i="2"/>
  <c r="C215" i="2"/>
  <c r="D215" i="2"/>
  <c r="F215" i="2"/>
  <c r="G215" i="2"/>
  <c r="H215" i="2"/>
  <c r="J215" i="2"/>
  <c r="K215" i="2"/>
  <c r="L215" i="2"/>
  <c r="C216" i="2"/>
  <c r="D216" i="2"/>
  <c r="F216" i="2"/>
  <c r="G216" i="2"/>
  <c r="H216" i="2"/>
  <c r="J216" i="2"/>
  <c r="K216" i="2"/>
  <c r="L216" i="2"/>
  <c r="C217" i="2"/>
  <c r="D217" i="2"/>
  <c r="F217" i="2"/>
  <c r="G217" i="2"/>
  <c r="H217" i="2"/>
  <c r="J217" i="2"/>
  <c r="K217" i="2"/>
  <c r="L217" i="2"/>
  <c r="C218" i="2"/>
  <c r="D218" i="2"/>
  <c r="F218" i="2"/>
  <c r="G218" i="2"/>
  <c r="H218" i="2"/>
  <c r="J218" i="2"/>
  <c r="K218" i="2"/>
  <c r="L218" i="2"/>
  <c r="C219" i="2"/>
  <c r="D219" i="2"/>
  <c r="F219" i="2"/>
  <c r="G219" i="2"/>
  <c r="H219" i="2"/>
  <c r="J219" i="2"/>
  <c r="K219" i="2"/>
  <c r="L219" i="2"/>
  <c r="C220" i="2"/>
  <c r="D220" i="2"/>
  <c r="F220" i="2"/>
  <c r="G220" i="2"/>
  <c r="H220" i="2"/>
  <c r="J220" i="2"/>
  <c r="K220" i="2"/>
  <c r="L220" i="2"/>
  <c r="C221" i="2"/>
  <c r="D221" i="2"/>
  <c r="F221" i="2"/>
  <c r="G221" i="2"/>
  <c r="H221" i="2"/>
  <c r="J221" i="2"/>
  <c r="K221" i="2"/>
  <c r="L221" i="2"/>
  <c r="C222" i="2"/>
  <c r="D222" i="2"/>
  <c r="F222" i="2"/>
  <c r="G222" i="2"/>
  <c r="H222" i="2"/>
  <c r="J222" i="2"/>
  <c r="K222" i="2"/>
  <c r="L222" i="2"/>
  <c r="C223" i="2"/>
  <c r="D223" i="2"/>
  <c r="F223" i="2"/>
  <c r="G223" i="2"/>
  <c r="H223" i="2"/>
  <c r="J223" i="2"/>
  <c r="K223" i="2"/>
  <c r="L223" i="2"/>
  <c r="C224" i="2"/>
  <c r="D224" i="2"/>
  <c r="F224" i="2"/>
  <c r="G224" i="2"/>
  <c r="H224" i="2"/>
  <c r="J224" i="2"/>
  <c r="K224" i="2"/>
  <c r="L224" i="2"/>
  <c r="C225" i="2"/>
  <c r="D225" i="2"/>
  <c r="F225" i="2"/>
  <c r="G225" i="2"/>
  <c r="H225" i="2"/>
  <c r="J225" i="2"/>
  <c r="K225" i="2"/>
  <c r="L225" i="2"/>
  <c r="C226" i="2"/>
  <c r="D226" i="2"/>
  <c r="F226" i="2"/>
  <c r="G226" i="2"/>
  <c r="H226" i="2"/>
  <c r="J226" i="2"/>
  <c r="K226" i="2"/>
  <c r="L226" i="2"/>
  <c r="C227" i="2"/>
  <c r="D227" i="2"/>
  <c r="F227" i="2"/>
  <c r="G227" i="2"/>
  <c r="H227" i="2"/>
  <c r="J227" i="2"/>
  <c r="K227" i="2"/>
  <c r="L227" i="2"/>
  <c r="C228" i="2"/>
  <c r="D228" i="2"/>
  <c r="F228" i="2"/>
  <c r="G228" i="2"/>
  <c r="H228" i="2"/>
  <c r="J228" i="2"/>
  <c r="K228" i="2"/>
  <c r="L228" i="2"/>
  <c r="C229" i="2"/>
  <c r="D229" i="2"/>
  <c r="F229" i="2"/>
  <c r="G229" i="2"/>
  <c r="H229" i="2"/>
  <c r="J229" i="2"/>
  <c r="K229" i="2"/>
  <c r="L229" i="2"/>
  <c r="C230" i="2"/>
  <c r="D230" i="2"/>
  <c r="F230" i="2"/>
  <c r="G230" i="2"/>
  <c r="H230" i="2"/>
  <c r="J230" i="2"/>
  <c r="K230" i="2"/>
  <c r="L230" i="2"/>
  <c r="C231" i="2"/>
  <c r="D231" i="2"/>
  <c r="F231" i="2"/>
  <c r="G231" i="2"/>
  <c r="H231" i="2"/>
  <c r="J231" i="2"/>
  <c r="K231" i="2"/>
  <c r="L231" i="2"/>
  <c r="C232" i="2"/>
  <c r="D232" i="2"/>
  <c r="F232" i="2"/>
  <c r="G232" i="2"/>
  <c r="H232" i="2"/>
  <c r="J232" i="2"/>
  <c r="K232" i="2"/>
  <c r="L232" i="2"/>
  <c r="C233" i="2"/>
  <c r="D233" i="2"/>
  <c r="F233" i="2"/>
  <c r="G233" i="2"/>
  <c r="H233" i="2"/>
  <c r="J233" i="2"/>
  <c r="K233" i="2"/>
  <c r="L233" i="2"/>
  <c r="C234" i="2"/>
  <c r="D234" i="2"/>
  <c r="F234" i="2"/>
  <c r="G234" i="2"/>
  <c r="H234" i="2"/>
  <c r="J234" i="2"/>
  <c r="K234" i="2"/>
  <c r="L234" i="2"/>
  <c r="C235" i="2"/>
  <c r="D235" i="2"/>
  <c r="F235" i="2"/>
  <c r="G235" i="2"/>
  <c r="H235" i="2"/>
  <c r="J235" i="2"/>
  <c r="K235" i="2"/>
  <c r="L235" i="2"/>
  <c r="C236" i="2"/>
  <c r="D236" i="2"/>
  <c r="F236" i="2"/>
  <c r="G236" i="2"/>
  <c r="H236" i="2"/>
  <c r="J236" i="2"/>
  <c r="K236" i="2"/>
  <c r="L236" i="2"/>
  <c r="C237" i="2"/>
  <c r="D237" i="2"/>
  <c r="F237" i="2"/>
  <c r="G237" i="2"/>
  <c r="H237" i="2"/>
  <c r="J237" i="2"/>
  <c r="K237" i="2"/>
  <c r="L237" i="2"/>
  <c r="C238" i="2"/>
  <c r="D238" i="2"/>
  <c r="F238" i="2"/>
  <c r="G238" i="2"/>
  <c r="H238" i="2"/>
  <c r="J238" i="2"/>
  <c r="K238" i="2"/>
  <c r="L238" i="2"/>
  <c r="C239" i="2"/>
  <c r="D239" i="2"/>
  <c r="F239" i="2"/>
  <c r="G239" i="2"/>
  <c r="H239" i="2"/>
  <c r="J239" i="2"/>
  <c r="K239" i="2"/>
  <c r="L239" i="2"/>
  <c r="C240" i="2"/>
  <c r="D240" i="2"/>
  <c r="F240" i="2"/>
  <c r="G240" i="2"/>
  <c r="H240" i="2"/>
  <c r="J240" i="2"/>
  <c r="K240" i="2"/>
  <c r="L240" i="2"/>
  <c r="C241" i="2"/>
  <c r="D241" i="2"/>
  <c r="F241" i="2"/>
  <c r="G241" i="2"/>
  <c r="H241" i="2"/>
  <c r="J241" i="2"/>
  <c r="K241" i="2"/>
  <c r="L241" i="2"/>
  <c r="C242" i="2"/>
  <c r="D242" i="2"/>
  <c r="F242" i="2"/>
  <c r="G242" i="2"/>
  <c r="H242" i="2"/>
  <c r="J242" i="2"/>
  <c r="K242" i="2"/>
  <c r="L242" i="2"/>
  <c r="C243" i="2"/>
  <c r="D243" i="2"/>
  <c r="F243" i="2"/>
  <c r="G243" i="2"/>
  <c r="H243" i="2"/>
  <c r="J243" i="2"/>
  <c r="K243" i="2"/>
  <c r="L243" i="2"/>
  <c r="C244" i="2"/>
  <c r="D244" i="2"/>
  <c r="F244" i="2"/>
  <c r="G244" i="2"/>
  <c r="H244" i="2"/>
  <c r="J244" i="2"/>
  <c r="K244" i="2"/>
  <c r="L244" i="2"/>
  <c r="C245" i="2"/>
  <c r="D245" i="2"/>
  <c r="F245" i="2"/>
  <c r="G245" i="2"/>
  <c r="H245" i="2"/>
  <c r="J245" i="2"/>
  <c r="K245" i="2"/>
  <c r="L245" i="2"/>
  <c r="C246" i="2"/>
  <c r="D246" i="2"/>
  <c r="F246" i="2"/>
  <c r="G246" i="2"/>
  <c r="H246" i="2"/>
  <c r="J246" i="2"/>
  <c r="K246" i="2"/>
  <c r="L246" i="2"/>
  <c r="C247" i="2"/>
  <c r="D247" i="2"/>
  <c r="F247" i="2"/>
  <c r="G247" i="2"/>
  <c r="H247" i="2"/>
  <c r="J247" i="2"/>
  <c r="K247" i="2"/>
  <c r="L247" i="2"/>
  <c r="C248" i="2"/>
  <c r="D248" i="2"/>
  <c r="F248" i="2"/>
  <c r="G248" i="2"/>
  <c r="H248" i="2"/>
  <c r="J248" i="2"/>
  <c r="K248" i="2"/>
  <c r="L248" i="2"/>
  <c r="C249" i="2"/>
  <c r="D249" i="2"/>
  <c r="F249" i="2"/>
  <c r="G249" i="2"/>
  <c r="H249" i="2"/>
  <c r="J249" i="2"/>
  <c r="K249" i="2"/>
  <c r="L249" i="2"/>
  <c r="C250" i="2"/>
  <c r="D250" i="2"/>
  <c r="F250" i="2"/>
  <c r="G250" i="2"/>
  <c r="H250" i="2"/>
  <c r="J250" i="2"/>
  <c r="K250" i="2"/>
  <c r="L250" i="2"/>
  <c r="C251" i="2"/>
  <c r="D251" i="2"/>
  <c r="F251" i="2"/>
  <c r="G251" i="2"/>
  <c r="H251" i="2"/>
  <c r="J251" i="2"/>
  <c r="K251" i="2"/>
  <c r="L251" i="2"/>
  <c r="C252" i="2"/>
  <c r="D252" i="2"/>
  <c r="F252" i="2"/>
  <c r="G252" i="2"/>
  <c r="H252" i="2"/>
  <c r="J252" i="2"/>
  <c r="K252" i="2"/>
  <c r="L252" i="2"/>
  <c r="C253" i="2"/>
  <c r="D253" i="2"/>
  <c r="F253" i="2"/>
  <c r="G253" i="2"/>
  <c r="H253" i="2"/>
  <c r="J253" i="2"/>
  <c r="K253" i="2"/>
  <c r="L253" i="2"/>
  <c r="C254" i="2"/>
  <c r="D254" i="2"/>
  <c r="F254" i="2"/>
  <c r="G254" i="2"/>
  <c r="H254" i="2"/>
  <c r="J254" i="2"/>
  <c r="K254" i="2"/>
  <c r="L254" i="2"/>
  <c r="C255" i="2"/>
  <c r="D255" i="2"/>
  <c r="F255" i="2"/>
  <c r="G255" i="2"/>
  <c r="H255" i="2"/>
  <c r="J255" i="2"/>
  <c r="K255" i="2"/>
  <c r="L255" i="2"/>
  <c r="C256" i="2"/>
  <c r="D256" i="2"/>
  <c r="F256" i="2"/>
  <c r="G256" i="2"/>
  <c r="H256" i="2"/>
  <c r="J256" i="2"/>
  <c r="K256" i="2"/>
  <c r="L256" i="2"/>
  <c r="C257" i="2"/>
  <c r="D257" i="2"/>
  <c r="F257" i="2"/>
  <c r="G257" i="2"/>
  <c r="H257" i="2"/>
  <c r="J257" i="2"/>
  <c r="K257" i="2"/>
  <c r="L257" i="2"/>
  <c r="C258" i="2"/>
  <c r="D258" i="2"/>
  <c r="F258" i="2"/>
  <c r="G258" i="2"/>
  <c r="H258" i="2"/>
  <c r="J258" i="2"/>
  <c r="K258" i="2"/>
  <c r="L258" i="2"/>
  <c r="C259" i="2"/>
  <c r="D259" i="2"/>
  <c r="F259" i="2"/>
  <c r="G259" i="2"/>
  <c r="H259" i="2"/>
  <c r="J259" i="2"/>
  <c r="K259" i="2"/>
  <c r="L259" i="2"/>
  <c r="C260" i="2"/>
  <c r="D260" i="2"/>
  <c r="F260" i="2"/>
  <c r="G260" i="2"/>
  <c r="H260" i="2"/>
  <c r="J260" i="2"/>
  <c r="K260" i="2"/>
  <c r="L260" i="2"/>
  <c r="C261" i="2"/>
  <c r="D261" i="2"/>
  <c r="F261" i="2"/>
  <c r="G261" i="2"/>
  <c r="H261" i="2"/>
  <c r="J261" i="2"/>
  <c r="K261" i="2"/>
  <c r="L261" i="2"/>
  <c r="C262" i="2"/>
  <c r="D262" i="2"/>
  <c r="F262" i="2"/>
  <c r="G262" i="2"/>
  <c r="H262" i="2"/>
  <c r="J262" i="2"/>
  <c r="K262" i="2"/>
  <c r="L262" i="2"/>
  <c r="C263" i="2"/>
  <c r="D263" i="2"/>
  <c r="F263" i="2"/>
  <c r="G263" i="2"/>
  <c r="H263" i="2"/>
  <c r="J263" i="2"/>
  <c r="K263" i="2"/>
  <c r="L263" i="2"/>
  <c r="C264" i="2"/>
  <c r="D264" i="2"/>
  <c r="F264" i="2"/>
  <c r="G264" i="2"/>
  <c r="H264" i="2"/>
  <c r="J264" i="2"/>
  <c r="K264" i="2"/>
  <c r="L264" i="2"/>
  <c r="C265" i="2"/>
  <c r="D265" i="2"/>
  <c r="F265" i="2"/>
  <c r="G265" i="2"/>
  <c r="H265" i="2"/>
  <c r="J265" i="2"/>
  <c r="K265" i="2"/>
  <c r="L265" i="2"/>
  <c r="C266" i="2"/>
  <c r="D266" i="2"/>
  <c r="F266" i="2"/>
  <c r="G266" i="2"/>
  <c r="H266" i="2"/>
  <c r="J266" i="2"/>
  <c r="K266" i="2"/>
  <c r="L266" i="2"/>
  <c r="C267" i="2"/>
  <c r="D267" i="2"/>
  <c r="F267" i="2"/>
  <c r="G267" i="2"/>
  <c r="H267" i="2"/>
  <c r="J267" i="2"/>
  <c r="K267" i="2"/>
  <c r="L267" i="2"/>
  <c r="C268" i="2"/>
  <c r="D268" i="2"/>
  <c r="F268" i="2"/>
  <c r="G268" i="2"/>
  <c r="H268" i="2"/>
  <c r="J268" i="2"/>
  <c r="K268" i="2"/>
  <c r="L268" i="2"/>
  <c r="C269" i="2"/>
  <c r="D269" i="2"/>
  <c r="F269" i="2"/>
  <c r="G269" i="2"/>
  <c r="H269" i="2"/>
  <c r="J269" i="2"/>
  <c r="K269" i="2"/>
  <c r="L269" i="2"/>
  <c r="C270" i="2"/>
  <c r="D270" i="2"/>
  <c r="F270" i="2"/>
  <c r="G270" i="2"/>
  <c r="H270" i="2"/>
  <c r="J270" i="2"/>
  <c r="K270" i="2"/>
  <c r="L270" i="2"/>
  <c r="C271" i="2"/>
  <c r="D271" i="2"/>
  <c r="F271" i="2"/>
  <c r="G271" i="2"/>
  <c r="H271" i="2"/>
  <c r="J271" i="2"/>
  <c r="K271" i="2"/>
  <c r="L271" i="2"/>
  <c r="C272" i="2"/>
  <c r="D272" i="2"/>
  <c r="F272" i="2"/>
  <c r="G272" i="2"/>
  <c r="H272" i="2"/>
  <c r="J272" i="2"/>
  <c r="K272" i="2"/>
  <c r="L272" i="2"/>
  <c r="C273" i="2"/>
  <c r="D273" i="2"/>
  <c r="F273" i="2"/>
  <c r="G273" i="2"/>
  <c r="H273" i="2"/>
  <c r="J273" i="2"/>
  <c r="K273" i="2"/>
  <c r="L273" i="2"/>
  <c r="C274" i="2"/>
  <c r="D274" i="2"/>
  <c r="F274" i="2"/>
  <c r="G274" i="2"/>
  <c r="H274" i="2"/>
  <c r="J274" i="2"/>
  <c r="K274" i="2"/>
  <c r="L274" i="2"/>
  <c r="C275" i="2"/>
  <c r="D275" i="2"/>
  <c r="F275" i="2"/>
  <c r="G275" i="2"/>
  <c r="H275" i="2"/>
  <c r="J275" i="2"/>
  <c r="K275" i="2"/>
  <c r="L275" i="2"/>
  <c r="C276" i="2"/>
  <c r="D276" i="2"/>
  <c r="F276" i="2"/>
  <c r="G276" i="2"/>
  <c r="H276" i="2"/>
  <c r="J276" i="2"/>
  <c r="K276" i="2"/>
  <c r="L276" i="2"/>
  <c r="C277" i="2"/>
  <c r="D277" i="2"/>
  <c r="F277" i="2"/>
  <c r="G277" i="2"/>
  <c r="H277" i="2"/>
  <c r="J277" i="2"/>
  <c r="K277" i="2"/>
  <c r="L277" i="2"/>
  <c r="C278" i="2"/>
  <c r="D278" i="2"/>
  <c r="F278" i="2"/>
  <c r="G278" i="2"/>
  <c r="H278" i="2"/>
  <c r="J278" i="2"/>
  <c r="K278" i="2"/>
  <c r="L278" i="2"/>
  <c r="C279" i="2"/>
  <c r="D279" i="2"/>
  <c r="F279" i="2"/>
  <c r="G279" i="2"/>
  <c r="H279" i="2"/>
  <c r="J279" i="2"/>
  <c r="K279" i="2"/>
  <c r="L279" i="2"/>
  <c r="C280" i="2"/>
  <c r="D280" i="2"/>
  <c r="F280" i="2"/>
  <c r="G280" i="2"/>
  <c r="H280" i="2"/>
  <c r="J280" i="2"/>
  <c r="K280" i="2"/>
  <c r="L280" i="2"/>
  <c r="C281" i="2"/>
  <c r="D281" i="2"/>
  <c r="F281" i="2"/>
  <c r="G281" i="2"/>
  <c r="H281" i="2"/>
  <c r="J281" i="2"/>
  <c r="K281" i="2"/>
  <c r="L281" i="2"/>
  <c r="C282" i="2"/>
  <c r="D282" i="2"/>
  <c r="F282" i="2"/>
  <c r="G282" i="2"/>
  <c r="H282" i="2"/>
  <c r="J282" i="2"/>
  <c r="K282" i="2"/>
  <c r="L282" i="2"/>
  <c r="C283" i="2"/>
  <c r="D283" i="2"/>
  <c r="F283" i="2"/>
  <c r="G283" i="2"/>
  <c r="H283" i="2"/>
  <c r="J283" i="2"/>
  <c r="K283" i="2"/>
  <c r="L283" i="2"/>
  <c r="C284" i="2"/>
  <c r="D284" i="2"/>
  <c r="F284" i="2"/>
  <c r="G284" i="2"/>
  <c r="H284" i="2"/>
  <c r="J284" i="2"/>
  <c r="K284" i="2"/>
  <c r="L284" i="2"/>
  <c r="C285" i="2"/>
  <c r="D285" i="2"/>
  <c r="F285" i="2"/>
  <c r="G285" i="2"/>
  <c r="H285" i="2"/>
  <c r="J285" i="2"/>
  <c r="K285" i="2"/>
  <c r="L285" i="2"/>
  <c r="C286" i="2"/>
  <c r="D286" i="2"/>
  <c r="F286" i="2"/>
  <c r="G286" i="2"/>
  <c r="H286" i="2"/>
  <c r="J286" i="2"/>
  <c r="K286" i="2"/>
  <c r="L286" i="2"/>
  <c r="C287" i="2"/>
  <c r="D287" i="2"/>
  <c r="F287" i="2"/>
  <c r="G287" i="2"/>
  <c r="H287" i="2"/>
  <c r="J287" i="2"/>
  <c r="K287" i="2"/>
  <c r="L287" i="2"/>
  <c r="C288" i="2"/>
  <c r="D288" i="2"/>
  <c r="F288" i="2"/>
  <c r="G288" i="2"/>
  <c r="H288" i="2"/>
  <c r="J288" i="2"/>
  <c r="K288" i="2"/>
  <c r="L288" i="2"/>
  <c r="C289" i="2"/>
  <c r="D289" i="2"/>
  <c r="F289" i="2"/>
  <c r="G289" i="2"/>
  <c r="H289" i="2"/>
  <c r="J289" i="2"/>
  <c r="K289" i="2"/>
  <c r="L289" i="2"/>
  <c r="C290" i="2"/>
  <c r="D290" i="2"/>
  <c r="F290" i="2"/>
  <c r="G290" i="2"/>
  <c r="H290" i="2"/>
  <c r="J290" i="2"/>
  <c r="K290" i="2"/>
  <c r="L290" i="2"/>
  <c r="C291" i="2"/>
  <c r="D291" i="2"/>
  <c r="F291" i="2"/>
  <c r="G291" i="2"/>
  <c r="H291" i="2"/>
  <c r="J291" i="2"/>
  <c r="K291" i="2"/>
  <c r="L291" i="2"/>
  <c r="C292" i="2"/>
  <c r="D292" i="2"/>
  <c r="F292" i="2"/>
  <c r="G292" i="2"/>
  <c r="H292" i="2"/>
  <c r="J292" i="2"/>
  <c r="K292" i="2"/>
  <c r="L292" i="2"/>
  <c r="C293" i="2"/>
  <c r="D293" i="2"/>
  <c r="F293" i="2"/>
  <c r="G293" i="2"/>
  <c r="H293" i="2"/>
  <c r="J293" i="2"/>
  <c r="K293" i="2"/>
  <c r="L293" i="2"/>
  <c r="C294" i="2"/>
  <c r="D294" i="2"/>
  <c r="F294" i="2"/>
  <c r="G294" i="2"/>
  <c r="H294" i="2"/>
  <c r="J294" i="2"/>
  <c r="K294" i="2"/>
  <c r="L294" i="2"/>
  <c r="C295" i="2"/>
  <c r="D295" i="2"/>
  <c r="F295" i="2"/>
  <c r="G295" i="2"/>
  <c r="H295" i="2"/>
  <c r="J295" i="2"/>
  <c r="K295" i="2"/>
  <c r="L295" i="2"/>
  <c r="C296" i="2"/>
  <c r="D296" i="2"/>
  <c r="F296" i="2"/>
  <c r="G296" i="2"/>
  <c r="H296" i="2"/>
  <c r="J296" i="2"/>
  <c r="K296" i="2"/>
  <c r="L296" i="2"/>
  <c r="C297" i="2"/>
  <c r="D297" i="2"/>
  <c r="F297" i="2"/>
  <c r="G297" i="2"/>
  <c r="H297" i="2"/>
  <c r="J297" i="2"/>
  <c r="K297" i="2"/>
  <c r="L297" i="2"/>
  <c r="C298" i="2"/>
  <c r="D298" i="2"/>
  <c r="F298" i="2"/>
  <c r="G298" i="2"/>
  <c r="H298" i="2"/>
  <c r="J298" i="2"/>
  <c r="K298" i="2"/>
  <c r="L298" i="2"/>
  <c r="C299" i="2"/>
  <c r="D299" i="2"/>
  <c r="F299" i="2"/>
  <c r="G299" i="2"/>
  <c r="H299" i="2"/>
  <c r="J299" i="2"/>
  <c r="K299" i="2"/>
  <c r="L299" i="2"/>
  <c r="C300" i="2"/>
  <c r="D300" i="2"/>
  <c r="F300" i="2"/>
  <c r="G300" i="2"/>
  <c r="H300" i="2"/>
  <c r="J300" i="2"/>
  <c r="K300" i="2"/>
  <c r="L300" i="2"/>
  <c r="C301" i="2"/>
  <c r="D301" i="2"/>
  <c r="F301" i="2"/>
  <c r="G301" i="2"/>
  <c r="H301" i="2"/>
  <c r="J301" i="2"/>
  <c r="K301" i="2"/>
  <c r="L301" i="2"/>
  <c r="C302" i="2"/>
  <c r="D302" i="2"/>
  <c r="F302" i="2"/>
  <c r="G302" i="2"/>
  <c r="H302" i="2"/>
  <c r="J302" i="2"/>
  <c r="K302" i="2"/>
  <c r="L302" i="2"/>
  <c r="C303" i="2"/>
  <c r="D303" i="2"/>
  <c r="F303" i="2"/>
  <c r="G303" i="2"/>
  <c r="H303" i="2"/>
  <c r="J303" i="2"/>
  <c r="K303" i="2"/>
  <c r="L303" i="2"/>
  <c r="C304" i="2"/>
  <c r="D304" i="2"/>
  <c r="F304" i="2"/>
  <c r="G304" i="2"/>
  <c r="H304" i="2"/>
  <c r="J304" i="2"/>
  <c r="K304" i="2"/>
  <c r="L304" i="2"/>
  <c r="C305" i="2"/>
  <c r="D305" i="2"/>
  <c r="F305" i="2"/>
  <c r="G305" i="2"/>
  <c r="H305" i="2"/>
  <c r="J305" i="2"/>
  <c r="K305" i="2"/>
  <c r="L305" i="2"/>
  <c r="C306" i="2"/>
  <c r="D306" i="2"/>
  <c r="F306" i="2"/>
  <c r="G306" i="2"/>
  <c r="H306" i="2"/>
  <c r="J306" i="2"/>
  <c r="K306" i="2"/>
  <c r="L306" i="2"/>
  <c r="C307" i="2"/>
  <c r="D307" i="2"/>
  <c r="F307" i="2"/>
  <c r="G307" i="2"/>
  <c r="H307" i="2"/>
  <c r="J307" i="2"/>
  <c r="K307" i="2"/>
  <c r="L307" i="2"/>
  <c r="C308" i="2"/>
  <c r="D308" i="2"/>
  <c r="F308" i="2"/>
  <c r="G308" i="2"/>
  <c r="H308" i="2"/>
  <c r="J308" i="2"/>
  <c r="K308" i="2"/>
  <c r="L308" i="2"/>
  <c r="C309" i="2"/>
  <c r="D309" i="2"/>
  <c r="F309" i="2"/>
  <c r="G309" i="2"/>
  <c r="H309" i="2"/>
  <c r="J309" i="2"/>
  <c r="K309" i="2"/>
  <c r="L309" i="2"/>
  <c r="C310" i="2"/>
  <c r="D310" i="2"/>
  <c r="F310" i="2"/>
  <c r="G310" i="2"/>
  <c r="H310" i="2"/>
  <c r="J310" i="2"/>
  <c r="K310" i="2"/>
  <c r="L310" i="2"/>
  <c r="C311" i="2"/>
  <c r="D311" i="2"/>
  <c r="F311" i="2"/>
  <c r="G311" i="2"/>
  <c r="H311" i="2"/>
  <c r="J311" i="2"/>
  <c r="K311" i="2"/>
  <c r="L311" i="2"/>
  <c r="C312" i="2"/>
  <c r="D312" i="2"/>
  <c r="F312" i="2"/>
  <c r="G312" i="2"/>
  <c r="H312" i="2"/>
  <c r="J312" i="2"/>
  <c r="K312" i="2"/>
  <c r="L312" i="2"/>
  <c r="C313" i="2"/>
  <c r="D313" i="2"/>
  <c r="F313" i="2"/>
  <c r="G313" i="2"/>
  <c r="H313" i="2"/>
  <c r="J313" i="2"/>
  <c r="K313" i="2"/>
  <c r="L313" i="2"/>
  <c r="C314" i="2"/>
  <c r="D314" i="2"/>
  <c r="F314" i="2"/>
  <c r="G314" i="2"/>
  <c r="H314" i="2"/>
  <c r="J314" i="2"/>
  <c r="K314" i="2"/>
  <c r="L314" i="2"/>
  <c r="C315" i="2"/>
  <c r="D315" i="2"/>
  <c r="F315" i="2"/>
  <c r="G315" i="2"/>
  <c r="H315" i="2"/>
  <c r="J315" i="2"/>
  <c r="K315" i="2"/>
  <c r="L315" i="2"/>
  <c r="C316" i="2"/>
  <c r="D316" i="2"/>
  <c r="F316" i="2"/>
  <c r="G316" i="2"/>
  <c r="H316" i="2"/>
  <c r="J316" i="2"/>
  <c r="K316" i="2"/>
  <c r="L316" i="2"/>
  <c r="C317" i="2"/>
  <c r="D317" i="2"/>
  <c r="F317" i="2"/>
  <c r="G317" i="2"/>
  <c r="H317" i="2"/>
  <c r="J317" i="2"/>
  <c r="K317" i="2"/>
  <c r="L317" i="2"/>
  <c r="C318" i="2"/>
  <c r="D318" i="2"/>
  <c r="F318" i="2"/>
  <c r="G318" i="2"/>
  <c r="H318" i="2"/>
  <c r="J318" i="2"/>
  <c r="K318" i="2"/>
  <c r="L318" i="2"/>
  <c r="C319" i="2"/>
  <c r="D319" i="2"/>
  <c r="F319" i="2"/>
  <c r="G319" i="2"/>
  <c r="H319" i="2"/>
  <c r="J319" i="2"/>
  <c r="K319" i="2"/>
  <c r="L319" i="2"/>
  <c r="C320" i="2"/>
  <c r="D320" i="2"/>
  <c r="F320" i="2"/>
  <c r="G320" i="2"/>
  <c r="H320" i="2"/>
  <c r="J320" i="2"/>
  <c r="K320" i="2"/>
  <c r="L320" i="2"/>
  <c r="C321" i="2"/>
  <c r="D321" i="2"/>
  <c r="F321" i="2"/>
  <c r="G321" i="2"/>
  <c r="H321" i="2"/>
  <c r="J321" i="2"/>
  <c r="K321" i="2"/>
  <c r="L321" i="2"/>
  <c r="C322" i="2"/>
  <c r="D322" i="2"/>
  <c r="F322" i="2"/>
  <c r="G322" i="2"/>
  <c r="H322" i="2"/>
  <c r="J322" i="2"/>
  <c r="K322" i="2"/>
  <c r="L322" i="2"/>
  <c r="C323" i="2"/>
  <c r="D323" i="2"/>
  <c r="F323" i="2"/>
  <c r="G323" i="2"/>
  <c r="H323" i="2"/>
  <c r="J323" i="2"/>
  <c r="K323" i="2"/>
  <c r="L323" i="2"/>
  <c r="C324" i="2"/>
  <c r="D324" i="2"/>
  <c r="F324" i="2"/>
  <c r="G324" i="2"/>
  <c r="H324" i="2"/>
  <c r="J324" i="2"/>
  <c r="K324" i="2"/>
  <c r="L324" i="2"/>
  <c r="C325" i="2"/>
  <c r="D325" i="2"/>
  <c r="F325" i="2"/>
  <c r="G325" i="2"/>
  <c r="H325" i="2"/>
  <c r="J325" i="2"/>
  <c r="K325" i="2"/>
  <c r="L325" i="2"/>
  <c r="C326" i="2"/>
  <c r="D326" i="2"/>
  <c r="F326" i="2"/>
  <c r="G326" i="2"/>
  <c r="H326" i="2"/>
  <c r="J326" i="2"/>
  <c r="K326" i="2"/>
  <c r="L326" i="2"/>
  <c r="C327" i="2"/>
  <c r="D327" i="2"/>
  <c r="F327" i="2"/>
  <c r="G327" i="2"/>
  <c r="H327" i="2"/>
  <c r="J327" i="2"/>
  <c r="K327" i="2"/>
  <c r="L327" i="2"/>
  <c r="C328" i="2"/>
  <c r="D328" i="2"/>
  <c r="F328" i="2"/>
  <c r="G328" i="2"/>
  <c r="H328" i="2"/>
  <c r="J328" i="2"/>
  <c r="K328" i="2"/>
  <c r="L328" i="2"/>
  <c r="C329" i="2"/>
  <c r="D329" i="2"/>
  <c r="F329" i="2"/>
  <c r="G329" i="2"/>
  <c r="H329" i="2"/>
  <c r="J329" i="2"/>
  <c r="K329" i="2"/>
  <c r="L329" i="2"/>
  <c r="C330" i="2"/>
  <c r="D330" i="2"/>
  <c r="F330" i="2"/>
  <c r="G330" i="2"/>
  <c r="H330" i="2"/>
  <c r="J330" i="2"/>
  <c r="K330" i="2"/>
  <c r="L330" i="2"/>
  <c r="C331" i="2"/>
  <c r="D331" i="2"/>
  <c r="F331" i="2"/>
  <c r="G331" i="2"/>
  <c r="H331" i="2"/>
  <c r="J331" i="2"/>
  <c r="K331" i="2"/>
  <c r="L331" i="2"/>
  <c r="C332" i="2"/>
  <c r="D332" i="2"/>
  <c r="F332" i="2"/>
  <c r="G332" i="2"/>
  <c r="H332" i="2"/>
  <c r="J332" i="2"/>
  <c r="K332" i="2"/>
  <c r="L332" i="2"/>
  <c r="C333" i="2"/>
  <c r="D333" i="2"/>
  <c r="E333" i="2"/>
  <c r="F333" i="2"/>
  <c r="G333" i="2"/>
  <c r="H333" i="2"/>
  <c r="J333" i="2"/>
  <c r="K333" i="2"/>
  <c r="L333" i="2"/>
  <c r="C334" i="2"/>
  <c r="D334" i="2"/>
  <c r="F334" i="2"/>
  <c r="G334" i="2"/>
  <c r="H334" i="2"/>
  <c r="J334" i="2"/>
  <c r="K334" i="2"/>
  <c r="L334" i="2"/>
  <c r="C335" i="2"/>
  <c r="D335" i="2"/>
  <c r="F335" i="2"/>
  <c r="G335" i="2"/>
  <c r="H335" i="2"/>
  <c r="J335" i="2"/>
  <c r="K335" i="2"/>
  <c r="L335" i="2"/>
  <c r="C336" i="2"/>
  <c r="D336" i="2"/>
  <c r="F336" i="2"/>
  <c r="G336" i="2"/>
  <c r="H336" i="2"/>
  <c r="J336" i="2"/>
  <c r="K336" i="2"/>
  <c r="L336" i="2"/>
  <c r="C337" i="2"/>
  <c r="D337" i="2"/>
  <c r="F337" i="2"/>
  <c r="G337" i="2"/>
  <c r="H337" i="2"/>
  <c r="J337" i="2"/>
  <c r="K337" i="2"/>
  <c r="L337" i="2"/>
  <c r="C338" i="2"/>
  <c r="D338" i="2"/>
  <c r="F338" i="2"/>
  <c r="G338" i="2"/>
  <c r="H338" i="2"/>
  <c r="J338" i="2"/>
  <c r="K338" i="2"/>
  <c r="L338" i="2"/>
  <c r="C339" i="2"/>
  <c r="D339" i="2"/>
  <c r="F339" i="2"/>
  <c r="G339" i="2"/>
  <c r="H339" i="2"/>
  <c r="J339" i="2"/>
  <c r="K339" i="2"/>
  <c r="L339" i="2"/>
  <c r="C340" i="2"/>
  <c r="D340" i="2"/>
  <c r="F340" i="2"/>
  <c r="G340" i="2"/>
  <c r="H340" i="2"/>
  <c r="J340" i="2"/>
  <c r="K340" i="2"/>
  <c r="L340" i="2"/>
  <c r="C341" i="2"/>
  <c r="D341" i="2"/>
  <c r="F341" i="2"/>
  <c r="G341" i="2"/>
  <c r="H341" i="2"/>
  <c r="J341" i="2"/>
  <c r="K341" i="2"/>
  <c r="L341" i="2"/>
  <c r="C342" i="2"/>
  <c r="D342" i="2"/>
  <c r="F342" i="2"/>
  <c r="G342" i="2"/>
  <c r="H342" i="2"/>
  <c r="J342" i="2"/>
  <c r="K342" i="2"/>
  <c r="L342" i="2"/>
  <c r="C343" i="2"/>
  <c r="D343" i="2"/>
  <c r="F343" i="2"/>
  <c r="G343" i="2"/>
  <c r="H343" i="2"/>
  <c r="J343" i="2"/>
  <c r="K343" i="2"/>
  <c r="L343" i="2"/>
  <c r="C344" i="2"/>
  <c r="D344" i="2"/>
  <c r="F344" i="2"/>
  <c r="G344" i="2"/>
  <c r="H344" i="2"/>
  <c r="J344" i="2"/>
  <c r="K344" i="2"/>
  <c r="L344" i="2"/>
  <c r="C345" i="2"/>
  <c r="D345" i="2"/>
  <c r="F345" i="2"/>
  <c r="G345" i="2"/>
  <c r="H345" i="2"/>
  <c r="J345" i="2"/>
  <c r="K345" i="2"/>
  <c r="L345" i="2"/>
  <c r="C346" i="2"/>
  <c r="D346" i="2"/>
  <c r="F346" i="2"/>
  <c r="G346" i="2"/>
  <c r="H346" i="2"/>
  <c r="J346" i="2"/>
  <c r="K346" i="2"/>
  <c r="L346" i="2"/>
  <c r="C347" i="2"/>
  <c r="D347" i="2"/>
  <c r="F347" i="2"/>
  <c r="G347" i="2"/>
  <c r="H347" i="2"/>
  <c r="J347" i="2"/>
  <c r="K347" i="2"/>
  <c r="L347" i="2"/>
  <c r="C348" i="2"/>
  <c r="D348" i="2"/>
  <c r="F348" i="2"/>
  <c r="G348" i="2"/>
  <c r="H348" i="2"/>
  <c r="J348" i="2"/>
  <c r="K348" i="2"/>
  <c r="L348" i="2"/>
  <c r="C349" i="2"/>
  <c r="D349" i="2"/>
  <c r="F349" i="2"/>
  <c r="G349" i="2"/>
  <c r="H349" i="2"/>
  <c r="J349" i="2"/>
  <c r="K349" i="2"/>
  <c r="L349" i="2"/>
  <c r="C350" i="2"/>
  <c r="D350" i="2"/>
  <c r="F350" i="2"/>
  <c r="G350" i="2"/>
  <c r="H350" i="2"/>
  <c r="J350" i="2"/>
  <c r="K350" i="2"/>
  <c r="L350" i="2"/>
  <c r="C351" i="2"/>
  <c r="D351" i="2"/>
  <c r="F351" i="2"/>
  <c r="G351" i="2"/>
  <c r="H351" i="2"/>
  <c r="J351" i="2"/>
  <c r="K351" i="2"/>
  <c r="L351" i="2"/>
  <c r="C352" i="2"/>
  <c r="D352" i="2"/>
  <c r="F352" i="2"/>
  <c r="G352" i="2"/>
  <c r="H352" i="2"/>
  <c r="J352" i="2"/>
  <c r="K352" i="2"/>
  <c r="L352" i="2"/>
  <c r="C353" i="2"/>
  <c r="D353" i="2"/>
  <c r="F353" i="2"/>
  <c r="G353" i="2"/>
  <c r="H353" i="2"/>
  <c r="J353" i="2"/>
  <c r="K353" i="2"/>
  <c r="L353" i="2"/>
  <c r="C354" i="2"/>
  <c r="D354" i="2"/>
  <c r="F354" i="2"/>
  <c r="G354" i="2"/>
  <c r="H354" i="2"/>
  <c r="J354" i="2"/>
  <c r="K354" i="2"/>
  <c r="L354" i="2"/>
  <c r="C355" i="2"/>
  <c r="D355" i="2"/>
  <c r="F355" i="2"/>
  <c r="G355" i="2"/>
  <c r="H355" i="2"/>
  <c r="J355" i="2"/>
  <c r="K355" i="2"/>
  <c r="L355" i="2"/>
  <c r="C356" i="2"/>
  <c r="D356" i="2"/>
  <c r="F356" i="2"/>
  <c r="G356" i="2"/>
  <c r="H356" i="2"/>
  <c r="J356" i="2"/>
  <c r="K356" i="2"/>
  <c r="L356" i="2"/>
  <c r="C357" i="2"/>
  <c r="D357" i="2"/>
  <c r="F357" i="2"/>
  <c r="G357" i="2"/>
  <c r="H357" i="2"/>
  <c r="J357" i="2"/>
  <c r="K357" i="2"/>
  <c r="L357" i="2"/>
  <c r="C358" i="2"/>
  <c r="D358" i="2"/>
  <c r="F358" i="2"/>
  <c r="G358" i="2"/>
  <c r="H358" i="2"/>
  <c r="J358" i="2"/>
  <c r="K358" i="2"/>
  <c r="L358" i="2"/>
  <c r="C359" i="2"/>
  <c r="D359" i="2"/>
  <c r="F359" i="2"/>
  <c r="G359" i="2"/>
  <c r="H359" i="2"/>
  <c r="J359" i="2"/>
  <c r="K359" i="2"/>
  <c r="L359" i="2"/>
  <c r="C360" i="2"/>
  <c r="D360" i="2"/>
  <c r="F360" i="2"/>
  <c r="G360" i="2"/>
  <c r="H360" i="2"/>
  <c r="J360" i="2"/>
  <c r="K360" i="2"/>
  <c r="L360" i="2"/>
  <c r="C361" i="2"/>
  <c r="D361" i="2"/>
  <c r="F361" i="2"/>
  <c r="G361" i="2"/>
  <c r="H361" i="2"/>
  <c r="J361" i="2"/>
  <c r="K361" i="2"/>
  <c r="L361" i="2"/>
  <c r="C362" i="2"/>
  <c r="D362" i="2"/>
  <c r="F362" i="2"/>
  <c r="G362" i="2"/>
  <c r="H362" i="2"/>
  <c r="J362" i="2"/>
  <c r="K362" i="2"/>
  <c r="L362" i="2"/>
  <c r="C363" i="2"/>
  <c r="D363" i="2"/>
  <c r="F363" i="2"/>
  <c r="G363" i="2"/>
  <c r="H363" i="2"/>
  <c r="J363" i="2"/>
  <c r="K363" i="2"/>
  <c r="L363" i="2"/>
  <c r="C364" i="2"/>
  <c r="D364" i="2"/>
  <c r="F364" i="2"/>
  <c r="G364" i="2"/>
  <c r="H364" i="2"/>
  <c r="J364" i="2"/>
  <c r="K364" i="2"/>
  <c r="L364" i="2"/>
  <c r="C365" i="2"/>
  <c r="D365" i="2"/>
  <c r="F365" i="2"/>
  <c r="G365" i="2"/>
  <c r="H365" i="2"/>
  <c r="J365" i="2"/>
  <c r="K365" i="2"/>
  <c r="L365" i="2"/>
  <c r="C366" i="2"/>
  <c r="D366" i="2"/>
  <c r="F366" i="2"/>
  <c r="G366" i="2"/>
  <c r="H366" i="2"/>
  <c r="J366" i="2"/>
  <c r="K366" i="2"/>
  <c r="L366" i="2"/>
  <c r="C367" i="2"/>
  <c r="D367" i="2"/>
  <c r="F367" i="2"/>
  <c r="G367" i="2"/>
  <c r="H367" i="2"/>
  <c r="J367" i="2"/>
  <c r="K367" i="2"/>
  <c r="L367" i="2"/>
  <c r="C368" i="2"/>
  <c r="D368" i="2"/>
  <c r="F368" i="2"/>
  <c r="G368" i="2"/>
  <c r="H368" i="2"/>
  <c r="J368" i="2"/>
  <c r="K368" i="2"/>
  <c r="L368" i="2"/>
  <c r="C369" i="2"/>
  <c r="D369" i="2"/>
  <c r="F369" i="2"/>
  <c r="G369" i="2"/>
  <c r="H369" i="2"/>
  <c r="J369" i="2"/>
  <c r="K369" i="2"/>
  <c r="L369" i="2"/>
  <c r="C370" i="2"/>
  <c r="D370" i="2"/>
  <c r="F370" i="2"/>
  <c r="G370" i="2"/>
  <c r="H370" i="2"/>
  <c r="J370" i="2"/>
  <c r="K370" i="2"/>
  <c r="L370" i="2"/>
  <c r="C371" i="2"/>
  <c r="D371" i="2"/>
  <c r="F371" i="2"/>
  <c r="G371" i="2"/>
  <c r="H371" i="2"/>
  <c r="J371" i="2"/>
  <c r="K371" i="2"/>
  <c r="L371" i="2"/>
  <c r="C372" i="2"/>
  <c r="D372" i="2"/>
  <c r="F372" i="2"/>
  <c r="G372" i="2"/>
  <c r="H372" i="2"/>
  <c r="J372" i="2"/>
  <c r="K372" i="2"/>
  <c r="L372" i="2"/>
  <c r="C373" i="2"/>
  <c r="D373" i="2"/>
  <c r="F373" i="2"/>
  <c r="G373" i="2"/>
  <c r="H373" i="2"/>
  <c r="J373" i="2"/>
  <c r="K373" i="2"/>
  <c r="L373" i="2"/>
  <c r="C374" i="2"/>
  <c r="D374" i="2"/>
  <c r="F374" i="2"/>
  <c r="G374" i="2"/>
  <c r="H374" i="2"/>
  <c r="J374" i="2"/>
  <c r="K374" i="2"/>
  <c r="L374" i="2"/>
  <c r="C375" i="2"/>
  <c r="D375" i="2"/>
  <c r="F375" i="2"/>
  <c r="G375" i="2"/>
  <c r="H375" i="2"/>
  <c r="J375" i="2"/>
  <c r="K375" i="2"/>
  <c r="L375" i="2"/>
  <c r="C376" i="2"/>
  <c r="D376" i="2"/>
  <c r="F376" i="2"/>
  <c r="G376" i="2"/>
  <c r="H376" i="2"/>
  <c r="J376" i="2"/>
  <c r="K376" i="2"/>
  <c r="L376" i="2"/>
  <c r="C377" i="2"/>
  <c r="D377" i="2"/>
  <c r="F377" i="2"/>
  <c r="G377" i="2"/>
  <c r="H377" i="2"/>
  <c r="J377" i="2"/>
  <c r="K377" i="2"/>
  <c r="L377" i="2"/>
  <c r="C378" i="2"/>
  <c r="D378" i="2"/>
  <c r="F378" i="2"/>
  <c r="G378" i="2"/>
  <c r="H378" i="2"/>
  <c r="J378" i="2"/>
  <c r="K378" i="2"/>
  <c r="L378" i="2"/>
  <c r="C379" i="2"/>
  <c r="D379" i="2"/>
  <c r="F379" i="2"/>
  <c r="G379" i="2"/>
  <c r="H379" i="2"/>
  <c r="J379" i="2"/>
  <c r="K379" i="2"/>
  <c r="L379" i="2"/>
  <c r="C380" i="2"/>
  <c r="D380" i="2"/>
  <c r="F380" i="2"/>
  <c r="G380" i="2"/>
  <c r="H380" i="2"/>
  <c r="J380" i="2"/>
  <c r="K380" i="2"/>
  <c r="L380" i="2"/>
  <c r="C381" i="2"/>
  <c r="D381" i="2"/>
  <c r="F381" i="2"/>
  <c r="G381" i="2"/>
  <c r="H381" i="2"/>
  <c r="J381" i="2"/>
  <c r="K381" i="2"/>
  <c r="L381" i="2"/>
  <c r="C382" i="2"/>
  <c r="D382" i="2"/>
  <c r="E382" i="2"/>
  <c r="F382" i="2"/>
  <c r="G382" i="2"/>
  <c r="H382" i="2"/>
  <c r="J382" i="2"/>
  <c r="K382" i="2"/>
  <c r="L382" i="2"/>
  <c r="C383" i="2"/>
  <c r="D383" i="2"/>
  <c r="F383" i="2"/>
  <c r="G383" i="2"/>
  <c r="H383" i="2"/>
  <c r="J383" i="2"/>
  <c r="K383" i="2"/>
  <c r="L383" i="2"/>
  <c r="C384" i="2"/>
  <c r="D384" i="2"/>
  <c r="F384" i="2"/>
  <c r="G384" i="2"/>
  <c r="H384" i="2"/>
  <c r="J384" i="2"/>
  <c r="K384" i="2"/>
  <c r="L384" i="2"/>
  <c r="C385" i="2"/>
  <c r="D385" i="2"/>
  <c r="F385" i="2"/>
  <c r="G385" i="2"/>
  <c r="H385" i="2"/>
  <c r="J385" i="2"/>
  <c r="K385" i="2"/>
  <c r="L385" i="2"/>
  <c r="C386" i="2"/>
  <c r="D386" i="2"/>
  <c r="F386" i="2"/>
  <c r="G386" i="2"/>
  <c r="H386" i="2"/>
  <c r="J386" i="2"/>
  <c r="K386" i="2"/>
  <c r="L386" i="2"/>
  <c r="C387" i="2"/>
  <c r="D387" i="2"/>
  <c r="F387" i="2"/>
  <c r="G387" i="2"/>
  <c r="H387" i="2"/>
  <c r="J387" i="2"/>
  <c r="K387" i="2"/>
  <c r="L387" i="2"/>
  <c r="C388" i="2"/>
  <c r="D388" i="2"/>
  <c r="F388" i="2"/>
  <c r="G388" i="2"/>
  <c r="H388" i="2"/>
  <c r="J388" i="2"/>
  <c r="K388" i="2"/>
  <c r="L388" i="2"/>
  <c r="C389" i="2"/>
  <c r="D389" i="2"/>
  <c r="F389" i="2"/>
  <c r="G389" i="2"/>
  <c r="H389" i="2"/>
  <c r="J389" i="2"/>
  <c r="K389" i="2"/>
  <c r="L389" i="2"/>
  <c r="C390" i="2"/>
  <c r="D390" i="2"/>
  <c r="F390" i="2"/>
  <c r="G390" i="2"/>
  <c r="H390" i="2"/>
  <c r="J390" i="2"/>
  <c r="K390" i="2"/>
  <c r="L390" i="2"/>
  <c r="C391" i="2"/>
  <c r="D391" i="2"/>
  <c r="F391" i="2"/>
  <c r="G391" i="2"/>
  <c r="H391" i="2"/>
  <c r="J391" i="2"/>
  <c r="K391" i="2"/>
  <c r="L391" i="2"/>
  <c r="C392" i="2"/>
  <c r="D392" i="2"/>
  <c r="F392" i="2"/>
  <c r="G392" i="2"/>
  <c r="H392" i="2"/>
  <c r="J392" i="2"/>
  <c r="K392" i="2"/>
  <c r="L392" i="2"/>
  <c r="C393" i="2"/>
  <c r="D393" i="2"/>
  <c r="F393" i="2"/>
  <c r="G393" i="2"/>
  <c r="H393" i="2"/>
  <c r="J393" i="2"/>
  <c r="K393" i="2"/>
  <c r="L393" i="2"/>
  <c r="C394" i="2"/>
  <c r="D394" i="2"/>
  <c r="F394" i="2"/>
  <c r="G394" i="2"/>
  <c r="H394" i="2"/>
  <c r="J394" i="2"/>
  <c r="K394" i="2"/>
  <c r="L394" i="2"/>
  <c r="C395" i="2"/>
  <c r="D395" i="2"/>
  <c r="F395" i="2"/>
  <c r="G395" i="2"/>
  <c r="H395" i="2"/>
  <c r="J395" i="2"/>
  <c r="K395" i="2"/>
  <c r="L395" i="2"/>
  <c r="C396" i="2"/>
  <c r="D396" i="2"/>
  <c r="F396" i="2"/>
  <c r="G396" i="2"/>
  <c r="H396" i="2"/>
  <c r="J396" i="2"/>
  <c r="K396" i="2"/>
  <c r="L396" i="2"/>
  <c r="C397" i="2"/>
  <c r="D397" i="2"/>
  <c r="F397" i="2"/>
  <c r="G397" i="2"/>
  <c r="H397" i="2"/>
  <c r="J397" i="2"/>
  <c r="K397" i="2"/>
  <c r="L397" i="2"/>
  <c r="C398" i="2"/>
  <c r="D398" i="2"/>
  <c r="F398" i="2"/>
  <c r="G398" i="2"/>
  <c r="H398" i="2"/>
  <c r="J398" i="2"/>
  <c r="K398" i="2"/>
  <c r="L398" i="2"/>
  <c r="C399" i="2"/>
  <c r="D399" i="2"/>
  <c r="F399" i="2"/>
  <c r="G399" i="2"/>
  <c r="H399" i="2"/>
  <c r="J399" i="2"/>
  <c r="K399" i="2"/>
  <c r="L399" i="2"/>
  <c r="C400" i="2"/>
  <c r="D400" i="2"/>
  <c r="F400" i="2"/>
  <c r="G400" i="2"/>
  <c r="H400" i="2"/>
  <c r="J400" i="2"/>
  <c r="K400" i="2"/>
  <c r="L400" i="2"/>
  <c r="C401" i="2"/>
  <c r="D401" i="2"/>
  <c r="F401" i="2"/>
  <c r="G401" i="2"/>
  <c r="H401" i="2"/>
  <c r="J401" i="2"/>
  <c r="K401" i="2"/>
  <c r="L401" i="2"/>
  <c r="C402" i="2"/>
  <c r="D402" i="2"/>
  <c r="F402" i="2"/>
  <c r="G402" i="2"/>
  <c r="H402" i="2"/>
  <c r="J402" i="2"/>
  <c r="K402" i="2"/>
  <c r="L402" i="2"/>
  <c r="C403" i="2"/>
  <c r="D403" i="2"/>
  <c r="F403" i="2"/>
  <c r="G403" i="2"/>
  <c r="H403" i="2"/>
  <c r="J403" i="2"/>
  <c r="K403" i="2"/>
  <c r="L403" i="2"/>
  <c r="C404" i="2"/>
  <c r="D404" i="2"/>
  <c r="F404" i="2"/>
  <c r="G404" i="2"/>
  <c r="H404" i="2"/>
  <c r="J404" i="2"/>
  <c r="K404" i="2"/>
  <c r="L404" i="2"/>
  <c r="C405" i="2"/>
  <c r="D405" i="2"/>
  <c r="F405" i="2"/>
  <c r="G405" i="2"/>
  <c r="H405" i="2"/>
  <c r="J405" i="2"/>
  <c r="K405" i="2"/>
  <c r="L405" i="2"/>
  <c r="C406" i="2"/>
  <c r="D406" i="2"/>
  <c r="F406" i="2"/>
  <c r="G406" i="2"/>
  <c r="H406" i="2"/>
  <c r="J406" i="2"/>
  <c r="K406" i="2"/>
  <c r="L406" i="2"/>
  <c r="C407" i="2"/>
  <c r="D407" i="2"/>
  <c r="F407" i="2"/>
  <c r="G407" i="2"/>
  <c r="H407" i="2"/>
  <c r="J407" i="2"/>
  <c r="K407" i="2"/>
  <c r="L407" i="2"/>
  <c r="C408" i="2"/>
  <c r="D408" i="2"/>
  <c r="F408" i="2"/>
  <c r="G408" i="2"/>
  <c r="H408" i="2"/>
  <c r="J408" i="2"/>
  <c r="K408" i="2"/>
  <c r="L408" i="2"/>
  <c r="C409" i="2"/>
  <c r="D409" i="2"/>
  <c r="F409" i="2"/>
  <c r="G409" i="2"/>
  <c r="H409" i="2"/>
  <c r="J409" i="2"/>
  <c r="K409" i="2"/>
  <c r="L409" i="2"/>
  <c r="C410" i="2"/>
  <c r="D410" i="2"/>
  <c r="F410" i="2"/>
  <c r="G410" i="2"/>
  <c r="H410" i="2"/>
  <c r="J410" i="2"/>
  <c r="K410" i="2"/>
  <c r="L410" i="2"/>
  <c r="C411" i="2"/>
  <c r="D411" i="2"/>
  <c r="F411" i="2"/>
  <c r="G411" i="2"/>
  <c r="H411" i="2"/>
  <c r="J411" i="2"/>
  <c r="K411" i="2"/>
  <c r="L411" i="2"/>
  <c r="C412" i="2"/>
  <c r="D412" i="2"/>
  <c r="F412" i="2"/>
  <c r="G412" i="2"/>
  <c r="H412" i="2"/>
  <c r="J412" i="2"/>
  <c r="K412" i="2"/>
  <c r="L412" i="2"/>
  <c r="C413" i="2"/>
  <c r="D413" i="2"/>
  <c r="F413" i="2"/>
  <c r="G413" i="2"/>
  <c r="H413" i="2"/>
  <c r="J413" i="2"/>
  <c r="K413" i="2"/>
  <c r="L413" i="2"/>
  <c r="C414" i="2"/>
  <c r="D414" i="2"/>
  <c r="F414" i="2"/>
  <c r="G414" i="2"/>
  <c r="H414" i="2"/>
  <c r="J414" i="2"/>
  <c r="K414" i="2"/>
  <c r="L414" i="2"/>
  <c r="C415" i="2"/>
  <c r="D415" i="2"/>
  <c r="F415" i="2"/>
  <c r="G415" i="2"/>
  <c r="H415" i="2"/>
  <c r="J415" i="2"/>
  <c r="K415" i="2"/>
  <c r="L415" i="2"/>
  <c r="C416" i="2"/>
  <c r="D416" i="2"/>
  <c r="F416" i="2"/>
  <c r="G416" i="2"/>
  <c r="H416" i="2"/>
  <c r="J416" i="2"/>
  <c r="K416" i="2"/>
  <c r="L416" i="2"/>
  <c r="C417" i="2"/>
  <c r="D417" i="2"/>
  <c r="F417" i="2"/>
  <c r="G417" i="2"/>
  <c r="H417" i="2"/>
  <c r="J417" i="2"/>
  <c r="K417" i="2"/>
  <c r="L417" i="2"/>
  <c r="C418" i="2"/>
  <c r="D418" i="2"/>
  <c r="F418" i="2"/>
  <c r="G418" i="2"/>
  <c r="H418" i="2"/>
  <c r="J418" i="2"/>
  <c r="K418" i="2"/>
  <c r="L418" i="2"/>
  <c r="C419" i="2"/>
  <c r="D419" i="2"/>
  <c r="F419" i="2"/>
  <c r="G419" i="2"/>
  <c r="H419" i="2"/>
  <c r="J419" i="2"/>
  <c r="K419" i="2"/>
  <c r="L419" i="2"/>
  <c r="C420" i="2"/>
  <c r="D420" i="2"/>
  <c r="F420" i="2"/>
  <c r="G420" i="2"/>
  <c r="H420" i="2"/>
  <c r="J420" i="2"/>
  <c r="K420" i="2"/>
  <c r="L420" i="2"/>
  <c r="C421" i="2"/>
  <c r="D421" i="2"/>
  <c r="F421" i="2"/>
  <c r="G421" i="2"/>
  <c r="H421" i="2"/>
  <c r="J421" i="2"/>
  <c r="K421" i="2"/>
  <c r="L421" i="2"/>
  <c r="C422" i="2"/>
  <c r="D422" i="2"/>
  <c r="F422" i="2"/>
  <c r="G422" i="2"/>
  <c r="H422" i="2"/>
  <c r="J422" i="2"/>
  <c r="K422" i="2"/>
  <c r="L422" i="2"/>
  <c r="C423" i="2"/>
  <c r="D423" i="2"/>
  <c r="F423" i="2"/>
  <c r="G423" i="2"/>
  <c r="H423" i="2"/>
  <c r="J423" i="2"/>
  <c r="K423" i="2"/>
  <c r="L423" i="2"/>
  <c r="C424" i="2"/>
  <c r="D424" i="2"/>
  <c r="F424" i="2"/>
  <c r="G424" i="2"/>
  <c r="H424" i="2"/>
  <c r="J424" i="2"/>
  <c r="K424" i="2"/>
  <c r="L424" i="2"/>
  <c r="C425" i="2"/>
  <c r="D425" i="2"/>
  <c r="F425" i="2"/>
  <c r="G425" i="2"/>
  <c r="H425" i="2"/>
  <c r="J425" i="2"/>
  <c r="K425" i="2"/>
  <c r="L425" i="2"/>
  <c r="C426" i="2"/>
  <c r="D426" i="2"/>
  <c r="F426" i="2"/>
  <c r="G426" i="2"/>
  <c r="H426" i="2"/>
  <c r="J426" i="2"/>
  <c r="K426" i="2"/>
  <c r="L426" i="2"/>
  <c r="C427" i="2"/>
  <c r="D427" i="2"/>
  <c r="F427" i="2"/>
  <c r="G427" i="2"/>
  <c r="H427" i="2"/>
  <c r="J427" i="2"/>
  <c r="K427" i="2"/>
  <c r="L427" i="2"/>
  <c r="C428" i="2"/>
  <c r="D428" i="2"/>
  <c r="F428" i="2"/>
  <c r="G428" i="2"/>
  <c r="H428" i="2"/>
  <c r="J428" i="2"/>
  <c r="K428" i="2"/>
  <c r="L428" i="2"/>
  <c r="C429" i="2"/>
  <c r="D429" i="2"/>
  <c r="F429" i="2"/>
  <c r="G429" i="2"/>
  <c r="H429" i="2"/>
  <c r="J429" i="2"/>
  <c r="K429" i="2"/>
  <c r="L429" i="2"/>
  <c r="C430" i="2"/>
  <c r="D430" i="2"/>
  <c r="F430" i="2"/>
  <c r="G430" i="2"/>
  <c r="H430" i="2"/>
  <c r="J430" i="2"/>
  <c r="K430" i="2"/>
  <c r="L430" i="2"/>
  <c r="C431" i="2"/>
  <c r="D431" i="2"/>
  <c r="F431" i="2"/>
  <c r="G431" i="2"/>
  <c r="H431" i="2"/>
  <c r="J431" i="2"/>
  <c r="K431" i="2"/>
  <c r="L431" i="2"/>
  <c r="C432" i="2"/>
  <c r="D432" i="2"/>
  <c r="F432" i="2"/>
  <c r="G432" i="2"/>
  <c r="H432" i="2"/>
  <c r="J432" i="2"/>
  <c r="K432" i="2"/>
  <c r="L432" i="2"/>
  <c r="C433" i="2"/>
  <c r="D433" i="2"/>
  <c r="F433" i="2"/>
  <c r="G433" i="2"/>
  <c r="H433" i="2"/>
  <c r="J433" i="2"/>
  <c r="K433" i="2"/>
  <c r="L433" i="2"/>
  <c r="C434" i="2"/>
  <c r="D434" i="2"/>
  <c r="F434" i="2"/>
  <c r="G434" i="2"/>
  <c r="H434" i="2"/>
  <c r="J434" i="2"/>
  <c r="K434" i="2"/>
  <c r="L434" i="2"/>
  <c r="C435" i="2"/>
  <c r="D435" i="2"/>
  <c r="F435" i="2"/>
  <c r="G435" i="2"/>
  <c r="H435" i="2"/>
  <c r="J435" i="2"/>
  <c r="K435" i="2"/>
  <c r="L435" i="2"/>
  <c r="C436" i="2"/>
  <c r="D436" i="2"/>
  <c r="F436" i="2"/>
  <c r="G436" i="2"/>
  <c r="H436" i="2"/>
  <c r="J436" i="2"/>
  <c r="K436" i="2"/>
  <c r="L436" i="2"/>
  <c r="C437" i="2"/>
  <c r="D437" i="2"/>
  <c r="F437" i="2"/>
  <c r="G437" i="2"/>
  <c r="H437" i="2"/>
  <c r="J437" i="2"/>
  <c r="K437" i="2"/>
  <c r="L437" i="2"/>
  <c r="C438" i="2"/>
  <c r="D438" i="2"/>
  <c r="F438" i="2"/>
  <c r="G438" i="2"/>
  <c r="H438" i="2"/>
  <c r="J438" i="2"/>
  <c r="K438" i="2"/>
  <c r="L438" i="2"/>
  <c r="C439" i="2"/>
  <c r="D439" i="2"/>
  <c r="F439" i="2"/>
  <c r="G439" i="2"/>
  <c r="H439" i="2"/>
  <c r="J439" i="2"/>
  <c r="K439" i="2"/>
  <c r="L439" i="2"/>
  <c r="C440" i="2"/>
  <c r="D440" i="2"/>
  <c r="F440" i="2"/>
  <c r="G440" i="2"/>
  <c r="H440" i="2"/>
  <c r="J440" i="2"/>
  <c r="K440" i="2"/>
  <c r="L440" i="2"/>
  <c r="C441" i="2"/>
  <c r="D441" i="2"/>
  <c r="F441" i="2"/>
  <c r="G441" i="2"/>
  <c r="H441" i="2"/>
  <c r="J441" i="2"/>
  <c r="K441" i="2"/>
  <c r="L441" i="2"/>
  <c r="C442" i="2"/>
  <c r="D442" i="2"/>
  <c r="F442" i="2"/>
  <c r="G442" i="2"/>
  <c r="H442" i="2"/>
  <c r="J442" i="2"/>
  <c r="K442" i="2"/>
  <c r="L442" i="2"/>
  <c r="C443" i="2"/>
  <c r="D443" i="2"/>
  <c r="F443" i="2"/>
  <c r="G443" i="2"/>
  <c r="H443" i="2"/>
  <c r="J443" i="2"/>
  <c r="K443" i="2"/>
  <c r="L443" i="2"/>
  <c r="C444" i="2"/>
  <c r="D444" i="2"/>
  <c r="F444" i="2"/>
  <c r="G444" i="2"/>
  <c r="H444" i="2"/>
  <c r="J444" i="2"/>
  <c r="K444" i="2"/>
  <c r="L444" i="2"/>
  <c r="C445" i="2"/>
  <c r="D445" i="2"/>
  <c r="F445" i="2"/>
  <c r="G445" i="2"/>
  <c r="H445" i="2"/>
  <c r="J445" i="2"/>
  <c r="K445" i="2"/>
  <c r="L445" i="2"/>
  <c r="C446" i="2"/>
  <c r="D446" i="2"/>
  <c r="F446" i="2"/>
  <c r="G446" i="2"/>
  <c r="H446" i="2"/>
  <c r="J446" i="2"/>
  <c r="K446" i="2"/>
  <c r="L446" i="2"/>
  <c r="C447" i="2"/>
  <c r="D447" i="2"/>
  <c r="F447" i="2"/>
  <c r="G447" i="2"/>
  <c r="H447" i="2"/>
  <c r="J447" i="2"/>
  <c r="K447" i="2"/>
  <c r="L447" i="2"/>
  <c r="C448" i="2"/>
  <c r="D448" i="2"/>
  <c r="F448" i="2"/>
  <c r="G448" i="2"/>
  <c r="H448" i="2"/>
  <c r="J448" i="2"/>
  <c r="K448" i="2"/>
  <c r="L448" i="2"/>
  <c r="C449" i="2"/>
  <c r="D449" i="2"/>
  <c r="F449" i="2"/>
  <c r="G449" i="2"/>
  <c r="H449" i="2"/>
  <c r="J449" i="2"/>
  <c r="K449" i="2"/>
  <c r="L449" i="2"/>
  <c r="C450" i="2"/>
  <c r="D450" i="2"/>
  <c r="F450" i="2"/>
  <c r="G450" i="2"/>
  <c r="H450" i="2"/>
  <c r="J450" i="2"/>
  <c r="K450" i="2"/>
  <c r="L450" i="2"/>
  <c r="C451" i="2"/>
  <c r="D451" i="2"/>
  <c r="F451" i="2"/>
  <c r="G451" i="2"/>
  <c r="H451" i="2"/>
  <c r="J451" i="2"/>
  <c r="K451" i="2"/>
  <c r="L451" i="2"/>
  <c r="C452" i="2"/>
  <c r="D452" i="2"/>
  <c r="F452" i="2"/>
  <c r="G452" i="2"/>
  <c r="H452" i="2"/>
  <c r="J452" i="2"/>
  <c r="K452" i="2"/>
  <c r="L452" i="2"/>
  <c r="C453" i="2"/>
  <c r="D453" i="2"/>
  <c r="F453" i="2"/>
  <c r="G453" i="2"/>
  <c r="H453" i="2"/>
  <c r="J453" i="2"/>
  <c r="K453" i="2"/>
  <c r="L453" i="2"/>
  <c r="C454" i="2"/>
  <c r="D454" i="2"/>
  <c r="F454" i="2"/>
  <c r="G454" i="2"/>
  <c r="H454" i="2"/>
  <c r="J454" i="2"/>
  <c r="K454" i="2"/>
  <c r="L454" i="2"/>
  <c r="C455" i="2"/>
  <c r="D455" i="2"/>
  <c r="F455" i="2"/>
  <c r="G455" i="2"/>
  <c r="H455" i="2"/>
  <c r="J455" i="2"/>
  <c r="K455" i="2"/>
  <c r="L455" i="2"/>
  <c r="C456" i="2"/>
  <c r="D456" i="2"/>
  <c r="F456" i="2"/>
  <c r="G456" i="2"/>
  <c r="H456" i="2"/>
  <c r="J456" i="2"/>
  <c r="K456" i="2"/>
  <c r="L456" i="2"/>
  <c r="C457" i="2"/>
  <c r="D457" i="2"/>
  <c r="F457" i="2"/>
  <c r="G457" i="2"/>
  <c r="H457" i="2"/>
  <c r="J457" i="2"/>
  <c r="K457" i="2"/>
  <c r="L457" i="2"/>
  <c r="C458" i="2"/>
  <c r="D458" i="2"/>
  <c r="F458" i="2"/>
  <c r="G458" i="2"/>
  <c r="H458" i="2"/>
  <c r="J458" i="2"/>
  <c r="K458" i="2"/>
  <c r="L458" i="2"/>
  <c r="C459" i="2"/>
  <c r="D459" i="2"/>
  <c r="F459" i="2"/>
  <c r="G459" i="2"/>
  <c r="H459" i="2"/>
  <c r="J459" i="2"/>
  <c r="K459" i="2"/>
  <c r="L459" i="2"/>
  <c r="C460" i="2"/>
  <c r="D460" i="2"/>
  <c r="F460" i="2"/>
  <c r="G460" i="2"/>
  <c r="H460" i="2"/>
  <c r="J460" i="2"/>
  <c r="K460" i="2"/>
  <c r="L460" i="2"/>
  <c r="C461" i="2"/>
  <c r="D461" i="2"/>
  <c r="F461" i="2"/>
  <c r="G461" i="2"/>
  <c r="H461" i="2"/>
  <c r="J461" i="2"/>
  <c r="K461" i="2"/>
  <c r="L461" i="2"/>
  <c r="C462" i="2"/>
  <c r="D462" i="2"/>
  <c r="F462" i="2"/>
  <c r="G462" i="2"/>
  <c r="H462" i="2"/>
  <c r="J462" i="2"/>
  <c r="K462" i="2"/>
  <c r="L462" i="2"/>
  <c r="C463" i="2"/>
  <c r="D463" i="2"/>
  <c r="F463" i="2"/>
  <c r="G463" i="2"/>
  <c r="H463" i="2"/>
  <c r="J463" i="2"/>
  <c r="K463" i="2"/>
  <c r="L463" i="2"/>
  <c r="C464" i="2"/>
  <c r="D464" i="2"/>
  <c r="F464" i="2"/>
  <c r="G464" i="2"/>
  <c r="H464" i="2"/>
  <c r="J464" i="2"/>
  <c r="K464" i="2"/>
  <c r="L464" i="2"/>
  <c r="C465" i="2"/>
  <c r="D465" i="2"/>
  <c r="F465" i="2"/>
  <c r="G465" i="2"/>
  <c r="H465" i="2"/>
  <c r="J465" i="2"/>
  <c r="K465" i="2"/>
  <c r="L465" i="2"/>
  <c r="C466" i="2"/>
  <c r="D466" i="2"/>
  <c r="F466" i="2"/>
  <c r="G466" i="2"/>
  <c r="H466" i="2"/>
  <c r="J466" i="2"/>
  <c r="K466" i="2"/>
  <c r="L466" i="2"/>
  <c r="C467" i="2"/>
  <c r="D467" i="2"/>
  <c r="F467" i="2"/>
  <c r="G467" i="2"/>
  <c r="H467" i="2"/>
  <c r="J467" i="2"/>
  <c r="K467" i="2"/>
  <c r="L467" i="2"/>
  <c r="C468" i="2"/>
  <c r="D468" i="2"/>
  <c r="F468" i="2"/>
  <c r="G468" i="2"/>
  <c r="H468" i="2"/>
  <c r="J468" i="2"/>
  <c r="K468" i="2"/>
  <c r="L468" i="2"/>
  <c r="C469" i="2"/>
  <c r="D469" i="2"/>
  <c r="F469" i="2"/>
  <c r="G469" i="2"/>
  <c r="H469" i="2"/>
  <c r="J469" i="2"/>
  <c r="K469" i="2"/>
  <c r="L469" i="2"/>
  <c r="C470" i="2"/>
  <c r="D470" i="2"/>
  <c r="F470" i="2"/>
  <c r="G470" i="2"/>
  <c r="H470" i="2"/>
  <c r="J470" i="2"/>
  <c r="K470" i="2"/>
  <c r="L470" i="2"/>
  <c r="C471" i="2"/>
  <c r="D471" i="2"/>
  <c r="F471" i="2"/>
  <c r="G471" i="2"/>
  <c r="H471" i="2"/>
  <c r="J471" i="2"/>
  <c r="K471" i="2"/>
  <c r="L471" i="2"/>
  <c r="C472" i="2"/>
  <c r="D472" i="2"/>
  <c r="F472" i="2"/>
  <c r="G472" i="2"/>
  <c r="H472" i="2"/>
  <c r="J472" i="2"/>
  <c r="K472" i="2"/>
  <c r="L472" i="2"/>
  <c r="C473" i="2"/>
  <c r="D473" i="2"/>
  <c r="F473" i="2"/>
  <c r="G473" i="2"/>
  <c r="H473" i="2"/>
  <c r="J473" i="2"/>
  <c r="K473" i="2"/>
  <c r="L473" i="2"/>
  <c r="C474" i="2"/>
  <c r="D474" i="2"/>
  <c r="F474" i="2"/>
  <c r="G474" i="2"/>
  <c r="H474" i="2"/>
  <c r="J474" i="2"/>
  <c r="K474" i="2"/>
  <c r="L474" i="2"/>
  <c r="C475" i="2"/>
  <c r="D475" i="2"/>
  <c r="F475" i="2"/>
  <c r="G475" i="2"/>
  <c r="H475" i="2"/>
  <c r="J475" i="2"/>
  <c r="K475" i="2"/>
  <c r="L475" i="2"/>
  <c r="C476" i="2"/>
  <c r="D476" i="2"/>
  <c r="F476" i="2"/>
  <c r="G476" i="2"/>
  <c r="H476" i="2"/>
  <c r="J476" i="2"/>
  <c r="K476" i="2"/>
  <c r="L476" i="2"/>
  <c r="C477" i="2"/>
  <c r="D477" i="2"/>
  <c r="F477" i="2"/>
  <c r="G477" i="2"/>
  <c r="H477" i="2"/>
  <c r="J477" i="2"/>
  <c r="K477" i="2"/>
  <c r="L477" i="2"/>
  <c r="C478" i="2"/>
  <c r="D478" i="2"/>
  <c r="F478" i="2"/>
  <c r="G478" i="2"/>
  <c r="H478" i="2"/>
  <c r="J478" i="2"/>
  <c r="K478" i="2"/>
  <c r="L478" i="2"/>
  <c r="C479" i="2"/>
  <c r="D479" i="2"/>
  <c r="F479" i="2"/>
  <c r="G479" i="2"/>
  <c r="H479" i="2"/>
  <c r="J479" i="2"/>
  <c r="K479" i="2"/>
  <c r="L479" i="2"/>
  <c r="C480" i="2"/>
  <c r="D480" i="2"/>
  <c r="F480" i="2"/>
  <c r="G480" i="2"/>
  <c r="H480" i="2"/>
  <c r="J480" i="2"/>
  <c r="K480" i="2"/>
  <c r="L480" i="2"/>
  <c r="C481" i="2"/>
  <c r="D481" i="2"/>
  <c r="F481" i="2"/>
  <c r="G481" i="2"/>
  <c r="H481" i="2"/>
  <c r="J481" i="2"/>
  <c r="K481" i="2"/>
  <c r="L481" i="2"/>
  <c r="C482" i="2"/>
  <c r="D482" i="2"/>
  <c r="F482" i="2"/>
  <c r="G482" i="2"/>
  <c r="H482" i="2"/>
  <c r="J482" i="2"/>
  <c r="K482" i="2"/>
  <c r="L482" i="2"/>
  <c r="C483" i="2"/>
  <c r="D483" i="2"/>
  <c r="F483" i="2"/>
  <c r="G483" i="2"/>
  <c r="H483" i="2"/>
  <c r="J483" i="2"/>
  <c r="K483" i="2"/>
  <c r="L483" i="2"/>
  <c r="C484" i="2"/>
  <c r="D484" i="2"/>
  <c r="F484" i="2"/>
  <c r="G484" i="2"/>
  <c r="H484" i="2"/>
  <c r="J484" i="2"/>
  <c r="K484" i="2"/>
  <c r="L484" i="2"/>
  <c r="C485" i="2"/>
  <c r="D485" i="2"/>
  <c r="F485" i="2"/>
  <c r="G485" i="2"/>
  <c r="H485" i="2"/>
  <c r="J485" i="2"/>
  <c r="K485" i="2"/>
  <c r="L485" i="2"/>
  <c r="C486" i="2"/>
  <c r="D486" i="2"/>
  <c r="F486" i="2"/>
  <c r="G486" i="2"/>
  <c r="H486" i="2"/>
  <c r="J486" i="2"/>
  <c r="K486" i="2"/>
  <c r="L486" i="2"/>
  <c r="C487" i="2"/>
  <c r="D487" i="2"/>
  <c r="F487" i="2"/>
  <c r="G487" i="2"/>
  <c r="H487" i="2"/>
  <c r="J487" i="2"/>
  <c r="K487" i="2"/>
  <c r="L487" i="2"/>
  <c r="C488" i="2"/>
  <c r="D488" i="2"/>
  <c r="F488" i="2"/>
  <c r="G488" i="2"/>
  <c r="H488" i="2"/>
  <c r="J488" i="2"/>
  <c r="K488" i="2"/>
  <c r="L488" i="2"/>
  <c r="C489" i="2"/>
  <c r="D489" i="2"/>
  <c r="F489" i="2"/>
  <c r="G489" i="2"/>
  <c r="H489" i="2"/>
  <c r="J489" i="2"/>
  <c r="K489" i="2"/>
  <c r="L489" i="2"/>
  <c r="C490" i="2"/>
  <c r="D490" i="2"/>
  <c r="F490" i="2"/>
  <c r="G490" i="2"/>
  <c r="H490" i="2"/>
  <c r="J490" i="2"/>
  <c r="K490" i="2"/>
  <c r="L490" i="2"/>
  <c r="C491" i="2"/>
  <c r="D491" i="2"/>
  <c r="F491" i="2"/>
  <c r="G491" i="2"/>
  <c r="H491" i="2"/>
  <c r="J491" i="2"/>
  <c r="K491" i="2"/>
  <c r="L491" i="2"/>
  <c r="C492" i="2"/>
  <c r="D492" i="2"/>
  <c r="F492" i="2"/>
  <c r="G492" i="2"/>
  <c r="H492" i="2"/>
  <c r="J492" i="2"/>
  <c r="K492" i="2"/>
  <c r="L492" i="2"/>
  <c r="C493" i="2"/>
  <c r="D493" i="2"/>
  <c r="F493" i="2"/>
  <c r="G493" i="2"/>
  <c r="H493" i="2"/>
  <c r="J493" i="2"/>
  <c r="K493" i="2"/>
  <c r="L493" i="2"/>
  <c r="C494" i="2"/>
  <c r="D494" i="2"/>
  <c r="F494" i="2"/>
  <c r="G494" i="2"/>
  <c r="H494" i="2"/>
  <c r="J494" i="2"/>
  <c r="K494" i="2"/>
  <c r="L494" i="2"/>
  <c r="C495" i="2"/>
  <c r="D495" i="2"/>
  <c r="F495" i="2"/>
  <c r="G495" i="2"/>
  <c r="H495" i="2"/>
  <c r="J495" i="2"/>
  <c r="K495" i="2"/>
  <c r="L495" i="2"/>
  <c r="C496" i="2"/>
  <c r="D496" i="2"/>
  <c r="F496" i="2"/>
  <c r="G496" i="2"/>
  <c r="H496" i="2"/>
  <c r="J496" i="2"/>
  <c r="K496" i="2"/>
  <c r="L496" i="2"/>
  <c r="C497" i="2"/>
  <c r="D497" i="2"/>
  <c r="F497" i="2"/>
  <c r="G497" i="2"/>
  <c r="H497" i="2"/>
  <c r="J497" i="2"/>
  <c r="K497" i="2"/>
  <c r="L497" i="2"/>
  <c r="C498" i="2"/>
  <c r="D498" i="2"/>
  <c r="F498" i="2"/>
  <c r="G498" i="2"/>
  <c r="H498" i="2"/>
  <c r="J498" i="2"/>
  <c r="K498" i="2"/>
  <c r="L498" i="2"/>
  <c r="C499" i="2"/>
  <c r="D499" i="2"/>
  <c r="F499" i="2"/>
  <c r="G499" i="2"/>
  <c r="H499" i="2"/>
  <c r="J499" i="2"/>
  <c r="K499" i="2"/>
  <c r="L499" i="2"/>
  <c r="C500" i="2"/>
  <c r="D500" i="2"/>
  <c r="F500" i="2"/>
  <c r="G500" i="2"/>
  <c r="H500" i="2"/>
  <c r="J500" i="2"/>
  <c r="K500" i="2"/>
  <c r="L500" i="2"/>
  <c r="C501" i="2"/>
  <c r="D501" i="2"/>
  <c r="F501" i="2"/>
  <c r="G501" i="2"/>
  <c r="H501" i="2"/>
  <c r="J501" i="2"/>
  <c r="K501" i="2"/>
  <c r="L501" i="2"/>
  <c r="C502" i="2"/>
  <c r="D502" i="2"/>
  <c r="F502" i="2"/>
  <c r="G502" i="2"/>
  <c r="H502" i="2"/>
  <c r="J502" i="2"/>
  <c r="K502" i="2"/>
  <c r="L502" i="2"/>
  <c r="C503" i="2"/>
  <c r="D503" i="2"/>
  <c r="F503" i="2"/>
  <c r="G503" i="2"/>
  <c r="H503" i="2"/>
  <c r="J503" i="2"/>
  <c r="K503" i="2"/>
  <c r="L503" i="2"/>
  <c r="C504" i="2"/>
  <c r="D504" i="2"/>
  <c r="F504" i="2"/>
  <c r="G504" i="2"/>
  <c r="H504" i="2"/>
  <c r="J504" i="2"/>
  <c r="K504" i="2"/>
  <c r="L504" i="2"/>
  <c r="C505" i="2"/>
  <c r="D505" i="2"/>
  <c r="F505" i="2"/>
  <c r="G505" i="2"/>
  <c r="H505" i="2"/>
  <c r="J505" i="2"/>
  <c r="K505" i="2"/>
  <c r="L505" i="2"/>
  <c r="C506" i="2"/>
  <c r="D506" i="2"/>
  <c r="F506" i="2"/>
  <c r="G506" i="2"/>
  <c r="H506" i="2"/>
  <c r="J506" i="2"/>
  <c r="K506" i="2"/>
  <c r="L506" i="2"/>
  <c r="C507" i="2"/>
  <c r="D507" i="2"/>
  <c r="F507" i="2"/>
  <c r="G507" i="2"/>
  <c r="H507" i="2"/>
  <c r="J507" i="2"/>
  <c r="K507" i="2"/>
  <c r="L507" i="2"/>
  <c r="C508" i="2"/>
  <c r="D508" i="2"/>
  <c r="F508" i="2"/>
  <c r="G508" i="2"/>
  <c r="H508" i="2"/>
  <c r="J508" i="2"/>
  <c r="K508" i="2"/>
  <c r="L508" i="2"/>
  <c r="C509" i="2"/>
  <c r="D509" i="2"/>
  <c r="F509" i="2"/>
  <c r="G509" i="2"/>
  <c r="H509" i="2"/>
  <c r="J509" i="2"/>
  <c r="K509" i="2"/>
  <c r="L509" i="2"/>
  <c r="C510" i="2"/>
  <c r="D510" i="2"/>
  <c r="F510" i="2"/>
  <c r="G510" i="2"/>
  <c r="H510" i="2"/>
  <c r="J510" i="2"/>
  <c r="K510" i="2"/>
  <c r="L510" i="2"/>
  <c r="C511" i="2"/>
  <c r="D511" i="2"/>
  <c r="F511" i="2"/>
  <c r="G511" i="2"/>
  <c r="H511" i="2"/>
  <c r="J511" i="2"/>
  <c r="K511" i="2"/>
  <c r="L511" i="2"/>
  <c r="C512" i="2"/>
  <c r="D512" i="2"/>
  <c r="F512" i="2"/>
  <c r="G512" i="2"/>
  <c r="H512" i="2"/>
  <c r="J512" i="2"/>
  <c r="K512" i="2"/>
  <c r="L512" i="2"/>
  <c r="C513" i="2"/>
  <c r="D513" i="2"/>
  <c r="F513" i="2"/>
  <c r="G513" i="2"/>
  <c r="H513" i="2"/>
  <c r="J513" i="2"/>
  <c r="K513" i="2"/>
  <c r="L513" i="2"/>
  <c r="C514" i="2"/>
  <c r="D514" i="2"/>
  <c r="F514" i="2"/>
  <c r="G514" i="2"/>
  <c r="H514" i="2"/>
  <c r="J514" i="2"/>
  <c r="K514" i="2"/>
  <c r="L514" i="2"/>
  <c r="C515" i="2"/>
  <c r="D515" i="2"/>
  <c r="F515" i="2"/>
  <c r="G515" i="2"/>
  <c r="H515" i="2"/>
  <c r="J515" i="2"/>
  <c r="K515" i="2"/>
  <c r="L515" i="2"/>
  <c r="C516" i="2"/>
  <c r="D516" i="2"/>
  <c r="F516" i="2"/>
  <c r="G516" i="2"/>
  <c r="H516" i="2"/>
  <c r="J516" i="2"/>
  <c r="K516" i="2"/>
  <c r="L516" i="2"/>
  <c r="C517" i="2"/>
  <c r="D517" i="2"/>
  <c r="F517" i="2"/>
  <c r="G517" i="2"/>
  <c r="H517" i="2"/>
  <c r="J517" i="2"/>
  <c r="K517" i="2"/>
  <c r="L517" i="2"/>
  <c r="C518" i="2"/>
  <c r="D518" i="2"/>
  <c r="F518" i="2"/>
  <c r="G518" i="2"/>
  <c r="H518" i="2"/>
  <c r="J518" i="2"/>
  <c r="K518" i="2"/>
  <c r="L518" i="2"/>
  <c r="C519" i="2"/>
  <c r="D519" i="2"/>
  <c r="F519" i="2"/>
  <c r="G519" i="2"/>
  <c r="H519" i="2"/>
  <c r="J519" i="2"/>
  <c r="K519" i="2"/>
  <c r="L519" i="2"/>
  <c r="C520" i="2"/>
  <c r="D520" i="2"/>
  <c r="F520" i="2"/>
  <c r="G520" i="2"/>
  <c r="H520" i="2"/>
  <c r="J520" i="2"/>
  <c r="K520" i="2"/>
  <c r="L520" i="2"/>
  <c r="C521" i="2"/>
  <c r="D521" i="2"/>
  <c r="F521" i="2"/>
  <c r="G521" i="2"/>
  <c r="H521" i="2"/>
  <c r="J521" i="2"/>
  <c r="K521" i="2"/>
  <c r="L521" i="2"/>
  <c r="C522" i="2"/>
  <c r="D522" i="2"/>
  <c r="F522" i="2"/>
  <c r="G522" i="2"/>
  <c r="H522" i="2"/>
  <c r="J522" i="2"/>
  <c r="K522" i="2"/>
  <c r="L522" i="2"/>
  <c r="C523" i="2"/>
  <c r="D523" i="2"/>
  <c r="F523" i="2"/>
  <c r="G523" i="2"/>
  <c r="H523" i="2"/>
  <c r="J523" i="2"/>
  <c r="K523" i="2"/>
  <c r="L523" i="2"/>
  <c r="C524" i="2"/>
  <c r="D524" i="2"/>
  <c r="F524" i="2"/>
  <c r="G524" i="2"/>
  <c r="H524" i="2"/>
  <c r="J524" i="2"/>
  <c r="K524" i="2"/>
  <c r="L524" i="2"/>
  <c r="C525" i="2"/>
  <c r="D525" i="2"/>
  <c r="F525" i="2"/>
  <c r="G525" i="2"/>
  <c r="H525" i="2"/>
  <c r="J525" i="2"/>
  <c r="K525" i="2"/>
  <c r="L525" i="2"/>
  <c r="C526" i="2"/>
  <c r="D526" i="2"/>
  <c r="F526" i="2"/>
  <c r="G526" i="2"/>
  <c r="H526" i="2"/>
  <c r="J526" i="2"/>
  <c r="K526" i="2"/>
  <c r="L526" i="2"/>
  <c r="C527" i="2"/>
  <c r="D527" i="2"/>
  <c r="F527" i="2"/>
  <c r="G527" i="2"/>
  <c r="H527" i="2"/>
  <c r="J527" i="2"/>
  <c r="K527" i="2"/>
  <c r="L527" i="2"/>
  <c r="C528" i="2"/>
  <c r="D528" i="2"/>
  <c r="F528" i="2"/>
  <c r="G528" i="2"/>
  <c r="H528" i="2"/>
  <c r="J528" i="2"/>
  <c r="K528" i="2"/>
  <c r="L528" i="2"/>
  <c r="C529" i="2"/>
  <c r="D529" i="2"/>
  <c r="F529" i="2"/>
  <c r="G529" i="2"/>
  <c r="H529" i="2"/>
  <c r="J529" i="2"/>
  <c r="K529" i="2"/>
  <c r="L529" i="2"/>
  <c r="C530" i="2"/>
  <c r="D530" i="2"/>
  <c r="F530" i="2"/>
  <c r="G530" i="2"/>
  <c r="H530" i="2"/>
  <c r="J530" i="2"/>
  <c r="K530" i="2"/>
  <c r="L530" i="2"/>
  <c r="C531" i="2"/>
  <c r="D531" i="2"/>
  <c r="F531" i="2"/>
  <c r="G531" i="2"/>
  <c r="H531" i="2"/>
  <c r="J531" i="2"/>
  <c r="K531" i="2"/>
  <c r="L531" i="2"/>
  <c r="C532" i="2"/>
  <c r="D532" i="2"/>
  <c r="F532" i="2"/>
  <c r="G532" i="2"/>
  <c r="H532" i="2"/>
  <c r="J532" i="2"/>
  <c r="K532" i="2"/>
  <c r="L532" i="2"/>
  <c r="C533" i="2"/>
  <c r="D533" i="2"/>
  <c r="F533" i="2"/>
  <c r="G533" i="2"/>
  <c r="H533" i="2"/>
  <c r="J533" i="2"/>
  <c r="K533" i="2"/>
  <c r="L533" i="2"/>
  <c r="C534" i="2"/>
  <c r="D534" i="2"/>
  <c r="F534" i="2"/>
  <c r="G534" i="2"/>
  <c r="H534" i="2"/>
  <c r="J534" i="2"/>
  <c r="K534" i="2"/>
  <c r="L534" i="2"/>
  <c r="C535" i="2"/>
  <c r="D535" i="2"/>
  <c r="F535" i="2"/>
  <c r="G535" i="2"/>
  <c r="H535" i="2"/>
  <c r="J535" i="2"/>
  <c r="K535" i="2"/>
  <c r="L535" i="2"/>
  <c r="C536" i="2"/>
  <c r="D536" i="2"/>
  <c r="F536" i="2"/>
  <c r="G536" i="2"/>
  <c r="H536" i="2"/>
  <c r="J536" i="2"/>
  <c r="K536" i="2"/>
  <c r="L536" i="2"/>
  <c r="C537" i="2"/>
  <c r="D537" i="2"/>
  <c r="F537" i="2"/>
  <c r="G537" i="2"/>
  <c r="H537" i="2"/>
  <c r="J537" i="2"/>
  <c r="K537" i="2"/>
  <c r="L537" i="2"/>
  <c r="C538" i="2"/>
  <c r="D538" i="2"/>
  <c r="F538" i="2"/>
  <c r="G538" i="2"/>
  <c r="H538" i="2"/>
  <c r="J538" i="2"/>
  <c r="K538" i="2"/>
  <c r="L538" i="2"/>
  <c r="C539" i="2"/>
  <c r="D539" i="2"/>
  <c r="F539" i="2"/>
  <c r="G539" i="2"/>
  <c r="H539" i="2"/>
  <c r="J539" i="2"/>
  <c r="K539" i="2"/>
  <c r="L539" i="2"/>
  <c r="C540" i="2"/>
  <c r="D540" i="2"/>
  <c r="F540" i="2"/>
  <c r="G540" i="2"/>
  <c r="H540" i="2"/>
  <c r="J540" i="2"/>
  <c r="K540" i="2"/>
  <c r="L540" i="2"/>
  <c r="C541" i="2"/>
  <c r="D541" i="2"/>
  <c r="F541" i="2"/>
  <c r="G541" i="2"/>
  <c r="H541" i="2"/>
  <c r="J541" i="2"/>
  <c r="K541" i="2"/>
  <c r="L541" i="2"/>
  <c r="C542" i="2"/>
  <c r="D542" i="2"/>
  <c r="F542" i="2"/>
  <c r="G542" i="2"/>
  <c r="H542" i="2"/>
  <c r="J542" i="2"/>
  <c r="K542" i="2"/>
  <c r="L542" i="2"/>
  <c r="C543" i="2"/>
  <c r="D543" i="2"/>
  <c r="F543" i="2"/>
  <c r="G543" i="2"/>
  <c r="H543" i="2"/>
  <c r="J543" i="2"/>
  <c r="K543" i="2"/>
  <c r="L543" i="2"/>
  <c r="C544" i="2"/>
  <c r="D544" i="2"/>
  <c r="F544" i="2"/>
  <c r="G544" i="2"/>
  <c r="H544" i="2"/>
  <c r="J544" i="2"/>
  <c r="K544" i="2"/>
  <c r="L544" i="2"/>
  <c r="C545" i="2"/>
  <c r="D545" i="2"/>
  <c r="F545" i="2"/>
  <c r="G545" i="2"/>
  <c r="H545" i="2"/>
  <c r="J545" i="2"/>
  <c r="K545" i="2"/>
  <c r="L545" i="2"/>
  <c r="C546" i="2"/>
  <c r="D546" i="2"/>
  <c r="F546" i="2"/>
  <c r="G546" i="2"/>
  <c r="H546" i="2"/>
  <c r="J546" i="2"/>
  <c r="K546" i="2"/>
  <c r="L546" i="2"/>
  <c r="C547" i="2"/>
  <c r="D547" i="2"/>
  <c r="F547" i="2"/>
  <c r="G547" i="2"/>
  <c r="H547" i="2"/>
  <c r="J547" i="2"/>
  <c r="K547" i="2"/>
  <c r="L547" i="2"/>
  <c r="C548" i="2"/>
  <c r="D548" i="2"/>
  <c r="F548" i="2"/>
  <c r="G548" i="2"/>
  <c r="H548" i="2"/>
  <c r="J548" i="2"/>
  <c r="K548" i="2"/>
  <c r="L548" i="2"/>
  <c r="C549" i="2"/>
  <c r="D549" i="2"/>
  <c r="F549" i="2"/>
  <c r="G549" i="2"/>
  <c r="H549" i="2"/>
  <c r="J549" i="2"/>
  <c r="K549" i="2"/>
  <c r="L549" i="2"/>
  <c r="C550" i="2"/>
  <c r="D550" i="2"/>
  <c r="F550" i="2"/>
  <c r="G550" i="2"/>
  <c r="H550" i="2"/>
  <c r="J550" i="2"/>
  <c r="K550" i="2"/>
  <c r="L550" i="2"/>
  <c r="C551" i="2"/>
  <c r="D551" i="2"/>
  <c r="F551" i="2"/>
  <c r="G551" i="2"/>
  <c r="H551" i="2"/>
  <c r="J551" i="2"/>
  <c r="K551" i="2"/>
  <c r="L551" i="2"/>
  <c r="C552" i="2"/>
  <c r="D552" i="2"/>
  <c r="F552" i="2"/>
  <c r="G552" i="2"/>
  <c r="H552" i="2"/>
  <c r="J552" i="2"/>
  <c r="K552" i="2"/>
  <c r="L552" i="2"/>
  <c r="C553" i="2"/>
  <c r="D553" i="2"/>
  <c r="F553" i="2"/>
  <c r="G553" i="2"/>
  <c r="H553" i="2"/>
  <c r="J553" i="2"/>
  <c r="K553" i="2"/>
  <c r="L553" i="2"/>
  <c r="C554" i="2"/>
  <c r="D554" i="2"/>
  <c r="F554" i="2"/>
  <c r="G554" i="2"/>
  <c r="H554" i="2"/>
  <c r="J554" i="2"/>
  <c r="K554" i="2"/>
  <c r="L554" i="2"/>
  <c r="C555" i="2"/>
  <c r="D555" i="2"/>
  <c r="F555" i="2"/>
  <c r="G555" i="2"/>
  <c r="H555" i="2"/>
  <c r="J555" i="2"/>
  <c r="K555" i="2"/>
  <c r="L555" i="2"/>
  <c r="C556" i="2"/>
  <c r="D556" i="2"/>
  <c r="F556" i="2"/>
  <c r="G556" i="2"/>
  <c r="H556" i="2"/>
  <c r="J556" i="2"/>
  <c r="K556" i="2"/>
  <c r="L556" i="2"/>
  <c r="C557" i="2"/>
  <c r="D557" i="2"/>
  <c r="F557" i="2"/>
  <c r="G557" i="2"/>
  <c r="H557" i="2"/>
  <c r="J557" i="2"/>
  <c r="K557" i="2"/>
  <c r="L557" i="2"/>
  <c r="C558" i="2"/>
  <c r="D558" i="2"/>
  <c r="F558" i="2"/>
  <c r="G558" i="2"/>
  <c r="H558" i="2"/>
  <c r="J558" i="2"/>
  <c r="K558" i="2"/>
  <c r="L558" i="2"/>
  <c r="C559" i="2"/>
  <c r="D559" i="2"/>
  <c r="F559" i="2"/>
  <c r="G559" i="2"/>
  <c r="H559" i="2"/>
  <c r="J559" i="2"/>
  <c r="K559" i="2"/>
  <c r="L559" i="2"/>
  <c r="C560" i="2"/>
  <c r="D560" i="2"/>
  <c r="F560" i="2"/>
  <c r="G560" i="2"/>
  <c r="H560" i="2"/>
  <c r="J560" i="2"/>
  <c r="K560" i="2"/>
  <c r="L560" i="2"/>
  <c r="C561" i="2"/>
  <c r="D561" i="2"/>
  <c r="F561" i="2"/>
  <c r="G561" i="2"/>
  <c r="H561" i="2"/>
  <c r="J561" i="2"/>
  <c r="K561" i="2"/>
  <c r="L561" i="2"/>
  <c r="C562" i="2"/>
  <c r="D562" i="2"/>
  <c r="F562" i="2"/>
  <c r="G562" i="2"/>
  <c r="H562" i="2"/>
  <c r="J562" i="2"/>
  <c r="K562" i="2"/>
  <c r="L562" i="2"/>
  <c r="C563" i="2"/>
  <c r="D563" i="2"/>
  <c r="F563" i="2"/>
  <c r="G563" i="2"/>
  <c r="H563" i="2"/>
  <c r="J563" i="2"/>
  <c r="K563" i="2"/>
  <c r="L563" i="2"/>
  <c r="C564" i="2"/>
  <c r="D564" i="2"/>
  <c r="F564" i="2"/>
  <c r="G564" i="2"/>
  <c r="H564" i="2"/>
  <c r="J564" i="2"/>
  <c r="K564" i="2"/>
  <c r="L564" i="2"/>
  <c r="C565" i="2"/>
  <c r="D565" i="2"/>
  <c r="F565" i="2"/>
  <c r="G565" i="2"/>
  <c r="H565" i="2"/>
  <c r="J565" i="2"/>
  <c r="K565" i="2"/>
  <c r="L565" i="2"/>
  <c r="C566" i="2"/>
  <c r="D566" i="2"/>
  <c r="F566" i="2"/>
  <c r="G566" i="2"/>
  <c r="H566" i="2"/>
  <c r="J566" i="2"/>
  <c r="K566" i="2"/>
  <c r="L566" i="2"/>
  <c r="C567" i="2"/>
  <c r="D567" i="2"/>
  <c r="F567" i="2"/>
  <c r="G567" i="2"/>
  <c r="H567" i="2"/>
  <c r="J567" i="2"/>
  <c r="K567" i="2"/>
  <c r="L567" i="2"/>
  <c r="C568" i="2"/>
  <c r="D568" i="2"/>
  <c r="F568" i="2"/>
  <c r="G568" i="2"/>
  <c r="H568" i="2"/>
  <c r="J568" i="2"/>
  <c r="K568" i="2"/>
  <c r="L568" i="2"/>
  <c r="C569" i="2"/>
  <c r="D569" i="2"/>
  <c r="F569" i="2"/>
  <c r="G569" i="2"/>
  <c r="H569" i="2"/>
  <c r="J569" i="2"/>
  <c r="K569" i="2"/>
  <c r="L569" i="2"/>
  <c r="C570" i="2"/>
  <c r="D570" i="2"/>
  <c r="F570" i="2"/>
  <c r="G570" i="2"/>
  <c r="H570" i="2"/>
  <c r="J570" i="2"/>
  <c r="K570" i="2"/>
  <c r="L570" i="2"/>
  <c r="C571" i="2"/>
  <c r="D571" i="2"/>
  <c r="F571" i="2"/>
  <c r="G571" i="2"/>
  <c r="H571" i="2"/>
  <c r="J571" i="2"/>
  <c r="K571" i="2"/>
  <c r="L571" i="2"/>
  <c r="C572" i="2"/>
  <c r="D572" i="2"/>
  <c r="F572" i="2"/>
  <c r="G572" i="2"/>
  <c r="H572" i="2"/>
  <c r="J572" i="2"/>
  <c r="K572" i="2"/>
  <c r="L572" i="2"/>
  <c r="C573" i="2"/>
  <c r="D573" i="2"/>
  <c r="F573" i="2"/>
  <c r="G573" i="2"/>
  <c r="H573" i="2"/>
  <c r="J573" i="2"/>
  <c r="K573" i="2"/>
  <c r="L573" i="2"/>
  <c r="C574" i="2"/>
  <c r="D574" i="2"/>
  <c r="F574" i="2"/>
  <c r="G574" i="2"/>
  <c r="H574" i="2"/>
  <c r="J574" i="2"/>
  <c r="K574" i="2"/>
  <c r="L574" i="2"/>
  <c r="C575" i="2"/>
  <c r="D575" i="2"/>
  <c r="F575" i="2"/>
  <c r="G575" i="2"/>
  <c r="H575" i="2"/>
  <c r="J575" i="2"/>
  <c r="K575" i="2"/>
  <c r="L575" i="2"/>
  <c r="C576" i="2"/>
  <c r="D576" i="2"/>
  <c r="F576" i="2"/>
  <c r="G576" i="2"/>
  <c r="H576" i="2"/>
  <c r="J576" i="2"/>
  <c r="K576" i="2"/>
  <c r="L576" i="2"/>
  <c r="C577" i="2"/>
  <c r="D577" i="2"/>
  <c r="F577" i="2"/>
  <c r="G577" i="2"/>
  <c r="H577" i="2"/>
  <c r="J577" i="2"/>
  <c r="K577" i="2"/>
  <c r="L577" i="2"/>
  <c r="C578" i="2"/>
  <c r="D578" i="2"/>
  <c r="F578" i="2"/>
  <c r="G578" i="2"/>
  <c r="H578" i="2"/>
  <c r="J578" i="2"/>
  <c r="K578" i="2"/>
  <c r="L578" i="2"/>
  <c r="C579" i="2"/>
  <c r="D579" i="2"/>
  <c r="F579" i="2"/>
  <c r="G579" i="2"/>
  <c r="H579" i="2"/>
  <c r="J579" i="2"/>
  <c r="K579" i="2"/>
  <c r="L579" i="2"/>
  <c r="C580" i="2"/>
  <c r="D580" i="2"/>
  <c r="F580" i="2"/>
  <c r="G580" i="2"/>
  <c r="H580" i="2"/>
  <c r="J580" i="2"/>
  <c r="K580" i="2"/>
  <c r="L580" i="2"/>
  <c r="C581" i="2"/>
  <c r="D581" i="2"/>
  <c r="F581" i="2"/>
  <c r="G581" i="2"/>
  <c r="H581" i="2"/>
  <c r="J581" i="2"/>
  <c r="K581" i="2"/>
  <c r="L581" i="2"/>
  <c r="C582" i="2"/>
  <c r="D582" i="2"/>
  <c r="F582" i="2"/>
  <c r="G582" i="2"/>
  <c r="H582" i="2"/>
  <c r="J582" i="2"/>
  <c r="K582" i="2"/>
  <c r="L582" i="2"/>
  <c r="C583" i="2"/>
  <c r="D583" i="2"/>
  <c r="F583" i="2"/>
  <c r="G583" i="2"/>
  <c r="H583" i="2"/>
  <c r="J583" i="2"/>
  <c r="K583" i="2"/>
  <c r="L583" i="2"/>
  <c r="C584" i="2"/>
  <c r="D584" i="2"/>
  <c r="F584" i="2"/>
  <c r="G584" i="2"/>
  <c r="H584" i="2"/>
  <c r="J584" i="2"/>
  <c r="K584" i="2"/>
  <c r="L584" i="2"/>
  <c r="C585" i="2"/>
  <c r="D585" i="2"/>
  <c r="F585" i="2"/>
  <c r="G585" i="2"/>
  <c r="H585" i="2"/>
  <c r="J585" i="2"/>
  <c r="K585" i="2"/>
  <c r="L585" i="2"/>
  <c r="C586" i="2"/>
  <c r="D586" i="2"/>
  <c r="F586" i="2"/>
  <c r="G586" i="2"/>
  <c r="H586" i="2"/>
  <c r="J586" i="2"/>
  <c r="K586" i="2"/>
  <c r="L586" i="2"/>
  <c r="C587" i="2"/>
  <c r="D587" i="2"/>
  <c r="F587" i="2"/>
  <c r="G587" i="2"/>
  <c r="H587" i="2"/>
  <c r="J587" i="2"/>
  <c r="K587" i="2"/>
  <c r="L587" i="2"/>
  <c r="C588" i="2"/>
  <c r="D588" i="2"/>
  <c r="F588" i="2"/>
  <c r="G588" i="2"/>
  <c r="H588" i="2"/>
  <c r="J588" i="2"/>
  <c r="K588" i="2"/>
  <c r="L588" i="2"/>
  <c r="C589" i="2"/>
  <c r="D589" i="2"/>
  <c r="F589" i="2"/>
  <c r="G589" i="2"/>
  <c r="H589" i="2"/>
  <c r="J589" i="2"/>
  <c r="K589" i="2"/>
  <c r="L589" i="2"/>
  <c r="C590" i="2"/>
  <c r="D590" i="2"/>
  <c r="F590" i="2"/>
  <c r="G590" i="2"/>
  <c r="H590" i="2"/>
  <c r="J590" i="2"/>
  <c r="K590" i="2"/>
  <c r="L590" i="2"/>
  <c r="C591" i="2"/>
  <c r="D591" i="2"/>
  <c r="F591" i="2"/>
  <c r="G591" i="2"/>
  <c r="H591" i="2"/>
  <c r="J591" i="2"/>
  <c r="K591" i="2"/>
  <c r="L591" i="2"/>
  <c r="C592" i="2"/>
  <c r="D592" i="2"/>
  <c r="F592" i="2"/>
  <c r="G592" i="2"/>
  <c r="H592" i="2"/>
  <c r="J592" i="2"/>
  <c r="K592" i="2"/>
  <c r="L592" i="2"/>
  <c r="C593" i="2"/>
  <c r="D593" i="2"/>
  <c r="F593" i="2"/>
  <c r="G593" i="2"/>
  <c r="H593" i="2"/>
  <c r="J593" i="2"/>
  <c r="K593" i="2"/>
  <c r="L593" i="2"/>
  <c r="C594" i="2"/>
  <c r="D594" i="2"/>
  <c r="F594" i="2"/>
  <c r="G594" i="2"/>
  <c r="H594" i="2"/>
  <c r="J594" i="2"/>
  <c r="K594" i="2"/>
  <c r="L594" i="2"/>
  <c r="C595" i="2"/>
  <c r="D595" i="2"/>
  <c r="F595" i="2"/>
  <c r="G595" i="2"/>
  <c r="H595" i="2"/>
  <c r="J595" i="2"/>
  <c r="K595" i="2"/>
  <c r="L595" i="2"/>
  <c r="C596" i="2"/>
  <c r="D596" i="2"/>
  <c r="F596" i="2"/>
  <c r="G596" i="2"/>
  <c r="H596" i="2"/>
  <c r="J596" i="2"/>
  <c r="K596" i="2"/>
  <c r="L596" i="2"/>
  <c r="C597" i="2"/>
  <c r="D597" i="2"/>
  <c r="F597" i="2"/>
  <c r="G597" i="2"/>
  <c r="H597" i="2"/>
  <c r="J597" i="2"/>
  <c r="K597" i="2"/>
  <c r="L597" i="2"/>
  <c r="C598" i="2"/>
  <c r="D598" i="2"/>
  <c r="F598" i="2"/>
  <c r="G598" i="2"/>
  <c r="H598" i="2"/>
  <c r="J598" i="2"/>
  <c r="K598" i="2"/>
  <c r="L598" i="2"/>
  <c r="C599" i="2"/>
  <c r="D599" i="2"/>
  <c r="F599" i="2"/>
  <c r="G599" i="2"/>
  <c r="H599" i="2"/>
  <c r="J599" i="2"/>
  <c r="K599" i="2"/>
  <c r="L599" i="2"/>
  <c r="C600" i="2"/>
  <c r="D600" i="2"/>
  <c r="F600" i="2"/>
  <c r="G600" i="2"/>
  <c r="H600" i="2"/>
  <c r="J600" i="2"/>
  <c r="K600" i="2"/>
  <c r="L600" i="2"/>
  <c r="C601" i="2"/>
  <c r="D601" i="2"/>
  <c r="F601" i="2"/>
  <c r="G601" i="2"/>
  <c r="H601" i="2"/>
  <c r="J601" i="2"/>
  <c r="K601" i="2"/>
  <c r="L601" i="2"/>
  <c r="C602" i="2"/>
  <c r="D602" i="2"/>
  <c r="F602" i="2"/>
  <c r="G602" i="2"/>
  <c r="H602" i="2"/>
  <c r="J602" i="2"/>
  <c r="K602" i="2"/>
  <c r="L602" i="2"/>
  <c r="C603" i="2"/>
  <c r="D603" i="2"/>
  <c r="F603" i="2"/>
  <c r="G603" i="2"/>
  <c r="H603" i="2"/>
  <c r="J603" i="2"/>
  <c r="K603" i="2"/>
  <c r="L603" i="2"/>
  <c r="C604" i="2"/>
  <c r="D604" i="2"/>
  <c r="F604" i="2"/>
  <c r="G604" i="2"/>
  <c r="H604" i="2"/>
  <c r="J604" i="2"/>
  <c r="K604" i="2"/>
  <c r="L604" i="2"/>
  <c r="C605" i="2"/>
  <c r="D605" i="2"/>
  <c r="F605" i="2"/>
  <c r="G605" i="2"/>
  <c r="H605" i="2"/>
  <c r="J605" i="2"/>
  <c r="K605" i="2"/>
  <c r="L605" i="2"/>
  <c r="C606" i="2"/>
  <c r="D606" i="2"/>
  <c r="F606" i="2"/>
  <c r="G606" i="2"/>
  <c r="H606" i="2"/>
  <c r="J606" i="2"/>
  <c r="K606" i="2"/>
  <c r="L606" i="2"/>
  <c r="C607" i="2"/>
  <c r="D607" i="2"/>
  <c r="F607" i="2"/>
  <c r="G607" i="2"/>
  <c r="H607" i="2"/>
  <c r="J607" i="2"/>
  <c r="K607" i="2"/>
  <c r="L607" i="2"/>
  <c r="C608" i="2"/>
  <c r="D608" i="2"/>
  <c r="F608" i="2"/>
  <c r="G608" i="2"/>
  <c r="H608" i="2"/>
  <c r="J608" i="2"/>
  <c r="K608" i="2"/>
  <c r="L608" i="2"/>
  <c r="C609" i="2"/>
  <c r="D609" i="2"/>
  <c r="F609" i="2"/>
  <c r="G609" i="2"/>
  <c r="H609" i="2"/>
  <c r="J609" i="2"/>
  <c r="K609" i="2"/>
  <c r="L609" i="2"/>
  <c r="C610" i="2"/>
  <c r="D610" i="2"/>
  <c r="F610" i="2"/>
  <c r="G610" i="2"/>
  <c r="H610" i="2"/>
  <c r="J610" i="2"/>
  <c r="K610" i="2"/>
  <c r="L610" i="2"/>
  <c r="C611" i="2"/>
  <c r="D611" i="2"/>
  <c r="F611" i="2"/>
  <c r="G611" i="2"/>
  <c r="H611" i="2"/>
  <c r="J611" i="2"/>
  <c r="K611" i="2"/>
  <c r="L611" i="2"/>
  <c r="C612" i="2"/>
  <c r="D612" i="2"/>
  <c r="F612" i="2"/>
  <c r="G612" i="2"/>
  <c r="H612" i="2"/>
  <c r="J612" i="2"/>
  <c r="K612" i="2"/>
  <c r="L612" i="2"/>
  <c r="C613" i="2"/>
  <c r="D613" i="2"/>
  <c r="F613" i="2"/>
  <c r="G613" i="2"/>
  <c r="H613" i="2"/>
  <c r="J613" i="2"/>
  <c r="K613" i="2"/>
  <c r="L613" i="2"/>
  <c r="C614" i="2"/>
  <c r="D614" i="2"/>
  <c r="F614" i="2"/>
  <c r="G614" i="2"/>
  <c r="H614" i="2"/>
  <c r="J614" i="2"/>
  <c r="K614" i="2"/>
  <c r="L614" i="2"/>
  <c r="C615" i="2"/>
  <c r="D615" i="2"/>
  <c r="F615" i="2"/>
  <c r="G615" i="2"/>
  <c r="H615" i="2"/>
  <c r="J615" i="2"/>
  <c r="K615" i="2"/>
  <c r="L615" i="2"/>
  <c r="C616" i="2"/>
  <c r="D616" i="2"/>
  <c r="F616" i="2"/>
  <c r="G616" i="2"/>
  <c r="H616" i="2"/>
  <c r="J616" i="2"/>
  <c r="K616" i="2"/>
  <c r="L616" i="2"/>
  <c r="C617" i="2"/>
  <c r="D617" i="2"/>
  <c r="F617" i="2"/>
  <c r="G617" i="2"/>
  <c r="H617" i="2"/>
  <c r="J617" i="2"/>
  <c r="K617" i="2"/>
  <c r="L617" i="2"/>
  <c r="C618" i="2"/>
  <c r="D618" i="2"/>
  <c r="F618" i="2"/>
  <c r="G618" i="2"/>
  <c r="H618" i="2"/>
  <c r="J618" i="2"/>
  <c r="K618" i="2"/>
  <c r="L618" i="2"/>
  <c r="C619" i="2"/>
  <c r="D619" i="2"/>
  <c r="F619" i="2"/>
  <c r="G619" i="2"/>
  <c r="H619" i="2"/>
  <c r="J619" i="2"/>
  <c r="K619" i="2"/>
  <c r="L619" i="2"/>
  <c r="C620" i="2"/>
  <c r="D620" i="2"/>
  <c r="F620" i="2"/>
  <c r="G620" i="2"/>
  <c r="H620" i="2"/>
  <c r="J620" i="2"/>
  <c r="K620" i="2"/>
  <c r="L620" i="2"/>
  <c r="C621" i="2"/>
  <c r="D621" i="2"/>
  <c r="F621" i="2"/>
  <c r="G621" i="2"/>
  <c r="H621" i="2"/>
  <c r="J621" i="2"/>
  <c r="K621" i="2"/>
  <c r="L621" i="2"/>
  <c r="C622" i="2"/>
  <c r="D622" i="2"/>
  <c r="F622" i="2"/>
  <c r="G622" i="2"/>
  <c r="H622" i="2"/>
  <c r="J622" i="2"/>
  <c r="K622" i="2"/>
  <c r="L622" i="2"/>
  <c r="C623" i="2"/>
  <c r="D623" i="2"/>
  <c r="F623" i="2"/>
  <c r="G623" i="2"/>
  <c r="H623" i="2"/>
  <c r="J623" i="2"/>
  <c r="K623" i="2"/>
  <c r="L623" i="2"/>
  <c r="C624" i="2"/>
  <c r="D624" i="2"/>
  <c r="F624" i="2"/>
  <c r="G624" i="2"/>
  <c r="H624" i="2"/>
  <c r="J624" i="2"/>
  <c r="K624" i="2"/>
  <c r="L624" i="2"/>
  <c r="C625" i="2"/>
  <c r="D625" i="2"/>
  <c r="F625" i="2"/>
  <c r="G625" i="2"/>
  <c r="H625" i="2"/>
  <c r="J625" i="2"/>
  <c r="K625" i="2"/>
  <c r="L625" i="2"/>
  <c r="C626" i="2"/>
  <c r="D626" i="2"/>
  <c r="F626" i="2"/>
  <c r="G626" i="2"/>
  <c r="H626" i="2"/>
  <c r="J626" i="2"/>
  <c r="K626" i="2"/>
  <c r="L626" i="2"/>
  <c r="C627" i="2"/>
  <c r="D627" i="2"/>
  <c r="F627" i="2"/>
  <c r="G627" i="2"/>
  <c r="H627" i="2"/>
  <c r="J627" i="2"/>
  <c r="K627" i="2"/>
  <c r="L627" i="2"/>
  <c r="C628" i="2"/>
  <c r="D628" i="2"/>
  <c r="F628" i="2"/>
  <c r="G628" i="2"/>
  <c r="H628" i="2"/>
  <c r="J628" i="2"/>
  <c r="K628" i="2"/>
  <c r="L628" i="2"/>
  <c r="C629" i="2"/>
  <c r="D629" i="2"/>
  <c r="F629" i="2"/>
  <c r="G629" i="2"/>
  <c r="H629" i="2"/>
  <c r="J629" i="2"/>
  <c r="K629" i="2"/>
  <c r="L629" i="2"/>
  <c r="C630" i="2"/>
  <c r="D630" i="2"/>
  <c r="F630" i="2"/>
  <c r="G630" i="2"/>
  <c r="H630" i="2"/>
  <c r="J630" i="2"/>
  <c r="K630" i="2"/>
  <c r="L630" i="2"/>
  <c r="C631" i="2"/>
  <c r="D631" i="2"/>
  <c r="F631" i="2"/>
  <c r="G631" i="2"/>
  <c r="H631" i="2"/>
  <c r="J631" i="2"/>
  <c r="K631" i="2"/>
  <c r="L631" i="2"/>
  <c r="C632" i="2"/>
  <c r="D632" i="2"/>
  <c r="F632" i="2"/>
  <c r="G632" i="2"/>
  <c r="H632" i="2"/>
  <c r="J632" i="2"/>
  <c r="K632" i="2"/>
  <c r="L632" i="2"/>
  <c r="C633" i="2"/>
  <c r="D633" i="2"/>
  <c r="F633" i="2"/>
  <c r="G633" i="2"/>
  <c r="H633" i="2"/>
  <c r="J633" i="2"/>
  <c r="K633" i="2"/>
  <c r="L633" i="2"/>
  <c r="C634" i="2"/>
  <c r="D634" i="2"/>
  <c r="F634" i="2"/>
  <c r="G634" i="2"/>
  <c r="H634" i="2"/>
  <c r="J634" i="2"/>
  <c r="K634" i="2"/>
  <c r="L634" i="2"/>
  <c r="C635" i="2"/>
  <c r="D635" i="2"/>
  <c r="F635" i="2"/>
  <c r="G635" i="2"/>
  <c r="H635" i="2"/>
  <c r="J635" i="2"/>
  <c r="K635" i="2"/>
  <c r="L635" i="2"/>
  <c r="C636" i="2"/>
  <c r="D636" i="2"/>
  <c r="F636" i="2"/>
  <c r="G636" i="2"/>
  <c r="H636" i="2"/>
  <c r="J636" i="2"/>
  <c r="K636" i="2"/>
  <c r="L636" i="2"/>
  <c r="C637" i="2"/>
  <c r="D637" i="2"/>
  <c r="F637" i="2"/>
  <c r="G637" i="2"/>
  <c r="H637" i="2"/>
  <c r="J637" i="2"/>
  <c r="K637" i="2"/>
  <c r="L637" i="2"/>
  <c r="C638" i="2"/>
  <c r="D638" i="2"/>
  <c r="F638" i="2"/>
  <c r="G638" i="2"/>
  <c r="H638" i="2"/>
  <c r="J638" i="2"/>
  <c r="K638" i="2"/>
  <c r="L638" i="2"/>
  <c r="C639" i="2"/>
  <c r="D639" i="2"/>
  <c r="F639" i="2"/>
  <c r="G639" i="2"/>
  <c r="H639" i="2"/>
  <c r="J639" i="2"/>
  <c r="K639" i="2"/>
  <c r="L639" i="2"/>
  <c r="C640" i="2"/>
  <c r="D640" i="2"/>
  <c r="F640" i="2"/>
  <c r="G640" i="2"/>
  <c r="H640" i="2"/>
  <c r="J640" i="2"/>
  <c r="K640" i="2"/>
  <c r="L640" i="2"/>
  <c r="C641" i="2"/>
  <c r="D641" i="2"/>
  <c r="F641" i="2"/>
  <c r="G641" i="2"/>
  <c r="H641" i="2"/>
  <c r="J641" i="2"/>
  <c r="K641" i="2"/>
  <c r="L641" i="2"/>
  <c r="C642" i="2"/>
  <c r="D642" i="2"/>
  <c r="F642" i="2"/>
  <c r="G642" i="2"/>
  <c r="H642" i="2"/>
  <c r="J642" i="2"/>
  <c r="K642" i="2"/>
  <c r="L642" i="2"/>
  <c r="C643" i="2"/>
  <c r="D643" i="2"/>
  <c r="F643" i="2"/>
  <c r="G643" i="2"/>
  <c r="H643" i="2"/>
  <c r="J643" i="2"/>
  <c r="K643" i="2"/>
  <c r="L643" i="2"/>
  <c r="C644" i="2"/>
  <c r="D644" i="2"/>
  <c r="F644" i="2"/>
  <c r="G644" i="2"/>
  <c r="H644" i="2"/>
  <c r="J644" i="2"/>
  <c r="K644" i="2"/>
  <c r="L644" i="2"/>
  <c r="C645" i="2"/>
  <c r="D645" i="2"/>
  <c r="F645" i="2"/>
  <c r="G645" i="2"/>
  <c r="H645" i="2"/>
  <c r="J645" i="2"/>
  <c r="K645" i="2"/>
  <c r="L645" i="2"/>
  <c r="C646" i="2"/>
  <c r="D646" i="2"/>
  <c r="F646" i="2"/>
  <c r="G646" i="2"/>
  <c r="H646" i="2"/>
  <c r="J646" i="2"/>
  <c r="K646" i="2"/>
  <c r="L646" i="2"/>
  <c r="C647" i="2"/>
  <c r="D647" i="2"/>
  <c r="F647" i="2"/>
  <c r="G647" i="2"/>
  <c r="H647" i="2"/>
  <c r="J647" i="2"/>
  <c r="K647" i="2"/>
  <c r="L647" i="2"/>
  <c r="C648" i="2"/>
  <c r="D648" i="2"/>
  <c r="F648" i="2"/>
  <c r="G648" i="2"/>
  <c r="H648" i="2"/>
  <c r="J648" i="2"/>
  <c r="K648" i="2"/>
  <c r="L648" i="2"/>
  <c r="C649" i="2"/>
  <c r="D649" i="2"/>
  <c r="F649" i="2"/>
  <c r="G649" i="2"/>
  <c r="H649" i="2"/>
  <c r="J649" i="2"/>
  <c r="K649" i="2"/>
  <c r="L649" i="2"/>
  <c r="C650" i="2"/>
  <c r="D650" i="2"/>
  <c r="F650" i="2"/>
  <c r="G650" i="2"/>
  <c r="H650" i="2"/>
  <c r="J650" i="2"/>
  <c r="K650" i="2"/>
  <c r="L650" i="2"/>
  <c r="C651" i="2"/>
  <c r="D651" i="2"/>
  <c r="F651" i="2"/>
  <c r="G651" i="2"/>
  <c r="H651" i="2"/>
  <c r="J651" i="2"/>
  <c r="K651" i="2"/>
  <c r="L651" i="2"/>
  <c r="C652" i="2"/>
  <c r="D652" i="2"/>
  <c r="F652" i="2"/>
  <c r="G652" i="2"/>
  <c r="H652" i="2"/>
  <c r="J652" i="2"/>
  <c r="K652" i="2"/>
  <c r="L652" i="2"/>
  <c r="C653" i="2"/>
  <c r="D653" i="2"/>
  <c r="F653" i="2"/>
  <c r="G653" i="2"/>
  <c r="H653" i="2"/>
  <c r="J653" i="2"/>
  <c r="K653" i="2"/>
  <c r="L653" i="2"/>
  <c r="C654" i="2"/>
  <c r="D654" i="2"/>
  <c r="F654" i="2"/>
  <c r="G654" i="2"/>
  <c r="H654" i="2"/>
  <c r="J654" i="2"/>
  <c r="K654" i="2"/>
  <c r="L654" i="2"/>
  <c r="C655" i="2"/>
  <c r="D655" i="2"/>
  <c r="F655" i="2"/>
  <c r="G655" i="2"/>
  <c r="H655" i="2"/>
  <c r="J655" i="2"/>
  <c r="K655" i="2"/>
  <c r="L655" i="2"/>
  <c r="C656" i="2"/>
  <c r="D656" i="2"/>
  <c r="F656" i="2"/>
  <c r="G656" i="2"/>
  <c r="H656" i="2"/>
  <c r="J656" i="2"/>
  <c r="K656" i="2"/>
  <c r="L656" i="2"/>
  <c r="C657" i="2"/>
  <c r="D657" i="2"/>
  <c r="F657" i="2"/>
  <c r="G657" i="2"/>
  <c r="H657" i="2"/>
  <c r="J657" i="2"/>
  <c r="K657" i="2"/>
  <c r="L657" i="2"/>
  <c r="C658" i="2"/>
  <c r="D658" i="2"/>
  <c r="F658" i="2"/>
  <c r="G658" i="2"/>
  <c r="H658" i="2"/>
  <c r="J658" i="2"/>
  <c r="K658" i="2"/>
  <c r="L658" i="2"/>
  <c r="C659" i="2"/>
  <c r="D659" i="2"/>
  <c r="F659" i="2"/>
  <c r="G659" i="2"/>
  <c r="H659" i="2"/>
  <c r="J659" i="2"/>
  <c r="K659" i="2"/>
  <c r="L659" i="2"/>
  <c r="C660" i="2"/>
  <c r="D660" i="2"/>
  <c r="F660" i="2"/>
  <c r="G660" i="2"/>
  <c r="H660" i="2"/>
  <c r="J660" i="2"/>
  <c r="K660" i="2"/>
  <c r="L660" i="2"/>
  <c r="C661" i="2"/>
  <c r="D661" i="2"/>
  <c r="F661" i="2"/>
  <c r="G661" i="2"/>
  <c r="H661" i="2"/>
  <c r="J661" i="2"/>
  <c r="K661" i="2"/>
  <c r="L661" i="2"/>
  <c r="C662" i="2"/>
  <c r="D662" i="2"/>
  <c r="F662" i="2"/>
  <c r="G662" i="2"/>
  <c r="H662" i="2"/>
  <c r="J662" i="2"/>
  <c r="K662" i="2"/>
  <c r="L662" i="2"/>
  <c r="C663" i="2"/>
  <c r="D663" i="2"/>
  <c r="F663" i="2"/>
  <c r="G663" i="2"/>
  <c r="H663" i="2"/>
  <c r="J663" i="2"/>
  <c r="K663" i="2"/>
  <c r="L663" i="2"/>
  <c r="C664" i="2"/>
  <c r="D664" i="2"/>
  <c r="F664" i="2"/>
  <c r="G664" i="2"/>
  <c r="H664" i="2"/>
  <c r="J664" i="2"/>
  <c r="K664" i="2"/>
  <c r="L664" i="2"/>
  <c r="C665" i="2"/>
  <c r="D665" i="2"/>
  <c r="F665" i="2"/>
  <c r="G665" i="2"/>
  <c r="H665" i="2"/>
  <c r="J665" i="2"/>
  <c r="K665" i="2"/>
  <c r="L665" i="2"/>
  <c r="C666" i="2"/>
  <c r="D666" i="2"/>
  <c r="F666" i="2"/>
  <c r="G666" i="2"/>
  <c r="H666" i="2"/>
  <c r="J666" i="2"/>
  <c r="K666" i="2"/>
  <c r="L666" i="2"/>
  <c r="C667" i="2"/>
  <c r="D667" i="2"/>
  <c r="F667" i="2"/>
  <c r="G667" i="2"/>
  <c r="H667" i="2"/>
  <c r="J667" i="2"/>
  <c r="K667" i="2"/>
  <c r="L667" i="2"/>
  <c r="C668" i="2"/>
  <c r="D668" i="2"/>
  <c r="F668" i="2"/>
  <c r="G668" i="2"/>
  <c r="H668" i="2"/>
  <c r="J668" i="2"/>
  <c r="K668" i="2"/>
  <c r="L668" i="2"/>
  <c r="C669" i="2"/>
  <c r="D669" i="2"/>
  <c r="F669" i="2"/>
  <c r="G669" i="2"/>
  <c r="H669" i="2"/>
  <c r="J669" i="2"/>
  <c r="K669" i="2"/>
  <c r="L669" i="2"/>
  <c r="C670" i="2"/>
  <c r="D670" i="2"/>
  <c r="F670" i="2"/>
  <c r="G670" i="2"/>
  <c r="H670" i="2"/>
  <c r="J670" i="2"/>
  <c r="K670" i="2"/>
  <c r="L670" i="2"/>
  <c r="C671" i="2"/>
  <c r="D671" i="2"/>
  <c r="F671" i="2"/>
  <c r="G671" i="2"/>
  <c r="H671" i="2"/>
  <c r="J671" i="2"/>
  <c r="K671" i="2"/>
  <c r="L671" i="2"/>
  <c r="C672" i="2"/>
  <c r="D672" i="2"/>
  <c r="F672" i="2"/>
  <c r="G672" i="2"/>
  <c r="H672" i="2"/>
  <c r="J672" i="2"/>
  <c r="K672" i="2"/>
  <c r="L672" i="2"/>
  <c r="C673" i="2"/>
  <c r="D673" i="2"/>
  <c r="F673" i="2"/>
  <c r="G673" i="2"/>
  <c r="H673" i="2"/>
  <c r="J673" i="2"/>
  <c r="K673" i="2"/>
  <c r="L673" i="2"/>
  <c r="C674" i="2"/>
  <c r="D674" i="2"/>
  <c r="F674" i="2"/>
  <c r="G674" i="2"/>
  <c r="H674" i="2"/>
  <c r="J674" i="2"/>
  <c r="K674" i="2"/>
  <c r="L674" i="2"/>
  <c r="C675" i="2"/>
  <c r="D675" i="2"/>
  <c r="F675" i="2"/>
  <c r="G675" i="2"/>
  <c r="H675" i="2"/>
  <c r="J675" i="2"/>
  <c r="K675" i="2"/>
  <c r="L675" i="2"/>
  <c r="C676" i="2"/>
  <c r="D676" i="2"/>
  <c r="F676" i="2"/>
  <c r="G676" i="2"/>
  <c r="H676" i="2"/>
  <c r="J676" i="2"/>
  <c r="K676" i="2"/>
  <c r="L676" i="2"/>
  <c r="C677" i="2"/>
  <c r="D677" i="2"/>
  <c r="F677" i="2"/>
  <c r="G677" i="2"/>
  <c r="H677" i="2"/>
  <c r="J677" i="2"/>
  <c r="K677" i="2"/>
  <c r="L677" i="2"/>
  <c r="C678" i="2"/>
  <c r="D678" i="2"/>
  <c r="F678" i="2"/>
  <c r="G678" i="2"/>
  <c r="H678" i="2"/>
  <c r="J678" i="2"/>
  <c r="K678" i="2"/>
  <c r="L678" i="2"/>
  <c r="C679" i="2"/>
  <c r="D679" i="2"/>
  <c r="F679" i="2"/>
  <c r="G679" i="2"/>
  <c r="H679" i="2"/>
  <c r="J679" i="2"/>
  <c r="K679" i="2"/>
  <c r="L679" i="2"/>
  <c r="C680" i="2"/>
  <c r="D680" i="2"/>
  <c r="F680" i="2"/>
  <c r="G680" i="2"/>
  <c r="H680" i="2"/>
  <c r="J680" i="2"/>
  <c r="K680" i="2"/>
  <c r="L680" i="2"/>
  <c r="C681" i="2"/>
  <c r="D681" i="2"/>
  <c r="F681" i="2"/>
  <c r="G681" i="2"/>
  <c r="H681" i="2"/>
  <c r="J681" i="2"/>
  <c r="K681" i="2"/>
  <c r="L681" i="2"/>
  <c r="C682" i="2"/>
  <c r="D682" i="2"/>
  <c r="F682" i="2"/>
  <c r="G682" i="2"/>
  <c r="H682" i="2"/>
  <c r="J682" i="2"/>
  <c r="K682" i="2"/>
  <c r="L682" i="2"/>
  <c r="C683" i="2"/>
  <c r="D683" i="2"/>
  <c r="F683" i="2"/>
  <c r="G683" i="2"/>
  <c r="H683" i="2"/>
  <c r="J683" i="2"/>
  <c r="K683" i="2"/>
  <c r="L683" i="2"/>
  <c r="C684" i="2"/>
  <c r="D684" i="2"/>
  <c r="F684" i="2"/>
  <c r="G684" i="2"/>
  <c r="H684" i="2"/>
  <c r="J684" i="2"/>
  <c r="K684" i="2"/>
  <c r="L684" i="2"/>
  <c r="C685" i="2"/>
  <c r="D685" i="2"/>
  <c r="F685" i="2"/>
  <c r="G685" i="2"/>
  <c r="H685" i="2"/>
  <c r="J685" i="2"/>
  <c r="K685" i="2"/>
  <c r="L685" i="2"/>
  <c r="C686" i="2"/>
  <c r="D686" i="2"/>
  <c r="F686" i="2"/>
  <c r="G686" i="2"/>
  <c r="H686" i="2"/>
  <c r="J686" i="2"/>
  <c r="K686" i="2"/>
  <c r="L686" i="2"/>
  <c r="C687" i="2"/>
  <c r="D687" i="2"/>
  <c r="F687" i="2"/>
  <c r="G687" i="2"/>
  <c r="H687" i="2"/>
  <c r="J687" i="2"/>
  <c r="K687" i="2"/>
  <c r="L687" i="2"/>
  <c r="C688" i="2"/>
  <c r="D688" i="2"/>
  <c r="F688" i="2"/>
  <c r="G688" i="2"/>
  <c r="H688" i="2"/>
  <c r="J688" i="2"/>
  <c r="K688" i="2"/>
  <c r="L688" i="2"/>
  <c r="C689" i="2"/>
  <c r="D689" i="2"/>
  <c r="F689" i="2"/>
  <c r="G689" i="2"/>
  <c r="H689" i="2"/>
  <c r="J689" i="2"/>
  <c r="K689" i="2"/>
  <c r="L689" i="2"/>
  <c r="C690" i="2"/>
  <c r="D690" i="2"/>
  <c r="E690" i="2"/>
  <c r="F690" i="2"/>
  <c r="G690" i="2"/>
  <c r="H690" i="2"/>
  <c r="J690" i="2"/>
  <c r="K690" i="2"/>
  <c r="L690" i="2"/>
  <c r="C691" i="2"/>
  <c r="D691" i="2"/>
  <c r="F691" i="2"/>
  <c r="G691" i="2"/>
  <c r="H691" i="2"/>
  <c r="J691" i="2"/>
  <c r="K691" i="2"/>
  <c r="L691" i="2"/>
  <c r="C692" i="2"/>
  <c r="D692" i="2"/>
  <c r="F692" i="2"/>
  <c r="G692" i="2"/>
  <c r="H692" i="2"/>
  <c r="J692" i="2"/>
  <c r="K692" i="2"/>
  <c r="L692" i="2"/>
  <c r="C693" i="2"/>
  <c r="D693" i="2"/>
  <c r="F693" i="2"/>
  <c r="G693" i="2"/>
  <c r="H693" i="2"/>
  <c r="J693" i="2"/>
  <c r="K693" i="2"/>
  <c r="L693" i="2"/>
  <c r="C694" i="2"/>
  <c r="D694" i="2"/>
  <c r="F694" i="2"/>
  <c r="G694" i="2"/>
  <c r="H694" i="2"/>
  <c r="J694" i="2"/>
  <c r="K694" i="2"/>
  <c r="L694" i="2"/>
  <c r="C695" i="2"/>
  <c r="D695" i="2"/>
  <c r="F695" i="2"/>
  <c r="G695" i="2"/>
  <c r="H695" i="2"/>
  <c r="J695" i="2"/>
  <c r="K695" i="2"/>
  <c r="L695" i="2"/>
  <c r="C696" i="2"/>
  <c r="D696" i="2"/>
  <c r="F696" i="2"/>
  <c r="G696" i="2"/>
  <c r="H696" i="2"/>
  <c r="J696" i="2"/>
  <c r="K696" i="2"/>
  <c r="L696" i="2"/>
  <c r="C697" i="2"/>
  <c r="D697" i="2"/>
  <c r="F697" i="2"/>
  <c r="G697" i="2"/>
  <c r="H697" i="2"/>
  <c r="J697" i="2"/>
  <c r="K697" i="2"/>
  <c r="L697" i="2"/>
  <c r="C698" i="2"/>
  <c r="D698" i="2"/>
  <c r="F698" i="2"/>
  <c r="G698" i="2"/>
  <c r="H698" i="2"/>
  <c r="J698" i="2"/>
  <c r="K698" i="2"/>
  <c r="L698" i="2"/>
  <c r="C699" i="2"/>
  <c r="D699" i="2"/>
  <c r="F699" i="2"/>
  <c r="G699" i="2"/>
  <c r="H699" i="2"/>
  <c r="J699" i="2"/>
  <c r="K699" i="2"/>
  <c r="L699" i="2"/>
  <c r="C700" i="2"/>
  <c r="D700" i="2"/>
  <c r="F700" i="2"/>
  <c r="G700" i="2"/>
  <c r="H700" i="2"/>
  <c r="J700" i="2"/>
  <c r="K700" i="2"/>
  <c r="L700" i="2"/>
  <c r="C701" i="2"/>
  <c r="D701" i="2"/>
  <c r="F701" i="2"/>
  <c r="G701" i="2"/>
  <c r="H701" i="2"/>
  <c r="J701" i="2"/>
  <c r="K701" i="2"/>
  <c r="L701" i="2"/>
  <c r="C702" i="2"/>
  <c r="D702" i="2"/>
  <c r="F702" i="2"/>
  <c r="G702" i="2"/>
  <c r="H702" i="2"/>
  <c r="J702" i="2"/>
  <c r="K702" i="2"/>
  <c r="L702" i="2"/>
  <c r="C703" i="2"/>
  <c r="D703" i="2"/>
  <c r="F703" i="2"/>
  <c r="G703" i="2"/>
  <c r="H703" i="2"/>
  <c r="J703" i="2"/>
  <c r="K703" i="2"/>
  <c r="L703" i="2"/>
  <c r="C704" i="2"/>
  <c r="D704" i="2"/>
  <c r="F704" i="2"/>
  <c r="G704" i="2"/>
  <c r="H704" i="2"/>
  <c r="J704" i="2"/>
  <c r="K704" i="2"/>
  <c r="L704" i="2"/>
  <c r="C705" i="2"/>
  <c r="D705" i="2"/>
  <c r="F705" i="2"/>
  <c r="G705" i="2"/>
  <c r="H705" i="2"/>
  <c r="J705" i="2"/>
  <c r="K705" i="2"/>
  <c r="L705" i="2"/>
  <c r="C706" i="2"/>
  <c r="D706" i="2"/>
  <c r="F706" i="2"/>
  <c r="G706" i="2"/>
  <c r="H706" i="2"/>
  <c r="J706" i="2"/>
  <c r="K706" i="2"/>
  <c r="L706" i="2"/>
  <c r="C707" i="2"/>
  <c r="D707" i="2"/>
  <c r="F707" i="2"/>
  <c r="G707" i="2"/>
  <c r="H707" i="2"/>
  <c r="J707" i="2"/>
  <c r="K707" i="2"/>
  <c r="L707" i="2"/>
  <c r="C708" i="2"/>
  <c r="D708" i="2"/>
  <c r="F708" i="2"/>
  <c r="G708" i="2"/>
  <c r="H708" i="2"/>
  <c r="J708" i="2"/>
  <c r="K708" i="2"/>
  <c r="L708" i="2"/>
  <c r="C709" i="2"/>
  <c r="D709" i="2"/>
  <c r="F709" i="2"/>
  <c r="G709" i="2"/>
  <c r="H709" i="2"/>
  <c r="J709" i="2"/>
  <c r="K709" i="2"/>
  <c r="L709" i="2"/>
  <c r="C710" i="2"/>
  <c r="D710" i="2"/>
  <c r="F710" i="2"/>
  <c r="G710" i="2"/>
  <c r="H710" i="2"/>
  <c r="J710" i="2"/>
  <c r="K710" i="2"/>
  <c r="L710" i="2"/>
  <c r="C711" i="2"/>
  <c r="D711" i="2"/>
  <c r="F711" i="2"/>
  <c r="G711" i="2"/>
  <c r="H711" i="2"/>
  <c r="J711" i="2"/>
  <c r="K711" i="2"/>
  <c r="L711" i="2"/>
  <c r="C712" i="2"/>
  <c r="D712" i="2"/>
  <c r="F712" i="2"/>
  <c r="G712" i="2"/>
  <c r="H712" i="2"/>
  <c r="J712" i="2"/>
  <c r="K712" i="2"/>
  <c r="L712" i="2"/>
  <c r="C713" i="2"/>
  <c r="D713" i="2"/>
  <c r="F713" i="2"/>
  <c r="G713" i="2"/>
  <c r="H713" i="2"/>
  <c r="J713" i="2"/>
  <c r="K713" i="2"/>
  <c r="L713" i="2"/>
  <c r="C714" i="2"/>
  <c r="D714" i="2"/>
  <c r="F714" i="2"/>
  <c r="G714" i="2"/>
  <c r="H714" i="2"/>
  <c r="J714" i="2"/>
  <c r="K714" i="2"/>
  <c r="L714" i="2"/>
  <c r="C715" i="2"/>
  <c r="D715" i="2"/>
  <c r="F715" i="2"/>
  <c r="G715" i="2"/>
  <c r="H715" i="2"/>
  <c r="J715" i="2"/>
  <c r="K715" i="2"/>
  <c r="L715" i="2"/>
  <c r="C716" i="2"/>
  <c r="D716" i="2"/>
  <c r="F716" i="2"/>
  <c r="G716" i="2"/>
  <c r="H716" i="2"/>
  <c r="J716" i="2"/>
  <c r="K716" i="2"/>
  <c r="L716" i="2"/>
  <c r="C717" i="2"/>
  <c r="D717" i="2"/>
  <c r="F717" i="2"/>
  <c r="G717" i="2"/>
  <c r="H717" i="2"/>
  <c r="J717" i="2"/>
  <c r="K717" i="2"/>
  <c r="L717" i="2"/>
  <c r="C718" i="2"/>
  <c r="D718" i="2"/>
  <c r="F718" i="2"/>
  <c r="G718" i="2"/>
  <c r="H718" i="2"/>
  <c r="J718" i="2"/>
  <c r="K718" i="2"/>
  <c r="L718" i="2"/>
  <c r="C719" i="2"/>
  <c r="D719" i="2"/>
  <c r="F719" i="2"/>
  <c r="G719" i="2"/>
  <c r="H719" i="2"/>
  <c r="J719" i="2"/>
  <c r="K719" i="2"/>
  <c r="L719" i="2"/>
  <c r="C720" i="2"/>
  <c r="D720" i="2"/>
  <c r="F720" i="2"/>
  <c r="G720" i="2"/>
  <c r="H720" i="2"/>
  <c r="J720" i="2"/>
  <c r="K720" i="2"/>
  <c r="L720" i="2"/>
  <c r="C721" i="2"/>
  <c r="D721" i="2"/>
  <c r="F721" i="2"/>
  <c r="G721" i="2"/>
  <c r="H721" i="2"/>
  <c r="J721" i="2"/>
  <c r="K721" i="2"/>
  <c r="L721" i="2"/>
  <c r="C722" i="2"/>
  <c r="D722" i="2"/>
  <c r="F722" i="2"/>
  <c r="G722" i="2"/>
  <c r="H722" i="2"/>
  <c r="J722" i="2"/>
  <c r="K722" i="2"/>
  <c r="L722" i="2"/>
  <c r="C723" i="2"/>
  <c r="D723" i="2"/>
  <c r="F723" i="2"/>
  <c r="G723" i="2"/>
  <c r="H723" i="2"/>
  <c r="J723" i="2"/>
  <c r="K723" i="2"/>
  <c r="L723" i="2"/>
  <c r="C724" i="2"/>
  <c r="D724" i="2"/>
  <c r="F724" i="2"/>
  <c r="G724" i="2"/>
  <c r="H724" i="2"/>
  <c r="J724" i="2"/>
  <c r="K724" i="2"/>
  <c r="L724" i="2"/>
  <c r="C725" i="2"/>
  <c r="D725" i="2"/>
  <c r="F725" i="2"/>
  <c r="G725" i="2"/>
  <c r="H725" i="2"/>
  <c r="J725" i="2"/>
  <c r="K725" i="2"/>
  <c r="L725" i="2"/>
  <c r="C726" i="2"/>
  <c r="D726" i="2"/>
  <c r="F726" i="2"/>
  <c r="G726" i="2"/>
  <c r="H726" i="2"/>
  <c r="J726" i="2"/>
  <c r="K726" i="2"/>
  <c r="L726" i="2"/>
  <c r="C727" i="2"/>
  <c r="D727" i="2"/>
  <c r="F727" i="2"/>
  <c r="G727" i="2"/>
  <c r="H727" i="2"/>
  <c r="J727" i="2"/>
  <c r="K727" i="2"/>
  <c r="L727" i="2"/>
  <c r="C728" i="2"/>
  <c r="D728" i="2"/>
  <c r="F728" i="2"/>
  <c r="G728" i="2"/>
  <c r="H728" i="2"/>
  <c r="J728" i="2"/>
  <c r="K728" i="2"/>
  <c r="L728" i="2"/>
  <c r="C729" i="2"/>
  <c r="D729" i="2"/>
  <c r="F729" i="2"/>
  <c r="G729" i="2"/>
  <c r="H729" i="2"/>
  <c r="J729" i="2"/>
  <c r="K729" i="2"/>
  <c r="L729" i="2"/>
  <c r="C730" i="2"/>
  <c r="D730" i="2"/>
  <c r="F730" i="2"/>
  <c r="G730" i="2"/>
  <c r="H730" i="2"/>
  <c r="J730" i="2"/>
  <c r="K730" i="2"/>
  <c r="L730" i="2"/>
  <c r="C731" i="2"/>
  <c r="D731" i="2"/>
  <c r="F731" i="2"/>
  <c r="G731" i="2"/>
  <c r="H731" i="2"/>
  <c r="J731" i="2"/>
  <c r="K731" i="2"/>
  <c r="L731" i="2"/>
  <c r="C732" i="2"/>
  <c r="D732" i="2"/>
  <c r="F732" i="2"/>
  <c r="G732" i="2"/>
  <c r="H732" i="2"/>
  <c r="J732" i="2"/>
  <c r="K732" i="2"/>
  <c r="L732" i="2"/>
  <c r="C733" i="2"/>
  <c r="D733" i="2"/>
  <c r="F733" i="2"/>
  <c r="G733" i="2"/>
  <c r="H733" i="2"/>
  <c r="J733" i="2"/>
  <c r="K733" i="2"/>
  <c r="L733" i="2"/>
  <c r="C734" i="2"/>
  <c r="D734" i="2"/>
  <c r="F734" i="2"/>
  <c r="G734" i="2"/>
  <c r="H734" i="2"/>
  <c r="J734" i="2"/>
  <c r="K734" i="2"/>
  <c r="L734" i="2"/>
  <c r="C735" i="2"/>
  <c r="D735" i="2"/>
  <c r="F735" i="2"/>
  <c r="G735" i="2"/>
  <c r="H735" i="2"/>
  <c r="J735" i="2"/>
  <c r="K735" i="2"/>
  <c r="L735" i="2"/>
  <c r="C736" i="2"/>
  <c r="D736" i="2"/>
  <c r="F736" i="2"/>
  <c r="G736" i="2"/>
  <c r="H736" i="2"/>
  <c r="J736" i="2"/>
  <c r="K736" i="2"/>
  <c r="L736" i="2"/>
  <c r="C737" i="2"/>
  <c r="D737" i="2"/>
  <c r="F737" i="2"/>
  <c r="G737" i="2"/>
  <c r="H737" i="2"/>
  <c r="J737" i="2"/>
  <c r="K737" i="2"/>
  <c r="L737" i="2"/>
  <c r="C738" i="2"/>
  <c r="D738" i="2"/>
  <c r="F738" i="2"/>
  <c r="G738" i="2"/>
  <c r="H738" i="2"/>
  <c r="J738" i="2"/>
  <c r="K738" i="2"/>
  <c r="L738" i="2"/>
  <c r="C739" i="2"/>
  <c r="D739" i="2"/>
  <c r="F739" i="2"/>
  <c r="G739" i="2"/>
  <c r="H739" i="2"/>
  <c r="J739" i="2"/>
  <c r="K739" i="2"/>
  <c r="L739" i="2"/>
  <c r="C740" i="2"/>
  <c r="D740" i="2"/>
  <c r="F740" i="2"/>
  <c r="G740" i="2"/>
  <c r="H740" i="2"/>
  <c r="J740" i="2"/>
  <c r="K740" i="2"/>
  <c r="L740" i="2"/>
  <c r="C741" i="2"/>
  <c r="D741" i="2"/>
  <c r="F741" i="2"/>
  <c r="G741" i="2"/>
  <c r="H741" i="2"/>
  <c r="J741" i="2"/>
  <c r="K741" i="2"/>
  <c r="L741" i="2"/>
  <c r="C742" i="2"/>
  <c r="D742" i="2"/>
  <c r="F742" i="2"/>
  <c r="G742" i="2"/>
  <c r="H742" i="2"/>
  <c r="J742" i="2"/>
  <c r="K742" i="2"/>
  <c r="L742" i="2"/>
  <c r="C743" i="2"/>
  <c r="D743" i="2"/>
  <c r="F743" i="2"/>
  <c r="G743" i="2"/>
  <c r="H743" i="2"/>
  <c r="J743" i="2"/>
  <c r="K743" i="2"/>
  <c r="L743" i="2"/>
  <c r="C744" i="2"/>
  <c r="D744" i="2"/>
  <c r="F744" i="2"/>
  <c r="G744" i="2"/>
  <c r="H744" i="2"/>
  <c r="J744" i="2"/>
  <c r="K744" i="2"/>
  <c r="L744" i="2"/>
  <c r="C745" i="2"/>
  <c r="D745" i="2"/>
  <c r="F745" i="2"/>
  <c r="G745" i="2"/>
  <c r="H745" i="2"/>
  <c r="J745" i="2"/>
  <c r="K745" i="2"/>
  <c r="L745" i="2"/>
  <c r="C746" i="2"/>
  <c r="D746" i="2"/>
  <c r="F746" i="2"/>
  <c r="G746" i="2"/>
  <c r="H746" i="2"/>
  <c r="J746" i="2"/>
  <c r="K746" i="2"/>
  <c r="L746" i="2"/>
  <c r="D747" i="2"/>
  <c r="F747" i="2"/>
  <c r="G747" i="2"/>
  <c r="H747" i="2"/>
  <c r="J747" i="2"/>
  <c r="K747" i="2"/>
  <c r="L747" i="2"/>
  <c r="C748" i="2"/>
  <c r="D748" i="2"/>
  <c r="F748" i="2"/>
  <c r="G748" i="2"/>
  <c r="H748" i="2"/>
  <c r="J748" i="2"/>
  <c r="K748" i="2"/>
  <c r="L748" i="2"/>
  <c r="C749" i="2"/>
  <c r="D749" i="2"/>
  <c r="F749" i="2"/>
  <c r="G749" i="2"/>
  <c r="H749" i="2"/>
  <c r="J749" i="2"/>
  <c r="K749" i="2"/>
  <c r="L749" i="2"/>
  <c r="C750" i="2"/>
  <c r="D750" i="2"/>
  <c r="F750" i="2"/>
  <c r="G750" i="2"/>
  <c r="H750" i="2"/>
  <c r="J750" i="2"/>
  <c r="K750" i="2"/>
  <c r="L750" i="2"/>
  <c r="C751" i="2"/>
  <c r="D751" i="2"/>
  <c r="F751" i="2"/>
  <c r="G751" i="2"/>
  <c r="H751" i="2"/>
  <c r="J751" i="2"/>
  <c r="K751" i="2"/>
  <c r="L751" i="2"/>
  <c r="C752" i="2"/>
  <c r="D752" i="2"/>
  <c r="F752" i="2"/>
  <c r="G752" i="2"/>
  <c r="H752" i="2"/>
  <c r="J752" i="2"/>
  <c r="K752" i="2"/>
  <c r="L752" i="2"/>
  <c r="C753" i="2"/>
  <c r="D753" i="2"/>
  <c r="F753" i="2"/>
  <c r="G753" i="2"/>
  <c r="H753" i="2"/>
  <c r="J753" i="2"/>
  <c r="K753" i="2"/>
  <c r="L753" i="2"/>
  <c r="C754" i="2"/>
  <c r="D754" i="2"/>
  <c r="F754" i="2"/>
  <c r="G754" i="2"/>
  <c r="H754" i="2"/>
  <c r="J754" i="2"/>
  <c r="K754" i="2"/>
  <c r="L754" i="2"/>
  <c r="C755" i="2"/>
  <c r="D755" i="2"/>
  <c r="F755" i="2"/>
  <c r="G755" i="2"/>
  <c r="H755" i="2"/>
  <c r="J755" i="2"/>
  <c r="K755" i="2"/>
  <c r="L755" i="2"/>
  <c r="C756" i="2"/>
  <c r="D756" i="2"/>
  <c r="F756" i="2"/>
  <c r="G756" i="2"/>
  <c r="H756" i="2"/>
  <c r="J756" i="2"/>
  <c r="K756" i="2"/>
  <c r="L756" i="2"/>
  <c r="C757" i="2"/>
  <c r="D757" i="2"/>
  <c r="F757" i="2"/>
  <c r="G757" i="2"/>
  <c r="H757" i="2"/>
  <c r="J757" i="2"/>
  <c r="K757" i="2"/>
  <c r="L757" i="2"/>
  <c r="C758" i="2"/>
  <c r="D758" i="2"/>
  <c r="F758" i="2"/>
  <c r="G758" i="2"/>
  <c r="H758" i="2"/>
  <c r="J758" i="2"/>
  <c r="K758" i="2"/>
  <c r="L758" i="2"/>
  <c r="C759" i="2"/>
  <c r="D759" i="2"/>
  <c r="F759" i="2"/>
  <c r="G759" i="2"/>
  <c r="H759" i="2"/>
  <c r="J759" i="2"/>
  <c r="K759" i="2"/>
  <c r="L759" i="2"/>
  <c r="C760" i="2"/>
  <c r="D760" i="2"/>
  <c r="F760" i="2"/>
  <c r="G760" i="2"/>
  <c r="H760" i="2"/>
  <c r="J760" i="2"/>
  <c r="K760" i="2"/>
  <c r="L760" i="2"/>
  <c r="C761" i="2"/>
  <c r="D761" i="2"/>
  <c r="F761" i="2"/>
  <c r="G761" i="2"/>
  <c r="H761" i="2"/>
  <c r="J761" i="2"/>
  <c r="K761" i="2"/>
  <c r="L761" i="2"/>
  <c r="C762" i="2"/>
  <c r="D762" i="2"/>
  <c r="F762" i="2"/>
  <c r="G762" i="2"/>
  <c r="H762" i="2"/>
  <c r="J762" i="2"/>
  <c r="K762" i="2"/>
  <c r="L762" i="2"/>
  <c r="C763" i="2"/>
  <c r="D763" i="2"/>
  <c r="F763" i="2"/>
  <c r="G763" i="2"/>
  <c r="H763" i="2"/>
  <c r="J763" i="2"/>
  <c r="K763" i="2"/>
  <c r="L763" i="2"/>
  <c r="C764" i="2"/>
  <c r="D764" i="2"/>
  <c r="F764" i="2"/>
  <c r="G764" i="2"/>
  <c r="H764" i="2"/>
  <c r="J764" i="2"/>
  <c r="K764" i="2"/>
  <c r="L764" i="2"/>
  <c r="C765" i="2"/>
  <c r="D765" i="2"/>
  <c r="F765" i="2"/>
  <c r="G765" i="2"/>
  <c r="H765" i="2"/>
  <c r="J765" i="2"/>
  <c r="K765" i="2"/>
  <c r="L765" i="2"/>
  <c r="C766" i="2"/>
  <c r="D766" i="2"/>
  <c r="F766" i="2"/>
  <c r="G766" i="2"/>
  <c r="H766" i="2"/>
  <c r="J766" i="2"/>
  <c r="K766" i="2"/>
  <c r="L766" i="2"/>
  <c r="C767" i="2"/>
  <c r="D767" i="2"/>
  <c r="F767" i="2"/>
  <c r="G767" i="2"/>
  <c r="H767" i="2"/>
  <c r="J767" i="2"/>
  <c r="K767" i="2"/>
  <c r="L767" i="2"/>
  <c r="C768" i="2"/>
  <c r="D768" i="2"/>
  <c r="F768" i="2"/>
  <c r="G768" i="2"/>
  <c r="H768" i="2"/>
  <c r="J768" i="2"/>
  <c r="K768" i="2"/>
  <c r="L768" i="2"/>
  <c r="C769" i="2"/>
  <c r="D769" i="2"/>
  <c r="F769" i="2"/>
  <c r="G769" i="2"/>
  <c r="H769" i="2"/>
  <c r="J769" i="2"/>
  <c r="K769" i="2"/>
  <c r="L769" i="2"/>
  <c r="C770" i="2"/>
  <c r="D770" i="2"/>
  <c r="F770" i="2"/>
  <c r="G770" i="2"/>
  <c r="H770" i="2"/>
  <c r="J770" i="2"/>
  <c r="K770" i="2"/>
  <c r="L770" i="2"/>
  <c r="C771" i="2"/>
  <c r="D771" i="2"/>
  <c r="F771" i="2"/>
  <c r="G771" i="2"/>
  <c r="H771" i="2"/>
  <c r="J771" i="2"/>
  <c r="K771" i="2"/>
  <c r="L771" i="2"/>
  <c r="C772" i="2"/>
  <c r="D772" i="2"/>
  <c r="F772" i="2"/>
  <c r="G772" i="2"/>
  <c r="H772" i="2"/>
  <c r="J772" i="2"/>
  <c r="K772" i="2"/>
  <c r="L772" i="2"/>
  <c r="C773" i="2"/>
  <c r="D773" i="2"/>
  <c r="F773" i="2"/>
  <c r="G773" i="2"/>
  <c r="H773" i="2"/>
  <c r="J773" i="2"/>
  <c r="K773" i="2"/>
  <c r="L773" i="2"/>
  <c r="C774" i="2"/>
  <c r="D774" i="2"/>
  <c r="F774" i="2"/>
  <c r="G774" i="2"/>
  <c r="H774" i="2"/>
  <c r="J774" i="2"/>
  <c r="K774" i="2"/>
  <c r="L774" i="2"/>
  <c r="C775" i="2"/>
  <c r="D775" i="2"/>
  <c r="F775" i="2"/>
  <c r="G775" i="2"/>
  <c r="H775" i="2"/>
  <c r="J775" i="2"/>
  <c r="K775" i="2"/>
  <c r="L775" i="2"/>
  <c r="C776" i="2"/>
  <c r="D776" i="2"/>
  <c r="F776" i="2"/>
  <c r="G776" i="2"/>
  <c r="H776" i="2"/>
  <c r="J776" i="2"/>
  <c r="K776" i="2"/>
  <c r="L776" i="2"/>
  <c r="C777" i="2"/>
  <c r="D777" i="2"/>
  <c r="F777" i="2"/>
  <c r="G777" i="2"/>
  <c r="H777" i="2"/>
  <c r="J777" i="2"/>
  <c r="K777" i="2"/>
  <c r="L777" i="2"/>
  <c r="C778" i="2"/>
  <c r="D778" i="2"/>
  <c r="F778" i="2"/>
  <c r="G778" i="2"/>
  <c r="H778" i="2"/>
  <c r="J778" i="2"/>
  <c r="K778" i="2"/>
  <c r="L778" i="2"/>
  <c r="C779" i="2"/>
  <c r="D779" i="2"/>
  <c r="F779" i="2"/>
  <c r="G779" i="2"/>
  <c r="H779" i="2"/>
  <c r="J779" i="2"/>
  <c r="K779" i="2"/>
  <c r="L779" i="2"/>
  <c r="C780" i="2"/>
  <c r="D780" i="2"/>
  <c r="F780" i="2"/>
  <c r="G780" i="2"/>
  <c r="H780" i="2"/>
  <c r="J780" i="2"/>
  <c r="K780" i="2"/>
  <c r="L780" i="2"/>
  <c r="C781" i="2"/>
  <c r="D781" i="2"/>
  <c r="F781" i="2"/>
  <c r="G781" i="2"/>
  <c r="H781" i="2"/>
  <c r="J781" i="2"/>
  <c r="K781" i="2"/>
  <c r="L781" i="2"/>
  <c r="C782" i="2"/>
  <c r="D782" i="2"/>
  <c r="F782" i="2"/>
  <c r="G782" i="2"/>
  <c r="H782" i="2"/>
  <c r="J782" i="2"/>
  <c r="K782" i="2"/>
  <c r="L782" i="2"/>
  <c r="C783" i="2"/>
  <c r="D783" i="2"/>
  <c r="F783" i="2"/>
  <c r="G783" i="2"/>
  <c r="H783" i="2"/>
  <c r="J783" i="2"/>
  <c r="K783" i="2"/>
  <c r="L783" i="2"/>
  <c r="C784" i="2"/>
  <c r="D784" i="2"/>
  <c r="F784" i="2"/>
  <c r="G784" i="2"/>
  <c r="H784" i="2"/>
  <c r="J784" i="2"/>
  <c r="K784" i="2"/>
  <c r="L784" i="2"/>
  <c r="C785" i="2"/>
  <c r="D785" i="2"/>
  <c r="F785" i="2"/>
  <c r="G785" i="2"/>
  <c r="H785" i="2"/>
  <c r="J785" i="2"/>
  <c r="K785" i="2"/>
  <c r="L785" i="2"/>
  <c r="C786" i="2"/>
  <c r="D786" i="2"/>
  <c r="F786" i="2"/>
  <c r="G786" i="2"/>
  <c r="H786" i="2"/>
  <c r="J786" i="2"/>
  <c r="K786" i="2"/>
  <c r="L786" i="2"/>
  <c r="C787" i="2"/>
  <c r="D787" i="2"/>
  <c r="F787" i="2"/>
  <c r="G787" i="2"/>
  <c r="H787" i="2"/>
  <c r="J787" i="2"/>
  <c r="K787" i="2"/>
  <c r="L787" i="2"/>
  <c r="C788" i="2"/>
  <c r="D788" i="2"/>
  <c r="F788" i="2"/>
  <c r="G788" i="2"/>
  <c r="H788" i="2"/>
  <c r="J788" i="2"/>
  <c r="K788" i="2"/>
  <c r="L788" i="2"/>
  <c r="C789" i="2"/>
  <c r="D789" i="2"/>
  <c r="F789" i="2"/>
  <c r="G789" i="2"/>
  <c r="H789" i="2"/>
  <c r="J789" i="2"/>
  <c r="K789" i="2"/>
  <c r="L789" i="2"/>
  <c r="C790" i="2"/>
  <c r="D790" i="2"/>
  <c r="F790" i="2"/>
  <c r="G790" i="2"/>
  <c r="H790" i="2"/>
  <c r="J790" i="2"/>
  <c r="K790" i="2"/>
  <c r="L790" i="2"/>
  <c r="C791" i="2"/>
  <c r="D791" i="2"/>
  <c r="F791" i="2"/>
  <c r="G791" i="2"/>
  <c r="H791" i="2"/>
  <c r="J791" i="2"/>
  <c r="K791" i="2"/>
  <c r="L791" i="2"/>
  <c r="C792" i="2"/>
  <c r="D792" i="2"/>
  <c r="F792" i="2"/>
  <c r="G792" i="2"/>
  <c r="H792" i="2"/>
  <c r="J792" i="2"/>
  <c r="K792" i="2"/>
  <c r="L792" i="2"/>
  <c r="C793" i="2"/>
  <c r="D793" i="2"/>
  <c r="F793" i="2"/>
  <c r="G793" i="2"/>
  <c r="H793" i="2"/>
  <c r="J793" i="2"/>
  <c r="K793" i="2"/>
  <c r="L793" i="2"/>
  <c r="C794" i="2"/>
  <c r="D794" i="2"/>
  <c r="F794" i="2"/>
  <c r="G794" i="2"/>
  <c r="H794" i="2"/>
  <c r="J794" i="2"/>
  <c r="K794" i="2"/>
  <c r="L794" i="2"/>
  <c r="C795" i="2"/>
  <c r="D795" i="2"/>
  <c r="F795" i="2"/>
  <c r="G795" i="2"/>
  <c r="H795" i="2"/>
  <c r="J795" i="2"/>
  <c r="K795" i="2"/>
  <c r="L795" i="2"/>
  <c r="C796" i="2"/>
  <c r="D796" i="2"/>
  <c r="F796" i="2"/>
  <c r="G796" i="2"/>
  <c r="H796" i="2"/>
  <c r="J796" i="2"/>
  <c r="K796" i="2"/>
  <c r="L796" i="2"/>
  <c r="C797" i="2"/>
  <c r="D797" i="2"/>
  <c r="F797" i="2"/>
  <c r="G797" i="2"/>
  <c r="H797" i="2"/>
  <c r="J797" i="2"/>
  <c r="K797" i="2"/>
  <c r="L797" i="2"/>
  <c r="C798" i="2"/>
  <c r="D798" i="2"/>
  <c r="F798" i="2"/>
  <c r="G798" i="2"/>
  <c r="H798" i="2"/>
  <c r="J798" i="2"/>
  <c r="K798" i="2"/>
  <c r="L798" i="2"/>
  <c r="C799" i="2"/>
  <c r="D799" i="2"/>
  <c r="F799" i="2"/>
  <c r="G799" i="2"/>
  <c r="H799" i="2"/>
  <c r="J799" i="2"/>
  <c r="K799" i="2"/>
  <c r="L799" i="2"/>
  <c r="C800" i="2"/>
  <c r="D800" i="2"/>
  <c r="F800" i="2"/>
  <c r="G800" i="2"/>
  <c r="H800" i="2"/>
  <c r="J800" i="2"/>
  <c r="K800" i="2"/>
  <c r="L800" i="2"/>
  <c r="C801" i="2"/>
  <c r="D801" i="2"/>
  <c r="F801" i="2"/>
  <c r="G801" i="2"/>
  <c r="H801" i="2"/>
  <c r="J801" i="2"/>
  <c r="K801" i="2"/>
  <c r="L801" i="2"/>
  <c r="C802" i="2"/>
  <c r="D802" i="2"/>
  <c r="F802" i="2"/>
  <c r="G802" i="2"/>
  <c r="H802" i="2"/>
  <c r="J802" i="2"/>
  <c r="K802" i="2"/>
  <c r="L802" i="2"/>
  <c r="C803" i="2"/>
  <c r="D803" i="2"/>
  <c r="F803" i="2"/>
  <c r="G803" i="2"/>
  <c r="H803" i="2"/>
  <c r="J803" i="2"/>
  <c r="K803" i="2"/>
  <c r="L803" i="2"/>
  <c r="C804" i="2"/>
  <c r="D804" i="2"/>
  <c r="F804" i="2"/>
  <c r="G804" i="2"/>
  <c r="H804" i="2"/>
  <c r="J804" i="2"/>
  <c r="K804" i="2"/>
  <c r="L804" i="2"/>
  <c r="C805" i="2"/>
  <c r="D805" i="2"/>
  <c r="F805" i="2"/>
  <c r="G805" i="2"/>
  <c r="H805" i="2"/>
  <c r="J805" i="2"/>
  <c r="K805" i="2"/>
  <c r="L805" i="2"/>
  <c r="C806" i="2"/>
  <c r="D806" i="2"/>
  <c r="F806" i="2"/>
  <c r="G806" i="2"/>
  <c r="H806" i="2"/>
  <c r="J806" i="2"/>
  <c r="K806" i="2"/>
  <c r="L806" i="2"/>
  <c r="C807" i="2"/>
  <c r="D807" i="2"/>
  <c r="F807" i="2"/>
  <c r="G807" i="2"/>
  <c r="H807" i="2"/>
  <c r="J807" i="2"/>
  <c r="K807" i="2"/>
  <c r="L807" i="2"/>
  <c r="C808" i="2"/>
  <c r="D808" i="2"/>
  <c r="F808" i="2"/>
  <c r="G808" i="2"/>
  <c r="H808" i="2"/>
  <c r="J808" i="2"/>
  <c r="K808" i="2"/>
  <c r="L808" i="2"/>
  <c r="C809" i="2"/>
  <c r="D809" i="2"/>
  <c r="F809" i="2"/>
  <c r="G809" i="2"/>
  <c r="H809" i="2"/>
  <c r="J809" i="2"/>
  <c r="K809" i="2"/>
  <c r="L809" i="2"/>
  <c r="C810" i="2"/>
  <c r="D810" i="2"/>
  <c r="F810" i="2"/>
  <c r="G810" i="2"/>
  <c r="H810" i="2"/>
  <c r="J810" i="2"/>
  <c r="K810" i="2"/>
  <c r="L810" i="2"/>
  <c r="C811" i="2"/>
  <c r="D811" i="2"/>
  <c r="F811" i="2"/>
  <c r="G811" i="2"/>
  <c r="H811" i="2"/>
  <c r="J811" i="2"/>
  <c r="K811" i="2"/>
  <c r="L811" i="2"/>
  <c r="C812" i="2"/>
  <c r="D812" i="2"/>
  <c r="F812" i="2"/>
  <c r="G812" i="2"/>
  <c r="H812" i="2"/>
  <c r="J812" i="2"/>
  <c r="K812" i="2"/>
  <c r="L812" i="2"/>
  <c r="C813" i="2"/>
  <c r="D813" i="2"/>
  <c r="F813" i="2"/>
  <c r="G813" i="2"/>
  <c r="H813" i="2"/>
  <c r="J813" i="2"/>
  <c r="K813" i="2"/>
  <c r="L813" i="2"/>
  <c r="C814" i="2"/>
  <c r="D814" i="2"/>
  <c r="F814" i="2"/>
  <c r="G814" i="2"/>
  <c r="H814" i="2"/>
  <c r="J814" i="2"/>
  <c r="K814" i="2"/>
  <c r="L814" i="2"/>
  <c r="C815" i="2"/>
  <c r="D815" i="2"/>
  <c r="F815" i="2"/>
  <c r="G815" i="2"/>
  <c r="H815" i="2"/>
  <c r="J815" i="2"/>
  <c r="K815" i="2"/>
  <c r="L815" i="2"/>
  <c r="C816" i="2"/>
  <c r="D816" i="2"/>
  <c r="F816" i="2"/>
  <c r="G816" i="2"/>
  <c r="H816" i="2"/>
  <c r="J816" i="2"/>
  <c r="K816" i="2"/>
  <c r="L816" i="2"/>
  <c r="C817" i="2"/>
  <c r="D817" i="2"/>
  <c r="F817" i="2"/>
  <c r="G817" i="2"/>
  <c r="H817" i="2"/>
  <c r="J817" i="2"/>
  <c r="K817" i="2"/>
  <c r="L817" i="2"/>
  <c r="C818" i="2"/>
  <c r="D818" i="2"/>
  <c r="F818" i="2"/>
  <c r="G818" i="2"/>
  <c r="H818" i="2"/>
  <c r="J818" i="2"/>
  <c r="K818" i="2"/>
  <c r="L818" i="2"/>
  <c r="C819" i="2"/>
  <c r="D819" i="2"/>
  <c r="F819" i="2"/>
  <c r="G819" i="2"/>
  <c r="H819" i="2"/>
  <c r="J819" i="2"/>
  <c r="K819" i="2"/>
  <c r="L819" i="2"/>
  <c r="C820" i="2"/>
  <c r="D820" i="2"/>
  <c r="F820" i="2"/>
  <c r="G820" i="2"/>
  <c r="H820" i="2"/>
  <c r="J820" i="2"/>
  <c r="K820" i="2"/>
  <c r="L820" i="2"/>
  <c r="C821" i="2"/>
  <c r="D821" i="2"/>
  <c r="F821" i="2"/>
  <c r="G821" i="2"/>
  <c r="H821" i="2"/>
  <c r="J821" i="2"/>
  <c r="K821" i="2"/>
  <c r="L821" i="2"/>
  <c r="C822" i="2"/>
  <c r="D822" i="2"/>
  <c r="F822" i="2"/>
  <c r="G822" i="2"/>
  <c r="H822" i="2"/>
  <c r="J822" i="2"/>
  <c r="K822" i="2"/>
  <c r="L822" i="2"/>
  <c r="C823" i="2"/>
  <c r="D823" i="2"/>
  <c r="F823" i="2"/>
  <c r="G823" i="2"/>
  <c r="H823" i="2"/>
  <c r="J823" i="2"/>
  <c r="K823" i="2"/>
  <c r="L823" i="2"/>
  <c r="C824" i="2"/>
  <c r="D824" i="2"/>
  <c r="F824" i="2"/>
  <c r="G824" i="2"/>
  <c r="H824" i="2"/>
  <c r="J824" i="2"/>
  <c r="K824" i="2"/>
  <c r="L824" i="2"/>
  <c r="C825" i="2"/>
  <c r="D825" i="2"/>
  <c r="F825" i="2"/>
  <c r="G825" i="2"/>
  <c r="H825" i="2"/>
  <c r="J825" i="2"/>
  <c r="K825" i="2"/>
  <c r="L825" i="2"/>
  <c r="C826" i="2"/>
  <c r="D826" i="2"/>
  <c r="F826" i="2"/>
  <c r="G826" i="2"/>
  <c r="H826" i="2"/>
  <c r="J826" i="2"/>
  <c r="K826" i="2"/>
  <c r="L826" i="2"/>
  <c r="C827" i="2"/>
  <c r="D827" i="2"/>
  <c r="F827" i="2"/>
  <c r="G827" i="2"/>
  <c r="H827" i="2"/>
  <c r="J827" i="2"/>
  <c r="K827" i="2"/>
  <c r="L827" i="2"/>
  <c r="C828" i="2"/>
  <c r="D828" i="2"/>
  <c r="F828" i="2"/>
  <c r="G828" i="2"/>
  <c r="H828" i="2"/>
  <c r="J828" i="2"/>
  <c r="K828" i="2"/>
  <c r="L828" i="2"/>
  <c r="C829" i="2"/>
  <c r="D829" i="2"/>
  <c r="F829" i="2"/>
  <c r="G829" i="2"/>
  <c r="H829" i="2"/>
  <c r="J829" i="2"/>
  <c r="K829" i="2"/>
  <c r="L829" i="2"/>
  <c r="C830" i="2"/>
  <c r="D830" i="2"/>
  <c r="F830" i="2"/>
  <c r="G830" i="2"/>
  <c r="H830" i="2"/>
  <c r="J830" i="2"/>
  <c r="K830" i="2"/>
  <c r="L830" i="2"/>
  <c r="C831" i="2"/>
  <c r="D831" i="2"/>
  <c r="F831" i="2"/>
  <c r="G831" i="2"/>
  <c r="H831" i="2"/>
  <c r="J831" i="2"/>
  <c r="K831" i="2"/>
  <c r="L831" i="2"/>
  <c r="C832" i="2"/>
  <c r="D832" i="2"/>
  <c r="F832" i="2"/>
  <c r="G832" i="2"/>
  <c r="H832" i="2"/>
  <c r="J832" i="2"/>
  <c r="K832" i="2"/>
  <c r="L832" i="2"/>
  <c r="C833" i="2"/>
  <c r="D833" i="2"/>
  <c r="F833" i="2"/>
  <c r="G833" i="2"/>
  <c r="H833" i="2"/>
  <c r="J833" i="2"/>
  <c r="K833" i="2"/>
  <c r="L833" i="2"/>
  <c r="C834" i="2"/>
  <c r="D834" i="2"/>
  <c r="F834" i="2"/>
  <c r="G834" i="2"/>
  <c r="H834" i="2"/>
  <c r="J834" i="2"/>
  <c r="K834" i="2"/>
  <c r="L834" i="2"/>
  <c r="C835" i="2"/>
  <c r="D835" i="2"/>
  <c r="F835" i="2"/>
  <c r="G835" i="2"/>
  <c r="H835" i="2"/>
  <c r="J835" i="2"/>
  <c r="K835" i="2"/>
  <c r="L835" i="2"/>
  <c r="C836" i="2"/>
  <c r="D836" i="2"/>
  <c r="F836" i="2"/>
  <c r="G836" i="2"/>
  <c r="H836" i="2"/>
  <c r="J836" i="2"/>
  <c r="K836" i="2"/>
  <c r="L836" i="2"/>
  <c r="C837" i="2"/>
  <c r="D837" i="2"/>
  <c r="F837" i="2"/>
  <c r="G837" i="2"/>
  <c r="H837" i="2"/>
  <c r="J837" i="2"/>
  <c r="K837" i="2"/>
  <c r="L837" i="2"/>
  <c r="C838" i="2"/>
  <c r="D838" i="2"/>
  <c r="F838" i="2"/>
  <c r="G838" i="2"/>
  <c r="H838" i="2"/>
  <c r="J838" i="2"/>
  <c r="K838" i="2"/>
  <c r="L838" i="2"/>
  <c r="C839" i="2"/>
  <c r="D839" i="2"/>
  <c r="F839" i="2"/>
  <c r="G839" i="2"/>
  <c r="H839" i="2"/>
  <c r="J839" i="2"/>
  <c r="K839" i="2"/>
  <c r="L839" i="2"/>
  <c r="C840" i="2"/>
  <c r="D840" i="2"/>
  <c r="F840" i="2"/>
  <c r="G840" i="2"/>
  <c r="H840" i="2"/>
  <c r="J840" i="2"/>
  <c r="K840" i="2"/>
  <c r="L840" i="2"/>
  <c r="C841" i="2"/>
  <c r="D841" i="2"/>
  <c r="F841" i="2"/>
  <c r="G841" i="2"/>
  <c r="H841" i="2"/>
  <c r="J841" i="2"/>
  <c r="K841" i="2"/>
  <c r="L841" i="2"/>
  <c r="C842" i="2"/>
  <c r="D842" i="2"/>
  <c r="F842" i="2"/>
  <c r="G842" i="2"/>
  <c r="H842" i="2"/>
  <c r="J842" i="2"/>
  <c r="K842" i="2"/>
  <c r="L842" i="2"/>
  <c r="C843" i="2"/>
  <c r="D843" i="2"/>
  <c r="F843" i="2"/>
  <c r="G843" i="2"/>
  <c r="H843" i="2"/>
  <c r="J843" i="2"/>
  <c r="K843" i="2"/>
  <c r="L843" i="2"/>
  <c r="C844" i="2"/>
  <c r="D844" i="2"/>
  <c r="F844" i="2"/>
  <c r="G844" i="2"/>
  <c r="H844" i="2"/>
  <c r="J844" i="2"/>
  <c r="K844" i="2"/>
  <c r="L844" i="2"/>
  <c r="C845" i="2"/>
  <c r="D845" i="2"/>
  <c r="F845" i="2"/>
  <c r="G845" i="2"/>
  <c r="H845" i="2"/>
  <c r="J845" i="2"/>
  <c r="K845" i="2"/>
  <c r="L845" i="2"/>
  <c r="C846" i="2"/>
  <c r="D846" i="2"/>
  <c r="F846" i="2"/>
  <c r="G846" i="2"/>
  <c r="H846" i="2"/>
  <c r="J846" i="2"/>
  <c r="K846" i="2"/>
  <c r="L846" i="2"/>
  <c r="C847" i="2"/>
  <c r="D847" i="2"/>
  <c r="F847" i="2"/>
  <c r="G847" i="2"/>
  <c r="H847" i="2"/>
  <c r="J847" i="2"/>
  <c r="K847" i="2"/>
  <c r="L847" i="2"/>
  <c r="C848" i="2"/>
  <c r="D848" i="2"/>
  <c r="F848" i="2"/>
  <c r="G848" i="2"/>
  <c r="H848" i="2"/>
  <c r="J848" i="2"/>
  <c r="K848" i="2"/>
  <c r="L848" i="2"/>
  <c r="C849" i="2"/>
  <c r="D849" i="2"/>
  <c r="F849" i="2"/>
  <c r="G849" i="2"/>
  <c r="H849" i="2"/>
  <c r="J849" i="2"/>
  <c r="K849" i="2"/>
  <c r="L849" i="2"/>
  <c r="C850" i="2"/>
  <c r="D850" i="2"/>
  <c r="F850" i="2"/>
  <c r="G850" i="2"/>
  <c r="H850" i="2"/>
  <c r="J850" i="2"/>
  <c r="K850" i="2"/>
  <c r="L850" i="2"/>
  <c r="C851" i="2"/>
  <c r="D851" i="2"/>
  <c r="F851" i="2"/>
  <c r="G851" i="2"/>
  <c r="H851" i="2"/>
  <c r="J851" i="2"/>
  <c r="K851" i="2"/>
  <c r="L851" i="2"/>
  <c r="C852" i="2"/>
  <c r="D852" i="2"/>
  <c r="F852" i="2"/>
  <c r="G852" i="2"/>
  <c r="H852" i="2"/>
  <c r="J852" i="2"/>
  <c r="K852" i="2"/>
  <c r="L852" i="2"/>
  <c r="C853" i="2"/>
  <c r="D853" i="2"/>
  <c r="F853" i="2"/>
  <c r="G853" i="2"/>
  <c r="H853" i="2"/>
  <c r="J853" i="2"/>
  <c r="K853" i="2"/>
  <c r="L853" i="2"/>
  <c r="C854" i="2"/>
  <c r="D854" i="2"/>
  <c r="F854" i="2"/>
  <c r="G854" i="2"/>
  <c r="H854" i="2"/>
  <c r="J854" i="2"/>
  <c r="K854" i="2"/>
  <c r="L854" i="2"/>
  <c r="C855" i="2"/>
  <c r="D855" i="2"/>
  <c r="F855" i="2"/>
  <c r="G855" i="2"/>
  <c r="H855" i="2"/>
  <c r="J855" i="2"/>
  <c r="K855" i="2"/>
  <c r="L855" i="2"/>
  <c r="C856" i="2"/>
  <c r="D856" i="2"/>
  <c r="F856" i="2"/>
  <c r="G856" i="2"/>
  <c r="H856" i="2"/>
  <c r="J856" i="2"/>
  <c r="K856" i="2"/>
  <c r="L856" i="2"/>
  <c r="C857" i="2"/>
  <c r="D857" i="2"/>
  <c r="F857" i="2"/>
  <c r="G857" i="2"/>
  <c r="H857" i="2"/>
  <c r="J857" i="2"/>
  <c r="K857" i="2"/>
  <c r="L857" i="2"/>
  <c r="C858" i="2"/>
  <c r="D858" i="2"/>
  <c r="F858" i="2"/>
  <c r="G858" i="2"/>
  <c r="H858" i="2"/>
  <c r="J858" i="2"/>
  <c r="K858" i="2"/>
  <c r="L858" i="2"/>
  <c r="C859" i="2"/>
  <c r="D859" i="2"/>
  <c r="F859" i="2"/>
  <c r="G859" i="2"/>
  <c r="H859" i="2"/>
  <c r="J859" i="2"/>
  <c r="K859" i="2"/>
  <c r="L859" i="2"/>
  <c r="C860" i="2"/>
  <c r="D860" i="2"/>
  <c r="F860" i="2"/>
  <c r="G860" i="2"/>
  <c r="H860" i="2"/>
  <c r="J860" i="2"/>
  <c r="K860" i="2"/>
  <c r="L860" i="2"/>
  <c r="C861" i="2"/>
  <c r="D861" i="2"/>
  <c r="F861" i="2"/>
  <c r="G861" i="2"/>
  <c r="H861" i="2"/>
  <c r="J861" i="2"/>
  <c r="K861" i="2"/>
  <c r="L861" i="2"/>
  <c r="C862" i="2"/>
  <c r="D862" i="2"/>
  <c r="F862" i="2"/>
  <c r="G862" i="2"/>
  <c r="H862" i="2"/>
  <c r="J862" i="2"/>
  <c r="K862" i="2"/>
  <c r="L862" i="2"/>
  <c r="C863" i="2"/>
  <c r="D863" i="2"/>
  <c r="F863" i="2"/>
  <c r="G863" i="2"/>
  <c r="H863" i="2"/>
  <c r="J863" i="2"/>
  <c r="K863" i="2"/>
  <c r="L863" i="2"/>
  <c r="C864" i="2"/>
  <c r="D864" i="2"/>
  <c r="F864" i="2"/>
  <c r="G864" i="2"/>
  <c r="H864" i="2"/>
  <c r="J864" i="2"/>
  <c r="K864" i="2"/>
  <c r="L864" i="2"/>
  <c r="C865" i="2"/>
  <c r="D865" i="2"/>
  <c r="F865" i="2"/>
  <c r="G865" i="2"/>
  <c r="H865" i="2"/>
  <c r="J865" i="2"/>
  <c r="K865" i="2"/>
  <c r="L865" i="2"/>
  <c r="C866" i="2"/>
  <c r="D866" i="2"/>
  <c r="F866" i="2"/>
  <c r="G866" i="2"/>
  <c r="H866" i="2"/>
  <c r="J866" i="2"/>
  <c r="K866" i="2"/>
  <c r="L866" i="2"/>
  <c r="C867" i="2"/>
  <c r="D867" i="2"/>
  <c r="F867" i="2"/>
  <c r="G867" i="2"/>
  <c r="H867" i="2"/>
  <c r="J867" i="2"/>
  <c r="K867" i="2"/>
  <c r="L867" i="2"/>
  <c r="C868" i="2"/>
  <c r="D868" i="2"/>
  <c r="F868" i="2"/>
  <c r="G868" i="2"/>
  <c r="H868" i="2"/>
  <c r="J868" i="2"/>
  <c r="K868" i="2"/>
  <c r="L868" i="2"/>
  <c r="C869" i="2"/>
  <c r="D869" i="2"/>
  <c r="F869" i="2"/>
  <c r="G869" i="2"/>
  <c r="H869" i="2"/>
  <c r="J869" i="2"/>
  <c r="K869" i="2"/>
  <c r="L869" i="2"/>
  <c r="C870" i="2"/>
  <c r="D870" i="2"/>
  <c r="F870" i="2"/>
  <c r="G870" i="2"/>
  <c r="H870" i="2"/>
  <c r="J870" i="2"/>
  <c r="K870" i="2"/>
  <c r="L870" i="2"/>
  <c r="C871" i="2"/>
  <c r="D871" i="2"/>
  <c r="F871" i="2"/>
  <c r="G871" i="2"/>
  <c r="H871" i="2"/>
  <c r="J871" i="2"/>
  <c r="K871" i="2"/>
  <c r="L871" i="2"/>
  <c r="C872" i="2"/>
  <c r="D872" i="2"/>
  <c r="F872" i="2"/>
  <c r="G872" i="2"/>
  <c r="H872" i="2"/>
  <c r="J872" i="2"/>
  <c r="K872" i="2"/>
  <c r="L872" i="2"/>
  <c r="C873" i="2"/>
  <c r="D873" i="2"/>
  <c r="F873" i="2"/>
  <c r="G873" i="2"/>
  <c r="H873" i="2"/>
  <c r="J873" i="2"/>
  <c r="K873" i="2"/>
  <c r="L873" i="2"/>
  <c r="C874" i="2"/>
  <c r="D874" i="2"/>
  <c r="F874" i="2"/>
  <c r="G874" i="2"/>
  <c r="H874" i="2"/>
  <c r="J874" i="2"/>
  <c r="K874" i="2"/>
  <c r="L874" i="2"/>
  <c r="C875" i="2"/>
  <c r="D875" i="2"/>
  <c r="F875" i="2"/>
  <c r="G875" i="2"/>
  <c r="H875" i="2"/>
  <c r="J875" i="2"/>
  <c r="K875" i="2"/>
  <c r="L875" i="2"/>
  <c r="C876" i="2"/>
  <c r="D876" i="2"/>
  <c r="F876" i="2"/>
  <c r="G876" i="2"/>
  <c r="H876" i="2"/>
  <c r="J876" i="2"/>
  <c r="K876" i="2"/>
  <c r="L876" i="2"/>
  <c r="C877" i="2"/>
  <c r="D877" i="2"/>
  <c r="F877" i="2"/>
  <c r="G877" i="2"/>
  <c r="H877" i="2"/>
  <c r="J877" i="2"/>
  <c r="K877" i="2"/>
  <c r="L877" i="2"/>
  <c r="C878" i="2"/>
  <c r="D878" i="2"/>
  <c r="F878" i="2"/>
  <c r="G878" i="2"/>
  <c r="H878" i="2"/>
  <c r="J878" i="2"/>
  <c r="K878" i="2"/>
  <c r="L878" i="2"/>
  <c r="C879" i="2"/>
  <c r="D879" i="2"/>
  <c r="F879" i="2"/>
  <c r="G879" i="2"/>
  <c r="H879" i="2"/>
  <c r="J879" i="2"/>
  <c r="K879" i="2"/>
  <c r="L879" i="2"/>
  <c r="C880" i="2"/>
  <c r="D880" i="2"/>
  <c r="F880" i="2"/>
  <c r="G880" i="2"/>
  <c r="H880" i="2"/>
  <c r="J880" i="2"/>
  <c r="K880" i="2"/>
  <c r="L880" i="2"/>
  <c r="C881" i="2"/>
  <c r="D881" i="2"/>
  <c r="F881" i="2"/>
  <c r="G881" i="2"/>
  <c r="H881" i="2"/>
  <c r="J881" i="2"/>
  <c r="K881" i="2"/>
  <c r="L881" i="2"/>
  <c r="C882" i="2"/>
  <c r="D882" i="2"/>
  <c r="F882" i="2"/>
  <c r="G882" i="2"/>
  <c r="H882" i="2"/>
  <c r="J882" i="2"/>
  <c r="K882" i="2"/>
  <c r="L882" i="2"/>
  <c r="C883" i="2"/>
  <c r="D883" i="2"/>
  <c r="F883" i="2"/>
  <c r="G883" i="2"/>
  <c r="H883" i="2"/>
  <c r="J883" i="2"/>
  <c r="K883" i="2"/>
  <c r="L883" i="2"/>
  <c r="C884" i="2"/>
  <c r="D884" i="2"/>
  <c r="F884" i="2"/>
  <c r="G884" i="2"/>
  <c r="H884" i="2"/>
  <c r="J884" i="2"/>
  <c r="K884" i="2"/>
  <c r="L884" i="2"/>
  <c r="C885" i="2"/>
  <c r="D885" i="2"/>
  <c r="F885" i="2"/>
  <c r="G885" i="2"/>
  <c r="H885" i="2"/>
  <c r="J885" i="2"/>
  <c r="K885" i="2"/>
  <c r="L885" i="2"/>
  <c r="C886" i="2"/>
  <c r="D886" i="2"/>
  <c r="F886" i="2"/>
  <c r="G886" i="2"/>
  <c r="H886" i="2"/>
  <c r="J886" i="2"/>
  <c r="K886" i="2"/>
  <c r="L886" i="2"/>
  <c r="C887" i="2"/>
  <c r="D887" i="2"/>
  <c r="F887" i="2"/>
  <c r="G887" i="2"/>
  <c r="H887" i="2"/>
  <c r="J887" i="2"/>
  <c r="K887" i="2"/>
  <c r="L887" i="2"/>
  <c r="C888" i="2"/>
  <c r="D888" i="2"/>
  <c r="F888" i="2"/>
  <c r="G888" i="2"/>
  <c r="H888" i="2"/>
  <c r="J888" i="2"/>
  <c r="K888" i="2"/>
  <c r="L888" i="2"/>
  <c r="C889" i="2"/>
  <c r="D889" i="2"/>
  <c r="F889" i="2"/>
  <c r="G889" i="2"/>
  <c r="H889" i="2"/>
  <c r="J889" i="2"/>
  <c r="K889" i="2"/>
  <c r="L889" i="2"/>
  <c r="C890" i="2"/>
  <c r="D890" i="2"/>
  <c r="F890" i="2"/>
  <c r="G890" i="2"/>
  <c r="H890" i="2"/>
  <c r="J890" i="2"/>
  <c r="K890" i="2"/>
  <c r="L890" i="2"/>
  <c r="C891" i="2"/>
  <c r="D891" i="2"/>
  <c r="F891" i="2"/>
  <c r="G891" i="2"/>
  <c r="H891" i="2"/>
  <c r="J891" i="2"/>
  <c r="K891" i="2"/>
  <c r="L891" i="2"/>
  <c r="C892" i="2"/>
  <c r="D892" i="2"/>
  <c r="F892" i="2"/>
  <c r="G892" i="2"/>
  <c r="H892" i="2"/>
  <c r="J892" i="2"/>
  <c r="K892" i="2"/>
  <c r="L892" i="2"/>
  <c r="C893" i="2"/>
  <c r="D893" i="2"/>
  <c r="F893" i="2"/>
  <c r="G893" i="2"/>
  <c r="H893" i="2"/>
  <c r="J893" i="2"/>
  <c r="K893" i="2"/>
  <c r="L893" i="2"/>
  <c r="C894" i="2"/>
  <c r="D894" i="2"/>
  <c r="F894" i="2"/>
  <c r="G894" i="2"/>
  <c r="H894" i="2"/>
  <c r="J894" i="2"/>
  <c r="K894" i="2"/>
  <c r="L894" i="2"/>
  <c r="C895" i="2"/>
  <c r="D895" i="2"/>
  <c r="F895" i="2"/>
  <c r="G895" i="2"/>
  <c r="H895" i="2"/>
  <c r="J895" i="2"/>
  <c r="K895" i="2"/>
  <c r="L895" i="2"/>
  <c r="C896" i="2"/>
  <c r="D896" i="2"/>
  <c r="F896" i="2"/>
  <c r="G896" i="2"/>
  <c r="H896" i="2"/>
  <c r="J896" i="2"/>
  <c r="K896" i="2"/>
  <c r="L896" i="2"/>
  <c r="C897" i="2"/>
  <c r="D897" i="2"/>
  <c r="F897" i="2"/>
  <c r="G897" i="2"/>
  <c r="H897" i="2"/>
  <c r="J897" i="2"/>
  <c r="K897" i="2"/>
  <c r="L897" i="2"/>
  <c r="C898" i="2"/>
  <c r="D898" i="2"/>
  <c r="F898" i="2"/>
  <c r="G898" i="2"/>
  <c r="H898" i="2"/>
  <c r="J898" i="2"/>
  <c r="K898" i="2"/>
  <c r="L898" i="2"/>
  <c r="C899" i="2"/>
  <c r="D899" i="2"/>
  <c r="F899" i="2"/>
  <c r="G899" i="2"/>
  <c r="H899" i="2"/>
  <c r="J899" i="2"/>
  <c r="K899" i="2"/>
  <c r="L899" i="2"/>
  <c r="C900" i="2"/>
  <c r="D900" i="2"/>
  <c r="F900" i="2"/>
  <c r="G900" i="2"/>
  <c r="H900" i="2"/>
  <c r="J900" i="2"/>
  <c r="K900" i="2"/>
  <c r="L900" i="2"/>
  <c r="C901" i="2"/>
  <c r="D901" i="2"/>
  <c r="F901" i="2"/>
  <c r="G901" i="2"/>
  <c r="H901" i="2"/>
  <c r="J901" i="2"/>
  <c r="K901" i="2"/>
  <c r="L901" i="2"/>
  <c r="C902" i="2"/>
  <c r="D902" i="2"/>
  <c r="F902" i="2"/>
  <c r="G902" i="2"/>
  <c r="H902" i="2"/>
  <c r="J902" i="2"/>
  <c r="K902" i="2"/>
  <c r="L902" i="2"/>
  <c r="C903" i="2"/>
  <c r="D903" i="2"/>
  <c r="F903" i="2"/>
  <c r="G903" i="2"/>
  <c r="H903" i="2"/>
  <c r="J903" i="2"/>
  <c r="K903" i="2"/>
  <c r="L903" i="2"/>
  <c r="C904" i="2"/>
  <c r="D904" i="2"/>
  <c r="F904" i="2"/>
  <c r="G904" i="2"/>
  <c r="H904" i="2"/>
  <c r="J904" i="2"/>
  <c r="K904" i="2"/>
  <c r="L904" i="2"/>
  <c r="C905" i="2"/>
  <c r="D905" i="2"/>
  <c r="F905" i="2"/>
  <c r="G905" i="2"/>
  <c r="H905" i="2"/>
  <c r="J905" i="2"/>
  <c r="K905" i="2"/>
  <c r="L905" i="2"/>
  <c r="C906" i="2"/>
  <c r="D906" i="2"/>
  <c r="F906" i="2"/>
  <c r="G906" i="2"/>
  <c r="H906" i="2"/>
  <c r="J906" i="2"/>
  <c r="K906" i="2"/>
  <c r="L906" i="2"/>
  <c r="C907" i="2"/>
  <c r="D907" i="2"/>
  <c r="F907" i="2"/>
  <c r="G907" i="2"/>
  <c r="H907" i="2"/>
  <c r="J907" i="2"/>
  <c r="K907" i="2"/>
  <c r="L907" i="2"/>
  <c r="C908" i="2"/>
  <c r="D908" i="2"/>
  <c r="F908" i="2"/>
  <c r="G908" i="2"/>
  <c r="H908" i="2"/>
  <c r="J908" i="2"/>
  <c r="K908" i="2"/>
  <c r="L908" i="2"/>
  <c r="C909" i="2"/>
  <c r="D909" i="2"/>
  <c r="F909" i="2"/>
  <c r="G909" i="2"/>
  <c r="H909" i="2"/>
  <c r="J909" i="2"/>
  <c r="K909" i="2"/>
  <c r="L909" i="2"/>
  <c r="C910" i="2"/>
  <c r="D910" i="2"/>
  <c r="F910" i="2"/>
  <c r="G910" i="2"/>
  <c r="H910" i="2"/>
  <c r="J910" i="2"/>
  <c r="K910" i="2"/>
  <c r="L910" i="2"/>
  <c r="C911" i="2"/>
  <c r="D911" i="2"/>
  <c r="F911" i="2"/>
  <c r="G911" i="2"/>
  <c r="H911" i="2"/>
  <c r="J911" i="2"/>
  <c r="K911" i="2"/>
  <c r="L911" i="2"/>
  <c r="C912" i="2"/>
  <c r="D912" i="2"/>
  <c r="F912" i="2"/>
  <c r="G912" i="2"/>
  <c r="H912" i="2"/>
  <c r="J912" i="2"/>
  <c r="K912" i="2"/>
  <c r="L912" i="2"/>
  <c r="C913" i="2"/>
  <c r="D913" i="2"/>
  <c r="F913" i="2"/>
  <c r="G913" i="2"/>
  <c r="H913" i="2"/>
  <c r="J913" i="2"/>
  <c r="K913" i="2"/>
  <c r="L913" i="2"/>
  <c r="C914" i="2"/>
  <c r="D914" i="2"/>
  <c r="F914" i="2"/>
  <c r="G914" i="2"/>
  <c r="H914" i="2"/>
  <c r="J914" i="2"/>
  <c r="K914" i="2"/>
  <c r="L914" i="2"/>
  <c r="C915" i="2"/>
  <c r="D915" i="2"/>
  <c r="F915" i="2"/>
  <c r="G915" i="2"/>
  <c r="H915" i="2"/>
  <c r="J915" i="2"/>
  <c r="K915" i="2"/>
  <c r="L915" i="2"/>
  <c r="C916" i="2"/>
  <c r="D916" i="2"/>
  <c r="F916" i="2"/>
  <c r="G916" i="2"/>
  <c r="H916" i="2"/>
  <c r="J916" i="2"/>
  <c r="K916" i="2"/>
  <c r="L916" i="2"/>
  <c r="C917" i="2"/>
  <c r="D917" i="2"/>
  <c r="F917" i="2"/>
  <c r="G917" i="2"/>
  <c r="H917" i="2"/>
  <c r="J917" i="2"/>
  <c r="K917" i="2"/>
  <c r="L917" i="2"/>
  <c r="C918" i="2"/>
  <c r="D918" i="2"/>
  <c r="F918" i="2"/>
  <c r="G918" i="2"/>
  <c r="H918" i="2"/>
  <c r="J918" i="2"/>
  <c r="K918" i="2"/>
  <c r="L918" i="2"/>
  <c r="C919" i="2"/>
  <c r="D919" i="2"/>
  <c r="F919" i="2"/>
  <c r="G919" i="2"/>
  <c r="H919" i="2"/>
  <c r="J919" i="2"/>
  <c r="K919" i="2"/>
  <c r="L919" i="2"/>
  <c r="C920" i="2"/>
  <c r="D920" i="2"/>
  <c r="F920" i="2"/>
  <c r="G920" i="2"/>
  <c r="H920" i="2"/>
  <c r="J920" i="2"/>
  <c r="K920" i="2"/>
  <c r="L920" i="2"/>
  <c r="D921" i="2"/>
  <c r="F921" i="2"/>
  <c r="G921" i="2"/>
  <c r="H921" i="2"/>
  <c r="J921" i="2"/>
  <c r="K921" i="2"/>
  <c r="L921" i="2"/>
  <c r="C922" i="2"/>
  <c r="D922" i="2"/>
  <c r="F922" i="2"/>
  <c r="G922" i="2"/>
  <c r="H922" i="2"/>
  <c r="J922" i="2"/>
  <c r="K922" i="2"/>
  <c r="L922" i="2"/>
  <c r="C923" i="2"/>
  <c r="D923" i="2"/>
  <c r="F923" i="2"/>
  <c r="G923" i="2"/>
  <c r="H923" i="2"/>
  <c r="J923" i="2"/>
  <c r="K923" i="2"/>
  <c r="L923" i="2"/>
  <c r="C924" i="2"/>
  <c r="D924" i="2"/>
  <c r="F924" i="2"/>
  <c r="G924" i="2"/>
  <c r="H924" i="2"/>
  <c r="J924" i="2"/>
  <c r="K924" i="2"/>
  <c r="L924" i="2"/>
  <c r="C925" i="2"/>
  <c r="D925" i="2"/>
  <c r="F925" i="2"/>
  <c r="G925" i="2"/>
  <c r="H925" i="2"/>
  <c r="J925" i="2"/>
  <c r="K925" i="2"/>
  <c r="L925" i="2"/>
  <c r="C926" i="2"/>
  <c r="D926" i="2"/>
  <c r="F926" i="2"/>
  <c r="G926" i="2"/>
  <c r="H926" i="2"/>
  <c r="J926" i="2"/>
  <c r="K926" i="2"/>
  <c r="L926" i="2"/>
  <c r="C927" i="2"/>
  <c r="D927" i="2"/>
  <c r="F927" i="2"/>
  <c r="G927" i="2"/>
  <c r="H927" i="2"/>
  <c r="J927" i="2"/>
  <c r="K927" i="2"/>
  <c r="L927" i="2"/>
  <c r="C928" i="2"/>
  <c r="D928" i="2"/>
  <c r="F928" i="2"/>
  <c r="G928" i="2"/>
  <c r="H928" i="2"/>
  <c r="J928" i="2"/>
  <c r="K928" i="2"/>
  <c r="L928" i="2"/>
  <c r="C929" i="2"/>
  <c r="D929" i="2"/>
  <c r="F929" i="2"/>
  <c r="G929" i="2"/>
  <c r="H929" i="2"/>
  <c r="J929" i="2"/>
  <c r="K929" i="2"/>
  <c r="L929" i="2"/>
  <c r="C930" i="2"/>
  <c r="D930" i="2"/>
  <c r="F930" i="2"/>
  <c r="G930" i="2"/>
  <c r="H930" i="2"/>
  <c r="J930" i="2"/>
  <c r="K930" i="2"/>
  <c r="L930" i="2"/>
  <c r="C931" i="2"/>
  <c r="D931" i="2"/>
  <c r="F931" i="2"/>
  <c r="G931" i="2"/>
  <c r="H931" i="2"/>
  <c r="J931" i="2"/>
  <c r="K931" i="2"/>
  <c r="L931" i="2"/>
  <c r="C932" i="2"/>
  <c r="D932" i="2"/>
  <c r="F932" i="2"/>
  <c r="G932" i="2"/>
  <c r="H932" i="2"/>
  <c r="J932" i="2"/>
  <c r="K932" i="2"/>
  <c r="L932" i="2"/>
  <c r="C933" i="2"/>
  <c r="D933" i="2"/>
  <c r="F933" i="2"/>
  <c r="G933" i="2"/>
  <c r="H933" i="2"/>
  <c r="J933" i="2"/>
  <c r="K933" i="2"/>
  <c r="L933" i="2"/>
  <c r="C934" i="2"/>
  <c r="D934" i="2"/>
  <c r="F934" i="2"/>
  <c r="G934" i="2"/>
  <c r="H934" i="2"/>
  <c r="J934" i="2"/>
  <c r="K934" i="2"/>
  <c r="L934" i="2"/>
  <c r="C935" i="2"/>
  <c r="D935" i="2"/>
  <c r="F935" i="2"/>
  <c r="G935" i="2"/>
  <c r="H935" i="2"/>
  <c r="J935" i="2"/>
  <c r="K935" i="2"/>
  <c r="L935" i="2"/>
  <c r="C936" i="2"/>
  <c r="D936" i="2"/>
  <c r="F936" i="2"/>
  <c r="G936" i="2"/>
  <c r="H936" i="2"/>
  <c r="J936" i="2"/>
  <c r="K936" i="2"/>
  <c r="L936" i="2"/>
  <c r="C937" i="2"/>
  <c r="D937" i="2"/>
  <c r="F937" i="2"/>
  <c r="G937" i="2"/>
  <c r="H937" i="2"/>
  <c r="J937" i="2"/>
  <c r="K937" i="2"/>
  <c r="L937" i="2"/>
  <c r="C938" i="2"/>
  <c r="D938" i="2"/>
  <c r="F938" i="2"/>
  <c r="G938" i="2"/>
  <c r="H938" i="2"/>
  <c r="J938" i="2"/>
  <c r="K938" i="2"/>
  <c r="L938" i="2"/>
  <c r="C939" i="2"/>
  <c r="D939" i="2"/>
  <c r="F939" i="2"/>
  <c r="G939" i="2"/>
  <c r="H939" i="2"/>
  <c r="J939" i="2"/>
  <c r="K939" i="2"/>
  <c r="L939" i="2"/>
  <c r="C940" i="2"/>
  <c r="D940" i="2"/>
  <c r="F940" i="2"/>
  <c r="G940" i="2"/>
  <c r="H940" i="2"/>
  <c r="J940" i="2"/>
  <c r="K940" i="2"/>
  <c r="L940" i="2"/>
  <c r="C941" i="2"/>
  <c r="D941" i="2"/>
  <c r="F941" i="2"/>
  <c r="G941" i="2"/>
  <c r="H941" i="2"/>
  <c r="J941" i="2"/>
  <c r="K941" i="2"/>
  <c r="L941" i="2"/>
  <c r="C942" i="2"/>
  <c r="D942" i="2"/>
  <c r="F942" i="2"/>
  <c r="G942" i="2"/>
  <c r="H942" i="2"/>
  <c r="J942" i="2"/>
  <c r="K942" i="2"/>
  <c r="L942" i="2"/>
  <c r="C943" i="2"/>
  <c r="D943" i="2"/>
  <c r="F943" i="2"/>
  <c r="G943" i="2"/>
  <c r="H943" i="2"/>
  <c r="J943" i="2"/>
  <c r="K943" i="2"/>
  <c r="L943" i="2"/>
  <c r="C944" i="2"/>
  <c r="D944" i="2"/>
  <c r="F944" i="2"/>
  <c r="G944" i="2"/>
  <c r="H944" i="2"/>
  <c r="J944" i="2"/>
  <c r="K944" i="2"/>
  <c r="L944" i="2"/>
  <c r="C945" i="2"/>
  <c r="D945" i="2"/>
  <c r="F945" i="2"/>
  <c r="G945" i="2"/>
  <c r="H945" i="2"/>
  <c r="J945" i="2"/>
  <c r="K945" i="2"/>
  <c r="L945" i="2"/>
  <c r="C946" i="2"/>
  <c r="D946" i="2"/>
  <c r="F946" i="2"/>
  <c r="G946" i="2"/>
  <c r="H946" i="2"/>
  <c r="J946" i="2"/>
  <c r="K946" i="2"/>
  <c r="L946" i="2"/>
  <c r="C947" i="2"/>
  <c r="D947" i="2"/>
  <c r="F947" i="2"/>
  <c r="G947" i="2"/>
  <c r="H947" i="2"/>
  <c r="J947" i="2"/>
  <c r="K947" i="2"/>
  <c r="L947" i="2"/>
  <c r="C948" i="2"/>
  <c r="D948" i="2"/>
  <c r="F948" i="2"/>
  <c r="G948" i="2"/>
  <c r="H948" i="2"/>
  <c r="J948" i="2"/>
  <c r="K948" i="2"/>
  <c r="L948" i="2"/>
  <c r="C949" i="2"/>
  <c r="D949" i="2"/>
  <c r="F949" i="2"/>
  <c r="G949" i="2"/>
  <c r="H949" i="2"/>
  <c r="J949" i="2"/>
  <c r="K949" i="2"/>
  <c r="L949" i="2"/>
  <c r="C950" i="2"/>
  <c r="D950" i="2"/>
  <c r="F950" i="2"/>
  <c r="G950" i="2"/>
  <c r="H950" i="2"/>
  <c r="J950" i="2"/>
  <c r="K950" i="2"/>
  <c r="L950" i="2"/>
  <c r="C951" i="2"/>
  <c r="D951" i="2"/>
  <c r="F951" i="2"/>
  <c r="G951" i="2"/>
  <c r="H951" i="2"/>
  <c r="J951" i="2"/>
  <c r="K951" i="2"/>
  <c r="L951" i="2"/>
  <c r="C952" i="2"/>
  <c r="D952" i="2"/>
  <c r="F952" i="2"/>
  <c r="G952" i="2"/>
  <c r="H952" i="2"/>
  <c r="J952" i="2"/>
  <c r="K952" i="2"/>
  <c r="L952" i="2"/>
  <c r="C953" i="2"/>
  <c r="D953" i="2"/>
  <c r="F953" i="2"/>
  <c r="G953" i="2"/>
  <c r="H953" i="2"/>
  <c r="J953" i="2"/>
  <c r="K953" i="2"/>
  <c r="L953" i="2"/>
  <c r="C954" i="2"/>
  <c r="D954" i="2"/>
  <c r="F954" i="2"/>
  <c r="G954" i="2"/>
  <c r="H954" i="2"/>
  <c r="J954" i="2"/>
  <c r="K954" i="2"/>
  <c r="L954" i="2"/>
  <c r="C955" i="2"/>
  <c r="D955" i="2"/>
  <c r="F955" i="2"/>
  <c r="G955" i="2"/>
  <c r="H955" i="2"/>
  <c r="J955" i="2"/>
  <c r="K955" i="2"/>
  <c r="L955" i="2"/>
  <c r="C956" i="2"/>
  <c r="D956" i="2"/>
  <c r="F956" i="2"/>
  <c r="G956" i="2"/>
  <c r="H956" i="2"/>
  <c r="J956" i="2"/>
  <c r="K956" i="2"/>
  <c r="L956" i="2"/>
  <c r="C957" i="2"/>
  <c r="D957" i="2"/>
  <c r="F957" i="2"/>
  <c r="G957" i="2"/>
  <c r="H957" i="2"/>
  <c r="J957" i="2"/>
  <c r="K957" i="2"/>
  <c r="L957" i="2"/>
  <c r="C958" i="2"/>
  <c r="D958" i="2"/>
  <c r="F958" i="2"/>
  <c r="G958" i="2"/>
  <c r="H958" i="2"/>
  <c r="J958" i="2"/>
  <c r="K958" i="2"/>
  <c r="L958" i="2"/>
  <c r="C959" i="2"/>
  <c r="D959" i="2"/>
  <c r="F959" i="2"/>
  <c r="G959" i="2"/>
  <c r="H959" i="2"/>
  <c r="J959" i="2"/>
  <c r="K959" i="2"/>
  <c r="L959" i="2"/>
  <c r="C960" i="2"/>
  <c r="D960" i="2"/>
  <c r="F960" i="2"/>
  <c r="G960" i="2"/>
  <c r="H960" i="2"/>
  <c r="J960" i="2"/>
  <c r="K960" i="2"/>
  <c r="L960" i="2"/>
  <c r="C961" i="2"/>
  <c r="D961" i="2"/>
  <c r="F961" i="2"/>
  <c r="G961" i="2"/>
  <c r="H961" i="2"/>
  <c r="J961" i="2"/>
  <c r="K961" i="2"/>
  <c r="L961" i="2"/>
  <c r="C962" i="2"/>
  <c r="D962" i="2"/>
  <c r="F962" i="2"/>
  <c r="G962" i="2"/>
  <c r="H962" i="2"/>
  <c r="J962" i="2"/>
  <c r="K962" i="2"/>
  <c r="L962" i="2"/>
  <c r="C963" i="2"/>
  <c r="D963" i="2"/>
  <c r="F963" i="2"/>
  <c r="G963" i="2"/>
  <c r="H963" i="2"/>
  <c r="J963" i="2"/>
  <c r="K963" i="2"/>
  <c r="L963" i="2"/>
  <c r="C964" i="2"/>
  <c r="D964" i="2"/>
  <c r="F964" i="2"/>
  <c r="G964" i="2"/>
  <c r="H964" i="2"/>
  <c r="J964" i="2"/>
  <c r="K964" i="2"/>
  <c r="L964" i="2"/>
  <c r="C965" i="2"/>
  <c r="D965" i="2"/>
  <c r="F965" i="2"/>
  <c r="G965" i="2"/>
  <c r="H965" i="2"/>
  <c r="J965" i="2"/>
  <c r="K965" i="2"/>
  <c r="L965" i="2"/>
  <c r="C966" i="2"/>
  <c r="D966" i="2"/>
  <c r="F966" i="2"/>
  <c r="G966" i="2"/>
  <c r="H966" i="2"/>
  <c r="J966" i="2"/>
  <c r="K966" i="2"/>
  <c r="L966" i="2"/>
  <c r="C967" i="2"/>
  <c r="D967" i="2"/>
  <c r="F967" i="2"/>
  <c r="G967" i="2"/>
  <c r="H967" i="2"/>
  <c r="J967" i="2"/>
  <c r="K967" i="2"/>
  <c r="L967" i="2"/>
  <c r="C968" i="2"/>
  <c r="D968" i="2"/>
  <c r="F968" i="2"/>
  <c r="G968" i="2"/>
  <c r="H968" i="2"/>
  <c r="J968" i="2"/>
  <c r="K968" i="2"/>
  <c r="L968" i="2"/>
  <c r="C969" i="2"/>
  <c r="D969" i="2"/>
  <c r="F969" i="2"/>
  <c r="G969" i="2"/>
  <c r="H969" i="2"/>
  <c r="J969" i="2"/>
  <c r="K969" i="2"/>
  <c r="L969" i="2"/>
  <c r="C970" i="2"/>
  <c r="D970" i="2"/>
  <c r="F970" i="2"/>
  <c r="G970" i="2"/>
  <c r="H970" i="2"/>
  <c r="J970" i="2"/>
  <c r="K970" i="2"/>
  <c r="L970" i="2"/>
  <c r="C971" i="2"/>
  <c r="D971" i="2"/>
  <c r="F971" i="2"/>
  <c r="G971" i="2"/>
  <c r="H971" i="2"/>
  <c r="J971" i="2"/>
  <c r="K971" i="2"/>
  <c r="L971" i="2"/>
  <c r="C972" i="2"/>
  <c r="D972" i="2"/>
  <c r="F972" i="2"/>
  <c r="G972" i="2"/>
  <c r="H972" i="2"/>
  <c r="J972" i="2"/>
  <c r="K972" i="2"/>
  <c r="L972" i="2"/>
  <c r="C973" i="2"/>
  <c r="D973" i="2"/>
  <c r="F973" i="2"/>
  <c r="G973" i="2"/>
  <c r="H973" i="2"/>
  <c r="J973" i="2"/>
  <c r="K973" i="2"/>
  <c r="L973" i="2"/>
  <c r="C974" i="2"/>
  <c r="D974" i="2"/>
  <c r="F974" i="2"/>
  <c r="G974" i="2"/>
  <c r="H974" i="2"/>
  <c r="J974" i="2"/>
  <c r="K974" i="2"/>
  <c r="L974" i="2"/>
  <c r="C975" i="2"/>
  <c r="D975" i="2"/>
  <c r="F975" i="2"/>
  <c r="G975" i="2"/>
  <c r="H975" i="2"/>
  <c r="J975" i="2"/>
  <c r="K975" i="2"/>
  <c r="L975" i="2"/>
  <c r="C976" i="2"/>
  <c r="D976" i="2"/>
  <c r="F976" i="2"/>
  <c r="G976" i="2"/>
  <c r="H976" i="2"/>
  <c r="J976" i="2"/>
  <c r="K976" i="2"/>
  <c r="L976" i="2"/>
  <c r="C977" i="2"/>
  <c r="D977" i="2"/>
  <c r="F977" i="2"/>
  <c r="G977" i="2"/>
  <c r="H977" i="2"/>
  <c r="J977" i="2"/>
  <c r="K977" i="2"/>
  <c r="L977" i="2"/>
  <c r="C978" i="2"/>
  <c r="D978" i="2"/>
  <c r="F978" i="2"/>
  <c r="G978" i="2"/>
  <c r="H978" i="2"/>
  <c r="J978" i="2"/>
  <c r="K978" i="2"/>
  <c r="L978" i="2"/>
  <c r="C979" i="2"/>
  <c r="D979" i="2"/>
  <c r="F979" i="2"/>
  <c r="G979" i="2"/>
  <c r="H979" i="2"/>
  <c r="J979" i="2"/>
  <c r="K979" i="2"/>
  <c r="L979" i="2"/>
  <c r="C980" i="2"/>
  <c r="D980" i="2"/>
  <c r="F980" i="2"/>
  <c r="G980" i="2"/>
  <c r="H980" i="2"/>
  <c r="J980" i="2"/>
  <c r="K980" i="2"/>
  <c r="L980" i="2"/>
  <c r="C981" i="2"/>
  <c r="D981" i="2"/>
  <c r="F981" i="2"/>
  <c r="G981" i="2"/>
  <c r="H981" i="2"/>
  <c r="J981" i="2"/>
  <c r="K981" i="2"/>
  <c r="L981" i="2"/>
  <c r="C982" i="2"/>
  <c r="D982" i="2"/>
  <c r="F982" i="2"/>
  <c r="G982" i="2"/>
  <c r="H982" i="2"/>
  <c r="J982" i="2"/>
  <c r="K982" i="2"/>
  <c r="L982" i="2"/>
  <c r="C983" i="2"/>
  <c r="D983" i="2"/>
  <c r="F983" i="2"/>
  <c r="G983" i="2"/>
  <c r="H983" i="2"/>
  <c r="J983" i="2"/>
  <c r="K983" i="2"/>
  <c r="L983" i="2"/>
  <c r="C984" i="2"/>
  <c r="D984" i="2"/>
  <c r="F984" i="2"/>
  <c r="G984" i="2"/>
  <c r="H984" i="2"/>
  <c r="J984" i="2"/>
  <c r="K984" i="2"/>
  <c r="L984" i="2"/>
  <c r="C985" i="2"/>
  <c r="D985" i="2"/>
  <c r="F985" i="2"/>
  <c r="G985" i="2"/>
  <c r="H985" i="2"/>
  <c r="J985" i="2"/>
  <c r="K985" i="2"/>
  <c r="L985" i="2"/>
  <c r="C986" i="2"/>
  <c r="D986" i="2"/>
  <c r="F986" i="2"/>
  <c r="G986" i="2"/>
  <c r="H986" i="2"/>
  <c r="J986" i="2"/>
  <c r="K986" i="2"/>
  <c r="L986" i="2"/>
  <c r="C987" i="2"/>
  <c r="D987" i="2"/>
  <c r="F987" i="2"/>
  <c r="G987" i="2"/>
  <c r="H987" i="2"/>
  <c r="J987" i="2"/>
  <c r="K987" i="2"/>
  <c r="L987" i="2"/>
  <c r="C988" i="2"/>
  <c r="D988" i="2"/>
  <c r="F988" i="2"/>
  <c r="G988" i="2"/>
  <c r="H988" i="2"/>
  <c r="J988" i="2"/>
  <c r="K988" i="2"/>
  <c r="L988" i="2"/>
  <c r="C989" i="2"/>
  <c r="D989" i="2"/>
  <c r="F989" i="2"/>
  <c r="G989" i="2"/>
  <c r="H989" i="2"/>
  <c r="J989" i="2"/>
  <c r="K989" i="2"/>
  <c r="L989" i="2"/>
  <c r="C990" i="2"/>
  <c r="D990" i="2"/>
  <c r="F990" i="2"/>
  <c r="G990" i="2"/>
  <c r="H990" i="2"/>
  <c r="J990" i="2"/>
  <c r="K990" i="2"/>
  <c r="L990" i="2"/>
  <c r="C991" i="2"/>
  <c r="D991" i="2"/>
  <c r="F991" i="2"/>
  <c r="G991" i="2"/>
  <c r="H991" i="2"/>
  <c r="J991" i="2"/>
  <c r="K991" i="2"/>
  <c r="L991" i="2"/>
  <c r="C992" i="2"/>
  <c r="D992" i="2"/>
  <c r="F992" i="2"/>
  <c r="G992" i="2"/>
  <c r="H992" i="2"/>
  <c r="J992" i="2"/>
  <c r="K992" i="2"/>
  <c r="L992" i="2"/>
  <c r="C993" i="2"/>
  <c r="D993" i="2"/>
  <c r="F993" i="2"/>
  <c r="G993" i="2"/>
  <c r="H993" i="2"/>
  <c r="J993" i="2"/>
  <c r="K993" i="2"/>
  <c r="L993" i="2"/>
  <c r="C994" i="2"/>
  <c r="D994" i="2"/>
  <c r="F994" i="2"/>
  <c r="G994" i="2"/>
  <c r="H994" i="2"/>
  <c r="J994" i="2"/>
  <c r="K994" i="2"/>
  <c r="L994" i="2"/>
  <c r="C995" i="2"/>
  <c r="D995" i="2"/>
  <c r="F995" i="2"/>
  <c r="G995" i="2"/>
  <c r="H995" i="2"/>
  <c r="J995" i="2"/>
  <c r="K995" i="2"/>
  <c r="L995" i="2"/>
  <c r="C996" i="2"/>
  <c r="D996" i="2"/>
  <c r="F996" i="2"/>
  <c r="G996" i="2"/>
  <c r="H996" i="2"/>
  <c r="J996" i="2"/>
  <c r="K996" i="2"/>
  <c r="L996" i="2"/>
  <c r="C997" i="2"/>
  <c r="D997" i="2"/>
  <c r="F997" i="2"/>
  <c r="G997" i="2"/>
  <c r="H997" i="2"/>
  <c r="J997" i="2"/>
  <c r="K997" i="2"/>
  <c r="L997" i="2"/>
  <c r="C998" i="2"/>
  <c r="D998" i="2"/>
  <c r="F998" i="2"/>
  <c r="G998" i="2"/>
  <c r="H998" i="2"/>
  <c r="J998" i="2"/>
  <c r="K998" i="2"/>
  <c r="L998" i="2"/>
  <c r="D999" i="2"/>
  <c r="F999" i="2"/>
  <c r="G999" i="2"/>
  <c r="H999" i="2"/>
  <c r="J999" i="2"/>
  <c r="K999" i="2"/>
  <c r="L999" i="2"/>
  <c r="C1000" i="2"/>
  <c r="D1000" i="2"/>
  <c r="F1000" i="2"/>
  <c r="G1000" i="2"/>
  <c r="H1000" i="2"/>
  <c r="J1000" i="2"/>
  <c r="K1000" i="2"/>
  <c r="L1000" i="2"/>
  <c r="C1001" i="2"/>
  <c r="D1001" i="2"/>
  <c r="F1001" i="2"/>
  <c r="G1001" i="2"/>
  <c r="H1001" i="2"/>
  <c r="J1001" i="2"/>
  <c r="K1001" i="2"/>
  <c r="L1001" i="2"/>
  <c r="C1002" i="2"/>
  <c r="D1002" i="2"/>
  <c r="F1002" i="2"/>
  <c r="G1002" i="2"/>
  <c r="H1002" i="2"/>
  <c r="J1002" i="2"/>
  <c r="K1002" i="2"/>
  <c r="L1002" i="2"/>
  <c r="C1003" i="2"/>
  <c r="D1003" i="2"/>
  <c r="F1003" i="2"/>
  <c r="G1003" i="2"/>
  <c r="H1003" i="2"/>
  <c r="J1003" i="2"/>
  <c r="K1003" i="2"/>
  <c r="L1003" i="2"/>
  <c r="C1004" i="2"/>
  <c r="D1004" i="2"/>
  <c r="F1004" i="2"/>
  <c r="G1004" i="2"/>
  <c r="H1004" i="2"/>
  <c r="J1004" i="2"/>
  <c r="K1004" i="2"/>
  <c r="L1004" i="2"/>
  <c r="C1005" i="2"/>
  <c r="D1005" i="2"/>
  <c r="F1005" i="2"/>
  <c r="G1005" i="2"/>
  <c r="H1005" i="2"/>
  <c r="J1005" i="2"/>
  <c r="K1005" i="2"/>
  <c r="L1005" i="2"/>
  <c r="C1006" i="2"/>
  <c r="D1006" i="2"/>
  <c r="F1006" i="2"/>
  <c r="G1006" i="2"/>
  <c r="H1006" i="2"/>
  <c r="J1006" i="2"/>
  <c r="K1006" i="2"/>
  <c r="L1006" i="2"/>
  <c r="C1007" i="2"/>
  <c r="D1007" i="2"/>
  <c r="F1007" i="2"/>
  <c r="G1007" i="2"/>
  <c r="H1007" i="2"/>
  <c r="J1007" i="2"/>
  <c r="K1007" i="2"/>
  <c r="L1007" i="2"/>
  <c r="C1008" i="2"/>
  <c r="D1008" i="2"/>
  <c r="F1008" i="2"/>
  <c r="G1008" i="2"/>
  <c r="H1008" i="2"/>
  <c r="J1008" i="2"/>
  <c r="K1008" i="2"/>
  <c r="L1008" i="2"/>
  <c r="C1009" i="2"/>
  <c r="D1009" i="2"/>
  <c r="F1009" i="2"/>
  <c r="G1009" i="2"/>
  <c r="H1009" i="2"/>
  <c r="J1009" i="2"/>
  <c r="K1009" i="2"/>
  <c r="L1009" i="2"/>
  <c r="C1010" i="2"/>
  <c r="D1010" i="2"/>
  <c r="F1010" i="2"/>
  <c r="G1010" i="2"/>
  <c r="H1010" i="2"/>
  <c r="J1010" i="2"/>
  <c r="K1010" i="2"/>
  <c r="L1010" i="2"/>
  <c r="C1011" i="2"/>
  <c r="D1011" i="2"/>
  <c r="F1011" i="2"/>
  <c r="G1011" i="2"/>
  <c r="H1011" i="2"/>
  <c r="J1011" i="2"/>
  <c r="K1011" i="2"/>
  <c r="L1011" i="2"/>
  <c r="C1012" i="2"/>
  <c r="D1012" i="2"/>
  <c r="F1012" i="2"/>
  <c r="G1012" i="2"/>
  <c r="H1012" i="2"/>
  <c r="J1012" i="2"/>
  <c r="K1012" i="2"/>
  <c r="L1012" i="2"/>
  <c r="C1013" i="2"/>
  <c r="D1013" i="2"/>
  <c r="F1013" i="2"/>
  <c r="G1013" i="2"/>
  <c r="H1013" i="2"/>
  <c r="J1013" i="2"/>
  <c r="K1013" i="2"/>
  <c r="L1013" i="2"/>
  <c r="C1014" i="2"/>
  <c r="D1014" i="2"/>
  <c r="F1014" i="2"/>
  <c r="G1014" i="2"/>
  <c r="H1014" i="2"/>
  <c r="J1014" i="2"/>
  <c r="K1014" i="2"/>
  <c r="L1014" i="2"/>
  <c r="C1015" i="2"/>
  <c r="D1015" i="2"/>
  <c r="F1015" i="2"/>
  <c r="G1015" i="2"/>
  <c r="H1015" i="2"/>
  <c r="J1015" i="2"/>
  <c r="K1015" i="2"/>
  <c r="L1015" i="2"/>
  <c r="C1016" i="2"/>
  <c r="D1016" i="2"/>
  <c r="F1016" i="2"/>
  <c r="G1016" i="2"/>
  <c r="H1016" i="2"/>
  <c r="J1016" i="2"/>
  <c r="K1016" i="2"/>
  <c r="L1016" i="2"/>
  <c r="C1017" i="2"/>
  <c r="D1017" i="2"/>
  <c r="E1017" i="2"/>
  <c r="F1017" i="2"/>
  <c r="G1017" i="2"/>
  <c r="H1017" i="2"/>
  <c r="J1017" i="2"/>
  <c r="K1017" i="2"/>
  <c r="L1017" i="2"/>
  <c r="C1018" i="2"/>
  <c r="D1018" i="2"/>
  <c r="F1018" i="2"/>
  <c r="G1018" i="2"/>
  <c r="H1018" i="2"/>
  <c r="J1018" i="2"/>
  <c r="K1018" i="2"/>
  <c r="L1018" i="2"/>
  <c r="C1019" i="2"/>
  <c r="D1019" i="2"/>
  <c r="F1019" i="2"/>
  <c r="G1019" i="2"/>
  <c r="H1019" i="2"/>
  <c r="J1019" i="2"/>
  <c r="K1019" i="2"/>
  <c r="L1019" i="2"/>
  <c r="C1020" i="2"/>
  <c r="D1020" i="2"/>
  <c r="F1020" i="2"/>
  <c r="G1020" i="2"/>
  <c r="H1020" i="2"/>
  <c r="J1020" i="2"/>
  <c r="K1020" i="2"/>
  <c r="L1020" i="2"/>
  <c r="C1021" i="2"/>
  <c r="D1021" i="2"/>
  <c r="F1021" i="2"/>
  <c r="G1021" i="2"/>
  <c r="H1021" i="2"/>
  <c r="J1021" i="2"/>
  <c r="K1021" i="2"/>
  <c r="L1021" i="2"/>
  <c r="C1022" i="2"/>
  <c r="D1022" i="2"/>
  <c r="F1022" i="2"/>
  <c r="G1022" i="2"/>
  <c r="H1022" i="2"/>
  <c r="J1022" i="2"/>
  <c r="K1022" i="2"/>
  <c r="L1022" i="2"/>
  <c r="C1023" i="2"/>
  <c r="D1023" i="2"/>
  <c r="F1023" i="2"/>
  <c r="G1023" i="2"/>
  <c r="H1023" i="2"/>
  <c r="J1023" i="2"/>
  <c r="K1023" i="2"/>
  <c r="L1023" i="2"/>
  <c r="C1024" i="2"/>
  <c r="D1024" i="2"/>
  <c r="F1024" i="2"/>
  <c r="G1024" i="2"/>
  <c r="H1024" i="2"/>
  <c r="J1024" i="2"/>
  <c r="K1024" i="2"/>
  <c r="L1024" i="2"/>
  <c r="C1025" i="2"/>
  <c r="D1025" i="2"/>
  <c r="F1025" i="2"/>
  <c r="G1025" i="2"/>
  <c r="H1025" i="2"/>
  <c r="J1025" i="2"/>
  <c r="K1025" i="2"/>
  <c r="L1025" i="2"/>
  <c r="C1026" i="2"/>
  <c r="D1026" i="2"/>
  <c r="F1026" i="2"/>
  <c r="G1026" i="2"/>
  <c r="H1026" i="2"/>
  <c r="J1026" i="2"/>
  <c r="K1026" i="2"/>
  <c r="L1026" i="2"/>
  <c r="C1027" i="2"/>
  <c r="D1027" i="2"/>
  <c r="F1027" i="2"/>
  <c r="G1027" i="2"/>
  <c r="H1027" i="2"/>
  <c r="J1027" i="2"/>
  <c r="K1027" i="2"/>
  <c r="L1027" i="2"/>
  <c r="C1028" i="2"/>
  <c r="D1028" i="2"/>
  <c r="F1028" i="2"/>
  <c r="G1028" i="2"/>
  <c r="H1028" i="2"/>
  <c r="J1028" i="2"/>
  <c r="K1028" i="2"/>
  <c r="L1028" i="2"/>
  <c r="C1029" i="2"/>
  <c r="D1029" i="2"/>
  <c r="F1029" i="2"/>
  <c r="G1029" i="2"/>
  <c r="H1029" i="2"/>
  <c r="J1029" i="2"/>
  <c r="K1029" i="2"/>
  <c r="L1029" i="2"/>
  <c r="C1030" i="2"/>
  <c r="D1030" i="2"/>
  <c r="F1030" i="2"/>
  <c r="G1030" i="2"/>
  <c r="H1030" i="2"/>
  <c r="J1030" i="2"/>
  <c r="K1030" i="2"/>
  <c r="L1030" i="2"/>
  <c r="C1031" i="2"/>
  <c r="D1031" i="2"/>
  <c r="F1031" i="2"/>
  <c r="G1031" i="2"/>
  <c r="H1031" i="2"/>
  <c r="J1031" i="2"/>
  <c r="K1031" i="2"/>
  <c r="L1031" i="2"/>
  <c r="C1032" i="2"/>
  <c r="D1032" i="2"/>
  <c r="F1032" i="2"/>
  <c r="G1032" i="2"/>
  <c r="H1032" i="2"/>
  <c r="J1032" i="2"/>
  <c r="K1032" i="2"/>
  <c r="L1032" i="2"/>
  <c r="C1033" i="2"/>
  <c r="D1033" i="2"/>
  <c r="F1033" i="2"/>
  <c r="G1033" i="2"/>
  <c r="H1033" i="2"/>
  <c r="J1033" i="2"/>
  <c r="K1033" i="2"/>
  <c r="L1033" i="2"/>
  <c r="C1034" i="2"/>
  <c r="D1034" i="2"/>
  <c r="F1034" i="2"/>
  <c r="G1034" i="2"/>
  <c r="H1034" i="2"/>
  <c r="J1034" i="2"/>
  <c r="K1034" i="2"/>
  <c r="L1034" i="2"/>
  <c r="C1035" i="2"/>
  <c r="D1035" i="2"/>
  <c r="F1035" i="2"/>
  <c r="G1035" i="2"/>
  <c r="H1035" i="2"/>
  <c r="J1035" i="2"/>
  <c r="K1035" i="2"/>
  <c r="L1035" i="2"/>
  <c r="C1036" i="2"/>
  <c r="D1036" i="2"/>
  <c r="F1036" i="2"/>
  <c r="G1036" i="2"/>
  <c r="H1036" i="2"/>
  <c r="J1036" i="2"/>
  <c r="K1036" i="2"/>
  <c r="L1036" i="2"/>
  <c r="C1037" i="2"/>
  <c r="D1037" i="2"/>
  <c r="F1037" i="2"/>
  <c r="G1037" i="2"/>
  <c r="H1037" i="2"/>
  <c r="J1037" i="2"/>
  <c r="K1037" i="2"/>
  <c r="L1037" i="2"/>
  <c r="C1038" i="2"/>
  <c r="D1038" i="2"/>
  <c r="F1038" i="2"/>
  <c r="G1038" i="2"/>
  <c r="H1038" i="2"/>
  <c r="J1038" i="2"/>
  <c r="K1038" i="2"/>
  <c r="L1038" i="2"/>
  <c r="C1039" i="2"/>
  <c r="D1039" i="2"/>
  <c r="F1039" i="2"/>
  <c r="G1039" i="2"/>
  <c r="H1039" i="2"/>
  <c r="J1039" i="2"/>
  <c r="K1039" i="2"/>
  <c r="L1039" i="2"/>
  <c r="C1040" i="2"/>
  <c r="D1040" i="2"/>
  <c r="F1040" i="2"/>
  <c r="G1040" i="2"/>
  <c r="H1040" i="2"/>
  <c r="J1040" i="2"/>
  <c r="K1040" i="2"/>
  <c r="L1040" i="2"/>
  <c r="C1041" i="2"/>
  <c r="D1041" i="2"/>
  <c r="F1041" i="2"/>
  <c r="G1041" i="2"/>
  <c r="H1041" i="2"/>
  <c r="J1041" i="2"/>
  <c r="K1041" i="2"/>
  <c r="L1041" i="2"/>
  <c r="C1042" i="2"/>
  <c r="D1042" i="2"/>
  <c r="F1042" i="2"/>
  <c r="G1042" i="2"/>
  <c r="H1042" i="2"/>
  <c r="J1042" i="2"/>
  <c r="K1042" i="2"/>
  <c r="L1042" i="2"/>
  <c r="C1043" i="2"/>
  <c r="D1043" i="2"/>
  <c r="F1043" i="2"/>
  <c r="G1043" i="2"/>
  <c r="H1043" i="2"/>
  <c r="J1043" i="2"/>
  <c r="K1043" i="2"/>
  <c r="L1043" i="2"/>
  <c r="C1044" i="2"/>
  <c r="D1044" i="2"/>
  <c r="F1044" i="2"/>
  <c r="G1044" i="2"/>
  <c r="H1044" i="2"/>
  <c r="J1044" i="2"/>
  <c r="K1044" i="2"/>
  <c r="L1044" i="2"/>
  <c r="C1045" i="2"/>
  <c r="D1045" i="2"/>
  <c r="F1045" i="2"/>
  <c r="G1045" i="2"/>
  <c r="H1045" i="2"/>
  <c r="J1045" i="2"/>
  <c r="K1045" i="2"/>
  <c r="L1045" i="2"/>
  <c r="C1046" i="2"/>
  <c r="D1046" i="2"/>
  <c r="F1046" i="2"/>
  <c r="G1046" i="2"/>
  <c r="H1046" i="2"/>
  <c r="J1046" i="2"/>
  <c r="K1046" i="2"/>
  <c r="L1046" i="2"/>
  <c r="C1047" i="2"/>
  <c r="D1047" i="2"/>
  <c r="F1047" i="2"/>
  <c r="G1047" i="2"/>
  <c r="H1047" i="2"/>
  <c r="J1047" i="2"/>
  <c r="K1047" i="2"/>
  <c r="L1047" i="2"/>
  <c r="C1048" i="2"/>
  <c r="D1048" i="2"/>
  <c r="F1048" i="2"/>
  <c r="G1048" i="2"/>
  <c r="H1048" i="2"/>
  <c r="J1048" i="2"/>
  <c r="K1048" i="2"/>
  <c r="L1048" i="2"/>
  <c r="C1049" i="2"/>
  <c r="D1049" i="2"/>
  <c r="F1049" i="2"/>
  <c r="G1049" i="2"/>
  <c r="H1049" i="2"/>
  <c r="J1049" i="2"/>
  <c r="K1049" i="2"/>
  <c r="L1049" i="2"/>
  <c r="C1050" i="2"/>
  <c r="D1050" i="2"/>
  <c r="F1050" i="2"/>
  <c r="G1050" i="2"/>
  <c r="H1050" i="2"/>
  <c r="J1050" i="2"/>
  <c r="K1050" i="2"/>
  <c r="L1050" i="2"/>
  <c r="C1051" i="2"/>
  <c r="D1051" i="2"/>
  <c r="F1051" i="2"/>
  <c r="G1051" i="2"/>
  <c r="H1051" i="2"/>
  <c r="J1051" i="2"/>
  <c r="K1051" i="2"/>
  <c r="L1051" i="2"/>
  <c r="C1052" i="2"/>
  <c r="D1052" i="2"/>
  <c r="F1052" i="2"/>
  <c r="G1052" i="2"/>
  <c r="H1052" i="2"/>
  <c r="J1052" i="2"/>
  <c r="K1052" i="2"/>
  <c r="L1052" i="2"/>
  <c r="C1053" i="2"/>
  <c r="D1053" i="2"/>
  <c r="F1053" i="2"/>
  <c r="G1053" i="2"/>
  <c r="H1053" i="2"/>
  <c r="J1053" i="2"/>
  <c r="K1053" i="2"/>
  <c r="L1053" i="2"/>
  <c r="C1054" i="2"/>
  <c r="D1054" i="2"/>
  <c r="F1054" i="2"/>
  <c r="G1054" i="2"/>
  <c r="H1054" i="2"/>
  <c r="J1054" i="2"/>
  <c r="K1054" i="2"/>
  <c r="L1054" i="2"/>
  <c r="C1055" i="2"/>
  <c r="D1055" i="2"/>
  <c r="F1055" i="2"/>
  <c r="G1055" i="2"/>
  <c r="H1055" i="2"/>
  <c r="J1055" i="2"/>
  <c r="K1055" i="2"/>
  <c r="L1055" i="2"/>
  <c r="C1056" i="2"/>
  <c r="D1056" i="2"/>
  <c r="F1056" i="2"/>
  <c r="G1056" i="2"/>
  <c r="H1056" i="2"/>
  <c r="J1056" i="2"/>
  <c r="K1056" i="2"/>
  <c r="L1056" i="2"/>
  <c r="C1057" i="2"/>
  <c r="D1057" i="2"/>
  <c r="F1057" i="2"/>
  <c r="G1057" i="2"/>
  <c r="H1057" i="2"/>
  <c r="J1057" i="2"/>
  <c r="K1057" i="2"/>
  <c r="L1057" i="2"/>
  <c r="C1058" i="2"/>
  <c r="D1058" i="2"/>
  <c r="F1058" i="2"/>
  <c r="G1058" i="2"/>
  <c r="H1058" i="2"/>
  <c r="J1058" i="2"/>
  <c r="K1058" i="2"/>
  <c r="L1058" i="2"/>
  <c r="C1059" i="2"/>
  <c r="D1059" i="2"/>
  <c r="F1059" i="2"/>
  <c r="G1059" i="2"/>
  <c r="H1059" i="2"/>
  <c r="J1059" i="2"/>
  <c r="K1059" i="2"/>
  <c r="L1059" i="2"/>
  <c r="C1060" i="2"/>
  <c r="D1060" i="2"/>
  <c r="F1060" i="2"/>
  <c r="G1060" i="2"/>
  <c r="H1060" i="2"/>
  <c r="J1060" i="2"/>
  <c r="K1060" i="2"/>
  <c r="L1060" i="2"/>
  <c r="C1061" i="2"/>
  <c r="D1061" i="2"/>
  <c r="F1061" i="2"/>
  <c r="G1061" i="2"/>
  <c r="H1061" i="2"/>
  <c r="J1061" i="2"/>
  <c r="K1061" i="2"/>
  <c r="L1061" i="2"/>
  <c r="C1062" i="2"/>
  <c r="D1062" i="2"/>
  <c r="F1062" i="2"/>
  <c r="G1062" i="2"/>
  <c r="H1062" i="2"/>
  <c r="J1062" i="2"/>
  <c r="K1062" i="2"/>
  <c r="L1062" i="2"/>
  <c r="C1063" i="2"/>
  <c r="D1063" i="2"/>
  <c r="F1063" i="2"/>
  <c r="G1063" i="2"/>
  <c r="H1063" i="2"/>
  <c r="J1063" i="2"/>
  <c r="K1063" i="2"/>
  <c r="L1063" i="2"/>
  <c r="C1064" i="2"/>
  <c r="D1064" i="2"/>
  <c r="F1064" i="2"/>
  <c r="G1064" i="2"/>
  <c r="H1064" i="2"/>
  <c r="J1064" i="2"/>
  <c r="K1064" i="2"/>
  <c r="L1064" i="2"/>
  <c r="C1065" i="2"/>
  <c r="D1065" i="2"/>
  <c r="F1065" i="2"/>
  <c r="G1065" i="2"/>
  <c r="H1065" i="2"/>
  <c r="J1065" i="2"/>
  <c r="K1065" i="2"/>
  <c r="L1065" i="2"/>
  <c r="C1066" i="2"/>
  <c r="D1066" i="2"/>
  <c r="F1066" i="2"/>
  <c r="G1066" i="2"/>
  <c r="H1066" i="2"/>
  <c r="J1066" i="2"/>
  <c r="K1066" i="2"/>
  <c r="L1066" i="2"/>
  <c r="C1067" i="2"/>
  <c r="D1067" i="2"/>
  <c r="F1067" i="2"/>
  <c r="G1067" i="2"/>
  <c r="H1067" i="2"/>
  <c r="J1067" i="2"/>
  <c r="K1067" i="2"/>
  <c r="L1067" i="2"/>
  <c r="C1068" i="2"/>
  <c r="D1068" i="2"/>
  <c r="F1068" i="2"/>
  <c r="G1068" i="2"/>
  <c r="H1068" i="2"/>
  <c r="J1068" i="2"/>
  <c r="K1068" i="2"/>
  <c r="L1068" i="2"/>
  <c r="C1069" i="2"/>
  <c r="D1069" i="2"/>
  <c r="F1069" i="2"/>
  <c r="G1069" i="2"/>
  <c r="H1069" i="2"/>
  <c r="J1069" i="2"/>
  <c r="K1069" i="2"/>
  <c r="L1069" i="2"/>
  <c r="C1070" i="2"/>
  <c r="D1070" i="2"/>
  <c r="F1070" i="2"/>
  <c r="G1070" i="2"/>
  <c r="H1070" i="2"/>
  <c r="J1070" i="2"/>
  <c r="K1070" i="2"/>
  <c r="L1070" i="2"/>
  <c r="C1071" i="2"/>
  <c r="D1071" i="2"/>
  <c r="F1071" i="2"/>
  <c r="G1071" i="2"/>
  <c r="H1071" i="2"/>
  <c r="J1071" i="2"/>
  <c r="K1071" i="2"/>
  <c r="L1071" i="2"/>
  <c r="C1072" i="2"/>
  <c r="D1072" i="2"/>
  <c r="F1072" i="2"/>
  <c r="G1072" i="2"/>
  <c r="H1072" i="2"/>
  <c r="J1072" i="2"/>
  <c r="K1072" i="2"/>
  <c r="L1072" i="2"/>
  <c r="C1073" i="2"/>
  <c r="D1073" i="2"/>
  <c r="F1073" i="2"/>
  <c r="G1073" i="2"/>
  <c r="H1073" i="2"/>
  <c r="J1073" i="2"/>
  <c r="K1073" i="2"/>
  <c r="L1073" i="2"/>
  <c r="C1074" i="2"/>
  <c r="D1074" i="2"/>
  <c r="F1074" i="2"/>
  <c r="G1074" i="2"/>
  <c r="H1074" i="2"/>
  <c r="J1074" i="2"/>
  <c r="K1074" i="2"/>
  <c r="L1074" i="2"/>
  <c r="C1075" i="2"/>
  <c r="D1075" i="2"/>
  <c r="F1075" i="2"/>
  <c r="G1075" i="2"/>
  <c r="H1075" i="2"/>
  <c r="J1075" i="2"/>
  <c r="K1075" i="2"/>
  <c r="L1075" i="2"/>
  <c r="C1076" i="2"/>
  <c r="D1076" i="2"/>
  <c r="F1076" i="2"/>
  <c r="G1076" i="2"/>
  <c r="H1076" i="2"/>
  <c r="J1076" i="2"/>
  <c r="K1076" i="2"/>
  <c r="L1076" i="2"/>
  <c r="C1077" i="2"/>
  <c r="D1077" i="2"/>
  <c r="F1077" i="2"/>
  <c r="G1077" i="2"/>
  <c r="H1077" i="2"/>
  <c r="J1077" i="2"/>
  <c r="K1077" i="2"/>
  <c r="L1077" i="2"/>
  <c r="C1078" i="2"/>
  <c r="D1078" i="2"/>
  <c r="F1078" i="2"/>
  <c r="G1078" i="2"/>
  <c r="H1078" i="2"/>
  <c r="J1078" i="2"/>
  <c r="K1078" i="2"/>
  <c r="L1078" i="2"/>
  <c r="C1079" i="2"/>
  <c r="D1079" i="2"/>
  <c r="F1079" i="2"/>
  <c r="G1079" i="2"/>
  <c r="H1079" i="2"/>
  <c r="J1079" i="2"/>
  <c r="K1079" i="2"/>
  <c r="L1079" i="2"/>
  <c r="C1080" i="2"/>
  <c r="D1080" i="2"/>
  <c r="F1080" i="2"/>
  <c r="G1080" i="2"/>
  <c r="H1080" i="2"/>
  <c r="J1080" i="2"/>
  <c r="K1080" i="2"/>
  <c r="L1080" i="2"/>
  <c r="C1081" i="2"/>
  <c r="D1081" i="2"/>
  <c r="F1081" i="2"/>
  <c r="G1081" i="2"/>
  <c r="H1081" i="2"/>
  <c r="J1081" i="2"/>
  <c r="K1081" i="2"/>
  <c r="L1081" i="2"/>
  <c r="C1082" i="2"/>
  <c r="D1082" i="2"/>
  <c r="F1082" i="2"/>
  <c r="G1082" i="2"/>
  <c r="H1082" i="2"/>
  <c r="J1082" i="2"/>
  <c r="K1082" i="2"/>
  <c r="L1082" i="2"/>
  <c r="C1083" i="2"/>
  <c r="D1083" i="2"/>
  <c r="F1083" i="2"/>
  <c r="G1083" i="2"/>
  <c r="H1083" i="2"/>
  <c r="J1083" i="2"/>
  <c r="K1083" i="2"/>
  <c r="L1083" i="2"/>
  <c r="C1084" i="2"/>
  <c r="D1084" i="2"/>
  <c r="F1084" i="2"/>
  <c r="G1084" i="2"/>
  <c r="H1084" i="2"/>
  <c r="J1084" i="2"/>
  <c r="K1084" i="2"/>
  <c r="L1084" i="2"/>
  <c r="C1085" i="2"/>
  <c r="D1085" i="2"/>
  <c r="F1085" i="2"/>
  <c r="G1085" i="2"/>
  <c r="H1085" i="2"/>
  <c r="J1085" i="2"/>
  <c r="K1085" i="2"/>
  <c r="L1085" i="2"/>
  <c r="C1086" i="2"/>
  <c r="D1086" i="2"/>
  <c r="F1086" i="2"/>
  <c r="G1086" i="2"/>
  <c r="H1086" i="2"/>
  <c r="J1086" i="2"/>
  <c r="K1086" i="2"/>
  <c r="L1086" i="2"/>
  <c r="C1087" i="2"/>
  <c r="D1087" i="2"/>
  <c r="F1087" i="2"/>
  <c r="G1087" i="2"/>
  <c r="H1087" i="2"/>
  <c r="J1087" i="2"/>
  <c r="K1087" i="2"/>
  <c r="L1087" i="2"/>
  <c r="C1088" i="2"/>
  <c r="D1088" i="2"/>
  <c r="F1088" i="2"/>
  <c r="G1088" i="2"/>
  <c r="H1088" i="2"/>
  <c r="J1088" i="2"/>
  <c r="K1088" i="2"/>
  <c r="L1088" i="2"/>
  <c r="C1089" i="2"/>
  <c r="D1089" i="2"/>
  <c r="F1089" i="2"/>
  <c r="G1089" i="2"/>
  <c r="H1089" i="2"/>
  <c r="J1089" i="2"/>
  <c r="K1089" i="2"/>
  <c r="L1089" i="2"/>
  <c r="C1090" i="2"/>
  <c r="D1090" i="2"/>
  <c r="F1090" i="2"/>
  <c r="G1090" i="2"/>
  <c r="H1090" i="2"/>
  <c r="J1090" i="2"/>
  <c r="K1090" i="2"/>
  <c r="L1090" i="2"/>
  <c r="C1091" i="2"/>
  <c r="D1091" i="2"/>
  <c r="F1091" i="2"/>
  <c r="G1091" i="2"/>
  <c r="H1091" i="2"/>
  <c r="J1091" i="2"/>
  <c r="K1091" i="2"/>
  <c r="L1091" i="2"/>
  <c r="C1092" i="2"/>
  <c r="D1092" i="2"/>
  <c r="F1092" i="2"/>
  <c r="G1092" i="2"/>
  <c r="H1092" i="2"/>
  <c r="J1092" i="2"/>
  <c r="K1092" i="2"/>
  <c r="L1092" i="2"/>
  <c r="C1093" i="2"/>
  <c r="D1093" i="2"/>
  <c r="F1093" i="2"/>
  <c r="G1093" i="2"/>
  <c r="H1093" i="2"/>
  <c r="J1093" i="2"/>
  <c r="K1093" i="2"/>
  <c r="L1093" i="2"/>
  <c r="C1094" i="2"/>
  <c r="D1094" i="2"/>
  <c r="F1094" i="2"/>
  <c r="G1094" i="2"/>
  <c r="H1094" i="2"/>
  <c r="J1094" i="2"/>
  <c r="K1094" i="2"/>
  <c r="L1094" i="2"/>
  <c r="C1095" i="2"/>
  <c r="D1095" i="2"/>
  <c r="F1095" i="2"/>
  <c r="G1095" i="2"/>
  <c r="H1095" i="2"/>
  <c r="J1095" i="2"/>
  <c r="K1095" i="2"/>
  <c r="L1095" i="2"/>
  <c r="C1096" i="2"/>
  <c r="D1096" i="2"/>
  <c r="F1096" i="2"/>
  <c r="G1096" i="2"/>
  <c r="H1096" i="2"/>
  <c r="J1096" i="2"/>
  <c r="K1096" i="2"/>
  <c r="L1096" i="2"/>
  <c r="C1097" i="2"/>
  <c r="D1097" i="2"/>
  <c r="F1097" i="2"/>
  <c r="G1097" i="2"/>
  <c r="H1097" i="2"/>
  <c r="J1097" i="2"/>
  <c r="K1097" i="2"/>
  <c r="L1097" i="2"/>
  <c r="C1098" i="2"/>
  <c r="D1098" i="2"/>
  <c r="F1098" i="2"/>
  <c r="G1098" i="2"/>
  <c r="H1098" i="2"/>
  <c r="J1098" i="2"/>
  <c r="K1098" i="2"/>
  <c r="L1098" i="2"/>
  <c r="C1099" i="2"/>
  <c r="D1099" i="2"/>
  <c r="F1099" i="2"/>
  <c r="G1099" i="2"/>
  <c r="H1099" i="2"/>
  <c r="J1099" i="2"/>
  <c r="K1099" i="2"/>
  <c r="L1099" i="2"/>
  <c r="C1100" i="2"/>
  <c r="D1100" i="2"/>
  <c r="F1100" i="2"/>
  <c r="G1100" i="2"/>
  <c r="H1100" i="2"/>
  <c r="J1100" i="2"/>
  <c r="K1100" i="2"/>
  <c r="L1100" i="2"/>
  <c r="C1101" i="2"/>
  <c r="D1101" i="2"/>
  <c r="F1101" i="2"/>
  <c r="G1101" i="2"/>
  <c r="H1101" i="2"/>
  <c r="J1101" i="2"/>
  <c r="K1101" i="2"/>
  <c r="L1101" i="2"/>
  <c r="C1102" i="2"/>
  <c r="D1102" i="2"/>
  <c r="F1102" i="2"/>
  <c r="G1102" i="2"/>
  <c r="H1102" i="2"/>
  <c r="J1102" i="2"/>
  <c r="K1102" i="2"/>
  <c r="L1102" i="2"/>
  <c r="C1103" i="2"/>
  <c r="D1103" i="2"/>
  <c r="F1103" i="2"/>
  <c r="G1103" i="2"/>
  <c r="H1103" i="2"/>
  <c r="J1103" i="2"/>
  <c r="K1103" i="2"/>
  <c r="L1103" i="2"/>
  <c r="C1104" i="2"/>
  <c r="D1104" i="2"/>
  <c r="F1104" i="2"/>
  <c r="G1104" i="2"/>
  <c r="H1104" i="2"/>
  <c r="J1104" i="2"/>
  <c r="K1104" i="2"/>
  <c r="L1104" i="2"/>
  <c r="C1105" i="2"/>
  <c r="D1105" i="2"/>
  <c r="F1105" i="2"/>
  <c r="G1105" i="2"/>
  <c r="H1105" i="2"/>
  <c r="J1105" i="2"/>
  <c r="K1105" i="2"/>
  <c r="L1105" i="2"/>
  <c r="C1106" i="2"/>
  <c r="D1106" i="2"/>
  <c r="F1106" i="2"/>
  <c r="G1106" i="2"/>
  <c r="H1106" i="2"/>
  <c r="J1106" i="2"/>
  <c r="K1106" i="2"/>
  <c r="L1106" i="2"/>
  <c r="C1107" i="2"/>
  <c r="D1107" i="2"/>
  <c r="F1107" i="2"/>
  <c r="G1107" i="2"/>
  <c r="H1107" i="2"/>
  <c r="J1107" i="2"/>
  <c r="K1107" i="2"/>
  <c r="L1107" i="2"/>
  <c r="C1108" i="2"/>
  <c r="D1108" i="2"/>
  <c r="F1108" i="2"/>
  <c r="G1108" i="2"/>
  <c r="H1108" i="2"/>
  <c r="J1108" i="2"/>
  <c r="K1108" i="2"/>
  <c r="L1108" i="2"/>
  <c r="C1109" i="2"/>
  <c r="D1109" i="2"/>
  <c r="F1109" i="2"/>
  <c r="G1109" i="2"/>
  <c r="H1109" i="2"/>
  <c r="J1109" i="2"/>
  <c r="K1109" i="2"/>
  <c r="L1109" i="2"/>
  <c r="C1110" i="2"/>
  <c r="D1110" i="2"/>
  <c r="F1110" i="2"/>
  <c r="G1110" i="2"/>
  <c r="H1110" i="2"/>
  <c r="J1110" i="2"/>
  <c r="K1110" i="2"/>
  <c r="L1110" i="2"/>
  <c r="C1111" i="2"/>
  <c r="D1111" i="2"/>
  <c r="F1111" i="2"/>
  <c r="G1111" i="2"/>
  <c r="H1111" i="2"/>
  <c r="J1111" i="2"/>
  <c r="K1111" i="2"/>
  <c r="L1111" i="2"/>
  <c r="C1112" i="2"/>
  <c r="D1112" i="2"/>
  <c r="F1112" i="2"/>
  <c r="G1112" i="2"/>
  <c r="H1112" i="2"/>
  <c r="J1112" i="2"/>
  <c r="K1112" i="2"/>
  <c r="L1112" i="2"/>
  <c r="C1113" i="2"/>
  <c r="D1113" i="2"/>
  <c r="F1113" i="2"/>
  <c r="G1113" i="2"/>
  <c r="H1113" i="2"/>
  <c r="J1113" i="2"/>
  <c r="K1113" i="2"/>
  <c r="L1113" i="2"/>
  <c r="C1114" i="2"/>
  <c r="D1114" i="2"/>
  <c r="F1114" i="2"/>
  <c r="G1114" i="2"/>
  <c r="H1114" i="2"/>
  <c r="J1114" i="2"/>
  <c r="K1114" i="2"/>
  <c r="L1114" i="2"/>
  <c r="C1115" i="2"/>
  <c r="D1115" i="2"/>
  <c r="F1115" i="2"/>
  <c r="G1115" i="2"/>
  <c r="H1115" i="2"/>
  <c r="J1115" i="2"/>
  <c r="K1115" i="2"/>
  <c r="L1115" i="2"/>
  <c r="C1116" i="2"/>
  <c r="D1116" i="2"/>
  <c r="F1116" i="2"/>
  <c r="G1116" i="2"/>
  <c r="H1116" i="2"/>
  <c r="J1116" i="2"/>
  <c r="K1116" i="2"/>
  <c r="L1116" i="2"/>
  <c r="C1117" i="2"/>
  <c r="D1117" i="2"/>
  <c r="F1117" i="2"/>
  <c r="G1117" i="2"/>
  <c r="H1117" i="2"/>
  <c r="J1117" i="2"/>
  <c r="K1117" i="2"/>
  <c r="L1117" i="2"/>
  <c r="C1118" i="2"/>
  <c r="D1118" i="2"/>
  <c r="F1118" i="2"/>
  <c r="G1118" i="2"/>
  <c r="H1118" i="2"/>
  <c r="J1118" i="2"/>
  <c r="K1118" i="2"/>
  <c r="L1118" i="2"/>
  <c r="C1119" i="2"/>
  <c r="D1119" i="2"/>
  <c r="F1119" i="2"/>
  <c r="G1119" i="2"/>
  <c r="H1119" i="2"/>
  <c r="J1119" i="2"/>
  <c r="K1119" i="2"/>
  <c r="L1119" i="2"/>
  <c r="C1120" i="2"/>
  <c r="D1120" i="2"/>
  <c r="F1120" i="2"/>
  <c r="G1120" i="2"/>
  <c r="H1120" i="2"/>
  <c r="J1120" i="2"/>
  <c r="K1120" i="2"/>
  <c r="L1120" i="2"/>
  <c r="C1121" i="2"/>
  <c r="D1121" i="2"/>
  <c r="F1121" i="2"/>
  <c r="G1121" i="2"/>
  <c r="H1121" i="2"/>
  <c r="J1121" i="2"/>
  <c r="K1121" i="2"/>
  <c r="L1121" i="2"/>
  <c r="C1122" i="2"/>
  <c r="D1122" i="2"/>
  <c r="F1122" i="2"/>
  <c r="G1122" i="2"/>
  <c r="H1122" i="2"/>
  <c r="J1122" i="2"/>
  <c r="K1122" i="2"/>
  <c r="L1122" i="2"/>
  <c r="C1123" i="2"/>
  <c r="D1123" i="2"/>
  <c r="F1123" i="2"/>
  <c r="G1123" i="2"/>
  <c r="H1123" i="2"/>
  <c r="J1123" i="2"/>
  <c r="K1123" i="2"/>
  <c r="L1123" i="2"/>
  <c r="C1124" i="2"/>
  <c r="D1124" i="2"/>
  <c r="F1124" i="2"/>
  <c r="G1124" i="2"/>
  <c r="H1124" i="2"/>
  <c r="J1124" i="2"/>
  <c r="K1124" i="2"/>
  <c r="L1124" i="2"/>
  <c r="C1125" i="2"/>
  <c r="D1125" i="2"/>
  <c r="F1125" i="2"/>
  <c r="G1125" i="2"/>
  <c r="H1125" i="2"/>
  <c r="J1125" i="2"/>
  <c r="K1125" i="2"/>
  <c r="L1125" i="2"/>
  <c r="C1126" i="2"/>
  <c r="D1126" i="2"/>
  <c r="F1126" i="2"/>
  <c r="G1126" i="2"/>
  <c r="H1126" i="2"/>
  <c r="J1126" i="2"/>
  <c r="K1126" i="2"/>
  <c r="L1126" i="2"/>
  <c r="C1127" i="2"/>
  <c r="D1127" i="2"/>
  <c r="F1127" i="2"/>
  <c r="G1127" i="2"/>
  <c r="H1127" i="2"/>
  <c r="J1127" i="2"/>
  <c r="K1127" i="2"/>
  <c r="L1127" i="2"/>
  <c r="C1128" i="2"/>
  <c r="D1128" i="2"/>
  <c r="F1128" i="2"/>
  <c r="G1128" i="2"/>
  <c r="H1128" i="2"/>
  <c r="J1128" i="2"/>
  <c r="K1128" i="2"/>
  <c r="L1128" i="2"/>
  <c r="C1129" i="2"/>
  <c r="D1129" i="2"/>
  <c r="F1129" i="2"/>
  <c r="G1129" i="2"/>
  <c r="H1129" i="2"/>
  <c r="J1129" i="2"/>
  <c r="K1129" i="2"/>
  <c r="L1129" i="2"/>
  <c r="C1130" i="2"/>
  <c r="D1130" i="2"/>
  <c r="F1130" i="2"/>
  <c r="G1130" i="2"/>
  <c r="H1130" i="2"/>
  <c r="J1130" i="2"/>
  <c r="K1130" i="2"/>
  <c r="L1130" i="2"/>
  <c r="C1131" i="2"/>
  <c r="D1131" i="2"/>
  <c r="F1131" i="2"/>
  <c r="G1131" i="2"/>
  <c r="H1131" i="2"/>
  <c r="J1131" i="2"/>
  <c r="K1131" i="2"/>
  <c r="L1131" i="2"/>
  <c r="C1132" i="2"/>
  <c r="D1132" i="2"/>
  <c r="F1132" i="2"/>
  <c r="G1132" i="2"/>
  <c r="H1132" i="2"/>
  <c r="J1132" i="2"/>
  <c r="K1132" i="2"/>
  <c r="L1132" i="2"/>
  <c r="C1133" i="2"/>
  <c r="D1133" i="2"/>
  <c r="F1133" i="2"/>
  <c r="G1133" i="2"/>
  <c r="H1133" i="2"/>
  <c r="J1133" i="2"/>
  <c r="K1133" i="2"/>
  <c r="L1133" i="2"/>
  <c r="C1134" i="2"/>
  <c r="D1134" i="2"/>
  <c r="F1134" i="2"/>
  <c r="G1134" i="2"/>
  <c r="H1134" i="2"/>
  <c r="J1134" i="2"/>
  <c r="K1134" i="2"/>
  <c r="L1134" i="2"/>
  <c r="C1135" i="2"/>
  <c r="D1135" i="2"/>
  <c r="F1135" i="2"/>
  <c r="G1135" i="2"/>
  <c r="H1135" i="2"/>
  <c r="J1135" i="2"/>
  <c r="K1135" i="2"/>
  <c r="L1135" i="2"/>
  <c r="C1136" i="2"/>
  <c r="D1136" i="2"/>
  <c r="F1136" i="2"/>
  <c r="G1136" i="2"/>
  <c r="H1136" i="2"/>
  <c r="J1136" i="2"/>
  <c r="K1136" i="2"/>
  <c r="L1136" i="2"/>
  <c r="C1137" i="2"/>
  <c r="D1137" i="2"/>
  <c r="F1137" i="2"/>
  <c r="G1137" i="2"/>
  <c r="H1137" i="2"/>
  <c r="J1137" i="2"/>
  <c r="K1137" i="2"/>
  <c r="L1137" i="2"/>
  <c r="C1138" i="2"/>
  <c r="D1138" i="2"/>
  <c r="F1138" i="2"/>
  <c r="G1138" i="2"/>
  <c r="H1138" i="2"/>
  <c r="J1138" i="2"/>
  <c r="K1138" i="2"/>
  <c r="L1138" i="2"/>
  <c r="C1139" i="2"/>
  <c r="D1139" i="2"/>
  <c r="F1139" i="2"/>
  <c r="G1139" i="2"/>
  <c r="H1139" i="2"/>
  <c r="J1139" i="2"/>
  <c r="K1139" i="2"/>
  <c r="L1139" i="2"/>
  <c r="C1140" i="2"/>
  <c r="D1140" i="2"/>
  <c r="E1140" i="2"/>
  <c r="F1140" i="2"/>
  <c r="G1140" i="2"/>
  <c r="H1140" i="2"/>
  <c r="J1140" i="2"/>
  <c r="K1140" i="2"/>
  <c r="L1140" i="2"/>
  <c r="C1141" i="2"/>
  <c r="D1141" i="2"/>
  <c r="F1141" i="2"/>
  <c r="G1141" i="2"/>
  <c r="H1141" i="2"/>
  <c r="J1141" i="2"/>
  <c r="K1141" i="2"/>
  <c r="L1141" i="2"/>
  <c r="C1142" i="2"/>
  <c r="D1142" i="2"/>
  <c r="F1142" i="2"/>
  <c r="G1142" i="2"/>
  <c r="H1142" i="2"/>
  <c r="J1142" i="2"/>
  <c r="K1142" i="2"/>
  <c r="L1142" i="2"/>
  <c r="C1143" i="2"/>
  <c r="D1143" i="2"/>
  <c r="F1143" i="2"/>
  <c r="G1143" i="2"/>
  <c r="H1143" i="2"/>
  <c r="J1143" i="2"/>
  <c r="K1143" i="2"/>
  <c r="L1143" i="2"/>
  <c r="C1144" i="2"/>
  <c r="D1144" i="2"/>
  <c r="F1144" i="2"/>
  <c r="G1144" i="2"/>
  <c r="H1144" i="2"/>
  <c r="J1144" i="2"/>
  <c r="K1144" i="2"/>
  <c r="L1144" i="2"/>
  <c r="C1145" i="2"/>
  <c r="D1145" i="2"/>
  <c r="F1145" i="2"/>
  <c r="G1145" i="2"/>
  <c r="H1145" i="2"/>
  <c r="J1145" i="2"/>
  <c r="K1145" i="2"/>
  <c r="L1145" i="2"/>
  <c r="C1146" i="2"/>
  <c r="D1146" i="2"/>
  <c r="F1146" i="2"/>
  <c r="G1146" i="2"/>
  <c r="H1146" i="2"/>
  <c r="J1146" i="2"/>
  <c r="K1146" i="2"/>
  <c r="L1146" i="2"/>
  <c r="C1147" i="2"/>
  <c r="D1147" i="2"/>
  <c r="F1147" i="2"/>
  <c r="G1147" i="2"/>
  <c r="H1147" i="2"/>
  <c r="J1147" i="2"/>
  <c r="K1147" i="2"/>
  <c r="L1147" i="2"/>
  <c r="C1148" i="2"/>
  <c r="D1148" i="2"/>
  <c r="F1148" i="2"/>
  <c r="G1148" i="2"/>
  <c r="H1148" i="2"/>
  <c r="J1148" i="2"/>
  <c r="K1148" i="2"/>
  <c r="L1148" i="2"/>
  <c r="C1149" i="2"/>
  <c r="D1149" i="2"/>
  <c r="F1149" i="2"/>
  <c r="G1149" i="2"/>
  <c r="H1149" i="2"/>
  <c r="J1149" i="2"/>
  <c r="K1149" i="2"/>
  <c r="L1149" i="2"/>
  <c r="C1150" i="2"/>
  <c r="D1150" i="2"/>
  <c r="F1150" i="2"/>
  <c r="G1150" i="2"/>
  <c r="H1150" i="2"/>
  <c r="J1150" i="2"/>
  <c r="K1150" i="2"/>
  <c r="L1150" i="2"/>
  <c r="C1151" i="2"/>
  <c r="D1151" i="2"/>
  <c r="F1151" i="2"/>
  <c r="G1151" i="2"/>
  <c r="H1151" i="2"/>
  <c r="J1151" i="2"/>
  <c r="K1151" i="2"/>
  <c r="L1151" i="2"/>
  <c r="C1152" i="2"/>
  <c r="D1152" i="2"/>
  <c r="F1152" i="2"/>
  <c r="G1152" i="2"/>
  <c r="H1152" i="2"/>
  <c r="J1152" i="2"/>
  <c r="K1152" i="2"/>
  <c r="L1152" i="2"/>
  <c r="C1153" i="2"/>
  <c r="D1153" i="2"/>
  <c r="F1153" i="2"/>
  <c r="G1153" i="2"/>
  <c r="H1153" i="2"/>
  <c r="J1153" i="2"/>
  <c r="K1153" i="2"/>
  <c r="L1153" i="2"/>
  <c r="C1154" i="2"/>
  <c r="D1154" i="2"/>
  <c r="F1154" i="2"/>
  <c r="G1154" i="2"/>
  <c r="H1154" i="2"/>
  <c r="J1154" i="2"/>
  <c r="K1154" i="2"/>
  <c r="L1154" i="2"/>
  <c r="C1155" i="2"/>
  <c r="D1155" i="2"/>
  <c r="F1155" i="2"/>
  <c r="G1155" i="2"/>
  <c r="H1155" i="2"/>
  <c r="J1155" i="2"/>
  <c r="K1155" i="2"/>
  <c r="L1155" i="2"/>
  <c r="C1156" i="2"/>
  <c r="D1156" i="2"/>
  <c r="F1156" i="2"/>
  <c r="G1156" i="2"/>
  <c r="H1156" i="2"/>
  <c r="J1156" i="2"/>
  <c r="K1156" i="2"/>
  <c r="L1156" i="2"/>
  <c r="C1157" i="2"/>
  <c r="D1157" i="2"/>
  <c r="F1157" i="2"/>
  <c r="G1157" i="2"/>
  <c r="H1157" i="2"/>
  <c r="J1157" i="2"/>
  <c r="K1157" i="2"/>
  <c r="L1157" i="2"/>
  <c r="C1158" i="2"/>
  <c r="D1158" i="2"/>
  <c r="F1158" i="2"/>
  <c r="G1158" i="2"/>
  <c r="H1158" i="2"/>
  <c r="J1158" i="2"/>
  <c r="K1158" i="2"/>
  <c r="L1158" i="2"/>
  <c r="C1159" i="2"/>
  <c r="D1159" i="2"/>
  <c r="F1159" i="2"/>
  <c r="G1159" i="2"/>
  <c r="H1159" i="2"/>
  <c r="J1159" i="2"/>
  <c r="K1159" i="2"/>
  <c r="L1159" i="2"/>
  <c r="C1160" i="2"/>
  <c r="D1160" i="2"/>
  <c r="F1160" i="2"/>
  <c r="G1160" i="2"/>
  <c r="H1160" i="2"/>
  <c r="J1160" i="2"/>
  <c r="K1160" i="2"/>
  <c r="L1160" i="2"/>
  <c r="C1161" i="2"/>
  <c r="D1161" i="2"/>
  <c r="F1161" i="2"/>
  <c r="G1161" i="2"/>
  <c r="H1161" i="2"/>
  <c r="J1161" i="2"/>
  <c r="K1161" i="2"/>
  <c r="L1161" i="2"/>
  <c r="C1162" i="2"/>
  <c r="D1162" i="2"/>
  <c r="F1162" i="2"/>
  <c r="G1162" i="2"/>
  <c r="H1162" i="2"/>
  <c r="J1162" i="2"/>
  <c r="K1162" i="2"/>
  <c r="L1162" i="2"/>
  <c r="C1163" i="2"/>
  <c r="D1163" i="2"/>
  <c r="F1163" i="2"/>
  <c r="G1163" i="2"/>
  <c r="H1163" i="2"/>
  <c r="J1163" i="2"/>
  <c r="K1163" i="2"/>
  <c r="L1163" i="2"/>
  <c r="C1164" i="2"/>
  <c r="D1164" i="2"/>
  <c r="F1164" i="2"/>
  <c r="G1164" i="2"/>
  <c r="H1164" i="2"/>
  <c r="J1164" i="2"/>
  <c r="K1164" i="2"/>
  <c r="L1164" i="2"/>
  <c r="C1165" i="2"/>
  <c r="D1165" i="2"/>
  <c r="F1165" i="2"/>
  <c r="G1165" i="2"/>
  <c r="H1165" i="2"/>
  <c r="J1165" i="2"/>
  <c r="K1165" i="2"/>
  <c r="L1165" i="2"/>
  <c r="C1166" i="2"/>
  <c r="D1166" i="2"/>
  <c r="F1166" i="2"/>
  <c r="G1166" i="2"/>
  <c r="H1166" i="2"/>
  <c r="J1166" i="2"/>
  <c r="K1166" i="2"/>
  <c r="L1166" i="2"/>
  <c r="C1167" i="2"/>
  <c r="D1167" i="2"/>
  <c r="F1167" i="2"/>
  <c r="G1167" i="2"/>
  <c r="H1167" i="2"/>
  <c r="J1167" i="2"/>
  <c r="K1167" i="2"/>
  <c r="L1167" i="2"/>
  <c r="C1168" i="2"/>
  <c r="D1168" i="2"/>
  <c r="F1168" i="2"/>
  <c r="G1168" i="2"/>
  <c r="H1168" i="2"/>
  <c r="J1168" i="2"/>
  <c r="K1168" i="2"/>
  <c r="L1168" i="2"/>
  <c r="C1169" i="2"/>
  <c r="D1169" i="2"/>
  <c r="F1169" i="2"/>
  <c r="G1169" i="2"/>
  <c r="H1169" i="2"/>
  <c r="J1169" i="2"/>
  <c r="K1169" i="2"/>
  <c r="L1169" i="2"/>
  <c r="C1170" i="2"/>
  <c r="D1170" i="2"/>
  <c r="F1170" i="2"/>
  <c r="G1170" i="2"/>
  <c r="H1170" i="2"/>
  <c r="J1170" i="2"/>
  <c r="K1170" i="2"/>
  <c r="L1170" i="2"/>
  <c r="C1171" i="2"/>
  <c r="D1171" i="2"/>
  <c r="F1171" i="2"/>
  <c r="G1171" i="2"/>
  <c r="H1171" i="2"/>
  <c r="J1171" i="2"/>
  <c r="K1171" i="2"/>
  <c r="L1171" i="2"/>
  <c r="C1172" i="2"/>
  <c r="D1172" i="2"/>
  <c r="F1172" i="2"/>
  <c r="G1172" i="2"/>
  <c r="H1172" i="2"/>
  <c r="J1172" i="2"/>
  <c r="K1172" i="2"/>
  <c r="L1172" i="2"/>
  <c r="C1173" i="2"/>
  <c r="D1173" i="2"/>
  <c r="F1173" i="2"/>
  <c r="G1173" i="2"/>
  <c r="H1173" i="2"/>
  <c r="J1173" i="2"/>
  <c r="K1173" i="2"/>
  <c r="L1173" i="2"/>
  <c r="C1174" i="2"/>
  <c r="D1174" i="2"/>
  <c r="F1174" i="2"/>
  <c r="G1174" i="2"/>
  <c r="H1174" i="2"/>
  <c r="J1174" i="2"/>
  <c r="K1174" i="2"/>
  <c r="L1174" i="2"/>
  <c r="C1175" i="2"/>
  <c r="D1175" i="2"/>
  <c r="F1175" i="2"/>
  <c r="G1175" i="2"/>
  <c r="H1175" i="2"/>
  <c r="J1175" i="2"/>
  <c r="K1175" i="2"/>
  <c r="L1175" i="2"/>
  <c r="C1176" i="2"/>
  <c r="D1176" i="2"/>
  <c r="F1176" i="2"/>
  <c r="G1176" i="2"/>
  <c r="H1176" i="2"/>
  <c r="J1176" i="2"/>
  <c r="K1176" i="2"/>
  <c r="L1176" i="2"/>
  <c r="C1177" i="2"/>
  <c r="D1177" i="2"/>
  <c r="F1177" i="2"/>
  <c r="G1177" i="2"/>
  <c r="H1177" i="2"/>
  <c r="J1177" i="2"/>
  <c r="K1177" i="2"/>
  <c r="L1177" i="2"/>
  <c r="C1178" i="2"/>
  <c r="D1178" i="2"/>
  <c r="F1178" i="2"/>
  <c r="G1178" i="2"/>
  <c r="H1178" i="2"/>
  <c r="J1178" i="2"/>
  <c r="K1178" i="2"/>
  <c r="L1178" i="2"/>
  <c r="C1179" i="2"/>
  <c r="D1179" i="2"/>
  <c r="F1179" i="2"/>
  <c r="G1179" i="2"/>
  <c r="H1179" i="2"/>
  <c r="J1179" i="2"/>
  <c r="K1179" i="2"/>
  <c r="L1179" i="2"/>
  <c r="C1180" i="2"/>
  <c r="D1180" i="2"/>
  <c r="F1180" i="2"/>
  <c r="G1180" i="2"/>
  <c r="H1180" i="2"/>
  <c r="J1180" i="2"/>
  <c r="K1180" i="2"/>
  <c r="L1180" i="2"/>
  <c r="C1181" i="2"/>
  <c r="D1181" i="2"/>
  <c r="F1181" i="2"/>
  <c r="G1181" i="2"/>
  <c r="H1181" i="2"/>
  <c r="J1181" i="2"/>
  <c r="K1181" i="2"/>
  <c r="L1181" i="2"/>
  <c r="C1182" i="2"/>
  <c r="D1182" i="2"/>
  <c r="F1182" i="2"/>
  <c r="G1182" i="2"/>
  <c r="H1182" i="2"/>
  <c r="J1182" i="2"/>
  <c r="K1182" i="2"/>
  <c r="L1182" i="2"/>
  <c r="C1183" i="2"/>
  <c r="D1183" i="2"/>
  <c r="F1183" i="2"/>
  <c r="G1183" i="2"/>
  <c r="H1183" i="2"/>
  <c r="J1183" i="2"/>
  <c r="K1183" i="2"/>
  <c r="L1183" i="2"/>
  <c r="C1184" i="2"/>
  <c r="D1184" i="2"/>
  <c r="F1184" i="2"/>
  <c r="G1184" i="2"/>
  <c r="H1184" i="2"/>
  <c r="J1184" i="2"/>
  <c r="K1184" i="2"/>
  <c r="L1184" i="2"/>
  <c r="C1185" i="2"/>
  <c r="D1185" i="2"/>
  <c r="F1185" i="2"/>
  <c r="G1185" i="2"/>
  <c r="H1185" i="2"/>
  <c r="J1185" i="2"/>
  <c r="K1185" i="2"/>
  <c r="L1185" i="2"/>
  <c r="C1186" i="2"/>
  <c r="D1186" i="2"/>
  <c r="F1186" i="2"/>
  <c r="G1186" i="2"/>
  <c r="H1186" i="2"/>
  <c r="J1186" i="2"/>
  <c r="K1186" i="2"/>
  <c r="L1186" i="2"/>
  <c r="C1187" i="2"/>
  <c r="D1187" i="2"/>
  <c r="F1187" i="2"/>
  <c r="G1187" i="2"/>
  <c r="H1187" i="2"/>
  <c r="J1187" i="2"/>
  <c r="K1187" i="2"/>
  <c r="L1187" i="2"/>
  <c r="C1188" i="2"/>
  <c r="D1188" i="2"/>
  <c r="F1188" i="2"/>
  <c r="G1188" i="2"/>
  <c r="H1188" i="2"/>
  <c r="J1188" i="2"/>
  <c r="K1188" i="2"/>
  <c r="L1188" i="2"/>
  <c r="C1189" i="2"/>
  <c r="D1189" i="2"/>
  <c r="F1189" i="2"/>
  <c r="G1189" i="2"/>
  <c r="H1189" i="2"/>
  <c r="J1189" i="2"/>
  <c r="K1189" i="2"/>
  <c r="L1189" i="2"/>
  <c r="C1190" i="2"/>
  <c r="D1190" i="2"/>
  <c r="F1190" i="2"/>
  <c r="G1190" i="2"/>
  <c r="H1190" i="2"/>
  <c r="J1190" i="2"/>
  <c r="K1190" i="2"/>
  <c r="L1190" i="2"/>
  <c r="C1191" i="2"/>
  <c r="D1191" i="2"/>
  <c r="F1191" i="2"/>
  <c r="G1191" i="2"/>
  <c r="H1191" i="2"/>
  <c r="J1191" i="2"/>
  <c r="K1191" i="2"/>
  <c r="L1191" i="2"/>
  <c r="C1192" i="2"/>
  <c r="D1192" i="2"/>
  <c r="F1192" i="2"/>
  <c r="G1192" i="2"/>
  <c r="H1192" i="2"/>
  <c r="J1192" i="2"/>
  <c r="K1192" i="2"/>
  <c r="L1192" i="2"/>
  <c r="C1193" i="2"/>
  <c r="D1193" i="2"/>
  <c r="F1193" i="2"/>
  <c r="G1193" i="2"/>
  <c r="H1193" i="2"/>
  <c r="J1193" i="2"/>
  <c r="K1193" i="2"/>
  <c r="L1193" i="2"/>
  <c r="C1194" i="2"/>
  <c r="D1194" i="2"/>
  <c r="F1194" i="2"/>
  <c r="G1194" i="2"/>
  <c r="H1194" i="2"/>
  <c r="J1194" i="2"/>
  <c r="K1194" i="2"/>
  <c r="L1194" i="2"/>
  <c r="C1195" i="2"/>
  <c r="D1195" i="2"/>
  <c r="F1195" i="2"/>
  <c r="G1195" i="2"/>
  <c r="H1195" i="2"/>
  <c r="J1195" i="2"/>
  <c r="K1195" i="2"/>
  <c r="L1195" i="2"/>
  <c r="C1196" i="2"/>
  <c r="D1196" i="2"/>
  <c r="F1196" i="2"/>
  <c r="G1196" i="2"/>
  <c r="H1196" i="2"/>
  <c r="J1196" i="2"/>
  <c r="K1196" i="2"/>
  <c r="L1196" i="2"/>
  <c r="C1197" i="2"/>
  <c r="D1197" i="2"/>
  <c r="F1197" i="2"/>
  <c r="G1197" i="2"/>
  <c r="H1197" i="2"/>
  <c r="J1197" i="2"/>
  <c r="K1197" i="2"/>
  <c r="L1197" i="2"/>
  <c r="C1198" i="2"/>
  <c r="D1198" i="2"/>
  <c r="F1198" i="2"/>
  <c r="G1198" i="2"/>
  <c r="H1198" i="2"/>
  <c r="J1198" i="2"/>
  <c r="K1198" i="2"/>
  <c r="L1198" i="2"/>
  <c r="C1199" i="2"/>
  <c r="D1199" i="2"/>
  <c r="F1199" i="2"/>
  <c r="G1199" i="2"/>
  <c r="H1199" i="2"/>
  <c r="J1199" i="2"/>
  <c r="K1199" i="2"/>
  <c r="L1199" i="2"/>
  <c r="C1200" i="2"/>
  <c r="D1200" i="2"/>
  <c r="F1200" i="2"/>
  <c r="G1200" i="2"/>
  <c r="H1200" i="2"/>
  <c r="J1200" i="2"/>
  <c r="K1200" i="2"/>
  <c r="L1200" i="2"/>
  <c r="C1201" i="2"/>
  <c r="D1201" i="2"/>
  <c r="F1201" i="2"/>
  <c r="G1201" i="2"/>
  <c r="H1201" i="2"/>
  <c r="J1201" i="2"/>
  <c r="K1201" i="2"/>
  <c r="L1201" i="2"/>
  <c r="C1202" i="2"/>
  <c r="D1202" i="2"/>
  <c r="F1202" i="2"/>
  <c r="G1202" i="2"/>
  <c r="H1202" i="2"/>
  <c r="J1202" i="2"/>
  <c r="K1202" i="2"/>
  <c r="L1202" i="2"/>
  <c r="C1203" i="2"/>
  <c r="D1203" i="2"/>
  <c r="F1203" i="2"/>
  <c r="G1203" i="2"/>
  <c r="H1203" i="2"/>
  <c r="J1203" i="2"/>
  <c r="K1203" i="2"/>
  <c r="L1203" i="2"/>
  <c r="C1204" i="2"/>
  <c r="D1204" i="2"/>
  <c r="F1204" i="2"/>
  <c r="G1204" i="2"/>
  <c r="H1204" i="2"/>
  <c r="J1204" i="2"/>
  <c r="K1204" i="2"/>
  <c r="L1204" i="2"/>
  <c r="C1205" i="2"/>
  <c r="D1205" i="2"/>
  <c r="F1205" i="2"/>
  <c r="G1205" i="2"/>
  <c r="H1205" i="2"/>
  <c r="J1205" i="2"/>
  <c r="K1205" i="2"/>
  <c r="L1205" i="2"/>
  <c r="C1206" i="2"/>
  <c r="D1206" i="2"/>
  <c r="F1206" i="2"/>
  <c r="G1206" i="2"/>
  <c r="H1206" i="2"/>
  <c r="J1206" i="2"/>
  <c r="K1206" i="2"/>
  <c r="L1206" i="2"/>
  <c r="C1207" i="2"/>
  <c r="D1207" i="2"/>
  <c r="F1207" i="2"/>
  <c r="G1207" i="2"/>
  <c r="H1207" i="2"/>
  <c r="J1207" i="2"/>
  <c r="K1207" i="2"/>
  <c r="L1207" i="2"/>
  <c r="C1208" i="2"/>
  <c r="D1208" i="2"/>
  <c r="F1208" i="2"/>
  <c r="G1208" i="2"/>
  <c r="H1208" i="2"/>
  <c r="J1208" i="2"/>
  <c r="K1208" i="2"/>
  <c r="L1208" i="2"/>
  <c r="C1209" i="2"/>
  <c r="D1209" i="2"/>
  <c r="F1209" i="2"/>
  <c r="G1209" i="2"/>
  <c r="H1209" i="2"/>
  <c r="J1209" i="2"/>
  <c r="K1209" i="2"/>
  <c r="L1209" i="2"/>
  <c r="C1210" i="2"/>
  <c r="D1210" i="2"/>
  <c r="F1210" i="2"/>
  <c r="G1210" i="2"/>
  <c r="H1210" i="2"/>
  <c r="J1210" i="2"/>
  <c r="K1210" i="2"/>
  <c r="L1210" i="2"/>
  <c r="C1211" i="2"/>
  <c r="D1211" i="2"/>
  <c r="F1211" i="2"/>
  <c r="G1211" i="2"/>
  <c r="H1211" i="2"/>
  <c r="J1211" i="2"/>
  <c r="K1211" i="2"/>
  <c r="L1211" i="2"/>
  <c r="C1212" i="2"/>
  <c r="D1212" i="2"/>
  <c r="F1212" i="2"/>
  <c r="G1212" i="2"/>
  <c r="H1212" i="2"/>
  <c r="J1212" i="2"/>
  <c r="K1212" i="2"/>
  <c r="L1212" i="2"/>
  <c r="C1213" i="2"/>
  <c r="D1213" i="2"/>
  <c r="F1213" i="2"/>
  <c r="G1213" i="2"/>
  <c r="H1213" i="2"/>
  <c r="J1213" i="2"/>
  <c r="K1213" i="2"/>
  <c r="L1213" i="2"/>
  <c r="C1214" i="2"/>
  <c r="D1214" i="2"/>
  <c r="F1214" i="2"/>
  <c r="G1214" i="2"/>
  <c r="H1214" i="2"/>
  <c r="J1214" i="2"/>
  <c r="K1214" i="2"/>
  <c r="L1214" i="2"/>
  <c r="C1215" i="2"/>
  <c r="D1215" i="2"/>
  <c r="F1215" i="2"/>
  <c r="G1215" i="2"/>
  <c r="H1215" i="2"/>
  <c r="J1215" i="2"/>
  <c r="K1215" i="2"/>
  <c r="L1215" i="2"/>
  <c r="C1216" i="2"/>
  <c r="D1216" i="2"/>
  <c r="F1216" i="2"/>
  <c r="G1216" i="2"/>
  <c r="H1216" i="2"/>
  <c r="J1216" i="2"/>
  <c r="K1216" i="2"/>
  <c r="L1216" i="2"/>
  <c r="C1217" i="2"/>
  <c r="D1217" i="2"/>
  <c r="F1217" i="2"/>
  <c r="G1217" i="2"/>
  <c r="H1217" i="2"/>
  <c r="J1217" i="2"/>
  <c r="K1217" i="2"/>
  <c r="L1217" i="2"/>
  <c r="C1218" i="2"/>
  <c r="D1218" i="2"/>
  <c r="F1218" i="2"/>
  <c r="G1218" i="2"/>
  <c r="H1218" i="2"/>
  <c r="J1218" i="2"/>
  <c r="K1218" i="2"/>
  <c r="L1218" i="2"/>
  <c r="C1219" i="2"/>
  <c r="D1219" i="2"/>
  <c r="F1219" i="2"/>
  <c r="G1219" i="2"/>
  <c r="H1219" i="2"/>
  <c r="J1219" i="2"/>
  <c r="K1219" i="2"/>
  <c r="L1219" i="2"/>
  <c r="C1220" i="2"/>
  <c r="D1220" i="2"/>
  <c r="F1220" i="2"/>
  <c r="G1220" i="2"/>
  <c r="H1220" i="2"/>
  <c r="J1220" i="2"/>
  <c r="K1220" i="2"/>
  <c r="L1220" i="2"/>
  <c r="C1221" i="2"/>
  <c r="D1221" i="2"/>
  <c r="F1221" i="2"/>
  <c r="G1221" i="2"/>
  <c r="H1221" i="2"/>
  <c r="J1221" i="2"/>
  <c r="K1221" i="2"/>
  <c r="L1221" i="2"/>
  <c r="C1222" i="2"/>
  <c r="D1222" i="2"/>
  <c r="F1222" i="2"/>
  <c r="G1222" i="2"/>
  <c r="H1222" i="2"/>
  <c r="J1222" i="2"/>
  <c r="K1222" i="2"/>
  <c r="L1222" i="2"/>
  <c r="C1223" i="2"/>
  <c r="D1223" i="2"/>
  <c r="F1223" i="2"/>
  <c r="G1223" i="2"/>
  <c r="H1223" i="2"/>
  <c r="J1223" i="2"/>
  <c r="K1223" i="2"/>
  <c r="L1223" i="2"/>
  <c r="C1224" i="2"/>
  <c r="D1224" i="2"/>
  <c r="F1224" i="2"/>
  <c r="G1224" i="2"/>
  <c r="H1224" i="2"/>
  <c r="J1224" i="2"/>
  <c r="K1224" i="2"/>
  <c r="L1224" i="2"/>
  <c r="C1225" i="2"/>
  <c r="D1225" i="2"/>
  <c r="F1225" i="2"/>
  <c r="G1225" i="2"/>
  <c r="H1225" i="2"/>
  <c r="J1225" i="2"/>
  <c r="K1225" i="2"/>
  <c r="L1225" i="2"/>
  <c r="C1226" i="2"/>
  <c r="D1226" i="2"/>
  <c r="F1226" i="2"/>
  <c r="G1226" i="2"/>
  <c r="H1226" i="2"/>
  <c r="J1226" i="2"/>
  <c r="K1226" i="2"/>
  <c r="L1226" i="2"/>
  <c r="C1227" i="2"/>
  <c r="D1227" i="2"/>
  <c r="F1227" i="2"/>
  <c r="G1227" i="2"/>
  <c r="H1227" i="2"/>
  <c r="J1227" i="2"/>
  <c r="K1227" i="2"/>
  <c r="L1227" i="2"/>
  <c r="C1228" i="2"/>
  <c r="D1228" i="2"/>
  <c r="F1228" i="2"/>
  <c r="G1228" i="2"/>
  <c r="H1228" i="2"/>
  <c r="J1228" i="2"/>
  <c r="K1228" i="2"/>
  <c r="L1228" i="2"/>
  <c r="C1229" i="2"/>
  <c r="D1229" i="2"/>
  <c r="F1229" i="2"/>
  <c r="G1229" i="2"/>
  <c r="H1229" i="2"/>
  <c r="J1229" i="2"/>
  <c r="K1229" i="2"/>
  <c r="L1229" i="2"/>
  <c r="C1230" i="2"/>
  <c r="D1230" i="2"/>
  <c r="F1230" i="2"/>
  <c r="G1230" i="2"/>
  <c r="H1230" i="2"/>
  <c r="J1230" i="2"/>
  <c r="K1230" i="2"/>
  <c r="L1230" i="2"/>
  <c r="C1231" i="2"/>
  <c r="D1231" i="2"/>
  <c r="F1231" i="2"/>
  <c r="G1231" i="2"/>
  <c r="H1231" i="2"/>
  <c r="J1231" i="2"/>
  <c r="K1231" i="2"/>
  <c r="L1231" i="2"/>
  <c r="C1232" i="2"/>
  <c r="D1232" i="2"/>
  <c r="F1232" i="2"/>
  <c r="G1232" i="2"/>
  <c r="H1232" i="2"/>
  <c r="J1232" i="2"/>
  <c r="K1232" i="2"/>
  <c r="L1232" i="2"/>
  <c r="C1233" i="2"/>
  <c r="D1233" i="2"/>
  <c r="F1233" i="2"/>
  <c r="G1233" i="2"/>
  <c r="H1233" i="2"/>
  <c r="J1233" i="2"/>
  <c r="K1233" i="2"/>
  <c r="L1233" i="2"/>
  <c r="C1234" i="2"/>
  <c r="D1234" i="2"/>
  <c r="F1234" i="2"/>
  <c r="G1234" i="2"/>
  <c r="H1234" i="2"/>
  <c r="J1234" i="2"/>
  <c r="K1234" i="2"/>
  <c r="L1234" i="2"/>
  <c r="C1235" i="2"/>
  <c r="D1235" i="2"/>
  <c r="F1235" i="2"/>
  <c r="G1235" i="2"/>
  <c r="H1235" i="2"/>
  <c r="J1235" i="2"/>
  <c r="K1235" i="2"/>
  <c r="L1235" i="2"/>
  <c r="C1236" i="2"/>
  <c r="D1236" i="2"/>
  <c r="F1236" i="2"/>
  <c r="G1236" i="2"/>
  <c r="H1236" i="2"/>
  <c r="J1236" i="2"/>
  <c r="K1236" i="2"/>
  <c r="L1236" i="2"/>
  <c r="C1237" i="2"/>
  <c r="D1237" i="2"/>
  <c r="F1237" i="2"/>
  <c r="G1237" i="2"/>
  <c r="H1237" i="2"/>
  <c r="J1237" i="2"/>
  <c r="K1237" i="2"/>
  <c r="L1237" i="2"/>
  <c r="C1238" i="2"/>
  <c r="D1238" i="2"/>
  <c r="F1238" i="2"/>
  <c r="G1238" i="2"/>
  <c r="H1238" i="2"/>
  <c r="J1238" i="2"/>
  <c r="K1238" i="2"/>
  <c r="L1238" i="2"/>
  <c r="C1239" i="2"/>
  <c r="D1239" i="2"/>
  <c r="F1239" i="2"/>
  <c r="G1239" i="2"/>
  <c r="H1239" i="2"/>
  <c r="J1239" i="2"/>
  <c r="K1239" i="2"/>
  <c r="L1239" i="2"/>
  <c r="C1240" i="2"/>
  <c r="D1240" i="2"/>
  <c r="F1240" i="2"/>
  <c r="G1240" i="2"/>
  <c r="H1240" i="2"/>
  <c r="J1240" i="2"/>
  <c r="K1240" i="2"/>
  <c r="L1240" i="2"/>
  <c r="C1241" i="2"/>
  <c r="D1241" i="2"/>
  <c r="F1241" i="2"/>
  <c r="G1241" i="2"/>
  <c r="H1241" i="2"/>
  <c r="J1241" i="2"/>
  <c r="K1241" i="2"/>
  <c r="L1241" i="2"/>
  <c r="C1242" i="2"/>
  <c r="D1242" i="2"/>
  <c r="F1242" i="2"/>
  <c r="G1242" i="2"/>
  <c r="H1242" i="2"/>
  <c r="J1242" i="2"/>
  <c r="K1242" i="2"/>
  <c r="L1242" i="2"/>
  <c r="C1243" i="2"/>
  <c r="D1243" i="2"/>
  <c r="F1243" i="2"/>
  <c r="G1243" i="2"/>
  <c r="H1243" i="2"/>
  <c r="J1243" i="2"/>
  <c r="K1243" i="2"/>
  <c r="L1243" i="2"/>
  <c r="C1244" i="2"/>
  <c r="D1244" i="2"/>
  <c r="F1244" i="2"/>
  <c r="G1244" i="2"/>
  <c r="H1244" i="2"/>
  <c r="J1244" i="2"/>
  <c r="K1244" i="2"/>
  <c r="L1244" i="2"/>
  <c r="C1245" i="2"/>
  <c r="D1245" i="2"/>
  <c r="F1245" i="2"/>
  <c r="G1245" i="2"/>
  <c r="H1245" i="2"/>
  <c r="J1245" i="2"/>
  <c r="K1245" i="2"/>
  <c r="L1245" i="2"/>
  <c r="C1246" i="2"/>
  <c r="D1246" i="2"/>
  <c r="F1246" i="2"/>
  <c r="G1246" i="2"/>
  <c r="H1246" i="2"/>
  <c r="J1246" i="2"/>
  <c r="K1246" i="2"/>
  <c r="L1246" i="2"/>
  <c r="C1247" i="2"/>
  <c r="D1247" i="2"/>
  <c r="F1247" i="2"/>
  <c r="G1247" i="2"/>
  <c r="H1247" i="2"/>
  <c r="J1247" i="2"/>
  <c r="K1247" i="2"/>
  <c r="L1247" i="2"/>
  <c r="C1248" i="2"/>
  <c r="D1248" i="2"/>
  <c r="F1248" i="2"/>
  <c r="G1248" i="2"/>
  <c r="H1248" i="2"/>
  <c r="J1248" i="2"/>
  <c r="K1248" i="2"/>
  <c r="L1248" i="2"/>
  <c r="C1249" i="2"/>
  <c r="D1249" i="2"/>
  <c r="F1249" i="2"/>
  <c r="G1249" i="2"/>
  <c r="H1249" i="2"/>
  <c r="J1249" i="2"/>
  <c r="K1249" i="2"/>
  <c r="L1249" i="2"/>
  <c r="C1250" i="2"/>
  <c r="D1250" i="2"/>
  <c r="F1250" i="2"/>
  <c r="G1250" i="2"/>
  <c r="H1250" i="2"/>
  <c r="J1250" i="2"/>
  <c r="K1250" i="2"/>
  <c r="L1250" i="2"/>
  <c r="C1251" i="2"/>
  <c r="D1251" i="2"/>
  <c r="F1251" i="2"/>
  <c r="G1251" i="2"/>
  <c r="H1251" i="2"/>
  <c r="J1251" i="2"/>
  <c r="K1251" i="2"/>
  <c r="L1251" i="2"/>
  <c r="C1252" i="2"/>
  <c r="D1252" i="2"/>
  <c r="F1252" i="2"/>
  <c r="G1252" i="2"/>
  <c r="H1252" i="2"/>
  <c r="J1252" i="2"/>
  <c r="K1252" i="2"/>
  <c r="L1252" i="2"/>
  <c r="C1253" i="2"/>
  <c r="D1253" i="2"/>
  <c r="F1253" i="2"/>
  <c r="G1253" i="2"/>
  <c r="H1253" i="2"/>
  <c r="J1253" i="2"/>
  <c r="K1253" i="2"/>
  <c r="L1253" i="2"/>
  <c r="C1254" i="2"/>
  <c r="D1254" i="2"/>
  <c r="F1254" i="2"/>
  <c r="G1254" i="2"/>
  <c r="H1254" i="2"/>
  <c r="J1254" i="2"/>
  <c r="K1254" i="2"/>
  <c r="L1254" i="2"/>
  <c r="C1255" i="2"/>
  <c r="D1255" i="2"/>
  <c r="F1255" i="2"/>
  <c r="G1255" i="2"/>
  <c r="H1255" i="2"/>
  <c r="J1255" i="2"/>
  <c r="K1255" i="2"/>
  <c r="L1255" i="2"/>
  <c r="C1256" i="2"/>
  <c r="D1256" i="2"/>
  <c r="F1256" i="2"/>
  <c r="G1256" i="2"/>
  <c r="H1256" i="2"/>
  <c r="J1256" i="2"/>
  <c r="K1256" i="2"/>
  <c r="L1256" i="2"/>
  <c r="C1257" i="2"/>
  <c r="D1257" i="2"/>
  <c r="F1257" i="2"/>
  <c r="G1257" i="2"/>
  <c r="H1257" i="2"/>
  <c r="J1257" i="2"/>
  <c r="K1257" i="2"/>
  <c r="L1257" i="2"/>
  <c r="C1258" i="2"/>
  <c r="D1258" i="2"/>
  <c r="F1258" i="2"/>
  <c r="G1258" i="2"/>
  <c r="H1258" i="2"/>
  <c r="J1258" i="2"/>
  <c r="K1258" i="2"/>
  <c r="L1258" i="2"/>
  <c r="C1259" i="2"/>
  <c r="D1259" i="2"/>
  <c r="F1259" i="2"/>
  <c r="G1259" i="2"/>
  <c r="H1259" i="2"/>
  <c r="J1259" i="2"/>
  <c r="K1259" i="2"/>
  <c r="L1259" i="2"/>
  <c r="C1260" i="2"/>
  <c r="D1260" i="2"/>
  <c r="F1260" i="2"/>
  <c r="G1260" i="2"/>
  <c r="H1260" i="2"/>
  <c r="J1260" i="2"/>
  <c r="K1260" i="2"/>
  <c r="L1260" i="2"/>
  <c r="C1261" i="2"/>
  <c r="D1261" i="2"/>
  <c r="F1261" i="2"/>
  <c r="G1261" i="2"/>
  <c r="H1261" i="2"/>
  <c r="J1261" i="2"/>
  <c r="K1261" i="2"/>
  <c r="L1261" i="2"/>
  <c r="C1262" i="2"/>
  <c r="D1262" i="2"/>
  <c r="F1262" i="2"/>
  <c r="G1262" i="2"/>
  <c r="H1262" i="2"/>
  <c r="J1262" i="2"/>
  <c r="K1262" i="2"/>
  <c r="L1262" i="2"/>
  <c r="C1263" i="2"/>
  <c r="D1263" i="2"/>
  <c r="F1263" i="2"/>
  <c r="G1263" i="2"/>
  <c r="H1263" i="2"/>
  <c r="J1263" i="2"/>
  <c r="K1263" i="2"/>
  <c r="L1263" i="2"/>
  <c r="C1264" i="2"/>
  <c r="D1264" i="2"/>
  <c r="F1264" i="2"/>
  <c r="G1264" i="2"/>
  <c r="H1264" i="2"/>
  <c r="J1264" i="2"/>
  <c r="K1264" i="2"/>
  <c r="L1264" i="2"/>
  <c r="C1265" i="2"/>
  <c r="D1265" i="2"/>
  <c r="F1265" i="2"/>
  <c r="G1265" i="2"/>
  <c r="H1265" i="2"/>
  <c r="J1265" i="2"/>
  <c r="K1265" i="2"/>
  <c r="L1265" i="2"/>
  <c r="C1266" i="2"/>
  <c r="D1266" i="2"/>
  <c r="F1266" i="2"/>
  <c r="G1266" i="2"/>
  <c r="H1266" i="2"/>
  <c r="J1266" i="2"/>
  <c r="K1266" i="2"/>
  <c r="L1266" i="2"/>
  <c r="C1267" i="2"/>
  <c r="D1267" i="2"/>
  <c r="F1267" i="2"/>
  <c r="G1267" i="2"/>
  <c r="H1267" i="2"/>
  <c r="J1267" i="2"/>
  <c r="K1267" i="2"/>
  <c r="L1267" i="2"/>
  <c r="C1268" i="2"/>
  <c r="D1268" i="2"/>
  <c r="F1268" i="2"/>
  <c r="G1268" i="2"/>
  <c r="H1268" i="2"/>
  <c r="J1268" i="2"/>
  <c r="K1268" i="2"/>
  <c r="L1268" i="2"/>
  <c r="C1269" i="2"/>
  <c r="D1269" i="2"/>
  <c r="F1269" i="2"/>
  <c r="G1269" i="2"/>
  <c r="H1269" i="2"/>
  <c r="J1269" i="2"/>
  <c r="K1269" i="2"/>
  <c r="L1269" i="2"/>
  <c r="C1270" i="2"/>
  <c r="D1270" i="2"/>
  <c r="F1270" i="2"/>
  <c r="G1270" i="2"/>
  <c r="H1270" i="2"/>
  <c r="J1270" i="2"/>
  <c r="K1270" i="2"/>
  <c r="L1270" i="2"/>
  <c r="C1271" i="2"/>
  <c r="D1271" i="2"/>
  <c r="F1271" i="2"/>
  <c r="G1271" i="2"/>
  <c r="H1271" i="2"/>
  <c r="J1271" i="2"/>
  <c r="K1271" i="2"/>
  <c r="L1271" i="2"/>
  <c r="C1272" i="2"/>
  <c r="D1272" i="2"/>
  <c r="F1272" i="2"/>
  <c r="G1272" i="2"/>
  <c r="H1272" i="2"/>
  <c r="J1272" i="2"/>
  <c r="K1272" i="2"/>
  <c r="L1272" i="2"/>
  <c r="C1273" i="2"/>
  <c r="D1273" i="2"/>
  <c r="F1273" i="2"/>
  <c r="G1273" i="2"/>
  <c r="H1273" i="2"/>
  <c r="J1273" i="2"/>
  <c r="K1273" i="2"/>
  <c r="L1273" i="2"/>
  <c r="C1274" i="2"/>
  <c r="D1274" i="2"/>
  <c r="F1274" i="2"/>
  <c r="G1274" i="2"/>
  <c r="H1274" i="2"/>
  <c r="J1274" i="2"/>
  <c r="K1274" i="2"/>
  <c r="L1274" i="2"/>
  <c r="C1275" i="2"/>
  <c r="D1275" i="2"/>
  <c r="F1275" i="2"/>
  <c r="G1275" i="2"/>
  <c r="H1275" i="2"/>
  <c r="J1275" i="2"/>
  <c r="K1275" i="2"/>
  <c r="L1275" i="2"/>
  <c r="C1276" i="2"/>
  <c r="D1276" i="2"/>
  <c r="F1276" i="2"/>
  <c r="G1276" i="2"/>
  <c r="H1276" i="2"/>
  <c r="J1276" i="2"/>
  <c r="K1276" i="2"/>
  <c r="L1276" i="2"/>
  <c r="C1277" i="2"/>
  <c r="D1277" i="2"/>
  <c r="F1277" i="2"/>
  <c r="G1277" i="2"/>
  <c r="H1277" i="2"/>
  <c r="J1277" i="2"/>
  <c r="K1277" i="2"/>
  <c r="L1277" i="2"/>
  <c r="C1278" i="2"/>
  <c r="D1278" i="2"/>
  <c r="F1278" i="2"/>
  <c r="G1278" i="2"/>
  <c r="H1278" i="2"/>
  <c r="J1278" i="2"/>
  <c r="K1278" i="2"/>
  <c r="L1278" i="2"/>
  <c r="C1279" i="2"/>
  <c r="D1279" i="2"/>
  <c r="F1279" i="2"/>
  <c r="G1279" i="2"/>
  <c r="H1279" i="2"/>
  <c r="J1279" i="2"/>
  <c r="K1279" i="2"/>
  <c r="L1279" i="2"/>
  <c r="C1280" i="2"/>
  <c r="D1280" i="2"/>
  <c r="F1280" i="2"/>
  <c r="G1280" i="2"/>
  <c r="H1280" i="2"/>
  <c r="J1280" i="2"/>
  <c r="K1280" i="2"/>
  <c r="L1280" i="2"/>
  <c r="C1281" i="2"/>
  <c r="D1281" i="2"/>
  <c r="F1281" i="2"/>
  <c r="G1281" i="2"/>
  <c r="H1281" i="2"/>
  <c r="J1281" i="2"/>
  <c r="K1281" i="2"/>
  <c r="L1281" i="2"/>
  <c r="C1282" i="2"/>
  <c r="D1282" i="2"/>
  <c r="F1282" i="2"/>
  <c r="G1282" i="2"/>
  <c r="H1282" i="2"/>
  <c r="J1282" i="2"/>
  <c r="K1282" i="2"/>
  <c r="L1282" i="2"/>
  <c r="C1283" i="2"/>
  <c r="D1283" i="2"/>
  <c r="F1283" i="2"/>
  <c r="G1283" i="2"/>
  <c r="H1283" i="2"/>
  <c r="J1283" i="2"/>
  <c r="K1283" i="2"/>
  <c r="L1283" i="2"/>
  <c r="C1284" i="2"/>
  <c r="D1284" i="2"/>
  <c r="F1284" i="2"/>
  <c r="G1284" i="2"/>
  <c r="H1284" i="2"/>
  <c r="J1284" i="2"/>
  <c r="K1284" i="2"/>
  <c r="L1284" i="2"/>
  <c r="C1285" i="2"/>
  <c r="D1285" i="2"/>
  <c r="F1285" i="2"/>
  <c r="G1285" i="2"/>
  <c r="H1285" i="2"/>
  <c r="J1285" i="2"/>
  <c r="K1285" i="2"/>
  <c r="L1285" i="2"/>
  <c r="C1286" i="2"/>
  <c r="D1286" i="2"/>
  <c r="F1286" i="2"/>
  <c r="G1286" i="2"/>
  <c r="H1286" i="2"/>
  <c r="J1286" i="2"/>
  <c r="K1286" i="2"/>
  <c r="L1286" i="2"/>
  <c r="C1287" i="2"/>
  <c r="D1287" i="2"/>
  <c r="F1287" i="2"/>
  <c r="G1287" i="2"/>
  <c r="H1287" i="2"/>
  <c r="J1287" i="2"/>
  <c r="K1287" i="2"/>
  <c r="L1287" i="2"/>
  <c r="C1288" i="2"/>
  <c r="D1288" i="2"/>
  <c r="F1288" i="2"/>
  <c r="G1288" i="2"/>
  <c r="H1288" i="2"/>
  <c r="J1288" i="2"/>
  <c r="K1288" i="2"/>
  <c r="L1288" i="2"/>
  <c r="C1289" i="2"/>
  <c r="D1289" i="2"/>
  <c r="F1289" i="2"/>
  <c r="G1289" i="2"/>
  <c r="H1289" i="2"/>
  <c r="J1289" i="2"/>
  <c r="K1289" i="2"/>
  <c r="L1289" i="2"/>
  <c r="C1290" i="2"/>
  <c r="D1290" i="2"/>
  <c r="F1290" i="2"/>
  <c r="G1290" i="2"/>
  <c r="H1290" i="2"/>
  <c r="J1290" i="2"/>
  <c r="K1290" i="2"/>
  <c r="L1290" i="2"/>
  <c r="C1291" i="2"/>
  <c r="D1291" i="2"/>
  <c r="F1291" i="2"/>
  <c r="G1291" i="2"/>
  <c r="H1291" i="2"/>
  <c r="J1291" i="2"/>
  <c r="K1291" i="2"/>
  <c r="L1291" i="2"/>
  <c r="C1292" i="2"/>
  <c r="D1292" i="2"/>
  <c r="F1292" i="2"/>
  <c r="G1292" i="2"/>
  <c r="H1292" i="2"/>
  <c r="J1292" i="2"/>
  <c r="K1292" i="2"/>
  <c r="L1292" i="2"/>
  <c r="C1293" i="2"/>
  <c r="D1293" i="2"/>
  <c r="F1293" i="2"/>
  <c r="G1293" i="2"/>
  <c r="H1293" i="2"/>
  <c r="J1293" i="2"/>
  <c r="K1293" i="2"/>
  <c r="L1293" i="2"/>
  <c r="C1294" i="2"/>
  <c r="D1294" i="2"/>
  <c r="F1294" i="2"/>
  <c r="G1294" i="2"/>
  <c r="H1294" i="2"/>
  <c r="J1294" i="2"/>
  <c r="K1294" i="2"/>
  <c r="L1294" i="2"/>
  <c r="C1295" i="2"/>
  <c r="D1295" i="2"/>
  <c r="F1295" i="2"/>
  <c r="G1295" i="2"/>
  <c r="H1295" i="2"/>
  <c r="J1295" i="2"/>
  <c r="K1295" i="2"/>
  <c r="L1295" i="2"/>
  <c r="C1296" i="2"/>
  <c r="D1296" i="2"/>
  <c r="F1296" i="2"/>
  <c r="G1296" i="2"/>
  <c r="H1296" i="2"/>
  <c r="J1296" i="2"/>
  <c r="K1296" i="2"/>
  <c r="L1296" i="2"/>
  <c r="C1297" i="2"/>
  <c r="D1297" i="2"/>
  <c r="F1297" i="2"/>
  <c r="G1297" i="2"/>
  <c r="H1297" i="2"/>
  <c r="J1297" i="2"/>
  <c r="K1297" i="2"/>
  <c r="L1297" i="2"/>
  <c r="C1298" i="2"/>
  <c r="D1298" i="2"/>
  <c r="F1298" i="2"/>
  <c r="G1298" i="2"/>
  <c r="H1298" i="2"/>
  <c r="J1298" i="2"/>
  <c r="K1298" i="2"/>
  <c r="L1298" i="2"/>
  <c r="C1299" i="2"/>
  <c r="D1299" i="2"/>
  <c r="F1299" i="2"/>
  <c r="G1299" i="2"/>
  <c r="H1299" i="2"/>
  <c r="J1299" i="2"/>
  <c r="K1299" i="2"/>
  <c r="L1299" i="2"/>
  <c r="C1300" i="2"/>
  <c r="D1300" i="2"/>
  <c r="F1300" i="2"/>
  <c r="G1300" i="2"/>
  <c r="H1300" i="2"/>
  <c r="J1300" i="2"/>
  <c r="K1300" i="2"/>
  <c r="L1300" i="2"/>
  <c r="C1301" i="2"/>
  <c r="D1301" i="2"/>
  <c r="F1301" i="2"/>
  <c r="G1301" i="2"/>
  <c r="H1301" i="2"/>
  <c r="J1301" i="2"/>
  <c r="K1301" i="2"/>
  <c r="L1301" i="2"/>
  <c r="C1302" i="2"/>
  <c r="D1302" i="2"/>
  <c r="F1302" i="2"/>
  <c r="G1302" i="2"/>
  <c r="H1302" i="2"/>
  <c r="J1302" i="2"/>
  <c r="K1302" i="2"/>
  <c r="L1302" i="2"/>
  <c r="C1303" i="2"/>
  <c r="D1303" i="2"/>
  <c r="F1303" i="2"/>
  <c r="G1303" i="2"/>
  <c r="H1303" i="2"/>
  <c r="J1303" i="2"/>
  <c r="K1303" i="2"/>
  <c r="L1303" i="2"/>
  <c r="C1304" i="2"/>
  <c r="D1304" i="2"/>
  <c r="F1304" i="2"/>
  <c r="G1304" i="2"/>
  <c r="H1304" i="2"/>
  <c r="J1304" i="2"/>
  <c r="K1304" i="2"/>
  <c r="L1304" i="2"/>
  <c r="C1305" i="2"/>
  <c r="D1305" i="2"/>
  <c r="F1305" i="2"/>
  <c r="G1305" i="2"/>
  <c r="H1305" i="2"/>
  <c r="J1305" i="2"/>
  <c r="K1305" i="2"/>
  <c r="L1305" i="2"/>
  <c r="D1306" i="2"/>
  <c r="F1306" i="2"/>
  <c r="G1306" i="2"/>
  <c r="H1306" i="2"/>
  <c r="J1306" i="2"/>
  <c r="K1306" i="2"/>
  <c r="L1306" i="2"/>
  <c r="C1307" i="2"/>
  <c r="D1307" i="2"/>
  <c r="F1307" i="2"/>
  <c r="G1307" i="2"/>
  <c r="H1307" i="2"/>
  <c r="J1307" i="2"/>
  <c r="K1307" i="2"/>
  <c r="L1307" i="2"/>
  <c r="C1308" i="2"/>
  <c r="D1308" i="2"/>
  <c r="F1308" i="2"/>
  <c r="G1308" i="2"/>
  <c r="H1308" i="2"/>
  <c r="J1308" i="2"/>
  <c r="K1308" i="2"/>
  <c r="L1308" i="2"/>
  <c r="C1309" i="2"/>
  <c r="D1309" i="2"/>
  <c r="F1309" i="2"/>
  <c r="G1309" i="2"/>
  <c r="H1309" i="2"/>
  <c r="J1309" i="2"/>
  <c r="K1309" i="2"/>
  <c r="L1309" i="2"/>
  <c r="C1310" i="2"/>
  <c r="D1310" i="2"/>
  <c r="F1310" i="2"/>
  <c r="G1310" i="2"/>
  <c r="H1310" i="2"/>
  <c r="J1310" i="2"/>
  <c r="K1310" i="2"/>
  <c r="L1310" i="2"/>
  <c r="C1311" i="2"/>
  <c r="D1311" i="2"/>
  <c r="F1311" i="2"/>
  <c r="G1311" i="2"/>
  <c r="H1311" i="2"/>
  <c r="J1311" i="2"/>
  <c r="K1311" i="2"/>
  <c r="L1311" i="2"/>
  <c r="C1312" i="2"/>
  <c r="D1312" i="2"/>
  <c r="F1312" i="2"/>
  <c r="G1312" i="2"/>
  <c r="H1312" i="2"/>
  <c r="J1312" i="2"/>
  <c r="K1312" i="2"/>
  <c r="L1312" i="2"/>
  <c r="C1313" i="2"/>
  <c r="D1313" i="2"/>
  <c r="F1313" i="2"/>
  <c r="G1313" i="2"/>
  <c r="H1313" i="2"/>
  <c r="J1313" i="2"/>
  <c r="K1313" i="2"/>
  <c r="L1313" i="2"/>
  <c r="C1314" i="2"/>
  <c r="D1314" i="2"/>
  <c r="F1314" i="2"/>
  <c r="G1314" i="2"/>
  <c r="H1314" i="2"/>
  <c r="J1314" i="2"/>
  <c r="K1314" i="2"/>
  <c r="L1314" i="2"/>
  <c r="C1315" i="2"/>
  <c r="D1315" i="2"/>
  <c r="F1315" i="2"/>
  <c r="G1315" i="2"/>
  <c r="H1315" i="2"/>
  <c r="J1315" i="2"/>
  <c r="K1315" i="2"/>
  <c r="L1315" i="2"/>
  <c r="C1316" i="2"/>
  <c r="D1316" i="2"/>
  <c r="F1316" i="2"/>
  <c r="G1316" i="2"/>
  <c r="H1316" i="2"/>
  <c r="J1316" i="2"/>
  <c r="K1316" i="2"/>
  <c r="L1316" i="2"/>
  <c r="C1317" i="2"/>
  <c r="D1317" i="2"/>
  <c r="F1317" i="2"/>
  <c r="G1317" i="2"/>
  <c r="H1317" i="2"/>
  <c r="J1317" i="2"/>
  <c r="K1317" i="2"/>
  <c r="L1317" i="2"/>
  <c r="C1318" i="2"/>
  <c r="D1318" i="2"/>
  <c r="F1318" i="2"/>
  <c r="G1318" i="2"/>
  <c r="H1318" i="2"/>
  <c r="J1318" i="2"/>
  <c r="K1318" i="2"/>
  <c r="L1318" i="2"/>
  <c r="C1319" i="2"/>
  <c r="D1319" i="2"/>
  <c r="F1319" i="2"/>
  <c r="G1319" i="2"/>
  <c r="H1319" i="2"/>
  <c r="J1319" i="2"/>
  <c r="K1319" i="2"/>
  <c r="L1319" i="2"/>
  <c r="C1320" i="2"/>
  <c r="D1320" i="2"/>
  <c r="F1320" i="2"/>
  <c r="G1320" i="2"/>
  <c r="H1320" i="2"/>
  <c r="J1320" i="2"/>
  <c r="K1320" i="2"/>
  <c r="L1320" i="2"/>
  <c r="C1321" i="2"/>
  <c r="D1321" i="2"/>
  <c r="F1321" i="2"/>
  <c r="G1321" i="2"/>
  <c r="H1321" i="2"/>
  <c r="J1321" i="2"/>
  <c r="K1321" i="2"/>
  <c r="L1321" i="2"/>
  <c r="C1322" i="2"/>
  <c r="D1322" i="2"/>
  <c r="F1322" i="2"/>
  <c r="G1322" i="2"/>
  <c r="H1322" i="2"/>
  <c r="J1322" i="2"/>
  <c r="K1322" i="2"/>
  <c r="L1322" i="2"/>
  <c r="C1323" i="2"/>
  <c r="D1323" i="2"/>
  <c r="F1323" i="2"/>
  <c r="G1323" i="2"/>
  <c r="H1323" i="2"/>
  <c r="J1323" i="2"/>
  <c r="K1323" i="2"/>
  <c r="L1323" i="2"/>
  <c r="C1324" i="2"/>
  <c r="D1324" i="2"/>
  <c r="F1324" i="2"/>
  <c r="G1324" i="2"/>
  <c r="H1324" i="2"/>
  <c r="J1324" i="2"/>
  <c r="K1324" i="2"/>
  <c r="L1324" i="2"/>
  <c r="C1325" i="2"/>
  <c r="D1325" i="2"/>
  <c r="F1325" i="2"/>
  <c r="G1325" i="2"/>
  <c r="H1325" i="2"/>
  <c r="J1325" i="2"/>
  <c r="K1325" i="2"/>
  <c r="L1325" i="2"/>
  <c r="C1326" i="2"/>
  <c r="D1326" i="2"/>
  <c r="F1326" i="2"/>
  <c r="G1326" i="2"/>
  <c r="H1326" i="2"/>
  <c r="J1326" i="2"/>
  <c r="K1326" i="2"/>
  <c r="L1326" i="2"/>
  <c r="C1327" i="2"/>
  <c r="D1327" i="2"/>
  <c r="F1327" i="2"/>
  <c r="G1327" i="2"/>
  <c r="H1327" i="2"/>
  <c r="J1327" i="2"/>
  <c r="K1327" i="2"/>
  <c r="L1327" i="2"/>
  <c r="C1328" i="2"/>
  <c r="D1328" i="2"/>
  <c r="F1328" i="2"/>
  <c r="G1328" i="2"/>
  <c r="H1328" i="2"/>
  <c r="J1328" i="2"/>
  <c r="K1328" i="2"/>
  <c r="L1328" i="2"/>
  <c r="C1329" i="2"/>
  <c r="D1329" i="2"/>
  <c r="F1329" i="2"/>
  <c r="G1329" i="2"/>
  <c r="H1329" i="2"/>
  <c r="J1329" i="2"/>
  <c r="K1329" i="2"/>
  <c r="L1329" i="2"/>
  <c r="C1330" i="2"/>
  <c r="D1330" i="2"/>
  <c r="F1330" i="2"/>
  <c r="G1330" i="2"/>
  <c r="H1330" i="2"/>
  <c r="J1330" i="2"/>
  <c r="K1330" i="2"/>
  <c r="L1330" i="2"/>
  <c r="C1331" i="2"/>
  <c r="D1331" i="2"/>
  <c r="F1331" i="2"/>
  <c r="G1331" i="2"/>
  <c r="H1331" i="2"/>
  <c r="J1331" i="2"/>
  <c r="K1331" i="2"/>
  <c r="L1331" i="2"/>
  <c r="C1332" i="2"/>
  <c r="D1332" i="2"/>
  <c r="F1332" i="2"/>
  <c r="G1332" i="2"/>
  <c r="H1332" i="2"/>
  <c r="J1332" i="2"/>
  <c r="K1332" i="2"/>
  <c r="L1332" i="2"/>
  <c r="C1333" i="2"/>
  <c r="D1333" i="2"/>
  <c r="F1333" i="2"/>
  <c r="G1333" i="2"/>
  <c r="H1333" i="2"/>
  <c r="J1333" i="2"/>
  <c r="K1333" i="2"/>
  <c r="L1333" i="2"/>
  <c r="C1334" i="2"/>
  <c r="D1334" i="2"/>
  <c r="F1334" i="2"/>
  <c r="G1334" i="2"/>
  <c r="H1334" i="2"/>
  <c r="J1334" i="2"/>
  <c r="K1334" i="2"/>
  <c r="L1334" i="2"/>
  <c r="C1335" i="2"/>
  <c r="D1335" i="2"/>
  <c r="F1335" i="2"/>
  <c r="G1335" i="2"/>
  <c r="H1335" i="2"/>
  <c r="J1335" i="2"/>
  <c r="K1335" i="2"/>
  <c r="L1335" i="2"/>
  <c r="C1336" i="2"/>
  <c r="D1336" i="2"/>
  <c r="F1336" i="2"/>
  <c r="G1336" i="2"/>
  <c r="H1336" i="2"/>
  <c r="J1336" i="2"/>
  <c r="K1336" i="2"/>
  <c r="L1336" i="2"/>
  <c r="C1337" i="2"/>
  <c r="D1337" i="2"/>
  <c r="F1337" i="2"/>
  <c r="G1337" i="2"/>
  <c r="H1337" i="2"/>
  <c r="J1337" i="2"/>
  <c r="K1337" i="2"/>
  <c r="L1337" i="2"/>
  <c r="C1338" i="2"/>
  <c r="D1338" i="2"/>
  <c r="F1338" i="2"/>
  <c r="G1338" i="2"/>
  <c r="H1338" i="2"/>
  <c r="J1338" i="2"/>
  <c r="K1338" i="2"/>
  <c r="L1338" i="2"/>
  <c r="C1339" i="2"/>
  <c r="D1339" i="2"/>
  <c r="F1339" i="2"/>
  <c r="G1339" i="2"/>
  <c r="H1339" i="2"/>
  <c r="J1339" i="2"/>
  <c r="K1339" i="2"/>
  <c r="L1339" i="2"/>
  <c r="C1340" i="2"/>
  <c r="D1340" i="2"/>
  <c r="F1340" i="2"/>
  <c r="G1340" i="2"/>
  <c r="H1340" i="2"/>
  <c r="J1340" i="2"/>
  <c r="K1340" i="2"/>
  <c r="L1340" i="2"/>
  <c r="C1341" i="2"/>
  <c r="D1341" i="2"/>
  <c r="F1341" i="2"/>
  <c r="G1341" i="2"/>
  <c r="H1341" i="2"/>
  <c r="J1341" i="2"/>
  <c r="K1341" i="2"/>
  <c r="L1341" i="2"/>
  <c r="C1342" i="2"/>
  <c r="D1342" i="2"/>
  <c r="F1342" i="2"/>
  <c r="G1342" i="2"/>
  <c r="H1342" i="2"/>
  <c r="J1342" i="2"/>
  <c r="K1342" i="2"/>
  <c r="L1342" i="2"/>
  <c r="C1344" i="2"/>
  <c r="D1344" i="2"/>
  <c r="F1344" i="2"/>
  <c r="G1344" i="2"/>
  <c r="H1344" i="2"/>
  <c r="J1344" i="2"/>
  <c r="K1344" i="2"/>
  <c r="L1344" i="2"/>
  <c r="C1345" i="2"/>
  <c r="D1345" i="2"/>
  <c r="F1345" i="2"/>
  <c r="G1345" i="2"/>
  <c r="H1345" i="2"/>
  <c r="J1345" i="2"/>
  <c r="K1345" i="2"/>
  <c r="L1345" i="2"/>
  <c r="C1346" i="2"/>
  <c r="D1346" i="2"/>
  <c r="F1346" i="2"/>
  <c r="G1346" i="2"/>
  <c r="H1346" i="2"/>
  <c r="J1346" i="2"/>
  <c r="K1346" i="2"/>
  <c r="L1346" i="2"/>
  <c r="C1347" i="2"/>
  <c r="D1347" i="2"/>
  <c r="F1347" i="2"/>
  <c r="G1347" i="2"/>
  <c r="H1347" i="2"/>
  <c r="J1347" i="2"/>
  <c r="K1347" i="2"/>
  <c r="L1347" i="2"/>
  <c r="C1348" i="2"/>
  <c r="D1348" i="2"/>
  <c r="F1348" i="2"/>
  <c r="G1348" i="2"/>
  <c r="H1348" i="2"/>
  <c r="J1348" i="2"/>
  <c r="K1348" i="2"/>
  <c r="L1348" i="2"/>
  <c r="C1349" i="2"/>
  <c r="D1349" i="2"/>
  <c r="F1349" i="2"/>
  <c r="G1349" i="2"/>
  <c r="H1349" i="2"/>
  <c r="J1349" i="2"/>
  <c r="K1349" i="2"/>
  <c r="L1349" i="2"/>
  <c r="C1350" i="2"/>
  <c r="D1350" i="2"/>
  <c r="F1350" i="2"/>
  <c r="G1350" i="2"/>
  <c r="H1350" i="2"/>
  <c r="J1350" i="2"/>
  <c r="K1350" i="2"/>
  <c r="L1350" i="2"/>
  <c r="C1351" i="2"/>
  <c r="D1351" i="2"/>
  <c r="F1351" i="2"/>
  <c r="G1351" i="2"/>
  <c r="H1351" i="2"/>
  <c r="J1351" i="2"/>
  <c r="K1351" i="2"/>
  <c r="L1351" i="2"/>
  <c r="C1352" i="2"/>
  <c r="D1352" i="2"/>
  <c r="F1352" i="2"/>
  <c r="G1352" i="2"/>
  <c r="H1352" i="2"/>
  <c r="J1352" i="2"/>
  <c r="K1352" i="2"/>
  <c r="L1352" i="2"/>
  <c r="C1353" i="2"/>
  <c r="D1353" i="2"/>
  <c r="F1353" i="2"/>
  <c r="G1353" i="2"/>
  <c r="H1353" i="2"/>
  <c r="J1353" i="2"/>
  <c r="K1353" i="2"/>
  <c r="L1353" i="2"/>
  <c r="C1354" i="2"/>
  <c r="D1354" i="2"/>
  <c r="F1354" i="2"/>
  <c r="G1354" i="2"/>
  <c r="H1354" i="2"/>
  <c r="J1354" i="2"/>
  <c r="K1354" i="2"/>
  <c r="L1354" i="2"/>
  <c r="C1355" i="2"/>
  <c r="D1355" i="2"/>
  <c r="F1355" i="2"/>
  <c r="G1355" i="2"/>
  <c r="H1355" i="2"/>
  <c r="J1355" i="2"/>
  <c r="K1355" i="2"/>
  <c r="L1355" i="2"/>
  <c r="C1356" i="2"/>
  <c r="D1356" i="2"/>
  <c r="F1356" i="2"/>
  <c r="G1356" i="2"/>
  <c r="H1356" i="2"/>
  <c r="J1356" i="2"/>
  <c r="K1356" i="2"/>
  <c r="L1356" i="2"/>
  <c r="C1357" i="2"/>
  <c r="D1357" i="2"/>
  <c r="F1357" i="2"/>
  <c r="G1357" i="2"/>
  <c r="H1357" i="2"/>
  <c r="J1357" i="2"/>
  <c r="K1357" i="2"/>
  <c r="L1357" i="2"/>
  <c r="C1358" i="2"/>
  <c r="D1358" i="2"/>
  <c r="F1358" i="2"/>
  <c r="G1358" i="2"/>
  <c r="H1358" i="2"/>
  <c r="J1358" i="2"/>
  <c r="K1358" i="2"/>
  <c r="L1358" i="2"/>
  <c r="C1359" i="2"/>
  <c r="D1359" i="2"/>
  <c r="F1359" i="2"/>
  <c r="G1359" i="2"/>
  <c r="H1359" i="2"/>
  <c r="J1359" i="2"/>
  <c r="K1359" i="2"/>
  <c r="L1359" i="2"/>
  <c r="C1360" i="2"/>
  <c r="D1360" i="2"/>
  <c r="F1360" i="2"/>
  <c r="G1360" i="2"/>
  <c r="H1360" i="2"/>
  <c r="J1360" i="2"/>
  <c r="K1360" i="2"/>
  <c r="L1360" i="2"/>
  <c r="C1361" i="2"/>
  <c r="D1361" i="2"/>
  <c r="F1361" i="2"/>
  <c r="G1361" i="2"/>
  <c r="H1361" i="2"/>
  <c r="J1361" i="2"/>
  <c r="K1361" i="2"/>
  <c r="L1361" i="2"/>
  <c r="C1362" i="2"/>
  <c r="D1362" i="2"/>
  <c r="F1362" i="2"/>
  <c r="G1362" i="2"/>
  <c r="H1362" i="2"/>
  <c r="J1362" i="2"/>
  <c r="K1362" i="2"/>
  <c r="L1362" i="2"/>
  <c r="C1363" i="2"/>
  <c r="D1363" i="2"/>
  <c r="F1363" i="2"/>
  <c r="G1363" i="2"/>
  <c r="H1363" i="2"/>
  <c r="J1363" i="2"/>
  <c r="K1363" i="2"/>
  <c r="L1363" i="2"/>
  <c r="C1364" i="2"/>
  <c r="D1364" i="2"/>
  <c r="F1364" i="2"/>
  <c r="G1364" i="2"/>
  <c r="H1364" i="2"/>
  <c r="J1364" i="2"/>
  <c r="K1364" i="2"/>
  <c r="L1364" i="2"/>
  <c r="C1365" i="2"/>
  <c r="D1365" i="2"/>
  <c r="F1365" i="2"/>
  <c r="G1365" i="2"/>
  <c r="H1365" i="2"/>
  <c r="J1365" i="2"/>
  <c r="K1365" i="2"/>
  <c r="L1365" i="2"/>
  <c r="C1366" i="2"/>
  <c r="D1366" i="2"/>
  <c r="F1366" i="2"/>
  <c r="G1366" i="2"/>
  <c r="H1366" i="2"/>
  <c r="J1366" i="2"/>
  <c r="K1366" i="2"/>
  <c r="L1366" i="2"/>
  <c r="C1367" i="2"/>
  <c r="D1367" i="2"/>
  <c r="F1367" i="2"/>
  <c r="G1367" i="2"/>
  <c r="H1367" i="2"/>
  <c r="J1367" i="2"/>
  <c r="K1367" i="2"/>
  <c r="L1367" i="2"/>
  <c r="C1368" i="2"/>
  <c r="D1368" i="2"/>
  <c r="F1368" i="2"/>
  <c r="G1368" i="2"/>
  <c r="H1368" i="2"/>
  <c r="J1368" i="2"/>
  <c r="K1368" i="2"/>
  <c r="L1368" i="2"/>
  <c r="C1369" i="2"/>
  <c r="D1369" i="2"/>
  <c r="F1369" i="2"/>
  <c r="G1369" i="2"/>
  <c r="H1369" i="2"/>
  <c r="J1369" i="2"/>
  <c r="K1369" i="2"/>
  <c r="L1369" i="2"/>
  <c r="C1370" i="2"/>
  <c r="D1370" i="2"/>
  <c r="F1370" i="2"/>
  <c r="G1370" i="2"/>
  <c r="H1370" i="2"/>
  <c r="J1370" i="2"/>
  <c r="K1370" i="2"/>
  <c r="L1370" i="2"/>
  <c r="C1371" i="2"/>
  <c r="D1371" i="2"/>
  <c r="F1371" i="2"/>
  <c r="G1371" i="2"/>
  <c r="H1371" i="2"/>
  <c r="J1371" i="2"/>
  <c r="K1371" i="2"/>
  <c r="L1371" i="2"/>
  <c r="C1372" i="2"/>
  <c r="D1372" i="2"/>
  <c r="F1372" i="2"/>
  <c r="G1372" i="2"/>
  <c r="H1372" i="2"/>
  <c r="J1372" i="2"/>
  <c r="K1372" i="2"/>
  <c r="L1372" i="2"/>
  <c r="C1373" i="2"/>
  <c r="D1373" i="2"/>
  <c r="F1373" i="2"/>
  <c r="G1373" i="2"/>
  <c r="H1373" i="2"/>
  <c r="J1373" i="2"/>
  <c r="K1373" i="2"/>
  <c r="L1373" i="2"/>
  <c r="C1374" i="2"/>
  <c r="D1374" i="2"/>
  <c r="F1374" i="2"/>
  <c r="G1374" i="2"/>
  <c r="H1374" i="2"/>
  <c r="J1374" i="2"/>
  <c r="K1374" i="2"/>
  <c r="L1374" i="2"/>
  <c r="C1375" i="2"/>
  <c r="D1375" i="2"/>
  <c r="F1375" i="2"/>
  <c r="G1375" i="2"/>
  <c r="H1375" i="2"/>
  <c r="J1375" i="2"/>
  <c r="K1375" i="2"/>
  <c r="L1375" i="2"/>
  <c r="C1376" i="2"/>
  <c r="D1376" i="2"/>
  <c r="F1376" i="2"/>
  <c r="G1376" i="2"/>
  <c r="H1376" i="2"/>
  <c r="J1376" i="2"/>
  <c r="K1376" i="2"/>
  <c r="L1376" i="2"/>
  <c r="C1377" i="2"/>
  <c r="D1377" i="2"/>
  <c r="F1377" i="2"/>
  <c r="G1377" i="2"/>
  <c r="H1377" i="2"/>
  <c r="J1377" i="2"/>
  <c r="K1377" i="2"/>
  <c r="L1377" i="2"/>
  <c r="C1378" i="2"/>
  <c r="D1378" i="2"/>
  <c r="F1378" i="2"/>
  <c r="G1378" i="2"/>
  <c r="H1378" i="2"/>
  <c r="J1378" i="2"/>
  <c r="K1378" i="2"/>
  <c r="L1378" i="2"/>
  <c r="C1379" i="2"/>
  <c r="D1379" i="2"/>
  <c r="F1379" i="2"/>
  <c r="G1379" i="2"/>
  <c r="H1379" i="2"/>
  <c r="J1379" i="2"/>
  <c r="K1379" i="2"/>
  <c r="L1379" i="2"/>
  <c r="C1380" i="2"/>
  <c r="D1380" i="2"/>
  <c r="F1380" i="2"/>
  <c r="G1380" i="2"/>
  <c r="H1380" i="2"/>
  <c r="J1380" i="2"/>
  <c r="K1380" i="2"/>
  <c r="L1380" i="2"/>
  <c r="C1381" i="2"/>
  <c r="D1381" i="2"/>
  <c r="F1381" i="2"/>
  <c r="G1381" i="2"/>
  <c r="H1381" i="2"/>
  <c r="J1381" i="2"/>
  <c r="K1381" i="2"/>
  <c r="L1381" i="2"/>
  <c r="C1382" i="2"/>
  <c r="D1382" i="2"/>
  <c r="F1382" i="2"/>
  <c r="G1382" i="2"/>
  <c r="H1382" i="2"/>
  <c r="J1382" i="2"/>
  <c r="K1382" i="2"/>
  <c r="L1382" i="2"/>
  <c r="C1383" i="2"/>
  <c r="D1383" i="2"/>
  <c r="F1383" i="2"/>
  <c r="G1383" i="2"/>
  <c r="H1383" i="2"/>
  <c r="J1383" i="2"/>
  <c r="K1383" i="2"/>
  <c r="L1383" i="2"/>
  <c r="C1384" i="2"/>
  <c r="D1384" i="2"/>
  <c r="F1384" i="2"/>
  <c r="G1384" i="2"/>
  <c r="H1384" i="2"/>
  <c r="J1384" i="2"/>
  <c r="K1384" i="2"/>
  <c r="L1384" i="2"/>
  <c r="C1385" i="2"/>
  <c r="D1385" i="2"/>
  <c r="F1385" i="2"/>
  <c r="G1385" i="2"/>
  <c r="H1385" i="2"/>
  <c r="J1385" i="2"/>
  <c r="K1385" i="2"/>
  <c r="L1385" i="2"/>
  <c r="C1386" i="2"/>
  <c r="D1386" i="2"/>
  <c r="F1386" i="2"/>
  <c r="G1386" i="2"/>
  <c r="H1386" i="2"/>
  <c r="J1386" i="2"/>
  <c r="K1386" i="2"/>
  <c r="L1386" i="2"/>
  <c r="C1387" i="2"/>
  <c r="D1387" i="2"/>
  <c r="F1387" i="2"/>
  <c r="G1387" i="2"/>
  <c r="H1387" i="2"/>
  <c r="J1387" i="2"/>
  <c r="K1387" i="2"/>
  <c r="L1387" i="2"/>
  <c r="C1388" i="2"/>
  <c r="D1388" i="2"/>
  <c r="F1388" i="2"/>
  <c r="G1388" i="2"/>
  <c r="H1388" i="2"/>
  <c r="J1388" i="2"/>
  <c r="K1388" i="2"/>
  <c r="L1388" i="2"/>
  <c r="C1389" i="2"/>
  <c r="D1389" i="2"/>
  <c r="F1389" i="2"/>
  <c r="G1389" i="2"/>
  <c r="H1389" i="2"/>
  <c r="J1389" i="2"/>
  <c r="K1389" i="2"/>
  <c r="L1389" i="2"/>
  <c r="C1390" i="2"/>
  <c r="D1390" i="2"/>
  <c r="F1390" i="2"/>
  <c r="G1390" i="2"/>
  <c r="H1390" i="2"/>
  <c r="J1390" i="2"/>
  <c r="K1390" i="2"/>
  <c r="L1390" i="2"/>
  <c r="C1391" i="2"/>
  <c r="D1391" i="2"/>
  <c r="F1391" i="2"/>
  <c r="G1391" i="2"/>
  <c r="H1391" i="2"/>
  <c r="J1391" i="2"/>
  <c r="K1391" i="2"/>
  <c r="L1391" i="2"/>
  <c r="C1392" i="2"/>
  <c r="D1392" i="2"/>
  <c r="F1392" i="2"/>
  <c r="G1392" i="2"/>
  <c r="H1392" i="2"/>
  <c r="J1392" i="2"/>
  <c r="K1392" i="2"/>
  <c r="L1392" i="2"/>
  <c r="C1393" i="2"/>
  <c r="D1393" i="2"/>
  <c r="F1393" i="2"/>
  <c r="G1393" i="2"/>
  <c r="H1393" i="2"/>
  <c r="J1393" i="2"/>
  <c r="K1393" i="2"/>
  <c r="L1393" i="2"/>
  <c r="C1394" i="2"/>
  <c r="D1394" i="2"/>
  <c r="F1394" i="2"/>
  <c r="G1394" i="2"/>
  <c r="H1394" i="2"/>
  <c r="J1394" i="2"/>
  <c r="K1394" i="2"/>
  <c r="L1394" i="2"/>
  <c r="C1395" i="2"/>
  <c r="D1395" i="2"/>
  <c r="F1395" i="2"/>
  <c r="G1395" i="2"/>
  <c r="H1395" i="2"/>
  <c r="J1395" i="2"/>
  <c r="K1395" i="2"/>
  <c r="L1395" i="2"/>
  <c r="C1396" i="2"/>
  <c r="D1396" i="2"/>
  <c r="F1396" i="2"/>
  <c r="G1396" i="2"/>
  <c r="H1396" i="2"/>
  <c r="J1396" i="2"/>
  <c r="K1396" i="2"/>
  <c r="L1396" i="2"/>
  <c r="C1397" i="2"/>
  <c r="D1397" i="2"/>
  <c r="F1397" i="2"/>
  <c r="G1397" i="2"/>
  <c r="H1397" i="2"/>
  <c r="J1397" i="2"/>
  <c r="K1397" i="2"/>
  <c r="L1397" i="2"/>
  <c r="C1398" i="2"/>
  <c r="D1398" i="2"/>
  <c r="F1398" i="2"/>
  <c r="G1398" i="2"/>
  <c r="H1398" i="2"/>
  <c r="J1398" i="2"/>
  <c r="K1398" i="2"/>
  <c r="L1398" i="2"/>
  <c r="C1399" i="2"/>
  <c r="D1399" i="2"/>
  <c r="F1399" i="2"/>
  <c r="G1399" i="2"/>
  <c r="H1399" i="2"/>
  <c r="J1399" i="2"/>
  <c r="K1399" i="2"/>
  <c r="L1399" i="2"/>
  <c r="C1400" i="2"/>
  <c r="D1400" i="2"/>
  <c r="F1400" i="2"/>
  <c r="G1400" i="2"/>
  <c r="H1400" i="2"/>
  <c r="J1400" i="2"/>
  <c r="K1400" i="2"/>
  <c r="L1400" i="2"/>
  <c r="C1401" i="2"/>
  <c r="D1401" i="2"/>
  <c r="F1401" i="2"/>
  <c r="G1401" i="2"/>
  <c r="H1401" i="2"/>
  <c r="J1401" i="2"/>
  <c r="K1401" i="2"/>
  <c r="L1401" i="2"/>
  <c r="C1402" i="2"/>
  <c r="D1402" i="2"/>
  <c r="F1402" i="2"/>
  <c r="G1402" i="2"/>
  <c r="H1402" i="2"/>
  <c r="J1402" i="2"/>
  <c r="K1402" i="2"/>
  <c r="L1402" i="2"/>
  <c r="C1403" i="2"/>
  <c r="D1403" i="2"/>
  <c r="F1403" i="2"/>
  <c r="G1403" i="2"/>
  <c r="H1403" i="2"/>
  <c r="J1403" i="2"/>
  <c r="K1403" i="2"/>
  <c r="L1403" i="2"/>
  <c r="C1404" i="2"/>
  <c r="D1404" i="2"/>
  <c r="F1404" i="2"/>
  <c r="G1404" i="2"/>
  <c r="H1404" i="2"/>
  <c r="J1404" i="2"/>
  <c r="K1404" i="2"/>
  <c r="L1404" i="2"/>
  <c r="C1405" i="2"/>
  <c r="D1405" i="2"/>
  <c r="F1405" i="2"/>
  <c r="G1405" i="2"/>
  <c r="H1405" i="2"/>
  <c r="J1405" i="2"/>
  <c r="K1405" i="2"/>
  <c r="L1405" i="2"/>
  <c r="C1406" i="2"/>
  <c r="D1406" i="2"/>
  <c r="F1406" i="2"/>
  <c r="G1406" i="2"/>
  <c r="H1406" i="2"/>
  <c r="J1406" i="2"/>
  <c r="K1406" i="2"/>
  <c r="L1406" i="2"/>
  <c r="C1407" i="2"/>
  <c r="D1407" i="2"/>
  <c r="F1407" i="2"/>
  <c r="G1407" i="2"/>
  <c r="H1407" i="2"/>
  <c r="J1407" i="2"/>
  <c r="K1407" i="2"/>
  <c r="L1407" i="2"/>
  <c r="C1408" i="2"/>
  <c r="D1408" i="2"/>
  <c r="F1408" i="2"/>
  <c r="G1408" i="2"/>
  <c r="H1408" i="2"/>
  <c r="J1408" i="2"/>
  <c r="K1408" i="2"/>
  <c r="L1408" i="2"/>
  <c r="C1409" i="2"/>
  <c r="D1409" i="2"/>
  <c r="F1409" i="2"/>
  <c r="G1409" i="2"/>
  <c r="H1409" i="2"/>
  <c r="J1409" i="2"/>
  <c r="K1409" i="2"/>
  <c r="L1409" i="2"/>
  <c r="C1410" i="2"/>
  <c r="D1410" i="2"/>
  <c r="F1410" i="2"/>
  <c r="G1410" i="2"/>
  <c r="H1410" i="2"/>
  <c r="J1410" i="2"/>
  <c r="K1410" i="2"/>
  <c r="L1410" i="2"/>
  <c r="C1411" i="2"/>
  <c r="D1411" i="2"/>
  <c r="F1411" i="2"/>
  <c r="G1411" i="2"/>
  <c r="H1411" i="2"/>
  <c r="J1411" i="2"/>
  <c r="K1411" i="2"/>
  <c r="L1411" i="2"/>
  <c r="C1412" i="2"/>
  <c r="D1412" i="2"/>
  <c r="F1412" i="2"/>
  <c r="G1412" i="2"/>
  <c r="H1412" i="2"/>
  <c r="J1412" i="2"/>
  <c r="K1412" i="2"/>
  <c r="L1412" i="2"/>
  <c r="C1413" i="2"/>
  <c r="D1413" i="2"/>
  <c r="F1413" i="2"/>
  <c r="G1413" i="2"/>
  <c r="H1413" i="2"/>
  <c r="J1413" i="2"/>
  <c r="K1413" i="2"/>
  <c r="L1413" i="2"/>
  <c r="C1414" i="2"/>
  <c r="D1414" i="2"/>
  <c r="F1414" i="2"/>
  <c r="G1414" i="2"/>
  <c r="H1414" i="2"/>
  <c r="J1414" i="2"/>
  <c r="K1414" i="2"/>
  <c r="L1414" i="2"/>
  <c r="C1415" i="2"/>
  <c r="D1415" i="2"/>
  <c r="F1415" i="2"/>
  <c r="G1415" i="2"/>
  <c r="H1415" i="2"/>
  <c r="J1415" i="2"/>
  <c r="K1415" i="2"/>
  <c r="L1415" i="2"/>
  <c r="C1416" i="2"/>
  <c r="D1416" i="2"/>
  <c r="F1416" i="2"/>
  <c r="G1416" i="2"/>
  <c r="H1416" i="2"/>
  <c r="J1416" i="2"/>
  <c r="K1416" i="2"/>
  <c r="L1416" i="2"/>
  <c r="C1417" i="2"/>
  <c r="D1417" i="2"/>
  <c r="F1417" i="2"/>
  <c r="G1417" i="2"/>
  <c r="H1417" i="2"/>
  <c r="J1417" i="2"/>
  <c r="K1417" i="2"/>
  <c r="L1417" i="2"/>
  <c r="C1418" i="2"/>
  <c r="D1418" i="2"/>
  <c r="F1418" i="2"/>
  <c r="G1418" i="2"/>
  <c r="H1418" i="2"/>
  <c r="J1418" i="2"/>
  <c r="K1418" i="2"/>
  <c r="L1418" i="2"/>
  <c r="C1419" i="2"/>
  <c r="D1419" i="2"/>
  <c r="F1419" i="2"/>
  <c r="G1419" i="2"/>
  <c r="H1419" i="2"/>
  <c r="J1419" i="2"/>
  <c r="K1419" i="2"/>
  <c r="L1419" i="2"/>
  <c r="C1420" i="2"/>
  <c r="D1420" i="2"/>
  <c r="F1420" i="2"/>
  <c r="G1420" i="2"/>
  <c r="H1420" i="2"/>
  <c r="J1420" i="2"/>
  <c r="K1420" i="2"/>
  <c r="L1420" i="2"/>
  <c r="C1421" i="2"/>
  <c r="D1421" i="2"/>
  <c r="F1421" i="2"/>
  <c r="G1421" i="2"/>
  <c r="H1421" i="2"/>
  <c r="J1421" i="2"/>
  <c r="K1421" i="2"/>
  <c r="L1421" i="2"/>
  <c r="C1422" i="2"/>
  <c r="D1422" i="2"/>
  <c r="F1422" i="2"/>
  <c r="G1422" i="2"/>
  <c r="H1422" i="2"/>
  <c r="J1422" i="2"/>
  <c r="K1422" i="2"/>
  <c r="L1422" i="2"/>
  <c r="C1423" i="2"/>
  <c r="D1423" i="2"/>
  <c r="F1423" i="2"/>
  <c r="G1423" i="2"/>
  <c r="H1423" i="2"/>
  <c r="J1423" i="2"/>
  <c r="K1423" i="2"/>
  <c r="L1423" i="2"/>
  <c r="C1424" i="2"/>
  <c r="D1424" i="2"/>
  <c r="F1424" i="2"/>
  <c r="G1424" i="2"/>
  <c r="H1424" i="2"/>
  <c r="J1424" i="2"/>
  <c r="K1424" i="2"/>
  <c r="L1424" i="2"/>
  <c r="C1425" i="2"/>
  <c r="D1425" i="2"/>
  <c r="F1425" i="2"/>
  <c r="G1425" i="2"/>
  <c r="H1425" i="2"/>
  <c r="J1425" i="2"/>
  <c r="K1425" i="2"/>
  <c r="L1425" i="2"/>
  <c r="C1426" i="2"/>
  <c r="D1426" i="2"/>
  <c r="F1426" i="2"/>
  <c r="G1426" i="2"/>
  <c r="H1426" i="2"/>
  <c r="J1426" i="2"/>
  <c r="K1426" i="2"/>
  <c r="L1426" i="2"/>
  <c r="C1427" i="2"/>
  <c r="D1427" i="2"/>
  <c r="F1427" i="2"/>
  <c r="G1427" i="2"/>
  <c r="H1427" i="2"/>
  <c r="J1427" i="2"/>
  <c r="K1427" i="2"/>
  <c r="L1427" i="2"/>
  <c r="C1428" i="2"/>
  <c r="D1428" i="2"/>
  <c r="F1428" i="2"/>
  <c r="G1428" i="2"/>
  <c r="H1428" i="2"/>
  <c r="J1428" i="2"/>
  <c r="K1428" i="2"/>
  <c r="L1428" i="2"/>
  <c r="C1429" i="2"/>
  <c r="D1429" i="2"/>
  <c r="F1429" i="2"/>
  <c r="G1429" i="2"/>
  <c r="H1429" i="2"/>
  <c r="J1429" i="2"/>
  <c r="K1429" i="2"/>
  <c r="L1429" i="2"/>
  <c r="C1430" i="2"/>
  <c r="D1430" i="2"/>
  <c r="F1430" i="2"/>
  <c r="G1430" i="2"/>
  <c r="H1430" i="2"/>
  <c r="J1430" i="2"/>
  <c r="K1430" i="2"/>
  <c r="L1430" i="2"/>
  <c r="C1431" i="2"/>
  <c r="D1431" i="2"/>
  <c r="F1431" i="2"/>
  <c r="G1431" i="2"/>
  <c r="H1431" i="2"/>
  <c r="J1431" i="2"/>
  <c r="K1431" i="2"/>
  <c r="L1431" i="2"/>
  <c r="C1432" i="2"/>
  <c r="D1432" i="2"/>
  <c r="F1432" i="2"/>
  <c r="G1432" i="2"/>
  <c r="H1432" i="2"/>
  <c r="J1432" i="2"/>
  <c r="K1432" i="2"/>
  <c r="L1432" i="2"/>
  <c r="C1433" i="2"/>
  <c r="D1433" i="2"/>
  <c r="F1433" i="2"/>
  <c r="G1433" i="2"/>
  <c r="H1433" i="2"/>
  <c r="J1433" i="2"/>
  <c r="K1433" i="2"/>
  <c r="L1433" i="2"/>
  <c r="C1434" i="2"/>
  <c r="D1434" i="2"/>
  <c r="F1434" i="2"/>
  <c r="G1434" i="2"/>
  <c r="H1434" i="2"/>
  <c r="J1434" i="2"/>
  <c r="K1434" i="2"/>
  <c r="L1434" i="2"/>
  <c r="C1435" i="2"/>
  <c r="D1435" i="2"/>
  <c r="F1435" i="2"/>
  <c r="G1435" i="2"/>
  <c r="H1435" i="2"/>
  <c r="J1435" i="2"/>
  <c r="K1435" i="2"/>
  <c r="L1435" i="2"/>
  <c r="C1436" i="2"/>
  <c r="D1436" i="2"/>
  <c r="F1436" i="2"/>
  <c r="G1436" i="2"/>
  <c r="H1436" i="2"/>
  <c r="J1436" i="2"/>
  <c r="K1436" i="2"/>
  <c r="L1436" i="2"/>
  <c r="C1437" i="2"/>
  <c r="D1437" i="2"/>
  <c r="E1437" i="2"/>
  <c r="F1437" i="2"/>
  <c r="G1437" i="2"/>
  <c r="H1437" i="2"/>
  <c r="J1437" i="2"/>
  <c r="K1437" i="2"/>
  <c r="L1437" i="2"/>
  <c r="C1438" i="2"/>
  <c r="D1438" i="2"/>
  <c r="F1438" i="2"/>
  <c r="G1438" i="2"/>
  <c r="H1438" i="2"/>
  <c r="J1438" i="2"/>
  <c r="K1438" i="2"/>
  <c r="L1438" i="2"/>
  <c r="C1439" i="2"/>
  <c r="D1439" i="2"/>
  <c r="F1439" i="2"/>
  <c r="G1439" i="2"/>
  <c r="H1439" i="2"/>
  <c r="J1439" i="2"/>
  <c r="K1439" i="2"/>
  <c r="L1439" i="2"/>
  <c r="C1440" i="2"/>
  <c r="D1440" i="2"/>
  <c r="F1440" i="2"/>
  <c r="G1440" i="2"/>
  <c r="H1440" i="2"/>
  <c r="J1440" i="2"/>
  <c r="K1440" i="2"/>
  <c r="L1440" i="2"/>
  <c r="C1441" i="2"/>
  <c r="D1441" i="2"/>
  <c r="F1441" i="2"/>
  <c r="G1441" i="2"/>
  <c r="H1441" i="2"/>
  <c r="J1441" i="2"/>
  <c r="K1441" i="2"/>
  <c r="L1441" i="2"/>
  <c r="C1442" i="2"/>
  <c r="D1442" i="2"/>
  <c r="F1442" i="2"/>
  <c r="G1442" i="2"/>
  <c r="H1442" i="2"/>
  <c r="J1442" i="2"/>
  <c r="K1442" i="2"/>
  <c r="L1442" i="2"/>
  <c r="C1443" i="2"/>
  <c r="D1443" i="2"/>
  <c r="F1443" i="2"/>
  <c r="G1443" i="2"/>
  <c r="H1443" i="2"/>
  <c r="J1443" i="2"/>
  <c r="K1443" i="2"/>
  <c r="L1443" i="2"/>
  <c r="C1444" i="2"/>
  <c r="D1444" i="2"/>
  <c r="F1444" i="2"/>
  <c r="G1444" i="2"/>
  <c r="H1444" i="2"/>
  <c r="J1444" i="2"/>
  <c r="K1444" i="2"/>
  <c r="L1444" i="2"/>
  <c r="C1445" i="2"/>
  <c r="D1445" i="2"/>
  <c r="F1445" i="2"/>
  <c r="G1445" i="2"/>
  <c r="H1445" i="2"/>
  <c r="J1445" i="2"/>
  <c r="K1445" i="2"/>
  <c r="L1445" i="2"/>
  <c r="C1446" i="2"/>
  <c r="D1446" i="2"/>
  <c r="F1446" i="2"/>
  <c r="G1446" i="2"/>
  <c r="H1446" i="2"/>
  <c r="J1446" i="2"/>
  <c r="K1446" i="2"/>
  <c r="L1446" i="2"/>
  <c r="C1447" i="2"/>
  <c r="D1447" i="2"/>
  <c r="F1447" i="2"/>
  <c r="G1447" i="2"/>
  <c r="H1447" i="2"/>
  <c r="J1447" i="2"/>
  <c r="K1447" i="2"/>
  <c r="L1447" i="2"/>
  <c r="C1448" i="2"/>
  <c r="D1448" i="2"/>
  <c r="F1448" i="2"/>
  <c r="G1448" i="2"/>
  <c r="H1448" i="2"/>
  <c r="J1448" i="2"/>
  <c r="K1448" i="2"/>
  <c r="L1448" i="2"/>
  <c r="C1449" i="2"/>
  <c r="D1449" i="2"/>
  <c r="F1449" i="2"/>
  <c r="G1449" i="2"/>
  <c r="H1449" i="2"/>
  <c r="J1449" i="2"/>
  <c r="K1449" i="2"/>
  <c r="L1449" i="2"/>
  <c r="C1450" i="2"/>
  <c r="D1450" i="2"/>
  <c r="F1450" i="2"/>
  <c r="G1450" i="2"/>
  <c r="H1450" i="2"/>
  <c r="J1450" i="2"/>
  <c r="K1450" i="2"/>
  <c r="L1450" i="2"/>
  <c r="C1451" i="2"/>
  <c r="D1451" i="2"/>
  <c r="F1451" i="2"/>
  <c r="G1451" i="2"/>
  <c r="H1451" i="2"/>
  <c r="J1451" i="2"/>
  <c r="K1451" i="2"/>
  <c r="L1451" i="2"/>
  <c r="C1452" i="2"/>
  <c r="D1452" i="2"/>
  <c r="F1452" i="2"/>
  <c r="G1452" i="2"/>
  <c r="H1452" i="2"/>
  <c r="J1452" i="2"/>
  <c r="K1452" i="2"/>
  <c r="L1452" i="2"/>
  <c r="C1453" i="2"/>
  <c r="D1453" i="2"/>
  <c r="F1453" i="2"/>
  <c r="G1453" i="2"/>
  <c r="H1453" i="2"/>
  <c r="J1453" i="2"/>
  <c r="K1453" i="2"/>
  <c r="L1453" i="2"/>
  <c r="C1454" i="2"/>
  <c r="D1454" i="2"/>
  <c r="F1454" i="2"/>
  <c r="G1454" i="2"/>
  <c r="H1454" i="2"/>
  <c r="J1454" i="2"/>
  <c r="K1454" i="2"/>
  <c r="L1454" i="2"/>
  <c r="C1455" i="2"/>
  <c r="D1455" i="2"/>
  <c r="F1455" i="2"/>
  <c r="G1455" i="2"/>
  <c r="H1455" i="2"/>
  <c r="J1455" i="2"/>
  <c r="K1455" i="2"/>
  <c r="L1455" i="2"/>
  <c r="C1456" i="2"/>
  <c r="D1456" i="2"/>
  <c r="F1456" i="2"/>
  <c r="G1456" i="2"/>
  <c r="H1456" i="2"/>
  <c r="J1456" i="2"/>
  <c r="K1456" i="2"/>
  <c r="L1456" i="2"/>
  <c r="C1457" i="2"/>
  <c r="D1457" i="2"/>
  <c r="F1457" i="2"/>
  <c r="G1457" i="2"/>
  <c r="H1457" i="2"/>
  <c r="J1457" i="2"/>
  <c r="K1457" i="2"/>
  <c r="L1457" i="2"/>
  <c r="C1458" i="2"/>
  <c r="D1458" i="2"/>
  <c r="F1458" i="2"/>
  <c r="G1458" i="2"/>
  <c r="H1458" i="2"/>
  <c r="J1458" i="2"/>
  <c r="K1458" i="2"/>
  <c r="L1458" i="2"/>
  <c r="C1459" i="2"/>
  <c r="D1459" i="2"/>
  <c r="F1459" i="2"/>
  <c r="G1459" i="2"/>
  <c r="H1459" i="2"/>
  <c r="J1459" i="2"/>
  <c r="K1459" i="2"/>
  <c r="L1459" i="2"/>
  <c r="C1460" i="2"/>
  <c r="D1460" i="2"/>
  <c r="E1460" i="2"/>
  <c r="F1460" i="2"/>
  <c r="G1460" i="2"/>
  <c r="H1460" i="2"/>
  <c r="J1460" i="2"/>
  <c r="K1460" i="2"/>
  <c r="L1460" i="2"/>
  <c r="C1461" i="2"/>
  <c r="D1461" i="2"/>
  <c r="F1461" i="2"/>
  <c r="G1461" i="2"/>
  <c r="H1461" i="2"/>
  <c r="J1461" i="2"/>
  <c r="K1461" i="2"/>
  <c r="L1461" i="2"/>
  <c r="C1462" i="2"/>
  <c r="D1462" i="2"/>
  <c r="F1462" i="2"/>
  <c r="G1462" i="2"/>
  <c r="H1462" i="2"/>
  <c r="J1462" i="2"/>
  <c r="K1462" i="2"/>
  <c r="L1462" i="2"/>
  <c r="C1463" i="2"/>
  <c r="D1463" i="2"/>
  <c r="F1463" i="2"/>
  <c r="G1463" i="2"/>
  <c r="H1463" i="2"/>
  <c r="J1463" i="2"/>
  <c r="K1463" i="2"/>
  <c r="L1463" i="2"/>
  <c r="C1464" i="2"/>
  <c r="D1464" i="2"/>
  <c r="F1464" i="2"/>
  <c r="G1464" i="2"/>
  <c r="H1464" i="2"/>
  <c r="J1464" i="2"/>
  <c r="K1464" i="2"/>
  <c r="L1464" i="2"/>
  <c r="C1465" i="2"/>
  <c r="D1465" i="2"/>
  <c r="F1465" i="2"/>
  <c r="G1465" i="2"/>
  <c r="H1465" i="2"/>
  <c r="J1465" i="2"/>
  <c r="K1465" i="2"/>
  <c r="L1465" i="2"/>
  <c r="C1466" i="2"/>
  <c r="D1466" i="2"/>
  <c r="F1466" i="2"/>
  <c r="G1466" i="2"/>
  <c r="H1466" i="2"/>
  <c r="J1466" i="2"/>
  <c r="K1466" i="2"/>
  <c r="L1466" i="2"/>
  <c r="C1467" i="2"/>
  <c r="D1467" i="2"/>
  <c r="F1467" i="2"/>
  <c r="G1467" i="2"/>
  <c r="H1467" i="2"/>
  <c r="J1467" i="2"/>
  <c r="K1467" i="2"/>
  <c r="L1467" i="2"/>
  <c r="C1468" i="2"/>
  <c r="D1468" i="2"/>
  <c r="F1468" i="2"/>
  <c r="G1468" i="2"/>
  <c r="H1468" i="2"/>
  <c r="J1468" i="2"/>
  <c r="K1468" i="2"/>
  <c r="L1468" i="2"/>
  <c r="C1469" i="2"/>
  <c r="D1469" i="2"/>
  <c r="F1469" i="2"/>
  <c r="G1469" i="2"/>
  <c r="H1469" i="2"/>
  <c r="J1469" i="2"/>
  <c r="K1469" i="2"/>
  <c r="L1469" i="2"/>
  <c r="C1470" i="2"/>
  <c r="D1470" i="2"/>
  <c r="F1470" i="2"/>
  <c r="G1470" i="2"/>
  <c r="H1470" i="2"/>
  <c r="J1470" i="2"/>
  <c r="K1470" i="2"/>
  <c r="L1470" i="2"/>
  <c r="C1471" i="2"/>
  <c r="D1471" i="2"/>
  <c r="F1471" i="2"/>
  <c r="G1471" i="2"/>
  <c r="H1471" i="2"/>
  <c r="J1471" i="2"/>
  <c r="K1471" i="2"/>
  <c r="L1471" i="2"/>
  <c r="C1472" i="2"/>
  <c r="D1472" i="2"/>
  <c r="F1472" i="2"/>
  <c r="G1472" i="2"/>
  <c r="H1472" i="2"/>
  <c r="J1472" i="2"/>
  <c r="K1472" i="2"/>
  <c r="L1472" i="2"/>
  <c r="C1473" i="2"/>
  <c r="D1473" i="2"/>
  <c r="F1473" i="2"/>
  <c r="G1473" i="2"/>
  <c r="H1473" i="2"/>
  <c r="J1473" i="2"/>
  <c r="K1473" i="2"/>
  <c r="L1473" i="2"/>
  <c r="C1474" i="2"/>
  <c r="D1474" i="2"/>
  <c r="F1474" i="2"/>
  <c r="G1474" i="2"/>
  <c r="H1474" i="2"/>
  <c r="J1474" i="2"/>
  <c r="K1474" i="2"/>
  <c r="L1474" i="2"/>
  <c r="C1475" i="2"/>
  <c r="D1475" i="2"/>
  <c r="F1475" i="2"/>
  <c r="G1475" i="2"/>
  <c r="H1475" i="2"/>
  <c r="J1475" i="2"/>
  <c r="K1475" i="2"/>
  <c r="L1475" i="2"/>
  <c r="C1476" i="2"/>
  <c r="D1476" i="2"/>
  <c r="F1476" i="2"/>
  <c r="G1476" i="2"/>
  <c r="H1476" i="2"/>
  <c r="J1476" i="2"/>
  <c r="K1476" i="2"/>
  <c r="L1476" i="2"/>
  <c r="C1477" i="2"/>
  <c r="D1477" i="2"/>
  <c r="F1477" i="2"/>
  <c r="G1477" i="2"/>
  <c r="H1477" i="2"/>
  <c r="J1477" i="2"/>
  <c r="K1477" i="2"/>
  <c r="L1477" i="2"/>
  <c r="C1478" i="2"/>
  <c r="D1478" i="2"/>
  <c r="F1478" i="2"/>
  <c r="G1478" i="2"/>
  <c r="H1478" i="2"/>
  <c r="J1478" i="2"/>
  <c r="K1478" i="2"/>
  <c r="L1478" i="2"/>
  <c r="C1479" i="2"/>
  <c r="D1479" i="2"/>
  <c r="F1479" i="2"/>
  <c r="G1479" i="2"/>
  <c r="H1479" i="2"/>
  <c r="J1479" i="2"/>
  <c r="K1479" i="2"/>
  <c r="L1479" i="2"/>
  <c r="C1480" i="2"/>
  <c r="D1480" i="2"/>
  <c r="F1480" i="2"/>
  <c r="G1480" i="2"/>
  <c r="H1480" i="2"/>
  <c r="J1480" i="2"/>
  <c r="K1480" i="2"/>
  <c r="L1480" i="2"/>
  <c r="C1481" i="2"/>
  <c r="D1481" i="2"/>
  <c r="F1481" i="2"/>
  <c r="G1481" i="2"/>
  <c r="H1481" i="2"/>
  <c r="J1481" i="2"/>
  <c r="K1481" i="2"/>
  <c r="L1481" i="2"/>
  <c r="C1482" i="2"/>
  <c r="D1482" i="2"/>
  <c r="F1482" i="2"/>
  <c r="G1482" i="2"/>
  <c r="H1482" i="2"/>
  <c r="J1482" i="2"/>
  <c r="K1482" i="2"/>
  <c r="L1482" i="2"/>
  <c r="C1483" i="2"/>
  <c r="D1483" i="2"/>
  <c r="F1483" i="2"/>
  <c r="G1483" i="2"/>
  <c r="H1483" i="2"/>
  <c r="J1483" i="2"/>
  <c r="K1483" i="2"/>
  <c r="L1483" i="2"/>
  <c r="C1484" i="2"/>
  <c r="D1484" i="2"/>
  <c r="F1484" i="2"/>
  <c r="G1484" i="2"/>
  <c r="H1484" i="2"/>
  <c r="J1484" i="2"/>
  <c r="K1484" i="2"/>
  <c r="L1484" i="2"/>
  <c r="C1485" i="2"/>
  <c r="D1485" i="2"/>
  <c r="F1485" i="2"/>
  <c r="G1485" i="2"/>
  <c r="H1485" i="2"/>
  <c r="J1485" i="2"/>
  <c r="K1485" i="2"/>
  <c r="L1485" i="2"/>
  <c r="C1486" i="2"/>
  <c r="D1486" i="2"/>
  <c r="F1486" i="2"/>
  <c r="G1486" i="2"/>
  <c r="H1486" i="2"/>
  <c r="J1486" i="2"/>
  <c r="K1486" i="2"/>
  <c r="L1486" i="2"/>
  <c r="C1487" i="2"/>
  <c r="D1487" i="2"/>
  <c r="F1487" i="2"/>
  <c r="G1487" i="2"/>
  <c r="H1487" i="2"/>
  <c r="J1487" i="2"/>
  <c r="K1487" i="2"/>
  <c r="L1487" i="2"/>
  <c r="C1488" i="2"/>
  <c r="D1488" i="2"/>
  <c r="F1488" i="2"/>
  <c r="G1488" i="2"/>
  <c r="H1488" i="2"/>
  <c r="J1488" i="2"/>
  <c r="K1488" i="2"/>
  <c r="L1488" i="2"/>
  <c r="C1489" i="2"/>
  <c r="D1489" i="2"/>
  <c r="F1489" i="2"/>
  <c r="G1489" i="2"/>
  <c r="H1489" i="2"/>
  <c r="J1489" i="2"/>
  <c r="K1489" i="2"/>
  <c r="L1489" i="2"/>
  <c r="C1490" i="2"/>
  <c r="D1490" i="2"/>
  <c r="F1490" i="2"/>
  <c r="G1490" i="2"/>
  <c r="H1490" i="2"/>
  <c r="J1490" i="2"/>
  <c r="K1490" i="2"/>
  <c r="L1490" i="2"/>
  <c r="C1491" i="2"/>
  <c r="D1491" i="2"/>
  <c r="F1491" i="2"/>
  <c r="G1491" i="2"/>
  <c r="H1491" i="2"/>
  <c r="J1491" i="2"/>
  <c r="K1491" i="2"/>
  <c r="L1491" i="2"/>
  <c r="C1492" i="2"/>
  <c r="D1492" i="2"/>
  <c r="F1492" i="2"/>
  <c r="G1492" i="2"/>
  <c r="H1492" i="2"/>
  <c r="J1492" i="2"/>
  <c r="K1492" i="2"/>
  <c r="L1492" i="2"/>
  <c r="C1493" i="2"/>
  <c r="D1493" i="2"/>
  <c r="F1493" i="2"/>
  <c r="G1493" i="2"/>
  <c r="H1493" i="2"/>
  <c r="J1493" i="2"/>
  <c r="K1493" i="2"/>
  <c r="L1493" i="2"/>
  <c r="C1494" i="2"/>
  <c r="D1494" i="2"/>
  <c r="F1494" i="2"/>
  <c r="G1494" i="2"/>
  <c r="H1494" i="2"/>
  <c r="J1494" i="2"/>
  <c r="K1494" i="2"/>
  <c r="L1494" i="2"/>
  <c r="C1495" i="2"/>
  <c r="D1495" i="2"/>
  <c r="F1495" i="2"/>
  <c r="G1495" i="2"/>
  <c r="H1495" i="2"/>
  <c r="J1495" i="2"/>
  <c r="K1495" i="2"/>
  <c r="L1495" i="2"/>
  <c r="C1496" i="2"/>
  <c r="D1496" i="2"/>
  <c r="F1496" i="2"/>
  <c r="G1496" i="2"/>
  <c r="H1496" i="2"/>
  <c r="J1496" i="2"/>
  <c r="K1496" i="2"/>
  <c r="L1496" i="2"/>
  <c r="C1497" i="2"/>
  <c r="D1497" i="2"/>
  <c r="F1497" i="2"/>
  <c r="G1497" i="2"/>
  <c r="H1497" i="2"/>
  <c r="J1497" i="2"/>
  <c r="K1497" i="2"/>
  <c r="L1497" i="2"/>
  <c r="C1498" i="2"/>
  <c r="D1498" i="2"/>
  <c r="F1498" i="2"/>
  <c r="G1498" i="2"/>
  <c r="H1498" i="2"/>
  <c r="J1498" i="2"/>
  <c r="K1498" i="2"/>
  <c r="L1498" i="2"/>
  <c r="C1499" i="2"/>
  <c r="D1499" i="2"/>
  <c r="F1499" i="2"/>
  <c r="G1499" i="2"/>
  <c r="H1499" i="2"/>
  <c r="J1499" i="2"/>
  <c r="K1499" i="2"/>
  <c r="L1499" i="2"/>
  <c r="C1500" i="2"/>
  <c r="D1500" i="2"/>
  <c r="F1500" i="2"/>
  <c r="G1500" i="2"/>
  <c r="H1500" i="2"/>
  <c r="J1500" i="2"/>
  <c r="K1500" i="2"/>
  <c r="L1500" i="2"/>
  <c r="C1501" i="2"/>
  <c r="D1501" i="2"/>
  <c r="F1501" i="2"/>
  <c r="G1501" i="2"/>
  <c r="H1501" i="2"/>
  <c r="J1501" i="2"/>
  <c r="K1501" i="2"/>
  <c r="L1501" i="2"/>
  <c r="C1502" i="2"/>
  <c r="D1502" i="2"/>
  <c r="F1502" i="2"/>
  <c r="G1502" i="2"/>
  <c r="H1502" i="2"/>
  <c r="J1502" i="2"/>
  <c r="K1502" i="2"/>
  <c r="L1502" i="2"/>
  <c r="C1503" i="2"/>
  <c r="D1503" i="2"/>
  <c r="F1503" i="2"/>
  <c r="G1503" i="2"/>
  <c r="H1503" i="2"/>
  <c r="J1503" i="2"/>
  <c r="K1503" i="2"/>
  <c r="L1503" i="2"/>
  <c r="C1504" i="2"/>
  <c r="D1504" i="2"/>
  <c r="F1504" i="2"/>
  <c r="G1504" i="2"/>
  <c r="H1504" i="2"/>
  <c r="J1504" i="2"/>
  <c r="K1504" i="2"/>
  <c r="L1504" i="2"/>
  <c r="C1505" i="2"/>
  <c r="D1505" i="2"/>
  <c r="F1505" i="2"/>
  <c r="G1505" i="2"/>
  <c r="H1505" i="2"/>
  <c r="J1505" i="2"/>
  <c r="K1505" i="2"/>
  <c r="L1505" i="2"/>
  <c r="C1506" i="2"/>
  <c r="D1506" i="2"/>
  <c r="F1506" i="2"/>
  <c r="G1506" i="2"/>
  <c r="H1506" i="2"/>
  <c r="J1506" i="2"/>
  <c r="K1506" i="2"/>
  <c r="L1506" i="2"/>
  <c r="C1507" i="2"/>
  <c r="D1507" i="2"/>
  <c r="F1507" i="2"/>
  <c r="G1507" i="2"/>
  <c r="H1507" i="2"/>
  <c r="J1507" i="2"/>
  <c r="K1507" i="2"/>
  <c r="L1507" i="2"/>
  <c r="C1508" i="2"/>
  <c r="D1508" i="2"/>
  <c r="F1508" i="2"/>
  <c r="G1508" i="2"/>
  <c r="H1508" i="2"/>
  <c r="J1508" i="2"/>
  <c r="K1508" i="2"/>
  <c r="L1508" i="2"/>
  <c r="C1509" i="2"/>
  <c r="D1509" i="2"/>
  <c r="F1509" i="2"/>
  <c r="G1509" i="2"/>
  <c r="H1509" i="2"/>
  <c r="J1509" i="2"/>
  <c r="K1509" i="2"/>
  <c r="L1509" i="2"/>
  <c r="C1510" i="2"/>
  <c r="D1510" i="2"/>
  <c r="F1510" i="2"/>
  <c r="G1510" i="2"/>
  <c r="H1510" i="2"/>
  <c r="J1510" i="2"/>
  <c r="K1510" i="2"/>
  <c r="L1510" i="2"/>
  <c r="C1511" i="2"/>
  <c r="D1511" i="2"/>
  <c r="F1511" i="2"/>
  <c r="G1511" i="2"/>
  <c r="H1511" i="2"/>
  <c r="J1511" i="2"/>
  <c r="K1511" i="2"/>
  <c r="L1511" i="2"/>
  <c r="C1512" i="2"/>
  <c r="D1512" i="2"/>
  <c r="F1512" i="2"/>
  <c r="G1512" i="2"/>
  <c r="H1512" i="2"/>
  <c r="J1512" i="2"/>
  <c r="K1512" i="2"/>
  <c r="L1512" i="2"/>
  <c r="C1513" i="2"/>
  <c r="D1513" i="2"/>
  <c r="F1513" i="2"/>
  <c r="G1513" i="2"/>
  <c r="H1513" i="2"/>
  <c r="J1513" i="2"/>
  <c r="K1513" i="2"/>
  <c r="L1513" i="2"/>
  <c r="C1514" i="2"/>
  <c r="D1514" i="2"/>
  <c r="F1514" i="2"/>
  <c r="G1514" i="2"/>
  <c r="H1514" i="2"/>
  <c r="J1514" i="2"/>
  <c r="K1514" i="2"/>
  <c r="L1514" i="2"/>
  <c r="C1515" i="2"/>
  <c r="D1515" i="2"/>
  <c r="F1515" i="2"/>
  <c r="G1515" i="2"/>
  <c r="H1515" i="2"/>
  <c r="J1515" i="2"/>
  <c r="K1515" i="2"/>
  <c r="L1515" i="2"/>
  <c r="C1516" i="2"/>
  <c r="D1516" i="2"/>
  <c r="F1516" i="2"/>
  <c r="G1516" i="2"/>
  <c r="H1516" i="2"/>
  <c r="J1516" i="2"/>
  <c r="K1516" i="2"/>
  <c r="L1516" i="2"/>
  <c r="C1517" i="2"/>
  <c r="D1517" i="2"/>
  <c r="F1517" i="2"/>
  <c r="G1517" i="2"/>
  <c r="H1517" i="2"/>
  <c r="J1517" i="2"/>
  <c r="K1517" i="2"/>
  <c r="L1517" i="2"/>
  <c r="C1518" i="2"/>
  <c r="D1518" i="2"/>
  <c r="F1518" i="2"/>
  <c r="G1518" i="2"/>
  <c r="H1518" i="2"/>
  <c r="J1518" i="2"/>
  <c r="K1518" i="2"/>
  <c r="L1518" i="2"/>
  <c r="C1519" i="2"/>
  <c r="D1519" i="2"/>
  <c r="F1519" i="2"/>
  <c r="G1519" i="2"/>
  <c r="H1519" i="2"/>
  <c r="J1519" i="2"/>
  <c r="K1519" i="2"/>
  <c r="L1519" i="2"/>
  <c r="C1520" i="2"/>
  <c r="D1520" i="2"/>
  <c r="F1520" i="2"/>
  <c r="G1520" i="2"/>
  <c r="H1520" i="2"/>
  <c r="J1520" i="2"/>
  <c r="K1520" i="2"/>
  <c r="L1520" i="2"/>
  <c r="C1521" i="2"/>
  <c r="D1521" i="2"/>
  <c r="F1521" i="2"/>
  <c r="G1521" i="2"/>
  <c r="H1521" i="2"/>
  <c r="J1521" i="2"/>
  <c r="K1521" i="2"/>
  <c r="L1521" i="2"/>
  <c r="C1522" i="2"/>
  <c r="D1522" i="2"/>
  <c r="F1522" i="2"/>
  <c r="G1522" i="2"/>
  <c r="H1522" i="2"/>
  <c r="J1522" i="2"/>
  <c r="K1522" i="2"/>
  <c r="L1522" i="2"/>
  <c r="C1523" i="2"/>
  <c r="D1523" i="2"/>
  <c r="F1523" i="2"/>
  <c r="G1523" i="2"/>
  <c r="H1523" i="2"/>
  <c r="J1523" i="2"/>
  <c r="K1523" i="2"/>
  <c r="L1523" i="2"/>
  <c r="C1524" i="2"/>
  <c r="D1524" i="2"/>
  <c r="F1524" i="2"/>
  <c r="G1524" i="2"/>
  <c r="H1524" i="2"/>
  <c r="J1524" i="2"/>
  <c r="K1524" i="2"/>
  <c r="L1524" i="2"/>
  <c r="C1525" i="2"/>
  <c r="D1525" i="2"/>
  <c r="F1525" i="2"/>
  <c r="G1525" i="2"/>
  <c r="H1525" i="2"/>
  <c r="J1525" i="2"/>
  <c r="K1525" i="2"/>
  <c r="L1525" i="2"/>
  <c r="C1526" i="2"/>
  <c r="D1526" i="2"/>
  <c r="F1526" i="2"/>
  <c r="G1526" i="2"/>
  <c r="H1526" i="2"/>
  <c r="J1526" i="2"/>
  <c r="K1526" i="2"/>
  <c r="L1526" i="2"/>
  <c r="C1527" i="2"/>
  <c r="D1527" i="2"/>
  <c r="F1527" i="2"/>
  <c r="G1527" i="2"/>
  <c r="H1527" i="2"/>
  <c r="J1527" i="2"/>
  <c r="K1527" i="2"/>
  <c r="L1527" i="2"/>
  <c r="C1528" i="2"/>
  <c r="D1528" i="2"/>
  <c r="F1528" i="2"/>
  <c r="G1528" i="2"/>
  <c r="H1528" i="2"/>
  <c r="J1528" i="2"/>
  <c r="K1528" i="2"/>
  <c r="L1528" i="2"/>
  <c r="C1529" i="2"/>
  <c r="D1529" i="2"/>
  <c r="F1529" i="2"/>
  <c r="G1529" i="2"/>
  <c r="H1529" i="2"/>
  <c r="J1529" i="2"/>
  <c r="K1529" i="2"/>
  <c r="L1529" i="2"/>
  <c r="C1530" i="2"/>
  <c r="D1530" i="2"/>
  <c r="F1530" i="2"/>
  <c r="G1530" i="2"/>
  <c r="H1530" i="2"/>
  <c r="J1530" i="2"/>
  <c r="K1530" i="2"/>
  <c r="L1530" i="2"/>
  <c r="C1531" i="2"/>
  <c r="D1531" i="2"/>
  <c r="F1531" i="2"/>
  <c r="G1531" i="2"/>
  <c r="H1531" i="2"/>
  <c r="J1531" i="2"/>
  <c r="K1531" i="2"/>
  <c r="L1531" i="2"/>
  <c r="C1532" i="2"/>
  <c r="D1532" i="2"/>
  <c r="F1532" i="2"/>
  <c r="G1532" i="2"/>
  <c r="H1532" i="2"/>
  <c r="J1532" i="2"/>
  <c r="K1532" i="2"/>
  <c r="L1532" i="2"/>
  <c r="C1533" i="2"/>
  <c r="D1533" i="2"/>
  <c r="F1533" i="2"/>
  <c r="G1533" i="2"/>
  <c r="H1533" i="2"/>
  <c r="J1533" i="2"/>
  <c r="K1533" i="2"/>
  <c r="L1533" i="2"/>
  <c r="C1534" i="2"/>
  <c r="D1534" i="2"/>
  <c r="F1534" i="2"/>
  <c r="G1534" i="2"/>
  <c r="H1534" i="2"/>
  <c r="J1534" i="2"/>
  <c r="K1534" i="2"/>
  <c r="L1534" i="2"/>
  <c r="C1535" i="2"/>
  <c r="D1535" i="2"/>
  <c r="F1535" i="2"/>
  <c r="G1535" i="2"/>
  <c r="H1535" i="2"/>
  <c r="J1535" i="2"/>
  <c r="K1535" i="2"/>
  <c r="L1535" i="2"/>
  <c r="C1536" i="2"/>
  <c r="D1536" i="2"/>
  <c r="F1536" i="2"/>
  <c r="G1536" i="2"/>
  <c r="H1536" i="2"/>
  <c r="J1536" i="2"/>
  <c r="K1536" i="2"/>
  <c r="L1536" i="2"/>
  <c r="C1537" i="2"/>
  <c r="D1537" i="2"/>
  <c r="F1537" i="2"/>
  <c r="G1537" i="2"/>
  <c r="H1537" i="2"/>
  <c r="J1537" i="2"/>
  <c r="K1537" i="2"/>
  <c r="L1537" i="2"/>
  <c r="C1538" i="2"/>
  <c r="D1538" i="2"/>
  <c r="F1538" i="2"/>
  <c r="G1538" i="2"/>
  <c r="H1538" i="2"/>
  <c r="J1538" i="2"/>
  <c r="K1538" i="2"/>
  <c r="L1538" i="2"/>
  <c r="C1539" i="2"/>
  <c r="D1539" i="2"/>
  <c r="F1539" i="2"/>
  <c r="G1539" i="2"/>
  <c r="H1539" i="2"/>
  <c r="J1539" i="2"/>
  <c r="K1539" i="2"/>
  <c r="L1539" i="2"/>
  <c r="C1540" i="2"/>
  <c r="D1540" i="2"/>
  <c r="F1540" i="2"/>
  <c r="G1540" i="2"/>
  <c r="H1540" i="2"/>
  <c r="J1540" i="2"/>
  <c r="K1540" i="2"/>
  <c r="L1540" i="2"/>
  <c r="C1541" i="2"/>
  <c r="D1541" i="2"/>
  <c r="F1541" i="2"/>
  <c r="G1541" i="2"/>
  <c r="H1541" i="2"/>
  <c r="J1541" i="2"/>
  <c r="K1541" i="2"/>
  <c r="L1541" i="2"/>
  <c r="C1542" i="2"/>
  <c r="D1542" i="2"/>
  <c r="F1542" i="2"/>
  <c r="G1542" i="2"/>
  <c r="H1542" i="2"/>
  <c r="J1542" i="2"/>
  <c r="K1542" i="2"/>
  <c r="L1542" i="2"/>
  <c r="C1543" i="2"/>
  <c r="D1543" i="2"/>
  <c r="F1543" i="2"/>
  <c r="G1543" i="2"/>
  <c r="H1543" i="2"/>
  <c r="J1543" i="2"/>
  <c r="K1543" i="2"/>
  <c r="L1543" i="2"/>
  <c r="C1544" i="2"/>
  <c r="D1544" i="2"/>
  <c r="F1544" i="2"/>
  <c r="G1544" i="2"/>
  <c r="H1544" i="2"/>
  <c r="J1544" i="2"/>
  <c r="K1544" i="2"/>
  <c r="L1544" i="2"/>
  <c r="C1545" i="2"/>
  <c r="D1545" i="2"/>
  <c r="F1545" i="2"/>
  <c r="G1545" i="2"/>
  <c r="H1545" i="2"/>
  <c r="J1545" i="2"/>
  <c r="K1545" i="2"/>
  <c r="L1545" i="2"/>
  <c r="C1546" i="2"/>
  <c r="D1546" i="2"/>
  <c r="F1546" i="2"/>
  <c r="G1546" i="2"/>
  <c r="H1546" i="2"/>
  <c r="J1546" i="2"/>
  <c r="K1546" i="2"/>
  <c r="L1546" i="2"/>
  <c r="C1547" i="2"/>
  <c r="D1547" i="2"/>
  <c r="F1547" i="2"/>
  <c r="G1547" i="2"/>
  <c r="H1547" i="2"/>
  <c r="J1547" i="2"/>
  <c r="K1547" i="2"/>
  <c r="L1547" i="2"/>
  <c r="C1548" i="2"/>
  <c r="D1548" i="2"/>
  <c r="F1548" i="2"/>
  <c r="G1548" i="2"/>
  <c r="H1548" i="2"/>
  <c r="J1548" i="2"/>
  <c r="K1548" i="2"/>
  <c r="L1548" i="2"/>
  <c r="C1549" i="2"/>
  <c r="D1549" i="2"/>
  <c r="F1549" i="2"/>
  <c r="G1549" i="2"/>
  <c r="H1549" i="2"/>
  <c r="J1549" i="2"/>
  <c r="K1549" i="2"/>
  <c r="L1549" i="2"/>
  <c r="C1550" i="2"/>
  <c r="D1550" i="2"/>
  <c r="F1550" i="2"/>
  <c r="G1550" i="2"/>
  <c r="H1550" i="2"/>
  <c r="J1550" i="2"/>
  <c r="K1550" i="2"/>
  <c r="L1550" i="2"/>
  <c r="C1551" i="2"/>
  <c r="D1551" i="2"/>
  <c r="F1551" i="2"/>
  <c r="G1551" i="2"/>
  <c r="H1551" i="2"/>
  <c r="J1551" i="2"/>
  <c r="K1551" i="2"/>
  <c r="L1551" i="2"/>
  <c r="C1552" i="2"/>
  <c r="D1552" i="2"/>
  <c r="F1552" i="2"/>
  <c r="G1552" i="2"/>
  <c r="H1552" i="2"/>
  <c r="J1552" i="2"/>
  <c r="K1552" i="2"/>
  <c r="L1552" i="2"/>
  <c r="C1553" i="2"/>
  <c r="D1553" i="2"/>
  <c r="F1553" i="2"/>
  <c r="G1553" i="2"/>
  <c r="H1553" i="2"/>
  <c r="J1553" i="2"/>
  <c r="K1553" i="2"/>
  <c r="L1553" i="2"/>
  <c r="C1554" i="2"/>
  <c r="D1554" i="2"/>
  <c r="F1554" i="2"/>
  <c r="G1554" i="2"/>
  <c r="H1554" i="2"/>
  <c r="J1554" i="2"/>
  <c r="K1554" i="2"/>
  <c r="L1554" i="2"/>
  <c r="C1555" i="2"/>
  <c r="D1555" i="2"/>
  <c r="F1555" i="2"/>
  <c r="G1555" i="2"/>
  <c r="H1555" i="2"/>
  <c r="J1555" i="2"/>
  <c r="K1555" i="2"/>
  <c r="L1555" i="2"/>
  <c r="C1556" i="2"/>
  <c r="D1556" i="2"/>
  <c r="F1556" i="2"/>
  <c r="G1556" i="2"/>
  <c r="H1556" i="2"/>
  <c r="J1556" i="2"/>
  <c r="K1556" i="2"/>
  <c r="L1556" i="2"/>
  <c r="C1557" i="2"/>
  <c r="D1557" i="2"/>
  <c r="F1557" i="2"/>
  <c r="G1557" i="2"/>
  <c r="H1557" i="2"/>
  <c r="J1557" i="2"/>
  <c r="K1557" i="2"/>
  <c r="L1557" i="2"/>
  <c r="C1558" i="2"/>
  <c r="D1558" i="2"/>
  <c r="F1558" i="2"/>
  <c r="G1558" i="2"/>
  <c r="H1558" i="2"/>
  <c r="J1558" i="2"/>
  <c r="K1558" i="2"/>
  <c r="L1558" i="2"/>
  <c r="C1559" i="2"/>
  <c r="D1559" i="2"/>
  <c r="F1559" i="2"/>
  <c r="G1559" i="2"/>
  <c r="H1559" i="2"/>
  <c r="J1559" i="2"/>
  <c r="K1559" i="2"/>
  <c r="L1559" i="2"/>
  <c r="C1560" i="2"/>
  <c r="D1560" i="2"/>
  <c r="F1560" i="2"/>
  <c r="G1560" i="2"/>
  <c r="H1560" i="2"/>
  <c r="J1560" i="2"/>
  <c r="K1560" i="2"/>
  <c r="L1560" i="2"/>
  <c r="C1561" i="2"/>
  <c r="D1561" i="2"/>
  <c r="F1561" i="2"/>
  <c r="G1561" i="2"/>
  <c r="H1561" i="2"/>
  <c r="J1561" i="2"/>
  <c r="K1561" i="2"/>
  <c r="L1561" i="2"/>
  <c r="C1562" i="2"/>
  <c r="D1562" i="2"/>
  <c r="F1562" i="2"/>
  <c r="G1562" i="2"/>
  <c r="H1562" i="2"/>
  <c r="J1562" i="2"/>
  <c r="K1562" i="2"/>
  <c r="L1562" i="2"/>
  <c r="C1563" i="2"/>
  <c r="D1563" i="2"/>
  <c r="F1563" i="2"/>
  <c r="G1563" i="2"/>
  <c r="H1563" i="2"/>
  <c r="J1563" i="2"/>
  <c r="K1563" i="2"/>
  <c r="L1563" i="2"/>
  <c r="C1564" i="2"/>
  <c r="D1564" i="2"/>
  <c r="F1564" i="2"/>
  <c r="G1564" i="2"/>
  <c r="H1564" i="2"/>
  <c r="J1564" i="2"/>
  <c r="K1564" i="2"/>
  <c r="L1564" i="2"/>
  <c r="C1565" i="2"/>
  <c r="D1565" i="2"/>
  <c r="F1565" i="2"/>
  <c r="G1565" i="2"/>
  <c r="H1565" i="2"/>
  <c r="J1565" i="2"/>
  <c r="K1565" i="2"/>
  <c r="L1565" i="2"/>
  <c r="C1566" i="2"/>
  <c r="D1566" i="2"/>
  <c r="F1566" i="2"/>
  <c r="G1566" i="2"/>
  <c r="H1566" i="2"/>
  <c r="J1566" i="2"/>
  <c r="K1566" i="2"/>
  <c r="L1566" i="2"/>
  <c r="C1567" i="2"/>
  <c r="D1567" i="2"/>
  <c r="F1567" i="2"/>
  <c r="G1567" i="2"/>
  <c r="H1567" i="2"/>
  <c r="J1567" i="2"/>
  <c r="K1567" i="2"/>
  <c r="L1567" i="2"/>
  <c r="C1568" i="2"/>
  <c r="D1568" i="2"/>
  <c r="F1568" i="2"/>
  <c r="G1568" i="2"/>
  <c r="H1568" i="2"/>
  <c r="J1568" i="2"/>
  <c r="K1568" i="2"/>
  <c r="L1568" i="2"/>
  <c r="C1569" i="2"/>
  <c r="D1569" i="2"/>
  <c r="F1569" i="2"/>
  <c r="G1569" i="2"/>
  <c r="H1569" i="2"/>
  <c r="J1569" i="2"/>
  <c r="K1569" i="2"/>
  <c r="L1569" i="2"/>
  <c r="C1570" i="2"/>
  <c r="D1570" i="2"/>
  <c r="F1570" i="2"/>
  <c r="G1570" i="2"/>
  <c r="H1570" i="2"/>
  <c r="J1570" i="2"/>
  <c r="K1570" i="2"/>
  <c r="L1570" i="2"/>
  <c r="C1571" i="2"/>
  <c r="D1571" i="2"/>
  <c r="F1571" i="2"/>
  <c r="G1571" i="2"/>
  <c r="H1571" i="2"/>
  <c r="J1571" i="2"/>
  <c r="K1571" i="2"/>
  <c r="L1571" i="2"/>
  <c r="C1572" i="2"/>
  <c r="D1572" i="2"/>
  <c r="F1572" i="2"/>
  <c r="G1572" i="2"/>
  <c r="H1572" i="2"/>
  <c r="J1572" i="2"/>
  <c r="K1572" i="2"/>
  <c r="L1572" i="2"/>
  <c r="C1573" i="2"/>
  <c r="D1573" i="2"/>
  <c r="F1573" i="2"/>
  <c r="G1573" i="2"/>
  <c r="H1573" i="2"/>
  <c r="J1573" i="2"/>
  <c r="K1573" i="2"/>
  <c r="L1573" i="2"/>
  <c r="C1574" i="2"/>
  <c r="D1574" i="2"/>
  <c r="F1574" i="2"/>
  <c r="G1574" i="2"/>
  <c r="H1574" i="2"/>
  <c r="J1574" i="2"/>
  <c r="K1574" i="2"/>
  <c r="L1574" i="2"/>
  <c r="C1575" i="2"/>
  <c r="D1575" i="2"/>
  <c r="F1575" i="2"/>
  <c r="G1575" i="2"/>
  <c r="H1575" i="2"/>
  <c r="J1575" i="2"/>
  <c r="K1575" i="2"/>
  <c r="L1575" i="2"/>
  <c r="C1576" i="2"/>
  <c r="D1576" i="2"/>
  <c r="F1576" i="2"/>
  <c r="G1576" i="2"/>
  <c r="H1576" i="2"/>
  <c r="J1576" i="2"/>
  <c r="K1576" i="2"/>
  <c r="L1576" i="2"/>
  <c r="C1577" i="2"/>
  <c r="D1577" i="2"/>
  <c r="F1577" i="2"/>
  <c r="G1577" i="2"/>
  <c r="H1577" i="2"/>
  <c r="J1577" i="2"/>
  <c r="K1577" i="2"/>
  <c r="L1577" i="2"/>
  <c r="C1578" i="2"/>
  <c r="D1578" i="2"/>
  <c r="F1578" i="2"/>
  <c r="G1578" i="2"/>
  <c r="H1578" i="2"/>
  <c r="J1578" i="2"/>
  <c r="K1578" i="2"/>
  <c r="L1578" i="2"/>
  <c r="C1579" i="2"/>
  <c r="D1579" i="2"/>
  <c r="F1579" i="2"/>
  <c r="G1579" i="2"/>
  <c r="H1579" i="2"/>
  <c r="J1579" i="2"/>
  <c r="K1579" i="2"/>
  <c r="L1579" i="2"/>
  <c r="C1580" i="2"/>
  <c r="D1580" i="2"/>
  <c r="F1580" i="2"/>
  <c r="G1580" i="2"/>
  <c r="H1580" i="2"/>
  <c r="J1580" i="2"/>
  <c r="K1580" i="2"/>
  <c r="L1580" i="2"/>
  <c r="C1581" i="2"/>
  <c r="D1581" i="2"/>
  <c r="F1581" i="2"/>
  <c r="G1581" i="2"/>
  <c r="H1581" i="2"/>
  <c r="J1581" i="2"/>
  <c r="K1581" i="2"/>
  <c r="L1581" i="2"/>
  <c r="C1582" i="2"/>
  <c r="D1582" i="2"/>
  <c r="F1582" i="2"/>
  <c r="G1582" i="2"/>
  <c r="H1582" i="2"/>
  <c r="J1582" i="2"/>
  <c r="K1582" i="2"/>
  <c r="L1582" i="2"/>
  <c r="C1583" i="2"/>
  <c r="D1583" i="2"/>
  <c r="F1583" i="2"/>
  <c r="G1583" i="2"/>
  <c r="H1583" i="2"/>
  <c r="J1583" i="2"/>
  <c r="K1583" i="2"/>
  <c r="L1583" i="2"/>
  <c r="C1584" i="2"/>
  <c r="D1584" i="2"/>
  <c r="F1584" i="2"/>
  <c r="G1584" i="2"/>
  <c r="H1584" i="2"/>
  <c r="J1584" i="2"/>
  <c r="K1584" i="2"/>
  <c r="L1584" i="2"/>
  <c r="C1585" i="2"/>
  <c r="D1585" i="2"/>
  <c r="F1585" i="2"/>
  <c r="G1585" i="2"/>
  <c r="H1585" i="2"/>
  <c r="J1585" i="2"/>
  <c r="K1585" i="2"/>
  <c r="L1585" i="2"/>
  <c r="C1586" i="2"/>
  <c r="D1586" i="2"/>
  <c r="F1586" i="2"/>
  <c r="G1586" i="2"/>
  <c r="H1586" i="2"/>
  <c r="J1586" i="2"/>
  <c r="K1586" i="2"/>
  <c r="L1586" i="2"/>
  <c r="C1587" i="2"/>
  <c r="D1587" i="2"/>
  <c r="F1587" i="2"/>
  <c r="G1587" i="2"/>
  <c r="H1587" i="2"/>
  <c r="J1587" i="2"/>
  <c r="K1587" i="2"/>
  <c r="L1587" i="2"/>
  <c r="C1588" i="2"/>
  <c r="D1588" i="2"/>
  <c r="F1588" i="2"/>
  <c r="G1588" i="2"/>
  <c r="H1588" i="2"/>
  <c r="J1588" i="2"/>
  <c r="K1588" i="2"/>
  <c r="L1588" i="2"/>
  <c r="C1589" i="2"/>
  <c r="D1589" i="2"/>
  <c r="F1589" i="2"/>
  <c r="G1589" i="2"/>
  <c r="H1589" i="2"/>
  <c r="J1589" i="2"/>
  <c r="K1589" i="2"/>
  <c r="L1589" i="2"/>
  <c r="C1590" i="2"/>
  <c r="D1590" i="2"/>
  <c r="F1590" i="2"/>
  <c r="G1590" i="2"/>
  <c r="H1590" i="2"/>
  <c r="J1590" i="2"/>
  <c r="K1590" i="2"/>
  <c r="L1590" i="2"/>
  <c r="C1591" i="2"/>
  <c r="D1591" i="2"/>
  <c r="F1591" i="2"/>
  <c r="G1591" i="2"/>
  <c r="H1591" i="2"/>
  <c r="J1591" i="2"/>
  <c r="K1591" i="2"/>
  <c r="L1591" i="2"/>
  <c r="C1592" i="2"/>
  <c r="D1592" i="2"/>
  <c r="F1592" i="2"/>
  <c r="G1592" i="2"/>
  <c r="H1592" i="2"/>
  <c r="J1592" i="2"/>
  <c r="K1592" i="2"/>
  <c r="L1592" i="2"/>
  <c r="C1593" i="2"/>
  <c r="D1593" i="2"/>
  <c r="F1593" i="2"/>
  <c r="G1593" i="2"/>
  <c r="H1593" i="2"/>
  <c r="J1593" i="2"/>
  <c r="K1593" i="2"/>
  <c r="L1593" i="2"/>
  <c r="C1594" i="2"/>
  <c r="D1594" i="2"/>
  <c r="F1594" i="2"/>
  <c r="G1594" i="2"/>
  <c r="H1594" i="2"/>
  <c r="J1594" i="2"/>
  <c r="K1594" i="2"/>
  <c r="L1594" i="2"/>
  <c r="C1595" i="2"/>
  <c r="D1595" i="2"/>
  <c r="F1595" i="2"/>
  <c r="G1595" i="2"/>
  <c r="H1595" i="2"/>
  <c r="J1595" i="2"/>
  <c r="K1595" i="2"/>
  <c r="L1595" i="2"/>
  <c r="C1596" i="2"/>
  <c r="D1596" i="2"/>
  <c r="F1596" i="2"/>
  <c r="G1596" i="2"/>
  <c r="H1596" i="2"/>
  <c r="J1596" i="2"/>
  <c r="K1596" i="2"/>
  <c r="L1596" i="2"/>
  <c r="C1597" i="2"/>
  <c r="D1597" i="2"/>
  <c r="F1597" i="2"/>
  <c r="G1597" i="2"/>
  <c r="H1597" i="2"/>
  <c r="J1597" i="2"/>
  <c r="K1597" i="2"/>
  <c r="L1597" i="2"/>
  <c r="C1598" i="2"/>
  <c r="D1598" i="2"/>
  <c r="F1598" i="2"/>
  <c r="G1598" i="2"/>
  <c r="H1598" i="2"/>
  <c r="J1598" i="2"/>
  <c r="K1598" i="2"/>
  <c r="L1598" i="2"/>
  <c r="C1599" i="2"/>
  <c r="D1599" i="2"/>
  <c r="F1599" i="2"/>
  <c r="G1599" i="2"/>
  <c r="H1599" i="2"/>
  <c r="J1599" i="2"/>
  <c r="K1599" i="2"/>
  <c r="L1599" i="2"/>
  <c r="C1600" i="2"/>
  <c r="D1600" i="2"/>
  <c r="F1600" i="2"/>
  <c r="G1600" i="2"/>
  <c r="H1600" i="2"/>
  <c r="J1600" i="2"/>
  <c r="K1600" i="2"/>
  <c r="L1600" i="2"/>
  <c r="C1601" i="2"/>
  <c r="D1601" i="2"/>
  <c r="F1601" i="2"/>
  <c r="G1601" i="2"/>
  <c r="H1601" i="2"/>
  <c r="J1601" i="2"/>
  <c r="K1601" i="2"/>
  <c r="L1601" i="2"/>
  <c r="C1602" i="2"/>
  <c r="D1602" i="2"/>
  <c r="F1602" i="2"/>
  <c r="G1602" i="2"/>
  <c r="H1602" i="2"/>
  <c r="J1602" i="2"/>
  <c r="K1602" i="2"/>
  <c r="L1602" i="2"/>
  <c r="C1603" i="2"/>
  <c r="D1603" i="2"/>
  <c r="F1603" i="2"/>
  <c r="G1603" i="2"/>
  <c r="H1603" i="2"/>
  <c r="J1603" i="2"/>
  <c r="K1603" i="2"/>
  <c r="L1603" i="2"/>
  <c r="C1604" i="2"/>
  <c r="D1604" i="2"/>
  <c r="F1604" i="2"/>
  <c r="G1604" i="2"/>
  <c r="H1604" i="2"/>
  <c r="J1604" i="2"/>
  <c r="K1604" i="2"/>
  <c r="L1604" i="2"/>
  <c r="C1605" i="2"/>
  <c r="D1605" i="2"/>
  <c r="F1605" i="2"/>
  <c r="G1605" i="2"/>
  <c r="H1605" i="2"/>
  <c r="J1605" i="2"/>
  <c r="K1605" i="2"/>
  <c r="L1605" i="2"/>
  <c r="C1606" i="2"/>
  <c r="D1606" i="2"/>
  <c r="F1606" i="2"/>
  <c r="G1606" i="2"/>
  <c r="H1606" i="2"/>
  <c r="J1606" i="2"/>
  <c r="K1606" i="2"/>
  <c r="L1606" i="2"/>
  <c r="C1607" i="2"/>
  <c r="D1607" i="2"/>
  <c r="F1607" i="2"/>
  <c r="G1607" i="2"/>
  <c r="H1607" i="2"/>
  <c r="J1607" i="2"/>
  <c r="K1607" i="2"/>
  <c r="L1607" i="2"/>
  <c r="C1608" i="2"/>
  <c r="D1608" i="2"/>
  <c r="F1608" i="2"/>
  <c r="G1608" i="2"/>
  <c r="H1608" i="2"/>
  <c r="J1608" i="2"/>
  <c r="K1608" i="2"/>
  <c r="L1608" i="2"/>
  <c r="C1609" i="2"/>
  <c r="D1609" i="2"/>
  <c r="F1609" i="2"/>
  <c r="G1609" i="2"/>
  <c r="H1609" i="2"/>
  <c r="J1609" i="2"/>
  <c r="K1609" i="2"/>
  <c r="L1609" i="2"/>
  <c r="C1610" i="2"/>
  <c r="D1610" i="2"/>
  <c r="F1610" i="2"/>
  <c r="G1610" i="2"/>
  <c r="H1610" i="2"/>
  <c r="J1610" i="2"/>
  <c r="K1610" i="2"/>
  <c r="L1610" i="2"/>
  <c r="C1611" i="2"/>
  <c r="D1611" i="2"/>
  <c r="F1611" i="2"/>
  <c r="G1611" i="2"/>
  <c r="H1611" i="2"/>
  <c r="J1611" i="2"/>
  <c r="K1611" i="2"/>
  <c r="L1611" i="2"/>
  <c r="C1612" i="2"/>
  <c r="D1612" i="2"/>
  <c r="F1612" i="2"/>
  <c r="G1612" i="2"/>
  <c r="H1612" i="2"/>
  <c r="J1612" i="2"/>
  <c r="K1612" i="2"/>
  <c r="L1612" i="2"/>
  <c r="C1613" i="2"/>
  <c r="D1613" i="2"/>
  <c r="F1613" i="2"/>
  <c r="G1613" i="2"/>
  <c r="H1613" i="2"/>
  <c r="J1613" i="2"/>
  <c r="K1613" i="2"/>
  <c r="L1613" i="2"/>
  <c r="C1614" i="2"/>
  <c r="D1614" i="2"/>
  <c r="F1614" i="2"/>
  <c r="G1614" i="2"/>
  <c r="H1614" i="2"/>
  <c r="J1614" i="2"/>
  <c r="K1614" i="2"/>
  <c r="L1614" i="2"/>
  <c r="C1615" i="2"/>
  <c r="D1615" i="2"/>
  <c r="F1615" i="2"/>
  <c r="G1615" i="2"/>
  <c r="H1615" i="2"/>
  <c r="J1615" i="2"/>
  <c r="K1615" i="2"/>
  <c r="L1615" i="2"/>
  <c r="C1616" i="2"/>
  <c r="D1616" i="2"/>
  <c r="F1616" i="2"/>
  <c r="G1616" i="2"/>
  <c r="H1616" i="2"/>
  <c r="J1616" i="2"/>
  <c r="K1616" i="2"/>
  <c r="L1616" i="2"/>
  <c r="C1617" i="2"/>
  <c r="D1617" i="2"/>
  <c r="F1617" i="2"/>
  <c r="G1617" i="2"/>
  <c r="H1617" i="2"/>
  <c r="J1617" i="2"/>
  <c r="K1617" i="2"/>
  <c r="L1617" i="2"/>
  <c r="C1618" i="2"/>
  <c r="D1618" i="2"/>
  <c r="F1618" i="2"/>
  <c r="G1618" i="2"/>
  <c r="H1618" i="2"/>
  <c r="J1618" i="2"/>
  <c r="K1618" i="2"/>
  <c r="L1618" i="2"/>
  <c r="C1619" i="2"/>
  <c r="D1619" i="2"/>
  <c r="F1619" i="2"/>
  <c r="G1619" i="2"/>
  <c r="H1619" i="2"/>
  <c r="J1619" i="2"/>
  <c r="K1619" i="2"/>
  <c r="L1619" i="2"/>
  <c r="C1620" i="2"/>
  <c r="D1620" i="2"/>
  <c r="F1620" i="2"/>
  <c r="G1620" i="2"/>
  <c r="H1620" i="2"/>
  <c r="J1620" i="2"/>
  <c r="K1620" i="2"/>
  <c r="L1620" i="2"/>
  <c r="C1621" i="2"/>
  <c r="D1621" i="2"/>
  <c r="F1621" i="2"/>
  <c r="G1621" i="2"/>
  <c r="H1621" i="2"/>
  <c r="J1621" i="2"/>
  <c r="K1621" i="2"/>
  <c r="L1621" i="2"/>
  <c r="C1622" i="2"/>
  <c r="D1622" i="2"/>
  <c r="F1622" i="2"/>
  <c r="G1622" i="2"/>
  <c r="H1622" i="2"/>
  <c r="J1622" i="2"/>
  <c r="K1622" i="2"/>
  <c r="L1622" i="2"/>
  <c r="C1623" i="2"/>
  <c r="D1623" i="2"/>
  <c r="F1623" i="2"/>
  <c r="G1623" i="2"/>
  <c r="H1623" i="2"/>
  <c r="J1623" i="2"/>
  <c r="K1623" i="2"/>
  <c r="L1623" i="2"/>
  <c r="C1624" i="2"/>
  <c r="D1624" i="2"/>
  <c r="F1624" i="2"/>
  <c r="G1624" i="2"/>
  <c r="H1624" i="2"/>
  <c r="J1624" i="2"/>
  <c r="K1624" i="2"/>
  <c r="L1624" i="2"/>
  <c r="C1625" i="2"/>
  <c r="D1625" i="2"/>
  <c r="F1625" i="2"/>
  <c r="G1625" i="2"/>
  <c r="H1625" i="2"/>
  <c r="J1625" i="2"/>
  <c r="K1625" i="2"/>
  <c r="L1625" i="2"/>
  <c r="C1626" i="2"/>
  <c r="D1626" i="2"/>
  <c r="F1626" i="2"/>
  <c r="G1626" i="2"/>
  <c r="H1626" i="2"/>
  <c r="J1626" i="2"/>
  <c r="K1626" i="2"/>
  <c r="L1626" i="2"/>
  <c r="C1627" i="2"/>
  <c r="D1627" i="2"/>
  <c r="F1627" i="2"/>
  <c r="G1627" i="2"/>
  <c r="H1627" i="2"/>
  <c r="J1627" i="2"/>
  <c r="K1627" i="2"/>
  <c r="L1627" i="2"/>
  <c r="C1628" i="2"/>
  <c r="D1628" i="2"/>
  <c r="F1628" i="2"/>
  <c r="G1628" i="2"/>
  <c r="H1628" i="2"/>
  <c r="J1628" i="2"/>
  <c r="K1628" i="2"/>
  <c r="L1628" i="2"/>
  <c r="C1629" i="2"/>
  <c r="D1629" i="2"/>
  <c r="F1629" i="2"/>
  <c r="G1629" i="2"/>
  <c r="H1629" i="2"/>
  <c r="J1629" i="2"/>
  <c r="K1629" i="2"/>
  <c r="L1629" i="2"/>
  <c r="C1630" i="2"/>
  <c r="D1630" i="2"/>
  <c r="F1630" i="2"/>
  <c r="G1630" i="2"/>
  <c r="H1630" i="2"/>
  <c r="J1630" i="2"/>
  <c r="K1630" i="2"/>
  <c r="L1630" i="2"/>
  <c r="C1631" i="2"/>
  <c r="D1631" i="2"/>
  <c r="F1631" i="2"/>
  <c r="G1631" i="2"/>
  <c r="H1631" i="2"/>
  <c r="J1631" i="2"/>
  <c r="K1631" i="2"/>
  <c r="L1631" i="2"/>
  <c r="C1632" i="2"/>
  <c r="D1632" i="2"/>
  <c r="F1632" i="2"/>
  <c r="G1632" i="2"/>
  <c r="H1632" i="2"/>
  <c r="J1632" i="2"/>
  <c r="K1632" i="2"/>
  <c r="L1632" i="2"/>
  <c r="C1633" i="2"/>
  <c r="D1633" i="2"/>
  <c r="F1633" i="2"/>
  <c r="G1633" i="2"/>
  <c r="H1633" i="2"/>
  <c r="J1633" i="2"/>
  <c r="K1633" i="2"/>
  <c r="L1633" i="2"/>
  <c r="C1634" i="2"/>
  <c r="D1634" i="2"/>
  <c r="F1634" i="2"/>
  <c r="G1634" i="2"/>
  <c r="H1634" i="2"/>
  <c r="J1634" i="2"/>
  <c r="K1634" i="2"/>
  <c r="L1634" i="2"/>
  <c r="C1635" i="2"/>
  <c r="D1635" i="2"/>
  <c r="F1635" i="2"/>
  <c r="G1635" i="2"/>
  <c r="H1635" i="2"/>
  <c r="J1635" i="2"/>
  <c r="K1635" i="2"/>
  <c r="L1635" i="2"/>
  <c r="C1636" i="2"/>
  <c r="D1636" i="2"/>
  <c r="F1636" i="2"/>
  <c r="G1636" i="2"/>
  <c r="H1636" i="2"/>
  <c r="J1636" i="2"/>
  <c r="K1636" i="2"/>
  <c r="L1636" i="2"/>
  <c r="C1637" i="2"/>
  <c r="D1637" i="2"/>
  <c r="F1637" i="2"/>
  <c r="G1637" i="2"/>
  <c r="H1637" i="2"/>
  <c r="J1637" i="2"/>
  <c r="K1637" i="2"/>
  <c r="L1637" i="2"/>
  <c r="C1638" i="2"/>
  <c r="D1638" i="2"/>
  <c r="F1638" i="2"/>
  <c r="G1638" i="2"/>
  <c r="H1638" i="2"/>
  <c r="J1638" i="2"/>
  <c r="K1638" i="2"/>
  <c r="L1638" i="2"/>
  <c r="C1639" i="2"/>
  <c r="D1639" i="2"/>
  <c r="F1639" i="2"/>
  <c r="G1639" i="2"/>
  <c r="H1639" i="2"/>
  <c r="J1639" i="2"/>
  <c r="K1639" i="2"/>
  <c r="L1639" i="2"/>
  <c r="C1640" i="2"/>
  <c r="D1640" i="2"/>
  <c r="F1640" i="2"/>
  <c r="G1640" i="2"/>
  <c r="H1640" i="2"/>
  <c r="J1640" i="2"/>
  <c r="K1640" i="2"/>
  <c r="L1640" i="2"/>
  <c r="C1641" i="2"/>
  <c r="D1641" i="2"/>
  <c r="F1641" i="2"/>
  <c r="G1641" i="2"/>
  <c r="H1641" i="2"/>
  <c r="J1641" i="2"/>
  <c r="K1641" i="2"/>
  <c r="L1641" i="2"/>
  <c r="C1642" i="2"/>
  <c r="D1642" i="2"/>
  <c r="F1642" i="2"/>
  <c r="G1642" i="2"/>
  <c r="H1642" i="2"/>
  <c r="J1642" i="2"/>
  <c r="K1642" i="2"/>
  <c r="L1642" i="2"/>
  <c r="C1643" i="2"/>
  <c r="D1643" i="2"/>
  <c r="F1643" i="2"/>
  <c r="G1643" i="2"/>
  <c r="H1643" i="2"/>
  <c r="J1643" i="2"/>
  <c r="K1643" i="2"/>
  <c r="L1643" i="2"/>
  <c r="C1644" i="2"/>
  <c r="D1644" i="2"/>
  <c r="F1644" i="2"/>
  <c r="G1644" i="2"/>
  <c r="H1644" i="2"/>
  <c r="J1644" i="2"/>
  <c r="K1644" i="2"/>
  <c r="L1644" i="2"/>
  <c r="C1645" i="2"/>
  <c r="D1645" i="2"/>
  <c r="F1645" i="2"/>
  <c r="G1645" i="2"/>
  <c r="H1645" i="2"/>
  <c r="J1645" i="2"/>
  <c r="K1645" i="2"/>
  <c r="L1645" i="2"/>
  <c r="C1646" i="2"/>
  <c r="D1646" i="2"/>
  <c r="F1646" i="2"/>
  <c r="G1646" i="2"/>
  <c r="H1646" i="2"/>
  <c r="J1646" i="2"/>
  <c r="K1646" i="2"/>
  <c r="L1646" i="2"/>
  <c r="C1647" i="2"/>
  <c r="D1647" i="2"/>
  <c r="F1647" i="2"/>
  <c r="G1647" i="2"/>
  <c r="H1647" i="2"/>
  <c r="J1647" i="2"/>
  <c r="K1647" i="2"/>
  <c r="L1647" i="2"/>
  <c r="C1648" i="2"/>
  <c r="D1648" i="2"/>
  <c r="F1648" i="2"/>
  <c r="G1648" i="2"/>
  <c r="H1648" i="2"/>
  <c r="J1648" i="2"/>
  <c r="K1648" i="2"/>
  <c r="L1648" i="2"/>
  <c r="C1649" i="2"/>
  <c r="D1649" i="2"/>
  <c r="F1649" i="2"/>
  <c r="G1649" i="2"/>
  <c r="H1649" i="2"/>
  <c r="J1649" i="2"/>
  <c r="K1649" i="2"/>
  <c r="L1649" i="2"/>
  <c r="C1650" i="2"/>
  <c r="D1650" i="2"/>
  <c r="F1650" i="2"/>
  <c r="G1650" i="2"/>
  <c r="H1650" i="2"/>
  <c r="J1650" i="2"/>
  <c r="K1650" i="2"/>
  <c r="L1650" i="2"/>
  <c r="C1651" i="2"/>
  <c r="D1651" i="2"/>
  <c r="F1651" i="2"/>
  <c r="G1651" i="2"/>
  <c r="H1651" i="2"/>
  <c r="J1651" i="2"/>
  <c r="K1651" i="2"/>
  <c r="L1651" i="2"/>
  <c r="C1652" i="2"/>
  <c r="D1652" i="2"/>
  <c r="F1652" i="2"/>
  <c r="G1652" i="2"/>
  <c r="H1652" i="2"/>
  <c r="J1652" i="2"/>
  <c r="K1652" i="2"/>
  <c r="L1652" i="2"/>
  <c r="C1653" i="2"/>
  <c r="D1653" i="2"/>
  <c r="F1653" i="2"/>
  <c r="G1653" i="2"/>
  <c r="H1653" i="2"/>
  <c r="J1653" i="2"/>
  <c r="K1653" i="2"/>
  <c r="L1653" i="2"/>
  <c r="C1654" i="2"/>
  <c r="D1654" i="2"/>
  <c r="F1654" i="2"/>
  <c r="G1654" i="2"/>
  <c r="H1654" i="2"/>
  <c r="J1654" i="2"/>
  <c r="K1654" i="2"/>
  <c r="L1654" i="2"/>
  <c r="C1655" i="2"/>
  <c r="D1655" i="2"/>
  <c r="F1655" i="2"/>
  <c r="G1655" i="2"/>
  <c r="H1655" i="2"/>
  <c r="J1655" i="2"/>
  <c r="K1655" i="2"/>
  <c r="L1655" i="2"/>
  <c r="C1656" i="2"/>
  <c r="D1656" i="2"/>
  <c r="F1656" i="2"/>
  <c r="G1656" i="2"/>
  <c r="H1656" i="2"/>
  <c r="J1656" i="2"/>
  <c r="K1656" i="2"/>
  <c r="L1656" i="2"/>
  <c r="C1657" i="2"/>
  <c r="D1657" i="2"/>
  <c r="F1657" i="2"/>
  <c r="G1657" i="2"/>
  <c r="H1657" i="2"/>
  <c r="J1657" i="2"/>
  <c r="K1657" i="2"/>
  <c r="L1657" i="2"/>
  <c r="C1658" i="2"/>
  <c r="D1658" i="2"/>
  <c r="F1658" i="2"/>
  <c r="G1658" i="2"/>
  <c r="H1658" i="2"/>
  <c r="J1658" i="2"/>
  <c r="K1658" i="2"/>
  <c r="L1658" i="2"/>
  <c r="C1659" i="2"/>
  <c r="D1659" i="2"/>
  <c r="E1659" i="2"/>
  <c r="F1659" i="2"/>
  <c r="G1659" i="2"/>
  <c r="H1659" i="2"/>
  <c r="J1659" i="2"/>
  <c r="K1659" i="2"/>
  <c r="L1659" i="2"/>
  <c r="C1660" i="2"/>
  <c r="D1660" i="2"/>
  <c r="F1660" i="2"/>
  <c r="G1660" i="2"/>
  <c r="H1660" i="2"/>
  <c r="J1660" i="2"/>
  <c r="K1660" i="2"/>
  <c r="L1660" i="2"/>
  <c r="C1661" i="2"/>
  <c r="D1661" i="2"/>
  <c r="F1661" i="2"/>
  <c r="G1661" i="2"/>
  <c r="H1661" i="2"/>
  <c r="J1661" i="2"/>
  <c r="K1661" i="2"/>
  <c r="L1661" i="2"/>
  <c r="C1662" i="2"/>
  <c r="D1662" i="2"/>
  <c r="F1662" i="2"/>
  <c r="G1662" i="2"/>
  <c r="H1662" i="2"/>
  <c r="J1662" i="2"/>
  <c r="K1662" i="2"/>
  <c r="L1662" i="2"/>
  <c r="C1663" i="2"/>
  <c r="D1663" i="2"/>
  <c r="F1663" i="2"/>
  <c r="G1663" i="2"/>
  <c r="H1663" i="2"/>
  <c r="J1663" i="2"/>
  <c r="K1663" i="2"/>
  <c r="L1663" i="2"/>
  <c r="C1664" i="2"/>
  <c r="D1664" i="2"/>
  <c r="F1664" i="2"/>
  <c r="G1664" i="2"/>
  <c r="H1664" i="2"/>
  <c r="J1664" i="2"/>
  <c r="K1664" i="2"/>
  <c r="L1664" i="2"/>
  <c r="C1665" i="2"/>
  <c r="D1665" i="2"/>
  <c r="F1665" i="2"/>
  <c r="G1665" i="2"/>
  <c r="H1665" i="2"/>
  <c r="J1665" i="2"/>
  <c r="K1665" i="2"/>
  <c r="L1665" i="2"/>
  <c r="C1666" i="2"/>
  <c r="D1666" i="2"/>
  <c r="F1666" i="2"/>
  <c r="G1666" i="2"/>
  <c r="H1666" i="2"/>
  <c r="J1666" i="2"/>
  <c r="K1666" i="2"/>
  <c r="L1666" i="2"/>
  <c r="C1667" i="2"/>
  <c r="D1667" i="2"/>
  <c r="F1667" i="2"/>
  <c r="G1667" i="2"/>
  <c r="H1667" i="2"/>
  <c r="J1667" i="2"/>
  <c r="K1667" i="2"/>
  <c r="L1667" i="2"/>
  <c r="C1668" i="2"/>
  <c r="D1668" i="2"/>
  <c r="F1668" i="2"/>
  <c r="G1668" i="2"/>
  <c r="H1668" i="2"/>
  <c r="J1668" i="2"/>
  <c r="K1668" i="2"/>
  <c r="L1668" i="2"/>
  <c r="C1669" i="2"/>
  <c r="D1669" i="2"/>
  <c r="F1669" i="2"/>
  <c r="G1669" i="2"/>
  <c r="H1669" i="2"/>
  <c r="J1669" i="2"/>
  <c r="K1669" i="2"/>
  <c r="L1669" i="2"/>
  <c r="C1670" i="2"/>
  <c r="D1670" i="2"/>
  <c r="F1670" i="2"/>
  <c r="G1670" i="2"/>
  <c r="H1670" i="2"/>
  <c r="J1670" i="2"/>
  <c r="K1670" i="2"/>
  <c r="L1670" i="2"/>
  <c r="C1671" i="2"/>
  <c r="D1671" i="2"/>
  <c r="F1671" i="2"/>
  <c r="G1671" i="2"/>
  <c r="H1671" i="2"/>
  <c r="J1671" i="2"/>
  <c r="K1671" i="2"/>
  <c r="L1671" i="2"/>
  <c r="C1672" i="2"/>
  <c r="D1672" i="2"/>
  <c r="F1672" i="2"/>
  <c r="G1672" i="2"/>
  <c r="H1672" i="2"/>
  <c r="J1672" i="2"/>
  <c r="K1672" i="2"/>
  <c r="L1672" i="2"/>
  <c r="C1673" i="2"/>
  <c r="D1673" i="2"/>
  <c r="E1673" i="2"/>
  <c r="F1673" i="2"/>
  <c r="G1673" i="2"/>
  <c r="H1673" i="2"/>
  <c r="J1673" i="2"/>
  <c r="K1673" i="2"/>
  <c r="L1673" i="2"/>
  <c r="C1674" i="2"/>
  <c r="D1674" i="2"/>
  <c r="F1674" i="2"/>
  <c r="G1674" i="2"/>
  <c r="H1674" i="2"/>
  <c r="J1674" i="2"/>
  <c r="K1674" i="2"/>
  <c r="L1674" i="2"/>
  <c r="C1675" i="2"/>
  <c r="D1675" i="2"/>
  <c r="F1675" i="2"/>
  <c r="G1675" i="2"/>
  <c r="H1675" i="2"/>
  <c r="J1675" i="2"/>
  <c r="K1675" i="2"/>
  <c r="L1675" i="2"/>
  <c r="C1676" i="2"/>
  <c r="D1676" i="2"/>
  <c r="F1676" i="2"/>
  <c r="G1676" i="2"/>
  <c r="H1676" i="2"/>
  <c r="J1676" i="2"/>
  <c r="K1676" i="2"/>
  <c r="L1676" i="2"/>
  <c r="C1677" i="2"/>
  <c r="D1677" i="2"/>
  <c r="F1677" i="2"/>
  <c r="G1677" i="2"/>
  <c r="H1677" i="2"/>
  <c r="J1677" i="2"/>
  <c r="K1677" i="2"/>
  <c r="L1677" i="2"/>
  <c r="C1678" i="2"/>
  <c r="D1678" i="2"/>
  <c r="F1678" i="2"/>
  <c r="G1678" i="2"/>
  <c r="H1678" i="2"/>
  <c r="J1678" i="2"/>
  <c r="K1678" i="2"/>
  <c r="L1678" i="2"/>
  <c r="C1679" i="2"/>
  <c r="D1679" i="2"/>
  <c r="F1679" i="2"/>
  <c r="G1679" i="2"/>
  <c r="H1679" i="2"/>
  <c r="J1679" i="2"/>
  <c r="K1679" i="2"/>
  <c r="L1679" i="2"/>
  <c r="C1680" i="2"/>
  <c r="D1680" i="2"/>
  <c r="F1680" i="2"/>
  <c r="G1680" i="2"/>
  <c r="H1680" i="2"/>
  <c r="J1680" i="2"/>
  <c r="K1680" i="2"/>
  <c r="L1680" i="2"/>
  <c r="C1681" i="2"/>
  <c r="D1681" i="2"/>
  <c r="F1681" i="2"/>
  <c r="G1681" i="2"/>
  <c r="H1681" i="2"/>
  <c r="J1681" i="2"/>
  <c r="K1681" i="2"/>
  <c r="L1681" i="2"/>
  <c r="C1682" i="2"/>
  <c r="D1682" i="2"/>
  <c r="F1682" i="2"/>
  <c r="G1682" i="2"/>
  <c r="H1682" i="2"/>
  <c r="J1682" i="2"/>
  <c r="K1682" i="2"/>
  <c r="L1682" i="2"/>
  <c r="C1683" i="2"/>
  <c r="D1683" i="2"/>
  <c r="F1683" i="2"/>
  <c r="G1683" i="2"/>
  <c r="H1683" i="2"/>
  <c r="J1683" i="2"/>
  <c r="K1683" i="2"/>
  <c r="L1683" i="2"/>
  <c r="C1684" i="2"/>
  <c r="D1684" i="2"/>
  <c r="F1684" i="2"/>
  <c r="G1684" i="2"/>
  <c r="H1684" i="2"/>
  <c r="J1684" i="2"/>
  <c r="K1684" i="2"/>
  <c r="L1684" i="2"/>
  <c r="C1685" i="2"/>
  <c r="D1685" i="2"/>
  <c r="F1685" i="2"/>
  <c r="G1685" i="2"/>
  <c r="H1685" i="2"/>
  <c r="J1685" i="2"/>
  <c r="K1685" i="2"/>
  <c r="L1685" i="2"/>
  <c r="C1686" i="2"/>
  <c r="D1686" i="2"/>
  <c r="F1686" i="2"/>
  <c r="G1686" i="2"/>
  <c r="H1686" i="2"/>
  <c r="J1686" i="2"/>
  <c r="K1686" i="2"/>
  <c r="L1686" i="2"/>
  <c r="C1687" i="2"/>
  <c r="D1687" i="2"/>
  <c r="F1687" i="2"/>
  <c r="G1687" i="2"/>
  <c r="H1687" i="2"/>
  <c r="J1687" i="2"/>
  <c r="K1687" i="2"/>
  <c r="L1687" i="2"/>
  <c r="C1688" i="2"/>
  <c r="D1688" i="2"/>
  <c r="F1688" i="2"/>
  <c r="G1688" i="2"/>
  <c r="H1688" i="2"/>
  <c r="J1688" i="2"/>
  <c r="K1688" i="2"/>
  <c r="L1688" i="2"/>
  <c r="C1689" i="2"/>
  <c r="D1689" i="2"/>
  <c r="F1689" i="2"/>
  <c r="G1689" i="2"/>
  <c r="H1689" i="2"/>
  <c r="J1689" i="2"/>
  <c r="K1689" i="2"/>
  <c r="L1689" i="2"/>
  <c r="C1690" i="2"/>
  <c r="D1690" i="2"/>
  <c r="F1690" i="2"/>
  <c r="G1690" i="2"/>
  <c r="H1690" i="2"/>
  <c r="J1690" i="2"/>
  <c r="K1690" i="2"/>
  <c r="L1690" i="2"/>
  <c r="C1691" i="2"/>
  <c r="D1691" i="2"/>
  <c r="F1691" i="2"/>
  <c r="G1691" i="2"/>
  <c r="H1691" i="2"/>
  <c r="J1691" i="2"/>
  <c r="K1691" i="2"/>
  <c r="L1691" i="2"/>
  <c r="C1692" i="2"/>
  <c r="D1692" i="2"/>
  <c r="F1692" i="2"/>
  <c r="G1692" i="2"/>
  <c r="H1692" i="2"/>
  <c r="J1692" i="2"/>
  <c r="K1692" i="2"/>
  <c r="L1692" i="2"/>
  <c r="C1693" i="2"/>
  <c r="D1693" i="2"/>
  <c r="F1693" i="2"/>
  <c r="G1693" i="2"/>
  <c r="H1693" i="2"/>
  <c r="J1693" i="2"/>
  <c r="K1693" i="2"/>
  <c r="L1693" i="2"/>
  <c r="C1694" i="2"/>
  <c r="D1694" i="2"/>
  <c r="F1694" i="2"/>
  <c r="G1694" i="2"/>
  <c r="H1694" i="2"/>
  <c r="J1694" i="2"/>
  <c r="K1694" i="2"/>
  <c r="L1694" i="2"/>
  <c r="C1695" i="2"/>
  <c r="D1695" i="2"/>
  <c r="F1695" i="2"/>
  <c r="G1695" i="2"/>
  <c r="H1695" i="2"/>
  <c r="J1695" i="2"/>
  <c r="K1695" i="2"/>
  <c r="L1695" i="2"/>
  <c r="C1696" i="2"/>
  <c r="D1696" i="2"/>
  <c r="F1696" i="2"/>
  <c r="G1696" i="2"/>
  <c r="H1696" i="2"/>
  <c r="J1696" i="2"/>
  <c r="K1696" i="2"/>
  <c r="L1696" i="2"/>
  <c r="C1697" i="2"/>
  <c r="D1697" i="2"/>
  <c r="F1697" i="2"/>
  <c r="G1697" i="2"/>
  <c r="H1697" i="2"/>
  <c r="J1697" i="2"/>
  <c r="K1697" i="2"/>
  <c r="L1697" i="2"/>
  <c r="C1698" i="2"/>
  <c r="D1698" i="2"/>
  <c r="F1698" i="2"/>
  <c r="G1698" i="2"/>
  <c r="H1698" i="2"/>
  <c r="J1698" i="2"/>
  <c r="K1698" i="2"/>
  <c r="L1698" i="2"/>
  <c r="C1699" i="2"/>
  <c r="D1699" i="2"/>
  <c r="F1699" i="2"/>
  <c r="G1699" i="2"/>
  <c r="H1699" i="2"/>
  <c r="J1699" i="2"/>
  <c r="K1699" i="2"/>
  <c r="L1699" i="2"/>
  <c r="C1700" i="2"/>
  <c r="D1700" i="2"/>
  <c r="F1700" i="2"/>
  <c r="G1700" i="2"/>
  <c r="H1700" i="2"/>
  <c r="J1700" i="2"/>
  <c r="K1700" i="2"/>
  <c r="L1700" i="2"/>
  <c r="C1701" i="2"/>
  <c r="D1701" i="2"/>
  <c r="F1701" i="2"/>
  <c r="G1701" i="2"/>
  <c r="H1701" i="2"/>
  <c r="J1701" i="2"/>
  <c r="K1701" i="2"/>
  <c r="L1701" i="2"/>
  <c r="C1702" i="2"/>
  <c r="D1702" i="2"/>
  <c r="F1702" i="2"/>
  <c r="G1702" i="2"/>
  <c r="H1702" i="2"/>
  <c r="J1702" i="2"/>
  <c r="K1702" i="2"/>
  <c r="L1702" i="2"/>
  <c r="C1703" i="2"/>
  <c r="D1703" i="2"/>
  <c r="F1703" i="2"/>
  <c r="G1703" i="2"/>
  <c r="H1703" i="2"/>
  <c r="J1703" i="2"/>
  <c r="K1703" i="2"/>
  <c r="L1703" i="2"/>
  <c r="C1704" i="2"/>
  <c r="D1704" i="2"/>
  <c r="F1704" i="2"/>
  <c r="G1704" i="2"/>
  <c r="H1704" i="2"/>
  <c r="J1704" i="2"/>
  <c r="K1704" i="2"/>
  <c r="L1704" i="2"/>
  <c r="C1705" i="2"/>
  <c r="D1705" i="2"/>
  <c r="F1705" i="2"/>
  <c r="G1705" i="2"/>
  <c r="H1705" i="2"/>
  <c r="J1705" i="2"/>
  <c r="K1705" i="2"/>
  <c r="L1705" i="2"/>
  <c r="C1706" i="2"/>
  <c r="D1706" i="2"/>
  <c r="F1706" i="2"/>
  <c r="G1706" i="2"/>
  <c r="H1706" i="2"/>
  <c r="J1706" i="2"/>
  <c r="K1706" i="2"/>
  <c r="L1706" i="2"/>
  <c r="C1707" i="2"/>
  <c r="D1707" i="2"/>
  <c r="F1707" i="2"/>
  <c r="G1707" i="2"/>
  <c r="H1707" i="2"/>
  <c r="J1707" i="2"/>
  <c r="K1707" i="2"/>
  <c r="L1707" i="2"/>
  <c r="C1708" i="2"/>
  <c r="D1708" i="2"/>
  <c r="F1708" i="2"/>
  <c r="G1708" i="2"/>
  <c r="H1708" i="2"/>
  <c r="J1708" i="2"/>
  <c r="K1708" i="2"/>
  <c r="L1708" i="2"/>
  <c r="C1709" i="2"/>
  <c r="D1709" i="2"/>
  <c r="F1709" i="2"/>
  <c r="G1709" i="2"/>
  <c r="H1709" i="2"/>
  <c r="J1709" i="2"/>
  <c r="K1709" i="2"/>
  <c r="L1709" i="2"/>
  <c r="C1710" i="2"/>
  <c r="D1710" i="2"/>
  <c r="F1710" i="2"/>
  <c r="G1710" i="2"/>
  <c r="H1710" i="2"/>
  <c r="J1710" i="2"/>
  <c r="K1710" i="2"/>
  <c r="L1710" i="2"/>
  <c r="C1711" i="2"/>
  <c r="D1711" i="2"/>
  <c r="F1711" i="2"/>
  <c r="G1711" i="2"/>
  <c r="H1711" i="2"/>
  <c r="J1711" i="2"/>
  <c r="K1711" i="2"/>
  <c r="L1711" i="2"/>
  <c r="C1712" i="2"/>
  <c r="D1712" i="2"/>
  <c r="F1712" i="2"/>
  <c r="G1712" i="2"/>
  <c r="H1712" i="2"/>
  <c r="J1712" i="2"/>
  <c r="K1712" i="2"/>
  <c r="L1712" i="2"/>
  <c r="C1713" i="2"/>
  <c r="D1713" i="2"/>
  <c r="F1713" i="2"/>
  <c r="G1713" i="2"/>
  <c r="H1713" i="2"/>
  <c r="J1713" i="2"/>
  <c r="K1713" i="2"/>
  <c r="L1713" i="2"/>
  <c r="C1714" i="2"/>
  <c r="D1714" i="2"/>
  <c r="F1714" i="2"/>
  <c r="G1714" i="2"/>
  <c r="H1714" i="2"/>
  <c r="J1714" i="2"/>
  <c r="K1714" i="2"/>
  <c r="L1714" i="2"/>
  <c r="C1715" i="2"/>
  <c r="D1715" i="2"/>
  <c r="F1715" i="2"/>
  <c r="G1715" i="2"/>
  <c r="H1715" i="2"/>
  <c r="J1715" i="2"/>
  <c r="K1715" i="2"/>
  <c r="L1715" i="2"/>
  <c r="C1716" i="2"/>
  <c r="D1716" i="2"/>
  <c r="F1716" i="2"/>
  <c r="G1716" i="2"/>
  <c r="H1716" i="2"/>
  <c r="J1716" i="2"/>
  <c r="K1716" i="2"/>
  <c r="L1716" i="2"/>
  <c r="C1717" i="2"/>
  <c r="D1717" i="2"/>
  <c r="F1717" i="2"/>
  <c r="G1717" i="2"/>
  <c r="H1717" i="2"/>
  <c r="J1717" i="2"/>
  <c r="K1717" i="2"/>
  <c r="L1717" i="2"/>
  <c r="C1718" i="2"/>
  <c r="D1718" i="2"/>
  <c r="F1718" i="2"/>
  <c r="G1718" i="2"/>
  <c r="H1718" i="2"/>
  <c r="J1718" i="2"/>
  <c r="K1718" i="2"/>
  <c r="L1718" i="2"/>
  <c r="C1719" i="2"/>
  <c r="D1719" i="2"/>
  <c r="F1719" i="2"/>
  <c r="G1719" i="2"/>
  <c r="H1719" i="2"/>
  <c r="J1719" i="2"/>
  <c r="K1719" i="2"/>
  <c r="L1719" i="2"/>
  <c r="C1720" i="2"/>
  <c r="D1720" i="2"/>
  <c r="F1720" i="2"/>
  <c r="G1720" i="2"/>
  <c r="H1720" i="2"/>
  <c r="J1720" i="2"/>
  <c r="K1720" i="2"/>
  <c r="L1720" i="2"/>
  <c r="C1721" i="2"/>
  <c r="D1721" i="2"/>
  <c r="F1721" i="2"/>
  <c r="G1721" i="2"/>
  <c r="H1721" i="2"/>
  <c r="J1721" i="2"/>
  <c r="K1721" i="2"/>
  <c r="L1721" i="2"/>
  <c r="C1722" i="2"/>
  <c r="D1722" i="2"/>
  <c r="F1722" i="2"/>
  <c r="G1722" i="2"/>
  <c r="H1722" i="2"/>
  <c r="J1722" i="2"/>
  <c r="K1722" i="2"/>
  <c r="L1722" i="2"/>
  <c r="C1723" i="2"/>
  <c r="D1723" i="2"/>
  <c r="F1723" i="2"/>
  <c r="G1723" i="2"/>
  <c r="H1723" i="2"/>
  <c r="J1723" i="2"/>
  <c r="K1723" i="2"/>
  <c r="L1723" i="2"/>
  <c r="C1724" i="2"/>
  <c r="D1724" i="2"/>
  <c r="F1724" i="2"/>
  <c r="G1724" i="2"/>
  <c r="H1724" i="2"/>
  <c r="J1724" i="2"/>
  <c r="K1724" i="2"/>
  <c r="L1724" i="2"/>
  <c r="C1725" i="2"/>
  <c r="D1725" i="2"/>
  <c r="F1725" i="2"/>
  <c r="G1725" i="2"/>
  <c r="H1725" i="2"/>
  <c r="J1725" i="2"/>
  <c r="K1725" i="2"/>
  <c r="L1725" i="2"/>
  <c r="C1726" i="2"/>
  <c r="D1726" i="2"/>
  <c r="F1726" i="2"/>
  <c r="G1726" i="2"/>
  <c r="H1726" i="2"/>
  <c r="J1726" i="2"/>
  <c r="K1726" i="2"/>
  <c r="L1726" i="2"/>
  <c r="C1727" i="2"/>
  <c r="D1727" i="2"/>
  <c r="F1727" i="2"/>
  <c r="G1727" i="2"/>
  <c r="H1727" i="2"/>
  <c r="J1727" i="2"/>
  <c r="K1727" i="2"/>
  <c r="L1727" i="2"/>
  <c r="C1728" i="2"/>
  <c r="D1728" i="2"/>
  <c r="F1728" i="2"/>
  <c r="G1728" i="2"/>
  <c r="H1728" i="2"/>
  <c r="J1728" i="2"/>
  <c r="K1728" i="2"/>
  <c r="L1728" i="2"/>
  <c r="C1729" i="2"/>
  <c r="D1729" i="2"/>
  <c r="F1729" i="2"/>
  <c r="G1729" i="2"/>
  <c r="H1729" i="2"/>
  <c r="J1729" i="2"/>
  <c r="K1729" i="2"/>
  <c r="L1729" i="2"/>
  <c r="C1730" i="2"/>
  <c r="D1730" i="2"/>
  <c r="F1730" i="2"/>
  <c r="G1730" i="2"/>
  <c r="H1730" i="2"/>
  <c r="J1730" i="2"/>
  <c r="K1730" i="2"/>
  <c r="L1730" i="2"/>
  <c r="C1731" i="2"/>
  <c r="D1731" i="2"/>
  <c r="F1731" i="2"/>
  <c r="G1731" i="2"/>
  <c r="H1731" i="2"/>
  <c r="J1731" i="2"/>
  <c r="K1731" i="2"/>
  <c r="L1731" i="2"/>
  <c r="C1732" i="2"/>
  <c r="D1732" i="2"/>
  <c r="F1732" i="2"/>
  <c r="G1732" i="2"/>
  <c r="H1732" i="2"/>
  <c r="J1732" i="2"/>
  <c r="K1732" i="2"/>
  <c r="L1732" i="2"/>
  <c r="C1733" i="2"/>
  <c r="D1733" i="2"/>
  <c r="F1733" i="2"/>
  <c r="G1733" i="2"/>
  <c r="H1733" i="2"/>
  <c r="J1733" i="2"/>
  <c r="K1733" i="2"/>
  <c r="L1733" i="2"/>
  <c r="C1734" i="2"/>
  <c r="D1734" i="2"/>
  <c r="F1734" i="2"/>
  <c r="G1734" i="2"/>
  <c r="H1734" i="2"/>
  <c r="J1734" i="2"/>
  <c r="K1734" i="2"/>
  <c r="L1734" i="2"/>
  <c r="C1735" i="2"/>
  <c r="D1735" i="2"/>
  <c r="F1735" i="2"/>
  <c r="G1735" i="2"/>
  <c r="H1735" i="2"/>
  <c r="J1735" i="2"/>
  <c r="K1735" i="2"/>
  <c r="L1735" i="2"/>
  <c r="C1736" i="2"/>
  <c r="D1736" i="2"/>
  <c r="F1736" i="2"/>
  <c r="G1736" i="2"/>
  <c r="H1736" i="2"/>
  <c r="J1736" i="2"/>
  <c r="K1736" i="2"/>
  <c r="L1736" i="2"/>
  <c r="C1737" i="2"/>
  <c r="D1737" i="2"/>
  <c r="F1737" i="2"/>
  <c r="G1737" i="2"/>
  <c r="H1737" i="2"/>
  <c r="J1737" i="2"/>
  <c r="K1737" i="2"/>
  <c r="L1737" i="2"/>
  <c r="C1738" i="2"/>
  <c r="D1738" i="2"/>
  <c r="F1738" i="2"/>
  <c r="G1738" i="2"/>
  <c r="H1738" i="2"/>
  <c r="J1738" i="2"/>
  <c r="K1738" i="2"/>
  <c r="L1738" i="2"/>
  <c r="C1739" i="2"/>
  <c r="D1739" i="2"/>
  <c r="F1739" i="2"/>
  <c r="G1739" i="2"/>
  <c r="H1739" i="2"/>
  <c r="J1739" i="2"/>
  <c r="K1739" i="2"/>
  <c r="L1739" i="2"/>
  <c r="C1740" i="2"/>
  <c r="D1740" i="2"/>
  <c r="F1740" i="2"/>
  <c r="G1740" i="2"/>
  <c r="H1740" i="2"/>
  <c r="J1740" i="2"/>
  <c r="K1740" i="2"/>
  <c r="L1740" i="2"/>
  <c r="C1741" i="2"/>
  <c r="D1741" i="2"/>
  <c r="F1741" i="2"/>
  <c r="G1741" i="2"/>
  <c r="H1741" i="2"/>
  <c r="J1741" i="2"/>
  <c r="K1741" i="2"/>
  <c r="L1741" i="2"/>
  <c r="C1742" i="2"/>
  <c r="D1742" i="2"/>
  <c r="F1742" i="2"/>
  <c r="G1742" i="2"/>
  <c r="H1742" i="2"/>
  <c r="J1742" i="2"/>
  <c r="K1742" i="2"/>
  <c r="L1742" i="2"/>
  <c r="C1743" i="2"/>
  <c r="D1743" i="2"/>
  <c r="F1743" i="2"/>
  <c r="G1743" i="2"/>
  <c r="H1743" i="2"/>
  <c r="J1743" i="2"/>
  <c r="K1743" i="2"/>
  <c r="L1743" i="2"/>
  <c r="C1744" i="2"/>
  <c r="D1744" i="2"/>
  <c r="F1744" i="2"/>
  <c r="G1744" i="2"/>
  <c r="H1744" i="2"/>
  <c r="J1744" i="2"/>
  <c r="K1744" i="2"/>
  <c r="L1744" i="2"/>
  <c r="C1745" i="2"/>
  <c r="D1745" i="2"/>
  <c r="F1745" i="2"/>
  <c r="G1745" i="2"/>
  <c r="H1745" i="2"/>
  <c r="J1745" i="2"/>
  <c r="K1745" i="2"/>
  <c r="L1745" i="2"/>
  <c r="C1746" i="2"/>
  <c r="D1746" i="2"/>
  <c r="F1746" i="2"/>
  <c r="G1746" i="2"/>
  <c r="H1746" i="2"/>
  <c r="J1746" i="2"/>
  <c r="K1746" i="2"/>
  <c r="L1746" i="2"/>
  <c r="C1747" i="2"/>
  <c r="D1747" i="2"/>
  <c r="F1747" i="2"/>
  <c r="G1747" i="2"/>
  <c r="H1747" i="2"/>
  <c r="J1747" i="2"/>
  <c r="K1747" i="2"/>
  <c r="L1747" i="2"/>
  <c r="C1748" i="2"/>
  <c r="D1748" i="2"/>
  <c r="F1748" i="2"/>
  <c r="G1748" i="2"/>
  <c r="H1748" i="2"/>
  <c r="J1748" i="2"/>
  <c r="K1748" i="2"/>
  <c r="L1748" i="2"/>
  <c r="C1749" i="2"/>
  <c r="D1749" i="2"/>
  <c r="F1749" i="2"/>
  <c r="G1749" i="2"/>
  <c r="H1749" i="2"/>
  <c r="J1749" i="2"/>
  <c r="K1749" i="2"/>
  <c r="L1749" i="2"/>
  <c r="C1750" i="2"/>
  <c r="D1750" i="2"/>
  <c r="F1750" i="2"/>
  <c r="G1750" i="2"/>
  <c r="H1750" i="2"/>
  <c r="J1750" i="2"/>
  <c r="K1750" i="2"/>
  <c r="L1750" i="2"/>
  <c r="C1751" i="2"/>
  <c r="D1751" i="2"/>
  <c r="F1751" i="2"/>
  <c r="G1751" i="2"/>
  <c r="H1751" i="2"/>
  <c r="J1751" i="2"/>
  <c r="K1751" i="2"/>
  <c r="L1751" i="2"/>
  <c r="C1752" i="2"/>
  <c r="D1752" i="2"/>
  <c r="F1752" i="2"/>
  <c r="G1752" i="2"/>
  <c r="H1752" i="2"/>
  <c r="J1752" i="2"/>
  <c r="K1752" i="2"/>
  <c r="L1752" i="2"/>
  <c r="C1753" i="2"/>
  <c r="D1753" i="2"/>
  <c r="F1753" i="2"/>
  <c r="G1753" i="2"/>
  <c r="H1753" i="2"/>
  <c r="J1753" i="2"/>
  <c r="K1753" i="2"/>
  <c r="L1753" i="2"/>
  <c r="C1754" i="2"/>
  <c r="D1754" i="2"/>
  <c r="F1754" i="2"/>
  <c r="G1754" i="2"/>
  <c r="H1754" i="2"/>
  <c r="J1754" i="2"/>
  <c r="K1754" i="2"/>
  <c r="L1754" i="2"/>
  <c r="C1755" i="2"/>
  <c r="D1755" i="2"/>
  <c r="F1755" i="2"/>
  <c r="G1755" i="2"/>
  <c r="H1755" i="2"/>
  <c r="J1755" i="2"/>
  <c r="K1755" i="2"/>
  <c r="L1755" i="2"/>
  <c r="C1756" i="2"/>
  <c r="D1756" i="2"/>
  <c r="F1756" i="2"/>
  <c r="G1756" i="2"/>
  <c r="H1756" i="2"/>
  <c r="J1756" i="2"/>
  <c r="K1756" i="2"/>
  <c r="L1756" i="2"/>
  <c r="C1757" i="2"/>
  <c r="D1757" i="2"/>
  <c r="F1757" i="2"/>
  <c r="G1757" i="2"/>
  <c r="H1757" i="2"/>
  <c r="J1757" i="2"/>
  <c r="K1757" i="2"/>
  <c r="L1757" i="2"/>
  <c r="C1758" i="2"/>
  <c r="D1758" i="2"/>
  <c r="F1758" i="2"/>
  <c r="G1758" i="2"/>
  <c r="H1758" i="2"/>
  <c r="J1758" i="2"/>
  <c r="K1758" i="2"/>
  <c r="L1758" i="2"/>
  <c r="C1759" i="2"/>
  <c r="D1759" i="2"/>
  <c r="F1759" i="2"/>
  <c r="G1759" i="2"/>
  <c r="H1759" i="2"/>
  <c r="J1759" i="2"/>
  <c r="K1759" i="2"/>
  <c r="L1759" i="2"/>
  <c r="C1760" i="2"/>
  <c r="D1760" i="2"/>
  <c r="F1760" i="2"/>
  <c r="G1760" i="2"/>
  <c r="H1760" i="2"/>
  <c r="J1760" i="2"/>
  <c r="K1760" i="2"/>
  <c r="L1760" i="2"/>
  <c r="C1761" i="2"/>
  <c r="D1761" i="2"/>
  <c r="F1761" i="2"/>
  <c r="G1761" i="2"/>
  <c r="H1761" i="2"/>
  <c r="J1761" i="2"/>
  <c r="K1761" i="2"/>
  <c r="L1761" i="2"/>
  <c r="C1762" i="2"/>
  <c r="D1762" i="2"/>
  <c r="F1762" i="2"/>
  <c r="G1762" i="2"/>
  <c r="H1762" i="2"/>
  <c r="J1762" i="2"/>
  <c r="K1762" i="2"/>
  <c r="L1762" i="2"/>
  <c r="C1763" i="2"/>
  <c r="D1763" i="2"/>
  <c r="F1763" i="2"/>
  <c r="G1763" i="2"/>
  <c r="H1763" i="2"/>
  <c r="J1763" i="2"/>
  <c r="K1763" i="2"/>
  <c r="L1763" i="2"/>
  <c r="C1764" i="2"/>
  <c r="D1764" i="2"/>
  <c r="F1764" i="2"/>
  <c r="G1764" i="2"/>
  <c r="H1764" i="2"/>
  <c r="J1764" i="2"/>
  <c r="K1764" i="2"/>
  <c r="L1764" i="2"/>
  <c r="C1765" i="2"/>
  <c r="D1765" i="2"/>
  <c r="F1765" i="2"/>
  <c r="G1765" i="2"/>
  <c r="H1765" i="2"/>
  <c r="J1765" i="2"/>
  <c r="K1765" i="2"/>
  <c r="L1765" i="2"/>
  <c r="C1766" i="2"/>
  <c r="D1766" i="2"/>
  <c r="F1766" i="2"/>
  <c r="G1766" i="2"/>
  <c r="H1766" i="2"/>
  <c r="J1766" i="2"/>
  <c r="K1766" i="2"/>
  <c r="L1766" i="2"/>
  <c r="C1767" i="2"/>
  <c r="D1767" i="2"/>
  <c r="F1767" i="2"/>
  <c r="G1767" i="2"/>
  <c r="H1767" i="2"/>
  <c r="J1767" i="2"/>
  <c r="K1767" i="2"/>
  <c r="L1767" i="2"/>
  <c r="C1768" i="2"/>
  <c r="D1768" i="2"/>
  <c r="F1768" i="2"/>
  <c r="G1768" i="2"/>
  <c r="H1768" i="2"/>
  <c r="J1768" i="2"/>
  <c r="K1768" i="2"/>
  <c r="L1768" i="2"/>
  <c r="C1769" i="2"/>
  <c r="D1769" i="2"/>
  <c r="F1769" i="2"/>
  <c r="G1769" i="2"/>
  <c r="H1769" i="2"/>
  <c r="J1769" i="2"/>
  <c r="K1769" i="2"/>
  <c r="L1769" i="2"/>
  <c r="C1770" i="2"/>
  <c r="D1770" i="2"/>
  <c r="F1770" i="2"/>
  <c r="G1770" i="2"/>
  <c r="H1770" i="2"/>
  <c r="J1770" i="2"/>
  <c r="K1770" i="2"/>
  <c r="L1770" i="2"/>
  <c r="C1771" i="2"/>
  <c r="D1771" i="2"/>
  <c r="F1771" i="2"/>
  <c r="G1771" i="2"/>
  <c r="H1771" i="2"/>
  <c r="J1771" i="2"/>
  <c r="K1771" i="2"/>
  <c r="L1771" i="2"/>
  <c r="C1772" i="2"/>
  <c r="D1772" i="2"/>
  <c r="F1772" i="2"/>
  <c r="G1772" i="2"/>
  <c r="H1772" i="2"/>
  <c r="J1772" i="2"/>
  <c r="K1772" i="2"/>
  <c r="L1772" i="2"/>
  <c r="C1773" i="2"/>
  <c r="D1773" i="2"/>
  <c r="F1773" i="2"/>
  <c r="G1773" i="2"/>
  <c r="H1773" i="2"/>
  <c r="J1773" i="2"/>
  <c r="K1773" i="2"/>
  <c r="L1773" i="2"/>
  <c r="C1774" i="2"/>
  <c r="D1774" i="2"/>
  <c r="F1774" i="2"/>
  <c r="G1774" i="2"/>
  <c r="H1774" i="2"/>
  <c r="J1774" i="2"/>
  <c r="K1774" i="2"/>
  <c r="L1774" i="2"/>
  <c r="C1775" i="2"/>
  <c r="D1775" i="2"/>
  <c r="F1775" i="2"/>
  <c r="G1775" i="2"/>
  <c r="H1775" i="2"/>
  <c r="J1775" i="2"/>
  <c r="K1775" i="2"/>
  <c r="L1775" i="2"/>
  <c r="C1776" i="2"/>
  <c r="D1776" i="2"/>
  <c r="F1776" i="2"/>
  <c r="G1776" i="2"/>
  <c r="H1776" i="2"/>
  <c r="J1776" i="2"/>
  <c r="K1776" i="2"/>
  <c r="L1776" i="2"/>
  <c r="C1777" i="2"/>
  <c r="D1777" i="2"/>
  <c r="F1777" i="2"/>
  <c r="G1777" i="2"/>
  <c r="H1777" i="2"/>
  <c r="J1777" i="2"/>
  <c r="K1777" i="2"/>
  <c r="L1777" i="2"/>
  <c r="C1778" i="2"/>
  <c r="D1778" i="2"/>
  <c r="F1778" i="2"/>
  <c r="G1778" i="2"/>
  <c r="H1778" i="2"/>
  <c r="J1778" i="2"/>
  <c r="K1778" i="2"/>
  <c r="L1778" i="2"/>
  <c r="C1779" i="2"/>
  <c r="D1779" i="2"/>
  <c r="F1779" i="2"/>
  <c r="G1779" i="2"/>
  <c r="H1779" i="2"/>
  <c r="J1779" i="2"/>
  <c r="K1779" i="2"/>
  <c r="L1779" i="2"/>
  <c r="C1780" i="2"/>
  <c r="D1780" i="2"/>
  <c r="F1780" i="2"/>
  <c r="G1780" i="2"/>
  <c r="H1780" i="2"/>
  <c r="J1780" i="2"/>
  <c r="K1780" i="2"/>
  <c r="L1780" i="2"/>
  <c r="C1781" i="2"/>
  <c r="D1781" i="2"/>
  <c r="F1781" i="2"/>
  <c r="G1781" i="2"/>
  <c r="H1781" i="2"/>
  <c r="J1781" i="2"/>
  <c r="K1781" i="2"/>
  <c r="L1781" i="2"/>
  <c r="C1782" i="2"/>
  <c r="D1782" i="2"/>
  <c r="F1782" i="2"/>
  <c r="G1782" i="2"/>
  <c r="H1782" i="2"/>
  <c r="J1782" i="2"/>
  <c r="K1782" i="2"/>
  <c r="L1782" i="2"/>
  <c r="C1783" i="2"/>
  <c r="D1783" i="2"/>
  <c r="F1783" i="2"/>
  <c r="G1783" i="2"/>
  <c r="H1783" i="2"/>
  <c r="J1783" i="2"/>
  <c r="K1783" i="2"/>
  <c r="L1783" i="2"/>
  <c r="C1784" i="2"/>
  <c r="D1784" i="2"/>
  <c r="F1784" i="2"/>
  <c r="G1784" i="2"/>
  <c r="H1784" i="2"/>
  <c r="J1784" i="2"/>
  <c r="K1784" i="2"/>
  <c r="L1784" i="2"/>
  <c r="C1785" i="2"/>
  <c r="D1785" i="2"/>
  <c r="F1785" i="2"/>
  <c r="G1785" i="2"/>
  <c r="H1785" i="2"/>
  <c r="J1785" i="2"/>
  <c r="K1785" i="2"/>
  <c r="L1785" i="2"/>
  <c r="C1786" i="2"/>
  <c r="D1786" i="2"/>
  <c r="F1786" i="2"/>
  <c r="G1786" i="2"/>
  <c r="H1786" i="2"/>
  <c r="J1786" i="2"/>
  <c r="K1786" i="2"/>
  <c r="L1786" i="2"/>
  <c r="C1787" i="2"/>
  <c r="D1787" i="2"/>
  <c r="F1787" i="2"/>
  <c r="G1787" i="2"/>
  <c r="H1787" i="2"/>
  <c r="J1787" i="2"/>
  <c r="K1787" i="2"/>
  <c r="L1787" i="2"/>
  <c r="C1788" i="2"/>
  <c r="D1788" i="2"/>
  <c r="F1788" i="2"/>
  <c r="G1788" i="2"/>
  <c r="H1788" i="2"/>
  <c r="J1788" i="2"/>
  <c r="K1788" i="2"/>
  <c r="L1788" i="2"/>
  <c r="C1789" i="2"/>
  <c r="D1789" i="2"/>
  <c r="F1789" i="2"/>
  <c r="G1789" i="2"/>
  <c r="H1789" i="2"/>
  <c r="J1789" i="2"/>
  <c r="K1789" i="2"/>
  <c r="L1789" i="2"/>
  <c r="C1790" i="2"/>
  <c r="D1790" i="2"/>
  <c r="F1790" i="2"/>
  <c r="G1790" i="2"/>
  <c r="H1790" i="2"/>
  <c r="J1790" i="2"/>
  <c r="K1790" i="2"/>
  <c r="L1790" i="2"/>
  <c r="C1791" i="2"/>
  <c r="D1791" i="2"/>
  <c r="F1791" i="2"/>
  <c r="G1791" i="2"/>
  <c r="H1791" i="2"/>
  <c r="J1791" i="2"/>
  <c r="K1791" i="2"/>
  <c r="L1791" i="2"/>
  <c r="C1792" i="2"/>
  <c r="D1792" i="2"/>
  <c r="F1792" i="2"/>
  <c r="G1792" i="2"/>
  <c r="H1792" i="2"/>
  <c r="J1792" i="2"/>
  <c r="K1792" i="2"/>
  <c r="L1792" i="2"/>
  <c r="C1793" i="2"/>
  <c r="D1793" i="2"/>
  <c r="F1793" i="2"/>
  <c r="G1793" i="2"/>
  <c r="H1793" i="2"/>
  <c r="J1793" i="2"/>
  <c r="K1793" i="2"/>
  <c r="L1793" i="2"/>
  <c r="C1794" i="2"/>
  <c r="D1794" i="2"/>
  <c r="F1794" i="2"/>
  <c r="G1794" i="2"/>
  <c r="H1794" i="2"/>
  <c r="J1794" i="2"/>
  <c r="K1794" i="2"/>
  <c r="L1794" i="2"/>
  <c r="C1795" i="2"/>
  <c r="D1795" i="2"/>
  <c r="F1795" i="2"/>
  <c r="G1795" i="2"/>
  <c r="H1795" i="2"/>
  <c r="J1795" i="2"/>
  <c r="K1795" i="2"/>
  <c r="L1795" i="2"/>
  <c r="C1796" i="2"/>
  <c r="D1796" i="2"/>
  <c r="F1796" i="2"/>
  <c r="G1796" i="2"/>
  <c r="H1796" i="2"/>
  <c r="J1796" i="2"/>
  <c r="K1796" i="2"/>
  <c r="L1796" i="2"/>
  <c r="C1797" i="2"/>
  <c r="D1797" i="2"/>
  <c r="F1797" i="2"/>
  <c r="G1797" i="2"/>
  <c r="H1797" i="2"/>
  <c r="J1797" i="2"/>
  <c r="K1797" i="2"/>
  <c r="L1797" i="2"/>
  <c r="C1798" i="2"/>
  <c r="D1798" i="2"/>
  <c r="F1798" i="2"/>
  <c r="G1798" i="2"/>
  <c r="H1798" i="2"/>
  <c r="J1798" i="2"/>
  <c r="K1798" i="2"/>
  <c r="L1798" i="2"/>
  <c r="C1799" i="2"/>
  <c r="D1799" i="2"/>
  <c r="F1799" i="2"/>
  <c r="G1799" i="2"/>
  <c r="H1799" i="2"/>
  <c r="J1799" i="2"/>
  <c r="K1799" i="2"/>
  <c r="L1799" i="2"/>
  <c r="C1800" i="2"/>
  <c r="D1800" i="2"/>
  <c r="F1800" i="2"/>
  <c r="G1800" i="2"/>
  <c r="H1800" i="2"/>
  <c r="J1800" i="2"/>
  <c r="K1800" i="2"/>
  <c r="L1800" i="2"/>
  <c r="C1801" i="2"/>
  <c r="D1801" i="2"/>
  <c r="F1801" i="2"/>
  <c r="G1801" i="2"/>
  <c r="H1801" i="2"/>
  <c r="J1801" i="2"/>
  <c r="K1801" i="2"/>
  <c r="L1801" i="2"/>
  <c r="C1802" i="2"/>
  <c r="D1802" i="2"/>
  <c r="F1802" i="2"/>
  <c r="G1802" i="2"/>
  <c r="H1802" i="2"/>
  <c r="J1802" i="2"/>
  <c r="K1802" i="2"/>
  <c r="L1802" i="2"/>
  <c r="C1803" i="2"/>
  <c r="D1803" i="2"/>
  <c r="F1803" i="2"/>
  <c r="G1803" i="2"/>
  <c r="H1803" i="2"/>
  <c r="J1803" i="2"/>
  <c r="K1803" i="2"/>
  <c r="L1803" i="2"/>
  <c r="C1804" i="2"/>
  <c r="D1804" i="2"/>
  <c r="F1804" i="2"/>
  <c r="G1804" i="2"/>
  <c r="H1804" i="2"/>
  <c r="J1804" i="2"/>
  <c r="K1804" i="2"/>
  <c r="L1804" i="2"/>
  <c r="C1805" i="2"/>
  <c r="D1805" i="2"/>
  <c r="F1805" i="2"/>
  <c r="G1805" i="2"/>
  <c r="H1805" i="2"/>
  <c r="J1805" i="2"/>
  <c r="K1805" i="2"/>
  <c r="L1805" i="2"/>
  <c r="C1806" i="2"/>
  <c r="D1806" i="2"/>
  <c r="F1806" i="2"/>
  <c r="G1806" i="2"/>
  <c r="H1806" i="2"/>
  <c r="J1806" i="2"/>
  <c r="K1806" i="2"/>
  <c r="L1806" i="2"/>
  <c r="C1807" i="2"/>
  <c r="D1807" i="2"/>
  <c r="F1807" i="2"/>
  <c r="G1807" i="2"/>
  <c r="H1807" i="2"/>
  <c r="J1807" i="2"/>
  <c r="K1807" i="2"/>
  <c r="L1807" i="2"/>
  <c r="C1808" i="2"/>
  <c r="D1808" i="2"/>
  <c r="F1808" i="2"/>
  <c r="G1808" i="2"/>
  <c r="H1808" i="2"/>
  <c r="J1808" i="2"/>
  <c r="K1808" i="2"/>
  <c r="L1808" i="2"/>
  <c r="C1809" i="2"/>
  <c r="D1809" i="2"/>
  <c r="F1809" i="2"/>
  <c r="G1809" i="2"/>
  <c r="H1809" i="2"/>
  <c r="J1809" i="2"/>
  <c r="K1809" i="2"/>
  <c r="L1809" i="2"/>
  <c r="C1810" i="2"/>
  <c r="D1810" i="2"/>
  <c r="F1810" i="2"/>
  <c r="G1810" i="2"/>
  <c r="H1810" i="2"/>
  <c r="J1810" i="2"/>
  <c r="K1810" i="2"/>
  <c r="L1810" i="2"/>
  <c r="C1811" i="2"/>
  <c r="D1811" i="2"/>
  <c r="F1811" i="2"/>
  <c r="G1811" i="2"/>
  <c r="H1811" i="2"/>
  <c r="J1811" i="2"/>
  <c r="K1811" i="2"/>
  <c r="L1811" i="2"/>
  <c r="C1812" i="2"/>
  <c r="D1812" i="2"/>
  <c r="F1812" i="2"/>
  <c r="G1812" i="2"/>
  <c r="H1812" i="2"/>
  <c r="J1812" i="2"/>
  <c r="K1812" i="2"/>
  <c r="L1812" i="2"/>
  <c r="C1813" i="2"/>
  <c r="D1813" i="2"/>
  <c r="F1813" i="2"/>
  <c r="G1813" i="2"/>
  <c r="H1813" i="2"/>
  <c r="J1813" i="2"/>
  <c r="K1813" i="2"/>
  <c r="L1813" i="2"/>
  <c r="C1814" i="2"/>
  <c r="D1814" i="2"/>
  <c r="F1814" i="2"/>
  <c r="G1814" i="2"/>
  <c r="H1814" i="2"/>
  <c r="J1814" i="2"/>
  <c r="K1814" i="2"/>
  <c r="L1814" i="2"/>
  <c r="C1815" i="2"/>
  <c r="D1815" i="2"/>
  <c r="F1815" i="2"/>
  <c r="G1815" i="2"/>
  <c r="H1815" i="2"/>
  <c r="J1815" i="2"/>
  <c r="K1815" i="2"/>
  <c r="L1815" i="2"/>
  <c r="C1816" i="2"/>
  <c r="D1816" i="2"/>
  <c r="F1816" i="2"/>
  <c r="G1816" i="2"/>
  <c r="H1816" i="2"/>
  <c r="J1816" i="2"/>
  <c r="K1816" i="2"/>
  <c r="L1816" i="2"/>
  <c r="C1817" i="2"/>
  <c r="D1817" i="2"/>
  <c r="F1817" i="2"/>
  <c r="G1817" i="2"/>
  <c r="H1817" i="2"/>
  <c r="J1817" i="2"/>
  <c r="K1817" i="2"/>
  <c r="L1817" i="2"/>
  <c r="C1818" i="2"/>
  <c r="D1818" i="2"/>
  <c r="F1818" i="2"/>
  <c r="G1818" i="2"/>
  <c r="H1818" i="2"/>
  <c r="J1818" i="2"/>
  <c r="K1818" i="2"/>
  <c r="L1818" i="2"/>
  <c r="C1819" i="2"/>
  <c r="D1819" i="2"/>
  <c r="F1819" i="2"/>
  <c r="G1819" i="2"/>
  <c r="H1819" i="2"/>
  <c r="J1819" i="2"/>
  <c r="K1819" i="2"/>
  <c r="L1819" i="2"/>
  <c r="C1820" i="2"/>
  <c r="D1820" i="2"/>
  <c r="F1820" i="2"/>
  <c r="G1820" i="2"/>
  <c r="H1820" i="2"/>
  <c r="J1820" i="2"/>
  <c r="K1820" i="2"/>
  <c r="L1820" i="2"/>
  <c r="C1821" i="2"/>
  <c r="D1821" i="2"/>
  <c r="F1821" i="2"/>
  <c r="G1821" i="2"/>
  <c r="H1821" i="2"/>
  <c r="J1821" i="2"/>
  <c r="K1821" i="2"/>
  <c r="L1821" i="2"/>
  <c r="C1822" i="2"/>
  <c r="D1822" i="2"/>
  <c r="F1822" i="2"/>
  <c r="G1822" i="2"/>
  <c r="H1822" i="2"/>
  <c r="J1822" i="2"/>
  <c r="K1822" i="2"/>
  <c r="L1822" i="2"/>
  <c r="C1823" i="2"/>
  <c r="D1823" i="2"/>
  <c r="F1823" i="2"/>
  <c r="G1823" i="2"/>
  <c r="H1823" i="2"/>
  <c r="J1823" i="2"/>
  <c r="K1823" i="2"/>
  <c r="L1823" i="2"/>
  <c r="C1824" i="2"/>
  <c r="D1824" i="2"/>
  <c r="F1824" i="2"/>
  <c r="G1824" i="2"/>
  <c r="H1824" i="2"/>
  <c r="J1824" i="2"/>
  <c r="K1824" i="2"/>
  <c r="L1824" i="2"/>
  <c r="C1825" i="2"/>
  <c r="D1825" i="2"/>
  <c r="F1825" i="2"/>
  <c r="G1825" i="2"/>
  <c r="H1825" i="2"/>
  <c r="J1825" i="2"/>
  <c r="K1825" i="2"/>
  <c r="L1825" i="2"/>
  <c r="C1826" i="2"/>
  <c r="D1826" i="2"/>
  <c r="F1826" i="2"/>
  <c r="G1826" i="2"/>
  <c r="H1826" i="2"/>
  <c r="J1826" i="2"/>
  <c r="K1826" i="2"/>
  <c r="L1826" i="2"/>
  <c r="C1827" i="2"/>
  <c r="D1827" i="2"/>
  <c r="F1827" i="2"/>
  <c r="G1827" i="2"/>
  <c r="H1827" i="2"/>
  <c r="J1827" i="2"/>
  <c r="K1827" i="2"/>
  <c r="L1827" i="2"/>
  <c r="C1828" i="2"/>
  <c r="D1828" i="2"/>
  <c r="F1828" i="2"/>
  <c r="G1828" i="2"/>
  <c r="H1828" i="2"/>
  <c r="J1828" i="2"/>
  <c r="K1828" i="2"/>
  <c r="L1828" i="2"/>
  <c r="C1829" i="2"/>
  <c r="D1829" i="2"/>
  <c r="F1829" i="2"/>
  <c r="G1829" i="2"/>
  <c r="H1829" i="2"/>
  <c r="J1829" i="2"/>
  <c r="K1829" i="2"/>
  <c r="L1829" i="2"/>
  <c r="C1830" i="2"/>
  <c r="D1830" i="2"/>
  <c r="F1830" i="2"/>
  <c r="G1830" i="2"/>
  <c r="H1830" i="2"/>
  <c r="J1830" i="2"/>
  <c r="K1830" i="2"/>
  <c r="L1830" i="2"/>
  <c r="C1831" i="2"/>
  <c r="D1831" i="2"/>
  <c r="F1831" i="2"/>
  <c r="G1831" i="2"/>
  <c r="H1831" i="2"/>
  <c r="J1831" i="2"/>
  <c r="K1831" i="2"/>
  <c r="L1831" i="2"/>
  <c r="C1832" i="2"/>
  <c r="D1832" i="2"/>
  <c r="F1832" i="2"/>
  <c r="G1832" i="2"/>
  <c r="H1832" i="2"/>
  <c r="J1832" i="2"/>
  <c r="K1832" i="2"/>
  <c r="L1832" i="2"/>
  <c r="C1833" i="2"/>
  <c r="D1833" i="2"/>
  <c r="F1833" i="2"/>
  <c r="G1833" i="2"/>
  <c r="H1833" i="2"/>
  <c r="J1833" i="2"/>
  <c r="K1833" i="2"/>
  <c r="L1833" i="2"/>
  <c r="C1834" i="2"/>
  <c r="D1834" i="2"/>
  <c r="F1834" i="2"/>
  <c r="G1834" i="2"/>
  <c r="H1834" i="2"/>
  <c r="J1834" i="2"/>
  <c r="K1834" i="2"/>
  <c r="L1834" i="2"/>
  <c r="C1835" i="2"/>
  <c r="D1835" i="2"/>
  <c r="F1835" i="2"/>
  <c r="G1835" i="2"/>
  <c r="H1835" i="2"/>
  <c r="J1835" i="2"/>
  <c r="K1835" i="2"/>
  <c r="L1835" i="2"/>
  <c r="C1836" i="2"/>
  <c r="D1836" i="2"/>
  <c r="F1836" i="2"/>
  <c r="G1836" i="2"/>
  <c r="H1836" i="2"/>
  <c r="J1836" i="2"/>
  <c r="K1836" i="2"/>
  <c r="L1836" i="2"/>
  <c r="C1837" i="2"/>
  <c r="D1837" i="2"/>
  <c r="F1837" i="2"/>
  <c r="G1837" i="2"/>
  <c r="H1837" i="2"/>
  <c r="J1837" i="2"/>
  <c r="K1837" i="2"/>
  <c r="L1837" i="2"/>
  <c r="C1838" i="2"/>
  <c r="D1838" i="2"/>
  <c r="F1838" i="2"/>
  <c r="G1838" i="2"/>
  <c r="H1838" i="2"/>
  <c r="J1838" i="2"/>
  <c r="K1838" i="2"/>
  <c r="L1838" i="2"/>
  <c r="C1839" i="2"/>
  <c r="D1839" i="2"/>
  <c r="F1839" i="2"/>
  <c r="G1839" i="2"/>
  <c r="H1839" i="2"/>
  <c r="J1839" i="2"/>
  <c r="K1839" i="2"/>
  <c r="L1839" i="2"/>
  <c r="C1840" i="2"/>
  <c r="D1840" i="2"/>
  <c r="F1840" i="2"/>
  <c r="G1840" i="2"/>
  <c r="H1840" i="2"/>
  <c r="J1840" i="2"/>
  <c r="K1840" i="2"/>
  <c r="L1840" i="2"/>
  <c r="C1841" i="2"/>
  <c r="D1841" i="2"/>
  <c r="F1841" i="2"/>
  <c r="G1841" i="2"/>
  <c r="H1841" i="2"/>
  <c r="J1841" i="2"/>
  <c r="K1841" i="2"/>
  <c r="L1841" i="2"/>
  <c r="C1842" i="2"/>
  <c r="D1842" i="2"/>
  <c r="E1842" i="2"/>
  <c r="F1842" i="2"/>
  <c r="G1842" i="2"/>
  <c r="H1842" i="2"/>
  <c r="J1842" i="2"/>
  <c r="K1842" i="2"/>
  <c r="L1842" i="2"/>
  <c r="C1843" i="2"/>
  <c r="D1843" i="2"/>
  <c r="F1843" i="2"/>
  <c r="G1843" i="2"/>
  <c r="H1843" i="2"/>
  <c r="J1843" i="2"/>
  <c r="K1843" i="2"/>
  <c r="L1843" i="2"/>
  <c r="C1844" i="2"/>
  <c r="D1844" i="2"/>
  <c r="F1844" i="2"/>
  <c r="G1844" i="2"/>
  <c r="H1844" i="2"/>
  <c r="J1844" i="2"/>
  <c r="K1844" i="2"/>
  <c r="L1844" i="2"/>
  <c r="C1845" i="2"/>
  <c r="D1845" i="2"/>
  <c r="F1845" i="2"/>
  <c r="G1845" i="2"/>
  <c r="H1845" i="2"/>
  <c r="J1845" i="2"/>
  <c r="K1845" i="2"/>
  <c r="L1845" i="2"/>
  <c r="C1846" i="2"/>
  <c r="D1846" i="2"/>
  <c r="F1846" i="2"/>
  <c r="G1846" i="2"/>
  <c r="H1846" i="2"/>
  <c r="J1846" i="2"/>
  <c r="K1846" i="2"/>
  <c r="L1846" i="2"/>
  <c r="C1847" i="2"/>
  <c r="D1847" i="2"/>
  <c r="F1847" i="2"/>
  <c r="G1847" i="2"/>
  <c r="H1847" i="2"/>
  <c r="J1847" i="2"/>
  <c r="K1847" i="2"/>
  <c r="L1847" i="2"/>
  <c r="C1848" i="2"/>
  <c r="D1848" i="2"/>
  <c r="F1848" i="2"/>
  <c r="G1848" i="2"/>
  <c r="H1848" i="2"/>
  <c r="J1848" i="2"/>
  <c r="K1848" i="2"/>
  <c r="L1848" i="2"/>
  <c r="C1849" i="2"/>
  <c r="D1849" i="2"/>
  <c r="F1849" i="2"/>
  <c r="G1849" i="2"/>
  <c r="H1849" i="2"/>
  <c r="J1849" i="2"/>
  <c r="K1849" i="2"/>
  <c r="L1849" i="2"/>
  <c r="C1850" i="2"/>
  <c r="D1850" i="2"/>
  <c r="F1850" i="2"/>
  <c r="G1850" i="2"/>
  <c r="H1850" i="2"/>
  <c r="J1850" i="2"/>
  <c r="K1850" i="2"/>
  <c r="L1850" i="2"/>
  <c r="C1851" i="2"/>
  <c r="D1851" i="2"/>
  <c r="F1851" i="2"/>
  <c r="G1851" i="2"/>
  <c r="H1851" i="2"/>
  <c r="J1851" i="2"/>
  <c r="K1851" i="2"/>
  <c r="L1851" i="2"/>
  <c r="C1852" i="2"/>
  <c r="D1852" i="2"/>
  <c r="F1852" i="2"/>
  <c r="G1852" i="2"/>
  <c r="H1852" i="2"/>
  <c r="J1852" i="2"/>
  <c r="K1852" i="2"/>
  <c r="L1852" i="2"/>
  <c r="C1853" i="2"/>
  <c r="D1853" i="2"/>
  <c r="F1853" i="2"/>
  <c r="G1853" i="2"/>
  <c r="H1853" i="2"/>
  <c r="J1853" i="2"/>
  <c r="K1853" i="2"/>
  <c r="L1853" i="2"/>
  <c r="C1854" i="2"/>
  <c r="D1854" i="2"/>
  <c r="F1854" i="2"/>
  <c r="G1854" i="2"/>
  <c r="H1854" i="2"/>
  <c r="J1854" i="2"/>
  <c r="K1854" i="2"/>
  <c r="L1854" i="2"/>
  <c r="C1855" i="2"/>
  <c r="D1855" i="2"/>
  <c r="F1855" i="2"/>
  <c r="G1855" i="2"/>
  <c r="H1855" i="2"/>
  <c r="J1855" i="2"/>
  <c r="K1855" i="2"/>
  <c r="L1855" i="2"/>
  <c r="C1856" i="2"/>
  <c r="D1856" i="2"/>
  <c r="F1856" i="2"/>
  <c r="G1856" i="2"/>
  <c r="H1856" i="2"/>
  <c r="J1856" i="2"/>
  <c r="K1856" i="2"/>
  <c r="L1856" i="2"/>
  <c r="C1857" i="2"/>
  <c r="D1857" i="2"/>
  <c r="F1857" i="2"/>
  <c r="G1857" i="2"/>
  <c r="H1857" i="2"/>
  <c r="J1857" i="2"/>
  <c r="K1857" i="2"/>
  <c r="L1857" i="2"/>
  <c r="C1858" i="2"/>
  <c r="D1858" i="2"/>
  <c r="F1858" i="2"/>
  <c r="G1858" i="2"/>
  <c r="H1858" i="2"/>
  <c r="J1858" i="2"/>
  <c r="K1858" i="2"/>
  <c r="L1858" i="2"/>
  <c r="C1859" i="2"/>
  <c r="D1859" i="2"/>
  <c r="F1859" i="2"/>
  <c r="G1859" i="2"/>
  <c r="H1859" i="2"/>
  <c r="J1859" i="2"/>
  <c r="K1859" i="2"/>
  <c r="L1859" i="2"/>
  <c r="C1860" i="2"/>
  <c r="D1860" i="2"/>
  <c r="F1860" i="2"/>
  <c r="G1860" i="2"/>
  <c r="H1860" i="2"/>
  <c r="J1860" i="2"/>
  <c r="K1860" i="2"/>
  <c r="L1860" i="2"/>
  <c r="C1861" i="2"/>
  <c r="D1861" i="2"/>
  <c r="F1861" i="2"/>
  <c r="G1861" i="2"/>
  <c r="H1861" i="2"/>
  <c r="J1861" i="2"/>
  <c r="K1861" i="2"/>
  <c r="L1861" i="2"/>
  <c r="C1862" i="2"/>
  <c r="D1862" i="2"/>
  <c r="F1862" i="2"/>
  <c r="G1862" i="2"/>
  <c r="H1862" i="2"/>
  <c r="J1862" i="2"/>
  <c r="K1862" i="2"/>
  <c r="L1862" i="2"/>
  <c r="C1863" i="2"/>
  <c r="D1863" i="2"/>
  <c r="F1863" i="2"/>
  <c r="G1863" i="2"/>
  <c r="H1863" i="2"/>
  <c r="J1863" i="2"/>
  <c r="K1863" i="2"/>
  <c r="L1863" i="2"/>
  <c r="C1864" i="2"/>
  <c r="D1864" i="2"/>
  <c r="F1864" i="2"/>
  <c r="G1864" i="2"/>
  <c r="H1864" i="2"/>
  <c r="J1864" i="2"/>
  <c r="K1864" i="2"/>
  <c r="L1864" i="2"/>
  <c r="C1865" i="2"/>
  <c r="D1865" i="2"/>
  <c r="F1865" i="2"/>
  <c r="G1865" i="2"/>
  <c r="H1865" i="2"/>
  <c r="J1865" i="2"/>
  <c r="K1865" i="2"/>
  <c r="L1865" i="2"/>
  <c r="C1866" i="2"/>
  <c r="D1866" i="2"/>
  <c r="F1866" i="2"/>
  <c r="G1866" i="2"/>
  <c r="H1866" i="2"/>
  <c r="J1866" i="2"/>
  <c r="K1866" i="2"/>
  <c r="L1866" i="2"/>
  <c r="C1867" i="2"/>
  <c r="D1867" i="2"/>
  <c r="F1867" i="2"/>
  <c r="G1867" i="2"/>
  <c r="H1867" i="2"/>
  <c r="J1867" i="2"/>
  <c r="K1867" i="2"/>
  <c r="L1867" i="2"/>
  <c r="C1868" i="2"/>
  <c r="D1868" i="2"/>
  <c r="F1868" i="2"/>
  <c r="G1868" i="2"/>
  <c r="H1868" i="2"/>
  <c r="J1868" i="2"/>
  <c r="K1868" i="2"/>
  <c r="L1868" i="2"/>
  <c r="C1869" i="2"/>
  <c r="D1869" i="2"/>
  <c r="F1869" i="2"/>
  <c r="G1869" i="2"/>
  <c r="H1869" i="2"/>
  <c r="J1869" i="2"/>
  <c r="K1869" i="2"/>
  <c r="L1869" i="2"/>
  <c r="C1870" i="2"/>
  <c r="D1870" i="2"/>
  <c r="F1870" i="2"/>
  <c r="G1870" i="2"/>
  <c r="H1870" i="2"/>
  <c r="J1870" i="2"/>
  <c r="K1870" i="2"/>
  <c r="L1870" i="2"/>
  <c r="C1871" i="2"/>
  <c r="D1871" i="2"/>
  <c r="F1871" i="2"/>
  <c r="G1871" i="2"/>
  <c r="H1871" i="2"/>
  <c r="J1871" i="2"/>
  <c r="K1871" i="2"/>
  <c r="L1871" i="2"/>
  <c r="C1872" i="2"/>
  <c r="D1872" i="2"/>
  <c r="F1872" i="2"/>
  <c r="G1872" i="2"/>
  <c r="H1872" i="2"/>
  <c r="J1872" i="2"/>
  <c r="K1872" i="2"/>
  <c r="L1872" i="2"/>
  <c r="C1873" i="2"/>
  <c r="D1873" i="2"/>
  <c r="F1873" i="2"/>
  <c r="G1873" i="2"/>
  <c r="H1873" i="2"/>
  <c r="J1873" i="2"/>
  <c r="K1873" i="2"/>
  <c r="L1873" i="2"/>
  <c r="C1874" i="2"/>
  <c r="D1874" i="2"/>
  <c r="F1874" i="2"/>
  <c r="G1874" i="2"/>
  <c r="H1874" i="2"/>
  <c r="J1874" i="2"/>
  <c r="K1874" i="2"/>
  <c r="L1874" i="2"/>
  <c r="C1875" i="2"/>
  <c r="D1875" i="2"/>
  <c r="F1875" i="2"/>
  <c r="G1875" i="2"/>
  <c r="H1875" i="2"/>
  <c r="J1875" i="2"/>
  <c r="K1875" i="2"/>
  <c r="L1875" i="2"/>
  <c r="C1876" i="2"/>
  <c r="D1876" i="2"/>
  <c r="F1876" i="2"/>
  <c r="G1876" i="2"/>
  <c r="H1876" i="2"/>
  <c r="J1876" i="2"/>
  <c r="K1876" i="2"/>
  <c r="L1876" i="2"/>
  <c r="C1877" i="2"/>
  <c r="D1877" i="2"/>
  <c r="F1877" i="2"/>
  <c r="G1877" i="2"/>
  <c r="H1877" i="2"/>
  <c r="J1877" i="2"/>
  <c r="K1877" i="2"/>
  <c r="L1877" i="2"/>
  <c r="C1878" i="2"/>
  <c r="D1878" i="2"/>
  <c r="F1878" i="2"/>
  <c r="G1878" i="2"/>
  <c r="H1878" i="2"/>
  <c r="J1878" i="2"/>
  <c r="K1878" i="2"/>
  <c r="L1878" i="2"/>
  <c r="C1879" i="2"/>
  <c r="D1879" i="2"/>
  <c r="F1879" i="2"/>
  <c r="G1879" i="2"/>
  <c r="H1879" i="2"/>
  <c r="J1879" i="2"/>
  <c r="K1879" i="2"/>
  <c r="L1879" i="2"/>
  <c r="C1880" i="2"/>
  <c r="D1880" i="2"/>
  <c r="F1880" i="2"/>
  <c r="G1880" i="2"/>
  <c r="H1880" i="2"/>
  <c r="J1880" i="2"/>
  <c r="K1880" i="2"/>
  <c r="L1880" i="2"/>
  <c r="C1881" i="2"/>
  <c r="D1881" i="2"/>
  <c r="F1881" i="2"/>
  <c r="G1881" i="2"/>
  <c r="H1881" i="2"/>
  <c r="J1881" i="2"/>
  <c r="K1881" i="2"/>
  <c r="L1881" i="2"/>
  <c r="C1882" i="2"/>
  <c r="D1882" i="2"/>
  <c r="F1882" i="2"/>
  <c r="G1882" i="2"/>
  <c r="H1882" i="2"/>
  <c r="J1882" i="2"/>
  <c r="K1882" i="2"/>
  <c r="L1882" i="2"/>
  <c r="C1883" i="2"/>
  <c r="D1883" i="2"/>
  <c r="F1883" i="2"/>
  <c r="G1883" i="2"/>
  <c r="H1883" i="2"/>
  <c r="J1883" i="2"/>
  <c r="K1883" i="2"/>
  <c r="L1883" i="2"/>
  <c r="C1884" i="2"/>
  <c r="D1884" i="2"/>
  <c r="F1884" i="2"/>
  <c r="G1884" i="2"/>
  <c r="H1884" i="2"/>
  <c r="J1884" i="2"/>
  <c r="K1884" i="2"/>
  <c r="L1884" i="2"/>
  <c r="C1885" i="2"/>
  <c r="D1885" i="2"/>
  <c r="F1885" i="2"/>
  <c r="G1885" i="2"/>
  <c r="H1885" i="2"/>
  <c r="J1885" i="2"/>
  <c r="K1885" i="2"/>
  <c r="L1885" i="2"/>
  <c r="C1886" i="2"/>
  <c r="D1886" i="2"/>
  <c r="F1886" i="2"/>
  <c r="G1886" i="2"/>
  <c r="H1886" i="2"/>
  <c r="J1886" i="2"/>
  <c r="K1886" i="2"/>
  <c r="L1886" i="2"/>
  <c r="C1887" i="2"/>
  <c r="D1887" i="2"/>
  <c r="F1887" i="2"/>
  <c r="G1887" i="2"/>
  <c r="H1887" i="2"/>
  <c r="J1887" i="2"/>
  <c r="K1887" i="2"/>
  <c r="L1887" i="2"/>
  <c r="C1888" i="2"/>
  <c r="D1888" i="2"/>
  <c r="F1888" i="2"/>
  <c r="G1888" i="2"/>
  <c r="H1888" i="2"/>
  <c r="J1888" i="2"/>
  <c r="K1888" i="2"/>
  <c r="L1888" i="2"/>
  <c r="C1889" i="2"/>
  <c r="D1889" i="2"/>
  <c r="F1889" i="2"/>
  <c r="G1889" i="2"/>
  <c r="H1889" i="2"/>
  <c r="J1889" i="2"/>
  <c r="K1889" i="2"/>
  <c r="L1889" i="2"/>
  <c r="C1890" i="2"/>
  <c r="D1890" i="2"/>
  <c r="F1890" i="2"/>
  <c r="G1890" i="2"/>
  <c r="H1890" i="2"/>
  <c r="J1890" i="2"/>
  <c r="K1890" i="2"/>
  <c r="L1890" i="2"/>
  <c r="C1891" i="2"/>
  <c r="D1891" i="2"/>
  <c r="F1891" i="2"/>
  <c r="G1891" i="2"/>
  <c r="H1891" i="2"/>
  <c r="J1891" i="2"/>
  <c r="K1891" i="2"/>
  <c r="L1891" i="2"/>
  <c r="C1892" i="2"/>
  <c r="D1892" i="2"/>
  <c r="F1892" i="2"/>
  <c r="G1892" i="2"/>
  <c r="H1892" i="2"/>
  <c r="J1892" i="2"/>
  <c r="K1892" i="2"/>
  <c r="L1892" i="2"/>
  <c r="C1893" i="2"/>
  <c r="D1893" i="2"/>
  <c r="F1893" i="2"/>
  <c r="G1893" i="2"/>
  <c r="H1893" i="2"/>
  <c r="J1893" i="2"/>
  <c r="K1893" i="2"/>
  <c r="L1893" i="2"/>
  <c r="C1894" i="2"/>
  <c r="D1894" i="2"/>
  <c r="F1894" i="2"/>
  <c r="G1894" i="2"/>
  <c r="H1894" i="2"/>
  <c r="J1894" i="2"/>
  <c r="K1894" i="2"/>
  <c r="L1894" i="2"/>
  <c r="C1895" i="2"/>
  <c r="D1895" i="2"/>
  <c r="F1895" i="2"/>
  <c r="G1895" i="2"/>
  <c r="H1895" i="2"/>
  <c r="J1895" i="2"/>
  <c r="K1895" i="2"/>
  <c r="L1895" i="2"/>
  <c r="C1896" i="2"/>
  <c r="D1896" i="2"/>
  <c r="F1896" i="2"/>
  <c r="G1896" i="2"/>
  <c r="H1896" i="2"/>
  <c r="J1896" i="2"/>
  <c r="K1896" i="2"/>
  <c r="L1896" i="2"/>
  <c r="C1897" i="2"/>
  <c r="D1897" i="2"/>
  <c r="F1897" i="2"/>
  <c r="G1897" i="2"/>
  <c r="H1897" i="2"/>
  <c r="J1897" i="2"/>
  <c r="K1897" i="2"/>
  <c r="L1897" i="2"/>
  <c r="C1898" i="2"/>
  <c r="D1898" i="2"/>
  <c r="F1898" i="2"/>
  <c r="G1898" i="2"/>
  <c r="H1898" i="2"/>
  <c r="J1898" i="2"/>
  <c r="K1898" i="2"/>
  <c r="L1898" i="2"/>
  <c r="C1899" i="2"/>
  <c r="D1899" i="2"/>
  <c r="F1899" i="2"/>
  <c r="G1899" i="2"/>
  <c r="H1899" i="2"/>
  <c r="J1899" i="2"/>
  <c r="K1899" i="2"/>
  <c r="L1899" i="2"/>
  <c r="C1900" i="2"/>
  <c r="D1900" i="2"/>
  <c r="F1900" i="2"/>
  <c r="G1900" i="2"/>
  <c r="H1900" i="2"/>
  <c r="J1900" i="2"/>
  <c r="K1900" i="2"/>
  <c r="L1900" i="2"/>
  <c r="C1901" i="2"/>
  <c r="D1901" i="2"/>
  <c r="F1901" i="2"/>
  <c r="G1901" i="2"/>
  <c r="H1901" i="2"/>
  <c r="J1901" i="2"/>
  <c r="K1901" i="2"/>
  <c r="L1901" i="2"/>
  <c r="C1902" i="2"/>
  <c r="D1902" i="2"/>
  <c r="F1902" i="2"/>
  <c r="G1902" i="2"/>
  <c r="H1902" i="2"/>
  <c r="J1902" i="2"/>
  <c r="K1902" i="2"/>
  <c r="L1902" i="2"/>
  <c r="C1903" i="2"/>
  <c r="D1903" i="2"/>
  <c r="F1903" i="2"/>
  <c r="G1903" i="2"/>
  <c r="H1903" i="2"/>
  <c r="J1903" i="2"/>
  <c r="K1903" i="2"/>
  <c r="L1903" i="2"/>
  <c r="C1904" i="2"/>
  <c r="D1904" i="2"/>
  <c r="F1904" i="2"/>
  <c r="G1904" i="2"/>
  <c r="H1904" i="2"/>
  <c r="J1904" i="2"/>
  <c r="K1904" i="2"/>
  <c r="L1904" i="2"/>
  <c r="C1905" i="2"/>
  <c r="D1905" i="2"/>
  <c r="F1905" i="2"/>
  <c r="G1905" i="2"/>
  <c r="H1905" i="2"/>
  <c r="J1905" i="2"/>
  <c r="K1905" i="2"/>
  <c r="L1905" i="2"/>
  <c r="C1906" i="2"/>
  <c r="D1906" i="2"/>
  <c r="F1906" i="2"/>
  <c r="G1906" i="2"/>
  <c r="H1906" i="2"/>
  <c r="J1906" i="2"/>
  <c r="K1906" i="2"/>
  <c r="L1906" i="2"/>
  <c r="C1907" i="2"/>
  <c r="D1907" i="2"/>
  <c r="F1907" i="2"/>
  <c r="G1907" i="2"/>
  <c r="H1907" i="2"/>
  <c r="J1907" i="2"/>
  <c r="K1907" i="2"/>
  <c r="L1907" i="2"/>
  <c r="C1908" i="2"/>
  <c r="D1908" i="2"/>
  <c r="F1908" i="2"/>
  <c r="G1908" i="2"/>
  <c r="H1908" i="2"/>
  <c r="J1908" i="2"/>
  <c r="K1908" i="2"/>
  <c r="L1908" i="2"/>
  <c r="C1909" i="2"/>
  <c r="D1909" i="2"/>
  <c r="F1909" i="2"/>
  <c r="G1909" i="2"/>
  <c r="H1909" i="2"/>
  <c r="J1909" i="2"/>
  <c r="K1909" i="2"/>
  <c r="L1909" i="2"/>
  <c r="C1910" i="2"/>
  <c r="D1910" i="2"/>
  <c r="F1910" i="2"/>
  <c r="G1910" i="2"/>
  <c r="H1910" i="2"/>
  <c r="J1910" i="2"/>
  <c r="K1910" i="2"/>
  <c r="L1910" i="2"/>
  <c r="C1911" i="2"/>
  <c r="D1911" i="2"/>
  <c r="F1911" i="2"/>
  <c r="G1911" i="2"/>
  <c r="H1911" i="2"/>
  <c r="J1911" i="2"/>
  <c r="K1911" i="2"/>
  <c r="L1911" i="2"/>
  <c r="C1912" i="2"/>
  <c r="D1912" i="2"/>
  <c r="F1912" i="2"/>
  <c r="G1912" i="2"/>
  <c r="H1912" i="2"/>
  <c r="J1912" i="2"/>
  <c r="K1912" i="2"/>
  <c r="L1912" i="2"/>
  <c r="C1913" i="2"/>
  <c r="D1913" i="2"/>
  <c r="F1913" i="2"/>
  <c r="G1913" i="2"/>
  <c r="H1913" i="2"/>
  <c r="J1913" i="2"/>
  <c r="K1913" i="2"/>
  <c r="L1913" i="2"/>
  <c r="C1914" i="2"/>
  <c r="D1914" i="2"/>
  <c r="F1914" i="2"/>
  <c r="G1914" i="2"/>
  <c r="H1914" i="2"/>
  <c r="J1914" i="2"/>
  <c r="K1914" i="2"/>
  <c r="L1914" i="2"/>
  <c r="C1915" i="2"/>
  <c r="D1915" i="2"/>
  <c r="F1915" i="2"/>
  <c r="G1915" i="2"/>
  <c r="H1915" i="2"/>
  <c r="J1915" i="2"/>
  <c r="K1915" i="2"/>
  <c r="L1915" i="2"/>
  <c r="C1916" i="2"/>
  <c r="D1916" i="2"/>
  <c r="F1916" i="2"/>
  <c r="G1916" i="2"/>
  <c r="H1916" i="2"/>
  <c r="J1916" i="2"/>
  <c r="K1916" i="2"/>
  <c r="L1916" i="2"/>
  <c r="C1917" i="2"/>
  <c r="D1917" i="2"/>
  <c r="F1917" i="2"/>
  <c r="G1917" i="2"/>
  <c r="H1917" i="2"/>
  <c r="J1917" i="2"/>
  <c r="K1917" i="2"/>
  <c r="L1917" i="2"/>
  <c r="C1918" i="2"/>
  <c r="D1918" i="2"/>
  <c r="F1918" i="2"/>
  <c r="G1918" i="2"/>
  <c r="H1918" i="2"/>
  <c r="J1918" i="2"/>
  <c r="K1918" i="2"/>
  <c r="L1918" i="2"/>
  <c r="C1919" i="2"/>
  <c r="D1919" i="2"/>
  <c r="F1919" i="2"/>
  <c r="G1919" i="2"/>
  <c r="H1919" i="2"/>
  <c r="J1919" i="2"/>
  <c r="K1919" i="2"/>
  <c r="L1919" i="2"/>
  <c r="C1920" i="2"/>
  <c r="D1920" i="2"/>
  <c r="F1920" i="2"/>
  <c r="G1920" i="2"/>
  <c r="H1920" i="2"/>
  <c r="J1920" i="2"/>
  <c r="K1920" i="2"/>
  <c r="L1920" i="2"/>
  <c r="C1921" i="2"/>
  <c r="D1921" i="2"/>
  <c r="F1921" i="2"/>
  <c r="G1921" i="2"/>
  <c r="H1921" i="2"/>
  <c r="J1921" i="2"/>
  <c r="K1921" i="2"/>
  <c r="L1921" i="2"/>
  <c r="C1922" i="2"/>
  <c r="D1922" i="2"/>
  <c r="F1922" i="2"/>
  <c r="G1922" i="2"/>
  <c r="H1922" i="2"/>
  <c r="J1922" i="2"/>
  <c r="K1922" i="2"/>
  <c r="L1922" i="2"/>
  <c r="C1923" i="2"/>
  <c r="D1923" i="2"/>
  <c r="F1923" i="2"/>
  <c r="G1923" i="2"/>
  <c r="H1923" i="2"/>
  <c r="J1923" i="2"/>
  <c r="K1923" i="2"/>
  <c r="L1923" i="2"/>
  <c r="C1924" i="2"/>
  <c r="D1924" i="2"/>
  <c r="F1924" i="2"/>
  <c r="G1924" i="2"/>
  <c r="H1924" i="2"/>
  <c r="J1924" i="2"/>
  <c r="K1924" i="2"/>
  <c r="L1924" i="2"/>
  <c r="C1925" i="2"/>
  <c r="D1925" i="2"/>
  <c r="F1925" i="2"/>
  <c r="G1925" i="2"/>
  <c r="H1925" i="2"/>
  <c r="J1925" i="2"/>
  <c r="K1925" i="2"/>
  <c r="L1925" i="2"/>
  <c r="C1926" i="2"/>
  <c r="D1926" i="2"/>
  <c r="F1926" i="2"/>
  <c r="G1926" i="2"/>
  <c r="H1926" i="2"/>
  <c r="J1926" i="2"/>
  <c r="K1926" i="2"/>
  <c r="L1926" i="2"/>
  <c r="C1927" i="2"/>
  <c r="D1927" i="2"/>
  <c r="F1927" i="2"/>
  <c r="G1927" i="2"/>
  <c r="H1927" i="2"/>
  <c r="J1927" i="2"/>
  <c r="K1927" i="2"/>
  <c r="L1927" i="2"/>
  <c r="C1928" i="2"/>
  <c r="D1928" i="2"/>
  <c r="F1928" i="2"/>
  <c r="G1928" i="2"/>
  <c r="H1928" i="2"/>
  <c r="J1928" i="2"/>
  <c r="K1928" i="2"/>
  <c r="L1928" i="2"/>
  <c r="C1929" i="2"/>
  <c r="D1929" i="2"/>
  <c r="F1929" i="2"/>
  <c r="G1929" i="2"/>
  <c r="H1929" i="2"/>
  <c r="J1929" i="2"/>
  <c r="K1929" i="2"/>
  <c r="L1929" i="2"/>
  <c r="C1930" i="2"/>
  <c r="D1930" i="2"/>
  <c r="F1930" i="2"/>
  <c r="G1930" i="2"/>
  <c r="H1930" i="2"/>
  <c r="J1930" i="2"/>
  <c r="K1930" i="2"/>
  <c r="L1930" i="2"/>
  <c r="C1931" i="2"/>
  <c r="D1931" i="2"/>
  <c r="F1931" i="2"/>
  <c r="G1931" i="2"/>
  <c r="H1931" i="2"/>
  <c r="J1931" i="2"/>
  <c r="K1931" i="2"/>
  <c r="L1931" i="2"/>
  <c r="C1932" i="2"/>
  <c r="D1932" i="2"/>
  <c r="F1932" i="2"/>
  <c r="G1932" i="2"/>
  <c r="H1932" i="2"/>
  <c r="J1932" i="2"/>
  <c r="K1932" i="2"/>
  <c r="L1932" i="2"/>
  <c r="C1933" i="2"/>
  <c r="D1933" i="2"/>
  <c r="F1933" i="2"/>
  <c r="G1933" i="2"/>
  <c r="H1933" i="2"/>
  <c r="J1933" i="2"/>
  <c r="K1933" i="2"/>
  <c r="L1933" i="2"/>
  <c r="C1934" i="2"/>
  <c r="D1934" i="2"/>
  <c r="F1934" i="2"/>
  <c r="G1934" i="2"/>
  <c r="H1934" i="2"/>
  <c r="J1934" i="2"/>
  <c r="K1934" i="2"/>
  <c r="L1934" i="2"/>
  <c r="C1935" i="2"/>
  <c r="D1935" i="2"/>
  <c r="F1935" i="2"/>
  <c r="G1935" i="2"/>
  <c r="H1935" i="2"/>
  <c r="J1935" i="2"/>
  <c r="K1935" i="2"/>
  <c r="L1935" i="2"/>
  <c r="C1936" i="2"/>
  <c r="D1936" i="2"/>
  <c r="F1936" i="2"/>
  <c r="G1936" i="2"/>
  <c r="H1936" i="2"/>
  <c r="J1936" i="2"/>
  <c r="K1936" i="2"/>
  <c r="L1936" i="2"/>
  <c r="C1937" i="2"/>
  <c r="D1937" i="2"/>
  <c r="F1937" i="2"/>
  <c r="G1937" i="2"/>
  <c r="H1937" i="2"/>
  <c r="J1937" i="2"/>
  <c r="K1937" i="2"/>
  <c r="L1937" i="2"/>
  <c r="C1938" i="2"/>
  <c r="D1938" i="2"/>
  <c r="F1938" i="2"/>
  <c r="G1938" i="2"/>
  <c r="H1938" i="2"/>
  <c r="J1938" i="2"/>
  <c r="K1938" i="2"/>
  <c r="L1938" i="2"/>
  <c r="C1939" i="2"/>
  <c r="D1939" i="2"/>
  <c r="F1939" i="2"/>
  <c r="G1939" i="2"/>
  <c r="H1939" i="2"/>
  <c r="J1939" i="2"/>
  <c r="K1939" i="2"/>
  <c r="L1939" i="2"/>
  <c r="C1940" i="2"/>
  <c r="D1940" i="2"/>
  <c r="F1940" i="2"/>
  <c r="G1940" i="2"/>
  <c r="H1940" i="2"/>
  <c r="J1940" i="2"/>
  <c r="K1940" i="2"/>
  <c r="L1940" i="2"/>
  <c r="C1941" i="2"/>
  <c r="D1941" i="2"/>
  <c r="F1941" i="2"/>
  <c r="G1941" i="2"/>
  <c r="H1941" i="2"/>
  <c r="J1941" i="2"/>
  <c r="K1941" i="2"/>
  <c r="L1941" i="2"/>
  <c r="C1942" i="2"/>
  <c r="D1942" i="2"/>
  <c r="F1942" i="2"/>
  <c r="G1942" i="2"/>
  <c r="H1942" i="2"/>
  <c r="J1942" i="2"/>
  <c r="K1942" i="2"/>
  <c r="L1942" i="2"/>
  <c r="C1943" i="2"/>
  <c r="D1943" i="2"/>
  <c r="F1943" i="2"/>
  <c r="G1943" i="2"/>
  <c r="H1943" i="2"/>
  <c r="J1943" i="2"/>
  <c r="K1943" i="2"/>
  <c r="L1943" i="2"/>
  <c r="C1944" i="2"/>
  <c r="D1944" i="2"/>
  <c r="F1944" i="2"/>
  <c r="G1944" i="2"/>
  <c r="H1944" i="2"/>
  <c r="J1944" i="2"/>
  <c r="K1944" i="2"/>
  <c r="L1944" i="2"/>
  <c r="C1945" i="2"/>
  <c r="D1945" i="2"/>
  <c r="F1945" i="2"/>
  <c r="G1945" i="2"/>
  <c r="H1945" i="2"/>
  <c r="J1945" i="2"/>
  <c r="K1945" i="2"/>
  <c r="L1945" i="2"/>
  <c r="C1946" i="2"/>
  <c r="D1946" i="2"/>
  <c r="F1946" i="2"/>
  <c r="G1946" i="2"/>
  <c r="H1946" i="2"/>
  <c r="J1946" i="2"/>
  <c r="K1946" i="2"/>
  <c r="L1946" i="2"/>
  <c r="C1947" i="2"/>
  <c r="D1947" i="2"/>
  <c r="F1947" i="2"/>
  <c r="G1947" i="2"/>
  <c r="H1947" i="2"/>
  <c r="J1947" i="2"/>
  <c r="K1947" i="2"/>
  <c r="L1947" i="2"/>
  <c r="C1948" i="2"/>
  <c r="D1948" i="2"/>
  <c r="F1948" i="2"/>
  <c r="G1948" i="2"/>
  <c r="H1948" i="2"/>
  <c r="J1948" i="2"/>
  <c r="K1948" i="2"/>
  <c r="L1948" i="2"/>
  <c r="C1949" i="2"/>
  <c r="D1949" i="2"/>
  <c r="F1949" i="2"/>
  <c r="G1949" i="2"/>
  <c r="H1949" i="2"/>
  <c r="J1949" i="2"/>
  <c r="K1949" i="2"/>
  <c r="L1949" i="2"/>
  <c r="C1950" i="2"/>
  <c r="D1950" i="2"/>
  <c r="F1950" i="2"/>
  <c r="G1950" i="2"/>
  <c r="H1950" i="2"/>
  <c r="J1950" i="2"/>
  <c r="K1950" i="2"/>
  <c r="L1950" i="2"/>
  <c r="C1951" i="2"/>
  <c r="D1951" i="2"/>
  <c r="F1951" i="2"/>
  <c r="G1951" i="2"/>
  <c r="H1951" i="2"/>
  <c r="J1951" i="2"/>
  <c r="K1951" i="2"/>
  <c r="L1951" i="2"/>
  <c r="C1952" i="2"/>
  <c r="D1952" i="2"/>
  <c r="F1952" i="2"/>
  <c r="G1952" i="2"/>
  <c r="H1952" i="2"/>
  <c r="J1952" i="2"/>
  <c r="K1952" i="2"/>
  <c r="L1952" i="2"/>
  <c r="C1953" i="2"/>
  <c r="D1953" i="2"/>
  <c r="F1953" i="2"/>
  <c r="G1953" i="2"/>
  <c r="H1953" i="2"/>
  <c r="J1953" i="2"/>
  <c r="K1953" i="2"/>
  <c r="L1953" i="2"/>
  <c r="C1954" i="2"/>
  <c r="D1954" i="2"/>
  <c r="F1954" i="2"/>
  <c r="G1954" i="2"/>
  <c r="H1954" i="2"/>
  <c r="J1954" i="2"/>
  <c r="K1954" i="2"/>
  <c r="L1954" i="2"/>
  <c r="C1955" i="2"/>
  <c r="D1955" i="2"/>
  <c r="F1955" i="2"/>
  <c r="G1955" i="2"/>
  <c r="H1955" i="2"/>
  <c r="J1955" i="2"/>
  <c r="K1955" i="2"/>
  <c r="L1955" i="2"/>
  <c r="C1956" i="2"/>
  <c r="D1956" i="2"/>
  <c r="F1956" i="2"/>
  <c r="G1956" i="2"/>
  <c r="H1956" i="2"/>
  <c r="J1956" i="2"/>
  <c r="K1956" i="2"/>
  <c r="L1956" i="2"/>
  <c r="C1957" i="2"/>
  <c r="D1957" i="2"/>
  <c r="F1957" i="2"/>
  <c r="G1957" i="2"/>
  <c r="H1957" i="2"/>
  <c r="J1957" i="2"/>
  <c r="K1957" i="2"/>
  <c r="L1957" i="2"/>
  <c r="C1958" i="2"/>
  <c r="D1958" i="2"/>
  <c r="F1958" i="2"/>
  <c r="G1958" i="2"/>
  <c r="H1958" i="2"/>
  <c r="J1958" i="2"/>
  <c r="K1958" i="2"/>
  <c r="L1958" i="2"/>
  <c r="C1959" i="2"/>
  <c r="D1959" i="2"/>
  <c r="F1959" i="2"/>
  <c r="G1959" i="2"/>
  <c r="H1959" i="2"/>
  <c r="J1959" i="2"/>
  <c r="K1959" i="2"/>
  <c r="L1959" i="2"/>
  <c r="C1960" i="2"/>
  <c r="D1960" i="2"/>
  <c r="F1960" i="2"/>
  <c r="G1960" i="2"/>
  <c r="H1960" i="2"/>
  <c r="J1960" i="2"/>
  <c r="K1960" i="2"/>
  <c r="L1960" i="2"/>
  <c r="C1961" i="2"/>
  <c r="D1961" i="2"/>
  <c r="F1961" i="2"/>
  <c r="G1961" i="2"/>
  <c r="H1961" i="2"/>
  <c r="J1961" i="2"/>
  <c r="K1961" i="2"/>
  <c r="L1961" i="2"/>
  <c r="C1962" i="2"/>
  <c r="D1962" i="2"/>
  <c r="F1962" i="2"/>
  <c r="G1962" i="2"/>
  <c r="H1962" i="2"/>
  <c r="J1962" i="2"/>
  <c r="K1962" i="2"/>
  <c r="L1962" i="2"/>
  <c r="C1963" i="2"/>
  <c r="D1963" i="2"/>
  <c r="F1963" i="2"/>
  <c r="G1963" i="2"/>
  <c r="H1963" i="2"/>
  <c r="J1963" i="2"/>
  <c r="K1963" i="2"/>
  <c r="L1963" i="2"/>
  <c r="C1964" i="2"/>
  <c r="D1964" i="2"/>
  <c r="F1964" i="2"/>
  <c r="G1964" i="2"/>
  <c r="H1964" i="2"/>
  <c r="J1964" i="2"/>
  <c r="K1964" i="2"/>
  <c r="L1964" i="2"/>
  <c r="C1965" i="2"/>
  <c r="D1965" i="2"/>
  <c r="F1965" i="2"/>
  <c r="G1965" i="2"/>
  <c r="H1965" i="2"/>
  <c r="J1965" i="2"/>
  <c r="K1965" i="2"/>
  <c r="L1965" i="2"/>
  <c r="C1966" i="2"/>
  <c r="D1966" i="2"/>
  <c r="F1966" i="2"/>
  <c r="G1966" i="2"/>
  <c r="H1966" i="2"/>
  <c r="J1966" i="2"/>
  <c r="K1966" i="2"/>
  <c r="L1966" i="2"/>
  <c r="C1967" i="2"/>
  <c r="D1967" i="2"/>
  <c r="F1967" i="2"/>
  <c r="G1967" i="2"/>
  <c r="H1967" i="2"/>
  <c r="J1967" i="2"/>
  <c r="K1967" i="2"/>
  <c r="L1967" i="2"/>
  <c r="C1968" i="2"/>
  <c r="D1968" i="2"/>
  <c r="F1968" i="2"/>
  <c r="G1968" i="2"/>
  <c r="H1968" i="2"/>
  <c r="J1968" i="2"/>
  <c r="K1968" i="2"/>
  <c r="L1968" i="2"/>
  <c r="C1969" i="2"/>
  <c r="D1969" i="2"/>
  <c r="F1969" i="2"/>
  <c r="G1969" i="2"/>
  <c r="H1969" i="2"/>
  <c r="J1969" i="2"/>
  <c r="K1969" i="2"/>
  <c r="L1969" i="2"/>
  <c r="C1970" i="2"/>
  <c r="D1970" i="2"/>
  <c r="F1970" i="2"/>
  <c r="G1970" i="2"/>
  <c r="H1970" i="2"/>
  <c r="J1970" i="2"/>
  <c r="K1970" i="2"/>
  <c r="L1970" i="2"/>
  <c r="C1971" i="2"/>
  <c r="D1971" i="2"/>
  <c r="F1971" i="2"/>
  <c r="G1971" i="2"/>
  <c r="H1971" i="2"/>
  <c r="J1971" i="2"/>
  <c r="K1971" i="2"/>
  <c r="L1971" i="2"/>
  <c r="C1972" i="2"/>
  <c r="D1972" i="2"/>
  <c r="F1972" i="2"/>
  <c r="G1972" i="2"/>
  <c r="H1972" i="2"/>
  <c r="J1972" i="2"/>
  <c r="K1972" i="2"/>
  <c r="L1972" i="2"/>
  <c r="C1973" i="2"/>
  <c r="D1973" i="2"/>
  <c r="F1973" i="2"/>
  <c r="G1973" i="2"/>
  <c r="H1973" i="2"/>
  <c r="J1973" i="2"/>
  <c r="K1973" i="2"/>
  <c r="L1973" i="2"/>
  <c r="C1974" i="2"/>
  <c r="D1974" i="2"/>
  <c r="F1974" i="2"/>
  <c r="G1974" i="2"/>
  <c r="H1974" i="2"/>
  <c r="J1974" i="2"/>
  <c r="K1974" i="2"/>
  <c r="L1974" i="2"/>
  <c r="C1975" i="2"/>
  <c r="D1975" i="2"/>
  <c r="F1975" i="2"/>
  <c r="G1975" i="2"/>
  <c r="H1975" i="2"/>
  <c r="J1975" i="2"/>
  <c r="K1975" i="2"/>
  <c r="L1975" i="2"/>
  <c r="C1976" i="2"/>
  <c r="D1976" i="2"/>
  <c r="F1976" i="2"/>
  <c r="G1976" i="2"/>
  <c r="H1976" i="2"/>
  <c r="J1976" i="2"/>
  <c r="K1976" i="2"/>
  <c r="L1976" i="2"/>
  <c r="C1977" i="2"/>
  <c r="D1977" i="2"/>
  <c r="F1977" i="2"/>
  <c r="G1977" i="2"/>
  <c r="H1977" i="2"/>
  <c r="J1977" i="2"/>
  <c r="K1977" i="2"/>
  <c r="L1977" i="2"/>
  <c r="C1978" i="2"/>
  <c r="D1978" i="2"/>
  <c r="F1978" i="2"/>
  <c r="G1978" i="2"/>
  <c r="H1978" i="2"/>
  <c r="J1978" i="2"/>
  <c r="K1978" i="2"/>
  <c r="L1978" i="2"/>
  <c r="C1979" i="2"/>
  <c r="D1979" i="2"/>
  <c r="F1979" i="2"/>
  <c r="G1979" i="2"/>
  <c r="H1979" i="2"/>
  <c r="J1979" i="2"/>
  <c r="K1979" i="2"/>
  <c r="L1979" i="2"/>
  <c r="C1980" i="2"/>
  <c r="D1980" i="2"/>
  <c r="F1980" i="2"/>
  <c r="G1980" i="2"/>
  <c r="H1980" i="2"/>
  <c r="J1980" i="2"/>
  <c r="K1980" i="2"/>
  <c r="L1980" i="2"/>
  <c r="C1981" i="2"/>
  <c r="D1981" i="2"/>
  <c r="F1981" i="2"/>
  <c r="G1981" i="2"/>
  <c r="H1981" i="2"/>
  <c r="J1981" i="2"/>
  <c r="K1981" i="2"/>
  <c r="L1981" i="2"/>
  <c r="C1982" i="2"/>
  <c r="D1982" i="2"/>
  <c r="F1982" i="2"/>
  <c r="G1982" i="2"/>
  <c r="H1982" i="2"/>
  <c r="J1982" i="2"/>
  <c r="K1982" i="2"/>
  <c r="L1982" i="2"/>
  <c r="C1983" i="2"/>
  <c r="D1983" i="2"/>
  <c r="F1983" i="2"/>
  <c r="G1983" i="2"/>
  <c r="H1983" i="2"/>
  <c r="J1983" i="2"/>
  <c r="K1983" i="2"/>
  <c r="L1983" i="2"/>
  <c r="C1984" i="2"/>
  <c r="D1984" i="2"/>
  <c r="F1984" i="2"/>
  <c r="G1984" i="2"/>
  <c r="H1984" i="2"/>
  <c r="J1984" i="2"/>
  <c r="K1984" i="2"/>
  <c r="L1984" i="2"/>
  <c r="C1985" i="2"/>
  <c r="D1985" i="2"/>
  <c r="F1985" i="2"/>
  <c r="G1985" i="2"/>
  <c r="H1985" i="2"/>
  <c r="J1985" i="2"/>
  <c r="K1985" i="2"/>
  <c r="L1985" i="2"/>
  <c r="C1986" i="2"/>
  <c r="D1986" i="2"/>
  <c r="F1986" i="2"/>
  <c r="G1986" i="2"/>
  <c r="H1986" i="2"/>
  <c r="J1986" i="2"/>
  <c r="K1986" i="2"/>
  <c r="L1986" i="2"/>
  <c r="C1987" i="2"/>
  <c r="D1987" i="2"/>
  <c r="F1987" i="2"/>
  <c r="G1987" i="2"/>
  <c r="H1987" i="2"/>
  <c r="J1987" i="2"/>
  <c r="K1987" i="2"/>
  <c r="L1987" i="2"/>
  <c r="C1988" i="2"/>
  <c r="D1988" i="2"/>
  <c r="F1988" i="2"/>
  <c r="G1988" i="2"/>
  <c r="H1988" i="2"/>
  <c r="J1988" i="2"/>
  <c r="K1988" i="2"/>
  <c r="L1988" i="2"/>
  <c r="C1989" i="2"/>
  <c r="D1989" i="2"/>
  <c r="F1989" i="2"/>
  <c r="G1989" i="2"/>
  <c r="H1989" i="2"/>
  <c r="J1989" i="2"/>
  <c r="K1989" i="2"/>
  <c r="L1989" i="2"/>
  <c r="C1990" i="2"/>
  <c r="D1990" i="2"/>
  <c r="F1990" i="2"/>
  <c r="G1990" i="2"/>
  <c r="H1990" i="2"/>
  <c r="J1990" i="2"/>
  <c r="K1990" i="2"/>
  <c r="L1990" i="2"/>
  <c r="C1991" i="2"/>
  <c r="D1991" i="2"/>
  <c r="F1991" i="2"/>
  <c r="G1991" i="2"/>
  <c r="H1991" i="2"/>
  <c r="J1991" i="2"/>
  <c r="K1991" i="2"/>
  <c r="L1991" i="2"/>
  <c r="C1992" i="2"/>
  <c r="D1992" i="2"/>
  <c r="F1992" i="2"/>
  <c r="G1992" i="2"/>
  <c r="H1992" i="2"/>
  <c r="J1992" i="2"/>
  <c r="K1992" i="2"/>
  <c r="L1992" i="2"/>
  <c r="C1993" i="2"/>
  <c r="D1993" i="2"/>
  <c r="F1993" i="2"/>
  <c r="G1993" i="2"/>
  <c r="H1993" i="2"/>
  <c r="J1993" i="2"/>
  <c r="K1993" i="2"/>
  <c r="L1993" i="2"/>
  <c r="C1994" i="2"/>
  <c r="D1994" i="2"/>
  <c r="F1994" i="2"/>
  <c r="G1994" i="2"/>
  <c r="H1994" i="2"/>
  <c r="J1994" i="2"/>
  <c r="K1994" i="2"/>
  <c r="L1994" i="2"/>
  <c r="C1995" i="2"/>
  <c r="D1995" i="2"/>
  <c r="F1995" i="2"/>
  <c r="G1995" i="2"/>
  <c r="H1995" i="2"/>
  <c r="J1995" i="2"/>
  <c r="K1995" i="2"/>
  <c r="L1995" i="2"/>
  <c r="C1996" i="2"/>
  <c r="D1996" i="2"/>
  <c r="F1996" i="2"/>
  <c r="G1996" i="2"/>
  <c r="H1996" i="2"/>
  <c r="J1996" i="2"/>
  <c r="K1996" i="2"/>
  <c r="L1996" i="2"/>
  <c r="C1997" i="2"/>
  <c r="D1997" i="2"/>
  <c r="F1997" i="2"/>
  <c r="G1997" i="2"/>
  <c r="H1997" i="2"/>
  <c r="J1997" i="2"/>
  <c r="K1997" i="2"/>
  <c r="L1997" i="2"/>
  <c r="C1998" i="2"/>
  <c r="D1998" i="2"/>
  <c r="F1998" i="2"/>
  <c r="G1998" i="2"/>
  <c r="H1998" i="2"/>
  <c r="J1998" i="2"/>
  <c r="K1998" i="2"/>
  <c r="L1998" i="2"/>
  <c r="C1999" i="2"/>
  <c r="D1999" i="2"/>
  <c r="F1999" i="2"/>
  <c r="G1999" i="2"/>
  <c r="H1999" i="2"/>
  <c r="J1999" i="2"/>
  <c r="K1999" i="2"/>
  <c r="L1999" i="2"/>
  <c r="C2000" i="2"/>
  <c r="D2000" i="2"/>
  <c r="F2000" i="2"/>
  <c r="G2000" i="2"/>
  <c r="H2000" i="2"/>
  <c r="J2000" i="2"/>
  <c r="K2000" i="2"/>
  <c r="L2000" i="2"/>
  <c r="C2001" i="2"/>
  <c r="D2001" i="2"/>
  <c r="F2001" i="2"/>
  <c r="G2001" i="2"/>
  <c r="H2001" i="2"/>
  <c r="J2001" i="2"/>
  <c r="K2001" i="2"/>
  <c r="L2001" i="2"/>
  <c r="C2002" i="2"/>
  <c r="D2002" i="2"/>
  <c r="F2002" i="2"/>
  <c r="G2002" i="2"/>
  <c r="H2002" i="2"/>
  <c r="J2002" i="2"/>
  <c r="K2002" i="2"/>
  <c r="L2002" i="2"/>
  <c r="C2003" i="2"/>
  <c r="D2003" i="2"/>
  <c r="F2003" i="2"/>
  <c r="G2003" i="2"/>
  <c r="H2003" i="2"/>
  <c r="J2003" i="2"/>
  <c r="K2003" i="2"/>
  <c r="L2003" i="2"/>
  <c r="C2004" i="2"/>
  <c r="D2004" i="2"/>
  <c r="F2004" i="2"/>
  <c r="G2004" i="2"/>
  <c r="H2004" i="2"/>
  <c r="J2004" i="2"/>
  <c r="K2004" i="2"/>
  <c r="L2004" i="2"/>
  <c r="C2005" i="2"/>
  <c r="D2005" i="2"/>
  <c r="F2005" i="2"/>
  <c r="G2005" i="2"/>
  <c r="H2005" i="2"/>
  <c r="J2005" i="2"/>
  <c r="K2005" i="2"/>
  <c r="L2005" i="2"/>
  <c r="C2006" i="2"/>
  <c r="D2006" i="2"/>
  <c r="F2006" i="2"/>
  <c r="G2006" i="2"/>
  <c r="H2006" i="2"/>
  <c r="J2006" i="2"/>
  <c r="K2006" i="2"/>
  <c r="L2006" i="2"/>
  <c r="C2007" i="2"/>
  <c r="D2007" i="2"/>
  <c r="F2007" i="2"/>
  <c r="G2007" i="2"/>
  <c r="H2007" i="2"/>
  <c r="J2007" i="2"/>
  <c r="K2007" i="2"/>
  <c r="L2007" i="2"/>
  <c r="C2008" i="2"/>
  <c r="D2008" i="2"/>
  <c r="F2008" i="2"/>
  <c r="G2008" i="2"/>
  <c r="H2008" i="2"/>
  <c r="J2008" i="2"/>
  <c r="K2008" i="2"/>
  <c r="L2008" i="2"/>
  <c r="C2009" i="2"/>
  <c r="D2009" i="2"/>
  <c r="F2009" i="2"/>
  <c r="G2009" i="2"/>
  <c r="H2009" i="2"/>
  <c r="J2009" i="2"/>
  <c r="K2009" i="2"/>
  <c r="L2009" i="2"/>
  <c r="C2010" i="2"/>
  <c r="D2010" i="2"/>
  <c r="F2010" i="2"/>
  <c r="G2010" i="2"/>
  <c r="H2010" i="2"/>
  <c r="J2010" i="2"/>
  <c r="K2010" i="2"/>
  <c r="L2010" i="2"/>
  <c r="C2011" i="2"/>
  <c r="D2011" i="2"/>
  <c r="F2011" i="2"/>
  <c r="G2011" i="2"/>
  <c r="H2011" i="2"/>
  <c r="J2011" i="2"/>
  <c r="K2011" i="2"/>
  <c r="L2011" i="2"/>
  <c r="C2012" i="2"/>
  <c r="D2012" i="2"/>
  <c r="F2012" i="2"/>
  <c r="G2012" i="2"/>
  <c r="H2012" i="2"/>
  <c r="J2012" i="2"/>
  <c r="K2012" i="2"/>
  <c r="L2012" i="2"/>
  <c r="C2013" i="2"/>
  <c r="D2013" i="2"/>
  <c r="F2013" i="2"/>
  <c r="G2013" i="2"/>
  <c r="H2013" i="2"/>
  <c r="J2013" i="2"/>
  <c r="K2013" i="2"/>
  <c r="L2013" i="2"/>
  <c r="C2014" i="2"/>
  <c r="D2014" i="2"/>
  <c r="F2014" i="2"/>
  <c r="G2014" i="2"/>
  <c r="H2014" i="2"/>
  <c r="J2014" i="2"/>
  <c r="K2014" i="2"/>
  <c r="L2014" i="2"/>
  <c r="C2015" i="2"/>
  <c r="D2015" i="2"/>
  <c r="F2015" i="2"/>
  <c r="G2015" i="2"/>
  <c r="H2015" i="2"/>
  <c r="J2015" i="2"/>
  <c r="K2015" i="2"/>
  <c r="L2015" i="2"/>
  <c r="C2016" i="2"/>
  <c r="D2016" i="2"/>
  <c r="F2016" i="2"/>
  <c r="G2016" i="2"/>
  <c r="H2016" i="2"/>
  <c r="J2016" i="2"/>
  <c r="K2016" i="2"/>
  <c r="L2016" i="2"/>
  <c r="C2017" i="2"/>
  <c r="D2017" i="2"/>
  <c r="F2017" i="2"/>
  <c r="G2017" i="2"/>
  <c r="H2017" i="2"/>
  <c r="J2017" i="2"/>
  <c r="K2017" i="2"/>
  <c r="L2017" i="2"/>
  <c r="C2018" i="2"/>
  <c r="D2018" i="2"/>
  <c r="F2018" i="2"/>
  <c r="G2018" i="2"/>
  <c r="H2018" i="2"/>
  <c r="J2018" i="2"/>
  <c r="K2018" i="2"/>
  <c r="L2018" i="2"/>
  <c r="C2019" i="2"/>
  <c r="D2019" i="2"/>
  <c r="F2019" i="2"/>
  <c r="G2019" i="2"/>
  <c r="H2019" i="2"/>
  <c r="J2019" i="2"/>
  <c r="K2019" i="2"/>
  <c r="L2019" i="2"/>
  <c r="C2020" i="2"/>
  <c r="D2020" i="2"/>
  <c r="F2020" i="2"/>
  <c r="G2020" i="2"/>
  <c r="H2020" i="2"/>
  <c r="J2020" i="2"/>
  <c r="K2020" i="2"/>
  <c r="L2020" i="2"/>
  <c r="C2021" i="2"/>
  <c r="D2021" i="2"/>
  <c r="F2021" i="2"/>
  <c r="G2021" i="2"/>
  <c r="H2021" i="2"/>
  <c r="J2021" i="2"/>
  <c r="K2021" i="2"/>
  <c r="L2021" i="2"/>
  <c r="C2022" i="2"/>
  <c r="D2022" i="2"/>
  <c r="F2022" i="2"/>
  <c r="G2022" i="2"/>
  <c r="H2022" i="2"/>
  <c r="J2022" i="2"/>
  <c r="K2022" i="2"/>
  <c r="L2022" i="2"/>
  <c r="C2023" i="2"/>
  <c r="D2023" i="2"/>
  <c r="F2023" i="2"/>
  <c r="G2023" i="2"/>
  <c r="H2023" i="2"/>
  <c r="J2023" i="2"/>
  <c r="K2023" i="2"/>
  <c r="L2023" i="2"/>
  <c r="C2024" i="2"/>
  <c r="D2024" i="2"/>
  <c r="F2024" i="2"/>
  <c r="G2024" i="2"/>
  <c r="H2024" i="2"/>
  <c r="J2024" i="2"/>
  <c r="K2024" i="2"/>
  <c r="L2024" i="2"/>
  <c r="C2025" i="2"/>
  <c r="D2025" i="2"/>
  <c r="F2025" i="2"/>
  <c r="G2025" i="2"/>
  <c r="H2025" i="2"/>
  <c r="J2025" i="2"/>
  <c r="K2025" i="2"/>
  <c r="L2025" i="2"/>
  <c r="C2026" i="2"/>
  <c r="D2026" i="2"/>
  <c r="F2026" i="2"/>
  <c r="G2026" i="2"/>
  <c r="H2026" i="2"/>
  <c r="J2026" i="2"/>
  <c r="K2026" i="2"/>
  <c r="L2026" i="2"/>
  <c r="C2027" i="2"/>
  <c r="D2027" i="2"/>
  <c r="F2027" i="2"/>
  <c r="G2027" i="2"/>
  <c r="H2027" i="2"/>
  <c r="J2027" i="2"/>
  <c r="K2027" i="2"/>
  <c r="L2027" i="2"/>
  <c r="C2028" i="2"/>
  <c r="D2028" i="2"/>
  <c r="F2028" i="2"/>
  <c r="G2028" i="2"/>
  <c r="H2028" i="2"/>
  <c r="J2028" i="2"/>
  <c r="K2028" i="2"/>
  <c r="L2028" i="2"/>
  <c r="C2029" i="2"/>
  <c r="D2029" i="2"/>
  <c r="F2029" i="2"/>
  <c r="G2029" i="2"/>
  <c r="H2029" i="2"/>
  <c r="J2029" i="2"/>
  <c r="K2029" i="2"/>
  <c r="L2029" i="2"/>
  <c r="C2030" i="2"/>
  <c r="D2030" i="2"/>
  <c r="F2030" i="2"/>
  <c r="G2030" i="2"/>
  <c r="H2030" i="2"/>
  <c r="J2030" i="2"/>
  <c r="K2030" i="2"/>
  <c r="L2030" i="2"/>
  <c r="C2031" i="2"/>
  <c r="D2031" i="2"/>
  <c r="F2031" i="2"/>
  <c r="G2031" i="2"/>
  <c r="H2031" i="2"/>
  <c r="J2031" i="2"/>
  <c r="K2031" i="2"/>
  <c r="L2031" i="2"/>
  <c r="C2032" i="2"/>
  <c r="D2032" i="2"/>
  <c r="F2032" i="2"/>
  <c r="G2032" i="2"/>
  <c r="H2032" i="2"/>
  <c r="J2032" i="2"/>
  <c r="K2032" i="2"/>
  <c r="L2032" i="2"/>
  <c r="C2033" i="2"/>
  <c r="D2033" i="2"/>
  <c r="F2033" i="2"/>
  <c r="G2033" i="2"/>
  <c r="H2033" i="2"/>
  <c r="J2033" i="2"/>
  <c r="K2033" i="2"/>
  <c r="L2033" i="2"/>
  <c r="C2034" i="2"/>
  <c r="D2034" i="2"/>
  <c r="F2034" i="2"/>
  <c r="G2034" i="2"/>
  <c r="H2034" i="2"/>
  <c r="J2034" i="2"/>
  <c r="K2034" i="2"/>
  <c r="L2034" i="2"/>
  <c r="C2035" i="2"/>
  <c r="D2035" i="2"/>
  <c r="F2035" i="2"/>
  <c r="G2035" i="2"/>
  <c r="H2035" i="2"/>
  <c r="J2035" i="2"/>
  <c r="K2035" i="2"/>
  <c r="L2035" i="2"/>
  <c r="C2036" i="2"/>
  <c r="D2036" i="2"/>
  <c r="F2036" i="2"/>
  <c r="G2036" i="2"/>
  <c r="H2036" i="2"/>
  <c r="J2036" i="2"/>
  <c r="K2036" i="2"/>
  <c r="L2036" i="2"/>
  <c r="C2037" i="2"/>
  <c r="D2037" i="2"/>
  <c r="F2037" i="2"/>
  <c r="G2037" i="2"/>
  <c r="H2037" i="2"/>
  <c r="J2037" i="2"/>
  <c r="K2037" i="2"/>
  <c r="L2037" i="2"/>
  <c r="C2038" i="2"/>
  <c r="D2038" i="2"/>
  <c r="F2038" i="2"/>
  <c r="G2038" i="2"/>
  <c r="H2038" i="2"/>
  <c r="J2038" i="2"/>
  <c r="K2038" i="2"/>
  <c r="L2038" i="2"/>
  <c r="C2039" i="2"/>
  <c r="D2039" i="2"/>
  <c r="F2039" i="2"/>
  <c r="G2039" i="2"/>
  <c r="H2039" i="2"/>
  <c r="J2039" i="2"/>
  <c r="K2039" i="2"/>
  <c r="L2039" i="2"/>
  <c r="C2040" i="2"/>
  <c r="D2040" i="2"/>
  <c r="F2040" i="2"/>
  <c r="G2040" i="2"/>
  <c r="H2040" i="2"/>
  <c r="J2040" i="2"/>
  <c r="K2040" i="2"/>
  <c r="L2040" i="2"/>
  <c r="C2041" i="2"/>
  <c r="D2041" i="2"/>
  <c r="F2041" i="2"/>
  <c r="G2041" i="2"/>
  <c r="H2041" i="2"/>
  <c r="J2041" i="2"/>
  <c r="K2041" i="2"/>
  <c r="L2041" i="2"/>
  <c r="C2042" i="2"/>
  <c r="D2042" i="2"/>
  <c r="F2042" i="2"/>
  <c r="G2042" i="2"/>
  <c r="H2042" i="2"/>
  <c r="J2042" i="2"/>
  <c r="K2042" i="2"/>
  <c r="L2042" i="2"/>
  <c r="C2043" i="2"/>
  <c r="D2043" i="2"/>
  <c r="F2043" i="2"/>
  <c r="G2043" i="2"/>
  <c r="H2043" i="2"/>
  <c r="J2043" i="2"/>
  <c r="K2043" i="2"/>
  <c r="L2043" i="2"/>
  <c r="C2044" i="2"/>
  <c r="D2044" i="2"/>
  <c r="F2044" i="2"/>
  <c r="G2044" i="2"/>
  <c r="H2044" i="2"/>
  <c r="J2044" i="2"/>
  <c r="K2044" i="2"/>
  <c r="L2044" i="2"/>
  <c r="C2045" i="2"/>
  <c r="D2045" i="2"/>
  <c r="F2045" i="2"/>
  <c r="G2045" i="2"/>
  <c r="H2045" i="2"/>
  <c r="J2045" i="2"/>
  <c r="K2045" i="2"/>
  <c r="L2045" i="2"/>
  <c r="C2046" i="2"/>
  <c r="D2046" i="2"/>
  <c r="F2046" i="2"/>
  <c r="G2046" i="2"/>
  <c r="H2046" i="2"/>
  <c r="J2046" i="2"/>
  <c r="K2046" i="2"/>
  <c r="L2046" i="2"/>
  <c r="C2047" i="2"/>
  <c r="D2047" i="2"/>
  <c r="F2047" i="2"/>
  <c r="G2047" i="2"/>
  <c r="H2047" i="2"/>
  <c r="J2047" i="2"/>
  <c r="K2047" i="2"/>
  <c r="L2047" i="2"/>
  <c r="C2048" i="2"/>
  <c r="D2048" i="2"/>
  <c r="F2048" i="2"/>
  <c r="G2048" i="2"/>
  <c r="H2048" i="2"/>
  <c r="J2048" i="2"/>
  <c r="K2048" i="2"/>
  <c r="L2048" i="2"/>
  <c r="C2049" i="2"/>
  <c r="D2049" i="2"/>
  <c r="F2049" i="2"/>
  <c r="G2049" i="2"/>
  <c r="H2049" i="2"/>
  <c r="J2049" i="2"/>
  <c r="K2049" i="2"/>
  <c r="L2049" i="2"/>
  <c r="C2050" i="2"/>
  <c r="D2050" i="2"/>
  <c r="F2050" i="2"/>
  <c r="G2050" i="2"/>
  <c r="H2050" i="2"/>
  <c r="J2050" i="2"/>
  <c r="K2050" i="2"/>
  <c r="L2050" i="2"/>
  <c r="C2051" i="2"/>
  <c r="D2051" i="2"/>
  <c r="F2051" i="2"/>
  <c r="G2051" i="2"/>
  <c r="H2051" i="2"/>
  <c r="J2051" i="2"/>
  <c r="K2051" i="2"/>
  <c r="L2051" i="2"/>
  <c r="C2052" i="2"/>
  <c r="D2052" i="2"/>
  <c r="F2052" i="2"/>
  <c r="G2052" i="2"/>
  <c r="H2052" i="2"/>
  <c r="J2052" i="2"/>
  <c r="K2052" i="2"/>
  <c r="L2052" i="2"/>
  <c r="C2053" i="2"/>
  <c r="D2053" i="2"/>
  <c r="F2053" i="2"/>
  <c r="G2053" i="2"/>
  <c r="H2053" i="2"/>
  <c r="J2053" i="2"/>
  <c r="K2053" i="2"/>
  <c r="L2053" i="2"/>
  <c r="C2054" i="2"/>
  <c r="D2054" i="2"/>
  <c r="F2054" i="2"/>
  <c r="G2054" i="2"/>
  <c r="H2054" i="2"/>
  <c r="J2054" i="2"/>
  <c r="K2054" i="2"/>
  <c r="L2054" i="2"/>
  <c r="C2055" i="2"/>
  <c r="D2055" i="2"/>
  <c r="F2055" i="2"/>
  <c r="G2055" i="2"/>
  <c r="H2055" i="2"/>
  <c r="J2055" i="2"/>
  <c r="K2055" i="2"/>
  <c r="L2055" i="2"/>
  <c r="C2056" i="2"/>
  <c r="D2056" i="2"/>
  <c r="F2056" i="2"/>
  <c r="G2056" i="2"/>
  <c r="H2056" i="2"/>
  <c r="J2056" i="2"/>
  <c r="K2056" i="2"/>
  <c r="L2056" i="2"/>
  <c r="C2057" i="2"/>
  <c r="D2057" i="2"/>
  <c r="F2057" i="2"/>
  <c r="G2057" i="2"/>
  <c r="H2057" i="2"/>
  <c r="J2057" i="2"/>
  <c r="K2057" i="2"/>
  <c r="L2057" i="2"/>
  <c r="C2058" i="2"/>
  <c r="D2058" i="2"/>
  <c r="F2058" i="2"/>
  <c r="G2058" i="2"/>
  <c r="H2058" i="2"/>
  <c r="J2058" i="2"/>
  <c r="K2058" i="2"/>
  <c r="L2058" i="2"/>
  <c r="C2059" i="2"/>
  <c r="D2059" i="2"/>
  <c r="F2059" i="2"/>
  <c r="G2059" i="2"/>
  <c r="H2059" i="2"/>
  <c r="J2059" i="2"/>
  <c r="K2059" i="2"/>
  <c r="L2059" i="2"/>
  <c r="C2060" i="2"/>
  <c r="D2060" i="2"/>
  <c r="F2060" i="2"/>
  <c r="G2060" i="2"/>
  <c r="H2060" i="2"/>
  <c r="J2060" i="2"/>
  <c r="K2060" i="2"/>
  <c r="L2060" i="2"/>
  <c r="C2061" i="2"/>
  <c r="D2061" i="2"/>
  <c r="F2061" i="2"/>
  <c r="G2061" i="2"/>
  <c r="H2061" i="2"/>
  <c r="J2061" i="2"/>
  <c r="K2061" i="2"/>
  <c r="L2061" i="2"/>
  <c r="C2062" i="2"/>
  <c r="D2062" i="2"/>
  <c r="F2062" i="2"/>
  <c r="G2062" i="2"/>
  <c r="H2062" i="2"/>
  <c r="J2062" i="2"/>
  <c r="K2062" i="2"/>
  <c r="L2062" i="2"/>
  <c r="C2063" i="2"/>
  <c r="D2063" i="2"/>
  <c r="F2063" i="2"/>
  <c r="G2063" i="2"/>
  <c r="H2063" i="2"/>
  <c r="J2063" i="2"/>
  <c r="K2063" i="2"/>
  <c r="L2063" i="2"/>
  <c r="C2064" i="2"/>
  <c r="D2064" i="2"/>
  <c r="F2064" i="2"/>
  <c r="G2064" i="2"/>
  <c r="H2064" i="2"/>
  <c r="J2064" i="2"/>
  <c r="K2064" i="2"/>
  <c r="L2064" i="2"/>
  <c r="C2065" i="2"/>
  <c r="D2065" i="2"/>
  <c r="F2065" i="2"/>
  <c r="G2065" i="2"/>
  <c r="H2065" i="2"/>
  <c r="J2065" i="2"/>
  <c r="K2065" i="2"/>
  <c r="L2065" i="2"/>
  <c r="C2066" i="2"/>
  <c r="D2066" i="2"/>
  <c r="F2066" i="2"/>
  <c r="G2066" i="2"/>
  <c r="H2066" i="2"/>
  <c r="J2066" i="2"/>
  <c r="K2066" i="2"/>
  <c r="L2066" i="2"/>
  <c r="C2067" i="2"/>
  <c r="D2067" i="2"/>
  <c r="F2067" i="2"/>
  <c r="G2067" i="2"/>
  <c r="H2067" i="2"/>
  <c r="J2067" i="2"/>
  <c r="K2067" i="2"/>
  <c r="L2067" i="2"/>
  <c r="C2068" i="2"/>
  <c r="D2068" i="2"/>
  <c r="F2068" i="2"/>
  <c r="G2068" i="2"/>
  <c r="H2068" i="2"/>
  <c r="J2068" i="2"/>
  <c r="K2068" i="2"/>
  <c r="L2068" i="2"/>
  <c r="C2069" i="2"/>
  <c r="D2069" i="2"/>
  <c r="F2069" i="2"/>
  <c r="G2069" i="2"/>
  <c r="H2069" i="2"/>
  <c r="J2069" i="2"/>
  <c r="K2069" i="2"/>
  <c r="L2069" i="2"/>
  <c r="C2070" i="2"/>
  <c r="D2070" i="2"/>
  <c r="F2070" i="2"/>
  <c r="G2070" i="2"/>
  <c r="H2070" i="2"/>
  <c r="J2070" i="2"/>
  <c r="K2070" i="2"/>
  <c r="L2070" i="2"/>
  <c r="C2071" i="2"/>
  <c r="D2071" i="2"/>
  <c r="F2071" i="2"/>
  <c r="G2071" i="2"/>
  <c r="H2071" i="2"/>
  <c r="J2071" i="2"/>
  <c r="K2071" i="2"/>
  <c r="L2071" i="2"/>
  <c r="C2072" i="2"/>
  <c r="D2072" i="2"/>
  <c r="F2072" i="2"/>
  <c r="G2072" i="2"/>
  <c r="H2072" i="2"/>
  <c r="J2072" i="2"/>
  <c r="K2072" i="2"/>
  <c r="L2072" i="2"/>
  <c r="C2073" i="2"/>
  <c r="D2073" i="2"/>
  <c r="F2073" i="2"/>
  <c r="G2073" i="2"/>
  <c r="H2073" i="2"/>
  <c r="J2073" i="2"/>
  <c r="K2073" i="2"/>
  <c r="L2073" i="2"/>
  <c r="C2074" i="2"/>
  <c r="D2074" i="2"/>
  <c r="F2074" i="2"/>
  <c r="G2074" i="2"/>
  <c r="H2074" i="2"/>
  <c r="J2074" i="2"/>
  <c r="K2074" i="2"/>
  <c r="L2074" i="2"/>
  <c r="C2075" i="2"/>
  <c r="D2075" i="2"/>
  <c r="F2075" i="2"/>
  <c r="G2075" i="2"/>
  <c r="H2075" i="2"/>
  <c r="J2075" i="2"/>
  <c r="K2075" i="2"/>
  <c r="L2075" i="2"/>
  <c r="C2076" i="2"/>
  <c r="D2076" i="2"/>
  <c r="F2076" i="2"/>
  <c r="G2076" i="2"/>
  <c r="H2076" i="2"/>
  <c r="J2076" i="2"/>
  <c r="K2076" i="2"/>
  <c r="L2076" i="2"/>
  <c r="C2077" i="2"/>
  <c r="D2077" i="2"/>
  <c r="F2077" i="2"/>
  <c r="G2077" i="2"/>
  <c r="H2077" i="2"/>
  <c r="J2077" i="2"/>
  <c r="K2077" i="2"/>
  <c r="L2077" i="2"/>
  <c r="C2078" i="2"/>
  <c r="D2078" i="2"/>
  <c r="F2078" i="2"/>
  <c r="G2078" i="2"/>
  <c r="H2078" i="2"/>
  <c r="J2078" i="2"/>
  <c r="K2078" i="2"/>
  <c r="L2078" i="2"/>
  <c r="C2079" i="2"/>
  <c r="D2079" i="2"/>
  <c r="F2079" i="2"/>
  <c r="G2079" i="2"/>
  <c r="H2079" i="2"/>
  <c r="J2079" i="2"/>
  <c r="K2079" i="2"/>
  <c r="L2079" i="2"/>
  <c r="C2080" i="2"/>
  <c r="D2080" i="2"/>
  <c r="F2080" i="2"/>
  <c r="G2080" i="2"/>
  <c r="H2080" i="2"/>
  <c r="J2080" i="2"/>
  <c r="K2080" i="2"/>
  <c r="L2080" i="2"/>
  <c r="C2081" i="2"/>
  <c r="D2081" i="2"/>
  <c r="F2081" i="2"/>
  <c r="G2081" i="2"/>
  <c r="H2081" i="2"/>
  <c r="J2081" i="2"/>
  <c r="K2081" i="2"/>
  <c r="L2081" i="2"/>
  <c r="C2082" i="2"/>
  <c r="D2082" i="2"/>
  <c r="F2082" i="2"/>
  <c r="G2082" i="2"/>
  <c r="H2082" i="2"/>
  <c r="J2082" i="2"/>
  <c r="K2082" i="2"/>
  <c r="L2082" i="2"/>
  <c r="C2083" i="2"/>
  <c r="D2083" i="2"/>
  <c r="F2083" i="2"/>
  <c r="G2083" i="2"/>
  <c r="H2083" i="2"/>
  <c r="J2083" i="2"/>
  <c r="K2083" i="2"/>
  <c r="L2083" i="2"/>
  <c r="C2084" i="2"/>
  <c r="D2084" i="2"/>
  <c r="F2084" i="2"/>
  <c r="G2084" i="2"/>
  <c r="H2084" i="2"/>
  <c r="J2084" i="2"/>
  <c r="K2084" i="2"/>
  <c r="L2084" i="2"/>
  <c r="C2085" i="2"/>
  <c r="D2085" i="2"/>
  <c r="F2085" i="2"/>
  <c r="G2085" i="2"/>
  <c r="H2085" i="2"/>
  <c r="J2085" i="2"/>
  <c r="K2085" i="2"/>
  <c r="L2085" i="2"/>
  <c r="C2086" i="2"/>
  <c r="D2086" i="2"/>
  <c r="F2086" i="2"/>
  <c r="G2086" i="2"/>
  <c r="H2086" i="2"/>
  <c r="J2086" i="2"/>
  <c r="K2086" i="2"/>
  <c r="L2086" i="2"/>
  <c r="C2087" i="2"/>
  <c r="D2087" i="2"/>
  <c r="F2087" i="2"/>
  <c r="G2087" i="2"/>
  <c r="H2087" i="2"/>
  <c r="J2087" i="2"/>
  <c r="K2087" i="2"/>
  <c r="L2087" i="2"/>
  <c r="C2088" i="2"/>
  <c r="D2088" i="2"/>
  <c r="F2088" i="2"/>
  <c r="G2088" i="2"/>
  <c r="H2088" i="2"/>
  <c r="J2088" i="2"/>
  <c r="K2088" i="2"/>
  <c r="L2088" i="2"/>
  <c r="C2089" i="2"/>
  <c r="D2089" i="2"/>
  <c r="F2089" i="2"/>
  <c r="G2089" i="2"/>
  <c r="H2089" i="2"/>
  <c r="J2089" i="2"/>
  <c r="K2089" i="2"/>
  <c r="L2089" i="2"/>
  <c r="C2090" i="2"/>
  <c r="D2090" i="2"/>
  <c r="F2090" i="2"/>
  <c r="G2090" i="2"/>
  <c r="H2090" i="2"/>
  <c r="J2090" i="2"/>
  <c r="K2090" i="2"/>
  <c r="L2090" i="2"/>
  <c r="C2091" i="2"/>
  <c r="D2091" i="2"/>
  <c r="F2091" i="2"/>
  <c r="G2091" i="2"/>
  <c r="H2091" i="2"/>
  <c r="J2091" i="2"/>
  <c r="K2091" i="2"/>
  <c r="L2091" i="2"/>
  <c r="C2092" i="2"/>
  <c r="D2092" i="2"/>
  <c r="F2092" i="2"/>
  <c r="G2092" i="2"/>
  <c r="H2092" i="2"/>
  <c r="J2092" i="2"/>
  <c r="K2092" i="2"/>
  <c r="L2092" i="2"/>
  <c r="C2093" i="2"/>
  <c r="D2093" i="2"/>
  <c r="F2093" i="2"/>
  <c r="G2093" i="2"/>
  <c r="H2093" i="2"/>
  <c r="J2093" i="2"/>
  <c r="K2093" i="2"/>
  <c r="L2093" i="2"/>
  <c r="C2094" i="2"/>
  <c r="D2094" i="2"/>
  <c r="F2094" i="2"/>
  <c r="G2094" i="2"/>
  <c r="H2094" i="2"/>
  <c r="J2094" i="2"/>
  <c r="K2094" i="2"/>
  <c r="L2094" i="2"/>
  <c r="C2095" i="2"/>
  <c r="D2095" i="2"/>
  <c r="F2095" i="2"/>
  <c r="G2095" i="2"/>
  <c r="H2095" i="2"/>
  <c r="J2095" i="2"/>
  <c r="K2095" i="2"/>
  <c r="L2095" i="2"/>
  <c r="C2096" i="2"/>
  <c r="D2096" i="2"/>
  <c r="F2096" i="2"/>
  <c r="G2096" i="2"/>
  <c r="H2096" i="2"/>
  <c r="J2096" i="2"/>
  <c r="K2096" i="2"/>
  <c r="L2096" i="2"/>
  <c r="C2097" i="2"/>
  <c r="D2097" i="2"/>
  <c r="F2097" i="2"/>
  <c r="G2097" i="2"/>
  <c r="H2097" i="2"/>
  <c r="J2097" i="2"/>
  <c r="K2097" i="2"/>
  <c r="L2097" i="2"/>
  <c r="C2098" i="2"/>
  <c r="D2098" i="2"/>
  <c r="F2098" i="2"/>
  <c r="G2098" i="2"/>
  <c r="H2098" i="2"/>
  <c r="J2098" i="2"/>
  <c r="K2098" i="2"/>
  <c r="L2098" i="2"/>
  <c r="C2099" i="2"/>
  <c r="D2099" i="2"/>
  <c r="F2099" i="2"/>
  <c r="G2099" i="2"/>
  <c r="H2099" i="2"/>
  <c r="J2099" i="2"/>
  <c r="K2099" i="2"/>
  <c r="L2099" i="2"/>
  <c r="C2100" i="2"/>
  <c r="D2100" i="2"/>
  <c r="F2100" i="2"/>
  <c r="G2100" i="2"/>
  <c r="H2100" i="2"/>
  <c r="J2100" i="2"/>
  <c r="K2100" i="2"/>
  <c r="L2100" i="2"/>
  <c r="C2101" i="2"/>
  <c r="D2101" i="2"/>
  <c r="F2101" i="2"/>
  <c r="G2101" i="2"/>
  <c r="H2101" i="2"/>
  <c r="J2101" i="2"/>
  <c r="K2101" i="2"/>
  <c r="L2101" i="2"/>
  <c r="C2102" i="2"/>
  <c r="D2102" i="2"/>
  <c r="F2102" i="2"/>
  <c r="G2102" i="2"/>
  <c r="H2102" i="2"/>
  <c r="J2102" i="2"/>
  <c r="K2102" i="2"/>
  <c r="L2102" i="2"/>
  <c r="C2103" i="2"/>
  <c r="D2103" i="2"/>
  <c r="F2103" i="2"/>
  <c r="G2103" i="2"/>
  <c r="H2103" i="2"/>
  <c r="J2103" i="2"/>
  <c r="K2103" i="2"/>
  <c r="L2103" i="2"/>
  <c r="C2104" i="2"/>
  <c r="D2104" i="2"/>
  <c r="F2104" i="2"/>
  <c r="G2104" i="2"/>
  <c r="H2104" i="2"/>
  <c r="J2104" i="2"/>
  <c r="K2104" i="2"/>
  <c r="L2104" i="2"/>
  <c r="C2105" i="2"/>
  <c r="D2105" i="2"/>
  <c r="F2105" i="2"/>
  <c r="G2105" i="2"/>
  <c r="H2105" i="2"/>
  <c r="J2105" i="2"/>
  <c r="K2105" i="2"/>
  <c r="L2105" i="2"/>
  <c r="C2106" i="2"/>
  <c r="D2106" i="2"/>
  <c r="F2106" i="2"/>
  <c r="G2106" i="2"/>
  <c r="H2106" i="2"/>
  <c r="J2106" i="2"/>
  <c r="K2106" i="2"/>
  <c r="L2106" i="2"/>
  <c r="C2107" i="2"/>
  <c r="D2107" i="2"/>
  <c r="F2107" i="2"/>
  <c r="G2107" i="2"/>
  <c r="H2107" i="2"/>
  <c r="J2107" i="2"/>
  <c r="K2107" i="2"/>
  <c r="L2107" i="2"/>
  <c r="C2108" i="2"/>
  <c r="D2108" i="2"/>
  <c r="F2108" i="2"/>
  <c r="G2108" i="2"/>
  <c r="H2108" i="2"/>
  <c r="J2108" i="2"/>
  <c r="K2108" i="2"/>
  <c r="L2108" i="2"/>
  <c r="C2109" i="2"/>
  <c r="D2109" i="2"/>
  <c r="F2109" i="2"/>
  <c r="G2109" i="2"/>
  <c r="H2109" i="2"/>
  <c r="J2109" i="2"/>
  <c r="K2109" i="2"/>
  <c r="L2109" i="2"/>
  <c r="C2110" i="2"/>
  <c r="D2110" i="2"/>
  <c r="F2110" i="2"/>
  <c r="G2110" i="2"/>
  <c r="H2110" i="2"/>
  <c r="J2110" i="2"/>
  <c r="K2110" i="2"/>
  <c r="L2110" i="2"/>
  <c r="C2111" i="2"/>
  <c r="D2111" i="2"/>
  <c r="F2111" i="2"/>
  <c r="G2111" i="2"/>
  <c r="H2111" i="2"/>
  <c r="J2111" i="2"/>
  <c r="K2111" i="2"/>
  <c r="L2111" i="2"/>
  <c r="C2112" i="2"/>
  <c r="D2112" i="2"/>
  <c r="F2112" i="2"/>
  <c r="G2112" i="2"/>
  <c r="H2112" i="2"/>
  <c r="J2112" i="2"/>
  <c r="K2112" i="2"/>
  <c r="L2112" i="2"/>
  <c r="C2113" i="2"/>
  <c r="D2113" i="2"/>
  <c r="F2113" i="2"/>
  <c r="G2113" i="2"/>
  <c r="H2113" i="2"/>
  <c r="J2113" i="2"/>
  <c r="K2113" i="2"/>
  <c r="L2113" i="2"/>
  <c r="C2114" i="2"/>
  <c r="D2114" i="2"/>
  <c r="F2114" i="2"/>
  <c r="G2114" i="2"/>
  <c r="H2114" i="2"/>
  <c r="J2114" i="2"/>
  <c r="K2114" i="2"/>
  <c r="L2114" i="2"/>
  <c r="C2115" i="2"/>
  <c r="D2115" i="2"/>
  <c r="F2115" i="2"/>
  <c r="G2115" i="2"/>
  <c r="H2115" i="2"/>
  <c r="J2115" i="2"/>
  <c r="K2115" i="2"/>
  <c r="L2115" i="2"/>
  <c r="C2116" i="2"/>
  <c r="D2116" i="2"/>
  <c r="F2116" i="2"/>
  <c r="G2116" i="2"/>
  <c r="H2116" i="2"/>
  <c r="J2116" i="2"/>
  <c r="K2116" i="2"/>
  <c r="L2116" i="2"/>
  <c r="C2117" i="2"/>
  <c r="D2117" i="2"/>
  <c r="F2117" i="2"/>
  <c r="G2117" i="2"/>
  <c r="H2117" i="2"/>
  <c r="J2117" i="2"/>
  <c r="K2117" i="2"/>
  <c r="L2117" i="2"/>
  <c r="C2118" i="2"/>
  <c r="D2118" i="2"/>
  <c r="F2118" i="2"/>
  <c r="G2118" i="2"/>
  <c r="H2118" i="2"/>
  <c r="J2118" i="2"/>
  <c r="K2118" i="2"/>
  <c r="L2118" i="2"/>
  <c r="C2119" i="2"/>
  <c r="D2119" i="2"/>
  <c r="F2119" i="2"/>
  <c r="G2119" i="2"/>
  <c r="H2119" i="2"/>
  <c r="J2119" i="2"/>
  <c r="K2119" i="2"/>
  <c r="L2119" i="2"/>
  <c r="C2120" i="2"/>
  <c r="D2120" i="2"/>
  <c r="F2120" i="2"/>
  <c r="G2120" i="2"/>
  <c r="H2120" i="2"/>
  <c r="J2120" i="2"/>
  <c r="K2120" i="2"/>
  <c r="L2120" i="2"/>
  <c r="C2121" i="2"/>
  <c r="D2121" i="2"/>
  <c r="F2121" i="2"/>
  <c r="G2121" i="2"/>
  <c r="H2121" i="2"/>
  <c r="J2121" i="2"/>
  <c r="K2121" i="2"/>
  <c r="L2121" i="2"/>
  <c r="C2122" i="2"/>
  <c r="D2122" i="2"/>
  <c r="F2122" i="2"/>
  <c r="G2122" i="2"/>
  <c r="H2122" i="2"/>
  <c r="J2122" i="2"/>
  <c r="K2122" i="2"/>
  <c r="L2122" i="2"/>
  <c r="C2123" i="2"/>
  <c r="D2123" i="2"/>
  <c r="F2123" i="2"/>
  <c r="G2123" i="2"/>
  <c r="H2123" i="2"/>
  <c r="J2123" i="2"/>
  <c r="K2123" i="2"/>
  <c r="L2123" i="2"/>
  <c r="C2124" i="2"/>
  <c r="D2124" i="2"/>
  <c r="F2124" i="2"/>
  <c r="G2124" i="2"/>
  <c r="H2124" i="2"/>
  <c r="J2124" i="2"/>
  <c r="K2124" i="2"/>
  <c r="L2124" i="2"/>
  <c r="C2125" i="2"/>
  <c r="D2125" i="2"/>
  <c r="F2125" i="2"/>
  <c r="G2125" i="2"/>
  <c r="H2125" i="2"/>
  <c r="J2125" i="2"/>
  <c r="K2125" i="2"/>
  <c r="L2125" i="2"/>
  <c r="C2126" i="2"/>
  <c r="D2126" i="2"/>
  <c r="F2126" i="2"/>
  <c r="G2126" i="2"/>
  <c r="H2126" i="2"/>
  <c r="J2126" i="2"/>
  <c r="K2126" i="2"/>
  <c r="L2126" i="2"/>
  <c r="C2127" i="2"/>
  <c r="D2127" i="2"/>
  <c r="F2127" i="2"/>
  <c r="G2127" i="2"/>
  <c r="H2127" i="2"/>
  <c r="J2127" i="2"/>
  <c r="K2127" i="2"/>
  <c r="L2127" i="2"/>
  <c r="C2128" i="2"/>
  <c r="D2128" i="2"/>
  <c r="F2128" i="2"/>
  <c r="G2128" i="2"/>
  <c r="H2128" i="2"/>
  <c r="J2128" i="2"/>
  <c r="K2128" i="2"/>
  <c r="L2128" i="2"/>
  <c r="C2129" i="2"/>
  <c r="D2129" i="2"/>
  <c r="F2129" i="2"/>
  <c r="G2129" i="2"/>
  <c r="H2129" i="2"/>
  <c r="J2129" i="2"/>
  <c r="K2129" i="2"/>
  <c r="L2129" i="2"/>
  <c r="C2130" i="2"/>
  <c r="D2130" i="2"/>
  <c r="F2130" i="2"/>
  <c r="G2130" i="2"/>
  <c r="H2130" i="2"/>
  <c r="J2130" i="2"/>
  <c r="K2130" i="2"/>
  <c r="L2130" i="2"/>
  <c r="C2131" i="2"/>
  <c r="D2131" i="2"/>
  <c r="F2131" i="2"/>
  <c r="G2131" i="2"/>
  <c r="H2131" i="2"/>
  <c r="J2131" i="2"/>
  <c r="K2131" i="2"/>
  <c r="L2131" i="2"/>
  <c r="C2132" i="2"/>
  <c r="D2132" i="2"/>
  <c r="F2132" i="2"/>
  <c r="G2132" i="2"/>
  <c r="H2132" i="2"/>
  <c r="J2132" i="2"/>
  <c r="K2132" i="2"/>
  <c r="L2132" i="2"/>
  <c r="C2133" i="2"/>
  <c r="D2133" i="2"/>
  <c r="F2133" i="2"/>
  <c r="G2133" i="2"/>
  <c r="H2133" i="2"/>
  <c r="J2133" i="2"/>
  <c r="K2133" i="2"/>
  <c r="L2133" i="2"/>
  <c r="C2134" i="2"/>
  <c r="D2134" i="2"/>
  <c r="F2134" i="2"/>
  <c r="G2134" i="2"/>
  <c r="H2134" i="2"/>
  <c r="J2134" i="2"/>
  <c r="K2134" i="2"/>
  <c r="L2134" i="2"/>
  <c r="C2135" i="2"/>
  <c r="D2135" i="2"/>
  <c r="F2135" i="2"/>
  <c r="G2135" i="2"/>
  <c r="H2135" i="2"/>
  <c r="J2135" i="2"/>
  <c r="K2135" i="2"/>
  <c r="L2135" i="2"/>
  <c r="C2136" i="2"/>
  <c r="D2136" i="2"/>
  <c r="F2136" i="2"/>
  <c r="G2136" i="2"/>
  <c r="H2136" i="2"/>
  <c r="J2136" i="2"/>
  <c r="K2136" i="2"/>
  <c r="L2136" i="2"/>
  <c r="C2137" i="2"/>
  <c r="D2137" i="2"/>
  <c r="F2137" i="2"/>
  <c r="G2137" i="2"/>
  <c r="H2137" i="2"/>
  <c r="J2137" i="2"/>
  <c r="K2137" i="2"/>
  <c r="L2137" i="2"/>
  <c r="C2138" i="2"/>
  <c r="D2138" i="2"/>
  <c r="F2138" i="2"/>
  <c r="G2138" i="2"/>
  <c r="H2138" i="2"/>
  <c r="J2138" i="2"/>
  <c r="K2138" i="2"/>
  <c r="L2138" i="2"/>
  <c r="C2139" i="2"/>
  <c r="D2139" i="2"/>
  <c r="F2139" i="2"/>
  <c r="G2139" i="2"/>
  <c r="H2139" i="2"/>
  <c r="J2139" i="2"/>
  <c r="K2139" i="2"/>
  <c r="L2139" i="2"/>
  <c r="C2140" i="2"/>
  <c r="D2140" i="2"/>
  <c r="F2140" i="2"/>
  <c r="G2140" i="2"/>
  <c r="H2140" i="2"/>
  <c r="J2140" i="2"/>
  <c r="K2140" i="2"/>
  <c r="L2140" i="2"/>
  <c r="C2141" i="2"/>
  <c r="D2141" i="2"/>
  <c r="F2141" i="2"/>
  <c r="G2141" i="2"/>
  <c r="H2141" i="2"/>
  <c r="J2141" i="2"/>
  <c r="K2141" i="2"/>
  <c r="L2141" i="2"/>
  <c r="C2142" i="2"/>
  <c r="D2142" i="2"/>
  <c r="F2142" i="2"/>
  <c r="G2142" i="2"/>
  <c r="H2142" i="2"/>
  <c r="J2142" i="2"/>
  <c r="K2142" i="2"/>
  <c r="L2142" i="2"/>
  <c r="C2143" i="2"/>
  <c r="D2143" i="2"/>
  <c r="F2143" i="2"/>
  <c r="G2143" i="2"/>
  <c r="H2143" i="2"/>
  <c r="J2143" i="2"/>
  <c r="K2143" i="2"/>
  <c r="L2143" i="2"/>
  <c r="C2144" i="2"/>
  <c r="D2144" i="2"/>
  <c r="F2144" i="2"/>
  <c r="G2144" i="2"/>
  <c r="H2144" i="2"/>
  <c r="J2144" i="2"/>
  <c r="K2144" i="2"/>
  <c r="L2144" i="2"/>
  <c r="C2145" i="2"/>
  <c r="D2145" i="2"/>
  <c r="F2145" i="2"/>
  <c r="G2145" i="2"/>
  <c r="H2145" i="2"/>
  <c r="J2145" i="2"/>
  <c r="K2145" i="2"/>
  <c r="L2145" i="2"/>
  <c r="C2146" i="2"/>
  <c r="D2146" i="2"/>
  <c r="F2146" i="2"/>
  <c r="G2146" i="2"/>
  <c r="H2146" i="2"/>
  <c r="J2146" i="2"/>
  <c r="K2146" i="2"/>
  <c r="L2146" i="2"/>
  <c r="C2147" i="2"/>
  <c r="D2147" i="2"/>
  <c r="F2147" i="2"/>
  <c r="G2147" i="2"/>
  <c r="H2147" i="2"/>
  <c r="J2147" i="2"/>
  <c r="K2147" i="2"/>
  <c r="L2147" i="2"/>
  <c r="C2148" i="2"/>
  <c r="D2148" i="2"/>
  <c r="F2148" i="2"/>
  <c r="G2148" i="2"/>
  <c r="H2148" i="2"/>
  <c r="J2148" i="2"/>
  <c r="K2148" i="2"/>
  <c r="L2148" i="2"/>
  <c r="C2149" i="2"/>
  <c r="D2149" i="2"/>
  <c r="F2149" i="2"/>
  <c r="G2149" i="2"/>
  <c r="H2149" i="2"/>
  <c r="J2149" i="2"/>
  <c r="K2149" i="2"/>
  <c r="L2149" i="2"/>
  <c r="C2150" i="2"/>
  <c r="D2150" i="2"/>
  <c r="F2150" i="2"/>
  <c r="G2150" i="2"/>
  <c r="H2150" i="2"/>
  <c r="J2150" i="2"/>
  <c r="K2150" i="2"/>
  <c r="L2150" i="2"/>
  <c r="C2151" i="2"/>
  <c r="D2151" i="2"/>
  <c r="F2151" i="2"/>
  <c r="G2151" i="2"/>
  <c r="H2151" i="2"/>
  <c r="J2151" i="2"/>
  <c r="K2151" i="2"/>
  <c r="L2151" i="2"/>
  <c r="C2152" i="2"/>
  <c r="D2152" i="2"/>
  <c r="F2152" i="2"/>
  <c r="G2152" i="2"/>
  <c r="H2152" i="2"/>
  <c r="J2152" i="2"/>
  <c r="K2152" i="2"/>
  <c r="L2152" i="2"/>
  <c r="C2153" i="2"/>
  <c r="D2153" i="2"/>
  <c r="F2153" i="2"/>
  <c r="G2153" i="2"/>
  <c r="H2153" i="2"/>
  <c r="J2153" i="2"/>
  <c r="K2153" i="2"/>
  <c r="L2153" i="2"/>
  <c r="C2154" i="2"/>
  <c r="D2154" i="2"/>
  <c r="F2154" i="2"/>
  <c r="G2154" i="2"/>
  <c r="H2154" i="2"/>
  <c r="J2154" i="2"/>
  <c r="K2154" i="2"/>
  <c r="L2154" i="2"/>
  <c r="C2155" i="2"/>
  <c r="D2155" i="2"/>
  <c r="F2155" i="2"/>
  <c r="G2155" i="2"/>
  <c r="H2155" i="2"/>
  <c r="J2155" i="2"/>
  <c r="K2155" i="2"/>
  <c r="L2155" i="2"/>
  <c r="C2156" i="2"/>
  <c r="D2156" i="2"/>
  <c r="F2156" i="2"/>
  <c r="G2156" i="2"/>
  <c r="H2156" i="2"/>
  <c r="J2156" i="2"/>
  <c r="K2156" i="2"/>
  <c r="L2156" i="2"/>
  <c r="C2157" i="2"/>
  <c r="D2157" i="2"/>
  <c r="F2157" i="2"/>
  <c r="G2157" i="2"/>
  <c r="H2157" i="2"/>
  <c r="J2157" i="2"/>
  <c r="K2157" i="2"/>
  <c r="L2157" i="2"/>
  <c r="C2158" i="2"/>
  <c r="D2158" i="2"/>
  <c r="F2158" i="2"/>
  <c r="G2158" i="2"/>
  <c r="H2158" i="2"/>
  <c r="J2158" i="2"/>
  <c r="K2158" i="2"/>
  <c r="L2158" i="2"/>
  <c r="C2159" i="2"/>
  <c r="D2159" i="2"/>
  <c r="F2159" i="2"/>
  <c r="G2159" i="2"/>
  <c r="H2159" i="2"/>
  <c r="J2159" i="2"/>
  <c r="K2159" i="2"/>
  <c r="L2159" i="2"/>
  <c r="C2160" i="2"/>
  <c r="D2160" i="2"/>
  <c r="F2160" i="2"/>
  <c r="G2160" i="2"/>
  <c r="H2160" i="2"/>
  <c r="J2160" i="2"/>
  <c r="K2160" i="2"/>
  <c r="L2160" i="2"/>
  <c r="C2161" i="2"/>
  <c r="D2161" i="2"/>
  <c r="F2161" i="2"/>
  <c r="G2161" i="2"/>
  <c r="H2161" i="2"/>
  <c r="J2161" i="2"/>
  <c r="K2161" i="2"/>
  <c r="L2161" i="2"/>
  <c r="C2162" i="2"/>
  <c r="D2162" i="2"/>
  <c r="F2162" i="2"/>
  <c r="G2162" i="2"/>
  <c r="H2162" i="2"/>
  <c r="J2162" i="2"/>
  <c r="K2162" i="2"/>
  <c r="L2162" i="2"/>
  <c r="C2163" i="2"/>
  <c r="D2163" i="2"/>
  <c r="F2163" i="2"/>
  <c r="G2163" i="2"/>
  <c r="H2163" i="2"/>
  <c r="J2163" i="2"/>
  <c r="K2163" i="2"/>
  <c r="L2163" i="2"/>
  <c r="C2164" i="2"/>
  <c r="D2164" i="2"/>
  <c r="F2164" i="2"/>
  <c r="G2164" i="2"/>
  <c r="H2164" i="2"/>
  <c r="J2164" i="2"/>
  <c r="K2164" i="2"/>
  <c r="L2164" i="2"/>
  <c r="C2165" i="2"/>
  <c r="D2165" i="2"/>
  <c r="F2165" i="2"/>
  <c r="G2165" i="2"/>
  <c r="H2165" i="2"/>
  <c r="J2165" i="2"/>
  <c r="K2165" i="2"/>
  <c r="L2165" i="2"/>
  <c r="C2166" i="2"/>
  <c r="D2166" i="2"/>
  <c r="F2166" i="2"/>
  <c r="G2166" i="2"/>
  <c r="H2166" i="2"/>
  <c r="J2166" i="2"/>
  <c r="K2166" i="2"/>
  <c r="L2166" i="2"/>
  <c r="C2167" i="2"/>
  <c r="D2167" i="2"/>
  <c r="F2167" i="2"/>
  <c r="G2167" i="2"/>
  <c r="H2167" i="2"/>
  <c r="J2167" i="2"/>
  <c r="K2167" i="2"/>
  <c r="L2167" i="2"/>
  <c r="C2168" i="2"/>
  <c r="D2168" i="2"/>
  <c r="F2168" i="2"/>
  <c r="G2168" i="2"/>
  <c r="H2168" i="2"/>
  <c r="J2168" i="2"/>
  <c r="K2168" i="2"/>
  <c r="L2168" i="2"/>
  <c r="C2169" i="2"/>
  <c r="D2169" i="2"/>
  <c r="F2169" i="2"/>
  <c r="G2169" i="2"/>
  <c r="H2169" i="2"/>
  <c r="J2169" i="2"/>
  <c r="K2169" i="2"/>
  <c r="L2169" i="2"/>
  <c r="C2170" i="2"/>
  <c r="D2170" i="2"/>
  <c r="F2170" i="2"/>
  <c r="G2170" i="2"/>
  <c r="H2170" i="2"/>
  <c r="J2170" i="2"/>
  <c r="K2170" i="2"/>
  <c r="L2170" i="2"/>
  <c r="C2171" i="2"/>
  <c r="D2171" i="2"/>
  <c r="F2171" i="2"/>
  <c r="G2171" i="2"/>
  <c r="H2171" i="2"/>
  <c r="J2171" i="2"/>
  <c r="K2171" i="2"/>
  <c r="L2171" i="2"/>
  <c r="C2172" i="2"/>
  <c r="D2172" i="2"/>
  <c r="F2172" i="2"/>
  <c r="G2172" i="2"/>
  <c r="H2172" i="2"/>
  <c r="J2172" i="2"/>
  <c r="K2172" i="2"/>
  <c r="L2172" i="2"/>
  <c r="C2173" i="2"/>
  <c r="D2173" i="2"/>
  <c r="F2173" i="2"/>
  <c r="G2173" i="2"/>
  <c r="H2173" i="2"/>
  <c r="J2173" i="2"/>
  <c r="K2173" i="2"/>
  <c r="L2173" i="2"/>
  <c r="C2174" i="2"/>
  <c r="D2174" i="2"/>
  <c r="F2174" i="2"/>
  <c r="G2174" i="2"/>
  <c r="H2174" i="2"/>
  <c r="J2174" i="2"/>
  <c r="K2174" i="2"/>
  <c r="L2174" i="2"/>
  <c r="C2175" i="2"/>
  <c r="D2175" i="2"/>
  <c r="F2175" i="2"/>
  <c r="G2175" i="2"/>
  <c r="H2175" i="2"/>
  <c r="J2175" i="2"/>
  <c r="K2175" i="2"/>
  <c r="L2175" i="2"/>
  <c r="C2176" i="2"/>
  <c r="D2176" i="2"/>
  <c r="F2176" i="2"/>
  <c r="G2176" i="2"/>
  <c r="H2176" i="2"/>
  <c r="J2176" i="2"/>
  <c r="K2176" i="2"/>
  <c r="L2176" i="2"/>
  <c r="C2177" i="2"/>
  <c r="D2177" i="2"/>
  <c r="F2177" i="2"/>
  <c r="G2177" i="2"/>
  <c r="H2177" i="2"/>
  <c r="J2177" i="2"/>
  <c r="K2177" i="2"/>
  <c r="L2177" i="2"/>
  <c r="C2178" i="2"/>
  <c r="D2178" i="2"/>
  <c r="F2178" i="2"/>
  <c r="G2178" i="2"/>
  <c r="H2178" i="2"/>
  <c r="J2178" i="2"/>
  <c r="K2178" i="2"/>
  <c r="L2178" i="2"/>
  <c r="C2179" i="2"/>
  <c r="D2179" i="2"/>
  <c r="F2179" i="2"/>
  <c r="G2179" i="2"/>
  <c r="H2179" i="2"/>
  <c r="J2179" i="2"/>
  <c r="K2179" i="2"/>
  <c r="L2179" i="2"/>
  <c r="C2180" i="2"/>
  <c r="D2180" i="2"/>
  <c r="F2180" i="2"/>
  <c r="G2180" i="2"/>
  <c r="H2180" i="2"/>
  <c r="J2180" i="2"/>
  <c r="K2180" i="2"/>
  <c r="L2180" i="2"/>
  <c r="C2181" i="2"/>
  <c r="D2181" i="2"/>
  <c r="F2181" i="2"/>
  <c r="G2181" i="2"/>
  <c r="H2181" i="2"/>
  <c r="J2181" i="2"/>
  <c r="K2181" i="2"/>
  <c r="L2181" i="2"/>
  <c r="C2182" i="2"/>
  <c r="D2182" i="2"/>
  <c r="F2182" i="2"/>
  <c r="G2182" i="2"/>
  <c r="H2182" i="2"/>
  <c r="J2182" i="2"/>
  <c r="K2182" i="2"/>
  <c r="L2182" i="2"/>
  <c r="C2183" i="2"/>
  <c r="D2183" i="2"/>
  <c r="F2183" i="2"/>
  <c r="G2183" i="2"/>
  <c r="H2183" i="2"/>
  <c r="J2183" i="2"/>
  <c r="K2183" i="2"/>
  <c r="L2183" i="2"/>
  <c r="C2184" i="2"/>
  <c r="D2184" i="2"/>
  <c r="F2184" i="2"/>
  <c r="G2184" i="2"/>
  <c r="H2184" i="2"/>
  <c r="J2184" i="2"/>
  <c r="K2184" i="2"/>
  <c r="L2184" i="2"/>
  <c r="C2185" i="2"/>
  <c r="D2185" i="2"/>
  <c r="F2185" i="2"/>
  <c r="G2185" i="2"/>
  <c r="H2185" i="2"/>
  <c r="J2185" i="2"/>
  <c r="K2185" i="2"/>
  <c r="L2185" i="2"/>
  <c r="C2186" i="2"/>
  <c r="D2186" i="2"/>
  <c r="F2186" i="2"/>
  <c r="G2186" i="2"/>
  <c r="H2186" i="2"/>
  <c r="J2186" i="2"/>
  <c r="K2186" i="2"/>
  <c r="L2186" i="2"/>
  <c r="C2187" i="2"/>
  <c r="D2187" i="2"/>
  <c r="F2187" i="2"/>
  <c r="G2187" i="2"/>
  <c r="H2187" i="2"/>
  <c r="J2187" i="2"/>
  <c r="K2187" i="2"/>
  <c r="L2187" i="2"/>
  <c r="C2188" i="2"/>
  <c r="D2188" i="2"/>
  <c r="F2188" i="2"/>
  <c r="G2188" i="2"/>
  <c r="H2188" i="2"/>
  <c r="J2188" i="2"/>
  <c r="K2188" i="2"/>
  <c r="L2188" i="2"/>
  <c r="C2189" i="2"/>
  <c r="D2189" i="2"/>
  <c r="F2189" i="2"/>
  <c r="G2189" i="2"/>
  <c r="H2189" i="2"/>
  <c r="J2189" i="2"/>
  <c r="K2189" i="2"/>
  <c r="L2189" i="2"/>
  <c r="C2190" i="2"/>
  <c r="D2190" i="2"/>
  <c r="F2190" i="2"/>
  <c r="G2190" i="2"/>
  <c r="H2190" i="2"/>
  <c r="J2190" i="2"/>
  <c r="K2190" i="2"/>
  <c r="L2190" i="2"/>
  <c r="C2191" i="2"/>
  <c r="D2191" i="2"/>
  <c r="F2191" i="2"/>
  <c r="G2191" i="2"/>
  <c r="H2191" i="2"/>
  <c r="J2191" i="2"/>
  <c r="K2191" i="2"/>
  <c r="L2191" i="2"/>
  <c r="C2192" i="2"/>
  <c r="D2192" i="2"/>
  <c r="F2192" i="2"/>
  <c r="G2192" i="2"/>
  <c r="H2192" i="2"/>
  <c r="J2192" i="2"/>
  <c r="K2192" i="2"/>
  <c r="L2192" i="2"/>
  <c r="C2193" i="2"/>
  <c r="D2193" i="2"/>
  <c r="F2193" i="2"/>
  <c r="G2193" i="2"/>
  <c r="H2193" i="2"/>
  <c r="J2193" i="2"/>
  <c r="K2193" i="2"/>
  <c r="L2193" i="2"/>
  <c r="C2194" i="2"/>
  <c r="D2194" i="2"/>
  <c r="F2194" i="2"/>
  <c r="G2194" i="2"/>
  <c r="H2194" i="2"/>
  <c r="J2194" i="2"/>
  <c r="K2194" i="2"/>
  <c r="L2194" i="2"/>
  <c r="C2195" i="2"/>
  <c r="D2195" i="2"/>
  <c r="F2195" i="2"/>
  <c r="G2195" i="2"/>
  <c r="H2195" i="2"/>
  <c r="J2195" i="2"/>
  <c r="K2195" i="2"/>
  <c r="L2195" i="2"/>
  <c r="C2196" i="2"/>
  <c r="D2196" i="2"/>
  <c r="F2196" i="2"/>
  <c r="G2196" i="2"/>
  <c r="H2196" i="2"/>
  <c r="J2196" i="2"/>
  <c r="K2196" i="2"/>
  <c r="L2196" i="2"/>
  <c r="C2197" i="2"/>
  <c r="D2197" i="2"/>
  <c r="F2197" i="2"/>
  <c r="G2197" i="2"/>
  <c r="H2197" i="2"/>
  <c r="J2197" i="2"/>
  <c r="K2197" i="2"/>
  <c r="L2197" i="2"/>
  <c r="C2198" i="2"/>
  <c r="D2198" i="2"/>
  <c r="F2198" i="2"/>
  <c r="G2198" i="2"/>
  <c r="H2198" i="2"/>
  <c r="J2198" i="2"/>
  <c r="K2198" i="2"/>
  <c r="L2198" i="2"/>
  <c r="C2199" i="2"/>
  <c r="D2199" i="2"/>
  <c r="F2199" i="2"/>
  <c r="G2199" i="2"/>
  <c r="H2199" i="2"/>
  <c r="J2199" i="2"/>
  <c r="K2199" i="2"/>
  <c r="L2199" i="2"/>
  <c r="C2200" i="2"/>
  <c r="D2200" i="2"/>
  <c r="F2200" i="2"/>
  <c r="G2200" i="2"/>
  <c r="H2200" i="2"/>
  <c r="J2200" i="2"/>
  <c r="K2200" i="2"/>
  <c r="L2200" i="2"/>
  <c r="C2201" i="2"/>
  <c r="D2201" i="2"/>
  <c r="F2201" i="2"/>
  <c r="G2201" i="2"/>
  <c r="H2201" i="2"/>
  <c r="J2201" i="2"/>
  <c r="K2201" i="2"/>
  <c r="L2201" i="2"/>
  <c r="C2202" i="2"/>
  <c r="D2202" i="2"/>
  <c r="F2202" i="2"/>
  <c r="G2202" i="2"/>
  <c r="H2202" i="2"/>
  <c r="J2202" i="2"/>
  <c r="K2202" i="2"/>
  <c r="L2202" i="2"/>
  <c r="C2203" i="2"/>
  <c r="D2203" i="2"/>
  <c r="F2203" i="2"/>
  <c r="G2203" i="2"/>
  <c r="H2203" i="2"/>
  <c r="J2203" i="2"/>
  <c r="K2203" i="2"/>
  <c r="L2203" i="2"/>
  <c r="C2204" i="2"/>
  <c r="D2204" i="2"/>
  <c r="F2204" i="2"/>
  <c r="G2204" i="2"/>
  <c r="H2204" i="2"/>
  <c r="J2204" i="2"/>
  <c r="K2204" i="2"/>
  <c r="L2204" i="2"/>
  <c r="C2205" i="2"/>
  <c r="D2205" i="2"/>
  <c r="F2205" i="2"/>
  <c r="G2205" i="2"/>
  <c r="H2205" i="2"/>
  <c r="J2205" i="2"/>
  <c r="K2205" i="2"/>
  <c r="L2205" i="2"/>
  <c r="C2206" i="2"/>
  <c r="D2206" i="2"/>
  <c r="F2206" i="2"/>
  <c r="G2206" i="2"/>
  <c r="H2206" i="2"/>
  <c r="J2206" i="2"/>
  <c r="K2206" i="2"/>
  <c r="L2206" i="2"/>
  <c r="C2207" i="2"/>
  <c r="D2207" i="2"/>
  <c r="F2207" i="2"/>
  <c r="G2207" i="2"/>
  <c r="H2207" i="2"/>
  <c r="J2207" i="2"/>
  <c r="K2207" i="2"/>
  <c r="L2207" i="2"/>
  <c r="C2208" i="2"/>
  <c r="D2208" i="2"/>
  <c r="F2208" i="2"/>
  <c r="G2208" i="2"/>
  <c r="H2208" i="2"/>
  <c r="J2208" i="2"/>
  <c r="K2208" i="2"/>
  <c r="L2208" i="2"/>
  <c r="C2209" i="2"/>
  <c r="D2209" i="2"/>
  <c r="F2209" i="2"/>
  <c r="G2209" i="2"/>
  <c r="H2209" i="2"/>
  <c r="J2209" i="2"/>
  <c r="K2209" i="2"/>
  <c r="L2209" i="2"/>
  <c r="C2210" i="2"/>
  <c r="D2210" i="2"/>
  <c r="F2210" i="2"/>
  <c r="G2210" i="2"/>
  <c r="H2210" i="2"/>
  <c r="J2210" i="2"/>
  <c r="K2210" i="2"/>
  <c r="L2210" i="2"/>
  <c r="C2211" i="2"/>
  <c r="D2211" i="2"/>
  <c r="F2211" i="2"/>
  <c r="G2211" i="2"/>
  <c r="H2211" i="2"/>
  <c r="J2211" i="2"/>
  <c r="K2211" i="2"/>
  <c r="L2211" i="2"/>
  <c r="C2212" i="2"/>
  <c r="D2212" i="2"/>
  <c r="F2212" i="2"/>
  <c r="G2212" i="2"/>
  <c r="H2212" i="2"/>
  <c r="J2212" i="2"/>
  <c r="K2212" i="2"/>
  <c r="L2212" i="2"/>
  <c r="C2213" i="2"/>
  <c r="D2213" i="2"/>
  <c r="F2213" i="2"/>
  <c r="G2213" i="2"/>
  <c r="H2213" i="2"/>
  <c r="J2213" i="2"/>
  <c r="K2213" i="2"/>
  <c r="L2213" i="2"/>
  <c r="C2214" i="2"/>
  <c r="D2214" i="2"/>
  <c r="F2214" i="2"/>
  <c r="G2214" i="2"/>
  <c r="H2214" i="2"/>
  <c r="J2214" i="2"/>
  <c r="K2214" i="2"/>
  <c r="L2214" i="2"/>
  <c r="C2215" i="2"/>
  <c r="D2215" i="2"/>
  <c r="F2215" i="2"/>
  <c r="G2215" i="2"/>
  <c r="H2215" i="2"/>
  <c r="J2215" i="2"/>
  <c r="K2215" i="2"/>
  <c r="L2215" i="2"/>
  <c r="C2216" i="2"/>
  <c r="D2216" i="2"/>
  <c r="F2216" i="2"/>
  <c r="G2216" i="2"/>
  <c r="H2216" i="2"/>
  <c r="J2216" i="2"/>
  <c r="K2216" i="2"/>
  <c r="L2216" i="2"/>
  <c r="C2217" i="2"/>
  <c r="D2217" i="2"/>
  <c r="F2217" i="2"/>
  <c r="G2217" i="2"/>
  <c r="H2217" i="2"/>
  <c r="J2217" i="2"/>
  <c r="K2217" i="2"/>
  <c r="L2217" i="2"/>
  <c r="C2218" i="2"/>
  <c r="D2218" i="2"/>
  <c r="F2218" i="2"/>
  <c r="G2218" i="2"/>
  <c r="H2218" i="2"/>
  <c r="J2218" i="2"/>
  <c r="K2218" i="2"/>
  <c r="L2218" i="2"/>
  <c r="C2219" i="2"/>
  <c r="D2219" i="2"/>
  <c r="F2219" i="2"/>
  <c r="G2219" i="2"/>
  <c r="H2219" i="2"/>
  <c r="J2219" i="2"/>
  <c r="K2219" i="2"/>
  <c r="L2219" i="2"/>
  <c r="C2220" i="2"/>
  <c r="D2220" i="2"/>
  <c r="F2220" i="2"/>
  <c r="G2220" i="2"/>
  <c r="H2220" i="2"/>
  <c r="J2220" i="2"/>
  <c r="K2220" i="2"/>
  <c r="L2220" i="2"/>
  <c r="C2221" i="2"/>
  <c r="D2221" i="2"/>
  <c r="F2221" i="2"/>
  <c r="G2221" i="2"/>
  <c r="H2221" i="2"/>
  <c r="J2221" i="2"/>
  <c r="K2221" i="2"/>
  <c r="L2221" i="2"/>
  <c r="C2222" i="2"/>
  <c r="D2222" i="2"/>
  <c r="F2222" i="2"/>
  <c r="G2222" i="2"/>
  <c r="H2222" i="2"/>
  <c r="J2222" i="2"/>
  <c r="K2222" i="2"/>
  <c r="L2222" i="2"/>
  <c r="C2223" i="2"/>
  <c r="D2223" i="2"/>
  <c r="F2223" i="2"/>
  <c r="G2223" i="2"/>
  <c r="H2223" i="2"/>
  <c r="J2223" i="2"/>
  <c r="K2223" i="2"/>
  <c r="L2223" i="2"/>
  <c r="C2224" i="2"/>
  <c r="D2224" i="2"/>
  <c r="F2224" i="2"/>
  <c r="G2224" i="2"/>
  <c r="H2224" i="2"/>
  <c r="J2224" i="2"/>
  <c r="K2224" i="2"/>
  <c r="L2224" i="2"/>
  <c r="C2225" i="2"/>
  <c r="D2225" i="2"/>
  <c r="F2225" i="2"/>
  <c r="G2225" i="2"/>
  <c r="H2225" i="2"/>
  <c r="J2225" i="2"/>
  <c r="K2225" i="2"/>
  <c r="L2225" i="2"/>
  <c r="C2226" i="2"/>
  <c r="D2226" i="2"/>
  <c r="F2226" i="2"/>
  <c r="G2226" i="2"/>
  <c r="H2226" i="2"/>
  <c r="J2226" i="2"/>
  <c r="K2226" i="2"/>
  <c r="L2226" i="2"/>
  <c r="C2227" i="2"/>
  <c r="D2227" i="2"/>
  <c r="F2227" i="2"/>
  <c r="G2227" i="2"/>
  <c r="H2227" i="2"/>
  <c r="J2227" i="2"/>
  <c r="K2227" i="2"/>
  <c r="L2227" i="2"/>
  <c r="C2228" i="2"/>
  <c r="D2228" i="2"/>
  <c r="F2228" i="2"/>
  <c r="G2228" i="2"/>
  <c r="H2228" i="2"/>
  <c r="J2228" i="2"/>
  <c r="K2228" i="2"/>
  <c r="L2228" i="2"/>
  <c r="C2229" i="2"/>
  <c r="D2229" i="2"/>
  <c r="F2229" i="2"/>
  <c r="G2229" i="2"/>
  <c r="H2229" i="2"/>
  <c r="J2229" i="2"/>
  <c r="K2229" i="2"/>
  <c r="L2229" i="2"/>
  <c r="C2230" i="2"/>
  <c r="D2230" i="2"/>
  <c r="F2230" i="2"/>
  <c r="G2230" i="2"/>
  <c r="H2230" i="2"/>
  <c r="J2230" i="2"/>
  <c r="K2230" i="2"/>
  <c r="L2230" i="2"/>
  <c r="C2231" i="2"/>
  <c r="D2231" i="2"/>
  <c r="F2231" i="2"/>
  <c r="G2231" i="2"/>
  <c r="H2231" i="2"/>
  <c r="J2231" i="2"/>
  <c r="K2231" i="2"/>
  <c r="L2231" i="2"/>
  <c r="C2232" i="2"/>
  <c r="D2232" i="2"/>
  <c r="F2232" i="2"/>
  <c r="G2232" i="2"/>
  <c r="H2232" i="2"/>
  <c r="J2232" i="2"/>
  <c r="K2232" i="2"/>
  <c r="L2232" i="2"/>
  <c r="C2233" i="2"/>
  <c r="D2233" i="2"/>
  <c r="F2233" i="2"/>
  <c r="G2233" i="2"/>
  <c r="H2233" i="2"/>
  <c r="J2233" i="2"/>
  <c r="K2233" i="2"/>
  <c r="L2233" i="2"/>
  <c r="C2234" i="2"/>
  <c r="D2234" i="2"/>
  <c r="F2234" i="2"/>
  <c r="G2234" i="2"/>
  <c r="H2234" i="2"/>
  <c r="J2234" i="2"/>
  <c r="K2234" i="2"/>
  <c r="L2234" i="2"/>
  <c r="C2235" i="2"/>
  <c r="D2235" i="2"/>
  <c r="F2235" i="2"/>
  <c r="G2235" i="2"/>
  <c r="H2235" i="2"/>
  <c r="J2235" i="2"/>
  <c r="K2235" i="2"/>
  <c r="L2235" i="2"/>
  <c r="C2236" i="2"/>
  <c r="D2236" i="2"/>
  <c r="F2236" i="2"/>
  <c r="G2236" i="2"/>
  <c r="H2236" i="2"/>
  <c r="J2236" i="2"/>
  <c r="K2236" i="2"/>
  <c r="L2236" i="2"/>
  <c r="C2237" i="2"/>
  <c r="D2237" i="2"/>
  <c r="F2237" i="2"/>
  <c r="G2237" i="2"/>
  <c r="H2237" i="2"/>
  <c r="J2237" i="2"/>
  <c r="K2237" i="2"/>
  <c r="L2237" i="2"/>
  <c r="C2238" i="2"/>
  <c r="D2238" i="2"/>
  <c r="F2238" i="2"/>
  <c r="G2238" i="2"/>
  <c r="H2238" i="2"/>
  <c r="J2238" i="2"/>
  <c r="K2238" i="2"/>
  <c r="L2238" i="2"/>
  <c r="C2239" i="2"/>
  <c r="D2239" i="2"/>
  <c r="F2239" i="2"/>
  <c r="G2239" i="2"/>
  <c r="H2239" i="2"/>
  <c r="J2239" i="2"/>
  <c r="K2239" i="2"/>
  <c r="L2239" i="2"/>
  <c r="C2240" i="2"/>
  <c r="D2240" i="2"/>
  <c r="F2240" i="2"/>
  <c r="G2240" i="2"/>
  <c r="H2240" i="2"/>
  <c r="J2240" i="2"/>
  <c r="K2240" i="2"/>
  <c r="L2240" i="2"/>
  <c r="C2241" i="2"/>
  <c r="D2241" i="2"/>
  <c r="F2241" i="2"/>
  <c r="G2241" i="2"/>
  <c r="H2241" i="2"/>
  <c r="J2241" i="2"/>
  <c r="K2241" i="2"/>
  <c r="L2241" i="2"/>
  <c r="C2242" i="2"/>
  <c r="D2242" i="2"/>
  <c r="F2242" i="2"/>
  <c r="G2242" i="2"/>
  <c r="H2242" i="2"/>
  <c r="J2242" i="2"/>
  <c r="K2242" i="2"/>
  <c r="L2242" i="2"/>
  <c r="C2243" i="2"/>
  <c r="D2243" i="2"/>
  <c r="F2243" i="2"/>
  <c r="G2243" i="2"/>
  <c r="H2243" i="2"/>
  <c r="J2243" i="2"/>
  <c r="K2243" i="2"/>
  <c r="L2243" i="2"/>
  <c r="C2244" i="2"/>
  <c r="D2244" i="2"/>
  <c r="F2244" i="2"/>
  <c r="G2244" i="2"/>
  <c r="H2244" i="2"/>
  <c r="J2244" i="2"/>
  <c r="K2244" i="2"/>
  <c r="L2244" i="2"/>
  <c r="C2245" i="2"/>
  <c r="D2245" i="2"/>
  <c r="F2245" i="2"/>
  <c r="G2245" i="2"/>
  <c r="H2245" i="2"/>
  <c r="J2245" i="2"/>
  <c r="K2245" i="2"/>
  <c r="L2245" i="2"/>
  <c r="C2246" i="2"/>
  <c r="D2246" i="2"/>
  <c r="F2246" i="2"/>
  <c r="G2246" i="2"/>
  <c r="H2246" i="2"/>
  <c r="J2246" i="2"/>
  <c r="K2246" i="2"/>
  <c r="L2246" i="2"/>
  <c r="C2247" i="2"/>
  <c r="D2247" i="2"/>
  <c r="F2247" i="2"/>
  <c r="G2247" i="2"/>
  <c r="H2247" i="2"/>
  <c r="J2247" i="2"/>
  <c r="K2247" i="2"/>
  <c r="L2247" i="2"/>
  <c r="C2248" i="2"/>
  <c r="D2248" i="2"/>
  <c r="F2248" i="2"/>
  <c r="G2248" i="2"/>
  <c r="H2248" i="2"/>
  <c r="J2248" i="2"/>
  <c r="K2248" i="2"/>
  <c r="L2248" i="2"/>
  <c r="C2249" i="2"/>
  <c r="D2249" i="2"/>
  <c r="F2249" i="2"/>
  <c r="G2249" i="2"/>
  <c r="H2249" i="2"/>
  <c r="J2249" i="2"/>
  <c r="K2249" i="2"/>
  <c r="L2249" i="2"/>
  <c r="C2250" i="2"/>
  <c r="D2250" i="2"/>
  <c r="F2250" i="2"/>
  <c r="G2250" i="2"/>
  <c r="H2250" i="2"/>
  <c r="J2250" i="2"/>
  <c r="K2250" i="2"/>
  <c r="L2250" i="2"/>
  <c r="C2251" i="2"/>
  <c r="D2251" i="2"/>
  <c r="F2251" i="2"/>
  <c r="G2251" i="2"/>
  <c r="H2251" i="2"/>
  <c r="J2251" i="2"/>
  <c r="K2251" i="2"/>
  <c r="L2251" i="2"/>
  <c r="C2252" i="2"/>
  <c r="D2252" i="2"/>
  <c r="F2252" i="2"/>
  <c r="G2252" i="2"/>
  <c r="H2252" i="2"/>
  <c r="J2252" i="2"/>
  <c r="K2252" i="2"/>
  <c r="L2252" i="2"/>
  <c r="C2253" i="2"/>
  <c r="D2253" i="2"/>
  <c r="F2253" i="2"/>
  <c r="G2253" i="2"/>
  <c r="H2253" i="2"/>
  <c r="J2253" i="2"/>
  <c r="K2253" i="2"/>
  <c r="L2253" i="2"/>
  <c r="C2254" i="2"/>
  <c r="D2254" i="2"/>
  <c r="F2254" i="2"/>
  <c r="G2254" i="2"/>
  <c r="H2254" i="2"/>
  <c r="J2254" i="2"/>
  <c r="K2254" i="2"/>
  <c r="L2254" i="2"/>
  <c r="C2255" i="2"/>
  <c r="D2255" i="2"/>
  <c r="F2255" i="2"/>
  <c r="G2255" i="2"/>
  <c r="H2255" i="2"/>
  <c r="J2255" i="2"/>
  <c r="K2255" i="2"/>
  <c r="L2255" i="2"/>
  <c r="C2256" i="2"/>
  <c r="D2256" i="2"/>
  <c r="F2256" i="2"/>
  <c r="G2256" i="2"/>
  <c r="H2256" i="2"/>
  <c r="J2256" i="2"/>
  <c r="K2256" i="2"/>
  <c r="L2256" i="2"/>
  <c r="C2257" i="2"/>
  <c r="D2257" i="2"/>
  <c r="F2257" i="2"/>
  <c r="G2257" i="2"/>
  <c r="H2257" i="2"/>
  <c r="J2257" i="2"/>
  <c r="K2257" i="2"/>
  <c r="L2257" i="2"/>
  <c r="C2258" i="2"/>
  <c r="D2258" i="2"/>
  <c r="F2258" i="2"/>
  <c r="G2258" i="2"/>
  <c r="H2258" i="2"/>
  <c r="J2258" i="2"/>
  <c r="K2258" i="2"/>
  <c r="L2258" i="2"/>
  <c r="C2259" i="2"/>
  <c r="D2259" i="2"/>
  <c r="F2259" i="2"/>
  <c r="G2259" i="2"/>
  <c r="H2259" i="2"/>
  <c r="J2259" i="2"/>
  <c r="K2259" i="2"/>
  <c r="L2259" i="2"/>
  <c r="C2260" i="2"/>
  <c r="D2260" i="2"/>
  <c r="F2260" i="2"/>
  <c r="G2260" i="2"/>
  <c r="H2260" i="2"/>
  <c r="J2260" i="2"/>
  <c r="K2260" i="2"/>
  <c r="L2260" i="2"/>
  <c r="C2261" i="2"/>
  <c r="D2261" i="2"/>
  <c r="F2261" i="2"/>
  <c r="G2261" i="2"/>
  <c r="H2261" i="2"/>
  <c r="J2261" i="2"/>
  <c r="K2261" i="2"/>
  <c r="L2261" i="2"/>
  <c r="C2262" i="2"/>
  <c r="D2262" i="2"/>
  <c r="F2262" i="2"/>
  <c r="G2262" i="2"/>
  <c r="H2262" i="2"/>
  <c r="J2262" i="2"/>
  <c r="K2262" i="2"/>
  <c r="L2262" i="2"/>
  <c r="C2263" i="2"/>
  <c r="D2263" i="2"/>
  <c r="F2263" i="2"/>
  <c r="G2263" i="2"/>
  <c r="H2263" i="2"/>
  <c r="J2263" i="2"/>
  <c r="K2263" i="2"/>
  <c r="L2263" i="2"/>
  <c r="C2264" i="2"/>
  <c r="D2264" i="2"/>
  <c r="F2264" i="2"/>
  <c r="G2264" i="2"/>
  <c r="H2264" i="2"/>
  <c r="J2264" i="2"/>
  <c r="K2264" i="2"/>
  <c r="L2264" i="2"/>
  <c r="C2265" i="2"/>
  <c r="D2265" i="2"/>
  <c r="F2265" i="2"/>
  <c r="G2265" i="2"/>
  <c r="H2265" i="2"/>
  <c r="J2265" i="2"/>
  <c r="K2265" i="2"/>
  <c r="L2265" i="2"/>
  <c r="C2266" i="2"/>
  <c r="D2266" i="2"/>
  <c r="F2266" i="2"/>
  <c r="G2266" i="2"/>
  <c r="H2266" i="2"/>
  <c r="J2266" i="2"/>
  <c r="K2266" i="2"/>
  <c r="L2266" i="2"/>
  <c r="C2267" i="2"/>
  <c r="D2267" i="2"/>
  <c r="F2267" i="2"/>
  <c r="G2267" i="2"/>
  <c r="H2267" i="2"/>
  <c r="J2267" i="2"/>
  <c r="K2267" i="2"/>
  <c r="L2267" i="2"/>
  <c r="C2268" i="2"/>
  <c r="D2268" i="2"/>
  <c r="F2268" i="2"/>
  <c r="G2268" i="2"/>
  <c r="H2268" i="2"/>
  <c r="J2268" i="2"/>
  <c r="K2268" i="2"/>
  <c r="L2268" i="2"/>
  <c r="C2269" i="2"/>
  <c r="D2269" i="2"/>
  <c r="F2269" i="2"/>
  <c r="G2269" i="2"/>
  <c r="H2269" i="2"/>
  <c r="J2269" i="2"/>
  <c r="K2269" i="2"/>
  <c r="L2269" i="2"/>
  <c r="C2270" i="2"/>
  <c r="D2270" i="2"/>
  <c r="F2270" i="2"/>
  <c r="G2270" i="2"/>
  <c r="H2270" i="2"/>
  <c r="J2270" i="2"/>
  <c r="K2270" i="2"/>
  <c r="L2270" i="2"/>
  <c r="C2271" i="2"/>
  <c r="D2271" i="2"/>
  <c r="F2271" i="2"/>
  <c r="G2271" i="2"/>
  <c r="H2271" i="2"/>
  <c r="J2271" i="2"/>
  <c r="K2271" i="2"/>
  <c r="L2271" i="2"/>
  <c r="C2272" i="2"/>
  <c r="D2272" i="2"/>
  <c r="F2272" i="2"/>
  <c r="G2272" i="2"/>
  <c r="H2272" i="2"/>
  <c r="J2272" i="2"/>
  <c r="K2272" i="2"/>
  <c r="L2272" i="2"/>
  <c r="C2273" i="2"/>
  <c r="D2273" i="2"/>
  <c r="F2273" i="2"/>
  <c r="G2273" i="2"/>
  <c r="H2273" i="2"/>
  <c r="J2273" i="2"/>
  <c r="K2273" i="2"/>
  <c r="L2273" i="2"/>
  <c r="C2274" i="2"/>
  <c r="D2274" i="2"/>
  <c r="F2274" i="2"/>
  <c r="G2274" i="2"/>
  <c r="H2274" i="2"/>
  <c r="J2274" i="2"/>
  <c r="K2274" i="2"/>
  <c r="L2274" i="2"/>
  <c r="C2275" i="2"/>
  <c r="D2275" i="2"/>
  <c r="F2275" i="2"/>
  <c r="G2275" i="2"/>
  <c r="H2275" i="2"/>
  <c r="J2275" i="2"/>
  <c r="K2275" i="2"/>
  <c r="L2275" i="2"/>
  <c r="C2276" i="2"/>
  <c r="D2276" i="2"/>
  <c r="F2276" i="2"/>
  <c r="G2276" i="2"/>
  <c r="H2276" i="2"/>
  <c r="J2276" i="2"/>
  <c r="K2276" i="2"/>
  <c r="L2276" i="2"/>
  <c r="C2277" i="2"/>
  <c r="D2277" i="2"/>
  <c r="F2277" i="2"/>
  <c r="G2277" i="2"/>
  <c r="H2277" i="2"/>
  <c r="J2277" i="2"/>
  <c r="K2277" i="2"/>
  <c r="L2277" i="2"/>
  <c r="C2278" i="2"/>
  <c r="D2278" i="2"/>
  <c r="F2278" i="2"/>
  <c r="G2278" i="2"/>
  <c r="H2278" i="2"/>
  <c r="J2278" i="2"/>
  <c r="K2278" i="2"/>
  <c r="L2278" i="2"/>
  <c r="C2279" i="2"/>
  <c r="D2279" i="2"/>
  <c r="F2279" i="2"/>
  <c r="G2279" i="2"/>
  <c r="H2279" i="2"/>
  <c r="J2279" i="2"/>
  <c r="K2279" i="2"/>
  <c r="L2279" i="2"/>
  <c r="C2280" i="2"/>
  <c r="D2280" i="2"/>
  <c r="F2280" i="2"/>
  <c r="G2280" i="2"/>
  <c r="H2280" i="2"/>
  <c r="J2280" i="2"/>
  <c r="K2280" i="2"/>
  <c r="L2280" i="2"/>
  <c r="C2281" i="2"/>
  <c r="D2281" i="2"/>
  <c r="F2281" i="2"/>
  <c r="G2281" i="2"/>
  <c r="H2281" i="2"/>
  <c r="J2281" i="2"/>
  <c r="K2281" i="2"/>
  <c r="L2281" i="2"/>
  <c r="C2282" i="2"/>
  <c r="D2282" i="2"/>
  <c r="F2282" i="2"/>
  <c r="G2282" i="2"/>
  <c r="H2282" i="2"/>
  <c r="J2282" i="2"/>
  <c r="K2282" i="2"/>
  <c r="L2282" i="2"/>
  <c r="C2283" i="2"/>
  <c r="D2283" i="2"/>
  <c r="F2283" i="2"/>
  <c r="G2283" i="2"/>
  <c r="H2283" i="2"/>
  <c r="J2283" i="2"/>
  <c r="K2283" i="2"/>
  <c r="L2283" i="2"/>
  <c r="C2284" i="2"/>
  <c r="D2284" i="2"/>
  <c r="F2284" i="2"/>
  <c r="G2284" i="2"/>
  <c r="H2284" i="2"/>
  <c r="J2284" i="2"/>
  <c r="K2284" i="2"/>
  <c r="L2284" i="2"/>
  <c r="C2285" i="2"/>
  <c r="D2285" i="2"/>
  <c r="F2285" i="2"/>
  <c r="G2285" i="2"/>
  <c r="H2285" i="2"/>
  <c r="J2285" i="2"/>
  <c r="K2285" i="2"/>
  <c r="L2285" i="2"/>
  <c r="C2286" i="2"/>
  <c r="D2286" i="2"/>
  <c r="F2286" i="2"/>
  <c r="G2286" i="2"/>
  <c r="H2286" i="2"/>
  <c r="J2286" i="2"/>
  <c r="K2286" i="2"/>
  <c r="L2286" i="2"/>
  <c r="C2287" i="2"/>
  <c r="D2287" i="2"/>
  <c r="F2287" i="2"/>
  <c r="G2287" i="2"/>
  <c r="H2287" i="2"/>
  <c r="J2287" i="2"/>
  <c r="K2287" i="2"/>
  <c r="L2287" i="2"/>
  <c r="C2288" i="2"/>
  <c r="D2288" i="2"/>
  <c r="F2288" i="2"/>
  <c r="G2288" i="2"/>
  <c r="H2288" i="2"/>
  <c r="J2288" i="2"/>
  <c r="K2288" i="2"/>
  <c r="L2288" i="2"/>
  <c r="C2289" i="2"/>
  <c r="D2289" i="2"/>
  <c r="F2289" i="2"/>
  <c r="G2289" i="2"/>
  <c r="H2289" i="2"/>
  <c r="J2289" i="2"/>
  <c r="K2289" i="2"/>
  <c r="L2289" i="2"/>
  <c r="C2290" i="2"/>
  <c r="D2290" i="2"/>
  <c r="F2290" i="2"/>
  <c r="G2290" i="2"/>
  <c r="H2290" i="2"/>
  <c r="J2290" i="2"/>
  <c r="K2290" i="2"/>
  <c r="L2290" i="2"/>
  <c r="C2291" i="2"/>
  <c r="D2291" i="2"/>
  <c r="F2291" i="2"/>
  <c r="G2291" i="2"/>
  <c r="H2291" i="2"/>
  <c r="J2291" i="2"/>
  <c r="K2291" i="2"/>
  <c r="L2291" i="2"/>
  <c r="C2292" i="2"/>
  <c r="D2292" i="2"/>
  <c r="F2292" i="2"/>
  <c r="G2292" i="2"/>
  <c r="H2292" i="2"/>
  <c r="J2292" i="2"/>
  <c r="K2292" i="2"/>
  <c r="L2292" i="2"/>
  <c r="C2293" i="2"/>
  <c r="D2293" i="2"/>
  <c r="F2293" i="2"/>
  <c r="G2293" i="2"/>
  <c r="H2293" i="2"/>
  <c r="J2293" i="2"/>
  <c r="K2293" i="2"/>
  <c r="L2293" i="2"/>
  <c r="C2294" i="2"/>
  <c r="D2294" i="2"/>
  <c r="F2294" i="2"/>
  <c r="G2294" i="2"/>
  <c r="H2294" i="2"/>
  <c r="J2294" i="2"/>
  <c r="K2294" i="2"/>
  <c r="L2294" i="2"/>
  <c r="C2295" i="2"/>
  <c r="D2295" i="2"/>
  <c r="F2295" i="2"/>
  <c r="G2295" i="2"/>
  <c r="H2295" i="2"/>
  <c r="J2295" i="2"/>
  <c r="K2295" i="2"/>
  <c r="L2295" i="2"/>
  <c r="C2296" i="2"/>
  <c r="D2296" i="2"/>
  <c r="F2296" i="2"/>
  <c r="G2296" i="2"/>
  <c r="H2296" i="2"/>
  <c r="J2296" i="2"/>
  <c r="K2296" i="2"/>
  <c r="L2296" i="2"/>
  <c r="C2297" i="2"/>
  <c r="D2297" i="2"/>
  <c r="F2297" i="2"/>
  <c r="G2297" i="2"/>
  <c r="H2297" i="2"/>
  <c r="J2297" i="2"/>
  <c r="K2297" i="2"/>
  <c r="L2297" i="2"/>
  <c r="C2298" i="2"/>
  <c r="D2298" i="2"/>
  <c r="F2298" i="2"/>
  <c r="G2298" i="2"/>
  <c r="H2298" i="2"/>
  <c r="J2298" i="2"/>
  <c r="K2298" i="2"/>
  <c r="L2298" i="2"/>
  <c r="C2299" i="2"/>
  <c r="D2299" i="2"/>
  <c r="F2299" i="2"/>
  <c r="G2299" i="2"/>
  <c r="H2299" i="2"/>
  <c r="J2299" i="2"/>
  <c r="K2299" i="2"/>
  <c r="L2299" i="2"/>
  <c r="C2300" i="2"/>
  <c r="D2300" i="2"/>
  <c r="F2300" i="2"/>
  <c r="G2300" i="2"/>
  <c r="H2300" i="2"/>
  <c r="J2300" i="2"/>
  <c r="K2300" i="2"/>
  <c r="L2300" i="2"/>
  <c r="C2301" i="2"/>
  <c r="D2301" i="2"/>
  <c r="F2301" i="2"/>
  <c r="G2301" i="2"/>
  <c r="H2301" i="2"/>
  <c r="J2301" i="2"/>
  <c r="K2301" i="2"/>
  <c r="L2301" i="2"/>
  <c r="C2302" i="2"/>
  <c r="D2302" i="2"/>
  <c r="F2302" i="2"/>
  <c r="G2302" i="2"/>
  <c r="H2302" i="2"/>
  <c r="J2302" i="2"/>
  <c r="K2302" i="2"/>
  <c r="L2302" i="2"/>
  <c r="C2303" i="2"/>
  <c r="D2303" i="2"/>
  <c r="F2303" i="2"/>
  <c r="G2303" i="2"/>
  <c r="H2303" i="2"/>
  <c r="J2303" i="2"/>
  <c r="K2303" i="2"/>
  <c r="L2303" i="2"/>
  <c r="C2304" i="2"/>
  <c r="D2304" i="2"/>
  <c r="F2304" i="2"/>
  <c r="G2304" i="2"/>
  <c r="H2304" i="2"/>
  <c r="J2304" i="2"/>
  <c r="K2304" i="2"/>
  <c r="L2304" i="2"/>
  <c r="C2305" i="2"/>
  <c r="D2305" i="2"/>
  <c r="F2305" i="2"/>
  <c r="G2305" i="2"/>
  <c r="H2305" i="2"/>
  <c r="J2305" i="2"/>
  <c r="K2305" i="2"/>
  <c r="L2305" i="2"/>
  <c r="C2306" i="2"/>
  <c r="D2306" i="2"/>
  <c r="F2306" i="2"/>
  <c r="G2306" i="2"/>
  <c r="H2306" i="2"/>
  <c r="J2306" i="2"/>
  <c r="K2306" i="2"/>
  <c r="L2306" i="2"/>
  <c r="C2307" i="2"/>
  <c r="D2307" i="2"/>
  <c r="F2307" i="2"/>
  <c r="G2307" i="2"/>
  <c r="H2307" i="2"/>
  <c r="J2307" i="2"/>
  <c r="K2307" i="2"/>
  <c r="L2307" i="2"/>
  <c r="C2308" i="2"/>
  <c r="D2308" i="2"/>
  <c r="F2308" i="2"/>
  <c r="G2308" i="2"/>
  <c r="H2308" i="2"/>
  <c r="J2308" i="2"/>
  <c r="K2308" i="2"/>
  <c r="L2308" i="2"/>
  <c r="C2309" i="2"/>
  <c r="D2309" i="2"/>
  <c r="F2309" i="2"/>
  <c r="G2309" i="2"/>
  <c r="H2309" i="2"/>
  <c r="J2309" i="2"/>
  <c r="K2309" i="2"/>
  <c r="L2309" i="2"/>
  <c r="C2310" i="2"/>
  <c r="D2310" i="2"/>
  <c r="F2310" i="2"/>
  <c r="G2310" i="2"/>
  <c r="H2310" i="2"/>
  <c r="J2310" i="2"/>
  <c r="K2310" i="2"/>
  <c r="L2310" i="2"/>
  <c r="C2311" i="2"/>
  <c r="D2311" i="2"/>
  <c r="F2311" i="2"/>
  <c r="G2311" i="2"/>
  <c r="H2311" i="2"/>
  <c r="J2311" i="2"/>
  <c r="K2311" i="2"/>
  <c r="L2311" i="2"/>
  <c r="C2312" i="2"/>
  <c r="D2312" i="2"/>
  <c r="F2312" i="2"/>
  <c r="G2312" i="2"/>
  <c r="H2312" i="2"/>
  <c r="J2312" i="2"/>
  <c r="K2312" i="2"/>
  <c r="L2312" i="2"/>
  <c r="C2313" i="2"/>
  <c r="D2313" i="2"/>
  <c r="F2313" i="2"/>
  <c r="G2313" i="2"/>
  <c r="H2313" i="2"/>
  <c r="J2313" i="2"/>
  <c r="K2313" i="2"/>
  <c r="L2313" i="2"/>
  <c r="C2314" i="2"/>
  <c r="D2314" i="2"/>
  <c r="F2314" i="2"/>
  <c r="G2314" i="2"/>
  <c r="H2314" i="2"/>
  <c r="J2314" i="2"/>
  <c r="K2314" i="2"/>
  <c r="L2314" i="2"/>
  <c r="C2315" i="2"/>
  <c r="D2315" i="2"/>
  <c r="F2315" i="2"/>
  <c r="G2315" i="2"/>
  <c r="H2315" i="2"/>
  <c r="J2315" i="2"/>
  <c r="K2315" i="2"/>
  <c r="L2315" i="2"/>
  <c r="C2316" i="2"/>
  <c r="D2316" i="2"/>
  <c r="F2316" i="2"/>
  <c r="G2316" i="2"/>
  <c r="H2316" i="2"/>
  <c r="J2316" i="2"/>
  <c r="K2316" i="2"/>
  <c r="L2316" i="2"/>
  <c r="C2317" i="2"/>
  <c r="D2317" i="2"/>
  <c r="F2317" i="2"/>
  <c r="G2317" i="2"/>
  <c r="H2317" i="2"/>
  <c r="J2317" i="2"/>
  <c r="K2317" i="2"/>
  <c r="L2317" i="2"/>
  <c r="C2318" i="2"/>
  <c r="D2318" i="2"/>
  <c r="F2318" i="2"/>
  <c r="G2318" i="2"/>
  <c r="H2318" i="2"/>
  <c r="J2318" i="2"/>
  <c r="K2318" i="2"/>
  <c r="L2318" i="2"/>
  <c r="C2319" i="2"/>
  <c r="D2319" i="2"/>
  <c r="F2319" i="2"/>
  <c r="G2319" i="2"/>
  <c r="H2319" i="2"/>
  <c r="J2319" i="2"/>
  <c r="K2319" i="2"/>
  <c r="L2319" i="2"/>
  <c r="C2320" i="2"/>
  <c r="D2320" i="2"/>
  <c r="F2320" i="2"/>
  <c r="G2320" i="2"/>
  <c r="H2320" i="2"/>
  <c r="J2320" i="2"/>
  <c r="K2320" i="2"/>
  <c r="L2320" i="2"/>
  <c r="C2321" i="2"/>
  <c r="D2321" i="2"/>
  <c r="F2321" i="2"/>
  <c r="G2321" i="2"/>
  <c r="H2321" i="2"/>
  <c r="J2321" i="2"/>
  <c r="K2321" i="2"/>
  <c r="L2321" i="2"/>
  <c r="C2322" i="2"/>
  <c r="D2322" i="2"/>
  <c r="F2322" i="2"/>
  <c r="G2322" i="2"/>
  <c r="H2322" i="2"/>
  <c r="J2322" i="2"/>
  <c r="K2322" i="2"/>
  <c r="L2322" i="2"/>
  <c r="C2323" i="2"/>
  <c r="D2323" i="2"/>
  <c r="F2323" i="2"/>
  <c r="G2323" i="2"/>
  <c r="H2323" i="2"/>
  <c r="J2323" i="2"/>
  <c r="K2323" i="2"/>
  <c r="L2323" i="2"/>
  <c r="C2324" i="2"/>
  <c r="D2324" i="2"/>
  <c r="F2324" i="2"/>
  <c r="G2324" i="2"/>
  <c r="H2324" i="2"/>
  <c r="J2324" i="2"/>
  <c r="K2324" i="2"/>
  <c r="L2324" i="2"/>
  <c r="C2325" i="2"/>
  <c r="D2325" i="2"/>
  <c r="F2325" i="2"/>
  <c r="G2325" i="2"/>
  <c r="H2325" i="2"/>
  <c r="J2325" i="2"/>
  <c r="K2325" i="2"/>
  <c r="L2325" i="2"/>
  <c r="C2326" i="2"/>
  <c r="D2326" i="2"/>
  <c r="F2326" i="2"/>
  <c r="G2326" i="2"/>
  <c r="H2326" i="2"/>
  <c r="J2326" i="2"/>
  <c r="K2326" i="2"/>
  <c r="L2326" i="2"/>
  <c r="C2327" i="2"/>
  <c r="D2327" i="2"/>
  <c r="F2327" i="2"/>
  <c r="G2327" i="2"/>
  <c r="H2327" i="2"/>
  <c r="J2327" i="2"/>
  <c r="K2327" i="2"/>
  <c r="L2327" i="2"/>
  <c r="C2328" i="2"/>
  <c r="D2328" i="2"/>
  <c r="F2328" i="2"/>
  <c r="G2328" i="2"/>
  <c r="H2328" i="2"/>
  <c r="J2328" i="2"/>
  <c r="K2328" i="2"/>
  <c r="L2328" i="2"/>
  <c r="C2329" i="2"/>
  <c r="D2329" i="2"/>
  <c r="F2329" i="2"/>
  <c r="G2329" i="2"/>
  <c r="H2329" i="2"/>
  <c r="J2329" i="2"/>
  <c r="K2329" i="2"/>
  <c r="L2329" i="2"/>
  <c r="C2330" i="2"/>
  <c r="D2330" i="2"/>
  <c r="F2330" i="2"/>
  <c r="G2330" i="2"/>
  <c r="H2330" i="2"/>
  <c r="J2330" i="2"/>
  <c r="K2330" i="2"/>
  <c r="L2330" i="2"/>
  <c r="C2331" i="2"/>
  <c r="D2331" i="2"/>
  <c r="F2331" i="2"/>
  <c r="G2331" i="2"/>
  <c r="H2331" i="2"/>
  <c r="J2331" i="2"/>
  <c r="K2331" i="2"/>
  <c r="L2331" i="2"/>
  <c r="C2332" i="2"/>
  <c r="D2332" i="2"/>
  <c r="F2332" i="2"/>
  <c r="G2332" i="2"/>
  <c r="H2332" i="2"/>
  <c r="J2332" i="2"/>
  <c r="K2332" i="2"/>
  <c r="L2332" i="2"/>
  <c r="C2333" i="2"/>
  <c r="D2333" i="2"/>
  <c r="F2333" i="2"/>
  <c r="G2333" i="2"/>
  <c r="H2333" i="2"/>
  <c r="J2333" i="2"/>
  <c r="K2333" i="2"/>
  <c r="L2333" i="2"/>
  <c r="C2334" i="2"/>
  <c r="D2334" i="2"/>
  <c r="F2334" i="2"/>
  <c r="G2334" i="2"/>
  <c r="H2334" i="2"/>
  <c r="J2334" i="2"/>
  <c r="K2334" i="2"/>
  <c r="L2334" i="2"/>
  <c r="C2335" i="2"/>
  <c r="D2335" i="2"/>
  <c r="F2335" i="2"/>
  <c r="G2335" i="2"/>
  <c r="H2335" i="2"/>
  <c r="J2335" i="2"/>
  <c r="K2335" i="2"/>
  <c r="L2335" i="2"/>
  <c r="C2336" i="2"/>
  <c r="D2336" i="2"/>
  <c r="F2336" i="2"/>
  <c r="G2336" i="2"/>
  <c r="H2336" i="2"/>
  <c r="J2336" i="2"/>
  <c r="K2336" i="2"/>
  <c r="L2336" i="2"/>
  <c r="C2337" i="2"/>
  <c r="D2337" i="2"/>
  <c r="F2337" i="2"/>
  <c r="G2337" i="2"/>
  <c r="H2337" i="2"/>
  <c r="J2337" i="2"/>
  <c r="K2337" i="2"/>
  <c r="L2337" i="2"/>
  <c r="C2338" i="2"/>
  <c r="D2338" i="2"/>
  <c r="F2338" i="2"/>
  <c r="G2338" i="2"/>
  <c r="H2338" i="2"/>
  <c r="J2338" i="2"/>
  <c r="K2338" i="2"/>
  <c r="L2338" i="2"/>
  <c r="C2339" i="2"/>
  <c r="D2339" i="2"/>
  <c r="F2339" i="2"/>
  <c r="G2339" i="2"/>
  <c r="H2339" i="2"/>
  <c r="J2339" i="2"/>
  <c r="K2339" i="2"/>
  <c r="L2339" i="2"/>
  <c r="C2340" i="2"/>
  <c r="D2340" i="2"/>
  <c r="F2340" i="2"/>
  <c r="G2340" i="2"/>
  <c r="H2340" i="2"/>
  <c r="J2340" i="2"/>
  <c r="K2340" i="2"/>
  <c r="L2340" i="2"/>
  <c r="C2341" i="2"/>
  <c r="D2341" i="2"/>
  <c r="F2341" i="2"/>
  <c r="G2341" i="2"/>
  <c r="H2341" i="2"/>
  <c r="J2341" i="2"/>
  <c r="K2341" i="2"/>
  <c r="L2341" i="2"/>
  <c r="C2342" i="2"/>
  <c r="D2342" i="2"/>
  <c r="F2342" i="2"/>
  <c r="G2342" i="2"/>
  <c r="H2342" i="2"/>
  <c r="J2342" i="2"/>
  <c r="K2342" i="2"/>
  <c r="L2342" i="2"/>
  <c r="C2343" i="2"/>
  <c r="D2343" i="2"/>
  <c r="F2343" i="2"/>
  <c r="G2343" i="2"/>
  <c r="H2343" i="2"/>
  <c r="J2343" i="2"/>
  <c r="K2343" i="2"/>
  <c r="L2343" i="2"/>
  <c r="C2344" i="2"/>
  <c r="D2344" i="2"/>
  <c r="F2344" i="2"/>
  <c r="G2344" i="2"/>
  <c r="H2344" i="2"/>
  <c r="J2344" i="2"/>
  <c r="K2344" i="2"/>
  <c r="L2344" i="2"/>
  <c r="C2345" i="2"/>
  <c r="D2345" i="2"/>
  <c r="F2345" i="2"/>
  <c r="G2345" i="2"/>
  <c r="H2345" i="2"/>
  <c r="J2345" i="2"/>
  <c r="K2345" i="2"/>
  <c r="L2345" i="2"/>
  <c r="C2346" i="2"/>
  <c r="D2346" i="2"/>
  <c r="F2346" i="2"/>
  <c r="G2346" i="2"/>
  <c r="H2346" i="2"/>
  <c r="J2346" i="2"/>
  <c r="K2346" i="2"/>
  <c r="L2346" i="2"/>
  <c r="C2347" i="2"/>
  <c r="D2347" i="2"/>
  <c r="F2347" i="2"/>
  <c r="G2347" i="2"/>
  <c r="H2347" i="2"/>
  <c r="J2347" i="2"/>
  <c r="K2347" i="2"/>
  <c r="L2347" i="2"/>
  <c r="C2348" i="2"/>
  <c r="D2348" i="2"/>
  <c r="F2348" i="2"/>
  <c r="G2348" i="2"/>
  <c r="H2348" i="2"/>
  <c r="J2348" i="2"/>
  <c r="K2348" i="2"/>
  <c r="L2348" i="2"/>
  <c r="C2349" i="2"/>
  <c r="D2349" i="2"/>
  <c r="F2349" i="2"/>
  <c r="G2349" i="2"/>
  <c r="H2349" i="2"/>
  <c r="J2349" i="2"/>
  <c r="K2349" i="2"/>
  <c r="L2349" i="2"/>
  <c r="C2350" i="2"/>
  <c r="D2350" i="2"/>
  <c r="F2350" i="2"/>
  <c r="G2350" i="2"/>
  <c r="H2350" i="2"/>
  <c r="J2350" i="2"/>
  <c r="K2350" i="2"/>
  <c r="L2350" i="2"/>
  <c r="C2351" i="2"/>
  <c r="D2351" i="2"/>
  <c r="F2351" i="2"/>
  <c r="G2351" i="2"/>
  <c r="H2351" i="2"/>
  <c r="J2351" i="2"/>
  <c r="K2351" i="2"/>
  <c r="L2351" i="2"/>
  <c r="C2352" i="2"/>
  <c r="D2352" i="2"/>
  <c r="F2352" i="2"/>
  <c r="G2352" i="2"/>
  <c r="H2352" i="2"/>
  <c r="J2352" i="2"/>
  <c r="K2352" i="2"/>
  <c r="L2352" i="2"/>
  <c r="C2353" i="2"/>
  <c r="D2353" i="2"/>
  <c r="F2353" i="2"/>
  <c r="G2353" i="2"/>
  <c r="H2353" i="2"/>
  <c r="J2353" i="2"/>
  <c r="K2353" i="2"/>
  <c r="L2353" i="2"/>
  <c r="C2354" i="2"/>
  <c r="D2354" i="2"/>
  <c r="F2354" i="2"/>
  <c r="G2354" i="2"/>
  <c r="H2354" i="2"/>
  <c r="J2354" i="2"/>
  <c r="K2354" i="2"/>
  <c r="L2354" i="2"/>
  <c r="C2355" i="2"/>
  <c r="D2355" i="2"/>
  <c r="F2355" i="2"/>
  <c r="G2355" i="2"/>
  <c r="H2355" i="2"/>
  <c r="J2355" i="2"/>
  <c r="K2355" i="2"/>
  <c r="L2355" i="2"/>
  <c r="C2356" i="2"/>
  <c r="D2356" i="2"/>
  <c r="F2356" i="2"/>
  <c r="G2356" i="2"/>
  <c r="H2356" i="2"/>
  <c r="J2356" i="2"/>
  <c r="K2356" i="2"/>
  <c r="L2356" i="2"/>
  <c r="C2357" i="2"/>
  <c r="D2357" i="2"/>
  <c r="F2357" i="2"/>
  <c r="G2357" i="2"/>
  <c r="H2357" i="2"/>
  <c r="J2357" i="2"/>
  <c r="K2357" i="2"/>
  <c r="L2357" i="2"/>
  <c r="C2358" i="2"/>
  <c r="D2358" i="2"/>
  <c r="F2358" i="2"/>
  <c r="G2358" i="2"/>
  <c r="H2358" i="2"/>
  <c r="J2358" i="2"/>
  <c r="K2358" i="2"/>
  <c r="L2358" i="2"/>
  <c r="C2359" i="2"/>
  <c r="D2359" i="2"/>
  <c r="F2359" i="2"/>
  <c r="G2359" i="2"/>
  <c r="H2359" i="2"/>
  <c r="J2359" i="2"/>
  <c r="K2359" i="2"/>
  <c r="L2359" i="2"/>
  <c r="C2360" i="2"/>
  <c r="D2360" i="2"/>
  <c r="F2360" i="2"/>
  <c r="G2360" i="2"/>
  <c r="H2360" i="2"/>
  <c r="J2360" i="2"/>
  <c r="K2360" i="2"/>
  <c r="L2360" i="2"/>
  <c r="C2361" i="2"/>
  <c r="D2361" i="2"/>
  <c r="F2361" i="2"/>
  <c r="G2361" i="2"/>
  <c r="H2361" i="2"/>
  <c r="J2361" i="2"/>
  <c r="K2361" i="2"/>
  <c r="L2361" i="2"/>
  <c r="C2362" i="2"/>
  <c r="D2362" i="2"/>
  <c r="F2362" i="2"/>
  <c r="G2362" i="2"/>
  <c r="H2362" i="2"/>
  <c r="J2362" i="2"/>
  <c r="K2362" i="2"/>
  <c r="L2362" i="2"/>
  <c r="C2363" i="2"/>
  <c r="D2363" i="2"/>
  <c r="F2363" i="2"/>
  <c r="G2363" i="2"/>
  <c r="H2363" i="2"/>
  <c r="J2363" i="2"/>
  <c r="K2363" i="2"/>
  <c r="L2363" i="2"/>
  <c r="C2364" i="2"/>
  <c r="D2364" i="2"/>
  <c r="F2364" i="2"/>
  <c r="G2364" i="2"/>
  <c r="H2364" i="2"/>
  <c r="J2364" i="2"/>
  <c r="K2364" i="2"/>
  <c r="L2364" i="2"/>
  <c r="C2365" i="2"/>
  <c r="D2365" i="2"/>
  <c r="F2365" i="2"/>
  <c r="G2365" i="2"/>
  <c r="H2365" i="2"/>
  <c r="J2365" i="2"/>
  <c r="K2365" i="2"/>
  <c r="L2365" i="2"/>
  <c r="C2366" i="2"/>
  <c r="D2366" i="2"/>
  <c r="F2366" i="2"/>
  <c r="G2366" i="2"/>
  <c r="H2366" i="2"/>
  <c r="J2366" i="2"/>
  <c r="K2366" i="2"/>
  <c r="L2366" i="2"/>
  <c r="C2367" i="2"/>
  <c r="D2367" i="2"/>
  <c r="F2367" i="2"/>
  <c r="G2367" i="2"/>
  <c r="H2367" i="2"/>
  <c r="J2367" i="2"/>
  <c r="K2367" i="2"/>
  <c r="L2367" i="2"/>
  <c r="C2368" i="2"/>
  <c r="D2368" i="2"/>
  <c r="F2368" i="2"/>
  <c r="G2368" i="2"/>
  <c r="H2368" i="2"/>
  <c r="J2368" i="2"/>
  <c r="K2368" i="2"/>
  <c r="L2368" i="2"/>
  <c r="C2369" i="2"/>
  <c r="D2369" i="2"/>
  <c r="F2369" i="2"/>
  <c r="G2369" i="2"/>
  <c r="H2369" i="2"/>
  <c r="J2369" i="2"/>
  <c r="K2369" i="2"/>
  <c r="L2369" i="2"/>
  <c r="C2370" i="2"/>
  <c r="D2370" i="2"/>
  <c r="F2370" i="2"/>
  <c r="G2370" i="2"/>
  <c r="H2370" i="2"/>
  <c r="J2370" i="2"/>
  <c r="K2370" i="2"/>
  <c r="L2370" i="2"/>
  <c r="C2371" i="2"/>
  <c r="D2371" i="2"/>
  <c r="F2371" i="2"/>
  <c r="G2371" i="2"/>
  <c r="H2371" i="2"/>
  <c r="J2371" i="2"/>
  <c r="K2371" i="2"/>
  <c r="L2371" i="2"/>
  <c r="C2372" i="2"/>
  <c r="D2372" i="2"/>
  <c r="F2372" i="2"/>
  <c r="G2372" i="2"/>
  <c r="H2372" i="2"/>
  <c r="J2372" i="2"/>
  <c r="K2372" i="2"/>
  <c r="L2372" i="2"/>
  <c r="C2373" i="2"/>
  <c r="D2373" i="2"/>
  <c r="F2373" i="2"/>
  <c r="G2373" i="2"/>
  <c r="H2373" i="2"/>
  <c r="J2373" i="2"/>
  <c r="K2373" i="2"/>
  <c r="L2373" i="2"/>
  <c r="C2374" i="2"/>
  <c r="D2374" i="2"/>
  <c r="F2374" i="2"/>
  <c r="G2374" i="2"/>
  <c r="H2374" i="2"/>
  <c r="J2374" i="2"/>
  <c r="K2374" i="2"/>
  <c r="L2374" i="2"/>
  <c r="C2375" i="2"/>
  <c r="D2375" i="2"/>
  <c r="F2375" i="2"/>
  <c r="G2375" i="2"/>
  <c r="H2375" i="2"/>
  <c r="J2375" i="2"/>
  <c r="K2375" i="2"/>
  <c r="L2375" i="2"/>
  <c r="C2376" i="2"/>
  <c r="D2376" i="2"/>
  <c r="F2376" i="2"/>
  <c r="G2376" i="2"/>
  <c r="H2376" i="2"/>
  <c r="J2376" i="2"/>
  <c r="K2376" i="2"/>
  <c r="L2376" i="2"/>
  <c r="C2377" i="2"/>
  <c r="D2377" i="2"/>
  <c r="F2377" i="2"/>
  <c r="G2377" i="2"/>
  <c r="H2377" i="2"/>
  <c r="J2377" i="2"/>
  <c r="K2377" i="2"/>
  <c r="L2377" i="2"/>
  <c r="C2378" i="2"/>
  <c r="D2378" i="2"/>
  <c r="F2378" i="2"/>
  <c r="G2378" i="2"/>
  <c r="H2378" i="2"/>
  <c r="J2378" i="2"/>
  <c r="K2378" i="2"/>
  <c r="L2378" i="2"/>
  <c r="C2379" i="2"/>
  <c r="D2379" i="2"/>
  <c r="F2379" i="2"/>
  <c r="G2379" i="2"/>
  <c r="H2379" i="2"/>
  <c r="J2379" i="2"/>
  <c r="K2379" i="2"/>
  <c r="L2379" i="2"/>
  <c r="C2380" i="2"/>
  <c r="D2380" i="2"/>
  <c r="F2380" i="2"/>
  <c r="G2380" i="2"/>
  <c r="H2380" i="2"/>
  <c r="J2380" i="2"/>
  <c r="K2380" i="2"/>
  <c r="L2380" i="2"/>
  <c r="C2381" i="2"/>
  <c r="D2381" i="2"/>
  <c r="F2381" i="2"/>
  <c r="G2381" i="2"/>
  <c r="H2381" i="2"/>
  <c r="J2381" i="2"/>
  <c r="K2381" i="2"/>
  <c r="L2381" i="2"/>
  <c r="C2382" i="2"/>
  <c r="D2382" i="2"/>
  <c r="F2382" i="2"/>
  <c r="G2382" i="2"/>
  <c r="H2382" i="2"/>
  <c r="J2382" i="2"/>
  <c r="K2382" i="2"/>
  <c r="L2382" i="2"/>
  <c r="C2383" i="2"/>
  <c r="D2383" i="2"/>
  <c r="F2383" i="2"/>
  <c r="G2383" i="2"/>
  <c r="H2383" i="2"/>
  <c r="J2383" i="2"/>
  <c r="K2383" i="2"/>
  <c r="L2383" i="2"/>
  <c r="C2384" i="2"/>
  <c r="D2384" i="2"/>
  <c r="F2384" i="2"/>
  <c r="G2384" i="2"/>
  <c r="H2384" i="2"/>
  <c r="J2384" i="2"/>
  <c r="K2384" i="2"/>
  <c r="L2384" i="2"/>
  <c r="C2385" i="2"/>
  <c r="D2385" i="2"/>
  <c r="F2385" i="2"/>
  <c r="G2385" i="2"/>
  <c r="H2385" i="2"/>
  <c r="J2385" i="2"/>
  <c r="K2385" i="2"/>
  <c r="L2385" i="2"/>
  <c r="C2386" i="2"/>
  <c r="D2386" i="2"/>
  <c r="F2386" i="2"/>
  <c r="G2386" i="2"/>
  <c r="H2386" i="2"/>
  <c r="J2386" i="2"/>
  <c r="K2386" i="2"/>
  <c r="L2386" i="2"/>
  <c r="C2387" i="2"/>
  <c r="D2387" i="2"/>
  <c r="F2387" i="2"/>
  <c r="G2387" i="2"/>
  <c r="H2387" i="2"/>
  <c r="J2387" i="2"/>
  <c r="K2387" i="2"/>
  <c r="L2387" i="2"/>
  <c r="C2388" i="2"/>
  <c r="D2388" i="2"/>
  <c r="F2388" i="2"/>
  <c r="G2388" i="2"/>
  <c r="H2388" i="2"/>
  <c r="J2388" i="2"/>
  <c r="K2388" i="2"/>
  <c r="L2388" i="2"/>
  <c r="C2389" i="2"/>
  <c r="D2389" i="2"/>
  <c r="F2389" i="2"/>
  <c r="G2389" i="2"/>
  <c r="H2389" i="2"/>
  <c r="J2389" i="2"/>
  <c r="K2389" i="2"/>
  <c r="L2389" i="2"/>
  <c r="C2390" i="2"/>
  <c r="D2390" i="2"/>
  <c r="F2390" i="2"/>
  <c r="G2390" i="2"/>
  <c r="H2390" i="2"/>
  <c r="J2390" i="2"/>
  <c r="K2390" i="2"/>
  <c r="L2390" i="2"/>
  <c r="C2391" i="2"/>
  <c r="D2391" i="2"/>
  <c r="F2391" i="2"/>
  <c r="G2391" i="2"/>
  <c r="H2391" i="2"/>
  <c r="J2391" i="2"/>
  <c r="K2391" i="2"/>
  <c r="L2391" i="2"/>
  <c r="C2392" i="2"/>
  <c r="D2392" i="2"/>
  <c r="F2392" i="2"/>
  <c r="G2392" i="2"/>
  <c r="H2392" i="2"/>
  <c r="J2392" i="2"/>
  <c r="K2392" i="2"/>
  <c r="L2392" i="2"/>
  <c r="C2393" i="2"/>
  <c r="D2393" i="2"/>
  <c r="F2393" i="2"/>
  <c r="G2393" i="2"/>
  <c r="H2393" i="2"/>
  <c r="J2393" i="2"/>
  <c r="K2393" i="2"/>
  <c r="L2393" i="2"/>
  <c r="C2394" i="2"/>
  <c r="D2394" i="2"/>
  <c r="F2394" i="2"/>
  <c r="G2394" i="2"/>
  <c r="H2394" i="2"/>
  <c r="J2394" i="2"/>
  <c r="K2394" i="2"/>
  <c r="L2394" i="2"/>
  <c r="C2395" i="2"/>
  <c r="D2395" i="2"/>
  <c r="F2395" i="2"/>
  <c r="G2395" i="2"/>
  <c r="H2395" i="2"/>
  <c r="J2395" i="2"/>
  <c r="K2395" i="2"/>
  <c r="L2395" i="2"/>
  <c r="C2396" i="2"/>
  <c r="D2396" i="2"/>
  <c r="F2396" i="2"/>
  <c r="G2396" i="2"/>
  <c r="H2396" i="2"/>
  <c r="J2396" i="2"/>
  <c r="K2396" i="2"/>
  <c r="L2396" i="2"/>
  <c r="C2397" i="2"/>
  <c r="D2397" i="2"/>
  <c r="F2397" i="2"/>
  <c r="G2397" i="2"/>
  <c r="H2397" i="2"/>
  <c r="J2397" i="2"/>
  <c r="K2397" i="2"/>
  <c r="L2397" i="2"/>
  <c r="C2398" i="2"/>
  <c r="D2398" i="2"/>
  <c r="F2398" i="2"/>
  <c r="G2398" i="2"/>
  <c r="H2398" i="2"/>
  <c r="J2398" i="2"/>
  <c r="K2398" i="2"/>
  <c r="L2398" i="2"/>
  <c r="C2399" i="2"/>
  <c r="D2399" i="2"/>
  <c r="F2399" i="2"/>
  <c r="G2399" i="2"/>
  <c r="H2399" i="2"/>
  <c r="J2399" i="2"/>
  <c r="K2399" i="2"/>
  <c r="L2399" i="2"/>
  <c r="C2400" i="2"/>
  <c r="D2400" i="2"/>
  <c r="F2400" i="2"/>
  <c r="G2400" i="2"/>
  <c r="H2400" i="2"/>
  <c r="J2400" i="2"/>
  <c r="K2400" i="2"/>
  <c r="L2400" i="2"/>
  <c r="C2401" i="2"/>
  <c r="D2401" i="2"/>
  <c r="F2401" i="2"/>
  <c r="G2401" i="2"/>
  <c r="H2401" i="2"/>
  <c r="J2401" i="2"/>
  <c r="K2401" i="2"/>
  <c r="L2401" i="2"/>
  <c r="C2402" i="2"/>
  <c r="D2402" i="2"/>
  <c r="F2402" i="2"/>
  <c r="G2402" i="2"/>
  <c r="H2402" i="2"/>
  <c r="J2402" i="2"/>
  <c r="K2402" i="2"/>
  <c r="L2402" i="2"/>
  <c r="C2403" i="2"/>
  <c r="D2403" i="2"/>
  <c r="F2403" i="2"/>
  <c r="G2403" i="2"/>
  <c r="H2403" i="2"/>
  <c r="J2403" i="2"/>
  <c r="K2403" i="2"/>
  <c r="L2403" i="2"/>
  <c r="C2404" i="2"/>
  <c r="D2404" i="2"/>
  <c r="F2404" i="2"/>
  <c r="G2404" i="2"/>
  <c r="H2404" i="2"/>
  <c r="J2404" i="2"/>
  <c r="K2404" i="2"/>
  <c r="L2404" i="2"/>
  <c r="C2405" i="2"/>
  <c r="D2405" i="2"/>
  <c r="F2405" i="2"/>
  <c r="G2405" i="2"/>
  <c r="H2405" i="2"/>
  <c r="J2405" i="2"/>
  <c r="K2405" i="2"/>
  <c r="L2405" i="2"/>
  <c r="C2406" i="2"/>
  <c r="D2406" i="2"/>
  <c r="F2406" i="2"/>
  <c r="G2406" i="2"/>
  <c r="H2406" i="2"/>
  <c r="J2406" i="2"/>
  <c r="K2406" i="2"/>
  <c r="L2406" i="2"/>
  <c r="C2407" i="2"/>
  <c r="D2407" i="2"/>
  <c r="F2407" i="2"/>
  <c r="G2407" i="2"/>
  <c r="H2407" i="2"/>
  <c r="J2407" i="2"/>
  <c r="K2407" i="2"/>
  <c r="L2407" i="2"/>
  <c r="C2408" i="2"/>
  <c r="D2408" i="2"/>
  <c r="F2408" i="2"/>
  <c r="G2408" i="2"/>
  <c r="H2408" i="2"/>
  <c r="J2408" i="2"/>
  <c r="K2408" i="2"/>
  <c r="L2408" i="2"/>
  <c r="C2409" i="2"/>
  <c r="D2409" i="2"/>
  <c r="F2409" i="2"/>
  <c r="G2409" i="2"/>
  <c r="H2409" i="2"/>
  <c r="J2409" i="2"/>
  <c r="K2409" i="2"/>
  <c r="L2409" i="2"/>
  <c r="C2410" i="2"/>
  <c r="D2410" i="2"/>
  <c r="F2410" i="2"/>
  <c r="G2410" i="2"/>
  <c r="H2410" i="2"/>
  <c r="J2410" i="2"/>
  <c r="K2410" i="2"/>
  <c r="L2410" i="2"/>
  <c r="C2411" i="2"/>
  <c r="D2411" i="2"/>
  <c r="F2411" i="2"/>
  <c r="G2411" i="2"/>
  <c r="H2411" i="2"/>
  <c r="J2411" i="2"/>
  <c r="K2411" i="2"/>
  <c r="L2411" i="2"/>
  <c r="C2412" i="2"/>
  <c r="D2412" i="2"/>
  <c r="F2412" i="2"/>
  <c r="G2412" i="2"/>
  <c r="H2412" i="2"/>
  <c r="J2412" i="2"/>
  <c r="K2412" i="2"/>
  <c r="L2412" i="2"/>
  <c r="C2413" i="2"/>
  <c r="D2413" i="2"/>
  <c r="F2413" i="2"/>
  <c r="G2413" i="2"/>
  <c r="H2413" i="2"/>
  <c r="J2413" i="2"/>
  <c r="K2413" i="2"/>
  <c r="L2413" i="2"/>
  <c r="C2414" i="2"/>
  <c r="D2414" i="2"/>
  <c r="F2414" i="2"/>
  <c r="G2414" i="2"/>
  <c r="H2414" i="2"/>
  <c r="J2414" i="2"/>
  <c r="K2414" i="2"/>
  <c r="L2414" i="2"/>
  <c r="C2415" i="2"/>
  <c r="D2415" i="2"/>
  <c r="F2415" i="2"/>
  <c r="G2415" i="2"/>
  <c r="H2415" i="2"/>
  <c r="J2415" i="2"/>
  <c r="K2415" i="2"/>
  <c r="L2415" i="2"/>
  <c r="C2416" i="2"/>
  <c r="D2416" i="2"/>
  <c r="F2416" i="2"/>
  <c r="G2416" i="2"/>
  <c r="H2416" i="2"/>
  <c r="J2416" i="2"/>
  <c r="K2416" i="2"/>
  <c r="L2416" i="2"/>
  <c r="C2417" i="2"/>
  <c r="D2417" i="2"/>
  <c r="F2417" i="2"/>
  <c r="G2417" i="2"/>
  <c r="H2417" i="2"/>
  <c r="J2417" i="2"/>
  <c r="K2417" i="2"/>
  <c r="L2417" i="2"/>
  <c r="C2418" i="2"/>
  <c r="D2418" i="2"/>
  <c r="F2418" i="2"/>
  <c r="G2418" i="2"/>
  <c r="H2418" i="2"/>
  <c r="J2418" i="2"/>
  <c r="K2418" i="2"/>
  <c r="L2418" i="2"/>
  <c r="C2419" i="2"/>
  <c r="D2419" i="2"/>
  <c r="F2419" i="2"/>
  <c r="G2419" i="2"/>
  <c r="H2419" i="2"/>
  <c r="J2419" i="2"/>
  <c r="K2419" i="2"/>
  <c r="L2419" i="2"/>
  <c r="C2420" i="2"/>
  <c r="D2420" i="2"/>
  <c r="F2420" i="2"/>
  <c r="G2420" i="2"/>
  <c r="H2420" i="2"/>
  <c r="J2420" i="2"/>
  <c r="K2420" i="2"/>
  <c r="L2420" i="2"/>
  <c r="C2421" i="2"/>
  <c r="D2421" i="2"/>
  <c r="F2421" i="2"/>
  <c r="G2421" i="2"/>
  <c r="H2421" i="2"/>
  <c r="J2421" i="2"/>
  <c r="K2421" i="2"/>
  <c r="L2421" i="2"/>
  <c r="D2422" i="2"/>
  <c r="F2422" i="2"/>
  <c r="G2422" i="2"/>
  <c r="H2422" i="2"/>
  <c r="J2422" i="2"/>
  <c r="K2422" i="2"/>
  <c r="L2422" i="2"/>
  <c r="C2423" i="2"/>
  <c r="D2423" i="2"/>
  <c r="F2423" i="2"/>
  <c r="G2423" i="2"/>
  <c r="H2423" i="2"/>
  <c r="J2423" i="2"/>
  <c r="K2423" i="2"/>
  <c r="L2423" i="2"/>
  <c r="C2424" i="2"/>
  <c r="D2424" i="2"/>
  <c r="F2424" i="2"/>
  <c r="G2424" i="2"/>
  <c r="H2424" i="2"/>
  <c r="J2424" i="2"/>
  <c r="K2424" i="2"/>
  <c r="L2424" i="2"/>
  <c r="C2425" i="2"/>
  <c r="D2425" i="2"/>
  <c r="F2425" i="2"/>
  <c r="G2425" i="2"/>
  <c r="H2425" i="2"/>
  <c r="J2425" i="2"/>
  <c r="K2425" i="2"/>
  <c r="L2425" i="2"/>
  <c r="C2426" i="2"/>
  <c r="D2426" i="2"/>
  <c r="F2426" i="2"/>
  <c r="G2426" i="2"/>
  <c r="H2426" i="2"/>
  <c r="J2426" i="2"/>
  <c r="K2426" i="2"/>
  <c r="L2426" i="2"/>
  <c r="C2427" i="2"/>
  <c r="D2427" i="2"/>
  <c r="F2427" i="2"/>
  <c r="G2427" i="2"/>
  <c r="H2427" i="2"/>
  <c r="J2427" i="2"/>
  <c r="K2427" i="2"/>
  <c r="L2427" i="2"/>
  <c r="C2428" i="2"/>
  <c r="D2428" i="2"/>
  <c r="F2428" i="2"/>
  <c r="G2428" i="2"/>
  <c r="H2428" i="2"/>
  <c r="J2428" i="2"/>
  <c r="K2428" i="2"/>
  <c r="L2428" i="2"/>
  <c r="C2429" i="2"/>
  <c r="D2429" i="2"/>
  <c r="F2429" i="2"/>
  <c r="G2429" i="2"/>
  <c r="H2429" i="2"/>
  <c r="J2429" i="2"/>
  <c r="K2429" i="2"/>
  <c r="L2429" i="2"/>
  <c r="C2430" i="2"/>
  <c r="D2430" i="2"/>
  <c r="F2430" i="2"/>
  <c r="G2430" i="2"/>
  <c r="H2430" i="2"/>
  <c r="J2430" i="2"/>
  <c r="K2430" i="2"/>
  <c r="L2430" i="2"/>
  <c r="C2431" i="2"/>
  <c r="D2431" i="2"/>
  <c r="F2431" i="2"/>
  <c r="G2431" i="2"/>
  <c r="H2431" i="2"/>
  <c r="J2431" i="2"/>
  <c r="K2431" i="2"/>
  <c r="L2431" i="2"/>
  <c r="C2432" i="2"/>
  <c r="D2432" i="2"/>
  <c r="F2432" i="2"/>
  <c r="G2432" i="2"/>
  <c r="H2432" i="2"/>
  <c r="J2432" i="2"/>
  <c r="K2432" i="2"/>
  <c r="L2432" i="2"/>
  <c r="C2433" i="2"/>
  <c r="D2433" i="2"/>
  <c r="F2433" i="2"/>
  <c r="G2433" i="2"/>
  <c r="H2433" i="2"/>
  <c r="J2433" i="2"/>
  <c r="K2433" i="2"/>
  <c r="L2433" i="2"/>
  <c r="C2434" i="2"/>
  <c r="D2434" i="2"/>
  <c r="F2434" i="2"/>
  <c r="G2434" i="2"/>
  <c r="H2434" i="2"/>
  <c r="J2434" i="2"/>
  <c r="K2434" i="2"/>
  <c r="L2434" i="2"/>
  <c r="C2435" i="2"/>
  <c r="D2435" i="2"/>
  <c r="F2435" i="2"/>
  <c r="G2435" i="2"/>
  <c r="H2435" i="2"/>
  <c r="J2435" i="2"/>
  <c r="K2435" i="2"/>
  <c r="L2435" i="2"/>
  <c r="C2436" i="2"/>
  <c r="D2436" i="2"/>
  <c r="F2436" i="2"/>
  <c r="G2436" i="2"/>
  <c r="H2436" i="2"/>
  <c r="J2436" i="2"/>
  <c r="K2436" i="2"/>
  <c r="L2436" i="2"/>
  <c r="C2437" i="2"/>
  <c r="D2437" i="2"/>
  <c r="F2437" i="2"/>
  <c r="G2437" i="2"/>
  <c r="H2437" i="2"/>
  <c r="J2437" i="2"/>
  <c r="K2437" i="2"/>
  <c r="L2437" i="2"/>
  <c r="C2438" i="2"/>
  <c r="D2438" i="2"/>
  <c r="F2438" i="2"/>
  <c r="G2438" i="2"/>
  <c r="H2438" i="2"/>
  <c r="J2438" i="2"/>
  <c r="K2438" i="2"/>
  <c r="L2438" i="2"/>
  <c r="C2439" i="2"/>
  <c r="D2439" i="2"/>
  <c r="F2439" i="2"/>
  <c r="G2439" i="2"/>
  <c r="H2439" i="2"/>
  <c r="J2439" i="2"/>
  <c r="K2439" i="2"/>
  <c r="L2439" i="2"/>
  <c r="C2440" i="2"/>
  <c r="D2440" i="2"/>
  <c r="F2440" i="2"/>
  <c r="G2440" i="2"/>
  <c r="H2440" i="2"/>
  <c r="J2440" i="2"/>
  <c r="K2440" i="2"/>
  <c r="L2440" i="2"/>
  <c r="C2441" i="2"/>
  <c r="D2441" i="2"/>
  <c r="F2441" i="2"/>
  <c r="G2441" i="2"/>
  <c r="H2441" i="2"/>
  <c r="J2441" i="2"/>
  <c r="K2441" i="2"/>
  <c r="L2441" i="2"/>
  <c r="C2442" i="2"/>
  <c r="D2442" i="2"/>
  <c r="F2442" i="2"/>
  <c r="G2442" i="2"/>
  <c r="H2442" i="2"/>
  <c r="J2442" i="2"/>
  <c r="K2442" i="2"/>
  <c r="L2442" i="2"/>
  <c r="C2443" i="2"/>
  <c r="D2443" i="2"/>
  <c r="F2443" i="2"/>
  <c r="G2443" i="2"/>
  <c r="H2443" i="2"/>
  <c r="J2443" i="2"/>
  <c r="K2443" i="2"/>
  <c r="L2443" i="2"/>
  <c r="C2444" i="2"/>
  <c r="D2444" i="2"/>
  <c r="F2444" i="2"/>
  <c r="G2444" i="2"/>
  <c r="H2444" i="2"/>
  <c r="J2444" i="2"/>
  <c r="K2444" i="2"/>
  <c r="L2444" i="2"/>
  <c r="C2445" i="2"/>
  <c r="D2445" i="2"/>
  <c r="F2445" i="2"/>
  <c r="G2445" i="2"/>
  <c r="H2445" i="2"/>
  <c r="J2445" i="2"/>
  <c r="K2445" i="2"/>
  <c r="L2445" i="2"/>
  <c r="C2446" i="2"/>
  <c r="D2446" i="2"/>
  <c r="F2446" i="2"/>
  <c r="G2446" i="2"/>
  <c r="H2446" i="2"/>
  <c r="J2446" i="2"/>
  <c r="K2446" i="2"/>
  <c r="L2446" i="2"/>
  <c r="C2447" i="2"/>
  <c r="D2447" i="2"/>
  <c r="F2447" i="2"/>
  <c r="G2447" i="2"/>
  <c r="H2447" i="2"/>
  <c r="J2447" i="2"/>
  <c r="K2447" i="2"/>
  <c r="L2447" i="2"/>
  <c r="C2448" i="2"/>
  <c r="D2448" i="2"/>
  <c r="F2448" i="2"/>
  <c r="G2448" i="2"/>
  <c r="H2448" i="2"/>
  <c r="J2448" i="2"/>
  <c r="K2448" i="2"/>
  <c r="L2448" i="2"/>
  <c r="C2449" i="2"/>
  <c r="D2449" i="2"/>
  <c r="F2449" i="2"/>
  <c r="G2449" i="2"/>
  <c r="H2449" i="2"/>
  <c r="J2449" i="2"/>
  <c r="K2449" i="2"/>
  <c r="L2449" i="2"/>
  <c r="C2450" i="2"/>
  <c r="D2450" i="2"/>
  <c r="F2450" i="2"/>
  <c r="G2450" i="2"/>
  <c r="H2450" i="2"/>
  <c r="J2450" i="2"/>
  <c r="K2450" i="2"/>
  <c r="L2450" i="2"/>
  <c r="C2451" i="2"/>
  <c r="D2451" i="2"/>
  <c r="F2451" i="2"/>
  <c r="G2451" i="2"/>
  <c r="H2451" i="2"/>
  <c r="J2451" i="2"/>
  <c r="K2451" i="2"/>
  <c r="L2451" i="2"/>
  <c r="C2452" i="2"/>
  <c r="D2452" i="2"/>
  <c r="F2452" i="2"/>
  <c r="G2452" i="2"/>
  <c r="H2452" i="2"/>
  <c r="J2452" i="2"/>
  <c r="K2452" i="2"/>
  <c r="L2452" i="2"/>
  <c r="C2453" i="2"/>
  <c r="D2453" i="2"/>
  <c r="F2453" i="2"/>
  <c r="G2453" i="2"/>
  <c r="H2453" i="2"/>
  <c r="J2453" i="2"/>
  <c r="K2453" i="2"/>
  <c r="L2453" i="2"/>
  <c r="C2454" i="2"/>
  <c r="D2454" i="2"/>
  <c r="F2454" i="2"/>
  <c r="G2454" i="2"/>
  <c r="H2454" i="2"/>
  <c r="J2454" i="2"/>
  <c r="K2454" i="2"/>
  <c r="L2454" i="2"/>
  <c r="C2455" i="2"/>
  <c r="D2455" i="2"/>
  <c r="F2455" i="2"/>
  <c r="G2455" i="2"/>
  <c r="H2455" i="2"/>
  <c r="J2455" i="2"/>
  <c r="K2455" i="2"/>
  <c r="L2455" i="2"/>
  <c r="C2456" i="2"/>
  <c r="D2456" i="2"/>
  <c r="F2456" i="2"/>
  <c r="G2456" i="2"/>
  <c r="H2456" i="2"/>
  <c r="J2456" i="2"/>
  <c r="K2456" i="2"/>
  <c r="L2456" i="2"/>
  <c r="C2457" i="2"/>
  <c r="D2457" i="2"/>
  <c r="F2457" i="2"/>
  <c r="G2457" i="2"/>
  <c r="H2457" i="2"/>
  <c r="J2457" i="2"/>
  <c r="K2457" i="2"/>
  <c r="L2457" i="2"/>
  <c r="C2458" i="2"/>
  <c r="D2458" i="2"/>
  <c r="F2458" i="2"/>
  <c r="G2458" i="2"/>
  <c r="H2458" i="2"/>
  <c r="J2458" i="2"/>
  <c r="K2458" i="2"/>
  <c r="L2458" i="2"/>
  <c r="C2459" i="2"/>
  <c r="D2459" i="2"/>
  <c r="F2459" i="2"/>
  <c r="G2459" i="2"/>
  <c r="H2459" i="2"/>
  <c r="J2459" i="2"/>
  <c r="K2459" i="2"/>
  <c r="L2459" i="2"/>
  <c r="C2460" i="2"/>
  <c r="D2460" i="2"/>
  <c r="F2460" i="2"/>
  <c r="G2460" i="2"/>
  <c r="H2460" i="2"/>
  <c r="J2460" i="2"/>
  <c r="K2460" i="2"/>
  <c r="L2460" i="2"/>
  <c r="C2461" i="2"/>
  <c r="D2461" i="2"/>
  <c r="F2461" i="2"/>
  <c r="G2461" i="2"/>
  <c r="H2461" i="2"/>
  <c r="J2461" i="2"/>
  <c r="K2461" i="2"/>
  <c r="L2461" i="2"/>
  <c r="C2462" i="2"/>
  <c r="D2462" i="2"/>
  <c r="F2462" i="2"/>
  <c r="G2462" i="2"/>
  <c r="H2462" i="2"/>
  <c r="J2462" i="2"/>
  <c r="K2462" i="2"/>
  <c r="L2462" i="2"/>
  <c r="C2463" i="2"/>
  <c r="D2463" i="2"/>
  <c r="F2463" i="2"/>
  <c r="G2463" i="2"/>
  <c r="H2463" i="2"/>
  <c r="J2463" i="2"/>
  <c r="K2463" i="2"/>
  <c r="L2463" i="2"/>
  <c r="C2464" i="2"/>
  <c r="D2464" i="2"/>
  <c r="F2464" i="2"/>
  <c r="G2464" i="2"/>
  <c r="H2464" i="2"/>
  <c r="J2464" i="2"/>
  <c r="K2464" i="2"/>
  <c r="L2464" i="2"/>
  <c r="C2465" i="2"/>
  <c r="D2465" i="2"/>
  <c r="F2465" i="2"/>
  <c r="G2465" i="2"/>
  <c r="H2465" i="2"/>
  <c r="J2465" i="2"/>
  <c r="K2465" i="2"/>
  <c r="L2465" i="2"/>
  <c r="C2466" i="2"/>
  <c r="D2466" i="2"/>
  <c r="F2466" i="2"/>
  <c r="G2466" i="2"/>
  <c r="H2466" i="2"/>
  <c r="J2466" i="2"/>
  <c r="K2466" i="2"/>
  <c r="L2466" i="2"/>
  <c r="C2467" i="2"/>
  <c r="D2467" i="2"/>
  <c r="F2467" i="2"/>
  <c r="G2467" i="2"/>
  <c r="H2467" i="2"/>
  <c r="J2467" i="2"/>
  <c r="K2467" i="2"/>
  <c r="L2467" i="2"/>
  <c r="C2468" i="2"/>
  <c r="D2468" i="2"/>
  <c r="F2468" i="2"/>
  <c r="G2468" i="2"/>
  <c r="H2468" i="2"/>
  <c r="J2468" i="2"/>
  <c r="K2468" i="2"/>
  <c r="L2468" i="2"/>
  <c r="C2469" i="2"/>
  <c r="D2469" i="2"/>
  <c r="F2469" i="2"/>
  <c r="G2469" i="2"/>
  <c r="H2469" i="2"/>
  <c r="J2469" i="2"/>
  <c r="K2469" i="2"/>
  <c r="L2469" i="2"/>
  <c r="C2470" i="2"/>
  <c r="D2470" i="2"/>
  <c r="F2470" i="2"/>
  <c r="G2470" i="2"/>
  <c r="H2470" i="2"/>
  <c r="J2470" i="2"/>
  <c r="K2470" i="2"/>
  <c r="L2470" i="2"/>
  <c r="C2471" i="2"/>
  <c r="D2471" i="2"/>
  <c r="F2471" i="2"/>
  <c r="G2471" i="2"/>
  <c r="H2471" i="2"/>
  <c r="J2471" i="2"/>
  <c r="K2471" i="2"/>
  <c r="L2471" i="2"/>
  <c r="C2472" i="2"/>
  <c r="D2472" i="2"/>
  <c r="F2472" i="2"/>
  <c r="G2472" i="2"/>
  <c r="H2472" i="2"/>
  <c r="J2472" i="2"/>
  <c r="K2472" i="2"/>
  <c r="L2472" i="2"/>
  <c r="C2473" i="2"/>
  <c r="D2473" i="2"/>
  <c r="F2473" i="2"/>
  <c r="G2473" i="2"/>
  <c r="H2473" i="2"/>
  <c r="J2473" i="2"/>
  <c r="K2473" i="2"/>
  <c r="L2473" i="2"/>
  <c r="C2474" i="2"/>
  <c r="D2474" i="2"/>
  <c r="F2474" i="2"/>
  <c r="G2474" i="2"/>
  <c r="H2474" i="2"/>
  <c r="J2474" i="2"/>
  <c r="K2474" i="2"/>
  <c r="L2474" i="2"/>
  <c r="C2475" i="2"/>
  <c r="D2475" i="2"/>
  <c r="F2475" i="2"/>
  <c r="G2475" i="2"/>
  <c r="H2475" i="2"/>
  <c r="J2475" i="2"/>
  <c r="K2475" i="2"/>
  <c r="L2475" i="2"/>
  <c r="C2476" i="2"/>
  <c r="D2476" i="2"/>
  <c r="F2476" i="2"/>
  <c r="G2476" i="2"/>
  <c r="H2476" i="2"/>
  <c r="J2476" i="2"/>
  <c r="K2476" i="2"/>
  <c r="L2476" i="2"/>
  <c r="C2477" i="2"/>
  <c r="D2477" i="2"/>
  <c r="F2477" i="2"/>
  <c r="G2477" i="2"/>
  <c r="H2477" i="2"/>
  <c r="J2477" i="2"/>
  <c r="K2477" i="2"/>
  <c r="L2477" i="2"/>
  <c r="C2478" i="2"/>
  <c r="D2478" i="2"/>
  <c r="F2478" i="2"/>
  <c r="G2478" i="2"/>
  <c r="H2478" i="2"/>
  <c r="J2478" i="2"/>
  <c r="K2478" i="2"/>
  <c r="L2478" i="2"/>
  <c r="C2479" i="2"/>
  <c r="D2479" i="2"/>
  <c r="F2479" i="2"/>
  <c r="G2479" i="2"/>
  <c r="H2479" i="2"/>
  <c r="J2479" i="2"/>
  <c r="K2479" i="2"/>
  <c r="L2479" i="2"/>
  <c r="C2480" i="2"/>
  <c r="D2480" i="2"/>
  <c r="F2480" i="2"/>
  <c r="G2480" i="2"/>
  <c r="H2480" i="2"/>
  <c r="J2480" i="2"/>
  <c r="K2480" i="2"/>
  <c r="L2480" i="2"/>
  <c r="C2481" i="2"/>
  <c r="D2481" i="2"/>
  <c r="F2481" i="2"/>
  <c r="G2481" i="2"/>
  <c r="H2481" i="2"/>
  <c r="J2481" i="2"/>
  <c r="K2481" i="2"/>
  <c r="L2481" i="2"/>
  <c r="C2482" i="2"/>
  <c r="D2482" i="2"/>
  <c r="F2482" i="2"/>
  <c r="G2482" i="2"/>
  <c r="H2482" i="2"/>
  <c r="J2482" i="2"/>
  <c r="K2482" i="2"/>
  <c r="L2482" i="2"/>
  <c r="C2483" i="2"/>
  <c r="D2483" i="2"/>
  <c r="F2483" i="2"/>
  <c r="G2483" i="2"/>
  <c r="H2483" i="2"/>
  <c r="J2483" i="2"/>
  <c r="K2483" i="2"/>
  <c r="L2483" i="2"/>
  <c r="C2484" i="2"/>
  <c r="D2484" i="2"/>
  <c r="F2484" i="2"/>
  <c r="G2484" i="2"/>
  <c r="H2484" i="2"/>
  <c r="J2484" i="2"/>
  <c r="K2484" i="2"/>
  <c r="L2484" i="2"/>
  <c r="C2485" i="2"/>
  <c r="D2485" i="2"/>
  <c r="F2485" i="2"/>
  <c r="G2485" i="2"/>
  <c r="H2485" i="2"/>
  <c r="J2485" i="2"/>
  <c r="K2485" i="2"/>
  <c r="L2485" i="2"/>
  <c r="C2486" i="2"/>
  <c r="D2486" i="2"/>
  <c r="F2486" i="2"/>
  <c r="G2486" i="2"/>
  <c r="H2486" i="2"/>
  <c r="J2486" i="2"/>
  <c r="K2486" i="2"/>
  <c r="L2486" i="2"/>
  <c r="C2487" i="2"/>
  <c r="D2487" i="2"/>
  <c r="F2487" i="2"/>
  <c r="G2487" i="2"/>
  <c r="H2487" i="2"/>
  <c r="J2487" i="2"/>
  <c r="K2487" i="2"/>
  <c r="L2487" i="2"/>
  <c r="C2488" i="2"/>
  <c r="D2488" i="2"/>
  <c r="F2488" i="2"/>
  <c r="G2488" i="2"/>
  <c r="H2488" i="2"/>
  <c r="J2488" i="2"/>
  <c r="K2488" i="2"/>
  <c r="L2488" i="2"/>
  <c r="C2489" i="2"/>
  <c r="D2489" i="2"/>
  <c r="F2489" i="2"/>
  <c r="G2489" i="2"/>
  <c r="H2489" i="2"/>
  <c r="J2489" i="2"/>
  <c r="K2489" i="2"/>
  <c r="L2489" i="2"/>
  <c r="C2490" i="2"/>
  <c r="D2490" i="2"/>
  <c r="F2490" i="2"/>
  <c r="G2490" i="2"/>
  <c r="H2490" i="2"/>
  <c r="J2490" i="2"/>
  <c r="K2490" i="2"/>
  <c r="L2490" i="2"/>
  <c r="C2491" i="2"/>
  <c r="D2491" i="2"/>
  <c r="F2491" i="2"/>
  <c r="G2491" i="2"/>
  <c r="H2491" i="2"/>
  <c r="J2491" i="2"/>
  <c r="K2491" i="2"/>
  <c r="L2491" i="2"/>
  <c r="C2492" i="2"/>
  <c r="D2492" i="2"/>
  <c r="F2492" i="2"/>
  <c r="G2492" i="2"/>
  <c r="H2492" i="2"/>
  <c r="J2492" i="2"/>
  <c r="K2492" i="2"/>
  <c r="L2492" i="2"/>
  <c r="C2493" i="2"/>
  <c r="D2493" i="2"/>
  <c r="F2493" i="2"/>
  <c r="G2493" i="2"/>
  <c r="H2493" i="2"/>
  <c r="J2493" i="2"/>
  <c r="K2493" i="2"/>
  <c r="L2493" i="2"/>
  <c r="C2494" i="2"/>
  <c r="D2494" i="2"/>
  <c r="F2494" i="2"/>
  <c r="G2494" i="2"/>
  <c r="H2494" i="2"/>
  <c r="J2494" i="2"/>
  <c r="K2494" i="2"/>
  <c r="L2494" i="2"/>
  <c r="C2495" i="2"/>
  <c r="D2495" i="2"/>
  <c r="F2495" i="2"/>
  <c r="G2495" i="2"/>
  <c r="H2495" i="2"/>
  <c r="J2495" i="2"/>
  <c r="K2495" i="2"/>
  <c r="L2495" i="2"/>
  <c r="C2496" i="2"/>
  <c r="D2496" i="2"/>
  <c r="F2496" i="2"/>
  <c r="G2496" i="2"/>
  <c r="H2496" i="2"/>
  <c r="J2496" i="2"/>
  <c r="K2496" i="2"/>
  <c r="L2496" i="2"/>
  <c r="C2497" i="2"/>
  <c r="D2497" i="2"/>
  <c r="F2497" i="2"/>
  <c r="G2497" i="2"/>
  <c r="H2497" i="2"/>
  <c r="J2497" i="2"/>
  <c r="K2497" i="2"/>
  <c r="L2497" i="2"/>
  <c r="C2498" i="2"/>
  <c r="D2498" i="2"/>
  <c r="F2498" i="2"/>
  <c r="G2498" i="2"/>
  <c r="H2498" i="2"/>
  <c r="J2498" i="2"/>
  <c r="K2498" i="2"/>
  <c r="L2498" i="2"/>
  <c r="C2499" i="2"/>
  <c r="D2499" i="2"/>
  <c r="F2499" i="2"/>
  <c r="G2499" i="2"/>
  <c r="H2499" i="2"/>
  <c r="J2499" i="2"/>
  <c r="K2499" i="2"/>
  <c r="L2499" i="2"/>
  <c r="C2500" i="2"/>
  <c r="D2500" i="2"/>
  <c r="F2500" i="2"/>
  <c r="G2500" i="2"/>
  <c r="H2500" i="2"/>
  <c r="J2500" i="2"/>
  <c r="K2500" i="2"/>
  <c r="L2500" i="2"/>
  <c r="C2501" i="2"/>
  <c r="D2501" i="2"/>
  <c r="F2501" i="2"/>
  <c r="G2501" i="2"/>
  <c r="H2501" i="2"/>
  <c r="J2501" i="2"/>
  <c r="K2501" i="2"/>
  <c r="L2501" i="2"/>
  <c r="C2502" i="2"/>
  <c r="D2502" i="2"/>
  <c r="F2502" i="2"/>
  <c r="G2502" i="2"/>
  <c r="H2502" i="2"/>
  <c r="J2502" i="2"/>
  <c r="K2502" i="2"/>
  <c r="L2502" i="2"/>
  <c r="C2503" i="2"/>
  <c r="D2503" i="2"/>
  <c r="F2503" i="2"/>
  <c r="G2503" i="2"/>
  <c r="H2503" i="2"/>
  <c r="J2503" i="2"/>
  <c r="K2503" i="2"/>
  <c r="L2503" i="2"/>
  <c r="C2504" i="2"/>
  <c r="D2504" i="2"/>
  <c r="F2504" i="2"/>
  <c r="G2504" i="2"/>
  <c r="H2504" i="2"/>
  <c r="J2504" i="2"/>
  <c r="K2504" i="2"/>
  <c r="L2504" i="2"/>
  <c r="C2505" i="2"/>
  <c r="D2505" i="2"/>
  <c r="F2505" i="2"/>
  <c r="G2505" i="2"/>
  <c r="H2505" i="2"/>
  <c r="J2505" i="2"/>
  <c r="K2505" i="2"/>
  <c r="L2505" i="2"/>
  <c r="C2506" i="2"/>
  <c r="D2506" i="2"/>
  <c r="F2506" i="2"/>
  <c r="G2506" i="2"/>
  <c r="H2506" i="2"/>
  <c r="J2506" i="2"/>
  <c r="K2506" i="2"/>
  <c r="L2506" i="2"/>
  <c r="C2507" i="2"/>
  <c r="D2507" i="2"/>
  <c r="F2507" i="2"/>
  <c r="G2507" i="2"/>
  <c r="H2507" i="2"/>
  <c r="J2507" i="2"/>
  <c r="K2507" i="2"/>
  <c r="L2507" i="2"/>
  <c r="C2508" i="2"/>
  <c r="D2508" i="2"/>
  <c r="F2508" i="2"/>
  <c r="G2508" i="2"/>
  <c r="H2508" i="2"/>
  <c r="J2508" i="2"/>
  <c r="K2508" i="2"/>
  <c r="L2508" i="2"/>
  <c r="C2509" i="2"/>
  <c r="D2509" i="2"/>
  <c r="F2509" i="2"/>
  <c r="G2509" i="2"/>
  <c r="H2509" i="2"/>
  <c r="J2509" i="2"/>
  <c r="K2509" i="2"/>
  <c r="L2509" i="2"/>
  <c r="C2510" i="2"/>
  <c r="D2510" i="2"/>
  <c r="F2510" i="2"/>
  <c r="G2510" i="2"/>
  <c r="H2510" i="2"/>
  <c r="J2510" i="2"/>
  <c r="K2510" i="2"/>
  <c r="L2510" i="2"/>
  <c r="C2511" i="2"/>
  <c r="D2511" i="2"/>
  <c r="F2511" i="2"/>
  <c r="G2511" i="2"/>
  <c r="H2511" i="2"/>
  <c r="J2511" i="2"/>
  <c r="K2511" i="2"/>
  <c r="L2511" i="2"/>
  <c r="C2512" i="2"/>
  <c r="D2512" i="2"/>
  <c r="F2512" i="2"/>
  <c r="G2512" i="2"/>
  <c r="H2512" i="2"/>
  <c r="J2512" i="2"/>
  <c r="K2512" i="2"/>
  <c r="L2512" i="2"/>
  <c r="C2513" i="2"/>
  <c r="D2513" i="2"/>
  <c r="F2513" i="2"/>
  <c r="G2513" i="2"/>
  <c r="H2513" i="2"/>
  <c r="J2513" i="2"/>
  <c r="K2513" i="2"/>
  <c r="L2513" i="2"/>
  <c r="C2514" i="2"/>
  <c r="D2514" i="2"/>
  <c r="F2514" i="2"/>
  <c r="G2514" i="2"/>
  <c r="H2514" i="2"/>
  <c r="J2514" i="2"/>
  <c r="K2514" i="2"/>
  <c r="L2514" i="2"/>
  <c r="C2515" i="2"/>
  <c r="D2515" i="2"/>
  <c r="F2515" i="2"/>
  <c r="G2515" i="2"/>
  <c r="H2515" i="2"/>
  <c r="J2515" i="2"/>
  <c r="K2515" i="2"/>
  <c r="L2515" i="2"/>
  <c r="C2516" i="2"/>
  <c r="D2516" i="2"/>
  <c r="F2516" i="2"/>
  <c r="G2516" i="2"/>
  <c r="H2516" i="2"/>
  <c r="J2516" i="2"/>
  <c r="K2516" i="2"/>
  <c r="L2516" i="2"/>
  <c r="C2517" i="2"/>
  <c r="D2517" i="2"/>
  <c r="F2517" i="2"/>
  <c r="G2517" i="2"/>
  <c r="H2517" i="2"/>
  <c r="J2517" i="2"/>
  <c r="K2517" i="2"/>
  <c r="L2517" i="2"/>
  <c r="C2518" i="2"/>
  <c r="D2518" i="2"/>
  <c r="F2518" i="2"/>
  <c r="G2518" i="2"/>
  <c r="H2518" i="2"/>
  <c r="J2518" i="2"/>
  <c r="K2518" i="2"/>
  <c r="L2518" i="2"/>
  <c r="C2519" i="2"/>
  <c r="D2519" i="2"/>
  <c r="F2519" i="2"/>
  <c r="G2519" i="2"/>
  <c r="H2519" i="2"/>
  <c r="J2519" i="2"/>
  <c r="K2519" i="2"/>
  <c r="L2519" i="2"/>
  <c r="C2520" i="2"/>
  <c r="D2520" i="2"/>
  <c r="F2520" i="2"/>
  <c r="G2520" i="2"/>
  <c r="H2520" i="2"/>
  <c r="J2520" i="2"/>
  <c r="K2520" i="2"/>
  <c r="L2520" i="2"/>
  <c r="C2521" i="2"/>
  <c r="D2521" i="2"/>
  <c r="F2521" i="2"/>
  <c r="G2521" i="2"/>
  <c r="H2521" i="2"/>
  <c r="J2521" i="2"/>
  <c r="K2521" i="2"/>
  <c r="L2521" i="2"/>
  <c r="C2522" i="2"/>
  <c r="D2522" i="2"/>
  <c r="F2522" i="2"/>
  <c r="G2522" i="2"/>
  <c r="H2522" i="2"/>
  <c r="J2522" i="2"/>
  <c r="K2522" i="2"/>
  <c r="L2522" i="2"/>
  <c r="C2523" i="2"/>
  <c r="D2523" i="2"/>
  <c r="F2523" i="2"/>
  <c r="G2523" i="2"/>
  <c r="H2523" i="2"/>
  <c r="J2523" i="2"/>
  <c r="K2523" i="2"/>
  <c r="L2523" i="2"/>
  <c r="C2524" i="2"/>
  <c r="D2524" i="2"/>
  <c r="F2524" i="2"/>
  <c r="G2524" i="2"/>
  <c r="H2524" i="2"/>
  <c r="J2524" i="2"/>
  <c r="K2524" i="2"/>
  <c r="L2524" i="2"/>
  <c r="C2525" i="2"/>
  <c r="D2525" i="2"/>
  <c r="F2525" i="2"/>
  <c r="G2525" i="2"/>
  <c r="H2525" i="2"/>
  <c r="J2525" i="2"/>
  <c r="K2525" i="2"/>
  <c r="L2525" i="2"/>
  <c r="C2526" i="2"/>
  <c r="D2526" i="2"/>
  <c r="F2526" i="2"/>
  <c r="G2526" i="2"/>
  <c r="H2526" i="2"/>
  <c r="J2526" i="2"/>
  <c r="K2526" i="2"/>
  <c r="L2526" i="2"/>
  <c r="C2527" i="2"/>
  <c r="D2527" i="2"/>
  <c r="F2527" i="2"/>
  <c r="G2527" i="2"/>
  <c r="H2527" i="2"/>
  <c r="J2527" i="2"/>
  <c r="K2527" i="2"/>
  <c r="L2527" i="2"/>
  <c r="C2528" i="2"/>
  <c r="D2528" i="2"/>
  <c r="F2528" i="2"/>
  <c r="G2528" i="2"/>
  <c r="H2528" i="2"/>
  <c r="J2528" i="2"/>
  <c r="K2528" i="2"/>
  <c r="L2528" i="2"/>
  <c r="C2529" i="2"/>
  <c r="D2529" i="2"/>
  <c r="F2529" i="2"/>
  <c r="G2529" i="2"/>
  <c r="H2529" i="2"/>
  <c r="J2529" i="2"/>
  <c r="K2529" i="2"/>
  <c r="L2529" i="2"/>
  <c r="C2530" i="2"/>
  <c r="D2530" i="2"/>
  <c r="F2530" i="2"/>
  <c r="G2530" i="2"/>
  <c r="H2530" i="2"/>
  <c r="J2530" i="2"/>
  <c r="K2530" i="2"/>
  <c r="L2530" i="2"/>
  <c r="C2531" i="2"/>
  <c r="D2531" i="2"/>
  <c r="F2531" i="2"/>
  <c r="G2531" i="2"/>
  <c r="H2531" i="2"/>
  <c r="J2531" i="2"/>
  <c r="K2531" i="2"/>
  <c r="L2531" i="2"/>
  <c r="C2532" i="2"/>
  <c r="D2532" i="2"/>
  <c r="F2532" i="2"/>
  <c r="G2532" i="2"/>
  <c r="H2532" i="2"/>
  <c r="J2532" i="2"/>
  <c r="K2532" i="2"/>
  <c r="L2532" i="2"/>
  <c r="C2533" i="2"/>
  <c r="D2533" i="2"/>
  <c r="F2533" i="2"/>
  <c r="G2533" i="2"/>
  <c r="H2533" i="2"/>
  <c r="J2533" i="2"/>
  <c r="K2533" i="2"/>
  <c r="L2533" i="2"/>
  <c r="C2534" i="2"/>
  <c r="D2534" i="2"/>
  <c r="F2534" i="2"/>
  <c r="G2534" i="2"/>
  <c r="H2534" i="2"/>
  <c r="J2534" i="2"/>
  <c r="K2534" i="2"/>
  <c r="L2534" i="2"/>
  <c r="C2535" i="2"/>
  <c r="D2535" i="2"/>
  <c r="F2535" i="2"/>
  <c r="G2535" i="2"/>
  <c r="H2535" i="2"/>
  <c r="J2535" i="2"/>
  <c r="K2535" i="2"/>
  <c r="L2535" i="2"/>
  <c r="C2536" i="2"/>
  <c r="D2536" i="2"/>
  <c r="F2536" i="2"/>
  <c r="G2536" i="2"/>
  <c r="H2536" i="2"/>
  <c r="J2536" i="2"/>
  <c r="K2536" i="2"/>
  <c r="L2536" i="2"/>
  <c r="C2537" i="2"/>
  <c r="D2537" i="2"/>
  <c r="F2537" i="2"/>
  <c r="G2537" i="2"/>
  <c r="H2537" i="2"/>
  <c r="J2537" i="2"/>
  <c r="K2537" i="2"/>
  <c r="L2537" i="2"/>
  <c r="C2538" i="2"/>
  <c r="D2538" i="2"/>
  <c r="F2538" i="2"/>
  <c r="G2538" i="2"/>
  <c r="H2538" i="2"/>
  <c r="J2538" i="2"/>
  <c r="K2538" i="2"/>
  <c r="L2538" i="2"/>
  <c r="C2539" i="2"/>
  <c r="D2539" i="2"/>
  <c r="F2539" i="2"/>
  <c r="G2539" i="2"/>
  <c r="H2539" i="2"/>
  <c r="J2539" i="2"/>
  <c r="K2539" i="2"/>
  <c r="L2539" i="2"/>
  <c r="C2540" i="2"/>
  <c r="D2540" i="2"/>
  <c r="F2540" i="2"/>
  <c r="G2540" i="2"/>
  <c r="H2540" i="2"/>
  <c r="J2540" i="2"/>
  <c r="K2540" i="2"/>
  <c r="L2540" i="2"/>
  <c r="C2541" i="2"/>
  <c r="D2541" i="2"/>
  <c r="F2541" i="2"/>
  <c r="G2541" i="2"/>
  <c r="H2541" i="2"/>
  <c r="J2541" i="2"/>
  <c r="K2541" i="2"/>
  <c r="L2541" i="2"/>
  <c r="C2542" i="2"/>
  <c r="D2542" i="2"/>
  <c r="F2542" i="2"/>
  <c r="G2542" i="2"/>
  <c r="H2542" i="2"/>
  <c r="J2542" i="2"/>
  <c r="K2542" i="2"/>
  <c r="L2542" i="2"/>
  <c r="C2543" i="2"/>
  <c r="D2543" i="2"/>
  <c r="F2543" i="2"/>
  <c r="G2543" i="2"/>
  <c r="H2543" i="2"/>
  <c r="J2543" i="2"/>
  <c r="K2543" i="2"/>
  <c r="L2543" i="2"/>
  <c r="C2544" i="2"/>
  <c r="D2544" i="2"/>
  <c r="F2544" i="2"/>
  <c r="G2544" i="2"/>
  <c r="H2544" i="2"/>
  <c r="J2544" i="2"/>
  <c r="K2544" i="2"/>
  <c r="L2544" i="2"/>
  <c r="C2545" i="2"/>
  <c r="D2545" i="2"/>
  <c r="F2545" i="2"/>
  <c r="G2545" i="2"/>
  <c r="H2545" i="2"/>
  <c r="J2545" i="2"/>
  <c r="K2545" i="2"/>
  <c r="L2545" i="2"/>
  <c r="C2546" i="2"/>
  <c r="D2546" i="2"/>
  <c r="F2546" i="2"/>
  <c r="G2546" i="2"/>
  <c r="H2546" i="2"/>
  <c r="J2546" i="2"/>
  <c r="K2546" i="2"/>
  <c r="L2546" i="2"/>
  <c r="C2547" i="2"/>
  <c r="D2547" i="2"/>
  <c r="F2547" i="2"/>
  <c r="G2547" i="2"/>
  <c r="H2547" i="2"/>
  <c r="J2547" i="2"/>
  <c r="K2547" i="2"/>
  <c r="L2547" i="2"/>
  <c r="C2548" i="2"/>
  <c r="D2548" i="2"/>
  <c r="F2548" i="2"/>
  <c r="G2548" i="2"/>
  <c r="H2548" i="2"/>
  <c r="J2548" i="2"/>
  <c r="K2548" i="2"/>
  <c r="L2548" i="2"/>
  <c r="C2549" i="2"/>
  <c r="D2549" i="2"/>
  <c r="F2549" i="2"/>
  <c r="G2549" i="2"/>
  <c r="H2549" i="2"/>
  <c r="J2549" i="2"/>
  <c r="K2549" i="2"/>
  <c r="L2549" i="2"/>
  <c r="C2550" i="2"/>
  <c r="D2550" i="2"/>
  <c r="F2550" i="2"/>
  <c r="G2550" i="2"/>
  <c r="H2550" i="2"/>
  <c r="J2550" i="2"/>
  <c r="K2550" i="2"/>
  <c r="L2550" i="2"/>
  <c r="C2551" i="2"/>
  <c r="D2551" i="2"/>
  <c r="F2551" i="2"/>
  <c r="G2551" i="2"/>
  <c r="H2551" i="2"/>
  <c r="J2551" i="2"/>
  <c r="K2551" i="2"/>
  <c r="L2551" i="2"/>
  <c r="C2552" i="2"/>
  <c r="D2552" i="2"/>
  <c r="F2552" i="2"/>
  <c r="G2552" i="2"/>
  <c r="H2552" i="2"/>
  <c r="J2552" i="2"/>
  <c r="K2552" i="2"/>
  <c r="L2552" i="2"/>
  <c r="C2553" i="2"/>
  <c r="D2553" i="2"/>
  <c r="F2553" i="2"/>
  <c r="G2553" i="2"/>
  <c r="H2553" i="2"/>
  <c r="J2553" i="2"/>
  <c r="K2553" i="2"/>
  <c r="L2553" i="2"/>
  <c r="C2554" i="2"/>
  <c r="D2554" i="2"/>
  <c r="F2554" i="2"/>
  <c r="G2554" i="2"/>
  <c r="H2554" i="2"/>
  <c r="J2554" i="2"/>
  <c r="K2554" i="2"/>
  <c r="L2554" i="2"/>
  <c r="C2555" i="2"/>
  <c r="D2555" i="2"/>
  <c r="F2555" i="2"/>
  <c r="G2555" i="2"/>
  <c r="H2555" i="2"/>
  <c r="J2555" i="2"/>
  <c r="K2555" i="2"/>
  <c r="L2555" i="2"/>
  <c r="C2556" i="2"/>
  <c r="D2556" i="2"/>
  <c r="F2556" i="2"/>
  <c r="G2556" i="2"/>
  <c r="H2556" i="2"/>
  <c r="J2556" i="2"/>
  <c r="K2556" i="2"/>
  <c r="L2556" i="2"/>
  <c r="C2557" i="2"/>
  <c r="D2557" i="2"/>
  <c r="F2557" i="2"/>
  <c r="G2557" i="2"/>
  <c r="H2557" i="2"/>
  <c r="J2557" i="2"/>
  <c r="K2557" i="2"/>
  <c r="L2557" i="2"/>
  <c r="C2558" i="2"/>
  <c r="D2558" i="2"/>
  <c r="F2558" i="2"/>
  <c r="G2558" i="2"/>
  <c r="H2558" i="2"/>
  <c r="J2558" i="2"/>
  <c r="K2558" i="2"/>
  <c r="L2558" i="2"/>
  <c r="C2559" i="2"/>
  <c r="D2559" i="2"/>
  <c r="F2559" i="2"/>
  <c r="G2559" i="2"/>
  <c r="H2559" i="2"/>
  <c r="J2559" i="2"/>
  <c r="K2559" i="2"/>
  <c r="L2559" i="2"/>
  <c r="C2560" i="2"/>
  <c r="D2560" i="2"/>
  <c r="F2560" i="2"/>
  <c r="G2560" i="2"/>
  <c r="H2560" i="2"/>
  <c r="J2560" i="2"/>
  <c r="K2560" i="2"/>
  <c r="L2560" i="2"/>
  <c r="C2561" i="2"/>
  <c r="D2561" i="2"/>
  <c r="F2561" i="2"/>
  <c r="G2561" i="2"/>
  <c r="H2561" i="2"/>
  <c r="J2561" i="2"/>
  <c r="K2561" i="2"/>
  <c r="L2561" i="2"/>
  <c r="C2562" i="2"/>
  <c r="D2562" i="2"/>
  <c r="F2562" i="2"/>
  <c r="G2562" i="2"/>
  <c r="H2562" i="2"/>
  <c r="J2562" i="2"/>
  <c r="K2562" i="2"/>
  <c r="L2562" i="2"/>
  <c r="C2563" i="2"/>
  <c r="D2563" i="2"/>
  <c r="F2563" i="2"/>
  <c r="G2563" i="2"/>
  <c r="H2563" i="2"/>
  <c r="J2563" i="2"/>
  <c r="K2563" i="2"/>
  <c r="L2563" i="2"/>
  <c r="C2564" i="2"/>
  <c r="D2564" i="2"/>
  <c r="F2564" i="2"/>
  <c r="G2564" i="2"/>
  <c r="H2564" i="2"/>
  <c r="J2564" i="2"/>
  <c r="K2564" i="2"/>
  <c r="L2564" i="2"/>
  <c r="C2565" i="2"/>
  <c r="D2565" i="2"/>
  <c r="F2565" i="2"/>
  <c r="G2565" i="2"/>
  <c r="H2565" i="2"/>
  <c r="J2565" i="2"/>
  <c r="K2565" i="2"/>
  <c r="L2565" i="2"/>
  <c r="C2566" i="2"/>
  <c r="D2566" i="2"/>
  <c r="F2566" i="2"/>
  <c r="G2566" i="2"/>
  <c r="H2566" i="2"/>
  <c r="J2566" i="2"/>
  <c r="K2566" i="2"/>
  <c r="L2566" i="2"/>
  <c r="C2567" i="2"/>
  <c r="D2567" i="2"/>
  <c r="F2567" i="2"/>
  <c r="G2567" i="2"/>
  <c r="H2567" i="2"/>
  <c r="J2567" i="2"/>
  <c r="K2567" i="2"/>
  <c r="L2567" i="2"/>
  <c r="C2568" i="2"/>
  <c r="D2568" i="2"/>
  <c r="F2568" i="2"/>
  <c r="G2568" i="2"/>
  <c r="H2568" i="2"/>
  <c r="J2568" i="2"/>
  <c r="K2568" i="2"/>
  <c r="L2568" i="2"/>
  <c r="C2569" i="2"/>
  <c r="D2569" i="2"/>
  <c r="F2569" i="2"/>
  <c r="G2569" i="2"/>
  <c r="H2569" i="2"/>
  <c r="J2569" i="2"/>
  <c r="K2569" i="2"/>
  <c r="L2569" i="2"/>
  <c r="C2570" i="2"/>
  <c r="D2570" i="2"/>
  <c r="F2570" i="2"/>
  <c r="G2570" i="2"/>
  <c r="H2570" i="2"/>
  <c r="J2570" i="2"/>
  <c r="K2570" i="2"/>
  <c r="L2570" i="2"/>
  <c r="C2571" i="2"/>
  <c r="D2571" i="2"/>
  <c r="F2571" i="2"/>
  <c r="G2571" i="2"/>
  <c r="H2571" i="2"/>
  <c r="J2571" i="2"/>
  <c r="K2571" i="2"/>
  <c r="L2571" i="2"/>
  <c r="C2572" i="2"/>
  <c r="D2572" i="2"/>
  <c r="F2572" i="2"/>
  <c r="G2572" i="2"/>
  <c r="H2572" i="2"/>
  <c r="J2572" i="2"/>
  <c r="K2572" i="2"/>
  <c r="L2572" i="2"/>
  <c r="C2573" i="2"/>
  <c r="D2573" i="2"/>
  <c r="F2573" i="2"/>
  <c r="G2573" i="2"/>
  <c r="H2573" i="2"/>
  <c r="J2573" i="2"/>
  <c r="K2573" i="2"/>
  <c r="L2573" i="2"/>
  <c r="C2574" i="2"/>
  <c r="D2574" i="2"/>
  <c r="F2574" i="2"/>
  <c r="G2574" i="2"/>
  <c r="H2574" i="2"/>
  <c r="J2574" i="2"/>
  <c r="K2574" i="2"/>
  <c r="L2574" i="2"/>
  <c r="C2575" i="2"/>
  <c r="D2575" i="2"/>
  <c r="F2575" i="2"/>
  <c r="G2575" i="2"/>
  <c r="H2575" i="2"/>
  <c r="J2575" i="2"/>
  <c r="K2575" i="2"/>
  <c r="L2575" i="2"/>
  <c r="C2576" i="2"/>
  <c r="D2576" i="2"/>
  <c r="F2576" i="2"/>
  <c r="G2576" i="2"/>
  <c r="H2576" i="2"/>
  <c r="J2576" i="2"/>
  <c r="K2576" i="2"/>
  <c r="L2576" i="2"/>
  <c r="C2577" i="2"/>
  <c r="D2577" i="2"/>
  <c r="F2577" i="2"/>
  <c r="G2577" i="2"/>
  <c r="H2577" i="2"/>
  <c r="J2577" i="2"/>
  <c r="K2577" i="2"/>
  <c r="L2577" i="2"/>
  <c r="C2578" i="2"/>
  <c r="D2578" i="2"/>
  <c r="F2578" i="2"/>
  <c r="G2578" i="2"/>
  <c r="H2578" i="2"/>
  <c r="J2578" i="2"/>
  <c r="K2578" i="2"/>
  <c r="L2578" i="2"/>
  <c r="C2579" i="2"/>
  <c r="D2579" i="2"/>
  <c r="F2579" i="2"/>
  <c r="G2579" i="2"/>
  <c r="H2579" i="2"/>
  <c r="J2579" i="2"/>
  <c r="K2579" i="2"/>
  <c r="L2579" i="2"/>
  <c r="C2580" i="2"/>
  <c r="D2580" i="2"/>
  <c r="F2580" i="2"/>
  <c r="G2580" i="2"/>
  <c r="H2580" i="2"/>
  <c r="J2580" i="2"/>
  <c r="K2580" i="2"/>
  <c r="L2580" i="2"/>
  <c r="C2581" i="2"/>
  <c r="D2581" i="2"/>
  <c r="F2581" i="2"/>
  <c r="G2581" i="2"/>
  <c r="H2581" i="2"/>
  <c r="J2581" i="2"/>
  <c r="K2581" i="2"/>
  <c r="L2581" i="2"/>
  <c r="C2582" i="2"/>
  <c r="D2582" i="2"/>
  <c r="F2582" i="2"/>
  <c r="G2582" i="2"/>
  <c r="H2582" i="2"/>
  <c r="J2582" i="2"/>
  <c r="K2582" i="2"/>
  <c r="L2582" i="2"/>
  <c r="C2583" i="2"/>
  <c r="D2583" i="2"/>
  <c r="F2583" i="2"/>
  <c r="G2583" i="2"/>
  <c r="H2583" i="2"/>
  <c r="J2583" i="2"/>
  <c r="K2583" i="2"/>
  <c r="L2583" i="2"/>
  <c r="C2584" i="2"/>
  <c r="D2584" i="2"/>
  <c r="F2584" i="2"/>
  <c r="G2584" i="2"/>
  <c r="H2584" i="2"/>
  <c r="J2584" i="2"/>
  <c r="K2584" i="2"/>
  <c r="L2584" i="2"/>
  <c r="C2585" i="2"/>
  <c r="D2585" i="2"/>
  <c r="F2585" i="2"/>
  <c r="G2585" i="2"/>
  <c r="H2585" i="2"/>
  <c r="J2585" i="2"/>
  <c r="K2585" i="2"/>
  <c r="L2585" i="2"/>
  <c r="C2586" i="2"/>
  <c r="D2586" i="2"/>
  <c r="F2586" i="2"/>
  <c r="G2586" i="2"/>
  <c r="H2586" i="2"/>
  <c r="J2586" i="2"/>
  <c r="K2586" i="2"/>
  <c r="L2586" i="2"/>
  <c r="C2587" i="2"/>
  <c r="D2587" i="2"/>
  <c r="F2587" i="2"/>
  <c r="G2587" i="2"/>
  <c r="H2587" i="2"/>
  <c r="J2587" i="2"/>
  <c r="K2587" i="2"/>
  <c r="L2587" i="2"/>
  <c r="C2588" i="2"/>
  <c r="D2588" i="2"/>
  <c r="F2588" i="2"/>
  <c r="G2588" i="2"/>
  <c r="H2588" i="2"/>
  <c r="J2588" i="2"/>
  <c r="K2588" i="2"/>
  <c r="L2588" i="2"/>
  <c r="C2589" i="2"/>
  <c r="D2589" i="2"/>
  <c r="F2589" i="2"/>
  <c r="G2589" i="2"/>
  <c r="H2589" i="2"/>
  <c r="J2589" i="2"/>
  <c r="K2589" i="2"/>
  <c r="L2589" i="2"/>
  <c r="C2590" i="2"/>
  <c r="D2590" i="2"/>
  <c r="F2590" i="2"/>
  <c r="G2590" i="2"/>
  <c r="H2590" i="2"/>
  <c r="J2590" i="2"/>
  <c r="K2590" i="2"/>
  <c r="L2590" i="2"/>
  <c r="C2591" i="2"/>
  <c r="D2591" i="2"/>
  <c r="F2591" i="2"/>
  <c r="G2591" i="2"/>
  <c r="H2591" i="2"/>
  <c r="J2591" i="2"/>
  <c r="K2591" i="2"/>
  <c r="L2591" i="2"/>
  <c r="C2592" i="2"/>
  <c r="D2592" i="2"/>
  <c r="F2592" i="2"/>
  <c r="G2592" i="2"/>
  <c r="H2592" i="2"/>
  <c r="J2592" i="2"/>
  <c r="K2592" i="2"/>
  <c r="L2592" i="2"/>
  <c r="C2593" i="2"/>
  <c r="D2593" i="2"/>
  <c r="F2593" i="2"/>
  <c r="G2593" i="2"/>
  <c r="H2593" i="2"/>
  <c r="J2593" i="2"/>
  <c r="K2593" i="2"/>
  <c r="L2593" i="2"/>
  <c r="C2594" i="2"/>
  <c r="D2594" i="2"/>
  <c r="F2594" i="2"/>
  <c r="G2594" i="2"/>
  <c r="H2594" i="2"/>
  <c r="J2594" i="2"/>
  <c r="K2594" i="2"/>
  <c r="L2594" i="2"/>
  <c r="C2595" i="2"/>
  <c r="D2595" i="2"/>
  <c r="F2595" i="2"/>
  <c r="G2595" i="2"/>
  <c r="H2595" i="2"/>
  <c r="J2595" i="2"/>
  <c r="K2595" i="2"/>
  <c r="L2595" i="2"/>
  <c r="C2596" i="2"/>
  <c r="D2596" i="2"/>
  <c r="F2596" i="2"/>
  <c r="G2596" i="2"/>
  <c r="H2596" i="2"/>
  <c r="J2596" i="2"/>
  <c r="K2596" i="2"/>
  <c r="L2596" i="2"/>
  <c r="C2597" i="2"/>
  <c r="D2597" i="2"/>
  <c r="F2597" i="2"/>
  <c r="G2597" i="2"/>
  <c r="H2597" i="2"/>
  <c r="J2597" i="2"/>
  <c r="K2597" i="2"/>
  <c r="L2597" i="2"/>
  <c r="C2598" i="2"/>
  <c r="D2598" i="2"/>
  <c r="F2598" i="2"/>
  <c r="G2598" i="2"/>
  <c r="H2598" i="2"/>
  <c r="J2598" i="2"/>
  <c r="K2598" i="2"/>
  <c r="L2598" i="2"/>
  <c r="C2599" i="2"/>
  <c r="D2599" i="2"/>
  <c r="F2599" i="2"/>
  <c r="G2599" i="2"/>
  <c r="H2599" i="2"/>
  <c r="J2599" i="2"/>
  <c r="K2599" i="2"/>
  <c r="L2599" i="2"/>
  <c r="C2600" i="2"/>
  <c r="D2600" i="2"/>
  <c r="F2600" i="2"/>
  <c r="G2600" i="2"/>
  <c r="H2600" i="2"/>
  <c r="J2600" i="2"/>
  <c r="K2600" i="2"/>
  <c r="L2600" i="2"/>
  <c r="C2601" i="2"/>
  <c r="D2601" i="2"/>
  <c r="F2601" i="2"/>
  <c r="G2601" i="2"/>
  <c r="H2601" i="2"/>
  <c r="J2601" i="2"/>
  <c r="K2601" i="2"/>
  <c r="L2601" i="2"/>
  <c r="C2602" i="2"/>
  <c r="D2602" i="2"/>
  <c r="F2602" i="2"/>
  <c r="G2602" i="2"/>
  <c r="H2602" i="2"/>
  <c r="J2602" i="2"/>
  <c r="K2602" i="2"/>
  <c r="L2602" i="2"/>
  <c r="C2603" i="2"/>
  <c r="D2603" i="2"/>
  <c r="F2603" i="2"/>
  <c r="G2603" i="2"/>
  <c r="H2603" i="2"/>
  <c r="J2603" i="2"/>
  <c r="K2603" i="2"/>
  <c r="L2603" i="2"/>
  <c r="C2604" i="2"/>
  <c r="D2604" i="2"/>
  <c r="F2604" i="2"/>
  <c r="G2604" i="2"/>
  <c r="H2604" i="2"/>
  <c r="J2604" i="2"/>
  <c r="K2604" i="2"/>
  <c r="L2604" i="2"/>
  <c r="C2605" i="2"/>
  <c r="D2605" i="2"/>
  <c r="F2605" i="2"/>
  <c r="G2605" i="2"/>
  <c r="H2605" i="2"/>
  <c r="J2605" i="2"/>
  <c r="K2605" i="2"/>
  <c r="L2605" i="2"/>
  <c r="C2606" i="2"/>
  <c r="D2606" i="2"/>
  <c r="F2606" i="2"/>
  <c r="G2606" i="2"/>
  <c r="H2606" i="2"/>
  <c r="J2606" i="2"/>
  <c r="K2606" i="2"/>
  <c r="L2606" i="2"/>
  <c r="C2607" i="2"/>
  <c r="D2607" i="2"/>
  <c r="F2607" i="2"/>
  <c r="G2607" i="2"/>
  <c r="H2607" i="2"/>
  <c r="J2607" i="2"/>
  <c r="K2607" i="2"/>
  <c r="L2607" i="2"/>
  <c r="C2608" i="2"/>
  <c r="D2608" i="2"/>
  <c r="F2608" i="2"/>
  <c r="G2608" i="2"/>
  <c r="H2608" i="2"/>
  <c r="J2608" i="2"/>
  <c r="K2608" i="2"/>
  <c r="L2608" i="2"/>
  <c r="C2609" i="2"/>
  <c r="D2609" i="2"/>
  <c r="F2609" i="2"/>
  <c r="G2609" i="2"/>
  <c r="H2609" i="2"/>
  <c r="J2609" i="2"/>
  <c r="K2609" i="2"/>
  <c r="L2609" i="2"/>
  <c r="C2610" i="2"/>
  <c r="D2610" i="2"/>
  <c r="F2610" i="2"/>
  <c r="G2610" i="2"/>
  <c r="H2610" i="2"/>
  <c r="J2610" i="2"/>
  <c r="K2610" i="2"/>
  <c r="L2610" i="2"/>
  <c r="C2611" i="2"/>
  <c r="D2611" i="2"/>
  <c r="F2611" i="2"/>
  <c r="G2611" i="2"/>
  <c r="H2611" i="2"/>
  <c r="J2611" i="2"/>
  <c r="K2611" i="2"/>
  <c r="L2611" i="2"/>
  <c r="C2612" i="2"/>
  <c r="D2612" i="2"/>
  <c r="F2612" i="2"/>
  <c r="G2612" i="2"/>
  <c r="H2612" i="2"/>
  <c r="J2612" i="2"/>
  <c r="K2612" i="2"/>
  <c r="L2612" i="2"/>
  <c r="C2613" i="2"/>
  <c r="D2613" i="2"/>
  <c r="F2613" i="2"/>
  <c r="G2613" i="2"/>
  <c r="H2613" i="2"/>
  <c r="J2613" i="2"/>
  <c r="K2613" i="2"/>
  <c r="L2613" i="2"/>
  <c r="C2614" i="2"/>
  <c r="D2614" i="2"/>
  <c r="F2614" i="2"/>
  <c r="G2614" i="2"/>
  <c r="H2614" i="2"/>
  <c r="J2614" i="2"/>
  <c r="K2614" i="2"/>
  <c r="L2614" i="2"/>
  <c r="C2615" i="2"/>
  <c r="D2615" i="2"/>
  <c r="F2615" i="2"/>
  <c r="G2615" i="2"/>
  <c r="H2615" i="2"/>
  <c r="J2615" i="2"/>
  <c r="K2615" i="2"/>
  <c r="L2615" i="2"/>
  <c r="C2616" i="2"/>
  <c r="D2616" i="2"/>
  <c r="F2616" i="2"/>
  <c r="G2616" i="2"/>
  <c r="H2616" i="2"/>
  <c r="J2616" i="2"/>
  <c r="K2616" i="2"/>
  <c r="L2616" i="2"/>
  <c r="C2617" i="2"/>
  <c r="D2617" i="2"/>
  <c r="F2617" i="2"/>
  <c r="G2617" i="2"/>
  <c r="H2617" i="2"/>
  <c r="J2617" i="2"/>
  <c r="K2617" i="2"/>
  <c r="L2617" i="2"/>
  <c r="C2618" i="2"/>
  <c r="D2618" i="2"/>
  <c r="F2618" i="2"/>
  <c r="G2618" i="2"/>
  <c r="H2618" i="2"/>
  <c r="J2618" i="2"/>
  <c r="K2618" i="2"/>
  <c r="L2618" i="2"/>
  <c r="C2619" i="2"/>
  <c r="D2619" i="2"/>
  <c r="F2619" i="2"/>
  <c r="G2619" i="2"/>
  <c r="H2619" i="2"/>
  <c r="J2619" i="2"/>
  <c r="K2619" i="2"/>
  <c r="L2619" i="2"/>
  <c r="C2620" i="2"/>
  <c r="D2620" i="2"/>
  <c r="F2620" i="2"/>
  <c r="G2620" i="2"/>
  <c r="H2620" i="2"/>
  <c r="J2620" i="2"/>
  <c r="K2620" i="2"/>
  <c r="L2620" i="2"/>
  <c r="C2621" i="2"/>
  <c r="D2621" i="2"/>
  <c r="F2621" i="2"/>
  <c r="G2621" i="2"/>
  <c r="H2621" i="2"/>
  <c r="J2621" i="2"/>
  <c r="K2621" i="2"/>
  <c r="L2621" i="2"/>
  <c r="C2622" i="2"/>
  <c r="D2622" i="2"/>
  <c r="F2622" i="2"/>
  <c r="G2622" i="2"/>
  <c r="H2622" i="2"/>
  <c r="J2622" i="2"/>
  <c r="K2622" i="2"/>
  <c r="L2622" i="2"/>
  <c r="C2623" i="2"/>
  <c r="D2623" i="2"/>
  <c r="F2623" i="2"/>
  <c r="G2623" i="2"/>
  <c r="H2623" i="2"/>
  <c r="J2623" i="2"/>
  <c r="K2623" i="2"/>
  <c r="L2623" i="2"/>
  <c r="C2624" i="2"/>
  <c r="D2624" i="2"/>
  <c r="F2624" i="2"/>
  <c r="G2624" i="2"/>
  <c r="H2624" i="2"/>
  <c r="J2624" i="2"/>
  <c r="K2624" i="2"/>
  <c r="L2624" i="2"/>
  <c r="C2625" i="2"/>
  <c r="D2625" i="2"/>
  <c r="F2625" i="2"/>
  <c r="G2625" i="2"/>
  <c r="H2625" i="2"/>
  <c r="J2625" i="2"/>
  <c r="K2625" i="2"/>
  <c r="L2625" i="2"/>
  <c r="C2626" i="2"/>
  <c r="D2626" i="2"/>
  <c r="F2626" i="2"/>
  <c r="G2626" i="2"/>
  <c r="H2626" i="2"/>
  <c r="J2626" i="2"/>
  <c r="K2626" i="2"/>
  <c r="L2626" i="2"/>
  <c r="C2627" i="2"/>
  <c r="D2627" i="2"/>
  <c r="F2627" i="2"/>
  <c r="G2627" i="2"/>
  <c r="H2627" i="2"/>
  <c r="J2627" i="2"/>
  <c r="K2627" i="2"/>
  <c r="L2627" i="2"/>
  <c r="C2628" i="2"/>
  <c r="D2628" i="2"/>
  <c r="F2628" i="2"/>
  <c r="G2628" i="2"/>
  <c r="H2628" i="2"/>
  <c r="J2628" i="2"/>
  <c r="K2628" i="2"/>
  <c r="L2628" i="2"/>
  <c r="C2629" i="2"/>
  <c r="D2629" i="2"/>
  <c r="F2629" i="2"/>
  <c r="G2629" i="2"/>
  <c r="H2629" i="2"/>
  <c r="J2629" i="2"/>
  <c r="K2629" i="2"/>
  <c r="L2629" i="2"/>
  <c r="C2630" i="2"/>
  <c r="D2630" i="2"/>
  <c r="F2630" i="2"/>
  <c r="G2630" i="2"/>
  <c r="H2630" i="2"/>
  <c r="J2630" i="2"/>
  <c r="K2630" i="2"/>
  <c r="L2630" i="2"/>
  <c r="C2631" i="2"/>
  <c r="D2631" i="2"/>
  <c r="F2631" i="2"/>
  <c r="G2631" i="2"/>
  <c r="H2631" i="2"/>
  <c r="J2631" i="2"/>
  <c r="K2631" i="2"/>
  <c r="L2631" i="2"/>
  <c r="C2632" i="2"/>
  <c r="D2632" i="2"/>
  <c r="F2632" i="2"/>
  <c r="G2632" i="2"/>
  <c r="H2632" i="2"/>
  <c r="J2632" i="2"/>
  <c r="K2632" i="2"/>
  <c r="L2632" i="2"/>
  <c r="C2633" i="2"/>
  <c r="D2633" i="2"/>
  <c r="F2633" i="2"/>
  <c r="G2633" i="2"/>
  <c r="H2633" i="2"/>
  <c r="J2633" i="2"/>
  <c r="K2633" i="2"/>
  <c r="L2633" i="2"/>
  <c r="C2634" i="2"/>
  <c r="D2634" i="2"/>
  <c r="F2634" i="2"/>
  <c r="G2634" i="2"/>
  <c r="H2634" i="2"/>
  <c r="J2634" i="2"/>
  <c r="K2634" i="2"/>
  <c r="L2634" i="2"/>
  <c r="C2635" i="2"/>
  <c r="D2635" i="2"/>
  <c r="F2635" i="2"/>
  <c r="G2635" i="2"/>
  <c r="H2635" i="2"/>
  <c r="J2635" i="2"/>
  <c r="K2635" i="2"/>
  <c r="L2635" i="2"/>
  <c r="C2636" i="2"/>
  <c r="D2636" i="2"/>
  <c r="F2636" i="2"/>
  <c r="G2636" i="2"/>
  <c r="H2636" i="2"/>
  <c r="J2636" i="2"/>
  <c r="K2636" i="2"/>
  <c r="L2636" i="2"/>
  <c r="C2637" i="2"/>
  <c r="D2637" i="2"/>
  <c r="F2637" i="2"/>
  <c r="G2637" i="2"/>
  <c r="H2637" i="2"/>
  <c r="J2637" i="2"/>
  <c r="K2637" i="2"/>
  <c r="L2637" i="2"/>
  <c r="C2638" i="2"/>
  <c r="D2638" i="2"/>
  <c r="F2638" i="2"/>
  <c r="G2638" i="2"/>
  <c r="H2638" i="2"/>
  <c r="J2638" i="2"/>
  <c r="K2638" i="2"/>
  <c r="L2638" i="2"/>
  <c r="C2639" i="2"/>
  <c r="D2639" i="2"/>
  <c r="F2639" i="2"/>
  <c r="G2639" i="2"/>
  <c r="H2639" i="2"/>
  <c r="J2639" i="2"/>
  <c r="K2639" i="2"/>
  <c r="L2639" i="2"/>
  <c r="C2640" i="2"/>
  <c r="D2640" i="2"/>
  <c r="F2640" i="2"/>
  <c r="G2640" i="2"/>
  <c r="H2640" i="2"/>
  <c r="J2640" i="2"/>
  <c r="K2640" i="2"/>
  <c r="L2640" i="2"/>
  <c r="C2641" i="2"/>
  <c r="D2641" i="2"/>
  <c r="F2641" i="2"/>
  <c r="G2641" i="2"/>
  <c r="H2641" i="2"/>
  <c r="J2641" i="2"/>
  <c r="K2641" i="2"/>
  <c r="L2641" i="2"/>
  <c r="C2642" i="2"/>
  <c r="D2642" i="2"/>
  <c r="F2642" i="2"/>
  <c r="G2642" i="2"/>
  <c r="H2642" i="2"/>
  <c r="J2642" i="2"/>
  <c r="K2642" i="2"/>
  <c r="L2642" i="2"/>
  <c r="C2643" i="2"/>
  <c r="D2643" i="2"/>
  <c r="F2643" i="2"/>
  <c r="G2643" i="2"/>
  <c r="H2643" i="2"/>
  <c r="J2643" i="2"/>
  <c r="K2643" i="2"/>
  <c r="L2643" i="2"/>
  <c r="C2644" i="2"/>
  <c r="D2644" i="2"/>
  <c r="F2644" i="2"/>
  <c r="G2644" i="2"/>
  <c r="H2644" i="2"/>
  <c r="J2644" i="2"/>
  <c r="K2644" i="2"/>
  <c r="L2644" i="2"/>
  <c r="C2645" i="2"/>
  <c r="D2645" i="2"/>
  <c r="F2645" i="2"/>
  <c r="G2645" i="2"/>
  <c r="H2645" i="2"/>
  <c r="J2645" i="2"/>
  <c r="K2645" i="2"/>
  <c r="L2645" i="2"/>
  <c r="C2646" i="2"/>
  <c r="D2646" i="2"/>
  <c r="F2646" i="2"/>
  <c r="G2646" i="2"/>
  <c r="H2646" i="2"/>
  <c r="J2646" i="2"/>
  <c r="K2646" i="2"/>
  <c r="L2646" i="2"/>
  <c r="C2647" i="2"/>
  <c r="D2647" i="2"/>
  <c r="F2647" i="2"/>
  <c r="G2647" i="2"/>
  <c r="H2647" i="2"/>
  <c r="J2647" i="2"/>
  <c r="K2647" i="2"/>
  <c r="L2647" i="2"/>
  <c r="C2648" i="2"/>
  <c r="D2648" i="2"/>
  <c r="F2648" i="2"/>
  <c r="G2648" i="2"/>
  <c r="H2648" i="2"/>
  <c r="J2648" i="2"/>
  <c r="K2648" i="2"/>
  <c r="L2648" i="2"/>
  <c r="C2649" i="2"/>
  <c r="D2649" i="2"/>
  <c r="F2649" i="2"/>
  <c r="G2649" i="2"/>
  <c r="H2649" i="2"/>
  <c r="J2649" i="2"/>
  <c r="K2649" i="2"/>
  <c r="L2649" i="2"/>
  <c r="C2650" i="2"/>
  <c r="D2650" i="2"/>
  <c r="F2650" i="2"/>
  <c r="G2650" i="2"/>
  <c r="H2650" i="2"/>
  <c r="J2650" i="2"/>
  <c r="K2650" i="2"/>
  <c r="L2650" i="2"/>
  <c r="C2651" i="2"/>
  <c r="D2651" i="2"/>
  <c r="F2651" i="2"/>
  <c r="G2651" i="2"/>
  <c r="H2651" i="2"/>
  <c r="J2651" i="2"/>
  <c r="K2651" i="2"/>
  <c r="L2651" i="2"/>
  <c r="C2652" i="2"/>
  <c r="D2652" i="2"/>
  <c r="F2652" i="2"/>
  <c r="G2652" i="2"/>
  <c r="H2652" i="2"/>
  <c r="J2652" i="2"/>
  <c r="K2652" i="2"/>
  <c r="L2652" i="2"/>
  <c r="C2653" i="2"/>
  <c r="D2653" i="2"/>
  <c r="F2653" i="2"/>
  <c r="G2653" i="2"/>
  <c r="H2653" i="2"/>
  <c r="J2653" i="2"/>
  <c r="K2653" i="2"/>
  <c r="L2653" i="2"/>
  <c r="C2654" i="2"/>
  <c r="D2654" i="2"/>
  <c r="F2654" i="2"/>
  <c r="G2654" i="2"/>
  <c r="H2654" i="2"/>
  <c r="J2654" i="2"/>
  <c r="K2654" i="2"/>
  <c r="L2654" i="2"/>
  <c r="C2655" i="2"/>
  <c r="D2655" i="2"/>
  <c r="F2655" i="2"/>
  <c r="G2655" i="2"/>
  <c r="H2655" i="2"/>
  <c r="J2655" i="2"/>
  <c r="K2655" i="2"/>
  <c r="L2655" i="2"/>
  <c r="C2656" i="2"/>
  <c r="D2656" i="2"/>
  <c r="F2656" i="2"/>
  <c r="G2656" i="2"/>
  <c r="H2656" i="2"/>
  <c r="J2656" i="2"/>
  <c r="K2656" i="2"/>
  <c r="L2656" i="2"/>
  <c r="C2657" i="2"/>
  <c r="D2657" i="2"/>
  <c r="F2657" i="2"/>
  <c r="G2657" i="2"/>
  <c r="H2657" i="2"/>
  <c r="J2657" i="2"/>
  <c r="K2657" i="2"/>
  <c r="L2657" i="2"/>
  <c r="C2658" i="2"/>
  <c r="D2658" i="2"/>
  <c r="F2658" i="2"/>
  <c r="G2658" i="2"/>
  <c r="H2658" i="2"/>
  <c r="J2658" i="2"/>
  <c r="K2658" i="2"/>
  <c r="L2658" i="2"/>
  <c r="C2659" i="2"/>
  <c r="D2659" i="2"/>
  <c r="F2659" i="2"/>
  <c r="G2659" i="2"/>
  <c r="H2659" i="2"/>
  <c r="J2659" i="2"/>
  <c r="K2659" i="2"/>
  <c r="L2659" i="2"/>
  <c r="C2660" i="2"/>
  <c r="D2660" i="2"/>
  <c r="F2660" i="2"/>
  <c r="G2660" i="2"/>
  <c r="H2660" i="2"/>
  <c r="J2660" i="2"/>
  <c r="K2660" i="2"/>
  <c r="L2660" i="2"/>
  <c r="C2661" i="2"/>
  <c r="D2661" i="2"/>
  <c r="F2661" i="2"/>
  <c r="G2661" i="2"/>
  <c r="H2661" i="2"/>
  <c r="J2661" i="2"/>
  <c r="K2661" i="2"/>
  <c r="L2661" i="2"/>
  <c r="C2662" i="2"/>
  <c r="D2662" i="2"/>
  <c r="F2662" i="2"/>
  <c r="G2662" i="2"/>
  <c r="H2662" i="2"/>
  <c r="J2662" i="2"/>
  <c r="K2662" i="2"/>
  <c r="L2662" i="2"/>
  <c r="C2663" i="2"/>
  <c r="D2663" i="2"/>
  <c r="F2663" i="2"/>
  <c r="G2663" i="2"/>
  <c r="H2663" i="2"/>
  <c r="J2663" i="2"/>
  <c r="K2663" i="2"/>
  <c r="L2663" i="2"/>
  <c r="C2664" i="2"/>
  <c r="D2664" i="2"/>
  <c r="F2664" i="2"/>
  <c r="G2664" i="2"/>
  <c r="H2664" i="2"/>
  <c r="J2664" i="2"/>
  <c r="K2664" i="2"/>
  <c r="L2664" i="2"/>
  <c r="C2665" i="2"/>
  <c r="D2665" i="2"/>
  <c r="F2665" i="2"/>
  <c r="G2665" i="2"/>
  <c r="H2665" i="2"/>
  <c r="J2665" i="2"/>
  <c r="K2665" i="2"/>
  <c r="L2665" i="2"/>
  <c r="C2666" i="2"/>
  <c r="D2666" i="2"/>
  <c r="F2666" i="2"/>
  <c r="G2666" i="2"/>
  <c r="H2666" i="2"/>
  <c r="J2666" i="2"/>
  <c r="K2666" i="2"/>
  <c r="L2666" i="2"/>
  <c r="C2667" i="2"/>
  <c r="D2667" i="2"/>
  <c r="F2667" i="2"/>
  <c r="G2667" i="2"/>
  <c r="H2667" i="2"/>
  <c r="J2667" i="2"/>
  <c r="K2667" i="2"/>
  <c r="L2667" i="2"/>
  <c r="C2668" i="2"/>
  <c r="D2668" i="2"/>
  <c r="F2668" i="2"/>
  <c r="G2668" i="2"/>
  <c r="H2668" i="2"/>
  <c r="J2668" i="2"/>
  <c r="K2668" i="2"/>
  <c r="L2668" i="2"/>
  <c r="C2669" i="2"/>
  <c r="D2669" i="2"/>
  <c r="F2669" i="2"/>
  <c r="G2669" i="2"/>
  <c r="H2669" i="2"/>
  <c r="J2669" i="2"/>
  <c r="K2669" i="2"/>
  <c r="L2669" i="2"/>
  <c r="C2670" i="2"/>
  <c r="D2670" i="2"/>
  <c r="F2670" i="2"/>
  <c r="G2670" i="2"/>
  <c r="H2670" i="2"/>
  <c r="J2670" i="2"/>
  <c r="K2670" i="2"/>
  <c r="L2670" i="2"/>
  <c r="C2671" i="2"/>
  <c r="D2671" i="2"/>
  <c r="F2671" i="2"/>
  <c r="G2671" i="2"/>
  <c r="H2671" i="2"/>
  <c r="J2671" i="2"/>
  <c r="K2671" i="2"/>
  <c r="L2671" i="2"/>
  <c r="C2672" i="2"/>
  <c r="D2672" i="2"/>
  <c r="F2672" i="2"/>
  <c r="G2672" i="2"/>
  <c r="H2672" i="2"/>
  <c r="J2672" i="2"/>
  <c r="K2672" i="2"/>
  <c r="L2672" i="2"/>
  <c r="C2673" i="2"/>
  <c r="D2673" i="2"/>
  <c r="F2673" i="2"/>
  <c r="G2673" i="2"/>
  <c r="H2673" i="2"/>
  <c r="J2673" i="2"/>
  <c r="K2673" i="2"/>
  <c r="L2673" i="2"/>
  <c r="C2674" i="2"/>
  <c r="D2674" i="2"/>
  <c r="F2674" i="2"/>
  <c r="G2674" i="2"/>
  <c r="H2674" i="2"/>
  <c r="J2674" i="2"/>
  <c r="K2674" i="2"/>
  <c r="L2674" i="2"/>
  <c r="C2675" i="2"/>
  <c r="D2675" i="2"/>
  <c r="F2675" i="2"/>
  <c r="G2675" i="2"/>
  <c r="H2675" i="2"/>
  <c r="J2675" i="2"/>
  <c r="K2675" i="2"/>
  <c r="L2675" i="2"/>
  <c r="C2676" i="2"/>
  <c r="D2676" i="2"/>
  <c r="F2676" i="2"/>
  <c r="G2676" i="2"/>
  <c r="H2676" i="2"/>
  <c r="J2676" i="2"/>
  <c r="K2676" i="2"/>
  <c r="L2676" i="2"/>
  <c r="C2677" i="2"/>
  <c r="D2677" i="2"/>
  <c r="F2677" i="2"/>
  <c r="G2677" i="2"/>
  <c r="H2677" i="2"/>
  <c r="J2677" i="2"/>
  <c r="K2677" i="2"/>
  <c r="L2677" i="2"/>
  <c r="C2678" i="2"/>
  <c r="D2678" i="2"/>
  <c r="F2678" i="2"/>
  <c r="G2678" i="2"/>
  <c r="H2678" i="2"/>
  <c r="J2678" i="2"/>
  <c r="K2678" i="2"/>
  <c r="L2678" i="2"/>
  <c r="C2679" i="2"/>
  <c r="D2679" i="2"/>
  <c r="F2679" i="2"/>
  <c r="G2679" i="2"/>
  <c r="H2679" i="2"/>
  <c r="J2679" i="2"/>
  <c r="K2679" i="2"/>
  <c r="L2679" i="2"/>
  <c r="C2680" i="2"/>
  <c r="D2680" i="2"/>
  <c r="F2680" i="2"/>
  <c r="G2680" i="2"/>
  <c r="H2680" i="2"/>
  <c r="J2680" i="2"/>
  <c r="K2680" i="2"/>
  <c r="L2680" i="2"/>
  <c r="C2681" i="2"/>
  <c r="D2681" i="2"/>
  <c r="F2681" i="2"/>
  <c r="G2681" i="2"/>
  <c r="H2681" i="2"/>
  <c r="J2681" i="2"/>
  <c r="K2681" i="2"/>
  <c r="L2681" i="2"/>
  <c r="C2682" i="2"/>
  <c r="D2682" i="2"/>
  <c r="F2682" i="2"/>
  <c r="G2682" i="2"/>
  <c r="H2682" i="2"/>
  <c r="J2682" i="2"/>
  <c r="K2682" i="2"/>
  <c r="L2682" i="2"/>
  <c r="C2683" i="2"/>
  <c r="D2683" i="2"/>
  <c r="F2683" i="2"/>
  <c r="G2683" i="2"/>
  <c r="H2683" i="2"/>
  <c r="J2683" i="2"/>
  <c r="K2683" i="2"/>
  <c r="L2683" i="2"/>
  <c r="C2684" i="2"/>
  <c r="D2684" i="2"/>
  <c r="F2684" i="2"/>
  <c r="G2684" i="2"/>
  <c r="H2684" i="2"/>
  <c r="J2684" i="2"/>
  <c r="K2684" i="2"/>
  <c r="L2684" i="2"/>
  <c r="C2685" i="2"/>
  <c r="D2685" i="2"/>
  <c r="F2685" i="2"/>
  <c r="G2685" i="2"/>
  <c r="H2685" i="2"/>
  <c r="J2685" i="2"/>
  <c r="K2685" i="2"/>
  <c r="L2685" i="2"/>
  <c r="C2686" i="2"/>
  <c r="D2686" i="2"/>
  <c r="F2686" i="2"/>
  <c r="G2686" i="2"/>
  <c r="H2686" i="2"/>
  <c r="J2686" i="2"/>
  <c r="K2686" i="2"/>
  <c r="L2686" i="2"/>
  <c r="C2687" i="2"/>
  <c r="D2687" i="2"/>
  <c r="F2687" i="2"/>
  <c r="G2687" i="2"/>
  <c r="H2687" i="2"/>
  <c r="J2687" i="2"/>
  <c r="K2687" i="2"/>
  <c r="L2687" i="2"/>
  <c r="C2688" i="2"/>
  <c r="D2688" i="2"/>
  <c r="F2688" i="2"/>
  <c r="G2688" i="2"/>
  <c r="H2688" i="2"/>
  <c r="J2688" i="2"/>
  <c r="K2688" i="2"/>
  <c r="L2688" i="2"/>
  <c r="C2689" i="2"/>
  <c r="D2689" i="2"/>
  <c r="F2689" i="2"/>
  <c r="G2689" i="2"/>
  <c r="H2689" i="2"/>
  <c r="J2689" i="2"/>
  <c r="K2689" i="2"/>
  <c r="L2689" i="2"/>
  <c r="C2690" i="2"/>
  <c r="D2690" i="2"/>
  <c r="F2690" i="2"/>
  <c r="G2690" i="2"/>
  <c r="H2690" i="2"/>
  <c r="J2690" i="2"/>
  <c r="K2690" i="2"/>
  <c r="L2690" i="2"/>
  <c r="C2691" i="2"/>
  <c r="D2691" i="2"/>
  <c r="F2691" i="2"/>
  <c r="G2691" i="2"/>
  <c r="H2691" i="2"/>
  <c r="J2691" i="2"/>
  <c r="K2691" i="2"/>
  <c r="L2691" i="2"/>
  <c r="C2692" i="2"/>
  <c r="D2692" i="2"/>
  <c r="F2692" i="2"/>
  <c r="G2692" i="2"/>
  <c r="H2692" i="2"/>
  <c r="J2692" i="2"/>
  <c r="K2692" i="2"/>
  <c r="L2692" i="2"/>
  <c r="C2693" i="2"/>
  <c r="D2693" i="2"/>
  <c r="F2693" i="2"/>
  <c r="G2693" i="2"/>
  <c r="H2693" i="2"/>
  <c r="J2693" i="2"/>
  <c r="K2693" i="2"/>
  <c r="L2693" i="2"/>
  <c r="C2694" i="2"/>
  <c r="D2694" i="2"/>
  <c r="F2694" i="2"/>
  <c r="G2694" i="2"/>
  <c r="H2694" i="2"/>
  <c r="J2694" i="2"/>
  <c r="K2694" i="2"/>
  <c r="L2694" i="2"/>
  <c r="C2695" i="2"/>
  <c r="D2695" i="2"/>
  <c r="F2695" i="2"/>
  <c r="G2695" i="2"/>
  <c r="H2695" i="2"/>
  <c r="J2695" i="2"/>
  <c r="K2695" i="2"/>
  <c r="L2695" i="2"/>
  <c r="C2696" i="2"/>
  <c r="D2696" i="2"/>
  <c r="F2696" i="2"/>
  <c r="G2696" i="2"/>
  <c r="H2696" i="2"/>
  <c r="J2696" i="2"/>
  <c r="K2696" i="2"/>
  <c r="L2696" i="2"/>
  <c r="C2697" i="2"/>
  <c r="D2697" i="2"/>
  <c r="F2697" i="2"/>
  <c r="G2697" i="2"/>
  <c r="H2697" i="2"/>
  <c r="J2697" i="2"/>
  <c r="K2697" i="2"/>
  <c r="L2697" i="2"/>
  <c r="C2698" i="2"/>
  <c r="D2698" i="2"/>
  <c r="F2698" i="2"/>
  <c r="G2698" i="2"/>
  <c r="H2698" i="2"/>
  <c r="J2698" i="2"/>
  <c r="K2698" i="2"/>
  <c r="L2698" i="2"/>
  <c r="C2699" i="2"/>
  <c r="D2699" i="2"/>
  <c r="F2699" i="2"/>
  <c r="G2699" i="2"/>
  <c r="H2699" i="2"/>
  <c r="J2699" i="2"/>
  <c r="K2699" i="2"/>
  <c r="L2699" i="2"/>
  <c r="C2700" i="2"/>
  <c r="D2700" i="2"/>
  <c r="F2700" i="2"/>
  <c r="G2700" i="2"/>
  <c r="H2700" i="2"/>
  <c r="J2700" i="2"/>
  <c r="K2700" i="2"/>
  <c r="L2700" i="2"/>
  <c r="C2701" i="2"/>
  <c r="D2701" i="2"/>
  <c r="F2701" i="2"/>
  <c r="G2701" i="2"/>
  <c r="H2701" i="2"/>
  <c r="J2701" i="2"/>
  <c r="K2701" i="2"/>
  <c r="L2701" i="2"/>
  <c r="C2702" i="2"/>
  <c r="D2702" i="2"/>
  <c r="F2702" i="2"/>
  <c r="G2702" i="2"/>
  <c r="H2702" i="2"/>
  <c r="J2702" i="2"/>
  <c r="K2702" i="2"/>
  <c r="L2702" i="2"/>
  <c r="C2703" i="2"/>
  <c r="D2703" i="2"/>
  <c r="F2703" i="2"/>
  <c r="G2703" i="2"/>
  <c r="H2703" i="2"/>
  <c r="J2703" i="2"/>
  <c r="K2703" i="2"/>
  <c r="L2703" i="2"/>
  <c r="C2704" i="2"/>
  <c r="D2704" i="2"/>
  <c r="F2704" i="2"/>
  <c r="G2704" i="2"/>
  <c r="H2704" i="2"/>
  <c r="J2704" i="2"/>
  <c r="K2704" i="2"/>
  <c r="L2704" i="2"/>
  <c r="C2705" i="2"/>
  <c r="D2705" i="2"/>
  <c r="F2705" i="2"/>
  <c r="G2705" i="2"/>
  <c r="H2705" i="2"/>
  <c r="J2705" i="2"/>
  <c r="K2705" i="2"/>
  <c r="L2705" i="2"/>
  <c r="C2706" i="2"/>
  <c r="D2706" i="2"/>
  <c r="F2706" i="2"/>
  <c r="G2706" i="2"/>
  <c r="H2706" i="2"/>
  <c r="J2706" i="2"/>
  <c r="K2706" i="2"/>
  <c r="L2706" i="2"/>
  <c r="C2707" i="2"/>
  <c r="D2707" i="2"/>
  <c r="F2707" i="2"/>
  <c r="G2707" i="2"/>
  <c r="H2707" i="2"/>
  <c r="J2707" i="2"/>
  <c r="K2707" i="2"/>
  <c r="L2707" i="2"/>
  <c r="C2708" i="2"/>
  <c r="D2708" i="2"/>
  <c r="F2708" i="2"/>
  <c r="G2708" i="2"/>
  <c r="H2708" i="2"/>
  <c r="J2708" i="2"/>
  <c r="K2708" i="2"/>
  <c r="L2708" i="2"/>
  <c r="C2709" i="2"/>
  <c r="D2709" i="2"/>
  <c r="F2709" i="2"/>
  <c r="G2709" i="2"/>
  <c r="H2709" i="2"/>
  <c r="J2709" i="2"/>
  <c r="K2709" i="2"/>
  <c r="L2709" i="2"/>
  <c r="C2710" i="2"/>
  <c r="D2710" i="2"/>
  <c r="F2710" i="2"/>
  <c r="G2710" i="2"/>
  <c r="H2710" i="2"/>
  <c r="J2710" i="2"/>
  <c r="K2710" i="2"/>
  <c r="L2710" i="2"/>
  <c r="C2711" i="2"/>
  <c r="D2711" i="2"/>
  <c r="F2711" i="2"/>
  <c r="G2711" i="2"/>
  <c r="H2711" i="2"/>
  <c r="J2711" i="2"/>
  <c r="K2711" i="2"/>
  <c r="L2711" i="2"/>
  <c r="C2712" i="2"/>
  <c r="D2712" i="2"/>
  <c r="F2712" i="2"/>
  <c r="G2712" i="2"/>
  <c r="H2712" i="2"/>
  <c r="J2712" i="2"/>
  <c r="K2712" i="2"/>
  <c r="L2712" i="2"/>
  <c r="C2713" i="2"/>
  <c r="D2713" i="2"/>
  <c r="F2713" i="2"/>
  <c r="G2713" i="2"/>
  <c r="H2713" i="2"/>
  <c r="J2713" i="2"/>
  <c r="K2713" i="2"/>
  <c r="L2713" i="2"/>
  <c r="C2714" i="2"/>
  <c r="D2714" i="2"/>
  <c r="F2714" i="2"/>
  <c r="G2714" i="2"/>
  <c r="H2714" i="2"/>
  <c r="J2714" i="2"/>
  <c r="K2714" i="2"/>
  <c r="L2714" i="2"/>
  <c r="C2715" i="2"/>
  <c r="D2715" i="2"/>
  <c r="F2715" i="2"/>
  <c r="G2715" i="2"/>
  <c r="H2715" i="2"/>
  <c r="J2715" i="2"/>
  <c r="K2715" i="2"/>
  <c r="L2715" i="2"/>
  <c r="C2716" i="2"/>
  <c r="D2716" i="2"/>
  <c r="F2716" i="2"/>
  <c r="G2716" i="2"/>
  <c r="H2716" i="2"/>
  <c r="J2716" i="2"/>
  <c r="K2716" i="2"/>
  <c r="L2716" i="2"/>
  <c r="C2717" i="2"/>
  <c r="D2717" i="2"/>
  <c r="F2717" i="2"/>
  <c r="G2717" i="2"/>
  <c r="H2717" i="2"/>
  <c r="J2717" i="2"/>
  <c r="K2717" i="2"/>
  <c r="L2717" i="2"/>
  <c r="C2718" i="2"/>
  <c r="D2718" i="2"/>
  <c r="F2718" i="2"/>
  <c r="G2718" i="2"/>
  <c r="H2718" i="2"/>
  <c r="J2718" i="2"/>
  <c r="K2718" i="2"/>
  <c r="L2718" i="2"/>
  <c r="C2719" i="2"/>
  <c r="D2719" i="2"/>
  <c r="F2719" i="2"/>
  <c r="G2719" i="2"/>
  <c r="H2719" i="2"/>
  <c r="J2719" i="2"/>
  <c r="K2719" i="2"/>
  <c r="L2719" i="2"/>
  <c r="C2720" i="2"/>
  <c r="D2720" i="2"/>
  <c r="E2720" i="2"/>
  <c r="F2720" i="2"/>
  <c r="G2720" i="2"/>
  <c r="H2720" i="2"/>
  <c r="J2720" i="2"/>
  <c r="K2720" i="2"/>
  <c r="L2720" i="2"/>
  <c r="C2721" i="2"/>
  <c r="D2721" i="2"/>
  <c r="F2721" i="2"/>
  <c r="G2721" i="2"/>
  <c r="H2721" i="2"/>
  <c r="J2721" i="2"/>
  <c r="K2721" i="2"/>
  <c r="L2721" i="2"/>
  <c r="C2722" i="2"/>
  <c r="D2722" i="2"/>
  <c r="F2722" i="2"/>
  <c r="G2722" i="2"/>
  <c r="H2722" i="2"/>
  <c r="J2722" i="2"/>
  <c r="K2722" i="2"/>
  <c r="L2722" i="2"/>
  <c r="C2723" i="2"/>
  <c r="D2723" i="2"/>
  <c r="F2723" i="2"/>
  <c r="G2723" i="2"/>
  <c r="H2723" i="2"/>
  <c r="J2723" i="2"/>
  <c r="K2723" i="2"/>
  <c r="L2723" i="2"/>
  <c r="C2724" i="2"/>
  <c r="D2724" i="2"/>
  <c r="F2724" i="2"/>
  <c r="G2724" i="2"/>
  <c r="H2724" i="2"/>
  <c r="J2724" i="2"/>
  <c r="K2724" i="2"/>
  <c r="L2724" i="2"/>
  <c r="C2725" i="2"/>
  <c r="D2725" i="2"/>
  <c r="F2725" i="2"/>
  <c r="G2725" i="2"/>
  <c r="H2725" i="2"/>
  <c r="J2725" i="2"/>
  <c r="K2725" i="2"/>
  <c r="L2725" i="2"/>
  <c r="C2726" i="2"/>
  <c r="D2726" i="2"/>
  <c r="F2726" i="2"/>
  <c r="G2726" i="2"/>
  <c r="H2726" i="2"/>
  <c r="J2726" i="2"/>
  <c r="K2726" i="2"/>
  <c r="L2726" i="2"/>
  <c r="C2727" i="2"/>
  <c r="D2727" i="2"/>
  <c r="F2727" i="2"/>
  <c r="G2727" i="2"/>
  <c r="H2727" i="2"/>
  <c r="J2727" i="2"/>
  <c r="K2727" i="2"/>
  <c r="L2727" i="2"/>
  <c r="C2728" i="2"/>
  <c r="D2728" i="2"/>
  <c r="F2728" i="2"/>
  <c r="G2728" i="2"/>
  <c r="H2728" i="2"/>
  <c r="J2728" i="2"/>
  <c r="K2728" i="2"/>
  <c r="L2728" i="2"/>
  <c r="C2729" i="2"/>
  <c r="D2729" i="2"/>
  <c r="F2729" i="2"/>
  <c r="G2729" i="2"/>
  <c r="H2729" i="2"/>
  <c r="J2729" i="2"/>
  <c r="K2729" i="2"/>
  <c r="L2729" i="2"/>
  <c r="C2730" i="2"/>
  <c r="D2730" i="2"/>
  <c r="F2730" i="2"/>
  <c r="G2730" i="2"/>
  <c r="H2730" i="2"/>
  <c r="J2730" i="2"/>
  <c r="K2730" i="2"/>
  <c r="L2730" i="2"/>
  <c r="C2731" i="2"/>
  <c r="D2731" i="2"/>
  <c r="F2731" i="2"/>
  <c r="G2731" i="2"/>
  <c r="H2731" i="2"/>
  <c r="J2731" i="2"/>
  <c r="K2731" i="2"/>
  <c r="L2731" i="2"/>
  <c r="C2732" i="2"/>
  <c r="D2732" i="2"/>
  <c r="F2732" i="2"/>
  <c r="G2732" i="2"/>
  <c r="H2732" i="2"/>
  <c r="J2732" i="2"/>
  <c r="K2732" i="2"/>
  <c r="L2732" i="2"/>
  <c r="C2733" i="2"/>
  <c r="D2733" i="2"/>
  <c r="F2733" i="2"/>
  <c r="G2733" i="2"/>
  <c r="H2733" i="2"/>
  <c r="J2733" i="2"/>
  <c r="K2733" i="2"/>
  <c r="L2733" i="2"/>
  <c r="C2734" i="2"/>
  <c r="D2734" i="2"/>
  <c r="F2734" i="2"/>
  <c r="G2734" i="2"/>
  <c r="H2734" i="2"/>
  <c r="J2734" i="2"/>
  <c r="K2734" i="2"/>
  <c r="L2734" i="2"/>
  <c r="C2735" i="2"/>
  <c r="D2735" i="2"/>
  <c r="F2735" i="2"/>
  <c r="G2735" i="2"/>
  <c r="H2735" i="2"/>
  <c r="J2735" i="2"/>
  <c r="K2735" i="2"/>
  <c r="L2735" i="2"/>
  <c r="C2736" i="2"/>
  <c r="D2736" i="2"/>
  <c r="F2736" i="2"/>
  <c r="G2736" i="2"/>
  <c r="H2736" i="2"/>
  <c r="J2736" i="2"/>
  <c r="K2736" i="2"/>
  <c r="L2736" i="2"/>
  <c r="C2737" i="2"/>
  <c r="D2737" i="2"/>
  <c r="F2737" i="2"/>
  <c r="G2737" i="2"/>
  <c r="H2737" i="2"/>
  <c r="J2737" i="2"/>
  <c r="K2737" i="2"/>
  <c r="L2737" i="2"/>
  <c r="C2738" i="2"/>
  <c r="D2738" i="2"/>
  <c r="F2738" i="2"/>
  <c r="G2738" i="2"/>
  <c r="H2738" i="2"/>
  <c r="J2738" i="2"/>
  <c r="K2738" i="2"/>
  <c r="L2738" i="2"/>
  <c r="C2739" i="2"/>
  <c r="D2739" i="2"/>
  <c r="F2739" i="2"/>
  <c r="G2739" i="2"/>
  <c r="H2739" i="2"/>
  <c r="J2739" i="2"/>
  <c r="K2739" i="2"/>
  <c r="L2739" i="2"/>
  <c r="C2740" i="2"/>
  <c r="D2740" i="2"/>
  <c r="F2740" i="2"/>
  <c r="G2740" i="2"/>
  <c r="H2740" i="2"/>
  <c r="J2740" i="2"/>
  <c r="K2740" i="2"/>
  <c r="L2740" i="2"/>
  <c r="C2741" i="2"/>
  <c r="D2741" i="2"/>
  <c r="F2741" i="2"/>
  <c r="G2741" i="2"/>
  <c r="H2741" i="2"/>
  <c r="J2741" i="2"/>
  <c r="K2741" i="2"/>
  <c r="L2741" i="2"/>
  <c r="C2742" i="2"/>
  <c r="D2742" i="2"/>
  <c r="F2742" i="2"/>
  <c r="G2742" i="2"/>
  <c r="H2742" i="2"/>
  <c r="J2742" i="2"/>
  <c r="K2742" i="2"/>
  <c r="L2742" i="2"/>
  <c r="C2743" i="2"/>
  <c r="D2743" i="2"/>
  <c r="F2743" i="2"/>
  <c r="G2743" i="2"/>
  <c r="H2743" i="2"/>
  <c r="J2743" i="2"/>
  <c r="K2743" i="2"/>
  <c r="L2743" i="2"/>
  <c r="C2744" i="2"/>
  <c r="D2744" i="2"/>
  <c r="F2744" i="2"/>
  <c r="G2744" i="2"/>
  <c r="H2744" i="2"/>
  <c r="J2744" i="2"/>
  <c r="K2744" i="2"/>
  <c r="L2744" i="2"/>
  <c r="C2745" i="2"/>
  <c r="D2745" i="2"/>
  <c r="F2745" i="2"/>
  <c r="G2745" i="2"/>
  <c r="H2745" i="2"/>
  <c r="J2745" i="2"/>
  <c r="K2745" i="2"/>
  <c r="L2745" i="2"/>
  <c r="C2746" i="2"/>
  <c r="D2746" i="2"/>
  <c r="F2746" i="2"/>
  <c r="G2746" i="2"/>
  <c r="H2746" i="2"/>
  <c r="J2746" i="2"/>
  <c r="K2746" i="2"/>
  <c r="L2746" i="2"/>
  <c r="C2747" i="2"/>
  <c r="D2747" i="2"/>
  <c r="F2747" i="2"/>
  <c r="G2747" i="2"/>
  <c r="H2747" i="2"/>
  <c r="J2747" i="2"/>
  <c r="K2747" i="2"/>
  <c r="L2747" i="2"/>
  <c r="C2748" i="2"/>
  <c r="D2748" i="2"/>
  <c r="F2748" i="2"/>
  <c r="G2748" i="2"/>
  <c r="H2748" i="2"/>
  <c r="J2748" i="2"/>
  <c r="K2748" i="2"/>
  <c r="L2748" i="2"/>
  <c r="C2749" i="2"/>
  <c r="D2749" i="2"/>
  <c r="F2749" i="2"/>
  <c r="G2749" i="2"/>
  <c r="H2749" i="2"/>
  <c r="J2749" i="2"/>
  <c r="K2749" i="2"/>
  <c r="L2749" i="2"/>
  <c r="C2750" i="2"/>
  <c r="D2750" i="2"/>
  <c r="F2750" i="2"/>
  <c r="G2750" i="2"/>
  <c r="H2750" i="2"/>
  <c r="J2750" i="2"/>
  <c r="K2750" i="2"/>
  <c r="L2750" i="2"/>
  <c r="C2751" i="2"/>
  <c r="D2751" i="2"/>
  <c r="F2751" i="2"/>
  <c r="G2751" i="2"/>
  <c r="H2751" i="2"/>
  <c r="J2751" i="2"/>
  <c r="K2751" i="2"/>
  <c r="L2751" i="2"/>
  <c r="C2752" i="2"/>
  <c r="D2752" i="2"/>
  <c r="F2752" i="2"/>
  <c r="G2752" i="2"/>
  <c r="H2752" i="2"/>
  <c r="J2752" i="2"/>
  <c r="K2752" i="2"/>
  <c r="L2752" i="2"/>
  <c r="C2753" i="2"/>
  <c r="D2753" i="2"/>
  <c r="F2753" i="2"/>
  <c r="G2753" i="2"/>
  <c r="H2753" i="2"/>
  <c r="J2753" i="2"/>
  <c r="K2753" i="2"/>
  <c r="L2753" i="2"/>
  <c r="C2754" i="2"/>
  <c r="D2754" i="2"/>
  <c r="F2754" i="2"/>
  <c r="G2754" i="2"/>
  <c r="H2754" i="2"/>
  <c r="J2754" i="2"/>
  <c r="K2754" i="2"/>
  <c r="L2754" i="2"/>
  <c r="C2755" i="2"/>
  <c r="D2755" i="2"/>
  <c r="F2755" i="2"/>
  <c r="G2755" i="2"/>
  <c r="H2755" i="2"/>
  <c r="J2755" i="2"/>
  <c r="K2755" i="2"/>
  <c r="L2755" i="2"/>
  <c r="C2756" i="2"/>
  <c r="D2756" i="2"/>
  <c r="F2756" i="2"/>
  <c r="G2756" i="2"/>
  <c r="H2756" i="2"/>
  <c r="J2756" i="2"/>
  <c r="K2756" i="2"/>
  <c r="L2756" i="2"/>
  <c r="C2757" i="2"/>
  <c r="D2757" i="2"/>
  <c r="F2757" i="2"/>
  <c r="G2757" i="2"/>
  <c r="H2757" i="2"/>
  <c r="J2757" i="2"/>
  <c r="K2757" i="2"/>
  <c r="L2757" i="2"/>
  <c r="C2758" i="2"/>
  <c r="D2758" i="2"/>
  <c r="F2758" i="2"/>
  <c r="G2758" i="2"/>
  <c r="H2758" i="2"/>
  <c r="J2758" i="2"/>
  <c r="K2758" i="2"/>
  <c r="L2758" i="2"/>
  <c r="C2759" i="2"/>
  <c r="D2759" i="2"/>
  <c r="F2759" i="2"/>
  <c r="G2759" i="2"/>
  <c r="H2759" i="2"/>
  <c r="J2759" i="2"/>
  <c r="K2759" i="2"/>
  <c r="L2759" i="2"/>
  <c r="C2760" i="2"/>
  <c r="D2760" i="2"/>
  <c r="F2760" i="2"/>
  <c r="G2760" i="2"/>
  <c r="H2760" i="2"/>
  <c r="J2760" i="2"/>
  <c r="K2760" i="2"/>
  <c r="L2760" i="2"/>
  <c r="C2761" i="2"/>
  <c r="D2761" i="2"/>
  <c r="F2761" i="2"/>
  <c r="G2761" i="2"/>
  <c r="H2761" i="2"/>
  <c r="J2761" i="2"/>
  <c r="K2761" i="2"/>
  <c r="L2761" i="2"/>
  <c r="C2762" i="2"/>
  <c r="D2762" i="2"/>
  <c r="F2762" i="2"/>
  <c r="G2762" i="2"/>
  <c r="H2762" i="2"/>
  <c r="J2762" i="2"/>
  <c r="K2762" i="2"/>
  <c r="L2762" i="2"/>
  <c r="C2763" i="2"/>
  <c r="D2763" i="2"/>
  <c r="F2763" i="2"/>
  <c r="G2763" i="2"/>
  <c r="H2763" i="2"/>
  <c r="J2763" i="2"/>
  <c r="K2763" i="2"/>
  <c r="L2763" i="2"/>
  <c r="C2764" i="2"/>
  <c r="D2764" i="2"/>
  <c r="F2764" i="2"/>
  <c r="G2764" i="2"/>
  <c r="H2764" i="2"/>
  <c r="J2764" i="2"/>
  <c r="K2764" i="2"/>
  <c r="L2764" i="2"/>
  <c r="C2765" i="2"/>
  <c r="D2765" i="2"/>
  <c r="F2765" i="2"/>
  <c r="G2765" i="2"/>
  <c r="H2765" i="2"/>
  <c r="J2765" i="2"/>
  <c r="K2765" i="2"/>
  <c r="L2765" i="2"/>
  <c r="C2766" i="2"/>
  <c r="D2766" i="2"/>
  <c r="F2766" i="2"/>
  <c r="G2766" i="2"/>
  <c r="H2766" i="2"/>
  <c r="J2766" i="2"/>
  <c r="K2766" i="2"/>
  <c r="L2766" i="2"/>
  <c r="C2767" i="2"/>
  <c r="D2767" i="2"/>
  <c r="F2767" i="2"/>
  <c r="G2767" i="2"/>
  <c r="H2767" i="2"/>
  <c r="J2767" i="2"/>
  <c r="K2767" i="2"/>
  <c r="L2767" i="2"/>
  <c r="C2768" i="2"/>
  <c r="D2768" i="2"/>
  <c r="F2768" i="2"/>
  <c r="G2768" i="2"/>
  <c r="H2768" i="2"/>
  <c r="J2768" i="2"/>
  <c r="K2768" i="2"/>
  <c r="L2768" i="2"/>
  <c r="C2769" i="2"/>
  <c r="D2769" i="2"/>
  <c r="F2769" i="2"/>
  <c r="G2769" i="2"/>
  <c r="H2769" i="2"/>
  <c r="J2769" i="2"/>
  <c r="K2769" i="2"/>
  <c r="L2769" i="2"/>
  <c r="C2770" i="2"/>
  <c r="D2770" i="2"/>
  <c r="F2770" i="2"/>
  <c r="G2770" i="2"/>
  <c r="H2770" i="2"/>
  <c r="J2770" i="2"/>
  <c r="K2770" i="2"/>
  <c r="L2770" i="2"/>
  <c r="C2771" i="2"/>
  <c r="D2771" i="2"/>
  <c r="F2771" i="2"/>
  <c r="G2771" i="2"/>
  <c r="H2771" i="2"/>
  <c r="J2771" i="2"/>
  <c r="K2771" i="2"/>
  <c r="L2771" i="2"/>
  <c r="C2772" i="2"/>
  <c r="D2772" i="2"/>
  <c r="F2772" i="2"/>
  <c r="G2772" i="2"/>
  <c r="H2772" i="2"/>
  <c r="J2772" i="2"/>
  <c r="K2772" i="2"/>
  <c r="L2772" i="2"/>
  <c r="C2773" i="2"/>
  <c r="D2773" i="2"/>
  <c r="F2773" i="2"/>
  <c r="G2773" i="2"/>
  <c r="H2773" i="2"/>
  <c r="J2773" i="2"/>
  <c r="K2773" i="2"/>
  <c r="L2773" i="2"/>
  <c r="C2774" i="2"/>
  <c r="D2774" i="2"/>
  <c r="F2774" i="2"/>
  <c r="G2774" i="2"/>
  <c r="H2774" i="2"/>
  <c r="J2774" i="2"/>
  <c r="K2774" i="2"/>
  <c r="L2774" i="2"/>
  <c r="C2775" i="2"/>
  <c r="D2775" i="2"/>
  <c r="F2775" i="2"/>
  <c r="G2775" i="2"/>
  <c r="H2775" i="2"/>
  <c r="J2775" i="2"/>
  <c r="K2775" i="2"/>
  <c r="L2775" i="2"/>
  <c r="C2776" i="2"/>
  <c r="D2776" i="2"/>
  <c r="F2776" i="2"/>
  <c r="G2776" i="2"/>
  <c r="H2776" i="2"/>
  <c r="J2776" i="2"/>
  <c r="K2776" i="2"/>
  <c r="L2776" i="2"/>
  <c r="C2777" i="2"/>
  <c r="D2777" i="2"/>
  <c r="F2777" i="2"/>
  <c r="G2777" i="2"/>
  <c r="H2777" i="2"/>
  <c r="J2777" i="2"/>
  <c r="K2777" i="2"/>
  <c r="L2777" i="2"/>
  <c r="C2778" i="2"/>
  <c r="D2778" i="2"/>
  <c r="F2778" i="2"/>
  <c r="G2778" i="2"/>
  <c r="H2778" i="2"/>
  <c r="J2778" i="2"/>
  <c r="K2778" i="2"/>
  <c r="L2778" i="2"/>
  <c r="C2779" i="2"/>
  <c r="D2779" i="2"/>
  <c r="F2779" i="2"/>
  <c r="G2779" i="2"/>
  <c r="H2779" i="2"/>
  <c r="J2779" i="2"/>
  <c r="K2779" i="2"/>
  <c r="L2779" i="2"/>
  <c r="C2780" i="2"/>
  <c r="D2780" i="2"/>
  <c r="F2780" i="2"/>
  <c r="G2780" i="2"/>
  <c r="H2780" i="2"/>
  <c r="J2780" i="2"/>
  <c r="K2780" i="2"/>
  <c r="L2780" i="2"/>
  <c r="C2781" i="2"/>
  <c r="D2781" i="2"/>
  <c r="F2781" i="2"/>
  <c r="G2781" i="2"/>
  <c r="H2781" i="2"/>
  <c r="J2781" i="2"/>
  <c r="K2781" i="2"/>
  <c r="L2781" i="2"/>
  <c r="C2782" i="2"/>
  <c r="D2782" i="2"/>
  <c r="F2782" i="2"/>
  <c r="G2782" i="2"/>
  <c r="H2782" i="2"/>
  <c r="J2782" i="2"/>
  <c r="K2782" i="2"/>
  <c r="L2782" i="2"/>
  <c r="C2783" i="2"/>
  <c r="D2783" i="2"/>
  <c r="F2783" i="2"/>
  <c r="G2783" i="2"/>
  <c r="H2783" i="2"/>
  <c r="J2783" i="2"/>
  <c r="K2783" i="2"/>
  <c r="L2783" i="2"/>
  <c r="C2784" i="2"/>
  <c r="D2784" i="2"/>
  <c r="F2784" i="2"/>
  <c r="G2784" i="2"/>
  <c r="H2784" i="2"/>
  <c r="J2784" i="2"/>
  <c r="K2784" i="2"/>
  <c r="L2784" i="2"/>
  <c r="C2785" i="2"/>
  <c r="D2785" i="2"/>
  <c r="F2785" i="2"/>
  <c r="G2785" i="2"/>
  <c r="H2785" i="2"/>
  <c r="J2785" i="2"/>
  <c r="K2785" i="2"/>
  <c r="L2785" i="2"/>
  <c r="C2786" i="2"/>
  <c r="D2786" i="2"/>
  <c r="F2786" i="2"/>
  <c r="G2786" i="2"/>
  <c r="H2786" i="2"/>
  <c r="J2786" i="2"/>
  <c r="K2786" i="2"/>
  <c r="L2786" i="2"/>
  <c r="C2787" i="2"/>
  <c r="D2787" i="2"/>
  <c r="F2787" i="2"/>
  <c r="G2787" i="2"/>
  <c r="H2787" i="2"/>
  <c r="J2787" i="2"/>
  <c r="K2787" i="2"/>
  <c r="L2787" i="2"/>
  <c r="C2788" i="2"/>
  <c r="D2788" i="2"/>
  <c r="F2788" i="2"/>
  <c r="G2788" i="2"/>
  <c r="H2788" i="2"/>
  <c r="J2788" i="2"/>
  <c r="K2788" i="2"/>
  <c r="L2788" i="2"/>
  <c r="C2789" i="2"/>
  <c r="D2789" i="2"/>
  <c r="F2789" i="2"/>
  <c r="G2789" i="2"/>
  <c r="H2789" i="2"/>
  <c r="J2789" i="2"/>
  <c r="K2789" i="2"/>
  <c r="L2789" i="2"/>
  <c r="C2790" i="2"/>
  <c r="D2790" i="2"/>
  <c r="F2790" i="2"/>
  <c r="G2790" i="2"/>
  <c r="H2790" i="2"/>
  <c r="J2790" i="2"/>
  <c r="K2790" i="2"/>
  <c r="L2790" i="2"/>
  <c r="C2791" i="2"/>
  <c r="D2791" i="2"/>
  <c r="F2791" i="2"/>
  <c r="G2791" i="2"/>
  <c r="H2791" i="2"/>
  <c r="J2791" i="2"/>
  <c r="K2791" i="2"/>
  <c r="L2791" i="2"/>
  <c r="C2792" i="2"/>
  <c r="D2792" i="2"/>
  <c r="F2792" i="2"/>
  <c r="G2792" i="2"/>
  <c r="H2792" i="2"/>
  <c r="J2792" i="2"/>
  <c r="K2792" i="2"/>
  <c r="L2792" i="2"/>
  <c r="C2793" i="2"/>
  <c r="D2793" i="2"/>
  <c r="F2793" i="2"/>
  <c r="G2793" i="2"/>
  <c r="H2793" i="2"/>
  <c r="J2793" i="2"/>
  <c r="K2793" i="2"/>
  <c r="L2793" i="2"/>
  <c r="C2794" i="2"/>
  <c r="D2794" i="2"/>
  <c r="F2794" i="2"/>
  <c r="G2794" i="2"/>
  <c r="H2794" i="2"/>
  <c r="J2794" i="2"/>
  <c r="K2794" i="2"/>
  <c r="L2794" i="2"/>
  <c r="C2795" i="2"/>
  <c r="D2795" i="2"/>
  <c r="F2795" i="2"/>
  <c r="G2795" i="2"/>
  <c r="H2795" i="2"/>
  <c r="J2795" i="2"/>
  <c r="K2795" i="2"/>
  <c r="L2795" i="2"/>
  <c r="C2796" i="2"/>
  <c r="D2796" i="2"/>
  <c r="F2796" i="2"/>
  <c r="G2796" i="2"/>
  <c r="H2796" i="2"/>
  <c r="J2796" i="2"/>
  <c r="K2796" i="2"/>
  <c r="L2796" i="2"/>
  <c r="C2797" i="2"/>
  <c r="D2797" i="2"/>
  <c r="F2797" i="2"/>
  <c r="G2797" i="2"/>
  <c r="H2797" i="2"/>
  <c r="J2797" i="2"/>
  <c r="K2797" i="2"/>
  <c r="L2797" i="2"/>
  <c r="C2798" i="2"/>
  <c r="D2798" i="2"/>
  <c r="F2798" i="2"/>
  <c r="G2798" i="2"/>
  <c r="H2798" i="2"/>
  <c r="J2798" i="2"/>
  <c r="K2798" i="2"/>
  <c r="L2798" i="2"/>
  <c r="C2799" i="2"/>
  <c r="D2799" i="2"/>
  <c r="F2799" i="2"/>
  <c r="G2799" i="2"/>
  <c r="H2799" i="2"/>
  <c r="J2799" i="2"/>
  <c r="K2799" i="2"/>
  <c r="L2799" i="2"/>
  <c r="C2800" i="2"/>
  <c r="D2800" i="2"/>
  <c r="F2800" i="2"/>
  <c r="G2800" i="2"/>
  <c r="H2800" i="2"/>
  <c r="J2800" i="2"/>
  <c r="K2800" i="2"/>
  <c r="L2800" i="2"/>
  <c r="C2801" i="2"/>
  <c r="D2801" i="2"/>
  <c r="F2801" i="2"/>
  <c r="G2801" i="2"/>
  <c r="H2801" i="2"/>
  <c r="J2801" i="2"/>
  <c r="K2801" i="2"/>
  <c r="L2801" i="2"/>
  <c r="C2802" i="2"/>
  <c r="D2802" i="2"/>
  <c r="F2802" i="2"/>
  <c r="G2802" i="2"/>
  <c r="H2802" i="2"/>
  <c r="J2802" i="2"/>
  <c r="K2802" i="2"/>
  <c r="L2802" i="2"/>
  <c r="C2803" i="2"/>
  <c r="D2803" i="2"/>
  <c r="F2803" i="2"/>
  <c r="G2803" i="2"/>
  <c r="H2803" i="2"/>
  <c r="J2803" i="2"/>
  <c r="K2803" i="2"/>
  <c r="L2803" i="2"/>
  <c r="C2804" i="2"/>
  <c r="D2804" i="2"/>
  <c r="F2804" i="2"/>
  <c r="G2804" i="2"/>
  <c r="H2804" i="2"/>
  <c r="J2804" i="2"/>
  <c r="K2804" i="2"/>
  <c r="L2804" i="2"/>
  <c r="C2805" i="2"/>
  <c r="D2805" i="2"/>
  <c r="F2805" i="2"/>
  <c r="G2805" i="2"/>
  <c r="H2805" i="2"/>
  <c r="J2805" i="2"/>
  <c r="K2805" i="2"/>
  <c r="L2805" i="2"/>
  <c r="C2806" i="2"/>
  <c r="D2806" i="2"/>
  <c r="F2806" i="2"/>
  <c r="G2806" i="2"/>
  <c r="H2806" i="2"/>
  <c r="J2806" i="2"/>
  <c r="K2806" i="2"/>
  <c r="L2806" i="2"/>
  <c r="C2807" i="2"/>
  <c r="D2807" i="2"/>
  <c r="F2807" i="2"/>
  <c r="G2807" i="2"/>
  <c r="H2807" i="2"/>
  <c r="J2807" i="2"/>
  <c r="K2807" i="2"/>
  <c r="L2807" i="2"/>
  <c r="C2808" i="2"/>
  <c r="D2808" i="2"/>
  <c r="F2808" i="2"/>
  <c r="G2808" i="2"/>
  <c r="H2808" i="2"/>
  <c r="J2808" i="2"/>
  <c r="K2808" i="2"/>
  <c r="L2808" i="2"/>
  <c r="C2809" i="2"/>
  <c r="D2809" i="2"/>
  <c r="F2809" i="2"/>
  <c r="G2809" i="2"/>
  <c r="H2809" i="2"/>
  <c r="J2809" i="2"/>
  <c r="K2809" i="2"/>
  <c r="L2809" i="2"/>
  <c r="C2810" i="2"/>
  <c r="D2810" i="2"/>
  <c r="F2810" i="2"/>
  <c r="G2810" i="2"/>
  <c r="H2810" i="2"/>
  <c r="J2810" i="2"/>
  <c r="K2810" i="2"/>
  <c r="L2810" i="2"/>
  <c r="C2811" i="2"/>
  <c r="D2811" i="2"/>
  <c r="F2811" i="2"/>
  <c r="G2811" i="2"/>
  <c r="H2811" i="2"/>
  <c r="J2811" i="2"/>
  <c r="K2811" i="2"/>
  <c r="L2811" i="2"/>
  <c r="C2812" i="2"/>
  <c r="D2812" i="2"/>
  <c r="F2812" i="2"/>
  <c r="G2812" i="2"/>
  <c r="H2812" i="2"/>
  <c r="J2812" i="2"/>
  <c r="K2812" i="2"/>
  <c r="L2812" i="2"/>
  <c r="C2813" i="2"/>
  <c r="D2813" i="2"/>
  <c r="F2813" i="2"/>
  <c r="G2813" i="2"/>
  <c r="H2813" i="2"/>
  <c r="J2813" i="2"/>
  <c r="K2813" i="2"/>
  <c r="L2813" i="2"/>
  <c r="C2814" i="2"/>
  <c r="D2814" i="2"/>
  <c r="F2814" i="2"/>
  <c r="G2814" i="2"/>
  <c r="H2814" i="2"/>
  <c r="J2814" i="2"/>
  <c r="K2814" i="2"/>
  <c r="L2814" i="2"/>
  <c r="C2815" i="2"/>
  <c r="D2815" i="2"/>
  <c r="F2815" i="2"/>
  <c r="G2815" i="2"/>
  <c r="H2815" i="2"/>
  <c r="J2815" i="2"/>
  <c r="K2815" i="2"/>
  <c r="L2815" i="2"/>
  <c r="C2816" i="2"/>
  <c r="D2816" i="2"/>
  <c r="F2816" i="2"/>
  <c r="G2816" i="2"/>
  <c r="H2816" i="2"/>
  <c r="J2816" i="2"/>
  <c r="K2816" i="2"/>
  <c r="L2816" i="2"/>
  <c r="C2817" i="2"/>
  <c r="D2817" i="2"/>
  <c r="F2817" i="2"/>
  <c r="G2817" i="2"/>
  <c r="H2817" i="2"/>
  <c r="J2817" i="2"/>
  <c r="K2817" i="2"/>
  <c r="L2817" i="2"/>
  <c r="C2818" i="2"/>
  <c r="D2818" i="2"/>
  <c r="F2818" i="2"/>
  <c r="G2818" i="2"/>
  <c r="H2818" i="2"/>
  <c r="J2818" i="2"/>
  <c r="K2818" i="2"/>
  <c r="L2818" i="2"/>
  <c r="C2819" i="2"/>
  <c r="D2819" i="2"/>
  <c r="F2819" i="2"/>
  <c r="G2819" i="2"/>
  <c r="H2819" i="2"/>
  <c r="J2819" i="2"/>
  <c r="K2819" i="2"/>
  <c r="L2819" i="2"/>
  <c r="C2820" i="2"/>
  <c r="D2820" i="2"/>
  <c r="F2820" i="2"/>
  <c r="G2820" i="2"/>
  <c r="H2820" i="2"/>
  <c r="J2820" i="2"/>
  <c r="K2820" i="2"/>
  <c r="L2820" i="2"/>
  <c r="C2821" i="2"/>
  <c r="D2821" i="2"/>
  <c r="F2821" i="2"/>
  <c r="G2821" i="2"/>
  <c r="H2821" i="2"/>
  <c r="J2821" i="2"/>
  <c r="K2821" i="2"/>
  <c r="L2821" i="2"/>
  <c r="C2822" i="2"/>
  <c r="D2822" i="2"/>
  <c r="F2822" i="2"/>
  <c r="G2822" i="2"/>
  <c r="H2822" i="2"/>
  <c r="J2822" i="2"/>
  <c r="K2822" i="2"/>
  <c r="L2822" i="2"/>
  <c r="C2823" i="2"/>
  <c r="D2823" i="2"/>
  <c r="F2823" i="2"/>
  <c r="G2823" i="2"/>
  <c r="H2823" i="2"/>
  <c r="J2823" i="2"/>
  <c r="K2823" i="2"/>
  <c r="L2823" i="2"/>
  <c r="C2824" i="2"/>
  <c r="D2824" i="2"/>
  <c r="F2824" i="2"/>
  <c r="G2824" i="2"/>
  <c r="H2824" i="2"/>
  <c r="J2824" i="2"/>
  <c r="K2824" i="2"/>
  <c r="L2824" i="2"/>
  <c r="C2825" i="2"/>
  <c r="D2825" i="2"/>
  <c r="F2825" i="2"/>
  <c r="G2825" i="2"/>
  <c r="H2825" i="2"/>
  <c r="J2825" i="2"/>
  <c r="K2825" i="2"/>
  <c r="L2825" i="2"/>
  <c r="C2826" i="2"/>
  <c r="D2826" i="2"/>
  <c r="F2826" i="2"/>
  <c r="G2826" i="2"/>
  <c r="H2826" i="2"/>
  <c r="J2826" i="2"/>
  <c r="K2826" i="2"/>
  <c r="L2826" i="2"/>
  <c r="C2827" i="2"/>
  <c r="D2827" i="2"/>
  <c r="F2827" i="2"/>
  <c r="G2827" i="2"/>
  <c r="H2827" i="2"/>
  <c r="J2827" i="2"/>
  <c r="K2827" i="2"/>
  <c r="L2827" i="2"/>
  <c r="C2828" i="2"/>
  <c r="D2828" i="2"/>
  <c r="F2828" i="2"/>
  <c r="G2828" i="2"/>
  <c r="H2828" i="2"/>
  <c r="J2828" i="2"/>
  <c r="K2828" i="2"/>
  <c r="L2828" i="2"/>
  <c r="C2829" i="2"/>
  <c r="D2829" i="2"/>
  <c r="F2829" i="2"/>
  <c r="G2829" i="2"/>
  <c r="H2829" i="2"/>
  <c r="J2829" i="2"/>
  <c r="K2829" i="2"/>
  <c r="L2829" i="2"/>
  <c r="C2830" i="2"/>
  <c r="D2830" i="2"/>
  <c r="F2830" i="2"/>
  <c r="G2830" i="2"/>
  <c r="H2830" i="2"/>
  <c r="J2830" i="2"/>
  <c r="K2830" i="2"/>
  <c r="L2830" i="2"/>
  <c r="C2831" i="2"/>
  <c r="D2831" i="2"/>
  <c r="F2831" i="2"/>
  <c r="G2831" i="2"/>
  <c r="H2831" i="2"/>
  <c r="J2831" i="2"/>
  <c r="K2831" i="2"/>
  <c r="L2831" i="2"/>
  <c r="C2832" i="2"/>
  <c r="D2832" i="2"/>
  <c r="F2832" i="2"/>
  <c r="G2832" i="2"/>
  <c r="H2832" i="2"/>
  <c r="J2832" i="2"/>
  <c r="K2832" i="2"/>
  <c r="L2832" i="2"/>
  <c r="C2833" i="2"/>
  <c r="D2833" i="2"/>
  <c r="F2833" i="2"/>
  <c r="G2833" i="2"/>
  <c r="H2833" i="2"/>
  <c r="J2833" i="2"/>
  <c r="K2833" i="2"/>
  <c r="L2833" i="2"/>
  <c r="C2834" i="2"/>
  <c r="D2834" i="2"/>
  <c r="F2834" i="2"/>
  <c r="G2834" i="2"/>
  <c r="H2834" i="2"/>
  <c r="J2834" i="2"/>
  <c r="K2834" i="2"/>
  <c r="L2834" i="2"/>
  <c r="C2835" i="2"/>
  <c r="D2835" i="2"/>
  <c r="F2835" i="2"/>
  <c r="G2835" i="2"/>
  <c r="H2835" i="2"/>
  <c r="J2835" i="2"/>
  <c r="K2835" i="2"/>
  <c r="L2835" i="2"/>
  <c r="C2836" i="2"/>
  <c r="D2836" i="2"/>
  <c r="F2836" i="2"/>
  <c r="G2836" i="2"/>
  <c r="H2836" i="2"/>
  <c r="J2836" i="2"/>
  <c r="K2836" i="2"/>
  <c r="L2836" i="2"/>
  <c r="C2837" i="2"/>
  <c r="D2837" i="2"/>
  <c r="F2837" i="2"/>
  <c r="G2837" i="2"/>
  <c r="H2837" i="2"/>
  <c r="J2837" i="2"/>
  <c r="K2837" i="2"/>
  <c r="L2837" i="2"/>
  <c r="C2838" i="2"/>
  <c r="D2838" i="2"/>
  <c r="F2838" i="2"/>
  <c r="G2838" i="2"/>
  <c r="H2838" i="2"/>
  <c r="J2838" i="2"/>
  <c r="K2838" i="2"/>
  <c r="L2838" i="2"/>
  <c r="C2839" i="2"/>
  <c r="D2839" i="2"/>
  <c r="F2839" i="2"/>
  <c r="G2839" i="2"/>
  <c r="H2839" i="2"/>
  <c r="J2839" i="2"/>
  <c r="K2839" i="2"/>
  <c r="L2839" i="2"/>
  <c r="C2840" i="2"/>
  <c r="D2840" i="2"/>
  <c r="F2840" i="2"/>
  <c r="G2840" i="2"/>
  <c r="H2840" i="2"/>
  <c r="J2840" i="2"/>
  <c r="K2840" i="2"/>
  <c r="L2840" i="2"/>
  <c r="C2841" i="2"/>
  <c r="D2841" i="2"/>
  <c r="F2841" i="2"/>
  <c r="G2841" i="2"/>
  <c r="H2841" i="2"/>
  <c r="J2841" i="2"/>
  <c r="K2841" i="2"/>
  <c r="L2841" i="2"/>
  <c r="C2842" i="2"/>
  <c r="D2842" i="2"/>
  <c r="F2842" i="2"/>
  <c r="G2842" i="2"/>
  <c r="H2842" i="2"/>
  <c r="J2842" i="2"/>
  <c r="K2842" i="2"/>
  <c r="L2842" i="2"/>
  <c r="C2843" i="2"/>
  <c r="D2843" i="2"/>
  <c r="F2843" i="2"/>
  <c r="G2843" i="2"/>
  <c r="H2843" i="2"/>
  <c r="J2843" i="2"/>
  <c r="K2843" i="2"/>
  <c r="L2843" i="2"/>
  <c r="C2844" i="2"/>
  <c r="D2844" i="2"/>
  <c r="F2844" i="2"/>
  <c r="G2844" i="2"/>
  <c r="H2844" i="2"/>
  <c r="J2844" i="2"/>
  <c r="K2844" i="2"/>
  <c r="L2844" i="2"/>
  <c r="C2845" i="2"/>
  <c r="D2845" i="2"/>
  <c r="F2845" i="2"/>
  <c r="G2845" i="2"/>
  <c r="H2845" i="2"/>
  <c r="J2845" i="2"/>
  <c r="K2845" i="2"/>
  <c r="L2845" i="2"/>
  <c r="C2846" i="2"/>
  <c r="D2846" i="2"/>
  <c r="F2846" i="2"/>
  <c r="G2846" i="2"/>
  <c r="H2846" i="2"/>
  <c r="J2846" i="2"/>
  <c r="K2846" i="2"/>
  <c r="L2846" i="2"/>
  <c r="C2847" i="2"/>
  <c r="D2847" i="2"/>
  <c r="F2847" i="2"/>
  <c r="G2847" i="2"/>
  <c r="H2847" i="2"/>
  <c r="J2847" i="2"/>
  <c r="K2847" i="2"/>
  <c r="L2847" i="2"/>
  <c r="C2848" i="2"/>
  <c r="D2848" i="2"/>
  <c r="F2848" i="2"/>
  <c r="G2848" i="2"/>
  <c r="H2848" i="2"/>
  <c r="J2848" i="2"/>
  <c r="K2848" i="2"/>
  <c r="L2848" i="2"/>
  <c r="C2849" i="2"/>
  <c r="D2849" i="2"/>
  <c r="F2849" i="2"/>
  <c r="G2849" i="2"/>
  <c r="H2849" i="2"/>
  <c r="J2849" i="2"/>
  <c r="K2849" i="2"/>
  <c r="L2849" i="2"/>
  <c r="C2850" i="2"/>
  <c r="D2850" i="2"/>
  <c r="F2850" i="2"/>
  <c r="G2850" i="2"/>
  <c r="H2850" i="2"/>
  <c r="J2850" i="2"/>
  <c r="K2850" i="2"/>
  <c r="L2850" i="2"/>
  <c r="C2851" i="2"/>
  <c r="D2851" i="2"/>
  <c r="F2851" i="2"/>
  <c r="G2851" i="2"/>
  <c r="H2851" i="2"/>
  <c r="J2851" i="2"/>
  <c r="K2851" i="2"/>
  <c r="L2851" i="2"/>
  <c r="C2852" i="2"/>
  <c r="D2852" i="2"/>
  <c r="F2852" i="2"/>
  <c r="G2852" i="2"/>
  <c r="H2852" i="2"/>
  <c r="J2852" i="2"/>
  <c r="K2852" i="2"/>
  <c r="L2852" i="2"/>
  <c r="C2853" i="2"/>
  <c r="D2853" i="2"/>
  <c r="F2853" i="2"/>
  <c r="G2853" i="2"/>
  <c r="H2853" i="2"/>
  <c r="J2853" i="2"/>
  <c r="K2853" i="2"/>
  <c r="L2853" i="2"/>
  <c r="C2854" i="2"/>
  <c r="D2854" i="2"/>
  <c r="F2854" i="2"/>
  <c r="G2854" i="2"/>
  <c r="H2854" i="2"/>
  <c r="J2854" i="2"/>
  <c r="K2854" i="2"/>
  <c r="L2854" i="2"/>
  <c r="C2855" i="2"/>
  <c r="D2855" i="2"/>
  <c r="F2855" i="2"/>
  <c r="G2855" i="2"/>
  <c r="H2855" i="2"/>
  <c r="J2855" i="2"/>
  <c r="K2855" i="2"/>
  <c r="L2855" i="2"/>
  <c r="C2856" i="2"/>
  <c r="D2856" i="2"/>
  <c r="F2856" i="2"/>
  <c r="G2856" i="2"/>
  <c r="H2856" i="2"/>
  <c r="J2856" i="2"/>
  <c r="K2856" i="2"/>
  <c r="L2856" i="2"/>
  <c r="C2857" i="2"/>
  <c r="D2857" i="2"/>
  <c r="F2857" i="2"/>
  <c r="G2857" i="2"/>
  <c r="H2857" i="2"/>
  <c r="J2857" i="2"/>
  <c r="K2857" i="2"/>
  <c r="L2857" i="2"/>
  <c r="C2858" i="2"/>
  <c r="D2858" i="2"/>
  <c r="F2858" i="2"/>
  <c r="G2858" i="2"/>
  <c r="H2858" i="2"/>
  <c r="J2858" i="2"/>
  <c r="K2858" i="2"/>
  <c r="L2858" i="2"/>
  <c r="C2859" i="2"/>
  <c r="D2859" i="2"/>
  <c r="F2859" i="2"/>
  <c r="G2859" i="2"/>
  <c r="H2859" i="2"/>
  <c r="J2859" i="2"/>
  <c r="K2859" i="2"/>
  <c r="L2859" i="2"/>
  <c r="C2860" i="2"/>
  <c r="D2860" i="2"/>
  <c r="F2860" i="2"/>
  <c r="G2860" i="2"/>
  <c r="H2860" i="2"/>
  <c r="J2860" i="2"/>
  <c r="K2860" i="2"/>
  <c r="L2860" i="2"/>
  <c r="C2861" i="2"/>
  <c r="D2861" i="2"/>
  <c r="F2861" i="2"/>
  <c r="G2861" i="2"/>
  <c r="H2861" i="2"/>
  <c r="J2861" i="2"/>
  <c r="K2861" i="2"/>
  <c r="L2861" i="2"/>
  <c r="C2862" i="2"/>
  <c r="D2862" i="2"/>
  <c r="F2862" i="2"/>
  <c r="G2862" i="2"/>
  <c r="H2862" i="2"/>
  <c r="J2862" i="2"/>
  <c r="K2862" i="2"/>
  <c r="L2862" i="2"/>
  <c r="C2863" i="2"/>
  <c r="D2863" i="2"/>
  <c r="F2863" i="2"/>
  <c r="G2863" i="2"/>
  <c r="H2863" i="2"/>
  <c r="J2863" i="2"/>
  <c r="K2863" i="2"/>
  <c r="L2863" i="2"/>
  <c r="C2864" i="2"/>
  <c r="D2864" i="2"/>
  <c r="F2864" i="2"/>
  <c r="G2864" i="2"/>
  <c r="H2864" i="2"/>
  <c r="J2864" i="2"/>
  <c r="K2864" i="2"/>
  <c r="L2864" i="2"/>
  <c r="C2865" i="2"/>
  <c r="D2865" i="2"/>
  <c r="F2865" i="2"/>
  <c r="G2865" i="2"/>
  <c r="H2865" i="2"/>
  <c r="J2865" i="2"/>
  <c r="K2865" i="2"/>
  <c r="L2865" i="2"/>
  <c r="C2866" i="2"/>
  <c r="D2866" i="2"/>
  <c r="F2866" i="2"/>
  <c r="G2866" i="2"/>
  <c r="H2866" i="2"/>
  <c r="J2866" i="2"/>
  <c r="K2866" i="2"/>
  <c r="L2866" i="2"/>
  <c r="C2867" i="2"/>
  <c r="D2867" i="2"/>
  <c r="F2867" i="2"/>
  <c r="G2867" i="2"/>
  <c r="H2867" i="2"/>
  <c r="J2867" i="2"/>
  <c r="K2867" i="2"/>
  <c r="L2867" i="2"/>
  <c r="C2868" i="2"/>
  <c r="D2868" i="2"/>
  <c r="F2868" i="2"/>
  <c r="G2868" i="2"/>
  <c r="H2868" i="2"/>
  <c r="J2868" i="2"/>
  <c r="K2868" i="2"/>
  <c r="L2868" i="2"/>
  <c r="C2869" i="2"/>
  <c r="D2869" i="2"/>
  <c r="F2869" i="2"/>
  <c r="G2869" i="2"/>
  <c r="H2869" i="2"/>
  <c r="J2869" i="2"/>
  <c r="K2869" i="2"/>
  <c r="L2869" i="2"/>
  <c r="C2870" i="2"/>
  <c r="D2870" i="2"/>
  <c r="F2870" i="2"/>
  <c r="G2870" i="2"/>
  <c r="H2870" i="2"/>
  <c r="J2870" i="2"/>
  <c r="K2870" i="2"/>
  <c r="L2870" i="2"/>
  <c r="C2871" i="2"/>
  <c r="D2871" i="2"/>
  <c r="F2871" i="2"/>
  <c r="G2871" i="2"/>
  <c r="H2871" i="2"/>
  <c r="J2871" i="2"/>
  <c r="K2871" i="2"/>
  <c r="L2871" i="2"/>
  <c r="C2872" i="2"/>
  <c r="D2872" i="2"/>
  <c r="F2872" i="2"/>
  <c r="G2872" i="2"/>
  <c r="H2872" i="2"/>
  <c r="J2872" i="2"/>
  <c r="K2872" i="2"/>
  <c r="L2872" i="2"/>
  <c r="C2873" i="2"/>
  <c r="D2873" i="2"/>
  <c r="F2873" i="2"/>
  <c r="G2873" i="2"/>
  <c r="H2873" i="2"/>
  <c r="J2873" i="2"/>
  <c r="K2873" i="2"/>
  <c r="L2873" i="2"/>
  <c r="C2874" i="2"/>
  <c r="D2874" i="2"/>
  <c r="F2874" i="2"/>
  <c r="G2874" i="2"/>
  <c r="H2874" i="2"/>
  <c r="J2874" i="2"/>
  <c r="K2874" i="2"/>
  <c r="L2874" i="2"/>
  <c r="C2875" i="2"/>
  <c r="D2875" i="2"/>
  <c r="F2875" i="2"/>
  <c r="G2875" i="2"/>
  <c r="H2875" i="2"/>
  <c r="J2875" i="2"/>
  <c r="K2875" i="2"/>
  <c r="L2875" i="2"/>
  <c r="C2876" i="2"/>
  <c r="D2876" i="2"/>
  <c r="F2876" i="2"/>
  <c r="G2876" i="2"/>
  <c r="H2876" i="2"/>
  <c r="J2876" i="2"/>
  <c r="K2876" i="2"/>
  <c r="L2876" i="2"/>
  <c r="C2877" i="2"/>
  <c r="D2877" i="2"/>
  <c r="F2877" i="2"/>
  <c r="G2877" i="2"/>
  <c r="H2877" i="2"/>
  <c r="J2877" i="2"/>
  <c r="K2877" i="2"/>
  <c r="L2877" i="2"/>
  <c r="C2878" i="2"/>
  <c r="D2878" i="2"/>
  <c r="F2878" i="2"/>
  <c r="G2878" i="2"/>
  <c r="H2878" i="2"/>
  <c r="J2878" i="2"/>
  <c r="K2878" i="2"/>
  <c r="L2878" i="2"/>
  <c r="C2879" i="2"/>
  <c r="D2879" i="2"/>
  <c r="F2879" i="2"/>
  <c r="G2879" i="2"/>
  <c r="H2879" i="2"/>
  <c r="J2879" i="2"/>
  <c r="K2879" i="2"/>
  <c r="L2879" i="2"/>
  <c r="C2880" i="2"/>
  <c r="D2880" i="2"/>
  <c r="F2880" i="2"/>
  <c r="G2880" i="2"/>
  <c r="H2880" i="2"/>
  <c r="J2880" i="2"/>
  <c r="K2880" i="2"/>
  <c r="L2880" i="2"/>
  <c r="C2881" i="2"/>
  <c r="D2881" i="2"/>
  <c r="F2881" i="2"/>
  <c r="G2881" i="2"/>
  <c r="H2881" i="2"/>
  <c r="J2881" i="2"/>
  <c r="K2881" i="2"/>
  <c r="L2881" i="2"/>
  <c r="D2882" i="2"/>
  <c r="F2882" i="2"/>
  <c r="G2882" i="2"/>
  <c r="H2882" i="2"/>
  <c r="J2882" i="2"/>
  <c r="K2882" i="2"/>
  <c r="L2882" i="2"/>
  <c r="C2883" i="2"/>
  <c r="D2883" i="2"/>
  <c r="F2883" i="2"/>
  <c r="G2883" i="2"/>
  <c r="H2883" i="2"/>
  <c r="J2883" i="2"/>
  <c r="K2883" i="2"/>
  <c r="L2883" i="2"/>
  <c r="C2884" i="2"/>
  <c r="D2884" i="2"/>
  <c r="F2884" i="2"/>
  <c r="G2884" i="2"/>
  <c r="H2884" i="2"/>
  <c r="J2884" i="2"/>
  <c r="K2884" i="2"/>
  <c r="L2884" i="2"/>
  <c r="C2885" i="2"/>
  <c r="D2885" i="2"/>
  <c r="F2885" i="2"/>
  <c r="G2885" i="2"/>
  <c r="H2885" i="2"/>
  <c r="J2885" i="2"/>
  <c r="K2885" i="2"/>
  <c r="L2885" i="2"/>
  <c r="C2886" i="2"/>
  <c r="D2886" i="2"/>
  <c r="F2886" i="2"/>
  <c r="G2886" i="2"/>
  <c r="H2886" i="2"/>
  <c r="J2886" i="2"/>
  <c r="K2886" i="2"/>
  <c r="L2886" i="2"/>
  <c r="C2887" i="2"/>
  <c r="D2887" i="2"/>
  <c r="F2887" i="2"/>
  <c r="G2887" i="2"/>
  <c r="H2887" i="2"/>
  <c r="J2887" i="2"/>
  <c r="K2887" i="2"/>
  <c r="L2887" i="2"/>
  <c r="C2888" i="2"/>
  <c r="D2888" i="2"/>
  <c r="F2888" i="2"/>
  <c r="G2888" i="2"/>
  <c r="H2888" i="2"/>
  <c r="J2888" i="2"/>
  <c r="K2888" i="2"/>
  <c r="L2888" i="2"/>
  <c r="C2889" i="2"/>
  <c r="D2889" i="2"/>
  <c r="F2889" i="2"/>
  <c r="G2889" i="2"/>
  <c r="H2889" i="2"/>
  <c r="J2889" i="2"/>
  <c r="K2889" i="2"/>
  <c r="L2889" i="2"/>
  <c r="C2890" i="2"/>
  <c r="D2890" i="2"/>
  <c r="F2890" i="2"/>
  <c r="G2890" i="2"/>
  <c r="H2890" i="2"/>
  <c r="J2890" i="2"/>
  <c r="K2890" i="2"/>
  <c r="L2890" i="2"/>
  <c r="C2891" i="2"/>
  <c r="D2891" i="2"/>
  <c r="F2891" i="2"/>
  <c r="G2891" i="2"/>
  <c r="H2891" i="2"/>
  <c r="J2891" i="2"/>
  <c r="K2891" i="2"/>
  <c r="L2891" i="2"/>
  <c r="C2892" i="2"/>
  <c r="D2892" i="2"/>
  <c r="F2892" i="2"/>
  <c r="G2892" i="2"/>
  <c r="H2892" i="2"/>
  <c r="J2892" i="2"/>
  <c r="K2892" i="2"/>
  <c r="L2892" i="2"/>
  <c r="C2893" i="2"/>
  <c r="D2893" i="2"/>
  <c r="F2893" i="2"/>
  <c r="G2893" i="2"/>
  <c r="H2893" i="2"/>
  <c r="J2893" i="2"/>
  <c r="K2893" i="2"/>
  <c r="L2893" i="2"/>
  <c r="C2894" i="2"/>
  <c r="D2894" i="2"/>
  <c r="F2894" i="2"/>
  <c r="G2894" i="2"/>
  <c r="H2894" i="2"/>
  <c r="J2894" i="2"/>
  <c r="K2894" i="2"/>
  <c r="L2894" i="2"/>
  <c r="C2895" i="2"/>
  <c r="D2895" i="2"/>
  <c r="F2895" i="2"/>
  <c r="G2895" i="2"/>
  <c r="H2895" i="2"/>
  <c r="J2895" i="2"/>
  <c r="K2895" i="2"/>
  <c r="L2895" i="2"/>
  <c r="C2896" i="2"/>
  <c r="D2896" i="2"/>
  <c r="F2896" i="2"/>
  <c r="G2896" i="2"/>
  <c r="H2896" i="2"/>
  <c r="J2896" i="2"/>
  <c r="K2896" i="2"/>
  <c r="L2896" i="2"/>
  <c r="C2897" i="2"/>
  <c r="D2897" i="2"/>
  <c r="F2897" i="2"/>
  <c r="G2897" i="2"/>
  <c r="H2897" i="2"/>
  <c r="J2897" i="2"/>
  <c r="K2897" i="2"/>
  <c r="L2897" i="2"/>
  <c r="C2898" i="2"/>
  <c r="D2898" i="2"/>
  <c r="F2898" i="2"/>
  <c r="G2898" i="2"/>
  <c r="H2898" i="2"/>
  <c r="J2898" i="2"/>
  <c r="K2898" i="2"/>
  <c r="L2898" i="2"/>
  <c r="C2899" i="2"/>
  <c r="D2899" i="2"/>
  <c r="F2899" i="2"/>
  <c r="G2899" i="2"/>
  <c r="H2899" i="2"/>
  <c r="J2899" i="2"/>
  <c r="K2899" i="2"/>
  <c r="L2899" i="2"/>
  <c r="C2900" i="2"/>
  <c r="D2900" i="2"/>
  <c r="F2900" i="2"/>
  <c r="G2900" i="2"/>
  <c r="H2900" i="2"/>
  <c r="J2900" i="2"/>
  <c r="K2900" i="2"/>
  <c r="L2900" i="2"/>
  <c r="C2901" i="2"/>
  <c r="D2901" i="2"/>
  <c r="F2901" i="2"/>
  <c r="G2901" i="2"/>
  <c r="H2901" i="2"/>
  <c r="J2901" i="2"/>
  <c r="K2901" i="2"/>
  <c r="L2901" i="2"/>
  <c r="C2902" i="2"/>
  <c r="D2902" i="2"/>
  <c r="F2902" i="2"/>
  <c r="G2902" i="2"/>
  <c r="H2902" i="2"/>
  <c r="J2902" i="2"/>
  <c r="K2902" i="2"/>
  <c r="L2902" i="2"/>
  <c r="C2903" i="2"/>
  <c r="D2903" i="2"/>
  <c r="F2903" i="2"/>
  <c r="G2903" i="2"/>
  <c r="H2903" i="2"/>
  <c r="J2903" i="2"/>
  <c r="K2903" i="2"/>
  <c r="L2903" i="2"/>
  <c r="C2904" i="2"/>
  <c r="D2904" i="2"/>
  <c r="F2904" i="2"/>
  <c r="G2904" i="2"/>
  <c r="H2904" i="2"/>
  <c r="J2904" i="2"/>
  <c r="K2904" i="2"/>
  <c r="L2904" i="2"/>
  <c r="C2905" i="2"/>
  <c r="D2905" i="2"/>
  <c r="F2905" i="2"/>
  <c r="G2905" i="2"/>
  <c r="H2905" i="2"/>
  <c r="J2905" i="2"/>
  <c r="K2905" i="2"/>
  <c r="L2905" i="2"/>
  <c r="C2906" i="2"/>
  <c r="D2906" i="2"/>
  <c r="F2906" i="2"/>
  <c r="G2906" i="2"/>
  <c r="H2906" i="2"/>
  <c r="J2906" i="2"/>
  <c r="K2906" i="2"/>
  <c r="L2906" i="2"/>
  <c r="C2907" i="2"/>
  <c r="D2907" i="2"/>
  <c r="F2907" i="2"/>
  <c r="G2907" i="2"/>
  <c r="H2907" i="2"/>
  <c r="J2907" i="2"/>
  <c r="K2907" i="2"/>
  <c r="L2907" i="2"/>
  <c r="C2908" i="2"/>
  <c r="D2908" i="2"/>
  <c r="F2908" i="2"/>
  <c r="G2908" i="2"/>
  <c r="H2908" i="2"/>
  <c r="J2908" i="2"/>
  <c r="K2908" i="2"/>
  <c r="L2908" i="2"/>
  <c r="C2909" i="2"/>
  <c r="D2909" i="2"/>
  <c r="F2909" i="2"/>
  <c r="G2909" i="2"/>
  <c r="H2909" i="2"/>
  <c r="J2909" i="2"/>
  <c r="K2909" i="2"/>
  <c r="L2909" i="2"/>
  <c r="C2910" i="2"/>
  <c r="D2910" i="2"/>
  <c r="F2910" i="2"/>
  <c r="G2910" i="2"/>
  <c r="H2910" i="2"/>
  <c r="J2910" i="2"/>
  <c r="K2910" i="2"/>
  <c r="L2910" i="2"/>
  <c r="C2911" i="2"/>
  <c r="D2911" i="2"/>
  <c r="F2911" i="2"/>
  <c r="G2911" i="2"/>
  <c r="H2911" i="2"/>
  <c r="J2911" i="2"/>
  <c r="K2911" i="2"/>
  <c r="L2911" i="2"/>
  <c r="C2912" i="2"/>
  <c r="D2912" i="2"/>
  <c r="F2912" i="2"/>
  <c r="G2912" i="2"/>
  <c r="H2912" i="2"/>
  <c r="J2912" i="2"/>
  <c r="K2912" i="2"/>
  <c r="L2912" i="2"/>
  <c r="C2913" i="2"/>
  <c r="D2913" i="2"/>
  <c r="F2913" i="2"/>
  <c r="G2913" i="2"/>
  <c r="H2913" i="2"/>
  <c r="J2913" i="2"/>
  <c r="K2913" i="2"/>
  <c r="L2913" i="2"/>
  <c r="C2914" i="2"/>
  <c r="D2914" i="2"/>
  <c r="F2914" i="2"/>
  <c r="G2914" i="2"/>
  <c r="H2914" i="2"/>
  <c r="J2914" i="2"/>
  <c r="K2914" i="2"/>
  <c r="L2914" i="2"/>
  <c r="C2915" i="2"/>
  <c r="D2915" i="2"/>
  <c r="F2915" i="2"/>
  <c r="G2915" i="2"/>
  <c r="H2915" i="2"/>
  <c r="J2915" i="2"/>
  <c r="K2915" i="2"/>
  <c r="L2915" i="2"/>
  <c r="C2916" i="2"/>
  <c r="D2916" i="2"/>
  <c r="F2916" i="2"/>
  <c r="G2916" i="2"/>
  <c r="H2916" i="2"/>
  <c r="J2916" i="2"/>
  <c r="K2916" i="2"/>
  <c r="L2916" i="2"/>
  <c r="C2917" i="2"/>
  <c r="D2917" i="2"/>
  <c r="F2917" i="2"/>
  <c r="G2917" i="2"/>
  <c r="H2917" i="2"/>
  <c r="J2917" i="2"/>
  <c r="K2917" i="2"/>
  <c r="L2917" i="2"/>
  <c r="C2918" i="2"/>
  <c r="D2918" i="2"/>
  <c r="F2918" i="2"/>
  <c r="G2918" i="2"/>
  <c r="H2918" i="2"/>
  <c r="J2918" i="2"/>
  <c r="K2918" i="2"/>
  <c r="L2918" i="2"/>
  <c r="C2919" i="2"/>
  <c r="D2919" i="2"/>
  <c r="F2919" i="2"/>
  <c r="G2919" i="2"/>
  <c r="H2919" i="2"/>
  <c r="J2919" i="2"/>
  <c r="K2919" i="2"/>
  <c r="L2919" i="2"/>
  <c r="C2920" i="2"/>
  <c r="D2920" i="2"/>
  <c r="F2920" i="2"/>
  <c r="G2920" i="2"/>
  <c r="H2920" i="2"/>
  <c r="J2920" i="2"/>
  <c r="K2920" i="2"/>
  <c r="L2920" i="2"/>
  <c r="C2921" i="2"/>
  <c r="D2921" i="2"/>
  <c r="F2921" i="2"/>
  <c r="G2921" i="2"/>
  <c r="H2921" i="2"/>
  <c r="J2921" i="2"/>
  <c r="K2921" i="2"/>
  <c r="L2921" i="2"/>
  <c r="C2922" i="2"/>
  <c r="D2922" i="2"/>
  <c r="F2922" i="2"/>
  <c r="G2922" i="2"/>
  <c r="H2922" i="2"/>
  <c r="J2922" i="2"/>
  <c r="K2922" i="2"/>
  <c r="L2922" i="2"/>
  <c r="C2923" i="2"/>
  <c r="D2923" i="2"/>
  <c r="F2923" i="2"/>
  <c r="G2923" i="2"/>
  <c r="H2923" i="2"/>
  <c r="J2923" i="2"/>
  <c r="K2923" i="2"/>
  <c r="L2923" i="2"/>
  <c r="C2924" i="2"/>
  <c r="D2924" i="2"/>
  <c r="F2924" i="2"/>
  <c r="G2924" i="2"/>
  <c r="H2924" i="2"/>
  <c r="J2924" i="2"/>
  <c r="K2924" i="2"/>
  <c r="L2924" i="2"/>
  <c r="C2925" i="2"/>
  <c r="D2925" i="2"/>
  <c r="F2925" i="2"/>
  <c r="G2925" i="2"/>
  <c r="H2925" i="2"/>
  <c r="J2925" i="2"/>
  <c r="K2925" i="2"/>
  <c r="L2925" i="2"/>
  <c r="C2926" i="2"/>
  <c r="D2926" i="2"/>
  <c r="F2926" i="2"/>
  <c r="G2926" i="2"/>
  <c r="H2926" i="2"/>
  <c r="J2926" i="2"/>
  <c r="K2926" i="2"/>
  <c r="L2926" i="2"/>
  <c r="C2927" i="2"/>
  <c r="D2927" i="2"/>
  <c r="F2927" i="2"/>
  <c r="G2927" i="2"/>
  <c r="H2927" i="2"/>
  <c r="J2927" i="2"/>
  <c r="K2927" i="2"/>
  <c r="L2927" i="2"/>
  <c r="C2928" i="2"/>
  <c r="D2928" i="2"/>
  <c r="F2928" i="2"/>
  <c r="G2928" i="2"/>
  <c r="H2928" i="2"/>
  <c r="J2928" i="2"/>
  <c r="K2928" i="2"/>
  <c r="L2928" i="2"/>
  <c r="C2929" i="2"/>
  <c r="D2929" i="2"/>
  <c r="F2929" i="2"/>
  <c r="G2929" i="2"/>
  <c r="H2929" i="2"/>
  <c r="J2929" i="2"/>
  <c r="K2929" i="2"/>
  <c r="L2929" i="2"/>
  <c r="C2930" i="2"/>
  <c r="D2930" i="2"/>
  <c r="F2930" i="2"/>
  <c r="G2930" i="2"/>
  <c r="H2930" i="2"/>
  <c r="J2930" i="2"/>
  <c r="K2930" i="2"/>
  <c r="L2930" i="2"/>
  <c r="C2931" i="2"/>
  <c r="D2931" i="2"/>
  <c r="F2931" i="2"/>
  <c r="G2931" i="2"/>
  <c r="H2931" i="2"/>
  <c r="J2931" i="2"/>
  <c r="K2931" i="2"/>
  <c r="L2931" i="2"/>
  <c r="C2932" i="2"/>
  <c r="D2932" i="2"/>
  <c r="F2932" i="2"/>
  <c r="G2932" i="2"/>
  <c r="H2932" i="2"/>
  <c r="J2932" i="2"/>
  <c r="K2932" i="2"/>
  <c r="L2932" i="2"/>
  <c r="C2933" i="2"/>
  <c r="D2933" i="2"/>
  <c r="F2933" i="2"/>
  <c r="G2933" i="2"/>
  <c r="H2933" i="2"/>
  <c r="J2933" i="2"/>
  <c r="K2933" i="2"/>
  <c r="L2933" i="2"/>
  <c r="C2934" i="2"/>
  <c r="D2934" i="2"/>
  <c r="F2934" i="2"/>
  <c r="G2934" i="2"/>
  <c r="H2934" i="2"/>
  <c r="J2934" i="2"/>
  <c r="K2934" i="2"/>
  <c r="L2934" i="2"/>
  <c r="C2935" i="2"/>
  <c r="D2935" i="2"/>
  <c r="F2935" i="2"/>
  <c r="G2935" i="2"/>
  <c r="H2935" i="2"/>
  <c r="J2935" i="2"/>
  <c r="K2935" i="2"/>
  <c r="L2935" i="2"/>
  <c r="C2936" i="2"/>
  <c r="D2936" i="2"/>
  <c r="F2936" i="2"/>
  <c r="G2936" i="2"/>
  <c r="H2936" i="2"/>
  <c r="J2936" i="2"/>
  <c r="K2936" i="2"/>
  <c r="L2936" i="2"/>
  <c r="C2937" i="2"/>
  <c r="D2937" i="2"/>
  <c r="F2937" i="2"/>
  <c r="G2937" i="2"/>
  <c r="H2937" i="2"/>
  <c r="J2937" i="2"/>
  <c r="K2937" i="2"/>
  <c r="L2937" i="2"/>
  <c r="C2938" i="2"/>
  <c r="D2938" i="2"/>
  <c r="F2938" i="2"/>
  <c r="G2938" i="2"/>
  <c r="H2938" i="2"/>
  <c r="J2938" i="2"/>
  <c r="K2938" i="2"/>
  <c r="L2938" i="2"/>
  <c r="C2939" i="2"/>
  <c r="D2939" i="2"/>
  <c r="F2939" i="2"/>
  <c r="G2939" i="2"/>
  <c r="H2939" i="2"/>
  <c r="J2939" i="2"/>
  <c r="K2939" i="2"/>
  <c r="L2939" i="2"/>
  <c r="C2940" i="2"/>
  <c r="D2940" i="2"/>
  <c r="F2940" i="2"/>
  <c r="G2940" i="2"/>
  <c r="H2940" i="2"/>
  <c r="J2940" i="2"/>
  <c r="K2940" i="2"/>
  <c r="L2940" i="2"/>
  <c r="C2941" i="2"/>
  <c r="D2941" i="2"/>
  <c r="F2941" i="2"/>
  <c r="G2941" i="2"/>
  <c r="H2941" i="2"/>
  <c r="J2941" i="2"/>
  <c r="K2941" i="2"/>
  <c r="L2941" i="2"/>
  <c r="C2942" i="2"/>
  <c r="D2942" i="2"/>
  <c r="F2942" i="2"/>
  <c r="G2942" i="2"/>
  <c r="H2942" i="2"/>
  <c r="J2942" i="2"/>
  <c r="K2942" i="2"/>
  <c r="L2942" i="2"/>
  <c r="C2943" i="2"/>
  <c r="D2943" i="2"/>
  <c r="F2943" i="2"/>
  <c r="G2943" i="2"/>
  <c r="H2943" i="2"/>
  <c r="J2943" i="2"/>
  <c r="K2943" i="2"/>
  <c r="L2943" i="2"/>
  <c r="C2944" i="2"/>
  <c r="D2944" i="2"/>
  <c r="F2944" i="2"/>
  <c r="G2944" i="2"/>
  <c r="H2944" i="2"/>
  <c r="J2944" i="2"/>
  <c r="K2944" i="2"/>
  <c r="L2944" i="2"/>
  <c r="C2945" i="2"/>
  <c r="D2945" i="2"/>
  <c r="E2945" i="2"/>
  <c r="F2945" i="2"/>
  <c r="G2945" i="2"/>
  <c r="H2945" i="2"/>
  <c r="J2945" i="2"/>
  <c r="K2945" i="2"/>
  <c r="L2945" i="2"/>
  <c r="C2946" i="2"/>
  <c r="D2946" i="2"/>
  <c r="F2946" i="2"/>
  <c r="G2946" i="2"/>
  <c r="H2946" i="2"/>
  <c r="J2946" i="2"/>
  <c r="K2946" i="2"/>
  <c r="L2946" i="2"/>
  <c r="C2947" i="2"/>
  <c r="D2947" i="2"/>
  <c r="F2947" i="2"/>
  <c r="G2947" i="2"/>
  <c r="H2947" i="2"/>
  <c r="J2947" i="2"/>
  <c r="K2947" i="2"/>
  <c r="L2947" i="2"/>
  <c r="C2948" i="2"/>
  <c r="D2948" i="2"/>
  <c r="F2948" i="2"/>
  <c r="G2948" i="2"/>
  <c r="H2948" i="2"/>
  <c r="J2948" i="2"/>
  <c r="K2948" i="2"/>
  <c r="L2948" i="2"/>
  <c r="C2949" i="2"/>
  <c r="D2949" i="2"/>
  <c r="F2949" i="2"/>
  <c r="G2949" i="2"/>
  <c r="H2949" i="2"/>
  <c r="J2949" i="2"/>
  <c r="K2949" i="2"/>
  <c r="L2949" i="2"/>
  <c r="C2950" i="2"/>
  <c r="D2950" i="2"/>
  <c r="F2950" i="2"/>
  <c r="G2950" i="2"/>
  <c r="H2950" i="2"/>
  <c r="J2950" i="2"/>
  <c r="K2950" i="2"/>
  <c r="L2950" i="2"/>
  <c r="C2951" i="2"/>
  <c r="D2951" i="2"/>
  <c r="F2951" i="2"/>
  <c r="G2951" i="2"/>
  <c r="H2951" i="2"/>
  <c r="J2951" i="2"/>
  <c r="K2951" i="2"/>
  <c r="L2951" i="2"/>
  <c r="C2952" i="2"/>
  <c r="D2952" i="2"/>
  <c r="F2952" i="2"/>
  <c r="G2952" i="2"/>
  <c r="H2952" i="2"/>
  <c r="J2952" i="2"/>
  <c r="K2952" i="2"/>
  <c r="L2952" i="2"/>
  <c r="C2953" i="2"/>
  <c r="D2953" i="2"/>
  <c r="F2953" i="2"/>
  <c r="G2953" i="2"/>
  <c r="H2953" i="2"/>
  <c r="J2953" i="2"/>
  <c r="K2953" i="2"/>
  <c r="L2953" i="2"/>
  <c r="C2954" i="2"/>
  <c r="D2954" i="2"/>
  <c r="F2954" i="2"/>
  <c r="G2954" i="2"/>
  <c r="H2954" i="2"/>
  <c r="J2954" i="2"/>
  <c r="K2954" i="2"/>
  <c r="L2954" i="2"/>
  <c r="C2955" i="2"/>
  <c r="D2955" i="2"/>
  <c r="F2955" i="2"/>
  <c r="G2955" i="2"/>
  <c r="H2955" i="2"/>
  <c r="J2955" i="2"/>
  <c r="K2955" i="2"/>
  <c r="L2955" i="2"/>
  <c r="C2956" i="2"/>
  <c r="D2956" i="2"/>
  <c r="F2956" i="2"/>
  <c r="G2956" i="2"/>
  <c r="H2956" i="2"/>
  <c r="J2956" i="2"/>
  <c r="K2956" i="2"/>
  <c r="L2956" i="2"/>
  <c r="C2957" i="2"/>
  <c r="D2957" i="2"/>
  <c r="F2957" i="2"/>
  <c r="G2957" i="2"/>
  <c r="H2957" i="2"/>
  <c r="J2957" i="2"/>
  <c r="K2957" i="2"/>
  <c r="L2957" i="2"/>
  <c r="C2958" i="2"/>
  <c r="D2958" i="2"/>
  <c r="F2958" i="2"/>
  <c r="G2958" i="2"/>
  <c r="H2958" i="2"/>
  <c r="J2958" i="2"/>
  <c r="K2958" i="2"/>
  <c r="L2958" i="2"/>
  <c r="C2959" i="2"/>
  <c r="D2959" i="2"/>
  <c r="F2959" i="2"/>
  <c r="G2959" i="2"/>
  <c r="H2959" i="2"/>
  <c r="J2959" i="2"/>
  <c r="K2959" i="2"/>
  <c r="L2959" i="2"/>
  <c r="C2960" i="2"/>
  <c r="D2960" i="2"/>
  <c r="F2960" i="2"/>
  <c r="G2960" i="2"/>
  <c r="H2960" i="2"/>
  <c r="J2960" i="2"/>
  <c r="K2960" i="2"/>
  <c r="L2960" i="2"/>
  <c r="C2961" i="2"/>
  <c r="D2961" i="2"/>
  <c r="F2961" i="2"/>
  <c r="G2961" i="2"/>
  <c r="H2961" i="2"/>
  <c r="J2961" i="2"/>
  <c r="K2961" i="2"/>
  <c r="L2961" i="2"/>
  <c r="C2962" i="2"/>
  <c r="D2962" i="2"/>
  <c r="F2962" i="2"/>
  <c r="G2962" i="2"/>
  <c r="H2962" i="2"/>
  <c r="J2962" i="2"/>
  <c r="K2962" i="2"/>
  <c r="L2962" i="2"/>
  <c r="C2963" i="2"/>
  <c r="D2963" i="2"/>
  <c r="F2963" i="2"/>
  <c r="G2963" i="2"/>
  <c r="H2963" i="2"/>
  <c r="J2963" i="2"/>
  <c r="K2963" i="2"/>
  <c r="L2963" i="2"/>
  <c r="C2964" i="2"/>
  <c r="D2964" i="2"/>
  <c r="F2964" i="2"/>
  <c r="G2964" i="2"/>
  <c r="H2964" i="2"/>
  <c r="J2964" i="2"/>
  <c r="K2964" i="2"/>
  <c r="L2964" i="2"/>
  <c r="C2965" i="2"/>
  <c r="D2965" i="2"/>
  <c r="F2965" i="2"/>
  <c r="G2965" i="2"/>
  <c r="H2965" i="2"/>
  <c r="J2965" i="2"/>
  <c r="K2965" i="2"/>
  <c r="L2965" i="2"/>
  <c r="C2966" i="2"/>
  <c r="D2966" i="2"/>
  <c r="F2966" i="2"/>
  <c r="G2966" i="2"/>
  <c r="H2966" i="2"/>
  <c r="J2966" i="2"/>
  <c r="K2966" i="2"/>
  <c r="L2966" i="2"/>
  <c r="C2967" i="2"/>
  <c r="D2967" i="2"/>
  <c r="F2967" i="2"/>
  <c r="G2967" i="2"/>
  <c r="H2967" i="2"/>
  <c r="J2967" i="2"/>
  <c r="K2967" i="2"/>
  <c r="L2967" i="2"/>
  <c r="C2968" i="2"/>
  <c r="D2968" i="2"/>
  <c r="F2968" i="2"/>
  <c r="G2968" i="2"/>
  <c r="H2968" i="2"/>
  <c r="J2968" i="2"/>
  <c r="K2968" i="2"/>
  <c r="L2968" i="2"/>
  <c r="C2969" i="2"/>
  <c r="D2969" i="2"/>
  <c r="F2969" i="2"/>
  <c r="G2969" i="2"/>
  <c r="H2969" i="2"/>
  <c r="J2969" i="2"/>
  <c r="K2969" i="2"/>
  <c r="L2969" i="2"/>
  <c r="C2970" i="2"/>
  <c r="D2970" i="2"/>
  <c r="F2970" i="2"/>
  <c r="G2970" i="2"/>
  <c r="H2970" i="2"/>
  <c r="J2970" i="2"/>
  <c r="K2970" i="2"/>
  <c r="L2970" i="2"/>
  <c r="C2971" i="2"/>
  <c r="D2971" i="2"/>
  <c r="F2971" i="2"/>
  <c r="G2971" i="2"/>
  <c r="H2971" i="2"/>
  <c r="J2971" i="2"/>
  <c r="K2971" i="2"/>
  <c r="L2971" i="2"/>
  <c r="C2972" i="2"/>
  <c r="D2972" i="2"/>
  <c r="F2972" i="2"/>
  <c r="G2972" i="2"/>
  <c r="H2972" i="2"/>
  <c r="J2972" i="2"/>
  <c r="K2972" i="2"/>
  <c r="L2972" i="2"/>
  <c r="C2973" i="2"/>
  <c r="D2973" i="2"/>
  <c r="F2973" i="2"/>
  <c r="G2973" i="2"/>
  <c r="H2973" i="2"/>
  <c r="J2973" i="2"/>
  <c r="K2973" i="2"/>
  <c r="L2973" i="2"/>
  <c r="C2974" i="2"/>
  <c r="D2974" i="2"/>
  <c r="F2974" i="2"/>
  <c r="G2974" i="2"/>
  <c r="H2974" i="2"/>
  <c r="J2974" i="2"/>
  <c r="K2974" i="2"/>
  <c r="L2974" i="2"/>
  <c r="C2975" i="2"/>
  <c r="D2975" i="2"/>
  <c r="F2975" i="2"/>
  <c r="G2975" i="2"/>
  <c r="H2975" i="2"/>
  <c r="J2975" i="2"/>
  <c r="K2975" i="2"/>
  <c r="L2975" i="2"/>
  <c r="C2976" i="2"/>
  <c r="D2976" i="2"/>
  <c r="F2976" i="2"/>
  <c r="G2976" i="2"/>
  <c r="H2976" i="2"/>
  <c r="J2976" i="2"/>
  <c r="K2976" i="2"/>
  <c r="L2976" i="2"/>
  <c r="C2977" i="2"/>
  <c r="D2977" i="2"/>
  <c r="F2977" i="2"/>
  <c r="G2977" i="2"/>
  <c r="H2977" i="2"/>
  <c r="J2977" i="2"/>
  <c r="K2977" i="2"/>
  <c r="L2977" i="2"/>
  <c r="C2978" i="2"/>
  <c r="D2978" i="2"/>
  <c r="F2978" i="2"/>
  <c r="G2978" i="2"/>
  <c r="H2978" i="2"/>
  <c r="J2978" i="2"/>
  <c r="K2978" i="2"/>
  <c r="L2978" i="2"/>
  <c r="C2979" i="2"/>
  <c r="D2979" i="2"/>
  <c r="F2979" i="2"/>
  <c r="G2979" i="2"/>
  <c r="H2979" i="2"/>
  <c r="J2979" i="2"/>
  <c r="K2979" i="2"/>
  <c r="L2979" i="2"/>
  <c r="C2980" i="2"/>
  <c r="D2980" i="2"/>
  <c r="F2980" i="2"/>
  <c r="G2980" i="2"/>
  <c r="H2980" i="2"/>
  <c r="J2980" i="2"/>
  <c r="K2980" i="2"/>
  <c r="L2980" i="2"/>
  <c r="C2981" i="2"/>
  <c r="D2981" i="2"/>
  <c r="F2981" i="2"/>
  <c r="G2981" i="2"/>
  <c r="H2981" i="2"/>
  <c r="J2981" i="2"/>
  <c r="K2981" i="2"/>
  <c r="L2981" i="2"/>
  <c r="C2982" i="2"/>
  <c r="D2982" i="2"/>
  <c r="F2982" i="2"/>
  <c r="G2982" i="2"/>
  <c r="H2982" i="2"/>
  <c r="J2982" i="2"/>
  <c r="K2982" i="2"/>
  <c r="L2982" i="2"/>
  <c r="C2983" i="2"/>
  <c r="D2983" i="2"/>
  <c r="F2983" i="2"/>
  <c r="G2983" i="2"/>
  <c r="H2983" i="2"/>
  <c r="J2983" i="2"/>
  <c r="K2983" i="2"/>
  <c r="L2983" i="2"/>
  <c r="C2984" i="2"/>
  <c r="D2984" i="2"/>
  <c r="F2984" i="2"/>
  <c r="G2984" i="2"/>
  <c r="H2984" i="2"/>
  <c r="J2984" i="2"/>
  <c r="K2984" i="2"/>
  <c r="L2984" i="2"/>
  <c r="C2985" i="2"/>
  <c r="D2985" i="2"/>
  <c r="F2985" i="2"/>
  <c r="G2985" i="2"/>
  <c r="H2985" i="2"/>
  <c r="J2985" i="2"/>
  <c r="K2985" i="2"/>
  <c r="L2985" i="2"/>
  <c r="C2986" i="2"/>
  <c r="D2986" i="2"/>
  <c r="F2986" i="2"/>
  <c r="G2986" i="2"/>
  <c r="H2986" i="2"/>
  <c r="J2986" i="2"/>
  <c r="K2986" i="2"/>
  <c r="L2986" i="2"/>
  <c r="C2987" i="2"/>
  <c r="D2987" i="2"/>
  <c r="F2987" i="2"/>
  <c r="G2987" i="2"/>
  <c r="H2987" i="2"/>
  <c r="J2987" i="2"/>
  <c r="K2987" i="2"/>
  <c r="L2987" i="2"/>
  <c r="C2988" i="2"/>
  <c r="D2988" i="2"/>
  <c r="F2988" i="2"/>
  <c r="G2988" i="2"/>
  <c r="H2988" i="2"/>
  <c r="J2988" i="2"/>
  <c r="K2988" i="2"/>
  <c r="L2988" i="2"/>
  <c r="C2989" i="2"/>
  <c r="D2989" i="2"/>
  <c r="F2989" i="2"/>
  <c r="G2989" i="2"/>
  <c r="H2989" i="2"/>
  <c r="J2989" i="2"/>
  <c r="K2989" i="2"/>
  <c r="L2989" i="2"/>
  <c r="C2990" i="2"/>
  <c r="D2990" i="2"/>
  <c r="F2990" i="2"/>
  <c r="G2990" i="2"/>
  <c r="H2990" i="2"/>
  <c r="J2990" i="2"/>
  <c r="K2990" i="2"/>
  <c r="L2990" i="2"/>
  <c r="C2991" i="2"/>
  <c r="D2991" i="2"/>
  <c r="F2991" i="2"/>
  <c r="G2991" i="2"/>
  <c r="H2991" i="2"/>
  <c r="J2991" i="2"/>
  <c r="K2991" i="2"/>
  <c r="L2991" i="2"/>
  <c r="C2992" i="2"/>
  <c r="D2992" i="2"/>
  <c r="F2992" i="2"/>
  <c r="G2992" i="2"/>
  <c r="H2992" i="2"/>
  <c r="J2992" i="2"/>
  <c r="K2992" i="2"/>
  <c r="L2992" i="2"/>
  <c r="C2993" i="2"/>
  <c r="D2993" i="2"/>
  <c r="F2993" i="2"/>
  <c r="G2993" i="2"/>
  <c r="H2993" i="2"/>
  <c r="J2993" i="2"/>
  <c r="K2993" i="2"/>
  <c r="L2993" i="2"/>
  <c r="C2994" i="2"/>
  <c r="D2994" i="2"/>
  <c r="F2994" i="2"/>
  <c r="G2994" i="2"/>
  <c r="H2994" i="2"/>
  <c r="J2994" i="2"/>
  <c r="K2994" i="2"/>
  <c r="L2994" i="2"/>
  <c r="C2995" i="2"/>
  <c r="D2995" i="2"/>
  <c r="F2995" i="2"/>
  <c r="G2995" i="2"/>
  <c r="H2995" i="2"/>
  <c r="J2995" i="2"/>
  <c r="K2995" i="2"/>
  <c r="L2995" i="2"/>
  <c r="C2996" i="2"/>
  <c r="D2996" i="2"/>
  <c r="F2996" i="2"/>
  <c r="G2996" i="2"/>
  <c r="H2996" i="2"/>
  <c r="J2996" i="2"/>
  <c r="K2996" i="2"/>
  <c r="L2996" i="2"/>
  <c r="C2997" i="2"/>
  <c r="D2997" i="2"/>
  <c r="F2997" i="2"/>
  <c r="G2997" i="2"/>
  <c r="H2997" i="2"/>
  <c r="J2997" i="2"/>
  <c r="K2997" i="2"/>
  <c r="L2997" i="2"/>
  <c r="C2998" i="2"/>
  <c r="D2998" i="2"/>
  <c r="F2998" i="2"/>
  <c r="G2998" i="2"/>
  <c r="H2998" i="2"/>
  <c r="J2998" i="2"/>
  <c r="K2998" i="2"/>
  <c r="L2998" i="2"/>
  <c r="C2999" i="2"/>
  <c r="D2999" i="2"/>
  <c r="F2999" i="2"/>
  <c r="G2999" i="2"/>
  <c r="H2999" i="2"/>
  <c r="J2999" i="2"/>
  <c r="K2999" i="2"/>
  <c r="L2999" i="2"/>
  <c r="C3000" i="2"/>
  <c r="D3000" i="2"/>
  <c r="F3000" i="2"/>
  <c r="G3000" i="2"/>
  <c r="H3000" i="2"/>
  <c r="J3000" i="2"/>
  <c r="K3000" i="2"/>
  <c r="L3000" i="2"/>
  <c r="C3001" i="2"/>
  <c r="D3001" i="2"/>
  <c r="F3001" i="2"/>
  <c r="G3001" i="2"/>
  <c r="H3001" i="2"/>
  <c r="J3001" i="2"/>
  <c r="K3001" i="2"/>
  <c r="L3001" i="2"/>
  <c r="C3002" i="2"/>
  <c r="D3002" i="2"/>
  <c r="F3002" i="2"/>
  <c r="G3002" i="2"/>
  <c r="H3002" i="2"/>
  <c r="J3002" i="2"/>
  <c r="K3002" i="2"/>
  <c r="L3002" i="2"/>
  <c r="C3003" i="2"/>
  <c r="D3003" i="2"/>
  <c r="F3003" i="2"/>
  <c r="G3003" i="2"/>
  <c r="H3003" i="2"/>
  <c r="J3003" i="2"/>
  <c r="K3003" i="2"/>
  <c r="L3003" i="2"/>
  <c r="C3004" i="2"/>
  <c r="D3004" i="2"/>
  <c r="F3004" i="2"/>
  <c r="G3004" i="2"/>
  <c r="H3004" i="2"/>
  <c r="J3004" i="2"/>
  <c r="K3004" i="2"/>
  <c r="L3004" i="2"/>
  <c r="C3005" i="2"/>
  <c r="D3005" i="2"/>
  <c r="F3005" i="2"/>
  <c r="G3005" i="2"/>
  <c r="H3005" i="2"/>
  <c r="J3005" i="2"/>
  <c r="K3005" i="2"/>
  <c r="L3005" i="2"/>
  <c r="C3006" i="2"/>
  <c r="D3006" i="2"/>
  <c r="F3006" i="2"/>
  <c r="G3006" i="2"/>
  <c r="H3006" i="2"/>
  <c r="J3006" i="2"/>
  <c r="K3006" i="2"/>
  <c r="L3006" i="2"/>
  <c r="C3007" i="2"/>
  <c r="D3007" i="2"/>
  <c r="F3007" i="2"/>
  <c r="G3007" i="2"/>
  <c r="H3007" i="2"/>
  <c r="J3007" i="2"/>
  <c r="K3007" i="2"/>
  <c r="L3007" i="2"/>
  <c r="C3008" i="2"/>
  <c r="D3008" i="2"/>
  <c r="F3008" i="2"/>
  <c r="G3008" i="2"/>
  <c r="H3008" i="2"/>
  <c r="J3008" i="2"/>
  <c r="K3008" i="2"/>
  <c r="L3008" i="2"/>
  <c r="C3009" i="2"/>
  <c r="D3009" i="2"/>
  <c r="F3009" i="2"/>
  <c r="G3009" i="2"/>
  <c r="H3009" i="2"/>
  <c r="J3009" i="2"/>
  <c r="K3009" i="2"/>
  <c r="L3009" i="2"/>
  <c r="C3010" i="2"/>
  <c r="D3010" i="2"/>
  <c r="F3010" i="2"/>
  <c r="G3010" i="2"/>
  <c r="H3010" i="2"/>
  <c r="J3010" i="2"/>
  <c r="K3010" i="2"/>
  <c r="L3010" i="2"/>
  <c r="C3011" i="2"/>
  <c r="D3011" i="2"/>
  <c r="F3011" i="2"/>
  <c r="G3011" i="2"/>
  <c r="H3011" i="2"/>
  <c r="J3011" i="2"/>
  <c r="K3011" i="2"/>
  <c r="L3011" i="2"/>
  <c r="C3012" i="2"/>
  <c r="D3012" i="2"/>
  <c r="F3012" i="2"/>
  <c r="G3012" i="2"/>
  <c r="H3012" i="2"/>
  <c r="J3012" i="2"/>
  <c r="K3012" i="2"/>
  <c r="L3012" i="2"/>
  <c r="C3013" i="2"/>
  <c r="D3013" i="2"/>
  <c r="F3013" i="2"/>
  <c r="G3013" i="2"/>
  <c r="H3013" i="2"/>
  <c r="J3013" i="2"/>
  <c r="K3013" i="2"/>
  <c r="L3013" i="2"/>
  <c r="C3014" i="2"/>
  <c r="D3014" i="2"/>
  <c r="F3014" i="2"/>
  <c r="G3014" i="2"/>
  <c r="H3014" i="2"/>
  <c r="J3014" i="2"/>
  <c r="K3014" i="2"/>
  <c r="L3014" i="2"/>
  <c r="C3015" i="2"/>
  <c r="D3015" i="2"/>
  <c r="F3015" i="2"/>
  <c r="G3015" i="2"/>
  <c r="H3015" i="2"/>
  <c r="J3015" i="2"/>
  <c r="K3015" i="2"/>
  <c r="L3015" i="2"/>
  <c r="C3016" i="2"/>
  <c r="D3016" i="2"/>
  <c r="F3016" i="2"/>
  <c r="G3016" i="2"/>
  <c r="H3016" i="2"/>
  <c r="J3016" i="2"/>
  <c r="K3016" i="2"/>
  <c r="L3016" i="2"/>
  <c r="C3017" i="2"/>
  <c r="D3017" i="2"/>
  <c r="F3017" i="2"/>
  <c r="G3017" i="2"/>
  <c r="H3017" i="2"/>
  <c r="J3017" i="2"/>
  <c r="K3017" i="2"/>
  <c r="L3017" i="2"/>
  <c r="C3018" i="2"/>
  <c r="D3018" i="2"/>
  <c r="F3018" i="2"/>
  <c r="G3018" i="2"/>
  <c r="H3018" i="2"/>
  <c r="J3018" i="2"/>
  <c r="K3018" i="2"/>
  <c r="L3018" i="2"/>
  <c r="C3019" i="2"/>
  <c r="D3019" i="2"/>
  <c r="F3019" i="2"/>
  <c r="G3019" i="2"/>
  <c r="H3019" i="2"/>
  <c r="J3019" i="2"/>
  <c r="K3019" i="2"/>
  <c r="L3019" i="2"/>
  <c r="C3020" i="2"/>
  <c r="D3020" i="2"/>
  <c r="F3020" i="2"/>
  <c r="G3020" i="2"/>
  <c r="H3020" i="2"/>
  <c r="J3020" i="2"/>
  <c r="K3020" i="2"/>
  <c r="L3020" i="2"/>
  <c r="C3021" i="2"/>
  <c r="D3021" i="2"/>
  <c r="F3021" i="2"/>
  <c r="G3021" i="2"/>
  <c r="H3021" i="2"/>
  <c r="J3021" i="2"/>
  <c r="K3021" i="2"/>
  <c r="L3021" i="2"/>
  <c r="C3022" i="2"/>
  <c r="D3022" i="2"/>
  <c r="F3022" i="2"/>
  <c r="G3022" i="2"/>
  <c r="H3022" i="2"/>
  <c r="J3022" i="2"/>
  <c r="K3022" i="2"/>
  <c r="L3022" i="2"/>
  <c r="C3023" i="2"/>
  <c r="D3023" i="2"/>
  <c r="F3023" i="2"/>
  <c r="G3023" i="2"/>
  <c r="H3023" i="2"/>
  <c r="J3023" i="2"/>
  <c r="K3023" i="2"/>
  <c r="L3023" i="2"/>
  <c r="C3024" i="2"/>
  <c r="D3024" i="2"/>
  <c r="F3024" i="2"/>
  <c r="G3024" i="2"/>
  <c r="H3024" i="2"/>
  <c r="J3024" i="2"/>
  <c r="K3024" i="2"/>
  <c r="L3024" i="2"/>
  <c r="C3025" i="2"/>
  <c r="D3025" i="2"/>
  <c r="F3025" i="2"/>
  <c r="G3025" i="2"/>
  <c r="H3025" i="2"/>
  <c r="J3025" i="2"/>
  <c r="K3025" i="2"/>
  <c r="L3025" i="2"/>
  <c r="C3026" i="2"/>
  <c r="D3026" i="2"/>
  <c r="F3026" i="2"/>
  <c r="G3026" i="2"/>
  <c r="H3026" i="2"/>
  <c r="J3026" i="2"/>
  <c r="K3026" i="2"/>
  <c r="L3026" i="2"/>
  <c r="C3027" i="2"/>
  <c r="D3027" i="2"/>
  <c r="F3027" i="2"/>
  <c r="G3027" i="2"/>
  <c r="H3027" i="2"/>
  <c r="J3027" i="2"/>
  <c r="K3027" i="2"/>
  <c r="L3027" i="2"/>
  <c r="C3028" i="2"/>
  <c r="D3028" i="2"/>
  <c r="F3028" i="2"/>
  <c r="G3028" i="2"/>
  <c r="H3028" i="2"/>
  <c r="J3028" i="2"/>
  <c r="K3028" i="2"/>
  <c r="L3028" i="2"/>
  <c r="C3029" i="2"/>
  <c r="D3029" i="2"/>
  <c r="F3029" i="2"/>
  <c r="G3029" i="2"/>
  <c r="H3029" i="2"/>
  <c r="J3029" i="2"/>
  <c r="K3029" i="2"/>
  <c r="L3029" i="2"/>
  <c r="C3030" i="2"/>
  <c r="D3030" i="2"/>
  <c r="F3030" i="2"/>
  <c r="G3030" i="2"/>
  <c r="H3030" i="2"/>
  <c r="J3030" i="2"/>
  <c r="K3030" i="2"/>
  <c r="L3030" i="2"/>
  <c r="C3031" i="2"/>
  <c r="D3031" i="2"/>
  <c r="F3031" i="2"/>
  <c r="G3031" i="2"/>
  <c r="H3031" i="2"/>
  <c r="J3031" i="2"/>
  <c r="K3031" i="2"/>
  <c r="L3031" i="2"/>
  <c r="C3032" i="2"/>
  <c r="D3032" i="2"/>
  <c r="F3032" i="2"/>
  <c r="G3032" i="2"/>
  <c r="H3032" i="2"/>
  <c r="J3032" i="2"/>
  <c r="K3032" i="2"/>
  <c r="L3032" i="2"/>
  <c r="C3033" i="2"/>
  <c r="D3033" i="2"/>
  <c r="F3033" i="2"/>
  <c r="G3033" i="2"/>
  <c r="H3033" i="2"/>
  <c r="J3033" i="2"/>
  <c r="K3033" i="2"/>
  <c r="L3033" i="2"/>
  <c r="C3034" i="2"/>
  <c r="D3034" i="2"/>
  <c r="F3034" i="2"/>
  <c r="G3034" i="2"/>
  <c r="H3034" i="2"/>
  <c r="J3034" i="2"/>
  <c r="K3034" i="2"/>
  <c r="L3034" i="2"/>
  <c r="C3035" i="2"/>
  <c r="D3035" i="2"/>
  <c r="F3035" i="2"/>
  <c r="G3035" i="2"/>
  <c r="H3035" i="2"/>
  <c r="J3035" i="2"/>
  <c r="K3035" i="2"/>
  <c r="L3035" i="2"/>
  <c r="C3036" i="2"/>
  <c r="D3036" i="2"/>
  <c r="F3036" i="2"/>
  <c r="G3036" i="2"/>
  <c r="H3036" i="2"/>
  <c r="J3036" i="2"/>
  <c r="K3036" i="2"/>
  <c r="L3036" i="2"/>
  <c r="C3037" i="2"/>
  <c r="D3037" i="2"/>
  <c r="F3037" i="2"/>
  <c r="G3037" i="2"/>
  <c r="H3037" i="2"/>
  <c r="J3037" i="2"/>
  <c r="K3037" i="2"/>
  <c r="L3037" i="2"/>
  <c r="C3038" i="2"/>
  <c r="D3038" i="2"/>
  <c r="F3038" i="2"/>
  <c r="G3038" i="2"/>
  <c r="H3038" i="2"/>
  <c r="J3038" i="2"/>
  <c r="K3038" i="2"/>
  <c r="L3038" i="2"/>
  <c r="C3039" i="2"/>
  <c r="D3039" i="2"/>
  <c r="F3039" i="2"/>
  <c r="G3039" i="2"/>
  <c r="H3039" i="2"/>
  <c r="J3039" i="2"/>
  <c r="K3039" i="2"/>
  <c r="L3039" i="2"/>
  <c r="C3040" i="2"/>
  <c r="D3040" i="2"/>
  <c r="F3040" i="2"/>
  <c r="G3040" i="2"/>
  <c r="H3040" i="2"/>
  <c r="J3040" i="2"/>
  <c r="K3040" i="2"/>
  <c r="L3040" i="2"/>
  <c r="C3041" i="2"/>
  <c r="D3041" i="2"/>
  <c r="F3041" i="2"/>
  <c r="G3041" i="2"/>
  <c r="H3041" i="2"/>
  <c r="J3041" i="2"/>
  <c r="K3041" i="2"/>
  <c r="L3041" i="2"/>
  <c r="C3042" i="2"/>
  <c r="D3042" i="2"/>
  <c r="F3042" i="2"/>
  <c r="G3042" i="2"/>
  <c r="H3042" i="2"/>
  <c r="J3042" i="2"/>
  <c r="K3042" i="2"/>
  <c r="L3042" i="2"/>
  <c r="C3043" i="2"/>
  <c r="D3043" i="2"/>
  <c r="F3043" i="2"/>
  <c r="G3043" i="2"/>
  <c r="H3043" i="2"/>
  <c r="J3043" i="2"/>
  <c r="K3043" i="2"/>
  <c r="L3043" i="2"/>
  <c r="C3044" i="2"/>
  <c r="D3044" i="2"/>
  <c r="F3044" i="2"/>
  <c r="G3044" i="2"/>
  <c r="H3044" i="2"/>
  <c r="J3044" i="2"/>
  <c r="K3044" i="2"/>
  <c r="L3044" i="2"/>
  <c r="C3045" i="2"/>
  <c r="D3045" i="2"/>
  <c r="F3045" i="2"/>
  <c r="G3045" i="2"/>
  <c r="H3045" i="2"/>
  <c r="J3045" i="2"/>
  <c r="K3045" i="2"/>
  <c r="L3045" i="2"/>
  <c r="C3046" i="2"/>
  <c r="D3046" i="2"/>
  <c r="F3046" i="2"/>
  <c r="G3046" i="2"/>
  <c r="H3046" i="2"/>
  <c r="J3046" i="2"/>
  <c r="K3046" i="2"/>
  <c r="L3046" i="2"/>
  <c r="C3047" i="2"/>
  <c r="D3047" i="2"/>
  <c r="F3047" i="2"/>
  <c r="G3047" i="2"/>
  <c r="H3047" i="2"/>
  <c r="J3047" i="2"/>
  <c r="K3047" i="2"/>
  <c r="L3047" i="2"/>
  <c r="C3048" i="2"/>
  <c r="D3048" i="2"/>
  <c r="F3048" i="2"/>
  <c r="G3048" i="2"/>
  <c r="H3048" i="2"/>
  <c r="J3048" i="2"/>
  <c r="K3048" i="2"/>
  <c r="L3048" i="2"/>
  <c r="C3049" i="2"/>
  <c r="D3049" i="2"/>
  <c r="F3049" i="2"/>
  <c r="G3049" i="2"/>
  <c r="H3049" i="2"/>
  <c r="J3049" i="2"/>
  <c r="K3049" i="2"/>
  <c r="L3049" i="2"/>
  <c r="C3050" i="2"/>
  <c r="D3050" i="2"/>
  <c r="F3050" i="2"/>
  <c r="G3050" i="2"/>
  <c r="H3050" i="2"/>
  <c r="J3050" i="2"/>
  <c r="K3050" i="2"/>
  <c r="L3050" i="2"/>
  <c r="C3051" i="2"/>
  <c r="D3051" i="2"/>
  <c r="F3051" i="2"/>
  <c r="G3051" i="2"/>
  <c r="H3051" i="2"/>
  <c r="J3051" i="2"/>
  <c r="K3051" i="2"/>
  <c r="L3051" i="2"/>
  <c r="C3052" i="2"/>
  <c r="D3052" i="2"/>
  <c r="F3052" i="2"/>
  <c r="G3052" i="2"/>
  <c r="H3052" i="2"/>
  <c r="J3052" i="2"/>
  <c r="K3052" i="2"/>
  <c r="L3052" i="2"/>
  <c r="C3053" i="2"/>
  <c r="D3053" i="2"/>
  <c r="F3053" i="2"/>
  <c r="G3053" i="2"/>
  <c r="H3053" i="2"/>
  <c r="J3053" i="2"/>
  <c r="K3053" i="2"/>
  <c r="L3053" i="2"/>
  <c r="C3054" i="2"/>
  <c r="D3054" i="2"/>
  <c r="F3054" i="2"/>
  <c r="G3054" i="2"/>
  <c r="H3054" i="2"/>
  <c r="J3054" i="2"/>
  <c r="K3054" i="2"/>
  <c r="L3054" i="2"/>
  <c r="C3055" i="2"/>
  <c r="D3055" i="2"/>
  <c r="F3055" i="2"/>
  <c r="G3055" i="2"/>
  <c r="H3055" i="2"/>
  <c r="J3055" i="2"/>
  <c r="K3055" i="2"/>
  <c r="L3055" i="2"/>
  <c r="C3056" i="2"/>
  <c r="D3056" i="2"/>
  <c r="F3056" i="2"/>
  <c r="G3056" i="2"/>
  <c r="H3056" i="2"/>
  <c r="J3056" i="2"/>
  <c r="K3056" i="2"/>
  <c r="L3056" i="2"/>
  <c r="C3057" i="2"/>
  <c r="D3057" i="2"/>
  <c r="F3057" i="2"/>
  <c r="G3057" i="2"/>
  <c r="H3057" i="2"/>
  <c r="J3057" i="2"/>
  <c r="K3057" i="2"/>
  <c r="L3057" i="2"/>
  <c r="C3058" i="2"/>
  <c r="D3058" i="2"/>
  <c r="F3058" i="2"/>
  <c r="G3058" i="2"/>
  <c r="H3058" i="2"/>
  <c r="J3058" i="2"/>
  <c r="K3058" i="2"/>
  <c r="L3058" i="2"/>
  <c r="C3059" i="2"/>
  <c r="D3059" i="2"/>
  <c r="F3059" i="2"/>
  <c r="G3059" i="2"/>
  <c r="H3059" i="2"/>
  <c r="J3059" i="2"/>
  <c r="K3059" i="2"/>
  <c r="L3059" i="2"/>
  <c r="C3060" i="2"/>
  <c r="D3060" i="2"/>
  <c r="F3060" i="2"/>
  <c r="G3060" i="2"/>
  <c r="H3060" i="2"/>
  <c r="J3060" i="2"/>
  <c r="K3060" i="2"/>
  <c r="L3060" i="2"/>
  <c r="C3061" i="2"/>
  <c r="D3061" i="2"/>
  <c r="F3061" i="2"/>
  <c r="G3061" i="2"/>
  <c r="H3061" i="2"/>
  <c r="J3061" i="2"/>
  <c r="K3061" i="2"/>
  <c r="L3061" i="2"/>
  <c r="C3062" i="2"/>
  <c r="D3062" i="2"/>
  <c r="F3062" i="2"/>
  <c r="G3062" i="2"/>
  <c r="H3062" i="2"/>
  <c r="J3062" i="2"/>
  <c r="K3062" i="2"/>
  <c r="L3062" i="2"/>
  <c r="C3063" i="2"/>
  <c r="D3063" i="2"/>
  <c r="F3063" i="2"/>
  <c r="G3063" i="2"/>
  <c r="H3063" i="2"/>
  <c r="J3063" i="2"/>
  <c r="K3063" i="2"/>
  <c r="L3063" i="2"/>
  <c r="C3064" i="2"/>
  <c r="D3064" i="2"/>
  <c r="F3064" i="2"/>
  <c r="G3064" i="2"/>
  <c r="H3064" i="2"/>
  <c r="J3064" i="2"/>
  <c r="K3064" i="2"/>
  <c r="L3064" i="2"/>
  <c r="C3065" i="2"/>
  <c r="D3065" i="2"/>
  <c r="F3065" i="2"/>
  <c r="G3065" i="2"/>
  <c r="H3065" i="2"/>
  <c r="J3065" i="2"/>
  <c r="K3065" i="2"/>
  <c r="L3065" i="2"/>
  <c r="C3066" i="2"/>
  <c r="D3066" i="2"/>
  <c r="F3066" i="2"/>
  <c r="G3066" i="2"/>
  <c r="H3066" i="2"/>
  <c r="J3066" i="2"/>
  <c r="K3066" i="2"/>
  <c r="L3066" i="2"/>
  <c r="C3067" i="2"/>
  <c r="D3067" i="2"/>
  <c r="F3067" i="2"/>
  <c r="G3067" i="2"/>
  <c r="H3067" i="2"/>
  <c r="J3067" i="2"/>
  <c r="K3067" i="2"/>
  <c r="L3067" i="2"/>
  <c r="C3068" i="2"/>
  <c r="D3068" i="2"/>
  <c r="F3068" i="2"/>
  <c r="G3068" i="2"/>
  <c r="H3068" i="2"/>
  <c r="J3068" i="2"/>
  <c r="K3068" i="2"/>
  <c r="L3068" i="2"/>
  <c r="C3069" i="2"/>
  <c r="D3069" i="2"/>
  <c r="F3069" i="2"/>
  <c r="G3069" i="2"/>
  <c r="H3069" i="2"/>
  <c r="J3069" i="2"/>
  <c r="K3069" i="2"/>
  <c r="L3069" i="2"/>
  <c r="C3070" i="2"/>
  <c r="D3070" i="2"/>
  <c r="F3070" i="2"/>
  <c r="G3070" i="2"/>
  <c r="H3070" i="2"/>
  <c r="J3070" i="2"/>
  <c r="K3070" i="2"/>
  <c r="L3070" i="2"/>
  <c r="C3071" i="2"/>
  <c r="D3071" i="2"/>
  <c r="F3071" i="2"/>
  <c r="G3071" i="2"/>
  <c r="H3071" i="2"/>
  <c r="J3071" i="2"/>
  <c r="K3071" i="2"/>
  <c r="L3071" i="2"/>
  <c r="C3072" i="2"/>
  <c r="D3072" i="2"/>
  <c r="F3072" i="2"/>
  <c r="G3072" i="2"/>
  <c r="H3072" i="2"/>
  <c r="J3072" i="2"/>
  <c r="K3072" i="2"/>
  <c r="L3072" i="2"/>
  <c r="C3073" i="2"/>
  <c r="D3073" i="2"/>
  <c r="F3073" i="2"/>
  <c r="G3073" i="2"/>
  <c r="H3073" i="2"/>
  <c r="J3073" i="2"/>
  <c r="K3073" i="2"/>
  <c r="L3073" i="2"/>
  <c r="C3074" i="2"/>
  <c r="D3074" i="2"/>
  <c r="F3074" i="2"/>
  <c r="G3074" i="2"/>
  <c r="H3074" i="2"/>
  <c r="J3074" i="2"/>
  <c r="K3074" i="2"/>
  <c r="L3074" i="2"/>
  <c r="C3075" i="2"/>
  <c r="D3075" i="2"/>
  <c r="F3075" i="2"/>
  <c r="G3075" i="2"/>
  <c r="H3075" i="2"/>
  <c r="J3075" i="2"/>
  <c r="K3075" i="2"/>
  <c r="L3075" i="2"/>
  <c r="C3076" i="2"/>
  <c r="D3076" i="2"/>
  <c r="F3076" i="2"/>
  <c r="G3076" i="2"/>
  <c r="H3076" i="2"/>
  <c r="J3076" i="2"/>
  <c r="K3076" i="2"/>
  <c r="L3076" i="2"/>
  <c r="D3077" i="2"/>
  <c r="F3077" i="2"/>
  <c r="G3077" i="2"/>
  <c r="H3077" i="2"/>
  <c r="J3077" i="2"/>
  <c r="K3077" i="2"/>
  <c r="L3077" i="2"/>
  <c r="C3078" i="2"/>
  <c r="D3078" i="2"/>
  <c r="F3078" i="2"/>
  <c r="G3078" i="2"/>
  <c r="H3078" i="2"/>
  <c r="J3078" i="2"/>
  <c r="K3078" i="2"/>
  <c r="L3078" i="2"/>
  <c r="C3079" i="2"/>
  <c r="D3079" i="2"/>
  <c r="F3079" i="2"/>
  <c r="G3079" i="2"/>
  <c r="H3079" i="2"/>
  <c r="J3079" i="2"/>
  <c r="K3079" i="2"/>
  <c r="L3079" i="2"/>
  <c r="C3080" i="2"/>
  <c r="D3080" i="2"/>
  <c r="F3080" i="2"/>
  <c r="G3080" i="2"/>
  <c r="H3080" i="2"/>
  <c r="J3080" i="2"/>
  <c r="K3080" i="2"/>
  <c r="L3080" i="2"/>
  <c r="C3081" i="2"/>
  <c r="D3081" i="2"/>
  <c r="F3081" i="2"/>
  <c r="G3081" i="2"/>
  <c r="H3081" i="2"/>
  <c r="J3081" i="2"/>
  <c r="K3081" i="2"/>
  <c r="L3081" i="2"/>
  <c r="C3082" i="2"/>
  <c r="D3082" i="2"/>
  <c r="F3082" i="2"/>
  <c r="G3082" i="2"/>
  <c r="H3082" i="2"/>
  <c r="J3082" i="2"/>
  <c r="K3082" i="2"/>
  <c r="L3082" i="2"/>
  <c r="C3083" i="2"/>
  <c r="D3083" i="2"/>
  <c r="F3083" i="2"/>
  <c r="G3083" i="2"/>
  <c r="H3083" i="2"/>
  <c r="J3083" i="2"/>
  <c r="K3083" i="2"/>
  <c r="L3083" i="2"/>
  <c r="C3084" i="2"/>
  <c r="D3084" i="2"/>
  <c r="F3084" i="2"/>
  <c r="G3084" i="2"/>
  <c r="H3084" i="2"/>
  <c r="J3084" i="2"/>
  <c r="K3084" i="2"/>
  <c r="L3084" i="2"/>
  <c r="C3085" i="2"/>
  <c r="D3085" i="2"/>
  <c r="F3085" i="2"/>
  <c r="G3085" i="2"/>
  <c r="H3085" i="2"/>
  <c r="J3085" i="2"/>
  <c r="K3085" i="2"/>
  <c r="L3085" i="2"/>
  <c r="C3086" i="2"/>
  <c r="D3086" i="2"/>
  <c r="F3086" i="2"/>
  <c r="G3086" i="2"/>
  <c r="H3086" i="2"/>
  <c r="J3086" i="2"/>
  <c r="K3086" i="2"/>
  <c r="L3086" i="2"/>
  <c r="C3087" i="2"/>
  <c r="D3087" i="2"/>
  <c r="F3087" i="2"/>
  <c r="G3087" i="2"/>
  <c r="H3087" i="2"/>
  <c r="J3087" i="2"/>
  <c r="K3087" i="2"/>
  <c r="L3087" i="2"/>
  <c r="C3088" i="2"/>
  <c r="D3088" i="2"/>
  <c r="F3088" i="2"/>
  <c r="G3088" i="2"/>
  <c r="H3088" i="2"/>
  <c r="J3088" i="2"/>
  <c r="K3088" i="2"/>
  <c r="L3088" i="2"/>
  <c r="C3089" i="2"/>
  <c r="D3089" i="2"/>
  <c r="F3089" i="2"/>
  <c r="G3089" i="2"/>
  <c r="H3089" i="2"/>
  <c r="J3089" i="2"/>
  <c r="K3089" i="2"/>
  <c r="L3089" i="2"/>
  <c r="C3090" i="2"/>
  <c r="D3090" i="2"/>
  <c r="F3090" i="2"/>
  <c r="G3090" i="2"/>
  <c r="H3090" i="2"/>
  <c r="J3090" i="2"/>
  <c r="K3090" i="2"/>
  <c r="L3090" i="2"/>
  <c r="C3091" i="2"/>
  <c r="D3091" i="2"/>
  <c r="F3091" i="2"/>
  <c r="G3091" i="2"/>
  <c r="H3091" i="2"/>
  <c r="J3091" i="2"/>
  <c r="K3091" i="2"/>
  <c r="L3091" i="2"/>
  <c r="C3092" i="2"/>
  <c r="D3092" i="2"/>
  <c r="F3092" i="2"/>
  <c r="G3092" i="2"/>
  <c r="H3092" i="2"/>
  <c r="J3092" i="2"/>
  <c r="K3092" i="2"/>
  <c r="L3092" i="2"/>
  <c r="C3093" i="2"/>
  <c r="D3093" i="2"/>
  <c r="F3093" i="2"/>
  <c r="G3093" i="2"/>
  <c r="H3093" i="2"/>
  <c r="J3093" i="2"/>
  <c r="K3093" i="2"/>
  <c r="L3093" i="2"/>
  <c r="C3094" i="2"/>
  <c r="D3094" i="2"/>
  <c r="F3094" i="2"/>
  <c r="G3094" i="2"/>
  <c r="H3094" i="2"/>
  <c r="J3094" i="2"/>
  <c r="K3094" i="2"/>
  <c r="L3094" i="2"/>
  <c r="C3095" i="2"/>
  <c r="D3095" i="2"/>
  <c r="F3095" i="2"/>
  <c r="G3095" i="2"/>
  <c r="H3095" i="2"/>
  <c r="J3095" i="2"/>
  <c r="K3095" i="2"/>
  <c r="L3095" i="2"/>
  <c r="C3096" i="2"/>
  <c r="D3096" i="2"/>
  <c r="F3096" i="2"/>
  <c r="G3096" i="2"/>
  <c r="H3096" i="2"/>
  <c r="J3096" i="2"/>
  <c r="K3096" i="2"/>
  <c r="L3096" i="2"/>
  <c r="C3097" i="2"/>
  <c r="D3097" i="2"/>
  <c r="F3097" i="2"/>
  <c r="G3097" i="2"/>
  <c r="H3097" i="2"/>
  <c r="J3097" i="2"/>
  <c r="K3097" i="2"/>
  <c r="L3097" i="2"/>
  <c r="C3098" i="2"/>
  <c r="D3098" i="2"/>
  <c r="F3098" i="2"/>
  <c r="G3098" i="2"/>
  <c r="H3098" i="2"/>
  <c r="J3098" i="2"/>
  <c r="K3098" i="2"/>
  <c r="L3098" i="2"/>
  <c r="C3099" i="2"/>
  <c r="D3099" i="2"/>
  <c r="F3099" i="2"/>
  <c r="G3099" i="2"/>
  <c r="H3099" i="2"/>
  <c r="J3099" i="2"/>
  <c r="K3099" i="2"/>
  <c r="L3099" i="2"/>
  <c r="C3100" i="2"/>
  <c r="D3100" i="2"/>
  <c r="F3100" i="2"/>
  <c r="G3100" i="2"/>
  <c r="H3100" i="2"/>
  <c r="J3100" i="2"/>
  <c r="K3100" i="2"/>
  <c r="L3100" i="2"/>
  <c r="C3101" i="2"/>
  <c r="D3101" i="2"/>
  <c r="F3101" i="2"/>
  <c r="G3101" i="2"/>
  <c r="H3101" i="2"/>
  <c r="J3101" i="2"/>
  <c r="K3101" i="2"/>
  <c r="L3101" i="2"/>
  <c r="C3102" i="2"/>
  <c r="D3102" i="2"/>
  <c r="F3102" i="2"/>
  <c r="G3102" i="2"/>
  <c r="H3102" i="2"/>
  <c r="J3102" i="2"/>
  <c r="K3102" i="2"/>
  <c r="L3102" i="2"/>
  <c r="C3103" i="2"/>
  <c r="D3103" i="2"/>
  <c r="F3103" i="2"/>
  <c r="G3103" i="2"/>
  <c r="H3103" i="2"/>
  <c r="J3103" i="2"/>
  <c r="K3103" i="2"/>
  <c r="L3103" i="2"/>
  <c r="C3104" i="2"/>
  <c r="D3104" i="2"/>
  <c r="F3104" i="2"/>
  <c r="G3104" i="2"/>
  <c r="H3104" i="2"/>
  <c r="J3104" i="2"/>
  <c r="K3104" i="2"/>
  <c r="L3104" i="2"/>
  <c r="C3105" i="2"/>
  <c r="D3105" i="2"/>
  <c r="F3105" i="2"/>
  <c r="G3105" i="2"/>
  <c r="H3105" i="2"/>
  <c r="J3105" i="2"/>
  <c r="K3105" i="2"/>
  <c r="L3105" i="2"/>
  <c r="C3106" i="2"/>
  <c r="D3106" i="2"/>
  <c r="F3106" i="2"/>
  <c r="G3106" i="2"/>
  <c r="H3106" i="2"/>
  <c r="J3106" i="2"/>
  <c r="K3106" i="2"/>
  <c r="L3106" i="2"/>
  <c r="C3107" i="2"/>
  <c r="D3107" i="2"/>
  <c r="F3107" i="2"/>
  <c r="G3107" i="2"/>
  <c r="H3107" i="2"/>
  <c r="J3107" i="2"/>
  <c r="K3107" i="2"/>
  <c r="L3107" i="2"/>
  <c r="C3108" i="2"/>
  <c r="D3108" i="2"/>
  <c r="F3108" i="2"/>
  <c r="G3108" i="2"/>
  <c r="H3108" i="2"/>
  <c r="J3108" i="2"/>
  <c r="K3108" i="2"/>
  <c r="L3108" i="2"/>
  <c r="C3109" i="2"/>
  <c r="D3109" i="2"/>
  <c r="F3109" i="2"/>
  <c r="G3109" i="2"/>
  <c r="H3109" i="2"/>
  <c r="J3109" i="2"/>
  <c r="K3109" i="2"/>
  <c r="L3109" i="2"/>
  <c r="C3110" i="2"/>
  <c r="D3110" i="2"/>
  <c r="F3110" i="2"/>
  <c r="G3110" i="2"/>
  <c r="H3110" i="2"/>
  <c r="J3110" i="2"/>
  <c r="K3110" i="2"/>
  <c r="L3110" i="2"/>
  <c r="C3111" i="2"/>
  <c r="D3111" i="2"/>
  <c r="F3111" i="2"/>
  <c r="G3111" i="2"/>
  <c r="H3111" i="2"/>
  <c r="J3111" i="2"/>
  <c r="K3111" i="2"/>
  <c r="L3111" i="2"/>
  <c r="C3112" i="2"/>
  <c r="D3112" i="2"/>
  <c r="F3112" i="2"/>
  <c r="G3112" i="2"/>
  <c r="H3112" i="2"/>
  <c r="J3112" i="2"/>
  <c r="K3112" i="2"/>
  <c r="L3112" i="2"/>
  <c r="C3113" i="2"/>
  <c r="D3113" i="2"/>
  <c r="F3113" i="2"/>
  <c r="G3113" i="2"/>
  <c r="H3113" i="2"/>
  <c r="J3113" i="2"/>
  <c r="K3113" i="2"/>
  <c r="L3113" i="2"/>
  <c r="C3114" i="2"/>
  <c r="D3114" i="2"/>
  <c r="F3114" i="2"/>
  <c r="G3114" i="2"/>
  <c r="H3114" i="2"/>
  <c r="J3114" i="2"/>
  <c r="K3114" i="2"/>
  <c r="L3114" i="2"/>
  <c r="C3115" i="2"/>
  <c r="D3115" i="2"/>
  <c r="F3115" i="2"/>
  <c r="G3115" i="2"/>
  <c r="H3115" i="2"/>
  <c r="J3115" i="2"/>
  <c r="K3115" i="2"/>
  <c r="L3115" i="2"/>
  <c r="C3116" i="2"/>
  <c r="D3116" i="2"/>
  <c r="F3116" i="2"/>
  <c r="G3116" i="2"/>
  <c r="H3116" i="2"/>
  <c r="J3116" i="2"/>
  <c r="K3116" i="2"/>
  <c r="L3116" i="2"/>
  <c r="C3117" i="2"/>
  <c r="D3117" i="2"/>
  <c r="F3117" i="2"/>
  <c r="G3117" i="2"/>
  <c r="H3117" i="2"/>
  <c r="J3117" i="2"/>
  <c r="K3117" i="2"/>
  <c r="L3117" i="2"/>
  <c r="C3118" i="2"/>
  <c r="D3118" i="2"/>
  <c r="F3118" i="2"/>
  <c r="G3118" i="2"/>
  <c r="H3118" i="2"/>
  <c r="J3118" i="2"/>
  <c r="K3118" i="2"/>
  <c r="L3118" i="2"/>
  <c r="C3119" i="2"/>
  <c r="D3119" i="2"/>
  <c r="F3119" i="2"/>
  <c r="G3119" i="2"/>
  <c r="H3119" i="2"/>
  <c r="J3119" i="2"/>
  <c r="K3119" i="2"/>
  <c r="L3119" i="2"/>
  <c r="C3120" i="2"/>
  <c r="D3120" i="2"/>
  <c r="F3120" i="2"/>
  <c r="G3120" i="2"/>
  <c r="H3120" i="2"/>
  <c r="J3120" i="2"/>
  <c r="K3120" i="2"/>
  <c r="L3120" i="2"/>
  <c r="C3121" i="2"/>
  <c r="D3121" i="2"/>
  <c r="F3121" i="2"/>
  <c r="G3121" i="2"/>
  <c r="H3121" i="2"/>
  <c r="J3121" i="2"/>
  <c r="K3121" i="2"/>
  <c r="L3121" i="2"/>
  <c r="C3122" i="2"/>
  <c r="D3122" i="2"/>
  <c r="F3122" i="2"/>
  <c r="G3122" i="2"/>
  <c r="H3122" i="2"/>
  <c r="J3122" i="2"/>
  <c r="K3122" i="2"/>
  <c r="L3122" i="2"/>
  <c r="C3123" i="2"/>
  <c r="D3123" i="2"/>
  <c r="F3123" i="2"/>
  <c r="G3123" i="2"/>
  <c r="H3123" i="2"/>
  <c r="J3123" i="2"/>
  <c r="K3123" i="2"/>
  <c r="L3123" i="2"/>
  <c r="C3124" i="2"/>
  <c r="D3124" i="2"/>
  <c r="F3124" i="2"/>
  <c r="G3124" i="2"/>
  <c r="H3124" i="2"/>
  <c r="J3124" i="2"/>
  <c r="K3124" i="2"/>
  <c r="L3124" i="2"/>
  <c r="C3125" i="2"/>
  <c r="D3125" i="2"/>
  <c r="F3125" i="2"/>
  <c r="G3125" i="2"/>
  <c r="H3125" i="2"/>
  <c r="J3125" i="2"/>
  <c r="K3125" i="2"/>
  <c r="L3125" i="2"/>
  <c r="C3126" i="2"/>
  <c r="D3126" i="2"/>
  <c r="F3126" i="2"/>
  <c r="G3126" i="2"/>
  <c r="H3126" i="2"/>
  <c r="J3126" i="2"/>
  <c r="K3126" i="2"/>
  <c r="L3126" i="2"/>
  <c r="C3127" i="2"/>
  <c r="D3127" i="2"/>
  <c r="F3127" i="2"/>
  <c r="G3127" i="2"/>
  <c r="H3127" i="2"/>
  <c r="J3127" i="2"/>
  <c r="K3127" i="2"/>
  <c r="L3127" i="2"/>
  <c r="C3128" i="2"/>
  <c r="D3128" i="2"/>
  <c r="F3128" i="2"/>
  <c r="G3128" i="2"/>
  <c r="H3128" i="2"/>
  <c r="J3128" i="2"/>
  <c r="K3128" i="2"/>
  <c r="L3128" i="2"/>
  <c r="C3129" i="2"/>
  <c r="D3129" i="2"/>
  <c r="F3129" i="2"/>
  <c r="G3129" i="2"/>
  <c r="H3129" i="2"/>
  <c r="J3129" i="2"/>
  <c r="K3129" i="2"/>
  <c r="L3129" i="2"/>
  <c r="C3130" i="2"/>
  <c r="D3130" i="2"/>
  <c r="F3130" i="2"/>
  <c r="G3130" i="2"/>
  <c r="H3130" i="2"/>
  <c r="J3130" i="2"/>
  <c r="K3130" i="2"/>
  <c r="L3130" i="2"/>
  <c r="C3131" i="2"/>
  <c r="D3131" i="2"/>
  <c r="F3131" i="2"/>
  <c r="G3131" i="2"/>
  <c r="H3131" i="2"/>
  <c r="J3131" i="2"/>
  <c r="K3131" i="2"/>
  <c r="L3131" i="2"/>
  <c r="C3132" i="2"/>
  <c r="D3132" i="2"/>
  <c r="F3132" i="2"/>
  <c r="G3132" i="2"/>
  <c r="H3132" i="2"/>
  <c r="J3132" i="2"/>
  <c r="K3132" i="2"/>
  <c r="L3132" i="2"/>
  <c r="C3133" i="2"/>
  <c r="D3133" i="2"/>
  <c r="F3133" i="2"/>
  <c r="G3133" i="2"/>
  <c r="H3133" i="2"/>
  <c r="J3133" i="2"/>
  <c r="K3133" i="2"/>
  <c r="L3133" i="2"/>
  <c r="C3134" i="2"/>
  <c r="D3134" i="2"/>
  <c r="F3134" i="2"/>
  <c r="G3134" i="2"/>
  <c r="H3134" i="2"/>
  <c r="J3134" i="2"/>
  <c r="K3134" i="2"/>
  <c r="L3134" i="2"/>
  <c r="C3135" i="2"/>
  <c r="D3135" i="2"/>
  <c r="F3135" i="2"/>
  <c r="G3135" i="2"/>
  <c r="H3135" i="2"/>
  <c r="J3135" i="2"/>
  <c r="K3135" i="2"/>
  <c r="L3135" i="2"/>
  <c r="C3136" i="2"/>
  <c r="D3136" i="2"/>
  <c r="F3136" i="2"/>
  <c r="G3136" i="2"/>
  <c r="H3136" i="2"/>
  <c r="J3136" i="2"/>
  <c r="K3136" i="2"/>
  <c r="L3136" i="2"/>
  <c r="C3137" i="2"/>
  <c r="D3137" i="2"/>
  <c r="F3137" i="2"/>
  <c r="G3137" i="2"/>
  <c r="H3137" i="2"/>
  <c r="J3137" i="2"/>
  <c r="K3137" i="2"/>
  <c r="L3137" i="2"/>
  <c r="C3138" i="2"/>
  <c r="D3138" i="2"/>
  <c r="F3138" i="2"/>
  <c r="G3138" i="2"/>
  <c r="H3138" i="2"/>
  <c r="J3138" i="2"/>
  <c r="K3138" i="2"/>
  <c r="L3138" i="2"/>
  <c r="C3139" i="2"/>
  <c r="D3139" i="2"/>
  <c r="F3139" i="2"/>
  <c r="G3139" i="2"/>
  <c r="H3139" i="2"/>
  <c r="J3139" i="2"/>
  <c r="K3139" i="2"/>
  <c r="L3139" i="2"/>
  <c r="C3140" i="2"/>
  <c r="D3140" i="2"/>
  <c r="F3140" i="2"/>
  <c r="G3140" i="2"/>
  <c r="H3140" i="2"/>
  <c r="J3140" i="2"/>
  <c r="K3140" i="2"/>
  <c r="L3140" i="2"/>
  <c r="C3141" i="2"/>
  <c r="D3141" i="2"/>
  <c r="F3141" i="2"/>
  <c r="G3141" i="2"/>
  <c r="H3141" i="2"/>
  <c r="J3141" i="2"/>
  <c r="K3141" i="2"/>
  <c r="L3141" i="2"/>
  <c r="C3142" i="2"/>
  <c r="D3142" i="2"/>
  <c r="F3142" i="2"/>
  <c r="G3142" i="2"/>
  <c r="H3142" i="2"/>
  <c r="J3142" i="2"/>
  <c r="K3142" i="2"/>
  <c r="L3142" i="2"/>
  <c r="C3143" i="2"/>
  <c r="D3143" i="2"/>
  <c r="F3143" i="2"/>
  <c r="G3143" i="2"/>
  <c r="H3143" i="2"/>
  <c r="J3143" i="2"/>
  <c r="K3143" i="2"/>
  <c r="L3143" i="2"/>
  <c r="C3144" i="2"/>
  <c r="D3144" i="2"/>
  <c r="F3144" i="2"/>
  <c r="G3144" i="2"/>
  <c r="H3144" i="2"/>
  <c r="J3144" i="2"/>
  <c r="K3144" i="2"/>
  <c r="L3144" i="2"/>
  <c r="C3145" i="2"/>
  <c r="D3145" i="2"/>
  <c r="F3145" i="2"/>
  <c r="G3145" i="2"/>
  <c r="H3145" i="2"/>
  <c r="J3145" i="2"/>
  <c r="K3145" i="2"/>
  <c r="L3145" i="2"/>
  <c r="C3146" i="2"/>
  <c r="D3146" i="2"/>
  <c r="F3146" i="2"/>
  <c r="G3146" i="2"/>
  <c r="H3146" i="2"/>
  <c r="J3146" i="2"/>
  <c r="K3146" i="2"/>
  <c r="L3146" i="2"/>
  <c r="C3147" i="2"/>
  <c r="D3147" i="2"/>
  <c r="F3147" i="2"/>
  <c r="G3147" i="2"/>
  <c r="H3147" i="2"/>
  <c r="J3147" i="2"/>
  <c r="K3147" i="2"/>
  <c r="L3147" i="2"/>
  <c r="C3148" i="2"/>
  <c r="D3148" i="2"/>
  <c r="F3148" i="2"/>
  <c r="G3148" i="2"/>
  <c r="H3148" i="2"/>
  <c r="J3148" i="2"/>
  <c r="K3148" i="2"/>
  <c r="L3148" i="2"/>
  <c r="C3149" i="2"/>
  <c r="D3149" i="2"/>
  <c r="F3149" i="2"/>
  <c r="G3149" i="2"/>
  <c r="H3149" i="2"/>
  <c r="J3149" i="2"/>
  <c r="K3149" i="2"/>
  <c r="L3149" i="2"/>
  <c r="C3150" i="2"/>
  <c r="D3150" i="2"/>
  <c r="F3150" i="2"/>
  <c r="G3150" i="2"/>
  <c r="H3150" i="2"/>
  <c r="J3150" i="2"/>
  <c r="K3150" i="2"/>
  <c r="L3150" i="2"/>
  <c r="C3151" i="2"/>
  <c r="D3151" i="2"/>
  <c r="F3151" i="2"/>
  <c r="G3151" i="2"/>
  <c r="H3151" i="2"/>
  <c r="J3151" i="2"/>
  <c r="K3151" i="2"/>
  <c r="L3151" i="2"/>
  <c r="C3152" i="2"/>
  <c r="D3152" i="2"/>
  <c r="F3152" i="2"/>
  <c r="G3152" i="2"/>
  <c r="H3152" i="2"/>
  <c r="J3152" i="2"/>
  <c r="K3152" i="2"/>
  <c r="L3152" i="2"/>
  <c r="C3153" i="2"/>
  <c r="D3153" i="2"/>
  <c r="F3153" i="2"/>
  <c r="G3153" i="2"/>
  <c r="H3153" i="2"/>
  <c r="J3153" i="2"/>
  <c r="K3153" i="2"/>
  <c r="L3153" i="2"/>
  <c r="C3154" i="2"/>
  <c r="D3154" i="2"/>
  <c r="F3154" i="2"/>
  <c r="G3154" i="2"/>
  <c r="H3154" i="2"/>
  <c r="J3154" i="2"/>
  <c r="K3154" i="2"/>
  <c r="L3154" i="2"/>
  <c r="C3155" i="2"/>
  <c r="D3155" i="2"/>
  <c r="F3155" i="2"/>
  <c r="G3155" i="2"/>
  <c r="H3155" i="2"/>
  <c r="J3155" i="2"/>
  <c r="K3155" i="2"/>
  <c r="L3155" i="2"/>
  <c r="C3156" i="2"/>
  <c r="D3156" i="2"/>
  <c r="F3156" i="2"/>
  <c r="G3156" i="2"/>
  <c r="H3156" i="2"/>
  <c r="J3156" i="2"/>
  <c r="K3156" i="2"/>
  <c r="L3156" i="2"/>
  <c r="C3157" i="2"/>
  <c r="D3157" i="2"/>
  <c r="F3157" i="2"/>
  <c r="G3157" i="2"/>
  <c r="H3157" i="2"/>
  <c r="J3157" i="2"/>
  <c r="K3157" i="2"/>
  <c r="L3157" i="2"/>
  <c r="C3158" i="2"/>
  <c r="D3158" i="2"/>
  <c r="F3158" i="2"/>
  <c r="G3158" i="2"/>
  <c r="H3158" i="2"/>
  <c r="J3158" i="2"/>
  <c r="K3158" i="2"/>
  <c r="L3158" i="2"/>
  <c r="C3159" i="2"/>
  <c r="D3159" i="2"/>
  <c r="F3159" i="2"/>
  <c r="G3159" i="2"/>
  <c r="H3159" i="2"/>
  <c r="J3159" i="2"/>
  <c r="K3159" i="2"/>
  <c r="L3159" i="2"/>
  <c r="C3160" i="2"/>
  <c r="D3160" i="2"/>
  <c r="F3160" i="2"/>
  <c r="G3160" i="2"/>
  <c r="H3160" i="2"/>
  <c r="J3160" i="2"/>
  <c r="K3160" i="2"/>
  <c r="L3160" i="2"/>
  <c r="C3161" i="2"/>
  <c r="D3161" i="2"/>
  <c r="F3161" i="2"/>
  <c r="G3161" i="2"/>
  <c r="H3161" i="2"/>
  <c r="J3161" i="2"/>
  <c r="K3161" i="2"/>
  <c r="L3161" i="2"/>
  <c r="C3162" i="2"/>
  <c r="D3162" i="2"/>
  <c r="F3162" i="2"/>
  <c r="G3162" i="2"/>
  <c r="H3162" i="2"/>
  <c r="J3162" i="2"/>
  <c r="K3162" i="2"/>
  <c r="L3162" i="2"/>
  <c r="C3163" i="2"/>
  <c r="D3163" i="2"/>
  <c r="F3163" i="2"/>
  <c r="G3163" i="2"/>
  <c r="H3163" i="2"/>
  <c r="J3163" i="2"/>
  <c r="K3163" i="2"/>
  <c r="L3163" i="2"/>
  <c r="C3164" i="2"/>
  <c r="D3164" i="2"/>
  <c r="F3164" i="2"/>
  <c r="G3164" i="2"/>
  <c r="H3164" i="2"/>
  <c r="J3164" i="2"/>
  <c r="K3164" i="2"/>
  <c r="L3164" i="2"/>
  <c r="C3165" i="2"/>
  <c r="D3165" i="2"/>
  <c r="F3165" i="2"/>
  <c r="G3165" i="2"/>
  <c r="H3165" i="2"/>
  <c r="J3165" i="2"/>
  <c r="K3165" i="2"/>
  <c r="L3165" i="2"/>
  <c r="C3166" i="2"/>
  <c r="D3166" i="2"/>
  <c r="F3166" i="2"/>
  <c r="G3166" i="2"/>
  <c r="H3166" i="2"/>
  <c r="J3166" i="2"/>
  <c r="K3166" i="2"/>
  <c r="L3166" i="2"/>
  <c r="C3167" i="2"/>
  <c r="D3167" i="2"/>
  <c r="F3167" i="2"/>
  <c r="G3167" i="2"/>
  <c r="H3167" i="2"/>
  <c r="J3167" i="2"/>
  <c r="K3167" i="2"/>
  <c r="L3167" i="2"/>
  <c r="C3168" i="2"/>
  <c r="D3168" i="2"/>
  <c r="F3168" i="2"/>
  <c r="G3168" i="2"/>
  <c r="H3168" i="2"/>
  <c r="J3168" i="2"/>
  <c r="K3168" i="2"/>
  <c r="L3168" i="2"/>
  <c r="C3169" i="2"/>
  <c r="D3169" i="2"/>
  <c r="F3169" i="2"/>
  <c r="G3169" i="2"/>
  <c r="H3169" i="2"/>
  <c r="J3169" i="2"/>
  <c r="K3169" i="2"/>
  <c r="L3169" i="2"/>
  <c r="C3170" i="2"/>
  <c r="D3170" i="2"/>
  <c r="F3170" i="2"/>
  <c r="G3170" i="2"/>
  <c r="H3170" i="2"/>
  <c r="J3170" i="2"/>
  <c r="K3170" i="2"/>
  <c r="L3170" i="2"/>
  <c r="C3171" i="2"/>
  <c r="D3171" i="2"/>
  <c r="F3171" i="2"/>
  <c r="G3171" i="2"/>
  <c r="H3171" i="2"/>
  <c r="J3171" i="2"/>
  <c r="K3171" i="2"/>
  <c r="L3171" i="2"/>
  <c r="D3172" i="2"/>
  <c r="F3172" i="2"/>
  <c r="G3172" i="2"/>
  <c r="H3172" i="2"/>
  <c r="J3172" i="2"/>
  <c r="K3172" i="2"/>
  <c r="L3172" i="2"/>
  <c r="C3173" i="2"/>
  <c r="D3173" i="2"/>
  <c r="F3173" i="2"/>
  <c r="G3173" i="2"/>
  <c r="H3173" i="2"/>
  <c r="J3173" i="2"/>
  <c r="K3173" i="2"/>
  <c r="L3173" i="2"/>
  <c r="C3174" i="2"/>
  <c r="D3174" i="2"/>
  <c r="F3174" i="2"/>
  <c r="G3174" i="2"/>
  <c r="H3174" i="2"/>
  <c r="J3174" i="2"/>
  <c r="K3174" i="2"/>
  <c r="L3174" i="2"/>
  <c r="C3175" i="2"/>
  <c r="D3175" i="2"/>
  <c r="F3175" i="2"/>
  <c r="G3175" i="2"/>
  <c r="H3175" i="2"/>
  <c r="J3175" i="2"/>
  <c r="K3175" i="2"/>
  <c r="L3175" i="2"/>
  <c r="C3176" i="2"/>
  <c r="D3176" i="2"/>
  <c r="F3176" i="2"/>
  <c r="G3176" i="2"/>
  <c r="H3176" i="2"/>
  <c r="J3176" i="2"/>
  <c r="K3176" i="2"/>
  <c r="L3176" i="2"/>
  <c r="C3177" i="2"/>
  <c r="D3177" i="2"/>
  <c r="F3177" i="2"/>
  <c r="G3177" i="2"/>
  <c r="H3177" i="2"/>
  <c r="J3177" i="2"/>
  <c r="K3177" i="2"/>
  <c r="L3177" i="2"/>
  <c r="C3178" i="2"/>
  <c r="D3178" i="2"/>
  <c r="F3178" i="2"/>
  <c r="G3178" i="2"/>
  <c r="H3178" i="2"/>
  <c r="J3178" i="2"/>
  <c r="K3178" i="2"/>
  <c r="L3178" i="2"/>
  <c r="C3179" i="2"/>
  <c r="D3179" i="2"/>
  <c r="F3179" i="2"/>
  <c r="G3179" i="2"/>
  <c r="H3179" i="2"/>
  <c r="J3179" i="2"/>
  <c r="K3179" i="2"/>
  <c r="L3179" i="2"/>
  <c r="C3180" i="2"/>
  <c r="D3180" i="2"/>
  <c r="F3180" i="2"/>
  <c r="G3180" i="2"/>
  <c r="H3180" i="2"/>
  <c r="J3180" i="2"/>
  <c r="K3180" i="2"/>
  <c r="L3180" i="2"/>
  <c r="C3181" i="2"/>
  <c r="D3181" i="2"/>
  <c r="F3181" i="2"/>
  <c r="G3181" i="2"/>
  <c r="H3181" i="2"/>
  <c r="J3181" i="2"/>
  <c r="K3181" i="2"/>
  <c r="L3181" i="2"/>
  <c r="C3182" i="2"/>
  <c r="D3182" i="2"/>
  <c r="F3182" i="2"/>
  <c r="G3182" i="2"/>
  <c r="H3182" i="2"/>
  <c r="J3182" i="2"/>
  <c r="K3182" i="2"/>
  <c r="L3182" i="2"/>
  <c r="C3183" i="2"/>
  <c r="D3183" i="2"/>
  <c r="F3183" i="2"/>
  <c r="G3183" i="2"/>
  <c r="H3183" i="2"/>
  <c r="J3183" i="2"/>
  <c r="K3183" i="2"/>
  <c r="L3183" i="2"/>
  <c r="C3184" i="2"/>
  <c r="D3184" i="2"/>
  <c r="F3184" i="2"/>
  <c r="G3184" i="2"/>
  <c r="H3184" i="2"/>
  <c r="J3184" i="2"/>
  <c r="K3184" i="2"/>
  <c r="L3184" i="2"/>
  <c r="C3185" i="2"/>
  <c r="D3185" i="2"/>
  <c r="F3185" i="2"/>
  <c r="G3185" i="2"/>
  <c r="H3185" i="2"/>
  <c r="J3185" i="2"/>
  <c r="K3185" i="2"/>
  <c r="L3185" i="2"/>
  <c r="C3186" i="2"/>
  <c r="D3186" i="2"/>
  <c r="F3186" i="2"/>
  <c r="G3186" i="2"/>
  <c r="H3186" i="2"/>
  <c r="J3186" i="2"/>
  <c r="K3186" i="2"/>
  <c r="L3186" i="2"/>
  <c r="C3187" i="2"/>
  <c r="D3187" i="2"/>
  <c r="F3187" i="2"/>
  <c r="G3187" i="2"/>
  <c r="H3187" i="2"/>
  <c r="J3187" i="2"/>
  <c r="K3187" i="2"/>
  <c r="L3187" i="2"/>
  <c r="C3188" i="2"/>
  <c r="D3188" i="2"/>
  <c r="F3188" i="2"/>
  <c r="G3188" i="2"/>
  <c r="H3188" i="2"/>
  <c r="J3188" i="2"/>
  <c r="K3188" i="2"/>
  <c r="L3188" i="2"/>
  <c r="C3189" i="2"/>
  <c r="D3189" i="2"/>
  <c r="F3189" i="2"/>
  <c r="G3189" i="2"/>
  <c r="H3189" i="2"/>
  <c r="J3189" i="2"/>
  <c r="K3189" i="2"/>
  <c r="L3189" i="2"/>
  <c r="C3190" i="2"/>
  <c r="D3190" i="2"/>
  <c r="F3190" i="2"/>
  <c r="G3190" i="2"/>
  <c r="H3190" i="2"/>
  <c r="J3190" i="2"/>
  <c r="K3190" i="2"/>
  <c r="L3190" i="2"/>
  <c r="C3191" i="2"/>
  <c r="D3191" i="2"/>
  <c r="F3191" i="2"/>
  <c r="G3191" i="2"/>
  <c r="H3191" i="2"/>
  <c r="J3191" i="2"/>
  <c r="K3191" i="2"/>
  <c r="L3191" i="2"/>
  <c r="C3192" i="2"/>
  <c r="D3192" i="2"/>
  <c r="F3192" i="2"/>
  <c r="G3192" i="2"/>
  <c r="H3192" i="2"/>
  <c r="J3192" i="2"/>
  <c r="K3192" i="2"/>
  <c r="L3192" i="2"/>
  <c r="C3193" i="2"/>
  <c r="D3193" i="2"/>
  <c r="F3193" i="2"/>
  <c r="G3193" i="2"/>
  <c r="H3193" i="2"/>
  <c r="J3193" i="2"/>
  <c r="K3193" i="2"/>
  <c r="L3193" i="2"/>
  <c r="C3194" i="2"/>
  <c r="D3194" i="2"/>
  <c r="F3194" i="2"/>
  <c r="G3194" i="2"/>
  <c r="H3194" i="2"/>
  <c r="J3194" i="2"/>
  <c r="K3194" i="2"/>
  <c r="L3194" i="2"/>
  <c r="C3195" i="2"/>
  <c r="D3195" i="2"/>
  <c r="F3195" i="2"/>
  <c r="G3195" i="2"/>
  <c r="H3195" i="2"/>
  <c r="J3195" i="2"/>
  <c r="K3195" i="2"/>
  <c r="L3195" i="2"/>
  <c r="C3196" i="2"/>
  <c r="D3196" i="2"/>
  <c r="F3196" i="2"/>
  <c r="G3196" i="2"/>
  <c r="H3196" i="2"/>
  <c r="J3196" i="2"/>
  <c r="K3196" i="2"/>
  <c r="L3196" i="2"/>
  <c r="C3197" i="2"/>
  <c r="D3197" i="2"/>
  <c r="F3197" i="2"/>
  <c r="G3197" i="2"/>
  <c r="H3197" i="2"/>
  <c r="J3197" i="2"/>
  <c r="K3197" i="2"/>
  <c r="L3197" i="2"/>
  <c r="C3198" i="2"/>
  <c r="D3198" i="2"/>
  <c r="F3198" i="2"/>
  <c r="G3198" i="2"/>
  <c r="H3198" i="2"/>
  <c r="J3198" i="2"/>
  <c r="K3198" i="2"/>
  <c r="L3198" i="2"/>
  <c r="C3199" i="2"/>
  <c r="D3199" i="2"/>
  <c r="F3199" i="2"/>
  <c r="G3199" i="2"/>
  <c r="H3199" i="2"/>
  <c r="J3199" i="2"/>
  <c r="K3199" i="2"/>
  <c r="L3199" i="2"/>
  <c r="C3200" i="2"/>
  <c r="D3200" i="2"/>
  <c r="F3200" i="2"/>
  <c r="G3200" i="2"/>
  <c r="H3200" i="2"/>
  <c r="J3200" i="2"/>
  <c r="K3200" i="2"/>
  <c r="L3200" i="2"/>
  <c r="C3201" i="2"/>
  <c r="D3201" i="2"/>
  <c r="F3201" i="2"/>
  <c r="G3201" i="2"/>
  <c r="H3201" i="2"/>
  <c r="J3201" i="2"/>
  <c r="K3201" i="2"/>
  <c r="L3201" i="2"/>
  <c r="C3202" i="2"/>
  <c r="D3202" i="2"/>
  <c r="F3202" i="2"/>
  <c r="G3202" i="2"/>
  <c r="H3202" i="2"/>
  <c r="J3202" i="2"/>
  <c r="K3202" i="2"/>
  <c r="L3202" i="2"/>
  <c r="C3203" i="2"/>
  <c r="D3203" i="2"/>
  <c r="F3203" i="2"/>
  <c r="G3203" i="2"/>
  <c r="H3203" i="2"/>
  <c r="J3203" i="2"/>
  <c r="K3203" i="2"/>
  <c r="L3203" i="2"/>
  <c r="C3204" i="2"/>
  <c r="D3204" i="2"/>
  <c r="F3204" i="2"/>
  <c r="G3204" i="2"/>
  <c r="H3204" i="2"/>
  <c r="J3204" i="2"/>
  <c r="K3204" i="2"/>
  <c r="L3204" i="2"/>
  <c r="C3205" i="2"/>
  <c r="D3205" i="2"/>
  <c r="F3205" i="2"/>
  <c r="G3205" i="2"/>
  <c r="H3205" i="2"/>
  <c r="J3205" i="2"/>
  <c r="K3205" i="2"/>
  <c r="L3205" i="2"/>
  <c r="C3206" i="2"/>
  <c r="D3206" i="2"/>
  <c r="F3206" i="2"/>
  <c r="G3206" i="2"/>
  <c r="H3206" i="2"/>
  <c r="J3206" i="2"/>
  <c r="K3206" i="2"/>
  <c r="L3206" i="2"/>
  <c r="C3207" i="2"/>
  <c r="D3207" i="2"/>
  <c r="F3207" i="2"/>
  <c r="G3207" i="2"/>
  <c r="H3207" i="2"/>
  <c r="J3207" i="2"/>
  <c r="K3207" i="2"/>
  <c r="L3207" i="2"/>
  <c r="C3208" i="2"/>
  <c r="D3208" i="2"/>
  <c r="F3208" i="2"/>
  <c r="G3208" i="2"/>
  <c r="H3208" i="2"/>
  <c r="J3208" i="2"/>
  <c r="K3208" i="2"/>
  <c r="L3208" i="2"/>
  <c r="C3209" i="2"/>
  <c r="D3209" i="2"/>
  <c r="F3209" i="2"/>
  <c r="G3209" i="2"/>
  <c r="H3209" i="2"/>
  <c r="J3209" i="2"/>
  <c r="K3209" i="2"/>
  <c r="L3209" i="2"/>
  <c r="C3210" i="2"/>
  <c r="D3210" i="2"/>
  <c r="F3210" i="2"/>
  <c r="G3210" i="2"/>
  <c r="H3210" i="2"/>
  <c r="J3210" i="2"/>
  <c r="K3210" i="2"/>
  <c r="L3210" i="2"/>
  <c r="C3211" i="2"/>
  <c r="D3211" i="2"/>
  <c r="F3211" i="2"/>
  <c r="G3211" i="2"/>
  <c r="H3211" i="2"/>
  <c r="J3211" i="2"/>
  <c r="K3211" i="2"/>
  <c r="L3211" i="2"/>
  <c r="C3212" i="2"/>
  <c r="D3212" i="2"/>
  <c r="F3212" i="2"/>
  <c r="G3212" i="2"/>
  <c r="H3212" i="2"/>
  <c r="J3212" i="2"/>
  <c r="K3212" i="2"/>
  <c r="L3212" i="2"/>
  <c r="C3213" i="2"/>
  <c r="D3213" i="2"/>
  <c r="F3213" i="2"/>
  <c r="G3213" i="2"/>
  <c r="H3213" i="2"/>
  <c r="J3213" i="2"/>
  <c r="K3213" i="2"/>
  <c r="L3213" i="2"/>
  <c r="C3214" i="2"/>
  <c r="D3214" i="2"/>
  <c r="F3214" i="2"/>
  <c r="G3214" i="2"/>
  <c r="H3214" i="2"/>
  <c r="J3214" i="2"/>
  <c r="K3214" i="2"/>
  <c r="L3214" i="2"/>
  <c r="C3215" i="2"/>
  <c r="D3215" i="2"/>
  <c r="F3215" i="2"/>
  <c r="G3215" i="2"/>
  <c r="H3215" i="2"/>
  <c r="J3215" i="2"/>
  <c r="K3215" i="2"/>
  <c r="L3215" i="2"/>
  <c r="C3216" i="2"/>
  <c r="D3216" i="2"/>
  <c r="F3216" i="2"/>
  <c r="G3216" i="2"/>
  <c r="H3216" i="2"/>
  <c r="J3216" i="2"/>
  <c r="K3216" i="2"/>
  <c r="L3216" i="2"/>
  <c r="C3217" i="2"/>
  <c r="D3217" i="2"/>
  <c r="F3217" i="2"/>
  <c r="G3217" i="2"/>
  <c r="H3217" i="2"/>
  <c r="J3217" i="2"/>
  <c r="K3217" i="2"/>
  <c r="L3217" i="2"/>
  <c r="C3218" i="2"/>
  <c r="D3218" i="2"/>
  <c r="F3218" i="2"/>
  <c r="G3218" i="2"/>
  <c r="H3218" i="2"/>
  <c r="J3218" i="2"/>
  <c r="K3218" i="2"/>
  <c r="L3218" i="2"/>
  <c r="C3219" i="2"/>
  <c r="D3219" i="2"/>
  <c r="F3219" i="2"/>
  <c r="G3219" i="2"/>
  <c r="H3219" i="2"/>
  <c r="J3219" i="2"/>
  <c r="K3219" i="2"/>
  <c r="L3219" i="2"/>
  <c r="C3220" i="2"/>
  <c r="D3220" i="2"/>
  <c r="F3220" i="2"/>
  <c r="G3220" i="2"/>
  <c r="H3220" i="2"/>
  <c r="J3220" i="2"/>
  <c r="K3220" i="2"/>
  <c r="L3220" i="2"/>
  <c r="C3221" i="2"/>
  <c r="D3221" i="2"/>
  <c r="F3221" i="2"/>
  <c r="G3221" i="2"/>
  <c r="H3221" i="2"/>
  <c r="J3221" i="2"/>
  <c r="K3221" i="2"/>
  <c r="L3221" i="2"/>
  <c r="C3222" i="2"/>
  <c r="D3222" i="2"/>
  <c r="F3222" i="2"/>
  <c r="G3222" i="2"/>
  <c r="H3222" i="2"/>
  <c r="J3222" i="2"/>
  <c r="K3222" i="2"/>
  <c r="L3222" i="2"/>
  <c r="C3223" i="2"/>
  <c r="D3223" i="2"/>
  <c r="F3223" i="2"/>
  <c r="G3223" i="2"/>
  <c r="H3223" i="2"/>
  <c r="J3223" i="2"/>
  <c r="K3223" i="2"/>
  <c r="L3223" i="2"/>
  <c r="C3224" i="2"/>
  <c r="D3224" i="2"/>
  <c r="F3224" i="2"/>
  <c r="G3224" i="2"/>
  <c r="H3224" i="2"/>
  <c r="J3224" i="2"/>
  <c r="K3224" i="2"/>
  <c r="L3224" i="2"/>
  <c r="C3225" i="2"/>
  <c r="D3225" i="2"/>
  <c r="F3225" i="2"/>
  <c r="G3225" i="2"/>
  <c r="H3225" i="2"/>
  <c r="J3225" i="2"/>
  <c r="K3225" i="2"/>
  <c r="L3225" i="2"/>
  <c r="C3226" i="2"/>
  <c r="D3226" i="2"/>
  <c r="F3226" i="2"/>
  <c r="G3226" i="2"/>
  <c r="H3226" i="2"/>
  <c r="J3226" i="2"/>
  <c r="K3226" i="2"/>
  <c r="L3226" i="2"/>
  <c r="C3227" i="2"/>
  <c r="D3227" i="2"/>
  <c r="F3227" i="2"/>
  <c r="G3227" i="2"/>
  <c r="H3227" i="2"/>
  <c r="J3227" i="2"/>
  <c r="K3227" i="2"/>
  <c r="L3227" i="2"/>
  <c r="C3228" i="2"/>
  <c r="D3228" i="2"/>
  <c r="F3228" i="2"/>
  <c r="G3228" i="2"/>
  <c r="H3228" i="2"/>
  <c r="J3228" i="2"/>
  <c r="K3228" i="2"/>
  <c r="L3228" i="2"/>
  <c r="C3229" i="2"/>
  <c r="D3229" i="2"/>
  <c r="F3229" i="2"/>
  <c r="G3229" i="2"/>
  <c r="H3229" i="2"/>
  <c r="J3229" i="2"/>
  <c r="K3229" i="2"/>
  <c r="L3229" i="2"/>
  <c r="C3230" i="2"/>
  <c r="D3230" i="2"/>
  <c r="F3230" i="2"/>
  <c r="G3230" i="2"/>
  <c r="H3230" i="2"/>
  <c r="J3230" i="2"/>
  <c r="K3230" i="2"/>
  <c r="L3230" i="2"/>
  <c r="C3231" i="2"/>
  <c r="D3231" i="2"/>
  <c r="F3231" i="2"/>
  <c r="G3231" i="2"/>
  <c r="H3231" i="2"/>
  <c r="J3231" i="2"/>
  <c r="K3231" i="2"/>
  <c r="L3231" i="2"/>
  <c r="C3232" i="2"/>
  <c r="D3232" i="2"/>
  <c r="F3232" i="2"/>
  <c r="G3232" i="2"/>
  <c r="H3232" i="2"/>
  <c r="J3232" i="2"/>
  <c r="K3232" i="2"/>
  <c r="L3232" i="2"/>
  <c r="C3233" i="2"/>
  <c r="D3233" i="2"/>
  <c r="F3233" i="2"/>
  <c r="G3233" i="2"/>
  <c r="H3233" i="2"/>
  <c r="J3233" i="2"/>
  <c r="K3233" i="2"/>
  <c r="L3233" i="2"/>
  <c r="C3234" i="2"/>
  <c r="D3234" i="2"/>
  <c r="F3234" i="2"/>
  <c r="G3234" i="2"/>
  <c r="H3234" i="2"/>
  <c r="J3234" i="2"/>
  <c r="K3234" i="2"/>
  <c r="L3234" i="2"/>
  <c r="C3235" i="2"/>
  <c r="D3235" i="2"/>
  <c r="F3235" i="2"/>
  <c r="G3235" i="2"/>
  <c r="H3235" i="2"/>
  <c r="J3235" i="2"/>
  <c r="K3235" i="2"/>
  <c r="L3235" i="2"/>
  <c r="C3236" i="2"/>
  <c r="D3236" i="2"/>
  <c r="F3236" i="2"/>
  <c r="G3236" i="2"/>
  <c r="H3236" i="2"/>
  <c r="J3236" i="2"/>
  <c r="K3236" i="2"/>
  <c r="L3236" i="2"/>
  <c r="C3237" i="2"/>
  <c r="D3237" i="2"/>
  <c r="F3237" i="2"/>
  <c r="G3237" i="2"/>
  <c r="H3237" i="2"/>
  <c r="J3237" i="2"/>
  <c r="K3237" i="2"/>
  <c r="L3237" i="2"/>
  <c r="C3238" i="2"/>
  <c r="D3238" i="2"/>
  <c r="F3238" i="2"/>
  <c r="G3238" i="2"/>
  <c r="H3238" i="2"/>
  <c r="J3238" i="2"/>
  <c r="K3238" i="2"/>
  <c r="L3238" i="2"/>
  <c r="C3239" i="2"/>
  <c r="D3239" i="2"/>
  <c r="F3239" i="2"/>
  <c r="G3239" i="2"/>
  <c r="H3239" i="2"/>
  <c r="J3239" i="2"/>
  <c r="K3239" i="2"/>
  <c r="L3239" i="2"/>
  <c r="C3240" i="2"/>
  <c r="D3240" i="2"/>
  <c r="F3240" i="2"/>
  <c r="G3240" i="2"/>
  <c r="H3240" i="2"/>
  <c r="J3240" i="2"/>
  <c r="K3240" i="2"/>
  <c r="L3240" i="2"/>
  <c r="C3241" i="2"/>
  <c r="D3241" i="2"/>
  <c r="F3241" i="2"/>
  <c r="G3241" i="2"/>
  <c r="H3241" i="2"/>
  <c r="J3241" i="2"/>
  <c r="K3241" i="2"/>
  <c r="L3241" i="2"/>
  <c r="C3242" i="2"/>
  <c r="D3242" i="2"/>
  <c r="F3242" i="2"/>
  <c r="G3242" i="2"/>
  <c r="H3242" i="2"/>
  <c r="J3242" i="2"/>
  <c r="K3242" i="2"/>
  <c r="L3242" i="2"/>
  <c r="C3243" i="2"/>
  <c r="D3243" i="2"/>
  <c r="F3243" i="2"/>
  <c r="G3243" i="2"/>
  <c r="H3243" i="2"/>
  <c r="J3243" i="2"/>
  <c r="K3243" i="2"/>
  <c r="L3243" i="2"/>
  <c r="C3244" i="2"/>
  <c r="D3244" i="2"/>
  <c r="F3244" i="2"/>
  <c r="G3244" i="2"/>
  <c r="H3244" i="2"/>
  <c r="J3244" i="2"/>
  <c r="K3244" i="2"/>
  <c r="L3244" i="2"/>
  <c r="C3245" i="2"/>
  <c r="D3245" i="2"/>
  <c r="F3245" i="2"/>
  <c r="G3245" i="2"/>
  <c r="H3245" i="2"/>
  <c r="J3245" i="2"/>
  <c r="K3245" i="2"/>
  <c r="L3245" i="2"/>
  <c r="C3246" i="2"/>
  <c r="D3246" i="2"/>
  <c r="F3246" i="2"/>
  <c r="G3246" i="2"/>
  <c r="H3246" i="2"/>
  <c r="J3246" i="2"/>
  <c r="K3246" i="2"/>
  <c r="L3246" i="2"/>
  <c r="C3247" i="2"/>
  <c r="D3247" i="2"/>
  <c r="F3247" i="2"/>
  <c r="G3247" i="2"/>
  <c r="H3247" i="2"/>
  <c r="J3247" i="2"/>
  <c r="K3247" i="2"/>
  <c r="L3247" i="2"/>
  <c r="C3248" i="2"/>
  <c r="D3248" i="2"/>
  <c r="F3248" i="2"/>
  <c r="G3248" i="2"/>
  <c r="H3248" i="2"/>
  <c r="J3248" i="2"/>
  <c r="K3248" i="2"/>
  <c r="L3248" i="2"/>
  <c r="C3249" i="2"/>
  <c r="D3249" i="2"/>
  <c r="F3249" i="2"/>
  <c r="G3249" i="2"/>
  <c r="H3249" i="2"/>
  <c r="J3249" i="2"/>
  <c r="K3249" i="2"/>
  <c r="L3249" i="2"/>
  <c r="C3250" i="2"/>
  <c r="D3250" i="2"/>
  <c r="F3250" i="2"/>
  <c r="G3250" i="2"/>
  <c r="H3250" i="2"/>
  <c r="J3250" i="2"/>
  <c r="K3250" i="2"/>
  <c r="L3250" i="2"/>
  <c r="C3251" i="2"/>
  <c r="D3251" i="2"/>
  <c r="F3251" i="2"/>
  <c r="G3251" i="2"/>
  <c r="H3251" i="2"/>
  <c r="J3251" i="2"/>
  <c r="K3251" i="2"/>
  <c r="L3251" i="2"/>
  <c r="C3252" i="2"/>
  <c r="D3252" i="2"/>
  <c r="F3252" i="2"/>
  <c r="G3252" i="2"/>
  <c r="H3252" i="2"/>
  <c r="J3252" i="2"/>
  <c r="K3252" i="2"/>
  <c r="L3252" i="2"/>
  <c r="C3253" i="2"/>
  <c r="D3253" i="2"/>
  <c r="F3253" i="2"/>
  <c r="G3253" i="2"/>
  <c r="H3253" i="2"/>
  <c r="J3253" i="2"/>
  <c r="K3253" i="2"/>
  <c r="L3253" i="2"/>
  <c r="C3254" i="2"/>
  <c r="D3254" i="2"/>
  <c r="F3254" i="2"/>
  <c r="G3254" i="2"/>
  <c r="H3254" i="2"/>
  <c r="J3254" i="2"/>
  <c r="K3254" i="2"/>
  <c r="L3254" i="2"/>
  <c r="C3255" i="2"/>
  <c r="D3255" i="2"/>
  <c r="F3255" i="2"/>
  <c r="G3255" i="2"/>
  <c r="H3255" i="2"/>
  <c r="J3255" i="2"/>
  <c r="K3255" i="2"/>
  <c r="L3255" i="2"/>
  <c r="C3256" i="2"/>
  <c r="D3256" i="2"/>
  <c r="F3256" i="2"/>
  <c r="G3256" i="2"/>
  <c r="H3256" i="2"/>
  <c r="J3256" i="2"/>
  <c r="K3256" i="2"/>
  <c r="L3256" i="2"/>
  <c r="C3257" i="2"/>
  <c r="D3257" i="2"/>
  <c r="F3257" i="2"/>
  <c r="G3257" i="2"/>
  <c r="H3257" i="2"/>
  <c r="J3257" i="2"/>
  <c r="K3257" i="2"/>
  <c r="L3257" i="2"/>
  <c r="C3258" i="2"/>
  <c r="D3258" i="2"/>
  <c r="F3258" i="2"/>
  <c r="G3258" i="2"/>
  <c r="H3258" i="2"/>
  <c r="J3258" i="2"/>
  <c r="K3258" i="2"/>
  <c r="L3258" i="2"/>
  <c r="C3259" i="2"/>
  <c r="D3259" i="2"/>
  <c r="F3259" i="2"/>
  <c r="G3259" i="2"/>
  <c r="H3259" i="2"/>
  <c r="J3259" i="2"/>
  <c r="K3259" i="2"/>
  <c r="L3259" i="2"/>
  <c r="C3260" i="2"/>
  <c r="D3260" i="2"/>
  <c r="F3260" i="2"/>
  <c r="G3260" i="2"/>
  <c r="H3260" i="2"/>
  <c r="J3260" i="2"/>
  <c r="K3260" i="2"/>
  <c r="L3260" i="2"/>
  <c r="C3261" i="2"/>
  <c r="D3261" i="2"/>
  <c r="F3261" i="2"/>
  <c r="G3261" i="2"/>
  <c r="H3261" i="2"/>
  <c r="J3261" i="2"/>
  <c r="K3261" i="2"/>
  <c r="L3261" i="2"/>
  <c r="C3262" i="2"/>
  <c r="D3262" i="2"/>
  <c r="F3262" i="2"/>
  <c r="G3262" i="2"/>
  <c r="H3262" i="2"/>
  <c r="J3262" i="2"/>
  <c r="K3262" i="2"/>
  <c r="L3262" i="2"/>
  <c r="C3263" i="2"/>
  <c r="D3263" i="2"/>
  <c r="F3263" i="2"/>
  <c r="G3263" i="2"/>
  <c r="H3263" i="2"/>
  <c r="J3263" i="2"/>
  <c r="K3263" i="2"/>
  <c r="L3263" i="2"/>
  <c r="C3264" i="2"/>
  <c r="D3264" i="2"/>
  <c r="F3264" i="2"/>
  <c r="G3264" i="2"/>
  <c r="H3264" i="2"/>
  <c r="J3264" i="2"/>
  <c r="K3264" i="2"/>
  <c r="L3264" i="2"/>
  <c r="C3265" i="2"/>
  <c r="D3265" i="2"/>
  <c r="F3265" i="2"/>
  <c r="G3265" i="2"/>
  <c r="H3265" i="2"/>
  <c r="J3265" i="2"/>
  <c r="K3265" i="2"/>
  <c r="L3265" i="2"/>
  <c r="C3266" i="2"/>
  <c r="D3266" i="2"/>
  <c r="F3266" i="2"/>
  <c r="G3266" i="2"/>
  <c r="H3266" i="2"/>
  <c r="J3266" i="2"/>
  <c r="K3266" i="2"/>
  <c r="L3266" i="2"/>
  <c r="C3267" i="2"/>
  <c r="D3267" i="2"/>
  <c r="F3267" i="2"/>
  <c r="G3267" i="2"/>
  <c r="H3267" i="2"/>
  <c r="J3267" i="2"/>
  <c r="K3267" i="2"/>
  <c r="L3267" i="2"/>
  <c r="C3268" i="2"/>
  <c r="D3268" i="2"/>
  <c r="F3268" i="2"/>
  <c r="G3268" i="2"/>
  <c r="H3268" i="2"/>
  <c r="J3268" i="2"/>
  <c r="K3268" i="2"/>
  <c r="L3268" i="2"/>
  <c r="C3269" i="2"/>
  <c r="D3269" i="2"/>
  <c r="F3269" i="2"/>
  <c r="G3269" i="2"/>
  <c r="H3269" i="2"/>
  <c r="J3269" i="2"/>
  <c r="K3269" i="2"/>
  <c r="L3269" i="2"/>
  <c r="C3270" i="2"/>
  <c r="D3270" i="2"/>
  <c r="F3270" i="2"/>
  <c r="G3270" i="2"/>
  <c r="H3270" i="2"/>
  <c r="J3270" i="2"/>
  <c r="K3270" i="2"/>
  <c r="L3270" i="2"/>
  <c r="C3271" i="2"/>
  <c r="D3271" i="2"/>
  <c r="F3271" i="2"/>
  <c r="G3271" i="2"/>
  <c r="H3271" i="2"/>
  <c r="J3271" i="2"/>
  <c r="K3271" i="2"/>
  <c r="L3271" i="2"/>
  <c r="C3272" i="2"/>
  <c r="D3272" i="2"/>
  <c r="F3272" i="2"/>
  <c r="G3272" i="2"/>
  <c r="H3272" i="2"/>
  <c r="J3272" i="2"/>
  <c r="K3272" i="2"/>
  <c r="L3272" i="2"/>
  <c r="C3273" i="2"/>
  <c r="D3273" i="2"/>
  <c r="F3273" i="2"/>
  <c r="G3273" i="2"/>
  <c r="H3273" i="2"/>
  <c r="J3273" i="2"/>
  <c r="K3273" i="2"/>
  <c r="L3273" i="2"/>
  <c r="C3274" i="2"/>
  <c r="D3274" i="2"/>
  <c r="F3274" i="2"/>
  <c r="G3274" i="2"/>
  <c r="H3274" i="2"/>
  <c r="J3274" i="2"/>
  <c r="K3274" i="2"/>
  <c r="L3274" i="2"/>
  <c r="C3275" i="2"/>
  <c r="D3275" i="2"/>
  <c r="F3275" i="2"/>
  <c r="G3275" i="2"/>
  <c r="H3275" i="2"/>
  <c r="J3275" i="2"/>
  <c r="K3275" i="2"/>
  <c r="L3275" i="2"/>
  <c r="C3276" i="2"/>
  <c r="D3276" i="2"/>
  <c r="F3276" i="2"/>
  <c r="G3276" i="2"/>
  <c r="H3276" i="2"/>
  <c r="J3276" i="2"/>
  <c r="K3276" i="2"/>
  <c r="L3276" i="2"/>
  <c r="C3277" i="2"/>
  <c r="D3277" i="2"/>
  <c r="F3277" i="2"/>
  <c r="G3277" i="2"/>
  <c r="H3277" i="2"/>
  <c r="J3277" i="2"/>
  <c r="K3277" i="2"/>
  <c r="L3277" i="2"/>
  <c r="C3278" i="2"/>
  <c r="D3278" i="2"/>
  <c r="F3278" i="2"/>
  <c r="G3278" i="2"/>
  <c r="H3278" i="2"/>
  <c r="J3278" i="2"/>
  <c r="K3278" i="2"/>
  <c r="L3278" i="2"/>
  <c r="C3279" i="2"/>
  <c r="D3279" i="2"/>
  <c r="F3279" i="2"/>
  <c r="G3279" i="2"/>
  <c r="H3279" i="2"/>
  <c r="J3279" i="2"/>
  <c r="K3279" i="2"/>
  <c r="L3279" i="2"/>
  <c r="C3280" i="2"/>
  <c r="D3280" i="2"/>
  <c r="F3280" i="2"/>
  <c r="G3280" i="2"/>
  <c r="H3280" i="2"/>
  <c r="J3280" i="2"/>
  <c r="K3280" i="2"/>
  <c r="L3280" i="2"/>
  <c r="C3281" i="2"/>
  <c r="D3281" i="2"/>
  <c r="F3281" i="2"/>
  <c r="G3281" i="2"/>
  <c r="H3281" i="2"/>
  <c r="J3281" i="2"/>
  <c r="K3281" i="2"/>
  <c r="L3281" i="2"/>
  <c r="C3282" i="2"/>
  <c r="D3282" i="2"/>
  <c r="F3282" i="2"/>
  <c r="G3282" i="2"/>
  <c r="H3282" i="2"/>
  <c r="J3282" i="2"/>
  <c r="K3282" i="2"/>
  <c r="L3282" i="2"/>
  <c r="C3283" i="2"/>
  <c r="D3283" i="2"/>
  <c r="F3283" i="2"/>
  <c r="G3283" i="2"/>
  <c r="H3283" i="2"/>
  <c r="J3283" i="2"/>
  <c r="K3283" i="2"/>
  <c r="L3283" i="2"/>
  <c r="C3284" i="2"/>
  <c r="D3284" i="2"/>
  <c r="F3284" i="2"/>
  <c r="G3284" i="2"/>
  <c r="H3284" i="2"/>
  <c r="J3284" i="2"/>
  <c r="K3284" i="2"/>
  <c r="L3284" i="2"/>
  <c r="C3285" i="2"/>
  <c r="D3285" i="2"/>
  <c r="F3285" i="2"/>
  <c r="G3285" i="2"/>
  <c r="H3285" i="2"/>
  <c r="J3285" i="2"/>
  <c r="K3285" i="2"/>
  <c r="L3285" i="2"/>
  <c r="C3286" i="2"/>
  <c r="D3286" i="2"/>
  <c r="F3286" i="2"/>
  <c r="G3286" i="2"/>
  <c r="H3286" i="2"/>
  <c r="J3286" i="2"/>
  <c r="K3286" i="2"/>
  <c r="L3286" i="2"/>
  <c r="C3287" i="2"/>
  <c r="D3287" i="2"/>
  <c r="F3287" i="2"/>
  <c r="G3287" i="2"/>
  <c r="H3287" i="2"/>
  <c r="J3287" i="2"/>
  <c r="K3287" i="2"/>
  <c r="L3287" i="2"/>
  <c r="C3288" i="2"/>
  <c r="D3288" i="2"/>
  <c r="E3288" i="2"/>
  <c r="F3288" i="2"/>
  <c r="G3288" i="2"/>
  <c r="H3288" i="2"/>
  <c r="J3288" i="2"/>
  <c r="K3288" i="2"/>
  <c r="L3288" i="2"/>
  <c r="C3289" i="2"/>
  <c r="D3289" i="2"/>
  <c r="F3289" i="2"/>
  <c r="G3289" i="2"/>
  <c r="H3289" i="2"/>
  <c r="J3289" i="2"/>
  <c r="K3289" i="2"/>
  <c r="L3289" i="2"/>
  <c r="C3290" i="2"/>
  <c r="D3290" i="2"/>
  <c r="F3290" i="2"/>
  <c r="G3290" i="2"/>
  <c r="H3290" i="2"/>
  <c r="J3290" i="2"/>
  <c r="K3290" i="2"/>
  <c r="L3290" i="2"/>
  <c r="C3291" i="2"/>
  <c r="D3291" i="2"/>
  <c r="F3291" i="2"/>
  <c r="G3291" i="2"/>
  <c r="H3291" i="2"/>
  <c r="J3291" i="2"/>
  <c r="K3291" i="2"/>
  <c r="L3291" i="2"/>
  <c r="C3292" i="2"/>
  <c r="D3292" i="2"/>
  <c r="F3292" i="2"/>
  <c r="G3292" i="2"/>
  <c r="H3292" i="2"/>
  <c r="J3292" i="2"/>
  <c r="K3292" i="2"/>
  <c r="L3292" i="2"/>
  <c r="C3293" i="2"/>
  <c r="D3293" i="2"/>
  <c r="F3293" i="2"/>
  <c r="G3293" i="2"/>
  <c r="H3293" i="2"/>
  <c r="J3293" i="2"/>
  <c r="K3293" i="2"/>
  <c r="L3293" i="2"/>
  <c r="C3294" i="2"/>
  <c r="D3294" i="2"/>
  <c r="F3294" i="2"/>
  <c r="G3294" i="2"/>
  <c r="H3294" i="2"/>
  <c r="J3294" i="2"/>
  <c r="K3294" i="2"/>
  <c r="L3294" i="2"/>
  <c r="C3295" i="2"/>
  <c r="D3295" i="2"/>
  <c r="F3295" i="2"/>
  <c r="G3295" i="2"/>
  <c r="H3295" i="2"/>
  <c r="J3295" i="2"/>
  <c r="K3295" i="2"/>
  <c r="L3295" i="2"/>
  <c r="C3296" i="2"/>
  <c r="D3296" i="2"/>
  <c r="F3296" i="2"/>
  <c r="G3296" i="2"/>
  <c r="H3296" i="2"/>
  <c r="J3296" i="2"/>
  <c r="K3296" i="2"/>
  <c r="L3296" i="2"/>
  <c r="C3297" i="2"/>
  <c r="D3297" i="2"/>
  <c r="F3297" i="2"/>
  <c r="G3297" i="2"/>
  <c r="H3297" i="2"/>
  <c r="J3297" i="2"/>
  <c r="K3297" i="2"/>
  <c r="L3297" i="2"/>
  <c r="C3298" i="2"/>
  <c r="D3298" i="2"/>
  <c r="F3298" i="2"/>
  <c r="G3298" i="2"/>
  <c r="H3298" i="2"/>
  <c r="J3298" i="2"/>
  <c r="K3298" i="2"/>
  <c r="L3298" i="2"/>
  <c r="C3299" i="2"/>
  <c r="D3299" i="2"/>
  <c r="F3299" i="2"/>
  <c r="G3299" i="2"/>
  <c r="H3299" i="2"/>
  <c r="J3299" i="2"/>
  <c r="K3299" i="2"/>
  <c r="L3299" i="2"/>
  <c r="C3300" i="2"/>
  <c r="D3300" i="2"/>
  <c r="F3300" i="2"/>
  <c r="G3300" i="2"/>
  <c r="H3300" i="2"/>
  <c r="J3300" i="2"/>
  <c r="K3300" i="2"/>
  <c r="L3300" i="2"/>
  <c r="C3301" i="2"/>
  <c r="D3301" i="2"/>
  <c r="F3301" i="2"/>
  <c r="G3301" i="2"/>
  <c r="H3301" i="2"/>
  <c r="J3301" i="2"/>
  <c r="K3301" i="2"/>
  <c r="L3301" i="2"/>
  <c r="C3302" i="2"/>
  <c r="D3302" i="2"/>
  <c r="F3302" i="2"/>
  <c r="G3302" i="2"/>
  <c r="H3302" i="2"/>
  <c r="J3302" i="2"/>
  <c r="K3302" i="2"/>
  <c r="L3302" i="2"/>
  <c r="C3303" i="2"/>
  <c r="D3303" i="2"/>
  <c r="F3303" i="2"/>
  <c r="G3303" i="2"/>
  <c r="H3303" i="2"/>
  <c r="J3303" i="2"/>
  <c r="K3303" i="2"/>
  <c r="L3303" i="2"/>
  <c r="C3304" i="2"/>
  <c r="D3304" i="2"/>
  <c r="F3304" i="2"/>
  <c r="G3304" i="2"/>
  <c r="H3304" i="2"/>
  <c r="J3304" i="2"/>
  <c r="K3304" i="2"/>
  <c r="L3304" i="2"/>
  <c r="C3305" i="2"/>
  <c r="D3305" i="2"/>
  <c r="F3305" i="2"/>
  <c r="G3305" i="2"/>
  <c r="H3305" i="2"/>
  <c r="J3305" i="2"/>
  <c r="K3305" i="2"/>
  <c r="L3305" i="2"/>
  <c r="C3306" i="2"/>
  <c r="D3306" i="2"/>
  <c r="F3306" i="2"/>
  <c r="G3306" i="2"/>
  <c r="H3306" i="2"/>
  <c r="J3306" i="2"/>
  <c r="K3306" i="2"/>
  <c r="L3306" i="2"/>
  <c r="C3307" i="2"/>
  <c r="D3307" i="2"/>
  <c r="F3307" i="2"/>
  <c r="G3307" i="2"/>
  <c r="H3307" i="2"/>
  <c r="J3307" i="2"/>
  <c r="K3307" i="2"/>
  <c r="L3307" i="2"/>
  <c r="C3308" i="2"/>
  <c r="D3308" i="2"/>
  <c r="F3308" i="2"/>
  <c r="G3308" i="2"/>
  <c r="H3308" i="2"/>
  <c r="J3308" i="2"/>
  <c r="K3308" i="2"/>
  <c r="L3308" i="2"/>
  <c r="C3309" i="2"/>
  <c r="D3309" i="2"/>
  <c r="F3309" i="2"/>
  <c r="G3309" i="2"/>
  <c r="H3309" i="2"/>
  <c r="J3309" i="2"/>
  <c r="K3309" i="2"/>
  <c r="L3309" i="2"/>
  <c r="C3310" i="2"/>
  <c r="D3310" i="2"/>
  <c r="F3310" i="2"/>
  <c r="G3310" i="2"/>
  <c r="H3310" i="2"/>
  <c r="J3310" i="2"/>
  <c r="K3310" i="2"/>
  <c r="L3310" i="2"/>
  <c r="C3311" i="2"/>
  <c r="D3311" i="2"/>
  <c r="F3311" i="2"/>
  <c r="G3311" i="2"/>
  <c r="H3311" i="2"/>
  <c r="J3311" i="2"/>
  <c r="K3311" i="2"/>
  <c r="L3311" i="2"/>
  <c r="C3312" i="2"/>
  <c r="D3312" i="2"/>
  <c r="F3312" i="2"/>
  <c r="G3312" i="2"/>
  <c r="H3312" i="2"/>
  <c r="J3312" i="2"/>
  <c r="K3312" i="2"/>
  <c r="L3312" i="2"/>
  <c r="C3313" i="2"/>
  <c r="D3313" i="2"/>
  <c r="F3313" i="2"/>
  <c r="G3313" i="2"/>
  <c r="H3313" i="2"/>
  <c r="J3313" i="2"/>
  <c r="K3313" i="2"/>
  <c r="L3313" i="2"/>
  <c r="C3314" i="2"/>
  <c r="D3314" i="2"/>
  <c r="F3314" i="2"/>
  <c r="G3314" i="2"/>
  <c r="H3314" i="2"/>
  <c r="J3314" i="2"/>
  <c r="K3314" i="2"/>
  <c r="L3314" i="2"/>
  <c r="C3315" i="2"/>
  <c r="D3315" i="2"/>
  <c r="F3315" i="2"/>
  <c r="G3315" i="2"/>
  <c r="H3315" i="2"/>
  <c r="J3315" i="2"/>
  <c r="K3315" i="2"/>
  <c r="L3315" i="2"/>
  <c r="C3316" i="2"/>
  <c r="D3316" i="2"/>
  <c r="F3316" i="2"/>
  <c r="G3316" i="2"/>
  <c r="H3316" i="2"/>
  <c r="J3316" i="2"/>
  <c r="K3316" i="2"/>
  <c r="L3316" i="2"/>
  <c r="C3317" i="2"/>
  <c r="D3317" i="2"/>
  <c r="F3317" i="2"/>
  <c r="G3317" i="2"/>
  <c r="H3317" i="2"/>
  <c r="J3317" i="2"/>
  <c r="K3317" i="2"/>
  <c r="L3317" i="2"/>
  <c r="C3318" i="2"/>
  <c r="D3318" i="2"/>
  <c r="F3318" i="2"/>
  <c r="G3318" i="2"/>
  <c r="H3318" i="2"/>
  <c r="J3318" i="2"/>
  <c r="K3318" i="2"/>
  <c r="L3318" i="2"/>
  <c r="D3319" i="2"/>
  <c r="F3319" i="2"/>
  <c r="G3319" i="2"/>
  <c r="H3319" i="2"/>
  <c r="J3319" i="2"/>
  <c r="K3319" i="2"/>
  <c r="L3319" i="2"/>
  <c r="C3320" i="2"/>
  <c r="D3320" i="2"/>
  <c r="F3320" i="2"/>
  <c r="G3320" i="2"/>
  <c r="H3320" i="2"/>
  <c r="J3320" i="2"/>
  <c r="K3320" i="2"/>
  <c r="L3320" i="2"/>
  <c r="C3321" i="2"/>
  <c r="D3321" i="2"/>
  <c r="F3321" i="2"/>
  <c r="G3321" i="2"/>
  <c r="H3321" i="2"/>
  <c r="J3321" i="2"/>
  <c r="K3321" i="2"/>
  <c r="L3321" i="2"/>
  <c r="C3322" i="2"/>
  <c r="D3322" i="2"/>
  <c r="F3322" i="2"/>
  <c r="G3322" i="2"/>
  <c r="H3322" i="2"/>
  <c r="J3322" i="2"/>
  <c r="K3322" i="2"/>
  <c r="L3322" i="2"/>
  <c r="C3323" i="2"/>
  <c r="D3323" i="2"/>
  <c r="F3323" i="2"/>
  <c r="G3323" i="2"/>
  <c r="H3323" i="2"/>
  <c r="J3323" i="2"/>
  <c r="K3323" i="2"/>
  <c r="L3323" i="2"/>
  <c r="C3324" i="2"/>
  <c r="D3324" i="2"/>
  <c r="F3324" i="2"/>
  <c r="G3324" i="2"/>
  <c r="H3324" i="2"/>
  <c r="J3324" i="2"/>
  <c r="K3324" i="2"/>
  <c r="L3324" i="2"/>
  <c r="C3325" i="2"/>
  <c r="D3325" i="2"/>
  <c r="F3325" i="2"/>
  <c r="G3325" i="2"/>
  <c r="H3325" i="2"/>
  <c r="J3325" i="2"/>
  <c r="K3325" i="2"/>
  <c r="L3325" i="2"/>
  <c r="C3326" i="2"/>
  <c r="D3326" i="2"/>
  <c r="F3326" i="2"/>
  <c r="G3326" i="2"/>
  <c r="H3326" i="2"/>
  <c r="J3326" i="2"/>
  <c r="K3326" i="2"/>
  <c r="L3326" i="2"/>
  <c r="C3327" i="2"/>
  <c r="D3327" i="2"/>
  <c r="F3327" i="2"/>
  <c r="G3327" i="2"/>
  <c r="H3327" i="2"/>
  <c r="J3327" i="2"/>
  <c r="K3327" i="2"/>
  <c r="L3327" i="2"/>
  <c r="C3328" i="2"/>
  <c r="D3328" i="2"/>
  <c r="F3328" i="2"/>
  <c r="G3328" i="2"/>
  <c r="H3328" i="2"/>
  <c r="J3328" i="2"/>
  <c r="K3328" i="2"/>
  <c r="L3328" i="2"/>
  <c r="C3329" i="2"/>
  <c r="D3329" i="2"/>
  <c r="F3329" i="2"/>
  <c r="G3329" i="2"/>
  <c r="H3329" i="2"/>
  <c r="J3329" i="2"/>
  <c r="K3329" i="2"/>
  <c r="L3329" i="2"/>
  <c r="C3330" i="2"/>
  <c r="D3330" i="2"/>
  <c r="F3330" i="2"/>
  <c r="G3330" i="2"/>
  <c r="H3330" i="2"/>
  <c r="J3330" i="2"/>
  <c r="K3330" i="2"/>
  <c r="L3330" i="2"/>
  <c r="C3331" i="2"/>
  <c r="D3331" i="2"/>
  <c r="F3331" i="2"/>
  <c r="G3331" i="2"/>
  <c r="H3331" i="2"/>
  <c r="J3331" i="2"/>
  <c r="K3331" i="2"/>
  <c r="L3331" i="2"/>
  <c r="C3332" i="2"/>
  <c r="D3332" i="2"/>
  <c r="F3332" i="2"/>
  <c r="G3332" i="2"/>
  <c r="H3332" i="2"/>
  <c r="J3332" i="2"/>
  <c r="K3332" i="2"/>
  <c r="L3332" i="2"/>
  <c r="C3333" i="2"/>
  <c r="D3333" i="2"/>
  <c r="F3333" i="2"/>
  <c r="G3333" i="2"/>
  <c r="H3333" i="2"/>
  <c r="J3333" i="2"/>
  <c r="K3333" i="2"/>
  <c r="L3333" i="2"/>
  <c r="C3334" i="2"/>
  <c r="D3334" i="2"/>
  <c r="F3334" i="2"/>
  <c r="G3334" i="2"/>
  <c r="H3334" i="2"/>
  <c r="J3334" i="2"/>
  <c r="K3334" i="2"/>
  <c r="L3334" i="2"/>
  <c r="C3335" i="2"/>
  <c r="D3335" i="2"/>
  <c r="F3335" i="2"/>
  <c r="G3335" i="2"/>
  <c r="H3335" i="2"/>
  <c r="J3335" i="2"/>
  <c r="K3335" i="2"/>
  <c r="L3335" i="2"/>
  <c r="C3336" i="2"/>
  <c r="D3336" i="2"/>
  <c r="F3336" i="2"/>
  <c r="G3336" i="2"/>
  <c r="H3336" i="2"/>
  <c r="J3336" i="2"/>
  <c r="K3336" i="2"/>
  <c r="L3336" i="2"/>
  <c r="C3337" i="2"/>
  <c r="D3337" i="2"/>
  <c r="F3337" i="2"/>
  <c r="G3337" i="2"/>
  <c r="H3337" i="2"/>
  <c r="J3337" i="2"/>
  <c r="K3337" i="2"/>
  <c r="L3337" i="2"/>
  <c r="C3338" i="2"/>
  <c r="D3338" i="2"/>
  <c r="F3338" i="2"/>
  <c r="G3338" i="2"/>
  <c r="H3338" i="2"/>
  <c r="J3338" i="2"/>
  <c r="K3338" i="2"/>
  <c r="L3338" i="2"/>
  <c r="C3339" i="2"/>
  <c r="D3339" i="2"/>
  <c r="F3339" i="2"/>
  <c r="G3339" i="2"/>
  <c r="H3339" i="2"/>
  <c r="J3339" i="2"/>
  <c r="K3339" i="2"/>
  <c r="L3339" i="2"/>
  <c r="C3340" i="2"/>
  <c r="D3340" i="2"/>
  <c r="F3340" i="2"/>
  <c r="G3340" i="2"/>
  <c r="H3340" i="2"/>
  <c r="J3340" i="2"/>
  <c r="K3340" i="2"/>
  <c r="L3340" i="2"/>
  <c r="C3341" i="2"/>
  <c r="D3341" i="2"/>
  <c r="F3341" i="2"/>
  <c r="G3341" i="2"/>
  <c r="H3341" i="2"/>
  <c r="J3341" i="2"/>
  <c r="K3341" i="2"/>
  <c r="L3341" i="2"/>
  <c r="C3342" i="2"/>
  <c r="D3342" i="2"/>
  <c r="F3342" i="2"/>
  <c r="G3342" i="2"/>
  <c r="H3342" i="2"/>
  <c r="J3342" i="2"/>
  <c r="K3342" i="2"/>
  <c r="L3342" i="2"/>
  <c r="C3343" i="2"/>
  <c r="D3343" i="2"/>
  <c r="F3343" i="2"/>
  <c r="G3343" i="2"/>
  <c r="H3343" i="2"/>
  <c r="J3343" i="2"/>
  <c r="K3343" i="2"/>
  <c r="L3343" i="2"/>
  <c r="C3344" i="2"/>
  <c r="D3344" i="2"/>
  <c r="F3344" i="2"/>
  <c r="G3344" i="2"/>
  <c r="H3344" i="2"/>
  <c r="J3344" i="2"/>
  <c r="K3344" i="2"/>
  <c r="L3344" i="2"/>
  <c r="C3345" i="2"/>
  <c r="D3345" i="2"/>
  <c r="F3345" i="2"/>
  <c r="G3345" i="2"/>
  <c r="H3345" i="2"/>
  <c r="J3345" i="2"/>
  <c r="K3345" i="2"/>
  <c r="L3345" i="2"/>
  <c r="C3346" i="2"/>
  <c r="D3346" i="2"/>
  <c r="F3346" i="2"/>
  <c r="G3346" i="2"/>
  <c r="H3346" i="2"/>
  <c r="J3346" i="2"/>
  <c r="K3346" i="2"/>
  <c r="L3346" i="2"/>
  <c r="C3347" i="2"/>
  <c r="D3347" i="2"/>
  <c r="F3347" i="2"/>
  <c r="G3347" i="2"/>
  <c r="H3347" i="2"/>
  <c r="J3347" i="2"/>
  <c r="K3347" i="2"/>
  <c r="L3347" i="2"/>
  <c r="C3348" i="2"/>
  <c r="D3348" i="2"/>
  <c r="F3348" i="2"/>
  <c r="G3348" i="2"/>
  <c r="H3348" i="2"/>
  <c r="J3348" i="2"/>
  <c r="K3348" i="2"/>
  <c r="L3348" i="2"/>
  <c r="C3349" i="2"/>
  <c r="D3349" i="2"/>
  <c r="F3349" i="2"/>
  <c r="G3349" i="2"/>
  <c r="H3349" i="2"/>
  <c r="J3349" i="2"/>
  <c r="K3349" i="2"/>
  <c r="L3349" i="2"/>
  <c r="C3350" i="2"/>
  <c r="D3350" i="2"/>
  <c r="F3350" i="2"/>
  <c r="G3350" i="2"/>
  <c r="H3350" i="2"/>
  <c r="J3350" i="2"/>
  <c r="K3350" i="2"/>
  <c r="L3350" i="2"/>
  <c r="C3351" i="2"/>
  <c r="D3351" i="2"/>
  <c r="F3351" i="2"/>
  <c r="G3351" i="2"/>
  <c r="H3351" i="2"/>
  <c r="J3351" i="2"/>
  <c r="K3351" i="2"/>
  <c r="L3351" i="2"/>
  <c r="C3352" i="2"/>
  <c r="D3352" i="2"/>
  <c r="F3352" i="2"/>
  <c r="G3352" i="2"/>
  <c r="H3352" i="2"/>
  <c r="J3352" i="2"/>
  <c r="K3352" i="2"/>
  <c r="L3352" i="2"/>
  <c r="C3353" i="2"/>
  <c r="D3353" i="2"/>
  <c r="F3353" i="2"/>
  <c r="G3353" i="2"/>
  <c r="H3353" i="2"/>
  <c r="J3353" i="2"/>
  <c r="K3353" i="2"/>
  <c r="L3353" i="2"/>
  <c r="C3354" i="2"/>
  <c r="D3354" i="2"/>
  <c r="F3354" i="2"/>
  <c r="G3354" i="2"/>
  <c r="H3354" i="2"/>
  <c r="J3354" i="2"/>
  <c r="K3354" i="2"/>
  <c r="L3354" i="2"/>
  <c r="C3355" i="2"/>
  <c r="D3355" i="2"/>
  <c r="F3355" i="2"/>
  <c r="G3355" i="2"/>
  <c r="H3355" i="2"/>
  <c r="J3355" i="2"/>
  <c r="K3355" i="2"/>
  <c r="L3355" i="2"/>
  <c r="C3356" i="2"/>
  <c r="D3356" i="2"/>
  <c r="F3356" i="2"/>
  <c r="G3356" i="2"/>
  <c r="H3356" i="2"/>
  <c r="J3356" i="2"/>
  <c r="K3356" i="2"/>
  <c r="L3356" i="2"/>
  <c r="C3357" i="2"/>
  <c r="D3357" i="2"/>
  <c r="F3357" i="2"/>
  <c r="G3357" i="2"/>
  <c r="H3357" i="2"/>
  <c r="J3357" i="2"/>
  <c r="K3357" i="2"/>
  <c r="L3357" i="2"/>
  <c r="C3358" i="2"/>
  <c r="D3358" i="2"/>
  <c r="F3358" i="2"/>
  <c r="G3358" i="2"/>
  <c r="H3358" i="2"/>
  <c r="J3358" i="2"/>
  <c r="K3358" i="2"/>
  <c r="L3358" i="2"/>
  <c r="C3359" i="2"/>
  <c r="D3359" i="2"/>
  <c r="F3359" i="2"/>
  <c r="G3359" i="2"/>
  <c r="H3359" i="2"/>
  <c r="J3359" i="2"/>
  <c r="K3359" i="2"/>
  <c r="L3359" i="2"/>
  <c r="C3360" i="2"/>
  <c r="D3360" i="2"/>
  <c r="F3360" i="2"/>
  <c r="G3360" i="2"/>
  <c r="H3360" i="2"/>
  <c r="J3360" i="2"/>
  <c r="K3360" i="2"/>
  <c r="L3360" i="2"/>
  <c r="C3361" i="2"/>
  <c r="D3361" i="2"/>
  <c r="F3361" i="2"/>
  <c r="G3361" i="2"/>
  <c r="H3361" i="2"/>
  <c r="J3361" i="2"/>
  <c r="K3361" i="2"/>
  <c r="L3361" i="2"/>
  <c r="C3362" i="2"/>
  <c r="D3362" i="2"/>
  <c r="F3362" i="2"/>
  <c r="G3362" i="2"/>
  <c r="H3362" i="2"/>
  <c r="J3362" i="2"/>
  <c r="K3362" i="2"/>
  <c r="L3362" i="2"/>
  <c r="C3363" i="2"/>
  <c r="D3363" i="2"/>
  <c r="F3363" i="2"/>
  <c r="G3363" i="2"/>
  <c r="H3363" i="2"/>
  <c r="J3363" i="2"/>
  <c r="K3363" i="2"/>
  <c r="L3363" i="2"/>
  <c r="C3364" i="2"/>
  <c r="D3364" i="2"/>
  <c r="F3364" i="2"/>
  <c r="G3364" i="2"/>
  <c r="H3364" i="2"/>
  <c r="J3364" i="2"/>
  <c r="K3364" i="2"/>
  <c r="L3364" i="2"/>
  <c r="C3365" i="2"/>
  <c r="D3365" i="2"/>
  <c r="F3365" i="2"/>
  <c r="G3365" i="2"/>
  <c r="H3365" i="2"/>
  <c r="J3365" i="2"/>
  <c r="K3365" i="2"/>
  <c r="L3365" i="2"/>
  <c r="C3366" i="2"/>
  <c r="D3366" i="2"/>
  <c r="F3366" i="2"/>
  <c r="G3366" i="2"/>
  <c r="H3366" i="2"/>
  <c r="J3366" i="2"/>
  <c r="K3366" i="2"/>
  <c r="L3366" i="2"/>
  <c r="C3367" i="2"/>
  <c r="D3367" i="2"/>
  <c r="F3367" i="2"/>
  <c r="G3367" i="2"/>
  <c r="H3367" i="2"/>
  <c r="J3367" i="2"/>
  <c r="K3367" i="2"/>
  <c r="L3367" i="2"/>
  <c r="C3368" i="2"/>
  <c r="D3368" i="2"/>
  <c r="F3368" i="2"/>
  <c r="G3368" i="2"/>
  <c r="H3368" i="2"/>
  <c r="J3368" i="2"/>
  <c r="K3368" i="2"/>
  <c r="L3368" i="2"/>
  <c r="C3369" i="2"/>
  <c r="D3369" i="2"/>
  <c r="F3369" i="2"/>
  <c r="G3369" i="2"/>
  <c r="H3369" i="2"/>
  <c r="J3369" i="2"/>
  <c r="K3369" i="2"/>
  <c r="L3369" i="2"/>
  <c r="C3370" i="2"/>
  <c r="D3370" i="2"/>
  <c r="F3370" i="2"/>
  <c r="G3370" i="2"/>
  <c r="H3370" i="2"/>
  <c r="J3370" i="2"/>
  <c r="K3370" i="2"/>
  <c r="L3370" i="2"/>
  <c r="C3371" i="2"/>
  <c r="D3371" i="2"/>
  <c r="F3371" i="2"/>
  <c r="G3371" i="2"/>
  <c r="H3371" i="2"/>
  <c r="J3371" i="2"/>
  <c r="K3371" i="2"/>
  <c r="L3371" i="2"/>
  <c r="C3372" i="2"/>
  <c r="D3372" i="2"/>
  <c r="F3372" i="2"/>
  <c r="G3372" i="2"/>
  <c r="H3372" i="2"/>
  <c r="J3372" i="2"/>
  <c r="K3372" i="2"/>
  <c r="L3372" i="2"/>
  <c r="C3373" i="2"/>
  <c r="D3373" i="2"/>
  <c r="F3373" i="2"/>
  <c r="G3373" i="2"/>
  <c r="H3373" i="2"/>
  <c r="J3373" i="2"/>
  <c r="K3373" i="2"/>
  <c r="L3373" i="2"/>
  <c r="C3374" i="2"/>
  <c r="D3374" i="2"/>
  <c r="F3374" i="2"/>
  <c r="G3374" i="2"/>
  <c r="H3374" i="2"/>
  <c r="J3374" i="2"/>
  <c r="K3374" i="2"/>
  <c r="L3374" i="2"/>
  <c r="C3375" i="2"/>
  <c r="D3375" i="2"/>
  <c r="F3375" i="2"/>
  <c r="G3375" i="2"/>
  <c r="H3375" i="2"/>
  <c r="J3375" i="2"/>
  <c r="K3375" i="2"/>
  <c r="L3375" i="2"/>
  <c r="C3376" i="2"/>
  <c r="D3376" i="2"/>
  <c r="F3376" i="2"/>
  <c r="G3376" i="2"/>
  <c r="H3376" i="2"/>
  <c r="J3376" i="2"/>
  <c r="K3376" i="2"/>
  <c r="L3376" i="2"/>
  <c r="C3377" i="2"/>
  <c r="D3377" i="2"/>
  <c r="F3377" i="2"/>
  <c r="G3377" i="2"/>
  <c r="H3377" i="2"/>
  <c r="J3377" i="2"/>
  <c r="K3377" i="2"/>
  <c r="L3377" i="2"/>
  <c r="C3378" i="2"/>
  <c r="D3378" i="2"/>
  <c r="F3378" i="2"/>
  <c r="G3378" i="2"/>
  <c r="H3378" i="2"/>
  <c r="J3378" i="2"/>
  <c r="K3378" i="2"/>
  <c r="L3378" i="2"/>
  <c r="C3379" i="2"/>
  <c r="D3379" i="2"/>
  <c r="F3379" i="2"/>
  <c r="G3379" i="2"/>
  <c r="H3379" i="2"/>
  <c r="J3379" i="2"/>
  <c r="K3379" i="2"/>
  <c r="L3379" i="2"/>
  <c r="C3380" i="2"/>
  <c r="D3380" i="2"/>
  <c r="F3380" i="2"/>
  <c r="G3380" i="2"/>
  <c r="H3380" i="2"/>
  <c r="J3380" i="2"/>
  <c r="K3380" i="2"/>
  <c r="L3380" i="2"/>
  <c r="C3381" i="2"/>
  <c r="D3381" i="2"/>
  <c r="F3381" i="2"/>
  <c r="G3381" i="2"/>
  <c r="H3381" i="2"/>
  <c r="J3381" i="2"/>
  <c r="K3381" i="2"/>
  <c r="L3381" i="2"/>
  <c r="C3382" i="2"/>
  <c r="D3382" i="2"/>
  <c r="F3382" i="2"/>
  <c r="G3382" i="2"/>
  <c r="H3382" i="2"/>
  <c r="J3382" i="2"/>
  <c r="K3382" i="2"/>
  <c r="L3382" i="2"/>
  <c r="C3383" i="2"/>
  <c r="D3383" i="2"/>
  <c r="F3383" i="2"/>
  <c r="G3383" i="2"/>
  <c r="H3383" i="2"/>
  <c r="J3383" i="2"/>
  <c r="K3383" i="2"/>
  <c r="L3383" i="2"/>
  <c r="C3384" i="2"/>
  <c r="D3384" i="2"/>
  <c r="F3384" i="2"/>
  <c r="G3384" i="2"/>
  <c r="H3384" i="2"/>
  <c r="J3384" i="2"/>
  <c r="K3384" i="2"/>
  <c r="L3384" i="2"/>
  <c r="C3385" i="2"/>
  <c r="D3385" i="2"/>
  <c r="F3385" i="2"/>
  <c r="G3385" i="2"/>
  <c r="H3385" i="2"/>
  <c r="J3385" i="2"/>
  <c r="K3385" i="2"/>
  <c r="L3385" i="2"/>
  <c r="C3386" i="2"/>
  <c r="D3386" i="2"/>
  <c r="F3386" i="2"/>
  <c r="G3386" i="2"/>
  <c r="H3386" i="2"/>
  <c r="J3386" i="2"/>
  <c r="K3386" i="2"/>
  <c r="L3386" i="2"/>
  <c r="C3387" i="2"/>
  <c r="D3387" i="2"/>
  <c r="F3387" i="2"/>
  <c r="G3387" i="2"/>
  <c r="H3387" i="2"/>
  <c r="J3387" i="2"/>
  <c r="K3387" i="2"/>
  <c r="L3387" i="2"/>
  <c r="C3388" i="2"/>
  <c r="D3388" i="2"/>
  <c r="F3388" i="2"/>
  <c r="G3388" i="2"/>
  <c r="H3388" i="2"/>
  <c r="J3388" i="2"/>
  <c r="K3388" i="2"/>
  <c r="L3388" i="2"/>
  <c r="C3389" i="2"/>
  <c r="D3389" i="2"/>
  <c r="F3389" i="2"/>
  <c r="G3389" i="2"/>
  <c r="H3389" i="2"/>
  <c r="J3389" i="2"/>
  <c r="K3389" i="2"/>
  <c r="L3389" i="2"/>
  <c r="C3390" i="2"/>
  <c r="D3390" i="2"/>
  <c r="F3390" i="2"/>
  <c r="G3390" i="2"/>
  <c r="H3390" i="2"/>
  <c r="J3390" i="2"/>
  <c r="K3390" i="2"/>
  <c r="L3390" i="2"/>
  <c r="C3391" i="2"/>
  <c r="D3391" i="2"/>
  <c r="F3391" i="2"/>
  <c r="G3391" i="2"/>
  <c r="H3391" i="2"/>
  <c r="J3391" i="2"/>
  <c r="K3391" i="2"/>
  <c r="L3391" i="2"/>
  <c r="C3392" i="2"/>
  <c r="D3392" i="2"/>
  <c r="F3392" i="2"/>
  <c r="G3392" i="2"/>
  <c r="H3392" i="2"/>
  <c r="J3392" i="2"/>
  <c r="K3392" i="2"/>
  <c r="L3392" i="2"/>
  <c r="C3393" i="2"/>
  <c r="D3393" i="2"/>
  <c r="F3393" i="2"/>
  <c r="G3393" i="2"/>
  <c r="H3393" i="2"/>
  <c r="J3393" i="2"/>
  <c r="K3393" i="2"/>
  <c r="L3393" i="2"/>
  <c r="C3394" i="2"/>
  <c r="D3394" i="2"/>
  <c r="F3394" i="2"/>
  <c r="G3394" i="2"/>
  <c r="H3394" i="2"/>
  <c r="J3394" i="2"/>
  <c r="K3394" i="2"/>
  <c r="L3394" i="2"/>
  <c r="C3395" i="2"/>
  <c r="D3395" i="2"/>
  <c r="F3395" i="2"/>
  <c r="G3395" i="2"/>
  <c r="H3395" i="2"/>
  <c r="J3395" i="2"/>
  <c r="K3395" i="2"/>
  <c r="L3395" i="2"/>
  <c r="C3396" i="2"/>
  <c r="D3396" i="2"/>
  <c r="F3396" i="2"/>
  <c r="G3396" i="2"/>
  <c r="H3396" i="2"/>
  <c r="J3396" i="2"/>
  <c r="K3396" i="2"/>
  <c r="L3396" i="2"/>
  <c r="C3397" i="2"/>
  <c r="D3397" i="2"/>
  <c r="F3397" i="2"/>
  <c r="G3397" i="2"/>
  <c r="H3397" i="2"/>
  <c r="J3397" i="2"/>
  <c r="K3397" i="2"/>
  <c r="L3397" i="2"/>
  <c r="C3398" i="2"/>
  <c r="D3398" i="2"/>
  <c r="F3398" i="2"/>
  <c r="G3398" i="2"/>
  <c r="H3398" i="2"/>
  <c r="J3398" i="2"/>
  <c r="K3398" i="2"/>
  <c r="L3398" i="2"/>
  <c r="C3399" i="2"/>
  <c r="D3399" i="2"/>
  <c r="F3399" i="2"/>
  <c r="G3399" i="2"/>
  <c r="H3399" i="2"/>
  <c r="J3399" i="2"/>
  <c r="K3399" i="2"/>
  <c r="L3399" i="2"/>
  <c r="C3400" i="2"/>
  <c r="D3400" i="2"/>
  <c r="F3400" i="2"/>
  <c r="G3400" i="2"/>
  <c r="H3400" i="2"/>
  <c r="J3400" i="2"/>
  <c r="K3400" i="2"/>
  <c r="L3400" i="2"/>
  <c r="C3401" i="2"/>
  <c r="D3401" i="2"/>
  <c r="F3401" i="2"/>
  <c r="G3401" i="2"/>
  <c r="H3401" i="2"/>
  <c r="J3401" i="2"/>
  <c r="K3401" i="2"/>
  <c r="L3401" i="2"/>
  <c r="C3402" i="2"/>
  <c r="D3402" i="2"/>
  <c r="F3402" i="2"/>
  <c r="G3402" i="2"/>
  <c r="H3402" i="2"/>
  <c r="J3402" i="2"/>
  <c r="K3402" i="2"/>
  <c r="L3402" i="2"/>
  <c r="C3403" i="2"/>
  <c r="D3403" i="2"/>
  <c r="F3403" i="2"/>
  <c r="G3403" i="2"/>
  <c r="H3403" i="2"/>
  <c r="J3403" i="2"/>
  <c r="K3403" i="2"/>
  <c r="L3403" i="2"/>
  <c r="C3404" i="2"/>
  <c r="D3404" i="2"/>
  <c r="F3404" i="2"/>
  <c r="G3404" i="2"/>
  <c r="H3404" i="2"/>
  <c r="J3404" i="2"/>
  <c r="K3404" i="2"/>
  <c r="L3404" i="2"/>
  <c r="C3405" i="2"/>
  <c r="D3405" i="2"/>
  <c r="F3405" i="2"/>
  <c r="G3405" i="2"/>
  <c r="H3405" i="2"/>
  <c r="J3405" i="2"/>
  <c r="K3405" i="2"/>
  <c r="L3405" i="2"/>
  <c r="C3406" i="2"/>
  <c r="D3406" i="2"/>
  <c r="F3406" i="2"/>
  <c r="G3406" i="2"/>
  <c r="H3406" i="2"/>
  <c r="J3406" i="2"/>
  <c r="K3406" i="2"/>
  <c r="L3406" i="2"/>
  <c r="C3407" i="2"/>
  <c r="D3407" i="2"/>
  <c r="F3407" i="2"/>
  <c r="G3407" i="2"/>
  <c r="H3407" i="2"/>
  <c r="J3407" i="2"/>
  <c r="K3407" i="2"/>
  <c r="L3407" i="2"/>
  <c r="C3408" i="2"/>
  <c r="D3408" i="2"/>
  <c r="F3408" i="2"/>
  <c r="G3408" i="2"/>
  <c r="H3408" i="2"/>
  <c r="J3408" i="2"/>
  <c r="K3408" i="2"/>
  <c r="L3408" i="2"/>
  <c r="C3409" i="2"/>
  <c r="D3409" i="2"/>
  <c r="F3409" i="2"/>
  <c r="G3409" i="2"/>
  <c r="H3409" i="2"/>
  <c r="J3409" i="2"/>
  <c r="K3409" i="2"/>
  <c r="L3409" i="2"/>
  <c r="C3410" i="2"/>
  <c r="D3410" i="2"/>
  <c r="F3410" i="2"/>
  <c r="G3410" i="2"/>
  <c r="H3410" i="2"/>
  <c r="J3410" i="2"/>
  <c r="K3410" i="2"/>
  <c r="L3410" i="2"/>
  <c r="C3411" i="2"/>
  <c r="D3411" i="2"/>
  <c r="F3411" i="2"/>
  <c r="G3411" i="2"/>
  <c r="H3411" i="2"/>
  <c r="J3411" i="2"/>
  <c r="K3411" i="2"/>
  <c r="L3411" i="2"/>
  <c r="C3412" i="2"/>
  <c r="D3412" i="2"/>
  <c r="F3412" i="2"/>
  <c r="G3412" i="2"/>
  <c r="H3412" i="2"/>
  <c r="J3412" i="2"/>
  <c r="K3412" i="2"/>
  <c r="L3412" i="2"/>
  <c r="C3413" i="2"/>
  <c r="D3413" i="2"/>
  <c r="F3413" i="2"/>
  <c r="G3413" i="2"/>
  <c r="H3413" i="2"/>
  <c r="J3413" i="2"/>
  <c r="K3413" i="2"/>
  <c r="L3413" i="2"/>
  <c r="C3414" i="2"/>
  <c r="D3414" i="2"/>
  <c r="F3414" i="2"/>
  <c r="G3414" i="2"/>
  <c r="H3414" i="2"/>
  <c r="J3414" i="2"/>
  <c r="K3414" i="2"/>
  <c r="L3414" i="2"/>
  <c r="C3415" i="2"/>
  <c r="D3415" i="2"/>
  <c r="F3415" i="2"/>
  <c r="G3415" i="2"/>
  <c r="H3415" i="2"/>
  <c r="J3415" i="2"/>
  <c r="K3415" i="2"/>
  <c r="L3415" i="2"/>
  <c r="C3416" i="2"/>
  <c r="D3416" i="2"/>
  <c r="F3416" i="2"/>
  <c r="G3416" i="2"/>
  <c r="H3416" i="2"/>
  <c r="J3416" i="2"/>
  <c r="K3416" i="2"/>
  <c r="L3416" i="2"/>
  <c r="C3417" i="2"/>
  <c r="D3417" i="2"/>
  <c r="F3417" i="2"/>
  <c r="G3417" i="2"/>
  <c r="H3417" i="2"/>
  <c r="J3417" i="2"/>
  <c r="K3417" i="2"/>
  <c r="L3417" i="2"/>
  <c r="C3418" i="2"/>
  <c r="D3418" i="2"/>
  <c r="F3418" i="2"/>
  <c r="G3418" i="2"/>
  <c r="H3418" i="2"/>
  <c r="J3418" i="2"/>
  <c r="K3418" i="2"/>
  <c r="L3418" i="2"/>
  <c r="C3419" i="2"/>
  <c r="D3419" i="2"/>
  <c r="F3419" i="2"/>
  <c r="G3419" i="2"/>
  <c r="H3419" i="2"/>
  <c r="J3419" i="2"/>
  <c r="K3419" i="2"/>
  <c r="L3419" i="2"/>
  <c r="C3420" i="2"/>
  <c r="D3420" i="2"/>
  <c r="F3420" i="2"/>
  <c r="G3420" i="2"/>
  <c r="H3420" i="2"/>
  <c r="J3420" i="2"/>
  <c r="K3420" i="2"/>
  <c r="L3420" i="2"/>
  <c r="C3421" i="2"/>
  <c r="D3421" i="2"/>
  <c r="F3421" i="2"/>
  <c r="G3421" i="2"/>
  <c r="H3421" i="2"/>
  <c r="J3421" i="2"/>
  <c r="K3421" i="2"/>
  <c r="L3421" i="2"/>
  <c r="C3422" i="2"/>
  <c r="D3422" i="2"/>
  <c r="F3422" i="2"/>
  <c r="G3422" i="2"/>
  <c r="H3422" i="2"/>
  <c r="J3422" i="2"/>
  <c r="K3422" i="2"/>
  <c r="L3422" i="2"/>
  <c r="C3423" i="2"/>
  <c r="D3423" i="2"/>
  <c r="F3423" i="2"/>
  <c r="G3423" i="2"/>
  <c r="H3423" i="2"/>
  <c r="J3423" i="2"/>
  <c r="K3423" i="2"/>
  <c r="L3423" i="2"/>
  <c r="C3424" i="2"/>
  <c r="D3424" i="2"/>
  <c r="F3424" i="2"/>
  <c r="G3424" i="2"/>
  <c r="H3424" i="2"/>
  <c r="J3424" i="2"/>
  <c r="K3424" i="2"/>
  <c r="L3424" i="2"/>
  <c r="C3425" i="2"/>
  <c r="D3425" i="2"/>
  <c r="F3425" i="2"/>
  <c r="G3425" i="2"/>
  <c r="H3425" i="2"/>
  <c r="J3425" i="2"/>
  <c r="K3425" i="2"/>
  <c r="L3425" i="2"/>
  <c r="C3426" i="2"/>
  <c r="D3426" i="2"/>
  <c r="F3426" i="2"/>
  <c r="G3426" i="2"/>
  <c r="H3426" i="2"/>
  <c r="J3426" i="2"/>
  <c r="K3426" i="2"/>
  <c r="L3426" i="2"/>
  <c r="C3427" i="2"/>
  <c r="D3427" i="2"/>
  <c r="F3427" i="2"/>
  <c r="G3427" i="2"/>
  <c r="H3427" i="2"/>
  <c r="J3427" i="2"/>
  <c r="K3427" i="2"/>
  <c r="L3427" i="2"/>
  <c r="C3428" i="2"/>
  <c r="D3428" i="2"/>
  <c r="F3428" i="2"/>
  <c r="G3428" i="2"/>
  <c r="H3428" i="2"/>
  <c r="J3428" i="2"/>
  <c r="K3428" i="2"/>
  <c r="L3428" i="2"/>
  <c r="C3429" i="2"/>
  <c r="D3429" i="2"/>
  <c r="F3429" i="2"/>
  <c r="G3429" i="2"/>
  <c r="H3429" i="2"/>
  <c r="J3429" i="2"/>
  <c r="K3429" i="2"/>
  <c r="L3429" i="2"/>
  <c r="C3430" i="2"/>
  <c r="D3430" i="2"/>
  <c r="F3430" i="2"/>
  <c r="G3430" i="2"/>
  <c r="H3430" i="2"/>
  <c r="J3430" i="2"/>
  <c r="K3430" i="2"/>
  <c r="L3430" i="2"/>
  <c r="C3431" i="2"/>
  <c r="D3431" i="2"/>
  <c r="F3431" i="2"/>
  <c r="G3431" i="2"/>
  <c r="H3431" i="2"/>
  <c r="J3431" i="2"/>
  <c r="K3431" i="2"/>
  <c r="L3431" i="2"/>
  <c r="C3432" i="2"/>
  <c r="D3432" i="2"/>
  <c r="F3432" i="2"/>
  <c r="G3432" i="2"/>
  <c r="H3432" i="2"/>
  <c r="J3432" i="2"/>
  <c r="K3432" i="2"/>
  <c r="L3432" i="2"/>
  <c r="C3433" i="2"/>
  <c r="D3433" i="2"/>
  <c r="F3433" i="2"/>
  <c r="G3433" i="2"/>
  <c r="H3433" i="2"/>
  <c r="J3433" i="2"/>
  <c r="K3433" i="2"/>
  <c r="L3433" i="2"/>
  <c r="C3434" i="2"/>
  <c r="D3434" i="2"/>
  <c r="F3434" i="2"/>
  <c r="G3434" i="2"/>
  <c r="H3434" i="2"/>
  <c r="J3434" i="2"/>
  <c r="K3434" i="2"/>
  <c r="L3434" i="2"/>
  <c r="C3435" i="2"/>
  <c r="D3435" i="2"/>
  <c r="F3435" i="2"/>
  <c r="G3435" i="2"/>
  <c r="H3435" i="2"/>
  <c r="J3435" i="2"/>
  <c r="K3435" i="2"/>
  <c r="L3435" i="2"/>
  <c r="C3436" i="2"/>
  <c r="D3436" i="2"/>
  <c r="F3436" i="2"/>
  <c r="G3436" i="2"/>
  <c r="H3436" i="2"/>
  <c r="J3436" i="2"/>
  <c r="K3436" i="2"/>
  <c r="L3436" i="2"/>
  <c r="C3437" i="2"/>
  <c r="D3437" i="2"/>
  <c r="F3437" i="2"/>
  <c r="G3437" i="2"/>
  <c r="H3437" i="2"/>
  <c r="J3437" i="2"/>
  <c r="K3437" i="2"/>
  <c r="L3437" i="2"/>
  <c r="C3438" i="2"/>
  <c r="D3438" i="2"/>
  <c r="F3438" i="2"/>
  <c r="G3438" i="2"/>
  <c r="H3438" i="2"/>
  <c r="J3438" i="2"/>
  <c r="K3438" i="2"/>
  <c r="L3438" i="2"/>
  <c r="C3439" i="2"/>
  <c r="D3439" i="2"/>
  <c r="F3439" i="2"/>
  <c r="G3439" i="2"/>
  <c r="H3439" i="2"/>
  <c r="J3439" i="2"/>
  <c r="K3439" i="2"/>
  <c r="L3439" i="2"/>
  <c r="C3440" i="2"/>
  <c r="D3440" i="2"/>
  <c r="F3440" i="2"/>
  <c r="G3440" i="2"/>
  <c r="H3440" i="2"/>
  <c r="J3440" i="2"/>
  <c r="K3440" i="2"/>
  <c r="L3440" i="2"/>
  <c r="C3441" i="2"/>
  <c r="D3441" i="2"/>
  <c r="F3441" i="2"/>
  <c r="G3441" i="2"/>
  <c r="H3441" i="2"/>
  <c r="J3441" i="2"/>
  <c r="K3441" i="2"/>
  <c r="L3441" i="2"/>
  <c r="C3442" i="2"/>
  <c r="D3442" i="2"/>
  <c r="F3442" i="2"/>
  <c r="G3442" i="2"/>
  <c r="H3442" i="2"/>
  <c r="J3442" i="2"/>
  <c r="K3442" i="2"/>
  <c r="L3442" i="2"/>
  <c r="C3443" i="2"/>
  <c r="D3443" i="2"/>
  <c r="F3443" i="2"/>
  <c r="G3443" i="2"/>
  <c r="H3443" i="2"/>
  <c r="J3443" i="2"/>
  <c r="K3443" i="2"/>
  <c r="L3443" i="2"/>
  <c r="C3444" i="2"/>
  <c r="D3444" i="2"/>
  <c r="F3444" i="2"/>
  <c r="G3444" i="2"/>
  <c r="H3444" i="2"/>
  <c r="J3444" i="2"/>
  <c r="K3444" i="2"/>
  <c r="L3444" i="2"/>
  <c r="C3445" i="2"/>
  <c r="D3445" i="2"/>
  <c r="F3445" i="2"/>
  <c r="G3445" i="2"/>
  <c r="H3445" i="2"/>
  <c r="J3445" i="2"/>
  <c r="K3445" i="2"/>
  <c r="L3445" i="2"/>
  <c r="C3446" i="2"/>
  <c r="D3446" i="2"/>
  <c r="F3446" i="2"/>
  <c r="G3446" i="2"/>
  <c r="H3446" i="2"/>
  <c r="J3446" i="2"/>
  <c r="K3446" i="2"/>
  <c r="L3446" i="2"/>
  <c r="C3447" i="2"/>
  <c r="D3447" i="2"/>
  <c r="F3447" i="2"/>
  <c r="G3447" i="2"/>
  <c r="H3447" i="2"/>
  <c r="J3447" i="2"/>
  <c r="K3447" i="2"/>
  <c r="L3447" i="2"/>
  <c r="C3448" i="2"/>
  <c r="D3448" i="2"/>
  <c r="F3448" i="2"/>
  <c r="G3448" i="2"/>
  <c r="H3448" i="2"/>
  <c r="J3448" i="2"/>
  <c r="K3448" i="2"/>
  <c r="L3448" i="2"/>
  <c r="C3449" i="2"/>
  <c r="D3449" i="2"/>
  <c r="E3449" i="2"/>
  <c r="F3449" i="2"/>
  <c r="G3449" i="2"/>
  <c r="H3449" i="2"/>
  <c r="J3449" i="2"/>
  <c r="K3449" i="2"/>
  <c r="L3449" i="2"/>
  <c r="C3450" i="2"/>
  <c r="D3450" i="2"/>
  <c r="F3450" i="2"/>
  <c r="G3450" i="2"/>
  <c r="H3450" i="2"/>
  <c r="J3450" i="2"/>
  <c r="K3450" i="2"/>
  <c r="L3450" i="2"/>
  <c r="C3451" i="2"/>
  <c r="D3451" i="2"/>
  <c r="F3451" i="2"/>
  <c r="G3451" i="2"/>
  <c r="H3451" i="2"/>
  <c r="J3451" i="2"/>
  <c r="K3451" i="2"/>
  <c r="L3451" i="2"/>
  <c r="C3452" i="2"/>
  <c r="D3452" i="2"/>
  <c r="F3452" i="2"/>
  <c r="G3452" i="2"/>
  <c r="H3452" i="2"/>
  <c r="J3452" i="2"/>
  <c r="K3452" i="2"/>
  <c r="L3452" i="2"/>
  <c r="C3453" i="2"/>
  <c r="D3453" i="2"/>
  <c r="F3453" i="2"/>
  <c r="G3453" i="2"/>
  <c r="H3453" i="2"/>
  <c r="J3453" i="2"/>
  <c r="K3453" i="2"/>
  <c r="L3453" i="2"/>
  <c r="C3454" i="2"/>
  <c r="D3454" i="2"/>
  <c r="F3454" i="2"/>
  <c r="G3454" i="2"/>
  <c r="H3454" i="2"/>
  <c r="J3454" i="2"/>
  <c r="K3454" i="2"/>
  <c r="L3454" i="2"/>
  <c r="C3455" i="2"/>
  <c r="D3455" i="2"/>
  <c r="F3455" i="2"/>
  <c r="G3455" i="2"/>
  <c r="H3455" i="2"/>
  <c r="J3455" i="2"/>
  <c r="K3455" i="2"/>
  <c r="L3455" i="2"/>
  <c r="C3456" i="2"/>
  <c r="D3456" i="2"/>
  <c r="F3456" i="2"/>
  <c r="G3456" i="2"/>
  <c r="H3456" i="2"/>
  <c r="J3456" i="2"/>
  <c r="K3456" i="2"/>
  <c r="L3456" i="2"/>
  <c r="C3457" i="2"/>
  <c r="D3457" i="2"/>
  <c r="F3457" i="2"/>
  <c r="G3457" i="2"/>
  <c r="H3457" i="2"/>
  <c r="J3457" i="2"/>
  <c r="K3457" i="2"/>
  <c r="L3457" i="2"/>
  <c r="C3458" i="2"/>
  <c r="D3458" i="2"/>
  <c r="F3458" i="2"/>
  <c r="G3458" i="2"/>
  <c r="H3458" i="2"/>
  <c r="J3458" i="2"/>
  <c r="K3458" i="2"/>
  <c r="L3458" i="2"/>
  <c r="C3459" i="2"/>
  <c r="D3459" i="2"/>
  <c r="F3459" i="2"/>
  <c r="G3459" i="2"/>
  <c r="H3459" i="2"/>
  <c r="J3459" i="2"/>
  <c r="K3459" i="2"/>
  <c r="L3459" i="2"/>
  <c r="C3460" i="2"/>
  <c r="D3460" i="2"/>
  <c r="F3460" i="2"/>
  <c r="G3460" i="2"/>
  <c r="H3460" i="2"/>
  <c r="J3460" i="2"/>
  <c r="K3460" i="2"/>
  <c r="L3460" i="2"/>
  <c r="C3461" i="2"/>
  <c r="D3461" i="2"/>
  <c r="F3461" i="2"/>
  <c r="G3461" i="2"/>
  <c r="H3461" i="2"/>
  <c r="J3461" i="2"/>
  <c r="K3461" i="2"/>
  <c r="L3461" i="2"/>
  <c r="C3462" i="2"/>
  <c r="D3462" i="2"/>
  <c r="F3462" i="2"/>
  <c r="G3462" i="2"/>
  <c r="H3462" i="2"/>
  <c r="J3462" i="2"/>
  <c r="K3462" i="2"/>
  <c r="L3462" i="2"/>
  <c r="C3463" i="2"/>
  <c r="D3463" i="2"/>
  <c r="F3463" i="2"/>
  <c r="G3463" i="2"/>
  <c r="H3463" i="2"/>
  <c r="J3463" i="2"/>
  <c r="K3463" i="2"/>
  <c r="L3463" i="2"/>
  <c r="C3464" i="2"/>
  <c r="D3464" i="2"/>
  <c r="F3464" i="2"/>
  <c r="G3464" i="2"/>
  <c r="H3464" i="2"/>
  <c r="J3464" i="2"/>
  <c r="K3464" i="2"/>
  <c r="L3464" i="2"/>
  <c r="C3465" i="2"/>
  <c r="D3465" i="2"/>
  <c r="F3465" i="2"/>
  <c r="G3465" i="2"/>
  <c r="H3465" i="2"/>
  <c r="J3465" i="2"/>
  <c r="K3465" i="2"/>
  <c r="L3465" i="2"/>
  <c r="C3466" i="2"/>
  <c r="D3466" i="2"/>
  <c r="F3466" i="2"/>
  <c r="G3466" i="2"/>
  <c r="H3466" i="2"/>
  <c r="J3466" i="2"/>
  <c r="K3466" i="2"/>
  <c r="L3466" i="2"/>
  <c r="C3467" i="2"/>
  <c r="D3467" i="2"/>
  <c r="F3467" i="2"/>
  <c r="G3467" i="2"/>
  <c r="H3467" i="2"/>
  <c r="J3467" i="2"/>
  <c r="K3467" i="2"/>
  <c r="L3467" i="2"/>
  <c r="C3468" i="2"/>
  <c r="D3468" i="2"/>
  <c r="F3468" i="2"/>
  <c r="G3468" i="2"/>
  <c r="H3468" i="2"/>
  <c r="J3468" i="2"/>
  <c r="K3468" i="2"/>
  <c r="L3468" i="2"/>
  <c r="C3469" i="2"/>
  <c r="D3469" i="2"/>
  <c r="F3469" i="2"/>
  <c r="G3469" i="2"/>
  <c r="H3469" i="2"/>
  <c r="J3469" i="2"/>
  <c r="K3469" i="2"/>
  <c r="L3469" i="2"/>
  <c r="C3470" i="2"/>
  <c r="D3470" i="2"/>
  <c r="F3470" i="2"/>
  <c r="G3470" i="2"/>
  <c r="H3470" i="2"/>
  <c r="J3470" i="2"/>
  <c r="K3470" i="2"/>
  <c r="L3470" i="2"/>
  <c r="C3471" i="2"/>
  <c r="D3471" i="2"/>
  <c r="F3471" i="2"/>
  <c r="G3471" i="2"/>
  <c r="H3471" i="2"/>
  <c r="J3471" i="2"/>
  <c r="K3471" i="2"/>
  <c r="L3471" i="2"/>
  <c r="C3472" i="2"/>
  <c r="D3472" i="2"/>
  <c r="F3472" i="2"/>
  <c r="G3472" i="2"/>
  <c r="H3472" i="2"/>
  <c r="J3472" i="2"/>
  <c r="K3472" i="2"/>
  <c r="L3472" i="2"/>
  <c r="C3473" i="2"/>
  <c r="D3473" i="2"/>
  <c r="F3473" i="2"/>
  <c r="G3473" i="2"/>
  <c r="H3473" i="2"/>
  <c r="J3473" i="2"/>
  <c r="K3473" i="2"/>
  <c r="L3473" i="2"/>
  <c r="C3474" i="2"/>
  <c r="D3474" i="2"/>
  <c r="F3474" i="2"/>
  <c r="G3474" i="2"/>
  <c r="H3474" i="2"/>
  <c r="J3474" i="2"/>
  <c r="K3474" i="2"/>
  <c r="L3474" i="2"/>
  <c r="C3475" i="2"/>
  <c r="D3475" i="2"/>
  <c r="F3475" i="2"/>
  <c r="G3475" i="2"/>
  <c r="H3475" i="2"/>
  <c r="J3475" i="2"/>
  <c r="K3475" i="2"/>
  <c r="L3475" i="2"/>
  <c r="C3476" i="2"/>
  <c r="D3476" i="2"/>
  <c r="F3476" i="2"/>
  <c r="G3476" i="2"/>
  <c r="H3476" i="2"/>
  <c r="J3476" i="2"/>
  <c r="K3476" i="2"/>
  <c r="L3476" i="2"/>
  <c r="C3477" i="2"/>
  <c r="D3477" i="2"/>
  <c r="F3477" i="2"/>
  <c r="G3477" i="2"/>
  <c r="H3477" i="2"/>
  <c r="J3477" i="2"/>
  <c r="K3477" i="2"/>
  <c r="L3477" i="2"/>
  <c r="C3478" i="2"/>
  <c r="D3478" i="2"/>
  <c r="F3478" i="2"/>
  <c r="G3478" i="2"/>
  <c r="H3478" i="2"/>
  <c r="J3478" i="2"/>
  <c r="K3478" i="2"/>
  <c r="L3478" i="2"/>
  <c r="C3479" i="2"/>
  <c r="D3479" i="2"/>
  <c r="F3479" i="2"/>
  <c r="G3479" i="2"/>
  <c r="H3479" i="2"/>
  <c r="J3479" i="2"/>
  <c r="K3479" i="2"/>
  <c r="L3479" i="2"/>
  <c r="C3480" i="2"/>
  <c r="D3480" i="2"/>
  <c r="F3480" i="2"/>
  <c r="G3480" i="2"/>
  <c r="H3480" i="2"/>
  <c r="J3480" i="2"/>
  <c r="K3480" i="2"/>
  <c r="L3480" i="2"/>
  <c r="C3481" i="2"/>
  <c r="D3481" i="2"/>
  <c r="F3481" i="2"/>
  <c r="G3481" i="2"/>
  <c r="H3481" i="2"/>
  <c r="J3481" i="2"/>
  <c r="K3481" i="2"/>
  <c r="L3481" i="2"/>
  <c r="C3482" i="2"/>
  <c r="D3482" i="2"/>
  <c r="F3482" i="2"/>
  <c r="G3482" i="2"/>
  <c r="H3482" i="2"/>
  <c r="J3482" i="2"/>
  <c r="K3482" i="2"/>
  <c r="L3482" i="2"/>
  <c r="C3483" i="2"/>
  <c r="D3483" i="2"/>
  <c r="F3483" i="2"/>
  <c r="G3483" i="2"/>
  <c r="H3483" i="2"/>
  <c r="J3483" i="2"/>
  <c r="K3483" i="2"/>
  <c r="L3483" i="2"/>
  <c r="C3484" i="2"/>
  <c r="D3484" i="2"/>
  <c r="F3484" i="2"/>
  <c r="G3484" i="2"/>
  <c r="H3484" i="2"/>
  <c r="J3484" i="2"/>
  <c r="K3484" i="2"/>
  <c r="L3484" i="2"/>
  <c r="C3485" i="2"/>
  <c r="D3485" i="2"/>
  <c r="F3485" i="2"/>
  <c r="G3485" i="2"/>
  <c r="H3485" i="2"/>
  <c r="J3485" i="2"/>
  <c r="K3485" i="2"/>
  <c r="L3485" i="2"/>
  <c r="C3486" i="2"/>
  <c r="D3486" i="2"/>
  <c r="F3486" i="2"/>
  <c r="G3486" i="2"/>
  <c r="H3486" i="2"/>
  <c r="J3486" i="2"/>
  <c r="K3486" i="2"/>
  <c r="L3486" i="2"/>
  <c r="C3487" i="2"/>
  <c r="D3487" i="2"/>
  <c r="F3487" i="2"/>
  <c r="G3487" i="2"/>
  <c r="H3487" i="2"/>
  <c r="J3487" i="2"/>
  <c r="K3487" i="2"/>
  <c r="L3487" i="2"/>
  <c r="C3488" i="2"/>
  <c r="D3488" i="2"/>
  <c r="F3488" i="2"/>
  <c r="G3488" i="2"/>
  <c r="H3488" i="2"/>
  <c r="J3488" i="2"/>
  <c r="K3488" i="2"/>
  <c r="L3488" i="2"/>
  <c r="C3489" i="2"/>
  <c r="D3489" i="2"/>
  <c r="F3489" i="2"/>
  <c r="G3489" i="2"/>
  <c r="H3489" i="2"/>
  <c r="J3489" i="2"/>
  <c r="K3489" i="2"/>
  <c r="L3489" i="2"/>
  <c r="C3490" i="2"/>
  <c r="D3490" i="2"/>
  <c r="F3490" i="2"/>
  <c r="G3490" i="2"/>
  <c r="H3490" i="2"/>
  <c r="J3490" i="2"/>
  <c r="K3490" i="2"/>
  <c r="L3490" i="2"/>
  <c r="C3491" i="2"/>
  <c r="D3491" i="2"/>
  <c r="F3491" i="2"/>
  <c r="G3491" i="2"/>
  <c r="H3491" i="2"/>
  <c r="J3491" i="2"/>
  <c r="K3491" i="2"/>
  <c r="L3491" i="2"/>
  <c r="C3492" i="2"/>
  <c r="D3492" i="2"/>
  <c r="F3492" i="2"/>
  <c r="G3492" i="2"/>
  <c r="H3492" i="2"/>
  <c r="J3492" i="2"/>
  <c r="K3492" i="2"/>
  <c r="L3492" i="2"/>
  <c r="C3493" i="2"/>
  <c r="D3493" i="2"/>
  <c r="F3493" i="2"/>
  <c r="G3493" i="2"/>
  <c r="H3493" i="2"/>
  <c r="J3493" i="2"/>
  <c r="K3493" i="2"/>
  <c r="L3493" i="2"/>
  <c r="C3494" i="2"/>
  <c r="D3494" i="2"/>
  <c r="F3494" i="2"/>
  <c r="G3494" i="2"/>
  <c r="H3494" i="2"/>
  <c r="J3494" i="2"/>
  <c r="K3494" i="2"/>
  <c r="L3494" i="2"/>
  <c r="C3495" i="2"/>
  <c r="D3495" i="2"/>
  <c r="F3495" i="2"/>
  <c r="G3495" i="2"/>
  <c r="H3495" i="2"/>
  <c r="J3495" i="2"/>
  <c r="K3495" i="2"/>
  <c r="L3495" i="2"/>
  <c r="C3496" i="2"/>
  <c r="D3496" i="2"/>
  <c r="F3496" i="2"/>
  <c r="G3496" i="2"/>
  <c r="H3496" i="2"/>
  <c r="J3496" i="2"/>
  <c r="K3496" i="2"/>
  <c r="L3496" i="2"/>
  <c r="C3497" i="2"/>
  <c r="D3497" i="2"/>
  <c r="F3497" i="2"/>
  <c r="G3497" i="2"/>
  <c r="H3497" i="2"/>
  <c r="J3497" i="2"/>
  <c r="K3497" i="2"/>
  <c r="L3497" i="2"/>
  <c r="C3498" i="2"/>
  <c r="D3498" i="2"/>
  <c r="F3498" i="2"/>
  <c r="G3498" i="2"/>
  <c r="H3498" i="2"/>
  <c r="J3498" i="2"/>
  <c r="K3498" i="2"/>
  <c r="L3498" i="2"/>
  <c r="C3499" i="2"/>
  <c r="D3499" i="2"/>
  <c r="E3499" i="2"/>
  <c r="F3499" i="2"/>
  <c r="G3499" i="2"/>
  <c r="H3499" i="2"/>
  <c r="J3499" i="2"/>
  <c r="K3499" i="2"/>
  <c r="L3499" i="2"/>
  <c r="C3500" i="2"/>
  <c r="D3500" i="2"/>
  <c r="F3500" i="2"/>
  <c r="G3500" i="2"/>
  <c r="H3500" i="2"/>
  <c r="J3500" i="2"/>
  <c r="K3500" i="2"/>
  <c r="L3500" i="2"/>
  <c r="C3501" i="2"/>
  <c r="D3501" i="2"/>
  <c r="F3501" i="2"/>
  <c r="G3501" i="2"/>
  <c r="H3501" i="2"/>
  <c r="J3501" i="2"/>
  <c r="K3501" i="2"/>
  <c r="L3501" i="2"/>
  <c r="C3502" i="2"/>
  <c r="D3502" i="2"/>
  <c r="F3502" i="2"/>
  <c r="G3502" i="2"/>
  <c r="H3502" i="2"/>
  <c r="J3502" i="2"/>
  <c r="K3502" i="2"/>
  <c r="L3502" i="2"/>
  <c r="C3503" i="2"/>
  <c r="D3503" i="2"/>
  <c r="F3503" i="2"/>
  <c r="G3503" i="2"/>
  <c r="H3503" i="2"/>
  <c r="J3503" i="2"/>
  <c r="K3503" i="2"/>
  <c r="L3503" i="2"/>
  <c r="C3504" i="2"/>
  <c r="D3504" i="2"/>
  <c r="F3504" i="2"/>
  <c r="G3504" i="2"/>
  <c r="H3504" i="2"/>
  <c r="J3504" i="2"/>
  <c r="K3504" i="2"/>
  <c r="L3504" i="2"/>
  <c r="C3505" i="2"/>
  <c r="D3505" i="2"/>
  <c r="F3505" i="2"/>
  <c r="G3505" i="2"/>
  <c r="H3505" i="2"/>
  <c r="J3505" i="2"/>
  <c r="K3505" i="2"/>
  <c r="L3505" i="2"/>
  <c r="C3506" i="2"/>
  <c r="D3506" i="2"/>
  <c r="F3506" i="2"/>
  <c r="G3506" i="2"/>
  <c r="H3506" i="2"/>
  <c r="J3506" i="2"/>
  <c r="K3506" i="2"/>
  <c r="L3506" i="2"/>
  <c r="C3507" i="2"/>
  <c r="D3507" i="2"/>
  <c r="F3507" i="2"/>
  <c r="G3507" i="2"/>
  <c r="H3507" i="2"/>
  <c r="J3507" i="2"/>
  <c r="K3507" i="2"/>
  <c r="L3507" i="2"/>
  <c r="C3508" i="2"/>
  <c r="D3508" i="2"/>
  <c r="F3508" i="2"/>
  <c r="G3508" i="2"/>
  <c r="H3508" i="2"/>
  <c r="J3508" i="2"/>
  <c r="K3508" i="2"/>
  <c r="L3508" i="2"/>
  <c r="C3509" i="2"/>
  <c r="D3509" i="2"/>
  <c r="F3509" i="2"/>
  <c r="G3509" i="2"/>
  <c r="H3509" i="2"/>
  <c r="J3509" i="2"/>
  <c r="K3509" i="2"/>
  <c r="L3509" i="2"/>
  <c r="C3510" i="2"/>
  <c r="D3510" i="2"/>
  <c r="F3510" i="2"/>
  <c r="G3510" i="2"/>
  <c r="H3510" i="2"/>
  <c r="J3510" i="2"/>
  <c r="K3510" i="2"/>
  <c r="L3510" i="2"/>
  <c r="C3511" i="2"/>
  <c r="D3511" i="2"/>
  <c r="F3511" i="2"/>
  <c r="G3511" i="2"/>
  <c r="H3511" i="2"/>
  <c r="J3511" i="2"/>
  <c r="K3511" i="2"/>
  <c r="L3511" i="2"/>
  <c r="C3512" i="2"/>
  <c r="D3512" i="2"/>
  <c r="F3512" i="2"/>
  <c r="G3512" i="2"/>
  <c r="H3512" i="2"/>
  <c r="J3512" i="2"/>
  <c r="K3512" i="2"/>
  <c r="L3512" i="2"/>
  <c r="C3513" i="2"/>
  <c r="D3513" i="2"/>
  <c r="F3513" i="2"/>
  <c r="G3513" i="2"/>
  <c r="H3513" i="2"/>
  <c r="J3513" i="2"/>
  <c r="K3513" i="2"/>
  <c r="L3513" i="2"/>
  <c r="C3514" i="2"/>
  <c r="D3514" i="2"/>
  <c r="F3514" i="2"/>
  <c r="G3514" i="2"/>
  <c r="H3514" i="2"/>
  <c r="J3514" i="2"/>
  <c r="K3514" i="2"/>
  <c r="L3514" i="2"/>
  <c r="C3515" i="2"/>
  <c r="D3515" i="2"/>
  <c r="F3515" i="2"/>
  <c r="G3515" i="2"/>
  <c r="H3515" i="2"/>
  <c r="J3515" i="2"/>
  <c r="K3515" i="2"/>
  <c r="L3515" i="2"/>
  <c r="C3516" i="2"/>
  <c r="D3516" i="2"/>
  <c r="F3516" i="2"/>
  <c r="G3516" i="2"/>
  <c r="H3516" i="2"/>
  <c r="J3516" i="2"/>
  <c r="K3516" i="2"/>
  <c r="L3516" i="2"/>
  <c r="C3517" i="2"/>
  <c r="D3517" i="2"/>
  <c r="F3517" i="2"/>
  <c r="G3517" i="2"/>
  <c r="H3517" i="2"/>
  <c r="J3517" i="2"/>
  <c r="K3517" i="2"/>
  <c r="L3517" i="2"/>
  <c r="C3518" i="2"/>
  <c r="D3518" i="2"/>
  <c r="F3518" i="2"/>
  <c r="G3518" i="2"/>
  <c r="H3518" i="2"/>
  <c r="J3518" i="2"/>
  <c r="K3518" i="2"/>
  <c r="L3518" i="2"/>
  <c r="C3519" i="2"/>
  <c r="D3519" i="2"/>
  <c r="F3519" i="2"/>
  <c r="G3519" i="2"/>
  <c r="H3519" i="2"/>
  <c r="J3519" i="2"/>
  <c r="K3519" i="2"/>
  <c r="L3519" i="2"/>
  <c r="C3520" i="2"/>
  <c r="D3520" i="2"/>
  <c r="F3520" i="2"/>
  <c r="G3520" i="2"/>
  <c r="H3520" i="2"/>
  <c r="J3520" i="2"/>
  <c r="K3520" i="2"/>
  <c r="L3520" i="2"/>
  <c r="C3521" i="2"/>
  <c r="D3521" i="2"/>
  <c r="F3521" i="2"/>
  <c r="G3521" i="2"/>
  <c r="H3521" i="2"/>
  <c r="J3521" i="2"/>
  <c r="K3521" i="2"/>
  <c r="L3521" i="2"/>
  <c r="C3522" i="2"/>
  <c r="D3522" i="2"/>
  <c r="E3522" i="2"/>
  <c r="F3522" i="2"/>
  <c r="G3522" i="2"/>
  <c r="H3522" i="2"/>
  <c r="J3522" i="2"/>
  <c r="K3522" i="2"/>
  <c r="L3522" i="2"/>
  <c r="C3523" i="2"/>
  <c r="D3523" i="2"/>
  <c r="F3523" i="2"/>
  <c r="G3523" i="2"/>
  <c r="H3523" i="2"/>
  <c r="J3523" i="2"/>
  <c r="K3523" i="2"/>
  <c r="L3523" i="2"/>
  <c r="C3524" i="2"/>
  <c r="D3524" i="2"/>
  <c r="F3524" i="2"/>
  <c r="G3524" i="2"/>
  <c r="H3524" i="2"/>
  <c r="J3524" i="2"/>
  <c r="K3524" i="2"/>
  <c r="L3524" i="2"/>
  <c r="C3525" i="2"/>
  <c r="D3525" i="2"/>
  <c r="F3525" i="2"/>
  <c r="G3525" i="2"/>
  <c r="H3525" i="2"/>
  <c r="J3525" i="2"/>
  <c r="K3525" i="2"/>
  <c r="L3525" i="2"/>
  <c r="C3526" i="2"/>
  <c r="D3526" i="2"/>
  <c r="F3526" i="2"/>
  <c r="G3526" i="2"/>
  <c r="H3526" i="2"/>
  <c r="J3526" i="2"/>
  <c r="K3526" i="2"/>
  <c r="L3526" i="2"/>
  <c r="C3527" i="2"/>
  <c r="D3527" i="2"/>
  <c r="F3527" i="2"/>
  <c r="G3527" i="2"/>
  <c r="H3527" i="2"/>
  <c r="J3527" i="2"/>
  <c r="K3527" i="2"/>
  <c r="L3527" i="2"/>
  <c r="C3528" i="2"/>
  <c r="D3528" i="2"/>
  <c r="F3528" i="2"/>
  <c r="G3528" i="2"/>
  <c r="H3528" i="2"/>
  <c r="J3528" i="2"/>
  <c r="K3528" i="2"/>
  <c r="L3528" i="2"/>
  <c r="C3529" i="2"/>
  <c r="D3529" i="2"/>
  <c r="F3529" i="2"/>
  <c r="G3529" i="2"/>
  <c r="H3529" i="2"/>
  <c r="J3529" i="2"/>
  <c r="K3529" i="2"/>
  <c r="L3529" i="2"/>
  <c r="C3530" i="2"/>
  <c r="D3530" i="2"/>
  <c r="F3530" i="2"/>
  <c r="G3530" i="2"/>
  <c r="H3530" i="2"/>
  <c r="J3530" i="2"/>
  <c r="K3530" i="2"/>
  <c r="L3530" i="2"/>
  <c r="C3531" i="2"/>
  <c r="D3531" i="2"/>
  <c r="F3531" i="2"/>
  <c r="G3531" i="2"/>
  <c r="H3531" i="2"/>
  <c r="J3531" i="2"/>
  <c r="K3531" i="2"/>
  <c r="L3531" i="2"/>
  <c r="C3532" i="2"/>
  <c r="D3532" i="2"/>
  <c r="F3532" i="2"/>
  <c r="G3532" i="2"/>
  <c r="H3532" i="2"/>
  <c r="J3532" i="2"/>
  <c r="K3532" i="2"/>
  <c r="L3532" i="2"/>
  <c r="C3533" i="2"/>
  <c r="D3533" i="2"/>
  <c r="F3533" i="2"/>
  <c r="G3533" i="2"/>
  <c r="H3533" i="2"/>
  <c r="J3533" i="2"/>
  <c r="K3533" i="2"/>
  <c r="L3533" i="2"/>
  <c r="C3534" i="2"/>
  <c r="D3534" i="2"/>
  <c r="F3534" i="2"/>
  <c r="G3534" i="2"/>
  <c r="H3534" i="2"/>
  <c r="J3534" i="2"/>
  <c r="K3534" i="2"/>
  <c r="L3534" i="2"/>
  <c r="C3535" i="2"/>
  <c r="D3535" i="2"/>
  <c r="F3535" i="2"/>
  <c r="G3535" i="2"/>
  <c r="H3535" i="2"/>
  <c r="J3535" i="2"/>
  <c r="K3535" i="2"/>
  <c r="L3535" i="2"/>
  <c r="C3536" i="2"/>
  <c r="D3536" i="2"/>
  <c r="F3536" i="2"/>
  <c r="G3536" i="2"/>
  <c r="H3536" i="2"/>
  <c r="J3536" i="2"/>
  <c r="K3536" i="2"/>
  <c r="L3536" i="2"/>
  <c r="C3537" i="2"/>
  <c r="D3537" i="2"/>
  <c r="F3537" i="2"/>
  <c r="G3537" i="2"/>
  <c r="H3537" i="2"/>
  <c r="J3537" i="2"/>
  <c r="K3537" i="2"/>
  <c r="L3537" i="2"/>
  <c r="C3538" i="2"/>
  <c r="D3538" i="2"/>
  <c r="F3538" i="2"/>
  <c r="G3538" i="2"/>
  <c r="H3538" i="2"/>
  <c r="J3538" i="2"/>
  <c r="K3538" i="2"/>
  <c r="L3538" i="2"/>
  <c r="C3539" i="2"/>
  <c r="D3539" i="2"/>
  <c r="F3539" i="2"/>
  <c r="G3539" i="2"/>
  <c r="H3539" i="2"/>
  <c r="J3539" i="2"/>
  <c r="K3539" i="2"/>
  <c r="L3539" i="2"/>
  <c r="C3540" i="2"/>
  <c r="D3540" i="2"/>
  <c r="F3540" i="2"/>
  <c r="G3540" i="2"/>
  <c r="H3540" i="2"/>
  <c r="J3540" i="2"/>
  <c r="K3540" i="2"/>
  <c r="L3540" i="2"/>
  <c r="C3541" i="2"/>
  <c r="D3541" i="2"/>
  <c r="E3541" i="2"/>
  <c r="F3541" i="2"/>
  <c r="G3541" i="2"/>
  <c r="H3541" i="2"/>
  <c r="J3541" i="2"/>
  <c r="K3541" i="2"/>
  <c r="L3541" i="2"/>
  <c r="C3542" i="2"/>
  <c r="D3542" i="2"/>
  <c r="F3542" i="2"/>
  <c r="G3542" i="2"/>
  <c r="H3542" i="2"/>
  <c r="J3542" i="2"/>
  <c r="K3542" i="2"/>
  <c r="L3542" i="2"/>
  <c r="D3543" i="2"/>
  <c r="F3543" i="2"/>
  <c r="G3543" i="2"/>
  <c r="H3543" i="2"/>
  <c r="J3543" i="2"/>
  <c r="K3543" i="2"/>
  <c r="L3543" i="2"/>
  <c r="C3544" i="2"/>
  <c r="D3544" i="2"/>
  <c r="F3544" i="2"/>
  <c r="G3544" i="2"/>
  <c r="H3544" i="2"/>
  <c r="J3544" i="2"/>
  <c r="K3544" i="2"/>
  <c r="L3544" i="2"/>
  <c r="C3545" i="2"/>
  <c r="D3545" i="2"/>
  <c r="F3545" i="2"/>
  <c r="G3545" i="2"/>
  <c r="H3545" i="2"/>
  <c r="J3545" i="2"/>
  <c r="K3545" i="2"/>
  <c r="L3545" i="2"/>
  <c r="D3546" i="2"/>
  <c r="F3546" i="2"/>
  <c r="G3546" i="2"/>
  <c r="H3546" i="2"/>
  <c r="J3546" i="2"/>
  <c r="K3546" i="2"/>
  <c r="L3546" i="2"/>
  <c r="C3547" i="2"/>
  <c r="D3547" i="2"/>
  <c r="F3547" i="2"/>
  <c r="G3547" i="2"/>
  <c r="H3547" i="2"/>
  <c r="J3547" i="2"/>
  <c r="K3547" i="2"/>
  <c r="L3547" i="2"/>
  <c r="C3548" i="2"/>
  <c r="D3548" i="2"/>
  <c r="F3548" i="2"/>
  <c r="G3548" i="2"/>
  <c r="H3548" i="2"/>
  <c r="J3548" i="2"/>
  <c r="K3548" i="2"/>
  <c r="L3548" i="2"/>
  <c r="D3549" i="2"/>
  <c r="F3549" i="2"/>
  <c r="G3549" i="2"/>
  <c r="H3549" i="2"/>
  <c r="J3549" i="2"/>
  <c r="K3549" i="2"/>
  <c r="L3549" i="2"/>
  <c r="C3550" i="2"/>
  <c r="D3550" i="2"/>
  <c r="F3550" i="2"/>
  <c r="G3550" i="2"/>
  <c r="H3550" i="2"/>
  <c r="J3550" i="2"/>
  <c r="K3550" i="2"/>
  <c r="L3550" i="2"/>
  <c r="C3551" i="2"/>
  <c r="D3551" i="2"/>
  <c r="F3551" i="2"/>
  <c r="G3551" i="2"/>
  <c r="H3551" i="2"/>
  <c r="J3551" i="2"/>
  <c r="K3551" i="2"/>
  <c r="L3551" i="2"/>
  <c r="C3552" i="2"/>
  <c r="D3552" i="2"/>
  <c r="F3552" i="2"/>
  <c r="G3552" i="2"/>
  <c r="H3552" i="2"/>
  <c r="J3552" i="2"/>
  <c r="K3552" i="2"/>
  <c r="L3552" i="2"/>
  <c r="C3553" i="2"/>
  <c r="D3553" i="2"/>
  <c r="F3553" i="2"/>
  <c r="G3553" i="2"/>
  <c r="H3553" i="2"/>
  <c r="J3553" i="2"/>
  <c r="K3553" i="2"/>
  <c r="L3553" i="2"/>
  <c r="C3554" i="2"/>
  <c r="D3554" i="2"/>
  <c r="F3554" i="2"/>
  <c r="G3554" i="2"/>
  <c r="H3554" i="2"/>
  <c r="J3554" i="2"/>
  <c r="K3554" i="2"/>
  <c r="L3554" i="2"/>
  <c r="C3555" i="2"/>
  <c r="D3555" i="2"/>
  <c r="F3555" i="2"/>
  <c r="G3555" i="2"/>
  <c r="H3555" i="2"/>
  <c r="J3555" i="2"/>
  <c r="K3555" i="2"/>
  <c r="L3555" i="2"/>
  <c r="C3556" i="2"/>
  <c r="D3556" i="2"/>
  <c r="F3556" i="2"/>
  <c r="G3556" i="2"/>
  <c r="H3556" i="2"/>
  <c r="J3556" i="2"/>
  <c r="K3556" i="2"/>
  <c r="L3556" i="2"/>
  <c r="C3557" i="2"/>
  <c r="D3557" i="2"/>
  <c r="F3557" i="2"/>
  <c r="G3557" i="2"/>
  <c r="H3557" i="2"/>
  <c r="J3557" i="2"/>
  <c r="K3557" i="2"/>
  <c r="L3557" i="2"/>
  <c r="C3558" i="2"/>
  <c r="D3558" i="2"/>
  <c r="F3558" i="2"/>
  <c r="G3558" i="2"/>
  <c r="H3558" i="2"/>
  <c r="J3558" i="2"/>
  <c r="K3558" i="2"/>
  <c r="L3558" i="2"/>
  <c r="C3559" i="2"/>
  <c r="D3559" i="2"/>
  <c r="F3559" i="2"/>
  <c r="G3559" i="2"/>
  <c r="H3559" i="2"/>
  <c r="J3559" i="2"/>
  <c r="K3559" i="2"/>
  <c r="L3559" i="2"/>
  <c r="C3560" i="2"/>
  <c r="D3560" i="2"/>
  <c r="F3560" i="2"/>
  <c r="G3560" i="2"/>
  <c r="H3560" i="2"/>
  <c r="J3560" i="2"/>
  <c r="K3560" i="2"/>
  <c r="L3560" i="2"/>
  <c r="C3561" i="2"/>
  <c r="D3561" i="2"/>
  <c r="F3561" i="2"/>
  <c r="G3561" i="2"/>
  <c r="H3561" i="2"/>
  <c r="J3561" i="2"/>
  <c r="K3561" i="2"/>
  <c r="L3561" i="2"/>
  <c r="C3562" i="2"/>
  <c r="D3562" i="2"/>
  <c r="F3562" i="2"/>
  <c r="G3562" i="2"/>
  <c r="H3562" i="2"/>
  <c r="J3562" i="2"/>
  <c r="K3562" i="2"/>
  <c r="L3562" i="2"/>
  <c r="C3563" i="2"/>
  <c r="D3563" i="2"/>
  <c r="F3563" i="2"/>
  <c r="G3563" i="2"/>
  <c r="H3563" i="2"/>
  <c r="J3563" i="2"/>
  <c r="K3563" i="2"/>
  <c r="L3563" i="2"/>
  <c r="C3564" i="2"/>
  <c r="D3564" i="2"/>
  <c r="F3564" i="2"/>
  <c r="G3564" i="2"/>
  <c r="H3564" i="2"/>
  <c r="J3564" i="2"/>
  <c r="K3564" i="2"/>
  <c r="L3564" i="2"/>
  <c r="C3565" i="2"/>
  <c r="D3565" i="2"/>
  <c r="F3565" i="2"/>
  <c r="G3565" i="2"/>
  <c r="H3565" i="2"/>
  <c r="J3565" i="2"/>
  <c r="K3565" i="2"/>
  <c r="L3565" i="2"/>
  <c r="C3566" i="2"/>
  <c r="D3566" i="2"/>
  <c r="F3566" i="2"/>
  <c r="G3566" i="2"/>
  <c r="H3566" i="2"/>
  <c r="J3566" i="2"/>
  <c r="K3566" i="2"/>
  <c r="L3566" i="2"/>
  <c r="C3567" i="2"/>
  <c r="D3567" i="2"/>
  <c r="F3567" i="2"/>
  <c r="G3567" i="2"/>
  <c r="H3567" i="2"/>
  <c r="J3567" i="2"/>
  <c r="K3567" i="2"/>
  <c r="L3567" i="2"/>
  <c r="C3568" i="2"/>
  <c r="D3568" i="2"/>
  <c r="F3568" i="2"/>
  <c r="G3568" i="2"/>
  <c r="H3568" i="2"/>
  <c r="J3568" i="2"/>
  <c r="K3568" i="2"/>
  <c r="L3568" i="2"/>
  <c r="C3569" i="2"/>
  <c r="D3569" i="2"/>
  <c r="F3569" i="2"/>
  <c r="G3569" i="2"/>
  <c r="H3569" i="2"/>
  <c r="J3569" i="2"/>
  <c r="K3569" i="2"/>
  <c r="L3569" i="2"/>
  <c r="C3570" i="2"/>
  <c r="D3570" i="2"/>
  <c r="F3570" i="2"/>
  <c r="G3570" i="2"/>
  <c r="H3570" i="2"/>
  <c r="J3570" i="2"/>
  <c r="K3570" i="2"/>
  <c r="L3570" i="2"/>
  <c r="C3571" i="2"/>
  <c r="D3571" i="2"/>
  <c r="F3571" i="2"/>
  <c r="G3571" i="2"/>
  <c r="H3571" i="2"/>
  <c r="J3571" i="2"/>
  <c r="K3571" i="2"/>
  <c r="L3571" i="2"/>
  <c r="C3572" i="2"/>
  <c r="D3572" i="2"/>
  <c r="F3572" i="2"/>
  <c r="G3572" i="2"/>
  <c r="H3572" i="2"/>
  <c r="J3572" i="2"/>
  <c r="K3572" i="2"/>
  <c r="L3572" i="2"/>
  <c r="C3573" i="2"/>
  <c r="D3573" i="2"/>
  <c r="F3573" i="2"/>
  <c r="G3573" i="2"/>
  <c r="H3573" i="2"/>
  <c r="J3573" i="2"/>
  <c r="K3573" i="2"/>
  <c r="L3573" i="2"/>
  <c r="C3574" i="2"/>
  <c r="D3574" i="2"/>
  <c r="F3574" i="2"/>
  <c r="G3574" i="2"/>
  <c r="H3574" i="2"/>
  <c r="J3574" i="2"/>
  <c r="K3574" i="2"/>
  <c r="L3574" i="2"/>
  <c r="C3575" i="2"/>
  <c r="D3575" i="2"/>
  <c r="F3575" i="2"/>
  <c r="G3575" i="2"/>
  <c r="H3575" i="2"/>
  <c r="J3575" i="2"/>
  <c r="K3575" i="2"/>
  <c r="L3575" i="2"/>
  <c r="C3576" i="2"/>
  <c r="D3576" i="2"/>
  <c r="F3576" i="2"/>
  <c r="G3576" i="2"/>
  <c r="H3576" i="2"/>
  <c r="J3576" i="2"/>
  <c r="K3576" i="2"/>
  <c r="L3576" i="2"/>
  <c r="C3577" i="2"/>
  <c r="D3577" i="2"/>
  <c r="F3577" i="2"/>
  <c r="G3577" i="2"/>
  <c r="H3577" i="2"/>
  <c r="J3577" i="2"/>
  <c r="K3577" i="2"/>
  <c r="L3577" i="2"/>
  <c r="C3578" i="2"/>
  <c r="D3578" i="2"/>
  <c r="F3578" i="2"/>
  <c r="G3578" i="2"/>
  <c r="H3578" i="2"/>
  <c r="J3578" i="2"/>
  <c r="K3578" i="2"/>
  <c r="L3578" i="2"/>
  <c r="C3579" i="2"/>
  <c r="D3579" i="2"/>
  <c r="F3579" i="2"/>
  <c r="G3579" i="2"/>
  <c r="H3579" i="2"/>
  <c r="J3579" i="2"/>
  <c r="K3579" i="2"/>
  <c r="L3579" i="2"/>
  <c r="C3580" i="2"/>
  <c r="D3580" i="2"/>
  <c r="F3580" i="2"/>
  <c r="G3580" i="2"/>
  <c r="H3580" i="2"/>
  <c r="J3580" i="2"/>
  <c r="K3580" i="2"/>
  <c r="L3580" i="2"/>
  <c r="C3581" i="2"/>
  <c r="D3581" i="2"/>
  <c r="F3581" i="2"/>
  <c r="G3581" i="2"/>
  <c r="H3581" i="2"/>
  <c r="J3581" i="2"/>
  <c r="K3581" i="2"/>
  <c r="L3581" i="2"/>
  <c r="C3582" i="2"/>
  <c r="D3582" i="2"/>
  <c r="F3582" i="2"/>
  <c r="G3582" i="2"/>
  <c r="H3582" i="2"/>
  <c r="J3582" i="2"/>
  <c r="K3582" i="2"/>
  <c r="L3582" i="2"/>
  <c r="C3583" i="2"/>
  <c r="D3583" i="2"/>
  <c r="F3583" i="2"/>
  <c r="G3583" i="2"/>
  <c r="H3583" i="2"/>
  <c r="J3583" i="2"/>
  <c r="K3583" i="2"/>
  <c r="L3583" i="2"/>
  <c r="D3584" i="2"/>
  <c r="F3584" i="2"/>
  <c r="G3584" i="2"/>
  <c r="H3584" i="2"/>
  <c r="J3584" i="2"/>
  <c r="K3584" i="2"/>
  <c r="L3584" i="2"/>
  <c r="C3585" i="2"/>
  <c r="D3585" i="2"/>
  <c r="F3585" i="2"/>
  <c r="G3585" i="2"/>
  <c r="H3585" i="2"/>
  <c r="J3585" i="2"/>
  <c r="K3585" i="2"/>
  <c r="L3585" i="2"/>
  <c r="C3586" i="2"/>
  <c r="D3586" i="2"/>
  <c r="F3586" i="2"/>
  <c r="G3586" i="2"/>
  <c r="H3586" i="2"/>
  <c r="J3586" i="2"/>
  <c r="K3586" i="2"/>
  <c r="L3586" i="2"/>
  <c r="C3587" i="2"/>
  <c r="D3587" i="2"/>
  <c r="F3587" i="2"/>
  <c r="G3587" i="2"/>
  <c r="H3587" i="2"/>
  <c r="J3587" i="2"/>
  <c r="K3587" i="2"/>
  <c r="L3587" i="2"/>
  <c r="C3588" i="2"/>
  <c r="D3588" i="2"/>
  <c r="F3588" i="2"/>
  <c r="G3588" i="2"/>
  <c r="H3588" i="2"/>
  <c r="J3588" i="2"/>
  <c r="K3588" i="2"/>
  <c r="L3588" i="2"/>
  <c r="C3589" i="2"/>
  <c r="D3589" i="2"/>
  <c r="F3589" i="2"/>
  <c r="G3589" i="2"/>
  <c r="H3589" i="2"/>
  <c r="J3589" i="2"/>
  <c r="K3589" i="2"/>
  <c r="L3589" i="2"/>
  <c r="C3590" i="2"/>
  <c r="D3590" i="2"/>
  <c r="F3590" i="2"/>
  <c r="G3590" i="2"/>
  <c r="H3590" i="2"/>
  <c r="J3590" i="2"/>
  <c r="K3590" i="2"/>
  <c r="L3590" i="2"/>
  <c r="C3591" i="2"/>
  <c r="D3591" i="2"/>
  <c r="F3591" i="2"/>
  <c r="G3591" i="2"/>
  <c r="H3591" i="2"/>
  <c r="J3591" i="2"/>
  <c r="K3591" i="2"/>
  <c r="L3591" i="2"/>
  <c r="C3592" i="2"/>
  <c r="D3592" i="2"/>
  <c r="F3592" i="2"/>
  <c r="G3592" i="2"/>
  <c r="H3592" i="2"/>
  <c r="J3592" i="2"/>
  <c r="K3592" i="2"/>
  <c r="L3592" i="2"/>
  <c r="C3593" i="2"/>
  <c r="D3593" i="2"/>
  <c r="F3593" i="2"/>
  <c r="G3593" i="2"/>
  <c r="H3593" i="2"/>
  <c r="J3593" i="2"/>
  <c r="K3593" i="2"/>
  <c r="L3593" i="2"/>
  <c r="C3594" i="2"/>
  <c r="D3594" i="2"/>
  <c r="F3594" i="2"/>
  <c r="G3594" i="2"/>
  <c r="H3594" i="2"/>
  <c r="J3594" i="2"/>
  <c r="K3594" i="2"/>
  <c r="L3594" i="2"/>
  <c r="C3595" i="2"/>
  <c r="D3595" i="2"/>
  <c r="F3595" i="2"/>
  <c r="G3595" i="2"/>
  <c r="H3595" i="2"/>
  <c r="J3595" i="2"/>
  <c r="K3595" i="2"/>
  <c r="L3595" i="2"/>
  <c r="C3596" i="2"/>
  <c r="D3596" i="2"/>
  <c r="F3596" i="2"/>
  <c r="G3596" i="2"/>
  <c r="H3596" i="2"/>
  <c r="J3596" i="2"/>
  <c r="K3596" i="2"/>
  <c r="L3596" i="2"/>
  <c r="C3597" i="2"/>
  <c r="D3597" i="2"/>
  <c r="F3597" i="2"/>
  <c r="G3597" i="2"/>
  <c r="H3597" i="2"/>
  <c r="J3597" i="2"/>
  <c r="K3597" i="2"/>
  <c r="L3597" i="2"/>
  <c r="C3598" i="2"/>
  <c r="D3598" i="2"/>
  <c r="F3598" i="2"/>
  <c r="G3598" i="2"/>
  <c r="H3598" i="2"/>
  <c r="J3598" i="2"/>
  <c r="K3598" i="2"/>
  <c r="L3598" i="2"/>
  <c r="C3599" i="2"/>
  <c r="D3599" i="2"/>
  <c r="F3599" i="2"/>
  <c r="G3599" i="2"/>
  <c r="H3599" i="2"/>
  <c r="J3599" i="2"/>
  <c r="K3599" i="2"/>
  <c r="L3599" i="2"/>
  <c r="C3600" i="2"/>
  <c r="D3600" i="2"/>
  <c r="F3600" i="2"/>
  <c r="G3600" i="2"/>
  <c r="H3600" i="2"/>
  <c r="J3600" i="2"/>
  <c r="K3600" i="2"/>
  <c r="L3600" i="2"/>
  <c r="C3601" i="2"/>
  <c r="D3601" i="2"/>
  <c r="F3601" i="2"/>
  <c r="G3601" i="2"/>
  <c r="H3601" i="2"/>
  <c r="J3601" i="2"/>
  <c r="K3601" i="2"/>
  <c r="L3601" i="2"/>
  <c r="C3602" i="2"/>
  <c r="D3602" i="2"/>
  <c r="F3602" i="2"/>
  <c r="G3602" i="2"/>
  <c r="H3602" i="2"/>
  <c r="J3602" i="2"/>
  <c r="K3602" i="2"/>
  <c r="L3602" i="2"/>
  <c r="C3603" i="2"/>
  <c r="D3603" i="2"/>
  <c r="F3603" i="2"/>
  <c r="G3603" i="2"/>
  <c r="H3603" i="2"/>
  <c r="J3603" i="2"/>
  <c r="K3603" i="2"/>
  <c r="L3603" i="2"/>
  <c r="C3604" i="2"/>
  <c r="D3604" i="2"/>
  <c r="F3604" i="2"/>
  <c r="G3604" i="2"/>
  <c r="H3604" i="2"/>
  <c r="J3604" i="2"/>
  <c r="K3604" i="2"/>
  <c r="L3604" i="2"/>
  <c r="C3605" i="2"/>
  <c r="D3605" i="2"/>
  <c r="F3605" i="2"/>
  <c r="G3605" i="2"/>
  <c r="H3605" i="2"/>
  <c r="J3605" i="2"/>
  <c r="K3605" i="2"/>
  <c r="L3605" i="2"/>
  <c r="C3606" i="2"/>
  <c r="D3606" i="2"/>
  <c r="F3606" i="2"/>
  <c r="G3606" i="2"/>
  <c r="H3606" i="2"/>
  <c r="J3606" i="2"/>
  <c r="K3606" i="2"/>
  <c r="L3606" i="2"/>
  <c r="C3607" i="2"/>
  <c r="D3607" i="2"/>
  <c r="F3607" i="2"/>
  <c r="G3607" i="2"/>
  <c r="H3607" i="2"/>
  <c r="J3607" i="2"/>
  <c r="K3607" i="2"/>
  <c r="L3607" i="2"/>
  <c r="C3608" i="2"/>
  <c r="D3608" i="2"/>
  <c r="F3608" i="2"/>
  <c r="G3608" i="2"/>
  <c r="H3608" i="2"/>
  <c r="J3608" i="2"/>
  <c r="K3608" i="2"/>
  <c r="L3608" i="2"/>
  <c r="C3609" i="2"/>
  <c r="D3609" i="2"/>
  <c r="F3609" i="2"/>
  <c r="G3609" i="2"/>
  <c r="H3609" i="2"/>
  <c r="J3609" i="2"/>
  <c r="K3609" i="2"/>
  <c r="L3609" i="2"/>
  <c r="C3610" i="2"/>
  <c r="D3610" i="2"/>
  <c r="F3610" i="2"/>
  <c r="G3610" i="2"/>
  <c r="H3610" i="2"/>
  <c r="J3610" i="2"/>
  <c r="K3610" i="2"/>
  <c r="L3610" i="2"/>
  <c r="C3611" i="2"/>
  <c r="D3611" i="2"/>
  <c r="F3611" i="2"/>
  <c r="G3611" i="2"/>
  <c r="H3611" i="2"/>
  <c r="J3611" i="2"/>
  <c r="K3611" i="2"/>
  <c r="L3611" i="2"/>
  <c r="C3612" i="2"/>
  <c r="D3612" i="2"/>
  <c r="F3612" i="2"/>
  <c r="G3612" i="2"/>
  <c r="H3612" i="2"/>
  <c r="J3612" i="2"/>
  <c r="K3612" i="2"/>
  <c r="L3612" i="2"/>
  <c r="C3613" i="2"/>
  <c r="D3613" i="2"/>
  <c r="F3613" i="2"/>
  <c r="G3613" i="2"/>
  <c r="H3613" i="2"/>
  <c r="J3613" i="2"/>
  <c r="K3613" i="2"/>
  <c r="L3613" i="2"/>
  <c r="C3614" i="2"/>
  <c r="D3614" i="2"/>
  <c r="F3614" i="2"/>
  <c r="G3614" i="2"/>
  <c r="H3614" i="2"/>
  <c r="J3614" i="2"/>
  <c r="K3614" i="2"/>
  <c r="L3614" i="2"/>
  <c r="C3615" i="2"/>
  <c r="D3615" i="2"/>
  <c r="F3615" i="2"/>
  <c r="G3615" i="2"/>
  <c r="H3615" i="2"/>
  <c r="J3615" i="2"/>
  <c r="K3615" i="2"/>
  <c r="L3615" i="2"/>
  <c r="C3616" i="2"/>
  <c r="D3616" i="2"/>
  <c r="F3616" i="2"/>
  <c r="G3616" i="2"/>
  <c r="H3616" i="2"/>
  <c r="J3616" i="2"/>
  <c r="K3616" i="2"/>
  <c r="L3616" i="2"/>
  <c r="C3617" i="2"/>
  <c r="D3617" i="2"/>
  <c r="F3617" i="2"/>
  <c r="G3617" i="2"/>
  <c r="H3617" i="2"/>
  <c r="J3617" i="2"/>
  <c r="K3617" i="2"/>
  <c r="L3617" i="2"/>
  <c r="C3618" i="2"/>
  <c r="D3618" i="2"/>
  <c r="F3618" i="2"/>
  <c r="G3618" i="2"/>
  <c r="H3618" i="2"/>
  <c r="J3618" i="2"/>
  <c r="K3618" i="2"/>
  <c r="L3618" i="2"/>
  <c r="C3619" i="2"/>
  <c r="D3619" i="2"/>
  <c r="F3619" i="2"/>
  <c r="G3619" i="2"/>
  <c r="H3619" i="2"/>
  <c r="J3619" i="2"/>
  <c r="K3619" i="2"/>
  <c r="L3619" i="2"/>
  <c r="C3620" i="2"/>
  <c r="D3620" i="2"/>
  <c r="F3620" i="2"/>
  <c r="G3620" i="2"/>
  <c r="H3620" i="2"/>
  <c r="J3620" i="2"/>
  <c r="K3620" i="2"/>
  <c r="L3620" i="2"/>
  <c r="C3621" i="2"/>
  <c r="D3621" i="2"/>
  <c r="F3621" i="2"/>
  <c r="G3621" i="2"/>
  <c r="H3621" i="2"/>
  <c r="J3621" i="2"/>
  <c r="K3621" i="2"/>
  <c r="L3621" i="2"/>
  <c r="C3622" i="2"/>
  <c r="D3622" i="2"/>
  <c r="F3622" i="2"/>
  <c r="G3622" i="2"/>
  <c r="H3622" i="2"/>
  <c r="J3622" i="2"/>
  <c r="K3622" i="2"/>
  <c r="L3622" i="2"/>
  <c r="C3623" i="2"/>
  <c r="D3623" i="2"/>
  <c r="F3623" i="2"/>
  <c r="G3623" i="2"/>
  <c r="H3623" i="2"/>
  <c r="J3623" i="2"/>
  <c r="K3623" i="2"/>
  <c r="L3623" i="2"/>
  <c r="C3624" i="2"/>
  <c r="D3624" i="2"/>
  <c r="F3624" i="2"/>
  <c r="G3624" i="2"/>
  <c r="H3624" i="2"/>
  <c r="J3624" i="2"/>
  <c r="K3624" i="2"/>
  <c r="L3624" i="2"/>
  <c r="C3625" i="2"/>
  <c r="D3625" i="2"/>
  <c r="F3625" i="2"/>
  <c r="G3625" i="2"/>
  <c r="H3625" i="2"/>
  <c r="J3625" i="2"/>
  <c r="K3625" i="2"/>
  <c r="L3625" i="2"/>
  <c r="C3626" i="2"/>
  <c r="D3626" i="2"/>
  <c r="F3626" i="2"/>
  <c r="G3626" i="2"/>
  <c r="H3626" i="2"/>
  <c r="J3626" i="2"/>
  <c r="K3626" i="2"/>
  <c r="L3626" i="2"/>
  <c r="C3627" i="2"/>
  <c r="D3627" i="2"/>
  <c r="F3627" i="2"/>
  <c r="G3627" i="2"/>
  <c r="H3627" i="2"/>
  <c r="J3627" i="2"/>
  <c r="K3627" i="2"/>
  <c r="L3627" i="2"/>
  <c r="C3628" i="2"/>
  <c r="D3628" i="2"/>
  <c r="F3628" i="2"/>
  <c r="G3628" i="2"/>
  <c r="H3628" i="2"/>
  <c r="J3628" i="2"/>
  <c r="K3628" i="2"/>
  <c r="L3628" i="2"/>
  <c r="C3629" i="2"/>
  <c r="D3629" i="2"/>
  <c r="F3629" i="2"/>
  <c r="G3629" i="2"/>
  <c r="H3629" i="2"/>
  <c r="J3629" i="2"/>
  <c r="K3629" i="2"/>
  <c r="L3629" i="2"/>
  <c r="C3630" i="2"/>
  <c r="D3630" i="2"/>
  <c r="F3630" i="2"/>
  <c r="G3630" i="2"/>
  <c r="H3630" i="2"/>
  <c r="J3630" i="2"/>
  <c r="K3630" i="2"/>
  <c r="L3630" i="2"/>
  <c r="C3631" i="2"/>
  <c r="D3631" i="2"/>
  <c r="F3631" i="2"/>
  <c r="G3631" i="2"/>
  <c r="H3631" i="2"/>
  <c r="J3631" i="2"/>
  <c r="K3631" i="2"/>
  <c r="L3631" i="2"/>
  <c r="C3632" i="2"/>
  <c r="D3632" i="2"/>
  <c r="F3632" i="2"/>
  <c r="G3632" i="2"/>
  <c r="H3632" i="2"/>
  <c r="J3632" i="2"/>
  <c r="K3632" i="2"/>
  <c r="L3632" i="2"/>
  <c r="C3633" i="2"/>
  <c r="D3633" i="2"/>
  <c r="F3633" i="2"/>
  <c r="G3633" i="2"/>
  <c r="H3633" i="2"/>
  <c r="J3633" i="2"/>
  <c r="K3633" i="2"/>
  <c r="L3633" i="2"/>
  <c r="C3634" i="2"/>
  <c r="D3634" i="2"/>
  <c r="F3634" i="2"/>
  <c r="G3634" i="2"/>
  <c r="H3634" i="2"/>
  <c r="J3634" i="2"/>
  <c r="K3634" i="2"/>
  <c r="L3634" i="2"/>
  <c r="C3635" i="2"/>
  <c r="D3635" i="2"/>
  <c r="F3635" i="2"/>
  <c r="G3635" i="2"/>
  <c r="H3635" i="2"/>
  <c r="J3635" i="2"/>
  <c r="K3635" i="2"/>
  <c r="L3635" i="2"/>
  <c r="C3636" i="2"/>
  <c r="D3636" i="2"/>
  <c r="F3636" i="2"/>
  <c r="G3636" i="2"/>
  <c r="H3636" i="2"/>
  <c r="J3636" i="2"/>
  <c r="K3636" i="2"/>
  <c r="L3636" i="2"/>
  <c r="C3637" i="2"/>
  <c r="D3637" i="2"/>
  <c r="F3637" i="2"/>
  <c r="G3637" i="2"/>
  <c r="H3637" i="2"/>
  <c r="J3637" i="2"/>
  <c r="K3637" i="2"/>
  <c r="L3637" i="2"/>
  <c r="C3638" i="2"/>
  <c r="D3638" i="2"/>
  <c r="F3638" i="2"/>
  <c r="G3638" i="2"/>
  <c r="H3638" i="2"/>
  <c r="J3638" i="2"/>
  <c r="K3638" i="2"/>
  <c r="L3638" i="2"/>
  <c r="C3639" i="2"/>
  <c r="D3639" i="2"/>
  <c r="F3639" i="2"/>
  <c r="G3639" i="2"/>
  <c r="H3639" i="2"/>
  <c r="J3639" i="2"/>
  <c r="K3639" i="2"/>
  <c r="L3639" i="2"/>
  <c r="C3640" i="2"/>
  <c r="D3640" i="2"/>
  <c r="F3640" i="2"/>
  <c r="G3640" i="2"/>
  <c r="H3640" i="2"/>
  <c r="J3640" i="2"/>
  <c r="K3640" i="2"/>
  <c r="L3640" i="2"/>
  <c r="C3641" i="2"/>
  <c r="D3641" i="2"/>
  <c r="F3641" i="2"/>
  <c r="G3641" i="2"/>
  <c r="H3641" i="2"/>
  <c r="J3641" i="2"/>
  <c r="K3641" i="2"/>
  <c r="L3641" i="2"/>
  <c r="C3642" i="2"/>
  <c r="D3642" i="2"/>
  <c r="F3642" i="2"/>
  <c r="G3642" i="2"/>
  <c r="H3642" i="2"/>
  <c r="J3642" i="2"/>
  <c r="K3642" i="2"/>
  <c r="L3642" i="2"/>
  <c r="C3643" i="2"/>
  <c r="D3643" i="2"/>
  <c r="F3643" i="2"/>
  <c r="G3643" i="2"/>
  <c r="H3643" i="2"/>
  <c r="J3643" i="2"/>
  <c r="K3643" i="2"/>
  <c r="L3643" i="2"/>
  <c r="C3644" i="2"/>
  <c r="D3644" i="2"/>
  <c r="F3644" i="2"/>
  <c r="G3644" i="2"/>
  <c r="H3644" i="2"/>
  <c r="J3644" i="2"/>
  <c r="K3644" i="2"/>
  <c r="L3644" i="2"/>
  <c r="C3645" i="2"/>
  <c r="D3645" i="2"/>
  <c r="F3645" i="2"/>
  <c r="G3645" i="2"/>
  <c r="H3645" i="2"/>
  <c r="J3645" i="2"/>
  <c r="K3645" i="2"/>
  <c r="L3645" i="2"/>
  <c r="C3646" i="2"/>
  <c r="D3646" i="2"/>
  <c r="F3646" i="2"/>
  <c r="G3646" i="2"/>
  <c r="H3646" i="2"/>
  <c r="J3646" i="2"/>
  <c r="K3646" i="2"/>
  <c r="L3646" i="2"/>
  <c r="C3647" i="2"/>
  <c r="D3647" i="2"/>
  <c r="F3647" i="2"/>
  <c r="G3647" i="2"/>
  <c r="H3647" i="2"/>
  <c r="J3647" i="2"/>
  <c r="K3647" i="2"/>
  <c r="L3647" i="2"/>
  <c r="C3648" i="2"/>
  <c r="D3648" i="2"/>
  <c r="F3648" i="2"/>
  <c r="G3648" i="2"/>
  <c r="H3648" i="2"/>
  <c r="J3648" i="2"/>
  <c r="K3648" i="2"/>
  <c r="L3648" i="2"/>
  <c r="C3649" i="2"/>
  <c r="D3649" i="2"/>
  <c r="F3649" i="2"/>
  <c r="G3649" i="2"/>
  <c r="H3649" i="2"/>
  <c r="J3649" i="2"/>
  <c r="K3649" i="2"/>
  <c r="L3649" i="2"/>
  <c r="C3650" i="2"/>
  <c r="D3650" i="2"/>
  <c r="F3650" i="2"/>
  <c r="G3650" i="2"/>
  <c r="H3650" i="2"/>
  <c r="J3650" i="2"/>
  <c r="K3650" i="2"/>
  <c r="L3650" i="2"/>
  <c r="C3651" i="2"/>
  <c r="D3651" i="2"/>
  <c r="F3651" i="2"/>
  <c r="G3651" i="2"/>
  <c r="H3651" i="2"/>
  <c r="J3651" i="2"/>
  <c r="K3651" i="2"/>
  <c r="L3651" i="2"/>
  <c r="C3652" i="2"/>
  <c r="D3652" i="2"/>
  <c r="F3652" i="2"/>
  <c r="G3652" i="2"/>
  <c r="H3652" i="2"/>
  <c r="J3652" i="2"/>
  <c r="K3652" i="2"/>
  <c r="L3652" i="2"/>
  <c r="C3653" i="2"/>
  <c r="D3653" i="2"/>
  <c r="F3653" i="2"/>
  <c r="G3653" i="2"/>
  <c r="H3653" i="2"/>
  <c r="J3653" i="2"/>
  <c r="K3653" i="2"/>
  <c r="L3653" i="2"/>
  <c r="C3654" i="2"/>
  <c r="D3654" i="2"/>
  <c r="F3654" i="2"/>
  <c r="G3654" i="2"/>
  <c r="H3654" i="2"/>
  <c r="J3654" i="2"/>
  <c r="K3654" i="2"/>
  <c r="L3654" i="2"/>
  <c r="C3655" i="2"/>
  <c r="D3655" i="2"/>
  <c r="F3655" i="2"/>
  <c r="G3655" i="2"/>
  <c r="H3655" i="2"/>
  <c r="J3655" i="2"/>
  <c r="K3655" i="2"/>
  <c r="L3655" i="2"/>
  <c r="C3656" i="2"/>
  <c r="D3656" i="2"/>
  <c r="F3656" i="2"/>
  <c r="G3656" i="2"/>
  <c r="H3656" i="2"/>
  <c r="J3656" i="2"/>
  <c r="K3656" i="2"/>
  <c r="L3656" i="2"/>
  <c r="C3657" i="2"/>
  <c r="D3657" i="2"/>
  <c r="F3657" i="2"/>
  <c r="G3657" i="2"/>
  <c r="H3657" i="2"/>
  <c r="J3657" i="2"/>
  <c r="K3657" i="2"/>
  <c r="L3657" i="2"/>
  <c r="C3658" i="2"/>
  <c r="D3658" i="2"/>
  <c r="F3658" i="2"/>
  <c r="G3658" i="2"/>
  <c r="H3658" i="2"/>
  <c r="J3658" i="2"/>
  <c r="K3658" i="2"/>
  <c r="L3658" i="2"/>
  <c r="C3659" i="2"/>
  <c r="D3659" i="2"/>
  <c r="F3659" i="2"/>
  <c r="G3659" i="2"/>
  <c r="H3659" i="2"/>
  <c r="J3659" i="2"/>
  <c r="K3659" i="2"/>
  <c r="L3659" i="2"/>
  <c r="C3660" i="2"/>
  <c r="D3660" i="2"/>
  <c r="F3660" i="2"/>
  <c r="G3660" i="2"/>
  <c r="H3660" i="2"/>
  <c r="J3660" i="2"/>
  <c r="K3660" i="2"/>
  <c r="L3660" i="2"/>
  <c r="C3661" i="2"/>
  <c r="D3661" i="2"/>
  <c r="F3661" i="2"/>
  <c r="G3661" i="2"/>
  <c r="H3661" i="2"/>
  <c r="J3661" i="2"/>
  <c r="K3661" i="2"/>
  <c r="L3661" i="2"/>
  <c r="C3662" i="2"/>
  <c r="D3662" i="2"/>
  <c r="F3662" i="2"/>
  <c r="G3662" i="2"/>
  <c r="H3662" i="2"/>
  <c r="J3662" i="2"/>
  <c r="K3662" i="2"/>
  <c r="L3662" i="2"/>
  <c r="C3663" i="2"/>
  <c r="D3663" i="2"/>
  <c r="F3663" i="2"/>
  <c r="G3663" i="2"/>
  <c r="H3663" i="2"/>
  <c r="J3663" i="2"/>
  <c r="K3663" i="2"/>
  <c r="L3663" i="2"/>
  <c r="C3664" i="2"/>
  <c r="D3664" i="2"/>
  <c r="F3664" i="2"/>
  <c r="G3664" i="2"/>
  <c r="H3664" i="2"/>
  <c r="J3664" i="2"/>
  <c r="K3664" i="2"/>
  <c r="L3664" i="2"/>
  <c r="C3665" i="2"/>
  <c r="D3665" i="2"/>
  <c r="F3665" i="2"/>
  <c r="G3665" i="2"/>
  <c r="H3665" i="2"/>
  <c r="J3665" i="2"/>
  <c r="K3665" i="2"/>
  <c r="L3665" i="2"/>
  <c r="C3666" i="2"/>
  <c r="D3666" i="2"/>
  <c r="F3666" i="2"/>
  <c r="G3666" i="2"/>
  <c r="H3666" i="2"/>
  <c r="J3666" i="2"/>
  <c r="K3666" i="2"/>
  <c r="L3666" i="2"/>
  <c r="C3667" i="2"/>
  <c r="D3667" i="2"/>
  <c r="F3667" i="2"/>
  <c r="G3667" i="2"/>
  <c r="H3667" i="2"/>
  <c r="J3667" i="2"/>
  <c r="K3667" i="2"/>
  <c r="L3667" i="2"/>
  <c r="C3668" i="2"/>
  <c r="D3668" i="2"/>
  <c r="F3668" i="2"/>
  <c r="G3668" i="2"/>
  <c r="H3668" i="2"/>
  <c r="J3668" i="2"/>
  <c r="K3668" i="2"/>
  <c r="L3668" i="2"/>
  <c r="C3669" i="2"/>
  <c r="D3669" i="2"/>
  <c r="F3669" i="2"/>
  <c r="G3669" i="2"/>
  <c r="H3669" i="2"/>
  <c r="J3669" i="2"/>
  <c r="K3669" i="2"/>
  <c r="L3669" i="2"/>
  <c r="C3670" i="2"/>
  <c r="D3670" i="2"/>
  <c r="F3670" i="2"/>
  <c r="G3670" i="2"/>
  <c r="H3670" i="2"/>
  <c r="J3670" i="2"/>
  <c r="K3670" i="2"/>
  <c r="L3670" i="2"/>
  <c r="C3671" i="2"/>
  <c r="D3671" i="2"/>
  <c r="F3671" i="2"/>
  <c r="G3671" i="2"/>
  <c r="H3671" i="2"/>
  <c r="J3671" i="2"/>
  <c r="K3671" i="2"/>
  <c r="L3671" i="2"/>
  <c r="C3672" i="2"/>
  <c r="D3672" i="2"/>
  <c r="F3672" i="2"/>
  <c r="G3672" i="2"/>
  <c r="H3672" i="2"/>
  <c r="J3672" i="2"/>
  <c r="K3672" i="2"/>
  <c r="L3672" i="2"/>
  <c r="C3673" i="2"/>
  <c r="D3673" i="2"/>
  <c r="F3673" i="2"/>
  <c r="G3673" i="2"/>
  <c r="H3673" i="2"/>
  <c r="J3673" i="2"/>
  <c r="K3673" i="2"/>
  <c r="L3673" i="2"/>
  <c r="C3674" i="2"/>
  <c r="D3674" i="2"/>
  <c r="F3674" i="2"/>
  <c r="G3674" i="2"/>
  <c r="H3674" i="2"/>
  <c r="J3674" i="2"/>
  <c r="K3674" i="2"/>
  <c r="L3674" i="2"/>
  <c r="C3675" i="2"/>
  <c r="D3675" i="2"/>
  <c r="E3675" i="2"/>
  <c r="F3675" i="2"/>
  <c r="G3675" i="2"/>
  <c r="H3675" i="2"/>
  <c r="J3675" i="2"/>
  <c r="K3675" i="2"/>
  <c r="L3675" i="2"/>
  <c r="C3676" i="2"/>
  <c r="D3676" i="2"/>
  <c r="F3676" i="2"/>
  <c r="G3676" i="2"/>
  <c r="H3676" i="2"/>
  <c r="J3676" i="2"/>
  <c r="K3676" i="2"/>
  <c r="L3676" i="2"/>
  <c r="C3677" i="2"/>
  <c r="D3677" i="2"/>
  <c r="F3677" i="2"/>
  <c r="G3677" i="2"/>
  <c r="H3677" i="2"/>
  <c r="J3677" i="2"/>
  <c r="K3677" i="2"/>
  <c r="L3677" i="2"/>
  <c r="C3678" i="2"/>
  <c r="D3678" i="2"/>
  <c r="F3678" i="2"/>
  <c r="G3678" i="2"/>
  <c r="H3678" i="2"/>
  <c r="J3678" i="2"/>
  <c r="K3678" i="2"/>
  <c r="L3678" i="2"/>
  <c r="C3679" i="2"/>
  <c r="D3679" i="2"/>
  <c r="F3679" i="2"/>
  <c r="G3679" i="2"/>
  <c r="H3679" i="2"/>
  <c r="J3679" i="2"/>
  <c r="K3679" i="2"/>
  <c r="L3679" i="2"/>
  <c r="C3680" i="2"/>
  <c r="D3680" i="2"/>
  <c r="F3680" i="2"/>
  <c r="G3680" i="2"/>
  <c r="H3680" i="2"/>
  <c r="J3680" i="2"/>
  <c r="K3680" i="2"/>
  <c r="L3680" i="2"/>
  <c r="C3681" i="2"/>
  <c r="D3681" i="2"/>
  <c r="F3681" i="2"/>
  <c r="G3681" i="2"/>
  <c r="H3681" i="2"/>
  <c r="J3681" i="2"/>
  <c r="K3681" i="2"/>
  <c r="L3681" i="2"/>
  <c r="C3682" i="2"/>
  <c r="D3682" i="2"/>
  <c r="F3682" i="2"/>
  <c r="G3682" i="2"/>
  <c r="H3682" i="2"/>
  <c r="J3682" i="2"/>
  <c r="K3682" i="2"/>
  <c r="L3682" i="2"/>
  <c r="C3683" i="2"/>
  <c r="D3683" i="2"/>
  <c r="F3683" i="2"/>
  <c r="G3683" i="2"/>
  <c r="H3683" i="2"/>
  <c r="J3683" i="2"/>
  <c r="K3683" i="2"/>
  <c r="L3683" i="2"/>
  <c r="C3684" i="2"/>
  <c r="D3684" i="2"/>
  <c r="F3684" i="2"/>
  <c r="G3684" i="2"/>
  <c r="H3684" i="2"/>
  <c r="J3684" i="2"/>
  <c r="K3684" i="2"/>
  <c r="L3684" i="2"/>
  <c r="C3685" i="2"/>
  <c r="D3685" i="2"/>
  <c r="F3685" i="2"/>
  <c r="G3685" i="2"/>
  <c r="H3685" i="2"/>
  <c r="J3685" i="2"/>
  <c r="K3685" i="2"/>
  <c r="L3685" i="2"/>
  <c r="C3686" i="2"/>
  <c r="D3686" i="2"/>
  <c r="F3686" i="2"/>
  <c r="G3686" i="2"/>
  <c r="H3686" i="2"/>
  <c r="J3686" i="2"/>
  <c r="K3686" i="2"/>
  <c r="L3686" i="2"/>
  <c r="C3687" i="2"/>
  <c r="D3687" i="2"/>
  <c r="F3687" i="2"/>
  <c r="G3687" i="2"/>
  <c r="H3687" i="2"/>
  <c r="J3687" i="2"/>
  <c r="K3687" i="2"/>
  <c r="L3687" i="2"/>
  <c r="C3688" i="2"/>
  <c r="D3688" i="2"/>
  <c r="F3688" i="2"/>
  <c r="G3688" i="2"/>
  <c r="H3688" i="2"/>
  <c r="J3688" i="2"/>
  <c r="K3688" i="2"/>
  <c r="L3688" i="2"/>
  <c r="C3689" i="2"/>
  <c r="D3689" i="2"/>
  <c r="F3689" i="2"/>
  <c r="G3689" i="2"/>
  <c r="H3689" i="2"/>
  <c r="J3689" i="2"/>
  <c r="K3689" i="2"/>
  <c r="L3689" i="2"/>
  <c r="C3690" i="2"/>
  <c r="D3690" i="2"/>
  <c r="F3690" i="2"/>
  <c r="G3690" i="2"/>
  <c r="H3690" i="2"/>
  <c r="J3690" i="2"/>
  <c r="K3690" i="2"/>
  <c r="L3690" i="2"/>
  <c r="C3691" i="2"/>
  <c r="D3691" i="2"/>
  <c r="F3691" i="2"/>
  <c r="G3691" i="2"/>
  <c r="H3691" i="2"/>
  <c r="J3691" i="2"/>
  <c r="K3691" i="2"/>
  <c r="L3691" i="2"/>
  <c r="C3692" i="2"/>
  <c r="D3692" i="2"/>
  <c r="F3692" i="2"/>
  <c r="G3692" i="2"/>
  <c r="H3692" i="2"/>
  <c r="J3692" i="2"/>
  <c r="K3692" i="2"/>
  <c r="L3692" i="2"/>
  <c r="C3693" i="2"/>
  <c r="D3693" i="2"/>
  <c r="F3693" i="2"/>
  <c r="G3693" i="2"/>
  <c r="H3693" i="2"/>
  <c r="J3693" i="2"/>
  <c r="K3693" i="2"/>
  <c r="L3693" i="2"/>
  <c r="C3694" i="2"/>
  <c r="D3694" i="2"/>
  <c r="F3694" i="2"/>
  <c r="G3694" i="2"/>
  <c r="H3694" i="2"/>
  <c r="J3694" i="2"/>
  <c r="K3694" i="2"/>
  <c r="L3694" i="2"/>
  <c r="C3695" i="2"/>
  <c r="D3695" i="2"/>
  <c r="F3695" i="2"/>
  <c r="G3695" i="2"/>
  <c r="H3695" i="2"/>
  <c r="J3695" i="2"/>
  <c r="K3695" i="2"/>
  <c r="L3695" i="2"/>
  <c r="C3696" i="2"/>
  <c r="D3696" i="2"/>
  <c r="F3696" i="2"/>
  <c r="G3696" i="2"/>
  <c r="H3696" i="2"/>
  <c r="J3696" i="2"/>
  <c r="K3696" i="2"/>
  <c r="L3696" i="2"/>
  <c r="C3697" i="2"/>
  <c r="D3697" i="2"/>
  <c r="F3697" i="2"/>
  <c r="G3697" i="2"/>
  <c r="H3697" i="2"/>
  <c r="J3697" i="2"/>
  <c r="K3697" i="2"/>
  <c r="L3697" i="2"/>
  <c r="C3698" i="2"/>
  <c r="D3698" i="2"/>
  <c r="F3698" i="2"/>
  <c r="G3698" i="2"/>
  <c r="H3698" i="2"/>
  <c r="J3698" i="2"/>
  <c r="K3698" i="2"/>
  <c r="L3698" i="2"/>
  <c r="C3699" i="2"/>
  <c r="D3699" i="2"/>
  <c r="F3699" i="2"/>
  <c r="G3699" i="2"/>
  <c r="H3699" i="2"/>
  <c r="J3699" i="2"/>
  <c r="K3699" i="2"/>
  <c r="L3699" i="2"/>
  <c r="C3700" i="2"/>
  <c r="D3700" i="2"/>
  <c r="F3700" i="2"/>
  <c r="G3700" i="2"/>
  <c r="H3700" i="2"/>
  <c r="J3700" i="2"/>
  <c r="K3700" i="2"/>
  <c r="L3700" i="2"/>
  <c r="C3701" i="2"/>
  <c r="D3701" i="2"/>
  <c r="F3701" i="2"/>
  <c r="G3701" i="2"/>
  <c r="H3701" i="2"/>
  <c r="J3701" i="2"/>
  <c r="K3701" i="2"/>
  <c r="L3701" i="2"/>
  <c r="C3702" i="2"/>
  <c r="D3702" i="2"/>
  <c r="F3702" i="2"/>
  <c r="G3702" i="2"/>
  <c r="H3702" i="2"/>
  <c r="J3702" i="2"/>
  <c r="K3702" i="2"/>
  <c r="L3702" i="2"/>
  <c r="C3703" i="2"/>
  <c r="D3703" i="2"/>
  <c r="F3703" i="2"/>
  <c r="G3703" i="2"/>
  <c r="H3703" i="2"/>
  <c r="J3703" i="2"/>
  <c r="K3703" i="2"/>
  <c r="L3703" i="2"/>
  <c r="C3704" i="2"/>
  <c r="D3704" i="2"/>
  <c r="F3704" i="2"/>
  <c r="G3704" i="2"/>
  <c r="H3704" i="2"/>
  <c r="J3704" i="2"/>
  <c r="K3704" i="2"/>
  <c r="L3704" i="2"/>
  <c r="C3705" i="2"/>
  <c r="D3705" i="2"/>
  <c r="F3705" i="2"/>
  <c r="G3705" i="2"/>
  <c r="H3705" i="2"/>
  <c r="J3705" i="2"/>
  <c r="K3705" i="2"/>
  <c r="L3705" i="2"/>
  <c r="C3706" i="2"/>
  <c r="D3706" i="2"/>
  <c r="F3706" i="2"/>
  <c r="G3706" i="2"/>
  <c r="H3706" i="2"/>
  <c r="J3706" i="2"/>
  <c r="K3706" i="2"/>
  <c r="L3706" i="2"/>
  <c r="C3707" i="2"/>
  <c r="D3707" i="2"/>
  <c r="F3707" i="2"/>
  <c r="G3707" i="2"/>
  <c r="H3707" i="2"/>
  <c r="J3707" i="2"/>
  <c r="K3707" i="2"/>
  <c r="L3707" i="2"/>
  <c r="C3708" i="2"/>
  <c r="D3708" i="2"/>
  <c r="F3708" i="2"/>
  <c r="G3708" i="2"/>
  <c r="H3708" i="2"/>
  <c r="J3708" i="2"/>
  <c r="K3708" i="2"/>
  <c r="L3708" i="2"/>
  <c r="C3709" i="2"/>
  <c r="D3709" i="2"/>
  <c r="F3709" i="2"/>
  <c r="G3709" i="2"/>
  <c r="H3709" i="2"/>
  <c r="J3709" i="2"/>
  <c r="K3709" i="2"/>
  <c r="L3709" i="2"/>
  <c r="C3710" i="2"/>
  <c r="D3710" i="2"/>
  <c r="F3710" i="2"/>
  <c r="G3710" i="2"/>
  <c r="H3710" i="2"/>
  <c r="J3710" i="2"/>
  <c r="K3710" i="2"/>
  <c r="L3710" i="2"/>
  <c r="C3711" i="2"/>
  <c r="D3711" i="2"/>
  <c r="F3711" i="2"/>
  <c r="G3711" i="2"/>
  <c r="H3711" i="2"/>
  <c r="J3711" i="2"/>
  <c r="K3711" i="2"/>
  <c r="L3711" i="2"/>
  <c r="C3712" i="2"/>
  <c r="D3712" i="2"/>
  <c r="F3712" i="2"/>
  <c r="G3712" i="2"/>
  <c r="H3712" i="2"/>
  <c r="J3712" i="2"/>
  <c r="K3712" i="2"/>
  <c r="L3712" i="2"/>
  <c r="C3713" i="2"/>
  <c r="D3713" i="2"/>
  <c r="F3713" i="2"/>
  <c r="G3713" i="2"/>
  <c r="H3713" i="2"/>
  <c r="J3713" i="2"/>
  <c r="K3713" i="2"/>
  <c r="L3713" i="2"/>
  <c r="C3714" i="2"/>
  <c r="D3714" i="2"/>
  <c r="F3714" i="2"/>
  <c r="G3714" i="2"/>
  <c r="H3714" i="2"/>
  <c r="J3714" i="2"/>
  <c r="K3714" i="2"/>
  <c r="L3714" i="2"/>
  <c r="C3715" i="2"/>
  <c r="D3715" i="2"/>
  <c r="F3715" i="2"/>
  <c r="G3715" i="2"/>
  <c r="H3715" i="2"/>
  <c r="J3715" i="2"/>
  <c r="K3715" i="2"/>
  <c r="L3715" i="2"/>
  <c r="C3716" i="2"/>
  <c r="D3716" i="2"/>
  <c r="F3716" i="2"/>
  <c r="G3716" i="2"/>
  <c r="H3716" i="2"/>
  <c r="J3716" i="2"/>
  <c r="K3716" i="2"/>
  <c r="L3716" i="2"/>
  <c r="C3717" i="2"/>
  <c r="D3717" i="2"/>
  <c r="F3717" i="2"/>
  <c r="G3717" i="2"/>
  <c r="H3717" i="2"/>
  <c r="J3717" i="2"/>
  <c r="K3717" i="2"/>
  <c r="L3717" i="2"/>
  <c r="C3718" i="2"/>
  <c r="D3718" i="2"/>
  <c r="F3718" i="2"/>
  <c r="G3718" i="2"/>
  <c r="H3718" i="2"/>
  <c r="J3718" i="2"/>
  <c r="K3718" i="2"/>
  <c r="L3718" i="2"/>
  <c r="C3719" i="2"/>
  <c r="D3719" i="2"/>
  <c r="F3719" i="2"/>
  <c r="G3719" i="2"/>
  <c r="H3719" i="2"/>
  <c r="J3719" i="2"/>
  <c r="K3719" i="2"/>
  <c r="L3719" i="2"/>
  <c r="C3720" i="2"/>
  <c r="D3720" i="2"/>
  <c r="F3720" i="2"/>
  <c r="G3720" i="2"/>
  <c r="H3720" i="2"/>
  <c r="J3720" i="2"/>
  <c r="K3720" i="2"/>
  <c r="L3720" i="2"/>
  <c r="C3721" i="2"/>
  <c r="D3721" i="2"/>
  <c r="F3721" i="2"/>
  <c r="G3721" i="2"/>
  <c r="H3721" i="2"/>
  <c r="J3721" i="2"/>
  <c r="K3721" i="2"/>
  <c r="L3721" i="2"/>
  <c r="C3722" i="2"/>
  <c r="D3722" i="2"/>
  <c r="E3722" i="2"/>
  <c r="F3722" i="2"/>
  <c r="G3722" i="2"/>
  <c r="H3722" i="2"/>
  <c r="J3722" i="2"/>
  <c r="K3722" i="2"/>
  <c r="L3722" i="2"/>
  <c r="C3723" i="2"/>
  <c r="D3723" i="2"/>
  <c r="F3723" i="2"/>
  <c r="G3723" i="2"/>
  <c r="H3723" i="2"/>
  <c r="J3723" i="2"/>
  <c r="K3723" i="2"/>
  <c r="L3723" i="2"/>
  <c r="C3724" i="2"/>
  <c r="D3724" i="2"/>
  <c r="F3724" i="2"/>
  <c r="G3724" i="2"/>
  <c r="H3724" i="2"/>
  <c r="J3724" i="2"/>
  <c r="K3724" i="2"/>
  <c r="L3724" i="2"/>
  <c r="C3725" i="2"/>
  <c r="D3725" i="2"/>
  <c r="F3725" i="2"/>
  <c r="G3725" i="2"/>
  <c r="H3725" i="2"/>
  <c r="J3725" i="2"/>
  <c r="K3725" i="2"/>
  <c r="L3725" i="2"/>
  <c r="C3726" i="2"/>
  <c r="D3726" i="2"/>
  <c r="F3726" i="2"/>
  <c r="G3726" i="2"/>
  <c r="H3726" i="2"/>
  <c r="J3726" i="2"/>
  <c r="K3726" i="2"/>
  <c r="L3726" i="2"/>
  <c r="C3727" i="2"/>
  <c r="D3727" i="2"/>
  <c r="F3727" i="2"/>
  <c r="G3727" i="2"/>
  <c r="H3727" i="2"/>
  <c r="J3727" i="2"/>
  <c r="K3727" i="2"/>
  <c r="L3727" i="2"/>
  <c r="C3728" i="2"/>
  <c r="D3728" i="2"/>
  <c r="F3728" i="2"/>
  <c r="G3728" i="2"/>
  <c r="H3728" i="2"/>
  <c r="J3728" i="2"/>
  <c r="K3728" i="2"/>
  <c r="L3728" i="2"/>
  <c r="C3729" i="2"/>
  <c r="D3729" i="2"/>
  <c r="F3729" i="2"/>
  <c r="G3729" i="2"/>
  <c r="H3729" i="2"/>
  <c r="J3729" i="2"/>
  <c r="K3729" i="2"/>
  <c r="L3729" i="2"/>
  <c r="C3730" i="2"/>
  <c r="D3730" i="2"/>
  <c r="F3730" i="2"/>
  <c r="G3730" i="2"/>
  <c r="H3730" i="2"/>
  <c r="J3730" i="2"/>
  <c r="K3730" i="2"/>
  <c r="L3730" i="2"/>
  <c r="C3731" i="2"/>
  <c r="D3731" i="2"/>
  <c r="F3731" i="2"/>
  <c r="G3731" i="2"/>
  <c r="H3731" i="2"/>
  <c r="J3731" i="2"/>
  <c r="K3731" i="2"/>
  <c r="L3731" i="2"/>
  <c r="C3732" i="2"/>
  <c r="D3732" i="2"/>
  <c r="F3732" i="2"/>
  <c r="G3732" i="2"/>
  <c r="H3732" i="2"/>
  <c r="J3732" i="2"/>
  <c r="K3732" i="2"/>
  <c r="L3732" i="2"/>
  <c r="C3733" i="2"/>
  <c r="D3733" i="2"/>
  <c r="F3733" i="2"/>
  <c r="G3733" i="2"/>
  <c r="H3733" i="2"/>
  <c r="J3733" i="2"/>
  <c r="K3733" i="2"/>
  <c r="L3733" i="2"/>
  <c r="C3734" i="2"/>
  <c r="D3734" i="2"/>
  <c r="F3734" i="2"/>
  <c r="G3734" i="2"/>
  <c r="H3734" i="2"/>
  <c r="J3734" i="2"/>
  <c r="K3734" i="2"/>
  <c r="L3734" i="2"/>
  <c r="C3735" i="2"/>
  <c r="D3735" i="2"/>
  <c r="F3735" i="2"/>
  <c r="G3735" i="2"/>
  <c r="H3735" i="2"/>
  <c r="J3735" i="2"/>
  <c r="K3735" i="2"/>
  <c r="L3735" i="2"/>
  <c r="C3736" i="2"/>
  <c r="D3736" i="2"/>
  <c r="F3736" i="2"/>
  <c r="G3736" i="2"/>
  <c r="H3736" i="2"/>
  <c r="J3736" i="2"/>
  <c r="K3736" i="2"/>
  <c r="L3736" i="2"/>
  <c r="C3737" i="2"/>
  <c r="D3737" i="2"/>
  <c r="F3737" i="2"/>
  <c r="G3737" i="2"/>
  <c r="H3737" i="2"/>
  <c r="J3737" i="2"/>
  <c r="K3737" i="2"/>
  <c r="L3737" i="2"/>
  <c r="C3738" i="2"/>
  <c r="D3738" i="2"/>
  <c r="F3738" i="2"/>
  <c r="G3738" i="2"/>
  <c r="H3738" i="2"/>
  <c r="J3738" i="2"/>
  <c r="K3738" i="2"/>
  <c r="L3738" i="2"/>
  <c r="C3739" i="2"/>
  <c r="D3739" i="2"/>
  <c r="F3739" i="2"/>
  <c r="G3739" i="2"/>
  <c r="H3739" i="2"/>
  <c r="J3739" i="2"/>
  <c r="K3739" i="2"/>
  <c r="L3739" i="2"/>
  <c r="C3740" i="2"/>
  <c r="D3740" i="2"/>
  <c r="F3740" i="2"/>
  <c r="G3740" i="2"/>
  <c r="H3740" i="2"/>
  <c r="J3740" i="2"/>
  <c r="K3740" i="2"/>
  <c r="L3740" i="2"/>
  <c r="C3741" i="2"/>
  <c r="D3741" i="2"/>
  <c r="F3741" i="2"/>
  <c r="G3741" i="2"/>
  <c r="H3741" i="2"/>
  <c r="J3741" i="2"/>
  <c r="K3741" i="2"/>
  <c r="L3741" i="2"/>
  <c r="C3742" i="2"/>
  <c r="D3742" i="2"/>
  <c r="F3742" i="2"/>
  <c r="G3742" i="2"/>
  <c r="H3742" i="2"/>
  <c r="J3742" i="2"/>
  <c r="K3742" i="2"/>
  <c r="L3742" i="2"/>
  <c r="C3743" i="2"/>
  <c r="D3743" i="2"/>
  <c r="F3743" i="2"/>
  <c r="G3743" i="2"/>
  <c r="H3743" i="2"/>
  <c r="J3743" i="2"/>
  <c r="K3743" i="2"/>
  <c r="L3743" i="2"/>
  <c r="C3744" i="2"/>
  <c r="D3744" i="2"/>
  <c r="F3744" i="2"/>
  <c r="G3744" i="2"/>
  <c r="H3744" i="2"/>
  <c r="J3744" i="2"/>
  <c r="K3744" i="2"/>
  <c r="L3744" i="2"/>
  <c r="C3745" i="2"/>
  <c r="D3745" i="2"/>
  <c r="F3745" i="2"/>
  <c r="G3745" i="2"/>
  <c r="H3745" i="2"/>
  <c r="J3745" i="2"/>
  <c r="K3745" i="2"/>
  <c r="L3745" i="2"/>
  <c r="C3746" i="2"/>
  <c r="D3746" i="2"/>
  <c r="F3746" i="2"/>
  <c r="G3746" i="2"/>
  <c r="H3746" i="2"/>
  <c r="J3746" i="2"/>
  <c r="K3746" i="2"/>
  <c r="L3746" i="2"/>
  <c r="C3747" i="2"/>
  <c r="D3747" i="2"/>
  <c r="F3747" i="2"/>
  <c r="G3747" i="2"/>
  <c r="H3747" i="2"/>
  <c r="J3747" i="2"/>
  <c r="K3747" i="2"/>
  <c r="L3747" i="2"/>
  <c r="C3748" i="2"/>
  <c r="D3748" i="2"/>
  <c r="F3748" i="2"/>
  <c r="G3748" i="2"/>
  <c r="H3748" i="2"/>
  <c r="J3748" i="2"/>
  <c r="K3748" i="2"/>
  <c r="L3748" i="2"/>
  <c r="C3749" i="2"/>
  <c r="D3749" i="2"/>
  <c r="F3749" i="2"/>
  <c r="G3749" i="2"/>
  <c r="H3749" i="2"/>
  <c r="J3749" i="2"/>
  <c r="K3749" i="2"/>
  <c r="L3749" i="2"/>
  <c r="C3750" i="2"/>
  <c r="D3750" i="2"/>
  <c r="F3750" i="2"/>
  <c r="G3750" i="2"/>
  <c r="H3750" i="2"/>
  <c r="J3750" i="2"/>
  <c r="K3750" i="2"/>
  <c r="L3750" i="2"/>
  <c r="C3751" i="2"/>
  <c r="D3751" i="2"/>
  <c r="F3751" i="2"/>
  <c r="G3751" i="2"/>
  <c r="H3751" i="2"/>
  <c r="J3751" i="2"/>
  <c r="K3751" i="2"/>
  <c r="L3751" i="2"/>
  <c r="C3752" i="2"/>
  <c r="D3752" i="2"/>
  <c r="F3752" i="2"/>
  <c r="G3752" i="2"/>
  <c r="H3752" i="2"/>
  <c r="J3752" i="2"/>
  <c r="K3752" i="2"/>
  <c r="L3752" i="2"/>
  <c r="C3753" i="2"/>
  <c r="D3753" i="2"/>
  <c r="F3753" i="2"/>
  <c r="G3753" i="2"/>
  <c r="H3753" i="2"/>
  <c r="J3753" i="2"/>
  <c r="K3753" i="2"/>
  <c r="L3753" i="2"/>
  <c r="C3754" i="2"/>
  <c r="D3754" i="2"/>
  <c r="F3754" i="2"/>
  <c r="G3754" i="2"/>
  <c r="H3754" i="2"/>
  <c r="J3754" i="2"/>
  <c r="K3754" i="2"/>
  <c r="L3754" i="2"/>
  <c r="C3755" i="2"/>
  <c r="D3755" i="2"/>
  <c r="F3755" i="2"/>
  <c r="G3755" i="2"/>
  <c r="H3755" i="2"/>
  <c r="J3755" i="2"/>
  <c r="K3755" i="2"/>
  <c r="L3755" i="2"/>
  <c r="C3756" i="2"/>
  <c r="D3756" i="2"/>
  <c r="F3756" i="2"/>
  <c r="G3756" i="2"/>
  <c r="H3756" i="2"/>
  <c r="J3756" i="2"/>
  <c r="K3756" i="2"/>
  <c r="L3756" i="2"/>
  <c r="C3757" i="2"/>
  <c r="D3757" i="2"/>
  <c r="F3757" i="2"/>
  <c r="G3757" i="2"/>
  <c r="H3757" i="2"/>
  <c r="J3757" i="2"/>
  <c r="K3757" i="2"/>
  <c r="L3757" i="2"/>
  <c r="C3758" i="2"/>
  <c r="D3758" i="2"/>
  <c r="F3758" i="2"/>
  <c r="G3758" i="2"/>
  <c r="H3758" i="2"/>
  <c r="J3758" i="2"/>
  <c r="K3758" i="2"/>
  <c r="L3758" i="2"/>
  <c r="C3759" i="2"/>
  <c r="D3759" i="2"/>
  <c r="F3759" i="2"/>
  <c r="G3759" i="2"/>
  <c r="H3759" i="2"/>
  <c r="J3759" i="2"/>
  <c r="K3759" i="2"/>
  <c r="L3759" i="2"/>
  <c r="C3760" i="2"/>
  <c r="D3760" i="2"/>
  <c r="F3760" i="2"/>
  <c r="G3760" i="2"/>
  <c r="H3760" i="2"/>
  <c r="J3760" i="2"/>
  <c r="K3760" i="2"/>
  <c r="L3760" i="2"/>
  <c r="C3761" i="2"/>
  <c r="D3761" i="2"/>
  <c r="F3761" i="2"/>
  <c r="G3761" i="2"/>
  <c r="H3761" i="2"/>
  <c r="J3761" i="2"/>
  <c r="K3761" i="2"/>
  <c r="L3761" i="2"/>
  <c r="C3762" i="2"/>
  <c r="D3762" i="2"/>
  <c r="F3762" i="2"/>
  <c r="G3762" i="2"/>
  <c r="H3762" i="2"/>
  <c r="J3762" i="2"/>
  <c r="K3762" i="2"/>
  <c r="L3762" i="2"/>
  <c r="C3763" i="2"/>
  <c r="D3763" i="2"/>
  <c r="F3763" i="2"/>
  <c r="G3763" i="2"/>
  <c r="H3763" i="2"/>
  <c r="J3763" i="2"/>
  <c r="K3763" i="2"/>
  <c r="L3763" i="2"/>
  <c r="C3764" i="2"/>
  <c r="D3764" i="2"/>
  <c r="F3764" i="2"/>
  <c r="G3764" i="2"/>
  <c r="H3764" i="2"/>
  <c r="J3764" i="2"/>
  <c r="K3764" i="2"/>
  <c r="L3764" i="2"/>
  <c r="C3765" i="2"/>
  <c r="D3765" i="2"/>
  <c r="F3765" i="2"/>
  <c r="G3765" i="2"/>
  <c r="H3765" i="2"/>
  <c r="J3765" i="2"/>
  <c r="K3765" i="2"/>
  <c r="L3765" i="2"/>
  <c r="C3766" i="2"/>
  <c r="D3766" i="2"/>
  <c r="F3766" i="2"/>
  <c r="G3766" i="2"/>
  <c r="H3766" i="2"/>
  <c r="J3766" i="2"/>
  <c r="K3766" i="2"/>
  <c r="L3766" i="2"/>
  <c r="C3767" i="2"/>
  <c r="D3767" i="2"/>
  <c r="F3767" i="2"/>
  <c r="G3767" i="2"/>
  <c r="H3767" i="2"/>
  <c r="J3767" i="2"/>
  <c r="K3767" i="2"/>
  <c r="L3767" i="2"/>
  <c r="C3768" i="2"/>
  <c r="D3768" i="2"/>
  <c r="F3768" i="2"/>
  <c r="G3768" i="2"/>
  <c r="H3768" i="2"/>
  <c r="J3768" i="2"/>
  <c r="K3768" i="2"/>
  <c r="L3768" i="2"/>
  <c r="C3769" i="2"/>
  <c r="D3769" i="2"/>
  <c r="F3769" i="2"/>
  <c r="G3769" i="2"/>
  <c r="H3769" i="2"/>
  <c r="J3769" i="2"/>
  <c r="K3769" i="2"/>
  <c r="L3769" i="2"/>
  <c r="C3770" i="2"/>
  <c r="D3770" i="2"/>
  <c r="F3770" i="2"/>
  <c r="G3770" i="2"/>
  <c r="H3770" i="2"/>
  <c r="J3770" i="2"/>
  <c r="K3770" i="2"/>
  <c r="L3770" i="2"/>
  <c r="C3771" i="2"/>
  <c r="D3771" i="2"/>
  <c r="F3771" i="2"/>
  <c r="G3771" i="2"/>
  <c r="H3771" i="2"/>
  <c r="J3771" i="2"/>
  <c r="K3771" i="2"/>
  <c r="L3771" i="2"/>
  <c r="C3772" i="2"/>
  <c r="D3772" i="2"/>
  <c r="F3772" i="2"/>
  <c r="G3772" i="2"/>
  <c r="H3772" i="2"/>
  <c r="J3772" i="2"/>
  <c r="K3772" i="2"/>
  <c r="L3772" i="2"/>
  <c r="C3773" i="2"/>
  <c r="D3773" i="2"/>
  <c r="F3773" i="2"/>
  <c r="G3773" i="2"/>
  <c r="H3773" i="2"/>
  <c r="J3773" i="2"/>
  <c r="K3773" i="2"/>
  <c r="L3773" i="2"/>
  <c r="C3774" i="2"/>
  <c r="D3774" i="2"/>
  <c r="F3774" i="2"/>
  <c r="G3774" i="2"/>
  <c r="H3774" i="2"/>
  <c r="J3774" i="2"/>
  <c r="K3774" i="2"/>
  <c r="L3774" i="2"/>
  <c r="C3775" i="2"/>
  <c r="D3775" i="2"/>
  <c r="F3775" i="2"/>
  <c r="G3775" i="2"/>
  <c r="H3775" i="2"/>
  <c r="J3775" i="2"/>
  <c r="K3775" i="2"/>
  <c r="L3775" i="2"/>
  <c r="C3776" i="2"/>
  <c r="D3776" i="2"/>
  <c r="F3776" i="2"/>
  <c r="G3776" i="2"/>
  <c r="H3776" i="2"/>
  <c r="J3776" i="2"/>
  <c r="K3776" i="2"/>
  <c r="L3776" i="2"/>
  <c r="C3777" i="2"/>
  <c r="D3777" i="2"/>
  <c r="F3777" i="2"/>
  <c r="G3777" i="2"/>
  <c r="H3777" i="2"/>
  <c r="J3777" i="2"/>
  <c r="K3777" i="2"/>
  <c r="L3777" i="2"/>
  <c r="C3778" i="2"/>
  <c r="D3778" i="2"/>
  <c r="F3778" i="2"/>
  <c r="G3778" i="2"/>
  <c r="H3778" i="2"/>
  <c r="J3778" i="2"/>
  <c r="K3778" i="2"/>
  <c r="L3778" i="2"/>
  <c r="C3779" i="2"/>
  <c r="D3779" i="2"/>
  <c r="F3779" i="2"/>
  <c r="G3779" i="2"/>
  <c r="H3779" i="2"/>
  <c r="J3779" i="2"/>
  <c r="K3779" i="2"/>
  <c r="L3779" i="2"/>
  <c r="C3780" i="2"/>
  <c r="D3780" i="2"/>
  <c r="F3780" i="2"/>
  <c r="G3780" i="2"/>
  <c r="H3780" i="2"/>
  <c r="J3780" i="2"/>
  <c r="K3780" i="2"/>
  <c r="L3780" i="2"/>
  <c r="C3781" i="2"/>
  <c r="D3781" i="2"/>
  <c r="F3781" i="2"/>
  <c r="G3781" i="2"/>
  <c r="H3781" i="2"/>
  <c r="J3781" i="2"/>
  <c r="K3781" i="2"/>
  <c r="L3781" i="2"/>
  <c r="C3782" i="2"/>
  <c r="D3782" i="2"/>
  <c r="F3782" i="2"/>
  <c r="G3782" i="2"/>
  <c r="H3782" i="2"/>
  <c r="J3782" i="2"/>
  <c r="K3782" i="2"/>
  <c r="L3782" i="2"/>
  <c r="C3783" i="2"/>
  <c r="D3783" i="2"/>
  <c r="F3783" i="2"/>
  <c r="G3783" i="2"/>
  <c r="H3783" i="2"/>
  <c r="J3783" i="2"/>
  <c r="K3783" i="2"/>
  <c r="L3783" i="2"/>
  <c r="C3784" i="2"/>
  <c r="D3784" i="2"/>
  <c r="F3784" i="2"/>
  <c r="G3784" i="2"/>
  <c r="H3784" i="2"/>
  <c r="J3784" i="2"/>
  <c r="K3784" i="2"/>
  <c r="L3784" i="2"/>
  <c r="C3785" i="2"/>
  <c r="D3785" i="2"/>
  <c r="F3785" i="2"/>
  <c r="G3785" i="2"/>
  <c r="H3785" i="2"/>
  <c r="J3785" i="2"/>
  <c r="K3785" i="2"/>
  <c r="L3785" i="2"/>
  <c r="C3786" i="2"/>
  <c r="D3786" i="2"/>
  <c r="F3786" i="2"/>
  <c r="G3786" i="2"/>
  <c r="H3786" i="2"/>
  <c r="J3786" i="2"/>
  <c r="K3786" i="2"/>
  <c r="L3786" i="2"/>
  <c r="C3787" i="2"/>
  <c r="D3787" i="2"/>
  <c r="F3787" i="2"/>
  <c r="G3787" i="2"/>
  <c r="H3787" i="2"/>
  <c r="J3787" i="2"/>
  <c r="K3787" i="2"/>
  <c r="L3787" i="2"/>
  <c r="C3788" i="2"/>
  <c r="D3788" i="2"/>
  <c r="F3788" i="2"/>
  <c r="G3788" i="2"/>
  <c r="H3788" i="2"/>
  <c r="J3788" i="2"/>
  <c r="K3788" i="2"/>
  <c r="L3788" i="2"/>
  <c r="C3789" i="2"/>
  <c r="D3789" i="2"/>
  <c r="F3789" i="2"/>
  <c r="G3789" i="2"/>
  <c r="H3789" i="2"/>
  <c r="J3789" i="2"/>
  <c r="K3789" i="2"/>
  <c r="L3789" i="2"/>
  <c r="C3790" i="2"/>
  <c r="D3790" i="2"/>
  <c r="F3790" i="2"/>
  <c r="G3790" i="2"/>
  <c r="H3790" i="2"/>
  <c r="J3790" i="2"/>
  <c r="K3790" i="2"/>
  <c r="L3790" i="2"/>
  <c r="C3791" i="2"/>
  <c r="D3791" i="2"/>
  <c r="F3791" i="2"/>
  <c r="G3791" i="2"/>
  <c r="H3791" i="2"/>
  <c r="J3791" i="2"/>
  <c r="K3791" i="2"/>
  <c r="L3791" i="2"/>
  <c r="C3792" i="2"/>
  <c r="D3792" i="2"/>
  <c r="F3792" i="2"/>
  <c r="G3792" i="2"/>
  <c r="H3792" i="2"/>
  <c r="J3792" i="2"/>
  <c r="K3792" i="2"/>
  <c r="L3792" i="2"/>
  <c r="C3793" i="2"/>
  <c r="D3793" i="2"/>
  <c r="F3793" i="2"/>
  <c r="G3793" i="2"/>
  <c r="H3793" i="2"/>
  <c r="J3793" i="2"/>
  <c r="K3793" i="2"/>
  <c r="L3793" i="2"/>
  <c r="C3794" i="2"/>
  <c r="D3794" i="2"/>
  <c r="F3794" i="2"/>
  <c r="G3794" i="2"/>
  <c r="H3794" i="2"/>
  <c r="J3794" i="2"/>
  <c r="K3794" i="2"/>
  <c r="L3794" i="2"/>
  <c r="C3795" i="2"/>
  <c r="D3795" i="2"/>
  <c r="F3795" i="2"/>
  <c r="G3795" i="2"/>
  <c r="H3795" i="2"/>
  <c r="J3795" i="2"/>
  <c r="K3795" i="2"/>
  <c r="L3795" i="2"/>
  <c r="C3796" i="2"/>
  <c r="D3796" i="2"/>
  <c r="F3796" i="2"/>
  <c r="G3796" i="2"/>
  <c r="H3796" i="2"/>
  <c r="J3796" i="2"/>
  <c r="K3796" i="2"/>
  <c r="L3796" i="2"/>
  <c r="C3797" i="2"/>
  <c r="D3797" i="2"/>
  <c r="F3797" i="2"/>
  <c r="G3797" i="2"/>
  <c r="H3797" i="2"/>
  <c r="J3797" i="2"/>
  <c r="K3797" i="2"/>
  <c r="L3797" i="2"/>
  <c r="C3798" i="2"/>
  <c r="D3798" i="2"/>
  <c r="F3798" i="2"/>
  <c r="G3798" i="2"/>
  <c r="H3798" i="2"/>
  <c r="J3798" i="2"/>
  <c r="K3798" i="2"/>
  <c r="L3798" i="2"/>
  <c r="C3799" i="2"/>
  <c r="D3799" i="2"/>
  <c r="F3799" i="2"/>
  <c r="G3799" i="2"/>
  <c r="H3799" i="2"/>
  <c r="J3799" i="2"/>
  <c r="K3799" i="2"/>
  <c r="L3799" i="2"/>
  <c r="C3800" i="2"/>
  <c r="D3800" i="2"/>
  <c r="F3800" i="2"/>
  <c r="G3800" i="2"/>
  <c r="H3800" i="2"/>
  <c r="J3800" i="2"/>
  <c r="K3800" i="2"/>
  <c r="L3800" i="2"/>
  <c r="C3801" i="2"/>
  <c r="D3801" i="2"/>
  <c r="F3801" i="2"/>
  <c r="G3801" i="2"/>
  <c r="H3801" i="2"/>
  <c r="J3801" i="2"/>
  <c r="K3801" i="2"/>
  <c r="L3801" i="2"/>
  <c r="C3802" i="2"/>
  <c r="D3802" i="2"/>
  <c r="F3802" i="2"/>
  <c r="G3802" i="2"/>
  <c r="H3802" i="2"/>
  <c r="J3802" i="2"/>
  <c r="K3802" i="2"/>
  <c r="L3802" i="2"/>
  <c r="C3803" i="2"/>
  <c r="D3803" i="2"/>
  <c r="F3803" i="2"/>
  <c r="G3803" i="2"/>
  <c r="H3803" i="2"/>
  <c r="J3803" i="2"/>
  <c r="K3803" i="2"/>
  <c r="L3803" i="2"/>
  <c r="C3804" i="2"/>
  <c r="D3804" i="2"/>
  <c r="F3804" i="2"/>
  <c r="G3804" i="2"/>
  <c r="H3804" i="2"/>
  <c r="J3804" i="2"/>
  <c r="K3804" i="2"/>
  <c r="L3804" i="2"/>
  <c r="C3805" i="2"/>
  <c r="D3805" i="2"/>
  <c r="F3805" i="2"/>
  <c r="G3805" i="2"/>
  <c r="H3805" i="2"/>
  <c r="J3805" i="2"/>
  <c r="K3805" i="2"/>
  <c r="L3805" i="2"/>
  <c r="C3806" i="2"/>
  <c r="D3806" i="2"/>
  <c r="F3806" i="2"/>
  <c r="G3806" i="2"/>
  <c r="H3806" i="2"/>
  <c r="J3806" i="2"/>
  <c r="K3806" i="2"/>
  <c r="L3806" i="2"/>
  <c r="C3807" i="2"/>
  <c r="D3807" i="2"/>
  <c r="F3807" i="2"/>
  <c r="G3807" i="2"/>
  <c r="H3807" i="2"/>
  <c r="J3807" i="2"/>
  <c r="K3807" i="2"/>
  <c r="L3807" i="2"/>
  <c r="C3808" i="2"/>
  <c r="D3808" i="2"/>
  <c r="F3808" i="2"/>
  <c r="G3808" i="2"/>
  <c r="H3808" i="2"/>
  <c r="J3808" i="2"/>
  <c r="K3808" i="2"/>
  <c r="L3808" i="2"/>
  <c r="C3809" i="2"/>
  <c r="D3809" i="2"/>
  <c r="F3809" i="2"/>
  <c r="G3809" i="2"/>
  <c r="H3809" i="2"/>
  <c r="J3809" i="2"/>
  <c r="K3809" i="2"/>
  <c r="L3809" i="2"/>
  <c r="C3810" i="2"/>
  <c r="D3810" i="2"/>
  <c r="F3810" i="2"/>
  <c r="G3810" i="2"/>
  <c r="H3810" i="2"/>
  <c r="J3810" i="2"/>
  <c r="K3810" i="2"/>
  <c r="L3810" i="2"/>
  <c r="C3811" i="2"/>
  <c r="D3811" i="2"/>
  <c r="F3811" i="2"/>
  <c r="G3811" i="2"/>
  <c r="H3811" i="2"/>
  <c r="J3811" i="2"/>
  <c r="K3811" i="2"/>
  <c r="L3811" i="2"/>
  <c r="C3812" i="2"/>
  <c r="D3812" i="2"/>
  <c r="F3812" i="2"/>
  <c r="G3812" i="2"/>
  <c r="H3812" i="2"/>
  <c r="J3812" i="2"/>
  <c r="K3812" i="2"/>
  <c r="L3812" i="2"/>
  <c r="C3813" i="2"/>
  <c r="D3813" i="2"/>
  <c r="F3813" i="2"/>
  <c r="G3813" i="2"/>
  <c r="H3813" i="2"/>
  <c r="J3813" i="2"/>
  <c r="K3813" i="2"/>
  <c r="L3813" i="2"/>
  <c r="C3814" i="2"/>
  <c r="D3814" i="2"/>
  <c r="F3814" i="2"/>
  <c r="G3814" i="2"/>
  <c r="H3814" i="2"/>
  <c r="J3814" i="2"/>
  <c r="K3814" i="2"/>
  <c r="L3814" i="2"/>
  <c r="C3815" i="2"/>
  <c r="D3815" i="2"/>
  <c r="F3815" i="2"/>
  <c r="G3815" i="2"/>
  <c r="H3815" i="2"/>
  <c r="J3815" i="2"/>
  <c r="K3815" i="2"/>
  <c r="L3815" i="2"/>
  <c r="C3816" i="2"/>
  <c r="D3816" i="2"/>
  <c r="F3816" i="2"/>
  <c r="G3816" i="2"/>
  <c r="H3816" i="2"/>
  <c r="J3816" i="2"/>
  <c r="K3816" i="2"/>
  <c r="L3816" i="2"/>
  <c r="C3817" i="2"/>
  <c r="D3817" i="2"/>
  <c r="F3817" i="2"/>
  <c r="G3817" i="2"/>
  <c r="H3817" i="2"/>
  <c r="J3817" i="2"/>
  <c r="K3817" i="2"/>
  <c r="L3817" i="2"/>
  <c r="C3818" i="2"/>
  <c r="D3818" i="2"/>
  <c r="F3818" i="2"/>
  <c r="G3818" i="2"/>
  <c r="H3818" i="2"/>
  <c r="J3818" i="2"/>
  <c r="K3818" i="2"/>
  <c r="L3818" i="2"/>
  <c r="C3819" i="2"/>
  <c r="D3819" i="2"/>
  <c r="F3819" i="2"/>
  <c r="G3819" i="2"/>
  <c r="H3819" i="2"/>
  <c r="J3819" i="2"/>
  <c r="K3819" i="2"/>
  <c r="L3819" i="2"/>
  <c r="C3820" i="2"/>
  <c r="D3820" i="2"/>
  <c r="F3820" i="2"/>
  <c r="G3820" i="2"/>
  <c r="H3820" i="2"/>
  <c r="J3820" i="2"/>
  <c r="K3820" i="2"/>
  <c r="L3820" i="2"/>
  <c r="C3821" i="2"/>
  <c r="D3821" i="2"/>
  <c r="F3821" i="2"/>
  <c r="G3821" i="2"/>
  <c r="H3821" i="2"/>
  <c r="J3821" i="2"/>
  <c r="K3821" i="2"/>
  <c r="L3821" i="2"/>
  <c r="C3822" i="2"/>
  <c r="D3822" i="2"/>
  <c r="F3822" i="2"/>
  <c r="G3822" i="2"/>
  <c r="H3822" i="2"/>
  <c r="J3822" i="2"/>
  <c r="K3822" i="2"/>
  <c r="L3822" i="2"/>
  <c r="C3823" i="2"/>
  <c r="D3823" i="2"/>
  <c r="F3823" i="2"/>
  <c r="G3823" i="2"/>
  <c r="H3823" i="2"/>
  <c r="J3823" i="2"/>
  <c r="K3823" i="2"/>
  <c r="L3823" i="2"/>
  <c r="C3824" i="2"/>
  <c r="D3824" i="2"/>
  <c r="F3824" i="2"/>
  <c r="G3824" i="2"/>
  <c r="H3824" i="2"/>
  <c r="J3824" i="2"/>
  <c r="K3824" i="2"/>
  <c r="L3824" i="2"/>
  <c r="C3825" i="2"/>
  <c r="D3825" i="2"/>
  <c r="F3825" i="2"/>
  <c r="G3825" i="2"/>
  <c r="H3825" i="2"/>
  <c r="J3825" i="2"/>
  <c r="K3825" i="2"/>
  <c r="L3825" i="2"/>
  <c r="C3826" i="2"/>
  <c r="D3826" i="2"/>
  <c r="F3826" i="2"/>
  <c r="G3826" i="2"/>
  <c r="H3826" i="2"/>
  <c r="J3826" i="2"/>
  <c r="K3826" i="2"/>
  <c r="L3826" i="2"/>
  <c r="C3827" i="2"/>
  <c r="D3827" i="2"/>
  <c r="F3827" i="2"/>
  <c r="G3827" i="2"/>
  <c r="H3827" i="2"/>
  <c r="J3827" i="2"/>
  <c r="K3827" i="2"/>
  <c r="L3827" i="2"/>
  <c r="C3828" i="2"/>
  <c r="D3828" i="2"/>
  <c r="F3828" i="2"/>
  <c r="G3828" i="2"/>
  <c r="H3828" i="2"/>
  <c r="J3828" i="2"/>
  <c r="K3828" i="2"/>
  <c r="L3828" i="2"/>
  <c r="C3829" i="2"/>
  <c r="D3829" i="2"/>
  <c r="F3829" i="2"/>
  <c r="G3829" i="2"/>
  <c r="H3829" i="2"/>
  <c r="J3829" i="2"/>
  <c r="K3829" i="2"/>
  <c r="L3829" i="2"/>
  <c r="C3830" i="2"/>
  <c r="D3830" i="2"/>
  <c r="F3830" i="2"/>
  <c r="G3830" i="2"/>
  <c r="H3830" i="2"/>
  <c r="J3830" i="2"/>
  <c r="K3830" i="2"/>
  <c r="L3830" i="2"/>
  <c r="C3831" i="2"/>
  <c r="D3831" i="2"/>
  <c r="F3831" i="2"/>
  <c r="G3831" i="2"/>
  <c r="H3831" i="2"/>
  <c r="J3831" i="2"/>
  <c r="K3831" i="2"/>
  <c r="L3831" i="2"/>
  <c r="C3832" i="2"/>
  <c r="D3832" i="2"/>
  <c r="F3832" i="2"/>
  <c r="G3832" i="2"/>
  <c r="H3832" i="2"/>
  <c r="J3832" i="2"/>
  <c r="K3832" i="2"/>
  <c r="L3832" i="2"/>
  <c r="C3833" i="2"/>
  <c r="D3833" i="2"/>
  <c r="F3833" i="2"/>
  <c r="G3833" i="2"/>
  <c r="H3833" i="2"/>
  <c r="J3833" i="2"/>
  <c r="K3833" i="2"/>
  <c r="L3833" i="2"/>
  <c r="C3834" i="2"/>
  <c r="D3834" i="2"/>
  <c r="F3834" i="2"/>
  <c r="G3834" i="2"/>
  <c r="H3834" i="2"/>
  <c r="J3834" i="2"/>
  <c r="K3834" i="2"/>
  <c r="L3834" i="2"/>
  <c r="C3835" i="2"/>
  <c r="D3835" i="2"/>
  <c r="F3835" i="2"/>
  <c r="G3835" i="2"/>
  <c r="H3835" i="2"/>
  <c r="J3835" i="2"/>
  <c r="K3835" i="2"/>
  <c r="L3835" i="2"/>
  <c r="C3836" i="2"/>
  <c r="D3836" i="2"/>
  <c r="F3836" i="2"/>
  <c r="G3836" i="2"/>
  <c r="H3836" i="2"/>
  <c r="J3836" i="2"/>
  <c r="K3836" i="2"/>
  <c r="L3836" i="2"/>
  <c r="C3837" i="2"/>
  <c r="D3837" i="2"/>
  <c r="F3837" i="2"/>
  <c r="G3837" i="2"/>
  <c r="H3837" i="2"/>
  <c r="J3837" i="2"/>
  <c r="K3837" i="2"/>
  <c r="L3837" i="2"/>
  <c r="C3838" i="2"/>
  <c r="D3838" i="2"/>
  <c r="F3838" i="2"/>
  <c r="G3838" i="2"/>
  <c r="H3838" i="2"/>
  <c r="J3838" i="2"/>
  <c r="K3838" i="2"/>
  <c r="L3838" i="2"/>
  <c r="C3839" i="2"/>
  <c r="D3839" i="2"/>
  <c r="F3839" i="2"/>
  <c r="G3839" i="2"/>
  <c r="H3839" i="2"/>
  <c r="J3839" i="2"/>
  <c r="K3839" i="2"/>
  <c r="L3839" i="2"/>
  <c r="C3840" i="2"/>
  <c r="D3840" i="2"/>
  <c r="F3840" i="2"/>
  <c r="G3840" i="2"/>
  <c r="H3840" i="2"/>
  <c r="J3840" i="2"/>
  <c r="K3840" i="2"/>
  <c r="L3840" i="2"/>
  <c r="C3841" i="2"/>
  <c r="D3841" i="2"/>
  <c r="F3841" i="2"/>
  <c r="G3841" i="2"/>
  <c r="H3841" i="2"/>
  <c r="J3841" i="2"/>
  <c r="K3841" i="2"/>
  <c r="L3841" i="2"/>
  <c r="C3842" i="2"/>
  <c r="D3842" i="2"/>
  <c r="F3842" i="2"/>
  <c r="G3842" i="2"/>
  <c r="H3842" i="2"/>
  <c r="J3842" i="2"/>
  <c r="K3842" i="2"/>
  <c r="L3842" i="2"/>
  <c r="C3843" i="2"/>
  <c r="D3843" i="2"/>
  <c r="F3843" i="2"/>
  <c r="G3843" i="2"/>
  <c r="H3843" i="2"/>
  <c r="J3843" i="2"/>
  <c r="K3843" i="2"/>
  <c r="L3843" i="2"/>
  <c r="C3844" i="2"/>
  <c r="D3844" i="2"/>
  <c r="F3844" i="2"/>
  <c r="G3844" i="2"/>
  <c r="H3844" i="2"/>
  <c r="J3844" i="2"/>
  <c r="K3844" i="2"/>
  <c r="L3844" i="2"/>
  <c r="C3845" i="2"/>
  <c r="D3845" i="2"/>
  <c r="F3845" i="2"/>
  <c r="G3845" i="2"/>
  <c r="H3845" i="2"/>
  <c r="J3845" i="2"/>
  <c r="K3845" i="2"/>
  <c r="L3845" i="2"/>
  <c r="C3846" i="2"/>
  <c r="D3846" i="2"/>
  <c r="F3846" i="2"/>
  <c r="G3846" i="2"/>
  <c r="H3846" i="2"/>
  <c r="J3846" i="2"/>
  <c r="K3846" i="2"/>
  <c r="L3846" i="2"/>
  <c r="C3847" i="2"/>
  <c r="D3847" i="2"/>
  <c r="F3847" i="2"/>
  <c r="G3847" i="2"/>
  <c r="H3847" i="2"/>
  <c r="J3847" i="2"/>
  <c r="K3847" i="2"/>
  <c r="L3847" i="2"/>
  <c r="C3848" i="2"/>
  <c r="D3848" i="2"/>
  <c r="F3848" i="2"/>
  <c r="G3848" i="2"/>
  <c r="H3848" i="2"/>
  <c r="J3848" i="2"/>
  <c r="K3848" i="2"/>
  <c r="L3848" i="2"/>
  <c r="C3849" i="2"/>
  <c r="D3849" i="2"/>
  <c r="F3849" i="2"/>
  <c r="G3849" i="2"/>
  <c r="H3849" i="2"/>
  <c r="J3849" i="2"/>
  <c r="K3849" i="2"/>
  <c r="L3849" i="2"/>
  <c r="C3850" i="2"/>
  <c r="D3850" i="2"/>
  <c r="F3850" i="2"/>
  <c r="G3850" i="2"/>
  <c r="H3850" i="2"/>
  <c r="J3850" i="2"/>
  <c r="K3850" i="2"/>
  <c r="L3850" i="2"/>
  <c r="C3851" i="2"/>
  <c r="D3851" i="2"/>
  <c r="F3851" i="2"/>
  <c r="G3851" i="2"/>
  <c r="H3851" i="2"/>
  <c r="J3851" i="2"/>
  <c r="K3851" i="2"/>
  <c r="L3851" i="2"/>
  <c r="C3852" i="2"/>
  <c r="D3852" i="2"/>
  <c r="F3852" i="2"/>
  <c r="G3852" i="2"/>
  <c r="H3852" i="2"/>
  <c r="J3852" i="2"/>
  <c r="K3852" i="2"/>
  <c r="L3852" i="2"/>
  <c r="C3853" i="2"/>
  <c r="D3853" i="2"/>
  <c r="F3853" i="2"/>
  <c r="G3853" i="2"/>
  <c r="H3853" i="2"/>
  <c r="J3853" i="2"/>
  <c r="K3853" i="2"/>
  <c r="L3853" i="2"/>
  <c r="C3854" i="2"/>
  <c r="D3854" i="2"/>
  <c r="F3854" i="2"/>
  <c r="G3854" i="2"/>
  <c r="H3854" i="2"/>
  <c r="J3854" i="2"/>
  <c r="K3854" i="2"/>
  <c r="L3854" i="2"/>
  <c r="C3855" i="2"/>
  <c r="D3855" i="2"/>
  <c r="F3855" i="2"/>
  <c r="G3855" i="2"/>
  <c r="H3855" i="2"/>
  <c r="J3855" i="2"/>
  <c r="K3855" i="2"/>
  <c r="L3855" i="2"/>
  <c r="C3856" i="2"/>
  <c r="D3856" i="2"/>
  <c r="F3856" i="2"/>
  <c r="G3856" i="2"/>
  <c r="H3856" i="2"/>
  <c r="J3856" i="2"/>
  <c r="K3856" i="2"/>
  <c r="L3856" i="2"/>
  <c r="C3857" i="2"/>
  <c r="D3857" i="2"/>
  <c r="F3857" i="2"/>
  <c r="G3857" i="2"/>
  <c r="H3857" i="2"/>
  <c r="J3857" i="2"/>
  <c r="K3857" i="2"/>
  <c r="L3857" i="2"/>
  <c r="C3858" i="2"/>
  <c r="D3858" i="2"/>
  <c r="F3858" i="2"/>
  <c r="G3858" i="2"/>
  <c r="H3858" i="2"/>
  <c r="J3858" i="2"/>
  <c r="K3858" i="2"/>
  <c r="L3858" i="2"/>
  <c r="C3859" i="2"/>
  <c r="D3859" i="2"/>
  <c r="F3859" i="2"/>
  <c r="G3859" i="2"/>
  <c r="H3859" i="2"/>
  <c r="J3859" i="2"/>
  <c r="K3859" i="2"/>
  <c r="L3859" i="2"/>
  <c r="C3860" i="2"/>
  <c r="D3860" i="2"/>
  <c r="F3860" i="2"/>
  <c r="G3860" i="2"/>
  <c r="H3860" i="2"/>
  <c r="J3860" i="2"/>
  <c r="K3860" i="2"/>
  <c r="L3860" i="2"/>
  <c r="C3861" i="2"/>
  <c r="D3861" i="2"/>
  <c r="F3861" i="2"/>
  <c r="G3861" i="2"/>
  <c r="H3861" i="2"/>
  <c r="J3861" i="2"/>
  <c r="K3861" i="2"/>
  <c r="L3861" i="2"/>
  <c r="D3862" i="2"/>
  <c r="F3862" i="2"/>
  <c r="G3862" i="2"/>
  <c r="H3862" i="2"/>
  <c r="J3862" i="2"/>
  <c r="K3862" i="2"/>
  <c r="L3862" i="2"/>
  <c r="C3863" i="2"/>
  <c r="D3863" i="2"/>
  <c r="F3863" i="2"/>
  <c r="G3863" i="2"/>
  <c r="H3863" i="2"/>
  <c r="J3863" i="2"/>
  <c r="K3863" i="2"/>
  <c r="L3863" i="2"/>
  <c r="C3864" i="2"/>
  <c r="D3864" i="2"/>
  <c r="F3864" i="2"/>
  <c r="G3864" i="2"/>
  <c r="H3864" i="2"/>
  <c r="J3864" i="2"/>
  <c r="K3864" i="2"/>
  <c r="L3864" i="2"/>
  <c r="C3865" i="2"/>
  <c r="D3865" i="2"/>
  <c r="F3865" i="2"/>
  <c r="G3865" i="2"/>
  <c r="H3865" i="2"/>
  <c r="J3865" i="2"/>
  <c r="K3865" i="2"/>
  <c r="L3865" i="2"/>
  <c r="C3866" i="2"/>
  <c r="D3866" i="2"/>
  <c r="F3866" i="2"/>
  <c r="G3866" i="2"/>
  <c r="H3866" i="2"/>
  <c r="J3866" i="2"/>
  <c r="K3866" i="2"/>
  <c r="L3866" i="2"/>
  <c r="C3867" i="2"/>
  <c r="D3867" i="2"/>
  <c r="F3867" i="2"/>
  <c r="G3867" i="2"/>
  <c r="H3867" i="2"/>
  <c r="J3867" i="2"/>
  <c r="K3867" i="2"/>
  <c r="L3867" i="2"/>
  <c r="C3868" i="2"/>
  <c r="D3868" i="2"/>
  <c r="F3868" i="2"/>
  <c r="G3868" i="2"/>
  <c r="H3868" i="2"/>
  <c r="J3868" i="2"/>
  <c r="K3868" i="2"/>
  <c r="L3868" i="2"/>
  <c r="C3869" i="2"/>
  <c r="D3869" i="2"/>
  <c r="F3869" i="2"/>
  <c r="G3869" i="2"/>
  <c r="H3869" i="2"/>
  <c r="J3869" i="2"/>
  <c r="K3869" i="2"/>
  <c r="L3869" i="2"/>
  <c r="C3870" i="2"/>
  <c r="D3870" i="2"/>
  <c r="F3870" i="2"/>
  <c r="G3870" i="2"/>
  <c r="H3870" i="2"/>
  <c r="J3870" i="2"/>
  <c r="K3870" i="2"/>
  <c r="L3870" i="2"/>
  <c r="C3871" i="2"/>
  <c r="D3871" i="2"/>
  <c r="F3871" i="2"/>
  <c r="G3871" i="2"/>
  <c r="H3871" i="2"/>
  <c r="J3871" i="2"/>
  <c r="K3871" i="2"/>
  <c r="L3871" i="2"/>
  <c r="C3872" i="2"/>
  <c r="D3872" i="2"/>
  <c r="F3872" i="2"/>
  <c r="G3872" i="2"/>
  <c r="H3872" i="2"/>
  <c r="J3872" i="2"/>
  <c r="K3872" i="2"/>
  <c r="L3872" i="2"/>
  <c r="C3873" i="2"/>
  <c r="D3873" i="2"/>
  <c r="F3873" i="2"/>
  <c r="G3873" i="2"/>
  <c r="H3873" i="2"/>
  <c r="J3873" i="2"/>
  <c r="K3873" i="2"/>
  <c r="L3873" i="2"/>
  <c r="C3874" i="2"/>
  <c r="D3874" i="2"/>
  <c r="F3874" i="2"/>
  <c r="G3874" i="2"/>
  <c r="H3874" i="2"/>
  <c r="J3874" i="2"/>
  <c r="K3874" i="2"/>
  <c r="L3874" i="2"/>
  <c r="C3875" i="2"/>
  <c r="D3875" i="2"/>
  <c r="F3875" i="2"/>
  <c r="G3875" i="2"/>
  <c r="H3875" i="2"/>
  <c r="J3875" i="2"/>
  <c r="K3875" i="2"/>
  <c r="L3875" i="2"/>
  <c r="C3876" i="2"/>
  <c r="D3876" i="2"/>
  <c r="F3876" i="2"/>
  <c r="G3876" i="2"/>
  <c r="H3876" i="2"/>
  <c r="J3876" i="2"/>
  <c r="K3876" i="2"/>
  <c r="L3876" i="2"/>
  <c r="C3877" i="2"/>
  <c r="D3877" i="2"/>
  <c r="F3877" i="2"/>
  <c r="G3877" i="2"/>
  <c r="H3877" i="2"/>
  <c r="J3877" i="2"/>
  <c r="K3877" i="2"/>
  <c r="L3877" i="2"/>
  <c r="C3878" i="2"/>
  <c r="D3878" i="2"/>
  <c r="F3878" i="2"/>
  <c r="G3878" i="2"/>
  <c r="H3878" i="2"/>
  <c r="J3878" i="2"/>
  <c r="K3878" i="2"/>
  <c r="L3878" i="2"/>
  <c r="C3879" i="2"/>
  <c r="D3879" i="2"/>
  <c r="F3879" i="2"/>
  <c r="G3879" i="2"/>
  <c r="H3879" i="2"/>
  <c r="J3879" i="2"/>
  <c r="K3879" i="2"/>
  <c r="L3879" i="2"/>
  <c r="C3880" i="2"/>
  <c r="D3880" i="2"/>
  <c r="F3880" i="2"/>
  <c r="G3880" i="2"/>
  <c r="H3880" i="2"/>
  <c r="J3880" i="2"/>
  <c r="K3880" i="2"/>
  <c r="L3880" i="2"/>
  <c r="C3881" i="2"/>
  <c r="D3881" i="2"/>
  <c r="F3881" i="2"/>
  <c r="G3881" i="2"/>
  <c r="H3881" i="2"/>
  <c r="J3881" i="2"/>
  <c r="K3881" i="2"/>
  <c r="L3881" i="2"/>
  <c r="C3882" i="2"/>
  <c r="D3882" i="2"/>
  <c r="F3882" i="2"/>
  <c r="G3882" i="2"/>
  <c r="H3882" i="2"/>
  <c r="J3882" i="2"/>
  <c r="K3882" i="2"/>
  <c r="L3882" i="2"/>
  <c r="C3883" i="2"/>
  <c r="D3883" i="2"/>
  <c r="F3883" i="2"/>
  <c r="G3883" i="2"/>
  <c r="H3883" i="2"/>
  <c r="J3883" i="2"/>
  <c r="K3883" i="2"/>
  <c r="L3883" i="2"/>
  <c r="C3884" i="2"/>
  <c r="D3884" i="2"/>
  <c r="F3884" i="2"/>
  <c r="G3884" i="2"/>
  <c r="H3884" i="2"/>
  <c r="J3884" i="2"/>
  <c r="K3884" i="2"/>
  <c r="L3884" i="2"/>
  <c r="C3885" i="2"/>
  <c r="D3885" i="2"/>
  <c r="F3885" i="2"/>
  <c r="G3885" i="2"/>
  <c r="H3885" i="2"/>
  <c r="J3885" i="2"/>
  <c r="K3885" i="2"/>
  <c r="L3885" i="2"/>
  <c r="C3886" i="2"/>
  <c r="D3886" i="2"/>
  <c r="F3886" i="2"/>
  <c r="G3886" i="2"/>
  <c r="H3886" i="2"/>
  <c r="J3886" i="2"/>
  <c r="K3886" i="2"/>
  <c r="L3886" i="2"/>
  <c r="C3887" i="2"/>
  <c r="D3887" i="2"/>
  <c r="F3887" i="2"/>
  <c r="G3887" i="2"/>
  <c r="H3887" i="2"/>
  <c r="J3887" i="2"/>
  <c r="K3887" i="2"/>
  <c r="L3887" i="2"/>
  <c r="C3888" i="2"/>
  <c r="D3888" i="2"/>
  <c r="F3888" i="2"/>
  <c r="G3888" i="2"/>
  <c r="H3888" i="2"/>
  <c r="J3888" i="2"/>
  <c r="K3888" i="2"/>
  <c r="L3888" i="2"/>
  <c r="C3889" i="2"/>
  <c r="D3889" i="2"/>
  <c r="F3889" i="2"/>
  <c r="G3889" i="2"/>
  <c r="H3889" i="2"/>
  <c r="J3889" i="2"/>
  <c r="K3889" i="2"/>
  <c r="L3889" i="2"/>
  <c r="C3890" i="2"/>
  <c r="D3890" i="2"/>
  <c r="F3890" i="2"/>
  <c r="G3890" i="2"/>
  <c r="H3890" i="2"/>
  <c r="J3890" i="2"/>
  <c r="K3890" i="2"/>
  <c r="L3890" i="2"/>
  <c r="C3891" i="2"/>
  <c r="D3891" i="2"/>
  <c r="F3891" i="2"/>
  <c r="G3891" i="2"/>
  <c r="H3891" i="2"/>
  <c r="J3891" i="2"/>
  <c r="K3891" i="2"/>
  <c r="L3891" i="2"/>
  <c r="C3892" i="2"/>
  <c r="D3892" i="2"/>
  <c r="F3892" i="2"/>
  <c r="G3892" i="2"/>
  <c r="H3892" i="2"/>
  <c r="J3892" i="2"/>
  <c r="K3892" i="2"/>
  <c r="L3892" i="2"/>
  <c r="C3893" i="2"/>
  <c r="D3893" i="2"/>
  <c r="F3893" i="2"/>
  <c r="G3893" i="2"/>
  <c r="H3893" i="2"/>
  <c r="J3893" i="2"/>
  <c r="K3893" i="2"/>
  <c r="L3893" i="2"/>
  <c r="C3894" i="2"/>
  <c r="D3894" i="2"/>
  <c r="F3894" i="2"/>
  <c r="G3894" i="2"/>
  <c r="H3894" i="2"/>
  <c r="J3894" i="2"/>
  <c r="K3894" i="2"/>
  <c r="L3894" i="2"/>
  <c r="C3895" i="2"/>
  <c r="D3895" i="2"/>
  <c r="F3895" i="2"/>
  <c r="G3895" i="2"/>
  <c r="H3895" i="2"/>
  <c r="J3895" i="2"/>
  <c r="K3895" i="2"/>
  <c r="L3895" i="2"/>
  <c r="C3896" i="2"/>
  <c r="D3896" i="2"/>
  <c r="F3896" i="2"/>
  <c r="G3896" i="2"/>
  <c r="H3896" i="2"/>
  <c r="J3896" i="2"/>
  <c r="K3896" i="2"/>
  <c r="L3896" i="2"/>
  <c r="C3897" i="2"/>
  <c r="D3897" i="2"/>
  <c r="F3897" i="2"/>
  <c r="G3897" i="2"/>
  <c r="H3897" i="2"/>
  <c r="J3897" i="2"/>
  <c r="K3897" i="2"/>
  <c r="L3897" i="2"/>
  <c r="C3898" i="2"/>
  <c r="D3898" i="2"/>
  <c r="F3898" i="2"/>
  <c r="G3898" i="2"/>
  <c r="H3898" i="2"/>
  <c r="J3898" i="2"/>
  <c r="K3898" i="2"/>
  <c r="L3898" i="2"/>
  <c r="C3899" i="2"/>
  <c r="D3899" i="2"/>
  <c r="F3899" i="2"/>
  <c r="G3899" i="2"/>
  <c r="H3899" i="2"/>
  <c r="J3899" i="2"/>
  <c r="K3899" i="2"/>
  <c r="L3899" i="2"/>
  <c r="C3900" i="2"/>
  <c r="D3900" i="2"/>
  <c r="F3900" i="2"/>
  <c r="G3900" i="2"/>
  <c r="H3900" i="2"/>
  <c r="J3900" i="2"/>
  <c r="K3900" i="2"/>
  <c r="L3900" i="2"/>
  <c r="C3901" i="2"/>
  <c r="D3901" i="2"/>
  <c r="F3901" i="2"/>
  <c r="G3901" i="2"/>
  <c r="H3901" i="2"/>
  <c r="J3901" i="2"/>
  <c r="K3901" i="2"/>
  <c r="L3901" i="2"/>
  <c r="C3902" i="2"/>
  <c r="D3902" i="2"/>
  <c r="F3902" i="2"/>
  <c r="G3902" i="2"/>
  <c r="H3902" i="2"/>
  <c r="J3902" i="2"/>
  <c r="K3902" i="2"/>
  <c r="L3902" i="2"/>
  <c r="C3903" i="2"/>
  <c r="D3903" i="2"/>
  <c r="F3903" i="2"/>
  <c r="G3903" i="2"/>
  <c r="H3903" i="2"/>
  <c r="J3903" i="2"/>
  <c r="K3903" i="2"/>
  <c r="L3903" i="2"/>
  <c r="C3904" i="2"/>
  <c r="D3904" i="2"/>
  <c r="F3904" i="2"/>
  <c r="G3904" i="2"/>
  <c r="H3904" i="2"/>
  <c r="J3904" i="2"/>
  <c r="K3904" i="2"/>
  <c r="L3904" i="2"/>
  <c r="C3905" i="2"/>
  <c r="D3905" i="2"/>
  <c r="F3905" i="2"/>
  <c r="G3905" i="2"/>
  <c r="H3905" i="2"/>
  <c r="J3905" i="2"/>
  <c r="K3905" i="2"/>
  <c r="L3905" i="2"/>
  <c r="C3906" i="2"/>
  <c r="D3906" i="2"/>
  <c r="F3906" i="2"/>
  <c r="G3906" i="2"/>
  <c r="H3906" i="2"/>
  <c r="J3906" i="2"/>
  <c r="K3906" i="2"/>
  <c r="L3906" i="2"/>
  <c r="C3907" i="2"/>
  <c r="D3907" i="2"/>
  <c r="F3907" i="2"/>
  <c r="G3907" i="2"/>
  <c r="H3907" i="2"/>
  <c r="J3907" i="2"/>
  <c r="K3907" i="2"/>
  <c r="L3907" i="2"/>
  <c r="C3908" i="2"/>
  <c r="D3908" i="2"/>
  <c r="F3908" i="2"/>
  <c r="G3908" i="2"/>
  <c r="H3908" i="2"/>
  <c r="J3908" i="2"/>
  <c r="K3908" i="2"/>
  <c r="L3908" i="2"/>
  <c r="C3909" i="2"/>
  <c r="D3909" i="2"/>
  <c r="F3909" i="2"/>
  <c r="G3909" i="2"/>
  <c r="H3909" i="2"/>
  <c r="J3909" i="2"/>
  <c r="K3909" i="2"/>
  <c r="L3909" i="2"/>
  <c r="C3910" i="2"/>
  <c r="D3910" i="2"/>
  <c r="F3910" i="2"/>
  <c r="G3910" i="2"/>
  <c r="H3910" i="2"/>
  <c r="J3910" i="2"/>
  <c r="K3910" i="2"/>
  <c r="L3910" i="2"/>
  <c r="C3911" i="2"/>
  <c r="D3911" i="2"/>
  <c r="F3911" i="2"/>
  <c r="G3911" i="2"/>
  <c r="H3911" i="2"/>
  <c r="J3911" i="2"/>
  <c r="K3911" i="2"/>
  <c r="L3911" i="2"/>
  <c r="C3912" i="2"/>
  <c r="D3912" i="2"/>
  <c r="F3912" i="2"/>
  <c r="G3912" i="2"/>
  <c r="H3912" i="2"/>
  <c r="J3912" i="2"/>
  <c r="K3912" i="2"/>
  <c r="L3912" i="2"/>
  <c r="C3913" i="2"/>
  <c r="D3913" i="2"/>
  <c r="F3913" i="2"/>
  <c r="G3913" i="2"/>
  <c r="H3913" i="2"/>
  <c r="J3913" i="2"/>
  <c r="K3913" i="2"/>
  <c r="L3913" i="2"/>
  <c r="C3914" i="2"/>
  <c r="D3914" i="2"/>
  <c r="F3914" i="2"/>
  <c r="G3914" i="2"/>
  <c r="H3914" i="2"/>
  <c r="J3914" i="2"/>
  <c r="K3914" i="2"/>
  <c r="L3914" i="2"/>
  <c r="C3915" i="2"/>
  <c r="D3915" i="2"/>
  <c r="F3915" i="2"/>
  <c r="G3915" i="2"/>
  <c r="H3915" i="2"/>
  <c r="J3915" i="2"/>
  <c r="K3915" i="2"/>
  <c r="L3915" i="2"/>
  <c r="C3916" i="2"/>
  <c r="D3916" i="2"/>
  <c r="F3916" i="2"/>
  <c r="G3916" i="2"/>
  <c r="H3916" i="2"/>
  <c r="J3916" i="2"/>
  <c r="K3916" i="2"/>
  <c r="L3916" i="2"/>
  <c r="C3917" i="2"/>
  <c r="D3917" i="2"/>
  <c r="F3917" i="2"/>
  <c r="G3917" i="2"/>
  <c r="H3917" i="2"/>
  <c r="J3917" i="2"/>
  <c r="K3917" i="2"/>
  <c r="L3917" i="2"/>
  <c r="C3918" i="2"/>
  <c r="D3918" i="2"/>
  <c r="F3918" i="2"/>
  <c r="G3918" i="2"/>
  <c r="H3918" i="2"/>
  <c r="J3918" i="2"/>
  <c r="K3918" i="2"/>
  <c r="L3918" i="2"/>
  <c r="C3919" i="2"/>
  <c r="D3919" i="2"/>
  <c r="F3919" i="2"/>
  <c r="G3919" i="2"/>
  <c r="H3919" i="2"/>
  <c r="J3919" i="2"/>
  <c r="K3919" i="2"/>
  <c r="L3919" i="2"/>
  <c r="C3920" i="2"/>
  <c r="D3920" i="2"/>
  <c r="F3920" i="2"/>
  <c r="G3920" i="2"/>
  <c r="H3920" i="2"/>
  <c r="J3920" i="2"/>
  <c r="K3920" i="2"/>
  <c r="L3920" i="2"/>
  <c r="C3921" i="2"/>
  <c r="D3921" i="2"/>
  <c r="F3921" i="2"/>
  <c r="G3921" i="2"/>
  <c r="H3921" i="2"/>
  <c r="J3921" i="2"/>
  <c r="K3921" i="2"/>
  <c r="L3921" i="2"/>
  <c r="C3922" i="2"/>
  <c r="D3922" i="2"/>
  <c r="F3922" i="2"/>
  <c r="G3922" i="2"/>
  <c r="H3922" i="2"/>
  <c r="J3922" i="2"/>
  <c r="K3922" i="2"/>
  <c r="L3922" i="2"/>
  <c r="C3923" i="2"/>
  <c r="D3923" i="2"/>
  <c r="F3923" i="2"/>
  <c r="G3923" i="2"/>
  <c r="H3923" i="2"/>
  <c r="J3923" i="2"/>
  <c r="K3923" i="2"/>
  <c r="L3923" i="2"/>
  <c r="C3924" i="2"/>
  <c r="D3924" i="2"/>
  <c r="F3924" i="2"/>
  <c r="G3924" i="2"/>
  <c r="H3924" i="2"/>
  <c r="J3924" i="2"/>
  <c r="K3924" i="2"/>
  <c r="L3924" i="2"/>
  <c r="C3925" i="2"/>
  <c r="D3925" i="2"/>
  <c r="F3925" i="2"/>
  <c r="G3925" i="2"/>
  <c r="H3925" i="2"/>
  <c r="J3925" i="2"/>
  <c r="K3925" i="2"/>
  <c r="L3925" i="2"/>
  <c r="C3926" i="2"/>
  <c r="D3926" i="2"/>
  <c r="F3926" i="2"/>
  <c r="G3926" i="2"/>
  <c r="H3926" i="2"/>
  <c r="J3926" i="2"/>
  <c r="K3926" i="2"/>
  <c r="L3926" i="2"/>
  <c r="C3927" i="2"/>
  <c r="D3927" i="2"/>
  <c r="F3927" i="2"/>
  <c r="G3927" i="2"/>
  <c r="H3927" i="2"/>
  <c r="J3927" i="2"/>
  <c r="K3927" i="2"/>
  <c r="L3927" i="2"/>
  <c r="C3928" i="2"/>
  <c r="D3928" i="2"/>
  <c r="F3928" i="2"/>
  <c r="G3928" i="2"/>
  <c r="H3928" i="2"/>
  <c r="J3928" i="2"/>
  <c r="K3928" i="2"/>
  <c r="L3928" i="2"/>
  <c r="C3929" i="2"/>
  <c r="D3929" i="2"/>
  <c r="F3929" i="2"/>
  <c r="G3929" i="2"/>
  <c r="H3929" i="2"/>
  <c r="J3929" i="2"/>
  <c r="K3929" i="2"/>
  <c r="L3929" i="2"/>
  <c r="C3930" i="2"/>
  <c r="D3930" i="2"/>
  <c r="F3930" i="2"/>
  <c r="G3930" i="2"/>
  <c r="H3930" i="2"/>
  <c r="J3930" i="2"/>
  <c r="K3930" i="2"/>
  <c r="L3930" i="2"/>
  <c r="C3931" i="2"/>
  <c r="D3931" i="2"/>
  <c r="F3931" i="2"/>
  <c r="G3931" i="2"/>
  <c r="H3931" i="2"/>
  <c r="J3931" i="2"/>
  <c r="K3931" i="2"/>
  <c r="L3931" i="2"/>
  <c r="C3932" i="2"/>
  <c r="D3932" i="2"/>
  <c r="F3932" i="2"/>
  <c r="G3932" i="2"/>
  <c r="H3932" i="2"/>
  <c r="J3932" i="2"/>
  <c r="K3932" i="2"/>
  <c r="L3932" i="2"/>
  <c r="C3933" i="2"/>
  <c r="D3933" i="2"/>
  <c r="F3933" i="2"/>
  <c r="G3933" i="2"/>
  <c r="H3933" i="2"/>
  <c r="J3933" i="2"/>
  <c r="K3933" i="2"/>
  <c r="L3933" i="2"/>
  <c r="C3934" i="2"/>
  <c r="D3934" i="2"/>
  <c r="F3934" i="2"/>
  <c r="G3934" i="2"/>
  <c r="H3934" i="2"/>
  <c r="J3934" i="2"/>
  <c r="K3934" i="2"/>
  <c r="L3934" i="2"/>
  <c r="C3935" i="2"/>
  <c r="D3935" i="2"/>
  <c r="F3935" i="2"/>
  <c r="G3935" i="2"/>
  <c r="H3935" i="2"/>
  <c r="J3935" i="2"/>
  <c r="K3935" i="2"/>
  <c r="L3935" i="2"/>
  <c r="C3936" i="2"/>
  <c r="D3936" i="2"/>
  <c r="F3936" i="2"/>
  <c r="G3936" i="2"/>
  <c r="H3936" i="2"/>
  <c r="J3936" i="2"/>
  <c r="K3936" i="2"/>
  <c r="L3936" i="2"/>
  <c r="C3937" i="2"/>
  <c r="D3937" i="2"/>
  <c r="F3937" i="2"/>
  <c r="G3937" i="2"/>
  <c r="H3937" i="2"/>
  <c r="J3937" i="2"/>
  <c r="K3937" i="2"/>
  <c r="L3937" i="2"/>
  <c r="C3938" i="2"/>
  <c r="D3938" i="2"/>
  <c r="F3938" i="2"/>
  <c r="G3938" i="2"/>
  <c r="H3938" i="2"/>
  <c r="J3938" i="2"/>
  <c r="K3938" i="2"/>
  <c r="L3938" i="2"/>
  <c r="C3939" i="2"/>
  <c r="D3939" i="2"/>
  <c r="F3939" i="2"/>
  <c r="G3939" i="2"/>
  <c r="H3939" i="2"/>
  <c r="J3939" i="2"/>
  <c r="K3939" i="2"/>
  <c r="L3939" i="2"/>
  <c r="C3940" i="2"/>
  <c r="D3940" i="2"/>
  <c r="F3940" i="2"/>
  <c r="G3940" i="2"/>
  <c r="H3940" i="2"/>
  <c r="J3940" i="2"/>
  <c r="K3940" i="2"/>
  <c r="L3940" i="2"/>
  <c r="C3941" i="2"/>
  <c r="D3941" i="2"/>
  <c r="F3941" i="2"/>
  <c r="G3941" i="2"/>
  <c r="H3941" i="2"/>
  <c r="J3941" i="2"/>
  <c r="K3941" i="2"/>
  <c r="L3941" i="2"/>
  <c r="C3942" i="2"/>
  <c r="D3942" i="2"/>
  <c r="F3942" i="2"/>
  <c r="G3942" i="2"/>
  <c r="H3942" i="2"/>
  <c r="J3942" i="2"/>
  <c r="K3942" i="2"/>
  <c r="L3942" i="2"/>
  <c r="C3943" i="2"/>
  <c r="D3943" i="2"/>
  <c r="F3943" i="2"/>
  <c r="G3943" i="2"/>
  <c r="H3943" i="2"/>
  <c r="J3943" i="2"/>
  <c r="K3943" i="2"/>
  <c r="L3943" i="2"/>
  <c r="C3944" i="2"/>
  <c r="D3944" i="2"/>
  <c r="F3944" i="2"/>
  <c r="G3944" i="2"/>
  <c r="H3944" i="2"/>
  <c r="J3944" i="2"/>
  <c r="K3944" i="2"/>
  <c r="L3944" i="2"/>
  <c r="C3945" i="2"/>
  <c r="D3945" i="2"/>
  <c r="F3945" i="2"/>
  <c r="G3945" i="2"/>
  <c r="H3945" i="2"/>
  <c r="J3945" i="2"/>
  <c r="K3945" i="2"/>
  <c r="L3945" i="2"/>
  <c r="C3946" i="2"/>
  <c r="D3946" i="2"/>
  <c r="F3946" i="2"/>
  <c r="G3946" i="2"/>
  <c r="H3946" i="2"/>
  <c r="J3946" i="2"/>
  <c r="K3946" i="2"/>
  <c r="L3946" i="2"/>
  <c r="C3947" i="2"/>
  <c r="D3947" i="2"/>
  <c r="F3947" i="2"/>
  <c r="G3947" i="2"/>
  <c r="H3947" i="2"/>
  <c r="J3947" i="2"/>
  <c r="K3947" i="2"/>
  <c r="L3947" i="2"/>
  <c r="C3948" i="2"/>
  <c r="D3948" i="2"/>
  <c r="F3948" i="2"/>
  <c r="G3948" i="2"/>
  <c r="H3948" i="2"/>
  <c r="J3948" i="2"/>
  <c r="K3948" i="2"/>
  <c r="L3948" i="2"/>
  <c r="C3949" i="2"/>
  <c r="D3949" i="2"/>
  <c r="F3949" i="2"/>
  <c r="G3949" i="2"/>
  <c r="H3949" i="2"/>
  <c r="J3949" i="2"/>
  <c r="K3949" i="2"/>
  <c r="L3949" i="2"/>
  <c r="C3950" i="2"/>
  <c r="D3950" i="2"/>
  <c r="F3950" i="2"/>
  <c r="G3950" i="2"/>
  <c r="H3950" i="2"/>
  <c r="J3950" i="2"/>
  <c r="K3950" i="2"/>
  <c r="L3950" i="2"/>
  <c r="C3951" i="2"/>
  <c r="D3951" i="2"/>
  <c r="F3951" i="2"/>
  <c r="G3951" i="2"/>
  <c r="H3951" i="2"/>
  <c r="J3951" i="2"/>
  <c r="K3951" i="2"/>
  <c r="L3951" i="2"/>
  <c r="C3952" i="2"/>
  <c r="D3952" i="2"/>
  <c r="F3952" i="2"/>
  <c r="G3952" i="2"/>
  <c r="H3952" i="2"/>
  <c r="J3952" i="2"/>
  <c r="K3952" i="2"/>
  <c r="L3952" i="2"/>
  <c r="C3953" i="2"/>
  <c r="D3953" i="2"/>
  <c r="F3953" i="2"/>
  <c r="G3953" i="2"/>
  <c r="H3953" i="2"/>
  <c r="J3953" i="2"/>
  <c r="K3953" i="2"/>
  <c r="L3953" i="2"/>
  <c r="C3954" i="2"/>
  <c r="D3954" i="2"/>
  <c r="F3954" i="2"/>
  <c r="G3954" i="2"/>
  <c r="H3954" i="2"/>
  <c r="J3954" i="2"/>
  <c r="K3954" i="2"/>
  <c r="L3954" i="2"/>
  <c r="C3955" i="2"/>
  <c r="D3955" i="2"/>
  <c r="F3955" i="2"/>
  <c r="G3955" i="2"/>
  <c r="H3955" i="2"/>
  <c r="J3955" i="2"/>
  <c r="K3955" i="2"/>
  <c r="L3955" i="2"/>
  <c r="C3956" i="2"/>
  <c r="D3956" i="2"/>
  <c r="F3956" i="2"/>
  <c r="G3956" i="2"/>
  <c r="H3956" i="2"/>
  <c r="J3956" i="2"/>
  <c r="K3956" i="2"/>
  <c r="L3956" i="2"/>
  <c r="C3957" i="2"/>
  <c r="D3957" i="2"/>
  <c r="F3957" i="2"/>
  <c r="G3957" i="2"/>
  <c r="H3957" i="2"/>
  <c r="J3957" i="2"/>
  <c r="K3957" i="2"/>
  <c r="L3957" i="2"/>
  <c r="C3958" i="2"/>
  <c r="D3958" i="2"/>
  <c r="F3958" i="2"/>
  <c r="G3958" i="2"/>
  <c r="H3958" i="2"/>
  <c r="J3958" i="2"/>
  <c r="K3958" i="2"/>
  <c r="L3958" i="2"/>
  <c r="C3959" i="2"/>
  <c r="D3959" i="2"/>
  <c r="F3959" i="2"/>
  <c r="G3959" i="2"/>
  <c r="H3959" i="2"/>
  <c r="J3959" i="2"/>
  <c r="K3959" i="2"/>
  <c r="L3959" i="2"/>
  <c r="C3960" i="2"/>
  <c r="D3960" i="2"/>
  <c r="F3960" i="2"/>
  <c r="G3960" i="2"/>
  <c r="H3960" i="2"/>
  <c r="J3960" i="2"/>
  <c r="K3960" i="2"/>
  <c r="L3960" i="2"/>
  <c r="C3961" i="2"/>
  <c r="D3961" i="2"/>
  <c r="F3961" i="2"/>
  <c r="G3961" i="2"/>
  <c r="H3961" i="2"/>
  <c r="J3961" i="2"/>
  <c r="K3961" i="2"/>
  <c r="L3961" i="2"/>
  <c r="C3962" i="2"/>
  <c r="D3962" i="2"/>
  <c r="F3962" i="2"/>
  <c r="G3962" i="2"/>
  <c r="H3962" i="2"/>
  <c r="J3962" i="2"/>
  <c r="K3962" i="2"/>
  <c r="L3962" i="2"/>
  <c r="C3963" i="2"/>
  <c r="D3963" i="2"/>
  <c r="F3963" i="2"/>
  <c r="G3963" i="2"/>
  <c r="H3963" i="2"/>
  <c r="J3963" i="2"/>
  <c r="K3963" i="2"/>
  <c r="L3963" i="2"/>
  <c r="C3964" i="2"/>
  <c r="D3964" i="2"/>
  <c r="F3964" i="2"/>
  <c r="G3964" i="2"/>
  <c r="H3964" i="2"/>
  <c r="J3964" i="2"/>
  <c r="K3964" i="2"/>
  <c r="L3964" i="2"/>
  <c r="C3965" i="2"/>
  <c r="D3965" i="2"/>
  <c r="F3965" i="2"/>
  <c r="G3965" i="2"/>
  <c r="H3965" i="2"/>
  <c r="J3965" i="2"/>
  <c r="K3965" i="2"/>
  <c r="L3965" i="2"/>
  <c r="C3966" i="2"/>
  <c r="D3966" i="2"/>
  <c r="F3966" i="2"/>
  <c r="G3966" i="2"/>
  <c r="H3966" i="2"/>
  <c r="J3966" i="2"/>
  <c r="K3966" i="2"/>
  <c r="L3966" i="2"/>
  <c r="C3967" i="2"/>
  <c r="D3967" i="2"/>
  <c r="F3967" i="2"/>
  <c r="G3967" i="2"/>
  <c r="H3967" i="2"/>
  <c r="J3967" i="2"/>
  <c r="K3967" i="2"/>
  <c r="L3967" i="2"/>
  <c r="C3968" i="2"/>
  <c r="D3968" i="2"/>
  <c r="F3968" i="2"/>
  <c r="G3968" i="2"/>
  <c r="H3968" i="2"/>
  <c r="J3968" i="2"/>
  <c r="K3968" i="2"/>
  <c r="L3968" i="2"/>
  <c r="C3969" i="2"/>
  <c r="D3969" i="2"/>
  <c r="F3969" i="2"/>
  <c r="G3969" i="2"/>
  <c r="H3969" i="2"/>
  <c r="J3969" i="2"/>
  <c r="K3969" i="2"/>
  <c r="L3969" i="2"/>
  <c r="C3970" i="2"/>
  <c r="D3970" i="2"/>
  <c r="F3970" i="2"/>
  <c r="G3970" i="2"/>
  <c r="H3970" i="2"/>
  <c r="J3970" i="2"/>
  <c r="K3970" i="2"/>
  <c r="L3970" i="2"/>
  <c r="C3971" i="2"/>
  <c r="D3971" i="2"/>
  <c r="F3971" i="2"/>
  <c r="G3971" i="2"/>
  <c r="H3971" i="2"/>
  <c r="J3971" i="2"/>
  <c r="K3971" i="2"/>
  <c r="L3971" i="2"/>
  <c r="C3972" i="2"/>
  <c r="D3972" i="2"/>
  <c r="F3972" i="2"/>
  <c r="G3972" i="2"/>
  <c r="H3972" i="2"/>
  <c r="J3972" i="2"/>
  <c r="K3972" i="2"/>
  <c r="L3972" i="2"/>
  <c r="C3973" i="2"/>
  <c r="D3973" i="2"/>
  <c r="F3973" i="2"/>
  <c r="G3973" i="2"/>
  <c r="H3973" i="2"/>
  <c r="J3973" i="2"/>
  <c r="K3973" i="2"/>
  <c r="L3973" i="2"/>
  <c r="C3974" i="2"/>
  <c r="D3974" i="2"/>
  <c r="F3974" i="2"/>
  <c r="G3974" i="2"/>
  <c r="H3974" i="2"/>
  <c r="J3974" i="2"/>
  <c r="K3974" i="2"/>
  <c r="L3974" i="2"/>
  <c r="C3975" i="2"/>
  <c r="D3975" i="2"/>
  <c r="F3975" i="2"/>
  <c r="G3975" i="2"/>
  <c r="H3975" i="2"/>
  <c r="J3975" i="2"/>
  <c r="K3975" i="2"/>
  <c r="L3975" i="2"/>
  <c r="C3976" i="2"/>
  <c r="D3976" i="2"/>
  <c r="F3976" i="2"/>
  <c r="G3976" i="2"/>
  <c r="H3976" i="2"/>
  <c r="J3976" i="2"/>
  <c r="K3976" i="2"/>
  <c r="L3976" i="2"/>
  <c r="C3977" i="2"/>
  <c r="D3977" i="2"/>
  <c r="F3977" i="2"/>
  <c r="G3977" i="2"/>
  <c r="H3977" i="2"/>
  <c r="J3977" i="2"/>
  <c r="K3977" i="2"/>
  <c r="L3977" i="2"/>
  <c r="C3978" i="2"/>
  <c r="D3978" i="2"/>
  <c r="F3978" i="2"/>
  <c r="G3978" i="2"/>
  <c r="H3978" i="2"/>
  <c r="J3978" i="2"/>
  <c r="K3978" i="2"/>
  <c r="L3978" i="2"/>
  <c r="C3979" i="2"/>
  <c r="D3979" i="2"/>
  <c r="F3979" i="2"/>
  <c r="G3979" i="2"/>
  <c r="H3979" i="2"/>
  <c r="J3979" i="2"/>
  <c r="K3979" i="2"/>
  <c r="L3979" i="2"/>
  <c r="C3980" i="2"/>
  <c r="D3980" i="2"/>
  <c r="F3980" i="2"/>
  <c r="G3980" i="2"/>
  <c r="H3980" i="2"/>
  <c r="J3980" i="2"/>
  <c r="K3980" i="2"/>
  <c r="L3980" i="2"/>
  <c r="C3981" i="2"/>
  <c r="D3981" i="2"/>
  <c r="F3981" i="2"/>
  <c r="G3981" i="2"/>
  <c r="H3981" i="2"/>
  <c r="J3981" i="2"/>
  <c r="K3981" i="2"/>
  <c r="L3981" i="2"/>
  <c r="C3982" i="2"/>
  <c r="D3982" i="2"/>
  <c r="F3982" i="2"/>
  <c r="G3982" i="2"/>
  <c r="H3982" i="2"/>
  <c r="J3982" i="2"/>
  <c r="K3982" i="2"/>
  <c r="L3982" i="2"/>
  <c r="C3983" i="2"/>
  <c r="D3983" i="2"/>
  <c r="F3983" i="2"/>
  <c r="G3983" i="2"/>
  <c r="H3983" i="2"/>
  <c r="J3983" i="2"/>
  <c r="K3983" i="2"/>
  <c r="L3983" i="2"/>
  <c r="C3984" i="2"/>
  <c r="D3984" i="2"/>
  <c r="F3984" i="2"/>
  <c r="G3984" i="2"/>
  <c r="H3984" i="2"/>
  <c r="J3984" i="2"/>
  <c r="K3984" i="2"/>
  <c r="L3984" i="2"/>
  <c r="C3985" i="2"/>
  <c r="D3985" i="2"/>
  <c r="F3985" i="2"/>
  <c r="G3985" i="2"/>
  <c r="H3985" i="2"/>
  <c r="J3985" i="2"/>
  <c r="K3985" i="2"/>
  <c r="L3985" i="2"/>
  <c r="C3986" i="2"/>
  <c r="D3986" i="2"/>
  <c r="F3986" i="2"/>
  <c r="G3986" i="2"/>
  <c r="H3986" i="2"/>
  <c r="J3986" i="2"/>
  <c r="K3986" i="2"/>
  <c r="L3986" i="2"/>
  <c r="C3987" i="2"/>
  <c r="D3987" i="2"/>
  <c r="F3987" i="2"/>
  <c r="G3987" i="2"/>
  <c r="H3987" i="2"/>
  <c r="J3987" i="2"/>
  <c r="K3987" i="2"/>
  <c r="L3987" i="2"/>
  <c r="C3988" i="2"/>
  <c r="D3988" i="2"/>
  <c r="F3988" i="2"/>
  <c r="G3988" i="2"/>
  <c r="H3988" i="2"/>
  <c r="J3988" i="2"/>
  <c r="K3988" i="2"/>
  <c r="L3988" i="2"/>
  <c r="C3989" i="2"/>
  <c r="D3989" i="2"/>
  <c r="F3989" i="2"/>
  <c r="G3989" i="2"/>
  <c r="H3989" i="2"/>
  <c r="J3989" i="2"/>
  <c r="K3989" i="2"/>
  <c r="L3989" i="2"/>
  <c r="C3990" i="2"/>
  <c r="D3990" i="2"/>
  <c r="F3990" i="2"/>
  <c r="G3990" i="2"/>
  <c r="H3990" i="2"/>
  <c r="J3990" i="2"/>
  <c r="K3990" i="2"/>
  <c r="L3990" i="2"/>
  <c r="C3991" i="2"/>
  <c r="D3991" i="2"/>
  <c r="F3991" i="2"/>
  <c r="G3991" i="2"/>
  <c r="H3991" i="2"/>
  <c r="J3991" i="2"/>
  <c r="K3991" i="2"/>
  <c r="L3991" i="2"/>
  <c r="C3992" i="2"/>
  <c r="D3992" i="2"/>
  <c r="F3992" i="2"/>
  <c r="G3992" i="2"/>
  <c r="H3992" i="2"/>
  <c r="J3992" i="2"/>
  <c r="K3992" i="2"/>
  <c r="L3992" i="2"/>
  <c r="C3993" i="2"/>
  <c r="D3993" i="2"/>
  <c r="F3993" i="2"/>
  <c r="G3993" i="2"/>
  <c r="H3993" i="2"/>
  <c r="J3993" i="2"/>
  <c r="K3993" i="2"/>
  <c r="L3993" i="2"/>
  <c r="C3994" i="2"/>
  <c r="D3994" i="2"/>
  <c r="F3994" i="2"/>
  <c r="G3994" i="2"/>
  <c r="H3994" i="2"/>
  <c r="J3994" i="2"/>
  <c r="K3994" i="2"/>
  <c r="L3994" i="2"/>
  <c r="C3995" i="2"/>
  <c r="D3995" i="2"/>
  <c r="F3995" i="2"/>
  <c r="G3995" i="2"/>
  <c r="H3995" i="2"/>
  <c r="J3995" i="2"/>
  <c r="K3995" i="2"/>
  <c r="L3995" i="2"/>
  <c r="C3996" i="2"/>
  <c r="D3996" i="2"/>
  <c r="F3996" i="2"/>
  <c r="G3996" i="2"/>
  <c r="H3996" i="2"/>
  <c r="J3996" i="2"/>
  <c r="K3996" i="2"/>
  <c r="L3996" i="2"/>
  <c r="C3997" i="2"/>
  <c r="D3997" i="2"/>
  <c r="F3997" i="2"/>
  <c r="G3997" i="2"/>
  <c r="H3997" i="2"/>
  <c r="J3997" i="2"/>
  <c r="K3997" i="2"/>
  <c r="L3997" i="2"/>
  <c r="C3998" i="2"/>
  <c r="D3998" i="2"/>
  <c r="F3998" i="2"/>
  <c r="G3998" i="2"/>
  <c r="H3998" i="2"/>
  <c r="J3998" i="2"/>
  <c r="K3998" i="2"/>
  <c r="L3998" i="2"/>
  <c r="C3999" i="2"/>
  <c r="D3999" i="2"/>
  <c r="F3999" i="2"/>
  <c r="G3999" i="2"/>
  <c r="H3999" i="2"/>
  <c r="J3999" i="2"/>
  <c r="K3999" i="2"/>
  <c r="L3999" i="2"/>
  <c r="C4000" i="2"/>
  <c r="D4000" i="2"/>
  <c r="F4000" i="2"/>
  <c r="G4000" i="2"/>
  <c r="H4000" i="2"/>
  <c r="J4000" i="2"/>
  <c r="K4000" i="2"/>
  <c r="L4000" i="2"/>
  <c r="C4001" i="2"/>
  <c r="D4001" i="2"/>
  <c r="F4001" i="2"/>
  <c r="G4001" i="2"/>
  <c r="H4001" i="2"/>
  <c r="J4001" i="2"/>
  <c r="K4001" i="2"/>
  <c r="L4001" i="2"/>
  <c r="C4002" i="2"/>
  <c r="D4002" i="2"/>
  <c r="F4002" i="2"/>
  <c r="G4002" i="2"/>
  <c r="H4002" i="2"/>
  <c r="J4002" i="2"/>
  <c r="K4002" i="2"/>
  <c r="L4002" i="2"/>
  <c r="C4003" i="2"/>
  <c r="D4003" i="2"/>
  <c r="F4003" i="2"/>
  <c r="G4003" i="2"/>
  <c r="H4003" i="2"/>
  <c r="J4003" i="2"/>
  <c r="K4003" i="2"/>
  <c r="L4003" i="2"/>
  <c r="C4004" i="2"/>
  <c r="D4004" i="2"/>
  <c r="F4004" i="2"/>
  <c r="G4004" i="2"/>
  <c r="H4004" i="2"/>
  <c r="J4004" i="2"/>
  <c r="K4004" i="2"/>
  <c r="L4004" i="2"/>
  <c r="C4005" i="2"/>
  <c r="D4005" i="2"/>
  <c r="F4005" i="2"/>
  <c r="G4005" i="2"/>
  <c r="H4005" i="2"/>
  <c r="J4005" i="2"/>
  <c r="K4005" i="2"/>
  <c r="L4005" i="2"/>
  <c r="C4006" i="2"/>
  <c r="D4006" i="2"/>
  <c r="F4006" i="2"/>
  <c r="G4006" i="2"/>
  <c r="H4006" i="2"/>
  <c r="J4006" i="2"/>
  <c r="K4006" i="2"/>
  <c r="L4006" i="2"/>
  <c r="C4007" i="2"/>
  <c r="D4007" i="2"/>
  <c r="F4007" i="2"/>
  <c r="G4007" i="2"/>
  <c r="H4007" i="2"/>
  <c r="J4007" i="2"/>
  <c r="K4007" i="2"/>
  <c r="L4007" i="2"/>
  <c r="C4008" i="2"/>
  <c r="D4008" i="2"/>
  <c r="F4008" i="2"/>
  <c r="G4008" i="2"/>
  <c r="H4008" i="2"/>
  <c r="J4008" i="2"/>
  <c r="K4008" i="2"/>
  <c r="L4008" i="2"/>
  <c r="C4009" i="2"/>
  <c r="D4009" i="2"/>
  <c r="F4009" i="2"/>
  <c r="G4009" i="2"/>
  <c r="H4009" i="2"/>
  <c r="J4009" i="2"/>
  <c r="K4009" i="2"/>
  <c r="L4009" i="2"/>
  <c r="C4010" i="2"/>
  <c r="D4010" i="2"/>
  <c r="F4010" i="2"/>
  <c r="G4010" i="2"/>
  <c r="H4010" i="2"/>
  <c r="J4010" i="2"/>
  <c r="K4010" i="2"/>
  <c r="L4010" i="2"/>
  <c r="C4011" i="2"/>
  <c r="D4011" i="2"/>
  <c r="F4011" i="2"/>
  <c r="G4011" i="2"/>
  <c r="H4011" i="2"/>
  <c r="J4011" i="2"/>
  <c r="K4011" i="2"/>
  <c r="L4011" i="2"/>
  <c r="C4012" i="2"/>
  <c r="D4012" i="2"/>
  <c r="F4012" i="2"/>
  <c r="G4012" i="2"/>
  <c r="H4012" i="2"/>
  <c r="J4012" i="2"/>
  <c r="K4012" i="2"/>
  <c r="L4012" i="2"/>
  <c r="C4013" i="2"/>
  <c r="D4013" i="2"/>
  <c r="F4013" i="2"/>
  <c r="G4013" i="2"/>
  <c r="H4013" i="2"/>
  <c r="J4013" i="2"/>
  <c r="K4013" i="2"/>
  <c r="L4013" i="2"/>
  <c r="C4014" i="2"/>
  <c r="D4014" i="2"/>
  <c r="F4014" i="2"/>
  <c r="G4014" i="2"/>
  <c r="H4014" i="2"/>
  <c r="J4014" i="2"/>
  <c r="K4014" i="2"/>
  <c r="L4014" i="2"/>
  <c r="C4015" i="2"/>
  <c r="D4015" i="2"/>
  <c r="F4015" i="2"/>
  <c r="G4015" i="2"/>
  <c r="H4015" i="2"/>
  <c r="J4015" i="2"/>
  <c r="K4015" i="2"/>
  <c r="L4015" i="2"/>
  <c r="C4016" i="2"/>
  <c r="D4016" i="2"/>
  <c r="F4016" i="2"/>
  <c r="G4016" i="2"/>
  <c r="H4016" i="2"/>
  <c r="J4016" i="2"/>
  <c r="K4016" i="2"/>
  <c r="L4016" i="2"/>
  <c r="C4017" i="2"/>
  <c r="D4017" i="2"/>
  <c r="F4017" i="2"/>
  <c r="G4017" i="2"/>
  <c r="H4017" i="2"/>
  <c r="J4017" i="2"/>
  <c r="K4017" i="2"/>
  <c r="L4017" i="2"/>
  <c r="C4018" i="2"/>
  <c r="D4018" i="2"/>
  <c r="F4018" i="2"/>
  <c r="G4018" i="2"/>
  <c r="H4018" i="2"/>
  <c r="J4018" i="2"/>
  <c r="K4018" i="2"/>
  <c r="L4018" i="2"/>
  <c r="C4019" i="2"/>
  <c r="D4019" i="2"/>
  <c r="F4019" i="2"/>
  <c r="G4019" i="2"/>
  <c r="H4019" i="2"/>
  <c r="J4019" i="2"/>
  <c r="K4019" i="2"/>
  <c r="L4019" i="2"/>
  <c r="C4020" i="2"/>
  <c r="D4020" i="2"/>
  <c r="F4020" i="2"/>
  <c r="G4020" i="2"/>
  <c r="H4020" i="2"/>
  <c r="J4020" i="2"/>
  <c r="K4020" i="2"/>
  <c r="L4020" i="2"/>
  <c r="C4021" i="2"/>
  <c r="D4021" i="2"/>
  <c r="F4021" i="2"/>
  <c r="G4021" i="2"/>
  <c r="H4021" i="2"/>
  <c r="J4021" i="2"/>
  <c r="K4021" i="2"/>
  <c r="L4021" i="2"/>
  <c r="C4022" i="2"/>
  <c r="D4022" i="2"/>
  <c r="F4022" i="2"/>
  <c r="G4022" i="2"/>
  <c r="H4022" i="2"/>
  <c r="J4022" i="2"/>
  <c r="K4022" i="2"/>
  <c r="L4022" i="2"/>
  <c r="C4023" i="2"/>
  <c r="D4023" i="2"/>
  <c r="F4023" i="2"/>
  <c r="G4023" i="2"/>
  <c r="H4023" i="2"/>
  <c r="J4023" i="2"/>
  <c r="K4023" i="2"/>
  <c r="L4023" i="2"/>
  <c r="C4024" i="2"/>
  <c r="D4024" i="2"/>
  <c r="F4024" i="2"/>
  <c r="G4024" i="2"/>
  <c r="H4024" i="2"/>
  <c r="J4024" i="2"/>
  <c r="K4024" i="2"/>
  <c r="L4024" i="2"/>
  <c r="C4025" i="2"/>
  <c r="D4025" i="2"/>
  <c r="F4025" i="2"/>
  <c r="G4025" i="2"/>
  <c r="H4025" i="2"/>
  <c r="J4025" i="2"/>
  <c r="K4025" i="2"/>
  <c r="L4025" i="2"/>
  <c r="C4026" i="2"/>
  <c r="D4026" i="2"/>
  <c r="F4026" i="2"/>
  <c r="G4026" i="2"/>
  <c r="H4026" i="2"/>
  <c r="J4026" i="2"/>
  <c r="K4026" i="2"/>
  <c r="L4026" i="2"/>
  <c r="C4027" i="2"/>
  <c r="D4027" i="2"/>
  <c r="F4027" i="2"/>
  <c r="G4027" i="2"/>
  <c r="H4027" i="2"/>
  <c r="J4027" i="2"/>
  <c r="K4027" i="2"/>
  <c r="L4027" i="2"/>
  <c r="C4028" i="2"/>
  <c r="D4028" i="2"/>
  <c r="E4028" i="2"/>
  <c r="F4028" i="2"/>
  <c r="G4028" i="2"/>
  <c r="H4028" i="2"/>
  <c r="J4028" i="2"/>
  <c r="K4028" i="2"/>
  <c r="L4028" i="2"/>
  <c r="C4029" i="2"/>
  <c r="D4029" i="2"/>
  <c r="F4029" i="2"/>
  <c r="G4029" i="2"/>
  <c r="H4029" i="2"/>
  <c r="J4029" i="2"/>
  <c r="K4029" i="2"/>
  <c r="L4029" i="2"/>
  <c r="C4030" i="2"/>
  <c r="D4030" i="2"/>
  <c r="F4030" i="2"/>
  <c r="G4030" i="2"/>
  <c r="H4030" i="2"/>
  <c r="J4030" i="2"/>
  <c r="K4030" i="2"/>
  <c r="L4030" i="2"/>
  <c r="C4031" i="2"/>
  <c r="D4031" i="2"/>
  <c r="F4031" i="2"/>
  <c r="G4031" i="2"/>
  <c r="H4031" i="2"/>
  <c r="J4031" i="2"/>
  <c r="K4031" i="2"/>
  <c r="L4031" i="2"/>
  <c r="C4032" i="2"/>
  <c r="D4032" i="2"/>
  <c r="F4032" i="2"/>
  <c r="G4032" i="2"/>
  <c r="H4032" i="2"/>
  <c r="J4032" i="2"/>
  <c r="K4032" i="2"/>
  <c r="L4032" i="2"/>
  <c r="C4033" i="2"/>
  <c r="D4033" i="2"/>
  <c r="F4033" i="2"/>
  <c r="G4033" i="2"/>
  <c r="H4033" i="2"/>
  <c r="J4033" i="2"/>
  <c r="K4033" i="2"/>
  <c r="L4033" i="2"/>
  <c r="C4034" i="2"/>
  <c r="D4034" i="2"/>
  <c r="F4034" i="2"/>
  <c r="G4034" i="2"/>
  <c r="H4034" i="2"/>
  <c r="J4034" i="2"/>
  <c r="K4034" i="2"/>
  <c r="L4034" i="2"/>
  <c r="C4035" i="2"/>
  <c r="D4035" i="2"/>
  <c r="F4035" i="2"/>
  <c r="G4035" i="2"/>
  <c r="H4035" i="2"/>
  <c r="J4035" i="2"/>
  <c r="K4035" i="2"/>
  <c r="L4035" i="2"/>
  <c r="C4036" i="2"/>
  <c r="D4036" i="2"/>
  <c r="F4036" i="2"/>
  <c r="G4036" i="2"/>
  <c r="H4036" i="2"/>
  <c r="J4036" i="2"/>
  <c r="K4036" i="2"/>
  <c r="L4036" i="2"/>
  <c r="C4037" i="2"/>
  <c r="D4037" i="2"/>
  <c r="F4037" i="2"/>
  <c r="G4037" i="2"/>
  <c r="H4037" i="2"/>
  <c r="J4037" i="2"/>
  <c r="K4037" i="2"/>
  <c r="L4037" i="2"/>
  <c r="C4038" i="2"/>
  <c r="D4038" i="2"/>
  <c r="F4038" i="2"/>
  <c r="G4038" i="2"/>
  <c r="H4038" i="2"/>
  <c r="J4038" i="2"/>
  <c r="K4038" i="2"/>
  <c r="L4038" i="2"/>
  <c r="C4039" i="2"/>
  <c r="D4039" i="2"/>
  <c r="F4039" i="2"/>
  <c r="G4039" i="2"/>
  <c r="H4039" i="2"/>
  <c r="J4039" i="2"/>
  <c r="K4039" i="2"/>
  <c r="L4039" i="2"/>
  <c r="C4040" i="2"/>
  <c r="D4040" i="2"/>
  <c r="F4040" i="2"/>
  <c r="G4040" i="2"/>
  <c r="H4040" i="2"/>
  <c r="J4040" i="2"/>
  <c r="K4040" i="2"/>
  <c r="L4040" i="2"/>
  <c r="C4041" i="2"/>
  <c r="D4041" i="2"/>
  <c r="F4041" i="2"/>
  <c r="G4041" i="2"/>
  <c r="H4041" i="2"/>
  <c r="J4041" i="2"/>
  <c r="K4041" i="2"/>
  <c r="L4041" i="2"/>
  <c r="C4042" i="2"/>
  <c r="D4042" i="2"/>
  <c r="F4042" i="2"/>
  <c r="G4042" i="2"/>
  <c r="H4042" i="2"/>
  <c r="J4042" i="2"/>
  <c r="K4042" i="2"/>
  <c r="L4042" i="2"/>
  <c r="C4043" i="2"/>
  <c r="D4043" i="2"/>
  <c r="F4043" i="2"/>
  <c r="G4043" i="2"/>
  <c r="H4043" i="2"/>
  <c r="J4043" i="2"/>
  <c r="K4043" i="2"/>
  <c r="L4043" i="2"/>
  <c r="C4044" i="2"/>
  <c r="D4044" i="2"/>
  <c r="F4044" i="2"/>
  <c r="G4044" i="2"/>
  <c r="H4044" i="2"/>
  <c r="J4044" i="2"/>
  <c r="K4044" i="2"/>
  <c r="L4044" i="2"/>
  <c r="C4045" i="2"/>
  <c r="D4045" i="2"/>
  <c r="F4045" i="2"/>
  <c r="G4045" i="2"/>
  <c r="H4045" i="2"/>
  <c r="J4045" i="2"/>
  <c r="K4045" i="2"/>
  <c r="L4045" i="2"/>
  <c r="C4046" i="2"/>
  <c r="D4046" i="2"/>
  <c r="F4046" i="2"/>
  <c r="G4046" i="2"/>
  <c r="H4046" i="2"/>
  <c r="J4046" i="2"/>
  <c r="K4046" i="2"/>
  <c r="L4046" i="2"/>
  <c r="C4047" i="2"/>
  <c r="D4047" i="2"/>
  <c r="F4047" i="2"/>
  <c r="G4047" i="2"/>
  <c r="H4047" i="2"/>
  <c r="J4047" i="2"/>
  <c r="K4047" i="2"/>
  <c r="L4047" i="2"/>
  <c r="C4048" i="2"/>
  <c r="D4048" i="2"/>
  <c r="F4048" i="2"/>
  <c r="G4048" i="2"/>
  <c r="H4048" i="2"/>
  <c r="J4048" i="2"/>
  <c r="K4048" i="2"/>
  <c r="L4048" i="2"/>
  <c r="C4049" i="2"/>
  <c r="D4049" i="2"/>
  <c r="F4049" i="2"/>
  <c r="G4049" i="2"/>
  <c r="H4049" i="2"/>
  <c r="J4049" i="2"/>
  <c r="K4049" i="2"/>
  <c r="L4049" i="2"/>
  <c r="C4050" i="2"/>
  <c r="D4050" i="2"/>
  <c r="F4050" i="2"/>
  <c r="G4050" i="2"/>
  <c r="H4050" i="2"/>
  <c r="J4050" i="2"/>
  <c r="K4050" i="2"/>
  <c r="L4050" i="2"/>
  <c r="C4051" i="2"/>
  <c r="D4051" i="2"/>
  <c r="F4051" i="2"/>
  <c r="G4051" i="2"/>
  <c r="H4051" i="2"/>
  <c r="J4051" i="2"/>
  <c r="K4051" i="2"/>
  <c r="L4051" i="2"/>
  <c r="C4052" i="2"/>
  <c r="D4052" i="2"/>
  <c r="F4052" i="2"/>
  <c r="G4052" i="2"/>
  <c r="H4052" i="2"/>
  <c r="J4052" i="2"/>
  <c r="K4052" i="2"/>
  <c r="L4052" i="2"/>
  <c r="C4053" i="2"/>
  <c r="D4053" i="2"/>
  <c r="F4053" i="2"/>
  <c r="G4053" i="2"/>
  <c r="H4053" i="2"/>
  <c r="J4053" i="2"/>
  <c r="K4053" i="2"/>
  <c r="L4053" i="2"/>
  <c r="C4054" i="2"/>
  <c r="D4054" i="2"/>
  <c r="F4054" i="2"/>
  <c r="G4054" i="2"/>
  <c r="H4054" i="2"/>
  <c r="J4054" i="2"/>
  <c r="K4054" i="2"/>
  <c r="L4054" i="2"/>
  <c r="C4055" i="2"/>
  <c r="D4055" i="2"/>
  <c r="F4055" i="2"/>
  <c r="G4055" i="2"/>
  <c r="H4055" i="2"/>
  <c r="J4055" i="2"/>
  <c r="K4055" i="2"/>
  <c r="L4055" i="2"/>
  <c r="C4056" i="2"/>
  <c r="D4056" i="2"/>
  <c r="F4056" i="2"/>
  <c r="G4056" i="2"/>
  <c r="H4056" i="2"/>
  <c r="J4056" i="2"/>
  <c r="K4056" i="2"/>
  <c r="L4056" i="2"/>
  <c r="C4057" i="2"/>
  <c r="D4057" i="2"/>
  <c r="F4057" i="2"/>
  <c r="G4057" i="2"/>
  <c r="H4057" i="2"/>
  <c r="J4057" i="2"/>
  <c r="K4057" i="2"/>
  <c r="L4057" i="2"/>
  <c r="C4058" i="2"/>
  <c r="D4058" i="2"/>
  <c r="F4058" i="2"/>
  <c r="G4058" i="2"/>
  <c r="H4058" i="2"/>
  <c r="J4058" i="2"/>
  <c r="K4058" i="2"/>
  <c r="L4058" i="2"/>
  <c r="C4059" i="2"/>
  <c r="D4059" i="2"/>
  <c r="F4059" i="2"/>
  <c r="G4059" i="2"/>
  <c r="H4059" i="2"/>
  <c r="J4059" i="2"/>
  <c r="K4059" i="2"/>
  <c r="L4059" i="2"/>
  <c r="C4060" i="2"/>
  <c r="D4060" i="2"/>
  <c r="F4060" i="2"/>
  <c r="G4060" i="2"/>
  <c r="H4060" i="2"/>
  <c r="J4060" i="2"/>
  <c r="K4060" i="2"/>
  <c r="L4060" i="2"/>
  <c r="C4061" i="2"/>
  <c r="D4061" i="2"/>
  <c r="F4061" i="2"/>
  <c r="G4061" i="2"/>
  <c r="H4061" i="2"/>
  <c r="J4061" i="2"/>
  <c r="K4061" i="2"/>
  <c r="L4061" i="2"/>
  <c r="C4062" i="2"/>
  <c r="D4062" i="2"/>
  <c r="F4062" i="2"/>
  <c r="G4062" i="2"/>
  <c r="H4062" i="2"/>
  <c r="J4062" i="2"/>
  <c r="K4062" i="2"/>
  <c r="L4062" i="2"/>
  <c r="C4063" i="2"/>
  <c r="D4063" i="2"/>
  <c r="F4063" i="2"/>
  <c r="G4063" i="2"/>
  <c r="H4063" i="2"/>
  <c r="J4063" i="2"/>
  <c r="K4063" i="2"/>
  <c r="L4063" i="2"/>
  <c r="C4064" i="2"/>
  <c r="D4064" i="2"/>
  <c r="F4064" i="2"/>
  <c r="G4064" i="2"/>
  <c r="H4064" i="2"/>
  <c r="J4064" i="2"/>
  <c r="K4064" i="2"/>
  <c r="L4064" i="2"/>
  <c r="C4065" i="2"/>
  <c r="D4065" i="2"/>
  <c r="F4065" i="2"/>
  <c r="G4065" i="2"/>
  <c r="H4065" i="2"/>
  <c r="J4065" i="2"/>
  <c r="K4065" i="2"/>
  <c r="L4065" i="2"/>
  <c r="C4066" i="2"/>
  <c r="D4066" i="2"/>
  <c r="F4066" i="2"/>
  <c r="G4066" i="2"/>
  <c r="H4066" i="2"/>
  <c r="J4066" i="2"/>
  <c r="K4066" i="2"/>
  <c r="L4066" i="2"/>
  <c r="C4067" i="2"/>
  <c r="D4067" i="2"/>
  <c r="F4067" i="2"/>
  <c r="G4067" i="2"/>
  <c r="H4067" i="2"/>
  <c r="J4067" i="2"/>
  <c r="K4067" i="2"/>
  <c r="L4067" i="2"/>
  <c r="C4068" i="2"/>
  <c r="D4068" i="2"/>
  <c r="F4068" i="2"/>
  <c r="G4068" i="2"/>
  <c r="H4068" i="2"/>
  <c r="J4068" i="2"/>
  <c r="K4068" i="2"/>
  <c r="L4068" i="2"/>
  <c r="C4069" i="2"/>
  <c r="D4069" i="2"/>
  <c r="F4069" i="2"/>
  <c r="G4069" i="2"/>
  <c r="H4069" i="2"/>
  <c r="J4069" i="2"/>
  <c r="K4069" i="2"/>
  <c r="L4069" i="2"/>
  <c r="C4070" i="2"/>
  <c r="D4070" i="2"/>
  <c r="F4070" i="2"/>
  <c r="G4070" i="2"/>
  <c r="H4070" i="2"/>
  <c r="J4070" i="2"/>
  <c r="K4070" i="2"/>
  <c r="L4070" i="2"/>
  <c r="C4071" i="2"/>
  <c r="D4071" i="2"/>
  <c r="F4071" i="2"/>
  <c r="G4071" i="2"/>
  <c r="H4071" i="2"/>
  <c r="J4071" i="2"/>
  <c r="K4071" i="2"/>
  <c r="L4071" i="2"/>
  <c r="C4072" i="2"/>
  <c r="D4072" i="2"/>
  <c r="F4072" i="2"/>
  <c r="G4072" i="2"/>
  <c r="H4072" i="2"/>
  <c r="J4072" i="2"/>
  <c r="K4072" i="2"/>
  <c r="L4072" i="2"/>
  <c r="C4073" i="2"/>
  <c r="D4073" i="2"/>
  <c r="F4073" i="2"/>
  <c r="G4073" i="2"/>
  <c r="H4073" i="2"/>
  <c r="J4073" i="2"/>
  <c r="K4073" i="2"/>
  <c r="L4073" i="2"/>
  <c r="C4074" i="2"/>
  <c r="D4074" i="2"/>
  <c r="F4074" i="2"/>
  <c r="G4074" i="2"/>
  <c r="H4074" i="2"/>
  <c r="J4074" i="2"/>
  <c r="K4074" i="2"/>
  <c r="L4074" i="2"/>
  <c r="C4075" i="2"/>
  <c r="D4075" i="2"/>
  <c r="F4075" i="2"/>
  <c r="G4075" i="2"/>
  <c r="H4075" i="2"/>
  <c r="J4075" i="2"/>
  <c r="K4075" i="2"/>
  <c r="L4075" i="2"/>
  <c r="C4076" i="2"/>
  <c r="D4076" i="2"/>
  <c r="F4076" i="2"/>
  <c r="G4076" i="2"/>
  <c r="H4076" i="2"/>
  <c r="J4076" i="2"/>
  <c r="K4076" i="2"/>
  <c r="L4076" i="2"/>
  <c r="C4077" i="2"/>
  <c r="D4077" i="2"/>
  <c r="F4077" i="2"/>
  <c r="G4077" i="2"/>
  <c r="H4077" i="2"/>
  <c r="J4077" i="2"/>
  <c r="K4077" i="2"/>
  <c r="L4077" i="2"/>
  <c r="C4078" i="2"/>
  <c r="D4078" i="2"/>
  <c r="F4078" i="2"/>
  <c r="G4078" i="2"/>
  <c r="H4078" i="2"/>
  <c r="J4078" i="2"/>
  <c r="K4078" i="2"/>
  <c r="L4078" i="2"/>
  <c r="C4079" i="2"/>
  <c r="D4079" i="2"/>
  <c r="F4079" i="2"/>
  <c r="G4079" i="2"/>
  <c r="H4079" i="2"/>
  <c r="J4079" i="2"/>
  <c r="K4079" i="2"/>
  <c r="L4079" i="2"/>
  <c r="C4080" i="2"/>
  <c r="D4080" i="2"/>
  <c r="F4080" i="2"/>
  <c r="G4080" i="2"/>
  <c r="H4080" i="2"/>
  <c r="J4080" i="2"/>
  <c r="K4080" i="2"/>
  <c r="L4080" i="2"/>
  <c r="C4081" i="2"/>
  <c r="D4081" i="2"/>
  <c r="F4081" i="2"/>
  <c r="G4081" i="2"/>
  <c r="H4081" i="2"/>
  <c r="J4081" i="2"/>
  <c r="K4081" i="2"/>
  <c r="L4081" i="2"/>
  <c r="C4082" i="2"/>
  <c r="D4082" i="2"/>
  <c r="F4082" i="2"/>
  <c r="G4082" i="2"/>
  <c r="H4082" i="2"/>
  <c r="J4082" i="2"/>
  <c r="K4082" i="2"/>
  <c r="L4082" i="2"/>
  <c r="C4083" i="2"/>
  <c r="D4083" i="2"/>
  <c r="F4083" i="2"/>
  <c r="G4083" i="2"/>
  <c r="H4083" i="2"/>
  <c r="J4083" i="2"/>
  <c r="K4083" i="2"/>
  <c r="L4083" i="2"/>
  <c r="C4084" i="2"/>
  <c r="D4084" i="2"/>
  <c r="F4084" i="2"/>
  <c r="G4084" i="2"/>
  <c r="H4084" i="2"/>
  <c r="J4084" i="2"/>
  <c r="K4084" i="2"/>
  <c r="L4084" i="2"/>
  <c r="C4085" i="2"/>
  <c r="D4085" i="2"/>
  <c r="F4085" i="2"/>
  <c r="G4085" i="2"/>
  <c r="H4085" i="2"/>
  <c r="J4085" i="2"/>
  <c r="K4085" i="2"/>
  <c r="L4085" i="2"/>
  <c r="C4086" i="2"/>
  <c r="D4086" i="2"/>
  <c r="F4086" i="2"/>
  <c r="G4086" i="2"/>
  <c r="H4086" i="2"/>
  <c r="J4086" i="2"/>
  <c r="K4086" i="2"/>
  <c r="L4086" i="2"/>
  <c r="C4087" i="2"/>
  <c r="D4087" i="2"/>
  <c r="F4087" i="2"/>
  <c r="G4087" i="2"/>
  <c r="H4087" i="2"/>
  <c r="J4087" i="2"/>
  <c r="K4087" i="2"/>
  <c r="L4087" i="2"/>
  <c r="C4088" i="2"/>
  <c r="D4088" i="2"/>
  <c r="F4088" i="2"/>
  <c r="G4088" i="2"/>
  <c r="H4088" i="2"/>
  <c r="J4088" i="2"/>
  <c r="K4088" i="2"/>
  <c r="L4088" i="2"/>
  <c r="C4089" i="2"/>
  <c r="D4089" i="2"/>
  <c r="F4089" i="2"/>
  <c r="G4089" i="2"/>
  <c r="H4089" i="2"/>
  <c r="J4089" i="2"/>
  <c r="K4089" i="2"/>
  <c r="L4089" i="2"/>
  <c r="C4090" i="2"/>
  <c r="D4090" i="2"/>
  <c r="F4090" i="2"/>
  <c r="G4090" i="2"/>
  <c r="H4090" i="2"/>
  <c r="J4090" i="2"/>
  <c r="K4090" i="2"/>
  <c r="L4090" i="2"/>
  <c r="C4091" i="2"/>
  <c r="D4091" i="2"/>
  <c r="F4091" i="2"/>
  <c r="G4091" i="2"/>
  <c r="H4091" i="2"/>
  <c r="J4091" i="2"/>
  <c r="K4091" i="2"/>
  <c r="L4091" i="2"/>
  <c r="C4092" i="2"/>
  <c r="D4092" i="2"/>
  <c r="F4092" i="2"/>
  <c r="G4092" i="2"/>
  <c r="H4092" i="2"/>
  <c r="J4092" i="2"/>
  <c r="K4092" i="2"/>
  <c r="L4092" i="2"/>
  <c r="C4093" i="2"/>
  <c r="D4093" i="2"/>
  <c r="F4093" i="2"/>
  <c r="G4093" i="2"/>
  <c r="H4093" i="2"/>
  <c r="J4093" i="2"/>
  <c r="K4093" i="2"/>
  <c r="L4093" i="2"/>
  <c r="C4094" i="2"/>
  <c r="D4094" i="2"/>
  <c r="F4094" i="2"/>
  <c r="G4094" i="2"/>
  <c r="H4094" i="2"/>
  <c r="J4094" i="2"/>
  <c r="K4094" i="2"/>
  <c r="L4094" i="2"/>
  <c r="C4095" i="2"/>
  <c r="D4095" i="2"/>
  <c r="F4095" i="2"/>
  <c r="G4095" i="2"/>
  <c r="H4095" i="2"/>
  <c r="J4095" i="2"/>
  <c r="K4095" i="2"/>
  <c r="L4095" i="2"/>
  <c r="C4096" i="2"/>
  <c r="D4096" i="2"/>
  <c r="F4096" i="2"/>
  <c r="G4096" i="2"/>
  <c r="H4096" i="2"/>
  <c r="J4096" i="2"/>
  <c r="K4096" i="2"/>
  <c r="L4096" i="2"/>
  <c r="C4097" i="2"/>
  <c r="D4097" i="2"/>
  <c r="F4097" i="2"/>
  <c r="G4097" i="2"/>
  <c r="H4097" i="2"/>
  <c r="J4097" i="2"/>
  <c r="K4097" i="2"/>
  <c r="L4097" i="2"/>
  <c r="C4098" i="2"/>
  <c r="D4098" i="2"/>
  <c r="F4098" i="2"/>
  <c r="G4098" i="2"/>
  <c r="H4098" i="2"/>
  <c r="J4098" i="2"/>
  <c r="K4098" i="2"/>
  <c r="L4098" i="2"/>
  <c r="C4099" i="2"/>
  <c r="D4099" i="2"/>
  <c r="F4099" i="2"/>
  <c r="G4099" i="2"/>
  <c r="H4099" i="2"/>
  <c r="J4099" i="2"/>
  <c r="K4099" i="2"/>
  <c r="L4099" i="2"/>
  <c r="C4100" i="2"/>
  <c r="D4100" i="2"/>
  <c r="F4100" i="2"/>
  <c r="G4100" i="2"/>
  <c r="H4100" i="2"/>
  <c r="J4100" i="2"/>
  <c r="K4100" i="2"/>
  <c r="L4100" i="2"/>
  <c r="C4101" i="2"/>
  <c r="D4101" i="2"/>
  <c r="F4101" i="2"/>
  <c r="G4101" i="2"/>
  <c r="H4101" i="2"/>
  <c r="J4101" i="2"/>
  <c r="K4101" i="2"/>
  <c r="L4101" i="2"/>
  <c r="C4102" i="2"/>
  <c r="D4102" i="2"/>
  <c r="F4102" i="2"/>
  <c r="G4102" i="2"/>
  <c r="H4102" i="2"/>
  <c r="J4102" i="2"/>
  <c r="K4102" i="2"/>
  <c r="L4102" i="2"/>
  <c r="C4103" i="2"/>
  <c r="D4103" i="2"/>
  <c r="F4103" i="2"/>
  <c r="G4103" i="2"/>
  <c r="H4103" i="2"/>
  <c r="J4103" i="2"/>
  <c r="K4103" i="2"/>
  <c r="L4103" i="2"/>
  <c r="C4104" i="2"/>
  <c r="D4104" i="2"/>
  <c r="F4104" i="2"/>
  <c r="G4104" i="2"/>
  <c r="H4104" i="2"/>
  <c r="J4104" i="2"/>
  <c r="K4104" i="2"/>
  <c r="L4104" i="2"/>
  <c r="C4105" i="2"/>
  <c r="D4105" i="2"/>
  <c r="F4105" i="2"/>
  <c r="G4105" i="2"/>
  <c r="H4105" i="2"/>
  <c r="J4105" i="2"/>
  <c r="K4105" i="2"/>
  <c r="L4105" i="2"/>
  <c r="C4106" i="2"/>
  <c r="D4106" i="2"/>
  <c r="F4106" i="2"/>
  <c r="G4106" i="2"/>
  <c r="H4106" i="2"/>
  <c r="J4106" i="2"/>
  <c r="K4106" i="2"/>
  <c r="L4106" i="2"/>
  <c r="C4107" i="2"/>
  <c r="D4107" i="2"/>
  <c r="F4107" i="2"/>
  <c r="G4107" i="2"/>
  <c r="H4107" i="2"/>
  <c r="J4107" i="2"/>
  <c r="K4107" i="2"/>
  <c r="L4107" i="2"/>
  <c r="C4108" i="2"/>
  <c r="D4108" i="2"/>
  <c r="F4108" i="2"/>
  <c r="G4108" i="2"/>
  <c r="H4108" i="2"/>
  <c r="J4108" i="2"/>
  <c r="K4108" i="2"/>
  <c r="L4108" i="2"/>
  <c r="C4109" i="2"/>
  <c r="D4109" i="2"/>
  <c r="F4109" i="2"/>
  <c r="G4109" i="2"/>
  <c r="H4109" i="2"/>
  <c r="J4109" i="2"/>
  <c r="K4109" i="2"/>
  <c r="L4109" i="2"/>
  <c r="C4110" i="2"/>
  <c r="D4110" i="2"/>
  <c r="F4110" i="2"/>
  <c r="G4110" i="2"/>
  <c r="H4110" i="2"/>
  <c r="J4110" i="2"/>
  <c r="K4110" i="2"/>
  <c r="L4110" i="2"/>
  <c r="C4111" i="2"/>
  <c r="D4111" i="2"/>
  <c r="F4111" i="2"/>
  <c r="G4111" i="2"/>
  <c r="H4111" i="2"/>
  <c r="J4111" i="2"/>
  <c r="K4111" i="2"/>
  <c r="L4111" i="2"/>
  <c r="C4112" i="2"/>
  <c r="D4112" i="2"/>
  <c r="F4112" i="2"/>
  <c r="G4112" i="2"/>
  <c r="H4112" i="2"/>
  <c r="J4112" i="2"/>
  <c r="K4112" i="2"/>
  <c r="L4112" i="2"/>
  <c r="C4113" i="2"/>
  <c r="D4113" i="2"/>
  <c r="F4113" i="2"/>
  <c r="G4113" i="2"/>
  <c r="H4113" i="2"/>
  <c r="J4113" i="2"/>
  <c r="K4113" i="2"/>
  <c r="L4113" i="2"/>
  <c r="C4114" i="2"/>
  <c r="D4114" i="2"/>
  <c r="F4114" i="2"/>
  <c r="G4114" i="2"/>
  <c r="H4114" i="2"/>
  <c r="J4114" i="2"/>
  <c r="K4114" i="2"/>
  <c r="L4114" i="2"/>
  <c r="C4115" i="2"/>
  <c r="D4115" i="2"/>
  <c r="F4115" i="2"/>
  <c r="G4115" i="2"/>
  <c r="H4115" i="2"/>
  <c r="J4115" i="2"/>
  <c r="K4115" i="2"/>
  <c r="L4115" i="2"/>
  <c r="C4116" i="2"/>
  <c r="D4116" i="2"/>
  <c r="F4116" i="2"/>
  <c r="G4116" i="2"/>
  <c r="H4116" i="2"/>
  <c r="J4116" i="2"/>
  <c r="K4116" i="2"/>
  <c r="L4116" i="2"/>
  <c r="C4117" i="2"/>
  <c r="D4117" i="2"/>
  <c r="F4117" i="2"/>
  <c r="G4117" i="2"/>
  <c r="H4117" i="2"/>
  <c r="J4117" i="2"/>
  <c r="K4117" i="2"/>
  <c r="L4117" i="2"/>
  <c r="C4118" i="2"/>
  <c r="D4118" i="2"/>
  <c r="F4118" i="2"/>
  <c r="G4118" i="2"/>
  <c r="H4118" i="2"/>
  <c r="J4118" i="2"/>
  <c r="K4118" i="2"/>
  <c r="L4118" i="2"/>
  <c r="C4119" i="2"/>
  <c r="D4119" i="2"/>
  <c r="F4119" i="2"/>
  <c r="G4119" i="2"/>
  <c r="H4119" i="2"/>
  <c r="J4119" i="2"/>
  <c r="K4119" i="2"/>
  <c r="L4119" i="2"/>
  <c r="C4120" i="2"/>
  <c r="D4120" i="2"/>
  <c r="F4120" i="2"/>
  <c r="G4120" i="2"/>
  <c r="H4120" i="2"/>
  <c r="J4120" i="2"/>
  <c r="K4120" i="2"/>
  <c r="L4120" i="2"/>
  <c r="C4121" i="2"/>
  <c r="D4121" i="2"/>
  <c r="F4121" i="2"/>
  <c r="G4121" i="2"/>
  <c r="H4121" i="2"/>
  <c r="J4121" i="2"/>
  <c r="K4121" i="2"/>
  <c r="L4121" i="2"/>
  <c r="C4122" i="2"/>
  <c r="D4122" i="2"/>
  <c r="F4122" i="2"/>
  <c r="G4122" i="2"/>
  <c r="H4122" i="2"/>
  <c r="J4122" i="2"/>
  <c r="K4122" i="2"/>
  <c r="L4122" i="2"/>
  <c r="C4123" i="2"/>
  <c r="D4123" i="2"/>
  <c r="F4123" i="2"/>
  <c r="G4123" i="2"/>
  <c r="H4123" i="2"/>
  <c r="J4123" i="2"/>
  <c r="K4123" i="2"/>
  <c r="L4123" i="2"/>
  <c r="C4124" i="2"/>
  <c r="D4124" i="2"/>
  <c r="F4124" i="2"/>
  <c r="G4124" i="2"/>
  <c r="H4124" i="2"/>
  <c r="J4124" i="2"/>
  <c r="K4124" i="2"/>
  <c r="L4124" i="2"/>
  <c r="C4125" i="2"/>
  <c r="D4125" i="2"/>
  <c r="F4125" i="2"/>
  <c r="G4125" i="2"/>
  <c r="H4125" i="2"/>
  <c r="J4125" i="2"/>
  <c r="K4125" i="2"/>
  <c r="L4125" i="2"/>
  <c r="C4126" i="2"/>
  <c r="D4126" i="2"/>
  <c r="F4126" i="2"/>
  <c r="G4126" i="2"/>
  <c r="H4126" i="2"/>
  <c r="J4126" i="2"/>
  <c r="K4126" i="2"/>
  <c r="L4126" i="2"/>
  <c r="C4127" i="2"/>
  <c r="D4127" i="2"/>
  <c r="F4127" i="2"/>
  <c r="G4127" i="2"/>
  <c r="H4127" i="2"/>
  <c r="J4127" i="2"/>
  <c r="K4127" i="2"/>
  <c r="L4127" i="2"/>
  <c r="C4128" i="2"/>
  <c r="D4128" i="2"/>
  <c r="F4128" i="2"/>
  <c r="G4128" i="2"/>
  <c r="H4128" i="2"/>
  <c r="J4128" i="2"/>
  <c r="K4128" i="2"/>
  <c r="L4128" i="2"/>
  <c r="C4129" i="2"/>
  <c r="D4129" i="2"/>
  <c r="F4129" i="2"/>
  <c r="G4129" i="2"/>
  <c r="H4129" i="2"/>
  <c r="J4129" i="2"/>
  <c r="K4129" i="2"/>
  <c r="L4129" i="2"/>
  <c r="C4130" i="2"/>
  <c r="D4130" i="2"/>
  <c r="F4130" i="2"/>
  <c r="G4130" i="2"/>
  <c r="H4130" i="2"/>
  <c r="J4130" i="2"/>
  <c r="K4130" i="2"/>
  <c r="L4130" i="2"/>
  <c r="C4131" i="2"/>
  <c r="D4131" i="2"/>
  <c r="F4131" i="2"/>
  <c r="G4131" i="2"/>
  <c r="H4131" i="2"/>
  <c r="J4131" i="2"/>
  <c r="K4131" i="2"/>
  <c r="L4131" i="2"/>
  <c r="C4132" i="2"/>
  <c r="D4132" i="2"/>
  <c r="F4132" i="2"/>
  <c r="G4132" i="2"/>
  <c r="H4132" i="2"/>
  <c r="J4132" i="2"/>
  <c r="K4132" i="2"/>
  <c r="L4132" i="2"/>
  <c r="C4133" i="2"/>
  <c r="D4133" i="2"/>
  <c r="F4133" i="2"/>
  <c r="G4133" i="2"/>
  <c r="H4133" i="2"/>
  <c r="J4133" i="2"/>
  <c r="K4133" i="2"/>
  <c r="L4133" i="2"/>
  <c r="C4134" i="2"/>
  <c r="D4134" i="2"/>
  <c r="F4134" i="2"/>
  <c r="G4134" i="2"/>
  <c r="H4134" i="2"/>
  <c r="J4134" i="2"/>
  <c r="K4134" i="2"/>
  <c r="L4134" i="2"/>
  <c r="C4135" i="2"/>
  <c r="D4135" i="2"/>
  <c r="F4135" i="2"/>
  <c r="G4135" i="2"/>
  <c r="H4135" i="2"/>
  <c r="J4135" i="2"/>
  <c r="K4135" i="2"/>
  <c r="L4135" i="2"/>
  <c r="C4136" i="2"/>
  <c r="D4136" i="2"/>
  <c r="F4136" i="2"/>
  <c r="G4136" i="2"/>
  <c r="H4136" i="2"/>
  <c r="J4136" i="2"/>
  <c r="K4136" i="2"/>
  <c r="L4136" i="2"/>
  <c r="C4137" i="2"/>
  <c r="D4137" i="2"/>
  <c r="F4137" i="2"/>
  <c r="G4137" i="2"/>
  <c r="H4137" i="2"/>
  <c r="J4137" i="2"/>
  <c r="K4137" i="2"/>
  <c r="L4137" i="2"/>
  <c r="C4138" i="2"/>
  <c r="D4138" i="2"/>
  <c r="F4138" i="2"/>
  <c r="G4138" i="2"/>
  <c r="H4138" i="2"/>
  <c r="J4138" i="2"/>
  <c r="K4138" i="2"/>
  <c r="L4138" i="2"/>
  <c r="C4139" i="2"/>
  <c r="D4139" i="2"/>
  <c r="F4139" i="2"/>
  <c r="G4139" i="2"/>
  <c r="H4139" i="2"/>
  <c r="J4139" i="2"/>
  <c r="K4139" i="2"/>
  <c r="L4139" i="2"/>
  <c r="C4140" i="2"/>
  <c r="D4140" i="2"/>
  <c r="F4140" i="2"/>
  <c r="G4140" i="2"/>
  <c r="H4140" i="2"/>
  <c r="J4140" i="2"/>
  <c r="K4140" i="2"/>
  <c r="L4140" i="2"/>
  <c r="C4141" i="2"/>
  <c r="D4141" i="2"/>
  <c r="F4141" i="2"/>
  <c r="G4141" i="2"/>
  <c r="H4141" i="2"/>
  <c r="J4141" i="2"/>
  <c r="K4141" i="2"/>
  <c r="L4141" i="2"/>
  <c r="C4142" i="2"/>
  <c r="D4142" i="2"/>
  <c r="F4142" i="2"/>
  <c r="G4142" i="2"/>
  <c r="H4142" i="2"/>
  <c r="J4142" i="2"/>
  <c r="K4142" i="2"/>
  <c r="L4142" i="2"/>
  <c r="C4143" i="2"/>
  <c r="D4143" i="2"/>
  <c r="F4143" i="2"/>
  <c r="G4143" i="2"/>
  <c r="H4143" i="2"/>
  <c r="J4143" i="2"/>
  <c r="K4143" i="2"/>
  <c r="L4143" i="2"/>
  <c r="C4144" i="2"/>
  <c r="D4144" i="2"/>
  <c r="F4144" i="2"/>
  <c r="G4144" i="2"/>
  <c r="H4144" i="2"/>
  <c r="J4144" i="2"/>
  <c r="K4144" i="2"/>
  <c r="L4144" i="2"/>
  <c r="C4145" i="2"/>
  <c r="D4145" i="2"/>
  <c r="F4145" i="2"/>
  <c r="G4145" i="2"/>
  <c r="H4145" i="2"/>
  <c r="J4145" i="2"/>
  <c r="K4145" i="2"/>
  <c r="L4145" i="2"/>
  <c r="C4146" i="2"/>
  <c r="D4146" i="2"/>
  <c r="F4146" i="2"/>
  <c r="G4146" i="2"/>
  <c r="H4146" i="2"/>
  <c r="J4146" i="2"/>
  <c r="K4146" i="2"/>
  <c r="L4146" i="2"/>
  <c r="C4147" i="2"/>
  <c r="D4147" i="2"/>
  <c r="F4147" i="2"/>
  <c r="G4147" i="2"/>
  <c r="H4147" i="2"/>
  <c r="J4147" i="2"/>
  <c r="K4147" i="2"/>
  <c r="L4147" i="2"/>
  <c r="C4148" i="2"/>
  <c r="D4148" i="2"/>
  <c r="F4148" i="2"/>
  <c r="G4148" i="2"/>
  <c r="H4148" i="2"/>
  <c r="J4148" i="2"/>
  <c r="K4148" i="2"/>
  <c r="L4148" i="2"/>
  <c r="C4149" i="2"/>
  <c r="D4149" i="2"/>
  <c r="F4149" i="2"/>
  <c r="G4149" i="2"/>
  <c r="H4149" i="2"/>
  <c r="J4149" i="2"/>
  <c r="K4149" i="2"/>
  <c r="L4149" i="2"/>
  <c r="C4150" i="2"/>
  <c r="D4150" i="2"/>
  <c r="F4150" i="2"/>
  <c r="G4150" i="2"/>
  <c r="H4150" i="2"/>
  <c r="J4150" i="2"/>
  <c r="K4150" i="2"/>
  <c r="L4150" i="2"/>
  <c r="C4151" i="2"/>
  <c r="D4151" i="2"/>
  <c r="F4151" i="2"/>
  <c r="G4151" i="2"/>
  <c r="H4151" i="2"/>
  <c r="J4151" i="2"/>
  <c r="K4151" i="2"/>
  <c r="L4151" i="2"/>
  <c r="C4152" i="2"/>
  <c r="D4152" i="2"/>
  <c r="F4152" i="2"/>
  <c r="G4152" i="2"/>
  <c r="H4152" i="2"/>
  <c r="J4152" i="2"/>
  <c r="K4152" i="2"/>
  <c r="L4152" i="2"/>
  <c r="C4153" i="2"/>
  <c r="D4153" i="2"/>
  <c r="F4153" i="2"/>
  <c r="G4153" i="2"/>
  <c r="H4153" i="2"/>
  <c r="J4153" i="2"/>
  <c r="K4153" i="2"/>
  <c r="L4153" i="2"/>
  <c r="C4154" i="2"/>
  <c r="D4154" i="2"/>
  <c r="F4154" i="2"/>
  <c r="G4154" i="2"/>
  <c r="H4154" i="2"/>
  <c r="J4154" i="2"/>
  <c r="K4154" i="2"/>
  <c r="L4154" i="2"/>
  <c r="C4155" i="2"/>
  <c r="D4155" i="2"/>
  <c r="F4155" i="2"/>
  <c r="G4155" i="2"/>
  <c r="H4155" i="2"/>
  <c r="J4155" i="2"/>
  <c r="K4155" i="2"/>
  <c r="L4155" i="2"/>
  <c r="C4156" i="2"/>
  <c r="D4156" i="2"/>
  <c r="F4156" i="2"/>
  <c r="G4156" i="2"/>
  <c r="H4156" i="2"/>
  <c r="J4156" i="2"/>
  <c r="K4156" i="2"/>
  <c r="L4156" i="2"/>
  <c r="C4157" i="2"/>
  <c r="D4157" i="2"/>
  <c r="F4157" i="2"/>
  <c r="G4157" i="2"/>
  <c r="H4157" i="2"/>
  <c r="J4157" i="2"/>
  <c r="K4157" i="2"/>
  <c r="L4157" i="2"/>
  <c r="C4158" i="2"/>
  <c r="D4158" i="2"/>
  <c r="F4158" i="2"/>
  <c r="G4158" i="2"/>
  <c r="H4158" i="2"/>
  <c r="J4158" i="2"/>
  <c r="K4158" i="2"/>
  <c r="L4158" i="2"/>
  <c r="C4159" i="2"/>
  <c r="D4159" i="2"/>
  <c r="F4159" i="2"/>
  <c r="G4159" i="2"/>
  <c r="H4159" i="2"/>
  <c r="J4159" i="2"/>
  <c r="K4159" i="2"/>
  <c r="L4159" i="2"/>
  <c r="C4160" i="2"/>
  <c r="D4160" i="2"/>
  <c r="F4160" i="2"/>
  <c r="G4160" i="2"/>
  <c r="H4160" i="2"/>
  <c r="J4160" i="2"/>
  <c r="K4160" i="2"/>
  <c r="L4160" i="2"/>
  <c r="C4161" i="2"/>
  <c r="D4161" i="2"/>
  <c r="F4161" i="2"/>
  <c r="G4161" i="2"/>
  <c r="H4161" i="2"/>
  <c r="J4161" i="2"/>
  <c r="K4161" i="2"/>
  <c r="L4161" i="2"/>
  <c r="C4162" i="2"/>
  <c r="D4162" i="2"/>
  <c r="F4162" i="2"/>
  <c r="G4162" i="2"/>
  <c r="H4162" i="2"/>
  <c r="J4162" i="2"/>
  <c r="K4162" i="2"/>
  <c r="L4162" i="2"/>
  <c r="C4163" i="2"/>
  <c r="D4163" i="2"/>
  <c r="F4163" i="2"/>
  <c r="G4163" i="2"/>
  <c r="H4163" i="2"/>
  <c r="J4163" i="2"/>
  <c r="K4163" i="2"/>
  <c r="L4163" i="2"/>
  <c r="C4164" i="2"/>
  <c r="D4164" i="2"/>
  <c r="F4164" i="2"/>
  <c r="G4164" i="2"/>
  <c r="H4164" i="2"/>
  <c r="J4164" i="2"/>
  <c r="K4164" i="2"/>
  <c r="L4164" i="2"/>
  <c r="C4165" i="2"/>
  <c r="D4165" i="2"/>
  <c r="F4165" i="2"/>
  <c r="G4165" i="2"/>
  <c r="H4165" i="2"/>
  <c r="J4165" i="2"/>
  <c r="K4165" i="2"/>
  <c r="L4165" i="2"/>
  <c r="C4166" i="2"/>
  <c r="D4166" i="2"/>
  <c r="F4166" i="2"/>
  <c r="G4166" i="2"/>
  <c r="H4166" i="2"/>
  <c r="J4166" i="2"/>
  <c r="K4166" i="2"/>
  <c r="L4166" i="2"/>
  <c r="C4167" i="2"/>
  <c r="D4167" i="2"/>
  <c r="F4167" i="2"/>
  <c r="G4167" i="2"/>
  <c r="H4167" i="2"/>
  <c r="J4167" i="2"/>
  <c r="K4167" i="2"/>
  <c r="L4167" i="2"/>
  <c r="C4168" i="2"/>
  <c r="D4168" i="2"/>
  <c r="F4168" i="2"/>
  <c r="G4168" i="2"/>
  <c r="H4168" i="2"/>
  <c r="J4168" i="2"/>
  <c r="K4168" i="2"/>
  <c r="L4168" i="2"/>
  <c r="C4169" i="2"/>
  <c r="D4169" i="2"/>
  <c r="F4169" i="2"/>
  <c r="G4169" i="2"/>
  <c r="H4169" i="2"/>
  <c r="J4169" i="2"/>
  <c r="K4169" i="2"/>
  <c r="L4169" i="2"/>
  <c r="C4170" i="2"/>
  <c r="D4170" i="2"/>
  <c r="F4170" i="2"/>
  <c r="G4170" i="2"/>
  <c r="H4170" i="2"/>
  <c r="J4170" i="2"/>
  <c r="K4170" i="2"/>
  <c r="L4170" i="2"/>
  <c r="C4171" i="2"/>
  <c r="D4171" i="2"/>
  <c r="F4171" i="2"/>
  <c r="G4171" i="2"/>
  <c r="H4171" i="2"/>
  <c r="J4171" i="2"/>
  <c r="K4171" i="2"/>
  <c r="L4171" i="2"/>
  <c r="C4172" i="2"/>
  <c r="D4172" i="2"/>
  <c r="F4172" i="2"/>
  <c r="G4172" i="2"/>
  <c r="H4172" i="2"/>
  <c r="J4172" i="2"/>
  <c r="K4172" i="2"/>
  <c r="L4172" i="2"/>
  <c r="C4173" i="2"/>
  <c r="D4173" i="2"/>
  <c r="F4173" i="2"/>
  <c r="G4173" i="2"/>
  <c r="H4173" i="2"/>
  <c r="J4173" i="2"/>
  <c r="K4173" i="2"/>
  <c r="L4173" i="2"/>
  <c r="C4174" i="2"/>
  <c r="D4174" i="2"/>
  <c r="F4174" i="2"/>
  <c r="G4174" i="2"/>
  <c r="H4174" i="2"/>
  <c r="J4174" i="2"/>
  <c r="K4174" i="2"/>
  <c r="L4174" i="2"/>
  <c r="C4175" i="2"/>
  <c r="D4175" i="2"/>
  <c r="F4175" i="2"/>
  <c r="G4175" i="2"/>
  <c r="H4175" i="2"/>
  <c r="J4175" i="2"/>
  <c r="K4175" i="2"/>
  <c r="L4175" i="2"/>
  <c r="C4176" i="2"/>
  <c r="D4176" i="2"/>
  <c r="F4176" i="2"/>
  <c r="G4176" i="2"/>
  <c r="H4176" i="2"/>
  <c r="J4176" i="2"/>
  <c r="K4176" i="2"/>
  <c r="L4176" i="2"/>
  <c r="C4177" i="2"/>
  <c r="D4177" i="2"/>
  <c r="F4177" i="2"/>
  <c r="G4177" i="2"/>
  <c r="H4177" i="2"/>
  <c r="J4177" i="2"/>
  <c r="K4177" i="2"/>
  <c r="L4177" i="2"/>
  <c r="C4178" i="2"/>
  <c r="D4178" i="2"/>
  <c r="F4178" i="2"/>
  <c r="G4178" i="2"/>
  <c r="H4178" i="2"/>
  <c r="J4178" i="2"/>
  <c r="K4178" i="2"/>
  <c r="L4178" i="2"/>
  <c r="C4179" i="2"/>
  <c r="D4179" i="2"/>
  <c r="F4179" i="2"/>
  <c r="G4179" i="2"/>
  <c r="H4179" i="2"/>
  <c r="J4179" i="2"/>
  <c r="K4179" i="2"/>
  <c r="L4179" i="2"/>
  <c r="C4180" i="2"/>
  <c r="D4180" i="2"/>
  <c r="F4180" i="2"/>
  <c r="G4180" i="2"/>
  <c r="H4180" i="2"/>
  <c r="J4180" i="2"/>
  <c r="K4180" i="2"/>
  <c r="L4180" i="2"/>
  <c r="C4181" i="2"/>
  <c r="D4181" i="2"/>
  <c r="F4181" i="2"/>
  <c r="G4181" i="2"/>
  <c r="H4181" i="2"/>
  <c r="J4181" i="2"/>
  <c r="K4181" i="2"/>
  <c r="L4181" i="2"/>
  <c r="C4182" i="2"/>
  <c r="D4182" i="2"/>
  <c r="F4182" i="2"/>
  <c r="G4182" i="2"/>
  <c r="H4182" i="2"/>
  <c r="J4182" i="2"/>
  <c r="K4182" i="2"/>
  <c r="L4182" i="2"/>
  <c r="C4183" i="2"/>
  <c r="D4183" i="2"/>
  <c r="F4183" i="2"/>
  <c r="G4183" i="2"/>
  <c r="H4183" i="2"/>
  <c r="J4183" i="2"/>
  <c r="K4183" i="2"/>
  <c r="L4183" i="2"/>
  <c r="C4184" i="2"/>
  <c r="D4184" i="2"/>
  <c r="F4184" i="2"/>
  <c r="G4184" i="2"/>
  <c r="H4184" i="2"/>
  <c r="J4184" i="2"/>
  <c r="K4184" i="2"/>
  <c r="L4184" i="2"/>
  <c r="C4185" i="2"/>
  <c r="D4185" i="2"/>
  <c r="F4185" i="2"/>
  <c r="G4185" i="2"/>
  <c r="H4185" i="2"/>
  <c r="J4185" i="2"/>
  <c r="K4185" i="2"/>
  <c r="L4185" i="2"/>
  <c r="C4186" i="2"/>
  <c r="D4186" i="2"/>
  <c r="F4186" i="2"/>
  <c r="G4186" i="2"/>
  <c r="H4186" i="2"/>
  <c r="J4186" i="2"/>
  <c r="K4186" i="2"/>
  <c r="L4186" i="2"/>
  <c r="C4187" i="2"/>
  <c r="D4187" i="2"/>
  <c r="F4187" i="2"/>
  <c r="G4187" i="2"/>
  <c r="H4187" i="2"/>
  <c r="J4187" i="2"/>
  <c r="K4187" i="2"/>
  <c r="L4187" i="2"/>
  <c r="C4188" i="2"/>
  <c r="D4188" i="2"/>
  <c r="F4188" i="2"/>
  <c r="G4188" i="2"/>
  <c r="H4188" i="2"/>
  <c r="J4188" i="2"/>
  <c r="K4188" i="2"/>
  <c r="L4188" i="2"/>
  <c r="C4189" i="2"/>
  <c r="D4189" i="2"/>
  <c r="F4189" i="2"/>
  <c r="G4189" i="2"/>
  <c r="H4189" i="2"/>
  <c r="J4189" i="2"/>
  <c r="K4189" i="2"/>
  <c r="L4189" i="2"/>
  <c r="C4190" i="2"/>
  <c r="D4190" i="2"/>
  <c r="F4190" i="2"/>
  <c r="G4190" i="2"/>
  <c r="H4190" i="2"/>
  <c r="J4190" i="2"/>
  <c r="K4190" i="2"/>
  <c r="L4190" i="2"/>
  <c r="C4191" i="2"/>
  <c r="D4191" i="2"/>
  <c r="F4191" i="2"/>
  <c r="G4191" i="2"/>
  <c r="H4191" i="2"/>
  <c r="J4191" i="2"/>
  <c r="K4191" i="2"/>
  <c r="L4191" i="2"/>
  <c r="C4192" i="2"/>
  <c r="D4192" i="2"/>
  <c r="F4192" i="2"/>
  <c r="G4192" i="2"/>
  <c r="H4192" i="2"/>
  <c r="J4192" i="2"/>
  <c r="K4192" i="2"/>
  <c r="L4192" i="2"/>
  <c r="C4193" i="2"/>
  <c r="D4193" i="2"/>
  <c r="F4193" i="2"/>
  <c r="G4193" i="2"/>
  <c r="H4193" i="2"/>
  <c r="J4193" i="2"/>
  <c r="K4193" i="2"/>
  <c r="L4193" i="2"/>
  <c r="C4194" i="2"/>
  <c r="D4194" i="2"/>
  <c r="F4194" i="2"/>
  <c r="G4194" i="2"/>
  <c r="H4194" i="2"/>
  <c r="J4194" i="2"/>
  <c r="K4194" i="2"/>
  <c r="L4194" i="2"/>
  <c r="C4195" i="2"/>
  <c r="D4195" i="2"/>
  <c r="F4195" i="2"/>
  <c r="G4195" i="2"/>
  <c r="H4195" i="2"/>
  <c r="J4195" i="2"/>
  <c r="K4195" i="2"/>
  <c r="L4195" i="2"/>
  <c r="C4196" i="2"/>
  <c r="D4196" i="2"/>
  <c r="F4196" i="2"/>
  <c r="G4196" i="2"/>
  <c r="H4196" i="2"/>
  <c r="J4196" i="2"/>
  <c r="K4196" i="2"/>
  <c r="L4196" i="2"/>
  <c r="C4197" i="2"/>
  <c r="D4197" i="2"/>
  <c r="F4197" i="2"/>
  <c r="G4197" i="2"/>
  <c r="H4197" i="2"/>
  <c r="J4197" i="2"/>
  <c r="K4197" i="2"/>
  <c r="L4197" i="2"/>
  <c r="C4198" i="2"/>
  <c r="D4198" i="2"/>
  <c r="F4198" i="2"/>
  <c r="G4198" i="2"/>
  <c r="H4198" i="2"/>
  <c r="J4198" i="2"/>
  <c r="K4198" i="2"/>
  <c r="L4198" i="2"/>
  <c r="C4199" i="2"/>
  <c r="D4199" i="2"/>
  <c r="F4199" i="2"/>
  <c r="G4199" i="2"/>
  <c r="H4199" i="2"/>
  <c r="J4199" i="2"/>
  <c r="K4199" i="2"/>
  <c r="L4199" i="2"/>
  <c r="C4200" i="2"/>
  <c r="D4200" i="2"/>
  <c r="F4200" i="2"/>
  <c r="G4200" i="2"/>
  <c r="H4200" i="2"/>
  <c r="J4200" i="2"/>
  <c r="K4200" i="2"/>
  <c r="L4200" i="2"/>
  <c r="C4201" i="2"/>
  <c r="D4201" i="2"/>
  <c r="F4201" i="2"/>
  <c r="G4201" i="2"/>
  <c r="H4201" i="2"/>
  <c r="J4201" i="2"/>
  <c r="K4201" i="2"/>
  <c r="L4201" i="2"/>
  <c r="C4202" i="2"/>
  <c r="D4202" i="2"/>
  <c r="F4202" i="2"/>
  <c r="G4202" i="2"/>
  <c r="H4202" i="2"/>
  <c r="J4202" i="2"/>
  <c r="K4202" i="2"/>
  <c r="L4202" i="2"/>
  <c r="C4203" i="2"/>
  <c r="D4203" i="2"/>
  <c r="F4203" i="2"/>
  <c r="G4203" i="2"/>
  <c r="H4203" i="2"/>
  <c r="J4203" i="2"/>
  <c r="K4203" i="2"/>
  <c r="L4203" i="2"/>
  <c r="C4204" i="2"/>
  <c r="D4204" i="2"/>
  <c r="F4204" i="2"/>
  <c r="G4204" i="2"/>
  <c r="H4204" i="2"/>
  <c r="J4204" i="2"/>
  <c r="K4204" i="2"/>
  <c r="L4204" i="2"/>
  <c r="C4205" i="2"/>
  <c r="D4205" i="2"/>
  <c r="F4205" i="2"/>
  <c r="G4205" i="2"/>
  <c r="H4205" i="2"/>
  <c r="J4205" i="2"/>
  <c r="K4205" i="2"/>
  <c r="L4205" i="2"/>
  <c r="C4206" i="2"/>
  <c r="D4206" i="2"/>
  <c r="F4206" i="2"/>
  <c r="G4206" i="2"/>
  <c r="H4206" i="2"/>
  <c r="J4206" i="2"/>
  <c r="K4206" i="2"/>
  <c r="L4206" i="2"/>
  <c r="C4207" i="2"/>
  <c r="D4207" i="2"/>
  <c r="F4207" i="2"/>
  <c r="G4207" i="2"/>
  <c r="H4207" i="2"/>
  <c r="J4207" i="2"/>
  <c r="K4207" i="2"/>
  <c r="L4207" i="2"/>
  <c r="C4208" i="2"/>
  <c r="D4208" i="2"/>
  <c r="F4208" i="2"/>
  <c r="G4208" i="2"/>
  <c r="H4208" i="2"/>
  <c r="J4208" i="2"/>
  <c r="K4208" i="2"/>
  <c r="L4208" i="2"/>
  <c r="C4209" i="2"/>
  <c r="D4209" i="2"/>
  <c r="F4209" i="2"/>
  <c r="G4209" i="2"/>
  <c r="H4209" i="2"/>
  <c r="J4209" i="2"/>
  <c r="K4209" i="2"/>
  <c r="L4209" i="2"/>
  <c r="C4210" i="2"/>
  <c r="D4210" i="2"/>
  <c r="F4210" i="2"/>
  <c r="G4210" i="2"/>
  <c r="H4210" i="2"/>
  <c r="J4210" i="2"/>
  <c r="K4210" i="2"/>
  <c r="L4210" i="2"/>
  <c r="C4211" i="2"/>
  <c r="D4211" i="2"/>
  <c r="F4211" i="2"/>
  <c r="G4211" i="2"/>
  <c r="H4211" i="2"/>
  <c r="J4211" i="2"/>
  <c r="K4211" i="2"/>
  <c r="L4211" i="2"/>
  <c r="C4212" i="2"/>
  <c r="D4212" i="2"/>
  <c r="F4212" i="2"/>
  <c r="G4212" i="2"/>
  <c r="H4212" i="2"/>
  <c r="J4212" i="2"/>
  <c r="K4212" i="2"/>
  <c r="L4212" i="2"/>
  <c r="C4213" i="2"/>
  <c r="D4213" i="2"/>
  <c r="F4213" i="2"/>
  <c r="G4213" i="2"/>
  <c r="H4213" i="2"/>
  <c r="J4213" i="2"/>
  <c r="K4213" i="2"/>
  <c r="L4213" i="2"/>
  <c r="C4214" i="2"/>
  <c r="D4214" i="2"/>
  <c r="F4214" i="2"/>
  <c r="G4214" i="2"/>
  <c r="H4214" i="2"/>
  <c r="J4214" i="2"/>
  <c r="K4214" i="2"/>
  <c r="L4214" i="2"/>
  <c r="C4215" i="2"/>
  <c r="D4215" i="2"/>
  <c r="F4215" i="2"/>
  <c r="G4215" i="2"/>
  <c r="H4215" i="2"/>
  <c r="J4215" i="2"/>
  <c r="K4215" i="2"/>
  <c r="L4215" i="2"/>
  <c r="C4216" i="2"/>
  <c r="D4216" i="2"/>
  <c r="F4216" i="2"/>
  <c r="G4216" i="2"/>
  <c r="H4216" i="2"/>
  <c r="J4216" i="2"/>
  <c r="K4216" i="2"/>
  <c r="L4216" i="2"/>
  <c r="C4217" i="2"/>
  <c r="D4217" i="2"/>
  <c r="F4217" i="2"/>
  <c r="G4217" i="2"/>
  <c r="H4217" i="2"/>
  <c r="J4217" i="2"/>
  <c r="K4217" i="2"/>
  <c r="L4217" i="2"/>
  <c r="C4218" i="2"/>
  <c r="D4218" i="2"/>
  <c r="F4218" i="2"/>
  <c r="G4218" i="2"/>
  <c r="H4218" i="2"/>
  <c r="J4218" i="2"/>
  <c r="K4218" i="2"/>
  <c r="L4218" i="2"/>
  <c r="C4219" i="2"/>
  <c r="D4219" i="2"/>
  <c r="F4219" i="2"/>
  <c r="G4219" i="2"/>
  <c r="H4219" i="2"/>
  <c r="J4219" i="2"/>
  <c r="K4219" i="2"/>
  <c r="L4219" i="2"/>
  <c r="C4220" i="2"/>
  <c r="D4220" i="2"/>
  <c r="F4220" i="2"/>
  <c r="G4220" i="2"/>
  <c r="H4220" i="2"/>
  <c r="J4220" i="2"/>
  <c r="K4220" i="2"/>
  <c r="L4220" i="2"/>
  <c r="C4221" i="2"/>
  <c r="D4221" i="2"/>
  <c r="F4221" i="2"/>
  <c r="G4221" i="2"/>
  <c r="H4221" i="2"/>
  <c r="J4221" i="2"/>
  <c r="K4221" i="2"/>
  <c r="L4221" i="2"/>
  <c r="C4222" i="2"/>
  <c r="D4222" i="2"/>
  <c r="F4222" i="2"/>
  <c r="G4222" i="2"/>
  <c r="H4222" i="2"/>
  <c r="J4222" i="2"/>
  <c r="K4222" i="2"/>
  <c r="L4222" i="2"/>
  <c r="C4223" i="2"/>
  <c r="D4223" i="2"/>
  <c r="F4223" i="2"/>
  <c r="G4223" i="2"/>
  <c r="H4223" i="2"/>
  <c r="J4223" i="2"/>
  <c r="K4223" i="2"/>
  <c r="L4223" i="2"/>
  <c r="C4224" i="2"/>
  <c r="D4224" i="2"/>
  <c r="F4224" i="2"/>
  <c r="G4224" i="2"/>
  <c r="H4224" i="2"/>
  <c r="J4224" i="2"/>
  <c r="K4224" i="2"/>
  <c r="L4224" i="2"/>
  <c r="C4225" i="2"/>
  <c r="D4225" i="2"/>
  <c r="F4225" i="2"/>
  <c r="G4225" i="2"/>
  <c r="H4225" i="2"/>
  <c r="J4225" i="2"/>
  <c r="K4225" i="2"/>
  <c r="L4225" i="2"/>
  <c r="C4226" i="2"/>
  <c r="D4226" i="2"/>
  <c r="F4226" i="2"/>
  <c r="G4226" i="2"/>
  <c r="H4226" i="2"/>
  <c r="J4226" i="2"/>
  <c r="K4226" i="2"/>
  <c r="L4226" i="2"/>
  <c r="C4227" i="2"/>
  <c r="D4227" i="2"/>
  <c r="F4227" i="2"/>
  <c r="G4227" i="2"/>
  <c r="H4227" i="2"/>
  <c r="J4227" i="2"/>
  <c r="K4227" i="2"/>
  <c r="L4227" i="2"/>
  <c r="C4228" i="2"/>
  <c r="D4228" i="2"/>
  <c r="F4228" i="2"/>
  <c r="G4228" i="2"/>
  <c r="H4228" i="2"/>
  <c r="J4228" i="2"/>
  <c r="K4228" i="2"/>
  <c r="L4228" i="2"/>
  <c r="C4229" i="2"/>
  <c r="D4229" i="2"/>
  <c r="F4229" i="2"/>
  <c r="G4229" i="2"/>
  <c r="H4229" i="2"/>
  <c r="J4229" i="2"/>
  <c r="K4229" i="2"/>
  <c r="L4229" i="2"/>
  <c r="C4230" i="2"/>
  <c r="D4230" i="2"/>
  <c r="F4230" i="2"/>
  <c r="G4230" i="2"/>
  <c r="H4230" i="2"/>
  <c r="J4230" i="2"/>
  <c r="K4230" i="2"/>
  <c r="L4230" i="2"/>
  <c r="C4231" i="2"/>
  <c r="D4231" i="2"/>
  <c r="F4231" i="2"/>
  <c r="G4231" i="2"/>
  <c r="H4231" i="2"/>
  <c r="J4231" i="2"/>
  <c r="K4231" i="2"/>
  <c r="L4231" i="2"/>
  <c r="C4232" i="2"/>
  <c r="D4232" i="2"/>
  <c r="F4232" i="2"/>
  <c r="G4232" i="2"/>
  <c r="H4232" i="2"/>
  <c r="J4232" i="2"/>
  <c r="K4232" i="2"/>
  <c r="L4232" i="2"/>
  <c r="C4233" i="2"/>
  <c r="D4233" i="2"/>
  <c r="F4233" i="2"/>
  <c r="G4233" i="2"/>
  <c r="H4233" i="2"/>
  <c r="J4233" i="2"/>
  <c r="K4233" i="2"/>
  <c r="L4233" i="2"/>
  <c r="C4234" i="2"/>
  <c r="D4234" i="2"/>
  <c r="F4234" i="2"/>
  <c r="G4234" i="2"/>
  <c r="H4234" i="2"/>
  <c r="J4234" i="2"/>
  <c r="K4234" i="2"/>
  <c r="L4234" i="2"/>
  <c r="C4235" i="2"/>
  <c r="D4235" i="2"/>
  <c r="F4235" i="2"/>
  <c r="G4235" i="2"/>
  <c r="H4235" i="2"/>
  <c r="J4235" i="2"/>
  <c r="K4235" i="2"/>
  <c r="L4235" i="2"/>
  <c r="C4236" i="2"/>
  <c r="D4236" i="2"/>
  <c r="F4236" i="2"/>
  <c r="G4236" i="2"/>
  <c r="H4236" i="2"/>
  <c r="J4236" i="2"/>
  <c r="K4236" i="2"/>
  <c r="L4236" i="2"/>
  <c r="C4237" i="2"/>
  <c r="D4237" i="2"/>
  <c r="F4237" i="2"/>
  <c r="G4237" i="2"/>
  <c r="H4237" i="2"/>
  <c r="J4237" i="2"/>
  <c r="K4237" i="2"/>
  <c r="L4237" i="2"/>
  <c r="C4238" i="2"/>
  <c r="D4238" i="2"/>
  <c r="F4238" i="2"/>
  <c r="G4238" i="2"/>
  <c r="H4238" i="2"/>
  <c r="J4238" i="2"/>
  <c r="K4238" i="2"/>
  <c r="L4238" i="2"/>
  <c r="C4239" i="2"/>
  <c r="D4239" i="2"/>
  <c r="F4239" i="2"/>
  <c r="G4239" i="2"/>
  <c r="H4239" i="2"/>
  <c r="J4239" i="2"/>
  <c r="K4239" i="2"/>
  <c r="L4239" i="2"/>
  <c r="C4240" i="2"/>
  <c r="D4240" i="2"/>
  <c r="F4240" i="2"/>
  <c r="G4240" i="2"/>
  <c r="H4240" i="2"/>
  <c r="J4240" i="2"/>
  <c r="K4240" i="2"/>
  <c r="L4240" i="2"/>
  <c r="C4241" i="2"/>
  <c r="D4241" i="2"/>
  <c r="F4241" i="2"/>
  <c r="G4241" i="2"/>
  <c r="H4241" i="2"/>
  <c r="J4241" i="2"/>
  <c r="K4241" i="2"/>
  <c r="L4241" i="2"/>
  <c r="C4242" i="2"/>
  <c r="D4242" i="2"/>
  <c r="F4242" i="2"/>
  <c r="G4242" i="2"/>
  <c r="H4242" i="2"/>
  <c r="J4242" i="2"/>
  <c r="K4242" i="2"/>
  <c r="L4242" i="2"/>
  <c r="C4243" i="2"/>
  <c r="D4243" i="2"/>
  <c r="F4243" i="2"/>
  <c r="G4243" i="2"/>
  <c r="H4243" i="2"/>
  <c r="J4243" i="2"/>
  <c r="K4243" i="2"/>
  <c r="L4243" i="2"/>
  <c r="C4244" i="2"/>
  <c r="D4244" i="2"/>
  <c r="F4244" i="2"/>
  <c r="G4244" i="2"/>
  <c r="H4244" i="2"/>
  <c r="J4244" i="2"/>
  <c r="K4244" i="2"/>
  <c r="L4244" i="2"/>
  <c r="C4245" i="2"/>
  <c r="D4245" i="2"/>
  <c r="F4245" i="2"/>
  <c r="G4245" i="2"/>
  <c r="H4245" i="2"/>
  <c r="J4245" i="2"/>
  <c r="K4245" i="2"/>
  <c r="L4245" i="2"/>
  <c r="C4246" i="2"/>
  <c r="D4246" i="2"/>
  <c r="F4246" i="2"/>
  <c r="G4246" i="2"/>
  <c r="H4246" i="2"/>
  <c r="J4246" i="2"/>
  <c r="K4246" i="2"/>
  <c r="L4246" i="2"/>
  <c r="C4247" i="2"/>
  <c r="D4247" i="2"/>
  <c r="F4247" i="2"/>
  <c r="G4247" i="2"/>
  <c r="H4247" i="2"/>
  <c r="J4247" i="2"/>
  <c r="K4247" i="2"/>
  <c r="L4247" i="2"/>
  <c r="C4248" i="2"/>
  <c r="D4248" i="2"/>
  <c r="F4248" i="2"/>
  <c r="G4248" i="2"/>
  <c r="H4248" i="2"/>
  <c r="J4248" i="2"/>
  <c r="K4248" i="2"/>
  <c r="L4248" i="2"/>
  <c r="C4249" i="2"/>
  <c r="D4249" i="2"/>
  <c r="F4249" i="2"/>
  <c r="G4249" i="2"/>
  <c r="H4249" i="2"/>
  <c r="J4249" i="2"/>
  <c r="K4249" i="2"/>
  <c r="L4249" i="2"/>
  <c r="C4250" i="2"/>
  <c r="D4250" i="2"/>
  <c r="F4250" i="2"/>
  <c r="G4250" i="2"/>
  <c r="H4250" i="2"/>
  <c r="J4250" i="2"/>
  <c r="K4250" i="2"/>
  <c r="L4250" i="2"/>
  <c r="C4251" i="2"/>
  <c r="D4251" i="2"/>
  <c r="F4251" i="2"/>
  <c r="G4251" i="2"/>
  <c r="H4251" i="2"/>
  <c r="J4251" i="2"/>
  <c r="K4251" i="2"/>
  <c r="L4251" i="2"/>
  <c r="C4252" i="2"/>
  <c r="D4252" i="2"/>
  <c r="F4252" i="2"/>
  <c r="G4252" i="2"/>
  <c r="H4252" i="2"/>
  <c r="J4252" i="2"/>
  <c r="K4252" i="2"/>
  <c r="L4252" i="2"/>
  <c r="C4253" i="2"/>
  <c r="D4253" i="2"/>
  <c r="F4253" i="2"/>
  <c r="G4253" i="2"/>
  <c r="H4253" i="2"/>
  <c r="J4253" i="2"/>
  <c r="K4253" i="2"/>
  <c r="L4253" i="2"/>
  <c r="C4254" i="2"/>
  <c r="D4254" i="2"/>
  <c r="F4254" i="2"/>
  <c r="G4254" i="2"/>
  <c r="H4254" i="2"/>
  <c r="J4254" i="2"/>
  <c r="K4254" i="2"/>
  <c r="L4254" i="2"/>
  <c r="C4255" i="2"/>
  <c r="D4255" i="2"/>
  <c r="F4255" i="2"/>
  <c r="G4255" i="2"/>
  <c r="H4255" i="2"/>
  <c r="J4255" i="2"/>
  <c r="K4255" i="2"/>
  <c r="L4255" i="2"/>
  <c r="C4256" i="2"/>
  <c r="D4256" i="2"/>
  <c r="F4256" i="2"/>
  <c r="G4256" i="2"/>
  <c r="H4256" i="2"/>
  <c r="J4256" i="2"/>
  <c r="K4256" i="2"/>
  <c r="L4256" i="2"/>
  <c r="C4257" i="2"/>
  <c r="D4257" i="2"/>
  <c r="F4257" i="2"/>
  <c r="G4257" i="2"/>
  <c r="H4257" i="2"/>
  <c r="J4257" i="2"/>
  <c r="K4257" i="2"/>
  <c r="L4257" i="2"/>
  <c r="C4258" i="2"/>
  <c r="D4258" i="2"/>
  <c r="F4258" i="2"/>
  <c r="G4258" i="2"/>
  <c r="H4258" i="2"/>
  <c r="J4258" i="2"/>
  <c r="K4258" i="2"/>
  <c r="L4258" i="2"/>
  <c r="C4259" i="2"/>
  <c r="D4259" i="2"/>
  <c r="F4259" i="2"/>
  <c r="G4259" i="2"/>
  <c r="H4259" i="2"/>
  <c r="J4259" i="2"/>
  <c r="K4259" i="2"/>
  <c r="L4259" i="2"/>
  <c r="C4260" i="2"/>
  <c r="D4260" i="2"/>
  <c r="F4260" i="2"/>
  <c r="G4260" i="2"/>
  <c r="H4260" i="2"/>
  <c r="J4260" i="2"/>
  <c r="K4260" i="2"/>
  <c r="L4260" i="2"/>
  <c r="C4261" i="2"/>
  <c r="D4261" i="2"/>
  <c r="F4261" i="2"/>
  <c r="G4261" i="2"/>
  <c r="H4261" i="2"/>
  <c r="J4261" i="2"/>
  <c r="K4261" i="2"/>
  <c r="L4261" i="2"/>
  <c r="C4262" i="2"/>
  <c r="D4262" i="2"/>
  <c r="F4262" i="2"/>
  <c r="G4262" i="2"/>
  <c r="H4262" i="2"/>
  <c r="J4262" i="2"/>
  <c r="K4262" i="2"/>
  <c r="L4262" i="2"/>
  <c r="C4263" i="2"/>
  <c r="D4263" i="2"/>
  <c r="F4263" i="2"/>
  <c r="G4263" i="2"/>
  <c r="H4263" i="2"/>
  <c r="J4263" i="2"/>
  <c r="K4263" i="2"/>
  <c r="L4263" i="2"/>
  <c r="C4264" i="2"/>
  <c r="D4264" i="2"/>
  <c r="F4264" i="2"/>
  <c r="G4264" i="2"/>
  <c r="H4264" i="2"/>
  <c r="J4264" i="2"/>
  <c r="K4264" i="2"/>
  <c r="L4264" i="2"/>
  <c r="C4265" i="2"/>
  <c r="D4265" i="2"/>
  <c r="F4265" i="2"/>
  <c r="G4265" i="2"/>
  <c r="H4265" i="2"/>
  <c r="J4265" i="2"/>
  <c r="K4265" i="2"/>
  <c r="L4265" i="2"/>
  <c r="C4266" i="2"/>
  <c r="D4266" i="2"/>
  <c r="F4266" i="2"/>
  <c r="G4266" i="2"/>
  <c r="H4266" i="2"/>
  <c r="J4266" i="2"/>
  <c r="K4266" i="2"/>
  <c r="L4266" i="2"/>
  <c r="C4267" i="2"/>
  <c r="D4267" i="2"/>
  <c r="F4267" i="2"/>
  <c r="G4267" i="2"/>
  <c r="H4267" i="2"/>
  <c r="J4267" i="2"/>
  <c r="K4267" i="2"/>
  <c r="L4267" i="2"/>
  <c r="C4268" i="2"/>
  <c r="D4268" i="2"/>
  <c r="F4268" i="2"/>
  <c r="G4268" i="2"/>
  <c r="H4268" i="2"/>
  <c r="J4268" i="2"/>
  <c r="K4268" i="2"/>
  <c r="L4268" i="2"/>
  <c r="C4269" i="2"/>
  <c r="D4269" i="2"/>
  <c r="F4269" i="2"/>
  <c r="G4269" i="2"/>
  <c r="H4269" i="2"/>
  <c r="J4269" i="2"/>
  <c r="K4269" i="2"/>
  <c r="L4269" i="2"/>
  <c r="C4270" i="2"/>
  <c r="D4270" i="2"/>
  <c r="F4270" i="2"/>
  <c r="G4270" i="2"/>
  <c r="H4270" i="2"/>
  <c r="J4270" i="2"/>
  <c r="K4270" i="2"/>
  <c r="L4270" i="2"/>
  <c r="C4271" i="2"/>
  <c r="D4271" i="2"/>
  <c r="F4271" i="2"/>
  <c r="G4271" i="2"/>
  <c r="H4271" i="2"/>
  <c r="J4271" i="2"/>
  <c r="K4271" i="2"/>
  <c r="L4271" i="2"/>
  <c r="C4272" i="2"/>
  <c r="D4272" i="2"/>
  <c r="F4272" i="2"/>
  <c r="G4272" i="2"/>
  <c r="H4272" i="2"/>
  <c r="J4272" i="2"/>
  <c r="K4272" i="2"/>
  <c r="L4272" i="2"/>
  <c r="C4273" i="2"/>
  <c r="D4273" i="2"/>
  <c r="F4273" i="2"/>
  <c r="G4273" i="2"/>
  <c r="H4273" i="2"/>
  <c r="J4273" i="2"/>
  <c r="K4273" i="2"/>
  <c r="L4273" i="2"/>
  <c r="C4274" i="2"/>
  <c r="D4274" i="2"/>
  <c r="F4274" i="2"/>
  <c r="G4274" i="2"/>
  <c r="H4274" i="2"/>
  <c r="J4274" i="2"/>
  <c r="K4274" i="2"/>
  <c r="L4274" i="2"/>
  <c r="C4275" i="2"/>
  <c r="D4275" i="2"/>
  <c r="F4275" i="2"/>
  <c r="G4275" i="2"/>
  <c r="H4275" i="2"/>
  <c r="J4275" i="2"/>
  <c r="K4275" i="2"/>
  <c r="L4275" i="2"/>
  <c r="C4276" i="2"/>
  <c r="D4276" i="2"/>
  <c r="F4276" i="2"/>
  <c r="G4276" i="2"/>
  <c r="H4276" i="2"/>
  <c r="J4276" i="2"/>
  <c r="K4276" i="2"/>
  <c r="L4276" i="2"/>
  <c r="C4277" i="2"/>
  <c r="D4277" i="2"/>
  <c r="F4277" i="2"/>
  <c r="G4277" i="2"/>
  <c r="H4277" i="2"/>
  <c r="J4277" i="2"/>
  <c r="K4277" i="2"/>
  <c r="L4277" i="2"/>
  <c r="C4278" i="2"/>
  <c r="D4278" i="2"/>
  <c r="F4278" i="2"/>
  <c r="G4278" i="2"/>
  <c r="H4278" i="2"/>
  <c r="J4278" i="2"/>
  <c r="K4278" i="2"/>
  <c r="L4278" i="2"/>
  <c r="C4279" i="2"/>
  <c r="D4279" i="2"/>
  <c r="F4279" i="2"/>
  <c r="G4279" i="2"/>
  <c r="H4279" i="2"/>
  <c r="J4279" i="2"/>
  <c r="K4279" i="2"/>
  <c r="L4279" i="2"/>
  <c r="C4280" i="2"/>
  <c r="D4280" i="2"/>
  <c r="F4280" i="2"/>
  <c r="G4280" i="2"/>
  <c r="H4280" i="2"/>
  <c r="J4280" i="2"/>
  <c r="K4280" i="2"/>
  <c r="L4280" i="2"/>
  <c r="C4281" i="2"/>
  <c r="D4281" i="2"/>
  <c r="F4281" i="2"/>
  <c r="G4281" i="2"/>
  <c r="H4281" i="2"/>
  <c r="J4281" i="2"/>
  <c r="K4281" i="2"/>
  <c r="L4281" i="2"/>
  <c r="C4282" i="2"/>
  <c r="D4282" i="2"/>
  <c r="F4282" i="2"/>
  <c r="G4282" i="2"/>
  <c r="H4282" i="2"/>
  <c r="J4282" i="2"/>
  <c r="K4282" i="2"/>
  <c r="L4282" i="2"/>
  <c r="C4283" i="2"/>
  <c r="D4283" i="2"/>
  <c r="F4283" i="2"/>
  <c r="G4283" i="2"/>
  <c r="H4283" i="2"/>
  <c r="J4283" i="2"/>
  <c r="K4283" i="2"/>
  <c r="L4283" i="2"/>
  <c r="C4284" i="2"/>
  <c r="D4284" i="2"/>
  <c r="F4284" i="2"/>
  <c r="G4284" i="2"/>
  <c r="H4284" i="2"/>
  <c r="J4284" i="2"/>
  <c r="K4284" i="2"/>
  <c r="L4284" i="2"/>
  <c r="C4285" i="2"/>
  <c r="D4285" i="2"/>
  <c r="F4285" i="2"/>
  <c r="G4285" i="2"/>
  <c r="H4285" i="2"/>
  <c r="J4285" i="2"/>
  <c r="K4285" i="2"/>
  <c r="L4285" i="2"/>
  <c r="C4286" i="2"/>
  <c r="D4286" i="2"/>
  <c r="F4286" i="2"/>
  <c r="G4286" i="2"/>
  <c r="H4286" i="2"/>
  <c r="J4286" i="2"/>
  <c r="K4286" i="2"/>
  <c r="L4286" i="2"/>
  <c r="C4287" i="2"/>
  <c r="D4287" i="2"/>
  <c r="F4287" i="2"/>
  <c r="G4287" i="2"/>
  <c r="H4287" i="2"/>
  <c r="J4287" i="2"/>
  <c r="K4287" i="2"/>
  <c r="L4287" i="2"/>
  <c r="C4288" i="2"/>
  <c r="D4288" i="2"/>
  <c r="F4288" i="2"/>
  <c r="G4288" i="2"/>
  <c r="H4288" i="2"/>
  <c r="J4288" i="2"/>
  <c r="K4288" i="2"/>
  <c r="L4288" i="2"/>
  <c r="C4289" i="2"/>
  <c r="D4289" i="2"/>
  <c r="F4289" i="2"/>
  <c r="G4289" i="2"/>
  <c r="H4289" i="2"/>
  <c r="J4289" i="2"/>
  <c r="K4289" i="2"/>
  <c r="L4289" i="2"/>
  <c r="C4290" i="2"/>
  <c r="D4290" i="2"/>
  <c r="F4290" i="2"/>
  <c r="G4290" i="2"/>
  <c r="H4290" i="2"/>
  <c r="J4290" i="2"/>
  <c r="K4290" i="2"/>
  <c r="L4290" i="2"/>
  <c r="C4291" i="2"/>
  <c r="D4291" i="2"/>
  <c r="F4291" i="2"/>
  <c r="G4291" i="2"/>
  <c r="H4291" i="2"/>
  <c r="J4291" i="2"/>
  <c r="K4291" i="2"/>
  <c r="L4291" i="2"/>
  <c r="C4292" i="2"/>
  <c r="D4292" i="2"/>
  <c r="F4292" i="2"/>
  <c r="G4292" i="2"/>
  <c r="H4292" i="2"/>
  <c r="J4292" i="2"/>
  <c r="K4292" i="2"/>
  <c r="L4292" i="2"/>
  <c r="C4293" i="2"/>
  <c r="D4293" i="2"/>
  <c r="F4293" i="2"/>
  <c r="G4293" i="2"/>
  <c r="H4293" i="2"/>
  <c r="J4293" i="2"/>
  <c r="K4293" i="2"/>
  <c r="L4293" i="2"/>
  <c r="C4294" i="2"/>
  <c r="D4294" i="2"/>
  <c r="F4294" i="2"/>
  <c r="G4294" i="2"/>
  <c r="H4294" i="2"/>
  <c r="J4294" i="2"/>
  <c r="K4294" i="2"/>
  <c r="L4294" i="2"/>
  <c r="C4295" i="2"/>
  <c r="D4295" i="2"/>
  <c r="F4295" i="2"/>
  <c r="G4295" i="2"/>
  <c r="H4295" i="2"/>
  <c r="J4295" i="2"/>
  <c r="K4295" i="2"/>
  <c r="L4295" i="2"/>
  <c r="C4296" i="2"/>
  <c r="D4296" i="2"/>
  <c r="F4296" i="2"/>
  <c r="G4296" i="2"/>
  <c r="H4296" i="2"/>
  <c r="J4296" i="2"/>
  <c r="K4296" i="2"/>
  <c r="L4296" i="2"/>
  <c r="C4297" i="2"/>
  <c r="D4297" i="2"/>
  <c r="F4297" i="2"/>
  <c r="G4297" i="2"/>
  <c r="H4297" i="2"/>
  <c r="J4297" i="2"/>
  <c r="K4297" i="2"/>
  <c r="L4297" i="2"/>
  <c r="C4298" i="2"/>
  <c r="D4298" i="2"/>
  <c r="F4298" i="2"/>
  <c r="G4298" i="2"/>
  <c r="H4298" i="2"/>
  <c r="J4298" i="2"/>
  <c r="K4298" i="2"/>
  <c r="L4298" i="2"/>
  <c r="C4299" i="2"/>
  <c r="D4299" i="2"/>
  <c r="F4299" i="2"/>
  <c r="G4299" i="2"/>
  <c r="H4299" i="2"/>
  <c r="J4299" i="2"/>
  <c r="K4299" i="2"/>
  <c r="L4299" i="2"/>
  <c r="C4300" i="2"/>
  <c r="D4300" i="2"/>
  <c r="F4300" i="2"/>
  <c r="G4300" i="2"/>
  <c r="H4300" i="2"/>
  <c r="J4300" i="2"/>
  <c r="K4300" i="2"/>
  <c r="L4300" i="2"/>
  <c r="C4301" i="2"/>
  <c r="D4301" i="2"/>
  <c r="F4301" i="2"/>
  <c r="G4301" i="2"/>
  <c r="H4301" i="2"/>
  <c r="J4301" i="2"/>
  <c r="K4301" i="2"/>
  <c r="L4301" i="2"/>
  <c r="C4302" i="2"/>
  <c r="D4302" i="2"/>
  <c r="F4302" i="2"/>
  <c r="G4302" i="2"/>
  <c r="H4302" i="2"/>
  <c r="J4302" i="2"/>
  <c r="K4302" i="2"/>
  <c r="L4302" i="2"/>
  <c r="C4303" i="2"/>
  <c r="D4303" i="2"/>
  <c r="F4303" i="2"/>
  <c r="G4303" i="2"/>
  <c r="H4303" i="2"/>
  <c r="J4303" i="2"/>
  <c r="K4303" i="2"/>
  <c r="L4303" i="2"/>
  <c r="C4304" i="2"/>
  <c r="D4304" i="2"/>
  <c r="F4304" i="2"/>
  <c r="G4304" i="2"/>
  <c r="H4304" i="2"/>
  <c r="J4304" i="2"/>
  <c r="K4304" i="2"/>
  <c r="L4304" i="2"/>
  <c r="C4305" i="2"/>
  <c r="D4305" i="2"/>
  <c r="F4305" i="2"/>
  <c r="G4305" i="2"/>
  <c r="H4305" i="2"/>
  <c r="J4305" i="2"/>
  <c r="K4305" i="2"/>
  <c r="L4305" i="2"/>
  <c r="C4306" i="2"/>
  <c r="D4306" i="2"/>
  <c r="F4306" i="2"/>
  <c r="G4306" i="2"/>
  <c r="H4306" i="2"/>
  <c r="J4306" i="2"/>
  <c r="K4306" i="2"/>
  <c r="L4306" i="2"/>
  <c r="C4307" i="2"/>
  <c r="D4307" i="2"/>
  <c r="F4307" i="2"/>
  <c r="G4307" i="2"/>
  <c r="H4307" i="2"/>
  <c r="J4307" i="2"/>
  <c r="K4307" i="2"/>
  <c r="L4307" i="2"/>
  <c r="C4308" i="2"/>
  <c r="D4308" i="2"/>
  <c r="F4308" i="2"/>
  <c r="G4308" i="2"/>
  <c r="H4308" i="2"/>
  <c r="J4308" i="2"/>
  <c r="K4308" i="2"/>
  <c r="L4308" i="2"/>
  <c r="C4309" i="2"/>
  <c r="D4309" i="2"/>
  <c r="F4309" i="2"/>
  <c r="G4309" i="2"/>
  <c r="H4309" i="2"/>
  <c r="J4309" i="2"/>
  <c r="K4309" i="2"/>
  <c r="L4309" i="2"/>
  <c r="C4310" i="2"/>
  <c r="D4310" i="2"/>
  <c r="F4310" i="2"/>
  <c r="G4310" i="2"/>
  <c r="H4310" i="2"/>
  <c r="J4310" i="2"/>
  <c r="K4310" i="2"/>
  <c r="L4310" i="2"/>
  <c r="C4311" i="2"/>
  <c r="D4311" i="2"/>
  <c r="F4311" i="2"/>
  <c r="G4311" i="2"/>
  <c r="H4311" i="2"/>
  <c r="J4311" i="2"/>
  <c r="K4311" i="2"/>
  <c r="L4311" i="2"/>
  <c r="C4312" i="2"/>
  <c r="D4312" i="2"/>
  <c r="F4312" i="2"/>
  <c r="G4312" i="2"/>
  <c r="H4312" i="2"/>
  <c r="J4312" i="2"/>
  <c r="K4312" i="2"/>
  <c r="L4312" i="2"/>
  <c r="C4313" i="2"/>
  <c r="D4313" i="2"/>
  <c r="F4313" i="2"/>
  <c r="G4313" i="2"/>
  <c r="H4313" i="2"/>
  <c r="J4313" i="2"/>
  <c r="K4313" i="2"/>
  <c r="L4313" i="2"/>
  <c r="C4314" i="2"/>
  <c r="D4314" i="2"/>
  <c r="F4314" i="2"/>
  <c r="G4314" i="2"/>
  <c r="H4314" i="2"/>
  <c r="J4314" i="2"/>
  <c r="K4314" i="2"/>
  <c r="L4314" i="2"/>
  <c r="C4315" i="2"/>
  <c r="D4315" i="2"/>
  <c r="F4315" i="2"/>
  <c r="G4315" i="2"/>
  <c r="H4315" i="2"/>
  <c r="J4315" i="2"/>
  <c r="K4315" i="2"/>
  <c r="L4315" i="2"/>
  <c r="C4316" i="2"/>
  <c r="D4316" i="2"/>
  <c r="F4316" i="2"/>
  <c r="G4316" i="2"/>
  <c r="H4316" i="2"/>
  <c r="J4316" i="2"/>
  <c r="K4316" i="2"/>
  <c r="L4316" i="2"/>
  <c r="C4317" i="2"/>
  <c r="D4317" i="2"/>
  <c r="F4317" i="2"/>
  <c r="G4317" i="2"/>
  <c r="H4317" i="2"/>
  <c r="J4317" i="2"/>
  <c r="K4317" i="2"/>
  <c r="L4317" i="2"/>
  <c r="C4318" i="2"/>
  <c r="D4318" i="2"/>
  <c r="F4318" i="2"/>
  <c r="G4318" i="2"/>
  <c r="H4318" i="2"/>
  <c r="J4318" i="2"/>
  <c r="K4318" i="2"/>
  <c r="L4318" i="2"/>
  <c r="C4319" i="2"/>
  <c r="D4319" i="2"/>
  <c r="F4319" i="2"/>
  <c r="G4319" i="2"/>
  <c r="H4319" i="2"/>
  <c r="J4319" i="2"/>
  <c r="K4319" i="2"/>
  <c r="L4319" i="2"/>
  <c r="C4320" i="2"/>
  <c r="D4320" i="2"/>
  <c r="F4320" i="2"/>
  <c r="G4320" i="2"/>
  <c r="H4320" i="2"/>
  <c r="J4320" i="2"/>
  <c r="K4320" i="2"/>
  <c r="L4320" i="2"/>
  <c r="C4321" i="2"/>
  <c r="D4321" i="2"/>
  <c r="F4321" i="2"/>
  <c r="G4321" i="2"/>
  <c r="H4321" i="2"/>
  <c r="J4321" i="2"/>
  <c r="K4321" i="2"/>
  <c r="L4321" i="2"/>
  <c r="C4322" i="2"/>
  <c r="D4322" i="2"/>
  <c r="F4322" i="2"/>
  <c r="G4322" i="2"/>
  <c r="H4322" i="2"/>
  <c r="J4322" i="2"/>
  <c r="K4322" i="2"/>
  <c r="L4322" i="2"/>
  <c r="C4323" i="2"/>
  <c r="D4323" i="2"/>
  <c r="F4323" i="2"/>
  <c r="G4323" i="2"/>
  <c r="H4323" i="2"/>
  <c r="J4323" i="2"/>
  <c r="K4323" i="2"/>
  <c r="L4323" i="2"/>
  <c r="C4324" i="2"/>
  <c r="D4324" i="2"/>
  <c r="F4324" i="2"/>
  <c r="G4324" i="2"/>
  <c r="H4324" i="2"/>
  <c r="J4324" i="2"/>
  <c r="K4324" i="2"/>
  <c r="L4324" i="2"/>
  <c r="C4325" i="2"/>
  <c r="D4325" i="2"/>
  <c r="F4325" i="2"/>
  <c r="G4325" i="2"/>
  <c r="H4325" i="2"/>
  <c r="J4325" i="2"/>
  <c r="K4325" i="2"/>
  <c r="L4325" i="2"/>
  <c r="C4326" i="2"/>
  <c r="D4326" i="2"/>
  <c r="F4326" i="2"/>
  <c r="G4326" i="2"/>
  <c r="H4326" i="2"/>
  <c r="J4326" i="2"/>
  <c r="K4326" i="2"/>
  <c r="L4326" i="2"/>
  <c r="C4327" i="2"/>
  <c r="D4327" i="2"/>
  <c r="F4327" i="2"/>
  <c r="G4327" i="2"/>
  <c r="H4327" i="2"/>
  <c r="J4327" i="2"/>
  <c r="K4327" i="2"/>
  <c r="L4327" i="2"/>
  <c r="C4328" i="2"/>
  <c r="D4328" i="2"/>
  <c r="F4328" i="2"/>
  <c r="G4328" i="2"/>
  <c r="H4328" i="2"/>
  <c r="J4328" i="2"/>
  <c r="K4328" i="2"/>
  <c r="L4328" i="2"/>
  <c r="C4329" i="2"/>
  <c r="D4329" i="2"/>
  <c r="F4329" i="2"/>
  <c r="G4329" i="2"/>
  <c r="H4329" i="2"/>
  <c r="J4329" i="2"/>
  <c r="K4329" i="2"/>
  <c r="L4329" i="2"/>
  <c r="C4330" i="2"/>
  <c r="D4330" i="2"/>
  <c r="F4330" i="2"/>
  <c r="G4330" i="2"/>
  <c r="H4330" i="2"/>
  <c r="J4330" i="2"/>
  <c r="K4330" i="2"/>
  <c r="L4330" i="2"/>
  <c r="C4331" i="2"/>
  <c r="D4331" i="2"/>
  <c r="F4331" i="2"/>
  <c r="G4331" i="2"/>
  <c r="H4331" i="2"/>
  <c r="J4331" i="2"/>
  <c r="K4331" i="2"/>
  <c r="L4331" i="2"/>
  <c r="C4332" i="2"/>
  <c r="D4332" i="2"/>
  <c r="F4332" i="2"/>
  <c r="G4332" i="2"/>
  <c r="H4332" i="2"/>
  <c r="J4332" i="2"/>
  <c r="K4332" i="2"/>
  <c r="L4332" i="2"/>
  <c r="C4333" i="2"/>
  <c r="D4333" i="2"/>
  <c r="F4333" i="2"/>
  <c r="G4333" i="2"/>
  <c r="H4333" i="2"/>
  <c r="J4333" i="2"/>
  <c r="K4333" i="2"/>
  <c r="L4333" i="2"/>
  <c r="C4334" i="2"/>
  <c r="D4334" i="2"/>
  <c r="F4334" i="2"/>
  <c r="G4334" i="2"/>
  <c r="H4334" i="2"/>
  <c r="J4334" i="2"/>
  <c r="K4334" i="2"/>
  <c r="L4334" i="2"/>
  <c r="C4335" i="2"/>
  <c r="D4335" i="2"/>
  <c r="F4335" i="2"/>
  <c r="G4335" i="2"/>
  <c r="H4335" i="2"/>
  <c r="J4335" i="2"/>
  <c r="K4335" i="2"/>
  <c r="L4335" i="2"/>
  <c r="C4336" i="2"/>
  <c r="D4336" i="2"/>
  <c r="F4336" i="2"/>
  <c r="G4336" i="2"/>
  <c r="H4336" i="2"/>
  <c r="J4336" i="2"/>
  <c r="K4336" i="2"/>
  <c r="L4336" i="2"/>
  <c r="C4337" i="2"/>
  <c r="D4337" i="2"/>
  <c r="F4337" i="2"/>
  <c r="G4337" i="2"/>
  <c r="H4337" i="2"/>
  <c r="J4337" i="2"/>
  <c r="K4337" i="2"/>
  <c r="L4337" i="2"/>
  <c r="C4338" i="2"/>
  <c r="D4338" i="2"/>
  <c r="F4338" i="2"/>
  <c r="G4338" i="2"/>
  <c r="H4338" i="2"/>
  <c r="J4338" i="2"/>
  <c r="K4338" i="2"/>
  <c r="L4338" i="2"/>
  <c r="C4339" i="2"/>
  <c r="D4339" i="2"/>
  <c r="F4339" i="2"/>
  <c r="G4339" i="2"/>
  <c r="H4339" i="2"/>
  <c r="J4339" i="2"/>
  <c r="K4339" i="2"/>
  <c r="L4339" i="2"/>
  <c r="C4340" i="2"/>
  <c r="D4340" i="2"/>
  <c r="F4340" i="2"/>
  <c r="G4340" i="2"/>
  <c r="H4340" i="2"/>
  <c r="J4340" i="2"/>
  <c r="K4340" i="2"/>
  <c r="L4340" i="2"/>
  <c r="C4341" i="2"/>
  <c r="D4341" i="2"/>
  <c r="F4341" i="2"/>
  <c r="G4341" i="2"/>
  <c r="H4341" i="2"/>
  <c r="J4341" i="2"/>
  <c r="K4341" i="2"/>
  <c r="L4341" i="2"/>
  <c r="C4342" i="2"/>
  <c r="D4342" i="2"/>
  <c r="F4342" i="2"/>
  <c r="G4342" i="2"/>
  <c r="H4342" i="2"/>
  <c r="J4342" i="2"/>
  <c r="K4342" i="2"/>
  <c r="L4342" i="2"/>
  <c r="C4343" i="2"/>
  <c r="D4343" i="2"/>
  <c r="F4343" i="2"/>
  <c r="G4343" i="2"/>
  <c r="H4343" i="2"/>
  <c r="J4343" i="2"/>
  <c r="K4343" i="2"/>
  <c r="L4343" i="2"/>
  <c r="C4344" i="2"/>
  <c r="D4344" i="2"/>
  <c r="F4344" i="2"/>
  <c r="G4344" i="2"/>
  <c r="H4344" i="2"/>
  <c r="J4344" i="2"/>
  <c r="K4344" i="2"/>
  <c r="L4344" i="2"/>
  <c r="C4345" i="2"/>
  <c r="D4345" i="2"/>
  <c r="F4345" i="2"/>
  <c r="G4345" i="2"/>
  <c r="H4345" i="2"/>
  <c r="J4345" i="2"/>
  <c r="K4345" i="2"/>
  <c r="L4345" i="2"/>
  <c r="C4346" i="2"/>
  <c r="D4346" i="2"/>
  <c r="F4346" i="2"/>
  <c r="G4346" i="2"/>
  <c r="H4346" i="2"/>
  <c r="J4346" i="2"/>
  <c r="K4346" i="2"/>
  <c r="L4346" i="2"/>
  <c r="C4347" i="2"/>
  <c r="D4347" i="2"/>
  <c r="F4347" i="2"/>
  <c r="G4347" i="2"/>
  <c r="H4347" i="2"/>
  <c r="J4347" i="2"/>
  <c r="K4347" i="2"/>
  <c r="L4347" i="2"/>
  <c r="C4348" i="2"/>
  <c r="D4348" i="2"/>
  <c r="F4348" i="2"/>
  <c r="G4348" i="2"/>
  <c r="H4348" i="2"/>
  <c r="J4348" i="2"/>
  <c r="K4348" i="2"/>
  <c r="L4348" i="2"/>
  <c r="C4349" i="2"/>
  <c r="D4349" i="2"/>
  <c r="F4349" i="2"/>
  <c r="G4349" i="2"/>
  <c r="H4349" i="2"/>
  <c r="J4349" i="2"/>
  <c r="K4349" i="2"/>
  <c r="L4349" i="2"/>
  <c r="C4350" i="2"/>
  <c r="D4350" i="2"/>
  <c r="F4350" i="2"/>
  <c r="G4350" i="2"/>
  <c r="H4350" i="2"/>
  <c r="J4350" i="2"/>
  <c r="K4350" i="2"/>
  <c r="L4350" i="2"/>
  <c r="C4351" i="2"/>
  <c r="D4351" i="2"/>
  <c r="F4351" i="2"/>
  <c r="G4351" i="2"/>
  <c r="H4351" i="2"/>
  <c r="J4351" i="2"/>
  <c r="K4351" i="2"/>
  <c r="L4351" i="2"/>
  <c r="C4352" i="2"/>
  <c r="D4352" i="2"/>
  <c r="F4352" i="2"/>
  <c r="G4352" i="2"/>
  <c r="H4352" i="2"/>
  <c r="J4352" i="2"/>
  <c r="K4352" i="2"/>
  <c r="L4352" i="2"/>
  <c r="C4353" i="2"/>
  <c r="D4353" i="2"/>
  <c r="F4353" i="2"/>
  <c r="G4353" i="2"/>
  <c r="H4353" i="2"/>
  <c r="J4353" i="2"/>
  <c r="K4353" i="2"/>
  <c r="L4353" i="2"/>
  <c r="C4354" i="2"/>
  <c r="D4354" i="2"/>
  <c r="F4354" i="2"/>
  <c r="G4354" i="2"/>
  <c r="H4354" i="2"/>
  <c r="J4354" i="2"/>
  <c r="K4354" i="2"/>
  <c r="L4354" i="2"/>
  <c r="C4355" i="2"/>
  <c r="D4355" i="2"/>
  <c r="F4355" i="2"/>
  <c r="G4355" i="2"/>
  <c r="H4355" i="2"/>
  <c r="J4355" i="2"/>
  <c r="K4355" i="2"/>
  <c r="L4355" i="2"/>
  <c r="C4356" i="2"/>
  <c r="D4356" i="2"/>
  <c r="F4356" i="2"/>
  <c r="G4356" i="2"/>
  <c r="H4356" i="2"/>
  <c r="J4356" i="2"/>
  <c r="K4356" i="2"/>
  <c r="L4356" i="2"/>
  <c r="C4357" i="2"/>
  <c r="D4357" i="2"/>
  <c r="F4357" i="2"/>
  <c r="G4357" i="2"/>
  <c r="H4357" i="2"/>
  <c r="J4357" i="2"/>
  <c r="K4357" i="2"/>
  <c r="L4357" i="2"/>
  <c r="C4358" i="2"/>
  <c r="D4358" i="2"/>
  <c r="F4358" i="2"/>
  <c r="G4358" i="2"/>
  <c r="H4358" i="2"/>
  <c r="J4358" i="2"/>
  <c r="K4358" i="2"/>
  <c r="L4358" i="2"/>
  <c r="C4359" i="2"/>
  <c r="D4359" i="2"/>
  <c r="F4359" i="2"/>
  <c r="G4359" i="2"/>
  <c r="H4359" i="2"/>
  <c r="J4359" i="2"/>
  <c r="K4359" i="2"/>
  <c r="L4359" i="2"/>
  <c r="C4360" i="2"/>
  <c r="D4360" i="2"/>
  <c r="F4360" i="2"/>
  <c r="G4360" i="2"/>
  <c r="H4360" i="2"/>
  <c r="J4360" i="2"/>
  <c r="K4360" i="2"/>
  <c r="L4360" i="2"/>
  <c r="C4361" i="2"/>
  <c r="D4361" i="2"/>
  <c r="F4361" i="2"/>
  <c r="G4361" i="2"/>
  <c r="H4361" i="2"/>
  <c r="J4361" i="2"/>
  <c r="K4361" i="2"/>
  <c r="L4361" i="2"/>
  <c r="C4362" i="2"/>
  <c r="D4362" i="2"/>
  <c r="F4362" i="2"/>
  <c r="G4362" i="2"/>
  <c r="H4362" i="2"/>
  <c r="J4362" i="2"/>
  <c r="K4362" i="2"/>
  <c r="L4362" i="2"/>
  <c r="C4363" i="2"/>
  <c r="D4363" i="2"/>
  <c r="F4363" i="2"/>
  <c r="G4363" i="2"/>
  <c r="H4363" i="2"/>
  <c r="J4363" i="2"/>
  <c r="K4363" i="2"/>
  <c r="L4363" i="2"/>
  <c r="C4364" i="2"/>
  <c r="D4364" i="2"/>
  <c r="F4364" i="2"/>
  <c r="G4364" i="2"/>
  <c r="H4364" i="2"/>
  <c r="J4364" i="2"/>
  <c r="K4364" i="2"/>
  <c r="L4364" i="2"/>
  <c r="C4365" i="2"/>
  <c r="D4365" i="2"/>
  <c r="F4365" i="2"/>
  <c r="G4365" i="2"/>
  <c r="H4365" i="2"/>
  <c r="J4365" i="2"/>
  <c r="K4365" i="2"/>
  <c r="L4365" i="2"/>
  <c r="C4366" i="2"/>
  <c r="D4366" i="2"/>
  <c r="F4366" i="2"/>
  <c r="G4366" i="2"/>
  <c r="H4366" i="2"/>
  <c r="J4366" i="2"/>
  <c r="K4366" i="2"/>
  <c r="L4366" i="2"/>
  <c r="C4367" i="2"/>
  <c r="D4367" i="2"/>
  <c r="F4367" i="2"/>
  <c r="G4367" i="2"/>
  <c r="H4367" i="2"/>
  <c r="J4367" i="2"/>
  <c r="K4367" i="2"/>
  <c r="L4367" i="2"/>
  <c r="C4368" i="2"/>
  <c r="D4368" i="2"/>
  <c r="F4368" i="2"/>
  <c r="G4368" i="2"/>
  <c r="H4368" i="2"/>
  <c r="J4368" i="2"/>
  <c r="K4368" i="2"/>
  <c r="L4368" i="2"/>
  <c r="C4369" i="2"/>
  <c r="D4369" i="2"/>
  <c r="F4369" i="2"/>
  <c r="G4369" i="2"/>
  <c r="H4369" i="2"/>
  <c r="J4369" i="2"/>
  <c r="K4369" i="2"/>
  <c r="L4369" i="2"/>
  <c r="C4370" i="2"/>
  <c r="D4370" i="2"/>
  <c r="F4370" i="2"/>
  <c r="G4370" i="2"/>
  <c r="H4370" i="2"/>
  <c r="J4370" i="2"/>
  <c r="K4370" i="2"/>
  <c r="L4370" i="2"/>
  <c r="C4371" i="2"/>
  <c r="D4371" i="2"/>
  <c r="F4371" i="2"/>
  <c r="G4371" i="2"/>
  <c r="H4371" i="2"/>
  <c r="J4371" i="2"/>
  <c r="K4371" i="2"/>
  <c r="L4371" i="2"/>
  <c r="C4372" i="2"/>
  <c r="D4372" i="2"/>
  <c r="F4372" i="2"/>
  <c r="G4372" i="2"/>
  <c r="H4372" i="2"/>
  <c r="J4372" i="2"/>
  <c r="K4372" i="2"/>
  <c r="L4372" i="2"/>
  <c r="C4373" i="2"/>
  <c r="D4373" i="2"/>
  <c r="F4373" i="2"/>
  <c r="G4373" i="2"/>
  <c r="H4373" i="2"/>
  <c r="J4373" i="2"/>
  <c r="K4373" i="2"/>
  <c r="L4373" i="2"/>
  <c r="C4374" i="2"/>
  <c r="D4374" i="2"/>
  <c r="F4374" i="2"/>
  <c r="G4374" i="2"/>
  <c r="H4374" i="2"/>
  <c r="J4374" i="2"/>
  <c r="K4374" i="2"/>
  <c r="L4374" i="2"/>
  <c r="C4375" i="2"/>
  <c r="D4375" i="2"/>
  <c r="F4375" i="2"/>
  <c r="G4375" i="2"/>
  <c r="H4375" i="2"/>
  <c r="J4375" i="2"/>
  <c r="K4375" i="2"/>
  <c r="L4375" i="2"/>
  <c r="C4376" i="2"/>
  <c r="D4376" i="2"/>
  <c r="F4376" i="2"/>
  <c r="G4376" i="2"/>
  <c r="H4376" i="2"/>
  <c r="J4376" i="2"/>
  <c r="K4376" i="2"/>
  <c r="L4376" i="2"/>
  <c r="C4377" i="2"/>
  <c r="D4377" i="2"/>
  <c r="F4377" i="2"/>
  <c r="G4377" i="2"/>
  <c r="H4377" i="2"/>
  <c r="J4377" i="2"/>
  <c r="K4377" i="2"/>
  <c r="L4377" i="2"/>
  <c r="C4378" i="2"/>
  <c r="D4378" i="2"/>
  <c r="F4378" i="2"/>
  <c r="G4378" i="2"/>
  <c r="H4378" i="2"/>
  <c r="J4378" i="2"/>
  <c r="K4378" i="2"/>
  <c r="L4378" i="2"/>
  <c r="C4379" i="2"/>
  <c r="D4379" i="2"/>
  <c r="F4379" i="2"/>
  <c r="G4379" i="2"/>
  <c r="H4379" i="2"/>
  <c r="J4379" i="2"/>
  <c r="K4379" i="2"/>
  <c r="L4379" i="2"/>
  <c r="C4380" i="2"/>
  <c r="D4380" i="2"/>
  <c r="F4380" i="2"/>
  <c r="G4380" i="2"/>
  <c r="H4380" i="2"/>
  <c r="J4380" i="2"/>
  <c r="K4380" i="2"/>
  <c r="L4380" i="2"/>
  <c r="C4381" i="2"/>
  <c r="D4381" i="2"/>
  <c r="F4381" i="2"/>
  <c r="G4381" i="2"/>
  <c r="H4381" i="2"/>
  <c r="J4381" i="2"/>
  <c r="K4381" i="2"/>
  <c r="L4381" i="2"/>
  <c r="C4382" i="2"/>
  <c r="D4382" i="2"/>
  <c r="F4382" i="2"/>
  <c r="G4382" i="2"/>
  <c r="H4382" i="2"/>
  <c r="J4382" i="2"/>
  <c r="K4382" i="2"/>
  <c r="L4382" i="2"/>
  <c r="C4383" i="2"/>
  <c r="D4383" i="2"/>
  <c r="F4383" i="2"/>
  <c r="G4383" i="2"/>
  <c r="H4383" i="2"/>
  <c r="J4383" i="2"/>
  <c r="K4383" i="2"/>
  <c r="L4383" i="2"/>
  <c r="C4384" i="2"/>
  <c r="D4384" i="2"/>
  <c r="F4384" i="2"/>
  <c r="G4384" i="2"/>
  <c r="H4384" i="2"/>
  <c r="J4384" i="2"/>
  <c r="K4384" i="2"/>
  <c r="L4384" i="2"/>
  <c r="C4385" i="2"/>
  <c r="D4385" i="2"/>
  <c r="F4385" i="2"/>
  <c r="G4385" i="2"/>
  <c r="H4385" i="2"/>
  <c r="J4385" i="2"/>
  <c r="K4385" i="2"/>
  <c r="L4385" i="2"/>
  <c r="C4386" i="2"/>
  <c r="D4386" i="2"/>
  <c r="F4386" i="2"/>
  <c r="G4386" i="2"/>
  <c r="H4386" i="2"/>
  <c r="J4386" i="2"/>
  <c r="K4386" i="2"/>
  <c r="L4386" i="2"/>
  <c r="C4387" i="2"/>
  <c r="D4387" i="2"/>
  <c r="F4387" i="2"/>
  <c r="G4387" i="2"/>
  <c r="H4387" i="2"/>
  <c r="J4387" i="2"/>
  <c r="K4387" i="2"/>
  <c r="L4387" i="2"/>
  <c r="C4388" i="2"/>
  <c r="D4388" i="2"/>
  <c r="F4388" i="2"/>
  <c r="G4388" i="2"/>
  <c r="H4388" i="2"/>
  <c r="J4388" i="2"/>
  <c r="K4388" i="2"/>
  <c r="L4388" i="2"/>
  <c r="C4389" i="2"/>
  <c r="D4389" i="2"/>
  <c r="F4389" i="2"/>
  <c r="G4389" i="2"/>
  <c r="H4389" i="2"/>
  <c r="J4389" i="2"/>
  <c r="K4389" i="2"/>
  <c r="L4389" i="2"/>
  <c r="C4390" i="2"/>
  <c r="D4390" i="2"/>
  <c r="F4390" i="2"/>
  <c r="G4390" i="2"/>
  <c r="H4390" i="2"/>
  <c r="J4390" i="2"/>
  <c r="K4390" i="2"/>
  <c r="L4390" i="2"/>
  <c r="C4391" i="2"/>
  <c r="D4391" i="2"/>
  <c r="F4391" i="2"/>
  <c r="G4391" i="2"/>
  <c r="H4391" i="2"/>
  <c r="J4391" i="2"/>
  <c r="K4391" i="2"/>
  <c r="L4391" i="2"/>
  <c r="C4392" i="2"/>
  <c r="D4392" i="2"/>
  <c r="F4392" i="2"/>
  <c r="G4392" i="2"/>
  <c r="H4392" i="2"/>
  <c r="J4392" i="2"/>
  <c r="K4392" i="2"/>
  <c r="L4392" i="2"/>
  <c r="C4393" i="2"/>
  <c r="D4393" i="2"/>
  <c r="F4393" i="2"/>
  <c r="G4393" i="2"/>
  <c r="H4393" i="2"/>
  <c r="J4393" i="2"/>
  <c r="K4393" i="2"/>
  <c r="L4393" i="2"/>
  <c r="C4394" i="2"/>
  <c r="D4394" i="2"/>
  <c r="F4394" i="2"/>
  <c r="G4394" i="2"/>
  <c r="H4394" i="2"/>
  <c r="J4394" i="2"/>
  <c r="K4394" i="2"/>
  <c r="L4394" i="2"/>
  <c r="C4395" i="2"/>
  <c r="D4395" i="2"/>
  <c r="F4395" i="2"/>
  <c r="G4395" i="2"/>
  <c r="H4395" i="2"/>
  <c r="J4395" i="2"/>
  <c r="K4395" i="2"/>
  <c r="L4395" i="2"/>
  <c r="C4396" i="2"/>
  <c r="D4396" i="2"/>
  <c r="F4396" i="2"/>
  <c r="G4396" i="2"/>
  <c r="H4396" i="2"/>
  <c r="J4396" i="2"/>
  <c r="K4396" i="2"/>
  <c r="L4396" i="2"/>
  <c r="C4397" i="2"/>
  <c r="D4397" i="2"/>
  <c r="F4397" i="2"/>
  <c r="G4397" i="2"/>
  <c r="H4397" i="2"/>
  <c r="J4397" i="2"/>
  <c r="K4397" i="2"/>
  <c r="L4397" i="2"/>
  <c r="C4398" i="2"/>
  <c r="D4398" i="2"/>
  <c r="F4398" i="2"/>
  <c r="G4398" i="2"/>
  <c r="H4398" i="2"/>
  <c r="J4398" i="2"/>
  <c r="K4398" i="2"/>
  <c r="L4398" i="2"/>
  <c r="C4399" i="2"/>
  <c r="D4399" i="2"/>
  <c r="F4399" i="2"/>
  <c r="G4399" i="2"/>
  <c r="H4399" i="2"/>
  <c r="J4399" i="2"/>
  <c r="K4399" i="2"/>
  <c r="L4399" i="2"/>
  <c r="C4400" i="2"/>
  <c r="D4400" i="2"/>
  <c r="F4400" i="2"/>
  <c r="G4400" i="2"/>
  <c r="H4400" i="2"/>
  <c r="J4400" i="2"/>
  <c r="K4400" i="2"/>
  <c r="L4400" i="2"/>
  <c r="C4401" i="2"/>
  <c r="D4401" i="2"/>
  <c r="F4401" i="2"/>
  <c r="G4401" i="2"/>
  <c r="H4401" i="2"/>
  <c r="J4401" i="2"/>
  <c r="K4401" i="2"/>
  <c r="L4401" i="2"/>
  <c r="C4402" i="2"/>
  <c r="D4402" i="2"/>
  <c r="F4402" i="2"/>
  <c r="G4402" i="2"/>
  <c r="H4402" i="2"/>
  <c r="J4402" i="2"/>
  <c r="K4402" i="2"/>
  <c r="L4402" i="2"/>
  <c r="C4403" i="2"/>
  <c r="D4403" i="2"/>
  <c r="F4403" i="2"/>
  <c r="G4403" i="2"/>
  <c r="H4403" i="2"/>
  <c r="J4403" i="2"/>
  <c r="K4403" i="2"/>
  <c r="L4403" i="2"/>
  <c r="C4404" i="2"/>
  <c r="D4404" i="2"/>
  <c r="F4404" i="2"/>
  <c r="G4404" i="2"/>
  <c r="H4404" i="2"/>
  <c r="J4404" i="2"/>
  <c r="K4404" i="2"/>
  <c r="L4404" i="2"/>
  <c r="C4405" i="2"/>
  <c r="D4405" i="2"/>
  <c r="F4405" i="2"/>
  <c r="G4405" i="2"/>
  <c r="H4405" i="2"/>
  <c r="J4405" i="2"/>
  <c r="K4405" i="2"/>
  <c r="L4405" i="2"/>
  <c r="C4406" i="2"/>
  <c r="D4406" i="2"/>
  <c r="F4406" i="2"/>
  <c r="G4406" i="2"/>
  <c r="H4406" i="2"/>
  <c r="J4406" i="2"/>
  <c r="K4406" i="2"/>
  <c r="L4406" i="2"/>
  <c r="C4407" i="2"/>
  <c r="D4407" i="2"/>
  <c r="F4407" i="2"/>
  <c r="G4407" i="2"/>
  <c r="H4407" i="2"/>
  <c r="J4407" i="2"/>
  <c r="K4407" i="2"/>
  <c r="L4407" i="2"/>
  <c r="C4408" i="2"/>
  <c r="D4408" i="2"/>
  <c r="F4408" i="2"/>
  <c r="G4408" i="2"/>
  <c r="H4408" i="2"/>
  <c r="J4408" i="2"/>
  <c r="K4408" i="2"/>
  <c r="L4408" i="2"/>
  <c r="C4409" i="2"/>
  <c r="D4409" i="2"/>
  <c r="F4409" i="2"/>
  <c r="G4409" i="2"/>
  <c r="H4409" i="2"/>
  <c r="J4409" i="2"/>
  <c r="K4409" i="2"/>
  <c r="L4409" i="2"/>
  <c r="C4410" i="2"/>
  <c r="D4410" i="2"/>
  <c r="F4410" i="2"/>
  <c r="G4410" i="2"/>
  <c r="H4410" i="2"/>
  <c r="J4410" i="2"/>
  <c r="K4410" i="2"/>
  <c r="L4410" i="2"/>
  <c r="C4411" i="2"/>
  <c r="D4411" i="2"/>
  <c r="F4411" i="2"/>
  <c r="G4411" i="2"/>
  <c r="H4411" i="2"/>
  <c r="J4411" i="2"/>
  <c r="K4411" i="2"/>
  <c r="L4411" i="2"/>
  <c r="C4412" i="2"/>
  <c r="D4412" i="2"/>
  <c r="F4412" i="2"/>
  <c r="G4412" i="2"/>
  <c r="H4412" i="2"/>
  <c r="J4412" i="2"/>
  <c r="K4412" i="2"/>
  <c r="L4412" i="2"/>
  <c r="C4413" i="2"/>
  <c r="D4413" i="2"/>
  <c r="F4413" i="2"/>
  <c r="G4413" i="2"/>
  <c r="H4413" i="2"/>
  <c r="J4413" i="2"/>
  <c r="K4413" i="2"/>
  <c r="L4413" i="2"/>
  <c r="C4414" i="2"/>
  <c r="D4414" i="2"/>
  <c r="F4414" i="2"/>
  <c r="G4414" i="2"/>
  <c r="H4414" i="2"/>
  <c r="J4414" i="2"/>
  <c r="K4414" i="2"/>
  <c r="L4414" i="2"/>
  <c r="C4415" i="2"/>
  <c r="D4415" i="2"/>
  <c r="F4415" i="2"/>
  <c r="G4415" i="2"/>
  <c r="H4415" i="2"/>
  <c r="J4415" i="2"/>
  <c r="K4415" i="2"/>
  <c r="L4415" i="2"/>
  <c r="C4416" i="2"/>
  <c r="D4416" i="2"/>
  <c r="F4416" i="2"/>
  <c r="G4416" i="2"/>
  <c r="H4416" i="2"/>
  <c r="J4416" i="2"/>
  <c r="K4416" i="2"/>
  <c r="L4416" i="2"/>
  <c r="C4417" i="2"/>
  <c r="D4417" i="2"/>
  <c r="F4417" i="2"/>
  <c r="G4417" i="2"/>
  <c r="H4417" i="2"/>
  <c r="J4417" i="2"/>
  <c r="K4417" i="2"/>
  <c r="L4417" i="2"/>
  <c r="C4418" i="2"/>
  <c r="D4418" i="2"/>
  <c r="F4418" i="2"/>
  <c r="G4418" i="2"/>
  <c r="H4418" i="2"/>
  <c r="J4418" i="2"/>
  <c r="K4418" i="2"/>
  <c r="L4418" i="2"/>
  <c r="C4419" i="2"/>
  <c r="D4419" i="2"/>
  <c r="F4419" i="2"/>
  <c r="G4419" i="2"/>
  <c r="H4419" i="2"/>
  <c r="J4419" i="2"/>
  <c r="K4419" i="2"/>
  <c r="L4419" i="2"/>
  <c r="C4420" i="2"/>
  <c r="D4420" i="2"/>
  <c r="F4420" i="2"/>
  <c r="G4420" i="2"/>
  <c r="H4420" i="2"/>
  <c r="J4420" i="2"/>
  <c r="K4420" i="2"/>
  <c r="L4420" i="2"/>
  <c r="C4421" i="2"/>
  <c r="D4421" i="2"/>
  <c r="F4421" i="2"/>
  <c r="G4421" i="2"/>
  <c r="H4421" i="2"/>
  <c r="J4421" i="2"/>
  <c r="K4421" i="2"/>
  <c r="L4421" i="2"/>
  <c r="C4422" i="2"/>
  <c r="D4422" i="2"/>
  <c r="F4422" i="2"/>
  <c r="G4422" i="2"/>
  <c r="H4422" i="2"/>
  <c r="J4422" i="2"/>
  <c r="K4422" i="2"/>
  <c r="L4422" i="2"/>
  <c r="C4423" i="2"/>
  <c r="D4423" i="2"/>
  <c r="F4423" i="2"/>
  <c r="G4423" i="2"/>
  <c r="H4423" i="2"/>
  <c r="J4423" i="2"/>
  <c r="K4423" i="2"/>
  <c r="L4423" i="2"/>
  <c r="C4424" i="2"/>
  <c r="D4424" i="2"/>
  <c r="F4424" i="2"/>
  <c r="G4424" i="2"/>
  <c r="H4424" i="2"/>
  <c r="J4424" i="2"/>
  <c r="K4424" i="2"/>
  <c r="L4424" i="2"/>
  <c r="C4425" i="2"/>
  <c r="D4425" i="2"/>
  <c r="F4425" i="2"/>
  <c r="G4425" i="2"/>
  <c r="H4425" i="2"/>
  <c r="J4425" i="2"/>
  <c r="K4425" i="2"/>
  <c r="L4425" i="2"/>
  <c r="C4426" i="2"/>
  <c r="D4426" i="2"/>
  <c r="F4426" i="2"/>
  <c r="G4426" i="2"/>
  <c r="H4426" i="2"/>
  <c r="J4426" i="2"/>
  <c r="K4426" i="2"/>
  <c r="L4426" i="2"/>
  <c r="C4427" i="2"/>
  <c r="D4427" i="2"/>
  <c r="F4427" i="2"/>
  <c r="G4427" i="2"/>
  <c r="H4427" i="2"/>
  <c r="J4427" i="2"/>
  <c r="K4427" i="2"/>
  <c r="L4427" i="2"/>
  <c r="C4428" i="2"/>
  <c r="D4428" i="2"/>
  <c r="F4428" i="2"/>
  <c r="G4428" i="2"/>
  <c r="H4428" i="2"/>
  <c r="J4428" i="2"/>
  <c r="K4428" i="2"/>
  <c r="L4428" i="2"/>
  <c r="C4429" i="2"/>
  <c r="D4429" i="2"/>
  <c r="F4429" i="2"/>
  <c r="G4429" i="2"/>
  <c r="H4429" i="2"/>
  <c r="J4429" i="2"/>
  <c r="K4429" i="2"/>
  <c r="L4429" i="2"/>
  <c r="C4430" i="2"/>
  <c r="D4430" i="2"/>
  <c r="F4430" i="2"/>
  <c r="G4430" i="2"/>
  <c r="H4430" i="2"/>
  <c r="J4430" i="2"/>
  <c r="K4430" i="2"/>
  <c r="L4430" i="2"/>
  <c r="C4431" i="2"/>
  <c r="D4431" i="2"/>
  <c r="F4431" i="2"/>
  <c r="G4431" i="2"/>
  <c r="H4431" i="2"/>
  <c r="J4431" i="2"/>
  <c r="K4431" i="2"/>
  <c r="L4431" i="2"/>
  <c r="C4432" i="2"/>
  <c r="D4432" i="2"/>
  <c r="F4432" i="2"/>
  <c r="G4432" i="2"/>
  <c r="H4432" i="2"/>
  <c r="J4432" i="2"/>
  <c r="K4432" i="2"/>
  <c r="L4432" i="2"/>
  <c r="C4433" i="2"/>
  <c r="D4433" i="2"/>
  <c r="F4433" i="2"/>
  <c r="G4433" i="2"/>
  <c r="H4433" i="2"/>
  <c r="J4433" i="2"/>
  <c r="K4433" i="2"/>
  <c r="L4433" i="2"/>
  <c r="C4434" i="2"/>
  <c r="D4434" i="2"/>
  <c r="F4434" i="2"/>
  <c r="G4434" i="2"/>
  <c r="H4434" i="2"/>
  <c r="J4434" i="2"/>
  <c r="K4434" i="2"/>
  <c r="L4434" i="2"/>
  <c r="C4435" i="2"/>
  <c r="D4435" i="2"/>
  <c r="F4435" i="2"/>
  <c r="G4435" i="2"/>
  <c r="H4435" i="2"/>
  <c r="J4435" i="2"/>
  <c r="K4435" i="2"/>
  <c r="L4435" i="2"/>
  <c r="C4436" i="2"/>
  <c r="D4436" i="2"/>
  <c r="F4436" i="2"/>
  <c r="G4436" i="2"/>
  <c r="H4436" i="2"/>
  <c r="J4436" i="2"/>
  <c r="K4436" i="2"/>
  <c r="L4436" i="2"/>
  <c r="C4437" i="2"/>
  <c r="D4437" i="2"/>
  <c r="F4437" i="2"/>
  <c r="G4437" i="2"/>
  <c r="H4437" i="2"/>
  <c r="J4437" i="2"/>
  <c r="K4437" i="2"/>
  <c r="L4437" i="2"/>
  <c r="C4438" i="2"/>
  <c r="D4438" i="2"/>
  <c r="F4438" i="2"/>
  <c r="G4438" i="2"/>
  <c r="H4438" i="2"/>
  <c r="J4438" i="2"/>
  <c r="K4438" i="2"/>
  <c r="L4438" i="2"/>
  <c r="C4439" i="2"/>
  <c r="D4439" i="2"/>
  <c r="F4439" i="2"/>
  <c r="G4439" i="2"/>
  <c r="H4439" i="2"/>
  <c r="J4439" i="2"/>
  <c r="K4439" i="2"/>
  <c r="L4439" i="2"/>
  <c r="C4440" i="2"/>
  <c r="D4440" i="2"/>
  <c r="F4440" i="2"/>
  <c r="G4440" i="2"/>
  <c r="H4440" i="2"/>
  <c r="J4440" i="2"/>
  <c r="K4440" i="2"/>
  <c r="L4440" i="2"/>
  <c r="C4441" i="2"/>
  <c r="D4441" i="2"/>
  <c r="F4441" i="2"/>
  <c r="G4441" i="2"/>
  <c r="H4441" i="2"/>
  <c r="J4441" i="2"/>
  <c r="K4441" i="2"/>
  <c r="L4441" i="2"/>
  <c r="C4442" i="2"/>
  <c r="D4442" i="2"/>
  <c r="F4442" i="2"/>
  <c r="G4442" i="2"/>
  <c r="H4442" i="2"/>
  <c r="J4442" i="2"/>
  <c r="K4442" i="2"/>
  <c r="L4442" i="2"/>
  <c r="C4443" i="2"/>
  <c r="D4443" i="2"/>
  <c r="F4443" i="2"/>
  <c r="G4443" i="2"/>
  <c r="H4443" i="2"/>
  <c r="J4443" i="2"/>
  <c r="K4443" i="2"/>
  <c r="L4443" i="2"/>
  <c r="C4444" i="2"/>
  <c r="D4444" i="2"/>
  <c r="F4444" i="2"/>
  <c r="G4444" i="2"/>
  <c r="H4444" i="2"/>
  <c r="J4444" i="2"/>
  <c r="K4444" i="2"/>
  <c r="L4444" i="2"/>
  <c r="C4445" i="2"/>
  <c r="D4445" i="2"/>
  <c r="F4445" i="2"/>
  <c r="G4445" i="2"/>
  <c r="H4445" i="2"/>
  <c r="J4445" i="2"/>
  <c r="K4445" i="2"/>
  <c r="L4445" i="2"/>
  <c r="C4446" i="2"/>
  <c r="D4446" i="2"/>
  <c r="F4446" i="2"/>
  <c r="G4446" i="2"/>
  <c r="H4446" i="2"/>
  <c r="J4446" i="2"/>
  <c r="K4446" i="2"/>
  <c r="L4446" i="2"/>
  <c r="C4447" i="2"/>
  <c r="D4447" i="2"/>
  <c r="F4447" i="2"/>
  <c r="G4447" i="2"/>
  <c r="H4447" i="2"/>
  <c r="J4447" i="2"/>
  <c r="K4447" i="2"/>
  <c r="L4447" i="2"/>
  <c r="C4448" i="2"/>
  <c r="D4448" i="2"/>
  <c r="F4448" i="2"/>
  <c r="G4448" i="2"/>
  <c r="H4448" i="2"/>
  <c r="J4448" i="2"/>
  <c r="K4448" i="2"/>
  <c r="L4448" i="2"/>
  <c r="C4449" i="2"/>
  <c r="D4449" i="2"/>
  <c r="F4449" i="2"/>
  <c r="G4449" i="2"/>
  <c r="H4449" i="2"/>
  <c r="J4449" i="2"/>
  <c r="K4449" i="2"/>
  <c r="L4449" i="2"/>
  <c r="C4450" i="2"/>
  <c r="D4450" i="2"/>
  <c r="F4450" i="2"/>
  <c r="G4450" i="2"/>
  <c r="H4450" i="2"/>
  <c r="J4450" i="2"/>
  <c r="K4450" i="2"/>
  <c r="L4450" i="2"/>
  <c r="C4451" i="2"/>
  <c r="D4451" i="2"/>
  <c r="F4451" i="2"/>
  <c r="G4451" i="2"/>
  <c r="H4451" i="2"/>
  <c r="J4451" i="2"/>
  <c r="K4451" i="2"/>
  <c r="L4451" i="2"/>
  <c r="C4452" i="2"/>
  <c r="D4452" i="2"/>
  <c r="F4452" i="2"/>
  <c r="G4452" i="2"/>
  <c r="H4452" i="2"/>
  <c r="J4452" i="2"/>
  <c r="K4452" i="2"/>
  <c r="L4452" i="2"/>
  <c r="C4453" i="2"/>
  <c r="D4453" i="2"/>
  <c r="F4453" i="2"/>
  <c r="G4453" i="2"/>
  <c r="H4453" i="2"/>
  <c r="J4453" i="2"/>
  <c r="K4453" i="2"/>
  <c r="L4453" i="2"/>
  <c r="C4454" i="2"/>
  <c r="D4454" i="2"/>
  <c r="F4454" i="2"/>
  <c r="G4454" i="2"/>
  <c r="H4454" i="2"/>
  <c r="J4454" i="2"/>
  <c r="K4454" i="2"/>
  <c r="L4454" i="2"/>
  <c r="C4455" i="2"/>
  <c r="D4455" i="2"/>
  <c r="F4455" i="2"/>
  <c r="G4455" i="2"/>
  <c r="H4455" i="2"/>
  <c r="J4455" i="2"/>
  <c r="K4455" i="2"/>
  <c r="L4455" i="2"/>
  <c r="C4456" i="2"/>
  <c r="D4456" i="2"/>
  <c r="F4456" i="2"/>
  <c r="G4456" i="2"/>
  <c r="H4456" i="2"/>
  <c r="J4456" i="2"/>
  <c r="K4456" i="2"/>
  <c r="L4456" i="2"/>
  <c r="C4457" i="2"/>
  <c r="D4457" i="2"/>
  <c r="F4457" i="2"/>
  <c r="G4457" i="2"/>
  <c r="H4457" i="2"/>
  <c r="J4457" i="2"/>
  <c r="K4457" i="2"/>
  <c r="L4457" i="2"/>
  <c r="C4458" i="2"/>
  <c r="D4458" i="2"/>
  <c r="F4458" i="2"/>
  <c r="G4458" i="2"/>
  <c r="H4458" i="2"/>
  <c r="J4458" i="2"/>
  <c r="K4458" i="2"/>
  <c r="L4458" i="2"/>
  <c r="C4459" i="2"/>
  <c r="D4459" i="2"/>
  <c r="F4459" i="2"/>
  <c r="G4459" i="2"/>
  <c r="H4459" i="2"/>
  <c r="J4459" i="2"/>
  <c r="K4459" i="2"/>
  <c r="L4459" i="2"/>
  <c r="C4460" i="2"/>
  <c r="D4460" i="2"/>
  <c r="F4460" i="2"/>
  <c r="G4460" i="2"/>
  <c r="H4460" i="2"/>
  <c r="J4460" i="2"/>
  <c r="K4460" i="2"/>
  <c r="L4460" i="2"/>
  <c r="C4461" i="2"/>
  <c r="D4461" i="2"/>
  <c r="F4461" i="2"/>
  <c r="G4461" i="2"/>
  <c r="H4461" i="2"/>
  <c r="J4461" i="2"/>
  <c r="K4461" i="2"/>
  <c r="L4461" i="2"/>
  <c r="C4462" i="2"/>
  <c r="D4462" i="2"/>
  <c r="F4462" i="2"/>
  <c r="G4462" i="2"/>
  <c r="H4462" i="2"/>
  <c r="J4462" i="2"/>
  <c r="K4462" i="2"/>
  <c r="L4462" i="2"/>
  <c r="C4463" i="2"/>
  <c r="D4463" i="2"/>
  <c r="F4463" i="2"/>
  <c r="G4463" i="2"/>
  <c r="H4463" i="2"/>
  <c r="J4463" i="2"/>
  <c r="K4463" i="2"/>
  <c r="L4463" i="2"/>
  <c r="C4464" i="2"/>
  <c r="D4464" i="2"/>
  <c r="F4464" i="2"/>
  <c r="G4464" i="2"/>
  <c r="H4464" i="2"/>
  <c r="J4464" i="2"/>
  <c r="K4464" i="2"/>
  <c r="L4464" i="2"/>
  <c r="C4465" i="2"/>
  <c r="D4465" i="2"/>
  <c r="F4465" i="2"/>
  <c r="G4465" i="2"/>
  <c r="H4465" i="2"/>
  <c r="J4465" i="2"/>
  <c r="K4465" i="2"/>
  <c r="L4465" i="2"/>
  <c r="C4466" i="2"/>
  <c r="D4466" i="2"/>
  <c r="F4466" i="2"/>
  <c r="G4466" i="2"/>
  <c r="H4466" i="2"/>
  <c r="J4466" i="2"/>
  <c r="K4466" i="2"/>
  <c r="L4466" i="2"/>
  <c r="C4467" i="2"/>
  <c r="D4467" i="2"/>
  <c r="F4467" i="2"/>
  <c r="G4467" i="2"/>
  <c r="H4467" i="2"/>
  <c r="J4467" i="2"/>
  <c r="K4467" i="2"/>
  <c r="L4467" i="2"/>
  <c r="C4468" i="2"/>
  <c r="D4468" i="2"/>
  <c r="F4468" i="2"/>
  <c r="G4468" i="2"/>
  <c r="H4468" i="2"/>
  <c r="J4468" i="2"/>
  <c r="K4468" i="2"/>
  <c r="L4468" i="2"/>
  <c r="C4469" i="2"/>
  <c r="D4469" i="2"/>
  <c r="F4469" i="2"/>
  <c r="G4469" i="2"/>
  <c r="H4469" i="2"/>
  <c r="J4469" i="2"/>
  <c r="K4469" i="2"/>
  <c r="L4469" i="2"/>
  <c r="C4470" i="2"/>
  <c r="D4470" i="2"/>
  <c r="F4470" i="2"/>
  <c r="G4470" i="2"/>
  <c r="H4470" i="2"/>
  <c r="J4470" i="2"/>
  <c r="K4470" i="2"/>
  <c r="L4470" i="2"/>
  <c r="C4471" i="2"/>
  <c r="D4471" i="2"/>
  <c r="F4471" i="2"/>
  <c r="G4471" i="2"/>
  <c r="H4471" i="2"/>
  <c r="J4471" i="2"/>
  <c r="K4471" i="2"/>
  <c r="L4471" i="2"/>
  <c r="C4472" i="2"/>
  <c r="D4472" i="2"/>
  <c r="F4472" i="2"/>
  <c r="G4472" i="2"/>
  <c r="H4472" i="2"/>
  <c r="J4472" i="2"/>
  <c r="K4472" i="2"/>
  <c r="L4472" i="2"/>
  <c r="C4473" i="2"/>
  <c r="D4473" i="2"/>
  <c r="F4473" i="2"/>
  <c r="G4473" i="2"/>
  <c r="H4473" i="2"/>
  <c r="J4473" i="2"/>
  <c r="K4473" i="2"/>
  <c r="L4473" i="2"/>
  <c r="C4474" i="2"/>
  <c r="D4474" i="2"/>
  <c r="F4474" i="2"/>
  <c r="G4474" i="2"/>
  <c r="H4474" i="2"/>
  <c r="J4474" i="2"/>
  <c r="K4474" i="2"/>
  <c r="L4474" i="2"/>
  <c r="C4475" i="2"/>
  <c r="D4475" i="2"/>
  <c r="F4475" i="2"/>
  <c r="G4475" i="2"/>
  <c r="H4475" i="2"/>
  <c r="J4475" i="2"/>
  <c r="K4475" i="2"/>
  <c r="L4475" i="2"/>
  <c r="C4476" i="2"/>
  <c r="D4476" i="2"/>
  <c r="F4476" i="2"/>
  <c r="G4476" i="2"/>
  <c r="H4476" i="2"/>
  <c r="J4476" i="2"/>
  <c r="K4476" i="2"/>
  <c r="L4476" i="2"/>
  <c r="C4477" i="2"/>
  <c r="D4477" i="2"/>
  <c r="F4477" i="2"/>
  <c r="G4477" i="2"/>
  <c r="H4477" i="2"/>
  <c r="J4477" i="2"/>
  <c r="K4477" i="2"/>
  <c r="L4477" i="2"/>
  <c r="C4478" i="2"/>
  <c r="D4478" i="2"/>
  <c r="F4478" i="2"/>
  <c r="G4478" i="2"/>
  <c r="H4478" i="2"/>
  <c r="J4478" i="2"/>
  <c r="K4478" i="2"/>
  <c r="L4478" i="2"/>
  <c r="C4479" i="2"/>
  <c r="D4479" i="2"/>
  <c r="F4479" i="2"/>
  <c r="G4479" i="2"/>
  <c r="H4479" i="2"/>
  <c r="J4479" i="2"/>
  <c r="K4479" i="2"/>
  <c r="L4479" i="2"/>
  <c r="C4480" i="2"/>
  <c r="D4480" i="2"/>
  <c r="F4480" i="2"/>
  <c r="G4480" i="2"/>
  <c r="H4480" i="2"/>
  <c r="J4480" i="2"/>
  <c r="K4480" i="2"/>
  <c r="L4480" i="2"/>
  <c r="C4481" i="2"/>
  <c r="D4481" i="2"/>
  <c r="F4481" i="2"/>
  <c r="G4481" i="2"/>
  <c r="H4481" i="2"/>
  <c r="J4481" i="2"/>
  <c r="K4481" i="2"/>
  <c r="L4481" i="2"/>
  <c r="C4482" i="2"/>
  <c r="D4482" i="2"/>
  <c r="F4482" i="2"/>
  <c r="G4482" i="2"/>
  <c r="H4482" i="2"/>
  <c r="J4482" i="2"/>
  <c r="K4482" i="2"/>
  <c r="L4482" i="2"/>
  <c r="C4483" i="2"/>
  <c r="D4483" i="2"/>
  <c r="F4483" i="2"/>
  <c r="G4483" i="2"/>
  <c r="H4483" i="2"/>
  <c r="J4483" i="2"/>
  <c r="K4483" i="2"/>
  <c r="L4483" i="2"/>
  <c r="C4484" i="2"/>
  <c r="D4484" i="2"/>
  <c r="F4484" i="2"/>
  <c r="G4484" i="2"/>
  <c r="H4484" i="2"/>
  <c r="J4484" i="2"/>
  <c r="K4484" i="2"/>
  <c r="L4484" i="2"/>
  <c r="C4485" i="2"/>
  <c r="D4485" i="2"/>
  <c r="F4485" i="2"/>
  <c r="G4485" i="2"/>
  <c r="H4485" i="2"/>
  <c r="J4485" i="2"/>
  <c r="K4485" i="2"/>
  <c r="L4485" i="2"/>
  <c r="C4486" i="2"/>
  <c r="D4486" i="2"/>
  <c r="F4486" i="2"/>
  <c r="G4486" i="2"/>
  <c r="H4486" i="2"/>
  <c r="J4486" i="2"/>
  <c r="K4486" i="2"/>
  <c r="L4486" i="2"/>
  <c r="C4487" i="2"/>
  <c r="D4487" i="2"/>
  <c r="F4487" i="2"/>
  <c r="G4487" i="2"/>
  <c r="H4487" i="2"/>
  <c r="J4487" i="2"/>
  <c r="K4487" i="2"/>
  <c r="L4487" i="2"/>
  <c r="C4488" i="2"/>
  <c r="D4488" i="2"/>
  <c r="F4488" i="2"/>
  <c r="G4488" i="2"/>
  <c r="H4488" i="2"/>
  <c r="J4488" i="2"/>
  <c r="K4488" i="2"/>
  <c r="L4488" i="2"/>
  <c r="C4489" i="2"/>
  <c r="D4489" i="2"/>
  <c r="F4489" i="2"/>
  <c r="G4489" i="2"/>
  <c r="H4489" i="2"/>
  <c r="J4489" i="2"/>
  <c r="K4489" i="2"/>
  <c r="L4489" i="2"/>
  <c r="C4490" i="2"/>
  <c r="D4490" i="2"/>
  <c r="F4490" i="2"/>
  <c r="G4490" i="2"/>
  <c r="H4490" i="2"/>
  <c r="J4490" i="2"/>
  <c r="K4490" i="2"/>
  <c r="L4490" i="2"/>
  <c r="C4491" i="2"/>
  <c r="D4491" i="2"/>
  <c r="F4491" i="2"/>
  <c r="G4491" i="2"/>
  <c r="H4491" i="2"/>
  <c r="J4491" i="2"/>
  <c r="K4491" i="2"/>
  <c r="L4491" i="2"/>
  <c r="C4492" i="2"/>
  <c r="D4492" i="2"/>
  <c r="F4492" i="2"/>
  <c r="G4492" i="2"/>
  <c r="H4492" i="2"/>
  <c r="J4492" i="2"/>
  <c r="K4492" i="2"/>
  <c r="L4492" i="2"/>
  <c r="C4493" i="2"/>
  <c r="D4493" i="2"/>
  <c r="F4493" i="2"/>
  <c r="G4493" i="2"/>
  <c r="H4493" i="2"/>
  <c r="J4493" i="2"/>
  <c r="K4493" i="2"/>
  <c r="L4493" i="2"/>
  <c r="C4494" i="2"/>
  <c r="D4494" i="2"/>
  <c r="F4494" i="2"/>
  <c r="G4494" i="2"/>
  <c r="H4494" i="2"/>
  <c r="J4494" i="2"/>
  <c r="K4494" i="2"/>
  <c r="L4494" i="2"/>
  <c r="C4495" i="2"/>
  <c r="D4495" i="2"/>
  <c r="F4495" i="2"/>
  <c r="G4495" i="2"/>
  <c r="H4495" i="2"/>
  <c r="J4495" i="2"/>
  <c r="K4495" i="2"/>
  <c r="L4495" i="2"/>
  <c r="C4496" i="2"/>
  <c r="D4496" i="2"/>
  <c r="F4496" i="2"/>
  <c r="G4496" i="2"/>
  <c r="H4496" i="2"/>
  <c r="J4496" i="2"/>
  <c r="K4496" i="2"/>
  <c r="L4496" i="2"/>
  <c r="C4497" i="2"/>
  <c r="D4497" i="2"/>
  <c r="F4497" i="2"/>
  <c r="G4497" i="2"/>
  <c r="H4497" i="2"/>
  <c r="J4497" i="2"/>
  <c r="K4497" i="2"/>
  <c r="L4497" i="2"/>
  <c r="C4498" i="2"/>
  <c r="D4498" i="2"/>
  <c r="F4498" i="2"/>
  <c r="G4498" i="2"/>
  <c r="H4498" i="2"/>
  <c r="J4498" i="2"/>
  <c r="K4498" i="2"/>
  <c r="L4498" i="2"/>
  <c r="C4499" i="2"/>
  <c r="D4499" i="2"/>
  <c r="F4499" i="2"/>
  <c r="G4499" i="2"/>
  <c r="H4499" i="2"/>
  <c r="J4499" i="2"/>
  <c r="K4499" i="2"/>
  <c r="L4499" i="2"/>
  <c r="C4500" i="2"/>
  <c r="D4500" i="2"/>
  <c r="F4500" i="2"/>
  <c r="G4500" i="2"/>
  <c r="H4500" i="2"/>
  <c r="J4500" i="2"/>
  <c r="K4500" i="2"/>
  <c r="L4500" i="2"/>
  <c r="C4501" i="2"/>
  <c r="D4501" i="2"/>
  <c r="F4501" i="2"/>
  <c r="G4501" i="2"/>
  <c r="H4501" i="2"/>
  <c r="J4501" i="2"/>
  <c r="K4501" i="2"/>
  <c r="L4501" i="2"/>
  <c r="C4502" i="2"/>
  <c r="D4502" i="2"/>
  <c r="F4502" i="2"/>
  <c r="G4502" i="2"/>
  <c r="H4502" i="2"/>
  <c r="J4502" i="2"/>
  <c r="K4502" i="2"/>
  <c r="L4502" i="2"/>
  <c r="C4503" i="2"/>
  <c r="D4503" i="2"/>
  <c r="F4503" i="2"/>
  <c r="G4503" i="2"/>
  <c r="H4503" i="2"/>
  <c r="J4503" i="2"/>
  <c r="K4503" i="2"/>
  <c r="L4503" i="2"/>
  <c r="C4504" i="2"/>
  <c r="D4504" i="2"/>
  <c r="F4504" i="2"/>
  <c r="G4504" i="2"/>
  <c r="H4504" i="2"/>
  <c r="J4504" i="2"/>
  <c r="K4504" i="2"/>
  <c r="L4504" i="2"/>
  <c r="C4505" i="2"/>
  <c r="D4505" i="2"/>
  <c r="F4505" i="2"/>
  <c r="G4505" i="2"/>
  <c r="H4505" i="2"/>
  <c r="J4505" i="2"/>
  <c r="K4505" i="2"/>
  <c r="L4505" i="2"/>
  <c r="C4506" i="2"/>
  <c r="D4506" i="2"/>
  <c r="F4506" i="2"/>
  <c r="G4506" i="2"/>
  <c r="H4506" i="2"/>
  <c r="J4506" i="2"/>
  <c r="K4506" i="2"/>
  <c r="L4506" i="2"/>
  <c r="C4507" i="2"/>
  <c r="D4507" i="2"/>
  <c r="F4507" i="2"/>
  <c r="G4507" i="2"/>
  <c r="H4507" i="2"/>
  <c r="J4507" i="2"/>
  <c r="K4507" i="2"/>
  <c r="L4507" i="2"/>
  <c r="C4508" i="2"/>
  <c r="D4508" i="2"/>
  <c r="F4508" i="2"/>
  <c r="G4508" i="2"/>
  <c r="H4508" i="2"/>
  <c r="J4508" i="2"/>
  <c r="K4508" i="2"/>
  <c r="L4508" i="2"/>
  <c r="C4509" i="2"/>
  <c r="D4509" i="2"/>
  <c r="F4509" i="2"/>
  <c r="G4509" i="2"/>
  <c r="H4509" i="2"/>
  <c r="J4509" i="2"/>
  <c r="K4509" i="2"/>
  <c r="L4509" i="2"/>
  <c r="C4510" i="2"/>
  <c r="D4510" i="2"/>
  <c r="F4510" i="2"/>
  <c r="G4510" i="2"/>
  <c r="H4510" i="2"/>
  <c r="J4510" i="2"/>
  <c r="K4510" i="2"/>
  <c r="L4510" i="2"/>
  <c r="C4511" i="2"/>
  <c r="D4511" i="2"/>
  <c r="F4511" i="2"/>
  <c r="G4511" i="2"/>
  <c r="H4511" i="2"/>
  <c r="J4511" i="2"/>
  <c r="K4511" i="2"/>
  <c r="L4511" i="2"/>
  <c r="C4512" i="2"/>
  <c r="D4512" i="2"/>
  <c r="F4512" i="2"/>
  <c r="G4512" i="2"/>
  <c r="H4512" i="2"/>
  <c r="J4512" i="2"/>
  <c r="K4512" i="2"/>
  <c r="L4512" i="2"/>
  <c r="C4513" i="2"/>
  <c r="D4513" i="2"/>
  <c r="F4513" i="2"/>
  <c r="G4513" i="2"/>
  <c r="H4513" i="2"/>
  <c r="J4513" i="2"/>
  <c r="K4513" i="2"/>
  <c r="L4513" i="2"/>
  <c r="C4514" i="2"/>
  <c r="D4514" i="2"/>
  <c r="F4514" i="2"/>
  <c r="G4514" i="2"/>
  <c r="H4514" i="2"/>
  <c r="J4514" i="2"/>
  <c r="K4514" i="2"/>
  <c r="L4514" i="2"/>
  <c r="C4515" i="2"/>
  <c r="D4515" i="2"/>
  <c r="F4515" i="2"/>
  <c r="G4515" i="2"/>
  <c r="H4515" i="2"/>
  <c r="J4515" i="2"/>
  <c r="K4515" i="2"/>
  <c r="L4515" i="2"/>
  <c r="C4516" i="2"/>
  <c r="D4516" i="2"/>
  <c r="F4516" i="2"/>
  <c r="G4516" i="2"/>
  <c r="H4516" i="2"/>
  <c r="J4516" i="2"/>
  <c r="K4516" i="2"/>
  <c r="L4516" i="2"/>
  <c r="C4517" i="2"/>
  <c r="D4517" i="2"/>
  <c r="F4517" i="2"/>
  <c r="G4517" i="2"/>
  <c r="H4517" i="2"/>
  <c r="J4517" i="2"/>
  <c r="K4517" i="2"/>
  <c r="L4517" i="2"/>
  <c r="C4518" i="2"/>
  <c r="D4518" i="2"/>
  <c r="F4518" i="2"/>
  <c r="G4518" i="2"/>
  <c r="H4518" i="2"/>
  <c r="J4518" i="2"/>
  <c r="K4518" i="2"/>
  <c r="L4518" i="2"/>
  <c r="C4519" i="2"/>
  <c r="D4519" i="2"/>
  <c r="F4519" i="2"/>
  <c r="G4519" i="2"/>
  <c r="H4519" i="2"/>
  <c r="J4519" i="2"/>
  <c r="K4519" i="2"/>
  <c r="L4519" i="2"/>
  <c r="C4520" i="2"/>
  <c r="D4520" i="2"/>
  <c r="F4520" i="2"/>
  <c r="G4520" i="2"/>
  <c r="H4520" i="2"/>
  <c r="J4520" i="2"/>
  <c r="K4520" i="2"/>
  <c r="L4520" i="2"/>
  <c r="C4521" i="2"/>
  <c r="D4521" i="2"/>
  <c r="F4521" i="2"/>
  <c r="G4521" i="2"/>
  <c r="H4521" i="2"/>
  <c r="J4521" i="2"/>
  <c r="K4521" i="2"/>
  <c r="L4521" i="2"/>
  <c r="C4522" i="2"/>
  <c r="D4522" i="2"/>
  <c r="F4522" i="2"/>
  <c r="G4522" i="2"/>
  <c r="H4522" i="2"/>
  <c r="J4522" i="2"/>
  <c r="K4522" i="2"/>
  <c r="L4522" i="2"/>
  <c r="C4523" i="2"/>
  <c r="D4523" i="2"/>
  <c r="F4523" i="2"/>
  <c r="G4523" i="2"/>
  <c r="H4523" i="2"/>
  <c r="J4523" i="2"/>
  <c r="K4523" i="2"/>
  <c r="L4523" i="2"/>
  <c r="C4524" i="2"/>
  <c r="D4524" i="2"/>
  <c r="F4524" i="2"/>
  <c r="G4524" i="2"/>
  <c r="H4524" i="2"/>
  <c r="J4524" i="2"/>
  <c r="K4524" i="2"/>
  <c r="L4524" i="2"/>
  <c r="C4525" i="2"/>
  <c r="D4525" i="2"/>
  <c r="F4525" i="2"/>
  <c r="G4525" i="2"/>
  <c r="H4525" i="2"/>
  <c r="J4525" i="2"/>
  <c r="K4525" i="2"/>
  <c r="L4525" i="2"/>
  <c r="C4526" i="2"/>
  <c r="D4526" i="2"/>
  <c r="F4526" i="2"/>
  <c r="G4526" i="2"/>
  <c r="H4526" i="2"/>
  <c r="J4526" i="2"/>
  <c r="K4526" i="2"/>
  <c r="L4526" i="2"/>
  <c r="C4527" i="2"/>
  <c r="D4527" i="2"/>
  <c r="F4527" i="2"/>
  <c r="G4527" i="2"/>
  <c r="H4527" i="2"/>
  <c r="J4527" i="2"/>
  <c r="K4527" i="2"/>
  <c r="L4527" i="2"/>
  <c r="C4528" i="2"/>
  <c r="D4528" i="2"/>
  <c r="F4528" i="2"/>
  <c r="G4528" i="2"/>
  <c r="H4528" i="2"/>
  <c r="J4528" i="2"/>
  <c r="K4528" i="2"/>
  <c r="L4528" i="2"/>
  <c r="C4529" i="2"/>
  <c r="D4529" i="2"/>
  <c r="F4529" i="2"/>
  <c r="G4529" i="2"/>
  <c r="H4529" i="2"/>
  <c r="J4529" i="2"/>
  <c r="K4529" i="2"/>
  <c r="L4529" i="2"/>
  <c r="C4530" i="2"/>
  <c r="D4530" i="2"/>
  <c r="F4530" i="2"/>
  <c r="G4530" i="2"/>
  <c r="H4530" i="2"/>
  <c r="J4530" i="2"/>
  <c r="K4530" i="2"/>
  <c r="L4530" i="2"/>
  <c r="C4531" i="2"/>
  <c r="D4531" i="2"/>
  <c r="F4531" i="2"/>
  <c r="G4531" i="2"/>
  <c r="H4531" i="2"/>
  <c r="J4531" i="2"/>
  <c r="K4531" i="2"/>
  <c r="L4531" i="2"/>
  <c r="C4532" i="2"/>
  <c r="D4532" i="2"/>
  <c r="F4532" i="2"/>
  <c r="G4532" i="2"/>
  <c r="H4532" i="2"/>
  <c r="J4532" i="2"/>
  <c r="K4532" i="2"/>
  <c r="L4532" i="2"/>
  <c r="C4533" i="2"/>
  <c r="D4533" i="2"/>
  <c r="F4533" i="2"/>
  <c r="G4533" i="2"/>
  <c r="H4533" i="2"/>
  <c r="J4533" i="2"/>
  <c r="K4533" i="2"/>
  <c r="L4533" i="2"/>
  <c r="C4534" i="2"/>
  <c r="D4534" i="2"/>
  <c r="F4534" i="2"/>
  <c r="G4534" i="2"/>
  <c r="H4534" i="2"/>
  <c r="J4534" i="2"/>
  <c r="K4534" i="2"/>
  <c r="L4534" i="2"/>
  <c r="C4535" i="2"/>
  <c r="D4535" i="2"/>
  <c r="F4535" i="2"/>
  <c r="G4535" i="2"/>
  <c r="H4535" i="2"/>
  <c r="J4535" i="2"/>
  <c r="K4535" i="2"/>
  <c r="L4535" i="2"/>
  <c r="C4536" i="2"/>
  <c r="D4536" i="2"/>
  <c r="F4536" i="2"/>
  <c r="G4536" i="2"/>
  <c r="H4536" i="2"/>
  <c r="J4536" i="2"/>
  <c r="K4536" i="2"/>
  <c r="L4536" i="2"/>
  <c r="C4537" i="2"/>
  <c r="D4537" i="2"/>
  <c r="F4537" i="2"/>
  <c r="G4537" i="2"/>
  <c r="H4537" i="2"/>
  <c r="J4537" i="2"/>
  <c r="K4537" i="2"/>
  <c r="L4537" i="2"/>
  <c r="C4538" i="2"/>
  <c r="D4538" i="2"/>
  <c r="F4538" i="2"/>
  <c r="G4538" i="2"/>
  <c r="H4538" i="2"/>
  <c r="J4538" i="2"/>
  <c r="K4538" i="2"/>
  <c r="L4538" i="2"/>
  <c r="C4539" i="2"/>
  <c r="D4539" i="2"/>
  <c r="F4539" i="2"/>
  <c r="G4539" i="2"/>
  <c r="H4539" i="2"/>
  <c r="J4539" i="2"/>
  <c r="K4539" i="2"/>
  <c r="L4539" i="2"/>
  <c r="C4540" i="2"/>
  <c r="D4540" i="2"/>
  <c r="F4540" i="2"/>
  <c r="G4540" i="2"/>
  <c r="H4540" i="2"/>
  <c r="J4540" i="2"/>
  <c r="K4540" i="2"/>
  <c r="L4540" i="2"/>
  <c r="C4541" i="2"/>
  <c r="D4541" i="2"/>
  <c r="F4541" i="2"/>
  <c r="G4541" i="2"/>
  <c r="H4541" i="2"/>
  <c r="J4541" i="2"/>
  <c r="K4541" i="2"/>
  <c r="L4541" i="2"/>
  <c r="C4542" i="2"/>
  <c r="D4542" i="2"/>
  <c r="F4542" i="2"/>
  <c r="G4542" i="2"/>
  <c r="H4542" i="2"/>
  <c r="J4542" i="2"/>
  <c r="K4542" i="2"/>
  <c r="L4542" i="2"/>
  <c r="C4543" i="2"/>
  <c r="D4543" i="2"/>
  <c r="F4543" i="2"/>
  <c r="G4543" i="2"/>
  <c r="H4543" i="2"/>
  <c r="J4543" i="2"/>
  <c r="K4543" i="2"/>
  <c r="L4543" i="2"/>
  <c r="C4544" i="2"/>
  <c r="D4544" i="2"/>
  <c r="F4544" i="2"/>
  <c r="G4544" i="2"/>
  <c r="H4544" i="2"/>
  <c r="J4544" i="2"/>
  <c r="K4544" i="2"/>
  <c r="L4544" i="2"/>
  <c r="C4545" i="2"/>
  <c r="D4545" i="2"/>
  <c r="F4545" i="2"/>
  <c r="G4545" i="2"/>
  <c r="H4545" i="2"/>
  <c r="J4545" i="2"/>
  <c r="K4545" i="2"/>
  <c r="L4545" i="2"/>
  <c r="C4546" i="2"/>
  <c r="D4546" i="2"/>
  <c r="F4546" i="2"/>
  <c r="G4546" i="2"/>
  <c r="H4546" i="2"/>
  <c r="J4546" i="2"/>
  <c r="K4546" i="2"/>
  <c r="L4546" i="2"/>
  <c r="C4547" i="2"/>
  <c r="D4547" i="2"/>
  <c r="F4547" i="2"/>
  <c r="G4547" i="2"/>
  <c r="H4547" i="2"/>
  <c r="J4547" i="2"/>
  <c r="K4547" i="2"/>
  <c r="L4547" i="2"/>
  <c r="C4548" i="2"/>
  <c r="D4548" i="2"/>
  <c r="F4548" i="2"/>
  <c r="G4548" i="2"/>
  <c r="H4548" i="2"/>
  <c r="J4548" i="2"/>
  <c r="K4548" i="2"/>
  <c r="L4548" i="2"/>
  <c r="C4549" i="2"/>
  <c r="D4549" i="2"/>
  <c r="F4549" i="2"/>
  <c r="G4549" i="2"/>
  <c r="H4549" i="2"/>
  <c r="J4549" i="2"/>
  <c r="K4549" i="2"/>
  <c r="L4549" i="2"/>
  <c r="C4550" i="2"/>
  <c r="D4550" i="2"/>
  <c r="F4550" i="2"/>
  <c r="G4550" i="2"/>
  <c r="H4550" i="2"/>
  <c r="J4550" i="2"/>
  <c r="K4550" i="2"/>
  <c r="L4550" i="2"/>
  <c r="C4551" i="2"/>
  <c r="D4551" i="2"/>
  <c r="F4551" i="2"/>
  <c r="G4551" i="2"/>
  <c r="H4551" i="2"/>
  <c r="J4551" i="2"/>
  <c r="K4551" i="2"/>
  <c r="L4551" i="2"/>
  <c r="C4552" i="2"/>
  <c r="D4552" i="2"/>
  <c r="F4552" i="2"/>
  <c r="G4552" i="2"/>
  <c r="H4552" i="2"/>
  <c r="J4552" i="2"/>
  <c r="K4552" i="2"/>
  <c r="L4552" i="2"/>
  <c r="C4553" i="2"/>
  <c r="D4553" i="2"/>
  <c r="F4553" i="2"/>
  <c r="G4553" i="2"/>
  <c r="H4553" i="2"/>
  <c r="J4553" i="2"/>
  <c r="K4553" i="2"/>
  <c r="L4553" i="2"/>
  <c r="C4554" i="2"/>
  <c r="D4554" i="2"/>
  <c r="F4554" i="2"/>
  <c r="G4554" i="2"/>
  <c r="H4554" i="2"/>
  <c r="J4554" i="2"/>
  <c r="K4554" i="2"/>
  <c r="L4554" i="2"/>
  <c r="C4555" i="2"/>
  <c r="D4555" i="2"/>
  <c r="F4555" i="2"/>
  <c r="G4555" i="2"/>
  <c r="H4555" i="2"/>
  <c r="J4555" i="2"/>
  <c r="K4555" i="2"/>
  <c r="L4555" i="2"/>
  <c r="C4556" i="2"/>
  <c r="D4556" i="2"/>
  <c r="F4556" i="2"/>
  <c r="G4556" i="2"/>
  <c r="H4556" i="2"/>
  <c r="J4556" i="2"/>
  <c r="K4556" i="2"/>
  <c r="L4556" i="2"/>
  <c r="C4557" i="2"/>
  <c r="D4557" i="2"/>
  <c r="F4557" i="2"/>
  <c r="G4557" i="2"/>
  <c r="H4557" i="2"/>
  <c r="J4557" i="2"/>
  <c r="K4557" i="2"/>
  <c r="L4557" i="2"/>
  <c r="C4558" i="2"/>
  <c r="D4558" i="2"/>
  <c r="F4558" i="2"/>
  <c r="G4558" i="2"/>
  <c r="H4558" i="2"/>
  <c r="J4558" i="2"/>
  <c r="K4558" i="2"/>
  <c r="L4558" i="2"/>
  <c r="C4559" i="2"/>
  <c r="D4559" i="2"/>
  <c r="F4559" i="2"/>
  <c r="G4559" i="2"/>
  <c r="H4559" i="2"/>
  <c r="J4559" i="2"/>
  <c r="K4559" i="2"/>
  <c r="L4559" i="2"/>
  <c r="C4560" i="2"/>
  <c r="D4560" i="2"/>
  <c r="F4560" i="2"/>
  <c r="G4560" i="2"/>
  <c r="H4560" i="2"/>
  <c r="J4560" i="2"/>
  <c r="K4560" i="2"/>
  <c r="L4560" i="2"/>
  <c r="C4561" i="2"/>
  <c r="D4561" i="2"/>
  <c r="F4561" i="2"/>
  <c r="G4561" i="2"/>
  <c r="H4561" i="2"/>
  <c r="J4561" i="2"/>
  <c r="K4561" i="2"/>
  <c r="L4561" i="2"/>
  <c r="C4562" i="2"/>
  <c r="D4562" i="2"/>
  <c r="F4562" i="2"/>
  <c r="G4562" i="2"/>
  <c r="H4562" i="2"/>
  <c r="J4562" i="2"/>
  <c r="K4562" i="2"/>
  <c r="L4562" i="2"/>
  <c r="C4563" i="2"/>
  <c r="D4563" i="2"/>
  <c r="F4563" i="2"/>
  <c r="G4563" i="2"/>
  <c r="H4563" i="2"/>
  <c r="J4563" i="2"/>
  <c r="K4563" i="2"/>
  <c r="L4563" i="2"/>
  <c r="C4564" i="2"/>
  <c r="D4564" i="2"/>
  <c r="F4564" i="2"/>
  <c r="G4564" i="2"/>
  <c r="H4564" i="2"/>
  <c r="J4564" i="2"/>
  <c r="K4564" i="2"/>
  <c r="L4564" i="2"/>
  <c r="C4565" i="2"/>
  <c r="D4565" i="2"/>
  <c r="F4565" i="2"/>
  <c r="G4565" i="2"/>
  <c r="H4565" i="2"/>
  <c r="J4565" i="2"/>
  <c r="K4565" i="2"/>
  <c r="L4565" i="2"/>
  <c r="C4566" i="2"/>
  <c r="D4566" i="2"/>
  <c r="F4566" i="2"/>
  <c r="G4566" i="2"/>
  <c r="H4566" i="2"/>
  <c r="J4566" i="2"/>
  <c r="K4566" i="2"/>
  <c r="L4566" i="2"/>
  <c r="C4567" i="2"/>
  <c r="D4567" i="2"/>
  <c r="F4567" i="2"/>
  <c r="G4567" i="2"/>
  <c r="H4567" i="2"/>
  <c r="J4567" i="2"/>
  <c r="K4567" i="2"/>
  <c r="L4567" i="2"/>
  <c r="C4568" i="2"/>
  <c r="D4568" i="2"/>
  <c r="F4568" i="2"/>
  <c r="G4568" i="2"/>
  <c r="H4568" i="2"/>
  <c r="J4568" i="2"/>
  <c r="K4568" i="2"/>
  <c r="L4568" i="2"/>
  <c r="C4569" i="2"/>
  <c r="D4569" i="2"/>
  <c r="F4569" i="2"/>
  <c r="G4569" i="2"/>
  <c r="H4569" i="2"/>
  <c r="J4569" i="2"/>
  <c r="K4569" i="2"/>
  <c r="L4569" i="2"/>
  <c r="C4570" i="2"/>
  <c r="D4570" i="2"/>
  <c r="F4570" i="2"/>
  <c r="G4570" i="2"/>
  <c r="H4570" i="2"/>
  <c r="J4570" i="2"/>
  <c r="K4570" i="2"/>
  <c r="L4570" i="2"/>
  <c r="C4571" i="2"/>
  <c r="D4571" i="2"/>
  <c r="F4571" i="2"/>
  <c r="G4571" i="2"/>
  <c r="H4571" i="2"/>
  <c r="J4571" i="2"/>
  <c r="K4571" i="2"/>
  <c r="L4571" i="2"/>
  <c r="C4572" i="2"/>
  <c r="D4572" i="2"/>
  <c r="F4572" i="2"/>
  <c r="G4572" i="2"/>
  <c r="H4572" i="2"/>
  <c r="J4572" i="2"/>
  <c r="K4572" i="2"/>
  <c r="L4572" i="2"/>
  <c r="C4573" i="2"/>
  <c r="D4573" i="2"/>
  <c r="F4573" i="2"/>
  <c r="G4573" i="2"/>
  <c r="H4573" i="2"/>
  <c r="J4573" i="2"/>
  <c r="K4573" i="2"/>
  <c r="L4573" i="2"/>
  <c r="C4574" i="2"/>
  <c r="D4574" i="2"/>
  <c r="F4574" i="2"/>
  <c r="G4574" i="2"/>
  <c r="H4574" i="2"/>
  <c r="J4574" i="2"/>
  <c r="K4574" i="2"/>
  <c r="L4574" i="2"/>
  <c r="C4575" i="2"/>
  <c r="D4575" i="2"/>
  <c r="F4575" i="2"/>
  <c r="G4575" i="2"/>
  <c r="H4575" i="2"/>
  <c r="J4575" i="2"/>
  <c r="K4575" i="2"/>
  <c r="L4575" i="2"/>
  <c r="C4576" i="2"/>
  <c r="D4576" i="2"/>
  <c r="F4576" i="2"/>
  <c r="G4576" i="2"/>
  <c r="H4576" i="2"/>
  <c r="J4576" i="2"/>
  <c r="K4576" i="2"/>
  <c r="L4576" i="2"/>
  <c r="C4577" i="2"/>
  <c r="D4577" i="2"/>
  <c r="F4577" i="2"/>
  <c r="G4577" i="2"/>
  <c r="H4577" i="2"/>
  <c r="J4577" i="2"/>
  <c r="K4577" i="2"/>
  <c r="L4577" i="2"/>
  <c r="C4578" i="2"/>
  <c r="D4578" i="2"/>
  <c r="F4578" i="2"/>
  <c r="G4578" i="2"/>
  <c r="H4578" i="2"/>
  <c r="J4578" i="2"/>
  <c r="K4578" i="2"/>
  <c r="L4578" i="2"/>
  <c r="C4579" i="2"/>
  <c r="D4579" i="2"/>
  <c r="F4579" i="2"/>
  <c r="G4579" i="2"/>
  <c r="H4579" i="2"/>
  <c r="J4579" i="2"/>
  <c r="K4579" i="2"/>
  <c r="L4579" i="2"/>
  <c r="C4580" i="2"/>
  <c r="D4580" i="2"/>
  <c r="F4580" i="2"/>
  <c r="G4580" i="2"/>
  <c r="H4580" i="2"/>
  <c r="J4580" i="2"/>
  <c r="K4580" i="2"/>
  <c r="L4580" i="2"/>
  <c r="C4581" i="2"/>
  <c r="D4581" i="2"/>
  <c r="F4581" i="2"/>
  <c r="G4581" i="2"/>
  <c r="H4581" i="2"/>
  <c r="J4581" i="2"/>
  <c r="K4581" i="2"/>
  <c r="L4581" i="2"/>
  <c r="C4582" i="2"/>
  <c r="D4582" i="2"/>
  <c r="F4582" i="2"/>
  <c r="G4582" i="2"/>
  <c r="H4582" i="2"/>
  <c r="J4582" i="2"/>
  <c r="K4582" i="2"/>
  <c r="L4582" i="2"/>
  <c r="C4583" i="2"/>
  <c r="D4583" i="2"/>
  <c r="F4583" i="2"/>
  <c r="G4583" i="2"/>
  <c r="H4583" i="2"/>
  <c r="J4583" i="2"/>
  <c r="K4583" i="2"/>
  <c r="L4583" i="2"/>
  <c r="C4584" i="2"/>
  <c r="D4584" i="2"/>
  <c r="F4584" i="2"/>
  <c r="G4584" i="2"/>
  <c r="H4584" i="2"/>
  <c r="J4584" i="2"/>
  <c r="K4584" i="2"/>
  <c r="L4584" i="2"/>
  <c r="C4585" i="2"/>
  <c r="D4585" i="2"/>
  <c r="F4585" i="2"/>
  <c r="G4585" i="2"/>
  <c r="H4585" i="2"/>
  <c r="J4585" i="2"/>
  <c r="K4585" i="2"/>
  <c r="L4585" i="2"/>
  <c r="C4586" i="2"/>
  <c r="D4586" i="2"/>
  <c r="F4586" i="2"/>
  <c r="G4586" i="2"/>
  <c r="H4586" i="2"/>
  <c r="J4586" i="2"/>
  <c r="K4586" i="2"/>
  <c r="L4586" i="2"/>
  <c r="C4587" i="2"/>
  <c r="D4587" i="2"/>
  <c r="F4587" i="2"/>
  <c r="G4587" i="2"/>
  <c r="H4587" i="2"/>
  <c r="J4587" i="2"/>
  <c r="K4587" i="2"/>
  <c r="L4587" i="2"/>
  <c r="C4588" i="2"/>
  <c r="D4588" i="2"/>
  <c r="F4588" i="2"/>
  <c r="G4588" i="2"/>
  <c r="H4588" i="2"/>
  <c r="J4588" i="2"/>
  <c r="K4588" i="2"/>
  <c r="L4588" i="2"/>
  <c r="C4589" i="2"/>
  <c r="D4589" i="2"/>
  <c r="F4589" i="2"/>
  <c r="G4589" i="2"/>
  <c r="H4589" i="2"/>
  <c r="J4589" i="2"/>
  <c r="K4589" i="2"/>
  <c r="L4589" i="2"/>
  <c r="C4590" i="2"/>
  <c r="D4590" i="2"/>
  <c r="F4590" i="2"/>
  <c r="G4590" i="2"/>
  <c r="H4590" i="2"/>
  <c r="J4590" i="2"/>
  <c r="K4590" i="2"/>
  <c r="L4590" i="2"/>
  <c r="C4591" i="2"/>
  <c r="D4591" i="2"/>
  <c r="F4591" i="2"/>
  <c r="G4591" i="2"/>
  <c r="H4591" i="2"/>
  <c r="J4591" i="2"/>
  <c r="K4591" i="2"/>
  <c r="L4591" i="2"/>
  <c r="C4592" i="2"/>
  <c r="D4592" i="2"/>
  <c r="F4592" i="2"/>
  <c r="G4592" i="2"/>
  <c r="H4592" i="2"/>
  <c r="J4592" i="2"/>
  <c r="K4592" i="2"/>
  <c r="L4592" i="2"/>
  <c r="C4593" i="2"/>
  <c r="D4593" i="2"/>
  <c r="F4593" i="2"/>
  <c r="G4593" i="2"/>
  <c r="H4593" i="2"/>
  <c r="J4593" i="2"/>
  <c r="K4593" i="2"/>
  <c r="L4593" i="2"/>
  <c r="C4594" i="2"/>
  <c r="D4594" i="2"/>
  <c r="F4594" i="2"/>
  <c r="G4594" i="2"/>
  <c r="H4594" i="2"/>
  <c r="J4594" i="2"/>
  <c r="K4594" i="2"/>
  <c r="L4594" i="2"/>
  <c r="C4595" i="2"/>
  <c r="D4595" i="2"/>
  <c r="F4595" i="2"/>
  <c r="G4595" i="2"/>
  <c r="H4595" i="2"/>
  <c r="J4595" i="2"/>
  <c r="K4595" i="2"/>
  <c r="L4595" i="2"/>
  <c r="C4596" i="2"/>
  <c r="D4596" i="2"/>
  <c r="F4596" i="2"/>
  <c r="G4596" i="2"/>
  <c r="H4596" i="2"/>
  <c r="J4596" i="2"/>
  <c r="K4596" i="2"/>
  <c r="L4596" i="2"/>
  <c r="C4597" i="2"/>
  <c r="D4597" i="2"/>
  <c r="F4597" i="2"/>
  <c r="G4597" i="2"/>
  <c r="H4597" i="2"/>
  <c r="J4597" i="2"/>
  <c r="K4597" i="2"/>
  <c r="L4597" i="2"/>
  <c r="C4598" i="2"/>
  <c r="D4598" i="2"/>
  <c r="F4598" i="2"/>
  <c r="G4598" i="2"/>
  <c r="H4598" i="2"/>
  <c r="J4598" i="2"/>
  <c r="K4598" i="2"/>
  <c r="L4598" i="2"/>
  <c r="C4599" i="2"/>
  <c r="D4599" i="2"/>
  <c r="F4599" i="2"/>
  <c r="G4599" i="2"/>
  <c r="H4599" i="2"/>
  <c r="J4599" i="2"/>
  <c r="K4599" i="2"/>
  <c r="L4599" i="2"/>
  <c r="C4600" i="2"/>
  <c r="D4600" i="2"/>
  <c r="F4600" i="2"/>
  <c r="G4600" i="2"/>
  <c r="H4600" i="2"/>
  <c r="J4600" i="2"/>
  <c r="K4600" i="2"/>
  <c r="L4600" i="2"/>
  <c r="C4601" i="2"/>
  <c r="D4601" i="2"/>
  <c r="F4601" i="2"/>
  <c r="G4601" i="2"/>
  <c r="H4601" i="2"/>
  <c r="J4601" i="2"/>
  <c r="K4601" i="2"/>
  <c r="L4601" i="2"/>
  <c r="C4602" i="2"/>
  <c r="D4602" i="2"/>
  <c r="E4602" i="2"/>
  <c r="F4602" i="2"/>
  <c r="G4602" i="2"/>
  <c r="H4602" i="2"/>
  <c r="J4602" i="2"/>
  <c r="K4602" i="2"/>
  <c r="L4602" i="2"/>
  <c r="C4603" i="2"/>
  <c r="D4603" i="2"/>
  <c r="F4603" i="2"/>
  <c r="G4603" i="2"/>
  <c r="H4603" i="2"/>
  <c r="J4603" i="2"/>
  <c r="K4603" i="2"/>
  <c r="L4603" i="2"/>
  <c r="C4604" i="2"/>
  <c r="D4604" i="2"/>
  <c r="F4604" i="2"/>
  <c r="G4604" i="2"/>
  <c r="H4604" i="2"/>
  <c r="J4604" i="2"/>
  <c r="K4604" i="2"/>
  <c r="L4604" i="2"/>
  <c r="C4605" i="2"/>
  <c r="D4605" i="2"/>
  <c r="F4605" i="2"/>
  <c r="G4605" i="2"/>
  <c r="H4605" i="2"/>
  <c r="J4605" i="2"/>
  <c r="K4605" i="2"/>
  <c r="L4605" i="2"/>
  <c r="C4606" i="2"/>
  <c r="D4606" i="2"/>
  <c r="F4606" i="2"/>
  <c r="G4606" i="2"/>
  <c r="H4606" i="2"/>
  <c r="J4606" i="2"/>
  <c r="K4606" i="2"/>
  <c r="L4606" i="2"/>
  <c r="C4607" i="2"/>
  <c r="D4607" i="2"/>
  <c r="F4607" i="2"/>
  <c r="G4607" i="2"/>
  <c r="H4607" i="2"/>
  <c r="J4607" i="2"/>
  <c r="K4607" i="2"/>
  <c r="L4607" i="2"/>
  <c r="C4608" i="2"/>
  <c r="D4608" i="2"/>
  <c r="F4608" i="2"/>
  <c r="G4608" i="2"/>
  <c r="H4608" i="2"/>
  <c r="J4608" i="2"/>
  <c r="K4608" i="2"/>
  <c r="L4608" i="2"/>
  <c r="C4609" i="2"/>
  <c r="D4609" i="2"/>
  <c r="F4609" i="2"/>
  <c r="G4609" i="2"/>
  <c r="H4609" i="2"/>
  <c r="J4609" i="2"/>
  <c r="K4609" i="2"/>
  <c r="L4609" i="2"/>
  <c r="C4610" i="2"/>
  <c r="D4610" i="2"/>
  <c r="F4610" i="2"/>
  <c r="G4610" i="2"/>
  <c r="H4610" i="2"/>
  <c r="J4610" i="2"/>
  <c r="K4610" i="2"/>
  <c r="L4610" i="2"/>
  <c r="C4611" i="2"/>
  <c r="D4611" i="2"/>
  <c r="F4611" i="2"/>
  <c r="G4611" i="2"/>
  <c r="H4611" i="2"/>
  <c r="J4611" i="2"/>
  <c r="K4611" i="2"/>
  <c r="L4611" i="2"/>
  <c r="C4612" i="2"/>
  <c r="D4612" i="2"/>
  <c r="F4612" i="2"/>
  <c r="G4612" i="2"/>
  <c r="H4612" i="2"/>
  <c r="J4612" i="2"/>
  <c r="K4612" i="2"/>
  <c r="L4612" i="2"/>
  <c r="C4613" i="2"/>
  <c r="D4613" i="2"/>
  <c r="F4613" i="2"/>
  <c r="G4613" i="2"/>
  <c r="H4613" i="2"/>
  <c r="J4613" i="2"/>
  <c r="K4613" i="2"/>
  <c r="L4613" i="2"/>
  <c r="C4614" i="2"/>
  <c r="D4614" i="2"/>
  <c r="F4614" i="2"/>
  <c r="G4614" i="2"/>
  <c r="H4614" i="2"/>
  <c r="J4614" i="2"/>
  <c r="K4614" i="2"/>
  <c r="L4614" i="2"/>
  <c r="C4615" i="2"/>
  <c r="D4615" i="2"/>
  <c r="F4615" i="2"/>
  <c r="G4615" i="2"/>
  <c r="H4615" i="2"/>
  <c r="J4615" i="2"/>
  <c r="K4615" i="2"/>
  <c r="L4615" i="2"/>
  <c r="C4616" i="2"/>
  <c r="D4616" i="2"/>
  <c r="F4616" i="2"/>
  <c r="G4616" i="2"/>
  <c r="H4616" i="2"/>
  <c r="J4616" i="2"/>
  <c r="K4616" i="2"/>
  <c r="L4616" i="2"/>
  <c r="C4617" i="2"/>
  <c r="D4617" i="2"/>
  <c r="F4617" i="2"/>
  <c r="G4617" i="2"/>
  <c r="H4617" i="2"/>
  <c r="J4617" i="2"/>
  <c r="K4617" i="2"/>
  <c r="L4617" i="2"/>
  <c r="C4618" i="2"/>
  <c r="D4618" i="2"/>
  <c r="F4618" i="2"/>
  <c r="G4618" i="2"/>
  <c r="H4618" i="2"/>
  <c r="J4618" i="2"/>
  <c r="K4618" i="2"/>
  <c r="L4618" i="2"/>
  <c r="C4619" i="2"/>
  <c r="D4619" i="2"/>
  <c r="F4619" i="2"/>
  <c r="G4619" i="2"/>
  <c r="H4619" i="2"/>
  <c r="J4619" i="2"/>
  <c r="K4619" i="2"/>
  <c r="L4619" i="2"/>
  <c r="C4620" i="2"/>
  <c r="D4620" i="2"/>
  <c r="F4620" i="2"/>
  <c r="G4620" i="2"/>
  <c r="H4620" i="2"/>
  <c r="J4620" i="2"/>
  <c r="K4620" i="2"/>
  <c r="L4620" i="2"/>
  <c r="C4621" i="2"/>
  <c r="D4621" i="2"/>
  <c r="F4621" i="2"/>
  <c r="G4621" i="2"/>
  <c r="H4621" i="2"/>
  <c r="J4621" i="2"/>
  <c r="K4621" i="2"/>
  <c r="L4621" i="2"/>
  <c r="C4622" i="2"/>
  <c r="D4622" i="2"/>
  <c r="F4622" i="2"/>
  <c r="G4622" i="2"/>
  <c r="H4622" i="2"/>
  <c r="J4622" i="2"/>
  <c r="K4622" i="2"/>
  <c r="L4622" i="2"/>
  <c r="C4623" i="2"/>
  <c r="D4623" i="2"/>
  <c r="F4623" i="2"/>
  <c r="G4623" i="2"/>
  <c r="H4623" i="2"/>
  <c r="J4623" i="2"/>
  <c r="K4623" i="2"/>
  <c r="L4623" i="2"/>
  <c r="C4624" i="2"/>
  <c r="D4624" i="2"/>
  <c r="F4624" i="2"/>
  <c r="G4624" i="2"/>
  <c r="H4624" i="2"/>
  <c r="J4624" i="2"/>
  <c r="K4624" i="2"/>
  <c r="L4624" i="2"/>
  <c r="C4625" i="2"/>
  <c r="D4625" i="2"/>
  <c r="F4625" i="2"/>
  <c r="G4625" i="2"/>
  <c r="H4625" i="2"/>
  <c r="J4625" i="2"/>
  <c r="K4625" i="2"/>
  <c r="L4625" i="2"/>
  <c r="C4626" i="2"/>
  <c r="D4626" i="2"/>
  <c r="F4626" i="2"/>
  <c r="G4626" i="2"/>
  <c r="H4626" i="2"/>
  <c r="J4626" i="2"/>
  <c r="K4626" i="2"/>
  <c r="L4626" i="2"/>
  <c r="C4627" i="2"/>
  <c r="D4627" i="2"/>
  <c r="F4627" i="2"/>
  <c r="G4627" i="2"/>
  <c r="H4627" i="2"/>
  <c r="J4627" i="2"/>
  <c r="K4627" i="2"/>
  <c r="L4627" i="2"/>
  <c r="C4628" i="2"/>
  <c r="D4628" i="2"/>
  <c r="F4628" i="2"/>
  <c r="G4628" i="2"/>
  <c r="H4628" i="2"/>
  <c r="J4628" i="2"/>
  <c r="K4628" i="2"/>
  <c r="L4628" i="2"/>
  <c r="C4629" i="2"/>
  <c r="D4629" i="2"/>
  <c r="F4629" i="2"/>
  <c r="G4629" i="2"/>
  <c r="H4629" i="2"/>
  <c r="J4629" i="2"/>
  <c r="K4629" i="2"/>
  <c r="L4629" i="2"/>
  <c r="C4630" i="2"/>
  <c r="D4630" i="2"/>
  <c r="F4630" i="2"/>
  <c r="G4630" i="2"/>
  <c r="H4630" i="2"/>
  <c r="J4630" i="2"/>
  <c r="K4630" i="2"/>
  <c r="L4630" i="2"/>
  <c r="C4631" i="2"/>
  <c r="D4631" i="2"/>
  <c r="F4631" i="2"/>
  <c r="G4631" i="2"/>
  <c r="H4631" i="2"/>
  <c r="J4631" i="2"/>
  <c r="K4631" i="2"/>
  <c r="L4631" i="2"/>
  <c r="C4632" i="2"/>
  <c r="D4632" i="2"/>
  <c r="F4632" i="2"/>
  <c r="G4632" i="2"/>
  <c r="H4632" i="2"/>
  <c r="J4632" i="2"/>
  <c r="K4632" i="2"/>
  <c r="L4632" i="2"/>
  <c r="C4633" i="2"/>
  <c r="D4633" i="2"/>
  <c r="F4633" i="2"/>
  <c r="G4633" i="2"/>
  <c r="H4633" i="2"/>
  <c r="J4633" i="2"/>
  <c r="K4633" i="2"/>
  <c r="L4633" i="2"/>
  <c r="C4634" i="2"/>
  <c r="D4634" i="2"/>
  <c r="F4634" i="2"/>
  <c r="G4634" i="2"/>
  <c r="H4634" i="2"/>
  <c r="J4634" i="2"/>
  <c r="K4634" i="2"/>
  <c r="L4634" i="2"/>
  <c r="C4635" i="2"/>
  <c r="D4635" i="2"/>
  <c r="F4635" i="2"/>
  <c r="G4635" i="2"/>
  <c r="H4635" i="2"/>
  <c r="J4635" i="2"/>
  <c r="K4635" i="2"/>
  <c r="L4635" i="2"/>
  <c r="C4636" i="2"/>
  <c r="D4636" i="2"/>
  <c r="F4636" i="2"/>
  <c r="G4636" i="2"/>
  <c r="H4636" i="2"/>
  <c r="J4636" i="2"/>
  <c r="K4636" i="2"/>
  <c r="L4636" i="2"/>
  <c r="C4637" i="2"/>
  <c r="D4637" i="2"/>
  <c r="F4637" i="2"/>
  <c r="G4637" i="2"/>
  <c r="H4637" i="2"/>
  <c r="J4637" i="2"/>
  <c r="K4637" i="2"/>
  <c r="L4637" i="2"/>
  <c r="C4638" i="2"/>
  <c r="D4638" i="2"/>
  <c r="F4638" i="2"/>
  <c r="G4638" i="2"/>
  <c r="H4638" i="2"/>
  <c r="J4638" i="2"/>
  <c r="K4638" i="2"/>
  <c r="L4638" i="2"/>
  <c r="C4639" i="2"/>
  <c r="D4639" i="2"/>
  <c r="F4639" i="2"/>
  <c r="G4639" i="2"/>
  <c r="H4639" i="2"/>
  <c r="J4639" i="2"/>
  <c r="K4639" i="2"/>
  <c r="L4639" i="2"/>
  <c r="C4640" i="2"/>
  <c r="D4640" i="2"/>
  <c r="F4640" i="2"/>
  <c r="G4640" i="2"/>
  <c r="H4640" i="2"/>
  <c r="J4640" i="2"/>
  <c r="K4640" i="2"/>
  <c r="L4640" i="2"/>
  <c r="C4641" i="2"/>
  <c r="D4641" i="2"/>
  <c r="F4641" i="2"/>
  <c r="G4641" i="2"/>
  <c r="H4641" i="2"/>
  <c r="J4641" i="2"/>
  <c r="K4641" i="2"/>
  <c r="L4641" i="2"/>
  <c r="C4642" i="2"/>
  <c r="D4642" i="2"/>
  <c r="F4642" i="2"/>
  <c r="G4642" i="2"/>
  <c r="H4642" i="2"/>
  <c r="J4642" i="2"/>
  <c r="K4642" i="2"/>
  <c r="L4642" i="2"/>
  <c r="C4643" i="2"/>
  <c r="D4643" i="2"/>
  <c r="F4643" i="2"/>
  <c r="G4643" i="2"/>
  <c r="H4643" i="2"/>
  <c r="J4643" i="2"/>
  <c r="K4643" i="2"/>
  <c r="L4643" i="2"/>
  <c r="C4644" i="2"/>
  <c r="D4644" i="2"/>
  <c r="F4644" i="2"/>
  <c r="G4644" i="2"/>
  <c r="H4644" i="2"/>
  <c r="J4644" i="2"/>
  <c r="K4644" i="2"/>
  <c r="L4644" i="2"/>
  <c r="C4645" i="2"/>
  <c r="D4645" i="2"/>
  <c r="F4645" i="2"/>
  <c r="G4645" i="2"/>
  <c r="H4645" i="2"/>
  <c r="J4645" i="2"/>
  <c r="K4645" i="2"/>
  <c r="L4645" i="2"/>
  <c r="C4646" i="2"/>
  <c r="D4646" i="2"/>
  <c r="F4646" i="2"/>
  <c r="G4646" i="2"/>
  <c r="H4646" i="2"/>
  <c r="J4646" i="2"/>
  <c r="K4646" i="2"/>
  <c r="L4646" i="2"/>
  <c r="C4647" i="2"/>
  <c r="D4647" i="2"/>
  <c r="F4647" i="2"/>
  <c r="G4647" i="2"/>
  <c r="H4647" i="2"/>
  <c r="J4647" i="2"/>
  <c r="K4647" i="2"/>
  <c r="L4647" i="2"/>
  <c r="C4648" i="2"/>
  <c r="D4648" i="2"/>
  <c r="F4648" i="2"/>
  <c r="G4648" i="2"/>
  <c r="H4648" i="2"/>
  <c r="J4648" i="2"/>
  <c r="K4648" i="2"/>
  <c r="L4648" i="2"/>
  <c r="C4649" i="2"/>
  <c r="D4649" i="2"/>
  <c r="F4649" i="2"/>
  <c r="G4649" i="2"/>
  <c r="H4649" i="2"/>
  <c r="J4649" i="2"/>
  <c r="K4649" i="2"/>
  <c r="L4649" i="2"/>
  <c r="C4650" i="2"/>
  <c r="D4650" i="2"/>
  <c r="F4650" i="2"/>
  <c r="G4650" i="2"/>
  <c r="H4650" i="2"/>
  <c r="J4650" i="2"/>
  <c r="K4650" i="2"/>
  <c r="L4650" i="2"/>
  <c r="C4651" i="2"/>
  <c r="D4651" i="2"/>
  <c r="F4651" i="2"/>
  <c r="G4651" i="2"/>
  <c r="H4651" i="2"/>
  <c r="J4651" i="2"/>
  <c r="K4651" i="2"/>
  <c r="L4651" i="2"/>
  <c r="C4652" i="2"/>
  <c r="D4652" i="2"/>
  <c r="F4652" i="2"/>
  <c r="G4652" i="2"/>
  <c r="H4652" i="2"/>
  <c r="J4652" i="2"/>
  <c r="K4652" i="2"/>
  <c r="L4652" i="2"/>
  <c r="C4653" i="2"/>
  <c r="D4653" i="2"/>
  <c r="F4653" i="2"/>
  <c r="G4653" i="2"/>
  <c r="H4653" i="2"/>
  <c r="J4653" i="2"/>
  <c r="K4653" i="2"/>
  <c r="L4653" i="2"/>
  <c r="C4654" i="2"/>
  <c r="D4654" i="2"/>
  <c r="F4654" i="2"/>
  <c r="G4654" i="2"/>
  <c r="H4654" i="2"/>
  <c r="J4654" i="2"/>
  <c r="K4654" i="2"/>
  <c r="L4654" i="2"/>
  <c r="C4655" i="2"/>
  <c r="D4655" i="2"/>
  <c r="F4655" i="2"/>
  <c r="G4655" i="2"/>
  <c r="H4655" i="2"/>
  <c r="J4655" i="2"/>
  <c r="K4655" i="2"/>
  <c r="L4655" i="2"/>
  <c r="C4656" i="2"/>
  <c r="D4656" i="2"/>
  <c r="F4656" i="2"/>
  <c r="G4656" i="2"/>
  <c r="H4656" i="2"/>
  <c r="J4656" i="2"/>
  <c r="K4656" i="2"/>
  <c r="L4656" i="2"/>
  <c r="C4657" i="2"/>
  <c r="D4657" i="2"/>
  <c r="F4657" i="2"/>
  <c r="G4657" i="2"/>
  <c r="H4657" i="2"/>
  <c r="J4657" i="2"/>
  <c r="K4657" i="2"/>
  <c r="L4657" i="2"/>
  <c r="C4658" i="2"/>
  <c r="D4658" i="2"/>
  <c r="F4658" i="2"/>
  <c r="G4658" i="2"/>
  <c r="H4658" i="2"/>
  <c r="J4658" i="2"/>
  <c r="K4658" i="2"/>
  <c r="L4658" i="2"/>
  <c r="C4659" i="2"/>
  <c r="D4659" i="2"/>
  <c r="F4659" i="2"/>
  <c r="G4659" i="2"/>
  <c r="H4659" i="2"/>
  <c r="J4659" i="2"/>
  <c r="K4659" i="2"/>
  <c r="L4659" i="2"/>
  <c r="C4660" i="2"/>
  <c r="D4660" i="2"/>
  <c r="F4660" i="2"/>
  <c r="G4660" i="2"/>
  <c r="H4660" i="2"/>
  <c r="J4660" i="2"/>
  <c r="K4660" i="2"/>
  <c r="L4660" i="2"/>
  <c r="C4661" i="2"/>
  <c r="D4661" i="2"/>
  <c r="F4661" i="2"/>
  <c r="G4661" i="2"/>
  <c r="H4661" i="2"/>
  <c r="J4661" i="2"/>
  <c r="K4661" i="2"/>
  <c r="L4661" i="2"/>
  <c r="C4662" i="2"/>
  <c r="D4662" i="2"/>
  <c r="F4662" i="2"/>
  <c r="G4662" i="2"/>
  <c r="H4662" i="2"/>
  <c r="J4662" i="2"/>
  <c r="K4662" i="2"/>
  <c r="L4662" i="2"/>
  <c r="C4663" i="2"/>
  <c r="D4663" i="2"/>
  <c r="F4663" i="2"/>
  <c r="G4663" i="2"/>
  <c r="H4663" i="2"/>
  <c r="J4663" i="2"/>
  <c r="K4663" i="2"/>
  <c r="L4663" i="2"/>
  <c r="C4664" i="2"/>
  <c r="D4664" i="2"/>
  <c r="F4664" i="2"/>
  <c r="G4664" i="2"/>
  <c r="H4664" i="2"/>
  <c r="J4664" i="2"/>
  <c r="K4664" i="2"/>
  <c r="L4664" i="2"/>
  <c r="C4665" i="2"/>
  <c r="D4665" i="2"/>
  <c r="F4665" i="2"/>
  <c r="G4665" i="2"/>
  <c r="H4665" i="2"/>
  <c r="J4665" i="2"/>
  <c r="K4665" i="2"/>
  <c r="L4665" i="2"/>
  <c r="C4666" i="2"/>
  <c r="D4666" i="2"/>
  <c r="F4666" i="2"/>
  <c r="G4666" i="2"/>
  <c r="H4666" i="2"/>
  <c r="J4666" i="2"/>
  <c r="K4666" i="2"/>
  <c r="L4666" i="2"/>
  <c r="C4667" i="2"/>
  <c r="D4667" i="2"/>
  <c r="F4667" i="2"/>
  <c r="G4667" i="2"/>
  <c r="H4667" i="2"/>
  <c r="J4667" i="2"/>
  <c r="K4667" i="2"/>
  <c r="L4667" i="2"/>
  <c r="C4668" i="2"/>
  <c r="D4668" i="2"/>
  <c r="F4668" i="2"/>
  <c r="G4668" i="2"/>
  <c r="H4668" i="2"/>
  <c r="J4668" i="2"/>
  <c r="K4668" i="2"/>
  <c r="L4668" i="2"/>
  <c r="C4669" i="2"/>
  <c r="D4669" i="2"/>
  <c r="F4669" i="2"/>
  <c r="G4669" i="2"/>
  <c r="H4669" i="2"/>
  <c r="J4669" i="2"/>
  <c r="K4669" i="2"/>
  <c r="L4669" i="2"/>
  <c r="C4670" i="2"/>
  <c r="D4670" i="2"/>
  <c r="F4670" i="2"/>
  <c r="G4670" i="2"/>
  <c r="H4670" i="2"/>
  <c r="J4670" i="2"/>
  <c r="K4670" i="2"/>
  <c r="L4670" i="2"/>
  <c r="C4671" i="2"/>
  <c r="D4671" i="2"/>
  <c r="F4671" i="2"/>
  <c r="G4671" i="2"/>
  <c r="H4671" i="2"/>
  <c r="J4671" i="2"/>
  <c r="K4671" i="2"/>
  <c r="L4671" i="2"/>
  <c r="C4672" i="2"/>
  <c r="D4672" i="2"/>
  <c r="F4672" i="2"/>
  <c r="G4672" i="2"/>
  <c r="H4672" i="2"/>
  <c r="J4672" i="2"/>
  <c r="K4672" i="2"/>
  <c r="L4672" i="2"/>
  <c r="C4673" i="2"/>
  <c r="D4673" i="2"/>
  <c r="F4673" i="2"/>
  <c r="G4673" i="2"/>
  <c r="H4673" i="2"/>
  <c r="J4673" i="2"/>
  <c r="K4673" i="2"/>
  <c r="L4673" i="2"/>
  <c r="C4674" i="2"/>
  <c r="D4674" i="2"/>
  <c r="F4674" i="2"/>
  <c r="G4674" i="2"/>
  <c r="H4674" i="2"/>
  <c r="J4674" i="2"/>
  <c r="K4674" i="2"/>
  <c r="L4674" i="2"/>
  <c r="C4675" i="2"/>
  <c r="D4675" i="2"/>
  <c r="F4675" i="2"/>
  <c r="G4675" i="2"/>
  <c r="H4675" i="2"/>
  <c r="J4675" i="2"/>
  <c r="K4675" i="2"/>
  <c r="L4675" i="2"/>
  <c r="C4676" i="2"/>
  <c r="D4676" i="2"/>
  <c r="F4676" i="2"/>
  <c r="G4676" i="2"/>
  <c r="H4676" i="2"/>
  <c r="J4676" i="2"/>
  <c r="K4676" i="2"/>
  <c r="L4676" i="2"/>
  <c r="C4677" i="2"/>
  <c r="D4677" i="2"/>
  <c r="F4677" i="2"/>
  <c r="G4677" i="2"/>
  <c r="H4677" i="2"/>
  <c r="J4677" i="2"/>
  <c r="K4677" i="2"/>
  <c r="L4677" i="2"/>
  <c r="C4678" i="2"/>
  <c r="D4678" i="2"/>
  <c r="F4678" i="2"/>
  <c r="G4678" i="2"/>
  <c r="H4678" i="2"/>
  <c r="J4678" i="2"/>
  <c r="K4678" i="2"/>
  <c r="L4678" i="2"/>
  <c r="C4679" i="2"/>
  <c r="D4679" i="2"/>
  <c r="F4679" i="2"/>
  <c r="G4679" i="2"/>
  <c r="H4679" i="2"/>
  <c r="J4679" i="2"/>
  <c r="K4679" i="2"/>
  <c r="L4679" i="2"/>
  <c r="C4680" i="2"/>
  <c r="D4680" i="2"/>
  <c r="F4680" i="2"/>
  <c r="G4680" i="2"/>
  <c r="H4680" i="2"/>
  <c r="J4680" i="2"/>
  <c r="K4680" i="2"/>
  <c r="L4680" i="2"/>
  <c r="C4681" i="2"/>
  <c r="D4681" i="2"/>
  <c r="F4681" i="2"/>
  <c r="G4681" i="2"/>
  <c r="H4681" i="2"/>
  <c r="J4681" i="2"/>
  <c r="K4681" i="2"/>
  <c r="L4681" i="2"/>
  <c r="C4682" i="2"/>
  <c r="D4682" i="2"/>
  <c r="F4682" i="2"/>
  <c r="G4682" i="2"/>
  <c r="H4682" i="2"/>
  <c r="J4682" i="2"/>
  <c r="K4682" i="2"/>
  <c r="L4682" i="2"/>
  <c r="C4683" i="2"/>
  <c r="D4683" i="2"/>
  <c r="F4683" i="2"/>
  <c r="G4683" i="2"/>
  <c r="H4683" i="2"/>
  <c r="J4683" i="2"/>
  <c r="K4683" i="2"/>
  <c r="L4683" i="2"/>
  <c r="C4684" i="2"/>
  <c r="D4684" i="2"/>
  <c r="F4684" i="2"/>
  <c r="G4684" i="2"/>
  <c r="H4684" i="2"/>
  <c r="J4684" i="2"/>
  <c r="K4684" i="2"/>
  <c r="L4684" i="2"/>
  <c r="C4685" i="2"/>
  <c r="D4685" i="2"/>
  <c r="F4685" i="2"/>
  <c r="G4685" i="2"/>
  <c r="H4685" i="2"/>
  <c r="J4685" i="2"/>
  <c r="K4685" i="2"/>
  <c r="L4685" i="2"/>
  <c r="C4686" i="2"/>
  <c r="D4686" i="2"/>
  <c r="F4686" i="2"/>
  <c r="G4686" i="2"/>
  <c r="H4686" i="2"/>
  <c r="J4686" i="2"/>
  <c r="K4686" i="2"/>
  <c r="L4686" i="2"/>
  <c r="C4687" i="2"/>
  <c r="D4687" i="2"/>
  <c r="F4687" i="2"/>
  <c r="G4687" i="2"/>
  <c r="H4687" i="2"/>
  <c r="J4687" i="2"/>
  <c r="K4687" i="2"/>
  <c r="L4687" i="2"/>
  <c r="C4688" i="2"/>
  <c r="D4688" i="2"/>
  <c r="F4688" i="2"/>
  <c r="G4688" i="2"/>
  <c r="H4688" i="2"/>
  <c r="J4688" i="2"/>
  <c r="K4688" i="2"/>
  <c r="L4688" i="2"/>
  <c r="C4689" i="2"/>
  <c r="D4689" i="2"/>
  <c r="F4689" i="2"/>
  <c r="G4689" i="2"/>
  <c r="H4689" i="2"/>
  <c r="J4689" i="2"/>
  <c r="K4689" i="2"/>
  <c r="L4689" i="2"/>
  <c r="C4690" i="2"/>
  <c r="D4690" i="2"/>
  <c r="F4690" i="2"/>
  <c r="G4690" i="2"/>
  <c r="H4690" i="2"/>
  <c r="J4690" i="2"/>
  <c r="K4690" i="2"/>
  <c r="L4690" i="2"/>
  <c r="C4691" i="2"/>
  <c r="D4691" i="2"/>
  <c r="F4691" i="2"/>
  <c r="G4691" i="2"/>
  <c r="H4691" i="2"/>
  <c r="J4691" i="2"/>
  <c r="K4691" i="2"/>
  <c r="L4691" i="2"/>
  <c r="C4692" i="2"/>
  <c r="D4692" i="2"/>
  <c r="F4692" i="2"/>
  <c r="G4692" i="2"/>
  <c r="H4692" i="2"/>
  <c r="J4692" i="2"/>
  <c r="K4692" i="2"/>
  <c r="L4692" i="2"/>
  <c r="C4693" i="2"/>
  <c r="D4693" i="2"/>
  <c r="F4693" i="2"/>
  <c r="G4693" i="2"/>
  <c r="H4693" i="2"/>
  <c r="J4693" i="2"/>
  <c r="K4693" i="2"/>
  <c r="L4693" i="2"/>
  <c r="C4694" i="2"/>
  <c r="D4694" i="2"/>
  <c r="F4694" i="2"/>
  <c r="G4694" i="2"/>
  <c r="H4694" i="2"/>
  <c r="J4694" i="2"/>
  <c r="K4694" i="2"/>
  <c r="L4694" i="2"/>
  <c r="C4695" i="2"/>
  <c r="D4695" i="2"/>
  <c r="F4695" i="2"/>
  <c r="G4695" i="2"/>
  <c r="H4695" i="2"/>
  <c r="J4695" i="2"/>
  <c r="K4695" i="2"/>
  <c r="L4695" i="2"/>
  <c r="C4696" i="2"/>
  <c r="D4696" i="2"/>
  <c r="F4696" i="2"/>
  <c r="G4696" i="2"/>
  <c r="H4696" i="2"/>
  <c r="J4696" i="2"/>
  <c r="K4696" i="2"/>
  <c r="L4696" i="2"/>
  <c r="C4697" i="2"/>
  <c r="D4697" i="2"/>
  <c r="F4697" i="2"/>
  <c r="G4697" i="2"/>
  <c r="H4697" i="2"/>
  <c r="J4697" i="2"/>
  <c r="K4697" i="2"/>
  <c r="L4697" i="2"/>
  <c r="C4698" i="2"/>
  <c r="D4698" i="2"/>
  <c r="F4698" i="2"/>
  <c r="G4698" i="2"/>
  <c r="H4698" i="2"/>
  <c r="J4698" i="2"/>
  <c r="K4698" i="2"/>
  <c r="L4698" i="2"/>
  <c r="C4699" i="2"/>
  <c r="D4699" i="2"/>
  <c r="F4699" i="2"/>
  <c r="G4699" i="2"/>
  <c r="H4699" i="2"/>
  <c r="J4699" i="2"/>
  <c r="K4699" i="2"/>
  <c r="L4699" i="2"/>
  <c r="C4700" i="2"/>
  <c r="D4700" i="2"/>
  <c r="F4700" i="2"/>
  <c r="G4700" i="2"/>
  <c r="H4700" i="2"/>
  <c r="J4700" i="2"/>
  <c r="K4700" i="2"/>
  <c r="L4700" i="2"/>
  <c r="C4701" i="2"/>
  <c r="D4701" i="2"/>
  <c r="F4701" i="2"/>
  <c r="G4701" i="2"/>
  <c r="H4701" i="2"/>
  <c r="J4701" i="2"/>
  <c r="K4701" i="2"/>
  <c r="L4701" i="2"/>
  <c r="D4702" i="2"/>
  <c r="F4702" i="2"/>
  <c r="G4702" i="2"/>
  <c r="H4702" i="2"/>
  <c r="J4702" i="2"/>
  <c r="K4702" i="2"/>
  <c r="L4702" i="2"/>
  <c r="C4703" i="2"/>
  <c r="D4703" i="2"/>
  <c r="F4703" i="2"/>
  <c r="G4703" i="2"/>
  <c r="H4703" i="2"/>
  <c r="J4703" i="2"/>
  <c r="K4703" i="2"/>
  <c r="L4703" i="2"/>
  <c r="C4704" i="2"/>
  <c r="D4704" i="2"/>
  <c r="F4704" i="2"/>
  <c r="G4704" i="2"/>
  <c r="H4704" i="2"/>
  <c r="J4704" i="2"/>
  <c r="K4704" i="2"/>
  <c r="L4704" i="2"/>
  <c r="C4705" i="2"/>
  <c r="D4705" i="2"/>
  <c r="F4705" i="2"/>
  <c r="G4705" i="2"/>
  <c r="H4705" i="2"/>
  <c r="J4705" i="2"/>
  <c r="K4705" i="2"/>
  <c r="L4705" i="2"/>
  <c r="C4706" i="2"/>
  <c r="D4706" i="2"/>
  <c r="F4706" i="2"/>
  <c r="G4706" i="2"/>
  <c r="H4706" i="2"/>
  <c r="J4706" i="2"/>
  <c r="K4706" i="2"/>
  <c r="L4706" i="2"/>
  <c r="C4707" i="2"/>
  <c r="D4707" i="2"/>
  <c r="F4707" i="2"/>
  <c r="G4707" i="2"/>
  <c r="H4707" i="2"/>
  <c r="J4707" i="2"/>
  <c r="K4707" i="2"/>
  <c r="L4707" i="2"/>
  <c r="C4708" i="2"/>
  <c r="D4708" i="2"/>
  <c r="F4708" i="2"/>
  <c r="G4708" i="2"/>
  <c r="H4708" i="2"/>
  <c r="J4708" i="2"/>
  <c r="K4708" i="2"/>
  <c r="L4708" i="2"/>
  <c r="C4709" i="2"/>
  <c r="D4709" i="2"/>
  <c r="F4709" i="2"/>
  <c r="G4709" i="2"/>
  <c r="H4709" i="2"/>
  <c r="J4709" i="2"/>
  <c r="K4709" i="2"/>
  <c r="L4709" i="2"/>
  <c r="D4710" i="2"/>
  <c r="F4710" i="2"/>
  <c r="G4710" i="2"/>
  <c r="H4710" i="2"/>
  <c r="J4710" i="2"/>
  <c r="K4710" i="2"/>
  <c r="L4710" i="2"/>
  <c r="C4711" i="2"/>
  <c r="D4711" i="2"/>
  <c r="F4711" i="2"/>
  <c r="G4711" i="2"/>
  <c r="H4711" i="2"/>
  <c r="J4711" i="2"/>
  <c r="K4711" i="2"/>
  <c r="L4711" i="2"/>
  <c r="C4712" i="2"/>
  <c r="D4712" i="2"/>
  <c r="F4712" i="2"/>
  <c r="G4712" i="2"/>
  <c r="H4712" i="2"/>
  <c r="J4712" i="2"/>
  <c r="K4712" i="2"/>
  <c r="L4712" i="2"/>
  <c r="C4713" i="2"/>
  <c r="D4713" i="2"/>
  <c r="F4713" i="2"/>
  <c r="G4713" i="2"/>
  <c r="H4713" i="2"/>
  <c r="J4713" i="2"/>
  <c r="K4713" i="2"/>
  <c r="L4713" i="2"/>
  <c r="C4714" i="2"/>
  <c r="D4714" i="2"/>
  <c r="F4714" i="2"/>
  <c r="G4714" i="2"/>
  <c r="H4714" i="2"/>
  <c r="J4714" i="2"/>
  <c r="K4714" i="2"/>
  <c r="L4714" i="2"/>
  <c r="C4715" i="2"/>
  <c r="D4715" i="2"/>
  <c r="F4715" i="2"/>
  <c r="G4715" i="2"/>
  <c r="H4715" i="2"/>
  <c r="J4715" i="2"/>
  <c r="K4715" i="2"/>
  <c r="L4715" i="2"/>
  <c r="C4716" i="2"/>
  <c r="D4716" i="2"/>
  <c r="F4716" i="2"/>
  <c r="G4716" i="2"/>
  <c r="H4716" i="2"/>
  <c r="J4716" i="2"/>
  <c r="K4716" i="2"/>
  <c r="L4716" i="2"/>
  <c r="C4717" i="2"/>
  <c r="D4717" i="2"/>
  <c r="F4717" i="2"/>
  <c r="G4717" i="2"/>
  <c r="H4717" i="2"/>
  <c r="J4717" i="2"/>
  <c r="K4717" i="2"/>
  <c r="L4717" i="2"/>
  <c r="C4718" i="2"/>
  <c r="D4718" i="2"/>
  <c r="F4718" i="2"/>
  <c r="G4718" i="2"/>
  <c r="H4718" i="2"/>
  <c r="J4718" i="2"/>
  <c r="K4718" i="2"/>
  <c r="L4718" i="2"/>
  <c r="C4719" i="2"/>
  <c r="D4719" i="2"/>
  <c r="F4719" i="2"/>
  <c r="G4719" i="2"/>
  <c r="H4719" i="2"/>
  <c r="J4719" i="2"/>
  <c r="K4719" i="2"/>
  <c r="L4719" i="2"/>
  <c r="C4720" i="2"/>
  <c r="D4720" i="2"/>
  <c r="F4720" i="2"/>
  <c r="G4720" i="2"/>
  <c r="H4720" i="2"/>
  <c r="J4720" i="2"/>
  <c r="K4720" i="2"/>
  <c r="L4720" i="2"/>
  <c r="C4721" i="2"/>
  <c r="D4721" i="2"/>
  <c r="F4721" i="2"/>
  <c r="G4721" i="2"/>
  <c r="H4721" i="2"/>
  <c r="J4721" i="2"/>
  <c r="K4721" i="2"/>
  <c r="L4721" i="2"/>
  <c r="D4722" i="2"/>
  <c r="F4722" i="2"/>
  <c r="G4722" i="2"/>
  <c r="H4722" i="2"/>
  <c r="J4722" i="2"/>
  <c r="K4722" i="2"/>
  <c r="L4722" i="2"/>
  <c r="C4723" i="2"/>
  <c r="D4723" i="2"/>
  <c r="F4723" i="2"/>
  <c r="G4723" i="2"/>
  <c r="H4723" i="2"/>
  <c r="J4723" i="2"/>
  <c r="K4723" i="2"/>
  <c r="L4723" i="2"/>
  <c r="C4724" i="2"/>
  <c r="D4724" i="2"/>
  <c r="F4724" i="2"/>
  <c r="G4724" i="2"/>
  <c r="H4724" i="2"/>
  <c r="J4724" i="2"/>
  <c r="K4724" i="2"/>
  <c r="L4724" i="2"/>
  <c r="C4725" i="2"/>
  <c r="D4725" i="2"/>
  <c r="F4725" i="2"/>
  <c r="G4725" i="2"/>
  <c r="H4725" i="2"/>
  <c r="J4725" i="2"/>
  <c r="K4725" i="2"/>
  <c r="L4725" i="2"/>
  <c r="C4726" i="2"/>
  <c r="D4726" i="2"/>
  <c r="F4726" i="2"/>
  <c r="G4726" i="2"/>
  <c r="H4726" i="2"/>
  <c r="J4726" i="2"/>
  <c r="K4726" i="2"/>
  <c r="L4726" i="2"/>
  <c r="C4727" i="2"/>
  <c r="D4727" i="2"/>
  <c r="F4727" i="2"/>
  <c r="G4727" i="2"/>
  <c r="H4727" i="2"/>
  <c r="J4727" i="2"/>
  <c r="K4727" i="2"/>
  <c r="L4727" i="2"/>
  <c r="C4728" i="2"/>
  <c r="D4728" i="2"/>
  <c r="F4728" i="2"/>
  <c r="G4728" i="2"/>
  <c r="H4728" i="2"/>
  <c r="J4728" i="2"/>
  <c r="K4728" i="2"/>
  <c r="L4728" i="2"/>
  <c r="C4729" i="2"/>
  <c r="D4729" i="2"/>
  <c r="F4729" i="2"/>
  <c r="G4729" i="2"/>
  <c r="H4729" i="2"/>
  <c r="J4729" i="2"/>
  <c r="K4729" i="2"/>
  <c r="L4729" i="2"/>
  <c r="C4730" i="2"/>
  <c r="D4730" i="2"/>
  <c r="F4730" i="2"/>
  <c r="G4730" i="2"/>
  <c r="H4730" i="2"/>
  <c r="J4730" i="2"/>
  <c r="K4730" i="2"/>
  <c r="L4730" i="2"/>
  <c r="C4731" i="2"/>
  <c r="D4731" i="2"/>
  <c r="F4731" i="2"/>
  <c r="G4731" i="2"/>
  <c r="H4731" i="2"/>
  <c r="J4731" i="2"/>
  <c r="K4731" i="2"/>
  <c r="L4731" i="2"/>
  <c r="C4732" i="2"/>
  <c r="D4732" i="2"/>
  <c r="F4732" i="2"/>
  <c r="G4732" i="2"/>
  <c r="H4732" i="2"/>
  <c r="J4732" i="2"/>
  <c r="K4732" i="2"/>
  <c r="L4732" i="2"/>
  <c r="C4733" i="2"/>
  <c r="D4733" i="2"/>
  <c r="F4733" i="2"/>
  <c r="G4733" i="2"/>
  <c r="H4733" i="2"/>
  <c r="J4733" i="2"/>
  <c r="K4733" i="2"/>
  <c r="L4733" i="2"/>
  <c r="C4734" i="2"/>
  <c r="D4734" i="2"/>
  <c r="F4734" i="2"/>
  <c r="G4734" i="2"/>
  <c r="H4734" i="2"/>
  <c r="J4734" i="2"/>
  <c r="K4734" i="2"/>
  <c r="L4734" i="2"/>
  <c r="C4735" i="2"/>
  <c r="D4735" i="2"/>
  <c r="F4735" i="2"/>
  <c r="G4735" i="2"/>
  <c r="H4735" i="2"/>
  <c r="J4735" i="2"/>
  <c r="K4735" i="2"/>
  <c r="L4735" i="2"/>
  <c r="C4736" i="2"/>
  <c r="D4736" i="2"/>
  <c r="F4736" i="2"/>
  <c r="G4736" i="2"/>
  <c r="H4736" i="2"/>
  <c r="J4736" i="2"/>
  <c r="K4736" i="2"/>
  <c r="L4736" i="2"/>
  <c r="C4737" i="2"/>
  <c r="D4737" i="2"/>
  <c r="F4737" i="2"/>
  <c r="G4737" i="2"/>
  <c r="H4737" i="2"/>
  <c r="J4737" i="2"/>
  <c r="K4737" i="2"/>
  <c r="L4737" i="2"/>
  <c r="C4738" i="2"/>
  <c r="D4738" i="2"/>
  <c r="F4738" i="2"/>
  <c r="G4738" i="2"/>
  <c r="H4738" i="2"/>
  <c r="J4738" i="2"/>
  <c r="K4738" i="2"/>
  <c r="L4738" i="2"/>
  <c r="C4739" i="2"/>
  <c r="D4739" i="2"/>
  <c r="F4739" i="2"/>
  <c r="G4739" i="2"/>
  <c r="H4739" i="2"/>
  <c r="J4739" i="2"/>
  <c r="K4739" i="2"/>
  <c r="L4739" i="2"/>
  <c r="C4740" i="2"/>
  <c r="D4740" i="2"/>
  <c r="F4740" i="2"/>
  <c r="G4740" i="2"/>
  <c r="H4740" i="2"/>
  <c r="J4740" i="2"/>
  <c r="K4740" i="2"/>
  <c r="L4740" i="2"/>
  <c r="C4741" i="2"/>
  <c r="D4741" i="2"/>
  <c r="F4741" i="2"/>
  <c r="G4741" i="2"/>
  <c r="H4741" i="2"/>
  <c r="J4741" i="2"/>
  <c r="K4741" i="2"/>
  <c r="L4741" i="2"/>
  <c r="C4742" i="2"/>
  <c r="D4742" i="2"/>
  <c r="F4742" i="2"/>
  <c r="G4742" i="2"/>
  <c r="H4742" i="2"/>
  <c r="J4742" i="2"/>
  <c r="K4742" i="2"/>
  <c r="L4742" i="2"/>
  <c r="C4743" i="2"/>
  <c r="D4743" i="2"/>
  <c r="F4743" i="2"/>
  <c r="G4743" i="2"/>
  <c r="H4743" i="2"/>
  <c r="J4743" i="2"/>
  <c r="K4743" i="2"/>
  <c r="L4743" i="2"/>
  <c r="C4744" i="2"/>
  <c r="D4744" i="2"/>
  <c r="F4744" i="2"/>
  <c r="G4744" i="2"/>
  <c r="H4744" i="2"/>
  <c r="J4744" i="2"/>
  <c r="K4744" i="2"/>
  <c r="L4744" i="2"/>
  <c r="C4745" i="2"/>
  <c r="D4745" i="2"/>
  <c r="F4745" i="2"/>
  <c r="G4745" i="2"/>
  <c r="H4745" i="2"/>
  <c r="J4745" i="2"/>
  <c r="K4745" i="2"/>
  <c r="L4745" i="2"/>
  <c r="C4746" i="2"/>
  <c r="D4746" i="2"/>
  <c r="F4746" i="2"/>
  <c r="G4746" i="2"/>
  <c r="H4746" i="2"/>
  <c r="J4746" i="2"/>
  <c r="K4746" i="2"/>
  <c r="L4746" i="2"/>
  <c r="C4747" i="2"/>
  <c r="D4747" i="2"/>
  <c r="F4747" i="2"/>
  <c r="G4747" i="2"/>
  <c r="H4747" i="2"/>
  <c r="J4747" i="2"/>
  <c r="K4747" i="2"/>
  <c r="L4747" i="2"/>
  <c r="C4748" i="2"/>
  <c r="D4748" i="2"/>
  <c r="F4748" i="2"/>
  <c r="G4748" i="2"/>
  <c r="H4748" i="2"/>
  <c r="J4748" i="2"/>
  <c r="K4748" i="2"/>
  <c r="L4748" i="2"/>
  <c r="C4749" i="2"/>
  <c r="D4749" i="2"/>
  <c r="F4749" i="2"/>
  <c r="G4749" i="2"/>
  <c r="H4749" i="2"/>
  <c r="J4749" i="2"/>
  <c r="K4749" i="2"/>
  <c r="L4749" i="2"/>
  <c r="C4750" i="2"/>
  <c r="D4750" i="2"/>
  <c r="F4750" i="2"/>
  <c r="G4750" i="2"/>
  <c r="H4750" i="2"/>
  <c r="J4750" i="2"/>
  <c r="K4750" i="2"/>
  <c r="L4750" i="2"/>
  <c r="C4751" i="2"/>
  <c r="D4751" i="2"/>
  <c r="F4751" i="2"/>
  <c r="G4751" i="2"/>
  <c r="H4751" i="2"/>
  <c r="J4751" i="2"/>
  <c r="K4751" i="2"/>
  <c r="L4751" i="2"/>
  <c r="C4752" i="2"/>
  <c r="D4752" i="2"/>
  <c r="F4752" i="2"/>
  <c r="G4752" i="2"/>
  <c r="H4752" i="2"/>
  <c r="J4752" i="2"/>
  <c r="K4752" i="2"/>
  <c r="L4752" i="2"/>
  <c r="C4753" i="2"/>
  <c r="D4753" i="2"/>
  <c r="F4753" i="2"/>
  <c r="G4753" i="2"/>
  <c r="H4753" i="2"/>
  <c r="J4753" i="2"/>
  <c r="K4753" i="2"/>
  <c r="L4753" i="2"/>
  <c r="C4754" i="2"/>
  <c r="D4754" i="2"/>
  <c r="F4754" i="2"/>
  <c r="G4754" i="2"/>
  <c r="H4754" i="2"/>
  <c r="J4754" i="2"/>
  <c r="K4754" i="2"/>
  <c r="L4754" i="2"/>
  <c r="C4755" i="2"/>
  <c r="D4755" i="2"/>
  <c r="F4755" i="2"/>
  <c r="G4755" i="2"/>
  <c r="H4755" i="2"/>
  <c r="J4755" i="2"/>
  <c r="K4755" i="2"/>
  <c r="L4755" i="2"/>
  <c r="C4756" i="2"/>
  <c r="D4756" i="2"/>
  <c r="F4756" i="2"/>
  <c r="G4756" i="2"/>
  <c r="H4756" i="2"/>
  <c r="J4756" i="2"/>
  <c r="K4756" i="2"/>
  <c r="L4756" i="2"/>
  <c r="C4757" i="2"/>
  <c r="D4757" i="2"/>
  <c r="F4757" i="2"/>
  <c r="G4757" i="2"/>
  <c r="H4757" i="2"/>
  <c r="J4757" i="2"/>
  <c r="K4757" i="2"/>
  <c r="L4757" i="2"/>
  <c r="C4758" i="2"/>
  <c r="D4758" i="2"/>
  <c r="F4758" i="2"/>
  <c r="G4758" i="2"/>
  <c r="H4758" i="2"/>
  <c r="J4758" i="2"/>
  <c r="K4758" i="2"/>
  <c r="L4758" i="2"/>
  <c r="C4759" i="2"/>
  <c r="D4759" i="2"/>
  <c r="F4759" i="2"/>
  <c r="G4759" i="2"/>
  <c r="H4759" i="2"/>
  <c r="J4759" i="2"/>
  <c r="K4759" i="2"/>
  <c r="L4759" i="2"/>
  <c r="C4760" i="2"/>
  <c r="D4760" i="2"/>
  <c r="F4760" i="2"/>
  <c r="G4760" i="2"/>
  <c r="H4760" i="2"/>
  <c r="J4760" i="2"/>
  <c r="K4760" i="2"/>
  <c r="L4760" i="2"/>
  <c r="C4761" i="2"/>
  <c r="D4761" i="2"/>
  <c r="F4761" i="2"/>
  <c r="G4761" i="2"/>
  <c r="H4761" i="2"/>
  <c r="J4761" i="2"/>
  <c r="K4761" i="2"/>
  <c r="L4761" i="2"/>
  <c r="C4762" i="2"/>
  <c r="D4762" i="2"/>
  <c r="F4762" i="2"/>
  <c r="G4762" i="2"/>
  <c r="H4762" i="2"/>
  <c r="J4762" i="2"/>
  <c r="K4762" i="2"/>
  <c r="L4762" i="2"/>
  <c r="C4763" i="2"/>
  <c r="D4763" i="2"/>
  <c r="F4763" i="2"/>
  <c r="G4763" i="2"/>
  <c r="H4763" i="2"/>
  <c r="J4763" i="2"/>
  <c r="K4763" i="2"/>
  <c r="L4763" i="2"/>
  <c r="C4764" i="2"/>
  <c r="D4764" i="2"/>
  <c r="F4764" i="2"/>
  <c r="G4764" i="2"/>
  <c r="H4764" i="2"/>
  <c r="J4764" i="2"/>
  <c r="K4764" i="2"/>
  <c r="L4764" i="2"/>
  <c r="C4765" i="2"/>
  <c r="D4765" i="2"/>
  <c r="F4765" i="2"/>
  <c r="G4765" i="2"/>
  <c r="H4765" i="2"/>
  <c r="J4765" i="2"/>
  <c r="K4765" i="2"/>
  <c r="L4765" i="2"/>
  <c r="C4766" i="2"/>
  <c r="D4766" i="2"/>
  <c r="F4766" i="2"/>
  <c r="G4766" i="2"/>
  <c r="H4766" i="2"/>
  <c r="J4766" i="2"/>
  <c r="K4766" i="2"/>
  <c r="L4766" i="2"/>
  <c r="C4767" i="2"/>
  <c r="D4767" i="2"/>
  <c r="F4767" i="2"/>
  <c r="G4767" i="2"/>
  <c r="H4767" i="2"/>
  <c r="J4767" i="2"/>
  <c r="K4767" i="2"/>
  <c r="L4767" i="2"/>
  <c r="C4768" i="2"/>
  <c r="D4768" i="2"/>
  <c r="F4768" i="2"/>
  <c r="G4768" i="2"/>
  <c r="H4768" i="2"/>
  <c r="J4768" i="2"/>
  <c r="K4768" i="2"/>
  <c r="L4768" i="2"/>
  <c r="C4769" i="2"/>
  <c r="D4769" i="2"/>
  <c r="F4769" i="2"/>
  <c r="G4769" i="2"/>
  <c r="H4769" i="2"/>
  <c r="J4769" i="2"/>
  <c r="K4769" i="2"/>
  <c r="L4769" i="2"/>
  <c r="C4770" i="2"/>
  <c r="D4770" i="2"/>
  <c r="F4770" i="2"/>
  <c r="G4770" i="2"/>
  <c r="H4770" i="2"/>
  <c r="J4770" i="2"/>
  <c r="K4770" i="2"/>
  <c r="L4770" i="2"/>
  <c r="C4771" i="2"/>
  <c r="D4771" i="2"/>
  <c r="F4771" i="2"/>
  <c r="G4771" i="2"/>
  <c r="H4771" i="2"/>
  <c r="J4771" i="2"/>
  <c r="K4771" i="2"/>
  <c r="L4771" i="2"/>
  <c r="C4772" i="2"/>
  <c r="D4772" i="2"/>
  <c r="F4772" i="2"/>
  <c r="G4772" i="2"/>
  <c r="H4772" i="2"/>
  <c r="J4772" i="2"/>
  <c r="K4772" i="2"/>
  <c r="L4772" i="2"/>
  <c r="C4773" i="2"/>
  <c r="D4773" i="2"/>
  <c r="F4773" i="2"/>
  <c r="G4773" i="2"/>
  <c r="H4773" i="2"/>
  <c r="J4773" i="2"/>
  <c r="K4773" i="2"/>
  <c r="L4773" i="2"/>
  <c r="C4774" i="2"/>
  <c r="D4774" i="2"/>
  <c r="F4774" i="2"/>
  <c r="G4774" i="2"/>
  <c r="H4774" i="2"/>
  <c r="J4774" i="2"/>
  <c r="K4774" i="2"/>
  <c r="L4774" i="2"/>
  <c r="C4775" i="2"/>
  <c r="D4775" i="2"/>
  <c r="F4775" i="2"/>
  <c r="G4775" i="2"/>
  <c r="H4775" i="2"/>
  <c r="J4775" i="2"/>
  <c r="K4775" i="2"/>
  <c r="L4775" i="2"/>
  <c r="C4776" i="2"/>
  <c r="D4776" i="2"/>
  <c r="F4776" i="2"/>
  <c r="G4776" i="2"/>
  <c r="H4776" i="2"/>
  <c r="J4776" i="2"/>
  <c r="K4776" i="2"/>
  <c r="L4776" i="2"/>
  <c r="C4777" i="2"/>
  <c r="D4777" i="2"/>
  <c r="F4777" i="2"/>
  <c r="G4777" i="2"/>
  <c r="H4777" i="2"/>
  <c r="J4777" i="2"/>
  <c r="K4777" i="2"/>
  <c r="L4777" i="2"/>
  <c r="C4778" i="2"/>
  <c r="D4778" i="2"/>
  <c r="F4778" i="2"/>
  <c r="G4778" i="2"/>
  <c r="H4778" i="2"/>
  <c r="J4778" i="2"/>
  <c r="K4778" i="2"/>
  <c r="L4778" i="2"/>
  <c r="C4779" i="2"/>
  <c r="D4779" i="2"/>
  <c r="F4779" i="2"/>
  <c r="G4779" i="2"/>
  <c r="H4779" i="2"/>
  <c r="J4779" i="2"/>
  <c r="K4779" i="2"/>
  <c r="L4779" i="2"/>
  <c r="C4780" i="2"/>
  <c r="D4780" i="2"/>
  <c r="F4780" i="2"/>
  <c r="G4780" i="2"/>
  <c r="H4780" i="2"/>
  <c r="J4780" i="2"/>
  <c r="K4780" i="2"/>
  <c r="L4780" i="2"/>
  <c r="C4781" i="2"/>
  <c r="D4781" i="2"/>
  <c r="F4781" i="2"/>
  <c r="G4781" i="2"/>
  <c r="H4781" i="2"/>
  <c r="J4781" i="2"/>
  <c r="K4781" i="2"/>
  <c r="L4781" i="2"/>
  <c r="C4782" i="2"/>
  <c r="D4782" i="2"/>
  <c r="F4782" i="2"/>
  <c r="G4782" i="2"/>
  <c r="H4782" i="2"/>
  <c r="J4782" i="2"/>
  <c r="K4782" i="2"/>
  <c r="L4782" i="2"/>
  <c r="C4783" i="2"/>
  <c r="D4783" i="2"/>
  <c r="F4783" i="2"/>
  <c r="G4783" i="2"/>
  <c r="H4783" i="2"/>
  <c r="J4783" i="2"/>
  <c r="K4783" i="2"/>
  <c r="L4783" i="2"/>
  <c r="C4784" i="2"/>
  <c r="D4784" i="2"/>
  <c r="F4784" i="2"/>
  <c r="G4784" i="2"/>
  <c r="H4784" i="2"/>
  <c r="J4784" i="2"/>
  <c r="K4784" i="2"/>
  <c r="L4784" i="2"/>
  <c r="C4785" i="2"/>
  <c r="D4785" i="2"/>
  <c r="F4785" i="2"/>
  <c r="G4785" i="2"/>
  <c r="H4785" i="2"/>
  <c r="J4785" i="2"/>
  <c r="K4785" i="2"/>
  <c r="L4785" i="2"/>
  <c r="C4786" i="2"/>
  <c r="D4786" i="2"/>
  <c r="F4786" i="2"/>
  <c r="G4786" i="2"/>
  <c r="H4786" i="2"/>
  <c r="J4786" i="2"/>
  <c r="K4786" i="2"/>
  <c r="L4786" i="2"/>
  <c r="C4787" i="2"/>
  <c r="D4787" i="2"/>
  <c r="F4787" i="2"/>
  <c r="G4787" i="2"/>
  <c r="H4787" i="2"/>
  <c r="J4787" i="2"/>
  <c r="K4787" i="2"/>
  <c r="L4787" i="2"/>
  <c r="C4788" i="2"/>
  <c r="D4788" i="2"/>
  <c r="F4788" i="2"/>
  <c r="G4788" i="2"/>
  <c r="H4788" i="2"/>
  <c r="J4788" i="2"/>
  <c r="K4788" i="2"/>
  <c r="L4788" i="2"/>
  <c r="C4789" i="2"/>
  <c r="D4789" i="2"/>
  <c r="F4789" i="2"/>
  <c r="G4789" i="2"/>
  <c r="H4789" i="2"/>
  <c r="J4789" i="2"/>
  <c r="K4789" i="2"/>
  <c r="L4789" i="2"/>
  <c r="C4790" i="2"/>
  <c r="D4790" i="2"/>
  <c r="F4790" i="2"/>
  <c r="G4790" i="2"/>
  <c r="H4790" i="2"/>
  <c r="J4790" i="2"/>
  <c r="K4790" i="2"/>
  <c r="L4790" i="2"/>
  <c r="C4791" i="2"/>
  <c r="D4791" i="2"/>
  <c r="F4791" i="2"/>
  <c r="G4791" i="2"/>
  <c r="H4791" i="2"/>
  <c r="J4791" i="2"/>
  <c r="K4791" i="2"/>
  <c r="L4791" i="2"/>
  <c r="C4792" i="2"/>
  <c r="D4792" i="2"/>
  <c r="F4792" i="2"/>
  <c r="G4792" i="2"/>
  <c r="H4792" i="2"/>
  <c r="J4792" i="2"/>
  <c r="K4792" i="2"/>
  <c r="L4792" i="2"/>
  <c r="C4793" i="2"/>
  <c r="D4793" i="2"/>
  <c r="F4793" i="2"/>
  <c r="G4793" i="2"/>
  <c r="H4793" i="2"/>
  <c r="J4793" i="2"/>
  <c r="K4793" i="2"/>
  <c r="L4793" i="2"/>
  <c r="C4794" i="2"/>
  <c r="D4794" i="2"/>
  <c r="F4794" i="2"/>
  <c r="G4794" i="2"/>
  <c r="H4794" i="2"/>
  <c r="J4794" i="2"/>
  <c r="K4794" i="2"/>
  <c r="L4794" i="2"/>
  <c r="C4795" i="2"/>
  <c r="D4795" i="2"/>
  <c r="F4795" i="2"/>
  <c r="G4795" i="2"/>
  <c r="H4795" i="2"/>
  <c r="J4795" i="2"/>
  <c r="K4795" i="2"/>
  <c r="L4795" i="2"/>
  <c r="C4796" i="2"/>
  <c r="D4796" i="2"/>
  <c r="F4796" i="2"/>
  <c r="G4796" i="2"/>
  <c r="H4796" i="2"/>
  <c r="J4796" i="2"/>
  <c r="K4796" i="2"/>
  <c r="L4796" i="2"/>
  <c r="C4797" i="2"/>
  <c r="D4797" i="2"/>
  <c r="F4797" i="2"/>
  <c r="G4797" i="2"/>
  <c r="H4797" i="2"/>
  <c r="J4797" i="2"/>
  <c r="K4797" i="2"/>
  <c r="L4797" i="2"/>
  <c r="C4798" i="2"/>
  <c r="D4798" i="2"/>
  <c r="F4798" i="2"/>
  <c r="G4798" i="2"/>
  <c r="H4798" i="2"/>
  <c r="J4798" i="2"/>
  <c r="K4798" i="2"/>
  <c r="L4798" i="2"/>
  <c r="C4799" i="2"/>
  <c r="D4799" i="2"/>
  <c r="F4799" i="2"/>
  <c r="G4799" i="2"/>
  <c r="H4799" i="2"/>
  <c r="J4799" i="2"/>
  <c r="K4799" i="2"/>
  <c r="L4799" i="2"/>
  <c r="C4800" i="2"/>
  <c r="D4800" i="2"/>
  <c r="F4800" i="2"/>
  <c r="G4800" i="2"/>
  <c r="H4800" i="2"/>
  <c r="J4800" i="2"/>
  <c r="K4800" i="2"/>
  <c r="L4800" i="2"/>
  <c r="C4801" i="2"/>
  <c r="D4801" i="2"/>
  <c r="F4801" i="2"/>
  <c r="G4801" i="2"/>
  <c r="H4801" i="2"/>
  <c r="J4801" i="2"/>
  <c r="K4801" i="2"/>
  <c r="L4801" i="2"/>
  <c r="C4802" i="2"/>
  <c r="D4802" i="2"/>
  <c r="F4802" i="2"/>
  <c r="G4802" i="2"/>
  <c r="H4802" i="2"/>
  <c r="J4802" i="2"/>
  <c r="K4802" i="2"/>
  <c r="L4802" i="2"/>
  <c r="C4803" i="2"/>
  <c r="D4803" i="2"/>
  <c r="F4803" i="2"/>
  <c r="G4803" i="2"/>
  <c r="H4803" i="2"/>
  <c r="J4803" i="2"/>
  <c r="K4803" i="2"/>
  <c r="L4803" i="2"/>
  <c r="C4804" i="2"/>
  <c r="D4804" i="2"/>
  <c r="F4804" i="2"/>
  <c r="G4804" i="2"/>
  <c r="H4804" i="2"/>
  <c r="J4804" i="2"/>
  <c r="K4804" i="2"/>
  <c r="L4804" i="2"/>
  <c r="C4805" i="2"/>
  <c r="D4805" i="2"/>
  <c r="F4805" i="2"/>
  <c r="G4805" i="2"/>
  <c r="H4805" i="2"/>
  <c r="J4805" i="2"/>
  <c r="K4805" i="2"/>
  <c r="L4805" i="2"/>
  <c r="C4806" i="2"/>
  <c r="D4806" i="2"/>
  <c r="F4806" i="2"/>
  <c r="G4806" i="2"/>
  <c r="H4806" i="2"/>
  <c r="J4806" i="2"/>
  <c r="K4806" i="2"/>
  <c r="L4806" i="2"/>
  <c r="C4807" i="2"/>
  <c r="D4807" i="2"/>
  <c r="F4807" i="2"/>
  <c r="G4807" i="2"/>
  <c r="H4807" i="2"/>
  <c r="J4807" i="2"/>
  <c r="K4807" i="2"/>
  <c r="L4807" i="2"/>
  <c r="C4808" i="2"/>
  <c r="D4808" i="2"/>
  <c r="F4808" i="2"/>
  <c r="G4808" i="2"/>
  <c r="H4808" i="2"/>
  <c r="J4808" i="2"/>
  <c r="K4808" i="2"/>
  <c r="L4808" i="2"/>
  <c r="C4809" i="2"/>
  <c r="D4809" i="2"/>
  <c r="F4809" i="2"/>
  <c r="G4809" i="2"/>
  <c r="H4809" i="2"/>
  <c r="J4809" i="2"/>
  <c r="K4809" i="2"/>
  <c r="L4809" i="2"/>
  <c r="C4810" i="2"/>
  <c r="D4810" i="2"/>
  <c r="F4810" i="2"/>
  <c r="G4810" i="2"/>
  <c r="H4810" i="2"/>
  <c r="J4810" i="2"/>
  <c r="K4810" i="2"/>
  <c r="L4810" i="2"/>
  <c r="C4811" i="2"/>
  <c r="D4811" i="2"/>
  <c r="F4811" i="2"/>
  <c r="G4811" i="2"/>
  <c r="H4811" i="2"/>
  <c r="J4811" i="2"/>
  <c r="K4811" i="2"/>
  <c r="L4811" i="2"/>
  <c r="C4812" i="2"/>
  <c r="D4812" i="2"/>
  <c r="F4812" i="2"/>
  <c r="G4812" i="2"/>
  <c r="H4812" i="2"/>
  <c r="J4812" i="2"/>
  <c r="K4812" i="2"/>
  <c r="L4812" i="2"/>
  <c r="C4813" i="2"/>
  <c r="D4813" i="2"/>
  <c r="F4813" i="2"/>
  <c r="G4813" i="2"/>
  <c r="H4813" i="2"/>
  <c r="J4813" i="2"/>
  <c r="K4813" i="2"/>
  <c r="L4813" i="2"/>
  <c r="C4814" i="2"/>
  <c r="D4814" i="2"/>
  <c r="F4814" i="2"/>
  <c r="G4814" i="2"/>
  <c r="H4814" i="2"/>
  <c r="J4814" i="2"/>
  <c r="K4814" i="2"/>
  <c r="L4814" i="2"/>
  <c r="C4815" i="2"/>
  <c r="D4815" i="2"/>
  <c r="F4815" i="2"/>
  <c r="G4815" i="2"/>
  <c r="H4815" i="2"/>
  <c r="J4815" i="2"/>
  <c r="K4815" i="2"/>
  <c r="L4815" i="2"/>
  <c r="C4816" i="2"/>
  <c r="D4816" i="2"/>
  <c r="F4816" i="2"/>
  <c r="G4816" i="2"/>
  <c r="H4816" i="2"/>
  <c r="J4816" i="2"/>
  <c r="K4816" i="2"/>
  <c r="L4816" i="2"/>
  <c r="C4817" i="2"/>
  <c r="D4817" i="2"/>
  <c r="F4817" i="2"/>
  <c r="G4817" i="2"/>
  <c r="H4817" i="2"/>
  <c r="J4817" i="2"/>
  <c r="K4817" i="2"/>
  <c r="L4817" i="2"/>
  <c r="C4818" i="2"/>
  <c r="D4818" i="2"/>
  <c r="F4818" i="2"/>
  <c r="G4818" i="2"/>
  <c r="H4818" i="2"/>
  <c r="J4818" i="2"/>
  <c r="K4818" i="2"/>
  <c r="L4818" i="2"/>
  <c r="C4819" i="2"/>
  <c r="D4819" i="2"/>
  <c r="F4819" i="2"/>
  <c r="G4819" i="2"/>
  <c r="H4819" i="2"/>
  <c r="J4819" i="2"/>
  <c r="K4819" i="2"/>
  <c r="L4819" i="2"/>
  <c r="C4820" i="2"/>
  <c r="D4820" i="2"/>
  <c r="F4820" i="2"/>
  <c r="G4820" i="2"/>
  <c r="H4820" i="2"/>
  <c r="J4820" i="2"/>
  <c r="K4820" i="2"/>
  <c r="L4820" i="2"/>
  <c r="C4821" i="2"/>
  <c r="D4821" i="2"/>
  <c r="F4821" i="2"/>
  <c r="G4821" i="2"/>
  <c r="H4821" i="2"/>
  <c r="J4821" i="2"/>
  <c r="K4821" i="2"/>
  <c r="L4821" i="2"/>
  <c r="C4822" i="2"/>
  <c r="D4822" i="2"/>
  <c r="F4822" i="2"/>
  <c r="G4822" i="2"/>
  <c r="H4822" i="2"/>
  <c r="J4822" i="2"/>
  <c r="K4822" i="2"/>
  <c r="L4822" i="2"/>
  <c r="C4823" i="2"/>
  <c r="D4823" i="2"/>
  <c r="F4823" i="2"/>
  <c r="G4823" i="2"/>
  <c r="H4823" i="2"/>
  <c r="J4823" i="2"/>
  <c r="K4823" i="2"/>
  <c r="L4823" i="2"/>
  <c r="C4824" i="2"/>
  <c r="D4824" i="2"/>
  <c r="F4824" i="2"/>
  <c r="G4824" i="2"/>
  <c r="H4824" i="2"/>
  <c r="J4824" i="2"/>
  <c r="K4824" i="2"/>
  <c r="L4824" i="2"/>
  <c r="C4825" i="2"/>
  <c r="D4825" i="2"/>
  <c r="F4825" i="2"/>
  <c r="G4825" i="2"/>
  <c r="H4825" i="2"/>
  <c r="J4825" i="2"/>
  <c r="K4825" i="2"/>
  <c r="L4825" i="2"/>
  <c r="C4826" i="2"/>
  <c r="D4826" i="2"/>
  <c r="F4826" i="2"/>
  <c r="G4826" i="2"/>
  <c r="H4826" i="2"/>
  <c r="J4826" i="2"/>
  <c r="K4826" i="2"/>
  <c r="L4826" i="2"/>
  <c r="C4827" i="2"/>
  <c r="D4827" i="2"/>
  <c r="F4827" i="2"/>
  <c r="G4827" i="2"/>
  <c r="H4827" i="2"/>
  <c r="J4827" i="2"/>
  <c r="K4827" i="2"/>
  <c r="L4827" i="2"/>
  <c r="C4828" i="2"/>
  <c r="D4828" i="2"/>
  <c r="F4828" i="2"/>
  <c r="G4828" i="2"/>
  <c r="H4828" i="2"/>
  <c r="J4828" i="2"/>
  <c r="K4828" i="2"/>
  <c r="L4828" i="2"/>
  <c r="C4829" i="2"/>
  <c r="D4829" i="2"/>
  <c r="F4829" i="2"/>
  <c r="G4829" i="2"/>
  <c r="H4829" i="2"/>
  <c r="J4829" i="2"/>
  <c r="K4829" i="2"/>
  <c r="L4829" i="2"/>
  <c r="C4830" i="2"/>
  <c r="D4830" i="2"/>
  <c r="F4830" i="2"/>
  <c r="G4830" i="2"/>
  <c r="H4830" i="2"/>
  <c r="J4830" i="2"/>
  <c r="K4830" i="2"/>
  <c r="L4830" i="2"/>
  <c r="C4831" i="2"/>
  <c r="D4831" i="2"/>
  <c r="F4831" i="2"/>
  <c r="G4831" i="2"/>
  <c r="H4831" i="2"/>
  <c r="J4831" i="2"/>
  <c r="K4831" i="2"/>
  <c r="L4831" i="2"/>
  <c r="C4832" i="2"/>
  <c r="D4832" i="2"/>
  <c r="F4832" i="2"/>
  <c r="G4832" i="2"/>
  <c r="H4832" i="2"/>
  <c r="J4832" i="2"/>
  <c r="K4832" i="2"/>
  <c r="L4832" i="2"/>
  <c r="C4833" i="2"/>
  <c r="D4833" i="2"/>
  <c r="F4833" i="2"/>
  <c r="G4833" i="2"/>
  <c r="H4833" i="2"/>
  <c r="J4833" i="2"/>
  <c r="K4833" i="2"/>
  <c r="L4833" i="2"/>
  <c r="C4834" i="2"/>
  <c r="D4834" i="2"/>
  <c r="F4834" i="2"/>
  <c r="G4834" i="2"/>
  <c r="H4834" i="2"/>
  <c r="J4834" i="2"/>
  <c r="K4834" i="2"/>
  <c r="L4834" i="2"/>
  <c r="C4835" i="2"/>
  <c r="D4835" i="2"/>
  <c r="F4835" i="2"/>
  <c r="G4835" i="2"/>
  <c r="H4835" i="2"/>
  <c r="J4835" i="2"/>
  <c r="K4835" i="2"/>
  <c r="L4835" i="2"/>
  <c r="C4836" i="2"/>
  <c r="D4836" i="2"/>
  <c r="F4836" i="2"/>
  <c r="G4836" i="2"/>
  <c r="H4836" i="2"/>
  <c r="J4836" i="2"/>
  <c r="K4836" i="2"/>
  <c r="L4836" i="2"/>
  <c r="C4837" i="2"/>
  <c r="D4837" i="2"/>
  <c r="F4837" i="2"/>
  <c r="G4837" i="2"/>
  <c r="H4837" i="2"/>
  <c r="J4837" i="2"/>
  <c r="K4837" i="2"/>
  <c r="L4837" i="2"/>
  <c r="C4838" i="2"/>
  <c r="D4838" i="2"/>
  <c r="F4838" i="2"/>
  <c r="G4838" i="2"/>
  <c r="H4838" i="2"/>
  <c r="J4838" i="2"/>
  <c r="K4838" i="2"/>
  <c r="L4838" i="2"/>
  <c r="C4839" i="2"/>
  <c r="D4839" i="2"/>
  <c r="F4839" i="2"/>
  <c r="G4839" i="2"/>
  <c r="H4839" i="2"/>
  <c r="J4839" i="2"/>
  <c r="K4839" i="2"/>
  <c r="L4839" i="2"/>
  <c r="C4840" i="2"/>
  <c r="D4840" i="2"/>
  <c r="F4840" i="2"/>
  <c r="G4840" i="2"/>
  <c r="H4840" i="2"/>
  <c r="J4840" i="2"/>
  <c r="K4840" i="2"/>
  <c r="L4840" i="2"/>
  <c r="C4841" i="2"/>
  <c r="D4841" i="2"/>
  <c r="F4841" i="2"/>
  <c r="G4841" i="2"/>
  <c r="H4841" i="2"/>
  <c r="J4841" i="2"/>
  <c r="K4841" i="2"/>
  <c r="L4841" i="2"/>
  <c r="C4842" i="2"/>
  <c r="D4842" i="2"/>
  <c r="F4842" i="2"/>
  <c r="G4842" i="2"/>
  <c r="H4842" i="2"/>
  <c r="J4842" i="2"/>
  <c r="K4842" i="2"/>
  <c r="L4842" i="2"/>
  <c r="C4843" i="2"/>
  <c r="D4843" i="2"/>
  <c r="F4843" i="2"/>
  <c r="G4843" i="2"/>
  <c r="H4843" i="2"/>
  <c r="J4843" i="2"/>
  <c r="K4843" i="2"/>
  <c r="L4843" i="2"/>
  <c r="C4844" i="2"/>
  <c r="D4844" i="2"/>
  <c r="F4844" i="2"/>
  <c r="G4844" i="2"/>
  <c r="H4844" i="2"/>
  <c r="J4844" i="2"/>
  <c r="K4844" i="2"/>
  <c r="L4844" i="2"/>
  <c r="C4845" i="2"/>
  <c r="D4845" i="2"/>
  <c r="F4845" i="2"/>
  <c r="G4845" i="2"/>
  <c r="H4845" i="2"/>
  <c r="J4845" i="2"/>
  <c r="K4845" i="2"/>
  <c r="L4845" i="2"/>
  <c r="C4846" i="2"/>
  <c r="D4846" i="2"/>
  <c r="F4846" i="2"/>
  <c r="G4846" i="2"/>
  <c r="H4846" i="2"/>
  <c r="J4846" i="2"/>
  <c r="K4846" i="2"/>
  <c r="L4846" i="2"/>
  <c r="C4847" i="2"/>
  <c r="D4847" i="2"/>
  <c r="F4847" i="2"/>
  <c r="G4847" i="2"/>
  <c r="H4847" i="2"/>
  <c r="J4847" i="2"/>
  <c r="K4847" i="2"/>
  <c r="L4847" i="2"/>
  <c r="C4848" i="2"/>
  <c r="D4848" i="2"/>
  <c r="F4848" i="2"/>
  <c r="G4848" i="2"/>
  <c r="H4848" i="2"/>
  <c r="J4848" i="2"/>
  <c r="K4848" i="2"/>
  <c r="L4848" i="2"/>
  <c r="C4849" i="2"/>
  <c r="D4849" i="2"/>
  <c r="F4849" i="2"/>
  <c r="G4849" i="2"/>
  <c r="H4849" i="2"/>
  <c r="J4849" i="2"/>
  <c r="K4849" i="2"/>
  <c r="L4849" i="2"/>
  <c r="C4850" i="2"/>
  <c r="D4850" i="2"/>
  <c r="F4850" i="2"/>
  <c r="G4850" i="2"/>
  <c r="H4850" i="2"/>
  <c r="J4850" i="2"/>
  <c r="K4850" i="2"/>
  <c r="L4850" i="2"/>
  <c r="C4851" i="2"/>
  <c r="D4851" i="2"/>
  <c r="F4851" i="2"/>
  <c r="G4851" i="2"/>
  <c r="H4851" i="2"/>
  <c r="J4851" i="2"/>
  <c r="K4851" i="2"/>
  <c r="L4851" i="2"/>
  <c r="C4852" i="2"/>
  <c r="D4852" i="2"/>
  <c r="F4852" i="2"/>
  <c r="G4852" i="2"/>
  <c r="H4852" i="2"/>
  <c r="J4852" i="2"/>
  <c r="K4852" i="2"/>
  <c r="L4852" i="2"/>
  <c r="C4853" i="2"/>
  <c r="D4853" i="2"/>
  <c r="F4853" i="2"/>
  <c r="G4853" i="2"/>
  <c r="H4853" i="2"/>
  <c r="J4853" i="2"/>
  <c r="K4853" i="2"/>
  <c r="L4853" i="2"/>
  <c r="C4854" i="2"/>
  <c r="D4854" i="2"/>
  <c r="F4854" i="2"/>
  <c r="G4854" i="2"/>
  <c r="H4854" i="2"/>
  <c r="J4854" i="2"/>
  <c r="K4854" i="2"/>
  <c r="L4854" i="2"/>
  <c r="C4855" i="2"/>
  <c r="D4855" i="2"/>
  <c r="F4855" i="2"/>
  <c r="G4855" i="2"/>
  <c r="H4855" i="2"/>
  <c r="J4855" i="2"/>
  <c r="K4855" i="2"/>
  <c r="L4855" i="2"/>
  <c r="C4856" i="2"/>
  <c r="D4856" i="2"/>
  <c r="F4856" i="2"/>
  <c r="G4856" i="2"/>
  <c r="H4856" i="2"/>
  <c r="J4856" i="2"/>
  <c r="K4856" i="2"/>
  <c r="L4856" i="2"/>
  <c r="C4857" i="2"/>
  <c r="D4857" i="2"/>
  <c r="F4857" i="2"/>
  <c r="G4857" i="2"/>
  <c r="H4857" i="2"/>
  <c r="J4857" i="2"/>
  <c r="K4857" i="2"/>
  <c r="L4857" i="2"/>
  <c r="C4858" i="2"/>
  <c r="D4858" i="2"/>
  <c r="F4858" i="2"/>
  <c r="G4858" i="2"/>
  <c r="H4858" i="2"/>
  <c r="J4858" i="2"/>
  <c r="K4858" i="2"/>
  <c r="L4858" i="2"/>
  <c r="C4859" i="2"/>
  <c r="D4859" i="2"/>
  <c r="F4859" i="2"/>
  <c r="G4859" i="2"/>
  <c r="H4859" i="2"/>
  <c r="J4859" i="2"/>
  <c r="K4859" i="2"/>
  <c r="L4859" i="2"/>
  <c r="C4860" i="2"/>
  <c r="D4860" i="2"/>
  <c r="F4860" i="2"/>
  <c r="G4860" i="2"/>
  <c r="H4860" i="2"/>
  <c r="J4860" i="2"/>
  <c r="K4860" i="2"/>
  <c r="L4860" i="2"/>
  <c r="C4861" i="2"/>
  <c r="D4861" i="2"/>
  <c r="F4861" i="2"/>
  <c r="G4861" i="2"/>
  <c r="H4861" i="2"/>
  <c r="J4861" i="2"/>
  <c r="K4861" i="2"/>
  <c r="L4861" i="2"/>
  <c r="C4862" i="2"/>
  <c r="D4862" i="2"/>
  <c r="F4862" i="2"/>
  <c r="G4862" i="2"/>
  <c r="H4862" i="2"/>
  <c r="J4862" i="2"/>
  <c r="K4862" i="2"/>
  <c r="L4862" i="2"/>
  <c r="C4863" i="2"/>
  <c r="D4863" i="2"/>
  <c r="F4863" i="2"/>
  <c r="G4863" i="2"/>
  <c r="H4863" i="2"/>
  <c r="J4863" i="2"/>
  <c r="K4863" i="2"/>
  <c r="L4863" i="2"/>
  <c r="C4864" i="2"/>
  <c r="D4864" i="2"/>
  <c r="F4864" i="2"/>
  <c r="G4864" i="2"/>
  <c r="H4864" i="2"/>
  <c r="J4864" i="2"/>
  <c r="K4864" i="2"/>
  <c r="L4864" i="2"/>
  <c r="C4865" i="2"/>
  <c r="D4865" i="2"/>
  <c r="F4865" i="2"/>
  <c r="G4865" i="2"/>
  <c r="H4865" i="2"/>
  <c r="J4865" i="2"/>
  <c r="K4865" i="2"/>
  <c r="L4865" i="2"/>
  <c r="C4866" i="2"/>
  <c r="D4866" i="2"/>
  <c r="F4866" i="2"/>
  <c r="G4866" i="2"/>
  <c r="H4866" i="2"/>
  <c r="J4866" i="2"/>
  <c r="K4866" i="2"/>
  <c r="L4866" i="2"/>
  <c r="C4867" i="2"/>
  <c r="D4867" i="2"/>
  <c r="F4867" i="2"/>
  <c r="G4867" i="2"/>
  <c r="H4867" i="2"/>
  <c r="J4867" i="2"/>
  <c r="K4867" i="2"/>
  <c r="L4867" i="2"/>
  <c r="C4868" i="2"/>
  <c r="D4868" i="2"/>
  <c r="F4868" i="2"/>
  <c r="G4868" i="2"/>
  <c r="H4868" i="2"/>
  <c r="J4868" i="2"/>
  <c r="K4868" i="2"/>
  <c r="L4868" i="2"/>
  <c r="C4869" i="2"/>
  <c r="D4869" i="2"/>
  <c r="F4869" i="2"/>
  <c r="G4869" i="2"/>
  <c r="H4869" i="2"/>
  <c r="J4869" i="2"/>
  <c r="K4869" i="2"/>
  <c r="L4869" i="2"/>
  <c r="C4870" i="2"/>
  <c r="D4870" i="2"/>
  <c r="F4870" i="2"/>
  <c r="G4870" i="2"/>
  <c r="H4870" i="2"/>
  <c r="J4870" i="2"/>
  <c r="K4870" i="2"/>
  <c r="L4870" i="2"/>
  <c r="C4871" i="2"/>
  <c r="D4871" i="2"/>
  <c r="F4871" i="2"/>
  <c r="G4871" i="2"/>
  <c r="H4871" i="2"/>
  <c r="J4871" i="2"/>
  <c r="K4871" i="2"/>
  <c r="L4871" i="2"/>
  <c r="C4872" i="2"/>
  <c r="D4872" i="2"/>
  <c r="F4872" i="2"/>
  <c r="G4872" i="2"/>
  <c r="H4872" i="2"/>
  <c r="J4872" i="2"/>
  <c r="K4872" i="2"/>
  <c r="L4872" i="2"/>
  <c r="C4873" i="2"/>
  <c r="D4873" i="2"/>
  <c r="F4873" i="2"/>
  <c r="G4873" i="2"/>
  <c r="H4873" i="2"/>
  <c r="J4873" i="2"/>
  <c r="K4873" i="2"/>
  <c r="L4873" i="2"/>
  <c r="C4874" i="2"/>
  <c r="D4874" i="2"/>
  <c r="F4874" i="2"/>
  <c r="G4874" i="2"/>
  <c r="H4874" i="2"/>
  <c r="J4874" i="2"/>
  <c r="K4874" i="2"/>
  <c r="L4874" i="2"/>
  <c r="C4875" i="2"/>
  <c r="D4875" i="2"/>
  <c r="F4875" i="2"/>
  <c r="G4875" i="2"/>
  <c r="H4875" i="2"/>
  <c r="J4875" i="2"/>
  <c r="K4875" i="2"/>
  <c r="L4875" i="2"/>
  <c r="C4876" i="2"/>
  <c r="D4876" i="2"/>
  <c r="F4876" i="2"/>
  <c r="G4876" i="2"/>
  <c r="H4876" i="2"/>
  <c r="J4876" i="2"/>
  <c r="K4876" i="2"/>
  <c r="L4876" i="2"/>
  <c r="C4877" i="2"/>
  <c r="D4877" i="2"/>
  <c r="F4877" i="2"/>
  <c r="G4877" i="2"/>
  <c r="H4877" i="2"/>
  <c r="J4877" i="2"/>
  <c r="K4877" i="2"/>
  <c r="L4877" i="2"/>
  <c r="C4878" i="2"/>
  <c r="D4878" i="2"/>
  <c r="F4878" i="2"/>
  <c r="G4878" i="2"/>
  <c r="H4878" i="2"/>
  <c r="J4878" i="2"/>
  <c r="K4878" i="2"/>
  <c r="L4878" i="2"/>
  <c r="C4879" i="2"/>
  <c r="D4879" i="2"/>
  <c r="F4879" i="2"/>
  <c r="G4879" i="2"/>
  <c r="H4879" i="2"/>
  <c r="J4879" i="2"/>
  <c r="K4879" i="2"/>
  <c r="L4879" i="2"/>
  <c r="C4880" i="2"/>
  <c r="D4880" i="2"/>
  <c r="F4880" i="2"/>
  <c r="G4880" i="2"/>
  <c r="H4880" i="2"/>
  <c r="J4880" i="2"/>
  <c r="K4880" i="2"/>
  <c r="L4880" i="2"/>
  <c r="C4881" i="2"/>
  <c r="D4881" i="2"/>
  <c r="F4881" i="2"/>
  <c r="G4881" i="2"/>
  <c r="H4881" i="2"/>
  <c r="J4881" i="2"/>
  <c r="K4881" i="2"/>
  <c r="L4881" i="2"/>
  <c r="C4882" i="2"/>
  <c r="D4882" i="2"/>
  <c r="F4882" i="2"/>
  <c r="G4882" i="2"/>
  <c r="H4882" i="2"/>
  <c r="J4882" i="2"/>
  <c r="K4882" i="2"/>
  <c r="L4882" i="2"/>
  <c r="C4883" i="2"/>
  <c r="D4883" i="2"/>
  <c r="F4883" i="2"/>
  <c r="G4883" i="2"/>
  <c r="H4883" i="2"/>
  <c r="J4883" i="2"/>
  <c r="K4883" i="2"/>
  <c r="L4883" i="2"/>
  <c r="C4884" i="2"/>
  <c r="D4884" i="2"/>
  <c r="F4884" i="2"/>
  <c r="G4884" i="2"/>
  <c r="H4884" i="2"/>
  <c r="J4884" i="2"/>
  <c r="K4884" i="2"/>
  <c r="L4884" i="2"/>
  <c r="C4885" i="2"/>
  <c r="D4885" i="2"/>
  <c r="F4885" i="2"/>
  <c r="G4885" i="2"/>
  <c r="H4885" i="2"/>
  <c r="J4885" i="2"/>
  <c r="K4885" i="2"/>
  <c r="L4885" i="2"/>
  <c r="C4886" i="2"/>
  <c r="D4886" i="2"/>
  <c r="F4886" i="2"/>
  <c r="G4886" i="2"/>
  <c r="H4886" i="2"/>
  <c r="J4886" i="2"/>
  <c r="K4886" i="2"/>
  <c r="L4886" i="2"/>
  <c r="C4887" i="2"/>
  <c r="D4887" i="2"/>
  <c r="F4887" i="2"/>
  <c r="G4887" i="2"/>
  <c r="H4887" i="2"/>
  <c r="J4887" i="2"/>
  <c r="K4887" i="2"/>
  <c r="L4887" i="2"/>
  <c r="C4888" i="2"/>
  <c r="D4888" i="2"/>
  <c r="F4888" i="2"/>
  <c r="G4888" i="2"/>
  <c r="H4888" i="2"/>
  <c r="J4888" i="2"/>
  <c r="K4888" i="2"/>
  <c r="L4888" i="2"/>
  <c r="C4889" i="2"/>
  <c r="D4889" i="2"/>
  <c r="F4889" i="2"/>
  <c r="G4889" i="2"/>
  <c r="H4889" i="2"/>
  <c r="J4889" i="2"/>
  <c r="K4889" i="2"/>
  <c r="L4889" i="2"/>
  <c r="C4890" i="2"/>
  <c r="D4890" i="2"/>
  <c r="F4890" i="2"/>
  <c r="G4890" i="2"/>
  <c r="H4890" i="2"/>
  <c r="J4890" i="2"/>
  <c r="K4890" i="2"/>
  <c r="L4890" i="2"/>
  <c r="C4891" i="2"/>
  <c r="D4891" i="2"/>
  <c r="F4891" i="2"/>
  <c r="G4891" i="2"/>
  <c r="H4891" i="2"/>
  <c r="J4891" i="2"/>
  <c r="K4891" i="2"/>
  <c r="L4891" i="2"/>
  <c r="C4892" i="2"/>
  <c r="D4892" i="2"/>
  <c r="F4892" i="2"/>
  <c r="G4892" i="2"/>
  <c r="H4892" i="2"/>
  <c r="J4892" i="2"/>
  <c r="K4892" i="2"/>
  <c r="L4892" i="2"/>
  <c r="C4893" i="2"/>
  <c r="D4893" i="2"/>
  <c r="F4893" i="2"/>
  <c r="G4893" i="2"/>
  <c r="H4893" i="2"/>
  <c r="J4893" i="2"/>
  <c r="K4893" i="2"/>
  <c r="L4893" i="2"/>
  <c r="C4894" i="2"/>
  <c r="D4894" i="2"/>
  <c r="F4894" i="2"/>
  <c r="G4894" i="2"/>
  <c r="H4894" i="2"/>
  <c r="J4894" i="2"/>
  <c r="K4894" i="2"/>
  <c r="L4894" i="2"/>
  <c r="C4895" i="2"/>
  <c r="D4895" i="2"/>
  <c r="F4895" i="2"/>
  <c r="G4895" i="2"/>
  <c r="H4895" i="2"/>
  <c r="J4895" i="2"/>
  <c r="K4895" i="2"/>
  <c r="L4895" i="2"/>
  <c r="C4896" i="2"/>
  <c r="D4896" i="2"/>
  <c r="F4896" i="2"/>
  <c r="G4896" i="2"/>
  <c r="H4896" i="2"/>
  <c r="J4896" i="2"/>
  <c r="K4896" i="2"/>
  <c r="L4896" i="2"/>
  <c r="C4897" i="2"/>
  <c r="D4897" i="2"/>
  <c r="F4897" i="2"/>
  <c r="G4897" i="2"/>
  <c r="H4897" i="2"/>
  <c r="J4897" i="2"/>
  <c r="K4897" i="2"/>
  <c r="L4897" i="2"/>
  <c r="C4898" i="2"/>
  <c r="D4898" i="2"/>
  <c r="F4898" i="2"/>
  <c r="G4898" i="2"/>
  <c r="H4898" i="2"/>
  <c r="J4898" i="2"/>
  <c r="K4898" i="2"/>
  <c r="L4898" i="2"/>
  <c r="C4899" i="2"/>
  <c r="D4899" i="2"/>
  <c r="F4899" i="2"/>
  <c r="G4899" i="2"/>
  <c r="H4899" i="2"/>
  <c r="J4899" i="2"/>
  <c r="K4899" i="2"/>
  <c r="L4899" i="2"/>
  <c r="C4900" i="2"/>
  <c r="D4900" i="2"/>
  <c r="F4900" i="2"/>
  <c r="G4900" i="2"/>
  <c r="H4900" i="2"/>
  <c r="J4900" i="2"/>
  <c r="K4900" i="2"/>
  <c r="L4900" i="2"/>
  <c r="C4901" i="2"/>
  <c r="D4901" i="2"/>
  <c r="F4901" i="2"/>
  <c r="G4901" i="2"/>
  <c r="H4901" i="2"/>
  <c r="J4901" i="2"/>
  <c r="K4901" i="2"/>
  <c r="L4901" i="2"/>
  <c r="C4902" i="2"/>
  <c r="D4902" i="2"/>
  <c r="F4902" i="2"/>
  <c r="G4902" i="2"/>
  <c r="H4902" i="2"/>
  <c r="J4902" i="2"/>
  <c r="K4902" i="2"/>
  <c r="L4902" i="2"/>
  <c r="C4903" i="2"/>
  <c r="D4903" i="2"/>
  <c r="F4903" i="2"/>
  <c r="G4903" i="2"/>
  <c r="H4903" i="2"/>
  <c r="J4903" i="2"/>
  <c r="K4903" i="2"/>
  <c r="L4903" i="2"/>
  <c r="C4904" i="2"/>
  <c r="D4904" i="2"/>
  <c r="F4904" i="2"/>
  <c r="G4904" i="2"/>
  <c r="H4904" i="2"/>
  <c r="J4904" i="2"/>
  <c r="K4904" i="2"/>
  <c r="L4904" i="2"/>
  <c r="C4905" i="2"/>
  <c r="D4905" i="2"/>
  <c r="F4905" i="2"/>
  <c r="G4905" i="2"/>
  <c r="H4905" i="2"/>
  <c r="J4905" i="2"/>
  <c r="K4905" i="2"/>
  <c r="L4905" i="2"/>
  <c r="C4906" i="2"/>
  <c r="D4906" i="2"/>
  <c r="F4906" i="2"/>
  <c r="G4906" i="2"/>
  <c r="H4906" i="2"/>
  <c r="J4906" i="2"/>
  <c r="K4906" i="2"/>
  <c r="L4906" i="2"/>
  <c r="C4907" i="2"/>
  <c r="D4907" i="2"/>
  <c r="F4907" i="2"/>
  <c r="G4907" i="2"/>
  <c r="H4907" i="2"/>
  <c r="J4907" i="2"/>
  <c r="K4907" i="2"/>
  <c r="L4907" i="2"/>
  <c r="C4908" i="2"/>
  <c r="D4908" i="2"/>
  <c r="F4908" i="2"/>
  <c r="G4908" i="2"/>
  <c r="H4908" i="2"/>
  <c r="J4908" i="2"/>
  <c r="K4908" i="2"/>
  <c r="L4908" i="2"/>
  <c r="C4909" i="2"/>
  <c r="D4909" i="2"/>
  <c r="F4909" i="2"/>
  <c r="G4909" i="2"/>
  <c r="H4909" i="2"/>
  <c r="J4909" i="2"/>
  <c r="K4909" i="2"/>
  <c r="L4909" i="2"/>
  <c r="C4910" i="2"/>
  <c r="D4910" i="2"/>
  <c r="F4910" i="2"/>
  <c r="G4910" i="2"/>
  <c r="H4910" i="2"/>
  <c r="J4910" i="2"/>
  <c r="K4910" i="2"/>
  <c r="L4910" i="2"/>
  <c r="C4911" i="2"/>
  <c r="D4911" i="2"/>
  <c r="F4911" i="2"/>
  <c r="G4911" i="2"/>
  <c r="H4911" i="2"/>
  <c r="J4911" i="2"/>
  <c r="K4911" i="2"/>
  <c r="L4911" i="2"/>
  <c r="C4912" i="2"/>
  <c r="D4912" i="2"/>
  <c r="F4912" i="2"/>
  <c r="G4912" i="2"/>
  <c r="H4912" i="2"/>
  <c r="J4912" i="2"/>
  <c r="K4912" i="2"/>
  <c r="L4912" i="2"/>
  <c r="C4913" i="2"/>
  <c r="D4913" i="2"/>
  <c r="F4913" i="2"/>
  <c r="G4913" i="2"/>
  <c r="H4913" i="2"/>
  <c r="J4913" i="2"/>
  <c r="K4913" i="2"/>
  <c r="L4913" i="2"/>
  <c r="C4914" i="2"/>
  <c r="D4914" i="2"/>
  <c r="F4914" i="2"/>
  <c r="G4914" i="2"/>
  <c r="H4914" i="2"/>
  <c r="J4914" i="2"/>
  <c r="K4914" i="2"/>
  <c r="L4914" i="2"/>
  <c r="C4915" i="2"/>
  <c r="D4915" i="2"/>
  <c r="F4915" i="2"/>
  <c r="G4915" i="2"/>
  <c r="H4915" i="2"/>
  <c r="J4915" i="2"/>
  <c r="K4915" i="2"/>
  <c r="L4915" i="2"/>
  <c r="C4916" i="2"/>
  <c r="D4916" i="2"/>
  <c r="F4916" i="2"/>
  <c r="G4916" i="2"/>
  <c r="H4916" i="2"/>
  <c r="J4916" i="2"/>
  <c r="K4916" i="2"/>
  <c r="L4916" i="2"/>
  <c r="C4917" i="2"/>
  <c r="D4917" i="2"/>
  <c r="F4917" i="2"/>
  <c r="G4917" i="2"/>
  <c r="H4917" i="2"/>
  <c r="J4917" i="2"/>
  <c r="K4917" i="2"/>
  <c r="L4917" i="2"/>
  <c r="C4918" i="2"/>
  <c r="D4918" i="2"/>
  <c r="F4918" i="2"/>
  <c r="G4918" i="2"/>
  <c r="H4918" i="2"/>
  <c r="J4918" i="2"/>
  <c r="K4918" i="2"/>
  <c r="L4918" i="2"/>
  <c r="C4919" i="2"/>
  <c r="D4919" i="2"/>
  <c r="F4919" i="2"/>
  <c r="G4919" i="2"/>
  <c r="H4919" i="2"/>
  <c r="J4919" i="2"/>
  <c r="K4919" i="2"/>
  <c r="L4919" i="2"/>
  <c r="C4920" i="2"/>
  <c r="D4920" i="2"/>
  <c r="F4920" i="2"/>
  <c r="G4920" i="2"/>
  <c r="H4920" i="2"/>
  <c r="J4920" i="2"/>
  <c r="K4920" i="2"/>
  <c r="L4920" i="2"/>
  <c r="C4921" i="2"/>
  <c r="D4921" i="2"/>
  <c r="F4921" i="2"/>
  <c r="G4921" i="2"/>
  <c r="H4921" i="2"/>
  <c r="J4921" i="2"/>
  <c r="K4921" i="2"/>
  <c r="L4921" i="2"/>
  <c r="C4922" i="2"/>
  <c r="D4922" i="2"/>
  <c r="F4922" i="2"/>
  <c r="G4922" i="2"/>
  <c r="H4922" i="2"/>
  <c r="J4922" i="2"/>
  <c r="K4922" i="2"/>
  <c r="L4922" i="2"/>
  <c r="C4923" i="2"/>
  <c r="D4923" i="2"/>
  <c r="F4923" i="2"/>
  <c r="G4923" i="2"/>
  <c r="H4923" i="2"/>
  <c r="J4923" i="2"/>
  <c r="K4923" i="2"/>
  <c r="L4923" i="2"/>
  <c r="C4924" i="2"/>
  <c r="D4924" i="2"/>
  <c r="F4924" i="2"/>
  <c r="G4924" i="2"/>
  <c r="H4924" i="2"/>
  <c r="J4924" i="2"/>
  <c r="K4924" i="2"/>
  <c r="L4924" i="2"/>
  <c r="C4925" i="2"/>
  <c r="D4925" i="2"/>
  <c r="F4925" i="2"/>
  <c r="G4925" i="2"/>
  <c r="H4925" i="2"/>
  <c r="J4925" i="2"/>
  <c r="K4925" i="2"/>
  <c r="L4925" i="2"/>
  <c r="C4926" i="2"/>
  <c r="D4926" i="2"/>
  <c r="F4926" i="2"/>
  <c r="G4926" i="2"/>
  <c r="H4926" i="2"/>
  <c r="J4926" i="2"/>
  <c r="K4926" i="2"/>
  <c r="L4926" i="2"/>
  <c r="C4927" i="2"/>
  <c r="D4927" i="2"/>
  <c r="F4927" i="2"/>
  <c r="G4927" i="2"/>
  <c r="H4927" i="2"/>
  <c r="J4927" i="2"/>
  <c r="K4927" i="2"/>
  <c r="L4927" i="2"/>
  <c r="C4928" i="2"/>
  <c r="D4928" i="2"/>
  <c r="F4928" i="2"/>
  <c r="G4928" i="2"/>
  <c r="H4928" i="2"/>
  <c r="J4928" i="2"/>
  <c r="K4928" i="2"/>
  <c r="L4928" i="2"/>
  <c r="C4929" i="2"/>
  <c r="D4929" i="2"/>
  <c r="F4929" i="2"/>
  <c r="G4929" i="2"/>
  <c r="H4929" i="2"/>
  <c r="J4929" i="2"/>
  <c r="K4929" i="2"/>
  <c r="L4929" i="2"/>
  <c r="C4930" i="2"/>
  <c r="D4930" i="2"/>
  <c r="F4930" i="2"/>
  <c r="G4930" i="2"/>
  <c r="H4930" i="2"/>
  <c r="J4930" i="2"/>
  <c r="K4930" i="2"/>
  <c r="L4930" i="2"/>
  <c r="C4931" i="2"/>
  <c r="D4931" i="2"/>
  <c r="F4931" i="2"/>
  <c r="G4931" i="2"/>
  <c r="H4931" i="2"/>
  <c r="J4931" i="2"/>
  <c r="K4931" i="2"/>
  <c r="L4931" i="2"/>
  <c r="C4932" i="2"/>
  <c r="D4932" i="2"/>
  <c r="F4932" i="2"/>
  <c r="G4932" i="2"/>
  <c r="H4932" i="2"/>
  <c r="J4932" i="2"/>
  <c r="K4932" i="2"/>
  <c r="L4932" i="2"/>
  <c r="C4933" i="2"/>
  <c r="D4933" i="2"/>
  <c r="F4933" i="2"/>
  <c r="G4933" i="2"/>
  <c r="H4933" i="2"/>
  <c r="J4933" i="2"/>
  <c r="K4933" i="2"/>
  <c r="L4933" i="2"/>
  <c r="C4934" i="2"/>
  <c r="D4934" i="2"/>
  <c r="F4934" i="2"/>
  <c r="G4934" i="2"/>
  <c r="H4934" i="2"/>
  <c r="J4934" i="2"/>
  <c r="K4934" i="2"/>
  <c r="L4934" i="2"/>
  <c r="C4935" i="2"/>
  <c r="D4935" i="2"/>
  <c r="F4935" i="2"/>
  <c r="G4935" i="2"/>
  <c r="H4935" i="2"/>
  <c r="J4935" i="2"/>
  <c r="K4935" i="2"/>
  <c r="L4935" i="2"/>
  <c r="C4936" i="2"/>
  <c r="D4936" i="2"/>
  <c r="F4936" i="2"/>
  <c r="G4936" i="2"/>
  <c r="H4936" i="2"/>
  <c r="J4936" i="2"/>
  <c r="K4936" i="2"/>
  <c r="L4936" i="2"/>
  <c r="C4937" i="2"/>
  <c r="D4937" i="2"/>
  <c r="F4937" i="2"/>
  <c r="G4937" i="2"/>
  <c r="H4937" i="2"/>
  <c r="J4937" i="2"/>
  <c r="K4937" i="2"/>
  <c r="L4937" i="2"/>
  <c r="C4938" i="2"/>
  <c r="D4938" i="2"/>
  <c r="F4938" i="2"/>
  <c r="G4938" i="2"/>
  <c r="H4938" i="2"/>
  <c r="J4938" i="2"/>
  <c r="K4938" i="2"/>
  <c r="L4938" i="2"/>
  <c r="C4939" i="2"/>
  <c r="D4939" i="2"/>
  <c r="F4939" i="2"/>
  <c r="G4939" i="2"/>
  <c r="H4939" i="2"/>
  <c r="J4939" i="2"/>
  <c r="K4939" i="2"/>
  <c r="L4939" i="2"/>
  <c r="C4940" i="2"/>
  <c r="D4940" i="2"/>
  <c r="F4940" i="2"/>
  <c r="G4940" i="2"/>
  <c r="H4940" i="2"/>
  <c r="J4940" i="2"/>
  <c r="K4940" i="2"/>
  <c r="L4940" i="2"/>
  <c r="C4941" i="2"/>
  <c r="D4941" i="2"/>
  <c r="F4941" i="2"/>
  <c r="G4941" i="2"/>
  <c r="H4941" i="2"/>
  <c r="J4941" i="2"/>
  <c r="K4941" i="2"/>
  <c r="L4941" i="2"/>
  <c r="C4942" i="2"/>
  <c r="D4942" i="2"/>
  <c r="F4942" i="2"/>
  <c r="G4942" i="2"/>
  <c r="H4942" i="2"/>
  <c r="J4942" i="2"/>
  <c r="K4942" i="2"/>
  <c r="L4942" i="2"/>
  <c r="C4943" i="2"/>
  <c r="D4943" i="2"/>
  <c r="F4943" i="2"/>
  <c r="G4943" i="2"/>
  <c r="H4943" i="2"/>
  <c r="J4943" i="2"/>
  <c r="K4943" i="2"/>
  <c r="L4943" i="2"/>
  <c r="C4944" i="2"/>
  <c r="D4944" i="2"/>
  <c r="F4944" i="2"/>
  <c r="G4944" i="2"/>
  <c r="H4944" i="2"/>
  <c r="J4944" i="2"/>
  <c r="K4944" i="2"/>
  <c r="L4944" i="2"/>
  <c r="C4945" i="2"/>
  <c r="D4945" i="2"/>
  <c r="F4945" i="2"/>
  <c r="G4945" i="2"/>
  <c r="H4945" i="2"/>
  <c r="J4945" i="2"/>
  <c r="K4945" i="2"/>
  <c r="L4945" i="2"/>
  <c r="C4946" i="2"/>
  <c r="D4946" i="2"/>
  <c r="F4946" i="2"/>
  <c r="G4946" i="2"/>
  <c r="H4946" i="2"/>
  <c r="J4946" i="2"/>
  <c r="K4946" i="2"/>
  <c r="L4946" i="2"/>
  <c r="C4947" i="2"/>
  <c r="D4947" i="2"/>
  <c r="F4947" i="2"/>
  <c r="G4947" i="2"/>
  <c r="H4947" i="2"/>
  <c r="J4947" i="2"/>
  <c r="K4947" i="2"/>
  <c r="L4947" i="2"/>
  <c r="C4948" i="2"/>
  <c r="D4948" i="2"/>
  <c r="F4948" i="2"/>
  <c r="G4948" i="2"/>
  <c r="H4948" i="2"/>
  <c r="J4948" i="2"/>
  <c r="K4948" i="2"/>
  <c r="L4948" i="2"/>
  <c r="C4949" i="2"/>
  <c r="D4949" i="2"/>
  <c r="F4949" i="2"/>
  <c r="G4949" i="2"/>
  <c r="H4949" i="2"/>
  <c r="J4949" i="2"/>
  <c r="K4949" i="2"/>
  <c r="L4949" i="2"/>
  <c r="C4950" i="2"/>
  <c r="D4950" i="2"/>
  <c r="F4950" i="2"/>
  <c r="G4950" i="2"/>
  <c r="H4950" i="2"/>
  <c r="J4950" i="2"/>
  <c r="K4950" i="2"/>
  <c r="L4950" i="2"/>
  <c r="C4951" i="2"/>
  <c r="D4951" i="2"/>
  <c r="F4951" i="2"/>
  <c r="G4951" i="2"/>
  <c r="H4951" i="2"/>
  <c r="J4951" i="2"/>
  <c r="K4951" i="2"/>
  <c r="L4951" i="2"/>
  <c r="C4952" i="2"/>
  <c r="D4952" i="2"/>
  <c r="F4952" i="2"/>
  <c r="G4952" i="2"/>
  <c r="H4952" i="2"/>
  <c r="J4952" i="2"/>
  <c r="K4952" i="2"/>
  <c r="L4952" i="2"/>
  <c r="C4953" i="2"/>
  <c r="D4953" i="2"/>
  <c r="F4953" i="2"/>
  <c r="G4953" i="2"/>
  <c r="H4953" i="2"/>
  <c r="J4953" i="2"/>
  <c r="K4953" i="2"/>
  <c r="L4953" i="2"/>
  <c r="C4954" i="2"/>
  <c r="D4954" i="2"/>
  <c r="F4954" i="2"/>
  <c r="G4954" i="2"/>
  <c r="H4954" i="2"/>
  <c r="J4954" i="2"/>
  <c r="K4954" i="2"/>
  <c r="L4954" i="2"/>
  <c r="C4955" i="2"/>
  <c r="D4955" i="2"/>
  <c r="F4955" i="2"/>
  <c r="G4955" i="2"/>
  <c r="H4955" i="2"/>
  <c r="J4955" i="2"/>
  <c r="K4955" i="2"/>
  <c r="L4955" i="2"/>
  <c r="C4956" i="2"/>
  <c r="D4956" i="2"/>
  <c r="F4956" i="2"/>
  <c r="G4956" i="2"/>
  <c r="H4956" i="2"/>
  <c r="J4956" i="2"/>
  <c r="K4956" i="2"/>
  <c r="L4956" i="2"/>
  <c r="C4957" i="2"/>
  <c r="D4957" i="2"/>
  <c r="F4957" i="2"/>
  <c r="G4957" i="2"/>
  <c r="H4957" i="2"/>
  <c r="J4957" i="2"/>
  <c r="K4957" i="2"/>
  <c r="L4957" i="2"/>
  <c r="C4958" i="2"/>
  <c r="D4958" i="2"/>
  <c r="F4958" i="2"/>
  <c r="G4958" i="2"/>
  <c r="H4958" i="2"/>
  <c r="J4958" i="2"/>
  <c r="K4958" i="2"/>
  <c r="L4958" i="2"/>
  <c r="C4959" i="2"/>
  <c r="D4959" i="2"/>
  <c r="F4959" i="2"/>
  <c r="G4959" i="2"/>
  <c r="H4959" i="2"/>
  <c r="J4959" i="2"/>
  <c r="K4959" i="2"/>
  <c r="L4959" i="2"/>
  <c r="C4960" i="2"/>
  <c r="D4960" i="2"/>
  <c r="F4960" i="2"/>
  <c r="G4960" i="2"/>
  <c r="H4960" i="2"/>
  <c r="J4960" i="2"/>
  <c r="K4960" i="2"/>
  <c r="L4960" i="2"/>
  <c r="C4961" i="2"/>
  <c r="D4961" i="2"/>
  <c r="F4961" i="2"/>
  <c r="G4961" i="2"/>
  <c r="H4961" i="2"/>
  <c r="J4961" i="2"/>
  <c r="K4961" i="2"/>
  <c r="L4961" i="2"/>
  <c r="C4962" i="2"/>
  <c r="D4962" i="2"/>
  <c r="F4962" i="2"/>
  <c r="G4962" i="2"/>
  <c r="H4962" i="2"/>
  <c r="J4962" i="2"/>
  <c r="K4962" i="2"/>
  <c r="L4962" i="2"/>
  <c r="C4963" i="2"/>
  <c r="D4963" i="2"/>
  <c r="F4963" i="2"/>
  <c r="G4963" i="2"/>
  <c r="H4963" i="2"/>
  <c r="J4963" i="2"/>
  <c r="K4963" i="2"/>
  <c r="L4963" i="2"/>
  <c r="C4964" i="2"/>
  <c r="D4964" i="2"/>
  <c r="F4964" i="2"/>
  <c r="G4964" i="2"/>
  <c r="H4964" i="2"/>
  <c r="J4964" i="2"/>
  <c r="K4964" i="2"/>
  <c r="L4964" i="2"/>
  <c r="C4965" i="2"/>
  <c r="D4965" i="2"/>
  <c r="F4965" i="2"/>
  <c r="G4965" i="2"/>
  <c r="H4965" i="2"/>
  <c r="J4965" i="2"/>
  <c r="K4965" i="2"/>
  <c r="L4965" i="2"/>
  <c r="C4966" i="2"/>
  <c r="D4966" i="2"/>
  <c r="F4966" i="2"/>
  <c r="G4966" i="2"/>
  <c r="H4966" i="2"/>
  <c r="J4966" i="2"/>
  <c r="K4966" i="2"/>
  <c r="L4966" i="2"/>
  <c r="C4967" i="2"/>
  <c r="D4967" i="2"/>
  <c r="F4967" i="2"/>
  <c r="G4967" i="2"/>
  <c r="H4967" i="2"/>
  <c r="J4967" i="2"/>
  <c r="K4967" i="2"/>
  <c r="L4967" i="2"/>
  <c r="C4968" i="2"/>
  <c r="D4968" i="2"/>
  <c r="F4968" i="2"/>
  <c r="G4968" i="2"/>
  <c r="H4968" i="2"/>
  <c r="J4968" i="2"/>
  <c r="K4968" i="2"/>
  <c r="L4968" i="2"/>
  <c r="C4969" i="2"/>
  <c r="D4969" i="2"/>
  <c r="F4969" i="2"/>
  <c r="G4969" i="2"/>
  <c r="H4969" i="2"/>
  <c r="J4969" i="2"/>
  <c r="K4969" i="2"/>
  <c r="L4969" i="2"/>
  <c r="C4970" i="2"/>
  <c r="D4970" i="2"/>
  <c r="F4970" i="2"/>
  <c r="G4970" i="2"/>
  <c r="H4970" i="2"/>
  <c r="J4970" i="2"/>
  <c r="K4970" i="2"/>
  <c r="L4970" i="2"/>
  <c r="D4971" i="2"/>
  <c r="F4971" i="2"/>
  <c r="G4971" i="2"/>
  <c r="H4971" i="2"/>
  <c r="J4971" i="2"/>
  <c r="K4971" i="2"/>
  <c r="L4971" i="2"/>
  <c r="C4972" i="2"/>
  <c r="D4972" i="2"/>
  <c r="F4972" i="2"/>
  <c r="G4972" i="2"/>
  <c r="H4972" i="2"/>
  <c r="J4972" i="2"/>
  <c r="K4972" i="2"/>
  <c r="L4972" i="2"/>
  <c r="C4973" i="2"/>
  <c r="D4973" i="2"/>
  <c r="F4973" i="2"/>
  <c r="G4973" i="2"/>
  <c r="H4973" i="2"/>
  <c r="J4973" i="2"/>
  <c r="K4973" i="2"/>
  <c r="L4973" i="2"/>
  <c r="C4974" i="2"/>
  <c r="D4974" i="2"/>
  <c r="F4974" i="2"/>
  <c r="G4974" i="2"/>
  <c r="H4974" i="2"/>
  <c r="J4974" i="2"/>
  <c r="K4974" i="2"/>
  <c r="L4974" i="2"/>
  <c r="C4975" i="2"/>
  <c r="D4975" i="2"/>
  <c r="F4975" i="2"/>
  <c r="G4975" i="2"/>
  <c r="H4975" i="2"/>
  <c r="J4975" i="2"/>
  <c r="K4975" i="2"/>
  <c r="L4975" i="2"/>
  <c r="C4976" i="2"/>
  <c r="D4976" i="2"/>
  <c r="F4976" i="2"/>
  <c r="G4976" i="2"/>
  <c r="H4976" i="2"/>
  <c r="J4976" i="2"/>
  <c r="K4976" i="2"/>
  <c r="L4976" i="2"/>
  <c r="C4977" i="2"/>
  <c r="D4977" i="2"/>
  <c r="F4977" i="2"/>
  <c r="G4977" i="2"/>
  <c r="H4977" i="2"/>
  <c r="J4977" i="2"/>
  <c r="K4977" i="2"/>
  <c r="L4977" i="2"/>
  <c r="C4978" i="2"/>
  <c r="D4978" i="2"/>
  <c r="F4978" i="2"/>
  <c r="G4978" i="2"/>
  <c r="H4978" i="2"/>
  <c r="J4978" i="2"/>
  <c r="K4978" i="2"/>
  <c r="L4978" i="2"/>
  <c r="C4979" i="2"/>
  <c r="D4979" i="2"/>
  <c r="F4979" i="2"/>
  <c r="G4979" i="2"/>
  <c r="H4979" i="2"/>
  <c r="J4979" i="2"/>
  <c r="K4979" i="2"/>
  <c r="L4979" i="2"/>
  <c r="C4980" i="2"/>
  <c r="D4980" i="2"/>
  <c r="F4980" i="2"/>
  <c r="G4980" i="2"/>
  <c r="H4980" i="2"/>
  <c r="J4980" i="2"/>
  <c r="K4980" i="2"/>
  <c r="L4980" i="2"/>
  <c r="C4981" i="2"/>
  <c r="D4981" i="2"/>
  <c r="F4981" i="2"/>
  <c r="G4981" i="2"/>
  <c r="H4981" i="2"/>
  <c r="J4981" i="2"/>
  <c r="K4981" i="2"/>
  <c r="L4981" i="2"/>
  <c r="C4982" i="2"/>
  <c r="D4982" i="2"/>
  <c r="F4982" i="2"/>
  <c r="G4982" i="2"/>
  <c r="H4982" i="2"/>
  <c r="J4982" i="2"/>
  <c r="K4982" i="2"/>
  <c r="L4982" i="2"/>
  <c r="C4983" i="2"/>
  <c r="D4983" i="2"/>
  <c r="F4983" i="2"/>
  <c r="G4983" i="2"/>
  <c r="H4983" i="2"/>
  <c r="J4983" i="2"/>
  <c r="K4983" i="2"/>
  <c r="L4983" i="2"/>
  <c r="C4984" i="2"/>
  <c r="D4984" i="2"/>
  <c r="F4984" i="2"/>
  <c r="G4984" i="2"/>
  <c r="H4984" i="2"/>
  <c r="J4984" i="2"/>
  <c r="K4984" i="2"/>
  <c r="L4984" i="2"/>
  <c r="C4985" i="2"/>
  <c r="D4985" i="2"/>
  <c r="F4985" i="2"/>
  <c r="G4985" i="2"/>
  <c r="H4985" i="2"/>
  <c r="J4985" i="2"/>
  <c r="K4985" i="2"/>
  <c r="L4985" i="2"/>
  <c r="C4986" i="2"/>
  <c r="D4986" i="2"/>
  <c r="F4986" i="2"/>
  <c r="G4986" i="2"/>
  <c r="H4986" i="2"/>
  <c r="J4986" i="2"/>
  <c r="K4986" i="2"/>
  <c r="L4986" i="2"/>
  <c r="C4987" i="2"/>
  <c r="D4987" i="2"/>
  <c r="F4987" i="2"/>
  <c r="G4987" i="2"/>
  <c r="H4987" i="2"/>
  <c r="J4987" i="2"/>
  <c r="K4987" i="2"/>
  <c r="L4987" i="2"/>
  <c r="C4988" i="2"/>
  <c r="D4988" i="2"/>
  <c r="F4988" i="2"/>
  <c r="G4988" i="2"/>
  <c r="H4988" i="2"/>
  <c r="J4988" i="2"/>
  <c r="K4988" i="2"/>
  <c r="L4988" i="2"/>
  <c r="C4989" i="2"/>
  <c r="D4989" i="2"/>
  <c r="F4989" i="2"/>
  <c r="G4989" i="2"/>
  <c r="H4989" i="2"/>
  <c r="J4989" i="2"/>
  <c r="K4989" i="2"/>
  <c r="L4989" i="2"/>
  <c r="C4990" i="2"/>
  <c r="D4990" i="2"/>
  <c r="F4990" i="2"/>
  <c r="G4990" i="2"/>
  <c r="H4990" i="2"/>
  <c r="J4990" i="2"/>
  <c r="K4990" i="2"/>
  <c r="L4990" i="2"/>
  <c r="C4991" i="2"/>
  <c r="D4991" i="2"/>
  <c r="F4991" i="2"/>
  <c r="G4991" i="2"/>
  <c r="H4991" i="2"/>
  <c r="J4991" i="2"/>
  <c r="K4991" i="2"/>
  <c r="L4991" i="2"/>
  <c r="C4992" i="2"/>
  <c r="D4992" i="2"/>
  <c r="F4992" i="2"/>
  <c r="G4992" i="2"/>
  <c r="H4992" i="2"/>
  <c r="J4992" i="2"/>
  <c r="K4992" i="2"/>
  <c r="L4992" i="2"/>
  <c r="C4993" i="2"/>
  <c r="D4993" i="2"/>
  <c r="F4993" i="2"/>
  <c r="G4993" i="2"/>
  <c r="H4993" i="2"/>
  <c r="J4993" i="2"/>
  <c r="K4993" i="2"/>
  <c r="L4993" i="2"/>
  <c r="C4994" i="2"/>
  <c r="D4994" i="2"/>
  <c r="F4994" i="2"/>
  <c r="G4994" i="2"/>
  <c r="H4994" i="2"/>
  <c r="J4994" i="2"/>
  <c r="K4994" i="2"/>
  <c r="L4994" i="2"/>
  <c r="C4995" i="2"/>
  <c r="D4995" i="2"/>
  <c r="F4995" i="2"/>
  <c r="G4995" i="2"/>
  <c r="H4995" i="2"/>
  <c r="J4995" i="2"/>
  <c r="K4995" i="2"/>
  <c r="L4995" i="2"/>
  <c r="C4996" i="2"/>
  <c r="D4996" i="2"/>
  <c r="F4996" i="2"/>
  <c r="G4996" i="2"/>
  <c r="H4996" i="2"/>
  <c r="J4996" i="2"/>
  <c r="K4996" i="2"/>
  <c r="L4996" i="2"/>
  <c r="D4997" i="2"/>
  <c r="F4997" i="2"/>
  <c r="G4997" i="2"/>
  <c r="H4997" i="2"/>
  <c r="J4997" i="2"/>
  <c r="K4997" i="2"/>
  <c r="L4997" i="2"/>
  <c r="C4998" i="2"/>
  <c r="D4998" i="2"/>
  <c r="E4998" i="2"/>
  <c r="F4998" i="2"/>
  <c r="G4998" i="2"/>
  <c r="H4998" i="2"/>
  <c r="J4998" i="2"/>
  <c r="K4998" i="2"/>
  <c r="L4998" i="2"/>
  <c r="C4999" i="2"/>
  <c r="D4999" i="2"/>
  <c r="F4999" i="2"/>
  <c r="G4999" i="2"/>
  <c r="H4999" i="2"/>
  <c r="J4999" i="2"/>
  <c r="K4999" i="2"/>
  <c r="L4999" i="2"/>
  <c r="C5000" i="2"/>
  <c r="D5000" i="2"/>
  <c r="F5000" i="2"/>
  <c r="G5000" i="2"/>
  <c r="H5000" i="2"/>
  <c r="J5000" i="2"/>
  <c r="K5000" i="2"/>
  <c r="L5000" i="2"/>
  <c r="C5001" i="2"/>
  <c r="D5001" i="2"/>
  <c r="F5001" i="2"/>
  <c r="G5001" i="2"/>
  <c r="H5001" i="2"/>
  <c r="J5001" i="2"/>
  <c r="K5001" i="2"/>
  <c r="L5001" i="2"/>
  <c r="C5002" i="2"/>
  <c r="D5002" i="2"/>
  <c r="F5002" i="2"/>
  <c r="G5002" i="2"/>
  <c r="H5002" i="2"/>
  <c r="J5002" i="2"/>
  <c r="K5002" i="2"/>
  <c r="L5002" i="2"/>
  <c r="C5003" i="2"/>
  <c r="D5003" i="2"/>
  <c r="F5003" i="2"/>
  <c r="G5003" i="2"/>
  <c r="H5003" i="2"/>
  <c r="J5003" i="2"/>
  <c r="K5003" i="2"/>
  <c r="L5003" i="2"/>
  <c r="C5004" i="2"/>
  <c r="D5004" i="2"/>
  <c r="F5004" i="2"/>
  <c r="G5004" i="2"/>
  <c r="H5004" i="2"/>
  <c r="J5004" i="2"/>
  <c r="K5004" i="2"/>
  <c r="L5004" i="2"/>
  <c r="C5005" i="2"/>
  <c r="D5005" i="2"/>
  <c r="F5005" i="2"/>
  <c r="G5005" i="2"/>
  <c r="H5005" i="2"/>
  <c r="J5005" i="2"/>
  <c r="K5005" i="2"/>
  <c r="L5005" i="2"/>
  <c r="C5006" i="2"/>
  <c r="D5006" i="2"/>
  <c r="F5006" i="2"/>
  <c r="G5006" i="2"/>
  <c r="H5006" i="2"/>
  <c r="J5006" i="2"/>
  <c r="K5006" i="2"/>
  <c r="L5006" i="2"/>
  <c r="C5007" i="2"/>
  <c r="D5007" i="2"/>
  <c r="F5007" i="2"/>
  <c r="G5007" i="2"/>
  <c r="H5007" i="2"/>
  <c r="J5007" i="2"/>
  <c r="K5007" i="2"/>
  <c r="L5007" i="2"/>
  <c r="C5008" i="2"/>
  <c r="D5008" i="2"/>
  <c r="F5008" i="2"/>
  <c r="G5008" i="2"/>
  <c r="H5008" i="2"/>
  <c r="J5008" i="2"/>
  <c r="K5008" i="2"/>
  <c r="L5008" i="2"/>
  <c r="C5009" i="2"/>
  <c r="D5009" i="2"/>
  <c r="F5009" i="2"/>
  <c r="G5009" i="2"/>
  <c r="H5009" i="2"/>
  <c r="J5009" i="2"/>
  <c r="K5009" i="2"/>
  <c r="L5009" i="2"/>
  <c r="C5010" i="2"/>
  <c r="D5010" i="2"/>
  <c r="F5010" i="2"/>
  <c r="G5010" i="2"/>
  <c r="H5010" i="2"/>
  <c r="J5010" i="2"/>
  <c r="K5010" i="2"/>
  <c r="L5010" i="2"/>
  <c r="C5011" i="2"/>
  <c r="D5011" i="2"/>
  <c r="F5011" i="2"/>
  <c r="G5011" i="2"/>
  <c r="H5011" i="2"/>
  <c r="J5011" i="2"/>
  <c r="K5011" i="2"/>
  <c r="L5011" i="2"/>
  <c r="C5012" i="2"/>
  <c r="D5012" i="2"/>
  <c r="F5012" i="2"/>
  <c r="G5012" i="2"/>
  <c r="H5012" i="2"/>
  <c r="J5012" i="2"/>
  <c r="K5012" i="2"/>
  <c r="L5012" i="2"/>
  <c r="C5013" i="2"/>
  <c r="D5013" i="2"/>
  <c r="F5013" i="2"/>
  <c r="G5013" i="2"/>
  <c r="H5013" i="2"/>
  <c r="J5013" i="2"/>
  <c r="K5013" i="2"/>
  <c r="L5013" i="2"/>
  <c r="C5014" i="2"/>
  <c r="D5014" i="2"/>
  <c r="F5014" i="2"/>
  <c r="G5014" i="2"/>
  <c r="H5014" i="2"/>
  <c r="J5014" i="2"/>
  <c r="K5014" i="2"/>
  <c r="L5014" i="2"/>
  <c r="C5015" i="2"/>
  <c r="D5015" i="2"/>
  <c r="F5015" i="2"/>
  <c r="G5015" i="2"/>
  <c r="H5015" i="2"/>
  <c r="J5015" i="2"/>
  <c r="K5015" i="2"/>
  <c r="L5015" i="2"/>
  <c r="D5016" i="2"/>
  <c r="F5016" i="2"/>
  <c r="G5016" i="2"/>
  <c r="H5016" i="2"/>
  <c r="J5016" i="2"/>
  <c r="K5016" i="2"/>
  <c r="L5016" i="2"/>
  <c r="C5017" i="2"/>
  <c r="D5017" i="2"/>
  <c r="F5017" i="2"/>
  <c r="G5017" i="2"/>
  <c r="H5017" i="2"/>
  <c r="J5017" i="2"/>
  <c r="K5017" i="2"/>
  <c r="L5017" i="2"/>
  <c r="C5018" i="2"/>
  <c r="D5018" i="2"/>
  <c r="F5018" i="2"/>
  <c r="G5018" i="2"/>
  <c r="H5018" i="2"/>
  <c r="J5018" i="2"/>
  <c r="K5018" i="2"/>
  <c r="L5018" i="2"/>
  <c r="C5019" i="2"/>
  <c r="D5019" i="2"/>
  <c r="F5019" i="2"/>
  <c r="G5019" i="2"/>
  <c r="H5019" i="2"/>
  <c r="J5019" i="2"/>
  <c r="K5019" i="2"/>
  <c r="L5019" i="2"/>
  <c r="C5020" i="2"/>
  <c r="D5020" i="2"/>
  <c r="F5020" i="2"/>
  <c r="G5020" i="2"/>
  <c r="H5020" i="2"/>
  <c r="J5020" i="2"/>
  <c r="K5020" i="2"/>
  <c r="L5020" i="2"/>
  <c r="C5021" i="2"/>
  <c r="D5021" i="2"/>
  <c r="F5021" i="2"/>
  <c r="G5021" i="2"/>
  <c r="H5021" i="2"/>
  <c r="J5021" i="2"/>
  <c r="K5021" i="2"/>
  <c r="L5021" i="2"/>
  <c r="C5022" i="2"/>
  <c r="D5022" i="2"/>
  <c r="F5022" i="2"/>
  <c r="G5022" i="2"/>
  <c r="H5022" i="2"/>
  <c r="J5022" i="2"/>
  <c r="K5022" i="2"/>
  <c r="L5022" i="2"/>
  <c r="C5023" i="2"/>
  <c r="D5023" i="2"/>
  <c r="F5023" i="2"/>
  <c r="G5023" i="2"/>
  <c r="H5023" i="2"/>
  <c r="J5023" i="2"/>
  <c r="K5023" i="2"/>
  <c r="L5023" i="2"/>
  <c r="C5024" i="2"/>
  <c r="D5024" i="2"/>
  <c r="F5024" i="2"/>
  <c r="G5024" i="2"/>
  <c r="H5024" i="2"/>
  <c r="J5024" i="2"/>
  <c r="K5024" i="2"/>
  <c r="L5024" i="2"/>
  <c r="C5025" i="2"/>
  <c r="D5025" i="2"/>
  <c r="F5025" i="2"/>
  <c r="G5025" i="2"/>
  <c r="H5025" i="2"/>
  <c r="J5025" i="2"/>
  <c r="K5025" i="2"/>
  <c r="L5025" i="2"/>
  <c r="C5026" i="2"/>
  <c r="D5026" i="2"/>
  <c r="F5026" i="2"/>
  <c r="G5026" i="2"/>
  <c r="H5026" i="2"/>
  <c r="J5026" i="2"/>
  <c r="K5026" i="2"/>
  <c r="L5026" i="2"/>
  <c r="C5027" i="2"/>
  <c r="D5027" i="2"/>
  <c r="F5027" i="2"/>
  <c r="G5027" i="2"/>
  <c r="H5027" i="2"/>
  <c r="J5027" i="2"/>
  <c r="K5027" i="2"/>
  <c r="L5027" i="2"/>
  <c r="C5028" i="2"/>
  <c r="D5028" i="2"/>
  <c r="F5028" i="2"/>
  <c r="G5028" i="2"/>
  <c r="H5028" i="2"/>
  <c r="J5028" i="2"/>
  <c r="K5028" i="2"/>
  <c r="L5028" i="2"/>
  <c r="C5029" i="2"/>
  <c r="D5029" i="2"/>
  <c r="F5029" i="2"/>
  <c r="G5029" i="2"/>
  <c r="H5029" i="2"/>
  <c r="J5029" i="2"/>
  <c r="K5029" i="2"/>
  <c r="L5029" i="2"/>
  <c r="C5030" i="2"/>
  <c r="D5030" i="2"/>
  <c r="F5030" i="2"/>
  <c r="G5030" i="2"/>
  <c r="H5030" i="2"/>
  <c r="J5030" i="2"/>
  <c r="K5030" i="2"/>
  <c r="L5030" i="2"/>
  <c r="C5031" i="2"/>
  <c r="D5031" i="2"/>
  <c r="F5031" i="2"/>
  <c r="G5031" i="2"/>
  <c r="H5031" i="2"/>
  <c r="J5031" i="2"/>
  <c r="K5031" i="2"/>
  <c r="L5031" i="2"/>
  <c r="C5032" i="2"/>
  <c r="D5032" i="2"/>
  <c r="F5032" i="2"/>
  <c r="G5032" i="2"/>
  <c r="H5032" i="2"/>
  <c r="J5032" i="2"/>
  <c r="K5032" i="2"/>
  <c r="L5032" i="2"/>
  <c r="C5033" i="2"/>
  <c r="D5033" i="2"/>
  <c r="F5033" i="2"/>
  <c r="G5033" i="2"/>
  <c r="H5033" i="2"/>
  <c r="J5033" i="2"/>
  <c r="K5033" i="2"/>
  <c r="L5033" i="2"/>
  <c r="C5034" i="2"/>
  <c r="D5034" i="2"/>
  <c r="F5034" i="2"/>
  <c r="G5034" i="2"/>
  <c r="H5034" i="2"/>
  <c r="J5034" i="2"/>
  <c r="K5034" i="2"/>
  <c r="L5034" i="2"/>
  <c r="C5035" i="2"/>
  <c r="D5035" i="2"/>
  <c r="F5035" i="2"/>
  <c r="G5035" i="2"/>
  <c r="H5035" i="2"/>
  <c r="J5035" i="2"/>
  <c r="K5035" i="2"/>
  <c r="L5035" i="2"/>
  <c r="C5036" i="2"/>
  <c r="D5036" i="2"/>
  <c r="F5036" i="2"/>
  <c r="G5036" i="2"/>
  <c r="H5036" i="2"/>
  <c r="J5036" i="2"/>
  <c r="K5036" i="2"/>
  <c r="L5036" i="2"/>
  <c r="C5037" i="2"/>
  <c r="D5037" i="2"/>
  <c r="F5037" i="2"/>
  <c r="G5037" i="2"/>
  <c r="H5037" i="2"/>
  <c r="J5037" i="2"/>
  <c r="K5037" i="2"/>
  <c r="L5037" i="2"/>
  <c r="C5038" i="2"/>
  <c r="D5038" i="2"/>
  <c r="F5038" i="2"/>
  <c r="G5038" i="2"/>
  <c r="H5038" i="2"/>
  <c r="J5038" i="2"/>
  <c r="K5038" i="2"/>
  <c r="L5038" i="2"/>
  <c r="C5039" i="2"/>
  <c r="D5039" i="2"/>
  <c r="F5039" i="2"/>
  <c r="G5039" i="2"/>
  <c r="H5039" i="2"/>
  <c r="J5039" i="2"/>
  <c r="K5039" i="2"/>
  <c r="L5039" i="2"/>
  <c r="C5040" i="2"/>
  <c r="D5040" i="2"/>
  <c r="F5040" i="2"/>
  <c r="G5040" i="2"/>
  <c r="H5040" i="2"/>
  <c r="J5040" i="2"/>
  <c r="K5040" i="2"/>
  <c r="L5040" i="2"/>
  <c r="C5041" i="2"/>
  <c r="D5041" i="2"/>
  <c r="F5041" i="2"/>
  <c r="G5041" i="2"/>
  <c r="H5041" i="2"/>
  <c r="J5041" i="2"/>
  <c r="K5041" i="2"/>
  <c r="L5041" i="2"/>
  <c r="C5042" i="2"/>
  <c r="D5042" i="2"/>
  <c r="F5042" i="2"/>
  <c r="G5042" i="2"/>
  <c r="H5042" i="2"/>
  <c r="J5042" i="2"/>
  <c r="K5042" i="2"/>
  <c r="L5042" i="2"/>
  <c r="C5043" i="2"/>
  <c r="D5043" i="2"/>
  <c r="F5043" i="2"/>
  <c r="G5043" i="2"/>
  <c r="H5043" i="2"/>
  <c r="J5043" i="2"/>
  <c r="K5043" i="2"/>
  <c r="L5043" i="2"/>
  <c r="C5044" i="2"/>
  <c r="D5044" i="2"/>
  <c r="F5044" i="2"/>
  <c r="G5044" i="2"/>
  <c r="H5044" i="2"/>
  <c r="J5044" i="2"/>
  <c r="K5044" i="2"/>
  <c r="L5044" i="2"/>
  <c r="C5045" i="2"/>
  <c r="D5045" i="2"/>
  <c r="F5045" i="2"/>
  <c r="G5045" i="2"/>
  <c r="H5045" i="2"/>
  <c r="J5045" i="2"/>
  <c r="K5045" i="2"/>
  <c r="L5045" i="2"/>
  <c r="C5046" i="2"/>
  <c r="D5046" i="2"/>
  <c r="F5046" i="2"/>
  <c r="G5046" i="2"/>
  <c r="H5046" i="2"/>
  <c r="J5046" i="2"/>
  <c r="K5046" i="2"/>
  <c r="L5046" i="2"/>
  <c r="C5047" i="2"/>
  <c r="D5047" i="2"/>
  <c r="F5047" i="2"/>
  <c r="G5047" i="2"/>
  <c r="H5047" i="2"/>
  <c r="J5047" i="2"/>
  <c r="K5047" i="2"/>
  <c r="L5047" i="2"/>
  <c r="C5048" i="2"/>
  <c r="D5048" i="2"/>
  <c r="F5048" i="2"/>
  <c r="G5048" i="2"/>
  <c r="H5048" i="2"/>
  <c r="J5048" i="2"/>
  <c r="K5048" i="2"/>
  <c r="L5048" i="2"/>
  <c r="C5049" i="2"/>
  <c r="D5049" i="2"/>
  <c r="F5049" i="2"/>
  <c r="G5049" i="2"/>
  <c r="H5049" i="2"/>
  <c r="J5049" i="2"/>
  <c r="K5049" i="2"/>
  <c r="L5049" i="2"/>
  <c r="C5050" i="2"/>
  <c r="D5050" i="2"/>
  <c r="F5050" i="2"/>
  <c r="G5050" i="2"/>
  <c r="H5050" i="2"/>
  <c r="J5050" i="2"/>
  <c r="K5050" i="2"/>
  <c r="L5050" i="2"/>
  <c r="C5051" i="2"/>
  <c r="D5051" i="2"/>
  <c r="F5051" i="2"/>
  <c r="G5051" i="2"/>
  <c r="H5051" i="2"/>
  <c r="J5051" i="2"/>
  <c r="K5051" i="2"/>
  <c r="L5051" i="2"/>
  <c r="C5052" i="2"/>
  <c r="D5052" i="2"/>
  <c r="F5052" i="2"/>
  <c r="G5052" i="2"/>
  <c r="H5052" i="2"/>
  <c r="J5052" i="2"/>
  <c r="K5052" i="2"/>
  <c r="L5052" i="2"/>
  <c r="C5053" i="2"/>
  <c r="D5053" i="2"/>
  <c r="F5053" i="2"/>
  <c r="G5053" i="2"/>
  <c r="H5053" i="2"/>
  <c r="J5053" i="2"/>
  <c r="K5053" i="2"/>
  <c r="L5053" i="2"/>
  <c r="C5054" i="2"/>
  <c r="D5054" i="2"/>
  <c r="F5054" i="2"/>
  <c r="G5054" i="2"/>
  <c r="H5054" i="2"/>
  <c r="J5054" i="2"/>
  <c r="K5054" i="2"/>
  <c r="L5054" i="2"/>
  <c r="C5055" i="2"/>
  <c r="D5055" i="2"/>
  <c r="F5055" i="2"/>
  <c r="G5055" i="2"/>
  <c r="H5055" i="2"/>
  <c r="J5055" i="2"/>
  <c r="K5055" i="2"/>
  <c r="L5055" i="2"/>
  <c r="C5056" i="2"/>
  <c r="D5056" i="2"/>
  <c r="F5056" i="2"/>
  <c r="G5056" i="2"/>
  <c r="H5056" i="2"/>
  <c r="J5056" i="2"/>
  <c r="K5056" i="2"/>
  <c r="L5056" i="2"/>
  <c r="C5057" i="2"/>
  <c r="D5057" i="2"/>
  <c r="F5057" i="2"/>
  <c r="G5057" i="2"/>
  <c r="H5057" i="2"/>
  <c r="J5057" i="2"/>
  <c r="K5057" i="2"/>
  <c r="L5057" i="2"/>
  <c r="C5058" i="2"/>
  <c r="D5058" i="2"/>
  <c r="F5058" i="2"/>
  <c r="G5058" i="2"/>
  <c r="H5058" i="2"/>
  <c r="J5058" i="2"/>
  <c r="K5058" i="2"/>
  <c r="L5058" i="2"/>
  <c r="C5059" i="2"/>
  <c r="D5059" i="2"/>
  <c r="F5059" i="2"/>
  <c r="G5059" i="2"/>
  <c r="H5059" i="2"/>
  <c r="J5059" i="2"/>
  <c r="K5059" i="2"/>
  <c r="L5059" i="2"/>
  <c r="C5060" i="2"/>
  <c r="D5060" i="2"/>
  <c r="F5060" i="2"/>
  <c r="G5060" i="2"/>
  <c r="H5060" i="2"/>
  <c r="J5060" i="2"/>
  <c r="K5060" i="2"/>
  <c r="L5060" i="2"/>
  <c r="C5061" i="2"/>
  <c r="D5061" i="2"/>
  <c r="F5061" i="2"/>
  <c r="G5061" i="2"/>
  <c r="H5061" i="2"/>
  <c r="J5061" i="2"/>
  <c r="K5061" i="2"/>
  <c r="L5061" i="2"/>
  <c r="C5062" i="2"/>
  <c r="D5062" i="2"/>
  <c r="F5062" i="2"/>
  <c r="G5062" i="2"/>
  <c r="H5062" i="2"/>
  <c r="J5062" i="2"/>
  <c r="K5062" i="2"/>
  <c r="L5062" i="2"/>
  <c r="C5063" i="2"/>
  <c r="D5063" i="2"/>
  <c r="F5063" i="2"/>
  <c r="G5063" i="2"/>
  <c r="H5063" i="2"/>
  <c r="J5063" i="2"/>
  <c r="K5063" i="2"/>
  <c r="L5063" i="2"/>
  <c r="C5064" i="2"/>
  <c r="D5064" i="2"/>
  <c r="F5064" i="2"/>
  <c r="G5064" i="2"/>
  <c r="H5064" i="2"/>
  <c r="J5064" i="2"/>
  <c r="K5064" i="2"/>
  <c r="L5064" i="2"/>
  <c r="C5065" i="2"/>
  <c r="D5065" i="2"/>
  <c r="F5065" i="2"/>
  <c r="G5065" i="2"/>
  <c r="H5065" i="2"/>
  <c r="J5065" i="2"/>
  <c r="K5065" i="2"/>
  <c r="L5065" i="2"/>
  <c r="C5066" i="2"/>
  <c r="D5066" i="2"/>
  <c r="F5066" i="2"/>
  <c r="G5066" i="2"/>
  <c r="H5066" i="2"/>
  <c r="J5066" i="2"/>
  <c r="K5066" i="2"/>
  <c r="L5066" i="2"/>
  <c r="C5067" i="2"/>
  <c r="D5067" i="2"/>
  <c r="F5067" i="2"/>
  <c r="G5067" i="2"/>
  <c r="H5067" i="2"/>
  <c r="J5067" i="2"/>
  <c r="K5067" i="2"/>
  <c r="L5067" i="2"/>
  <c r="C5068" i="2"/>
  <c r="D5068" i="2"/>
  <c r="F5068" i="2"/>
  <c r="G5068" i="2"/>
  <c r="H5068" i="2"/>
  <c r="J5068" i="2"/>
  <c r="K5068" i="2"/>
  <c r="L5068" i="2"/>
  <c r="C5069" i="2"/>
  <c r="D5069" i="2"/>
  <c r="F5069" i="2"/>
  <c r="G5069" i="2"/>
  <c r="H5069" i="2"/>
  <c r="J5069" i="2"/>
  <c r="K5069" i="2"/>
  <c r="L5069" i="2"/>
  <c r="C5070" i="2"/>
  <c r="D5070" i="2"/>
  <c r="F5070" i="2"/>
  <c r="G5070" i="2"/>
  <c r="H5070" i="2"/>
  <c r="J5070" i="2"/>
  <c r="K5070" i="2"/>
  <c r="L5070" i="2"/>
  <c r="C5071" i="2"/>
  <c r="D5071" i="2"/>
  <c r="F5071" i="2"/>
  <c r="G5071" i="2"/>
  <c r="H5071" i="2"/>
  <c r="J5071" i="2"/>
  <c r="K5071" i="2"/>
  <c r="L5071" i="2"/>
  <c r="C5072" i="2"/>
  <c r="D5072" i="2"/>
  <c r="F5072" i="2"/>
  <c r="G5072" i="2"/>
  <c r="H5072" i="2"/>
  <c r="J5072" i="2"/>
  <c r="K5072" i="2"/>
  <c r="L5072" i="2"/>
  <c r="C5073" i="2"/>
  <c r="D5073" i="2"/>
  <c r="F5073" i="2"/>
  <c r="G5073" i="2"/>
  <c r="H5073" i="2"/>
  <c r="J5073" i="2"/>
  <c r="K5073" i="2"/>
  <c r="L5073" i="2"/>
  <c r="C5074" i="2"/>
  <c r="D5074" i="2"/>
  <c r="F5074" i="2"/>
  <c r="G5074" i="2"/>
  <c r="H5074" i="2"/>
  <c r="J5074" i="2"/>
  <c r="K5074" i="2"/>
  <c r="L5074" i="2"/>
  <c r="C5075" i="2"/>
  <c r="D5075" i="2"/>
  <c r="F5075" i="2"/>
  <c r="G5075" i="2"/>
  <c r="H5075" i="2"/>
  <c r="J5075" i="2"/>
  <c r="K5075" i="2"/>
  <c r="L5075" i="2"/>
  <c r="C5076" i="2"/>
  <c r="D5076" i="2"/>
  <c r="F5076" i="2"/>
  <c r="G5076" i="2"/>
  <c r="H5076" i="2"/>
  <c r="J5076" i="2"/>
  <c r="K5076" i="2"/>
  <c r="L5076" i="2"/>
  <c r="C5077" i="2"/>
  <c r="D5077" i="2"/>
  <c r="F5077" i="2"/>
  <c r="G5077" i="2"/>
  <c r="H5077" i="2"/>
  <c r="J5077" i="2"/>
  <c r="K5077" i="2"/>
  <c r="L5077" i="2"/>
  <c r="C5078" i="2"/>
  <c r="D5078" i="2"/>
  <c r="F5078" i="2"/>
  <c r="G5078" i="2"/>
  <c r="H5078" i="2"/>
  <c r="J5078" i="2"/>
  <c r="K5078" i="2"/>
  <c r="L5078" i="2"/>
  <c r="C5079" i="2"/>
  <c r="D5079" i="2"/>
  <c r="F5079" i="2"/>
  <c r="G5079" i="2"/>
  <c r="H5079" i="2"/>
  <c r="J5079" i="2"/>
  <c r="K5079" i="2"/>
  <c r="L5079" i="2"/>
  <c r="C5080" i="2"/>
  <c r="D5080" i="2"/>
  <c r="F5080" i="2"/>
  <c r="G5080" i="2"/>
  <c r="H5080" i="2"/>
  <c r="J5080" i="2"/>
  <c r="K5080" i="2"/>
  <c r="L5080" i="2"/>
  <c r="C5081" i="2"/>
  <c r="D5081" i="2"/>
  <c r="F5081" i="2"/>
  <c r="G5081" i="2"/>
  <c r="H5081" i="2"/>
  <c r="J5081" i="2"/>
  <c r="K5081" i="2"/>
  <c r="L5081" i="2"/>
  <c r="C5082" i="2"/>
  <c r="D5082" i="2"/>
  <c r="F5082" i="2"/>
  <c r="G5082" i="2"/>
  <c r="H5082" i="2"/>
  <c r="J5082" i="2"/>
  <c r="K5082" i="2"/>
  <c r="L5082" i="2"/>
  <c r="C5083" i="2"/>
  <c r="D5083" i="2"/>
  <c r="F5083" i="2"/>
  <c r="G5083" i="2"/>
  <c r="H5083" i="2"/>
  <c r="J5083" i="2"/>
  <c r="K5083" i="2"/>
  <c r="L5083" i="2"/>
  <c r="C5084" i="2"/>
  <c r="D5084" i="2"/>
  <c r="F5084" i="2"/>
  <c r="G5084" i="2"/>
  <c r="H5084" i="2"/>
  <c r="J5084" i="2"/>
  <c r="K5084" i="2"/>
  <c r="L5084" i="2"/>
  <c r="C5085" i="2"/>
  <c r="D5085" i="2"/>
  <c r="F5085" i="2"/>
  <c r="G5085" i="2"/>
  <c r="H5085" i="2"/>
  <c r="J5085" i="2"/>
  <c r="K5085" i="2"/>
  <c r="L5085" i="2"/>
  <c r="C5086" i="2"/>
  <c r="D5086" i="2"/>
  <c r="F5086" i="2"/>
  <c r="G5086" i="2"/>
  <c r="H5086" i="2"/>
  <c r="J5086" i="2"/>
  <c r="K5086" i="2"/>
  <c r="L5086" i="2"/>
  <c r="C5087" i="2"/>
  <c r="D5087" i="2"/>
  <c r="F5087" i="2"/>
  <c r="G5087" i="2"/>
  <c r="H5087" i="2"/>
  <c r="J5087" i="2"/>
  <c r="K5087" i="2"/>
  <c r="L5087" i="2"/>
  <c r="C5088" i="2"/>
  <c r="D5088" i="2"/>
  <c r="F5088" i="2"/>
  <c r="G5088" i="2"/>
  <c r="H5088" i="2"/>
  <c r="J5088" i="2"/>
  <c r="K5088" i="2"/>
  <c r="L5088" i="2"/>
  <c r="C5089" i="2"/>
  <c r="D5089" i="2"/>
  <c r="F5089" i="2"/>
  <c r="G5089" i="2"/>
  <c r="H5089" i="2"/>
  <c r="J5089" i="2"/>
  <c r="K5089" i="2"/>
  <c r="L5089" i="2"/>
  <c r="C5090" i="2"/>
  <c r="D5090" i="2"/>
  <c r="F5090" i="2"/>
  <c r="G5090" i="2"/>
  <c r="H5090" i="2"/>
  <c r="J5090" i="2"/>
  <c r="K5090" i="2"/>
  <c r="L5090" i="2"/>
  <c r="C5091" i="2"/>
  <c r="D5091" i="2"/>
  <c r="F5091" i="2"/>
  <c r="G5091" i="2"/>
  <c r="H5091" i="2"/>
  <c r="J5091" i="2"/>
  <c r="K5091" i="2"/>
  <c r="L5091" i="2"/>
  <c r="C5092" i="2"/>
  <c r="D5092" i="2"/>
  <c r="F5092" i="2"/>
  <c r="G5092" i="2"/>
  <c r="H5092" i="2"/>
  <c r="J5092" i="2"/>
  <c r="K5092" i="2"/>
  <c r="L5092" i="2"/>
  <c r="C5093" i="2"/>
  <c r="D5093" i="2"/>
  <c r="F5093" i="2"/>
  <c r="G5093" i="2"/>
  <c r="H5093" i="2"/>
  <c r="J5093" i="2"/>
  <c r="K5093" i="2"/>
  <c r="L5093" i="2"/>
  <c r="C5094" i="2"/>
  <c r="D5094" i="2"/>
  <c r="F5094" i="2"/>
  <c r="G5094" i="2"/>
  <c r="H5094" i="2"/>
  <c r="J5094" i="2"/>
  <c r="K5094" i="2"/>
  <c r="L5094" i="2"/>
  <c r="C5095" i="2"/>
  <c r="D5095" i="2"/>
  <c r="F5095" i="2"/>
  <c r="G5095" i="2"/>
  <c r="H5095" i="2"/>
  <c r="J5095" i="2"/>
  <c r="K5095" i="2"/>
  <c r="L5095" i="2"/>
  <c r="C5096" i="2"/>
  <c r="D5096" i="2"/>
  <c r="F5096" i="2"/>
  <c r="G5096" i="2"/>
  <c r="H5096" i="2"/>
  <c r="J5096" i="2"/>
  <c r="K5096" i="2"/>
  <c r="L5096" i="2"/>
  <c r="C5097" i="2"/>
  <c r="D5097" i="2"/>
  <c r="F5097" i="2"/>
  <c r="G5097" i="2"/>
  <c r="H5097" i="2"/>
  <c r="J5097" i="2"/>
  <c r="K5097" i="2"/>
  <c r="L5097" i="2"/>
  <c r="C5098" i="2"/>
  <c r="D5098" i="2"/>
  <c r="F5098" i="2"/>
  <c r="G5098" i="2"/>
  <c r="H5098" i="2"/>
  <c r="J5098" i="2"/>
  <c r="K5098" i="2"/>
  <c r="L5098" i="2"/>
  <c r="C5099" i="2"/>
  <c r="D5099" i="2"/>
  <c r="F5099" i="2"/>
  <c r="G5099" i="2"/>
  <c r="H5099" i="2"/>
  <c r="J5099" i="2"/>
  <c r="K5099" i="2"/>
  <c r="L5099" i="2"/>
  <c r="C5100" i="2"/>
  <c r="D5100" i="2"/>
  <c r="F5100" i="2"/>
  <c r="G5100" i="2"/>
  <c r="H5100" i="2"/>
  <c r="J5100" i="2"/>
  <c r="K5100" i="2"/>
  <c r="L5100" i="2"/>
  <c r="C5101" i="2"/>
  <c r="D5101" i="2"/>
  <c r="F5101" i="2"/>
  <c r="G5101" i="2"/>
  <c r="H5101" i="2"/>
  <c r="J5101" i="2"/>
  <c r="K5101" i="2"/>
  <c r="L5101" i="2"/>
  <c r="C5102" i="2"/>
  <c r="D5102" i="2"/>
  <c r="F5102" i="2"/>
  <c r="G5102" i="2"/>
  <c r="H5102" i="2"/>
  <c r="J5102" i="2"/>
  <c r="K5102" i="2"/>
  <c r="L5102" i="2"/>
  <c r="C5103" i="2"/>
  <c r="D5103" i="2"/>
  <c r="F5103" i="2"/>
  <c r="G5103" i="2"/>
  <c r="H5103" i="2"/>
  <c r="J5103" i="2"/>
  <c r="K5103" i="2"/>
  <c r="L5103" i="2"/>
  <c r="C5104" i="2"/>
  <c r="D5104" i="2"/>
  <c r="F5104" i="2"/>
  <c r="G5104" i="2"/>
  <c r="H5104" i="2"/>
  <c r="J5104" i="2"/>
  <c r="K5104" i="2"/>
  <c r="L5104" i="2"/>
  <c r="C5105" i="2"/>
  <c r="D5105" i="2"/>
  <c r="F5105" i="2"/>
  <c r="G5105" i="2"/>
  <c r="H5105" i="2"/>
  <c r="J5105" i="2"/>
  <c r="K5105" i="2"/>
  <c r="L5105" i="2"/>
  <c r="C5106" i="2"/>
  <c r="D5106" i="2"/>
  <c r="F5106" i="2"/>
  <c r="G5106" i="2"/>
  <c r="H5106" i="2"/>
  <c r="J5106" i="2"/>
  <c r="K5106" i="2"/>
  <c r="L5106" i="2"/>
  <c r="C5107" i="2"/>
  <c r="D5107" i="2"/>
  <c r="F5107" i="2"/>
  <c r="G5107" i="2"/>
  <c r="H5107" i="2"/>
  <c r="J5107" i="2"/>
  <c r="K5107" i="2"/>
  <c r="L5107" i="2"/>
  <c r="C5108" i="2"/>
  <c r="D5108" i="2"/>
  <c r="F5108" i="2"/>
  <c r="G5108" i="2"/>
  <c r="H5108" i="2"/>
  <c r="J5108" i="2"/>
  <c r="K5108" i="2"/>
  <c r="L5108" i="2"/>
  <c r="C5109" i="2"/>
  <c r="D5109" i="2"/>
  <c r="F5109" i="2"/>
  <c r="G5109" i="2"/>
  <c r="H5109" i="2"/>
  <c r="J5109" i="2"/>
  <c r="K5109" i="2"/>
  <c r="L5109" i="2"/>
  <c r="C5110" i="2"/>
  <c r="D5110" i="2"/>
  <c r="F5110" i="2"/>
  <c r="G5110" i="2"/>
  <c r="H5110" i="2"/>
  <c r="J5110" i="2"/>
  <c r="K5110" i="2"/>
  <c r="L5110" i="2"/>
  <c r="C5111" i="2"/>
  <c r="D5111" i="2"/>
  <c r="F5111" i="2"/>
  <c r="G5111" i="2"/>
  <c r="H5111" i="2"/>
  <c r="J5111" i="2"/>
  <c r="K5111" i="2"/>
  <c r="L5111" i="2"/>
  <c r="C5112" i="2"/>
  <c r="D5112" i="2"/>
  <c r="F5112" i="2"/>
  <c r="G5112" i="2"/>
  <c r="H5112" i="2"/>
  <c r="J5112" i="2"/>
  <c r="K5112" i="2"/>
  <c r="L5112" i="2"/>
  <c r="C5113" i="2"/>
  <c r="D5113" i="2"/>
  <c r="F5113" i="2"/>
  <c r="G5113" i="2"/>
  <c r="H5113" i="2"/>
  <c r="J5113" i="2"/>
  <c r="K5113" i="2"/>
  <c r="L5113" i="2"/>
  <c r="C5114" i="2"/>
  <c r="D5114" i="2"/>
  <c r="F5114" i="2"/>
  <c r="G5114" i="2"/>
  <c r="H5114" i="2"/>
  <c r="J5114" i="2"/>
  <c r="K5114" i="2"/>
  <c r="L5114" i="2"/>
  <c r="C5115" i="2"/>
  <c r="D5115" i="2"/>
  <c r="F5115" i="2"/>
  <c r="G5115" i="2"/>
  <c r="H5115" i="2"/>
  <c r="J5115" i="2"/>
  <c r="K5115" i="2"/>
  <c r="L5115" i="2"/>
  <c r="C5116" i="2"/>
  <c r="D5116" i="2"/>
  <c r="F5116" i="2"/>
  <c r="G5116" i="2"/>
  <c r="H5116" i="2"/>
  <c r="J5116" i="2"/>
  <c r="K5116" i="2"/>
  <c r="L5116" i="2"/>
  <c r="C5117" i="2"/>
  <c r="D5117" i="2"/>
  <c r="F5117" i="2"/>
  <c r="G5117" i="2"/>
  <c r="H5117" i="2"/>
  <c r="J5117" i="2"/>
  <c r="K5117" i="2"/>
  <c r="L5117" i="2"/>
  <c r="C5118" i="2"/>
  <c r="D5118" i="2"/>
  <c r="F5118" i="2"/>
  <c r="G5118" i="2"/>
  <c r="H5118" i="2"/>
  <c r="J5118" i="2"/>
  <c r="K5118" i="2"/>
  <c r="L5118" i="2"/>
  <c r="C5119" i="2"/>
  <c r="D5119" i="2"/>
  <c r="F5119" i="2"/>
  <c r="G5119" i="2"/>
  <c r="H5119" i="2"/>
  <c r="J5119" i="2"/>
  <c r="K5119" i="2"/>
  <c r="L5119" i="2"/>
  <c r="C5120" i="2"/>
  <c r="D5120" i="2"/>
  <c r="F5120" i="2"/>
  <c r="G5120" i="2"/>
  <c r="H5120" i="2"/>
  <c r="J5120" i="2"/>
  <c r="K5120" i="2"/>
  <c r="L5120" i="2"/>
  <c r="C5121" i="2"/>
  <c r="D5121" i="2"/>
  <c r="F5121" i="2"/>
  <c r="G5121" i="2"/>
  <c r="H5121" i="2"/>
  <c r="J5121" i="2"/>
  <c r="K5121" i="2"/>
  <c r="L5121" i="2"/>
  <c r="C5122" i="2"/>
  <c r="D5122" i="2"/>
  <c r="F5122" i="2"/>
  <c r="G5122" i="2"/>
  <c r="H5122" i="2"/>
  <c r="J5122" i="2"/>
  <c r="K5122" i="2"/>
  <c r="L5122" i="2"/>
  <c r="C5123" i="2"/>
  <c r="D5123" i="2"/>
  <c r="E5123" i="2"/>
  <c r="F5123" i="2"/>
  <c r="G5123" i="2"/>
  <c r="H5123" i="2"/>
  <c r="J5123" i="2"/>
  <c r="K5123" i="2"/>
  <c r="L5123" i="2"/>
  <c r="C5124" i="2"/>
  <c r="D5124" i="2"/>
  <c r="F5124" i="2"/>
  <c r="G5124" i="2"/>
  <c r="H5124" i="2"/>
  <c r="J5124" i="2"/>
  <c r="K5124" i="2"/>
  <c r="L5124" i="2"/>
  <c r="C5125" i="2"/>
  <c r="D5125" i="2"/>
  <c r="F5125" i="2"/>
  <c r="G5125" i="2"/>
  <c r="H5125" i="2"/>
  <c r="J5125" i="2"/>
  <c r="K5125" i="2"/>
  <c r="L5125" i="2"/>
  <c r="C5126" i="2"/>
  <c r="D5126" i="2"/>
  <c r="F5126" i="2"/>
  <c r="G5126" i="2"/>
  <c r="H5126" i="2"/>
  <c r="J5126" i="2"/>
  <c r="K5126" i="2"/>
  <c r="L5126" i="2"/>
  <c r="C5127" i="2"/>
  <c r="D5127" i="2"/>
  <c r="F5127" i="2"/>
  <c r="G5127" i="2"/>
  <c r="H5127" i="2"/>
  <c r="J5127" i="2"/>
  <c r="K5127" i="2"/>
  <c r="L5127" i="2"/>
  <c r="C5128" i="2"/>
  <c r="D5128" i="2"/>
  <c r="F5128" i="2"/>
  <c r="G5128" i="2"/>
  <c r="H5128" i="2"/>
  <c r="J5128" i="2"/>
  <c r="K5128" i="2"/>
  <c r="L5128" i="2"/>
  <c r="C5129" i="2"/>
  <c r="D5129" i="2"/>
  <c r="F5129" i="2"/>
  <c r="G5129" i="2"/>
  <c r="H5129" i="2"/>
  <c r="J5129" i="2"/>
  <c r="K5129" i="2"/>
  <c r="L5129" i="2"/>
  <c r="C5130" i="2"/>
  <c r="D5130" i="2"/>
  <c r="F5130" i="2"/>
  <c r="G5130" i="2"/>
  <c r="H5130" i="2"/>
  <c r="J5130" i="2"/>
  <c r="K5130" i="2"/>
  <c r="L5130" i="2"/>
  <c r="C5131" i="2"/>
  <c r="D5131" i="2"/>
  <c r="F5131" i="2"/>
  <c r="G5131" i="2"/>
  <c r="H5131" i="2"/>
  <c r="J5131" i="2"/>
  <c r="K5131" i="2"/>
  <c r="L5131" i="2"/>
  <c r="C5132" i="2"/>
  <c r="D5132" i="2"/>
  <c r="F5132" i="2"/>
  <c r="G5132" i="2"/>
  <c r="H5132" i="2"/>
  <c r="J5132" i="2"/>
  <c r="K5132" i="2"/>
  <c r="L5132" i="2"/>
  <c r="C5133" i="2"/>
  <c r="D5133" i="2"/>
  <c r="F5133" i="2"/>
  <c r="G5133" i="2"/>
  <c r="H5133" i="2"/>
  <c r="J5133" i="2"/>
  <c r="K5133" i="2"/>
  <c r="L5133" i="2"/>
  <c r="C5134" i="2"/>
  <c r="D5134" i="2"/>
  <c r="F5134" i="2"/>
  <c r="G5134" i="2"/>
  <c r="H5134" i="2"/>
  <c r="J5134" i="2"/>
  <c r="K5134" i="2"/>
  <c r="L5134" i="2"/>
  <c r="C5135" i="2"/>
  <c r="D5135" i="2"/>
  <c r="F5135" i="2"/>
  <c r="G5135" i="2"/>
  <c r="H5135" i="2"/>
  <c r="J5135" i="2"/>
  <c r="K5135" i="2"/>
  <c r="L5135" i="2"/>
  <c r="C5136" i="2"/>
  <c r="D5136" i="2"/>
  <c r="F5136" i="2"/>
  <c r="G5136" i="2"/>
  <c r="H5136" i="2"/>
  <c r="J5136" i="2"/>
  <c r="K5136" i="2"/>
  <c r="L5136" i="2"/>
  <c r="C5137" i="2"/>
  <c r="D5137" i="2"/>
  <c r="F5137" i="2"/>
  <c r="G5137" i="2"/>
  <c r="H5137" i="2"/>
  <c r="J5137" i="2"/>
  <c r="K5137" i="2"/>
  <c r="L5137" i="2"/>
  <c r="C5138" i="2"/>
  <c r="D5138" i="2"/>
  <c r="F5138" i="2"/>
  <c r="G5138" i="2"/>
  <c r="H5138" i="2"/>
  <c r="J5138" i="2"/>
  <c r="K5138" i="2"/>
  <c r="L5138" i="2"/>
  <c r="C5139" i="2"/>
  <c r="D5139" i="2"/>
  <c r="F5139" i="2"/>
  <c r="G5139" i="2"/>
  <c r="H5139" i="2"/>
  <c r="J5139" i="2"/>
  <c r="K5139" i="2"/>
  <c r="L5139" i="2"/>
  <c r="C5140" i="2"/>
  <c r="D5140" i="2"/>
  <c r="F5140" i="2"/>
  <c r="G5140" i="2"/>
  <c r="H5140" i="2"/>
  <c r="J5140" i="2"/>
  <c r="K5140" i="2"/>
  <c r="L5140" i="2"/>
  <c r="C5141" i="2"/>
  <c r="D5141" i="2"/>
  <c r="F5141" i="2"/>
  <c r="G5141" i="2"/>
  <c r="H5141" i="2"/>
  <c r="J5141" i="2"/>
  <c r="K5141" i="2"/>
  <c r="L5141" i="2"/>
  <c r="C5142" i="2"/>
  <c r="D5142" i="2"/>
  <c r="F5142" i="2"/>
  <c r="G5142" i="2"/>
  <c r="H5142" i="2"/>
  <c r="J5142" i="2"/>
  <c r="K5142" i="2"/>
  <c r="L5142" i="2"/>
  <c r="C5143" i="2"/>
  <c r="D5143" i="2"/>
  <c r="F5143" i="2"/>
  <c r="G5143" i="2"/>
  <c r="H5143" i="2"/>
  <c r="J5143" i="2"/>
  <c r="K5143" i="2"/>
  <c r="L5143" i="2"/>
  <c r="C5144" i="2"/>
  <c r="D5144" i="2"/>
  <c r="F5144" i="2"/>
  <c r="G5144" i="2"/>
  <c r="H5144" i="2"/>
  <c r="J5144" i="2"/>
  <c r="K5144" i="2"/>
  <c r="L5144" i="2"/>
  <c r="C5145" i="2"/>
  <c r="D5145" i="2"/>
  <c r="F5145" i="2"/>
  <c r="G5145" i="2"/>
  <c r="H5145" i="2"/>
  <c r="J5145" i="2"/>
  <c r="K5145" i="2"/>
  <c r="L5145" i="2"/>
  <c r="C5146" i="2"/>
  <c r="D5146" i="2"/>
  <c r="F5146" i="2"/>
  <c r="G5146" i="2"/>
  <c r="H5146" i="2"/>
  <c r="J5146" i="2"/>
  <c r="K5146" i="2"/>
  <c r="L5146" i="2"/>
  <c r="C5147" i="2"/>
  <c r="D5147" i="2"/>
  <c r="F5147" i="2"/>
  <c r="G5147" i="2"/>
  <c r="H5147" i="2"/>
  <c r="J5147" i="2"/>
  <c r="K5147" i="2"/>
  <c r="L5147" i="2"/>
  <c r="C5148" i="2"/>
  <c r="D5148" i="2"/>
  <c r="F5148" i="2"/>
  <c r="G5148" i="2"/>
  <c r="H5148" i="2"/>
  <c r="J5148" i="2"/>
  <c r="K5148" i="2"/>
  <c r="L5148" i="2"/>
  <c r="C5149" i="2"/>
  <c r="D5149" i="2"/>
  <c r="F5149" i="2"/>
  <c r="G5149" i="2"/>
  <c r="H5149" i="2"/>
  <c r="J5149" i="2"/>
  <c r="K5149" i="2"/>
  <c r="L5149" i="2"/>
  <c r="C5150" i="2"/>
  <c r="D5150" i="2"/>
  <c r="F5150" i="2"/>
  <c r="G5150" i="2"/>
  <c r="H5150" i="2"/>
  <c r="J5150" i="2"/>
  <c r="K5150" i="2"/>
  <c r="L5150" i="2"/>
  <c r="C5151" i="2"/>
  <c r="D5151" i="2"/>
  <c r="F5151" i="2"/>
  <c r="G5151" i="2"/>
  <c r="H5151" i="2"/>
  <c r="J5151" i="2"/>
  <c r="K5151" i="2"/>
  <c r="L5151" i="2"/>
  <c r="C5152" i="2"/>
  <c r="D5152" i="2"/>
  <c r="F5152" i="2"/>
  <c r="G5152" i="2"/>
  <c r="H5152" i="2"/>
  <c r="J5152" i="2"/>
  <c r="K5152" i="2"/>
  <c r="L5152" i="2"/>
  <c r="C5153" i="2"/>
  <c r="D5153" i="2"/>
  <c r="F5153" i="2"/>
  <c r="G5153" i="2"/>
  <c r="H5153" i="2"/>
  <c r="J5153" i="2"/>
  <c r="K5153" i="2"/>
  <c r="L5153" i="2"/>
  <c r="C5154" i="2"/>
  <c r="D5154" i="2"/>
  <c r="F5154" i="2"/>
  <c r="G5154" i="2"/>
  <c r="H5154" i="2"/>
  <c r="J5154" i="2"/>
  <c r="K5154" i="2"/>
  <c r="L5154" i="2"/>
  <c r="C5155" i="2"/>
  <c r="D5155" i="2"/>
  <c r="F5155" i="2"/>
  <c r="G5155" i="2"/>
  <c r="H5155" i="2"/>
  <c r="J5155" i="2"/>
  <c r="K5155" i="2"/>
  <c r="L5155" i="2"/>
  <c r="C5156" i="2"/>
  <c r="D5156" i="2"/>
  <c r="F5156" i="2"/>
  <c r="G5156" i="2"/>
  <c r="H5156" i="2"/>
  <c r="J5156" i="2"/>
  <c r="K5156" i="2"/>
  <c r="L5156" i="2"/>
  <c r="C5157" i="2"/>
  <c r="D5157" i="2"/>
  <c r="F5157" i="2"/>
  <c r="G5157" i="2"/>
  <c r="H5157" i="2"/>
  <c r="J5157" i="2"/>
  <c r="K5157" i="2"/>
  <c r="L5157" i="2"/>
  <c r="C5158" i="2"/>
  <c r="D5158" i="2"/>
  <c r="F5158" i="2"/>
  <c r="G5158" i="2"/>
  <c r="H5158" i="2"/>
  <c r="J5158" i="2"/>
  <c r="K5158" i="2"/>
  <c r="L5158" i="2"/>
  <c r="C5159" i="2"/>
  <c r="D5159" i="2"/>
  <c r="F5159" i="2"/>
  <c r="G5159" i="2"/>
  <c r="H5159" i="2"/>
  <c r="J5159" i="2"/>
  <c r="K5159" i="2"/>
  <c r="L5159" i="2"/>
  <c r="C5160" i="2"/>
  <c r="D5160" i="2"/>
  <c r="F5160" i="2"/>
  <c r="G5160" i="2"/>
  <c r="H5160" i="2"/>
  <c r="J5160" i="2"/>
  <c r="K5160" i="2"/>
  <c r="L5160" i="2"/>
  <c r="C5161" i="2"/>
  <c r="D5161" i="2"/>
  <c r="F5161" i="2"/>
  <c r="G5161" i="2"/>
  <c r="H5161" i="2"/>
  <c r="J5161" i="2"/>
  <c r="K5161" i="2"/>
  <c r="L5161" i="2"/>
  <c r="C5162" i="2"/>
  <c r="D5162" i="2"/>
  <c r="F5162" i="2"/>
  <c r="G5162" i="2"/>
  <c r="H5162" i="2"/>
  <c r="J5162" i="2"/>
  <c r="K5162" i="2"/>
  <c r="L5162" i="2"/>
  <c r="C5163" i="2"/>
  <c r="D5163" i="2"/>
  <c r="F5163" i="2"/>
  <c r="G5163" i="2"/>
  <c r="H5163" i="2"/>
  <c r="J5163" i="2"/>
  <c r="K5163" i="2"/>
  <c r="L5163" i="2"/>
  <c r="C5164" i="2"/>
  <c r="D5164" i="2"/>
  <c r="F5164" i="2"/>
  <c r="G5164" i="2"/>
  <c r="H5164" i="2"/>
  <c r="J5164" i="2"/>
  <c r="K5164" i="2"/>
  <c r="L5164" i="2"/>
  <c r="C5165" i="2"/>
  <c r="D5165" i="2"/>
  <c r="F5165" i="2"/>
  <c r="G5165" i="2"/>
  <c r="H5165" i="2"/>
  <c r="J5165" i="2"/>
  <c r="K5165" i="2"/>
  <c r="L5165" i="2"/>
  <c r="C5166" i="2"/>
  <c r="D5166" i="2"/>
  <c r="E5166" i="2"/>
  <c r="F5166" i="2"/>
  <c r="G5166" i="2"/>
  <c r="H5166" i="2"/>
  <c r="J5166" i="2"/>
  <c r="K5166" i="2"/>
  <c r="L5166" i="2"/>
  <c r="C5167" i="2"/>
  <c r="D5167" i="2"/>
  <c r="F5167" i="2"/>
  <c r="G5167" i="2"/>
  <c r="H5167" i="2"/>
  <c r="J5167" i="2"/>
  <c r="K5167" i="2"/>
  <c r="L5167" i="2"/>
  <c r="C5168" i="2"/>
  <c r="D5168" i="2"/>
  <c r="F5168" i="2"/>
  <c r="G5168" i="2"/>
  <c r="H5168" i="2"/>
  <c r="J5168" i="2"/>
  <c r="K5168" i="2"/>
  <c r="L5168" i="2"/>
  <c r="C5169" i="2"/>
  <c r="D5169" i="2"/>
  <c r="F5169" i="2"/>
  <c r="G5169" i="2"/>
  <c r="H5169" i="2"/>
  <c r="J5169" i="2"/>
  <c r="K5169" i="2"/>
  <c r="L5169" i="2"/>
  <c r="C5170" i="2"/>
  <c r="D5170" i="2"/>
  <c r="F5170" i="2"/>
  <c r="G5170" i="2"/>
  <c r="H5170" i="2"/>
  <c r="J5170" i="2"/>
  <c r="K5170" i="2"/>
  <c r="L5170" i="2"/>
  <c r="C5171" i="2"/>
  <c r="D5171" i="2"/>
  <c r="F5171" i="2"/>
  <c r="G5171" i="2"/>
  <c r="H5171" i="2"/>
  <c r="J5171" i="2"/>
  <c r="K5171" i="2"/>
  <c r="L5171" i="2"/>
  <c r="C5172" i="2"/>
  <c r="D5172" i="2"/>
  <c r="F5172" i="2"/>
  <c r="G5172" i="2"/>
  <c r="H5172" i="2"/>
  <c r="J5172" i="2"/>
  <c r="K5172" i="2"/>
  <c r="L5172" i="2"/>
  <c r="C5173" i="2"/>
  <c r="D5173" i="2"/>
  <c r="F5173" i="2"/>
  <c r="G5173" i="2"/>
  <c r="H5173" i="2"/>
  <c r="J5173" i="2"/>
  <c r="K5173" i="2"/>
  <c r="L5173" i="2"/>
  <c r="C5174" i="2"/>
  <c r="D5174" i="2"/>
  <c r="F5174" i="2"/>
  <c r="G5174" i="2"/>
  <c r="H5174" i="2"/>
  <c r="J5174" i="2"/>
  <c r="K5174" i="2"/>
  <c r="L5174" i="2"/>
  <c r="C5175" i="2"/>
  <c r="D5175" i="2"/>
  <c r="F5175" i="2"/>
  <c r="G5175" i="2"/>
  <c r="H5175" i="2"/>
  <c r="J5175" i="2"/>
  <c r="K5175" i="2"/>
  <c r="L5175" i="2"/>
  <c r="C5176" i="2"/>
  <c r="D5176" i="2"/>
  <c r="F5176" i="2"/>
  <c r="G5176" i="2"/>
  <c r="H5176" i="2"/>
  <c r="J5176" i="2"/>
  <c r="K5176" i="2"/>
  <c r="L5176" i="2"/>
  <c r="C5177" i="2"/>
  <c r="D5177" i="2"/>
  <c r="F5177" i="2"/>
  <c r="G5177" i="2"/>
  <c r="H5177" i="2"/>
  <c r="J5177" i="2"/>
  <c r="K5177" i="2"/>
  <c r="L5177" i="2"/>
  <c r="C5178" i="2"/>
  <c r="D5178" i="2"/>
  <c r="F5178" i="2"/>
  <c r="G5178" i="2"/>
  <c r="H5178" i="2"/>
  <c r="J5178" i="2"/>
  <c r="K5178" i="2"/>
  <c r="L5178" i="2"/>
  <c r="C5179" i="2"/>
  <c r="D5179" i="2"/>
  <c r="F5179" i="2"/>
  <c r="G5179" i="2"/>
  <c r="H5179" i="2"/>
  <c r="J5179" i="2"/>
  <c r="K5179" i="2"/>
  <c r="L5179" i="2"/>
  <c r="C5180" i="2"/>
  <c r="D5180" i="2"/>
  <c r="F5180" i="2"/>
  <c r="G5180" i="2"/>
  <c r="H5180" i="2"/>
  <c r="J5180" i="2"/>
  <c r="K5180" i="2"/>
  <c r="L5180" i="2"/>
  <c r="C5181" i="2"/>
  <c r="D5181" i="2"/>
  <c r="F5181" i="2"/>
  <c r="G5181" i="2"/>
  <c r="H5181" i="2"/>
  <c r="J5181" i="2"/>
  <c r="K5181" i="2"/>
  <c r="L5181" i="2"/>
  <c r="C5182" i="2"/>
  <c r="D5182" i="2"/>
  <c r="F5182" i="2"/>
  <c r="G5182" i="2"/>
  <c r="H5182" i="2"/>
  <c r="J5182" i="2"/>
  <c r="K5182" i="2"/>
  <c r="L5182" i="2"/>
  <c r="C5183" i="2"/>
  <c r="D5183" i="2"/>
  <c r="F5183" i="2"/>
  <c r="G5183" i="2"/>
  <c r="H5183" i="2"/>
  <c r="J5183" i="2"/>
  <c r="K5183" i="2"/>
  <c r="L5183" i="2"/>
  <c r="C5184" i="2"/>
  <c r="D5184" i="2"/>
  <c r="F5184" i="2"/>
  <c r="G5184" i="2"/>
  <c r="H5184" i="2"/>
  <c r="J5184" i="2"/>
  <c r="K5184" i="2"/>
  <c r="L5184" i="2"/>
  <c r="C5185" i="2"/>
  <c r="D5185" i="2"/>
  <c r="F5185" i="2"/>
  <c r="G5185" i="2"/>
  <c r="H5185" i="2"/>
  <c r="J5185" i="2"/>
  <c r="K5185" i="2"/>
  <c r="L5185" i="2"/>
  <c r="C5186" i="2"/>
  <c r="D5186" i="2"/>
  <c r="F5186" i="2"/>
  <c r="G5186" i="2"/>
  <c r="H5186" i="2"/>
  <c r="J5186" i="2"/>
  <c r="K5186" i="2"/>
  <c r="L5186" i="2"/>
  <c r="C5187" i="2"/>
  <c r="D5187" i="2"/>
  <c r="F5187" i="2"/>
  <c r="G5187" i="2"/>
  <c r="H5187" i="2"/>
  <c r="J5187" i="2"/>
  <c r="K5187" i="2"/>
  <c r="L5187" i="2"/>
  <c r="C5188" i="2"/>
  <c r="D5188" i="2"/>
  <c r="F5188" i="2"/>
  <c r="G5188" i="2"/>
  <c r="H5188" i="2"/>
  <c r="J5188" i="2"/>
  <c r="K5188" i="2"/>
  <c r="L5188" i="2"/>
  <c r="C5189" i="2"/>
  <c r="D5189" i="2"/>
  <c r="F5189" i="2"/>
  <c r="G5189" i="2"/>
  <c r="H5189" i="2"/>
  <c r="J5189" i="2"/>
  <c r="K5189" i="2"/>
  <c r="L5189" i="2"/>
  <c r="C5190" i="2"/>
  <c r="D5190" i="2"/>
  <c r="F5190" i="2"/>
  <c r="G5190" i="2"/>
  <c r="H5190" i="2"/>
  <c r="J5190" i="2"/>
  <c r="K5190" i="2"/>
  <c r="L5190" i="2"/>
  <c r="C5191" i="2"/>
  <c r="D5191" i="2"/>
  <c r="F5191" i="2"/>
  <c r="G5191" i="2"/>
  <c r="H5191" i="2"/>
  <c r="J5191" i="2"/>
  <c r="K5191" i="2"/>
  <c r="L5191" i="2"/>
  <c r="C5192" i="2"/>
  <c r="D5192" i="2"/>
  <c r="F5192" i="2"/>
  <c r="G5192" i="2"/>
  <c r="H5192" i="2"/>
  <c r="J5192" i="2"/>
  <c r="K5192" i="2"/>
  <c r="L5192" i="2"/>
  <c r="C5193" i="2"/>
  <c r="D5193" i="2"/>
  <c r="F5193" i="2"/>
  <c r="G5193" i="2"/>
  <c r="H5193" i="2"/>
  <c r="J5193" i="2"/>
  <c r="K5193" i="2"/>
  <c r="L5193" i="2"/>
  <c r="C5194" i="2"/>
  <c r="D5194" i="2"/>
  <c r="F5194" i="2"/>
  <c r="G5194" i="2"/>
  <c r="H5194" i="2"/>
  <c r="J5194" i="2"/>
  <c r="K5194" i="2"/>
  <c r="L5194" i="2"/>
  <c r="C5195" i="2"/>
  <c r="D5195" i="2"/>
  <c r="F5195" i="2"/>
  <c r="G5195" i="2"/>
  <c r="H5195" i="2"/>
  <c r="J5195" i="2"/>
  <c r="K5195" i="2"/>
  <c r="L5195" i="2"/>
  <c r="C5196" i="2"/>
  <c r="D5196" i="2"/>
  <c r="F5196" i="2"/>
  <c r="G5196" i="2"/>
  <c r="H5196" i="2"/>
  <c r="J5196" i="2"/>
  <c r="K5196" i="2"/>
  <c r="L5196" i="2"/>
  <c r="C5197" i="2"/>
  <c r="D5197" i="2"/>
  <c r="F5197" i="2"/>
  <c r="G5197" i="2"/>
  <c r="H5197" i="2"/>
  <c r="J5197" i="2"/>
  <c r="K5197" i="2"/>
  <c r="L5197" i="2"/>
  <c r="C5198" i="2"/>
  <c r="D5198" i="2"/>
  <c r="F5198" i="2"/>
  <c r="G5198" i="2"/>
  <c r="H5198" i="2"/>
  <c r="J5198" i="2"/>
  <c r="K5198" i="2"/>
  <c r="L5198" i="2"/>
  <c r="C5199" i="2"/>
  <c r="D5199" i="2"/>
  <c r="F5199" i="2"/>
  <c r="G5199" i="2"/>
  <c r="H5199" i="2"/>
  <c r="J5199" i="2"/>
  <c r="K5199" i="2"/>
  <c r="L5199" i="2"/>
  <c r="C5200" i="2"/>
  <c r="D5200" i="2"/>
  <c r="F5200" i="2"/>
  <c r="G5200" i="2"/>
  <c r="H5200" i="2"/>
  <c r="J5200" i="2"/>
  <c r="K5200" i="2"/>
  <c r="L5200" i="2"/>
  <c r="C5201" i="2"/>
  <c r="D5201" i="2"/>
  <c r="F5201" i="2"/>
  <c r="G5201" i="2"/>
  <c r="H5201" i="2"/>
  <c r="J5201" i="2"/>
  <c r="K5201" i="2"/>
  <c r="L5201" i="2"/>
  <c r="C5202" i="2"/>
  <c r="D5202" i="2"/>
  <c r="F5202" i="2"/>
  <c r="G5202" i="2"/>
  <c r="H5202" i="2"/>
  <c r="J5202" i="2"/>
  <c r="K5202" i="2"/>
  <c r="L5202" i="2"/>
  <c r="C5203" i="2"/>
  <c r="D5203" i="2"/>
  <c r="F5203" i="2"/>
  <c r="G5203" i="2"/>
  <c r="H5203" i="2"/>
  <c r="J5203" i="2"/>
  <c r="K5203" i="2"/>
  <c r="L5203" i="2"/>
  <c r="C5204" i="2"/>
  <c r="D5204" i="2"/>
  <c r="F5204" i="2"/>
  <c r="G5204" i="2"/>
  <c r="H5204" i="2"/>
  <c r="J5204" i="2"/>
  <c r="K5204" i="2"/>
  <c r="L5204" i="2"/>
  <c r="C5205" i="2"/>
  <c r="D5205" i="2"/>
  <c r="F5205" i="2"/>
  <c r="G5205" i="2"/>
  <c r="H5205" i="2"/>
  <c r="J5205" i="2"/>
  <c r="K5205" i="2"/>
  <c r="L5205" i="2"/>
  <c r="C5206" i="2"/>
  <c r="D5206" i="2"/>
  <c r="F5206" i="2"/>
  <c r="G5206" i="2"/>
  <c r="H5206" i="2"/>
  <c r="J5206" i="2"/>
  <c r="K5206" i="2"/>
  <c r="L5206" i="2"/>
  <c r="C5207" i="2"/>
  <c r="D5207" i="2"/>
  <c r="F5207" i="2"/>
  <c r="G5207" i="2"/>
  <c r="H5207" i="2"/>
  <c r="J5207" i="2"/>
  <c r="K5207" i="2"/>
  <c r="L5207" i="2"/>
  <c r="C5208" i="2"/>
  <c r="D5208" i="2"/>
  <c r="F5208" i="2"/>
  <c r="G5208" i="2"/>
  <c r="H5208" i="2"/>
  <c r="J5208" i="2"/>
  <c r="K5208" i="2"/>
  <c r="L5208" i="2"/>
  <c r="C5209" i="2"/>
  <c r="D5209" i="2"/>
  <c r="F5209" i="2"/>
  <c r="G5209" i="2"/>
  <c r="H5209" i="2"/>
  <c r="J5209" i="2"/>
  <c r="K5209" i="2"/>
  <c r="L5209" i="2"/>
  <c r="C5210" i="2"/>
  <c r="D5210" i="2"/>
  <c r="F5210" i="2"/>
  <c r="G5210" i="2"/>
  <c r="H5210" i="2"/>
  <c r="J5210" i="2"/>
  <c r="K5210" i="2"/>
  <c r="L5210" i="2"/>
  <c r="C5211" i="2"/>
  <c r="D5211" i="2"/>
  <c r="F5211" i="2"/>
  <c r="G5211" i="2"/>
  <c r="H5211" i="2"/>
  <c r="J5211" i="2"/>
  <c r="K5211" i="2"/>
  <c r="L5211" i="2"/>
  <c r="C5212" i="2"/>
  <c r="D5212" i="2"/>
  <c r="F5212" i="2"/>
  <c r="G5212" i="2"/>
  <c r="H5212" i="2"/>
  <c r="J5212" i="2"/>
  <c r="K5212" i="2"/>
  <c r="L5212" i="2"/>
  <c r="C5213" i="2"/>
  <c r="D5213" i="2"/>
  <c r="F5213" i="2"/>
  <c r="G5213" i="2"/>
  <c r="H5213" i="2"/>
  <c r="J5213" i="2"/>
  <c r="K5213" i="2"/>
  <c r="L5213" i="2"/>
  <c r="C5214" i="2"/>
  <c r="D5214" i="2"/>
  <c r="F5214" i="2"/>
  <c r="G5214" i="2"/>
  <c r="H5214" i="2"/>
  <c r="J5214" i="2"/>
  <c r="K5214" i="2"/>
  <c r="L5214" i="2"/>
  <c r="C5215" i="2"/>
  <c r="D5215" i="2"/>
  <c r="F5215" i="2"/>
  <c r="G5215" i="2"/>
  <c r="H5215" i="2"/>
  <c r="J5215" i="2"/>
  <c r="K5215" i="2"/>
  <c r="L5215" i="2"/>
  <c r="C5216" i="2"/>
  <c r="D5216" i="2"/>
  <c r="F5216" i="2"/>
  <c r="G5216" i="2"/>
  <c r="H5216" i="2"/>
  <c r="J5216" i="2"/>
  <c r="K5216" i="2"/>
  <c r="L5216" i="2"/>
  <c r="C5217" i="2"/>
  <c r="D5217" i="2"/>
  <c r="F5217" i="2"/>
  <c r="G5217" i="2"/>
  <c r="H5217" i="2"/>
  <c r="J5217" i="2"/>
  <c r="K5217" i="2"/>
  <c r="L5217" i="2"/>
  <c r="C5218" i="2"/>
  <c r="D5218" i="2"/>
  <c r="F5218" i="2"/>
  <c r="G5218" i="2"/>
  <c r="H5218" i="2"/>
  <c r="J5218" i="2"/>
  <c r="K5218" i="2"/>
  <c r="L5218" i="2"/>
  <c r="C5219" i="2"/>
  <c r="D5219" i="2"/>
  <c r="F5219" i="2"/>
  <c r="G5219" i="2"/>
  <c r="H5219" i="2"/>
  <c r="J5219" i="2"/>
  <c r="K5219" i="2"/>
  <c r="L5219" i="2"/>
  <c r="C5220" i="2"/>
  <c r="D5220" i="2"/>
  <c r="F5220" i="2"/>
  <c r="G5220" i="2"/>
  <c r="H5220" i="2"/>
  <c r="J5220" i="2"/>
  <c r="K5220" i="2"/>
  <c r="L5220" i="2"/>
  <c r="C5221" i="2"/>
  <c r="D5221" i="2"/>
  <c r="F5221" i="2"/>
  <c r="G5221" i="2"/>
  <c r="H5221" i="2"/>
  <c r="J5221" i="2"/>
  <c r="K5221" i="2"/>
  <c r="L5221" i="2"/>
  <c r="C5222" i="2"/>
  <c r="D5222" i="2"/>
  <c r="F5222" i="2"/>
  <c r="G5222" i="2"/>
  <c r="H5222" i="2"/>
  <c r="J5222" i="2"/>
  <c r="K5222" i="2"/>
  <c r="L5222" i="2"/>
  <c r="C5223" i="2"/>
  <c r="D5223" i="2"/>
  <c r="F5223" i="2"/>
  <c r="G5223" i="2"/>
  <c r="H5223" i="2"/>
  <c r="J5223" i="2"/>
  <c r="K5223" i="2"/>
  <c r="L5223" i="2"/>
  <c r="C5224" i="2"/>
  <c r="D5224" i="2"/>
  <c r="F5224" i="2"/>
  <c r="G5224" i="2"/>
  <c r="H5224" i="2"/>
  <c r="J5224" i="2"/>
  <c r="K5224" i="2"/>
  <c r="L5224" i="2"/>
  <c r="C5225" i="2"/>
  <c r="D5225" i="2"/>
  <c r="F5225" i="2"/>
  <c r="G5225" i="2"/>
  <c r="H5225" i="2"/>
  <c r="J5225" i="2"/>
  <c r="K5225" i="2"/>
  <c r="L5225" i="2"/>
  <c r="C5226" i="2"/>
  <c r="D5226" i="2"/>
  <c r="F5226" i="2"/>
  <c r="G5226" i="2"/>
  <c r="H5226" i="2"/>
  <c r="J5226" i="2"/>
  <c r="K5226" i="2"/>
  <c r="L5226" i="2"/>
  <c r="C5227" i="2"/>
  <c r="D5227" i="2"/>
  <c r="F5227" i="2"/>
  <c r="G5227" i="2"/>
  <c r="H5227" i="2"/>
  <c r="J5227" i="2"/>
  <c r="K5227" i="2"/>
  <c r="L5227" i="2"/>
  <c r="C5228" i="2"/>
  <c r="D5228" i="2"/>
  <c r="F5228" i="2"/>
  <c r="G5228" i="2"/>
  <c r="H5228" i="2"/>
  <c r="J5228" i="2"/>
  <c r="K5228" i="2"/>
  <c r="L5228" i="2"/>
  <c r="C5229" i="2"/>
  <c r="D5229" i="2"/>
  <c r="F5229" i="2"/>
  <c r="G5229" i="2"/>
  <c r="H5229" i="2"/>
  <c r="J5229" i="2"/>
  <c r="K5229" i="2"/>
  <c r="L5229" i="2"/>
  <c r="C5230" i="2"/>
  <c r="D5230" i="2"/>
  <c r="F5230" i="2"/>
  <c r="G5230" i="2"/>
  <c r="H5230" i="2"/>
  <c r="J5230" i="2"/>
  <c r="K5230" i="2"/>
  <c r="L5230" i="2"/>
  <c r="C5231" i="2"/>
  <c r="D5231" i="2"/>
  <c r="F5231" i="2"/>
  <c r="G5231" i="2"/>
  <c r="H5231" i="2"/>
  <c r="J5231" i="2"/>
  <c r="K5231" i="2"/>
  <c r="L5231" i="2"/>
  <c r="C5232" i="2"/>
  <c r="D5232" i="2"/>
  <c r="F5232" i="2"/>
  <c r="G5232" i="2"/>
  <c r="H5232" i="2"/>
  <c r="J5232" i="2"/>
  <c r="K5232" i="2"/>
  <c r="L5232" i="2"/>
  <c r="C5233" i="2"/>
  <c r="D5233" i="2"/>
  <c r="F5233" i="2"/>
  <c r="G5233" i="2"/>
  <c r="H5233" i="2"/>
  <c r="J5233" i="2"/>
  <c r="K5233" i="2"/>
  <c r="L5233" i="2"/>
  <c r="C5234" i="2"/>
  <c r="D5234" i="2"/>
  <c r="F5234" i="2"/>
  <c r="G5234" i="2"/>
  <c r="H5234" i="2"/>
  <c r="J5234" i="2"/>
  <c r="K5234" i="2"/>
  <c r="L5234" i="2"/>
  <c r="C5235" i="2"/>
  <c r="D5235" i="2"/>
  <c r="F5235" i="2"/>
  <c r="G5235" i="2"/>
  <c r="H5235" i="2"/>
  <c r="J5235" i="2"/>
  <c r="K5235" i="2"/>
  <c r="L5235" i="2"/>
  <c r="C5236" i="2"/>
  <c r="D5236" i="2"/>
  <c r="F5236" i="2"/>
  <c r="G5236" i="2"/>
  <c r="H5236" i="2"/>
  <c r="J5236" i="2"/>
  <c r="K5236" i="2"/>
  <c r="L5236" i="2"/>
  <c r="C5237" i="2"/>
  <c r="D5237" i="2"/>
  <c r="F5237" i="2"/>
  <c r="G5237" i="2"/>
  <c r="H5237" i="2"/>
  <c r="J5237" i="2"/>
  <c r="K5237" i="2"/>
  <c r="L5237" i="2"/>
  <c r="C5238" i="2"/>
  <c r="D5238" i="2"/>
  <c r="F5238" i="2"/>
  <c r="G5238" i="2"/>
  <c r="H5238" i="2"/>
  <c r="J5238" i="2"/>
  <c r="K5238" i="2"/>
  <c r="L5238" i="2"/>
  <c r="C5239" i="2"/>
  <c r="D5239" i="2"/>
  <c r="F5239" i="2"/>
  <c r="G5239" i="2"/>
  <c r="H5239" i="2"/>
  <c r="J5239" i="2"/>
  <c r="K5239" i="2"/>
  <c r="L5239" i="2"/>
  <c r="C5240" i="2"/>
  <c r="D5240" i="2"/>
  <c r="F5240" i="2"/>
  <c r="G5240" i="2"/>
  <c r="H5240" i="2"/>
  <c r="J5240" i="2"/>
  <c r="K5240" i="2"/>
  <c r="L5240" i="2"/>
  <c r="C5241" i="2"/>
  <c r="D5241" i="2"/>
  <c r="F5241" i="2"/>
  <c r="G5241" i="2"/>
  <c r="H5241" i="2"/>
  <c r="J5241" i="2"/>
  <c r="K5241" i="2"/>
  <c r="L5241" i="2"/>
  <c r="C5242" i="2"/>
  <c r="D5242" i="2"/>
  <c r="F5242" i="2"/>
  <c r="G5242" i="2"/>
  <c r="H5242" i="2"/>
  <c r="J5242" i="2"/>
  <c r="K5242" i="2"/>
  <c r="L5242" i="2"/>
  <c r="C5243" i="2"/>
  <c r="D5243" i="2"/>
  <c r="F5243" i="2"/>
  <c r="G5243" i="2"/>
  <c r="H5243" i="2"/>
  <c r="J5243" i="2"/>
  <c r="K5243" i="2"/>
  <c r="L5243" i="2"/>
  <c r="C5244" i="2"/>
  <c r="D5244" i="2"/>
  <c r="F5244" i="2"/>
  <c r="G5244" i="2"/>
  <c r="H5244" i="2"/>
  <c r="J5244" i="2"/>
  <c r="K5244" i="2"/>
  <c r="L5244" i="2"/>
  <c r="C5245" i="2"/>
  <c r="D5245" i="2"/>
  <c r="F5245" i="2"/>
  <c r="G5245" i="2"/>
  <c r="H5245" i="2"/>
  <c r="J5245" i="2"/>
  <c r="K5245" i="2"/>
  <c r="L5245" i="2"/>
  <c r="C5246" i="2"/>
  <c r="D5246" i="2"/>
  <c r="F5246" i="2"/>
  <c r="G5246" i="2"/>
  <c r="H5246" i="2"/>
  <c r="J5246" i="2"/>
  <c r="K5246" i="2"/>
  <c r="L5246" i="2"/>
  <c r="C5247" i="2"/>
  <c r="D5247" i="2"/>
  <c r="F5247" i="2"/>
  <c r="G5247" i="2"/>
  <c r="H5247" i="2"/>
  <c r="J5247" i="2"/>
  <c r="K5247" i="2"/>
  <c r="L5247" i="2"/>
  <c r="C5248" i="2"/>
  <c r="D5248" i="2"/>
  <c r="F5248" i="2"/>
  <c r="G5248" i="2"/>
  <c r="H5248" i="2"/>
  <c r="J5248" i="2"/>
  <c r="K5248" i="2"/>
  <c r="L5248" i="2"/>
  <c r="C5249" i="2"/>
  <c r="D5249" i="2"/>
  <c r="F5249" i="2"/>
  <c r="G5249" i="2"/>
  <c r="H5249" i="2"/>
  <c r="J5249" i="2"/>
  <c r="K5249" i="2"/>
  <c r="L5249" i="2"/>
  <c r="C5250" i="2"/>
  <c r="D5250" i="2"/>
  <c r="F5250" i="2"/>
  <c r="G5250" i="2"/>
  <c r="H5250" i="2"/>
  <c r="J5250" i="2"/>
  <c r="K5250" i="2"/>
  <c r="L5250" i="2"/>
  <c r="C5251" i="2"/>
  <c r="D5251" i="2"/>
  <c r="F5251" i="2"/>
  <c r="G5251" i="2"/>
  <c r="H5251" i="2"/>
  <c r="J5251" i="2"/>
  <c r="K5251" i="2"/>
  <c r="L5251" i="2"/>
  <c r="C5252" i="2"/>
  <c r="D5252" i="2"/>
  <c r="F5252" i="2"/>
  <c r="G5252" i="2"/>
  <c r="H5252" i="2"/>
  <c r="J5252" i="2"/>
  <c r="K5252" i="2"/>
  <c r="L5252" i="2"/>
  <c r="C5253" i="2"/>
  <c r="D5253" i="2"/>
  <c r="F5253" i="2"/>
  <c r="G5253" i="2"/>
  <c r="H5253" i="2"/>
  <c r="J5253" i="2"/>
  <c r="K5253" i="2"/>
  <c r="L5253" i="2"/>
  <c r="C5254" i="2"/>
  <c r="D5254" i="2"/>
  <c r="F5254" i="2"/>
  <c r="G5254" i="2"/>
  <c r="H5254" i="2"/>
  <c r="J5254" i="2"/>
  <c r="K5254" i="2"/>
  <c r="L5254" i="2"/>
  <c r="C5255" i="2"/>
  <c r="D5255" i="2"/>
  <c r="F5255" i="2"/>
  <c r="G5255" i="2"/>
  <c r="H5255" i="2"/>
  <c r="J5255" i="2"/>
  <c r="K5255" i="2"/>
  <c r="L5255" i="2"/>
  <c r="C5256" i="2"/>
  <c r="D5256" i="2"/>
  <c r="F5256" i="2"/>
  <c r="G5256" i="2"/>
  <c r="H5256" i="2"/>
  <c r="J5256" i="2"/>
  <c r="K5256" i="2"/>
  <c r="L5256" i="2"/>
  <c r="C5257" i="2"/>
  <c r="D5257" i="2"/>
  <c r="F5257" i="2"/>
  <c r="G5257" i="2"/>
  <c r="H5257" i="2"/>
  <c r="J5257" i="2"/>
  <c r="K5257" i="2"/>
  <c r="L5257" i="2"/>
  <c r="C5258" i="2"/>
  <c r="D5258" i="2"/>
  <c r="F5258" i="2"/>
  <c r="G5258" i="2"/>
  <c r="H5258" i="2"/>
  <c r="J5258" i="2"/>
  <c r="K5258" i="2"/>
  <c r="L5258" i="2"/>
  <c r="C5259" i="2"/>
  <c r="D5259" i="2"/>
  <c r="F5259" i="2"/>
  <c r="G5259" i="2"/>
  <c r="H5259" i="2"/>
  <c r="J5259" i="2"/>
  <c r="K5259" i="2"/>
  <c r="L5259" i="2"/>
  <c r="C5260" i="2"/>
  <c r="D5260" i="2"/>
  <c r="F5260" i="2"/>
  <c r="G5260" i="2"/>
  <c r="H5260" i="2"/>
  <c r="J5260" i="2"/>
  <c r="K5260" i="2"/>
  <c r="L5260" i="2"/>
  <c r="C5261" i="2"/>
  <c r="D5261" i="2"/>
  <c r="F5261" i="2"/>
  <c r="G5261" i="2"/>
  <c r="H5261" i="2"/>
  <c r="J5261" i="2"/>
  <c r="K5261" i="2"/>
  <c r="L5261" i="2"/>
  <c r="C5262" i="2"/>
  <c r="D5262" i="2"/>
  <c r="F5262" i="2"/>
  <c r="G5262" i="2"/>
  <c r="H5262" i="2"/>
  <c r="J5262" i="2"/>
  <c r="K5262" i="2"/>
  <c r="L5262" i="2"/>
  <c r="C5263" i="2"/>
  <c r="D5263" i="2"/>
  <c r="F5263" i="2"/>
  <c r="G5263" i="2"/>
  <c r="H5263" i="2"/>
  <c r="J5263" i="2"/>
  <c r="K5263" i="2"/>
  <c r="L5263" i="2"/>
  <c r="C5264" i="2"/>
  <c r="D5264" i="2"/>
  <c r="F5264" i="2"/>
  <c r="G5264" i="2"/>
  <c r="H5264" i="2"/>
  <c r="J5264" i="2"/>
  <c r="K5264" i="2"/>
  <c r="L5264" i="2"/>
  <c r="C5265" i="2"/>
  <c r="D5265" i="2"/>
  <c r="F5265" i="2"/>
  <c r="G5265" i="2"/>
  <c r="H5265" i="2"/>
  <c r="J5265" i="2"/>
  <c r="K5265" i="2"/>
  <c r="L5265" i="2"/>
  <c r="C5266" i="2"/>
  <c r="D5266" i="2"/>
  <c r="F5266" i="2"/>
  <c r="G5266" i="2"/>
  <c r="H5266" i="2"/>
  <c r="J5266" i="2"/>
  <c r="K5266" i="2"/>
  <c r="L5266" i="2"/>
  <c r="C5267" i="2"/>
  <c r="D5267" i="2"/>
  <c r="F5267" i="2"/>
  <c r="G5267" i="2"/>
  <c r="H5267" i="2"/>
  <c r="J5267" i="2"/>
  <c r="K5267" i="2"/>
  <c r="L5267" i="2"/>
  <c r="D5268" i="2"/>
  <c r="F5268" i="2"/>
  <c r="G5268" i="2"/>
  <c r="H5268" i="2"/>
  <c r="J5268" i="2"/>
  <c r="K5268" i="2"/>
  <c r="L5268" i="2"/>
  <c r="C5269" i="2"/>
  <c r="D5269" i="2"/>
  <c r="F5269" i="2"/>
  <c r="G5269" i="2"/>
  <c r="H5269" i="2"/>
  <c r="J5269" i="2"/>
  <c r="K5269" i="2"/>
  <c r="L5269" i="2"/>
  <c r="C5270" i="2"/>
  <c r="D5270" i="2"/>
  <c r="F5270" i="2"/>
  <c r="G5270" i="2"/>
  <c r="H5270" i="2"/>
  <c r="J5270" i="2"/>
  <c r="K5270" i="2"/>
  <c r="L5270" i="2"/>
  <c r="C5271" i="2"/>
  <c r="D5271" i="2"/>
  <c r="F5271" i="2"/>
  <c r="G5271" i="2"/>
  <c r="H5271" i="2"/>
  <c r="J5271" i="2"/>
  <c r="K5271" i="2"/>
  <c r="L5271" i="2"/>
  <c r="C5272" i="2"/>
  <c r="D5272" i="2"/>
  <c r="F5272" i="2"/>
  <c r="G5272" i="2"/>
  <c r="H5272" i="2"/>
  <c r="J5272" i="2"/>
  <c r="K5272" i="2"/>
  <c r="L5272" i="2"/>
  <c r="C5273" i="2"/>
  <c r="D5273" i="2"/>
  <c r="F5273" i="2"/>
  <c r="G5273" i="2"/>
  <c r="H5273" i="2"/>
  <c r="J5273" i="2"/>
  <c r="K5273" i="2"/>
  <c r="L5273" i="2"/>
  <c r="C5274" i="2"/>
  <c r="D5274" i="2"/>
  <c r="F5274" i="2"/>
  <c r="G5274" i="2"/>
  <c r="H5274" i="2"/>
  <c r="J5274" i="2"/>
  <c r="K5274" i="2"/>
  <c r="L5274" i="2"/>
  <c r="C5275" i="2"/>
  <c r="D5275" i="2"/>
  <c r="F5275" i="2"/>
  <c r="G5275" i="2"/>
  <c r="H5275" i="2"/>
  <c r="J5275" i="2"/>
  <c r="K5275" i="2"/>
  <c r="L5275" i="2"/>
  <c r="C5276" i="2"/>
  <c r="D5276" i="2"/>
  <c r="F5276" i="2"/>
  <c r="G5276" i="2"/>
  <c r="H5276" i="2"/>
  <c r="J5276" i="2"/>
  <c r="K5276" i="2"/>
  <c r="L5276" i="2"/>
  <c r="C5277" i="2"/>
  <c r="D5277" i="2"/>
  <c r="F5277" i="2"/>
  <c r="G5277" i="2"/>
  <c r="H5277" i="2"/>
  <c r="J5277" i="2"/>
  <c r="K5277" i="2"/>
  <c r="L5277" i="2"/>
  <c r="C5278" i="2"/>
  <c r="D5278" i="2"/>
  <c r="F5278" i="2"/>
  <c r="G5278" i="2"/>
  <c r="H5278" i="2"/>
  <c r="J5278" i="2"/>
  <c r="K5278" i="2"/>
  <c r="L5278" i="2"/>
  <c r="C5279" i="2"/>
  <c r="D5279" i="2"/>
  <c r="F5279" i="2"/>
  <c r="G5279" i="2"/>
  <c r="H5279" i="2"/>
  <c r="J5279" i="2"/>
  <c r="K5279" i="2"/>
  <c r="L5279" i="2"/>
  <c r="C5280" i="2"/>
  <c r="D5280" i="2"/>
  <c r="F5280" i="2"/>
  <c r="G5280" i="2"/>
  <c r="H5280" i="2"/>
  <c r="J5280" i="2"/>
  <c r="K5280" i="2"/>
  <c r="L5280" i="2"/>
  <c r="C5281" i="2"/>
  <c r="D5281" i="2"/>
  <c r="F5281" i="2"/>
  <c r="G5281" i="2"/>
  <c r="H5281" i="2"/>
  <c r="J5281" i="2"/>
  <c r="K5281" i="2"/>
  <c r="L5281" i="2"/>
  <c r="C5282" i="2"/>
  <c r="D5282" i="2"/>
  <c r="F5282" i="2"/>
  <c r="G5282" i="2"/>
  <c r="H5282" i="2"/>
  <c r="J5282" i="2"/>
  <c r="K5282" i="2"/>
  <c r="L5282" i="2"/>
  <c r="C5283" i="2"/>
  <c r="D5283" i="2"/>
  <c r="F5283" i="2"/>
  <c r="G5283" i="2"/>
  <c r="H5283" i="2"/>
  <c r="J5283" i="2"/>
  <c r="K5283" i="2"/>
  <c r="L5283" i="2"/>
  <c r="C5284" i="2"/>
  <c r="D5284" i="2"/>
  <c r="F5284" i="2"/>
  <c r="G5284" i="2"/>
  <c r="H5284" i="2"/>
  <c r="J5284" i="2"/>
  <c r="K5284" i="2"/>
  <c r="L5284" i="2"/>
  <c r="C5285" i="2"/>
  <c r="D5285" i="2"/>
  <c r="F5285" i="2"/>
  <c r="G5285" i="2"/>
  <c r="H5285" i="2"/>
  <c r="J5285" i="2"/>
  <c r="K5285" i="2"/>
  <c r="L5285" i="2"/>
  <c r="C5286" i="2"/>
  <c r="D5286" i="2"/>
  <c r="F5286" i="2"/>
  <c r="G5286" i="2"/>
  <c r="H5286" i="2"/>
  <c r="J5286" i="2"/>
  <c r="K5286" i="2"/>
  <c r="L5286" i="2"/>
  <c r="C5287" i="2"/>
  <c r="D5287" i="2"/>
  <c r="F5287" i="2"/>
  <c r="G5287" i="2"/>
  <c r="H5287" i="2"/>
  <c r="J5287" i="2"/>
  <c r="K5287" i="2"/>
  <c r="L5287" i="2"/>
  <c r="C5288" i="2"/>
  <c r="D5288" i="2"/>
  <c r="F5288" i="2"/>
  <c r="G5288" i="2"/>
  <c r="H5288" i="2"/>
  <c r="J5288" i="2"/>
  <c r="K5288" i="2"/>
  <c r="L5288" i="2"/>
  <c r="C5289" i="2"/>
  <c r="D5289" i="2"/>
  <c r="F5289" i="2"/>
  <c r="G5289" i="2"/>
  <c r="H5289" i="2"/>
  <c r="J5289" i="2"/>
  <c r="K5289" i="2"/>
  <c r="L5289" i="2"/>
  <c r="C5290" i="2"/>
  <c r="D5290" i="2"/>
  <c r="F5290" i="2"/>
  <c r="G5290" i="2"/>
  <c r="H5290" i="2"/>
  <c r="J5290" i="2"/>
  <c r="K5290" i="2"/>
  <c r="L5290" i="2"/>
  <c r="C5291" i="2"/>
  <c r="D5291" i="2"/>
  <c r="F5291" i="2"/>
  <c r="G5291" i="2"/>
  <c r="H5291" i="2"/>
  <c r="J5291" i="2"/>
  <c r="K5291" i="2"/>
  <c r="L5291" i="2"/>
  <c r="C5292" i="2"/>
  <c r="D5292" i="2"/>
  <c r="F5292" i="2"/>
  <c r="G5292" i="2"/>
  <c r="H5292" i="2"/>
  <c r="J5292" i="2"/>
  <c r="K5292" i="2"/>
  <c r="L5292" i="2"/>
  <c r="C5293" i="2"/>
  <c r="D5293" i="2"/>
  <c r="F5293" i="2"/>
  <c r="G5293" i="2"/>
  <c r="H5293" i="2"/>
  <c r="J5293" i="2"/>
  <c r="K5293" i="2"/>
  <c r="L5293" i="2"/>
  <c r="C5294" i="2"/>
  <c r="D5294" i="2"/>
  <c r="F5294" i="2"/>
  <c r="G5294" i="2"/>
  <c r="H5294" i="2"/>
  <c r="J5294" i="2"/>
  <c r="K5294" i="2"/>
  <c r="L5294" i="2"/>
  <c r="D5295" i="2"/>
  <c r="F5295" i="2"/>
  <c r="G5295" i="2"/>
  <c r="H5295" i="2"/>
  <c r="J5295" i="2"/>
  <c r="K5295" i="2"/>
  <c r="L5295" i="2"/>
  <c r="C5296" i="2"/>
  <c r="D5296" i="2"/>
  <c r="F5296" i="2"/>
  <c r="G5296" i="2"/>
  <c r="H5296" i="2"/>
  <c r="J5296" i="2"/>
  <c r="K5296" i="2"/>
  <c r="L5296" i="2"/>
  <c r="C5297" i="2"/>
  <c r="D5297" i="2"/>
  <c r="F5297" i="2"/>
  <c r="G5297" i="2"/>
  <c r="H5297" i="2"/>
  <c r="J5297" i="2"/>
  <c r="K5297" i="2"/>
  <c r="L5297" i="2"/>
  <c r="C5298" i="2"/>
  <c r="D5298" i="2"/>
  <c r="F5298" i="2"/>
  <c r="G5298" i="2"/>
  <c r="H5298" i="2"/>
  <c r="J5298" i="2"/>
  <c r="K5298" i="2"/>
  <c r="L5298" i="2"/>
  <c r="C5299" i="2"/>
  <c r="D5299" i="2"/>
  <c r="F5299" i="2"/>
  <c r="G5299" i="2"/>
  <c r="H5299" i="2"/>
  <c r="J5299" i="2"/>
  <c r="K5299" i="2"/>
  <c r="L5299" i="2"/>
  <c r="C5300" i="2"/>
  <c r="D5300" i="2"/>
  <c r="F5300" i="2"/>
  <c r="G5300" i="2"/>
  <c r="H5300" i="2"/>
  <c r="J5300" i="2"/>
  <c r="K5300" i="2"/>
  <c r="L5300" i="2"/>
  <c r="C5301" i="2"/>
  <c r="D5301" i="2"/>
  <c r="F5301" i="2"/>
  <c r="G5301" i="2"/>
  <c r="H5301" i="2"/>
  <c r="J5301" i="2"/>
  <c r="K5301" i="2"/>
  <c r="L5301" i="2"/>
  <c r="C5302" i="2"/>
  <c r="D5302" i="2"/>
  <c r="F5302" i="2"/>
  <c r="G5302" i="2"/>
  <c r="H5302" i="2"/>
  <c r="J5302" i="2"/>
  <c r="K5302" i="2"/>
  <c r="L5302" i="2"/>
  <c r="C5303" i="2"/>
  <c r="D5303" i="2"/>
  <c r="F5303" i="2"/>
  <c r="G5303" i="2"/>
  <c r="H5303" i="2"/>
  <c r="J5303" i="2"/>
  <c r="K5303" i="2"/>
  <c r="L5303" i="2"/>
  <c r="C5304" i="2"/>
  <c r="D5304" i="2"/>
  <c r="F5304" i="2"/>
  <c r="G5304" i="2"/>
  <c r="H5304" i="2"/>
  <c r="J5304" i="2"/>
  <c r="K5304" i="2"/>
  <c r="L5304" i="2"/>
  <c r="C5305" i="2"/>
  <c r="D5305" i="2"/>
  <c r="F5305" i="2"/>
  <c r="G5305" i="2"/>
  <c r="H5305" i="2"/>
  <c r="J5305" i="2"/>
  <c r="K5305" i="2"/>
  <c r="L5305" i="2"/>
  <c r="C5306" i="2"/>
  <c r="D5306" i="2"/>
  <c r="F5306" i="2"/>
  <c r="G5306" i="2"/>
  <c r="H5306" i="2"/>
  <c r="J5306" i="2"/>
  <c r="K5306" i="2"/>
  <c r="L5306" i="2"/>
  <c r="C5307" i="2"/>
  <c r="D5307" i="2"/>
  <c r="F5307" i="2"/>
  <c r="G5307" i="2"/>
  <c r="H5307" i="2"/>
  <c r="J5307" i="2"/>
  <c r="K5307" i="2"/>
  <c r="L5307" i="2"/>
  <c r="C5308" i="2"/>
  <c r="D5308" i="2"/>
  <c r="F5308" i="2"/>
  <c r="G5308" i="2"/>
  <c r="H5308" i="2"/>
  <c r="J5308" i="2"/>
  <c r="K5308" i="2"/>
  <c r="L5308" i="2"/>
  <c r="C5309" i="2"/>
  <c r="D5309" i="2"/>
  <c r="F5309" i="2"/>
  <c r="G5309" i="2"/>
  <c r="H5309" i="2"/>
  <c r="J5309" i="2"/>
  <c r="K5309" i="2"/>
  <c r="L5309" i="2"/>
  <c r="C5310" i="2"/>
  <c r="D5310" i="2"/>
  <c r="F5310" i="2"/>
  <c r="G5310" i="2"/>
  <c r="H5310" i="2"/>
  <c r="J5310" i="2"/>
  <c r="K5310" i="2"/>
  <c r="L5310" i="2"/>
  <c r="C5311" i="2"/>
  <c r="D5311" i="2"/>
  <c r="F5311" i="2"/>
  <c r="G5311" i="2"/>
  <c r="H5311" i="2"/>
  <c r="J5311" i="2"/>
  <c r="K5311" i="2"/>
  <c r="L5311" i="2"/>
  <c r="C5312" i="2"/>
  <c r="D5312" i="2"/>
  <c r="F5312" i="2"/>
  <c r="G5312" i="2"/>
  <c r="H5312" i="2"/>
  <c r="J5312" i="2"/>
  <c r="K5312" i="2"/>
  <c r="L5312" i="2"/>
  <c r="C5313" i="2"/>
  <c r="D5313" i="2"/>
  <c r="F5313" i="2"/>
  <c r="G5313" i="2"/>
  <c r="H5313" i="2"/>
  <c r="J5313" i="2"/>
  <c r="K5313" i="2"/>
  <c r="L5313" i="2"/>
  <c r="C5314" i="2"/>
  <c r="D5314" i="2"/>
  <c r="F5314" i="2"/>
  <c r="G5314" i="2"/>
  <c r="H5314" i="2"/>
  <c r="J5314" i="2"/>
  <c r="K5314" i="2"/>
  <c r="L5314" i="2"/>
  <c r="C5315" i="2"/>
  <c r="D5315" i="2"/>
  <c r="F5315" i="2"/>
  <c r="G5315" i="2"/>
  <c r="H5315" i="2"/>
  <c r="J5315" i="2"/>
  <c r="K5315" i="2"/>
  <c r="L5315" i="2"/>
  <c r="C5316" i="2"/>
  <c r="D5316" i="2"/>
  <c r="F5316" i="2"/>
  <c r="G5316" i="2"/>
  <c r="H5316" i="2"/>
  <c r="J5316" i="2"/>
  <c r="K5316" i="2"/>
  <c r="L5316" i="2"/>
  <c r="C5317" i="2"/>
  <c r="D5317" i="2"/>
  <c r="F5317" i="2"/>
  <c r="G5317" i="2"/>
  <c r="H5317" i="2"/>
  <c r="J5317" i="2"/>
  <c r="K5317" i="2"/>
  <c r="L5317" i="2"/>
  <c r="C5318" i="2"/>
  <c r="D5318" i="2"/>
  <c r="F5318" i="2"/>
  <c r="G5318" i="2"/>
  <c r="H5318" i="2"/>
  <c r="J5318" i="2"/>
  <c r="K5318" i="2"/>
  <c r="L5318" i="2"/>
  <c r="C5319" i="2"/>
  <c r="D5319" i="2"/>
  <c r="F5319" i="2"/>
  <c r="G5319" i="2"/>
  <c r="H5319" i="2"/>
  <c r="J5319" i="2"/>
  <c r="K5319" i="2"/>
  <c r="L5319" i="2"/>
  <c r="C5320" i="2"/>
  <c r="D5320" i="2"/>
  <c r="F5320" i="2"/>
  <c r="G5320" i="2"/>
  <c r="H5320" i="2"/>
  <c r="J5320" i="2"/>
  <c r="K5320" i="2"/>
  <c r="L5320" i="2"/>
  <c r="C5321" i="2"/>
  <c r="D5321" i="2"/>
  <c r="F5321" i="2"/>
  <c r="G5321" i="2"/>
  <c r="H5321" i="2"/>
  <c r="J5321" i="2"/>
  <c r="K5321" i="2"/>
  <c r="L5321" i="2"/>
  <c r="C5322" i="2"/>
  <c r="D5322" i="2"/>
  <c r="F5322" i="2"/>
  <c r="G5322" i="2"/>
  <c r="H5322" i="2"/>
  <c r="J5322" i="2"/>
  <c r="K5322" i="2"/>
  <c r="L5322" i="2"/>
  <c r="C5323" i="2"/>
  <c r="D5323" i="2"/>
  <c r="F5323" i="2"/>
  <c r="G5323" i="2"/>
  <c r="H5323" i="2"/>
  <c r="J5323" i="2"/>
  <c r="K5323" i="2"/>
  <c r="L5323" i="2"/>
  <c r="C5324" i="2"/>
  <c r="D5324" i="2"/>
  <c r="F5324" i="2"/>
  <c r="G5324" i="2"/>
  <c r="H5324" i="2"/>
  <c r="J5324" i="2"/>
  <c r="K5324" i="2"/>
  <c r="L5324" i="2"/>
  <c r="C5325" i="2"/>
  <c r="D5325" i="2"/>
  <c r="F5325" i="2"/>
  <c r="G5325" i="2"/>
  <c r="H5325" i="2"/>
  <c r="J5325" i="2"/>
  <c r="K5325" i="2"/>
  <c r="L5325" i="2"/>
  <c r="C5326" i="2"/>
  <c r="D5326" i="2"/>
  <c r="F5326" i="2"/>
  <c r="G5326" i="2"/>
  <c r="H5326" i="2"/>
  <c r="J5326" i="2"/>
  <c r="K5326" i="2"/>
  <c r="L5326" i="2"/>
  <c r="C5327" i="2"/>
  <c r="D5327" i="2"/>
  <c r="F5327" i="2"/>
  <c r="G5327" i="2"/>
  <c r="H5327" i="2"/>
  <c r="J5327" i="2"/>
  <c r="K5327" i="2"/>
  <c r="L5327" i="2"/>
  <c r="C5328" i="2"/>
  <c r="D5328" i="2"/>
  <c r="F5328" i="2"/>
  <c r="G5328" i="2"/>
  <c r="H5328" i="2"/>
  <c r="J5328" i="2"/>
  <c r="K5328" i="2"/>
  <c r="L5328" i="2"/>
  <c r="C5329" i="2"/>
  <c r="D5329" i="2"/>
  <c r="F5329" i="2"/>
  <c r="G5329" i="2"/>
  <c r="H5329" i="2"/>
  <c r="J5329" i="2"/>
  <c r="K5329" i="2"/>
  <c r="L5329" i="2"/>
  <c r="C5330" i="2"/>
  <c r="D5330" i="2"/>
  <c r="F5330" i="2"/>
  <c r="G5330" i="2"/>
  <c r="H5330" i="2"/>
  <c r="J5330" i="2"/>
  <c r="K5330" i="2"/>
  <c r="L5330" i="2"/>
  <c r="C5331" i="2"/>
  <c r="D5331" i="2"/>
  <c r="F5331" i="2"/>
  <c r="G5331" i="2"/>
  <c r="H5331" i="2"/>
  <c r="J5331" i="2"/>
  <c r="K5331" i="2"/>
  <c r="L5331" i="2"/>
  <c r="C5332" i="2"/>
  <c r="D5332" i="2"/>
  <c r="F5332" i="2"/>
  <c r="G5332" i="2"/>
  <c r="H5332" i="2"/>
  <c r="J5332" i="2"/>
  <c r="K5332" i="2"/>
  <c r="L5332" i="2"/>
  <c r="C5333" i="2"/>
  <c r="D5333" i="2"/>
  <c r="F5333" i="2"/>
  <c r="G5333" i="2"/>
  <c r="H5333" i="2"/>
  <c r="J5333" i="2"/>
  <c r="K5333" i="2"/>
  <c r="L5333" i="2"/>
  <c r="C5334" i="2"/>
  <c r="D5334" i="2"/>
  <c r="F5334" i="2"/>
  <c r="G5334" i="2"/>
  <c r="H5334" i="2"/>
  <c r="J5334" i="2"/>
  <c r="K5334" i="2"/>
  <c r="L5334" i="2"/>
  <c r="C5335" i="2"/>
  <c r="D5335" i="2"/>
  <c r="F5335" i="2"/>
  <c r="G5335" i="2"/>
  <c r="H5335" i="2"/>
  <c r="J5335" i="2"/>
  <c r="K5335" i="2"/>
  <c r="L5335" i="2"/>
  <c r="C5336" i="2"/>
  <c r="D5336" i="2"/>
  <c r="F5336" i="2"/>
  <c r="G5336" i="2"/>
  <c r="H5336" i="2"/>
  <c r="J5336" i="2"/>
  <c r="K5336" i="2"/>
  <c r="L5336" i="2"/>
  <c r="C5337" i="2"/>
  <c r="D5337" i="2"/>
  <c r="F5337" i="2"/>
  <c r="G5337" i="2"/>
  <c r="H5337" i="2"/>
  <c r="J5337" i="2"/>
  <c r="K5337" i="2"/>
  <c r="L5337" i="2"/>
  <c r="C5338" i="2"/>
  <c r="D5338" i="2"/>
  <c r="F5338" i="2"/>
  <c r="G5338" i="2"/>
  <c r="H5338" i="2"/>
  <c r="J5338" i="2"/>
  <c r="K5338" i="2"/>
  <c r="L5338" i="2"/>
  <c r="C5339" i="2"/>
  <c r="D5339" i="2"/>
  <c r="F5339" i="2"/>
  <c r="G5339" i="2"/>
  <c r="H5339" i="2"/>
  <c r="J5339" i="2"/>
  <c r="K5339" i="2"/>
  <c r="L5339" i="2"/>
  <c r="C5340" i="2"/>
  <c r="D5340" i="2"/>
  <c r="F5340" i="2"/>
  <c r="G5340" i="2"/>
  <c r="H5340" i="2"/>
  <c r="J5340" i="2"/>
  <c r="K5340" i="2"/>
  <c r="L5340" i="2"/>
  <c r="C5341" i="2"/>
  <c r="D5341" i="2"/>
  <c r="F5341" i="2"/>
  <c r="G5341" i="2"/>
  <c r="H5341" i="2"/>
  <c r="J5341" i="2"/>
  <c r="K5341" i="2"/>
  <c r="L5341" i="2"/>
  <c r="C5342" i="2"/>
  <c r="D5342" i="2"/>
  <c r="F5342" i="2"/>
  <c r="G5342" i="2"/>
  <c r="H5342" i="2"/>
  <c r="J5342" i="2"/>
  <c r="K5342" i="2"/>
  <c r="L5342" i="2"/>
  <c r="C5343" i="2"/>
  <c r="D5343" i="2"/>
  <c r="F5343" i="2"/>
  <c r="G5343" i="2"/>
  <c r="H5343" i="2"/>
  <c r="J5343" i="2"/>
  <c r="K5343" i="2"/>
  <c r="L5343" i="2"/>
  <c r="C5344" i="2"/>
  <c r="D5344" i="2"/>
  <c r="F5344" i="2"/>
  <c r="G5344" i="2"/>
  <c r="H5344" i="2"/>
  <c r="J5344" i="2"/>
  <c r="K5344" i="2"/>
  <c r="L5344" i="2"/>
  <c r="C5345" i="2"/>
  <c r="D5345" i="2"/>
  <c r="F5345" i="2"/>
  <c r="G5345" i="2"/>
  <c r="H5345" i="2"/>
  <c r="J5345" i="2"/>
  <c r="K5345" i="2"/>
  <c r="L5345" i="2"/>
  <c r="C5346" i="2"/>
  <c r="D5346" i="2"/>
  <c r="F5346" i="2"/>
  <c r="G5346" i="2"/>
  <c r="H5346" i="2"/>
  <c r="J5346" i="2"/>
  <c r="K5346" i="2"/>
  <c r="L5346" i="2"/>
  <c r="C5347" i="2"/>
  <c r="D5347" i="2"/>
  <c r="F5347" i="2"/>
  <c r="G5347" i="2"/>
  <c r="H5347" i="2"/>
  <c r="J5347" i="2"/>
  <c r="K5347" i="2"/>
  <c r="L5347" i="2"/>
  <c r="C5348" i="2"/>
  <c r="D5348" i="2"/>
  <c r="F5348" i="2"/>
  <c r="G5348" i="2"/>
  <c r="H5348" i="2"/>
  <c r="J5348" i="2"/>
  <c r="K5348" i="2"/>
  <c r="L5348" i="2"/>
  <c r="C5349" i="2"/>
  <c r="D5349" i="2"/>
  <c r="F5349" i="2"/>
  <c r="G5349" i="2"/>
  <c r="H5349" i="2"/>
  <c r="J5349" i="2"/>
  <c r="K5349" i="2"/>
  <c r="L5349" i="2"/>
  <c r="D5350" i="2"/>
  <c r="F5350" i="2"/>
  <c r="G5350" i="2"/>
  <c r="H5350" i="2"/>
  <c r="J5350" i="2"/>
  <c r="K5350" i="2"/>
  <c r="L5350" i="2"/>
  <c r="C5351" i="2"/>
  <c r="D5351" i="2"/>
  <c r="F5351" i="2"/>
  <c r="G5351" i="2"/>
  <c r="H5351" i="2"/>
  <c r="J5351" i="2"/>
  <c r="K5351" i="2"/>
  <c r="L5351" i="2"/>
  <c r="C5352" i="2"/>
  <c r="D5352" i="2"/>
  <c r="F5352" i="2"/>
  <c r="G5352" i="2"/>
  <c r="H5352" i="2"/>
  <c r="J5352" i="2"/>
  <c r="K5352" i="2"/>
  <c r="L5352" i="2"/>
  <c r="C5353" i="2"/>
  <c r="D5353" i="2"/>
  <c r="F5353" i="2"/>
  <c r="G5353" i="2"/>
  <c r="H5353" i="2"/>
  <c r="J5353" i="2"/>
  <c r="K5353" i="2"/>
  <c r="L5353" i="2"/>
  <c r="C5354" i="2"/>
  <c r="D5354" i="2"/>
  <c r="F5354" i="2"/>
  <c r="G5354" i="2"/>
  <c r="H5354" i="2"/>
  <c r="J5354" i="2"/>
  <c r="K5354" i="2"/>
  <c r="L5354" i="2"/>
  <c r="C5355" i="2"/>
  <c r="D5355" i="2"/>
  <c r="F5355" i="2"/>
  <c r="G5355" i="2"/>
  <c r="H5355" i="2"/>
  <c r="J5355" i="2"/>
  <c r="K5355" i="2"/>
  <c r="L5355" i="2"/>
  <c r="C5356" i="2"/>
  <c r="D5356" i="2"/>
  <c r="F5356" i="2"/>
  <c r="G5356" i="2"/>
  <c r="H5356" i="2"/>
  <c r="J5356" i="2"/>
  <c r="K5356" i="2"/>
  <c r="L5356" i="2"/>
  <c r="C5357" i="2"/>
  <c r="D5357" i="2"/>
  <c r="F5357" i="2"/>
  <c r="G5357" i="2"/>
  <c r="H5357" i="2"/>
  <c r="J5357" i="2"/>
  <c r="K5357" i="2"/>
  <c r="L5357" i="2"/>
  <c r="C5358" i="2"/>
  <c r="D5358" i="2"/>
  <c r="F5358" i="2"/>
  <c r="G5358" i="2"/>
  <c r="H5358" i="2"/>
  <c r="J5358" i="2"/>
  <c r="K5358" i="2"/>
  <c r="L5358" i="2"/>
  <c r="C5359" i="2"/>
  <c r="D5359" i="2"/>
  <c r="F5359" i="2"/>
  <c r="G5359" i="2"/>
  <c r="H5359" i="2"/>
  <c r="J5359" i="2"/>
  <c r="K5359" i="2"/>
  <c r="L5359" i="2"/>
  <c r="C5360" i="2"/>
  <c r="D5360" i="2"/>
  <c r="F5360" i="2"/>
  <c r="G5360" i="2"/>
  <c r="H5360" i="2"/>
  <c r="J5360" i="2"/>
  <c r="K5360" i="2"/>
  <c r="L5360" i="2"/>
  <c r="C5361" i="2"/>
  <c r="D5361" i="2"/>
  <c r="F5361" i="2"/>
  <c r="G5361" i="2"/>
  <c r="H5361" i="2"/>
  <c r="J5361" i="2"/>
  <c r="K5361" i="2"/>
  <c r="L5361" i="2"/>
  <c r="C5362" i="2"/>
  <c r="D5362" i="2"/>
  <c r="F5362" i="2"/>
  <c r="G5362" i="2"/>
  <c r="H5362" i="2"/>
  <c r="J5362" i="2"/>
  <c r="K5362" i="2"/>
  <c r="L5362" i="2"/>
  <c r="C5363" i="2"/>
  <c r="D5363" i="2"/>
  <c r="F5363" i="2"/>
  <c r="G5363" i="2"/>
  <c r="H5363" i="2"/>
  <c r="J5363" i="2"/>
  <c r="K5363" i="2"/>
  <c r="L5363" i="2"/>
  <c r="C5364" i="2"/>
  <c r="D5364" i="2"/>
  <c r="F5364" i="2"/>
  <c r="G5364" i="2"/>
  <c r="H5364" i="2"/>
  <c r="J5364" i="2"/>
  <c r="K5364" i="2"/>
  <c r="L5364" i="2"/>
  <c r="C5365" i="2"/>
  <c r="D5365" i="2"/>
  <c r="F5365" i="2"/>
  <c r="G5365" i="2"/>
  <c r="H5365" i="2"/>
  <c r="J5365" i="2"/>
  <c r="K5365" i="2"/>
  <c r="L5365" i="2"/>
  <c r="C5366" i="2"/>
  <c r="D5366" i="2"/>
  <c r="F5366" i="2"/>
  <c r="G5366" i="2"/>
  <c r="H5366" i="2"/>
  <c r="J5366" i="2"/>
  <c r="K5366" i="2"/>
  <c r="L5366" i="2"/>
  <c r="C5367" i="2"/>
  <c r="D5367" i="2"/>
  <c r="F5367" i="2"/>
  <c r="G5367" i="2"/>
  <c r="H5367" i="2"/>
  <c r="J5367" i="2"/>
  <c r="K5367" i="2"/>
  <c r="L5367" i="2"/>
  <c r="C5368" i="2"/>
  <c r="D5368" i="2"/>
  <c r="F5368" i="2"/>
  <c r="G5368" i="2"/>
  <c r="H5368" i="2"/>
  <c r="J5368" i="2"/>
  <c r="K5368" i="2"/>
  <c r="L5368" i="2"/>
  <c r="C5369" i="2"/>
  <c r="D5369" i="2"/>
  <c r="F5369" i="2"/>
  <c r="G5369" i="2"/>
  <c r="H5369" i="2"/>
  <c r="J5369" i="2"/>
  <c r="K5369" i="2"/>
  <c r="L5369" i="2"/>
  <c r="C5370" i="2"/>
  <c r="D5370" i="2"/>
  <c r="F5370" i="2"/>
  <c r="G5370" i="2"/>
  <c r="H5370" i="2"/>
  <c r="J5370" i="2"/>
  <c r="K5370" i="2"/>
  <c r="L5370" i="2"/>
  <c r="C5371" i="2"/>
  <c r="D5371" i="2"/>
  <c r="F5371" i="2"/>
  <c r="G5371" i="2"/>
  <c r="H5371" i="2"/>
  <c r="J5371" i="2"/>
  <c r="K5371" i="2"/>
  <c r="L5371" i="2"/>
  <c r="C5372" i="2"/>
  <c r="D5372" i="2"/>
  <c r="F5372" i="2"/>
  <c r="G5372" i="2"/>
  <c r="H5372" i="2"/>
  <c r="J5372" i="2"/>
  <c r="K5372" i="2"/>
  <c r="L5372" i="2"/>
  <c r="C5373" i="2"/>
  <c r="D5373" i="2"/>
  <c r="F5373" i="2"/>
  <c r="G5373" i="2"/>
  <c r="H5373" i="2"/>
  <c r="J5373" i="2"/>
  <c r="K5373" i="2"/>
  <c r="L5373" i="2"/>
  <c r="C5374" i="2"/>
  <c r="D5374" i="2"/>
  <c r="F5374" i="2"/>
  <c r="G5374" i="2"/>
  <c r="H5374" i="2"/>
  <c r="J5374" i="2"/>
  <c r="K5374" i="2"/>
  <c r="L5374" i="2"/>
  <c r="C5375" i="2"/>
  <c r="D5375" i="2"/>
  <c r="F5375" i="2"/>
  <c r="G5375" i="2"/>
  <c r="H5375" i="2"/>
  <c r="J5375" i="2"/>
  <c r="K5375" i="2"/>
  <c r="L5375" i="2"/>
  <c r="C5376" i="2"/>
  <c r="D5376" i="2"/>
  <c r="F5376" i="2"/>
  <c r="G5376" i="2"/>
  <c r="H5376" i="2"/>
  <c r="J5376" i="2"/>
  <c r="K5376" i="2"/>
  <c r="L5376" i="2"/>
  <c r="C5377" i="2"/>
  <c r="D5377" i="2"/>
  <c r="F5377" i="2"/>
  <c r="G5377" i="2"/>
  <c r="H5377" i="2"/>
  <c r="J5377" i="2"/>
  <c r="K5377" i="2"/>
  <c r="L5377" i="2"/>
  <c r="C5378" i="2"/>
  <c r="D5378" i="2"/>
  <c r="F5378" i="2"/>
  <c r="G5378" i="2"/>
  <c r="H5378" i="2"/>
  <c r="J5378" i="2"/>
  <c r="K5378" i="2"/>
  <c r="L5378" i="2"/>
  <c r="C5379" i="2"/>
  <c r="D5379" i="2"/>
  <c r="F5379" i="2"/>
  <c r="G5379" i="2"/>
  <c r="H5379" i="2"/>
  <c r="J5379" i="2"/>
  <c r="K5379" i="2"/>
  <c r="L5379" i="2"/>
  <c r="C5380" i="2"/>
  <c r="D5380" i="2"/>
  <c r="F5380" i="2"/>
  <c r="G5380" i="2"/>
  <c r="H5380" i="2"/>
  <c r="J5380" i="2"/>
  <c r="K5380" i="2"/>
  <c r="L5380" i="2"/>
  <c r="C5381" i="2"/>
  <c r="D5381" i="2"/>
  <c r="F5381" i="2"/>
  <c r="G5381" i="2"/>
  <c r="H5381" i="2"/>
  <c r="J5381" i="2"/>
  <c r="K5381" i="2"/>
  <c r="L5381" i="2"/>
  <c r="C5382" i="2"/>
  <c r="D5382" i="2"/>
  <c r="F5382" i="2"/>
  <c r="G5382" i="2"/>
  <c r="H5382" i="2"/>
  <c r="J5382" i="2"/>
  <c r="K5382" i="2"/>
  <c r="L5382" i="2"/>
  <c r="C5383" i="2"/>
  <c r="D5383" i="2"/>
  <c r="F5383" i="2"/>
  <c r="G5383" i="2"/>
  <c r="H5383" i="2"/>
  <c r="J5383" i="2"/>
  <c r="K5383" i="2"/>
  <c r="L5383" i="2"/>
  <c r="C5384" i="2"/>
  <c r="D5384" i="2"/>
  <c r="F5384" i="2"/>
  <c r="G5384" i="2"/>
  <c r="H5384" i="2"/>
  <c r="J5384" i="2"/>
  <c r="K5384" i="2"/>
  <c r="L5384" i="2"/>
  <c r="C5385" i="2"/>
  <c r="D5385" i="2"/>
  <c r="F5385" i="2"/>
  <c r="G5385" i="2"/>
  <c r="H5385" i="2"/>
  <c r="J5385" i="2"/>
  <c r="K5385" i="2"/>
  <c r="L5385" i="2"/>
  <c r="C5386" i="2"/>
  <c r="D5386" i="2"/>
  <c r="F5386" i="2"/>
  <c r="G5386" i="2"/>
  <c r="H5386" i="2"/>
  <c r="J5386" i="2"/>
  <c r="K5386" i="2"/>
  <c r="L5386" i="2"/>
  <c r="C5387" i="2"/>
  <c r="D5387" i="2"/>
  <c r="F5387" i="2"/>
  <c r="G5387" i="2"/>
  <c r="H5387" i="2"/>
  <c r="J5387" i="2"/>
  <c r="K5387" i="2"/>
  <c r="L5387" i="2"/>
  <c r="C5388" i="2"/>
  <c r="D5388" i="2"/>
  <c r="F5388" i="2"/>
  <c r="G5388" i="2"/>
  <c r="H5388" i="2"/>
  <c r="J5388" i="2"/>
  <c r="K5388" i="2"/>
  <c r="L5388" i="2"/>
  <c r="C5389" i="2"/>
  <c r="D5389" i="2"/>
  <c r="F5389" i="2"/>
  <c r="G5389" i="2"/>
  <c r="H5389" i="2"/>
  <c r="J5389" i="2"/>
  <c r="K5389" i="2"/>
  <c r="L5389" i="2"/>
  <c r="C5390" i="2"/>
  <c r="D5390" i="2"/>
  <c r="F5390" i="2"/>
  <c r="G5390" i="2"/>
  <c r="H5390" i="2"/>
  <c r="J5390" i="2"/>
  <c r="K5390" i="2"/>
  <c r="L5390" i="2"/>
  <c r="C5391" i="2"/>
  <c r="D5391" i="2"/>
  <c r="F5391" i="2"/>
  <c r="G5391" i="2"/>
  <c r="H5391" i="2"/>
  <c r="J5391" i="2"/>
  <c r="K5391" i="2"/>
  <c r="L5391" i="2"/>
  <c r="C5392" i="2"/>
  <c r="D5392" i="2"/>
  <c r="F5392" i="2"/>
  <c r="G5392" i="2"/>
  <c r="H5392" i="2"/>
  <c r="J5392" i="2"/>
  <c r="K5392" i="2"/>
  <c r="L5392" i="2"/>
  <c r="C5393" i="2"/>
  <c r="D5393" i="2"/>
  <c r="F5393" i="2"/>
  <c r="G5393" i="2"/>
  <c r="H5393" i="2"/>
  <c r="J5393" i="2"/>
  <c r="K5393" i="2"/>
  <c r="L5393" i="2"/>
  <c r="C5394" i="2"/>
  <c r="D5394" i="2"/>
  <c r="F5394" i="2"/>
  <c r="G5394" i="2"/>
  <c r="H5394" i="2"/>
  <c r="J5394" i="2"/>
  <c r="K5394" i="2"/>
  <c r="L5394" i="2"/>
  <c r="C5395" i="2"/>
  <c r="D5395" i="2"/>
  <c r="F5395" i="2"/>
  <c r="G5395" i="2"/>
  <c r="H5395" i="2"/>
  <c r="J5395" i="2"/>
  <c r="K5395" i="2"/>
  <c r="L5395" i="2"/>
  <c r="C5396" i="2"/>
  <c r="D5396" i="2"/>
  <c r="F5396" i="2"/>
  <c r="G5396" i="2"/>
  <c r="H5396" i="2"/>
  <c r="J5396" i="2"/>
  <c r="K5396" i="2"/>
  <c r="L5396" i="2"/>
  <c r="C5397" i="2"/>
  <c r="D5397" i="2"/>
  <c r="F5397" i="2"/>
  <c r="G5397" i="2"/>
  <c r="H5397" i="2"/>
  <c r="J5397" i="2"/>
  <c r="K5397" i="2"/>
  <c r="L5397" i="2"/>
  <c r="C5398" i="2"/>
  <c r="D5398" i="2"/>
  <c r="F5398" i="2"/>
  <c r="G5398" i="2"/>
  <c r="H5398" i="2"/>
  <c r="J5398" i="2"/>
  <c r="K5398" i="2"/>
  <c r="L5398" i="2"/>
  <c r="C5399" i="2"/>
  <c r="D5399" i="2"/>
  <c r="F5399" i="2"/>
  <c r="G5399" i="2"/>
  <c r="H5399" i="2"/>
  <c r="J5399" i="2"/>
  <c r="K5399" i="2"/>
  <c r="L5399" i="2"/>
  <c r="C5400" i="2"/>
  <c r="D5400" i="2"/>
  <c r="F5400" i="2"/>
  <c r="G5400" i="2"/>
  <c r="H5400" i="2"/>
  <c r="J5400" i="2"/>
  <c r="K5400" i="2"/>
  <c r="L5400" i="2"/>
  <c r="C5401" i="2"/>
  <c r="D5401" i="2"/>
  <c r="F5401" i="2"/>
  <c r="G5401" i="2"/>
  <c r="H5401" i="2"/>
  <c r="J5401" i="2"/>
  <c r="K5401" i="2"/>
  <c r="L5401" i="2"/>
  <c r="C5402" i="2"/>
  <c r="D5402" i="2"/>
  <c r="F5402" i="2"/>
  <c r="G5402" i="2"/>
  <c r="H5402" i="2"/>
  <c r="J5402" i="2"/>
  <c r="K5402" i="2"/>
  <c r="L5402" i="2"/>
  <c r="C5403" i="2"/>
  <c r="D5403" i="2"/>
  <c r="F5403" i="2"/>
  <c r="G5403" i="2"/>
  <c r="H5403" i="2"/>
  <c r="J5403" i="2"/>
  <c r="K5403" i="2"/>
  <c r="L5403" i="2"/>
  <c r="C5404" i="2"/>
  <c r="D5404" i="2"/>
  <c r="F5404" i="2"/>
  <c r="G5404" i="2"/>
  <c r="H5404" i="2"/>
  <c r="J5404" i="2"/>
  <c r="K5404" i="2"/>
  <c r="L5404" i="2"/>
  <c r="C5405" i="2"/>
  <c r="D5405" i="2"/>
  <c r="F5405" i="2"/>
  <c r="G5405" i="2"/>
  <c r="H5405" i="2"/>
  <c r="J5405" i="2"/>
  <c r="K5405" i="2"/>
  <c r="L5405" i="2"/>
  <c r="C5406" i="2"/>
  <c r="D5406" i="2"/>
  <c r="F5406" i="2"/>
  <c r="G5406" i="2"/>
  <c r="H5406" i="2"/>
  <c r="J5406" i="2"/>
  <c r="K5406" i="2"/>
  <c r="L5406" i="2"/>
  <c r="C5407" i="2"/>
  <c r="D5407" i="2"/>
  <c r="E5407" i="2"/>
  <c r="F5407" i="2"/>
  <c r="G5407" i="2"/>
  <c r="H5407" i="2"/>
  <c r="J5407" i="2"/>
  <c r="K5407" i="2"/>
  <c r="L5407" i="2"/>
  <c r="C5408" i="2"/>
  <c r="D5408" i="2"/>
  <c r="F5408" i="2"/>
  <c r="G5408" i="2"/>
  <c r="H5408" i="2"/>
  <c r="J5408" i="2"/>
  <c r="K5408" i="2"/>
  <c r="L5408" i="2"/>
  <c r="C5409" i="2"/>
  <c r="D5409" i="2"/>
  <c r="F5409" i="2"/>
  <c r="G5409" i="2"/>
  <c r="H5409" i="2"/>
  <c r="J5409" i="2"/>
  <c r="K5409" i="2"/>
  <c r="L5409" i="2"/>
  <c r="C5410" i="2"/>
  <c r="D5410" i="2"/>
  <c r="F5410" i="2"/>
  <c r="G5410" i="2"/>
  <c r="H5410" i="2"/>
  <c r="J5410" i="2"/>
  <c r="K5410" i="2"/>
  <c r="L5410" i="2"/>
  <c r="C5411" i="2"/>
  <c r="D5411" i="2"/>
  <c r="F5411" i="2"/>
  <c r="G5411" i="2"/>
  <c r="H5411" i="2"/>
  <c r="J5411" i="2"/>
  <c r="K5411" i="2"/>
  <c r="L5411" i="2"/>
  <c r="C5412" i="2"/>
  <c r="D5412" i="2"/>
  <c r="F5412" i="2"/>
  <c r="G5412" i="2"/>
  <c r="H5412" i="2"/>
  <c r="J5412" i="2"/>
  <c r="K5412" i="2"/>
  <c r="L5412" i="2"/>
  <c r="C5413" i="2"/>
  <c r="D5413" i="2"/>
  <c r="F5413" i="2"/>
  <c r="G5413" i="2"/>
  <c r="H5413" i="2"/>
  <c r="J5413" i="2"/>
  <c r="K5413" i="2"/>
  <c r="L5413" i="2"/>
  <c r="C5414" i="2"/>
  <c r="D5414" i="2"/>
  <c r="F5414" i="2"/>
  <c r="G5414" i="2"/>
  <c r="H5414" i="2"/>
  <c r="J5414" i="2"/>
  <c r="K5414" i="2"/>
  <c r="L5414" i="2"/>
  <c r="C5415" i="2"/>
  <c r="D5415" i="2"/>
  <c r="F5415" i="2"/>
  <c r="G5415" i="2"/>
  <c r="H5415" i="2"/>
  <c r="J5415" i="2"/>
  <c r="K5415" i="2"/>
  <c r="L5415" i="2"/>
  <c r="C5416" i="2"/>
  <c r="D5416" i="2"/>
  <c r="F5416" i="2"/>
  <c r="G5416" i="2"/>
  <c r="H5416" i="2"/>
  <c r="J5416" i="2"/>
  <c r="K5416" i="2"/>
  <c r="L5416" i="2"/>
  <c r="C5417" i="2"/>
  <c r="D5417" i="2"/>
  <c r="F5417" i="2"/>
  <c r="G5417" i="2"/>
  <c r="H5417" i="2"/>
  <c r="J5417" i="2"/>
  <c r="K5417" i="2"/>
  <c r="L5417" i="2"/>
  <c r="C5418" i="2"/>
  <c r="D5418" i="2"/>
  <c r="F5418" i="2"/>
  <c r="G5418" i="2"/>
  <c r="H5418" i="2"/>
  <c r="J5418" i="2"/>
  <c r="K5418" i="2"/>
  <c r="L5418" i="2"/>
  <c r="C5419" i="2"/>
  <c r="D5419" i="2"/>
  <c r="F5419" i="2"/>
  <c r="G5419" i="2"/>
  <c r="H5419" i="2"/>
  <c r="J5419" i="2"/>
  <c r="K5419" i="2"/>
  <c r="L5419" i="2"/>
  <c r="C5420" i="2"/>
  <c r="D5420" i="2"/>
  <c r="F5420" i="2"/>
  <c r="G5420" i="2"/>
  <c r="H5420" i="2"/>
  <c r="J5420" i="2"/>
  <c r="K5420" i="2"/>
  <c r="L5420" i="2"/>
  <c r="C5421" i="2"/>
  <c r="D5421" i="2"/>
  <c r="F5421" i="2"/>
  <c r="G5421" i="2"/>
  <c r="H5421" i="2"/>
  <c r="J5421" i="2"/>
  <c r="K5421" i="2"/>
  <c r="L5421" i="2"/>
  <c r="C5422" i="2"/>
  <c r="D5422" i="2"/>
  <c r="F5422" i="2"/>
  <c r="G5422" i="2"/>
  <c r="H5422" i="2"/>
  <c r="J5422" i="2"/>
  <c r="K5422" i="2"/>
  <c r="L5422" i="2"/>
  <c r="C5423" i="2"/>
  <c r="D5423" i="2"/>
  <c r="F5423" i="2"/>
  <c r="G5423" i="2"/>
  <c r="H5423" i="2"/>
  <c r="J5423" i="2"/>
  <c r="K5423" i="2"/>
  <c r="L5423" i="2"/>
  <c r="C5424" i="2"/>
  <c r="D5424" i="2"/>
  <c r="F5424" i="2"/>
  <c r="G5424" i="2"/>
  <c r="H5424" i="2"/>
  <c r="J5424" i="2"/>
  <c r="K5424" i="2"/>
  <c r="L5424" i="2"/>
  <c r="C5425" i="2"/>
  <c r="D5425" i="2"/>
  <c r="F5425" i="2"/>
  <c r="G5425" i="2"/>
  <c r="H5425" i="2"/>
  <c r="J5425" i="2"/>
  <c r="K5425" i="2"/>
  <c r="L5425" i="2"/>
  <c r="C5426" i="2"/>
  <c r="D5426" i="2"/>
  <c r="F5426" i="2"/>
  <c r="G5426" i="2"/>
  <c r="H5426" i="2"/>
  <c r="J5426" i="2"/>
  <c r="K5426" i="2"/>
  <c r="L5426" i="2"/>
  <c r="C5427" i="2"/>
  <c r="D5427" i="2"/>
  <c r="F5427" i="2"/>
  <c r="G5427" i="2"/>
  <c r="H5427" i="2"/>
  <c r="J5427" i="2"/>
  <c r="K5427" i="2"/>
  <c r="L5427" i="2"/>
  <c r="C5428" i="2"/>
  <c r="D5428" i="2"/>
  <c r="F5428" i="2"/>
  <c r="G5428" i="2"/>
  <c r="H5428" i="2"/>
  <c r="J5428" i="2"/>
  <c r="K5428" i="2"/>
  <c r="L5428" i="2"/>
  <c r="C5429" i="2"/>
  <c r="D5429" i="2"/>
  <c r="F5429" i="2"/>
  <c r="G5429" i="2"/>
  <c r="H5429" i="2"/>
  <c r="J5429" i="2"/>
  <c r="K5429" i="2"/>
  <c r="L5429" i="2"/>
  <c r="C5430" i="2"/>
  <c r="D5430" i="2"/>
  <c r="F5430" i="2"/>
  <c r="G5430" i="2"/>
  <c r="H5430" i="2"/>
  <c r="J5430" i="2"/>
  <c r="K5430" i="2"/>
  <c r="L5430" i="2"/>
  <c r="C5431" i="2"/>
  <c r="D5431" i="2"/>
  <c r="F5431" i="2"/>
  <c r="G5431" i="2"/>
  <c r="H5431" i="2"/>
  <c r="J5431" i="2"/>
  <c r="K5431" i="2"/>
  <c r="L5431" i="2"/>
  <c r="C5432" i="2"/>
  <c r="D5432" i="2"/>
  <c r="F5432" i="2"/>
  <c r="G5432" i="2"/>
  <c r="H5432" i="2"/>
  <c r="J5432" i="2"/>
  <c r="K5432" i="2"/>
  <c r="L5432" i="2"/>
  <c r="C5433" i="2"/>
  <c r="D5433" i="2"/>
  <c r="F5433" i="2"/>
  <c r="G5433" i="2"/>
  <c r="H5433" i="2"/>
  <c r="J5433" i="2"/>
  <c r="K5433" i="2"/>
  <c r="L5433" i="2"/>
  <c r="C5434" i="2"/>
  <c r="D5434" i="2"/>
  <c r="F5434" i="2"/>
  <c r="G5434" i="2"/>
  <c r="H5434" i="2"/>
  <c r="J5434" i="2"/>
  <c r="K5434" i="2"/>
  <c r="L5434" i="2"/>
  <c r="C5435" i="2"/>
  <c r="D5435" i="2"/>
  <c r="F5435" i="2"/>
  <c r="G5435" i="2"/>
  <c r="H5435" i="2"/>
  <c r="J5435" i="2"/>
  <c r="K5435" i="2"/>
  <c r="L5435" i="2"/>
  <c r="C5436" i="2"/>
  <c r="D5436" i="2"/>
  <c r="F5436" i="2"/>
  <c r="G5436" i="2"/>
  <c r="H5436" i="2"/>
  <c r="J5436" i="2"/>
  <c r="K5436" i="2"/>
  <c r="L5436" i="2"/>
  <c r="C5437" i="2"/>
  <c r="D5437" i="2"/>
  <c r="F5437" i="2"/>
  <c r="G5437" i="2"/>
  <c r="H5437" i="2"/>
  <c r="J5437" i="2"/>
  <c r="K5437" i="2"/>
  <c r="L5437" i="2"/>
  <c r="C5438" i="2"/>
  <c r="D5438" i="2"/>
  <c r="F5438" i="2"/>
  <c r="G5438" i="2"/>
  <c r="H5438" i="2"/>
  <c r="J5438" i="2"/>
  <c r="K5438" i="2"/>
  <c r="L5438" i="2"/>
  <c r="C5439" i="2"/>
  <c r="D5439" i="2"/>
  <c r="F5439" i="2"/>
  <c r="G5439" i="2"/>
  <c r="H5439" i="2"/>
  <c r="J5439" i="2"/>
  <c r="K5439" i="2"/>
  <c r="L5439" i="2"/>
  <c r="C5440" i="2"/>
  <c r="D5440" i="2"/>
  <c r="F5440" i="2"/>
  <c r="G5440" i="2"/>
  <c r="H5440" i="2"/>
  <c r="J5440" i="2"/>
  <c r="K5440" i="2"/>
  <c r="L5440" i="2"/>
  <c r="C5441" i="2"/>
  <c r="D5441" i="2"/>
  <c r="F5441" i="2"/>
  <c r="G5441" i="2"/>
  <c r="H5441" i="2"/>
  <c r="J5441" i="2"/>
  <c r="K5441" i="2"/>
  <c r="L5441" i="2"/>
  <c r="C5442" i="2"/>
  <c r="D5442" i="2"/>
  <c r="F5442" i="2"/>
  <c r="G5442" i="2"/>
  <c r="H5442" i="2"/>
  <c r="J5442" i="2"/>
  <c r="K5442" i="2"/>
  <c r="L5442" i="2"/>
  <c r="C5443" i="2"/>
  <c r="D5443" i="2"/>
  <c r="F5443" i="2"/>
  <c r="G5443" i="2"/>
  <c r="H5443" i="2"/>
  <c r="J5443" i="2"/>
  <c r="K5443" i="2"/>
  <c r="L5443" i="2"/>
  <c r="C5444" i="2"/>
  <c r="D5444" i="2"/>
  <c r="F5444" i="2"/>
  <c r="G5444" i="2"/>
  <c r="H5444" i="2"/>
  <c r="J5444" i="2"/>
  <c r="K5444" i="2"/>
  <c r="L5444" i="2"/>
  <c r="D5445" i="2"/>
  <c r="F5445" i="2"/>
  <c r="G5445" i="2"/>
  <c r="H5445" i="2"/>
  <c r="J5445" i="2"/>
  <c r="K5445" i="2"/>
  <c r="L5445" i="2"/>
  <c r="C5446" i="2"/>
  <c r="D5446" i="2"/>
  <c r="F5446" i="2"/>
  <c r="G5446" i="2"/>
  <c r="H5446" i="2"/>
  <c r="J5446" i="2"/>
  <c r="K5446" i="2"/>
  <c r="L5446" i="2"/>
  <c r="C5447" i="2"/>
  <c r="D5447" i="2"/>
  <c r="F5447" i="2"/>
  <c r="G5447" i="2"/>
  <c r="H5447" i="2"/>
  <c r="J5447" i="2"/>
  <c r="K5447" i="2"/>
  <c r="L5447" i="2"/>
  <c r="C5448" i="2"/>
  <c r="D5448" i="2"/>
  <c r="F5448" i="2"/>
  <c r="G5448" i="2"/>
  <c r="H5448" i="2"/>
  <c r="J5448" i="2"/>
  <c r="K5448" i="2"/>
  <c r="L5448" i="2"/>
  <c r="C5449" i="2"/>
  <c r="D5449" i="2"/>
  <c r="F5449" i="2"/>
  <c r="G5449" i="2"/>
  <c r="H5449" i="2"/>
  <c r="J5449" i="2"/>
  <c r="K5449" i="2"/>
  <c r="L5449" i="2"/>
  <c r="C5450" i="2"/>
  <c r="D5450" i="2"/>
  <c r="F5450" i="2"/>
  <c r="G5450" i="2"/>
  <c r="H5450" i="2"/>
  <c r="J5450" i="2"/>
  <c r="K5450" i="2"/>
  <c r="L5450" i="2"/>
  <c r="C5451" i="2"/>
  <c r="D5451" i="2"/>
  <c r="F5451" i="2"/>
  <c r="G5451" i="2"/>
  <c r="H5451" i="2"/>
  <c r="J5451" i="2"/>
  <c r="K5451" i="2"/>
  <c r="L5451" i="2"/>
  <c r="C5452" i="2"/>
  <c r="D5452" i="2"/>
  <c r="F5452" i="2"/>
  <c r="G5452" i="2"/>
  <c r="H5452" i="2"/>
  <c r="J5452" i="2"/>
  <c r="K5452" i="2"/>
  <c r="L5452" i="2"/>
  <c r="C5453" i="2"/>
  <c r="D5453" i="2"/>
  <c r="F5453" i="2"/>
  <c r="G5453" i="2"/>
  <c r="H5453" i="2"/>
  <c r="J5453" i="2"/>
  <c r="K5453" i="2"/>
  <c r="L5453" i="2"/>
  <c r="C5454" i="2"/>
  <c r="D5454" i="2"/>
  <c r="F5454" i="2"/>
  <c r="G5454" i="2"/>
  <c r="H5454" i="2"/>
  <c r="J5454" i="2"/>
  <c r="K5454" i="2"/>
  <c r="L5454" i="2"/>
  <c r="C5455" i="2"/>
  <c r="D5455" i="2"/>
  <c r="F5455" i="2"/>
  <c r="G5455" i="2"/>
  <c r="H5455" i="2"/>
  <c r="J5455" i="2"/>
  <c r="K5455" i="2"/>
  <c r="L5455" i="2"/>
  <c r="C5456" i="2"/>
  <c r="D5456" i="2"/>
  <c r="F5456" i="2"/>
  <c r="G5456" i="2"/>
  <c r="H5456" i="2"/>
  <c r="J5456" i="2"/>
  <c r="K5456" i="2"/>
  <c r="L5456" i="2"/>
  <c r="C5457" i="2"/>
  <c r="D5457" i="2"/>
  <c r="F5457" i="2"/>
  <c r="G5457" i="2"/>
  <c r="H5457" i="2"/>
  <c r="J5457" i="2"/>
  <c r="K5457" i="2"/>
  <c r="L5457" i="2"/>
  <c r="C5458" i="2"/>
  <c r="D5458" i="2"/>
  <c r="F5458" i="2"/>
  <c r="G5458" i="2"/>
  <c r="H5458" i="2"/>
  <c r="J5458" i="2"/>
  <c r="K5458" i="2"/>
  <c r="L5458" i="2"/>
  <c r="C5459" i="2"/>
  <c r="D5459" i="2"/>
  <c r="F5459" i="2"/>
  <c r="G5459" i="2"/>
  <c r="H5459" i="2"/>
  <c r="J5459" i="2"/>
  <c r="K5459" i="2"/>
  <c r="L5459" i="2"/>
  <c r="C5460" i="2"/>
  <c r="D5460" i="2"/>
  <c r="F5460" i="2"/>
  <c r="G5460" i="2"/>
  <c r="H5460" i="2"/>
  <c r="J5460" i="2"/>
  <c r="K5460" i="2"/>
  <c r="L5460" i="2"/>
  <c r="C5461" i="2"/>
  <c r="D5461" i="2"/>
  <c r="F5461" i="2"/>
  <c r="G5461" i="2"/>
  <c r="H5461" i="2"/>
  <c r="J5461" i="2"/>
  <c r="K5461" i="2"/>
  <c r="L5461" i="2"/>
  <c r="C5462" i="2"/>
  <c r="D5462" i="2"/>
  <c r="F5462" i="2"/>
  <c r="G5462" i="2"/>
  <c r="H5462" i="2"/>
  <c r="J5462" i="2"/>
  <c r="K5462" i="2"/>
  <c r="L5462" i="2"/>
  <c r="C5463" i="2"/>
  <c r="D5463" i="2"/>
  <c r="F5463" i="2"/>
  <c r="G5463" i="2"/>
  <c r="H5463" i="2"/>
  <c r="J5463" i="2"/>
  <c r="K5463" i="2"/>
  <c r="L5463" i="2"/>
  <c r="C5464" i="2"/>
  <c r="D5464" i="2"/>
  <c r="F5464" i="2"/>
  <c r="G5464" i="2"/>
  <c r="H5464" i="2"/>
  <c r="J5464" i="2"/>
  <c r="K5464" i="2"/>
  <c r="L5464" i="2"/>
  <c r="C5465" i="2"/>
  <c r="D5465" i="2"/>
  <c r="F5465" i="2"/>
  <c r="G5465" i="2"/>
  <c r="H5465" i="2"/>
  <c r="J5465" i="2"/>
  <c r="K5465" i="2"/>
  <c r="L5465" i="2"/>
  <c r="C5466" i="2"/>
  <c r="D5466" i="2"/>
  <c r="F5466" i="2"/>
  <c r="G5466" i="2"/>
  <c r="H5466" i="2"/>
  <c r="J5466" i="2"/>
  <c r="K5466" i="2"/>
  <c r="L5466" i="2"/>
  <c r="C5467" i="2"/>
  <c r="D5467" i="2"/>
  <c r="F5467" i="2"/>
  <c r="G5467" i="2"/>
  <c r="H5467" i="2"/>
  <c r="J5467" i="2"/>
  <c r="K5467" i="2"/>
  <c r="L5467" i="2"/>
  <c r="C5468" i="2"/>
  <c r="D5468" i="2"/>
  <c r="F5468" i="2"/>
  <c r="G5468" i="2"/>
  <c r="H5468" i="2"/>
  <c r="J5468" i="2"/>
  <c r="K5468" i="2"/>
  <c r="L5468" i="2"/>
  <c r="C5469" i="2"/>
  <c r="D5469" i="2"/>
  <c r="F5469" i="2"/>
  <c r="G5469" i="2"/>
  <c r="H5469" i="2"/>
  <c r="J5469" i="2"/>
  <c r="K5469" i="2"/>
  <c r="L5469" i="2"/>
  <c r="C5470" i="2"/>
  <c r="D5470" i="2"/>
  <c r="F5470" i="2"/>
  <c r="G5470" i="2"/>
  <c r="H5470" i="2"/>
  <c r="J5470" i="2"/>
  <c r="K5470" i="2"/>
  <c r="L5470" i="2"/>
  <c r="C5471" i="2"/>
  <c r="D5471" i="2"/>
  <c r="F5471" i="2"/>
  <c r="G5471" i="2"/>
  <c r="H5471" i="2"/>
  <c r="J5471" i="2"/>
  <c r="K5471" i="2"/>
  <c r="L5471" i="2"/>
  <c r="C5472" i="2"/>
  <c r="D5472" i="2"/>
  <c r="F5472" i="2"/>
  <c r="G5472" i="2"/>
  <c r="H5472" i="2"/>
  <c r="J5472" i="2"/>
  <c r="K5472" i="2"/>
  <c r="L5472" i="2"/>
  <c r="C5473" i="2"/>
  <c r="D5473" i="2"/>
  <c r="F5473" i="2"/>
  <c r="G5473" i="2"/>
  <c r="H5473" i="2"/>
  <c r="J5473" i="2"/>
  <c r="K5473" i="2"/>
  <c r="L5473" i="2"/>
  <c r="C5474" i="2"/>
  <c r="D5474" i="2"/>
  <c r="F5474" i="2"/>
  <c r="G5474" i="2"/>
  <c r="H5474" i="2"/>
  <c r="J5474" i="2"/>
  <c r="K5474" i="2"/>
  <c r="L5474" i="2"/>
  <c r="C5475" i="2"/>
  <c r="D5475" i="2"/>
  <c r="F5475" i="2"/>
  <c r="G5475" i="2"/>
  <c r="H5475" i="2"/>
  <c r="J5475" i="2"/>
  <c r="K5475" i="2"/>
  <c r="L5475" i="2"/>
  <c r="C5476" i="2"/>
  <c r="D5476" i="2"/>
  <c r="F5476" i="2"/>
  <c r="G5476" i="2"/>
  <c r="H5476" i="2"/>
  <c r="J5476" i="2"/>
  <c r="K5476" i="2"/>
  <c r="L5476" i="2"/>
  <c r="C5477" i="2"/>
  <c r="D5477" i="2"/>
  <c r="F5477" i="2"/>
  <c r="G5477" i="2"/>
  <c r="H5477" i="2"/>
  <c r="J5477" i="2"/>
  <c r="K5477" i="2"/>
  <c r="L5477" i="2"/>
  <c r="C5478" i="2"/>
  <c r="D5478" i="2"/>
  <c r="F5478" i="2"/>
  <c r="G5478" i="2"/>
  <c r="H5478" i="2"/>
  <c r="J5478" i="2"/>
  <c r="K5478" i="2"/>
  <c r="L5478" i="2"/>
  <c r="C5479" i="2"/>
  <c r="D5479" i="2"/>
  <c r="F5479" i="2"/>
  <c r="G5479" i="2"/>
  <c r="H5479" i="2"/>
  <c r="J5479" i="2"/>
  <c r="K5479" i="2"/>
  <c r="L5479" i="2"/>
  <c r="C5480" i="2"/>
  <c r="D5480" i="2"/>
  <c r="F5480" i="2"/>
  <c r="G5480" i="2"/>
  <c r="H5480" i="2"/>
  <c r="J5480" i="2"/>
  <c r="K5480" i="2"/>
  <c r="L5480" i="2"/>
  <c r="C5481" i="2"/>
  <c r="D5481" i="2"/>
  <c r="F5481" i="2"/>
  <c r="G5481" i="2"/>
  <c r="H5481" i="2"/>
  <c r="J5481" i="2"/>
  <c r="K5481" i="2"/>
  <c r="L5481" i="2"/>
  <c r="C5482" i="2"/>
  <c r="D5482" i="2"/>
  <c r="F5482" i="2"/>
  <c r="G5482" i="2"/>
  <c r="H5482" i="2"/>
  <c r="J5482" i="2"/>
  <c r="K5482" i="2"/>
  <c r="L5482" i="2"/>
  <c r="C5483" i="2"/>
  <c r="D5483" i="2"/>
  <c r="F5483" i="2"/>
  <c r="G5483" i="2"/>
  <c r="H5483" i="2"/>
  <c r="J5483" i="2"/>
  <c r="K5483" i="2"/>
  <c r="L5483" i="2"/>
  <c r="C5484" i="2"/>
  <c r="D5484" i="2"/>
  <c r="F5484" i="2"/>
  <c r="G5484" i="2"/>
  <c r="H5484" i="2"/>
  <c r="J5484" i="2"/>
  <c r="K5484" i="2"/>
  <c r="L5484" i="2"/>
  <c r="C5485" i="2"/>
  <c r="D5485" i="2"/>
  <c r="F5485" i="2"/>
  <c r="G5485" i="2"/>
  <c r="H5485" i="2"/>
  <c r="J5485" i="2"/>
  <c r="K5485" i="2"/>
  <c r="L5485" i="2"/>
  <c r="C5486" i="2"/>
  <c r="D5486" i="2"/>
  <c r="F5486" i="2"/>
  <c r="G5486" i="2"/>
  <c r="H5486" i="2"/>
  <c r="J5486" i="2"/>
  <c r="K5486" i="2"/>
  <c r="L5486" i="2"/>
  <c r="C5487" i="2"/>
  <c r="D5487" i="2"/>
  <c r="F5487" i="2"/>
  <c r="G5487" i="2"/>
  <c r="H5487" i="2"/>
  <c r="J5487" i="2"/>
  <c r="K5487" i="2"/>
  <c r="L5487" i="2"/>
  <c r="C5488" i="2"/>
  <c r="D5488" i="2"/>
  <c r="F5488" i="2"/>
  <c r="G5488" i="2"/>
  <c r="H5488" i="2"/>
  <c r="J5488" i="2"/>
  <c r="K5488" i="2"/>
  <c r="L5488" i="2"/>
  <c r="C5489" i="2"/>
  <c r="D5489" i="2"/>
  <c r="F5489" i="2"/>
  <c r="G5489" i="2"/>
  <c r="H5489" i="2"/>
  <c r="J5489" i="2"/>
  <c r="K5489" i="2"/>
  <c r="L5489" i="2"/>
  <c r="C5490" i="2"/>
  <c r="D5490" i="2"/>
  <c r="F5490" i="2"/>
  <c r="G5490" i="2"/>
  <c r="H5490" i="2"/>
  <c r="J5490" i="2"/>
  <c r="K5490" i="2"/>
  <c r="L5490" i="2"/>
  <c r="C5491" i="2"/>
  <c r="D5491" i="2"/>
  <c r="F5491" i="2"/>
  <c r="G5491" i="2"/>
  <c r="H5491" i="2"/>
  <c r="J5491" i="2"/>
  <c r="K5491" i="2"/>
  <c r="L5491" i="2"/>
  <c r="C5492" i="2"/>
  <c r="D5492" i="2"/>
  <c r="F5492" i="2"/>
  <c r="G5492" i="2"/>
  <c r="H5492" i="2"/>
  <c r="J5492" i="2"/>
  <c r="K5492" i="2"/>
  <c r="L5492" i="2"/>
  <c r="C5493" i="2"/>
  <c r="D5493" i="2"/>
  <c r="F5493" i="2"/>
  <c r="G5493" i="2"/>
  <c r="H5493" i="2"/>
  <c r="J5493" i="2"/>
  <c r="K5493" i="2"/>
  <c r="L5493" i="2"/>
  <c r="C5494" i="2"/>
  <c r="D5494" i="2"/>
  <c r="F5494" i="2"/>
  <c r="G5494" i="2"/>
  <c r="H5494" i="2"/>
  <c r="J5494" i="2"/>
  <c r="K5494" i="2"/>
  <c r="L5494" i="2"/>
  <c r="C5495" i="2"/>
  <c r="D5495" i="2"/>
  <c r="F5495" i="2"/>
  <c r="G5495" i="2"/>
  <c r="H5495" i="2"/>
  <c r="J5495" i="2"/>
  <c r="K5495" i="2"/>
  <c r="L5495" i="2"/>
  <c r="C5496" i="2"/>
  <c r="D5496" i="2"/>
  <c r="F5496" i="2"/>
  <c r="G5496" i="2"/>
  <c r="H5496" i="2"/>
  <c r="J5496" i="2"/>
  <c r="K5496" i="2"/>
  <c r="L5496" i="2"/>
  <c r="C5497" i="2"/>
  <c r="D5497" i="2"/>
  <c r="F5497" i="2"/>
  <c r="G5497" i="2"/>
  <c r="H5497" i="2"/>
  <c r="J5497" i="2"/>
  <c r="K5497" i="2"/>
  <c r="L5497" i="2"/>
  <c r="C5498" i="2"/>
  <c r="D5498" i="2"/>
  <c r="F5498" i="2"/>
  <c r="G5498" i="2"/>
  <c r="H5498" i="2"/>
  <c r="J5498" i="2"/>
  <c r="K5498" i="2"/>
  <c r="L5498" i="2"/>
  <c r="C5499" i="2"/>
  <c r="D5499" i="2"/>
  <c r="F5499" i="2"/>
  <c r="G5499" i="2"/>
  <c r="H5499" i="2"/>
  <c r="J5499" i="2"/>
  <c r="K5499" i="2"/>
  <c r="L5499" i="2"/>
  <c r="C5500" i="2"/>
  <c r="D5500" i="2"/>
  <c r="F5500" i="2"/>
  <c r="G5500" i="2"/>
  <c r="H5500" i="2"/>
  <c r="J5500" i="2"/>
  <c r="K5500" i="2"/>
  <c r="L5500" i="2"/>
  <c r="C5501" i="2"/>
  <c r="D5501" i="2"/>
  <c r="F5501" i="2"/>
  <c r="G5501" i="2"/>
  <c r="H5501" i="2"/>
  <c r="J5501" i="2"/>
  <c r="K5501" i="2"/>
  <c r="L5501" i="2"/>
  <c r="C5502" i="2"/>
  <c r="D5502" i="2"/>
  <c r="F5502" i="2"/>
  <c r="G5502" i="2"/>
  <c r="H5502" i="2"/>
  <c r="J5502" i="2"/>
  <c r="K5502" i="2"/>
  <c r="L5502" i="2"/>
  <c r="C5503" i="2"/>
  <c r="D5503" i="2"/>
  <c r="F5503" i="2"/>
  <c r="G5503" i="2"/>
  <c r="H5503" i="2"/>
  <c r="J5503" i="2"/>
  <c r="K5503" i="2"/>
  <c r="L5503" i="2"/>
  <c r="C5504" i="2"/>
  <c r="D5504" i="2"/>
  <c r="F5504" i="2"/>
  <c r="G5504" i="2"/>
  <c r="H5504" i="2"/>
  <c r="J5504" i="2"/>
  <c r="K5504" i="2"/>
  <c r="L5504" i="2"/>
  <c r="C5505" i="2"/>
  <c r="D5505" i="2"/>
  <c r="F5505" i="2"/>
  <c r="G5505" i="2"/>
  <c r="H5505" i="2"/>
  <c r="J5505" i="2"/>
  <c r="K5505" i="2"/>
  <c r="L5505" i="2"/>
  <c r="C5506" i="2"/>
  <c r="D5506" i="2"/>
  <c r="F5506" i="2"/>
  <c r="G5506" i="2"/>
  <c r="H5506" i="2"/>
  <c r="J5506" i="2"/>
  <c r="K5506" i="2"/>
  <c r="L5506" i="2"/>
  <c r="C5507" i="2"/>
  <c r="D5507" i="2"/>
  <c r="F5507" i="2"/>
  <c r="G5507" i="2"/>
  <c r="H5507" i="2"/>
  <c r="J5507" i="2"/>
  <c r="K5507" i="2"/>
  <c r="L5507" i="2"/>
  <c r="C5508" i="2"/>
  <c r="D5508" i="2"/>
  <c r="F5508" i="2"/>
  <c r="G5508" i="2"/>
  <c r="H5508" i="2"/>
  <c r="J5508" i="2"/>
  <c r="K5508" i="2"/>
  <c r="L5508" i="2"/>
  <c r="C5509" i="2"/>
  <c r="D5509" i="2"/>
  <c r="F5509" i="2"/>
  <c r="G5509" i="2"/>
  <c r="H5509" i="2"/>
  <c r="J5509" i="2"/>
  <c r="K5509" i="2"/>
  <c r="L5509" i="2"/>
  <c r="C5510" i="2"/>
  <c r="D5510" i="2"/>
  <c r="F5510" i="2"/>
  <c r="G5510" i="2"/>
  <c r="H5510" i="2"/>
  <c r="J5510" i="2"/>
  <c r="K5510" i="2"/>
  <c r="L5510" i="2"/>
  <c r="C5511" i="2"/>
  <c r="D5511" i="2"/>
  <c r="F5511" i="2"/>
  <c r="G5511" i="2"/>
  <c r="H5511" i="2"/>
  <c r="J5511" i="2"/>
  <c r="K5511" i="2"/>
  <c r="L5511" i="2"/>
  <c r="C5512" i="2"/>
  <c r="D5512" i="2"/>
  <c r="F5512" i="2"/>
  <c r="G5512" i="2"/>
  <c r="H5512" i="2"/>
  <c r="J5512" i="2"/>
  <c r="K5512" i="2"/>
  <c r="L5512" i="2"/>
  <c r="C5513" i="2"/>
  <c r="D5513" i="2"/>
  <c r="F5513" i="2"/>
  <c r="G5513" i="2"/>
  <c r="H5513" i="2"/>
  <c r="J5513" i="2"/>
  <c r="K5513" i="2"/>
  <c r="L5513" i="2"/>
  <c r="C5514" i="2"/>
  <c r="D5514" i="2"/>
  <c r="F5514" i="2"/>
  <c r="G5514" i="2"/>
  <c r="H5514" i="2"/>
  <c r="J5514" i="2"/>
  <c r="K5514" i="2"/>
  <c r="L5514" i="2"/>
  <c r="C5515" i="2"/>
  <c r="D5515" i="2"/>
  <c r="F5515" i="2"/>
  <c r="G5515" i="2"/>
  <c r="H5515" i="2"/>
  <c r="J5515" i="2"/>
  <c r="K5515" i="2"/>
  <c r="L5515" i="2"/>
  <c r="C5516" i="2"/>
  <c r="D5516" i="2"/>
  <c r="F5516" i="2"/>
  <c r="G5516" i="2"/>
  <c r="H5516" i="2"/>
  <c r="J5516" i="2"/>
  <c r="K5516" i="2"/>
  <c r="L5516" i="2"/>
  <c r="C5517" i="2"/>
  <c r="D5517" i="2"/>
  <c r="F5517" i="2"/>
  <c r="G5517" i="2"/>
  <c r="H5517" i="2"/>
  <c r="J5517" i="2"/>
  <c r="K5517" i="2"/>
  <c r="L5517" i="2"/>
  <c r="C5518" i="2"/>
  <c r="D5518" i="2"/>
  <c r="F5518" i="2"/>
  <c r="G5518" i="2"/>
  <c r="H5518" i="2"/>
  <c r="J5518" i="2"/>
  <c r="K5518" i="2"/>
  <c r="L5518" i="2"/>
  <c r="C5519" i="2"/>
  <c r="D5519" i="2"/>
  <c r="F5519" i="2"/>
  <c r="G5519" i="2"/>
  <c r="H5519" i="2"/>
  <c r="J5519" i="2"/>
  <c r="K5519" i="2"/>
  <c r="L5519" i="2"/>
  <c r="C5520" i="2"/>
  <c r="D5520" i="2"/>
  <c r="F5520" i="2"/>
  <c r="G5520" i="2"/>
  <c r="H5520" i="2"/>
  <c r="J5520" i="2"/>
  <c r="K5520" i="2"/>
  <c r="L5520" i="2"/>
  <c r="C5521" i="2"/>
  <c r="D5521" i="2"/>
  <c r="F5521" i="2"/>
  <c r="G5521" i="2"/>
  <c r="H5521" i="2"/>
  <c r="J5521" i="2"/>
  <c r="K5521" i="2"/>
  <c r="L5521" i="2"/>
  <c r="C5522" i="2"/>
  <c r="D5522" i="2"/>
  <c r="F5522" i="2"/>
  <c r="G5522" i="2"/>
  <c r="H5522" i="2"/>
  <c r="J5522" i="2"/>
  <c r="K5522" i="2"/>
  <c r="L5522" i="2"/>
  <c r="C5523" i="2"/>
  <c r="D5523" i="2"/>
  <c r="F5523" i="2"/>
  <c r="G5523" i="2"/>
  <c r="H5523" i="2"/>
  <c r="J5523" i="2"/>
  <c r="K5523" i="2"/>
  <c r="L5523" i="2"/>
  <c r="C5524" i="2"/>
  <c r="D5524" i="2"/>
  <c r="F5524" i="2"/>
  <c r="G5524" i="2"/>
  <c r="H5524" i="2"/>
  <c r="J5524" i="2"/>
  <c r="K5524" i="2"/>
  <c r="L5524" i="2"/>
  <c r="C5525" i="2"/>
  <c r="D5525" i="2"/>
  <c r="F5525" i="2"/>
  <c r="G5525" i="2"/>
  <c r="H5525" i="2"/>
  <c r="J5525" i="2"/>
  <c r="K5525" i="2"/>
  <c r="L5525" i="2"/>
  <c r="C5526" i="2"/>
  <c r="D5526" i="2"/>
  <c r="F5526" i="2"/>
  <c r="G5526" i="2"/>
  <c r="H5526" i="2"/>
  <c r="J5526" i="2"/>
  <c r="K5526" i="2"/>
  <c r="L5526" i="2"/>
  <c r="C5527" i="2"/>
  <c r="D5527" i="2"/>
  <c r="F5527" i="2"/>
  <c r="G5527" i="2"/>
  <c r="H5527" i="2"/>
  <c r="J5527" i="2"/>
  <c r="K5527" i="2"/>
  <c r="L5527" i="2"/>
  <c r="C5528" i="2"/>
  <c r="D5528" i="2"/>
  <c r="F5528" i="2"/>
  <c r="G5528" i="2"/>
  <c r="H5528" i="2"/>
  <c r="J5528" i="2"/>
  <c r="K5528" i="2"/>
  <c r="L5528" i="2"/>
  <c r="C5529" i="2"/>
  <c r="D5529" i="2"/>
  <c r="F5529" i="2"/>
  <c r="G5529" i="2"/>
  <c r="H5529" i="2"/>
  <c r="J5529" i="2"/>
  <c r="K5529" i="2"/>
  <c r="L5529" i="2"/>
  <c r="C5530" i="2"/>
  <c r="D5530" i="2"/>
  <c r="F5530" i="2"/>
  <c r="G5530" i="2"/>
  <c r="H5530" i="2"/>
  <c r="J5530" i="2"/>
  <c r="K5530" i="2"/>
  <c r="L5530" i="2"/>
  <c r="C5531" i="2"/>
  <c r="D5531" i="2"/>
  <c r="F5531" i="2"/>
  <c r="G5531" i="2"/>
  <c r="H5531" i="2"/>
  <c r="J5531" i="2"/>
  <c r="K5531" i="2"/>
  <c r="L5531" i="2"/>
  <c r="C5532" i="2"/>
  <c r="D5532" i="2"/>
  <c r="F5532" i="2"/>
  <c r="G5532" i="2"/>
  <c r="H5532" i="2"/>
  <c r="J5532" i="2"/>
  <c r="K5532" i="2"/>
  <c r="L5532" i="2"/>
  <c r="C5533" i="2"/>
  <c r="D5533" i="2"/>
  <c r="F5533" i="2"/>
  <c r="G5533" i="2"/>
  <c r="H5533" i="2"/>
  <c r="J5533" i="2"/>
  <c r="K5533" i="2"/>
  <c r="L5533" i="2"/>
  <c r="C5534" i="2"/>
  <c r="D5534" i="2"/>
  <c r="F5534" i="2"/>
  <c r="G5534" i="2"/>
  <c r="H5534" i="2"/>
  <c r="J5534" i="2"/>
  <c r="K5534" i="2"/>
  <c r="L5534" i="2"/>
  <c r="C5535" i="2"/>
  <c r="D5535" i="2"/>
  <c r="F5535" i="2"/>
  <c r="G5535" i="2"/>
  <c r="H5535" i="2"/>
  <c r="J5535" i="2"/>
  <c r="K5535" i="2"/>
  <c r="L5535" i="2"/>
  <c r="C5536" i="2"/>
  <c r="D5536" i="2"/>
  <c r="F5536" i="2"/>
  <c r="G5536" i="2"/>
  <c r="H5536" i="2"/>
  <c r="J5536" i="2"/>
  <c r="K5536" i="2"/>
  <c r="L5536" i="2"/>
  <c r="C5537" i="2"/>
  <c r="D5537" i="2"/>
  <c r="F5537" i="2"/>
  <c r="G5537" i="2"/>
  <c r="H5537" i="2"/>
  <c r="J5537" i="2"/>
  <c r="K5537" i="2"/>
  <c r="L5537" i="2"/>
  <c r="C5538" i="2"/>
  <c r="D5538" i="2"/>
  <c r="F5538" i="2"/>
  <c r="G5538" i="2"/>
  <c r="H5538" i="2"/>
  <c r="J5538" i="2"/>
  <c r="K5538" i="2"/>
  <c r="L5538" i="2"/>
  <c r="C5539" i="2"/>
  <c r="D5539" i="2"/>
  <c r="F5539" i="2"/>
  <c r="G5539" i="2"/>
  <c r="H5539" i="2"/>
  <c r="J5539" i="2"/>
  <c r="K5539" i="2"/>
  <c r="L5539" i="2"/>
  <c r="C5540" i="2"/>
  <c r="D5540" i="2"/>
  <c r="F5540" i="2"/>
  <c r="G5540" i="2"/>
  <c r="H5540" i="2"/>
  <c r="J5540" i="2"/>
  <c r="K5540" i="2"/>
  <c r="L5540" i="2"/>
  <c r="C5541" i="2"/>
  <c r="D5541" i="2"/>
  <c r="F5541" i="2"/>
  <c r="G5541" i="2"/>
  <c r="H5541" i="2"/>
  <c r="J5541" i="2"/>
  <c r="K5541" i="2"/>
  <c r="L5541" i="2"/>
  <c r="C5542" i="2"/>
  <c r="D5542" i="2"/>
  <c r="F5542" i="2"/>
  <c r="G5542" i="2"/>
  <c r="H5542" i="2"/>
  <c r="J5542" i="2"/>
  <c r="K5542" i="2"/>
  <c r="L5542" i="2"/>
  <c r="C5543" i="2"/>
  <c r="D5543" i="2"/>
  <c r="F5543" i="2"/>
  <c r="G5543" i="2"/>
  <c r="H5543" i="2"/>
  <c r="J5543" i="2"/>
  <c r="K5543" i="2"/>
  <c r="L5543" i="2"/>
  <c r="C5544" i="2"/>
  <c r="D5544" i="2"/>
  <c r="F5544" i="2"/>
  <c r="G5544" i="2"/>
  <c r="H5544" i="2"/>
  <c r="J5544" i="2"/>
  <c r="K5544" i="2"/>
  <c r="L5544" i="2"/>
  <c r="C5545" i="2"/>
  <c r="D5545" i="2"/>
  <c r="F5545" i="2"/>
  <c r="G5545" i="2"/>
  <c r="H5545" i="2"/>
  <c r="J5545" i="2"/>
  <c r="K5545" i="2"/>
  <c r="L5545" i="2"/>
  <c r="C5546" i="2"/>
  <c r="D5546" i="2"/>
  <c r="F5546" i="2"/>
  <c r="G5546" i="2"/>
  <c r="H5546" i="2"/>
  <c r="J5546" i="2"/>
  <c r="K5546" i="2"/>
  <c r="L5546" i="2"/>
  <c r="C5547" i="2"/>
  <c r="D5547" i="2"/>
  <c r="F5547" i="2"/>
  <c r="G5547" i="2"/>
  <c r="H5547" i="2"/>
  <c r="J5547" i="2"/>
  <c r="K5547" i="2"/>
  <c r="L5547" i="2"/>
  <c r="C5548" i="2"/>
  <c r="D5548" i="2"/>
  <c r="F5548" i="2"/>
  <c r="G5548" i="2"/>
  <c r="H5548" i="2"/>
  <c r="J5548" i="2"/>
  <c r="K5548" i="2"/>
  <c r="L5548" i="2"/>
  <c r="C5549" i="2"/>
  <c r="D5549" i="2"/>
  <c r="F5549" i="2"/>
  <c r="G5549" i="2"/>
  <c r="H5549" i="2"/>
  <c r="J5549" i="2"/>
  <c r="K5549" i="2"/>
  <c r="L5549" i="2"/>
  <c r="C5550" i="2"/>
  <c r="D5550" i="2"/>
  <c r="F5550" i="2"/>
  <c r="G5550" i="2"/>
  <c r="H5550" i="2"/>
  <c r="J5550" i="2"/>
  <c r="K5550" i="2"/>
  <c r="L5550" i="2"/>
  <c r="C5551" i="2"/>
  <c r="D5551" i="2"/>
  <c r="F5551" i="2"/>
  <c r="G5551" i="2"/>
  <c r="H5551" i="2"/>
  <c r="J5551" i="2"/>
  <c r="K5551" i="2"/>
  <c r="L5551" i="2"/>
  <c r="C5552" i="2"/>
  <c r="D5552" i="2"/>
  <c r="F5552" i="2"/>
  <c r="G5552" i="2"/>
  <c r="H5552" i="2"/>
  <c r="J5552" i="2"/>
  <c r="K5552" i="2"/>
  <c r="L5552" i="2"/>
  <c r="C5553" i="2"/>
  <c r="D5553" i="2"/>
  <c r="F5553" i="2"/>
  <c r="G5553" i="2"/>
  <c r="H5553" i="2"/>
  <c r="J5553" i="2"/>
  <c r="K5553" i="2"/>
  <c r="L5553" i="2"/>
  <c r="C5554" i="2"/>
  <c r="D5554" i="2"/>
  <c r="F5554" i="2"/>
  <c r="G5554" i="2"/>
  <c r="H5554" i="2"/>
  <c r="J5554" i="2"/>
  <c r="K5554" i="2"/>
  <c r="L5554" i="2"/>
  <c r="C5555" i="2"/>
  <c r="D5555" i="2"/>
  <c r="F5555" i="2"/>
  <c r="G5555" i="2"/>
  <c r="H5555" i="2"/>
  <c r="J5555" i="2"/>
  <c r="K5555" i="2"/>
  <c r="L5555" i="2"/>
  <c r="C5556" i="2"/>
  <c r="D5556" i="2"/>
  <c r="F5556" i="2"/>
  <c r="G5556" i="2"/>
  <c r="H5556" i="2"/>
  <c r="J5556" i="2"/>
  <c r="K5556" i="2"/>
  <c r="L5556" i="2"/>
  <c r="C5557" i="2"/>
  <c r="D5557" i="2"/>
  <c r="F5557" i="2"/>
  <c r="G5557" i="2"/>
  <c r="H5557" i="2"/>
  <c r="J5557" i="2"/>
  <c r="K5557" i="2"/>
  <c r="L5557" i="2"/>
  <c r="C5558" i="2"/>
  <c r="D5558" i="2"/>
  <c r="F5558" i="2"/>
  <c r="G5558" i="2"/>
  <c r="H5558" i="2"/>
  <c r="J5558" i="2"/>
  <c r="K5558" i="2"/>
  <c r="L5558" i="2"/>
  <c r="C5559" i="2"/>
  <c r="D5559" i="2"/>
  <c r="F5559" i="2"/>
  <c r="G5559" i="2"/>
  <c r="H5559" i="2"/>
  <c r="J5559" i="2"/>
  <c r="K5559" i="2"/>
  <c r="L5559" i="2"/>
  <c r="C5560" i="2"/>
  <c r="D5560" i="2"/>
  <c r="F5560" i="2"/>
  <c r="G5560" i="2"/>
  <c r="H5560" i="2"/>
  <c r="J5560" i="2"/>
  <c r="K5560" i="2"/>
  <c r="L5560" i="2"/>
  <c r="C5561" i="2"/>
  <c r="D5561" i="2"/>
  <c r="F5561" i="2"/>
  <c r="G5561" i="2"/>
  <c r="H5561" i="2"/>
  <c r="J5561" i="2"/>
  <c r="K5561" i="2"/>
  <c r="L5561" i="2"/>
  <c r="C5562" i="2"/>
  <c r="D5562" i="2"/>
  <c r="F5562" i="2"/>
  <c r="G5562" i="2"/>
  <c r="H5562" i="2"/>
  <c r="J5562" i="2"/>
  <c r="K5562" i="2"/>
  <c r="L5562" i="2"/>
  <c r="C5563" i="2"/>
  <c r="D5563" i="2"/>
  <c r="F5563" i="2"/>
  <c r="G5563" i="2"/>
  <c r="H5563" i="2"/>
  <c r="J5563" i="2"/>
  <c r="K5563" i="2"/>
  <c r="L5563" i="2"/>
  <c r="C5564" i="2"/>
  <c r="D5564" i="2"/>
  <c r="F5564" i="2"/>
  <c r="G5564" i="2"/>
  <c r="H5564" i="2"/>
  <c r="J5564" i="2"/>
  <c r="K5564" i="2"/>
  <c r="L5564" i="2"/>
  <c r="C5565" i="2"/>
  <c r="D5565" i="2"/>
  <c r="F5565" i="2"/>
  <c r="G5565" i="2"/>
  <c r="H5565" i="2"/>
  <c r="J5565" i="2"/>
  <c r="K5565" i="2"/>
  <c r="L5565" i="2"/>
  <c r="C5566" i="2"/>
  <c r="D5566" i="2"/>
  <c r="F5566" i="2"/>
  <c r="G5566" i="2"/>
  <c r="H5566" i="2"/>
  <c r="J5566" i="2"/>
  <c r="K5566" i="2"/>
  <c r="L5566" i="2"/>
  <c r="C5567" i="2"/>
  <c r="D5567" i="2"/>
  <c r="F5567" i="2"/>
  <c r="G5567" i="2"/>
  <c r="H5567" i="2"/>
  <c r="J5567" i="2"/>
  <c r="K5567" i="2"/>
  <c r="L5567" i="2"/>
  <c r="C5568" i="2"/>
  <c r="D5568" i="2"/>
  <c r="F5568" i="2"/>
  <c r="G5568" i="2"/>
  <c r="H5568" i="2"/>
  <c r="J5568" i="2"/>
  <c r="K5568" i="2"/>
  <c r="L5568" i="2"/>
  <c r="C5569" i="2"/>
  <c r="D5569" i="2"/>
  <c r="F5569" i="2"/>
  <c r="G5569" i="2"/>
  <c r="H5569" i="2"/>
  <c r="J5569" i="2"/>
  <c r="K5569" i="2"/>
  <c r="L5569" i="2"/>
  <c r="C5570" i="2"/>
  <c r="D5570" i="2"/>
  <c r="F5570" i="2"/>
  <c r="G5570" i="2"/>
  <c r="H5570" i="2"/>
  <c r="J5570" i="2"/>
  <c r="K5570" i="2"/>
  <c r="L5570" i="2"/>
  <c r="C5571" i="2"/>
  <c r="D5571" i="2"/>
  <c r="F5571" i="2"/>
  <c r="G5571" i="2"/>
  <c r="H5571" i="2"/>
  <c r="J5571" i="2"/>
  <c r="K5571" i="2"/>
  <c r="L5571" i="2"/>
  <c r="C5572" i="2"/>
  <c r="D5572" i="2"/>
  <c r="F5572" i="2"/>
  <c r="G5572" i="2"/>
  <c r="H5572" i="2"/>
  <c r="J5572" i="2"/>
  <c r="K5572" i="2"/>
  <c r="L5572" i="2"/>
  <c r="C5573" i="2"/>
  <c r="D5573" i="2"/>
  <c r="F5573" i="2"/>
  <c r="G5573" i="2"/>
  <c r="H5573" i="2"/>
  <c r="J5573" i="2"/>
  <c r="K5573" i="2"/>
  <c r="L5573" i="2"/>
  <c r="C5574" i="2"/>
  <c r="D5574" i="2"/>
  <c r="F5574" i="2"/>
  <c r="G5574" i="2"/>
  <c r="H5574" i="2"/>
  <c r="J5574" i="2"/>
  <c r="K5574" i="2"/>
  <c r="L5574" i="2"/>
  <c r="C5575" i="2"/>
  <c r="D5575" i="2"/>
  <c r="F5575" i="2"/>
  <c r="G5575" i="2"/>
  <c r="H5575" i="2"/>
  <c r="J5575" i="2"/>
  <c r="K5575" i="2"/>
  <c r="L5575" i="2"/>
  <c r="C5576" i="2"/>
  <c r="D5576" i="2"/>
  <c r="F5576" i="2"/>
  <c r="G5576" i="2"/>
  <c r="H5576" i="2"/>
  <c r="J5576" i="2"/>
  <c r="K5576" i="2"/>
  <c r="L5576" i="2"/>
  <c r="C5577" i="2"/>
  <c r="D5577" i="2"/>
  <c r="F5577" i="2"/>
  <c r="G5577" i="2"/>
  <c r="H5577" i="2"/>
  <c r="J5577" i="2"/>
  <c r="K5577" i="2"/>
  <c r="L5577" i="2"/>
  <c r="C5578" i="2"/>
  <c r="D5578" i="2"/>
  <c r="F5578" i="2"/>
  <c r="G5578" i="2"/>
  <c r="H5578" i="2"/>
  <c r="J5578" i="2"/>
  <c r="K5578" i="2"/>
  <c r="L5578" i="2"/>
  <c r="C5579" i="2"/>
  <c r="D5579" i="2"/>
  <c r="F5579" i="2"/>
  <c r="G5579" i="2"/>
  <c r="H5579" i="2"/>
  <c r="J5579" i="2"/>
  <c r="K5579" i="2"/>
  <c r="L5579" i="2"/>
  <c r="C5580" i="2"/>
  <c r="D5580" i="2"/>
  <c r="F5580" i="2"/>
  <c r="G5580" i="2"/>
  <c r="H5580" i="2"/>
  <c r="J5580" i="2"/>
  <c r="K5580" i="2"/>
  <c r="L5580" i="2"/>
  <c r="C5581" i="2"/>
  <c r="D5581" i="2"/>
  <c r="F5581" i="2"/>
  <c r="G5581" i="2"/>
  <c r="H5581" i="2"/>
  <c r="J5581" i="2"/>
  <c r="K5581" i="2"/>
  <c r="L5581" i="2"/>
  <c r="C5582" i="2"/>
  <c r="D5582" i="2"/>
  <c r="F5582" i="2"/>
  <c r="G5582" i="2"/>
  <c r="H5582" i="2"/>
  <c r="J5582" i="2"/>
  <c r="K5582" i="2"/>
  <c r="L5582" i="2"/>
  <c r="C5583" i="2"/>
  <c r="D5583" i="2"/>
  <c r="F5583" i="2"/>
  <c r="G5583" i="2"/>
  <c r="H5583" i="2"/>
  <c r="J5583" i="2"/>
  <c r="K5583" i="2"/>
  <c r="L5583" i="2"/>
  <c r="C5584" i="2"/>
  <c r="D5584" i="2"/>
  <c r="F5584" i="2"/>
  <c r="G5584" i="2"/>
  <c r="H5584" i="2"/>
  <c r="J5584" i="2"/>
  <c r="K5584" i="2"/>
  <c r="L5584" i="2"/>
  <c r="C5585" i="2"/>
  <c r="D5585" i="2"/>
  <c r="F5585" i="2"/>
  <c r="G5585" i="2"/>
  <c r="H5585" i="2"/>
  <c r="J5585" i="2"/>
  <c r="K5585" i="2"/>
  <c r="L5585" i="2"/>
  <c r="C5586" i="2"/>
  <c r="D5586" i="2"/>
  <c r="F5586" i="2"/>
  <c r="G5586" i="2"/>
  <c r="H5586" i="2"/>
  <c r="J5586" i="2"/>
  <c r="K5586" i="2"/>
  <c r="L5586" i="2"/>
  <c r="C5587" i="2"/>
  <c r="D5587" i="2"/>
  <c r="F5587" i="2"/>
  <c r="G5587" i="2"/>
  <c r="H5587" i="2"/>
  <c r="J5587" i="2"/>
  <c r="K5587" i="2"/>
  <c r="L5587" i="2"/>
  <c r="C5588" i="2"/>
  <c r="D5588" i="2"/>
  <c r="F5588" i="2"/>
  <c r="G5588" i="2"/>
  <c r="H5588" i="2"/>
  <c r="J5588" i="2"/>
  <c r="K5588" i="2"/>
  <c r="L5588" i="2"/>
  <c r="C5589" i="2"/>
  <c r="D5589" i="2"/>
  <c r="F5589" i="2"/>
  <c r="G5589" i="2"/>
  <c r="H5589" i="2"/>
  <c r="J5589" i="2"/>
  <c r="K5589" i="2"/>
  <c r="L5589" i="2"/>
  <c r="C5590" i="2"/>
  <c r="D5590" i="2"/>
  <c r="F5590" i="2"/>
  <c r="G5590" i="2"/>
  <c r="H5590" i="2"/>
  <c r="J5590" i="2"/>
  <c r="K5590" i="2"/>
  <c r="L5590" i="2"/>
  <c r="C5591" i="2"/>
  <c r="D5591" i="2"/>
  <c r="F5591" i="2"/>
  <c r="G5591" i="2"/>
  <c r="H5591" i="2"/>
  <c r="J5591" i="2"/>
  <c r="K5591" i="2"/>
  <c r="L5591" i="2"/>
  <c r="C5592" i="2"/>
  <c r="D5592" i="2"/>
  <c r="F5592" i="2"/>
  <c r="G5592" i="2"/>
  <c r="H5592" i="2"/>
  <c r="J5592" i="2"/>
  <c r="K5592" i="2"/>
  <c r="L5592" i="2"/>
  <c r="C5593" i="2"/>
  <c r="D5593" i="2"/>
  <c r="F5593" i="2"/>
  <c r="G5593" i="2"/>
  <c r="H5593" i="2"/>
  <c r="J5593" i="2"/>
  <c r="K5593" i="2"/>
  <c r="L5593" i="2"/>
  <c r="C5594" i="2"/>
  <c r="D5594" i="2"/>
  <c r="F5594" i="2"/>
  <c r="G5594" i="2"/>
  <c r="H5594" i="2"/>
  <c r="J5594" i="2"/>
  <c r="K5594" i="2"/>
  <c r="L5594" i="2"/>
  <c r="C5595" i="2"/>
  <c r="D5595" i="2"/>
  <c r="F5595" i="2"/>
  <c r="G5595" i="2"/>
  <c r="H5595" i="2"/>
  <c r="J5595" i="2"/>
  <c r="K5595" i="2"/>
  <c r="L5595" i="2"/>
  <c r="C5596" i="2"/>
  <c r="D5596" i="2"/>
  <c r="F5596" i="2"/>
  <c r="G5596" i="2"/>
  <c r="H5596" i="2"/>
  <c r="J5596" i="2"/>
  <c r="K5596" i="2"/>
  <c r="L5596" i="2"/>
  <c r="C5597" i="2"/>
  <c r="D5597" i="2"/>
  <c r="F5597" i="2"/>
  <c r="G5597" i="2"/>
  <c r="H5597" i="2"/>
  <c r="J5597" i="2"/>
  <c r="K5597" i="2"/>
  <c r="L5597" i="2"/>
  <c r="C5598" i="2"/>
  <c r="D5598" i="2"/>
  <c r="F5598" i="2"/>
  <c r="G5598" i="2"/>
  <c r="H5598" i="2"/>
  <c r="J5598" i="2"/>
  <c r="K5598" i="2"/>
  <c r="L5598" i="2"/>
  <c r="C5599" i="2"/>
  <c r="D5599" i="2"/>
  <c r="F5599" i="2"/>
  <c r="G5599" i="2"/>
  <c r="H5599" i="2"/>
  <c r="J5599" i="2"/>
  <c r="K5599" i="2"/>
  <c r="L5599" i="2"/>
  <c r="C5600" i="2"/>
  <c r="D5600" i="2"/>
  <c r="F5600" i="2"/>
  <c r="G5600" i="2"/>
  <c r="H5600" i="2"/>
  <c r="J5600" i="2"/>
  <c r="K5600" i="2"/>
  <c r="L5600" i="2"/>
  <c r="C5601" i="2"/>
  <c r="D5601" i="2"/>
  <c r="F5601" i="2"/>
  <c r="G5601" i="2"/>
  <c r="H5601" i="2"/>
  <c r="J5601" i="2"/>
  <c r="K5601" i="2"/>
  <c r="L5601" i="2"/>
  <c r="C5602" i="2"/>
  <c r="D5602" i="2"/>
  <c r="F5602" i="2"/>
  <c r="G5602" i="2"/>
  <c r="H5602" i="2"/>
  <c r="J5602" i="2"/>
  <c r="K5602" i="2"/>
  <c r="L5602" i="2"/>
  <c r="C5603" i="2"/>
  <c r="D5603" i="2"/>
  <c r="F5603" i="2"/>
  <c r="G5603" i="2"/>
  <c r="H5603" i="2"/>
  <c r="J5603" i="2"/>
  <c r="K5603" i="2"/>
  <c r="L5603" i="2"/>
  <c r="C5604" i="2"/>
  <c r="D5604" i="2"/>
  <c r="F5604" i="2"/>
  <c r="G5604" i="2"/>
  <c r="H5604" i="2"/>
  <c r="J5604" i="2"/>
  <c r="K5604" i="2"/>
  <c r="L5604" i="2"/>
  <c r="C5605" i="2"/>
  <c r="D5605" i="2"/>
  <c r="F5605" i="2"/>
  <c r="G5605" i="2"/>
  <c r="H5605" i="2"/>
  <c r="J5605" i="2"/>
  <c r="K5605" i="2"/>
  <c r="L5605" i="2"/>
  <c r="C5606" i="2"/>
  <c r="D5606" i="2"/>
  <c r="E5606" i="2"/>
  <c r="F5606" i="2"/>
  <c r="G5606" i="2"/>
  <c r="H5606" i="2"/>
  <c r="J5606" i="2"/>
  <c r="K5606" i="2"/>
  <c r="L5606" i="2"/>
  <c r="C5607" i="2"/>
  <c r="D5607" i="2"/>
  <c r="F5607" i="2"/>
  <c r="G5607" i="2"/>
  <c r="H5607" i="2"/>
  <c r="J5607" i="2"/>
  <c r="K5607" i="2"/>
  <c r="L5607" i="2"/>
  <c r="C5608" i="2"/>
  <c r="D5608" i="2"/>
  <c r="F5608" i="2"/>
  <c r="G5608" i="2"/>
  <c r="H5608" i="2"/>
  <c r="J5608" i="2"/>
  <c r="K5608" i="2"/>
  <c r="L5608" i="2"/>
  <c r="C5609" i="2"/>
  <c r="D5609" i="2"/>
  <c r="F5609" i="2"/>
  <c r="G5609" i="2"/>
  <c r="H5609" i="2"/>
  <c r="J5609" i="2"/>
  <c r="K5609" i="2"/>
  <c r="L5609" i="2"/>
  <c r="C5610" i="2"/>
  <c r="D5610" i="2"/>
  <c r="F5610" i="2"/>
  <c r="G5610" i="2"/>
  <c r="H5610" i="2"/>
  <c r="J5610" i="2"/>
  <c r="K5610" i="2"/>
  <c r="L5610" i="2"/>
  <c r="C5611" i="2"/>
  <c r="D5611" i="2"/>
  <c r="F5611" i="2"/>
  <c r="G5611" i="2"/>
  <c r="H5611" i="2"/>
  <c r="J5611" i="2"/>
  <c r="K5611" i="2"/>
  <c r="L5611" i="2"/>
  <c r="C5612" i="2"/>
  <c r="D5612" i="2"/>
  <c r="F5612" i="2"/>
  <c r="G5612" i="2"/>
  <c r="H5612" i="2"/>
  <c r="J5612" i="2"/>
  <c r="K5612" i="2"/>
  <c r="L5612" i="2"/>
  <c r="C5613" i="2"/>
  <c r="D5613" i="2"/>
  <c r="F5613" i="2"/>
  <c r="G5613" i="2"/>
  <c r="H5613" i="2"/>
  <c r="J5613" i="2"/>
  <c r="K5613" i="2"/>
  <c r="L5613" i="2"/>
  <c r="C5614" i="2"/>
  <c r="D5614" i="2"/>
  <c r="F5614" i="2"/>
  <c r="G5614" i="2"/>
  <c r="H5614" i="2"/>
  <c r="J5614" i="2"/>
  <c r="K5614" i="2"/>
  <c r="L5614" i="2"/>
  <c r="C5615" i="2"/>
  <c r="D5615" i="2"/>
  <c r="F5615" i="2"/>
  <c r="G5615" i="2"/>
  <c r="H5615" i="2"/>
  <c r="J5615" i="2"/>
  <c r="K5615" i="2"/>
  <c r="L5615" i="2"/>
  <c r="C5616" i="2"/>
  <c r="D5616" i="2"/>
  <c r="F5616" i="2"/>
  <c r="G5616" i="2"/>
  <c r="H5616" i="2"/>
  <c r="J5616" i="2"/>
  <c r="K5616" i="2"/>
  <c r="L5616" i="2"/>
  <c r="C5617" i="2"/>
  <c r="D5617" i="2"/>
  <c r="F5617" i="2"/>
  <c r="G5617" i="2"/>
  <c r="H5617" i="2"/>
  <c r="J5617" i="2"/>
  <c r="K5617" i="2"/>
  <c r="L5617" i="2"/>
  <c r="C5618" i="2"/>
  <c r="D5618" i="2"/>
  <c r="F5618" i="2"/>
  <c r="G5618" i="2"/>
  <c r="H5618" i="2"/>
  <c r="J5618" i="2"/>
  <c r="K5618" i="2"/>
  <c r="L5618" i="2"/>
  <c r="C5619" i="2"/>
  <c r="D5619" i="2"/>
  <c r="F5619" i="2"/>
  <c r="G5619" i="2"/>
  <c r="H5619" i="2"/>
  <c r="J5619" i="2"/>
  <c r="K5619" i="2"/>
  <c r="L5619" i="2"/>
  <c r="C5620" i="2"/>
  <c r="D5620" i="2"/>
  <c r="F5620" i="2"/>
  <c r="G5620" i="2"/>
  <c r="H5620" i="2"/>
  <c r="J5620" i="2"/>
  <c r="K5620" i="2"/>
  <c r="L5620" i="2"/>
  <c r="C5621" i="2"/>
  <c r="D5621" i="2"/>
  <c r="F5621" i="2"/>
  <c r="G5621" i="2"/>
  <c r="H5621" i="2"/>
  <c r="J5621" i="2"/>
  <c r="K5621" i="2"/>
  <c r="L5621" i="2"/>
  <c r="C5622" i="2"/>
  <c r="D5622" i="2"/>
  <c r="F5622" i="2"/>
  <c r="G5622" i="2"/>
  <c r="H5622" i="2"/>
  <c r="J5622" i="2"/>
  <c r="K5622" i="2"/>
  <c r="L5622" i="2"/>
  <c r="C5623" i="2"/>
  <c r="D5623" i="2"/>
  <c r="F5623" i="2"/>
  <c r="G5623" i="2"/>
  <c r="H5623" i="2"/>
  <c r="J5623" i="2"/>
  <c r="K5623" i="2"/>
  <c r="L5623" i="2"/>
  <c r="C5624" i="2"/>
  <c r="D5624" i="2"/>
  <c r="F5624" i="2"/>
  <c r="G5624" i="2"/>
  <c r="H5624" i="2"/>
  <c r="J5624" i="2"/>
  <c r="K5624" i="2"/>
  <c r="L5624" i="2"/>
  <c r="C5625" i="2"/>
  <c r="D5625" i="2"/>
  <c r="F5625" i="2"/>
  <c r="G5625" i="2"/>
  <c r="H5625" i="2"/>
  <c r="J5625" i="2"/>
  <c r="K5625" i="2"/>
  <c r="L5625" i="2"/>
  <c r="C5626" i="2"/>
  <c r="D5626" i="2"/>
  <c r="F5626" i="2"/>
  <c r="G5626" i="2"/>
  <c r="H5626" i="2"/>
  <c r="J5626" i="2"/>
  <c r="K5626" i="2"/>
  <c r="L5626" i="2"/>
  <c r="C5627" i="2"/>
  <c r="D5627" i="2"/>
  <c r="F5627" i="2"/>
  <c r="G5627" i="2"/>
  <c r="H5627" i="2"/>
  <c r="J5627" i="2"/>
  <c r="K5627" i="2"/>
  <c r="L5627" i="2"/>
  <c r="C5628" i="2"/>
  <c r="D5628" i="2"/>
  <c r="F5628" i="2"/>
  <c r="G5628" i="2"/>
  <c r="H5628" i="2"/>
  <c r="J5628" i="2"/>
  <c r="K5628" i="2"/>
  <c r="L5628" i="2"/>
  <c r="C5629" i="2"/>
  <c r="D5629" i="2"/>
  <c r="F5629" i="2"/>
  <c r="G5629" i="2"/>
  <c r="H5629" i="2"/>
  <c r="J5629" i="2"/>
  <c r="K5629" i="2"/>
  <c r="L5629" i="2"/>
  <c r="C5630" i="2"/>
  <c r="D5630" i="2"/>
  <c r="F5630" i="2"/>
  <c r="G5630" i="2"/>
  <c r="H5630" i="2"/>
  <c r="J5630" i="2"/>
  <c r="K5630" i="2"/>
  <c r="L5630" i="2"/>
  <c r="C5631" i="2"/>
  <c r="D5631" i="2"/>
  <c r="F5631" i="2"/>
  <c r="G5631" i="2"/>
  <c r="H5631" i="2"/>
  <c r="J5631" i="2"/>
  <c r="K5631" i="2"/>
  <c r="L5631" i="2"/>
  <c r="C5632" i="2"/>
  <c r="D5632" i="2"/>
  <c r="F5632" i="2"/>
  <c r="G5632" i="2"/>
  <c r="H5632" i="2"/>
  <c r="J5632" i="2"/>
  <c r="K5632" i="2"/>
  <c r="L5632" i="2"/>
  <c r="C5633" i="2"/>
  <c r="D5633" i="2"/>
  <c r="F5633" i="2"/>
  <c r="G5633" i="2"/>
  <c r="H5633" i="2"/>
  <c r="J5633" i="2"/>
  <c r="K5633" i="2"/>
  <c r="L5633" i="2"/>
  <c r="C5634" i="2"/>
  <c r="D5634" i="2"/>
  <c r="F5634" i="2"/>
  <c r="G5634" i="2"/>
  <c r="H5634" i="2"/>
  <c r="J5634" i="2"/>
  <c r="K5634" i="2"/>
  <c r="L5634" i="2"/>
  <c r="C5635" i="2"/>
  <c r="D5635" i="2"/>
  <c r="F5635" i="2"/>
  <c r="G5635" i="2"/>
  <c r="H5635" i="2"/>
  <c r="J5635" i="2"/>
  <c r="K5635" i="2"/>
  <c r="L5635" i="2"/>
  <c r="C5636" i="2"/>
  <c r="D5636" i="2"/>
  <c r="F5636" i="2"/>
  <c r="G5636" i="2"/>
  <c r="H5636" i="2"/>
  <c r="J5636" i="2"/>
  <c r="K5636" i="2"/>
  <c r="L5636" i="2"/>
  <c r="C5637" i="2"/>
  <c r="D5637" i="2"/>
  <c r="F5637" i="2"/>
  <c r="G5637" i="2"/>
  <c r="H5637" i="2"/>
  <c r="J5637" i="2"/>
  <c r="K5637" i="2"/>
  <c r="L5637" i="2"/>
  <c r="C5638" i="2"/>
  <c r="D5638" i="2"/>
  <c r="F5638" i="2"/>
  <c r="G5638" i="2"/>
  <c r="H5638" i="2"/>
  <c r="J5638" i="2"/>
  <c r="K5638" i="2"/>
  <c r="L5638" i="2"/>
  <c r="C5639" i="2"/>
  <c r="D5639" i="2"/>
  <c r="F5639" i="2"/>
  <c r="G5639" i="2"/>
  <c r="H5639" i="2"/>
  <c r="J5639" i="2"/>
  <c r="K5639" i="2"/>
  <c r="L5639" i="2"/>
  <c r="C5640" i="2"/>
  <c r="D5640" i="2"/>
  <c r="F5640" i="2"/>
  <c r="G5640" i="2"/>
  <c r="H5640" i="2"/>
  <c r="J5640" i="2"/>
  <c r="K5640" i="2"/>
  <c r="L5640" i="2"/>
  <c r="C5641" i="2"/>
  <c r="D5641" i="2"/>
  <c r="F5641" i="2"/>
  <c r="G5641" i="2"/>
  <c r="H5641" i="2"/>
  <c r="J5641" i="2"/>
  <c r="K5641" i="2"/>
  <c r="L5641" i="2"/>
  <c r="C5642" i="2"/>
  <c r="D5642" i="2"/>
  <c r="F5642" i="2"/>
  <c r="G5642" i="2"/>
  <c r="H5642" i="2"/>
  <c r="J5642" i="2"/>
  <c r="K5642" i="2"/>
  <c r="L5642" i="2"/>
  <c r="C5643" i="2"/>
  <c r="D5643" i="2"/>
  <c r="F5643" i="2"/>
  <c r="G5643" i="2"/>
  <c r="H5643" i="2"/>
  <c r="J5643" i="2"/>
  <c r="K5643" i="2"/>
  <c r="L5643" i="2"/>
  <c r="C5644" i="2"/>
  <c r="D5644" i="2"/>
  <c r="F5644" i="2"/>
  <c r="G5644" i="2"/>
  <c r="H5644" i="2"/>
  <c r="J5644" i="2"/>
  <c r="K5644" i="2"/>
  <c r="L5644" i="2"/>
  <c r="C5645" i="2"/>
  <c r="D5645" i="2"/>
  <c r="F5645" i="2"/>
  <c r="G5645" i="2"/>
  <c r="H5645" i="2"/>
  <c r="J5645" i="2"/>
  <c r="K5645" i="2"/>
  <c r="L5645" i="2"/>
  <c r="C5646" i="2"/>
  <c r="D5646" i="2"/>
  <c r="F5646" i="2"/>
  <c r="G5646" i="2"/>
  <c r="H5646" i="2"/>
  <c r="J5646" i="2"/>
  <c r="K5646" i="2"/>
  <c r="L5646" i="2"/>
  <c r="C5647" i="2"/>
  <c r="D5647" i="2"/>
  <c r="F5647" i="2"/>
  <c r="G5647" i="2"/>
  <c r="H5647" i="2"/>
  <c r="J5647" i="2"/>
  <c r="K5647" i="2"/>
  <c r="L5647" i="2"/>
  <c r="C5648" i="2"/>
  <c r="D5648" i="2"/>
  <c r="F5648" i="2"/>
  <c r="G5648" i="2"/>
  <c r="H5648" i="2"/>
  <c r="J5648" i="2"/>
  <c r="K5648" i="2"/>
  <c r="L5648" i="2"/>
  <c r="C5649" i="2"/>
  <c r="D5649" i="2"/>
  <c r="F5649" i="2"/>
  <c r="G5649" i="2"/>
  <c r="H5649" i="2"/>
  <c r="J5649" i="2"/>
  <c r="K5649" i="2"/>
  <c r="L5649" i="2"/>
  <c r="C5650" i="2"/>
  <c r="D5650" i="2"/>
  <c r="F5650" i="2"/>
  <c r="G5650" i="2"/>
  <c r="H5650" i="2"/>
  <c r="J5650" i="2"/>
  <c r="K5650" i="2"/>
  <c r="L5650" i="2"/>
  <c r="C5651" i="2"/>
  <c r="D5651" i="2"/>
  <c r="F5651" i="2"/>
  <c r="G5651" i="2"/>
  <c r="H5651" i="2"/>
  <c r="J5651" i="2"/>
  <c r="K5651" i="2"/>
  <c r="L5651" i="2"/>
  <c r="C5652" i="2"/>
  <c r="D5652" i="2"/>
  <c r="F5652" i="2"/>
  <c r="G5652" i="2"/>
  <c r="H5652" i="2"/>
  <c r="J5652" i="2"/>
  <c r="K5652" i="2"/>
  <c r="L5652" i="2"/>
  <c r="C5653" i="2"/>
  <c r="D5653" i="2"/>
  <c r="F5653" i="2"/>
  <c r="G5653" i="2"/>
  <c r="H5653" i="2"/>
  <c r="J5653" i="2"/>
  <c r="K5653" i="2"/>
  <c r="L5653" i="2"/>
  <c r="C5654" i="2"/>
  <c r="D5654" i="2"/>
  <c r="F5654" i="2"/>
  <c r="G5654" i="2"/>
  <c r="H5654" i="2"/>
  <c r="J5654" i="2"/>
  <c r="K5654" i="2"/>
  <c r="L5654" i="2"/>
  <c r="C5655" i="2"/>
  <c r="D5655" i="2"/>
  <c r="F5655" i="2"/>
  <c r="G5655" i="2"/>
  <c r="H5655" i="2"/>
  <c r="J5655" i="2"/>
  <c r="K5655" i="2"/>
  <c r="L5655" i="2"/>
  <c r="C5656" i="2"/>
  <c r="D5656" i="2"/>
  <c r="F5656" i="2"/>
  <c r="G5656" i="2"/>
  <c r="H5656" i="2"/>
  <c r="J5656" i="2"/>
  <c r="K5656" i="2"/>
  <c r="L5656" i="2"/>
  <c r="C5657" i="2"/>
  <c r="D5657" i="2"/>
  <c r="F5657" i="2"/>
  <c r="G5657" i="2"/>
  <c r="H5657" i="2"/>
  <c r="J5657" i="2"/>
  <c r="K5657" i="2"/>
  <c r="L5657" i="2"/>
  <c r="C5658" i="2"/>
  <c r="D5658" i="2"/>
  <c r="F5658" i="2"/>
  <c r="G5658" i="2"/>
  <c r="H5658" i="2"/>
  <c r="J5658" i="2"/>
  <c r="K5658" i="2"/>
  <c r="L5658" i="2"/>
  <c r="C5659" i="2"/>
  <c r="D5659" i="2"/>
  <c r="F5659" i="2"/>
  <c r="G5659" i="2"/>
  <c r="H5659" i="2"/>
  <c r="J5659" i="2"/>
  <c r="K5659" i="2"/>
  <c r="L5659" i="2"/>
  <c r="C5660" i="2"/>
  <c r="D5660" i="2"/>
  <c r="F5660" i="2"/>
  <c r="G5660" i="2"/>
  <c r="H5660" i="2"/>
  <c r="J5660" i="2"/>
  <c r="K5660" i="2"/>
  <c r="L5660" i="2"/>
  <c r="C5661" i="2"/>
  <c r="D5661" i="2"/>
  <c r="F5661" i="2"/>
  <c r="G5661" i="2"/>
  <c r="H5661" i="2"/>
  <c r="J5661" i="2"/>
  <c r="K5661" i="2"/>
  <c r="L5661" i="2"/>
  <c r="C5662" i="2"/>
  <c r="D5662" i="2"/>
  <c r="F5662" i="2"/>
  <c r="G5662" i="2"/>
  <c r="H5662" i="2"/>
  <c r="J5662" i="2"/>
  <c r="K5662" i="2"/>
  <c r="L5662" i="2"/>
  <c r="C5663" i="2"/>
  <c r="D5663" i="2"/>
  <c r="F5663" i="2"/>
  <c r="G5663" i="2"/>
  <c r="H5663" i="2"/>
  <c r="J5663" i="2"/>
  <c r="K5663" i="2"/>
  <c r="L5663" i="2"/>
  <c r="C5664" i="2"/>
  <c r="D5664" i="2"/>
  <c r="F5664" i="2"/>
  <c r="G5664" i="2"/>
  <c r="H5664" i="2"/>
  <c r="J5664" i="2"/>
  <c r="K5664" i="2"/>
  <c r="L5664" i="2"/>
  <c r="C5665" i="2"/>
  <c r="D5665" i="2"/>
  <c r="F5665" i="2"/>
  <c r="G5665" i="2"/>
  <c r="H5665" i="2"/>
  <c r="J5665" i="2"/>
  <c r="K5665" i="2"/>
  <c r="L5665" i="2"/>
  <c r="C5666" i="2"/>
  <c r="D5666" i="2"/>
  <c r="F5666" i="2"/>
  <c r="G5666" i="2"/>
  <c r="H5666" i="2"/>
  <c r="J5666" i="2"/>
  <c r="K5666" i="2"/>
  <c r="L5666" i="2"/>
  <c r="C5667" i="2"/>
  <c r="D5667" i="2"/>
  <c r="F5667" i="2"/>
  <c r="G5667" i="2"/>
  <c r="H5667" i="2"/>
  <c r="J5667" i="2"/>
  <c r="K5667" i="2"/>
  <c r="L5667" i="2"/>
  <c r="C5668" i="2"/>
  <c r="D5668" i="2"/>
  <c r="F5668" i="2"/>
  <c r="G5668" i="2"/>
  <c r="H5668" i="2"/>
  <c r="J5668" i="2"/>
  <c r="K5668" i="2"/>
  <c r="L5668" i="2"/>
  <c r="C5669" i="2"/>
  <c r="D5669" i="2"/>
  <c r="F5669" i="2"/>
  <c r="G5669" i="2"/>
  <c r="H5669" i="2"/>
  <c r="J5669" i="2"/>
  <c r="K5669" i="2"/>
  <c r="L5669" i="2"/>
  <c r="C5670" i="2"/>
  <c r="D5670" i="2"/>
  <c r="F5670" i="2"/>
  <c r="G5670" i="2"/>
  <c r="H5670" i="2"/>
  <c r="J5670" i="2"/>
  <c r="K5670" i="2"/>
  <c r="L5670" i="2"/>
  <c r="C5671" i="2"/>
  <c r="D5671" i="2"/>
  <c r="F5671" i="2"/>
  <c r="G5671" i="2"/>
  <c r="H5671" i="2"/>
  <c r="J5671" i="2"/>
  <c r="K5671" i="2"/>
  <c r="L5671" i="2"/>
  <c r="C5672" i="2"/>
  <c r="D5672" i="2"/>
  <c r="F5672" i="2"/>
  <c r="G5672" i="2"/>
  <c r="H5672" i="2"/>
  <c r="J5672" i="2"/>
  <c r="K5672" i="2"/>
  <c r="L5672" i="2"/>
  <c r="C5673" i="2"/>
  <c r="D5673" i="2"/>
  <c r="F5673" i="2"/>
  <c r="G5673" i="2"/>
  <c r="H5673" i="2"/>
  <c r="J5673" i="2"/>
  <c r="K5673" i="2"/>
  <c r="L5673" i="2"/>
  <c r="C5674" i="2"/>
  <c r="D5674" i="2"/>
  <c r="F5674" i="2"/>
  <c r="G5674" i="2"/>
  <c r="H5674" i="2"/>
  <c r="J5674" i="2"/>
  <c r="K5674" i="2"/>
  <c r="L5674" i="2"/>
  <c r="C5675" i="2"/>
  <c r="D5675" i="2"/>
  <c r="F5675" i="2"/>
  <c r="G5675" i="2"/>
  <c r="H5675" i="2"/>
  <c r="J5675" i="2"/>
  <c r="K5675" i="2"/>
  <c r="L5675" i="2"/>
  <c r="C5676" i="2"/>
  <c r="D5676" i="2"/>
  <c r="F5676" i="2"/>
  <c r="G5676" i="2"/>
  <c r="H5676" i="2"/>
  <c r="J5676" i="2"/>
  <c r="K5676" i="2"/>
  <c r="L5676" i="2"/>
  <c r="C5677" i="2"/>
  <c r="D5677" i="2"/>
  <c r="F5677" i="2"/>
  <c r="G5677" i="2"/>
  <c r="H5677" i="2"/>
  <c r="J5677" i="2"/>
  <c r="K5677" i="2"/>
  <c r="L5677" i="2"/>
  <c r="C5678" i="2"/>
  <c r="D5678" i="2"/>
  <c r="F5678" i="2"/>
  <c r="G5678" i="2"/>
  <c r="H5678" i="2"/>
  <c r="J5678" i="2"/>
  <c r="K5678" i="2"/>
  <c r="L5678" i="2"/>
  <c r="C5679" i="2"/>
  <c r="D5679" i="2"/>
  <c r="F5679" i="2"/>
  <c r="G5679" i="2"/>
  <c r="H5679" i="2"/>
  <c r="J5679" i="2"/>
  <c r="K5679" i="2"/>
  <c r="L5679" i="2"/>
  <c r="C5680" i="2"/>
  <c r="D5680" i="2"/>
  <c r="F5680" i="2"/>
  <c r="G5680" i="2"/>
  <c r="H5680" i="2"/>
  <c r="J5680" i="2"/>
  <c r="K5680" i="2"/>
  <c r="L5680" i="2"/>
  <c r="C5681" i="2"/>
  <c r="D5681" i="2"/>
  <c r="F5681" i="2"/>
  <c r="G5681" i="2"/>
  <c r="H5681" i="2"/>
  <c r="J5681" i="2"/>
  <c r="K5681" i="2"/>
  <c r="L5681" i="2"/>
  <c r="C5682" i="2"/>
  <c r="D5682" i="2"/>
  <c r="F5682" i="2"/>
  <c r="G5682" i="2"/>
  <c r="H5682" i="2"/>
  <c r="J5682" i="2"/>
  <c r="K5682" i="2"/>
  <c r="L5682" i="2"/>
  <c r="C5683" i="2"/>
  <c r="D5683" i="2"/>
  <c r="F5683" i="2"/>
  <c r="G5683" i="2"/>
  <c r="H5683" i="2"/>
  <c r="J5683" i="2"/>
  <c r="K5683" i="2"/>
  <c r="L5683" i="2"/>
  <c r="C5684" i="2"/>
  <c r="D5684" i="2"/>
  <c r="F5684" i="2"/>
  <c r="G5684" i="2"/>
  <c r="H5684" i="2"/>
  <c r="J5684" i="2"/>
  <c r="K5684" i="2"/>
  <c r="L5684" i="2"/>
  <c r="C5685" i="2"/>
  <c r="D5685" i="2"/>
  <c r="F5685" i="2"/>
  <c r="G5685" i="2"/>
  <c r="H5685" i="2"/>
  <c r="J5685" i="2"/>
  <c r="K5685" i="2"/>
  <c r="L5685" i="2"/>
  <c r="C5686" i="2"/>
  <c r="D5686" i="2"/>
  <c r="F5686" i="2"/>
  <c r="G5686" i="2"/>
  <c r="H5686" i="2"/>
  <c r="J5686" i="2"/>
  <c r="K5686" i="2"/>
  <c r="L5686" i="2"/>
  <c r="C5687" i="2"/>
  <c r="D5687" i="2"/>
  <c r="F5687" i="2"/>
  <c r="G5687" i="2"/>
  <c r="H5687" i="2"/>
  <c r="J5687" i="2"/>
  <c r="K5687" i="2"/>
  <c r="L5687" i="2"/>
  <c r="C5688" i="2"/>
  <c r="D5688" i="2"/>
  <c r="F5688" i="2"/>
  <c r="G5688" i="2"/>
  <c r="H5688" i="2"/>
  <c r="J5688" i="2"/>
  <c r="K5688" i="2"/>
  <c r="L5688" i="2"/>
  <c r="C5689" i="2"/>
  <c r="D5689" i="2"/>
  <c r="F5689" i="2"/>
  <c r="G5689" i="2"/>
  <c r="H5689" i="2"/>
  <c r="J5689" i="2"/>
  <c r="K5689" i="2"/>
  <c r="L5689" i="2"/>
  <c r="C5690" i="2"/>
  <c r="D5690" i="2"/>
  <c r="F5690" i="2"/>
  <c r="G5690" i="2"/>
  <c r="H5690" i="2"/>
  <c r="J5690" i="2"/>
  <c r="K5690" i="2"/>
  <c r="L5690" i="2"/>
  <c r="C5691" i="2"/>
  <c r="D5691" i="2"/>
  <c r="F5691" i="2"/>
  <c r="G5691" i="2"/>
  <c r="H5691" i="2"/>
  <c r="J5691" i="2"/>
  <c r="K5691" i="2"/>
  <c r="L5691" i="2"/>
  <c r="C5692" i="2"/>
  <c r="D5692" i="2"/>
  <c r="F5692" i="2"/>
  <c r="G5692" i="2"/>
  <c r="H5692" i="2"/>
  <c r="J5692" i="2"/>
  <c r="K5692" i="2"/>
  <c r="L5692" i="2"/>
  <c r="C5693" i="2"/>
  <c r="D5693" i="2"/>
  <c r="F5693" i="2"/>
  <c r="G5693" i="2"/>
  <c r="H5693" i="2"/>
  <c r="J5693" i="2"/>
  <c r="K5693" i="2"/>
  <c r="L5693" i="2"/>
  <c r="C5694" i="2"/>
  <c r="D5694" i="2"/>
  <c r="F5694" i="2"/>
  <c r="G5694" i="2"/>
  <c r="H5694" i="2"/>
  <c r="J5694" i="2"/>
  <c r="K5694" i="2"/>
  <c r="L5694" i="2"/>
  <c r="C5695" i="2"/>
  <c r="D5695" i="2"/>
  <c r="F5695" i="2"/>
  <c r="G5695" i="2"/>
  <c r="H5695" i="2"/>
  <c r="J5695" i="2"/>
  <c r="K5695" i="2"/>
  <c r="L5695" i="2"/>
  <c r="C5696" i="2"/>
  <c r="D5696" i="2"/>
  <c r="F5696" i="2"/>
  <c r="G5696" i="2"/>
  <c r="H5696" i="2"/>
  <c r="J5696" i="2"/>
  <c r="K5696" i="2"/>
  <c r="L5696" i="2"/>
  <c r="C5697" i="2"/>
  <c r="D5697" i="2"/>
  <c r="F5697" i="2"/>
  <c r="G5697" i="2"/>
  <c r="H5697" i="2"/>
  <c r="J5697" i="2"/>
  <c r="K5697" i="2"/>
  <c r="L5697" i="2"/>
  <c r="C5698" i="2"/>
  <c r="D5698" i="2"/>
  <c r="F5698" i="2"/>
  <c r="G5698" i="2"/>
  <c r="H5698" i="2"/>
  <c r="J5698" i="2"/>
  <c r="K5698" i="2"/>
  <c r="L5698" i="2"/>
  <c r="C5699" i="2"/>
  <c r="D5699" i="2"/>
  <c r="F5699" i="2"/>
  <c r="G5699" i="2"/>
  <c r="H5699" i="2"/>
  <c r="J5699" i="2"/>
  <c r="K5699" i="2"/>
  <c r="L5699" i="2"/>
  <c r="C5700" i="2"/>
  <c r="D5700" i="2"/>
  <c r="F5700" i="2"/>
  <c r="G5700" i="2"/>
  <c r="H5700" i="2"/>
  <c r="J5700" i="2"/>
  <c r="K5700" i="2"/>
  <c r="L5700" i="2"/>
  <c r="C5701" i="2"/>
  <c r="D5701" i="2"/>
  <c r="F5701" i="2"/>
  <c r="G5701" i="2"/>
  <c r="H5701" i="2"/>
  <c r="J5701" i="2"/>
  <c r="K5701" i="2"/>
  <c r="L5701" i="2"/>
  <c r="C5702" i="2"/>
  <c r="D5702" i="2"/>
  <c r="F5702" i="2"/>
  <c r="G5702" i="2"/>
  <c r="H5702" i="2"/>
  <c r="J5702" i="2"/>
  <c r="K5702" i="2"/>
  <c r="L5702" i="2"/>
  <c r="C5703" i="2"/>
  <c r="D5703" i="2"/>
  <c r="F5703" i="2"/>
  <c r="G5703" i="2"/>
  <c r="H5703" i="2"/>
  <c r="J5703" i="2"/>
  <c r="K5703" i="2"/>
  <c r="L5703" i="2"/>
  <c r="C5704" i="2"/>
  <c r="D5704" i="2"/>
  <c r="F5704" i="2"/>
  <c r="G5704" i="2"/>
  <c r="H5704" i="2"/>
  <c r="J5704" i="2"/>
  <c r="K5704" i="2"/>
  <c r="L5704" i="2"/>
  <c r="C5705" i="2"/>
  <c r="D5705" i="2"/>
  <c r="F5705" i="2"/>
  <c r="G5705" i="2"/>
  <c r="H5705" i="2"/>
  <c r="J5705" i="2"/>
  <c r="K5705" i="2"/>
  <c r="L5705" i="2"/>
  <c r="C5706" i="2"/>
  <c r="D5706" i="2"/>
  <c r="F5706" i="2"/>
  <c r="G5706" i="2"/>
  <c r="H5706" i="2"/>
  <c r="J5706" i="2"/>
  <c r="K5706" i="2"/>
  <c r="L5706" i="2"/>
  <c r="C5707" i="2"/>
  <c r="D5707" i="2"/>
  <c r="F5707" i="2"/>
  <c r="G5707" i="2"/>
  <c r="H5707" i="2"/>
  <c r="J5707" i="2"/>
  <c r="K5707" i="2"/>
  <c r="L5707" i="2"/>
  <c r="C5708" i="2"/>
  <c r="D5708" i="2"/>
  <c r="F5708" i="2"/>
  <c r="G5708" i="2"/>
  <c r="H5708" i="2"/>
  <c r="J5708" i="2"/>
  <c r="K5708" i="2"/>
  <c r="L5708" i="2"/>
  <c r="C5709" i="2"/>
  <c r="D5709" i="2"/>
  <c r="F5709" i="2"/>
  <c r="G5709" i="2"/>
  <c r="H5709" i="2"/>
  <c r="J5709" i="2"/>
  <c r="K5709" i="2"/>
  <c r="L5709" i="2"/>
  <c r="C5710" i="2"/>
  <c r="D5710" i="2"/>
  <c r="F5710" i="2"/>
  <c r="G5710" i="2"/>
  <c r="H5710" i="2"/>
  <c r="J5710" i="2"/>
  <c r="K5710" i="2"/>
  <c r="L5710" i="2"/>
  <c r="C5711" i="2"/>
  <c r="D5711" i="2"/>
  <c r="F5711" i="2"/>
  <c r="G5711" i="2"/>
  <c r="H5711" i="2"/>
  <c r="J5711" i="2"/>
  <c r="K5711" i="2"/>
  <c r="L5711" i="2"/>
  <c r="C5712" i="2"/>
  <c r="D5712" i="2"/>
  <c r="F5712" i="2"/>
  <c r="G5712" i="2"/>
  <c r="H5712" i="2"/>
  <c r="J5712" i="2"/>
  <c r="K5712" i="2"/>
  <c r="L5712" i="2"/>
  <c r="C5713" i="2"/>
  <c r="D5713" i="2"/>
  <c r="F5713" i="2"/>
  <c r="G5713" i="2"/>
  <c r="H5713" i="2"/>
  <c r="J5713" i="2"/>
  <c r="K5713" i="2"/>
  <c r="L5713" i="2"/>
  <c r="C5714" i="2"/>
  <c r="D5714" i="2"/>
  <c r="F5714" i="2"/>
  <c r="G5714" i="2"/>
  <c r="H5714" i="2"/>
  <c r="J5714" i="2"/>
  <c r="K5714" i="2"/>
  <c r="L5714" i="2"/>
  <c r="C5715" i="2"/>
  <c r="D5715" i="2"/>
  <c r="F5715" i="2"/>
  <c r="G5715" i="2"/>
  <c r="H5715" i="2"/>
  <c r="J5715" i="2"/>
  <c r="K5715" i="2"/>
  <c r="L5715" i="2"/>
  <c r="C5716" i="2"/>
  <c r="D5716" i="2"/>
  <c r="F5716" i="2"/>
  <c r="G5716" i="2"/>
  <c r="H5716" i="2"/>
  <c r="J5716" i="2"/>
  <c r="K5716" i="2"/>
  <c r="L5716" i="2"/>
  <c r="C5717" i="2"/>
  <c r="D5717" i="2"/>
  <c r="F5717" i="2"/>
  <c r="G5717" i="2"/>
  <c r="H5717" i="2"/>
  <c r="J5717" i="2"/>
  <c r="K5717" i="2"/>
  <c r="L5717" i="2"/>
  <c r="C5718" i="2"/>
  <c r="D5718" i="2"/>
  <c r="F5718" i="2"/>
  <c r="G5718" i="2"/>
  <c r="H5718" i="2"/>
  <c r="J5718" i="2"/>
  <c r="K5718" i="2"/>
  <c r="L5718" i="2"/>
  <c r="C5719" i="2"/>
  <c r="D5719" i="2"/>
  <c r="F5719" i="2"/>
  <c r="G5719" i="2"/>
  <c r="H5719" i="2"/>
  <c r="J5719" i="2"/>
  <c r="K5719" i="2"/>
  <c r="L5719" i="2"/>
  <c r="C5720" i="2"/>
  <c r="D5720" i="2"/>
  <c r="F5720" i="2"/>
  <c r="G5720" i="2"/>
  <c r="H5720" i="2"/>
  <c r="J5720" i="2"/>
  <c r="K5720" i="2"/>
  <c r="L5720" i="2"/>
  <c r="C5721" i="2"/>
  <c r="D5721" i="2"/>
  <c r="F5721" i="2"/>
  <c r="G5721" i="2"/>
  <c r="H5721" i="2"/>
  <c r="J5721" i="2"/>
  <c r="K5721" i="2"/>
  <c r="L5721" i="2"/>
  <c r="C5722" i="2"/>
  <c r="D5722" i="2"/>
  <c r="F5722" i="2"/>
  <c r="G5722" i="2"/>
  <c r="H5722" i="2"/>
  <c r="J5722" i="2"/>
  <c r="K5722" i="2"/>
  <c r="L5722" i="2"/>
  <c r="C5723" i="2"/>
  <c r="D5723" i="2"/>
  <c r="F5723" i="2"/>
  <c r="G5723" i="2"/>
  <c r="H5723" i="2"/>
  <c r="J5723" i="2"/>
  <c r="K5723" i="2"/>
  <c r="L5723" i="2"/>
  <c r="C5724" i="2"/>
  <c r="D5724" i="2"/>
  <c r="F5724" i="2"/>
  <c r="G5724" i="2"/>
  <c r="H5724" i="2"/>
  <c r="J5724" i="2"/>
  <c r="K5724" i="2"/>
  <c r="L5724" i="2"/>
  <c r="C5725" i="2"/>
  <c r="D5725" i="2"/>
  <c r="F5725" i="2"/>
  <c r="G5725" i="2"/>
  <c r="H5725" i="2"/>
  <c r="J5725" i="2"/>
  <c r="K5725" i="2"/>
  <c r="L5725" i="2"/>
  <c r="C5726" i="2"/>
  <c r="D5726" i="2"/>
  <c r="F5726" i="2"/>
  <c r="G5726" i="2"/>
  <c r="H5726" i="2"/>
  <c r="J5726" i="2"/>
  <c r="K5726" i="2"/>
  <c r="L5726" i="2"/>
  <c r="C5727" i="2"/>
  <c r="D5727" i="2"/>
  <c r="F5727" i="2"/>
  <c r="G5727" i="2"/>
  <c r="H5727" i="2"/>
  <c r="J5727" i="2"/>
  <c r="K5727" i="2"/>
  <c r="L5727" i="2"/>
  <c r="C5728" i="2"/>
  <c r="D5728" i="2"/>
  <c r="F5728" i="2"/>
  <c r="G5728" i="2"/>
  <c r="H5728" i="2"/>
  <c r="J5728" i="2"/>
  <c r="K5728" i="2"/>
  <c r="L5728" i="2"/>
  <c r="C5729" i="2"/>
  <c r="D5729" i="2"/>
  <c r="F5729" i="2"/>
  <c r="G5729" i="2"/>
  <c r="H5729" i="2"/>
  <c r="J5729" i="2"/>
  <c r="K5729" i="2"/>
  <c r="L5729" i="2"/>
  <c r="C5730" i="2"/>
  <c r="D5730" i="2"/>
  <c r="F5730" i="2"/>
  <c r="G5730" i="2"/>
  <c r="H5730" i="2"/>
  <c r="J5730" i="2"/>
  <c r="K5730" i="2"/>
  <c r="L5730" i="2"/>
  <c r="C5731" i="2"/>
  <c r="D5731" i="2"/>
  <c r="F5731" i="2"/>
  <c r="G5731" i="2"/>
  <c r="H5731" i="2"/>
  <c r="J5731" i="2"/>
  <c r="K5731" i="2"/>
  <c r="L5731" i="2"/>
  <c r="C5732" i="2"/>
  <c r="D5732" i="2"/>
  <c r="F5732" i="2"/>
  <c r="G5732" i="2"/>
  <c r="H5732" i="2"/>
  <c r="J5732" i="2"/>
  <c r="K5732" i="2"/>
  <c r="L5732" i="2"/>
  <c r="C5733" i="2"/>
  <c r="D5733" i="2"/>
  <c r="F5733" i="2"/>
  <c r="G5733" i="2"/>
  <c r="H5733" i="2"/>
  <c r="J5733" i="2"/>
  <c r="K5733" i="2"/>
  <c r="L5733" i="2"/>
  <c r="C5734" i="2"/>
  <c r="D5734" i="2"/>
  <c r="F5734" i="2"/>
  <c r="G5734" i="2"/>
  <c r="H5734" i="2"/>
  <c r="J5734" i="2"/>
  <c r="K5734" i="2"/>
  <c r="L5734" i="2"/>
  <c r="C5735" i="2"/>
  <c r="D5735" i="2"/>
  <c r="F5735" i="2"/>
  <c r="G5735" i="2"/>
  <c r="H5735" i="2"/>
  <c r="J5735" i="2"/>
  <c r="K5735" i="2"/>
  <c r="L5735" i="2"/>
  <c r="C5736" i="2"/>
  <c r="D5736" i="2"/>
  <c r="F5736" i="2"/>
  <c r="G5736" i="2"/>
  <c r="H5736" i="2"/>
  <c r="J5736" i="2"/>
  <c r="K5736" i="2"/>
  <c r="L5736" i="2"/>
  <c r="C5737" i="2"/>
  <c r="D5737" i="2"/>
  <c r="F5737" i="2"/>
  <c r="G5737" i="2"/>
  <c r="H5737" i="2"/>
  <c r="J5737" i="2"/>
  <c r="K5737" i="2"/>
  <c r="L5737" i="2"/>
  <c r="C5738" i="2"/>
  <c r="D5738" i="2"/>
  <c r="F5738" i="2"/>
  <c r="G5738" i="2"/>
  <c r="H5738" i="2"/>
  <c r="J5738" i="2"/>
  <c r="K5738" i="2"/>
  <c r="L5738" i="2"/>
  <c r="C5739" i="2"/>
  <c r="D5739" i="2"/>
  <c r="F5739" i="2"/>
  <c r="G5739" i="2"/>
  <c r="H5739" i="2"/>
  <c r="J5739" i="2"/>
  <c r="K5739" i="2"/>
  <c r="L5739" i="2"/>
  <c r="C5740" i="2"/>
  <c r="D5740" i="2"/>
  <c r="F5740" i="2"/>
  <c r="G5740" i="2"/>
  <c r="H5740" i="2"/>
  <c r="J5740" i="2"/>
  <c r="K5740" i="2"/>
  <c r="L5740" i="2"/>
  <c r="C5741" i="2"/>
  <c r="D5741" i="2"/>
  <c r="F5741" i="2"/>
  <c r="G5741" i="2"/>
  <c r="H5741" i="2"/>
  <c r="J5741" i="2"/>
  <c r="K5741" i="2"/>
  <c r="L5741" i="2"/>
  <c r="C5742" i="2"/>
  <c r="D5742" i="2"/>
  <c r="F5742" i="2"/>
  <c r="G5742" i="2"/>
  <c r="H5742" i="2"/>
  <c r="J5742" i="2"/>
  <c r="K5742" i="2"/>
  <c r="L5742" i="2"/>
  <c r="C5743" i="2"/>
  <c r="D5743" i="2"/>
  <c r="F5743" i="2"/>
  <c r="G5743" i="2"/>
  <c r="H5743" i="2"/>
  <c r="J5743" i="2"/>
  <c r="K5743" i="2"/>
  <c r="L5743" i="2"/>
  <c r="C5744" i="2"/>
  <c r="D5744" i="2"/>
  <c r="F5744" i="2"/>
  <c r="G5744" i="2"/>
  <c r="H5744" i="2"/>
  <c r="J5744" i="2"/>
  <c r="K5744" i="2"/>
  <c r="L5744" i="2"/>
  <c r="C5745" i="2"/>
  <c r="D5745" i="2"/>
  <c r="F5745" i="2"/>
  <c r="G5745" i="2"/>
  <c r="H5745" i="2"/>
  <c r="J5745" i="2"/>
  <c r="K5745" i="2"/>
  <c r="L5745" i="2"/>
  <c r="C5746" i="2"/>
  <c r="D5746" i="2"/>
  <c r="F5746" i="2"/>
  <c r="G5746" i="2"/>
  <c r="H5746" i="2"/>
  <c r="J5746" i="2"/>
  <c r="K5746" i="2"/>
  <c r="L5746" i="2"/>
  <c r="C5747" i="2"/>
  <c r="D5747" i="2"/>
  <c r="F5747" i="2"/>
  <c r="G5747" i="2"/>
  <c r="H5747" i="2"/>
  <c r="J5747" i="2"/>
  <c r="K5747" i="2"/>
  <c r="L5747" i="2"/>
  <c r="C5748" i="2"/>
  <c r="D5748" i="2"/>
  <c r="F5748" i="2"/>
  <c r="G5748" i="2"/>
  <c r="H5748" i="2"/>
  <c r="J5748" i="2"/>
  <c r="K5748" i="2"/>
  <c r="L5748" i="2"/>
  <c r="C5749" i="2"/>
  <c r="D5749" i="2"/>
  <c r="F5749" i="2"/>
  <c r="G5749" i="2"/>
  <c r="H5749" i="2"/>
  <c r="J5749" i="2"/>
  <c r="K5749" i="2"/>
  <c r="L5749" i="2"/>
  <c r="C5750" i="2"/>
  <c r="D5750" i="2"/>
  <c r="F5750" i="2"/>
  <c r="G5750" i="2"/>
  <c r="H5750" i="2"/>
  <c r="J5750" i="2"/>
  <c r="K5750" i="2"/>
  <c r="L5750" i="2"/>
  <c r="C5751" i="2"/>
  <c r="D5751" i="2"/>
  <c r="F5751" i="2"/>
  <c r="G5751" i="2"/>
  <c r="H5751" i="2"/>
  <c r="J5751" i="2"/>
  <c r="K5751" i="2"/>
  <c r="L5751" i="2"/>
  <c r="C5752" i="2"/>
  <c r="D5752" i="2"/>
  <c r="F5752" i="2"/>
  <c r="G5752" i="2"/>
  <c r="H5752" i="2"/>
  <c r="J5752" i="2"/>
  <c r="K5752" i="2"/>
  <c r="L5752" i="2"/>
  <c r="C5753" i="2"/>
  <c r="D5753" i="2"/>
  <c r="F5753" i="2"/>
  <c r="G5753" i="2"/>
  <c r="H5753" i="2"/>
  <c r="J5753" i="2"/>
  <c r="K5753" i="2"/>
  <c r="L5753" i="2"/>
  <c r="C5754" i="2"/>
  <c r="D5754" i="2"/>
  <c r="F5754" i="2"/>
  <c r="G5754" i="2"/>
  <c r="H5754" i="2"/>
  <c r="J5754" i="2"/>
  <c r="K5754" i="2"/>
  <c r="L5754" i="2"/>
  <c r="C5755" i="2"/>
  <c r="D5755" i="2"/>
  <c r="F5755" i="2"/>
  <c r="G5755" i="2"/>
  <c r="H5755" i="2"/>
  <c r="J5755" i="2"/>
  <c r="K5755" i="2"/>
  <c r="L5755" i="2"/>
  <c r="C5756" i="2"/>
  <c r="D5756" i="2"/>
  <c r="F5756" i="2"/>
  <c r="G5756" i="2"/>
  <c r="H5756" i="2"/>
  <c r="J5756" i="2"/>
  <c r="K5756" i="2"/>
  <c r="L5756" i="2"/>
  <c r="C5757" i="2"/>
  <c r="D5757" i="2"/>
  <c r="F5757" i="2"/>
  <c r="G5757" i="2"/>
  <c r="H5757" i="2"/>
  <c r="J5757" i="2"/>
  <c r="K5757" i="2"/>
  <c r="L5757" i="2"/>
  <c r="C5758" i="2"/>
  <c r="D5758" i="2"/>
  <c r="F5758" i="2"/>
  <c r="G5758" i="2"/>
  <c r="H5758" i="2"/>
  <c r="J5758" i="2"/>
  <c r="K5758" i="2"/>
  <c r="L5758" i="2"/>
  <c r="C5759" i="2"/>
  <c r="D5759" i="2"/>
  <c r="F5759" i="2"/>
  <c r="G5759" i="2"/>
  <c r="H5759" i="2"/>
  <c r="J5759" i="2"/>
  <c r="K5759" i="2"/>
  <c r="L5759" i="2"/>
  <c r="C5760" i="2"/>
  <c r="D5760" i="2"/>
  <c r="F5760" i="2"/>
  <c r="G5760" i="2"/>
  <c r="H5760" i="2"/>
  <c r="J5760" i="2"/>
  <c r="K5760" i="2"/>
  <c r="L5760" i="2"/>
  <c r="C5761" i="2"/>
  <c r="D5761" i="2"/>
  <c r="F5761" i="2"/>
  <c r="G5761" i="2"/>
  <c r="H5761" i="2"/>
  <c r="J5761" i="2"/>
  <c r="K5761" i="2"/>
  <c r="L5761" i="2"/>
  <c r="C5762" i="2"/>
  <c r="D5762" i="2"/>
  <c r="F5762" i="2"/>
  <c r="G5762" i="2"/>
  <c r="H5762" i="2"/>
  <c r="J5762" i="2"/>
  <c r="K5762" i="2"/>
  <c r="L5762" i="2"/>
  <c r="C5763" i="2"/>
  <c r="D5763" i="2"/>
  <c r="F5763" i="2"/>
  <c r="G5763" i="2"/>
  <c r="H5763" i="2"/>
  <c r="J5763" i="2"/>
  <c r="K5763" i="2"/>
  <c r="L5763" i="2"/>
  <c r="C5764" i="2"/>
  <c r="D5764" i="2"/>
  <c r="F5764" i="2"/>
  <c r="G5764" i="2"/>
  <c r="H5764" i="2"/>
  <c r="J5764" i="2"/>
  <c r="K5764" i="2"/>
  <c r="L5764" i="2"/>
  <c r="C5765" i="2"/>
  <c r="D5765" i="2"/>
  <c r="F5765" i="2"/>
  <c r="G5765" i="2"/>
  <c r="H5765" i="2"/>
  <c r="J5765" i="2"/>
  <c r="K5765" i="2"/>
  <c r="L5765" i="2"/>
  <c r="C5766" i="2"/>
  <c r="D5766" i="2"/>
  <c r="F5766" i="2"/>
  <c r="G5766" i="2"/>
  <c r="H5766" i="2"/>
  <c r="J5766" i="2"/>
  <c r="K5766" i="2"/>
  <c r="L5766" i="2"/>
  <c r="C5767" i="2"/>
  <c r="D5767" i="2"/>
  <c r="F5767" i="2"/>
  <c r="G5767" i="2"/>
  <c r="H5767" i="2"/>
  <c r="J5767" i="2"/>
  <c r="K5767" i="2"/>
  <c r="L5767" i="2"/>
  <c r="C5768" i="2"/>
  <c r="D5768" i="2"/>
  <c r="F5768" i="2"/>
  <c r="G5768" i="2"/>
  <c r="H5768" i="2"/>
  <c r="J5768" i="2"/>
  <c r="K5768" i="2"/>
  <c r="L5768" i="2"/>
  <c r="C5769" i="2"/>
  <c r="D5769" i="2"/>
  <c r="F5769" i="2"/>
  <c r="G5769" i="2"/>
  <c r="H5769" i="2"/>
  <c r="J5769" i="2"/>
  <c r="K5769" i="2"/>
  <c r="L5769" i="2"/>
  <c r="C5770" i="2"/>
  <c r="D5770" i="2"/>
  <c r="F5770" i="2"/>
  <c r="G5770" i="2"/>
  <c r="H5770" i="2"/>
  <c r="J5770" i="2"/>
  <c r="K5770" i="2"/>
  <c r="L5770" i="2"/>
  <c r="C5771" i="2"/>
  <c r="D5771" i="2"/>
  <c r="F5771" i="2"/>
  <c r="G5771" i="2"/>
  <c r="H5771" i="2"/>
  <c r="J5771" i="2"/>
  <c r="K5771" i="2"/>
  <c r="L5771" i="2"/>
  <c r="C5772" i="2"/>
  <c r="D5772" i="2"/>
  <c r="F5772" i="2"/>
  <c r="G5772" i="2"/>
  <c r="H5772" i="2"/>
  <c r="J5772" i="2"/>
  <c r="K5772" i="2"/>
  <c r="L5772" i="2"/>
  <c r="C5773" i="2"/>
  <c r="D5773" i="2"/>
  <c r="F5773" i="2"/>
  <c r="G5773" i="2"/>
  <c r="H5773" i="2"/>
  <c r="J5773" i="2"/>
  <c r="K5773" i="2"/>
  <c r="L5773" i="2"/>
  <c r="C5774" i="2"/>
  <c r="D5774" i="2"/>
  <c r="F5774" i="2"/>
  <c r="G5774" i="2"/>
  <c r="H5774" i="2"/>
  <c r="J5774" i="2"/>
  <c r="K5774" i="2"/>
  <c r="L5774" i="2"/>
  <c r="C5775" i="2"/>
  <c r="D5775" i="2"/>
  <c r="F5775" i="2"/>
  <c r="G5775" i="2"/>
  <c r="H5775" i="2"/>
  <c r="J5775" i="2"/>
  <c r="K5775" i="2"/>
  <c r="L5775" i="2"/>
  <c r="C5776" i="2"/>
  <c r="D5776" i="2"/>
  <c r="F5776" i="2"/>
  <c r="G5776" i="2"/>
  <c r="H5776" i="2"/>
  <c r="J5776" i="2"/>
  <c r="K5776" i="2"/>
  <c r="L5776" i="2"/>
  <c r="C5777" i="2"/>
  <c r="D5777" i="2"/>
  <c r="F5777" i="2"/>
  <c r="G5777" i="2"/>
  <c r="H5777" i="2"/>
  <c r="J5777" i="2"/>
  <c r="K5777" i="2"/>
  <c r="L5777" i="2"/>
  <c r="C5778" i="2"/>
  <c r="D5778" i="2"/>
  <c r="F5778" i="2"/>
  <c r="G5778" i="2"/>
  <c r="H5778" i="2"/>
  <c r="J5778" i="2"/>
  <c r="K5778" i="2"/>
  <c r="L5778" i="2"/>
  <c r="C5779" i="2"/>
  <c r="D5779" i="2"/>
  <c r="F5779" i="2"/>
  <c r="G5779" i="2"/>
  <c r="H5779" i="2"/>
  <c r="J5779" i="2"/>
  <c r="K5779" i="2"/>
  <c r="L5779" i="2"/>
  <c r="C5780" i="2"/>
  <c r="D5780" i="2"/>
  <c r="F5780" i="2"/>
  <c r="G5780" i="2"/>
  <c r="H5780" i="2"/>
  <c r="J5780" i="2"/>
  <c r="K5780" i="2"/>
  <c r="L5780" i="2"/>
  <c r="C5781" i="2"/>
  <c r="D5781" i="2"/>
  <c r="F5781" i="2"/>
  <c r="G5781" i="2"/>
  <c r="H5781" i="2"/>
  <c r="J5781" i="2"/>
  <c r="K5781" i="2"/>
  <c r="L5781" i="2"/>
  <c r="C5782" i="2"/>
  <c r="D5782" i="2"/>
  <c r="F5782" i="2"/>
  <c r="G5782" i="2"/>
  <c r="H5782" i="2"/>
  <c r="J5782" i="2"/>
  <c r="K5782" i="2"/>
  <c r="L5782" i="2"/>
  <c r="C5783" i="2"/>
  <c r="D5783" i="2"/>
  <c r="F5783" i="2"/>
  <c r="G5783" i="2"/>
  <c r="H5783" i="2"/>
  <c r="J5783" i="2"/>
  <c r="K5783" i="2"/>
  <c r="L5783" i="2"/>
  <c r="C5784" i="2"/>
  <c r="D5784" i="2"/>
  <c r="F5784" i="2"/>
  <c r="G5784" i="2"/>
  <c r="H5784" i="2"/>
  <c r="J5784" i="2"/>
  <c r="K5784" i="2"/>
  <c r="L5784" i="2"/>
  <c r="C5785" i="2"/>
  <c r="D5785" i="2"/>
  <c r="F5785" i="2"/>
  <c r="G5785" i="2"/>
  <c r="H5785" i="2"/>
  <c r="J5785" i="2"/>
  <c r="K5785" i="2"/>
  <c r="L5785" i="2"/>
  <c r="C5786" i="2"/>
  <c r="D5786" i="2"/>
  <c r="F5786" i="2"/>
  <c r="G5786" i="2"/>
  <c r="H5786" i="2"/>
  <c r="J5786" i="2"/>
  <c r="K5786" i="2"/>
  <c r="L5786" i="2"/>
  <c r="C5787" i="2"/>
  <c r="D5787" i="2"/>
  <c r="F5787" i="2"/>
  <c r="G5787" i="2"/>
  <c r="H5787" i="2"/>
  <c r="J5787" i="2"/>
  <c r="K5787" i="2"/>
  <c r="L5787" i="2"/>
  <c r="C5788" i="2"/>
  <c r="D5788" i="2"/>
  <c r="F5788" i="2"/>
  <c r="G5788" i="2"/>
  <c r="H5788" i="2"/>
  <c r="J5788" i="2"/>
  <c r="K5788" i="2"/>
  <c r="L5788" i="2"/>
  <c r="C5789" i="2"/>
  <c r="D5789" i="2"/>
  <c r="F5789" i="2"/>
  <c r="G5789" i="2"/>
  <c r="H5789" i="2"/>
  <c r="J5789" i="2"/>
  <c r="K5789" i="2"/>
  <c r="L5789" i="2"/>
  <c r="C5790" i="2"/>
  <c r="D5790" i="2"/>
  <c r="F5790" i="2"/>
  <c r="G5790" i="2"/>
  <c r="H5790" i="2"/>
  <c r="J5790" i="2"/>
  <c r="K5790" i="2"/>
  <c r="L5790" i="2"/>
  <c r="C5791" i="2"/>
  <c r="D5791" i="2"/>
  <c r="F5791" i="2"/>
  <c r="G5791" i="2"/>
  <c r="H5791" i="2"/>
  <c r="J5791" i="2"/>
  <c r="K5791" i="2"/>
  <c r="L5791" i="2"/>
  <c r="C5792" i="2"/>
  <c r="D5792" i="2"/>
  <c r="F5792" i="2"/>
  <c r="G5792" i="2"/>
  <c r="H5792" i="2"/>
  <c r="J5792" i="2"/>
  <c r="K5792" i="2"/>
  <c r="L5792" i="2"/>
  <c r="C5793" i="2"/>
  <c r="D5793" i="2"/>
  <c r="F5793" i="2"/>
  <c r="G5793" i="2"/>
  <c r="H5793" i="2"/>
  <c r="J5793" i="2"/>
  <c r="K5793" i="2"/>
  <c r="L5793" i="2"/>
  <c r="C5794" i="2"/>
  <c r="D5794" i="2"/>
  <c r="F5794" i="2"/>
  <c r="G5794" i="2"/>
  <c r="H5794" i="2"/>
  <c r="J5794" i="2"/>
  <c r="K5794" i="2"/>
  <c r="L5794" i="2"/>
  <c r="C5795" i="2"/>
  <c r="D5795" i="2"/>
  <c r="F5795" i="2"/>
  <c r="G5795" i="2"/>
  <c r="H5795" i="2"/>
  <c r="J5795" i="2"/>
  <c r="K5795" i="2"/>
  <c r="L5795" i="2"/>
  <c r="C5796" i="2"/>
  <c r="D5796" i="2"/>
  <c r="F5796" i="2"/>
  <c r="G5796" i="2"/>
  <c r="H5796" i="2"/>
  <c r="J5796" i="2"/>
  <c r="K5796" i="2"/>
  <c r="L5796" i="2"/>
  <c r="C5797" i="2"/>
  <c r="D5797" i="2"/>
  <c r="F5797" i="2"/>
  <c r="G5797" i="2"/>
  <c r="H5797" i="2"/>
  <c r="J5797" i="2"/>
  <c r="K5797" i="2"/>
  <c r="L5797" i="2"/>
  <c r="C5798" i="2"/>
  <c r="D5798" i="2"/>
  <c r="F5798" i="2"/>
  <c r="G5798" i="2"/>
  <c r="H5798" i="2"/>
  <c r="J5798" i="2"/>
  <c r="K5798" i="2"/>
  <c r="L5798" i="2"/>
  <c r="C5799" i="2"/>
  <c r="D5799" i="2"/>
  <c r="F5799" i="2"/>
  <c r="G5799" i="2"/>
  <c r="H5799" i="2"/>
  <c r="J5799" i="2"/>
  <c r="K5799" i="2"/>
  <c r="L5799" i="2"/>
  <c r="C5800" i="2"/>
  <c r="D5800" i="2"/>
  <c r="F5800" i="2"/>
  <c r="G5800" i="2"/>
  <c r="H5800" i="2"/>
  <c r="J5800" i="2"/>
  <c r="K5800" i="2"/>
  <c r="L5800" i="2"/>
  <c r="C5801" i="2"/>
  <c r="D5801" i="2"/>
  <c r="F5801" i="2"/>
  <c r="G5801" i="2"/>
  <c r="H5801" i="2"/>
  <c r="J5801" i="2"/>
  <c r="K5801" i="2"/>
  <c r="L5801" i="2"/>
  <c r="C5802" i="2"/>
  <c r="D5802" i="2"/>
  <c r="F5802" i="2"/>
  <c r="G5802" i="2"/>
  <c r="H5802" i="2"/>
  <c r="J5802" i="2"/>
  <c r="K5802" i="2"/>
  <c r="L5802" i="2"/>
  <c r="C5803" i="2"/>
  <c r="D5803" i="2"/>
  <c r="F5803" i="2"/>
  <c r="G5803" i="2"/>
  <c r="H5803" i="2"/>
  <c r="J5803" i="2"/>
  <c r="K5803" i="2"/>
  <c r="L5803" i="2"/>
  <c r="C5804" i="2"/>
  <c r="D5804" i="2"/>
  <c r="F5804" i="2"/>
  <c r="G5804" i="2"/>
  <c r="H5804" i="2"/>
  <c r="J5804" i="2"/>
  <c r="K5804" i="2"/>
  <c r="L5804" i="2"/>
  <c r="C5805" i="2"/>
  <c r="D5805" i="2"/>
  <c r="F5805" i="2"/>
  <c r="G5805" i="2"/>
  <c r="H5805" i="2"/>
  <c r="J5805" i="2"/>
  <c r="K5805" i="2"/>
  <c r="L5805" i="2"/>
  <c r="C5806" i="2"/>
  <c r="D5806" i="2"/>
  <c r="F5806" i="2"/>
  <c r="G5806" i="2"/>
  <c r="H5806" i="2"/>
  <c r="J5806" i="2"/>
  <c r="K5806" i="2"/>
  <c r="L5806" i="2"/>
  <c r="C5807" i="2"/>
  <c r="D5807" i="2"/>
  <c r="F5807" i="2"/>
  <c r="G5807" i="2"/>
  <c r="H5807" i="2"/>
  <c r="J5807" i="2"/>
  <c r="K5807" i="2"/>
  <c r="L5807" i="2"/>
  <c r="C5808" i="2"/>
  <c r="D5808" i="2"/>
  <c r="F5808" i="2"/>
  <c r="G5808" i="2"/>
  <c r="H5808" i="2"/>
  <c r="J5808" i="2"/>
  <c r="K5808" i="2"/>
  <c r="L5808" i="2"/>
  <c r="C5809" i="2"/>
  <c r="D5809" i="2"/>
  <c r="F5809" i="2"/>
  <c r="G5809" i="2"/>
  <c r="H5809" i="2"/>
  <c r="J5809" i="2"/>
  <c r="K5809" i="2"/>
  <c r="L5809" i="2"/>
  <c r="C5810" i="2"/>
  <c r="D5810" i="2"/>
  <c r="F5810" i="2"/>
  <c r="G5810" i="2"/>
  <c r="H5810" i="2"/>
  <c r="J5810" i="2"/>
  <c r="K5810" i="2"/>
  <c r="L5810" i="2"/>
  <c r="C5811" i="2"/>
  <c r="D5811" i="2"/>
  <c r="F5811" i="2"/>
  <c r="G5811" i="2"/>
  <c r="H5811" i="2"/>
  <c r="J5811" i="2"/>
  <c r="K5811" i="2"/>
  <c r="L5811" i="2"/>
  <c r="C5812" i="2"/>
  <c r="D5812" i="2"/>
  <c r="F5812" i="2"/>
  <c r="G5812" i="2"/>
  <c r="H5812" i="2"/>
  <c r="J5812" i="2"/>
  <c r="K5812" i="2"/>
  <c r="L5812" i="2"/>
  <c r="C5813" i="2"/>
  <c r="D5813" i="2"/>
  <c r="F5813" i="2"/>
  <c r="G5813" i="2"/>
  <c r="H5813" i="2"/>
  <c r="J5813" i="2"/>
  <c r="K5813" i="2"/>
  <c r="L5813" i="2"/>
  <c r="C5814" i="2"/>
  <c r="D5814" i="2"/>
  <c r="F5814" i="2"/>
  <c r="G5814" i="2"/>
  <c r="H5814" i="2"/>
  <c r="J5814" i="2"/>
  <c r="K5814" i="2"/>
  <c r="L5814" i="2"/>
  <c r="C5815" i="2"/>
  <c r="D5815" i="2"/>
  <c r="F5815" i="2"/>
  <c r="G5815" i="2"/>
  <c r="H5815" i="2"/>
  <c r="J5815" i="2"/>
  <c r="K5815" i="2"/>
  <c r="L5815" i="2"/>
  <c r="C5816" i="2"/>
  <c r="D5816" i="2"/>
  <c r="F5816" i="2"/>
  <c r="G5816" i="2"/>
  <c r="H5816" i="2"/>
  <c r="J5816" i="2"/>
  <c r="K5816" i="2"/>
  <c r="L5816" i="2"/>
  <c r="C5817" i="2"/>
  <c r="D5817" i="2"/>
  <c r="F5817" i="2"/>
  <c r="G5817" i="2"/>
  <c r="H5817" i="2"/>
  <c r="J5817" i="2"/>
  <c r="K5817" i="2"/>
  <c r="L5817" i="2"/>
  <c r="C5818" i="2"/>
  <c r="D5818" i="2"/>
  <c r="F5818" i="2"/>
  <c r="G5818" i="2"/>
  <c r="H5818" i="2"/>
  <c r="J5818" i="2"/>
  <c r="K5818" i="2"/>
  <c r="L5818" i="2"/>
  <c r="C5819" i="2"/>
  <c r="D5819" i="2"/>
  <c r="F5819" i="2"/>
  <c r="G5819" i="2"/>
  <c r="H5819" i="2"/>
  <c r="J5819" i="2"/>
  <c r="K5819" i="2"/>
  <c r="L5819" i="2"/>
  <c r="C5820" i="2"/>
  <c r="D5820" i="2"/>
  <c r="F5820" i="2"/>
  <c r="G5820" i="2"/>
  <c r="H5820" i="2"/>
  <c r="J5820" i="2"/>
  <c r="K5820" i="2"/>
  <c r="L5820" i="2"/>
  <c r="C5821" i="2"/>
  <c r="D5821" i="2"/>
  <c r="F5821" i="2"/>
  <c r="G5821" i="2"/>
  <c r="H5821" i="2"/>
  <c r="J5821" i="2"/>
  <c r="K5821" i="2"/>
  <c r="L5821" i="2"/>
  <c r="C5822" i="2"/>
  <c r="D5822" i="2"/>
  <c r="F5822" i="2"/>
  <c r="G5822" i="2"/>
  <c r="H5822" i="2"/>
  <c r="J5822" i="2"/>
  <c r="K5822" i="2"/>
  <c r="L5822" i="2"/>
  <c r="C5823" i="2"/>
  <c r="D5823" i="2"/>
  <c r="F5823" i="2"/>
  <c r="G5823" i="2"/>
  <c r="H5823" i="2"/>
  <c r="J5823" i="2"/>
  <c r="K5823" i="2"/>
  <c r="L5823" i="2"/>
  <c r="C5824" i="2"/>
  <c r="D5824" i="2"/>
  <c r="F5824" i="2"/>
  <c r="G5824" i="2"/>
  <c r="H5824" i="2"/>
  <c r="J5824" i="2"/>
  <c r="K5824" i="2"/>
  <c r="L5824" i="2"/>
  <c r="C5825" i="2"/>
  <c r="D5825" i="2"/>
  <c r="F5825" i="2"/>
  <c r="G5825" i="2"/>
  <c r="H5825" i="2"/>
  <c r="J5825" i="2"/>
  <c r="K5825" i="2"/>
  <c r="L5825" i="2"/>
  <c r="C5826" i="2"/>
  <c r="D5826" i="2"/>
  <c r="F5826" i="2"/>
  <c r="G5826" i="2"/>
  <c r="H5826" i="2"/>
  <c r="J5826" i="2"/>
  <c r="K5826" i="2"/>
  <c r="L5826" i="2"/>
  <c r="C5827" i="2"/>
  <c r="D5827" i="2"/>
  <c r="F5827" i="2"/>
  <c r="G5827" i="2"/>
  <c r="H5827" i="2"/>
  <c r="J5827" i="2"/>
  <c r="K5827" i="2"/>
  <c r="L5827" i="2"/>
  <c r="C5828" i="2"/>
  <c r="D5828" i="2"/>
  <c r="F5828" i="2"/>
  <c r="G5828" i="2"/>
  <c r="H5828" i="2"/>
  <c r="J5828" i="2"/>
  <c r="K5828" i="2"/>
  <c r="L5828" i="2"/>
  <c r="C5829" i="2"/>
  <c r="D5829" i="2"/>
  <c r="F5829" i="2"/>
  <c r="G5829" i="2"/>
  <c r="H5829" i="2"/>
  <c r="J5829" i="2"/>
  <c r="K5829" i="2"/>
  <c r="L5829" i="2"/>
  <c r="C5830" i="2"/>
  <c r="D5830" i="2"/>
  <c r="F5830" i="2"/>
  <c r="G5830" i="2"/>
  <c r="H5830" i="2"/>
  <c r="J5830" i="2"/>
  <c r="K5830" i="2"/>
  <c r="L5830" i="2"/>
  <c r="C5831" i="2"/>
  <c r="D5831" i="2"/>
  <c r="F5831" i="2"/>
  <c r="G5831" i="2"/>
  <c r="H5831" i="2"/>
  <c r="J5831" i="2"/>
  <c r="K5831" i="2"/>
  <c r="L5831" i="2"/>
  <c r="C5832" i="2"/>
  <c r="D5832" i="2"/>
  <c r="F5832" i="2"/>
  <c r="G5832" i="2"/>
  <c r="H5832" i="2"/>
  <c r="J5832" i="2"/>
  <c r="K5832" i="2"/>
  <c r="L5832" i="2"/>
  <c r="C5833" i="2"/>
  <c r="D5833" i="2"/>
  <c r="F5833" i="2"/>
  <c r="G5833" i="2"/>
  <c r="H5833" i="2"/>
  <c r="J5833" i="2"/>
  <c r="K5833" i="2"/>
  <c r="L5833" i="2"/>
  <c r="C5834" i="2"/>
  <c r="D5834" i="2"/>
  <c r="F5834" i="2"/>
  <c r="G5834" i="2"/>
  <c r="H5834" i="2"/>
  <c r="J5834" i="2"/>
  <c r="K5834" i="2"/>
  <c r="L5834" i="2"/>
  <c r="C5835" i="2"/>
  <c r="D5835" i="2"/>
  <c r="F5835" i="2"/>
  <c r="G5835" i="2"/>
  <c r="H5835" i="2"/>
  <c r="J5835" i="2"/>
  <c r="K5835" i="2"/>
  <c r="L5835" i="2"/>
  <c r="C5836" i="2"/>
  <c r="D5836" i="2"/>
  <c r="F5836" i="2"/>
  <c r="G5836" i="2"/>
  <c r="H5836" i="2"/>
  <c r="J5836" i="2"/>
  <c r="K5836" i="2"/>
  <c r="L5836" i="2"/>
  <c r="C5837" i="2"/>
  <c r="D5837" i="2"/>
  <c r="F5837" i="2"/>
  <c r="G5837" i="2"/>
  <c r="H5837" i="2"/>
  <c r="J5837" i="2"/>
  <c r="K5837" i="2"/>
  <c r="L5837" i="2"/>
  <c r="C5838" i="2"/>
  <c r="D5838" i="2"/>
  <c r="F5838" i="2"/>
  <c r="G5838" i="2"/>
  <c r="H5838" i="2"/>
  <c r="J5838" i="2"/>
  <c r="K5838" i="2"/>
  <c r="L5838" i="2"/>
  <c r="C5839" i="2"/>
  <c r="D5839" i="2"/>
  <c r="F5839" i="2"/>
  <c r="G5839" i="2"/>
  <c r="H5839" i="2"/>
  <c r="J5839" i="2"/>
  <c r="K5839" i="2"/>
  <c r="L5839" i="2"/>
  <c r="C5840" i="2"/>
  <c r="D5840" i="2"/>
  <c r="F5840" i="2"/>
  <c r="G5840" i="2"/>
  <c r="H5840" i="2"/>
  <c r="J5840" i="2"/>
  <c r="K5840" i="2"/>
  <c r="L5840" i="2"/>
  <c r="C5841" i="2"/>
  <c r="D5841" i="2"/>
  <c r="F5841" i="2"/>
  <c r="G5841" i="2"/>
  <c r="H5841" i="2"/>
  <c r="J5841" i="2"/>
  <c r="K5841" i="2"/>
  <c r="L5841" i="2"/>
  <c r="C5842" i="2"/>
  <c r="D5842" i="2"/>
  <c r="F5842" i="2"/>
  <c r="G5842" i="2"/>
  <c r="H5842" i="2"/>
  <c r="J5842" i="2"/>
  <c r="K5842" i="2"/>
  <c r="L5842" i="2"/>
  <c r="C5843" i="2"/>
  <c r="D5843" i="2"/>
  <c r="F5843" i="2"/>
  <c r="G5843" i="2"/>
  <c r="H5843" i="2"/>
  <c r="J5843" i="2"/>
  <c r="K5843" i="2"/>
  <c r="L5843" i="2"/>
  <c r="C5844" i="2"/>
  <c r="D5844" i="2"/>
  <c r="F5844" i="2"/>
  <c r="G5844" i="2"/>
  <c r="H5844" i="2"/>
  <c r="J5844" i="2"/>
  <c r="K5844" i="2"/>
  <c r="L5844" i="2"/>
  <c r="C5845" i="2"/>
  <c r="D5845" i="2"/>
  <c r="F5845" i="2"/>
  <c r="G5845" i="2"/>
  <c r="H5845" i="2"/>
  <c r="J5845" i="2"/>
  <c r="K5845" i="2"/>
  <c r="L5845" i="2"/>
  <c r="C5846" i="2"/>
  <c r="D5846" i="2"/>
  <c r="F5846" i="2"/>
  <c r="G5846" i="2"/>
  <c r="H5846" i="2"/>
  <c r="J5846" i="2"/>
  <c r="K5846" i="2"/>
  <c r="L5846" i="2"/>
  <c r="C5847" i="2"/>
  <c r="D5847" i="2"/>
  <c r="F5847" i="2"/>
  <c r="G5847" i="2"/>
  <c r="H5847" i="2"/>
  <c r="J5847" i="2"/>
  <c r="K5847" i="2"/>
  <c r="L5847" i="2"/>
  <c r="C5848" i="2"/>
  <c r="D5848" i="2"/>
  <c r="F5848" i="2"/>
  <c r="G5848" i="2"/>
  <c r="H5848" i="2"/>
  <c r="J5848" i="2"/>
  <c r="K5848" i="2"/>
  <c r="L5848" i="2"/>
  <c r="C5849" i="2"/>
  <c r="D5849" i="2"/>
  <c r="F5849" i="2"/>
  <c r="G5849" i="2"/>
  <c r="H5849" i="2"/>
  <c r="J5849" i="2"/>
  <c r="K5849" i="2"/>
  <c r="L5849" i="2"/>
  <c r="C5850" i="2"/>
  <c r="D5850" i="2"/>
  <c r="F5850" i="2"/>
  <c r="G5850" i="2"/>
  <c r="H5850" i="2"/>
  <c r="J5850" i="2"/>
  <c r="K5850" i="2"/>
  <c r="L5850" i="2"/>
  <c r="C5851" i="2"/>
  <c r="D5851" i="2"/>
  <c r="F5851" i="2"/>
  <c r="G5851" i="2"/>
  <c r="H5851" i="2"/>
  <c r="J5851" i="2"/>
  <c r="K5851" i="2"/>
  <c r="L5851" i="2"/>
  <c r="C5852" i="2"/>
  <c r="D5852" i="2"/>
  <c r="F5852" i="2"/>
  <c r="G5852" i="2"/>
  <c r="H5852" i="2"/>
  <c r="J5852" i="2"/>
  <c r="K5852" i="2"/>
  <c r="L5852" i="2"/>
  <c r="C5853" i="2"/>
  <c r="D5853" i="2"/>
  <c r="F5853" i="2"/>
  <c r="G5853" i="2"/>
  <c r="H5853" i="2"/>
  <c r="J5853" i="2"/>
  <c r="K5853" i="2"/>
  <c r="L5853" i="2"/>
  <c r="C5854" i="2"/>
  <c r="D5854" i="2"/>
  <c r="F5854" i="2"/>
  <c r="G5854" i="2"/>
  <c r="H5854" i="2"/>
  <c r="J5854" i="2"/>
  <c r="K5854" i="2"/>
  <c r="L5854" i="2"/>
  <c r="C5855" i="2"/>
  <c r="D5855" i="2"/>
  <c r="F5855" i="2"/>
  <c r="G5855" i="2"/>
  <c r="H5855" i="2"/>
  <c r="J5855" i="2"/>
  <c r="K5855" i="2"/>
  <c r="L5855" i="2"/>
  <c r="C5856" i="2"/>
  <c r="D5856" i="2"/>
  <c r="F5856" i="2"/>
  <c r="G5856" i="2"/>
  <c r="H5856" i="2"/>
  <c r="J5856" i="2"/>
  <c r="K5856" i="2"/>
  <c r="L5856" i="2"/>
  <c r="C5857" i="2"/>
  <c r="D5857" i="2"/>
  <c r="F5857" i="2"/>
  <c r="G5857" i="2"/>
  <c r="H5857" i="2"/>
  <c r="J5857" i="2"/>
  <c r="K5857" i="2"/>
  <c r="L5857" i="2"/>
  <c r="C5858" i="2"/>
  <c r="D5858" i="2"/>
  <c r="F5858" i="2"/>
  <c r="G5858" i="2"/>
  <c r="H5858" i="2"/>
  <c r="J5858" i="2"/>
  <c r="K5858" i="2"/>
  <c r="L5858" i="2"/>
  <c r="C5859" i="2"/>
  <c r="D5859" i="2"/>
  <c r="F5859" i="2"/>
  <c r="G5859" i="2"/>
  <c r="H5859" i="2"/>
  <c r="J5859" i="2"/>
  <c r="K5859" i="2"/>
  <c r="L5859" i="2"/>
  <c r="C5860" i="2"/>
  <c r="D5860" i="2"/>
  <c r="F5860" i="2"/>
  <c r="G5860" i="2"/>
  <c r="H5860" i="2"/>
  <c r="J5860" i="2"/>
  <c r="K5860" i="2"/>
  <c r="L5860" i="2"/>
  <c r="C5861" i="2"/>
  <c r="D5861" i="2"/>
  <c r="F5861" i="2"/>
  <c r="G5861" i="2"/>
  <c r="H5861" i="2"/>
  <c r="J5861" i="2"/>
  <c r="K5861" i="2"/>
  <c r="L5861" i="2"/>
  <c r="C5862" i="2"/>
  <c r="D5862" i="2"/>
  <c r="F5862" i="2"/>
  <c r="G5862" i="2"/>
  <c r="H5862" i="2"/>
  <c r="J5862" i="2"/>
  <c r="K5862" i="2"/>
  <c r="L5862" i="2"/>
  <c r="C5863" i="2"/>
  <c r="D5863" i="2"/>
  <c r="F5863" i="2"/>
  <c r="G5863" i="2"/>
  <c r="H5863" i="2"/>
  <c r="J5863" i="2"/>
  <c r="K5863" i="2"/>
  <c r="L5863" i="2"/>
  <c r="C5864" i="2"/>
  <c r="D5864" i="2"/>
  <c r="F5864" i="2"/>
  <c r="G5864" i="2"/>
  <c r="H5864" i="2"/>
  <c r="J5864" i="2"/>
  <c r="K5864" i="2"/>
  <c r="L5864" i="2"/>
  <c r="C5865" i="2"/>
  <c r="D5865" i="2"/>
  <c r="F5865" i="2"/>
  <c r="G5865" i="2"/>
  <c r="H5865" i="2"/>
  <c r="J5865" i="2"/>
  <c r="K5865" i="2"/>
  <c r="L5865" i="2"/>
  <c r="C5866" i="2"/>
  <c r="D5866" i="2"/>
  <c r="F5866" i="2"/>
  <c r="G5866" i="2"/>
  <c r="H5866" i="2"/>
  <c r="J5866" i="2"/>
  <c r="K5866" i="2"/>
  <c r="L5866" i="2"/>
  <c r="C5867" i="2"/>
  <c r="D5867" i="2"/>
  <c r="F5867" i="2"/>
  <c r="G5867" i="2"/>
  <c r="H5867" i="2"/>
  <c r="J5867" i="2"/>
  <c r="K5867" i="2"/>
  <c r="L5867" i="2"/>
  <c r="C5868" i="2"/>
  <c r="D5868" i="2"/>
  <c r="F5868" i="2"/>
  <c r="G5868" i="2"/>
  <c r="H5868" i="2"/>
  <c r="J5868" i="2"/>
  <c r="K5868" i="2"/>
  <c r="L5868" i="2"/>
  <c r="C5869" i="2"/>
  <c r="D5869" i="2"/>
  <c r="F5869" i="2"/>
  <c r="G5869" i="2"/>
  <c r="H5869" i="2"/>
  <c r="J5869" i="2"/>
  <c r="K5869" i="2"/>
  <c r="L5869" i="2"/>
  <c r="C5870" i="2"/>
  <c r="D5870" i="2"/>
  <c r="F5870" i="2"/>
  <c r="G5870" i="2"/>
  <c r="H5870" i="2"/>
  <c r="J5870" i="2"/>
  <c r="K5870" i="2"/>
  <c r="L5870" i="2"/>
  <c r="C5871" i="2"/>
  <c r="D5871" i="2"/>
  <c r="F5871" i="2"/>
  <c r="G5871" i="2"/>
  <c r="H5871" i="2"/>
  <c r="J5871" i="2"/>
  <c r="K5871" i="2"/>
  <c r="L5871" i="2"/>
  <c r="C5872" i="2"/>
  <c r="D5872" i="2"/>
  <c r="F5872" i="2"/>
  <c r="G5872" i="2"/>
  <c r="H5872" i="2"/>
  <c r="J5872" i="2"/>
  <c r="K5872" i="2"/>
  <c r="L5872" i="2"/>
  <c r="C5873" i="2"/>
  <c r="D5873" i="2"/>
  <c r="F5873" i="2"/>
  <c r="G5873" i="2"/>
  <c r="H5873" i="2"/>
  <c r="J5873" i="2"/>
  <c r="K5873" i="2"/>
  <c r="L5873" i="2"/>
  <c r="C5874" i="2"/>
  <c r="D5874" i="2"/>
  <c r="F5874" i="2"/>
  <c r="G5874" i="2"/>
  <c r="H5874" i="2"/>
  <c r="J5874" i="2"/>
  <c r="K5874" i="2"/>
  <c r="L5874" i="2"/>
  <c r="C5875" i="2"/>
  <c r="D5875" i="2"/>
  <c r="F5875" i="2"/>
  <c r="G5875" i="2"/>
  <c r="H5875" i="2"/>
  <c r="J5875" i="2"/>
  <c r="K5875" i="2"/>
  <c r="L5875" i="2"/>
  <c r="C5876" i="2"/>
  <c r="D5876" i="2"/>
  <c r="F5876" i="2"/>
  <c r="G5876" i="2"/>
  <c r="H5876" i="2"/>
  <c r="J5876" i="2"/>
  <c r="K5876" i="2"/>
  <c r="L5876" i="2"/>
  <c r="C5877" i="2"/>
  <c r="D5877" i="2"/>
  <c r="F5877" i="2"/>
  <c r="G5877" i="2"/>
  <c r="H5877" i="2"/>
  <c r="J5877" i="2"/>
  <c r="K5877" i="2"/>
  <c r="L5877" i="2"/>
  <c r="C5878" i="2"/>
  <c r="D5878" i="2"/>
  <c r="F5878" i="2"/>
  <c r="G5878" i="2"/>
  <c r="H5878" i="2"/>
  <c r="J5878" i="2"/>
  <c r="K5878" i="2"/>
  <c r="L5878" i="2"/>
  <c r="C5879" i="2"/>
  <c r="D5879" i="2"/>
  <c r="F5879" i="2"/>
  <c r="G5879" i="2"/>
  <c r="H5879" i="2"/>
  <c r="J5879" i="2"/>
  <c r="K5879" i="2"/>
  <c r="L5879" i="2"/>
  <c r="C5880" i="2"/>
  <c r="D5880" i="2"/>
  <c r="F5880" i="2"/>
  <c r="G5880" i="2"/>
  <c r="H5880" i="2"/>
  <c r="J5880" i="2"/>
  <c r="K5880" i="2"/>
  <c r="L5880" i="2"/>
  <c r="C5881" i="2"/>
  <c r="D5881" i="2"/>
  <c r="F5881" i="2"/>
  <c r="G5881" i="2"/>
  <c r="H5881" i="2"/>
  <c r="J5881" i="2"/>
  <c r="K5881" i="2"/>
  <c r="L5881" i="2"/>
  <c r="C5882" i="2"/>
  <c r="D5882" i="2"/>
  <c r="F5882" i="2"/>
  <c r="G5882" i="2"/>
  <c r="H5882" i="2"/>
  <c r="J5882" i="2"/>
  <c r="K5882" i="2"/>
  <c r="L5882" i="2"/>
  <c r="C5883" i="2"/>
  <c r="D5883" i="2"/>
  <c r="F5883" i="2"/>
  <c r="G5883" i="2"/>
  <c r="H5883" i="2"/>
  <c r="J5883" i="2"/>
  <c r="K5883" i="2"/>
  <c r="L5883" i="2"/>
  <c r="C5884" i="2"/>
  <c r="D5884" i="2"/>
  <c r="F5884" i="2"/>
  <c r="G5884" i="2"/>
  <c r="H5884" i="2"/>
  <c r="J5884" i="2"/>
  <c r="K5884" i="2"/>
  <c r="L5884" i="2"/>
  <c r="C5885" i="2"/>
  <c r="D5885" i="2"/>
  <c r="F5885" i="2"/>
  <c r="G5885" i="2"/>
  <c r="H5885" i="2"/>
  <c r="J5885" i="2"/>
  <c r="K5885" i="2"/>
  <c r="L5885" i="2"/>
  <c r="C5886" i="2"/>
  <c r="D5886" i="2"/>
  <c r="F5886" i="2"/>
  <c r="G5886" i="2"/>
  <c r="H5886" i="2"/>
  <c r="J5886" i="2"/>
  <c r="K5886" i="2"/>
  <c r="L5886" i="2"/>
  <c r="C5887" i="2"/>
  <c r="D5887" i="2"/>
  <c r="F5887" i="2"/>
  <c r="G5887" i="2"/>
  <c r="H5887" i="2"/>
  <c r="J5887" i="2"/>
  <c r="K5887" i="2"/>
  <c r="L5887" i="2"/>
  <c r="C5888" i="2"/>
  <c r="D5888" i="2"/>
  <c r="F5888" i="2"/>
  <c r="G5888" i="2"/>
  <c r="H5888" i="2"/>
  <c r="J5888" i="2"/>
  <c r="K5888" i="2"/>
  <c r="L5888" i="2"/>
  <c r="C5889" i="2"/>
  <c r="D5889" i="2"/>
  <c r="F5889" i="2"/>
  <c r="G5889" i="2"/>
  <c r="H5889" i="2"/>
  <c r="J5889" i="2"/>
  <c r="K5889" i="2"/>
  <c r="L5889" i="2"/>
  <c r="C5890" i="2"/>
  <c r="D5890" i="2"/>
  <c r="F5890" i="2"/>
  <c r="G5890" i="2"/>
  <c r="H5890" i="2"/>
  <c r="J5890" i="2"/>
  <c r="K5890" i="2"/>
  <c r="L5890" i="2"/>
  <c r="C5891" i="2"/>
  <c r="D5891" i="2"/>
  <c r="F5891" i="2"/>
  <c r="G5891" i="2"/>
  <c r="H5891" i="2"/>
  <c r="J5891" i="2"/>
  <c r="K5891" i="2"/>
  <c r="L5891" i="2"/>
  <c r="C5892" i="2"/>
  <c r="D5892" i="2"/>
  <c r="F5892" i="2"/>
  <c r="G5892" i="2"/>
  <c r="H5892" i="2"/>
  <c r="J5892" i="2"/>
  <c r="K5892" i="2"/>
  <c r="L5892" i="2"/>
  <c r="C5893" i="2"/>
  <c r="D5893" i="2"/>
  <c r="F5893" i="2"/>
  <c r="G5893" i="2"/>
  <c r="H5893" i="2"/>
  <c r="J5893" i="2"/>
  <c r="K5893" i="2"/>
  <c r="L5893" i="2"/>
  <c r="C5894" i="2"/>
  <c r="D5894" i="2"/>
  <c r="F5894" i="2"/>
  <c r="G5894" i="2"/>
  <c r="H5894" i="2"/>
  <c r="J5894" i="2"/>
  <c r="K5894" i="2"/>
  <c r="L5894" i="2"/>
  <c r="C5895" i="2"/>
  <c r="D5895" i="2"/>
  <c r="F5895" i="2"/>
  <c r="G5895" i="2"/>
  <c r="H5895" i="2"/>
  <c r="J5895" i="2"/>
  <c r="K5895" i="2"/>
  <c r="L5895" i="2"/>
  <c r="C5896" i="2"/>
  <c r="D5896" i="2"/>
  <c r="F5896" i="2"/>
  <c r="G5896" i="2"/>
  <c r="H5896" i="2"/>
  <c r="J5896" i="2"/>
  <c r="K5896" i="2"/>
  <c r="L5896" i="2"/>
  <c r="C5897" i="2"/>
  <c r="D5897" i="2"/>
  <c r="F5897" i="2"/>
  <c r="G5897" i="2"/>
  <c r="H5897" i="2"/>
  <c r="J5897" i="2"/>
  <c r="K5897" i="2"/>
  <c r="L5897" i="2"/>
  <c r="C5898" i="2"/>
  <c r="D5898" i="2"/>
  <c r="F5898" i="2"/>
  <c r="G5898" i="2"/>
  <c r="H5898" i="2"/>
  <c r="J5898" i="2"/>
  <c r="K5898" i="2"/>
  <c r="L5898" i="2"/>
  <c r="C5899" i="2"/>
  <c r="D5899" i="2"/>
  <c r="F5899" i="2"/>
  <c r="G5899" i="2"/>
  <c r="H5899" i="2"/>
  <c r="J5899" i="2"/>
  <c r="K5899" i="2"/>
  <c r="L5899" i="2"/>
  <c r="C5900" i="2"/>
  <c r="D5900" i="2"/>
  <c r="F5900" i="2"/>
  <c r="G5900" i="2"/>
  <c r="H5900" i="2"/>
  <c r="J5900" i="2"/>
  <c r="K5900" i="2"/>
  <c r="L5900" i="2"/>
  <c r="C5901" i="2"/>
  <c r="D5901" i="2"/>
  <c r="F5901" i="2"/>
  <c r="G5901" i="2"/>
  <c r="H5901" i="2"/>
  <c r="J5901" i="2"/>
  <c r="K5901" i="2"/>
  <c r="L5901" i="2"/>
  <c r="C5902" i="2"/>
  <c r="D5902" i="2"/>
  <c r="F5902" i="2"/>
  <c r="G5902" i="2"/>
  <c r="H5902" i="2"/>
  <c r="J5902" i="2"/>
  <c r="K5902" i="2"/>
  <c r="L5902" i="2"/>
  <c r="C5903" i="2"/>
  <c r="D5903" i="2"/>
  <c r="F5903" i="2"/>
  <c r="G5903" i="2"/>
  <c r="H5903" i="2"/>
  <c r="J5903" i="2"/>
  <c r="K5903" i="2"/>
  <c r="L5903" i="2"/>
  <c r="C5904" i="2"/>
  <c r="D5904" i="2"/>
  <c r="F5904" i="2"/>
  <c r="G5904" i="2"/>
  <c r="H5904" i="2"/>
  <c r="J5904" i="2"/>
  <c r="K5904" i="2"/>
  <c r="L5904" i="2"/>
  <c r="C5905" i="2"/>
  <c r="D5905" i="2"/>
  <c r="F5905" i="2"/>
  <c r="G5905" i="2"/>
  <c r="H5905" i="2"/>
  <c r="J5905" i="2"/>
  <c r="K5905" i="2"/>
  <c r="L5905" i="2"/>
  <c r="C5906" i="2"/>
  <c r="D5906" i="2"/>
  <c r="F5906" i="2"/>
  <c r="G5906" i="2"/>
  <c r="H5906" i="2"/>
  <c r="J5906" i="2"/>
  <c r="K5906" i="2"/>
  <c r="L5906" i="2"/>
  <c r="C5907" i="2"/>
  <c r="D5907" i="2"/>
  <c r="F5907" i="2"/>
  <c r="G5907" i="2"/>
  <c r="H5907" i="2"/>
  <c r="J5907" i="2"/>
  <c r="K5907" i="2"/>
  <c r="L5907" i="2"/>
  <c r="C5908" i="2"/>
  <c r="D5908" i="2"/>
  <c r="F5908" i="2"/>
  <c r="G5908" i="2"/>
  <c r="H5908" i="2"/>
  <c r="J5908" i="2"/>
  <c r="K5908" i="2"/>
  <c r="L5908" i="2"/>
  <c r="C5909" i="2"/>
  <c r="D5909" i="2"/>
  <c r="F5909" i="2"/>
  <c r="G5909" i="2"/>
  <c r="H5909" i="2"/>
  <c r="J5909" i="2"/>
  <c r="K5909" i="2"/>
  <c r="L5909" i="2"/>
  <c r="C5910" i="2"/>
  <c r="D5910" i="2"/>
  <c r="F5910" i="2"/>
  <c r="G5910" i="2"/>
  <c r="H5910" i="2"/>
  <c r="J5910" i="2"/>
  <c r="K5910" i="2"/>
  <c r="L5910" i="2"/>
  <c r="C5911" i="2"/>
  <c r="D5911" i="2"/>
  <c r="F5911" i="2"/>
  <c r="G5911" i="2"/>
  <c r="H5911" i="2"/>
  <c r="J5911" i="2"/>
  <c r="K5911" i="2"/>
  <c r="L5911" i="2"/>
  <c r="C5912" i="2"/>
  <c r="D5912" i="2"/>
  <c r="F5912" i="2"/>
  <c r="G5912" i="2"/>
  <c r="H5912" i="2"/>
  <c r="J5912" i="2"/>
  <c r="K5912" i="2"/>
  <c r="L5912" i="2"/>
  <c r="C5913" i="2"/>
  <c r="D5913" i="2"/>
  <c r="F5913" i="2"/>
  <c r="G5913" i="2"/>
  <c r="H5913" i="2"/>
  <c r="J5913" i="2"/>
  <c r="K5913" i="2"/>
  <c r="L5913" i="2"/>
  <c r="C5914" i="2"/>
  <c r="D5914" i="2"/>
  <c r="F5914" i="2"/>
  <c r="G5914" i="2"/>
  <c r="H5914" i="2"/>
  <c r="J5914" i="2"/>
  <c r="K5914" i="2"/>
  <c r="L5914" i="2"/>
  <c r="C5915" i="2"/>
  <c r="D5915" i="2"/>
  <c r="F5915" i="2"/>
  <c r="G5915" i="2"/>
  <c r="H5915" i="2"/>
  <c r="J5915" i="2"/>
  <c r="K5915" i="2"/>
  <c r="L5915" i="2"/>
  <c r="C5916" i="2"/>
  <c r="D5916" i="2"/>
  <c r="F5916" i="2"/>
  <c r="G5916" i="2"/>
  <c r="H5916" i="2"/>
  <c r="J5916" i="2"/>
  <c r="K5916" i="2"/>
  <c r="L5916" i="2"/>
  <c r="C5917" i="2"/>
  <c r="D5917" i="2"/>
  <c r="F5917" i="2"/>
  <c r="G5917" i="2"/>
  <c r="H5917" i="2"/>
  <c r="J5917" i="2"/>
  <c r="K5917" i="2"/>
  <c r="L5917" i="2"/>
  <c r="C5918" i="2"/>
  <c r="D5918" i="2"/>
  <c r="F5918" i="2"/>
  <c r="G5918" i="2"/>
  <c r="H5918" i="2"/>
  <c r="J5918" i="2"/>
  <c r="K5918" i="2"/>
  <c r="L5918" i="2"/>
  <c r="C5919" i="2"/>
  <c r="D5919" i="2"/>
  <c r="F5919" i="2"/>
  <c r="G5919" i="2"/>
  <c r="H5919" i="2"/>
  <c r="J5919" i="2"/>
  <c r="K5919" i="2"/>
  <c r="L5919" i="2"/>
  <c r="C5920" i="2"/>
  <c r="D5920" i="2"/>
  <c r="F5920" i="2"/>
  <c r="G5920" i="2"/>
  <c r="H5920" i="2"/>
  <c r="J5920" i="2"/>
  <c r="K5920" i="2"/>
  <c r="L5920" i="2"/>
  <c r="C5921" i="2"/>
  <c r="D5921" i="2"/>
  <c r="F5921" i="2"/>
  <c r="G5921" i="2"/>
  <c r="H5921" i="2"/>
  <c r="J5921" i="2"/>
  <c r="K5921" i="2"/>
  <c r="L5921" i="2"/>
  <c r="C5922" i="2"/>
  <c r="D5922" i="2"/>
  <c r="F5922" i="2"/>
  <c r="G5922" i="2"/>
  <c r="H5922" i="2"/>
  <c r="J5922" i="2"/>
  <c r="K5922" i="2"/>
  <c r="L5922" i="2"/>
  <c r="C5923" i="2"/>
  <c r="D5923" i="2"/>
  <c r="F5923" i="2"/>
  <c r="G5923" i="2"/>
  <c r="H5923" i="2"/>
  <c r="J5923" i="2"/>
  <c r="K5923" i="2"/>
  <c r="L5923" i="2"/>
  <c r="C5924" i="2"/>
  <c r="D5924" i="2"/>
  <c r="F5924" i="2"/>
  <c r="G5924" i="2"/>
  <c r="H5924" i="2"/>
  <c r="J5924" i="2"/>
  <c r="K5924" i="2"/>
  <c r="L5924" i="2"/>
  <c r="C5925" i="2"/>
  <c r="D5925" i="2"/>
  <c r="F5925" i="2"/>
  <c r="G5925" i="2"/>
  <c r="H5925" i="2"/>
  <c r="J5925" i="2"/>
  <c r="K5925" i="2"/>
  <c r="L5925" i="2"/>
  <c r="C5926" i="2"/>
  <c r="D5926" i="2"/>
  <c r="F5926" i="2"/>
  <c r="G5926" i="2"/>
  <c r="H5926" i="2"/>
  <c r="J5926" i="2"/>
  <c r="K5926" i="2"/>
  <c r="L5926" i="2"/>
  <c r="C5927" i="2"/>
  <c r="D5927" i="2"/>
  <c r="F5927" i="2"/>
  <c r="G5927" i="2"/>
  <c r="H5927" i="2"/>
  <c r="J5927" i="2"/>
  <c r="K5927" i="2"/>
  <c r="L5927" i="2"/>
  <c r="C5928" i="2"/>
  <c r="D5928" i="2"/>
  <c r="F5928" i="2"/>
  <c r="G5928" i="2"/>
  <c r="H5928" i="2"/>
  <c r="J5928" i="2"/>
  <c r="K5928" i="2"/>
  <c r="L5928" i="2"/>
  <c r="C5929" i="2"/>
  <c r="D5929" i="2"/>
  <c r="F5929" i="2"/>
  <c r="G5929" i="2"/>
  <c r="H5929" i="2"/>
  <c r="J5929" i="2"/>
  <c r="K5929" i="2"/>
  <c r="L5929" i="2"/>
  <c r="C5930" i="2"/>
  <c r="D5930" i="2"/>
  <c r="F5930" i="2"/>
  <c r="G5930" i="2"/>
  <c r="H5930" i="2"/>
  <c r="J5930" i="2"/>
  <c r="K5930" i="2"/>
  <c r="L5930" i="2"/>
  <c r="C5931" i="2"/>
  <c r="D5931" i="2"/>
  <c r="F5931" i="2"/>
  <c r="G5931" i="2"/>
  <c r="H5931" i="2"/>
  <c r="J5931" i="2"/>
  <c r="K5931" i="2"/>
  <c r="L5931" i="2"/>
  <c r="C5932" i="2"/>
  <c r="D5932" i="2"/>
  <c r="F5932" i="2"/>
  <c r="G5932" i="2"/>
  <c r="H5932" i="2"/>
  <c r="J5932" i="2"/>
  <c r="K5932" i="2"/>
  <c r="L5932" i="2"/>
  <c r="C5933" i="2"/>
  <c r="D5933" i="2"/>
  <c r="F5933" i="2"/>
  <c r="G5933" i="2"/>
  <c r="H5933" i="2"/>
  <c r="J5933" i="2"/>
  <c r="K5933" i="2"/>
  <c r="L5933" i="2"/>
  <c r="C5934" i="2"/>
  <c r="D5934" i="2"/>
  <c r="F5934" i="2"/>
  <c r="G5934" i="2"/>
  <c r="H5934" i="2"/>
  <c r="J5934" i="2"/>
  <c r="K5934" i="2"/>
  <c r="L5934" i="2"/>
  <c r="C5935" i="2"/>
  <c r="D5935" i="2"/>
  <c r="F5935" i="2"/>
  <c r="G5935" i="2"/>
  <c r="H5935" i="2"/>
  <c r="J5935" i="2"/>
  <c r="K5935" i="2"/>
  <c r="L5935" i="2"/>
  <c r="C5936" i="2"/>
  <c r="D5936" i="2"/>
  <c r="F5936" i="2"/>
  <c r="G5936" i="2"/>
  <c r="H5936" i="2"/>
  <c r="J5936" i="2"/>
  <c r="K5936" i="2"/>
  <c r="L5936" i="2"/>
  <c r="C5937" i="2"/>
  <c r="D5937" i="2"/>
  <c r="F5937" i="2"/>
  <c r="G5937" i="2"/>
  <c r="H5937" i="2"/>
  <c r="J5937" i="2"/>
  <c r="K5937" i="2"/>
  <c r="L5937" i="2"/>
  <c r="D5938" i="2"/>
  <c r="F5938" i="2"/>
  <c r="G5938" i="2"/>
  <c r="H5938" i="2"/>
  <c r="J5938" i="2"/>
  <c r="K5938" i="2"/>
  <c r="L5938" i="2"/>
  <c r="C5939" i="2"/>
  <c r="D5939" i="2"/>
  <c r="F5939" i="2"/>
  <c r="G5939" i="2"/>
  <c r="H5939" i="2"/>
  <c r="J5939" i="2"/>
  <c r="K5939" i="2"/>
  <c r="L5939" i="2"/>
  <c r="C5940" i="2"/>
  <c r="D5940" i="2"/>
  <c r="F5940" i="2"/>
  <c r="G5940" i="2"/>
  <c r="H5940" i="2"/>
  <c r="J5940" i="2"/>
  <c r="K5940" i="2"/>
  <c r="L5940" i="2"/>
  <c r="C5941" i="2"/>
  <c r="D5941" i="2"/>
  <c r="F5941" i="2"/>
  <c r="G5941" i="2"/>
  <c r="H5941" i="2"/>
  <c r="J5941" i="2"/>
  <c r="K5941" i="2"/>
  <c r="L5941" i="2"/>
  <c r="C5942" i="2"/>
  <c r="D5942" i="2"/>
  <c r="F5942" i="2"/>
  <c r="G5942" i="2"/>
  <c r="H5942" i="2"/>
  <c r="J5942" i="2"/>
  <c r="K5942" i="2"/>
  <c r="L5942" i="2"/>
  <c r="C5943" i="2"/>
  <c r="D5943" i="2"/>
  <c r="F5943" i="2"/>
  <c r="G5943" i="2"/>
  <c r="H5943" i="2"/>
  <c r="J5943" i="2"/>
  <c r="K5943" i="2"/>
  <c r="L5943" i="2"/>
  <c r="C5944" i="2"/>
  <c r="D5944" i="2"/>
  <c r="F5944" i="2"/>
  <c r="G5944" i="2"/>
  <c r="H5944" i="2"/>
  <c r="J5944" i="2"/>
  <c r="K5944" i="2"/>
  <c r="L5944" i="2"/>
  <c r="C5945" i="2"/>
  <c r="D5945" i="2"/>
  <c r="F5945" i="2"/>
  <c r="G5945" i="2"/>
  <c r="H5945" i="2"/>
  <c r="J5945" i="2"/>
  <c r="K5945" i="2"/>
  <c r="L5945" i="2"/>
  <c r="C5946" i="2"/>
  <c r="D5946" i="2"/>
  <c r="F5946" i="2"/>
  <c r="G5946" i="2"/>
  <c r="H5946" i="2"/>
  <c r="J5946" i="2"/>
  <c r="K5946" i="2"/>
  <c r="L5946" i="2"/>
  <c r="C5947" i="2"/>
  <c r="D5947" i="2"/>
  <c r="F5947" i="2"/>
  <c r="G5947" i="2"/>
  <c r="H5947" i="2"/>
  <c r="J5947" i="2"/>
  <c r="K5947" i="2"/>
  <c r="L5947" i="2"/>
  <c r="C5948" i="2"/>
  <c r="D5948" i="2"/>
  <c r="F5948" i="2"/>
  <c r="G5948" i="2"/>
  <c r="H5948" i="2"/>
  <c r="J5948" i="2"/>
  <c r="K5948" i="2"/>
  <c r="L5948" i="2"/>
  <c r="C5949" i="2"/>
  <c r="D5949" i="2"/>
  <c r="F5949" i="2"/>
  <c r="G5949" i="2"/>
  <c r="H5949" i="2"/>
  <c r="J5949" i="2"/>
  <c r="K5949" i="2"/>
  <c r="L5949" i="2"/>
  <c r="C5950" i="2"/>
  <c r="D5950" i="2"/>
  <c r="F5950" i="2"/>
  <c r="G5950" i="2"/>
  <c r="H5950" i="2"/>
  <c r="J5950" i="2"/>
  <c r="K5950" i="2"/>
  <c r="L5950" i="2"/>
  <c r="C5951" i="2"/>
  <c r="D5951" i="2"/>
  <c r="F5951" i="2"/>
  <c r="G5951" i="2"/>
  <c r="H5951" i="2"/>
  <c r="J5951" i="2"/>
  <c r="K5951" i="2"/>
  <c r="L5951" i="2"/>
  <c r="C5952" i="2"/>
  <c r="D5952" i="2"/>
  <c r="F5952" i="2"/>
  <c r="G5952" i="2"/>
  <c r="H5952" i="2"/>
  <c r="J5952" i="2"/>
  <c r="K5952" i="2"/>
  <c r="L5952" i="2"/>
  <c r="C5953" i="2"/>
  <c r="D5953" i="2"/>
  <c r="F5953" i="2"/>
  <c r="G5953" i="2"/>
  <c r="H5953" i="2"/>
  <c r="J5953" i="2"/>
  <c r="K5953" i="2"/>
  <c r="L5953" i="2"/>
  <c r="C5954" i="2"/>
  <c r="D5954" i="2"/>
  <c r="F5954" i="2"/>
  <c r="G5954" i="2"/>
  <c r="H5954" i="2"/>
  <c r="J5954" i="2"/>
  <c r="K5954" i="2"/>
  <c r="L5954" i="2"/>
  <c r="C5955" i="2"/>
  <c r="D5955" i="2"/>
  <c r="F5955" i="2"/>
  <c r="G5955" i="2"/>
  <c r="H5955" i="2"/>
  <c r="J5955" i="2"/>
  <c r="K5955" i="2"/>
  <c r="L5955" i="2"/>
  <c r="C5956" i="2"/>
  <c r="D5956" i="2"/>
  <c r="F5956" i="2"/>
  <c r="G5956" i="2"/>
  <c r="H5956" i="2"/>
  <c r="J5956" i="2"/>
  <c r="K5956" i="2"/>
  <c r="L5956" i="2"/>
  <c r="C5957" i="2"/>
  <c r="D5957" i="2"/>
  <c r="F5957" i="2"/>
  <c r="G5957" i="2"/>
  <c r="H5957" i="2"/>
  <c r="J5957" i="2"/>
  <c r="K5957" i="2"/>
  <c r="L5957" i="2"/>
  <c r="C5958" i="2"/>
  <c r="D5958" i="2"/>
  <c r="F5958" i="2"/>
  <c r="G5958" i="2"/>
  <c r="H5958" i="2"/>
  <c r="J5958" i="2"/>
  <c r="K5958" i="2"/>
  <c r="L5958" i="2"/>
  <c r="C5959" i="2"/>
  <c r="D5959" i="2"/>
  <c r="F5959" i="2"/>
  <c r="G5959" i="2"/>
  <c r="H5959" i="2"/>
  <c r="J5959" i="2"/>
  <c r="K5959" i="2"/>
  <c r="L5959" i="2"/>
  <c r="C5960" i="2"/>
  <c r="D5960" i="2"/>
  <c r="F5960" i="2"/>
  <c r="G5960" i="2"/>
  <c r="H5960" i="2"/>
  <c r="J5960" i="2"/>
  <c r="K5960" i="2"/>
  <c r="L5960" i="2"/>
  <c r="C5961" i="2"/>
  <c r="D5961" i="2"/>
  <c r="F5961" i="2"/>
  <c r="G5961" i="2"/>
  <c r="H5961" i="2"/>
  <c r="J5961" i="2"/>
  <c r="K5961" i="2"/>
  <c r="L5961" i="2"/>
  <c r="C5962" i="2"/>
  <c r="D5962" i="2"/>
  <c r="F5962" i="2"/>
  <c r="G5962" i="2"/>
  <c r="H5962" i="2"/>
  <c r="J5962" i="2"/>
  <c r="K5962" i="2"/>
  <c r="L5962" i="2"/>
  <c r="C5963" i="2"/>
  <c r="D5963" i="2"/>
  <c r="F5963" i="2"/>
  <c r="G5963" i="2"/>
  <c r="H5963" i="2"/>
  <c r="J5963" i="2"/>
  <c r="K5963" i="2"/>
  <c r="L5963" i="2"/>
  <c r="C5964" i="2"/>
  <c r="D5964" i="2"/>
  <c r="F5964" i="2"/>
  <c r="G5964" i="2"/>
  <c r="H5964" i="2"/>
  <c r="J5964" i="2"/>
  <c r="K5964" i="2"/>
  <c r="L5964" i="2"/>
  <c r="C5965" i="2"/>
  <c r="D5965" i="2"/>
  <c r="F5965" i="2"/>
  <c r="G5965" i="2"/>
  <c r="H5965" i="2"/>
  <c r="J5965" i="2"/>
  <c r="K5965" i="2"/>
  <c r="L5965" i="2"/>
  <c r="C5966" i="2"/>
  <c r="D5966" i="2"/>
  <c r="F5966" i="2"/>
  <c r="G5966" i="2"/>
  <c r="H5966" i="2"/>
  <c r="J5966" i="2"/>
  <c r="K5966" i="2"/>
  <c r="L5966" i="2"/>
  <c r="C5967" i="2"/>
  <c r="D5967" i="2"/>
  <c r="F5967" i="2"/>
  <c r="G5967" i="2"/>
  <c r="H5967" i="2"/>
  <c r="J5967" i="2"/>
  <c r="K5967" i="2"/>
  <c r="L5967" i="2"/>
  <c r="C5968" i="2"/>
  <c r="D5968" i="2"/>
  <c r="F5968" i="2"/>
  <c r="G5968" i="2"/>
  <c r="H5968" i="2"/>
  <c r="J5968" i="2"/>
  <c r="K5968" i="2"/>
  <c r="L5968" i="2"/>
  <c r="C5969" i="2"/>
  <c r="D5969" i="2"/>
  <c r="F5969" i="2"/>
  <c r="G5969" i="2"/>
  <c r="H5969" i="2"/>
  <c r="J5969" i="2"/>
  <c r="K5969" i="2"/>
  <c r="L5969" i="2"/>
  <c r="C5970" i="2"/>
  <c r="D5970" i="2"/>
  <c r="F5970" i="2"/>
  <c r="G5970" i="2"/>
  <c r="H5970" i="2"/>
  <c r="J5970" i="2"/>
  <c r="K5970" i="2"/>
  <c r="L5970" i="2"/>
  <c r="C5971" i="2"/>
  <c r="D5971" i="2"/>
  <c r="F5971" i="2"/>
  <c r="G5971" i="2"/>
  <c r="H5971" i="2"/>
  <c r="J5971" i="2"/>
  <c r="K5971" i="2"/>
  <c r="L5971" i="2"/>
  <c r="C5972" i="2"/>
  <c r="D5972" i="2"/>
  <c r="F5972" i="2"/>
  <c r="G5972" i="2"/>
  <c r="H5972" i="2"/>
  <c r="J5972" i="2"/>
  <c r="K5972" i="2"/>
  <c r="L5972" i="2"/>
  <c r="C5973" i="2"/>
  <c r="D5973" i="2"/>
  <c r="F5973" i="2"/>
  <c r="G5973" i="2"/>
  <c r="H5973" i="2"/>
  <c r="J5973" i="2"/>
  <c r="K5973" i="2"/>
  <c r="L5973" i="2"/>
  <c r="C5974" i="2"/>
  <c r="D5974" i="2"/>
  <c r="F5974" i="2"/>
  <c r="G5974" i="2"/>
  <c r="H5974" i="2"/>
  <c r="J5974" i="2"/>
  <c r="K5974" i="2"/>
  <c r="L5974" i="2"/>
  <c r="C5975" i="2"/>
  <c r="D5975" i="2"/>
  <c r="F5975" i="2"/>
  <c r="G5975" i="2"/>
  <c r="H5975" i="2"/>
  <c r="J5975" i="2"/>
  <c r="K5975" i="2"/>
  <c r="L5975" i="2"/>
  <c r="C5976" i="2"/>
  <c r="D5976" i="2"/>
  <c r="F5976" i="2"/>
  <c r="G5976" i="2"/>
  <c r="H5976" i="2"/>
  <c r="J5976" i="2"/>
  <c r="K5976" i="2"/>
  <c r="L5976" i="2"/>
  <c r="C5977" i="2"/>
  <c r="D5977" i="2"/>
  <c r="F5977" i="2"/>
  <c r="G5977" i="2"/>
  <c r="H5977" i="2"/>
  <c r="J5977" i="2"/>
  <c r="K5977" i="2"/>
  <c r="L5977" i="2"/>
  <c r="C5978" i="2"/>
  <c r="D5978" i="2"/>
  <c r="F5978" i="2"/>
  <c r="G5978" i="2"/>
  <c r="H5978" i="2"/>
  <c r="J5978" i="2"/>
  <c r="K5978" i="2"/>
  <c r="L5978" i="2"/>
  <c r="C5979" i="2"/>
  <c r="D5979" i="2"/>
  <c r="F5979" i="2"/>
  <c r="G5979" i="2"/>
  <c r="H5979" i="2"/>
  <c r="J5979" i="2"/>
  <c r="K5979" i="2"/>
  <c r="L5979" i="2"/>
  <c r="C5980" i="2"/>
  <c r="D5980" i="2"/>
  <c r="F5980" i="2"/>
  <c r="G5980" i="2"/>
  <c r="H5980" i="2"/>
  <c r="J5980" i="2"/>
  <c r="K5980" i="2"/>
  <c r="L5980" i="2"/>
  <c r="C5981" i="2"/>
  <c r="D5981" i="2"/>
  <c r="F5981" i="2"/>
  <c r="G5981" i="2"/>
  <c r="H5981" i="2"/>
  <c r="J5981" i="2"/>
  <c r="K5981" i="2"/>
  <c r="L5981" i="2"/>
  <c r="C5982" i="2"/>
  <c r="D5982" i="2"/>
  <c r="F5982" i="2"/>
  <c r="G5982" i="2"/>
  <c r="H5982" i="2"/>
  <c r="J5982" i="2"/>
  <c r="K5982" i="2"/>
  <c r="L5982" i="2"/>
  <c r="C5983" i="2"/>
  <c r="D5983" i="2"/>
  <c r="F5983" i="2"/>
  <c r="G5983" i="2"/>
  <c r="H5983" i="2"/>
  <c r="J5983" i="2"/>
  <c r="K5983" i="2"/>
  <c r="L5983" i="2"/>
  <c r="C5984" i="2"/>
  <c r="D5984" i="2"/>
  <c r="F5984" i="2"/>
  <c r="G5984" i="2"/>
  <c r="H5984" i="2"/>
  <c r="J5984" i="2"/>
  <c r="K5984" i="2"/>
  <c r="L5984" i="2"/>
  <c r="C5985" i="2"/>
  <c r="D5985" i="2"/>
  <c r="F5985" i="2"/>
  <c r="G5985" i="2"/>
  <c r="H5985" i="2"/>
  <c r="J5985" i="2"/>
  <c r="K5985" i="2"/>
  <c r="L5985" i="2"/>
  <c r="C5986" i="2"/>
  <c r="D5986" i="2"/>
  <c r="F5986" i="2"/>
  <c r="G5986" i="2"/>
  <c r="H5986" i="2"/>
  <c r="J5986" i="2"/>
  <c r="K5986" i="2"/>
  <c r="L5986" i="2"/>
  <c r="C5987" i="2"/>
  <c r="D5987" i="2"/>
  <c r="F5987" i="2"/>
  <c r="G5987" i="2"/>
  <c r="H5987" i="2"/>
  <c r="J5987" i="2"/>
  <c r="K5987" i="2"/>
  <c r="L5987" i="2"/>
  <c r="C5988" i="2"/>
  <c r="D5988" i="2"/>
  <c r="F5988" i="2"/>
  <c r="G5988" i="2"/>
  <c r="H5988" i="2"/>
  <c r="J5988" i="2"/>
  <c r="K5988" i="2"/>
  <c r="L5988" i="2"/>
  <c r="C5989" i="2"/>
  <c r="D5989" i="2"/>
  <c r="F5989" i="2"/>
  <c r="G5989" i="2"/>
  <c r="H5989" i="2"/>
  <c r="J5989" i="2"/>
  <c r="K5989" i="2"/>
  <c r="L5989" i="2"/>
  <c r="C5990" i="2"/>
  <c r="D5990" i="2"/>
  <c r="F5990" i="2"/>
  <c r="G5990" i="2"/>
  <c r="H5990" i="2"/>
  <c r="J5990" i="2"/>
  <c r="K5990" i="2"/>
  <c r="L5990" i="2"/>
  <c r="C5991" i="2"/>
  <c r="D5991" i="2"/>
  <c r="F5991" i="2"/>
  <c r="G5991" i="2"/>
  <c r="H5991" i="2"/>
  <c r="J5991" i="2"/>
  <c r="K5991" i="2"/>
  <c r="L5991" i="2"/>
  <c r="C5992" i="2"/>
  <c r="D5992" i="2"/>
  <c r="F5992" i="2"/>
  <c r="G5992" i="2"/>
  <c r="H5992" i="2"/>
  <c r="J5992" i="2"/>
  <c r="K5992" i="2"/>
  <c r="L5992" i="2"/>
  <c r="C5993" i="2"/>
  <c r="D5993" i="2"/>
  <c r="F5993" i="2"/>
  <c r="G5993" i="2"/>
  <c r="H5993" i="2"/>
  <c r="J5993" i="2"/>
  <c r="K5993" i="2"/>
  <c r="L5993" i="2"/>
  <c r="C5994" i="2"/>
  <c r="D5994" i="2"/>
  <c r="F5994" i="2"/>
  <c r="G5994" i="2"/>
  <c r="H5994" i="2"/>
  <c r="J5994" i="2"/>
  <c r="K5994" i="2"/>
  <c r="L5994" i="2"/>
  <c r="C5995" i="2"/>
  <c r="D5995" i="2"/>
  <c r="F5995" i="2"/>
  <c r="G5995" i="2"/>
  <c r="H5995" i="2"/>
  <c r="J5995" i="2"/>
  <c r="K5995" i="2"/>
  <c r="L5995" i="2"/>
  <c r="C5996" i="2"/>
  <c r="D5996" i="2"/>
  <c r="F5996" i="2"/>
  <c r="G5996" i="2"/>
  <c r="H5996" i="2"/>
  <c r="J5996" i="2"/>
  <c r="K5996" i="2"/>
  <c r="L5996" i="2"/>
  <c r="C5997" i="2"/>
  <c r="D5997" i="2"/>
  <c r="F5997" i="2"/>
  <c r="G5997" i="2"/>
  <c r="H5997" i="2"/>
  <c r="J5997" i="2"/>
  <c r="K5997" i="2"/>
  <c r="L5997" i="2"/>
  <c r="C5998" i="2"/>
  <c r="D5998" i="2"/>
  <c r="F5998" i="2"/>
  <c r="G5998" i="2"/>
  <c r="H5998" i="2"/>
  <c r="J5998" i="2"/>
  <c r="K5998" i="2"/>
  <c r="L5998" i="2"/>
  <c r="C5999" i="2"/>
  <c r="D5999" i="2"/>
  <c r="F5999" i="2"/>
  <c r="G5999" i="2"/>
  <c r="H5999" i="2"/>
  <c r="J5999" i="2"/>
  <c r="K5999" i="2"/>
  <c r="L5999" i="2"/>
  <c r="C6000" i="2"/>
  <c r="D6000" i="2"/>
  <c r="F6000" i="2"/>
  <c r="G6000" i="2"/>
  <c r="H6000" i="2"/>
  <c r="J6000" i="2"/>
  <c r="K6000" i="2"/>
  <c r="L6000" i="2"/>
  <c r="C6001" i="2"/>
  <c r="D6001" i="2"/>
  <c r="F6001" i="2"/>
  <c r="G6001" i="2"/>
  <c r="H6001" i="2"/>
  <c r="J6001" i="2"/>
  <c r="K6001" i="2"/>
  <c r="L6001" i="2"/>
  <c r="C6002" i="2"/>
  <c r="D6002" i="2"/>
  <c r="F6002" i="2"/>
  <c r="G6002" i="2"/>
  <c r="H6002" i="2"/>
  <c r="J6002" i="2"/>
  <c r="K6002" i="2"/>
  <c r="L6002" i="2"/>
  <c r="C6003" i="2"/>
  <c r="D6003" i="2"/>
  <c r="F6003" i="2"/>
  <c r="G6003" i="2"/>
  <c r="H6003" i="2"/>
  <c r="J6003" i="2"/>
  <c r="K6003" i="2"/>
  <c r="L6003" i="2"/>
  <c r="C6004" i="2"/>
  <c r="D6004" i="2"/>
  <c r="F6004" i="2"/>
  <c r="G6004" i="2"/>
  <c r="H6004" i="2"/>
  <c r="J6004" i="2"/>
  <c r="K6004" i="2"/>
  <c r="L6004" i="2"/>
  <c r="C6005" i="2"/>
  <c r="D6005" i="2"/>
  <c r="F6005" i="2"/>
  <c r="G6005" i="2"/>
  <c r="H6005" i="2"/>
  <c r="J6005" i="2"/>
  <c r="K6005" i="2"/>
  <c r="L6005" i="2"/>
  <c r="C6006" i="2"/>
  <c r="D6006" i="2"/>
  <c r="F6006" i="2"/>
  <c r="G6006" i="2"/>
  <c r="H6006" i="2"/>
  <c r="J6006" i="2"/>
  <c r="K6006" i="2"/>
  <c r="L6006" i="2"/>
  <c r="C6007" i="2"/>
  <c r="D6007" i="2"/>
  <c r="F6007" i="2"/>
  <c r="G6007" i="2"/>
  <c r="H6007" i="2"/>
  <c r="J6007" i="2"/>
  <c r="K6007" i="2"/>
  <c r="L6007" i="2"/>
  <c r="C6008" i="2"/>
  <c r="D6008" i="2"/>
  <c r="F6008" i="2"/>
  <c r="G6008" i="2"/>
  <c r="H6008" i="2"/>
  <c r="J6008" i="2"/>
  <c r="K6008" i="2"/>
  <c r="L6008" i="2"/>
  <c r="C6009" i="2"/>
  <c r="D6009" i="2"/>
  <c r="F6009" i="2"/>
  <c r="G6009" i="2"/>
  <c r="H6009" i="2"/>
  <c r="J6009" i="2"/>
  <c r="K6009" i="2"/>
  <c r="L6009" i="2"/>
  <c r="C6010" i="2"/>
  <c r="D6010" i="2"/>
  <c r="F6010" i="2"/>
  <c r="G6010" i="2"/>
  <c r="H6010" i="2"/>
  <c r="J6010" i="2"/>
  <c r="K6010" i="2"/>
  <c r="L6010" i="2"/>
  <c r="C6011" i="2"/>
  <c r="D6011" i="2"/>
  <c r="F6011" i="2"/>
  <c r="G6011" i="2"/>
  <c r="H6011" i="2"/>
  <c r="J6011" i="2"/>
  <c r="K6011" i="2"/>
  <c r="L6011" i="2"/>
  <c r="C6012" i="2"/>
  <c r="D6012" i="2"/>
  <c r="F6012" i="2"/>
  <c r="G6012" i="2"/>
  <c r="H6012" i="2"/>
  <c r="J6012" i="2"/>
  <c r="K6012" i="2"/>
  <c r="L6012" i="2"/>
  <c r="C6013" i="2"/>
  <c r="D6013" i="2"/>
  <c r="F6013" i="2"/>
  <c r="G6013" i="2"/>
  <c r="H6013" i="2"/>
  <c r="J6013" i="2"/>
  <c r="K6013" i="2"/>
  <c r="L6013" i="2"/>
  <c r="C6014" i="2"/>
  <c r="D6014" i="2"/>
  <c r="F6014" i="2"/>
  <c r="G6014" i="2"/>
  <c r="H6014" i="2"/>
  <c r="J6014" i="2"/>
  <c r="K6014" i="2"/>
  <c r="L6014" i="2"/>
  <c r="C6015" i="2"/>
  <c r="D6015" i="2"/>
  <c r="F6015" i="2"/>
  <c r="G6015" i="2"/>
  <c r="H6015" i="2"/>
  <c r="J6015" i="2"/>
  <c r="K6015" i="2"/>
  <c r="L6015" i="2"/>
  <c r="C6016" i="2"/>
  <c r="D6016" i="2"/>
  <c r="F6016" i="2"/>
  <c r="G6016" i="2"/>
  <c r="H6016" i="2"/>
  <c r="J6016" i="2"/>
  <c r="K6016" i="2"/>
  <c r="L6016" i="2"/>
  <c r="C6017" i="2"/>
  <c r="D6017" i="2"/>
  <c r="F6017" i="2"/>
  <c r="G6017" i="2"/>
  <c r="H6017" i="2"/>
  <c r="J6017" i="2"/>
  <c r="K6017" i="2"/>
  <c r="L6017" i="2"/>
  <c r="C6018" i="2"/>
  <c r="D6018" i="2"/>
  <c r="F6018" i="2"/>
  <c r="G6018" i="2"/>
  <c r="H6018" i="2"/>
  <c r="J6018" i="2"/>
  <c r="K6018" i="2"/>
  <c r="L6018" i="2"/>
  <c r="C6019" i="2"/>
  <c r="D6019" i="2"/>
  <c r="F6019" i="2"/>
  <c r="G6019" i="2"/>
  <c r="H6019" i="2"/>
  <c r="J6019" i="2"/>
  <c r="K6019" i="2"/>
  <c r="L6019" i="2"/>
  <c r="C6020" i="2"/>
  <c r="D6020" i="2"/>
  <c r="F6020" i="2"/>
  <c r="G6020" i="2"/>
  <c r="H6020" i="2"/>
  <c r="J6020" i="2"/>
  <c r="K6020" i="2"/>
  <c r="L6020" i="2"/>
  <c r="C6021" i="2"/>
  <c r="D6021" i="2"/>
  <c r="F6021" i="2"/>
  <c r="G6021" i="2"/>
  <c r="H6021" i="2"/>
  <c r="J6021" i="2"/>
  <c r="K6021" i="2"/>
  <c r="L6021" i="2"/>
  <c r="C6022" i="2"/>
  <c r="D6022" i="2"/>
  <c r="F6022" i="2"/>
  <c r="G6022" i="2"/>
  <c r="H6022" i="2"/>
  <c r="J6022" i="2"/>
  <c r="K6022" i="2"/>
  <c r="L6022" i="2"/>
  <c r="C6023" i="2"/>
  <c r="D6023" i="2"/>
  <c r="F6023" i="2"/>
  <c r="G6023" i="2"/>
  <c r="H6023" i="2"/>
  <c r="J6023" i="2"/>
  <c r="K6023" i="2"/>
  <c r="L6023" i="2"/>
  <c r="C6024" i="2"/>
  <c r="D6024" i="2"/>
  <c r="F6024" i="2"/>
  <c r="G6024" i="2"/>
  <c r="H6024" i="2"/>
  <c r="J6024" i="2"/>
  <c r="K6024" i="2"/>
  <c r="L6024" i="2"/>
  <c r="C6025" i="2"/>
  <c r="D6025" i="2"/>
  <c r="F6025" i="2"/>
  <c r="G6025" i="2"/>
  <c r="H6025" i="2"/>
  <c r="J6025" i="2"/>
  <c r="K6025" i="2"/>
  <c r="L6025" i="2"/>
  <c r="C6026" i="2"/>
  <c r="D6026" i="2"/>
  <c r="F6026" i="2"/>
  <c r="G6026" i="2"/>
  <c r="H6026" i="2"/>
  <c r="J6026" i="2"/>
  <c r="K6026" i="2"/>
  <c r="L6026" i="2"/>
  <c r="C6027" i="2"/>
  <c r="D6027" i="2"/>
  <c r="F6027" i="2"/>
  <c r="G6027" i="2"/>
  <c r="H6027" i="2"/>
  <c r="J6027" i="2"/>
  <c r="K6027" i="2"/>
  <c r="L6027" i="2"/>
  <c r="C6028" i="2"/>
  <c r="D6028" i="2"/>
  <c r="F6028" i="2"/>
  <c r="G6028" i="2"/>
  <c r="H6028" i="2"/>
  <c r="J6028" i="2"/>
  <c r="K6028" i="2"/>
  <c r="L6028" i="2"/>
  <c r="C6029" i="2"/>
  <c r="D6029" i="2"/>
  <c r="F6029" i="2"/>
  <c r="G6029" i="2"/>
  <c r="H6029" i="2"/>
  <c r="J6029" i="2"/>
  <c r="K6029" i="2"/>
  <c r="L6029" i="2"/>
  <c r="C6030" i="2"/>
  <c r="D6030" i="2"/>
  <c r="F6030" i="2"/>
  <c r="G6030" i="2"/>
  <c r="H6030" i="2"/>
  <c r="J6030" i="2"/>
  <c r="K6030" i="2"/>
  <c r="L6030" i="2"/>
  <c r="C6031" i="2"/>
  <c r="D6031" i="2"/>
  <c r="F6031" i="2"/>
  <c r="G6031" i="2"/>
  <c r="H6031" i="2"/>
  <c r="J6031" i="2"/>
  <c r="K6031" i="2"/>
  <c r="L6031" i="2"/>
  <c r="C6032" i="2"/>
  <c r="D6032" i="2"/>
  <c r="F6032" i="2"/>
  <c r="G6032" i="2"/>
  <c r="H6032" i="2"/>
  <c r="J6032" i="2"/>
  <c r="K6032" i="2"/>
  <c r="L6032" i="2"/>
  <c r="C6033" i="2"/>
  <c r="D6033" i="2"/>
  <c r="F6033" i="2"/>
  <c r="G6033" i="2"/>
  <c r="H6033" i="2"/>
  <c r="J6033" i="2"/>
  <c r="K6033" i="2"/>
  <c r="L6033" i="2"/>
  <c r="C6034" i="2"/>
  <c r="D6034" i="2"/>
  <c r="F6034" i="2"/>
  <c r="G6034" i="2"/>
  <c r="H6034" i="2"/>
  <c r="J6034" i="2"/>
  <c r="K6034" i="2"/>
  <c r="L6034" i="2"/>
  <c r="C6035" i="2"/>
  <c r="D6035" i="2"/>
  <c r="F6035" i="2"/>
  <c r="G6035" i="2"/>
  <c r="H6035" i="2"/>
  <c r="J6035" i="2"/>
  <c r="K6035" i="2"/>
  <c r="L6035" i="2"/>
  <c r="C6036" i="2"/>
  <c r="D6036" i="2"/>
  <c r="F6036" i="2"/>
  <c r="G6036" i="2"/>
  <c r="H6036" i="2"/>
  <c r="J6036" i="2"/>
  <c r="K6036" i="2"/>
  <c r="L6036" i="2"/>
  <c r="C6037" i="2"/>
  <c r="D6037" i="2"/>
  <c r="F6037" i="2"/>
  <c r="G6037" i="2"/>
  <c r="H6037" i="2"/>
  <c r="J6037" i="2"/>
  <c r="K6037" i="2"/>
  <c r="L6037" i="2"/>
  <c r="C6038" i="2"/>
  <c r="D6038" i="2"/>
  <c r="F6038" i="2"/>
  <c r="G6038" i="2"/>
  <c r="H6038" i="2"/>
  <c r="J6038" i="2"/>
  <c r="K6038" i="2"/>
  <c r="L6038" i="2"/>
  <c r="C6039" i="2"/>
  <c r="D6039" i="2"/>
  <c r="F6039" i="2"/>
  <c r="G6039" i="2"/>
  <c r="H6039" i="2"/>
  <c r="J6039" i="2"/>
  <c r="K6039" i="2"/>
  <c r="L6039" i="2"/>
  <c r="C6040" i="2"/>
  <c r="D6040" i="2"/>
  <c r="F6040" i="2"/>
  <c r="G6040" i="2"/>
  <c r="H6040" i="2"/>
  <c r="J6040" i="2"/>
  <c r="K6040" i="2"/>
  <c r="L6040" i="2"/>
  <c r="C6041" i="2"/>
  <c r="D6041" i="2"/>
  <c r="F6041" i="2"/>
  <c r="G6041" i="2"/>
  <c r="H6041" i="2"/>
  <c r="J6041" i="2"/>
  <c r="K6041" i="2"/>
  <c r="L6041" i="2"/>
  <c r="C6042" i="2"/>
  <c r="D6042" i="2"/>
  <c r="F6042" i="2"/>
  <c r="G6042" i="2"/>
  <c r="H6042" i="2"/>
  <c r="J6042" i="2"/>
  <c r="K6042" i="2"/>
  <c r="L6042" i="2"/>
  <c r="C6043" i="2"/>
  <c r="D6043" i="2"/>
  <c r="F6043" i="2"/>
  <c r="G6043" i="2"/>
  <c r="H6043" i="2"/>
  <c r="J6043" i="2"/>
  <c r="K6043" i="2"/>
  <c r="L6043" i="2"/>
  <c r="C6044" i="2"/>
  <c r="D6044" i="2"/>
  <c r="F6044" i="2"/>
  <c r="G6044" i="2"/>
  <c r="H6044" i="2"/>
  <c r="J6044" i="2"/>
  <c r="K6044" i="2"/>
  <c r="L6044" i="2"/>
  <c r="C6045" i="2"/>
  <c r="D6045" i="2"/>
  <c r="F6045" i="2"/>
  <c r="G6045" i="2"/>
  <c r="H6045" i="2"/>
  <c r="J6045" i="2"/>
  <c r="K6045" i="2"/>
  <c r="L6045" i="2"/>
  <c r="C6046" i="2"/>
  <c r="D6046" i="2"/>
  <c r="F6046" i="2"/>
  <c r="G6046" i="2"/>
  <c r="H6046" i="2"/>
  <c r="J6046" i="2"/>
  <c r="K6046" i="2"/>
  <c r="L6046" i="2"/>
  <c r="C6047" i="2"/>
  <c r="D6047" i="2"/>
  <c r="F6047" i="2"/>
  <c r="G6047" i="2"/>
  <c r="H6047" i="2"/>
  <c r="J6047" i="2"/>
  <c r="K6047" i="2"/>
  <c r="L6047" i="2"/>
  <c r="C6048" i="2"/>
  <c r="D6048" i="2"/>
  <c r="F6048" i="2"/>
  <c r="G6048" i="2"/>
  <c r="H6048" i="2"/>
  <c r="J6048" i="2"/>
  <c r="K6048" i="2"/>
  <c r="L6048" i="2"/>
  <c r="C6049" i="2"/>
  <c r="D6049" i="2"/>
  <c r="F6049" i="2"/>
  <c r="G6049" i="2"/>
  <c r="H6049" i="2"/>
  <c r="J6049" i="2"/>
  <c r="K6049" i="2"/>
  <c r="L6049" i="2"/>
  <c r="C6050" i="2"/>
  <c r="D6050" i="2"/>
  <c r="F6050" i="2"/>
  <c r="G6050" i="2"/>
  <c r="H6050" i="2"/>
  <c r="J6050" i="2"/>
  <c r="K6050" i="2"/>
  <c r="L6050" i="2"/>
  <c r="C6051" i="2"/>
  <c r="D6051" i="2"/>
  <c r="F6051" i="2"/>
  <c r="G6051" i="2"/>
  <c r="H6051" i="2"/>
  <c r="J6051" i="2"/>
  <c r="K6051" i="2"/>
  <c r="L6051" i="2"/>
  <c r="C6052" i="2"/>
  <c r="D6052" i="2"/>
  <c r="F6052" i="2"/>
  <c r="G6052" i="2"/>
  <c r="H6052" i="2"/>
  <c r="J6052" i="2"/>
  <c r="K6052" i="2"/>
  <c r="L6052" i="2"/>
  <c r="C6053" i="2"/>
  <c r="D6053" i="2"/>
  <c r="F6053" i="2"/>
  <c r="G6053" i="2"/>
  <c r="H6053" i="2"/>
  <c r="J6053" i="2"/>
  <c r="K6053" i="2"/>
  <c r="L6053" i="2"/>
  <c r="C6054" i="2"/>
  <c r="D6054" i="2"/>
  <c r="F6054" i="2"/>
  <c r="G6054" i="2"/>
  <c r="H6054" i="2"/>
  <c r="J6054" i="2"/>
  <c r="K6054" i="2"/>
  <c r="L6054" i="2"/>
  <c r="C6055" i="2"/>
  <c r="D6055" i="2"/>
  <c r="F6055" i="2"/>
  <c r="G6055" i="2"/>
  <c r="H6055" i="2"/>
  <c r="J6055" i="2"/>
  <c r="K6055" i="2"/>
  <c r="L6055" i="2"/>
  <c r="C6056" i="2"/>
  <c r="D6056" i="2"/>
  <c r="F6056" i="2"/>
  <c r="G6056" i="2"/>
  <c r="H6056" i="2"/>
  <c r="J6056" i="2"/>
  <c r="K6056" i="2"/>
  <c r="L6056" i="2"/>
  <c r="C6057" i="2"/>
  <c r="D6057" i="2"/>
  <c r="F6057" i="2"/>
  <c r="G6057" i="2"/>
  <c r="H6057" i="2"/>
  <c r="J6057" i="2"/>
  <c r="K6057" i="2"/>
  <c r="L6057" i="2"/>
  <c r="C6058" i="2"/>
  <c r="D6058" i="2"/>
  <c r="F6058" i="2"/>
  <c r="G6058" i="2"/>
  <c r="H6058" i="2"/>
  <c r="J6058" i="2"/>
  <c r="K6058" i="2"/>
  <c r="L6058" i="2"/>
  <c r="C6059" i="2"/>
  <c r="D6059" i="2"/>
  <c r="E6059" i="2"/>
  <c r="F6059" i="2"/>
  <c r="G6059" i="2"/>
  <c r="H6059" i="2"/>
  <c r="J6059" i="2"/>
  <c r="K6059" i="2"/>
  <c r="L6059" i="2"/>
  <c r="C6060" i="2"/>
  <c r="D6060" i="2"/>
  <c r="F6060" i="2"/>
  <c r="G6060" i="2"/>
  <c r="H6060" i="2"/>
  <c r="J6060" i="2"/>
  <c r="K6060" i="2"/>
  <c r="L6060" i="2"/>
  <c r="C6061" i="2"/>
  <c r="D6061" i="2"/>
  <c r="F6061" i="2"/>
  <c r="G6061" i="2"/>
  <c r="H6061" i="2"/>
  <c r="J6061" i="2"/>
  <c r="K6061" i="2"/>
  <c r="L6061" i="2"/>
  <c r="C6062" i="2"/>
  <c r="D6062" i="2"/>
  <c r="F6062" i="2"/>
  <c r="G6062" i="2"/>
  <c r="H6062" i="2"/>
  <c r="J6062" i="2"/>
  <c r="K6062" i="2"/>
  <c r="L6062" i="2"/>
  <c r="C6063" i="2"/>
  <c r="D6063" i="2"/>
  <c r="F6063" i="2"/>
  <c r="G6063" i="2"/>
  <c r="H6063" i="2"/>
  <c r="J6063" i="2"/>
  <c r="K6063" i="2"/>
  <c r="L6063" i="2"/>
  <c r="C6064" i="2"/>
  <c r="D6064" i="2"/>
  <c r="F6064" i="2"/>
  <c r="G6064" i="2"/>
  <c r="H6064" i="2"/>
  <c r="J6064" i="2"/>
  <c r="K6064" i="2"/>
  <c r="L6064" i="2"/>
  <c r="C6065" i="2"/>
  <c r="D6065" i="2"/>
  <c r="F6065" i="2"/>
  <c r="G6065" i="2"/>
  <c r="H6065" i="2"/>
  <c r="J6065" i="2"/>
  <c r="K6065" i="2"/>
  <c r="L6065" i="2"/>
  <c r="C6066" i="2"/>
  <c r="D6066" i="2"/>
  <c r="F6066" i="2"/>
  <c r="G6066" i="2"/>
  <c r="H6066" i="2"/>
  <c r="J6066" i="2"/>
  <c r="K6066" i="2"/>
  <c r="L6066" i="2"/>
  <c r="C6067" i="2"/>
  <c r="D6067" i="2"/>
  <c r="F6067" i="2"/>
  <c r="G6067" i="2"/>
  <c r="H6067" i="2"/>
  <c r="J6067" i="2"/>
  <c r="K6067" i="2"/>
  <c r="L6067" i="2"/>
  <c r="C6068" i="2"/>
  <c r="D6068" i="2"/>
  <c r="F6068" i="2"/>
  <c r="G6068" i="2"/>
  <c r="H6068" i="2"/>
  <c r="J6068" i="2"/>
  <c r="K6068" i="2"/>
  <c r="L6068" i="2"/>
  <c r="C6069" i="2"/>
  <c r="D6069" i="2"/>
  <c r="F6069" i="2"/>
  <c r="G6069" i="2"/>
  <c r="H6069" i="2"/>
  <c r="J6069" i="2"/>
  <c r="K6069" i="2"/>
  <c r="L6069" i="2"/>
  <c r="C6070" i="2"/>
  <c r="D6070" i="2"/>
  <c r="F6070" i="2"/>
  <c r="G6070" i="2"/>
  <c r="H6070" i="2"/>
  <c r="J6070" i="2"/>
  <c r="K6070" i="2"/>
  <c r="L6070" i="2"/>
  <c r="C6071" i="2"/>
  <c r="D6071" i="2"/>
  <c r="F6071" i="2"/>
  <c r="G6071" i="2"/>
  <c r="H6071" i="2"/>
  <c r="J6071" i="2"/>
  <c r="K6071" i="2"/>
  <c r="L6071" i="2"/>
  <c r="C6072" i="2"/>
  <c r="D6072" i="2"/>
  <c r="F6072" i="2"/>
  <c r="G6072" i="2"/>
  <c r="H6072" i="2"/>
  <c r="J6072" i="2"/>
  <c r="K6072" i="2"/>
  <c r="L6072" i="2"/>
  <c r="C6073" i="2"/>
  <c r="D6073" i="2"/>
  <c r="F6073" i="2"/>
  <c r="G6073" i="2"/>
  <c r="H6073" i="2"/>
  <c r="J6073" i="2"/>
  <c r="K6073" i="2"/>
  <c r="L6073" i="2"/>
  <c r="C6074" i="2"/>
  <c r="D6074" i="2"/>
  <c r="F6074" i="2"/>
  <c r="G6074" i="2"/>
  <c r="H6074" i="2"/>
  <c r="J6074" i="2"/>
  <c r="K6074" i="2"/>
  <c r="L6074" i="2"/>
  <c r="C6075" i="2"/>
  <c r="D6075" i="2"/>
  <c r="F6075" i="2"/>
  <c r="G6075" i="2"/>
  <c r="H6075" i="2"/>
  <c r="J6075" i="2"/>
  <c r="K6075" i="2"/>
  <c r="L6075" i="2"/>
  <c r="C6076" i="2"/>
  <c r="D6076" i="2"/>
  <c r="F6076" i="2"/>
  <c r="G6076" i="2"/>
  <c r="H6076" i="2"/>
  <c r="J6076" i="2"/>
  <c r="K6076" i="2"/>
  <c r="L6076" i="2"/>
  <c r="C6077" i="2"/>
  <c r="D6077" i="2"/>
  <c r="F6077" i="2"/>
  <c r="G6077" i="2"/>
  <c r="H6077" i="2"/>
  <c r="J6077" i="2"/>
  <c r="K6077" i="2"/>
  <c r="L6077" i="2"/>
  <c r="C6078" i="2"/>
  <c r="D6078" i="2"/>
  <c r="F6078" i="2"/>
  <c r="G6078" i="2"/>
  <c r="H6078" i="2"/>
  <c r="J6078" i="2"/>
  <c r="K6078" i="2"/>
  <c r="L6078" i="2"/>
  <c r="C6079" i="2"/>
  <c r="D6079" i="2"/>
  <c r="F6079" i="2"/>
  <c r="G6079" i="2"/>
  <c r="H6079" i="2"/>
  <c r="J6079" i="2"/>
  <c r="K6079" i="2"/>
  <c r="L6079" i="2"/>
  <c r="C6080" i="2"/>
  <c r="D6080" i="2"/>
  <c r="F6080" i="2"/>
  <c r="G6080" i="2"/>
  <c r="H6080" i="2"/>
  <c r="J6080" i="2"/>
  <c r="K6080" i="2"/>
  <c r="L6080" i="2"/>
  <c r="C6081" i="2"/>
  <c r="D6081" i="2"/>
  <c r="F6081" i="2"/>
  <c r="G6081" i="2"/>
  <c r="H6081" i="2"/>
  <c r="J6081" i="2"/>
  <c r="K6081" i="2"/>
  <c r="L6081" i="2"/>
  <c r="C6082" i="2"/>
  <c r="D6082" i="2"/>
  <c r="F6082" i="2"/>
  <c r="G6082" i="2"/>
  <c r="H6082" i="2"/>
  <c r="J6082" i="2"/>
  <c r="K6082" i="2"/>
  <c r="L6082" i="2"/>
  <c r="C6083" i="2"/>
  <c r="D6083" i="2"/>
  <c r="F6083" i="2"/>
  <c r="G6083" i="2"/>
  <c r="H6083" i="2"/>
  <c r="J6083" i="2"/>
  <c r="K6083" i="2"/>
  <c r="L6083" i="2"/>
  <c r="C6084" i="2"/>
  <c r="D6084" i="2"/>
  <c r="F6084" i="2"/>
  <c r="G6084" i="2"/>
  <c r="H6084" i="2"/>
  <c r="J6084" i="2"/>
  <c r="K6084" i="2"/>
  <c r="L6084" i="2"/>
  <c r="C6085" i="2"/>
  <c r="D6085" i="2"/>
  <c r="F6085" i="2"/>
  <c r="G6085" i="2"/>
  <c r="H6085" i="2"/>
  <c r="J6085" i="2"/>
  <c r="K6085" i="2"/>
  <c r="L6085" i="2"/>
  <c r="C6086" i="2"/>
  <c r="D6086" i="2"/>
  <c r="F6086" i="2"/>
  <c r="G6086" i="2"/>
  <c r="H6086" i="2"/>
  <c r="J6086" i="2"/>
  <c r="K6086" i="2"/>
  <c r="L6086" i="2"/>
  <c r="C6087" i="2"/>
  <c r="D6087" i="2"/>
  <c r="F6087" i="2"/>
  <c r="G6087" i="2"/>
  <c r="H6087" i="2"/>
  <c r="J6087" i="2"/>
  <c r="K6087" i="2"/>
  <c r="L6087" i="2"/>
  <c r="C6088" i="2"/>
  <c r="D6088" i="2"/>
  <c r="F6088" i="2"/>
  <c r="G6088" i="2"/>
  <c r="H6088" i="2"/>
  <c r="J6088" i="2"/>
  <c r="K6088" i="2"/>
  <c r="L6088" i="2"/>
  <c r="C6089" i="2"/>
  <c r="D6089" i="2"/>
  <c r="F6089" i="2"/>
  <c r="G6089" i="2"/>
  <c r="H6089" i="2"/>
  <c r="J6089" i="2"/>
  <c r="K6089" i="2"/>
  <c r="L6089" i="2"/>
  <c r="C6090" i="2"/>
  <c r="D6090" i="2"/>
  <c r="F6090" i="2"/>
  <c r="G6090" i="2"/>
  <c r="H6090" i="2"/>
  <c r="J6090" i="2"/>
  <c r="K6090" i="2"/>
  <c r="L6090" i="2"/>
  <c r="C6091" i="2"/>
  <c r="D6091" i="2"/>
  <c r="F6091" i="2"/>
  <c r="G6091" i="2"/>
  <c r="H6091" i="2"/>
  <c r="J6091" i="2"/>
  <c r="K6091" i="2"/>
  <c r="L6091" i="2"/>
  <c r="C6092" i="2"/>
  <c r="D6092" i="2"/>
  <c r="F6092" i="2"/>
  <c r="G6092" i="2"/>
  <c r="H6092" i="2"/>
  <c r="J6092" i="2"/>
  <c r="K6092" i="2"/>
  <c r="L6092" i="2"/>
  <c r="C6093" i="2"/>
  <c r="D6093" i="2"/>
  <c r="F6093" i="2"/>
  <c r="G6093" i="2"/>
  <c r="H6093" i="2"/>
  <c r="J6093" i="2"/>
  <c r="K6093" i="2"/>
  <c r="L6093" i="2"/>
  <c r="C6094" i="2"/>
  <c r="D6094" i="2"/>
  <c r="F6094" i="2"/>
  <c r="G6094" i="2"/>
  <c r="H6094" i="2"/>
  <c r="J6094" i="2"/>
  <c r="K6094" i="2"/>
  <c r="L6094" i="2"/>
  <c r="C6095" i="2"/>
  <c r="D6095" i="2"/>
  <c r="F6095" i="2"/>
  <c r="G6095" i="2"/>
  <c r="H6095" i="2"/>
  <c r="J6095" i="2"/>
  <c r="K6095" i="2"/>
  <c r="L6095" i="2"/>
  <c r="C6096" i="2"/>
  <c r="D6096" i="2"/>
  <c r="F6096" i="2"/>
  <c r="G6096" i="2"/>
  <c r="H6096" i="2"/>
  <c r="J6096" i="2"/>
  <c r="K6096" i="2"/>
  <c r="L6096" i="2"/>
  <c r="C6097" i="2"/>
  <c r="D6097" i="2"/>
  <c r="F6097" i="2"/>
  <c r="G6097" i="2"/>
  <c r="H6097" i="2"/>
  <c r="J6097" i="2"/>
  <c r="K6097" i="2"/>
  <c r="L6097" i="2"/>
  <c r="C6098" i="2"/>
  <c r="D6098" i="2"/>
  <c r="F6098" i="2"/>
  <c r="G6098" i="2"/>
  <c r="H6098" i="2"/>
  <c r="J6098" i="2"/>
  <c r="K6098" i="2"/>
  <c r="L6098" i="2"/>
  <c r="C6099" i="2"/>
  <c r="D6099" i="2"/>
  <c r="F6099" i="2"/>
  <c r="G6099" i="2"/>
  <c r="H6099" i="2"/>
  <c r="J6099" i="2"/>
  <c r="K6099" i="2"/>
  <c r="L6099" i="2"/>
  <c r="C6100" i="2"/>
  <c r="D6100" i="2"/>
  <c r="F6100" i="2"/>
  <c r="G6100" i="2"/>
  <c r="H6100" i="2"/>
  <c r="J6100" i="2"/>
  <c r="K6100" i="2"/>
  <c r="L6100" i="2"/>
  <c r="C6101" i="2"/>
  <c r="D6101" i="2"/>
  <c r="F6101" i="2"/>
  <c r="G6101" i="2"/>
  <c r="H6101" i="2"/>
  <c r="J6101" i="2"/>
  <c r="K6101" i="2"/>
  <c r="L6101" i="2"/>
  <c r="C6102" i="2"/>
  <c r="D6102" i="2"/>
  <c r="F6102" i="2"/>
  <c r="G6102" i="2"/>
  <c r="H6102" i="2"/>
  <c r="J6102" i="2"/>
  <c r="K6102" i="2"/>
  <c r="L6102" i="2"/>
  <c r="C6103" i="2"/>
  <c r="D6103" i="2"/>
  <c r="F6103" i="2"/>
  <c r="G6103" i="2"/>
  <c r="H6103" i="2"/>
  <c r="J6103" i="2"/>
  <c r="K6103" i="2"/>
  <c r="L6103" i="2"/>
  <c r="C6104" i="2"/>
  <c r="D6104" i="2"/>
  <c r="F6104" i="2"/>
  <c r="G6104" i="2"/>
  <c r="H6104" i="2"/>
  <c r="J6104" i="2"/>
  <c r="K6104" i="2"/>
  <c r="L6104" i="2"/>
  <c r="C6105" i="2"/>
  <c r="D6105" i="2"/>
  <c r="F6105" i="2"/>
  <c r="G6105" i="2"/>
  <c r="H6105" i="2"/>
  <c r="J6105" i="2"/>
  <c r="K6105" i="2"/>
  <c r="L6105" i="2"/>
  <c r="C6106" i="2"/>
  <c r="D6106" i="2"/>
  <c r="F6106" i="2"/>
  <c r="G6106" i="2"/>
  <c r="H6106" i="2"/>
  <c r="J6106" i="2"/>
  <c r="K6106" i="2"/>
  <c r="L6106" i="2"/>
  <c r="C6107" i="2"/>
  <c r="D6107" i="2"/>
  <c r="F6107" i="2"/>
  <c r="G6107" i="2"/>
  <c r="H6107" i="2"/>
  <c r="J6107" i="2"/>
  <c r="K6107" i="2"/>
  <c r="L6107" i="2"/>
  <c r="C6108" i="2"/>
  <c r="D6108" i="2"/>
  <c r="F6108" i="2"/>
  <c r="G6108" i="2"/>
  <c r="H6108" i="2"/>
  <c r="J6108" i="2"/>
  <c r="K6108" i="2"/>
  <c r="L6108" i="2"/>
  <c r="C6109" i="2"/>
  <c r="D6109" i="2"/>
  <c r="F6109" i="2"/>
  <c r="G6109" i="2"/>
  <c r="H6109" i="2"/>
  <c r="J6109" i="2"/>
  <c r="K6109" i="2"/>
  <c r="L6109" i="2"/>
  <c r="C6110" i="2"/>
  <c r="D6110" i="2"/>
  <c r="F6110" i="2"/>
  <c r="G6110" i="2"/>
  <c r="H6110" i="2"/>
  <c r="J6110" i="2"/>
  <c r="K6110" i="2"/>
  <c r="L6110" i="2"/>
  <c r="C6111" i="2"/>
  <c r="D6111" i="2"/>
  <c r="F6111" i="2"/>
  <c r="G6111" i="2"/>
  <c r="H6111" i="2"/>
  <c r="J6111" i="2"/>
  <c r="K6111" i="2"/>
  <c r="L6111" i="2"/>
  <c r="C6112" i="2"/>
  <c r="D6112" i="2"/>
  <c r="F6112" i="2"/>
  <c r="G6112" i="2"/>
  <c r="H6112" i="2"/>
  <c r="J6112" i="2"/>
  <c r="K6112" i="2"/>
  <c r="L6112" i="2"/>
  <c r="C6113" i="2"/>
  <c r="D6113" i="2"/>
  <c r="F6113" i="2"/>
  <c r="G6113" i="2"/>
  <c r="H6113" i="2"/>
  <c r="J6113" i="2"/>
  <c r="K6113" i="2"/>
  <c r="L6113" i="2"/>
  <c r="C6114" i="2"/>
  <c r="D6114" i="2"/>
  <c r="F6114" i="2"/>
  <c r="G6114" i="2"/>
  <c r="H6114" i="2"/>
  <c r="J6114" i="2"/>
  <c r="K6114" i="2"/>
  <c r="L6114" i="2"/>
  <c r="C6115" i="2"/>
  <c r="D6115" i="2"/>
  <c r="F6115" i="2"/>
  <c r="G6115" i="2"/>
  <c r="H6115" i="2"/>
  <c r="J6115" i="2"/>
  <c r="K6115" i="2"/>
  <c r="L6115" i="2"/>
  <c r="C6116" i="2"/>
  <c r="D6116" i="2"/>
  <c r="F6116" i="2"/>
  <c r="G6116" i="2"/>
  <c r="H6116" i="2"/>
  <c r="J6116" i="2"/>
  <c r="K6116" i="2"/>
  <c r="L6116" i="2"/>
  <c r="C6117" i="2"/>
  <c r="D6117" i="2"/>
  <c r="F6117" i="2"/>
  <c r="G6117" i="2"/>
  <c r="H6117" i="2"/>
  <c r="J6117" i="2"/>
  <c r="K6117" i="2"/>
  <c r="L6117" i="2"/>
  <c r="C6118" i="2"/>
  <c r="D6118" i="2"/>
  <c r="F6118" i="2"/>
  <c r="G6118" i="2"/>
  <c r="H6118" i="2"/>
  <c r="J6118" i="2"/>
  <c r="K6118" i="2"/>
  <c r="L6118" i="2"/>
  <c r="C6119" i="2"/>
  <c r="D6119" i="2"/>
  <c r="F6119" i="2"/>
  <c r="G6119" i="2"/>
  <c r="H6119" i="2"/>
  <c r="J6119" i="2"/>
  <c r="K6119" i="2"/>
  <c r="L6119" i="2"/>
  <c r="C6120" i="2"/>
  <c r="D6120" i="2"/>
  <c r="F6120" i="2"/>
  <c r="G6120" i="2"/>
  <c r="H6120" i="2"/>
  <c r="J6120" i="2"/>
  <c r="K6120" i="2"/>
  <c r="L6120" i="2"/>
  <c r="C6121" i="2"/>
  <c r="D6121" i="2"/>
  <c r="F6121" i="2"/>
  <c r="G6121" i="2"/>
  <c r="H6121" i="2"/>
  <c r="J6121" i="2"/>
  <c r="K6121" i="2"/>
  <c r="L6121" i="2"/>
  <c r="C6122" i="2"/>
  <c r="D6122" i="2"/>
  <c r="F6122" i="2"/>
  <c r="G6122" i="2"/>
  <c r="H6122" i="2"/>
  <c r="J6122" i="2"/>
  <c r="K6122" i="2"/>
  <c r="L6122" i="2"/>
  <c r="C6123" i="2"/>
  <c r="D6123" i="2"/>
  <c r="F6123" i="2"/>
  <c r="G6123" i="2"/>
  <c r="H6123" i="2"/>
  <c r="J6123" i="2"/>
  <c r="K6123" i="2"/>
  <c r="L6123" i="2"/>
  <c r="C6124" i="2"/>
  <c r="D6124" i="2"/>
  <c r="F6124" i="2"/>
  <c r="G6124" i="2"/>
  <c r="H6124" i="2"/>
  <c r="J6124" i="2"/>
  <c r="K6124" i="2"/>
  <c r="L6124" i="2"/>
  <c r="C6125" i="2"/>
  <c r="D6125" i="2"/>
  <c r="F6125" i="2"/>
  <c r="G6125" i="2"/>
  <c r="H6125" i="2"/>
  <c r="J6125" i="2"/>
  <c r="K6125" i="2"/>
  <c r="L6125" i="2"/>
  <c r="C6126" i="2"/>
  <c r="D6126" i="2"/>
  <c r="F6126" i="2"/>
  <c r="G6126" i="2"/>
  <c r="H6126" i="2"/>
  <c r="J6126" i="2"/>
  <c r="K6126" i="2"/>
  <c r="L6126" i="2"/>
  <c r="C6127" i="2"/>
  <c r="D6127" i="2"/>
  <c r="F6127" i="2"/>
  <c r="G6127" i="2"/>
  <c r="H6127" i="2"/>
  <c r="J6127" i="2"/>
  <c r="K6127" i="2"/>
  <c r="L6127" i="2"/>
  <c r="C6128" i="2"/>
  <c r="D6128" i="2"/>
  <c r="F6128" i="2"/>
  <c r="G6128" i="2"/>
  <c r="H6128" i="2"/>
  <c r="J6128" i="2"/>
  <c r="K6128" i="2"/>
  <c r="L6128" i="2"/>
  <c r="C6129" i="2"/>
  <c r="D6129" i="2"/>
  <c r="F6129" i="2"/>
  <c r="G6129" i="2"/>
  <c r="H6129" i="2"/>
  <c r="J6129" i="2"/>
  <c r="K6129" i="2"/>
  <c r="L6129" i="2"/>
  <c r="C6130" i="2"/>
  <c r="D6130" i="2"/>
  <c r="F6130" i="2"/>
  <c r="G6130" i="2"/>
  <c r="H6130" i="2"/>
  <c r="J6130" i="2"/>
  <c r="K6130" i="2"/>
  <c r="L6130" i="2"/>
  <c r="C6131" i="2"/>
  <c r="D6131" i="2"/>
  <c r="F6131" i="2"/>
  <c r="G6131" i="2"/>
  <c r="H6131" i="2"/>
  <c r="J6131" i="2"/>
  <c r="K6131" i="2"/>
  <c r="L6131" i="2"/>
  <c r="C6132" i="2"/>
  <c r="D6132" i="2"/>
  <c r="F6132" i="2"/>
  <c r="G6132" i="2"/>
  <c r="H6132" i="2"/>
  <c r="J6132" i="2"/>
  <c r="K6132" i="2"/>
  <c r="L6132" i="2"/>
  <c r="C6133" i="2"/>
  <c r="D6133" i="2"/>
  <c r="F6133" i="2"/>
  <c r="G6133" i="2"/>
  <c r="H6133" i="2"/>
  <c r="J6133" i="2"/>
  <c r="K6133" i="2"/>
  <c r="L6133" i="2"/>
  <c r="C6134" i="2"/>
  <c r="D6134" i="2"/>
  <c r="F6134" i="2"/>
  <c r="G6134" i="2"/>
  <c r="H6134" i="2"/>
  <c r="J6134" i="2"/>
  <c r="K6134" i="2"/>
  <c r="L6134" i="2"/>
  <c r="C6135" i="2"/>
  <c r="D6135" i="2"/>
  <c r="F6135" i="2"/>
  <c r="G6135" i="2"/>
  <c r="H6135" i="2"/>
  <c r="J6135" i="2"/>
  <c r="K6135" i="2"/>
  <c r="L6135" i="2"/>
  <c r="C6136" i="2"/>
  <c r="D6136" i="2"/>
  <c r="F6136" i="2"/>
  <c r="G6136" i="2"/>
  <c r="H6136" i="2"/>
  <c r="J6136" i="2"/>
  <c r="K6136" i="2"/>
  <c r="L6136" i="2"/>
  <c r="C6137" i="2"/>
  <c r="D6137" i="2"/>
  <c r="F6137" i="2"/>
  <c r="G6137" i="2"/>
  <c r="H6137" i="2"/>
  <c r="J6137" i="2"/>
  <c r="K6137" i="2"/>
  <c r="L6137" i="2"/>
  <c r="C6138" i="2"/>
  <c r="D6138" i="2"/>
  <c r="F6138" i="2"/>
  <c r="G6138" i="2"/>
  <c r="H6138" i="2"/>
  <c r="J6138" i="2"/>
  <c r="K6138" i="2"/>
  <c r="L6138" i="2"/>
  <c r="C6139" i="2"/>
  <c r="D6139" i="2"/>
  <c r="F6139" i="2"/>
  <c r="G6139" i="2"/>
  <c r="H6139" i="2"/>
  <c r="J6139" i="2"/>
  <c r="K6139" i="2"/>
  <c r="L6139" i="2"/>
  <c r="C6140" i="2"/>
  <c r="D6140" i="2"/>
  <c r="F6140" i="2"/>
  <c r="G6140" i="2"/>
  <c r="H6140" i="2"/>
  <c r="J6140" i="2"/>
  <c r="K6140" i="2"/>
  <c r="L6140" i="2"/>
  <c r="C6141" i="2"/>
  <c r="D6141" i="2"/>
  <c r="F6141" i="2"/>
  <c r="G6141" i="2"/>
  <c r="H6141" i="2"/>
  <c r="J6141" i="2"/>
  <c r="K6141" i="2"/>
  <c r="L6141" i="2"/>
  <c r="C6142" i="2"/>
  <c r="D6142" i="2"/>
  <c r="F6142" i="2"/>
  <c r="G6142" i="2"/>
  <c r="H6142" i="2"/>
  <c r="J6142" i="2"/>
  <c r="K6142" i="2"/>
  <c r="L6142" i="2"/>
  <c r="C6143" i="2"/>
  <c r="D6143" i="2"/>
  <c r="F6143" i="2"/>
  <c r="G6143" i="2"/>
  <c r="H6143" i="2"/>
  <c r="J6143" i="2"/>
  <c r="K6143" i="2"/>
  <c r="L6143" i="2"/>
  <c r="C6144" i="2"/>
  <c r="D6144" i="2"/>
  <c r="F6144" i="2"/>
  <c r="G6144" i="2"/>
  <c r="H6144" i="2"/>
  <c r="J6144" i="2"/>
  <c r="K6144" i="2"/>
  <c r="L6144" i="2"/>
  <c r="C6145" i="2"/>
  <c r="D6145" i="2"/>
  <c r="F6145" i="2"/>
  <c r="G6145" i="2"/>
  <c r="H6145" i="2"/>
  <c r="J6145" i="2"/>
  <c r="K6145" i="2"/>
  <c r="L6145" i="2"/>
  <c r="C6146" i="2"/>
  <c r="D6146" i="2"/>
  <c r="F6146" i="2"/>
  <c r="G6146" i="2"/>
  <c r="H6146" i="2"/>
  <c r="J6146" i="2"/>
  <c r="K6146" i="2"/>
  <c r="L6146" i="2"/>
  <c r="C6147" i="2"/>
  <c r="D6147" i="2"/>
  <c r="F6147" i="2"/>
  <c r="G6147" i="2"/>
  <c r="H6147" i="2"/>
  <c r="J6147" i="2"/>
  <c r="K6147" i="2"/>
  <c r="L6147" i="2"/>
  <c r="C6148" i="2"/>
  <c r="D6148" i="2"/>
  <c r="F6148" i="2"/>
  <c r="G6148" i="2"/>
  <c r="H6148" i="2"/>
  <c r="J6148" i="2"/>
  <c r="K6148" i="2"/>
  <c r="L6148" i="2"/>
  <c r="C6149" i="2"/>
  <c r="D6149" i="2"/>
  <c r="F6149" i="2"/>
  <c r="G6149" i="2"/>
  <c r="H6149" i="2"/>
  <c r="J6149" i="2"/>
  <c r="K6149" i="2"/>
  <c r="L6149" i="2"/>
  <c r="C6150" i="2"/>
  <c r="D6150" i="2"/>
  <c r="F6150" i="2"/>
  <c r="G6150" i="2"/>
  <c r="H6150" i="2"/>
  <c r="J6150" i="2"/>
  <c r="K6150" i="2"/>
  <c r="L6150" i="2"/>
  <c r="C6151" i="2"/>
  <c r="D6151" i="2"/>
  <c r="F6151" i="2"/>
  <c r="G6151" i="2"/>
  <c r="H6151" i="2"/>
  <c r="J6151" i="2"/>
  <c r="K6151" i="2"/>
  <c r="L6151" i="2"/>
  <c r="C6152" i="2"/>
  <c r="D6152" i="2"/>
  <c r="F6152" i="2"/>
  <c r="G6152" i="2"/>
  <c r="H6152" i="2"/>
  <c r="J6152" i="2"/>
  <c r="K6152" i="2"/>
  <c r="L6152" i="2"/>
  <c r="C6153" i="2"/>
  <c r="D6153" i="2"/>
  <c r="F6153" i="2"/>
  <c r="G6153" i="2"/>
  <c r="H6153" i="2"/>
  <c r="J6153" i="2"/>
  <c r="K6153" i="2"/>
  <c r="L6153" i="2"/>
  <c r="C6154" i="2"/>
  <c r="D6154" i="2"/>
  <c r="F6154" i="2"/>
  <c r="G6154" i="2"/>
  <c r="H6154" i="2"/>
  <c r="J6154" i="2"/>
  <c r="K6154" i="2"/>
  <c r="L6154" i="2"/>
  <c r="C6155" i="2"/>
  <c r="D6155" i="2"/>
  <c r="F6155" i="2"/>
  <c r="G6155" i="2"/>
  <c r="H6155" i="2"/>
  <c r="J6155" i="2"/>
  <c r="K6155" i="2"/>
  <c r="L6155" i="2"/>
  <c r="C6156" i="2"/>
  <c r="D6156" i="2"/>
  <c r="F6156" i="2"/>
  <c r="G6156" i="2"/>
  <c r="H6156" i="2"/>
  <c r="J6156" i="2"/>
  <c r="K6156" i="2"/>
  <c r="L6156" i="2"/>
  <c r="C6157" i="2"/>
  <c r="D6157" i="2"/>
  <c r="F6157" i="2"/>
  <c r="G6157" i="2"/>
  <c r="H6157" i="2"/>
  <c r="J6157" i="2"/>
  <c r="K6157" i="2"/>
  <c r="L6157" i="2"/>
  <c r="C6158" i="2"/>
  <c r="D6158" i="2"/>
  <c r="F6158" i="2"/>
  <c r="G6158" i="2"/>
  <c r="H6158" i="2"/>
  <c r="J6158" i="2"/>
  <c r="K6158" i="2"/>
  <c r="L6158" i="2"/>
  <c r="C6159" i="2"/>
  <c r="D6159" i="2"/>
  <c r="F6159" i="2"/>
  <c r="G6159" i="2"/>
  <c r="H6159" i="2"/>
  <c r="J6159" i="2"/>
  <c r="K6159" i="2"/>
  <c r="L6159" i="2"/>
  <c r="C6160" i="2"/>
  <c r="D6160" i="2"/>
  <c r="F6160" i="2"/>
  <c r="G6160" i="2"/>
  <c r="H6160" i="2"/>
  <c r="J6160" i="2"/>
  <c r="K6160" i="2"/>
  <c r="L6160" i="2"/>
  <c r="C6161" i="2"/>
  <c r="D6161" i="2"/>
  <c r="F6161" i="2"/>
  <c r="G6161" i="2"/>
  <c r="H6161" i="2"/>
  <c r="J6161" i="2"/>
  <c r="K6161" i="2"/>
  <c r="L6161" i="2"/>
  <c r="C6162" i="2"/>
  <c r="D6162" i="2"/>
  <c r="F6162" i="2"/>
  <c r="G6162" i="2"/>
  <c r="H6162" i="2"/>
  <c r="J6162" i="2"/>
  <c r="K6162" i="2"/>
  <c r="L6162" i="2"/>
  <c r="C6163" i="2"/>
  <c r="D6163" i="2"/>
  <c r="F6163" i="2"/>
  <c r="G6163" i="2"/>
  <c r="H6163" i="2"/>
  <c r="J6163" i="2"/>
  <c r="K6163" i="2"/>
  <c r="L6163" i="2"/>
  <c r="C6164" i="2"/>
  <c r="D6164" i="2"/>
  <c r="F6164" i="2"/>
  <c r="G6164" i="2"/>
  <c r="H6164" i="2"/>
  <c r="J6164" i="2"/>
  <c r="K6164" i="2"/>
  <c r="L6164" i="2"/>
  <c r="C6165" i="2"/>
  <c r="D6165" i="2"/>
  <c r="F6165" i="2"/>
  <c r="G6165" i="2"/>
  <c r="H6165" i="2"/>
  <c r="J6165" i="2"/>
  <c r="K6165" i="2"/>
  <c r="L6165" i="2"/>
  <c r="C6166" i="2"/>
  <c r="D6166" i="2"/>
  <c r="F6166" i="2"/>
  <c r="G6166" i="2"/>
  <c r="H6166" i="2"/>
  <c r="J6166" i="2"/>
  <c r="K6166" i="2"/>
  <c r="L6166" i="2"/>
  <c r="C6167" i="2"/>
  <c r="D6167" i="2"/>
  <c r="F6167" i="2"/>
  <c r="G6167" i="2"/>
  <c r="H6167" i="2"/>
  <c r="J6167" i="2"/>
  <c r="K6167" i="2"/>
  <c r="L6167" i="2"/>
  <c r="C6168" i="2"/>
  <c r="D6168" i="2"/>
  <c r="F6168" i="2"/>
  <c r="G6168" i="2"/>
  <c r="H6168" i="2"/>
  <c r="J6168" i="2"/>
  <c r="K6168" i="2"/>
  <c r="L6168" i="2"/>
  <c r="C6169" i="2"/>
  <c r="D6169" i="2"/>
  <c r="F6169" i="2"/>
  <c r="G6169" i="2"/>
  <c r="H6169" i="2"/>
  <c r="J6169" i="2"/>
  <c r="K6169" i="2"/>
  <c r="L6169" i="2"/>
  <c r="C6170" i="2"/>
  <c r="D6170" i="2"/>
  <c r="F6170" i="2"/>
  <c r="G6170" i="2"/>
  <c r="H6170" i="2"/>
  <c r="J6170" i="2"/>
  <c r="K6170" i="2"/>
  <c r="L6170" i="2"/>
  <c r="C6171" i="2"/>
  <c r="D6171" i="2"/>
  <c r="F6171" i="2"/>
  <c r="G6171" i="2"/>
  <c r="H6171" i="2"/>
  <c r="J6171" i="2"/>
  <c r="K6171" i="2"/>
  <c r="L6171" i="2"/>
  <c r="C6172" i="2"/>
  <c r="D6172" i="2"/>
  <c r="F6172" i="2"/>
  <c r="G6172" i="2"/>
  <c r="H6172" i="2"/>
  <c r="J6172" i="2"/>
  <c r="K6172" i="2"/>
  <c r="L6172" i="2"/>
  <c r="C6173" i="2"/>
  <c r="D6173" i="2"/>
  <c r="F6173" i="2"/>
  <c r="G6173" i="2"/>
  <c r="H6173" i="2"/>
  <c r="J6173" i="2"/>
  <c r="K6173" i="2"/>
  <c r="L6173" i="2"/>
  <c r="C6174" i="2"/>
  <c r="D6174" i="2"/>
  <c r="F6174" i="2"/>
  <c r="G6174" i="2"/>
  <c r="H6174" i="2"/>
  <c r="J6174" i="2"/>
  <c r="K6174" i="2"/>
  <c r="L6174" i="2"/>
  <c r="C6175" i="2"/>
  <c r="D6175" i="2"/>
  <c r="F6175" i="2"/>
  <c r="G6175" i="2"/>
  <c r="H6175" i="2"/>
  <c r="J6175" i="2"/>
  <c r="K6175" i="2"/>
  <c r="L6175" i="2"/>
  <c r="C6176" i="2"/>
  <c r="D6176" i="2"/>
  <c r="F6176" i="2"/>
  <c r="G6176" i="2"/>
  <c r="H6176" i="2"/>
  <c r="J6176" i="2"/>
  <c r="K6176" i="2"/>
  <c r="L6176" i="2"/>
  <c r="C6177" i="2"/>
  <c r="D6177" i="2"/>
  <c r="F6177" i="2"/>
  <c r="G6177" i="2"/>
  <c r="H6177" i="2"/>
  <c r="J6177" i="2"/>
  <c r="K6177" i="2"/>
  <c r="L6177" i="2"/>
  <c r="C6178" i="2"/>
  <c r="D6178" i="2"/>
  <c r="F6178" i="2"/>
  <c r="G6178" i="2"/>
  <c r="H6178" i="2"/>
  <c r="J6178" i="2"/>
  <c r="K6178" i="2"/>
  <c r="L6178" i="2"/>
  <c r="C6179" i="2"/>
  <c r="D6179" i="2"/>
  <c r="F6179" i="2"/>
  <c r="G6179" i="2"/>
  <c r="H6179" i="2"/>
  <c r="J6179" i="2"/>
  <c r="K6179" i="2"/>
  <c r="L6179" i="2"/>
  <c r="C6180" i="2"/>
  <c r="D6180" i="2"/>
  <c r="F6180" i="2"/>
  <c r="G6180" i="2"/>
  <c r="H6180" i="2"/>
  <c r="J6180" i="2"/>
  <c r="K6180" i="2"/>
  <c r="L6180" i="2"/>
  <c r="C6181" i="2"/>
  <c r="D6181" i="2"/>
  <c r="F6181" i="2"/>
  <c r="G6181" i="2"/>
  <c r="H6181" i="2"/>
  <c r="J6181" i="2"/>
  <c r="K6181" i="2"/>
  <c r="L6181" i="2"/>
  <c r="C6182" i="2"/>
  <c r="D6182" i="2"/>
  <c r="F6182" i="2"/>
  <c r="G6182" i="2"/>
  <c r="H6182" i="2"/>
  <c r="J6182" i="2"/>
  <c r="K6182" i="2"/>
  <c r="L6182" i="2"/>
  <c r="C6183" i="2"/>
  <c r="D6183" i="2"/>
  <c r="F6183" i="2"/>
  <c r="G6183" i="2"/>
  <c r="H6183" i="2"/>
  <c r="J6183" i="2"/>
  <c r="K6183" i="2"/>
  <c r="L6183" i="2"/>
  <c r="C6184" i="2"/>
  <c r="D6184" i="2"/>
  <c r="F6184" i="2"/>
  <c r="G6184" i="2"/>
  <c r="H6184" i="2"/>
  <c r="J6184" i="2"/>
  <c r="K6184" i="2"/>
  <c r="L6184" i="2"/>
  <c r="C6185" i="2"/>
  <c r="D6185" i="2"/>
  <c r="F6185" i="2"/>
  <c r="G6185" i="2"/>
  <c r="H6185" i="2"/>
  <c r="J6185" i="2"/>
  <c r="K6185" i="2"/>
  <c r="L6185" i="2"/>
  <c r="C6186" i="2"/>
  <c r="D6186" i="2"/>
  <c r="F6186" i="2"/>
  <c r="G6186" i="2"/>
  <c r="H6186" i="2"/>
  <c r="J6186" i="2"/>
  <c r="K6186" i="2"/>
  <c r="L6186" i="2"/>
  <c r="C6187" i="2"/>
  <c r="D6187" i="2"/>
  <c r="F6187" i="2"/>
  <c r="G6187" i="2"/>
  <c r="H6187" i="2"/>
  <c r="J6187" i="2"/>
  <c r="K6187" i="2"/>
  <c r="L6187" i="2"/>
  <c r="C6188" i="2"/>
  <c r="D6188" i="2"/>
  <c r="F6188" i="2"/>
  <c r="G6188" i="2"/>
  <c r="H6188" i="2"/>
  <c r="J6188" i="2"/>
  <c r="K6188" i="2"/>
  <c r="L6188" i="2"/>
  <c r="C6189" i="2"/>
  <c r="D6189" i="2"/>
  <c r="F6189" i="2"/>
  <c r="G6189" i="2"/>
  <c r="H6189" i="2"/>
  <c r="J6189" i="2"/>
  <c r="K6189" i="2"/>
  <c r="L6189" i="2"/>
  <c r="C6190" i="2"/>
  <c r="D6190" i="2"/>
  <c r="F6190" i="2"/>
  <c r="G6190" i="2"/>
  <c r="H6190" i="2"/>
  <c r="J6190" i="2"/>
  <c r="K6190" i="2"/>
  <c r="L6190" i="2"/>
  <c r="C6191" i="2"/>
  <c r="D6191" i="2"/>
  <c r="F6191" i="2"/>
  <c r="G6191" i="2"/>
  <c r="H6191" i="2"/>
  <c r="J6191" i="2"/>
  <c r="K6191" i="2"/>
  <c r="L6191" i="2"/>
  <c r="C6192" i="2"/>
  <c r="D6192" i="2"/>
  <c r="F6192" i="2"/>
  <c r="G6192" i="2"/>
  <c r="H6192" i="2"/>
  <c r="J6192" i="2"/>
  <c r="K6192" i="2"/>
  <c r="L6192" i="2"/>
  <c r="C6193" i="2"/>
  <c r="D6193" i="2"/>
  <c r="F6193" i="2"/>
  <c r="G6193" i="2"/>
  <c r="H6193" i="2"/>
  <c r="J6193" i="2"/>
  <c r="K6193" i="2"/>
  <c r="L6193" i="2"/>
  <c r="C6194" i="2"/>
  <c r="D6194" i="2"/>
  <c r="F6194" i="2"/>
  <c r="G6194" i="2"/>
  <c r="H6194" i="2"/>
  <c r="J6194" i="2"/>
  <c r="K6194" i="2"/>
  <c r="L6194" i="2"/>
  <c r="C6195" i="2"/>
  <c r="D6195" i="2"/>
  <c r="F6195" i="2"/>
  <c r="G6195" i="2"/>
  <c r="H6195" i="2"/>
  <c r="J6195" i="2"/>
  <c r="K6195" i="2"/>
  <c r="L6195" i="2"/>
  <c r="C6196" i="2"/>
  <c r="D6196" i="2"/>
  <c r="F6196" i="2"/>
  <c r="G6196" i="2"/>
  <c r="H6196" i="2"/>
  <c r="J6196" i="2"/>
  <c r="K6196" i="2"/>
  <c r="L6196" i="2"/>
  <c r="C6197" i="2"/>
  <c r="D6197" i="2"/>
  <c r="F6197" i="2"/>
  <c r="G6197" i="2"/>
  <c r="H6197" i="2"/>
  <c r="J6197" i="2"/>
  <c r="K6197" i="2"/>
  <c r="L6197" i="2"/>
  <c r="C6198" i="2"/>
  <c r="D6198" i="2"/>
  <c r="F6198" i="2"/>
  <c r="G6198" i="2"/>
  <c r="H6198" i="2"/>
  <c r="J6198" i="2"/>
  <c r="K6198" i="2"/>
  <c r="L6198" i="2"/>
  <c r="C6199" i="2"/>
  <c r="D6199" i="2"/>
  <c r="F6199" i="2"/>
  <c r="G6199" i="2"/>
  <c r="H6199" i="2"/>
  <c r="J6199" i="2"/>
  <c r="K6199" i="2"/>
  <c r="L6199" i="2"/>
  <c r="C6200" i="2"/>
  <c r="D6200" i="2"/>
  <c r="F6200" i="2"/>
  <c r="G6200" i="2"/>
  <c r="H6200" i="2"/>
  <c r="J6200" i="2"/>
  <c r="K6200" i="2"/>
  <c r="L6200" i="2"/>
  <c r="C6201" i="2"/>
  <c r="D6201" i="2"/>
  <c r="E6201" i="2"/>
  <c r="F6201" i="2"/>
  <c r="G6201" i="2"/>
  <c r="H6201" i="2"/>
  <c r="J6201" i="2"/>
  <c r="K6201" i="2"/>
  <c r="L6201" i="2"/>
  <c r="C6202" i="2"/>
  <c r="D6202" i="2"/>
  <c r="F6202" i="2"/>
  <c r="G6202" i="2"/>
  <c r="H6202" i="2"/>
  <c r="J6202" i="2"/>
  <c r="K6202" i="2"/>
  <c r="L6202" i="2"/>
  <c r="C6203" i="2"/>
  <c r="D6203" i="2"/>
  <c r="F6203" i="2"/>
  <c r="G6203" i="2"/>
  <c r="H6203" i="2"/>
  <c r="J6203" i="2"/>
  <c r="K6203" i="2"/>
  <c r="L6203" i="2"/>
  <c r="C6204" i="2"/>
  <c r="D6204" i="2"/>
  <c r="F6204" i="2"/>
  <c r="G6204" i="2"/>
  <c r="H6204" i="2"/>
  <c r="J6204" i="2"/>
  <c r="K6204" i="2"/>
  <c r="L6204" i="2"/>
  <c r="C6205" i="2"/>
  <c r="D6205" i="2"/>
  <c r="F6205" i="2"/>
  <c r="G6205" i="2"/>
  <c r="H6205" i="2"/>
  <c r="J6205" i="2"/>
  <c r="K6205" i="2"/>
  <c r="L6205" i="2"/>
  <c r="C6206" i="2"/>
  <c r="D6206" i="2"/>
  <c r="F6206" i="2"/>
  <c r="G6206" i="2"/>
  <c r="H6206" i="2"/>
  <c r="J6206" i="2"/>
  <c r="K6206" i="2"/>
  <c r="L6206" i="2"/>
  <c r="C6207" i="2"/>
  <c r="D6207" i="2"/>
  <c r="F6207" i="2"/>
  <c r="G6207" i="2"/>
  <c r="H6207" i="2"/>
  <c r="J6207" i="2"/>
  <c r="K6207" i="2"/>
  <c r="L6207" i="2"/>
  <c r="C6208" i="2"/>
  <c r="D6208" i="2"/>
  <c r="F6208" i="2"/>
  <c r="G6208" i="2"/>
  <c r="H6208" i="2"/>
  <c r="J6208" i="2"/>
  <c r="K6208" i="2"/>
  <c r="L6208" i="2"/>
  <c r="C6209" i="2"/>
  <c r="D6209" i="2"/>
  <c r="F6209" i="2"/>
  <c r="G6209" i="2"/>
  <c r="H6209" i="2"/>
  <c r="J6209" i="2"/>
  <c r="K6209" i="2"/>
  <c r="L6209" i="2"/>
  <c r="C6210" i="2"/>
  <c r="D6210" i="2"/>
  <c r="F6210" i="2"/>
  <c r="G6210" i="2"/>
  <c r="H6210" i="2"/>
  <c r="J6210" i="2"/>
  <c r="K6210" i="2"/>
  <c r="L6210" i="2"/>
  <c r="C6211" i="2"/>
  <c r="D6211" i="2"/>
  <c r="F6211" i="2"/>
  <c r="G6211" i="2"/>
  <c r="H6211" i="2"/>
  <c r="J6211" i="2"/>
  <c r="K6211" i="2"/>
  <c r="L6211" i="2"/>
  <c r="C6212" i="2"/>
  <c r="D6212" i="2"/>
  <c r="F6212" i="2"/>
  <c r="G6212" i="2"/>
  <c r="H6212" i="2"/>
  <c r="J6212" i="2"/>
  <c r="K6212" i="2"/>
  <c r="L6212" i="2"/>
  <c r="C6213" i="2"/>
  <c r="D6213" i="2"/>
  <c r="F6213" i="2"/>
  <c r="G6213" i="2"/>
  <c r="H6213" i="2"/>
  <c r="J6213" i="2"/>
  <c r="K6213" i="2"/>
  <c r="L6213" i="2"/>
  <c r="C6214" i="2"/>
  <c r="D6214" i="2"/>
  <c r="F6214" i="2"/>
  <c r="G6214" i="2"/>
  <c r="H6214" i="2"/>
  <c r="J6214" i="2"/>
  <c r="K6214" i="2"/>
  <c r="L6214" i="2"/>
  <c r="C6215" i="2"/>
  <c r="D6215" i="2"/>
  <c r="F6215" i="2"/>
  <c r="G6215" i="2"/>
  <c r="H6215" i="2"/>
  <c r="J6215" i="2"/>
  <c r="K6215" i="2"/>
  <c r="L6215" i="2"/>
  <c r="C6216" i="2"/>
  <c r="D6216" i="2"/>
  <c r="F6216" i="2"/>
  <c r="G6216" i="2"/>
  <c r="H6216" i="2"/>
  <c r="J6216" i="2"/>
  <c r="K6216" i="2"/>
  <c r="L6216" i="2"/>
  <c r="C6217" i="2"/>
  <c r="D6217" i="2"/>
  <c r="F6217" i="2"/>
  <c r="G6217" i="2"/>
  <c r="H6217" i="2"/>
  <c r="J6217" i="2"/>
  <c r="K6217" i="2"/>
  <c r="L6217" i="2"/>
  <c r="C6218" i="2"/>
  <c r="D6218" i="2"/>
  <c r="F6218" i="2"/>
  <c r="G6218" i="2"/>
  <c r="H6218" i="2"/>
  <c r="J6218" i="2"/>
  <c r="K6218" i="2"/>
  <c r="L6218" i="2"/>
  <c r="C6219" i="2"/>
  <c r="D6219" i="2"/>
  <c r="F6219" i="2"/>
  <c r="G6219" i="2"/>
  <c r="H6219" i="2"/>
  <c r="J6219" i="2"/>
  <c r="K6219" i="2"/>
  <c r="L6219" i="2"/>
  <c r="C6220" i="2"/>
  <c r="D6220" i="2"/>
  <c r="F6220" i="2"/>
  <c r="G6220" i="2"/>
  <c r="H6220" i="2"/>
  <c r="J6220" i="2"/>
  <c r="K6220" i="2"/>
  <c r="L6220" i="2"/>
  <c r="C6221" i="2"/>
  <c r="D6221" i="2"/>
  <c r="F6221" i="2"/>
  <c r="G6221" i="2"/>
  <c r="H6221" i="2"/>
  <c r="J6221" i="2"/>
  <c r="K6221" i="2"/>
  <c r="L6221" i="2"/>
  <c r="C6222" i="2"/>
  <c r="D6222" i="2"/>
  <c r="F6222" i="2"/>
  <c r="G6222" i="2"/>
  <c r="H6222" i="2"/>
  <c r="J6222" i="2"/>
  <c r="K6222" i="2"/>
  <c r="L6222" i="2"/>
  <c r="C6223" i="2"/>
  <c r="D6223" i="2"/>
  <c r="F6223" i="2"/>
  <c r="G6223" i="2"/>
  <c r="H6223" i="2"/>
  <c r="J6223" i="2"/>
  <c r="K6223" i="2"/>
  <c r="L6223" i="2"/>
  <c r="C6224" i="2"/>
  <c r="D6224" i="2"/>
  <c r="F6224" i="2"/>
  <c r="G6224" i="2"/>
  <c r="H6224" i="2"/>
  <c r="J6224" i="2"/>
  <c r="K6224" i="2"/>
  <c r="L6224" i="2"/>
  <c r="C6225" i="2"/>
  <c r="D6225" i="2"/>
  <c r="F6225" i="2"/>
  <c r="G6225" i="2"/>
  <c r="H6225" i="2"/>
  <c r="J6225" i="2"/>
  <c r="K6225" i="2"/>
  <c r="L6225" i="2"/>
  <c r="C6226" i="2"/>
  <c r="D6226" i="2"/>
  <c r="F6226" i="2"/>
  <c r="G6226" i="2"/>
  <c r="H6226" i="2"/>
  <c r="J6226" i="2"/>
  <c r="K6226" i="2"/>
  <c r="L6226" i="2"/>
  <c r="C6227" i="2"/>
  <c r="D6227" i="2"/>
  <c r="F6227" i="2"/>
  <c r="G6227" i="2"/>
  <c r="H6227" i="2"/>
  <c r="J6227" i="2"/>
  <c r="K6227" i="2"/>
  <c r="L6227" i="2"/>
  <c r="C6228" i="2"/>
  <c r="D6228" i="2"/>
  <c r="F6228" i="2"/>
  <c r="G6228" i="2"/>
  <c r="H6228" i="2"/>
  <c r="J6228" i="2"/>
  <c r="K6228" i="2"/>
  <c r="L6228" i="2"/>
  <c r="C6229" i="2"/>
  <c r="D6229" i="2"/>
  <c r="F6229" i="2"/>
  <c r="G6229" i="2"/>
  <c r="H6229" i="2"/>
  <c r="J6229" i="2"/>
  <c r="K6229" i="2"/>
  <c r="L6229" i="2"/>
  <c r="C6230" i="2"/>
  <c r="D6230" i="2"/>
  <c r="F6230" i="2"/>
  <c r="G6230" i="2"/>
  <c r="H6230" i="2"/>
  <c r="J6230" i="2"/>
  <c r="K6230" i="2"/>
  <c r="L6230" i="2"/>
  <c r="C6231" i="2"/>
  <c r="D6231" i="2"/>
  <c r="F6231" i="2"/>
  <c r="G6231" i="2"/>
  <c r="H6231" i="2"/>
  <c r="J6231" i="2"/>
  <c r="K6231" i="2"/>
  <c r="L6231" i="2"/>
  <c r="C6232" i="2"/>
  <c r="D6232" i="2"/>
  <c r="F6232" i="2"/>
  <c r="G6232" i="2"/>
  <c r="H6232" i="2"/>
  <c r="J6232" i="2"/>
  <c r="K6232" i="2"/>
  <c r="L6232" i="2"/>
  <c r="C6233" i="2"/>
  <c r="D6233" i="2"/>
  <c r="F6233" i="2"/>
  <c r="G6233" i="2"/>
  <c r="H6233" i="2"/>
  <c r="J6233" i="2"/>
  <c r="K6233" i="2"/>
  <c r="L6233" i="2"/>
  <c r="C6234" i="2"/>
  <c r="D6234" i="2"/>
  <c r="F6234" i="2"/>
  <c r="G6234" i="2"/>
  <c r="H6234" i="2"/>
  <c r="J6234" i="2"/>
  <c r="K6234" i="2"/>
  <c r="L6234" i="2"/>
  <c r="C6235" i="2"/>
  <c r="D6235" i="2"/>
  <c r="F6235" i="2"/>
  <c r="G6235" i="2"/>
  <c r="H6235" i="2"/>
  <c r="J6235" i="2"/>
  <c r="K6235" i="2"/>
  <c r="L6235" i="2"/>
  <c r="C6236" i="2"/>
  <c r="D6236" i="2"/>
  <c r="F6236" i="2"/>
  <c r="G6236" i="2"/>
  <c r="H6236" i="2"/>
  <c r="J6236" i="2"/>
  <c r="K6236" i="2"/>
  <c r="L6236" i="2"/>
  <c r="C6237" i="2"/>
  <c r="D6237" i="2"/>
  <c r="F6237" i="2"/>
  <c r="G6237" i="2"/>
  <c r="H6237" i="2"/>
  <c r="J6237" i="2"/>
  <c r="K6237" i="2"/>
  <c r="L6237" i="2"/>
  <c r="C6238" i="2"/>
  <c r="D6238" i="2"/>
  <c r="F6238" i="2"/>
  <c r="G6238" i="2"/>
  <c r="H6238" i="2"/>
  <c r="J6238" i="2"/>
  <c r="K6238" i="2"/>
  <c r="L6238" i="2"/>
  <c r="C6239" i="2"/>
  <c r="D6239" i="2"/>
  <c r="F6239" i="2"/>
  <c r="G6239" i="2"/>
  <c r="H6239" i="2"/>
  <c r="J6239" i="2"/>
  <c r="K6239" i="2"/>
  <c r="L6239" i="2"/>
  <c r="C6240" i="2"/>
  <c r="D6240" i="2"/>
  <c r="F6240" i="2"/>
  <c r="G6240" i="2"/>
  <c r="H6240" i="2"/>
  <c r="J6240" i="2"/>
  <c r="K6240" i="2"/>
  <c r="L6240" i="2"/>
  <c r="C6241" i="2"/>
  <c r="D6241" i="2"/>
  <c r="F6241" i="2"/>
  <c r="G6241" i="2"/>
  <c r="H6241" i="2"/>
  <c r="J6241" i="2"/>
  <c r="K6241" i="2"/>
  <c r="L6241" i="2"/>
  <c r="C6242" i="2"/>
  <c r="D6242" i="2"/>
  <c r="F6242" i="2"/>
  <c r="G6242" i="2"/>
  <c r="H6242" i="2"/>
  <c r="J6242" i="2"/>
  <c r="K6242" i="2"/>
  <c r="L6242" i="2"/>
  <c r="C6243" i="2"/>
  <c r="D6243" i="2"/>
  <c r="F6243" i="2"/>
  <c r="G6243" i="2"/>
  <c r="H6243" i="2"/>
  <c r="J6243" i="2"/>
  <c r="K6243" i="2"/>
  <c r="L6243" i="2"/>
  <c r="C6244" i="2"/>
  <c r="D6244" i="2"/>
  <c r="F6244" i="2"/>
  <c r="G6244" i="2"/>
  <c r="H6244" i="2"/>
  <c r="J6244" i="2"/>
  <c r="K6244" i="2"/>
  <c r="L6244" i="2"/>
  <c r="C6245" i="2"/>
  <c r="D6245" i="2"/>
  <c r="E6245" i="2"/>
  <c r="F6245" i="2"/>
  <c r="G6245" i="2"/>
  <c r="H6245" i="2"/>
  <c r="J6245" i="2"/>
  <c r="K6245" i="2"/>
  <c r="L6245" i="2"/>
  <c r="C6246" i="2"/>
  <c r="D6246" i="2"/>
  <c r="F6246" i="2"/>
  <c r="G6246" i="2"/>
  <c r="H6246" i="2"/>
  <c r="J6246" i="2"/>
  <c r="K6246" i="2"/>
  <c r="L6246" i="2"/>
  <c r="C6247" i="2"/>
  <c r="D6247" i="2"/>
  <c r="E6247" i="2"/>
  <c r="F6247" i="2"/>
  <c r="G6247" i="2"/>
  <c r="H6247" i="2"/>
  <c r="J6247" i="2"/>
  <c r="K6247" i="2"/>
  <c r="L6247" i="2"/>
  <c r="C6248" i="2"/>
  <c r="D6248" i="2"/>
  <c r="F6248" i="2"/>
  <c r="G6248" i="2"/>
  <c r="H6248" i="2"/>
  <c r="J6248" i="2"/>
  <c r="K6248" i="2"/>
  <c r="L6248" i="2"/>
  <c r="C6249" i="2"/>
  <c r="D6249" i="2"/>
  <c r="F6249" i="2"/>
  <c r="G6249" i="2"/>
  <c r="H6249" i="2"/>
  <c r="J6249" i="2"/>
  <c r="K6249" i="2"/>
  <c r="L6249" i="2"/>
  <c r="C6250" i="2"/>
  <c r="D6250" i="2"/>
  <c r="F6250" i="2"/>
  <c r="G6250" i="2"/>
  <c r="H6250" i="2"/>
  <c r="J6250" i="2"/>
  <c r="K6250" i="2"/>
  <c r="L6250" i="2"/>
  <c r="C6251" i="2"/>
  <c r="D6251" i="2"/>
  <c r="F6251" i="2"/>
  <c r="G6251" i="2"/>
  <c r="H6251" i="2"/>
  <c r="J6251" i="2"/>
  <c r="K6251" i="2"/>
  <c r="L6251" i="2"/>
  <c r="C6252" i="2"/>
  <c r="D6252" i="2"/>
  <c r="F6252" i="2"/>
  <c r="G6252" i="2"/>
  <c r="H6252" i="2"/>
  <c r="J6252" i="2"/>
  <c r="K6252" i="2"/>
  <c r="L6252" i="2"/>
  <c r="C6253" i="2"/>
  <c r="D6253" i="2"/>
  <c r="F6253" i="2"/>
  <c r="G6253" i="2"/>
  <c r="H6253" i="2"/>
  <c r="J6253" i="2"/>
  <c r="K6253" i="2"/>
  <c r="L6253" i="2"/>
  <c r="C6254" i="2"/>
  <c r="D6254" i="2"/>
  <c r="F6254" i="2"/>
  <c r="G6254" i="2"/>
  <c r="H6254" i="2"/>
  <c r="J6254" i="2"/>
  <c r="K6254" i="2"/>
  <c r="L6254" i="2"/>
  <c r="C6255" i="2"/>
  <c r="D6255" i="2"/>
  <c r="F6255" i="2"/>
  <c r="G6255" i="2"/>
  <c r="H6255" i="2"/>
  <c r="J6255" i="2"/>
  <c r="K6255" i="2"/>
  <c r="L6255" i="2"/>
  <c r="C6256" i="2"/>
  <c r="D6256" i="2"/>
  <c r="F6256" i="2"/>
  <c r="G6256" i="2"/>
  <c r="H6256" i="2"/>
  <c r="J6256" i="2"/>
  <c r="K6256" i="2"/>
  <c r="L6256" i="2"/>
  <c r="C6257" i="2"/>
  <c r="D6257" i="2"/>
  <c r="F6257" i="2"/>
  <c r="G6257" i="2"/>
  <c r="H6257" i="2"/>
  <c r="J6257" i="2"/>
  <c r="K6257" i="2"/>
  <c r="L6257" i="2"/>
  <c r="C6258" i="2"/>
  <c r="D6258" i="2"/>
  <c r="F6258" i="2"/>
  <c r="G6258" i="2"/>
  <c r="H6258" i="2"/>
  <c r="J6258" i="2"/>
  <c r="K6258" i="2"/>
  <c r="L6258" i="2"/>
  <c r="C6259" i="2"/>
  <c r="D6259" i="2"/>
  <c r="F6259" i="2"/>
  <c r="G6259" i="2"/>
  <c r="H6259" i="2"/>
  <c r="J6259" i="2"/>
  <c r="K6259" i="2"/>
  <c r="L6259" i="2"/>
  <c r="C6260" i="2"/>
  <c r="D6260" i="2"/>
  <c r="F6260" i="2"/>
  <c r="G6260" i="2"/>
  <c r="H6260" i="2"/>
  <c r="J6260" i="2"/>
  <c r="K6260" i="2"/>
  <c r="L6260" i="2"/>
  <c r="C6261" i="2"/>
  <c r="D6261" i="2"/>
  <c r="F6261" i="2"/>
  <c r="G6261" i="2"/>
  <c r="H6261" i="2"/>
  <c r="J6261" i="2"/>
  <c r="K6261" i="2"/>
  <c r="L6261" i="2"/>
  <c r="C6262" i="2"/>
  <c r="D6262" i="2"/>
  <c r="F6262" i="2"/>
  <c r="G6262" i="2"/>
  <c r="H6262" i="2"/>
  <c r="J6262" i="2"/>
  <c r="K6262" i="2"/>
  <c r="L6262" i="2"/>
  <c r="C6263" i="2"/>
  <c r="D6263" i="2"/>
  <c r="F6263" i="2"/>
  <c r="G6263" i="2"/>
  <c r="H6263" i="2"/>
  <c r="J6263" i="2"/>
  <c r="K6263" i="2"/>
  <c r="L6263" i="2"/>
  <c r="C6264" i="2"/>
  <c r="D6264" i="2"/>
  <c r="F6264" i="2"/>
  <c r="G6264" i="2"/>
  <c r="H6264" i="2"/>
  <c r="J6264" i="2"/>
  <c r="K6264" i="2"/>
  <c r="L6264" i="2"/>
  <c r="C6265" i="2"/>
  <c r="D6265" i="2"/>
  <c r="F6265" i="2"/>
  <c r="G6265" i="2"/>
  <c r="H6265" i="2"/>
  <c r="J6265" i="2"/>
  <c r="K6265" i="2"/>
  <c r="L6265" i="2"/>
  <c r="C6266" i="2"/>
  <c r="D6266" i="2"/>
  <c r="F6266" i="2"/>
  <c r="G6266" i="2"/>
  <c r="H6266" i="2"/>
  <c r="J6266" i="2"/>
  <c r="K6266" i="2"/>
  <c r="L6266" i="2"/>
  <c r="C6267" i="2"/>
  <c r="D6267" i="2"/>
  <c r="F6267" i="2"/>
  <c r="G6267" i="2"/>
  <c r="H6267" i="2"/>
  <c r="J6267" i="2"/>
  <c r="K6267" i="2"/>
  <c r="L6267" i="2"/>
  <c r="C6268" i="2"/>
  <c r="D6268" i="2"/>
  <c r="F6268" i="2"/>
  <c r="G6268" i="2"/>
  <c r="H6268" i="2"/>
  <c r="J6268" i="2"/>
  <c r="K6268" i="2"/>
  <c r="L6268" i="2"/>
  <c r="C6269" i="2"/>
  <c r="D6269" i="2"/>
  <c r="F6269" i="2"/>
  <c r="G6269" i="2"/>
  <c r="H6269" i="2"/>
  <c r="J6269" i="2"/>
  <c r="K6269" i="2"/>
  <c r="L6269" i="2"/>
  <c r="C6270" i="2"/>
  <c r="D6270" i="2"/>
  <c r="F6270" i="2"/>
  <c r="G6270" i="2"/>
  <c r="H6270" i="2"/>
  <c r="J6270" i="2"/>
  <c r="K6270" i="2"/>
  <c r="L6270" i="2"/>
  <c r="C6271" i="2"/>
  <c r="D6271" i="2"/>
  <c r="F6271" i="2"/>
  <c r="G6271" i="2"/>
  <c r="H6271" i="2"/>
  <c r="J6271" i="2"/>
  <c r="K6271" i="2"/>
  <c r="L6271" i="2"/>
  <c r="C6272" i="2"/>
  <c r="D6272" i="2"/>
  <c r="F6272" i="2"/>
  <c r="G6272" i="2"/>
  <c r="H6272" i="2"/>
  <c r="J6272" i="2"/>
  <c r="K6272" i="2"/>
  <c r="L6272" i="2"/>
  <c r="C6273" i="2"/>
  <c r="D6273" i="2"/>
  <c r="F6273" i="2"/>
  <c r="G6273" i="2"/>
  <c r="H6273" i="2"/>
  <c r="J6273" i="2"/>
  <c r="K6273" i="2"/>
  <c r="L6273" i="2"/>
  <c r="C6274" i="2"/>
  <c r="D6274" i="2"/>
  <c r="F6274" i="2"/>
  <c r="G6274" i="2"/>
  <c r="H6274" i="2"/>
  <c r="J6274" i="2"/>
  <c r="K6274" i="2"/>
  <c r="L6274" i="2"/>
  <c r="C6275" i="2"/>
  <c r="D6275" i="2"/>
  <c r="F6275" i="2"/>
  <c r="G6275" i="2"/>
  <c r="H6275" i="2"/>
  <c r="J6275" i="2"/>
  <c r="K6275" i="2"/>
  <c r="L6275" i="2"/>
  <c r="C6276" i="2"/>
  <c r="D6276" i="2"/>
  <c r="F6276" i="2"/>
  <c r="G6276" i="2"/>
  <c r="H6276" i="2"/>
  <c r="J6276" i="2"/>
  <c r="K6276" i="2"/>
  <c r="L6276" i="2"/>
  <c r="C6277" i="2"/>
  <c r="D6277" i="2"/>
  <c r="F6277" i="2"/>
  <c r="G6277" i="2"/>
  <c r="H6277" i="2"/>
  <c r="J6277" i="2"/>
  <c r="K6277" i="2"/>
  <c r="L6277" i="2"/>
  <c r="C6278" i="2"/>
  <c r="D6278" i="2"/>
  <c r="F6278" i="2"/>
  <c r="G6278" i="2"/>
  <c r="H6278" i="2"/>
  <c r="J6278" i="2"/>
  <c r="K6278" i="2"/>
  <c r="L6278" i="2"/>
  <c r="C6279" i="2"/>
  <c r="D6279" i="2"/>
  <c r="F6279" i="2"/>
  <c r="G6279" i="2"/>
  <c r="H6279" i="2"/>
  <c r="J6279" i="2"/>
  <c r="K6279" i="2"/>
  <c r="L6279" i="2"/>
  <c r="C6280" i="2"/>
  <c r="D6280" i="2"/>
  <c r="F6280" i="2"/>
  <c r="G6280" i="2"/>
  <c r="H6280" i="2"/>
  <c r="J6280" i="2"/>
  <c r="K6280" i="2"/>
  <c r="L6280" i="2"/>
  <c r="C6281" i="2"/>
  <c r="D6281" i="2"/>
  <c r="F6281" i="2"/>
  <c r="G6281" i="2"/>
  <c r="H6281" i="2"/>
  <c r="J6281" i="2"/>
  <c r="K6281" i="2"/>
  <c r="L6281" i="2"/>
  <c r="C6282" i="2"/>
  <c r="D6282" i="2"/>
  <c r="F6282" i="2"/>
  <c r="G6282" i="2"/>
  <c r="H6282" i="2"/>
  <c r="J6282" i="2"/>
  <c r="K6282" i="2"/>
  <c r="L6282" i="2"/>
  <c r="C6283" i="2"/>
  <c r="D6283" i="2"/>
  <c r="F6283" i="2"/>
  <c r="G6283" i="2"/>
  <c r="H6283" i="2"/>
  <c r="J6283" i="2"/>
  <c r="K6283" i="2"/>
  <c r="L6283" i="2"/>
  <c r="C6284" i="2"/>
  <c r="D6284" i="2"/>
  <c r="F6284" i="2"/>
  <c r="G6284" i="2"/>
  <c r="H6284" i="2"/>
  <c r="J6284" i="2"/>
  <c r="K6284" i="2"/>
  <c r="L6284" i="2"/>
  <c r="C6285" i="2"/>
  <c r="D6285" i="2"/>
  <c r="F6285" i="2"/>
  <c r="G6285" i="2"/>
  <c r="H6285" i="2"/>
  <c r="J6285" i="2"/>
  <c r="K6285" i="2"/>
  <c r="L6285" i="2"/>
  <c r="C6286" i="2"/>
  <c r="D6286" i="2"/>
  <c r="F6286" i="2"/>
  <c r="G6286" i="2"/>
  <c r="H6286" i="2"/>
  <c r="J6286" i="2"/>
  <c r="K6286" i="2"/>
  <c r="L6286" i="2"/>
  <c r="C6287" i="2"/>
  <c r="D6287" i="2"/>
  <c r="F6287" i="2"/>
  <c r="G6287" i="2"/>
  <c r="H6287" i="2"/>
  <c r="J6287" i="2"/>
  <c r="K6287" i="2"/>
  <c r="L6287" i="2"/>
  <c r="C6288" i="2"/>
  <c r="D6288" i="2"/>
  <c r="F6288" i="2"/>
  <c r="G6288" i="2"/>
  <c r="H6288" i="2"/>
  <c r="J6288" i="2"/>
  <c r="K6288" i="2"/>
  <c r="L6288" i="2"/>
  <c r="C6289" i="2"/>
  <c r="D6289" i="2"/>
  <c r="F6289" i="2"/>
  <c r="G6289" i="2"/>
  <c r="H6289" i="2"/>
  <c r="J6289" i="2"/>
  <c r="K6289" i="2"/>
  <c r="L6289" i="2"/>
  <c r="C6290" i="2"/>
  <c r="D6290" i="2"/>
  <c r="F6290" i="2"/>
  <c r="G6290" i="2"/>
  <c r="H6290" i="2"/>
  <c r="J6290" i="2"/>
  <c r="K6290" i="2"/>
  <c r="L6290" i="2"/>
  <c r="C6291" i="2"/>
  <c r="D6291" i="2"/>
  <c r="F6291" i="2"/>
  <c r="G6291" i="2"/>
  <c r="H6291" i="2"/>
  <c r="J6291" i="2"/>
  <c r="K6291" i="2"/>
  <c r="L6291" i="2"/>
  <c r="C6292" i="2"/>
  <c r="D6292" i="2"/>
  <c r="F6292" i="2"/>
  <c r="G6292" i="2"/>
  <c r="H6292" i="2"/>
  <c r="J6292" i="2"/>
  <c r="K6292" i="2"/>
  <c r="L6292" i="2"/>
  <c r="C6293" i="2"/>
  <c r="D6293" i="2"/>
  <c r="F6293" i="2"/>
  <c r="G6293" i="2"/>
  <c r="H6293" i="2"/>
  <c r="J6293" i="2"/>
  <c r="K6293" i="2"/>
  <c r="L6293" i="2"/>
  <c r="C6294" i="2"/>
  <c r="D6294" i="2"/>
  <c r="F6294" i="2"/>
  <c r="G6294" i="2"/>
  <c r="H6294" i="2"/>
  <c r="J6294" i="2"/>
  <c r="K6294" i="2"/>
  <c r="L6294" i="2"/>
  <c r="C6295" i="2"/>
  <c r="D6295" i="2"/>
  <c r="F6295" i="2"/>
  <c r="G6295" i="2"/>
  <c r="H6295" i="2"/>
  <c r="J6295" i="2"/>
  <c r="K6295" i="2"/>
  <c r="L6295" i="2"/>
  <c r="C6296" i="2"/>
  <c r="D6296" i="2"/>
  <c r="F6296" i="2"/>
  <c r="G6296" i="2"/>
  <c r="H6296" i="2"/>
  <c r="J6296" i="2"/>
  <c r="K6296" i="2"/>
  <c r="L6296" i="2"/>
  <c r="C6297" i="2"/>
  <c r="D6297" i="2"/>
  <c r="F6297" i="2"/>
  <c r="G6297" i="2"/>
  <c r="H6297" i="2"/>
  <c r="J6297" i="2"/>
  <c r="K6297" i="2"/>
  <c r="L6297" i="2"/>
  <c r="C6298" i="2"/>
  <c r="D6298" i="2"/>
  <c r="F6298" i="2"/>
  <c r="G6298" i="2"/>
  <c r="H6298" i="2"/>
  <c r="J6298" i="2"/>
  <c r="K6298" i="2"/>
  <c r="L6298" i="2"/>
  <c r="C6299" i="2"/>
  <c r="D6299" i="2"/>
  <c r="F6299" i="2"/>
  <c r="G6299" i="2"/>
  <c r="H6299" i="2"/>
  <c r="J6299" i="2"/>
  <c r="K6299" i="2"/>
  <c r="L6299" i="2"/>
  <c r="C6300" i="2"/>
  <c r="D6300" i="2"/>
  <c r="F6300" i="2"/>
  <c r="G6300" i="2"/>
  <c r="H6300" i="2"/>
  <c r="J6300" i="2"/>
  <c r="K6300" i="2"/>
  <c r="L6300" i="2"/>
  <c r="C6301" i="2"/>
  <c r="D6301" i="2"/>
  <c r="F6301" i="2"/>
  <c r="G6301" i="2"/>
  <c r="H6301" i="2"/>
  <c r="J6301" i="2"/>
  <c r="K6301" i="2"/>
  <c r="L6301" i="2"/>
  <c r="C6302" i="2"/>
  <c r="D6302" i="2"/>
  <c r="F6302" i="2"/>
  <c r="G6302" i="2"/>
  <c r="H6302" i="2"/>
  <c r="J6302" i="2"/>
  <c r="K6302" i="2"/>
  <c r="L6302" i="2"/>
  <c r="C6303" i="2"/>
  <c r="D6303" i="2"/>
  <c r="F6303" i="2"/>
  <c r="G6303" i="2"/>
  <c r="H6303" i="2"/>
  <c r="J6303" i="2"/>
  <c r="K6303" i="2"/>
  <c r="L6303" i="2"/>
  <c r="C6304" i="2"/>
  <c r="D6304" i="2"/>
  <c r="F6304" i="2"/>
  <c r="G6304" i="2"/>
  <c r="H6304" i="2"/>
  <c r="J6304" i="2"/>
  <c r="K6304" i="2"/>
  <c r="L6304" i="2"/>
  <c r="C6305" i="2"/>
  <c r="D6305" i="2"/>
  <c r="F6305" i="2"/>
  <c r="G6305" i="2"/>
  <c r="H6305" i="2"/>
  <c r="J6305" i="2"/>
  <c r="K6305" i="2"/>
  <c r="L6305" i="2"/>
  <c r="C6306" i="2"/>
  <c r="D6306" i="2"/>
  <c r="F6306" i="2"/>
  <c r="G6306" i="2"/>
  <c r="H6306" i="2"/>
  <c r="J6306" i="2"/>
  <c r="K6306" i="2"/>
  <c r="L6306" i="2"/>
  <c r="C6307" i="2"/>
  <c r="D6307" i="2"/>
  <c r="F6307" i="2"/>
  <c r="G6307" i="2"/>
  <c r="H6307" i="2"/>
  <c r="J6307" i="2"/>
  <c r="K6307" i="2"/>
  <c r="L6307" i="2"/>
  <c r="C6308" i="2"/>
  <c r="D6308" i="2"/>
  <c r="F6308" i="2"/>
  <c r="G6308" i="2"/>
  <c r="H6308" i="2"/>
  <c r="J6308" i="2"/>
  <c r="K6308" i="2"/>
  <c r="L6308" i="2"/>
  <c r="C6309" i="2"/>
  <c r="D6309" i="2"/>
  <c r="F6309" i="2"/>
  <c r="G6309" i="2"/>
  <c r="H6309" i="2"/>
  <c r="J6309" i="2"/>
  <c r="K6309" i="2"/>
  <c r="L6309" i="2"/>
  <c r="C6310" i="2"/>
  <c r="D6310" i="2"/>
  <c r="F6310" i="2"/>
  <c r="G6310" i="2"/>
  <c r="H6310" i="2"/>
  <c r="J6310" i="2"/>
  <c r="K6310" i="2"/>
  <c r="L6310" i="2"/>
  <c r="C6311" i="2"/>
  <c r="D6311" i="2"/>
  <c r="F6311" i="2"/>
  <c r="G6311" i="2"/>
  <c r="H6311" i="2"/>
  <c r="J6311" i="2"/>
  <c r="K6311" i="2"/>
  <c r="L6311" i="2"/>
  <c r="C6312" i="2"/>
  <c r="D6312" i="2"/>
  <c r="F6312" i="2"/>
  <c r="G6312" i="2"/>
  <c r="H6312" i="2"/>
  <c r="J6312" i="2"/>
  <c r="K6312" i="2"/>
  <c r="L6312" i="2"/>
  <c r="C6313" i="2"/>
  <c r="D6313" i="2"/>
  <c r="F6313" i="2"/>
  <c r="G6313" i="2"/>
  <c r="H6313" i="2"/>
  <c r="J6313" i="2"/>
  <c r="K6313" i="2"/>
  <c r="L6313" i="2"/>
  <c r="C6314" i="2"/>
  <c r="D6314" i="2"/>
  <c r="F6314" i="2"/>
  <c r="G6314" i="2"/>
  <c r="H6314" i="2"/>
  <c r="J6314" i="2"/>
  <c r="K6314" i="2"/>
  <c r="L6314" i="2"/>
  <c r="C6315" i="2"/>
  <c r="D6315" i="2"/>
  <c r="F6315" i="2"/>
  <c r="G6315" i="2"/>
  <c r="H6315" i="2"/>
  <c r="J6315" i="2"/>
  <c r="K6315" i="2"/>
  <c r="L6315" i="2"/>
  <c r="C6316" i="2"/>
  <c r="D6316" i="2"/>
  <c r="F6316" i="2"/>
  <c r="G6316" i="2"/>
  <c r="H6316" i="2"/>
  <c r="J6316" i="2"/>
  <c r="K6316" i="2"/>
  <c r="L6316" i="2"/>
  <c r="C6317" i="2"/>
  <c r="D6317" i="2"/>
  <c r="F6317" i="2"/>
  <c r="G6317" i="2"/>
  <c r="H6317" i="2"/>
  <c r="J6317" i="2"/>
  <c r="K6317" i="2"/>
  <c r="L6317" i="2"/>
  <c r="C6318" i="2"/>
  <c r="D6318" i="2"/>
  <c r="F6318" i="2"/>
  <c r="G6318" i="2"/>
  <c r="H6318" i="2"/>
  <c r="J6318" i="2"/>
  <c r="K6318" i="2"/>
  <c r="L6318" i="2"/>
  <c r="C6319" i="2"/>
  <c r="D6319" i="2"/>
  <c r="F6319" i="2"/>
  <c r="G6319" i="2"/>
  <c r="H6319" i="2"/>
  <c r="J6319" i="2"/>
  <c r="K6319" i="2"/>
  <c r="L6319" i="2"/>
  <c r="C6320" i="2"/>
  <c r="D6320" i="2"/>
  <c r="F6320" i="2"/>
  <c r="G6320" i="2"/>
  <c r="H6320" i="2"/>
  <c r="J6320" i="2"/>
  <c r="K6320" i="2"/>
  <c r="L6320" i="2"/>
  <c r="C6321" i="2"/>
  <c r="D6321" i="2"/>
  <c r="F6321" i="2"/>
  <c r="G6321" i="2"/>
  <c r="H6321" i="2"/>
  <c r="J6321" i="2"/>
  <c r="K6321" i="2"/>
  <c r="L6321" i="2"/>
  <c r="C6322" i="2"/>
  <c r="D6322" i="2"/>
  <c r="F6322" i="2"/>
  <c r="G6322" i="2"/>
  <c r="H6322" i="2"/>
  <c r="J6322" i="2"/>
  <c r="K6322" i="2"/>
  <c r="L6322" i="2"/>
  <c r="C6323" i="2"/>
  <c r="D6323" i="2"/>
  <c r="F6323" i="2"/>
  <c r="G6323" i="2"/>
  <c r="H6323" i="2"/>
  <c r="J6323" i="2"/>
  <c r="K6323" i="2"/>
  <c r="L6323" i="2"/>
  <c r="C6324" i="2"/>
  <c r="D6324" i="2"/>
  <c r="F6324" i="2"/>
  <c r="G6324" i="2"/>
  <c r="H6324" i="2"/>
  <c r="J6324" i="2"/>
  <c r="K6324" i="2"/>
  <c r="L6324" i="2"/>
  <c r="C6325" i="2"/>
  <c r="D6325" i="2"/>
  <c r="F6325" i="2"/>
  <c r="G6325" i="2"/>
  <c r="H6325" i="2"/>
  <c r="J6325" i="2"/>
  <c r="K6325" i="2"/>
  <c r="L6325" i="2"/>
  <c r="C6326" i="2"/>
  <c r="D6326" i="2"/>
  <c r="F6326" i="2"/>
  <c r="G6326" i="2"/>
  <c r="H6326" i="2"/>
  <c r="J6326" i="2"/>
  <c r="K6326" i="2"/>
  <c r="L6326" i="2"/>
  <c r="C6327" i="2"/>
  <c r="D6327" i="2"/>
  <c r="F6327" i="2"/>
  <c r="G6327" i="2"/>
  <c r="H6327" i="2"/>
  <c r="J6327" i="2"/>
  <c r="K6327" i="2"/>
  <c r="L6327" i="2"/>
  <c r="C6328" i="2"/>
  <c r="D6328" i="2"/>
  <c r="F6328" i="2"/>
  <c r="G6328" i="2"/>
  <c r="H6328" i="2"/>
  <c r="J6328" i="2"/>
  <c r="K6328" i="2"/>
  <c r="L6328" i="2"/>
  <c r="C6329" i="2"/>
  <c r="D6329" i="2"/>
  <c r="F6329" i="2"/>
  <c r="G6329" i="2"/>
  <c r="H6329" i="2"/>
  <c r="J6329" i="2"/>
  <c r="K6329" i="2"/>
  <c r="L6329" i="2"/>
  <c r="C6330" i="2"/>
  <c r="D6330" i="2"/>
  <c r="F6330" i="2"/>
  <c r="G6330" i="2"/>
  <c r="H6330" i="2"/>
  <c r="J6330" i="2"/>
  <c r="K6330" i="2"/>
  <c r="L6330" i="2"/>
  <c r="C6331" i="2"/>
  <c r="D6331" i="2"/>
  <c r="F6331" i="2"/>
  <c r="G6331" i="2"/>
  <c r="H6331" i="2"/>
  <c r="J6331" i="2"/>
  <c r="K6331" i="2"/>
  <c r="L6331" i="2"/>
  <c r="C6332" i="2"/>
  <c r="D6332" i="2"/>
  <c r="F6332" i="2"/>
  <c r="G6332" i="2"/>
  <c r="H6332" i="2"/>
  <c r="J6332" i="2"/>
  <c r="K6332" i="2"/>
  <c r="L6332" i="2"/>
  <c r="C6333" i="2"/>
  <c r="D6333" i="2"/>
  <c r="F6333" i="2"/>
  <c r="G6333" i="2"/>
  <c r="H6333" i="2"/>
  <c r="J6333" i="2"/>
  <c r="K6333" i="2"/>
  <c r="L6333" i="2"/>
  <c r="C6334" i="2"/>
  <c r="D6334" i="2"/>
  <c r="F6334" i="2"/>
  <c r="G6334" i="2"/>
  <c r="H6334" i="2"/>
  <c r="J6334" i="2"/>
  <c r="K6334" i="2"/>
  <c r="L6334" i="2"/>
  <c r="C6335" i="2"/>
  <c r="D6335" i="2"/>
  <c r="F6335" i="2"/>
  <c r="G6335" i="2"/>
  <c r="H6335" i="2"/>
  <c r="J6335" i="2"/>
  <c r="K6335" i="2"/>
  <c r="L6335" i="2"/>
  <c r="C6336" i="2"/>
  <c r="D6336" i="2"/>
  <c r="F6336" i="2"/>
  <c r="G6336" i="2"/>
  <c r="H6336" i="2"/>
  <c r="J6336" i="2"/>
  <c r="K6336" i="2"/>
  <c r="L6336" i="2"/>
  <c r="C6337" i="2"/>
  <c r="D6337" i="2"/>
  <c r="F6337" i="2"/>
  <c r="G6337" i="2"/>
  <c r="H6337" i="2"/>
  <c r="J6337" i="2"/>
  <c r="K6337" i="2"/>
  <c r="L6337" i="2"/>
  <c r="C6338" i="2"/>
  <c r="D6338" i="2"/>
  <c r="F6338" i="2"/>
  <c r="G6338" i="2"/>
  <c r="H6338" i="2"/>
  <c r="J6338" i="2"/>
  <c r="K6338" i="2"/>
  <c r="L6338" i="2"/>
  <c r="C6339" i="2"/>
  <c r="D6339" i="2"/>
  <c r="F6339" i="2"/>
  <c r="G6339" i="2"/>
  <c r="H6339" i="2"/>
  <c r="J6339" i="2"/>
  <c r="K6339" i="2"/>
  <c r="L6339" i="2"/>
  <c r="C6340" i="2"/>
  <c r="D6340" i="2"/>
  <c r="F6340" i="2"/>
  <c r="G6340" i="2"/>
  <c r="H6340" i="2"/>
  <c r="J6340" i="2"/>
  <c r="K6340" i="2"/>
  <c r="L6340" i="2"/>
  <c r="C6341" i="2"/>
  <c r="D6341" i="2"/>
  <c r="F6341" i="2"/>
  <c r="G6341" i="2"/>
  <c r="H6341" i="2"/>
  <c r="J6341" i="2"/>
  <c r="K6341" i="2"/>
  <c r="L6341" i="2"/>
  <c r="C6342" i="2"/>
  <c r="D6342" i="2"/>
  <c r="F6342" i="2"/>
  <c r="G6342" i="2"/>
  <c r="H6342" i="2"/>
  <c r="J6342" i="2"/>
  <c r="K6342" i="2"/>
  <c r="L6342" i="2"/>
  <c r="C6343" i="2"/>
  <c r="D6343" i="2"/>
  <c r="F6343" i="2"/>
  <c r="G6343" i="2"/>
  <c r="H6343" i="2"/>
  <c r="J6343" i="2"/>
  <c r="K6343" i="2"/>
  <c r="L6343" i="2"/>
  <c r="C6344" i="2"/>
  <c r="D6344" i="2"/>
  <c r="F6344" i="2"/>
  <c r="G6344" i="2"/>
  <c r="H6344" i="2"/>
  <c r="J6344" i="2"/>
  <c r="K6344" i="2"/>
  <c r="L6344" i="2"/>
  <c r="C6345" i="2"/>
  <c r="D6345" i="2"/>
  <c r="F6345" i="2"/>
  <c r="G6345" i="2"/>
  <c r="H6345" i="2"/>
  <c r="J6345" i="2"/>
  <c r="K6345" i="2"/>
  <c r="L6345" i="2"/>
  <c r="C6346" i="2"/>
  <c r="D6346" i="2"/>
  <c r="F6346" i="2"/>
  <c r="G6346" i="2"/>
  <c r="H6346" i="2"/>
  <c r="J6346" i="2"/>
  <c r="K6346" i="2"/>
  <c r="L6346" i="2"/>
  <c r="C6347" i="2"/>
  <c r="D6347" i="2"/>
  <c r="F6347" i="2"/>
  <c r="G6347" i="2"/>
  <c r="H6347" i="2"/>
  <c r="J6347" i="2"/>
  <c r="K6347" i="2"/>
  <c r="L6347" i="2"/>
  <c r="C6348" i="2"/>
  <c r="D6348" i="2"/>
  <c r="F6348" i="2"/>
  <c r="G6348" i="2"/>
  <c r="H6348" i="2"/>
  <c r="J6348" i="2"/>
  <c r="K6348" i="2"/>
  <c r="L6348" i="2"/>
  <c r="C6349" i="2"/>
  <c r="D6349" i="2"/>
  <c r="F6349" i="2"/>
  <c r="G6349" i="2"/>
  <c r="H6349" i="2"/>
  <c r="J6349" i="2"/>
  <c r="K6349" i="2"/>
  <c r="L6349" i="2"/>
  <c r="C6350" i="2"/>
  <c r="D6350" i="2"/>
  <c r="F6350" i="2"/>
  <c r="G6350" i="2"/>
  <c r="H6350" i="2"/>
  <c r="J6350" i="2"/>
  <c r="K6350" i="2"/>
  <c r="L6350" i="2"/>
  <c r="C6351" i="2"/>
  <c r="D6351" i="2"/>
  <c r="F6351" i="2"/>
  <c r="G6351" i="2"/>
  <c r="H6351" i="2"/>
  <c r="J6351" i="2"/>
  <c r="K6351" i="2"/>
  <c r="L6351" i="2"/>
  <c r="C6352" i="2"/>
  <c r="D6352" i="2"/>
  <c r="F6352" i="2"/>
  <c r="G6352" i="2"/>
  <c r="H6352" i="2"/>
  <c r="J6352" i="2"/>
  <c r="K6352" i="2"/>
  <c r="L6352" i="2"/>
  <c r="C6353" i="2"/>
  <c r="D6353" i="2"/>
  <c r="F6353" i="2"/>
  <c r="G6353" i="2"/>
  <c r="H6353" i="2"/>
  <c r="J6353" i="2"/>
  <c r="K6353" i="2"/>
  <c r="L6353" i="2"/>
  <c r="C6354" i="2"/>
  <c r="D6354" i="2"/>
  <c r="F6354" i="2"/>
  <c r="G6354" i="2"/>
  <c r="H6354" i="2"/>
  <c r="J6354" i="2"/>
  <c r="K6354" i="2"/>
  <c r="L6354" i="2"/>
  <c r="C6355" i="2"/>
  <c r="D6355" i="2"/>
  <c r="F6355" i="2"/>
  <c r="G6355" i="2"/>
  <c r="H6355" i="2"/>
  <c r="J6355" i="2"/>
  <c r="K6355" i="2"/>
  <c r="L6355" i="2"/>
  <c r="C6356" i="2"/>
  <c r="D6356" i="2"/>
  <c r="F6356" i="2"/>
  <c r="G6356" i="2"/>
  <c r="H6356" i="2"/>
  <c r="J6356" i="2"/>
  <c r="K6356" i="2"/>
  <c r="L6356" i="2"/>
  <c r="C6357" i="2"/>
  <c r="D6357" i="2"/>
  <c r="F6357" i="2"/>
  <c r="G6357" i="2"/>
  <c r="H6357" i="2"/>
  <c r="J6357" i="2"/>
  <c r="K6357" i="2"/>
  <c r="L6357" i="2"/>
  <c r="C6358" i="2"/>
  <c r="D6358" i="2"/>
  <c r="F6358" i="2"/>
  <c r="G6358" i="2"/>
  <c r="H6358" i="2"/>
  <c r="J6358" i="2"/>
  <c r="K6358" i="2"/>
  <c r="L6358" i="2"/>
  <c r="C6359" i="2"/>
  <c r="D6359" i="2"/>
  <c r="F6359" i="2"/>
  <c r="G6359" i="2"/>
  <c r="H6359" i="2"/>
  <c r="J6359" i="2"/>
  <c r="K6359" i="2"/>
  <c r="L6359" i="2"/>
  <c r="C6360" i="2"/>
  <c r="D6360" i="2"/>
  <c r="F6360" i="2"/>
  <c r="G6360" i="2"/>
  <c r="H6360" i="2"/>
  <c r="J6360" i="2"/>
  <c r="K6360" i="2"/>
  <c r="L6360" i="2"/>
  <c r="C6361" i="2"/>
  <c r="D6361" i="2"/>
  <c r="F6361" i="2"/>
  <c r="G6361" i="2"/>
  <c r="H6361" i="2"/>
  <c r="J6361" i="2"/>
  <c r="K6361" i="2"/>
  <c r="L6361" i="2"/>
  <c r="C6362" i="2"/>
  <c r="D6362" i="2"/>
  <c r="F6362" i="2"/>
  <c r="G6362" i="2"/>
  <c r="H6362" i="2"/>
  <c r="J6362" i="2"/>
  <c r="K6362" i="2"/>
  <c r="L6362" i="2"/>
  <c r="C6363" i="2"/>
  <c r="D6363" i="2"/>
  <c r="F6363" i="2"/>
  <c r="G6363" i="2"/>
  <c r="H6363" i="2"/>
  <c r="J6363" i="2"/>
  <c r="K6363" i="2"/>
  <c r="L6363" i="2"/>
  <c r="C6364" i="2"/>
  <c r="D6364" i="2"/>
  <c r="F6364" i="2"/>
  <c r="G6364" i="2"/>
  <c r="H6364" i="2"/>
  <c r="J6364" i="2"/>
  <c r="K6364" i="2"/>
  <c r="L6364" i="2"/>
  <c r="C6365" i="2"/>
  <c r="D6365" i="2"/>
  <c r="F6365" i="2"/>
  <c r="G6365" i="2"/>
  <c r="H6365" i="2"/>
  <c r="J6365" i="2"/>
  <c r="K6365" i="2"/>
  <c r="L6365" i="2"/>
  <c r="C6366" i="2"/>
  <c r="D6366" i="2"/>
  <c r="F6366" i="2"/>
  <c r="G6366" i="2"/>
  <c r="H6366" i="2"/>
  <c r="J6366" i="2"/>
  <c r="K6366" i="2"/>
  <c r="L6366" i="2"/>
  <c r="C6367" i="2"/>
  <c r="D6367" i="2"/>
  <c r="F6367" i="2"/>
  <c r="G6367" i="2"/>
  <c r="H6367" i="2"/>
  <c r="J6367" i="2"/>
  <c r="K6367" i="2"/>
  <c r="L6367" i="2"/>
  <c r="C6368" i="2"/>
  <c r="D6368" i="2"/>
  <c r="F6368" i="2"/>
  <c r="G6368" i="2"/>
  <c r="H6368" i="2"/>
  <c r="J6368" i="2"/>
  <c r="K6368" i="2"/>
  <c r="L6368" i="2"/>
  <c r="C6369" i="2"/>
  <c r="D6369" i="2"/>
  <c r="F6369" i="2"/>
  <c r="G6369" i="2"/>
  <c r="H6369" i="2"/>
  <c r="J6369" i="2"/>
  <c r="K6369" i="2"/>
  <c r="L6369" i="2"/>
  <c r="C6370" i="2"/>
  <c r="D6370" i="2"/>
  <c r="F6370" i="2"/>
  <c r="G6370" i="2"/>
  <c r="H6370" i="2"/>
  <c r="J6370" i="2"/>
  <c r="K6370" i="2"/>
  <c r="L6370" i="2"/>
  <c r="C6371" i="2"/>
  <c r="D6371" i="2"/>
  <c r="F6371" i="2"/>
  <c r="G6371" i="2"/>
  <c r="H6371" i="2"/>
  <c r="J6371" i="2"/>
  <c r="K6371" i="2"/>
  <c r="L6371" i="2"/>
  <c r="C6372" i="2"/>
  <c r="D6372" i="2"/>
  <c r="F6372" i="2"/>
  <c r="G6372" i="2"/>
  <c r="H6372" i="2"/>
  <c r="J6372" i="2"/>
  <c r="K6372" i="2"/>
  <c r="L6372" i="2"/>
  <c r="C6373" i="2"/>
  <c r="D6373" i="2"/>
  <c r="F6373" i="2"/>
  <c r="G6373" i="2"/>
  <c r="H6373" i="2"/>
  <c r="J6373" i="2"/>
  <c r="K6373" i="2"/>
  <c r="L6373" i="2"/>
  <c r="C6374" i="2"/>
  <c r="D6374" i="2"/>
  <c r="E6374" i="2"/>
  <c r="F6374" i="2"/>
  <c r="G6374" i="2"/>
  <c r="H6374" i="2"/>
  <c r="J6374" i="2"/>
  <c r="K6374" i="2"/>
  <c r="L6374" i="2"/>
  <c r="C6375" i="2"/>
  <c r="D6375" i="2"/>
  <c r="F6375" i="2"/>
  <c r="G6375" i="2"/>
  <c r="H6375" i="2"/>
  <c r="J6375" i="2"/>
  <c r="K6375" i="2"/>
  <c r="L6375" i="2"/>
  <c r="C6376" i="2"/>
  <c r="D6376" i="2"/>
  <c r="F6376" i="2"/>
  <c r="G6376" i="2"/>
  <c r="H6376" i="2"/>
  <c r="J6376" i="2"/>
  <c r="K6376" i="2"/>
  <c r="L6376" i="2"/>
  <c r="C6377" i="2"/>
  <c r="D6377" i="2"/>
  <c r="F6377" i="2"/>
  <c r="G6377" i="2"/>
  <c r="H6377" i="2"/>
  <c r="J6377" i="2"/>
  <c r="K6377" i="2"/>
  <c r="L6377" i="2"/>
  <c r="C6378" i="2"/>
  <c r="D6378" i="2"/>
  <c r="F6378" i="2"/>
  <c r="G6378" i="2"/>
  <c r="H6378" i="2"/>
  <c r="J6378" i="2"/>
  <c r="K6378" i="2"/>
  <c r="L6378" i="2"/>
  <c r="C6379" i="2"/>
  <c r="D6379" i="2"/>
  <c r="F6379" i="2"/>
  <c r="G6379" i="2"/>
  <c r="H6379" i="2"/>
  <c r="J6379" i="2"/>
  <c r="K6379" i="2"/>
  <c r="L6379" i="2"/>
  <c r="C6380" i="2"/>
  <c r="D6380" i="2"/>
  <c r="F6380" i="2"/>
  <c r="G6380" i="2"/>
  <c r="H6380" i="2"/>
  <c r="J6380" i="2"/>
  <c r="K6380" i="2"/>
  <c r="L6380" i="2"/>
  <c r="C6381" i="2"/>
  <c r="D6381" i="2"/>
  <c r="F6381" i="2"/>
  <c r="G6381" i="2"/>
  <c r="H6381" i="2"/>
  <c r="J6381" i="2"/>
  <c r="K6381" i="2"/>
  <c r="L6381" i="2"/>
  <c r="C6382" i="2"/>
  <c r="D6382" i="2"/>
  <c r="F6382" i="2"/>
  <c r="G6382" i="2"/>
  <c r="H6382" i="2"/>
  <c r="J6382" i="2"/>
  <c r="K6382" i="2"/>
  <c r="L6382" i="2"/>
  <c r="C6383" i="2"/>
  <c r="D6383" i="2"/>
  <c r="F6383" i="2"/>
  <c r="G6383" i="2"/>
  <c r="H6383" i="2"/>
  <c r="J6383" i="2"/>
  <c r="K6383" i="2"/>
  <c r="L6383" i="2"/>
  <c r="C6384" i="2"/>
  <c r="D6384" i="2"/>
  <c r="F6384" i="2"/>
  <c r="G6384" i="2"/>
  <c r="H6384" i="2"/>
  <c r="J6384" i="2"/>
  <c r="K6384" i="2"/>
  <c r="L6384" i="2"/>
  <c r="C6385" i="2"/>
  <c r="D6385" i="2"/>
  <c r="F6385" i="2"/>
  <c r="G6385" i="2"/>
  <c r="H6385" i="2"/>
  <c r="J6385" i="2"/>
  <c r="K6385" i="2"/>
  <c r="L6385" i="2"/>
  <c r="C6386" i="2"/>
  <c r="D6386" i="2"/>
  <c r="F6386" i="2"/>
  <c r="G6386" i="2"/>
  <c r="H6386" i="2"/>
  <c r="J6386" i="2"/>
  <c r="K6386" i="2"/>
  <c r="L6386" i="2"/>
  <c r="C6387" i="2"/>
  <c r="D6387" i="2"/>
  <c r="F6387" i="2"/>
  <c r="G6387" i="2"/>
  <c r="H6387" i="2"/>
  <c r="J6387" i="2"/>
  <c r="K6387" i="2"/>
  <c r="L6387" i="2"/>
  <c r="C6388" i="2"/>
  <c r="D6388" i="2"/>
  <c r="F6388" i="2"/>
  <c r="G6388" i="2"/>
  <c r="H6388" i="2"/>
  <c r="J6388" i="2"/>
  <c r="K6388" i="2"/>
  <c r="L6388" i="2"/>
  <c r="C6389" i="2"/>
  <c r="D6389" i="2"/>
  <c r="F6389" i="2"/>
  <c r="G6389" i="2"/>
  <c r="H6389" i="2"/>
  <c r="J6389" i="2"/>
  <c r="K6389" i="2"/>
  <c r="L6389" i="2"/>
  <c r="C6390" i="2"/>
  <c r="D6390" i="2"/>
  <c r="F6390" i="2"/>
  <c r="G6390" i="2"/>
  <c r="H6390" i="2"/>
  <c r="J6390" i="2"/>
  <c r="K6390" i="2"/>
  <c r="L6390" i="2"/>
  <c r="C6391" i="2"/>
  <c r="D6391" i="2"/>
  <c r="F6391" i="2"/>
  <c r="G6391" i="2"/>
  <c r="H6391" i="2"/>
  <c r="J6391" i="2"/>
  <c r="K6391" i="2"/>
  <c r="L6391" i="2"/>
  <c r="C6392" i="2"/>
  <c r="D6392" i="2"/>
  <c r="F6392" i="2"/>
  <c r="G6392" i="2"/>
  <c r="H6392" i="2"/>
  <c r="J6392" i="2"/>
  <c r="K6392" i="2"/>
  <c r="L6392" i="2"/>
  <c r="C6393" i="2"/>
  <c r="D6393" i="2"/>
  <c r="F6393" i="2"/>
  <c r="G6393" i="2"/>
  <c r="H6393" i="2"/>
  <c r="J6393" i="2"/>
  <c r="K6393" i="2"/>
  <c r="L6393" i="2"/>
  <c r="C6394" i="2"/>
  <c r="D6394" i="2"/>
  <c r="F6394" i="2"/>
  <c r="G6394" i="2"/>
  <c r="H6394" i="2"/>
  <c r="J6394" i="2"/>
  <c r="K6394" i="2"/>
  <c r="L6394" i="2"/>
  <c r="C6395" i="2"/>
  <c r="D6395" i="2"/>
  <c r="F6395" i="2"/>
  <c r="G6395" i="2"/>
  <c r="H6395" i="2"/>
  <c r="J6395" i="2"/>
  <c r="K6395" i="2"/>
  <c r="L6395" i="2"/>
  <c r="C6396" i="2"/>
  <c r="D6396" i="2"/>
  <c r="F6396" i="2"/>
  <c r="G6396" i="2"/>
  <c r="H6396" i="2"/>
  <c r="J6396" i="2"/>
  <c r="K6396" i="2"/>
  <c r="L6396" i="2"/>
  <c r="C6397" i="2"/>
  <c r="D6397" i="2"/>
  <c r="F6397" i="2"/>
  <c r="G6397" i="2"/>
  <c r="H6397" i="2"/>
  <c r="J6397" i="2"/>
  <c r="K6397" i="2"/>
  <c r="L6397" i="2"/>
  <c r="C6398" i="2"/>
  <c r="D6398" i="2"/>
  <c r="F6398" i="2"/>
  <c r="G6398" i="2"/>
  <c r="H6398" i="2"/>
  <c r="J6398" i="2"/>
  <c r="K6398" i="2"/>
  <c r="L6398" i="2"/>
  <c r="C6399" i="2"/>
  <c r="D6399" i="2"/>
  <c r="F6399" i="2"/>
  <c r="G6399" i="2"/>
  <c r="H6399" i="2"/>
  <c r="J6399" i="2"/>
  <c r="K6399" i="2"/>
  <c r="L6399" i="2"/>
  <c r="C6400" i="2"/>
  <c r="D6400" i="2"/>
  <c r="F6400" i="2"/>
  <c r="G6400" i="2"/>
  <c r="H6400" i="2"/>
  <c r="J6400" i="2"/>
  <c r="K6400" i="2"/>
  <c r="L6400" i="2"/>
  <c r="C6401" i="2"/>
  <c r="D6401" i="2"/>
  <c r="F6401" i="2"/>
  <c r="G6401" i="2"/>
  <c r="H6401" i="2"/>
  <c r="J6401" i="2"/>
  <c r="K6401" i="2"/>
  <c r="L6401" i="2"/>
  <c r="C6402" i="2"/>
  <c r="D6402" i="2"/>
  <c r="F6402" i="2"/>
  <c r="G6402" i="2"/>
  <c r="H6402" i="2"/>
  <c r="J6402" i="2"/>
  <c r="K6402" i="2"/>
  <c r="L6402" i="2"/>
  <c r="C6403" i="2"/>
  <c r="D6403" i="2"/>
  <c r="F6403" i="2"/>
  <c r="G6403" i="2"/>
  <c r="H6403" i="2"/>
  <c r="J6403" i="2"/>
  <c r="K6403" i="2"/>
  <c r="L6403" i="2"/>
  <c r="C6404" i="2"/>
  <c r="D6404" i="2"/>
  <c r="F6404" i="2"/>
  <c r="G6404" i="2"/>
  <c r="H6404" i="2"/>
  <c r="J6404" i="2"/>
  <c r="K6404" i="2"/>
  <c r="L6404" i="2"/>
  <c r="C6405" i="2"/>
  <c r="D6405" i="2"/>
  <c r="F6405" i="2"/>
  <c r="G6405" i="2"/>
  <c r="H6405" i="2"/>
  <c r="J6405" i="2"/>
  <c r="K6405" i="2"/>
  <c r="L6405" i="2"/>
  <c r="C6406" i="2"/>
  <c r="D6406" i="2"/>
  <c r="F6406" i="2"/>
  <c r="G6406" i="2"/>
  <c r="H6406" i="2"/>
  <c r="J6406" i="2"/>
  <c r="K6406" i="2"/>
  <c r="L6406" i="2"/>
  <c r="C6407" i="2"/>
  <c r="D6407" i="2"/>
  <c r="F6407" i="2"/>
  <c r="G6407" i="2"/>
  <c r="H6407" i="2"/>
  <c r="J6407" i="2"/>
  <c r="K6407" i="2"/>
  <c r="L6407" i="2"/>
  <c r="C6408" i="2"/>
  <c r="D6408" i="2"/>
  <c r="F6408" i="2"/>
  <c r="G6408" i="2"/>
  <c r="H6408" i="2"/>
  <c r="J6408" i="2"/>
  <c r="K6408" i="2"/>
  <c r="L6408" i="2"/>
  <c r="C6409" i="2"/>
  <c r="D6409" i="2"/>
  <c r="F6409" i="2"/>
  <c r="G6409" i="2"/>
  <c r="H6409" i="2"/>
  <c r="J6409" i="2"/>
  <c r="K6409" i="2"/>
  <c r="L6409" i="2"/>
  <c r="C6410" i="2"/>
  <c r="D6410" i="2"/>
  <c r="F6410" i="2"/>
  <c r="G6410" i="2"/>
  <c r="H6410" i="2"/>
  <c r="J6410" i="2"/>
  <c r="K6410" i="2"/>
  <c r="L6410" i="2"/>
  <c r="C6411" i="2"/>
  <c r="D6411" i="2"/>
  <c r="F6411" i="2"/>
  <c r="G6411" i="2"/>
  <c r="H6411" i="2"/>
  <c r="J6411" i="2"/>
  <c r="K6411" i="2"/>
  <c r="L6411" i="2"/>
  <c r="C6412" i="2"/>
  <c r="D6412" i="2"/>
  <c r="F6412" i="2"/>
  <c r="G6412" i="2"/>
  <c r="H6412" i="2"/>
  <c r="J6412" i="2"/>
  <c r="K6412" i="2"/>
  <c r="L6412" i="2"/>
  <c r="C6413" i="2"/>
  <c r="D6413" i="2"/>
  <c r="F6413" i="2"/>
  <c r="G6413" i="2"/>
  <c r="H6413" i="2"/>
  <c r="J6413" i="2"/>
  <c r="K6413" i="2"/>
  <c r="L6413" i="2"/>
  <c r="C6414" i="2"/>
  <c r="D6414" i="2"/>
  <c r="F6414" i="2"/>
  <c r="G6414" i="2"/>
  <c r="H6414" i="2"/>
  <c r="J6414" i="2"/>
  <c r="K6414" i="2"/>
  <c r="L6414" i="2"/>
  <c r="C6415" i="2"/>
  <c r="D6415" i="2"/>
  <c r="F6415" i="2"/>
  <c r="G6415" i="2"/>
  <c r="H6415" i="2"/>
  <c r="J6415" i="2"/>
  <c r="K6415" i="2"/>
  <c r="L6415" i="2"/>
  <c r="C6416" i="2"/>
  <c r="D6416" i="2"/>
  <c r="F6416" i="2"/>
  <c r="G6416" i="2"/>
  <c r="H6416" i="2"/>
  <c r="J6416" i="2"/>
  <c r="K6416" i="2"/>
  <c r="L6416" i="2"/>
  <c r="C6417" i="2"/>
  <c r="D6417" i="2"/>
  <c r="E6417" i="2"/>
  <c r="F6417" i="2"/>
  <c r="G6417" i="2"/>
  <c r="H6417" i="2"/>
  <c r="J6417" i="2"/>
  <c r="K6417" i="2"/>
  <c r="L6417" i="2"/>
  <c r="C6418" i="2"/>
  <c r="D6418" i="2"/>
  <c r="F6418" i="2"/>
  <c r="G6418" i="2"/>
  <c r="H6418" i="2"/>
  <c r="J6418" i="2"/>
  <c r="K6418" i="2"/>
  <c r="L6418" i="2"/>
  <c r="C6419" i="2"/>
  <c r="D6419" i="2"/>
  <c r="F6419" i="2"/>
  <c r="G6419" i="2"/>
  <c r="H6419" i="2"/>
  <c r="J6419" i="2"/>
  <c r="K6419" i="2"/>
  <c r="L6419" i="2"/>
  <c r="C6420" i="2"/>
  <c r="D6420" i="2"/>
  <c r="F6420" i="2"/>
  <c r="G6420" i="2"/>
  <c r="H6420" i="2"/>
  <c r="J6420" i="2"/>
  <c r="K6420" i="2"/>
  <c r="L6420" i="2"/>
  <c r="C6421" i="2"/>
  <c r="D6421" i="2"/>
  <c r="F6421" i="2"/>
  <c r="G6421" i="2"/>
  <c r="H6421" i="2"/>
  <c r="J6421" i="2"/>
  <c r="K6421" i="2"/>
  <c r="L6421" i="2"/>
  <c r="C6422" i="2"/>
  <c r="D6422" i="2"/>
  <c r="F6422" i="2"/>
  <c r="G6422" i="2"/>
  <c r="H6422" i="2"/>
  <c r="J6422" i="2"/>
  <c r="K6422" i="2"/>
  <c r="L6422" i="2"/>
  <c r="C6423" i="2"/>
  <c r="D6423" i="2"/>
  <c r="F6423" i="2"/>
  <c r="G6423" i="2"/>
  <c r="H6423" i="2"/>
  <c r="J6423" i="2"/>
  <c r="K6423" i="2"/>
  <c r="L6423" i="2"/>
  <c r="C6424" i="2"/>
  <c r="D6424" i="2"/>
  <c r="F6424" i="2"/>
  <c r="G6424" i="2"/>
  <c r="H6424" i="2"/>
  <c r="J6424" i="2"/>
  <c r="K6424" i="2"/>
  <c r="L6424" i="2"/>
  <c r="C6425" i="2"/>
  <c r="D6425" i="2"/>
  <c r="F6425" i="2"/>
  <c r="G6425" i="2"/>
  <c r="H6425" i="2"/>
  <c r="J6425" i="2"/>
  <c r="K6425" i="2"/>
  <c r="L6425" i="2"/>
  <c r="C6426" i="2"/>
  <c r="D6426" i="2"/>
  <c r="F6426" i="2"/>
  <c r="G6426" i="2"/>
  <c r="H6426" i="2"/>
  <c r="J6426" i="2"/>
  <c r="K6426" i="2"/>
  <c r="L6426" i="2"/>
  <c r="C6427" i="2"/>
  <c r="D6427" i="2"/>
  <c r="F6427" i="2"/>
  <c r="G6427" i="2"/>
  <c r="H6427" i="2"/>
  <c r="J6427" i="2"/>
  <c r="K6427" i="2"/>
  <c r="L6427" i="2"/>
  <c r="C6428" i="2"/>
  <c r="D6428" i="2"/>
  <c r="F6428" i="2"/>
  <c r="G6428" i="2"/>
  <c r="H6428" i="2"/>
  <c r="J6428" i="2"/>
  <c r="K6428" i="2"/>
  <c r="L6428" i="2"/>
  <c r="C6429" i="2"/>
  <c r="D6429" i="2"/>
  <c r="F6429" i="2"/>
  <c r="G6429" i="2"/>
  <c r="H6429" i="2"/>
  <c r="J6429" i="2"/>
  <c r="K6429" i="2"/>
  <c r="L6429" i="2"/>
  <c r="C6430" i="2"/>
  <c r="D6430" i="2"/>
  <c r="F6430" i="2"/>
  <c r="G6430" i="2"/>
  <c r="H6430" i="2"/>
  <c r="J6430" i="2"/>
  <c r="K6430" i="2"/>
  <c r="L6430" i="2"/>
  <c r="C6431" i="2"/>
  <c r="D6431" i="2"/>
  <c r="F6431" i="2"/>
  <c r="G6431" i="2"/>
  <c r="H6431" i="2"/>
  <c r="J6431" i="2"/>
  <c r="K6431" i="2"/>
  <c r="L6431" i="2"/>
  <c r="C6432" i="2"/>
  <c r="D6432" i="2"/>
  <c r="F6432" i="2"/>
  <c r="G6432" i="2"/>
  <c r="H6432" i="2"/>
  <c r="J6432" i="2"/>
  <c r="K6432" i="2"/>
  <c r="L6432" i="2"/>
  <c r="C6433" i="2"/>
  <c r="D6433" i="2"/>
  <c r="F6433" i="2"/>
  <c r="G6433" i="2"/>
  <c r="H6433" i="2"/>
  <c r="J6433" i="2"/>
  <c r="K6433" i="2"/>
  <c r="L6433" i="2"/>
  <c r="C6434" i="2"/>
  <c r="D6434" i="2"/>
  <c r="F6434" i="2"/>
  <c r="G6434" i="2"/>
  <c r="H6434" i="2"/>
  <c r="J6434" i="2"/>
  <c r="K6434" i="2"/>
  <c r="L6434" i="2"/>
  <c r="C6435" i="2"/>
  <c r="D6435" i="2"/>
  <c r="F6435" i="2"/>
  <c r="G6435" i="2"/>
  <c r="H6435" i="2"/>
  <c r="J6435" i="2"/>
  <c r="K6435" i="2"/>
  <c r="L6435" i="2"/>
  <c r="C6436" i="2"/>
  <c r="D6436" i="2"/>
  <c r="F6436" i="2"/>
  <c r="G6436" i="2"/>
  <c r="H6436" i="2"/>
  <c r="J6436" i="2"/>
  <c r="K6436" i="2"/>
  <c r="L6436" i="2"/>
  <c r="C6437" i="2"/>
  <c r="D6437" i="2"/>
  <c r="F6437" i="2"/>
  <c r="G6437" i="2"/>
  <c r="H6437" i="2"/>
  <c r="J6437" i="2"/>
  <c r="K6437" i="2"/>
  <c r="L6437" i="2"/>
  <c r="C6438" i="2"/>
  <c r="D6438" i="2"/>
  <c r="F6438" i="2"/>
  <c r="G6438" i="2"/>
  <c r="H6438" i="2"/>
  <c r="J6438" i="2"/>
  <c r="K6438" i="2"/>
  <c r="L6438" i="2"/>
  <c r="C6439" i="2"/>
  <c r="D6439" i="2"/>
  <c r="F6439" i="2"/>
  <c r="G6439" i="2"/>
  <c r="H6439" i="2"/>
  <c r="J6439" i="2"/>
  <c r="K6439" i="2"/>
  <c r="L6439" i="2"/>
  <c r="C6440" i="2"/>
  <c r="D6440" i="2"/>
  <c r="F6440" i="2"/>
  <c r="G6440" i="2"/>
  <c r="H6440" i="2"/>
  <c r="J6440" i="2"/>
  <c r="K6440" i="2"/>
  <c r="L6440" i="2"/>
  <c r="C6441" i="2"/>
  <c r="D6441" i="2"/>
  <c r="F6441" i="2"/>
  <c r="G6441" i="2"/>
  <c r="H6441" i="2"/>
  <c r="J6441" i="2"/>
  <c r="K6441" i="2"/>
  <c r="L6441" i="2"/>
  <c r="C6442" i="2"/>
  <c r="D6442" i="2"/>
  <c r="F6442" i="2"/>
  <c r="G6442" i="2"/>
  <c r="H6442" i="2"/>
  <c r="J6442" i="2"/>
  <c r="K6442" i="2"/>
  <c r="L6442" i="2"/>
  <c r="C6443" i="2"/>
  <c r="D6443" i="2"/>
  <c r="F6443" i="2"/>
  <c r="G6443" i="2"/>
  <c r="H6443" i="2"/>
  <c r="J6443" i="2"/>
  <c r="K6443" i="2"/>
  <c r="L6443" i="2"/>
  <c r="C6444" i="2"/>
  <c r="D6444" i="2"/>
  <c r="F6444" i="2"/>
  <c r="G6444" i="2"/>
  <c r="H6444" i="2"/>
  <c r="J6444" i="2"/>
  <c r="K6444" i="2"/>
  <c r="L6444" i="2"/>
  <c r="C6445" i="2"/>
  <c r="D6445" i="2"/>
  <c r="F6445" i="2"/>
  <c r="G6445" i="2"/>
  <c r="H6445" i="2"/>
  <c r="J6445" i="2"/>
  <c r="K6445" i="2"/>
  <c r="L6445" i="2"/>
  <c r="C6446" i="2"/>
  <c r="D6446" i="2"/>
  <c r="F6446" i="2"/>
  <c r="G6446" i="2"/>
  <c r="H6446" i="2"/>
  <c r="J6446" i="2"/>
  <c r="K6446" i="2"/>
  <c r="L6446" i="2"/>
  <c r="C6447" i="2"/>
  <c r="D6447" i="2"/>
  <c r="F6447" i="2"/>
  <c r="G6447" i="2"/>
  <c r="H6447" i="2"/>
  <c r="J6447" i="2"/>
  <c r="K6447" i="2"/>
  <c r="L6447" i="2"/>
  <c r="C6448" i="2"/>
  <c r="D6448" i="2"/>
  <c r="F6448" i="2"/>
  <c r="G6448" i="2"/>
  <c r="H6448" i="2"/>
  <c r="J6448" i="2"/>
  <c r="K6448" i="2"/>
  <c r="L6448" i="2"/>
  <c r="C6449" i="2"/>
  <c r="D6449" i="2"/>
  <c r="F6449" i="2"/>
  <c r="G6449" i="2"/>
  <c r="H6449" i="2"/>
  <c r="J6449" i="2"/>
  <c r="K6449" i="2"/>
  <c r="L6449" i="2"/>
  <c r="C6450" i="2"/>
  <c r="D6450" i="2"/>
  <c r="F6450" i="2"/>
  <c r="G6450" i="2"/>
  <c r="H6450" i="2"/>
  <c r="J6450" i="2"/>
  <c r="K6450" i="2"/>
  <c r="L6450" i="2"/>
  <c r="C6451" i="2"/>
  <c r="D6451" i="2"/>
  <c r="F6451" i="2"/>
  <c r="G6451" i="2"/>
  <c r="H6451" i="2"/>
  <c r="J6451" i="2"/>
  <c r="K6451" i="2"/>
  <c r="L6451" i="2"/>
  <c r="C6452" i="2"/>
  <c r="D6452" i="2"/>
  <c r="F6452" i="2"/>
  <c r="G6452" i="2"/>
  <c r="H6452" i="2"/>
  <c r="J6452" i="2"/>
  <c r="K6452" i="2"/>
  <c r="L6452" i="2"/>
  <c r="C6453" i="2"/>
  <c r="D6453" i="2"/>
  <c r="F6453" i="2"/>
  <c r="G6453" i="2"/>
  <c r="H6453" i="2"/>
  <c r="J6453" i="2"/>
  <c r="K6453" i="2"/>
  <c r="L6453" i="2"/>
  <c r="C6454" i="2"/>
  <c r="D6454" i="2"/>
  <c r="F6454" i="2"/>
  <c r="G6454" i="2"/>
  <c r="H6454" i="2"/>
  <c r="J6454" i="2"/>
  <c r="K6454" i="2"/>
  <c r="L6454" i="2"/>
  <c r="C6455" i="2"/>
  <c r="D6455" i="2"/>
  <c r="F6455" i="2"/>
  <c r="G6455" i="2"/>
  <c r="H6455" i="2"/>
  <c r="J6455" i="2"/>
  <c r="K6455" i="2"/>
  <c r="L6455" i="2"/>
  <c r="C6456" i="2"/>
  <c r="D6456" i="2"/>
  <c r="F6456" i="2"/>
  <c r="G6456" i="2"/>
  <c r="H6456" i="2"/>
  <c r="J6456" i="2"/>
  <c r="K6456" i="2"/>
  <c r="L6456" i="2"/>
  <c r="C6457" i="2"/>
  <c r="D6457" i="2"/>
  <c r="F6457" i="2"/>
  <c r="G6457" i="2"/>
  <c r="H6457" i="2"/>
  <c r="J6457" i="2"/>
  <c r="K6457" i="2"/>
  <c r="L6457" i="2"/>
  <c r="C6458" i="2"/>
  <c r="D6458" i="2"/>
  <c r="F6458" i="2"/>
  <c r="G6458" i="2"/>
  <c r="H6458" i="2"/>
  <c r="J6458" i="2"/>
  <c r="K6458" i="2"/>
  <c r="L6458" i="2"/>
  <c r="C6459" i="2"/>
  <c r="D6459" i="2"/>
  <c r="F6459" i="2"/>
  <c r="G6459" i="2"/>
  <c r="H6459" i="2"/>
  <c r="J6459" i="2"/>
  <c r="K6459" i="2"/>
  <c r="L6459" i="2"/>
  <c r="C6460" i="2"/>
  <c r="D6460" i="2"/>
  <c r="F6460" i="2"/>
  <c r="G6460" i="2"/>
  <c r="H6460" i="2"/>
  <c r="J6460" i="2"/>
  <c r="K6460" i="2"/>
  <c r="L6460" i="2"/>
  <c r="C6461" i="2"/>
  <c r="D6461" i="2"/>
  <c r="F6461" i="2"/>
  <c r="G6461" i="2"/>
  <c r="H6461" i="2"/>
  <c r="J6461" i="2"/>
  <c r="K6461" i="2"/>
  <c r="L6461" i="2"/>
  <c r="C6462" i="2"/>
  <c r="D6462" i="2"/>
  <c r="F6462" i="2"/>
  <c r="G6462" i="2"/>
  <c r="H6462" i="2"/>
  <c r="J6462" i="2"/>
  <c r="K6462" i="2"/>
  <c r="L6462" i="2"/>
  <c r="C6463" i="2"/>
  <c r="D6463" i="2"/>
  <c r="F6463" i="2"/>
  <c r="G6463" i="2"/>
  <c r="H6463" i="2"/>
  <c r="J6463" i="2"/>
  <c r="K6463" i="2"/>
  <c r="L6463" i="2"/>
  <c r="C6464" i="2"/>
  <c r="D6464" i="2"/>
  <c r="F6464" i="2"/>
  <c r="G6464" i="2"/>
  <c r="H6464" i="2"/>
  <c r="J6464" i="2"/>
  <c r="K6464" i="2"/>
  <c r="L6464" i="2"/>
  <c r="C6465" i="2"/>
  <c r="D6465" i="2"/>
  <c r="F6465" i="2"/>
  <c r="G6465" i="2"/>
  <c r="H6465" i="2"/>
  <c r="J6465" i="2"/>
  <c r="K6465" i="2"/>
  <c r="L6465" i="2"/>
  <c r="C6466" i="2"/>
  <c r="D6466" i="2"/>
  <c r="F6466" i="2"/>
  <c r="G6466" i="2"/>
  <c r="H6466" i="2"/>
  <c r="J6466" i="2"/>
  <c r="K6466" i="2"/>
  <c r="L6466" i="2"/>
  <c r="C6467" i="2"/>
  <c r="D6467" i="2"/>
  <c r="F6467" i="2"/>
  <c r="G6467" i="2"/>
  <c r="H6467" i="2"/>
  <c r="J6467" i="2"/>
  <c r="K6467" i="2"/>
  <c r="L6467" i="2"/>
  <c r="C6468" i="2"/>
  <c r="D6468" i="2"/>
  <c r="F6468" i="2"/>
  <c r="G6468" i="2"/>
  <c r="H6468" i="2"/>
  <c r="J6468" i="2"/>
  <c r="K6468" i="2"/>
  <c r="L6468" i="2"/>
  <c r="C6469" i="2"/>
  <c r="D6469" i="2"/>
  <c r="F6469" i="2"/>
  <c r="G6469" i="2"/>
  <c r="H6469" i="2"/>
  <c r="J6469" i="2"/>
  <c r="K6469" i="2"/>
  <c r="L6469" i="2"/>
  <c r="C6470" i="2"/>
  <c r="D6470" i="2"/>
  <c r="F6470" i="2"/>
  <c r="G6470" i="2"/>
  <c r="H6470" i="2"/>
  <c r="J6470" i="2"/>
  <c r="K6470" i="2"/>
  <c r="L6470" i="2"/>
  <c r="C6471" i="2"/>
  <c r="D6471" i="2"/>
  <c r="F6471" i="2"/>
  <c r="G6471" i="2"/>
  <c r="H6471" i="2"/>
  <c r="J6471" i="2"/>
  <c r="K6471" i="2"/>
  <c r="L6471" i="2"/>
  <c r="C6472" i="2"/>
  <c r="D6472" i="2"/>
  <c r="F6472" i="2"/>
  <c r="G6472" i="2"/>
  <c r="H6472" i="2"/>
  <c r="J6472" i="2"/>
  <c r="K6472" i="2"/>
  <c r="L6472" i="2"/>
  <c r="C6473" i="2"/>
  <c r="D6473" i="2"/>
  <c r="F6473" i="2"/>
  <c r="G6473" i="2"/>
  <c r="H6473" i="2"/>
  <c r="J6473" i="2"/>
  <c r="K6473" i="2"/>
  <c r="L6473" i="2"/>
  <c r="C6474" i="2"/>
  <c r="D6474" i="2"/>
  <c r="F6474" i="2"/>
  <c r="G6474" i="2"/>
  <c r="H6474" i="2"/>
  <c r="J6474" i="2"/>
  <c r="K6474" i="2"/>
  <c r="L6474" i="2"/>
  <c r="C6475" i="2"/>
  <c r="D6475" i="2"/>
  <c r="F6475" i="2"/>
  <c r="G6475" i="2"/>
  <c r="H6475" i="2"/>
  <c r="J6475" i="2"/>
  <c r="K6475" i="2"/>
  <c r="L6475" i="2"/>
  <c r="C6476" i="2"/>
  <c r="D6476" i="2"/>
  <c r="F6476" i="2"/>
  <c r="G6476" i="2"/>
  <c r="H6476" i="2"/>
  <c r="J6476" i="2"/>
  <c r="K6476" i="2"/>
  <c r="L6476" i="2"/>
  <c r="C6477" i="2"/>
  <c r="D6477" i="2"/>
  <c r="F6477" i="2"/>
  <c r="G6477" i="2"/>
  <c r="H6477" i="2"/>
  <c r="J6477" i="2"/>
  <c r="K6477" i="2"/>
  <c r="L6477" i="2"/>
  <c r="C6478" i="2"/>
  <c r="D6478" i="2"/>
  <c r="F6478" i="2"/>
  <c r="G6478" i="2"/>
  <c r="H6478" i="2"/>
  <c r="J6478" i="2"/>
  <c r="K6478" i="2"/>
  <c r="L6478" i="2"/>
  <c r="C6479" i="2"/>
  <c r="D6479" i="2"/>
  <c r="F6479" i="2"/>
  <c r="G6479" i="2"/>
  <c r="H6479" i="2"/>
  <c r="J6479" i="2"/>
  <c r="K6479" i="2"/>
  <c r="L6479" i="2"/>
  <c r="C6480" i="2"/>
  <c r="D6480" i="2"/>
  <c r="F6480" i="2"/>
  <c r="G6480" i="2"/>
  <c r="H6480" i="2"/>
  <c r="J6480" i="2"/>
  <c r="K6480" i="2"/>
  <c r="L6480" i="2"/>
  <c r="C6481" i="2"/>
  <c r="D6481" i="2"/>
  <c r="F6481" i="2"/>
  <c r="G6481" i="2"/>
  <c r="H6481" i="2"/>
  <c r="J6481" i="2"/>
  <c r="K6481" i="2"/>
  <c r="L6481" i="2"/>
  <c r="C6482" i="2"/>
  <c r="D6482" i="2"/>
  <c r="F6482" i="2"/>
  <c r="G6482" i="2"/>
  <c r="H6482" i="2"/>
  <c r="J6482" i="2"/>
  <c r="K6482" i="2"/>
  <c r="L6482" i="2"/>
  <c r="C6483" i="2"/>
  <c r="D6483" i="2"/>
  <c r="F6483" i="2"/>
  <c r="G6483" i="2"/>
  <c r="H6483" i="2"/>
  <c r="J6483" i="2"/>
  <c r="K6483" i="2"/>
  <c r="L6483" i="2"/>
  <c r="C6484" i="2"/>
  <c r="D6484" i="2"/>
  <c r="F6484" i="2"/>
  <c r="G6484" i="2"/>
  <c r="H6484" i="2"/>
  <c r="J6484" i="2"/>
  <c r="K6484" i="2"/>
  <c r="L6484" i="2"/>
  <c r="C6485" i="2"/>
  <c r="D6485" i="2"/>
  <c r="F6485" i="2"/>
  <c r="G6485" i="2"/>
  <c r="H6485" i="2"/>
  <c r="J6485" i="2"/>
  <c r="K6485" i="2"/>
  <c r="L6485" i="2"/>
  <c r="C6486" i="2"/>
  <c r="D6486" i="2"/>
  <c r="F6486" i="2"/>
  <c r="G6486" i="2"/>
  <c r="H6486" i="2"/>
  <c r="J6486" i="2"/>
  <c r="K6486" i="2"/>
  <c r="L6486" i="2"/>
  <c r="C6487" i="2"/>
  <c r="D6487" i="2"/>
  <c r="F6487" i="2"/>
  <c r="G6487" i="2"/>
  <c r="H6487" i="2"/>
  <c r="J6487" i="2"/>
  <c r="K6487" i="2"/>
  <c r="L6487" i="2"/>
  <c r="C6488" i="2"/>
  <c r="D6488" i="2"/>
  <c r="F6488" i="2"/>
  <c r="G6488" i="2"/>
  <c r="H6488" i="2"/>
  <c r="J6488" i="2"/>
  <c r="K6488" i="2"/>
  <c r="L6488" i="2"/>
  <c r="C6489" i="2"/>
  <c r="D6489" i="2"/>
  <c r="F6489" i="2"/>
  <c r="G6489" i="2"/>
  <c r="H6489" i="2"/>
  <c r="J6489" i="2"/>
  <c r="K6489" i="2"/>
  <c r="L6489" i="2"/>
  <c r="C6490" i="2"/>
  <c r="D6490" i="2"/>
  <c r="F6490" i="2"/>
  <c r="G6490" i="2"/>
  <c r="H6490" i="2"/>
  <c r="J6490" i="2"/>
  <c r="K6490" i="2"/>
  <c r="L6490" i="2"/>
  <c r="C6491" i="2"/>
  <c r="D6491" i="2"/>
  <c r="F6491" i="2"/>
  <c r="G6491" i="2"/>
  <c r="H6491" i="2"/>
  <c r="J6491" i="2"/>
  <c r="K6491" i="2"/>
  <c r="L6491" i="2"/>
  <c r="C6492" i="2"/>
  <c r="D6492" i="2"/>
  <c r="F6492" i="2"/>
  <c r="G6492" i="2"/>
  <c r="H6492" i="2"/>
  <c r="J6492" i="2"/>
  <c r="K6492" i="2"/>
  <c r="L6492" i="2"/>
  <c r="C6493" i="2"/>
  <c r="D6493" i="2"/>
  <c r="F6493" i="2"/>
  <c r="G6493" i="2"/>
  <c r="H6493" i="2"/>
  <c r="J6493" i="2"/>
  <c r="K6493" i="2"/>
  <c r="L6493" i="2"/>
  <c r="C6494" i="2"/>
  <c r="D6494" i="2"/>
  <c r="F6494" i="2"/>
  <c r="G6494" i="2"/>
  <c r="H6494" i="2"/>
  <c r="J6494" i="2"/>
  <c r="K6494" i="2"/>
  <c r="L6494" i="2"/>
  <c r="C6495" i="2"/>
  <c r="D6495" i="2"/>
  <c r="F6495" i="2"/>
  <c r="G6495" i="2"/>
  <c r="H6495" i="2"/>
  <c r="J6495" i="2"/>
  <c r="K6495" i="2"/>
  <c r="L6495" i="2"/>
  <c r="C6496" i="2"/>
  <c r="D6496" i="2"/>
  <c r="F6496" i="2"/>
  <c r="G6496" i="2"/>
  <c r="H6496" i="2"/>
  <c r="J6496" i="2"/>
  <c r="K6496" i="2"/>
  <c r="L6496" i="2"/>
  <c r="C6497" i="2"/>
  <c r="D6497" i="2"/>
  <c r="F6497" i="2"/>
  <c r="G6497" i="2"/>
  <c r="H6497" i="2"/>
  <c r="J6497" i="2"/>
  <c r="K6497" i="2"/>
  <c r="L6497" i="2"/>
  <c r="C6498" i="2"/>
  <c r="D6498" i="2"/>
  <c r="F6498" i="2"/>
  <c r="G6498" i="2"/>
  <c r="H6498" i="2"/>
  <c r="J6498" i="2"/>
  <c r="K6498" i="2"/>
  <c r="L6498" i="2"/>
  <c r="C6499" i="2"/>
  <c r="D6499" i="2"/>
  <c r="F6499" i="2"/>
  <c r="G6499" i="2"/>
  <c r="H6499" i="2"/>
  <c r="J6499" i="2"/>
  <c r="K6499" i="2"/>
  <c r="L6499" i="2"/>
  <c r="C6500" i="2"/>
  <c r="D6500" i="2"/>
  <c r="F6500" i="2"/>
  <c r="G6500" i="2"/>
  <c r="H6500" i="2"/>
  <c r="J6500" i="2"/>
  <c r="K6500" i="2"/>
  <c r="L6500" i="2"/>
  <c r="C6501" i="2"/>
  <c r="D6501" i="2"/>
  <c r="F6501" i="2"/>
  <c r="G6501" i="2"/>
  <c r="H6501" i="2"/>
  <c r="J6501" i="2"/>
  <c r="K6501" i="2"/>
  <c r="L6501" i="2"/>
  <c r="C6502" i="2"/>
  <c r="D6502" i="2"/>
  <c r="F6502" i="2"/>
  <c r="G6502" i="2"/>
  <c r="H6502" i="2"/>
  <c r="J6502" i="2"/>
  <c r="K6502" i="2"/>
  <c r="L6502" i="2"/>
  <c r="C6503" i="2"/>
  <c r="D6503" i="2"/>
  <c r="F6503" i="2"/>
  <c r="G6503" i="2"/>
  <c r="H6503" i="2"/>
  <c r="J6503" i="2"/>
  <c r="K6503" i="2"/>
  <c r="L6503" i="2"/>
  <c r="C6504" i="2"/>
  <c r="D6504" i="2"/>
  <c r="F6504" i="2"/>
  <c r="G6504" i="2"/>
  <c r="H6504" i="2"/>
  <c r="J6504" i="2"/>
  <c r="K6504" i="2"/>
  <c r="L6504" i="2"/>
  <c r="C6505" i="2"/>
  <c r="D6505" i="2"/>
  <c r="F6505" i="2"/>
  <c r="G6505" i="2"/>
  <c r="H6505" i="2"/>
  <c r="J6505" i="2"/>
  <c r="K6505" i="2"/>
  <c r="L6505" i="2"/>
  <c r="C6506" i="2"/>
  <c r="D6506" i="2"/>
  <c r="F6506" i="2"/>
  <c r="G6506" i="2"/>
  <c r="H6506" i="2"/>
  <c r="J6506" i="2"/>
  <c r="K6506" i="2"/>
  <c r="L6506" i="2"/>
  <c r="C6507" i="2"/>
  <c r="D6507" i="2"/>
  <c r="F6507" i="2"/>
  <c r="G6507" i="2"/>
  <c r="H6507" i="2"/>
  <c r="J6507" i="2"/>
  <c r="K6507" i="2"/>
  <c r="L6507" i="2"/>
  <c r="C6508" i="2"/>
  <c r="D6508" i="2"/>
  <c r="F6508" i="2"/>
  <c r="G6508" i="2"/>
  <c r="H6508" i="2"/>
  <c r="J6508" i="2"/>
  <c r="K6508" i="2"/>
  <c r="L6508" i="2"/>
  <c r="C6509" i="2"/>
  <c r="D6509" i="2"/>
  <c r="F6509" i="2"/>
  <c r="G6509" i="2"/>
  <c r="H6509" i="2"/>
  <c r="J6509" i="2"/>
  <c r="K6509" i="2"/>
  <c r="L6509" i="2"/>
  <c r="C6510" i="2"/>
  <c r="D6510" i="2"/>
  <c r="F6510" i="2"/>
  <c r="G6510" i="2"/>
  <c r="H6510" i="2"/>
  <c r="J6510" i="2"/>
  <c r="K6510" i="2"/>
  <c r="L6510" i="2"/>
  <c r="C6511" i="2"/>
  <c r="D6511" i="2"/>
  <c r="F6511" i="2"/>
  <c r="G6511" i="2"/>
  <c r="H6511" i="2"/>
  <c r="J6511" i="2"/>
  <c r="K6511" i="2"/>
  <c r="L6511" i="2"/>
  <c r="C6512" i="2"/>
  <c r="D6512" i="2"/>
  <c r="F6512" i="2"/>
  <c r="G6512" i="2"/>
  <c r="H6512" i="2"/>
  <c r="J6512" i="2"/>
  <c r="K6512" i="2"/>
  <c r="L6512" i="2"/>
  <c r="C6513" i="2"/>
  <c r="D6513" i="2"/>
  <c r="F6513" i="2"/>
  <c r="G6513" i="2"/>
  <c r="H6513" i="2"/>
  <c r="J6513" i="2"/>
  <c r="K6513" i="2"/>
  <c r="L6513" i="2"/>
  <c r="C6514" i="2"/>
  <c r="D6514" i="2"/>
  <c r="F6514" i="2"/>
  <c r="G6514" i="2"/>
  <c r="H6514" i="2"/>
  <c r="J6514" i="2"/>
  <c r="K6514" i="2"/>
  <c r="L6514" i="2"/>
  <c r="C6515" i="2"/>
  <c r="D6515" i="2"/>
  <c r="F6515" i="2"/>
  <c r="G6515" i="2"/>
  <c r="H6515" i="2"/>
  <c r="J6515" i="2"/>
  <c r="K6515" i="2"/>
  <c r="L6515" i="2"/>
  <c r="C6516" i="2"/>
  <c r="D6516" i="2"/>
  <c r="F6516" i="2"/>
  <c r="G6516" i="2"/>
  <c r="H6516" i="2"/>
  <c r="J6516" i="2"/>
  <c r="K6516" i="2"/>
  <c r="L6516" i="2"/>
  <c r="C6517" i="2"/>
  <c r="D6517" i="2"/>
  <c r="F6517" i="2"/>
  <c r="G6517" i="2"/>
  <c r="H6517" i="2"/>
  <c r="J6517" i="2"/>
  <c r="K6517" i="2"/>
  <c r="L6517" i="2"/>
  <c r="C6518" i="2"/>
  <c r="D6518" i="2"/>
  <c r="F6518" i="2"/>
  <c r="G6518" i="2"/>
  <c r="H6518" i="2"/>
  <c r="J6518" i="2"/>
  <c r="K6518" i="2"/>
  <c r="L6518" i="2"/>
  <c r="C6519" i="2"/>
  <c r="D6519" i="2"/>
  <c r="F6519" i="2"/>
  <c r="G6519" i="2"/>
  <c r="H6519" i="2"/>
  <c r="J6519" i="2"/>
  <c r="K6519" i="2"/>
  <c r="L6519" i="2"/>
  <c r="C6520" i="2"/>
  <c r="D6520" i="2"/>
  <c r="F6520" i="2"/>
  <c r="G6520" i="2"/>
  <c r="H6520" i="2"/>
  <c r="J6520" i="2"/>
  <c r="K6520" i="2"/>
  <c r="L6520" i="2"/>
  <c r="C6521" i="2"/>
  <c r="D6521" i="2"/>
  <c r="F6521" i="2"/>
  <c r="G6521" i="2"/>
  <c r="H6521" i="2"/>
  <c r="J6521" i="2"/>
  <c r="K6521" i="2"/>
  <c r="L6521" i="2"/>
  <c r="C6522" i="2"/>
  <c r="D6522" i="2"/>
  <c r="F6522" i="2"/>
  <c r="G6522" i="2"/>
  <c r="H6522" i="2"/>
  <c r="J6522" i="2"/>
  <c r="K6522" i="2"/>
  <c r="L6522" i="2"/>
  <c r="C6523" i="2"/>
  <c r="D6523" i="2"/>
  <c r="F6523" i="2"/>
  <c r="G6523" i="2"/>
  <c r="H6523" i="2"/>
  <c r="J6523" i="2"/>
  <c r="K6523" i="2"/>
  <c r="L6523" i="2"/>
  <c r="C6524" i="2"/>
  <c r="D6524" i="2"/>
  <c r="F6524" i="2"/>
  <c r="G6524" i="2"/>
  <c r="H6524" i="2"/>
  <c r="J6524" i="2"/>
  <c r="K6524" i="2"/>
  <c r="L6524" i="2"/>
  <c r="C6525" i="2"/>
  <c r="D6525" i="2"/>
  <c r="F6525" i="2"/>
  <c r="G6525" i="2"/>
  <c r="H6525" i="2"/>
  <c r="J6525" i="2"/>
  <c r="K6525" i="2"/>
  <c r="L6525" i="2"/>
  <c r="C6526" i="2"/>
  <c r="D6526" i="2"/>
  <c r="F6526" i="2"/>
  <c r="G6526" i="2"/>
  <c r="H6526" i="2"/>
  <c r="J6526" i="2"/>
  <c r="K6526" i="2"/>
  <c r="L6526" i="2"/>
  <c r="C6527" i="2"/>
  <c r="D6527" i="2"/>
  <c r="F6527" i="2"/>
  <c r="G6527" i="2"/>
  <c r="H6527" i="2"/>
  <c r="J6527" i="2"/>
  <c r="K6527" i="2"/>
  <c r="L6527" i="2"/>
  <c r="C6528" i="2"/>
  <c r="D6528" i="2"/>
  <c r="F6528" i="2"/>
  <c r="G6528" i="2"/>
  <c r="H6528" i="2"/>
  <c r="J6528" i="2"/>
  <c r="K6528" i="2"/>
  <c r="L6528" i="2"/>
  <c r="C6529" i="2"/>
  <c r="D6529" i="2"/>
  <c r="F6529" i="2"/>
  <c r="G6529" i="2"/>
  <c r="H6529" i="2"/>
  <c r="J6529" i="2"/>
  <c r="K6529" i="2"/>
  <c r="L6529" i="2"/>
  <c r="C6530" i="2"/>
  <c r="D6530" i="2"/>
  <c r="F6530" i="2"/>
  <c r="G6530" i="2"/>
  <c r="H6530" i="2"/>
  <c r="J6530" i="2"/>
  <c r="K6530" i="2"/>
  <c r="L6530" i="2"/>
  <c r="C6531" i="2"/>
  <c r="D6531" i="2"/>
  <c r="F6531" i="2"/>
  <c r="G6531" i="2"/>
  <c r="H6531" i="2"/>
  <c r="J6531" i="2"/>
  <c r="K6531" i="2"/>
  <c r="L6531" i="2"/>
  <c r="C6532" i="2"/>
  <c r="D6532" i="2"/>
  <c r="F6532" i="2"/>
  <c r="G6532" i="2"/>
  <c r="H6532" i="2"/>
  <c r="J6532" i="2"/>
  <c r="K6532" i="2"/>
  <c r="L6532" i="2"/>
  <c r="C6533" i="2"/>
  <c r="D6533" i="2"/>
  <c r="F6533" i="2"/>
  <c r="G6533" i="2"/>
  <c r="H6533" i="2"/>
  <c r="J6533" i="2"/>
  <c r="K6533" i="2"/>
  <c r="L6533" i="2"/>
  <c r="C6534" i="2"/>
  <c r="D6534" i="2"/>
  <c r="F6534" i="2"/>
  <c r="G6534" i="2"/>
  <c r="H6534" i="2"/>
  <c r="J6534" i="2"/>
  <c r="K6534" i="2"/>
  <c r="L6534" i="2"/>
  <c r="C6535" i="2"/>
  <c r="D6535" i="2"/>
  <c r="F6535" i="2"/>
  <c r="G6535" i="2"/>
  <c r="H6535" i="2"/>
  <c r="J6535" i="2"/>
  <c r="K6535" i="2"/>
  <c r="L6535" i="2"/>
  <c r="C6536" i="2"/>
  <c r="D6536" i="2"/>
  <c r="F6536" i="2"/>
  <c r="G6536" i="2"/>
  <c r="H6536" i="2"/>
  <c r="J6536" i="2"/>
  <c r="K6536" i="2"/>
  <c r="L6536" i="2"/>
  <c r="C6537" i="2"/>
  <c r="D6537" i="2"/>
  <c r="F6537" i="2"/>
  <c r="G6537" i="2"/>
  <c r="H6537" i="2"/>
  <c r="J6537" i="2"/>
  <c r="K6537" i="2"/>
  <c r="L6537" i="2"/>
  <c r="C6538" i="2"/>
  <c r="D6538" i="2"/>
  <c r="F6538" i="2"/>
  <c r="G6538" i="2"/>
  <c r="H6538" i="2"/>
  <c r="J6538" i="2"/>
  <c r="K6538" i="2"/>
  <c r="L6538" i="2"/>
  <c r="C6539" i="2"/>
  <c r="D6539" i="2"/>
  <c r="F6539" i="2"/>
  <c r="G6539" i="2"/>
  <c r="H6539" i="2"/>
  <c r="J6539" i="2"/>
  <c r="K6539" i="2"/>
  <c r="L6539" i="2"/>
  <c r="C6540" i="2"/>
  <c r="D6540" i="2"/>
  <c r="F6540" i="2"/>
  <c r="G6540" i="2"/>
  <c r="H6540" i="2"/>
  <c r="J6540" i="2"/>
  <c r="K6540" i="2"/>
  <c r="L6540" i="2"/>
  <c r="C6541" i="2"/>
  <c r="D6541" i="2"/>
  <c r="F6541" i="2"/>
  <c r="G6541" i="2"/>
  <c r="H6541" i="2"/>
  <c r="J6541" i="2"/>
  <c r="K6541" i="2"/>
  <c r="L6541" i="2"/>
  <c r="C6542" i="2"/>
  <c r="D6542" i="2"/>
  <c r="F6542" i="2"/>
  <c r="G6542" i="2"/>
  <c r="H6542" i="2"/>
  <c r="J6542" i="2"/>
  <c r="K6542" i="2"/>
  <c r="L6542" i="2"/>
  <c r="C6543" i="2"/>
  <c r="D6543" i="2"/>
  <c r="F6543" i="2"/>
  <c r="G6543" i="2"/>
  <c r="H6543" i="2"/>
  <c r="J6543" i="2"/>
  <c r="K6543" i="2"/>
  <c r="L6543" i="2"/>
  <c r="C6544" i="2"/>
  <c r="D6544" i="2"/>
  <c r="F6544" i="2"/>
  <c r="G6544" i="2"/>
  <c r="H6544" i="2"/>
  <c r="J6544" i="2"/>
  <c r="K6544" i="2"/>
  <c r="L6544" i="2"/>
  <c r="C6545" i="2"/>
  <c r="D6545" i="2"/>
  <c r="F6545" i="2"/>
  <c r="G6545" i="2"/>
  <c r="H6545" i="2"/>
  <c r="J6545" i="2"/>
  <c r="K6545" i="2"/>
  <c r="L6545" i="2"/>
  <c r="C6546" i="2"/>
  <c r="D6546" i="2"/>
  <c r="F6546" i="2"/>
  <c r="G6546" i="2"/>
  <c r="H6546" i="2"/>
  <c r="J6546" i="2"/>
  <c r="K6546" i="2"/>
  <c r="L6546" i="2"/>
  <c r="C6547" i="2"/>
  <c r="D6547" i="2"/>
  <c r="F6547" i="2"/>
  <c r="G6547" i="2"/>
  <c r="H6547" i="2"/>
  <c r="J6547" i="2"/>
  <c r="K6547" i="2"/>
  <c r="L6547" i="2"/>
  <c r="C6548" i="2"/>
  <c r="D6548" i="2"/>
  <c r="F6548" i="2"/>
  <c r="G6548" i="2"/>
  <c r="H6548" i="2"/>
  <c r="J6548" i="2"/>
  <c r="K6548" i="2"/>
  <c r="L6548" i="2"/>
  <c r="C6549" i="2"/>
  <c r="D6549" i="2"/>
  <c r="F6549" i="2"/>
  <c r="G6549" i="2"/>
  <c r="H6549" i="2"/>
  <c r="J6549" i="2"/>
  <c r="K6549" i="2"/>
  <c r="L6549" i="2"/>
  <c r="C6550" i="2"/>
  <c r="D6550" i="2"/>
  <c r="F6550" i="2"/>
  <c r="G6550" i="2"/>
  <c r="H6550" i="2"/>
  <c r="J6550" i="2"/>
  <c r="K6550" i="2"/>
  <c r="L6550" i="2"/>
  <c r="C6551" i="2"/>
  <c r="D6551" i="2"/>
  <c r="F6551" i="2"/>
  <c r="G6551" i="2"/>
  <c r="H6551" i="2"/>
  <c r="J6551" i="2"/>
  <c r="K6551" i="2"/>
  <c r="L6551" i="2"/>
  <c r="C6552" i="2"/>
  <c r="D6552" i="2"/>
  <c r="F6552" i="2"/>
  <c r="G6552" i="2"/>
  <c r="H6552" i="2"/>
  <c r="J6552" i="2"/>
  <c r="K6552" i="2"/>
  <c r="L6552" i="2"/>
  <c r="C6553" i="2"/>
  <c r="D6553" i="2"/>
  <c r="F6553" i="2"/>
  <c r="G6553" i="2"/>
  <c r="H6553" i="2"/>
  <c r="J6553" i="2"/>
  <c r="K6553" i="2"/>
  <c r="L6553" i="2"/>
  <c r="C6554" i="2"/>
  <c r="D6554" i="2"/>
  <c r="F6554" i="2"/>
  <c r="G6554" i="2"/>
  <c r="H6554" i="2"/>
  <c r="J6554" i="2"/>
  <c r="K6554" i="2"/>
  <c r="L6554" i="2"/>
  <c r="C6555" i="2"/>
  <c r="D6555" i="2"/>
  <c r="F6555" i="2"/>
  <c r="G6555" i="2"/>
  <c r="H6555" i="2"/>
  <c r="J6555" i="2"/>
  <c r="K6555" i="2"/>
  <c r="L6555" i="2"/>
  <c r="C6556" i="2"/>
  <c r="D6556" i="2"/>
  <c r="F6556" i="2"/>
  <c r="G6556" i="2"/>
  <c r="H6556" i="2"/>
  <c r="J6556" i="2"/>
  <c r="K6556" i="2"/>
  <c r="L6556" i="2"/>
  <c r="C6557" i="2"/>
  <c r="D6557" i="2"/>
  <c r="F6557" i="2"/>
  <c r="G6557" i="2"/>
  <c r="H6557" i="2"/>
  <c r="J6557" i="2"/>
  <c r="K6557" i="2"/>
  <c r="L6557" i="2"/>
  <c r="C6558" i="2"/>
  <c r="D6558" i="2"/>
  <c r="F6558" i="2"/>
  <c r="G6558" i="2"/>
  <c r="H6558" i="2"/>
  <c r="J6558" i="2"/>
  <c r="K6558" i="2"/>
  <c r="L6558" i="2"/>
  <c r="C6559" i="2"/>
  <c r="D6559" i="2"/>
  <c r="F6559" i="2"/>
  <c r="G6559" i="2"/>
  <c r="H6559" i="2"/>
  <c r="J6559" i="2"/>
  <c r="K6559" i="2"/>
  <c r="L6559" i="2"/>
  <c r="C6560" i="2"/>
  <c r="D6560" i="2"/>
  <c r="F6560" i="2"/>
  <c r="G6560" i="2"/>
  <c r="H6560" i="2"/>
  <c r="J6560" i="2"/>
  <c r="K6560" i="2"/>
  <c r="L6560" i="2"/>
  <c r="C6561" i="2"/>
  <c r="D6561" i="2"/>
  <c r="F6561" i="2"/>
  <c r="G6561" i="2"/>
  <c r="H6561" i="2"/>
  <c r="J6561" i="2"/>
  <c r="K6561" i="2"/>
  <c r="L6561" i="2"/>
  <c r="C6562" i="2"/>
  <c r="D6562" i="2"/>
  <c r="F6562" i="2"/>
  <c r="G6562" i="2"/>
  <c r="H6562" i="2"/>
  <c r="J6562" i="2"/>
  <c r="K6562" i="2"/>
  <c r="L6562" i="2"/>
  <c r="C6563" i="2"/>
  <c r="D6563" i="2"/>
  <c r="F6563" i="2"/>
  <c r="G6563" i="2"/>
  <c r="H6563" i="2"/>
  <c r="J6563" i="2"/>
  <c r="K6563" i="2"/>
  <c r="L6563" i="2"/>
  <c r="C6564" i="2"/>
  <c r="D6564" i="2"/>
  <c r="F6564" i="2"/>
  <c r="G6564" i="2"/>
  <c r="H6564" i="2"/>
  <c r="J6564" i="2"/>
  <c r="K6564" i="2"/>
  <c r="L6564" i="2"/>
  <c r="C6565" i="2"/>
  <c r="D6565" i="2"/>
  <c r="F6565" i="2"/>
  <c r="G6565" i="2"/>
  <c r="H6565" i="2"/>
  <c r="J6565" i="2"/>
  <c r="K6565" i="2"/>
  <c r="L6565" i="2"/>
  <c r="C6566" i="2"/>
  <c r="D6566" i="2"/>
  <c r="F6566" i="2"/>
  <c r="G6566" i="2"/>
  <c r="H6566" i="2"/>
  <c r="J6566" i="2"/>
  <c r="K6566" i="2"/>
  <c r="L6566" i="2"/>
  <c r="C6567" i="2"/>
  <c r="D6567" i="2"/>
  <c r="F6567" i="2"/>
  <c r="G6567" i="2"/>
  <c r="H6567" i="2"/>
  <c r="J6567" i="2"/>
  <c r="K6567" i="2"/>
  <c r="L6567" i="2"/>
  <c r="C6568" i="2"/>
  <c r="D6568" i="2"/>
  <c r="F6568" i="2"/>
  <c r="G6568" i="2"/>
  <c r="H6568" i="2"/>
  <c r="J6568" i="2"/>
  <c r="K6568" i="2"/>
  <c r="L6568" i="2"/>
  <c r="C6569" i="2"/>
  <c r="D6569" i="2"/>
  <c r="F6569" i="2"/>
  <c r="G6569" i="2"/>
  <c r="H6569" i="2"/>
  <c r="J6569" i="2"/>
  <c r="K6569" i="2"/>
  <c r="L6569" i="2"/>
  <c r="C6570" i="2"/>
  <c r="D6570" i="2"/>
  <c r="F6570" i="2"/>
  <c r="G6570" i="2"/>
  <c r="H6570" i="2"/>
  <c r="J6570" i="2"/>
  <c r="K6570" i="2"/>
  <c r="L6570" i="2"/>
  <c r="C6571" i="2"/>
  <c r="D6571" i="2"/>
  <c r="F6571" i="2"/>
  <c r="G6571" i="2"/>
  <c r="H6571" i="2"/>
  <c r="J6571" i="2"/>
  <c r="K6571" i="2"/>
  <c r="L6571" i="2"/>
  <c r="C6572" i="2"/>
  <c r="D6572" i="2"/>
  <c r="F6572" i="2"/>
  <c r="G6572" i="2"/>
  <c r="H6572" i="2"/>
  <c r="J6572" i="2"/>
  <c r="K6572" i="2"/>
  <c r="L6572" i="2"/>
  <c r="C6573" i="2"/>
  <c r="D6573" i="2"/>
  <c r="F6573" i="2"/>
  <c r="G6573" i="2"/>
  <c r="H6573" i="2"/>
  <c r="J6573" i="2"/>
  <c r="K6573" i="2"/>
  <c r="L6573" i="2"/>
  <c r="C6574" i="2"/>
  <c r="D6574" i="2"/>
  <c r="F6574" i="2"/>
  <c r="G6574" i="2"/>
  <c r="H6574" i="2"/>
  <c r="J6574" i="2"/>
  <c r="K6574" i="2"/>
  <c r="L6574" i="2"/>
  <c r="C6575" i="2"/>
  <c r="D6575" i="2"/>
  <c r="F6575" i="2"/>
  <c r="G6575" i="2"/>
  <c r="H6575" i="2"/>
  <c r="J6575" i="2"/>
  <c r="K6575" i="2"/>
  <c r="L6575" i="2"/>
  <c r="C6576" i="2"/>
  <c r="D6576" i="2"/>
  <c r="F6576" i="2"/>
  <c r="G6576" i="2"/>
  <c r="H6576" i="2"/>
  <c r="J6576" i="2"/>
  <c r="K6576" i="2"/>
  <c r="L6576" i="2"/>
  <c r="C6577" i="2"/>
  <c r="D6577" i="2"/>
  <c r="F6577" i="2"/>
  <c r="G6577" i="2"/>
  <c r="H6577" i="2"/>
  <c r="J6577" i="2"/>
  <c r="K6577" i="2"/>
  <c r="L6577" i="2"/>
  <c r="C6578" i="2"/>
  <c r="D6578" i="2"/>
  <c r="F6578" i="2"/>
  <c r="G6578" i="2"/>
  <c r="H6578" i="2"/>
  <c r="J6578" i="2"/>
  <c r="K6578" i="2"/>
  <c r="L6578" i="2"/>
  <c r="C6579" i="2"/>
  <c r="D6579" i="2"/>
  <c r="F6579" i="2"/>
  <c r="G6579" i="2"/>
  <c r="H6579" i="2"/>
  <c r="J6579" i="2"/>
  <c r="K6579" i="2"/>
  <c r="L6579" i="2"/>
  <c r="C6580" i="2"/>
  <c r="D6580" i="2"/>
  <c r="F6580" i="2"/>
  <c r="G6580" i="2"/>
  <c r="H6580" i="2"/>
  <c r="J6580" i="2"/>
  <c r="K6580" i="2"/>
  <c r="L6580" i="2"/>
  <c r="C6581" i="2"/>
  <c r="D6581" i="2"/>
  <c r="F6581" i="2"/>
  <c r="G6581" i="2"/>
  <c r="H6581" i="2"/>
  <c r="J6581" i="2"/>
  <c r="K6581" i="2"/>
  <c r="L6581" i="2"/>
  <c r="C6582" i="2"/>
  <c r="D6582" i="2"/>
  <c r="F6582" i="2"/>
  <c r="G6582" i="2"/>
  <c r="H6582" i="2"/>
  <c r="J6582" i="2"/>
  <c r="K6582" i="2"/>
  <c r="L6582" i="2"/>
  <c r="C6583" i="2"/>
  <c r="D6583" i="2"/>
  <c r="F6583" i="2"/>
  <c r="G6583" i="2"/>
  <c r="H6583" i="2"/>
  <c r="J6583" i="2"/>
  <c r="K6583" i="2"/>
  <c r="L6583" i="2"/>
  <c r="C6584" i="2"/>
  <c r="D6584" i="2"/>
  <c r="F6584" i="2"/>
  <c r="G6584" i="2"/>
  <c r="H6584" i="2"/>
  <c r="J6584" i="2"/>
  <c r="K6584" i="2"/>
  <c r="L6584" i="2"/>
  <c r="C6585" i="2"/>
  <c r="D6585" i="2"/>
  <c r="F6585" i="2"/>
  <c r="G6585" i="2"/>
  <c r="H6585" i="2"/>
  <c r="J6585" i="2"/>
  <c r="K6585" i="2"/>
  <c r="L6585" i="2"/>
  <c r="C6586" i="2"/>
  <c r="D6586" i="2"/>
  <c r="F6586" i="2"/>
  <c r="G6586" i="2"/>
  <c r="H6586" i="2"/>
  <c r="J6586" i="2"/>
  <c r="K6586" i="2"/>
  <c r="L6586" i="2"/>
  <c r="C6587" i="2"/>
  <c r="D6587" i="2"/>
  <c r="F6587" i="2"/>
  <c r="G6587" i="2"/>
  <c r="H6587" i="2"/>
  <c r="J6587" i="2"/>
  <c r="K6587" i="2"/>
  <c r="L6587" i="2"/>
  <c r="C6588" i="2"/>
  <c r="D6588" i="2"/>
  <c r="F6588" i="2"/>
  <c r="G6588" i="2"/>
  <c r="H6588" i="2"/>
  <c r="J6588" i="2"/>
  <c r="K6588" i="2"/>
  <c r="L6588" i="2"/>
  <c r="C6589" i="2"/>
  <c r="D6589" i="2"/>
  <c r="F6589" i="2"/>
  <c r="G6589" i="2"/>
  <c r="H6589" i="2"/>
  <c r="J6589" i="2"/>
  <c r="K6589" i="2"/>
  <c r="L6589" i="2"/>
  <c r="C6590" i="2"/>
  <c r="D6590" i="2"/>
  <c r="F6590" i="2"/>
  <c r="G6590" i="2"/>
  <c r="H6590" i="2"/>
  <c r="J6590" i="2"/>
  <c r="K6590" i="2"/>
  <c r="L6590" i="2"/>
  <c r="C6591" i="2"/>
  <c r="D6591" i="2"/>
  <c r="F6591" i="2"/>
  <c r="G6591" i="2"/>
  <c r="H6591" i="2"/>
  <c r="J6591" i="2"/>
  <c r="K6591" i="2"/>
  <c r="L6591" i="2"/>
  <c r="C6592" i="2"/>
  <c r="D6592" i="2"/>
  <c r="F6592" i="2"/>
  <c r="G6592" i="2"/>
  <c r="H6592" i="2"/>
  <c r="J6592" i="2"/>
  <c r="K6592" i="2"/>
  <c r="L6592" i="2"/>
  <c r="C6593" i="2"/>
  <c r="D6593" i="2"/>
  <c r="F6593" i="2"/>
  <c r="G6593" i="2"/>
  <c r="H6593" i="2"/>
  <c r="J6593" i="2"/>
  <c r="K6593" i="2"/>
  <c r="L6593" i="2"/>
  <c r="C6594" i="2"/>
  <c r="D6594" i="2"/>
  <c r="F6594" i="2"/>
  <c r="G6594" i="2"/>
  <c r="H6594" i="2"/>
  <c r="J6594" i="2"/>
  <c r="K6594" i="2"/>
  <c r="L6594" i="2"/>
  <c r="C6595" i="2"/>
  <c r="D6595" i="2"/>
  <c r="F6595" i="2"/>
  <c r="G6595" i="2"/>
  <c r="H6595" i="2"/>
  <c r="J6595" i="2"/>
  <c r="K6595" i="2"/>
  <c r="L6595" i="2"/>
  <c r="C6596" i="2"/>
  <c r="D6596" i="2"/>
  <c r="F6596" i="2"/>
  <c r="G6596" i="2"/>
  <c r="H6596" i="2"/>
  <c r="J6596" i="2"/>
  <c r="K6596" i="2"/>
  <c r="L6596" i="2"/>
  <c r="C6597" i="2"/>
  <c r="D6597" i="2"/>
  <c r="F6597" i="2"/>
  <c r="G6597" i="2"/>
  <c r="H6597" i="2"/>
  <c r="J6597" i="2"/>
  <c r="K6597" i="2"/>
  <c r="L6597" i="2"/>
  <c r="C6598" i="2"/>
  <c r="D6598" i="2"/>
  <c r="F6598" i="2"/>
  <c r="G6598" i="2"/>
  <c r="H6598" i="2"/>
  <c r="J6598" i="2"/>
  <c r="K6598" i="2"/>
  <c r="L6598" i="2"/>
  <c r="C6599" i="2"/>
  <c r="D6599" i="2"/>
  <c r="F6599" i="2"/>
  <c r="G6599" i="2"/>
  <c r="H6599" i="2"/>
  <c r="J6599" i="2"/>
  <c r="K6599" i="2"/>
  <c r="L6599" i="2"/>
  <c r="C6600" i="2"/>
  <c r="D6600" i="2"/>
  <c r="F6600" i="2"/>
  <c r="G6600" i="2"/>
  <c r="H6600" i="2"/>
  <c r="J6600" i="2"/>
  <c r="K6600" i="2"/>
  <c r="L6600" i="2"/>
  <c r="C6601" i="2"/>
  <c r="D6601" i="2"/>
  <c r="F6601" i="2"/>
  <c r="G6601" i="2"/>
  <c r="H6601" i="2"/>
  <c r="J6601" i="2"/>
  <c r="K6601" i="2"/>
  <c r="L6601" i="2"/>
  <c r="C6602" i="2"/>
  <c r="D6602" i="2"/>
  <c r="F6602" i="2"/>
  <c r="G6602" i="2"/>
  <c r="H6602" i="2"/>
  <c r="J6602" i="2"/>
  <c r="K6602" i="2"/>
  <c r="L6602" i="2"/>
  <c r="C6603" i="2"/>
  <c r="D6603" i="2"/>
  <c r="F6603" i="2"/>
  <c r="G6603" i="2"/>
  <c r="H6603" i="2"/>
  <c r="J6603" i="2"/>
  <c r="K6603" i="2"/>
  <c r="L6603" i="2"/>
  <c r="C6604" i="2"/>
  <c r="D6604" i="2"/>
  <c r="F6604" i="2"/>
  <c r="G6604" i="2"/>
  <c r="H6604" i="2"/>
  <c r="J6604" i="2"/>
  <c r="K6604" i="2"/>
  <c r="L6604" i="2"/>
  <c r="C6605" i="2"/>
  <c r="D6605" i="2"/>
  <c r="F6605" i="2"/>
  <c r="G6605" i="2"/>
  <c r="H6605" i="2"/>
  <c r="J6605" i="2"/>
  <c r="K6605" i="2"/>
  <c r="L6605" i="2"/>
  <c r="C6606" i="2"/>
  <c r="D6606" i="2"/>
  <c r="F6606" i="2"/>
  <c r="G6606" i="2"/>
  <c r="H6606" i="2"/>
  <c r="J6606" i="2"/>
  <c r="K6606" i="2"/>
  <c r="L6606" i="2"/>
  <c r="C6607" i="2"/>
  <c r="D6607" i="2"/>
  <c r="F6607" i="2"/>
  <c r="G6607" i="2"/>
  <c r="H6607" i="2"/>
  <c r="J6607" i="2"/>
  <c r="K6607" i="2"/>
  <c r="L6607" i="2"/>
  <c r="C6608" i="2"/>
  <c r="D6608" i="2"/>
  <c r="F6608" i="2"/>
  <c r="G6608" i="2"/>
  <c r="H6608" i="2"/>
  <c r="J6608" i="2"/>
  <c r="K6608" i="2"/>
  <c r="L6608" i="2"/>
  <c r="C6609" i="2"/>
  <c r="D6609" i="2"/>
  <c r="F6609" i="2"/>
  <c r="G6609" i="2"/>
  <c r="H6609" i="2"/>
  <c r="J6609" i="2"/>
  <c r="K6609" i="2"/>
  <c r="L6609" i="2"/>
  <c r="C6610" i="2"/>
  <c r="D6610" i="2"/>
  <c r="F6610" i="2"/>
  <c r="G6610" i="2"/>
  <c r="H6610" i="2"/>
  <c r="J6610" i="2"/>
  <c r="K6610" i="2"/>
  <c r="L6610" i="2"/>
  <c r="C6611" i="2"/>
  <c r="D6611" i="2"/>
  <c r="F6611" i="2"/>
  <c r="G6611" i="2"/>
  <c r="H6611" i="2"/>
  <c r="J6611" i="2"/>
  <c r="K6611" i="2"/>
  <c r="L6611" i="2"/>
  <c r="C6612" i="2"/>
  <c r="D6612" i="2"/>
  <c r="F6612" i="2"/>
  <c r="G6612" i="2"/>
  <c r="H6612" i="2"/>
  <c r="J6612" i="2"/>
  <c r="K6612" i="2"/>
  <c r="L6612" i="2"/>
  <c r="C6613" i="2"/>
  <c r="D6613" i="2"/>
  <c r="F6613" i="2"/>
  <c r="G6613" i="2"/>
  <c r="H6613" i="2"/>
  <c r="J6613" i="2"/>
  <c r="K6613" i="2"/>
  <c r="L6613" i="2"/>
  <c r="C6614" i="2"/>
  <c r="D6614" i="2"/>
  <c r="E6614" i="2"/>
  <c r="F6614" i="2"/>
  <c r="G6614" i="2"/>
  <c r="H6614" i="2"/>
  <c r="J6614" i="2"/>
  <c r="K6614" i="2"/>
  <c r="L6614" i="2"/>
  <c r="C6615" i="2"/>
  <c r="D6615" i="2"/>
  <c r="F6615" i="2"/>
  <c r="G6615" i="2"/>
  <c r="H6615" i="2"/>
  <c r="J6615" i="2"/>
  <c r="K6615" i="2"/>
  <c r="L6615" i="2"/>
  <c r="C6616" i="2"/>
  <c r="D6616" i="2"/>
  <c r="F6616" i="2"/>
  <c r="G6616" i="2"/>
  <c r="H6616" i="2"/>
  <c r="J6616" i="2"/>
  <c r="K6616" i="2"/>
  <c r="L6616" i="2"/>
  <c r="C6617" i="2"/>
  <c r="D6617" i="2"/>
  <c r="F6617" i="2"/>
  <c r="G6617" i="2"/>
  <c r="H6617" i="2"/>
  <c r="J6617" i="2"/>
  <c r="K6617" i="2"/>
  <c r="L6617" i="2"/>
  <c r="C6618" i="2"/>
  <c r="D6618" i="2"/>
  <c r="F6618" i="2"/>
  <c r="G6618" i="2"/>
  <c r="H6618" i="2"/>
  <c r="J6618" i="2"/>
  <c r="K6618" i="2"/>
  <c r="L6618" i="2"/>
  <c r="C6619" i="2"/>
  <c r="D6619" i="2"/>
  <c r="F6619" i="2"/>
  <c r="G6619" i="2"/>
  <c r="H6619" i="2"/>
  <c r="J6619" i="2"/>
  <c r="K6619" i="2"/>
  <c r="L6619" i="2"/>
  <c r="C6620" i="2"/>
  <c r="D6620" i="2"/>
  <c r="F6620" i="2"/>
  <c r="G6620" i="2"/>
  <c r="H6620" i="2"/>
  <c r="J6620" i="2"/>
  <c r="K6620" i="2"/>
  <c r="L6620" i="2"/>
  <c r="C6621" i="2"/>
  <c r="D6621" i="2"/>
  <c r="F6621" i="2"/>
  <c r="G6621" i="2"/>
  <c r="H6621" i="2"/>
  <c r="J6621" i="2"/>
  <c r="K6621" i="2"/>
  <c r="L6621" i="2"/>
  <c r="C6622" i="2"/>
  <c r="D6622" i="2"/>
  <c r="F6622" i="2"/>
  <c r="G6622" i="2"/>
  <c r="H6622" i="2"/>
  <c r="J6622" i="2"/>
  <c r="K6622" i="2"/>
  <c r="L6622" i="2"/>
  <c r="C6623" i="2"/>
  <c r="D6623" i="2"/>
  <c r="F6623" i="2"/>
  <c r="G6623" i="2"/>
  <c r="H6623" i="2"/>
  <c r="J6623" i="2"/>
  <c r="K6623" i="2"/>
  <c r="L6623" i="2"/>
  <c r="C6624" i="2"/>
  <c r="D6624" i="2"/>
  <c r="F6624" i="2"/>
  <c r="G6624" i="2"/>
  <c r="H6624" i="2"/>
  <c r="J6624" i="2"/>
  <c r="K6624" i="2"/>
  <c r="L6624" i="2"/>
  <c r="C6625" i="2"/>
  <c r="D6625" i="2"/>
  <c r="F6625" i="2"/>
  <c r="G6625" i="2"/>
  <c r="H6625" i="2"/>
  <c r="J6625" i="2"/>
  <c r="K6625" i="2"/>
  <c r="L6625" i="2"/>
  <c r="C6626" i="2"/>
  <c r="D6626" i="2"/>
  <c r="F6626" i="2"/>
  <c r="G6626" i="2"/>
  <c r="H6626" i="2"/>
  <c r="J6626" i="2"/>
  <c r="K6626" i="2"/>
  <c r="L6626" i="2"/>
  <c r="C6627" i="2"/>
  <c r="D6627" i="2"/>
  <c r="F6627" i="2"/>
  <c r="G6627" i="2"/>
  <c r="H6627" i="2"/>
  <c r="J6627" i="2"/>
  <c r="K6627" i="2"/>
  <c r="L6627" i="2"/>
  <c r="C6628" i="2"/>
  <c r="D6628" i="2"/>
  <c r="F6628" i="2"/>
  <c r="G6628" i="2"/>
  <c r="H6628" i="2"/>
  <c r="J6628" i="2"/>
  <c r="K6628" i="2"/>
  <c r="L6628" i="2"/>
  <c r="C6629" i="2"/>
  <c r="D6629" i="2"/>
  <c r="F6629" i="2"/>
  <c r="G6629" i="2"/>
  <c r="H6629" i="2"/>
  <c r="J6629" i="2"/>
  <c r="K6629" i="2"/>
  <c r="L6629" i="2"/>
  <c r="C6630" i="2"/>
  <c r="D6630" i="2"/>
  <c r="F6630" i="2"/>
  <c r="G6630" i="2"/>
  <c r="H6630" i="2"/>
  <c r="J6630" i="2"/>
  <c r="K6630" i="2"/>
  <c r="L6630" i="2"/>
  <c r="D6631" i="2"/>
  <c r="F6631" i="2"/>
  <c r="G6631" i="2"/>
  <c r="H6631" i="2"/>
  <c r="J6631" i="2"/>
  <c r="K6631" i="2"/>
  <c r="L6631" i="2"/>
  <c r="C6632" i="2"/>
  <c r="D6632" i="2"/>
  <c r="F6632" i="2"/>
  <c r="G6632" i="2"/>
  <c r="H6632" i="2"/>
  <c r="J6632" i="2"/>
  <c r="K6632" i="2"/>
  <c r="L6632" i="2"/>
  <c r="C6633" i="2"/>
  <c r="D6633" i="2"/>
  <c r="F6633" i="2"/>
  <c r="G6633" i="2"/>
  <c r="H6633" i="2"/>
  <c r="J6633" i="2"/>
  <c r="K6633" i="2"/>
  <c r="L6633" i="2"/>
  <c r="C6634" i="2"/>
  <c r="D6634" i="2"/>
  <c r="F6634" i="2"/>
  <c r="G6634" i="2"/>
  <c r="H6634" i="2"/>
  <c r="J6634" i="2"/>
  <c r="K6634" i="2"/>
  <c r="L6634" i="2"/>
  <c r="C6635" i="2"/>
  <c r="D6635" i="2"/>
  <c r="F6635" i="2"/>
  <c r="G6635" i="2"/>
  <c r="H6635" i="2"/>
  <c r="J6635" i="2"/>
  <c r="K6635" i="2"/>
  <c r="L6635" i="2"/>
  <c r="C6636" i="2"/>
  <c r="D6636" i="2"/>
  <c r="F6636" i="2"/>
  <c r="G6636" i="2"/>
  <c r="H6636" i="2"/>
  <c r="J6636" i="2"/>
  <c r="K6636" i="2"/>
  <c r="L6636" i="2"/>
  <c r="C6637" i="2"/>
  <c r="D6637" i="2"/>
  <c r="F6637" i="2"/>
  <c r="G6637" i="2"/>
  <c r="H6637" i="2"/>
  <c r="J6637" i="2"/>
  <c r="K6637" i="2"/>
  <c r="L6637" i="2"/>
  <c r="C6638" i="2"/>
  <c r="D6638" i="2"/>
  <c r="F6638" i="2"/>
  <c r="G6638" i="2"/>
  <c r="H6638" i="2"/>
  <c r="J6638" i="2"/>
  <c r="K6638" i="2"/>
  <c r="L6638" i="2"/>
  <c r="C6639" i="2"/>
  <c r="D6639" i="2"/>
  <c r="F6639" i="2"/>
  <c r="G6639" i="2"/>
  <c r="H6639" i="2"/>
  <c r="J6639" i="2"/>
  <c r="K6639" i="2"/>
  <c r="L6639" i="2"/>
  <c r="C6640" i="2"/>
  <c r="D6640" i="2"/>
  <c r="F6640" i="2"/>
  <c r="G6640" i="2"/>
  <c r="H6640" i="2"/>
  <c r="J6640" i="2"/>
  <c r="K6640" i="2"/>
  <c r="L6640" i="2"/>
  <c r="C6641" i="2"/>
  <c r="D6641" i="2"/>
  <c r="F6641" i="2"/>
  <c r="G6641" i="2"/>
  <c r="H6641" i="2"/>
  <c r="J6641" i="2"/>
  <c r="K6641" i="2"/>
  <c r="L6641" i="2"/>
  <c r="C6642" i="2"/>
  <c r="D6642" i="2"/>
  <c r="F6642" i="2"/>
  <c r="G6642" i="2"/>
  <c r="H6642" i="2"/>
  <c r="J6642" i="2"/>
  <c r="K6642" i="2"/>
  <c r="L6642" i="2"/>
  <c r="C6643" i="2"/>
  <c r="D6643" i="2"/>
  <c r="F6643" i="2"/>
  <c r="G6643" i="2"/>
  <c r="H6643" i="2"/>
  <c r="J6643" i="2"/>
  <c r="K6643" i="2"/>
  <c r="L6643" i="2"/>
  <c r="C6644" i="2"/>
  <c r="D6644" i="2"/>
  <c r="F6644" i="2"/>
  <c r="G6644" i="2"/>
  <c r="H6644" i="2"/>
  <c r="J6644" i="2"/>
  <c r="K6644" i="2"/>
  <c r="L6644" i="2"/>
  <c r="C6645" i="2"/>
  <c r="D6645" i="2"/>
  <c r="F6645" i="2"/>
  <c r="G6645" i="2"/>
  <c r="H6645" i="2"/>
  <c r="J6645" i="2"/>
  <c r="K6645" i="2"/>
  <c r="L6645" i="2"/>
  <c r="C6646" i="2"/>
  <c r="D6646" i="2"/>
  <c r="F6646" i="2"/>
  <c r="G6646" i="2"/>
  <c r="H6646" i="2"/>
  <c r="J6646" i="2"/>
  <c r="K6646" i="2"/>
  <c r="L6646" i="2"/>
  <c r="C6647" i="2"/>
  <c r="D6647" i="2"/>
  <c r="F6647" i="2"/>
  <c r="G6647" i="2"/>
  <c r="H6647" i="2"/>
  <c r="J6647" i="2"/>
  <c r="K6647" i="2"/>
  <c r="L6647" i="2"/>
  <c r="C6648" i="2"/>
  <c r="D6648" i="2"/>
  <c r="F6648" i="2"/>
  <c r="G6648" i="2"/>
  <c r="H6648" i="2"/>
  <c r="J6648" i="2"/>
  <c r="K6648" i="2"/>
  <c r="L6648" i="2"/>
  <c r="C6649" i="2"/>
  <c r="D6649" i="2"/>
  <c r="F6649" i="2"/>
  <c r="G6649" i="2"/>
  <c r="H6649" i="2"/>
  <c r="J6649" i="2"/>
  <c r="K6649" i="2"/>
  <c r="L6649" i="2"/>
  <c r="C6650" i="2"/>
  <c r="D6650" i="2"/>
  <c r="F6650" i="2"/>
  <c r="G6650" i="2"/>
  <c r="H6650" i="2"/>
  <c r="J6650" i="2"/>
  <c r="K6650" i="2"/>
  <c r="L6650" i="2"/>
  <c r="C6651" i="2"/>
  <c r="D6651" i="2"/>
  <c r="F6651" i="2"/>
  <c r="G6651" i="2"/>
  <c r="H6651" i="2"/>
  <c r="J6651" i="2"/>
  <c r="K6651" i="2"/>
  <c r="L6651" i="2"/>
  <c r="C6652" i="2"/>
  <c r="D6652" i="2"/>
  <c r="F6652" i="2"/>
  <c r="G6652" i="2"/>
  <c r="H6652" i="2"/>
  <c r="J6652" i="2"/>
  <c r="K6652" i="2"/>
  <c r="L6652" i="2"/>
  <c r="C6653" i="2"/>
  <c r="D6653" i="2"/>
  <c r="F6653" i="2"/>
  <c r="G6653" i="2"/>
  <c r="H6653" i="2"/>
  <c r="J6653" i="2"/>
  <c r="K6653" i="2"/>
  <c r="L6653" i="2"/>
  <c r="C6654" i="2"/>
  <c r="D6654" i="2"/>
  <c r="F6654" i="2"/>
  <c r="G6654" i="2"/>
  <c r="H6654" i="2"/>
  <c r="J6654" i="2"/>
  <c r="K6654" i="2"/>
  <c r="L6654" i="2"/>
  <c r="C6655" i="2"/>
  <c r="D6655" i="2"/>
  <c r="F6655" i="2"/>
  <c r="G6655" i="2"/>
  <c r="H6655" i="2"/>
  <c r="J6655" i="2"/>
  <c r="K6655" i="2"/>
  <c r="L6655" i="2"/>
  <c r="C6656" i="2"/>
  <c r="D6656" i="2"/>
  <c r="F6656" i="2"/>
  <c r="G6656" i="2"/>
  <c r="H6656" i="2"/>
  <c r="J6656" i="2"/>
  <c r="K6656" i="2"/>
  <c r="L6656" i="2"/>
  <c r="C6657" i="2"/>
  <c r="D6657" i="2"/>
  <c r="F6657" i="2"/>
  <c r="G6657" i="2"/>
  <c r="H6657" i="2"/>
  <c r="J6657" i="2"/>
  <c r="K6657" i="2"/>
  <c r="L6657" i="2"/>
  <c r="C6658" i="2"/>
  <c r="D6658" i="2"/>
  <c r="F6658" i="2"/>
  <c r="G6658" i="2"/>
  <c r="H6658" i="2"/>
  <c r="J6658" i="2"/>
  <c r="K6658" i="2"/>
  <c r="L6658" i="2"/>
  <c r="C6659" i="2"/>
  <c r="D6659" i="2"/>
  <c r="F6659" i="2"/>
  <c r="G6659" i="2"/>
  <c r="H6659" i="2"/>
  <c r="J6659" i="2"/>
  <c r="K6659" i="2"/>
  <c r="L6659" i="2"/>
  <c r="C6660" i="2"/>
  <c r="D6660" i="2"/>
  <c r="F6660" i="2"/>
  <c r="G6660" i="2"/>
  <c r="H6660" i="2"/>
  <c r="J6660" i="2"/>
  <c r="K6660" i="2"/>
  <c r="L6660" i="2"/>
  <c r="C6661" i="2"/>
  <c r="D6661" i="2"/>
  <c r="F6661" i="2"/>
  <c r="G6661" i="2"/>
  <c r="H6661" i="2"/>
  <c r="J6661" i="2"/>
  <c r="K6661" i="2"/>
  <c r="L6661" i="2"/>
  <c r="C6662" i="2"/>
  <c r="D6662" i="2"/>
  <c r="F6662" i="2"/>
  <c r="G6662" i="2"/>
  <c r="H6662" i="2"/>
  <c r="J6662" i="2"/>
  <c r="K6662" i="2"/>
  <c r="L6662" i="2"/>
  <c r="C6663" i="2"/>
  <c r="D6663" i="2"/>
  <c r="F6663" i="2"/>
  <c r="G6663" i="2"/>
  <c r="H6663" i="2"/>
  <c r="J6663" i="2"/>
  <c r="K6663" i="2"/>
  <c r="L6663" i="2"/>
  <c r="C6664" i="2"/>
  <c r="D6664" i="2"/>
  <c r="F6664" i="2"/>
  <c r="G6664" i="2"/>
  <c r="H6664" i="2"/>
  <c r="J6664" i="2"/>
  <c r="K6664" i="2"/>
  <c r="L6664" i="2"/>
  <c r="C6665" i="2"/>
  <c r="D6665" i="2"/>
  <c r="F6665" i="2"/>
  <c r="G6665" i="2"/>
  <c r="H6665" i="2"/>
  <c r="J6665" i="2"/>
  <c r="K6665" i="2"/>
  <c r="L6665" i="2"/>
  <c r="C6666" i="2"/>
  <c r="D6666" i="2"/>
  <c r="F6666" i="2"/>
  <c r="G6666" i="2"/>
  <c r="H6666" i="2"/>
  <c r="J6666" i="2"/>
  <c r="K6666" i="2"/>
  <c r="L6666" i="2"/>
  <c r="C6667" i="2"/>
  <c r="D6667" i="2"/>
  <c r="F6667" i="2"/>
  <c r="G6667" i="2"/>
  <c r="H6667" i="2"/>
  <c r="J6667" i="2"/>
  <c r="K6667" i="2"/>
  <c r="L6667" i="2"/>
  <c r="C6668" i="2"/>
  <c r="D6668" i="2"/>
  <c r="F6668" i="2"/>
  <c r="G6668" i="2"/>
  <c r="H6668" i="2"/>
  <c r="J6668" i="2"/>
  <c r="K6668" i="2"/>
  <c r="L6668" i="2"/>
  <c r="C6669" i="2"/>
  <c r="D6669" i="2"/>
  <c r="F6669" i="2"/>
  <c r="G6669" i="2"/>
  <c r="H6669" i="2"/>
  <c r="J6669" i="2"/>
  <c r="K6669" i="2"/>
  <c r="L6669" i="2"/>
  <c r="C6670" i="2"/>
  <c r="D6670" i="2"/>
  <c r="F6670" i="2"/>
  <c r="G6670" i="2"/>
  <c r="H6670" i="2"/>
  <c r="J6670" i="2"/>
  <c r="K6670" i="2"/>
  <c r="L6670" i="2"/>
  <c r="C6671" i="2"/>
  <c r="D6671" i="2"/>
  <c r="F6671" i="2"/>
  <c r="G6671" i="2"/>
  <c r="H6671" i="2"/>
  <c r="J6671" i="2"/>
  <c r="K6671" i="2"/>
  <c r="L6671" i="2"/>
  <c r="C6672" i="2"/>
  <c r="D6672" i="2"/>
  <c r="F6672" i="2"/>
  <c r="G6672" i="2"/>
  <c r="H6672" i="2"/>
  <c r="J6672" i="2"/>
  <c r="K6672" i="2"/>
  <c r="L6672" i="2"/>
  <c r="C6673" i="2"/>
  <c r="D6673" i="2"/>
  <c r="F6673" i="2"/>
  <c r="G6673" i="2"/>
  <c r="H6673" i="2"/>
  <c r="J6673" i="2"/>
  <c r="K6673" i="2"/>
  <c r="L6673" i="2"/>
  <c r="C6674" i="2"/>
  <c r="D6674" i="2"/>
  <c r="F6674" i="2"/>
  <c r="G6674" i="2"/>
  <c r="H6674" i="2"/>
  <c r="J6674" i="2"/>
  <c r="K6674" i="2"/>
  <c r="L6674" i="2"/>
  <c r="C6675" i="2"/>
  <c r="D6675" i="2"/>
  <c r="F6675" i="2"/>
  <c r="G6675" i="2"/>
  <c r="H6675" i="2"/>
  <c r="J6675" i="2"/>
  <c r="K6675" i="2"/>
  <c r="L6675" i="2"/>
  <c r="C6676" i="2"/>
  <c r="D6676" i="2"/>
  <c r="F6676" i="2"/>
  <c r="G6676" i="2"/>
  <c r="H6676" i="2"/>
  <c r="J6676" i="2"/>
  <c r="K6676" i="2"/>
  <c r="L6676" i="2"/>
  <c r="C6677" i="2"/>
  <c r="D6677" i="2"/>
  <c r="F6677" i="2"/>
  <c r="G6677" i="2"/>
  <c r="H6677" i="2"/>
  <c r="J6677" i="2"/>
  <c r="K6677" i="2"/>
  <c r="L6677" i="2"/>
  <c r="C6678" i="2"/>
  <c r="D6678" i="2"/>
  <c r="F6678" i="2"/>
  <c r="G6678" i="2"/>
  <c r="H6678" i="2"/>
  <c r="J6678" i="2"/>
  <c r="K6678" i="2"/>
  <c r="L6678" i="2"/>
  <c r="C6679" i="2"/>
  <c r="D6679" i="2"/>
  <c r="F6679" i="2"/>
  <c r="G6679" i="2"/>
  <c r="H6679" i="2"/>
  <c r="J6679" i="2"/>
  <c r="K6679" i="2"/>
  <c r="L6679" i="2"/>
  <c r="C6680" i="2"/>
  <c r="D6680" i="2"/>
  <c r="F6680" i="2"/>
  <c r="G6680" i="2"/>
  <c r="H6680" i="2"/>
  <c r="J6680" i="2"/>
  <c r="K6680" i="2"/>
  <c r="L6680" i="2"/>
  <c r="C6681" i="2"/>
  <c r="D6681" i="2"/>
  <c r="F6681" i="2"/>
  <c r="G6681" i="2"/>
  <c r="H6681" i="2"/>
  <c r="J6681" i="2"/>
  <c r="K6681" i="2"/>
  <c r="L6681" i="2"/>
  <c r="C6682" i="2"/>
  <c r="D6682" i="2"/>
  <c r="F6682" i="2"/>
  <c r="G6682" i="2"/>
  <c r="H6682" i="2"/>
  <c r="J6682" i="2"/>
  <c r="K6682" i="2"/>
  <c r="L6682" i="2"/>
  <c r="C6683" i="2"/>
  <c r="D6683" i="2"/>
  <c r="F6683" i="2"/>
  <c r="G6683" i="2"/>
  <c r="H6683" i="2"/>
  <c r="J6683" i="2"/>
  <c r="K6683" i="2"/>
  <c r="L6683" i="2"/>
  <c r="C6684" i="2"/>
  <c r="D6684" i="2"/>
  <c r="F6684" i="2"/>
  <c r="G6684" i="2"/>
  <c r="H6684" i="2"/>
  <c r="J6684" i="2"/>
  <c r="K6684" i="2"/>
  <c r="L6684" i="2"/>
  <c r="C6685" i="2"/>
  <c r="D6685" i="2"/>
  <c r="F6685" i="2"/>
  <c r="G6685" i="2"/>
  <c r="H6685" i="2"/>
  <c r="J6685" i="2"/>
  <c r="K6685" i="2"/>
  <c r="L6685" i="2"/>
  <c r="C6686" i="2"/>
  <c r="D6686" i="2"/>
  <c r="F6686" i="2"/>
  <c r="G6686" i="2"/>
  <c r="H6686" i="2"/>
  <c r="J6686" i="2"/>
  <c r="K6686" i="2"/>
  <c r="L6686" i="2"/>
  <c r="C6687" i="2"/>
  <c r="D6687" i="2"/>
  <c r="F6687" i="2"/>
  <c r="G6687" i="2"/>
  <c r="H6687" i="2"/>
  <c r="J6687" i="2"/>
  <c r="K6687" i="2"/>
  <c r="L6687" i="2"/>
  <c r="C6688" i="2"/>
  <c r="D6688" i="2"/>
  <c r="F6688" i="2"/>
  <c r="G6688" i="2"/>
  <c r="H6688" i="2"/>
  <c r="J6688" i="2"/>
  <c r="K6688" i="2"/>
  <c r="L6688" i="2"/>
  <c r="C6689" i="2"/>
  <c r="D6689" i="2"/>
  <c r="F6689" i="2"/>
  <c r="G6689" i="2"/>
  <c r="H6689" i="2"/>
  <c r="J6689" i="2"/>
  <c r="K6689" i="2"/>
  <c r="L6689" i="2"/>
  <c r="C6690" i="2"/>
  <c r="D6690" i="2"/>
  <c r="F6690" i="2"/>
  <c r="G6690" i="2"/>
  <c r="H6690" i="2"/>
  <c r="J6690" i="2"/>
  <c r="K6690" i="2"/>
  <c r="L6690" i="2"/>
  <c r="C6691" i="2"/>
  <c r="D6691" i="2"/>
  <c r="F6691" i="2"/>
  <c r="G6691" i="2"/>
  <c r="H6691" i="2"/>
  <c r="J6691" i="2"/>
  <c r="K6691" i="2"/>
  <c r="L6691" i="2"/>
  <c r="C6692" i="2"/>
  <c r="D6692" i="2"/>
  <c r="F6692" i="2"/>
  <c r="G6692" i="2"/>
  <c r="H6692" i="2"/>
  <c r="J6692" i="2"/>
  <c r="K6692" i="2"/>
  <c r="L6692" i="2"/>
  <c r="C6693" i="2"/>
  <c r="D6693" i="2"/>
  <c r="F6693" i="2"/>
  <c r="G6693" i="2"/>
  <c r="H6693" i="2"/>
  <c r="J6693" i="2"/>
  <c r="K6693" i="2"/>
  <c r="L6693" i="2"/>
  <c r="C6694" i="2"/>
  <c r="D6694" i="2"/>
  <c r="F6694" i="2"/>
  <c r="G6694" i="2"/>
  <c r="H6694" i="2"/>
  <c r="J6694" i="2"/>
  <c r="K6694" i="2"/>
  <c r="L6694" i="2"/>
  <c r="C6695" i="2"/>
  <c r="D6695" i="2"/>
  <c r="F6695" i="2"/>
  <c r="G6695" i="2"/>
  <c r="H6695" i="2"/>
  <c r="J6695" i="2"/>
  <c r="K6695" i="2"/>
  <c r="L6695" i="2"/>
  <c r="C6696" i="2"/>
  <c r="D6696" i="2"/>
  <c r="F6696" i="2"/>
  <c r="G6696" i="2"/>
  <c r="H6696" i="2"/>
  <c r="J6696" i="2"/>
  <c r="K6696" i="2"/>
  <c r="L6696" i="2"/>
  <c r="C6697" i="2"/>
  <c r="D6697" i="2"/>
  <c r="F6697" i="2"/>
  <c r="G6697" i="2"/>
  <c r="H6697" i="2"/>
  <c r="J6697" i="2"/>
  <c r="K6697" i="2"/>
  <c r="L6697" i="2"/>
  <c r="C6698" i="2"/>
  <c r="D6698" i="2"/>
  <c r="F6698" i="2"/>
  <c r="G6698" i="2"/>
  <c r="H6698" i="2"/>
  <c r="J6698" i="2"/>
  <c r="K6698" i="2"/>
  <c r="L6698" i="2"/>
  <c r="C6699" i="2"/>
  <c r="D6699" i="2"/>
  <c r="F6699" i="2"/>
  <c r="G6699" i="2"/>
  <c r="H6699" i="2"/>
  <c r="J6699" i="2"/>
  <c r="K6699" i="2"/>
  <c r="L6699" i="2"/>
  <c r="C6700" i="2"/>
  <c r="D6700" i="2"/>
  <c r="F6700" i="2"/>
  <c r="G6700" i="2"/>
  <c r="H6700" i="2"/>
  <c r="J6700" i="2"/>
  <c r="K6700" i="2"/>
  <c r="L6700" i="2"/>
  <c r="C6701" i="2"/>
  <c r="D6701" i="2"/>
  <c r="F6701" i="2"/>
  <c r="G6701" i="2"/>
  <c r="H6701" i="2"/>
  <c r="J6701" i="2"/>
  <c r="K6701" i="2"/>
  <c r="L6701" i="2"/>
  <c r="C6702" i="2"/>
  <c r="D6702" i="2"/>
  <c r="F6702" i="2"/>
  <c r="G6702" i="2"/>
  <c r="H6702" i="2"/>
  <c r="J6702" i="2"/>
  <c r="K6702" i="2"/>
  <c r="L6702" i="2"/>
  <c r="C6703" i="2"/>
  <c r="D6703" i="2"/>
  <c r="F6703" i="2"/>
  <c r="G6703" i="2"/>
  <c r="H6703" i="2"/>
  <c r="J6703" i="2"/>
  <c r="K6703" i="2"/>
  <c r="L6703" i="2"/>
  <c r="C6704" i="2"/>
  <c r="D6704" i="2"/>
  <c r="F6704" i="2"/>
  <c r="G6704" i="2"/>
  <c r="H6704" i="2"/>
  <c r="J6704" i="2"/>
  <c r="K6704" i="2"/>
  <c r="L6704" i="2"/>
  <c r="C6705" i="2"/>
  <c r="D6705" i="2"/>
  <c r="F6705" i="2"/>
  <c r="G6705" i="2"/>
  <c r="H6705" i="2"/>
  <c r="J6705" i="2"/>
  <c r="K6705" i="2"/>
  <c r="L6705" i="2"/>
  <c r="C6706" i="2"/>
  <c r="D6706" i="2"/>
  <c r="F6706" i="2"/>
  <c r="G6706" i="2"/>
  <c r="H6706" i="2"/>
  <c r="J6706" i="2"/>
  <c r="K6706" i="2"/>
  <c r="L6706" i="2"/>
  <c r="C6707" i="2"/>
  <c r="D6707" i="2"/>
  <c r="F6707" i="2"/>
  <c r="G6707" i="2"/>
  <c r="H6707" i="2"/>
  <c r="J6707" i="2"/>
  <c r="K6707" i="2"/>
  <c r="L6707" i="2"/>
  <c r="C6708" i="2"/>
  <c r="D6708" i="2"/>
  <c r="F6708" i="2"/>
  <c r="G6708" i="2"/>
  <c r="H6708" i="2"/>
  <c r="J6708" i="2"/>
  <c r="K6708" i="2"/>
  <c r="L6708" i="2"/>
  <c r="C6709" i="2"/>
  <c r="D6709" i="2"/>
  <c r="F6709" i="2"/>
  <c r="G6709" i="2"/>
  <c r="H6709" i="2"/>
  <c r="J6709" i="2"/>
  <c r="K6709" i="2"/>
  <c r="L6709" i="2"/>
  <c r="C6710" i="2"/>
  <c r="D6710" i="2"/>
  <c r="F6710" i="2"/>
  <c r="G6710" i="2"/>
  <c r="H6710" i="2"/>
  <c r="J6710" i="2"/>
  <c r="K6710" i="2"/>
  <c r="L6710" i="2"/>
  <c r="C6711" i="2"/>
  <c r="D6711" i="2"/>
  <c r="F6711" i="2"/>
  <c r="G6711" i="2"/>
  <c r="H6711" i="2"/>
  <c r="J6711" i="2"/>
  <c r="K6711" i="2"/>
  <c r="L6711" i="2"/>
  <c r="C6712" i="2"/>
  <c r="D6712" i="2"/>
  <c r="F6712" i="2"/>
  <c r="G6712" i="2"/>
  <c r="H6712" i="2"/>
  <c r="J6712" i="2"/>
  <c r="K6712" i="2"/>
  <c r="L6712" i="2"/>
  <c r="C6713" i="2"/>
  <c r="D6713" i="2"/>
  <c r="F6713" i="2"/>
  <c r="G6713" i="2"/>
  <c r="H6713" i="2"/>
  <c r="J6713" i="2"/>
  <c r="K6713" i="2"/>
  <c r="L6713" i="2"/>
  <c r="C6714" i="2"/>
  <c r="D6714" i="2"/>
  <c r="F6714" i="2"/>
  <c r="G6714" i="2"/>
  <c r="H6714" i="2"/>
  <c r="J6714" i="2"/>
  <c r="K6714" i="2"/>
  <c r="L6714" i="2"/>
  <c r="C6715" i="2"/>
  <c r="D6715" i="2"/>
  <c r="F6715" i="2"/>
  <c r="G6715" i="2"/>
  <c r="H6715" i="2"/>
  <c r="J6715" i="2"/>
  <c r="K6715" i="2"/>
  <c r="L6715" i="2"/>
  <c r="C6716" i="2"/>
  <c r="D6716" i="2"/>
  <c r="F6716" i="2"/>
  <c r="G6716" i="2"/>
  <c r="H6716" i="2"/>
  <c r="J6716" i="2"/>
  <c r="K6716" i="2"/>
  <c r="L6716" i="2"/>
  <c r="C6717" i="2"/>
  <c r="D6717" i="2"/>
  <c r="F6717" i="2"/>
  <c r="G6717" i="2"/>
  <c r="H6717" i="2"/>
  <c r="J6717" i="2"/>
  <c r="K6717" i="2"/>
  <c r="L6717" i="2"/>
  <c r="C6718" i="2"/>
  <c r="D6718" i="2"/>
  <c r="F6718" i="2"/>
  <c r="G6718" i="2"/>
  <c r="H6718" i="2"/>
  <c r="J6718" i="2"/>
  <c r="K6718" i="2"/>
  <c r="L6718" i="2"/>
  <c r="C6719" i="2"/>
  <c r="D6719" i="2"/>
  <c r="F6719" i="2"/>
  <c r="G6719" i="2"/>
  <c r="H6719" i="2"/>
  <c r="J6719" i="2"/>
  <c r="K6719" i="2"/>
  <c r="L6719" i="2"/>
  <c r="C6720" i="2"/>
  <c r="D6720" i="2"/>
  <c r="F6720" i="2"/>
  <c r="G6720" i="2"/>
  <c r="H6720" i="2"/>
  <c r="J6720" i="2"/>
  <c r="K6720" i="2"/>
  <c r="L6720" i="2"/>
  <c r="C6721" i="2"/>
  <c r="D6721" i="2"/>
  <c r="F6721" i="2"/>
  <c r="G6721" i="2"/>
  <c r="H6721" i="2"/>
  <c r="J6721" i="2"/>
  <c r="K6721" i="2"/>
  <c r="L6721" i="2"/>
  <c r="C6722" i="2"/>
  <c r="D6722" i="2"/>
  <c r="F6722" i="2"/>
  <c r="G6722" i="2"/>
  <c r="H6722" i="2"/>
  <c r="J6722" i="2"/>
  <c r="K6722" i="2"/>
  <c r="L6722" i="2"/>
  <c r="C6723" i="2"/>
  <c r="D6723" i="2"/>
  <c r="F6723" i="2"/>
  <c r="G6723" i="2"/>
  <c r="H6723" i="2"/>
  <c r="J6723" i="2"/>
  <c r="K6723" i="2"/>
  <c r="L6723" i="2"/>
  <c r="C6724" i="2"/>
  <c r="D6724" i="2"/>
  <c r="F6724" i="2"/>
  <c r="G6724" i="2"/>
  <c r="H6724" i="2"/>
  <c r="J6724" i="2"/>
  <c r="K6724" i="2"/>
  <c r="L6724" i="2"/>
  <c r="C6725" i="2"/>
  <c r="D6725" i="2"/>
  <c r="F6725" i="2"/>
  <c r="G6725" i="2"/>
  <c r="H6725" i="2"/>
  <c r="J6725" i="2"/>
  <c r="K6725" i="2"/>
  <c r="L6725" i="2"/>
  <c r="C6726" i="2"/>
  <c r="D6726" i="2"/>
  <c r="F6726" i="2"/>
  <c r="G6726" i="2"/>
  <c r="H6726" i="2"/>
  <c r="J6726" i="2"/>
  <c r="K6726" i="2"/>
  <c r="L6726" i="2"/>
  <c r="C6727" i="2"/>
  <c r="D6727" i="2"/>
  <c r="F6727" i="2"/>
  <c r="G6727" i="2"/>
  <c r="H6727" i="2"/>
  <c r="J6727" i="2"/>
  <c r="K6727" i="2"/>
  <c r="L6727" i="2"/>
  <c r="C6728" i="2"/>
  <c r="D6728" i="2"/>
  <c r="F6728" i="2"/>
  <c r="G6728" i="2"/>
  <c r="H6728" i="2"/>
  <c r="J6728" i="2"/>
  <c r="K6728" i="2"/>
  <c r="L6728" i="2"/>
  <c r="C6729" i="2"/>
  <c r="D6729" i="2"/>
  <c r="F6729" i="2"/>
  <c r="G6729" i="2"/>
  <c r="H6729" i="2"/>
  <c r="J6729" i="2"/>
  <c r="K6729" i="2"/>
  <c r="L6729" i="2"/>
  <c r="C6730" i="2"/>
  <c r="D6730" i="2"/>
  <c r="F6730" i="2"/>
  <c r="G6730" i="2"/>
  <c r="H6730" i="2"/>
  <c r="J6730" i="2"/>
  <c r="K6730" i="2"/>
  <c r="L6730" i="2"/>
  <c r="C6731" i="2"/>
  <c r="D6731" i="2"/>
  <c r="F6731" i="2"/>
  <c r="G6731" i="2"/>
  <c r="H6731" i="2"/>
  <c r="J6731" i="2"/>
  <c r="K6731" i="2"/>
  <c r="L6731" i="2"/>
  <c r="C6732" i="2"/>
  <c r="D6732" i="2"/>
  <c r="F6732" i="2"/>
  <c r="G6732" i="2"/>
  <c r="H6732" i="2"/>
  <c r="J6732" i="2"/>
  <c r="K6732" i="2"/>
  <c r="L6732" i="2"/>
  <c r="C6733" i="2"/>
  <c r="D6733" i="2"/>
  <c r="F6733" i="2"/>
  <c r="G6733" i="2"/>
  <c r="H6733" i="2"/>
  <c r="J6733" i="2"/>
  <c r="K6733" i="2"/>
  <c r="L6733" i="2"/>
  <c r="C6734" i="2"/>
  <c r="D6734" i="2"/>
  <c r="F6734" i="2"/>
  <c r="G6734" i="2"/>
  <c r="H6734" i="2"/>
  <c r="J6734" i="2"/>
  <c r="K6734" i="2"/>
  <c r="L6734" i="2"/>
  <c r="C6735" i="2"/>
  <c r="D6735" i="2"/>
  <c r="F6735" i="2"/>
  <c r="G6735" i="2"/>
  <c r="H6735" i="2"/>
  <c r="J6735" i="2"/>
  <c r="K6735" i="2"/>
  <c r="L6735" i="2"/>
  <c r="C6736" i="2"/>
  <c r="D6736" i="2"/>
  <c r="F6736" i="2"/>
  <c r="G6736" i="2"/>
  <c r="H6736" i="2"/>
  <c r="J6736" i="2"/>
  <c r="K6736" i="2"/>
  <c r="L6736" i="2"/>
  <c r="C6737" i="2"/>
  <c r="D6737" i="2"/>
  <c r="F6737" i="2"/>
  <c r="G6737" i="2"/>
  <c r="H6737" i="2"/>
  <c r="J6737" i="2"/>
  <c r="K6737" i="2"/>
  <c r="L6737" i="2"/>
  <c r="C6738" i="2"/>
  <c r="D6738" i="2"/>
  <c r="F6738" i="2"/>
  <c r="G6738" i="2"/>
  <c r="H6738" i="2"/>
  <c r="J6738" i="2"/>
  <c r="K6738" i="2"/>
  <c r="L6738" i="2"/>
  <c r="C6739" i="2"/>
  <c r="D6739" i="2"/>
  <c r="F6739" i="2"/>
  <c r="G6739" i="2"/>
  <c r="H6739" i="2"/>
  <c r="J6739" i="2"/>
  <c r="K6739" i="2"/>
  <c r="L6739" i="2"/>
  <c r="C6740" i="2"/>
  <c r="D6740" i="2"/>
  <c r="F6740" i="2"/>
  <c r="G6740" i="2"/>
  <c r="H6740" i="2"/>
  <c r="J6740" i="2"/>
  <c r="K6740" i="2"/>
  <c r="L6740" i="2"/>
  <c r="C6741" i="2"/>
  <c r="D6741" i="2"/>
  <c r="F6741" i="2"/>
  <c r="G6741" i="2"/>
  <c r="H6741" i="2"/>
  <c r="J6741" i="2"/>
  <c r="K6741" i="2"/>
  <c r="L6741" i="2"/>
  <c r="C6742" i="2"/>
  <c r="D6742" i="2"/>
  <c r="F6742" i="2"/>
  <c r="G6742" i="2"/>
  <c r="H6742" i="2"/>
  <c r="J6742" i="2"/>
  <c r="K6742" i="2"/>
  <c r="L6742" i="2"/>
  <c r="C6743" i="2"/>
  <c r="D6743" i="2"/>
  <c r="F6743" i="2"/>
  <c r="G6743" i="2"/>
  <c r="H6743" i="2"/>
  <c r="J6743" i="2"/>
  <c r="K6743" i="2"/>
  <c r="L6743" i="2"/>
  <c r="C6744" i="2"/>
  <c r="D6744" i="2"/>
  <c r="F6744" i="2"/>
  <c r="G6744" i="2"/>
  <c r="H6744" i="2"/>
  <c r="J6744" i="2"/>
  <c r="K6744" i="2"/>
  <c r="L6744" i="2"/>
  <c r="C6745" i="2"/>
  <c r="D6745" i="2"/>
  <c r="F6745" i="2"/>
  <c r="G6745" i="2"/>
  <c r="H6745" i="2"/>
  <c r="J6745" i="2"/>
  <c r="K6745" i="2"/>
  <c r="L6745" i="2"/>
  <c r="C6746" i="2"/>
  <c r="D6746" i="2"/>
  <c r="F6746" i="2"/>
  <c r="G6746" i="2"/>
  <c r="H6746" i="2"/>
  <c r="J6746" i="2"/>
  <c r="K6746" i="2"/>
  <c r="L6746" i="2"/>
  <c r="C6747" i="2"/>
  <c r="D6747" i="2"/>
  <c r="E6747" i="2"/>
  <c r="F6747" i="2"/>
  <c r="G6747" i="2"/>
  <c r="H6747" i="2"/>
  <c r="J6747" i="2"/>
  <c r="K6747" i="2"/>
  <c r="L6747" i="2"/>
  <c r="C6748" i="2"/>
  <c r="D6748" i="2"/>
  <c r="F6748" i="2"/>
  <c r="G6748" i="2"/>
  <c r="H6748" i="2"/>
  <c r="J6748" i="2"/>
  <c r="K6748" i="2"/>
  <c r="L6748" i="2"/>
  <c r="C6749" i="2"/>
  <c r="D6749" i="2"/>
  <c r="F6749" i="2"/>
  <c r="G6749" i="2"/>
  <c r="H6749" i="2"/>
  <c r="J6749" i="2"/>
  <c r="K6749" i="2"/>
  <c r="L6749" i="2"/>
  <c r="C6750" i="2"/>
  <c r="D6750" i="2"/>
  <c r="F6750" i="2"/>
  <c r="G6750" i="2"/>
  <c r="H6750" i="2"/>
  <c r="J6750" i="2"/>
  <c r="K6750" i="2"/>
  <c r="L6750" i="2"/>
  <c r="C6751" i="2"/>
  <c r="D6751" i="2"/>
  <c r="F6751" i="2"/>
  <c r="G6751" i="2"/>
  <c r="H6751" i="2"/>
  <c r="J6751" i="2"/>
  <c r="K6751" i="2"/>
  <c r="L6751" i="2"/>
  <c r="C6752" i="2"/>
  <c r="D6752" i="2"/>
  <c r="F6752" i="2"/>
  <c r="G6752" i="2"/>
  <c r="H6752" i="2"/>
  <c r="J6752" i="2"/>
  <c r="K6752" i="2"/>
  <c r="L6752" i="2"/>
  <c r="C6753" i="2"/>
  <c r="D6753" i="2"/>
  <c r="F6753" i="2"/>
  <c r="G6753" i="2"/>
  <c r="H6753" i="2"/>
  <c r="J6753" i="2"/>
  <c r="K6753" i="2"/>
  <c r="L6753" i="2"/>
  <c r="C6754" i="2"/>
  <c r="D6754" i="2"/>
  <c r="F6754" i="2"/>
  <c r="G6754" i="2"/>
  <c r="H6754" i="2"/>
  <c r="J6754" i="2"/>
  <c r="K6754" i="2"/>
  <c r="L6754" i="2"/>
  <c r="C6755" i="2"/>
  <c r="D6755" i="2"/>
  <c r="F6755" i="2"/>
  <c r="G6755" i="2"/>
  <c r="H6755" i="2"/>
  <c r="J6755" i="2"/>
  <c r="K6755" i="2"/>
  <c r="L6755" i="2"/>
  <c r="C6756" i="2"/>
  <c r="D6756" i="2"/>
  <c r="F6756" i="2"/>
  <c r="G6756" i="2"/>
  <c r="H6756" i="2"/>
  <c r="J6756" i="2"/>
  <c r="K6756" i="2"/>
  <c r="L6756" i="2"/>
  <c r="C6757" i="2"/>
  <c r="D6757" i="2"/>
  <c r="F6757" i="2"/>
  <c r="G6757" i="2"/>
  <c r="H6757" i="2"/>
  <c r="J6757" i="2"/>
  <c r="K6757" i="2"/>
  <c r="L6757" i="2"/>
  <c r="C6758" i="2"/>
  <c r="D6758" i="2"/>
  <c r="F6758" i="2"/>
  <c r="G6758" i="2"/>
  <c r="H6758" i="2"/>
  <c r="J6758" i="2"/>
  <c r="K6758" i="2"/>
  <c r="L6758" i="2"/>
  <c r="C6759" i="2"/>
  <c r="D6759" i="2"/>
  <c r="F6759" i="2"/>
  <c r="G6759" i="2"/>
  <c r="H6759" i="2"/>
  <c r="J6759" i="2"/>
  <c r="K6759" i="2"/>
  <c r="L6759" i="2"/>
  <c r="C6760" i="2"/>
  <c r="D6760" i="2"/>
  <c r="F6760" i="2"/>
  <c r="G6760" i="2"/>
  <c r="H6760" i="2"/>
  <c r="J6760" i="2"/>
  <c r="K6760" i="2"/>
  <c r="L6760" i="2"/>
  <c r="C6761" i="2"/>
  <c r="D6761" i="2"/>
  <c r="F6761" i="2"/>
  <c r="G6761" i="2"/>
  <c r="H6761" i="2"/>
  <c r="J6761" i="2"/>
  <c r="K6761" i="2"/>
  <c r="L6761" i="2"/>
  <c r="C6762" i="2"/>
  <c r="D6762" i="2"/>
  <c r="F6762" i="2"/>
  <c r="G6762" i="2"/>
  <c r="H6762" i="2"/>
  <c r="J6762" i="2"/>
  <c r="K6762" i="2"/>
  <c r="L6762" i="2"/>
  <c r="C6763" i="2"/>
  <c r="D6763" i="2"/>
  <c r="F6763" i="2"/>
  <c r="G6763" i="2"/>
  <c r="H6763" i="2"/>
  <c r="J6763" i="2"/>
  <c r="K6763" i="2"/>
  <c r="L6763" i="2"/>
  <c r="C6764" i="2"/>
  <c r="D6764" i="2"/>
  <c r="F6764" i="2"/>
  <c r="G6764" i="2"/>
  <c r="H6764" i="2"/>
  <c r="J6764" i="2"/>
  <c r="K6764" i="2"/>
  <c r="L6764" i="2"/>
  <c r="C6765" i="2"/>
  <c r="D6765" i="2"/>
  <c r="F6765" i="2"/>
  <c r="G6765" i="2"/>
  <c r="H6765" i="2"/>
  <c r="J6765" i="2"/>
  <c r="K6765" i="2"/>
  <c r="L6765" i="2"/>
  <c r="C6766" i="2"/>
  <c r="D6766" i="2"/>
  <c r="F6766" i="2"/>
  <c r="G6766" i="2"/>
  <c r="H6766" i="2"/>
  <c r="J6766" i="2"/>
  <c r="K6766" i="2"/>
  <c r="L6766" i="2"/>
  <c r="C6767" i="2"/>
  <c r="D6767" i="2"/>
  <c r="F6767" i="2"/>
  <c r="G6767" i="2"/>
  <c r="H6767" i="2"/>
  <c r="J6767" i="2"/>
  <c r="K6767" i="2"/>
  <c r="L6767" i="2"/>
  <c r="C6768" i="2"/>
  <c r="D6768" i="2"/>
  <c r="F6768" i="2"/>
  <c r="G6768" i="2"/>
  <c r="H6768" i="2"/>
  <c r="J6768" i="2"/>
  <c r="K6768" i="2"/>
  <c r="L6768" i="2"/>
  <c r="C6769" i="2"/>
  <c r="D6769" i="2"/>
  <c r="F6769" i="2"/>
  <c r="G6769" i="2"/>
  <c r="H6769" i="2"/>
  <c r="J6769" i="2"/>
  <c r="K6769" i="2"/>
  <c r="L6769" i="2"/>
  <c r="C6770" i="2"/>
  <c r="D6770" i="2"/>
  <c r="F6770" i="2"/>
  <c r="G6770" i="2"/>
  <c r="H6770" i="2"/>
  <c r="J6770" i="2"/>
  <c r="K6770" i="2"/>
  <c r="L6770" i="2"/>
  <c r="C6771" i="2"/>
  <c r="D6771" i="2"/>
  <c r="F6771" i="2"/>
  <c r="G6771" i="2"/>
  <c r="H6771" i="2"/>
  <c r="J6771" i="2"/>
  <c r="K6771" i="2"/>
  <c r="L6771" i="2"/>
  <c r="C6772" i="2"/>
  <c r="D6772" i="2"/>
  <c r="F6772" i="2"/>
  <c r="G6772" i="2"/>
  <c r="H6772" i="2"/>
  <c r="J6772" i="2"/>
  <c r="K6772" i="2"/>
  <c r="L6772" i="2"/>
  <c r="C6773" i="2"/>
  <c r="D6773" i="2"/>
  <c r="F6773" i="2"/>
  <c r="G6773" i="2"/>
  <c r="H6773" i="2"/>
  <c r="J6773" i="2"/>
  <c r="K6773" i="2"/>
  <c r="L6773" i="2"/>
  <c r="C6774" i="2"/>
  <c r="D6774" i="2"/>
  <c r="F6774" i="2"/>
  <c r="G6774" i="2"/>
  <c r="H6774" i="2"/>
  <c r="J6774" i="2"/>
  <c r="K6774" i="2"/>
  <c r="L6774" i="2"/>
  <c r="C6775" i="2"/>
  <c r="D6775" i="2"/>
  <c r="F6775" i="2"/>
  <c r="G6775" i="2"/>
  <c r="H6775" i="2"/>
  <c r="J6775" i="2"/>
  <c r="K6775" i="2"/>
  <c r="L6775" i="2"/>
  <c r="C6776" i="2"/>
  <c r="D6776" i="2"/>
  <c r="F6776" i="2"/>
  <c r="G6776" i="2"/>
  <c r="H6776" i="2"/>
  <c r="J6776" i="2"/>
  <c r="K6776" i="2"/>
  <c r="L6776" i="2"/>
  <c r="C6777" i="2"/>
  <c r="D6777" i="2"/>
  <c r="F6777" i="2"/>
  <c r="G6777" i="2"/>
  <c r="H6777" i="2"/>
  <c r="J6777" i="2"/>
  <c r="K6777" i="2"/>
  <c r="L6777" i="2"/>
  <c r="C6778" i="2"/>
  <c r="D6778" i="2"/>
  <c r="F6778" i="2"/>
  <c r="G6778" i="2"/>
  <c r="H6778" i="2"/>
  <c r="J6778" i="2"/>
  <c r="K6778" i="2"/>
  <c r="L6778" i="2"/>
  <c r="C6779" i="2"/>
  <c r="D6779" i="2"/>
  <c r="F6779" i="2"/>
  <c r="G6779" i="2"/>
  <c r="H6779" i="2"/>
  <c r="J6779" i="2"/>
  <c r="K6779" i="2"/>
  <c r="L6779" i="2"/>
  <c r="C6780" i="2"/>
  <c r="D6780" i="2"/>
  <c r="F6780" i="2"/>
  <c r="G6780" i="2"/>
  <c r="H6780" i="2"/>
  <c r="J6780" i="2"/>
  <c r="K6780" i="2"/>
  <c r="L6780" i="2"/>
  <c r="C6781" i="2"/>
  <c r="D6781" i="2"/>
  <c r="F6781" i="2"/>
  <c r="G6781" i="2"/>
  <c r="H6781" i="2"/>
  <c r="J6781" i="2"/>
  <c r="K6781" i="2"/>
  <c r="L6781" i="2"/>
  <c r="C6782" i="2"/>
  <c r="D6782" i="2"/>
  <c r="F6782" i="2"/>
  <c r="G6782" i="2"/>
  <c r="H6782" i="2"/>
  <c r="J6782" i="2"/>
  <c r="K6782" i="2"/>
  <c r="L6782" i="2"/>
  <c r="C6783" i="2"/>
  <c r="D6783" i="2"/>
  <c r="F6783" i="2"/>
  <c r="G6783" i="2"/>
  <c r="H6783" i="2"/>
  <c r="J6783" i="2"/>
  <c r="K6783" i="2"/>
  <c r="L6783" i="2"/>
  <c r="C6784" i="2"/>
  <c r="D6784" i="2"/>
  <c r="F6784" i="2"/>
  <c r="G6784" i="2"/>
  <c r="H6784" i="2"/>
  <c r="J6784" i="2"/>
  <c r="K6784" i="2"/>
  <c r="L6784" i="2"/>
  <c r="C6785" i="2"/>
  <c r="D6785" i="2"/>
  <c r="F6785" i="2"/>
  <c r="G6785" i="2"/>
  <c r="H6785" i="2"/>
  <c r="J6785" i="2"/>
  <c r="K6785" i="2"/>
  <c r="L6785" i="2"/>
  <c r="C6786" i="2"/>
  <c r="D6786" i="2"/>
  <c r="F6786" i="2"/>
  <c r="G6786" i="2"/>
  <c r="H6786" i="2"/>
  <c r="J6786" i="2"/>
  <c r="K6786" i="2"/>
  <c r="L6786" i="2"/>
  <c r="C6787" i="2"/>
  <c r="D6787" i="2"/>
  <c r="F6787" i="2"/>
  <c r="G6787" i="2"/>
  <c r="H6787" i="2"/>
  <c r="J6787" i="2"/>
  <c r="K6787" i="2"/>
  <c r="L6787" i="2"/>
  <c r="C6788" i="2"/>
  <c r="D6788" i="2"/>
  <c r="F6788" i="2"/>
  <c r="G6788" i="2"/>
  <c r="H6788" i="2"/>
  <c r="J6788" i="2"/>
  <c r="K6788" i="2"/>
  <c r="L6788" i="2"/>
  <c r="C6789" i="2"/>
  <c r="D6789" i="2"/>
  <c r="F6789" i="2"/>
  <c r="G6789" i="2"/>
  <c r="H6789" i="2"/>
  <c r="J6789" i="2"/>
  <c r="K6789" i="2"/>
  <c r="L6789" i="2"/>
  <c r="C6790" i="2"/>
  <c r="D6790" i="2"/>
  <c r="F6790" i="2"/>
  <c r="G6790" i="2"/>
  <c r="H6790" i="2"/>
  <c r="J6790" i="2"/>
  <c r="K6790" i="2"/>
  <c r="L6790" i="2"/>
  <c r="C6791" i="2"/>
  <c r="D6791" i="2"/>
  <c r="F6791" i="2"/>
  <c r="G6791" i="2"/>
  <c r="H6791" i="2"/>
  <c r="J6791" i="2"/>
  <c r="K6791" i="2"/>
  <c r="L6791" i="2"/>
  <c r="C6792" i="2"/>
  <c r="D6792" i="2"/>
  <c r="F6792" i="2"/>
  <c r="G6792" i="2"/>
  <c r="H6792" i="2"/>
  <c r="J6792" i="2"/>
  <c r="K6792" i="2"/>
  <c r="L6792" i="2"/>
  <c r="C6793" i="2"/>
  <c r="D6793" i="2"/>
  <c r="F6793" i="2"/>
  <c r="G6793" i="2"/>
  <c r="H6793" i="2"/>
  <c r="J6793" i="2"/>
  <c r="K6793" i="2"/>
  <c r="L6793" i="2"/>
  <c r="C6794" i="2"/>
  <c r="D6794" i="2"/>
  <c r="F6794" i="2"/>
  <c r="G6794" i="2"/>
  <c r="H6794" i="2"/>
  <c r="J6794" i="2"/>
  <c r="K6794" i="2"/>
  <c r="L6794" i="2"/>
  <c r="C6795" i="2"/>
  <c r="D6795" i="2"/>
  <c r="F6795" i="2"/>
  <c r="G6795" i="2"/>
  <c r="H6795" i="2"/>
  <c r="J6795" i="2"/>
  <c r="K6795" i="2"/>
  <c r="L6795" i="2"/>
  <c r="C6796" i="2"/>
  <c r="D6796" i="2"/>
  <c r="F6796" i="2"/>
  <c r="G6796" i="2"/>
  <c r="H6796" i="2"/>
  <c r="J6796" i="2"/>
  <c r="K6796" i="2"/>
  <c r="L6796" i="2"/>
  <c r="C6797" i="2"/>
  <c r="D6797" i="2"/>
  <c r="F6797" i="2"/>
  <c r="G6797" i="2"/>
  <c r="H6797" i="2"/>
  <c r="J6797" i="2"/>
  <c r="K6797" i="2"/>
  <c r="L6797" i="2"/>
  <c r="C6798" i="2"/>
  <c r="D6798" i="2"/>
  <c r="F6798" i="2"/>
  <c r="G6798" i="2"/>
  <c r="H6798" i="2"/>
  <c r="J6798" i="2"/>
  <c r="K6798" i="2"/>
  <c r="L6798" i="2"/>
  <c r="C6799" i="2"/>
  <c r="D6799" i="2"/>
  <c r="F6799" i="2"/>
  <c r="G6799" i="2"/>
  <c r="H6799" i="2"/>
  <c r="J6799" i="2"/>
  <c r="K6799" i="2"/>
  <c r="L6799" i="2"/>
  <c r="C6800" i="2"/>
  <c r="D6800" i="2"/>
  <c r="F6800" i="2"/>
  <c r="G6800" i="2"/>
  <c r="H6800" i="2"/>
  <c r="J6800" i="2"/>
  <c r="K6800" i="2"/>
  <c r="L6800" i="2"/>
  <c r="C6801" i="2"/>
  <c r="D6801" i="2"/>
  <c r="F6801" i="2"/>
  <c r="G6801" i="2"/>
  <c r="H6801" i="2"/>
  <c r="J6801" i="2"/>
  <c r="K6801" i="2"/>
  <c r="L6801" i="2"/>
  <c r="C6802" i="2"/>
  <c r="D6802" i="2"/>
  <c r="F6802" i="2"/>
  <c r="G6802" i="2"/>
  <c r="H6802" i="2"/>
  <c r="J6802" i="2"/>
  <c r="K6802" i="2"/>
  <c r="L6802" i="2"/>
  <c r="D6803" i="2"/>
  <c r="F6803" i="2"/>
  <c r="G6803" i="2"/>
  <c r="H6803" i="2"/>
  <c r="J6803" i="2"/>
  <c r="K6803" i="2"/>
  <c r="L6803" i="2"/>
  <c r="C6804" i="2"/>
  <c r="D6804" i="2"/>
  <c r="F6804" i="2"/>
  <c r="G6804" i="2"/>
  <c r="H6804" i="2"/>
  <c r="J6804" i="2"/>
  <c r="K6804" i="2"/>
  <c r="L6804" i="2"/>
  <c r="C6805" i="2"/>
  <c r="D6805" i="2"/>
  <c r="F6805" i="2"/>
  <c r="G6805" i="2"/>
  <c r="H6805" i="2"/>
  <c r="J6805" i="2"/>
  <c r="K6805" i="2"/>
  <c r="L6805" i="2"/>
  <c r="C6806" i="2"/>
  <c r="D6806" i="2"/>
  <c r="F6806" i="2"/>
  <c r="G6806" i="2"/>
  <c r="H6806" i="2"/>
  <c r="J6806" i="2"/>
  <c r="K6806" i="2"/>
  <c r="L6806" i="2"/>
  <c r="C6807" i="2"/>
  <c r="D6807" i="2"/>
  <c r="F6807" i="2"/>
  <c r="G6807" i="2"/>
  <c r="H6807" i="2"/>
  <c r="J6807" i="2"/>
  <c r="K6807" i="2"/>
  <c r="L6807" i="2"/>
  <c r="D6808" i="2"/>
  <c r="F6808" i="2"/>
  <c r="G6808" i="2"/>
  <c r="H6808" i="2"/>
  <c r="J6808" i="2"/>
  <c r="K6808" i="2"/>
  <c r="L6808" i="2"/>
  <c r="C6809" i="2"/>
  <c r="D6809" i="2"/>
  <c r="F6809" i="2"/>
  <c r="G6809" i="2"/>
  <c r="H6809" i="2"/>
  <c r="J6809" i="2"/>
  <c r="K6809" i="2"/>
  <c r="L6809" i="2"/>
  <c r="C6810" i="2"/>
  <c r="D6810" i="2"/>
  <c r="F6810" i="2"/>
  <c r="G6810" i="2"/>
  <c r="H6810" i="2"/>
  <c r="J6810" i="2"/>
  <c r="K6810" i="2"/>
  <c r="L6810" i="2"/>
  <c r="C6811" i="2"/>
  <c r="D6811" i="2"/>
  <c r="F6811" i="2"/>
  <c r="G6811" i="2"/>
  <c r="H6811" i="2"/>
  <c r="J6811" i="2"/>
  <c r="K6811" i="2"/>
  <c r="L6811" i="2"/>
  <c r="C6812" i="2"/>
  <c r="D6812" i="2"/>
  <c r="F6812" i="2"/>
  <c r="G6812" i="2"/>
  <c r="H6812" i="2"/>
  <c r="J6812" i="2"/>
  <c r="K6812" i="2"/>
  <c r="L6812" i="2"/>
  <c r="C6813" i="2"/>
  <c r="D6813" i="2"/>
  <c r="F6813" i="2"/>
  <c r="G6813" i="2"/>
  <c r="H6813" i="2"/>
  <c r="J6813" i="2"/>
  <c r="K6813" i="2"/>
  <c r="L6813" i="2"/>
  <c r="C6814" i="2"/>
  <c r="D6814" i="2"/>
  <c r="F6814" i="2"/>
  <c r="G6814" i="2"/>
  <c r="H6814" i="2"/>
  <c r="J6814" i="2"/>
  <c r="K6814" i="2"/>
  <c r="L6814" i="2"/>
  <c r="C6815" i="2"/>
  <c r="D6815" i="2"/>
  <c r="F6815" i="2"/>
  <c r="G6815" i="2"/>
  <c r="H6815" i="2"/>
  <c r="J6815" i="2"/>
  <c r="K6815" i="2"/>
  <c r="L6815" i="2"/>
  <c r="C6816" i="2"/>
  <c r="D6816" i="2"/>
  <c r="F6816" i="2"/>
  <c r="G6816" i="2"/>
  <c r="H6816" i="2"/>
  <c r="J6816" i="2"/>
  <c r="K6816" i="2"/>
  <c r="L6816" i="2"/>
  <c r="C6817" i="2"/>
  <c r="D6817" i="2"/>
  <c r="F6817" i="2"/>
  <c r="G6817" i="2"/>
  <c r="H6817" i="2"/>
  <c r="J6817" i="2"/>
  <c r="K6817" i="2"/>
  <c r="L6817" i="2"/>
  <c r="C6818" i="2"/>
  <c r="D6818" i="2"/>
  <c r="F6818" i="2"/>
  <c r="G6818" i="2"/>
  <c r="H6818" i="2"/>
  <c r="J6818" i="2"/>
  <c r="K6818" i="2"/>
  <c r="L6818" i="2"/>
  <c r="C6819" i="2"/>
  <c r="D6819" i="2"/>
  <c r="E6819" i="2"/>
  <c r="F6819" i="2"/>
  <c r="G6819" i="2"/>
  <c r="H6819" i="2"/>
  <c r="J6819" i="2"/>
  <c r="K6819" i="2"/>
  <c r="L6819" i="2"/>
  <c r="C6820" i="2"/>
  <c r="D6820" i="2"/>
  <c r="F6820" i="2"/>
  <c r="G6820" i="2"/>
  <c r="H6820" i="2"/>
  <c r="J6820" i="2"/>
  <c r="K6820" i="2"/>
  <c r="L6820" i="2"/>
  <c r="C6821" i="2"/>
  <c r="D6821" i="2"/>
  <c r="F6821" i="2"/>
  <c r="G6821" i="2"/>
  <c r="H6821" i="2"/>
  <c r="J6821" i="2"/>
  <c r="K6821" i="2"/>
  <c r="L6821" i="2"/>
  <c r="C6822" i="2"/>
  <c r="D6822" i="2"/>
  <c r="F6822" i="2"/>
  <c r="G6822" i="2"/>
  <c r="H6822" i="2"/>
  <c r="J6822" i="2"/>
  <c r="K6822" i="2"/>
  <c r="L6822" i="2"/>
  <c r="C6823" i="2"/>
  <c r="D6823" i="2"/>
  <c r="F6823" i="2"/>
  <c r="G6823" i="2"/>
  <c r="H6823" i="2"/>
  <c r="J6823" i="2"/>
  <c r="K6823" i="2"/>
  <c r="L6823" i="2"/>
  <c r="C6824" i="2"/>
  <c r="D6824" i="2"/>
  <c r="F6824" i="2"/>
  <c r="G6824" i="2"/>
  <c r="H6824" i="2"/>
  <c r="J6824" i="2"/>
  <c r="K6824" i="2"/>
  <c r="L6824" i="2"/>
  <c r="C6825" i="2"/>
  <c r="D6825" i="2"/>
  <c r="F6825" i="2"/>
  <c r="G6825" i="2"/>
  <c r="H6825" i="2"/>
  <c r="J6825" i="2"/>
  <c r="K6825" i="2"/>
  <c r="L6825" i="2"/>
  <c r="C6826" i="2"/>
  <c r="D6826" i="2"/>
  <c r="F6826" i="2"/>
  <c r="G6826" i="2"/>
  <c r="H6826" i="2"/>
  <c r="J6826" i="2"/>
  <c r="K6826" i="2"/>
  <c r="L6826" i="2"/>
  <c r="C6827" i="2"/>
  <c r="D6827" i="2"/>
  <c r="F6827" i="2"/>
  <c r="G6827" i="2"/>
  <c r="H6827" i="2"/>
  <c r="J6827" i="2"/>
  <c r="K6827" i="2"/>
  <c r="L6827" i="2"/>
  <c r="C6828" i="2"/>
  <c r="D6828" i="2"/>
  <c r="F6828" i="2"/>
  <c r="G6828" i="2"/>
  <c r="H6828" i="2"/>
  <c r="J6828" i="2"/>
  <c r="K6828" i="2"/>
  <c r="L6828" i="2"/>
  <c r="C6829" i="2"/>
  <c r="D6829" i="2"/>
  <c r="F6829" i="2"/>
  <c r="G6829" i="2"/>
  <c r="H6829" i="2"/>
  <c r="J6829" i="2"/>
  <c r="K6829" i="2"/>
  <c r="L6829" i="2"/>
  <c r="C6830" i="2"/>
  <c r="D6830" i="2"/>
  <c r="F6830" i="2"/>
  <c r="G6830" i="2"/>
  <c r="H6830" i="2"/>
  <c r="J6830" i="2"/>
  <c r="K6830" i="2"/>
  <c r="L6830" i="2"/>
  <c r="C6831" i="2"/>
  <c r="D6831" i="2"/>
  <c r="F6831" i="2"/>
  <c r="G6831" i="2"/>
  <c r="H6831" i="2"/>
  <c r="J6831" i="2"/>
  <c r="K6831" i="2"/>
  <c r="L6831" i="2"/>
  <c r="C6832" i="2"/>
  <c r="D6832" i="2"/>
  <c r="F6832" i="2"/>
  <c r="G6832" i="2"/>
  <c r="H6832" i="2"/>
  <c r="J6832" i="2"/>
  <c r="K6832" i="2"/>
  <c r="L6832" i="2"/>
  <c r="C6833" i="2"/>
  <c r="D6833" i="2"/>
  <c r="F6833" i="2"/>
  <c r="G6833" i="2"/>
  <c r="H6833" i="2"/>
  <c r="J6833" i="2"/>
  <c r="K6833" i="2"/>
  <c r="L6833" i="2"/>
  <c r="C6834" i="2"/>
  <c r="D6834" i="2"/>
  <c r="F6834" i="2"/>
  <c r="G6834" i="2"/>
  <c r="H6834" i="2"/>
  <c r="J6834" i="2"/>
  <c r="K6834" i="2"/>
  <c r="L6834" i="2"/>
  <c r="C6835" i="2"/>
  <c r="D6835" i="2"/>
  <c r="E6835" i="2"/>
  <c r="F6835" i="2"/>
  <c r="G6835" i="2"/>
  <c r="H6835" i="2"/>
  <c r="J6835" i="2"/>
  <c r="K6835" i="2"/>
  <c r="L6835" i="2"/>
  <c r="C6836" i="2"/>
  <c r="D6836" i="2"/>
  <c r="F6836" i="2"/>
  <c r="G6836" i="2"/>
  <c r="H6836" i="2"/>
  <c r="J6836" i="2"/>
  <c r="K6836" i="2"/>
  <c r="L6836" i="2"/>
  <c r="C6837" i="2"/>
  <c r="D6837" i="2"/>
  <c r="F6837" i="2"/>
  <c r="G6837" i="2"/>
  <c r="H6837" i="2"/>
  <c r="J6837" i="2"/>
  <c r="K6837" i="2"/>
  <c r="L6837" i="2"/>
  <c r="C6838" i="2"/>
  <c r="D6838" i="2"/>
  <c r="F6838" i="2"/>
  <c r="G6838" i="2"/>
  <c r="H6838" i="2"/>
  <c r="J6838" i="2"/>
  <c r="K6838" i="2"/>
  <c r="L6838" i="2"/>
  <c r="C6839" i="2"/>
  <c r="D6839" i="2"/>
  <c r="F6839" i="2"/>
  <c r="G6839" i="2"/>
  <c r="H6839" i="2"/>
  <c r="J6839" i="2"/>
  <c r="K6839" i="2"/>
  <c r="L6839" i="2"/>
  <c r="C6840" i="2"/>
  <c r="D6840" i="2"/>
  <c r="F6840" i="2"/>
  <c r="G6840" i="2"/>
  <c r="H6840" i="2"/>
  <c r="J6840" i="2"/>
  <c r="K6840" i="2"/>
  <c r="L6840" i="2"/>
  <c r="C6841" i="2"/>
  <c r="D6841" i="2"/>
  <c r="F6841" i="2"/>
  <c r="G6841" i="2"/>
  <c r="H6841" i="2"/>
  <c r="J6841" i="2"/>
  <c r="K6841" i="2"/>
  <c r="L6841" i="2"/>
  <c r="C6842" i="2"/>
  <c r="D6842" i="2"/>
  <c r="F6842" i="2"/>
  <c r="G6842" i="2"/>
  <c r="H6842" i="2"/>
  <c r="J6842" i="2"/>
  <c r="K6842" i="2"/>
  <c r="L6842" i="2"/>
  <c r="C6843" i="2"/>
  <c r="D6843" i="2"/>
  <c r="F6843" i="2"/>
  <c r="G6843" i="2"/>
  <c r="H6843" i="2"/>
  <c r="J6843" i="2"/>
  <c r="K6843" i="2"/>
  <c r="L6843" i="2"/>
  <c r="C6844" i="2"/>
  <c r="D6844" i="2"/>
  <c r="F6844" i="2"/>
  <c r="G6844" i="2"/>
  <c r="H6844" i="2"/>
  <c r="J6844" i="2"/>
  <c r="K6844" i="2"/>
  <c r="L6844" i="2"/>
  <c r="C6845" i="2"/>
  <c r="D6845" i="2"/>
  <c r="F6845" i="2"/>
  <c r="G6845" i="2"/>
  <c r="H6845" i="2"/>
  <c r="J6845" i="2"/>
  <c r="K6845" i="2"/>
  <c r="L6845" i="2"/>
  <c r="C6846" i="2"/>
  <c r="D6846" i="2"/>
  <c r="F6846" i="2"/>
  <c r="G6846" i="2"/>
  <c r="H6846" i="2"/>
  <c r="J6846" i="2"/>
  <c r="K6846" i="2"/>
  <c r="L6846" i="2"/>
  <c r="C6847" i="2"/>
  <c r="D6847" i="2"/>
  <c r="F6847" i="2"/>
  <c r="G6847" i="2"/>
  <c r="H6847" i="2"/>
  <c r="J6847" i="2"/>
  <c r="K6847" i="2"/>
  <c r="L6847" i="2"/>
  <c r="C6848" i="2"/>
  <c r="D6848" i="2"/>
  <c r="F6848" i="2"/>
  <c r="G6848" i="2"/>
  <c r="H6848" i="2"/>
  <c r="J6848" i="2"/>
  <c r="K6848" i="2"/>
  <c r="L6848" i="2"/>
  <c r="C6849" i="2"/>
  <c r="D6849" i="2"/>
  <c r="F6849" i="2"/>
  <c r="G6849" i="2"/>
  <c r="H6849" i="2"/>
  <c r="J6849" i="2"/>
  <c r="K6849" i="2"/>
  <c r="L6849" i="2"/>
  <c r="C6850" i="2"/>
  <c r="D6850" i="2"/>
  <c r="F6850" i="2"/>
  <c r="G6850" i="2"/>
  <c r="H6850" i="2"/>
  <c r="J6850" i="2"/>
  <c r="K6850" i="2"/>
  <c r="L6850" i="2"/>
  <c r="C6851" i="2"/>
  <c r="D6851" i="2"/>
  <c r="F6851" i="2"/>
  <c r="G6851" i="2"/>
  <c r="H6851" i="2"/>
  <c r="J6851" i="2"/>
  <c r="K6851" i="2"/>
  <c r="L6851" i="2"/>
  <c r="C6852" i="2"/>
  <c r="D6852" i="2"/>
  <c r="F6852" i="2"/>
  <c r="G6852" i="2"/>
  <c r="H6852" i="2"/>
  <c r="J6852" i="2"/>
  <c r="K6852" i="2"/>
  <c r="L6852" i="2"/>
  <c r="C6853" i="2"/>
  <c r="D6853" i="2"/>
  <c r="F6853" i="2"/>
  <c r="G6853" i="2"/>
  <c r="H6853" i="2"/>
  <c r="J6853" i="2"/>
  <c r="K6853" i="2"/>
  <c r="L6853" i="2"/>
  <c r="C6854" i="2"/>
  <c r="D6854" i="2"/>
  <c r="F6854" i="2"/>
  <c r="G6854" i="2"/>
  <c r="H6854" i="2"/>
  <c r="J6854" i="2"/>
  <c r="K6854" i="2"/>
  <c r="L6854" i="2"/>
  <c r="C6855" i="2"/>
  <c r="D6855" i="2"/>
  <c r="F6855" i="2"/>
  <c r="G6855" i="2"/>
  <c r="H6855" i="2"/>
  <c r="J6855" i="2"/>
  <c r="K6855" i="2"/>
  <c r="L6855" i="2"/>
  <c r="C6856" i="2"/>
  <c r="D6856" i="2"/>
  <c r="F6856" i="2"/>
  <c r="G6856" i="2"/>
  <c r="H6856" i="2"/>
  <c r="J6856" i="2"/>
  <c r="K6856" i="2"/>
  <c r="L6856" i="2"/>
  <c r="C6857" i="2"/>
  <c r="D6857" i="2"/>
  <c r="F6857" i="2"/>
  <c r="G6857" i="2"/>
  <c r="H6857" i="2"/>
  <c r="J6857" i="2"/>
  <c r="K6857" i="2"/>
  <c r="L6857" i="2"/>
  <c r="C6858" i="2"/>
  <c r="D6858" i="2"/>
  <c r="F6858" i="2"/>
  <c r="G6858" i="2"/>
  <c r="H6858" i="2"/>
  <c r="J6858" i="2"/>
  <c r="K6858" i="2"/>
  <c r="L6858" i="2"/>
  <c r="C6859" i="2"/>
  <c r="D6859" i="2"/>
  <c r="F6859" i="2"/>
  <c r="G6859" i="2"/>
  <c r="H6859" i="2"/>
  <c r="J6859" i="2"/>
  <c r="K6859" i="2"/>
  <c r="L6859" i="2"/>
  <c r="C6860" i="2"/>
  <c r="D6860" i="2"/>
  <c r="F6860" i="2"/>
  <c r="G6860" i="2"/>
  <c r="H6860" i="2"/>
  <c r="J6860" i="2"/>
  <c r="K6860" i="2"/>
  <c r="L6860" i="2"/>
  <c r="C6861" i="2"/>
  <c r="D6861" i="2"/>
  <c r="F6861" i="2"/>
  <c r="G6861" i="2"/>
  <c r="H6861" i="2"/>
  <c r="J6861" i="2"/>
  <c r="K6861" i="2"/>
  <c r="L6861" i="2"/>
  <c r="C6862" i="2"/>
  <c r="D6862" i="2"/>
  <c r="F6862" i="2"/>
  <c r="G6862" i="2"/>
  <c r="H6862" i="2"/>
  <c r="J6862" i="2"/>
  <c r="K6862" i="2"/>
  <c r="L6862" i="2"/>
  <c r="C6863" i="2"/>
  <c r="D6863" i="2"/>
  <c r="F6863" i="2"/>
  <c r="G6863" i="2"/>
  <c r="H6863" i="2"/>
  <c r="J6863" i="2"/>
  <c r="K6863" i="2"/>
  <c r="L6863" i="2"/>
  <c r="C6864" i="2"/>
  <c r="D6864" i="2"/>
  <c r="F6864" i="2"/>
  <c r="G6864" i="2"/>
  <c r="H6864" i="2"/>
  <c r="J6864" i="2"/>
  <c r="K6864" i="2"/>
  <c r="L6864" i="2"/>
  <c r="C6865" i="2"/>
  <c r="D6865" i="2"/>
  <c r="E6865" i="2"/>
  <c r="F6865" i="2"/>
  <c r="G6865" i="2"/>
  <c r="H6865" i="2"/>
  <c r="J6865" i="2"/>
  <c r="K6865" i="2"/>
  <c r="L6865" i="2"/>
  <c r="C6866" i="2"/>
  <c r="D6866" i="2"/>
  <c r="F6866" i="2"/>
  <c r="G6866" i="2"/>
  <c r="H6866" i="2"/>
  <c r="J6866" i="2"/>
  <c r="K6866" i="2"/>
  <c r="L6866" i="2"/>
  <c r="C6867" i="2"/>
  <c r="D6867" i="2"/>
  <c r="F6867" i="2"/>
  <c r="G6867" i="2"/>
  <c r="H6867" i="2"/>
  <c r="J6867" i="2"/>
  <c r="K6867" i="2"/>
  <c r="L6867" i="2"/>
  <c r="C6868" i="2"/>
  <c r="D6868" i="2"/>
  <c r="F6868" i="2"/>
  <c r="G6868" i="2"/>
  <c r="H6868" i="2"/>
  <c r="J6868" i="2"/>
  <c r="K6868" i="2"/>
  <c r="L6868" i="2"/>
  <c r="C6869" i="2"/>
  <c r="D6869" i="2"/>
  <c r="F6869" i="2"/>
  <c r="G6869" i="2"/>
  <c r="H6869" i="2"/>
  <c r="J6869" i="2"/>
  <c r="K6869" i="2"/>
  <c r="L6869" i="2"/>
  <c r="C6870" i="2"/>
  <c r="D6870" i="2"/>
  <c r="F6870" i="2"/>
  <c r="G6870" i="2"/>
  <c r="H6870" i="2"/>
  <c r="J6870" i="2"/>
  <c r="K6870" i="2"/>
  <c r="L6870" i="2"/>
  <c r="C6871" i="2"/>
  <c r="D6871" i="2"/>
  <c r="F6871" i="2"/>
  <c r="G6871" i="2"/>
  <c r="H6871" i="2"/>
  <c r="J6871" i="2"/>
  <c r="K6871" i="2"/>
  <c r="L6871" i="2"/>
  <c r="C6872" i="2"/>
  <c r="D6872" i="2"/>
  <c r="F6872" i="2"/>
  <c r="G6872" i="2"/>
  <c r="H6872" i="2"/>
  <c r="J6872" i="2"/>
  <c r="K6872" i="2"/>
  <c r="L6872" i="2"/>
  <c r="C6873" i="2"/>
  <c r="D6873" i="2"/>
  <c r="F6873" i="2"/>
  <c r="G6873" i="2"/>
  <c r="H6873" i="2"/>
  <c r="J6873" i="2"/>
  <c r="K6873" i="2"/>
  <c r="L6873" i="2"/>
  <c r="C6874" i="2"/>
  <c r="D6874" i="2"/>
  <c r="F6874" i="2"/>
  <c r="G6874" i="2"/>
  <c r="H6874" i="2"/>
  <c r="J6874" i="2"/>
  <c r="K6874" i="2"/>
  <c r="L6874" i="2"/>
  <c r="C6875" i="2"/>
  <c r="D6875" i="2"/>
  <c r="F6875" i="2"/>
  <c r="G6875" i="2"/>
  <c r="H6875" i="2"/>
  <c r="J6875" i="2"/>
  <c r="K6875" i="2"/>
  <c r="L6875" i="2"/>
  <c r="C6876" i="2"/>
  <c r="D6876" i="2"/>
  <c r="F6876" i="2"/>
  <c r="G6876" i="2"/>
  <c r="H6876" i="2"/>
  <c r="J6876" i="2"/>
  <c r="K6876" i="2"/>
  <c r="L6876" i="2"/>
  <c r="C6877" i="2"/>
  <c r="D6877" i="2"/>
  <c r="F6877" i="2"/>
  <c r="G6877" i="2"/>
  <c r="H6877" i="2"/>
  <c r="J6877" i="2"/>
  <c r="K6877" i="2"/>
  <c r="L6877" i="2"/>
  <c r="C6878" i="2"/>
  <c r="D6878" i="2"/>
  <c r="F6878" i="2"/>
  <c r="G6878" i="2"/>
  <c r="H6878" i="2"/>
  <c r="J6878" i="2"/>
  <c r="K6878" i="2"/>
  <c r="L6878" i="2"/>
  <c r="C6879" i="2"/>
  <c r="D6879" i="2"/>
  <c r="F6879" i="2"/>
  <c r="G6879" i="2"/>
  <c r="H6879" i="2"/>
  <c r="J6879" i="2"/>
  <c r="K6879" i="2"/>
  <c r="L6879" i="2"/>
  <c r="C6880" i="2"/>
  <c r="D6880" i="2"/>
  <c r="F6880" i="2"/>
  <c r="G6880" i="2"/>
  <c r="H6880" i="2"/>
  <c r="J6880" i="2"/>
  <c r="K6880" i="2"/>
  <c r="L6880" i="2"/>
  <c r="C6881" i="2"/>
  <c r="D6881" i="2"/>
  <c r="F6881" i="2"/>
  <c r="G6881" i="2"/>
  <c r="H6881" i="2"/>
  <c r="J6881" i="2"/>
  <c r="K6881" i="2"/>
  <c r="L6881" i="2"/>
  <c r="C6882" i="2"/>
  <c r="D6882" i="2"/>
  <c r="F6882" i="2"/>
  <c r="G6882" i="2"/>
  <c r="H6882" i="2"/>
  <c r="J6882" i="2"/>
  <c r="K6882" i="2"/>
  <c r="L6882" i="2"/>
  <c r="C6883" i="2"/>
  <c r="D6883" i="2"/>
  <c r="F6883" i="2"/>
  <c r="G6883" i="2"/>
  <c r="H6883" i="2"/>
  <c r="J6883" i="2"/>
  <c r="K6883" i="2"/>
  <c r="L6883" i="2"/>
  <c r="C6884" i="2"/>
  <c r="D6884" i="2"/>
  <c r="F6884" i="2"/>
  <c r="G6884" i="2"/>
  <c r="H6884" i="2"/>
  <c r="J6884" i="2"/>
  <c r="K6884" i="2"/>
  <c r="L6884" i="2"/>
  <c r="C6885" i="2"/>
  <c r="D6885" i="2"/>
  <c r="F6885" i="2"/>
  <c r="G6885" i="2"/>
  <c r="H6885" i="2"/>
  <c r="J6885" i="2"/>
  <c r="K6885" i="2"/>
  <c r="L6885" i="2"/>
  <c r="C6886" i="2"/>
  <c r="D6886" i="2"/>
  <c r="F6886" i="2"/>
  <c r="G6886" i="2"/>
  <c r="H6886" i="2"/>
  <c r="J6886" i="2"/>
  <c r="K6886" i="2"/>
  <c r="L6886" i="2"/>
  <c r="C6887" i="2"/>
  <c r="D6887" i="2"/>
  <c r="F6887" i="2"/>
  <c r="G6887" i="2"/>
  <c r="H6887" i="2"/>
  <c r="J6887" i="2"/>
  <c r="K6887" i="2"/>
  <c r="L6887" i="2"/>
  <c r="C6888" i="2"/>
  <c r="D6888" i="2"/>
  <c r="F6888" i="2"/>
  <c r="G6888" i="2"/>
  <c r="H6888" i="2"/>
  <c r="J6888" i="2"/>
  <c r="K6888" i="2"/>
  <c r="L6888" i="2"/>
  <c r="C6889" i="2"/>
  <c r="D6889" i="2"/>
  <c r="F6889" i="2"/>
  <c r="G6889" i="2"/>
  <c r="H6889" i="2"/>
  <c r="J6889" i="2"/>
  <c r="K6889" i="2"/>
  <c r="L6889" i="2"/>
  <c r="C6890" i="2"/>
  <c r="D6890" i="2"/>
  <c r="F6890" i="2"/>
  <c r="G6890" i="2"/>
  <c r="H6890" i="2"/>
  <c r="J6890" i="2"/>
  <c r="K6890" i="2"/>
  <c r="L6890" i="2"/>
  <c r="C6891" i="2"/>
  <c r="D6891" i="2"/>
  <c r="F6891" i="2"/>
  <c r="G6891" i="2"/>
  <c r="H6891" i="2"/>
  <c r="J6891" i="2"/>
  <c r="K6891" i="2"/>
  <c r="L6891" i="2"/>
  <c r="C6892" i="2"/>
  <c r="D6892" i="2"/>
  <c r="F6892" i="2"/>
  <c r="G6892" i="2"/>
  <c r="H6892" i="2"/>
  <c r="J6892" i="2"/>
  <c r="K6892" i="2"/>
  <c r="L6892" i="2"/>
  <c r="C6893" i="2"/>
  <c r="D6893" i="2"/>
  <c r="F6893" i="2"/>
  <c r="G6893" i="2"/>
  <c r="H6893" i="2"/>
  <c r="J6893" i="2"/>
  <c r="K6893" i="2"/>
  <c r="L6893" i="2"/>
  <c r="C6894" i="2"/>
  <c r="D6894" i="2"/>
  <c r="F6894" i="2"/>
  <c r="G6894" i="2"/>
  <c r="H6894" i="2"/>
  <c r="J6894" i="2"/>
  <c r="K6894" i="2"/>
  <c r="L6894" i="2"/>
  <c r="C6895" i="2"/>
  <c r="D6895" i="2"/>
  <c r="F6895" i="2"/>
  <c r="G6895" i="2"/>
  <c r="H6895" i="2"/>
  <c r="J6895" i="2"/>
  <c r="K6895" i="2"/>
  <c r="L6895" i="2"/>
  <c r="C6896" i="2"/>
  <c r="D6896" i="2"/>
  <c r="F6896" i="2"/>
  <c r="G6896" i="2"/>
  <c r="H6896" i="2"/>
  <c r="J6896" i="2"/>
  <c r="K6896" i="2"/>
  <c r="L6896" i="2"/>
  <c r="C6897" i="2"/>
  <c r="D6897" i="2"/>
  <c r="F6897" i="2"/>
  <c r="G6897" i="2"/>
  <c r="H6897" i="2"/>
  <c r="J6897" i="2"/>
  <c r="K6897" i="2"/>
  <c r="L6897" i="2"/>
  <c r="C6898" i="2"/>
  <c r="D6898" i="2"/>
  <c r="F6898" i="2"/>
  <c r="G6898" i="2"/>
  <c r="H6898" i="2"/>
  <c r="J6898" i="2"/>
  <c r="K6898" i="2"/>
  <c r="L6898" i="2"/>
  <c r="C6899" i="2"/>
  <c r="D6899" i="2"/>
  <c r="F6899" i="2"/>
  <c r="G6899" i="2"/>
  <c r="H6899" i="2"/>
  <c r="J6899" i="2"/>
  <c r="K6899" i="2"/>
  <c r="L6899" i="2"/>
  <c r="C6900" i="2"/>
  <c r="D6900" i="2"/>
  <c r="F6900" i="2"/>
  <c r="G6900" i="2"/>
  <c r="H6900" i="2"/>
  <c r="J6900" i="2"/>
  <c r="K6900" i="2"/>
  <c r="L6900" i="2"/>
  <c r="C6901" i="2"/>
  <c r="D6901" i="2"/>
  <c r="F6901" i="2"/>
  <c r="G6901" i="2"/>
  <c r="H6901" i="2"/>
  <c r="J6901" i="2"/>
  <c r="K6901" i="2"/>
  <c r="L6901" i="2"/>
  <c r="C6902" i="2"/>
  <c r="D6902" i="2"/>
  <c r="F6902" i="2"/>
  <c r="G6902" i="2"/>
  <c r="H6902" i="2"/>
  <c r="J6902" i="2"/>
  <c r="K6902" i="2"/>
  <c r="L6902" i="2"/>
  <c r="C6903" i="2"/>
  <c r="D6903" i="2"/>
  <c r="F6903" i="2"/>
  <c r="G6903" i="2"/>
  <c r="H6903" i="2"/>
  <c r="J6903" i="2"/>
  <c r="K6903" i="2"/>
  <c r="L6903" i="2"/>
  <c r="C6904" i="2"/>
  <c r="D6904" i="2"/>
  <c r="F6904" i="2"/>
  <c r="G6904" i="2"/>
  <c r="H6904" i="2"/>
  <c r="J6904" i="2"/>
  <c r="K6904" i="2"/>
  <c r="L6904" i="2"/>
  <c r="C6905" i="2"/>
  <c r="D6905" i="2"/>
  <c r="F6905" i="2"/>
  <c r="G6905" i="2"/>
  <c r="H6905" i="2"/>
  <c r="J6905" i="2"/>
  <c r="K6905" i="2"/>
  <c r="L6905" i="2"/>
  <c r="C6906" i="2"/>
  <c r="D6906" i="2"/>
  <c r="F6906" i="2"/>
  <c r="G6906" i="2"/>
  <c r="H6906" i="2"/>
  <c r="J6906" i="2"/>
  <c r="K6906" i="2"/>
  <c r="L6906" i="2"/>
  <c r="C6907" i="2"/>
  <c r="D6907" i="2"/>
  <c r="F6907" i="2"/>
  <c r="G6907" i="2"/>
  <c r="H6907" i="2"/>
  <c r="J6907" i="2"/>
  <c r="K6907" i="2"/>
  <c r="L6907" i="2"/>
  <c r="C6908" i="2"/>
  <c r="D6908" i="2"/>
  <c r="F6908" i="2"/>
  <c r="G6908" i="2"/>
  <c r="H6908" i="2"/>
  <c r="J6908" i="2"/>
  <c r="K6908" i="2"/>
  <c r="L6908" i="2"/>
  <c r="C6909" i="2"/>
  <c r="D6909" i="2"/>
  <c r="F6909" i="2"/>
  <c r="G6909" i="2"/>
  <c r="H6909" i="2"/>
  <c r="J6909" i="2"/>
  <c r="K6909" i="2"/>
  <c r="L6909" i="2"/>
  <c r="C6910" i="2"/>
  <c r="D6910" i="2"/>
  <c r="F6910" i="2"/>
  <c r="G6910" i="2"/>
  <c r="H6910" i="2"/>
  <c r="J6910" i="2"/>
  <c r="K6910" i="2"/>
  <c r="L6910" i="2"/>
  <c r="C6911" i="2"/>
  <c r="D6911" i="2"/>
  <c r="F6911" i="2"/>
  <c r="G6911" i="2"/>
  <c r="H6911" i="2"/>
  <c r="J6911" i="2"/>
  <c r="K6911" i="2"/>
  <c r="L6911" i="2"/>
  <c r="C6912" i="2"/>
  <c r="D6912" i="2"/>
  <c r="F6912" i="2"/>
  <c r="G6912" i="2"/>
  <c r="H6912" i="2"/>
  <c r="J6912" i="2"/>
  <c r="K6912" i="2"/>
  <c r="L6912" i="2"/>
  <c r="C6913" i="2"/>
  <c r="D6913" i="2"/>
  <c r="F6913" i="2"/>
  <c r="G6913" i="2"/>
  <c r="H6913" i="2"/>
  <c r="J6913" i="2"/>
  <c r="K6913" i="2"/>
  <c r="L6913" i="2"/>
  <c r="C6914" i="2"/>
  <c r="D6914" i="2"/>
  <c r="F6914" i="2"/>
  <c r="G6914" i="2"/>
  <c r="H6914" i="2"/>
  <c r="J6914" i="2"/>
  <c r="K6914" i="2"/>
  <c r="L6914" i="2"/>
  <c r="C6915" i="2"/>
  <c r="D6915" i="2"/>
  <c r="F6915" i="2"/>
  <c r="G6915" i="2"/>
  <c r="H6915" i="2"/>
  <c r="J6915" i="2"/>
  <c r="K6915" i="2"/>
  <c r="L6915" i="2"/>
  <c r="C6916" i="2"/>
  <c r="D6916" i="2"/>
  <c r="F6916" i="2"/>
  <c r="G6916" i="2"/>
  <c r="H6916" i="2"/>
  <c r="J6916" i="2"/>
  <c r="K6916" i="2"/>
  <c r="L6916" i="2"/>
  <c r="C6917" i="2"/>
  <c r="D6917" i="2"/>
  <c r="F6917" i="2"/>
  <c r="G6917" i="2"/>
  <c r="H6917" i="2"/>
  <c r="J6917" i="2"/>
  <c r="K6917" i="2"/>
  <c r="L6917" i="2"/>
  <c r="C6918" i="2"/>
  <c r="D6918" i="2"/>
  <c r="F6918" i="2"/>
  <c r="G6918" i="2"/>
  <c r="H6918" i="2"/>
  <c r="J6918" i="2"/>
  <c r="K6918" i="2"/>
  <c r="L6918" i="2"/>
  <c r="C6919" i="2"/>
  <c r="D6919" i="2"/>
  <c r="F6919" i="2"/>
  <c r="G6919" i="2"/>
  <c r="H6919" i="2"/>
  <c r="J6919" i="2"/>
  <c r="K6919" i="2"/>
  <c r="L6919" i="2"/>
  <c r="C6920" i="2"/>
  <c r="D6920" i="2"/>
  <c r="F6920" i="2"/>
  <c r="G6920" i="2"/>
  <c r="H6920" i="2"/>
  <c r="J6920" i="2"/>
  <c r="K6920" i="2"/>
  <c r="L6920" i="2"/>
  <c r="C6921" i="2"/>
  <c r="D6921" i="2"/>
  <c r="F6921" i="2"/>
  <c r="G6921" i="2"/>
  <c r="H6921" i="2"/>
  <c r="J6921" i="2"/>
  <c r="K6921" i="2"/>
  <c r="L6921" i="2"/>
  <c r="C6922" i="2"/>
  <c r="D6922" i="2"/>
  <c r="F6922" i="2"/>
  <c r="G6922" i="2"/>
  <c r="H6922" i="2"/>
  <c r="J6922" i="2"/>
  <c r="K6922" i="2"/>
  <c r="L6922" i="2"/>
  <c r="C6923" i="2"/>
  <c r="D6923" i="2"/>
  <c r="F6923" i="2"/>
  <c r="G6923" i="2"/>
  <c r="H6923" i="2"/>
  <c r="J6923" i="2"/>
  <c r="K6923" i="2"/>
  <c r="L6923" i="2"/>
  <c r="C6924" i="2"/>
  <c r="D6924" i="2"/>
  <c r="F6924" i="2"/>
  <c r="G6924" i="2"/>
  <c r="H6924" i="2"/>
  <c r="J6924" i="2"/>
  <c r="K6924" i="2"/>
  <c r="L6924" i="2"/>
  <c r="C6925" i="2"/>
  <c r="D6925" i="2"/>
  <c r="F6925" i="2"/>
  <c r="G6925" i="2"/>
  <c r="H6925" i="2"/>
  <c r="J6925" i="2"/>
  <c r="K6925" i="2"/>
  <c r="L6925" i="2"/>
  <c r="C6926" i="2"/>
  <c r="D6926" i="2"/>
  <c r="F6926" i="2"/>
  <c r="G6926" i="2"/>
  <c r="H6926" i="2"/>
  <c r="J6926" i="2"/>
  <c r="K6926" i="2"/>
  <c r="L6926" i="2"/>
  <c r="C6927" i="2"/>
  <c r="D6927" i="2"/>
  <c r="F6927" i="2"/>
  <c r="G6927" i="2"/>
  <c r="H6927" i="2"/>
  <c r="J6927" i="2"/>
  <c r="K6927" i="2"/>
  <c r="L6927" i="2"/>
  <c r="C6928" i="2"/>
  <c r="D6928" i="2"/>
  <c r="F6928" i="2"/>
  <c r="G6928" i="2"/>
  <c r="H6928" i="2"/>
  <c r="J6928" i="2"/>
  <c r="K6928" i="2"/>
  <c r="L6928" i="2"/>
  <c r="C6929" i="2"/>
  <c r="D6929" i="2"/>
  <c r="F6929" i="2"/>
  <c r="G6929" i="2"/>
  <c r="H6929" i="2"/>
  <c r="J6929" i="2"/>
  <c r="K6929" i="2"/>
  <c r="L6929" i="2"/>
  <c r="C6930" i="2"/>
  <c r="D6930" i="2"/>
  <c r="F6930" i="2"/>
  <c r="G6930" i="2"/>
  <c r="H6930" i="2"/>
  <c r="J6930" i="2"/>
  <c r="K6930" i="2"/>
  <c r="L6930" i="2"/>
  <c r="C6931" i="2"/>
  <c r="D6931" i="2"/>
  <c r="F6931" i="2"/>
  <c r="G6931" i="2"/>
  <c r="H6931" i="2"/>
  <c r="J6931" i="2"/>
  <c r="K6931" i="2"/>
  <c r="L6931" i="2"/>
  <c r="C6932" i="2"/>
  <c r="D6932" i="2"/>
  <c r="F6932" i="2"/>
  <c r="G6932" i="2"/>
  <c r="H6932" i="2"/>
  <c r="J6932" i="2"/>
  <c r="K6932" i="2"/>
  <c r="L6932" i="2"/>
  <c r="C6933" i="2"/>
  <c r="D6933" i="2"/>
  <c r="F6933" i="2"/>
  <c r="G6933" i="2"/>
  <c r="H6933" i="2"/>
  <c r="J6933" i="2"/>
  <c r="K6933" i="2"/>
  <c r="L6933" i="2"/>
  <c r="C6934" i="2"/>
  <c r="D6934" i="2"/>
  <c r="F6934" i="2"/>
  <c r="G6934" i="2"/>
  <c r="H6934" i="2"/>
  <c r="J6934" i="2"/>
  <c r="K6934" i="2"/>
  <c r="L6934" i="2"/>
  <c r="C6935" i="2"/>
  <c r="D6935" i="2"/>
  <c r="F6935" i="2"/>
  <c r="G6935" i="2"/>
  <c r="H6935" i="2"/>
  <c r="J6935" i="2"/>
  <c r="K6935" i="2"/>
  <c r="L6935" i="2"/>
  <c r="C6936" i="2"/>
  <c r="D6936" i="2"/>
  <c r="F6936" i="2"/>
  <c r="G6936" i="2"/>
  <c r="H6936" i="2"/>
  <c r="J6936" i="2"/>
  <c r="K6936" i="2"/>
  <c r="L6936" i="2"/>
  <c r="C6937" i="2"/>
  <c r="D6937" i="2"/>
  <c r="F6937" i="2"/>
  <c r="G6937" i="2"/>
  <c r="H6937" i="2"/>
  <c r="J6937" i="2"/>
  <c r="K6937" i="2"/>
  <c r="L6937" i="2"/>
  <c r="C6938" i="2"/>
  <c r="D6938" i="2"/>
  <c r="F6938" i="2"/>
  <c r="G6938" i="2"/>
  <c r="H6938" i="2"/>
  <c r="J6938" i="2"/>
  <c r="K6938" i="2"/>
  <c r="L6938" i="2"/>
  <c r="C6939" i="2"/>
  <c r="D6939" i="2"/>
  <c r="F6939" i="2"/>
  <c r="G6939" i="2"/>
  <c r="H6939" i="2"/>
  <c r="J6939" i="2"/>
  <c r="K6939" i="2"/>
  <c r="L6939" i="2"/>
  <c r="C6940" i="2"/>
  <c r="D6940" i="2"/>
  <c r="F6940" i="2"/>
  <c r="G6940" i="2"/>
  <c r="H6940" i="2"/>
  <c r="J6940" i="2"/>
  <c r="K6940" i="2"/>
  <c r="L6940" i="2"/>
  <c r="C6941" i="2"/>
  <c r="D6941" i="2"/>
  <c r="F6941" i="2"/>
  <c r="G6941" i="2"/>
  <c r="H6941" i="2"/>
  <c r="J6941" i="2"/>
  <c r="K6941" i="2"/>
  <c r="L6941" i="2"/>
  <c r="C6942" i="2"/>
  <c r="D6942" i="2"/>
  <c r="F6942" i="2"/>
  <c r="G6942" i="2"/>
  <c r="H6942" i="2"/>
  <c r="J6942" i="2"/>
  <c r="K6942" i="2"/>
  <c r="L6942" i="2"/>
  <c r="C6943" i="2"/>
  <c r="D6943" i="2"/>
  <c r="F6943" i="2"/>
  <c r="G6943" i="2"/>
  <c r="H6943" i="2"/>
  <c r="J6943" i="2"/>
  <c r="K6943" i="2"/>
  <c r="L6943" i="2"/>
  <c r="C6944" i="2"/>
  <c r="D6944" i="2"/>
  <c r="F6944" i="2"/>
  <c r="G6944" i="2"/>
  <c r="H6944" i="2"/>
  <c r="J6944" i="2"/>
  <c r="K6944" i="2"/>
  <c r="L6944" i="2"/>
  <c r="C6945" i="2"/>
  <c r="D6945" i="2"/>
  <c r="F6945" i="2"/>
  <c r="G6945" i="2"/>
  <c r="H6945" i="2"/>
  <c r="J6945" i="2"/>
  <c r="K6945" i="2"/>
  <c r="L6945" i="2"/>
  <c r="C6946" i="2"/>
  <c r="D6946" i="2"/>
  <c r="F6946" i="2"/>
  <c r="G6946" i="2"/>
  <c r="H6946" i="2"/>
  <c r="J6946" i="2"/>
  <c r="K6946" i="2"/>
  <c r="L6946" i="2"/>
  <c r="C6947" i="2"/>
  <c r="D6947" i="2"/>
  <c r="F6947" i="2"/>
  <c r="G6947" i="2"/>
  <c r="H6947" i="2"/>
  <c r="J6947" i="2"/>
  <c r="K6947" i="2"/>
  <c r="L6947" i="2"/>
  <c r="C6948" i="2"/>
  <c r="D6948" i="2"/>
  <c r="F6948" i="2"/>
  <c r="G6948" i="2"/>
  <c r="H6948" i="2"/>
  <c r="J6948" i="2"/>
  <c r="K6948" i="2"/>
  <c r="L6948" i="2"/>
  <c r="C6949" i="2"/>
  <c r="D6949" i="2"/>
  <c r="F6949" i="2"/>
  <c r="G6949" i="2"/>
  <c r="H6949" i="2"/>
  <c r="J6949" i="2"/>
  <c r="K6949" i="2"/>
  <c r="L6949" i="2"/>
  <c r="C6950" i="2"/>
  <c r="D6950" i="2"/>
  <c r="F6950" i="2"/>
  <c r="G6950" i="2"/>
  <c r="H6950" i="2"/>
  <c r="J6950" i="2"/>
  <c r="K6950" i="2"/>
  <c r="L6950" i="2"/>
  <c r="C6951" i="2"/>
  <c r="D6951" i="2"/>
  <c r="F6951" i="2"/>
  <c r="G6951" i="2"/>
  <c r="H6951" i="2"/>
  <c r="J6951" i="2"/>
  <c r="K6951" i="2"/>
  <c r="L6951" i="2"/>
  <c r="C6952" i="2"/>
  <c r="D6952" i="2"/>
  <c r="F6952" i="2"/>
  <c r="G6952" i="2"/>
  <c r="H6952" i="2"/>
  <c r="J6952" i="2"/>
  <c r="K6952" i="2"/>
  <c r="L6952" i="2"/>
  <c r="C6953" i="2"/>
  <c r="D6953" i="2"/>
  <c r="F6953" i="2"/>
  <c r="G6953" i="2"/>
  <c r="H6953" i="2"/>
  <c r="J6953" i="2"/>
  <c r="K6953" i="2"/>
  <c r="L6953" i="2"/>
  <c r="C6954" i="2"/>
  <c r="D6954" i="2"/>
  <c r="F6954" i="2"/>
  <c r="G6954" i="2"/>
  <c r="H6954" i="2"/>
  <c r="J6954" i="2"/>
  <c r="K6954" i="2"/>
  <c r="L6954" i="2"/>
  <c r="C6955" i="2"/>
  <c r="D6955" i="2"/>
  <c r="F6955" i="2"/>
  <c r="G6955" i="2"/>
  <c r="H6955" i="2"/>
  <c r="J6955" i="2"/>
  <c r="K6955" i="2"/>
  <c r="L6955" i="2"/>
  <c r="C6956" i="2"/>
  <c r="D6956" i="2"/>
  <c r="F6956" i="2"/>
  <c r="G6956" i="2"/>
  <c r="H6956" i="2"/>
  <c r="J6956" i="2"/>
  <c r="K6956" i="2"/>
  <c r="L6956" i="2"/>
  <c r="C6957" i="2"/>
  <c r="D6957" i="2"/>
  <c r="F6957" i="2"/>
  <c r="G6957" i="2"/>
  <c r="H6957" i="2"/>
  <c r="J6957" i="2"/>
  <c r="K6957" i="2"/>
  <c r="L6957" i="2"/>
  <c r="C6958" i="2"/>
  <c r="D6958" i="2"/>
  <c r="F6958" i="2"/>
  <c r="G6958" i="2"/>
  <c r="H6958" i="2"/>
  <c r="J6958" i="2"/>
  <c r="K6958" i="2"/>
  <c r="L6958" i="2"/>
  <c r="C6959" i="2"/>
  <c r="D6959" i="2"/>
  <c r="F6959" i="2"/>
  <c r="G6959" i="2"/>
  <c r="H6959" i="2"/>
  <c r="J6959" i="2"/>
  <c r="K6959" i="2"/>
  <c r="L6959" i="2"/>
  <c r="C6960" i="2"/>
  <c r="D6960" i="2"/>
  <c r="F6960" i="2"/>
  <c r="G6960" i="2"/>
  <c r="H6960" i="2"/>
  <c r="J6960" i="2"/>
  <c r="K6960" i="2"/>
  <c r="L6960" i="2"/>
  <c r="C6961" i="2"/>
  <c r="D6961" i="2"/>
  <c r="F6961" i="2"/>
  <c r="G6961" i="2"/>
  <c r="H6961" i="2"/>
  <c r="J6961" i="2"/>
  <c r="K6961" i="2"/>
  <c r="L6961" i="2"/>
  <c r="C6962" i="2"/>
  <c r="D6962" i="2"/>
  <c r="F6962" i="2"/>
  <c r="G6962" i="2"/>
  <c r="H6962" i="2"/>
  <c r="J6962" i="2"/>
  <c r="K6962" i="2"/>
  <c r="L6962" i="2"/>
  <c r="C6963" i="2"/>
  <c r="D6963" i="2"/>
  <c r="F6963" i="2"/>
  <c r="G6963" i="2"/>
  <c r="H6963" i="2"/>
  <c r="J6963" i="2"/>
  <c r="K6963" i="2"/>
  <c r="L6963" i="2"/>
  <c r="C6964" i="2"/>
  <c r="D6964" i="2"/>
  <c r="F6964" i="2"/>
  <c r="G6964" i="2"/>
  <c r="H6964" i="2"/>
  <c r="J6964" i="2"/>
  <c r="K6964" i="2"/>
  <c r="L6964" i="2"/>
  <c r="C6965" i="2"/>
  <c r="D6965" i="2"/>
  <c r="F6965" i="2"/>
  <c r="G6965" i="2"/>
  <c r="H6965" i="2"/>
  <c r="J6965" i="2"/>
  <c r="K6965" i="2"/>
  <c r="L6965" i="2"/>
  <c r="C6966" i="2"/>
  <c r="D6966" i="2"/>
  <c r="F6966" i="2"/>
  <c r="G6966" i="2"/>
  <c r="H6966" i="2"/>
  <c r="J6966" i="2"/>
  <c r="K6966" i="2"/>
  <c r="L6966" i="2"/>
  <c r="C6967" i="2"/>
  <c r="D6967" i="2"/>
  <c r="F6967" i="2"/>
  <c r="G6967" i="2"/>
  <c r="H6967" i="2"/>
  <c r="J6967" i="2"/>
  <c r="K6967" i="2"/>
  <c r="L6967" i="2"/>
  <c r="C6968" i="2"/>
  <c r="D6968" i="2"/>
  <c r="F6968" i="2"/>
  <c r="G6968" i="2"/>
  <c r="H6968" i="2"/>
  <c r="J6968" i="2"/>
  <c r="K6968" i="2"/>
  <c r="L6968" i="2"/>
  <c r="C6969" i="2"/>
  <c r="D6969" i="2"/>
  <c r="F6969" i="2"/>
  <c r="G6969" i="2"/>
  <c r="H6969" i="2"/>
  <c r="J6969" i="2"/>
  <c r="K6969" i="2"/>
  <c r="L6969" i="2"/>
  <c r="C6970" i="2"/>
  <c r="D6970" i="2"/>
  <c r="F6970" i="2"/>
  <c r="G6970" i="2"/>
  <c r="H6970" i="2"/>
  <c r="J6970" i="2"/>
  <c r="K6970" i="2"/>
  <c r="L6970" i="2"/>
  <c r="C6971" i="2"/>
  <c r="D6971" i="2"/>
  <c r="F6971" i="2"/>
  <c r="G6971" i="2"/>
  <c r="H6971" i="2"/>
  <c r="J6971" i="2"/>
  <c r="K6971" i="2"/>
  <c r="L6971" i="2"/>
  <c r="C6972" i="2"/>
  <c r="D6972" i="2"/>
  <c r="F6972" i="2"/>
  <c r="G6972" i="2"/>
  <c r="H6972" i="2"/>
  <c r="J6972" i="2"/>
  <c r="K6972" i="2"/>
  <c r="L6972" i="2"/>
  <c r="C6973" i="2"/>
  <c r="D6973" i="2"/>
  <c r="F6973" i="2"/>
  <c r="G6973" i="2"/>
  <c r="H6973" i="2"/>
  <c r="J6973" i="2"/>
  <c r="K6973" i="2"/>
  <c r="L6973" i="2"/>
  <c r="C6974" i="2"/>
  <c r="D6974" i="2"/>
  <c r="F6974" i="2"/>
  <c r="G6974" i="2"/>
  <c r="H6974" i="2"/>
  <c r="J6974" i="2"/>
  <c r="K6974" i="2"/>
  <c r="L6974" i="2"/>
  <c r="C6975" i="2"/>
  <c r="D6975" i="2"/>
  <c r="F6975" i="2"/>
  <c r="G6975" i="2"/>
  <c r="H6975" i="2"/>
  <c r="J6975" i="2"/>
  <c r="K6975" i="2"/>
  <c r="L6975" i="2"/>
  <c r="C6976" i="2"/>
  <c r="D6976" i="2"/>
  <c r="F6976" i="2"/>
  <c r="G6976" i="2"/>
  <c r="H6976" i="2"/>
  <c r="J6976" i="2"/>
  <c r="K6976" i="2"/>
  <c r="L6976" i="2"/>
  <c r="C6977" i="2"/>
  <c r="D6977" i="2"/>
  <c r="F6977" i="2"/>
  <c r="G6977" i="2"/>
  <c r="H6977" i="2"/>
  <c r="J6977" i="2"/>
  <c r="K6977" i="2"/>
  <c r="L6977" i="2"/>
  <c r="C6978" i="2"/>
  <c r="D6978" i="2"/>
  <c r="F6978" i="2"/>
  <c r="G6978" i="2"/>
  <c r="H6978" i="2"/>
  <c r="J6978" i="2"/>
  <c r="K6978" i="2"/>
  <c r="L6978" i="2"/>
  <c r="C6979" i="2"/>
  <c r="D6979" i="2"/>
  <c r="F6979" i="2"/>
  <c r="G6979" i="2"/>
  <c r="H6979" i="2"/>
  <c r="J6979" i="2"/>
  <c r="K6979" i="2"/>
  <c r="L6979" i="2"/>
  <c r="C6980" i="2"/>
  <c r="D6980" i="2"/>
  <c r="F6980" i="2"/>
  <c r="G6980" i="2"/>
  <c r="H6980" i="2"/>
  <c r="J6980" i="2"/>
  <c r="K6980" i="2"/>
  <c r="L6980" i="2"/>
  <c r="C6981" i="2"/>
  <c r="D6981" i="2"/>
  <c r="F6981" i="2"/>
  <c r="G6981" i="2"/>
  <c r="H6981" i="2"/>
  <c r="J6981" i="2"/>
  <c r="K6981" i="2"/>
  <c r="L6981" i="2"/>
  <c r="C6982" i="2"/>
  <c r="D6982" i="2"/>
  <c r="F6982" i="2"/>
  <c r="G6982" i="2"/>
  <c r="H6982" i="2"/>
  <c r="J6982" i="2"/>
  <c r="K6982" i="2"/>
  <c r="L6982" i="2"/>
  <c r="C6983" i="2"/>
  <c r="D6983" i="2"/>
  <c r="F6983" i="2"/>
  <c r="G6983" i="2"/>
  <c r="H6983" i="2"/>
  <c r="J6983" i="2"/>
  <c r="K6983" i="2"/>
  <c r="L6983" i="2"/>
  <c r="C6984" i="2"/>
  <c r="D6984" i="2"/>
  <c r="F6984" i="2"/>
  <c r="G6984" i="2"/>
  <c r="H6984" i="2"/>
  <c r="J6984" i="2"/>
  <c r="K6984" i="2"/>
  <c r="L6984" i="2"/>
  <c r="C6985" i="2"/>
  <c r="D6985" i="2"/>
  <c r="F6985" i="2"/>
  <c r="G6985" i="2"/>
  <c r="H6985" i="2"/>
  <c r="J6985" i="2"/>
  <c r="K6985" i="2"/>
  <c r="L6985" i="2"/>
  <c r="C6986" i="2"/>
  <c r="D6986" i="2"/>
  <c r="F6986" i="2"/>
  <c r="G6986" i="2"/>
  <c r="H6986" i="2"/>
  <c r="J6986" i="2"/>
  <c r="K6986" i="2"/>
  <c r="L6986" i="2"/>
  <c r="C6987" i="2"/>
  <c r="D6987" i="2"/>
  <c r="F6987" i="2"/>
  <c r="G6987" i="2"/>
  <c r="H6987" i="2"/>
  <c r="J6987" i="2"/>
  <c r="K6987" i="2"/>
  <c r="L6987" i="2"/>
  <c r="C6988" i="2"/>
  <c r="D6988" i="2"/>
  <c r="F6988" i="2"/>
  <c r="G6988" i="2"/>
  <c r="H6988" i="2"/>
  <c r="J6988" i="2"/>
  <c r="K6988" i="2"/>
  <c r="L6988" i="2"/>
  <c r="C6989" i="2"/>
  <c r="D6989" i="2"/>
  <c r="F6989" i="2"/>
  <c r="G6989" i="2"/>
  <c r="H6989" i="2"/>
  <c r="J6989" i="2"/>
  <c r="K6989" i="2"/>
  <c r="L6989" i="2"/>
  <c r="C6990" i="2"/>
  <c r="D6990" i="2"/>
  <c r="F6990" i="2"/>
  <c r="G6990" i="2"/>
  <c r="H6990" i="2"/>
  <c r="J6990" i="2"/>
  <c r="K6990" i="2"/>
  <c r="L6990" i="2"/>
  <c r="C6991" i="2"/>
  <c r="D6991" i="2"/>
  <c r="F6991" i="2"/>
  <c r="G6991" i="2"/>
  <c r="H6991" i="2"/>
  <c r="J6991" i="2"/>
  <c r="K6991" i="2"/>
  <c r="L6991" i="2"/>
  <c r="C6992" i="2"/>
  <c r="D6992" i="2"/>
  <c r="F6992" i="2"/>
  <c r="G6992" i="2"/>
  <c r="H6992" i="2"/>
  <c r="J6992" i="2"/>
  <c r="K6992" i="2"/>
  <c r="L6992" i="2"/>
  <c r="C6993" i="2"/>
  <c r="D6993" i="2"/>
  <c r="F6993" i="2"/>
  <c r="G6993" i="2"/>
  <c r="H6993" i="2"/>
  <c r="J6993" i="2"/>
  <c r="K6993" i="2"/>
  <c r="L6993" i="2"/>
  <c r="C6994" i="2"/>
  <c r="D6994" i="2"/>
  <c r="F6994" i="2"/>
  <c r="G6994" i="2"/>
  <c r="H6994" i="2"/>
  <c r="J6994" i="2"/>
  <c r="K6994" i="2"/>
  <c r="L6994" i="2"/>
  <c r="C6995" i="2"/>
  <c r="D6995" i="2"/>
  <c r="F6995" i="2"/>
  <c r="G6995" i="2"/>
  <c r="H6995" i="2"/>
  <c r="J6995" i="2"/>
  <c r="K6995" i="2"/>
  <c r="L6995" i="2"/>
  <c r="C6996" i="2"/>
  <c r="D6996" i="2"/>
  <c r="F6996" i="2"/>
  <c r="G6996" i="2"/>
  <c r="H6996" i="2"/>
  <c r="J6996" i="2"/>
  <c r="K6996" i="2"/>
  <c r="L6996" i="2"/>
  <c r="C6997" i="2"/>
  <c r="D6997" i="2"/>
  <c r="F6997" i="2"/>
  <c r="G6997" i="2"/>
  <c r="H6997" i="2"/>
  <c r="J6997" i="2"/>
  <c r="K6997" i="2"/>
  <c r="L6997" i="2"/>
  <c r="C6998" i="2"/>
  <c r="D6998" i="2"/>
  <c r="F6998" i="2"/>
  <c r="G6998" i="2"/>
  <c r="H6998" i="2"/>
  <c r="J6998" i="2"/>
  <c r="K6998" i="2"/>
  <c r="L6998" i="2"/>
  <c r="C6999" i="2"/>
  <c r="D6999" i="2"/>
  <c r="F6999" i="2"/>
  <c r="G6999" i="2"/>
  <c r="H6999" i="2"/>
  <c r="J6999" i="2"/>
  <c r="K6999" i="2"/>
  <c r="L6999" i="2"/>
  <c r="C7000" i="2"/>
  <c r="D7000" i="2"/>
  <c r="F7000" i="2"/>
  <c r="G7000" i="2"/>
  <c r="H7000" i="2"/>
  <c r="J7000" i="2"/>
  <c r="K7000" i="2"/>
  <c r="L7000" i="2"/>
  <c r="C7001" i="2"/>
  <c r="D7001" i="2"/>
  <c r="F7001" i="2"/>
  <c r="G7001" i="2"/>
  <c r="H7001" i="2"/>
  <c r="J7001" i="2"/>
  <c r="K7001" i="2"/>
  <c r="L7001" i="2"/>
  <c r="C7002" i="2"/>
  <c r="D7002" i="2"/>
  <c r="F7002" i="2"/>
  <c r="G7002" i="2"/>
  <c r="H7002" i="2"/>
  <c r="J7002" i="2"/>
  <c r="K7002" i="2"/>
  <c r="L7002" i="2"/>
  <c r="C7003" i="2"/>
  <c r="D7003" i="2"/>
  <c r="F7003" i="2"/>
  <c r="G7003" i="2"/>
  <c r="H7003" i="2"/>
  <c r="J7003" i="2"/>
  <c r="K7003" i="2"/>
  <c r="L7003" i="2"/>
  <c r="C7004" i="2"/>
  <c r="D7004" i="2"/>
  <c r="F7004" i="2"/>
  <c r="G7004" i="2"/>
  <c r="H7004" i="2"/>
  <c r="J7004" i="2"/>
  <c r="K7004" i="2"/>
  <c r="L7004" i="2"/>
  <c r="C7005" i="2"/>
  <c r="D7005" i="2"/>
  <c r="F7005" i="2"/>
  <c r="G7005" i="2"/>
  <c r="H7005" i="2"/>
  <c r="J7005" i="2"/>
  <c r="K7005" i="2"/>
  <c r="L7005" i="2"/>
  <c r="C7006" i="2"/>
  <c r="D7006" i="2"/>
  <c r="F7006" i="2"/>
  <c r="G7006" i="2"/>
  <c r="H7006" i="2"/>
  <c r="J7006" i="2"/>
  <c r="K7006" i="2"/>
  <c r="L7006" i="2"/>
  <c r="C7007" i="2"/>
  <c r="D7007" i="2"/>
  <c r="F7007" i="2"/>
  <c r="G7007" i="2"/>
  <c r="H7007" i="2"/>
  <c r="J7007" i="2"/>
  <c r="K7007" i="2"/>
  <c r="L7007" i="2"/>
  <c r="C7008" i="2"/>
  <c r="D7008" i="2"/>
  <c r="F7008" i="2"/>
  <c r="G7008" i="2"/>
  <c r="H7008" i="2"/>
  <c r="J7008" i="2"/>
  <c r="K7008" i="2"/>
  <c r="L7008" i="2"/>
  <c r="C7009" i="2"/>
  <c r="D7009" i="2"/>
  <c r="F7009" i="2"/>
  <c r="G7009" i="2"/>
  <c r="H7009" i="2"/>
  <c r="J7009" i="2"/>
  <c r="K7009" i="2"/>
  <c r="L7009" i="2"/>
  <c r="C7010" i="2"/>
  <c r="D7010" i="2"/>
  <c r="F7010" i="2"/>
  <c r="G7010" i="2"/>
  <c r="H7010" i="2"/>
  <c r="J7010" i="2"/>
  <c r="K7010" i="2"/>
  <c r="L7010" i="2"/>
  <c r="C7011" i="2"/>
  <c r="D7011" i="2"/>
  <c r="F7011" i="2"/>
  <c r="G7011" i="2"/>
  <c r="H7011" i="2"/>
  <c r="J7011" i="2"/>
  <c r="K7011" i="2"/>
  <c r="L7011" i="2"/>
  <c r="C7012" i="2"/>
  <c r="D7012" i="2"/>
  <c r="F7012" i="2"/>
  <c r="G7012" i="2"/>
  <c r="H7012" i="2"/>
  <c r="J7012" i="2"/>
  <c r="K7012" i="2"/>
  <c r="L7012" i="2"/>
  <c r="C7013" i="2"/>
  <c r="D7013" i="2"/>
  <c r="F7013" i="2"/>
  <c r="G7013" i="2"/>
  <c r="H7013" i="2"/>
  <c r="J7013" i="2"/>
  <c r="K7013" i="2"/>
  <c r="L7013" i="2"/>
  <c r="C7014" i="2"/>
  <c r="D7014" i="2"/>
  <c r="F7014" i="2"/>
  <c r="G7014" i="2"/>
  <c r="H7014" i="2"/>
  <c r="J7014" i="2"/>
  <c r="K7014" i="2"/>
  <c r="L7014" i="2"/>
  <c r="C7015" i="2"/>
  <c r="D7015" i="2"/>
  <c r="F7015" i="2"/>
  <c r="G7015" i="2"/>
  <c r="H7015" i="2"/>
  <c r="J7015" i="2"/>
  <c r="K7015" i="2"/>
  <c r="L7015" i="2"/>
  <c r="C7016" i="2"/>
  <c r="D7016" i="2"/>
  <c r="F7016" i="2"/>
  <c r="G7016" i="2"/>
  <c r="H7016" i="2"/>
  <c r="J7016" i="2"/>
  <c r="K7016" i="2"/>
  <c r="L7016" i="2"/>
  <c r="C7017" i="2"/>
  <c r="D7017" i="2"/>
  <c r="F7017" i="2"/>
  <c r="G7017" i="2"/>
  <c r="H7017" i="2"/>
  <c r="J7017" i="2"/>
  <c r="K7017" i="2"/>
  <c r="L7017" i="2"/>
  <c r="C7018" i="2"/>
  <c r="D7018" i="2"/>
  <c r="F7018" i="2"/>
  <c r="G7018" i="2"/>
  <c r="H7018" i="2"/>
  <c r="J7018" i="2"/>
  <c r="K7018" i="2"/>
  <c r="L7018" i="2"/>
  <c r="C7019" i="2"/>
  <c r="D7019" i="2"/>
  <c r="F7019" i="2"/>
  <c r="G7019" i="2"/>
  <c r="H7019" i="2"/>
  <c r="J7019" i="2"/>
  <c r="K7019" i="2"/>
  <c r="L7019" i="2"/>
  <c r="C7020" i="2"/>
  <c r="D7020" i="2"/>
  <c r="F7020" i="2"/>
  <c r="G7020" i="2"/>
  <c r="H7020" i="2"/>
  <c r="J7020" i="2"/>
  <c r="K7020" i="2"/>
  <c r="L7020" i="2"/>
  <c r="C7021" i="2"/>
  <c r="D7021" i="2"/>
  <c r="F7021" i="2"/>
  <c r="G7021" i="2"/>
  <c r="H7021" i="2"/>
  <c r="J7021" i="2"/>
  <c r="K7021" i="2"/>
  <c r="L7021" i="2"/>
  <c r="C7022" i="2"/>
  <c r="D7022" i="2"/>
  <c r="F7022" i="2"/>
  <c r="G7022" i="2"/>
  <c r="H7022" i="2"/>
  <c r="J7022" i="2"/>
  <c r="K7022" i="2"/>
  <c r="L7022" i="2"/>
  <c r="C7023" i="2"/>
  <c r="D7023" i="2"/>
  <c r="F7023" i="2"/>
  <c r="G7023" i="2"/>
  <c r="H7023" i="2"/>
  <c r="J7023" i="2"/>
  <c r="K7023" i="2"/>
  <c r="L7023" i="2"/>
  <c r="C7024" i="2"/>
  <c r="D7024" i="2"/>
  <c r="F7024" i="2"/>
  <c r="G7024" i="2"/>
  <c r="H7024" i="2"/>
  <c r="J7024" i="2"/>
  <c r="K7024" i="2"/>
  <c r="L7024" i="2"/>
  <c r="C7025" i="2"/>
  <c r="D7025" i="2"/>
  <c r="F7025" i="2"/>
  <c r="G7025" i="2"/>
  <c r="H7025" i="2"/>
  <c r="J7025" i="2"/>
  <c r="K7025" i="2"/>
  <c r="L7025" i="2"/>
  <c r="C7026" i="2"/>
  <c r="D7026" i="2"/>
  <c r="F7026" i="2"/>
  <c r="G7026" i="2"/>
  <c r="H7026" i="2"/>
  <c r="J7026" i="2"/>
  <c r="K7026" i="2"/>
  <c r="L7026" i="2"/>
  <c r="C7027" i="2"/>
  <c r="D7027" i="2"/>
  <c r="F7027" i="2"/>
  <c r="G7027" i="2"/>
  <c r="H7027" i="2"/>
  <c r="J7027" i="2"/>
  <c r="K7027" i="2"/>
  <c r="L7027" i="2"/>
  <c r="C7028" i="2"/>
  <c r="D7028" i="2"/>
  <c r="F7028" i="2"/>
  <c r="G7028" i="2"/>
  <c r="H7028" i="2"/>
  <c r="J7028" i="2"/>
  <c r="K7028" i="2"/>
  <c r="L7028" i="2"/>
  <c r="C7029" i="2"/>
  <c r="D7029" i="2"/>
  <c r="F7029" i="2"/>
  <c r="G7029" i="2"/>
  <c r="H7029" i="2"/>
  <c r="J7029" i="2"/>
  <c r="K7029" i="2"/>
  <c r="L7029" i="2"/>
  <c r="C7030" i="2"/>
  <c r="D7030" i="2"/>
  <c r="F7030" i="2"/>
  <c r="G7030" i="2"/>
  <c r="H7030" i="2"/>
  <c r="J7030" i="2"/>
  <c r="K7030" i="2"/>
  <c r="L7030" i="2"/>
  <c r="C7031" i="2"/>
  <c r="D7031" i="2"/>
  <c r="F7031" i="2"/>
  <c r="G7031" i="2"/>
  <c r="H7031" i="2"/>
  <c r="J7031" i="2"/>
  <c r="K7031" i="2"/>
  <c r="L7031" i="2"/>
  <c r="C7032" i="2"/>
  <c r="D7032" i="2"/>
  <c r="F7032" i="2"/>
  <c r="G7032" i="2"/>
  <c r="H7032" i="2"/>
  <c r="J7032" i="2"/>
  <c r="K7032" i="2"/>
  <c r="L7032" i="2"/>
  <c r="C7033" i="2"/>
  <c r="D7033" i="2"/>
  <c r="F7033" i="2"/>
  <c r="G7033" i="2"/>
  <c r="H7033" i="2"/>
  <c r="J7033" i="2"/>
  <c r="K7033" i="2"/>
  <c r="L7033" i="2"/>
  <c r="C7034" i="2"/>
  <c r="D7034" i="2"/>
  <c r="F7034" i="2"/>
  <c r="G7034" i="2"/>
  <c r="H7034" i="2"/>
  <c r="J7034" i="2"/>
  <c r="K7034" i="2"/>
  <c r="L7034" i="2"/>
  <c r="C7035" i="2"/>
  <c r="D7035" i="2"/>
  <c r="F7035" i="2"/>
  <c r="G7035" i="2"/>
  <c r="H7035" i="2"/>
  <c r="J7035" i="2"/>
  <c r="K7035" i="2"/>
  <c r="L7035" i="2"/>
  <c r="C7036" i="2"/>
  <c r="D7036" i="2"/>
  <c r="F7036" i="2"/>
  <c r="G7036" i="2"/>
  <c r="H7036" i="2"/>
  <c r="J7036" i="2"/>
  <c r="K7036" i="2"/>
  <c r="L7036" i="2"/>
  <c r="C7037" i="2"/>
  <c r="D7037" i="2"/>
  <c r="F7037" i="2"/>
  <c r="G7037" i="2"/>
  <c r="H7037" i="2"/>
  <c r="J7037" i="2"/>
  <c r="K7037" i="2"/>
  <c r="L7037" i="2"/>
  <c r="C7038" i="2"/>
  <c r="D7038" i="2"/>
  <c r="F7038" i="2"/>
  <c r="G7038" i="2"/>
  <c r="H7038" i="2"/>
  <c r="J7038" i="2"/>
  <c r="K7038" i="2"/>
  <c r="L7038" i="2"/>
  <c r="C7039" i="2"/>
  <c r="D7039" i="2"/>
  <c r="F7039" i="2"/>
  <c r="G7039" i="2"/>
  <c r="H7039" i="2"/>
  <c r="J7039" i="2"/>
  <c r="K7039" i="2"/>
  <c r="L7039" i="2"/>
  <c r="C7040" i="2"/>
  <c r="D7040" i="2"/>
  <c r="F7040" i="2"/>
  <c r="G7040" i="2"/>
  <c r="H7040" i="2"/>
  <c r="J7040" i="2"/>
  <c r="K7040" i="2"/>
  <c r="L7040" i="2"/>
  <c r="C7041" i="2"/>
  <c r="D7041" i="2"/>
  <c r="F7041" i="2"/>
  <c r="G7041" i="2"/>
  <c r="H7041" i="2"/>
  <c r="J7041" i="2"/>
  <c r="K7041" i="2"/>
  <c r="L7041" i="2"/>
  <c r="C7042" i="2"/>
  <c r="D7042" i="2"/>
  <c r="F7042" i="2"/>
  <c r="G7042" i="2"/>
  <c r="H7042" i="2"/>
  <c r="J7042" i="2"/>
  <c r="K7042" i="2"/>
  <c r="L7042" i="2"/>
  <c r="C7043" i="2"/>
  <c r="D7043" i="2"/>
  <c r="E7043" i="2"/>
  <c r="F7043" i="2"/>
  <c r="G7043" i="2"/>
  <c r="H7043" i="2"/>
  <c r="J7043" i="2"/>
  <c r="K7043" i="2"/>
  <c r="L7043" i="2"/>
  <c r="C7044" i="2"/>
  <c r="D7044" i="2"/>
  <c r="F7044" i="2"/>
  <c r="G7044" i="2"/>
  <c r="H7044" i="2"/>
  <c r="J7044" i="2"/>
  <c r="K7044" i="2"/>
  <c r="L7044" i="2"/>
  <c r="C7045" i="2"/>
  <c r="D7045" i="2"/>
  <c r="F7045" i="2"/>
  <c r="G7045" i="2"/>
  <c r="H7045" i="2"/>
  <c r="J7045" i="2"/>
  <c r="K7045" i="2"/>
  <c r="L7045" i="2"/>
  <c r="C7046" i="2"/>
  <c r="D7046" i="2"/>
  <c r="F7046" i="2"/>
  <c r="G7046" i="2"/>
  <c r="H7046" i="2"/>
  <c r="J7046" i="2"/>
  <c r="K7046" i="2"/>
  <c r="L7046" i="2"/>
  <c r="C7047" i="2"/>
  <c r="D7047" i="2"/>
  <c r="F7047" i="2"/>
  <c r="G7047" i="2"/>
  <c r="H7047" i="2"/>
  <c r="J7047" i="2"/>
  <c r="K7047" i="2"/>
  <c r="L7047" i="2"/>
  <c r="C7048" i="2"/>
  <c r="D7048" i="2"/>
  <c r="F7048" i="2"/>
  <c r="G7048" i="2"/>
  <c r="H7048" i="2"/>
  <c r="J7048" i="2"/>
  <c r="K7048" i="2"/>
  <c r="L7048" i="2"/>
  <c r="C7049" i="2"/>
  <c r="D7049" i="2"/>
  <c r="F7049" i="2"/>
  <c r="G7049" i="2"/>
  <c r="H7049" i="2"/>
  <c r="J7049" i="2"/>
  <c r="K7049" i="2"/>
  <c r="L7049" i="2"/>
  <c r="C7050" i="2"/>
  <c r="D7050" i="2"/>
  <c r="F7050" i="2"/>
  <c r="G7050" i="2"/>
  <c r="H7050" i="2"/>
  <c r="J7050" i="2"/>
  <c r="K7050" i="2"/>
  <c r="L7050" i="2"/>
  <c r="C7051" i="2"/>
  <c r="D7051" i="2"/>
  <c r="F7051" i="2"/>
  <c r="G7051" i="2"/>
  <c r="H7051" i="2"/>
  <c r="J7051" i="2"/>
  <c r="K7051" i="2"/>
  <c r="L7051" i="2"/>
  <c r="C7052" i="2"/>
  <c r="D7052" i="2"/>
  <c r="F7052" i="2"/>
  <c r="G7052" i="2"/>
  <c r="H7052" i="2"/>
  <c r="J7052" i="2"/>
  <c r="K7052" i="2"/>
  <c r="L7052" i="2"/>
  <c r="C7053" i="2"/>
  <c r="D7053" i="2"/>
  <c r="F7053" i="2"/>
  <c r="G7053" i="2"/>
  <c r="H7053" i="2"/>
  <c r="J7053" i="2"/>
  <c r="K7053" i="2"/>
  <c r="L7053" i="2"/>
  <c r="C7054" i="2"/>
  <c r="D7054" i="2"/>
  <c r="F7054" i="2"/>
  <c r="G7054" i="2"/>
  <c r="H7054" i="2"/>
  <c r="J7054" i="2"/>
  <c r="K7054" i="2"/>
  <c r="L7054" i="2"/>
  <c r="C7055" i="2"/>
  <c r="D7055" i="2"/>
  <c r="F7055" i="2"/>
  <c r="G7055" i="2"/>
  <c r="H7055" i="2"/>
  <c r="J7055" i="2"/>
  <c r="K7055" i="2"/>
  <c r="L7055" i="2"/>
  <c r="C7056" i="2"/>
  <c r="D7056" i="2"/>
  <c r="F7056" i="2"/>
  <c r="G7056" i="2"/>
  <c r="H7056" i="2"/>
  <c r="J7056" i="2"/>
  <c r="K7056" i="2"/>
  <c r="L7056" i="2"/>
  <c r="C7057" i="2"/>
  <c r="D7057" i="2"/>
  <c r="F7057" i="2"/>
  <c r="G7057" i="2"/>
  <c r="H7057" i="2"/>
  <c r="J7057" i="2"/>
  <c r="K7057" i="2"/>
  <c r="L7057" i="2"/>
  <c r="C7058" i="2"/>
  <c r="D7058" i="2"/>
  <c r="F7058" i="2"/>
  <c r="G7058" i="2"/>
  <c r="H7058" i="2"/>
  <c r="J7058" i="2"/>
  <c r="K7058" i="2"/>
  <c r="L7058" i="2"/>
  <c r="C7059" i="2"/>
  <c r="D7059" i="2"/>
  <c r="F7059" i="2"/>
  <c r="G7059" i="2"/>
  <c r="H7059" i="2"/>
  <c r="J7059" i="2"/>
  <c r="K7059" i="2"/>
  <c r="L7059" i="2"/>
  <c r="C7060" i="2"/>
  <c r="D7060" i="2"/>
  <c r="F7060" i="2"/>
  <c r="G7060" i="2"/>
  <c r="H7060" i="2"/>
  <c r="J7060" i="2"/>
  <c r="K7060" i="2"/>
  <c r="L7060" i="2"/>
  <c r="C7061" i="2"/>
  <c r="D7061" i="2"/>
  <c r="F7061" i="2"/>
  <c r="G7061" i="2"/>
  <c r="H7061" i="2"/>
  <c r="J7061" i="2"/>
  <c r="K7061" i="2"/>
  <c r="L7061" i="2"/>
  <c r="C7062" i="2"/>
  <c r="D7062" i="2"/>
  <c r="F7062" i="2"/>
  <c r="G7062" i="2"/>
  <c r="H7062" i="2"/>
  <c r="J7062" i="2"/>
  <c r="K7062" i="2"/>
  <c r="L7062" i="2"/>
  <c r="C7063" i="2"/>
  <c r="D7063" i="2"/>
  <c r="F7063" i="2"/>
  <c r="G7063" i="2"/>
  <c r="H7063" i="2"/>
  <c r="J7063" i="2"/>
  <c r="K7063" i="2"/>
  <c r="L7063" i="2"/>
  <c r="C7064" i="2"/>
  <c r="D7064" i="2"/>
  <c r="F7064" i="2"/>
  <c r="G7064" i="2"/>
  <c r="H7064" i="2"/>
  <c r="J7064" i="2"/>
  <c r="K7064" i="2"/>
  <c r="L7064" i="2"/>
  <c r="C7065" i="2"/>
  <c r="D7065" i="2"/>
  <c r="F7065" i="2"/>
  <c r="G7065" i="2"/>
  <c r="H7065" i="2"/>
  <c r="J7065" i="2"/>
  <c r="K7065" i="2"/>
  <c r="L7065" i="2"/>
  <c r="C7066" i="2"/>
  <c r="D7066" i="2"/>
  <c r="F7066" i="2"/>
  <c r="G7066" i="2"/>
  <c r="H7066" i="2"/>
  <c r="J7066" i="2"/>
  <c r="K7066" i="2"/>
  <c r="L7066" i="2"/>
  <c r="C7067" i="2"/>
  <c r="D7067" i="2"/>
  <c r="F7067" i="2"/>
  <c r="G7067" i="2"/>
  <c r="H7067" i="2"/>
  <c r="J7067" i="2"/>
  <c r="K7067" i="2"/>
  <c r="L7067" i="2"/>
  <c r="C7068" i="2"/>
  <c r="D7068" i="2"/>
  <c r="F7068" i="2"/>
  <c r="G7068" i="2"/>
  <c r="H7068" i="2"/>
  <c r="J7068" i="2"/>
  <c r="K7068" i="2"/>
  <c r="L7068" i="2"/>
  <c r="C7069" i="2"/>
  <c r="D7069" i="2"/>
  <c r="F7069" i="2"/>
  <c r="G7069" i="2"/>
  <c r="H7069" i="2"/>
  <c r="J7069" i="2"/>
  <c r="K7069" i="2"/>
  <c r="L7069" i="2"/>
  <c r="C7070" i="2"/>
  <c r="D7070" i="2"/>
  <c r="F7070" i="2"/>
  <c r="G7070" i="2"/>
  <c r="H7070" i="2"/>
  <c r="J7070" i="2"/>
  <c r="K7070" i="2"/>
  <c r="L7070" i="2"/>
  <c r="C7071" i="2"/>
  <c r="D7071" i="2"/>
  <c r="F7071" i="2"/>
  <c r="G7071" i="2"/>
  <c r="H7071" i="2"/>
  <c r="J7071" i="2"/>
  <c r="K7071" i="2"/>
  <c r="L7071" i="2"/>
  <c r="C7072" i="2"/>
  <c r="D7072" i="2"/>
  <c r="F7072" i="2"/>
  <c r="G7072" i="2"/>
  <c r="H7072" i="2"/>
  <c r="J7072" i="2"/>
  <c r="K7072" i="2"/>
  <c r="L7072" i="2"/>
  <c r="C7073" i="2"/>
  <c r="D7073" i="2"/>
  <c r="F7073" i="2"/>
  <c r="G7073" i="2"/>
  <c r="H7073" i="2"/>
  <c r="J7073" i="2"/>
  <c r="K7073" i="2"/>
  <c r="L7073" i="2"/>
  <c r="C7074" i="2"/>
  <c r="D7074" i="2"/>
  <c r="F7074" i="2"/>
  <c r="G7074" i="2"/>
  <c r="H7074" i="2"/>
  <c r="J7074" i="2"/>
  <c r="K7074" i="2"/>
  <c r="L7074" i="2"/>
  <c r="C7075" i="2"/>
  <c r="D7075" i="2"/>
  <c r="F7075" i="2"/>
  <c r="G7075" i="2"/>
  <c r="H7075" i="2"/>
  <c r="J7075" i="2"/>
  <c r="K7075" i="2"/>
  <c r="L7075" i="2"/>
  <c r="C7076" i="2"/>
  <c r="D7076" i="2"/>
  <c r="F7076" i="2"/>
  <c r="G7076" i="2"/>
  <c r="H7076" i="2"/>
  <c r="J7076" i="2"/>
  <c r="K7076" i="2"/>
  <c r="L7076" i="2"/>
  <c r="C7077" i="2"/>
  <c r="D7077" i="2"/>
  <c r="F7077" i="2"/>
  <c r="G7077" i="2"/>
  <c r="H7077" i="2"/>
  <c r="J7077" i="2"/>
  <c r="K7077" i="2"/>
  <c r="L7077" i="2"/>
  <c r="C7078" i="2"/>
  <c r="D7078" i="2"/>
  <c r="F7078" i="2"/>
  <c r="G7078" i="2"/>
  <c r="H7078" i="2"/>
  <c r="J7078" i="2"/>
  <c r="K7078" i="2"/>
  <c r="L7078" i="2"/>
  <c r="C7079" i="2"/>
  <c r="D7079" i="2"/>
  <c r="F7079" i="2"/>
  <c r="G7079" i="2"/>
  <c r="H7079" i="2"/>
  <c r="J7079" i="2"/>
  <c r="K7079" i="2"/>
  <c r="L7079" i="2"/>
  <c r="C7080" i="2"/>
  <c r="D7080" i="2"/>
  <c r="F7080" i="2"/>
  <c r="G7080" i="2"/>
  <c r="H7080" i="2"/>
  <c r="J7080" i="2"/>
  <c r="K7080" i="2"/>
  <c r="L7080" i="2"/>
  <c r="C7081" i="2"/>
  <c r="D7081" i="2"/>
  <c r="F7081" i="2"/>
  <c r="G7081" i="2"/>
  <c r="H7081" i="2"/>
  <c r="J7081" i="2"/>
  <c r="K7081" i="2"/>
  <c r="L7081" i="2"/>
  <c r="C7082" i="2"/>
  <c r="D7082" i="2"/>
  <c r="F7082" i="2"/>
  <c r="G7082" i="2"/>
  <c r="H7082" i="2"/>
  <c r="J7082" i="2"/>
  <c r="K7082" i="2"/>
  <c r="L7082" i="2"/>
  <c r="C7083" i="2"/>
  <c r="D7083" i="2"/>
  <c r="F7083" i="2"/>
  <c r="G7083" i="2"/>
  <c r="H7083" i="2"/>
  <c r="J7083" i="2"/>
  <c r="K7083" i="2"/>
  <c r="L7083" i="2"/>
  <c r="C7084" i="2"/>
  <c r="D7084" i="2"/>
  <c r="F7084" i="2"/>
  <c r="G7084" i="2"/>
  <c r="H7084" i="2"/>
  <c r="J7084" i="2"/>
  <c r="K7084" i="2"/>
  <c r="L7084" i="2"/>
  <c r="C7085" i="2"/>
  <c r="D7085" i="2"/>
  <c r="F7085" i="2"/>
  <c r="G7085" i="2"/>
  <c r="H7085" i="2"/>
  <c r="J7085" i="2"/>
  <c r="K7085" i="2"/>
  <c r="L7085" i="2"/>
  <c r="C7086" i="2"/>
  <c r="D7086" i="2"/>
  <c r="F7086" i="2"/>
  <c r="G7086" i="2"/>
  <c r="H7086" i="2"/>
  <c r="J7086" i="2"/>
  <c r="K7086" i="2"/>
  <c r="L7086" i="2"/>
  <c r="C7087" i="2"/>
  <c r="D7087" i="2"/>
  <c r="F7087" i="2"/>
  <c r="G7087" i="2"/>
  <c r="H7087" i="2"/>
  <c r="J7087" i="2"/>
  <c r="K7087" i="2"/>
  <c r="L7087" i="2"/>
  <c r="C7088" i="2"/>
  <c r="D7088" i="2"/>
  <c r="F7088" i="2"/>
  <c r="G7088" i="2"/>
  <c r="H7088" i="2"/>
  <c r="J7088" i="2"/>
  <c r="K7088" i="2"/>
  <c r="L7088" i="2"/>
  <c r="C7089" i="2"/>
  <c r="D7089" i="2"/>
  <c r="F7089" i="2"/>
  <c r="G7089" i="2"/>
  <c r="H7089" i="2"/>
  <c r="J7089" i="2"/>
  <c r="K7089" i="2"/>
  <c r="L7089" i="2"/>
  <c r="C7090" i="2"/>
  <c r="D7090" i="2"/>
  <c r="F7090" i="2"/>
  <c r="G7090" i="2"/>
  <c r="H7090" i="2"/>
  <c r="J7090" i="2"/>
  <c r="K7090" i="2"/>
  <c r="L7090" i="2"/>
  <c r="C7091" i="2"/>
  <c r="D7091" i="2"/>
  <c r="F7091" i="2"/>
  <c r="G7091" i="2"/>
  <c r="H7091" i="2"/>
  <c r="J7091" i="2"/>
  <c r="K7091" i="2"/>
  <c r="L7091" i="2"/>
  <c r="C7092" i="2"/>
  <c r="D7092" i="2"/>
  <c r="F7092" i="2"/>
  <c r="G7092" i="2"/>
  <c r="H7092" i="2"/>
  <c r="J7092" i="2"/>
  <c r="K7092" i="2"/>
  <c r="L7092" i="2"/>
  <c r="C7093" i="2"/>
  <c r="D7093" i="2"/>
  <c r="F7093" i="2"/>
  <c r="G7093" i="2"/>
  <c r="H7093" i="2"/>
  <c r="J7093" i="2"/>
  <c r="K7093" i="2"/>
  <c r="L7093" i="2"/>
  <c r="C7094" i="2"/>
  <c r="D7094" i="2"/>
  <c r="F7094" i="2"/>
  <c r="G7094" i="2"/>
  <c r="H7094" i="2"/>
  <c r="J7094" i="2"/>
  <c r="K7094" i="2"/>
  <c r="L7094" i="2"/>
  <c r="C7095" i="2"/>
  <c r="D7095" i="2"/>
  <c r="F7095" i="2"/>
  <c r="G7095" i="2"/>
  <c r="H7095" i="2"/>
  <c r="J7095" i="2"/>
  <c r="K7095" i="2"/>
  <c r="L7095" i="2"/>
  <c r="C7096" i="2"/>
  <c r="D7096" i="2"/>
  <c r="F7096" i="2"/>
  <c r="G7096" i="2"/>
  <c r="H7096" i="2"/>
  <c r="J7096" i="2"/>
  <c r="K7096" i="2"/>
  <c r="L7096" i="2"/>
  <c r="C7097" i="2"/>
  <c r="D7097" i="2"/>
  <c r="F7097" i="2"/>
  <c r="G7097" i="2"/>
  <c r="H7097" i="2"/>
  <c r="J7097" i="2"/>
  <c r="K7097" i="2"/>
  <c r="L7097" i="2"/>
  <c r="C7098" i="2"/>
  <c r="D7098" i="2"/>
  <c r="F7098" i="2"/>
  <c r="G7098" i="2"/>
  <c r="H7098" i="2"/>
  <c r="J7098" i="2"/>
  <c r="K7098" i="2"/>
  <c r="L7098" i="2"/>
  <c r="C7099" i="2"/>
  <c r="D7099" i="2"/>
  <c r="F7099" i="2"/>
  <c r="G7099" i="2"/>
  <c r="H7099" i="2"/>
  <c r="J7099" i="2"/>
  <c r="K7099" i="2"/>
  <c r="L7099" i="2"/>
  <c r="C7100" i="2"/>
  <c r="D7100" i="2"/>
  <c r="F7100" i="2"/>
  <c r="G7100" i="2"/>
  <c r="H7100" i="2"/>
  <c r="J7100" i="2"/>
  <c r="K7100" i="2"/>
  <c r="L7100" i="2"/>
  <c r="C7101" i="2"/>
  <c r="D7101" i="2"/>
  <c r="F7101" i="2"/>
  <c r="G7101" i="2"/>
  <c r="H7101" i="2"/>
  <c r="J7101" i="2"/>
  <c r="K7101" i="2"/>
  <c r="L7101" i="2"/>
  <c r="C7102" i="2"/>
  <c r="D7102" i="2"/>
  <c r="F7102" i="2"/>
  <c r="G7102" i="2"/>
  <c r="H7102" i="2"/>
  <c r="J7102" i="2"/>
  <c r="K7102" i="2"/>
  <c r="L7102" i="2"/>
  <c r="C7103" i="2"/>
  <c r="D7103" i="2"/>
  <c r="F7103" i="2"/>
  <c r="G7103" i="2"/>
  <c r="H7103" i="2"/>
  <c r="J7103" i="2"/>
  <c r="K7103" i="2"/>
  <c r="L7103" i="2"/>
  <c r="C7104" i="2"/>
  <c r="D7104" i="2"/>
  <c r="F7104" i="2"/>
  <c r="G7104" i="2"/>
  <c r="H7104" i="2"/>
  <c r="J7104" i="2"/>
  <c r="K7104" i="2"/>
  <c r="L7104" i="2"/>
  <c r="C7105" i="2"/>
  <c r="D7105" i="2"/>
  <c r="F7105" i="2"/>
  <c r="G7105" i="2"/>
  <c r="H7105" i="2"/>
  <c r="J7105" i="2"/>
  <c r="K7105" i="2"/>
  <c r="L7105" i="2"/>
  <c r="C7106" i="2"/>
  <c r="D7106" i="2"/>
  <c r="F7106" i="2"/>
  <c r="G7106" i="2"/>
  <c r="H7106" i="2"/>
  <c r="J7106" i="2"/>
  <c r="K7106" i="2"/>
  <c r="L7106" i="2"/>
  <c r="C7107" i="2"/>
  <c r="D7107" i="2"/>
  <c r="F7107" i="2"/>
  <c r="G7107" i="2"/>
  <c r="H7107" i="2"/>
  <c r="J7107" i="2"/>
  <c r="K7107" i="2"/>
  <c r="L7107" i="2"/>
  <c r="C7108" i="2"/>
  <c r="D7108" i="2"/>
  <c r="F7108" i="2"/>
  <c r="G7108" i="2"/>
  <c r="H7108" i="2"/>
  <c r="J7108" i="2"/>
  <c r="K7108" i="2"/>
  <c r="L7108" i="2"/>
  <c r="C7109" i="2"/>
  <c r="D7109" i="2"/>
  <c r="F7109" i="2"/>
  <c r="G7109" i="2"/>
  <c r="H7109" i="2"/>
  <c r="J7109" i="2"/>
  <c r="K7109" i="2"/>
  <c r="L7109" i="2"/>
  <c r="C7110" i="2"/>
  <c r="D7110" i="2"/>
  <c r="F7110" i="2"/>
  <c r="G7110" i="2"/>
  <c r="H7110" i="2"/>
  <c r="J7110" i="2"/>
  <c r="K7110" i="2"/>
  <c r="L7110" i="2"/>
  <c r="C7111" i="2"/>
  <c r="D7111" i="2"/>
  <c r="F7111" i="2"/>
  <c r="G7111" i="2"/>
  <c r="H7111" i="2"/>
  <c r="J7111" i="2"/>
  <c r="K7111" i="2"/>
  <c r="L7111" i="2"/>
  <c r="C7112" i="2"/>
  <c r="D7112" i="2"/>
  <c r="F7112" i="2"/>
  <c r="G7112" i="2"/>
  <c r="H7112" i="2"/>
  <c r="J7112" i="2"/>
  <c r="K7112" i="2"/>
  <c r="L7112" i="2"/>
  <c r="C7113" i="2"/>
  <c r="D7113" i="2"/>
  <c r="F7113" i="2"/>
  <c r="G7113" i="2"/>
  <c r="H7113" i="2"/>
  <c r="J7113" i="2"/>
  <c r="K7113" i="2"/>
  <c r="L7113" i="2"/>
  <c r="C7114" i="2"/>
  <c r="D7114" i="2"/>
  <c r="F7114" i="2"/>
  <c r="G7114" i="2"/>
  <c r="H7114" i="2"/>
  <c r="J7114" i="2"/>
  <c r="K7114" i="2"/>
  <c r="L7114" i="2"/>
  <c r="C7115" i="2"/>
  <c r="D7115" i="2"/>
  <c r="F7115" i="2"/>
  <c r="G7115" i="2"/>
  <c r="H7115" i="2"/>
  <c r="J7115" i="2"/>
  <c r="K7115" i="2"/>
  <c r="L7115" i="2"/>
  <c r="C7116" i="2"/>
  <c r="D7116" i="2"/>
  <c r="F7116" i="2"/>
  <c r="G7116" i="2"/>
  <c r="H7116" i="2"/>
  <c r="J7116" i="2"/>
  <c r="K7116" i="2"/>
  <c r="L7116" i="2"/>
  <c r="C7117" i="2"/>
  <c r="D7117" i="2"/>
  <c r="F7117" i="2"/>
  <c r="G7117" i="2"/>
  <c r="H7117" i="2"/>
  <c r="J7117" i="2"/>
  <c r="K7117" i="2"/>
  <c r="L7117" i="2"/>
  <c r="C7118" i="2"/>
  <c r="D7118" i="2"/>
  <c r="F7118" i="2"/>
  <c r="G7118" i="2"/>
  <c r="H7118" i="2"/>
  <c r="J7118" i="2"/>
  <c r="K7118" i="2"/>
  <c r="L7118" i="2"/>
  <c r="C7119" i="2"/>
  <c r="D7119" i="2"/>
  <c r="F7119" i="2"/>
  <c r="G7119" i="2"/>
  <c r="H7119" i="2"/>
  <c r="J7119" i="2"/>
  <c r="K7119" i="2"/>
  <c r="L7119" i="2"/>
  <c r="C7120" i="2"/>
  <c r="D7120" i="2"/>
  <c r="F7120" i="2"/>
  <c r="G7120" i="2"/>
  <c r="H7120" i="2"/>
  <c r="J7120" i="2"/>
  <c r="K7120" i="2"/>
  <c r="L7120" i="2"/>
  <c r="C7121" i="2"/>
  <c r="D7121" i="2"/>
  <c r="F7121" i="2"/>
  <c r="G7121" i="2"/>
  <c r="H7121" i="2"/>
  <c r="J7121" i="2"/>
  <c r="K7121" i="2"/>
  <c r="L7121" i="2"/>
  <c r="C7122" i="2"/>
  <c r="D7122" i="2"/>
  <c r="F7122" i="2"/>
  <c r="G7122" i="2"/>
  <c r="H7122" i="2"/>
  <c r="J7122" i="2"/>
  <c r="K7122" i="2"/>
  <c r="L7122" i="2"/>
  <c r="C7123" i="2"/>
  <c r="D7123" i="2"/>
  <c r="F7123" i="2"/>
  <c r="G7123" i="2"/>
  <c r="H7123" i="2"/>
  <c r="J7123" i="2"/>
  <c r="K7123" i="2"/>
  <c r="L7123" i="2"/>
  <c r="C7124" i="2"/>
  <c r="D7124" i="2"/>
  <c r="F7124" i="2"/>
  <c r="G7124" i="2"/>
  <c r="H7124" i="2"/>
  <c r="J7124" i="2"/>
  <c r="K7124" i="2"/>
  <c r="L7124" i="2"/>
  <c r="C7125" i="2"/>
  <c r="D7125" i="2"/>
  <c r="F7125" i="2"/>
  <c r="G7125" i="2"/>
  <c r="H7125" i="2"/>
  <c r="J7125" i="2"/>
  <c r="K7125" i="2"/>
  <c r="L7125" i="2"/>
  <c r="C7126" i="2"/>
  <c r="D7126" i="2"/>
  <c r="F7126" i="2"/>
  <c r="G7126" i="2"/>
  <c r="H7126" i="2"/>
  <c r="J7126" i="2"/>
  <c r="K7126" i="2"/>
  <c r="L7126" i="2"/>
  <c r="C7127" i="2"/>
  <c r="D7127" i="2"/>
  <c r="F7127" i="2"/>
  <c r="G7127" i="2"/>
  <c r="H7127" i="2"/>
  <c r="J7127" i="2"/>
  <c r="K7127" i="2"/>
  <c r="L7127" i="2"/>
  <c r="C7128" i="2"/>
  <c r="D7128" i="2"/>
  <c r="F7128" i="2"/>
  <c r="G7128" i="2"/>
  <c r="H7128" i="2"/>
  <c r="J7128" i="2"/>
  <c r="K7128" i="2"/>
  <c r="L7128" i="2"/>
  <c r="C7129" i="2"/>
  <c r="D7129" i="2"/>
  <c r="F7129" i="2"/>
  <c r="G7129" i="2"/>
  <c r="H7129" i="2"/>
  <c r="J7129" i="2"/>
  <c r="K7129" i="2"/>
  <c r="L7129" i="2"/>
  <c r="C7130" i="2"/>
  <c r="D7130" i="2"/>
  <c r="F7130" i="2"/>
  <c r="G7130" i="2"/>
  <c r="H7130" i="2"/>
  <c r="J7130" i="2"/>
  <c r="K7130" i="2"/>
  <c r="L7130" i="2"/>
  <c r="C7131" i="2"/>
  <c r="D7131" i="2"/>
  <c r="F7131" i="2"/>
  <c r="G7131" i="2"/>
  <c r="H7131" i="2"/>
  <c r="J7131" i="2"/>
  <c r="K7131" i="2"/>
  <c r="L7131" i="2"/>
  <c r="C7132" i="2"/>
  <c r="D7132" i="2"/>
  <c r="F7132" i="2"/>
  <c r="G7132" i="2"/>
  <c r="H7132" i="2"/>
  <c r="J7132" i="2"/>
  <c r="K7132" i="2"/>
  <c r="L7132" i="2"/>
  <c r="C7133" i="2"/>
  <c r="D7133" i="2"/>
  <c r="F7133" i="2"/>
  <c r="G7133" i="2"/>
  <c r="H7133" i="2"/>
  <c r="J7133" i="2"/>
  <c r="K7133" i="2"/>
  <c r="L7133" i="2"/>
  <c r="C7134" i="2"/>
  <c r="D7134" i="2"/>
  <c r="F7134" i="2"/>
  <c r="G7134" i="2"/>
  <c r="H7134" i="2"/>
  <c r="J7134" i="2"/>
  <c r="K7134" i="2"/>
  <c r="L7134" i="2"/>
  <c r="C7135" i="2"/>
  <c r="D7135" i="2"/>
  <c r="F7135" i="2"/>
  <c r="G7135" i="2"/>
  <c r="H7135" i="2"/>
  <c r="J7135" i="2"/>
  <c r="K7135" i="2"/>
  <c r="L7135" i="2"/>
  <c r="C7136" i="2"/>
  <c r="D7136" i="2"/>
  <c r="F7136" i="2"/>
  <c r="G7136" i="2"/>
  <c r="H7136" i="2"/>
  <c r="J7136" i="2"/>
  <c r="K7136" i="2"/>
  <c r="L7136" i="2"/>
  <c r="C7137" i="2"/>
  <c r="D7137" i="2"/>
  <c r="F7137" i="2"/>
  <c r="G7137" i="2"/>
  <c r="H7137" i="2"/>
  <c r="J7137" i="2"/>
  <c r="K7137" i="2"/>
  <c r="L7137" i="2"/>
  <c r="C7138" i="2"/>
  <c r="D7138" i="2"/>
  <c r="F7138" i="2"/>
  <c r="G7138" i="2"/>
  <c r="H7138" i="2"/>
  <c r="J7138" i="2"/>
  <c r="K7138" i="2"/>
  <c r="L7138" i="2"/>
  <c r="C7139" i="2"/>
  <c r="D7139" i="2"/>
  <c r="F7139" i="2"/>
  <c r="G7139" i="2"/>
  <c r="H7139" i="2"/>
  <c r="J7139" i="2"/>
  <c r="K7139" i="2"/>
  <c r="L7139" i="2"/>
  <c r="C7140" i="2"/>
  <c r="D7140" i="2"/>
  <c r="F7140" i="2"/>
  <c r="G7140" i="2"/>
  <c r="H7140" i="2"/>
  <c r="J7140" i="2"/>
  <c r="K7140" i="2"/>
  <c r="L7140" i="2"/>
  <c r="C7141" i="2"/>
  <c r="D7141" i="2"/>
  <c r="F7141" i="2"/>
  <c r="G7141" i="2"/>
  <c r="H7141" i="2"/>
  <c r="J7141" i="2"/>
  <c r="K7141" i="2"/>
  <c r="L7141" i="2"/>
  <c r="C7142" i="2"/>
  <c r="D7142" i="2"/>
  <c r="F7142" i="2"/>
  <c r="G7142" i="2"/>
  <c r="H7142" i="2"/>
  <c r="J7142" i="2"/>
  <c r="K7142" i="2"/>
  <c r="L7142" i="2"/>
  <c r="C7143" i="2"/>
  <c r="D7143" i="2"/>
  <c r="F7143" i="2"/>
  <c r="G7143" i="2"/>
  <c r="H7143" i="2"/>
  <c r="J7143" i="2"/>
  <c r="K7143" i="2"/>
  <c r="L7143" i="2"/>
  <c r="C7144" i="2"/>
  <c r="D7144" i="2"/>
  <c r="F7144" i="2"/>
  <c r="G7144" i="2"/>
  <c r="H7144" i="2"/>
  <c r="J7144" i="2"/>
  <c r="K7144" i="2"/>
  <c r="L7144" i="2"/>
  <c r="C7145" i="2"/>
  <c r="D7145" i="2"/>
  <c r="F7145" i="2"/>
  <c r="G7145" i="2"/>
  <c r="H7145" i="2"/>
  <c r="J7145" i="2"/>
  <c r="K7145" i="2"/>
  <c r="L7145" i="2"/>
  <c r="C7146" i="2"/>
  <c r="D7146" i="2"/>
  <c r="F7146" i="2"/>
  <c r="G7146" i="2"/>
  <c r="H7146" i="2"/>
  <c r="J7146" i="2"/>
  <c r="K7146" i="2"/>
  <c r="L7146" i="2"/>
  <c r="C7147" i="2"/>
  <c r="D7147" i="2"/>
  <c r="F7147" i="2"/>
  <c r="G7147" i="2"/>
  <c r="H7147" i="2"/>
  <c r="J7147" i="2"/>
  <c r="K7147" i="2"/>
  <c r="L7147" i="2"/>
  <c r="C7148" i="2"/>
  <c r="D7148" i="2"/>
  <c r="F7148" i="2"/>
  <c r="G7148" i="2"/>
  <c r="H7148" i="2"/>
  <c r="J7148" i="2"/>
  <c r="K7148" i="2"/>
  <c r="L7148" i="2"/>
  <c r="C7149" i="2"/>
  <c r="D7149" i="2"/>
  <c r="F7149" i="2"/>
  <c r="G7149" i="2"/>
  <c r="H7149" i="2"/>
  <c r="J7149" i="2"/>
  <c r="K7149" i="2"/>
  <c r="L7149" i="2"/>
  <c r="C7150" i="2"/>
  <c r="D7150" i="2"/>
  <c r="F7150" i="2"/>
  <c r="G7150" i="2"/>
  <c r="H7150" i="2"/>
  <c r="J7150" i="2"/>
  <c r="K7150" i="2"/>
  <c r="L7150" i="2"/>
  <c r="C7151" i="2"/>
  <c r="D7151" i="2"/>
  <c r="F7151" i="2"/>
  <c r="G7151" i="2"/>
  <c r="H7151" i="2"/>
  <c r="J7151" i="2"/>
  <c r="K7151" i="2"/>
  <c r="L7151" i="2"/>
  <c r="C7152" i="2"/>
  <c r="D7152" i="2"/>
  <c r="F7152" i="2"/>
  <c r="G7152" i="2"/>
  <c r="H7152" i="2"/>
  <c r="J7152" i="2"/>
  <c r="K7152" i="2"/>
  <c r="L7152" i="2"/>
  <c r="C7153" i="2"/>
  <c r="D7153" i="2"/>
  <c r="F7153" i="2"/>
  <c r="G7153" i="2"/>
  <c r="H7153" i="2"/>
  <c r="J7153" i="2"/>
  <c r="K7153" i="2"/>
  <c r="L7153" i="2"/>
  <c r="C7154" i="2"/>
  <c r="D7154" i="2"/>
  <c r="F7154" i="2"/>
  <c r="G7154" i="2"/>
  <c r="H7154" i="2"/>
  <c r="J7154" i="2"/>
  <c r="K7154" i="2"/>
  <c r="L7154" i="2"/>
  <c r="C7155" i="2"/>
  <c r="D7155" i="2"/>
  <c r="F7155" i="2"/>
  <c r="G7155" i="2"/>
  <c r="H7155" i="2"/>
  <c r="J7155" i="2"/>
  <c r="K7155" i="2"/>
  <c r="L7155" i="2"/>
  <c r="C7156" i="2"/>
  <c r="D7156" i="2"/>
  <c r="F7156" i="2"/>
  <c r="G7156" i="2"/>
  <c r="H7156" i="2"/>
  <c r="J7156" i="2"/>
  <c r="K7156" i="2"/>
  <c r="L7156" i="2"/>
  <c r="C7157" i="2"/>
  <c r="D7157" i="2"/>
  <c r="F7157" i="2"/>
  <c r="G7157" i="2"/>
  <c r="H7157" i="2"/>
  <c r="J7157" i="2"/>
  <c r="K7157" i="2"/>
  <c r="L7157" i="2"/>
  <c r="C7158" i="2"/>
  <c r="D7158" i="2"/>
  <c r="F7158" i="2"/>
  <c r="G7158" i="2"/>
  <c r="H7158" i="2"/>
  <c r="J7158" i="2"/>
  <c r="K7158" i="2"/>
  <c r="L7158" i="2"/>
  <c r="C7159" i="2"/>
  <c r="D7159" i="2"/>
  <c r="F7159" i="2"/>
  <c r="G7159" i="2"/>
  <c r="H7159" i="2"/>
  <c r="J7159" i="2"/>
  <c r="K7159" i="2"/>
  <c r="L7159" i="2"/>
  <c r="C7160" i="2"/>
  <c r="D7160" i="2"/>
  <c r="F7160" i="2"/>
  <c r="G7160" i="2"/>
  <c r="H7160" i="2"/>
  <c r="J7160" i="2"/>
  <c r="K7160" i="2"/>
  <c r="L7160" i="2"/>
  <c r="C7161" i="2"/>
  <c r="D7161" i="2"/>
  <c r="F7161" i="2"/>
  <c r="G7161" i="2"/>
  <c r="H7161" i="2"/>
  <c r="J7161" i="2"/>
  <c r="K7161" i="2"/>
  <c r="L7161" i="2"/>
  <c r="C7162" i="2"/>
  <c r="D7162" i="2"/>
  <c r="F7162" i="2"/>
  <c r="G7162" i="2"/>
  <c r="H7162" i="2"/>
  <c r="J7162" i="2"/>
  <c r="K7162" i="2"/>
  <c r="L7162" i="2"/>
  <c r="C7163" i="2"/>
  <c r="D7163" i="2"/>
  <c r="F7163" i="2"/>
  <c r="G7163" i="2"/>
  <c r="H7163" i="2"/>
  <c r="J7163" i="2"/>
  <c r="K7163" i="2"/>
  <c r="L7163" i="2"/>
  <c r="C7164" i="2"/>
  <c r="D7164" i="2"/>
  <c r="F7164" i="2"/>
  <c r="G7164" i="2"/>
  <c r="H7164" i="2"/>
  <c r="J7164" i="2"/>
  <c r="K7164" i="2"/>
  <c r="L7164" i="2"/>
  <c r="C7165" i="2"/>
  <c r="D7165" i="2"/>
  <c r="F7165" i="2"/>
  <c r="G7165" i="2"/>
  <c r="H7165" i="2"/>
  <c r="J7165" i="2"/>
  <c r="K7165" i="2"/>
  <c r="L7165" i="2"/>
  <c r="C7166" i="2"/>
  <c r="D7166" i="2"/>
  <c r="F7166" i="2"/>
  <c r="G7166" i="2"/>
  <c r="H7166" i="2"/>
  <c r="J7166" i="2"/>
  <c r="K7166" i="2"/>
  <c r="L7166" i="2"/>
  <c r="C7167" i="2"/>
  <c r="D7167" i="2"/>
  <c r="F7167" i="2"/>
  <c r="G7167" i="2"/>
  <c r="H7167" i="2"/>
  <c r="J7167" i="2"/>
  <c r="K7167" i="2"/>
  <c r="L7167" i="2"/>
  <c r="C7168" i="2"/>
  <c r="D7168" i="2"/>
  <c r="F7168" i="2"/>
  <c r="G7168" i="2"/>
  <c r="H7168" i="2"/>
  <c r="J7168" i="2"/>
  <c r="K7168" i="2"/>
  <c r="L7168" i="2"/>
  <c r="C7169" i="2"/>
  <c r="D7169" i="2"/>
  <c r="F7169" i="2"/>
  <c r="G7169" i="2"/>
  <c r="H7169" i="2"/>
  <c r="J7169" i="2"/>
  <c r="K7169" i="2"/>
  <c r="L7169" i="2"/>
  <c r="C7170" i="2"/>
  <c r="D7170" i="2"/>
  <c r="F7170" i="2"/>
  <c r="G7170" i="2"/>
  <c r="H7170" i="2"/>
  <c r="J7170" i="2"/>
  <c r="K7170" i="2"/>
  <c r="L7170" i="2"/>
  <c r="C7171" i="2"/>
  <c r="D7171" i="2"/>
  <c r="F7171" i="2"/>
  <c r="G7171" i="2"/>
  <c r="H7171" i="2"/>
  <c r="J7171" i="2"/>
  <c r="K7171" i="2"/>
  <c r="L7171" i="2"/>
  <c r="C7172" i="2"/>
  <c r="D7172" i="2"/>
  <c r="F7172" i="2"/>
  <c r="G7172" i="2"/>
  <c r="H7172" i="2"/>
  <c r="J7172" i="2"/>
  <c r="K7172" i="2"/>
  <c r="L7172" i="2"/>
  <c r="C7173" i="2"/>
  <c r="D7173" i="2"/>
  <c r="F7173" i="2"/>
  <c r="G7173" i="2"/>
  <c r="H7173" i="2"/>
  <c r="J7173" i="2"/>
  <c r="K7173" i="2"/>
  <c r="L7173" i="2"/>
  <c r="C7174" i="2"/>
  <c r="D7174" i="2"/>
  <c r="F7174" i="2"/>
  <c r="G7174" i="2"/>
  <c r="H7174" i="2"/>
  <c r="J7174" i="2"/>
  <c r="K7174" i="2"/>
  <c r="L7174" i="2"/>
  <c r="C7175" i="2"/>
  <c r="D7175" i="2"/>
  <c r="F7175" i="2"/>
  <c r="G7175" i="2"/>
  <c r="H7175" i="2"/>
  <c r="J7175" i="2"/>
  <c r="K7175" i="2"/>
  <c r="L7175" i="2"/>
  <c r="C7176" i="2"/>
  <c r="D7176" i="2"/>
  <c r="F7176" i="2"/>
  <c r="G7176" i="2"/>
  <c r="H7176" i="2"/>
  <c r="J7176" i="2"/>
  <c r="K7176" i="2"/>
  <c r="L7176" i="2"/>
  <c r="C7177" i="2"/>
  <c r="D7177" i="2"/>
  <c r="E7177" i="2"/>
  <c r="F7177" i="2"/>
  <c r="G7177" i="2"/>
  <c r="H7177" i="2"/>
  <c r="J7177" i="2"/>
  <c r="K7177" i="2"/>
  <c r="L7177" i="2"/>
  <c r="C7178" i="2"/>
  <c r="D7178" i="2"/>
  <c r="F7178" i="2"/>
  <c r="G7178" i="2"/>
  <c r="H7178" i="2"/>
  <c r="J7178" i="2"/>
  <c r="K7178" i="2"/>
  <c r="L7178" i="2"/>
  <c r="C7179" i="2"/>
  <c r="D7179" i="2"/>
  <c r="F7179" i="2"/>
  <c r="G7179" i="2"/>
  <c r="H7179" i="2"/>
  <c r="J7179" i="2"/>
  <c r="K7179" i="2"/>
  <c r="L7179" i="2"/>
  <c r="C7180" i="2"/>
  <c r="D7180" i="2"/>
  <c r="F7180" i="2"/>
  <c r="G7180" i="2"/>
  <c r="H7180" i="2"/>
  <c r="J7180" i="2"/>
  <c r="K7180" i="2"/>
  <c r="L7180" i="2"/>
  <c r="C7181" i="2"/>
  <c r="D7181" i="2"/>
  <c r="F7181" i="2"/>
  <c r="G7181" i="2"/>
  <c r="H7181" i="2"/>
  <c r="J7181" i="2"/>
  <c r="K7181" i="2"/>
  <c r="L7181" i="2"/>
  <c r="C7182" i="2"/>
  <c r="D7182" i="2"/>
  <c r="F7182" i="2"/>
  <c r="G7182" i="2"/>
  <c r="H7182" i="2"/>
  <c r="J7182" i="2"/>
  <c r="K7182" i="2"/>
  <c r="L7182" i="2"/>
  <c r="C7183" i="2"/>
  <c r="D7183" i="2"/>
  <c r="F7183" i="2"/>
  <c r="G7183" i="2"/>
  <c r="H7183" i="2"/>
  <c r="J7183" i="2"/>
  <c r="K7183" i="2"/>
  <c r="L7183" i="2"/>
  <c r="C7184" i="2"/>
  <c r="D7184" i="2"/>
  <c r="F7184" i="2"/>
  <c r="G7184" i="2"/>
  <c r="H7184" i="2"/>
  <c r="J7184" i="2"/>
  <c r="K7184" i="2"/>
  <c r="L7184" i="2"/>
  <c r="C7185" i="2"/>
  <c r="D7185" i="2"/>
  <c r="F7185" i="2"/>
  <c r="G7185" i="2"/>
  <c r="H7185" i="2"/>
  <c r="J7185" i="2"/>
  <c r="K7185" i="2"/>
  <c r="L7185" i="2"/>
  <c r="C7186" i="2"/>
  <c r="D7186" i="2"/>
  <c r="F7186" i="2"/>
  <c r="G7186" i="2"/>
  <c r="H7186" i="2"/>
  <c r="J7186" i="2"/>
  <c r="K7186" i="2"/>
  <c r="L7186" i="2"/>
  <c r="C7187" i="2"/>
  <c r="D7187" i="2"/>
  <c r="F7187" i="2"/>
  <c r="G7187" i="2"/>
  <c r="H7187" i="2"/>
  <c r="J7187" i="2"/>
  <c r="K7187" i="2"/>
  <c r="L7187" i="2"/>
  <c r="C7188" i="2"/>
  <c r="D7188" i="2"/>
  <c r="F7188" i="2"/>
  <c r="G7188" i="2"/>
  <c r="H7188" i="2"/>
  <c r="J7188" i="2"/>
  <c r="K7188" i="2"/>
  <c r="L7188" i="2"/>
  <c r="C7189" i="2"/>
  <c r="D7189" i="2"/>
  <c r="F7189" i="2"/>
  <c r="G7189" i="2"/>
  <c r="H7189" i="2"/>
  <c r="J7189" i="2"/>
  <c r="K7189" i="2"/>
  <c r="L7189" i="2"/>
  <c r="C7190" i="2"/>
  <c r="D7190" i="2"/>
  <c r="F7190" i="2"/>
  <c r="G7190" i="2"/>
  <c r="H7190" i="2"/>
  <c r="J7190" i="2"/>
  <c r="K7190" i="2"/>
  <c r="L7190" i="2"/>
  <c r="C7191" i="2"/>
  <c r="D7191" i="2"/>
  <c r="F7191" i="2"/>
  <c r="G7191" i="2"/>
  <c r="H7191" i="2"/>
  <c r="J7191" i="2"/>
  <c r="K7191" i="2"/>
  <c r="L7191" i="2"/>
  <c r="C7192" i="2"/>
  <c r="D7192" i="2"/>
  <c r="F7192" i="2"/>
  <c r="G7192" i="2"/>
  <c r="H7192" i="2"/>
  <c r="J7192" i="2"/>
  <c r="K7192" i="2"/>
  <c r="L7192" i="2"/>
  <c r="C7193" i="2"/>
  <c r="D7193" i="2"/>
  <c r="F7193" i="2"/>
  <c r="G7193" i="2"/>
  <c r="H7193" i="2"/>
  <c r="J7193" i="2"/>
  <c r="K7193" i="2"/>
  <c r="L7193" i="2"/>
  <c r="C7194" i="2"/>
  <c r="D7194" i="2"/>
  <c r="F7194" i="2"/>
  <c r="G7194" i="2"/>
  <c r="H7194" i="2"/>
  <c r="J7194" i="2"/>
  <c r="K7194" i="2"/>
  <c r="L7194" i="2"/>
  <c r="C7195" i="2"/>
  <c r="D7195" i="2"/>
  <c r="F7195" i="2"/>
  <c r="G7195" i="2"/>
  <c r="H7195" i="2"/>
  <c r="J7195" i="2"/>
  <c r="K7195" i="2"/>
  <c r="L7195" i="2"/>
  <c r="C7196" i="2"/>
  <c r="D7196" i="2"/>
  <c r="F7196" i="2"/>
  <c r="G7196" i="2"/>
  <c r="H7196" i="2"/>
  <c r="J7196" i="2"/>
  <c r="K7196" i="2"/>
  <c r="L7196" i="2"/>
  <c r="C7197" i="2"/>
  <c r="D7197" i="2"/>
  <c r="F7197" i="2"/>
  <c r="G7197" i="2"/>
  <c r="H7197" i="2"/>
  <c r="J7197" i="2"/>
  <c r="K7197" i="2"/>
  <c r="L7197" i="2"/>
  <c r="C7198" i="2"/>
  <c r="D7198" i="2"/>
  <c r="F7198" i="2"/>
  <c r="G7198" i="2"/>
  <c r="H7198" i="2"/>
  <c r="J7198" i="2"/>
  <c r="K7198" i="2"/>
  <c r="L7198" i="2"/>
  <c r="C7199" i="2"/>
  <c r="D7199" i="2"/>
  <c r="F7199" i="2"/>
  <c r="G7199" i="2"/>
  <c r="H7199" i="2"/>
  <c r="J7199" i="2"/>
  <c r="K7199" i="2"/>
  <c r="L7199" i="2"/>
  <c r="C7200" i="2"/>
  <c r="D7200" i="2"/>
  <c r="F7200" i="2"/>
  <c r="G7200" i="2"/>
  <c r="H7200" i="2"/>
  <c r="J7200" i="2"/>
  <c r="K7200" i="2"/>
  <c r="L7200" i="2"/>
  <c r="C7201" i="2"/>
  <c r="D7201" i="2"/>
  <c r="F7201" i="2"/>
  <c r="G7201" i="2"/>
  <c r="H7201" i="2"/>
  <c r="J7201" i="2"/>
  <c r="K7201" i="2"/>
  <c r="L7201" i="2"/>
  <c r="C7202" i="2"/>
  <c r="D7202" i="2"/>
  <c r="F7202" i="2"/>
  <c r="G7202" i="2"/>
  <c r="H7202" i="2"/>
  <c r="J7202" i="2"/>
  <c r="K7202" i="2"/>
  <c r="L7202" i="2"/>
  <c r="C7203" i="2"/>
  <c r="D7203" i="2"/>
  <c r="F7203" i="2"/>
  <c r="G7203" i="2"/>
  <c r="H7203" i="2"/>
  <c r="J7203" i="2"/>
  <c r="K7203" i="2"/>
  <c r="L7203" i="2"/>
  <c r="C7204" i="2"/>
  <c r="D7204" i="2"/>
  <c r="F7204" i="2"/>
  <c r="G7204" i="2"/>
  <c r="H7204" i="2"/>
  <c r="J7204" i="2"/>
  <c r="K7204" i="2"/>
  <c r="L7204" i="2"/>
  <c r="C7205" i="2"/>
  <c r="D7205" i="2"/>
  <c r="F7205" i="2"/>
  <c r="G7205" i="2"/>
  <c r="H7205" i="2"/>
  <c r="J7205" i="2"/>
  <c r="K7205" i="2"/>
  <c r="L7205" i="2"/>
  <c r="C7206" i="2"/>
  <c r="D7206" i="2"/>
  <c r="F7206" i="2"/>
  <c r="G7206" i="2"/>
  <c r="H7206" i="2"/>
  <c r="J7206" i="2"/>
  <c r="K7206" i="2"/>
  <c r="L7206" i="2"/>
  <c r="C7207" i="2"/>
  <c r="D7207" i="2"/>
  <c r="F7207" i="2"/>
  <c r="G7207" i="2"/>
  <c r="H7207" i="2"/>
  <c r="J7207" i="2"/>
  <c r="K7207" i="2"/>
  <c r="L7207" i="2"/>
  <c r="C7208" i="2"/>
  <c r="D7208" i="2"/>
  <c r="F7208" i="2"/>
  <c r="G7208" i="2"/>
  <c r="H7208" i="2"/>
  <c r="J7208" i="2"/>
  <c r="K7208" i="2"/>
  <c r="L7208" i="2"/>
  <c r="C7209" i="2"/>
  <c r="D7209" i="2"/>
  <c r="F7209" i="2"/>
  <c r="G7209" i="2"/>
  <c r="H7209" i="2"/>
  <c r="J7209" i="2"/>
  <c r="K7209" i="2"/>
  <c r="L7209" i="2"/>
  <c r="C7210" i="2"/>
  <c r="D7210" i="2"/>
  <c r="F7210" i="2"/>
  <c r="G7210" i="2"/>
  <c r="H7210" i="2"/>
  <c r="J7210" i="2"/>
  <c r="K7210" i="2"/>
  <c r="L7210" i="2"/>
  <c r="C7211" i="2"/>
  <c r="D7211" i="2"/>
  <c r="F7211" i="2"/>
  <c r="G7211" i="2"/>
  <c r="H7211" i="2"/>
  <c r="J7211" i="2"/>
  <c r="K7211" i="2"/>
  <c r="L7211" i="2"/>
  <c r="C7212" i="2"/>
  <c r="D7212" i="2"/>
  <c r="F7212" i="2"/>
  <c r="G7212" i="2"/>
  <c r="H7212" i="2"/>
  <c r="J7212" i="2"/>
  <c r="K7212" i="2"/>
  <c r="L7212" i="2"/>
  <c r="C7213" i="2"/>
  <c r="D7213" i="2"/>
  <c r="F7213" i="2"/>
  <c r="G7213" i="2"/>
  <c r="H7213" i="2"/>
  <c r="J7213" i="2"/>
  <c r="K7213" i="2"/>
  <c r="L7213" i="2"/>
  <c r="C7214" i="2"/>
  <c r="D7214" i="2"/>
  <c r="F7214" i="2"/>
  <c r="G7214" i="2"/>
  <c r="H7214" i="2"/>
  <c r="J7214" i="2"/>
  <c r="K7214" i="2"/>
  <c r="L7214" i="2"/>
  <c r="C7215" i="2"/>
  <c r="D7215" i="2"/>
  <c r="F7215" i="2"/>
  <c r="G7215" i="2"/>
  <c r="H7215" i="2"/>
  <c r="J7215" i="2"/>
  <c r="K7215" i="2"/>
  <c r="L7215" i="2"/>
  <c r="C7216" i="2"/>
  <c r="D7216" i="2"/>
  <c r="F7216" i="2"/>
  <c r="G7216" i="2"/>
  <c r="H7216" i="2"/>
  <c r="J7216" i="2"/>
  <c r="K7216" i="2"/>
  <c r="L7216" i="2"/>
  <c r="C7217" i="2"/>
  <c r="D7217" i="2"/>
  <c r="F7217" i="2"/>
  <c r="G7217" i="2"/>
  <c r="H7217" i="2"/>
  <c r="J7217" i="2"/>
  <c r="K7217" i="2"/>
  <c r="L7217" i="2"/>
  <c r="C7218" i="2"/>
  <c r="D7218" i="2"/>
  <c r="F7218" i="2"/>
  <c r="G7218" i="2"/>
  <c r="H7218" i="2"/>
  <c r="J7218" i="2"/>
  <c r="K7218" i="2"/>
  <c r="L7218" i="2"/>
  <c r="C7219" i="2"/>
  <c r="D7219" i="2"/>
  <c r="F7219" i="2"/>
  <c r="G7219" i="2"/>
  <c r="H7219" i="2"/>
  <c r="J7219" i="2"/>
  <c r="K7219" i="2"/>
  <c r="L7219" i="2"/>
  <c r="C7220" i="2"/>
  <c r="D7220" i="2"/>
  <c r="F7220" i="2"/>
  <c r="G7220" i="2"/>
  <c r="H7220" i="2"/>
  <c r="J7220" i="2"/>
  <c r="K7220" i="2"/>
  <c r="L7220" i="2"/>
  <c r="C7221" i="2"/>
  <c r="D7221" i="2"/>
  <c r="F7221" i="2"/>
  <c r="G7221" i="2"/>
  <c r="H7221" i="2"/>
  <c r="J7221" i="2"/>
  <c r="K7221" i="2"/>
  <c r="L7221" i="2"/>
  <c r="C7222" i="2"/>
  <c r="D7222" i="2"/>
  <c r="F7222" i="2"/>
  <c r="G7222" i="2"/>
  <c r="H7222" i="2"/>
  <c r="J7222" i="2"/>
  <c r="K7222" i="2"/>
  <c r="L7222" i="2"/>
  <c r="C7223" i="2"/>
  <c r="D7223" i="2"/>
  <c r="F7223" i="2"/>
  <c r="G7223" i="2"/>
  <c r="H7223" i="2"/>
  <c r="J7223" i="2"/>
  <c r="K7223" i="2"/>
  <c r="L7223" i="2"/>
  <c r="C7224" i="2"/>
  <c r="D7224" i="2"/>
  <c r="F7224" i="2"/>
  <c r="G7224" i="2"/>
  <c r="H7224" i="2"/>
  <c r="J7224" i="2"/>
  <c r="K7224" i="2"/>
  <c r="L7224" i="2"/>
  <c r="C7225" i="2"/>
  <c r="D7225" i="2"/>
  <c r="F7225" i="2"/>
  <c r="G7225" i="2"/>
  <c r="H7225" i="2"/>
  <c r="J7225" i="2"/>
  <c r="K7225" i="2"/>
  <c r="L7225" i="2"/>
  <c r="C7226" i="2"/>
  <c r="D7226" i="2"/>
  <c r="F7226" i="2"/>
  <c r="G7226" i="2"/>
  <c r="H7226" i="2"/>
  <c r="J7226" i="2"/>
  <c r="K7226" i="2"/>
  <c r="L7226" i="2"/>
  <c r="C7227" i="2"/>
  <c r="D7227" i="2"/>
  <c r="F7227" i="2"/>
  <c r="G7227" i="2"/>
  <c r="H7227" i="2"/>
  <c r="J7227" i="2"/>
  <c r="K7227" i="2"/>
  <c r="L7227" i="2"/>
  <c r="C7228" i="2"/>
  <c r="D7228" i="2"/>
  <c r="F7228" i="2"/>
  <c r="G7228" i="2"/>
  <c r="H7228" i="2"/>
  <c r="J7228" i="2"/>
  <c r="K7228" i="2"/>
  <c r="L7228" i="2"/>
  <c r="C7229" i="2"/>
  <c r="D7229" i="2"/>
  <c r="F7229" i="2"/>
  <c r="G7229" i="2"/>
  <c r="H7229" i="2"/>
  <c r="J7229" i="2"/>
  <c r="K7229" i="2"/>
  <c r="L7229" i="2"/>
  <c r="C7230" i="2"/>
  <c r="D7230" i="2"/>
  <c r="F7230" i="2"/>
  <c r="G7230" i="2"/>
  <c r="H7230" i="2"/>
  <c r="J7230" i="2"/>
  <c r="K7230" i="2"/>
  <c r="L7230" i="2"/>
  <c r="C7231" i="2"/>
  <c r="D7231" i="2"/>
  <c r="F7231" i="2"/>
  <c r="G7231" i="2"/>
  <c r="H7231" i="2"/>
  <c r="J7231" i="2"/>
  <c r="K7231" i="2"/>
  <c r="L7231" i="2"/>
  <c r="C7232" i="2"/>
  <c r="D7232" i="2"/>
  <c r="F7232" i="2"/>
  <c r="G7232" i="2"/>
  <c r="H7232" i="2"/>
  <c r="J7232" i="2"/>
  <c r="K7232" i="2"/>
  <c r="L7232" i="2"/>
  <c r="C7233" i="2"/>
  <c r="D7233" i="2"/>
  <c r="F7233" i="2"/>
  <c r="G7233" i="2"/>
  <c r="H7233" i="2"/>
  <c r="J7233" i="2"/>
  <c r="K7233" i="2"/>
  <c r="L7233" i="2"/>
  <c r="C7234" i="2"/>
  <c r="D7234" i="2"/>
  <c r="E7234" i="2"/>
  <c r="F7234" i="2"/>
  <c r="G7234" i="2"/>
  <c r="H7234" i="2"/>
  <c r="J7234" i="2"/>
  <c r="K7234" i="2"/>
  <c r="L7234" i="2"/>
  <c r="C7235" i="2"/>
  <c r="D7235" i="2"/>
  <c r="F7235" i="2"/>
  <c r="G7235" i="2"/>
  <c r="H7235" i="2"/>
  <c r="J7235" i="2"/>
  <c r="K7235" i="2"/>
  <c r="L7235" i="2"/>
  <c r="C7236" i="2"/>
  <c r="D7236" i="2"/>
  <c r="F7236" i="2"/>
  <c r="G7236" i="2"/>
  <c r="H7236" i="2"/>
  <c r="J7236" i="2"/>
  <c r="K7236" i="2"/>
  <c r="L7236" i="2"/>
  <c r="C7237" i="2"/>
  <c r="D7237" i="2"/>
  <c r="F7237" i="2"/>
  <c r="G7237" i="2"/>
  <c r="H7237" i="2"/>
  <c r="J7237" i="2"/>
  <c r="K7237" i="2"/>
  <c r="L7237" i="2"/>
  <c r="C7238" i="2"/>
  <c r="D7238" i="2"/>
  <c r="F7238" i="2"/>
  <c r="G7238" i="2"/>
  <c r="H7238" i="2"/>
  <c r="J7238" i="2"/>
  <c r="K7238" i="2"/>
  <c r="L7238" i="2"/>
  <c r="C7239" i="2"/>
  <c r="D7239" i="2"/>
  <c r="F7239" i="2"/>
  <c r="G7239" i="2"/>
  <c r="H7239" i="2"/>
  <c r="J7239" i="2"/>
  <c r="K7239" i="2"/>
  <c r="L7239" i="2"/>
  <c r="C7240" i="2"/>
  <c r="D7240" i="2"/>
  <c r="F7240" i="2"/>
  <c r="G7240" i="2"/>
  <c r="H7240" i="2"/>
  <c r="J7240" i="2"/>
  <c r="K7240" i="2"/>
  <c r="L7240" i="2"/>
  <c r="C7241" i="2"/>
  <c r="D7241" i="2"/>
  <c r="F7241" i="2"/>
  <c r="G7241" i="2"/>
  <c r="H7241" i="2"/>
  <c r="J7241" i="2"/>
  <c r="K7241" i="2"/>
  <c r="L7241" i="2"/>
  <c r="C7242" i="2"/>
  <c r="D7242" i="2"/>
  <c r="F7242" i="2"/>
  <c r="G7242" i="2"/>
  <c r="H7242" i="2"/>
  <c r="J7242" i="2"/>
  <c r="K7242" i="2"/>
  <c r="L7242" i="2"/>
  <c r="C7243" i="2"/>
  <c r="D7243" i="2"/>
  <c r="F7243" i="2"/>
  <c r="G7243" i="2"/>
  <c r="H7243" i="2"/>
  <c r="J7243" i="2"/>
  <c r="K7243" i="2"/>
  <c r="L7243" i="2"/>
  <c r="C7244" i="2"/>
  <c r="D7244" i="2"/>
  <c r="F7244" i="2"/>
  <c r="G7244" i="2"/>
  <c r="H7244" i="2"/>
  <c r="J7244" i="2"/>
  <c r="K7244" i="2"/>
  <c r="L7244" i="2"/>
  <c r="C7245" i="2"/>
  <c r="D7245" i="2"/>
  <c r="F7245" i="2"/>
  <c r="G7245" i="2"/>
  <c r="H7245" i="2"/>
  <c r="J7245" i="2"/>
  <c r="K7245" i="2"/>
  <c r="L7245" i="2"/>
  <c r="C7246" i="2"/>
  <c r="D7246" i="2"/>
  <c r="F7246" i="2"/>
  <c r="G7246" i="2"/>
  <c r="H7246" i="2"/>
  <c r="J7246" i="2"/>
  <c r="K7246" i="2"/>
  <c r="L7246" i="2"/>
  <c r="C7247" i="2"/>
  <c r="D7247" i="2"/>
  <c r="F7247" i="2"/>
  <c r="G7247" i="2"/>
  <c r="H7247" i="2"/>
  <c r="J7247" i="2"/>
  <c r="K7247" i="2"/>
  <c r="L7247" i="2"/>
  <c r="C7248" i="2"/>
  <c r="D7248" i="2"/>
  <c r="F7248" i="2"/>
  <c r="G7248" i="2"/>
  <c r="H7248" i="2"/>
  <c r="J7248" i="2"/>
  <c r="K7248" i="2"/>
  <c r="L7248" i="2"/>
  <c r="C7249" i="2"/>
  <c r="D7249" i="2"/>
  <c r="F7249" i="2"/>
  <c r="G7249" i="2"/>
  <c r="H7249" i="2"/>
  <c r="J7249" i="2"/>
  <c r="K7249" i="2"/>
  <c r="L7249" i="2"/>
  <c r="C7250" i="2"/>
  <c r="D7250" i="2"/>
  <c r="F7250" i="2"/>
  <c r="G7250" i="2"/>
  <c r="H7250" i="2"/>
  <c r="J7250" i="2"/>
  <c r="K7250" i="2"/>
  <c r="L7250" i="2"/>
  <c r="C7251" i="2"/>
  <c r="D7251" i="2"/>
  <c r="F7251" i="2"/>
  <c r="G7251" i="2"/>
  <c r="H7251" i="2"/>
  <c r="J7251" i="2"/>
  <c r="K7251" i="2"/>
  <c r="L7251" i="2"/>
  <c r="C7252" i="2"/>
  <c r="D7252" i="2"/>
  <c r="F7252" i="2"/>
  <c r="G7252" i="2"/>
  <c r="H7252" i="2"/>
  <c r="J7252" i="2"/>
  <c r="K7252" i="2"/>
  <c r="L7252" i="2"/>
  <c r="C7253" i="2"/>
  <c r="D7253" i="2"/>
  <c r="F7253" i="2"/>
  <c r="G7253" i="2"/>
  <c r="H7253" i="2"/>
  <c r="J7253" i="2"/>
  <c r="K7253" i="2"/>
  <c r="L7253" i="2"/>
  <c r="C7254" i="2"/>
  <c r="D7254" i="2"/>
  <c r="F7254" i="2"/>
  <c r="G7254" i="2"/>
  <c r="H7254" i="2"/>
  <c r="J7254" i="2"/>
  <c r="K7254" i="2"/>
  <c r="L7254" i="2"/>
  <c r="C7255" i="2"/>
  <c r="D7255" i="2"/>
  <c r="F7255" i="2"/>
  <c r="G7255" i="2"/>
  <c r="H7255" i="2"/>
  <c r="J7255" i="2"/>
  <c r="K7255" i="2"/>
  <c r="L7255" i="2"/>
  <c r="C7256" i="2"/>
  <c r="D7256" i="2"/>
  <c r="F7256" i="2"/>
  <c r="G7256" i="2"/>
  <c r="H7256" i="2"/>
  <c r="J7256" i="2"/>
  <c r="K7256" i="2"/>
  <c r="L7256" i="2"/>
  <c r="C7257" i="2"/>
  <c r="D7257" i="2"/>
  <c r="F7257" i="2"/>
  <c r="G7257" i="2"/>
  <c r="H7257" i="2"/>
  <c r="J7257" i="2"/>
  <c r="K7257" i="2"/>
  <c r="L7257" i="2"/>
  <c r="C7258" i="2"/>
  <c r="D7258" i="2"/>
  <c r="F7258" i="2"/>
  <c r="G7258" i="2"/>
  <c r="H7258" i="2"/>
  <c r="J7258" i="2"/>
  <c r="K7258" i="2"/>
  <c r="L7258" i="2"/>
  <c r="C7259" i="2"/>
  <c r="D7259" i="2"/>
  <c r="F7259" i="2"/>
  <c r="G7259" i="2"/>
  <c r="H7259" i="2"/>
  <c r="J7259" i="2"/>
  <c r="K7259" i="2"/>
  <c r="L7259" i="2"/>
  <c r="C7260" i="2"/>
  <c r="D7260" i="2"/>
  <c r="F7260" i="2"/>
  <c r="G7260" i="2"/>
  <c r="H7260" i="2"/>
  <c r="J7260" i="2"/>
  <c r="K7260" i="2"/>
  <c r="L7260" i="2"/>
  <c r="C7261" i="2"/>
  <c r="D7261" i="2"/>
  <c r="F7261" i="2"/>
  <c r="G7261" i="2"/>
  <c r="H7261" i="2"/>
  <c r="J7261" i="2"/>
  <c r="K7261" i="2"/>
  <c r="L7261" i="2"/>
  <c r="C7262" i="2"/>
  <c r="D7262" i="2"/>
  <c r="F7262" i="2"/>
  <c r="G7262" i="2"/>
  <c r="H7262" i="2"/>
  <c r="J7262" i="2"/>
  <c r="K7262" i="2"/>
  <c r="L7262" i="2"/>
  <c r="C7263" i="2"/>
  <c r="D7263" i="2"/>
  <c r="F7263" i="2"/>
  <c r="G7263" i="2"/>
  <c r="H7263" i="2"/>
  <c r="J7263" i="2"/>
  <c r="K7263" i="2"/>
  <c r="L7263" i="2"/>
  <c r="C7264" i="2"/>
  <c r="D7264" i="2"/>
  <c r="F7264" i="2"/>
  <c r="G7264" i="2"/>
  <c r="H7264" i="2"/>
  <c r="J7264" i="2"/>
  <c r="K7264" i="2"/>
  <c r="L7264" i="2"/>
  <c r="C7265" i="2"/>
  <c r="D7265" i="2"/>
  <c r="F7265" i="2"/>
  <c r="G7265" i="2"/>
  <c r="H7265" i="2"/>
  <c r="J7265" i="2"/>
  <c r="K7265" i="2"/>
  <c r="L7265" i="2"/>
  <c r="C7266" i="2"/>
  <c r="D7266" i="2"/>
  <c r="F7266" i="2"/>
  <c r="G7266" i="2"/>
  <c r="H7266" i="2"/>
  <c r="J7266" i="2"/>
  <c r="K7266" i="2"/>
  <c r="L7266" i="2"/>
  <c r="C7267" i="2"/>
  <c r="D7267" i="2"/>
  <c r="F7267" i="2"/>
  <c r="G7267" i="2"/>
  <c r="H7267" i="2"/>
  <c r="J7267" i="2"/>
  <c r="K7267" i="2"/>
  <c r="L7267" i="2"/>
  <c r="C7268" i="2"/>
  <c r="D7268" i="2"/>
  <c r="F7268" i="2"/>
  <c r="G7268" i="2"/>
  <c r="H7268" i="2"/>
  <c r="J7268" i="2"/>
  <c r="K7268" i="2"/>
  <c r="L7268" i="2"/>
  <c r="C7269" i="2"/>
  <c r="D7269" i="2"/>
  <c r="F7269" i="2"/>
  <c r="G7269" i="2"/>
  <c r="H7269" i="2"/>
  <c r="J7269" i="2"/>
  <c r="K7269" i="2"/>
  <c r="L7269" i="2"/>
  <c r="C7270" i="2"/>
  <c r="D7270" i="2"/>
  <c r="F7270" i="2"/>
  <c r="G7270" i="2"/>
  <c r="H7270" i="2"/>
  <c r="J7270" i="2"/>
  <c r="K7270" i="2"/>
  <c r="L7270" i="2"/>
  <c r="C7271" i="2"/>
  <c r="D7271" i="2"/>
  <c r="F7271" i="2"/>
  <c r="G7271" i="2"/>
  <c r="H7271" i="2"/>
  <c r="J7271" i="2"/>
  <c r="K7271" i="2"/>
  <c r="L7271" i="2"/>
  <c r="C7272" i="2"/>
  <c r="D7272" i="2"/>
  <c r="F7272" i="2"/>
  <c r="G7272" i="2"/>
  <c r="H7272" i="2"/>
  <c r="J7272" i="2"/>
  <c r="K7272" i="2"/>
  <c r="L7272" i="2"/>
  <c r="C7273" i="2"/>
  <c r="D7273" i="2"/>
  <c r="F7273" i="2"/>
  <c r="G7273" i="2"/>
  <c r="H7273" i="2"/>
  <c r="J7273" i="2"/>
  <c r="K7273" i="2"/>
  <c r="L7273" i="2"/>
  <c r="C7274" i="2"/>
  <c r="D7274" i="2"/>
  <c r="F7274" i="2"/>
  <c r="G7274" i="2"/>
  <c r="H7274" i="2"/>
  <c r="J7274" i="2"/>
  <c r="K7274" i="2"/>
  <c r="L7274" i="2"/>
  <c r="C7275" i="2"/>
  <c r="D7275" i="2"/>
  <c r="F7275" i="2"/>
  <c r="G7275" i="2"/>
  <c r="H7275" i="2"/>
  <c r="J7275" i="2"/>
  <c r="K7275" i="2"/>
  <c r="L7275" i="2"/>
  <c r="C7276" i="2"/>
  <c r="D7276" i="2"/>
  <c r="F7276" i="2"/>
  <c r="G7276" i="2"/>
  <c r="H7276" i="2"/>
  <c r="J7276" i="2"/>
  <c r="K7276" i="2"/>
  <c r="L7276" i="2"/>
  <c r="C7277" i="2"/>
  <c r="D7277" i="2"/>
  <c r="F7277" i="2"/>
  <c r="G7277" i="2"/>
  <c r="H7277" i="2"/>
  <c r="J7277" i="2"/>
  <c r="K7277" i="2"/>
  <c r="L7277" i="2"/>
  <c r="C7278" i="2"/>
  <c r="D7278" i="2"/>
  <c r="F7278" i="2"/>
  <c r="G7278" i="2"/>
  <c r="H7278" i="2"/>
  <c r="J7278" i="2"/>
  <c r="K7278" i="2"/>
  <c r="L7278" i="2"/>
  <c r="C7279" i="2"/>
  <c r="D7279" i="2"/>
  <c r="F7279" i="2"/>
  <c r="G7279" i="2"/>
  <c r="H7279" i="2"/>
  <c r="J7279" i="2"/>
  <c r="K7279" i="2"/>
  <c r="L7279" i="2"/>
  <c r="C7280" i="2"/>
  <c r="D7280" i="2"/>
  <c r="F7280" i="2"/>
  <c r="G7280" i="2"/>
  <c r="H7280" i="2"/>
  <c r="J7280" i="2"/>
  <c r="K7280" i="2"/>
  <c r="L7280" i="2"/>
  <c r="C7281" i="2"/>
  <c r="D7281" i="2"/>
  <c r="F7281" i="2"/>
  <c r="G7281" i="2"/>
  <c r="H7281" i="2"/>
  <c r="J7281" i="2"/>
  <c r="K7281" i="2"/>
  <c r="L7281" i="2"/>
  <c r="C7282" i="2"/>
  <c r="D7282" i="2"/>
  <c r="F7282" i="2"/>
  <c r="G7282" i="2"/>
  <c r="H7282" i="2"/>
  <c r="J7282" i="2"/>
  <c r="K7282" i="2"/>
  <c r="L7282" i="2"/>
  <c r="C7283" i="2"/>
  <c r="D7283" i="2"/>
  <c r="F7283" i="2"/>
  <c r="G7283" i="2"/>
  <c r="H7283" i="2"/>
  <c r="J7283" i="2"/>
  <c r="K7283" i="2"/>
  <c r="L7283" i="2"/>
  <c r="C7284" i="2"/>
  <c r="D7284" i="2"/>
  <c r="F7284" i="2"/>
  <c r="G7284" i="2"/>
  <c r="H7284" i="2"/>
  <c r="J7284" i="2"/>
  <c r="K7284" i="2"/>
  <c r="L7284" i="2"/>
  <c r="C7285" i="2"/>
  <c r="D7285" i="2"/>
  <c r="F7285" i="2"/>
  <c r="G7285" i="2"/>
  <c r="H7285" i="2"/>
  <c r="J7285" i="2"/>
  <c r="K7285" i="2"/>
  <c r="L7285" i="2"/>
  <c r="C7286" i="2"/>
  <c r="D7286" i="2"/>
  <c r="F7286" i="2"/>
  <c r="G7286" i="2"/>
  <c r="H7286" i="2"/>
  <c r="J7286" i="2"/>
  <c r="K7286" i="2"/>
  <c r="L7286" i="2"/>
  <c r="C7287" i="2"/>
  <c r="D7287" i="2"/>
  <c r="F7287" i="2"/>
  <c r="G7287" i="2"/>
  <c r="H7287" i="2"/>
  <c r="J7287" i="2"/>
  <c r="K7287" i="2"/>
  <c r="L7287" i="2"/>
  <c r="C7288" i="2"/>
  <c r="D7288" i="2"/>
  <c r="F7288" i="2"/>
  <c r="G7288" i="2"/>
  <c r="H7288" i="2"/>
  <c r="J7288" i="2"/>
  <c r="K7288" i="2"/>
  <c r="L7288" i="2"/>
  <c r="C7289" i="2"/>
  <c r="D7289" i="2"/>
  <c r="F7289" i="2"/>
  <c r="G7289" i="2"/>
  <c r="H7289" i="2"/>
  <c r="J7289" i="2"/>
  <c r="K7289" i="2"/>
  <c r="L7289" i="2"/>
  <c r="C7290" i="2"/>
  <c r="D7290" i="2"/>
  <c r="F7290" i="2"/>
  <c r="G7290" i="2"/>
  <c r="H7290" i="2"/>
  <c r="J7290" i="2"/>
  <c r="K7290" i="2"/>
  <c r="L7290" i="2"/>
  <c r="C7291" i="2"/>
  <c r="D7291" i="2"/>
  <c r="F7291" i="2"/>
  <c r="G7291" i="2"/>
  <c r="H7291" i="2"/>
  <c r="J7291" i="2"/>
  <c r="K7291" i="2"/>
  <c r="L7291" i="2"/>
  <c r="C7292" i="2"/>
  <c r="D7292" i="2"/>
  <c r="F7292" i="2"/>
  <c r="G7292" i="2"/>
  <c r="H7292" i="2"/>
  <c r="J7292" i="2"/>
  <c r="K7292" i="2"/>
  <c r="L7292" i="2"/>
  <c r="C7293" i="2"/>
  <c r="D7293" i="2"/>
  <c r="F7293" i="2"/>
  <c r="G7293" i="2"/>
  <c r="H7293" i="2"/>
  <c r="J7293" i="2"/>
  <c r="K7293" i="2"/>
  <c r="L7293" i="2"/>
  <c r="C7294" i="2"/>
  <c r="D7294" i="2"/>
  <c r="F7294" i="2"/>
  <c r="G7294" i="2"/>
  <c r="H7294" i="2"/>
  <c r="J7294" i="2"/>
  <c r="K7294" i="2"/>
  <c r="L7294" i="2"/>
  <c r="C7295" i="2"/>
  <c r="D7295" i="2"/>
  <c r="F7295" i="2"/>
  <c r="G7295" i="2"/>
  <c r="H7295" i="2"/>
  <c r="J7295" i="2"/>
  <c r="K7295" i="2"/>
  <c r="L7295" i="2"/>
  <c r="C7296" i="2"/>
  <c r="D7296" i="2"/>
  <c r="F7296" i="2"/>
  <c r="G7296" i="2"/>
  <c r="H7296" i="2"/>
  <c r="J7296" i="2"/>
  <c r="K7296" i="2"/>
  <c r="L7296" i="2"/>
  <c r="C7297" i="2"/>
  <c r="D7297" i="2"/>
  <c r="F7297" i="2"/>
  <c r="G7297" i="2"/>
  <c r="H7297" i="2"/>
  <c r="J7297" i="2"/>
  <c r="K7297" i="2"/>
  <c r="L7297" i="2"/>
  <c r="C7298" i="2"/>
  <c r="D7298" i="2"/>
  <c r="F7298" i="2"/>
  <c r="G7298" i="2"/>
  <c r="H7298" i="2"/>
  <c r="J7298" i="2"/>
  <c r="K7298" i="2"/>
  <c r="L7298" i="2"/>
  <c r="C7299" i="2"/>
  <c r="D7299" i="2"/>
  <c r="F7299" i="2"/>
  <c r="G7299" i="2"/>
  <c r="H7299" i="2"/>
  <c r="J7299" i="2"/>
  <c r="K7299" i="2"/>
  <c r="L7299" i="2"/>
  <c r="C7300" i="2"/>
  <c r="D7300" i="2"/>
  <c r="F7300" i="2"/>
  <c r="G7300" i="2"/>
  <c r="H7300" i="2"/>
  <c r="J7300" i="2"/>
  <c r="K7300" i="2"/>
  <c r="L7300" i="2"/>
  <c r="C7301" i="2"/>
  <c r="D7301" i="2"/>
  <c r="F7301" i="2"/>
  <c r="G7301" i="2"/>
  <c r="H7301" i="2"/>
  <c r="J7301" i="2"/>
  <c r="K7301" i="2"/>
  <c r="L7301" i="2"/>
  <c r="C7302" i="2"/>
  <c r="D7302" i="2"/>
  <c r="F7302" i="2"/>
  <c r="G7302" i="2"/>
  <c r="H7302" i="2"/>
  <c r="J7302" i="2"/>
  <c r="K7302" i="2"/>
  <c r="L7302" i="2"/>
  <c r="C7303" i="2"/>
  <c r="D7303" i="2"/>
  <c r="F7303" i="2"/>
  <c r="G7303" i="2"/>
  <c r="H7303" i="2"/>
  <c r="J7303" i="2"/>
  <c r="K7303" i="2"/>
  <c r="L7303" i="2"/>
  <c r="C7304" i="2"/>
  <c r="D7304" i="2"/>
  <c r="F7304" i="2"/>
  <c r="G7304" i="2"/>
  <c r="H7304" i="2"/>
  <c r="J7304" i="2"/>
  <c r="K7304" i="2"/>
  <c r="L7304" i="2"/>
  <c r="C7305" i="2"/>
  <c r="D7305" i="2"/>
  <c r="F7305" i="2"/>
  <c r="G7305" i="2"/>
  <c r="H7305" i="2"/>
  <c r="J7305" i="2"/>
  <c r="K7305" i="2"/>
  <c r="L7305" i="2"/>
  <c r="C7306" i="2"/>
  <c r="D7306" i="2"/>
  <c r="F7306" i="2"/>
  <c r="G7306" i="2"/>
  <c r="H7306" i="2"/>
  <c r="J7306" i="2"/>
  <c r="K7306" i="2"/>
  <c r="L7306" i="2"/>
  <c r="C7307" i="2"/>
  <c r="D7307" i="2"/>
  <c r="F7307" i="2"/>
  <c r="G7307" i="2"/>
  <c r="H7307" i="2"/>
  <c r="J7307" i="2"/>
  <c r="K7307" i="2"/>
  <c r="L7307" i="2"/>
  <c r="C7308" i="2"/>
  <c r="D7308" i="2"/>
  <c r="F7308" i="2"/>
  <c r="G7308" i="2"/>
  <c r="H7308" i="2"/>
  <c r="J7308" i="2"/>
  <c r="K7308" i="2"/>
  <c r="L7308" i="2"/>
  <c r="C7309" i="2"/>
  <c r="D7309" i="2"/>
  <c r="F7309" i="2"/>
  <c r="G7309" i="2"/>
  <c r="H7309" i="2"/>
  <c r="J7309" i="2"/>
  <c r="K7309" i="2"/>
  <c r="L7309" i="2"/>
  <c r="C7310" i="2"/>
  <c r="D7310" i="2"/>
  <c r="F7310" i="2"/>
  <c r="G7310" i="2"/>
  <c r="H7310" i="2"/>
  <c r="J7310" i="2"/>
  <c r="K7310" i="2"/>
  <c r="L7310" i="2"/>
  <c r="C7311" i="2"/>
  <c r="D7311" i="2"/>
  <c r="F7311" i="2"/>
  <c r="G7311" i="2"/>
  <c r="H7311" i="2"/>
  <c r="J7311" i="2"/>
  <c r="K7311" i="2"/>
  <c r="L7311" i="2"/>
  <c r="C7312" i="2"/>
  <c r="D7312" i="2"/>
  <c r="F7312" i="2"/>
  <c r="G7312" i="2"/>
  <c r="H7312" i="2"/>
  <c r="J7312" i="2"/>
  <c r="K7312" i="2"/>
  <c r="L7312" i="2"/>
  <c r="C7313" i="2"/>
  <c r="D7313" i="2"/>
  <c r="F7313" i="2"/>
  <c r="G7313" i="2"/>
  <c r="H7313" i="2"/>
  <c r="J7313" i="2"/>
  <c r="K7313" i="2"/>
  <c r="L7313" i="2"/>
  <c r="C7314" i="2"/>
  <c r="D7314" i="2"/>
  <c r="F7314" i="2"/>
  <c r="G7314" i="2"/>
  <c r="H7314" i="2"/>
  <c r="J7314" i="2"/>
  <c r="K7314" i="2"/>
  <c r="L7314" i="2"/>
  <c r="C7315" i="2"/>
  <c r="D7315" i="2"/>
  <c r="F7315" i="2"/>
  <c r="G7315" i="2"/>
  <c r="H7315" i="2"/>
  <c r="J7315" i="2"/>
  <c r="K7315" i="2"/>
  <c r="L7315" i="2"/>
  <c r="C7316" i="2"/>
  <c r="D7316" i="2"/>
  <c r="F7316" i="2"/>
  <c r="G7316" i="2"/>
  <c r="H7316" i="2"/>
  <c r="J7316" i="2"/>
  <c r="K7316" i="2"/>
  <c r="L7316" i="2"/>
  <c r="C7317" i="2"/>
  <c r="D7317" i="2"/>
  <c r="F7317" i="2"/>
  <c r="G7317" i="2"/>
  <c r="H7317" i="2"/>
  <c r="J7317" i="2"/>
  <c r="K7317" i="2"/>
  <c r="L7317" i="2"/>
  <c r="C7318" i="2"/>
  <c r="D7318" i="2"/>
  <c r="F7318" i="2"/>
  <c r="G7318" i="2"/>
  <c r="H7318" i="2"/>
  <c r="J7318" i="2"/>
  <c r="K7318" i="2"/>
  <c r="L7318" i="2"/>
  <c r="C7319" i="2"/>
  <c r="D7319" i="2"/>
  <c r="F7319" i="2"/>
  <c r="G7319" i="2"/>
  <c r="H7319" i="2"/>
  <c r="J7319" i="2"/>
  <c r="K7319" i="2"/>
  <c r="L7319" i="2"/>
  <c r="C7320" i="2"/>
  <c r="D7320" i="2"/>
  <c r="F7320" i="2"/>
  <c r="G7320" i="2"/>
  <c r="H7320" i="2"/>
  <c r="J7320" i="2"/>
  <c r="K7320" i="2"/>
  <c r="L7320" i="2"/>
  <c r="C7321" i="2"/>
  <c r="D7321" i="2"/>
  <c r="F7321" i="2"/>
  <c r="G7321" i="2"/>
  <c r="H7321" i="2"/>
  <c r="J7321" i="2"/>
  <c r="K7321" i="2"/>
  <c r="L7321" i="2"/>
  <c r="C7322" i="2"/>
  <c r="D7322" i="2"/>
  <c r="F7322" i="2"/>
  <c r="G7322" i="2"/>
  <c r="H7322" i="2"/>
  <c r="J7322" i="2"/>
  <c r="K7322" i="2"/>
  <c r="L7322" i="2"/>
  <c r="C7323" i="2"/>
  <c r="D7323" i="2"/>
  <c r="F7323" i="2"/>
  <c r="G7323" i="2"/>
  <c r="H7323" i="2"/>
  <c r="J7323" i="2"/>
  <c r="K7323" i="2"/>
  <c r="L7323" i="2"/>
  <c r="C7324" i="2"/>
  <c r="D7324" i="2"/>
  <c r="F7324" i="2"/>
  <c r="G7324" i="2"/>
  <c r="H7324" i="2"/>
  <c r="J7324" i="2"/>
  <c r="K7324" i="2"/>
  <c r="L7324" i="2"/>
  <c r="C7325" i="2"/>
  <c r="D7325" i="2"/>
  <c r="F7325" i="2"/>
  <c r="G7325" i="2"/>
  <c r="H7325" i="2"/>
  <c r="J7325" i="2"/>
  <c r="K7325" i="2"/>
  <c r="L7325" i="2"/>
  <c r="C7326" i="2"/>
  <c r="D7326" i="2"/>
  <c r="F7326" i="2"/>
  <c r="G7326" i="2"/>
  <c r="H7326" i="2"/>
  <c r="J7326" i="2"/>
  <c r="K7326" i="2"/>
  <c r="L7326" i="2"/>
  <c r="C7327" i="2"/>
  <c r="D7327" i="2"/>
  <c r="F7327" i="2"/>
  <c r="G7327" i="2"/>
  <c r="H7327" i="2"/>
  <c r="J7327" i="2"/>
  <c r="K7327" i="2"/>
  <c r="L7327" i="2"/>
  <c r="C7328" i="2"/>
  <c r="D7328" i="2"/>
  <c r="F7328" i="2"/>
  <c r="G7328" i="2"/>
  <c r="H7328" i="2"/>
  <c r="J7328" i="2"/>
  <c r="K7328" i="2"/>
  <c r="L7328" i="2"/>
  <c r="C7329" i="2"/>
  <c r="D7329" i="2"/>
  <c r="F7329" i="2"/>
  <c r="G7329" i="2"/>
  <c r="H7329" i="2"/>
  <c r="J7329" i="2"/>
  <c r="K7329" i="2"/>
  <c r="L7329" i="2"/>
  <c r="C7330" i="2"/>
  <c r="D7330" i="2"/>
  <c r="F7330" i="2"/>
  <c r="G7330" i="2"/>
  <c r="H7330" i="2"/>
  <c r="J7330" i="2"/>
  <c r="K7330" i="2"/>
  <c r="L7330" i="2"/>
  <c r="C7331" i="2"/>
  <c r="D7331" i="2"/>
  <c r="F7331" i="2"/>
  <c r="G7331" i="2"/>
  <c r="H7331" i="2"/>
  <c r="J7331" i="2"/>
  <c r="K7331" i="2"/>
  <c r="L7331" i="2"/>
  <c r="C7332" i="2"/>
  <c r="D7332" i="2"/>
  <c r="F7332" i="2"/>
  <c r="G7332" i="2"/>
  <c r="H7332" i="2"/>
  <c r="J7332" i="2"/>
  <c r="K7332" i="2"/>
  <c r="L7332" i="2"/>
  <c r="C7333" i="2"/>
  <c r="D7333" i="2"/>
  <c r="F7333" i="2"/>
  <c r="G7333" i="2"/>
  <c r="H7333" i="2"/>
  <c r="J7333" i="2"/>
  <c r="K7333" i="2"/>
  <c r="L7333" i="2"/>
  <c r="C7334" i="2"/>
  <c r="D7334" i="2"/>
  <c r="F7334" i="2"/>
  <c r="G7334" i="2"/>
  <c r="H7334" i="2"/>
  <c r="J7334" i="2"/>
  <c r="K7334" i="2"/>
  <c r="L7334" i="2"/>
  <c r="C7335" i="2"/>
  <c r="D7335" i="2"/>
  <c r="F7335" i="2"/>
  <c r="G7335" i="2"/>
  <c r="H7335" i="2"/>
  <c r="J7335" i="2"/>
  <c r="K7335" i="2"/>
  <c r="L7335" i="2"/>
  <c r="C7336" i="2"/>
  <c r="D7336" i="2"/>
  <c r="F7336" i="2"/>
  <c r="G7336" i="2"/>
  <c r="H7336" i="2"/>
  <c r="J7336" i="2"/>
  <c r="K7336" i="2"/>
  <c r="L7336" i="2"/>
  <c r="C7337" i="2"/>
  <c r="D7337" i="2"/>
  <c r="F7337" i="2"/>
  <c r="G7337" i="2"/>
  <c r="H7337" i="2"/>
  <c r="J7337" i="2"/>
  <c r="K7337" i="2"/>
  <c r="L7337" i="2"/>
  <c r="C7338" i="2"/>
  <c r="D7338" i="2"/>
  <c r="F7338" i="2"/>
  <c r="G7338" i="2"/>
  <c r="H7338" i="2"/>
  <c r="J7338" i="2"/>
  <c r="K7338" i="2"/>
  <c r="L7338" i="2"/>
  <c r="C7339" i="2"/>
  <c r="D7339" i="2"/>
  <c r="F7339" i="2"/>
  <c r="G7339" i="2"/>
  <c r="H7339" i="2"/>
  <c r="J7339" i="2"/>
  <c r="K7339" i="2"/>
  <c r="L7339" i="2"/>
  <c r="C7340" i="2"/>
  <c r="D7340" i="2"/>
  <c r="F7340" i="2"/>
  <c r="G7340" i="2"/>
  <c r="H7340" i="2"/>
  <c r="J7340" i="2"/>
  <c r="K7340" i="2"/>
  <c r="L7340" i="2"/>
  <c r="C7341" i="2"/>
  <c r="D7341" i="2"/>
  <c r="F7341" i="2"/>
  <c r="G7341" i="2"/>
  <c r="H7341" i="2"/>
  <c r="J7341" i="2"/>
  <c r="K7341" i="2"/>
  <c r="L7341" i="2"/>
  <c r="C7342" i="2"/>
  <c r="D7342" i="2"/>
  <c r="F7342" i="2"/>
  <c r="G7342" i="2"/>
  <c r="H7342" i="2"/>
  <c r="J7342" i="2"/>
  <c r="K7342" i="2"/>
  <c r="L7342" i="2"/>
  <c r="C7343" i="2"/>
  <c r="D7343" i="2"/>
  <c r="F7343" i="2"/>
  <c r="G7343" i="2"/>
  <c r="H7343" i="2"/>
  <c r="J7343" i="2"/>
  <c r="K7343" i="2"/>
  <c r="L7343" i="2"/>
  <c r="C7344" i="2"/>
  <c r="D7344" i="2"/>
  <c r="F7344" i="2"/>
  <c r="G7344" i="2"/>
  <c r="H7344" i="2"/>
  <c r="J7344" i="2"/>
  <c r="K7344" i="2"/>
  <c r="L7344" i="2"/>
  <c r="C7345" i="2"/>
  <c r="D7345" i="2"/>
  <c r="F7345" i="2"/>
  <c r="G7345" i="2"/>
  <c r="H7345" i="2"/>
  <c r="J7345" i="2"/>
  <c r="K7345" i="2"/>
  <c r="L7345" i="2"/>
  <c r="C7346" i="2"/>
  <c r="D7346" i="2"/>
  <c r="F7346" i="2"/>
  <c r="G7346" i="2"/>
  <c r="H7346" i="2"/>
  <c r="J7346" i="2"/>
  <c r="K7346" i="2"/>
  <c r="L7346" i="2"/>
  <c r="C7347" i="2"/>
  <c r="D7347" i="2"/>
  <c r="F7347" i="2"/>
  <c r="G7347" i="2"/>
  <c r="H7347" i="2"/>
  <c r="J7347" i="2"/>
  <c r="K7347" i="2"/>
  <c r="L7347" i="2"/>
  <c r="C7348" i="2"/>
  <c r="D7348" i="2"/>
  <c r="F7348" i="2"/>
  <c r="G7348" i="2"/>
  <c r="H7348" i="2"/>
  <c r="J7348" i="2"/>
  <c r="K7348" i="2"/>
  <c r="L7348" i="2"/>
  <c r="C7349" i="2"/>
  <c r="D7349" i="2"/>
  <c r="F7349" i="2"/>
  <c r="G7349" i="2"/>
  <c r="H7349" i="2"/>
  <c r="J7349" i="2"/>
  <c r="K7349" i="2"/>
  <c r="L7349" i="2"/>
  <c r="C7350" i="2"/>
  <c r="D7350" i="2"/>
  <c r="F7350" i="2"/>
  <c r="G7350" i="2"/>
  <c r="H7350" i="2"/>
  <c r="J7350" i="2"/>
  <c r="K7350" i="2"/>
  <c r="L7350" i="2"/>
  <c r="C7351" i="2"/>
  <c r="D7351" i="2"/>
  <c r="F7351" i="2"/>
  <c r="G7351" i="2"/>
  <c r="H7351" i="2"/>
  <c r="J7351" i="2"/>
  <c r="K7351" i="2"/>
  <c r="L7351" i="2"/>
  <c r="C7352" i="2"/>
  <c r="D7352" i="2"/>
  <c r="F7352" i="2"/>
  <c r="G7352" i="2"/>
  <c r="H7352" i="2"/>
  <c r="J7352" i="2"/>
  <c r="K7352" i="2"/>
  <c r="L7352" i="2"/>
  <c r="C7353" i="2"/>
  <c r="D7353" i="2"/>
  <c r="F7353" i="2"/>
  <c r="G7353" i="2"/>
  <c r="H7353" i="2"/>
  <c r="J7353" i="2"/>
  <c r="K7353" i="2"/>
  <c r="L7353" i="2"/>
  <c r="C7354" i="2"/>
  <c r="D7354" i="2"/>
  <c r="F7354" i="2"/>
  <c r="G7354" i="2"/>
  <c r="H7354" i="2"/>
  <c r="J7354" i="2"/>
  <c r="K7354" i="2"/>
  <c r="L7354" i="2"/>
  <c r="C7355" i="2"/>
  <c r="D7355" i="2"/>
  <c r="F7355" i="2"/>
  <c r="G7355" i="2"/>
  <c r="H7355" i="2"/>
  <c r="J7355" i="2"/>
  <c r="K7355" i="2"/>
  <c r="L7355" i="2"/>
  <c r="C7356" i="2"/>
  <c r="D7356" i="2"/>
  <c r="F7356" i="2"/>
  <c r="G7356" i="2"/>
  <c r="H7356" i="2"/>
  <c r="J7356" i="2"/>
  <c r="K7356" i="2"/>
  <c r="L7356" i="2"/>
  <c r="C7357" i="2"/>
  <c r="D7357" i="2"/>
  <c r="F7357" i="2"/>
  <c r="G7357" i="2"/>
  <c r="H7357" i="2"/>
  <c r="J7357" i="2"/>
  <c r="K7357" i="2"/>
  <c r="L7357" i="2"/>
  <c r="C7358" i="2"/>
  <c r="D7358" i="2"/>
  <c r="F7358" i="2"/>
  <c r="G7358" i="2"/>
  <c r="H7358" i="2"/>
  <c r="J7358" i="2"/>
  <c r="K7358" i="2"/>
  <c r="L7358" i="2"/>
  <c r="C7359" i="2"/>
  <c r="D7359" i="2"/>
  <c r="F7359" i="2"/>
  <c r="G7359" i="2"/>
  <c r="H7359" i="2"/>
  <c r="J7359" i="2"/>
  <c r="K7359" i="2"/>
  <c r="L7359" i="2"/>
  <c r="C7360" i="2"/>
  <c r="D7360" i="2"/>
  <c r="F7360" i="2"/>
  <c r="G7360" i="2"/>
  <c r="H7360" i="2"/>
  <c r="J7360" i="2"/>
  <c r="K7360" i="2"/>
  <c r="L7360" i="2"/>
  <c r="C7361" i="2"/>
  <c r="D7361" i="2"/>
  <c r="F7361" i="2"/>
  <c r="G7361" i="2"/>
  <c r="H7361" i="2"/>
  <c r="J7361" i="2"/>
  <c r="K7361" i="2"/>
  <c r="L7361" i="2"/>
  <c r="C7362" i="2"/>
  <c r="D7362" i="2"/>
  <c r="F7362" i="2"/>
  <c r="G7362" i="2"/>
  <c r="H7362" i="2"/>
  <c r="J7362" i="2"/>
  <c r="K7362" i="2"/>
  <c r="L7362" i="2"/>
  <c r="C7363" i="2"/>
  <c r="D7363" i="2"/>
  <c r="F7363" i="2"/>
  <c r="G7363" i="2"/>
  <c r="H7363" i="2"/>
  <c r="J7363" i="2"/>
  <c r="K7363" i="2"/>
  <c r="L7363" i="2"/>
  <c r="C7364" i="2"/>
  <c r="D7364" i="2"/>
  <c r="F7364" i="2"/>
  <c r="G7364" i="2"/>
  <c r="H7364" i="2"/>
  <c r="J7364" i="2"/>
  <c r="K7364" i="2"/>
  <c r="L7364" i="2"/>
  <c r="C7365" i="2"/>
  <c r="D7365" i="2"/>
  <c r="F7365" i="2"/>
  <c r="G7365" i="2"/>
  <c r="H7365" i="2"/>
  <c r="J7365" i="2"/>
  <c r="K7365" i="2"/>
  <c r="L7365" i="2"/>
  <c r="D7366" i="2"/>
  <c r="F7366" i="2"/>
  <c r="G7366" i="2"/>
  <c r="H7366" i="2"/>
  <c r="J7366" i="2"/>
  <c r="K7366" i="2"/>
  <c r="L7366" i="2"/>
  <c r="C7367" i="2"/>
  <c r="D7367" i="2"/>
  <c r="F7367" i="2"/>
  <c r="G7367" i="2"/>
  <c r="H7367" i="2"/>
  <c r="J7367" i="2"/>
  <c r="K7367" i="2"/>
  <c r="L7367" i="2"/>
  <c r="C7368" i="2"/>
  <c r="D7368" i="2"/>
  <c r="F7368" i="2"/>
  <c r="G7368" i="2"/>
  <c r="H7368" i="2"/>
  <c r="J7368" i="2"/>
  <c r="K7368" i="2"/>
  <c r="L7368" i="2"/>
  <c r="C7369" i="2"/>
  <c r="D7369" i="2"/>
  <c r="F7369" i="2"/>
  <c r="G7369" i="2"/>
  <c r="H7369" i="2"/>
  <c r="J7369" i="2"/>
  <c r="K7369" i="2"/>
  <c r="L7369" i="2"/>
  <c r="C7370" i="2"/>
  <c r="D7370" i="2"/>
  <c r="F7370" i="2"/>
  <c r="G7370" i="2"/>
  <c r="H7370" i="2"/>
  <c r="J7370" i="2"/>
  <c r="K7370" i="2"/>
  <c r="L7370" i="2"/>
  <c r="C7371" i="2"/>
  <c r="D7371" i="2"/>
  <c r="F7371" i="2"/>
  <c r="G7371" i="2"/>
  <c r="H7371" i="2"/>
  <c r="J7371" i="2"/>
  <c r="K7371" i="2"/>
  <c r="L7371" i="2"/>
  <c r="D7372" i="2"/>
  <c r="F7372" i="2"/>
  <c r="G7372" i="2"/>
  <c r="H7372" i="2"/>
  <c r="J7372" i="2"/>
  <c r="K7372" i="2"/>
  <c r="L7372" i="2"/>
  <c r="C7373" i="2"/>
  <c r="D7373" i="2"/>
  <c r="F7373" i="2"/>
  <c r="G7373" i="2"/>
  <c r="H7373" i="2"/>
  <c r="J7373" i="2"/>
  <c r="K7373" i="2"/>
  <c r="L7373" i="2"/>
  <c r="C7374" i="2"/>
  <c r="D7374" i="2"/>
  <c r="F7374" i="2"/>
  <c r="G7374" i="2"/>
  <c r="H7374" i="2"/>
  <c r="J7374" i="2"/>
  <c r="K7374" i="2"/>
  <c r="L7374" i="2"/>
  <c r="C7375" i="2"/>
  <c r="D7375" i="2"/>
  <c r="F7375" i="2"/>
  <c r="G7375" i="2"/>
  <c r="H7375" i="2"/>
  <c r="J7375" i="2"/>
  <c r="K7375" i="2"/>
  <c r="L7375" i="2"/>
  <c r="C7376" i="2"/>
  <c r="D7376" i="2"/>
  <c r="F7376" i="2"/>
  <c r="G7376" i="2"/>
  <c r="H7376" i="2"/>
  <c r="J7376" i="2"/>
  <c r="K7376" i="2"/>
  <c r="L7376" i="2"/>
  <c r="C7377" i="2"/>
  <c r="D7377" i="2"/>
  <c r="F7377" i="2"/>
  <c r="G7377" i="2"/>
  <c r="H7377" i="2"/>
  <c r="J7377" i="2"/>
  <c r="K7377" i="2"/>
  <c r="L7377" i="2"/>
  <c r="C7378" i="2"/>
  <c r="D7378" i="2"/>
  <c r="F7378" i="2"/>
  <c r="G7378" i="2"/>
  <c r="H7378" i="2"/>
  <c r="J7378" i="2"/>
  <c r="K7378" i="2"/>
  <c r="L7378" i="2"/>
  <c r="C7379" i="2"/>
  <c r="D7379" i="2"/>
  <c r="F7379" i="2"/>
  <c r="G7379" i="2"/>
  <c r="H7379" i="2"/>
  <c r="J7379" i="2"/>
  <c r="K7379" i="2"/>
  <c r="L7379" i="2"/>
  <c r="C7380" i="2"/>
  <c r="D7380" i="2"/>
  <c r="F7380" i="2"/>
  <c r="G7380" i="2"/>
  <c r="H7380" i="2"/>
  <c r="J7380" i="2"/>
  <c r="K7380" i="2"/>
  <c r="L7380" i="2"/>
  <c r="C7381" i="2"/>
  <c r="D7381" i="2"/>
  <c r="F7381" i="2"/>
  <c r="G7381" i="2"/>
  <c r="H7381" i="2"/>
  <c r="J7381" i="2"/>
  <c r="K7381" i="2"/>
  <c r="L7381" i="2"/>
  <c r="C7382" i="2"/>
  <c r="D7382" i="2"/>
  <c r="F7382" i="2"/>
  <c r="G7382" i="2"/>
  <c r="H7382" i="2"/>
  <c r="J7382" i="2"/>
  <c r="K7382" i="2"/>
  <c r="L7382" i="2"/>
  <c r="C7383" i="2"/>
  <c r="D7383" i="2"/>
  <c r="F7383" i="2"/>
  <c r="G7383" i="2"/>
  <c r="H7383" i="2"/>
  <c r="J7383" i="2"/>
  <c r="K7383" i="2"/>
  <c r="L7383" i="2"/>
  <c r="C7384" i="2"/>
  <c r="D7384" i="2"/>
  <c r="F7384" i="2"/>
  <c r="G7384" i="2"/>
  <c r="H7384" i="2"/>
  <c r="J7384" i="2"/>
  <c r="K7384" i="2"/>
  <c r="L7384" i="2"/>
  <c r="C7385" i="2"/>
  <c r="D7385" i="2"/>
  <c r="F7385" i="2"/>
  <c r="G7385" i="2"/>
  <c r="H7385" i="2"/>
  <c r="J7385" i="2"/>
  <c r="K7385" i="2"/>
  <c r="L7385" i="2"/>
  <c r="C7386" i="2"/>
  <c r="D7386" i="2"/>
  <c r="F7386" i="2"/>
  <c r="G7386" i="2"/>
  <c r="H7386" i="2"/>
  <c r="J7386" i="2"/>
  <c r="K7386" i="2"/>
  <c r="L7386" i="2"/>
  <c r="C7387" i="2"/>
  <c r="D7387" i="2"/>
  <c r="F7387" i="2"/>
  <c r="G7387" i="2"/>
  <c r="H7387" i="2"/>
  <c r="J7387" i="2"/>
  <c r="K7387" i="2"/>
  <c r="L7387" i="2"/>
  <c r="C7388" i="2"/>
  <c r="D7388" i="2"/>
  <c r="F7388" i="2"/>
  <c r="G7388" i="2"/>
  <c r="H7388" i="2"/>
  <c r="J7388" i="2"/>
  <c r="K7388" i="2"/>
  <c r="L7388" i="2"/>
  <c r="C7389" i="2"/>
  <c r="D7389" i="2"/>
  <c r="F7389" i="2"/>
  <c r="G7389" i="2"/>
  <c r="H7389" i="2"/>
  <c r="J7389" i="2"/>
  <c r="K7389" i="2"/>
  <c r="L7389" i="2"/>
  <c r="C7390" i="2"/>
  <c r="D7390" i="2"/>
  <c r="F7390" i="2"/>
  <c r="G7390" i="2"/>
  <c r="H7390" i="2"/>
  <c r="J7390" i="2"/>
  <c r="K7390" i="2"/>
  <c r="L7390" i="2"/>
  <c r="C7391" i="2"/>
  <c r="D7391" i="2"/>
  <c r="F7391" i="2"/>
  <c r="G7391" i="2"/>
  <c r="H7391" i="2"/>
  <c r="J7391" i="2"/>
  <c r="K7391" i="2"/>
  <c r="L7391" i="2"/>
  <c r="C7392" i="2"/>
  <c r="D7392" i="2"/>
  <c r="F7392" i="2"/>
  <c r="G7392" i="2"/>
  <c r="H7392" i="2"/>
  <c r="J7392" i="2"/>
  <c r="K7392" i="2"/>
  <c r="L7392" i="2"/>
  <c r="C7393" i="2"/>
  <c r="D7393" i="2"/>
  <c r="F7393" i="2"/>
  <c r="G7393" i="2"/>
  <c r="H7393" i="2"/>
  <c r="J7393" i="2"/>
  <c r="K7393" i="2"/>
  <c r="L7393" i="2"/>
  <c r="C7394" i="2"/>
  <c r="D7394" i="2"/>
  <c r="F7394" i="2"/>
  <c r="G7394" i="2"/>
  <c r="H7394" i="2"/>
  <c r="J7394" i="2"/>
  <c r="K7394" i="2"/>
  <c r="L7394" i="2"/>
  <c r="C7395" i="2"/>
  <c r="D7395" i="2"/>
  <c r="F7395" i="2"/>
  <c r="G7395" i="2"/>
  <c r="H7395" i="2"/>
  <c r="J7395" i="2"/>
  <c r="K7395" i="2"/>
  <c r="L7395" i="2"/>
  <c r="C7396" i="2"/>
  <c r="D7396" i="2"/>
  <c r="F7396" i="2"/>
  <c r="G7396" i="2"/>
  <c r="H7396" i="2"/>
  <c r="J7396" i="2"/>
  <c r="K7396" i="2"/>
  <c r="L7396" i="2"/>
  <c r="C7397" i="2"/>
  <c r="D7397" i="2"/>
  <c r="F7397" i="2"/>
  <c r="G7397" i="2"/>
  <c r="H7397" i="2"/>
  <c r="J7397" i="2"/>
  <c r="K7397" i="2"/>
  <c r="L7397" i="2"/>
  <c r="C7398" i="2"/>
  <c r="D7398" i="2"/>
  <c r="F7398" i="2"/>
  <c r="G7398" i="2"/>
  <c r="H7398" i="2"/>
  <c r="J7398" i="2"/>
  <c r="K7398" i="2"/>
  <c r="L7398" i="2"/>
  <c r="C7399" i="2"/>
  <c r="D7399" i="2"/>
  <c r="F7399" i="2"/>
  <c r="G7399" i="2"/>
  <c r="H7399" i="2"/>
  <c r="J7399" i="2"/>
  <c r="K7399" i="2"/>
  <c r="L7399" i="2"/>
  <c r="C7400" i="2"/>
  <c r="D7400" i="2"/>
  <c r="F7400" i="2"/>
  <c r="G7400" i="2"/>
  <c r="H7400" i="2"/>
  <c r="J7400" i="2"/>
  <c r="K7400" i="2"/>
  <c r="L7400" i="2"/>
  <c r="C7401" i="2"/>
  <c r="D7401" i="2"/>
  <c r="F7401" i="2"/>
  <c r="G7401" i="2"/>
  <c r="H7401" i="2"/>
  <c r="J7401" i="2"/>
  <c r="K7401" i="2"/>
  <c r="L7401" i="2"/>
  <c r="C7402" i="2"/>
  <c r="D7402" i="2"/>
  <c r="F7402" i="2"/>
  <c r="G7402" i="2"/>
  <c r="H7402" i="2"/>
  <c r="J7402" i="2"/>
  <c r="K7402" i="2"/>
  <c r="L7402" i="2"/>
  <c r="C7403" i="2"/>
  <c r="D7403" i="2"/>
  <c r="F7403" i="2"/>
  <c r="G7403" i="2"/>
  <c r="H7403" i="2"/>
  <c r="J7403" i="2"/>
  <c r="K7403" i="2"/>
  <c r="L7403" i="2"/>
  <c r="C7404" i="2"/>
  <c r="D7404" i="2"/>
  <c r="F7404" i="2"/>
  <c r="G7404" i="2"/>
  <c r="H7404" i="2"/>
  <c r="J7404" i="2"/>
  <c r="K7404" i="2"/>
  <c r="L7404" i="2"/>
  <c r="C7405" i="2"/>
  <c r="D7405" i="2"/>
  <c r="F7405" i="2"/>
  <c r="G7405" i="2"/>
  <c r="H7405" i="2"/>
  <c r="J7405" i="2"/>
  <c r="K7405" i="2"/>
  <c r="L7405" i="2"/>
  <c r="C7406" i="2"/>
  <c r="D7406" i="2"/>
  <c r="F7406" i="2"/>
  <c r="G7406" i="2"/>
  <c r="H7406" i="2"/>
  <c r="J7406" i="2"/>
  <c r="K7406" i="2"/>
  <c r="L7406" i="2"/>
  <c r="C7407" i="2"/>
  <c r="D7407" i="2"/>
  <c r="F7407" i="2"/>
  <c r="G7407" i="2"/>
  <c r="H7407" i="2"/>
  <c r="J7407" i="2"/>
  <c r="K7407" i="2"/>
  <c r="L7407" i="2"/>
  <c r="C7408" i="2"/>
  <c r="D7408" i="2"/>
  <c r="F7408" i="2"/>
  <c r="G7408" i="2"/>
  <c r="H7408" i="2"/>
  <c r="J7408" i="2"/>
  <c r="K7408" i="2"/>
  <c r="L7408" i="2"/>
  <c r="C7409" i="2"/>
  <c r="D7409" i="2"/>
  <c r="F7409" i="2"/>
  <c r="G7409" i="2"/>
  <c r="H7409" i="2"/>
  <c r="J7409" i="2"/>
  <c r="K7409" i="2"/>
  <c r="L7409" i="2"/>
  <c r="C7410" i="2"/>
  <c r="D7410" i="2"/>
  <c r="F7410" i="2"/>
  <c r="G7410" i="2"/>
  <c r="H7410" i="2"/>
  <c r="J7410" i="2"/>
  <c r="K7410" i="2"/>
  <c r="L7410" i="2"/>
  <c r="C7411" i="2"/>
  <c r="D7411" i="2"/>
  <c r="F7411" i="2"/>
  <c r="G7411" i="2"/>
  <c r="H7411" i="2"/>
  <c r="J7411" i="2"/>
  <c r="K7411" i="2"/>
  <c r="L7411" i="2"/>
  <c r="C7412" i="2"/>
  <c r="D7412" i="2"/>
  <c r="F7412" i="2"/>
  <c r="G7412" i="2"/>
  <c r="H7412" i="2"/>
  <c r="J7412" i="2"/>
  <c r="K7412" i="2"/>
  <c r="L7412" i="2"/>
  <c r="C7413" i="2"/>
  <c r="D7413" i="2"/>
  <c r="F7413" i="2"/>
  <c r="G7413" i="2"/>
  <c r="H7413" i="2"/>
  <c r="J7413" i="2"/>
  <c r="K7413" i="2"/>
  <c r="L7413" i="2"/>
  <c r="C7414" i="2"/>
  <c r="D7414" i="2"/>
  <c r="F7414" i="2"/>
  <c r="G7414" i="2"/>
  <c r="H7414" i="2"/>
  <c r="J7414" i="2"/>
  <c r="K7414" i="2"/>
  <c r="L7414" i="2"/>
  <c r="C7415" i="2"/>
  <c r="D7415" i="2"/>
  <c r="F7415" i="2"/>
  <c r="G7415" i="2"/>
  <c r="H7415" i="2"/>
  <c r="J7415" i="2"/>
  <c r="K7415" i="2"/>
  <c r="L7415" i="2"/>
  <c r="C7416" i="2"/>
  <c r="D7416" i="2"/>
  <c r="F7416" i="2"/>
  <c r="G7416" i="2"/>
  <c r="H7416" i="2"/>
  <c r="J7416" i="2"/>
  <c r="K7416" i="2"/>
  <c r="L7416" i="2"/>
  <c r="C7417" i="2"/>
  <c r="D7417" i="2"/>
  <c r="F7417" i="2"/>
  <c r="G7417" i="2"/>
  <c r="H7417" i="2"/>
  <c r="J7417" i="2"/>
  <c r="K7417" i="2"/>
  <c r="L7417" i="2"/>
  <c r="C7418" i="2"/>
  <c r="D7418" i="2"/>
  <c r="F7418" i="2"/>
  <c r="G7418" i="2"/>
  <c r="H7418" i="2"/>
  <c r="J7418" i="2"/>
  <c r="K7418" i="2"/>
  <c r="L7418" i="2"/>
  <c r="C7419" i="2"/>
  <c r="D7419" i="2"/>
  <c r="F7419" i="2"/>
  <c r="G7419" i="2"/>
  <c r="H7419" i="2"/>
  <c r="J7419" i="2"/>
  <c r="K7419" i="2"/>
  <c r="L7419" i="2"/>
  <c r="C7420" i="2"/>
  <c r="D7420" i="2"/>
  <c r="F7420" i="2"/>
  <c r="G7420" i="2"/>
  <c r="H7420" i="2"/>
  <c r="J7420" i="2"/>
  <c r="K7420" i="2"/>
  <c r="L7420" i="2"/>
  <c r="C7421" i="2"/>
  <c r="D7421" i="2"/>
  <c r="F7421" i="2"/>
  <c r="G7421" i="2"/>
  <c r="H7421" i="2"/>
  <c r="J7421" i="2"/>
  <c r="K7421" i="2"/>
  <c r="L7421" i="2"/>
  <c r="C7422" i="2"/>
  <c r="D7422" i="2"/>
  <c r="F7422" i="2"/>
  <c r="G7422" i="2"/>
  <c r="H7422" i="2"/>
  <c r="J7422" i="2"/>
  <c r="K7422" i="2"/>
  <c r="L7422" i="2"/>
  <c r="C7423" i="2"/>
  <c r="D7423" i="2"/>
  <c r="F7423" i="2"/>
  <c r="G7423" i="2"/>
  <c r="H7423" i="2"/>
  <c r="J7423" i="2"/>
  <c r="K7423" i="2"/>
  <c r="L7423" i="2"/>
  <c r="C7424" i="2"/>
  <c r="D7424" i="2"/>
  <c r="F7424" i="2"/>
  <c r="G7424" i="2"/>
  <c r="H7424" i="2"/>
  <c r="J7424" i="2"/>
  <c r="K7424" i="2"/>
  <c r="L7424" i="2"/>
  <c r="C7425" i="2"/>
  <c r="D7425" i="2"/>
  <c r="F7425" i="2"/>
  <c r="G7425" i="2"/>
  <c r="H7425" i="2"/>
  <c r="J7425" i="2"/>
  <c r="K7425" i="2"/>
  <c r="L7425" i="2"/>
  <c r="C7426" i="2"/>
  <c r="D7426" i="2"/>
  <c r="F7426" i="2"/>
  <c r="G7426" i="2"/>
  <c r="H7426" i="2"/>
  <c r="J7426" i="2"/>
  <c r="K7426" i="2"/>
  <c r="L7426" i="2"/>
  <c r="C7427" i="2"/>
  <c r="D7427" i="2"/>
  <c r="F7427" i="2"/>
  <c r="G7427" i="2"/>
  <c r="H7427" i="2"/>
  <c r="J7427" i="2"/>
  <c r="K7427" i="2"/>
  <c r="L7427" i="2"/>
  <c r="C7428" i="2"/>
  <c r="D7428" i="2"/>
  <c r="F7428" i="2"/>
  <c r="G7428" i="2"/>
  <c r="H7428" i="2"/>
  <c r="J7428" i="2"/>
  <c r="K7428" i="2"/>
  <c r="L7428" i="2"/>
  <c r="C7429" i="2"/>
  <c r="D7429" i="2"/>
  <c r="F7429" i="2"/>
  <c r="G7429" i="2"/>
  <c r="H7429" i="2"/>
  <c r="J7429" i="2"/>
  <c r="K7429" i="2"/>
  <c r="L7429" i="2"/>
  <c r="C7430" i="2"/>
  <c r="D7430" i="2"/>
  <c r="F7430" i="2"/>
  <c r="G7430" i="2"/>
  <c r="H7430" i="2"/>
  <c r="J7430" i="2"/>
  <c r="K7430" i="2"/>
  <c r="L7430" i="2"/>
  <c r="C7431" i="2"/>
  <c r="D7431" i="2"/>
  <c r="F7431" i="2"/>
  <c r="G7431" i="2"/>
  <c r="H7431" i="2"/>
  <c r="J7431" i="2"/>
  <c r="K7431" i="2"/>
  <c r="L7431" i="2"/>
  <c r="C7432" i="2"/>
  <c r="D7432" i="2"/>
  <c r="F7432" i="2"/>
  <c r="G7432" i="2"/>
  <c r="H7432" i="2"/>
  <c r="J7432" i="2"/>
  <c r="K7432" i="2"/>
  <c r="L7432" i="2"/>
  <c r="C7433" i="2"/>
  <c r="D7433" i="2"/>
  <c r="F7433" i="2"/>
  <c r="G7433" i="2"/>
  <c r="H7433" i="2"/>
  <c r="J7433" i="2"/>
  <c r="K7433" i="2"/>
  <c r="L7433" i="2"/>
  <c r="C7434" i="2"/>
  <c r="D7434" i="2"/>
  <c r="F7434" i="2"/>
  <c r="G7434" i="2"/>
  <c r="H7434" i="2"/>
  <c r="J7434" i="2"/>
  <c r="K7434" i="2"/>
  <c r="L7434" i="2"/>
  <c r="C7435" i="2"/>
  <c r="D7435" i="2"/>
  <c r="F7435" i="2"/>
  <c r="G7435" i="2"/>
  <c r="H7435" i="2"/>
  <c r="J7435" i="2"/>
  <c r="K7435" i="2"/>
  <c r="L7435" i="2"/>
  <c r="C7436" i="2"/>
  <c r="D7436" i="2"/>
  <c r="F7436" i="2"/>
  <c r="G7436" i="2"/>
  <c r="H7436" i="2"/>
  <c r="J7436" i="2"/>
  <c r="K7436" i="2"/>
  <c r="L7436" i="2"/>
  <c r="C7437" i="2"/>
  <c r="D7437" i="2"/>
  <c r="F7437" i="2"/>
  <c r="G7437" i="2"/>
  <c r="H7437" i="2"/>
  <c r="J7437" i="2"/>
  <c r="K7437" i="2"/>
  <c r="L7437" i="2"/>
  <c r="C7438" i="2"/>
  <c r="D7438" i="2"/>
  <c r="F7438" i="2"/>
  <c r="G7438" i="2"/>
  <c r="H7438" i="2"/>
  <c r="J7438" i="2"/>
  <c r="K7438" i="2"/>
  <c r="L7438" i="2"/>
  <c r="C7439" i="2"/>
  <c r="D7439" i="2"/>
  <c r="F7439" i="2"/>
  <c r="G7439" i="2"/>
  <c r="H7439" i="2"/>
  <c r="J7439" i="2"/>
  <c r="K7439" i="2"/>
  <c r="L7439" i="2"/>
  <c r="C7440" i="2"/>
  <c r="D7440" i="2"/>
  <c r="F7440" i="2"/>
  <c r="G7440" i="2"/>
  <c r="H7440" i="2"/>
  <c r="J7440" i="2"/>
  <c r="K7440" i="2"/>
  <c r="L7440" i="2"/>
  <c r="C7441" i="2"/>
  <c r="D7441" i="2"/>
  <c r="F7441" i="2"/>
  <c r="G7441" i="2"/>
  <c r="H7441" i="2"/>
  <c r="J7441" i="2"/>
  <c r="K7441" i="2"/>
  <c r="L7441" i="2"/>
  <c r="C7442" i="2"/>
  <c r="D7442" i="2"/>
  <c r="F7442" i="2"/>
  <c r="G7442" i="2"/>
  <c r="H7442" i="2"/>
  <c r="J7442" i="2"/>
  <c r="K7442" i="2"/>
  <c r="L7442" i="2"/>
  <c r="C7443" i="2"/>
  <c r="D7443" i="2"/>
  <c r="F7443" i="2"/>
  <c r="G7443" i="2"/>
  <c r="H7443" i="2"/>
  <c r="J7443" i="2"/>
  <c r="K7443" i="2"/>
  <c r="L7443" i="2"/>
  <c r="C7444" i="2"/>
  <c r="D7444" i="2"/>
  <c r="F7444" i="2"/>
  <c r="G7444" i="2"/>
  <c r="H7444" i="2"/>
  <c r="J7444" i="2"/>
  <c r="K7444" i="2"/>
  <c r="L7444" i="2"/>
  <c r="C7445" i="2"/>
  <c r="D7445" i="2"/>
  <c r="F7445" i="2"/>
  <c r="G7445" i="2"/>
  <c r="H7445" i="2"/>
  <c r="J7445" i="2"/>
  <c r="K7445" i="2"/>
  <c r="L7445" i="2"/>
  <c r="C7446" i="2"/>
  <c r="D7446" i="2"/>
  <c r="F7446" i="2"/>
  <c r="G7446" i="2"/>
  <c r="H7446" i="2"/>
  <c r="J7446" i="2"/>
  <c r="K7446" i="2"/>
  <c r="L7446" i="2"/>
  <c r="C7447" i="2"/>
  <c r="D7447" i="2"/>
  <c r="F7447" i="2"/>
  <c r="G7447" i="2"/>
  <c r="H7447" i="2"/>
  <c r="J7447" i="2"/>
  <c r="K7447" i="2"/>
  <c r="L7447" i="2"/>
  <c r="C7448" i="2"/>
  <c r="D7448" i="2"/>
  <c r="F7448" i="2"/>
  <c r="G7448" i="2"/>
  <c r="H7448" i="2"/>
  <c r="J7448" i="2"/>
  <c r="K7448" i="2"/>
  <c r="L7448" i="2"/>
  <c r="C7449" i="2"/>
  <c r="D7449" i="2"/>
  <c r="F7449" i="2"/>
  <c r="G7449" i="2"/>
  <c r="H7449" i="2"/>
  <c r="J7449" i="2"/>
  <c r="K7449" i="2"/>
  <c r="L7449" i="2"/>
  <c r="C7450" i="2"/>
  <c r="D7450" i="2"/>
  <c r="F7450" i="2"/>
  <c r="G7450" i="2"/>
  <c r="H7450" i="2"/>
  <c r="J7450" i="2"/>
  <c r="K7450" i="2"/>
  <c r="L7450" i="2"/>
  <c r="C7451" i="2"/>
  <c r="D7451" i="2"/>
  <c r="F7451" i="2"/>
  <c r="G7451" i="2"/>
  <c r="H7451" i="2"/>
  <c r="J7451" i="2"/>
  <c r="K7451" i="2"/>
  <c r="L7451" i="2"/>
  <c r="C7452" i="2"/>
  <c r="D7452" i="2"/>
  <c r="F7452" i="2"/>
  <c r="G7452" i="2"/>
  <c r="H7452" i="2"/>
  <c r="J7452" i="2"/>
  <c r="K7452" i="2"/>
  <c r="L7452" i="2"/>
  <c r="C7453" i="2"/>
  <c r="D7453" i="2"/>
  <c r="F7453" i="2"/>
  <c r="G7453" i="2"/>
  <c r="H7453" i="2"/>
  <c r="J7453" i="2"/>
  <c r="K7453" i="2"/>
  <c r="L7453" i="2"/>
  <c r="C7454" i="2"/>
  <c r="D7454" i="2"/>
  <c r="F7454" i="2"/>
  <c r="G7454" i="2"/>
  <c r="H7454" i="2"/>
  <c r="J7454" i="2"/>
  <c r="K7454" i="2"/>
  <c r="L7454" i="2"/>
  <c r="C7455" i="2"/>
  <c r="D7455" i="2"/>
  <c r="F7455" i="2"/>
  <c r="G7455" i="2"/>
  <c r="H7455" i="2"/>
  <c r="J7455" i="2"/>
  <c r="K7455" i="2"/>
  <c r="L7455" i="2"/>
  <c r="C7456" i="2"/>
  <c r="D7456" i="2"/>
  <c r="F7456" i="2"/>
  <c r="G7456" i="2"/>
  <c r="H7456" i="2"/>
  <c r="J7456" i="2"/>
  <c r="K7456" i="2"/>
  <c r="L7456" i="2"/>
  <c r="C7457" i="2"/>
  <c r="D7457" i="2"/>
  <c r="F7457" i="2"/>
  <c r="G7457" i="2"/>
  <c r="H7457" i="2"/>
  <c r="J7457" i="2"/>
  <c r="K7457" i="2"/>
  <c r="L7457" i="2"/>
  <c r="C7458" i="2"/>
  <c r="D7458" i="2"/>
  <c r="F7458" i="2"/>
  <c r="G7458" i="2"/>
  <c r="H7458" i="2"/>
  <c r="J7458" i="2"/>
  <c r="K7458" i="2"/>
  <c r="L7458" i="2"/>
  <c r="C7459" i="2"/>
  <c r="D7459" i="2"/>
  <c r="F7459" i="2"/>
  <c r="G7459" i="2"/>
  <c r="H7459" i="2"/>
  <c r="J7459" i="2"/>
  <c r="K7459" i="2"/>
  <c r="L7459" i="2"/>
  <c r="C7460" i="2"/>
  <c r="D7460" i="2"/>
  <c r="F7460" i="2"/>
  <c r="G7460" i="2"/>
  <c r="H7460" i="2"/>
  <c r="J7460" i="2"/>
  <c r="K7460" i="2"/>
  <c r="L7460" i="2"/>
  <c r="C7461" i="2"/>
  <c r="D7461" i="2"/>
  <c r="F7461" i="2"/>
  <c r="G7461" i="2"/>
  <c r="H7461" i="2"/>
  <c r="J7461" i="2"/>
  <c r="K7461" i="2"/>
  <c r="L7461" i="2"/>
  <c r="C7462" i="2"/>
  <c r="D7462" i="2"/>
  <c r="F7462" i="2"/>
  <c r="G7462" i="2"/>
  <c r="H7462" i="2"/>
  <c r="J7462" i="2"/>
  <c r="K7462" i="2"/>
  <c r="L7462" i="2"/>
  <c r="C7463" i="2"/>
  <c r="D7463" i="2"/>
  <c r="F7463" i="2"/>
  <c r="G7463" i="2"/>
  <c r="H7463" i="2"/>
  <c r="J7463" i="2"/>
  <c r="K7463" i="2"/>
  <c r="L7463" i="2"/>
  <c r="C7464" i="2"/>
  <c r="D7464" i="2"/>
  <c r="F7464" i="2"/>
  <c r="G7464" i="2"/>
  <c r="H7464" i="2"/>
  <c r="J7464" i="2"/>
  <c r="K7464" i="2"/>
  <c r="L7464" i="2"/>
  <c r="C7465" i="2"/>
  <c r="D7465" i="2"/>
  <c r="F7465" i="2"/>
  <c r="G7465" i="2"/>
  <c r="H7465" i="2"/>
  <c r="J7465" i="2"/>
  <c r="K7465" i="2"/>
  <c r="L7465" i="2"/>
  <c r="C7466" i="2"/>
  <c r="D7466" i="2"/>
  <c r="F7466" i="2"/>
  <c r="G7466" i="2"/>
  <c r="H7466" i="2"/>
  <c r="J7466" i="2"/>
  <c r="K7466" i="2"/>
  <c r="L7466" i="2"/>
  <c r="C7467" i="2"/>
  <c r="D7467" i="2"/>
  <c r="F7467" i="2"/>
  <c r="G7467" i="2"/>
  <c r="H7467" i="2"/>
  <c r="J7467" i="2"/>
  <c r="K7467" i="2"/>
  <c r="L7467" i="2"/>
  <c r="C7468" i="2"/>
  <c r="D7468" i="2"/>
  <c r="F7468" i="2"/>
  <c r="G7468" i="2"/>
  <c r="H7468" i="2"/>
  <c r="J7468" i="2"/>
  <c r="K7468" i="2"/>
  <c r="L7468" i="2"/>
  <c r="C7469" i="2"/>
  <c r="D7469" i="2"/>
  <c r="F7469" i="2"/>
  <c r="G7469" i="2"/>
  <c r="H7469" i="2"/>
  <c r="J7469" i="2"/>
  <c r="K7469" i="2"/>
  <c r="L7469" i="2"/>
  <c r="C7470" i="2"/>
  <c r="D7470" i="2"/>
  <c r="F7470" i="2"/>
  <c r="G7470" i="2"/>
  <c r="H7470" i="2"/>
  <c r="J7470" i="2"/>
  <c r="K7470" i="2"/>
  <c r="L7470" i="2"/>
  <c r="C7471" i="2"/>
  <c r="D7471" i="2"/>
  <c r="F7471" i="2"/>
  <c r="G7471" i="2"/>
  <c r="H7471" i="2"/>
  <c r="J7471" i="2"/>
  <c r="K7471" i="2"/>
  <c r="L7471" i="2"/>
  <c r="C7472" i="2"/>
  <c r="D7472" i="2"/>
  <c r="F7472" i="2"/>
  <c r="G7472" i="2"/>
  <c r="H7472" i="2"/>
  <c r="J7472" i="2"/>
  <c r="K7472" i="2"/>
  <c r="L7472" i="2"/>
  <c r="C7473" i="2"/>
  <c r="D7473" i="2"/>
  <c r="F7473" i="2"/>
  <c r="G7473" i="2"/>
  <c r="H7473" i="2"/>
  <c r="J7473" i="2"/>
  <c r="K7473" i="2"/>
  <c r="L7473" i="2"/>
  <c r="C7474" i="2"/>
  <c r="D7474" i="2"/>
  <c r="F7474" i="2"/>
  <c r="G7474" i="2"/>
  <c r="H7474" i="2"/>
  <c r="J7474" i="2"/>
  <c r="K7474" i="2"/>
  <c r="L7474" i="2"/>
  <c r="C7475" i="2"/>
  <c r="D7475" i="2"/>
  <c r="F7475" i="2"/>
  <c r="G7475" i="2"/>
  <c r="H7475" i="2"/>
  <c r="J7475" i="2"/>
  <c r="K7475" i="2"/>
  <c r="L7475" i="2"/>
  <c r="C7476" i="2"/>
  <c r="D7476" i="2"/>
  <c r="F7476" i="2"/>
  <c r="G7476" i="2"/>
  <c r="H7476" i="2"/>
  <c r="J7476" i="2"/>
  <c r="K7476" i="2"/>
  <c r="L7476" i="2"/>
  <c r="C7477" i="2"/>
  <c r="D7477" i="2"/>
  <c r="F7477" i="2"/>
  <c r="G7477" i="2"/>
  <c r="H7477" i="2"/>
  <c r="J7477" i="2"/>
  <c r="K7477" i="2"/>
  <c r="L7477" i="2"/>
  <c r="C7478" i="2"/>
  <c r="D7478" i="2"/>
  <c r="F7478" i="2"/>
  <c r="G7478" i="2"/>
  <c r="H7478" i="2"/>
  <c r="J7478" i="2"/>
  <c r="K7478" i="2"/>
  <c r="L7478" i="2"/>
  <c r="C7479" i="2"/>
  <c r="D7479" i="2"/>
  <c r="F7479" i="2"/>
  <c r="G7479" i="2"/>
  <c r="H7479" i="2"/>
  <c r="J7479" i="2"/>
  <c r="K7479" i="2"/>
  <c r="L7479" i="2"/>
  <c r="C7480" i="2"/>
  <c r="D7480" i="2"/>
  <c r="F7480" i="2"/>
  <c r="G7480" i="2"/>
  <c r="H7480" i="2"/>
  <c r="J7480" i="2"/>
  <c r="K7480" i="2"/>
  <c r="L7480" i="2"/>
  <c r="C7481" i="2"/>
  <c r="D7481" i="2"/>
  <c r="F7481" i="2"/>
  <c r="G7481" i="2"/>
  <c r="H7481" i="2"/>
  <c r="J7481" i="2"/>
  <c r="K7481" i="2"/>
  <c r="L7481" i="2"/>
  <c r="C7482" i="2"/>
  <c r="D7482" i="2"/>
  <c r="F7482" i="2"/>
  <c r="G7482" i="2"/>
  <c r="H7482" i="2"/>
  <c r="J7482" i="2"/>
  <c r="K7482" i="2"/>
  <c r="L7482" i="2"/>
  <c r="C7483" i="2"/>
  <c r="D7483" i="2"/>
  <c r="F7483" i="2"/>
  <c r="G7483" i="2"/>
  <c r="H7483" i="2"/>
  <c r="J7483" i="2"/>
  <c r="K7483" i="2"/>
  <c r="L7483" i="2"/>
  <c r="C7484" i="2"/>
  <c r="D7484" i="2"/>
  <c r="F7484" i="2"/>
  <c r="G7484" i="2"/>
  <c r="H7484" i="2"/>
  <c r="J7484" i="2"/>
  <c r="K7484" i="2"/>
  <c r="L7484" i="2"/>
  <c r="C7485" i="2"/>
  <c r="D7485" i="2"/>
  <c r="F7485" i="2"/>
  <c r="G7485" i="2"/>
  <c r="H7485" i="2"/>
  <c r="J7485" i="2"/>
  <c r="K7485" i="2"/>
  <c r="L7485" i="2"/>
  <c r="C7486" i="2"/>
  <c r="D7486" i="2"/>
  <c r="F7486" i="2"/>
  <c r="G7486" i="2"/>
  <c r="H7486" i="2"/>
  <c r="J7486" i="2"/>
  <c r="K7486" i="2"/>
  <c r="L7486" i="2"/>
  <c r="C7487" i="2"/>
  <c r="D7487" i="2"/>
  <c r="F7487" i="2"/>
  <c r="G7487" i="2"/>
  <c r="H7487" i="2"/>
  <c r="J7487" i="2"/>
  <c r="K7487" i="2"/>
  <c r="L7487" i="2"/>
  <c r="C7488" i="2"/>
  <c r="D7488" i="2"/>
  <c r="F7488" i="2"/>
  <c r="G7488" i="2"/>
  <c r="H7488" i="2"/>
  <c r="J7488" i="2"/>
  <c r="K7488" i="2"/>
  <c r="L7488" i="2"/>
  <c r="C7489" i="2"/>
  <c r="D7489" i="2"/>
  <c r="F7489" i="2"/>
  <c r="G7489" i="2"/>
  <c r="H7489" i="2"/>
  <c r="J7489" i="2"/>
  <c r="K7489" i="2"/>
  <c r="L7489" i="2"/>
  <c r="C7490" i="2"/>
  <c r="D7490" i="2"/>
  <c r="F7490" i="2"/>
  <c r="G7490" i="2"/>
  <c r="H7490" i="2"/>
  <c r="J7490" i="2"/>
  <c r="K7490" i="2"/>
  <c r="L7490" i="2"/>
  <c r="C7491" i="2"/>
  <c r="D7491" i="2"/>
  <c r="F7491" i="2"/>
  <c r="G7491" i="2"/>
  <c r="H7491" i="2"/>
  <c r="J7491" i="2"/>
  <c r="K7491" i="2"/>
  <c r="L7491" i="2"/>
  <c r="C7492" i="2"/>
  <c r="D7492" i="2"/>
  <c r="F7492" i="2"/>
  <c r="G7492" i="2"/>
  <c r="H7492" i="2"/>
  <c r="J7492" i="2"/>
  <c r="K7492" i="2"/>
  <c r="L7492" i="2"/>
  <c r="C7493" i="2"/>
  <c r="D7493" i="2"/>
  <c r="F7493" i="2"/>
  <c r="G7493" i="2"/>
  <c r="H7493" i="2"/>
  <c r="J7493" i="2"/>
  <c r="K7493" i="2"/>
  <c r="L7493" i="2"/>
  <c r="C7494" i="2"/>
  <c r="D7494" i="2"/>
  <c r="F7494" i="2"/>
  <c r="G7494" i="2"/>
  <c r="H7494" i="2"/>
  <c r="J7494" i="2"/>
  <c r="K7494" i="2"/>
  <c r="L7494" i="2"/>
  <c r="C7495" i="2"/>
  <c r="D7495" i="2"/>
  <c r="F7495" i="2"/>
  <c r="G7495" i="2"/>
  <c r="H7495" i="2"/>
  <c r="J7495" i="2"/>
  <c r="K7495" i="2"/>
  <c r="L7495" i="2"/>
  <c r="C7496" i="2"/>
  <c r="D7496" i="2"/>
  <c r="F7496" i="2"/>
  <c r="G7496" i="2"/>
  <c r="H7496" i="2"/>
  <c r="J7496" i="2"/>
  <c r="K7496" i="2"/>
  <c r="L7496" i="2"/>
  <c r="C7497" i="2"/>
  <c r="D7497" i="2"/>
  <c r="F7497" i="2"/>
  <c r="G7497" i="2"/>
  <c r="H7497" i="2"/>
  <c r="J7497" i="2"/>
  <c r="K7497" i="2"/>
  <c r="L7497" i="2"/>
  <c r="C7498" i="2"/>
  <c r="D7498" i="2"/>
  <c r="F7498" i="2"/>
  <c r="G7498" i="2"/>
  <c r="H7498" i="2"/>
  <c r="J7498" i="2"/>
  <c r="K7498" i="2"/>
  <c r="L7498" i="2"/>
  <c r="C7499" i="2"/>
  <c r="D7499" i="2"/>
  <c r="F7499" i="2"/>
  <c r="G7499" i="2"/>
  <c r="H7499" i="2"/>
  <c r="J7499" i="2"/>
  <c r="K7499" i="2"/>
  <c r="L7499" i="2"/>
  <c r="C7500" i="2"/>
  <c r="D7500" i="2"/>
  <c r="F7500" i="2"/>
  <c r="G7500" i="2"/>
  <c r="H7500" i="2"/>
  <c r="J7500" i="2"/>
  <c r="K7500" i="2"/>
  <c r="L7500" i="2"/>
  <c r="C7501" i="2"/>
  <c r="D7501" i="2"/>
  <c r="E7501" i="2"/>
  <c r="F7501" i="2"/>
  <c r="G7501" i="2"/>
  <c r="H7501" i="2"/>
  <c r="J7501" i="2"/>
  <c r="K7501" i="2"/>
  <c r="L7501" i="2"/>
  <c r="C7502" i="2"/>
  <c r="D7502" i="2"/>
  <c r="F7502" i="2"/>
  <c r="G7502" i="2"/>
  <c r="H7502" i="2"/>
  <c r="J7502" i="2"/>
  <c r="K7502" i="2"/>
  <c r="L7502" i="2"/>
  <c r="C7503" i="2"/>
  <c r="D7503" i="2"/>
  <c r="F7503" i="2"/>
  <c r="G7503" i="2"/>
  <c r="H7503" i="2"/>
  <c r="J7503" i="2"/>
  <c r="K7503" i="2"/>
  <c r="L7503" i="2"/>
  <c r="C7504" i="2"/>
  <c r="D7504" i="2"/>
  <c r="F7504" i="2"/>
  <c r="G7504" i="2"/>
  <c r="H7504" i="2"/>
  <c r="J7504" i="2"/>
  <c r="K7504" i="2"/>
  <c r="L7504" i="2"/>
  <c r="C7505" i="2"/>
  <c r="D7505" i="2"/>
  <c r="F7505" i="2"/>
  <c r="G7505" i="2"/>
  <c r="H7505" i="2"/>
  <c r="J7505" i="2"/>
  <c r="K7505" i="2"/>
  <c r="L7505" i="2"/>
  <c r="D7506" i="2"/>
  <c r="F7506" i="2"/>
  <c r="G7506" i="2"/>
  <c r="H7506" i="2"/>
  <c r="J7506" i="2"/>
  <c r="K7506" i="2"/>
  <c r="L7506" i="2"/>
  <c r="C7507" i="2"/>
  <c r="D7507" i="2"/>
  <c r="F7507" i="2"/>
  <c r="G7507" i="2"/>
  <c r="H7507" i="2"/>
  <c r="J7507" i="2"/>
  <c r="K7507" i="2"/>
  <c r="L7507" i="2"/>
  <c r="C7508" i="2"/>
  <c r="D7508" i="2"/>
  <c r="F7508" i="2"/>
  <c r="G7508" i="2"/>
  <c r="H7508" i="2"/>
  <c r="J7508" i="2"/>
  <c r="K7508" i="2"/>
  <c r="L7508" i="2"/>
  <c r="C7509" i="2"/>
  <c r="D7509" i="2"/>
  <c r="F7509" i="2"/>
  <c r="G7509" i="2"/>
  <c r="H7509" i="2"/>
  <c r="J7509" i="2"/>
  <c r="K7509" i="2"/>
  <c r="L7509" i="2"/>
  <c r="C7510" i="2"/>
  <c r="D7510" i="2"/>
  <c r="F7510" i="2"/>
  <c r="G7510" i="2"/>
  <c r="H7510" i="2"/>
  <c r="J7510" i="2"/>
  <c r="K7510" i="2"/>
  <c r="L7510" i="2"/>
  <c r="C7511" i="2"/>
  <c r="D7511" i="2"/>
  <c r="F7511" i="2"/>
  <c r="G7511" i="2"/>
  <c r="H7511" i="2"/>
  <c r="J7511" i="2"/>
  <c r="K7511" i="2"/>
  <c r="L7511" i="2"/>
  <c r="C7512" i="2"/>
  <c r="D7512" i="2"/>
  <c r="F7512" i="2"/>
  <c r="G7512" i="2"/>
  <c r="H7512" i="2"/>
  <c r="J7512" i="2"/>
  <c r="K7512" i="2"/>
  <c r="L7512" i="2"/>
  <c r="C7513" i="2"/>
  <c r="D7513" i="2"/>
  <c r="F7513" i="2"/>
  <c r="G7513" i="2"/>
  <c r="H7513" i="2"/>
  <c r="J7513" i="2"/>
  <c r="K7513" i="2"/>
  <c r="L7513" i="2"/>
  <c r="C7514" i="2"/>
  <c r="D7514" i="2"/>
  <c r="F7514" i="2"/>
  <c r="G7514" i="2"/>
  <c r="H7514" i="2"/>
  <c r="J7514" i="2"/>
  <c r="K7514" i="2"/>
  <c r="L7514" i="2"/>
  <c r="C7515" i="2"/>
  <c r="D7515" i="2"/>
  <c r="F7515" i="2"/>
  <c r="G7515" i="2"/>
  <c r="H7515" i="2"/>
  <c r="J7515" i="2"/>
  <c r="K7515" i="2"/>
  <c r="L7515" i="2"/>
  <c r="C7516" i="2"/>
  <c r="D7516" i="2"/>
  <c r="F7516" i="2"/>
  <c r="G7516" i="2"/>
  <c r="H7516" i="2"/>
  <c r="J7516" i="2"/>
  <c r="K7516" i="2"/>
  <c r="L7516" i="2"/>
  <c r="C7517" i="2"/>
  <c r="D7517" i="2"/>
  <c r="F7517" i="2"/>
  <c r="G7517" i="2"/>
  <c r="H7517" i="2"/>
  <c r="J7517" i="2"/>
  <c r="K7517" i="2"/>
  <c r="L7517" i="2"/>
  <c r="C7518" i="2"/>
  <c r="D7518" i="2"/>
  <c r="F7518" i="2"/>
  <c r="G7518" i="2"/>
  <c r="H7518" i="2"/>
  <c r="J7518" i="2"/>
  <c r="K7518" i="2"/>
  <c r="L7518" i="2"/>
  <c r="C7519" i="2"/>
  <c r="D7519" i="2"/>
  <c r="F7519" i="2"/>
  <c r="G7519" i="2"/>
  <c r="H7519" i="2"/>
  <c r="J7519" i="2"/>
  <c r="K7519" i="2"/>
  <c r="L7519" i="2"/>
  <c r="C7520" i="2"/>
  <c r="D7520" i="2"/>
  <c r="F7520" i="2"/>
  <c r="G7520" i="2"/>
  <c r="H7520" i="2"/>
  <c r="J7520" i="2"/>
  <c r="K7520" i="2"/>
  <c r="L7520" i="2"/>
  <c r="C7521" i="2"/>
  <c r="D7521" i="2"/>
  <c r="F7521" i="2"/>
  <c r="G7521" i="2"/>
  <c r="H7521" i="2"/>
  <c r="J7521" i="2"/>
  <c r="K7521" i="2"/>
  <c r="L7521" i="2"/>
  <c r="C7522" i="2"/>
  <c r="D7522" i="2"/>
  <c r="F7522" i="2"/>
  <c r="G7522" i="2"/>
  <c r="H7522" i="2"/>
  <c r="J7522" i="2"/>
  <c r="K7522" i="2"/>
  <c r="L7522" i="2"/>
  <c r="C7523" i="2"/>
  <c r="D7523" i="2"/>
  <c r="F7523" i="2"/>
  <c r="G7523" i="2"/>
  <c r="H7523" i="2"/>
  <c r="J7523" i="2"/>
  <c r="K7523" i="2"/>
  <c r="L7523" i="2"/>
  <c r="C7524" i="2"/>
  <c r="D7524" i="2"/>
  <c r="F7524" i="2"/>
  <c r="G7524" i="2"/>
  <c r="H7524" i="2"/>
  <c r="J7524" i="2"/>
  <c r="K7524" i="2"/>
  <c r="L7524" i="2"/>
  <c r="C7525" i="2"/>
  <c r="D7525" i="2"/>
  <c r="F7525" i="2"/>
  <c r="G7525" i="2"/>
  <c r="H7525" i="2"/>
  <c r="J7525" i="2"/>
  <c r="K7525" i="2"/>
  <c r="L7525" i="2"/>
  <c r="C7526" i="2"/>
  <c r="D7526" i="2"/>
  <c r="F7526" i="2"/>
  <c r="G7526" i="2"/>
  <c r="H7526" i="2"/>
  <c r="J7526" i="2"/>
  <c r="K7526" i="2"/>
  <c r="L7526" i="2"/>
  <c r="C7527" i="2"/>
  <c r="D7527" i="2"/>
  <c r="F7527" i="2"/>
  <c r="G7527" i="2"/>
  <c r="H7527" i="2"/>
  <c r="J7527" i="2"/>
  <c r="K7527" i="2"/>
  <c r="L7527" i="2"/>
  <c r="C7528" i="2"/>
  <c r="D7528" i="2"/>
  <c r="F7528" i="2"/>
  <c r="G7528" i="2"/>
  <c r="H7528" i="2"/>
  <c r="J7528" i="2"/>
  <c r="K7528" i="2"/>
  <c r="L7528" i="2"/>
  <c r="C7529" i="2"/>
  <c r="D7529" i="2"/>
  <c r="F7529" i="2"/>
  <c r="G7529" i="2"/>
  <c r="H7529" i="2"/>
  <c r="J7529" i="2"/>
  <c r="K7529" i="2"/>
  <c r="L7529" i="2"/>
  <c r="C7530" i="2"/>
  <c r="D7530" i="2"/>
  <c r="F7530" i="2"/>
  <c r="G7530" i="2"/>
  <c r="H7530" i="2"/>
  <c r="J7530" i="2"/>
  <c r="K7530" i="2"/>
  <c r="L7530" i="2"/>
  <c r="C7531" i="2"/>
  <c r="D7531" i="2"/>
  <c r="F7531" i="2"/>
  <c r="G7531" i="2"/>
  <c r="H7531" i="2"/>
  <c r="J7531" i="2"/>
  <c r="K7531" i="2"/>
  <c r="L7531" i="2"/>
  <c r="C7532" i="2"/>
  <c r="D7532" i="2"/>
  <c r="F7532" i="2"/>
  <c r="G7532" i="2"/>
  <c r="H7532" i="2"/>
  <c r="J7532" i="2"/>
  <c r="K7532" i="2"/>
  <c r="L7532" i="2"/>
  <c r="C7533" i="2"/>
  <c r="D7533" i="2"/>
  <c r="F7533" i="2"/>
  <c r="G7533" i="2"/>
  <c r="H7533" i="2"/>
  <c r="J7533" i="2"/>
  <c r="K7533" i="2"/>
  <c r="L7533" i="2"/>
  <c r="C7534" i="2"/>
  <c r="D7534" i="2"/>
  <c r="F7534" i="2"/>
  <c r="G7534" i="2"/>
  <c r="H7534" i="2"/>
  <c r="J7534" i="2"/>
  <c r="K7534" i="2"/>
  <c r="L7534" i="2"/>
  <c r="C7535" i="2"/>
  <c r="D7535" i="2"/>
  <c r="F7535" i="2"/>
  <c r="G7535" i="2"/>
  <c r="H7535" i="2"/>
  <c r="J7535" i="2"/>
  <c r="K7535" i="2"/>
  <c r="L7535" i="2"/>
  <c r="C7536" i="2"/>
  <c r="D7536" i="2"/>
  <c r="F7536" i="2"/>
  <c r="G7536" i="2"/>
  <c r="H7536" i="2"/>
  <c r="J7536" i="2"/>
  <c r="K7536" i="2"/>
  <c r="L7536" i="2"/>
  <c r="C7537" i="2"/>
  <c r="D7537" i="2"/>
  <c r="F7537" i="2"/>
  <c r="G7537" i="2"/>
  <c r="H7537" i="2"/>
  <c r="J7537" i="2"/>
  <c r="K7537" i="2"/>
  <c r="L7537" i="2"/>
  <c r="C7538" i="2"/>
  <c r="D7538" i="2"/>
  <c r="F7538" i="2"/>
  <c r="G7538" i="2"/>
  <c r="H7538" i="2"/>
  <c r="J7538" i="2"/>
  <c r="K7538" i="2"/>
  <c r="L7538" i="2"/>
  <c r="C7539" i="2"/>
  <c r="D7539" i="2"/>
  <c r="F7539" i="2"/>
  <c r="G7539" i="2"/>
  <c r="H7539" i="2"/>
  <c r="J7539" i="2"/>
  <c r="K7539" i="2"/>
  <c r="L7539" i="2"/>
  <c r="C7540" i="2"/>
  <c r="D7540" i="2"/>
  <c r="F7540" i="2"/>
  <c r="G7540" i="2"/>
  <c r="H7540" i="2"/>
  <c r="J7540" i="2"/>
  <c r="K7540" i="2"/>
  <c r="L7540" i="2"/>
  <c r="C7541" i="2"/>
  <c r="D7541" i="2"/>
  <c r="F7541" i="2"/>
  <c r="G7541" i="2"/>
  <c r="H7541" i="2"/>
  <c r="J7541" i="2"/>
  <c r="K7541" i="2"/>
  <c r="L7541" i="2"/>
  <c r="C7542" i="2"/>
  <c r="D7542" i="2"/>
  <c r="F7542" i="2"/>
  <c r="G7542" i="2"/>
  <c r="H7542" i="2"/>
  <c r="J7542" i="2"/>
  <c r="K7542" i="2"/>
  <c r="L7542" i="2"/>
  <c r="C7543" i="2"/>
  <c r="D7543" i="2"/>
  <c r="E7543" i="2"/>
  <c r="F7543" i="2"/>
  <c r="G7543" i="2"/>
  <c r="H7543" i="2"/>
  <c r="J7543" i="2"/>
  <c r="K7543" i="2"/>
  <c r="L7543" i="2"/>
  <c r="C7544" i="2"/>
  <c r="D7544" i="2"/>
  <c r="F7544" i="2"/>
  <c r="G7544" i="2"/>
  <c r="H7544" i="2"/>
  <c r="J7544" i="2"/>
  <c r="K7544" i="2"/>
  <c r="L7544" i="2"/>
  <c r="C7545" i="2"/>
  <c r="D7545" i="2"/>
  <c r="F7545" i="2"/>
  <c r="G7545" i="2"/>
  <c r="H7545" i="2"/>
  <c r="J7545" i="2"/>
  <c r="K7545" i="2"/>
  <c r="L7545" i="2"/>
  <c r="C7546" i="2"/>
  <c r="D7546" i="2"/>
  <c r="F7546" i="2"/>
  <c r="G7546" i="2"/>
  <c r="H7546" i="2"/>
  <c r="J7546" i="2"/>
  <c r="K7546" i="2"/>
  <c r="L7546" i="2"/>
  <c r="C7547" i="2"/>
  <c r="D7547" i="2"/>
  <c r="F7547" i="2"/>
  <c r="G7547" i="2"/>
  <c r="H7547" i="2"/>
  <c r="J7547" i="2"/>
  <c r="K7547" i="2"/>
  <c r="L7547" i="2"/>
  <c r="C7548" i="2"/>
  <c r="D7548" i="2"/>
  <c r="F7548" i="2"/>
  <c r="G7548" i="2"/>
  <c r="H7548" i="2"/>
  <c r="J7548" i="2"/>
  <c r="K7548" i="2"/>
  <c r="L7548" i="2"/>
  <c r="C7549" i="2"/>
  <c r="D7549" i="2"/>
  <c r="F7549" i="2"/>
  <c r="G7549" i="2"/>
  <c r="H7549" i="2"/>
  <c r="J7549" i="2"/>
  <c r="K7549" i="2"/>
  <c r="L7549" i="2"/>
  <c r="C7550" i="2"/>
  <c r="D7550" i="2"/>
  <c r="F7550" i="2"/>
  <c r="G7550" i="2"/>
  <c r="H7550" i="2"/>
  <c r="J7550" i="2"/>
  <c r="K7550" i="2"/>
  <c r="L7550" i="2"/>
  <c r="C7551" i="2"/>
  <c r="D7551" i="2"/>
  <c r="F7551" i="2"/>
  <c r="G7551" i="2"/>
  <c r="H7551" i="2"/>
  <c r="J7551" i="2"/>
  <c r="K7551" i="2"/>
  <c r="L7551" i="2"/>
  <c r="C7552" i="2"/>
  <c r="D7552" i="2"/>
  <c r="F7552" i="2"/>
  <c r="G7552" i="2"/>
  <c r="H7552" i="2"/>
  <c r="J7552" i="2"/>
  <c r="K7552" i="2"/>
  <c r="L7552" i="2"/>
  <c r="C7553" i="2"/>
  <c r="D7553" i="2"/>
  <c r="F7553" i="2"/>
  <c r="G7553" i="2"/>
  <c r="H7553" i="2"/>
  <c r="J7553" i="2"/>
  <c r="K7553" i="2"/>
  <c r="L7553" i="2"/>
  <c r="C7554" i="2"/>
  <c r="D7554" i="2"/>
  <c r="F7554" i="2"/>
  <c r="G7554" i="2"/>
  <c r="H7554" i="2"/>
  <c r="J7554" i="2"/>
  <c r="K7554" i="2"/>
  <c r="L7554" i="2"/>
  <c r="C7555" i="2"/>
  <c r="D7555" i="2"/>
  <c r="F7555" i="2"/>
  <c r="G7555" i="2"/>
  <c r="H7555" i="2"/>
  <c r="J7555" i="2"/>
  <c r="K7555" i="2"/>
  <c r="L7555" i="2"/>
  <c r="C7556" i="2"/>
  <c r="D7556" i="2"/>
  <c r="F7556" i="2"/>
  <c r="G7556" i="2"/>
  <c r="H7556" i="2"/>
  <c r="J7556" i="2"/>
  <c r="K7556" i="2"/>
  <c r="L7556" i="2"/>
  <c r="C7557" i="2"/>
  <c r="D7557" i="2"/>
  <c r="F7557" i="2"/>
  <c r="G7557" i="2"/>
  <c r="H7557" i="2"/>
  <c r="J7557" i="2"/>
  <c r="K7557" i="2"/>
  <c r="L7557" i="2"/>
  <c r="C7558" i="2"/>
  <c r="D7558" i="2"/>
  <c r="F7558" i="2"/>
  <c r="G7558" i="2"/>
  <c r="H7558" i="2"/>
  <c r="J7558" i="2"/>
  <c r="K7558" i="2"/>
  <c r="L7558" i="2"/>
  <c r="C7559" i="2"/>
  <c r="D7559" i="2"/>
  <c r="F7559" i="2"/>
  <c r="G7559" i="2"/>
  <c r="H7559" i="2"/>
  <c r="J7559" i="2"/>
  <c r="K7559" i="2"/>
  <c r="L7559" i="2"/>
  <c r="C7560" i="2"/>
  <c r="D7560" i="2"/>
  <c r="F7560" i="2"/>
  <c r="G7560" i="2"/>
  <c r="H7560" i="2"/>
  <c r="J7560" i="2"/>
  <c r="K7560" i="2"/>
  <c r="L7560" i="2"/>
  <c r="C7561" i="2"/>
  <c r="D7561" i="2"/>
  <c r="F7561" i="2"/>
  <c r="G7561" i="2"/>
  <c r="H7561" i="2"/>
  <c r="J7561" i="2"/>
  <c r="K7561" i="2"/>
  <c r="L7561" i="2"/>
  <c r="C7562" i="2"/>
  <c r="D7562" i="2"/>
  <c r="F7562" i="2"/>
  <c r="G7562" i="2"/>
  <c r="H7562" i="2"/>
  <c r="J7562" i="2"/>
  <c r="K7562" i="2"/>
  <c r="L7562" i="2"/>
  <c r="C7563" i="2"/>
  <c r="D7563" i="2"/>
  <c r="F7563" i="2"/>
  <c r="G7563" i="2"/>
  <c r="H7563" i="2"/>
  <c r="J7563" i="2"/>
  <c r="K7563" i="2"/>
  <c r="L7563" i="2"/>
  <c r="C7564" i="2"/>
  <c r="D7564" i="2"/>
  <c r="F7564" i="2"/>
  <c r="G7564" i="2"/>
  <c r="H7564" i="2"/>
  <c r="J7564" i="2"/>
  <c r="K7564" i="2"/>
  <c r="L7564" i="2"/>
  <c r="C7565" i="2"/>
  <c r="D7565" i="2"/>
  <c r="F7565" i="2"/>
  <c r="G7565" i="2"/>
  <c r="H7565" i="2"/>
  <c r="J7565" i="2"/>
  <c r="K7565" i="2"/>
  <c r="L7565" i="2"/>
  <c r="C7566" i="2"/>
  <c r="D7566" i="2"/>
  <c r="F7566" i="2"/>
  <c r="G7566" i="2"/>
  <c r="H7566" i="2"/>
  <c r="J7566" i="2"/>
  <c r="K7566" i="2"/>
  <c r="L7566" i="2"/>
  <c r="C7567" i="2"/>
  <c r="D7567" i="2"/>
  <c r="F7567" i="2"/>
  <c r="G7567" i="2"/>
  <c r="H7567" i="2"/>
  <c r="J7567" i="2"/>
  <c r="K7567" i="2"/>
  <c r="L7567" i="2"/>
  <c r="C7568" i="2"/>
  <c r="D7568" i="2"/>
  <c r="F7568" i="2"/>
  <c r="G7568" i="2"/>
  <c r="H7568" i="2"/>
  <c r="J7568" i="2"/>
  <c r="K7568" i="2"/>
  <c r="L7568" i="2"/>
  <c r="C7569" i="2"/>
  <c r="D7569" i="2"/>
  <c r="F7569" i="2"/>
  <c r="G7569" i="2"/>
  <c r="H7569" i="2"/>
  <c r="J7569" i="2"/>
  <c r="K7569" i="2"/>
  <c r="L7569" i="2"/>
  <c r="C7570" i="2"/>
  <c r="D7570" i="2"/>
  <c r="F7570" i="2"/>
  <c r="G7570" i="2"/>
  <c r="H7570" i="2"/>
  <c r="J7570" i="2"/>
  <c r="K7570" i="2"/>
  <c r="L7570" i="2"/>
  <c r="C7571" i="2"/>
  <c r="D7571" i="2"/>
  <c r="F7571" i="2"/>
  <c r="G7571" i="2"/>
  <c r="H7571" i="2"/>
  <c r="J7571" i="2"/>
  <c r="K7571" i="2"/>
  <c r="L7571" i="2"/>
  <c r="C7572" i="2"/>
  <c r="D7572" i="2"/>
  <c r="F7572" i="2"/>
  <c r="G7572" i="2"/>
  <c r="H7572" i="2"/>
  <c r="J7572" i="2"/>
  <c r="K7572" i="2"/>
  <c r="L7572" i="2"/>
  <c r="C7573" i="2"/>
  <c r="D7573" i="2"/>
  <c r="F7573" i="2"/>
  <c r="G7573" i="2"/>
  <c r="H7573" i="2"/>
  <c r="J7573" i="2"/>
  <c r="K7573" i="2"/>
  <c r="L7573" i="2"/>
  <c r="C7574" i="2"/>
  <c r="D7574" i="2"/>
  <c r="F7574" i="2"/>
  <c r="G7574" i="2"/>
  <c r="H7574" i="2"/>
  <c r="J7574" i="2"/>
  <c r="K7574" i="2"/>
  <c r="L7574" i="2"/>
  <c r="C7575" i="2"/>
  <c r="D7575" i="2"/>
  <c r="F7575" i="2"/>
  <c r="G7575" i="2"/>
  <c r="H7575" i="2"/>
  <c r="J7575" i="2"/>
  <c r="K7575" i="2"/>
  <c r="L7575" i="2"/>
  <c r="C7576" i="2"/>
  <c r="D7576" i="2"/>
  <c r="F7576" i="2"/>
  <c r="G7576" i="2"/>
  <c r="H7576" i="2"/>
  <c r="J7576" i="2"/>
  <c r="K7576" i="2"/>
  <c r="L7576" i="2"/>
  <c r="C7577" i="2"/>
  <c r="D7577" i="2"/>
  <c r="F7577" i="2"/>
  <c r="G7577" i="2"/>
  <c r="H7577" i="2"/>
  <c r="J7577" i="2"/>
  <c r="K7577" i="2"/>
  <c r="L7577" i="2"/>
  <c r="C7578" i="2"/>
  <c r="D7578" i="2"/>
  <c r="F7578" i="2"/>
  <c r="G7578" i="2"/>
  <c r="H7578" i="2"/>
  <c r="J7578" i="2"/>
  <c r="K7578" i="2"/>
  <c r="L7578" i="2"/>
  <c r="C7579" i="2"/>
  <c r="D7579" i="2"/>
  <c r="F7579" i="2"/>
  <c r="G7579" i="2"/>
  <c r="H7579" i="2"/>
  <c r="J7579" i="2"/>
  <c r="K7579" i="2"/>
  <c r="L7579" i="2"/>
  <c r="C7580" i="2"/>
  <c r="D7580" i="2"/>
  <c r="F7580" i="2"/>
  <c r="G7580" i="2"/>
  <c r="H7580" i="2"/>
  <c r="J7580" i="2"/>
  <c r="K7580" i="2"/>
  <c r="L7580" i="2"/>
  <c r="C7581" i="2"/>
  <c r="D7581" i="2"/>
  <c r="F7581" i="2"/>
  <c r="G7581" i="2"/>
  <c r="H7581" i="2"/>
  <c r="J7581" i="2"/>
  <c r="K7581" i="2"/>
  <c r="L7581" i="2"/>
  <c r="C7582" i="2"/>
  <c r="D7582" i="2"/>
  <c r="F7582" i="2"/>
  <c r="G7582" i="2"/>
  <c r="H7582" i="2"/>
  <c r="J7582" i="2"/>
  <c r="K7582" i="2"/>
  <c r="L7582" i="2"/>
  <c r="C7583" i="2"/>
  <c r="D7583" i="2"/>
  <c r="F7583" i="2"/>
  <c r="G7583" i="2"/>
  <c r="H7583" i="2"/>
  <c r="J7583" i="2"/>
  <c r="K7583" i="2"/>
  <c r="L7583" i="2"/>
  <c r="C7584" i="2"/>
  <c r="D7584" i="2"/>
  <c r="F7584" i="2"/>
  <c r="G7584" i="2"/>
  <c r="H7584" i="2"/>
  <c r="J7584" i="2"/>
  <c r="K7584" i="2"/>
  <c r="L7584" i="2"/>
  <c r="C7585" i="2"/>
  <c r="D7585" i="2"/>
  <c r="F7585" i="2"/>
  <c r="G7585" i="2"/>
  <c r="H7585" i="2"/>
  <c r="J7585" i="2"/>
  <c r="K7585" i="2"/>
  <c r="L7585" i="2"/>
  <c r="C7586" i="2"/>
  <c r="D7586" i="2"/>
  <c r="F7586" i="2"/>
  <c r="G7586" i="2"/>
  <c r="H7586" i="2"/>
  <c r="J7586" i="2"/>
  <c r="K7586" i="2"/>
  <c r="L7586" i="2"/>
  <c r="C7587" i="2"/>
  <c r="D7587" i="2"/>
  <c r="F7587" i="2"/>
  <c r="G7587" i="2"/>
  <c r="H7587" i="2"/>
  <c r="J7587" i="2"/>
  <c r="K7587" i="2"/>
  <c r="L7587" i="2"/>
  <c r="C7588" i="2"/>
  <c r="D7588" i="2"/>
  <c r="F7588" i="2"/>
  <c r="G7588" i="2"/>
  <c r="H7588" i="2"/>
  <c r="J7588" i="2"/>
  <c r="K7588" i="2"/>
  <c r="L7588" i="2"/>
  <c r="C7589" i="2"/>
  <c r="D7589" i="2"/>
  <c r="F7589" i="2"/>
  <c r="G7589" i="2"/>
  <c r="H7589" i="2"/>
  <c r="J7589" i="2"/>
  <c r="K7589" i="2"/>
  <c r="L7589" i="2"/>
  <c r="C7590" i="2"/>
  <c r="D7590" i="2"/>
  <c r="F7590" i="2"/>
  <c r="G7590" i="2"/>
  <c r="H7590" i="2"/>
  <c r="J7590" i="2"/>
  <c r="K7590" i="2"/>
  <c r="L7590" i="2"/>
  <c r="C7591" i="2"/>
  <c r="D7591" i="2"/>
  <c r="F7591" i="2"/>
  <c r="G7591" i="2"/>
  <c r="H7591" i="2"/>
  <c r="J7591" i="2"/>
  <c r="K7591" i="2"/>
  <c r="L7591" i="2"/>
  <c r="C7592" i="2"/>
  <c r="D7592" i="2"/>
  <c r="F7592" i="2"/>
  <c r="G7592" i="2"/>
  <c r="H7592" i="2"/>
  <c r="J7592" i="2"/>
  <c r="K7592" i="2"/>
  <c r="L7592" i="2"/>
  <c r="C7593" i="2"/>
  <c r="D7593" i="2"/>
  <c r="F7593" i="2"/>
  <c r="G7593" i="2"/>
  <c r="H7593" i="2"/>
  <c r="J7593" i="2"/>
  <c r="K7593" i="2"/>
  <c r="L7593" i="2"/>
  <c r="C7594" i="2"/>
  <c r="D7594" i="2"/>
  <c r="F7594" i="2"/>
  <c r="G7594" i="2"/>
  <c r="H7594" i="2"/>
  <c r="J7594" i="2"/>
  <c r="K7594" i="2"/>
  <c r="L7594" i="2"/>
  <c r="C7595" i="2"/>
  <c r="D7595" i="2"/>
  <c r="F7595" i="2"/>
  <c r="G7595" i="2"/>
  <c r="H7595" i="2"/>
  <c r="J7595" i="2"/>
  <c r="K7595" i="2"/>
  <c r="L7595" i="2"/>
  <c r="C7596" i="2"/>
  <c r="D7596" i="2"/>
  <c r="F7596" i="2"/>
  <c r="G7596" i="2"/>
  <c r="H7596" i="2"/>
  <c r="J7596" i="2"/>
  <c r="K7596" i="2"/>
  <c r="L7596" i="2"/>
  <c r="C7597" i="2"/>
  <c r="D7597" i="2"/>
  <c r="F7597" i="2"/>
  <c r="G7597" i="2"/>
  <c r="H7597" i="2"/>
  <c r="J7597" i="2"/>
  <c r="K7597" i="2"/>
  <c r="L7597" i="2"/>
  <c r="C7598" i="2"/>
  <c r="D7598" i="2"/>
  <c r="F7598" i="2"/>
  <c r="G7598" i="2"/>
  <c r="H7598" i="2"/>
  <c r="J7598" i="2"/>
  <c r="K7598" i="2"/>
  <c r="L7598" i="2"/>
  <c r="C7599" i="2"/>
  <c r="D7599" i="2"/>
  <c r="F7599" i="2"/>
  <c r="G7599" i="2"/>
  <c r="H7599" i="2"/>
  <c r="J7599" i="2"/>
  <c r="K7599" i="2"/>
  <c r="L7599" i="2"/>
  <c r="C7600" i="2"/>
  <c r="D7600" i="2"/>
  <c r="F7600" i="2"/>
  <c r="G7600" i="2"/>
  <c r="H7600" i="2"/>
  <c r="J7600" i="2"/>
  <c r="K7600" i="2"/>
  <c r="L7600" i="2"/>
  <c r="C7601" i="2"/>
  <c r="D7601" i="2"/>
  <c r="F7601" i="2"/>
  <c r="G7601" i="2"/>
  <c r="H7601" i="2"/>
  <c r="J7601" i="2"/>
  <c r="K7601" i="2"/>
  <c r="L7601" i="2"/>
  <c r="C7602" i="2"/>
  <c r="D7602" i="2"/>
  <c r="F7602" i="2"/>
  <c r="G7602" i="2"/>
  <c r="H7602" i="2"/>
  <c r="J7602" i="2"/>
  <c r="K7602" i="2"/>
  <c r="L7602" i="2"/>
  <c r="C7603" i="2"/>
  <c r="D7603" i="2"/>
  <c r="F7603" i="2"/>
  <c r="G7603" i="2"/>
  <c r="H7603" i="2"/>
  <c r="J7603" i="2"/>
  <c r="K7603" i="2"/>
  <c r="L7603" i="2"/>
  <c r="C7604" i="2"/>
  <c r="D7604" i="2"/>
  <c r="F7604" i="2"/>
  <c r="G7604" i="2"/>
  <c r="H7604" i="2"/>
  <c r="J7604" i="2"/>
  <c r="K7604" i="2"/>
  <c r="L7604" i="2"/>
  <c r="C7605" i="2"/>
  <c r="D7605" i="2"/>
  <c r="F7605" i="2"/>
  <c r="G7605" i="2"/>
  <c r="H7605" i="2"/>
  <c r="J7605" i="2"/>
  <c r="K7605" i="2"/>
  <c r="L7605" i="2"/>
  <c r="C7606" i="2"/>
  <c r="D7606" i="2"/>
  <c r="F7606" i="2"/>
  <c r="G7606" i="2"/>
  <c r="H7606" i="2"/>
  <c r="J7606" i="2"/>
  <c r="K7606" i="2"/>
  <c r="L7606" i="2"/>
  <c r="C7607" i="2"/>
  <c r="D7607" i="2"/>
  <c r="F7607" i="2"/>
  <c r="G7607" i="2"/>
  <c r="H7607" i="2"/>
  <c r="J7607" i="2"/>
  <c r="K7607" i="2"/>
  <c r="L7607" i="2"/>
  <c r="C7608" i="2"/>
  <c r="D7608" i="2"/>
  <c r="F7608" i="2"/>
  <c r="G7608" i="2"/>
  <c r="H7608" i="2"/>
  <c r="J7608" i="2"/>
  <c r="K7608" i="2"/>
  <c r="L7608" i="2"/>
  <c r="C7609" i="2"/>
  <c r="D7609" i="2"/>
  <c r="F7609" i="2"/>
  <c r="G7609" i="2"/>
  <c r="H7609" i="2"/>
  <c r="J7609" i="2"/>
  <c r="K7609" i="2"/>
  <c r="L7609" i="2"/>
  <c r="C7610" i="2"/>
  <c r="D7610" i="2"/>
  <c r="F7610" i="2"/>
  <c r="G7610" i="2"/>
  <c r="H7610" i="2"/>
  <c r="J7610" i="2"/>
  <c r="K7610" i="2"/>
  <c r="L7610" i="2"/>
  <c r="C7611" i="2"/>
  <c r="D7611" i="2"/>
  <c r="F7611" i="2"/>
  <c r="G7611" i="2"/>
  <c r="H7611" i="2"/>
  <c r="J7611" i="2"/>
  <c r="K7611" i="2"/>
  <c r="L7611" i="2"/>
  <c r="C7612" i="2"/>
  <c r="D7612" i="2"/>
  <c r="F7612" i="2"/>
  <c r="G7612" i="2"/>
  <c r="H7612" i="2"/>
  <c r="J7612" i="2"/>
  <c r="K7612" i="2"/>
  <c r="L7612" i="2"/>
  <c r="C7613" i="2"/>
  <c r="D7613" i="2"/>
  <c r="F7613" i="2"/>
  <c r="G7613" i="2"/>
  <c r="H7613" i="2"/>
  <c r="J7613" i="2"/>
  <c r="K7613" i="2"/>
  <c r="L7613" i="2"/>
  <c r="C7614" i="2"/>
  <c r="D7614" i="2"/>
  <c r="F7614" i="2"/>
  <c r="G7614" i="2"/>
  <c r="H7614" i="2"/>
  <c r="J7614" i="2"/>
  <c r="K7614" i="2"/>
  <c r="L7614" i="2"/>
  <c r="C7615" i="2"/>
  <c r="D7615" i="2"/>
  <c r="F7615" i="2"/>
  <c r="G7615" i="2"/>
  <c r="H7615" i="2"/>
  <c r="J7615" i="2"/>
  <c r="K7615" i="2"/>
  <c r="L7615" i="2"/>
  <c r="C7616" i="2"/>
  <c r="D7616" i="2"/>
  <c r="F7616" i="2"/>
  <c r="G7616" i="2"/>
  <c r="H7616" i="2"/>
  <c r="J7616" i="2"/>
  <c r="K7616" i="2"/>
  <c r="L7616" i="2"/>
  <c r="C7617" i="2"/>
  <c r="D7617" i="2"/>
  <c r="F7617" i="2"/>
  <c r="G7617" i="2"/>
  <c r="H7617" i="2"/>
  <c r="J7617" i="2"/>
  <c r="K7617" i="2"/>
  <c r="L7617" i="2"/>
  <c r="C7618" i="2"/>
  <c r="D7618" i="2"/>
  <c r="F7618" i="2"/>
  <c r="G7618" i="2"/>
  <c r="H7618" i="2"/>
  <c r="J7618" i="2"/>
  <c r="K7618" i="2"/>
  <c r="L7618" i="2"/>
  <c r="C7619" i="2"/>
  <c r="D7619" i="2"/>
  <c r="F7619" i="2"/>
  <c r="G7619" i="2"/>
  <c r="H7619" i="2"/>
  <c r="J7619" i="2"/>
  <c r="K7619" i="2"/>
  <c r="L7619" i="2"/>
  <c r="C7620" i="2"/>
  <c r="D7620" i="2"/>
  <c r="F7620" i="2"/>
  <c r="G7620" i="2"/>
  <c r="H7620" i="2"/>
  <c r="J7620" i="2"/>
  <c r="K7620" i="2"/>
  <c r="L7620" i="2"/>
  <c r="C7621" i="2"/>
  <c r="D7621" i="2"/>
  <c r="F7621" i="2"/>
  <c r="G7621" i="2"/>
  <c r="H7621" i="2"/>
  <c r="J7621" i="2"/>
  <c r="K7621" i="2"/>
  <c r="L7621" i="2"/>
  <c r="C7622" i="2"/>
  <c r="D7622" i="2"/>
  <c r="F7622" i="2"/>
  <c r="G7622" i="2"/>
  <c r="H7622" i="2"/>
  <c r="J7622" i="2"/>
  <c r="K7622" i="2"/>
  <c r="L7622" i="2"/>
  <c r="C7623" i="2"/>
  <c r="D7623" i="2"/>
  <c r="F7623" i="2"/>
  <c r="G7623" i="2"/>
  <c r="H7623" i="2"/>
  <c r="J7623" i="2"/>
  <c r="K7623" i="2"/>
  <c r="L7623" i="2"/>
  <c r="C7624" i="2"/>
  <c r="D7624" i="2"/>
  <c r="E7624" i="2"/>
  <c r="F7624" i="2"/>
  <c r="G7624" i="2"/>
  <c r="H7624" i="2"/>
  <c r="J7624" i="2"/>
  <c r="K7624" i="2"/>
  <c r="L7624" i="2"/>
  <c r="C7625" i="2"/>
  <c r="D7625" i="2"/>
  <c r="F7625" i="2"/>
  <c r="G7625" i="2"/>
  <c r="H7625" i="2"/>
  <c r="J7625" i="2"/>
  <c r="K7625" i="2"/>
  <c r="L7625" i="2"/>
  <c r="C7626" i="2"/>
  <c r="D7626" i="2"/>
  <c r="F7626" i="2"/>
  <c r="G7626" i="2"/>
  <c r="H7626" i="2"/>
  <c r="J7626" i="2"/>
  <c r="K7626" i="2"/>
  <c r="L7626" i="2"/>
  <c r="C7627" i="2"/>
  <c r="D7627" i="2"/>
  <c r="F7627" i="2"/>
  <c r="G7627" i="2"/>
  <c r="H7627" i="2"/>
  <c r="J7627" i="2"/>
  <c r="K7627" i="2"/>
  <c r="L7627" i="2"/>
  <c r="C7628" i="2"/>
  <c r="D7628" i="2"/>
  <c r="F7628" i="2"/>
  <c r="G7628" i="2"/>
  <c r="H7628" i="2"/>
  <c r="J7628" i="2"/>
  <c r="K7628" i="2"/>
  <c r="L7628" i="2"/>
  <c r="C7629" i="2"/>
  <c r="D7629" i="2"/>
  <c r="F7629" i="2"/>
  <c r="G7629" i="2"/>
  <c r="H7629" i="2"/>
  <c r="J7629" i="2"/>
  <c r="K7629" i="2"/>
  <c r="L7629" i="2"/>
  <c r="C7630" i="2"/>
  <c r="D7630" i="2"/>
  <c r="F7630" i="2"/>
  <c r="G7630" i="2"/>
  <c r="H7630" i="2"/>
  <c r="J7630" i="2"/>
  <c r="K7630" i="2"/>
  <c r="L7630" i="2"/>
  <c r="C7631" i="2"/>
  <c r="D7631" i="2"/>
  <c r="F7631" i="2"/>
  <c r="G7631" i="2"/>
  <c r="H7631" i="2"/>
  <c r="J7631" i="2"/>
  <c r="K7631" i="2"/>
  <c r="L7631" i="2"/>
  <c r="C7632" i="2"/>
  <c r="D7632" i="2"/>
  <c r="F7632" i="2"/>
  <c r="G7632" i="2"/>
  <c r="H7632" i="2"/>
  <c r="J7632" i="2"/>
  <c r="K7632" i="2"/>
  <c r="L7632" i="2"/>
  <c r="C7633" i="2"/>
  <c r="D7633" i="2"/>
  <c r="F7633" i="2"/>
  <c r="G7633" i="2"/>
  <c r="H7633" i="2"/>
  <c r="J7633" i="2"/>
  <c r="K7633" i="2"/>
  <c r="L7633" i="2"/>
  <c r="C7634" i="2"/>
  <c r="D7634" i="2"/>
  <c r="F7634" i="2"/>
  <c r="G7634" i="2"/>
  <c r="H7634" i="2"/>
  <c r="J7634" i="2"/>
  <c r="K7634" i="2"/>
  <c r="L7634" i="2"/>
  <c r="C7635" i="2"/>
  <c r="D7635" i="2"/>
  <c r="F7635" i="2"/>
  <c r="G7635" i="2"/>
  <c r="H7635" i="2"/>
  <c r="J7635" i="2"/>
  <c r="K7635" i="2"/>
  <c r="L7635" i="2"/>
  <c r="C7636" i="2"/>
  <c r="D7636" i="2"/>
  <c r="F7636" i="2"/>
  <c r="G7636" i="2"/>
  <c r="H7636" i="2"/>
  <c r="J7636" i="2"/>
  <c r="K7636" i="2"/>
  <c r="L7636" i="2"/>
  <c r="C7637" i="2"/>
  <c r="D7637" i="2"/>
  <c r="F7637" i="2"/>
  <c r="G7637" i="2"/>
  <c r="H7637" i="2"/>
  <c r="J7637" i="2"/>
  <c r="K7637" i="2"/>
  <c r="L7637" i="2"/>
  <c r="C7638" i="2"/>
  <c r="D7638" i="2"/>
  <c r="F7638" i="2"/>
  <c r="G7638" i="2"/>
  <c r="H7638" i="2"/>
  <c r="J7638" i="2"/>
  <c r="K7638" i="2"/>
  <c r="L7638" i="2"/>
  <c r="C7639" i="2"/>
  <c r="D7639" i="2"/>
  <c r="F7639" i="2"/>
  <c r="G7639" i="2"/>
  <c r="H7639" i="2"/>
  <c r="J7639" i="2"/>
  <c r="K7639" i="2"/>
  <c r="L7639" i="2"/>
  <c r="C7640" i="2"/>
  <c r="D7640" i="2"/>
  <c r="F7640" i="2"/>
  <c r="G7640" i="2"/>
  <c r="H7640" i="2"/>
  <c r="J7640" i="2"/>
  <c r="K7640" i="2"/>
  <c r="L7640" i="2"/>
  <c r="C7641" i="2"/>
  <c r="D7641" i="2"/>
  <c r="F7641" i="2"/>
  <c r="G7641" i="2"/>
  <c r="H7641" i="2"/>
  <c r="J7641" i="2"/>
  <c r="K7641" i="2"/>
  <c r="L7641" i="2"/>
  <c r="C7642" i="2"/>
  <c r="D7642" i="2"/>
  <c r="F7642" i="2"/>
  <c r="G7642" i="2"/>
  <c r="H7642" i="2"/>
  <c r="J7642" i="2"/>
  <c r="K7642" i="2"/>
  <c r="L7642" i="2"/>
  <c r="C7643" i="2"/>
  <c r="D7643" i="2"/>
  <c r="F7643" i="2"/>
  <c r="G7643" i="2"/>
  <c r="H7643" i="2"/>
  <c r="J7643" i="2"/>
  <c r="K7643" i="2"/>
  <c r="L7643" i="2"/>
  <c r="C7644" i="2"/>
  <c r="D7644" i="2"/>
  <c r="F7644" i="2"/>
  <c r="G7644" i="2"/>
  <c r="H7644" i="2"/>
  <c r="J7644" i="2"/>
  <c r="K7644" i="2"/>
  <c r="L7644" i="2"/>
  <c r="C7645" i="2"/>
  <c r="D7645" i="2"/>
  <c r="F7645" i="2"/>
  <c r="G7645" i="2"/>
  <c r="H7645" i="2"/>
  <c r="J7645" i="2"/>
  <c r="K7645" i="2"/>
  <c r="L7645" i="2"/>
  <c r="C7646" i="2"/>
  <c r="D7646" i="2"/>
  <c r="F7646" i="2"/>
  <c r="G7646" i="2"/>
  <c r="H7646" i="2"/>
  <c r="J7646" i="2"/>
  <c r="K7646" i="2"/>
  <c r="L7646" i="2"/>
  <c r="C7647" i="2"/>
  <c r="D7647" i="2"/>
  <c r="F7647" i="2"/>
  <c r="G7647" i="2"/>
  <c r="H7647" i="2"/>
  <c r="J7647" i="2"/>
  <c r="K7647" i="2"/>
  <c r="L7647" i="2"/>
  <c r="C7648" i="2"/>
  <c r="D7648" i="2"/>
  <c r="F7648" i="2"/>
  <c r="G7648" i="2"/>
  <c r="H7648" i="2"/>
  <c r="J7648" i="2"/>
  <c r="K7648" i="2"/>
  <c r="L7648" i="2"/>
  <c r="C7649" i="2"/>
  <c r="D7649" i="2"/>
  <c r="F7649" i="2"/>
  <c r="G7649" i="2"/>
  <c r="H7649" i="2"/>
  <c r="J7649" i="2"/>
  <c r="K7649" i="2"/>
  <c r="L7649" i="2"/>
  <c r="C7650" i="2"/>
  <c r="D7650" i="2"/>
  <c r="F7650" i="2"/>
  <c r="G7650" i="2"/>
  <c r="H7650" i="2"/>
  <c r="J7650" i="2"/>
  <c r="K7650" i="2"/>
  <c r="L7650" i="2"/>
  <c r="C7651" i="2"/>
  <c r="D7651" i="2"/>
  <c r="F7651" i="2"/>
  <c r="G7651" i="2"/>
  <c r="H7651" i="2"/>
  <c r="J7651" i="2"/>
  <c r="K7651" i="2"/>
  <c r="L7651" i="2"/>
  <c r="C7652" i="2"/>
  <c r="D7652" i="2"/>
  <c r="F7652" i="2"/>
  <c r="G7652" i="2"/>
  <c r="H7652" i="2"/>
  <c r="J7652" i="2"/>
  <c r="K7652" i="2"/>
  <c r="L7652" i="2"/>
  <c r="C7653" i="2"/>
  <c r="D7653" i="2"/>
  <c r="F7653" i="2"/>
  <c r="G7653" i="2"/>
  <c r="H7653" i="2"/>
  <c r="J7653" i="2"/>
  <c r="K7653" i="2"/>
  <c r="L7653" i="2"/>
  <c r="C7654" i="2"/>
  <c r="D7654" i="2"/>
  <c r="F7654" i="2"/>
  <c r="G7654" i="2"/>
  <c r="H7654" i="2"/>
  <c r="J7654" i="2"/>
  <c r="K7654" i="2"/>
  <c r="L7654" i="2"/>
  <c r="C7655" i="2"/>
  <c r="D7655" i="2"/>
  <c r="F7655" i="2"/>
  <c r="G7655" i="2"/>
  <c r="H7655" i="2"/>
  <c r="J7655" i="2"/>
  <c r="K7655" i="2"/>
  <c r="L7655" i="2"/>
  <c r="C7656" i="2"/>
  <c r="D7656" i="2"/>
  <c r="F7656" i="2"/>
  <c r="G7656" i="2"/>
  <c r="H7656" i="2"/>
  <c r="J7656" i="2"/>
  <c r="K7656" i="2"/>
  <c r="L7656" i="2"/>
  <c r="C7657" i="2"/>
  <c r="D7657" i="2"/>
  <c r="F7657" i="2"/>
  <c r="G7657" i="2"/>
  <c r="H7657" i="2"/>
  <c r="J7657" i="2"/>
  <c r="K7657" i="2"/>
  <c r="L7657" i="2"/>
  <c r="C7658" i="2"/>
  <c r="D7658" i="2"/>
  <c r="F7658" i="2"/>
  <c r="G7658" i="2"/>
  <c r="H7658" i="2"/>
  <c r="J7658" i="2"/>
  <c r="K7658" i="2"/>
  <c r="L7658" i="2"/>
  <c r="C7659" i="2"/>
  <c r="D7659" i="2"/>
  <c r="F7659" i="2"/>
  <c r="G7659" i="2"/>
  <c r="H7659" i="2"/>
  <c r="J7659" i="2"/>
  <c r="K7659" i="2"/>
  <c r="L7659" i="2"/>
  <c r="C7660" i="2"/>
  <c r="D7660" i="2"/>
  <c r="F7660" i="2"/>
  <c r="G7660" i="2"/>
  <c r="H7660" i="2"/>
  <c r="J7660" i="2"/>
  <c r="K7660" i="2"/>
  <c r="L7660" i="2"/>
  <c r="C7661" i="2"/>
  <c r="D7661" i="2"/>
  <c r="F7661" i="2"/>
  <c r="G7661" i="2"/>
  <c r="H7661" i="2"/>
  <c r="J7661" i="2"/>
  <c r="K7661" i="2"/>
  <c r="L7661" i="2"/>
  <c r="C7662" i="2"/>
  <c r="D7662" i="2"/>
  <c r="F7662" i="2"/>
  <c r="G7662" i="2"/>
  <c r="H7662" i="2"/>
  <c r="J7662" i="2"/>
  <c r="K7662" i="2"/>
  <c r="L7662" i="2"/>
  <c r="C7663" i="2"/>
  <c r="D7663" i="2"/>
  <c r="F7663" i="2"/>
  <c r="G7663" i="2"/>
  <c r="H7663" i="2"/>
  <c r="J7663" i="2"/>
  <c r="K7663" i="2"/>
  <c r="L7663" i="2"/>
  <c r="C7664" i="2"/>
  <c r="D7664" i="2"/>
  <c r="F7664" i="2"/>
  <c r="G7664" i="2"/>
  <c r="H7664" i="2"/>
  <c r="J7664" i="2"/>
  <c r="K7664" i="2"/>
  <c r="L7664" i="2"/>
  <c r="C7665" i="2"/>
  <c r="D7665" i="2"/>
  <c r="F7665" i="2"/>
  <c r="G7665" i="2"/>
  <c r="H7665" i="2"/>
  <c r="J7665" i="2"/>
  <c r="K7665" i="2"/>
  <c r="L7665" i="2"/>
  <c r="C7666" i="2"/>
  <c r="D7666" i="2"/>
  <c r="F7666" i="2"/>
  <c r="G7666" i="2"/>
  <c r="H7666" i="2"/>
  <c r="J7666" i="2"/>
  <c r="K7666" i="2"/>
  <c r="L7666" i="2"/>
  <c r="C7667" i="2"/>
  <c r="D7667" i="2"/>
  <c r="F7667" i="2"/>
  <c r="G7667" i="2"/>
  <c r="H7667" i="2"/>
  <c r="J7667" i="2"/>
  <c r="K7667" i="2"/>
  <c r="L7667" i="2"/>
  <c r="C7668" i="2"/>
  <c r="D7668" i="2"/>
  <c r="F7668" i="2"/>
  <c r="G7668" i="2"/>
  <c r="H7668" i="2"/>
  <c r="J7668" i="2"/>
  <c r="K7668" i="2"/>
  <c r="L7668" i="2"/>
  <c r="C7669" i="2"/>
  <c r="D7669" i="2"/>
  <c r="F7669" i="2"/>
  <c r="G7669" i="2"/>
  <c r="H7669" i="2"/>
  <c r="J7669" i="2"/>
  <c r="K7669" i="2"/>
  <c r="L7669" i="2"/>
  <c r="C7670" i="2"/>
  <c r="D7670" i="2"/>
  <c r="F7670" i="2"/>
  <c r="G7670" i="2"/>
  <c r="H7670" i="2"/>
  <c r="J7670" i="2"/>
  <c r="K7670" i="2"/>
  <c r="L7670" i="2"/>
  <c r="C7671" i="2"/>
  <c r="D7671" i="2"/>
  <c r="F7671" i="2"/>
  <c r="G7671" i="2"/>
  <c r="H7671" i="2"/>
  <c r="J7671" i="2"/>
  <c r="K7671" i="2"/>
  <c r="L7671" i="2"/>
  <c r="C7672" i="2"/>
  <c r="D7672" i="2"/>
  <c r="F7672" i="2"/>
  <c r="G7672" i="2"/>
  <c r="H7672" i="2"/>
  <c r="J7672" i="2"/>
  <c r="K7672" i="2"/>
  <c r="L7672" i="2"/>
  <c r="C7673" i="2"/>
  <c r="D7673" i="2"/>
  <c r="F7673" i="2"/>
  <c r="G7673" i="2"/>
  <c r="H7673" i="2"/>
  <c r="J7673" i="2"/>
  <c r="K7673" i="2"/>
  <c r="L7673" i="2"/>
  <c r="C7674" i="2"/>
  <c r="D7674" i="2"/>
  <c r="F7674" i="2"/>
  <c r="G7674" i="2"/>
  <c r="H7674" i="2"/>
  <c r="J7674" i="2"/>
  <c r="K7674" i="2"/>
  <c r="L7674" i="2"/>
  <c r="C7675" i="2"/>
  <c r="D7675" i="2"/>
  <c r="F7675" i="2"/>
  <c r="G7675" i="2"/>
  <c r="H7675" i="2"/>
  <c r="J7675" i="2"/>
  <c r="K7675" i="2"/>
  <c r="L7675" i="2"/>
  <c r="C7676" i="2"/>
  <c r="D7676" i="2"/>
  <c r="F7676" i="2"/>
  <c r="G7676" i="2"/>
  <c r="H7676" i="2"/>
  <c r="J7676" i="2"/>
  <c r="K7676" i="2"/>
  <c r="L7676" i="2"/>
  <c r="C7677" i="2"/>
  <c r="D7677" i="2"/>
  <c r="F7677" i="2"/>
  <c r="G7677" i="2"/>
  <c r="H7677" i="2"/>
  <c r="J7677" i="2"/>
  <c r="K7677" i="2"/>
  <c r="L7677" i="2"/>
  <c r="C7678" i="2"/>
  <c r="D7678" i="2"/>
  <c r="F7678" i="2"/>
  <c r="G7678" i="2"/>
  <c r="H7678" i="2"/>
  <c r="J7678" i="2"/>
  <c r="K7678" i="2"/>
  <c r="L7678" i="2"/>
  <c r="C7679" i="2"/>
  <c r="D7679" i="2"/>
  <c r="F7679" i="2"/>
  <c r="G7679" i="2"/>
  <c r="H7679" i="2"/>
  <c r="J7679" i="2"/>
  <c r="K7679" i="2"/>
  <c r="L7679" i="2"/>
  <c r="C7680" i="2"/>
  <c r="D7680" i="2"/>
  <c r="F7680" i="2"/>
  <c r="G7680" i="2"/>
  <c r="H7680" i="2"/>
  <c r="J7680" i="2"/>
  <c r="K7680" i="2"/>
  <c r="L7680" i="2"/>
  <c r="C7681" i="2"/>
  <c r="D7681" i="2"/>
  <c r="F7681" i="2"/>
  <c r="G7681" i="2"/>
  <c r="H7681" i="2"/>
  <c r="J7681" i="2"/>
  <c r="K7681" i="2"/>
  <c r="L7681" i="2"/>
  <c r="C7682" i="2"/>
  <c r="D7682" i="2"/>
  <c r="F7682" i="2"/>
  <c r="G7682" i="2"/>
  <c r="H7682" i="2"/>
  <c r="J7682" i="2"/>
  <c r="K7682" i="2"/>
  <c r="L7682" i="2"/>
  <c r="C7683" i="2"/>
  <c r="D7683" i="2"/>
  <c r="F7683" i="2"/>
  <c r="G7683" i="2"/>
  <c r="H7683" i="2"/>
  <c r="J7683" i="2"/>
  <c r="K7683" i="2"/>
  <c r="L7683" i="2"/>
  <c r="C7684" i="2"/>
  <c r="D7684" i="2"/>
  <c r="F7684" i="2"/>
  <c r="G7684" i="2"/>
  <c r="H7684" i="2"/>
  <c r="J7684" i="2"/>
  <c r="K7684" i="2"/>
  <c r="L7684" i="2"/>
  <c r="C7685" i="2"/>
  <c r="D7685" i="2"/>
  <c r="F7685" i="2"/>
  <c r="G7685" i="2"/>
  <c r="H7685" i="2"/>
  <c r="J7685" i="2"/>
  <c r="K7685" i="2"/>
  <c r="L7685" i="2"/>
  <c r="C7686" i="2"/>
  <c r="D7686" i="2"/>
  <c r="F7686" i="2"/>
  <c r="G7686" i="2"/>
  <c r="H7686" i="2"/>
  <c r="J7686" i="2"/>
  <c r="K7686" i="2"/>
  <c r="L7686" i="2"/>
  <c r="C7687" i="2"/>
  <c r="D7687" i="2"/>
  <c r="F7687" i="2"/>
  <c r="G7687" i="2"/>
  <c r="H7687" i="2"/>
  <c r="J7687" i="2"/>
  <c r="K7687" i="2"/>
  <c r="L7687" i="2"/>
  <c r="C7688" i="2"/>
  <c r="D7688" i="2"/>
  <c r="F7688" i="2"/>
  <c r="G7688" i="2"/>
  <c r="H7688" i="2"/>
  <c r="J7688" i="2"/>
  <c r="K7688" i="2"/>
  <c r="L7688" i="2"/>
  <c r="C7689" i="2"/>
  <c r="D7689" i="2"/>
  <c r="F7689" i="2"/>
  <c r="G7689" i="2"/>
  <c r="H7689" i="2"/>
  <c r="J7689" i="2"/>
  <c r="K7689" i="2"/>
  <c r="L7689" i="2"/>
  <c r="C7690" i="2"/>
  <c r="D7690" i="2"/>
  <c r="F7690" i="2"/>
  <c r="G7690" i="2"/>
  <c r="H7690" i="2"/>
  <c r="J7690" i="2"/>
  <c r="K7690" i="2"/>
  <c r="L7690" i="2"/>
  <c r="C7691" i="2"/>
  <c r="D7691" i="2"/>
  <c r="F7691" i="2"/>
  <c r="G7691" i="2"/>
  <c r="H7691" i="2"/>
  <c r="J7691" i="2"/>
  <c r="K7691" i="2"/>
  <c r="L7691" i="2"/>
  <c r="C7692" i="2"/>
  <c r="D7692" i="2"/>
  <c r="F7692" i="2"/>
  <c r="G7692" i="2"/>
  <c r="H7692" i="2"/>
  <c r="J7692" i="2"/>
  <c r="K7692" i="2"/>
  <c r="L7692" i="2"/>
  <c r="C7693" i="2"/>
  <c r="D7693" i="2"/>
  <c r="F7693" i="2"/>
  <c r="G7693" i="2"/>
  <c r="H7693" i="2"/>
  <c r="J7693" i="2"/>
  <c r="K7693" i="2"/>
  <c r="L7693" i="2"/>
  <c r="C7694" i="2"/>
  <c r="D7694" i="2"/>
  <c r="F7694" i="2"/>
  <c r="G7694" i="2"/>
  <c r="H7694" i="2"/>
  <c r="J7694" i="2"/>
  <c r="K7694" i="2"/>
  <c r="L7694" i="2"/>
  <c r="C7695" i="2"/>
  <c r="D7695" i="2"/>
  <c r="F7695" i="2"/>
  <c r="G7695" i="2"/>
  <c r="H7695" i="2"/>
  <c r="J7695" i="2"/>
  <c r="K7695" i="2"/>
  <c r="L7695" i="2"/>
  <c r="C7696" i="2"/>
  <c r="D7696" i="2"/>
  <c r="F7696" i="2"/>
  <c r="G7696" i="2"/>
  <c r="H7696" i="2"/>
  <c r="J7696" i="2"/>
  <c r="K7696" i="2"/>
  <c r="L7696" i="2"/>
  <c r="C7697" i="2"/>
  <c r="D7697" i="2"/>
  <c r="F7697" i="2"/>
  <c r="G7697" i="2"/>
  <c r="H7697" i="2"/>
  <c r="J7697" i="2"/>
  <c r="K7697" i="2"/>
  <c r="L7697" i="2"/>
  <c r="C7698" i="2"/>
  <c r="D7698" i="2"/>
  <c r="F7698" i="2"/>
  <c r="G7698" i="2"/>
  <c r="H7698" i="2"/>
  <c r="J7698" i="2"/>
  <c r="K7698" i="2"/>
  <c r="L7698" i="2"/>
  <c r="C7699" i="2"/>
  <c r="D7699" i="2"/>
  <c r="F7699" i="2"/>
  <c r="G7699" i="2"/>
  <c r="H7699" i="2"/>
  <c r="J7699" i="2"/>
  <c r="K7699" i="2"/>
  <c r="L7699" i="2"/>
  <c r="C7700" i="2"/>
  <c r="D7700" i="2"/>
  <c r="F7700" i="2"/>
  <c r="G7700" i="2"/>
  <c r="H7700" i="2"/>
  <c r="J7700" i="2"/>
  <c r="K7700" i="2"/>
  <c r="L7700" i="2"/>
  <c r="C7701" i="2"/>
  <c r="D7701" i="2"/>
  <c r="F7701" i="2"/>
  <c r="G7701" i="2"/>
  <c r="H7701" i="2"/>
  <c r="J7701" i="2"/>
  <c r="K7701" i="2"/>
  <c r="L7701" i="2"/>
  <c r="C7702" i="2"/>
  <c r="D7702" i="2"/>
  <c r="F7702" i="2"/>
  <c r="G7702" i="2"/>
  <c r="H7702" i="2"/>
  <c r="J7702" i="2"/>
  <c r="K7702" i="2"/>
  <c r="L7702" i="2"/>
  <c r="C7703" i="2"/>
  <c r="D7703" i="2"/>
  <c r="F7703" i="2"/>
  <c r="G7703" i="2"/>
  <c r="H7703" i="2"/>
  <c r="J7703" i="2"/>
  <c r="K7703" i="2"/>
  <c r="L7703" i="2"/>
  <c r="C7704" i="2"/>
  <c r="D7704" i="2"/>
  <c r="F7704" i="2"/>
  <c r="G7704" i="2"/>
  <c r="H7704" i="2"/>
  <c r="J7704" i="2"/>
  <c r="K7704" i="2"/>
  <c r="L7704" i="2"/>
  <c r="C7705" i="2"/>
  <c r="D7705" i="2"/>
  <c r="F7705" i="2"/>
  <c r="G7705" i="2"/>
  <c r="H7705" i="2"/>
  <c r="J7705" i="2"/>
  <c r="K7705" i="2"/>
  <c r="L7705" i="2"/>
  <c r="C7706" i="2"/>
  <c r="D7706" i="2"/>
  <c r="F7706" i="2"/>
  <c r="G7706" i="2"/>
  <c r="H7706" i="2"/>
  <c r="J7706" i="2"/>
  <c r="K7706" i="2"/>
  <c r="L7706" i="2"/>
  <c r="C7707" i="2"/>
  <c r="D7707" i="2"/>
  <c r="F7707" i="2"/>
  <c r="G7707" i="2"/>
  <c r="H7707" i="2"/>
  <c r="J7707" i="2"/>
  <c r="K7707" i="2"/>
  <c r="L7707" i="2"/>
  <c r="C7708" i="2"/>
  <c r="D7708" i="2"/>
  <c r="F7708" i="2"/>
  <c r="G7708" i="2"/>
  <c r="H7708" i="2"/>
  <c r="J7708" i="2"/>
  <c r="K7708" i="2"/>
  <c r="L7708" i="2"/>
  <c r="C7709" i="2"/>
  <c r="D7709" i="2"/>
  <c r="F7709" i="2"/>
  <c r="G7709" i="2"/>
  <c r="H7709" i="2"/>
  <c r="J7709" i="2"/>
  <c r="K7709" i="2"/>
  <c r="L7709" i="2"/>
  <c r="C7710" i="2"/>
  <c r="D7710" i="2"/>
  <c r="F7710" i="2"/>
  <c r="G7710" i="2"/>
  <c r="H7710" i="2"/>
  <c r="J7710" i="2"/>
  <c r="K7710" i="2"/>
  <c r="L7710" i="2"/>
  <c r="C7711" i="2"/>
  <c r="D7711" i="2"/>
  <c r="F7711" i="2"/>
  <c r="G7711" i="2"/>
  <c r="H7711" i="2"/>
  <c r="J7711" i="2"/>
  <c r="K7711" i="2"/>
  <c r="L7711" i="2"/>
  <c r="C7712" i="2"/>
  <c r="D7712" i="2"/>
  <c r="F7712" i="2"/>
  <c r="G7712" i="2"/>
  <c r="H7712" i="2"/>
  <c r="J7712" i="2"/>
  <c r="K7712" i="2"/>
  <c r="L7712" i="2"/>
  <c r="C7713" i="2"/>
  <c r="D7713" i="2"/>
  <c r="F7713" i="2"/>
  <c r="G7713" i="2"/>
  <c r="H7713" i="2"/>
  <c r="J7713" i="2"/>
  <c r="K7713" i="2"/>
  <c r="L7713" i="2"/>
  <c r="C7714" i="2"/>
  <c r="D7714" i="2"/>
  <c r="F7714" i="2"/>
  <c r="G7714" i="2"/>
  <c r="H7714" i="2"/>
  <c r="J7714" i="2"/>
  <c r="K7714" i="2"/>
  <c r="L7714" i="2"/>
  <c r="C7715" i="2"/>
  <c r="D7715" i="2"/>
  <c r="F7715" i="2"/>
  <c r="G7715" i="2"/>
  <c r="H7715" i="2"/>
  <c r="J7715" i="2"/>
  <c r="K7715" i="2"/>
  <c r="L7715" i="2"/>
  <c r="C7716" i="2"/>
  <c r="D7716" i="2"/>
  <c r="F7716" i="2"/>
  <c r="G7716" i="2"/>
  <c r="H7716" i="2"/>
  <c r="J7716" i="2"/>
  <c r="K7716" i="2"/>
  <c r="L7716" i="2"/>
  <c r="C7717" i="2"/>
  <c r="D7717" i="2"/>
  <c r="F7717" i="2"/>
  <c r="G7717" i="2"/>
  <c r="H7717" i="2"/>
  <c r="J7717" i="2"/>
  <c r="K7717" i="2"/>
  <c r="L7717" i="2"/>
  <c r="C7718" i="2"/>
  <c r="D7718" i="2"/>
  <c r="F7718" i="2"/>
  <c r="G7718" i="2"/>
  <c r="H7718" i="2"/>
  <c r="J7718" i="2"/>
  <c r="K7718" i="2"/>
  <c r="L7718" i="2"/>
  <c r="C7719" i="2"/>
  <c r="D7719" i="2"/>
  <c r="F7719" i="2"/>
  <c r="G7719" i="2"/>
  <c r="H7719" i="2"/>
  <c r="J7719" i="2"/>
  <c r="K7719" i="2"/>
  <c r="L7719" i="2"/>
  <c r="C7720" i="2"/>
  <c r="D7720" i="2"/>
  <c r="F7720" i="2"/>
  <c r="G7720" i="2"/>
  <c r="H7720" i="2"/>
  <c r="J7720" i="2"/>
  <c r="K7720" i="2"/>
  <c r="L7720" i="2"/>
  <c r="C7721" i="2"/>
  <c r="D7721" i="2"/>
  <c r="F7721" i="2"/>
  <c r="G7721" i="2"/>
  <c r="H7721" i="2"/>
  <c r="J7721" i="2"/>
  <c r="K7721" i="2"/>
  <c r="L7721" i="2"/>
  <c r="C7722" i="2"/>
  <c r="D7722" i="2"/>
  <c r="F7722" i="2"/>
  <c r="G7722" i="2"/>
  <c r="H7722" i="2"/>
  <c r="J7722" i="2"/>
  <c r="K7722" i="2"/>
  <c r="L7722" i="2"/>
  <c r="C7723" i="2"/>
  <c r="D7723" i="2"/>
  <c r="F7723" i="2"/>
  <c r="G7723" i="2"/>
  <c r="H7723" i="2"/>
  <c r="J7723" i="2"/>
  <c r="K7723" i="2"/>
  <c r="L7723" i="2"/>
  <c r="C7724" i="2"/>
  <c r="D7724" i="2"/>
  <c r="F7724" i="2"/>
  <c r="G7724" i="2"/>
  <c r="H7724" i="2"/>
  <c r="J7724" i="2"/>
  <c r="K7724" i="2"/>
  <c r="L7724" i="2"/>
  <c r="C7725" i="2"/>
  <c r="D7725" i="2"/>
  <c r="F7725" i="2"/>
  <c r="G7725" i="2"/>
  <c r="H7725" i="2"/>
  <c r="J7725" i="2"/>
  <c r="K7725" i="2"/>
  <c r="L7725" i="2"/>
  <c r="C7726" i="2"/>
  <c r="D7726" i="2"/>
  <c r="F7726" i="2"/>
  <c r="G7726" i="2"/>
  <c r="H7726" i="2"/>
  <c r="J7726" i="2"/>
  <c r="K7726" i="2"/>
  <c r="L7726" i="2"/>
  <c r="C7727" i="2"/>
  <c r="D7727" i="2"/>
  <c r="F7727" i="2"/>
  <c r="G7727" i="2"/>
  <c r="H7727" i="2"/>
  <c r="J7727" i="2"/>
  <c r="K7727" i="2"/>
  <c r="L7727" i="2"/>
  <c r="C7728" i="2"/>
  <c r="D7728" i="2"/>
  <c r="F7728" i="2"/>
  <c r="G7728" i="2"/>
  <c r="H7728" i="2"/>
  <c r="J7728" i="2"/>
  <c r="K7728" i="2"/>
  <c r="L7728" i="2"/>
  <c r="C7729" i="2"/>
  <c r="D7729" i="2"/>
  <c r="F7729" i="2"/>
  <c r="G7729" i="2"/>
  <c r="H7729" i="2"/>
  <c r="J7729" i="2"/>
  <c r="K7729" i="2"/>
  <c r="L7729" i="2"/>
  <c r="C7730" i="2"/>
  <c r="D7730" i="2"/>
  <c r="F7730" i="2"/>
  <c r="G7730" i="2"/>
  <c r="H7730" i="2"/>
  <c r="J7730" i="2"/>
  <c r="K7730" i="2"/>
  <c r="L7730" i="2"/>
  <c r="C7731" i="2"/>
  <c r="D7731" i="2"/>
  <c r="F7731" i="2"/>
  <c r="G7731" i="2"/>
  <c r="H7731" i="2"/>
  <c r="J7731" i="2"/>
  <c r="K7731" i="2"/>
  <c r="L7731" i="2"/>
  <c r="C7732" i="2"/>
  <c r="D7732" i="2"/>
  <c r="F7732" i="2"/>
  <c r="G7732" i="2"/>
  <c r="H7732" i="2"/>
  <c r="J7732" i="2"/>
  <c r="K7732" i="2"/>
  <c r="L7732" i="2"/>
  <c r="C7733" i="2"/>
  <c r="D7733" i="2"/>
  <c r="F7733" i="2"/>
  <c r="G7733" i="2"/>
  <c r="H7733" i="2"/>
  <c r="J7733" i="2"/>
  <c r="K7733" i="2"/>
  <c r="L7733" i="2"/>
  <c r="C7734" i="2"/>
  <c r="D7734" i="2"/>
  <c r="F7734" i="2"/>
  <c r="G7734" i="2"/>
  <c r="H7734" i="2"/>
  <c r="J7734" i="2"/>
  <c r="K7734" i="2"/>
  <c r="L7734" i="2"/>
  <c r="C7735" i="2"/>
  <c r="D7735" i="2"/>
  <c r="F7735" i="2"/>
  <c r="G7735" i="2"/>
  <c r="H7735" i="2"/>
  <c r="J7735" i="2"/>
  <c r="K7735" i="2"/>
  <c r="L7735" i="2"/>
  <c r="C7736" i="2"/>
  <c r="D7736" i="2"/>
  <c r="F7736" i="2"/>
  <c r="G7736" i="2"/>
  <c r="H7736" i="2"/>
  <c r="J7736" i="2"/>
  <c r="K7736" i="2"/>
  <c r="L7736" i="2"/>
  <c r="C7737" i="2"/>
  <c r="D7737" i="2"/>
  <c r="F7737" i="2"/>
  <c r="G7737" i="2"/>
  <c r="H7737" i="2"/>
  <c r="J7737" i="2"/>
  <c r="K7737" i="2"/>
  <c r="L7737" i="2"/>
  <c r="C7738" i="2"/>
  <c r="D7738" i="2"/>
  <c r="F7738" i="2"/>
  <c r="G7738" i="2"/>
  <c r="H7738" i="2"/>
  <c r="J7738" i="2"/>
  <c r="K7738" i="2"/>
  <c r="L7738" i="2"/>
  <c r="C7739" i="2"/>
  <c r="D7739" i="2"/>
  <c r="F7739" i="2"/>
  <c r="G7739" i="2"/>
  <c r="H7739" i="2"/>
  <c r="J7739" i="2"/>
  <c r="K7739" i="2"/>
  <c r="L7739" i="2"/>
  <c r="C7740" i="2"/>
  <c r="D7740" i="2"/>
  <c r="F7740" i="2"/>
  <c r="G7740" i="2"/>
  <c r="H7740" i="2"/>
  <c r="J7740" i="2"/>
  <c r="K7740" i="2"/>
  <c r="L7740" i="2"/>
  <c r="C7741" i="2"/>
  <c r="D7741" i="2"/>
  <c r="F7741" i="2"/>
  <c r="G7741" i="2"/>
  <c r="H7741" i="2"/>
  <c r="J7741" i="2"/>
  <c r="K7741" i="2"/>
  <c r="L7741" i="2"/>
  <c r="C7742" i="2"/>
  <c r="D7742" i="2"/>
  <c r="F7742" i="2"/>
  <c r="G7742" i="2"/>
  <c r="H7742" i="2"/>
  <c r="J7742" i="2"/>
  <c r="K7742" i="2"/>
  <c r="L7742" i="2"/>
  <c r="C7743" i="2"/>
  <c r="D7743" i="2"/>
  <c r="F7743" i="2"/>
  <c r="G7743" i="2"/>
  <c r="H7743" i="2"/>
  <c r="J7743" i="2"/>
  <c r="K7743" i="2"/>
  <c r="L7743" i="2"/>
  <c r="C7744" i="2"/>
  <c r="D7744" i="2"/>
  <c r="F7744" i="2"/>
  <c r="G7744" i="2"/>
  <c r="H7744" i="2"/>
  <c r="J7744" i="2"/>
  <c r="K7744" i="2"/>
  <c r="L7744" i="2"/>
  <c r="C7745" i="2"/>
  <c r="D7745" i="2"/>
  <c r="F7745" i="2"/>
  <c r="G7745" i="2"/>
  <c r="H7745" i="2"/>
  <c r="J7745" i="2"/>
  <c r="K7745" i="2"/>
  <c r="L7745" i="2"/>
  <c r="C7746" i="2"/>
  <c r="D7746" i="2"/>
  <c r="F7746" i="2"/>
  <c r="G7746" i="2"/>
  <c r="H7746" i="2"/>
  <c r="J7746" i="2"/>
  <c r="K7746" i="2"/>
  <c r="L7746" i="2"/>
  <c r="C7747" i="2"/>
  <c r="D7747" i="2"/>
  <c r="F7747" i="2"/>
  <c r="G7747" i="2"/>
  <c r="H7747" i="2"/>
  <c r="J7747" i="2"/>
  <c r="K7747" i="2"/>
  <c r="L7747" i="2"/>
  <c r="C7748" i="2"/>
  <c r="D7748" i="2"/>
  <c r="F7748" i="2"/>
  <c r="G7748" i="2"/>
  <c r="H7748" i="2"/>
  <c r="J7748" i="2"/>
  <c r="K7748" i="2"/>
  <c r="L7748" i="2"/>
  <c r="C7749" i="2"/>
  <c r="D7749" i="2"/>
  <c r="F7749" i="2"/>
  <c r="G7749" i="2"/>
  <c r="H7749" i="2"/>
  <c r="J7749" i="2"/>
  <c r="K7749" i="2"/>
  <c r="L7749" i="2"/>
  <c r="C7750" i="2"/>
  <c r="D7750" i="2"/>
  <c r="F7750" i="2"/>
  <c r="G7750" i="2"/>
  <c r="H7750" i="2"/>
  <c r="J7750" i="2"/>
  <c r="K7750" i="2"/>
  <c r="L7750" i="2"/>
  <c r="C7751" i="2"/>
  <c r="D7751" i="2"/>
  <c r="F7751" i="2"/>
  <c r="G7751" i="2"/>
  <c r="H7751" i="2"/>
  <c r="J7751" i="2"/>
  <c r="K7751" i="2"/>
  <c r="L7751" i="2"/>
  <c r="C7752" i="2"/>
  <c r="D7752" i="2"/>
  <c r="F7752" i="2"/>
  <c r="G7752" i="2"/>
  <c r="H7752" i="2"/>
  <c r="J7752" i="2"/>
  <c r="K7752" i="2"/>
  <c r="L7752" i="2"/>
  <c r="C7753" i="2"/>
  <c r="D7753" i="2"/>
  <c r="F7753" i="2"/>
  <c r="G7753" i="2"/>
  <c r="H7753" i="2"/>
  <c r="J7753" i="2"/>
  <c r="K7753" i="2"/>
  <c r="L7753" i="2"/>
  <c r="C7754" i="2"/>
  <c r="D7754" i="2"/>
  <c r="F7754" i="2"/>
  <c r="G7754" i="2"/>
  <c r="H7754" i="2"/>
  <c r="J7754" i="2"/>
  <c r="K7754" i="2"/>
  <c r="L7754" i="2"/>
  <c r="C7755" i="2"/>
  <c r="D7755" i="2"/>
  <c r="F7755" i="2"/>
  <c r="G7755" i="2"/>
  <c r="H7755" i="2"/>
  <c r="J7755" i="2"/>
  <c r="K7755" i="2"/>
  <c r="L7755" i="2"/>
  <c r="C7756" i="2"/>
  <c r="D7756" i="2"/>
  <c r="F7756" i="2"/>
  <c r="G7756" i="2"/>
  <c r="H7756" i="2"/>
  <c r="J7756" i="2"/>
  <c r="K7756" i="2"/>
  <c r="L7756" i="2"/>
  <c r="C7757" i="2"/>
  <c r="D7757" i="2"/>
  <c r="F7757" i="2"/>
  <c r="G7757" i="2"/>
  <c r="H7757" i="2"/>
  <c r="J7757" i="2"/>
  <c r="K7757" i="2"/>
  <c r="L7757" i="2"/>
  <c r="C7758" i="2"/>
  <c r="D7758" i="2"/>
  <c r="F7758" i="2"/>
  <c r="G7758" i="2"/>
  <c r="H7758" i="2"/>
  <c r="J7758" i="2"/>
  <c r="K7758" i="2"/>
  <c r="L7758" i="2"/>
  <c r="C7759" i="2"/>
  <c r="D7759" i="2"/>
  <c r="F7759" i="2"/>
  <c r="G7759" i="2"/>
  <c r="H7759" i="2"/>
  <c r="J7759" i="2"/>
  <c r="K7759" i="2"/>
  <c r="L7759" i="2"/>
  <c r="C7760" i="2"/>
  <c r="D7760" i="2"/>
  <c r="F7760" i="2"/>
  <c r="G7760" i="2"/>
  <c r="H7760" i="2"/>
  <c r="J7760" i="2"/>
  <c r="K7760" i="2"/>
  <c r="L7760" i="2"/>
  <c r="C7761" i="2"/>
  <c r="D7761" i="2"/>
  <c r="F7761" i="2"/>
  <c r="G7761" i="2"/>
  <c r="H7761" i="2"/>
  <c r="J7761" i="2"/>
  <c r="K7761" i="2"/>
  <c r="L7761" i="2"/>
  <c r="C7762" i="2"/>
  <c r="D7762" i="2"/>
  <c r="F7762" i="2"/>
  <c r="G7762" i="2"/>
  <c r="H7762" i="2"/>
  <c r="J7762" i="2"/>
  <c r="K7762" i="2"/>
  <c r="L7762" i="2"/>
  <c r="C7763" i="2"/>
  <c r="D7763" i="2"/>
  <c r="F7763" i="2"/>
  <c r="G7763" i="2"/>
  <c r="H7763" i="2"/>
  <c r="J7763" i="2"/>
  <c r="K7763" i="2"/>
  <c r="L7763" i="2"/>
  <c r="C7764" i="2"/>
  <c r="D7764" i="2"/>
  <c r="F7764" i="2"/>
  <c r="G7764" i="2"/>
  <c r="H7764" i="2"/>
  <c r="J7764" i="2"/>
  <c r="K7764" i="2"/>
  <c r="L7764" i="2"/>
  <c r="C7765" i="2"/>
  <c r="D7765" i="2"/>
  <c r="F7765" i="2"/>
  <c r="G7765" i="2"/>
  <c r="H7765" i="2"/>
  <c r="J7765" i="2"/>
  <c r="K7765" i="2"/>
  <c r="L7765" i="2"/>
  <c r="C7766" i="2"/>
  <c r="D7766" i="2"/>
  <c r="F7766" i="2"/>
  <c r="G7766" i="2"/>
  <c r="H7766" i="2"/>
  <c r="J7766" i="2"/>
  <c r="K7766" i="2"/>
  <c r="L7766" i="2"/>
  <c r="C7767" i="2"/>
  <c r="D7767" i="2"/>
  <c r="F7767" i="2"/>
  <c r="G7767" i="2"/>
  <c r="H7767" i="2"/>
  <c r="J7767" i="2"/>
  <c r="K7767" i="2"/>
  <c r="L7767" i="2"/>
  <c r="C7768" i="2"/>
  <c r="D7768" i="2"/>
  <c r="F7768" i="2"/>
  <c r="G7768" i="2"/>
  <c r="H7768" i="2"/>
  <c r="J7768" i="2"/>
  <c r="K7768" i="2"/>
  <c r="L7768" i="2"/>
  <c r="C7769" i="2"/>
  <c r="D7769" i="2"/>
  <c r="F7769" i="2"/>
  <c r="G7769" i="2"/>
  <c r="H7769" i="2"/>
  <c r="J7769" i="2"/>
  <c r="K7769" i="2"/>
  <c r="L7769" i="2"/>
  <c r="C7770" i="2"/>
  <c r="D7770" i="2"/>
  <c r="F7770" i="2"/>
  <c r="G7770" i="2"/>
  <c r="H7770" i="2"/>
  <c r="J7770" i="2"/>
  <c r="K7770" i="2"/>
  <c r="L7770" i="2"/>
  <c r="C7771" i="2"/>
  <c r="D7771" i="2"/>
  <c r="F7771" i="2"/>
  <c r="G7771" i="2"/>
  <c r="H7771" i="2"/>
  <c r="J7771" i="2"/>
  <c r="K7771" i="2"/>
  <c r="L7771" i="2"/>
  <c r="C7772" i="2"/>
  <c r="D7772" i="2"/>
  <c r="F7772" i="2"/>
  <c r="G7772" i="2"/>
  <c r="H7772" i="2"/>
  <c r="J7772" i="2"/>
  <c r="K7772" i="2"/>
  <c r="L7772" i="2"/>
  <c r="C7773" i="2"/>
  <c r="D7773" i="2"/>
  <c r="F7773" i="2"/>
  <c r="G7773" i="2"/>
  <c r="H7773" i="2"/>
  <c r="J7773" i="2"/>
  <c r="K7773" i="2"/>
  <c r="L7773" i="2"/>
  <c r="C7774" i="2"/>
  <c r="D7774" i="2"/>
  <c r="F7774" i="2"/>
  <c r="G7774" i="2"/>
  <c r="H7774" i="2"/>
  <c r="J7774" i="2"/>
  <c r="K7774" i="2"/>
  <c r="L7774" i="2"/>
  <c r="C7775" i="2"/>
  <c r="D7775" i="2"/>
  <c r="F7775" i="2"/>
  <c r="G7775" i="2"/>
  <c r="H7775" i="2"/>
  <c r="J7775" i="2"/>
  <c r="K7775" i="2"/>
  <c r="L7775" i="2"/>
  <c r="C7776" i="2"/>
  <c r="D7776" i="2"/>
  <c r="F7776" i="2"/>
  <c r="G7776" i="2"/>
  <c r="H7776" i="2"/>
  <c r="J7776" i="2"/>
  <c r="K7776" i="2"/>
  <c r="L7776" i="2"/>
  <c r="C7777" i="2"/>
  <c r="D7777" i="2"/>
  <c r="F7777" i="2"/>
  <c r="G7777" i="2"/>
  <c r="H7777" i="2"/>
  <c r="J7777" i="2"/>
  <c r="K7777" i="2"/>
  <c r="L7777" i="2"/>
  <c r="C7778" i="2"/>
  <c r="D7778" i="2"/>
  <c r="F7778" i="2"/>
  <c r="G7778" i="2"/>
  <c r="H7778" i="2"/>
  <c r="J7778" i="2"/>
  <c r="K7778" i="2"/>
  <c r="L7778" i="2"/>
  <c r="C7779" i="2"/>
  <c r="D7779" i="2"/>
  <c r="F7779" i="2"/>
  <c r="G7779" i="2"/>
  <c r="H7779" i="2"/>
  <c r="J7779" i="2"/>
  <c r="K7779" i="2"/>
  <c r="L7779" i="2"/>
  <c r="C7780" i="2"/>
  <c r="D7780" i="2"/>
  <c r="F7780" i="2"/>
  <c r="G7780" i="2"/>
  <c r="H7780" i="2"/>
  <c r="J7780" i="2"/>
  <c r="K7780" i="2"/>
  <c r="L7780" i="2"/>
  <c r="C7781" i="2"/>
  <c r="D7781" i="2"/>
  <c r="F7781" i="2"/>
  <c r="G7781" i="2"/>
  <c r="H7781" i="2"/>
  <c r="J7781" i="2"/>
  <c r="K7781" i="2"/>
  <c r="L7781" i="2"/>
  <c r="C7782" i="2"/>
  <c r="D7782" i="2"/>
  <c r="F7782" i="2"/>
  <c r="G7782" i="2"/>
  <c r="H7782" i="2"/>
  <c r="J7782" i="2"/>
  <c r="K7782" i="2"/>
  <c r="L7782" i="2"/>
  <c r="C7783" i="2"/>
  <c r="D7783" i="2"/>
  <c r="F7783" i="2"/>
  <c r="G7783" i="2"/>
  <c r="H7783" i="2"/>
  <c r="J7783" i="2"/>
  <c r="K7783" i="2"/>
  <c r="L7783" i="2"/>
  <c r="C7784" i="2"/>
  <c r="D7784" i="2"/>
  <c r="F7784" i="2"/>
  <c r="G7784" i="2"/>
  <c r="H7784" i="2"/>
  <c r="J7784" i="2"/>
  <c r="K7784" i="2"/>
  <c r="L7784" i="2"/>
  <c r="C7785" i="2"/>
  <c r="D7785" i="2"/>
  <c r="F7785" i="2"/>
  <c r="G7785" i="2"/>
  <c r="H7785" i="2"/>
  <c r="J7785" i="2"/>
  <c r="K7785" i="2"/>
  <c r="L7785" i="2"/>
  <c r="C7786" i="2"/>
  <c r="D7786" i="2"/>
  <c r="F7786" i="2"/>
  <c r="G7786" i="2"/>
  <c r="H7786" i="2"/>
  <c r="J7786" i="2"/>
  <c r="K7786" i="2"/>
  <c r="L7786" i="2"/>
  <c r="C7787" i="2"/>
  <c r="D7787" i="2"/>
  <c r="F7787" i="2"/>
  <c r="G7787" i="2"/>
  <c r="H7787" i="2"/>
  <c r="J7787" i="2"/>
  <c r="K7787" i="2"/>
  <c r="L7787" i="2"/>
  <c r="C7788" i="2"/>
  <c r="D7788" i="2"/>
  <c r="F7788" i="2"/>
  <c r="G7788" i="2"/>
  <c r="H7788" i="2"/>
  <c r="J7788" i="2"/>
  <c r="K7788" i="2"/>
  <c r="L7788" i="2"/>
  <c r="C7789" i="2"/>
  <c r="D7789" i="2"/>
  <c r="F7789" i="2"/>
  <c r="G7789" i="2"/>
  <c r="H7789" i="2"/>
  <c r="J7789" i="2"/>
  <c r="K7789" i="2"/>
  <c r="L7789" i="2"/>
  <c r="C7790" i="2"/>
  <c r="D7790" i="2"/>
  <c r="F7790" i="2"/>
  <c r="G7790" i="2"/>
  <c r="H7790" i="2"/>
  <c r="J7790" i="2"/>
  <c r="K7790" i="2"/>
  <c r="L7790" i="2"/>
  <c r="C7791" i="2"/>
  <c r="D7791" i="2"/>
  <c r="F7791" i="2"/>
  <c r="G7791" i="2"/>
  <c r="H7791" i="2"/>
  <c r="J7791" i="2"/>
  <c r="K7791" i="2"/>
  <c r="L7791" i="2"/>
  <c r="C7792" i="2"/>
  <c r="D7792" i="2"/>
  <c r="F7792" i="2"/>
  <c r="G7792" i="2"/>
  <c r="H7792" i="2"/>
  <c r="J7792" i="2"/>
  <c r="K7792" i="2"/>
  <c r="L7792" i="2"/>
  <c r="C7793" i="2"/>
  <c r="D7793" i="2"/>
  <c r="F7793" i="2"/>
  <c r="G7793" i="2"/>
  <c r="H7793" i="2"/>
  <c r="J7793" i="2"/>
  <c r="K7793" i="2"/>
  <c r="L7793" i="2"/>
  <c r="C7794" i="2"/>
  <c r="D7794" i="2"/>
  <c r="F7794" i="2"/>
  <c r="G7794" i="2"/>
  <c r="H7794" i="2"/>
  <c r="J7794" i="2"/>
  <c r="K7794" i="2"/>
  <c r="L7794" i="2"/>
  <c r="C7795" i="2"/>
  <c r="D7795" i="2"/>
  <c r="F7795" i="2"/>
  <c r="G7795" i="2"/>
  <c r="H7795" i="2"/>
  <c r="J7795" i="2"/>
  <c r="K7795" i="2"/>
  <c r="L7795" i="2"/>
  <c r="C7796" i="2"/>
  <c r="D7796" i="2"/>
  <c r="F7796" i="2"/>
  <c r="G7796" i="2"/>
  <c r="H7796" i="2"/>
  <c r="J7796" i="2"/>
  <c r="K7796" i="2"/>
  <c r="L7796" i="2"/>
  <c r="C7797" i="2"/>
  <c r="D7797" i="2"/>
  <c r="F7797" i="2"/>
  <c r="G7797" i="2"/>
  <c r="H7797" i="2"/>
  <c r="J7797" i="2"/>
  <c r="K7797" i="2"/>
  <c r="L7797" i="2"/>
  <c r="C7798" i="2"/>
  <c r="D7798" i="2"/>
  <c r="F7798" i="2"/>
  <c r="G7798" i="2"/>
  <c r="H7798" i="2"/>
  <c r="J7798" i="2"/>
  <c r="K7798" i="2"/>
  <c r="L7798" i="2"/>
  <c r="C7799" i="2"/>
  <c r="D7799" i="2"/>
  <c r="F7799" i="2"/>
  <c r="G7799" i="2"/>
  <c r="H7799" i="2"/>
  <c r="J7799" i="2"/>
  <c r="K7799" i="2"/>
  <c r="L7799" i="2"/>
  <c r="C7800" i="2"/>
  <c r="D7800" i="2"/>
  <c r="F7800" i="2"/>
  <c r="G7800" i="2"/>
  <c r="H7800" i="2"/>
  <c r="J7800" i="2"/>
  <c r="K7800" i="2"/>
  <c r="L7800" i="2"/>
  <c r="C7801" i="2"/>
  <c r="D7801" i="2"/>
  <c r="F7801" i="2"/>
  <c r="G7801" i="2"/>
  <c r="H7801" i="2"/>
  <c r="J7801" i="2"/>
  <c r="K7801" i="2"/>
  <c r="L7801" i="2"/>
  <c r="C7802" i="2"/>
  <c r="D7802" i="2"/>
  <c r="F7802" i="2"/>
  <c r="G7802" i="2"/>
  <c r="H7802" i="2"/>
  <c r="J7802" i="2"/>
  <c r="K7802" i="2"/>
  <c r="L7802" i="2"/>
  <c r="C7803" i="2"/>
  <c r="D7803" i="2"/>
  <c r="F7803" i="2"/>
  <c r="G7803" i="2"/>
  <c r="H7803" i="2"/>
  <c r="J7803" i="2"/>
  <c r="K7803" i="2"/>
  <c r="L7803" i="2"/>
  <c r="C7804" i="2"/>
  <c r="D7804" i="2"/>
  <c r="F7804" i="2"/>
  <c r="G7804" i="2"/>
  <c r="H7804" i="2"/>
  <c r="J7804" i="2"/>
  <c r="K7804" i="2"/>
  <c r="L7804" i="2"/>
  <c r="C7805" i="2"/>
  <c r="D7805" i="2"/>
  <c r="F7805" i="2"/>
  <c r="G7805" i="2"/>
  <c r="H7805" i="2"/>
  <c r="J7805" i="2"/>
  <c r="K7805" i="2"/>
  <c r="L7805" i="2"/>
  <c r="C7806" i="2"/>
  <c r="D7806" i="2"/>
  <c r="F7806" i="2"/>
  <c r="G7806" i="2"/>
  <c r="H7806" i="2"/>
  <c r="J7806" i="2"/>
  <c r="K7806" i="2"/>
  <c r="L7806" i="2"/>
  <c r="C7807" i="2"/>
  <c r="D7807" i="2"/>
  <c r="F7807" i="2"/>
  <c r="G7807" i="2"/>
  <c r="H7807" i="2"/>
  <c r="J7807" i="2"/>
  <c r="K7807" i="2"/>
  <c r="L7807" i="2"/>
  <c r="C7808" i="2"/>
  <c r="D7808" i="2"/>
  <c r="F7808" i="2"/>
  <c r="G7808" i="2"/>
  <c r="H7808" i="2"/>
  <c r="J7808" i="2"/>
  <c r="K7808" i="2"/>
  <c r="L7808" i="2"/>
  <c r="C7809" i="2"/>
  <c r="D7809" i="2"/>
  <c r="F7809" i="2"/>
  <c r="G7809" i="2"/>
  <c r="H7809" i="2"/>
  <c r="J7809" i="2"/>
  <c r="K7809" i="2"/>
  <c r="L7809" i="2"/>
  <c r="C7810" i="2"/>
  <c r="D7810" i="2"/>
  <c r="F7810" i="2"/>
  <c r="G7810" i="2"/>
  <c r="H7810" i="2"/>
  <c r="J7810" i="2"/>
  <c r="K7810" i="2"/>
  <c r="L7810" i="2"/>
  <c r="C7811" i="2"/>
  <c r="D7811" i="2"/>
  <c r="F7811" i="2"/>
  <c r="G7811" i="2"/>
  <c r="H7811" i="2"/>
  <c r="J7811" i="2"/>
  <c r="K7811" i="2"/>
  <c r="L7811" i="2"/>
  <c r="C7812" i="2"/>
  <c r="D7812" i="2"/>
  <c r="F7812" i="2"/>
  <c r="G7812" i="2"/>
  <c r="H7812" i="2"/>
  <c r="J7812" i="2"/>
  <c r="K7812" i="2"/>
  <c r="L7812" i="2"/>
  <c r="C7813" i="2"/>
  <c r="D7813" i="2"/>
  <c r="F7813" i="2"/>
  <c r="G7813" i="2"/>
  <c r="H7813" i="2"/>
  <c r="J7813" i="2"/>
  <c r="K7813" i="2"/>
  <c r="L7813" i="2"/>
  <c r="C7814" i="2"/>
  <c r="D7814" i="2"/>
  <c r="F7814" i="2"/>
  <c r="G7814" i="2"/>
  <c r="H7814" i="2"/>
  <c r="J7814" i="2"/>
  <c r="K7814" i="2"/>
  <c r="L7814" i="2"/>
  <c r="C7815" i="2"/>
  <c r="D7815" i="2"/>
  <c r="F7815" i="2"/>
  <c r="G7815" i="2"/>
  <c r="H7815" i="2"/>
  <c r="J7815" i="2"/>
  <c r="K7815" i="2"/>
  <c r="L7815" i="2"/>
  <c r="C7816" i="2"/>
  <c r="D7816" i="2"/>
  <c r="F7816" i="2"/>
  <c r="G7816" i="2"/>
  <c r="H7816" i="2"/>
  <c r="J7816" i="2"/>
  <c r="K7816" i="2"/>
  <c r="L7816" i="2"/>
  <c r="C7817" i="2"/>
  <c r="D7817" i="2"/>
  <c r="F7817" i="2"/>
  <c r="G7817" i="2"/>
  <c r="H7817" i="2"/>
  <c r="J7817" i="2"/>
  <c r="K7817" i="2"/>
  <c r="L7817" i="2"/>
  <c r="C7818" i="2"/>
  <c r="D7818" i="2"/>
  <c r="F7818" i="2"/>
  <c r="G7818" i="2"/>
  <c r="H7818" i="2"/>
  <c r="J7818" i="2"/>
  <c r="K7818" i="2"/>
  <c r="L7818" i="2"/>
  <c r="C7819" i="2"/>
  <c r="D7819" i="2"/>
  <c r="F7819" i="2"/>
  <c r="G7819" i="2"/>
  <c r="H7819" i="2"/>
  <c r="J7819" i="2"/>
  <c r="K7819" i="2"/>
  <c r="L7819" i="2"/>
  <c r="C7820" i="2"/>
  <c r="D7820" i="2"/>
  <c r="F7820" i="2"/>
  <c r="G7820" i="2"/>
  <c r="H7820" i="2"/>
  <c r="J7820" i="2"/>
  <c r="K7820" i="2"/>
  <c r="L7820" i="2"/>
  <c r="C7821" i="2"/>
  <c r="D7821" i="2"/>
  <c r="F7821" i="2"/>
  <c r="G7821" i="2"/>
  <c r="H7821" i="2"/>
  <c r="J7821" i="2"/>
  <c r="K7821" i="2"/>
  <c r="L7821" i="2"/>
  <c r="C7822" i="2"/>
  <c r="D7822" i="2"/>
  <c r="E7822" i="2"/>
  <c r="F7822" i="2"/>
  <c r="G7822" i="2"/>
  <c r="H7822" i="2"/>
  <c r="J7822" i="2"/>
  <c r="K7822" i="2"/>
  <c r="L7822" i="2"/>
  <c r="C7823" i="2"/>
  <c r="D7823" i="2"/>
  <c r="F7823" i="2"/>
  <c r="G7823" i="2"/>
  <c r="H7823" i="2"/>
  <c r="J7823" i="2"/>
  <c r="K7823" i="2"/>
  <c r="L7823" i="2"/>
  <c r="C7824" i="2"/>
  <c r="D7824" i="2"/>
  <c r="F7824" i="2"/>
  <c r="G7824" i="2"/>
  <c r="H7824" i="2"/>
  <c r="J7824" i="2"/>
  <c r="K7824" i="2"/>
  <c r="L7824" i="2"/>
  <c r="C7825" i="2"/>
  <c r="D7825" i="2"/>
  <c r="F7825" i="2"/>
  <c r="G7825" i="2"/>
  <c r="H7825" i="2"/>
  <c r="J7825" i="2"/>
  <c r="K7825" i="2"/>
  <c r="L7825" i="2"/>
  <c r="C7826" i="2"/>
  <c r="D7826" i="2"/>
  <c r="F7826" i="2"/>
  <c r="G7826" i="2"/>
  <c r="H7826" i="2"/>
  <c r="J7826" i="2"/>
  <c r="K7826" i="2"/>
  <c r="L7826" i="2"/>
  <c r="C7827" i="2"/>
  <c r="D7827" i="2"/>
  <c r="F7827" i="2"/>
  <c r="G7827" i="2"/>
  <c r="H7827" i="2"/>
  <c r="J7827" i="2"/>
  <c r="K7827" i="2"/>
  <c r="L7827" i="2"/>
  <c r="C7828" i="2"/>
  <c r="D7828" i="2"/>
  <c r="F7828" i="2"/>
  <c r="G7828" i="2"/>
  <c r="H7828" i="2"/>
  <c r="J7828" i="2"/>
  <c r="K7828" i="2"/>
  <c r="L7828" i="2"/>
  <c r="C7829" i="2"/>
  <c r="D7829" i="2"/>
  <c r="F7829" i="2"/>
  <c r="G7829" i="2"/>
  <c r="H7829" i="2"/>
  <c r="J7829" i="2"/>
  <c r="K7829" i="2"/>
  <c r="L7829" i="2"/>
  <c r="C7830" i="2"/>
  <c r="D7830" i="2"/>
  <c r="F7830" i="2"/>
  <c r="G7830" i="2"/>
  <c r="H7830" i="2"/>
  <c r="J7830" i="2"/>
  <c r="K7830" i="2"/>
  <c r="L7830" i="2"/>
  <c r="C7831" i="2"/>
  <c r="D7831" i="2"/>
  <c r="F7831" i="2"/>
  <c r="G7831" i="2"/>
  <c r="H7831" i="2"/>
  <c r="J7831" i="2"/>
  <c r="K7831" i="2"/>
  <c r="L7831" i="2"/>
  <c r="C7832" i="2"/>
  <c r="D7832" i="2"/>
  <c r="F7832" i="2"/>
  <c r="G7832" i="2"/>
  <c r="H7832" i="2"/>
  <c r="J7832" i="2"/>
  <c r="K7832" i="2"/>
  <c r="L7832" i="2"/>
  <c r="C7833" i="2"/>
  <c r="D7833" i="2"/>
  <c r="F7833" i="2"/>
  <c r="G7833" i="2"/>
  <c r="H7833" i="2"/>
  <c r="J7833" i="2"/>
  <c r="K7833" i="2"/>
  <c r="L7833" i="2"/>
  <c r="C7834" i="2"/>
  <c r="D7834" i="2"/>
  <c r="F7834" i="2"/>
  <c r="G7834" i="2"/>
  <c r="H7834" i="2"/>
  <c r="J7834" i="2"/>
  <c r="K7834" i="2"/>
  <c r="L7834" i="2"/>
  <c r="C7835" i="2"/>
  <c r="D7835" i="2"/>
  <c r="F7835" i="2"/>
  <c r="G7835" i="2"/>
  <c r="H7835" i="2"/>
  <c r="J7835" i="2"/>
  <c r="K7835" i="2"/>
  <c r="L7835" i="2"/>
  <c r="C7836" i="2"/>
  <c r="D7836" i="2"/>
  <c r="F7836" i="2"/>
  <c r="G7836" i="2"/>
  <c r="H7836" i="2"/>
  <c r="J7836" i="2"/>
  <c r="K7836" i="2"/>
  <c r="L7836" i="2"/>
  <c r="C7837" i="2"/>
  <c r="D7837" i="2"/>
  <c r="F7837" i="2"/>
  <c r="G7837" i="2"/>
  <c r="H7837" i="2"/>
  <c r="J7837" i="2"/>
  <c r="K7837" i="2"/>
  <c r="L7837" i="2"/>
  <c r="C7838" i="2"/>
  <c r="D7838" i="2"/>
  <c r="F7838" i="2"/>
  <c r="G7838" i="2"/>
  <c r="H7838" i="2"/>
  <c r="J7838" i="2"/>
  <c r="K7838" i="2"/>
  <c r="L7838" i="2"/>
  <c r="C7839" i="2"/>
  <c r="D7839" i="2"/>
  <c r="F7839" i="2"/>
  <c r="G7839" i="2"/>
  <c r="H7839" i="2"/>
  <c r="J7839" i="2"/>
  <c r="K7839" i="2"/>
  <c r="L7839" i="2"/>
  <c r="C7840" i="2"/>
  <c r="D7840" i="2"/>
  <c r="F7840" i="2"/>
  <c r="G7840" i="2"/>
  <c r="H7840" i="2"/>
  <c r="J7840" i="2"/>
  <c r="K7840" i="2"/>
  <c r="L7840" i="2"/>
  <c r="C7841" i="2"/>
  <c r="D7841" i="2"/>
  <c r="F7841" i="2"/>
  <c r="G7841" i="2"/>
  <c r="H7841" i="2"/>
  <c r="J7841" i="2"/>
  <c r="K7841" i="2"/>
  <c r="L7841" i="2"/>
  <c r="C7842" i="2"/>
  <c r="D7842" i="2"/>
  <c r="F7842" i="2"/>
  <c r="G7842" i="2"/>
  <c r="H7842" i="2"/>
  <c r="J7842" i="2"/>
  <c r="K7842" i="2"/>
  <c r="L7842" i="2"/>
  <c r="C7843" i="2"/>
  <c r="D7843" i="2"/>
  <c r="F7843" i="2"/>
  <c r="G7843" i="2"/>
  <c r="H7843" i="2"/>
  <c r="J7843" i="2"/>
  <c r="K7843" i="2"/>
  <c r="L7843" i="2"/>
  <c r="C7844" i="2"/>
  <c r="D7844" i="2"/>
  <c r="F7844" i="2"/>
  <c r="G7844" i="2"/>
  <c r="H7844" i="2"/>
  <c r="J7844" i="2"/>
  <c r="K7844" i="2"/>
  <c r="L7844" i="2"/>
  <c r="C7845" i="2"/>
  <c r="D7845" i="2"/>
  <c r="F7845" i="2"/>
  <c r="G7845" i="2"/>
  <c r="H7845" i="2"/>
  <c r="J7845" i="2"/>
  <c r="K7845" i="2"/>
  <c r="L7845" i="2"/>
  <c r="C7846" i="2"/>
  <c r="D7846" i="2"/>
  <c r="F7846" i="2"/>
  <c r="G7846" i="2"/>
  <c r="H7846" i="2"/>
  <c r="J7846" i="2"/>
  <c r="K7846" i="2"/>
  <c r="L7846" i="2"/>
  <c r="C7847" i="2"/>
  <c r="D7847" i="2"/>
  <c r="F7847" i="2"/>
  <c r="G7847" i="2"/>
  <c r="H7847" i="2"/>
  <c r="J7847" i="2"/>
  <c r="K7847" i="2"/>
  <c r="L7847" i="2"/>
  <c r="C7848" i="2"/>
  <c r="D7848" i="2"/>
  <c r="F7848" i="2"/>
  <c r="G7848" i="2"/>
  <c r="H7848" i="2"/>
  <c r="J7848" i="2"/>
  <c r="K7848" i="2"/>
  <c r="L7848" i="2"/>
  <c r="C7849" i="2"/>
  <c r="D7849" i="2"/>
  <c r="F7849" i="2"/>
  <c r="G7849" i="2"/>
  <c r="H7849" i="2"/>
  <c r="J7849" i="2"/>
  <c r="K7849" i="2"/>
  <c r="L7849" i="2"/>
  <c r="C7850" i="2"/>
  <c r="D7850" i="2"/>
  <c r="F7850" i="2"/>
  <c r="G7850" i="2"/>
  <c r="H7850" i="2"/>
  <c r="J7850" i="2"/>
  <c r="K7850" i="2"/>
  <c r="L7850" i="2"/>
  <c r="C7851" i="2"/>
  <c r="D7851" i="2"/>
  <c r="F7851" i="2"/>
  <c r="G7851" i="2"/>
  <c r="H7851" i="2"/>
  <c r="J7851" i="2"/>
  <c r="K7851" i="2"/>
  <c r="L7851" i="2"/>
  <c r="C7852" i="2"/>
  <c r="D7852" i="2"/>
  <c r="F7852" i="2"/>
  <c r="G7852" i="2"/>
  <c r="H7852" i="2"/>
  <c r="J7852" i="2"/>
  <c r="K7852" i="2"/>
  <c r="L7852" i="2"/>
  <c r="C7853" i="2"/>
  <c r="D7853" i="2"/>
  <c r="F7853" i="2"/>
  <c r="G7853" i="2"/>
  <c r="H7853" i="2"/>
  <c r="J7853" i="2"/>
  <c r="K7853" i="2"/>
  <c r="L7853" i="2"/>
  <c r="C7854" i="2"/>
  <c r="D7854" i="2"/>
  <c r="F7854" i="2"/>
  <c r="G7854" i="2"/>
  <c r="H7854" i="2"/>
  <c r="J7854" i="2"/>
  <c r="K7854" i="2"/>
  <c r="L7854" i="2"/>
  <c r="C7855" i="2"/>
  <c r="D7855" i="2"/>
  <c r="F7855" i="2"/>
  <c r="G7855" i="2"/>
  <c r="H7855" i="2"/>
  <c r="J7855" i="2"/>
  <c r="K7855" i="2"/>
  <c r="L7855" i="2"/>
  <c r="C7856" i="2"/>
  <c r="D7856" i="2"/>
  <c r="F7856" i="2"/>
  <c r="G7856" i="2"/>
  <c r="H7856" i="2"/>
  <c r="J7856" i="2"/>
  <c r="K7856" i="2"/>
  <c r="L7856" i="2"/>
  <c r="C7857" i="2"/>
  <c r="D7857" i="2"/>
  <c r="F7857" i="2"/>
  <c r="G7857" i="2"/>
  <c r="H7857" i="2"/>
  <c r="J7857" i="2"/>
  <c r="K7857" i="2"/>
  <c r="L7857" i="2"/>
  <c r="C7858" i="2"/>
  <c r="D7858" i="2"/>
  <c r="F7858" i="2"/>
  <c r="G7858" i="2"/>
  <c r="H7858" i="2"/>
  <c r="J7858" i="2"/>
  <c r="K7858" i="2"/>
  <c r="L7858" i="2"/>
  <c r="C7859" i="2"/>
  <c r="D7859" i="2"/>
  <c r="F7859" i="2"/>
  <c r="G7859" i="2"/>
  <c r="H7859" i="2"/>
  <c r="J7859" i="2"/>
  <c r="K7859" i="2"/>
  <c r="L7859" i="2"/>
  <c r="C7860" i="2"/>
  <c r="D7860" i="2"/>
  <c r="F7860" i="2"/>
  <c r="G7860" i="2"/>
  <c r="H7860" i="2"/>
  <c r="J7860" i="2"/>
  <c r="K7860" i="2"/>
  <c r="L7860" i="2"/>
  <c r="C7861" i="2"/>
  <c r="D7861" i="2"/>
  <c r="F7861" i="2"/>
  <c r="G7861" i="2"/>
  <c r="H7861" i="2"/>
  <c r="J7861" i="2"/>
  <c r="K7861" i="2"/>
  <c r="L7861" i="2"/>
  <c r="C7862" i="2"/>
  <c r="D7862" i="2"/>
  <c r="F7862" i="2"/>
  <c r="G7862" i="2"/>
  <c r="H7862" i="2"/>
  <c r="J7862" i="2"/>
  <c r="K7862" i="2"/>
  <c r="L7862" i="2"/>
  <c r="C7863" i="2"/>
  <c r="D7863" i="2"/>
  <c r="F7863" i="2"/>
  <c r="G7863" i="2"/>
  <c r="H7863" i="2"/>
  <c r="J7863" i="2"/>
  <c r="K7863" i="2"/>
  <c r="L7863" i="2"/>
  <c r="C7864" i="2"/>
  <c r="D7864" i="2"/>
  <c r="F7864" i="2"/>
  <c r="G7864" i="2"/>
  <c r="H7864" i="2"/>
  <c r="J7864" i="2"/>
  <c r="K7864" i="2"/>
  <c r="L7864" i="2"/>
  <c r="C7865" i="2"/>
  <c r="D7865" i="2"/>
  <c r="F7865" i="2"/>
  <c r="G7865" i="2"/>
  <c r="H7865" i="2"/>
  <c r="J7865" i="2"/>
  <c r="K7865" i="2"/>
  <c r="L7865" i="2"/>
  <c r="C7866" i="2"/>
  <c r="D7866" i="2"/>
  <c r="F7866" i="2"/>
  <c r="G7866" i="2"/>
  <c r="H7866" i="2"/>
  <c r="J7866" i="2"/>
  <c r="K7866" i="2"/>
  <c r="L7866" i="2"/>
  <c r="C7867" i="2"/>
  <c r="D7867" i="2"/>
  <c r="F7867" i="2"/>
  <c r="G7867" i="2"/>
  <c r="H7867" i="2"/>
  <c r="J7867" i="2"/>
  <c r="K7867" i="2"/>
  <c r="L7867" i="2"/>
  <c r="C7868" i="2"/>
  <c r="D7868" i="2"/>
  <c r="F7868" i="2"/>
  <c r="G7868" i="2"/>
  <c r="H7868" i="2"/>
  <c r="J7868" i="2"/>
  <c r="K7868" i="2"/>
  <c r="L7868" i="2"/>
  <c r="C7869" i="2"/>
  <c r="D7869" i="2"/>
  <c r="F7869" i="2"/>
  <c r="G7869" i="2"/>
  <c r="H7869" i="2"/>
  <c r="J7869" i="2"/>
  <c r="K7869" i="2"/>
  <c r="L7869" i="2"/>
  <c r="C7870" i="2"/>
  <c r="D7870" i="2"/>
  <c r="F7870" i="2"/>
  <c r="G7870" i="2"/>
  <c r="H7870" i="2"/>
  <c r="J7870" i="2"/>
  <c r="K7870" i="2"/>
  <c r="L7870" i="2"/>
  <c r="C7871" i="2"/>
  <c r="D7871" i="2"/>
  <c r="F7871" i="2"/>
  <c r="G7871" i="2"/>
  <c r="H7871" i="2"/>
  <c r="J7871" i="2"/>
  <c r="K7871" i="2"/>
  <c r="L7871" i="2"/>
  <c r="C7872" i="2"/>
  <c r="D7872" i="2"/>
  <c r="F7872" i="2"/>
  <c r="G7872" i="2"/>
  <c r="H7872" i="2"/>
  <c r="J7872" i="2"/>
  <c r="K7872" i="2"/>
  <c r="L7872" i="2"/>
  <c r="C7873" i="2"/>
  <c r="D7873" i="2"/>
  <c r="F7873" i="2"/>
  <c r="G7873" i="2"/>
  <c r="H7873" i="2"/>
  <c r="J7873" i="2"/>
  <c r="K7873" i="2"/>
  <c r="L7873" i="2"/>
  <c r="C7874" i="2"/>
  <c r="D7874" i="2"/>
  <c r="F7874" i="2"/>
  <c r="G7874" i="2"/>
  <c r="H7874" i="2"/>
  <c r="J7874" i="2"/>
  <c r="K7874" i="2"/>
  <c r="L7874" i="2"/>
  <c r="C7875" i="2"/>
  <c r="D7875" i="2"/>
  <c r="F7875" i="2"/>
  <c r="G7875" i="2"/>
  <c r="H7875" i="2"/>
  <c r="J7875" i="2"/>
  <c r="K7875" i="2"/>
  <c r="L7875" i="2"/>
  <c r="C7876" i="2"/>
  <c r="D7876" i="2"/>
  <c r="F7876" i="2"/>
  <c r="G7876" i="2"/>
  <c r="H7876" i="2"/>
  <c r="J7876" i="2"/>
  <c r="K7876" i="2"/>
  <c r="L7876" i="2"/>
  <c r="C7877" i="2"/>
  <c r="D7877" i="2"/>
  <c r="F7877" i="2"/>
  <c r="G7877" i="2"/>
  <c r="H7877" i="2"/>
  <c r="J7877" i="2"/>
  <c r="K7877" i="2"/>
  <c r="L7877" i="2"/>
  <c r="C7878" i="2"/>
  <c r="D7878" i="2"/>
  <c r="F7878" i="2"/>
  <c r="G7878" i="2"/>
  <c r="H7878" i="2"/>
  <c r="J7878" i="2"/>
  <c r="K7878" i="2"/>
  <c r="L7878" i="2"/>
  <c r="C7879" i="2"/>
  <c r="D7879" i="2"/>
  <c r="F7879" i="2"/>
  <c r="G7879" i="2"/>
  <c r="H7879" i="2"/>
  <c r="J7879" i="2"/>
  <c r="K7879" i="2"/>
  <c r="L7879" i="2"/>
  <c r="C7880" i="2"/>
  <c r="D7880" i="2"/>
  <c r="F7880" i="2"/>
  <c r="G7880" i="2"/>
  <c r="H7880" i="2"/>
  <c r="J7880" i="2"/>
  <c r="K7880" i="2"/>
  <c r="L7880" i="2"/>
  <c r="C7881" i="2"/>
  <c r="D7881" i="2"/>
  <c r="F7881" i="2"/>
  <c r="G7881" i="2"/>
  <c r="H7881" i="2"/>
  <c r="J7881" i="2"/>
  <c r="K7881" i="2"/>
  <c r="L7881" i="2"/>
  <c r="C7882" i="2"/>
  <c r="D7882" i="2"/>
  <c r="F7882" i="2"/>
  <c r="G7882" i="2"/>
  <c r="H7882" i="2"/>
  <c r="J7882" i="2"/>
  <c r="K7882" i="2"/>
  <c r="L7882" i="2"/>
  <c r="C7883" i="2"/>
  <c r="D7883" i="2"/>
  <c r="F7883" i="2"/>
  <c r="G7883" i="2"/>
  <c r="H7883" i="2"/>
  <c r="J7883" i="2"/>
  <c r="K7883" i="2"/>
  <c r="L7883" i="2"/>
  <c r="C7884" i="2"/>
  <c r="D7884" i="2"/>
  <c r="F7884" i="2"/>
  <c r="G7884" i="2"/>
  <c r="H7884" i="2"/>
  <c r="J7884" i="2"/>
  <c r="K7884" i="2"/>
  <c r="L7884" i="2"/>
  <c r="C7885" i="2"/>
  <c r="D7885" i="2"/>
  <c r="F7885" i="2"/>
  <c r="G7885" i="2"/>
  <c r="H7885" i="2"/>
  <c r="J7885" i="2"/>
  <c r="K7885" i="2"/>
  <c r="L7885" i="2"/>
  <c r="C7886" i="2"/>
  <c r="D7886" i="2"/>
  <c r="F7886" i="2"/>
  <c r="G7886" i="2"/>
  <c r="H7886" i="2"/>
  <c r="J7886" i="2"/>
  <c r="K7886" i="2"/>
  <c r="L7886" i="2"/>
  <c r="C7887" i="2"/>
  <c r="D7887" i="2"/>
  <c r="F7887" i="2"/>
  <c r="G7887" i="2"/>
  <c r="H7887" i="2"/>
  <c r="J7887" i="2"/>
  <c r="K7887" i="2"/>
  <c r="L7887" i="2"/>
  <c r="C7888" i="2"/>
  <c r="D7888" i="2"/>
  <c r="F7888" i="2"/>
  <c r="G7888" i="2"/>
  <c r="H7888" i="2"/>
  <c r="J7888" i="2"/>
  <c r="K7888" i="2"/>
  <c r="L7888" i="2"/>
  <c r="C7889" i="2"/>
  <c r="D7889" i="2"/>
  <c r="F7889" i="2"/>
  <c r="G7889" i="2"/>
  <c r="H7889" i="2"/>
  <c r="J7889" i="2"/>
  <c r="K7889" i="2"/>
  <c r="L7889" i="2"/>
  <c r="C7890" i="2"/>
  <c r="D7890" i="2"/>
  <c r="F7890" i="2"/>
  <c r="G7890" i="2"/>
  <c r="H7890" i="2"/>
  <c r="J7890" i="2"/>
  <c r="K7890" i="2"/>
  <c r="L7890" i="2"/>
  <c r="C7891" i="2"/>
  <c r="D7891" i="2"/>
  <c r="F7891" i="2"/>
  <c r="G7891" i="2"/>
  <c r="H7891" i="2"/>
  <c r="J7891" i="2"/>
  <c r="K7891" i="2"/>
  <c r="L7891" i="2"/>
  <c r="C7892" i="2"/>
  <c r="D7892" i="2"/>
  <c r="F7892" i="2"/>
  <c r="G7892" i="2"/>
  <c r="H7892" i="2"/>
  <c r="J7892" i="2"/>
  <c r="K7892" i="2"/>
  <c r="L7892" i="2"/>
  <c r="C7893" i="2"/>
  <c r="D7893" i="2"/>
  <c r="F7893" i="2"/>
  <c r="G7893" i="2"/>
  <c r="H7893" i="2"/>
  <c r="J7893" i="2"/>
  <c r="K7893" i="2"/>
  <c r="L7893" i="2"/>
  <c r="C7894" i="2"/>
  <c r="D7894" i="2"/>
  <c r="F7894" i="2"/>
  <c r="G7894" i="2"/>
  <c r="H7894" i="2"/>
  <c r="J7894" i="2"/>
  <c r="K7894" i="2"/>
  <c r="L7894" i="2"/>
  <c r="C7895" i="2"/>
  <c r="D7895" i="2"/>
  <c r="F7895" i="2"/>
  <c r="G7895" i="2"/>
  <c r="H7895" i="2"/>
  <c r="J7895" i="2"/>
  <c r="K7895" i="2"/>
  <c r="L7895" i="2"/>
  <c r="C7896" i="2"/>
  <c r="D7896" i="2"/>
  <c r="F7896" i="2"/>
  <c r="G7896" i="2"/>
  <c r="H7896" i="2"/>
  <c r="J7896" i="2"/>
  <c r="K7896" i="2"/>
  <c r="L7896" i="2"/>
  <c r="C7897" i="2"/>
  <c r="D7897" i="2"/>
  <c r="F7897" i="2"/>
  <c r="G7897" i="2"/>
  <c r="H7897" i="2"/>
  <c r="J7897" i="2"/>
  <c r="K7897" i="2"/>
  <c r="L7897" i="2"/>
  <c r="C7898" i="2"/>
  <c r="D7898" i="2"/>
  <c r="F7898" i="2"/>
  <c r="G7898" i="2"/>
  <c r="H7898" i="2"/>
  <c r="J7898" i="2"/>
  <c r="K7898" i="2"/>
  <c r="L7898" i="2"/>
  <c r="C7899" i="2"/>
  <c r="D7899" i="2"/>
  <c r="F7899" i="2"/>
  <c r="G7899" i="2"/>
  <c r="H7899" i="2"/>
  <c r="J7899" i="2"/>
  <c r="K7899" i="2"/>
  <c r="L7899" i="2"/>
  <c r="C7900" i="2"/>
  <c r="D7900" i="2"/>
  <c r="F7900" i="2"/>
  <c r="G7900" i="2"/>
  <c r="H7900" i="2"/>
  <c r="J7900" i="2"/>
  <c r="K7900" i="2"/>
  <c r="L7900" i="2"/>
  <c r="C7901" i="2"/>
  <c r="D7901" i="2"/>
  <c r="F7901" i="2"/>
  <c r="G7901" i="2"/>
  <c r="H7901" i="2"/>
  <c r="J7901" i="2"/>
  <c r="K7901" i="2"/>
  <c r="L7901" i="2"/>
  <c r="C7902" i="2"/>
  <c r="D7902" i="2"/>
  <c r="F7902" i="2"/>
  <c r="G7902" i="2"/>
  <c r="H7902" i="2"/>
  <c r="J7902" i="2"/>
  <c r="K7902" i="2"/>
  <c r="L7902" i="2"/>
  <c r="C7903" i="2"/>
  <c r="D7903" i="2"/>
  <c r="F7903" i="2"/>
  <c r="G7903" i="2"/>
  <c r="H7903" i="2"/>
  <c r="J7903" i="2"/>
  <c r="K7903" i="2"/>
  <c r="L7903" i="2"/>
  <c r="C7904" i="2"/>
  <c r="D7904" i="2"/>
  <c r="F7904" i="2"/>
  <c r="G7904" i="2"/>
  <c r="H7904" i="2"/>
  <c r="J7904" i="2"/>
  <c r="K7904" i="2"/>
  <c r="L7904" i="2"/>
  <c r="C7905" i="2"/>
  <c r="D7905" i="2"/>
  <c r="F7905" i="2"/>
  <c r="G7905" i="2"/>
  <c r="H7905" i="2"/>
  <c r="J7905" i="2"/>
  <c r="K7905" i="2"/>
  <c r="L7905" i="2"/>
  <c r="C7906" i="2"/>
  <c r="D7906" i="2"/>
  <c r="F7906" i="2"/>
  <c r="G7906" i="2"/>
  <c r="H7906" i="2"/>
  <c r="J7906" i="2"/>
  <c r="K7906" i="2"/>
  <c r="L7906" i="2"/>
  <c r="C7907" i="2"/>
  <c r="D7907" i="2"/>
  <c r="F7907" i="2"/>
  <c r="G7907" i="2"/>
  <c r="H7907" i="2"/>
  <c r="J7907" i="2"/>
  <c r="K7907" i="2"/>
  <c r="L7907" i="2"/>
  <c r="C7908" i="2"/>
  <c r="D7908" i="2"/>
  <c r="F7908" i="2"/>
  <c r="G7908" i="2"/>
  <c r="H7908" i="2"/>
  <c r="J7908" i="2"/>
  <c r="K7908" i="2"/>
  <c r="L7908" i="2"/>
  <c r="C7909" i="2"/>
  <c r="D7909" i="2"/>
  <c r="F7909" i="2"/>
  <c r="G7909" i="2"/>
  <c r="H7909" i="2"/>
  <c r="J7909" i="2"/>
  <c r="K7909" i="2"/>
  <c r="L7909" i="2"/>
  <c r="C7910" i="2"/>
  <c r="D7910" i="2"/>
  <c r="F7910" i="2"/>
  <c r="G7910" i="2"/>
  <c r="H7910" i="2"/>
  <c r="J7910" i="2"/>
  <c r="K7910" i="2"/>
  <c r="L7910" i="2"/>
  <c r="C7911" i="2"/>
  <c r="D7911" i="2"/>
  <c r="F7911" i="2"/>
  <c r="G7911" i="2"/>
  <c r="H7911" i="2"/>
  <c r="J7911" i="2"/>
  <c r="K7911" i="2"/>
  <c r="L7911" i="2"/>
  <c r="C7912" i="2"/>
  <c r="D7912" i="2"/>
  <c r="F7912" i="2"/>
  <c r="G7912" i="2"/>
  <c r="H7912" i="2"/>
  <c r="J7912" i="2"/>
  <c r="K7912" i="2"/>
  <c r="L7912" i="2"/>
  <c r="C7913" i="2"/>
  <c r="D7913" i="2"/>
  <c r="F7913" i="2"/>
  <c r="G7913" i="2"/>
  <c r="H7913" i="2"/>
  <c r="J7913" i="2"/>
  <c r="K7913" i="2"/>
  <c r="L7913" i="2"/>
  <c r="C7914" i="2"/>
  <c r="D7914" i="2"/>
  <c r="F7914" i="2"/>
  <c r="G7914" i="2"/>
  <c r="H7914" i="2"/>
  <c r="J7914" i="2"/>
  <c r="K7914" i="2"/>
  <c r="L7914" i="2"/>
  <c r="C7915" i="2"/>
  <c r="D7915" i="2"/>
  <c r="F7915" i="2"/>
  <c r="G7915" i="2"/>
  <c r="H7915" i="2"/>
  <c r="J7915" i="2"/>
  <c r="K7915" i="2"/>
  <c r="L7915" i="2"/>
  <c r="C7916" i="2"/>
  <c r="D7916" i="2"/>
  <c r="F7916" i="2"/>
  <c r="G7916" i="2"/>
  <c r="H7916" i="2"/>
  <c r="J7916" i="2"/>
  <c r="K7916" i="2"/>
  <c r="L7916" i="2"/>
  <c r="C7917" i="2"/>
  <c r="D7917" i="2"/>
  <c r="F7917" i="2"/>
  <c r="G7917" i="2"/>
  <c r="H7917" i="2"/>
  <c r="J7917" i="2"/>
  <c r="K7917" i="2"/>
  <c r="L7917" i="2"/>
  <c r="C7918" i="2"/>
  <c r="D7918" i="2"/>
  <c r="F7918" i="2"/>
  <c r="G7918" i="2"/>
  <c r="H7918" i="2"/>
  <c r="J7918" i="2"/>
  <c r="K7918" i="2"/>
  <c r="L7918" i="2"/>
  <c r="C7919" i="2"/>
  <c r="D7919" i="2"/>
  <c r="F7919" i="2"/>
  <c r="G7919" i="2"/>
  <c r="H7919" i="2"/>
  <c r="J7919" i="2"/>
  <c r="K7919" i="2"/>
  <c r="L7919" i="2"/>
  <c r="C7920" i="2"/>
  <c r="D7920" i="2"/>
  <c r="F7920" i="2"/>
  <c r="G7920" i="2"/>
  <c r="H7920" i="2"/>
  <c r="J7920" i="2"/>
  <c r="K7920" i="2"/>
  <c r="L7920" i="2"/>
  <c r="C7921" i="2"/>
  <c r="D7921" i="2"/>
  <c r="F7921" i="2"/>
  <c r="G7921" i="2"/>
  <c r="H7921" i="2"/>
  <c r="J7921" i="2"/>
  <c r="K7921" i="2"/>
  <c r="L7921" i="2"/>
  <c r="C7922" i="2"/>
  <c r="D7922" i="2"/>
  <c r="F7922" i="2"/>
  <c r="G7922" i="2"/>
  <c r="H7922" i="2"/>
  <c r="J7922" i="2"/>
  <c r="K7922" i="2"/>
  <c r="L7922" i="2"/>
  <c r="C7923" i="2"/>
  <c r="D7923" i="2"/>
  <c r="F7923" i="2"/>
  <c r="G7923" i="2"/>
  <c r="H7923" i="2"/>
  <c r="J7923" i="2"/>
  <c r="K7923" i="2"/>
  <c r="L7923" i="2"/>
  <c r="C7924" i="2"/>
  <c r="D7924" i="2"/>
  <c r="F7924" i="2"/>
  <c r="G7924" i="2"/>
  <c r="H7924" i="2"/>
  <c r="J7924" i="2"/>
  <c r="K7924" i="2"/>
  <c r="L7924" i="2"/>
  <c r="C7925" i="2"/>
  <c r="D7925" i="2"/>
  <c r="F7925" i="2"/>
  <c r="G7925" i="2"/>
  <c r="H7925" i="2"/>
  <c r="J7925" i="2"/>
  <c r="K7925" i="2"/>
  <c r="L7925" i="2"/>
  <c r="C7926" i="2"/>
  <c r="D7926" i="2"/>
  <c r="F7926" i="2"/>
  <c r="G7926" i="2"/>
  <c r="H7926" i="2"/>
  <c r="J7926" i="2"/>
  <c r="K7926" i="2"/>
  <c r="L7926" i="2"/>
  <c r="C7927" i="2"/>
  <c r="D7927" i="2"/>
  <c r="F7927" i="2"/>
  <c r="G7927" i="2"/>
  <c r="H7927" i="2"/>
  <c r="J7927" i="2"/>
  <c r="K7927" i="2"/>
  <c r="L7927" i="2"/>
  <c r="C7928" i="2"/>
  <c r="D7928" i="2"/>
  <c r="F7928" i="2"/>
  <c r="G7928" i="2"/>
  <c r="H7928" i="2"/>
  <c r="J7928" i="2"/>
  <c r="K7928" i="2"/>
  <c r="L7928" i="2"/>
  <c r="C7929" i="2"/>
  <c r="D7929" i="2"/>
  <c r="F7929" i="2"/>
  <c r="G7929" i="2"/>
  <c r="H7929" i="2"/>
  <c r="J7929" i="2"/>
  <c r="K7929" i="2"/>
  <c r="L7929" i="2"/>
  <c r="C7930" i="2"/>
  <c r="D7930" i="2"/>
  <c r="F7930" i="2"/>
  <c r="G7930" i="2"/>
  <c r="H7930" i="2"/>
  <c r="J7930" i="2"/>
  <c r="K7930" i="2"/>
  <c r="L7930" i="2"/>
  <c r="C7931" i="2"/>
  <c r="D7931" i="2"/>
  <c r="F7931" i="2"/>
  <c r="G7931" i="2"/>
  <c r="H7931" i="2"/>
  <c r="J7931" i="2"/>
  <c r="K7931" i="2"/>
  <c r="L7931" i="2"/>
  <c r="C7932" i="2"/>
  <c r="D7932" i="2"/>
  <c r="F7932" i="2"/>
  <c r="G7932" i="2"/>
  <c r="H7932" i="2"/>
  <c r="J7932" i="2"/>
  <c r="K7932" i="2"/>
  <c r="L7932" i="2"/>
  <c r="C7933" i="2"/>
  <c r="D7933" i="2"/>
  <c r="F7933" i="2"/>
  <c r="G7933" i="2"/>
  <c r="H7933" i="2"/>
  <c r="J7933" i="2"/>
  <c r="K7933" i="2"/>
  <c r="L7933" i="2"/>
  <c r="C7934" i="2"/>
  <c r="D7934" i="2"/>
  <c r="F7934" i="2"/>
  <c r="G7934" i="2"/>
  <c r="H7934" i="2"/>
  <c r="J7934" i="2"/>
  <c r="K7934" i="2"/>
  <c r="L7934" i="2"/>
  <c r="C7935" i="2"/>
  <c r="D7935" i="2"/>
  <c r="F7935" i="2"/>
  <c r="G7935" i="2"/>
  <c r="H7935" i="2"/>
  <c r="J7935" i="2"/>
  <c r="K7935" i="2"/>
  <c r="L7935" i="2"/>
  <c r="C7936" i="2"/>
  <c r="D7936" i="2"/>
  <c r="F7936" i="2"/>
  <c r="G7936" i="2"/>
  <c r="H7936" i="2"/>
  <c r="J7936" i="2"/>
  <c r="K7936" i="2"/>
  <c r="L7936" i="2"/>
  <c r="C7937" i="2"/>
  <c r="D7937" i="2"/>
  <c r="F7937" i="2"/>
  <c r="G7937" i="2"/>
  <c r="H7937" i="2"/>
  <c r="J7937" i="2"/>
  <c r="K7937" i="2"/>
  <c r="L7937" i="2"/>
  <c r="C7938" i="2"/>
  <c r="D7938" i="2"/>
  <c r="F7938" i="2"/>
  <c r="G7938" i="2"/>
  <c r="H7938" i="2"/>
  <c r="J7938" i="2"/>
  <c r="K7938" i="2"/>
  <c r="L7938" i="2"/>
  <c r="C7939" i="2"/>
  <c r="D7939" i="2"/>
  <c r="F7939" i="2"/>
  <c r="G7939" i="2"/>
  <c r="H7939" i="2"/>
  <c r="J7939" i="2"/>
  <c r="K7939" i="2"/>
  <c r="L7939" i="2"/>
  <c r="C7940" i="2"/>
  <c r="D7940" i="2"/>
  <c r="F7940" i="2"/>
  <c r="G7940" i="2"/>
  <c r="H7940" i="2"/>
  <c r="J7940" i="2"/>
  <c r="K7940" i="2"/>
  <c r="L7940" i="2"/>
  <c r="C7941" i="2"/>
  <c r="D7941" i="2"/>
  <c r="F7941" i="2"/>
  <c r="G7941" i="2"/>
  <c r="H7941" i="2"/>
  <c r="J7941" i="2"/>
  <c r="K7941" i="2"/>
  <c r="L7941" i="2"/>
  <c r="C7942" i="2"/>
  <c r="D7942" i="2"/>
  <c r="F7942" i="2"/>
  <c r="G7942" i="2"/>
  <c r="H7942" i="2"/>
  <c r="J7942" i="2"/>
  <c r="K7942" i="2"/>
  <c r="L7942" i="2"/>
  <c r="C7943" i="2"/>
  <c r="D7943" i="2"/>
  <c r="F7943" i="2"/>
  <c r="G7943" i="2"/>
  <c r="H7943" i="2"/>
  <c r="J7943" i="2"/>
  <c r="K7943" i="2"/>
  <c r="L7943" i="2"/>
  <c r="C7944" i="2"/>
  <c r="D7944" i="2"/>
  <c r="F7944" i="2"/>
  <c r="G7944" i="2"/>
  <c r="H7944" i="2"/>
  <c r="J7944" i="2"/>
  <c r="K7944" i="2"/>
  <c r="L7944" i="2"/>
  <c r="C7945" i="2"/>
  <c r="D7945" i="2"/>
  <c r="F7945" i="2"/>
  <c r="G7945" i="2"/>
  <c r="H7945" i="2"/>
  <c r="J7945" i="2"/>
  <c r="K7945" i="2"/>
  <c r="L7945" i="2"/>
  <c r="C7946" i="2"/>
  <c r="D7946" i="2"/>
  <c r="F7946" i="2"/>
  <c r="G7946" i="2"/>
  <c r="H7946" i="2"/>
  <c r="J7946" i="2"/>
  <c r="K7946" i="2"/>
  <c r="L7946" i="2"/>
  <c r="C7947" i="2"/>
  <c r="D7947" i="2"/>
  <c r="F7947" i="2"/>
  <c r="G7947" i="2"/>
  <c r="H7947" i="2"/>
  <c r="J7947" i="2"/>
  <c r="K7947" i="2"/>
  <c r="L7947" i="2"/>
  <c r="C7948" i="2"/>
  <c r="D7948" i="2"/>
  <c r="F7948" i="2"/>
  <c r="G7948" i="2"/>
  <c r="H7948" i="2"/>
  <c r="J7948" i="2"/>
  <c r="K7948" i="2"/>
  <c r="L7948" i="2"/>
  <c r="C7949" i="2"/>
  <c r="D7949" i="2"/>
  <c r="E7949" i="2"/>
  <c r="F7949" i="2"/>
  <c r="G7949" i="2"/>
  <c r="H7949" i="2"/>
  <c r="J7949" i="2"/>
  <c r="K7949" i="2"/>
  <c r="L7949" i="2"/>
  <c r="C7950" i="2"/>
  <c r="D7950" i="2"/>
  <c r="F7950" i="2"/>
  <c r="G7950" i="2"/>
  <c r="H7950" i="2"/>
  <c r="J7950" i="2"/>
  <c r="K7950" i="2"/>
  <c r="L7950" i="2"/>
  <c r="C7951" i="2"/>
  <c r="D7951" i="2"/>
  <c r="F7951" i="2"/>
  <c r="G7951" i="2"/>
  <c r="H7951" i="2"/>
  <c r="J7951" i="2"/>
  <c r="K7951" i="2"/>
  <c r="L7951" i="2"/>
  <c r="C7952" i="2"/>
  <c r="D7952" i="2"/>
  <c r="F7952" i="2"/>
  <c r="G7952" i="2"/>
  <c r="H7952" i="2"/>
  <c r="J7952" i="2"/>
  <c r="K7952" i="2"/>
  <c r="L7952" i="2"/>
  <c r="C7953" i="2"/>
  <c r="D7953" i="2"/>
  <c r="F7953" i="2"/>
  <c r="G7953" i="2"/>
  <c r="H7953" i="2"/>
  <c r="J7953" i="2"/>
  <c r="K7953" i="2"/>
  <c r="L7953" i="2"/>
  <c r="C7954" i="2"/>
  <c r="D7954" i="2"/>
  <c r="F7954" i="2"/>
  <c r="G7954" i="2"/>
  <c r="H7954" i="2"/>
  <c r="J7954" i="2"/>
  <c r="K7954" i="2"/>
  <c r="L7954" i="2"/>
  <c r="C7955" i="2"/>
  <c r="D7955" i="2"/>
  <c r="F7955" i="2"/>
  <c r="G7955" i="2"/>
  <c r="H7955" i="2"/>
  <c r="J7955" i="2"/>
  <c r="K7955" i="2"/>
  <c r="L7955" i="2"/>
  <c r="C7956" i="2"/>
  <c r="D7956" i="2"/>
  <c r="F7956" i="2"/>
  <c r="G7956" i="2"/>
  <c r="H7956" i="2"/>
  <c r="J7956" i="2"/>
  <c r="K7956" i="2"/>
  <c r="L7956" i="2"/>
  <c r="C7957" i="2"/>
  <c r="D7957" i="2"/>
  <c r="F7957" i="2"/>
  <c r="G7957" i="2"/>
  <c r="H7957" i="2"/>
  <c r="J7957" i="2"/>
  <c r="K7957" i="2"/>
  <c r="L7957" i="2"/>
  <c r="C7958" i="2"/>
  <c r="D7958" i="2"/>
  <c r="F7958" i="2"/>
  <c r="G7958" i="2"/>
  <c r="H7958" i="2"/>
  <c r="J7958" i="2"/>
  <c r="K7958" i="2"/>
  <c r="L7958" i="2"/>
  <c r="C7959" i="2"/>
  <c r="D7959" i="2"/>
  <c r="F7959" i="2"/>
  <c r="G7959" i="2"/>
  <c r="H7959" i="2"/>
  <c r="J7959" i="2"/>
  <c r="K7959" i="2"/>
  <c r="L7959" i="2"/>
  <c r="C7960" i="2"/>
  <c r="D7960" i="2"/>
  <c r="F7960" i="2"/>
  <c r="G7960" i="2"/>
  <c r="H7960" i="2"/>
  <c r="J7960" i="2"/>
  <c r="K7960" i="2"/>
  <c r="L7960" i="2"/>
  <c r="C7961" i="2"/>
  <c r="D7961" i="2"/>
  <c r="F7961" i="2"/>
  <c r="G7961" i="2"/>
  <c r="H7961" i="2"/>
  <c r="J7961" i="2"/>
  <c r="K7961" i="2"/>
  <c r="L7961" i="2"/>
  <c r="C7962" i="2"/>
  <c r="D7962" i="2"/>
  <c r="F7962" i="2"/>
  <c r="G7962" i="2"/>
  <c r="H7962" i="2"/>
  <c r="J7962" i="2"/>
  <c r="K7962" i="2"/>
  <c r="L7962" i="2"/>
  <c r="C7963" i="2"/>
  <c r="D7963" i="2"/>
  <c r="F7963" i="2"/>
  <c r="G7963" i="2"/>
  <c r="H7963" i="2"/>
  <c r="J7963" i="2"/>
  <c r="K7963" i="2"/>
  <c r="L7963" i="2"/>
  <c r="C7964" i="2"/>
  <c r="D7964" i="2"/>
  <c r="F7964" i="2"/>
  <c r="G7964" i="2"/>
  <c r="H7964" i="2"/>
  <c r="J7964" i="2"/>
  <c r="K7964" i="2"/>
  <c r="L7964" i="2"/>
  <c r="C7965" i="2"/>
  <c r="D7965" i="2"/>
  <c r="F7965" i="2"/>
  <c r="G7965" i="2"/>
  <c r="H7965" i="2"/>
  <c r="J7965" i="2"/>
  <c r="K7965" i="2"/>
  <c r="L7965" i="2"/>
  <c r="C7966" i="2"/>
  <c r="D7966" i="2"/>
  <c r="F7966" i="2"/>
  <c r="G7966" i="2"/>
  <c r="H7966" i="2"/>
  <c r="J7966" i="2"/>
  <c r="K7966" i="2"/>
  <c r="L7966" i="2"/>
  <c r="C7967" i="2"/>
  <c r="D7967" i="2"/>
  <c r="F7967" i="2"/>
  <c r="G7967" i="2"/>
  <c r="H7967" i="2"/>
  <c r="J7967" i="2"/>
  <c r="K7967" i="2"/>
  <c r="L7967" i="2"/>
  <c r="C7968" i="2"/>
  <c r="D7968" i="2"/>
  <c r="F7968" i="2"/>
  <c r="G7968" i="2"/>
  <c r="H7968" i="2"/>
  <c r="J7968" i="2"/>
  <c r="K7968" i="2"/>
  <c r="L7968" i="2"/>
  <c r="C7969" i="2"/>
  <c r="D7969" i="2"/>
  <c r="F7969" i="2"/>
  <c r="G7969" i="2"/>
  <c r="H7969" i="2"/>
  <c r="J7969" i="2"/>
  <c r="K7969" i="2"/>
  <c r="L7969" i="2"/>
  <c r="C7970" i="2"/>
  <c r="D7970" i="2"/>
  <c r="F7970" i="2"/>
  <c r="G7970" i="2"/>
  <c r="H7970" i="2"/>
  <c r="J7970" i="2"/>
  <c r="K7970" i="2"/>
  <c r="L7970" i="2"/>
  <c r="C7971" i="2"/>
  <c r="D7971" i="2"/>
  <c r="F7971" i="2"/>
  <c r="G7971" i="2"/>
  <c r="H7971" i="2"/>
  <c r="J7971" i="2"/>
  <c r="K7971" i="2"/>
  <c r="L7971" i="2"/>
  <c r="C7972" i="2"/>
  <c r="D7972" i="2"/>
  <c r="F7972" i="2"/>
  <c r="G7972" i="2"/>
  <c r="H7972" i="2"/>
  <c r="J7972" i="2"/>
  <c r="K7972" i="2"/>
  <c r="L7972" i="2"/>
  <c r="C7973" i="2"/>
  <c r="D7973" i="2"/>
  <c r="F7973" i="2"/>
  <c r="G7973" i="2"/>
  <c r="H7973" i="2"/>
  <c r="J7973" i="2"/>
  <c r="K7973" i="2"/>
  <c r="L7973" i="2"/>
  <c r="C7974" i="2"/>
  <c r="D7974" i="2"/>
  <c r="F7974" i="2"/>
  <c r="G7974" i="2"/>
  <c r="H7974" i="2"/>
  <c r="J7974" i="2"/>
  <c r="K7974" i="2"/>
  <c r="L7974" i="2"/>
  <c r="C7975" i="2"/>
  <c r="D7975" i="2"/>
  <c r="F7975" i="2"/>
  <c r="G7975" i="2"/>
  <c r="H7975" i="2"/>
  <c r="J7975" i="2"/>
  <c r="K7975" i="2"/>
  <c r="L7975" i="2"/>
  <c r="C7976" i="2"/>
  <c r="D7976" i="2"/>
  <c r="F7976" i="2"/>
  <c r="G7976" i="2"/>
  <c r="H7976" i="2"/>
  <c r="J7976" i="2"/>
  <c r="K7976" i="2"/>
  <c r="L7976" i="2"/>
  <c r="C7977" i="2"/>
  <c r="D7977" i="2"/>
  <c r="F7977" i="2"/>
  <c r="G7977" i="2"/>
  <c r="H7977" i="2"/>
  <c r="J7977" i="2"/>
  <c r="K7977" i="2"/>
  <c r="L7977" i="2"/>
  <c r="C7978" i="2"/>
  <c r="D7978" i="2"/>
  <c r="F7978" i="2"/>
  <c r="G7978" i="2"/>
  <c r="H7978" i="2"/>
  <c r="J7978" i="2"/>
  <c r="K7978" i="2"/>
  <c r="L7978" i="2"/>
  <c r="C7979" i="2"/>
  <c r="D7979" i="2"/>
  <c r="F7979" i="2"/>
  <c r="G7979" i="2"/>
  <c r="H7979" i="2"/>
  <c r="J7979" i="2"/>
  <c r="K7979" i="2"/>
  <c r="L7979" i="2"/>
  <c r="C7980" i="2"/>
  <c r="D7980" i="2"/>
  <c r="F7980" i="2"/>
  <c r="G7980" i="2"/>
  <c r="H7980" i="2"/>
  <c r="J7980" i="2"/>
  <c r="K7980" i="2"/>
  <c r="L7980" i="2"/>
  <c r="C7981" i="2"/>
  <c r="D7981" i="2"/>
  <c r="F7981" i="2"/>
  <c r="G7981" i="2"/>
  <c r="H7981" i="2"/>
  <c r="J7981" i="2"/>
  <c r="K7981" i="2"/>
  <c r="L7981" i="2"/>
  <c r="C7982" i="2"/>
  <c r="D7982" i="2"/>
  <c r="F7982" i="2"/>
  <c r="G7982" i="2"/>
  <c r="H7982" i="2"/>
  <c r="J7982" i="2"/>
  <c r="K7982" i="2"/>
  <c r="L7982" i="2"/>
  <c r="C7983" i="2"/>
  <c r="D7983" i="2"/>
  <c r="F7983" i="2"/>
  <c r="G7983" i="2"/>
  <c r="H7983" i="2"/>
  <c r="J7983" i="2"/>
  <c r="K7983" i="2"/>
  <c r="L7983" i="2"/>
  <c r="C7984" i="2"/>
  <c r="D7984" i="2"/>
  <c r="F7984" i="2"/>
  <c r="G7984" i="2"/>
  <c r="H7984" i="2"/>
  <c r="J7984" i="2"/>
  <c r="K7984" i="2"/>
  <c r="L7984" i="2"/>
  <c r="C7985" i="2"/>
  <c r="D7985" i="2"/>
  <c r="F7985" i="2"/>
  <c r="G7985" i="2"/>
  <c r="H7985" i="2"/>
  <c r="J7985" i="2"/>
  <c r="K7985" i="2"/>
  <c r="L7985" i="2"/>
  <c r="C7986" i="2"/>
  <c r="D7986" i="2"/>
  <c r="F7986" i="2"/>
  <c r="G7986" i="2"/>
  <c r="H7986" i="2"/>
  <c r="J7986" i="2"/>
  <c r="K7986" i="2"/>
  <c r="L7986" i="2"/>
  <c r="C7987" i="2"/>
  <c r="D7987" i="2"/>
  <c r="F7987" i="2"/>
  <c r="G7987" i="2"/>
  <c r="H7987" i="2"/>
  <c r="J7987" i="2"/>
  <c r="K7987" i="2"/>
  <c r="L7987" i="2"/>
  <c r="C7988" i="2"/>
  <c r="D7988" i="2"/>
  <c r="F7988" i="2"/>
  <c r="G7988" i="2"/>
  <c r="H7988" i="2"/>
  <c r="J7988" i="2"/>
  <c r="K7988" i="2"/>
  <c r="L7988" i="2"/>
  <c r="C7989" i="2"/>
  <c r="D7989" i="2"/>
  <c r="F7989" i="2"/>
  <c r="G7989" i="2"/>
  <c r="H7989" i="2"/>
  <c r="J7989" i="2"/>
  <c r="K7989" i="2"/>
  <c r="L7989" i="2"/>
  <c r="C7990" i="2"/>
  <c r="D7990" i="2"/>
  <c r="F7990" i="2"/>
  <c r="G7990" i="2"/>
  <c r="H7990" i="2"/>
  <c r="J7990" i="2"/>
  <c r="K7990" i="2"/>
  <c r="L7990" i="2"/>
  <c r="C7991" i="2"/>
  <c r="D7991" i="2"/>
  <c r="F7991" i="2"/>
  <c r="G7991" i="2"/>
  <c r="H7991" i="2"/>
  <c r="J7991" i="2"/>
  <c r="K7991" i="2"/>
  <c r="L7991" i="2"/>
  <c r="C7992" i="2"/>
  <c r="D7992" i="2"/>
  <c r="F7992" i="2"/>
  <c r="G7992" i="2"/>
  <c r="H7992" i="2"/>
  <c r="J7992" i="2"/>
  <c r="K7992" i="2"/>
  <c r="L7992" i="2"/>
  <c r="C7993" i="2"/>
  <c r="D7993" i="2"/>
  <c r="F7993" i="2"/>
  <c r="G7993" i="2"/>
  <c r="H7993" i="2"/>
  <c r="J7993" i="2"/>
  <c r="K7993" i="2"/>
  <c r="L7993" i="2"/>
  <c r="C7994" i="2"/>
  <c r="D7994" i="2"/>
  <c r="F7994" i="2"/>
  <c r="G7994" i="2"/>
  <c r="H7994" i="2"/>
  <c r="J7994" i="2"/>
  <c r="K7994" i="2"/>
  <c r="L7994" i="2"/>
  <c r="C7995" i="2"/>
  <c r="D7995" i="2"/>
  <c r="F7995" i="2"/>
  <c r="G7995" i="2"/>
  <c r="H7995" i="2"/>
  <c r="J7995" i="2"/>
  <c r="K7995" i="2"/>
  <c r="L7995" i="2"/>
  <c r="C7996" i="2"/>
  <c r="D7996" i="2"/>
  <c r="F7996" i="2"/>
  <c r="G7996" i="2"/>
  <c r="H7996" i="2"/>
  <c r="J7996" i="2"/>
  <c r="K7996" i="2"/>
  <c r="L7996" i="2"/>
  <c r="C7997" i="2"/>
  <c r="D7997" i="2"/>
  <c r="F7997" i="2"/>
  <c r="G7997" i="2"/>
  <c r="H7997" i="2"/>
  <c r="J7997" i="2"/>
  <c r="K7997" i="2"/>
  <c r="L7997" i="2"/>
  <c r="C7998" i="2"/>
  <c r="D7998" i="2"/>
  <c r="F7998" i="2"/>
  <c r="G7998" i="2"/>
  <c r="H7998" i="2"/>
  <c r="J7998" i="2"/>
  <c r="K7998" i="2"/>
  <c r="L7998" i="2"/>
  <c r="C7999" i="2"/>
  <c r="D7999" i="2"/>
  <c r="F7999" i="2"/>
  <c r="G7999" i="2"/>
  <c r="H7999" i="2"/>
  <c r="J7999" i="2"/>
  <c r="K7999" i="2"/>
  <c r="L7999" i="2"/>
  <c r="C8000" i="2"/>
  <c r="D8000" i="2"/>
  <c r="F8000" i="2"/>
  <c r="G8000" i="2"/>
  <c r="H8000" i="2"/>
  <c r="J8000" i="2"/>
  <c r="K8000" i="2"/>
  <c r="L8000" i="2"/>
  <c r="C8001" i="2"/>
  <c r="D8001" i="2"/>
  <c r="F8001" i="2"/>
  <c r="G8001" i="2"/>
  <c r="H8001" i="2"/>
  <c r="J8001" i="2"/>
  <c r="K8001" i="2"/>
  <c r="L8001" i="2"/>
  <c r="C8002" i="2"/>
  <c r="D8002" i="2"/>
  <c r="F8002" i="2"/>
  <c r="G8002" i="2"/>
  <c r="H8002" i="2"/>
  <c r="J8002" i="2"/>
  <c r="K8002" i="2"/>
  <c r="L8002" i="2"/>
  <c r="C8003" i="2"/>
  <c r="D8003" i="2"/>
  <c r="F8003" i="2"/>
  <c r="G8003" i="2"/>
  <c r="H8003" i="2"/>
  <c r="J8003" i="2"/>
  <c r="K8003" i="2"/>
  <c r="L8003" i="2"/>
  <c r="C8004" i="2"/>
  <c r="D8004" i="2"/>
  <c r="F8004" i="2"/>
  <c r="G8004" i="2"/>
  <c r="H8004" i="2"/>
  <c r="J8004" i="2"/>
  <c r="K8004" i="2"/>
  <c r="L8004" i="2"/>
  <c r="C8005" i="2"/>
  <c r="D8005" i="2"/>
  <c r="F8005" i="2"/>
  <c r="G8005" i="2"/>
  <c r="H8005" i="2"/>
  <c r="J8005" i="2"/>
  <c r="K8005" i="2"/>
  <c r="L8005" i="2"/>
  <c r="C8006" i="2"/>
  <c r="D8006" i="2"/>
  <c r="F8006" i="2"/>
  <c r="G8006" i="2"/>
  <c r="H8006" i="2"/>
  <c r="J8006" i="2"/>
  <c r="K8006" i="2"/>
  <c r="L8006" i="2"/>
  <c r="C8007" i="2"/>
  <c r="D8007" i="2"/>
  <c r="F8007" i="2"/>
  <c r="G8007" i="2"/>
  <c r="H8007" i="2"/>
  <c r="J8007" i="2"/>
  <c r="K8007" i="2"/>
  <c r="L8007" i="2"/>
  <c r="C8008" i="2"/>
  <c r="D8008" i="2"/>
  <c r="F8008" i="2"/>
  <c r="G8008" i="2"/>
  <c r="H8008" i="2"/>
  <c r="J8008" i="2"/>
  <c r="K8008" i="2"/>
  <c r="L8008" i="2"/>
  <c r="C8009" i="2"/>
  <c r="D8009" i="2"/>
  <c r="F8009" i="2"/>
  <c r="G8009" i="2"/>
  <c r="H8009" i="2"/>
  <c r="J8009" i="2"/>
  <c r="K8009" i="2"/>
  <c r="L8009" i="2"/>
  <c r="C8010" i="2"/>
  <c r="D8010" i="2"/>
  <c r="F8010" i="2"/>
  <c r="G8010" i="2"/>
  <c r="H8010" i="2"/>
  <c r="J8010" i="2"/>
  <c r="K8010" i="2"/>
  <c r="L8010" i="2"/>
  <c r="C8011" i="2"/>
  <c r="D8011" i="2"/>
  <c r="F8011" i="2"/>
  <c r="G8011" i="2"/>
  <c r="H8011" i="2"/>
  <c r="J8011" i="2"/>
  <c r="K8011" i="2"/>
  <c r="L8011" i="2"/>
  <c r="C8012" i="2"/>
  <c r="D8012" i="2"/>
  <c r="F8012" i="2"/>
  <c r="G8012" i="2"/>
  <c r="H8012" i="2"/>
  <c r="J8012" i="2"/>
  <c r="K8012" i="2"/>
  <c r="L8012" i="2"/>
  <c r="C8013" i="2"/>
  <c r="D8013" i="2"/>
  <c r="F8013" i="2"/>
  <c r="G8013" i="2"/>
  <c r="H8013" i="2"/>
  <c r="J8013" i="2"/>
  <c r="K8013" i="2"/>
  <c r="L8013" i="2"/>
  <c r="C8014" i="2"/>
  <c r="D8014" i="2"/>
  <c r="F8014" i="2"/>
  <c r="G8014" i="2"/>
  <c r="H8014" i="2"/>
  <c r="J8014" i="2"/>
  <c r="K8014" i="2"/>
  <c r="L8014" i="2"/>
  <c r="C8015" i="2"/>
  <c r="D8015" i="2"/>
  <c r="F8015" i="2"/>
  <c r="G8015" i="2"/>
  <c r="H8015" i="2"/>
  <c r="J8015" i="2"/>
  <c r="K8015" i="2"/>
  <c r="L8015" i="2"/>
  <c r="C8016" i="2"/>
  <c r="D8016" i="2"/>
  <c r="F8016" i="2"/>
  <c r="G8016" i="2"/>
  <c r="H8016" i="2"/>
  <c r="J8016" i="2"/>
  <c r="K8016" i="2"/>
  <c r="L8016" i="2"/>
  <c r="C8017" i="2"/>
  <c r="D8017" i="2"/>
  <c r="F8017" i="2"/>
  <c r="G8017" i="2"/>
  <c r="H8017" i="2"/>
  <c r="J8017" i="2"/>
  <c r="K8017" i="2"/>
  <c r="L8017" i="2"/>
  <c r="C8018" i="2"/>
  <c r="D8018" i="2"/>
  <c r="F8018" i="2"/>
  <c r="G8018" i="2"/>
  <c r="H8018" i="2"/>
  <c r="J8018" i="2"/>
  <c r="K8018" i="2"/>
  <c r="L8018" i="2"/>
  <c r="C8019" i="2"/>
  <c r="D8019" i="2"/>
  <c r="F8019" i="2"/>
  <c r="G8019" i="2"/>
  <c r="H8019" i="2"/>
  <c r="J8019" i="2"/>
  <c r="K8019" i="2"/>
  <c r="L8019" i="2"/>
  <c r="C8020" i="2"/>
  <c r="D8020" i="2"/>
  <c r="F8020" i="2"/>
  <c r="G8020" i="2"/>
  <c r="H8020" i="2"/>
  <c r="J8020" i="2"/>
  <c r="K8020" i="2"/>
  <c r="L8020" i="2"/>
  <c r="C8021" i="2"/>
  <c r="D8021" i="2"/>
  <c r="F8021" i="2"/>
  <c r="G8021" i="2"/>
  <c r="H8021" i="2"/>
  <c r="J8021" i="2"/>
  <c r="K8021" i="2"/>
  <c r="L8021" i="2"/>
  <c r="C8022" i="2"/>
  <c r="D8022" i="2"/>
  <c r="F8022" i="2"/>
  <c r="G8022" i="2"/>
  <c r="H8022" i="2"/>
  <c r="J8022" i="2"/>
  <c r="K8022" i="2"/>
  <c r="L8022" i="2"/>
  <c r="C8023" i="2"/>
  <c r="D8023" i="2"/>
  <c r="F8023" i="2"/>
  <c r="G8023" i="2"/>
  <c r="H8023" i="2"/>
  <c r="J8023" i="2"/>
  <c r="K8023" i="2"/>
  <c r="L8023" i="2"/>
  <c r="C8024" i="2"/>
  <c r="D8024" i="2"/>
  <c r="F8024" i="2"/>
  <c r="G8024" i="2"/>
  <c r="H8024" i="2"/>
  <c r="J8024" i="2"/>
  <c r="K8024" i="2"/>
  <c r="L8024" i="2"/>
  <c r="C8025" i="2"/>
  <c r="D8025" i="2"/>
  <c r="F8025" i="2"/>
  <c r="G8025" i="2"/>
  <c r="H8025" i="2"/>
  <c r="J8025" i="2"/>
  <c r="K8025" i="2"/>
  <c r="L8025" i="2"/>
  <c r="C8026" i="2"/>
  <c r="D8026" i="2"/>
  <c r="F8026" i="2"/>
  <c r="G8026" i="2"/>
  <c r="H8026" i="2"/>
  <c r="J8026" i="2"/>
  <c r="K8026" i="2"/>
  <c r="L8026" i="2"/>
  <c r="C8027" i="2"/>
  <c r="D8027" i="2"/>
  <c r="F8027" i="2"/>
  <c r="G8027" i="2"/>
  <c r="H8027" i="2"/>
  <c r="J8027" i="2"/>
  <c r="K8027" i="2"/>
  <c r="L8027" i="2"/>
  <c r="C8028" i="2"/>
  <c r="D8028" i="2"/>
  <c r="F8028" i="2"/>
  <c r="G8028" i="2"/>
  <c r="H8028" i="2"/>
  <c r="J8028" i="2"/>
  <c r="K8028" i="2"/>
  <c r="L8028" i="2"/>
  <c r="C8029" i="2"/>
  <c r="D8029" i="2"/>
  <c r="F8029" i="2"/>
  <c r="G8029" i="2"/>
  <c r="H8029" i="2"/>
  <c r="J8029" i="2"/>
  <c r="K8029" i="2"/>
  <c r="L8029" i="2"/>
  <c r="C8030" i="2"/>
  <c r="D8030" i="2"/>
  <c r="F8030" i="2"/>
  <c r="G8030" i="2"/>
  <c r="H8030" i="2"/>
  <c r="J8030" i="2"/>
  <c r="K8030" i="2"/>
  <c r="L8030" i="2"/>
  <c r="C8031" i="2"/>
  <c r="D8031" i="2"/>
  <c r="F8031" i="2"/>
  <c r="G8031" i="2"/>
  <c r="H8031" i="2"/>
  <c r="J8031" i="2"/>
  <c r="K8031" i="2"/>
  <c r="L8031" i="2"/>
  <c r="C8032" i="2"/>
  <c r="D8032" i="2"/>
  <c r="F8032" i="2"/>
  <c r="G8032" i="2"/>
  <c r="H8032" i="2"/>
  <c r="J8032" i="2"/>
  <c r="K8032" i="2"/>
  <c r="L8032" i="2"/>
  <c r="C8033" i="2"/>
  <c r="D8033" i="2"/>
  <c r="F8033" i="2"/>
  <c r="G8033" i="2"/>
  <c r="H8033" i="2"/>
  <c r="J8033" i="2"/>
  <c r="K8033" i="2"/>
  <c r="L8033" i="2"/>
  <c r="C8034" i="2"/>
  <c r="D8034" i="2"/>
  <c r="F8034" i="2"/>
  <c r="G8034" i="2"/>
  <c r="H8034" i="2"/>
  <c r="J8034" i="2"/>
  <c r="K8034" i="2"/>
  <c r="L8034" i="2"/>
  <c r="C8035" i="2"/>
  <c r="D8035" i="2"/>
  <c r="F8035" i="2"/>
  <c r="G8035" i="2"/>
  <c r="H8035" i="2"/>
  <c r="J8035" i="2"/>
  <c r="K8035" i="2"/>
  <c r="L8035" i="2"/>
  <c r="C8036" i="2"/>
  <c r="D8036" i="2"/>
  <c r="F8036" i="2"/>
  <c r="G8036" i="2"/>
  <c r="H8036" i="2"/>
  <c r="J8036" i="2"/>
  <c r="K8036" i="2"/>
  <c r="L8036" i="2"/>
  <c r="C8037" i="2"/>
  <c r="D8037" i="2"/>
  <c r="F8037" i="2"/>
  <c r="G8037" i="2"/>
  <c r="H8037" i="2"/>
  <c r="J8037" i="2"/>
  <c r="K8037" i="2"/>
  <c r="L8037" i="2"/>
  <c r="C8038" i="2"/>
  <c r="D8038" i="2"/>
  <c r="F8038" i="2"/>
  <c r="G8038" i="2"/>
  <c r="H8038" i="2"/>
  <c r="J8038" i="2"/>
  <c r="K8038" i="2"/>
  <c r="L8038" i="2"/>
  <c r="C8039" i="2"/>
  <c r="D8039" i="2"/>
  <c r="F8039" i="2"/>
  <c r="G8039" i="2"/>
  <c r="H8039" i="2"/>
  <c r="J8039" i="2"/>
  <c r="K8039" i="2"/>
  <c r="L8039" i="2"/>
  <c r="C8040" i="2"/>
  <c r="D8040" i="2"/>
  <c r="F8040" i="2"/>
  <c r="G8040" i="2"/>
  <c r="H8040" i="2"/>
  <c r="J8040" i="2"/>
  <c r="K8040" i="2"/>
  <c r="L8040" i="2"/>
  <c r="C8041" i="2"/>
  <c r="D8041" i="2"/>
  <c r="F8041" i="2"/>
  <c r="G8041" i="2"/>
  <c r="H8041" i="2"/>
  <c r="J8041" i="2"/>
  <c r="K8041" i="2"/>
  <c r="L8041" i="2"/>
  <c r="C8042" i="2"/>
  <c r="D8042" i="2"/>
  <c r="F8042" i="2"/>
  <c r="G8042" i="2"/>
  <c r="H8042" i="2"/>
  <c r="J8042" i="2"/>
  <c r="K8042" i="2"/>
  <c r="L8042" i="2"/>
  <c r="C8043" i="2"/>
  <c r="D8043" i="2"/>
  <c r="F8043" i="2"/>
  <c r="G8043" i="2"/>
  <c r="H8043" i="2"/>
  <c r="J8043" i="2"/>
  <c r="K8043" i="2"/>
  <c r="L8043" i="2"/>
  <c r="C8044" i="2"/>
  <c r="D8044" i="2"/>
  <c r="F8044" i="2"/>
  <c r="G8044" i="2"/>
  <c r="H8044" i="2"/>
  <c r="J8044" i="2"/>
  <c r="K8044" i="2"/>
  <c r="L8044" i="2"/>
  <c r="C8045" i="2"/>
  <c r="D8045" i="2"/>
  <c r="F8045" i="2"/>
  <c r="G8045" i="2"/>
  <c r="H8045" i="2"/>
  <c r="J8045" i="2"/>
  <c r="K8045" i="2"/>
  <c r="L8045" i="2"/>
  <c r="C8046" i="2"/>
  <c r="D8046" i="2"/>
  <c r="F8046" i="2"/>
  <c r="G8046" i="2"/>
  <c r="H8046" i="2"/>
  <c r="J8046" i="2"/>
  <c r="K8046" i="2"/>
  <c r="L8046" i="2"/>
  <c r="C8047" i="2"/>
  <c r="D8047" i="2"/>
  <c r="F8047" i="2"/>
  <c r="G8047" i="2"/>
  <c r="H8047" i="2"/>
  <c r="J8047" i="2"/>
  <c r="K8047" i="2"/>
  <c r="L8047" i="2"/>
  <c r="C8048" i="2"/>
  <c r="D8048" i="2"/>
  <c r="F8048" i="2"/>
  <c r="G8048" i="2"/>
  <c r="H8048" i="2"/>
  <c r="J8048" i="2"/>
  <c r="K8048" i="2"/>
  <c r="L8048" i="2"/>
  <c r="C8049" i="2"/>
  <c r="D8049" i="2"/>
  <c r="F8049" i="2"/>
  <c r="G8049" i="2"/>
  <c r="H8049" i="2"/>
  <c r="J8049" i="2"/>
  <c r="K8049" i="2"/>
  <c r="L8049" i="2"/>
  <c r="C8050" i="2"/>
  <c r="D8050" i="2"/>
  <c r="F8050" i="2"/>
  <c r="G8050" i="2"/>
  <c r="H8050" i="2"/>
  <c r="J8050" i="2"/>
  <c r="K8050" i="2"/>
  <c r="L8050" i="2"/>
  <c r="C8051" i="2"/>
  <c r="D8051" i="2"/>
  <c r="F8051" i="2"/>
  <c r="G8051" i="2"/>
  <c r="H8051" i="2"/>
  <c r="J8051" i="2"/>
  <c r="K8051" i="2"/>
  <c r="L8051" i="2"/>
  <c r="C8052" i="2"/>
  <c r="D8052" i="2"/>
  <c r="F8052" i="2"/>
  <c r="G8052" i="2"/>
  <c r="H8052" i="2"/>
  <c r="J8052" i="2"/>
  <c r="K8052" i="2"/>
  <c r="L8052" i="2"/>
  <c r="C8053" i="2"/>
  <c r="D8053" i="2"/>
  <c r="F8053" i="2"/>
  <c r="G8053" i="2"/>
  <c r="H8053" i="2"/>
  <c r="J8053" i="2"/>
  <c r="K8053" i="2"/>
  <c r="L8053" i="2"/>
  <c r="C8054" i="2"/>
  <c r="D8054" i="2"/>
  <c r="F8054" i="2"/>
  <c r="G8054" i="2"/>
  <c r="H8054" i="2"/>
  <c r="J8054" i="2"/>
  <c r="K8054" i="2"/>
  <c r="L8054" i="2"/>
  <c r="C8055" i="2"/>
  <c r="D8055" i="2"/>
  <c r="F8055" i="2"/>
  <c r="G8055" i="2"/>
  <c r="H8055" i="2"/>
  <c r="J8055" i="2"/>
  <c r="K8055" i="2"/>
  <c r="L8055" i="2"/>
  <c r="C8056" i="2"/>
  <c r="D8056" i="2"/>
  <c r="F8056" i="2"/>
  <c r="G8056" i="2"/>
  <c r="H8056" i="2"/>
  <c r="J8056" i="2"/>
  <c r="K8056" i="2"/>
  <c r="L8056" i="2"/>
  <c r="C8057" i="2"/>
  <c r="D8057" i="2"/>
  <c r="F8057" i="2"/>
  <c r="G8057" i="2"/>
  <c r="H8057" i="2"/>
  <c r="J8057" i="2"/>
  <c r="K8057" i="2"/>
  <c r="L8057" i="2"/>
  <c r="C8058" i="2"/>
  <c r="D8058" i="2"/>
  <c r="F8058" i="2"/>
  <c r="G8058" i="2"/>
  <c r="H8058" i="2"/>
  <c r="J8058" i="2"/>
  <c r="K8058" i="2"/>
  <c r="L8058" i="2"/>
  <c r="C8059" i="2"/>
  <c r="D8059" i="2"/>
  <c r="F8059" i="2"/>
  <c r="G8059" i="2"/>
  <c r="H8059" i="2"/>
  <c r="J8059" i="2"/>
  <c r="K8059" i="2"/>
  <c r="L8059" i="2"/>
  <c r="C8060" i="2"/>
  <c r="D8060" i="2"/>
  <c r="F8060" i="2"/>
  <c r="G8060" i="2"/>
  <c r="H8060" i="2"/>
  <c r="J8060" i="2"/>
  <c r="K8060" i="2"/>
  <c r="L8060" i="2"/>
  <c r="C8061" i="2"/>
  <c r="D8061" i="2"/>
  <c r="F8061" i="2"/>
  <c r="G8061" i="2"/>
  <c r="H8061" i="2"/>
  <c r="J8061" i="2"/>
  <c r="K8061" i="2"/>
  <c r="L8061" i="2"/>
  <c r="C8062" i="2"/>
  <c r="D8062" i="2"/>
  <c r="F8062" i="2"/>
  <c r="G8062" i="2"/>
  <c r="H8062" i="2"/>
  <c r="J8062" i="2"/>
  <c r="K8062" i="2"/>
  <c r="L8062" i="2"/>
  <c r="C8063" i="2"/>
  <c r="D8063" i="2"/>
  <c r="F8063" i="2"/>
  <c r="G8063" i="2"/>
  <c r="H8063" i="2"/>
  <c r="J8063" i="2"/>
  <c r="K8063" i="2"/>
  <c r="L8063" i="2"/>
  <c r="C8064" i="2"/>
  <c r="D8064" i="2"/>
  <c r="F8064" i="2"/>
  <c r="G8064" i="2"/>
  <c r="H8064" i="2"/>
  <c r="J8064" i="2"/>
  <c r="K8064" i="2"/>
  <c r="L8064" i="2"/>
  <c r="C8065" i="2"/>
  <c r="D8065" i="2"/>
  <c r="F8065" i="2"/>
  <c r="G8065" i="2"/>
  <c r="H8065" i="2"/>
  <c r="J8065" i="2"/>
  <c r="K8065" i="2"/>
  <c r="L8065" i="2"/>
  <c r="C8066" i="2"/>
  <c r="D8066" i="2"/>
  <c r="F8066" i="2"/>
  <c r="G8066" i="2"/>
  <c r="H8066" i="2"/>
  <c r="J8066" i="2"/>
  <c r="K8066" i="2"/>
  <c r="L8066" i="2"/>
  <c r="C8067" i="2"/>
  <c r="D8067" i="2"/>
  <c r="F8067" i="2"/>
  <c r="G8067" i="2"/>
  <c r="H8067" i="2"/>
  <c r="J8067" i="2"/>
  <c r="K8067" i="2"/>
  <c r="L8067" i="2"/>
  <c r="C8068" i="2"/>
  <c r="D8068" i="2"/>
  <c r="F8068" i="2"/>
  <c r="G8068" i="2"/>
  <c r="H8068" i="2"/>
  <c r="J8068" i="2"/>
  <c r="K8068" i="2"/>
  <c r="L8068" i="2"/>
  <c r="C8069" i="2"/>
  <c r="D8069" i="2"/>
  <c r="F8069" i="2"/>
  <c r="G8069" i="2"/>
  <c r="H8069" i="2"/>
  <c r="J8069" i="2"/>
  <c r="K8069" i="2"/>
  <c r="L8069" i="2"/>
  <c r="C8070" i="2"/>
  <c r="D8070" i="2"/>
  <c r="F8070" i="2"/>
  <c r="G8070" i="2"/>
  <c r="H8070" i="2"/>
  <c r="J8070" i="2"/>
  <c r="K8070" i="2"/>
  <c r="L8070" i="2"/>
  <c r="C8071" i="2"/>
  <c r="D8071" i="2"/>
  <c r="F8071" i="2"/>
  <c r="G8071" i="2"/>
  <c r="H8071" i="2"/>
  <c r="J8071" i="2"/>
  <c r="K8071" i="2"/>
  <c r="L8071" i="2"/>
  <c r="C8072" i="2"/>
  <c r="D8072" i="2"/>
  <c r="F8072" i="2"/>
  <c r="G8072" i="2"/>
  <c r="H8072" i="2"/>
  <c r="J8072" i="2"/>
  <c r="K8072" i="2"/>
  <c r="L8072" i="2"/>
  <c r="C8073" i="2"/>
  <c r="D8073" i="2"/>
  <c r="F8073" i="2"/>
  <c r="G8073" i="2"/>
  <c r="H8073" i="2"/>
  <c r="J8073" i="2"/>
  <c r="K8073" i="2"/>
  <c r="L8073" i="2"/>
  <c r="C8074" i="2"/>
  <c r="D8074" i="2"/>
  <c r="F8074" i="2"/>
  <c r="G8074" i="2"/>
  <c r="H8074" i="2"/>
  <c r="J8074" i="2"/>
  <c r="K8074" i="2"/>
  <c r="L8074" i="2"/>
  <c r="C8075" i="2"/>
  <c r="D8075" i="2"/>
  <c r="F8075" i="2"/>
  <c r="G8075" i="2"/>
  <c r="H8075" i="2"/>
  <c r="J8075" i="2"/>
  <c r="K8075" i="2"/>
  <c r="L8075" i="2"/>
  <c r="C8076" i="2"/>
  <c r="D8076" i="2"/>
  <c r="F8076" i="2"/>
  <c r="G8076" i="2"/>
  <c r="H8076" i="2"/>
  <c r="J8076" i="2"/>
  <c r="K8076" i="2"/>
  <c r="L8076" i="2"/>
  <c r="C8077" i="2"/>
  <c r="D8077" i="2"/>
  <c r="F8077" i="2"/>
  <c r="G8077" i="2"/>
  <c r="H8077" i="2"/>
  <c r="J8077" i="2"/>
  <c r="K8077" i="2"/>
  <c r="L8077" i="2"/>
  <c r="C8078" i="2"/>
  <c r="D8078" i="2"/>
  <c r="F8078" i="2"/>
  <c r="G8078" i="2"/>
  <c r="H8078" i="2"/>
  <c r="J8078" i="2"/>
  <c r="K8078" i="2"/>
  <c r="L8078" i="2"/>
  <c r="C8079" i="2"/>
  <c r="D8079" i="2"/>
  <c r="F8079" i="2"/>
  <c r="G8079" i="2"/>
  <c r="H8079" i="2"/>
  <c r="J8079" i="2"/>
  <c r="K8079" i="2"/>
  <c r="L8079" i="2"/>
  <c r="C8080" i="2"/>
  <c r="D8080" i="2"/>
  <c r="F8080" i="2"/>
  <c r="G8080" i="2"/>
  <c r="H8080" i="2"/>
  <c r="J8080" i="2"/>
  <c r="K8080" i="2"/>
  <c r="L8080" i="2"/>
  <c r="C8081" i="2"/>
  <c r="D8081" i="2"/>
  <c r="F8081" i="2"/>
  <c r="G8081" i="2"/>
  <c r="H8081" i="2"/>
  <c r="J8081" i="2"/>
  <c r="K8081" i="2"/>
  <c r="L8081" i="2"/>
  <c r="C8082" i="2"/>
  <c r="D8082" i="2"/>
  <c r="F8082" i="2"/>
  <c r="G8082" i="2"/>
  <c r="H8082" i="2"/>
  <c r="J8082" i="2"/>
  <c r="K8082" i="2"/>
  <c r="L8082" i="2"/>
  <c r="C8083" i="2"/>
  <c r="D8083" i="2"/>
  <c r="F8083" i="2"/>
  <c r="G8083" i="2"/>
  <c r="H8083" i="2"/>
  <c r="J8083" i="2"/>
  <c r="K8083" i="2"/>
  <c r="L8083" i="2"/>
  <c r="C8084" i="2"/>
  <c r="D8084" i="2"/>
  <c r="F8084" i="2"/>
  <c r="G8084" i="2"/>
  <c r="H8084" i="2"/>
  <c r="J8084" i="2"/>
  <c r="K8084" i="2"/>
  <c r="L8084" i="2"/>
  <c r="C8085" i="2"/>
  <c r="D8085" i="2"/>
  <c r="F8085" i="2"/>
  <c r="G8085" i="2"/>
  <c r="H8085" i="2"/>
  <c r="J8085" i="2"/>
  <c r="K8085" i="2"/>
  <c r="L8085" i="2"/>
  <c r="C8086" i="2"/>
  <c r="D8086" i="2"/>
  <c r="F8086" i="2"/>
  <c r="G8086" i="2"/>
  <c r="H8086" i="2"/>
  <c r="J8086" i="2"/>
  <c r="K8086" i="2"/>
  <c r="L8086" i="2"/>
  <c r="C8087" i="2"/>
  <c r="D8087" i="2"/>
  <c r="F8087" i="2"/>
  <c r="G8087" i="2"/>
  <c r="H8087" i="2"/>
  <c r="J8087" i="2"/>
  <c r="K8087" i="2"/>
  <c r="L8087" i="2"/>
  <c r="C8088" i="2"/>
  <c r="D8088" i="2"/>
  <c r="F8088" i="2"/>
  <c r="G8088" i="2"/>
  <c r="H8088" i="2"/>
  <c r="J8088" i="2"/>
  <c r="K8088" i="2"/>
  <c r="L8088" i="2"/>
  <c r="C8089" i="2"/>
  <c r="D8089" i="2"/>
  <c r="F8089" i="2"/>
  <c r="G8089" i="2"/>
  <c r="H8089" i="2"/>
  <c r="J8089" i="2"/>
  <c r="K8089" i="2"/>
  <c r="L8089" i="2"/>
  <c r="C8090" i="2"/>
  <c r="D8090" i="2"/>
  <c r="F8090" i="2"/>
  <c r="G8090" i="2"/>
  <c r="H8090" i="2"/>
  <c r="J8090" i="2"/>
  <c r="K8090" i="2"/>
  <c r="L8090" i="2"/>
  <c r="C8091" i="2"/>
  <c r="D8091" i="2"/>
  <c r="F8091" i="2"/>
  <c r="G8091" i="2"/>
  <c r="H8091" i="2"/>
  <c r="J8091" i="2"/>
  <c r="K8091" i="2"/>
  <c r="L8091" i="2"/>
  <c r="C8092" i="2"/>
  <c r="D8092" i="2"/>
  <c r="F8092" i="2"/>
  <c r="G8092" i="2"/>
  <c r="H8092" i="2"/>
  <c r="J8092" i="2"/>
  <c r="K8092" i="2"/>
  <c r="L8092" i="2"/>
  <c r="C8093" i="2"/>
  <c r="D8093" i="2"/>
  <c r="F8093" i="2"/>
  <c r="G8093" i="2"/>
  <c r="H8093" i="2"/>
  <c r="J8093" i="2"/>
  <c r="K8093" i="2"/>
  <c r="L8093" i="2"/>
  <c r="C8094" i="2"/>
  <c r="D8094" i="2"/>
  <c r="F8094" i="2"/>
  <c r="G8094" i="2"/>
  <c r="H8094" i="2"/>
  <c r="J8094" i="2"/>
  <c r="K8094" i="2"/>
  <c r="L8094" i="2"/>
  <c r="C8095" i="2"/>
  <c r="D8095" i="2"/>
  <c r="F8095" i="2"/>
  <c r="G8095" i="2"/>
  <c r="H8095" i="2"/>
  <c r="J8095" i="2"/>
  <c r="K8095" i="2"/>
  <c r="L8095" i="2"/>
  <c r="C8096" i="2"/>
  <c r="D8096" i="2"/>
  <c r="F8096" i="2"/>
  <c r="G8096" i="2"/>
  <c r="H8096" i="2"/>
  <c r="J8096" i="2"/>
  <c r="K8096" i="2"/>
  <c r="L8096" i="2"/>
  <c r="C8097" i="2"/>
  <c r="D8097" i="2"/>
  <c r="F8097" i="2"/>
  <c r="G8097" i="2"/>
  <c r="H8097" i="2"/>
  <c r="J8097" i="2"/>
  <c r="K8097" i="2"/>
  <c r="L8097" i="2"/>
  <c r="C8098" i="2"/>
  <c r="D8098" i="2"/>
  <c r="F8098" i="2"/>
  <c r="G8098" i="2"/>
  <c r="H8098" i="2"/>
  <c r="J8098" i="2"/>
  <c r="K8098" i="2"/>
  <c r="L8098" i="2"/>
  <c r="C8099" i="2"/>
  <c r="D8099" i="2"/>
  <c r="F8099" i="2"/>
  <c r="G8099" i="2"/>
  <c r="H8099" i="2"/>
  <c r="J8099" i="2"/>
  <c r="K8099" i="2"/>
  <c r="L8099" i="2"/>
  <c r="C8100" i="2"/>
  <c r="D8100" i="2"/>
  <c r="F8100" i="2"/>
  <c r="G8100" i="2"/>
  <c r="H8100" i="2"/>
  <c r="J8100" i="2"/>
  <c r="K8100" i="2"/>
  <c r="L8100" i="2"/>
  <c r="C8101" i="2"/>
  <c r="D8101" i="2"/>
  <c r="F8101" i="2"/>
  <c r="G8101" i="2"/>
  <c r="H8101" i="2"/>
  <c r="J8101" i="2"/>
  <c r="K8101" i="2"/>
  <c r="L8101" i="2"/>
  <c r="C8102" i="2"/>
  <c r="D8102" i="2"/>
  <c r="F8102" i="2"/>
  <c r="G8102" i="2"/>
  <c r="H8102" i="2"/>
  <c r="J8102" i="2"/>
  <c r="K8102" i="2"/>
  <c r="L8102" i="2"/>
  <c r="C8103" i="2"/>
  <c r="D8103" i="2"/>
  <c r="F8103" i="2"/>
  <c r="G8103" i="2"/>
  <c r="H8103" i="2"/>
  <c r="J8103" i="2"/>
  <c r="K8103" i="2"/>
  <c r="L8103" i="2"/>
  <c r="C8104" i="2"/>
  <c r="D8104" i="2"/>
  <c r="F8104" i="2"/>
  <c r="G8104" i="2"/>
  <c r="H8104" i="2"/>
  <c r="J8104" i="2"/>
  <c r="K8104" i="2"/>
  <c r="L8104" i="2"/>
  <c r="C8105" i="2"/>
  <c r="D8105" i="2"/>
  <c r="F8105" i="2"/>
  <c r="G8105" i="2"/>
  <c r="H8105" i="2"/>
  <c r="J8105" i="2"/>
  <c r="K8105" i="2"/>
  <c r="L8105" i="2"/>
  <c r="C8106" i="2"/>
  <c r="D8106" i="2"/>
  <c r="F8106" i="2"/>
  <c r="G8106" i="2"/>
  <c r="H8106" i="2"/>
  <c r="J8106" i="2"/>
  <c r="K8106" i="2"/>
  <c r="L8106" i="2"/>
  <c r="C8107" i="2"/>
  <c r="D8107" i="2"/>
  <c r="F8107" i="2"/>
  <c r="G8107" i="2"/>
  <c r="H8107" i="2"/>
  <c r="J8107" i="2"/>
  <c r="K8107" i="2"/>
  <c r="L8107" i="2"/>
  <c r="C8108" i="2"/>
  <c r="D8108" i="2"/>
  <c r="F8108" i="2"/>
  <c r="G8108" i="2"/>
  <c r="H8108" i="2"/>
  <c r="J8108" i="2"/>
  <c r="K8108" i="2"/>
  <c r="L8108" i="2"/>
  <c r="C8109" i="2"/>
  <c r="D8109" i="2"/>
  <c r="F8109" i="2"/>
  <c r="G8109" i="2"/>
  <c r="H8109" i="2"/>
  <c r="J8109" i="2"/>
  <c r="K8109" i="2"/>
  <c r="L8109" i="2"/>
  <c r="C8110" i="2"/>
  <c r="D8110" i="2"/>
  <c r="F8110" i="2"/>
  <c r="G8110" i="2"/>
  <c r="H8110" i="2"/>
  <c r="J8110" i="2"/>
  <c r="K8110" i="2"/>
  <c r="L8110" i="2"/>
  <c r="C8111" i="2"/>
  <c r="D8111" i="2"/>
  <c r="F8111" i="2"/>
  <c r="G8111" i="2"/>
  <c r="H8111" i="2"/>
  <c r="J8111" i="2"/>
  <c r="K8111" i="2"/>
  <c r="L8111" i="2"/>
  <c r="C8112" i="2"/>
  <c r="D8112" i="2"/>
  <c r="F8112" i="2"/>
  <c r="G8112" i="2"/>
  <c r="H8112" i="2"/>
  <c r="J8112" i="2"/>
  <c r="K8112" i="2"/>
  <c r="L8112" i="2"/>
  <c r="C8113" i="2"/>
  <c r="D8113" i="2"/>
  <c r="F8113" i="2"/>
  <c r="G8113" i="2"/>
  <c r="H8113" i="2"/>
  <c r="J8113" i="2"/>
  <c r="K8113" i="2"/>
  <c r="L8113" i="2"/>
  <c r="C8114" i="2"/>
  <c r="D8114" i="2"/>
  <c r="F8114" i="2"/>
  <c r="G8114" i="2"/>
  <c r="H8114" i="2"/>
  <c r="J8114" i="2"/>
  <c r="K8114" i="2"/>
  <c r="L8114" i="2"/>
  <c r="C8115" i="2"/>
  <c r="D8115" i="2"/>
  <c r="F8115" i="2"/>
  <c r="G8115" i="2"/>
  <c r="H8115" i="2"/>
  <c r="J8115" i="2"/>
  <c r="K8115" i="2"/>
  <c r="L8115" i="2"/>
  <c r="C8116" i="2"/>
  <c r="D8116" i="2"/>
  <c r="F8116" i="2"/>
  <c r="G8116" i="2"/>
  <c r="H8116" i="2"/>
  <c r="J8116" i="2"/>
  <c r="K8116" i="2"/>
  <c r="L8116" i="2"/>
  <c r="C8117" i="2"/>
  <c r="D8117" i="2"/>
  <c r="F8117" i="2"/>
  <c r="G8117" i="2"/>
  <c r="H8117" i="2"/>
  <c r="J8117" i="2"/>
  <c r="K8117" i="2"/>
  <c r="L8117" i="2"/>
  <c r="C8118" i="2"/>
  <c r="D8118" i="2"/>
  <c r="F8118" i="2"/>
  <c r="G8118" i="2"/>
  <c r="H8118" i="2"/>
  <c r="J8118" i="2"/>
  <c r="K8118" i="2"/>
  <c r="L8118" i="2"/>
  <c r="C8119" i="2"/>
  <c r="D8119" i="2"/>
  <c r="F8119" i="2"/>
  <c r="G8119" i="2"/>
  <c r="H8119" i="2"/>
  <c r="J8119" i="2"/>
  <c r="K8119" i="2"/>
  <c r="L8119" i="2"/>
  <c r="C8120" i="2"/>
  <c r="D8120" i="2"/>
  <c r="F8120" i="2"/>
  <c r="G8120" i="2"/>
  <c r="H8120" i="2"/>
  <c r="J8120" i="2"/>
  <c r="K8120" i="2"/>
  <c r="L8120" i="2"/>
  <c r="C8121" i="2"/>
  <c r="D8121" i="2"/>
  <c r="E8121" i="2"/>
  <c r="F8121" i="2"/>
  <c r="G8121" i="2"/>
  <c r="H8121" i="2"/>
  <c r="J8121" i="2"/>
  <c r="K8121" i="2"/>
  <c r="L8121" i="2"/>
  <c r="C8122" i="2"/>
  <c r="D8122" i="2"/>
  <c r="F8122" i="2"/>
  <c r="G8122" i="2"/>
  <c r="H8122" i="2"/>
  <c r="J8122" i="2"/>
  <c r="K8122" i="2"/>
  <c r="L8122" i="2"/>
  <c r="C8123" i="2"/>
  <c r="D8123" i="2"/>
  <c r="F8123" i="2"/>
  <c r="G8123" i="2"/>
  <c r="H8123" i="2"/>
  <c r="J8123" i="2"/>
  <c r="K8123" i="2"/>
  <c r="L8123" i="2"/>
  <c r="C8124" i="2"/>
  <c r="D8124" i="2"/>
  <c r="F8124" i="2"/>
  <c r="G8124" i="2"/>
  <c r="H8124" i="2"/>
  <c r="J8124" i="2"/>
  <c r="K8124" i="2"/>
  <c r="L8124" i="2"/>
  <c r="C8125" i="2"/>
  <c r="D8125" i="2"/>
  <c r="F8125" i="2"/>
  <c r="G8125" i="2"/>
  <c r="H8125" i="2"/>
  <c r="J8125" i="2"/>
  <c r="K8125" i="2"/>
  <c r="L8125" i="2"/>
  <c r="C8126" i="2"/>
  <c r="D8126" i="2"/>
  <c r="F8126" i="2"/>
  <c r="G8126" i="2"/>
  <c r="H8126" i="2"/>
  <c r="J8126" i="2"/>
  <c r="K8126" i="2"/>
  <c r="L8126" i="2"/>
  <c r="C8127" i="2"/>
  <c r="D8127" i="2"/>
  <c r="F8127" i="2"/>
  <c r="G8127" i="2"/>
  <c r="H8127" i="2"/>
  <c r="J8127" i="2"/>
  <c r="K8127" i="2"/>
  <c r="L8127" i="2"/>
  <c r="C8128" i="2"/>
  <c r="D8128" i="2"/>
  <c r="F8128" i="2"/>
  <c r="G8128" i="2"/>
  <c r="H8128" i="2"/>
  <c r="J8128" i="2"/>
  <c r="K8128" i="2"/>
  <c r="L8128" i="2"/>
  <c r="C8129" i="2"/>
  <c r="D8129" i="2"/>
  <c r="F8129" i="2"/>
  <c r="G8129" i="2"/>
  <c r="H8129" i="2"/>
  <c r="J8129" i="2"/>
  <c r="K8129" i="2"/>
  <c r="L8129" i="2"/>
  <c r="C8130" i="2"/>
  <c r="D8130" i="2"/>
  <c r="F8130" i="2"/>
  <c r="G8130" i="2"/>
  <c r="H8130" i="2"/>
  <c r="J8130" i="2"/>
  <c r="K8130" i="2"/>
  <c r="L8130" i="2"/>
  <c r="C8131" i="2"/>
  <c r="D8131" i="2"/>
  <c r="F8131" i="2"/>
  <c r="G8131" i="2"/>
  <c r="H8131" i="2"/>
  <c r="J8131" i="2"/>
  <c r="K8131" i="2"/>
  <c r="L8131" i="2"/>
  <c r="C8132" i="2"/>
  <c r="D8132" i="2"/>
  <c r="F8132" i="2"/>
  <c r="G8132" i="2"/>
  <c r="H8132" i="2"/>
  <c r="J8132" i="2"/>
  <c r="K8132" i="2"/>
  <c r="L8132" i="2"/>
  <c r="C8133" i="2"/>
  <c r="D8133" i="2"/>
  <c r="F8133" i="2"/>
  <c r="G8133" i="2"/>
  <c r="H8133" i="2"/>
  <c r="J8133" i="2"/>
  <c r="K8133" i="2"/>
  <c r="L8133" i="2"/>
  <c r="C8134" i="2"/>
  <c r="D8134" i="2"/>
  <c r="F8134" i="2"/>
  <c r="G8134" i="2"/>
  <c r="H8134" i="2"/>
  <c r="J8134" i="2"/>
  <c r="K8134" i="2"/>
  <c r="L8134" i="2"/>
  <c r="C8135" i="2"/>
  <c r="D8135" i="2"/>
  <c r="F8135" i="2"/>
  <c r="G8135" i="2"/>
  <c r="H8135" i="2"/>
  <c r="J8135" i="2"/>
  <c r="K8135" i="2"/>
  <c r="L8135" i="2"/>
  <c r="C8136" i="2"/>
  <c r="D8136" i="2"/>
  <c r="F8136" i="2"/>
  <c r="G8136" i="2"/>
  <c r="H8136" i="2"/>
  <c r="J8136" i="2"/>
  <c r="K8136" i="2"/>
  <c r="L8136" i="2"/>
  <c r="C8137" i="2"/>
  <c r="D8137" i="2"/>
  <c r="F8137" i="2"/>
  <c r="G8137" i="2"/>
  <c r="H8137" i="2"/>
  <c r="J8137" i="2"/>
  <c r="K8137" i="2"/>
  <c r="L8137" i="2"/>
  <c r="C8138" i="2"/>
  <c r="D8138" i="2"/>
  <c r="F8138" i="2"/>
  <c r="G8138" i="2"/>
  <c r="H8138" i="2"/>
  <c r="J8138" i="2"/>
  <c r="K8138" i="2"/>
  <c r="L8138" i="2"/>
  <c r="C8139" i="2"/>
  <c r="D8139" i="2"/>
  <c r="F8139" i="2"/>
  <c r="G8139" i="2"/>
  <c r="H8139" i="2"/>
  <c r="J8139" i="2"/>
  <c r="K8139" i="2"/>
  <c r="L8139" i="2"/>
  <c r="C8140" i="2"/>
  <c r="D8140" i="2"/>
  <c r="F8140" i="2"/>
  <c r="G8140" i="2"/>
  <c r="H8140" i="2"/>
  <c r="J8140" i="2"/>
  <c r="K8140" i="2"/>
  <c r="L8140" i="2"/>
  <c r="C8141" i="2"/>
  <c r="D8141" i="2"/>
  <c r="F8141" i="2"/>
  <c r="G8141" i="2"/>
  <c r="H8141" i="2"/>
  <c r="J8141" i="2"/>
  <c r="K8141" i="2"/>
  <c r="L8141" i="2"/>
  <c r="C8142" i="2"/>
  <c r="D8142" i="2"/>
  <c r="F8142" i="2"/>
  <c r="G8142" i="2"/>
  <c r="H8142" i="2"/>
  <c r="J8142" i="2"/>
  <c r="K8142" i="2"/>
  <c r="L8142" i="2"/>
  <c r="C8143" i="2"/>
  <c r="D8143" i="2"/>
  <c r="F8143" i="2"/>
  <c r="G8143" i="2"/>
  <c r="H8143" i="2"/>
  <c r="J8143" i="2"/>
  <c r="K8143" i="2"/>
  <c r="L8143" i="2"/>
  <c r="C8144" i="2"/>
  <c r="D8144" i="2"/>
  <c r="F8144" i="2"/>
  <c r="G8144" i="2"/>
  <c r="H8144" i="2"/>
  <c r="J8144" i="2"/>
  <c r="K8144" i="2"/>
  <c r="L8144" i="2"/>
  <c r="C8145" i="2"/>
  <c r="D8145" i="2"/>
  <c r="F8145" i="2"/>
  <c r="G8145" i="2"/>
  <c r="H8145" i="2"/>
  <c r="J8145" i="2"/>
  <c r="K8145" i="2"/>
  <c r="L8145" i="2"/>
  <c r="C8146" i="2"/>
  <c r="D8146" i="2"/>
  <c r="F8146" i="2"/>
  <c r="G8146" i="2"/>
  <c r="H8146" i="2"/>
  <c r="J8146" i="2"/>
  <c r="K8146" i="2"/>
  <c r="L8146" i="2"/>
  <c r="C8147" i="2"/>
  <c r="D8147" i="2"/>
  <c r="F8147" i="2"/>
  <c r="G8147" i="2"/>
  <c r="H8147" i="2"/>
  <c r="J8147" i="2"/>
  <c r="K8147" i="2"/>
  <c r="L8147" i="2"/>
  <c r="C8148" i="2"/>
  <c r="D8148" i="2"/>
  <c r="F8148" i="2"/>
  <c r="G8148" i="2"/>
  <c r="H8148" i="2"/>
  <c r="J8148" i="2"/>
  <c r="K8148" i="2"/>
  <c r="L8148" i="2"/>
  <c r="C8149" i="2"/>
  <c r="D8149" i="2"/>
  <c r="F8149" i="2"/>
  <c r="G8149" i="2"/>
  <c r="H8149" i="2"/>
  <c r="J8149" i="2"/>
  <c r="K8149" i="2"/>
  <c r="L8149" i="2"/>
  <c r="C8150" i="2"/>
  <c r="D8150" i="2"/>
  <c r="F8150" i="2"/>
  <c r="G8150" i="2"/>
  <c r="H8150" i="2"/>
  <c r="J8150" i="2"/>
  <c r="K8150" i="2"/>
  <c r="L8150" i="2"/>
  <c r="C8151" i="2"/>
  <c r="D8151" i="2"/>
  <c r="F8151" i="2"/>
  <c r="G8151" i="2"/>
  <c r="H8151" i="2"/>
  <c r="J8151" i="2"/>
  <c r="K8151" i="2"/>
  <c r="L8151" i="2"/>
  <c r="C8152" i="2"/>
  <c r="D8152" i="2"/>
  <c r="F8152" i="2"/>
  <c r="G8152" i="2"/>
  <c r="H8152" i="2"/>
  <c r="J8152" i="2"/>
  <c r="K8152" i="2"/>
  <c r="L8152" i="2"/>
  <c r="C8153" i="2"/>
  <c r="D8153" i="2"/>
  <c r="F8153" i="2"/>
  <c r="G8153" i="2"/>
  <c r="H8153" i="2"/>
  <c r="J8153" i="2"/>
  <c r="K8153" i="2"/>
  <c r="L8153" i="2"/>
  <c r="C8154" i="2"/>
  <c r="D8154" i="2"/>
  <c r="F8154" i="2"/>
  <c r="G8154" i="2"/>
  <c r="H8154" i="2"/>
  <c r="J8154" i="2"/>
  <c r="K8154" i="2"/>
  <c r="L8154" i="2"/>
  <c r="C8155" i="2"/>
  <c r="D8155" i="2"/>
  <c r="F8155" i="2"/>
  <c r="G8155" i="2"/>
  <c r="H8155" i="2"/>
  <c r="J8155" i="2"/>
  <c r="K8155" i="2"/>
  <c r="L8155" i="2"/>
  <c r="C8156" i="2"/>
  <c r="D8156" i="2"/>
  <c r="F8156" i="2"/>
  <c r="G8156" i="2"/>
  <c r="H8156" i="2"/>
  <c r="J8156" i="2"/>
  <c r="K8156" i="2"/>
  <c r="L8156" i="2"/>
  <c r="C8157" i="2"/>
  <c r="D8157" i="2"/>
  <c r="F8157" i="2"/>
  <c r="G8157" i="2"/>
  <c r="H8157" i="2"/>
  <c r="J8157" i="2"/>
  <c r="K8157" i="2"/>
  <c r="L8157" i="2"/>
  <c r="C8158" i="2"/>
  <c r="D8158" i="2"/>
  <c r="F8158" i="2"/>
  <c r="G8158" i="2"/>
  <c r="H8158" i="2"/>
  <c r="J8158" i="2"/>
  <c r="K8158" i="2"/>
  <c r="L8158" i="2"/>
  <c r="C8159" i="2"/>
  <c r="D8159" i="2"/>
  <c r="F8159" i="2"/>
  <c r="G8159" i="2"/>
  <c r="H8159" i="2"/>
  <c r="J8159" i="2"/>
  <c r="K8159" i="2"/>
  <c r="L8159" i="2"/>
  <c r="C8160" i="2"/>
  <c r="D8160" i="2"/>
  <c r="F8160" i="2"/>
  <c r="G8160" i="2"/>
  <c r="H8160" i="2"/>
  <c r="J8160" i="2"/>
  <c r="K8160" i="2"/>
  <c r="L8160" i="2"/>
  <c r="C8161" i="2"/>
  <c r="D8161" i="2"/>
  <c r="F8161" i="2"/>
  <c r="G8161" i="2"/>
  <c r="H8161" i="2"/>
  <c r="J8161" i="2"/>
  <c r="K8161" i="2"/>
  <c r="L8161" i="2"/>
  <c r="C8162" i="2"/>
  <c r="D8162" i="2"/>
  <c r="F8162" i="2"/>
  <c r="G8162" i="2"/>
  <c r="H8162" i="2"/>
  <c r="J8162" i="2"/>
  <c r="K8162" i="2"/>
  <c r="L8162" i="2"/>
  <c r="C8163" i="2"/>
  <c r="D8163" i="2"/>
  <c r="F8163" i="2"/>
  <c r="G8163" i="2"/>
  <c r="H8163" i="2"/>
  <c r="J8163" i="2"/>
  <c r="K8163" i="2"/>
  <c r="L8163" i="2"/>
  <c r="D8164" i="2"/>
  <c r="F8164" i="2"/>
  <c r="G8164" i="2"/>
  <c r="H8164" i="2"/>
  <c r="J8164" i="2"/>
  <c r="K8164" i="2"/>
  <c r="L8164" i="2"/>
  <c r="C8165" i="2"/>
  <c r="D8165" i="2"/>
  <c r="F8165" i="2"/>
  <c r="G8165" i="2"/>
  <c r="H8165" i="2"/>
  <c r="J8165" i="2"/>
  <c r="K8165" i="2"/>
  <c r="L8165" i="2"/>
  <c r="C8166" i="2"/>
  <c r="D8166" i="2"/>
  <c r="F8166" i="2"/>
  <c r="G8166" i="2"/>
  <c r="H8166" i="2"/>
  <c r="J8166" i="2"/>
  <c r="K8166" i="2"/>
  <c r="L8166" i="2"/>
  <c r="C8167" i="2"/>
  <c r="D8167" i="2"/>
  <c r="F8167" i="2"/>
  <c r="G8167" i="2"/>
  <c r="H8167" i="2"/>
  <c r="J8167" i="2"/>
  <c r="K8167" i="2"/>
  <c r="L8167" i="2"/>
  <c r="C8168" i="2"/>
  <c r="D8168" i="2"/>
  <c r="F8168" i="2"/>
  <c r="G8168" i="2"/>
  <c r="H8168" i="2"/>
  <c r="J8168" i="2"/>
  <c r="K8168" i="2"/>
  <c r="L8168" i="2"/>
  <c r="C8169" i="2"/>
  <c r="D8169" i="2"/>
  <c r="F8169" i="2"/>
  <c r="G8169" i="2"/>
  <c r="H8169" i="2"/>
  <c r="J8169" i="2"/>
  <c r="K8169" i="2"/>
  <c r="L8169" i="2"/>
  <c r="C8170" i="2"/>
  <c r="D8170" i="2"/>
  <c r="F8170" i="2"/>
  <c r="G8170" i="2"/>
  <c r="H8170" i="2"/>
  <c r="J8170" i="2"/>
  <c r="K8170" i="2"/>
  <c r="L8170" i="2"/>
  <c r="C8171" i="2"/>
  <c r="D8171" i="2"/>
  <c r="F8171" i="2"/>
  <c r="G8171" i="2"/>
  <c r="H8171" i="2"/>
  <c r="J8171" i="2"/>
  <c r="K8171" i="2"/>
  <c r="L8171" i="2"/>
  <c r="C8172" i="2"/>
  <c r="D8172" i="2"/>
  <c r="F8172" i="2"/>
  <c r="G8172" i="2"/>
  <c r="H8172" i="2"/>
  <c r="J8172" i="2"/>
  <c r="K8172" i="2"/>
  <c r="L8172" i="2"/>
  <c r="C8173" i="2"/>
  <c r="D8173" i="2"/>
  <c r="F8173" i="2"/>
  <c r="G8173" i="2"/>
  <c r="H8173" i="2"/>
  <c r="J8173" i="2"/>
  <c r="K8173" i="2"/>
  <c r="L8173" i="2"/>
  <c r="C8174" i="2"/>
  <c r="D8174" i="2"/>
  <c r="F8174" i="2"/>
  <c r="G8174" i="2"/>
  <c r="H8174" i="2"/>
  <c r="J8174" i="2"/>
  <c r="K8174" i="2"/>
  <c r="L8174" i="2"/>
  <c r="C8175" i="2"/>
  <c r="D8175" i="2"/>
  <c r="F8175" i="2"/>
  <c r="G8175" i="2"/>
  <c r="H8175" i="2"/>
  <c r="J8175" i="2"/>
  <c r="K8175" i="2"/>
  <c r="L8175" i="2"/>
  <c r="C8176" i="2"/>
  <c r="D8176" i="2"/>
  <c r="F8176" i="2"/>
  <c r="G8176" i="2"/>
  <c r="H8176" i="2"/>
  <c r="J8176" i="2"/>
  <c r="K8176" i="2"/>
  <c r="L8176" i="2"/>
  <c r="C8177" i="2"/>
  <c r="D8177" i="2"/>
  <c r="F8177" i="2"/>
  <c r="G8177" i="2"/>
  <c r="H8177" i="2"/>
  <c r="J8177" i="2"/>
  <c r="K8177" i="2"/>
  <c r="L8177" i="2"/>
  <c r="C8178" i="2"/>
  <c r="D8178" i="2"/>
  <c r="F8178" i="2"/>
  <c r="G8178" i="2"/>
  <c r="H8178" i="2"/>
  <c r="J8178" i="2"/>
  <c r="K8178" i="2"/>
  <c r="L8178" i="2"/>
  <c r="C8179" i="2"/>
  <c r="D8179" i="2"/>
  <c r="F8179" i="2"/>
  <c r="G8179" i="2"/>
  <c r="H8179" i="2"/>
  <c r="J8179" i="2"/>
  <c r="K8179" i="2"/>
  <c r="L8179" i="2"/>
  <c r="C8180" i="2"/>
  <c r="D8180" i="2"/>
  <c r="F8180" i="2"/>
  <c r="G8180" i="2"/>
  <c r="H8180" i="2"/>
  <c r="J8180" i="2"/>
  <c r="K8180" i="2"/>
  <c r="L8180" i="2"/>
  <c r="C8181" i="2"/>
  <c r="D8181" i="2"/>
  <c r="F8181" i="2"/>
  <c r="G8181" i="2"/>
  <c r="H8181" i="2"/>
  <c r="J8181" i="2"/>
  <c r="K8181" i="2"/>
  <c r="L8181" i="2"/>
  <c r="C8182" i="2"/>
  <c r="D8182" i="2"/>
  <c r="F8182" i="2"/>
  <c r="G8182" i="2"/>
  <c r="H8182" i="2"/>
  <c r="J8182" i="2"/>
  <c r="K8182" i="2"/>
  <c r="L8182" i="2"/>
  <c r="C8183" i="2"/>
  <c r="D8183" i="2"/>
  <c r="F8183" i="2"/>
  <c r="G8183" i="2"/>
  <c r="H8183" i="2"/>
  <c r="J8183" i="2"/>
  <c r="K8183" i="2"/>
  <c r="L8183" i="2"/>
  <c r="C8184" i="2"/>
  <c r="D8184" i="2"/>
  <c r="E8184" i="2"/>
  <c r="F8184" i="2"/>
  <c r="G8184" i="2"/>
  <c r="H8184" i="2"/>
  <c r="J8184" i="2"/>
  <c r="K8184" i="2"/>
  <c r="L8184" i="2"/>
  <c r="C8185" i="2"/>
  <c r="D8185" i="2"/>
  <c r="F8185" i="2"/>
  <c r="G8185" i="2"/>
  <c r="H8185" i="2"/>
  <c r="J8185" i="2"/>
  <c r="K8185" i="2"/>
  <c r="L8185" i="2"/>
  <c r="C8186" i="2"/>
  <c r="D8186" i="2"/>
  <c r="F8186" i="2"/>
  <c r="G8186" i="2"/>
  <c r="H8186" i="2"/>
  <c r="J8186" i="2"/>
  <c r="K8186" i="2"/>
  <c r="L8186" i="2"/>
  <c r="C8187" i="2"/>
  <c r="D8187" i="2"/>
  <c r="F8187" i="2"/>
  <c r="G8187" i="2"/>
  <c r="H8187" i="2"/>
  <c r="J8187" i="2"/>
  <c r="K8187" i="2"/>
  <c r="L8187" i="2"/>
  <c r="C8188" i="2"/>
  <c r="D8188" i="2"/>
  <c r="F8188" i="2"/>
  <c r="G8188" i="2"/>
  <c r="H8188" i="2"/>
  <c r="J8188" i="2"/>
  <c r="K8188" i="2"/>
  <c r="L8188" i="2"/>
  <c r="C8189" i="2"/>
  <c r="D8189" i="2"/>
  <c r="F8189" i="2"/>
  <c r="G8189" i="2"/>
  <c r="H8189" i="2"/>
  <c r="J8189" i="2"/>
  <c r="K8189" i="2"/>
  <c r="L8189" i="2"/>
  <c r="C8190" i="2"/>
  <c r="D8190" i="2"/>
  <c r="F8190" i="2"/>
  <c r="G8190" i="2"/>
  <c r="H8190" i="2"/>
  <c r="J8190" i="2"/>
  <c r="K8190" i="2"/>
  <c r="L8190" i="2"/>
  <c r="C8191" i="2"/>
  <c r="D8191" i="2"/>
  <c r="F8191" i="2"/>
  <c r="G8191" i="2"/>
  <c r="H8191" i="2"/>
  <c r="J8191" i="2"/>
  <c r="K8191" i="2"/>
  <c r="L8191" i="2"/>
  <c r="C8192" i="2"/>
  <c r="D8192" i="2"/>
  <c r="F8192" i="2"/>
  <c r="G8192" i="2"/>
  <c r="H8192" i="2"/>
  <c r="J8192" i="2"/>
  <c r="K8192" i="2"/>
  <c r="L8192" i="2"/>
  <c r="C8193" i="2"/>
  <c r="D8193" i="2"/>
  <c r="F8193" i="2"/>
  <c r="G8193" i="2"/>
  <c r="H8193" i="2"/>
  <c r="J8193" i="2"/>
  <c r="K8193" i="2"/>
  <c r="L8193" i="2"/>
  <c r="C8194" i="2"/>
  <c r="D8194" i="2"/>
  <c r="F8194" i="2"/>
  <c r="G8194" i="2"/>
  <c r="H8194" i="2"/>
  <c r="J8194" i="2"/>
  <c r="K8194" i="2"/>
  <c r="L8194" i="2"/>
  <c r="C8195" i="2"/>
  <c r="D8195" i="2"/>
  <c r="F8195" i="2"/>
  <c r="G8195" i="2"/>
  <c r="H8195" i="2"/>
  <c r="J8195" i="2"/>
  <c r="K8195" i="2"/>
  <c r="L8195" i="2"/>
  <c r="C8196" i="2"/>
  <c r="D8196" i="2"/>
  <c r="F8196" i="2"/>
  <c r="G8196" i="2"/>
  <c r="H8196" i="2"/>
  <c r="J8196" i="2"/>
  <c r="K8196" i="2"/>
  <c r="L8196" i="2"/>
  <c r="C8197" i="2"/>
  <c r="D8197" i="2"/>
  <c r="F8197" i="2"/>
  <c r="G8197" i="2"/>
  <c r="H8197" i="2"/>
  <c r="J8197" i="2"/>
  <c r="K8197" i="2"/>
  <c r="L8197" i="2"/>
  <c r="C8198" i="2"/>
  <c r="D8198" i="2"/>
  <c r="F8198" i="2"/>
  <c r="G8198" i="2"/>
  <c r="H8198" i="2"/>
  <c r="J8198" i="2"/>
  <c r="K8198" i="2"/>
  <c r="L8198" i="2"/>
  <c r="C8199" i="2"/>
  <c r="D8199" i="2"/>
  <c r="F8199" i="2"/>
  <c r="G8199" i="2"/>
  <c r="H8199" i="2"/>
  <c r="J8199" i="2"/>
  <c r="K8199" i="2"/>
  <c r="L8199" i="2"/>
  <c r="C8200" i="2"/>
  <c r="D8200" i="2"/>
  <c r="F8200" i="2"/>
  <c r="G8200" i="2"/>
  <c r="H8200" i="2"/>
  <c r="J8200" i="2"/>
  <c r="K8200" i="2"/>
  <c r="L8200" i="2"/>
  <c r="C8201" i="2"/>
  <c r="D8201" i="2"/>
  <c r="F8201" i="2"/>
  <c r="G8201" i="2"/>
  <c r="H8201" i="2"/>
  <c r="J8201" i="2"/>
  <c r="K8201" i="2"/>
  <c r="L8201" i="2"/>
  <c r="C8202" i="2"/>
  <c r="D8202" i="2"/>
  <c r="F8202" i="2"/>
  <c r="G8202" i="2"/>
  <c r="H8202" i="2"/>
  <c r="J8202" i="2"/>
  <c r="K8202" i="2"/>
  <c r="L8202" i="2"/>
  <c r="C8203" i="2"/>
  <c r="D8203" i="2"/>
  <c r="F8203" i="2"/>
  <c r="G8203" i="2"/>
  <c r="H8203" i="2"/>
  <c r="J8203" i="2"/>
  <c r="K8203" i="2"/>
  <c r="L8203" i="2"/>
  <c r="C8204" i="2"/>
  <c r="D8204" i="2"/>
  <c r="F8204" i="2"/>
  <c r="G8204" i="2"/>
  <c r="H8204" i="2"/>
  <c r="J8204" i="2"/>
  <c r="K8204" i="2"/>
  <c r="L8204" i="2"/>
  <c r="C8205" i="2"/>
  <c r="D8205" i="2"/>
  <c r="F8205" i="2"/>
  <c r="G8205" i="2"/>
  <c r="H8205" i="2"/>
  <c r="J8205" i="2"/>
  <c r="K8205" i="2"/>
  <c r="L8205" i="2"/>
  <c r="C8206" i="2"/>
  <c r="D8206" i="2"/>
  <c r="F8206" i="2"/>
  <c r="G8206" i="2"/>
  <c r="H8206" i="2"/>
  <c r="J8206" i="2"/>
  <c r="K8206" i="2"/>
  <c r="L8206" i="2"/>
  <c r="C8207" i="2"/>
  <c r="D8207" i="2"/>
  <c r="F8207" i="2"/>
  <c r="G8207" i="2"/>
  <c r="H8207" i="2"/>
  <c r="J8207" i="2"/>
  <c r="K8207" i="2"/>
  <c r="L8207" i="2"/>
  <c r="C8208" i="2"/>
  <c r="D8208" i="2"/>
  <c r="F8208" i="2"/>
  <c r="G8208" i="2"/>
  <c r="H8208" i="2"/>
  <c r="J8208" i="2"/>
  <c r="K8208" i="2"/>
  <c r="L8208" i="2"/>
  <c r="C8209" i="2"/>
  <c r="D8209" i="2"/>
  <c r="F8209" i="2"/>
  <c r="G8209" i="2"/>
  <c r="H8209" i="2"/>
  <c r="J8209" i="2"/>
  <c r="K8209" i="2"/>
  <c r="L8209" i="2"/>
  <c r="C8210" i="2"/>
  <c r="D8210" i="2"/>
  <c r="F8210" i="2"/>
  <c r="G8210" i="2"/>
  <c r="H8210" i="2"/>
  <c r="J8210" i="2"/>
  <c r="K8210" i="2"/>
  <c r="L8210" i="2"/>
  <c r="C8211" i="2"/>
  <c r="D8211" i="2"/>
  <c r="F8211" i="2"/>
  <c r="G8211" i="2"/>
  <c r="H8211" i="2"/>
  <c r="J8211" i="2"/>
  <c r="K8211" i="2"/>
  <c r="L8211" i="2"/>
  <c r="C8212" i="2"/>
  <c r="D8212" i="2"/>
  <c r="F8212" i="2"/>
  <c r="G8212" i="2"/>
  <c r="H8212" i="2"/>
  <c r="J8212" i="2"/>
  <c r="K8212" i="2"/>
  <c r="L8212" i="2"/>
  <c r="C8213" i="2"/>
  <c r="D8213" i="2"/>
  <c r="F8213" i="2"/>
  <c r="G8213" i="2"/>
  <c r="H8213" i="2"/>
  <c r="J8213" i="2"/>
  <c r="K8213" i="2"/>
  <c r="L8213" i="2"/>
  <c r="C8214" i="2"/>
  <c r="D8214" i="2"/>
  <c r="F8214" i="2"/>
  <c r="G8214" i="2"/>
  <c r="H8214" i="2"/>
  <c r="J8214" i="2"/>
  <c r="K8214" i="2"/>
  <c r="L8214" i="2"/>
  <c r="C8215" i="2"/>
  <c r="D8215" i="2"/>
  <c r="F8215" i="2"/>
  <c r="G8215" i="2"/>
  <c r="H8215" i="2"/>
  <c r="J8215" i="2"/>
  <c r="K8215" i="2"/>
  <c r="L8215" i="2"/>
  <c r="C8216" i="2"/>
  <c r="D8216" i="2"/>
  <c r="F8216" i="2"/>
  <c r="G8216" i="2"/>
  <c r="H8216" i="2"/>
  <c r="J8216" i="2"/>
  <c r="K8216" i="2"/>
  <c r="L8216" i="2"/>
  <c r="C8217" i="2"/>
  <c r="D8217" i="2"/>
  <c r="F8217" i="2"/>
  <c r="G8217" i="2"/>
  <c r="H8217" i="2"/>
  <c r="J8217" i="2"/>
  <c r="K8217" i="2"/>
  <c r="L8217" i="2"/>
  <c r="C8218" i="2"/>
  <c r="D8218" i="2"/>
  <c r="F8218" i="2"/>
  <c r="G8218" i="2"/>
  <c r="H8218" i="2"/>
  <c r="J8218" i="2"/>
  <c r="K8218" i="2"/>
  <c r="L8218" i="2"/>
  <c r="C8219" i="2"/>
  <c r="D8219" i="2"/>
  <c r="F8219" i="2"/>
  <c r="G8219" i="2"/>
  <c r="H8219" i="2"/>
  <c r="J8219" i="2"/>
  <c r="K8219" i="2"/>
  <c r="L8219" i="2"/>
  <c r="C8220" i="2"/>
  <c r="D8220" i="2"/>
  <c r="F8220" i="2"/>
  <c r="G8220" i="2"/>
  <c r="H8220" i="2"/>
  <c r="J8220" i="2"/>
  <c r="K8220" i="2"/>
  <c r="L8220" i="2"/>
  <c r="C8221" i="2"/>
  <c r="D8221" i="2"/>
  <c r="F8221" i="2"/>
  <c r="G8221" i="2"/>
  <c r="H8221" i="2"/>
  <c r="J8221" i="2"/>
  <c r="K8221" i="2"/>
  <c r="L8221" i="2"/>
  <c r="C8222" i="2"/>
  <c r="D8222" i="2"/>
  <c r="F8222" i="2"/>
  <c r="G8222" i="2"/>
  <c r="H8222" i="2"/>
  <c r="J8222" i="2"/>
  <c r="K8222" i="2"/>
  <c r="L8222" i="2"/>
  <c r="C8223" i="2"/>
  <c r="D8223" i="2"/>
  <c r="F8223" i="2"/>
  <c r="G8223" i="2"/>
  <c r="H8223" i="2"/>
  <c r="J8223" i="2"/>
  <c r="K8223" i="2"/>
  <c r="L8223" i="2"/>
  <c r="C8224" i="2"/>
  <c r="D8224" i="2"/>
  <c r="F8224" i="2"/>
  <c r="G8224" i="2"/>
  <c r="H8224" i="2"/>
  <c r="J8224" i="2"/>
  <c r="K8224" i="2"/>
  <c r="L8224" i="2"/>
  <c r="C8225" i="2"/>
  <c r="D8225" i="2"/>
  <c r="F8225" i="2"/>
  <c r="G8225" i="2"/>
  <c r="H8225" i="2"/>
  <c r="J8225" i="2"/>
  <c r="K8225" i="2"/>
  <c r="L8225" i="2"/>
  <c r="C8226" i="2"/>
  <c r="D8226" i="2"/>
  <c r="F8226" i="2"/>
  <c r="G8226" i="2"/>
  <c r="H8226" i="2"/>
  <c r="J8226" i="2"/>
  <c r="K8226" i="2"/>
  <c r="L8226" i="2"/>
  <c r="C8227" i="2"/>
  <c r="D8227" i="2"/>
  <c r="F8227" i="2"/>
  <c r="G8227" i="2"/>
  <c r="H8227" i="2"/>
  <c r="J8227" i="2"/>
  <c r="K8227" i="2"/>
  <c r="L8227" i="2"/>
  <c r="C8228" i="2"/>
  <c r="D8228" i="2"/>
  <c r="F8228" i="2"/>
  <c r="G8228" i="2"/>
  <c r="H8228" i="2"/>
  <c r="J8228" i="2"/>
  <c r="K8228" i="2"/>
  <c r="L8228" i="2"/>
  <c r="C8229" i="2"/>
  <c r="D8229" i="2"/>
  <c r="F8229" i="2"/>
  <c r="G8229" i="2"/>
  <c r="H8229" i="2"/>
  <c r="J8229" i="2"/>
  <c r="K8229" i="2"/>
  <c r="L8229" i="2"/>
  <c r="C8230" i="2"/>
  <c r="D8230" i="2"/>
  <c r="F8230" i="2"/>
  <c r="G8230" i="2"/>
  <c r="H8230" i="2"/>
  <c r="J8230" i="2"/>
  <c r="K8230" i="2"/>
  <c r="L8230" i="2"/>
  <c r="C8231" i="2"/>
  <c r="D8231" i="2"/>
  <c r="F8231" i="2"/>
  <c r="G8231" i="2"/>
  <c r="H8231" i="2"/>
  <c r="J8231" i="2"/>
  <c r="K8231" i="2"/>
  <c r="L8231" i="2"/>
  <c r="C8232" i="2"/>
  <c r="D8232" i="2"/>
  <c r="F8232" i="2"/>
  <c r="G8232" i="2"/>
  <c r="H8232" i="2"/>
  <c r="J8232" i="2"/>
  <c r="K8232" i="2"/>
  <c r="L8232" i="2"/>
  <c r="C8233" i="2"/>
  <c r="D8233" i="2"/>
  <c r="F8233" i="2"/>
  <c r="G8233" i="2"/>
  <c r="H8233" i="2"/>
  <c r="J8233" i="2"/>
  <c r="K8233" i="2"/>
  <c r="L8233" i="2"/>
  <c r="C8234" i="2"/>
  <c r="D8234" i="2"/>
  <c r="F8234" i="2"/>
  <c r="G8234" i="2"/>
  <c r="H8234" i="2"/>
  <c r="J8234" i="2"/>
  <c r="K8234" i="2"/>
  <c r="L8234" i="2"/>
  <c r="C8235" i="2"/>
  <c r="D8235" i="2"/>
  <c r="F8235" i="2"/>
  <c r="G8235" i="2"/>
  <c r="H8235" i="2"/>
  <c r="J8235" i="2"/>
  <c r="K8235" i="2"/>
  <c r="L8235" i="2"/>
  <c r="C8236" i="2"/>
  <c r="D8236" i="2"/>
  <c r="F8236" i="2"/>
  <c r="G8236" i="2"/>
  <c r="H8236" i="2"/>
  <c r="J8236" i="2"/>
  <c r="K8236" i="2"/>
  <c r="L8236" i="2"/>
  <c r="C8237" i="2"/>
  <c r="D8237" i="2"/>
  <c r="F8237" i="2"/>
  <c r="G8237" i="2"/>
  <c r="H8237" i="2"/>
  <c r="J8237" i="2"/>
  <c r="K8237" i="2"/>
  <c r="L8237" i="2"/>
  <c r="C8238" i="2"/>
  <c r="D8238" i="2"/>
  <c r="F8238" i="2"/>
  <c r="G8238" i="2"/>
  <c r="H8238" i="2"/>
  <c r="J8238" i="2"/>
  <c r="K8238" i="2"/>
  <c r="L8238" i="2"/>
  <c r="C8239" i="2"/>
  <c r="D8239" i="2"/>
  <c r="F8239" i="2"/>
  <c r="G8239" i="2"/>
  <c r="H8239" i="2"/>
  <c r="J8239" i="2"/>
  <c r="K8239" i="2"/>
  <c r="L8239" i="2"/>
  <c r="C8240" i="2"/>
  <c r="D8240" i="2"/>
  <c r="F8240" i="2"/>
  <c r="G8240" i="2"/>
  <c r="H8240" i="2"/>
  <c r="J8240" i="2"/>
  <c r="K8240" i="2"/>
  <c r="L8240" i="2"/>
  <c r="C8241" i="2"/>
  <c r="D8241" i="2"/>
  <c r="F8241" i="2"/>
  <c r="G8241" i="2"/>
  <c r="H8241" i="2"/>
  <c r="J8241" i="2"/>
  <c r="K8241" i="2"/>
  <c r="L8241" i="2"/>
  <c r="C8242" i="2"/>
  <c r="D8242" i="2"/>
  <c r="F8242" i="2"/>
  <c r="G8242" i="2"/>
  <c r="H8242" i="2"/>
  <c r="J8242" i="2"/>
  <c r="K8242" i="2"/>
  <c r="L8242" i="2"/>
  <c r="C8243" i="2"/>
  <c r="D8243" i="2"/>
  <c r="F8243" i="2"/>
  <c r="G8243" i="2"/>
  <c r="H8243" i="2"/>
  <c r="J8243" i="2"/>
  <c r="K8243" i="2"/>
  <c r="L8243" i="2"/>
  <c r="C8244" i="2"/>
  <c r="D8244" i="2"/>
  <c r="F8244" i="2"/>
  <c r="G8244" i="2"/>
  <c r="H8244" i="2"/>
  <c r="J8244" i="2"/>
  <c r="K8244" i="2"/>
  <c r="L8244" i="2"/>
  <c r="C8245" i="2"/>
  <c r="D8245" i="2"/>
  <c r="F8245" i="2"/>
  <c r="G8245" i="2"/>
  <c r="H8245" i="2"/>
  <c r="J8245" i="2"/>
  <c r="K8245" i="2"/>
  <c r="L8245" i="2"/>
  <c r="C8246" i="2"/>
  <c r="D8246" i="2"/>
  <c r="F8246" i="2"/>
  <c r="G8246" i="2"/>
  <c r="H8246" i="2"/>
  <c r="J8246" i="2"/>
  <c r="K8246" i="2"/>
  <c r="L8246" i="2"/>
  <c r="C8247" i="2"/>
  <c r="D8247" i="2"/>
  <c r="F8247" i="2"/>
  <c r="G8247" i="2"/>
  <c r="H8247" i="2"/>
  <c r="J8247" i="2"/>
  <c r="K8247" i="2"/>
  <c r="L8247" i="2"/>
  <c r="C8248" i="2"/>
  <c r="D8248" i="2"/>
  <c r="F8248" i="2"/>
  <c r="G8248" i="2"/>
  <c r="H8248" i="2"/>
  <c r="J8248" i="2"/>
  <c r="K8248" i="2"/>
  <c r="L8248" i="2"/>
  <c r="C8249" i="2"/>
  <c r="D8249" i="2"/>
  <c r="F8249" i="2"/>
  <c r="G8249" i="2"/>
  <c r="H8249" i="2"/>
  <c r="J8249" i="2"/>
  <c r="K8249" i="2"/>
  <c r="L8249" i="2"/>
  <c r="C8250" i="2"/>
  <c r="D8250" i="2"/>
  <c r="F8250" i="2"/>
  <c r="G8250" i="2"/>
  <c r="H8250" i="2"/>
  <c r="J8250" i="2"/>
  <c r="K8250" i="2"/>
  <c r="L8250" i="2"/>
  <c r="C8251" i="2"/>
  <c r="D8251" i="2"/>
  <c r="F8251" i="2"/>
  <c r="G8251" i="2"/>
  <c r="H8251" i="2"/>
  <c r="J8251" i="2"/>
  <c r="K8251" i="2"/>
  <c r="L8251" i="2"/>
  <c r="C8252" i="2"/>
  <c r="D8252" i="2"/>
  <c r="F8252" i="2"/>
  <c r="G8252" i="2"/>
  <c r="H8252" i="2"/>
  <c r="J8252" i="2"/>
  <c r="K8252" i="2"/>
  <c r="L8252" i="2"/>
  <c r="C8253" i="2"/>
  <c r="D8253" i="2"/>
  <c r="F8253" i="2"/>
  <c r="G8253" i="2"/>
  <c r="H8253" i="2"/>
  <c r="J8253" i="2"/>
  <c r="K8253" i="2"/>
  <c r="L8253" i="2"/>
  <c r="C8254" i="2"/>
  <c r="D8254" i="2"/>
  <c r="F8254" i="2"/>
  <c r="G8254" i="2"/>
  <c r="H8254" i="2"/>
  <c r="J8254" i="2"/>
  <c r="K8254" i="2"/>
  <c r="L8254" i="2"/>
  <c r="C8255" i="2"/>
  <c r="D8255" i="2"/>
  <c r="F8255" i="2"/>
  <c r="G8255" i="2"/>
  <c r="H8255" i="2"/>
  <c r="J8255" i="2"/>
  <c r="K8255" i="2"/>
  <c r="L8255" i="2"/>
  <c r="C8256" i="2"/>
  <c r="D8256" i="2"/>
  <c r="F8256" i="2"/>
  <c r="G8256" i="2"/>
  <c r="H8256" i="2"/>
  <c r="J8256" i="2"/>
  <c r="K8256" i="2"/>
  <c r="L8256" i="2"/>
  <c r="C8257" i="2"/>
  <c r="D8257" i="2"/>
  <c r="F8257" i="2"/>
  <c r="G8257" i="2"/>
  <c r="H8257" i="2"/>
  <c r="J8257" i="2"/>
  <c r="K8257" i="2"/>
  <c r="L8257" i="2"/>
  <c r="C8258" i="2"/>
  <c r="D8258" i="2"/>
  <c r="F8258" i="2"/>
  <c r="G8258" i="2"/>
  <c r="H8258" i="2"/>
  <c r="J8258" i="2"/>
  <c r="K8258" i="2"/>
  <c r="L8258" i="2"/>
  <c r="C8259" i="2"/>
  <c r="D8259" i="2"/>
  <c r="F8259" i="2"/>
  <c r="G8259" i="2"/>
  <c r="H8259" i="2"/>
  <c r="J8259" i="2"/>
  <c r="K8259" i="2"/>
  <c r="L8259" i="2"/>
  <c r="C8260" i="2"/>
  <c r="D8260" i="2"/>
  <c r="F8260" i="2"/>
  <c r="G8260" i="2"/>
  <c r="H8260" i="2"/>
  <c r="J8260" i="2"/>
  <c r="K8260" i="2"/>
  <c r="L8260" i="2"/>
  <c r="C8261" i="2"/>
  <c r="D8261" i="2"/>
  <c r="F8261" i="2"/>
  <c r="G8261" i="2"/>
  <c r="H8261" i="2"/>
  <c r="J8261" i="2"/>
  <c r="K8261" i="2"/>
  <c r="L8261" i="2"/>
  <c r="C8262" i="2"/>
  <c r="D8262" i="2"/>
  <c r="F8262" i="2"/>
  <c r="G8262" i="2"/>
  <c r="H8262" i="2"/>
  <c r="J8262" i="2"/>
  <c r="K8262" i="2"/>
  <c r="L8262" i="2"/>
  <c r="C8263" i="2"/>
  <c r="D8263" i="2"/>
  <c r="F8263" i="2"/>
  <c r="G8263" i="2"/>
  <c r="H8263" i="2"/>
  <c r="J8263" i="2"/>
  <c r="K8263" i="2"/>
  <c r="L8263" i="2"/>
  <c r="C8264" i="2"/>
  <c r="D8264" i="2"/>
  <c r="F8264" i="2"/>
  <c r="G8264" i="2"/>
  <c r="H8264" i="2"/>
  <c r="J8264" i="2"/>
  <c r="K8264" i="2"/>
  <c r="L8264" i="2"/>
  <c r="C8265" i="2"/>
  <c r="D8265" i="2"/>
  <c r="F8265" i="2"/>
  <c r="G8265" i="2"/>
  <c r="H8265" i="2"/>
  <c r="J8265" i="2"/>
  <c r="K8265" i="2"/>
  <c r="L8265" i="2"/>
  <c r="C8266" i="2"/>
  <c r="D8266" i="2"/>
  <c r="F8266" i="2"/>
  <c r="G8266" i="2"/>
  <c r="H8266" i="2"/>
  <c r="J8266" i="2"/>
  <c r="K8266" i="2"/>
  <c r="L8266" i="2"/>
  <c r="C8267" i="2"/>
  <c r="D8267" i="2"/>
  <c r="F8267" i="2"/>
  <c r="G8267" i="2"/>
  <c r="H8267" i="2"/>
  <c r="J8267" i="2"/>
  <c r="K8267" i="2"/>
  <c r="L8267" i="2"/>
  <c r="C8268" i="2"/>
  <c r="D8268" i="2"/>
  <c r="F8268" i="2"/>
  <c r="G8268" i="2"/>
  <c r="H8268" i="2"/>
  <c r="J8268" i="2"/>
  <c r="K8268" i="2"/>
  <c r="L8268" i="2"/>
  <c r="C8269" i="2"/>
  <c r="D8269" i="2"/>
  <c r="F8269" i="2"/>
  <c r="G8269" i="2"/>
  <c r="H8269" i="2"/>
  <c r="J8269" i="2"/>
  <c r="K8269" i="2"/>
  <c r="L8269" i="2"/>
  <c r="C8270" i="2"/>
  <c r="D8270" i="2"/>
  <c r="F8270" i="2"/>
  <c r="G8270" i="2"/>
  <c r="H8270" i="2"/>
  <c r="J8270" i="2"/>
  <c r="K8270" i="2"/>
  <c r="L8270" i="2"/>
  <c r="C8271" i="2"/>
  <c r="D8271" i="2"/>
  <c r="F8271" i="2"/>
  <c r="G8271" i="2"/>
  <c r="H8271" i="2"/>
  <c r="J8271" i="2"/>
  <c r="K8271" i="2"/>
  <c r="L8271" i="2"/>
  <c r="C8272" i="2"/>
  <c r="D8272" i="2"/>
  <c r="F8272" i="2"/>
  <c r="G8272" i="2"/>
  <c r="H8272" i="2"/>
  <c r="J8272" i="2"/>
  <c r="K8272" i="2"/>
  <c r="L8272" i="2"/>
  <c r="C8273" i="2"/>
  <c r="D8273" i="2"/>
  <c r="F8273" i="2"/>
  <c r="G8273" i="2"/>
  <c r="H8273" i="2"/>
  <c r="J8273" i="2"/>
  <c r="K8273" i="2"/>
  <c r="L8273" i="2"/>
  <c r="C8274" i="2"/>
  <c r="D8274" i="2"/>
  <c r="F8274" i="2"/>
  <c r="G8274" i="2"/>
  <c r="H8274" i="2"/>
  <c r="J8274" i="2"/>
  <c r="K8274" i="2"/>
  <c r="L8274" i="2"/>
  <c r="C8275" i="2"/>
  <c r="D8275" i="2"/>
  <c r="F8275" i="2"/>
  <c r="G8275" i="2"/>
  <c r="H8275" i="2"/>
  <c r="J8275" i="2"/>
  <c r="K8275" i="2"/>
  <c r="L8275" i="2"/>
  <c r="C8276" i="2"/>
  <c r="D8276" i="2"/>
  <c r="F8276" i="2"/>
  <c r="G8276" i="2"/>
  <c r="H8276" i="2"/>
  <c r="J8276" i="2"/>
  <c r="K8276" i="2"/>
  <c r="L8276" i="2"/>
  <c r="C8277" i="2"/>
  <c r="D8277" i="2"/>
  <c r="F8277" i="2"/>
  <c r="G8277" i="2"/>
  <c r="H8277" i="2"/>
  <c r="J8277" i="2"/>
  <c r="K8277" i="2"/>
  <c r="L8277" i="2"/>
  <c r="C8278" i="2"/>
  <c r="D8278" i="2"/>
  <c r="F8278" i="2"/>
  <c r="G8278" i="2"/>
  <c r="H8278" i="2"/>
  <c r="J8278" i="2"/>
  <c r="K8278" i="2"/>
  <c r="L8278" i="2"/>
  <c r="C8279" i="2"/>
  <c r="D8279" i="2"/>
  <c r="F8279" i="2"/>
  <c r="G8279" i="2"/>
  <c r="H8279" i="2"/>
  <c r="J8279" i="2"/>
  <c r="K8279" i="2"/>
  <c r="L8279" i="2"/>
  <c r="C8280" i="2"/>
  <c r="D8280" i="2"/>
  <c r="F8280" i="2"/>
  <c r="G8280" i="2"/>
  <c r="H8280" i="2"/>
  <c r="J8280" i="2"/>
  <c r="K8280" i="2"/>
  <c r="L8280" i="2"/>
  <c r="C8281" i="2"/>
  <c r="D8281" i="2"/>
  <c r="F8281" i="2"/>
  <c r="G8281" i="2"/>
  <c r="H8281" i="2"/>
  <c r="J8281" i="2"/>
  <c r="K8281" i="2"/>
  <c r="L8281" i="2"/>
  <c r="C8282" i="2"/>
  <c r="D8282" i="2"/>
  <c r="F8282" i="2"/>
  <c r="G8282" i="2"/>
  <c r="H8282" i="2"/>
  <c r="J8282" i="2"/>
  <c r="K8282" i="2"/>
  <c r="L8282" i="2"/>
  <c r="C8283" i="2"/>
  <c r="D8283" i="2"/>
  <c r="F8283" i="2"/>
  <c r="G8283" i="2"/>
  <c r="H8283" i="2"/>
  <c r="J8283" i="2"/>
  <c r="K8283" i="2"/>
  <c r="L8283" i="2"/>
  <c r="C8284" i="2"/>
  <c r="D8284" i="2"/>
  <c r="F8284" i="2"/>
  <c r="G8284" i="2"/>
  <c r="H8284" i="2"/>
  <c r="J8284" i="2"/>
  <c r="K8284" i="2"/>
  <c r="L8284" i="2"/>
  <c r="C8285" i="2"/>
  <c r="D8285" i="2"/>
  <c r="F8285" i="2"/>
  <c r="G8285" i="2"/>
  <c r="H8285" i="2"/>
  <c r="J8285" i="2"/>
  <c r="K8285" i="2"/>
  <c r="L8285" i="2"/>
  <c r="C8286" i="2"/>
  <c r="D8286" i="2"/>
  <c r="F8286" i="2"/>
  <c r="G8286" i="2"/>
  <c r="H8286" i="2"/>
  <c r="J8286" i="2"/>
  <c r="K8286" i="2"/>
  <c r="L8286" i="2"/>
  <c r="C8287" i="2"/>
  <c r="D8287" i="2"/>
  <c r="F8287" i="2"/>
  <c r="G8287" i="2"/>
  <c r="H8287" i="2"/>
  <c r="J8287" i="2"/>
  <c r="K8287" i="2"/>
  <c r="L8287" i="2"/>
  <c r="C8288" i="2"/>
  <c r="D8288" i="2"/>
  <c r="F8288" i="2"/>
  <c r="G8288" i="2"/>
  <c r="H8288" i="2"/>
  <c r="J8288" i="2"/>
  <c r="K8288" i="2"/>
  <c r="L8288" i="2"/>
  <c r="C8289" i="2"/>
  <c r="D8289" i="2"/>
  <c r="F8289" i="2"/>
  <c r="G8289" i="2"/>
  <c r="H8289" i="2"/>
  <c r="J8289" i="2"/>
  <c r="K8289" i="2"/>
  <c r="L8289" i="2"/>
  <c r="C8290" i="2"/>
  <c r="D8290" i="2"/>
  <c r="F8290" i="2"/>
  <c r="G8290" i="2"/>
  <c r="H8290" i="2"/>
  <c r="J8290" i="2"/>
  <c r="K8290" i="2"/>
  <c r="L8290" i="2"/>
  <c r="C8291" i="2"/>
  <c r="D8291" i="2"/>
  <c r="F8291" i="2"/>
  <c r="G8291" i="2"/>
  <c r="H8291" i="2"/>
  <c r="J8291" i="2"/>
  <c r="K8291" i="2"/>
  <c r="L8291" i="2"/>
  <c r="C8292" i="2"/>
  <c r="D8292" i="2"/>
  <c r="F8292" i="2"/>
  <c r="G8292" i="2"/>
  <c r="H8292" i="2"/>
  <c r="J8292" i="2"/>
  <c r="K8292" i="2"/>
  <c r="L8292" i="2"/>
  <c r="C8293" i="2"/>
  <c r="D8293" i="2"/>
  <c r="F8293" i="2"/>
  <c r="G8293" i="2"/>
  <c r="H8293" i="2"/>
  <c r="J8293" i="2"/>
  <c r="K8293" i="2"/>
  <c r="L8293" i="2"/>
  <c r="C8294" i="2"/>
  <c r="D8294" i="2"/>
  <c r="F8294" i="2"/>
  <c r="G8294" i="2"/>
  <c r="H8294" i="2"/>
  <c r="J8294" i="2"/>
  <c r="K8294" i="2"/>
  <c r="L8294" i="2"/>
  <c r="C8295" i="2"/>
  <c r="D8295" i="2"/>
  <c r="F8295" i="2"/>
  <c r="G8295" i="2"/>
  <c r="H8295" i="2"/>
  <c r="J8295" i="2"/>
  <c r="K8295" i="2"/>
  <c r="L8295" i="2"/>
  <c r="C8296" i="2"/>
  <c r="D8296" i="2"/>
  <c r="F8296" i="2"/>
  <c r="G8296" i="2"/>
  <c r="H8296" i="2"/>
  <c r="J8296" i="2"/>
  <c r="K8296" i="2"/>
  <c r="L8296" i="2"/>
  <c r="C8297" i="2"/>
  <c r="D8297" i="2"/>
  <c r="F8297" i="2"/>
  <c r="G8297" i="2"/>
  <c r="H8297" i="2"/>
  <c r="J8297" i="2"/>
  <c r="K8297" i="2"/>
  <c r="L8297" i="2"/>
  <c r="C8298" i="2"/>
  <c r="D8298" i="2"/>
  <c r="F8298" i="2"/>
  <c r="G8298" i="2"/>
  <c r="H8298" i="2"/>
  <c r="J8298" i="2"/>
  <c r="K8298" i="2"/>
  <c r="L8298" i="2"/>
  <c r="C8299" i="2"/>
  <c r="D8299" i="2"/>
  <c r="F8299" i="2"/>
  <c r="G8299" i="2"/>
  <c r="H8299" i="2"/>
  <c r="J8299" i="2"/>
  <c r="K8299" i="2"/>
  <c r="L8299" i="2"/>
  <c r="C8300" i="2"/>
  <c r="D8300" i="2"/>
  <c r="F8300" i="2"/>
  <c r="G8300" i="2"/>
  <c r="H8300" i="2"/>
  <c r="J8300" i="2"/>
  <c r="K8300" i="2"/>
  <c r="L8300" i="2"/>
  <c r="C8301" i="2"/>
  <c r="D8301" i="2"/>
  <c r="F8301" i="2"/>
  <c r="G8301" i="2"/>
  <c r="H8301" i="2"/>
  <c r="J8301" i="2"/>
  <c r="K8301" i="2"/>
  <c r="L8301" i="2"/>
  <c r="C8302" i="2"/>
  <c r="D8302" i="2"/>
  <c r="F8302" i="2"/>
  <c r="G8302" i="2"/>
  <c r="H8302" i="2"/>
  <c r="J8302" i="2"/>
  <c r="K8302" i="2"/>
  <c r="L8302" i="2"/>
  <c r="C8303" i="2"/>
  <c r="D8303" i="2"/>
  <c r="F8303" i="2"/>
  <c r="G8303" i="2"/>
  <c r="H8303" i="2"/>
  <c r="J8303" i="2"/>
  <c r="K8303" i="2"/>
  <c r="L8303" i="2"/>
  <c r="C8304" i="2"/>
  <c r="D8304" i="2"/>
  <c r="F8304" i="2"/>
  <c r="G8304" i="2"/>
  <c r="H8304" i="2"/>
  <c r="J8304" i="2"/>
  <c r="K8304" i="2"/>
  <c r="L8304" i="2"/>
  <c r="C8305" i="2"/>
  <c r="D8305" i="2"/>
  <c r="F8305" i="2"/>
  <c r="G8305" i="2"/>
  <c r="H8305" i="2"/>
  <c r="J8305" i="2"/>
  <c r="K8305" i="2"/>
  <c r="L8305" i="2"/>
  <c r="C8306" i="2"/>
  <c r="D8306" i="2"/>
  <c r="F8306" i="2"/>
  <c r="G8306" i="2"/>
  <c r="H8306" i="2"/>
  <c r="J8306" i="2"/>
  <c r="K8306" i="2"/>
  <c r="L8306" i="2"/>
  <c r="C8307" i="2"/>
  <c r="D8307" i="2"/>
  <c r="F8307" i="2"/>
  <c r="G8307" i="2"/>
  <c r="H8307" i="2"/>
  <c r="J8307" i="2"/>
  <c r="K8307" i="2"/>
  <c r="L8307" i="2"/>
  <c r="C8308" i="2"/>
  <c r="D8308" i="2"/>
  <c r="F8308" i="2"/>
  <c r="G8308" i="2"/>
  <c r="H8308" i="2"/>
  <c r="J8308" i="2"/>
  <c r="K8308" i="2"/>
  <c r="L8308" i="2"/>
  <c r="C8309" i="2"/>
  <c r="D8309" i="2"/>
  <c r="F8309" i="2"/>
  <c r="G8309" i="2"/>
  <c r="H8309" i="2"/>
  <c r="J8309" i="2"/>
  <c r="K8309" i="2"/>
  <c r="L8309" i="2"/>
  <c r="C8310" i="2"/>
  <c r="D8310" i="2"/>
  <c r="F8310" i="2"/>
  <c r="G8310" i="2"/>
  <c r="H8310" i="2"/>
  <c r="J8310" i="2"/>
  <c r="K8310" i="2"/>
  <c r="L8310" i="2"/>
  <c r="C8311" i="2"/>
  <c r="D8311" i="2"/>
  <c r="F8311" i="2"/>
  <c r="G8311" i="2"/>
  <c r="H8311" i="2"/>
  <c r="J8311" i="2"/>
  <c r="K8311" i="2"/>
  <c r="L8311" i="2"/>
  <c r="C8312" i="2"/>
  <c r="D8312" i="2"/>
  <c r="F8312" i="2"/>
  <c r="G8312" i="2"/>
  <c r="H8312" i="2"/>
  <c r="J8312" i="2"/>
  <c r="K8312" i="2"/>
  <c r="L8312" i="2"/>
  <c r="C8313" i="2"/>
  <c r="D8313" i="2"/>
  <c r="F8313" i="2"/>
  <c r="G8313" i="2"/>
  <c r="H8313" i="2"/>
  <c r="J8313" i="2"/>
  <c r="K8313" i="2"/>
  <c r="L8313" i="2"/>
  <c r="C8314" i="2"/>
  <c r="D8314" i="2"/>
  <c r="F8314" i="2"/>
  <c r="G8314" i="2"/>
  <c r="H8314" i="2"/>
  <c r="J8314" i="2"/>
  <c r="K8314" i="2"/>
  <c r="L8314" i="2"/>
  <c r="C8315" i="2"/>
  <c r="D8315" i="2"/>
  <c r="F8315" i="2"/>
  <c r="G8315" i="2"/>
  <c r="H8315" i="2"/>
  <c r="J8315" i="2"/>
  <c r="K8315" i="2"/>
  <c r="L8315" i="2"/>
  <c r="C8316" i="2"/>
  <c r="D8316" i="2"/>
  <c r="F8316" i="2"/>
  <c r="G8316" i="2"/>
  <c r="H8316" i="2"/>
  <c r="J8316" i="2"/>
  <c r="K8316" i="2"/>
  <c r="L8316" i="2"/>
  <c r="C8317" i="2"/>
  <c r="D8317" i="2"/>
  <c r="F8317" i="2"/>
  <c r="G8317" i="2"/>
  <c r="H8317" i="2"/>
  <c r="J8317" i="2"/>
  <c r="K8317" i="2"/>
  <c r="L8317" i="2"/>
  <c r="C8318" i="2"/>
  <c r="D8318" i="2"/>
  <c r="F8318" i="2"/>
  <c r="G8318" i="2"/>
  <c r="H8318" i="2"/>
  <c r="J8318" i="2"/>
  <c r="K8318" i="2"/>
  <c r="L8318" i="2"/>
  <c r="C8319" i="2"/>
  <c r="D8319" i="2"/>
  <c r="F8319" i="2"/>
  <c r="G8319" i="2"/>
  <c r="H8319" i="2"/>
  <c r="J8319" i="2"/>
  <c r="K8319" i="2"/>
  <c r="L8319" i="2"/>
  <c r="C8320" i="2"/>
  <c r="D8320" i="2"/>
  <c r="F8320" i="2"/>
  <c r="G8320" i="2"/>
  <c r="H8320" i="2"/>
  <c r="J8320" i="2"/>
  <c r="K8320" i="2"/>
  <c r="L8320" i="2"/>
  <c r="C8321" i="2"/>
  <c r="D8321" i="2"/>
  <c r="F8321" i="2"/>
  <c r="G8321" i="2"/>
  <c r="H8321" i="2"/>
  <c r="J8321" i="2"/>
  <c r="K8321" i="2"/>
  <c r="L8321" i="2"/>
  <c r="C8322" i="2"/>
  <c r="D8322" i="2"/>
  <c r="F8322" i="2"/>
  <c r="G8322" i="2"/>
  <c r="H8322" i="2"/>
  <c r="J8322" i="2"/>
  <c r="K8322" i="2"/>
  <c r="L8322" i="2"/>
  <c r="C8323" i="2"/>
  <c r="D8323" i="2"/>
  <c r="F8323" i="2"/>
  <c r="G8323" i="2"/>
  <c r="H8323" i="2"/>
  <c r="J8323" i="2"/>
  <c r="K8323" i="2"/>
  <c r="L8323" i="2"/>
  <c r="C8324" i="2"/>
  <c r="D8324" i="2"/>
  <c r="F8324" i="2"/>
  <c r="G8324" i="2"/>
  <c r="H8324" i="2"/>
  <c r="J8324" i="2"/>
  <c r="K8324" i="2"/>
  <c r="L8324" i="2"/>
  <c r="C8325" i="2"/>
  <c r="D8325" i="2"/>
  <c r="F8325" i="2"/>
  <c r="G8325" i="2"/>
  <c r="H8325" i="2"/>
  <c r="J8325" i="2"/>
  <c r="K8325" i="2"/>
  <c r="L8325" i="2"/>
  <c r="C8326" i="2"/>
  <c r="D8326" i="2"/>
  <c r="F8326" i="2"/>
  <c r="G8326" i="2"/>
  <c r="H8326" i="2"/>
  <c r="J8326" i="2"/>
  <c r="K8326" i="2"/>
  <c r="L8326" i="2"/>
  <c r="C8327" i="2"/>
  <c r="D8327" i="2"/>
  <c r="F8327" i="2"/>
  <c r="G8327" i="2"/>
  <c r="H8327" i="2"/>
  <c r="J8327" i="2"/>
  <c r="K8327" i="2"/>
  <c r="L8327" i="2"/>
  <c r="C8328" i="2"/>
  <c r="D8328" i="2"/>
  <c r="F8328" i="2"/>
  <c r="G8328" i="2"/>
  <c r="H8328" i="2"/>
  <c r="J8328" i="2"/>
  <c r="K8328" i="2"/>
  <c r="L8328" i="2"/>
  <c r="C8329" i="2"/>
  <c r="D8329" i="2"/>
  <c r="F8329" i="2"/>
  <c r="G8329" i="2"/>
  <c r="H8329" i="2"/>
  <c r="J8329" i="2"/>
  <c r="K8329" i="2"/>
  <c r="L8329" i="2"/>
  <c r="C8330" i="2"/>
  <c r="D8330" i="2"/>
  <c r="F8330" i="2"/>
  <c r="G8330" i="2"/>
  <c r="H8330" i="2"/>
  <c r="J8330" i="2"/>
  <c r="K8330" i="2"/>
  <c r="L8330" i="2"/>
  <c r="C8331" i="2"/>
  <c r="D8331" i="2"/>
  <c r="F8331" i="2"/>
  <c r="G8331" i="2"/>
  <c r="H8331" i="2"/>
  <c r="J8331" i="2"/>
  <c r="K8331" i="2"/>
  <c r="L8331" i="2"/>
  <c r="C8332" i="2"/>
  <c r="D8332" i="2"/>
  <c r="F8332" i="2"/>
  <c r="G8332" i="2"/>
  <c r="H8332" i="2"/>
  <c r="J8332" i="2"/>
  <c r="K8332" i="2"/>
  <c r="L8332" i="2"/>
  <c r="C8333" i="2"/>
  <c r="D8333" i="2"/>
  <c r="F8333" i="2"/>
  <c r="G8333" i="2"/>
  <c r="H8333" i="2"/>
  <c r="J8333" i="2"/>
  <c r="K8333" i="2"/>
  <c r="L8333" i="2"/>
  <c r="C8334" i="2"/>
  <c r="D8334" i="2"/>
  <c r="F8334" i="2"/>
  <c r="G8334" i="2"/>
  <c r="H8334" i="2"/>
  <c r="J8334" i="2"/>
  <c r="K8334" i="2"/>
  <c r="L8334" i="2"/>
  <c r="C8335" i="2"/>
  <c r="D8335" i="2"/>
  <c r="F8335" i="2"/>
  <c r="G8335" i="2"/>
  <c r="H8335" i="2"/>
  <c r="J8335" i="2"/>
  <c r="K8335" i="2"/>
  <c r="L8335" i="2"/>
  <c r="C8336" i="2"/>
  <c r="D8336" i="2"/>
  <c r="F8336" i="2"/>
  <c r="G8336" i="2"/>
  <c r="H8336" i="2"/>
  <c r="J8336" i="2"/>
  <c r="K8336" i="2"/>
  <c r="L8336" i="2"/>
  <c r="C8337" i="2"/>
  <c r="D8337" i="2"/>
  <c r="F8337" i="2"/>
  <c r="G8337" i="2"/>
  <c r="H8337" i="2"/>
  <c r="J8337" i="2"/>
  <c r="K8337" i="2"/>
  <c r="L8337" i="2"/>
  <c r="C8338" i="2"/>
  <c r="D8338" i="2"/>
  <c r="F8338" i="2"/>
  <c r="G8338" i="2"/>
  <c r="H8338" i="2"/>
  <c r="J8338" i="2"/>
  <c r="K8338" i="2"/>
  <c r="L8338" i="2"/>
  <c r="C8339" i="2"/>
  <c r="D8339" i="2"/>
  <c r="F8339" i="2"/>
  <c r="G8339" i="2"/>
  <c r="H8339" i="2"/>
  <c r="J8339" i="2"/>
  <c r="K8339" i="2"/>
  <c r="L8339" i="2"/>
  <c r="C8340" i="2"/>
  <c r="D8340" i="2"/>
  <c r="F8340" i="2"/>
  <c r="G8340" i="2"/>
  <c r="H8340" i="2"/>
  <c r="J8340" i="2"/>
  <c r="K8340" i="2"/>
  <c r="L8340" i="2"/>
  <c r="C8341" i="2"/>
  <c r="D8341" i="2"/>
  <c r="F8341" i="2"/>
  <c r="G8341" i="2"/>
  <c r="H8341" i="2"/>
  <c r="J8341" i="2"/>
  <c r="K8341" i="2"/>
  <c r="L8341" i="2"/>
  <c r="C8342" i="2"/>
  <c r="D8342" i="2"/>
  <c r="F8342" i="2"/>
  <c r="G8342" i="2"/>
  <c r="H8342" i="2"/>
  <c r="J8342" i="2"/>
  <c r="K8342" i="2"/>
  <c r="L8342" i="2"/>
  <c r="C8343" i="2"/>
  <c r="D8343" i="2"/>
  <c r="F8343" i="2"/>
  <c r="G8343" i="2"/>
  <c r="H8343" i="2"/>
  <c r="J8343" i="2"/>
  <c r="K8343" i="2"/>
  <c r="L8343" i="2"/>
  <c r="C8344" i="2"/>
  <c r="D8344" i="2"/>
  <c r="F8344" i="2"/>
  <c r="G8344" i="2"/>
  <c r="H8344" i="2"/>
  <c r="J8344" i="2"/>
  <c r="K8344" i="2"/>
  <c r="L8344" i="2"/>
  <c r="C8345" i="2"/>
  <c r="D8345" i="2"/>
  <c r="F8345" i="2"/>
  <c r="G8345" i="2"/>
  <c r="H8345" i="2"/>
  <c r="J8345" i="2"/>
  <c r="K8345" i="2"/>
  <c r="L8345" i="2"/>
  <c r="C8346" i="2"/>
  <c r="D8346" i="2"/>
  <c r="F8346" i="2"/>
  <c r="G8346" i="2"/>
  <c r="H8346" i="2"/>
  <c r="J8346" i="2"/>
  <c r="K8346" i="2"/>
  <c r="L8346" i="2"/>
  <c r="C8347" i="2"/>
  <c r="D8347" i="2"/>
  <c r="F8347" i="2"/>
  <c r="G8347" i="2"/>
  <c r="H8347" i="2"/>
  <c r="J8347" i="2"/>
  <c r="K8347" i="2"/>
  <c r="L8347" i="2"/>
  <c r="C8348" i="2"/>
  <c r="D8348" i="2"/>
  <c r="F8348" i="2"/>
  <c r="G8348" i="2"/>
  <c r="H8348" i="2"/>
  <c r="J8348" i="2"/>
  <c r="K8348" i="2"/>
  <c r="L8348" i="2"/>
  <c r="C8349" i="2"/>
  <c r="D8349" i="2"/>
  <c r="F8349" i="2"/>
  <c r="G8349" i="2"/>
  <c r="H8349" i="2"/>
  <c r="J8349" i="2"/>
  <c r="K8349" i="2"/>
  <c r="L8349" i="2"/>
  <c r="C8350" i="2"/>
  <c r="D8350" i="2"/>
  <c r="F8350" i="2"/>
  <c r="G8350" i="2"/>
  <c r="H8350" i="2"/>
  <c r="J8350" i="2"/>
  <c r="K8350" i="2"/>
  <c r="L8350" i="2"/>
  <c r="C8351" i="2"/>
  <c r="D8351" i="2"/>
  <c r="F8351" i="2"/>
  <c r="G8351" i="2"/>
  <c r="H8351" i="2"/>
  <c r="J8351" i="2"/>
  <c r="K8351" i="2"/>
  <c r="L8351" i="2"/>
  <c r="C8352" i="2"/>
  <c r="D8352" i="2"/>
  <c r="E8352" i="2"/>
  <c r="F8352" i="2"/>
  <c r="G8352" i="2"/>
  <c r="H8352" i="2"/>
  <c r="J8352" i="2"/>
  <c r="K8352" i="2"/>
  <c r="L8352" i="2"/>
  <c r="C8353" i="2"/>
  <c r="D8353" i="2"/>
  <c r="F8353" i="2"/>
  <c r="G8353" i="2"/>
  <c r="H8353" i="2"/>
  <c r="J8353" i="2"/>
  <c r="K8353" i="2"/>
  <c r="L8353" i="2"/>
  <c r="C8354" i="2"/>
  <c r="D8354" i="2"/>
  <c r="F8354" i="2"/>
  <c r="G8354" i="2"/>
  <c r="H8354" i="2"/>
  <c r="J8354" i="2"/>
  <c r="K8354" i="2"/>
  <c r="L8354" i="2"/>
  <c r="C8355" i="2"/>
  <c r="D8355" i="2"/>
  <c r="F8355" i="2"/>
  <c r="G8355" i="2"/>
  <c r="H8355" i="2"/>
  <c r="J8355" i="2"/>
  <c r="K8355" i="2"/>
  <c r="L8355" i="2"/>
  <c r="C8356" i="2"/>
  <c r="D8356" i="2"/>
  <c r="F8356" i="2"/>
  <c r="G8356" i="2"/>
  <c r="H8356" i="2"/>
  <c r="J8356" i="2"/>
  <c r="K8356" i="2"/>
  <c r="L8356" i="2"/>
  <c r="C8357" i="2"/>
  <c r="D8357" i="2"/>
  <c r="F8357" i="2"/>
  <c r="G8357" i="2"/>
  <c r="H8357" i="2"/>
  <c r="J8357" i="2"/>
  <c r="K8357" i="2"/>
  <c r="L8357" i="2"/>
  <c r="C8358" i="2"/>
  <c r="D8358" i="2"/>
  <c r="F8358" i="2"/>
  <c r="G8358" i="2"/>
  <c r="H8358" i="2"/>
  <c r="J8358" i="2"/>
  <c r="K8358" i="2"/>
  <c r="L8358" i="2"/>
  <c r="C8359" i="2"/>
  <c r="D8359" i="2"/>
  <c r="F8359" i="2"/>
  <c r="G8359" i="2"/>
  <c r="H8359" i="2"/>
  <c r="J8359" i="2"/>
  <c r="K8359" i="2"/>
  <c r="L8359" i="2"/>
  <c r="C8360" i="2"/>
  <c r="D8360" i="2"/>
  <c r="F8360" i="2"/>
  <c r="G8360" i="2"/>
  <c r="H8360" i="2"/>
  <c r="J8360" i="2"/>
  <c r="K8360" i="2"/>
  <c r="L8360" i="2"/>
  <c r="C8361" i="2"/>
  <c r="D8361" i="2"/>
  <c r="F8361" i="2"/>
  <c r="G8361" i="2"/>
  <c r="H8361" i="2"/>
  <c r="J8361" i="2"/>
  <c r="K8361" i="2"/>
  <c r="L8361" i="2"/>
  <c r="C8362" i="2"/>
  <c r="D8362" i="2"/>
  <c r="F8362" i="2"/>
  <c r="G8362" i="2"/>
  <c r="H8362" i="2"/>
  <c r="J8362" i="2"/>
  <c r="K8362" i="2"/>
  <c r="L8362" i="2"/>
  <c r="C8363" i="2"/>
  <c r="D8363" i="2"/>
  <c r="F8363" i="2"/>
  <c r="G8363" i="2"/>
  <c r="H8363" i="2"/>
  <c r="J8363" i="2"/>
  <c r="K8363" i="2"/>
  <c r="L8363" i="2"/>
  <c r="C8364" i="2"/>
  <c r="D8364" i="2"/>
  <c r="F8364" i="2"/>
  <c r="G8364" i="2"/>
  <c r="H8364" i="2"/>
  <c r="J8364" i="2"/>
  <c r="K8364" i="2"/>
  <c r="L8364" i="2"/>
  <c r="C8365" i="2"/>
  <c r="D8365" i="2"/>
  <c r="F8365" i="2"/>
  <c r="G8365" i="2"/>
  <c r="H8365" i="2"/>
  <c r="J8365" i="2"/>
  <c r="K8365" i="2"/>
  <c r="L8365" i="2"/>
  <c r="C8366" i="2"/>
  <c r="D8366" i="2"/>
  <c r="F8366" i="2"/>
  <c r="G8366" i="2"/>
  <c r="H8366" i="2"/>
  <c r="J8366" i="2"/>
  <c r="K8366" i="2"/>
  <c r="L8366" i="2"/>
  <c r="C8367" i="2"/>
  <c r="D8367" i="2"/>
  <c r="F8367" i="2"/>
  <c r="G8367" i="2"/>
  <c r="H8367" i="2"/>
  <c r="J8367" i="2"/>
  <c r="K8367" i="2"/>
  <c r="L8367" i="2"/>
  <c r="C8368" i="2"/>
  <c r="D8368" i="2"/>
  <c r="F8368" i="2"/>
  <c r="G8368" i="2"/>
  <c r="H8368" i="2"/>
  <c r="J8368" i="2"/>
  <c r="K8368" i="2"/>
  <c r="L8368" i="2"/>
  <c r="C8369" i="2"/>
  <c r="D8369" i="2"/>
  <c r="F8369" i="2"/>
  <c r="G8369" i="2"/>
  <c r="H8369" i="2"/>
  <c r="J8369" i="2"/>
  <c r="K8369" i="2"/>
  <c r="L8369" i="2"/>
  <c r="C8370" i="2"/>
  <c r="D8370" i="2"/>
  <c r="F8370" i="2"/>
  <c r="G8370" i="2"/>
  <c r="H8370" i="2"/>
  <c r="J8370" i="2"/>
  <c r="K8370" i="2"/>
  <c r="L8370" i="2"/>
  <c r="C8371" i="2"/>
  <c r="D8371" i="2"/>
  <c r="F8371" i="2"/>
  <c r="G8371" i="2"/>
  <c r="H8371" i="2"/>
  <c r="J8371" i="2"/>
  <c r="K8371" i="2"/>
  <c r="L8371" i="2"/>
  <c r="C8372" i="2"/>
  <c r="D8372" i="2"/>
  <c r="F8372" i="2"/>
  <c r="G8372" i="2"/>
  <c r="H8372" i="2"/>
  <c r="J8372" i="2"/>
  <c r="K8372" i="2"/>
  <c r="L8372" i="2"/>
  <c r="C8373" i="2"/>
  <c r="D8373" i="2"/>
  <c r="F8373" i="2"/>
  <c r="G8373" i="2"/>
  <c r="H8373" i="2"/>
  <c r="J8373" i="2"/>
  <c r="K8373" i="2"/>
  <c r="L8373" i="2"/>
  <c r="C8374" i="2"/>
  <c r="D8374" i="2"/>
  <c r="F8374" i="2"/>
  <c r="G8374" i="2"/>
  <c r="H8374" i="2"/>
  <c r="J8374" i="2"/>
  <c r="K8374" i="2"/>
  <c r="L8374" i="2"/>
  <c r="C8375" i="2"/>
  <c r="D8375" i="2"/>
  <c r="F8375" i="2"/>
  <c r="G8375" i="2"/>
  <c r="H8375" i="2"/>
  <c r="J8375" i="2"/>
  <c r="K8375" i="2"/>
  <c r="L8375" i="2"/>
  <c r="C8376" i="2"/>
  <c r="D8376" i="2"/>
  <c r="F8376" i="2"/>
  <c r="G8376" i="2"/>
  <c r="H8376" i="2"/>
  <c r="J8376" i="2"/>
  <c r="K8376" i="2"/>
  <c r="L8376" i="2"/>
  <c r="C8377" i="2"/>
  <c r="D8377" i="2"/>
  <c r="F8377" i="2"/>
  <c r="G8377" i="2"/>
  <c r="H8377" i="2"/>
  <c r="J8377" i="2"/>
  <c r="K8377" i="2"/>
  <c r="L8377" i="2"/>
  <c r="C8378" i="2"/>
  <c r="D8378" i="2"/>
  <c r="F8378" i="2"/>
  <c r="G8378" i="2"/>
  <c r="H8378" i="2"/>
  <c r="J8378" i="2"/>
  <c r="K8378" i="2"/>
  <c r="L8378" i="2"/>
  <c r="C8379" i="2"/>
  <c r="D8379" i="2"/>
  <c r="F8379" i="2"/>
  <c r="G8379" i="2"/>
  <c r="H8379" i="2"/>
  <c r="J8379" i="2"/>
  <c r="K8379" i="2"/>
  <c r="L8379" i="2"/>
  <c r="C8380" i="2"/>
  <c r="D8380" i="2"/>
  <c r="F8380" i="2"/>
  <c r="G8380" i="2"/>
  <c r="H8380" i="2"/>
  <c r="J8380" i="2"/>
  <c r="K8380" i="2"/>
  <c r="L8380" i="2"/>
  <c r="C8381" i="2"/>
  <c r="D8381" i="2"/>
  <c r="F8381" i="2"/>
  <c r="G8381" i="2"/>
  <c r="H8381" i="2"/>
  <c r="J8381" i="2"/>
  <c r="K8381" i="2"/>
  <c r="L8381" i="2"/>
  <c r="C8382" i="2"/>
  <c r="D8382" i="2"/>
  <c r="F8382" i="2"/>
  <c r="G8382" i="2"/>
  <c r="H8382" i="2"/>
  <c r="J8382" i="2"/>
  <c r="K8382" i="2"/>
  <c r="L8382" i="2"/>
  <c r="C8383" i="2"/>
  <c r="D8383" i="2"/>
  <c r="F8383" i="2"/>
  <c r="G8383" i="2"/>
  <c r="H8383" i="2"/>
  <c r="J8383" i="2"/>
  <c r="K8383" i="2"/>
  <c r="L8383" i="2"/>
  <c r="C8384" i="2"/>
  <c r="D8384" i="2"/>
  <c r="F8384" i="2"/>
  <c r="G8384" i="2"/>
  <c r="H8384" i="2"/>
  <c r="J8384" i="2"/>
  <c r="K8384" i="2"/>
  <c r="L8384" i="2"/>
  <c r="C8385" i="2"/>
  <c r="D8385" i="2"/>
  <c r="F8385" i="2"/>
  <c r="G8385" i="2"/>
  <c r="H8385" i="2"/>
  <c r="J8385" i="2"/>
  <c r="K8385" i="2"/>
  <c r="L8385" i="2"/>
  <c r="C8386" i="2"/>
  <c r="D8386" i="2"/>
  <c r="F8386" i="2"/>
  <c r="G8386" i="2"/>
  <c r="H8386" i="2"/>
  <c r="J8386" i="2"/>
  <c r="K8386" i="2"/>
  <c r="L8386" i="2"/>
  <c r="C8387" i="2"/>
  <c r="D8387" i="2"/>
  <c r="F8387" i="2"/>
  <c r="G8387" i="2"/>
  <c r="H8387" i="2"/>
  <c r="J8387" i="2"/>
  <c r="K8387" i="2"/>
  <c r="L8387" i="2"/>
  <c r="C8388" i="2"/>
  <c r="D8388" i="2"/>
  <c r="F8388" i="2"/>
  <c r="G8388" i="2"/>
  <c r="H8388" i="2"/>
  <c r="J8388" i="2"/>
  <c r="K8388" i="2"/>
  <c r="L8388" i="2"/>
  <c r="C8389" i="2"/>
  <c r="D8389" i="2"/>
  <c r="F8389" i="2"/>
  <c r="G8389" i="2"/>
  <c r="H8389" i="2"/>
  <c r="J8389" i="2"/>
  <c r="K8389" i="2"/>
  <c r="L8389" i="2"/>
  <c r="C8390" i="2"/>
  <c r="D8390" i="2"/>
  <c r="F8390" i="2"/>
  <c r="G8390" i="2"/>
  <c r="H8390" i="2"/>
  <c r="J8390" i="2"/>
  <c r="K8390" i="2"/>
  <c r="L8390" i="2"/>
  <c r="C8391" i="2"/>
  <c r="D8391" i="2"/>
  <c r="F8391" i="2"/>
  <c r="G8391" i="2"/>
  <c r="H8391" i="2"/>
  <c r="J8391" i="2"/>
  <c r="K8391" i="2"/>
  <c r="L8391" i="2"/>
  <c r="C8392" i="2"/>
  <c r="D8392" i="2"/>
  <c r="F8392" i="2"/>
  <c r="G8392" i="2"/>
  <c r="H8392" i="2"/>
  <c r="J8392" i="2"/>
  <c r="K8392" i="2"/>
  <c r="L8392" i="2"/>
  <c r="C8393" i="2"/>
  <c r="D8393" i="2"/>
  <c r="F8393" i="2"/>
  <c r="G8393" i="2"/>
  <c r="H8393" i="2"/>
  <c r="J8393" i="2"/>
  <c r="K8393" i="2"/>
  <c r="L8393" i="2"/>
  <c r="C8394" i="2"/>
  <c r="D8394" i="2"/>
  <c r="F8394" i="2"/>
  <c r="G8394" i="2"/>
  <c r="H8394" i="2"/>
  <c r="J8394" i="2"/>
  <c r="K8394" i="2"/>
  <c r="L8394" i="2"/>
  <c r="C8395" i="2"/>
  <c r="D8395" i="2"/>
  <c r="F8395" i="2"/>
  <c r="G8395" i="2"/>
  <c r="H8395" i="2"/>
  <c r="J8395" i="2"/>
  <c r="K8395" i="2"/>
  <c r="L8395" i="2"/>
  <c r="C8396" i="2"/>
  <c r="D8396" i="2"/>
  <c r="F8396" i="2"/>
  <c r="G8396" i="2"/>
  <c r="H8396" i="2"/>
  <c r="J8396" i="2"/>
  <c r="K8396" i="2"/>
  <c r="L8396" i="2"/>
  <c r="C8397" i="2"/>
  <c r="D8397" i="2"/>
  <c r="F8397" i="2"/>
  <c r="G8397" i="2"/>
  <c r="H8397" i="2"/>
  <c r="J8397" i="2"/>
  <c r="K8397" i="2"/>
  <c r="L8397" i="2"/>
  <c r="C8398" i="2"/>
  <c r="D8398" i="2"/>
  <c r="F8398" i="2"/>
  <c r="G8398" i="2"/>
  <c r="H8398" i="2"/>
  <c r="J8398" i="2"/>
  <c r="K8398" i="2"/>
  <c r="L8398" i="2"/>
  <c r="C8399" i="2"/>
  <c r="D8399" i="2"/>
  <c r="F8399" i="2"/>
  <c r="G8399" i="2"/>
  <c r="H8399" i="2"/>
  <c r="J8399" i="2"/>
  <c r="K8399" i="2"/>
  <c r="L8399" i="2"/>
  <c r="C8400" i="2"/>
  <c r="D8400" i="2"/>
  <c r="F8400" i="2"/>
  <c r="G8400" i="2"/>
  <c r="H8400" i="2"/>
  <c r="J8400" i="2"/>
  <c r="K8400" i="2"/>
  <c r="L8400" i="2"/>
  <c r="C8401" i="2"/>
  <c r="D8401" i="2"/>
  <c r="F8401" i="2"/>
  <c r="G8401" i="2"/>
  <c r="H8401" i="2"/>
  <c r="J8401" i="2"/>
  <c r="K8401" i="2"/>
  <c r="L8401" i="2"/>
  <c r="C8402" i="2"/>
  <c r="D8402" i="2"/>
  <c r="F8402" i="2"/>
  <c r="G8402" i="2"/>
  <c r="H8402" i="2"/>
  <c r="J8402" i="2"/>
  <c r="K8402" i="2"/>
  <c r="L8402" i="2"/>
  <c r="C8403" i="2"/>
  <c r="D8403" i="2"/>
  <c r="F8403" i="2"/>
  <c r="G8403" i="2"/>
  <c r="H8403" i="2"/>
  <c r="J8403" i="2"/>
  <c r="K8403" i="2"/>
  <c r="L8403" i="2"/>
  <c r="C8404" i="2"/>
  <c r="D8404" i="2"/>
  <c r="F8404" i="2"/>
  <c r="G8404" i="2"/>
  <c r="H8404" i="2"/>
  <c r="J8404" i="2"/>
  <c r="K8404" i="2"/>
  <c r="L8404" i="2"/>
  <c r="C8405" i="2"/>
  <c r="D8405" i="2"/>
  <c r="F8405" i="2"/>
  <c r="G8405" i="2"/>
  <c r="H8405" i="2"/>
  <c r="J8405" i="2"/>
  <c r="K8405" i="2"/>
  <c r="L8405" i="2"/>
  <c r="C8406" i="2"/>
  <c r="D8406" i="2"/>
  <c r="F8406" i="2"/>
  <c r="G8406" i="2"/>
  <c r="H8406" i="2"/>
  <c r="J8406" i="2"/>
  <c r="K8406" i="2"/>
  <c r="L8406" i="2"/>
  <c r="C8407" i="2"/>
  <c r="D8407" i="2"/>
  <c r="F8407" i="2"/>
  <c r="G8407" i="2"/>
  <c r="H8407" i="2"/>
  <c r="J8407" i="2"/>
  <c r="K8407" i="2"/>
  <c r="L8407" i="2"/>
  <c r="C8408" i="2"/>
  <c r="D8408" i="2"/>
  <c r="F8408" i="2"/>
  <c r="G8408" i="2"/>
  <c r="H8408" i="2"/>
  <c r="J8408" i="2"/>
  <c r="K8408" i="2"/>
  <c r="L8408" i="2"/>
  <c r="C8409" i="2"/>
  <c r="D8409" i="2"/>
  <c r="F8409" i="2"/>
  <c r="G8409" i="2"/>
  <c r="H8409" i="2"/>
  <c r="J8409" i="2"/>
  <c r="K8409" i="2"/>
  <c r="L8409" i="2"/>
  <c r="C8410" i="2"/>
  <c r="D8410" i="2"/>
  <c r="E8410" i="2"/>
  <c r="F8410" i="2"/>
  <c r="G8410" i="2"/>
  <c r="H8410" i="2"/>
  <c r="J8410" i="2"/>
  <c r="K8410" i="2"/>
  <c r="L8410" i="2"/>
  <c r="C8411" i="2"/>
  <c r="D8411" i="2"/>
  <c r="F8411" i="2"/>
  <c r="G8411" i="2"/>
  <c r="H8411" i="2"/>
  <c r="J8411" i="2"/>
  <c r="K8411" i="2"/>
  <c r="L8411" i="2"/>
  <c r="C8412" i="2"/>
  <c r="D8412" i="2"/>
  <c r="F8412" i="2"/>
  <c r="G8412" i="2"/>
  <c r="H8412" i="2"/>
  <c r="J8412" i="2"/>
  <c r="K8412" i="2"/>
  <c r="L8412" i="2"/>
  <c r="C8413" i="2"/>
  <c r="D8413" i="2"/>
  <c r="F8413" i="2"/>
  <c r="G8413" i="2"/>
  <c r="H8413" i="2"/>
  <c r="J8413" i="2"/>
  <c r="K8413" i="2"/>
  <c r="L8413" i="2"/>
  <c r="C8414" i="2"/>
  <c r="D8414" i="2"/>
  <c r="F8414" i="2"/>
  <c r="G8414" i="2"/>
  <c r="H8414" i="2"/>
  <c r="J8414" i="2"/>
  <c r="K8414" i="2"/>
  <c r="L8414" i="2"/>
  <c r="C8415" i="2"/>
  <c r="D8415" i="2"/>
  <c r="F8415" i="2"/>
  <c r="G8415" i="2"/>
  <c r="H8415" i="2"/>
  <c r="J8415" i="2"/>
  <c r="K8415" i="2"/>
  <c r="L8415" i="2"/>
  <c r="C8416" i="2"/>
  <c r="D8416" i="2"/>
  <c r="F8416" i="2"/>
  <c r="G8416" i="2"/>
  <c r="H8416" i="2"/>
  <c r="J8416" i="2"/>
  <c r="K8416" i="2"/>
  <c r="L8416" i="2"/>
  <c r="C8417" i="2"/>
  <c r="D8417" i="2"/>
  <c r="F8417" i="2"/>
  <c r="G8417" i="2"/>
  <c r="H8417" i="2"/>
  <c r="J8417" i="2"/>
  <c r="K8417" i="2"/>
  <c r="L8417" i="2"/>
  <c r="C8418" i="2"/>
  <c r="D8418" i="2"/>
  <c r="F8418" i="2"/>
  <c r="G8418" i="2"/>
  <c r="H8418" i="2"/>
  <c r="J8418" i="2"/>
  <c r="K8418" i="2"/>
  <c r="L8418" i="2"/>
  <c r="C8419" i="2"/>
  <c r="D8419" i="2"/>
  <c r="F8419" i="2"/>
  <c r="G8419" i="2"/>
  <c r="H8419" i="2"/>
  <c r="J8419" i="2"/>
  <c r="K8419" i="2"/>
  <c r="L8419" i="2"/>
  <c r="C8420" i="2"/>
  <c r="D8420" i="2"/>
  <c r="F8420" i="2"/>
  <c r="G8420" i="2"/>
  <c r="H8420" i="2"/>
  <c r="J8420" i="2"/>
  <c r="K8420" i="2"/>
  <c r="L8420" i="2"/>
  <c r="C8421" i="2"/>
  <c r="D8421" i="2"/>
  <c r="F8421" i="2"/>
  <c r="G8421" i="2"/>
  <c r="H8421" i="2"/>
  <c r="J8421" i="2"/>
  <c r="K8421" i="2"/>
  <c r="L8421" i="2"/>
  <c r="C8422" i="2"/>
  <c r="D8422" i="2"/>
  <c r="F8422" i="2"/>
  <c r="G8422" i="2"/>
  <c r="H8422" i="2"/>
  <c r="J8422" i="2"/>
  <c r="K8422" i="2"/>
  <c r="L8422" i="2"/>
  <c r="C8423" i="2"/>
  <c r="D8423" i="2"/>
  <c r="F8423" i="2"/>
  <c r="G8423" i="2"/>
  <c r="H8423" i="2"/>
  <c r="J8423" i="2"/>
  <c r="K8423" i="2"/>
  <c r="L8423" i="2"/>
  <c r="C8424" i="2"/>
  <c r="D8424" i="2"/>
  <c r="F8424" i="2"/>
  <c r="G8424" i="2"/>
  <c r="H8424" i="2"/>
  <c r="J8424" i="2"/>
  <c r="K8424" i="2"/>
  <c r="L8424" i="2"/>
  <c r="C8425" i="2"/>
  <c r="D8425" i="2"/>
  <c r="F8425" i="2"/>
  <c r="G8425" i="2"/>
  <c r="H8425" i="2"/>
  <c r="J8425" i="2"/>
  <c r="K8425" i="2"/>
  <c r="L8425" i="2"/>
  <c r="C8426" i="2"/>
  <c r="D8426" i="2"/>
  <c r="F8426" i="2"/>
  <c r="G8426" i="2"/>
  <c r="H8426" i="2"/>
  <c r="J8426" i="2"/>
  <c r="K8426" i="2"/>
  <c r="L8426" i="2"/>
  <c r="C8427" i="2"/>
  <c r="D8427" i="2"/>
  <c r="F8427" i="2"/>
  <c r="G8427" i="2"/>
  <c r="H8427" i="2"/>
  <c r="J8427" i="2"/>
  <c r="K8427" i="2"/>
  <c r="L8427" i="2"/>
  <c r="C8428" i="2"/>
  <c r="D8428" i="2"/>
  <c r="F8428" i="2"/>
  <c r="G8428" i="2"/>
  <c r="H8428" i="2"/>
  <c r="J8428" i="2"/>
  <c r="K8428" i="2"/>
  <c r="L8428" i="2"/>
  <c r="C8429" i="2"/>
  <c r="D8429" i="2"/>
  <c r="F8429" i="2"/>
  <c r="G8429" i="2"/>
  <c r="H8429" i="2"/>
  <c r="J8429" i="2"/>
  <c r="K8429" i="2"/>
  <c r="L8429" i="2"/>
  <c r="C8430" i="2"/>
  <c r="D8430" i="2"/>
  <c r="F8430" i="2"/>
  <c r="G8430" i="2"/>
  <c r="H8430" i="2"/>
  <c r="J8430" i="2"/>
  <c r="K8430" i="2"/>
  <c r="L8430" i="2"/>
  <c r="C8431" i="2"/>
  <c r="D8431" i="2"/>
  <c r="F8431" i="2"/>
  <c r="G8431" i="2"/>
  <c r="H8431" i="2"/>
  <c r="J8431" i="2"/>
  <c r="K8431" i="2"/>
  <c r="L8431" i="2"/>
  <c r="C8432" i="2"/>
  <c r="D8432" i="2"/>
  <c r="F8432" i="2"/>
  <c r="G8432" i="2"/>
  <c r="H8432" i="2"/>
  <c r="J8432" i="2"/>
  <c r="K8432" i="2"/>
  <c r="L8432" i="2"/>
  <c r="C8433" i="2"/>
  <c r="D8433" i="2"/>
  <c r="F8433" i="2"/>
  <c r="G8433" i="2"/>
  <c r="H8433" i="2"/>
  <c r="J8433" i="2"/>
  <c r="K8433" i="2"/>
  <c r="L8433" i="2"/>
  <c r="C8434" i="2"/>
  <c r="D8434" i="2"/>
  <c r="F8434" i="2"/>
  <c r="G8434" i="2"/>
  <c r="H8434" i="2"/>
  <c r="J8434" i="2"/>
  <c r="K8434" i="2"/>
  <c r="L8434" i="2"/>
  <c r="C8435" i="2"/>
  <c r="D8435" i="2"/>
  <c r="F8435" i="2"/>
  <c r="G8435" i="2"/>
  <c r="H8435" i="2"/>
  <c r="J8435" i="2"/>
  <c r="K8435" i="2"/>
  <c r="L8435" i="2"/>
  <c r="C8436" i="2"/>
  <c r="D8436" i="2"/>
  <c r="F8436" i="2"/>
  <c r="G8436" i="2"/>
  <c r="H8436" i="2"/>
  <c r="J8436" i="2"/>
  <c r="K8436" i="2"/>
  <c r="L8436" i="2"/>
  <c r="C8437" i="2"/>
  <c r="D8437" i="2"/>
  <c r="F8437" i="2"/>
  <c r="G8437" i="2"/>
  <c r="H8437" i="2"/>
  <c r="J8437" i="2"/>
  <c r="K8437" i="2"/>
  <c r="L8437" i="2"/>
  <c r="C8438" i="2"/>
  <c r="D8438" i="2"/>
  <c r="F8438" i="2"/>
  <c r="G8438" i="2"/>
  <c r="H8438" i="2"/>
  <c r="J8438" i="2"/>
  <c r="K8438" i="2"/>
  <c r="L8438" i="2"/>
  <c r="C8439" i="2"/>
  <c r="D8439" i="2"/>
  <c r="F8439" i="2"/>
  <c r="G8439" i="2"/>
  <c r="H8439" i="2"/>
  <c r="J8439" i="2"/>
  <c r="K8439" i="2"/>
  <c r="L8439" i="2"/>
  <c r="C8440" i="2"/>
  <c r="D8440" i="2"/>
  <c r="F8440" i="2"/>
  <c r="G8440" i="2"/>
  <c r="H8440" i="2"/>
  <c r="J8440" i="2"/>
  <c r="K8440" i="2"/>
  <c r="L8440" i="2"/>
  <c r="C8441" i="2"/>
  <c r="D8441" i="2"/>
  <c r="F8441" i="2"/>
  <c r="G8441" i="2"/>
  <c r="H8441" i="2"/>
  <c r="J8441" i="2"/>
  <c r="K8441" i="2"/>
  <c r="L8441" i="2"/>
  <c r="C8442" i="2"/>
  <c r="D8442" i="2"/>
  <c r="F8442" i="2"/>
  <c r="G8442" i="2"/>
  <c r="H8442" i="2"/>
  <c r="J8442" i="2"/>
  <c r="K8442" i="2"/>
  <c r="L8442" i="2"/>
  <c r="C8443" i="2"/>
  <c r="D8443" i="2"/>
  <c r="F8443" i="2"/>
  <c r="G8443" i="2"/>
  <c r="H8443" i="2"/>
  <c r="J8443" i="2"/>
  <c r="K8443" i="2"/>
  <c r="L8443" i="2"/>
  <c r="C8444" i="2"/>
  <c r="D8444" i="2"/>
  <c r="F8444" i="2"/>
  <c r="G8444" i="2"/>
  <c r="H8444" i="2"/>
  <c r="J8444" i="2"/>
  <c r="K8444" i="2"/>
  <c r="L8444" i="2"/>
  <c r="C8445" i="2"/>
  <c r="D8445" i="2"/>
  <c r="F8445" i="2"/>
  <c r="G8445" i="2"/>
  <c r="H8445" i="2"/>
  <c r="J8445" i="2"/>
  <c r="K8445" i="2"/>
  <c r="L8445" i="2"/>
  <c r="C8446" i="2"/>
  <c r="D8446" i="2"/>
  <c r="F8446" i="2"/>
  <c r="G8446" i="2"/>
  <c r="H8446" i="2"/>
  <c r="J8446" i="2"/>
  <c r="K8446" i="2"/>
  <c r="L8446" i="2"/>
  <c r="C8447" i="2"/>
  <c r="D8447" i="2"/>
  <c r="F8447" i="2"/>
  <c r="G8447" i="2"/>
  <c r="H8447" i="2"/>
  <c r="J8447" i="2"/>
  <c r="K8447" i="2"/>
  <c r="L8447" i="2"/>
  <c r="C8448" i="2"/>
  <c r="D8448" i="2"/>
  <c r="F8448" i="2"/>
  <c r="G8448" i="2"/>
  <c r="H8448" i="2"/>
  <c r="J8448" i="2"/>
  <c r="K8448" i="2"/>
  <c r="L8448" i="2"/>
  <c r="C8449" i="2"/>
  <c r="D8449" i="2"/>
  <c r="F8449" i="2"/>
  <c r="G8449" i="2"/>
  <c r="H8449" i="2"/>
  <c r="J8449" i="2"/>
  <c r="K8449" i="2"/>
  <c r="L8449" i="2"/>
  <c r="C8450" i="2"/>
  <c r="D8450" i="2"/>
  <c r="F8450" i="2"/>
  <c r="G8450" i="2"/>
  <c r="H8450" i="2"/>
  <c r="J8450" i="2"/>
  <c r="K8450" i="2"/>
  <c r="L8450" i="2"/>
  <c r="C8451" i="2"/>
  <c r="D8451" i="2"/>
  <c r="F8451" i="2"/>
  <c r="G8451" i="2"/>
  <c r="H8451" i="2"/>
  <c r="J8451" i="2"/>
  <c r="K8451" i="2"/>
  <c r="L8451" i="2"/>
  <c r="C8452" i="2"/>
  <c r="D8452" i="2"/>
  <c r="F8452" i="2"/>
  <c r="G8452" i="2"/>
  <c r="H8452" i="2"/>
  <c r="J8452" i="2"/>
  <c r="K8452" i="2"/>
  <c r="L8452" i="2"/>
  <c r="C8453" i="2"/>
  <c r="D8453" i="2"/>
  <c r="F8453" i="2"/>
  <c r="G8453" i="2"/>
  <c r="H8453" i="2"/>
  <c r="J8453" i="2"/>
  <c r="K8453" i="2"/>
  <c r="L8453" i="2"/>
  <c r="C8454" i="2"/>
  <c r="D8454" i="2"/>
  <c r="F8454" i="2"/>
  <c r="G8454" i="2"/>
  <c r="H8454" i="2"/>
  <c r="J8454" i="2"/>
  <c r="K8454" i="2"/>
  <c r="L8454" i="2"/>
  <c r="C8455" i="2"/>
  <c r="D8455" i="2"/>
  <c r="F8455" i="2"/>
  <c r="G8455" i="2"/>
  <c r="H8455" i="2"/>
  <c r="J8455" i="2"/>
  <c r="K8455" i="2"/>
  <c r="L8455" i="2"/>
  <c r="D8456" i="2"/>
  <c r="F8456" i="2"/>
  <c r="G8456" i="2"/>
  <c r="H8456" i="2"/>
  <c r="J8456" i="2"/>
  <c r="K8456" i="2"/>
  <c r="L8456" i="2"/>
  <c r="C8457" i="2"/>
  <c r="D8457" i="2"/>
  <c r="F8457" i="2"/>
  <c r="G8457" i="2"/>
  <c r="H8457" i="2"/>
  <c r="J8457" i="2"/>
  <c r="K8457" i="2"/>
  <c r="L8457" i="2"/>
  <c r="C8458" i="2"/>
  <c r="D8458" i="2"/>
  <c r="F8458" i="2"/>
  <c r="G8458" i="2"/>
  <c r="H8458" i="2"/>
  <c r="J8458" i="2"/>
  <c r="K8458" i="2"/>
  <c r="L8458" i="2"/>
  <c r="C8459" i="2"/>
  <c r="D8459" i="2"/>
  <c r="F8459" i="2"/>
  <c r="G8459" i="2"/>
  <c r="H8459" i="2"/>
  <c r="J8459" i="2"/>
  <c r="K8459" i="2"/>
  <c r="L8459" i="2"/>
  <c r="C8460" i="2"/>
  <c r="D8460" i="2"/>
  <c r="F8460" i="2"/>
  <c r="G8460" i="2"/>
  <c r="H8460" i="2"/>
  <c r="J8460" i="2"/>
  <c r="K8460" i="2"/>
  <c r="L8460" i="2"/>
  <c r="C8461" i="2"/>
  <c r="D8461" i="2"/>
  <c r="F8461" i="2"/>
  <c r="G8461" i="2"/>
  <c r="H8461" i="2"/>
  <c r="J8461" i="2"/>
  <c r="K8461" i="2"/>
  <c r="L8461" i="2"/>
  <c r="C8462" i="2"/>
  <c r="D8462" i="2"/>
  <c r="F8462" i="2"/>
  <c r="G8462" i="2"/>
  <c r="H8462" i="2"/>
  <c r="J8462" i="2"/>
  <c r="K8462" i="2"/>
  <c r="L8462" i="2"/>
  <c r="C8463" i="2"/>
  <c r="D8463" i="2"/>
  <c r="F8463" i="2"/>
  <c r="G8463" i="2"/>
  <c r="H8463" i="2"/>
  <c r="J8463" i="2"/>
  <c r="K8463" i="2"/>
  <c r="L8463" i="2"/>
  <c r="C8464" i="2"/>
  <c r="D8464" i="2"/>
  <c r="F8464" i="2"/>
  <c r="G8464" i="2"/>
  <c r="H8464" i="2"/>
  <c r="J8464" i="2"/>
  <c r="K8464" i="2"/>
  <c r="L8464" i="2"/>
  <c r="C8465" i="2"/>
  <c r="D8465" i="2"/>
  <c r="F8465" i="2"/>
  <c r="G8465" i="2"/>
  <c r="H8465" i="2"/>
  <c r="J8465" i="2"/>
  <c r="K8465" i="2"/>
  <c r="L8465" i="2"/>
  <c r="C8466" i="2"/>
  <c r="D8466" i="2"/>
  <c r="F8466" i="2"/>
  <c r="G8466" i="2"/>
  <c r="H8466" i="2"/>
  <c r="J8466" i="2"/>
  <c r="K8466" i="2"/>
  <c r="L8466" i="2"/>
  <c r="C8467" i="2"/>
  <c r="D8467" i="2"/>
  <c r="F8467" i="2"/>
  <c r="G8467" i="2"/>
  <c r="H8467" i="2"/>
  <c r="J8467" i="2"/>
  <c r="K8467" i="2"/>
  <c r="L8467" i="2"/>
  <c r="C8468" i="2"/>
  <c r="D8468" i="2"/>
  <c r="F8468" i="2"/>
  <c r="G8468" i="2"/>
  <c r="H8468" i="2"/>
  <c r="J8468" i="2"/>
  <c r="K8468" i="2"/>
  <c r="L8468" i="2"/>
  <c r="C8469" i="2"/>
  <c r="D8469" i="2"/>
  <c r="F8469" i="2"/>
  <c r="G8469" i="2"/>
  <c r="H8469" i="2"/>
  <c r="J8469" i="2"/>
  <c r="K8469" i="2"/>
  <c r="L8469" i="2"/>
  <c r="C8470" i="2"/>
  <c r="D8470" i="2"/>
  <c r="F8470" i="2"/>
  <c r="G8470" i="2"/>
  <c r="H8470" i="2"/>
  <c r="J8470" i="2"/>
  <c r="K8470" i="2"/>
  <c r="L8470" i="2"/>
  <c r="C8471" i="2"/>
  <c r="D8471" i="2"/>
  <c r="F8471" i="2"/>
  <c r="G8471" i="2"/>
  <c r="H8471" i="2"/>
  <c r="J8471" i="2"/>
  <c r="K8471" i="2"/>
  <c r="L8471" i="2"/>
  <c r="C8472" i="2"/>
  <c r="D8472" i="2"/>
  <c r="F8472" i="2"/>
  <c r="G8472" i="2"/>
  <c r="H8472" i="2"/>
  <c r="J8472" i="2"/>
  <c r="K8472" i="2"/>
  <c r="L8472" i="2"/>
  <c r="C8473" i="2"/>
  <c r="D8473" i="2"/>
  <c r="F8473" i="2"/>
  <c r="G8473" i="2"/>
  <c r="H8473" i="2"/>
  <c r="J8473" i="2"/>
  <c r="K8473" i="2"/>
  <c r="L8473" i="2"/>
  <c r="C8474" i="2"/>
  <c r="D8474" i="2"/>
  <c r="F8474" i="2"/>
  <c r="G8474" i="2"/>
  <c r="H8474" i="2"/>
  <c r="J8474" i="2"/>
  <c r="K8474" i="2"/>
  <c r="L8474" i="2"/>
  <c r="C8475" i="2"/>
  <c r="D8475" i="2"/>
  <c r="F8475" i="2"/>
  <c r="G8475" i="2"/>
  <c r="H8475" i="2"/>
  <c r="J8475" i="2"/>
  <c r="K8475" i="2"/>
  <c r="L8475" i="2"/>
  <c r="C8476" i="2"/>
  <c r="D8476" i="2"/>
  <c r="F8476" i="2"/>
  <c r="G8476" i="2"/>
  <c r="H8476" i="2"/>
  <c r="J8476" i="2"/>
  <c r="K8476" i="2"/>
  <c r="L8476" i="2"/>
  <c r="C8477" i="2"/>
  <c r="D8477" i="2"/>
  <c r="F8477" i="2"/>
  <c r="G8477" i="2"/>
  <c r="H8477" i="2"/>
  <c r="J8477" i="2"/>
  <c r="K8477" i="2"/>
  <c r="L8477" i="2"/>
  <c r="C8478" i="2"/>
  <c r="D8478" i="2"/>
  <c r="F8478" i="2"/>
  <c r="G8478" i="2"/>
  <c r="H8478" i="2"/>
  <c r="J8478" i="2"/>
  <c r="K8478" i="2"/>
  <c r="L8478" i="2"/>
  <c r="C8479" i="2"/>
  <c r="D8479" i="2"/>
  <c r="F8479" i="2"/>
  <c r="G8479" i="2"/>
  <c r="H8479" i="2"/>
  <c r="J8479" i="2"/>
  <c r="K8479" i="2"/>
  <c r="L8479" i="2"/>
  <c r="C8480" i="2"/>
  <c r="D8480" i="2"/>
  <c r="F8480" i="2"/>
  <c r="G8480" i="2"/>
  <c r="H8480" i="2"/>
  <c r="J8480" i="2"/>
  <c r="K8480" i="2"/>
  <c r="L8480" i="2"/>
  <c r="C8481" i="2"/>
  <c r="D8481" i="2"/>
  <c r="F8481" i="2"/>
  <c r="G8481" i="2"/>
  <c r="H8481" i="2"/>
  <c r="J8481" i="2"/>
  <c r="K8481" i="2"/>
  <c r="L8481" i="2"/>
  <c r="C8482" i="2"/>
  <c r="D8482" i="2"/>
  <c r="F8482" i="2"/>
  <c r="G8482" i="2"/>
  <c r="H8482" i="2"/>
  <c r="J8482" i="2"/>
  <c r="K8482" i="2"/>
  <c r="L8482" i="2"/>
  <c r="C8483" i="2"/>
  <c r="D8483" i="2"/>
  <c r="F8483" i="2"/>
  <c r="G8483" i="2"/>
  <c r="H8483" i="2"/>
  <c r="J8483" i="2"/>
  <c r="K8483" i="2"/>
  <c r="L8483" i="2"/>
  <c r="C8484" i="2"/>
  <c r="D8484" i="2"/>
  <c r="F8484" i="2"/>
  <c r="G8484" i="2"/>
  <c r="H8484" i="2"/>
  <c r="J8484" i="2"/>
  <c r="K8484" i="2"/>
  <c r="L8484" i="2"/>
  <c r="C8485" i="2"/>
  <c r="D8485" i="2"/>
  <c r="F8485" i="2"/>
  <c r="G8485" i="2"/>
  <c r="H8485" i="2"/>
  <c r="J8485" i="2"/>
  <c r="K8485" i="2"/>
  <c r="L8485" i="2"/>
  <c r="C8486" i="2"/>
  <c r="D8486" i="2"/>
  <c r="F8486" i="2"/>
  <c r="G8486" i="2"/>
  <c r="H8486" i="2"/>
  <c r="J8486" i="2"/>
  <c r="K8486" i="2"/>
  <c r="L8486" i="2"/>
  <c r="C8487" i="2"/>
  <c r="D8487" i="2"/>
  <c r="F8487" i="2"/>
  <c r="G8487" i="2"/>
  <c r="H8487" i="2"/>
  <c r="J8487" i="2"/>
  <c r="K8487" i="2"/>
  <c r="L8487" i="2"/>
  <c r="C8488" i="2"/>
  <c r="D8488" i="2"/>
  <c r="F8488" i="2"/>
  <c r="G8488" i="2"/>
  <c r="H8488" i="2"/>
  <c r="J8488" i="2"/>
  <c r="K8488" i="2"/>
  <c r="L8488" i="2"/>
  <c r="C8489" i="2"/>
  <c r="D8489" i="2"/>
  <c r="F8489" i="2"/>
  <c r="G8489" i="2"/>
  <c r="H8489" i="2"/>
  <c r="J8489" i="2"/>
  <c r="K8489" i="2"/>
  <c r="L8489" i="2"/>
  <c r="C8490" i="2"/>
  <c r="D8490" i="2"/>
  <c r="F8490" i="2"/>
  <c r="G8490" i="2"/>
  <c r="H8490" i="2"/>
  <c r="J8490" i="2"/>
  <c r="K8490" i="2"/>
  <c r="L8490" i="2"/>
  <c r="C8491" i="2"/>
  <c r="D8491" i="2"/>
  <c r="F8491" i="2"/>
  <c r="G8491" i="2"/>
  <c r="H8491" i="2"/>
  <c r="J8491" i="2"/>
  <c r="K8491" i="2"/>
  <c r="L8491" i="2"/>
  <c r="C8492" i="2"/>
  <c r="D8492" i="2"/>
  <c r="F8492" i="2"/>
  <c r="G8492" i="2"/>
  <c r="H8492" i="2"/>
  <c r="J8492" i="2"/>
  <c r="K8492" i="2"/>
  <c r="L8492" i="2"/>
  <c r="C8493" i="2"/>
  <c r="D8493" i="2"/>
  <c r="F8493" i="2"/>
  <c r="G8493" i="2"/>
  <c r="H8493" i="2"/>
  <c r="J8493" i="2"/>
  <c r="K8493" i="2"/>
  <c r="L8493" i="2"/>
  <c r="C8494" i="2"/>
  <c r="D8494" i="2"/>
  <c r="F8494" i="2"/>
  <c r="G8494" i="2"/>
  <c r="H8494" i="2"/>
  <c r="J8494" i="2"/>
  <c r="K8494" i="2"/>
  <c r="L8494" i="2"/>
  <c r="C8495" i="2"/>
  <c r="D8495" i="2"/>
  <c r="F8495" i="2"/>
  <c r="G8495" i="2"/>
  <c r="H8495" i="2"/>
  <c r="J8495" i="2"/>
  <c r="K8495" i="2"/>
  <c r="L8495" i="2"/>
  <c r="C8496" i="2"/>
  <c r="D8496" i="2"/>
  <c r="F8496" i="2"/>
  <c r="G8496" i="2"/>
  <c r="H8496" i="2"/>
  <c r="J8496" i="2"/>
  <c r="K8496" i="2"/>
  <c r="L8496" i="2"/>
  <c r="C8497" i="2"/>
  <c r="D8497" i="2"/>
  <c r="F8497" i="2"/>
  <c r="G8497" i="2"/>
  <c r="H8497" i="2"/>
  <c r="J8497" i="2"/>
  <c r="K8497" i="2"/>
  <c r="L8497" i="2"/>
  <c r="C8498" i="2"/>
  <c r="D8498" i="2"/>
  <c r="F8498" i="2"/>
  <c r="G8498" i="2"/>
  <c r="H8498" i="2"/>
  <c r="J8498" i="2"/>
  <c r="K8498" i="2"/>
  <c r="L8498" i="2"/>
  <c r="C8499" i="2"/>
  <c r="D8499" i="2"/>
  <c r="F8499" i="2"/>
  <c r="G8499" i="2"/>
  <c r="H8499" i="2"/>
  <c r="J8499" i="2"/>
  <c r="K8499" i="2"/>
  <c r="L8499" i="2"/>
  <c r="C8500" i="2"/>
  <c r="D8500" i="2"/>
  <c r="F8500" i="2"/>
  <c r="G8500" i="2"/>
  <c r="H8500" i="2"/>
  <c r="J8500" i="2"/>
  <c r="K8500" i="2"/>
  <c r="L8500" i="2"/>
  <c r="C8501" i="2"/>
  <c r="D8501" i="2"/>
  <c r="F8501" i="2"/>
  <c r="G8501" i="2"/>
  <c r="H8501" i="2"/>
  <c r="J8501" i="2"/>
  <c r="K8501" i="2"/>
  <c r="L8501" i="2"/>
  <c r="C8502" i="2"/>
  <c r="D8502" i="2"/>
  <c r="F8502" i="2"/>
  <c r="G8502" i="2"/>
  <c r="H8502" i="2"/>
  <c r="J8502" i="2"/>
  <c r="K8502" i="2"/>
  <c r="L8502" i="2"/>
  <c r="C8503" i="2"/>
  <c r="D8503" i="2"/>
  <c r="F8503" i="2"/>
  <c r="G8503" i="2"/>
  <c r="H8503" i="2"/>
  <c r="J8503" i="2"/>
  <c r="K8503" i="2"/>
  <c r="L8503" i="2"/>
  <c r="C8504" i="2"/>
  <c r="D8504" i="2"/>
  <c r="F8504" i="2"/>
  <c r="G8504" i="2"/>
  <c r="H8504" i="2"/>
  <c r="J8504" i="2"/>
  <c r="K8504" i="2"/>
  <c r="L8504" i="2"/>
  <c r="C8505" i="2"/>
  <c r="D8505" i="2"/>
  <c r="F8505" i="2"/>
  <c r="G8505" i="2"/>
  <c r="H8505" i="2"/>
  <c r="J8505" i="2"/>
  <c r="K8505" i="2"/>
  <c r="L8505" i="2"/>
  <c r="C8506" i="2"/>
  <c r="D8506" i="2"/>
  <c r="F8506" i="2"/>
  <c r="G8506" i="2"/>
  <c r="H8506" i="2"/>
  <c r="J8506" i="2"/>
  <c r="K8506" i="2"/>
  <c r="L8506" i="2"/>
  <c r="C8507" i="2"/>
  <c r="D8507" i="2"/>
  <c r="F8507" i="2"/>
  <c r="G8507" i="2"/>
  <c r="H8507" i="2"/>
  <c r="J8507" i="2"/>
  <c r="K8507" i="2"/>
  <c r="L8507" i="2"/>
  <c r="C8508" i="2"/>
  <c r="D8508" i="2"/>
  <c r="F8508" i="2"/>
  <c r="G8508" i="2"/>
  <c r="H8508" i="2"/>
  <c r="J8508" i="2"/>
  <c r="K8508" i="2"/>
  <c r="L8508" i="2"/>
  <c r="C8509" i="2"/>
  <c r="D8509" i="2"/>
  <c r="F8509" i="2"/>
  <c r="G8509" i="2"/>
  <c r="H8509" i="2"/>
  <c r="J8509" i="2"/>
  <c r="K8509" i="2"/>
  <c r="L8509" i="2"/>
  <c r="C8510" i="2"/>
  <c r="D8510" i="2"/>
  <c r="F8510" i="2"/>
  <c r="G8510" i="2"/>
  <c r="H8510" i="2"/>
  <c r="J8510" i="2"/>
  <c r="K8510" i="2"/>
  <c r="L8510" i="2"/>
  <c r="C8511" i="2"/>
  <c r="D8511" i="2"/>
  <c r="F8511" i="2"/>
  <c r="G8511" i="2"/>
  <c r="H8511" i="2"/>
  <c r="J8511" i="2"/>
  <c r="K8511" i="2"/>
  <c r="L8511" i="2"/>
  <c r="C8512" i="2"/>
  <c r="D8512" i="2"/>
  <c r="F8512" i="2"/>
  <c r="G8512" i="2"/>
  <c r="H8512" i="2"/>
  <c r="J8512" i="2"/>
  <c r="K8512" i="2"/>
  <c r="L8512" i="2"/>
  <c r="C8513" i="2"/>
  <c r="D8513" i="2"/>
  <c r="F8513" i="2"/>
  <c r="G8513" i="2"/>
  <c r="H8513" i="2"/>
  <c r="J8513" i="2"/>
  <c r="K8513" i="2"/>
  <c r="L8513" i="2"/>
  <c r="C8514" i="2"/>
  <c r="D8514" i="2"/>
  <c r="F8514" i="2"/>
  <c r="G8514" i="2"/>
  <c r="H8514" i="2"/>
  <c r="J8514" i="2"/>
  <c r="K8514" i="2"/>
  <c r="L8514" i="2"/>
  <c r="C8515" i="2"/>
  <c r="D8515" i="2"/>
  <c r="F8515" i="2"/>
  <c r="G8515" i="2"/>
  <c r="H8515" i="2"/>
  <c r="J8515" i="2"/>
  <c r="K8515" i="2"/>
  <c r="L8515" i="2"/>
  <c r="C8516" i="2"/>
  <c r="D8516" i="2"/>
  <c r="F8516" i="2"/>
  <c r="G8516" i="2"/>
  <c r="H8516" i="2"/>
  <c r="J8516" i="2"/>
  <c r="K8516" i="2"/>
  <c r="L8516" i="2"/>
  <c r="C8517" i="2"/>
  <c r="D8517" i="2"/>
  <c r="F8517" i="2"/>
  <c r="G8517" i="2"/>
  <c r="H8517" i="2"/>
  <c r="J8517" i="2"/>
  <c r="K8517" i="2"/>
  <c r="L8517" i="2"/>
  <c r="C8518" i="2"/>
  <c r="D8518" i="2"/>
  <c r="F8518" i="2"/>
  <c r="G8518" i="2"/>
  <c r="H8518" i="2"/>
  <c r="J8518" i="2"/>
  <c r="K8518" i="2"/>
  <c r="L8518" i="2"/>
  <c r="C8519" i="2"/>
  <c r="D8519" i="2"/>
  <c r="F8519" i="2"/>
  <c r="G8519" i="2"/>
  <c r="H8519" i="2"/>
  <c r="J8519" i="2"/>
  <c r="K8519" i="2"/>
  <c r="L8519" i="2"/>
  <c r="C8520" i="2"/>
  <c r="D8520" i="2"/>
  <c r="F8520" i="2"/>
  <c r="G8520" i="2"/>
  <c r="H8520" i="2"/>
  <c r="J8520" i="2"/>
  <c r="K8520" i="2"/>
  <c r="L8520" i="2"/>
  <c r="C8521" i="2"/>
  <c r="D8521" i="2"/>
  <c r="F8521" i="2"/>
  <c r="G8521" i="2"/>
  <c r="H8521" i="2"/>
  <c r="J8521" i="2"/>
  <c r="K8521" i="2"/>
  <c r="L8521" i="2"/>
  <c r="C8522" i="2"/>
  <c r="D8522" i="2"/>
  <c r="F8522" i="2"/>
  <c r="G8522" i="2"/>
  <c r="H8522" i="2"/>
  <c r="J8522" i="2"/>
  <c r="K8522" i="2"/>
  <c r="L8522" i="2"/>
  <c r="C8523" i="2"/>
  <c r="D8523" i="2"/>
  <c r="F8523" i="2"/>
  <c r="G8523" i="2"/>
  <c r="H8523" i="2"/>
  <c r="J8523" i="2"/>
  <c r="K8523" i="2"/>
  <c r="L8523" i="2"/>
  <c r="C8524" i="2"/>
  <c r="D8524" i="2"/>
  <c r="F8524" i="2"/>
  <c r="G8524" i="2"/>
  <c r="H8524" i="2"/>
  <c r="J8524" i="2"/>
  <c r="K8524" i="2"/>
  <c r="L8524" i="2"/>
  <c r="C8525" i="2"/>
  <c r="D8525" i="2"/>
  <c r="F8525" i="2"/>
  <c r="G8525" i="2"/>
  <c r="H8525" i="2"/>
  <c r="J8525" i="2"/>
  <c r="K8525" i="2"/>
  <c r="L8525" i="2"/>
  <c r="C8526" i="2"/>
  <c r="D8526" i="2"/>
  <c r="F8526" i="2"/>
  <c r="G8526" i="2"/>
  <c r="H8526" i="2"/>
  <c r="J8526" i="2"/>
  <c r="K8526" i="2"/>
  <c r="L8526" i="2"/>
  <c r="C8527" i="2"/>
  <c r="D8527" i="2"/>
  <c r="F8527" i="2"/>
  <c r="G8527" i="2"/>
  <c r="H8527" i="2"/>
  <c r="J8527" i="2"/>
  <c r="K8527" i="2"/>
  <c r="L8527" i="2"/>
  <c r="C8528" i="2"/>
  <c r="D8528" i="2"/>
  <c r="F8528" i="2"/>
  <c r="G8528" i="2"/>
  <c r="H8528" i="2"/>
  <c r="J8528" i="2"/>
  <c r="K8528" i="2"/>
  <c r="L8528" i="2"/>
  <c r="C8529" i="2"/>
  <c r="D8529" i="2"/>
  <c r="F8529" i="2"/>
  <c r="G8529" i="2"/>
  <c r="H8529" i="2"/>
  <c r="J8529" i="2"/>
  <c r="K8529" i="2"/>
  <c r="L8529" i="2"/>
  <c r="C8530" i="2"/>
  <c r="D8530" i="2"/>
  <c r="F8530" i="2"/>
  <c r="G8530" i="2"/>
  <c r="H8530" i="2"/>
  <c r="J8530" i="2"/>
  <c r="K8530" i="2"/>
  <c r="L8530" i="2"/>
  <c r="C8531" i="2"/>
  <c r="D8531" i="2"/>
  <c r="F8531" i="2"/>
  <c r="G8531" i="2"/>
  <c r="H8531" i="2"/>
  <c r="J8531" i="2"/>
  <c r="K8531" i="2"/>
  <c r="L8531" i="2"/>
  <c r="C8532" i="2"/>
  <c r="D8532" i="2"/>
  <c r="F8532" i="2"/>
  <c r="G8532" i="2"/>
  <c r="H8532" i="2"/>
  <c r="J8532" i="2"/>
  <c r="K8532" i="2"/>
  <c r="L8532" i="2"/>
  <c r="C8533" i="2"/>
  <c r="D8533" i="2"/>
  <c r="F8533" i="2"/>
  <c r="G8533" i="2"/>
  <c r="H8533" i="2"/>
  <c r="J8533" i="2"/>
  <c r="K8533" i="2"/>
  <c r="L8533" i="2"/>
  <c r="C8534" i="2"/>
  <c r="D8534" i="2"/>
  <c r="F8534" i="2"/>
  <c r="G8534" i="2"/>
  <c r="H8534" i="2"/>
  <c r="J8534" i="2"/>
  <c r="K8534" i="2"/>
  <c r="L8534" i="2"/>
  <c r="C8535" i="2"/>
  <c r="D8535" i="2"/>
  <c r="F8535" i="2"/>
  <c r="G8535" i="2"/>
  <c r="H8535" i="2"/>
  <c r="J8535" i="2"/>
  <c r="K8535" i="2"/>
  <c r="L8535" i="2"/>
  <c r="C8536" i="2"/>
  <c r="D8536" i="2"/>
  <c r="F8536" i="2"/>
  <c r="G8536" i="2"/>
  <c r="H8536" i="2"/>
  <c r="J8536" i="2"/>
  <c r="K8536" i="2"/>
  <c r="L8536" i="2"/>
  <c r="C8537" i="2"/>
  <c r="D8537" i="2"/>
  <c r="F8537" i="2"/>
  <c r="G8537" i="2"/>
  <c r="H8537" i="2"/>
  <c r="J8537" i="2"/>
  <c r="K8537" i="2"/>
  <c r="L8537" i="2"/>
  <c r="C8538" i="2"/>
  <c r="D8538" i="2"/>
  <c r="F8538" i="2"/>
  <c r="G8538" i="2"/>
  <c r="H8538" i="2"/>
  <c r="J8538" i="2"/>
  <c r="K8538" i="2"/>
  <c r="L8538" i="2"/>
  <c r="C8539" i="2"/>
  <c r="D8539" i="2"/>
  <c r="F8539" i="2"/>
  <c r="G8539" i="2"/>
  <c r="H8539" i="2"/>
  <c r="J8539" i="2"/>
  <c r="K8539" i="2"/>
  <c r="L8539" i="2"/>
  <c r="C8540" i="2"/>
  <c r="D8540" i="2"/>
  <c r="F8540" i="2"/>
  <c r="G8540" i="2"/>
  <c r="H8540" i="2"/>
  <c r="J8540" i="2"/>
  <c r="K8540" i="2"/>
  <c r="L8540" i="2"/>
  <c r="C8541" i="2"/>
  <c r="D8541" i="2"/>
  <c r="F8541" i="2"/>
  <c r="G8541" i="2"/>
  <c r="H8541" i="2"/>
  <c r="J8541" i="2"/>
  <c r="K8541" i="2"/>
  <c r="L8541" i="2"/>
  <c r="C8542" i="2"/>
  <c r="D8542" i="2"/>
  <c r="F8542" i="2"/>
  <c r="G8542" i="2"/>
  <c r="H8542" i="2"/>
  <c r="J8542" i="2"/>
  <c r="K8542" i="2"/>
  <c r="L8542" i="2"/>
  <c r="C8543" i="2"/>
  <c r="D8543" i="2"/>
  <c r="F8543" i="2"/>
  <c r="G8543" i="2"/>
  <c r="H8543" i="2"/>
  <c r="J8543" i="2"/>
  <c r="K8543" i="2"/>
  <c r="L8543" i="2"/>
  <c r="C8544" i="2"/>
  <c r="D8544" i="2"/>
  <c r="F8544" i="2"/>
  <c r="G8544" i="2"/>
  <c r="H8544" i="2"/>
  <c r="J8544" i="2"/>
  <c r="K8544" i="2"/>
  <c r="L8544" i="2"/>
  <c r="C8545" i="2"/>
  <c r="D8545" i="2"/>
  <c r="F8545" i="2"/>
  <c r="G8545" i="2"/>
  <c r="H8545" i="2"/>
  <c r="J8545" i="2"/>
  <c r="K8545" i="2"/>
  <c r="L8545" i="2"/>
  <c r="C8546" i="2"/>
  <c r="D8546" i="2"/>
  <c r="F8546" i="2"/>
  <c r="G8546" i="2"/>
  <c r="H8546" i="2"/>
  <c r="J8546" i="2"/>
  <c r="K8546" i="2"/>
  <c r="L8546" i="2"/>
  <c r="C8547" i="2"/>
  <c r="D8547" i="2"/>
  <c r="F8547" i="2"/>
  <c r="G8547" i="2"/>
  <c r="H8547" i="2"/>
  <c r="J8547" i="2"/>
  <c r="K8547" i="2"/>
  <c r="L8547" i="2"/>
  <c r="C8548" i="2"/>
  <c r="D8548" i="2"/>
  <c r="F8548" i="2"/>
  <c r="G8548" i="2"/>
  <c r="H8548" i="2"/>
  <c r="J8548" i="2"/>
  <c r="K8548" i="2"/>
  <c r="L8548" i="2"/>
  <c r="C8549" i="2"/>
  <c r="D8549" i="2"/>
  <c r="F8549" i="2"/>
  <c r="G8549" i="2"/>
  <c r="H8549" i="2"/>
  <c r="J8549" i="2"/>
  <c r="K8549" i="2"/>
  <c r="L8549" i="2"/>
  <c r="C8550" i="2"/>
  <c r="D8550" i="2"/>
  <c r="F8550" i="2"/>
  <c r="G8550" i="2"/>
  <c r="H8550" i="2"/>
  <c r="J8550" i="2"/>
  <c r="K8550" i="2"/>
  <c r="L8550" i="2"/>
  <c r="C8551" i="2"/>
  <c r="D8551" i="2"/>
  <c r="F8551" i="2"/>
  <c r="G8551" i="2"/>
  <c r="H8551" i="2"/>
  <c r="J8551" i="2"/>
  <c r="K8551" i="2"/>
  <c r="L8551" i="2"/>
  <c r="C8552" i="2"/>
  <c r="D8552" i="2"/>
  <c r="F8552" i="2"/>
  <c r="G8552" i="2"/>
  <c r="H8552" i="2"/>
  <c r="J8552" i="2"/>
  <c r="K8552" i="2"/>
  <c r="L8552" i="2"/>
  <c r="C8553" i="2"/>
  <c r="D8553" i="2"/>
  <c r="F8553" i="2"/>
  <c r="G8553" i="2"/>
  <c r="H8553" i="2"/>
  <c r="J8553" i="2"/>
  <c r="K8553" i="2"/>
  <c r="L8553" i="2"/>
  <c r="C8554" i="2"/>
  <c r="D8554" i="2"/>
  <c r="F8554" i="2"/>
  <c r="G8554" i="2"/>
  <c r="H8554" i="2"/>
  <c r="J8554" i="2"/>
  <c r="K8554" i="2"/>
  <c r="L8554" i="2"/>
  <c r="C8555" i="2"/>
  <c r="D8555" i="2"/>
  <c r="F8555" i="2"/>
  <c r="G8555" i="2"/>
  <c r="H8555" i="2"/>
  <c r="J8555" i="2"/>
  <c r="K8555" i="2"/>
  <c r="L8555" i="2"/>
  <c r="C8556" i="2"/>
  <c r="D8556" i="2"/>
  <c r="F8556" i="2"/>
  <c r="G8556" i="2"/>
  <c r="H8556" i="2"/>
  <c r="J8556" i="2"/>
  <c r="K8556" i="2"/>
  <c r="L8556" i="2"/>
  <c r="C8557" i="2"/>
  <c r="D8557" i="2"/>
  <c r="F8557" i="2"/>
  <c r="G8557" i="2"/>
  <c r="H8557" i="2"/>
  <c r="J8557" i="2"/>
  <c r="K8557" i="2"/>
  <c r="L8557" i="2"/>
  <c r="C8558" i="2"/>
  <c r="D8558" i="2"/>
  <c r="F8558" i="2"/>
  <c r="G8558" i="2"/>
  <c r="H8558" i="2"/>
  <c r="J8558" i="2"/>
  <c r="K8558" i="2"/>
  <c r="L8558" i="2"/>
  <c r="C8559" i="2"/>
  <c r="D8559" i="2"/>
  <c r="F8559" i="2"/>
  <c r="G8559" i="2"/>
  <c r="H8559" i="2"/>
  <c r="J8559" i="2"/>
  <c r="K8559" i="2"/>
  <c r="L8559" i="2"/>
  <c r="C8560" i="2"/>
  <c r="D8560" i="2"/>
  <c r="F8560" i="2"/>
  <c r="G8560" i="2"/>
  <c r="H8560" i="2"/>
  <c r="J8560" i="2"/>
  <c r="K8560" i="2"/>
  <c r="L8560" i="2"/>
  <c r="C8561" i="2"/>
  <c r="D8561" i="2"/>
  <c r="F8561" i="2"/>
  <c r="G8561" i="2"/>
  <c r="H8561" i="2"/>
  <c r="J8561" i="2"/>
  <c r="K8561" i="2"/>
  <c r="L8561" i="2"/>
  <c r="C8562" i="2"/>
  <c r="D8562" i="2"/>
  <c r="F8562" i="2"/>
  <c r="G8562" i="2"/>
  <c r="H8562" i="2"/>
  <c r="J8562" i="2"/>
  <c r="K8562" i="2"/>
  <c r="L8562" i="2"/>
  <c r="C8563" i="2"/>
  <c r="D8563" i="2"/>
  <c r="F8563" i="2"/>
  <c r="G8563" i="2"/>
  <c r="H8563" i="2"/>
  <c r="J8563" i="2"/>
  <c r="K8563" i="2"/>
  <c r="L8563" i="2"/>
  <c r="C8564" i="2"/>
  <c r="D8564" i="2"/>
  <c r="F8564" i="2"/>
  <c r="G8564" i="2"/>
  <c r="H8564" i="2"/>
  <c r="J8564" i="2"/>
  <c r="K8564" i="2"/>
  <c r="L8564" i="2"/>
  <c r="C8565" i="2"/>
  <c r="D8565" i="2"/>
  <c r="F8565" i="2"/>
  <c r="G8565" i="2"/>
  <c r="H8565" i="2"/>
  <c r="J8565" i="2"/>
  <c r="K8565" i="2"/>
  <c r="L8565" i="2"/>
  <c r="C8566" i="2"/>
  <c r="D8566" i="2"/>
  <c r="F8566" i="2"/>
  <c r="G8566" i="2"/>
  <c r="H8566" i="2"/>
  <c r="J8566" i="2"/>
  <c r="K8566" i="2"/>
  <c r="L8566" i="2"/>
  <c r="C8567" i="2"/>
  <c r="D8567" i="2"/>
  <c r="F8567" i="2"/>
  <c r="G8567" i="2"/>
  <c r="H8567" i="2"/>
  <c r="J8567" i="2"/>
  <c r="K8567" i="2"/>
  <c r="L8567" i="2"/>
  <c r="C8568" i="2"/>
  <c r="D8568" i="2"/>
  <c r="F8568" i="2"/>
  <c r="G8568" i="2"/>
  <c r="H8568" i="2"/>
  <c r="J8568" i="2"/>
  <c r="K8568" i="2"/>
  <c r="L8568" i="2"/>
  <c r="C8569" i="2"/>
  <c r="D8569" i="2"/>
  <c r="F8569" i="2"/>
  <c r="G8569" i="2"/>
  <c r="H8569" i="2"/>
  <c r="J8569" i="2"/>
  <c r="K8569" i="2"/>
  <c r="L8569" i="2"/>
  <c r="C8570" i="2"/>
  <c r="D8570" i="2"/>
  <c r="F8570" i="2"/>
  <c r="G8570" i="2"/>
  <c r="H8570" i="2"/>
  <c r="J8570" i="2"/>
  <c r="K8570" i="2"/>
  <c r="L8570" i="2"/>
  <c r="C8571" i="2"/>
  <c r="D8571" i="2"/>
  <c r="F8571" i="2"/>
  <c r="G8571" i="2"/>
  <c r="H8571" i="2"/>
  <c r="J8571" i="2"/>
  <c r="K8571" i="2"/>
  <c r="L8571" i="2"/>
  <c r="C8572" i="2"/>
  <c r="D8572" i="2"/>
  <c r="F8572" i="2"/>
  <c r="G8572" i="2"/>
  <c r="H8572" i="2"/>
  <c r="J8572" i="2"/>
  <c r="K8572" i="2"/>
  <c r="L8572" i="2"/>
  <c r="C8573" i="2"/>
  <c r="D8573" i="2"/>
  <c r="F8573" i="2"/>
  <c r="G8573" i="2"/>
  <c r="H8573" i="2"/>
  <c r="J8573" i="2"/>
  <c r="K8573" i="2"/>
  <c r="L8573" i="2"/>
  <c r="C8574" i="2"/>
  <c r="D8574" i="2"/>
  <c r="F8574" i="2"/>
  <c r="G8574" i="2"/>
  <c r="H8574" i="2"/>
  <c r="J8574" i="2"/>
  <c r="K8574" i="2"/>
  <c r="L8574" i="2"/>
  <c r="C8575" i="2"/>
  <c r="D8575" i="2"/>
  <c r="F8575" i="2"/>
  <c r="G8575" i="2"/>
  <c r="H8575" i="2"/>
  <c r="J8575" i="2"/>
  <c r="K8575" i="2"/>
  <c r="L8575" i="2"/>
  <c r="C8576" i="2"/>
  <c r="D8576" i="2"/>
  <c r="F8576" i="2"/>
  <c r="G8576" i="2"/>
  <c r="H8576" i="2"/>
  <c r="J8576" i="2"/>
  <c r="K8576" i="2"/>
  <c r="L8576" i="2"/>
  <c r="C8577" i="2"/>
  <c r="D8577" i="2"/>
  <c r="F8577" i="2"/>
  <c r="G8577" i="2"/>
  <c r="H8577" i="2"/>
  <c r="J8577" i="2"/>
  <c r="K8577" i="2"/>
  <c r="L8577" i="2"/>
  <c r="C8578" i="2"/>
  <c r="D8578" i="2"/>
  <c r="F8578" i="2"/>
  <c r="G8578" i="2"/>
  <c r="H8578" i="2"/>
  <c r="J8578" i="2"/>
  <c r="K8578" i="2"/>
  <c r="L8578" i="2"/>
  <c r="C8579" i="2"/>
  <c r="D8579" i="2"/>
  <c r="F8579" i="2"/>
  <c r="G8579" i="2"/>
  <c r="H8579" i="2"/>
  <c r="J8579" i="2"/>
  <c r="K8579" i="2"/>
  <c r="L8579" i="2"/>
  <c r="C8580" i="2"/>
  <c r="D8580" i="2"/>
  <c r="F8580" i="2"/>
  <c r="G8580" i="2"/>
  <c r="H8580" i="2"/>
  <c r="J8580" i="2"/>
  <c r="K8580" i="2"/>
  <c r="L8580" i="2"/>
  <c r="C8581" i="2"/>
  <c r="D8581" i="2"/>
  <c r="F8581" i="2"/>
  <c r="G8581" i="2"/>
  <c r="H8581" i="2"/>
  <c r="J8581" i="2"/>
  <c r="K8581" i="2"/>
  <c r="L8581" i="2"/>
  <c r="C8582" i="2"/>
  <c r="D8582" i="2"/>
  <c r="F8582" i="2"/>
  <c r="G8582" i="2"/>
  <c r="H8582" i="2"/>
  <c r="J8582" i="2"/>
  <c r="K8582" i="2"/>
  <c r="L8582" i="2"/>
  <c r="C8583" i="2"/>
  <c r="D8583" i="2"/>
  <c r="F8583" i="2"/>
  <c r="G8583" i="2"/>
  <c r="H8583" i="2"/>
  <c r="J8583" i="2"/>
  <c r="K8583" i="2"/>
  <c r="L8583" i="2"/>
  <c r="C8584" i="2"/>
  <c r="D8584" i="2"/>
  <c r="F8584" i="2"/>
  <c r="G8584" i="2"/>
  <c r="H8584" i="2"/>
  <c r="J8584" i="2"/>
  <c r="K8584" i="2"/>
  <c r="L8584" i="2"/>
  <c r="C8585" i="2"/>
  <c r="D8585" i="2"/>
  <c r="F8585" i="2"/>
  <c r="G8585" i="2"/>
  <c r="H8585" i="2"/>
  <c r="J8585" i="2"/>
  <c r="K8585" i="2"/>
  <c r="L8585" i="2"/>
  <c r="C8586" i="2"/>
  <c r="D8586" i="2"/>
  <c r="F8586" i="2"/>
  <c r="G8586" i="2"/>
  <c r="H8586" i="2"/>
  <c r="J8586" i="2"/>
  <c r="K8586" i="2"/>
  <c r="L8586" i="2"/>
  <c r="C8587" i="2"/>
  <c r="D8587" i="2"/>
  <c r="F8587" i="2"/>
  <c r="G8587" i="2"/>
  <c r="H8587" i="2"/>
  <c r="J8587" i="2"/>
  <c r="K8587" i="2"/>
  <c r="L8587" i="2"/>
  <c r="C8588" i="2"/>
  <c r="D8588" i="2"/>
  <c r="F8588" i="2"/>
  <c r="G8588" i="2"/>
  <c r="H8588" i="2"/>
  <c r="J8588" i="2"/>
  <c r="K8588" i="2"/>
  <c r="L8588" i="2"/>
  <c r="C8589" i="2"/>
  <c r="D8589" i="2"/>
  <c r="F8589" i="2"/>
  <c r="G8589" i="2"/>
  <c r="H8589" i="2"/>
  <c r="J8589" i="2"/>
  <c r="K8589" i="2"/>
  <c r="L8589" i="2"/>
  <c r="C8590" i="2"/>
  <c r="D8590" i="2"/>
  <c r="F8590" i="2"/>
  <c r="G8590" i="2"/>
  <c r="H8590" i="2"/>
  <c r="J8590" i="2"/>
  <c r="K8590" i="2"/>
  <c r="L8590" i="2"/>
  <c r="C8591" i="2"/>
  <c r="D8591" i="2"/>
  <c r="F8591" i="2"/>
  <c r="G8591" i="2"/>
  <c r="H8591" i="2"/>
  <c r="J8591" i="2"/>
  <c r="K8591" i="2"/>
  <c r="L8591" i="2"/>
  <c r="C8592" i="2"/>
  <c r="D8592" i="2"/>
  <c r="F8592" i="2"/>
  <c r="G8592" i="2"/>
  <c r="H8592" i="2"/>
  <c r="J8592" i="2"/>
  <c r="K8592" i="2"/>
  <c r="L8592" i="2"/>
  <c r="C8593" i="2"/>
  <c r="D8593" i="2"/>
  <c r="F8593" i="2"/>
  <c r="G8593" i="2"/>
  <c r="H8593" i="2"/>
  <c r="J8593" i="2"/>
  <c r="K8593" i="2"/>
  <c r="L8593" i="2"/>
  <c r="C8594" i="2"/>
  <c r="D8594" i="2"/>
  <c r="F8594" i="2"/>
  <c r="G8594" i="2"/>
  <c r="H8594" i="2"/>
  <c r="J8594" i="2"/>
  <c r="K8594" i="2"/>
  <c r="L8594" i="2"/>
  <c r="C8595" i="2"/>
  <c r="D8595" i="2"/>
  <c r="F8595" i="2"/>
  <c r="G8595" i="2"/>
  <c r="H8595" i="2"/>
  <c r="J8595" i="2"/>
  <c r="K8595" i="2"/>
  <c r="L8595" i="2"/>
  <c r="C8596" i="2"/>
  <c r="D8596" i="2"/>
  <c r="F8596" i="2"/>
  <c r="G8596" i="2"/>
  <c r="H8596" i="2"/>
  <c r="J8596" i="2"/>
  <c r="K8596" i="2"/>
  <c r="L8596" i="2"/>
  <c r="C8597" i="2"/>
  <c r="D8597" i="2"/>
  <c r="F8597" i="2"/>
  <c r="G8597" i="2"/>
  <c r="H8597" i="2"/>
  <c r="J8597" i="2"/>
  <c r="K8597" i="2"/>
  <c r="L8597" i="2"/>
  <c r="C8598" i="2"/>
  <c r="D8598" i="2"/>
  <c r="F8598" i="2"/>
  <c r="G8598" i="2"/>
  <c r="H8598" i="2"/>
  <c r="J8598" i="2"/>
  <c r="K8598" i="2"/>
  <c r="L8598" i="2"/>
  <c r="C8599" i="2"/>
  <c r="D8599" i="2"/>
  <c r="F8599" i="2"/>
  <c r="G8599" i="2"/>
  <c r="H8599" i="2"/>
  <c r="J8599" i="2"/>
  <c r="K8599" i="2"/>
  <c r="L8599" i="2"/>
  <c r="C8600" i="2"/>
  <c r="D8600" i="2"/>
  <c r="F8600" i="2"/>
  <c r="G8600" i="2"/>
  <c r="H8600" i="2"/>
  <c r="J8600" i="2"/>
  <c r="K8600" i="2"/>
  <c r="L8600" i="2"/>
  <c r="C8601" i="2"/>
  <c r="D8601" i="2"/>
  <c r="F8601" i="2"/>
  <c r="G8601" i="2"/>
  <c r="H8601" i="2"/>
  <c r="J8601" i="2"/>
  <c r="K8601" i="2"/>
  <c r="L8601" i="2"/>
  <c r="C8602" i="2"/>
  <c r="D8602" i="2"/>
  <c r="F8602" i="2"/>
  <c r="G8602" i="2"/>
  <c r="H8602" i="2"/>
  <c r="J8602" i="2"/>
  <c r="K8602" i="2"/>
  <c r="L8602" i="2"/>
  <c r="C8603" i="2"/>
  <c r="D8603" i="2"/>
  <c r="F8603" i="2"/>
  <c r="G8603" i="2"/>
  <c r="H8603" i="2"/>
  <c r="J8603" i="2"/>
  <c r="K8603" i="2"/>
  <c r="L8603" i="2"/>
  <c r="C8604" i="2"/>
  <c r="D8604" i="2"/>
  <c r="F8604" i="2"/>
  <c r="G8604" i="2"/>
  <c r="H8604" i="2"/>
  <c r="J8604" i="2"/>
  <c r="K8604" i="2"/>
  <c r="L8604" i="2"/>
  <c r="C8605" i="2"/>
  <c r="D8605" i="2"/>
  <c r="F8605" i="2"/>
  <c r="G8605" i="2"/>
  <c r="H8605" i="2"/>
  <c r="J8605" i="2"/>
  <c r="K8605" i="2"/>
  <c r="L8605" i="2"/>
  <c r="C8606" i="2"/>
  <c r="D8606" i="2"/>
  <c r="F8606" i="2"/>
  <c r="G8606" i="2"/>
  <c r="H8606" i="2"/>
  <c r="J8606" i="2"/>
  <c r="K8606" i="2"/>
  <c r="L8606" i="2"/>
  <c r="C8607" i="2"/>
  <c r="D8607" i="2"/>
  <c r="F8607" i="2"/>
  <c r="G8607" i="2"/>
  <c r="H8607" i="2"/>
  <c r="J8607" i="2"/>
  <c r="K8607" i="2"/>
  <c r="L8607" i="2"/>
  <c r="C8608" i="2"/>
  <c r="D8608" i="2"/>
  <c r="F8608" i="2"/>
  <c r="G8608" i="2"/>
  <c r="H8608" i="2"/>
  <c r="J8608" i="2"/>
  <c r="K8608" i="2"/>
  <c r="L8608" i="2"/>
  <c r="C8609" i="2"/>
  <c r="D8609" i="2"/>
  <c r="F8609" i="2"/>
  <c r="G8609" i="2"/>
  <c r="H8609" i="2"/>
  <c r="J8609" i="2"/>
  <c r="K8609" i="2"/>
  <c r="L8609" i="2"/>
  <c r="C8610" i="2"/>
  <c r="D8610" i="2"/>
  <c r="F8610" i="2"/>
  <c r="G8610" i="2"/>
  <c r="H8610" i="2"/>
  <c r="J8610" i="2"/>
  <c r="K8610" i="2"/>
  <c r="L8610" i="2"/>
  <c r="C8611" i="2"/>
  <c r="D8611" i="2"/>
  <c r="F8611" i="2"/>
  <c r="G8611" i="2"/>
  <c r="H8611" i="2"/>
  <c r="J8611" i="2"/>
  <c r="K8611" i="2"/>
  <c r="L8611" i="2"/>
  <c r="C8612" i="2"/>
  <c r="D8612" i="2"/>
  <c r="F8612" i="2"/>
  <c r="G8612" i="2"/>
  <c r="H8612" i="2"/>
  <c r="J8612" i="2"/>
  <c r="K8612" i="2"/>
  <c r="L8612" i="2"/>
  <c r="C8613" i="2"/>
  <c r="D8613" i="2"/>
  <c r="F8613" i="2"/>
  <c r="G8613" i="2"/>
  <c r="H8613" i="2"/>
  <c r="J8613" i="2"/>
  <c r="K8613" i="2"/>
  <c r="L8613" i="2"/>
  <c r="C8614" i="2"/>
  <c r="D8614" i="2"/>
  <c r="F8614" i="2"/>
  <c r="G8614" i="2"/>
  <c r="H8614" i="2"/>
  <c r="J8614" i="2"/>
  <c r="K8614" i="2"/>
  <c r="L8614" i="2"/>
  <c r="C8615" i="2"/>
  <c r="D8615" i="2"/>
  <c r="F8615" i="2"/>
  <c r="G8615" i="2"/>
  <c r="H8615" i="2"/>
  <c r="J8615" i="2"/>
  <c r="K8615" i="2"/>
  <c r="L8615" i="2"/>
  <c r="C8616" i="2"/>
  <c r="D8616" i="2"/>
  <c r="F8616" i="2"/>
  <c r="G8616" i="2"/>
  <c r="H8616" i="2"/>
  <c r="J8616" i="2"/>
  <c r="K8616" i="2"/>
  <c r="L8616" i="2"/>
  <c r="C8617" i="2"/>
  <c r="D8617" i="2"/>
  <c r="F8617" i="2"/>
  <c r="G8617" i="2"/>
  <c r="H8617" i="2"/>
  <c r="J8617" i="2"/>
  <c r="K8617" i="2"/>
  <c r="L8617" i="2"/>
  <c r="C8618" i="2"/>
  <c r="D8618" i="2"/>
  <c r="F8618" i="2"/>
  <c r="G8618" i="2"/>
  <c r="H8618" i="2"/>
  <c r="J8618" i="2"/>
  <c r="K8618" i="2"/>
  <c r="L8618" i="2"/>
  <c r="C8619" i="2"/>
  <c r="D8619" i="2"/>
  <c r="F8619" i="2"/>
  <c r="G8619" i="2"/>
  <c r="H8619" i="2"/>
  <c r="J8619" i="2"/>
  <c r="K8619" i="2"/>
  <c r="L8619" i="2"/>
  <c r="C8620" i="2"/>
  <c r="D8620" i="2"/>
  <c r="F8620" i="2"/>
  <c r="G8620" i="2"/>
  <c r="H8620" i="2"/>
  <c r="J8620" i="2"/>
  <c r="K8620" i="2"/>
  <c r="L8620" i="2"/>
  <c r="C8621" i="2"/>
  <c r="D8621" i="2"/>
  <c r="F8621" i="2"/>
  <c r="G8621" i="2"/>
  <c r="H8621" i="2"/>
  <c r="J8621" i="2"/>
  <c r="K8621" i="2"/>
  <c r="L8621" i="2"/>
  <c r="C8622" i="2"/>
  <c r="D8622" i="2"/>
  <c r="F8622" i="2"/>
  <c r="G8622" i="2"/>
  <c r="H8622" i="2"/>
  <c r="J8622" i="2"/>
  <c r="K8622" i="2"/>
  <c r="L8622" i="2"/>
  <c r="C8623" i="2"/>
  <c r="D8623" i="2"/>
  <c r="F8623" i="2"/>
  <c r="G8623" i="2"/>
  <c r="H8623" i="2"/>
  <c r="J8623" i="2"/>
  <c r="K8623" i="2"/>
  <c r="L8623" i="2"/>
  <c r="C8624" i="2"/>
  <c r="D8624" i="2"/>
  <c r="F8624" i="2"/>
  <c r="G8624" i="2"/>
  <c r="H8624" i="2"/>
  <c r="J8624" i="2"/>
  <c r="K8624" i="2"/>
  <c r="L8624" i="2"/>
  <c r="C8625" i="2"/>
  <c r="D8625" i="2"/>
  <c r="F8625" i="2"/>
  <c r="G8625" i="2"/>
  <c r="H8625" i="2"/>
  <c r="J8625" i="2"/>
  <c r="K8625" i="2"/>
  <c r="L8625" i="2"/>
  <c r="C8626" i="2"/>
  <c r="D8626" i="2"/>
  <c r="F8626" i="2"/>
  <c r="G8626" i="2"/>
  <c r="H8626" i="2"/>
  <c r="J8626" i="2"/>
  <c r="K8626" i="2"/>
  <c r="L8626" i="2"/>
  <c r="C8627" i="2"/>
  <c r="D8627" i="2"/>
  <c r="F8627" i="2"/>
  <c r="G8627" i="2"/>
  <c r="H8627" i="2"/>
  <c r="J8627" i="2"/>
  <c r="K8627" i="2"/>
  <c r="L8627" i="2"/>
  <c r="C8628" i="2"/>
  <c r="D8628" i="2"/>
  <c r="F8628" i="2"/>
  <c r="G8628" i="2"/>
  <c r="H8628" i="2"/>
  <c r="J8628" i="2"/>
  <c r="K8628" i="2"/>
  <c r="L8628" i="2"/>
  <c r="C8629" i="2"/>
  <c r="D8629" i="2"/>
  <c r="F8629" i="2"/>
  <c r="G8629" i="2"/>
  <c r="H8629" i="2"/>
  <c r="J8629" i="2"/>
  <c r="K8629" i="2"/>
  <c r="L8629" i="2"/>
  <c r="C8630" i="2"/>
  <c r="D8630" i="2"/>
  <c r="F8630" i="2"/>
  <c r="G8630" i="2"/>
  <c r="H8630" i="2"/>
  <c r="J8630" i="2"/>
  <c r="K8630" i="2"/>
  <c r="L8630" i="2"/>
  <c r="C8631" i="2"/>
  <c r="D8631" i="2"/>
  <c r="F8631" i="2"/>
  <c r="G8631" i="2"/>
  <c r="H8631" i="2"/>
  <c r="J8631" i="2"/>
  <c r="K8631" i="2"/>
  <c r="L8631" i="2"/>
  <c r="C8632" i="2"/>
  <c r="D8632" i="2"/>
  <c r="F8632" i="2"/>
  <c r="G8632" i="2"/>
  <c r="H8632" i="2"/>
  <c r="J8632" i="2"/>
  <c r="K8632" i="2"/>
  <c r="L8632" i="2"/>
  <c r="C8633" i="2"/>
  <c r="D8633" i="2"/>
  <c r="F8633" i="2"/>
  <c r="G8633" i="2"/>
  <c r="H8633" i="2"/>
  <c r="J8633" i="2"/>
  <c r="K8633" i="2"/>
  <c r="L8633" i="2"/>
  <c r="C8634" i="2"/>
  <c r="D8634" i="2"/>
  <c r="F8634" i="2"/>
  <c r="G8634" i="2"/>
  <c r="H8634" i="2"/>
  <c r="J8634" i="2"/>
  <c r="K8634" i="2"/>
  <c r="L8634" i="2"/>
  <c r="C8635" i="2"/>
  <c r="D8635" i="2"/>
  <c r="F8635" i="2"/>
  <c r="G8635" i="2"/>
  <c r="H8635" i="2"/>
  <c r="J8635" i="2"/>
  <c r="K8635" i="2"/>
  <c r="L8635" i="2"/>
  <c r="C8636" i="2"/>
  <c r="D8636" i="2"/>
  <c r="F8636" i="2"/>
  <c r="G8636" i="2"/>
  <c r="H8636" i="2"/>
  <c r="J8636" i="2"/>
  <c r="K8636" i="2"/>
  <c r="L8636" i="2"/>
  <c r="C8637" i="2"/>
  <c r="D8637" i="2"/>
  <c r="F8637" i="2"/>
  <c r="G8637" i="2"/>
  <c r="H8637" i="2"/>
  <c r="J8637" i="2"/>
  <c r="K8637" i="2"/>
  <c r="L8637" i="2"/>
  <c r="C8638" i="2"/>
  <c r="D8638" i="2"/>
  <c r="F8638" i="2"/>
  <c r="G8638" i="2"/>
  <c r="H8638" i="2"/>
  <c r="J8638" i="2"/>
  <c r="K8638" i="2"/>
  <c r="L8638" i="2"/>
  <c r="C8639" i="2"/>
  <c r="D8639" i="2"/>
  <c r="F8639" i="2"/>
  <c r="G8639" i="2"/>
  <c r="H8639" i="2"/>
  <c r="J8639" i="2"/>
  <c r="K8639" i="2"/>
  <c r="L8639" i="2"/>
  <c r="C8640" i="2"/>
  <c r="D8640" i="2"/>
  <c r="F8640" i="2"/>
  <c r="G8640" i="2"/>
  <c r="H8640" i="2"/>
  <c r="J8640" i="2"/>
  <c r="K8640" i="2"/>
  <c r="L8640" i="2"/>
  <c r="C8641" i="2"/>
  <c r="D8641" i="2"/>
  <c r="F8641" i="2"/>
  <c r="G8641" i="2"/>
  <c r="H8641" i="2"/>
  <c r="J8641" i="2"/>
  <c r="K8641" i="2"/>
  <c r="L8641" i="2"/>
  <c r="C8642" i="2"/>
  <c r="D8642" i="2"/>
  <c r="F8642" i="2"/>
  <c r="G8642" i="2"/>
  <c r="H8642" i="2"/>
  <c r="J8642" i="2"/>
  <c r="K8642" i="2"/>
  <c r="L8642" i="2"/>
  <c r="C8643" i="2"/>
  <c r="D8643" i="2"/>
  <c r="F8643" i="2"/>
  <c r="G8643" i="2"/>
  <c r="H8643" i="2"/>
  <c r="J8643" i="2"/>
  <c r="K8643" i="2"/>
  <c r="L8643" i="2"/>
  <c r="C8644" i="2"/>
  <c r="D8644" i="2"/>
  <c r="F8644" i="2"/>
  <c r="G8644" i="2"/>
  <c r="H8644" i="2"/>
  <c r="J8644" i="2"/>
  <c r="K8644" i="2"/>
  <c r="L8644" i="2"/>
  <c r="C8645" i="2"/>
  <c r="D8645" i="2"/>
  <c r="F8645" i="2"/>
  <c r="G8645" i="2"/>
  <c r="H8645" i="2"/>
  <c r="J8645" i="2"/>
  <c r="K8645" i="2"/>
  <c r="L8645" i="2"/>
  <c r="C8646" i="2"/>
  <c r="D8646" i="2"/>
  <c r="F8646" i="2"/>
  <c r="G8646" i="2"/>
  <c r="H8646" i="2"/>
  <c r="J8646" i="2"/>
  <c r="K8646" i="2"/>
  <c r="L8646" i="2"/>
  <c r="C8647" i="2"/>
  <c r="D8647" i="2"/>
  <c r="F8647" i="2"/>
  <c r="G8647" i="2"/>
  <c r="H8647" i="2"/>
  <c r="J8647" i="2"/>
  <c r="K8647" i="2"/>
  <c r="L8647" i="2"/>
  <c r="C8648" i="2"/>
  <c r="D8648" i="2"/>
  <c r="F8648" i="2"/>
  <c r="G8648" i="2"/>
  <c r="H8648" i="2"/>
  <c r="J8648" i="2"/>
  <c r="K8648" i="2"/>
  <c r="L8648" i="2"/>
  <c r="C8649" i="2"/>
  <c r="D8649" i="2"/>
  <c r="F8649" i="2"/>
  <c r="G8649" i="2"/>
  <c r="H8649" i="2"/>
  <c r="J8649" i="2"/>
  <c r="K8649" i="2"/>
  <c r="L8649" i="2"/>
  <c r="C8650" i="2"/>
  <c r="D8650" i="2"/>
  <c r="F8650" i="2"/>
  <c r="G8650" i="2"/>
  <c r="H8650" i="2"/>
  <c r="J8650" i="2"/>
  <c r="K8650" i="2"/>
  <c r="L8650" i="2"/>
  <c r="C8651" i="2"/>
  <c r="D8651" i="2"/>
  <c r="F8651" i="2"/>
  <c r="G8651" i="2"/>
  <c r="H8651" i="2"/>
  <c r="J8651" i="2"/>
  <c r="K8651" i="2"/>
  <c r="L8651" i="2"/>
  <c r="C8652" i="2"/>
  <c r="D8652" i="2"/>
  <c r="F8652" i="2"/>
  <c r="G8652" i="2"/>
  <c r="H8652" i="2"/>
  <c r="J8652" i="2"/>
  <c r="K8652" i="2"/>
  <c r="L8652" i="2"/>
  <c r="C8653" i="2"/>
  <c r="D8653" i="2"/>
  <c r="F8653" i="2"/>
  <c r="G8653" i="2"/>
  <c r="H8653" i="2"/>
  <c r="J8653" i="2"/>
  <c r="K8653" i="2"/>
  <c r="L8653" i="2"/>
  <c r="C8654" i="2"/>
  <c r="D8654" i="2"/>
  <c r="F8654" i="2"/>
  <c r="G8654" i="2"/>
  <c r="H8654" i="2"/>
  <c r="J8654" i="2"/>
  <c r="K8654" i="2"/>
  <c r="L8654" i="2"/>
  <c r="C8655" i="2"/>
  <c r="D8655" i="2"/>
  <c r="F8655" i="2"/>
  <c r="G8655" i="2"/>
  <c r="H8655" i="2"/>
  <c r="J8655" i="2"/>
  <c r="K8655" i="2"/>
  <c r="L8655" i="2"/>
  <c r="C8656" i="2"/>
  <c r="D8656" i="2"/>
  <c r="F8656" i="2"/>
  <c r="G8656" i="2"/>
  <c r="H8656" i="2"/>
  <c r="J8656" i="2"/>
  <c r="K8656" i="2"/>
  <c r="L8656" i="2"/>
  <c r="C8657" i="2"/>
  <c r="D8657" i="2"/>
  <c r="F8657" i="2"/>
  <c r="G8657" i="2"/>
  <c r="H8657" i="2"/>
  <c r="J8657" i="2"/>
  <c r="K8657" i="2"/>
  <c r="L8657" i="2"/>
  <c r="C8658" i="2"/>
  <c r="D8658" i="2"/>
  <c r="F8658" i="2"/>
  <c r="G8658" i="2"/>
  <c r="H8658" i="2"/>
  <c r="J8658" i="2"/>
  <c r="K8658" i="2"/>
  <c r="L8658" i="2"/>
  <c r="C8659" i="2"/>
  <c r="D8659" i="2"/>
  <c r="F8659" i="2"/>
  <c r="G8659" i="2"/>
  <c r="H8659" i="2"/>
  <c r="J8659" i="2"/>
  <c r="K8659" i="2"/>
  <c r="L8659" i="2"/>
  <c r="C8660" i="2"/>
  <c r="D8660" i="2"/>
  <c r="F8660" i="2"/>
  <c r="G8660" i="2"/>
  <c r="H8660" i="2"/>
  <c r="J8660" i="2"/>
  <c r="K8660" i="2"/>
  <c r="L8660" i="2"/>
  <c r="C8661" i="2"/>
  <c r="D8661" i="2"/>
  <c r="F8661" i="2"/>
  <c r="G8661" i="2"/>
  <c r="H8661" i="2"/>
  <c r="J8661" i="2"/>
  <c r="K8661" i="2"/>
  <c r="L8661" i="2"/>
  <c r="C8662" i="2"/>
  <c r="D8662" i="2"/>
  <c r="F8662" i="2"/>
  <c r="G8662" i="2"/>
  <c r="H8662" i="2"/>
  <c r="J8662" i="2"/>
  <c r="K8662" i="2"/>
  <c r="L8662" i="2"/>
  <c r="C8663" i="2"/>
  <c r="D8663" i="2"/>
  <c r="F8663" i="2"/>
  <c r="G8663" i="2"/>
  <c r="H8663" i="2"/>
  <c r="J8663" i="2"/>
  <c r="K8663" i="2"/>
  <c r="L8663" i="2"/>
  <c r="C8664" i="2"/>
  <c r="D8664" i="2"/>
  <c r="F8664" i="2"/>
  <c r="G8664" i="2"/>
  <c r="H8664" i="2"/>
  <c r="J8664" i="2"/>
  <c r="K8664" i="2"/>
  <c r="L8664" i="2"/>
  <c r="C8665" i="2"/>
  <c r="D8665" i="2"/>
  <c r="F8665" i="2"/>
  <c r="G8665" i="2"/>
  <c r="H8665" i="2"/>
  <c r="J8665" i="2"/>
  <c r="K8665" i="2"/>
  <c r="L8665" i="2"/>
  <c r="C8666" i="2"/>
  <c r="D8666" i="2"/>
  <c r="F8666" i="2"/>
  <c r="G8666" i="2"/>
  <c r="H8666" i="2"/>
  <c r="J8666" i="2"/>
  <c r="K8666" i="2"/>
  <c r="L8666" i="2"/>
  <c r="C8667" i="2"/>
  <c r="D8667" i="2"/>
  <c r="F8667" i="2"/>
  <c r="G8667" i="2"/>
  <c r="H8667" i="2"/>
  <c r="J8667" i="2"/>
  <c r="K8667" i="2"/>
  <c r="L8667" i="2"/>
  <c r="C8668" i="2"/>
  <c r="D8668" i="2"/>
  <c r="F8668" i="2"/>
  <c r="G8668" i="2"/>
  <c r="H8668" i="2"/>
  <c r="J8668" i="2"/>
  <c r="K8668" i="2"/>
  <c r="L8668" i="2"/>
  <c r="C8669" i="2"/>
  <c r="D8669" i="2"/>
  <c r="F8669" i="2"/>
  <c r="G8669" i="2"/>
  <c r="H8669" i="2"/>
  <c r="J8669" i="2"/>
  <c r="K8669" i="2"/>
  <c r="L8669" i="2"/>
  <c r="C8670" i="2"/>
  <c r="D8670" i="2"/>
  <c r="F8670" i="2"/>
  <c r="G8670" i="2"/>
  <c r="H8670" i="2"/>
  <c r="J8670" i="2"/>
  <c r="K8670" i="2"/>
  <c r="L8670" i="2"/>
  <c r="C8671" i="2"/>
  <c r="D8671" i="2"/>
  <c r="F8671" i="2"/>
  <c r="G8671" i="2"/>
  <c r="H8671" i="2"/>
  <c r="J8671" i="2"/>
  <c r="K8671" i="2"/>
  <c r="L8671" i="2"/>
  <c r="C8672" i="2"/>
  <c r="D8672" i="2"/>
  <c r="F8672" i="2"/>
  <c r="G8672" i="2"/>
  <c r="H8672" i="2"/>
  <c r="J8672" i="2"/>
  <c r="K8672" i="2"/>
  <c r="L8672" i="2"/>
  <c r="C8673" i="2"/>
  <c r="D8673" i="2"/>
  <c r="F8673" i="2"/>
  <c r="G8673" i="2"/>
  <c r="H8673" i="2"/>
  <c r="J8673" i="2"/>
  <c r="K8673" i="2"/>
  <c r="L8673" i="2"/>
  <c r="C8674" i="2"/>
  <c r="D8674" i="2"/>
  <c r="F8674" i="2"/>
  <c r="G8674" i="2"/>
  <c r="H8674" i="2"/>
  <c r="J8674" i="2"/>
  <c r="K8674" i="2"/>
  <c r="L8674" i="2"/>
  <c r="C8675" i="2"/>
  <c r="D8675" i="2"/>
  <c r="F8675" i="2"/>
  <c r="G8675" i="2"/>
  <c r="H8675" i="2"/>
  <c r="J8675" i="2"/>
  <c r="K8675" i="2"/>
  <c r="L8675" i="2"/>
  <c r="C8676" i="2"/>
  <c r="D8676" i="2"/>
  <c r="F8676" i="2"/>
  <c r="G8676" i="2"/>
  <c r="H8676" i="2"/>
  <c r="J8676" i="2"/>
  <c r="K8676" i="2"/>
  <c r="L8676" i="2"/>
  <c r="C8677" i="2"/>
  <c r="D8677" i="2"/>
  <c r="F8677" i="2"/>
  <c r="G8677" i="2"/>
  <c r="H8677" i="2"/>
  <c r="J8677" i="2"/>
  <c r="K8677" i="2"/>
  <c r="L8677" i="2"/>
  <c r="C8678" i="2"/>
  <c r="D8678" i="2"/>
  <c r="F8678" i="2"/>
  <c r="G8678" i="2"/>
  <c r="H8678" i="2"/>
  <c r="J8678" i="2"/>
  <c r="K8678" i="2"/>
  <c r="L8678" i="2"/>
  <c r="C8679" i="2"/>
  <c r="D8679" i="2"/>
  <c r="F8679" i="2"/>
  <c r="G8679" i="2"/>
  <c r="H8679" i="2"/>
  <c r="J8679" i="2"/>
  <c r="K8679" i="2"/>
  <c r="L8679" i="2"/>
  <c r="C8680" i="2"/>
  <c r="D8680" i="2"/>
  <c r="F8680" i="2"/>
  <c r="G8680" i="2"/>
  <c r="H8680" i="2"/>
  <c r="J8680" i="2"/>
  <c r="K8680" i="2"/>
  <c r="L8680" i="2"/>
  <c r="C8681" i="2"/>
  <c r="D8681" i="2"/>
  <c r="F8681" i="2"/>
  <c r="G8681" i="2"/>
  <c r="H8681" i="2"/>
  <c r="J8681" i="2"/>
  <c r="K8681" i="2"/>
  <c r="L8681" i="2"/>
  <c r="C8682" i="2"/>
  <c r="D8682" i="2"/>
  <c r="F8682" i="2"/>
  <c r="G8682" i="2"/>
  <c r="H8682" i="2"/>
  <c r="J8682" i="2"/>
  <c r="K8682" i="2"/>
  <c r="L8682" i="2"/>
  <c r="C8683" i="2"/>
  <c r="D8683" i="2"/>
  <c r="F8683" i="2"/>
  <c r="G8683" i="2"/>
  <c r="H8683" i="2"/>
  <c r="J8683" i="2"/>
  <c r="K8683" i="2"/>
  <c r="L8683" i="2"/>
  <c r="C8684" i="2"/>
  <c r="D8684" i="2"/>
  <c r="F8684" i="2"/>
  <c r="G8684" i="2"/>
  <c r="H8684" i="2"/>
  <c r="J8684" i="2"/>
  <c r="K8684" i="2"/>
  <c r="L8684" i="2"/>
  <c r="C8685" i="2"/>
  <c r="D8685" i="2"/>
  <c r="F8685" i="2"/>
  <c r="G8685" i="2"/>
  <c r="H8685" i="2"/>
  <c r="J8685" i="2"/>
  <c r="K8685" i="2"/>
  <c r="L8685" i="2"/>
  <c r="C8686" i="2"/>
  <c r="D8686" i="2"/>
  <c r="F8686" i="2"/>
  <c r="G8686" i="2"/>
  <c r="H8686" i="2"/>
  <c r="J8686" i="2"/>
  <c r="K8686" i="2"/>
  <c r="L8686" i="2"/>
  <c r="C8687" i="2"/>
  <c r="D8687" i="2"/>
  <c r="F8687" i="2"/>
  <c r="G8687" i="2"/>
  <c r="H8687" i="2"/>
  <c r="J8687" i="2"/>
  <c r="K8687" i="2"/>
  <c r="L8687" i="2"/>
  <c r="C8688" i="2"/>
  <c r="D8688" i="2"/>
  <c r="F8688" i="2"/>
  <c r="G8688" i="2"/>
  <c r="H8688" i="2"/>
  <c r="J8688" i="2"/>
  <c r="K8688" i="2"/>
  <c r="L8688" i="2"/>
  <c r="C8689" i="2"/>
  <c r="D8689" i="2"/>
  <c r="F8689" i="2"/>
  <c r="G8689" i="2"/>
  <c r="H8689" i="2"/>
  <c r="J8689" i="2"/>
  <c r="K8689" i="2"/>
  <c r="L8689" i="2"/>
  <c r="C8690" i="2"/>
  <c r="D8690" i="2"/>
  <c r="F8690" i="2"/>
  <c r="G8690" i="2"/>
  <c r="H8690" i="2"/>
  <c r="J8690" i="2"/>
  <c r="K8690" i="2"/>
  <c r="L8690" i="2"/>
  <c r="C8691" i="2"/>
  <c r="D8691" i="2"/>
  <c r="F8691" i="2"/>
  <c r="G8691" i="2"/>
  <c r="H8691" i="2"/>
  <c r="J8691" i="2"/>
  <c r="K8691" i="2"/>
  <c r="L8691" i="2"/>
  <c r="C8692" i="2"/>
  <c r="D8692" i="2"/>
  <c r="F8692" i="2"/>
  <c r="G8692" i="2"/>
  <c r="H8692" i="2"/>
  <c r="J8692" i="2"/>
  <c r="K8692" i="2"/>
  <c r="L8692" i="2"/>
  <c r="C8693" i="2"/>
  <c r="D8693" i="2"/>
  <c r="F8693" i="2"/>
  <c r="G8693" i="2"/>
  <c r="H8693" i="2"/>
  <c r="J8693" i="2"/>
  <c r="K8693" i="2"/>
  <c r="L8693" i="2"/>
  <c r="C8694" i="2"/>
  <c r="D8694" i="2"/>
  <c r="F8694" i="2"/>
  <c r="G8694" i="2"/>
  <c r="H8694" i="2"/>
  <c r="J8694" i="2"/>
  <c r="K8694" i="2"/>
  <c r="L8694" i="2"/>
  <c r="C8695" i="2"/>
  <c r="D8695" i="2"/>
  <c r="F8695" i="2"/>
  <c r="G8695" i="2"/>
  <c r="H8695" i="2"/>
  <c r="J8695" i="2"/>
  <c r="K8695" i="2"/>
  <c r="L8695" i="2"/>
  <c r="C8696" i="2"/>
  <c r="D8696" i="2"/>
  <c r="F8696" i="2"/>
  <c r="G8696" i="2"/>
  <c r="H8696" i="2"/>
  <c r="J8696" i="2"/>
  <c r="K8696" i="2"/>
  <c r="L8696" i="2"/>
  <c r="C8697" i="2"/>
  <c r="D8697" i="2"/>
  <c r="F8697" i="2"/>
  <c r="G8697" i="2"/>
  <c r="H8697" i="2"/>
  <c r="J8697" i="2"/>
  <c r="K8697" i="2"/>
  <c r="L8697" i="2"/>
  <c r="C8698" i="2"/>
  <c r="D8698" i="2"/>
  <c r="F8698" i="2"/>
  <c r="G8698" i="2"/>
  <c r="H8698" i="2"/>
  <c r="J8698" i="2"/>
  <c r="K8698" i="2"/>
  <c r="L8698" i="2"/>
  <c r="C8699" i="2"/>
  <c r="D8699" i="2"/>
  <c r="F8699" i="2"/>
  <c r="G8699" i="2"/>
  <c r="H8699" i="2"/>
  <c r="J8699" i="2"/>
  <c r="K8699" i="2"/>
  <c r="L8699" i="2"/>
  <c r="C8700" i="2"/>
  <c r="D8700" i="2"/>
  <c r="F8700" i="2"/>
  <c r="G8700" i="2"/>
  <c r="H8700" i="2"/>
  <c r="J8700" i="2"/>
  <c r="K8700" i="2"/>
  <c r="L8700" i="2"/>
  <c r="C8701" i="2"/>
  <c r="D8701" i="2"/>
  <c r="F8701" i="2"/>
  <c r="G8701" i="2"/>
  <c r="H8701" i="2"/>
  <c r="J8701" i="2"/>
  <c r="K8701" i="2"/>
  <c r="L8701" i="2"/>
  <c r="C8702" i="2"/>
  <c r="D8702" i="2"/>
  <c r="F8702" i="2"/>
  <c r="G8702" i="2"/>
  <c r="H8702" i="2"/>
  <c r="J8702" i="2"/>
  <c r="K8702" i="2"/>
  <c r="L8702" i="2"/>
  <c r="C8703" i="2"/>
  <c r="D8703" i="2"/>
  <c r="F8703" i="2"/>
  <c r="G8703" i="2"/>
  <c r="H8703" i="2"/>
  <c r="J8703" i="2"/>
  <c r="K8703" i="2"/>
  <c r="L8703" i="2"/>
  <c r="C8704" i="2"/>
  <c r="D8704" i="2"/>
  <c r="F8704" i="2"/>
  <c r="G8704" i="2"/>
  <c r="H8704" i="2"/>
  <c r="J8704" i="2"/>
  <c r="K8704" i="2"/>
  <c r="L8704" i="2"/>
  <c r="C8705" i="2"/>
  <c r="D8705" i="2"/>
  <c r="F8705" i="2"/>
  <c r="G8705" i="2"/>
  <c r="H8705" i="2"/>
  <c r="J8705" i="2"/>
  <c r="K8705" i="2"/>
  <c r="L8705" i="2"/>
  <c r="C8706" i="2"/>
  <c r="D8706" i="2"/>
  <c r="F8706" i="2"/>
  <c r="G8706" i="2"/>
  <c r="H8706" i="2"/>
  <c r="J8706" i="2"/>
  <c r="K8706" i="2"/>
  <c r="L8706" i="2"/>
  <c r="C8707" i="2"/>
  <c r="D8707" i="2"/>
  <c r="F8707" i="2"/>
  <c r="G8707" i="2"/>
  <c r="H8707" i="2"/>
  <c r="J8707" i="2"/>
  <c r="K8707" i="2"/>
  <c r="L8707" i="2"/>
  <c r="C8708" i="2"/>
  <c r="D8708" i="2"/>
  <c r="F8708" i="2"/>
  <c r="G8708" i="2"/>
  <c r="H8708" i="2"/>
  <c r="J8708" i="2"/>
  <c r="K8708" i="2"/>
  <c r="L8708" i="2"/>
  <c r="C8709" i="2"/>
  <c r="D8709" i="2"/>
  <c r="F8709" i="2"/>
  <c r="G8709" i="2"/>
  <c r="H8709" i="2"/>
  <c r="J8709" i="2"/>
  <c r="K8709" i="2"/>
  <c r="L8709" i="2"/>
  <c r="C8710" i="2"/>
  <c r="D8710" i="2"/>
  <c r="F8710" i="2"/>
  <c r="G8710" i="2"/>
  <c r="H8710" i="2"/>
  <c r="J8710" i="2"/>
  <c r="K8710" i="2"/>
  <c r="L8710" i="2"/>
  <c r="C8711" i="2"/>
  <c r="D8711" i="2"/>
  <c r="F8711" i="2"/>
  <c r="G8711" i="2"/>
  <c r="H8711" i="2"/>
  <c r="J8711" i="2"/>
  <c r="K8711" i="2"/>
  <c r="L8711" i="2"/>
  <c r="C8712" i="2"/>
  <c r="D8712" i="2"/>
  <c r="F8712" i="2"/>
  <c r="G8712" i="2"/>
  <c r="H8712" i="2"/>
  <c r="J8712" i="2"/>
  <c r="K8712" i="2"/>
  <c r="L8712" i="2"/>
  <c r="C8713" i="2"/>
  <c r="D8713" i="2"/>
  <c r="F8713" i="2"/>
  <c r="G8713" i="2"/>
  <c r="H8713" i="2"/>
  <c r="J8713" i="2"/>
  <c r="K8713" i="2"/>
  <c r="L8713" i="2"/>
  <c r="C8714" i="2"/>
  <c r="D8714" i="2"/>
  <c r="F8714" i="2"/>
  <c r="G8714" i="2"/>
  <c r="H8714" i="2"/>
  <c r="J8714" i="2"/>
  <c r="K8714" i="2"/>
  <c r="L8714" i="2"/>
  <c r="C8715" i="2"/>
  <c r="D8715" i="2"/>
  <c r="F8715" i="2"/>
  <c r="G8715" i="2"/>
  <c r="H8715" i="2"/>
  <c r="J8715" i="2"/>
  <c r="K8715" i="2"/>
  <c r="L8715" i="2"/>
  <c r="C8716" i="2"/>
  <c r="D8716" i="2"/>
  <c r="F8716" i="2"/>
  <c r="G8716" i="2"/>
  <c r="H8716" i="2"/>
  <c r="J8716" i="2"/>
  <c r="K8716" i="2"/>
  <c r="L8716" i="2"/>
  <c r="C8717" i="2"/>
  <c r="D8717" i="2"/>
  <c r="F8717" i="2"/>
  <c r="G8717" i="2"/>
  <c r="H8717" i="2"/>
  <c r="J8717" i="2"/>
  <c r="K8717" i="2"/>
  <c r="L8717" i="2"/>
  <c r="C8718" i="2"/>
  <c r="D8718" i="2"/>
  <c r="F8718" i="2"/>
  <c r="G8718" i="2"/>
  <c r="H8718" i="2"/>
  <c r="J8718" i="2"/>
  <c r="K8718" i="2"/>
  <c r="L8718" i="2"/>
  <c r="C8719" i="2"/>
  <c r="D8719" i="2"/>
  <c r="F8719" i="2"/>
  <c r="G8719" i="2"/>
  <c r="H8719" i="2"/>
  <c r="J8719" i="2"/>
  <c r="K8719" i="2"/>
  <c r="L8719" i="2"/>
  <c r="C8720" i="2"/>
  <c r="D8720" i="2"/>
  <c r="F8720" i="2"/>
  <c r="G8720" i="2"/>
  <c r="H8720" i="2"/>
  <c r="J8720" i="2"/>
  <c r="K8720" i="2"/>
  <c r="L8720" i="2"/>
  <c r="C8721" i="2"/>
  <c r="D8721" i="2"/>
  <c r="F8721" i="2"/>
  <c r="G8721" i="2"/>
  <c r="H8721" i="2"/>
  <c r="J8721" i="2"/>
  <c r="K8721" i="2"/>
  <c r="L8721" i="2"/>
  <c r="C8722" i="2"/>
  <c r="D8722" i="2"/>
  <c r="F8722" i="2"/>
  <c r="G8722" i="2"/>
  <c r="H8722" i="2"/>
  <c r="J8722" i="2"/>
  <c r="K8722" i="2"/>
  <c r="L8722" i="2"/>
  <c r="C8723" i="2"/>
  <c r="D8723" i="2"/>
  <c r="F8723" i="2"/>
  <c r="G8723" i="2"/>
  <c r="H8723" i="2"/>
  <c r="J8723" i="2"/>
  <c r="K8723" i="2"/>
  <c r="L8723" i="2"/>
  <c r="C8724" i="2"/>
  <c r="D8724" i="2"/>
  <c r="F8724" i="2"/>
  <c r="G8724" i="2"/>
  <c r="H8724" i="2"/>
  <c r="J8724" i="2"/>
  <c r="K8724" i="2"/>
  <c r="L8724" i="2"/>
  <c r="C8725" i="2"/>
  <c r="D8725" i="2"/>
  <c r="F8725" i="2"/>
  <c r="G8725" i="2"/>
  <c r="H8725" i="2"/>
  <c r="J8725" i="2"/>
  <c r="K8725" i="2"/>
  <c r="L8725" i="2"/>
  <c r="C8726" i="2"/>
  <c r="D8726" i="2"/>
  <c r="F8726" i="2"/>
  <c r="G8726" i="2"/>
  <c r="H8726" i="2"/>
  <c r="J8726" i="2"/>
  <c r="K8726" i="2"/>
  <c r="L8726" i="2"/>
  <c r="C8727" i="2"/>
  <c r="D8727" i="2"/>
  <c r="F8727" i="2"/>
  <c r="G8727" i="2"/>
  <c r="H8727" i="2"/>
  <c r="J8727" i="2"/>
  <c r="K8727" i="2"/>
  <c r="L8727" i="2"/>
  <c r="C8728" i="2"/>
  <c r="D8728" i="2"/>
  <c r="F8728" i="2"/>
  <c r="G8728" i="2"/>
  <c r="H8728" i="2"/>
  <c r="J8728" i="2"/>
  <c r="K8728" i="2"/>
  <c r="L8728" i="2"/>
  <c r="C8729" i="2"/>
  <c r="D8729" i="2"/>
  <c r="F8729" i="2"/>
  <c r="G8729" i="2"/>
  <c r="H8729" i="2"/>
  <c r="J8729" i="2"/>
  <c r="K8729" i="2"/>
  <c r="L8729" i="2"/>
  <c r="C8730" i="2"/>
  <c r="D8730" i="2"/>
  <c r="F8730" i="2"/>
  <c r="G8730" i="2"/>
  <c r="H8730" i="2"/>
  <c r="J8730" i="2"/>
  <c r="K8730" i="2"/>
  <c r="L8730" i="2"/>
  <c r="C8731" i="2"/>
  <c r="D8731" i="2"/>
  <c r="F8731" i="2"/>
  <c r="G8731" i="2"/>
  <c r="H8731" i="2"/>
  <c r="J8731" i="2"/>
  <c r="K8731" i="2"/>
  <c r="L8731" i="2"/>
  <c r="C8732" i="2"/>
  <c r="D8732" i="2"/>
  <c r="F8732" i="2"/>
  <c r="G8732" i="2"/>
  <c r="H8732" i="2"/>
  <c r="J8732" i="2"/>
  <c r="K8732" i="2"/>
  <c r="L8732" i="2"/>
  <c r="C8733" i="2"/>
  <c r="D8733" i="2"/>
  <c r="F8733" i="2"/>
  <c r="G8733" i="2"/>
  <c r="H8733" i="2"/>
  <c r="J8733" i="2"/>
  <c r="K8733" i="2"/>
  <c r="L8733" i="2"/>
  <c r="C8734" i="2"/>
  <c r="D8734" i="2"/>
  <c r="F8734" i="2"/>
  <c r="G8734" i="2"/>
  <c r="H8734" i="2"/>
  <c r="J8734" i="2"/>
  <c r="K8734" i="2"/>
  <c r="L8734" i="2"/>
  <c r="C8735" i="2"/>
  <c r="D8735" i="2"/>
  <c r="F8735" i="2"/>
  <c r="G8735" i="2"/>
  <c r="H8735" i="2"/>
  <c r="J8735" i="2"/>
  <c r="K8735" i="2"/>
  <c r="L8735" i="2"/>
  <c r="C8736" i="2"/>
  <c r="D8736" i="2"/>
  <c r="F8736" i="2"/>
  <c r="G8736" i="2"/>
  <c r="H8736" i="2"/>
  <c r="J8736" i="2"/>
  <c r="K8736" i="2"/>
  <c r="L8736" i="2"/>
  <c r="C8737" i="2"/>
  <c r="D8737" i="2"/>
  <c r="F8737" i="2"/>
  <c r="G8737" i="2"/>
  <c r="H8737" i="2"/>
  <c r="J8737" i="2"/>
  <c r="K8737" i="2"/>
  <c r="L8737" i="2"/>
  <c r="C8738" i="2"/>
  <c r="D8738" i="2"/>
  <c r="F8738" i="2"/>
  <c r="G8738" i="2"/>
  <c r="H8738" i="2"/>
  <c r="J8738" i="2"/>
  <c r="K8738" i="2"/>
  <c r="L8738" i="2"/>
  <c r="C8739" i="2"/>
  <c r="D8739" i="2"/>
  <c r="F8739" i="2"/>
  <c r="G8739" i="2"/>
  <c r="H8739" i="2"/>
  <c r="J8739" i="2"/>
  <c r="K8739" i="2"/>
  <c r="L8739" i="2"/>
  <c r="C8740" i="2"/>
  <c r="D8740" i="2"/>
  <c r="F8740" i="2"/>
  <c r="G8740" i="2"/>
  <c r="H8740" i="2"/>
  <c r="J8740" i="2"/>
  <c r="K8740" i="2"/>
  <c r="L8740" i="2"/>
  <c r="C8741" i="2"/>
  <c r="D8741" i="2"/>
  <c r="F8741" i="2"/>
  <c r="G8741" i="2"/>
  <c r="H8741" i="2"/>
  <c r="J8741" i="2"/>
  <c r="K8741" i="2"/>
  <c r="L8741" i="2"/>
  <c r="C8742" i="2"/>
  <c r="D8742" i="2"/>
  <c r="F8742" i="2"/>
  <c r="G8742" i="2"/>
  <c r="H8742" i="2"/>
  <c r="J8742" i="2"/>
  <c r="K8742" i="2"/>
  <c r="L8742" i="2"/>
  <c r="C8743" i="2"/>
  <c r="D8743" i="2"/>
  <c r="F8743" i="2"/>
  <c r="G8743" i="2"/>
  <c r="H8743" i="2"/>
  <c r="J8743" i="2"/>
  <c r="K8743" i="2"/>
  <c r="L8743" i="2"/>
  <c r="C8744" i="2"/>
  <c r="D8744" i="2"/>
  <c r="F8744" i="2"/>
  <c r="G8744" i="2"/>
  <c r="H8744" i="2"/>
  <c r="J8744" i="2"/>
  <c r="K8744" i="2"/>
  <c r="L8744" i="2"/>
  <c r="C8745" i="2"/>
  <c r="D8745" i="2"/>
  <c r="F8745" i="2"/>
  <c r="G8745" i="2"/>
  <c r="H8745" i="2"/>
  <c r="J8745" i="2"/>
  <c r="K8745" i="2"/>
  <c r="L8745" i="2"/>
  <c r="C8746" i="2"/>
  <c r="D8746" i="2"/>
  <c r="F8746" i="2"/>
  <c r="G8746" i="2"/>
  <c r="H8746" i="2"/>
  <c r="J8746" i="2"/>
  <c r="K8746" i="2"/>
  <c r="L8746" i="2"/>
  <c r="C8747" i="2"/>
  <c r="D8747" i="2"/>
  <c r="F8747" i="2"/>
  <c r="G8747" i="2"/>
  <c r="H8747" i="2"/>
  <c r="J8747" i="2"/>
  <c r="K8747" i="2"/>
  <c r="L8747" i="2"/>
  <c r="C8748" i="2"/>
  <c r="D8748" i="2"/>
  <c r="F8748" i="2"/>
  <c r="G8748" i="2"/>
  <c r="H8748" i="2"/>
  <c r="J8748" i="2"/>
  <c r="K8748" i="2"/>
  <c r="L8748" i="2"/>
  <c r="C8749" i="2"/>
  <c r="D8749" i="2"/>
  <c r="F8749" i="2"/>
  <c r="G8749" i="2"/>
  <c r="H8749" i="2"/>
  <c r="J8749" i="2"/>
  <c r="K8749" i="2"/>
  <c r="L8749" i="2"/>
  <c r="C8750" i="2"/>
  <c r="D8750" i="2"/>
  <c r="F8750" i="2"/>
  <c r="G8750" i="2"/>
  <c r="H8750" i="2"/>
  <c r="J8750" i="2"/>
  <c r="K8750" i="2"/>
  <c r="L8750" i="2"/>
  <c r="C8751" i="2"/>
  <c r="D8751" i="2"/>
  <c r="F8751" i="2"/>
  <c r="G8751" i="2"/>
  <c r="H8751" i="2"/>
  <c r="J8751" i="2"/>
  <c r="K8751" i="2"/>
  <c r="L8751" i="2"/>
  <c r="C8752" i="2"/>
  <c r="D8752" i="2"/>
  <c r="F8752" i="2"/>
  <c r="G8752" i="2"/>
  <c r="H8752" i="2"/>
  <c r="J8752" i="2"/>
  <c r="K8752" i="2"/>
  <c r="L8752" i="2"/>
  <c r="C8753" i="2"/>
  <c r="D8753" i="2"/>
  <c r="F8753" i="2"/>
  <c r="G8753" i="2"/>
  <c r="H8753" i="2"/>
  <c r="J8753" i="2"/>
  <c r="K8753" i="2"/>
  <c r="L8753" i="2"/>
  <c r="C8754" i="2"/>
  <c r="D8754" i="2"/>
  <c r="F8754" i="2"/>
  <c r="G8754" i="2"/>
  <c r="H8754" i="2"/>
  <c r="J8754" i="2"/>
  <c r="K8754" i="2"/>
  <c r="L8754" i="2"/>
  <c r="C8755" i="2"/>
  <c r="D8755" i="2"/>
  <c r="F8755" i="2"/>
  <c r="G8755" i="2"/>
  <c r="H8755" i="2"/>
  <c r="J8755" i="2"/>
  <c r="K8755" i="2"/>
  <c r="L8755" i="2"/>
  <c r="C8756" i="2"/>
  <c r="D8756" i="2"/>
  <c r="F8756" i="2"/>
  <c r="G8756" i="2"/>
  <c r="H8756" i="2"/>
  <c r="J8756" i="2"/>
  <c r="K8756" i="2"/>
  <c r="L8756" i="2"/>
  <c r="C8757" i="2"/>
  <c r="D8757" i="2"/>
  <c r="F8757" i="2"/>
  <c r="G8757" i="2"/>
  <c r="H8757" i="2"/>
  <c r="J8757" i="2"/>
  <c r="K8757" i="2"/>
  <c r="L8757" i="2"/>
  <c r="C8758" i="2"/>
  <c r="D8758" i="2"/>
  <c r="F8758" i="2"/>
  <c r="G8758" i="2"/>
  <c r="H8758" i="2"/>
  <c r="J8758" i="2"/>
  <c r="K8758" i="2"/>
  <c r="L8758" i="2"/>
  <c r="C8759" i="2"/>
  <c r="D8759" i="2"/>
  <c r="F8759" i="2"/>
  <c r="G8759" i="2"/>
  <c r="H8759" i="2"/>
  <c r="J8759" i="2"/>
  <c r="K8759" i="2"/>
  <c r="L8759" i="2"/>
  <c r="C8760" i="2"/>
  <c r="D8760" i="2"/>
  <c r="F8760" i="2"/>
  <c r="G8760" i="2"/>
  <c r="H8760" i="2"/>
  <c r="J8760" i="2"/>
  <c r="K8760" i="2"/>
  <c r="L8760" i="2"/>
  <c r="C8761" i="2"/>
  <c r="D8761" i="2"/>
  <c r="F8761" i="2"/>
  <c r="G8761" i="2"/>
  <c r="H8761" i="2"/>
  <c r="J8761" i="2"/>
  <c r="K8761" i="2"/>
  <c r="L8761" i="2"/>
  <c r="C8762" i="2"/>
  <c r="D8762" i="2"/>
  <c r="F8762" i="2"/>
  <c r="G8762" i="2"/>
  <c r="H8762" i="2"/>
  <c r="J8762" i="2"/>
  <c r="K8762" i="2"/>
  <c r="L8762" i="2"/>
  <c r="C8763" i="2"/>
  <c r="D8763" i="2"/>
  <c r="F8763" i="2"/>
  <c r="G8763" i="2"/>
  <c r="H8763" i="2"/>
  <c r="J8763" i="2"/>
  <c r="K8763" i="2"/>
  <c r="L8763" i="2"/>
  <c r="C8764" i="2"/>
  <c r="D8764" i="2"/>
  <c r="F8764" i="2"/>
  <c r="G8764" i="2"/>
  <c r="H8764" i="2"/>
  <c r="J8764" i="2"/>
  <c r="K8764" i="2"/>
  <c r="L8764" i="2"/>
  <c r="C8765" i="2"/>
  <c r="D8765" i="2"/>
  <c r="F8765" i="2"/>
  <c r="G8765" i="2"/>
  <c r="H8765" i="2"/>
  <c r="J8765" i="2"/>
  <c r="K8765" i="2"/>
  <c r="L8765" i="2"/>
  <c r="C8766" i="2"/>
  <c r="D8766" i="2"/>
  <c r="F8766" i="2"/>
  <c r="G8766" i="2"/>
  <c r="H8766" i="2"/>
  <c r="J8766" i="2"/>
  <c r="K8766" i="2"/>
  <c r="L8766" i="2"/>
  <c r="C8767" i="2"/>
  <c r="D8767" i="2"/>
  <c r="F8767" i="2"/>
  <c r="G8767" i="2"/>
  <c r="H8767" i="2"/>
  <c r="J8767" i="2"/>
  <c r="K8767" i="2"/>
  <c r="L8767" i="2"/>
  <c r="C8768" i="2"/>
  <c r="D8768" i="2"/>
  <c r="F8768" i="2"/>
  <c r="G8768" i="2"/>
  <c r="H8768" i="2"/>
  <c r="J8768" i="2"/>
  <c r="K8768" i="2"/>
  <c r="L8768" i="2"/>
  <c r="C8769" i="2"/>
  <c r="D8769" i="2"/>
  <c r="F8769" i="2"/>
  <c r="G8769" i="2"/>
  <c r="H8769" i="2"/>
  <c r="J8769" i="2"/>
  <c r="K8769" i="2"/>
  <c r="L8769" i="2"/>
  <c r="C8770" i="2"/>
  <c r="D8770" i="2"/>
  <c r="F8770" i="2"/>
  <c r="G8770" i="2"/>
  <c r="H8770" i="2"/>
  <c r="J8770" i="2"/>
  <c r="K8770" i="2"/>
  <c r="L8770" i="2"/>
  <c r="C8771" i="2"/>
  <c r="D8771" i="2"/>
  <c r="F8771" i="2"/>
  <c r="G8771" i="2"/>
  <c r="H8771" i="2"/>
  <c r="J8771" i="2"/>
  <c r="K8771" i="2"/>
  <c r="L8771" i="2"/>
  <c r="C8772" i="2"/>
  <c r="D8772" i="2"/>
  <c r="F8772" i="2"/>
  <c r="G8772" i="2"/>
  <c r="H8772" i="2"/>
  <c r="J8772" i="2"/>
  <c r="K8772" i="2"/>
  <c r="L8772" i="2"/>
  <c r="C8773" i="2"/>
  <c r="D8773" i="2"/>
  <c r="F8773" i="2"/>
  <c r="G8773" i="2"/>
  <c r="H8773" i="2"/>
  <c r="J8773" i="2"/>
  <c r="K8773" i="2"/>
  <c r="L8773" i="2"/>
  <c r="C8774" i="2"/>
  <c r="D8774" i="2"/>
  <c r="F8774" i="2"/>
  <c r="G8774" i="2"/>
  <c r="H8774" i="2"/>
  <c r="J8774" i="2"/>
  <c r="K8774" i="2"/>
  <c r="L8774" i="2"/>
  <c r="C8775" i="2"/>
  <c r="D8775" i="2"/>
  <c r="F8775" i="2"/>
  <c r="G8775" i="2"/>
  <c r="H8775" i="2"/>
  <c r="J8775" i="2"/>
  <c r="K8775" i="2"/>
  <c r="L8775" i="2"/>
  <c r="C8776" i="2"/>
  <c r="D8776" i="2"/>
  <c r="F8776" i="2"/>
  <c r="G8776" i="2"/>
  <c r="H8776" i="2"/>
  <c r="J8776" i="2"/>
  <c r="K8776" i="2"/>
  <c r="L8776" i="2"/>
  <c r="C8777" i="2"/>
  <c r="D8777" i="2"/>
  <c r="F8777" i="2"/>
  <c r="G8777" i="2"/>
  <c r="H8777" i="2"/>
  <c r="J8777" i="2"/>
  <c r="K8777" i="2"/>
  <c r="L8777" i="2"/>
  <c r="C8778" i="2"/>
  <c r="D8778" i="2"/>
  <c r="F8778" i="2"/>
  <c r="G8778" i="2"/>
  <c r="H8778" i="2"/>
  <c r="J8778" i="2"/>
  <c r="K8778" i="2"/>
  <c r="L8778" i="2"/>
  <c r="C8779" i="2"/>
  <c r="D8779" i="2"/>
  <c r="F8779" i="2"/>
  <c r="G8779" i="2"/>
  <c r="H8779" i="2"/>
  <c r="J8779" i="2"/>
  <c r="K8779" i="2"/>
  <c r="L8779" i="2"/>
  <c r="C8780" i="2"/>
  <c r="D8780" i="2"/>
  <c r="F8780" i="2"/>
  <c r="G8780" i="2"/>
  <c r="H8780" i="2"/>
  <c r="J8780" i="2"/>
  <c r="K8780" i="2"/>
  <c r="L8780" i="2"/>
  <c r="C8781" i="2"/>
  <c r="D8781" i="2"/>
  <c r="F8781" i="2"/>
  <c r="G8781" i="2"/>
  <c r="H8781" i="2"/>
  <c r="J8781" i="2"/>
  <c r="K8781" i="2"/>
  <c r="L8781" i="2"/>
  <c r="C8782" i="2"/>
  <c r="D8782" i="2"/>
  <c r="F8782" i="2"/>
  <c r="G8782" i="2"/>
  <c r="H8782" i="2"/>
  <c r="J8782" i="2"/>
  <c r="K8782" i="2"/>
  <c r="L8782" i="2"/>
  <c r="C8783" i="2"/>
  <c r="D8783" i="2"/>
  <c r="F8783" i="2"/>
  <c r="G8783" i="2"/>
  <c r="H8783" i="2"/>
  <c r="J8783" i="2"/>
  <c r="K8783" i="2"/>
  <c r="L8783" i="2"/>
  <c r="C8784" i="2"/>
  <c r="D8784" i="2"/>
  <c r="F8784" i="2"/>
  <c r="G8784" i="2"/>
  <c r="H8784" i="2"/>
  <c r="J8784" i="2"/>
  <c r="K8784" i="2"/>
  <c r="L8784" i="2"/>
  <c r="C8785" i="2"/>
  <c r="D8785" i="2"/>
  <c r="F8785" i="2"/>
  <c r="G8785" i="2"/>
  <c r="H8785" i="2"/>
  <c r="J8785" i="2"/>
  <c r="K8785" i="2"/>
  <c r="L8785" i="2"/>
  <c r="C8786" i="2"/>
  <c r="D8786" i="2"/>
  <c r="F8786" i="2"/>
  <c r="G8786" i="2"/>
  <c r="H8786" i="2"/>
  <c r="J8786" i="2"/>
  <c r="K8786" i="2"/>
  <c r="L8786" i="2"/>
  <c r="C8787" i="2"/>
  <c r="D8787" i="2"/>
  <c r="F8787" i="2"/>
  <c r="G8787" i="2"/>
  <c r="H8787" i="2"/>
  <c r="J8787" i="2"/>
  <c r="K8787" i="2"/>
  <c r="L8787" i="2"/>
  <c r="C8788" i="2"/>
  <c r="D8788" i="2"/>
  <c r="F8788" i="2"/>
  <c r="G8788" i="2"/>
  <c r="H8788" i="2"/>
  <c r="J8788" i="2"/>
  <c r="K8788" i="2"/>
  <c r="L8788" i="2"/>
  <c r="C8789" i="2"/>
  <c r="D8789" i="2"/>
  <c r="F8789" i="2"/>
  <c r="G8789" i="2"/>
  <c r="H8789" i="2"/>
  <c r="J8789" i="2"/>
  <c r="K8789" i="2"/>
  <c r="L8789" i="2"/>
  <c r="C8790" i="2"/>
  <c r="D8790" i="2"/>
  <c r="F8790" i="2"/>
  <c r="G8790" i="2"/>
  <c r="H8790" i="2"/>
  <c r="J8790" i="2"/>
  <c r="K8790" i="2"/>
  <c r="L8790" i="2"/>
  <c r="C8791" i="2"/>
  <c r="D8791" i="2"/>
  <c r="F8791" i="2"/>
  <c r="G8791" i="2"/>
  <c r="H8791" i="2"/>
  <c r="J8791" i="2"/>
  <c r="K8791" i="2"/>
  <c r="L8791" i="2"/>
  <c r="C8792" i="2"/>
  <c r="D8792" i="2"/>
  <c r="F8792" i="2"/>
  <c r="G8792" i="2"/>
  <c r="H8792" i="2"/>
  <c r="J8792" i="2"/>
  <c r="K8792" i="2"/>
  <c r="L8792" i="2"/>
  <c r="C8793" i="2"/>
  <c r="D8793" i="2"/>
  <c r="F8793" i="2"/>
  <c r="G8793" i="2"/>
  <c r="H8793" i="2"/>
  <c r="J8793" i="2"/>
  <c r="K8793" i="2"/>
  <c r="L8793" i="2"/>
  <c r="C8794" i="2"/>
  <c r="D8794" i="2"/>
  <c r="F8794" i="2"/>
  <c r="G8794" i="2"/>
  <c r="H8794" i="2"/>
  <c r="J8794" i="2"/>
  <c r="K8794" i="2"/>
  <c r="L8794" i="2"/>
  <c r="C8795" i="2"/>
  <c r="D8795" i="2"/>
  <c r="F8795" i="2"/>
  <c r="G8795" i="2"/>
  <c r="H8795" i="2"/>
  <c r="J8795" i="2"/>
  <c r="K8795" i="2"/>
  <c r="L8795" i="2"/>
  <c r="C8796" i="2"/>
  <c r="D8796" i="2"/>
  <c r="F8796" i="2"/>
  <c r="G8796" i="2"/>
  <c r="H8796" i="2"/>
  <c r="J8796" i="2"/>
  <c r="K8796" i="2"/>
  <c r="L8796" i="2"/>
  <c r="C8797" i="2"/>
  <c r="D8797" i="2"/>
  <c r="F8797" i="2"/>
  <c r="G8797" i="2"/>
  <c r="H8797" i="2"/>
  <c r="J8797" i="2"/>
  <c r="K8797" i="2"/>
  <c r="L8797" i="2"/>
  <c r="C8798" i="2"/>
  <c r="D8798" i="2"/>
  <c r="F8798" i="2"/>
  <c r="G8798" i="2"/>
  <c r="H8798" i="2"/>
  <c r="J8798" i="2"/>
  <c r="K8798" i="2"/>
  <c r="L8798" i="2"/>
  <c r="C8799" i="2"/>
  <c r="D8799" i="2"/>
  <c r="F8799" i="2"/>
  <c r="G8799" i="2"/>
  <c r="H8799" i="2"/>
  <c r="J8799" i="2"/>
  <c r="K8799" i="2"/>
  <c r="L8799" i="2"/>
  <c r="C8800" i="2"/>
  <c r="D8800" i="2"/>
  <c r="F8800" i="2"/>
  <c r="G8800" i="2"/>
  <c r="H8800" i="2"/>
  <c r="J8800" i="2"/>
  <c r="K8800" i="2"/>
  <c r="L8800" i="2"/>
  <c r="C8801" i="2"/>
  <c r="D8801" i="2"/>
  <c r="F8801" i="2"/>
  <c r="G8801" i="2"/>
  <c r="H8801" i="2"/>
  <c r="J8801" i="2"/>
  <c r="K8801" i="2"/>
  <c r="L8801" i="2"/>
  <c r="C8802" i="2"/>
  <c r="D8802" i="2"/>
  <c r="F8802" i="2"/>
  <c r="G8802" i="2"/>
  <c r="H8802" i="2"/>
  <c r="J8802" i="2"/>
  <c r="K8802" i="2"/>
  <c r="L8802" i="2"/>
  <c r="C8803" i="2"/>
  <c r="D8803" i="2"/>
  <c r="F8803" i="2"/>
  <c r="G8803" i="2"/>
  <c r="H8803" i="2"/>
  <c r="J8803" i="2"/>
  <c r="K8803" i="2"/>
  <c r="L8803" i="2"/>
  <c r="C8804" i="2"/>
  <c r="D8804" i="2"/>
  <c r="F8804" i="2"/>
  <c r="G8804" i="2"/>
  <c r="H8804" i="2"/>
  <c r="J8804" i="2"/>
  <c r="K8804" i="2"/>
  <c r="L8804" i="2"/>
  <c r="C8805" i="2"/>
  <c r="D8805" i="2"/>
  <c r="F8805" i="2"/>
  <c r="G8805" i="2"/>
  <c r="H8805" i="2"/>
  <c r="J8805" i="2"/>
  <c r="K8805" i="2"/>
  <c r="L8805" i="2"/>
  <c r="C8806" i="2"/>
  <c r="D8806" i="2"/>
  <c r="F8806" i="2"/>
  <c r="G8806" i="2"/>
  <c r="H8806" i="2"/>
  <c r="J8806" i="2"/>
  <c r="K8806" i="2"/>
  <c r="L8806" i="2"/>
  <c r="C8807" i="2"/>
  <c r="D8807" i="2"/>
  <c r="F8807" i="2"/>
  <c r="G8807" i="2"/>
  <c r="H8807" i="2"/>
  <c r="J8807" i="2"/>
  <c r="K8807" i="2"/>
  <c r="L8807" i="2"/>
  <c r="C8808" i="2"/>
  <c r="D8808" i="2"/>
  <c r="F8808" i="2"/>
  <c r="G8808" i="2"/>
  <c r="H8808" i="2"/>
  <c r="J8808" i="2"/>
  <c r="K8808" i="2"/>
  <c r="L8808" i="2"/>
  <c r="C8809" i="2"/>
  <c r="D8809" i="2"/>
  <c r="F8809" i="2"/>
  <c r="G8809" i="2"/>
  <c r="H8809" i="2"/>
  <c r="J8809" i="2"/>
  <c r="K8809" i="2"/>
  <c r="L8809" i="2"/>
  <c r="C8810" i="2"/>
  <c r="D8810" i="2"/>
  <c r="F8810" i="2"/>
  <c r="G8810" i="2"/>
  <c r="H8810" i="2"/>
  <c r="J8810" i="2"/>
  <c r="K8810" i="2"/>
  <c r="L8810" i="2"/>
  <c r="C8811" i="2"/>
  <c r="D8811" i="2"/>
  <c r="F8811" i="2"/>
  <c r="G8811" i="2"/>
  <c r="H8811" i="2"/>
  <c r="J8811" i="2"/>
  <c r="K8811" i="2"/>
  <c r="L8811" i="2"/>
  <c r="C8812" i="2"/>
  <c r="D8812" i="2"/>
  <c r="F8812" i="2"/>
  <c r="G8812" i="2"/>
  <c r="H8812" i="2"/>
  <c r="J8812" i="2"/>
  <c r="K8812" i="2"/>
  <c r="L8812" i="2"/>
  <c r="C8813" i="2"/>
  <c r="D8813" i="2"/>
  <c r="F8813" i="2"/>
  <c r="G8813" i="2"/>
  <c r="H8813" i="2"/>
  <c r="J8813" i="2"/>
  <c r="K8813" i="2"/>
  <c r="L8813" i="2"/>
  <c r="C8814" i="2"/>
  <c r="D8814" i="2"/>
  <c r="F8814" i="2"/>
  <c r="G8814" i="2"/>
  <c r="H8814" i="2"/>
  <c r="J8814" i="2"/>
  <c r="K8814" i="2"/>
  <c r="L8814" i="2"/>
  <c r="C8815" i="2"/>
  <c r="D8815" i="2"/>
  <c r="F8815" i="2"/>
  <c r="G8815" i="2"/>
  <c r="H8815" i="2"/>
  <c r="J8815" i="2"/>
  <c r="K8815" i="2"/>
  <c r="L8815" i="2"/>
  <c r="C8816" i="2"/>
  <c r="D8816" i="2"/>
  <c r="F8816" i="2"/>
  <c r="G8816" i="2"/>
  <c r="H8816" i="2"/>
  <c r="J8816" i="2"/>
  <c r="K8816" i="2"/>
  <c r="L8816" i="2"/>
  <c r="C8817" i="2"/>
  <c r="D8817" i="2"/>
  <c r="F8817" i="2"/>
  <c r="G8817" i="2"/>
  <c r="H8817" i="2"/>
  <c r="J8817" i="2"/>
  <c r="K8817" i="2"/>
  <c r="L8817" i="2"/>
  <c r="C8818" i="2"/>
  <c r="D8818" i="2"/>
  <c r="F8818" i="2"/>
  <c r="G8818" i="2"/>
  <c r="H8818" i="2"/>
  <c r="J8818" i="2"/>
  <c r="K8818" i="2"/>
  <c r="L8818" i="2"/>
  <c r="C8819" i="2"/>
  <c r="D8819" i="2"/>
  <c r="F8819" i="2"/>
  <c r="G8819" i="2"/>
  <c r="H8819" i="2"/>
  <c r="J8819" i="2"/>
  <c r="K8819" i="2"/>
  <c r="L8819" i="2"/>
  <c r="C8820" i="2"/>
  <c r="D8820" i="2"/>
  <c r="F8820" i="2"/>
  <c r="G8820" i="2"/>
  <c r="H8820" i="2"/>
  <c r="J8820" i="2"/>
  <c r="K8820" i="2"/>
  <c r="L8820" i="2"/>
  <c r="C8821" i="2"/>
  <c r="D8821" i="2"/>
  <c r="F8821" i="2"/>
  <c r="G8821" i="2"/>
  <c r="H8821" i="2"/>
  <c r="J8821" i="2"/>
  <c r="K8821" i="2"/>
  <c r="L8821" i="2"/>
  <c r="C8822" i="2"/>
  <c r="D8822" i="2"/>
  <c r="F8822" i="2"/>
  <c r="G8822" i="2"/>
  <c r="H8822" i="2"/>
  <c r="J8822" i="2"/>
  <c r="K8822" i="2"/>
  <c r="L8822" i="2"/>
  <c r="C8823" i="2"/>
  <c r="D8823" i="2"/>
  <c r="F8823" i="2"/>
  <c r="G8823" i="2"/>
  <c r="H8823" i="2"/>
  <c r="J8823" i="2"/>
  <c r="K8823" i="2"/>
  <c r="L8823" i="2"/>
  <c r="C8824" i="2"/>
  <c r="D8824" i="2"/>
  <c r="F8824" i="2"/>
  <c r="G8824" i="2"/>
  <c r="H8824" i="2"/>
  <c r="J8824" i="2"/>
  <c r="K8824" i="2"/>
  <c r="L8824" i="2"/>
  <c r="C8825" i="2"/>
  <c r="D8825" i="2"/>
  <c r="F8825" i="2"/>
  <c r="G8825" i="2"/>
  <c r="H8825" i="2"/>
  <c r="J8825" i="2"/>
  <c r="K8825" i="2"/>
  <c r="L8825" i="2"/>
  <c r="C8826" i="2"/>
  <c r="D8826" i="2"/>
  <c r="F8826" i="2"/>
  <c r="G8826" i="2"/>
  <c r="H8826" i="2"/>
  <c r="J8826" i="2"/>
  <c r="K8826" i="2"/>
  <c r="L8826" i="2"/>
  <c r="C8827" i="2"/>
  <c r="D8827" i="2"/>
  <c r="F8827" i="2"/>
  <c r="G8827" i="2"/>
  <c r="H8827" i="2"/>
  <c r="J8827" i="2"/>
  <c r="K8827" i="2"/>
  <c r="L8827" i="2"/>
  <c r="C8828" i="2"/>
  <c r="D8828" i="2"/>
  <c r="F8828" i="2"/>
  <c r="G8828" i="2"/>
  <c r="H8828" i="2"/>
  <c r="J8828" i="2"/>
  <c r="K8828" i="2"/>
  <c r="L8828" i="2"/>
  <c r="C8829" i="2"/>
  <c r="D8829" i="2"/>
  <c r="F8829" i="2"/>
  <c r="G8829" i="2"/>
  <c r="H8829" i="2"/>
  <c r="J8829" i="2"/>
  <c r="K8829" i="2"/>
  <c r="L8829" i="2"/>
  <c r="C8830" i="2"/>
  <c r="D8830" i="2"/>
  <c r="F8830" i="2"/>
  <c r="G8830" i="2"/>
  <c r="H8830" i="2"/>
  <c r="J8830" i="2"/>
  <c r="K8830" i="2"/>
  <c r="L8830" i="2"/>
  <c r="C8831" i="2"/>
  <c r="D8831" i="2"/>
  <c r="F8831" i="2"/>
  <c r="G8831" i="2"/>
  <c r="H8831" i="2"/>
  <c r="J8831" i="2"/>
  <c r="K8831" i="2"/>
  <c r="L8831" i="2"/>
  <c r="C8832" i="2"/>
  <c r="D8832" i="2"/>
  <c r="F8832" i="2"/>
  <c r="G8832" i="2"/>
  <c r="H8832" i="2"/>
  <c r="J8832" i="2"/>
  <c r="K8832" i="2"/>
  <c r="L8832" i="2"/>
  <c r="C8833" i="2"/>
  <c r="D8833" i="2"/>
  <c r="F8833" i="2"/>
  <c r="G8833" i="2"/>
  <c r="H8833" i="2"/>
  <c r="J8833" i="2"/>
  <c r="K8833" i="2"/>
  <c r="L8833" i="2"/>
  <c r="C8834" i="2"/>
  <c r="D8834" i="2"/>
  <c r="F8834" i="2"/>
  <c r="G8834" i="2"/>
  <c r="H8834" i="2"/>
  <c r="J8834" i="2"/>
  <c r="K8834" i="2"/>
  <c r="L8834" i="2"/>
  <c r="C8835" i="2"/>
  <c r="D8835" i="2"/>
  <c r="F8835" i="2"/>
  <c r="G8835" i="2"/>
  <c r="H8835" i="2"/>
  <c r="J8835" i="2"/>
  <c r="K8835" i="2"/>
  <c r="L8835" i="2"/>
  <c r="C8836" i="2"/>
  <c r="D8836" i="2"/>
  <c r="F8836" i="2"/>
  <c r="G8836" i="2"/>
  <c r="H8836" i="2"/>
  <c r="J8836" i="2"/>
  <c r="K8836" i="2"/>
  <c r="L8836" i="2"/>
  <c r="C8837" i="2"/>
  <c r="D8837" i="2"/>
  <c r="F8837" i="2"/>
  <c r="G8837" i="2"/>
  <c r="H8837" i="2"/>
  <c r="J8837" i="2"/>
  <c r="K8837" i="2"/>
  <c r="L8837" i="2"/>
  <c r="C8838" i="2"/>
  <c r="D8838" i="2"/>
  <c r="F8838" i="2"/>
  <c r="G8838" i="2"/>
  <c r="H8838" i="2"/>
  <c r="J8838" i="2"/>
  <c r="K8838" i="2"/>
  <c r="L8838" i="2"/>
  <c r="C8839" i="2"/>
  <c r="D8839" i="2"/>
  <c r="F8839" i="2"/>
  <c r="G8839" i="2"/>
  <c r="H8839" i="2"/>
  <c r="J8839" i="2"/>
  <c r="K8839" i="2"/>
  <c r="L8839" i="2"/>
  <c r="C8840" i="2"/>
  <c r="D8840" i="2"/>
  <c r="F8840" i="2"/>
  <c r="G8840" i="2"/>
  <c r="H8840" i="2"/>
  <c r="J8840" i="2"/>
  <c r="K8840" i="2"/>
  <c r="L8840" i="2"/>
  <c r="C8841" i="2"/>
  <c r="D8841" i="2"/>
  <c r="F8841" i="2"/>
  <c r="G8841" i="2"/>
  <c r="H8841" i="2"/>
  <c r="J8841" i="2"/>
  <c r="K8841" i="2"/>
  <c r="L8841" i="2"/>
  <c r="C8842" i="2"/>
  <c r="D8842" i="2"/>
  <c r="F8842" i="2"/>
  <c r="G8842" i="2"/>
  <c r="H8842" i="2"/>
  <c r="J8842" i="2"/>
  <c r="K8842" i="2"/>
  <c r="L8842" i="2"/>
  <c r="C8843" i="2"/>
  <c r="D8843" i="2"/>
  <c r="F8843" i="2"/>
  <c r="G8843" i="2"/>
  <c r="H8843" i="2"/>
  <c r="J8843" i="2"/>
  <c r="K8843" i="2"/>
  <c r="L8843" i="2"/>
  <c r="C8844" i="2"/>
  <c r="D8844" i="2"/>
  <c r="F8844" i="2"/>
  <c r="G8844" i="2"/>
  <c r="H8844" i="2"/>
  <c r="J8844" i="2"/>
  <c r="K8844" i="2"/>
  <c r="L8844" i="2"/>
  <c r="C8845" i="2"/>
  <c r="D8845" i="2"/>
  <c r="F8845" i="2"/>
  <c r="G8845" i="2"/>
  <c r="H8845" i="2"/>
  <c r="J8845" i="2"/>
  <c r="K8845" i="2"/>
  <c r="L8845" i="2"/>
  <c r="C8846" i="2"/>
  <c r="D8846" i="2"/>
  <c r="F8846" i="2"/>
  <c r="G8846" i="2"/>
  <c r="H8846" i="2"/>
  <c r="J8846" i="2"/>
  <c r="K8846" i="2"/>
  <c r="L8846" i="2"/>
  <c r="C8847" i="2"/>
  <c r="D8847" i="2"/>
  <c r="F8847" i="2"/>
  <c r="G8847" i="2"/>
  <c r="H8847" i="2"/>
  <c r="J8847" i="2"/>
  <c r="K8847" i="2"/>
  <c r="L8847" i="2"/>
  <c r="C8848" i="2"/>
  <c r="D8848" i="2"/>
  <c r="F8848" i="2"/>
  <c r="G8848" i="2"/>
  <c r="H8848" i="2"/>
  <c r="J8848" i="2"/>
  <c r="K8848" i="2"/>
  <c r="L8848" i="2"/>
  <c r="C8849" i="2"/>
  <c r="D8849" i="2"/>
  <c r="F8849" i="2"/>
  <c r="G8849" i="2"/>
  <c r="H8849" i="2"/>
  <c r="J8849" i="2"/>
  <c r="K8849" i="2"/>
  <c r="L8849" i="2"/>
  <c r="C8850" i="2"/>
  <c r="D8850" i="2"/>
  <c r="F8850" i="2"/>
  <c r="G8850" i="2"/>
  <c r="H8850" i="2"/>
  <c r="J8850" i="2"/>
  <c r="K8850" i="2"/>
  <c r="L8850" i="2"/>
  <c r="C8851" i="2"/>
  <c r="D8851" i="2"/>
  <c r="F8851" i="2"/>
  <c r="G8851" i="2"/>
  <c r="H8851" i="2"/>
  <c r="J8851" i="2"/>
  <c r="K8851" i="2"/>
  <c r="L8851" i="2"/>
  <c r="C8852" i="2"/>
  <c r="D8852" i="2"/>
  <c r="F8852" i="2"/>
  <c r="G8852" i="2"/>
  <c r="H8852" i="2"/>
  <c r="J8852" i="2"/>
  <c r="K8852" i="2"/>
  <c r="L8852" i="2"/>
  <c r="C8853" i="2"/>
  <c r="D8853" i="2"/>
  <c r="F8853" i="2"/>
  <c r="G8853" i="2"/>
  <c r="H8853" i="2"/>
  <c r="J8853" i="2"/>
  <c r="K8853" i="2"/>
  <c r="L8853" i="2"/>
  <c r="C8854" i="2"/>
  <c r="D8854" i="2"/>
  <c r="F8854" i="2"/>
  <c r="G8854" i="2"/>
  <c r="H8854" i="2"/>
  <c r="J8854" i="2"/>
  <c r="K8854" i="2"/>
  <c r="L8854" i="2"/>
  <c r="C8855" i="2"/>
  <c r="D8855" i="2"/>
  <c r="F8855" i="2"/>
  <c r="G8855" i="2"/>
  <c r="H8855" i="2"/>
  <c r="J8855" i="2"/>
  <c r="K8855" i="2"/>
  <c r="L8855" i="2"/>
  <c r="C8856" i="2"/>
  <c r="D8856" i="2"/>
  <c r="F8856" i="2"/>
  <c r="G8856" i="2"/>
  <c r="H8856" i="2"/>
  <c r="J8856" i="2"/>
  <c r="K8856" i="2"/>
  <c r="L8856" i="2"/>
  <c r="C8857" i="2"/>
  <c r="D8857" i="2"/>
  <c r="F8857" i="2"/>
  <c r="G8857" i="2"/>
  <c r="H8857" i="2"/>
  <c r="J8857" i="2"/>
  <c r="K8857" i="2"/>
  <c r="L8857" i="2"/>
  <c r="C8858" i="2"/>
  <c r="D8858" i="2"/>
  <c r="F8858" i="2"/>
  <c r="G8858" i="2"/>
  <c r="H8858" i="2"/>
  <c r="J8858" i="2"/>
  <c r="K8858" i="2"/>
  <c r="L8858" i="2"/>
  <c r="C8859" i="2"/>
  <c r="D8859" i="2"/>
  <c r="F8859" i="2"/>
  <c r="G8859" i="2"/>
  <c r="H8859" i="2"/>
  <c r="J8859" i="2"/>
  <c r="K8859" i="2"/>
  <c r="L8859" i="2"/>
  <c r="C8860" i="2"/>
  <c r="D8860" i="2"/>
  <c r="F8860" i="2"/>
  <c r="G8860" i="2"/>
  <c r="H8860" i="2"/>
  <c r="J8860" i="2"/>
  <c r="K8860" i="2"/>
  <c r="L8860" i="2"/>
  <c r="C8861" i="2"/>
  <c r="D8861" i="2"/>
  <c r="F8861" i="2"/>
  <c r="G8861" i="2"/>
  <c r="H8861" i="2"/>
  <c r="J8861" i="2"/>
  <c r="K8861" i="2"/>
  <c r="L8861" i="2"/>
  <c r="C8862" i="2"/>
  <c r="D8862" i="2"/>
  <c r="F8862" i="2"/>
  <c r="G8862" i="2"/>
  <c r="H8862" i="2"/>
  <c r="J8862" i="2"/>
  <c r="K8862" i="2"/>
  <c r="L8862" i="2"/>
  <c r="C8863" i="2"/>
  <c r="D8863" i="2"/>
  <c r="F8863" i="2"/>
  <c r="G8863" i="2"/>
  <c r="H8863" i="2"/>
  <c r="J8863" i="2"/>
  <c r="K8863" i="2"/>
  <c r="L8863" i="2"/>
  <c r="C8864" i="2"/>
  <c r="D8864" i="2"/>
  <c r="F8864" i="2"/>
  <c r="G8864" i="2"/>
  <c r="H8864" i="2"/>
  <c r="J8864" i="2"/>
  <c r="K8864" i="2"/>
  <c r="L8864" i="2"/>
  <c r="C8865" i="2"/>
  <c r="D8865" i="2"/>
  <c r="F8865" i="2"/>
  <c r="G8865" i="2"/>
  <c r="H8865" i="2"/>
  <c r="J8865" i="2"/>
  <c r="K8865" i="2"/>
  <c r="L8865" i="2"/>
  <c r="C8866" i="2"/>
  <c r="D8866" i="2"/>
  <c r="F8866" i="2"/>
  <c r="G8866" i="2"/>
  <c r="H8866" i="2"/>
  <c r="J8866" i="2"/>
  <c r="K8866" i="2"/>
  <c r="L8866" i="2"/>
  <c r="C8867" i="2"/>
  <c r="D8867" i="2"/>
  <c r="F8867" i="2"/>
  <c r="G8867" i="2"/>
  <c r="H8867" i="2"/>
  <c r="J8867" i="2"/>
  <c r="K8867" i="2"/>
  <c r="L8867" i="2"/>
  <c r="C8868" i="2"/>
  <c r="D8868" i="2"/>
  <c r="F8868" i="2"/>
  <c r="G8868" i="2"/>
  <c r="H8868" i="2"/>
  <c r="J8868" i="2"/>
  <c r="K8868" i="2"/>
  <c r="L8868" i="2"/>
  <c r="C8869" i="2"/>
  <c r="D8869" i="2"/>
  <c r="F8869" i="2"/>
  <c r="G8869" i="2"/>
  <c r="H8869" i="2"/>
  <c r="J8869" i="2"/>
  <c r="K8869" i="2"/>
  <c r="L8869" i="2"/>
  <c r="C8870" i="2"/>
  <c r="D8870" i="2"/>
  <c r="F8870" i="2"/>
  <c r="G8870" i="2"/>
  <c r="H8870" i="2"/>
  <c r="J8870" i="2"/>
  <c r="K8870" i="2"/>
  <c r="L8870" i="2"/>
  <c r="C8871" i="2"/>
  <c r="D8871" i="2"/>
  <c r="F8871" i="2"/>
  <c r="G8871" i="2"/>
  <c r="H8871" i="2"/>
  <c r="J8871" i="2"/>
  <c r="K8871" i="2"/>
  <c r="L8871" i="2"/>
  <c r="C8872" i="2"/>
  <c r="D8872" i="2"/>
  <c r="F8872" i="2"/>
  <c r="G8872" i="2"/>
  <c r="H8872" i="2"/>
  <c r="J8872" i="2"/>
  <c r="K8872" i="2"/>
  <c r="L8872" i="2"/>
  <c r="C8873" i="2"/>
  <c r="D8873" i="2"/>
  <c r="F8873" i="2"/>
  <c r="G8873" i="2"/>
  <c r="H8873" i="2"/>
  <c r="J8873" i="2"/>
  <c r="K8873" i="2"/>
  <c r="L8873" i="2"/>
  <c r="C8874" i="2"/>
  <c r="D8874" i="2"/>
  <c r="F8874" i="2"/>
  <c r="G8874" i="2"/>
  <c r="H8874" i="2"/>
  <c r="J8874" i="2"/>
  <c r="K8874" i="2"/>
  <c r="L8874" i="2"/>
  <c r="C8875" i="2"/>
  <c r="D8875" i="2"/>
  <c r="F8875" i="2"/>
  <c r="G8875" i="2"/>
  <c r="H8875" i="2"/>
  <c r="J8875" i="2"/>
  <c r="K8875" i="2"/>
  <c r="L8875" i="2"/>
  <c r="C8876" i="2"/>
  <c r="D8876" i="2"/>
  <c r="F8876" i="2"/>
  <c r="G8876" i="2"/>
  <c r="H8876" i="2"/>
  <c r="J8876" i="2"/>
  <c r="K8876" i="2"/>
  <c r="L8876" i="2"/>
  <c r="C8877" i="2"/>
  <c r="D8877" i="2"/>
  <c r="F8877" i="2"/>
  <c r="G8877" i="2"/>
  <c r="H8877" i="2"/>
  <c r="J8877" i="2"/>
  <c r="K8877" i="2"/>
  <c r="L8877" i="2"/>
  <c r="C8878" i="2"/>
  <c r="D8878" i="2"/>
  <c r="F8878" i="2"/>
  <c r="G8878" i="2"/>
  <c r="H8878" i="2"/>
  <c r="J8878" i="2"/>
  <c r="K8878" i="2"/>
  <c r="L8878" i="2"/>
  <c r="C8879" i="2"/>
  <c r="D8879" i="2"/>
  <c r="F8879" i="2"/>
  <c r="G8879" i="2"/>
  <c r="H8879" i="2"/>
  <c r="J8879" i="2"/>
  <c r="K8879" i="2"/>
  <c r="L8879" i="2"/>
  <c r="C8880" i="2"/>
  <c r="D8880" i="2"/>
  <c r="F8880" i="2"/>
  <c r="G8880" i="2"/>
  <c r="H8880" i="2"/>
  <c r="J8880" i="2"/>
  <c r="K8880" i="2"/>
  <c r="L8880" i="2"/>
  <c r="C8881" i="2"/>
  <c r="D8881" i="2"/>
  <c r="F8881" i="2"/>
  <c r="G8881" i="2"/>
  <c r="H8881" i="2"/>
  <c r="J8881" i="2"/>
  <c r="K8881" i="2"/>
  <c r="L8881" i="2"/>
  <c r="C8882" i="2"/>
  <c r="D8882" i="2"/>
  <c r="F8882" i="2"/>
  <c r="G8882" i="2"/>
  <c r="H8882" i="2"/>
  <c r="J8882" i="2"/>
  <c r="K8882" i="2"/>
  <c r="L8882" i="2"/>
  <c r="C8883" i="2"/>
  <c r="D8883" i="2"/>
  <c r="F8883" i="2"/>
  <c r="G8883" i="2"/>
  <c r="H8883" i="2"/>
  <c r="J8883" i="2"/>
  <c r="K8883" i="2"/>
  <c r="L8883" i="2"/>
  <c r="C8884" i="2"/>
  <c r="D8884" i="2"/>
  <c r="F8884" i="2"/>
  <c r="G8884" i="2"/>
  <c r="H8884" i="2"/>
  <c r="J8884" i="2"/>
  <c r="K8884" i="2"/>
  <c r="L8884" i="2"/>
  <c r="C8885" i="2"/>
  <c r="D8885" i="2"/>
  <c r="F8885" i="2"/>
  <c r="G8885" i="2"/>
  <c r="H8885" i="2"/>
  <c r="J8885" i="2"/>
  <c r="K8885" i="2"/>
  <c r="L8885" i="2"/>
  <c r="C8886" i="2"/>
  <c r="D8886" i="2"/>
  <c r="F8886" i="2"/>
  <c r="G8886" i="2"/>
  <c r="H8886" i="2"/>
  <c r="J8886" i="2"/>
  <c r="K8886" i="2"/>
  <c r="L8886" i="2"/>
  <c r="C8887" i="2"/>
  <c r="D8887" i="2"/>
  <c r="F8887" i="2"/>
  <c r="G8887" i="2"/>
  <c r="H8887" i="2"/>
  <c r="J8887" i="2"/>
  <c r="K8887" i="2"/>
  <c r="L8887" i="2"/>
  <c r="C8888" i="2"/>
  <c r="D8888" i="2"/>
  <c r="F8888" i="2"/>
  <c r="G8888" i="2"/>
  <c r="H8888" i="2"/>
  <c r="J8888" i="2"/>
  <c r="K8888" i="2"/>
  <c r="L8888" i="2"/>
  <c r="C8889" i="2"/>
  <c r="D8889" i="2"/>
  <c r="F8889" i="2"/>
  <c r="G8889" i="2"/>
  <c r="H8889" i="2"/>
  <c r="J8889" i="2"/>
  <c r="K8889" i="2"/>
  <c r="L8889" i="2"/>
  <c r="C8890" i="2"/>
  <c r="D8890" i="2"/>
  <c r="F8890" i="2"/>
  <c r="G8890" i="2"/>
  <c r="H8890" i="2"/>
  <c r="J8890" i="2"/>
  <c r="K8890" i="2"/>
  <c r="L8890" i="2"/>
  <c r="C8891" i="2"/>
  <c r="D8891" i="2"/>
  <c r="F8891" i="2"/>
  <c r="G8891" i="2"/>
  <c r="H8891" i="2"/>
  <c r="J8891" i="2"/>
  <c r="K8891" i="2"/>
  <c r="L8891" i="2"/>
  <c r="C8892" i="2"/>
  <c r="D8892" i="2"/>
  <c r="F8892" i="2"/>
  <c r="G8892" i="2"/>
  <c r="H8892" i="2"/>
  <c r="J8892" i="2"/>
  <c r="K8892" i="2"/>
  <c r="L8892" i="2"/>
  <c r="C8893" i="2"/>
  <c r="D8893" i="2"/>
  <c r="F8893" i="2"/>
  <c r="G8893" i="2"/>
  <c r="H8893" i="2"/>
  <c r="J8893" i="2"/>
  <c r="K8893" i="2"/>
  <c r="L8893" i="2"/>
  <c r="C8894" i="2"/>
  <c r="D8894" i="2"/>
  <c r="F8894" i="2"/>
  <c r="G8894" i="2"/>
  <c r="H8894" i="2"/>
  <c r="J8894" i="2"/>
  <c r="K8894" i="2"/>
  <c r="L8894" i="2"/>
  <c r="C8895" i="2"/>
  <c r="D8895" i="2"/>
  <c r="F8895" i="2"/>
  <c r="G8895" i="2"/>
  <c r="H8895" i="2"/>
  <c r="J8895" i="2"/>
  <c r="K8895" i="2"/>
  <c r="L8895" i="2"/>
  <c r="C8896" i="2"/>
  <c r="D8896" i="2"/>
  <c r="F8896" i="2"/>
  <c r="G8896" i="2"/>
  <c r="H8896" i="2"/>
  <c r="J8896" i="2"/>
  <c r="K8896" i="2"/>
  <c r="L8896" i="2"/>
  <c r="C8897" i="2"/>
  <c r="D8897" i="2"/>
  <c r="F8897" i="2"/>
  <c r="G8897" i="2"/>
  <c r="H8897" i="2"/>
  <c r="J8897" i="2"/>
  <c r="K8897" i="2"/>
  <c r="L8897" i="2"/>
  <c r="C8898" i="2"/>
  <c r="D8898" i="2"/>
  <c r="F8898" i="2"/>
  <c r="G8898" i="2"/>
  <c r="H8898" i="2"/>
  <c r="J8898" i="2"/>
  <c r="K8898" i="2"/>
  <c r="L8898" i="2"/>
  <c r="C8899" i="2"/>
  <c r="D8899" i="2"/>
  <c r="F8899" i="2"/>
  <c r="G8899" i="2"/>
  <c r="H8899" i="2"/>
  <c r="J8899" i="2"/>
  <c r="K8899" i="2"/>
  <c r="L8899" i="2"/>
  <c r="C8900" i="2"/>
  <c r="D8900" i="2"/>
  <c r="F8900" i="2"/>
  <c r="G8900" i="2"/>
  <c r="H8900" i="2"/>
  <c r="J8900" i="2"/>
  <c r="K8900" i="2"/>
  <c r="L8900" i="2"/>
  <c r="C8901" i="2"/>
  <c r="D8901" i="2"/>
  <c r="F8901" i="2"/>
  <c r="G8901" i="2"/>
  <c r="H8901" i="2"/>
  <c r="J8901" i="2"/>
  <c r="K8901" i="2"/>
  <c r="L8901" i="2"/>
  <c r="C8902" i="2"/>
  <c r="D8902" i="2"/>
  <c r="F8902" i="2"/>
  <c r="G8902" i="2"/>
  <c r="H8902" i="2"/>
  <c r="J8902" i="2"/>
  <c r="K8902" i="2"/>
  <c r="L8902" i="2"/>
  <c r="C8903" i="2"/>
  <c r="D8903" i="2"/>
  <c r="F8903" i="2"/>
  <c r="G8903" i="2"/>
  <c r="H8903" i="2"/>
  <c r="J8903" i="2"/>
  <c r="K8903" i="2"/>
  <c r="L8903" i="2"/>
  <c r="C8904" i="2"/>
  <c r="D8904" i="2"/>
  <c r="F8904" i="2"/>
  <c r="G8904" i="2"/>
  <c r="H8904" i="2"/>
  <c r="J8904" i="2"/>
  <c r="K8904" i="2"/>
  <c r="L8904" i="2"/>
  <c r="C8905" i="2"/>
  <c r="D8905" i="2"/>
  <c r="F8905" i="2"/>
  <c r="G8905" i="2"/>
  <c r="H8905" i="2"/>
  <c r="J8905" i="2"/>
  <c r="K8905" i="2"/>
  <c r="L8905" i="2"/>
  <c r="C8906" i="2"/>
  <c r="D8906" i="2"/>
  <c r="F8906" i="2"/>
  <c r="G8906" i="2"/>
  <c r="H8906" i="2"/>
  <c r="J8906" i="2"/>
  <c r="K8906" i="2"/>
  <c r="L8906" i="2"/>
  <c r="C8907" i="2"/>
  <c r="D8907" i="2"/>
  <c r="F8907" i="2"/>
  <c r="G8907" i="2"/>
  <c r="H8907" i="2"/>
  <c r="J8907" i="2"/>
  <c r="K8907" i="2"/>
  <c r="L8907" i="2"/>
  <c r="C8908" i="2"/>
  <c r="D8908" i="2"/>
  <c r="F8908" i="2"/>
  <c r="G8908" i="2"/>
  <c r="H8908" i="2"/>
  <c r="J8908" i="2"/>
  <c r="K8908" i="2"/>
  <c r="L8908" i="2"/>
  <c r="C8909" i="2"/>
  <c r="D8909" i="2"/>
  <c r="F8909" i="2"/>
  <c r="G8909" i="2"/>
  <c r="H8909" i="2"/>
  <c r="J8909" i="2"/>
  <c r="K8909" i="2"/>
  <c r="L8909" i="2"/>
  <c r="C8910" i="2"/>
  <c r="D8910" i="2"/>
  <c r="F8910" i="2"/>
  <c r="G8910" i="2"/>
  <c r="H8910" i="2"/>
  <c r="J8910" i="2"/>
  <c r="K8910" i="2"/>
  <c r="L8910" i="2"/>
  <c r="C8911" i="2"/>
  <c r="D8911" i="2"/>
  <c r="F8911" i="2"/>
  <c r="G8911" i="2"/>
  <c r="H8911" i="2"/>
  <c r="J8911" i="2"/>
  <c r="K8911" i="2"/>
  <c r="L8911" i="2"/>
  <c r="C8912" i="2"/>
  <c r="D8912" i="2"/>
  <c r="F8912" i="2"/>
  <c r="G8912" i="2"/>
  <c r="H8912" i="2"/>
  <c r="J8912" i="2"/>
  <c r="K8912" i="2"/>
  <c r="L8912" i="2"/>
  <c r="C8913" i="2"/>
  <c r="D8913" i="2"/>
  <c r="F8913" i="2"/>
  <c r="G8913" i="2"/>
  <c r="H8913" i="2"/>
  <c r="J8913" i="2"/>
  <c r="K8913" i="2"/>
  <c r="L8913" i="2"/>
  <c r="C8914" i="2"/>
  <c r="D8914" i="2"/>
  <c r="F8914" i="2"/>
  <c r="G8914" i="2"/>
  <c r="H8914" i="2"/>
  <c r="J8914" i="2"/>
  <c r="K8914" i="2"/>
  <c r="L8914" i="2"/>
  <c r="C8915" i="2"/>
  <c r="D8915" i="2"/>
  <c r="F8915" i="2"/>
  <c r="G8915" i="2"/>
  <c r="H8915" i="2"/>
  <c r="J8915" i="2"/>
  <c r="K8915" i="2"/>
  <c r="L8915" i="2"/>
  <c r="C8916" i="2"/>
  <c r="D8916" i="2"/>
  <c r="F8916" i="2"/>
  <c r="G8916" i="2"/>
  <c r="H8916" i="2"/>
  <c r="J8916" i="2"/>
  <c r="K8916" i="2"/>
  <c r="L8916" i="2"/>
  <c r="C8917" i="2"/>
  <c r="D8917" i="2"/>
  <c r="F8917" i="2"/>
  <c r="G8917" i="2"/>
  <c r="H8917" i="2"/>
  <c r="J8917" i="2"/>
  <c r="K8917" i="2"/>
  <c r="L8917" i="2"/>
  <c r="C8918" i="2"/>
  <c r="D8918" i="2"/>
  <c r="F8918" i="2"/>
  <c r="G8918" i="2"/>
  <c r="H8918" i="2"/>
  <c r="J8918" i="2"/>
  <c r="K8918" i="2"/>
  <c r="L8918" i="2"/>
  <c r="C8919" i="2"/>
  <c r="D8919" i="2"/>
  <c r="F8919" i="2"/>
  <c r="G8919" i="2"/>
  <c r="H8919" i="2"/>
  <c r="J8919" i="2"/>
  <c r="K8919" i="2"/>
  <c r="L8919" i="2"/>
  <c r="C8920" i="2"/>
  <c r="D8920" i="2"/>
  <c r="F8920" i="2"/>
  <c r="G8920" i="2"/>
  <c r="H8920" i="2"/>
  <c r="J8920" i="2"/>
  <c r="K8920" i="2"/>
  <c r="L8920" i="2"/>
  <c r="C8921" i="2"/>
  <c r="D8921" i="2"/>
  <c r="F8921" i="2"/>
  <c r="G8921" i="2"/>
  <c r="H8921" i="2"/>
  <c r="J8921" i="2"/>
  <c r="K8921" i="2"/>
  <c r="L8921" i="2"/>
  <c r="C8922" i="2"/>
  <c r="D8922" i="2"/>
  <c r="F8922" i="2"/>
  <c r="G8922" i="2"/>
  <c r="H8922" i="2"/>
  <c r="J8922" i="2"/>
  <c r="K8922" i="2"/>
  <c r="L8922" i="2"/>
  <c r="C8923" i="2"/>
  <c r="D8923" i="2"/>
  <c r="F8923" i="2"/>
  <c r="G8923" i="2"/>
  <c r="H8923" i="2"/>
  <c r="J8923" i="2"/>
  <c r="K8923" i="2"/>
  <c r="L8923" i="2"/>
  <c r="C8924" i="2"/>
  <c r="D8924" i="2"/>
  <c r="F8924" i="2"/>
  <c r="G8924" i="2"/>
  <c r="H8924" i="2"/>
  <c r="J8924" i="2"/>
  <c r="K8924" i="2"/>
  <c r="L8924" i="2"/>
  <c r="C8925" i="2"/>
  <c r="D8925" i="2"/>
  <c r="F8925" i="2"/>
  <c r="G8925" i="2"/>
  <c r="H8925" i="2"/>
  <c r="J8925" i="2"/>
  <c r="K8925" i="2"/>
  <c r="L8925" i="2"/>
  <c r="C8926" i="2"/>
  <c r="D8926" i="2"/>
  <c r="F8926" i="2"/>
  <c r="G8926" i="2"/>
  <c r="H8926" i="2"/>
  <c r="J8926" i="2"/>
  <c r="K8926" i="2"/>
  <c r="L8926" i="2"/>
  <c r="C8927" i="2"/>
  <c r="D8927" i="2"/>
  <c r="F8927" i="2"/>
  <c r="G8927" i="2"/>
  <c r="H8927" i="2"/>
  <c r="J8927" i="2"/>
  <c r="K8927" i="2"/>
  <c r="L8927" i="2"/>
  <c r="C8928" i="2"/>
  <c r="D8928" i="2"/>
  <c r="F8928" i="2"/>
  <c r="G8928" i="2"/>
  <c r="H8928" i="2"/>
  <c r="J8928" i="2"/>
  <c r="K8928" i="2"/>
  <c r="L8928" i="2"/>
  <c r="C8929" i="2"/>
  <c r="D8929" i="2"/>
  <c r="F8929" i="2"/>
  <c r="G8929" i="2"/>
  <c r="H8929" i="2"/>
  <c r="J8929" i="2"/>
  <c r="K8929" i="2"/>
  <c r="L8929" i="2"/>
  <c r="C8930" i="2"/>
  <c r="D8930" i="2"/>
  <c r="F8930" i="2"/>
  <c r="G8930" i="2"/>
  <c r="H8930" i="2"/>
  <c r="J8930" i="2"/>
  <c r="K8930" i="2"/>
  <c r="L8930" i="2"/>
  <c r="C8931" i="2"/>
  <c r="D8931" i="2"/>
  <c r="F8931" i="2"/>
  <c r="G8931" i="2"/>
  <c r="H8931" i="2"/>
  <c r="J8931" i="2"/>
  <c r="K8931" i="2"/>
  <c r="L8931" i="2"/>
  <c r="C8932" i="2"/>
  <c r="D8932" i="2"/>
  <c r="F8932" i="2"/>
  <c r="G8932" i="2"/>
  <c r="H8932" i="2"/>
  <c r="J8932" i="2"/>
  <c r="K8932" i="2"/>
  <c r="L8932" i="2"/>
  <c r="C8933" i="2"/>
  <c r="D8933" i="2"/>
  <c r="F8933" i="2"/>
  <c r="G8933" i="2"/>
  <c r="H8933" i="2"/>
  <c r="J8933" i="2"/>
  <c r="K8933" i="2"/>
  <c r="L8933" i="2"/>
  <c r="C8934" i="2"/>
  <c r="D8934" i="2"/>
  <c r="F8934" i="2"/>
  <c r="G8934" i="2"/>
  <c r="H8934" i="2"/>
  <c r="J8934" i="2"/>
  <c r="K8934" i="2"/>
  <c r="L8934" i="2"/>
  <c r="C8935" i="2"/>
  <c r="D8935" i="2"/>
  <c r="F8935" i="2"/>
  <c r="G8935" i="2"/>
  <c r="H8935" i="2"/>
  <c r="J8935" i="2"/>
  <c r="K8935" i="2"/>
  <c r="L8935" i="2"/>
  <c r="C8936" i="2"/>
  <c r="D8936" i="2"/>
  <c r="F8936" i="2"/>
  <c r="G8936" i="2"/>
  <c r="H8936" i="2"/>
  <c r="J8936" i="2"/>
  <c r="K8936" i="2"/>
  <c r="L8936" i="2"/>
  <c r="C8937" i="2"/>
  <c r="D8937" i="2"/>
  <c r="F8937" i="2"/>
  <c r="G8937" i="2"/>
  <c r="H8937" i="2"/>
  <c r="J8937" i="2"/>
  <c r="K8937" i="2"/>
  <c r="L8937" i="2"/>
  <c r="C8938" i="2"/>
  <c r="D8938" i="2"/>
  <c r="F8938" i="2"/>
  <c r="G8938" i="2"/>
  <c r="H8938" i="2"/>
  <c r="J8938" i="2"/>
  <c r="K8938" i="2"/>
  <c r="L8938" i="2"/>
  <c r="C8939" i="2"/>
  <c r="D8939" i="2"/>
  <c r="F8939" i="2"/>
  <c r="G8939" i="2"/>
  <c r="H8939" i="2"/>
  <c r="J8939" i="2"/>
  <c r="K8939" i="2"/>
  <c r="L8939" i="2"/>
  <c r="C8940" i="2"/>
  <c r="D8940" i="2"/>
  <c r="F8940" i="2"/>
  <c r="G8940" i="2"/>
  <c r="H8940" i="2"/>
  <c r="J8940" i="2"/>
  <c r="K8940" i="2"/>
  <c r="L8940" i="2"/>
  <c r="C8941" i="2"/>
  <c r="D8941" i="2"/>
  <c r="F8941" i="2"/>
  <c r="G8941" i="2"/>
  <c r="H8941" i="2"/>
  <c r="J8941" i="2"/>
  <c r="K8941" i="2"/>
  <c r="L8941" i="2"/>
  <c r="C8942" i="2"/>
  <c r="D8942" i="2"/>
  <c r="F8942" i="2"/>
  <c r="G8942" i="2"/>
  <c r="H8942" i="2"/>
  <c r="J8942" i="2"/>
  <c r="K8942" i="2"/>
  <c r="L8942" i="2"/>
  <c r="C8943" i="2"/>
  <c r="D8943" i="2"/>
  <c r="F8943" i="2"/>
  <c r="G8943" i="2"/>
  <c r="H8943" i="2"/>
  <c r="J8943" i="2"/>
  <c r="K8943" i="2"/>
  <c r="L8943" i="2"/>
  <c r="C8944" i="2"/>
  <c r="D8944" i="2"/>
  <c r="F8944" i="2"/>
  <c r="G8944" i="2"/>
  <c r="H8944" i="2"/>
  <c r="J8944" i="2"/>
  <c r="K8944" i="2"/>
  <c r="L8944" i="2"/>
  <c r="C8945" i="2"/>
  <c r="D8945" i="2"/>
  <c r="F8945" i="2"/>
  <c r="G8945" i="2"/>
  <c r="H8945" i="2"/>
  <c r="J8945" i="2"/>
  <c r="K8945" i="2"/>
  <c r="L8945" i="2"/>
  <c r="C8946" i="2"/>
  <c r="D8946" i="2"/>
  <c r="F8946" i="2"/>
  <c r="G8946" i="2"/>
  <c r="H8946" i="2"/>
  <c r="J8946" i="2"/>
  <c r="K8946" i="2"/>
  <c r="L8946" i="2"/>
  <c r="C8947" i="2"/>
  <c r="D8947" i="2"/>
  <c r="F8947" i="2"/>
  <c r="G8947" i="2"/>
  <c r="H8947" i="2"/>
  <c r="J8947" i="2"/>
  <c r="K8947" i="2"/>
  <c r="L8947" i="2"/>
  <c r="C8948" i="2"/>
  <c r="D8948" i="2"/>
  <c r="F8948" i="2"/>
  <c r="G8948" i="2"/>
  <c r="H8948" i="2"/>
  <c r="J8948" i="2"/>
  <c r="K8948" i="2"/>
  <c r="L8948" i="2"/>
  <c r="C8949" i="2"/>
  <c r="D8949" i="2"/>
  <c r="F8949" i="2"/>
  <c r="G8949" i="2"/>
  <c r="H8949" i="2"/>
  <c r="J8949" i="2"/>
  <c r="K8949" i="2"/>
  <c r="L8949" i="2"/>
  <c r="C8950" i="2"/>
  <c r="D8950" i="2"/>
  <c r="F8950" i="2"/>
  <c r="G8950" i="2"/>
  <c r="H8950" i="2"/>
  <c r="J8950" i="2"/>
  <c r="K8950" i="2"/>
  <c r="L8950" i="2"/>
  <c r="C8951" i="2"/>
  <c r="D8951" i="2"/>
  <c r="F8951" i="2"/>
  <c r="G8951" i="2"/>
  <c r="H8951" i="2"/>
  <c r="J8951" i="2"/>
  <c r="K8951" i="2"/>
  <c r="L8951" i="2"/>
  <c r="C8952" i="2"/>
  <c r="D8952" i="2"/>
  <c r="F8952" i="2"/>
  <c r="G8952" i="2"/>
  <c r="H8952" i="2"/>
  <c r="J8952" i="2"/>
  <c r="K8952" i="2"/>
  <c r="L8952" i="2"/>
  <c r="C8953" i="2"/>
  <c r="D8953" i="2"/>
  <c r="F8953" i="2"/>
  <c r="G8953" i="2"/>
  <c r="H8953" i="2"/>
  <c r="J8953" i="2"/>
  <c r="K8953" i="2"/>
  <c r="L8953" i="2"/>
  <c r="C8954" i="2"/>
  <c r="D8954" i="2"/>
  <c r="F8954" i="2"/>
  <c r="G8954" i="2"/>
  <c r="H8954" i="2"/>
  <c r="J8954" i="2"/>
  <c r="K8954" i="2"/>
  <c r="L8954" i="2"/>
  <c r="C8955" i="2"/>
  <c r="D8955" i="2"/>
  <c r="F8955" i="2"/>
  <c r="G8955" i="2"/>
  <c r="H8955" i="2"/>
  <c r="J8955" i="2"/>
  <c r="K8955" i="2"/>
  <c r="L8955" i="2"/>
  <c r="C8956" i="2"/>
  <c r="D8956" i="2"/>
  <c r="F8956" i="2"/>
  <c r="G8956" i="2"/>
  <c r="H8956" i="2"/>
  <c r="J8956" i="2"/>
  <c r="K8956" i="2"/>
  <c r="L8956" i="2"/>
  <c r="C8957" i="2"/>
  <c r="D8957" i="2"/>
  <c r="F8957" i="2"/>
  <c r="G8957" i="2"/>
  <c r="H8957" i="2"/>
  <c r="J8957" i="2"/>
  <c r="K8957" i="2"/>
  <c r="L8957" i="2"/>
  <c r="C8958" i="2"/>
  <c r="D8958" i="2"/>
  <c r="F8958" i="2"/>
  <c r="G8958" i="2"/>
  <c r="H8958" i="2"/>
  <c r="J8958" i="2"/>
  <c r="K8958" i="2"/>
  <c r="L8958" i="2"/>
  <c r="C8959" i="2"/>
  <c r="D8959" i="2"/>
  <c r="F8959" i="2"/>
  <c r="G8959" i="2"/>
  <c r="H8959" i="2"/>
  <c r="J8959" i="2"/>
  <c r="K8959" i="2"/>
  <c r="L8959" i="2"/>
  <c r="C8960" i="2"/>
  <c r="D8960" i="2"/>
  <c r="F8960" i="2"/>
  <c r="G8960" i="2"/>
  <c r="H8960" i="2"/>
  <c r="J8960" i="2"/>
  <c r="K8960" i="2"/>
  <c r="L8960" i="2"/>
  <c r="C8961" i="2"/>
  <c r="D8961" i="2"/>
  <c r="F8961" i="2"/>
  <c r="G8961" i="2"/>
  <c r="H8961" i="2"/>
  <c r="J8961" i="2"/>
  <c r="K8961" i="2"/>
  <c r="L8961" i="2"/>
  <c r="C8962" i="2"/>
  <c r="D8962" i="2"/>
  <c r="F8962" i="2"/>
  <c r="G8962" i="2"/>
  <c r="H8962" i="2"/>
  <c r="J8962" i="2"/>
  <c r="K8962" i="2"/>
  <c r="L8962" i="2"/>
  <c r="C8963" i="2"/>
  <c r="D8963" i="2"/>
  <c r="F8963" i="2"/>
  <c r="G8963" i="2"/>
  <c r="H8963" i="2"/>
  <c r="J8963" i="2"/>
  <c r="K8963" i="2"/>
  <c r="L8963" i="2"/>
  <c r="C8964" i="2"/>
  <c r="D8964" i="2"/>
  <c r="F8964" i="2"/>
  <c r="G8964" i="2"/>
  <c r="H8964" i="2"/>
  <c r="J8964" i="2"/>
  <c r="K8964" i="2"/>
  <c r="L8964" i="2"/>
  <c r="C8965" i="2"/>
  <c r="D8965" i="2"/>
  <c r="F8965" i="2"/>
  <c r="G8965" i="2"/>
  <c r="H8965" i="2"/>
  <c r="J8965" i="2"/>
  <c r="K8965" i="2"/>
  <c r="L8965" i="2"/>
  <c r="C8966" i="2"/>
  <c r="D8966" i="2"/>
  <c r="F8966" i="2"/>
  <c r="G8966" i="2"/>
  <c r="H8966" i="2"/>
  <c r="J8966" i="2"/>
  <c r="K8966" i="2"/>
  <c r="L8966" i="2"/>
  <c r="C8967" i="2"/>
  <c r="D8967" i="2"/>
  <c r="F8967" i="2"/>
  <c r="G8967" i="2"/>
  <c r="H8967" i="2"/>
  <c r="J8967" i="2"/>
  <c r="K8967" i="2"/>
  <c r="L8967" i="2"/>
  <c r="C8968" i="2"/>
  <c r="D8968" i="2"/>
  <c r="F8968" i="2"/>
  <c r="G8968" i="2"/>
  <c r="H8968" i="2"/>
  <c r="J8968" i="2"/>
  <c r="K8968" i="2"/>
  <c r="L8968" i="2"/>
  <c r="C8969" i="2"/>
  <c r="D8969" i="2"/>
  <c r="F8969" i="2"/>
  <c r="G8969" i="2"/>
  <c r="H8969" i="2"/>
  <c r="J8969" i="2"/>
  <c r="K8969" i="2"/>
  <c r="L8969" i="2"/>
  <c r="C8970" i="2"/>
  <c r="D8970" i="2"/>
  <c r="F8970" i="2"/>
  <c r="G8970" i="2"/>
  <c r="H8970" i="2"/>
  <c r="J8970" i="2"/>
  <c r="K8970" i="2"/>
  <c r="L8970" i="2"/>
  <c r="C8971" i="2"/>
  <c r="D8971" i="2"/>
  <c r="F8971" i="2"/>
  <c r="G8971" i="2"/>
  <c r="H8971" i="2"/>
  <c r="J8971" i="2"/>
  <c r="K8971" i="2"/>
  <c r="L8971" i="2"/>
  <c r="C8972" i="2"/>
  <c r="D8972" i="2"/>
  <c r="F8972" i="2"/>
  <c r="G8972" i="2"/>
  <c r="H8972" i="2"/>
  <c r="J8972" i="2"/>
  <c r="K8972" i="2"/>
  <c r="L8972" i="2"/>
  <c r="C8973" i="2"/>
  <c r="D8973" i="2"/>
  <c r="F8973" i="2"/>
  <c r="G8973" i="2"/>
  <c r="H8973" i="2"/>
  <c r="J8973" i="2"/>
  <c r="K8973" i="2"/>
  <c r="L8973" i="2"/>
  <c r="C8974" i="2"/>
  <c r="D8974" i="2"/>
  <c r="F8974" i="2"/>
  <c r="G8974" i="2"/>
  <c r="H8974" i="2"/>
  <c r="J8974" i="2"/>
  <c r="K8974" i="2"/>
  <c r="L8974" i="2"/>
  <c r="C8975" i="2"/>
  <c r="D8975" i="2"/>
  <c r="F8975" i="2"/>
  <c r="G8975" i="2"/>
  <c r="H8975" i="2"/>
  <c r="J8975" i="2"/>
  <c r="K8975" i="2"/>
  <c r="L8975" i="2"/>
  <c r="C8976" i="2"/>
  <c r="D8976" i="2"/>
  <c r="F8976" i="2"/>
  <c r="G8976" i="2"/>
  <c r="H8976" i="2"/>
  <c r="J8976" i="2"/>
  <c r="K8976" i="2"/>
  <c r="L8976" i="2"/>
  <c r="C8977" i="2"/>
  <c r="D8977" i="2"/>
  <c r="F8977" i="2"/>
  <c r="G8977" i="2"/>
  <c r="H8977" i="2"/>
  <c r="J8977" i="2"/>
  <c r="K8977" i="2"/>
  <c r="L8977" i="2"/>
  <c r="C8978" i="2"/>
  <c r="D8978" i="2"/>
  <c r="F8978" i="2"/>
  <c r="G8978" i="2"/>
  <c r="H8978" i="2"/>
  <c r="J8978" i="2"/>
  <c r="K8978" i="2"/>
  <c r="L8978" i="2"/>
  <c r="C8979" i="2"/>
  <c r="D8979" i="2"/>
  <c r="F8979" i="2"/>
  <c r="G8979" i="2"/>
  <c r="H8979" i="2"/>
  <c r="J8979" i="2"/>
  <c r="K8979" i="2"/>
  <c r="L8979" i="2"/>
  <c r="C8980" i="2"/>
  <c r="D8980" i="2"/>
  <c r="F8980" i="2"/>
  <c r="G8980" i="2"/>
  <c r="H8980" i="2"/>
  <c r="J8980" i="2"/>
  <c r="K8980" i="2"/>
  <c r="L8980" i="2"/>
  <c r="C8981" i="2"/>
  <c r="D8981" i="2"/>
  <c r="F8981" i="2"/>
  <c r="G8981" i="2"/>
  <c r="H8981" i="2"/>
  <c r="J8981" i="2"/>
  <c r="K8981" i="2"/>
  <c r="L8981" i="2"/>
  <c r="C8982" i="2"/>
  <c r="D8982" i="2"/>
  <c r="F8982" i="2"/>
  <c r="G8982" i="2"/>
  <c r="H8982" i="2"/>
  <c r="J8982" i="2"/>
  <c r="K8982" i="2"/>
  <c r="L8982" i="2"/>
  <c r="C8983" i="2"/>
  <c r="D8983" i="2"/>
  <c r="F8983" i="2"/>
  <c r="G8983" i="2"/>
  <c r="H8983" i="2"/>
  <c r="J8983" i="2"/>
  <c r="K8983" i="2"/>
  <c r="L8983" i="2"/>
  <c r="C8984" i="2"/>
  <c r="D8984" i="2"/>
  <c r="F8984" i="2"/>
  <c r="G8984" i="2"/>
  <c r="H8984" i="2"/>
  <c r="J8984" i="2"/>
  <c r="K8984" i="2"/>
  <c r="L8984" i="2"/>
  <c r="C8985" i="2"/>
  <c r="D8985" i="2"/>
  <c r="F8985" i="2"/>
  <c r="G8985" i="2"/>
  <c r="H8985" i="2"/>
  <c r="J8985" i="2"/>
  <c r="K8985" i="2"/>
  <c r="L8985" i="2"/>
  <c r="C8986" i="2"/>
  <c r="D8986" i="2"/>
  <c r="F8986" i="2"/>
  <c r="G8986" i="2"/>
  <c r="H8986" i="2"/>
  <c r="J8986" i="2"/>
  <c r="K8986" i="2"/>
  <c r="L8986" i="2"/>
  <c r="C8987" i="2"/>
  <c r="D8987" i="2"/>
  <c r="F8987" i="2"/>
  <c r="G8987" i="2"/>
  <c r="H8987" i="2"/>
  <c r="J8987" i="2"/>
  <c r="K8987" i="2"/>
  <c r="L8987" i="2"/>
  <c r="C8988" i="2"/>
  <c r="D8988" i="2"/>
  <c r="F8988" i="2"/>
  <c r="G8988" i="2"/>
  <c r="H8988" i="2"/>
  <c r="J8988" i="2"/>
  <c r="K8988" i="2"/>
  <c r="L8988" i="2"/>
  <c r="C8989" i="2"/>
  <c r="D8989" i="2"/>
  <c r="F8989" i="2"/>
  <c r="G8989" i="2"/>
  <c r="H8989" i="2"/>
  <c r="J8989" i="2"/>
  <c r="K8989" i="2"/>
  <c r="L8989" i="2"/>
  <c r="C8990" i="2"/>
  <c r="D8990" i="2"/>
  <c r="F8990" i="2"/>
  <c r="G8990" i="2"/>
  <c r="H8990" i="2"/>
  <c r="J8990" i="2"/>
  <c r="K8990" i="2"/>
  <c r="L8990" i="2"/>
  <c r="C8991" i="2"/>
  <c r="D8991" i="2"/>
  <c r="F8991" i="2"/>
  <c r="G8991" i="2"/>
  <c r="H8991" i="2"/>
  <c r="J8991" i="2"/>
  <c r="K8991" i="2"/>
  <c r="L8991" i="2"/>
  <c r="C8992" i="2"/>
  <c r="D8992" i="2"/>
  <c r="F8992" i="2"/>
  <c r="G8992" i="2"/>
  <c r="H8992" i="2"/>
  <c r="J8992" i="2"/>
  <c r="K8992" i="2"/>
  <c r="L8992" i="2"/>
  <c r="C8993" i="2"/>
  <c r="D8993" i="2"/>
  <c r="F8993" i="2"/>
  <c r="G8993" i="2"/>
  <c r="H8993" i="2"/>
  <c r="J8993" i="2"/>
  <c r="K8993" i="2"/>
  <c r="L8993" i="2"/>
  <c r="C8994" i="2"/>
  <c r="D8994" i="2"/>
  <c r="F8994" i="2"/>
  <c r="G8994" i="2"/>
  <c r="H8994" i="2"/>
  <c r="J8994" i="2"/>
  <c r="K8994" i="2"/>
  <c r="L8994" i="2"/>
  <c r="C8995" i="2"/>
  <c r="D8995" i="2"/>
  <c r="F8995" i="2"/>
  <c r="G8995" i="2"/>
  <c r="H8995" i="2"/>
  <c r="J8995" i="2"/>
  <c r="K8995" i="2"/>
  <c r="L8995" i="2"/>
  <c r="C8996" i="2"/>
  <c r="D8996" i="2"/>
  <c r="F8996" i="2"/>
  <c r="G8996" i="2"/>
  <c r="H8996" i="2"/>
  <c r="J8996" i="2"/>
  <c r="K8996" i="2"/>
  <c r="L8996" i="2"/>
  <c r="C8997" i="2"/>
  <c r="D8997" i="2"/>
  <c r="F8997" i="2"/>
  <c r="G8997" i="2"/>
  <c r="H8997" i="2"/>
  <c r="J8997" i="2"/>
  <c r="K8997" i="2"/>
  <c r="L8997" i="2"/>
  <c r="C8998" i="2"/>
  <c r="D8998" i="2"/>
  <c r="F8998" i="2"/>
  <c r="G8998" i="2"/>
  <c r="H8998" i="2"/>
  <c r="J8998" i="2"/>
  <c r="K8998" i="2"/>
  <c r="L8998" i="2"/>
  <c r="C8999" i="2"/>
  <c r="D8999" i="2"/>
  <c r="F8999" i="2"/>
  <c r="G8999" i="2"/>
  <c r="H8999" i="2"/>
  <c r="J8999" i="2"/>
  <c r="K8999" i="2"/>
  <c r="L8999" i="2"/>
  <c r="C9000" i="2"/>
  <c r="D9000" i="2"/>
  <c r="F9000" i="2"/>
  <c r="G9000" i="2"/>
  <c r="H9000" i="2"/>
  <c r="J9000" i="2"/>
  <c r="K9000" i="2"/>
  <c r="L9000" i="2"/>
  <c r="C9001" i="2"/>
  <c r="D9001" i="2"/>
  <c r="F9001" i="2"/>
  <c r="G9001" i="2"/>
  <c r="H9001" i="2"/>
  <c r="J9001" i="2"/>
  <c r="K9001" i="2"/>
  <c r="L9001" i="2"/>
  <c r="C9002" i="2"/>
  <c r="D9002" i="2"/>
  <c r="F9002" i="2"/>
  <c r="G9002" i="2"/>
  <c r="H9002" i="2"/>
  <c r="J9002" i="2"/>
  <c r="K9002" i="2"/>
  <c r="L9002" i="2"/>
  <c r="C9003" i="2"/>
  <c r="D9003" i="2"/>
  <c r="F9003" i="2"/>
  <c r="G9003" i="2"/>
  <c r="H9003" i="2"/>
  <c r="J9003" i="2"/>
  <c r="K9003" i="2"/>
  <c r="L9003" i="2"/>
  <c r="C9004" i="2"/>
  <c r="D9004" i="2"/>
  <c r="F9004" i="2"/>
  <c r="G9004" i="2"/>
  <c r="H9004" i="2"/>
  <c r="J9004" i="2"/>
  <c r="K9004" i="2"/>
  <c r="L9004" i="2"/>
  <c r="C9005" i="2"/>
  <c r="D9005" i="2"/>
  <c r="F9005" i="2"/>
  <c r="G9005" i="2"/>
  <c r="H9005" i="2"/>
  <c r="J9005" i="2"/>
  <c r="K9005" i="2"/>
  <c r="L9005" i="2"/>
  <c r="C9006" i="2"/>
  <c r="D9006" i="2"/>
  <c r="F9006" i="2"/>
  <c r="G9006" i="2"/>
  <c r="H9006" i="2"/>
  <c r="J9006" i="2"/>
  <c r="K9006" i="2"/>
  <c r="L9006" i="2"/>
  <c r="C9007" i="2"/>
  <c r="D9007" i="2"/>
  <c r="F9007" i="2"/>
  <c r="G9007" i="2"/>
  <c r="H9007" i="2"/>
  <c r="J9007" i="2"/>
  <c r="K9007" i="2"/>
  <c r="L9007" i="2"/>
  <c r="C9008" i="2"/>
  <c r="D9008" i="2"/>
  <c r="F9008" i="2"/>
  <c r="G9008" i="2"/>
  <c r="H9008" i="2"/>
  <c r="J9008" i="2"/>
  <c r="K9008" i="2"/>
  <c r="L9008" i="2"/>
  <c r="C9009" i="2"/>
  <c r="D9009" i="2"/>
  <c r="F9009" i="2"/>
  <c r="G9009" i="2"/>
  <c r="H9009" i="2"/>
  <c r="J9009" i="2"/>
  <c r="K9009" i="2"/>
  <c r="L9009" i="2"/>
  <c r="C9010" i="2"/>
  <c r="D9010" i="2"/>
  <c r="F9010" i="2"/>
  <c r="G9010" i="2"/>
  <c r="H9010" i="2"/>
  <c r="J9010" i="2"/>
  <c r="K9010" i="2"/>
  <c r="L9010" i="2"/>
  <c r="C9011" i="2"/>
  <c r="D9011" i="2"/>
  <c r="F9011" i="2"/>
  <c r="G9011" i="2"/>
  <c r="H9011" i="2"/>
  <c r="J9011" i="2"/>
  <c r="K9011" i="2"/>
  <c r="L9011" i="2"/>
  <c r="C9012" i="2"/>
  <c r="D9012" i="2"/>
  <c r="F9012" i="2"/>
  <c r="G9012" i="2"/>
  <c r="H9012" i="2"/>
  <c r="J9012" i="2"/>
  <c r="K9012" i="2"/>
  <c r="L9012" i="2"/>
  <c r="C9013" i="2"/>
  <c r="D9013" i="2"/>
  <c r="F9013" i="2"/>
  <c r="G9013" i="2"/>
  <c r="H9013" i="2"/>
  <c r="J9013" i="2"/>
  <c r="K9013" i="2"/>
  <c r="L9013" i="2"/>
  <c r="C9014" i="2"/>
  <c r="D9014" i="2"/>
  <c r="F9014" i="2"/>
  <c r="G9014" i="2"/>
  <c r="H9014" i="2"/>
  <c r="J9014" i="2"/>
  <c r="K9014" i="2"/>
  <c r="L9014" i="2"/>
  <c r="C9015" i="2"/>
  <c r="D9015" i="2"/>
  <c r="F9015" i="2"/>
  <c r="G9015" i="2"/>
  <c r="H9015" i="2"/>
  <c r="J9015" i="2"/>
  <c r="K9015" i="2"/>
  <c r="L9015" i="2"/>
  <c r="C9016" i="2"/>
  <c r="D9016" i="2"/>
  <c r="F9016" i="2"/>
  <c r="G9016" i="2"/>
  <c r="H9016" i="2"/>
  <c r="J9016" i="2"/>
  <c r="K9016" i="2"/>
  <c r="L9016" i="2"/>
  <c r="C9017" i="2"/>
  <c r="D9017" i="2"/>
  <c r="F9017" i="2"/>
  <c r="G9017" i="2"/>
  <c r="H9017" i="2"/>
  <c r="J9017" i="2"/>
  <c r="K9017" i="2"/>
  <c r="L9017" i="2"/>
  <c r="C9018" i="2"/>
  <c r="D9018" i="2"/>
  <c r="F9018" i="2"/>
  <c r="G9018" i="2"/>
  <c r="H9018" i="2"/>
  <c r="J9018" i="2"/>
  <c r="K9018" i="2"/>
  <c r="L9018" i="2"/>
  <c r="C9019" i="2"/>
  <c r="D9019" i="2"/>
  <c r="F9019" i="2"/>
  <c r="G9019" i="2"/>
  <c r="H9019" i="2"/>
  <c r="J9019" i="2"/>
  <c r="K9019" i="2"/>
  <c r="L9019" i="2"/>
  <c r="C9020" i="2"/>
  <c r="D9020" i="2"/>
  <c r="F9020" i="2"/>
  <c r="G9020" i="2"/>
  <c r="H9020" i="2"/>
  <c r="J9020" i="2"/>
  <c r="K9020" i="2"/>
  <c r="L9020" i="2"/>
  <c r="C9021" i="2"/>
  <c r="D9021" i="2"/>
  <c r="F9021" i="2"/>
  <c r="G9021" i="2"/>
  <c r="H9021" i="2"/>
  <c r="J9021" i="2"/>
  <c r="K9021" i="2"/>
  <c r="L9021" i="2"/>
  <c r="C9022" i="2"/>
  <c r="D9022" i="2"/>
  <c r="F9022" i="2"/>
  <c r="G9022" i="2"/>
  <c r="H9022" i="2"/>
  <c r="J9022" i="2"/>
  <c r="K9022" i="2"/>
  <c r="L9022" i="2"/>
  <c r="C9023" i="2"/>
  <c r="D9023" i="2"/>
  <c r="F9023" i="2"/>
  <c r="G9023" i="2"/>
  <c r="H9023" i="2"/>
  <c r="J9023" i="2"/>
  <c r="K9023" i="2"/>
  <c r="L9023" i="2"/>
  <c r="C9024" i="2"/>
  <c r="D9024" i="2"/>
  <c r="F9024" i="2"/>
  <c r="G9024" i="2"/>
  <c r="H9024" i="2"/>
  <c r="J9024" i="2"/>
  <c r="K9024" i="2"/>
  <c r="L9024" i="2"/>
  <c r="C9025" i="2"/>
  <c r="D9025" i="2"/>
  <c r="F9025" i="2"/>
  <c r="G9025" i="2"/>
  <c r="H9025" i="2"/>
  <c r="J9025" i="2"/>
  <c r="K9025" i="2"/>
  <c r="L9025" i="2"/>
  <c r="C9026" i="2"/>
  <c r="D9026" i="2"/>
  <c r="F9026" i="2"/>
  <c r="G9026" i="2"/>
  <c r="H9026" i="2"/>
  <c r="J9026" i="2"/>
  <c r="K9026" i="2"/>
  <c r="L9026" i="2"/>
  <c r="C9027" i="2"/>
  <c r="D9027" i="2"/>
  <c r="F9027" i="2"/>
  <c r="G9027" i="2"/>
  <c r="H9027" i="2"/>
  <c r="J9027" i="2"/>
  <c r="K9027" i="2"/>
  <c r="L9027" i="2"/>
  <c r="C9028" i="2"/>
  <c r="D9028" i="2"/>
  <c r="F9028" i="2"/>
  <c r="G9028" i="2"/>
  <c r="H9028" i="2"/>
  <c r="J9028" i="2"/>
  <c r="K9028" i="2"/>
  <c r="L9028" i="2"/>
  <c r="C9029" i="2"/>
  <c r="D9029" i="2"/>
  <c r="F9029" i="2"/>
  <c r="G9029" i="2"/>
  <c r="H9029" i="2"/>
  <c r="J9029" i="2"/>
  <c r="K9029" i="2"/>
  <c r="L9029" i="2"/>
  <c r="C9030" i="2"/>
  <c r="D9030" i="2"/>
  <c r="F9030" i="2"/>
  <c r="G9030" i="2"/>
  <c r="H9030" i="2"/>
  <c r="J9030" i="2"/>
  <c r="K9030" i="2"/>
  <c r="L9030" i="2"/>
  <c r="C9031" i="2"/>
  <c r="D9031" i="2"/>
  <c r="F9031" i="2"/>
  <c r="G9031" i="2"/>
  <c r="H9031" i="2"/>
  <c r="J9031" i="2"/>
  <c r="K9031" i="2"/>
  <c r="L9031" i="2"/>
  <c r="C9032" i="2"/>
  <c r="D9032" i="2"/>
  <c r="F9032" i="2"/>
  <c r="G9032" i="2"/>
  <c r="H9032" i="2"/>
  <c r="J9032" i="2"/>
  <c r="K9032" i="2"/>
  <c r="L9032" i="2"/>
  <c r="C9033" i="2"/>
  <c r="D9033" i="2"/>
  <c r="F9033" i="2"/>
  <c r="G9033" i="2"/>
  <c r="H9033" i="2"/>
  <c r="J9033" i="2"/>
  <c r="K9033" i="2"/>
  <c r="L9033" i="2"/>
  <c r="C9034" i="2"/>
  <c r="D9034" i="2"/>
  <c r="F9034" i="2"/>
  <c r="G9034" i="2"/>
  <c r="H9034" i="2"/>
  <c r="J9034" i="2"/>
  <c r="K9034" i="2"/>
  <c r="L9034" i="2"/>
  <c r="C9035" i="2"/>
  <c r="D9035" i="2"/>
  <c r="F9035" i="2"/>
  <c r="G9035" i="2"/>
  <c r="H9035" i="2"/>
  <c r="J9035" i="2"/>
  <c r="K9035" i="2"/>
  <c r="L9035" i="2"/>
  <c r="C9036" i="2"/>
  <c r="D9036" i="2"/>
  <c r="F9036" i="2"/>
  <c r="G9036" i="2"/>
  <c r="H9036" i="2"/>
  <c r="J9036" i="2"/>
  <c r="K9036" i="2"/>
  <c r="L9036" i="2"/>
  <c r="C9037" i="2"/>
  <c r="D9037" i="2"/>
  <c r="F9037" i="2"/>
  <c r="G9037" i="2"/>
  <c r="H9037" i="2"/>
  <c r="J9037" i="2"/>
  <c r="K9037" i="2"/>
  <c r="L9037" i="2"/>
  <c r="C9038" i="2"/>
  <c r="D9038" i="2"/>
  <c r="F9038" i="2"/>
  <c r="G9038" i="2"/>
  <c r="H9038" i="2"/>
  <c r="J9038" i="2"/>
  <c r="K9038" i="2"/>
  <c r="L9038" i="2"/>
  <c r="C9039" i="2"/>
  <c r="D9039" i="2"/>
  <c r="F9039" i="2"/>
  <c r="G9039" i="2"/>
  <c r="H9039" i="2"/>
  <c r="J9039" i="2"/>
  <c r="K9039" i="2"/>
  <c r="L9039" i="2"/>
  <c r="C9040" i="2"/>
  <c r="D9040" i="2"/>
  <c r="F9040" i="2"/>
  <c r="G9040" i="2"/>
  <c r="H9040" i="2"/>
  <c r="J9040" i="2"/>
  <c r="K9040" i="2"/>
  <c r="L9040" i="2"/>
  <c r="C9041" i="2"/>
  <c r="D9041" i="2"/>
  <c r="F9041" i="2"/>
  <c r="G9041" i="2"/>
  <c r="H9041" i="2"/>
  <c r="J9041" i="2"/>
  <c r="K9041" i="2"/>
  <c r="L9041" i="2"/>
  <c r="C9042" i="2"/>
  <c r="D9042" i="2"/>
  <c r="F9042" i="2"/>
  <c r="G9042" i="2"/>
  <c r="H9042" i="2"/>
  <c r="J9042" i="2"/>
  <c r="K9042" i="2"/>
  <c r="L9042" i="2"/>
  <c r="C9043" i="2"/>
  <c r="D9043" i="2"/>
  <c r="F9043" i="2"/>
  <c r="G9043" i="2"/>
  <c r="H9043" i="2"/>
  <c r="J9043" i="2"/>
  <c r="K9043" i="2"/>
  <c r="L9043" i="2"/>
  <c r="C9044" i="2"/>
  <c r="D9044" i="2"/>
  <c r="F9044" i="2"/>
  <c r="G9044" i="2"/>
  <c r="H9044" i="2"/>
  <c r="J9044" i="2"/>
  <c r="K9044" i="2"/>
  <c r="L9044" i="2"/>
  <c r="C9045" i="2"/>
  <c r="D9045" i="2"/>
  <c r="F9045" i="2"/>
  <c r="G9045" i="2"/>
  <c r="H9045" i="2"/>
  <c r="J9045" i="2"/>
  <c r="K9045" i="2"/>
  <c r="L9045" i="2"/>
  <c r="C9046" i="2"/>
  <c r="D9046" i="2"/>
  <c r="F9046" i="2"/>
  <c r="G9046" i="2"/>
  <c r="H9046" i="2"/>
  <c r="J9046" i="2"/>
  <c r="K9046" i="2"/>
  <c r="L9046" i="2"/>
  <c r="C9047" i="2"/>
  <c r="D9047" i="2"/>
  <c r="F9047" i="2"/>
  <c r="G9047" i="2"/>
  <c r="H9047" i="2"/>
  <c r="J9047" i="2"/>
  <c r="K9047" i="2"/>
  <c r="L9047" i="2"/>
  <c r="C9048" i="2"/>
  <c r="D9048" i="2"/>
  <c r="F9048" i="2"/>
  <c r="G9048" i="2"/>
  <c r="H9048" i="2"/>
  <c r="J9048" i="2"/>
  <c r="K9048" i="2"/>
  <c r="L9048" i="2"/>
  <c r="C9049" i="2"/>
  <c r="D9049" i="2"/>
  <c r="F9049" i="2"/>
  <c r="G9049" i="2"/>
  <c r="H9049" i="2"/>
  <c r="J9049" i="2"/>
  <c r="K9049" i="2"/>
  <c r="L9049" i="2"/>
  <c r="C9050" i="2"/>
  <c r="D9050" i="2"/>
  <c r="F9050" i="2"/>
  <c r="G9050" i="2"/>
  <c r="H9050" i="2"/>
  <c r="J9050" i="2"/>
  <c r="K9050" i="2"/>
  <c r="L9050" i="2"/>
  <c r="C9051" i="2"/>
  <c r="D9051" i="2"/>
  <c r="F9051" i="2"/>
  <c r="G9051" i="2"/>
  <c r="H9051" i="2"/>
  <c r="J9051" i="2"/>
  <c r="K9051" i="2"/>
  <c r="L9051" i="2"/>
  <c r="C9052" i="2"/>
  <c r="D9052" i="2"/>
  <c r="F9052" i="2"/>
  <c r="G9052" i="2"/>
  <c r="H9052" i="2"/>
  <c r="J9052" i="2"/>
  <c r="K9052" i="2"/>
  <c r="L9052" i="2"/>
  <c r="C9053" i="2"/>
  <c r="D9053" i="2"/>
  <c r="F9053" i="2"/>
  <c r="G9053" i="2"/>
  <c r="H9053" i="2"/>
  <c r="J9053" i="2"/>
  <c r="K9053" i="2"/>
  <c r="L9053" i="2"/>
  <c r="C9054" i="2"/>
  <c r="D9054" i="2"/>
  <c r="F9054" i="2"/>
  <c r="G9054" i="2"/>
  <c r="H9054" i="2"/>
  <c r="J9054" i="2"/>
  <c r="K9054" i="2"/>
  <c r="L9054" i="2"/>
  <c r="C9055" i="2"/>
  <c r="D9055" i="2"/>
  <c r="F9055" i="2"/>
  <c r="G9055" i="2"/>
  <c r="H9055" i="2"/>
  <c r="J9055" i="2"/>
  <c r="K9055" i="2"/>
  <c r="L9055" i="2"/>
  <c r="C9056" i="2"/>
  <c r="D9056" i="2"/>
  <c r="F9056" i="2"/>
  <c r="G9056" i="2"/>
  <c r="H9056" i="2"/>
  <c r="J9056" i="2"/>
  <c r="K9056" i="2"/>
  <c r="L9056" i="2"/>
  <c r="C9057" i="2"/>
  <c r="D9057" i="2"/>
  <c r="F9057" i="2"/>
  <c r="G9057" i="2"/>
  <c r="H9057" i="2"/>
  <c r="J9057" i="2"/>
  <c r="K9057" i="2"/>
  <c r="L9057" i="2"/>
  <c r="C9058" i="2"/>
  <c r="D9058" i="2"/>
  <c r="F9058" i="2"/>
  <c r="G9058" i="2"/>
  <c r="H9058" i="2"/>
  <c r="J9058" i="2"/>
  <c r="K9058" i="2"/>
  <c r="L9058" i="2"/>
  <c r="C9059" i="2"/>
  <c r="D9059" i="2"/>
  <c r="F9059" i="2"/>
  <c r="G9059" i="2"/>
  <c r="H9059" i="2"/>
  <c r="J9059" i="2"/>
  <c r="K9059" i="2"/>
  <c r="L9059" i="2"/>
  <c r="C9060" i="2"/>
  <c r="D9060" i="2"/>
  <c r="F9060" i="2"/>
  <c r="G9060" i="2"/>
  <c r="H9060" i="2"/>
  <c r="J9060" i="2"/>
  <c r="K9060" i="2"/>
  <c r="L9060" i="2"/>
  <c r="C9061" i="2"/>
  <c r="D9061" i="2"/>
  <c r="F9061" i="2"/>
  <c r="G9061" i="2"/>
  <c r="H9061" i="2"/>
  <c r="J9061" i="2"/>
  <c r="K9061" i="2"/>
  <c r="L9061" i="2"/>
  <c r="C9062" i="2"/>
  <c r="D9062" i="2"/>
  <c r="F9062" i="2"/>
  <c r="G9062" i="2"/>
  <c r="H9062" i="2"/>
  <c r="J9062" i="2"/>
  <c r="K9062" i="2"/>
  <c r="L9062" i="2"/>
  <c r="C9063" i="2"/>
  <c r="D9063" i="2"/>
  <c r="F9063" i="2"/>
  <c r="G9063" i="2"/>
  <c r="H9063" i="2"/>
  <c r="J9063" i="2"/>
  <c r="K9063" i="2"/>
  <c r="L9063" i="2"/>
  <c r="C9064" i="2"/>
  <c r="D9064" i="2"/>
  <c r="F9064" i="2"/>
  <c r="G9064" i="2"/>
  <c r="H9064" i="2"/>
  <c r="J9064" i="2"/>
  <c r="K9064" i="2"/>
  <c r="L9064" i="2"/>
  <c r="C9065" i="2"/>
  <c r="D9065" i="2"/>
  <c r="F9065" i="2"/>
  <c r="G9065" i="2"/>
  <c r="H9065" i="2"/>
  <c r="J9065" i="2"/>
  <c r="K9065" i="2"/>
  <c r="L9065" i="2"/>
  <c r="C9066" i="2"/>
  <c r="D9066" i="2"/>
  <c r="F9066" i="2"/>
  <c r="G9066" i="2"/>
  <c r="H9066" i="2"/>
  <c r="J9066" i="2"/>
  <c r="K9066" i="2"/>
  <c r="L9066" i="2"/>
  <c r="C9067" i="2"/>
  <c r="D9067" i="2"/>
  <c r="F9067" i="2"/>
  <c r="G9067" i="2"/>
  <c r="H9067" i="2"/>
  <c r="J9067" i="2"/>
  <c r="K9067" i="2"/>
  <c r="L9067" i="2"/>
  <c r="C9068" i="2"/>
  <c r="D9068" i="2"/>
  <c r="F9068" i="2"/>
  <c r="G9068" i="2"/>
  <c r="H9068" i="2"/>
  <c r="J9068" i="2"/>
  <c r="K9068" i="2"/>
  <c r="L9068" i="2"/>
  <c r="C9069" i="2"/>
  <c r="D9069" i="2"/>
  <c r="F9069" i="2"/>
  <c r="G9069" i="2"/>
  <c r="H9069" i="2"/>
  <c r="J9069" i="2"/>
  <c r="K9069" i="2"/>
  <c r="L9069" i="2"/>
  <c r="C9070" i="2"/>
  <c r="D9070" i="2"/>
  <c r="F9070" i="2"/>
  <c r="G9070" i="2"/>
  <c r="H9070" i="2"/>
  <c r="J9070" i="2"/>
  <c r="K9070" i="2"/>
  <c r="L9070" i="2"/>
  <c r="C9071" i="2"/>
  <c r="D9071" i="2"/>
  <c r="F9071" i="2"/>
  <c r="G9071" i="2"/>
  <c r="H9071" i="2"/>
  <c r="J9071" i="2"/>
  <c r="K9071" i="2"/>
  <c r="L9071" i="2"/>
  <c r="C9072" i="2"/>
  <c r="D9072" i="2"/>
  <c r="E9072" i="2"/>
  <c r="F9072" i="2"/>
  <c r="G9072" i="2"/>
  <c r="H9072" i="2"/>
  <c r="J9072" i="2"/>
  <c r="K9072" i="2"/>
  <c r="L9072" i="2"/>
  <c r="C9073" i="2"/>
  <c r="D9073" i="2"/>
  <c r="F9073" i="2"/>
  <c r="G9073" i="2"/>
  <c r="H9073" i="2"/>
  <c r="J9073" i="2"/>
  <c r="K9073" i="2"/>
  <c r="L9073" i="2"/>
  <c r="C9074" i="2"/>
  <c r="D9074" i="2"/>
  <c r="F9074" i="2"/>
  <c r="G9074" i="2"/>
  <c r="H9074" i="2"/>
  <c r="J9074" i="2"/>
  <c r="K9074" i="2"/>
  <c r="L9074" i="2"/>
  <c r="C9075" i="2"/>
  <c r="D9075" i="2"/>
  <c r="F9075" i="2"/>
  <c r="G9075" i="2"/>
  <c r="H9075" i="2"/>
  <c r="J9075" i="2"/>
  <c r="K9075" i="2"/>
  <c r="L9075" i="2"/>
  <c r="C9076" i="2"/>
  <c r="D9076" i="2"/>
  <c r="F9076" i="2"/>
  <c r="G9076" i="2"/>
  <c r="H9076" i="2"/>
  <c r="J9076" i="2"/>
  <c r="K9076" i="2"/>
  <c r="L9076" i="2"/>
  <c r="C9077" i="2"/>
  <c r="D9077" i="2"/>
  <c r="F9077" i="2"/>
  <c r="G9077" i="2"/>
  <c r="H9077" i="2"/>
  <c r="J9077" i="2"/>
  <c r="K9077" i="2"/>
  <c r="L9077" i="2"/>
  <c r="C9078" i="2"/>
  <c r="D9078" i="2"/>
  <c r="F9078" i="2"/>
  <c r="G9078" i="2"/>
  <c r="H9078" i="2"/>
  <c r="J9078" i="2"/>
  <c r="K9078" i="2"/>
  <c r="L9078" i="2"/>
  <c r="C9079" i="2"/>
  <c r="D9079" i="2"/>
  <c r="F9079" i="2"/>
  <c r="G9079" i="2"/>
  <c r="H9079" i="2"/>
  <c r="J9079" i="2"/>
  <c r="K9079" i="2"/>
  <c r="L9079" i="2"/>
  <c r="C9080" i="2"/>
  <c r="D9080" i="2"/>
  <c r="F9080" i="2"/>
  <c r="G9080" i="2"/>
  <c r="H9080" i="2"/>
  <c r="J9080" i="2"/>
  <c r="K9080" i="2"/>
  <c r="L9080" i="2"/>
  <c r="C9081" i="2"/>
  <c r="D9081" i="2"/>
  <c r="F9081" i="2"/>
  <c r="G9081" i="2"/>
  <c r="H9081" i="2"/>
  <c r="J9081" i="2"/>
  <c r="K9081" i="2"/>
  <c r="L9081" i="2"/>
  <c r="C9082" i="2"/>
  <c r="D9082" i="2"/>
  <c r="F9082" i="2"/>
  <c r="G9082" i="2"/>
  <c r="H9082" i="2"/>
  <c r="J9082" i="2"/>
  <c r="K9082" i="2"/>
  <c r="L9082" i="2"/>
  <c r="C9083" i="2"/>
  <c r="D9083" i="2"/>
  <c r="F9083" i="2"/>
  <c r="G9083" i="2"/>
  <c r="H9083" i="2"/>
  <c r="J9083" i="2"/>
  <c r="K9083" i="2"/>
  <c r="L9083" i="2"/>
  <c r="C9084" i="2"/>
  <c r="D9084" i="2"/>
  <c r="F9084" i="2"/>
  <c r="G9084" i="2"/>
  <c r="H9084" i="2"/>
  <c r="J9084" i="2"/>
  <c r="K9084" i="2"/>
  <c r="L9084" i="2"/>
  <c r="C9085" i="2"/>
  <c r="D9085" i="2"/>
  <c r="F9085" i="2"/>
  <c r="G9085" i="2"/>
  <c r="H9085" i="2"/>
  <c r="J9085" i="2"/>
  <c r="K9085" i="2"/>
  <c r="L9085" i="2"/>
  <c r="C9086" i="2"/>
  <c r="D9086" i="2"/>
  <c r="F9086" i="2"/>
  <c r="G9086" i="2"/>
  <c r="H9086" i="2"/>
  <c r="J9086" i="2"/>
  <c r="K9086" i="2"/>
  <c r="L9086" i="2"/>
  <c r="C9087" i="2"/>
  <c r="D9087" i="2"/>
  <c r="F9087" i="2"/>
  <c r="G9087" i="2"/>
  <c r="H9087" i="2"/>
  <c r="J9087" i="2"/>
  <c r="K9087" i="2"/>
  <c r="L9087" i="2"/>
  <c r="C9088" i="2"/>
  <c r="D9088" i="2"/>
  <c r="F9088" i="2"/>
  <c r="G9088" i="2"/>
  <c r="H9088" i="2"/>
  <c r="J9088" i="2"/>
  <c r="K9088" i="2"/>
  <c r="L9088" i="2"/>
  <c r="C9089" i="2"/>
  <c r="D9089" i="2"/>
  <c r="F9089" i="2"/>
  <c r="G9089" i="2"/>
  <c r="H9089" i="2"/>
  <c r="J9089" i="2"/>
  <c r="K9089" i="2"/>
  <c r="L9089" i="2"/>
  <c r="C9090" i="2"/>
  <c r="D9090" i="2"/>
  <c r="F9090" i="2"/>
  <c r="G9090" i="2"/>
  <c r="H9090" i="2"/>
  <c r="J9090" i="2"/>
  <c r="K9090" i="2"/>
  <c r="L9090" i="2"/>
  <c r="C9091" i="2"/>
  <c r="D9091" i="2"/>
  <c r="F9091" i="2"/>
  <c r="G9091" i="2"/>
  <c r="H9091" i="2"/>
  <c r="J9091" i="2"/>
  <c r="K9091" i="2"/>
  <c r="L9091" i="2"/>
  <c r="C9092" i="2"/>
  <c r="D9092" i="2"/>
  <c r="F9092" i="2"/>
  <c r="G9092" i="2"/>
  <c r="H9092" i="2"/>
  <c r="J9092" i="2"/>
  <c r="K9092" i="2"/>
  <c r="L9092" i="2"/>
  <c r="C9093" i="2"/>
  <c r="D9093" i="2"/>
  <c r="F9093" i="2"/>
  <c r="G9093" i="2"/>
  <c r="H9093" i="2"/>
  <c r="J9093" i="2"/>
  <c r="K9093" i="2"/>
  <c r="L9093" i="2"/>
  <c r="C9094" i="2"/>
  <c r="D9094" i="2"/>
  <c r="F9094" i="2"/>
  <c r="G9094" i="2"/>
  <c r="H9094" i="2"/>
  <c r="J9094" i="2"/>
  <c r="K9094" i="2"/>
  <c r="L9094" i="2"/>
  <c r="C9095" i="2"/>
  <c r="D9095" i="2"/>
  <c r="F9095" i="2"/>
  <c r="G9095" i="2"/>
  <c r="H9095" i="2"/>
  <c r="J9095" i="2"/>
  <c r="K9095" i="2"/>
  <c r="L9095" i="2"/>
  <c r="C9096" i="2"/>
  <c r="D9096" i="2"/>
  <c r="F9096" i="2"/>
  <c r="G9096" i="2"/>
  <c r="H9096" i="2"/>
  <c r="J9096" i="2"/>
  <c r="K9096" i="2"/>
  <c r="L9096" i="2"/>
  <c r="C9097" i="2"/>
  <c r="D9097" i="2"/>
  <c r="F9097" i="2"/>
  <c r="G9097" i="2"/>
  <c r="H9097" i="2"/>
  <c r="J9097" i="2"/>
  <c r="K9097" i="2"/>
  <c r="L9097" i="2"/>
  <c r="C9098" i="2"/>
  <c r="D9098" i="2"/>
  <c r="F9098" i="2"/>
  <c r="G9098" i="2"/>
  <c r="H9098" i="2"/>
  <c r="J9098" i="2"/>
  <c r="K9098" i="2"/>
  <c r="L9098" i="2"/>
  <c r="C9099" i="2"/>
  <c r="D9099" i="2"/>
  <c r="F9099" i="2"/>
  <c r="G9099" i="2"/>
  <c r="H9099" i="2"/>
  <c r="J9099" i="2"/>
  <c r="K9099" i="2"/>
  <c r="L9099" i="2"/>
  <c r="C9100" i="2"/>
  <c r="D9100" i="2"/>
  <c r="F9100" i="2"/>
  <c r="G9100" i="2"/>
  <c r="H9100" i="2"/>
  <c r="J9100" i="2"/>
  <c r="K9100" i="2"/>
  <c r="L9100" i="2"/>
  <c r="C9101" i="2"/>
  <c r="D9101" i="2"/>
  <c r="F9101" i="2"/>
  <c r="G9101" i="2"/>
  <c r="H9101" i="2"/>
  <c r="J9101" i="2"/>
  <c r="K9101" i="2"/>
  <c r="L9101" i="2"/>
  <c r="C9102" i="2"/>
  <c r="D9102" i="2"/>
  <c r="F9102" i="2"/>
  <c r="G9102" i="2"/>
  <c r="H9102" i="2"/>
  <c r="J9102" i="2"/>
  <c r="K9102" i="2"/>
  <c r="L9102" i="2"/>
  <c r="C9103" i="2"/>
  <c r="D9103" i="2"/>
  <c r="F9103" i="2"/>
  <c r="G9103" i="2"/>
  <c r="H9103" i="2"/>
  <c r="J9103" i="2"/>
  <c r="K9103" i="2"/>
  <c r="L9103" i="2"/>
  <c r="C9104" i="2"/>
  <c r="D9104" i="2"/>
  <c r="F9104" i="2"/>
  <c r="G9104" i="2"/>
  <c r="H9104" i="2"/>
  <c r="J9104" i="2"/>
  <c r="K9104" i="2"/>
  <c r="L9104" i="2"/>
  <c r="C9105" i="2"/>
  <c r="D9105" i="2"/>
  <c r="F9105" i="2"/>
  <c r="G9105" i="2"/>
  <c r="H9105" i="2"/>
  <c r="J9105" i="2"/>
  <c r="K9105" i="2"/>
  <c r="L9105" i="2"/>
  <c r="C9106" i="2"/>
  <c r="D9106" i="2"/>
  <c r="F9106" i="2"/>
  <c r="G9106" i="2"/>
  <c r="H9106" i="2"/>
  <c r="J9106" i="2"/>
  <c r="K9106" i="2"/>
  <c r="L9106" i="2"/>
  <c r="C9107" i="2"/>
  <c r="D9107" i="2"/>
  <c r="F9107" i="2"/>
  <c r="G9107" i="2"/>
  <c r="H9107" i="2"/>
  <c r="J9107" i="2"/>
  <c r="K9107" i="2"/>
  <c r="L9107" i="2"/>
  <c r="C9108" i="2"/>
  <c r="D9108" i="2"/>
  <c r="F9108" i="2"/>
  <c r="G9108" i="2"/>
  <c r="H9108" i="2"/>
  <c r="J9108" i="2"/>
  <c r="K9108" i="2"/>
  <c r="L9108" i="2"/>
  <c r="C9109" i="2"/>
  <c r="D9109" i="2"/>
  <c r="F9109" i="2"/>
  <c r="G9109" i="2"/>
  <c r="H9109" i="2"/>
  <c r="J9109" i="2"/>
  <c r="K9109" i="2"/>
  <c r="L9109" i="2"/>
  <c r="C9110" i="2"/>
  <c r="D9110" i="2"/>
  <c r="F9110" i="2"/>
  <c r="G9110" i="2"/>
  <c r="H9110" i="2"/>
  <c r="J9110" i="2"/>
  <c r="K9110" i="2"/>
  <c r="L9110" i="2"/>
  <c r="C9111" i="2"/>
  <c r="D9111" i="2"/>
  <c r="F9111" i="2"/>
  <c r="G9111" i="2"/>
  <c r="H9111" i="2"/>
  <c r="J9111" i="2"/>
  <c r="K9111" i="2"/>
  <c r="L9111" i="2"/>
  <c r="C9112" i="2"/>
  <c r="D9112" i="2"/>
  <c r="F9112" i="2"/>
  <c r="G9112" i="2"/>
  <c r="H9112" i="2"/>
  <c r="J9112" i="2"/>
  <c r="K9112" i="2"/>
  <c r="L9112" i="2"/>
  <c r="C9113" i="2"/>
  <c r="D9113" i="2"/>
  <c r="F9113" i="2"/>
  <c r="G9113" i="2"/>
  <c r="H9113" i="2"/>
  <c r="J9113" i="2"/>
  <c r="K9113" i="2"/>
  <c r="L9113" i="2"/>
  <c r="C9114" i="2"/>
  <c r="D9114" i="2"/>
  <c r="F9114" i="2"/>
  <c r="G9114" i="2"/>
  <c r="H9114" i="2"/>
  <c r="J9114" i="2"/>
  <c r="K9114" i="2"/>
  <c r="L9114" i="2"/>
  <c r="C9115" i="2"/>
  <c r="D9115" i="2"/>
  <c r="F9115" i="2"/>
  <c r="G9115" i="2"/>
  <c r="H9115" i="2"/>
  <c r="J9115" i="2"/>
  <c r="K9115" i="2"/>
  <c r="L9115" i="2"/>
  <c r="C9116" i="2"/>
  <c r="D9116" i="2"/>
  <c r="F9116" i="2"/>
  <c r="G9116" i="2"/>
  <c r="H9116" i="2"/>
  <c r="J9116" i="2"/>
  <c r="K9116" i="2"/>
  <c r="L9116" i="2"/>
  <c r="C9117" i="2"/>
  <c r="D9117" i="2"/>
  <c r="F9117" i="2"/>
  <c r="G9117" i="2"/>
  <c r="H9117" i="2"/>
  <c r="J9117" i="2"/>
  <c r="K9117" i="2"/>
  <c r="L9117" i="2"/>
  <c r="C9118" i="2"/>
  <c r="D9118" i="2"/>
  <c r="F9118" i="2"/>
  <c r="G9118" i="2"/>
  <c r="H9118" i="2"/>
  <c r="J9118" i="2"/>
  <c r="K9118" i="2"/>
  <c r="L9118" i="2"/>
  <c r="C9119" i="2"/>
  <c r="D9119" i="2"/>
  <c r="F9119" i="2"/>
  <c r="G9119" i="2"/>
  <c r="H9119" i="2"/>
  <c r="J9119" i="2"/>
  <c r="K9119" i="2"/>
  <c r="L9119" i="2"/>
  <c r="C9120" i="2"/>
  <c r="D9120" i="2"/>
  <c r="F9120" i="2"/>
  <c r="G9120" i="2"/>
  <c r="H9120" i="2"/>
  <c r="J9120" i="2"/>
  <c r="K9120" i="2"/>
  <c r="L9120" i="2"/>
  <c r="C9121" i="2"/>
  <c r="D9121" i="2"/>
  <c r="F9121" i="2"/>
  <c r="G9121" i="2"/>
  <c r="H9121" i="2"/>
  <c r="J9121" i="2"/>
  <c r="K9121" i="2"/>
  <c r="L9121" i="2"/>
  <c r="C9122" i="2"/>
  <c r="D9122" i="2"/>
  <c r="F9122" i="2"/>
  <c r="G9122" i="2"/>
  <c r="H9122" i="2"/>
  <c r="J9122" i="2"/>
  <c r="K9122" i="2"/>
  <c r="L9122" i="2"/>
  <c r="C9123" i="2"/>
  <c r="D9123" i="2"/>
  <c r="F9123" i="2"/>
  <c r="G9123" i="2"/>
  <c r="H9123" i="2"/>
  <c r="J9123" i="2"/>
  <c r="K9123" i="2"/>
  <c r="L9123" i="2"/>
  <c r="C9124" i="2"/>
  <c r="D9124" i="2"/>
  <c r="F9124" i="2"/>
  <c r="G9124" i="2"/>
  <c r="H9124" i="2"/>
  <c r="J9124" i="2"/>
  <c r="K9124" i="2"/>
  <c r="L9124" i="2"/>
  <c r="C9125" i="2"/>
  <c r="D9125" i="2"/>
  <c r="F9125" i="2"/>
  <c r="G9125" i="2"/>
  <c r="H9125" i="2"/>
  <c r="J9125" i="2"/>
  <c r="K9125" i="2"/>
  <c r="L9125" i="2"/>
  <c r="C9126" i="2"/>
  <c r="D9126" i="2"/>
  <c r="F9126" i="2"/>
  <c r="G9126" i="2"/>
  <c r="H9126" i="2"/>
  <c r="J9126" i="2"/>
  <c r="K9126" i="2"/>
  <c r="L9126" i="2"/>
  <c r="C9127" i="2"/>
  <c r="D9127" i="2"/>
  <c r="F9127" i="2"/>
  <c r="G9127" i="2"/>
  <c r="H9127" i="2"/>
  <c r="J9127" i="2"/>
  <c r="K9127" i="2"/>
  <c r="L9127" i="2"/>
  <c r="C9128" i="2"/>
  <c r="D9128" i="2"/>
  <c r="F9128" i="2"/>
  <c r="G9128" i="2"/>
  <c r="H9128" i="2"/>
  <c r="J9128" i="2"/>
  <c r="K9128" i="2"/>
  <c r="L9128" i="2"/>
  <c r="C9129" i="2"/>
  <c r="D9129" i="2"/>
  <c r="F9129" i="2"/>
  <c r="G9129" i="2"/>
  <c r="H9129" i="2"/>
  <c r="J9129" i="2"/>
  <c r="K9129" i="2"/>
  <c r="L9129" i="2"/>
  <c r="C9130" i="2"/>
  <c r="D9130" i="2"/>
  <c r="F9130" i="2"/>
  <c r="G9130" i="2"/>
  <c r="H9130" i="2"/>
  <c r="J9130" i="2"/>
  <c r="K9130" i="2"/>
  <c r="L9130" i="2"/>
  <c r="C9131" i="2"/>
  <c r="D9131" i="2"/>
  <c r="F9131" i="2"/>
  <c r="G9131" i="2"/>
  <c r="H9131" i="2"/>
  <c r="J9131" i="2"/>
  <c r="K9131" i="2"/>
  <c r="L9131" i="2"/>
  <c r="C9132" i="2"/>
  <c r="D9132" i="2"/>
  <c r="F9132" i="2"/>
  <c r="G9132" i="2"/>
  <c r="H9132" i="2"/>
  <c r="J9132" i="2"/>
  <c r="K9132" i="2"/>
  <c r="L9132" i="2"/>
  <c r="C9133" i="2"/>
  <c r="D9133" i="2"/>
  <c r="F9133" i="2"/>
  <c r="G9133" i="2"/>
  <c r="H9133" i="2"/>
  <c r="J9133" i="2"/>
  <c r="K9133" i="2"/>
  <c r="L9133" i="2"/>
  <c r="C9134" i="2"/>
  <c r="D9134" i="2"/>
  <c r="F9134" i="2"/>
  <c r="G9134" i="2"/>
  <c r="H9134" i="2"/>
  <c r="J9134" i="2"/>
  <c r="K9134" i="2"/>
  <c r="L9134" i="2"/>
  <c r="C9135" i="2"/>
  <c r="D9135" i="2"/>
  <c r="F9135" i="2"/>
  <c r="G9135" i="2"/>
  <c r="H9135" i="2"/>
  <c r="J9135" i="2"/>
  <c r="K9135" i="2"/>
  <c r="L9135" i="2"/>
  <c r="C9136" i="2"/>
  <c r="D9136" i="2"/>
  <c r="F9136" i="2"/>
  <c r="G9136" i="2"/>
  <c r="H9136" i="2"/>
  <c r="J9136" i="2"/>
  <c r="K9136" i="2"/>
  <c r="L9136" i="2"/>
  <c r="C9137" i="2"/>
  <c r="D9137" i="2"/>
  <c r="F9137" i="2"/>
  <c r="G9137" i="2"/>
  <c r="H9137" i="2"/>
  <c r="J9137" i="2"/>
  <c r="K9137" i="2"/>
  <c r="L9137" i="2"/>
  <c r="C9138" i="2"/>
  <c r="D9138" i="2"/>
  <c r="F9138" i="2"/>
  <c r="G9138" i="2"/>
  <c r="H9138" i="2"/>
  <c r="J9138" i="2"/>
  <c r="K9138" i="2"/>
  <c r="L9138" i="2"/>
  <c r="C9139" i="2"/>
  <c r="D9139" i="2"/>
  <c r="F9139" i="2"/>
  <c r="G9139" i="2"/>
  <c r="H9139" i="2"/>
  <c r="J9139" i="2"/>
  <c r="K9139" i="2"/>
  <c r="L9139" i="2"/>
  <c r="C9140" i="2"/>
  <c r="D9140" i="2"/>
  <c r="F9140" i="2"/>
  <c r="G9140" i="2"/>
  <c r="H9140" i="2"/>
  <c r="J9140" i="2"/>
  <c r="K9140" i="2"/>
  <c r="L9140" i="2"/>
  <c r="C9141" i="2"/>
  <c r="D9141" i="2"/>
  <c r="F9141" i="2"/>
  <c r="G9141" i="2"/>
  <c r="H9141" i="2"/>
  <c r="J9141" i="2"/>
  <c r="K9141" i="2"/>
  <c r="L9141" i="2"/>
  <c r="C9142" i="2"/>
  <c r="D9142" i="2"/>
  <c r="F9142" i="2"/>
  <c r="G9142" i="2"/>
  <c r="H9142" i="2"/>
  <c r="J9142" i="2"/>
  <c r="K9142" i="2"/>
  <c r="L9142" i="2"/>
  <c r="C9143" i="2"/>
  <c r="D9143" i="2"/>
  <c r="F9143" i="2"/>
  <c r="G9143" i="2"/>
  <c r="H9143" i="2"/>
  <c r="J9143" i="2"/>
  <c r="K9143" i="2"/>
  <c r="L9143" i="2"/>
  <c r="C9144" i="2"/>
  <c r="D9144" i="2"/>
  <c r="F9144" i="2"/>
  <c r="G9144" i="2"/>
  <c r="H9144" i="2"/>
  <c r="J9144" i="2"/>
  <c r="K9144" i="2"/>
  <c r="L9144" i="2"/>
  <c r="C9145" i="2"/>
  <c r="D9145" i="2"/>
  <c r="F9145" i="2"/>
  <c r="G9145" i="2"/>
  <c r="H9145" i="2"/>
  <c r="J9145" i="2"/>
  <c r="K9145" i="2"/>
  <c r="L9145" i="2"/>
  <c r="C9146" i="2"/>
  <c r="D9146" i="2"/>
  <c r="F9146" i="2"/>
  <c r="G9146" i="2"/>
  <c r="H9146" i="2"/>
  <c r="J9146" i="2"/>
  <c r="K9146" i="2"/>
  <c r="L9146" i="2"/>
  <c r="C9147" i="2"/>
  <c r="D9147" i="2"/>
  <c r="F9147" i="2"/>
  <c r="G9147" i="2"/>
  <c r="H9147" i="2"/>
  <c r="J9147" i="2"/>
  <c r="K9147" i="2"/>
  <c r="L9147" i="2"/>
  <c r="C9148" i="2"/>
  <c r="D9148" i="2"/>
  <c r="F9148" i="2"/>
  <c r="G9148" i="2"/>
  <c r="H9148" i="2"/>
  <c r="J9148" i="2"/>
  <c r="K9148" i="2"/>
  <c r="L9148" i="2"/>
  <c r="C9149" i="2"/>
  <c r="D9149" i="2"/>
  <c r="F9149" i="2"/>
  <c r="G9149" i="2"/>
  <c r="H9149" i="2"/>
  <c r="J9149" i="2"/>
  <c r="K9149" i="2"/>
  <c r="L9149" i="2"/>
  <c r="C9150" i="2"/>
  <c r="D9150" i="2"/>
  <c r="F9150" i="2"/>
  <c r="G9150" i="2"/>
  <c r="H9150" i="2"/>
  <c r="J9150" i="2"/>
  <c r="K9150" i="2"/>
  <c r="L9150" i="2"/>
  <c r="C9151" i="2"/>
  <c r="D9151" i="2"/>
  <c r="F9151" i="2"/>
  <c r="G9151" i="2"/>
  <c r="H9151" i="2"/>
  <c r="J9151" i="2"/>
  <c r="K9151" i="2"/>
  <c r="L9151" i="2"/>
  <c r="C9152" i="2"/>
  <c r="D9152" i="2"/>
  <c r="F9152" i="2"/>
  <c r="G9152" i="2"/>
  <c r="H9152" i="2"/>
  <c r="J9152" i="2"/>
  <c r="K9152" i="2"/>
  <c r="L9152" i="2"/>
  <c r="C9153" i="2"/>
  <c r="D9153" i="2"/>
  <c r="F9153" i="2"/>
  <c r="G9153" i="2"/>
  <c r="H9153" i="2"/>
  <c r="J9153" i="2"/>
  <c r="K9153" i="2"/>
  <c r="L9153" i="2"/>
  <c r="C9154" i="2"/>
  <c r="D9154" i="2"/>
  <c r="F9154" i="2"/>
  <c r="G9154" i="2"/>
  <c r="H9154" i="2"/>
  <c r="J9154" i="2"/>
  <c r="K9154" i="2"/>
  <c r="L9154" i="2"/>
  <c r="C9155" i="2"/>
  <c r="D9155" i="2"/>
  <c r="F9155" i="2"/>
  <c r="G9155" i="2"/>
  <c r="H9155" i="2"/>
  <c r="J9155" i="2"/>
  <c r="K9155" i="2"/>
  <c r="L9155" i="2"/>
  <c r="C9156" i="2"/>
  <c r="D9156" i="2"/>
  <c r="F9156" i="2"/>
  <c r="G9156" i="2"/>
  <c r="H9156" i="2"/>
  <c r="J9156" i="2"/>
  <c r="K9156" i="2"/>
  <c r="L9156" i="2"/>
  <c r="C9157" i="2"/>
  <c r="D9157" i="2"/>
  <c r="F9157" i="2"/>
  <c r="G9157" i="2"/>
  <c r="H9157" i="2"/>
  <c r="J9157" i="2"/>
  <c r="K9157" i="2"/>
  <c r="L9157" i="2"/>
  <c r="C9158" i="2"/>
  <c r="D9158" i="2"/>
  <c r="F9158" i="2"/>
  <c r="G9158" i="2"/>
  <c r="H9158" i="2"/>
  <c r="J9158" i="2"/>
  <c r="K9158" i="2"/>
  <c r="L9158" i="2"/>
  <c r="C9159" i="2"/>
  <c r="D9159" i="2"/>
  <c r="F9159" i="2"/>
  <c r="G9159" i="2"/>
  <c r="H9159" i="2"/>
  <c r="J9159" i="2"/>
  <c r="K9159" i="2"/>
  <c r="L9159" i="2"/>
  <c r="C9160" i="2"/>
  <c r="D9160" i="2"/>
  <c r="F9160" i="2"/>
  <c r="G9160" i="2"/>
  <c r="H9160" i="2"/>
  <c r="J9160" i="2"/>
  <c r="K9160" i="2"/>
  <c r="L9160" i="2"/>
  <c r="C9161" i="2"/>
  <c r="D9161" i="2"/>
  <c r="F9161" i="2"/>
  <c r="G9161" i="2"/>
  <c r="H9161" i="2"/>
  <c r="J9161" i="2"/>
  <c r="K9161" i="2"/>
  <c r="L9161" i="2"/>
  <c r="C9162" i="2"/>
  <c r="D9162" i="2"/>
  <c r="F9162" i="2"/>
  <c r="G9162" i="2"/>
  <c r="H9162" i="2"/>
  <c r="J9162" i="2"/>
  <c r="K9162" i="2"/>
  <c r="L9162" i="2"/>
  <c r="C9163" i="2"/>
  <c r="D9163" i="2"/>
  <c r="F9163" i="2"/>
  <c r="G9163" i="2"/>
  <c r="H9163" i="2"/>
  <c r="J9163" i="2"/>
  <c r="K9163" i="2"/>
  <c r="L9163" i="2"/>
  <c r="C9164" i="2"/>
  <c r="D9164" i="2"/>
  <c r="F9164" i="2"/>
  <c r="G9164" i="2"/>
  <c r="H9164" i="2"/>
  <c r="J9164" i="2"/>
  <c r="K9164" i="2"/>
  <c r="L9164" i="2"/>
  <c r="C9165" i="2"/>
  <c r="D9165" i="2"/>
  <c r="F9165" i="2"/>
  <c r="G9165" i="2"/>
  <c r="H9165" i="2"/>
  <c r="J9165" i="2"/>
  <c r="K9165" i="2"/>
  <c r="L9165" i="2"/>
  <c r="C9166" i="2"/>
  <c r="D9166" i="2"/>
  <c r="F9166" i="2"/>
  <c r="G9166" i="2"/>
  <c r="H9166" i="2"/>
  <c r="J9166" i="2"/>
  <c r="K9166" i="2"/>
  <c r="L9166" i="2"/>
  <c r="C9167" i="2"/>
  <c r="D9167" i="2"/>
  <c r="F9167" i="2"/>
  <c r="G9167" i="2"/>
  <c r="H9167" i="2"/>
  <c r="J9167" i="2"/>
  <c r="K9167" i="2"/>
  <c r="L9167" i="2"/>
  <c r="C9168" i="2"/>
  <c r="D9168" i="2"/>
  <c r="F9168" i="2"/>
  <c r="G9168" i="2"/>
  <c r="H9168" i="2"/>
  <c r="J9168" i="2"/>
  <c r="K9168" i="2"/>
  <c r="L9168" i="2"/>
  <c r="C9169" i="2"/>
  <c r="D9169" i="2"/>
  <c r="F9169" i="2"/>
  <c r="G9169" i="2"/>
  <c r="H9169" i="2"/>
  <c r="J9169" i="2"/>
  <c r="K9169" i="2"/>
  <c r="L9169" i="2"/>
  <c r="C9170" i="2"/>
  <c r="D9170" i="2"/>
  <c r="F9170" i="2"/>
  <c r="G9170" i="2"/>
  <c r="H9170" i="2"/>
  <c r="J9170" i="2"/>
  <c r="K9170" i="2"/>
  <c r="L9170" i="2"/>
  <c r="C9171" i="2"/>
  <c r="D9171" i="2"/>
  <c r="F9171" i="2"/>
  <c r="G9171" i="2"/>
  <c r="H9171" i="2"/>
  <c r="J9171" i="2"/>
  <c r="K9171" i="2"/>
  <c r="L9171" i="2"/>
  <c r="C9172" i="2"/>
  <c r="D9172" i="2"/>
  <c r="F9172" i="2"/>
  <c r="G9172" i="2"/>
  <c r="H9172" i="2"/>
  <c r="J9172" i="2"/>
  <c r="K9172" i="2"/>
  <c r="L9172" i="2"/>
  <c r="C9173" i="2"/>
  <c r="D9173" i="2"/>
  <c r="F9173" i="2"/>
  <c r="G9173" i="2"/>
  <c r="H9173" i="2"/>
  <c r="J9173" i="2"/>
  <c r="K9173" i="2"/>
  <c r="L9173" i="2"/>
  <c r="C9174" i="2"/>
  <c r="D9174" i="2"/>
  <c r="F9174" i="2"/>
  <c r="G9174" i="2"/>
  <c r="H9174" i="2"/>
  <c r="J9174" i="2"/>
  <c r="K9174" i="2"/>
  <c r="L9174" i="2"/>
  <c r="C9175" i="2"/>
  <c r="D9175" i="2"/>
  <c r="F9175" i="2"/>
  <c r="G9175" i="2"/>
  <c r="H9175" i="2"/>
  <c r="J9175" i="2"/>
  <c r="K9175" i="2"/>
  <c r="L9175" i="2"/>
  <c r="C9176" i="2"/>
  <c r="D9176" i="2"/>
  <c r="F9176" i="2"/>
  <c r="G9176" i="2"/>
  <c r="H9176" i="2"/>
  <c r="J9176" i="2"/>
  <c r="K9176" i="2"/>
  <c r="L9176" i="2"/>
  <c r="C9177" i="2"/>
  <c r="D9177" i="2"/>
  <c r="F9177" i="2"/>
  <c r="G9177" i="2"/>
  <c r="H9177" i="2"/>
  <c r="J9177" i="2"/>
  <c r="K9177" i="2"/>
  <c r="L9177" i="2"/>
  <c r="C9178" i="2"/>
  <c r="D9178" i="2"/>
  <c r="F9178" i="2"/>
  <c r="G9178" i="2"/>
  <c r="H9178" i="2"/>
  <c r="J9178" i="2"/>
  <c r="K9178" i="2"/>
  <c r="L9178" i="2"/>
  <c r="C9179" i="2"/>
  <c r="D9179" i="2"/>
  <c r="F9179" i="2"/>
  <c r="G9179" i="2"/>
  <c r="H9179" i="2"/>
  <c r="J9179" i="2"/>
  <c r="K9179" i="2"/>
  <c r="L9179" i="2"/>
  <c r="C9180" i="2"/>
  <c r="D9180" i="2"/>
  <c r="F9180" i="2"/>
  <c r="G9180" i="2"/>
  <c r="H9180" i="2"/>
  <c r="J9180" i="2"/>
  <c r="K9180" i="2"/>
  <c r="L9180" i="2"/>
  <c r="C9181" i="2"/>
  <c r="D9181" i="2"/>
  <c r="F9181" i="2"/>
  <c r="G9181" i="2"/>
  <c r="H9181" i="2"/>
  <c r="J9181" i="2"/>
  <c r="K9181" i="2"/>
  <c r="L9181" i="2"/>
  <c r="C9182" i="2"/>
  <c r="D9182" i="2"/>
  <c r="F9182" i="2"/>
  <c r="G9182" i="2"/>
  <c r="H9182" i="2"/>
  <c r="J9182" i="2"/>
  <c r="K9182" i="2"/>
  <c r="L9182" i="2"/>
  <c r="C9183" i="2"/>
  <c r="D9183" i="2"/>
  <c r="F9183" i="2"/>
  <c r="G9183" i="2"/>
  <c r="H9183" i="2"/>
  <c r="J9183" i="2"/>
  <c r="K9183" i="2"/>
  <c r="L9183" i="2"/>
  <c r="C9184" i="2"/>
  <c r="D9184" i="2"/>
  <c r="F9184" i="2"/>
  <c r="G9184" i="2"/>
  <c r="H9184" i="2"/>
  <c r="J9184" i="2"/>
  <c r="K9184" i="2"/>
  <c r="L9184" i="2"/>
  <c r="C9185" i="2"/>
  <c r="D9185" i="2"/>
  <c r="F9185" i="2"/>
  <c r="G9185" i="2"/>
  <c r="H9185" i="2"/>
  <c r="J9185" i="2"/>
  <c r="K9185" i="2"/>
  <c r="L9185" i="2"/>
  <c r="C9186" i="2"/>
  <c r="D9186" i="2"/>
  <c r="F9186" i="2"/>
  <c r="G9186" i="2"/>
  <c r="H9186" i="2"/>
  <c r="J9186" i="2"/>
  <c r="K9186" i="2"/>
  <c r="L9186" i="2"/>
  <c r="C9187" i="2"/>
  <c r="D9187" i="2"/>
  <c r="F9187" i="2"/>
  <c r="G9187" i="2"/>
  <c r="H9187" i="2"/>
  <c r="J9187" i="2"/>
  <c r="K9187" i="2"/>
  <c r="L9187" i="2"/>
  <c r="C9188" i="2"/>
  <c r="D9188" i="2"/>
  <c r="F9188" i="2"/>
  <c r="G9188" i="2"/>
  <c r="H9188" i="2"/>
  <c r="J9188" i="2"/>
  <c r="K9188" i="2"/>
  <c r="L9188" i="2"/>
  <c r="C9189" i="2"/>
  <c r="D9189" i="2"/>
  <c r="F9189" i="2"/>
  <c r="G9189" i="2"/>
  <c r="H9189" i="2"/>
  <c r="J9189" i="2"/>
  <c r="K9189" i="2"/>
  <c r="L9189" i="2"/>
  <c r="C9190" i="2"/>
  <c r="D9190" i="2"/>
  <c r="F9190" i="2"/>
  <c r="G9190" i="2"/>
  <c r="H9190" i="2"/>
  <c r="J9190" i="2"/>
  <c r="K9190" i="2"/>
  <c r="L9190" i="2"/>
  <c r="C9191" i="2"/>
  <c r="D9191" i="2"/>
  <c r="F9191" i="2"/>
  <c r="G9191" i="2"/>
  <c r="H9191" i="2"/>
  <c r="J9191" i="2"/>
  <c r="K9191" i="2"/>
  <c r="L9191" i="2"/>
  <c r="C9192" i="2"/>
  <c r="D9192" i="2"/>
  <c r="F9192" i="2"/>
  <c r="G9192" i="2"/>
  <c r="H9192" i="2"/>
  <c r="J9192" i="2"/>
  <c r="K9192" i="2"/>
  <c r="L9192" i="2"/>
  <c r="C9193" i="2"/>
  <c r="D9193" i="2"/>
  <c r="F9193" i="2"/>
  <c r="G9193" i="2"/>
  <c r="H9193" i="2"/>
  <c r="J9193" i="2"/>
  <c r="K9193" i="2"/>
  <c r="L9193" i="2"/>
  <c r="C9194" i="2"/>
  <c r="D9194" i="2"/>
  <c r="F9194" i="2"/>
  <c r="G9194" i="2"/>
  <c r="H9194" i="2"/>
  <c r="J9194" i="2"/>
  <c r="K9194" i="2"/>
  <c r="L9194" i="2"/>
  <c r="C9195" i="2"/>
  <c r="D9195" i="2"/>
  <c r="F9195" i="2"/>
  <c r="G9195" i="2"/>
  <c r="H9195" i="2"/>
  <c r="J9195" i="2"/>
  <c r="K9195" i="2"/>
  <c r="L9195" i="2"/>
  <c r="C9196" i="2"/>
  <c r="D9196" i="2"/>
  <c r="F9196" i="2"/>
  <c r="G9196" i="2"/>
  <c r="H9196" i="2"/>
  <c r="J9196" i="2"/>
  <c r="K9196" i="2"/>
  <c r="L9196" i="2"/>
  <c r="C9197" i="2"/>
  <c r="D9197" i="2"/>
  <c r="F9197" i="2"/>
  <c r="G9197" i="2"/>
  <c r="H9197" i="2"/>
  <c r="J9197" i="2"/>
  <c r="K9197" i="2"/>
  <c r="L9197" i="2"/>
  <c r="C9198" i="2"/>
  <c r="D9198" i="2"/>
  <c r="F9198" i="2"/>
  <c r="G9198" i="2"/>
  <c r="H9198" i="2"/>
  <c r="J9198" i="2"/>
  <c r="K9198" i="2"/>
  <c r="L9198" i="2"/>
  <c r="C9199" i="2"/>
  <c r="D9199" i="2"/>
  <c r="F9199" i="2"/>
  <c r="G9199" i="2"/>
  <c r="H9199" i="2"/>
  <c r="J9199" i="2"/>
  <c r="K9199" i="2"/>
  <c r="L9199" i="2"/>
  <c r="C9200" i="2"/>
  <c r="D9200" i="2"/>
  <c r="F9200" i="2"/>
  <c r="G9200" i="2"/>
  <c r="H9200" i="2"/>
  <c r="J9200" i="2"/>
  <c r="K9200" i="2"/>
  <c r="L9200" i="2"/>
  <c r="C9201" i="2"/>
  <c r="D9201" i="2"/>
  <c r="F9201" i="2"/>
  <c r="G9201" i="2"/>
  <c r="H9201" i="2"/>
  <c r="J9201" i="2"/>
  <c r="K9201" i="2"/>
  <c r="L9201" i="2"/>
  <c r="C9202" i="2"/>
  <c r="D9202" i="2"/>
  <c r="F9202" i="2"/>
  <c r="G9202" i="2"/>
  <c r="H9202" i="2"/>
  <c r="J9202" i="2"/>
  <c r="K9202" i="2"/>
  <c r="L9202" i="2"/>
  <c r="C9203" i="2"/>
  <c r="D9203" i="2"/>
  <c r="F9203" i="2"/>
  <c r="G9203" i="2"/>
  <c r="H9203" i="2"/>
  <c r="J9203" i="2"/>
  <c r="K9203" i="2"/>
  <c r="L9203" i="2"/>
  <c r="C9204" i="2"/>
  <c r="D9204" i="2"/>
  <c r="F9204" i="2"/>
  <c r="G9204" i="2"/>
  <c r="H9204" i="2"/>
  <c r="J9204" i="2"/>
  <c r="K9204" i="2"/>
  <c r="L9204" i="2"/>
  <c r="C9205" i="2"/>
  <c r="D9205" i="2"/>
  <c r="F9205" i="2"/>
  <c r="G9205" i="2"/>
  <c r="H9205" i="2"/>
  <c r="J9205" i="2"/>
  <c r="K9205" i="2"/>
  <c r="L9205" i="2"/>
  <c r="C9206" i="2"/>
  <c r="D9206" i="2"/>
  <c r="F9206" i="2"/>
  <c r="G9206" i="2"/>
  <c r="H9206" i="2"/>
  <c r="J9206" i="2"/>
  <c r="K9206" i="2"/>
  <c r="L9206" i="2"/>
  <c r="C9207" i="2"/>
  <c r="D9207" i="2"/>
  <c r="F9207" i="2"/>
  <c r="G9207" i="2"/>
  <c r="H9207" i="2"/>
  <c r="J9207" i="2"/>
  <c r="K9207" i="2"/>
  <c r="L9207" i="2"/>
  <c r="C9208" i="2"/>
  <c r="D9208" i="2"/>
  <c r="F9208" i="2"/>
  <c r="G9208" i="2"/>
  <c r="H9208" i="2"/>
  <c r="J9208" i="2"/>
  <c r="K9208" i="2"/>
  <c r="L9208" i="2"/>
  <c r="C9209" i="2"/>
  <c r="D9209" i="2"/>
  <c r="F9209" i="2"/>
  <c r="G9209" i="2"/>
  <c r="H9209" i="2"/>
  <c r="J9209" i="2"/>
  <c r="K9209" i="2"/>
  <c r="L9209" i="2"/>
  <c r="C9210" i="2"/>
  <c r="D9210" i="2"/>
  <c r="F9210" i="2"/>
  <c r="G9210" i="2"/>
  <c r="H9210" i="2"/>
  <c r="J9210" i="2"/>
  <c r="K9210" i="2"/>
  <c r="L9210" i="2"/>
  <c r="C9211" i="2"/>
  <c r="D9211" i="2"/>
  <c r="F9211" i="2"/>
  <c r="G9211" i="2"/>
  <c r="H9211" i="2"/>
  <c r="J9211" i="2"/>
  <c r="K9211" i="2"/>
  <c r="L9211" i="2"/>
  <c r="C9212" i="2"/>
  <c r="D9212" i="2"/>
  <c r="F9212" i="2"/>
  <c r="G9212" i="2"/>
  <c r="H9212" i="2"/>
  <c r="J9212" i="2"/>
  <c r="K9212" i="2"/>
  <c r="L9212" i="2"/>
  <c r="C9213" i="2"/>
  <c r="D9213" i="2"/>
  <c r="F9213" i="2"/>
  <c r="G9213" i="2"/>
  <c r="H9213" i="2"/>
  <c r="J9213" i="2"/>
  <c r="K9213" i="2"/>
  <c r="L9213" i="2"/>
  <c r="C9214" i="2"/>
  <c r="D9214" i="2"/>
  <c r="F9214" i="2"/>
  <c r="G9214" i="2"/>
  <c r="H9214" i="2"/>
  <c r="J9214" i="2"/>
  <c r="K9214" i="2"/>
  <c r="L9214" i="2"/>
  <c r="C9215" i="2"/>
  <c r="D9215" i="2"/>
  <c r="F9215" i="2"/>
  <c r="G9215" i="2"/>
  <c r="H9215" i="2"/>
  <c r="J9215" i="2"/>
  <c r="K9215" i="2"/>
  <c r="L9215" i="2"/>
  <c r="C9216" i="2"/>
  <c r="D9216" i="2"/>
  <c r="F9216" i="2"/>
  <c r="G9216" i="2"/>
  <c r="H9216" i="2"/>
  <c r="J9216" i="2"/>
  <c r="K9216" i="2"/>
  <c r="L9216" i="2"/>
  <c r="C9217" i="2"/>
  <c r="D9217" i="2"/>
  <c r="F9217" i="2"/>
  <c r="G9217" i="2"/>
  <c r="H9217" i="2"/>
  <c r="J9217" i="2"/>
  <c r="K9217" i="2"/>
  <c r="L9217" i="2"/>
  <c r="C9218" i="2"/>
  <c r="D9218" i="2"/>
  <c r="F9218" i="2"/>
  <c r="G9218" i="2"/>
  <c r="H9218" i="2"/>
  <c r="J9218" i="2"/>
  <c r="K9218" i="2"/>
  <c r="L9218" i="2"/>
  <c r="C9219" i="2"/>
  <c r="D9219" i="2"/>
  <c r="F9219" i="2"/>
  <c r="G9219" i="2"/>
  <c r="H9219" i="2"/>
  <c r="J9219" i="2"/>
  <c r="K9219" i="2"/>
  <c r="L9219" i="2"/>
  <c r="C9220" i="2"/>
  <c r="D9220" i="2"/>
  <c r="F9220" i="2"/>
  <c r="G9220" i="2"/>
  <c r="H9220" i="2"/>
  <c r="J9220" i="2"/>
  <c r="K9220" i="2"/>
  <c r="L9220" i="2"/>
  <c r="C9221" i="2"/>
  <c r="D9221" i="2"/>
  <c r="F9221" i="2"/>
  <c r="G9221" i="2"/>
  <c r="H9221" i="2"/>
  <c r="J9221" i="2"/>
  <c r="K9221" i="2"/>
  <c r="L9221" i="2"/>
  <c r="C9222" i="2"/>
  <c r="D9222" i="2"/>
  <c r="F9222" i="2"/>
  <c r="G9222" i="2"/>
  <c r="H9222" i="2"/>
  <c r="J9222" i="2"/>
  <c r="K9222" i="2"/>
  <c r="L9222" i="2"/>
  <c r="C9223" i="2"/>
  <c r="D9223" i="2"/>
  <c r="F9223" i="2"/>
  <c r="G9223" i="2"/>
  <c r="H9223" i="2"/>
  <c r="J9223" i="2"/>
  <c r="K9223" i="2"/>
  <c r="L9223" i="2"/>
  <c r="C9224" i="2"/>
  <c r="D9224" i="2"/>
  <c r="F9224" i="2"/>
  <c r="G9224" i="2"/>
  <c r="H9224" i="2"/>
  <c r="J9224" i="2"/>
  <c r="K9224" i="2"/>
  <c r="L9224" i="2"/>
  <c r="C9225" i="2"/>
  <c r="D9225" i="2"/>
  <c r="F9225" i="2"/>
  <c r="G9225" i="2"/>
  <c r="H9225" i="2"/>
  <c r="J9225" i="2"/>
  <c r="K9225" i="2"/>
  <c r="L9225" i="2"/>
  <c r="C9226" i="2"/>
  <c r="D9226" i="2"/>
  <c r="F9226" i="2"/>
  <c r="G9226" i="2"/>
  <c r="H9226" i="2"/>
  <c r="J9226" i="2"/>
  <c r="K9226" i="2"/>
  <c r="L9226" i="2"/>
  <c r="C9227" i="2"/>
  <c r="D9227" i="2"/>
  <c r="F9227" i="2"/>
  <c r="G9227" i="2"/>
  <c r="H9227" i="2"/>
  <c r="J9227" i="2"/>
  <c r="K9227" i="2"/>
  <c r="L9227" i="2"/>
  <c r="C9228" i="2"/>
  <c r="D9228" i="2"/>
  <c r="F9228" i="2"/>
  <c r="G9228" i="2"/>
  <c r="H9228" i="2"/>
  <c r="J9228" i="2"/>
  <c r="K9228" i="2"/>
  <c r="L9228" i="2"/>
  <c r="C9229" i="2"/>
  <c r="D9229" i="2"/>
  <c r="F9229" i="2"/>
  <c r="G9229" i="2"/>
  <c r="H9229" i="2"/>
  <c r="J9229" i="2"/>
  <c r="K9229" i="2"/>
  <c r="L9229" i="2"/>
  <c r="C9230" i="2"/>
  <c r="D9230" i="2"/>
  <c r="F9230" i="2"/>
  <c r="G9230" i="2"/>
  <c r="H9230" i="2"/>
  <c r="J9230" i="2"/>
  <c r="K9230" i="2"/>
  <c r="L9230" i="2"/>
  <c r="C9231" i="2"/>
  <c r="D9231" i="2"/>
  <c r="F9231" i="2"/>
  <c r="G9231" i="2"/>
  <c r="H9231" i="2"/>
  <c r="J9231" i="2"/>
  <c r="K9231" i="2"/>
  <c r="L9231" i="2"/>
  <c r="C9232" i="2"/>
  <c r="D9232" i="2"/>
  <c r="F9232" i="2"/>
  <c r="G9232" i="2"/>
  <c r="H9232" i="2"/>
  <c r="J9232" i="2"/>
  <c r="K9232" i="2"/>
  <c r="L9232" i="2"/>
  <c r="C9233" i="2"/>
  <c r="D9233" i="2"/>
  <c r="F9233" i="2"/>
  <c r="G9233" i="2"/>
  <c r="H9233" i="2"/>
  <c r="J9233" i="2"/>
  <c r="K9233" i="2"/>
  <c r="L9233" i="2"/>
  <c r="C9234" i="2"/>
  <c r="D9234" i="2"/>
  <c r="F9234" i="2"/>
  <c r="G9234" i="2"/>
  <c r="H9234" i="2"/>
  <c r="J9234" i="2"/>
  <c r="K9234" i="2"/>
  <c r="L9234" i="2"/>
  <c r="C9235" i="2"/>
  <c r="D9235" i="2"/>
  <c r="F9235" i="2"/>
  <c r="G9235" i="2"/>
  <c r="H9235" i="2"/>
  <c r="J9235" i="2"/>
  <c r="K9235" i="2"/>
  <c r="L9235" i="2"/>
  <c r="C9236" i="2"/>
  <c r="D9236" i="2"/>
  <c r="F9236" i="2"/>
  <c r="G9236" i="2"/>
  <c r="H9236" i="2"/>
  <c r="J9236" i="2"/>
  <c r="K9236" i="2"/>
  <c r="L9236" i="2"/>
  <c r="C9237" i="2"/>
  <c r="D9237" i="2"/>
  <c r="F9237" i="2"/>
  <c r="G9237" i="2"/>
  <c r="H9237" i="2"/>
  <c r="J9237" i="2"/>
  <c r="K9237" i="2"/>
  <c r="L9237" i="2"/>
  <c r="C9238" i="2"/>
  <c r="D9238" i="2"/>
  <c r="F9238" i="2"/>
  <c r="G9238" i="2"/>
  <c r="H9238" i="2"/>
  <c r="J9238" i="2"/>
  <c r="K9238" i="2"/>
  <c r="L9238" i="2"/>
  <c r="C9239" i="2"/>
  <c r="D9239" i="2"/>
  <c r="F9239" i="2"/>
  <c r="G9239" i="2"/>
  <c r="H9239" i="2"/>
  <c r="J9239" i="2"/>
  <c r="K9239" i="2"/>
  <c r="L9239" i="2"/>
  <c r="C9240" i="2"/>
  <c r="D9240" i="2"/>
  <c r="F9240" i="2"/>
  <c r="G9240" i="2"/>
  <c r="H9240" i="2"/>
  <c r="J9240" i="2"/>
  <c r="K9240" i="2"/>
  <c r="L9240" i="2"/>
  <c r="C9241" i="2"/>
  <c r="D9241" i="2"/>
  <c r="F9241" i="2"/>
  <c r="G9241" i="2"/>
  <c r="H9241" i="2"/>
  <c r="J9241" i="2"/>
  <c r="K9241" i="2"/>
  <c r="L9241" i="2"/>
  <c r="C9242" i="2"/>
  <c r="D9242" i="2"/>
  <c r="F9242" i="2"/>
  <c r="G9242" i="2"/>
  <c r="H9242" i="2"/>
  <c r="J9242" i="2"/>
  <c r="K9242" i="2"/>
  <c r="L9242" i="2"/>
  <c r="C9243" i="2"/>
  <c r="D9243" i="2"/>
  <c r="F9243" i="2"/>
  <c r="G9243" i="2"/>
  <c r="H9243" i="2"/>
  <c r="J9243" i="2"/>
  <c r="K9243" i="2"/>
  <c r="L9243" i="2"/>
  <c r="C9244" i="2"/>
  <c r="D9244" i="2"/>
  <c r="F9244" i="2"/>
  <c r="G9244" i="2"/>
  <c r="H9244" i="2"/>
  <c r="J9244" i="2"/>
  <c r="K9244" i="2"/>
  <c r="L9244" i="2"/>
  <c r="C9245" i="2"/>
  <c r="D9245" i="2"/>
  <c r="F9245" i="2"/>
  <c r="G9245" i="2"/>
  <c r="H9245" i="2"/>
  <c r="J9245" i="2"/>
  <c r="K9245" i="2"/>
  <c r="L9245" i="2"/>
  <c r="C9246" i="2"/>
  <c r="D9246" i="2"/>
  <c r="F9246" i="2"/>
  <c r="G9246" i="2"/>
  <c r="H9246" i="2"/>
  <c r="J9246" i="2"/>
  <c r="K9246" i="2"/>
  <c r="L9246" i="2"/>
  <c r="C9247" i="2"/>
  <c r="D9247" i="2"/>
  <c r="F9247" i="2"/>
  <c r="G9247" i="2"/>
  <c r="H9247" i="2"/>
  <c r="J9247" i="2"/>
  <c r="K9247" i="2"/>
  <c r="L9247" i="2"/>
  <c r="C9248" i="2"/>
  <c r="D9248" i="2"/>
  <c r="F9248" i="2"/>
  <c r="G9248" i="2"/>
  <c r="H9248" i="2"/>
  <c r="J9248" i="2"/>
  <c r="K9248" i="2"/>
  <c r="L9248" i="2"/>
  <c r="C9249" i="2"/>
  <c r="D9249" i="2"/>
  <c r="F9249" i="2"/>
  <c r="G9249" i="2"/>
  <c r="H9249" i="2"/>
  <c r="J9249" i="2"/>
  <c r="K9249" i="2"/>
  <c r="L9249" i="2"/>
  <c r="C9250" i="2"/>
  <c r="D9250" i="2"/>
  <c r="F9250" i="2"/>
  <c r="G9250" i="2"/>
  <c r="H9250" i="2"/>
  <c r="J9250" i="2"/>
  <c r="K9250" i="2"/>
  <c r="L9250" i="2"/>
  <c r="C9251" i="2"/>
  <c r="D9251" i="2"/>
  <c r="F9251" i="2"/>
  <c r="G9251" i="2"/>
  <c r="H9251" i="2"/>
  <c r="J9251" i="2"/>
  <c r="K9251" i="2"/>
  <c r="L9251" i="2"/>
  <c r="C9252" i="2"/>
  <c r="D9252" i="2"/>
  <c r="F9252" i="2"/>
  <c r="G9252" i="2"/>
  <c r="H9252" i="2"/>
  <c r="J9252" i="2"/>
  <c r="K9252" i="2"/>
  <c r="L9252" i="2"/>
  <c r="C9253" i="2"/>
  <c r="D9253" i="2"/>
  <c r="F9253" i="2"/>
  <c r="G9253" i="2"/>
  <c r="H9253" i="2"/>
  <c r="J9253" i="2"/>
  <c r="K9253" i="2"/>
  <c r="L9253" i="2"/>
  <c r="C9254" i="2"/>
  <c r="D9254" i="2"/>
  <c r="F9254" i="2"/>
  <c r="G9254" i="2"/>
  <c r="H9254" i="2"/>
  <c r="J9254" i="2"/>
  <c r="K9254" i="2"/>
  <c r="L9254" i="2"/>
  <c r="C9255" i="2"/>
  <c r="D9255" i="2"/>
  <c r="F9255" i="2"/>
  <c r="G9255" i="2"/>
  <c r="H9255" i="2"/>
  <c r="J9255" i="2"/>
  <c r="K9255" i="2"/>
  <c r="L9255" i="2"/>
  <c r="C9256" i="2"/>
  <c r="D9256" i="2"/>
  <c r="F9256" i="2"/>
  <c r="G9256" i="2"/>
  <c r="H9256" i="2"/>
  <c r="J9256" i="2"/>
  <c r="K9256" i="2"/>
  <c r="L9256" i="2"/>
  <c r="C9257" i="2"/>
  <c r="D9257" i="2"/>
  <c r="F9257" i="2"/>
  <c r="G9257" i="2"/>
  <c r="H9257" i="2"/>
  <c r="J9257" i="2"/>
  <c r="K9257" i="2"/>
  <c r="L9257" i="2"/>
  <c r="C9258" i="2"/>
  <c r="D9258" i="2"/>
  <c r="F9258" i="2"/>
  <c r="G9258" i="2"/>
  <c r="H9258" i="2"/>
  <c r="J9258" i="2"/>
  <c r="K9258" i="2"/>
  <c r="L9258" i="2"/>
  <c r="C9259" i="2"/>
  <c r="D9259" i="2"/>
  <c r="F9259" i="2"/>
  <c r="G9259" i="2"/>
  <c r="H9259" i="2"/>
  <c r="J9259" i="2"/>
  <c r="K9259" i="2"/>
  <c r="L9259" i="2"/>
  <c r="C9260" i="2"/>
  <c r="D9260" i="2"/>
  <c r="F9260" i="2"/>
  <c r="G9260" i="2"/>
  <c r="H9260" i="2"/>
  <c r="J9260" i="2"/>
  <c r="K9260" i="2"/>
  <c r="L9260" i="2"/>
  <c r="C9261" i="2"/>
  <c r="D9261" i="2"/>
  <c r="F9261" i="2"/>
  <c r="G9261" i="2"/>
  <c r="H9261" i="2"/>
  <c r="J9261" i="2"/>
  <c r="K9261" i="2"/>
  <c r="L9261" i="2"/>
  <c r="C9262" i="2"/>
  <c r="D9262" i="2"/>
  <c r="F9262" i="2"/>
  <c r="G9262" i="2"/>
  <c r="H9262" i="2"/>
  <c r="J9262" i="2"/>
  <c r="K9262" i="2"/>
  <c r="L9262" i="2"/>
  <c r="C9263" i="2"/>
  <c r="D9263" i="2"/>
  <c r="F9263" i="2"/>
  <c r="G9263" i="2"/>
  <c r="H9263" i="2"/>
  <c r="J9263" i="2"/>
  <c r="K9263" i="2"/>
  <c r="L9263" i="2"/>
  <c r="C9264" i="2"/>
  <c r="D9264" i="2"/>
  <c r="F9264" i="2"/>
  <c r="G9264" i="2"/>
  <c r="H9264" i="2"/>
  <c r="J9264" i="2"/>
  <c r="K9264" i="2"/>
  <c r="L9264" i="2"/>
  <c r="C9265" i="2"/>
  <c r="D9265" i="2"/>
  <c r="F9265" i="2"/>
  <c r="G9265" i="2"/>
  <c r="H9265" i="2"/>
  <c r="J9265" i="2"/>
  <c r="K9265" i="2"/>
  <c r="L9265" i="2"/>
  <c r="C9266" i="2"/>
  <c r="D9266" i="2"/>
  <c r="F9266" i="2"/>
  <c r="G9266" i="2"/>
  <c r="H9266" i="2"/>
  <c r="J9266" i="2"/>
  <c r="K9266" i="2"/>
  <c r="L9266" i="2"/>
  <c r="C9267" i="2"/>
  <c r="D9267" i="2"/>
  <c r="F9267" i="2"/>
  <c r="G9267" i="2"/>
  <c r="H9267" i="2"/>
  <c r="J9267" i="2"/>
  <c r="K9267" i="2"/>
  <c r="L9267" i="2"/>
  <c r="C9268" i="2"/>
  <c r="D9268" i="2"/>
  <c r="F9268" i="2"/>
  <c r="G9268" i="2"/>
  <c r="H9268" i="2"/>
  <c r="J9268" i="2"/>
  <c r="K9268" i="2"/>
  <c r="L9268" i="2"/>
  <c r="C9269" i="2"/>
  <c r="D9269" i="2"/>
  <c r="F9269" i="2"/>
  <c r="G9269" i="2"/>
  <c r="H9269" i="2"/>
  <c r="J9269" i="2"/>
  <c r="K9269" i="2"/>
  <c r="L9269" i="2"/>
  <c r="C9270" i="2"/>
  <c r="D9270" i="2"/>
  <c r="F9270" i="2"/>
  <c r="G9270" i="2"/>
  <c r="H9270" i="2"/>
  <c r="J9270" i="2"/>
  <c r="K9270" i="2"/>
  <c r="L9270" i="2"/>
  <c r="C9271" i="2"/>
  <c r="D9271" i="2"/>
  <c r="F9271" i="2"/>
  <c r="G9271" i="2"/>
  <c r="H9271" i="2"/>
  <c r="J9271" i="2"/>
  <c r="K9271" i="2"/>
  <c r="L9271" i="2"/>
  <c r="C9272" i="2"/>
  <c r="D9272" i="2"/>
  <c r="F9272" i="2"/>
  <c r="G9272" i="2"/>
  <c r="H9272" i="2"/>
  <c r="J9272" i="2"/>
  <c r="K9272" i="2"/>
  <c r="L9272" i="2"/>
  <c r="C9273" i="2"/>
  <c r="D9273" i="2"/>
  <c r="F9273" i="2"/>
  <c r="G9273" i="2"/>
  <c r="H9273" i="2"/>
  <c r="J9273" i="2"/>
  <c r="K9273" i="2"/>
  <c r="L9273" i="2"/>
  <c r="C9274" i="2"/>
  <c r="D9274" i="2"/>
  <c r="F9274" i="2"/>
  <c r="G9274" i="2"/>
  <c r="H9274" i="2"/>
  <c r="J9274" i="2"/>
  <c r="K9274" i="2"/>
  <c r="L9274" i="2"/>
  <c r="C9275" i="2"/>
  <c r="D9275" i="2"/>
  <c r="F9275" i="2"/>
  <c r="G9275" i="2"/>
  <c r="H9275" i="2"/>
  <c r="J9275" i="2"/>
  <c r="K9275" i="2"/>
  <c r="L9275" i="2"/>
  <c r="C9276" i="2"/>
  <c r="D9276" i="2"/>
  <c r="F9276" i="2"/>
  <c r="G9276" i="2"/>
  <c r="H9276" i="2"/>
  <c r="J9276" i="2"/>
  <c r="K9276" i="2"/>
  <c r="L9276" i="2"/>
  <c r="C9277" i="2"/>
  <c r="D9277" i="2"/>
  <c r="F9277" i="2"/>
  <c r="G9277" i="2"/>
  <c r="H9277" i="2"/>
  <c r="J9277" i="2"/>
  <c r="K9277" i="2"/>
  <c r="L9277" i="2"/>
  <c r="C9278" i="2"/>
  <c r="D9278" i="2"/>
  <c r="F9278" i="2"/>
  <c r="G9278" i="2"/>
  <c r="H9278" i="2"/>
  <c r="J9278" i="2"/>
  <c r="K9278" i="2"/>
  <c r="L9278" i="2"/>
  <c r="C9279" i="2"/>
  <c r="D9279" i="2"/>
  <c r="F9279" i="2"/>
  <c r="G9279" i="2"/>
  <c r="H9279" i="2"/>
  <c r="J9279" i="2"/>
  <c r="K9279" i="2"/>
  <c r="L9279" i="2"/>
  <c r="C9280" i="2"/>
  <c r="D9280" i="2"/>
  <c r="F9280" i="2"/>
  <c r="G9280" i="2"/>
  <c r="H9280" i="2"/>
  <c r="J9280" i="2"/>
  <c r="K9280" i="2"/>
  <c r="L9280" i="2"/>
  <c r="C9281" i="2"/>
  <c r="D9281" i="2"/>
  <c r="F9281" i="2"/>
  <c r="G9281" i="2"/>
  <c r="H9281" i="2"/>
  <c r="J9281" i="2"/>
  <c r="K9281" i="2"/>
  <c r="L9281" i="2"/>
  <c r="C9282" i="2"/>
  <c r="D9282" i="2"/>
  <c r="F9282" i="2"/>
  <c r="G9282" i="2"/>
  <c r="H9282" i="2"/>
  <c r="J9282" i="2"/>
  <c r="K9282" i="2"/>
  <c r="L9282" i="2"/>
  <c r="C9283" i="2"/>
  <c r="D9283" i="2"/>
  <c r="F9283" i="2"/>
  <c r="G9283" i="2"/>
  <c r="H9283" i="2"/>
  <c r="J9283" i="2"/>
  <c r="K9283" i="2"/>
  <c r="L9283" i="2"/>
  <c r="C9284" i="2"/>
  <c r="D9284" i="2"/>
  <c r="F9284" i="2"/>
  <c r="G9284" i="2"/>
  <c r="H9284" i="2"/>
  <c r="J9284" i="2"/>
  <c r="K9284" i="2"/>
  <c r="L9284" i="2"/>
  <c r="C9285" i="2"/>
  <c r="D9285" i="2"/>
  <c r="F9285" i="2"/>
  <c r="G9285" i="2"/>
  <c r="H9285" i="2"/>
  <c r="J9285" i="2"/>
  <c r="K9285" i="2"/>
  <c r="L9285" i="2"/>
  <c r="C9286" i="2"/>
  <c r="D9286" i="2"/>
  <c r="F9286" i="2"/>
  <c r="G9286" i="2"/>
  <c r="H9286" i="2"/>
  <c r="J9286" i="2"/>
  <c r="K9286" i="2"/>
  <c r="L9286" i="2"/>
  <c r="C9287" i="2"/>
  <c r="D9287" i="2"/>
  <c r="F9287" i="2"/>
  <c r="G9287" i="2"/>
  <c r="H9287" i="2"/>
  <c r="J9287" i="2"/>
  <c r="K9287" i="2"/>
  <c r="L9287" i="2"/>
  <c r="C9288" i="2"/>
  <c r="D9288" i="2"/>
  <c r="F9288" i="2"/>
  <c r="G9288" i="2"/>
  <c r="H9288" i="2"/>
  <c r="J9288" i="2"/>
  <c r="K9288" i="2"/>
  <c r="L9288" i="2"/>
  <c r="C9289" i="2"/>
  <c r="D9289" i="2"/>
  <c r="F9289" i="2"/>
  <c r="G9289" i="2"/>
  <c r="H9289" i="2"/>
  <c r="J9289" i="2"/>
  <c r="K9289" i="2"/>
  <c r="L9289" i="2"/>
  <c r="C9290" i="2"/>
  <c r="D9290" i="2"/>
  <c r="F9290" i="2"/>
  <c r="G9290" i="2"/>
  <c r="H9290" i="2"/>
  <c r="J9290" i="2"/>
  <c r="K9290" i="2"/>
  <c r="L9290" i="2"/>
  <c r="C9291" i="2"/>
  <c r="D9291" i="2"/>
  <c r="F9291" i="2"/>
  <c r="G9291" i="2"/>
  <c r="H9291" i="2"/>
  <c r="J9291" i="2"/>
  <c r="K9291" i="2"/>
  <c r="L9291" i="2"/>
  <c r="C9292" i="2"/>
  <c r="D9292" i="2"/>
  <c r="F9292" i="2"/>
  <c r="G9292" i="2"/>
  <c r="H9292" i="2"/>
  <c r="J9292" i="2"/>
  <c r="K9292" i="2"/>
  <c r="L9292" i="2"/>
  <c r="C9293" i="2"/>
  <c r="D9293" i="2"/>
  <c r="F9293" i="2"/>
  <c r="G9293" i="2"/>
  <c r="H9293" i="2"/>
  <c r="J9293" i="2"/>
  <c r="K9293" i="2"/>
  <c r="L9293" i="2"/>
  <c r="C9294" i="2"/>
  <c r="D9294" i="2"/>
  <c r="F9294" i="2"/>
  <c r="G9294" i="2"/>
  <c r="H9294" i="2"/>
  <c r="J9294" i="2"/>
  <c r="K9294" i="2"/>
  <c r="L9294" i="2"/>
  <c r="C9295" i="2"/>
  <c r="D9295" i="2"/>
  <c r="F9295" i="2"/>
  <c r="G9295" i="2"/>
  <c r="H9295" i="2"/>
  <c r="J9295" i="2"/>
  <c r="K9295" i="2"/>
  <c r="L9295" i="2"/>
  <c r="C9296" i="2"/>
  <c r="D9296" i="2"/>
  <c r="F9296" i="2"/>
  <c r="G9296" i="2"/>
  <c r="H9296" i="2"/>
  <c r="J9296" i="2"/>
  <c r="K9296" i="2"/>
  <c r="L9296" i="2"/>
  <c r="C9297" i="2"/>
  <c r="D9297" i="2"/>
  <c r="F9297" i="2"/>
  <c r="G9297" i="2"/>
  <c r="H9297" i="2"/>
  <c r="J9297" i="2"/>
  <c r="K9297" i="2"/>
  <c r="L9297" i="2"/>
  <c r="C9298" i="2"/>
  <c r="D9298" i="2"/>
  <c r="F9298" i="2"/>
  <c r="G9298" i="2"/>
  <c r="H9298" i="2"/>
  <c r="J9298" i="2"/>
  <c r="K9298" i="2"/>
  <c r="L9298" i="2"/>
  <c r="C9299" i="2"/>
  <c r="D9299" i="2"/>
  <c r="F9299" i="2"/>
  <c r="G9299" i="2"/>
  <c r="H9299" i="2"/>
  <c r="J9299" i="2"/>
  <c r="K9299" i="2"/>
  <c r="L9299" i="2"/>
  <c r="C9300" i="2"/>
  <c r="D9300" i="2"/>
  <c r="F9300" i="2"/>
  <c r="G9300" i="2"/>
  <c r="H9300" i="2"/>
  <c r="J9300" i="2"/>
  <c r="K9300" i="2"/>
  <c r="L9300" i="2"/>
  <c r="C9301" i="2"/>
  <c r="D9301" i="2"/>
  <c r="F9301" i="2"/>
  <c r="G9301" i="2"/>
  <c r="H9301" i="2"/>
  <c r="J9301" i="2"/>
  <c r="K9301" i="2"/>
  <c r="L9301" i="2"/>
  <c r="C9302" i="2"/>
  <c r="D9302" i="2"/>
  <c r="F9302" i="2"/>
  <c r="G9302" i="2"/>
  <c r="H9302" i="2"/>
  <c r="J9302" i="2"/>
  <c r="K9302" i="2"/>
  <c r="L9302" i="2"/>
  <c r="C9303" i="2"/>
  <c r="D9303" i="2"/>
  <c r="F9303" i="2"/>
  <c r="G9303" i="2"/>
  <c r="H9303" i="2"/>
  <c r="J9303" i="2"/>
  <c r="K9303" i="2"/>
  <c r="L9303" i="2"/>
  <c r="C9304" i="2"/>
  <c r="D9304" i="2"/>
  <c r="F9304" i="2"/>
  <c r="G9304" i="2"/>
  <c r="H9304" i="2"/>
  <c r="J9304" i="2"/>
  <c r="K9304" i="2"/>
  <c r="L9304" i="2"/>
  <c r="C9305" i="2"/>
  <c r="D9305" i="2"/>
  <c r="F9305" i="2"/>
  <c r="G9305" i="2"/>
  <c r="H9305" i="2"/>
  <c r="J9305" i="2"/>
  <c r="K9305" i="2"/>
  <c r="L9305" i="2"/>
  <c r="C9306" i="2"/>
  <c r="D9306" i="2"/>
  <c r="F9306" i="2"/>
  <c r="G9306" i="2"/>
  <c r="H9306" i="2"/>
  <c r="J9306" i="2"/>
  <c r="K9306" i="2"/>
  <c r="L9306" i="2"/>
  <c r="C9307" i="2"/>
  <c r="D9307" i="2"/>
  <c r="F9307" i="2"/>
  <c r="G9307" i="2"/>
  <c r="H9307" i="2"/>
  <c r="J9307" i="2"/>
  <c r="K9307" i="2"/>
  <c r="L9307" i="2"/>
  <c r="C9308" i="2"/>
  <c r="D9308" i="2"/>
  <c r="F9308" i="2"/>
  <c r="G9308" i="2"/>
  <c r="H9308" i="2"/>
  <c r="J9308" i="2"/>
  <c r="K9308" i="2"/>
  <c r="L9308" i="2"/>
  <c r="C9309" i="2"/>
  <c r="D9309" i="2"/>
  <c r="F9309" i="2"/>
  <c r="G9309" i="2"/>
  <c r="H9309" i="2"/>
  <c r="J9309" i="2"/>
  <c r="K9309" i="2"/>
  <c r="L9309" i="2"/>
  <c r="C9310" i="2"/>
  <c r="D9310" i="2"/>
  <c r="F9310" i="2"/>
  <c r="G9310" i="2"/>
  <c r="H9310" i="2"/>
  <c r="J9310" i="2"/>
  <c r="K9310" i="2"/>
  <c r="L9310" i="2"/>
  <c r="C9311" i="2"/>
  <c r="D9311" i="2"/>
  <c r="F9311" i="2"/>
  <c r="G9311" i="2"/>
  <c r="H9311" i="2"/>
  <c r="J9311" i="2"/>
  <c r="K9311" i="2"/>
  <c r="L9311" i="2"/>
  <c r="C9312" i="2"/>
  <c r="D9312" i="2"/>
  <c r="F9312" i="2"/>
  <c r="G9312" i="2"/>
  <c r="H9312" i="2"/>
  <c r="J9312" i="2"/>
  <c r="K9312" i="2"/>
  <c r="L9312" i="2"/>
  <c r="C9313" i="2"/>
  <c r="D9313" i="2"/>
  <c r="F9313" i="2"/>
  <c r="G9313" i="2"/>
  <c r="H9313" i="2"/>
  <c r="J9313" i="2"/>
  <c r="K9313" i="2"/>
  <c r="L9313" i="2"/>
  <c r="C9314" i="2"/>
  <c r="D9314" i="2"/>
  <c r="F9314" i="2"/>
  <c r="G9314" i="2"/>
  <c r="H9314" i="2"/>
  <c r="J9314" i="2"/>
  <c r="K9314" i="2"/>
  <c r="L9314" i="2"/>
  <c r="C9315" i="2"/>
  <c r="D9315" i="2"/>
  <c r="F9315" i="2"/>
  <c r="G9315" i="2"/>
  <c r="H9315" i="2"/>
  <c r="J9315" i="2"/>
  <c r="K9315" i="2"/>
  <c r="L9315" i="2"/>
  <c r="C9316" i="2"/>
  <c r="D9316" i="2"/>
  <c r="F9316" i="2"/>
  <c r="G9316" i="2"/>
  <c r="H9316" i="2"/>
  <c r="J9316" i="2"/>
  <c r="K9316" i="2"/>
  <c r="L9316" i="2"/>
  <c r="C9317" i="2"/>
  <c r="D9317" i="2"/>
  <c r="F9317" i="2"/>
  <c r="G9317" i="2"/>
  <c r="H9317" i="2"/>
  <c r="J9317" i="2"/>
  <c r="K9317" i="2"/>
  <c r="L9317" i="2"/>
  <c r="C9318" i="2"/>
  <c r="D9318" i="2"/>
  <c r="F9318" i="2"/>
  <c r="G9318" i="2"/>
  <c r="H9318" i="2"/>
  <c r="J9318" i="2"/>
  <c r="K9318" i="2"/>
  <c r="L9318" i="2"/>
  <c r="C9319" i="2"/>
  <c r="D9319" i="2"/>
  <c r="F9319" i="2"/>
  <c r="G9319" i="2"/>
  <c r="H9319" i="2"/>
  <c r="J9319" i="2"/>
  <c r="K9319" i="2"/>
  <c r="L9319" i="2"/>
  <c r="C9320" i="2"/>
  <c r="D9320" i="2"/>
  <c r="F9320" i="2"/>
  <c r="G9320" i="2"/>
  <c r="H9320" i="2"/>
  <c r="J9320" i="2"/>
  <c r="K9320" i="2"/>
  <c r="L9320" i="2"/>
  <c r="C9321" i="2"/>
  <c r="D9321" i="2"/>
  <c r="F9321" i="2"/>
  <c r="G9321" i="2"/>
  <c r="H9321" i="2"/>
  <c r="J9321" i="2"/>
  <c r="K9321" i="2"/>
  <c r="L9321" i="2"/>
  <c r="C9322" i="2"/>
  <c r="D9322" i="2"/>
  <c r="F9322" i="2"/>
  <c r="G9322" i="2"/>
  <c r="H9322" i="2"/>
  <c r="J9322" i="2"/>
  <c r="K9322" i="2"/>
  <c r="L9322" i="2"/>
  <c r="C9323" i="2"/>
  <c r="D9323" i="2"/>
  <c r="F9323" i="2"/>
  <c r="G9323" i="2"/>
  <c r="H9323" i="2"/>
  <c r="J9323" i="2"/>
  <c r="K9323" i="2"/>
  <c r="L9323" i="2"/>
  <c r="C9324" i="2"/>
  <c r="D9324" i="2"/>
  <c r="F9324" i="2"/>
  <c r="G9324" i="2"/>
  <c r="H9324" i="2"/>
  <c r="J9324" i="2"/>
  <c r="K9324" i="2"/>
  <c r="L9324" i="2"/>
  <c r="C9325" i="2"/>
  <c r="D9325" i="2"/>
  <c r="F9325" i="2"/>
  <c r="G9325" i="2"/>
  <c r="H9325" i="2"/>
  <c r="J9325" i="2"/>
  <c r="K9325" i="2"/>
  <c r="L9325" i="2"/>
  <c r="C9326" i="2"/>
  <c r="D9326" i="2"/>
  <c r="F9326" i="2"/>
  <c r="G9326" i="2"/>
  <c r="H9326" i="2"/>
  <c r="J9326" i="2"/>
  <c r="K9326" i="2"/>
  <c r="L9326" i="2"/>
  <c r="C9327" i="2"/>
  <c r="D9327" i="2"/>
  <c r="F9327" i="2"/>
  <c r="G9327" i="2"/>
  <c r="H9327" i="2"/>
  <c r="J9327" i="2"/>
  <c r="K9327" i="2"/>
  <c r="L9327" i="2"/>
  <c r="C9328" i="2"/>
  <c r="D9328" i="2"/>
  <c r="F9328" i="2"/>
  <c r="G9328" i="2"/>
  <c r="H9328" i="2"/>
  <c r="J9328" i="2"/>
  <c r="K9328" i="2"/>
  <c r="L9328" i="2"/>
  <c r="C9329" i="2"/>
  <c r="D9329" i="2"/>
  <c r="F9329" i="2"/>
  <c r="G9329" i="2"/>
  <c r="H9329" i="2"/>
  <c r="J9329" i="2"/>
  <c r="K9329" i="2"/>
  <c r="L9329" i="2"/>
  <c r="C9330" i="2"/>
  <c r="D9330" i="2"/>
  <c r="F9330" i="2"/>
  <c r="G9330" i="2"/>
  <c r="H9330" i="2"/>
  <c r="J9330" i="2"/>
  <c r="K9330" i="2"/>
  <c r="L9330" i="2"/>
  <c r="C9331" i="2"/>
  <c r="D9331" i="2"/>
  <c r="F9331" i="2"/>
  <c r="G9331" i="2"/>
  <c r="H9331" i="2"/>
  <c r="J9331" i="2"/>
  <c r="K9331" i="2"/>
  <c r="L9331" i="2"/>
  <c r="C9332" i="2"/>
  <c r="D9332" i="2"/>
  <c r="F9332" i="2"/>
  <c r="G9332" i="2"/>
  <c r="H9332" i="2"/>
  <c r="J9332" i="2"/>
  <c r="K9332" i="2"/>
  <c r="L9332" i="2"/>
  <c r="C9333" i="2"/>
  <c r="D9333" i="2"/>
  <c r="F9333" i="2"/>
  <c r="G9333" i="2"/>
  <c r="H9333" i="2"/>
  <c r="J9333" i="2"/>
  <c r="K9333" i="2"/>
  <c r="L9333" i="2"/>
  <c r="C9334" i="2"/>
  <c r="D9334" i="2"/>
  <c r="F9334" i="2"/>
  <c r="G9334" i="2"/>
  <c r="H9334" i="2"/>
  <c r="J9334" i="2"/>
  <c r="K9334" i="2"/>
  <c r="L9334" i="2"/>
  <c r="C9335" i="2"/>
  <c r="D9335" i="2"/>
  <c r="F9335" i="2"/>
  <c r="G9335" i="2"/>
  <c r="H9335" i="2"/>
  <c r="J9335" i="2"/>
  <c r="K9335" i="2"/>
  <c r="L9335" i="2"/>
  <c r="C9336" i="2"/>
  <c r="D9336" i="2"/>
  <c r="F9336" i="2"/>
  <c r="G9336" i="2"/>
  <c r="H9336" i="2"/>
  <c r="J9336" i="2"/>
  <c r="K9336" i="2"/>
  <c r="L9336" i="2"/>
  <c r="C9337" i="2"/>
  <c r="D9337" i="2"/>
  <c r="F9337" i="2"/>
  <c r="G9337" i="2"/>
  <c r="H9337" i="2"/>
  <c r="J9337" i="2"/>
  <c r="K9337" i="2"/>
  <c r="L9337" i="2"/>
  <c r="C9338" i="2"/>
  <c r="D9338" i="2"/>
  <c r="F9338" i="2"/>
  <c r="G9338" i="2"/>
  <c r="H9338" i="2"/>
  <c r="J9338" i="2"/>
  <c r="K9338" i="2"/>
  <c r="L9338" i="2"/>
  <c r="C9339" i="2"/>
  <c r="D9339" i="2"/>
  <c r="F9339" i="2"/>
  <c r="G9339" i="2"/>
  <c r="H9339" i="2"/>
  <c r="J9339" i="2"/>
  <c r="K9339" i="2"/>
  <c r="L9339" i="2"/>
  <c r="C9340" i="2"/>
  <c r="D9340" i="2"/>
  <c r="F9340" i="2"/>
  <c r="G9340" i="2"/>
  <c r="H9340" i="2"/>
  <c r="J9340" i="2"/>
  <c r="K9340" i="2"/>
  <c r="L9340" i="2"/>
  <c r="C9341" i="2"/>
  <c r="D9341" i="2"/>
  <c r="F9341" i="2"/>
  <c r="G9341" i="2"/>
  <c r="H9341" i="2"/>
  <c r="J9341" i="2"/>
  <c r="K9341" i="2"/>
  <c r="L9341" i="2"/>
  <c r="C9342" i="2"/>
  <c r="D9342" i="2"/>
  <c r="F9342" i="2"/>
  <c r="G9342" i="2"/>
  <c r="H9342" i="2"/>
  <c r="J9342" i="2"/>
  <c r="K9342" i="2"/>
  <c r="L9342" i="2"/>
  <c r="C9343" i="2"/>
  <c r="D9343" i="2"/>
  <c r="F9343" i="2"/>
  <c r="G9343" i="2"/>
  <c r="H9343" i="2"/>
  <c r="J9343" i="2"/>
  <c r="K9343" i="2"/>
  <c r="L9343" i="2"/>
  <c r="C9344" i="2"/>
  <c r="D9344" i="2"/>
  <c r="F9344" i="2"/>
  <c r="G9344" i="2"/>
  <c r="H9344" i="2"/>
  <c r="J9344" i="2"/>
  <c r="K9344" i="2"/>
  <c r="L9344" i="2"/>
  <c r="C9345" i="2"/>
  <c r="D9345" i="2"/>
  <c r="F9345" i="2"/>
  <c r="G9345" i="2"/>
  <c r="H9345" i="2"/>
  <c r="J9345" i="2"/>
  <c r="K9345" i="2"/>
  <c r="L9345" i="2"/>
  <c r="C9346" i="2"/>
  <c r="D9346" i="2"/>
  <c r="F9346" i="2"/>
  <c r="G9346" i="2"/>
  <c r="H9346" i="2"/>
  <c r="J9346" i="2"/>
  <c r="K9346" i="2"/>
  <c r="L9346" i="2"/>
  <c r="C9347" i="2"/>
  <c r="D9347" i="2"/>
  <c r="F9347" i="2"/>
  <c r="G9347" i="2"/>
  <c r="H9347" i="2"/>
  <c r="J9347" i="2"/>
  <c r="K9347" i="2"/>
  <c r="L9347" i="2"/>
  <c r="C9348" i="2"/>
  <c r="D9348" i="2"/>
  <c r="F9348" i="2"/>
  <c r="G9348" i="2"/>
  <c r="H9348" i="2"/>
  <c r="J9348" i="2"/>
  <c r="K9348" i="2"/>
  <c r="L9348" i="2"/>
  <c r="C9349" i="2"/>
  <c r="D9349" i="2"/>
  <c r="F9349" i="2"/>
  <c r="G9349" i="2"/>
  <c r="H9349" i="2"/>
  <c r="J9349" i="2"/>
  <c r="K9349" i="2"/>
  <c r="L9349" i="2"/>
  <c r="C9350" i="2"/>
  <c r="D9350" i="2"/>
  <c r="F9350" i="2"/>
  <c r="G9350" i="2"/>
  <c r="H9350" i="2"/>
  <c r="J9350" i="2"/>
  <c r="K9350" i="2"/>
  <c r="L9350" i="2"/>
  <c r="C9351" i="2"/>
  <c r="D9351" i="2"/>
  <c r="F9351" i="2"/>
  <c r="G9351" i="2"/>
  <c r="H9351" i="2"/>
  <c r="J9351" i="2"/>
  <c r="K9351" i="2"/>
  <c r="L9351" i="2"/>
  <c r="C9352" i="2"/>
  <c r="D9352" i="2"/>
  <c r="F9352" i="2"/>
  <c r="G9352" i="2"/>
  <c r="H9352" i="2"/>
  <c r="J9352" i="2"/>
  <c r="K9352" i="2"/>
  <c r="L9352" i="2"/>
  <c r="C9353" i="2"/>
  <c r="D9353" i="2"/>
  <c r="F9353" i="2"/>
  <c r="G9353" i="2"/>
  <c r="H9353" i="2"/>
  <c r="J9353" i="2"/>
  <c r="K9353" i="2"/>
  <c r="L9353" i="2"/>
  <c r="C9354" i="2"/>
  <c r="D9354" i="2"/>
  <c r="F9354" i="2"/>
  <c r="G9354" i="2"/>
  <c r="H9354" i="2"/>
  <c r="J9354" i="2"/>
  <c r="K9354" i="2"/>
  <c r="L9354" i="2"/>
  <c r="C9355" i="2"/>
  <c r="D9355" i="2"/>
  <c r="F9355" i="2"/>
  <c r="G9355" i="2"/>
  <c r="H9355" i="2"/>
  <c r="J9355" i="2"/>
  <c r="K9355" i="2"/>
  <c r="L9355" i="2"/>
  <c r="C9356" i="2"/>
  <c r="D9356" i="2"/>
  <c r="F9356" i="2"/>
  <c r="G9356" i="2"/>
  <c r="H9356" i="2"/>
  <c r="J9356" i="2"/>
  <c r="K9356" i="2"/>
  <c r="L9356" i="2"/>
  <c r="C9357" i="2"/>
  <c r="D9357" i="2"/>
  <c r="F9357" i="2"/>
  <c r="G9357" i="2"/>
  <c r="H9357" i="2"/>
  <c r="J9357" i="2"/>
  <c r="K9357" i="2"/>
  <c r="L9357" i="2"/>
  <c r="C9358" i="2"/>
  <c r="D9358" i="2"/>
  <c r="F9358" i="2"/>
  <c r="G9358" i="2"/>
  <c r="H9358" i="2"/>
  <c r="J9358" i="2"/>
  <c r="K9358" i="2"/>
  <c r="L9358" i="2"/>
  <c r="C9359" i="2"/>
  <c r="D9359" i="2"/>
  <c r="F9359" i="2"/>
  <c r="G9359" i="2"/>
  <c r="H9359" i="2"/>
  <c r="J9359" i="2"/>
  <c r="K9359" i="2"/>
  <c r="L9359" i="2"/>
  <c r="C9360" i="2"/>
  <c r="D9360" i="2"/>
  <c r="F9360" i="2"/>
  <c r="G9360" i="2"/>
  <c r="H9360" i="2"/>
  <c r="J9360" i="2"/>
  <c r="K9360" i="2"/>
  <c r="L9360" i="2"/>
  <c r="D9361" i="2"/>
  <c r="F9361" i="2"/>
  <c r="G9361" i="2"/>
  <c r="H9361" i="2"/>
  <c r="J9361" i="2"/>
  <c r="K9361" i="2"/>
  <c r="L9361" i="2"/>
  <c r="C9362" i="2"/>
  <c r="D9362" i="2"/>
  <c r="F9362" i="2"/>
  <c r="G9362" i="2"/>
  <c r="H9362" i="2"/>
  <c r="J9362" i="2"/>
  <c r="K9362" i="2"/>
  <c r="L9362" i="2"/>
  <c r="C9363" i="2"/>
  <c r="D9363" i="2"/>
  <c r="F9363" i="2"/>
  <c r="G9363" i="2"/>
  <c r="H9363" i="2"/>
  <c r="J9363" i="2"/>
  <c r="K9363" i="2"/>
  <c r="L9363" i="2"/>
  <c r="C9364" i="2"/>
  <c r="D9364" i="2"/>
  <c r="F9364" i="2"/>
  <c r="G9364" i="2"/>
  <c r="H9364" i="2"/>
  <c r="J9364" i="2"/>
  <c r="K9364" i="2"/>
  <c r="L9364" i="2"/>
  <c r="C9365" i="2"/>
  <c r="D9365" i="2"/>
  <c r="F9365" i="2"/>
  <c r="G9365" i="2"/>
  <c r="H9365" i="2"/>
  <c r="J9365" i="2"/>
  <c r="K9365" i="2"/>
  <c r="L9365" i="2"/>
  <c r="C9366" i="2"/>
  <c r="D9366" i="2"/>
  <c r="F9366" i="2"/>
  <c r="G9366" i="2"/>
  <c r="H9366" i="2"/>
  <c r="J9366" i="2"/>
  <c r="K9366" i="2"/>
  <c r="L9366" i="2"/>
  <c r="C9367" i="2"/>
  <c r="D9367" i="2"/>
  <c r="F9367" i="2"/>
  <c r="G9367" i="2"/>
  <c r="H9367" i="2"/>
  <c r="J9367" i="2"/>
  <c r="K9367" i="2"/>
  <c r="L9367" i="2"/>
  <c r="C9368" i="2"/>
  <c r="D9368" i="2"/>
  <c r="F9368" i="2"/>
  <c r="G9368" i="2"/>
  <c r="H9368" i="2"/>
  <c r="J9368" i="2"/>
  <c r="K9368" i="2"/>
  <c r="L9368" i="2"/>
  <c r="C9369" i="2"/>
  <c r="D9369" i="2"/>
  <c r="F9369" i="2"/>
  <c r="G9369" i="2"/>
  <c r="H9369" i="2"/>
  <c r="J9369" i="2"/>
  <c r="K9369" i="2"/>
  <c r="L9369" i="2"/>
  <c r="C9370" i="2"/>
  <c r="D9370" i="2"/>
  <c r="F9370" i="2"/>
  <c r="G9370" i="2"/>
  <c r="H9370" i="2"/>
  <c r="J9370" i="2"/>
  <c r="K9370" i="2"/>
  <c r="L9370" i="2"/>
  <c r="C9371" i="2"/>
  <c r="D9371" i="2"/>
  <c r="F9371" i="2"/>
  <c r="G9371" i="2"/>
  <c r="H9371" i="2"/>
  <c r="J9371" i="2"/>
  <c r="K9371" i="2"/>
  <c r="L9371" i="2"/>
  <c r="C9372" i="2"/>
  <c r="D9372" i="2"/>
  <c r="F9372" i="2"/>
  <c r="G9372" i="2"/>
  <c r="H9372" i="2"/>
  <c r="J9372" i="2"/>
  <c r="K9372" i="2"/>
  <c r="L9372" i="2"/>
  <c r="C9373" i="2"/>
  <c r="D9373" i="2"/>
  <c r="F9373" i="2"/>
  <c r="G9373" i="2"/>
  <c r="H9373" i="2"/>
  <c r="J9373" i="2"/>
  <c r="K9373" i="2"/>
  <c r="L9373" i="2"/>
  <c r="C9374" i="2"/>
  <c r="D9374" i="2"/>
  <c r="F9374" i="2"/>
  <c r="G9374" i="2"/>
  <c r="H9374" i="2"/>
  <c r="J9374" i="2"/>
  <c r="K9374" i="2"/>
  <c r="L9374" i="2"/>
  <c r="C9375" i="2"/>
  <c r="D9375" i="2"/>
  <c r="F9375" i="2"/>
  <c r="G9375" i="2"/>
  <c r="H9375" i="2"/>
  <c r="J9375" i="2"/>
  <c r="K9375" i="2"/>
  <c r="L9375" i="2"/>
  <c r="C9376" i="2"/>
  <c r="D9376" i="2"/>
  <c r="F9376" i="2"/>
  <c r="G9376" i="2"/>
  <c r="H9376" i="2"/>
  <c r="J9376" i="2"/>
  <c r="K9376" i="2"/>
  <c r="L9376" i="2"/>
  <c r="C9377" i="2"/>
  <c r="D9377" i="2"/>
  <c r="F9377" i="2"/>
  <c r="G9377" i="2"/>
  <c r="H9377" i="2"/>
  <c r="J9377" i="2"/>
  <c r="K9377" i="2"/>
  <c r="L9377" i="2"/>
  <c r="C9378" i="2"/>
  <c r="D9378" i="2"/>
  <c r="F9378" i="2"/>
  <c r="G9378" i="2"/>
  <c r="H9378" i="2"/>
  <c r="J9378" i="2"/>
  <c r="K9378" i="2"/>
  <c r="L9378" i="2"/>
  <c r="C9379" i="2"/>
  <c r="D9379" i="2"/>
  <c r="F9379" i="2"/>
  <c r="G9379" i="2"/>
  <c r="H9379" i="2"/>
  <c r="J9379" i="2"/>
  <c r="K9379" i="2"/>
  <c r="L9379" i="2"/>
  <c r="C9380" i="2"/>
  <c r="D9380" i="2"/>
  <c r="F9380" i="2"/>
  <c r="G9380" i="2"/>
  <c r="H9380" i="2"/>
  <c r="J9380" i="2"/>
  <c r="K9380" i="2"/>
  <c r="L9380" i="2"/>
  <c r="C9381" i="2"/>
  <c r="D9381" i="2"/>
  <c r="F9381" i="2"/>
  <c r="G9381" i="2"/>
  <c r="H9381" i="2"/>
  <c r="J9381" i="2"/>
  <c r="K9381" i="2"/>
  <c r="L9381" i="2"/>
  <c r="C9382" i="2"/>
  <c r="D9382" i="2"/>
  <c r="F9382" i="2"/>
  <c r="G9382" i="2"/>
  <c r="H9382" i="2"/>
  <c r="J9382" i="2"/>
  <c r="K9382" i="2"/>
  <c r="L9382" i="2"/>
  <c r="C9383" i="2"/>
  <c r="D9383" i="2"/>
  <c r="F9383" i="2"/>
  <c r="G9383" i="2"/>
  <c r="H9383" i="2"/>
  <c r="J9383" i="2"/>
  <c r="K9383" i="2"/>
  <c r="L9383" i="2"/>
  <c r="C9384" i="2"/>
  <c r="D9384" i="2"/>
  <c r="F9384" i="2"/>
  <c r="G9384" i="2"/>
  <c r="H9384" i="2"/>
  <c r="J9384" i="2"/>
  <c r="K9384" i="2"/>
  <c r="L9384" i="2"/>
  <c r="C9385" i="2"/>
  <c r="D9385" i="2"/>
  <c r="F9385" i="2"/>
  <c r="G9385" i="2"/>
  <c r="H9385" i="2"/>
  <c r="J9385" i="2"/>
  <c r="K9385" i="2"/>
  <c r="L9385" i="2"/>
  <c r="C9386" i="2"/>
  <c r="D9386" i="2"/>
  <c r="F9386" i="2"/>
  <c r="G9386" i="2"/>
  <c r="H9386" i="2"/>
  <c r="J9386" i="2"/>
  <c r="K9386" i="2"/>
  <c r="L9386" i="2"/>
  <c r="C9387" i="2"/>
  <c r="D9387" i="2"/>
  <c r="F9387" i="2"/>
  <c r="G9387" i="2"/>
  <c r="H9387" i="2"/>
  <c r="J9387" i="2"/>
  <c r="K9387" i="2"/>
  <c r="L9387" i="2"/>
  <c r="C9388" i="2"/>
  <c r="D9388" i="2"/>
  <c r="F9388" i="2"/>
  <c r="G9388" i="2"/>
  <c r="H9388" i="2"/>
  <c r="J9388" i="2"/>
  <c r="K9388" i="2"/>
  <c r="L9388" i="2"/>
  <c r="C9389" i="2"/>
  <c r="D9389" i="2"/>
  <c r="F9389" i="2"/>
  <c r="G9389" i="2"/>
  <c r="H9389" i="2"/>
  <c r="J9389" i="2"/>
  <c r="K9389" i="2"/>
  <c r="L9389" i="2"/>
  <c r="C9390" i="2"/>
  <c r="D9390" i="2"/>
  <c r="F9390" i="2"/>
  <c r="G9390" i="2"/>
  <c r="H9390" i="2"/>
  <c r="J9390" i="2"/>
  <c r="K9390" i="2"/>
  <c r="L9390" i="2"/>
  <c r="C9391" i="2"/>
  <c r="D9391" i="2"/>
  <c r="F9391" i="2"/>
  <c r="G9391" i="2"/>
  <c r="H9391" i="2"/>
  <c r="J9391" i="2"/>
  <c r="K9391" i="2"/>
  <c r="L9391" i="2"/>
  <c r="C9392" i="2"/>
  <c r="D9392" i="2"/>
  <c r="F9392" i="2"/>
  <c r="G9392" i="2"/>
  <c r="H9392" i="2"/>
  <c r="J9392" i="2"/>
  <c r="K9392" i="2"/>
  <c r="L9392" i="2"/>
  <c r="C9393" i="2"/>
  <c r="D9393" i="2"/>
  <c r="F9393" i="2"/>
  <c r="G9393" i="2"/>
  <c r="H9393" i="2"/>
  <c r="J9393" i="2"/>
  <c r="K9393" i="2"/>
  <c r="L9393" i="2"/>
  <c r="C9394" i="2"/>
  <c r="D9394" i="2"/>
  <c r="F9394" i="2"/>
  <c r="G9394" i="2"/>
  <c r="H9394" i="2"/>
  <c r="J9394" i="2"/>
  <c r="K9394" i="2"/>
  <c r="L9394" i="2"/>
  <c r="C9395" i="2"/>
  <c r="D9395" i="2"/>
  <c r="F9395" i="2"/>
  <c r="G9395" i="2"/>
  <c r="H9395" i="2"/>
  <c r="J9395" i="2"/>
  <c r="K9395" i="2"/>
  <c r="L9395" i="2"/>
  <c r="C9396" i="2"/>
  <c r="D9396" i="2"/>
  <c r="F9396" i="2"/>
  <c r="G9396" i="2"/>
  <c r="H9396" i="2"/>
  <c r="J9396" i="2"/>
  <c r="K9396" i="2"/>
  <c r="L9396" i="2"/>
  <c r="C9397" i="2"/>
  <c r="D9397" i="2"/>
  <c r="F9397" i="2"/>
  <c r="G9397" i="2"/>
  <c r="H9397" i="2"/>
  <c r="J9397" i="2"/>
  <c r="K9397" i="2"/>
  <c r="L9397" i="2"/>
  <c r="C9398" i="2"/>
  <c r="D9398" i="2"/>
  <c r="F9398" i="2"/>
  <c r="G9398" i="2"/>
  <c r="H9398" i="2"/>
  <c r="J9398" i="2"/>
  <c r="K9398" i="2"/>
  <c r="L9398" i="2"/>
  <c r="C9399" i="2"/>
  <c r="D9399" i="2"/>
  <c r="F9399" i="2"/>
  <c r="G9399" i="2"/>
  <c r="H9399" i="2"/>
  <c r="J9399" i="2"/>
  <c r="K9399" i="2"/>
  <c r="L9399" i="2"/>
  <c r="C9400" i="2"/>
  <c r="D9400" i="2"/>
  <c r="F9400" i="2"/>
  <c r="G9400" i="2"/>
  <c r="H9400" i="2"/>
  <c r="J9400" i="2"/>
  <c r="K9400" i="2"/>
  <c r="L9400" i="2"/>
  <c r="C9401" i="2"/>
  <c r="D9401" i="2"/>
  <c r="F9401" i="2"/>
  <c r="G9401" i="2"/>
  <c r="H9401" i="2"/>
  <c r="J9401" i="2"/>
  <c r="K9401" i="2"/>
  <c r="L9401" i="2"/>
  <c r="C9402" i="2"/>
  <c r="D9402" i="2"/>
  <c r="F9402" i="2"/>
  <c r="G9402" i="2"/>
  <c r="H9402" i="2"/>
  <c r="J9402" i="2"/>
  <c r="K9402" i="2"/>
  <c r="L9402" i="2"/>
  <c r="C9403" i="2"/>
  <c r="D9403" i="2"/>
  <c r="F9403" i="2"/>
  <c r="G9403" i="2"/>
  <c r="H9403" i="2"/>
  <c r="J9403" i="2"/>
  <c r="K9403" i="2"/>
  <c r="L9403" i="2"/>
  <c r="C9404" i="2"/>
  <c r="D9404" i="2"/>
  <c r="F9404" i="2"/>
  <c r="G9404" i="2"/>
  <c r="H9404" i="2"/>
  <c r="J9404" i="2"/>
  <c r="K9404" i="2"/>
  <c r="L9404" i="2"/>
  <c r="C9405" i="2"/>
  <c r="D9405" i="2"/>
  <c r="F9405" i="2"/>
  <c r="G9405" i="2"/>
  <c r="H9405" i="2"/>
  <c r="J9405" i="2"/>
  <c r="K9405" i="2"/>
  <c r="L9405" i="2"/>
  <c r="C9406" i="2"/>
  <c r="D9406" i="2"/>
  <c r="F9406" i="2"/>
  <c r="G9406" i="2"/>
  <c r="H9406" i="2"/>
  <c r="J9406" i="2"/>
  <c r="K9406" i="2"/>
  <c r="L9406" i="2"/>
  <c r="C9407" i="2"/>
  <c r="D9407" i="2"/>
  <c r="F9407" i="2"/>
  <c r="G9407" i="2"/>
  <c r="H9407" i="2"/>
  <c r="J9407" i="2"/>
  <c r="K9407" i="2"/>
  <c r="L9407" i="2"/>
  <c r="C9408" i="2"/>
  <c r="D9408" i="2"/>
  <c r="F9408" i="2"/>
  <c r="G9408" i="2"/>
  <c r="H9408" i="2"/>
  <c r="J9408" i="2"/>
  <c r="K9408" i="2"/>
  <c r="L9408" i="2"/>
  <c r="C9409" i="2"/>
  <c r="D9409" i="2"/>
  <c r="F9409" i="2"/>
  <c r="G9409" i="2"/>
  <c r="H9409" i="2"/>
  <c r="J9409" i="2"/>
  <c r="K9409" i="2"/>
  <c r="L9409" i="2"/>
  <c r="C9410" i="2"/>
  <c r="D9410" i="2"/>
  <c r="F9410" i="2"/>
  <c r="G9410" i="2"/>
  <c r="H9410" i="2"/>
  <c r="J9410" i="2"/>
  <c r="K9410" i="2"/>
  <c r="L9410" i="2"/>
  <c r="C9411" i="2"/>
  <c r="D9411" i="2"/>
  <c r="F9411" i="2"/>
  <c r="G9411" i="2"/>
  <c r="H9411" i="2"/>
  <c r="J9411" i="2"/>
  <c r="K9411" i="2"/>
  <c r="L9411" i="2"/>
  <c r="C9412" i="2"/>
  <c r="D9412" i="2"/>
  <c r="F9412" i="2"/>
  <c r="G9412" i="2"/>
  <c r="H9412" i="2"/>
  <c r="J9412" i="2"/>
  <c r="K9412" i="2"/>
  <c r="L9412" i="2"/>
  <c r="C9413" i="2"/>
  <c r="D9413" i="2"/>
  <c r="F9413" i="2"/>
  <c r="G9413" i="2"/>
  <c r="H9413" i="2"/>
  <c r="J9413" i="2"/>
  <c r="K9413" i="2"/>
  <c r="L9413" i="2"/>
  <c r="C9414" i="2"/>
  <c r="D9414" i="2"/>
  <c r="F9414" i="2"/>
  <c r="G9414" i="2"/>
  <c r="H9414" i="2"/>
  <c r="J9414" i="2"/>
  <c r="K9414" i="2"/>
  <c r="L9414" i="2"/>
  <c r="C9415" i="2"/>
  <c r="D9415" i="2"/>
  <c r="E9415" i="2"/>
  <c r="F9415" i="2"/>
  <c r="G9415" i="2"/>
  <c r="H9415" i="2"/>
  <c r="J9415" i="2"/>
  <c r="K9415" i="2"/>
  <c r="L9415" i="2"/>
  <c r="C9416" i="2"/>
  <c r="D9416" i="2"/>
  <c r="F9416" i="2"/>
  <c r="G9416" i="2"/>
  <c r="H9416" i="2"/>
  <c r="J9416" i="2"/>
  <c r="K9416" i="2"/>
  <c r="L9416" i="2"/>
  <c r="C9417" i="2"/>
  <c r="D9417" i="2"/>
  <c r="F9417" i="2"/>
  <c r="G9417" i="2"/>
  <c r="H9417" i="2"/>
  <c r="J9417" i="2"/>
  <c r="K9417" i="2"/>
  <c r="L9417" i="2"/>
  <c r="C9418" i="2"/>
  <c r="D9418" i="2"/>
  <c r="F9418" i="2"/>
  <c r="G9418" i="2"/>
  <c r="H9418" i="2"/>
  <c r="J9418" i="2"/>
  <c r="K9418" i="2"/>
  <c r="L9418" i="2"/>
  <c r="C9419" i="2"/>
  <c r="D9419" i="2"/>
  <c r="F9419" i="2"/>
  <c r="G9419" i="2"/>
  <c r="H9419" i="2"/>
  <c r="J9419" i="2"/>
  <c r="K9419" i="2"/>
  <c r="L9419" i="2"/>
  <c r="C9420" i="2"/>
  <c r="D9420" i="2"/>
  <c r="F9420" i="2"/>
  <c r="G9420" i="2"/>
  <c r="H9420" i="2"/>
  <c r="J9420" i="2"/>
  <c r="K9420" i="2"/>
  <c r="L9420" i="2"/>
  <c r="C9421" i="2"/>
  <c r="D9421" i="2"/>
  <c r="F9421" i="2"/>
  <c r="G9421" i="2"/>
  <c r="H9421" i="2"/>
  <c r="J9421" i="2"/>
  <c r="K9421" i="2"/>
  <c r="L9421" i="2"/>
  <c r="C9422" i="2"/>
  <c r="D9422" i="2"/>
  <c r="F9422" i="2"/>
  <c r="G9422" i="2"/>
  <c r="H9422" i="2"/>
  <c r="J9422" i="2"/>
  <c r="K9422" i="2"/>
  <c r="L9422" i="2"/>
  <c r="C9423" i="2"/>
  <c r="D9423" i="2"/>
  <c r="F9423" i="2"/>
  <c r="G9423" i="2"/>
  <c r="H9423" i="2"/>
  <c r="J9423" i="2"/>
  <c r="K9423" i="2"/>
  <c r="L9423" i="2"/>
  <c r="C9424" i="2"/>
  <c r="D9424" i="2"/>
  <c r="F9424" i="2"/>
  <c r="G9424" i="2"/>
  <c r="H9424" i="2"/>
  <c r="J9424" i="2"/>
  <c r="K9424" i="2"/>
  <c r="L9424" i="2"/>
  <c r="C9425" i="2"/>
  <c r="D9425" i="2"/>
  <c r="F9425" i="2"/>
  <c r="G9425" i="2"/>
  <c r="H9425" i="2"/>
  <c r="J9425" i="2"/>
  <c r="K9425" i="2"/>
  <c r="L9425" i="2"/>
  <c r="C9426" i="2"/>
  <c r="D9426" i="2"/>
  <c r="F9426" i="2"/>
  <c r="G9426" i="2"/>
  <c r="H9426" i="2"/>
  <c r="J9426" i="2"/>
  <c r="K9426" i="2"/>
  <c r="L9426" i="2"/>
  <c r="C9427" i="2"/>
  <c r="D9427" i="2"/>
  <c r="F9427" i="2"/>
  <c r="G9427" i="2"/>
  <c r="H9427" i="2"/>
  <c r="J9427" i="2"/>
  <c r="K9427" i="2"/>
  <c r="L9427" i="2"/>
  <c r="C9428" i="2"/>
  <c r="D9428" i="2"/>
  <c r="F9428" i="2"/>
  <c r="G9428" i="2"/>
  <c r="H9428" i="2"/>
  <c r="J9428" i="2"/>
  <c r="K9428" i="2"/>
  <c r="L9428" i="2"/>
  <c r="C9429" i="2"/>
  <c r="D9429" i="2"/>
  <c r="F9429" i="2"/>
  <c r="G9429" i="2"/>
  <c r="H9429" i="2"/>
  <c r="J9429" i="2"/>
  <c r="K9429" i="2"/>
  <c r="L9429" i="2"/>
  <c r="C9430" i="2"/>
  <c r="D9430" i="2"/>
  <c r="F9430" i="2"/>
  <c r="G9430" i="2"/>
  <c r="H9430" i="2"/>
  <c r="J9430" i="2"/>
  <c r="K9430" i="2"/>
  <c r="L9430" i="2"/>
  <c r="C9431" i="2"/>
  <c r="D9431" i="2"/>
  <c r="F9431" i="2"/>
  <c r="G9431" i="2"/>
  <c r="H9431" i="2"/>
  <c r="J9431" i="2"/>
  <c r="K9431" i="2"/>
  <c r="L9431" i="2"/>
  <c r="C9432" i="2"/>
  <c r="D9432" i="2"/>
  <c r="F9432" i="2"/>
  <c r="G9432" i="2"/>
  <c r="H9432" i="2"/>
  <c r="J9432" i="2"/>
  <c r="K9432" i="2"/>
  <c r="L9432" i="2"/>
  <c r="C9433" i="2"/>
  <c r="D9433" i="2"/>
  <c r="F9433" i="2"/>
  <c r="G9433" i="2"/>
  <c r="H9433" i="2"/>
  <c r="J9433" i="2"/>
  <c r="K9433" i="2"/>
  <c r="L9433" i="2"/>
  <c r="C9434" i="2"/>
  <c r="D9434" i="2"/>
  <c r="F9434" i="2"/>
  <c r="G9434" i="2"/>
  <c r="H9434" i="2"/>
  <c r="J9434" i="2"/>
  <c r="K9434" i="2"/>
  <c r="L9434" i="2"/>
  <c r="C9435" i="2"/>
  <c r="D9435" i="2"/>
  <c r="F9435" i="2"/>
  <c r="G9435" i="2"/>
  <c r="H9435" i="2"/>
  <c r="J9435" i="2"/>
  <c r="K9435" i="2"/>
  <c r="L9435" i="2"/>
  <c r="C9436" i="2"/>
  <c r="D9436" i="2"/>
  <c r="F9436" i="2"/>
  <c r="G9436" i="2"/>
  <c r="H9436" i="2"/>
  <c r="J9436" i="2"/>
  <c r="K9436" i="2"/>
  <c r="L9436" i="2"/>
  <c r="C9437" i="2"/>
  <c r="D9437" i="2"/>
  <c r="F9437" i="2"/>
  <c r="G9437" i="2"/>
  <c r="H9437" i="2"/>
  <c r="J9437" i="2"/>
  <c r="K9437" i="2"/>
  <c r="L9437" i="2"/>
  <c r="C9438" i="2"/>
  <c r="D9438" i="2"/>
  <c r="F9438" i="2"/>
  <c r="G9438" i="2"/>
  <c r="H9438" i="2"/>
  <c r="J9438" i="2"/>
  <c r="K9438" i="2"/>
  <c r="L9438" i="2"/>
  <c r="C9439" i="2"/>
  <c r="D9439" i="2"/>
  <c r="F9439" i="2"/>
  <c r="G9439" i="2"/>
  <c r="H9439" i="2"/>
  <c r="J9439" i="2"/>
  <c r="K9439" i="2"/>
  <c r="L9439" i="2"/>
  <c r="C9440" i="2"/>
  <c r="D9440" i="2"/>
  <c r="F9440" i="2"/>
  <c r="G9440" i="2"/>
  <c r="H9440" i="2"/>
  <c r="J9440" i="2"/>
  <c r="K9440" i="2"/>
  <c r="L9440" i="2"/>
  <c r="C9441" i="2"/>
  <c r="D9441" i="2"/>
  <c r="F9441" i="2"/>
  <c r="G9441" i="2"/>
  <c r="H9441" i="2"/>
  <c r="J9441" i="2"/>
  <c r="K9441" i="2"/>
  <c r="L9441" i="2"/>
  <c r="C9442" i="2"/>
  <c r="D9442" i="2"/>
  <c r="E9442" i="2"/>
  <c r="F9442" i="2"/>
  <c r="G9442" i="2"/>
  <c r="H9442" i="2"/>
  <c r="J9442" i="2"/>
  <c r="K9442" i="2"/>
  <c r="L9442" i="2"/>
  <c r="C9443" i="2"/>
  <c r="D9443" i="2"/>
  <c r="F9443" i="2"/>
  <c r="G9443" i="2"/>
  <c r="H9443" i="2"/>
  <c r="J9443" i="2"/>
  <c r="K9443" i="2"/>
  <c r="L9443" i="2"/>
  <c r="C9444" i="2"/>
  <c r="D9444" i="2"/>
  <c r="F9444" i="2"/>
  <c r="G9444" i="2"/>
  <c r="H9444" i="2"/>
  <c r="J9444" i="2"/>
  <c r="K9444" i="2"/>
  <c r="L9444" i="2"/>
  <c r="C9445" i="2"/>
  <c r="D9445" i="2"/>
  <c r="F9445" i="2"/>
  <c r="G9445" i="2"/>
  <c r="H9445" i="2"/>
  <c r="J9445" i="2"/>
  <c r="K9445" i="2"/>
  <c r="L9445" i="2"/>
  <c r="C9446" i="2"/>
  <c r="D9446" i="2"/>
  <c r="F9446" i="2"/>
  <c r="G9446" i="2"/>
  <c r="H9446" i="2"/>
  <c r="J9446" i="2"/>
  <c r="K9446" i="2"/>
  <c r="L9446" i="2"/>
  <c r="C9447" i="2"/>
  <c r="D9447" i="2"/>
  <c r="F9447" i="2"/>
  <c r="G9447" i="2"/>
  <c r="H9447" i="2"/>
  <c r="J9447" i="2"/>
  <c r="K9447" i="2"/>
  <c r="L9447" i="2"/>
  <c r="C9448" i="2"/>
  <c r="D9448" i="2"/>
  <c r="F9448" i="2"/>
  <c r="G9448" i="2"/>
  <c r="H9448" i="2"/>
  <c r="J9448" i="2"/>
  <c r="K9448" i="2"/>
  <c r="L9448" i="2"/>
  <c r="C9449" i="2"/>
  <c r="D9449" i="2"/>
  <c r="F9449" i="2"/>
  <c r="G9449" i="2"/>
  <c r="H9449" i="2"/>
  <c r="J9449" i="2"/>
  <c r="K9449" i="2"/>
  <c r="L9449" i="2"/>
  <c r="C9450" i="2"/>
  <c r="D9450" i="2"/>
  <c r="F9450" i="2"/>
  <c r="G9450" i="2"/>
  <c r="H9450" i="2"/>
  <c r="J9450" i="2"/>
  <c r="K9450" i="2"/>
  <c r="L9450" i="2"/>
  <c r="C9451" i="2"/>
  <c r="D9451" i="2"/>
  <c r="F9451" i="2"/>
  <c r="G9451" i="2"/>
  <c r="H9451" i="2"/>
  <c r="J9451" i="2"/>
  <c r="K9451" i="2"/>
  <c r="L9451" i="2"/>
  <c r="C9452" i="2"/>
  <c r="D9452" i="2"/>
  <c r="F9452" i="2"/>
  <c r="G9452" i="2"/>
  <c r="H9452" i="2"/>
  <c r="J9452" i="2"/>
  <c r="K9452" i="2"/>
  <c r="L9452" i="2"/>
  <c r="C9453" i="2"/>
  <c r="D9453" i="2"/>
  <c r="F9453" i="2"/>
  <c r="G9453" i="2"/>
  <c r="H9453" i="2"/>
  <c r="J9453" i="2"/>
  <c r="K9453" i="2"/>
  <c r="L9453" i="2"/>
  <c r="C9454" i="2"/>
  <c r="D9454" i="2"/>
  <c r="F9454" i="2"/>
  <c r="G9454" i="2"/>
  <c r="H9454" i="2"/>
  <c r="J9454" i="2"/>
  <c r="K9454" i="2"/>
  <c r="L9454" i="2"/>
  <c r="C9455" i="2"/>
  <c r="D9455" i="2"/>
  <c r="F9455" i="2"/>
  <c r="G9455" i="2"/>
  <c r="H9455" i="2"/>
  <c r="J9455" i="2"/>
  <c r="K9455" i="2"/>
  <c r="L9455" i="2"/>
  <c r="C9456" i="2"/>
  <c r="D9456" i="2"/>
  <c r="F9456" i="2"/>
  <c r="G9456" i="2"/>
  <c r="H9456" i="2"/>
  <c r="J9456" i="2"/>
  <c r="K9456" i="2"/>
  <c r="L9456" i="2"/>
  <c r="C9457" i="2"/>
  <c r="D9457" i="2"/>
  <c r="F9457" i="2"/>
  <c r="G9457" i="2"/>
  <c r="H9457" i="2"/>
  <c r="J9457" i="2"/>
  <c r="K9457" i="2"/>
  <c r="L9457" i="2"/>
  <c r="C9458" i="2"/>
  <c r="D9458" i="2"/>
  <c r="F9458" i="2"/>
  <c r="G9458" i="2"/>
  <c r="H9458" i="2"/>
  <c r="J9458" i="2"/>
  <c r="K9458" i="2"/>
  <c r="L9458" i="2"/>
  <c r="C9459" i="2"/>
  <c r="D9459" i="2"/>
  <c r="F9459" i="2"/>
  <c r="G9459" i="2"/>
  <c r="H9459" i="2"/>
  <c r="J9459" i="2"/>
  <c r="K9459" i="2"/>
  <c r="L9459" i="2"/>
  <c r="C9460" i="2"/>
  <c r="D9460" i="2"/>
  <c r="F9460" i="2"/>
  <c r="G9460" i="2"/>
  <c r="H9460" i="2"/>
  <c r="J9460" i="2"/>
  <c r="K9460" i="2"/>
  <c r="L9460" i="2"/>
  <c r="C9461" i="2"/>
  <c r="D9461" i="2"/>
  <c r="F9461" i="2"/>
  <c r="G9461" i="2"/>
  <c r="H9461" i="2"/>
  <c r="J9461" i="2"/>
  <c r="K9461" i="2"/>
  <c r="L9461" i="2"/>
  <c r="C9462" i="2"/>
  <c r="D9462" i="2"/>
  <c r="F9462" i="2"/>
  <c r="G9462" i="2"/>
  <c r="H9462" i="2"/>
  <c r="J9462" i="2"/>
  <c r="K9462" i="2"/>
  <c r="L9462" i="2"/>
  <c r="C9463" i="2"/>
  <c r="D9463" i="2"/>
  <c r="F9463" i="2"/>
  <c r="G9463" i="2"/>
  <c r="H9463" i="2"/>
  <c r="J9463" i="2"/>
  <c r="K9463" i="2"/>
  <c r="L9463" i="2"/>
  <c r="C9464" i="2"/>
  <c r="D9464" i="2"/>
  <c r="F9464" i="2"/>
  <c r="G9464" i="2"/>
  <c r="H9464" i="2"/>
  <c r="J9464" i="2"/>
  <c r="K9464" i="2"/>
  <c r="L9464" i="2"/>
  <c r="C9465" i="2"/>
  <c r="D9465" i="2"/>
  <c r="F9465" i="2"/>
  <c r="G9465" i="2"/>
  <c r="H9465" i="2"/>
  <c r="J9465" i="2"/>
  <c r="K9465" i="2"/>
  <c r="L9465" i="2"/>
  <c r="C9466" i="2"/>
  <c r="D9466" i="2"/>
  <c r="F9466" i="2"/>
  <c r="G9466" i="2"/>
  <c r="H9466" i="2"/>
  <c r="J9466" i="2"/>
  <c r="K9466" i="2"/>
  <c r="L9466" i="2"/>
  <c r="C9467" i="2"/>
  <c r="D9467" i="2"/>
  <c r="F9467" i="2"/>
  <c r="G9467" i="2"/>
  <c r="H9467" i="2"/>
  <c r="J9467" i="2"/>
  <c r="K9467" i="2"/>
  <c r="L9467" i="2"/>
  <c r="C9468" i="2"/>
  <c r="D9468" i="2"/>
  <c r="F9468" i="2"/>
  <c r="G9468" i="2"/>
  <c r="H9468" i="2"/>
  <c r="J9468" i="2"/>
  <c r="K9468" i="2"/>
  <c r="L9468" i="2"/>
  <c r="C9469" i="2"/>
  <c r="D9469" i="2"/>
  <c r="F9469" i="2"/>
  <c r="G9469" i="2"/>
  <c r="H9469" i="2"/>
  <c r="J9469" i="2"/>
  <c r="K9469" i="2"/>
  <c r="L9469" i="2"/>
  <c r="C9470" i="2"/>
  <c r="D9470" i="2"/>
  <c r="F9470" i="2"/>
  <c r="G9470" i="2"/>
  <c r="H9470" i="2"/>
  <c r="J9470" i="2"/>
  <c r="K9470" i="2"/>
  <c r="L9470" i="2"/>
  <c r="C9471" i="2"/>
  <c r="D9471" i="2"/>
  <c r="F9471" i="2"/>
  <c r="G9471" i="2"/>
  <c r="H9471" i="2"/>
  <c r="J9471" i="2"/>
  <c r="K9471" i="2"/>
  <c r="L9471" i="2"/>
  <c r="C9472" i="2"/>
  <c r="D9472" i="2"/>
  <c r="F9472" i="2"/>
  <c r="G9472" i="2"/>
  <c r="H9472" i="2"/>
  <c r="J9472" i="2"/>
  <c r="K9472" i="2"/>
  <c r="L9472" i="2"/>
  <c r="C9473" i="2"/>
  <c r="D9473" i="2"/>
  <c r="F9473" i="2"/>
  <c r="G9473" i="2"/>
  <c r="H9473" i="2"/>
  <c r="J9473" i="2"/>
  <c r="K9473" i="2"/>
  <c r="L9473" i="2"/>
  <c r="C9474" i="2"/>
  <c r="D9474" i="2"/>
  <c r="F9474" i="2"/>
  <c r="G9474" i="2"/>
  <c r="H9474" i="2"/>
  <c r="J9474" i="2"/>
  <c r="K9474" i="2"/>
  <c r="L9474" i="2"/>
  <c r="C9475" i="2"/>
  <c r="D9475" i="2"/>
  <c r="F9475" i="2"/>
  <c r="G9475" i="2"/>
  <c r="H9475" i="2"/>
  <c r="J9475" i="2"/>
  <c r="K9475" i="2"/>
  <c r="L9475" i="2"/>
  <c r="C9476" i="2"/>
  <c r="D9476" i="2"/>
  <c r="F9476" i="2"/>
  <c r="G9476" i="2"/>
  <c r="H9476" i="2"/>
  <c r="J9476" i="2"/>
  <c r="K9476" i="2"/>
  <c r="L9476" i="2"/>
  <c r="C9477" i="2"/>
  <c r="D9477" i="2"/>
  <c r="F9477" i="2"/>
  <c r="G9477" i="2"/>
  <c r="H9477" i="2"/>
  <c r="J9477" i="2"/>
  <c r="K9477" i="2"/>
  <c r="L9477" i="2"/>
  <c r="C9478" i="2"/>
  <c r="D9478" i="2"/>
  <c r="F9478" i="2"/>
  <c r="G9478" i="2"/>
  <c r="H9478" i="2"/>
  <c r="J9478" i="2"/>
  <c r="K9478" i="2"/>
  <c r="L9478" i="2"/>
  <c r="C9479" i="2"/>
  <c r="D9479" i="2"/>
  <c r="F9479" i="2"/>
  <c r="G9479" i="2"/>
  <c r="H9479" i="2"/>
  <c r="J9479" i="2"/>
  <c r="K9479" i="2"/>
  <c r="L9479" i="2"/>
  <c r="C9480" i="2"/>
  <c r="D9480" i="2"/>
  <c r="F9480" i="2"/>
  <c r="G9480" i="2"/>
  <c r="H9480" i="2"/>
  <c r="J9480" i="2"/>
  <c r="K9480" i="2"/>
  <c r="L9480" i="2"/>
  <c r="C9481" i="2"/>
  <c r="D9481" i="2"/>
  <c r="F9481" i="2"/>
  <c r="G9481" i="2"/>
  <c r="H9481" i="2"/>
  <c r="J9481" i="2"/>
  <c r="K9481" i="2"/>
  <c r="L9481" i="2"/>
  <c r="C9482" i="2"/>
  <c r="D9482" i="2"/>
  <c r="F9482" i="2"/>
  <c r="G9482" i="2"/>
  <c r="H9482" i="2"/>
  <c r="J9482" i="2"/>
  <c r="K9482" i="2"/>
  <c r="L9482" i="2"/>
  <c r="C9483" i="2"/>
  <c r="D9483" i="2"/>
  <c r="F9483" i="2"/>
  <c r="G9483" i="2"/>
  <c r="H9483" i="2"/>
  <c r="J9483" i="2"/>
  <c r="K9483" i="2"/>
  <c r="L9483" i="2"/>
  <c r="C9484" i="2"/>
  <c r="D9484" i="2"/>
  <c r="F9484" i="2"/>
  <c r="G9484" i="2"/>
  <c r="H9484" i="2"/>
  <c r="J9484" i="2"/>
  <c r="K9484" i="2"/>
  <c r="L9484" i="2"/>
  <c r="C9485" i="2"/>
  <c r="D9485" i="2"/>
  <c r="F9485" i="2"/>
  <c r="G9485" i="2"/>
  <c r="H9485" i="2"/>
  <c r="J9485" i="2"/>
  <c r="K9485" i="2"/>
  <c r="L9485" i="2"/>
  <c r="C9486" i="2"/>
  <c r="D9486" i="2"/>
  <c r="F9486" i="2"/>
  <c r="G9486" i="2"/>
  <c r="H9486" i="2"/>
  <c r="J9486" i="2"/>
  <c r="K9486" i="2"/>
  <c r="L9486" i="2"/>
  <c r="C9487" i="2"/>
  <c r="D9487" i="2"/>
  <c r="E9487" i="2"/>
  <c r="F9487" i="2"/>
  <c r="G9487" i="2"/>
  <c r="H9487" i="2"/>
  <c r="J9487" i="2"/>
  <c r="K9487" i="2"/>
  <c r="L9487" i="2"/>
  <c r="C9488" i="2"/>
  <c r="D9488" i="2"/>
  <c r="F9488" i="2"/>
  <c r="G9488" i="2"/>
  <c r="H9488" i="2"/>
  <c r="J9488" i="2"/>
  <c r="K9488" i="2"/>
  <c r="L9488" i="2"/>
  <c r="C9489" i="2"/>
  <c r="D9489" i="2"/>
  <c r="F9489" i="2"/>
  <c r="G9489" i="2"/>
  <c r="H9489" i="2"/>
  <c r="J9489" i="2"/>
  <c r="K9489" i="2"/>
  <c r="L9489" i="2"/>
  <c r="C9490" i="2"/>
  <c r="D9490" i="2"/>
  <c r="F9490" i="2"/>
  <c r="G9490" i="2"/>
  <c r="H9490" i="2"/>
  <c r="J9490" i="2"/>
  <c r="K9490" i="2"/>
  <c r="L9490" i="2"/>
  <c r="C9491" i="2"/>
  <c r="D9491" i="2"/>
  <c r="F9491" i="2"/>
  <c r="G9491" i="2"/>
  <c r="H9491" i="2"/>
  <c r="J9491" i="2"/>
  <c r="K9491" i="2"/>
  <c r="L9491" i="2"/>
  <c r="C9492" i="2"/>
  <c r="D9492" i="2"/>
  <c r="F9492" i="2"/>
  <c r="G9492" i="2"/>
  <c r="H9492" i="2"/>
  <c r="J9492" i="2"/>
  <c r="K9492" i="2"/>
  <c r="L9492" i="2"/>
  <c r="C9493" i="2"/>
  <c r="D9493" i="2"/>
  <c r="F9493" i="2"/>
  <c r="G9493" i="2"/>
  <c r="H9493" i="2"/>
  <c r="J9493" i="2"/>
  <c r="K9493" i="2"/>
  <c r="L9493" i="2"/>
  <c r="C9494" i="2"/>
  <c r="D9494" i="2"/>
  <c r="F9494" i="2"/>
  <c r="G9494" i="2"/>
  <c r="H9494" i="2"/>
  <c r="J9494" i="2"/>
  <c r="K9494" i="2"/>
  <c r="L9494" i="2"/>
  <c r="C9495" i="2"/>
  <c r="D9495" i="2"/>
  <c r="F9495" i="2"/>
  <c r="G9495" i="2"/>
  <c r="H9495" i="2"/>
  <c r="J9495" i="2"/>
  <c r="K9495" i="2"/>
  <c r="L9495" i="2"/>
  <c r="C9496" i="2"/>
  <c r="D9496" i="2"/>
  <c r="F9496" i="2"/>
  <c r="G9496" i="2"/>
  <c r="H9496" i="2"/>
  <c r="J9496" i="2"/>
  <c r="K9496" i="2"/>
  <c r="L9496" i="2"/>
  <c r="C9497" i="2"/>
  <c r="D9497" i="2"/>
  <c r="F9497" i="2"/>
  <c r="G9497" i="2"/>
  <c r="H9497" i="2"/>
  <c r="J9497" i="2"/>
  <c r="K9497" i="2"/>
  <c r="L9497" i="2"/>
  <c r="C9498" i="2"/>
  <c r="D9498" i="2"/>
  <c r="F9498" i="2"/>
  <c r="G9498" i="2"/>
  <c r="H9498" i="2"/>
  <c r="J9498" i="2"/>
  <c r="K9498" i="2"/>
  <c r="L9498" i="2"/>
  <c r="C9499" i="2"/>
  <c r="D9499" i="2"/>
  <c r="F9499" i="2"/>
  <c r="G9499" i="2"/>
  <c r="H9499" i="2"/>
  <c r="J9499" i="2"/>
  <c r="K9499" i="2"/>
  <c r="L9499" i="2"/>
  <c r="C9500" i="2"/>
  <c r="D9500" i="2"/>
  <c r="F9500" i="2"/>
  <c r="G9500" i="2"/>
  <c r="H9500" i="2"/>
  <c r="J9500" i="2"/>
  <c r="K9500" i="2"/>
  <c r="L9500" i="2"/>
  <c r="C9501" i="2"/>
  <c r="D9501" i="2"/>
  <c r="F9501" i="2"/>
  <c r="G9501" i="2"/>
  <c r="H9501" i="2"/>
  <c r="J9501" i="2"/>
  <c r="K9501" i="2"/>
  <c r="L9501" i="2"/>
  <c r="C9502" i="2"/>
  <c r="D9502" i="2"/>
  <c r="F9502" i="2"/>
  <c r="G9502" i="2"/>
  <c r="H9502" i="2"/>
  <c r="J9502" i="2"/>
  <c r="K9502" i="2"/>
  <c r="L9502" i="2"/>
  <c r="C9503" i="2"/>
  <c r="D9503" i="2"/>
  <c r="F9503" i="2"/>
  <c r="G9503" i="2"/>
  <c r="H9503" i="2"/>
  <c r="J9503" i="2"/>
  <c r="K9503" i="2"/>
  <c r="L9503" i="2"/>
  <c r="C9504" i="2"/>
  <c r="D9504" i="2"/>
  <c r="F9504" i="2"/>
  <c r="G9504" i="2"/>
  <c r="H9504" i="2"/>
  <c r="J9504" i="2"/>
  <c r="K9504" i="2"/>
  <c r="L9504" i="2"/>
  <c r="C9505" i="2"/>
  <c r="D9505" i="2"/>
  <c r="F9505" i="2"/>
  <c r="G9505" i="2"/>
  <c r="H9505" i="2"/>
  <c r="J9505" i="2"/>
  <c r="K9505" i="2"/>
  <c r="L9505" i="2"/>
  <c r="C9506" i="2"/>
  <c r="D9506" i="2"/>
  <c r="F9506" i="2"/>
  <c r="G9506" i="2"/>
  <c r="H9506" i="2"/>
  <c r="J9506" i="2"/>
  <c r="K9506" i="2"/>
  <c r="L9506" i="2"/>
  <c r="C9507" i="2"/>
  <c r="D9507" i="2"/>
  <c r="F9507" i="2"/>
  <c r="G9507" i="2"/>
  <c r="H9507" i="2"/>
  <c r="J9507" i="2"/>
  <c r="K9507" i="2"/>
  <c r="L9507" i="2"/>
  <c r="C9508" i="2"/>
  <c r="D9508" i="2"/>
  <c r="F9508" i="2"/>
  <c r="G9508" i="2"/>
  <c r="H9508" i="2"/>
  <c r="J9508" i="2"/>
  <c r="K9508" i="2"/>
  <c r="L9508" i="2"/>
  <c r="C9509" i="2"/>
  <c r="D9509" i="2"/>
  <c r="F9509" i="2"/>
  <c r="G9509" i="2"/>
  <c r="H9509" i="2"/>
  <c r="J9509" i="2"/>
  <c r="K9509" i="2"/>
  <c r="L9509" i="2"/>
  <c r="C9510" i="2"/>
  <c r="D9510" i="2"/>
  <c r="F9510" i="2"/>
  <c r="G9510" i="2"/>
  <c r="H9510" i="2"/>
  <c r="J9510" i="2"/>
  <c r="K9510" i="2"/>
  <c r="L9510" i="2"/>
  <c r="C9511" i="2"/>
  <c r="D9511" i="2"/>
  <c r="F9511" i="2"/>
  <c r="G9511" i="2"/>
  <c r="H9511" i="2"/>
  <c r="J9511" i="2"/>
  <c r="K9511" i="2"/>
  <c r="L9511" i="2"/>
  <c r="C9512" i="2"/>
  <c r="D9512" i="2"/>
  <c r="E9512" i="2"/>
  <c r="F9512" i="2"/>
  <c r="G9512" i="2"/>
  <c r="H9512" i="2"/>
  <c r="J9512" i="2"/>
  <c r="K9512" i="2"/>
  <c r="L9512" i="2"/>
  <c r="C9513" i="2"/>
  <c r="D9513" i="2"/>
  <c r="F9513" i="2"/>
  <c r="G9513" i="2"/>
  <c r="H9513" i="2"/>
  <c r="J9513" i="2"/>
  <c r="K9513" i="2"/>
  <c r="L9513" i="2"/>
  <c r="C9514" i="2"/>
  <c r="D9514" i="2"/>
  <c r="F9514" i="2"/>
  <c r="G9514" i="2"/>
  <c r="H9514" i="2"/>
  <c r="J9514" i="2"/>
  <c r="K9514" i="2"/>
  <c r="L9514" i="2"/>
  <c r="C9515" i="2"/>
  <c r="D9515" i="2"/>
  <c r="F9515" i="2"/>
  <c r="G9515" i="2"/>
  <c r="H9515" i="2"/>
  <c r="J9515" i="2"/>
  <c r="K9515" i="2"/>
  <c r="L9515" i="2"/>
  <c r="C9516" i="2"/>
  <c r="D9516" i="2"/>
  <c r="F9516" i="2"/>
  <c r="G9516" i="2"/>
  <c r="H9516" i="2"/>
  <c r="J9516" i="2"/>
  <c r="K9516" i="2"/>
  <c r="L9516" i="2"/>
  <c r="C9517" i="2"/>
  <c r="D9517" i="2"/>
  <c r="F9517" i="2"/>
  <c r="G9517" i="2"/>
  <c r="H9517" i="2"/>
  <c r="J9517" i="2"/>
  <c r="K9517" i="2"/>
  <c r="L9517" i="2"/>
  <c r="C9518" i="2"/>
  <c r="D9518" i="2"/>
  <c r="F9518" i="2"/>
  <c r="G9518" i="2"/>
  <c r="H9518" i="2"/>
  <c r="J9518" i="2"/>
  <c r="K9518" i="2"/>
  <c r="L9518" i="2"/>
  <c r="C9519" i="2"/>
  <c r="D9519" i="2"/>
  <c r="F9519" i="2"/>
  <c r="G9519" i="2"/>
  <c r="H9519" i="2"/>
  <c r="J9519" i="2"/>
  <c r="K9519" i="2"/>
  <c r="L9519" i="2"/>
  <c r="C9520" i="2"/>
  <c r="D9520" i="2"/>
  <c r="F9520" i="2"/>
  <c r="G9520" i="2"/>
  <c r="H9520" i="2"/>
  <c r="J9520" i="2"/>
  <c r="K9520" i="2"/>
  <c r="L9520" i="2"/>
  <c r="C9521" i="2"/>
  <c r="D9521" i="2"/>
  <c r="F9521" i="2"/>
  <c r="G9521" i="2"/>
  <c r="H9521" i="2"/>
  <c r="J9521" i="2"/>
  <c r="K9521" i="2"/>
  <c r="L9521" i="2"/>
  <c r="C9522" i="2"/>
  <c r="D9522" i="2"/>
  <c r="F9522" i="2"/>
  <c r="G9522" i="2"/>
  <c r="H9522" i="2"/>
  <c r="J9522" i="2"/>
  <c r="K9522" i="2"/>
  <c r="L9522" i="2"/>
  <c r="C9523" i="2"/>
  <c r="D9523" i="2"/>
  <c r="F9523" i="2"/>
  <c r="G9523" i="2"/>
  <c r="H9523" i="2"/>
  <c r="J9523" i="2"/>
  <c r="K9523" i="2"/>
  <c r="L9523" i="2"/>
  <c r="C9524" i="2"/>
  <c r="D9524" i="2"/>
  <c r="F9524" i="2"/>
  <c r="G9524" i="2"/>
  <c r="H9524" i="2"/>
  <c r="J9524" i="2"/>
  <c r="K9524" i="2"/>
  <c r="L9524" i="2"/>
  <c r="C9525" i="2"/>
  <c r="D9525" i="2"/>
  <c r="F9525" i="2"/>
  <c r="G9525" i="2"/>
  <c r="H9525" i="2"/>
  <c r="J9525" i="2"/>
  <c r="K9525" i="2"/>
  <c r="L9525" i="2"/>
  <c r="C9526" i="2"/>
  <c r="D9526" i="2"/>
  <c r="F9526" i="2"/>
  <c r="G9526" i="2"/>
  <c r="H9526" i="2"/>
  <c r="J9526" i="2"/>
  <c r="K9526" i="2"/>
  <c r="L9526" i="2"/>
  <c r="C9527" i="2"/>
  <c r="D9527" i="2"/>
  <c r="F9527" i="2"/>
  <c r="G9527" i="2"/>
  <c r="H9527" i="2"/>
  <c r="J9527" i="2"/>
  <c r="K9527" i="2"/>
  <c r="L9527" i="2"/>
  <c r="C9528" i="2"/>
  <c r="D9528" i="2"/>
  <c r="F9528" i="2"/>
  <c r="G9528" i="2"/>
  <c r="H9528" i="2"/>
  <c r="J9528" i="2"/>
  <c r="K9528" i="2"/>
  <c r="L9528" i="2"/>
  <c r="C9529" i="2"/>
  <c r="D9529" i="2"/>
  <c r="F9529" i="2"/>
  <c r="G9529" i="2"/>
  <c r="H9529" i="2"/>
  <c r="J9529" i="2"/>
  <c r="K9529" i="2"/>
  <c r="L9529" i="2"/>
  <c r="C9530" i="2"/>
  <c r="D9530" i="2"/>
  <c r="F9530" i="2"/>
  <c r="G9530" i="2"/>
  <c r="H9530" i="2"/>
  <c r="J9530" i="2"/>
  <c r="K9530" i="2"/>
  <c r="L9530" i="2"/>
  <c r="C9531" i="2"/>
  <c r="D9531" i="2"/>
  <c r="F9531" i="2"/>
  <c r="G9531" i="2"/>
  <c r="H9531" i="2"/>
  <c r="J9531" i="2"/>
  <c r="K9531" i="2"/>
  <c r="L9531" i="2"/>
  <c r="C9532" i="2"/>
  <c r="D9532" i="2"/>
  <c r="F9532" i="2"/>
  <c r="G9532" i="2"/>
  <c r="H9532" i="2"/>
  <c r="J9532" i="2"/>
  <c r="K9532" i="2"/>
  <c r="L9532" i="2"/>
  <c r="C9533" i="2"/>
  <c r="D9533" i="2"/>
  <c r="F9533" i="2"/>
  <c r="G9533" i="2"/>
  <c r="H9533" i="2"/>
  <c r="J9533" i="2"/>
  <c r="K9533" i="2"/>
  <c r="L9533" i="2"/>
  <c r="C9534" i="2"/>
  <c r="D9534" i="2"/>
  <c r="F9534" i="2"/>
  <c r="G9534" i="2"/>
  <c r="H9534" i="2"/>
  <c r="J9534" i="2"/>
  <c r="K9534" i="2"/>
  <c r="L9534" i="2"/>
  <c r="C9535" i="2"/>
  <c r="D9535" i="2"/>
  <c r="F9535" i="2"/>
  <c r="G9535" i="2"/>
  <c r="H9535" i="2"/>
  <c r="J9535" i="2"/>
  <c r="K9535" i="2"/>
  <c r="L9535" i="2"/>
  <c r="C9536" i="2"/>
  <c r="D9536" i="2"/>
  <c r="F9536" i="2"/>
  <c r="G9536" i="2"/>
  <c r="H9536" i="2"/>
  <c r="J9536" i="2"/>
  <c r="K9536" i="2"/>
  <c r="L9536" i="2"/>
  <c r="C9537" i="2"/>
  <c r="D9537" i="2"/>
  <c r="F9537" i="2"/>
  <c r="G9537" i="2"/>
  <c r="H9537" i="2"/>
  <c r="J9537" i="2"/>
  <c r="K9537" i="2"/>
  <c r="L9537" i="2"/>
  <c r="C9538" i="2"/>
  <c r="D9538" i="2"/>
  <c r="F9538" i="2"/>
  <c r="G9538" i="2"/>
  <c r="H9538" i="2"/>
  <c r="J9538" i="2"/>
  <c r="K9538" i="2"/>
  <c r="L9538" i="2"/>
  <c r="C9539" i="2"/>
  <c r="D9539" i="2"/>
  <c r="F9539" i="2"/>
  <c r="G9539" i="2"/>
  <c r="H9539" i="2"/>
  <c r="J9539" i="2"/>
  <c r="K9539" i="2"/>
  <c r="L9539" i="2"/>
  <c r="C9540" i="2"/>
  <c r="D9540" i="2"/>
  <c r="F9540" i="2"/>
  <c r="G9540" i="2"/>
  <c r="H9540" i="2"/>
  <c r="J9540" i="2"/>
  <c r="K9540" i="2"/>
  <c r="L9540" i="2"/>
  <c r="C9541" i="2"/>
  <c r="D9541" i="2"/>
  <c r="F9541" i="2"/>
  <c r="G9541" i="2"/>
  <c r="H9541" i="2"/>
  <c r="J9541" i="2"/>
  <c r="K9541" i="2"/>
  <c r="L9541" i="2"/>
  <c r="C9542" i="2"/>
  <c r="D9542" i="2"/>
  <c r="F9542" i="2"/>
  <c r="G9542" i="2"/>
  <c r="H9542" i="2"/>
  <c r="J9542" i="2"/>
  <c r="K9542" i="2"/>
  <c r="L9542" i="2"/>
  <c r="C9543" i="2"/>
  <c r="D9543" i="2"/>
  <c r="F9543" i="2"/>
  <c r="G9543" i="2"/>
  <c r="H9543" i="2"/>
  <c r="J9543" i="2"/>
  <c r="K9543" i="2"/>
  <c r="L9543" i="2"/>
  <c r="C9544" i="2"/>
  <c r="D9544" i="2"/>
  <c r="F9544" i="2"/>
  <c r="G9544" i="2"/>
  <c r="H9544" i="2"/>
  <c r="J9544" i="2"/>
  <c r="K9544" i="2"/>
  <c r="L9544" i="2"/>
  <c r="C9545" i="2"/>
  <c r="D9545" i="2"/>
  <c r="F9545" i="2"/>
  <c r="G9545" i="2"/>
  <c r="H9545" i="2"/>
  <c r="J9545" i="2"/>
  <c r="K9545" i="2"/>
  <c r="L9545" i="2"/>
  <c r="C9546" i="2"/>
  <c r="D9546" i="2"/>
  <c r="F9546" i="2"/>
  <c r="G9546" i="2"/>
  <c r="H9546" i="2"/>
  <c r="J9546" i="2"/>
  <c r="K9546" i="2"/>
  <c r="L9546" i="2"/>
  <c r="C9547" i="2"/>
  <c r="D9547" i="2"/>
  <c r="F9547" i="2"/>
  <c r="G9547" i="2"/>
  <c r="H9547" i="2"/>
  <c r="J9547" i="2"/>
  <c r="K9547" i="2"/>
  <c r="L9547" i="2"/>
  <c r="C9548" i="2"/>
  <c r="D9548" i="2"/>
  <c r="F9548" i="2"/>
  <c r="G9548" i="2"/>
  <c r="H9548" i="2"/>
  <c r="J9548" i="2"/>
  <c r="K9548" i="2"/>
  <c r="L9548" i="2"/>
  <c r="C9549" i="2"/>
  <c r="D9549" i="2"/>
  <c r="F9549" i="2"/>
  <c r="G9549" i="2"/>
  <c r="H9549" i="2"/>
  <c r="J9549" i="2"/>
  <c r="K9549" i="2"/>
  <c r="L9549" i="2"/>
  <c r="C9550" i="2"/>
  <c r="D9550" i="2"/>
  <c r="F9550" i="2"/>
  <c r="G9550" i="2"/>
  <c r="H9550" i="2"/>
  <c r="J9550" i="2"/>
  <c r="K9550" i="2"/>
  <c r="L9550" i="2"/>
  <c r="C9551" i="2"/>
  <c r="D9551" i="2"/>
  <c r="F9551" i="2"/>
  <c r="G9551" i="2"/>
  <c r="H9551" i="2"/>
  <c r="J9551" i="2"/>
  <c r="K9551" i="2"/>
  <c r="L9551" i="2"/>
  <c r="C9552" i="2"/>
  <c r="D9552" i="2"/>
  <c r="F9552" i="2"/>
  <c r="G9552" i="2"/>
  <c r="H9552" i="2"/>
  <c r="J9552" i="2"/>
  <c r="K9552" i="2"/>
  <c r="L9552" i="2"/>
  <c r="C9553" i="2"/>
  <c r="D9553" i="2"/>
  <c r="F9553" i="2"/>
  <c r="G9553" i="2"/>
  <c r="H9553" i="2"/>
  <c r="J9553" i="2"/>
  <c r="K9553" i="2"/>
  <c r="L9553" i="2"/>
  <c r="C9554" i="2"/>
  <c r="D9554" i="2"/>
  <c r="F9554" i="2"/>
  <c r="G9554" i="2"/>
  <c r="H9554" i="2"/>
  <c r="J9554" i="2"/>
  <c r="K9554" i="2"/>
  <c r="L9554" i="2"/>
  <c r="C9555" i="2"/>
  <c r="D9555" i="2"/>
  <c r="F9555" i="2"/>
  <c r="G9555" i="2"/>
  <c r="H9555" i="2"/>
  <c r="J9555" i="2"/>
  <c r="K9555" i="2"/>
  <c r="L9555" i="2"/>
  <c r="C9556" i="2"/>
  <c r="D9556" i="2"/>
  <c r="F9556" i="2"/>
  <c r="G9556" i="2"/>
  <c r="H9556" i="2"/>
  <c r="J9556" i="2"/>
  <c r="K9556" i="2"/>
  <c r="L9556" i="2"/>
  <c r="C9557" i="2"/>
  <c r="D9557" i="2"/>
  <c r="F9557" i="2"/>
  <c r="G9557" i="2"/>
  <c r="H9557" i="2"/>
  <c r="J9557" i="2"/>
  <c r="K9557" i="2"/>
  <c r="L9557" i="2"/>
  <c r="C9558" i="2"/>
  <c r="D9558" i="2"/>
  <c r="F9558" i="2"/>
  <c r="G9558" i="2"/>
  <c r="H9558" i="2"/>
  <c r="J9558" i="2"/>
  <c r="K9558" i="2"/>
  <c r="L9558" i="2"/>
  <c r="C9559" i="2"/>
  <c r="D9559" i="2"/>
  <c r="F9559" i="2"/>
  <c r="G9559" i="2"/>
  <c r="H9559" i="2"/>
  <c r="J9559" i="2"/>
  <c r="K9559" i="2"/>
  <c r="L9559" i="2"/>
  <c r="C9560" i="2"/>
  <c r="D9560" i="2"/>
  <c r="F9560" i="2"/>
  <c r="G9560" i="2"/>
  <c r="H9560" i="2"/>
  <c r="J9560" i="2"/>
  <c r="K9560" i="2"/>
  <c r="L9560" i="2"/>
  <c r="C9561" i="2"/>
  <c r="D9561" i="2"/>
  <c r="F9561" i="2"/>
  <c r="G9561" i="2"/>
  <c r="H9561" i="2"/>
  <c r="J9561" i="2"/>
  <c r="K9561" i="2"/>
  <c r="L9561" i="2"/>
  <c r="C9562" i="2"/>
  <c r="D9562" i="2"/>
  <c r="F9562" i="2"/>
  <c r="G9562" i="2"/>
  <c r="H9562" i="2"/>
  <c r="J9562" i="2"/>
  <c r="K9562" i="2"/>
  <c r="L9562" i="2"/>
  <c r="C9563" i="2"/>
  <c r="D9563" i="2"/>
  <c r="F9563" i="2"/>
  <c r="G9563" i="2"/>
  <c r="H9563" i="2"/>
  <c r="J9563" i="2"/>
  <c r="K9563" i="2"/>
  <c r="L9563" i="2"/>
  <c r="C9564" i="2"/>
  <c r="D9564" i="2"/>
  <c r="F9564" i="2"/>
  <c r="G9564" i="2"/>
  <c r="H9564" i="2"/>
  <c r="J9564" i="2"/>
  <c r="K9564" i="2"/>
  <c r="L9564" i="2"/>
  <c r="C9565" i="2"/>
  <c r="D9565" i="2"/>
  <c r="F9565" i="2"/>
  <c r="G9565" i="2"/>
  <c r="H9565" i="2"/>
  <c r="J9565" i="2"/>
  <c r="K9565" i="2"/>
  <c r="L9565" i="2"/>
  <c r="C9566" i="2"/>
  <c r="D9566" i="2"/>
  <c r="F9566" i="2"/>
  <c r="G9566" i="2"/>
  <c r="H9566" i="2"/>
  <c r="J9566" i="2"/>
  <c r="K9566" i="2"/>
  <c r="L9566" i="2"/>
  <c r="C9567" i="2"/>
  <c r="D9567" i="2"/>
  <c r="F9567" i="2"/>
  <c r="G9567" i="2"/>
  <c r="H9567" i="2"/>
  <c r="J9567" i="2"/>
  <c r="K9567" i="2"/>
  <c r="L9567" i="2"/>
  <c r="C9568" i="2"/>
  <c r="D9568" i="2"/>
  <c r="F9568" i="2"/>
  <c r="G9568" i="2"/>
  <c r="H9568" i="2"/>
  <c r="J9568" i="2"/>
  <c r="K9568" i="2"/>
  <c r="L9568" i="2"/>
  <c r="C9569" i="2"/>
  <c r="D9569" i="2"/>
  <c r="F9569" i="2"/>
  <c r="G9569" i="2"/>
  <c r="H9569" i="2"/>
  <c r="J9569" i="2"/>
  <c r="K9569" i="2"/>
  <c r="L9569" i="2"/>
  <c r="C9570" i="2"/>
  <c r="D9570" i="2"/>
  <c r="F9570" i="2"/>
  <c r="G9570" i="2"/>
  <c r="H9570" i="2"/>
  <c r="J9570" i="2"/>
  <c r="K9570" i="2"/>
  <c r="L9570" i="2"/>
  <c r="C9571" i="2"/>
  <c r="D9571" i="2"/>
  <c r="F9571" i="2"/>
  <c r="G9571" i="2"/>
  <c r="H9571" i="2"/>
  <c r="J9571" i="2"/>
  <c r="K9571" i="2"/>
  <c r="L9571" i="2"/>
  <c r="C9572" i="2"/>
  <c r="D9572" i="2"/>
  <c r="F9572" i="2"/>
  <c r="G9572" i="2"/>
  <c r="H9572" i="2"/>
  <c r="J9572" i="2"/>
  <c r="K9572" i="2"/>
  <c r="L9572" i="2"/>
  <c r="C9573" i="2"/>
  <c r="D9573" i="2"/>
  <c r="F9573" i="2"/>
  <c r="G9573" i="2"/>
  <c r="H9573" i="2"/>
  <c r="J9573" i="2"/>
  <c r="K9573" i="2"/>
  <c r="L9573" i="2"/>
  <c r="C9574" i="2"/>
  <c r="D9574" i="2"/>
  <c r="F9574" i="2"/>
  <c r="G9574" i="2"/>
  <c r="H9574" i="2"/>
  <c r="J9574" i="2"/>
  <c r="K9574" i="2"/>
  <c r="L9574" i="2"/>
  <c r="C9575" i="2"/>
  <c r="D9575" i="2"/>
  <c r="F9575" i="2"/>
  <c r="G9575" i="2"/>
  <c r="H9575" i="2"/>
  <c r="J9575" i="2"/>
  <c r="K9575" i="2"/>
  <c r="L9575" i="2"/>
  <c r="C9576" i="2"/>
  <c r="D9576" i="2"/>
  <c r="F9576" i="2"/>
  <c r="G9576" i="2"/>
  <c r="H9576" i="2"/>
  <c r="J9576" i="2"/>
  <c r="K9576" i="2"/>
  <c r="L9576" i="2"/>
  <c r="C9577" i="2"/>
  <c r="D9577" i="2"/>
  <c r="F9577" i="2"/>
  <c r="G9577" i="2"/>
  <c r="H9577" i="2"/>
  <c r="J9577" i="2"/>
  <c r="K9577" i="2"/>
  <c r="L9577" i="2"/>
  <c r="C9578" i="2"/>
  <c r="D9578" i="2"/>
  <c r="F9578" i="2"/>
  <c r="G9578" i="2"/>
  <c r="H9578" i="2"/>
  <c r="J9578" i="2"/>
  <c r="K9578" i="2"/>
  <c r="L9578" i="2"/>
  <c r="C9579" i="2"/>
  <c r="D9579" i="2"/>
  <c r="F9579" i="2"/>
  <c r="G9579" i="2"/>
  <c r="H9579" i="2"/>
  <c r="J9579" i="2"/>
  <c r="K9579" i="2"/>
  <c r="L9579" i="2"/>
  <c r="C9580" i="2"/>
  <c r="D9580" i="2"/>
  <c r="F9580" i="2"/>
  <c r="G9580" i="2"/>
  <c r="H9580" i="2"/>
  <c r="J9580" i="2"/>
  <c r="K9580" i="2"/>
  <c r="L9580" i="2"/>
  <c r="C9581" i="2"/>
  <c r="D9581" i="2"/>
  <c r="F9581" i="2"/>
  <c r="G9581" i="2"/>
  <c r="H9581" i="2"/>
  <c r="J9581" i="2"/>
  <c r="K9581" i="2"/>
  <c r="L9581" i="2"/>
  <c r="C9582" i="2"/>
  <c r="D9582" i="2"/>
  <c r="F9582" i="2"/>
  <c r="G9582" i="2"/>
  <c r="H9582" i="2"/>
  <c r="J9582" i="2"/>
  <c r="K9582" i="2"/>
  <c r="L9582" i="2"/>
  <c r="C9583" i="2"/>
  <c r="D9583" i="2"/>
  <c r="F9583" i="2"/>
  <c r="G9583" i="2"/>
  <c r="H9583" i="2"/>
  <c r="J9583" i="2"/>
  <c r="K9583" i="2"/>
  <c r="L9583" i="2"/>
  <c r="C9584" i="2"/>
  <c r="D9584" i="2"/>
  <c r="F9584" i="2"/>
  <c r="G9584" i="2"/>
  <c r="H9584" i="2"/>
  <c r="J9584" i="2"/>
  <c r="K9584" i="2"/>
  <c r="L9584" i="2"/>
  <c r="C9585" i="2"/>
  <c r="D9585" i="2"/>
  <c r="F9585" i="2"/>
  <c r="G9585" i="2"/>
  <c r="H9585" i="2"/>
  <c r="J9585" i="2"/>
  <c r="K9585" i="2"/>
  <c r="L9585" i="2"/>
  <c r="C9586" i="2"/>
  <c r="D9586" i="2"/>
  <c r="F9586" i="2"/>
  <c r="G9586" i="2"/>
  <c r="H9586" i="2"/>
  <c r="J9586" i="2"/>
  <c r="K9586" i="2"/>
  <c r="L9586" i="2"/>
  <c r="C9587" i="2"/>
  <c r="D9587" i="2"/>
  <c r="F9587" i="2"/>
  <c r="G9587" i="2"/>
  <c r="H9587" i="2"/>
  <c r="J9587" i="2"/>
  <c r="K9587" i="2"/>
  <c r="L9587" i="2"/>
  <c r="C9588" i="2"/>
  <c r="D9588" i="2"/>
  <c r="F9588" i="2"/>
  <c r="G9588" i="2"/>
  <c r="H9588" i="2"/>
  <c r="J9588" i="2"/>
  <c r="K9588" i="2"/>
  <c r="L9588" i="2"/>
  <c r="C9589" i="2"/>
  <c r="D9589" i="2"/>
  <c r="F9589" i="2"/>
  <c r="G9589" i="2"/>
  <c r="H9589" i="2"/>
  <c r="J9589" i="2"/>
  <c r="K9589" i="2"/>
  <c r="L9589" i="2"/>
  <c r="C9590" i="2"/>
  <c r="D9590" i="2"/>
  <c r="F9590" i="2"/>
  <c r="G9590" i="2"/>
  <c r="H9590" i="2"/>
  <c r="J9590" i="2"/>
  <c r="K9590" i="2"/>
  <c r="L9590" i="2"/>
  <c r="C9591" i="2"/>
  <c r="D9591" i="2"/>
  <c r="F9591" i="2"/>
  <c r="G9591" i="2"/>
  <c r="H9591" i="2"/>
  <c r="J9591" i="2"/>
  <c r="K9591" i="2"/>
  <c r="L9591" i="2"/>
  <c r="C9592" i="2"/>
  <c r="D9592" i="2"/>
  <c r="F9592" i="2"/>
  <c r="G9592" i="2"/>
  <c r="H9592" i="2"/>
  <c r="J9592" i="2"/>
  <c r="K9592" i="2"/>
  <c r="L9592" i="2"/>
  <c r="C9593" i="2"/>
  <c r="D9593" i="2"/>
  <c r="F9593" i="2"/>
  <c r="G9593" i="2"/>
  <c r="H9593" i="2"/>
  <c r="J9593" i="2"/>
  <c r="K9593" i="2"/>
  <c r="L9593" i="2"/>
  <c r="C9594" i="2"/>
  <c r="D9594" i="2"/>
  <c r="F9594" i="2"/>
  <c r="G9594" i="2"/>
  <c r="H9594" i="2"/>
  <c r="J9594" i="2"/>
  <c r="K9594" i="2"/>
  <c r="L9594" i="2"/>
  <c r="C9595" i="2"/>
  <c r="D9595" i="2"/>
  <c r="F9595" i="2"/>
  <c r="G9595" i="2"/>
  <c r="H9595" i="2"/>
  <c r="J9595" i="2"/>
  <c r="K9595" i="2"/>
  <c r="L9595" i="2"/>
  <c r="C9596" i="2"/>
  <c r="D9596" i="2"/>
  <c r="F9596" i="2"/>
  <c r="G9596" i="2"/>
  <c r="H9596" i="2"/>
  <c r="J9596" i="2"/>
  <c r="K9596" i="2"/>
  <c r="L9596" i="2"/>
  <c r="C9597" i="2"/>
  <c r="D9597" i="2"/>
  <c r="F9597" i="2"/>
  <c r="G9597" i="2"/>
  <c r="H9597" i="2"/>
  <c r="J9597" i="2"/>
  <c r="K9597" i="2"/>
  <c r="L9597" i="2"/>
  <c r="C9598" i="2"/>
  <c r="D9598" i="2"/>
  <c r="F9598" i="2"/>
  <c r="G9598" i="2"/>
  <c r="H9598" i="2"/>
  <c r="J9598" i="2"/>
  <c r="K9598" i="2"/>
  <c r="L9598" i="2"/>
  <c r="C9599" i="2"/>
  <c r="D9599" i="2"/>
  <c r="F9599" i="2"/>
  <c r="G9599" i="2"/>
  <c r="H9599" i="2"/>
  <c r="J9599" i="2"/>
  <c r="K9599" i="2"/>
  <c r="L9599" i="2"/>
  <c r="C9600" i="2"/>
  <c r="D9600" i="2"/>
  <c r="F9600" i="2"/>
  <c r="G9600" i="2"/>
  <c r="H9600" i="2"/>
  <c r="J9600" i="2"/>
  <c r="K9600" i="2"/>
  <c r="L9600" i="2"/>
  <c r="C9601" i="2"/>
  <c r="D9601" i="2"/>
  <c r="F9601" i="2"/>
  <c r="G9601" i="2"/>
  <c r="H9601" i="2"/>
  <c r="J9601" i="2"/>
  <c r="K9601" i="2"/>
  <c r="L9601" i="2"/>
  <c r="C9602" i="2"/>
  <c r="D9602" i="2"/>
  <c r="F9602" i="2"/>
  <c r="G9602" i="2"/>
  <c r="H9602" i="2"/>
  <c r="J9602" i="2"/>
  <c r="K9602" i="2"/>
  <c r="L9602" i="2"/>
  <c r="C9603" i="2"/>
  <c r="D9603" i="2"/>
  <c r="F9603" i="2"/>
  <c r="G9603" i="2"/>
  <c r="H9603" i="2"/>
  <c r="J9603" i="2"/>
  <c r="K9603" i="2"/>
  <c r="L9603" i="2"/>
  <c r="C9604" i="2"/>
  <c r="D9604" i="2"/>
  <c r="F9604" i="2"/>
  <c r="G9604" i="2"/>
  <c r="H9604" i="2"/>
  <c r="J9604" i="2"/>
  <c r="K9604" i="2"/>
  <c r="L9604" i="2"/>
  <c r="C9605" i="2"/>
  <c r="D9605" i="2"/>
  <c r="F9605" i="2"/>
  <c r="G9605" i="2"/>
  <c r="H9605" i="2"/>
  <c r="J9605" i="2"/>
  <c r="K9605" i="2"/>
  <c r="L9605" i="2"/>
  <c r="C9606" i="2"/>
  <c r="D9606" i="2"/>
  <c r="F9606" i="2"/>
  <c r="G9606" i="2"/>
  <c r="H9606" i="2"/>
  <c r="J9606" i="2"/>
  <c r="K9606" i="2"/>
  <c r="L9606" i="2"/>
  <c r="C9607" i="2"/>
  <c r="D9607" i="2"/>
  <c r="F9607" i="2"/>
  <c r="G9607" i="2"/>
  <c r="H9607" i="2"/>
  <c r="J9607" i="2"/>
  <c r="K9607" i="2"/>
  <c r="L9607" i="2"/>
  <c r="C9608" i="2"/>
  <c r="D9608" i="2"/>
  <c r="F9608" i="2"/>
  <c r="G9608" i="2"/>
  <c r="H9608" i="2"/>
  <c r="J9608" i="2"/>
  <c r="K9608" i="2"/>
  <c r="L9608" i="2"/>
  <c r="C9609" i="2"/>
  <c r="D9609" i="2"/>
  <c r="F9609" i="2"/>
  <c r="G9609" i="2"/>
  <c r="H9609" i="2"/>
  <c r="J9609" i="2"/>
  <c r="K9609" i="2"/>
  <c r="L9609" i="2"/>
  <c r="C9610" i="2"/>
  <c r="D9610" i="2"/>
  <c r="F9610" i="2"/>
  <c r="G9610" i="2"/>
  <c r="H9610" i="2"/>
  <c r="J9610" i="2"/>
  <c r="K9610" i="2"/>
  <c r="L9610" i="2"/>
  <c r="C9611" i="2"/>
  <c r="D9611" i="2"/>
  <c r="F9611" i="2"/>
  <c r="G9611" i="2"/>
  <c r="H9611" i="2"/>
  <c r="J9611" i="2"/>
  <c r="K9611" i="2"/>
  <c r="L9611" i="2"/>
  <c r="C9612" i="2"/>
  <c r="D9612" i="2"/>
  <c r="F9612" i="2"/>
  <c r="G9612" i="2"/>
  <c r="H9612" i="2"/>
  <c r="J9612" i="2"/>
  <c r="K9612" i="2"/>
  <c r="L9612" i="2"/>
  <c r="C9613" i="2"/>
  <c r="D9613" i="2"/>
  <c r="F9613" i="2"/>
  <c r="G9613" i="2"/>
  <c r="H9613" i="2"/>
  <c r="J9613" i="2"/>
  <c r="K9613" i="2"/>
  <c r="L9613" i="2"/>
  <c r="C9614" i="2"/>
  <c r="D9614" i="2"/>
  <c r="F9614" i="2"/>
  <c r="G9614" i="2"/>
  <c r="H9614" i="2"/>
  <c r="J9614" i="2"/>
  <c r="K9614" i="2"/>
  <c r="L9614" i="2"/>
  <c r="C9615" i="2"/>
  <c r="D9615" i="2"/>
  <c r="F9615" i="2"/>
  <c r="G9615" i="2"/>
  <c r="H9615" i="2"/>
  <c r="J9615" i="2"/>
  <c r="K9615" i="2"/>
  <c r="L9615" i="2"/>
  <c r="C9616" i="2"/>
  <c r="D9616" i="2"/>
  <c r="F9616" i="2"/>
  <c r="G9616" i="2"/>
  <c r="H9616" i="2"/>
  <c r="J9616" i="2"/>
  <c r="K9616" i="2"/>
  <c r="L9616" i="2"/>
  <c r="C9617" i="2"/>
  <c r="D9617" i="2"/>
  <c r="F9617" i="2"/>
  <c r="G9617" i="2"/>
  <c r="H9617" i="2"/>
  <c r="J9617" i="2"/>
  <c r="K9617" i="2"/>
  <c r="L9617" i="2"/>
  <c r="C9618" i="2"/>
  <c r="D9618" i="2"/>
  <c r="F9618" i="2"/>
  <c r="G9618" i="2"/>
  <c r="H9618" i="2"/>
  <c r="J9618" i="2"/>
  <c r="K9618" i="2"/>
  <c r="L9618" i="2"/>
  <c r="C9619" i="2"/>
  <c r="D9619" i="2"/>
  <c r="F9619" i="2"/>
  <c r="G9619" i="2"/>
  <c r="H9619" i="2"/>
  <c r="J9619" i="2"/>
  <c r="K9619" i="2"/>
  <c r="L9619" i="2"/>
  <c r="C9620" i="2"/>
  <c r="D9620" i="2"/>
  <c r="F9620" i="2"/>
  <c r="G9620" i="2"/>
  <c r="H9620" i="2"/>
  <c r="J9620" i="2"/>
  <c r="K9620" i="2"/>
  <c r="L9620" i="2"/>
  <c r="C9621" i="2"/>
  <c r="D9621" i="2"/>
  <c r="F9621" i="2"/>
  <c r="G9621" i="2"/>
  <c r="H9621" i="2"/>
  <c r="J9621" i="2"/>
  <c r="K9621" i="2"/>
  <c r="L9621" i="2"/>
  <c r="C9622" i="2"/>
  <c r="D9622" i="2"/>
  <c r="F9622" i="2"/>
  <c r="G9622" i="2"/>
  <c r="H9622" i="2"/>
  <c r="J9622" i="2"/>
  <c r="K9622" i="2"/>
  <c r="L9622" i="2"/>
  <c r="C9623" i="2"/>
  <c r="D9623" i="2"/>
  <c r="F9623" i="2"/>
  <c r="G9623" i="2"/>
  <c r="H9623" i="2"/>
  <c r="J9623" i="2"/>
  <c r="K9623" i="2"/>
  <c r="L9623" i="2"/>
  <c r="C9624" i="2"/>
  <c r="D9624" i="2"/>
  <c r="F9624" i="2"/>
  <c r="G9624" i="2"/>
  <c r="H9624" i="2"/>
  <c r="J9624" i="2"/>
  <c r="K9624" i="2"/>
  <c r="L9624" i="2"/>
  <c r="C9625" i="2"/>
  <c r="D9625" i="2"/>
  <c r="F9625" i="2"/>
  <c r="G9625" i="2"/>
  <c r="H9625" i="2"/>
  <c r="J9625" i="2"/>
  <c r="K9625" i="2"/>
  <c r="L9625" i="2"/>
  <c r="C9626" i="2"/>
  <c r="D9626" i="2"/>
  <c r="F9626" i="2"/>
  <c r="G9626" i="2"/>
  <c r="H9626" i="2"/>
  <c r="J9626" i="2"/>
  <c r="K9626" i="2"/>
  <c r="L9626" i="2"/>
  <c r="C9627" i="2"/>
  <c r="D9627" i="2"/>
  <c r="F9627" i="2"/>
  <c r="G9627" i="2"/>
  <c r="H9627" i="2"/>
  <c r="J9627" i="2"/>
  <c r="K9627" i="2"/>
  <c r="L9627" i="2"/>
  <c r="C9628" i="2"/>
  <c r="D9628" i="2"/>
  <c r="F9628" i="2"/>
  <c r="G9628" i="2"/>
  <c r="H9628" i="2"/>
  <c r="J9628" i="2"/>
  <c r="K9628" i="2"/>
  <c r="L9628" i="2"/>
  <c r="C9629" i="2"/>
  <c r="D9629" i="2"/>
  <c r="F9629" i="2"/>
  <c r="G9629" i="2"/>
  <c r="H9629" i="2"/>
  <c r="J9629" i="2"/>
  <c r="K9629" i="2"/>
  <c r="L9629" i="2"/>
  <c r="C9630" i="2"/>
  <c r="D9630" i="2"/>
  <c r="F9630" i="2"/>
  <c r="G9630" i="2"/>
  <c r="H9630" i="2"/>
  <c r="J9630" i="2"/>
  <c r="K9630" i="2"/>
  <c r="L9630" i="2"/>
  <c r="C9631" i="2"/>
  <c r="D9631" i="2"/>
  <c r="F9631" i="2"/>
  <c r="G9631" i="2"/>
  <c r="H9631" i="2"/>
  <c r="J9631" i="2"/>
  <c r="K9631" i="2"/>
  <c r="L9631" i="2"/>
  <c r="C9632" i="2"/>
  <c r="D9632" i="2"/>
  <c r="F9632" i="2"/>
  <c r="G9632" i="2"/>
  <c r="H9632" i="2"/>
  <c r="J9632" i="2"/>
  <c r="K9632" i="2"/>
  <c r="L9632" i="2"/>
  <c r="C9633" i="2"/>
  <c r="D9633" i="2"/>
  <c r="F9633" i="2"/>
  <c r="G9633" i="2"/>
  <c r="H9633" i="2"/>
  <c r="J9633" i="2"/>
  <c r="K9633" i="2"/>
  <c r="L9633" i="2"/>
  <c r="C9634" i="2"/>
  <c r="D9634" i="2"/>
  <c r="F9634" i="2"/>
  <c r="G9634" i="2"/>
  <c r="H9634" i="2"/>
  <c r="J9634" i="2"/>
  <c r="K9634" i="2"/>
  <c r="L9634" i="2"/>
  <c r="C9635" i="2"/>
  <c r="D9635" i="2"/>
  <c r="F9635" i="2"/>
  <c r="G9635" i="2"/>
  <c r="H9635" i="2"/>
  <c r="J9635" i="2"/>
  <c r="K9635" i="2"/>
  <c r="L9635" i="2"/>
  <c r="C9636" i="2"/>
  <c r="D9636" i="2"/>
  <c r="F9636" i="2"/>
  <c r="G9636" i="2"/>
  <c r="H9636" i="2"/>
  <c r="J9636" i="2"/>
  <c r="K9636" i="2"/>
  <c r="L9636" i="2"/>
  <c r="C9637" i="2"/>
  <c r="D9637" i="2"/>
  <c r="F9637" i="2"/>
  <c r="G9637" i="2"/>
  <c r="H9637" i="2"/>
  <c r="J9637" i="2"/>
  <c r="K9637" i="2"/>
  <c r="L9637" i="2"/>
  <c r="C9638" i="2"/>
  <c r="D9638" i="2"/>
  <c r="F9638" i="2"/>
  <c r="G9638" i="2"/>
  <c r="H9638" i="2"/>
  <c r="J9638" i="2"/>
  <c r="K9638" i="2"/>
  <c r="L9638" i="2"/>
  <c r="C9639" i="2"/>
  <c r="D9639" i="2"/>
  <c r="F9639" i="2"/>
  <c r="G9639" i="2"/>
  <c r="H9639" i="2"/>
  <c r="J9639" i="2"/>
  <c r="K9639" i="2"/>
  <c r="L9639" i="2"/>
  <c r="C9640" i="2"/>
  <c r="D9640" i="2"/>
  <c r="F9640" i="2"/>
  <c r="G9640" i="2"/>
  <c r="H9640" i="2"/>
  <c r="J9640" i="2"/>
  <c r="K9640" i="2"/>
  <c r="L9640" i="2"/>
  <c r="C9641" i="2"/>
  <c r="D9641" i="2"/>
  <c r="F9641" i="2"/>
  <c r="G9641" i="2"/>
  <c r="H9641" i="2"/>
  <c r="J9641" i="2"/>
  <c r="K9641" i="2"/>
  <c r="L9641" i="2"/>
  <c r="C9642" i="2"/>
  <c r="D9642" i="2"/>
  <c r="F9642" i="2"/>
  <c r="G9642" i="2"/>
  <c r="H9642" i="2"/>
  <c r="J9642" i="2"/>
  <c r="K9642" i="2"/>
  <c r="L9642" i="2"/>
  <c r="C9643" i="2"/>
  <c r="D9643" i="2"/>
  <c r="F9643" i="2"/>
  <c r="G9643" i="2"/>
  <c r="H9643" i="2"/>
  <c r="J9643" i="2"/>
  <c r="K9643" i="2"/>
  <c r="L9643" i="2"/>
  <c r="C9644" i="2"/>
  <c r="D9644" i="2"/>
  <c r="F9644" i="2"/>
  <c r="G9644" i="2"/>
  <c r="H9644" i="2"/>
  <c r="J9644" i="2"/>
  <c r="K9644" i="2"/>
  <c r="L9644" i="2"/>
  <c r="C9645" i="2"/>
  <c r="D9645" i="2"/>
  <c r="F9645" i="2"/>
  <c r="G9645" i="2"/>
  <c r="H9645" i="2"/>
  <c r="J9645" i="2"/>
  <c r="K9645" i="2"/>
  <c r="L9645" i="2"/>
  <c r="C9646" i="2"/>
  <c r="D9646" i="2"/>
  <c r="F9646" i="2"/>
  <c r="G9646" i="2"/>
  <c r="H9646" i="2"/>
  <c r="J9646" i="2"/>
  <c r="K9646" i="2"/>
  <c r="L9646" i="2"/>
  <c r="C9647" i="2"/>
  <c r="D9647" i="2"/>
  <c r="F9647" i="2"/>
  <c r="G9647" i="2"/>
  <c r="H9647" i="2"/>
  <c r="J9647" i="2"/>
  <c r="K9647" i="2"/>
  <c r="L9647" i="2"/>
  <c r="C9648" i="2"/>
  <c r="D9648" i="2"/>
  <c r="F9648" i="2"/>
  <c r="G9648" i="2"/>
  <c r="H9648" i="2"/>
  <c r="J9648" i="2"/>
  <c r="K9648" i="2"/>
  <c r="L9648" i="2"/>
  <c r="C9649" i="2"/>
  <c r="D9649" i="2"/>
  <c r="F9649" i="2"/>
  <c r="G9649" i="2"/>
  <c r="H9649" i="2"/>
  <c r="J9649" i="2"/>
  <c r="K9649" i="2"/>
  <c r="L9649" i="2"/>
  <c r="C9650" i="2"/>
  <c r="D9650" i="2"/>
  <c r="F9650" i="2"/>
  <c r="G9650" i="2"/>
  <c r="H9650" i="2"/>
  <c r="J9650" i="2"/>
  <c r="K9650" i="2"/>
  <c r="L9650" i="2"/>
  <c r="C9651" i="2"/>
  <c r="D9651" i="2"/>
  <c r="F9651" i="2"/>
  <c r="G9651" i="2"/>
  <c r="H9651" i="2"/>
  <c r="J9651" i="2"/>
  <c r="K9651" i="2"/>
  <c r="L9651" i="2"/>
  <c r="C9652" i="2"/>
  <c r="D9652" i="2"/>
  <c r="F9652" i="2"/>
  <c r="G9652" i="2"/>
  <c r="H9652" i="2"/>
  <c r="J9652" i="2"/>
  <c r="K9652" i="2"/>
  <c r="L9652" i="2"/>
  <c r="C9653" i="2"/>
  <c r="D9653" i="2"/>
  <c r="F9653" i="2"/>
  <c r="G9653" i="2"/>
  <c r="H9653" i="2"/>
  <c r="J9653" i="2"/>
  <c r="K9653" i="2"/>
  <c r="L9653" i="2"/>
  <c r="C9654" i="2"/>
  <c r="D9654" i="2"/>
  <c r="F9654" i="2"/>
  <c r="G9654" i="2"/>
  <c r="H9654" i="2"/>
  <c r="J9654" i="2"/>
  <c r="K9654" i="2"/>
  <c r="L9654" i="2"/>
  <c r="C9655" i="2"/>
  <c r="D9655" i="2"/>
  <c r="F9655" i="2"/>
  <c r="G9655" i="2"/>
  <c r="H9655" i="2"/>
  <c r="J9655" i="2"/>
  <c r="K9655" i="2"/>
  <c r="L9655" i="2"/>
  <c r="C9656" i="2"/>
  <c r="D9656" i="2"/>
  <c r="F9656" i="2"/>
  <c r="G9656" i="2"/>
  <c r="H9656" i="2"/>
  <c r="J9656" i="2"/>
  <c r="K9656" i="2"/>
  <c r="L9656" i="2"/>
  <c r="C9657" i="2"/>
  <c r="D9657" i="2"/>
  <c r="F9657" i="2"/>
  <c r="G9657" i="2"/>
  <c r="H9657" i="2"/>
  <c r="J9657" i="2"/>
  <c r="K9657" i="2"/>
  <c r="L9657" i="2"/>
  <c r="C9658" i="2"/>
  <c r="D9658" i="2"/>
  <c r="F9658" i="2"/>
  <c r="G9658" i="2"/>
  <c r="H9658" i="2"/>
  <c r="J9658" i="2"/>
  <c r="K9658" i="2"/>
  <c r="L9658" i="2"/>
  <c r="C9659" i="2"/>
  <c r="D9659" i="2"/>
  <c r="F9659" i="2"/>
  <c r="G9659" i="2"/>
  <c r="H9659" i="2"/>
  <c r="J9659" i="2"/>
  <c r="K9659" i="2"/>
  <c r="L9659" i="2"/>
  <c r="C9660" i="2"/>
  <c r="D9660" i="2"/>
  <c r="F9660" i="2"/>
  <c r="G9660" i="2"/>
  <c r="H9660" i="2"/>
  <c r="J9660" i="2"/>
  <c r="K9660" i="2"/>
  <c r="L9660" i="2"/>
  <c r="C9661" i="2"/>
  <c r="D9661" i="2"/>
  <c r="F9661" i="2"/>
  <c r="G9661" i="2"/>
  <c r="H9661" i="2"/>
  <c r="J9661" i="2"/>
  <c r="K9661" i="2"/>
  <c r="L9661" i="2"/>
  <c r="C9662" i="2"/>
  <c r="D9662" i="2"/>
  <c r="F9662" i="2"/>
  <c r="G9662" i="2"/>
  <c r="H9662" i="2"/>
  <c r="J9662" i="2"/>
  <c r="K9662" i="2"/>
  <c r="L9662" i="2"/>
  <c r="C9663" i="2"/>
  <c r="D9663" i="2"/>
  <c r="F9663" i="2"/>
  <c r="G9663" i="2"/>
  <c r="H9663" i="2"/>
  <c r="J9663" i="2"/>
  <c r="K9663" i="2"/>
  <c r="L9663" i="2"/>
  <c r="C9664" i="2"/>
  <c r="D9664" i="2"/>
  <c r="F9664" i="2"/>
  <c r="G9664" i="2"/>
  <c r="H9664" i="2"/>
  <c r="J9664" i="2"/>
  <c r="K9664" i="2"/>
  <c r="L9664" i="2"/>
  <c r="C9665" i="2"/>
  <c r="D9665" i="2"/>
  <c r="F9665" i="2"/>
  <c r="G9665" i="2"/>
  <c r="H9665" i="2"/>
  <c r="J9665" i="2"/>
  <c r="K9665" i="2"/>
  <c r="L9665" i="2"/>
  <c r="C9666" i="2"/>
  <c r="D9666" i="2"/>
  <c r="F9666" i="2"/>
  <c r="G9666" i="2"/>
  <c r="H9666" i="2"/>
  <c r="J9666" i="2"/>
  <c r="K9666" i="2"/>
  <c r="L9666" i="2"/>
  <c r="C9667" i="2"/>
  <c r="D9667" i="2"/>
  <c r="F9667" i="2"/>
  <c r="G9667" i="2"/>
  <c r="H9667" i="2"/>
  <c r="J9667" i="2"/>
  <c r="K9667" i="2"/>
  <c r="L9667" i="2"/>
  <c r="C9668" i="2"/>
  <c r="D9668" i="2"/>
  <c r="F9668" i="2"/>
  <c r="G9668" i="2"/>
  <c r="H9668" i="2"/>
  <c r="J9668" i="2"/>
  <c r="K9668" i="2"/>
  <c r="L9668" i="2"/>
  <c r="C9669" i="2"/>
  <c r="D9669" i="2"/>
  <c r="F9669" i="2"/>
  <c r="G9669" i="2"/>
  <c r="H9669" i="2"/>
  <c r="J9669" i="2"/>
  <c r="K9669" i="2"/>
  <c r="L9669" i="2"/>
  <c r="C9670" i="2"/>
  <c r="D9670" i="2"/>
  <c r="F9670" i="2"/>
  <c r="G9670" i="2"/>
  <c r="H9670" i="2"/>
  <c r="J9670" i="2"/>
  <c r="K9670" i="2"/>
  <c r="L9670" i="2"/>
  <c r="C9671" i="2"/>
  <c r="D9671" i="2"/>
  <c r="F9671" i="2"/>
  <c r="G9671" i="2"/>
  <c r="H9671" i="2"/>
  <c r="J9671" i="2"/>
  <c r="K9671" i="2"/>
  <c r="L9671" i="2"/>
  <c r="C9672" i="2"/>
  <c r="D9672" i="2"/>
  <c r="F9672" i="2"/>
  <c r="G9672" i="2"/>
  <c r="H9672" i="2"/>
  <c r="J9672" i="2"/>
  <c r="K9672" i="2"/>
  <c r="L9672" i="2"/>
  <c r="C9673" i="2"/>
  <c r="D9673" i="2"/>
  <c r="F9673" i="2"/>
  <c r="G9673" i="2"/>
  <c r="H9673" i="2"/>
  <c r="J9673" i="2"/>
  <c r="K9673" i="2"/>
  <c r="L9673" i="2"/>
  <c r="C9674" i="2"/>
  <c r="D9674" i="2"/>
  <c r="F9674" i="2"/>
  <c r="G9674" i="2"/>
  <c r="H9674" i="2"/>
  <c r="J9674" i="2"/>
  <c r="K9674" i="2"/>
  <c r="L9674" i="2"/>
  <c r="C9675" i="2"/>
  <c r="D9675" i="2"/>
  <c r="F9675" i="2"/>
  <c r="G9675" i="2"/>
  <c r="H9675" i="2"/>
  <c r="J9675" i="2"/>
  <c r="K9675" i="2"/>
  <c r="L9675" i="2"/>
  <c r="C9676" i="2"/>
  <c r="D9676" i="2"/>
  <c r="F9676" i="2"/>
  <c r="G9676" i="2"/>
  <c r="H9676" i="2"/>
  <c r="J9676" i="2"/>
  <c r="K9676" i="2"/>
  <c r="L9676" i="2"/>
  <c r="C9677" i="2"/>
  <c r="D9677" i="2"/>
  <c r="F9677" i="2"/>
  <c r="G9677" i="2"/>
  <c r="H9677" i="2"/>
  <c r="J9677" i="2"/>
  <c r="K9677" i="2"/>
  <c r="L9677" i="2"/>
  <c r="C9678" i="2"/>
  <c r="D9678" i="2"/>
  <c r="F9678" i="2"/>
  <c r="G9678" i="2"/>
  <c r="H9678" i="2"/>
  <c r="J9678" i="2"/>
  <c r="K9678" i="2"/>
  <c r="L9678" i="2"/>
  <c r="C9679" i="2"/>
  <c r="D9679" i="2"/>
  <c r="F9679" i="2"/>
  <c r="G9679" i="2"/>
  <c r="H9679" i="2"/>
  <c r="J9679" i="2"/>
  <c r="K9679" i="2"/>
  <c r="L9679" i="2"/>
  <c r="C9680" i="2"/>
  <c r="D9680" i="2"/>
  <c r="F9680" i="2"/>
  <c r="G9680" i="2"/>
  <c r="H9680" i="2"/>
  <c r="J9680" i="2"/>
  <c r="K9680" i="2"/>
  <c r="L9680" i="2"/>
  <c r="C9681" i="2"/>
  <c r="D9681" i="2"/>
  <c r="F9681" i="2"/>
  <c r="G9681" i="2"/>
  <c r="H9681" i="2"/>
  <c r="J9681" i="2"/>
  <c r="K9681" i="2"/>
  <c r="L9681" i="2"/>
  <c r="C9682" i="2"/>
  <c r="D9682" i="2"/>
  <c r="F9682" i="2"/>
  <c r="G9682" i="2"/>
  <c r="H9682" i="2"/>
  <c r="J9682" i="2"/>
  <c r="K9682" i="2"/>
  <c r="L9682" i="2"/>
  <c r="C9683" i="2"/>
  <c r="D9683" i="2"/>
  <c r="F9683" i="2"/>
  <c r="G9683" i="2"/>
  <c r="H9683" i="2"/>
  <c r="J9683" i="2"/>
  <c r="K9683" i="2"/>
  <c r="L9683" i="2"/>
  <c r="C9684" i="2"/>
  <c r="D9684" i="2"/>
  <c r="F9684" i="2"/>
  <c r="G9684" i="2"/>
  <c r="H9684" i="2"/>
  <c r="J9684" i="2"/>
  <c r="K9684" i="2"/>
  <c r="L9684" i="2"/>
  <c r="C9685" i="2"/>
  <c r="D9685" i="2"/>
  <c r="F9685" i="2"/>
  <c r="G9685" i="2"/>
  <c r="H9685" i="2"/>
  <c r="J9685" i="2"/>
  <c r="K9685" i="2"/>
  <c r="L9685" i="2"/>
  <c r="C9686" i="2"/>
  <c r="D9686" i="2"/>
  <c r="F9686" i="2"/>
  <c r="G9686" i="2"/>
  <c r="H9686" i="2"/>
  <c r="J9686" i="2"/>
  <c r="K9686" i="2"/>
  <c r="L9686" i="2"/>
  <c r="C9687" i="2"/>
  <c r="D9687" i="2"/>
  <c r="F9687" i="2"/>
  <c r="G9687" i="2"/>
  <c r="H9687" i="2"/>
  <c r="J9687" i="2"/>
  <c r="K9687" i="2"/>
  <c r="L9687" i="2"/>
  <c r="C9688" i="2"/>
  <c r="D9688" i="2"/>
  <c r="F9688" i="2"/>
  <c r="G9688" i="2"/>
  <c r="H9688" i="2"/>
  <c r="J9688" i="2"/>
  <c r="K9688" i="2"/>
  <c r="L9688" i="2"/>
  <c r="C9689" i="2"/>
  <c r="D9689" i="2"/>
  <c r="F9689" i="2"/>
  <c r="G9689" i="2"/>
  <c r="H9689" i="2"/>
  <c r="J9689" i="2"/>
  <c r="K9689" i="2"/>
  <c r="L9689" i="2"/>
  <c r="C9690" i="2"/>
  <c r="D9690" i="2"/>
  <c r="F9690" i="2"/>
  <c r="G9690" i="2"/>
  <c r="H9690" i="2"/>
  <c r="J9690" i="2"/>
  <c r="K9690" i="2"/>
  <c r="L9690" i="2"/>
  <c r="C9691" i="2"/>
  <c r="D9691" i="2"/>
  <c r="F9691" i="2"/>
  <c r="G9691" i="2"/>
  <c r="H9691" i="2"/>
  <c r="J9691" i="2"/>
  <c r="K9691" i="2"/>
  <c r="L9691" i="2"/>
  <c r="C9692" i="2"/>
  <c r="D9692" i="2"/>
  <c r="F9692" i="2"/>
  <c r="G9692" i="2"/>
  <c r="H9692" i="2"/>
  <c r="J9692" i="2"/>
  <c r="K9692" i="2"/>
  <c r="L9692" i="2"/>
  <c r="C9693" i="2"/>
  <c r="D9693" i="2"/>
  <c r="F9693" i="2"/>
  <c r="G9693" i="2"/>
  <c r="H9693" i="2"/>
  <c r="J9693" i="2"/>
  <c r="K9693" i="2"/>
  <c r="L9693" i="2"/>
  <c r="C9694" i="2"/>
  <c r="D9694" i="2"/>
  <c r="F9694" i="2"/>
  <c r="G9694" i="2"/>
  <c r="H9694" i="2"/>
  <c r="J9694" i="2"/>
  <c r="K9694" i="2"/>
  <c r="L9694" i="2"/>
  <c r="C9695" i="2"/>
  <c r="D9695" i="2"/>
  <c r="F9695" i="2"/>
  <c r="G9695" i="2"/>
  <c r="H9695" i="2"/>
  <c r="J9695" i="2"/>
  <c r="K9695" i="2"/>
  <c r="L9695" i="2"/>
  <c r="C9696" i="2"/>
  <c r="D9696" i="2"/>
  <c r="F9696" i="2"/>
  <c r="G9696" i="2"/>
  <c r="H9696" i="2"/>
  <c r="J9696" i="2"/>
  <c r="K9696" i="2"/>
  <c r="L9696" i="2"/>
  <c r="C9697" i="2"/>
  <c r="D9697" i="2"/>
  <c r="F9697" i="2"/>
  <c r="G9697" i="2"/>
  <c r="H9697" i="2"/>
  <c r="J9697" i="2"/>
  <c r="K9697" i="2"/>
  <c r="L9697" i="2"/>
  <c r="C9698" i="2"/>
  <c r="D9698" i="2"/>
  <c r="F9698" i="2"/>
  <c r="G9698" i="2"/>
  <c r="H9698" i="2"/>
  <c r="J9698" i="2"/>
  <c r="K9698" i="2"/>
  <c r="L9698" i="2"/>
  <c r="C9699" i="2"/>
  <c r="D9699" i="2"/>
  <c r="F9699" i="2"/>
  <c r="G9699" i="2"/>
  <c r="H9699" i="2"/>
  <c r="J9699" i="2"/>
  <c r="K9699" i="2"/>
  <c r="L9699" i="2"/>
  <c r="C9700" i="2"/>
  <c r="D9700" i="2"/>
  <c r="F9700" i="2"/>
  <c r="G9700" i="2"/>
  <c r="H9700" i="2"/>
  <c r="J9700" i="2"/>
  <c r="K9700" i="2"/>
  <c r="L9700" i="2"/>
  <c r="C9701" i="2"/>
  <c r="D9701" i="2"/>
  <c r="F9701" i="2"/>
  <c r="G9701" i="2"/>
  <c r="H9701" i="2"/>
  <c r="J9701" i="2"/>
  <c r="K9701" i="2"/>
  <c r="L9701" i="2"/>
  <c r="C9702" i="2"/>
  <c r="D9702" i="2"/>
  <c r="F9702" i="2"/>
  <c r="G9702" i="2"/>
  <c r="H9702" i="2"/>
  <c r="J9702" i="2"/>
  <c r="K9702" i="2"/>
  <c r="L9702" i="2"/>
  <c r="C9703" i="2"/>
  <c r="D9703" i="2"/>
  <c r="F9703" i="2"/>
  <c r="G9703" i="2"/>
  <c r="H9703" i="2"/>
  <c r="J9703" i="2"/>
  <c r="K9703" i="2"/>
  <c r="L9703" i="2"/>
  <c r="C9704" i="2"/>
  <c r="D9704" i="2"/>
  <c r="F9704" i="2"/>
  <c r="G9704" i="2"/>
  <c r="H9704" i="2"/>
  <c r="J9704" i="2"/>
  <c r="K9704" i="2"/>
  <c r="L9704" i="2"/>
  <c r="C9705" i="2"/>
  <c r="D9705" i="2"/>
  <c r="F9705" i="2"/>
  <c r="G9705" i="2"/>
  <c r="H9705" i="2"/>
  <c r="J9705" i="2"/>
  <c r="K9705" i="2"/>
  <c r="L9705" i="2"/>
  <c r="C9706" i="2"/>
  <c r="D9706" i="2"/>
  <c r="F9706" i="2"/>
  <c r="G9706" i="2"/>
  <c r="H9706" i="2"/>
  <c r="J9706" i="2"/>
  <c r="K9706" i="2"/>
  <c r="L9706" i="2"/>
  <c r="C9707" i="2"/>
  <c r="D9707" i="2"/>
  <c r="F9707" i="2"/>
  <c r="G9707" i="2"/>
  <c r="H9707" i="2"/>
  <c r="J9707" i="2"/>
  <c r="K9707" i="2"/>
  <c r="L9707" i="2"/>
  <c r="C9708" i="2"/>
  <c r="D9708" i="2"/>
  <c r="F9708" i="2"/>
  <c r="G9708" i="2"/>
  <c r="H9708" i="2"/>
  <c r="J9708" i="2"/>
  <c r="K9708" i="2"/>
  <c r="L9708" i="2"/>
  <c r="C9709" i="2"/>
  <c r="D9709" i="2"/>
  <c r="F9709" i="2"/>
  <c r="G9709" i="2"/>
  <c r="H9709" i="2"/>
  <c r="J9709" i="2"/>
  <c r="K9709" i="2"/>
  <c r="L9709" i="2"/>
  <c r="C9710" i="2"/>
  <c r="D9710" i="2"/>
  <c r="F9710" i="2"/>
  <c r="G9710" i="2"/>
  <c r="H9710" i="2"/>
  <c r="J9710" i="2"/>
  <c r="K9710" i="2"/>
  <c r="L9710" i="2"/>
  <c r="C9711" i="2"/>
  <c r="D9711" i="2"/>
  <c r="F9711" i="2"/>
  <c r="G9711" i="2"/>
  <c r="H9711" i="2"/>
  <c r="J9711" i="2"/>
  <c r="K9711" i="2"/>
  <c r="L9711" i="2"/>
  <c r="C9712" i="2"/>
  <c r="D9712" i="2"/>
  <c r="F9712" i="2"/>
  <c r="G9712" i="2"/>
  <c r="H9712" i="2"/>
  <c r="J9712" i="2"/>
  <c r="K9712" i="2"/>
  <c r="L9712" i="2"/>
  <c r="C9713" i="2"/>
  <c r="D9713" i="2"/>
  <c r="F9713" i="2"/>
  <c r="G9713" i="2"/>
  <c r="H9713" i="2"/>
  <c r="J9713" i="2"/>
  <c r="K9713" i="2"/>
  <c r="L9713" i="2"/>
  <c r="C9714" i="2"/>
  <c r="D9714" i="2"/>
  <c r="F9714" i="2"/>
  <c r="G9714" i="2"/>
  <c r="H9714" i="2"/>
  <c r="J9714" i="2"/>
  <c r="K9714" i="2"/>
  <c r="L9714" i="2"/>
  <c r="C9715" i="2"/>
  <c r="D9715" i="2"/>
  <c r="F9715" i="2"/>
  <c r="G9715" i="2"/>
  <c r="H9715" i="2"/>
  <c r="J9715" i="2"/>
  <c r="K9715" i="2"/>
  <c r="L9715" i="2"/>
  <c r="C9716" i="2"/>
  <c r="D9716" i="2"/>
  <c r="F9716" i="2"/>
  <c r="G9716" i="2"/>
  <c r="H9716" i="2"/>
  <c r="J9716" i="2"/>
  <c r="K9716" i="2"/>
  <c r="L9716" i="2"/>
  <c r="C9717" i="2"/>
  <c r="D9717" i="2"/>
  <c r="F9717" i="2"/>
  <c r="G9717" i="2"/>
  <c r="H9717" i="2"/>
  <c r="J9717" i="2"/>
  <c r="K9717" i="2"/>
  <c r="L9717" i="2"/>
  <c r="C9718" i="2"/>
  <c r="D9718" i="2"/>
  <c r="F9718" i="2"/>
  <c r="G9718" i="2"/>
  <c r="H9718" i="2"/>
  <c r="J9718" i="2"/>
  <c r="K9718" i="2"/>
  <c r="L9718" i="2"/>
  <c r="C9719" i="2"/>
  <c r="D9719" i="2"/>
  <c r="F9719" i="2"/>
  <c r="G9719" i="2"/>
  <c r="H9719" i="2"/>
  <c r="J9719" i="2"/>
  <c r="K9719" i="2"/>
  <c r="L9719" i="2"/>
  <c r="C9720" i="2"/>
  <c r="D9720" i="2"/>
  <c r="F9720" i="2"/>
  <c r="G9720" i="2"/>
  <c r="H9720" i="2"/>
  <c r="J9720" i="2"/>
  <c r="K9720" i="2"/>
  <c r="L9720" i="2"/>
  <c r="C9721" i="2"/>
  <c r="D9721" i="2"/>
  <c r="F9721" i="2"/>
  <c r="G9721" i="2"/>
  <c r="H9721" i="2"/>
  <c r="J9721" i="2"/>
  <c r="K9721" i="2"/>
  <c r="L9721" i="2"/>
  <c r="C9722" i="2"/>
  <c r="D9722" i="2"/>
  <c r="F9722" i="2"/>
  <c r="G9722" i="2"/>
  <c r="H9722" i="2"/>
  <c r="J9722" i="2"/>
  <c r="K9722" i="2"/>
  <c r="L9722" i="2"/>
  <c r="C9723" i="2"/>
  <c r="D9723" i="2"/>
  <c r="F9723" i="2"/>
  <c r="G9723" i="2"/>
  <c r="H9723" i="2"/>
  <c r="J9723" i="2"/>
  <c r="K9723" i="2"/>
  <c r="L9723" i="2"/>
  <c r="C9724" i="2"/>
  <c r="D9724" i="2"/>
  <c r="F9724" i="2"/>
  <c r="G9724" i="2"/>
  <c r="H9724" i="2"/>
  <c r="J9724" i="2"/>
  <c r="K9724" i="2"/>
  <c r="L9724" i="2"/>
  <c r="C9725" i="2"/>
  <c r="D9725" i="2"/>
  <c r="F9725" i="2"/>
  <c r="G9725" i="2"/>
  <c r="H9725" i="2"/>
  <c r="J9725" i="2"/>
  <c r="K9725" i="2"/>
  <c r="L9725" i="2"/>
  <c r="C9726" i="2"/>
  <c r="D9726" i="2"/>
  <c r="F9726" i="2"/>
  <c r="G9726" i="2"/>
  <c r="H9726" i="2"/>
  <c r="J9726" i="2"/>
  <c r="K9726" i="2"/>
  <c r="L9726" i="2"/>
  <c r="C9727" i="2"/>
  <c r="D9727" i="2"/>
  <c r="F9727" i="2"/>
  <c r="G9727" i="2"/>
  <c r="H9727" i="2"/>
  <c r="J9727" i="2"/>
  <c r="K9727" i="2"/>
  <c r="L9727" i="2"/>
  <c r="C9728" i="2"/>
  <c r="D9728" i="2"/>
  <c r="F9728" i="2"/>
  <c r="G9728" i="2"/>
  <c r="H9728" i="2"/>
  <c r="J9728" i="2"/>
  <c r="K9728" i="2"/>
  <c r="L9728" i="2"/>
  <c r="C9729" i="2"/>
  <c r="D9729" i="2"/>
  <c r="F9729" i="2"/>
  <c r="G9729" i="2"/>
  <c r="H9729" i="2"/>
  <c r="J9729" i="2"/>
  <c r="K9729" i="2"/>
  <c r="L9729" i="2"/>
  <c r="C9730" i="2"/>
  <c r="D9730" i="2"/>
  <c r="E9730" i="2"/>
  <c r="F9730" i="2"/>
  <c r="G9730" i="2"/>
  <c r="H9730" i="2"/>
  <c r="J9730" i="2"/>
  <c r="K9730" i="2"/>
  <c r="L9730" i="2"/>
  <c r="C9731" i="2"/>
  <c r="D9731" i="2"/>
  <c r="F9731" i="2"/>
  <c r="G9731" i="2"/>
  <c r="H9731" i="2"/>
  <c r="J9731" i="2"/>
  <c r="K9731" i="2"/>
  <c r="L9731" i="2"/>
  <c r="C9732" i="2"/>
  <c r="D9732" i="2"/>
  <c r="F9732" i="2"/>
  <c r="G9732" i="2"/>
  <c r="H9732" i="2"/>
  <c r="J9732" i="2"/>
  <c r="K9732" i="2"/>
  <c r="L9732" i="2"/>
  <c r="C9733" i="2"/>
  <c r="D9733" i="2"/>
  <c r="F9733" i="2"/>
  <c r="G9733" i="2"/>
  <c r="H9733" i="2"/>
  <c r="J9733" i="2"/>
  <c r="K9733" i="2"/>
  <c r="L9733" i="2"/>
  <c r="C9734" i="2"/>
  <c r="D9734" i="2"/>
  <c r="F9734" i="2"/>
  <c r="G9734" i="2"/>
  <c r="H9734" i="2"/>
  <c r="J9734" i="2"/>
  <c r="K9734" i="2"/>
  <c r="L9734" i="2"/>
  <c r="C9735" i="2"/>
  <c r="D9735" i="2"/>
  <c r="F9735" i="2"/>
  <c r="G9735" i="2"/>
  <c r="H9735" i="2"/>
  <c r="J9735" i="2"/>
  <c r="K9735" i="2"/>
  <c r="L9735" i="2"/>
  <c r="C9736" i="2"/>
  <c r="D9736" i="2"/>
  <c r="F9736" i="2"/>
  <c r="G9736" i="2"/>
  <c r="H9736" i="2"/>
  <c r="J9736" i="2"/>
  <c r="K9736" i="2"/>
  <c r="L9736" i="2"/>
  <c r="C9737" i="2"/>
  <c r="D9737" i="2"/>
  <c r="F9737" i="2"/>
  <c r="G9737" i="2"/>
  <c r="H9737" i="2"/>
  <c r="J9737" i="2"/>
  <c r="K9737" i="2"/>
  <c r="L9737" i="2"/>
  <c r="C9738" i="2"/>
  <c r="D9738" i="2"/>
  <c r="F9738" i="2"/>
  <c r="G9738" i="2"/>
  <c r="H9738" i="2"/>
  <c r="J9738" i="2"/>
  <c r="K9738" i="2"/>
  <c r="L9738" i="2"/>
  <c r="C9739" i="2"/>
  <c r="D9739" i="2"/>
  <c r="F9739" i="2"/>
  <c r="G9739" i="2"/>
  <c r="H9739" i="2"/>
  <c r="J9739" i="2"/>
  <c r="K9739" i="2"/>
  <c r="L9739" i="2"/>
  <c r="C9740" i="2"/>
  <c r="D9740" i="2"/>
  <c r="F9740" i="2"/>
  <c r="G9740" i="2"/>
  <c r="H9740" i="2"/>
  <c r="J9740" i="2"/>
  <c r="K9740" i="2"/>
  <c r="L9740" i="2"/>
  <c r="C9741" i="2"/>
  <c r="D9741" i="2"/>
  <c r="F9741" i="2"/>
  <c r="G9741" i="2"/>
  <c r="H9741" i="2"/>
  <c r="J9741" i="2"/>
  <c r="K9741" i="2"/>
  <c r="L9741" i="2"/>
  <c r="C9742" i="2"/>
  <c r="D9742" i="2"/>
  <c r="F9742" i="2"/>
  <c r="G9742" i="2"/>
  <c r="H9742" i="2"/>
  <c r="J9742" i="2"/>
  <c r="K9742" i="2"/>
  <c r="L9742" i="2"/>
  <c r="C9743" i="2"/>
  <c r="D9743" i="2"/>
  <c r="F9743" i="2"/>
  <c r="G9743" i="2"/>
  <c r="H9743" i="2"/>
  <c r="J9743" i="2"/>
  <c r="K9743" i="2"/>
  <c r="L9743" i="2"/>
  <c r="C9744" i="2"/>
  <c r="D9744" i="2"/>
  <c r="F9744" i="2"/>
  <c r="G9744" i="2"/>
  <c r="H9744" i="2"/>
  <c r="J9744" i="2"/>
  <c r="K9744" i="2"/>
  <c r="L9744" i="2"/>
  <c r="C9745" i="2"/>
  <c r="D9745" i="2"/>
  <c r="F9745" i="2"/>
  <c r="G9745" i="2"/>
  <c r="H9745" i="2"/>
  <c r="J9745" i="2"/>
  <c r="K9745" i="2"/>
  <c r="L9745" i="2"/>
  <c r="C9746" i="2"/>
  <c r="D9746" i="2"/>
  <c r="F9746" i="2"/>
  <c r="G9746" i="2"/>
  <c r="H9746" i="2"/>
  <c r="J9746" i="2"/>
  <c r="K9746" i="2"/>
  <c r="L9746" i="2"/>
  <c r="C9747" i="2"/>
  <c r="D9747" i="2"/>
  <c r="F9747" i="2"/>
  <c r="G9747" i="2"/>
  <c r="H9747" i="2"/>
  <c r="J9747" i="2"/>
  <c r="K9747" i="2"/>
  <c r="L9747" i="2"/>
  <c r="C9748" i="2"/>
  <c r="D9748" i="2"/>
  <c r="F9748" i="2"/>
  <c r="G9748" i="2"/>
  <c r="H9748" i="2"/>
  <c r="J9748" i="2"/>
  <c r="K9748" i="2"/>
  <c r="L9748" i="2"/>
  <c r="C9749" i="2"/>
  <c r="D9749" i="2"/>
  <c r="F9749" i="2"/>
  <c r="G9749" i="2"/>
  <c r="H9749" i="2"/>
  <c r="J9749" i="2"/>
  <c r="K9749" i="2"/>
  <c r="L9749" i="2"/>
  <c r="C9750" i="2"/>
  <c r="D9750" i="2"/>
  <c r="F9750" i="2"/>
  <c r="G9750" i="2"/>
  <c r="H9750" i="2"/>
  <c r="J9750" i="2"/>
  <c r="K9750" i="2"/>
  <c r="L9750" i="2"/>
  <c r="C9751" i="2"/>
  <c r="D9751" i="2"/>
  <c r="F9751" i="2"/>
  <c r="G9751" i="2"/>
  <c r="H9751" i="2"/>
  <c r="J9751" i="2"/>
  <c r="K9751" i="2"/>
  <c r="L9751" i="2"/>
  <c r="C9752" i="2"/>
  <c r="D9752" i="2"/>
  <c r="F9752" i="2"/>
  <c r="G9752" i="2"/>
  <c r="H9752" i="2"/>
  <c r="J9752" i="2"/>
  <c r="K9752" i="2"/>
  <c r="L9752" i="2"/>
  <c r="C9753" i="2"/>
  <c r="D9753" i="2"/>
  <c r="F9753" i="2"/>
  <c r="G9753" i="2"/>
  <c r="H9753" i="2"/>
  <c r="J9753" i="2"/>
  <c r="K9753" i="2"/>
  <c r="L9753" i="2"/>
  <c r="C9754" i="2"/>
  <c r="D9754" i="2"/>
  <c r="F9754" i="2"/>
  <c r="G9754" i="2"/>
  <c r="H9754" i="2"/>
  <c r="J9754" i="2"/>
  <c r="K9754" i="2"/>
  <c r="L9754" i="2"/>
  <c r="C9755" i="2"/>
  <c r="D9755" i="2"/>
  <c r="F9755" i="2"/>
  <c r="G9755" i="2"/>
  <c r="H9755" i="2"/>
  <c r="J9755" i="2"/>
  <c r="K9755" i="2"/>
  <c r="L9755" i="2"/>
  <c r="C9756" i="2"/>
  <c r="D9756" i="2"/>
  <c r="F9756" i="2"/>
  <c r="G9756" i="2"/>
  <c r="H9756" i="2"/>
  <c r="J9756" i="2"/>
  <c r="K9756" i="2"/>
  <c r="L9756" i="2"/>
  <c r="C9757" i="2"/>
  <c r="D9757" i="2"/>
  <c r="F9757" i="2"/>
  <c r="G9757" i="2"/>
  <c r="H9757" i="2"/>
  <c r="J9757" i="2"/>
  <c r="K9757" i="2"/>
  <c r="L9757" i="2"/>
  <c r="C9758" i="2"/>
  <c r="D9758" i="2"/>
  <c r="F9758" i="2"/>
  <c r="G9758" i="2"/>
  <c r="H9758" i="2"/>
  <c r="J9758" i="2"/>
  <c r="K9758" i="2"/>
  <c r="L9758" i="2"/>
  <c r="C9759" i="2"/>
  <c r="D9759" i="2"/>
  <c r="F9759" i="2"/>
  <c r="G9759" i="2"/>
  <c r="H9759" i="2"/>
  <c r="J9759" i="2"/>
  <c r="K9759" i="2"/>
  <c r="L9759" i="2"/>
  <c r="C9760" i="2"/>
  <c r="D9760" i="2"/>
  <c r="F9760" i="2"/>
  <c r="G9760" i="2"/>
  <c r="H9760" i="2"/>
  <c r="J9760" i="2"/>
  <c r="K9760" i="2"/>
  <c r="L9760" i="2"/>
  <c r="C9761" i="2"/>
  <c r="D9761" i="2"/>
  <c r="F9761" i="2"/>
  <c r="G9761" i="2"/>
  <c r="H9761" i="2"/>
  <c r="J9761" i="2"/>
  <c r="K9761" i="2"/>
  <c r="L9761" i="2"/>
  <c r="C9762" i="2"/>
  <c r="D9762" i="2"/>
  <c r="F9762" i="2"/>
  <c r="G9762" i="2"/>
  <c r="H9762" i="2"/>
  <c r="J9762" i="2"/>
  <c r="K9762" i="2"/>
  <c r="L9762" i="2"/>
  <c r="C9763" i="2"/>
  <c r="D9763" i="2"/>
  <c r="F9763" i="2"/>
  <c r="G9763" i="2"/>
  <c r="H9763" i="2"/>
  <c r="J9763" i="2"/>
  <c r="K9763" i="2"/>
  <c r="L9763" i="2"/>
  <c r="C9764" i="2"/>
  <c r="D9764" i="2"/>
  <c r="F9764" i="2"/>
  <c r="G9764" i="2"/>
  <c r="H9764" i="2"/>
  <c r="J9764" i="2"/>
  <c r="K9764" i="2"/>
  <c r="L9764" i="2"/>
  <c r="C9765" i="2"/>
  <c r="D9765" i="2"/>
  <c r="F9765" i="2"/>
  <c r="G9765" i="2"/>
  <c r="H9765" i="2"/>
  <c r="J9765" i="2"/>
  <c r="K9765" i="2"/>
  <c r="L9765" i="2"/>
  <c r="C9766" i="2"/>
  <c r="D9766" i="2"/>
  <c r="F9766" i="2"/>
  <c r="G9766" i="2"/>
  <c r="H9766" i="2"/>
  <c r="J9766" i="2"/>
  <c r="K9766" i="2"/>
  <c r="L9766" i="2"/>
  <c r="C9767" i="2"/>
  <c r="D9767" i="2"/>
  <c r="F9767" i="2"/>
  <c r="G9767" i="2"/>
  <c r="H9767" i="2"/>
  <c r="J9767" i="2"/>
  <c r="K9767" i="2"/>
  <c r="L9767" i="2"/>
  <c r="C9768" i="2"/>
  <c r="D9768" i="2"/>
  <c r="F9768" i="2"/>
  <c r="G9768" i="2"/>
  <c r="H9768" i="2"/>
  <c r="J9768" i="2"/>
  <c r="K9768" i="2"/>
  <c r="L9768" i="2"/>
  <c r="C9769" i="2"/>
  <c r="D9769" i="2"/>
  <c r="F9769" i="2"/>
  <c r="G9769" i="2"/>
  <c r="H9769" i="2"/>
  <c r="J9769" i="2"/>
  <c r="K9769" i="2"/>
  <c r="L9769" i="2"/>
  <c r="C9770" i="2"/>
  <c r="D9770" i="2"/>
  <c r="F9770" i="2"/>
  <c r="G9770" i="2"/>
  <c r="H9770" i="2"/>
  <c r="J9770" i="2"/>
  <c r="K9770" i="2"/>
  <c r="L9770" i="2"/>
  <c r="C9771" i="2"/>
  <c r="D9771" i="2"/>
  <c r="F9771" i="2"/>
  <c r="G9771" i="2"/>
  <c r="H9771" i="2"/>
  <c r="J9771" i="2"/>
  <c r="K9771" i="2"/>
  <c r="L9771" i="2"/>
  <c r="C9772" i="2"/>
  <c r="D9772" i="2"/>
  <c r="F9772" i="2"/>
  <c r="G9772" i="2"/>
  <c r="H9772" i="2"/>
  <c r="J9772" i="2"/>
  <c r="K9772" i="2"/>
  <c r="L9772" i="2"/>
  <c r="C9773" i="2"/>
  <c r="D9773" i="2"/>
  <c r="F9773" i="2"/>
  <c r="G9773" i="2"/>
  <c r="H9773" i="2"/>
  <c r="J9773" i="2"/>
  <c r="K9773" i="2"/>
  <c r="L9773" i="2"/>
  <c r="C9774" i="2"/>
  <c r="D9774" i="2"/>
  <c r="F9774" i="2"/>
  <c r="G9774" i="2"/>
  <c r="H9774" i="2"/>
  <c r="J9774" i="2"/>
  <c r="K9774" i="2"/>
  <c r="L9774" i="2"/>
  <c r="C9775" i="2"/>
  <c r="D9775" i="2"/>
  <c r="F9775" i="2"/>
  <c r="G9775" i="2"/>
  <c r="H9775" i="2"/>
  <c r="J9775" i="2"/>
  <c r="K9775" i="2"/>
  <c r="L9775" i="2"/>
  <c r="C9776" i="2"/>
  <c r="D9776" i="2"/>
  <c r="F9776" i="2"/>
  <c r="G9776" i="2"/>
  <c r="H9776" i="2"/>
  <c r="J9776" i="2"/>
  <c r="K9776" i="2"/>
  <c r="L9776" i="2"/>
  <c r="C9777" i="2"/>
  <c r="D9777" i="2"/>
  <c r="F9777" i="2"/>
  <c r="G9777" i="2"/>
  <c r="H9777" i="2"/>
  <c r="J9777" i="2"/>
  <c r="K9777" i="2"/>
  <c r="L9777" i="2"/>
  <c r="C9778" i="2"/>
  <c r="D9778" i="2"/>
  <c r="F9778" i="2"/>
  <c r="G9778" i="2"/>
  <c r="H9778" i="2"/>
  <c r="J9778" i="2"/>
  <c r="K9778" i="2"/>
  <c r="L9778" i="2"/>
  <c r="C9779" i="2"/>
  <c r="D9779" i="2"/>
  <c r="F9779" i="2"/>
  <c r="G9779" i="2"/>
  <c r="H9779" i="2"/>
  <c r="J9779" i="2"/>
  <c r="K9779" i="2"/>
  <c r="L9779" i="2"/>
  <c r="C9780" i="2"/>
  <c r="D9780" i="2"/>
  <c r="F9780" i="2"/>
  <c r="G9780" i="2"/>
  <c r="H9780" i="2"/>
  <c r="J9780" i="2"/>
  <c r="K9780" i="2"/>
  <c r="L9780" i="2"/>
  <c r="C9781" i="2"/>
  <c r="D9781" i="2"/>
  <c r="F9781" i="2"/>
  <c r="G9781" i="2"/>
  <c r="H9781" i="2"/>
  <c r="J9781" i="2"/>
  <c r="K9781" i="2"/>
  <c r="L9781" i="2"/>
  <c r="C9782" i="2"/>
  <c r="D9782" i="2"/>
  <c r="F9782" i="2"/>
  <c r="G9782" i="2"/>
  <c r="H9782" i="2"/>
  <c r="J9782" i="2"/>
  <c r="K9782" i="2"/>
  <c r="L9782" i="2"/>
  <c r="C9783" i="2"/>
  <c r="D9783" i="2"/>
  <c r="F9783" i="2"/>
  <c r="G9783" i="2"/>
  <c r="H9783" i="2"/>
  <c r="J9783" i="2"/>
  <c r="K9783" i="2"/>
  <c r="L9783" i="2"/>
  <c r="C9784" i="2"/>
  <c r="D9784" i="2"/>
  <c r="F9784" i="2"/>
  <c r="G9784" i="2"/>
  <c r="H9784" i="2"/>
  <c r="J9784" i="2"/>
  <c r="K9784" i="2"/>
  <c r="L9784" i="2"/>
  <c r="C9785" i="2"/>
  <c r="D9785" i="2"/>
  <c r="F9785" i="2"/>
  <c r="G9785" i="2"/>
  <c r="H9785" i="2"/>
  <c r="J9785" i="2"/>
  <c r="K9785" i="2"/>
  <c r="L9785" i="2"/>
  <c r="C9786" i="2"/>
  <c r="D9786" i="2"/>
  <c r="F9786" i="2"/>
  <c r="G9786" i="2"/>
  <c r="H9786" i="2"/>
  <c r="J9786" i="2"/>
  <c r="K9786" i="2"/>
  <c r="L9786" i="2"/>
  <c r="C9787" i="2"/>
  <c r="D9787" i="2"/>
  <c r="F9787" i="2"/>
  <c r="G9787" i="2"/>
  <c r="H9787" i="2"/>
  <c r="J9787" i="2"/>
  <c r="K9787" i="2"/>
  <c r="L9787" i="2"/>
  <c r="C9788" i="2"/>
  <c r="D9788" i="2"/>
  <c r="F9788" i="2"/>
  <c r="G9788" i="2"/>
  <c r="H9788" i="2"/>
  <c r="J9788" i="2"/>
  <c r="K9788" i="2"/>
  <c r="L9788" i="2"/>
  <c r="C9789" i="2"/>
  <c r="D9789" i="2"/>
  <c r="F9789" i="2"/>
  <c r="G9789" i="2"/>
  <c r="H9789" i="2"/>
  <c r="J9789" i="2"/>
  <c r="K9789" i="2"/>
  <c r="L9789" i="2"/>
  <c r="C9790" i="2"/>
  <c r="D9790" i="2"/>
  <c r="F9790" i="2"/>
  <c r="G9790" i="2"/>
  <c r="H9790" i="2"/>
  <c r="J9790" i="2"/>
  <c r="K9790" i="2"/>
  <c r="L9790" i="2"/>
  <c r="C9791" i="2"/>
  <c r="D9791" i="2"/>
  <c r="F9791" i="2"/>
  <c r="G9791" i="2"/>
  <c r="H9791" i="2"/>
  <c r="J9791" i="2"/>
  <c r="K9791" i="2"/>
  <c r="L9791" i="2"/>
  <c r="C9792" i="2"/>
  <c r="D9792" i="2"/>
  <c r="F9792" i="2"/>
  <c r="G9792" i="2"/>
  <c r="H9792" i="2"/>
  <c r="J9792" i="2"/>
  <c r="K9792" i="2"/>
  <c r="L9792" i="2"/>
  <c r="C9793" i="2"/>
  <c r="D9793" i="2"/>
  <c r="F9793" i="2"/>
  <c r="G9793" i="2"/>
  <c r="H9793" i="2"/>
  <c r="J9793" i="2"/>
  <c r="K9793" i="2"/>
  <c r="L9793" i="2"/>
  <c r="C9794" i="2"/>
  <c r="D9794" i="2"/>
  <c r="F9794" i="2"/>
  <c r="G9794" i="2"/>
  <c r="H9794" i="2"/>
  <c r="J9794" i="2"/>
  <c r="K9794" i="2"/>
  <c r="L9794" i="2"/>
  <c r="C9795" i="2"/>
  <c r="D9795" i="2"/>
  <c r="F9795" i="2"/>
  <c r="G9795" i="2"/>
  <c r="H9795" i="2"/>
  <c r="J9795" i="2"/>
  <c r="K9795" i="2"/>
  <c r="L9795" i="2"/>
  <c r="C9796" i="2"/>
  <c r="D9796" i="2"/>
  <c r="F9796" i="2"/>
  <c r="G9796" i="2"/>
  <c r="H9796" i="2"/>
  <c r="J9796" i="2"/>
  <c r="K9796" i="2"/>
  <c r="L9796" i="2"/>
  <c r="C9797" i="2"/>
  <c r="D9797" i="2"/>
  <c r="F9797" i="2"/>
  <c r="G9797" i="2"/>
  <c r="H9797" i="2"/>
  <c r="J9797" i="2"/>
  <c r="K9797" i="2"/>
  <c r="L9797" i="2"/>
  <c r="C9798" i="2"/>
  <c r="D9798" i="2"/>
  <c r="F9798" i="2"/>
  <c r="G9798" i="2"/>
  <c r="H9798" i="2"/>
  <c r="J9798" i="2"/>
  <c r="K9798" i="2"/>
  <c r="L9798" i="2"/>
  <c r="C9799" i="2"/>
  <c r="D9799" i="2"/>
  <c r="F9799" i="2"/>
  <c r="G9799" i="2"/>
  <c r="H9799" i="2"/>
  <c r="J9799" i="2"/>
  <c r="K9799" i="2"/>
  <c r="L9799" i="2"/>
  <c r="C9800" i="2"/>
  <c r="D9800" i="2"/>
  <c r="F9800" i="2"/>
  <c r="G9800" i="2"/>
  <c r="H9800" i="2"/>
  <c r="J9800" i="2"/>
  <c r="K9800" i="2"/>
  <c r="L9800" i="2"/>
  <c r="C9801" i="2"/>
  <c r="D9801" i="2"/>
  <c r="F9801" i="2"/>
  <c r="G9801" i="2"/>
  <c r="H9801" i="2"/>
  <c r="J9801" i="2"/>
  <c r="K9801" i="2"/>
  <c r="L9801" i="2"/>
  <c r="C9802" i="2"/>
  <c r="D9802" i="2"/>
  <c r="F9802" i="2"/>
  <c r="G9802" i="2"/>
  <c r="H9802" i="2"/>
  <c r="J9802" i="2"/>
  <c r="K9802" i="2"/>
  <c r="L9802" i="2"/>
  <c r="C9803" i="2"/>
  <c r="D9803" i="2"/>
  <c r="F9803" i="2"/>
  <c r="G9803" i="2"/>
  <c r="H9803" i="2"/>
  <c r="J9803" i="2"/>
  <c r="K9803" i="2"/>
  <c r="L9803" i="2"/>
  <c r="C9804" i="2"/>
  <c r="D9804" i="2"/>
  <c r="F9804" i="2"/>
  <c r="G9804" i="2"/>
  <c r="H9804" i="2"/>
  <c r="J9804" i="2"/>
  <c r="K9804" i="2"/>
  <c r="L9804" i="2"/>
  <c r="C9805" i="2"/>
  <c r="D9805" i="2"/>
  <c r="E9805" i="2"/>
  <c r="F9805" i="2"/>
  <c r="G9805" i="2"/>
  <c r="H9805" i="2"/>
  <c r="J9805" i="2"/>
  <c r="K9805" i="2"/>
  <c r="L9805" i="2"/>
  <c r="C9806" i="2"/>
  <c r="D9806" i="2"/>
  <c r="F9806" i="2"/>
  <c r="G9806" i="2"/>
  <c r="H9806" i="2"/>
  <c r="J9806" i="2"/>
  <c r="K9806" i="2"/>
  <c r="L9806" i="2"/>
  <c r="C9807" i="2"/>
  <c r="D9807" i="2"/>
  <c r="F9807" i="2"/>
  <c r="G9807" i="2"/>
  <c r="H9807" i="2"/>
  <c r="J9807" i="2"/>
  <c r="K9807" i="2"/>
  <c r="L9807" i="2"/>
  <c r="C9808" i="2"/>
  <c r="D9808" i="2"/>
  <c r="F9808" i="2"/>
  <c r="G9808" i="2"/>
  <c r="H9808" i="2"/>
  <c r="J9808" i="2"/>
  <c r="K9808" i="2"/>
  <c r="L9808" i="2"/>
  <c r="C9809" i="2"/>
  <c r="D9809" i="2"/>
  <c r="F9809" i="2"/>
  <c r="G9809" i="2"/>
  <c r="H9809" i="2"/>
  <c r="J9809" i="2"/>
  <c r="K9809" i="2"/>
  <c r="L9809" i="2"/>
  <c r="C9810" i="2"/>
  <c r="D9810" i="2"/>
  <c r="F9810" i="2"/>
  <c r="G9810" i="2"/>
  <c r="H9810" i="2"/>
  <c r="J9810" i="2"/>
  <c r="K9810" i="2"/>
  <c r="L9810" i="2"/>
  <c r="C9811" i="2"/>
  <c r="D9811" i="2"/>
  <c r="F9811" i="2"/>
  <c r="G9811" i="2"/>
  <c r="H9811" i="2"/>
  <c r="J9811" i="2"/>
  <c r="K9811" i="2"/>
  <c r="L9811" i="2"/>
  <c r="C9812" i="2"/>
  <c r="D9812" i="2"/>
  <c r="F9812" i="2"/>
  <c r="G9812" i="2"/>
  <c r="H9812" i="2"/>
  <c r="J9812" i="2"/>
  <c r="K9812" i="2"/>
  <c r="L9812" i="2"/>
  <c r="C9813" i="2"/>
  <c r="D9813" i="2"/>
  <c r="F9813" i="2"/>
  <c r="G9813" i="2"/>
  <c r="H9813" i="2"/>
  <c r="J9813" i="2"/>
  <c r="K9813" i="2"/>
  <c r="L9813" i="2"/>
  <c r="C9814" i="2"/>
  <c r="D9814" i="2"/>
  <c r="F9814" i="2"/>
  <c r="G9814" i="2"/>
  <c r="H9814" i="2"/>
  <c r="J9814" i="2"/>
  <c r="K9814" i="2"/>
  <c r="L9814" i="2"/>
  <c r="C9815" i="2"/>
  <c r="D9815" i="2"/>
  <c r="F9815" i="2"/>
  <c r="G9815" i="2"/>
  <c r="H9815" i="2"/>
  <c r="J9815" i="2"/>
  <c r="K9815" i="2"/>
  <c r="L9815" i="2"/>
  <c r="C9816" i="2"/>
  <c r="D9816" i="2"/>
  <c r="F9816" i="2"/>
  <c r="G9816" i="2"/>
  <c r="H9816" i="2"/>
  <c r="J9816" i="2"/>
  <c r="K9816" i="2"/>
  <c r="L9816" i="2"/>
  <c r="C9817" i="2"/>
  <c r="D9817" i="2"/>
  <c r="F9817" i="2"/>
  <c r="G9817" i="2"/>
  <c r="H9817" i="2"/>
  <c r="J9817" i="2"/>
  <c r="K9817" i="2"/>
  <c r="L9817" i="2"/>
  <c r="C9818" i="2"/>
  <c r="D9818" i="2"/>
  <c r="F9818" i="2"/>
  <c r="G9818" i="2"/>
  <c r="H9818" i="2"/>
  <c r="J9818" i="2"/>
  <c r="K9818" i="2"/>
  <c r="L9818" i="2"/>
  <c r="C9819" i="2"/>
  <c r="D9819" i="2"/>
  <c r="F9819" i="2"/>
  <c r="G9819" i="2"/>
  <c r="H9819" i="2"/>
  <c r="J9819" i="2"/>
  <c r="K9819" i="2"/>
  <c r="L9819" i="2"/>
  <c r="C9820" i="2"/>
  <c r="D9820" i="2"/>
  <c r="F9820" i="2"/>
  <c r="G9820" i="2"/>
  <c r="H9820" i="2"/>
  <c r="J9820" i="2"/>
  <c r="K9820" i="2"/>
  <c r="L9820" i="2"/>
  <c r="C9821" i="2"/>
  <c r="D9821" i="2"/>
  <c r="F9821" i="2"/>
  <c r="G9821" i="2"/>
  <c r="H9821" i="2"/>
  <c r="J9821" i="2"/>
  <c r="K9821" i="2"/>
  <c r="L9821" i="2"/>
  <c r="C9822" i="2"/>
  <c r="D9822" i="2"/>
  <c r="F9822" i="2"/>
  <c r="G9822" i="2"/>
  <c r="H9822" i="2"/>
  <c r="J9822" i="2"/>
  <c r="K9822" i="2"/>
  <c r="L9822" i="2"/>
  <c r="C9823" i="2"/>
  <c r="D9823" i="2"/>
  <c r="F9823" i="2"/>
  <c r="G9823" i="2"/>
  <c r="H9823" i="2"/>
  <c r="J9823" i="2"/>
  <c r="K9823" i="2"/>
  <c r="L9823" i="2"/>
  <c r="C9824" i="2"/>
  <c r="D9824" i="2"/>
  <c r="F9824" i="2"/>
  <c r="G9824" i="2"/>
  <c r="H9824" i="2"/>
  <c r="J9824" i="2"/>
  <c r="K9824" i="2"/>
  <c r="L9824" i="2"/>
  <c r="C9825" i="2"/>
  <c r="D9825" i="2"/>
  <c r="F9825" i="2"/>
  <c r="G9825" i="2"/>
  <c r="H9825" i="2"/>
  <c r="J9825" i="2"/>
  <c r="K9825" i="2"/>
  <c r="L9825" i="2"/>
  <c r="C9826" i="2"/>
  <c r="D9826" i="2"/>
  <c r="F9826" i="2"/>
  <c r="G9826" i="2"/>
  <c r="H9826" i="2"/>
  <c r="J9826" i="2"/>
  <c r="K9826" i="2"/>
  <c r="L9826" i="2"/>
  <c r="C9827" i="2"/>
  <c r="D9827" i="2"/>
  <c r="F9827" i="2"/>
  <c r="G9827" i="2"/>
  <c r="H9827" i="2"/>
  <c r="J9827" i="2"/>
  <c r="K9827" i="2"/>
  <c r="L9827" i="2"/>
  <c r="C9828" i="2"/>
  <c r="D9828" i="2"/>
  <c r="F9828" i="2"/>
  <c r="G9828" i="2"/>
  <c r="H9828" i="2"/>
  <c r="J9828" i="2"/>
  <c r="K9828" i="2"/>
  <c r="L9828" i="2"/>
  <c r="C9829" i="2"/>
  <c r="D9829" i="2"/>
  <c r="F9829" i="2"/>
  <c r="G9829" i="2"/>
  <c r="H9829" i="2"/>
  <c r="J9829" i="2"/>
  <c r="K9829" i="2"/>
  <c r="L9829" i="2"/>
  <c r="C9830" i="2"/>
  <c r="D9830" i="2"/>
  <c r="F9830" i="2"/>
  <c r="G9830" i="2"/>
  <c r="H9830" i="2"/>
  <c r="J9830" i="2"/>
  <c r="K9830" i="2"/>
  <c r="L9830" i="2"/>
  <c r="C9831" i="2"/>
  <c r="D9831" i="2"/>
  <c r="F9831" i="2"/>
  <c r="G9831" i="2"/>
  <c r="H9831" i="2"/>
  <c r="J9831" i="2"/>
  <c r="K9831" i="2"/>
  <c r="L9831" i="2"/>
  <c r="C9832" i="2"/>
  <c r="D9832" i="2"/>
  <c r="F9832" i="2"/>
  <c r="G9832" i="2"/>
  <c r="H9832" i="2"/>
  <c r="J9832" i="2"/>
  <c r="K9832" i="2"/>
  <c r="L9832" i="2"/>
  <c r="C9833" i="2"/>
  <c r="D9833" i="2"/>
  <c r="F9833" i="2"/>
  <c r="G9833" i="2"/>
  <c r="H9833" i="2"/>
  <c r="J9833" i="2"/>
  <c r="K9833" i="2"/>
  <c r="L9833" i="2"/>
  <c r="C9834" i="2"/>
  <c r="D9834" i="2"/>
  <c r="F9834" i="2"/>
  <c r="G9834" i="2"/>
  <c r="H9834" i="2"/>
  <c r="J9834" i="2"/>
  <c r="K9834" i="2"/>
  <c r="L9834" i="2"/>
  <c r="C9835" i="2"/>
  <c r="D9835" i="2"/>
  <c r="F9835" i="2"/>
  <c r="G9835" i="2"/>
  <c r="H9835" i="2"/>
  <c r="J9835" i="2"/>
  <c r="K9835" i="2"/>
  <c r="L9835" i="2"/>
  <c r="C9836" i="2"/>
  <c r="D9836" i="2"/>
  <c r="F9836" i="2"/>
  <c r="G9836" i="2"/>
  <c r="H9836" i="2"/>
  <c r="J9836" i="2"/>
  <c r="K9836" i="2"/>
  <c r="L9836" i="2"/>
  <c r="C9837" i="2"/>
  <c r="D9837" i="2"/>
  <c r="F9837" i="2"/>
  <c r="G9837" i="2"/>
  <c r="H9837" i="2"/>
  <c r="J9837" i="2"/>
  <c r="K9837" i="2"/>
  <c r="L9837" i="2"/>
  <c r="C9838" i="2"/>
  <c r="D9838" i="2"/>
  <c r="F9838" i="2"/>
  <c r="G9838" i="2"/>
  <c r="H9838" i="2"/>
  <c r="J9838" i="2"/>
  <c r="K9838" i="2"/>
  <c r="L9838" i="2"/>
  <c r="C9839" i="2"/>
  <c r="D9839" i="2"/>
  <c r="F9839" i="2"/>
  <c r="G9839" i="2"/>
  <c r="H9839" i="2"/>
  <c r="J9839" i="2"/>
  <c r="K9839" i="2"/>
  <c r="L9839" i="2"/>
  <c r="C9840" i="2"/>
  <c r="D9840" i="2"/>
  <c r="F9840" i="2"/>
  <c r="G9840" i="2"/>
  <c r="H9840" i="2"/>
  <c r="J9840" i="2"/>
  <c r="K9840" i="2"/>
  <c r="L9840" i="2"/>
  <c r="C9841" i="2"/>
  <c r="D9841" i="2"/>
  <c r="F9841" i="2"/>
  <c r="G9841" i="2"/>
  <c r="H9841" i="2"/>
  <c r="J9841" i="2"/>
  <c r="K9841" i="2"/>
  <c r="L9841" i="2"/>
  <c r="C9842" i="2"/>
  <c r="D9842" i="2"/>
  <c r="F9842" i="2"/>
  <c r="G9842" i="2"/>
  <c r="H9842" i="2"/>
  <c r="J9842" i="2"/>
  <c r="K9842" i="2"/>
  <c r="L9842" i="2"/>
  <c r="C9843" i="2"/>
  <c r="D9843" i="2"/>
  <c r="F9843" i="2"/>
  <c r="G9843" i="2"/>
  <c r="H9843" i="2"/>
  <c r="J9843" i="2"/>
  <c r="K9843" i="2"/>
  <c r="L9843" i="2"/>
  <c r="C9844" i="2"/>
  <c r="D9844" i="2"/>
  <c r="F9844" i="2"/>
  <c r="G9844" i="2"/>
  <c r="H9844" i="2"/>
  <c r="J9844" i="2"/>
  <c r="K9844" i="2"/>
  <c r="L9844" i="2"/>
  <c r="C9845" i="2"/>
  <c r="D9845" i="2"/>
  <c r="F9845" i="2"/>
  <c r="G9845" i="2"/>
  <c r="H9845" i="2"/>
  <c r="J9845" i="2"/>
  <c r="K9845" i="2"/>
  <c r="L9845" i="2"/>
  <c r="C9846" i="2"/>
  <c r="D9846" i="2"/>
  <c r="F9846" i="2"/>
  <c r="G9846" i="2"/>
  <c r="H9846" i="2"/>
  <c r="J9846" i="2"/>
  <c r="K9846" i="2"/>
  <c r="L9846" i="2"/>
  <c r="C9847" i="2"/>
  <c r="D9847" i="2"/>
  <c r="F9847" i="2"/>
  <c r="G9847" i="2"/>
  <c r="H9847" i="2"/>
  <c r="J9847" i="2"/>
  <c r="K9847" i="2"/>
  <c r="L9847" i="2"/>
  <c r="C9848" i="2"/>
  <c r="D9848" i="2"/>
  <c r="F9848" i="2"/>
  <c r="G9848" i="2"/>
  <c r="H9848" i="2"/>
  <c r="J9848" i="2"/>
  <c r="K9848" i="2"/>
  <c r="L9848" i="2"/>
  <c r="C9849" i="2"/>
  <c r="D9849" i="2"/>
  <c r="F9849" i="2"/>
  <c r="G9849" i="2"/>
  <c r="H9849" i="2"/>
  <c r="J9849" i="2"/>
  <c r="K9849" i="2"/>
  <c r="L9849" i="2"/>
  <c r="C9850" i="2"/>
  <c r="D9850" i="2"/>
  <c r="F9850" i="2"/>
  <c r="G9850" i="2"/>
  <c r="H9850" i="2"/>
  <c r="J9850" i="2"/>
  <c r="K9850" i="2"/>
  <c r="L9850" i="2"/>
  <c r="C9851" i="2"/>
  <c r="D9851" i="2"/>
  <c r="F9851" i="2"/>
  <c r="G9851" i="2"/>
  <c r="H9851" i="2"/>
  <c r="J9851" i="2"/>
  <c r="K9851" i="2"/>
  <c r="L9851" i="2"/>
  <c r="C9852" i="2"/>
  <c r="D9852" i="2"/>
  <c r="F9852" i="2"/>
  <c r="G9852" i="2"/>
  <c r="H9852" i="2"/>
  <c r="J9852" i="2"/>
  <c r="K9852" i="2"/>
  <c r="L9852" i="2"/>
  <c r="C9853" i="2"/>
  <c r="D9853" i="2"/>
  <c r="F9853" i="2"/>
  <c r="G9853" i="2"/>
  <c r="H9853" i="2"/>
  <c r="J9853" i="2"/>
  <c r="K9853" i="2"/>
  <c r="L9853" i="2"/>
  <c r="C9854" i="2"/>
  <c r="D9854" i="2"/>
  <c r="F9854" i="2"/>
  <c r="G9854" i="2"/>
  <c r="H9854" i="2"/>
  <c r="J9854" i="2"/>
  <c r="K9854" i="2"/>
  <c r="L9854" i="2"/>
  <c r="C9855" i="2"/>
  <c r="D9855" i="2"/>
  <c r="F9855" i="2"/>
  <c r="G9855" i="2"/>
  <c r="H9855" i="2"/>
  <c r="J9855" i="2"/>
  <c r="K9855" i="2"/>
  <c r="L9855" i="2"/>
  <c r="C9856" i="2"/>
  <c r="D9856" i="2"/>
  <c r="F9856" i="2"/>
  <c r="G9856" i="2"/>
  <c r="H9856" i="2"/>
  <c r="J9856" i="2"/>
  <c r="K9856" i="2"/>
  <c r="L9856" i="2"/>
  <c r="C9857" i="2"/>
  <c r="D9857" i="2"/>
  <c r="F9857" i="2"/>
  <c r="G9857" i="2"/>
  <c r="H9857" i="2"/>
  <c r="J9857" i="2"/>
  <c r="K9857" i="2"/>
  <c r="L9857" i="2"/>
  <c r="C9858" i="2"/>
  <c r="D9858" i="2"/>
  <c r="F9858" i="2"/>
  <c r="G9858" i="2"/>
  <c r="H9858" i="2"/>
  <c r="J9858" i="2"/>
  <c r="K9858" i="2"/>
  <c r="L9858" i="2"/>
  <c r="C9859" i="2"/>
  <c r="D9859" i="2"/>
  <c r="F9859" i="2"/>
  <c r="G9859" i="2"/>
  <c r="H9859" i="2"/>
  <c r="J9859" i="2"/>
  <c r="K9859" i="2"/>
  <c r="L9859" i="2"/>
  <c r="C9860" i="2"/>
  <c r="D9860" i="2"/>
  <c r="F9860" i="2"/>
  <c r="G9860" i="2"/>
  <c r="H9860" i="2"/>
  <c r="J9860" i="2"/>
  <c r="K9860" i="2"/>
  <c r="L9860" i="2"/>
  <c r="C9861" i="2"/>
  <c r="D9861" i="2"/>
  <c r="F9861" i="2"/>
  <c r="G9861" i="2"/>
  <c r="H9861" i="2"/>
  <c r="J9861" i="2"/>
  <c r="K9861" i="2"/>
  <c r="L9861" i="2"/>
  <c r="C9862" i="2"/>
  <c r="D9862" i="2"/>
  <c r="F9862" i="2"/>
  <c r="G9862" i="2"/>
  <c r="H9862" i="2"/>
  <c r="J9862" i="2"/>
  <c r="K9862" i="2"/>
  <c r="L9862" i="2"/>
  <c r="C9863" i="2"/>
  <c r="D9863" i="2"/>
  <c r="F9863" i="2"/>
  <c r="G9863" i="2"/>
  <c r="H9863" i="2"/>
  <c r="J9863" i="2"/>
  <c r="K9863" i="2"/>
  <c r="L9863" i="2"/>
  <c r="C9864" i="2"/>
  <c r="D9864" i="2"/>
  <c r="F9864" i="2"/>
  <c r="G9864" i="2"/>
  <c r="H9864" i="2"/>
  <c r="J9864" i="2"/>
  <c r="K9864" i="2"/>
  <c r="L9864" i="2"/>
  <c r="C9865" i="2"/>
  <c r="D9865" i="2"/>
  <c r="F9865" i="2"/>
  <c r="G9865" i="2"/>
  <c r="H9865" i="2"/>
  <c r="J9865" i="2"/>
  <c r="K9865" i="2"/>
  <c r="L9865" i="2"/>
  <c r="C9866" i="2"/>
  <c r="D9866" i="2"/>
  <c r="F9866" i="2"/>
  <c r="G9866" i="2"/>
  <c r="H9866" i="2"/>
  <c r="J9866" i="2"/>
  <c r="K9866" i="2"/>
  <c r="L9866" i="2"/>
  <c r="C9867" i="2"/>
  <c r="D9867" i="2"/>
  <c r="F9867" i="2"/>
  <c r="G9867" i="2"/>
  <c r="H9867" i="2"/>
  <c r="J9867" i="2"/>
  <c r="K9867" i="2"/>
  <c r="L9867" i="2"/>
  <c r="C9868" i="2"/>
  <c r="D9868" i="2"/>
  <c r="F9868" i="2"/>
  <c r="G9868" i="2"/>
  <c r="H9868" i="2"/>
  <c r="J9868" i="2"/>
  <c r="K9868" i="2"/>
  <c r="L9868" i="2"/>
  <c r="C9869" i="2"/>
  <c r="D9869" i="2"/>
  <c r="F9869" i="2"/>
  <c r="G9869" i="2"/>
  <c r="H9869" i="2"/>
  <c r="J9869" i="2"/>
  <c r="K9869" i="2"/>
  <c r="L9869" i="2"/>
  <c r="C9870" i="2"/>
  <c r="D9870" i="2"/>
  <c r="F9870" i="2"/>
  <c r="G9870" i="2"/>
  <c r="H9870" i="2"/>
  <c r="J9870" i="2"/>
  <c r="K9870" i="2"/>
  <c r="L9870" i="2"/>
  <c r="C9871" i="2"/>
  <c r="D9871" i="2"/>
  <c r="F9871" i="2"/>
  <c r="G9871" i="2"/>
  <c r="H9871" i="2"/>
  <c r="J9871" i="2"/>
  <c r="K9871" i="2"/>
  <c r="L9871" i="2"/>
  <c r="C9872" i="2"/>
  <c r="D9872" i="2"/>
  <c r="F9872" i="2"/>
  <c r="G9872" i="2"/>
  <c r="H9872" i="2"/>
  <c r="J9872" i="2"/>
  <c r="K9872" i="2"/>
  <c r="L9872" i="2"/>
  <c r="C9873" i="2"/>
  <c r="D9873" i="2"/>
  <c r="F9873" i="2"/>
  <c r="G9873" i="2"/>
  <c r="H9873" i="2"/>
  <c r="J9873" i="2"/>
  <c r="K9873" i="2"/>
  <c r="L9873" i="2"/>
  <c r="C9874" i="2"/>
  <c r="D9874" i="2"/>
  <c r="F9874" i="2"/>
  <c r="G9874" i="2"/>
  <c r="H9874" i="2"/>
  <c r="J9874" i="2"/>
  <c r="K9874" i="2"/>
  <c r="L9874" i="2"/>
  <c r="C9875" i="2"/>
  <c r="D9875" i="2"/>
  <c r="F9875" i="2"/>
  <c r="G9875" i="2"/>
  <c r="H9875" i="2"/>
  <c r="J9875" i="2"/>
  <c r="K9875" i="2"/>
  <c r="L9875" i="2"/>
  <c r="C9876" i="2"/>
  <c r="D9876" i="2"/>
  <c r="F9876" i="2"/>
  <c r="G9876" i="2"/>
  <c r="H9876" i="2"/>
  <c r="J9876" i="2"/>
  <c r="K9876" i="2"/>
  <c r="L9876" i="2"/>
  <c r="C9877" i="2"/>
  <c r="D9877" i="2"/>
  <c r="F9877" i="2"/>
  <c r="G9877" i="2"/>
  <c r="H9877" i="2"/>
  <c r="J9877" i="2"/>
  <c r="K9877" i="2"/>
  <c r="L9877" i="2"/>
  <c r="C9878" i="2"/>
  <c r="D9878" i="2"/>
  <c r="F9878" i="2"/>
  <c r="G9878" i="2"/>
  <c r="H9878" i="2"/>
  <c r="J9878" i="2"/>
  <c r="K9878" i="2"/>
  <c r="L9878" i="2"/>
  <c r="C9879" i="2"/>
  <c r="D9879" i="2"/>
  <c r="F9879" i="2"/>
  <c r="G9879" i="2"/>
  <c r="H9879" i="2"/>
  <c r="J9879" i="2"/>
  <c r="K9879" i="2"/>
  <c r="L9879" i="2"/>
  <c r="C9880" i="2"/>
  <c r="D9880" i="2"/>
  <c r="F9880" i="2"/>
  <c r="G9880" i="2"/>
  <c r="H9880" i="2"/>
  <c r="J9880" i="2"/>
  <c r="K9880" i="2"/>
  <c r="L9880" i="2"/>
  <c r="C9881" i="2"/>
  <c r="D9881" i="2"/>
  <c r="F9881" i="2"/>
  <c r="G9881" i="2"/>
  <c r="H9881" i="2"/>
  <c r="J9881" i="2"/>
  <c r="K9881" i="2"/>
  <c r="L9881" i="2"/>
  <c r="C9882" i="2"/>
  <c r="D9882" i="2"/>
  <c r="F9882" i="2"/>
  <c r="G9882" i="2"/>
  <c r="H9882" i="2"/>
  <c r="J9882" i="2"/>
  <c r="K9882" i="2"/>
  <c r="L9882" i="2"/>
  <c r="C9883" i="2"/>
  <c r="D9883" i="2"/>
  <c r="F9883" i="2"/>
  <c r="G9883" i="2"/>
  <c r="H9883" i="2"/>
  <c r="J9883" i="2"/>
  <c r="K9883" i="2"/>
  <c r="L9883" i="2"/>
  <c r="C9884" i="2"/>
  <c r="D9884" i="2"/>
  <c r="F9884" i="2"/>
  <c r="G9884" i="2"/>
  <c r="H9884" i="2"/>
  <c r="J9884" i="2"/>
  <c r="K9884" i="2"/>
  <c r="L9884" i="2"/>
  <c r="C9885" i="2"/>
  <c r="D9885" i="2"/>
  <c r="F9885" i="2"/>
  <c r="G9885" i="2"/>
  <c r="H9885" i="2"/>
  <c r="J9885" i="2"/>
  <c r="K9885" i="2"/>
  <c r="L9885" i="2"/>
  <c r="C9886" i="2"/>
  <c r="D9886" i="2"/>
  <c r="F9886" i="2"/>
  <c r="G9886" i="2"/>
  <c r="H9886" i="2"/>
  <c r="J9886" i="2"/>
  <c r="K9886" i="2"/>
  <c r="L9886" i="2"/>
  <c r="C9887" i="2"/>
  <c r="D9887" i="2"/>
  <c r="F9887" i="2"/>
  <c r="G9887" i="2"/>
  <c r="H9887" i="2"/>
  <c r="J9887" i="2"/>
  <c r="K9887" i="2"/>
  <c r="L9887" i="2"/>
  <c r="C9888" i="2"/>
  <c r="D9888" i="2"/>
  <c r="F9888" i="2"/>
  <c r="G9888" i="2"/>
  <c r="H9888" i="2"/>
  <c r="J9888" i="2"/>
  <c r="K9888" i="2"/>
  <c r="L9888" i="2"/>
  <c r="C9889" i="2"/>
  <c r="D9889" i="2"/>
  <c r="F9889" i="2"/>
  <c r="G9889" i="2"/>
  <c r="H9889" i="2"/>
  <c r="J9889" i="2"/>
  <c r="K9889" i="2"/>
  <c r="L9889" i="2"/>
  <c r="C9890" i="2"/>
  <c r="D9890" i="2"/>
  <c r="F9890" i="2"/>
  <c r="G9890" i="2"/>
  <c r="H9890" i="2"/>
  <c r="J9890" i="2"/>
  <c r="K9890" i="2"/>
  <c r="L9890" i="2"/>
  <c r="C9891" i="2"/>
  <c r="D9891" i="2"/>
  <c r="F9891" i="2"/>
  <c r="G9891" i="2"/>
  <c r="H9891" i="2"/>
  <c r="J9891" i="2"/>
  <c r="K9891" i="2"/>
  <c r="L9891" i="2"/>
  <c r="C9892" i="2"/>
  <c r="D9892" i="2"/>
  <c r="F9892" i="2"/>
  <c r="G9892" i="2"/>
  <c r="H9892" i="2"/>
  <c r="J9892" i="2"/>
  <c r="K9892" i="2"/>
  <c r="L9892" i="2"/>
  <c r="C9893" i="2"/>
  <c r="D9893" i="2"/>
  <c r="F9893" i="2"/>
  <c r="G9893" i="2"/>
  <c r="H9893" i="2"/>
  <c r="J9893" i="2"/>
  <c r="K9893" i="2"/>
  <c r="L9893" i="2"/>
  <c r="C9894" i="2"/>
  <c r="D9894" i="2"/>
  <c r="F9894" i="2"/>
  <c r="G9894" i="2"/>
  <c r="H9894" i="2"/>
  <c r="J9894" i="2"/>
  <c r="K9894" i="2"/>
  <c r="L9894" i="2"/>
  <c r="C9895" i="2"/>
  <c r="D9895" i="2"/>
  <c r="F9895" i="2"/>
  <c r="G9895" i="2"/>
  <c r="H9895" i="2"/>
  <c r="J9895" i="2"/>
  <c r="K9895" i="2"/>
  <c r="L9895" i="2"/>
  <c r="C9896" i="2"/>
  <c r="D9896" i="2"/>
  <c r="F9896" i="2"/>
  <c r="G9896" i="2"/>
  <c r="H9896" i="2"/>
  <c r="J9896" i="2"/>
  <c r="K9896" i="2"/>
  <c r="L9896" i="2"/>
  <c r="C9897" i="2"/>
  <c r="D9897" i="2"/>
  <c r="F9897" i="2"/>
  <c r="G9897" i="2"/>
  <c r="H9897" i="2"/>
  <c r="J9897" i="2"/>
  <c r="K9897" i="2"/>
  <c r="L9897" i="2"/>
  <c r="C9898" i="2"/>
  <c r="D9898" i="2"/>
  <c r="F9898" i="2"/>
  <c r="G9898" i="2"/>
  <c r="H9898" i="2"/>
  <c r="J9898" i="2"/>
  <c r="K9898" i="2"/>
  <c r="L9898" i="2"/>
  <c r="C9899" i="2"/>
  <c r="D9899" i="2"/>
  <c r="F9899" i="2"/>
  <c r="G9899" i="2"/>
  <c r="H9899" i="2"/>
  <c r="J9899" i="2"/>
  <c r="K9899" i="2"/>
  <c r="L9899" i="2"/>
  <c r="C9900" i="2"/>
  <c r="D9900" i="2"/>
  <c r="F9900" i="2"/>
  <c r="G9900" i="2"/>
  <c r="H9900" i="2"/>
  <c r="J9900" i="2"/>
  <c r="K9900" i="2"/>
  <c r="L9900" i="2"/>
  <c r="C9901" i="2"/>
  <c r="D9901" i="2"/>
  <c r="F9901" i="2"/>
  <c r="G9901" i="2"/>
  <c r="H9901" i="2"/>
  <c r="J9901" i="2"/>
  <c r="K9901" i="2"/>
  <c r="L9901" i="2"/>
  <c r="C9902" i="2"/>
  <c r="D9902" i="2"/>
  <c r="F9902" i="2"/>
  <c r="G9902" i="2"/>
  <c r="H9902" i="2"/>
  <c r="J9902" i="2"/>
  <c r="K9902" i="2"/>
  <c r="L9902" i="2"/>
  <c r="C9903" i="2"/>
  <c r="D9903" i="2"/>
  <c r="F9903" i="2"/>
  <c r="G9903" i="2"/>
  <c r="H9903" i="2"/>
  <c r="J9903" i="2"/>
  <c r="K9903" i="2"/>
  <c r="L9903" i="2"/>
  <c r="C9904" i="2"/>
  <c r="D9904" i="2"/>
  <c r="F9904" i="2"/>
  <c r="G9904" i="2"/>
  <c r="H9904" i="2"/>
  <c r="J9904" i="2"/>
  <c r="K9904" i="2"/>
  <c r="L9904" i="2"/>
  <c r="C9905" i="2"/>
  <c r="D9905" i="2"/>
  <c r="F9905" i="2"/>
  <c r="G9905" i="2"/>
  <c r="H9905" i="2"/>
  <c r="J9905" i="2"/>
  <c r="K9905" i="2"/>
  <c r="L9905" i="2"/>
  <c r="C9906" i="2"/>
  <c r="D9906" i="2"/>
  <c r="F9906" i="2"/>
  <c r="G9906" i="2"/>
  <c r="H9906" i="2"/>
  <c r="J9906" i="2"/>
  <c r="K9906" i="2"/>
  <c r="L9906" i="2"/>
  <c r="C9907" i="2"/>
  <c r="D9907" i="2"/>
  <c r="F9907" i="2"/>
  <c r="G9907" i="2"/>
  <c r="H9907" i="2"/>
  <c r="J9907" i="2"/>
  <c r="K9907" i="2"/>
  <c r="L9907" i="2"/>
  <c r="C9908" i="2"/>
  <c r="D9908" i="2"/>
  <c r="F9908" i="2"/>
  <c r="G9908" i="2"/>
  <c r="H9908" i="2"/>
  <c r="J9908" i="2"/>
  <c r="K9908" i="2"/>
  <c r="L9908" i="2"/>
  <c r="C9909" i="2"/>
  <c r="D9909" i="2"/>
  <c r="F9909" i="2"/>
  <c r="G9909" i="2"/>
  <c r="H9909" i="2"/>
  <c r="J9909" i="2"/>
  <c r="K9909" i="2"/>
  <c r="L9909" i="2"/>
  <c r="C9910" i="2"/>
  <c r="D9910" i="2"/>
  <c r="F9910" i="2"/>
  <c r="G9910" i="2"/>
  <c r="H9910" i="2"/>
  <c r="J9910" i="2"/>
  <c r="K9910" i="2"/>
  <c r="L9910" i="2"/>
  <c r="C9911" i="2"/>
  <c r="D9911" i="2"/>
  <c r="F9911" i="2"/>
  <c r="G9911" i="2"/>
  <c r="H9911" i="2"/>
  <c r="J9911" i="2"/>
  <c r="K9911" i="2"/>
  <c r="L9911" i="2"/>
  <c r="C9912" i="2"/>
  <c r="D9912" i="2"/>
  <c r="F9912" i="2"/>
  <c r="G9912" i="2"/>
  <c r="H9912" i="2"/>
  <c r="J9912" i="2"/>
  <c r="K9912" i="2"/>
  <c r="L9912" i="2"/>
  <c r="C9913" i="2"/>
  <c r="D9913" i="2"/>
  <c r="F9913" i="2"/>
  <c r="G9913" i="2"/>
  <c r="H9913" i="2"/>
  <c r="J9913" i="2"/>
  <c r="K9913" i="2"/>
  <c r="L9913" i="2"/>
  <c r="C9914" i="2"/>
  <c r="D9914" i="2"/>
  <c r="F9914" i="2"/>
  <c r="G9914" i="2"/>
  <c r="H9914" i="2"/>
  <c r="J9914" i="2"/>
  <c r="K9914" i="2"/>
  <c r="L9914" i="2"/>
  <c r="C9915" i="2"/>
  <c r="D9915" i="2"/>
  <c r="F9915" i="2"/>
  <c r="G9915" i="2"/>
  <c r="H9915" i="2"/>
  <c r="J9915" i="2"/>
  <c r="K9915" i="2"/>
  <c r="L9915" i="2"/>
  <c r="C9916" i="2"/>
  <c r="D9916" i="2"/>
  <c r="F9916" i="2"/>
  <c r="G9916" i="2"/>
  <c r="H9916" i="2"/>
  <c r="J9916" i="2"/>
  <c r="K9916" i="2"/>
  <c r="L9916" i="2"/>
  <c r="C9917" i="2"/>
  <c r="D9917" i="2"/>
  <c r="F9917" i="2"/>
  <c r="G9917" i="2"/>
  <c r="H9917" i="2"/>
  <c r="J9917" i="2"/>
  <c r="K9917" i="2"/>
  <c r="L9917" i="2"/>
  <c r="C9918" i="2"/>
  <c r="D9918" i="2"/>
  <c r="F9918" i="2"/>
  <c r="G9918" i="2"/>
  <c r="H9918" i="2"/>
  <c r="J9918" i="2"/>
  <c r="K9918" i="2"/>
  <c r="L9918" i="2"/>
  <c r="C9919" i="2"/>
  <c r="D9919" i="2"/>
  <c r="F9919" i="2"/>
  <c r="G9919" i="2"/>
  <c r="H9919" i="2"/>
  <c r="J9919" i="2"/>
  <c r="K9919" i="2"/>
  <c r="L9919" i="2"/>
  <c r="C9920" i="2"/>
  <c r="D9920" i="2"/>
  <c r="F9920" i="2"/>
  <c r="G9920" i="2"/>
  <c r="H9920" i="2"/>
  <c r="J9920" i="2"/>
  <c r="K9920" i="2"/>
  <c r="L9920" i="2"/>
  <c r="C9921" i="2"/>
  <c r="D9921" i="2"/>
  <c r="F9921" i="2"/>
  <c r="G9921" i="2"/>
  <c r="H9921" i="2"/>
  <c r="J9921" i="2"/>
  <c r="K9921" i="2"/>
  <c r="L9921" i="2"/>
  <c r="C9922" i="2"/>
  <c r="D9922" i="2"/>
  <c r="F9922" i="2"/>
  <c r="G9922" i="2"/>
  <c r="H9922" i="2"/>
  <c r="J9922" i="2"/>
  <c r="K9922" i="2"/>
  <c r="L9922" i="2"/>
  <c r="C9923" i="2"/>
  <c r="D9923" i="2"/>
  <c r="F9923" i="2"/>
  <c r="G9923" i="2"/>
  <c r="H9923" i="2"/>
  <c r="J9923" i="2"/>
  <c r="K9923" i="2"/>
  <c r="L9923" i="2"/>
  <c r="C9924" i="2"/>
  <c r="D9924" i="2"/>
  <c r="F9924" i="2"/>
  <c r="G9924" i="2"/>
  <c r="H9924" i="2"/>
  <c r="J9924" i="2"/>
  <c r="K9924" i="2"/>
  <c r="L9924" i="2"/>
  <c r="C9925" i="2"/>
  <c r="D9925" i="2"/>
  <c r="F9925" i="2"/>
  <c r="G9925" i="2"/>
  <c r="H9925" i="2"/>
  <c r="J9925" i="2"/>
  <c r="K9925" i="2"/>
  <c r="L9925" i="2"/>
  <c r="C9926" i="2"/>
  <c r="D9926" i="2"/>
  <c r="F9926" i="2"/>
  <c r="G9926" i="2"/>
  <c r="H9926" i="2"/>
  <c r="J9926" i="2"/>
  <c r="K9926" i="2"/>
  <c r="L9926" i="2"/>
  <c r="C9927" i="2"/>
  <c r="D9927" i="2"/>
  <c r="F9927" i="2"/>
  <c r="G9927" i="2"/>
  <c r="H9927" i="2"/>
  <c r="J9927" i="2"/>
  <c r="K9927" i="2"/>
  <c r="L9927" i="2"/>
  <c r="C9928" i="2"/>
  <c r="D9928" i="2"/>
  <c r="F9928" i="2"/>
  <c r="G9928" i="2"/>
  <c r="H9928" i="2"/>
  <c r="J9928" i="2"/>
  <c r="K9928" i="2"/>
  <c r="L9928" i="2"/>
  <c r="C9929" i="2"/>
  <c r="D9929" i="2"/>
  <c r="F9929" i="2"/>
  <c r="G9929" i="2"/>
  <c r="H9929" i="2"/>
  <c r="J9929" i="2"/>
  <c r="K9929" i="2"/>
  <c r="L9929" i="2"/>
  <c r="C9930" i="2"/>
  <c r="D9930" i="2"/>
  <c r="F9930" i="2"/>
  <c r="G9930" i="2"/>
  <c r="H9930" i="2"/>
  <c r="J9930" i="2"/>
  <c r="K9930" i="2"/>
  <c r="L9930" i="2"/>
  <c r="C9931" i="2"/>
  <c r="D9931" i="2"/>
  <c r="F9931" i="2"/>
  <c r="G9931" i="2"/>
  <c r="H9931" i="2"/>
  <c r="J9931" i="2"/>
  <c r="K9931" i="2"/>
  <c r="L9931" i="2"/>
  <c r="C9932" i="2"/>
  <c r="D9932" i="2"/>
  <c r="F9932" i="2"/>
  <c r="G9932" i="2"/>
  <c r="H9932" i="2"/>
  <c r="J9932" i="2"/>
  <c r="K9932" i="2"/>
  <c r="L9932" i="2"/>
  <c r="C9933" i="2"/>
  <c r="D9933" i="2"/>
  <c r="F9933" i="2"/>
  <c r="G9933" i="2"/>
  <c r="H9933" i="2"/>
  <c r="J9933" i="2"/>
  <c r="K9933" i="2"/>
  <c r="L9933" i="2"/>
  <c r="C9934" i="2"/>
  <c r="D9934" i="2"/>
  <c r="F9934" i="2"/>
  <c r="G9934" i="2"/>
  <c r="H9934" i="2"/>
  <c r="J9934" i="2"/>
  <c r="K9934" i="2"/>
  <c r="L9934" i="2"/>
  <c r="C9935" i="2"/>
  <c r="D9935" i="2"/>
  <c r="F9935" i="2"/>
  <c r="G9935" i="2"/>
  <c r="H9935" i="2"/>
  <c r="J9935" i="2"/>
  <c r="K9935" i="2"/>
  <c r="L9935" i="2"/>
  <c r="C9936" i="2"/>
  <c r="D9936" i="2"/>
  <c r="F9936" i="2"/>
  <c r="G9936" i="2"/>
  <c r="H9936" i="2"/>
  <c r="J9936" i="2"/>
  <c r="K9936" i="2"/>
  <c r="L9936" i="2"/>
  <c r="C9937" i="2"/>
  <c r="D9937" i="2"/>
  <c r="F9937" i="2"/>
  <c r="G9937" i="2"/>
  <c r="H9937" i="2"/>
  <c r="J9937" i="2"/>
  <c r="K9937" i="2"/>
  <c r="L9937" i="2"/>
  <c r="C9938" i="2"/>
  <c r="D9938" i="2"/>
  <c r="F9938" i="2"/>
  <c r="G9938" i="2"/>
  <c r="H9938" i="2"/>
  <c r="J9938" i="2"/>
  <c r="K9938" i="2"/>
  <c r="L9938" i="2"/>
  <c r="C9939" i="2"/>
  <c r="D9939" i="2"/>
  <c r="F9939" i="2"/>
  <c r="G9939" i="2"/>
  <c r="H9939" i="2"/>
  <c r="J9939" i="2"/>
  <c r="K9939" i="2"/>
  <c r="L9939" i="2"/>
  <c r="C9940" i="2"/>
  <c r="D9940" i="2"/>
  <c r="F9940" i="2"/>
  <c r="G9940" i="2"/>
  <c r="H9940" i="2"/>
  <c r="J9940" i="2"/>
  <c r="K9940" i="2"/>
  <c r="L9940" i="2"/>
  <c r="C9941" i="2"/>
  <c r="D9941" i="2"/>
  <c r="F9941" i="2"/>
  <c r="G9941" i="2"/>
  <c r="H9941" i="2"/>
  <c r="J9941" i="2"/>
  <c r="K9941" i="2"/>
  <c r="L9941" i="2"/>
  <c r="C9942" i="2"/>
  <c r="D9942" i="2"/>
  <c r="F9942" i="2"/>
  <c r="G9942" i="2"/>
  <c r="H9942" i="2"/>
  <c r="J9942" i="2"/>
  <c r="K9942" i="2"/>
  <c r="L9942" i="2"/>
  <c r="C9943" i="2"/>
  <c r="D9943" i="2"/>
  <c r="F9943" i="2"/>
  <c r="G9943" i="2"/>
  <c r="H9943" i="2"/>
  <c r="J9943" i="2"/>
  <c r="K9943" i="2"/>
  <c r="L9943" i="2"/>
  <c r="C9944" i="2"/>
  <c r="D9944" i="2"/>
  <c r="F9944" i="2"/>
  <c r="G9944" i="2"/>
  <c r="H9944" i="2"/>
  <c r="J9944" i="2"/>
  <c r="K9944" i="2"/>
  <c r="L9944" i="2"/>
  <c r="C9945" i="2"/>
  <c r="D9945" i="2"/>
  <c r="F9945" i="2"/>
  <c r="G9945" i="2"/>
  <c r="H9945" i="2"/>
  <c r="J9945" i="2"/>
  <c r="K9945" i="2"/>
  <c r="L9945" i="2"/>
  <c r="C9946" i="2"/>
  <c r="D9946" i="2"/>
  <c r="F9946" i="2"/>
  <c r="G9946" i="2"/>
  <c r="H9946" i="2"/>
  <c r="J9946" i="2"/>
  <c r="K9946" i="2"/>
  <c r="L9946" i="2"/>
  <c r="C9947" i="2"/>
  <c r="D9947" i="2"/>
  <c r="F9947" i="2"/>
  <c r="G9947" i="2"/>
  <c r="H9947" i="2"/>
  <c r="J9947" i="2"/>
  <c r="K9947" i="2"/>
  <c r="L9947" i="2"/>
  <c r="C9948" i="2"/>
  <c r="D9948" i="2"/>
  <c r="F9948" i="2"/>
  <c r="G9948" i="2"/>
  <c r="H9948" i="2"/>
  <c r="J9948" i="2"/>
  <c r="K9948" i="2"/>
  <c r="L9948" i="2"/>
  <c r="C9949" i="2"/>
  <c r="D9949" i="2"/>
  <c r="F9949" i="2"/>
  <c r="G9949" i="2"/>
  <c r="H9949" i="2"/>
  <c r="J9949" i="2"/>
  <c r="K9949" i="2"/>
  <c r="L9949" i="2"/>
  <c r="C9950" i="2"/>
  <c r="D9950" i="2"/>
  <c r="F9950" i="2"/>
  <c r="G9950" i="2"/>
  <c r="H9950" i="2"/>
  <c r="J9950" i="2"/>
  <c r="K9950" i="2"/>
  <c r="L9950" i="2"/>
  <c r="C9951" i="2"/>
  <c r="D9951" i="2"/>
  <c r="F9951" i="2"/>
  <c r="G9951" i="2"/>
  <c r="H9951" i="2"/>
  <c r="J9951" i="2"/>
  <c r="K9951" i="2"/>
  <c r="L9951" i="2"/>
  <c r="C9952" i="2"/>
  <c r="D9952" i="2"/>
  <c r="F9952" i="2"/>
  <c r="G9952" i="2"/>
  <c r="H9952" i="2"/>
  <c r="J9952" i="2"/>
  <c r="K9952" i="2"/>
  <c r="L9952" i="2"/>
  <c r="C9953" i="2"/>
  <c r="D9953" i="2"/>
  <c r="F9953" i="2"/>
  <c r="G9953" i="2"/>
  <c r="H9953" i="2"/>
  <c r="J9953" i="2"/>
  <c r="K9953" i="2"/>
  <c r="L9953" i="2"/>
  <c r="C9954" i="2"/>
  <c r="D9954" i="2"/>
  <c r="F9954" i="2"/>
  <c r="G9954" i="2"/>
  <c r="H9954" i="2"/>
  <c r="J9954" i="2"/>
  <c r="K9954" i="2"/>
  <c r="L9954" i="2"/>
  <c r="C9955" i="2"/>
  <c r="D9955" i="2"/>
  <c r="F9955" i="2"/>
  <c r="G9955" i="2"/>
  <c r="H9955" i="2"/>
  <c r="J9955" i="2"/>
  <c r="K9955" i="2"/>
  <c r="L9955" i="2"/>
  <c r="C9956" i="2"/>
  <c r="D9956" i="2"/>
  <c r="F9956" i="2"/>
  <c r="G9956" i="2"/>
  <c r="H9956" i="2"/>
  <c r="J9956" i="2"/>
  <c r="K9956" i="2"/>
  <c r="L9956" i="2"/>
  <c r="C9957" i="2"/>
  <c r="D9957" i="2"/>
  <c r="F9957" i="2"/>
  <c r="G9957" i="2"/>
  <c r="H9957" i="2"/>
  <c r="J9957" i="2"/>
  <c r="K9957" i="2"/>
  <c r="L9957" i="2"/>
  <c r="C9958" i="2"/>
  <c r="D9958" i="2"/>
  <c r="F9958" i="2"/>
  <c r="G9958" i="2"/>
  <c r="H9958" i="2"/>
  <c r="J9958" i="2"/>
  <c r="K9958" i="2"/>
  <c r="L9958" i="2"/>
  <c r="C9959" i="2"/>
  <c r="D9959" i="2"/>
  <c r="F9959" i="2"/>
  <c r="G9959" i="2"/>
  <c r="H9959" i="2"/>
  <c r="J9959" i="2"/>
  <c r="K9959" i="2"/>
  <c r="L9959" i="2"/>
  <c r="C9960" i="2"/>
  <c r="D9960" i="2"/>
  <c r="F9960" i="2"/>
  <c r="G9960" i="2"/>
  <c r="H9960" i="2"/>
  <c r="J9960" i="2"/>
  <c r="K9960" i="2"/>
  <c r="L9960" i="2"/>
  <c r="C9961" i="2"/>
  <c r="D9961" i="2"/>
  <c r="F9961" i="2"/>
  <c r="G9961" i="2"/>
  <c r="H9961" i="2"/>
  <c r="J9961" i="2"/>
  <c r="K9961" i="2"/>
  <c r="L9961" i="2"/>
  <c r="C9962" i="2"/>
  <c r="D9962" i="2"/>
  <c r="F9962" i="2"/>
  <c r="G9962" i="2"/>
  <c r="H9962" i="2"/>
  <c r="J9962" i="2"/>
  <c r="K9962" i="2"/>
  <c r="L9962" i="2"/>
  <c r="C9963" i="2"/>
  <c r="D9963" i="2"/>
  <c r="F9963" i="2"/>
  <c r="G9963" i="2"/>
  <c r="H9963" i="2"/>
  <c r="J9963" i="2"/>
  <c r="K9963" i="2"/>
  <c r="L9963" i="2"/>
  <c r="C9964" i="2"/>
  <c r="D9964" i="2"/>
  <c r="F9964" i="2"/>
  <c r="G9964" i="2"/>
  <c r="H9964" i="2"/>
  <c r="J9964" i="2"/>
  <c r="K9964" i="2"/>
  <c r="L9964" i="2"/>
  <c r="C9965" i="2"/>
  <c r="D9965" i="2"/>
  <c r="F9965" i="2"/>
  <c r="G9965" i="2"/>
  <c r="H9965" i="2"/>
  <c r="J9965" i="2"/>
  <c r="K9965" i="2"/>
  <c r="L9965" i="2"/>
  <c r="C9966" i="2"/>
  <c r="D9966" i="2"/>
  <c r="F9966" i="2"/>
  <c r="G9966" i="2"/>
  <c r="H9966" i="2"/>
  <c r="J9966" i="2"/>
  <c r="K9966" i="2"/>
  <c r="L9966" i="2"/>
  <c r="C9967" i="2"/>
  <c r="D9967" i="2"/>
  <c r="F9967" i="2"/>
  <c r="G9967" i="2"/>
  <c r="H9967" i="2"/>
  <c r="J9967" i="2"/>
  <c r="K9967" i="2"/>
  <c r="L9967" i="2"/>
  <c r="C9968" i="2"/>
  <c r="D9968" i="2"/>
  <c r="F9968" i="2"/>
  <c r="G9968" i="2"/>
  <c r="H9968" i="2"/>
  <c r="J9968" i="2"/>
  <c r="K9968" i="2"/>
  <c r="L9968" i="2"/>
  <c r="C9969" i="2"/>
  <c r="D9969" i="2"/>
  <c r="F9969" i="2"/>
  <c r="G9969" i="2"/>
  <c r="H9969" i="2"/>
  <c r="J9969" i="2"/>
  <c r="K9969" i="2"/>
  <c r="L9969" i="2"/>
  <c r="C9970" i="2"/>
  <c r="D9970" i="2"/>
  <c r="F9970" i="2"/>
  <c r="G9970" i="2"/>
  <c r="H9970" i="2"/>
  <c r="J9970" i="2"/>
  <c r="K9970" i="2"/>
  <c r="L9970" i="2"/>
  <c r="C9971" i="2"/>
  <c r="D9971" i="2"/>
  <c r="F9971" i="2"/>
  <c r="G9971" i="2"/>
  <c r="H9971" i="2"/>
  <c r="J9971" i="2"/>
  <c r="K9971" i="2"/>
  <c r="L9971" i="2"/>
  <c r="C9972" i="2"/>
  <c r="D9972" i="2"/>
  <c r="F9972" i="2"/>
  <c r="G9972" i="2"/>
  <c r="H9972" i="2"/>
  <c r="J9972" i="2"/>
  <c r="K9972" i="2"/>
  <c r="L9972" i="2"/>
  <c r="C9973" i="2"/>
  <c r="D9973" i="2"/>
  <c r="F9973" i="2"/>
  <c r="G9973" i="2"/>
  <c r="H9973" i="2"/>
  <c r="J9973" i="2"/>
  <c r="K9973" i="2"/>
  <c r="L9973" i="2"/>
  <c r="C9974" i="2"/>
  <c r="D9974" i="2"/>
  <c r="F9974" i="2"/>
  <c r="G9974" i="2"/>
  <c r="H9974" i="2"/>
  <c r="J9974" i="2"/>
  <c r="K9974" i="2"/>
  <c r="L9974" i="2"/>
  <c r="C9975" i="2"/>
  <c r="D9975" i="2"/>
  <c r="F9975" i="2"/>
  <c r="G9975" i="2"/>
  <c r="H9975" i="2"/>
  <c r="J9975" i="2"/>
  <c r="K9975" i="2"/>
  <c r="L9975" i="2"/>
  <c r="C9976" i="2"/>
  <c r="D9976" i="2"/>
  <c r="F9976" i="2"/>
  <c r="G9976" i="2"/>
  <c r="H9976" i="2"/>
  <c r="J9976" i="2"/>
  <c r="K9976" i="2"/>
  <c r="L9976" i="2"/>
  <c r="C9977" i="2"/>
  <c r="D9977" i="2"/>
  <c r="F9977" i="2"/>
  <c r="G9977" i="2"/>
  <c r="H9977" i="2"/>
  <c r="J9977" i="2"/>
  <c r="K9977" i="2"/>
  <c r="L9977" i="2"/>
  <c r="C9978" i="2"/>
  <c r="D9978" i="2"/>
  <c r="F9978" i="2"/>
  <c r="G9978" i="2"/>
  <c r="H9978" i="2"/>
  <c r="J9978" i="2"/>
  <c r="K9978" i="2"/>
  <c r="L9978" i="2"/>
  <c r="C9979" i="2"/>
  <c r="D9979" i="2"/>
  <c r="F9979" i="2"/>
  <c r="G9979" i="2"/>
  <c r="H9979" i="2"/>
  <c r="J9979" i="2"/>
  <c r="K9979" i="2"/>
  <c r="L9979" i="2"/>
  <c r="C9980" i="2"/>
  <c r="D9980" i="2"/>
  <c r="F9980" i="2"/>
  <c r="G9980" i="2"/>
  <c r="H9980" i="2"/>
  <c r="J9980" i="2"/>
  <c r="K9980" i="2"/>
  <c r="L9980" i="2"/>
  <c r="C9981" i="2"/>
  <c r="D9981" i="2"/>
  <c r="F9981" i="2"/>
  <c r="G9981" i="2"/>
  <c r="H9981" i="2"/>
  <c r="J9981" i="2"/>
  <c r="K9981" i="2"/>
  <c r="L9981" i="2"/>
  <c r="C9982" i="2"/>
  <c r="D9982" i="2"/>
  <c r="F9982" i="2"/>
  <c r="G9982" i="2"/>
  <c r="H9982" i="2"/>
  <c r="J9982" i="2"/>
  <c r="K9982" i="2"/>
  <c r="L9982" i="2"/>
  <c r="C9983" i="2"/>
  <c r="D9983" i="2"/>
  <c r="F9983" i="2"/>
  <c r="G9983" i="2"/>
  <c r="H9983" i="2"/>
  <c r="J9983" i="2"/>
  <c r="K9983" i="2"/>
  <c r="L9983" i="2"/>
  <c r="C9984" i="2"/>
  <c r="D9984" i="2"/>
  <c r="F9984" i="2"/>
  <c r="G9984" i="2"/>
  <c r="H9984" i="2"/>
  <c r="J9984" i="2"/>
  <c r="K9984" i="2"/>
  <c r="L9984" i="2"/>
  <c r="C9985" i="2"/>
  <c r="D9985" i="2"/>
  <c r="F9985" i="2"/>
  <c r="G9985" i="2"/>
  <c r="H9985" i="2"/>
  <c r="J9985" i="2"/>
  <c r="K9985" i="2"/>
  <c r="L9985" i="2"/>
  <c r="C9986" i="2"/>
  <c r="D9986" i="2"/>
  <c r="F9986" i="2"/>
  <c r="G9986" i="2"/>
  <c r="H9986" i="2"/>
  <c r="J9986" i="2"/>
  <c r="K9986" i="2"/>
  <c r="L9986" i="2"/>
  <c r="C9987" i="2"/>
  <c r="D9987" i="2"/>
  <c r="F9987" i="2"/>
  <c r="G9987" i="2"/>
  <c r="H9987" i="2"/>
  <c r="J9987" i="2"/>
  <c r="K9987" i="2"/>
  <c r="L9987" i="2"/>
  <c r="C9988" i="2"/>
  <c r="D9988" i="2"/>
  <c r="F9988" i="2"/>
  <c r="G9988" i="2"/>
  <c r="H9988" i="2"/>
  <c r="J9988" i="2"/>
  <c r="K9988" i="2"/>
  <c r="L9988" i="2"/>
  <c r="C9989" i="2"/>
  <c r="D9989" i="2"/>
  <c r="F9989" i="2"/>
  <c r="G9989" i="2"/>
  <c r="H9989" i="2"/>
  <c r="J9989" i="2"/>
  <c r="K9989" i="2"/>
  <c r="L9989" i="2"/>
  <c r="C9990" i="2"/>
  <c r="D9990" i="2"/>
  <c r="F9990" i="2"/>
  <c r="G9990" i="2"/>
  <c r="H9990" i="2"/>
  <c r="J9990" i="2"/>
  <c r="K9990" i="2"/>
  <c r="L9990" i="2"/>
  <c r="C9991" i="2"/>
  <c r="D9991" i="2"/>
  <c r="F9991" i="2"/>
  <c r="G9991" i="2"/>
  <c r="H9991" i="2"/>
  <c r="J9991" i="2"/>
  <c r="K9991" i="2"/>
  <c r="L9991" i="2"/>
  <c r="C9992" i="2"/>
  <c r="D9992" i="2"/>
  <c r="F9992" i="2"/>
  <c r="G9992" i="2"/>
  <c r="H9992" i="2"/>
  <c r="J9992" i="2"/>
  <c r="K9992" i="2"/>
  <c r="L9992" i="2"/>
  <c r="C9993" i="2"/>
  <c r="D9993" i="2"/>
  <c r="F9993" i="2"/>
  <c r="G9993" i="2"/>
  <c r="H9993" i="2"/>
  <c r="J9993" i="2"/>
  <c r="K9993" i="2"/>
  <c r="L9993" i="2"/>
  <c r="C9994" i="2"/>
  <c r="D9994" i="2"/>
  <c r="F9994" i="2"/>
  <c r="G9994" i="2"/>
  <c r="H9994" i="2"/>
  <c r="J9994" i="2"/>
  <c r="K9994" i="2"/>
  <c r="L9994" i="2"/>
  <c r="C9995" i="2"/>
  <c r="D9995" i="2"/>
  <c r="F9995" i="2"/>
  <c r="G9995" i="2"/>
  <c r="H9995" i="2"/>
  <c r="J9995" i="2"/>
  <c r="K9995" i="2"/>
  <c r="L9995" i="2"/>
  <c r="C9996" i="2"/>
  <c r="D9996" i="2"/>
  <c r="F9996" i="2"/>
  <c r="G9996" i="2"/>
  <c r="H9996" i="2"/>
  <c r="J9996" i="2"/>
  <c r="K9996" i="2"/>
  <c r="L9996" i="2"/>
  <c r="C9997" i="2"/>
  <c r="D9997" i="2"/>
  <c r="F9997" i="2"/>
  <c r="G9997" i="2"/>
  <c r="H9997" i="2"/>
  <c r="J9997" i="2"/>
  <c r="K9997" i="2"/>
  <c r="L9997" i="2"/>
  <c r="C9998" i="2"/>
  <c r="D9998" i="2"/>
  <c r="F9998" i="2"/>
  <c r="G9998" i="2"/>
  <c r="H9998" i="2"/>
  <c r="J9998" i="2"/>
  <c r="K9998" i="2"/>
  <c r="L9998" i="2"/>
  <c r="C9999" i="2"/>
  <c r="D9999" i="2"/>
  <c r="F9999" i="2"/>
  <c r="G9999" i="2"/>
  <c r="H9999" i="2"/>
  <c r="J9999" i="2"/>
  <c r="K9999" i="2"/>
  <c r="L9999" i="2"/>
  <c r="C10000" i="2"/>
  <c r="D10000" i="2"/>
  <c r="F10000" i="2"/>
  <c r="G10000" i="2"/>
  <c r="H10000" i="2"/>
  <c r="J10000" i="2"/>
  <c r="K10000" i="2"/>
  <c r="L10000" i="2"/>
  <c r="C10001" i="2"/>
  <c r="D10001" i="2"/>
  <c r="F10001" i="2"/>
  <c r="G10001" i="2"/>
  <c r="H10001" i="2"/>
  <c r="J10001" i="2"/>
  <c r="K10001" i="2"/>
  <c r="L10001" i="2"/>
  <c r="C10002" i="2"/>
  <c r="D10002" i="2"/>
  <c r="F10002" i="2"/>
  <c r="G10002" i="2"/>
  <c r="H10002" i="2"/>
  <c r="J10002" i="2"/>
  <c r="K10002" i="2"/>
  <c r="L10002" i="2"/>
  <c r="C10003" i="2"/>
  <c r="D10003" i="2"/>
  <c r="F10003" i="2"/>
  <c r="G10003" i="2"/>
  <c r="H10003" i="2"/>
  <c r="J10003" i="2"/>
  <c r="K10003" i="2"/>
  <c r="L10003" i="2"/>
  <c r="C10004" i="2"/>
  <c r="D10004" i="2"/>
  <c r="F10004" i="2"/>
  <c r="G10004" i="2"/>
  <c r="H10004" i="2"/>
  <c r="J10004" i="2"/>
  <c r="K10004" i="2"/>
  <c r="L10004" i="2"/>
  <c r="C10005" i="2"/>
  <c r="D10005" i="2"/>
  <c r="F10005" i="2"/>
  <c r="G10005" i="2"/>
  <c r="H10005" i="2"/>
  <c r="J10005" i="2"/>
  <c r="K10005" i="2"/>
  <c r="L10005" i="2"/>
  <c r="C10006" i="2"/>
  <c r="D10006" i="2"/>
  <c r="F10006" i="2"/>
  <c r="G10006" i="2"/>
  <c r="H10006" i="2"/>
  <c r="J10006" i="2"/>
  <c r="K10006" i="2"/>
  <c r="L10006" i="2"/>
  <c r="C10007" i="2"/>
  <c r="D10007" i="2"/>
  <c r="F10007" i="2"/>
  <c r="G10007" i="2"/>
  <c r="H10007" i="2"/>
  <c r="J10007" i="2"/>
  <c r="K10007" i="2"/>
  <c r="L10007" i="2"/>
  <c r="C10008" i="2"/>
  <c r="D10008" i="2"/>
  <c r="F10008" i="2"/>
  <c r="G10008" i="2"/>
  <c r="H10008" i="2"/>
  <c r="J10008" i="2"/>
  <c r="K10008" i="2"/>
  <c r="L10008" i="2"/>
  <c r="C10009" i="2"/>
  <c r="D10009" i="2"/>
  <c r="F10009" i="2"/>
  <c r="G10009" i="2"/>
  <c r="H10009" i="2"/>
  <c r="J10009" i="2"/>
  <c r="K10009" i="2"/>
  <c r="L10009" i="2"/>
  <c r="C10010" i="2"/>
  <c r="D10010" i="2"/>
  <c r="F10010" i="2"/>
  <c r="G10010" i="2"/>
  <c r="H10010" i="2"/>
  <c r="J10010" i="2"/>
  <c r="K10010" i="2"/>
  <c r="L10010" i="2"/>
  <c r="C10011" i="2"/>
  <c r="D10011" i="2"/>
  <c r="F10011" i="2"/>
  <c r="G10011" i="2"/>
  <c r="H10011" i="2"/>
  <c r="J10011" i="2"/>
  <c r="K10011" i="2"/>
  <c r="L10011" i="2"/>
  <c r="C10012" i="2"/>
  <c r="D10012" i="2"/>
  <c r="F10012" i="2"/>
  <c r="G10012" i="2"/>
  <c r="H10012" i="2"/>
  <c r="J10012" i="2"/>
  <c r="K10012" i="2"/>
  <c r="L10012" i="2"/>
  <c r="C10013" i="2"/>
  <c r="D10013" i="2"/>
  <c r="F10013" i="2"/>
  <c r="G10013" i="2"/>
  <c r="H10013" i="2"/>
  <c r="J10013" i="2"/>
  <c r="K10013" i="2"/>
  <c r="L10013" i="2"/>
  <c r="C10014" i="2"/>
  <c r="D10014" i="2"/>
  <c r="F10014" i="2"/>
  <c r="G10014" i="2"/>
  <c r="H10014" i="2"/>
  <c r="J10014" i="2"/>
  <c r="K10014" i="2"/>
  <c r="L10014" i="2"/>
  <c r="C10015" i="2"/>
  <c r="D10015" i="2"/>
  <c r="F10015" i="2"/>
  <c r="G10015" i="2"/>
  <c r="H10015" i="2"/>
  <c r="J10015" i="2"/>
  <c r="K10015" i="2"/>
  <c r="L10015" i="2"/>
  <c r="C10016" i="2"/>
  <c r="D10016" i="2"/>
  <c r="F10016" i="2"/>
  <c r="G10016" i="2"/>
  <c r="H10016" i="2"/>
  <c r="J10016" i="2"/>
  <c r="K10016" i="2"/>
  <c r="L10016" i="2"/>
  <c r="C10017" i="2"/>
  <c r="D10017" i="2"/>
  <c r="F10017" i="2"/>
  <c r="G10017" i="2"/>
  <c r="H10017" i="2"/>
  <c r="J10017" i="2"/>
  <c r="K10017" i="2"/>
  <c r="L10017" i="2"/>
  <c r="C10018" i="2"/>
  <c r="D10018" i="2"/>
  <c r="F10018" i="2"/>
  <c r="G10018" i="2"/>
  <c r="H10018" i="2"/>
  <c r="J10018" i="2"/>
  <c r="K10018" i="2"/>
  <c r="L10018" i="2"/>
  <c r="C10019" i="2"/>
  <c r="D10019" i="2"/>
  <c r="F10019" i="2"/>
  <c r="G10019" i="2"/>
  <c r="H10019" i="2"/>
  <c r="J10019" i="2"/>
  <c r="K10019" i="2"/>
  <c r="L10019" i="2"/>
  <c r="C10020" i="2"/>
  <c r="D10020" i="2"/>
  <c r="F10020" i="2"/>
  <c r="G10020" i="2"/>
  <c r="H10020" i="2"/>
  <c r="J10020" i="2"/>
  <c r="K10020" i="2"/>
  <c r="L10020" i="2"/>
  <c r="C10021" i="2"/>
  <c r="D10021" i="2"/>
  <c r="F10021" i="2"/>
  <c r="G10021" i="2"/>
  <c r="H10021" i="2"/>
  <c r="J10021" i="2"/>
  <c r="K10021" i="2"/>
  <c r="L10021" i="2"/>
  <c r="C10022" i="2"/>
  <c r="D10022" i="2"/>
  <c r="F10022" i="2"/>
  <c r="G10022" i="2"/>
  <c r="H10022" i="2"/>
  <c r="J10022" i="2"/>
  <c r="K10022" i="2"/>
  <c r="L10022" i="2"/>
  <c r="C10023" i="2"/>
  <c r="D10023" i="2"/>
  <c r="F10023" i="2"/>
  <c r="G10023" i="2"/>
  <c r="H10023" i="2"/>
  <c r="J10023" i="2"/>
  <c r="K10023" i="2"/>
  <c r="L10023" i="2"/>
  <c r="C10024" i="2"/>
  <c r="D10024" i="2"/>
  <c r="F10024" i="2"/>
  <c r="G10024" i="2"/>
  <c r="H10024" i="2"/>
  <c r="J10024" i="2"/>
  <c r="K10024" i="2"/>
  <c r="L10024" i="2"/>
  <c r="C10025" i="2"/>
  <c r="D10025" i="2"/>
  <c r="F10025" i="2"/>
  <c r="G10025" i="2"/>
  <c r="H10025" i="2"/>
  <c r="J10025" i="2"/>
  <c r="K10025" i="2"/>
  <c r="L10025" i="2"/>
  <c r="C10026" i="2"/>
  <c r="D10026" i="2"/>
  <c r="F10026" i="2"/>
  <c r="G10026" i="2"/>
  <c r="H10026" i="2"/>
  <c r="J10026" i="2"/>
  <c r="K10026" i="2"/>
  <c r="L10026" i="2"/>
  <c r="C10027" i="2"/>
  <c r="D10027" i="2"/>
  <c r="F10027" i="2"/>
  <c r="G10027" i="2"/>
  <c r="H10027" i="2"/>
  <c r="J10027" i="2"/>
  <c r="K10027" i="2"/>
  <c r="L10027" i="2"/>
  <c r="C10028" i="2"/>
  <c r="D10028" i="2"/>
  <c r="F10028" i="2"/>
  <c r="G10028" i="2"/>
  <c r="H10028" i="2"/>
  <c r="J10028" i="2"/>
  <c r="K10028" i="2"/>
  <c r="L10028" i="2"/>
  <c r="C10029" i="2"/>
  <c r="D10029" i="2"/>
  <c r="F10029" i="2"/>
  <c r="G10029" i="2"/>
  <c r="H10029" i="2"/>
  <c r="J10029" i="2"/>
  <c r="K10029" i="2"/>
  <c r="L10029" i="2"/>
  <c r="C10030" i="2"/>
  <c r="D10030" i="2"/>
  <c r="F10030" i="2"/>
  <c r="G10030" i="2"/>
  <c r="H10030" i="2"/>
  <c r="J10030" i="2"/>
  <c r="K10030" i="2"/>
  <c r="L10030" i="2"/>
  <c r="C10031" i="2"/>
  <c r="D10031" i="2"/>
  <c r="F10031" i="2"/>
  <c r="G10031" i="2"/>
  <c r="H10031" i="2"/>
  <c r="J10031" i="2"/>
  <c r="K10031" i="2"/>
  <c r="L10031" i="2"/>
  <c r="C10032" i="2"/>
  <c r="D10032" i="2"/>
  <c r="F10032" i="2"/>
  <c r="G10032" i="2"/>
  <c r="H10032" i="2"/>
  <c r="J10032" i="2"/>
  <c r="K10032" i="2"/>
  <c r="L10032" i="2"/>
  <c r="C10033" i="2"/>
  <c r="D10033" i="2"/>
  <c r="F10033" i="2"/>
  <c r="G10033" i="2"/>
  <c r="H10033" i="2"/>
  <c r="J10033" i="2"/>
  <c r="K10033" i="2"/>
  <c r="L10033" i="2"/>
  <c r="C10034" i="2"/>
  <c r="D10034" i="2"/>
  <c r="F10034" i="2"/>
  <c r="G10034" i="2"/>
  <c r="H10034" i="2"/>
  <c r="J10034" i="2"/>
  <c r="K10034" i="2"/>
  <c r="L10034" i="2"/>
  <c r="C10035" i="2"/>
  <c r="D10035" i="2"/>
  <c r="F10035" i="2"/>
  <c r="G10035" i="2"/>
  <c r="H10035" i="2"/>
  <c r="J10035" i="2"/>
  <c r="K10035" i="2"/>
  <c r="L10035" i="2"/>
  <c r="C10036" i="2"/>
  <c r="D10036" i="2"/>
  <c r="F10036" i="2"/>
  <c r="G10036" i="2"/>
  <c r="H10036" i="2"/>
  <c r="J10036" i="2"/>
  <c r="K10036" i="2"/>
  <c r="L10036" i="2"/>
  <c r="C10037" i="2"/>
  <c r="D10037" i="2"/>
  <c r="F10037" i="2"/>
  <c r="G10037" i="2"/>
  <c r="H10037" i="2"/>
  <c r="J10037" i="2"/>
  <c r="K10037" i="2"/>
  <c r="L10037" i="2"/>
  <c r="C10038" i="2"/>
  <c r="D10038" i="2"/>
  <c r="F10038" i="2"/>
  <c r="G10038" i="2"/>
  <c r="H10038" i="2"/>
  <c r="J10038" i="2"/>
  <c r="K10038" i="2"/>
  <c r="L10038" i="2"/>
  <c r="C10039" i="2"/>
  <c r="D10039" i="2"/>
  <c r="F10039" i="2"/>
  <c r="G10039" i="2"/>
  <c r="H10039" i="2"/>
  <c r="J10039" i="2"/>
  <c r="K10039" i="2"/>
  <c r="L10039" i="2"/>
  <c r="C10040" i="2"/>
  <c r="D10040" i="2"/>
  <c r="F10040" i="2"/>
  <c r="G10040" i="2"/>
  <c r="H10040" i="2"/>
  <c r="J10040" i="2"/>
  <c r="K10040" i="2"/>
  <c r="L10040" i="2"/>
  <c r="C10041" i="2"/>
  <c r="D10041" i="2"/>
  <c r="F10041" i="2"/>
  <c r="G10041" i="2"/>
  <c r="H10041" i="2"/>
  <c r="J10041" i="2"/>
  <c r="K10041" i="2"/>
  <c r="L10041" i="2"/>
  <c r="C10042" i="2"/>
  <c r="D10042" i="2"/>
  <c r="F10042" i="2"/>
  <c r="G10042" i="2"/>
  <c r="H10042" i="2"/>
  <c r="J10042" i="2"/>
  <c r="K10042" i="2"/>
  <c r="L10042" i="2"/>
  <c r="C10043" i="2"/>
  <c r="D10043" i="2"/>
  <c r="F10043" i="2"/>
  <c r="G10043" i="2"/>
  <c r="H10043" i="2"/>
  <c r="J10043" i="2"/>
  <c r="K10043" i="2"/>
  <c r="L10043" i="2"/>
  <c r="C10044" i="2"/>
  <c r="D10044" i="2"/>
  <c r="F10044" i="2"/>
  <c r="G10044" i="2"/>
  <c r="H10044" i="2"/>
  <c r="J10044" i="2"/>
  <c r="K10044" i="2"/>
  <c r="L10044" i="2"/>
  <c r="C10045" i="2"/>
  <c r="D10045" i="2"/>
  <c r="F10045" i="2"/>
  <c r="G10045" i="2"/>
  <c r="H10045" i="2"/>
  <c r="J10045" i="2"/>
  <c r="K10045" i="2"/>
  <c r="L10045" i="2"/>
  <c r="C10046" i="2"/>
  <c r="D10046" i="2"/>
  <c r="F10046" i="2"/>
  <c r="G10046" i="2"/>
  <c r="H10046" i="2"/>
  <c r="J10046" i="2"/>
  <c r="K10046" i="2"/>
  <c r="L10046" i="2"/>
  <c r="C10047" i="2"/>
  <c r="D10047" i="2"/>
  <c r="F10047" i="2"/>
  <c r="G10047" i="2"/>
  <c r="H10047" i="2"/>
  <c r="J10047" i="2"/>
  <c r="K10047" i="2"/>
  <c r="L10047" i="2"/>
  <c r="C10048" i="2"/>
  <c r="D10048" i="2"/>
  <c r="F10048" i="2"/>
  <c r="G10048" i="2"/>
  <c r="H10048" i="2"/>
  <c r="J10048" i="2"/>
  <c r="K10048" i="2"/>
  <c r="L10048" i="2"/>
  <c r="C10049" i="2"/>
  <c r="D10049" i="2"/>
  <c r="F10049" i="2"/>
  <c r="G10049" i="2"/>
  <c r="H10049" i="2"/>
  <c r="J10049" i="2"/>
  <c r="K10049" i="2"/>
  <c r="L10049" i="2"/>
  <c r="C10050" i="2"/>
  <c r="D10050" i="2"/>
  <c r="F10050" i="2"/>
  <c r="G10050" i="2"/>
  <c r="H10050" i="2"/>
  <c r="J10050" i="2"/>
  <c r="K10050" i="2"/>
  <c r="L10050" i="2"/>
  <c r="C10051" i="2"/>
  <c r="D10051" i="2"/>
  <c r="F10051" i="2"/>
  <c r="G10051" i="2"/>
  <c r="H10051" i="2"/>
  <c r="J10051" i="2"/>
  <c r="K10051" i="2"/>
  <c r="L10051" i="2"/>
  <c r="C10052" i="2"/>
  <c r="D10052" i="2"/>
  <c r="F10052" i="2"/>
  <c r="G10052" i="2"/>
  <c r="H10052" i="2"/>
  <c r="J10052" i="2"/>
  <c r="K10052" i="2"/>
  <c r="L10052" i="2"/>
  <c r="C10053" i="2"/>
  <c r="D10053" i="2"/>
  <c r="F10053" i="2"/>
  <c r="G10053" i="2"/>
  <c r="H10053" i="2"/>
  <c r="J10053" i="2"/>
  <c r="K10053" i="2"/>
  <c r="L10053" i="2"/>
  <c r="C10054" i="2"/>
  <c r="D10054" i="2"/>
  <c r="F10054" i="2"/>
  <c r="G10054" i="2"/>
  <c r="H10054" i="2"/>
  <c r="J10054" i="2"/>
  <c r="K10054" i="2"/>
  <c r="L10054" i="2"/>
  <c r="C10055" i="2"/>
  <c r="D10055" i="2"/>
  <c r="F10055" i="2"/>
  <c r="G10055" i="2"/>
  <c r="H10055" i="2"/>
  <c r="J10055" i="2"/>
  <c r="K10055" i="2"/>
  <c r="L10055" i="2"/>
  <c r="C10056" i="2"/>
  <c r="D10056" i="2"/>
  <c r="F10056" i="2"/>
  <c r="G10056" i="2"/>
  <c r="H10056" i="2"/>
  <c r="J10056" i="2"/>
  <c r="K10056" i="2"/>
  <c r="L10056" i="2"/>
  <c r="C10057" i="2"/>
  <c r="D10057" i="2"/>
  <c r="F10057" i="2"/>
  <c r="G10057" i="2"/>
  <c r="H10057" i="2"/>
  <c r="J10057" i="2"/>
  <c r="K10057" i="2"/>
  <c r="L10057" i="2"/>
  <c r="C10058" i="2"/>
  <c r="D10058" i="2"/>
  <c r="F10058" i="2"/>
  <c r="G10058" i="2"/>
  <c r="H10058" i="2"/>
  <c r="J10058" i="2"/>
  <c r="K10058" i="2"/>
  <c r="L10058" i="2"/>
  <c r="C10059" i="2"/>
  <c r="D10059" i="2"/>
  <c r="F10059" i="2"/>
  <c r="G10059" i="2"/>
  <c r="H10059" i="2"/>
  <c r="J10059" i="2"/>
  <c r="K10059" i="2"/>
  <c r="L10059" i="2"/>
  <c r="D10060" i="2"/>
  <c r="F10060" i="2"/>
  <c r="G10060" i="2"/>
  <c r="H10060" i="2"/>
  <c r="J10060" i="2"/>
  <c r="K10060" i="2"/>
  <c r="L10060" i="2"/>
  <c r="C10061" i="2"/>
  <c r="D10061" i="2"/>
  <c r="F10061" i="2"/>
  <c r="G10061" i="2"/>
  <c r="H10061" i="2"/>
  <c r="J10061" i="2"/>
  <c r="K10061" i="2"/>
  <c r="L10061" i="2"/>
  <c r="C10062" i="2"/>
  <c r="D10062" i="2"/>
  <c r="F10062" i="2"/>
  <c r="G10062" i="2"/>
  <c r="H10062" i="2"/>
  <c r="J10062" i="2"/>
  <c r="K10062" i="2"/>
  <c r="L10062" i="2"/>
  <c r="C10063" i="2"/>
  <c r="D10063" i="2"/>
  <c r="F10063" i="2"/>
  <c r="G10063" i="2"/>
  <c r="H10063" i="2"/>
  <c r="J10063" i="2"/>
  <c r="K10063" i="2"/>
  <c r="L10063" i="2"/>
  <c r="C10064" i="2"/>
  <c r="D10064" i="2"/>
  <c r="F10064" i="2"/>
  <c r="G10064" i="2"/>
  <c r="H10064" i="2"/>
  <c r="J10064" i="2"/>
  <c r="K10064" i="2"/>
  <c r="L10064" i="2"/>
  <c r="C10065" i="2"/>
  <c r="D10065" i="2"/>
  <c r="F10065" i="2"/>
  <c r="G10065" i="2"/>
  <c r="H10065" i="2"/>
  <c r="J10065" i="2"/>
  <c r="K10065" i="2"/>
  <c r="L10065" i="2"/>
  <c r="C10066" i="2"/>
  <c r="D10066" i="2"/>
  <c r="F10066" i="2"/>
  <c r="G10066" i="2"/>
  <c r="H10066" i="2"/>
  <c r="J10066" i="2"/>
  <c r="K10066" i="2"/>
  <c r="L10066" i="2"/>
  <c r="C10067" i="2"/>
  <c r="D10067" i="2"/>
  <c r="F10067" i="2"/>
  <c r="G10067" i="2"/>
  <c r="H10067" i="2"/>
  <c r="J10067" i="2"/>
  <c r="K10067" i="2"/>
  <c r="L10067" i="2"/>
  <c r="C10068" i="2"/>
  <c r="D10068" i="2"/>
  <c r="F10068" i="2"/>
  <c r="G10068" i="2"/>
  <c r="H10068" i="2"/>
  <c r="J10068" i="2"/>
  <c r="K10068" i="2"/>
  <c r="L10068" i="2"/>
  <c r="C10069" i="2"/>
  <c r="D10069" i="2"/>
  <c r="F10069" i="2"/>
  <c r="G10069" i="2"/>
  <c r="H10069" i="2"/>
  <c r="J10069" i="2"/>
  <c r="K10069" i="2"/>
  <c r="L10069" i="2"/>
  <c r="C10070" i="2"/>
  <c r="D10070" i="2"/>
  <c r="F10070" i="2"/>
  <c r="G10070" i="2"/>
  <c r="H10070" i="2"/>
  <c r="J10070" i="2"/>
  <c r="K10070" i="2"/>
  <c r="L10070" i="2"/>
  <c r="C10071" i="2"/>
  <c r="D10071" i="2"/>
  <c r="F10071" i="2"/>
  <c r="G10071" i="2"/>
  <c r="H10071" i="2"/>
  <c r="J10071" i="2"/>
  <c r="K10071" i="2"/>
  <c r="L10071" i="2"/>
  <c r="C10072" i="2"/>
  <c r="D10072" i="2"/>
  <c r="F10072" i="2"/>
  <c r="G10072" i="2"/>
  <c r="H10072" i="2"/>
  <c r="J10072" i="2"/>
  <c r="K10072" i="2"/>
  <c r="L10072" i="2"/>
  <c r="C10073" i="2"/>
  <c r="D10073" i="2"/>
  <c r="F10073" i="2"/>
  <c r="G10073" i="2"/>
  <c r="H10073" i="2"/>
  <c r="J10073" i="2"/>
  <c r="K10073" i="2"/>
  <c r="L10073" i="2"/>
  <c r="C10074" i="2"/>
  <c r="D10074" i="2"/>
  <c r="F10074" i="2"/>
  <c r="G10074" i="2"/>
  <c r="H10074" i="2"/>
  <c r="J10074" i="2"/>
  <c r="K10074" i="2"/>
  <c r="L10074" i="2"/>
  <c r="C10075" i="2"/>
  <c r="D10075" i="2"/>
  <c r="F10075" i="2"/>
  <c r="G10075" i="2"/>
  <c r="H10075" i="2"/>
  <c r="J10075" i="2"/>
  <c r="K10075" i="2"/>
  <c r="L10075" i="2"/>
  <c r="C10076" i="2"/>
  <c r="D10076" i="2"/>
  <c r="F10076" i="2"/>
  <c r="G10076" i="2"/>
  <c r="H10076" i="2"/>
  <c r="J10076" i="2"/>
  <c r="K10076" i="2"/>
  <c r="L10076" i="2"/>
  <c r="C10077" i="2"/>
  <c r="D10077" i="2"/>
  <c r="F10077" i="2"/>
  <c r="G10077" i="2"/>
  <c r="H10077" i="2"/>
  <c r="J10077" i="2"/>
  <c r="K10077" i="2"/>
  <c r="L10077" i="2"/>
  <c r="C10078" i="2"/>
  <c r="D10078" i="2"/>
  <c r="F10078" i="2"/>
  <c r="G10078" i="2"/>
  <c r="H10078" i="2"/>
  <c r="J10078" i="2"/>
  <c r="K10078" i="2"/>
  <c r="L10078" i="2"/>
  <c r="C10079" i="2"/>
  <c r="D10079" i="2"/>
  <c r="F10079" i="2"/>
  <c r="G10079" i="2"/>
  <c r="H10079" i="2"/>
  <c r="J10079" i="2"/>
  <c r="K10079" i="2"/>
  <c r="L10079" i="2"/>
  <c r="C10080" i="2"/>
  <c r="D10080" i="2"/>
  <c r="F10080" i="2"/>
  <c r="G10080" i="2"/>
  <c r="H10080" i="2"/>
  <c r="J10080" i="2"/>
  <c r="K10080" i="2"/>
  <c r="L10080" i="2"/>
  <c r="C10081" i="2"/>
  <c r="D10081" i="2"/>
  <c r="F10081" i="2"/>
  <c r="G10081" i="2"/>
  <c r="H10081" i="2"/>
  <c r="J10081" i="2"/>
  <c r="K10081" i="2"/>
  <c r="L10081" i="2"/>
  <c r="C10082" i="2"/>
  <c r="D10082" i="2"/>
  <c r="F10082" i="2"/>
  <c r="G10082" i="2"/>
  <c r="H10082" i="2"/>
  <c r="J10082" i="2"/>
  <c r="K10082" i="2"/>
  <c r="L10082" i="2"/>
  <c r="C10083" i="2"/>
  <c r="D10083" i="2"/>
  <c r="F10083" i="2"/>
  <c r="G10083" i="2"/>
  <c r="H10083" i="2"/>
  <c r="J10083" i="2"/>
  <c r="K10083" i="2"/>
  <c r="L10083" i="2"/>
  <c r="C10084" i="2"/>
  <c r="D10084" i="2"/>
  <c r="F10084" i="2"/>
  <c r="G10084" i="2"/>
  <c r="H10084" i="2"/>
  <c r="J10084" i="2"/>
  <c r="K10084" i="2"/>
  <c r="L10084" i="2"/>
  <c r="C10085" i="2"/>
  <c r="D10085" i="2"/>
  <c r="F10085" i="2"/>
  <c r="G10085" i="2"/>
  <c r="H10085" i="2"/>
  <c r="J10085" i="2"/>
  <c r="K10085" i="2"/>
  <c r="L10085" i="2"/>
  <c r="C10086" i="2"/>
  <c r="D10086" i="2"/>
  <c r="F10086" i="2"/>
  <c r="G10086" i="2"/>
  <c r="H10086" i="2"/>
  <c r="J10086" i="2"/>
  <c r="K10086" i="2"/>
  <c r="L10086" i="2"/>
  <c r="C10087" i="2"/>
  <c r="D10087" i="2"/>
  <c r="F10087" i="2"/>
  <c r="G10087" i="2"/>
  <c r="H10087" i="2"/>
  <c r="J10087" i="2"/>
  <c r="K10087" i="2"/>
  <c r="L10087" i="2"/>
  <c r="C10088" i="2"/>
  <c r="D10088" i="2"/>
  <c r="F10088" i="2"/>
  <c r="G10088" i="2"/>
  <c r="H10088" i="2"/>
  <c r="J10088" i="2"/>
  <c r="K10088" i="2"/>
  <c r="L10088" i="2"/>
  <c r="C10089" i="2"/>
  <c r="D10089" i="2"/>
  <c r="F10089" i="2"/>
  <c r="G10089" i="2"/>
  <c r="H10089" i="2"/>
  <c r="J10089" i="2"/>
  <c r="K10089" i="2"/>
  <c r="L10089" i="2"/>
  <c r="C10090" i="2"/>
  <c r="D10090" i="2"/>
  <c r="F10090" i="2"/>
  <c r="G10090" i="2"/>
  <c r="H10090" i="2"/>
  <c r="J10090" i="2"/>
  <c r="K10090" i="2"/>
  <c r="L10090" i="2"/>
  <c r="C10091" i="2"/>
  <c r="D10091" i="2"/>
  <c r="F10091" i="2"/>
  <c r="G10091" i="2"/>
  <c r="H10091" i="2"/>
  <c r="J10091" i="2"/>
  <c r="K10091" i="2"/>
  <c r="L10091" i="2"/>
  <c r="C10092" i="2"/>
  <c r="D10092" i="2"/>
  <c r="F10092" i="2"/>
  <c r="G10092" i="2"/>
  <c r="H10092" i="2"/>
  <c r="J10092" i="2"/>
  <c r="K10092" i="2"/>
  <c r="L10092" i="2"/>
  <c r="C10093" i="2"/>
  <c r="D10093" i="2"/>
  <c r="F10093" i="2"/>
  <c r="G10093" i="2"/>
  <c r="H10093" i="2"/>
  <c r="J10093" i="2"/>
  <c r="K10093" i="2"/>
  <c r="L10093" i="2"/>
  <c r="C10094" i="2"/>
  <c r="D10094" i="2"/>
  <c r="F10094" i="2"/>
  <c r="G10094" i="2"/>
  <c r="H10094" i="2"/>
  <c r="J10094" i="2"/>
  <c r="K10094" i="2"/>
  <c r="L10094" i="2"/>
  <c r="C10095" i="2"/>
  <c r="D10095" i="2"/>
  <c r="F10095" i="2"/>
  <c r="G10095" i="2"/>
  <c r="H10095" i="2"/>
  <c r="J10095" i="2"/>
  <c r="K10095" i="2"/>
  <c r="L10095" i="2"/>
  <c r="C10096" i="2"/>
  <c r="D10096" i="2"/>
  <c r="F10096" i="2"/>
  <c r="G10096" i="2"/>
  <c r="H10096" i="2"/>
  <c r="J10096" i="2"/>
  <c r="K10096" i="2"/>
  <c r="L10096" i="2"/>
  <c r="C10097" i="2"/>
  <c r="D10097" i="2"/>
  <c r="F10097" i="2"/>
  <c r="G10097" i="2"/>
  <c r="H10097" i="2"/>
  <c r="J10097" i="2"/>
  <c r="K10097" i="2"/>
  <c r="L10097" i="2"/>
  <c r="C10098" i="2"/>
  <c r="D10098" i="2"/>
  <c r="F10098" i="2"/>
  <c r="G10098" i="2"/>
  <c r="H10098" i="2"/>
  <c r="J10098" i="2"/>
  <c r="K10098" i="2"/>
  <c r="L10098" i="2"/>
  <c r="C10099" i="2"/>
  <c r="D10099" i="2"/>
  <c r="F10099" i="2"/>
  <c r="G10099" i="2"/>
  <c r="H10099" i="2"/>
  <c r="J10099" i="2"/>
  <c r="K10099" i="2"/>
  <c r="L10099" i="2"/>
  <c r="C10100" i="2"/>
  <c r="D10100" i="2"/>
  <c r="F10100" i="2"/>
  <c r="G10100" i="2"/>
  <c r="H10100" i="2"/>
  <c r="J10100" i="2"/>
  <c r="K10100" i="2"/>
  <c r="L10100" i="2"/>
  <c r="C10101" i="2"/>
  <c r="D10101" i="2"/>
  <c r="F10101" i="2"/>
  <c r="G10101" i="2"/>
  <c r="H10101" i="2"/>
  <c r="J10101" i="2"/>
  <c r="K10101" i="2"/>
  <c r="L10101" i="2"/>
  <c r="C10102" i="2"/>
  <c r="D10102" i="2"/>
  <c r="F10102" i="2"/>
  <c r="G10102" i="2"/>
  <c r="H10102" i="2"/>
  <c r="J10102" i="2"/>
  <c r="K10102" i="2"/>
  <c r="L10102" i="2"/>
  <c r="C10103" i="2"/>
  <c r="D10103" i="2"/>
  <c r="F10103" i="2"/>
  <c r="G10103" i="2"/>
  <c r="H10103" i="2"/>
  <c r="J10103" i="2"/>
  <c r="K10103" i="2"/>
  <c r="L10103" i="2"/>
  <c r="C10104" i="2"/>
  <c r="D10104" i="2"/>
  <c r="F10104" i="2"/>
  <c r="G10104" i="2"/>
  <c r="H10104" i="2"/>
  <c r="J10104" i="2"/>
  <c r="K10104" i="2"/>
  <c r="L10104" i="2"/>
  <c r="C10105" i="2"/>
  <c r="D10105" i="2"/>
  <c r="F10105" i="2"/>
  <c r="G10105" i="2"/>
  <c r="H10105" i="2"/>
  <c r="J10105" i="2"/>
  <c r="K10105" i="2"/>
  <c r="L10105" i="2"/>
  <c r="C10106" i="2"/>
  <c r="D10106" i="2"/>
  <c r="F10106" i="2"/>
  <c r="G10106" i="2"/>
  <c r="H10106" i="2"/>
  <c r="J10106" i="2"/>
  <c r="K10106" i="2"/>
  <c r="L10106" i="2"/>
  <c r="C10107" i="2"/>
  <c r="D10107" i="2"/>
  <c r="F10107" i="2"/>
  <c r="G10107" i="2"/>
  <c r="H10107" i="2"/>
  <c r="J10107" i="2"/>
  <c r="K10107" i="2"/>
  <c r="L10107" i="2"/>
  <c r="C10108" i="2"/>
  <c r="D10108" i="2"/>
  <c r="F10108" i="2"/>
  <c r="G10108" i="2"/>
  <c r="H10108" i="2"/>
  <c r="J10108" i="2"/>
  <c r="K10108" i="2"/>
  <c r="L10108" i="2"/>
  <c r="C10109" i="2"/>
  <c r="D10109" i="2"/>
  <c r="F10109" i="2"/>
  <c r="G10109" i="2"/>
  <c r="H10109" i="2"/>
  <c r="J10109" i="2"/>
  <c r="K10109" i="2"/>
  <c r="L10109" i="2"/>
  <c r="C10110" i="2"/>
  <c r="D10110" i="2"/>
  <c r="F10110" i="2"/>
  <c r="G10110" i="2"/>
  <c r="H10110" i="2"/>
  <c r="J10110" i="2"/>
  <c r="K10110" i="2"/>
  <c r="L10110" i="2"/>
  <c r="C10111" i="2"/>
  <c r="D10111" i="2"/>
  <c r="F10111" i="2"/>
  <c r="G10111" i="2"/>
  <c r="H10111" i="2"/>
  <c r="J10111" i="2"/>
  <c r="K10111" i="2"/>
  <c r="L10111" i="2"/>
  <c r="C10112" i="2"/>
  <c r="D10112" i="2"/>
  <c r="F10112" i="2"/>
  <c r="G10112" i="2"/>
  <c r="H10112" i="2"/>
  <c r="J10112" i="2"/>
  <c r="K10112" i="2"/>
  <c r="L10112" i="2"/>
  <c r="C10113" i="2"/>
  <c r="D10113" i="2"/>
  <c r="F10113" i="2"/>
  <c r="G10113" i="2"/>
  <c r="H10113" i="2"/>
  <c r="J10113" i="2"/>
  <c r="K10113" i="2"/>
  <c r="L10113" i="2"/>
  <c r="C10114" i="2"/>
  <c r="D10114" i="2"/>
  <c r="F10114" i="2"/>
  <c r="G10114" i="2"/>
  <c r="H10114" i="2"/>
  <c r="J10114" i="2"/>
  <c r="K10114" i="2"/>
  <c r="L10114" i="2"/>
  <c r="C10115" i="2"/>
  <c r="D10115" i="2"/>
  <c r="F10115" i="2"/>
  <c r="G10115" i="2"/>
  <c r="H10115" i="2"/>
  <c r="J10115" i="2"/>
  <c r="K10115" i="2"/>
  <c r="L10115" i="2"/>
  <c r="C10116" i="2"/>
  <c r="D10116" i="2"/>
  <c r="F10116" i="2"/>
  <c r="G10116" i="2"/>
  <c r="H10116" i="2"/>
  <c r="J10116" i="2"/>
  <c r="K10116" i="2"/>
  <c r="L10116" i="2"/>
  <c r="C10117" i="2"/>
  <c r="D10117" i="2"/>
  <c r="F10117" i="2"/>
  <c r="G10117" i="2"/>
  <c r="H10117" i="2"/>
  <c r="J10117" i="2"/>
  <c r="K10117" i="2"/>
  <c r="L10117" i="2"/>
  <c r="C10118" i="2"/>
  <c r="D10118" i="2"/>
  <c r="F10118" i="2"/>
  <c r="G10118" i="2"/>
  <c r="H10118" i="2"/>
  <c r="J10118" i="2"/>
  <c r="K10118" i="2"/>
  <c r="L10118" i="2"/>
  <c r="C10119" i="2"/>
  <c r="D10119" i="2"/>
  <c r="F10119" i="2"/>
  <c r="G10119" i="2"/>
  <c r="H10119" i="2"/>
  <c r="J10119" i="2"/>
  <c r="K10119" i="2"/>
  <c r="L10119" i="2"/>
  <c r="C10120" i="2"/>
  <c r="D10120" i="2"/>
  <c r="F10120" i="2"/>
  <c r="G10120" i="2"/>
  <c r="H10120" i="2"/>
  <c r="J10120" i="2"/>
  <c r="K10120" i="2"/>
  <c r="L10120" i="2"/>
  <c r="C10121" i="2"/>
  <c r="D10121" i="2"/>
  <c r="F10121" i="2"/>
  <c r="G10121" i="2"/>
  <c r="H10121" i="2"/>
  <c r="J10121" i="2"/>
  <c r="K10121" i="2"/>
  <c r="L10121" i="2"/>
  <c r="C10122" i="2"/>
  <c r="D10122" i="2"/>
  <c r="F10122" i="2"/>
  <c r="G10122" i="2"/>
  <c r="H10122" i="2"/>
  <c r="J10122" i="2"/>
  <c r="K10122" i="2"/>
  <c r="L10122" i="2"/>
  <c r="C10123" i="2"/>
  <c r="D10123" i="2"/>
  <c r="F10123" i="2"/>
  <c r="G10123" i="2"/>
  <c r="H10123" i="2"/>
  <c r="J10123" i="2"/>
  <c r="K10123" i="2"/>
  <c r="L10123" i="2"/>
  <c r="C10124" i="2"/>
  <c r="D10124" i="2"/>
  <c r="F10124" i="2"/>
  <c r="G10124" i="2"/>
  <c r="H10124" i="2"/>
  <c r="J10124" i="2"/>
  <c r="K10124" i="2"/>
  <c r="L10124" i="2"/>
  <c r="C10125" i="2"/>
  <c r="D10125" i="2"/>
  <c r="F10125" i="2"/>
  <c r="G10125" i="2"/>
  <c r="H10125" i="2"/>
  <c r="J10125" i="2"/>
  <c r="K10125" i="2"/>
  <c r="L10125" i="2"/>
  <c r="C10126" i="2"/>
  <c r="D10126" i="2"/>
  <c r="F10126" i="2"/>
  <c r="G10126" i="2"/>
  <c r="H10126" i="2"/>
  <c r="J10126" i="2"/>
  <c r="K10126" i="2"/>
  <c r="L10126" i="2"/>
  <c r="C10127" i="2"/>
  <c r="D10127" i="2"/>
  <c r="F10127" i="2"/>
  <c r="G10127" i="2"/>
  <c r="H10127" i="2"/>
  <c r="J10127" i="2"/>
  <c r="K10127" i="2"/>
  <c r="L10127" i="2"/>
  <c r="C10128" i="2"/>
  <c r="D10128" i="2"/>
  <c r="F10128" i="2"/>
  <c r="G10128" i="2"/>
  <c r="H10128" i="2"/>
  <c r="J10128" i="2"/>
  <c r="K10128" i="2"/>
  <c r="L10128" i="2"/>
  <c r="C10129" i="2"/>
  <c r="D10129" i="2"/>
  <c r="F10129" i="2"/>
  <c r="G10129" i="2"/>
  <c r="H10129" i="2"/>
  <c r="J10129" i="2"/>
  <c r="K10129" i="2"/>
  <c r="L10129" i="2"/>
  <c r="C10130" i="2"/>
  <c r="D10130" i="2"/>
  <c r="F10130" i="2"/>
  <c r="G10130" i="2"/>
  <c r="H10130" i="2"/>
  <c r="J10130" i="2"/>
  <c r="K10130" i="2"/>
  <c r="L10130" i="2"/>
  <c r="C10131" i="2"/>
  <c r="D10131" i="2"/>
  <c r="F10131" i="2"/>
  <c r="G10131" i="2"/>
  <c r="H10131" i="2"/>
  <c r="J10131" i="2"/>
  <c r="K10131" i="2"/>
  <c r="L10131" i="2"/>
  <c r="C10132" i="2"/>
  <c r="D10132" i="2"/>
  <c r="F10132" i="2"/>
  <c r="G10132" i="2"/>
  <c r="H10132" i="2"/>
  <c r="J10132" i="2"/>
  <c r="K10132" i="2"/>
  <c r="L10132" i="2"/>
  <c r="C10133" i="2"/>
  <c r="D10133" i="2"/>
  <c r="F10133" i="2"/>
  <c r="G10133" i="2"/>
  <c r="H10133" i="2"/>
  <c r="J10133" i="2"/>
  <c r="K10133" i="2"/>
  <c r="L10133" i="2"/>
  <c r="C10134" i="2"/>
  <c r="D10134" i="2"/>
  <c r="F10134" i="2"/>
  <c r="G10134" i="2"/>
  <c r="H10134" i="2"/>
  <c r="J10134" i="2"/>
  <c r="K10134" i="2"/>
  <c r="L10134" i="2"/>
  <c r="C10135" i="2"/>
  <c r="D10135" i="2"/>
  <c r="F10135" i="2"/>
  <c r="G10135" i="2"/>
  <c r="H10135" i="2"/>
  <c r="J10135" i="2"/>
  <c r="K10135" i="2"/>
  <c r="L10135" i="2"/>
  <c r="C10136" i="2"/>
  <c r="D10136" i="2"/>
  <c r="F10136" i="2"/>
  <c r="G10136" i="2"/>
  <c r="H10136" i="2"/>
  <c r="J10136" i="2"/>
  <c r="K10136" i="2"/>
  <c r="L10136" i="2"/>
  <c r="C10137" i="2"/>
  <c r="D10137" i="2"/>
  <c r="F10137" i="2"/>
  <c r="G10137" i="2"/>
  <c r="H10137" i="2"/>
  <c r="J10137" i="2"/>
  <c r="K10137" i="2"/>
  <c r="L10137" i="2"/>
  <c r="C10138" i="2"/>
  <c r="D10138" i="2"/>
  <c r="F10138" i="2"/>
  <c r="G10138" i="2"/>
  <c r="H10138" i="2"/>
  <c r="J10138" i="2"/>
  <c r="K10138" i="2"/>
  <c r="L10138" i="2"/>
  <c r="C10139" i="2"/>
  <c r="D10139" i="2"/>
  <c r="F10139" i="2"/>
  <c r="G10139" i="2"/>
  <c r="H10139" i="2"/>
  <c r="J10139" i="2"/>
  <c r="K10139" i="2"/>
  <c r="L10139" i="2"/>
  <c r="C10140" i="2"/>
  <c r="D10140" i="2"/>
  <c r="F10140" i="2"/>
  <c r="G10140" i="2"/>
  <c r="H10140" i="2"/>
  <c r="J10140" i="2"/>
  <c r="K10140" i="2"/>
  <c r="L10140" i="2"/>
  <c r="C10141" i="2"/>
  <c r="D10141" i="2"/>
  <c r="F10141" i="2"/>
  <c r="G10141" i="2"/>
  <c r="H10141" i="2"/>
  <c r="J10141" i="2"/>
  <c r="K10141" i="2"/>
  <c r="L10141" i="2"/>
  <c r="C10142" i="2"/>
  <c r="D10142" i="2"/>
  <c r="F10142" i="2"/>
  <c r="G10142" i="2"/>
  <c r="H10142" i="2"/>
  <c r="J10142" i="2"/>
  <c r="K10142" i="2"/>
  <c r="L10142" i="2"/>
  <c r="C10143" i="2"/>
  <c r="D10143" i="2"/>
  <c r="E10143" i="2"/>
  <c r="F10143" i="2"/>
  <c r="G10143" i="2"/>
  <c r="H10143" i="2"/>
  <c r="J10143" i="2"/>
  <c r="K10143" i="2"/>
  <c r="L10143" i="2"/>
  <c r="C10144" i="2"/>
  <c r="D10144" i="2"/>
  <c r="F10144" i="2"/>
  <c r="G10144" i="2"/>
  <c r="H10144" i="2"/>
  <c r="J10144" i="2"/>
  <c r="K10144" i="2"/>
  <c r="L10144" i="2"/>
  <c r="C10145" i="2"/>
  <c r="D10145" i="2"/>
  <c r="F10145" i="2"/>
  <c r="G10145" i="2"/>
  <c r="H10145" i="2"/>
  <c r="J10145" i="2"/>
  <c r="K10145" i="2"/>
  <c r="L10145" i="2"/>
  <c r="C10146" i="2"/>
  <c r="D10146" i="2"/>
  <c r="F10146" i="2"/>
  <c r="G10146" i="2"/>
  <c r="H10146" i="2"/>
  <c r="J10146" i="2"/>
  <c r="K10146" i="2"/>
  <c r="L10146" i="2"/>
  <c r="C10147" i="2"/>
  <c r="D10147" i="2"/>
  <c r="F10147" i="2"/>
  <c r="G10147" i="2"/>
  <c r="H10147" i="2"/>
  <c r="J10147" i="2"/>
  <c r="K10147" i="2"/>
  <c r="L10147" i="2"/>
  <c r="C10148" i="2"/>
  <c r="D10148" i="2"/>
  <c r="F10148" i="2"/>
  <c r="G10148" i="2"/>
  <c r="H10148" i="2"/>
  <c r="J10148" i="2"/>
  <c r="K10148" i="2"/>
  <c r="L10148" i="2"/>
  <c r="C10149" i="2"/>
  <c r="D10149" i="2"/>
  <c r="F10149" i="2"/>
  <c r="G10149" i="2"/>
  <c r="H10149" i="2"/>
  <c r="J10149" i="2"/>
  <c r="K10149" i="2"/>
  <c r="L10149" i="2"/>
  <c r="C10150" i="2"/>
  <c r="D10150" i="2"/>
  <c r="F10150" i="2"/>
  <c r="G10150" i="2"/>
  <c r="H10150" i="2"/>
  <c r="J10150" i="2"/>
  <c r="K10150" i="2"/>
  <c r="L10150" i="2"/>
  <c r="C10151" i="2"/>
  <c r="D10151" i="2"/>
  <c r="F10151" i="2"/>
  <c r="G10151" i="2"/>
  <c r="H10151" i="2"/>
  <c r="J10151" i="2"/>
  <c r="K10151" i="2"/>
  <c r="L10151" i="2"/>
  <c r="C10152" i="2"/>
  <c r="D10152" i="2"/>
  <c r="F10152" i="2"/>
  <c r="G10152" i="2"/>
  <c r="H10152" i="2"/>
  <c r="J10152" i="2"/>
  <c r="K10152" i="2"/>
  <c r="L10152" i="2"/>
  <c r="C10153" i="2"/>
  <c r="D10153" i="2"/>
  <c r="F10153" i="2"/>
  <c r="G10153" i="2"/>
  <c r="H10153" i="2"/>
  <c r="J10153" i="2"/>
  <c r="K10153" i="2"/>
  <c r="L10153" i="2"/>
  <c r="C10154" i="2"/>
  <c r="D10154" i="2"/>
  <c r="F10154" i="2"/>
  <c r="G10154" i="2"/>
  <c r="H10154" i="2"/>
  <c r="J10154" i="2"/>
  <c r="K10154" i="2"/>
  <c r="L10154" i="2"/>
  <c r="C10155" i="2"/>
  <c r="D10155" i="2"/>
  <c r="F10155" i="2"/>
  <c r="G10155" i="2"/>
  <c r="H10155" i="2"/>
  <c r="J10155" i="2"/>
  <c r="K10155" i="2"/>
  <c r="L10155" i="2"/>
  <c r="C10156" i="2"/>
  <c r="D10156" i="2"/>
  <c r="F10156" i="2"/>
  <c r="G10156" i="2"/>
  <c r="H10156" i="2"/>
  <c r="J10156" i="2"/>
  <c r="K10156" i="2"/>
  <c r="L10156" i="2"/>
  <c r="C10157" i="2"/>
  <c r="D10157" i="2"/>
  <c r="F10157" i="2"/>
  <c r="G10157" i="2"/>
  <c r="H10157" i="2"/>
  <c r="J10157" i="2"/>
  <c r="K10157" i="2"/>
  <c r="L10157" i="2"/>
  <c r="C10158" i="2"/>
  <c r="D10158" i="2"/>
  <c r="F10158" i="2"/>
  <c r="G10158" i="2"/>
  <c r="H10158" i="2"/>
  <c r="J10158" i="2"/>
  <c r="K10158" i="2"/>
  <c r="L10158" i="2"/>
  <c r="C10159" i="2"/>
  <c r="D10159" i="2"/>
  <c r="F10159" i="2"/>
  <c r="G10159" i="2"/>
  <c r="H10159" i="2"/>
  <c r="J10159" i="2"/>
  <c r="K10159" i="2"/>
  <c r="L10159" i="2"/>
  <c r="C10160" i="2"/>
  <c r="D10160" i="2"/>
  <c r="F10160" i="2"/>
  <c r="G10160" i="2"/>
  <c r="H10160" i="2"/>
  <c r="J10160" i="2"/>
  <c r="K10160" i="2"/>
  <c r="L10160" i="2"/>
  <c r="C10161" i="2"/>
  <c r="D10161" i="2"/>
  <c r="F10161" i="2"/>
  <c r="G10161" i="2"/>
  <c r="H10161" i="2"/>
  <c r="J10161" i="2"/>
  <c r="K10161" i="2"/>
  <c r="L10161" i="2"/>
  <c r="C10162" i="2"/>
  <c r="D10162" i="2"/>
  <c r="F10162" i="2"/>
  <c r="G10162" i="2"/>
  <c r="H10162" i="2"/>
  <c r="J10162" i="2"/>
  <c r="K10162" i="2"/>
  <c r="L10162" i="2"/>
  <c r="C10163" i="2"/>
  <c r="D10163" i="2"/>
  <c r="F10163" i="2"/>
  <c r="G10163" i="2"/>
  <c r="H10163" i="2"/>
  <c r="J10163" i="2"/>
  <c r="K10163" i="2"/>
  <c r="L10163" i="2"/>
  <c r="C10164" i="2"/>
  <c r="D10164" i="2"/>
  <c r="F10164" i="2"/>
  <c r="G10164" i="2"/>
  <c r="H10164" i="2"/>
  <c r="J10164" i="2"/>
  <c r="K10164" i="2"/>
  <c r="L10164" i="2"/>
  <c r="C10165" i="2"/>
  <c r="D10165" i="2"/>
  <c r="F10165" i="2"/>
  <c r="G10165" i="2"/>
  <c r="H10165" i="2"/>
  <c r="J10165" i="2"/>
  <c r="K10165" i="2"/>
  <c r="L10165" i="2"/>
  <c r="C10166" i="2"/>
  <c r="D10166" i="2"/>
  <c r="F10166" i="2"/>
  <c r="G10166" i="2"/>
  <c r="H10166" i="2"/>
  <c r="J10166" i="2"/>
  <c r="K10166" i="2"/>
  <c r="L10166" i="2"/>
  <c r="C10167" i="2"/>
  <c r="D10167" i="2"/>
  <c r="F10167" i="2"/>
  <c r="G10167" i="2"/>
  <c r="H10167" i="2"/>
  <c r="J10167" i="2"/>
  <c r="K10167" i="2"/>
  <c r="L10167" i="2"/>
  <c r="C10168" i="2"/>
  <c r="D10168" i="2"/>
  <c r="F10168" i="2"/>
  <c r="G10168" i="2"/>
  <c r="H10168" i="2"/>
  <c r="J10168" i="2"/>
  <c r="K10168" i="2"/>
  <c r="L10168" i="2"/>
  <c r="C10169" i="2"/>
  <c r="D10169" i="2"/>
  <c r="F10169" i="2"/>
  <c r="G10169" i="2"/>
  <c r="H10169" i="2"/>
  <c r="J10169" i="2"/>
  <c r="K10169" i="2"/>
  <c r="L10169" i="2"/>
  <c r="C10170" i="2"/>
  <c r="D10170" i="2"/>
  <c r="F10170" i="2"/>
  <c r="G10170" i="2"/>
  <c r="H10170" i="2"/>
  <c r="J10170" i="2"/>
  <c r="K10170" i="2"/>
  <c r="L10170" i="2"/>
  <c r="C10171" i="2"/>
  <c r="D10171" i="2"/>
  <c r="F10171" i="2"/>
  <c r="G10171" i="2"/>
  <c r="H10171" i="2"/>
  <c r="J10171" i="2"/>
  <c r="K10171" i="2"/>
  <c r="L10171" i="2"/>
  <c r="C10172" i="2"/>
  <c r="D10172" i="2"/>
  <c r="F10172" i="2"/>
  <c r="G10172" i="2"/>
  <c r="H10172" i="2"/>
  <c r="J10172" i="2"/>
  <c r="K10172" i="2"/>
  <c r="L10172" i="2"/>
  <c r="C10173" i="2"/>
  <c r="D10173" i="2"/>
  <c r="F10173" i="2"/>
  <c r="G10173" i="2"/>
  <c r="H10173" i="2"/>
  <c r="J10173" i="2"/>
  <c r="K10173" i="2"/>
  <c r="L10173" i="2"/>
  <c r="C10174" i="2"/>
  <c r="D10174" i="2"/>
  <c r="F10174" i="2"/>
  <c r="G10174" i="2"/>
  <c r="H10174" i="2"/>
  <c r="J10174" i="2"/>
  <c r="K10174" i="2"/>
  <c r="L10174" i="2"/>
  <c r="C10175" i="2"/>
  <c r="D10175" i="2"/>
  <c r="F10175" i="2"/>
  <c r="G10175" i="2"/>
  <c r="H10175" i="2"/>
  <c r="J10175" i="2"/>
  <c r="K10175" i="2"/>
  <c r="L10175" i="2"/>
  <c r="C10176" i="2"/>
  <c r="D10176" i="2"/>
  <c r="F10176" i="2"/>
  <c r="G10176" i="2"/>
  <c r="H10176" i="2"/>
  <c r="J10176" i="2"/>
  <c r="K10176" i="2"/>
  <c r="L10176" i="2"/>
  <c r="D10177" i="2"/>
  <c r="F10177" i="2"/>
  <c r="G10177" i="2"/>
  <c r="H10177" i="2"/>
  <c r="J10177" i="2"/>
  <c r="K10177" i="2"/>
  <c r="L10177" i="2"/>
  <c r="C10178" i="2"/>
  <c r="D10178" i="2"/>
  <c r="F10178" i="2"/>
  <c r="G10178" i="2"/>
  <c r="H10178" i="2"/>
  <c r="J10178" i="2"/>
  <c r="K10178" i="2"/>
  <c r="L10178" i="2"/>
  <c r="C10179" i="2"/>
  <c r="D10179" i="2"/>
  <c r="F10179" i="2"/>
  <c r="G10179" i="2"/>
  <c r="H10179" i="2"/>
  <c r="J10179" i="2"/>
  <c r="K10179" i="2"/>
  <c r="L10179" i="2"/>
  <c r="C10180" i="2"/>
  <c r="D10180" i="2"/>
  <c r="F10180" i="2"/>
  <c r="G10180" i="2"/>
  <c r="H10180" i="2"/>
  <c r="J10180" i="2"/>
  <c r="K10180" i="2"/>
  <c r="L10180" i="2"/>
  <c r="C10181" i="2"/>
  <c r="D10181" i="2"/>
  <c r="F10181" i="2"/>
  <c r="G10181" i="2"/>
  <c r="H10181" i="2"/>
  <c r="J10181" i="2"/>
  <c r="K10181" i="2"/>
  <c r="L10181" i="2"/>
  <c r="C10182" i="2"/>
  <c r="D10182" i="2"/>
  <c r="F10182" i="2"/>
  <c r="G10182" i="2"/>
  <c r="H10182" i="2"/>
  <c r="J10182" i="2"/>
  <c r="K10182" i="2"/>
  <c r="L10182" i="2"/>
  <c r="C10183" i="2"/>
  <c r="D10183" i="2"/>
  <c r="F10183" i="2"/>
  <c r="G10183" i="2"/>
  <c r="H10183" i="2"/>
  <c r="J10183" i="2"/>
  <c r="K10183" i="2"/>
  <c r="L10183" i="2"/>
  <c r="C10184" i="2"/>
  <c r="D10184" i="2"/>
  <c r="F10184" i="2"/>
  <c r="G10184" i="2"/>
  <c r="H10184" i="2"/>
  <c r="J10184" i="2"/>
  <c r="K10184" i="2"/>
  <c r="L10184" i="2"/>
  <c r="C10185" i="2"/>
  <c r="D10185" i="2"/>
  <c r="F10185" i="2"/>
  <c r="G10185" i="2"/>
  <c r="H10185" i="2"/>
  <c r="J10185" i="2"/>
  <c r="K10185" i="2"/>
  <c r="L10185" i="2"/>
  <c r="C10186" i="2"/>
  <c r="D10186" i="2"/>
  <c r="F10186" i="2"/>
  <c r="G10186" i="2"/>
  <c r="H10186" i="2"/>
  <c r="J10186" i="2"/>
  <c r="K10186" i="2"/>
  <c r="L10186" i="2"/>
  <c r="C10187" i="2"/>
  <c r="D10187" i="2"/>
  <c r="F10187" i="2"/>
  <c r="G10187" i="2"/>
  <c r="H10187" i="2"/>
  <c r="J10187" i="2"/>
  <c r="K10187" i="2"/>
  <c r="L10187" i="2"/>
  <c r="C10188" i="2"/>
  <c r="D10188" i="2"/>
  <c r="F10188" i="2"/>
  <c r="G10188" i="2"/>
  <c r="H10188" i="2"/>
  <c r="J10188" i="2"/>
  <c r="K10188" i="2"/>
  <c r="L10188" i="2"/>
  <c r="C10189" i="2"/>
  <c r="D10189" i="2"/>
  <c r="F10189" i="2"/>
  <c r="G10189" i="2"/>
  <c r="H10189" i="2"/>
  <c r="J10189" i="2"/>
  <c r="K10189" i="2"/>
  <c r="L10189" i="2"/>
  <c r="C10190" i="2"/>
  <c r="D10190" i="2"/>
  <c r="F10190" i="2"/>
  <c r="G10190" i="2"/>
  <c r="H10190" i="2"/>
  <c r="J10190" i="2"/>
  <c r="K10190" i="2"/>
  <c r="L10190" i="2"/>
  <c r="C10191" i="2"/>
  <c r="D10191" i="2"/>
  <c r="F10191" i="2"/>
  <c r="G10191" i="2"/>
  <c r="H10191" i="2"/>
  <c r="J10191" i="2"/>
  <c r="K10191" i="2"/>
  <c r="L10191" i="2"/>
  <c r="C10192" i="2"/>
  <c r="D10192" i="2"/>
  <c r="F10192" i="2"/>
  <c r="G10192" i="2"/>
  <c r="H10192" i="2"/>
  <c r="J10192" i="2"/>
  <c r="K10192" i="2"/>
  <c r="L10192" i="2"/>
  <c r="C10193" i="2"/>
  <c r="D10193" i="2"/>
  <c r="F10193" i="2"/>
  <c r="G10193" i="2"/>
  <c r="H10193" i="2"/>
  <c r="J10193" i="2"/>
  <c r="K10193" i="2"/>
  <c r="L10193" i="2"/>
  <c r="C10194" i="2"/>
  <c r="D10194" i="2"/>
  <c r="F10194" i="2"/>
  <c r="G10194" i="2"/>
  <c r="H10194" i="2"/>
  <c r="J10194" i="2"/>
  <c r="K10194" i="2"/>
  <c r="L10194" i="2"/>
  <c r="C10195" i="2"/>
  <c r="D10195" i="2"/>
  <c r="F10195" i="2"/>
  <c r="G10195" i="2"/>
  <c r="H10195" i="2"/>
  <c r="J10195" i="2"/>
  <c r="K10195" i="2"/>
  <c r="L10195" i="2"/>
  <c r="C10196" i="2"/>
  <c r="D10196" i="2"/>
  <c r="F10196" i="2"/>
  <c r="G10196" i="2"/>
  <c r="H10196" i="2"/>
  <c r="J10196" i="2"/>
  <c r="K10196" i="2"/>
  <c r="L10196" i="2"/>
  <c r="C10197" i="2"/>
  <c r="D10197" i="2"/>
  <c r="F10197" i="2"/>
  <c r="G10197" i="2"/>
  <c r="H10197" i="2"/>
  <c r="J10197" i="2"/>
  <c r="K10197" i="2"/>
  <c r="L10197" i="2"/>
  <c r="C10198" i="2"/>
  <c r="D10198" i="2"/>
  <c r="F10198" i="2"/>
  <c r="G10198" i="2"/>
  <c r="H10198" i="2"/>
  <c r="J10198" i="2"/>
  <c r="K10198" i="2"/>
  <c r="L10198" i="2"/>
  <c r="C10199" i="2"/>
  <c r="D10199" i="2"/>
  <c r="F10199" i="2"/>
  <c r="G10199" i="2"/>
  <c r="H10199" i="2"/>
  <c r="J10199" i="2"/>
  <c r="K10199" i="2"/>
  <c r="L10199" i="2"/>
  <c r="C10200" i="2"/>
  <c r="D10200" i="2"/>
  <c r="F10200" i="2"/>
  <c r="G10200" i="2"/>
  <c r="H10200" i="2"/>
  <c r="J10200" i="2"/>
  <c r="K10200" i="2"/>
  <c r="L10200" i="2"/>
  <c r="C10201" i="2"/>
  <c r="D10201" i="2"/>
  <c r="F10201" i="2"/>
  <c r="G10201" i="2"/>
  <c r="H10201" i="2"/>
  <c r="J10201" i="2"/>
  <c r="K10201" i="2"/>
  <c r="L10201" i="2"/>
  <c r="C10202" i="2"/>
  <c r="D10202" i="2"/>
  <c r="F10202" i="2"/>
  <c r="G10202" i="2"/>
  <c r="H10202" i="2"/>
  <c r="J10202" i="2"/>
  <c r="K10202" i="2"/>
  <c r="L10202" i="2"/>
  <c r="C10203" i="2"/>
  <c r="D10203" i="2"/>
  <c r="F10203" i="2"/>
  <c r="G10203" i="2"/>
  <c r="H10203" i="2"/>
  <c r="J10203" i="2"/>
  <c r="K10203" i="2"/>
  <c r="L10203" i="2"/>
  <c r="C10204" i="2"/>
  <c r="D10204" i="2"/>
  <c r="F10204" i="2"/>
  <c r="G10204" i="2"/>
  <c r="H10204" i="2"/>
  <c r="J10204" i="2"/>
  <c r="K10204" i="2"/>
  <c r="L10204" i="2"/>
  <c r="C10205" i="2"/>
  <c r="D10205" i="2"/>
  <c r="F10205" i="2"/>
  <c r="G10205" i="2"/>
  <c r="H10205" i="2"/>
  <c r="J10205" i="2"/>
  <c r="K10205" i="2"/>
  <c r="L10205" i="2"/>
  <c r="C10206" i="2"/>
  <c r="D10206" i="2"/>
  <c r="F10206" i="2"/>
  <c r="G10206" i="2"/>
  <c r="H10206" i="2"/>
  <c r="J10206" i="2"/>
  <c r="K10206" i="2"/>
  <c r="L10206" i="2"/>
  <c r="C10207" i="2"/>
  <c r="D10207" i="2"/>
  <c r="F10207" i="2"/>
  <c r="G10207" i="2"/>
  <c r="H10207" i="2"/>
  <c r="J10207" i="2"/>
  <c r="K10207" i="2"/>
  <c r="L10207" i="2"/>
  <c r="C10208" i="2"/>
  <c r="D10208" i="2"/>
  <c r="F10208" i="2"/>
  <c r="G10208" i="2"/>
  <c r="H10208" i="2"/>
  <c r="J10208" i="2"/>
  <c r="K10208" i="2"/>
  <c r="L10208" i="2"/>
  <c r="C10209" i="2"/>
  <c r="D10209" i="2"/>
  <c r="F10209" i="2"/>
  <c r="G10209" i="2"/>
  <c r="H10209" i="2"/>
  <c r="J10209" i="2"/>
  <c r="K10209" i="2"/>
  <c r="L10209" i="2"/>
  <c r="C10210" i="2"/>
  <c r="D10210" i="2"/>
  <c r="F10210" i="2"/>
  <c r="G10210" i="2"/>
  <c r="H10210" i="2"/>
  <c r="J10210" i="2"/>
  <c r="K10210" i="2"/>
  <c r="L10210" i="2"/>
  <c r="C10211" i="2"/>
  <c r="D10211" i="2"/>
  <c r="F10211" i="2"/>
  <c r="G10211" i="2"/>
  <c r="H10211" i="2"/>
  <c r="J10211" i="2"/>
  <c r="K10211" i="2"/>
  <c r="L10211" i="2"/>
  <c r="C10212" i="2"/>
  <c r="D10212" i="2"/>
  <c r="F10212" i="2"/>
  <c r="G10212" i="2"/>
  <c r="H10212" i="2"/>
  <c r="J10212" i="2"/>
  <c r="K10212" i="2"/>
  <c r="L10212" i="2"/>
  <c r="C10213" i="2"/>
  <c r="D10213" i="2"/>
  <c r="F10213" i="2"/>
  <c r="G10213" i="2"/>
  <c r="H10213" i="2"/>
  <c r="J10213" i="2"/>
  <c r="K10213" i="2"/>
  <c r="L10213" i="2"/>
  <c r="C10214" i="2"/>
  <c r="D10214" i="2"/>
  <c r="F10214" i="2"/>
  <c r="G10214" i="2"/>
  <c r="H10214" i="2"/>
  <c r="J10214" i="2"/>
  <c r="K10214" i="2"/>
  <c r="L10214" i="2"/>
  <c r="C10215" i="2"/>
  <c r="D10215" i="2"/>
  <c r="F10215" i="2"/>
  <c r="G10215" i="2"/>
  <c r="H10215" i="2"/>
  <c r="J10215" i="2"/>
  <c r="K10215" i="2"/>
  <c r="L10215" i="2"/>
  <c r="C10216" i="2"/>
  <c r="D10216" i="2"/>
  <c r="F10216" i="2"/>
  <c r="G10216" i="2"/>
  <c r="H10216" i="2"/>
  <c r="J10216" i="2"/>
  <c r="K10216" i="2"/>
  <c r="L10216" i="2"/>
  <c r="C10217" i="2"/>
  <c r="D10217" i="2"/>
  <c r="F10217" i="2"/>
  <c r="G10217" i="2"/>
  <c r="H10217" i="2"/>
  <c r="J10217" i="2"/>
  <c r="K10217" i="2"/>
  <c r="L10217" i="2"/>
  <c r="C10218" i="2"/>
  <c r="D10218" i="2"/>
  <c r="F10218" i="2"/>
  <c r="G10218" i="2"/>
  <c r="H10218" i="2"/>
  <c r="J10218" i="2"/>
  <c r="K10218" i="2"/>
  <c r="L10218" i="2"/>
  <c r="C10219" i="2"/>
  <c r="D10219" i="2"/>
  <c r="F10219" i="2"/>
  <c r="G10219" i="2"/>
  <c r="H10219" i="2"/>
  <c r="J10219" i="2"/>
  <c r="K10219" i="2"/>
  <c r="L10219" i="2"/>
  <c r="C10220" i="2"/>
  <c r="D10220" i="2"/>
  <c r="F10220" i="2"/>
  <c r="G10220" i="2"/>
  <c r="H10220" i="2"/>
  <c r="J10220" i="2"/>
  <c r="K10220" i="2"/>
  <c r="L10220" i="2"/>
  <c r="C10221" i="2"/>
  <c r="D10221" i="2"/>
  <c r="F10221" i="2"/>
  <c r="G10221" i="2"/>
  <c r="H10221" i="2"/>
  <c r="J10221" i="2"/>
  <c r="K10221" i="2"/>
  <c r="L10221" i="2"/>
  <c r="C10222" i="2"/>
  <c r="D10222" i="2"/>
  <c r="F10222" i="2"/>
  <c r="G10222" i="2"/>
  <c r="H10222" i="2"/>
  <c r="J10222" i="2"/>
  <c r="K10222" i="2"/>
  <c r="L10222" i="2"/>
  <c r="C10223" i="2"/>
  <c r="D10223" i="2"/>
  <c r="F10223" i="2"/>
  <c r="G10223" i="2"/>
  <c r="H10223" i="2"/>
  <c r="J10223" i="2"/>
  <c r="K10223" i="2"/>
  <c r="L10223" i="2"/>
  <c r="C10224" i="2"/>
  <c r="D10224" i="2"/>
  <c r="F10224" i="2"/>
  <c r="G10224" i="2"/>
  <c r="H10224" i="2"/>
  <c r="J10224" i="2"/>
  <c r="K10224" i="2"/>
  <c r="L10224" i="2"/>
  <c r="C10225" i="2"/>
  <c r="D10225" i="2"/>
  <c r="F10225" i="2"/>
  <c r="G10225" i="2"/>
  <c r="H10225" i="2"/>
  <c r="J10225" i="2"/>
  <c r="K10225" i="2"/>
  <c r="L10225" i="2"/>
  <c r="C10226" i="2"/>
  <c r="D10226" i="2"/>
  <c r="F10226" i="2"/>
  <c r="G10226" i="2"/>
  <c r="H10226" i="2"/>
  <c r="J10226" i="2"/>
  <c r="K10226" i="2"/>
  <c r="L10226" i="2"/>
  <c r="C10227" i="2"/>
  <c r="D10227" i="2"/>
  <c r="F10227" i="2"/>
  <c r="G10227" i="2"/>
  <c r="H10227" i="2"/>
  <c r="J10227" i="2"/>
  <c r="K10227" i="2"/>
  <c r="L10227" i="2"/>
  <c r="C10228" i="2"/>
  <c r="D10228" i="2"/>
  <c r="F10228" i="2"/>
  <c r="G10228" i="2"/>
  <c r="H10228" i="2"/>
  <c r="J10228" i="2"/>
  <c r="K10228" i="2"/>
  <c r="L10228" i="2"/>
  <c r="C10229" i="2"/>
  <c r="D10229" i="2"/>
  <c r="F10229" i="2"/>
  <c r="G10229" i="2"/>
  <c r="H10229" i="2"/>
  <c r="J10229" i="2"/>
  <c r="K10229" i="2"/>
  <c r="L10229" i="2"/>
  <c r="C10230" i="2"/>
  <c r="D10230" i="2"/>
  <c r="F10230" i="2"/>
  <c r="G10230" i="2"/>
  <c r="H10230" i="2"/>
  <c r="J10230" i="2"/>
  <c r="K10230" i="2"/>
  <c r="L10230" i="2"/>
  <c r="C10231" i="2"/>
  <c r="D10231" i="2"/>
  <c r="F10231" i="2"/>
  <c r="G10231" i="2"/>
  <c r="H10231" i="2"/>
  <c r="J10231" i="2"/>
  <c r="K10231" i="2"/>
  <c r="L10231" i="2"/>
  <c r="C10232" i="2"/>
  <c r="D10232" i="2"/>
  <c r="F10232" i="2"/>
  <c r="G10232" i="2"/>
  <c r="H10232" i="2"/>
  <c r="J10232" i="2"/>
  <c r="K10232" i="2"/>
  <c r="L10232" i="2"/>
  <c r="C10233" i="2"/>
  <c r="D10233" i="2"/>
  <c r="F10233" i="2"/>
  <c r="G10233" i="2"/>
  <c r="H10233" i="2"/>
  <c r="J10233" i="2"/>
  <c r="K10233" i="2"/>
  <c r="L10233" i="2"/>
  <c r="C10234" i="2"/>
  <c r="D10234" i="2"/>
  <c r="F10234" i="2"/>
  <c r="G10234" i="2"/>
  <c r="H10234" i="2"/>
  <c r="J10234" i="2"/>
  <c r="K10234" i="2"/>
  <c r="L10234" i="2"/>
  <c r="C10235" i="2"/>
  <c r="D10235" i="2"/>
  <c r="F10235" i="2"/>
  <c r="G10235" i="2"/>
  <c r="H10235" i="2"/>
  <c r="J10235" i="2"/>
  <c r="K10235" i="2"/>
  <c r="L10235" i="2"/>
  <c r="C10236" i="2"/>
  <c r="D10236" i="2"/>
  <c r="F10236" i="2"/>
  <c r="G10236" i="2"/>
  <c r="H10236" i="2"/>
  <c r="J10236" i="2"/>
  <c r="K10236" i="2"/>
  <c r="L10236" i="2"/>
  <c r="C10237" i="2"/>
  <c r="D10237" i="2"/>
  <c r="F10237" i="2"/>
  <c r="G10237" i="2"/>
  <c r="H10237" i="2"/>
  <c r="J10237" i="2"/>
  <c r="K10237" i="2"/>
  <c r="L10237" i="2"/>
  <c r="C10238" i="2"/>
  <c r="D10238" i="2"/>
  <c r="F10238" i="2"/>
  <c r="G10238" i="2"/>
  <c r="H10238" i="2"/>
  <c r="J10238" i="2"/>
  <c r="K10238" i="2"/>
  <c r="L10238" i="2"/>
  <c r="C10239" i="2"/>
  <c r="D10239" i="2"/>
  <c r="F10239" i="2"/>
  <c r="G10239" i="2"/>
  <c r="H10239" i="2"/>
  <c r="J10239" i="2"/>
  <c r="K10239" i="2"/>
  <c r="L10239" i="2"/>
  <c r="C10240" i="2"/>
  <c r="D10240" i="2"/>
  <c r="F10240" i="2"/>
  <c r="G10240" i="2"/>
  <c r="H10240" i="2"/>
  <c r="J10240" i="2"/>
  <c r="K10240" i="2"/>
  <c r="L10240" i="2"/>
  <c r="C10241" i="2"/>
  <c r="D10241" i="2"/>
  <c r="F10241" i="2"/>
  <c r="G10241" i="2"/>
  <c r="H10241" i="2"/>
  <c r="J10241" i="2"/>
  <c r="K10241" i="2"/>
  <c r="L10241" i="2"/>
  <c r="C10242" i="2"/>
  <c r="D10242" i="2"/>
  <c r="F10242" i="2"/>
  <c r="G10242" i="2"/>
  <c r="H10242" i="2"/>
  <c r="J10242" i="2"/>
  <c r="K10242" i="2"/>
  <c r="L10242" i="2"/>
  <c r="C10243" i="2"/>
  <c r="D10243" i="2"/>
  <c r="F10243" i="2"/>
  <c r="G10243" i="2"/>
  <c r="H10243" i="2"/>
  <c r="J10243" i="2"/>
  <c r="K10243" i="2"/>
  <c r="L10243" i="2"/>
  <c r="C10244" i="2"/>
  <c r="D10244" i="2"/>
  <c r="F10244" i="2"/>
  <c r="G10244" i="2"/>
  <c r="H10244" i="2"/>
  <c r="J10244" i="2"/>
  <c r="K10244" i="2"/>
  <c r="L10244" i="2"/>
  <c r="C10245" i="2"/>
  <c r="D10245" i="2"/>
  <c r="F10245" i="2"/>
  <c r="G10245" i="2"/>
  <c r="H10245" i="2"/>
  <c r="J10245" i="2"/>
  <c r="K10245" i="2"/>
  <c r="L10245" i="2"/>
  <c r="C10246" i="2"/>
  <c r="D10246" i="2"/>
  <c r="F10246" i="2"/>
  <c r="G10246" i="2"/>
  <c r="H10246" i="2"/>
  <c r="J10246" i="2"/>
  <c r="K10246" i="2"/>
  <c r="L10246" i="2"/>
  <c r="C10247" i="2"/>
  <c r="D10247" i="2"/>
  <c r="F10247" i="2"/>
  <c r="G10247" i="2"/>
  <c r="H10247" i="2"/>
  <c r="J10247" i="2"/>
  <c r="K10247" i="2"/>
  <c r="L10247" i="2"/>
  <c r="C10248" i="2"/>
  <c r="D10248" i="2"/>
  <c r="F10248" i="2"/>
  <c r="G10248" i="2"/>
  <c r="H10248" i="2"/>
  <c r="J10248" i="2"/>
  <c r="K10248" i="2"/>
  <c r="L10248" i="2"/>
  <c r="C10249" i="2"/>
  <c r="D10249" i="2"/>
  <c r="F10249" i="2"/>
  <c r="G10249" i="2"/>
  <c r="H10249" i="2"/>
  <c r="J10249" i="2"/>
  <c r="K10249" i="2"/>
  <c r="L10249" i="2"/>
  <c r="C10250" i="2"/>
  <c r="D10250" i="2"/>
  <c r="F10250" i="2"/>
  <c r="G10250" i="2"/>
  <c r="H10250" i="2"/>
  <c r="J10250" i="2"/>
  <c r="K10250" i="2"/>
  <c r="L10250" i="2"/>
  <c r="C10251" i="2"/>
  <c r="D10251" i="2"/>
  <c r="F10251" i="2"/>
  <c r="G10251" i="2"/>
  <c r="H10251" i="2"/>
  <c r="J10251" i="2"/>
  <c r="K10251" i="2"/>
  <c r="L10251" i="2"/>
  <c r="C10252" i="2"/>
  <c r="D10252" i="2"/>
  <c r="F10252" i="2"/>
  <c r="G10252" i="2"/>
  <c r="H10252" i="2"/>
  <c r="J10252" i="2"/>
  <c r="K10252" i="2"/>
  <c r="L10252" i="2"/>
  <c r="C10253" i="2"/>
  <c r="D10253" i="2"/>
  <c r="F10253" i="2"/>
  <c r="G10253" i="2"/>
  <c r="H10253" i="2"/>
  <c r="J10253" i="2"/>
  <c r="K10253" i="2"/>
  <c r="L10253" i="2"/>
  <c r="C10254" i="2"/>
  <c r="D10254" i="2"/>
  <c r="F10254" i="2"/>
  <c r="G10254" i="2"/>
  <c r="H10254" i="2"/>
  <c r="J10254" i="2"/>
  <c r="K10254" i="2"/>
  <c r="L10254" i="2"/>
  <c r="C10255" i="2"/>
  <c r="D10255" i="2"/>
  <c r="F10255" i="2"/>
  <c r="G10255" i="2"/>
  <c r="H10255" i="2"/>
  <c r="J10255" i="2"/>
  <c r="K10255" i="2"/>
  <c r="L10255" i="2"/>
  <c r="C10256" i="2"/>
  <c r="D10256" i="2"/>
  <c r="F10256" i="2"/>
  <c r="G10256" i="2"/>
  <c r="H10256" i="2"/>
  <c r="J10256" i="2"/>
  <c r="K10256" i="2"/>
  <c r="L10256" i="2"/>
  <c r="C10257" i="2"/>
  <c r="D10257" i="2"/>
  <c r="F10257" i="2"/>
  <c r="G10257" i="2"/>
  <c r="H10257" i="2"/>
  <c r="J10257" i="2"/>
  <c r="K10257" i="2"/>
  <c r="L10257" i="2"/>
  <c r="C10258" i="2"/>
  <c r="D10258" i="2"/>
  <c r="F10258" i="2"/>
  <c r="G10258" i="2"/>
  <c r="H10258" i="2"/>
  <c r="J10258" i="2"/>
  <c r="K10258" i="2"/>
  <c r="L10258" i="2"/>
  <c r="C10259" i="2"/>
  <c r="D10259" i="2"/>
  <c r="F10259" i="2"/>
  <c r="G10259" i="2"/>
  <c r="H10259" i="2"/>
  <c r="J10259" i="2"/>
  <c r="K10259" i="2"/>
  <c r="L10259" i="2"/>
  <c r="C10260" i="2"/>
  <c r="D10260" i="2"/>
  <c r="F10260" i="2"/>
  <c r="G10260" i="2"/>
  <c r="H10260" i="2"/>
  <c r="J10260" i="2"/>
  <c r="K10260" i="2"/>
  <c r="L10260" i="2"/>
  <c r="C10261" i="2"/>
  <c r="D10261" i="2"/>
  <c r="F10261" i="2"/>
  <c r="G10261" i="2"/>
  <c r="H10261" i="2"/>
  <c r="J10261" i="2"/>
  <c r="K10261" i="2"/>
  <c r="L10261" i="2"/>
  <c r="C10262" i="2"/>
  <c r="D10262" i="2"/>
  <c r="F10262" i="2"/>
  <c r="G10262" i="2"/>
  <c r="H10262" i="2"/>
  <c r="J10262" i="2"/>
  <c r="K10262" i="2"/>
  <c r="L10262" i="2"/>
  <c r="C10263" i="2"/>
  <c r="D10263" i="2"/>
  <c r="F10263" i="2"/>
  <c r="G10263" i="2"/>
  <c r="H10263" i="2"/>
  <c r="J10263" i="2"/>
  <c r="K10263" i="2"/>
  <c r="L10263" i="2"/>
  <c r="C10264" i="2"/>
  <c r="D10264" i="2"/>
  <c r="F10264" i="2"/>
  <c r="G10264" i="2"/>
  <c r="H10264" i="2"/>
  <c r="J10264" i="2"/>
  <c r="K10264" i="2"/>
  <c r="L10264" i="2"/>
  <c r="C10265" i="2"/>
  <c r="D10265" i="2"/>
  <c r="F10265" i="2"/>
  <c r="G10265" i="2"/>
  <c r="H10265" i="2"/>
  <c r="J10265" i="2"/>
  <c r="K10265" i="2"/>
  <c r="L10265" i="2"/>
  <c r="C10266" i="2"/>
  <c r="D10266" i="2"/>
  <c r="F10266" i="2"/>
  <c r="G10266" i="2"/>
  <c r="H10266" i="2"/>
  <c r="J10266" i="2"/>
  <c r="K10266" i="2"/>
  <c r="L10266" i="2"/>
  <c r="C10267" i="2"/>
  <c r="D10267" i="2"/>
  <c r="F10267" i="2"/>
  <c r="G10267" i="2"/>
  <c r="H10267" i="2"/>
  <c r="J10267" i="2"/>
  <c r="K10267" i="2"/>
  <c r="L10267" i="2"/>
  <c r="C10268" i="2"/>
  <c r="D10268" i="2"/>
  <c r="F10268" i="2"/>
  <c r="G10268" i="2"/>
  <c r="H10268" i="2"/>
  <c r="J10268" i="2"/>
  <c r="K10268" i="2"/>
  <c r="L10268" i="2"/>
  <c r="C10269" i="2"/>
  <c r="D10269" i="2"/>
  <c r="F10269" i="2"/>
  <c r="G10269" i="2"/>
  <c r="H10269" i="2"/>
  <c r="J10269" i="2"/>
  <c r="K10269" i="2"/>
  <c r="L10269" i="2"/>
  <c r="C10270" i="2"/>
  <c r="D10270" i="2"/>
  <c r="F10270" i="2"/>
  <c r="G10270" i="2"/>
  <c r="H10270" i="2"/>
  <c r="J10270" i="2"/>
  <c r="K10270" i="2"/>
  <c r="L10270" i="2"/>
  <c r="C10271" i="2"/>
  <c r="D10271" i="2"/>
  <c r="F10271" i="2"/>
  <c r="G10271" i="2"/>
  <c r="H10271" i="2"/>
  <c r="J10271" i="2"/>
  <c r="K10271" i="2"/>
  <c r="L10271" i="2"/>
  <c r="C10272" i="2"/>
  <c r="D10272" i="2"/>
  <c r="F10272" i="2"/>
  <c r="G10272" i="2"/>
  <c r="H10272" i="2"/>
  <c r="J10272" i="2"/>
  <c r="K10272" i="2"/>
  <c r="L10272" i="2"/>
  <c r="C10273" i="2"/>
  <c r="D10273" i="2"/>
  <c r="F10273" i="2"/>
  <c r="G10273" i="2"/>
  <c r="H10273" i="2"/>
  <c r="J10273" i="2"/>
  <c r="K10273" i="2"/>
  <c r="L10273" i="2"/>
  <c r="C10274" i="2"/>
  <c r="D10274" i="2"/>
  <c r="F10274" i="2"/>
  <c r="G10274" i="2"/>
  <c r="H10274" i="2"/>
  <c r="J10274" i="2"/>
  <c r="K10274" i="2"/>
  <c r="L10274" i="2"/>
  <c r="C10275" i="2"/>
  <c r="D10275" i="2"/>
  <c r="F10275" i="2"/>
  <c r="G10275" i="2"/>
  <c r="H10275" i="2"/>
  <c r="J10275" i="2"/>
  <c r="K10275" i="2"/>
  <c r="L10275" i="2"/>
  <c r="C10276" i="2"/>
  <c r="D10276" i="2"/>
  <c r="F10276" i="2"/>
  <c r="G10276" i="2"/>
  <c r="H10276" i="2"/>
  <c r="J10276" i="2"/>
  <c r="K10276" i="2"/>
  <c r="L10276" i="2"/>
  <c r="C10277" i="2"/>
  <c r="D10277" i="2"/>
  <c r="F10277" i="2"/>
  <c r="G10277" i="2"/>
  <c r="H10277" i="2"/>
  <c r="J10277" i="2"/>
  <c r="K10277" i="2"/>
  <c r="L10277" i="2"/>
  <c r="C10278" i="2"/>
  <c r="D10278" i="2"/>
  <c r="F10278" i="2"/>
  <c r="G10278" i="2"/>
  <c r="H10278" i="2"/>
  <c r="J10278" i="2"/>
  <c r="K10278" i="2"/>
  <c r="L10278" i="2"/>
  <c r="C10279" i="2"/>
  <c r="D10279" i="2"/>
  <c r="F10279" i="2"/>
  <c r="G10279" i="2"/>
  <c r="H10279" i="2"/>
  <c r="J10279" i="2"/>
  <c r="K10279" i="2"/>
  <c r="L10279" i="2"/>
  <c r="C10280" i="2"/>
  <c r="D10280" i="2"/>
  <c r="F10280" i="2"/>
  <c r="G10280" i="2"/>
  <c r="H10280" i="2"/>
  <c r="J10280" i="2"/>
  <c r="K10280" i="2"/>
  <c r="L10280" i="2"/>
  <c r="C10281" i="2"/>
  <c r="D10281" i="2"/>
  <c r="F10281" i="2"/>
  <c r="G10281" i="2"/>
  <c r="H10281" i="2"/>
  <c r="J10281" i="2"/>
  <c r="K10281" i="2"/>
  <c r="L10281" i="2"/>
  <c r="C10282" i="2"/>
  <c r="D10282" i="2"/>
  <c r="F10282" i="2"/>
  <c r="G10282" i="2"/>
  <c r="H10282" i="2"/>
  <c r="J10282" i="2"/>
  <c r="K10282" i="2"/>
  <c r="L10282" i="2"/>
  <c r="C10283" i="2"/>
  <c r="D10283" i="2"/>
  <c r="F10283" i="2"/>
  <c r="G10283" i="2"/>
  <c r="H10283" i="2"/>
  <c r="J10283" i="2"/>
  <c r="K10283" i="2"/>
  <c r="L10283" i="2"/>
  <c r="C10284" i="2"/>
  <c r="D10284" i="2"/>
  <c r="F10284" i="2"/>
  <c r="G10284" i="2"/>
  <c r="H10284" i="2"/>
  <c r="J10284" i="2"/>
  <c r="K10284" i="2"/>
  <c r="L10284" i="2"/>
  <c r="C10285" i="2"/>
  <c r="D10285" i="2"/>
  <c r="F10285" i="2"/>
  <c r="G10285" i="2"/>
  <c r="H10285" i="2"/>
  <c r="J10285" i="2"/>
  <c r="K10285" i="2"/>
  <c r="L10285" i="2"/>
  <c r="C10286" i="2"/>
  <c r="D10286" i="2"/>
  <c r="F10286" i="2"/>
  <c r="G10286" i="2"/>
  <c r="H10286" i="2"/>
  <c r="J10286" i="2"/>
  <c r="K10286" i="2"/>
  <c r="L10286" i="2"/>
  <c r="C10287" i="2"/>
  <c r="D10287" i="2"/>
  <c r="F10287" i="2"/>
  <c r="G10287" i="2"/>
  <c r="H10287" i="2"/>
  <c r="J10287" i="2"/>
  <c r="K10287" i="2"/>
  <c r="L10287" i="2"/>
  <c r="C10288" i="2"/>
  <c r="D10288" i="2"/>
  <c r="F10288" i="2"/>
  <c r="G10288" i="2"/>
  <c r="H10288" i="2"/>
  <c r="J10288" i="2"/>
  <c r="K10288" i="2"/>
  <c r="L10288" i="2"/>
  <c r="C10289" i="2"/>
  <c r="D10289" i="2"/>
  <c r="F10289" i="2"/>
  <c r="G10289" i="2"/>
  <c r="H10289" i="2"/>
  <c r="J10289" i="2"/>
  <c r="K10289" i="2"/>
  <c r="L10289" i="2"/>
  <c r="C10290" i="2"/>
  <c r="D10290" i="2"/>
  <c r="F10290" i="2"/>
  <c r="G10290" i="2"/>
  <c r="H10290" i="2"/>
  <c r="J10290" i="2"/>
  <c r="K10290" i="2"/>
  <c r="L10290" i="2"/>
  <c r="C10291" i="2"/>
  <c r="D10291" i="2"/>
  <c r="F10291" i="2"/>
  <c r="G10291" i="2"/>
  <c r="H10291" i="2"/>
  <c r="J10291" i="2"/>
  <c r="K10291" i="2"/>
  <c r="L10291" i="2"/>
  <c r="C10292" i="2"/>
  <c r="D10292" i="2"/>
  <c r="F10292" i="2"/>
  <c r="G10292" i="2"/>
  <c r="H10292" i="2"/>
  <c r="J10292" i="2"/>
  <c r="K10292" i="2"/>
  <c r="L10292" i="2"/>
  <c r="C10293" i="2"/>
  <c r="D10293" i="2"/>
  <c r="F10293" i="2"/>
  <c r="G10293" i="2"/>
  <c r="H10293" i="2"/>
  <c r="J10293" i="2"/>
  <c r="K10293" i="2"/>
  <c r="L10293" i="2"/>
  <c r="C10294" i="2"/>
  <c r="D10294" i="2"/>
  <c r="F10294" i="2"/>
  <c r="G10294" i="2"/>
  <c r="H10294" i="2"/>
  <c r="J10294" i="2"/>
  <c r="K10294" i="2"/>
  <c r="L10294" i="2"/>
  <c r="C10295" i="2"/>
  <c r="D10295" i="2"/>
  <c r="F10295" i="2"/>
  <c r="G10295" i="2"/>
  <c r="H10295" i="2"/>
  <c r="J10295" i="2"/>
  <c r="K10295" i="2"/>
  <c r="L10295" i="2"/>
  <c r="C10296" i="2"/>
  <c r="D10296" i="2"/>
  <c r="F10296" i="2"/>
  <c r="G10296" i="2"/>
  <c r="H10296" i="2"/>
  <c r="J10296" i="2"/>
  <c r="K10296" i="2"/>
  <c r="L10296" i="2"/>
  <c r="C10297" i="2"/>
  <c r="D10297" i="2"/>
  <c r="F10297" i="2"/>
  <c r="G10297" i="2"/>
  <c r="H10297" i="2"/>
  <c r="J10297" i="2"/>
  <c r="K10297" i="2"/>
  <c r="L10297" i="2"/>
  <c r="C10298" i="2"/>
  <c r="D10298" i="2"/>
  <c r="F10298" i="2"/>
  <c r="G10298" i="2"/>
  <c r="H10298" i="2"/>
  <c r="J10298" i="2"/>
  <c r="K10298" i="2"/>
  <c r="L10298" i="2"/>
  <c r="C10299" i="2"/>
  <c r="D10299" i="2"/>
  <c r="F10299" i="2"/>
  <c r="G10299" i="2"/>
  <c r="H10299" i="2"/>
  <c r="J10299" i="2"/>
  <c r="K10299" i="2"/>
  <c r="L10299" i="2"/>
  <c r="C10300" i="2"/>
  <c r="D10300" i="2"/>
  <c r="F10300" i="2"/>
  <c r="G10300" i="2"/>
  <c r="H10300" i="2"/>
  <c r="J10300" i="2"/>
  <c r="K10300" i="2"/>
  <c r="L10300" i="2"/>
  <c r="C10301" i="2"/>
  <c r="D10301" i="2"/>
  <c r="F10301" i="2"/>
  <c r="G10301" i="2"/>
  <c r="H10301" i="2"/>
  <c r="J10301" i="2"/>
  <c r="K10301" i="2"/>
  <c r="L10301" i="2"/>
  <c r="C10302" i="2"/>
  <c r="D10302" i="2"/>
  <c r="F10302" i="2"/>
  <c r="G10302" i="2"/>
  <c r="H10302" i="2"/>
  <c r="J10302" i="2"/>
  <c r="K10302" i="2"/>
  <c r="L10302" i="2"/>
  <c r="C10303" i="2"/>
  <c r="D10303" i="2"/>
  <c r="F10303" i="2"/>
  <c r="G10303" i="2"/>
  <c r="H10303" i="2"/>
  <c r="J10303" i="2"/>
  <c r="K10303" i="2"/>
  <c r="L10303" i="2"/>
  <c r="C10304" i="2"/>
  <c r="D10304" i="2"/>
  <c r="F10304" i="2"/>
  <c r="G10304" i="2"/>
  <c r="H10304" i="2"/>
  <c r="J10304" i="2"/>
  <c r="K10304" i="2"/>
  <c r="L10304" i="2"/>
  <c r="C10305" i="2"/>
  <c r="D10305" i="2"/>
  <c r="F10305" i="2"/>
  <c r="G10305" i="2"/>
  <c r="H10305" i="2"/>
  <c r="J10305" i="2"/>
  <c r="K10305" i="2"/>
  <c r="L10305" i="2"/>
  <c r="C10306" i="2"/>
  <c r="D10306" i="2"/>
  <c r="F10306" i="2"/>
  <c r="G10306" i="2"/>
  <c r="H10306" i="2"/>
  <c r="J10306" i="2"/>
  <c r="K10306" i="2"/>
  <c r="L10306" i="2"/>
  <c r="C10307" i="2"/>
  <c r="D10307" i="2"/>
  <c r="F10307" i="2"/>
  <c r="G10307" i="2"/>
  <c r="H10307" i="2"/>
  <c r="J10307" i="2"/>
  <c r="K10307" i="2"/>
  <c r="L10307" i="2"/>
  <c r="C10308" i="2"/>
  <c r="D10308" i="2"/>
  <c r="F10308" i="2"/>
  <c r="G10308" i="2"/>
  <c r="H10308" i="2"/>
  <c r="J10308" i="2"/>
  <c r="K10308" i="2"/>
  <c r="L10308" i="2"/>
  <c r="C10309" i="2"/>
  <c r="D10309" i="2"/>
  <c r="F10309" i="2"/>
  <c r="G10309" i="2"/>
  <c r="H10309" i="2"/>
  <c r="J10309" i="2"/>
  <c r="K10309" i="2"/>
  <c r="L10309" i="2"/>
  <c r="C10310" i="2"/>
  <c r="D10310" i="2"/>
  <c r="F10310" i="2"/>
  <c r="G10310" i="2"/>
  <c r="H10310" i="2"/>
  <c r="J10310" i="2"/>
  <c r="K10310" i="2"/>
  <c r="L10310" i="2"/>
  <c r="C10311" i="2"/>
  <c r="D10311" i="2"/>
  <c r="F10311" i="2"/>
  <c r="G10311" i="2"/>
  <c r="H10311" i="2"/>
  <c r="J10311" i="2"/>
  <c r="K10311" i="2"/>
  <c r="L10311" i="2"/>
  <c r="C10312" i="2"/>
  <c r="D10312" i="2"/>
  <c r="F10312" i="2"/>
  <c r="G10312" i="2"/>
  <c r="H10312" i="2"/>
  <c r="J10312" i="2"/>
  <c r="K10312" i="2"/>
  <c r="L10312" i="2"/>
  <c r="C10313" i="2"/>
  <c r="D10313" i="2"/>
  <c r="F10313" i="2"/>
  <c r="G10313" i="2"/>
  <c r="H10313" i="2"/>
  <c r="J10313" i="2"/>
  <c r="K10313" i="2"/>
  <c r="L10313" i="2"/>
  <c r="C10314" i="2"/>
  <c r="D10314" i="2"/>
  <c r="F10314" i="2"/>
  <c r="G10314" i="2"/>
  <c r="H10314" i="2"/>
  <c r="J10314" i="2"/>
  <c r="K10314" i="2"/>
  <c r="L10314" i="2"/>
  <c r="C10315" i="2"/>
  <c r="D10315" i="2"/>
  <c r="F10315" i="2"/>
  <c r="G10315" i="2"/>
  <c r="H10315" i="2"/>
  <c r="J10315" i="2"/>
  <c r="K10315" i="2"/>
  <c r="L10315" i="2"/>
  <c r="C10316" i="2"/>
  <c r="D10316" i="2"/>
  <c r="F10316" i="2"/>
  <c r="G10316" i="2"/>
  <c r="H10316" i="2"/>
  <c r="J10316" i="2"/>
  <c r="K10316" i="2"/>
  <c r="L10316" i="2"/>
  <c r="C10317" i="2"/>
  <c r="D10317" i="2"/>
  <c r="F10317" i="2"/>
  <c r="G10317" i="2"/>
  <c r="H10317" i="2"/>
  <c r="J10317" i="2"/>
  <c r="K10317" i="2"/>
  <c r="L10317" i="2"/>
  <c r="C10318" i="2"/>
  <c r="D10318" i="2"/>
  <c r="F10318" i="2"/>
  <c r="G10318" i="2"/>
  <c r="H10318" i="2"/>
  <c r="J10318" i="2"/>
  <c r="K10318" i="2"/>
  <c r="L10318" i="2"/>
  <c r="C10319" i="2"/>
  <c r="D10319" i="2"/>
  <c r="F10319" i="2"/>
  <c r="G10319" i="2"/>
  <c r="H10319" i="2"/>
  <c r="J10319" i="2"/>
  <c r="K10319" i="2"/>
  <c r="L10319" i="2"/>
  <c r="C10320" i="2"/>
  <c r="D10320" i="2"/>
  <c r="F10320" i="2"/>
  <c r="G10320" i="2"/>
  <c r="H10320" i="2"/>
  <c r="J10320" i="2"/>
  <c r="K10320" i="2"/>
  <c r="L10320" i="2"/>
  <c r="C10321" i="2"/>
  <c r="D10321" i="2"/>
  <c r="F10321" i="2"/>
  <c r="G10321" i="2"/>
  <c r="H10321" i="2"/>
  <c r="J10321" i="2"/>
  <c r="K10321" i="2"/>
  <c r="L10321" i="2"/>
  <c r="C10322" i="2"/>
  <c r="D10322" i="2"/>
  <c r="F10322" i="2"/>
  <c r="G10322" i="2"/>
  <c r="H10322" i="2"/>
  <c r="J10322" i="2"/>
  <c r="K10322" i="2"/>
  <c r="L10322" i="2"/>
  <c r="C10323" i="2"/>
  <c r="D10323" i="2"/>
  <c r="F10323" i="2"/>
  <c r="G10323" i="2"/>
  <c r="H10323" i="2"/>
  <c r="J10323" i="2"/>
  <c r="K10323" i="2"/>
  <c r="L10323" i="2"/>
  <c r="C10324" i="2"/>
  <c r="D10324" i="2"/>
  <c r="F10324" i="2"/>
  <c r="G10324" i="2"/>
  <c r="H10324" i="2"/>
  <c r="J10324" i="2"/>
  <c r="K10324" i="2"/>
  <c r="L10324" i="2"/>
  <c r="C10325" i="2"/>
  <c r="D10325" i="2"/>
  <c r="F10325" i="2"/>
  <c r="G10325" i="2"/>
  <c r="H10325" i="2"/>
  <c r="J10325" i="2"/>
  <c r="K10325" i="2"/>
  <c r="L10325" i="2"/>
  <c r="C10326" i="2"/>
  <c r="D10326" i="2"/>
  <c r="F10326" i="2"/>
  <c r="G10326" i="2"/>
  <c r="H10326" i="2"/>
  <c r="J10326" i="2"/>
  <c r="K10326" i="2"/>
  <c r="L10326" i="2"/>
  <c r="C10327" i="2"/>
  <c r="D10327" i="2"/>
  <c r="F10327" i="2"/>
  <c r="G10327" i="2"/>
  <c r="H10327" i="2"/>
  <c r="J10327" i="2"/>
  <c r="K10327" i="2"/>
  <c r="L10327" i="2"/>
  <c r="C10328" i="2"/>
  <c r="D10328" i="2"/>
  <c r="F10328" i="2"/>
  <c r="G10328" i="2"/>
  <c r="H10328" i="2"/>
  <c r="J10328" i="2"/>
  <c r="K10328" i="2"/>
  <c r="L10328" i="2"/>
  <c r="C10329" i="2"/>
  <c r="D10329" i="2"/>
  <c r="F10329" i="2"/>
  <c r="G10329" i="2"/>
  <c r="H10329" i="2"/>
  <c r="J10329" i="2"/>
  <c r="K10329" i="2"/>
  <c r="L10329" i="2"/>
  <c r="C10330" i="2"/>
  <c r="D10330" i="2"/>
  <c r="F10330" i="2"/>
  <c r="G10330" i="2"/>
  <c r="H10330" i="2"/>
  <c r="J10330" i="2"/>
  <c r="K10330" i="2"/>
  <c r="L10330" i="2"/>
  <c r="C10331" i="2"/>
  <c r="D10331" i="2"/>
  <c r="F10331" i="2"/>
  <c r="G10331" i="2"/>
  <c r="H10331" i="2"/>
  <c r="J10331" i="2"/>
  <c r="K10331" i="2"/>
  <c r="L10331" i="2"/>
  <c r="C10332" i="2"/>
  <c r="D10332" i="2"/>
  <c r="F10332" i="2"/>
  <c r="G10332" i="2"/>
  <c r="H10332" i="2"/>
  <c r="J10332" i="2"/>
  <c r="K10332" i="2"/>
  <c r="L10332" i="2"/>
  <c r="C10333" i="2"/>
  <c r="D10333" i="2"/>
  <c r="F10333" i="2"/>
  <c r="G10333" i="2"/>
  <c r="H10333" i="2"/>
  <c r="J10333" i="2"/>
  <c r="K10333" i="2"/>
  <c r="L10333" i="2"/>
  <c r="C10334" i="2"/>
  <c r="D10334" i="2"/>
  <c r="F10334" i="2"/>
  <c r="G10334" i="2"/>
  <c r="H10334" i="2"/>
  <c r="J10334" i="2"/>
  <c r="K10334" i="2"/>
  <c r="L10334" i="2"/>
  <c r="C10335" i="2"/>
  <c r="D10335" i="2"/>
  <c r="F10335" i="2"/>
  <c r="G10335" i="2"/>
  <c r="H10335" i="2"/>
  <c r="J10335" i="2"/>
  <c r="K10335" i="2"/>
  <c r="L10335" i="2"/>
  <c r="C10336" i="2"/>
  <c r="D10336" i="2"/>
  <c r="F10336" i="2"/>
  <c r="G10336" i="2"/>
  <c r="H10336" i="2"/>
  <c r="J10336" i="2"/>
  <c r="K10336" i="2"/>
  <c r="L10336" i="2"/>
  <c r="C10337" i="2"/>
  <c r="D10337" i="2"/>
  <c r="F10337" i="2"/>
  <c r="G10337" i="2"/>
  <c r="H10337" i="2"/>
  <c r="J10337" i="2"/>
  <c r="K10337" i="2"/>
  <c r="L10337" i="2"/>
  <c r="C10338" i="2"/>
  <c r="D10338" i="2"/>
  <c r="F10338" i="2"/>
  <c r="G10338" i="2"/>
  <c r="H10338" i="2"/>
  <c r="J10338" i="2"/>
  <c r="K10338" i="2"/>
  <c r="L10338" i="2"/>
  <c r="C10339" i="2"/>
  <c r="D10339" i="2"/>
  <c r="F10339" i="2"/>
  <c r="G10339" i="2"/>
  <c r="H10339" i="2"/>
  <c r="J10339" i="2"/>
  <c r="K10339" i="2"/>
  <c r="L10339" i="2"/>
  <c r="C10340" i="2"/>
  <c r="D10340" i="2"/>
  <c r="F10340" i="2"/>
  <c r="G10340" i="2"/>
  <c r="H10340" i="2"/>
  <c r="J10340" i="2"/>
  <c r="K10340" i="2"/>
  <c r="L10340" i="2"/>
  <c r="C10341" i="2"/>
  <c r="D10341" i="2"/>
  <c r="F10341" i="2"/>
  <c r="G10341" i="2"/>
  <c r="H10341" i="2"/>
  <c r="J10341" i="2"/>
  <c r="K10341" i="2"/>
  <c r="L10341" i="2"/>
  <c r="C10342" i="2"/>
  <c r="D10342" i="2"/>
  <c r="F10342" i="2"/>
  <c r="G10342" i="2"/>
  <c r="H10342" i="2"/>
  <c r="J10342" i="2"/>
  <c r="K10342" i="2"/>
  <c r="L10342" i="2"/>
  <c r="C10343" i="2"/>
  <c r="D10343" i="2"/>
  <c r="F10343" i="2"/>
  <c r="G10343" i="2"/>
  <c r="H10343" i="2"/>
  <c r="J10343" i="2"/>
  <c r="K10343" i="2"/>
  <c r="L10343" i="2"/>
  <c r="C10344" i="2"/>
  <c r="D10344" i="2"/>
  <c r="F10344" i="2"/>
  <c r="G10344" i="2"/>
  <c r="H10344" i="2"/>
  <c r="J10344" i="2"/>
  <c r="K10344" i="2"/>
  <c r="L10344" i="2"/>
  <c r="C10345" i="2"/>
  <c r="D10345" i="2"/>
  <c r="F10345" i="2"/>
  <c r="G10345" i="2"/>
  <c r="H10345" i="2"/>
  <c r="J10345" i="2"/>
  <c r="K10345" i="2"/>
  <c r="L10345" i="2"/>
  <c r="C10346" i="2"/>
  <c r="D10346" i="2"/>
  <c r="F10346" i="2"/>
  <c r="G10346" i="2"/>
  <c r="H10346" i="2"/>
  <c r="J10346" i="2"/>
  <c r="K10346" i="2"/>
  <c r="L10346" i="2"/>
  <c r="C10347" i="2"/>
  <c r="D10347" i="2"/>
  <c r="F10347" i="2"/>
  <c r="G10347" i="2"/>
  <c r="H10347" i="2"/>
  <c r="J10347" i="2"/>
  <c r="K10347" i="2"/>
  <c r="L10347" i="2"/>
  <c r="C10348" i="2"/>
  <c r="D10348" i="2"/>
  <c r="F10348" i="2"/>
  <c r="G10348" i="2"/>
  <c r="H10348" i="2"/>
  <c r="J10348" i="2"/>
  <c r="K10348" i="2"/>
  <c r="L10348" i="2"/>
  <c r="C10349" i="2"/>
  <c r="D10349" i="2"/>
  <c r="F10349" i="2"/>
  <c r="G10349" i="2"/>
  <c r="H10349" i="2"/>
  <c r="J10349" i="2"/>
  <c r="K10349" i="2"/>
  <c r="L10349" i="2"/>
  <c r="C10350" i="2"/>
  <c r="D10350" i="2"/>
  <c r="F10350" i="2"/>
  <c r="G10350" i="2"/>
  <c r="H10350" i="2"/>
  <c r="J10350" i="2"/>
  <c r="K10350" i="2"/>
  <c r="L10350" i="2"/>
  <c r="C10351" i="2"/>
  <c r="D10351" i="2"/>
  <c r="F10351" i="2"/>
  <c r="G10351" i="2"/>
  <c r="H10351" i="2"/>
  <c r="J10351" i="2"/>
  <c r="K10351" i="2"/>
  <c r="L10351" i="2"/>
  <c r="C10352" i="2"/>
  <c r="D10352" i="2"/>
  <c r="F10352" i="2"/>
  <c r="G10352" i="2"/>
  <c r="H10352" i="2"/>
  <c r="J10352" i="2"/>
  <c r="K10352" i="2"/>
  <c r="L10352" i="2"/>
  <c r="C10353" i="2"/>
  <c r="D10353" i="2"/>
  <c r="F10353" i="2"/>
  <c r="G10353" i="2"/>
  <c r="H10353" i="2"/>
  <c r="J10353" i="2"/>
  <c r="K10353" i="2"/>
  <c r="L10353" i="2"/>
  <c r="C10354" i="2"/>
  <c r="D10354" i="2"/>
  <c r="F10354" i="2"/>
  <c r="G10354" i="2"/>
  <c r="H10354" i="2"/>
  <c r="J10354" i="2"/>
  <c r="K10354" i="2"/>
  <c r="L10354" i="2"/>
  <c r="C10355" i="2"/>
  <c r="D10355" i="2"/>
  <c r="F10355" i="2"/>
  <c r="G10355" i="2"/>
  <c r="H10355" i="2"/>
  <c r="J10355" i="2"/>
  <c r="K10355" i="2"/>
  <c r="L10355" i="2"/>
  <c r="C10356" i="2"/>
  <c r="D10356" i="2"/>
  <c r="F10356" i="2"/>
  <c r="G10356" i="2"/>
  <c r="H10356" i="2"/>
  <c r="J10356" i="2"/>
  <c r="K10356" i="2"/>
  <c r="L10356" i="2"/>
  <c r="C10357" i="2"/>
  <c r="D10357" i="2"/>
  <c r="F10357" i="2"/>
  <c r="G10357" i="2"/>
  <c r="H10357" i="2"/>
  <c r="J10357" i="2"/>
  <c r="K10357" i="2"/>
  <c r="L10357" i="2"/>
  <c r="C10358" i="2"/>
  <c r="D10358" i="2"/>
  <c r="F10358" i="2"/>
  <c r="G10358" i="2"/>
  <c r="H10358" i="2"/>
  <c r="J10358" i="2"/>
  <c r="K10358" i="2"/>
  <c r="L10358" i="2"/>
  <c r="C10359" i="2"/>
  <c r="D10359" i="2"/>
  <c r="F10359" i="2"/>
  <c r="G10359" i="2"/>
  <c r="H10359" i="2"/>
  <c r="J10359" i="2"/>
  <c r="K10359" i="2"/>
  <c r="L10359" i="2"/>
  <c r="C10360" i="2"/>
  <c r="D10360" i="2"/>
  <c r="F10360" i="2"/>
  <c r="G10360" i="2"/>
  <c r="H10360" i="2"/>
  <c r="J10360" i="2"/>
  <c r="K10360" i="2"/>
  <c r="L10360" i="2"/>
  <c r="C10361" i="2"/>
  <c r="D10361" i="2"/>
  <c r="F10361" i="2"/>
  <c r="G10361" i="2"/>
  <c r="H10361" i="2"/>
  <c r="J10361" i="2"/>
  <c r="K10361" i="2"/>
  <c r="L10361" i="2"/>
  <c r="C10362" i="2"/>
  <c r="D10362" i="2"/>
  <c r="F10362" i="2"/>
  <c r="G10362" i="2"/>
  <c r="H10362" i="2"/>
  <c r="J10362" i="2"/>
  <c r="K10362" i="2"/>
  <c r="L10362" i="2"/>
  <c r="C10363" i="2"/>
  <c r="D10363" i="2"/>
  <c r="F10363" i="2"/>
  <c r="G10363" i="2"/>
  <c r="H10363" i="2"/>
  <c r="J10363" i="2"/>
  <c r="K10363" i="2"/>
  <c r="L10363" i="2"/>
  <c r="C10364" i="2"/>
  <c r="D10364" i="2"/>
  <c r="F10364" i="2"/>
  <c r="G10364" i="2"/>
  <c r="H10364" i="2"/>
  <c r="J10364" i="2"/>
  <c r="K10364" i="2"/>
  <c r="L10364" i="2"/>
  <c r="C10365" i="2"/>
  <c r="D10365" i="2"/>
  <c r="F10365" i="2"/>
  <c r="G10365" i="2"/>
  <c r="H10365" i="2"/>
  <c r="J10365" i="2"/>
  <c r="K10365" i="2"/>
  <c r="L10365" i="2"/>
  <c r="C10366" i="2"/>
  <c r="D10366" i="2"/>
  <c r="F10366" i="2"/>
  <c r="G10366" i="2"/>
  <c r="H10366" i="2"/>
  <c r="J10366" i="2"/>
  <c r="K10366" i="2"/>
  <c r="L10366" i="2"/>
  <c r="C10367" i="2"/>
  <c r="D10367" i="2"/>
  <c r="F10367" i="2"/>
  <c r="G10367" i="2"/>
  <c r="H10367" i="2"/>
  <c r="J10367" i="2"/>
  <c r="K10367" i="2"/>
  <c r="L10367" i="2"/>
  <c r="C10368" i="2"/>
  <c r="D10368" i="2"/>
  <c r="F10368" i="2"/>
  <c r="G10368" i="2"/>
  <c r="H10368" i="2"/>
  <c r="J10368" i="2"/>
  <c r="K10368" i="2"/>
  <c r="L10368" i="2"/>
  <c r="C10369" i="2"/>
  <c r="D10369" i="2"/>
  <c r="F10369" i="2"/>
  <c r="G10369" i="2"/>
  <c r="H10369" i="2"/>
  <c r="J10369" i="2"/>
  <c r="K10369" i="2"/>
  <c r="L10369" i="2"/>
  <c r="C10370" i="2"/>
  <c r="D10370" i="2"/>
  <c r="F10370" i="2"/>
  <c r="G10370" i="2"/>
  <c r="H10370" i="2"/>
  <c r="J10370" i="2"/>
  <c r="K10370" i="2"/>
  <c r="L10370" i="2"/>
  <c r="C10371" i="2"/>
  <c r="D10371" i="2"/>
  <c r="F10371" i="2"/>
  <c r="G10371" i="2"/>
  <c r="H10371" i="2"/>
  <c r="J10371" i="2"/>
  <c r="K10371" i="2"/>
  <c r="L10371" i="2"/>
  <c r="C10372" i="2"/>
  <c r="D10372" i="2"/>
  <c r="F10372" i="2"/>
  <c r="G10372" i="2"/>
  <c r="H10372" i="2"/>
  <c r="J10372" i="2"/>
  <c r="K10372" i="2"/>
  <c r="L10372" i="2"/>
  <c r="C10373" i="2"/>
  <c r="D10373" i="2"/>
  <c r="F10373" i="2"/>
  <c r="G10373" i="2"/>
  <c r="H10373" i="2"/>
  <c r="J10373" i="2"/>
  <c r="K10373" i="2"/>
  <c r="L10373" i="2"/>
  <c r="C10374" i="2"/>
  <c r="D10374" i="2"/>
  <c r="F10374" i="2"/>
  <c r="G10374" i="2"/>
  <c r="H10374" i="2"/>
  <c r="J10374" i="2"/>
  <c r="K10374" i="2"/>
  <c r="L10374" i="2"/>
  <c r="C10375" i="2"/>
  <c r="D10375" i="2"/>
  <c r="F10375" i="2"/>
  <c r="G10375" i="2"/>
  <c r="H10375" i="2"/>
  <c r="J10375" i="2"/>
  <c r="K10375" i="2"/>
  <c r="L10375" i="2"/>
  <c r="C10376" i="2"/>
  <c r="D10376" i="2"/>
  <c r="F10376" i="2"/>
  <c r="G10376" i="2"/>
  <c r="H10376" i="2"/>
  <c r="J10376" i="2"/>
  <c r="K10376" i="2"/>
  <c r="L10376" i="2"/>
  <c r="C10377" i="2"/>
  <c r="D10377" i="2"/>
  <c r="F10377" i="2"/>
  <c r="G10377" i="2"/>
  <c r="H10377" i="2"/>
  <c r="J10377" i="2"/>
  <c r="K10377" i="2"/>
  <c r="L10377" i="2"/>
  <c r="C10378" i="2"/>
  <c r="D10378" i="2"/>
  <c r="F10378" i="2"/>
  <c r="G10378" i="2"/>
  <c r="H10378" i="2"/>
  <c r="J10378" i="2"/>
  <c r="K10378" i="2"/>
  <c r="L10378" i="2"/>
  <c r="C10379" i="2"/>
  <c r="D10379" i="2"/>
  <c r="F10379" i="2"/>
  <c r="G10379" i="2"/>
  <c r="H10379" i="2"/>
  <c r="J10379" i="2"/>
  <c r="K10379" i="2"/>
  <c r="L10379" i="2"/>
  <c r="C10380" i="2"/>
  <c r="D10380" i="2"/>
  <c r="F10380" i="2"/>
  <c r="G10380" i="2"/>
  <c r="H10380" i="2"/>
  <c r="J10380" i="2"/>
  <c r="K10380" i="2"/>
  <c r="L10380" i="2"/>
  <c r="C10381" i="2"/>
  <c r="D10381" i="2"/>
  <c r="F10381" i="2"/>
  <c r="G10381" i="2"/>
  <c r="H10381" i="2"/>
  <c r="J10381" i="2"/>
  <c r="K10381" i="2"/>
  <c r="L10381" i="2"/>
  <c r="C10382" i="2"/>
  <c r="D10382" i="2"/>
  <c r="F10382" i="2"/>
  <c r="G10382" i="2"/>
  <c r="H10382" i="2"/>
  <c r="J10382" i="2"/>
  <c r="K10382" i="2"/>
  <c r="L10382" i="2"/>
  <c r="C10383" i="2"/>
  <c r="D10383" i="2"/>
  <c r="F10383" i="2"/>
  <c r="G10383" i="2"/>
  <c r="H10383" i="2"/>
  <c r="J10383" i="2"/>
  <c r="K10383" i="2"/>
  <c r="L10383" i="2"/>
  <c r="C10384" i="2"/>
  <c r="D10384" i="2"/>
  <c r="F10384" i="2"/>
  <c r="G10384" i="2"/>
  <c r="H10384" i="2"/>
  <c r="J10384" i="2"/>
  <c r="K10384" i="2"/>
  <c r="L10384" i="2"/>
  <c r="C10385" i="2"/>
  <c r="D10385" i="2"/>
  <c r="F10385" i="2"/>
  <c r="G10385" i="2"/>
  <c r="H10385" i="2"/>
  <c r="J10385" i="2"/>
  <c r="K10385" i="2"/>
  <c r="L10385" i="2"/>
  <c r="C10386" i="2"/>
  <c r="D10386" i="2"/>
  <c r="F10386" i="2"/>
  <c r="G10386" i="2"/>
  <c r="H10386" i="2"/>
  <c r="J10386" i="2"/>
  <c r="K10386" i="2"/>
  <c r="L10386" i="2"/>
  <c r="C10387" i="2"/>
  <c r="D10387" i="2"/>
  <c r="F10387" i="2"/>
  <c r="G10387" i="2"/>
  <c r="H10387" i="2"/>
  <c r="J10387" i="2"/>
  <c r="K10387" i="2"/>
  <c r="L10387" i="2"/>
  <c r="C10388" i="2"/>
  <c r="D10388" i="2"/>
  <c r="F10388" i="2"/>
  <c r="G10388" i="2"/>
  <c r="H10388" i="2"/>
  <c r="J10388" i="2"/>
  <c r="K10388" i="2"/>
  <c r="L10388" i="2"/>
  <c r="C10389" i="2"/>
  <c r="D10389" i="2"/>
  <c r="F10389" i="2"/>
  <c r="G10389" i="2"/>
  <c r="H10389" i="2"/>
  <c r="J10389" i="2"/>
  <c r="K10389" i="2"/>
  <c r="L10389" i="2"/>
  <c r="C10390" i="2"/>
  <c r="D10390" i="2"/>
  <c r="F10390" i="2"/>
  <c r="G10390" i="2"/>
  <c r="H10390" i="2"/>
  <c r="J10390" i="2"/>
  <c r="K10390" i="2"/>
  <c r="L10390" i="2"/>
  <c r="C10391" i="2"/>
  <c r="D10391" i="2"/>
  <c r="F10391" i="2"/>
  <c r="G10391" i="2"/>
  <c r="H10391" i="2"/>
  <c r="J10391" i="2"/>
  <c r="K10391" i="2"/>
  <c r="L10391" i="2"/>
  <c r="C10392" i="2"/>
  <c r="D10392" i="2"/>
  <c r="F10392" i="2"/>
  <c r="G10392" i="2"/>
  <c r="H10392" i="2"/>
  <c r="J10392" i="2"/>
  <c r="K10392" i="2"/>
  <c r="L10392" i="2"/>
  <c r="C10393" i="2"/>
  <c r="D10393" i="2"/>
  <c r="F10393" i="2"/>
  <c r="G10393" i="2"/>
  <c r="H10393" i="2"/>
  <c r="J10393" i="2"/>
  <c r="K10393" i="2"/>
  <c r="L10393" i="2"/>
  <c r="C10394" i="2"/>
  <c r="D10394" i="2"/>
  <c r="F10394" i="2"/>
  <c r="G10394" i="2"/>
  <c r="H10394" i="2"/>
  <c r="J10394" i="2"/>
  <c r="K10394" i="2"/>
  <c r="L10394" i="2"/>
  <c r="C10395" i="2"/>
  <c r="D10395" i="2"/>
  <c r="F10395" i="2"/>
  <c r="G10395" i="2"/>
  <c r="H10395" i="2"/>
  <c r="J10395" i="2"/>
  <c r="K10395" i="2"/>
  <c r="L10395" i="2"/>
  <c r="C10396" i="2"/>
  <c r="D10396" i="2"/>
  <c r="F10396" i="2"/>
  <c r="G10396" i="2"/>
  <c r="H10396" i="2"/>
  <c r="J10396" i="2"/>
  <c r="K10396" i="2"/>
  <c r="L10396" i="2"/>
  <c r="C10397" i="2"/>
  <c r="D10397" i="2"/>
  <c r="F10397" i="2"/>
  <c r="G10397" i="2"/>
  <c r="H10397" i="2"/>
  <c r="J10397" i="2"/>
  <c r="K10397" i="2"/>
  <c r="L10397" i="2"/>
  <c r="C10398" i="2"/>
  <c r="D10398" i="2"/>
  <c r="F10398" i="2"/>
  <c r="G10398" i="2"/>
  <c r="H10398" i="2"/>
  <c r="J10398" i="2"/>
  <c r="K10398" i="2"/>
  <c r="L10398" i="2"/>
  <c r="C10399" i="2"/>
  <c r="D10399" i="2"/>
  <c r="F10399" i="2"/>
  <c r="G10399" i="2"/>
  <c r="H10399" i="2"/>
  <c r="J10399" i="2"/>
  <c r="K10399" i="2"/>
  <c r="L10399" i="2"/>
  <c r="C10400" i="2"/>
  <c r="D10400" i="2"/>
  <c r="F10400" i="2"/>
  <c r="G10400" i="2"/>
  <c r="H10400" i="2"/>
  <c r="J10400" i="2"/>
  <c r="K10400" i="2"/>
  <c r="L10400" i="2"/>
  <c r="C10401" i="2"/>
  <c r="D10401" i="2"/>
  <c r="F10401" i="2"/>
  <c r="G10401" i="2"/>
  <c r="H10401" i="2"/>
  <c r="J10401" i="2"/>
  <c r="K10401" i="2"/>
  <c r="L10401" i="2"/>
  <c r="C10402" i="2"/>
  <c r="D10402" i="2"/>
  <c r="F10402" i="2"/>
  <c r="G10402" i="2"/>
  <c r="H10402" i="2"/>
  <c r="J10402" i="2"/>
  <c r="K10402" i="2"/>
  <c r="L10402" i="2"/>
  <c r="C10403" i="2"/>
  <c r="D10403" i="2"/>
  <c r="F10403" i="2"/>
  <c r="G10403" i="2"/>
  <c r="H10403" i="2"/>
  <c r="J10403" i="2"/>
  <c r="K10403" i="2"/>
  <c r="L10403" i="2"/>
  <c r="C10404" i="2"/>
  <c r="D10404" i="2"/>
  <c r="F10404" i="2"/>
  <c r="G10404" i="2"/>
  <c r="H10404" i="2"/>
  <c r="J10404" i="2"/>
  <c r="K10404" i="2"/>
  <c r="L10404" i="2"/>
  <c r="C10405" i="2"/>
  <c r="D10405" i="2"/>
  <c r="F10405" i="2"/>
  <c r="G10405" i="2"/>
  <c r="H10405" i="2"/>
  <c r="J10405" i="2"/>
  <c r="K10405" i="2"/>
  <c r="L10405" i="2"/>
  <c r="C10406" i="2"/>
  <c r="D10406" i="2"/>
  <c r="F10406" i="2"/>
  <c r="G10406" i="2"/>
  <c r="H10406" i="2"/>
  <c r="J10406" i="2"/>
  <c r="K10406" i="2"/>
  <c r="L10406" i="2"/>
  <c r="C10407" i="2"/>
  <c r="D10407" i="2"/>
  <c r="F10407" i="2"/>
  <c r="G10407" i="2"/>
  <c r="H10407" i="2"/>
  <c r="J10407" i="2"/>
  <c r="K10407" i="2"/>
  <c r="L10407" i="2"/>
  <c r="C10408" i="2"/>
  <c r="D10408" i="2"/>
  <c r="F10408" i="2"/>
  <c r="G10408" i="2"/>
  <c r="H10408" i="2"/>
  <c r="J10408" i="2"/>
  <c r="K10408" i="2"/>
  <c r="L10408" i="2"/>
  <c r="C10409" i="2"/>
  <c r="D10409" i="2"/>
  <c r="F10409" i="2"/>
  <c r="G10409" i="2"/>
  <c r="H10409" i="2"/>
  <c r="J10409" i="2"/>
  <c r="K10409" i="2"/>
  <c r="L10409" i="2"/>
  <c r="C10410" i="2"/>
  <c r="D10410" i="2"/>
  <c r="F10410" i="2"/>
  <c r="G10410" i="2"/>
  <c r="H10410" i="2"/>
  <c r="J10410" i="2"/>
  <c r="K10410" i="2"/>
  <c r="L10410" i="2"/>
  <c r="C10411" i="2"/>
  <c r="D10411" i="2"/>
  <c r="F10411" i="2"/>
  <c r="G10411" i="2"/>
  <c r="H10411" i="2"/>
  <c r="J10411" i="2"/>
  <c r="K10411" i="2"/>
  <c r="L10411" i="2"/>
  <c r="C10412" i="2"/>
  <c r="D10412" i="2"/>
  <c r="F10412" i="2"/>
  <c r="G10412" i="2"/>
  <c r="H10412" i="2"/>
  <c r="J10412" i="2"/>
  <c r="K10412" i="2"/>
  <c r="L10412" i="2"/>
  <c r="C10413" i="2"/>
  <c r="D10413" i="2"/>
  <c r="F10413" i="2"/>
  <c r="G10413" i="2"/>
  <c r="H10413" i="2"/>
  <c r="J10413" i="2"/>
  <c r="K10413" i="2"/>
  <c r="L10413" i="2"/>
  <c r="C10414" i="2"/>
  <c r="D10414" i="2"/>
  <c r="F10414" i="2"/>
  <c r="G10414" i="2"/>
  <c r="H10414" i="2"/>
  <c r="J10414" i="2"/>
  <c r="K10414" i="2"/>
  <c r="L10414" i="2"/>
  <c r="C10415" i="2"/>
  <c r="D10415" i="2"/>
  <c r="F10415" i="2"/>
  <c r="G10415" i="2"/>
  <c r="H10415" i="2"/>
  <c r="J10415" i="2"/>
  <c r="K10415" i="2"/>
  <c r="L10415" i="2"/>
  <c r="C10416" i="2"/>
  <c r="D10416" i="2"/>
  <c r="F10416" i="2"/>
  <c r="G10416" i="2"/>
  <c r="H10416" i="2"/>
  <c r="J10416" i="2"/>
  <c r="K10416" i="2"/>
  <c r="L10416" i="2"/>
  <c r="C10417" i="2"/>
  <c r="D10417" i="2"/>
  <c r="F10417" i="2"/>
  <c r="G10417" i="2"/>
  <c r="H10417" i="2"/>
  <c r="J10417" i="2"/>
  <c r="K10417" i="2"/>
  <c r="L10417" i="2"/>
  <c r="C10418" i="2"/>
  <c r="D10418" i="2"/>
  <c r="F10418" i="2"/>
  <c r="G10418" i="2"/>
  <c r="H10418" i="2"/>
  <c r="J10418" i="2"/>
  <c r="K10418" i="2"/>
  <c r="L10418" i="2"/>
  <c r="C10419" i="2"/>
  <c r="D10419" i="2"/>
  <c r="F10419" i="2"/>
  <c r="G10419" i="2"/>
  <c r="H10419" i="2"/>
  <c r="J10419" i="2"/>
  <c r="K10419" i="2"/>
  <c r="L10419" i="2"/>
  <c r="C10420" i="2"/>
  <c r="D10420" i="2"/>
  <c r="F10420" i="2"/>
  <c r="G10420" i="2"/>
  <c r="H10420" i="2"/>
  <c r="J10420" i="2"/>
  <c r="K10420" i="2"/>
  <c r="L10420" i="2"/>
  <c r="C10421" i="2"/>
  <c r="D10421" i="2"/>
  <c r="F10421" i="2"/>
  <c r="G10421" i="2"/>
  <c r="H10421" i="2"/>
  <c r="J10421" i="2"/>
  <c r="K10421" i="2"/>
  <c r="L10421" i="2"/>
  <c r="C10422" i="2"/>
  <c r="D10422" i="2"/>
  <c r="F10422" i="2"/>
  <c r="G10422" i="2"/>
  <c r="H10422" i="2"/>
  <c r="J10422" i="2"/>
  <c r="K10422" i="2"/>
  <c r="L10422" i="2"/>
  <c r="C10423" i="2"/>
  <c r="D10423" i="2"/>
  <c r="F10423" i="2"/>
  <c r="G10423" i="2"/>
  <c r="H10423" i="2"/>
  <c r="J10423" i="2"/>
  <c r="K10423" i="2"/>
  <c r="L10423" i="2"/>
  <c r="C10424" i="2"/>
  <c r="D10424" i="2"/>
  <c r="F10424" i="2"/>
  <c r="G10424" i="2"/>
  <c r="H10424" i="2"/>
  <c r="J10424" i="2"/>
  <c r="K10424" i="2"/>
  <c r="L10424" i="2"/>
  <c r="C10425" i="2"/>
  <c r="D10425" i="2"/>
  <c r="F10425" i="2"/>
  <c r="G10425" i="2"/>
  <c r="H10425" i="2"/>
  <c r="J10425" i="2"/>
  <c r="K10425" i="2"/>
  <c r="L10425" i="2"/>
  <c r="C10426" i="2"/>
  <c r="D10426" i="2"/>
  <c r="F10426" i="2"/>
  <c r="G10426" i="2"/>
  <c r="H10426" i="2"/>
  <c r="J10426" i="2"/>
  <c r="K10426" i="2"/>
  <c r="L10426" i="2"/>
  <c r="C10427" i="2"/>
  <c r="D10427" i="2"/>
  <c r="F10427" i="2"/>
  <c r="G10427" i="2"/>
  <c r="H10427" i="2"/>
  <c r="J10427" i="2"/>
  <c r="K10427" i="2"/>
  <c r="L10427" i="2"/>
  <c r="C10428" i="2"/>
  <c r="D10428" i="2"/>
  <c r="F10428" i="2"/>
  <c r="G10428" i="2"/>
  <c r="H10428" i="2"/>
  <c r="J10428" i="2"/>
  <c r="K10428" i="2"/>
  <c r="L10428" i="2"/>
  <c r="C10429" i="2"/>
  <c r="D10429" i="2"/>
  <c r="F10429" i="2"/>
  <c r="G10429" i="2"/>
  <c r="H10429" i="2"/>
  <c r="J10429" i="2"/>
  <c r="K10429" i="2"/>
  <c r="L10429" i="2"/>
  <c r="C10430" i="2"/>
  <c r="D10430" i="2"/>
  <c r="F10430" i="2"/>
  <c r="G10430" i="2"/>
  <c r="H10430" i="2"/>
  <c r="J10430" i="2"/>
  <c r="K10430" i="2"/>
  <c r="L10430" i="2"/>
  <c r="C10431" i="2"/>
  <c r="D10431" i="2"/>
  <c r="F10431" i="2"/>
  <c r="G10431" i="2"/>
  <c r="H10431" i="2"/>
  <c r="J10431" i="2"/>
  <c r="K10431" i="2"/>
  <c r="L10431" i="2"/>
  <c r="C10432" i="2"/>
  <c r="D10432" i="2"/>
  <c r="F10432" i="2"/>
  <c r="G10432" i="2"/>
  <c r="H10432" i="2"/>
  <c r="J10432" i="2"/>
  <c r="K10432" i="2"/>
  <c r="L10432" i="2"/>
  <c r="C10433" i="2"/>
  <c r="D10433" i="2"/>
  <c r="F10433" i="2"/>
  <c r="G10433" i="2"/>
  <c r="H10433" i="2"/>
  <c r="J10433" i="2"/>
  <c r="K10433" i="2"/>
  <c r="L10433" i="2"/>
  <c r="C10434" i="2"/>
  <c r="D10434" i="2"/>
  <c r="F10434" i="2"/>
  <c r="G10434" i="2"/>
  <c r="H10434" i="2"/>
  <c r="J10434" i="2"/>
  <c r="K10434" i="2"/>
  <c r="L10434" i="2"/>
  <c r="C10435" i="2"/>
  <c r="D10435" i="2"/>
  <c r="F10435" i="2"/>
  <c r="G10435" i="2"/>
  <c r="H10435" i="2"/>
  <c r="J10435" i="2"/>
  <c r="K10435" i="2"/>
  <c r="L10435" i="2"/>
  <c r="C10436" i="2"/>
  <c r="D10436" i="2"/>
  <c r="F10436" i="2"/>
  <c r="G10436" i="2"/>
  <c r="H10436" i="2"/>
  <c r="J10436" i="2"/>
  <c r="K10436" i="2"/>
  <c r="L10436" i="2"/>
  <c r="C10437" i="2"/>
  <c r="D10437" i="2"/>
  <c r="F10437" i="2"/>
  <c r="G10437" i="2"/>
  <c r="H10437" i="2"/>
  <c r="J10437" i="2"/>
  <c r="K10437" i="2"/>
  <c r="L10437" i="2"/>
  <c r="C10438" i="2"/>
  <c r="D10438" i="2"/>
  <c r="F10438" i="2"/>
  <c r="G10438" i="2"/>
  <c r="H10438" i="2"/>
  <c r="J10438" i="2"/>
  <c r="K10438" i="2"/>
  <c r="L10438" i="2"/>
  <c r="C10439" i="2"/>
  <c r="D10439" i="2"/>
  <c r="F10439" i="2"/>
  <c r="G10439" i="2"/>
  <c r="H10439" i="2"/>
  <c r="J10439" i="2"/>
  <c r="K10439" i="2"/>
  <c r="L10439" i="2"/>
  <c r="C10440" i="2"/>
  <c r="D10440" i="2"/>
  <c r="F10440" i="2"/>
  <c r="G10440" i="2"/>
  <c r="H10440" i="2"/>
  <c r="J10440" i="2"/>
  <c r="K10440" i="2"/>
  <c r="L10440" i="2"/>
  <c r="C10441" i="2"/>
  <c r="D10441" i="2"/>
  <c r="F10441" i="2"/>
  <c r="G10441" i="2"/>
  <c r="H10441" i="2"/>
  <c r="J10441" i="2"/>
  <c r="K10441" i="2"/>
  <c r="L10441" i="2"/>
  <c r="C10442" i="2"/>
  <c r="D10442" i="2"/>
  <c r="F10442" i="2"/>
  <c r="G10442" i="2"/>
  <c r="H10442" i="2"/>
  <c r="J10442" i="2"/>
  <c r="K10442" i="2"/>
  <c r="L10442" i="2"/>
  <c r="C10443" i="2"/>
  <c r="D10443" i="2"/>
  <c r="F10443" i="2"/>
  <c r="G10443" i="2"/>
  <c r="H10443" i="2"/>
  <c r="J10443" i="2"/>
  <c r="K10443" i="2"/>
  <c r="L10443" i="2"/>
  <c r="C10444" i="2"/>
  <c r="D10444" i="2"/>
  <c r="F10444" i="2"/>
  <c r="G10444" i="2"/>
  <c r="H10444" i="2"/>
  <c r="J10444" i="2"/>
  <c r="K10444" i="2"/>
  <c r="L10444" i="2"/>
  <c r="C10445" i="2"/>
  <c r="D10445" i="2"/>
  <c r="F10445" i="2"/>
  <c r="G10445" i="2"/>
  <c r="H10445" i="2"/>
  <c r="J10445" i="2"/>
  <c r="K10445" i="2"/>
  <c r="L10445" i="2"/>
  <c r="C10446" i="2"/>
  <c r="D10446" i="2"/>
  <c r="F10446" i="2"/>
  <c r="G10446" i="2"/>
  <c r="H10446" i="2"/>
  <c r="J10446" i="2"/>
  <c r="K10446" i="2"/>
  <c r="L10446" i="2"/>
  <c r="C10447" i="2"/>
  <c r="D10447" i="2"/>
  <c r="F10447" i="2"/>
  <c r="G10447" i="2"/>
  <c r="H10447" i="2"/>
  <c r="J10447" i="2"/>
  <c r="K10447" i="2"/>
  <c r="L10447" i="2"/>
  <c r="C10448" i="2"/>
  <c r="D10448" i="2"/>
  <c r="F10448" i="2"/>
  <c r="G10448" i="2"/>
  <c r="H10448" i="2"/>
  <c r="J10448" i="2"/>
  <c r="K10448" i="2"/>
  <c r="L10448" i="2"/>
  <c r="C10449" i="2"/>
  <c r="D10449" i="2"/>
  <c r="F10449" i="2"/>
  <c r="G10449" i="2"/>
  <c r="H10449" i="2"/>
  <c r="J10449" i="2"/>
  <c r="K10449" i="2"/>
  <c r="L10449" i="2"/>
  <c r="C10450" i="2"/>
  <c r="D10450" i="2"/>
  <c r="F10450" i="2"/>
  <c r="G10450" i="2"/>
  <c r="H10450" i="2"/>
  <c r="J10450" i="2"/>
  <c r="K10450" i="2"/>
  <c r="L10450" i="2"/>
  <c r="C10451" i="2"/>
  <c r="D10451" i="2"/>
  <c r="F10451" i="2"/>
  <c r="G10451" i="2"/>
  <c r="H10451" i="2"/>
  <c r="J10451" i="2"/>
  <c r="K10451" i="2"/>
  <c r="L10451" i="2"/>
  <c r="C10452" i="2"/>
  <c r="D10452" i="2"/>
  <c r="F10452" i="2"/>
  <c r="G10452" i="2"/>
  <c r="H10452" i="2"/>
  <c r="J10452" i="2"/>
  <c r="K10452" i="2"/>
  <c r="L10452" i="2"/>
  <c r="C10453" i="2"/>
  <c r="D10453" i="2"/>
  <c r="F10453" i="2"/>
  <c r="G10453" i="2"/>
  <c r="H10453" i="2"/>
  <c r="J10453" i="2"/>
  <c r="K10453" i="2"/>
  <c r="L10453" i="2"/>
  <c r="C10454" i="2"/>
  <c r="D10454" i="2"/>
  <c r="F10454" i="2"/>
  <c r="G10454" i="2"/>
  <c r="H10454" i="2"/>
  <c r="J10454" i="2"/>
  <c r="K10454" i="2"/>
  <c r="L10454" i="2"/>
  <c r="C10455" i="2"/>
  <c r="D10455" i="2"/>
  <c r="F10455" i="2"/>
  <c r="G10455" i="2"/>
  <c r="H10455" i="2"/>
  <c r="J10455" i="2"/>
  <c r="K10455" i="2"/>
  <c r="L10455" i="2"/>
  <c r="C10456" i="2"/>
  <c r="D10456" i="2"/>
  <c r="F10456" i="2"/>
  <c r="G10456" i="2"/>
  <c r="H10456" i="2"/>
  <c r="J10456" i="2"/>
  <c r="K10456" i="2"/>
  <c r="L10456" i="2"/>
  <c r="C10457" i="2"/>
  <c r="D10457" i="2"/>
  <c r="F10457" i="2"/>
  <c r="G10457" i="2"/>
  <c r="H10457" i="2"/>
  <c r="J10457" i="2"/>
  <c r="K10457" i="2"/>
  <c r="L10457" i="2"/>
  <c r="C10458" i="2"/>
  <c r="D10458" i="2"/>
  <c r="F10458" i="2"/>
  <c r="G10458" i="2"/>
  <c r="H10458" i="2"/>
  <c r="J10458" i="2"/>
  <c r="K10458" i="2"/>
  <c r="L10458" i="2"/>
  <c r="C10459" i="2"/>
  <c r="D10459" i="2"/>
  <c r="F10459" i="2"/>
  <c r="G10459" i="2"/>
  <c r="H10459" i="2"/>
  <c r="J10459" i="2"/>
  <c r="K10459" i="2"/>
  <c r="L10459" i="2"/>
  <c r="C10460" i="2"/>
  <c r="D10460" i="2"/>
  <c r="F10460" i="2"/>
  <c r="G10460" i="2"/>
  <c r="H10460" i="2"/>
  <c r="J10460" i="2"/>
  <c r="K10460" i="2"/>
  <c r="L10460" i="2"/>
  <c r="C10461" i="2"/>
  <c r="D10461" i="2"/>
  <c r="F10461" i="2"/>
  <c r="G10461" i="2"/>
  <c r="H10461" i="2"/>
  <c r="J10461" i="2"/>
  <c r="K10461" i="2"/>
  <c r="L10461" i="2"/>
  <c r="C10462" i="2"/>
  <c r="D10462" i="2"/>
  <c r="F10462" i="2"/>
  <c r="G10462" i="2"/>
  <c r="H10462" i="2"/>
  <c r="J10462" i="2"/>
  <c r="K10462" i="2"/>
  <c r="L10462" i="2"/>
  <c r="C10463" i="2"/>
  <c r="D10463" i="2"/>
  <c r="F10463" i="2"/>
  <c r="G10463" i="2"/>
  <c r="H10463" i="2"/>
  <c r="J10463" i="2"/>
  <c r="K10463" i="2"/>
  <c r="L10463" i="2"/>
  <c r="C10464" i="2"/>
  <c r="D10464" i="2"/>
  <c r="F10464" i="2"/>
  <c r="G10464" i="2"/>
  <c r="H10464" i="2"/>
  <c r="J10464" i="2"/>
  <c r="K10464" i="2"/>
  <c r="L10464" i="2"/>
  <c r="C10465" i="2"/>
  <c r="D10465" i="2"/>
  <c r="F10465" i="2"/>
  <c r="G10465" i="2"/>
  <c r="H10465" i="2"/>
  <c r="J10465" i="2"/>
  <c r="K10465" i="2"/>
  <c r="L10465" i="2"/>
  <c r="C10466" i="2"/>
  <c r="D10466" i="2"/>
  <c r="F10466" i="2"/>
  <c r="G10466" i="2"/>
  <c r="H10466" i="2"/>
  <c r="J10466" i="2"/>
  <c r="K10466" i="2"/>
  <c r="L10466" i="2"/>
  <c r="C10467" i="2"/>
  <c r="D10467" i="2"/>
  <c r="F10467" i="2"/>
  <c r="G10467" i="2"/>
  <c r="H10467" i="2"/>
  <c r="J10467" i="2"/>
  <c r="K10467" i="2"/>
  <c r="L10467" i="2"/>
  <c r="C10468" i="2"/>
  <c r="D10468" i="2"/>
  <c r="F10468" i="2"/>
  <c r="G10468" i="2"/>
  <c r="H10468" i="2"/>
  <c r="J10468" i="2"/>
  <c r="K10468" i="2"/>
  <c r="L10468" i="2"/>
  <c r="C10469" i="2"/>
  <c r="D10469" i="2"/>
  <c r="E10469" i="2"/>
  <c r="F10469" i="2"/>
  <c r="G10469" i="2"/>
  <c r="H10469" i="2"/>
  <c r="J10469" i="2"/>
  <c r="K10469" i="2"/>
  <c r="L10469" i="2"/>
  <c r="C10470" i="2"/>
  <c r="D10470" i="2"/>
  <c r="F10470" i="2"/>
  <c r="G10470" i="2"/>
  <c r="H10470" i="2"/>
  <c r="J10470" i="2"/>
  <c r="K10470" i="2"/>
  <c r="L10470" i="2"/>
  <c r="C10471" i="2"/>
  <c r="D10471" i="2"/>
  <c r="F10471" i="2"/>
  <c r="G10471" i="2"/>
  <c r="H10471" i="2"/>
  <c r="J10471" i="2"/>
  <c r="K10471" i="2"/>
  <c r="L10471" i="2"/>
  <c r="C10472" i="2"/>
  <c r="D10472" i="2"/>
  <c r="F10472" i="2"/>
  <c r="G10472" i="2"/>
  <c r="H10472" i="2"/>
  <c r="J10472" i="2"/>
  <c r="K10472" i="2"/>
  <c r="L10472" i="2"/>
  <c r="C10473" i="2"/>
  <c r="D10473" i="2"/>
  <c r="F10473" i="2"/>
  <c r="G10473" i="2"/>
  <c r="H10473" i="2"/>
  <c r="J10473" i="2"/>
  <c r="K10473" i="2"/>
  <c r="L10473" i="2"/>
  <c r="C10474" i="2"/>
  <c r="D10474" i="2"/>
  <c r="F10474" i="2"/>
  <c r="G10474" i="2"/>
  <c r="H10474" i="2"/>
  <c r="J10474" i="2"/>
  <c r="K10474" i="2"/>
  <c r="L10474" i="2"/>
  <c r="C10475" i="2"/>
  <c r="D10475" i="2"/>
  <c r="F10475" i="2"/>
  <c r="G10475" i="2"/>
  <c r="H10475" i="2"/>
  <c r="J10475" i="2"/>
  <c r="K10475" i="2"/>
  <c r="L10475" i="2"/>
  <c r="C10476" i="2"/>
  <c r="D10476" i="2"/>
  <c r="F10476" i="2"/>
  <c r="G10476" i="2"/>
  <c r="H10476" i="2"/>
  <c r="J10476" i="2"/>
  <c r="K10476" i="2"/>
  <c r="L10476" i="2"/>
  <c r="C10477" i="2"/>
  <c r="D10477" i="2"/>
  <c r="F10477" i="2"/>
  <c r="G10477" i="2"/>
  <c r="H10477" i="2"/>
  <c r="J10477" i="2"/>
  <c r="K10477" i="2"/>
  <c r="L10477" i="2"/>
  <c r="C10478" i="2"/>
  <c r="D10478" i="2"/>
  <c r="F10478" i="2"/>
  <c r="G10478" i="2"/>
  <c r="H10478" i="2"/>
  <c r="J10478" i="2"/>
  <c r="K10478" i="2"/>
  <c r="L10478" i="2"/>
  <c r="C10479" i="2"/>
  <c r="D10479" i="2"/>
  <c r="F10479" i="2"/>
  <c r="G10479" i="2"/>
  <c r="H10479" i="2"/>
  <c r="J10479" i="2"/>
  <c r="K10479" i="2"/>
  <c r="L10479" i="2"/>
  <c r="C10480" i="2"/>
  <c r="D10480" i="2"/>
  <c r="F10480" i="2"/>
  <c r="G10480" i="2"/>
  <c r="H10480" i="2"/>
  <c r="J10480" i="2"/>
  <c r="K10480" i="2"/>
  <c r="L10480" i="2"/>
  <c r="C10481" i="2"/>
  <c r="D10481" i="2"/>
  <c r="F10481" i="2"/>
  <c r="G10481" i="2"/>
  <c r="H10481" i="2"/>
  <c r="J10481" i="2"/>
  <c r="K10481" i="2"/>
  <c r="L10481" i="2"/>
  <c r="C10482" i="2"/>
  <c r="D10482" i="2"/>
  <c r="F10482" i="2"/>
  <c r="G10482" i="2"/>
  <c r="H10482" i="2"/>
  <c r="J10482" i="2"/>
  <c r="K10482" i="2"/>
  <c r="L10482" i="2"/>
  <c r="C10483" i="2"/>
  <c r="D10483" i="2"/>
  <c r="F10483" i="2"/>
  <c r="G10483" i="2"/>
  <c r="H10483" i="2"/>
  <c r="J10483" i="2"/>
  <c r="K10483" i="2"/>
  <c r="L10483" i="2"/>
  <c r="C10484" i="2"/>
  <c r="D10484" i="2"/>
  <c r="F10484" i="2"/>
  <c r="G10484" i="2"/>
  <c r="H10484" i="2"/>
  <c r="J10484" i="2"/>
  <c r="K10484" i="2"/>
  <c r="L10484" i="2"/>
  <c r="C10485" i="2"/>
  <c r="D10485" i="2"/>
  <c r="F10485" i="2"/>
  <c r="G10485" i="2"/>
  <c r="H10485" i="2"/>
  <c r="J10485" i="2"/>
  <c r="K10485" i="2"/>
  <c r="L10485" i="2"/>
  <c r="C10486" i="2"/>
  <c r="D10486" i="2"/>
  <c r="F10486" i="2"/>
  <c r="G10486" i="2"/>
  <c r="H10486" i="2"/>
  <c r="J10486" i="2"/>
  <c r="K10486" i="2"/>
  <c r="L10486" i="2"/>
  <c r="C10487" i="2"/>
  <c r="D10487" i="2"/>
  <c r="F10487" i="2"/>
  <c r="G10487" i="2"/>
  <c r="H10487" i="2"/>
  <c r="J10487" i="2"/>
  <c r="K10487" i="2"/>
  <c r="L10487" i="2"/>
  <c r="C10488" i="2"/>
  <c r="D10488" i="2"/>
  <c r="F10488" i="2"/>
  <c r="G10488" i="2"/>
  <c r="H10488" i="2"/>
  <c r="J10488" i="2"/>
  <c r="K10488" i="2"/>
  <c r="L10488" i="2"/>
  <c r="C10489" i="2"/>
  <c r="D10489" i="2"/>
  <c r="F10489" i="2"/>
  <c r="G10489" i="2"/>
  <c r="H10489" i="2"/>
  <c r="J10489" i="2"/>
  <c r="K10489" i="2"/>
  <c r="L10489" i="2"/>
  <c r="C10490" i="2"/>
  <c r="D10490" i="2"/>
  <c r="F10490" i="2"/>
  <c r="G10490" i="2"/>
  <c r="H10490" i="2"/>
  <c r="J10490" i="2"/>
  <c r="K10490" i="2"/>
  <c r="L10490" i="2"/>
  <c r="C10491" i="2"/>
  <c r="D10491" i="2"/>
  <c r="F10491" i="2"/>
  <c r="G10491" i="2"/>
  <c r="H10491" i="2"/>
  <c r="J10491" i="2"/>
  <c r="K10491" i="2"/>
  <c r="L10491" i="2"/>
  <c r="C10492" i="2"/>
  <c r="D10492" i="2"/>
  <c r="F10492" i="2"/>
  <c r="G10492" i="2"/>
  <c r="H10492" i="2"/>
  <c r="J10492" i="2"/>
  <c r="K10492" i="2"/>
  <c r="L10492" i="2"/>
  <c r="C10493" i="2"/>
  <c r="D10493" i="2"/>
  <c r="F10493" i="2"/>
  <c r="G10493" i="2"/>
  <c r="H10493" i="2"/>
  <c r="J10493" i="2"/>
  <c r="K10493" i="2"/>
  <c r="L10493" i="2"/>
  <c r="C10494" i="2"/>
  <c r="D10494" i="2"/>
  <c r="F10494" i="2"/>
  <c r="G10494" i="2"/>
  <c r="H10494" i="2"/>
  <c r="J10494" i="2"/>
  <c r="K10494" i="2"/>
  <c r="L10494" i="2"/>
  <c r="C10495" i="2"/>
  <c r="D10495" i="2"/>
  <c r="F10495" i="2"/>
  <c r="G10495" i="2"/>
  <c r="H10495" i="2"/>
  <c r="J10495" i="2"/>
  <c r="K10495" i="2"/>
  <c r="L10495" i="2"/>
  <c r="C10496" i="2"/>
  <c r="D10496" i="2"/>
  <c r="F10496" i="2"/>
  <c r="G10496" i="2"/>
  <c r="H10496" i="2"/>
  <c r="J10496" i="2"/>
  <c r="K10496" i="2"/>
  <c r="L10496" i="2"/>
  <c r="C10497" i="2"/>
  <c r="D10497" i="2"/>
  <c r="F10497" i="2"/>
  <c r="G10497" i="2"/>
  <c r="H10497" i="2"/>
  <c r="J10497" i="2"/>
  <c r="K10497" i="2"/>
  <c r="L10497" i="2"/>
  <c r="C10498" i="2"/>
  <c r="D10498" i="2"/>
  <c r="F10498" i="2"/>
  <c r="G10498" i="2"/>
  <c r="H10498" i="2"/>
  <c r="J10498" i="2"/>
  <c r="K10498" i="2"/>
  <c r="L10498" i="2"/>
  <c r="C10499" i="2"/>
  <c r="D10499" i="2"/>
  <c r="F10499" i="2"/>
  <c r="G10499" i="2"/>
  <c r="H10499" i="2"/>
  <c r="J10499" i="2"/>
  <c r="K10499" i="2"/>
  <c r="L10499" i="2"/>
  <c r="C10500" i="2"/>
  <c r="D10500" i="2"/>
  <c r="F10500" i="2"/>
  <c r="G10500" i="2"/>
  <c r="H10500" i="2"/>
  <c r="J10500" i="2"/>
  <c r="K10500" i="2"/>
  <c r="L10500" i="2"/>
  <c r="C10501" i="2"/>
  <c r="D10501" i="2"/>
  <c r="F10501" i="2"/>
  <c r="G10501" i="2"/>
  <c r="H10501" i="2"/>
  <c r="J10501" i="2"/>
  <c r="K10501" i="2"/>
  <c r="L10501" i="2"/>
  <c r="C10502" i="2"/>
  <c r="D10502" i="2"/>
  <c r="F10502" i="2"/>
  <c r="G10502" i="2"/>
  <c r="H10502" i="2"/>
  <c r="J10502" i="2"/>
  <c r="K10502" i="2"/>
  <c r="L10502" i="2"/>
  <c r="C10503" i="2"/>
  <c r="D10503" i="2"/>
  <c r="F10503" i="2"/>
  <c r="G10503" i="2"/>
  <c r="H10503" i="2"/>
  <c r="J10503" i="2"/>
  <c r="K10503" i="2"/>
  <c r="L10503" i="2"/>
  <c r="C10504" i="2"/>
  <c r="D10504" i="2"/>
  <c r="F10504" i="2"/>
  <c r="G10504" i="2"/>
  <c r="H10504" i="2"/>
  <c r="J10504" i="2"/>
  <c r="K10504" i="2"/>
  <c r="L10504" i="2"/>
  <c r="C10505" i="2"/>
  <c r="D10505" i="2"/>
  <c r="F10505" i="2"/>
  <c r="G10505" i="2"/>
  <c r="H10505" i="2"/>
  <c r="J10505" i="2"/>
  <c r="K10505" i="2"/>
  <c r="L10505" i="2"/>
  <c r="C10506" i="2"/>
  <c r="D10506" i="2"/>
  <c r="F10506" i="2"/>
  <c r="G10506" i="2"/>
  <c r="H10506" i="2"/>
  <c r="J10506" i="2"/>
  <c r="K10506" i="2"/>
  <c r="L10506" i="2"/>
  <c r="C10507" i="2"/>
  <c r="D10507" i="2"/>
  <c r="E10507" i="2"/>
  <c r="F10507" i="2"/>
  <c r="G10507" i="2"/>
  <c r="H10507" i="2"/>
  <c r="J10507" i="2"/>
  <c r="K10507" i="2"/>
  <c r="L10507" i="2"/>
  <c r="C10508" i="2"/>
  <c r="D10508" i="2"/>
  <c r="F10508" i="2"/>
  <c r="G10508" i="2"/>
  <c r="H10508" i="2"/>
  <c r="J10508" i="2"/>
  <c r="K10508" i="2"/>
  <c r="L10508" i="2"/>
  <c r="C10509" i="2"/>
  <c r="D10509" i="2"/>
  <c r="F10509" i="2"/>
  <c r="G10509" i="2"/>
  <c r="H10509" i="2"/>
  <c r="J10509" i="2"/>
  <c r="K10509" i="2"/>
  <c r="L10509" i="2"/>
  <c r="C10510" i="2"/>
  <c r="D10510" i="2"/>
  <c r="F10510" i="2"/>
  <c r="G10510" i="2"/>
  <c r="H10510" i="2"/>
  <c r="J10510" i="2"/>
  <c r="K10510" i="2"/>
  <c r="L10510" i="2"/>
  <c r="C10511" i="2"/>
  <c r="D10511" i="2"/>
  <c r="F10511" i="2"/>
  <c r="G10511" i="2"/>
  <c r="H10511" i="2"/>
  <c r="J10511" i="2"/>
  <c r="K10511" i="2"/>
  <c r="L10511" i="2"/>
  <c r="C10512" i="2"/>
  <c r="D10512" i="2"/>
  <c r="F10512" i="2"/>
  <c r="G10512" i="2"/>
  <c r="H10512" i="2"/>
  <c r="J10512" i="2"/>
  <c r="K10512" i="2"/>
  <c r="L10512" i="2"/>
  <c r="C10513" i="2"/>
  <c r="D10513" i="2"/>
  <c r="F10513" i="2"/>
  <c r="G10513" i="2"/>
  <c r="H10513" i="2"/>
  <c r="J10513" i="2"/>
  <c r="K10513" i="2"/>
  <c r="L10513" i="2"/>
  <c r="C10514" i="2"/>
  <c r="D10514" i="2"/>
  <c r="F10514" i="2"/>
  <c r="G10514" i="2"/>
  <c r="H10514" i="2"/>
  <c r="J10514" i="2"/>
  <c r="K10514" i="2"/>
  <c r="L10514" i="2"/>
  <c r="C10515" i="2"/>
  <c r="D10515" i="2"/>
  <c r="F10515" i="2"/>
  <c r="G10515" i="2"/>
  <c r="H10515" i="2"/>
  <c r="J10515" i="2"/>
  <c r="K10515" i="2"/>
  <c r="L10515" i="2"/>
  <c r="C10516" i="2"/>
  <c r="D10516" i="2"/>
  <c r="F10516" i="2"/>
  <c r="G10516" i="2"/>
  <c r="H10516" i="2"/>
  <c r="J10516" i="2"/>
  <c r="K10516" i="2"/>
  <c r="L10516" i="2"/>
  <c r="C10517" i="2"/>
  <c r="D10517" i="2"/>
  <c r="F10517" i="2"/>
  <c r="G10517" i="2"/>
  <c r="H10517" i="2"/>
  <c r="J10517" i="2"/>
  <c r="K10517" i="2"/>
  <c r="L10517" i="2"/>
  <c r="C10518" i="2"/>
  <c r="D10518" i="2"/>
  <c r="F10518" i="2"/>
  <c r="G10518" i="2"/>
  <c r="H10518" i="2"/>
  <c r="J10518" i="2"/>
  <c r="K10518" i="2"/>
  <c r="L10518" i="2"/>
  <c r="C10519" i="2"/>
  <c r="D10519" i="2"/>
  <c r="F10519" i="2"/>
  <c r="G10519" i="2"/>
  <c r="H10519" i="2"/>
  <c r="J10519" i="2"/>
  <c r="K10519" i="2"/>
  <c r="L10519" i="2"/>
  <c r="C10520" i="2"/>
  <c r="D10520" i="2"/>
  <c r="F10520" i="2"/>
  <c r="G10520" i="2"/>
  <c r="H10520" i="2"/>
  <c r="J10520" i="2"/>
  <c r="K10520" i="2"/>
  <c r="L10520" i="2"/>
  <c r="C10521" i="2"/>
  <c r="D10521" i="2"/>
  <c r="F10521" i="2"/>
  <c r="G10521" i="2"/>
  <c r="H10521" i="2"/>
  <c r="J10521" i="2"/>
  <c r="K10521" i="2"/>
  <c r="L10521" i="2"/>
  <c r="C10522" i="2"/>
  <c r="D10522" i="2"/>
  <c r="F10522" i="2"/>
  <c r="G10522" i="2"/>
  <c r="H10522" i="2"/>
  <c r="J10522" i="2"/>
  <c r="K10522" i="2"/>
  <c r="L10522" i="2"/>
  <c r="C10523" i="2"/>
  <c r="D10523" i="2"/>
  <c r="F10523" i="2"/>
  <c r="G10523" i="2"/>
  <c r="H10523" i="2"/>
  <c r="J10523" i="2"/>
  <c r="K10523" i="2"/>
  <c r="L10523" i="2"/>
  <c r="C10524" i="2"/>
  <c r="D10524" i="2"/>
  <c r="F10524" i="2"/>
  <c r="G10524" i="2"/>
  <c r="H10524" i="2"/>
  <c r="J10524" i="2"/>
  <c r="K10524" i="2"/>
  <c r="L10524" i="2"/>
  <c r="C10525" i="2"/>
  <c r="D10525" i="2"/>
  <c r="F10525" i="2"/>
  <c r="G10525" i="2"/>
  <c r="H10525" i="2"/>
  <c r="J10525" i="2"/>
  <c r="K10525" i="2"/>
  <c r="L10525" i="2"/>
  <c r="C10526" i="2"/>
  <c r="D10526" i="2"/>
  <c r="F10526" i="2"/>
  <c r="G10526" i="2"/>
  <c r="H10526" i="2"/>
  <c r="J10526" i="2"/>
  <c r="K10526" i="2"/>
  <c r="L10526" i="2"/>
  <c r="C10527" i="2"/>
  <c r="D10527" i="2"/>
  <c r="F10527" i="2"/>
  <c r="G10527" i="2"/>
  <c r="H10527" i="2"/>
  <c r="J10527" i="2"/>
  <c r="K10527" i="2"/>
  <c r="L10527" i="2"/>
  <c r="C10528" i="2"/>
  <c r="D10528" i="2"/>
  <c r="F10528" i="2"/>
  <c r="G10528" i="2"/>
  <c r="H10528" i="2"/>
  <c r="J10528" i="2"/>
  <c r="K10528" i="2"/>
  <c r="L10528" i="2"/>
  <c r="C10529" i="2"/>
  <c r="D10529" i="2"/>
  <c r="F10529" i="2"/>
  <c r="G10529" i="2"/>
  <c r="H10529" i="2"/>
  <c r="J10529" i="2"/>
  <c r="K10529" i="2"/>
  <c r="L10529" i="2"/>
  <c r="C10530" i="2"/>
  <c r="D10530" i="2"/>
  <c r="F10530" i="2"/>
  <c r="G10530" i="2"/>
  <c r="H10530" i="2"/>
  <c r="J10530" i="2"/>
  <c r="K10530" i="2"/>
  <c r="L10530" i="2"/>
  <c r="C10531" i="2"/>
  <c r="D10531" i="2"/>
  <c r="F10531" i="2"/>
  <c r="G10531" i="2"/>
  <c r="H10531" i="2"/>
  <c r="J10531" i="2"/>
  <c r="K10531" i="2"/>
  <c r="L10531" i="2"/>
  <c r="C10532" i="2"/>
  <c r="D10532" i="2"/>
  <c r="F10532" i="2"/>
  <c r="G10532" i="2"/>
  <c r="H10532" i="2"/>
  <c r="J10532" i="2"/>
  <c r="K10532" i="2"/>
  <c r="L10532" i="2"/>
  <c r="C10533" i="2"/>
  <c r="D10533" i="2"/>
  <c r="F10533" i="2"/>
  <c r="G10533" i="2"/>
  <c r="H10533" i="2"/>
  <c r="J10533" i="2"/>
  <c r="K10533" i="2"/>
  <c r="L10533" i="2"/>
  <c r="C10534" i="2"/>
  <c r="D10534" i="2"/>
  <c r="F10534" i="2"/>
  <c r="G10534" i="2"/>
  <c r="H10534" i="2"/>
  <c r="J10534" i="2"/>
  <c r="K10534" i="2"/>
  <c r="L10534" i="2"/>
  <c r="C10535" i="2"/>
  <c r="D10535" i="2"/>
  <c r="F10535" i="2"/>
  <c r="G10535" i="2"/>
  <c r="H10535" i="2"/>
  <c r="J10535" i="2"/>
  <c r="K10535" i="2"/>
  <c r="L10535" i="2"/>
  <c r="C10536" i="2"/>
  <c r="D10536" i="2"/>
  <c r="F10536" i="2"/>
  <c r="G10536" i="2"/>
  <c r="H10536" i="2"/>
  <c r="J10536" i="2"/>
  <c r="K10536" i="2"/>
  <c r="L10536" i="2"/>
  <c r="C10537" i="2"/>
  <c r="D10537" i="2"/>
  <c r="F10537" i="2"/>
  <c r="G10537" i="2"/>
  <c r="H10537" i="2"/>
  <c r="J10537" i="2"/>
  <c r="K10537" i="2"/>
  <c r="L10537" i="2"/>
  <c r="C10538" i="2"/>
  <c r="D10538" i="2"/>
  <c r="F10538" i="2"/>
  <c r="G10538" i="2"/>
  <c r="H10538" i="2"/>
  <c r="J10538" i="2"/>
  <c r="K10538" i="2"/>
  <c r="L10538" i="2"/>
  <c r="C10539" i="2"/>
  <c r="D10539" i="2"/>
  <c r="F10539" i="2"/>
  <c r="G10539" i="2"/>
  <c r="H10539" i="2"/>
  <c r="J10539" i="2"/>
  <c r="K10539" i="2"/>
  <c r="L10539" i="2"/>
  <c r="C10540" i="2"/>
  <c r="D10540" i="2"/>
  <c r="F10540" i="2"/>
  <c r="G10540" i="2"/>
  <c r="H10540" i="2"/>
  <c r="J10540" i="2"/>
  <c r="K10540" i="2"/>
  <c r="L10540" i="2"/>
  <c r="C10541" i="2"/>
  <c r="D10541" i="2"/>
  <c r="F10541" i="2"/>
  <c r="G10541" i="2"/>
  <c r="H10541" i="2"/>
  <c r="J10541" i="2"/>
  <c r="K10541" i="2"/>
  <c r="L10541" i="2"/>
  <c r="C10542" i="2"/>
  <c r="D10542" i="2"/>
  <c r="F10542" i="2"/>
  <c r="G10542" i="2"/>
  <c r="H10542" i="2"/>
  <c r="J10542" i="2"/>
  <c r="K10542" i="2"/>
  <c r="L10542" i="2"/>
  <c r="C10543" i="2"/>
  <c r="D10543" i="2"/>
  <c r="F10543" i="2"/>
  <c r="G10543" i="2"/>
  <c r="H10543" i="2"/>
  <c r="J10543" i="2"/>
  <c r="K10543" i="2"/>
  <c r="L10543" i="2"/>
  <c r="C10544" i="2"/>
  <c r="D10544" i="2"/>
  <c r="F10544" i="2"/>
  <c r="G10544" i="2"/>
  <c r="H10544" i="2"/>
  <c r="J10544" i="2"/>
  <c r="K10544" i="2"/>
  <c r="L10544" i="2"/>
  <c r="C10545" i="2"/>
  <c r="D10545" i="2"/>
  <c r="F10545" i="2"/>
  <c r="G10545" i="2"/>
  <c r="H10545" i="2"/>
  <c r="J10545" i="2"/>
  <c r="K10545" i="2"/>
  <c r="L10545" i="2"/>
  <c r="C10546" i="2"/>
  <c r="D10546" i="2"/>
  <c r="F10546" i="2"/>
  <c r="G10546" i="2"/>
  <c r="H10546" i="2"/>
  <c r="J10546" i="2"/>
  <c r="K10546" i="2"/>
  <c r="L10546" i="2"/>
  <c r="C10547" i="2"/>
  <c r="D10547" i="2"/>
  <c r="F10547" i="2"/>
  <c r="G10547" i="2"/>
  <c r="H10547" i="2"/>
  <c r="J10547" i="2"/>
  <c r="K10547" i="2"/>
  <c r="L10547" i="2"/>
  <c r="C10548" i="2"/>
  <c r="D10548" i="2"/>
  <c r="F10548" i="2"/>
  <c r="G10548" i="2"/>
  <c r="H10548" i="2"/>
  <c r="J10548" i="2"/>
  <c r="K10548" i="2"/>
  <c r="L10548" i="2"/>
  <c r="C10549" i="2"/>
  <c r="D10549" i="2"/>
  <c r="F10549" i="2"/>
  <c r="G10549" i="2"/>
  <c r="H10549" i="2"/>
  <c r="J10549" i="2"/>
  <c r="K10549" i="2"/>
  <c r="L10549" i="2"/>
  <c r="C10550" i="2"/>
  <c r="D10550" i="2"/>
  <c r="F10550" i="2"/>
  <c r="G10550" i="2"/>
  <c r="H10550" i="2"/>
  <c r="J10550" i="2"/>
  <c r="K10550" i="2"/>
  <c r="L10550" i="2"/>
  <c r="C10551" i="2"/>
  <c r="D10551" i="2"/>
  <c r="F10551" i="2"/>
  <c r="G10551" i="2"/>
  <c r="H10551" i="2"/>
  <c r="J10551" i="2"/>
  <c r="K10551" i="2"/>
  <c r="L10551" i="2"/>
  <c r="C10552" i="2"/>
  <c r="D10552" i="2"/>
  <c r="F10552" i="2"/>
  <c r="G10552" i="2"/>
  <c r="H10552" i="2"/>
  <c r="J10552" i="2"/>
  <c r="K10552" i="2"/>
  <c r="L10552" i="2"/>
  <c r="C10553" i="2"/>
  <c r="D10553" i="2"/>
  <c r="F10553" i="2"/>
  <c r="G10553" i="2"/>
  <c r="H10553" i="2"/>
  <c r="J10553" i="2"/>
  <c r="K10553" i="2"/>
  <c r="L10553" i="2"/>
  <c r="C10554" i="2"/>
  <c r="D10554" i="2"/>
  <c r="F10554" i="2"/>
  <c r="G10554" i="2"/>
  <c r="H10554" i="2"/>
  <c r="J10554" i="2"/>
  <c r="K10554" i="2"/>
  <c r="L10554" i="2"/>
  <c r="C10555" i="2"/>
  <c r="D10555" i="2"/>
  <c r="F10555" i="2"/>
  <c r="G10555" i="2"/>
  <c r="H10555" i="2"/>
  <c r="J10555" i="2"/>
  <c r="K10555" i="2"/>
  <c r="L10555" i="2"/>
  <c r="C10556" i="2"/>
  <c r="D10556" i="2"/>
  <c r="F10556" i="2"/>
  <c r="G10556" i="2"/>
  <c r="H10556" i="2"/>
  <c r="J10556" i="2"/>
  <c r="K10556" i="2"/>
  <c r="L10556" i="2"/>
  <c r="C10557" i="2"/>
  <c r="D10557" i="2"/>
  <c r="F10557" i="2"/>
  <c r="G10557" i="2"/>
  <c r="H10557" i="2"/>
  <c r="J10557" i="2"/>
  <c r="K10557" i="2"/>
  <c r="L10557" i="2"/>
  <c r="C10558" i="2"/>
  <c r="D10558" i="2"/>
  <c r="F10558" i="2"/>
  <c r="G10558" i="2"/>
  <c r="H10558" i="2"/>
  <c r="J10558" i="2"/>
  <c r="K10558" i="2"/>
  <c r="L10558" i="2"/>
  <c r="C10559" i="2"/>
  <c r="D10559" i="2"/>
  <c r="F10559" i="2"/>
  <c r="G10559" i="2"/>
  <c r="H10559" i="2"/>
  <c r="J10559" i="2"/>
  <c r="K10559" i="2"/>
  <c r="L10559" i="2"/>
  <c r="C10560" i="2"/>
  <c r="D10560" i="2"/>
  <c r="F10560" i="2"/>
  <c r="G10560" i="2"/>
  <c r="H10560" i="2"/>
  <c r="J10560" i="2"/>
  <c r="K10560" i="2"/>
  <c r="L10560" i="2"/>
  <c r="C10561" i="2"/>
  <c r="D10561" i="2"/>
  <c r="F10561" i="2"/>
  <c r="G10561" i="2"/>
  <c r="H10561" i="2"/>
  <c r="J10561" i="2"/>
  <c r="K10561" i="2"/>
  <c r="L10561" i="2"/>
  <c r="C10562" i="2"/>
  <c r="D10562" i="2"/>
  <c r="F10562" i="2"/>
  <c r="G10562" i="2"/>
  <c r="H10562" i="2"/>
  <c r="J10562" i="2"/>
  <c r="K10562" i="2"/>
  <c r="L10562" i="2"/>
  <c r="C10563" i="2"/>
  <c r="D10563" i="2"/>
  <c r="F10563" i="2"/>
  <c r="G10563" i="2"/>
  <c r="H10563" i="2"/>
  <c r="J10563" i="2"/>
  <c r="K10563" i="2"/>
  <c r="L10563" i="2"/>
  <c r="C10564" i="2"/>
  <c r="D10564" i="2"/>
  <c r="F10564" i="2"/>
  <c r="G10564" i="2"/>
  <c r="H10564" i="2"/>
  <c r="J10564" i="2"/>
  <c r="K10564" i="2"/>
  <c r="L10564" i="2"/>
  <c r="C10565" i="2"/>
  <c r="D10565" i="2"/>
  <c r="F10565" i="2"/>
  <c r="G10565" i="2"/>
  <c r="H10565" i="2"/>
  <c r="J10565" i="2"/>
  <c r="K10565" i="2"/>
  <c r="L10565" i="2"/>
  <c r="C10566" i="2"/>
  <c r="D10566" i="2"/>
  <c r="F10566" i="2"/>
  <c r="G10566" i="2"/>
  <c r="H10566" i="2"/>
  <c r="J10566" i="2"/>
  <c r="K10566" i="2"/>
  <c r="L10566" i="2"/>
  <c r="C10567" i="2"/>
  <c r="D10567" i="2"/>
  <c r="F10567" i="2"/>
  <c r="G10567" i="2"/>
  <c r="H10567" i="2"/>
  <c r="J10567" i="2"/>
  <c r="K10567" i="2"/>
  <c r="L10567" i="2"/>
  <c r="C10568" i="2"/>
  <c r="D10568" i="2"/>
  <c r="F10568" i="2"/>
  <c r="G10568" i="2"/>
  <c r="H10568" i="2"/>
  <c r="J10568" i="2"/>
  <c r="K10568" i="2"/>
  <c r="L10568" i="2"/>
  <c r="C10569" i="2"/>
  <c r="D10569" i="2"/>
  <c r="F10569" i="2"/>
  <c r="G10569" i="2"/>
  <c r="H10569" i="2"/>
  <c r="J10569" i="2"/>
  <c r="K10569" i="2"/>
  <c r="L10569" i="2"/>
  <c r="C10570" i="2"/>
  <c r="D10570" i="2"/>
  <c r="F10570" i="2"/>
  <c r="G10570" i="2"/>
  <c r="H10570" i="2"/>
  <c r="J10570" i="2"/>
  <c r="K10570" i="2"/>
  <c r="L10570" i="2"/>
  <c r="C10571" i="2"/>
  <c r="D10571" i="2"/>
  <c r="F10571" i="2"/>
  <c r="G10571" i="2"/>
  <c r="H10571" i="2"/>
  <c r="J10571" i="2"/>
  <c r="K10571" i="2"/>
  <c r="L10571" i="2"/>
  <c r="C10572" i="2"/>
  <c r="D10572" i="2"/>
  <c r="F10572" i="2"/>
  <c r="G10572" i="2"/>
  <c r="H10572" i="2"/>
  <c r="J10572" i="2"/>
  <c r="K10572" i="2"/>
  <c r="L10572" i="2"/>
  <c r="C10573" i="2"/>
  <c r="D10573" i="2"/>
  <c r="F10573" i="2"/>
  <c r="G10573" i="2"/>
  <c r="H10573" i="2"/>
  <c r="J10573" i="2"/>
  <c r="K10573" i="2"/>
  <c r="L10573" i="2"/>
  <c r="C10574" i="2"/>
  <c r="D10574" i="2"/>
  <c r="F10574" i="2"/>
  <c r="G10574" i="2"/>
  <c r="H10574" i="2"/>
  <c r="J10574" i="2"/>
  <c r="K10574" i="2"/>
  <c r="L10574" i="2"/>
  <c r="C10575" i="2"/>
  <c r="D10575" i="2"/>
  <c r="F10575" i="2"/>
  <c r="G10575" i="2"/>
  <c r="H10575" i="2"/>
  <c r="J10575" i="2"/>
  <c r="K10575" i="2"/>
  <c r="L10575" i="2"/>
  <c r="C10576" i="2"/>
  <c r="D10576" i="2"/>
  <c r="F10576" i="2"/>
  <c r="G10576" i="2"/>
  <c r="H10576" i="2"/>
  <c r="J10576" i="2"/>
  <c r="K10576" i="2"/>
  <c r="L10576" i="2"/>
  <c r="C10577" i="2"/>
  <c r="D10577" i="2"/>
  <c r="F10577" i="2"/>
  <c r="G10577" i="2"/>
  <c r="H10577" i="2"/>
  <c r="J10577" i="2"/>
  <c r="K10577" i="2"/>
  <c r="L10577" i="2"/>
  <c r="C10578" i="2"/>
  <c r="D10578" i="2"/>
  <c r="F10578" i="2"/>
  <c r="G10578" i="2"/>
  <c r="H10578" i="2"/>
  <c r="J10578" i="2"/>
  <c r="K10578" i="2"/>
  <c r="L10578" i="2"/>
  <c r="C10579" i="2"/>
  <c r="D10579" i="2"/>
  <c r="F10579" i="2"/>
  <c r="G10579" i="2"/>
  <c r="H10579" i="2"/>
  <c r="J10579" i="2"/>
  <c r="K10579" i="2"/>
  <c r="L10579" i="2"/>
  <c r="C10580" i="2"/>
  <c r="D10580" i="2"/>
  <c r="F10580" i="2"/>
  <c r="G10580" i="2"/>
  <c r="H10580" i="2"/>
  <c r="J10580" i="2"/>
  <c r="K10580" i="2"/>
  <c r="L10580" i="2"/>
  <c r="C10581" i="2"/>
  <c r="D10581" i="2"/>
  <c r="F10581" i="2"/>
  <c r="G10581" i="2"/>
  <c r="H10581" i="2"/>
  <c r="J10581" i="2"/>
  <c r="K10581" i="2"/>
  <c r="L10581" i="2"/>
  <c r="C10582" i="2"/>
  <c r="D10582" i="2"/>
  <c r="F10582" i="2"/>
  <c r="G10582" i="2"/>
  <c r="H10582" i="2"/>
  <c r="J10582" i="2"/>
  <c r="K10582" i="2"/>
  <c r="L10582" i="2"/>
  <c r="C10583" i="2"/>
  <c r="D10583" i="2"/>
  <c r="F10583" i="2"/>
  <c r="G10583" i="2"/>
  <c r="H10583" i="2"/>
  <c r="J10583" i="2"/>
  <c r="K10583" i="2"/>
  <c r="L10583" i="2"/>
  <c r="C10584" i="2"/>
  <c r="D10584" i="2"/>
  <c r="F10584" i="2"/>
  <c r="G10584" i="2"/>
  <c r="H10584" i="2"/>
  <c r="J10584" i="2"/>
  <c r="K10584" i="2"/>
  <c r="L10584" i="2"/>
  <c r="C10585" i="2"/>
  <c r="D10585" i="2"/>
  <c r="F10585" i="2"/>
  <c r="G10585" i="2"/>
  <c r="H10585" i="2"/>
  <c r="J10585" i="2"/>
  <c r="K10585" i="2"/>
  <c r="L10585" i="2"/>
  <c r="C10586" i="2"/>
  <c r="D10586" i="2"/>
  <c r="F10586" i="2"/>
  <c r="G10586" i="2"/>
  <c r="H10586" i="2"/>
  <c r="J10586" i="2"/>
  <c r="K10586" i="2"/>
  <c r="L10586" i="2"/>
  <c r="C10587" i="2"/>
  <c r="D10587" i="2"/>
  <c r="F10587" i="2"/>
  <c r="G10587" i="2"/>
  <c r="H10587" i="2"/>
  <c r="J10587" i="2"/>
  <c r="K10587" i="2"/>
  <c r="L10587" i="2"/>
  <c r="C10588" i="2"/>
  <c r="D10588" i="2"/>
  <c r="F10588" i="2"/>
  <c r="G10588" i="2"/>
  <c r="H10588" i="2"/>
  <c r="J10588" i="2"/>
  <c r="K10588" i="2"/>
  <c r="L10588" i="2"/>
  <c r="C10589" i="2"/>
  <c r="D10589" i="2"/>
  <c r="F10589" i="2"/>
  <c r="G10589" i="2"/>
  <c r="H10589" i="2"/>
  <c r="J10589" i="2"/>
  <c r="K10589" i="2"/>
  <c r="L10589" i="2"/>
  <c r="C10590" i="2"/>
  <c r="D10590" i="2"/>
  <c r="F10590" i="2"/>
  <c r="G10590" i="2"/>
  <c r="H10590" i="2"/>
  <c r="J10590" i="2"/>
  <c r="K10590" i="2"/>
  <c r="L10590" i="2"/>
  <c r="D10591" i="2"/>
  <c r="F10591" i="2"/>
  <c r="G10591" i="2"/>
  <c r="H10591" i="2"/>
  <c r="J10591" i="2"/>
  <c r="K10591" i="2"/>
  <c r="L10591" i="2"/>
  <c r="C10592" i="2"/>
  <c r="D10592" i="2"/>
  <c r="F10592" i="2"/>
  <c r="G10592" i="2"/>
  <c r="H10592" i="2"/>
  <c r="J10592" i="2"/>
  <c r="K10592" i="2"/>
  <c r="L10592" i="2"/>
  <c r="C10593" i="2"/>
  <c r="D10593" i="2"/>
  <c r="F10593" i="2"/>
  <c r="G10593" i="2"/>
  <c r="H10593" i="2"/>
  <c r="J10593" i="2"/>
  <c r="K10593" i="2"/>
  <c r="L10593" i="2"/>
  <c r="C10594" i="2"/>
  <c r="D10594" i="2"/>
  <c r="F10594" i="2"/>
  <c r="G10594" i="2"/>
  <c r="H10594" i="2"/>
  <c r="J10594" i="2"/>
  <c r="K10594" i="2"/>
  <c r="L10594" i="2"/>
  <c r="C10595" i="2"/>
  <c r="D10595" i="2"/>
  <c r="F10595" i="2"/>
  <c r="G10595" i="2"/>
  <c r="H10595" i="2"/>
  <c r="J10595" i="2"/>
  <c r="K10595" i="2"/>
  <c r="L10595" i="2"/>
  <c r="C10596" i="2"/>
  <c r="D10596" i="2"/>
  <c r="F10596" i="2"/>
  <c r="G10596" i="2"/>
  <c r="H10596" i="2"/>
  <c r="J10596" i="2"/>
  <c r="K10596" i="2"/>
  <c r="L10596" i="2"/>
  <c r="C10597" i="2"/>
  <c r="D10597" i="2"/>
  <c r="F10597" i="2"/>
  <c r="G10597" i="2"/>
  <c r="H10597" i="2"/>
  <c r="J10597" i="2"/>
  <c r="K10597" i="2"/>
  <c r="L10597" i="2"/>
  <c r="C10598" i="2"/>
  <c r="D10598" i="2"/>
  <c r="F10598" i="2"/>
  <c r="G10598" i="2"/>
  <c r="H10598" i="2"/>
  <c r="J10598" i="2"/>
  <c r="K10598" i="2"/>
  <c r="L10598" i="2"/>
  <c r="C10599" i="2"/>
  <c r="D10599" i="2"/>
  <c r="F10599" i="2"/>
  <c r="G10599" i="2"/>
  <c r="H10599" i="2"/>
  <c r="J10599" i="2"/>
  <c r="K10599" i="2"/>
  <c r="L10599" i="2"/>
  <c r="C10600" i="2"/>
  <c r="D10600" i="2"/>
  <c r="F10600" i="2"/>
  <c r="G10600" i="2"/>
  <c r="H10600" i="2"/>
  <c r="J10600" i="2"/>
  <c r="K10600" i="2"/>
  <c r="L10600" i="2"/>
  <c r="C10601" i="2"/>
  <c r="D10601" i="2"/>
  <c r="F10601" i="2"/>
  <c r="G10601" i="2"/>
  <c r="H10601" i="2"/>
  <c r="J10601" i="2"/>
  <c r="K10601" i="2"/>
  <c r="L10601" i="2"/>
  <c r="C10602" i="2"/>
  <c r="D10602" i="2"/>
  <c r="F10602" i="2"/>
  <c r="G10602" i="2"/>
  <c r="H10602" i="2"/>
  <c r="J10602" i="2"/>
  <c r="K10602" i="2"/>
  <c r="L10602" i="2"/>
  <c r="C10603" i="2"/>
  <c r="D10603" i="2"/>
  <c r="F10603" i="2"/>
  <c r="G10603" i="2"/>
  <c r="H10603" i="2"/>
  <c r="J10603" i="2"/>
  <c r="K10603" i="2"/>
  <c r="L10603" i="2"/>
  <c r="C10604" i="2"/>
  <c r="D10604" i="2"/>
  <c r="F10604" i="2"/>
  <c r="G10604" i="2"/>
  <c r="H10604" i="2"/>
  <c r="J10604" i="2"/>
  <c r="K10604" i="2"/>
  <c r="L10604" i="2"/>
  <c r="C10605" i="2"/>
  <c r="D10605" i="2"/>
  <c r="F10605" i="2"/>
  <c r="G10605" i="2"/>
  <c r="H10605" i="2"/>
  <c r="J10605" i="2"/>
  <c r="K10605" i="2"/>
  <c r="L10605" i="2"/>
  <c r="C10606" i="2"/>
  <c r="D10606" i="2"/>
  <c r="F10606" i="2"/>
  <c r="G10606" i="2"/>
  <c r="H10606" i="2"/>
  <c r="J10606" i="2"/>
  <c r="K10606" i="2"/>
  <c r="L10606" i="2"/>
  <c r="C10607" i="2"/>
  <c r="D10607" i="2"/>
  <c r="F10607" i="2"/>
  <c r="G10607" i="2"/>
  <c r="H10607" i="2"/>
  <c r="J10607" i="2"/>
  <c r="K10607" i="2"/>
  <c r="L10607" i="2"/>
  <c r="C10608" i="2"/>
  <c r="D10608" i="2"/>
  <c r="F10608" i="2"/>
  <c r="G10608" i="2"/>
  <c r="H10608" i="2"/>
  <c r="J10608" i="2"/>
  <c r="K10608" i="2"/>
  <c r="L10608" i="2"/>
  <c r="C10609" i="2"/>
  <c r="D10609" i="2"/>
  <c r="F10609" i="2"/>
  <c r="G10609" i="2"/>
  <c r="H10609" i="2"/>
  <c r="J10609" i="2"/>
  <c r="K10609" i="2"/>
  <c r="L10609" i="2"/>
  <c r="C10610" i="2"/>
  <c r="D10610" i="2"/>
  <c r="F10610" i="2"/>
  <c r="G10610" i="2"/>
  <c r="H10610" i="2"/>
  <c r="J10610" i="2"/>
  <c r="K10610" i="2"/>
  <c r="L10610" i="2"/>
  <c r="C10611" i="2"/>
  <c r="D10611" i="2"/>
  <c r="F10611" i="2"/>
  <c r="G10611" i="2"/>
  <c r="H10611" i="2"/>
  <c r="J10611" i="2"/>
  <c r="K10611" i="2"/>
  <c r="L10611" i="2"/>
  <c r="C10612" i="2"/>
  <c r="D10612" i="2"/>
  <c r="F10612" i="2"/>
  <c r="G10612" i="2"/>
  <c r="H10612" i="2"/>
  <c r="J10612" i="2"/>
  <c r="K10612" i="2"/>
  <c r="L10612" i="2"/>
  <c r="C10613" i="2"/>
  <c r="D10613" i="2"/>
  <c r="F10613" i="2"/>
  <c r="G10613" i="2"/>
  <c r="H10613" i="2"/>
  <c r="J10613" i="2"/>
  <c r="K10613" i="2"/>
  <c r="L10613" i="2"/>
  <c r="C10614" i="2"/>
  <c r="D10614" i="2"/>
  <c r="F10614" i="2"/>
  <c r="G10614" i="2"/>
  <c r="H10614" i="2"/>
  <c r="J10614" i="2"/>
  <c r="K10614" i="2"/>
  <c r="L10614" i="2"/>
  <c r="C10615" i="2"/>
  <c r="D10615" i="2"/>
  <c r="F10615" i="2"/>
  <c r="G10615" i="2"/>
  <c r="H10615" i="2"/>
  <c r="J10615" i="2"/>
  <c r="K10615" i="2"/>
  <c r="L10615" i="2"/>
  <c r="C10616" i="2"/>
  <c r="D10616" i="2"/>
  <c r="F10616" i="2"/>
  <c r="G10616" i="2"/>
  <c r="H10616" i="2"/>
  <c r="J10616" i="2"/>
  <c r="K10616" i="2"/>
  <c r="L10616" i="2"/>
  <c r="C10617" i="2"/>
  <c r="D10617" i="2"/>
  <c r="F10617" i="2"/>
  <c r="G10617" i="2"/>
  <c r="H10617" i="2"/>
  <c r="J10617" i="2"/>
  <c r="K10617" i="2"/>
  <c r="L10617" i="2"/>
  <c r="C10618" i="2"/>
  <c r="D10618" i="2"/>
  <c r="F10618" i="2"/>
  <c r="G10618" i="2"/>
  <c r="H10618" i="2"/>
  <c r="J10618" i="2"/>
  <c r="K10618" i="2"/>
  <c r="L10618" i="2"/>
  <c r="C10619" i="2"/>
  <c r="D10619" i="2"/>
  <c r="F10619" i="2"/>
  <c r="G10619" i="2"/>
  <c r="H10619" i="2"/>
  <c r="J10619" i="2"/>
  <c r="K10619" i="2"/>
  <c r="L10619" i="2"/>
  <c r="C10620" i="2"/>
  <c r="D10620" i="2"/>
  <c r="F10620" i="2"/>
  <c r="G10620" i="2"/>
  <c r="H10620" i="2"/>
  <c r="J10620" i="2"/>
  <c r="K10620" i="2"/>
  <c r="L10620" i="2"/>
  <c r="C10621" i="2"/>
  <c r="D10621" i="2"/>
  <c r="F10621" i="2"/>
  <c r="G10621" i="2"/>
  <c r="H10621" i="2"/>
  <c r="J10621" i="2"/>
  <c r="K10621" i="2"/>
  <c r="L10621" i="2"/>
  <c r="C10622" i="2"/>
  <c r="D10622" i="2"/>
  <c r="F10622" i="2"/>
  <c r="G10622" i="2"/>
  <c r="H10622" i="2"/>
  <c r="J10622" i="2"/>
  <c r="K10622" i="2"/>
  <c r="L10622" i="2"/>
  <c r="C10623" i="2"/>
  <c r="D10623" i="2"/>
  <c r="F10623" i="2"/>
  <c r="G10623" i="2"/>
  <c r="H10623" i="2"/>
  <c r="J10623" i="2"/>
  <c r="K10623" i="2"/>
  <c r="L10623" i="2"/>
  <c r="C10624" i="2"/>
  <c r="D10624" i="2"/>
  <c r="F10624" i="2"/>
  <c r="G10624" i="2"/>
  <c r="H10624" i="2"/>
  <c r="J10624" i="2"/>
  <c r="K10624" i="2"/>
  <c r="L10624" i="2"/>
  <c r="C10625" i="2"/>
  <c r="D10625" i="2"/>
  <c r="F10625" i="2"/>
  <c r="G10625" i="2"/>
  <c r="H10625" i="2"/>
  <c r="J10625" i="2"/>
  <c r="K10625" i="2"/>
  <c r="L10625" i="2"/>
  <c r="C10626" i="2"/>
  <c r="D10626" i="2"/>
  <c r="F10626" i="2"/>
  <c r="G10626" i="2"/>
  <c r="H10626" i="2"/>
  <c r="J10626" i="2"/>
  <c r="K10626" i="2"/>
  <c r="L10626" i="2"/>
  <c r="C10627" i="2"/>
  <c r="D10627" i="2"/>
  <c r="F10627" i="2"/>
  <c r="G10627" i="2"/>
  <c r="H10627" i="2"/>
  <c r="J10627" i="2"/>
  <c r="K10627" i="2"/>
  <c r="L10627" i="2"/>
  <c r="C10628" i="2"/>
  <c r="D10628" i="2"/>
  <c r="F10628" i="2"/>
  <c r="G10628" i="2"/>
  <c r="H10628" i="2"/>
  <c r="J10628" i="2"/>
  <c r="K10628" i="2"/>
  <c r="L10628" i="2"/>
  <c r="C10629" i="2"/>
  <c r="D10629" i="2"/>
  <c r="F10629" i="2"/>
  <c r="G10629" i="2"/>
  <c r="H10629" i="2"/>
  <c r="J10629" i="2"/>
  <c r="K10629" i="2"/>
  <c r="L10629" i="2"/>
  <c r="C10630" i="2"/>
  <c r="D10630" i="2"/>
  <c r="F10630" i="2"/>
  <c r="G10630" i="2"/>
  <c r="H10630" i="2"/>
  <c r="J10630" i="2"/>
  <c r="K10630" i="2"/>
  <c r="L10630" i="2"/>
  <c r="C10631" i="2"/>
  <c r="D10631" i="2"/>
  <c r="F10631" i="2"/>
  <c r="G10631" i="2"/>
  <c r="H10631" i="2"/>
  <c r="J10631" i="2"/>
  <c r="K10631" i="2"/>
  <c r="L10631" i="2"/>
  <c r="C10632" i="2"/>
  <c r="D10632" i="2"/>
  <c r="F10632" i="2"/>
  <c r="G10632" i="2"/>
  <c r="H10632" i="2"/>
  <c r="J10632" i="2"/>
  <c r="K10632" i="2"/>
  <c r="L10632" i="2"/>
  <c r="C10633" i="2"/>
  <c r="D10633" i="2"/>
  <c r="F10633" i="2"/>
  <c r="G10633" i="2"/>
  <c r="H10633" i="2"/>
  <c r="J10633" i="2"/>
  <c r="K10633" i="2"/>
  <c r="L10633" i="2"/>
  <c r="C10634" i="2"/>
  <c r="D10634" i="2"/>
  <c r="F10634" i="2"/>
  <c r="G10634" i="2"/>
  <c r="H10634" i="2"/>
  <c r="J10634" i="2"/>
  <c r="K10634" i="2"/>
  <c r="L10634" i="2"/>
  <c r="C10635" i="2"/>
  <c r="D10635" i="2"/>
  <c r="F10635" i="2"/>
  <c r="G10635" i="2"/>
  <c r="H10635" i="2"/>
  <c r="J10635" i="2"/>
  <c r="K10635" i="2"/>
  <c r="L10635" i="2"/>
  <c r="C10636" i="2"/>
  <c r="D10636" i="2"/>
  <c r="F10636" i="2"/>
  <c r="G10636" i="2"/>
  <c r="H10636" i="2"/>
  <c r="J10636" i="2"/>
  <c r="K10636" i="2"/>
  <c r="L10636" i="2"/>
  <c r="C10637" i="2"/>
  <c r="D10637" i="2"/>
  <c r="F10637" i="2"/>
  <c r="G10637" i="2"/>
  <c r="H10637" i="2"/>
  <c r="J10637" i="2"/>
  <c r="K10637" i="2"/>
  <c r="L10637" i="2"/>
  <c r="C10638" i="2"/>
  <c r="D10638" i="2"/>
  <c r="F10638" i="2"/>
  <c r="G10638" i="2"/>
  <c r="H10638" i="2"/>
  <c r="J10638" i="2"/>
  <c r="K10638" i="2"/>
  <c r="L10638" i="2"/>
  <c r="C10639" i="2"/>
  <c r="D10639" i="2"/>
  <c r="F10639" i="2"/>
  <c r="G10639" i="2"/>
  <c r="H10639" i="2"/>
  <c r="J10639" i="2"/>
  <c r="K10639" i="2"/>
  <c r="L10639" i="2"/>
  <c r="C10640" i="2"/>
  <c r="D10640" i="2"/>
  <c r="F10640" i="2"/>
  <c r="G10640" i="2"/>
  <c r="H10640" i="2"/>
  <c r="J10640" i="2"/>
  <c r="K10640" i="2"/>
  <c r="L10640" i="2"/>
  <c r="C10641" i="2"/>
  <c r="D10641" i="2"/>
  <c r="F10641" i="2"/>
  <c r="G10641" i="2"/>
  <c r="H10641" i="2"/>
  <c r="J10641" i="2"/>
  <c r="K10641" i="2"/>
  <c r="L10641" i="2"/>
  <c r="C10642" i="2"/>
  <c r="D10642" i="2"/>
  <c r="F10642" i="2"/>
  <c r="G10642" i="2"/>
  <c r="H10642" i="2"/>
  <c r="J10642" i="2"/>
  <c r="K10642" i="2"/>
  <c r="L10642" i="2"/>
  <c r="C10643" i="2"/>
  <c r="D10643" i="2"/>
  <c r="F10643" i="2"/>
  <c r="G10643" i="2"/>
  <c r="H10643" i="2"/>
  <c r="J10643" i="2"/>
  <c r="K10643" i="2"/>
  <c r="L10643" i="2"/>
  <c r="C10644" i="2"/>
  <c r="D10644" i="2"/>
  <c r="F10644" i="2"/>
  <c r="G10644" i="2"/>
  <c r="H10644" i="2"/>
  <c r="J10644" i="2"/>
  <c r="K10644" i="2"/>
  <c r="L10644" i="2"/>
  <c r="C10645" i="2"/>
  <c r="D10645" i="2"/>
  <c r="F10645" i="2"/>
  <c r="G10645" i="2"/>
  <c r="H10645" i="2"/>
  <c r="J10645" i="2"/>
  <c r="K10645" i="2"/>
  <c r="L10645" i="2"/>
  <c r="C10646" i="2"/>
  <c r="D10646" i="2"/>
  <c r="F10646" i="2"/>
  <c r="G10646" i="2"/>
  <c r="H10646" i="2"/>
  <c r="J10646" i="2"/>
  <c r="K10646" i="2"/>
  <c r="L10646" i="2"/>
  <c r="C10647" i="2"/>
  <c r="D10647" i="2"/>
  <c r="F10647" i="2"/>
  <c r="G10647" i="2"/>
  <c r="H10647" i="2"/>
  <c r="J10647" i="2"/>
  <c r="K10647" i="2"/>
  <c r="L10647" i="2"/>
  <c r="C10648" i="2"/>
  <c r="D10648" i="2"/>
  <c r="F10648" i="2"/>
  <c r="G10648" i="2"/>
  <c r="H10648" i="2"/>
  <c r="J10648" i="2"/>
  <c r="K10648" i="2"/>
  <c r="L10648" i="2"/>
  <c r="C10649" i="2"/>
  <c r="D10649" i="2"/>
  <c r="F10649" i="2"/>
  <c r="G10649" i="2"/>
  <c r="H10649" i="2"/>
  <c r="J10649" i="2"/>
  <c r="K10649" i="2"/>
  <c r="L10649" i="2"/>
  <c r="C10650" i="2"/>
  <c r="D10650" i="2"/>
  <c r="F10650" i="2"/>
  <c r="G10650" i="2"/>
  <c r="H10650" i="2"/>
  <c r="J10650" i="2"/>
  <c r="K10650" i="2"/>
  <c r="L10650" i="2"/>
  <c r="C10651" i="2"/>
  <c r="D10651" i="2"/>
  <c r="F10651" i="2"/>
  <c r="G10651" i="2"/>
  <c r="H10651" i="2"/>
  <c r="J10651" i="2"/>
  <c r="K10651" i="2"/>
  <c r="L10651" i="2"/>
  <c r="C10652" i="2"/>
  <c r="D10652" i="2"/>
  <c r="F10652" i="2"/>
  <c r="G10652" i="2"/>
  <c r="H10652" i="2"/>
  <c r="J10652" i="2"/>
  <c r="K10652" i="2"/>
  <c r="L10652" i="2"/>
  <c r="C10653" i="2"/>
  <c r="D10653" i="2"/>
  <c r="F10653" i="2"/>
  <c r="G10653" i="2"/>
  <c r="H10653" i="2"/>
  <c r="J10653" i="2"/>
  <c r="K10653" i="2"/>
  <c r="L10653" i="2"/>
  <c r="C10654" i="2"/>
  <c r="D10654" i="2"/>
  <c r="F10654" i="2"/>
  <c r="G10654" i="2"/>
  <c r="H10654" i="2"/>
  <c r="J10654" i="2"/>
  <c r="K10654" i="2"/>
  <c r="L10654" i="2"/>
  <c r="C10655" i="2"/>
  <c r="D10655" i="2"/>
  <c r="F10655" i="2"/>
  <c r="G10655" i="2"/>
  <c r="H10655" i="2"/>
  <c r="J10655" i="2"/>
  <c r="K10655" i="2"/>
  <c r="L10655" i="2"/>
  <c r="C10656" i="2"/>
  <c r="D10656" i="2"/>
  <c r="F10656" i="2"/>
  <c r="G10656" i="2"/>
  <c r="H10656" i="2"/>
  <c r="J10656" i="2"/>
  <c r="K10656" i="2"/>
  <c r="L10656" i="2"/>
  <c r="C10657" i="2"/>
  <c r="D10657" i="2"/>
  <c r="F10657" i="2"/>
  <c r="G10657" i="2"/>
  <c r="H10657" i="2"/>
  <c r="J10657" i="2"/>
  <c r="K10657" i="2"/>
  <c r="L10657" i="2"/>
  <c r="C10658" i="2"/>
  <c r="D10658" i="2"/>
  <c r="F10658" i="2"/>
  <c r="G10658" i="2"/>
  <c r="H10658" i="2"/>
  <c r="J10658" i="2"/>
  <c r="K10658" i="2"/>
  <c r="L10658" i="2"/>
  <c r="C10659" i="2"/>
  <c r="D10659" i="2"/>
  <c r="F10659" i="2"/>
  <c r="G10659" i="2"/>
  <c r="H10659" i="2"/>
  <c r="J10659" i="2"/>
  <c r="K10659" i="2"/>
  <c r="L10659" i="2"/>
  <c r="C10660" i="2"/>
  <c r="D10660" i="2"/>
  <c r="F10660" i="2"/>
  <c r="G10660" i="2"/>
  <c r="H10660" i="2"/>
  <c r="J10660" i="2"/>
  <c r="K10660" i="2"/>
  <c r="L10660" i="2"/>
  <c r="C10661" i="2"/>
  <c r="D10661" i="2"/>
  <c r="F10661" i="2"/>
  <c r="G10661" i="2"/>
  <c r="H10661" i="2"/>
  <c r="J10661" i="2"/>
  <c r="K10661" i="2"/>
  <c r="L10661" i="2"/>
  <c r="C10662" i="2"/>
  <c r="D10662" i="2"/>
  <c r="F10662" i="2"/>
  <c r="G10662" i="2"/>
  <c r="H10662" i="2"/>
  <c r="J10662" i="2"/>
  <c r="K10662" i="2"/>
  <c r="L10662" i="2"/>
  <c r="C10663" i="2"/>
  <c r="D10663" i="2"/>
  <c r="F10663" i="2"/>
  <c r="G10663" i="2"/>
  <c r="H10663" i="2"/>
  <c r="J10663" i="2"/>
  <c r="K10663" i="2"/>
  <c r="L10663" i="2"/>
  <c r="C10664" i="2"/>
  <c r="D10664" i="2"/>
  <c r="F10664" i="2"/>
  <c r="G10664" i="2"/>
  <c r="H10664" i="2"/>
  <c r="J10664" i="2"/>
  <c r="K10664" i="2"/>
  <c r="L10664" i="2"/>
  <c r="C10665" i="2"/>
  <c r="D10665" i="2"/>
  <c r="F10665" i="2"/>
  <c r="G10665" i="2"/>
  <c r="H10665" i="2"/>
  <c r="J10665" i="2"/>
  <c r="K10665" i="2"/>
  <c r="L10665" i="2"/>
  <c r="C10666" i="2"/>
  <c r="D10666" i="2"/>
  <c r="F10666" i="2"/>
  <c r="G10666" i="2"/>
  <c r="H10666" i="2"/>
  <c r="J10666" i="2"/>
  <c r="K10666" i="2"/>
  <c r="L10666" i="2"/>
  <c r="C10667" i="2"/>
  <c r="D10667" i="2"/>
  <c r="F10667" i="2"/>
  <c r="G10667" i="2"/>
  <c r="H10667" i="2"/>
  <c r="J10667" i="2"/>
  <c r="K10667" i="2"/>
  <c r="L10667" i="2"/>
  <c r="C10668" i="2"/>
  <c r="D10668" i="2"/>
  <c r="F10668" i="2"/>
  <c r="G10668" i="2"/>
  <c r="H10668" i="2"/>
  <c r="J10668" i="2"/>
  <c r="K10668" i="2"/>
  <c r="L10668" i="2"/>
  <c r="C10669" i="2"/>
  <c r="D10669" i="2"/>
  <c r="F10669" i="2"/>
  <c r="G10669" i="2"/>
  <c r="H10669" i="2"/>
  <c r="J10669" i="2"/>
  <c r="K10669" i="2"/>
  <c r="L10669" i="2"/>
  <c r="C10670" i="2"/>
  <c r="D10670" i="2"/>
  <c r="F10670" i="2"/>
  <c r="G10670" i="2"/>
  <c r="H10670" i="2"/>
  <c r="J10670" i="2"/>
  <c r="K10670" i="2"/>
  <c r="L10670" i="2"/>
  <c r="C10671" i="2"/>
  <c r="D10671" i="2"/>
  <c r="F10671" i="2"/>
  <c r="G10671" i="2"/>
  <c r="H10671" i="2"/>
  <c r="J10671" i="2"/>
  <c r="K10671" i="2"/>
  <c r="L10671" i="2"/>
  <c r="C10672" i="2"/>
  <c r="D10672" i="2"/>
  <c r="F10672" i="2"/>
  <c r="G10672" i="2"/>
  <c r="H10672" i="2"/>
  <c r="J10672" i="2"/>
  <c r="K10672" i="2"/>
  <c r="L10672" i="2"/>
  <c r="C10673" i="2"/>
  <c r="D10673" i="2"/>
  <c r="F10673" i="2"/>
  <c r="G10673" i="2"/>
  <c r="H10673" i="2"/>
  <c r="J10673" i="2"/>
  <c r="K10673" i="2"/>
  <c r="L10673" i="2"/>
  <c r="C10674" i="2"/>
  <c r="D10674" i="2"/>
  <c r="F10674" i="2"/>
  <c r="G10674" i="2"/>
  <c r="H10674" i="2"/>
  <c r="J10674" i="2"/>
  <c r="K10674" i="2"/>
  <c r="L10674" i="2"/>
  <c r="C10675" i="2"/>
  <c r="D10675" i="2"/>
  <c r="F10675" i="2"/>
  <c r="G10675" i="2"/>
  <c r="H10675" i="2"/>
  <c r="J10675" i="2"/>
  <c r="K10675" i="2"/>
  <c r="L10675" i="2"/>
  <c r="C10676" i="2"/>
  <c r="D10676" i="2"/>
  <c r="F10676" i="2"/>
  <c r="G10676" i="2"/>
  <c r="H10676" i="2"/>
  <c r="J10676" i="2"/>
  <c r="K10676" i="2"/>
  <c r="L10676" i="2"/>
  <c r="C10677" i="2"/>
  <c r="D10677" i="2"/>
  <c r="F10677" i="2"/>
  <c r="G10677" i="2"/>
  <c r="H10677" i="2"/>
  <c r="J10677" i="2"/>
  <c r="K10677" i="2"/>
  <c r="L10677" i="2"/>
  <c r="C10678" i="2"/>
  <c r="D10678" i="2"/>
  <c r="F10678" i="2"/>
  <c r="G10678" i="2"/>
  <c r="H10678" i="2"/>
  <c r="J10678" i="2"/>
  <c r="K10678" i="2"/>
  <c r="L10678" i="2"/>
  <c r="C10679" i="2"/>
  <c r="D10679" i="2"/>
  <c r="F10679" i="2"/>
  <c r="G10679" i="2"/>
  <c r="H10679" i="2"/>
  <c r="J10679" i="2"/>
  <c r="K10679" i="2"/>
  <c r="L10679" i="2"/>
  <c r="C10680" i="2"/>
  <c r="D10680" i="2"/>
  <c r="F10680" i="2"/>
  <c r="G10680" i="2"/>
  <c r="H10680" i="2"/>
  <c r="J10680" i="2"/>
  <c r="K10680" i="2"/>
  <c r="L10680" i="2"/>
  <c r="C10681" i="2"/>
  <c r="D10681" i="2"/>
  <c r="F10681" i="2"/>
  <c r="G10681" i="2"/>
  <c r="H10681" i="2"/>
  <c r="J10681" i="2"/>
  <c r="K10681" i="2"/>
  <c r="L10681" i="2"/>
  <c r="C10682" i="2"/>
  <c r="D10682" i="2"/>
  <c r="F10682" i="2"/>
  <c r="G10682" i="2"/>
  <c r="H10682" i="2"/>
  <c r="J10682" i="2"/>
  <c r="K10682" i="2"/>
  <c r="L10682" i="2"/>
  <c r="C10683" i="2"/>
  <c r="D10683" i="2"/>
  <c r="F10683" i="2"/>
  <c r="G10683" i="2"/>
  <c r="H10683" i="2"/>
  <c r="J10683" i="2"/>
  <c r="K10683" i="2"/>
  <c r="L10683" i="2"/>
  <c r="C10684" i="2"/>
  <c r="D10684" i="2"/>
  <c r="F10684" i="2"/>
  <c r="G10684" i="2"/>
  <c r="H10684" i="2"/>
  <c r="J10684" i="2"/>
  <c r="K10684" i="2"/>
  <c r="L10684" i="2"/>
  <c r="C10685" i="2"/>
  <c r="D10685" i="2"/>
  <c r="F10685" i="2"/>
  <c r="G10685" i="2"/>
  <c r="H10685" i="2"/>
  <c r="J10685" i="2"/>
  <c r="K10685" i="2"/>
  <c r="L10685" i="2"/>
  <c r="C10686" i="2"/>
  <c r="D10686" i="2"/>
  <c r="F10686" i="2"/>
  <c r="G10686" i="2"/>
  <c r="H10686" i="2"/>
  <c r="J10686" i="2"/>
  <c r="K10686" i="2"/>
  <c r="L10686" i="2"/>
  <c r="C10687" i="2"/>
  <c r="D10687" i="2"/>
  <c r="F10687" i="2"/>
  <c r="G10687" i="2"/>
  <c r="H10687" i="2"/>
  <c r="J10687" i="2"/>
  <c r="K10687" i="2"/>
  <c r="L10687" i="2"/>
  <c r="C10688" i="2"/>
  <c r="D10688" i="2"/>
  <c r="F10688" i="2"/>
  <c r="G10688" i="2"/>
  <c r="H10688" i="2"/>
  <c r="J10688" i="2"/>
  <c r="K10688" i="2"/>
  <c r="L10688" i="2"/>
  <c r="C10689" i="2"/>
  <c r="D10689" i="2"/>
  <c r="F10689" i="2"/>
  <c r="G10689" i="2"/>
  <c r="H10689" i="2"/>
  <c r="J10689" i="2"/>
  <c r="K10689" i="2"/>
  <c r="L10689" i="2"/>
  <c r="C10690" i="2"/>
  <c r="D10690" i="2"/>
  <c r="F10690" i="2"/>
  <c r="G10690" i="2"/>
  <c r="H10690" i="2"/>
  <c r="J10690" i="2"/>
  <c r="K10690" i="2"/>
  <c r="L10690" i="2"/>
  <c r="C10691" i="2"/>
  <c r="D10691" i="2"/>
  <c r="F10691" i="2"/>
  <c r="G10691" i="2"/>
  <c r="H10691" i="2"/>
  <c r="J10691" i="2"/>
  <c r="K10691" i="2"/>
  <c r="L10691" i="2"/>
  <c r="C10692" i="2"/>
  <c r="D10692" i="2"/>
  <c r="F10692" i="2"/>
  <c r="G10692" i="2"/>
  <c r="H10692" i="2"/>
  <c r="J10692" i="2"/>
  <c r="K10692" i="2"/>
  <c r="L10692" i="2"/>
  <c r="C10693" i="2"/>
  <c r="D10693" i="2"/>
  <c r="F10693" i="2"/>
  <c r="G10693" i="2"/>
  <c r="H10693" i="2"/>
  <c r="J10693" i="2"/>
  <c r="K10693" i="2"/>
  <c r="L10693" i="2"/>
  <c r="C10694" i="2"/>
  <c r="D10694" i="2"/>
  <c r="F10694" i="2"/>
  <c r="G10694" i="2"/>
  <c r="H10694" i="2"/>
  <c r="J10694" i="2"/>
  <c r="K10694" i="2"/>
  <c r="L10694" i="2"/>
  <c r="C10695" i="2"/>
  <c r="D10695" i="2"/>
  <c r="F10695" i="2"/>
  <c r="G10695" i="2"/>
  <c r="H10695" i="2"/>
  <c r="J10695" i="2"/>
  <c r="K10695" i="2"/>
  <c r="L10695" i="2"/>
  <c r="C10696" i="2"/>
  <c r="D10696" i="2"/>
  <c r="F10696" i="2"/>
  <c r="G10696" i="2"/>
  <c r="H10696" i="2"/>
  <c r="J10696" i="2"/>
  <c r="K10696" i="2"/>
  <c r="L10696" i="2"/>
  <c r="C10697" i="2"/>
  <c r="D10697" i="2"/>
  <c r="F10697" i="2"/>
  <c r="G10697" i="2"/>
  <c r="H10697" i="2"/>
  <c r="J10697" i="2"/>
  <c r="K10697" i="2"/>
  <c r="L10697" i="2"/>
  <c r="C10698" i="2"/>
  <c r="D10698" i="2"/>
  <c r="F10698" i="2"/>
  <c r="G10698" i="2"/>
  <c r="H10698" i="2"/>
  <c r="J10698" i="2"/>
  <c r="K10698" i="2"/>
  <c r="L10698" i="2"/>
  <c r="C10699" i="2"/>
  <c r="D10699" i="2"/>
  <c r="F10699" i="2"/>
  <c r="G10699" i="2"/>
  <c r="H10699" i="2"/>
  <c r="J10699" i="2"/>
  <c r="K10699" i="2"/>
  <c r="L10699" i="2"/>
  <c r="C10700" i="2"/>
  <c r="D10700" i="2"/>
  <c r="F10700" i="2"/>
  <c r="G10700" i="2"/>
  <c r="H10700" i="2"/>
  <c r="J10700" i="2"/>
  <c r="K10700" i="2"/>
  <c r="L10700" i="2"/>
  <c r="C10701" i="2"/>
  <c r="D10701" i="2"/>
  <c r="F10701" i="2"/>
  <c r="G10701" i="2"/>
  <c r="H10701" i="2"/>
  <c r="J10701" i="2"/>
  <c r="K10701" i="2"/>
  <c r="L10701" i="2"/>
  <c r="C10702" i="2"/>
  <c r="D10702" i="2"/>
  <c r="F10702" i="2"/>
  <c r="G10702" i="2"/>
  <c r="H10702" i="2"/>
  <c r="J10702" i="2"/>
  <c r="K10702" i="2"/>
  <c r="L10702" i="2"/>
  <c r="C10703" i="2"/>
  <c r="D10703" i="2"/>
  <c r="F10703" i="2"/>
  <c r="G10703" i="2"/>
  <c r="H10703" i="2"/>
  <c r="J10703" i="2"/>
  <c r="K10703" i="2"/>
  <c r="L10703" i="2"/>
  <c r="C10704" i="2"/>
  <c r="D10704" i="2"/>
  <c r="F10704" i="2"/>
  <c r="G10704" i="2"/>
  <c r="H10704" i="2"/>
  <c r="J10704" i="2"/>
  <c r="K10704" i="2"/>
  <c r="L10704" i="2"/>
  <c r="C10705" i="2"/>
  <c r="D10705" i="2"/>
  <c r="F10705" i="2"/>
  <c r="G10705" i="2"/>
  <c r="H10705" i="2"/>
  <c r="J10705" i="2"/>
  <c r="K10705" i="2"/>
  <c r="L10705" i="2"/>
  <c r="C10706" i="2"/>
  <c r="D10706" i="2"/>
  <c r="F10706" i="2"/>
  <c r="G10706" i="2"/>
  <c r="H10706" i="2"/>
  <c r="J10706" i="2"/>
  <c r="K10706" i="2"/>
  <c r="L10706" i="2"/>
  <c r="C10707" i="2"/>
  <c r="D10707" i="2"/>
  <c r="F10707" i="2"/>
  <c r="G10707" i="2"/>
  <c r="H10707" i="2"/>
  <c r="J10707" i="2"/>
  <c r="K10707" i="2"/>
  <c r="L10707" i="2"/>
  <c r="C10708" i="2"/>
  <c r="D10708" i="2"/>
  <c r="F10708" i="2"/>
  <c r="G10708" i="2"/>
  <c r="H10708" i="2"/>
  <c r="J10708" i="2"/>
  <c r="K10708" i="2"/>
  <c r="L10708" i="2"/>
  <c r="C10709" i="2"/>
  <c r="D10709" i="2"/>
  <c r="F10709" i="2"/>
  <c r="G10709" i="2"/>
  <c r="H10709" i="2"/>
  <c r="J10709" i="2"/>
  <c r="K10709" i="2"/>
  <c r="L10709" i="2"/>
  <c r="C10710" i="2"/>
  <c r="D10710" i="2"/>
  <c r="F10710" i="2"/>
  <c r="G10710" i="2"/>
  <c r="H10710" i="2"/>
  <c r="J10710" i="2"/>
  <c r="K10710" i="2"/>
  <c r="L10710" i="2"/>
  <c r="C10711" i="2"/>
  <c r="D10711" i="2"/>
  <c r="F10711" i="2"/>
  <c r="G10711" i="2"/>
  <c r="H10711" i="2"/>
  <c r="J10711" i="2"/>
  <c r="K10711" i="2"/>
  <c r="L10711" i="2"/>
  <c r="C10712" i="2"/>
  <c r="D10712" i="2"/>
  <c r="F10712" i="2"/>
  <c r="G10712" i="2"/>
  <c r="H10712" i="2"/>
  <c r="J10712" i="2"/>
  <c r="K10712" i="2"/>
  <c r="L10712" i="2"/>
  <c r="C10713" i="2"/>
  <c r="D10713" i="2"/>
  <c r="F10713" i="2"/>
  <c r="G10713" i="2"/>
  <c r="H10713" i="2"/>
  <c r="J10713" i="2"/>
  <c r="K10713" i="2"/>
  <c r="L10713" i="2"/>
  <c r="C10714" i="2"/>
  <c r="D10714" i="2"/>
  <c r="F10714" i="2"/>
  <c r="G10714" i="2"/>
  <c r="H10714" i="2"/>
  <c r="J10714" i="2"/>
  <c r="K10714" i="2"/>
  <c r="L10714" i="2"/>
  <c r="C10715" i="2"/>
  <c r="D10715" i="2"/>
  <c r="F10715" i="2"/>
  <c r="G10715" i="2"/>
  <c r="H10715" i="2"/>
  <c r="J10715" i="2"/>
  <c r="K10715" i="2"/>
  <c r="L10715" i="2"/>
  <c r="C10716" i="2"/>
  <c r="D10716" i="2"/>
  <c r="F10716" i="2"/>
  <c r="G10716" i="2"/>
  <c r="H10716" i="2"/>
  <c r="J10716" i="2"/>
  <c r="K10716" i="2"/>
  <c r="L10716" i="2"/>
  <c r="C10717" i="2"/>
  <c r="D10717" i="2"/>
  <c r="F10717" i="2"/>
  <c r="G10717" i="2"/>
  <c r="H10717" i="2"/>
  <c r="J10717" i="2"/>
  <c r="K10717" i="2"/>
  <c r="L10717" i="2"/>
  <c r="C10718" i="2"/>
  <c r="D10718" i="2"/>
  <c r="F10718" i="2"/>
  <c r="G10718" i="2"/>
  <c r="H10718" i="2"/>
  <c r="J10718" i="2"/>
  <c r="K10718" i="2"/>
  <c r="L10718" i="2"/>
  <c r="C10719" i="2"/>
  <c r="D10719" i="2"/>
  <c r="F10719" i="2"/>
  <c r="G10719" i="2"/>
  <c r="H10719" i="2"/>
  <c r="J10719" i="2"/>
  <c r="K10719" i="2"/>
  <c r="L10719" i="2"/>
  <c r="C10720" i="2"/>
  <c r="D10720" i="2"/>
  <c r="F10720" i="2"/>
  <c r="G10720" i="2"/>
  <c r="H10720" i="2"/>
  <c r="J10720" i="2"/>
  <c r="K10720" i="2"/>
  <c r="L10720" i="2"/>
  <c r="C10721" i="2"/>
  <c r="D10721" i="2"/>
  <c r="F10721" i="2"/>
  <c r="G10721" i="2"/>
  <c r="H10721" i="2"/>
  <c r="J10721" i="2"/>
  <c r="K10721" i="2"/>
  <c r="L10721" i="2"/>
  <c r="C10722" i="2"/>
  <c r="D10722" i="2"/>
  <c r="F10722" i="2"/>
  <c r="G10722" i="2"/>
  <c r="H10722" i="2"/>
  <c r="J10722" i="2"/>
  <c r="K10722" i="2"/>
  <c r="L10722" i="2"/>
  <c r="C10723" i="2"/>
  <c r="D10723" i="2"/>
  <c r="F10723" i="2"/>
  <c r="G10723" i="2"/>
  <c r="H10723" i="2"/>
  <c r="J10723" i="2"/>
  <c r="K10723" i="2"/>
  <c r="L10723" i="2"/>
  <c r="C10724" i="2"/>
  <c r="D10724" i="2"/>
  <c r="F10724" i="2"/>
  <c r="G10724" i="2"/>
  <c r="H10724" i="2"/>
  <c r="J10724" i="2"/>
  <c r="K10724" i="2"/>
  <c r="L10724" i="2"/>
  <c r="C10725" i="2"/>
  <c r="D10725" i="2"/>
  <c r="F10725" i="2"/>
  <c r="G10725" i="2"/>
  <c r="H10725" i="2"/>
  <c r="J10725" i="2"/>
  <c r="K10725" i="2"/>
  <c r="L10725" i="2"/>
  <c r="C10726" i="2"/>
  <c r="D10726" i="2"/>
  <c r="F10726" i="2"/>
  <c r="G10726" i="2"/>
  <c r="H10726" i="2"/>
  <c r="J10726" i="2"/>
  <c r="K10726" i="2"/>
  <c r="L10726" i="2"/>
  <c r="C10727" i="2"/>
  <c r="D10727" i="2"/>
  <c r="E10727" i="2"/>
  <c r="F10727" i="2"/>
  <c r="G10727" i="2"/>
  <c r="H10727" i="2"/>
  <c r="J10727" i="2"/>
  <c r="K10727" i="2"/>
  <c r="L10727" i="2"/>
  <c r="C10728" i="2"/>
  <c r="D10728" i="2"/>
  <c r="F10728" i="2"/>
  <c r="G10728" i="2"/>
  <c r="H10728" i="2"/>
  <c r="J10728" i="2"/>
  <c r="K10728" i="2"/>
  <c r="L10728" i="2"/>
  <c r="C10729" i="2"/>
  <c r="D10729" i="2"/>
  <c r="F10729" i="2"/>
  <c r="G10729" i="2"/>
  <c r="H10729" i="2"/>
  <c r="J10729" i="2"/>
  <c r="K10729" i="2"/>
  <c r="L10729" i="2"/>
  <c r="C10730" i="2"/>
  <c r="D10730" i="2"/>
  <c r="F10730" i="2"/>
  <c r="G10730" i="2"/>
  <c r="H10730" i="2"/>
  <c r="J10730" i="2"/>
  <c r="K10730" i="2"/>
  <c r="L10730" i="2"/>
  <c r="C10731" i="2"/>
  <c r="D10731" i="2"/>
  <c r="F10731" i="2"/>
  <c r="G10731" i="2"/>
  <c r="H10731" i="2"/>
  <c r="J10731" i="2"/>
  <c r="K10731" i="2"/>
  <c r="L10731" i="2"/>
  <c r="C10732" i="2"/>
  <c r="D10732" i="2"/>
  <c r="F10732" i="2"/>
  <c r="G10732" i="2"/>
  <c r="H10732" i="2"/>
  <c r="J10732" i="2"/>
  <c r="K10732" i="2"/>
  <c r="L10732" i="2"/>
  <c r="C10733" i="2"/>
  <c r="D10733" i="2"/>
  <c r="F10733" i="2"/>
  <c r="G10733" i="2"/>
  <c r="H10733" i="2"/>
  <c r="J10733" i="2"/>
  <c r="K10733" i="2"/>
  <c r="L10733" i="2"/>
  <c r="C10734" i="2"/>
  <c r="D10734" i="2"/>
  <c r="F10734" i="2"/>
  <c r="G10734" i="2"/>
  <c r="H10734" i="2"/>
  <c r="J10734" i="2"/>
  <c r="K10734" i="2"/>
  <c r="L10734" i="2"/>
  <c r="C10735" i="2"/>
  <c r="D10735" i="2"/>
  <c r="F10735" i="2"/>
  <c r="G10735" i="2"/>
  <c r="H10735" i="2"/>
  <c r="J10735" i="2"/>
  <c r="K10735" i="2"/>
  <c r="L10735" i="2"/>
  <c r="C10736" i="2"/>
  <c r="D10736" i="2"/>
  <c r="F10736" i="2"/>
  <c r="G10736" i="2"/>
  <c r="H10736" i="2"/>
  <c r="J10736" i="2"/>
  <c r="K10736" i="2"/>
  <c r="L10736" i="2"/>
  <c r="C10737" i="2"/>
  <c r="D10737" i="2"/>
  <c r="F10737" i="2"/>
  <c r="G10737" i="2"/>
  <c r="H10737" i="2"/>
  <c r="J10737" i="2"/>
  <c r="K10737" i="2"/>
  <c r="L10737" i="2"/>
  <c r="C10738" i="2"/>
  <c r="D10738" i="2"/>
  <c r="F10738" i="2"/>
  <c r="G10738" i="2"/>
  <c r="H10738" i="2"/>
  <c r="J10738" i="2"/>
  <c r="K10738" i="2"/>
  <c r="L10738" i="2"/>
  <c r="C10739" i="2"/>
  <c r="D10739" i="2"/>
  <c r="F10739" i="2"/>
  <c r="G10739" i="2"/>
  <c r="H10739" i="2"/>
  <c r="J10739" i="2"/>
  <c r="K10739" i="2"/>
  <c r="L10739" i="2"/>
  <c r="C10740" i="2"/>
  <c r="D10740" i="2"/>
  <c r="F10740" i="2"/>
  <c r="G10740" i="2"/>
  <c r="H10740" i="2"/>
  <c r="J10740" i="2"/>
  <c r="K10740" i="2"/>
  <c r="L10740" i="2"/>
  <c r="C10741" i="2"/>
  <c r="D10741" i="2"/>
  <c r="F10741" i="2"/>
  <c r="G10741" i="2"/>
  <c r="H10741" i="2"/>
  <c r="J10741" i="2"/>
  <c r="K10741" i="2"/>
  <c r="L10741" i="2"/>
  <c r="C10742" i="2"/>
  <c r="D10742" i="2"/>
  <c r="F10742" i="2"/>
  <c r="G10742" i="2"/>
  <c r="H10742" i="2"/>
  <c r="J10742" i="2"/>
  <c r="K10742" i="2"/>
  <c r="L10742" i="2"/>
  <c r="C10743" i="2"/>
  <c r="D10743" i="2"/>
  <c r="F10743" i="2"/>
  <c r="G10743" i="2"/>
  <c r="H10743" i="2"/>
  <c r="J10743" i="2"/>
  <c r="K10743" i="2"/>
  <c r="L10743" i="2"/>
  <c r="C10744" i="2"/>
  <c r="D10744" i="2"/>
  <c r="F10744" i="2"/>
  <c r="G10744" i="2"/>
  <c r="H10744" i="2"/>
  <c r="J10744" i="2"/>
  <c r="K10744" i="2"/>
  <c r="L10744" i="2"/>
  <c r="C10745" i="2"/>
  <c r="D10745" i="2"/>
  <c r="F10745" i="2"/>
  <c r="G10745" i="2"/>
  <c r="H10745" i="2"/>
  <c r="J10745" i="2"/>
  <c r="K10745" i="2"/>
  <c r="L10745" i="2"/>
  <c r="C10746" i="2"/>
  <c r="D10746" i="2"/>
  <c r="F10746" i="2"/>
  <c r="G10746" i="2"/>
  <c r="H10746" i="2"/>
  <c r="J10746" i="2"/>
  <c r="K10746" i="2"/>
  <c r="L10746" i="2"/>
  <c r="C10747" i="2"/>
  <c r="D10747" i="2"/>
  <c r="F10747" i="2"/>
  <c r="G10747" i="2"/>
  <c r="H10747" i="2"/>
  <c r="J10747" i="2"/>
  <c r="K10747" i="2"/>
  <c r="L10747" i="2"/>
  <c r="C10748" i="2"/>
  <c r="D10748" i="2"/>
  <c r="F10748" i="2"/>
  <c r="G10748" i="2"/>
  <c r="H10748" i="2"/>
  <c r="J10748" i="2"/>
  <c r="K10748" i="2"/>
  <c r="L10748" i="2"/>
  <c r="C10749" i="2"/>
  <c r="D10749" i="2"/>
  <c r="F10749" i="2"/>
  <c r="G10749" i="2"/>
  <c r="H10749" i="2"/>
  <c r="J10749" i="2"/>
  <c r="K10749" i="2"/>
  <c r="L10749" i="2"/>
  <c r="C10750" i="2"/>
  <c r="D10750" i="2"/>
  <c r="F10750" i="2"/>
  <c r="G10750" i="2"/>
  <c r="H10750" i="2"/>
  <c r="J10750" i="2"/>
  <c r="K10750" i="2"/>
  <c r="L10750" i="2"/>
  <c r="C10751" i="2"/>
  <c r="D10751" i="2"/>
  <c r="F10751" i="2"/>
  <c r="G10751" i="2"/>
  <c r="H10751" i="2"/>
  <c r="J10751" i="2"/>
  <c r="K10751" i="2"/>
  <c r="L10751" i="2"/>
  <c r="C10752" i="2"/>
  <c r="D10752" i="2"/>
  <c r="F10752" i="2"/>
  <c r="G10752" i="2"/>
  <c r="H10752" i="2"/>
  <c r="J10752" i="2"/>
  <c r="K10752" i="2"/>
  <c r="L10752" i="2"/>
  <c r="C10753" i="2"/>
  <c r="D10753" i="2"/>
  <c r="F10753" i="2"/>
  <c r="G10753" i="2"/>
  <c r="H10753" i="2"/>
  <c r="J10753" i="2"/>
  <c r="K10753" i="2"/>
  <c r="L10753" i="2"/>
  <c r="C10754" i="2"/>
  <c r="D10754" i="2"/>
  <c r="F10754" i="2"/>
  <c r="G10754" i="2"/>
  <c r="H10754" i="2"/>
  <c r="J10754" i="2"/>
  <c r="K10754" i="2"/>
  <c r="L10754" i="2"/>
  <c r="C10755" i="2"/>
  <c r="D10755" i="2"/>
  <c r="F10755" i="2"/>
  <c r="G10755" i="2"/>
  <c r="H10755" i="2"/>
  <c r="J10755" i="2"/>
  <c r="K10755" i="2"/>
  <c r="L10755" i="2"/>
  <c r="C10756" i="2"/>
  <c r="D10756" i="2"/>
  <c r="F10756" i="2"/>
  <c r="G10756" i="2"/>
  <c r="H10756" i="2"/>
  <c r="J10756" i="2"/>
  <c r="K10756" i="2"/>
  <c r="L10756" i="2"/>
  <c r="C10757" i="2"/>
  <c r="D10757" i="2"/>
  <c r="F10757" i="2"/>
  <c r="G10757" i="2"/>
  <c r="H10757" i="2"/>
  <c r="J10757" i="2"/>
  <c r="K10757" i="2"/>
  <c r="L10757" i="2"/>
  <c r="C10758" i="2"/>
  <c r="D10758" i="2"/>
  <c r="F10758" i="2"/>
  <c r="G10758" i="2"/>
  <c r="H10758" i="2"/>
  <c r="J10758" i="2"/>
  <c r="K10758" i="2"/>
  <c r="L10758" i="2"/>
  <c r="C10759" i="2"/>
  <c r="D10759" i="2"/>
  <c r="F10759" i="2"/>
  <c r="G10759" i="2"/>
  <c r="H10759" i="2"/>
  <c r="J10759" i="2"/>
  <c r="K10759" i="2"/>
  <c r="L10759" i="2"/>
  <c r="C10760" i="2"/>
  <c r="D10760" i="2"/>
  <c r="F10760" i="2"/>
  <c r="G10760" i="2"/>
  <c r="H10760" i="2"/>
  <c r="J10760" i="2"/>
  <c r="K10760" i="2"/>
  <c r="L10760" i="2"/>
  <c r="C10761" i="2"/>
  <c r="D10761" i="2"/>
  <c r="F10761" i="2"/>
  <c r="G10761" i="2"/>
  <c r="H10761" i="2"/>
  <c r="J10761" i="2"/>
  <c r="K10761" i="2"/>
  <c r="L10761" i="2"/>
  <c r="C10762" i="2"/>
  <c r="D10762" i="2"/>
  <c r="F10762" i="2"/>
  <c r="G10762" i="2"/>
  <c r="H10762" i="2"/>
  <c r="J10762" i="2"/>
  <c r="K10762" i="2"/>
  <c r="L10762" i="2"/>
  <c r="C10763" i="2"/>
  <c r="D10763" i="2"/>
  <c r="F10763" i="2"/>
  <c r="G10763" i="2"/>
  <c r="H10763" i="2"/>
  <c r="J10763" i="2"/>
  <c r="K10763" i="2"/>
  <c r="L10763" i="2"/>
  <c r="C10764" i="2"/>
  <c r="D10764" i="2"/>
  <c r="F10764" i="2"/>
  <c r="G10764" i="2"/>
  <c r="H10764" i="2"/>
  <c r="J10764" i="2"/>
  <c r="K10764" i="2"/>
  <c r="L10764" i="2"/>
  <c r="C10765" i="2"/>
  <c r="D10765" i="2"/>
  <c r="F10765" i="2"/>
  <c r="G10765" i="2"/>
  <c r="H10765" i="2"/>
  <c r="J10765" i="2"/>
  <c r="K10765" i="2"/>
  <c r="L10765" i="2"/>
  <c r="C10766" i="2"/>
  <c r="D10766" i="2"/>
  <c r="F10766" i="2"/>
  <c r="G10766" i="2"/>
  <c r="H10766" i="2"/>
  <c r="J10766" i="2"/>
  <c r="K10766" i="2"/>
  <c r="L10766" i="2"/>
  <c r="C10767" i="2"/>
  <c r="D10767" i="2"/>
  <c r="F10767" i="2"/>
  <c r="G10767" i="2"/>
  <c r="H10767" i="2"/>
  <c r="J10767" i="2"/>
  <c r="K10767" i="2"/>
  <c r="L10767" i="2"/>
  <c r="C10768" i="2"/>
  <c r="D10768" i="2"/>
  <c r="F10768" i="2"/>
  <c r="G10768" i="2"/>
  <c r="H10768" i="2"/>
  <c r="J10768" i="2"/>
  <c r="K10768" i="2"/>
  <c r="L10768" i="2"/>
  <c r="C10769" i="2"/>
  <c r="D10769" i="2"/>
  <c r="F10769" i="2"/>
  <c r="G10769" i="2"/>
  <c r="H10769" i="2"/>
  <c r="J10769" i="2"/>
  <c r="K10769" i="2"/>
  <c r="L10769" i="2"/>
  <c r="C10770" i="2"/>
  <c r="D10770" i="2"/>
  <c r="F10770" i="2"/>
  <c r="G10770" i="2"/>
  <c r="H10770" i="2"/>
  <c r="J10770" i="2"/>
  <c r="K10770" i="2"/>
  <c r="L10770" i="2"/>
  <c r="C10771" i="2"/>
  <c r="D10771" i="2"/>
  <c r="F10771" i="2"/>
  <c r="G10771" i="2"/>
  <c r="H10771" i="2"/>
  <c r="J10771" i="2"/>
  <c r="K10771" i="2"/>
  <c r="L10771" i="2"/>
  <c r="C10772" i="2"/>
  <c r="D10772" i="2"/>
  <c r="F10772" i="2"/>
  <c r="G10772" i="2"/>
  <c r="H10772" i="2"/>
  <c r="J10772" i="2"/>
  <c r="K10772" i="2"/>
  <c r="L10772" i="2"/>
  <c r="C10773" i="2"/>
  <c r="D10773" i="2"/>
  <c r="F10773" i="2"/>
  <c r="G10773" i="2"/>
  <c r="H10773" i="2"/>
  <c r="J10773" i="2"/>
  <c r="K10773" i="2"/>
  <c r="L10773" i="2"/>
  <c r="C10774" i="2"/>
  <c r="D10774" i="2"/>
  <c r="F10774" i="2"/>
  <c r="G10774" i="2"/>
  <c r="H10774" i="2"/>
  <c r="J10774" i="2"/>
  <c r="K10774" i="2"/>
  <c r="L10774" i="2"/>
  <c r="C10775" i="2"/>
  <c r="D10775" i="2"/>
  <c r="F10775" i="2"/>
  <c r="G10775" i="2"/>
  <c r="H10775" i="2"/>
  <c r="J10775" i="2"/>
  <c r="K10775" i="2"/>
  <c r="L10775" i="2"/>
  <c r="C10776" i="2"/>
  <c r="D10776" i="2"/>
  <c r="F10776" i="2"/>
  <c r="G10776" i="2"/>
  <c r="H10776" i="2"/>
  <c r="J10776" i="2"/>
  <c r="K10776" i="2"/>
  <c r="L10776" i="2"/>
  <c r="C10777" i="2"/>
  <c r="D10777" i="2"/>
  <c r="F10777" i="2"/>
  <c r="G10777" i="2"/>
  <c r="H10777" i="2"/>
  <c r="J10777" i="2"/>
  <c r="K10777" i="2"/>
  <c r="L10777" i="2"/>
  <c r="C10778" i="2"/>
  <c r="D10778" i="2"/>
  <c r="F10778" i="2"/>
  <c r="G10778" i="2"/>
  <c r="H10778" i="2"/>
  <c r="J10778" i="2"/>
  <c r="K10778" i="2"/>
  <c r="L10778" i="2"/>
  <c r="C10779" i="2"/>
  <c r="D10779" i="2"/>
  <c r="F10779" i="2"/>
  <c r="G10779" i="2"/>
  <c r="H10779" i="2"/>
  <c r="J10779" i="2"/>
  <c r="K10779" i="2"/>
  <c r="L10779" i="2"/>
  <c r="C10780" i="2"/>
  <c r="D10780" i="2"/>
  <c r="F10780" i="2"/>
  <c r="G10780" i="2"/>
  <c r="H10780" i="2"/>
  <c r="J10780" i="2"/>
  <c r="K10780" i="2"/>
  <c r="L10780" i="2"/>
  <c r="C10781" i="2"/>
  <c r="D10781" i="2"/>
  <c r="F10781" i="2"/>
  <c r="G10781" i="2"/>
  <c r="H10781" i="2"/>
  <c r="J10781" i="2"/>
  <c r="K10781" i="2"/>
  <c r="L10781" i="2"/>
  <c r="C10782" i="2"/>
  <c r="D10782" i="2"/>
  <c r="F10782" i="2"/>
  <c r="G10782" i="2"/>
  <c r="H10782" i="2"/>
  <c r="J10782" i="2"/>
  <c r="K10782" i="2"/>
  <c r="L10782" i="2"/>
  <c r="C10783" i="2"/>
  <c r="D10783" i="2"/>
  <c r="F10783" i="2"/>
  <c r="G10783" i="2"/>
  <c r="H10783" i="2"/>
  <c r="J10783" i="2"/>
  <c r="K10783" i="2"/>
  <c r="L10783" i="2"/>
  <c r="C10784" i="2"/>
  <c r="D10784" i="2"/>
  <c r="F10784" i="2"/>
  <c r="G10784" i="2"/>
  <c r="H10784" i="2"/>
  <c r="J10784" i="2"/>
  <c r="K10784" i="2"/>
  <c r="L10784" i="2"/>
  <c r="C10785" i="2"/>
  <c r="D10785" i="2"/>
  <c r="F10785" i="2"/>
  <c r="G10785" i="2"/>
  <c r="H10785" i="2"/>
  <c r="J10785" i="2"/>
  <c r="K10785" i="2"/>
  <c r="L10785" i="2"/>
  <c r="C10786" i="2"/>
  <c r="D10786" i="2"/>
  <c r="F10786" i="2"/>
  <c r="G10786" i="2"/>
  <c r="H10786" i="2"/>
  <c r="J10786" i="2"/>
  <c r="K10786" i="2"/>
  <c r="L10786" i="2"/>
  <c r="C10787" i="2"/>
  <c r="D10787" i="2"/>
  <c r="F10787" i="2"/>
  <c r="G10787" i="2"/>
  <c r="H10787" i="2"/>
  <c r="J10787" i="2"/>
  <c r="K10787" i="2"/>
  <c r="L10787" i="2"/>
  <c r="C10788" i="2"/>
  <c r="D10788" i="2"/>
  <c r="F10788" i="2"/>
  <c r="G10788" i="2"/>
  <c r="H10788" i="2"/>
  <c r="J10788" i="2"/>
  <c r="K10788" i="2"/>
  <c r="L10788" i="2"/>
  <c r="C10789" i="2"/>
  <c r="D10789" i="2"/>
  <c r="F10789" i="2"/>
  <c r="G10789" i="2"/>
  <c r="H10789" i="2"/>
  <c r="J10789" i="2"/>
  <c r="K10789" i="2"/>
  <c r="L10789" i="2"/>
  <c r="C10790" i="2"/>
  <c r="D10790" i="2"/>
  <c r="F10790" i="2"/>
  <c r="G10790" i="2"/>
  <c r="H10790" i="2"/>
  <c r="J10790" i="2"/>
  <c r="K10790" i="2"/>
  <c r="L10790" i="2"/>
  <c r="C10791" i="2"/>
  <c r="D10791" i="2"/>
  <c r="F10791" i="2"/>
  <c r="G10791" i="2"/>
  <c r="H10791" i="2"/>
  <c r="J10791" i="2"/>
  <c r="K10791" i="2"/>
  <c r="L10791" i="2"/>
  <c r="C10792" i="2"/>
  <c r="D10792" i="2"/>
  <c r="F10792" i="2"/>
  <c r="G10792" i="2"/>
  <c r="H10792" i="2"/>
  <c r="J10792" i="2"/>
  <c r="K10792" i="2"/>
  <c r="L10792" i="2"/>
  <c r="C10793" i="2"/>
  <c r="D10793" i="2"/>
  <c r="F10793" i="2"/>
  <c r="G10793" i="2"/>
  <c r="H10793" i="2"/>
  <c r="J10793" i="2"/>
  <c r="K10793" i="2"/>
  <c r="L10793" i="2"/>
  <c r="C10794" i="2"/>
  <c r="D10794" i="2"/>
  <c r="F10794" i="2"/>
  <c r="G10794" i="2"/>
  <c r="H10794" i="2"/>
  <c r="J10794" i="2"/>
  <c r="K10794" i="2"/>
  <c r="L10794" i="2"/>
  <c r="C10795" i="2"/>
  <c r="D10795" i="2"/>
  <c r="F10795" i="2"/>
  <c r="G10795" i="2"/>
  <c r="H10795" i="2"/>
  <c r="J10795" i="2"/>
  <c r="K10795" i="2"/>
  <c r="L10795" i="2"/>
  <c r="C10796" i="2"/>
  <c r="D10796" i="2"/>
  <c r="F10796" i="2"/>
  <c r="G10796" i="2"/>
  <c r="H10796" i="2"/>
  <c r="J10796" i="2"/>
  <c r="K10796" i="2"/>
  <c r="L10796" i="2"/>
  <c r="C10797" i="2"/>
  <c r="D10797" i="2"/>
  <c r="F10797" i="2"/>
  <c r="G10797" i="2"/>
  <c r="H10797" i="2"/>
  <c r="J10797" i="2"/>
  <c r="K10797" i="2"/>
  <c r="L10797" i="2"/>
  <c r="C10798" i="2"/>
  <c r="D10798" i="2"/>
  <c r="F10798" i="2"/>
  <c r="G10798" i="2"/>
  <c r="H10798" i="2"/>
  <c r="J10798" i="2"/>
  <c r="K10798" i="2"/>
  <c r="L10798" i="2"/>
  <c r="C10799" i="2"/>
  <c r="D10799" i="2"/>
  <c r="F10799" i="2"/>
  <c r="G10799" i="2"/>
  <c r="H10799" i="2"/>
  <c r="J10799" i="2"/>
  <c r="K10799" i="2"/>
  <c r="L10799" i="2"/>
  <c r="C10800" i="2"/>
  <c r="D10800" i="2"/>
  <c r="F10800" i="2"/>
  <c r="G10800" i="2"/>
  <c r="H10800" i="2"/>
  <c r="J10800" i="2"/>
  <c r="K10800" i="2"/>
  <c r="L10800" i="2"/>
  <c r="C10801" i="2"/>
  <c r="D10801" i="2"/>
  <c r="F10801" i="2"/>
  <c r="G10801" i="2"/>
  <c r="H10801" i="2"/>
  <c r="J10801" i="2"/>
  <c r="K10801" i="2"/>
  <c r="L10801" i="2"/>
  <c r="C10802" i="2"/>
  <c r="D10802" i="2"/>
  <c r="F10802" i="2"/>
  <c r="G10802" i="2"/>
  <c r="H10802" i="2"/>
  <c r="J10802" i="2"/>
  <c r="K10802" i="2"/>
  <c r="L10802" i="2"/>
  <c r="C10803" i="2"/>
  <c r="D10803" i="2"/>
  <c r="F10803" i="2"/>
  <c r="G10803" i="2"/>
  <c r="H10803" i="2"/>
  <c r="J10803" i="2"/>
  <c r="K10803" i="2"/>
  <c r="L10803" i="2"/>
  <c r="C10804" i="2"/>
  <c r="D10804" i="2"/>
  <c r="F10804" i="2"/>
  <c r="G10804" i="2"/>
  <c r="H10804" i="2"/>
  <c r="J10804" i="2"/>
  <c r="K10804" i="2"/>
  <c r="L10804" i="2"/>
  <c r="C10805" i="2"/>
  <c r="D10805" i="2"/>
  <c r="F10805" i="2"/>
  <c r="G10805" i="2"/>
  <c r="H10805" i="2"/>
  <c r="J10805" i="2"/>
  <c r="K10805" i="2"/>
  <c r="L10805" i="2"/>
  <c r="C10806" i="2"/>
  <c r="D10806" i="2"/>
  <c r="F10806" i="2"/>
  <c r="G10806" i="2"/>
  <c r="H10806" i="2"/>
  <c r="J10806" i="2"/>
  <c r="K10806" i="2"/>
  <c r="L10806" i="2"/>
  <c r="C10807" i="2"/>
  <c r="D10807" i="2"/>
  <c r="F10807" i="2"/>
  <c r="G10807" i="2"/>
  <c r="H10807" i="2"/>
  <c r="J10807" i="2"/>
  <c r="K10807" i="2"/>
  <c r="L10807" i="2"/>
  <c r="C10808" i="2"/>
  <c r="D10808" i="2"/>
  <c r="F10808" i="2"/>
  <c r="G10808" i="2"/>
  <c r="H10808" i="2"/>
  <c r="J10808" i="2"/>
  <c r="K10808" i="2"/>
  <c r="L10808" i="2"/>
  <c r="C10809" i="2"/>
  <c r="D10809" i="2"/>
  <c r="F10809" i="2"/>
  <c r="G10809" i="2"/>
  <c r="H10809" i="2"/>
  <c r="J10809" i="2"/>
  <c r="K10809" i="2"/>
  <c r="L10809" i="2"/>
  <c r="C10810" i="2"/>
  <c r="D10810" i="2"/>
  <c r="F10810" i="2"/>
  <c r="G10810" i="2"/>
  <c r="H10810" i="2"/>
  <c r="J10810" i="2"/>
  <c r="K10810" i="2"/>
  <c r="L10810" i="2"/>
  <c r="C10811" i="2"/>
  <c r="D10811" i="2"/>
  <c r="F10811" i="2"/>
  <c r="G10811" i="2"/>
  <c r="H10811" i="2"/>
  <c r="J10811" i="2"/>
  <c r="K10811" i="2"/>
  <c r="L10811" i="2"/>
  <c r="C10812" i="2"/>
  <c r="D10812" i="2"/>
  <c r="F10812" i="2"/>
  <c r="G10812" i="2"/>
  <c r="H10812" i="2"/>
  <c r="J10812" i="2"/>
  <c r="K10812" i="2"/>
  <c r="L10812" i="2"/>
  <c r="C10813" i="2"/>
  <c r="D10813" i="2"/>
  <c r="F10813" i="2"/>
  <c r="G10813" i="2"/>
  <c r="H10813" i="2"/>
  <c r="J10813" i="2"/>
  <c r="K10813" i="2"/>
  <c r="L10813" i="2"/>
  <c r="C10814" i="2"/>
  <c r="D10814" i="2"/>
  <c r="F10814" i="2"/>
  <c r="G10814" i="2"/>
  <c r="H10814" i="2"/>
  <c r="J10814" i="2"/>
  <c r="K10814" i="2"/>
  <c r="L10814" i="2"/>
  <c r="C10815" i="2"/>
  <c r="D10815" i="2"/>
  <c r="F10815" i="2"/>
  <c r="G10815" i="2"/>
  <c r="H10815" i="2"/>
  <c r="J10815" i="2"/>
  <c r="K10815" i="2"/>
  <c r="L10815" i="2"/>
  <c r="C10816" i="2"/>
  <c r="D10816" i="2"/>
  <c r="F10816" i="2"/>
  <c r="G10816" i="2"/>
  <c r="H10816" i="2"/>
  <c r="J10816" i="2"/>
  <c r="K10816" i="2"/>
  <c r="L10816" i="2"/>
  <c r="C10817" i="2"/>
  <c r="D10817" i="2"/>
  <c r="F10817" i="2"/>
  <c r="G10817" i="2"/>
  <c r="H10817" i="2"/>
  <c r="J10817" i="2"/>
  <c r="K10817" i="2"/>
  <c r="L10817" i="2"/>
  <c r="C10818" i="2"/>
  <c r="D10818" i="2"/>
  <c r="F10818" i="2"/>
  <c r="G10818" i="2"/>
  <c r="H10818" i="2"/>
  <c r="J10818" i="2"/>
  <c r="K10818" i="2"/>
  <c r="L10818" i="2"/>
  <c r="C10819" i="2"/>
  <c r="D10819" i="2"/>
  <c r="F10819" i="2"/>
  <c r="G10819" i="2"/>
  <c r="H10819" i="2"/>
  <c r="J10819" i="2"/>
  <c r="K10819" i="2"/>
  <c r="L10819" i="2"/>
  <c r="C10820" i="2"/>
  <c r="D10820" i="2"/>
  <c r="F10820" i="2"/>
  <c r="G10820" i="2"/>
  <c r="H10820" i="2"/>
  <c r="J10820" i="2"/>
  <c r="K10820" i="2"/>
  <c r="L10820" i="2"/>
  <c r="C10821" i="2"/>
  <c r="D10821" i="2"/>
  <c r="F10821" i="2"/>
  <c r="G10821" i="2"/>
  <c r="H10821" i="2"/>
  <c r="J10821" i="2"/>
  <c r="K10821" i="2"/>
  <c r="L10821" i="2"/>
  <c r="C10822" i="2"/>
  <c r="D10822" i="2"/>
  <c r="F10822" i="2"/>
  <c r="G10822" i="2"/>
  <c r="H10822" i="2"/>
  <c r="J10822" i="2"/>
  <c r="K10822" i="2"/>
  <c r="L10822" i="2"/>
  <c r="C10823" i="2"/>
  <c r="D10823" i="2"/>
  <c r="F10823" i="2"/>
  <c r="G10823" i="2"/>
  <c r="H10823" i="2"/>
  <c r="J10823" i="2"/>
  <c r="K10823" i="2"/>
  <c r="L10823" i="2"/>
  <c r="C10824" i="2"/>
  <c r="D10824" i="2"/>
  <c r="F10824" i="2"/>
  <c r="G10824" i="2"/>
  <c r="H10824" i="2"/>
  <c r="J10824" i="2"/>
  <c r="K10824" i="2"/>
  <c r="L10824" i="2"/>
  <c r="C10825" i="2"/>
  <c r="D10825" i="2"/>
  <c r="F10825" i="2"/>
  <c r="G10825" i="2"/>
  <c r="H10825" i="2"/>
  <c r="J10825" i="2"/>
  <c r="K10825" i="2"/>
  <c r="L10825" i="2"/>
  <c r="C10826" i="2"/>
  <c r="D10826" i="2"/>
  <c r="F10826" i="2"/>
  <c r="G10826" i="2"/>
  <c r="H10826" i="2"/>
  <c r="J10826" i="2"/>
  <c r="K10826" i="2"/>
  <c r="L10826" i="2"/>
  <c r="C10827" i="2"/>
  <c r="D10827" i="2"/>
  <c r="F10827" i="2"/>
  <c r="G10827" i="2"/>
  <c r="H10827" i="2"/>
  <c r="J10827" i="2"/>
  <c r="K10827" i="2"/>
  <c r="L10827" i="2"/>
  <c r="C10828" i="2"/>
  <c r="D10828" i="2"/>
  <c r="F10828" i="2"/>
  <c r="G10828" i="2"/>
  <c r="H10828" i="2"/>
  <c r="J10828" i="2"/>
  <c r="K10828" i="2"/>
  <c r="L10828" i="2"/>
  <c r="C10829" i="2"/>
  <c r="D10829" i="2"/>
  <c r="F10829" i="2"/>
  <c r="G10829" i="2"/>
  <c r="H10829" i="2"/>
  <c r="J10829" i="2"/>
  <c r="K10829" i="2"/>
  <c r="L10829" i="2"/>
  <c r="C10830" i="2"/>
  <c r="D10830" i="2"/>
  <c r="F10830" i="2"/>
  <c r="G10830" i="2"/>
  <c r="H10830" i="2"/>
  <c r="J10830" i="2"/>
  <c r="K10830" i="2"/>
  <c r="L10830" i="2"/>
  <c r="C10831" i="2"/>
  <c r="D10831" i="2"/>
  <c r="F10831" i="2"/>
  <c r="G10831" i="2"/>
  <c r="H10831" i="2"/>
  <c r="J10831" i="2"/>
  <c r="K10831" i="2"/>
  <c r="L10831" i="2"/>
  <c r="C10832" i="2"/>
  <c r="D10832" i="2"/>
  <c r="F10832" i="2"/>
  <c r="G10832" i="2"/>
  <c r="H10832" i="2"/>
  <c r="J10832" i="2"/>
  <c r="K10832" i="2"/>
  <c r="L10832" i="2"/>
  <c r="C10833" i="2"/>
  <c r="D10833" i="2"/>
  <c r="F10833" i="2"/>
  <c r="G10833" i="2"/>
  <c r="H10833" i="2"/>
  <c r="J10833" i="2"/>
  <c r="K10833" i="2"/>
  <c r="L10833" i="2"/>
  <c r="C10834" i="2"/>
  <c r="D10834" i="2"/>
  <c r="F10834" i="2"/>
  <c r="G10834" i="2"/>
  <c r="H10834" i="2"/>
  <c r="J10834" i="2"/>
  <c r="K10834" i="2"/>
  <c r="L10834" i="2"/>
  <c r="C10835" i="2"/>
  <c r="D10835" i="2"/>
  <c r="F10835" i="2"/>
  <c r="G10835" i="2"/>
  <c r="H10835" i="2"/>
  <c r="J10835" i="2"/>
  <c r="K10835" i="2"/>
  <c r="L10835" i="2"/>
  <c r="C10836" i="2"/>
  <c r="D10836" i="2"/>
  <c r="F10836" i="2"/>
  <c r="G10836" i="2"/>
  <c r="H10836" i="2"/>
  <c r="J10836" i="2"/>
  <c r="K10836" i="2"/>
  <c r="L10836" i="2"/>
  <c r="C10837" i="2"/>
  <c r="D10837" i="2"/>
  <c r="F10837" i="2"/>
  <c r="G10837" i="2"/>
  <c r="H10837" i="2"/>
  <c r="J10837" i="2"/>
  <c r="K10837" i="2"/>
  <c r="L10837" i="2"/>
  <c r="C10838" i="2"/>
  <c r="D10838" i="2"/>
  <c r="F10838" i="2"/>
  <c r="G10838" i="2"/>
  <c r="H10838" i="2"/>
  <c r="J10838" i="2"/>
  <c r="K10838" i="2"/>
  <c r="L10838" i="2"/>
  <c r="C10839" i="2"/>
  <c r="D10839" i="2"/>
  <c r="F10839" i="2"/>
  <c r="G10839" i="2"/>
  <c r="H10839" i="2"/>
  <c r="J10839" i="2"/>
  <c r="K10839" i="2"/>
  <c r="L10839" i="2"/>
  <c r="C10840" i="2"/>
  <c r="D10840" i="2"/>
  <c r="F10840" i="2"/>
  <c r="G10840" i="2"/>
  <c r="H10840" i="2"/>
  <c r="J10840" i="2"/>
  <c r="K10840" i="2"/>
  <c r="L10840" i="2"/>
  <c r="C10841" i="2"/>
  <c r="D10841" i="2"/>
  <c r="F10841" i="2"/>
  <c r="G10841" i="2"/>
  <c r="H10841" i="2"/>
  <c r="J10841" i="2"/>
  <c r="K10841" i="2"/>
  <c r="L10841" i="2"/>
  <c r="C10842" i="2"/>
  <c r="D10842" i="2"/>
  <c r="F10842" i="2"/>
  <c r="G10842" i="2"/>
  <c r="H10842" i="2"/>
  <c r="J10842" i="2"/>
  <c r="K10842" i="2"/>
  <c r="L10842" i="2"/>
  <c r="C10843" i="2"/>
  <c r="D10843" i="2"/>
  <c r="F10843" i="2"/>
  <c r="G10843" i="2"/>
  <c r="H10843" i="2"/>
  <c r="J10843" i="2"/>
  <c r="K10843" i="2"/>
  <c r="L10843" i="2"/>
  <c r="C10844" i="2"/>
  <c r="D10844" i="2"/>
  <c r="F10844" i="2"/>
  <c r="G10844" i="2"/>
  <c r="H10844" i="2"/>
  <c r="J10844" i="2"/>
  <c r="K10844" i="2"/>
  <c r="L10844" i="2"/>
  <c r="C10845" i="2"/>
  <c r="D10845" i="2"/>
  <c r="F10845" i="2"/>
  <c r="G10845" i="2"/>
  <c r="H10845" i="2"/>
  <c r="J10845" i="2"/>
  <c r="K10845" i="2"/>
  <c r="L10845" i="2"/>
  <c r="C10846" i="2"/>
  <c r="D10846" i="2"/>
  <c r="F10846" i="2"/>
  <c r="G10846" i="2"/>
  <c r="H10846" i="2"/>
  <c r="J10846" i="2"/>
  <c r="K10846" i="2"/>
  <c r="L10846" i="2"/>
  <c r="C10847" i="2"/>
  <c r="D10847" i="2"/>
  <c r="F10847" i="2"/>
  <c r="G10847" i="2"/>
  <c r="H10847" i="2"/>
  <c r="J10847" i="2"/>
  <c r="K10847" i="2"/>
  <c r="L10847" i="2"/>
  <c r="C10848" i="2"/>
  <c r="D10848" i="2"/>
  <c r="F10848" i="2"/>
  <c r="G10848" i="2"/>
  <c r="H10848" i="2"/>
  <c r="J10848" i="2"/>
  <c r="K10848" i="2"/>
  <c r="L10848" i="2"/>
  <c r="C10849" i="2"/>
  <c r="D10849" i="2"/>
  <c r="F10849" i="2"/>
  <c r="G10849" i="2"/>
  <c r="H10849" i="2"/>
  <c r="J10849" i="2"/>
  <c r="K10849" i="2"/>
  <c r="L10849" i="2"/>
  <c r="C10850" i="2"/>
  <c r="D10850" i="2"/>
  <c r="F10850" i="2"/>
  <c r="G10850" i="2"/>
  <c r="H10850" i="2"/>
  <c r="J10850" i="2"/>
  <c r="K10850" i="2"/>
  <c r="L10850" i="2"/>
  <c r="C10851" i="2"/>
  <c r="D10851" i="2"/>
  <c r="F10851" i="2"/>
  <c r="G10851" i="2"/>
  <c r="H10851" i="2"/>
  <c r="J10851" i="2"/>
  <c r="K10851" i="2"/>
  <c r="L10851" i="2"/>
  <c r="C10852" i="2"/>
  <c r="D10852" i="2"/>
  <c r="F10852" i="2"/>
  <c r="G10852" i="2"/>
  <c r="H10852" i="2"/>
  <c r="J10852" i="2"/>
  <c r="K10852" i="2"/>
  <c r="L10852" i="2"/>
  <c r="C10853" i="2"/>
  <c r="D10853" i="2"/>
  <c r="F10853" i="2"/>
  <c r="G10853" i="2"/>
  <c r="H10853" i="2"/>
  <c r="J10853" i="2"/>
  <c r="K10853" i="2"/>
  <c r="L10853" i="2"/>
  <c r="C10854" i="2"/>
  <c r="D10854" i="2"/>
  <c r="F10854" i="2"/>
  <c r="G10854" i="2"/>
  <c r="H10854" i="2"/>
  <c r="J10854" i="2"/>
  <c r="K10854" i="2"/>
  <c r="L10854" i="2"/>
  <c r="C10855" i="2"/>
  <c r="D10855" i="2"/>
  <c r="F10855" i="2"/>
  <c r="G10855" i="2"/>
  <c r="H10855" i="2"/>
  <c r="J10855" i="2"/>
  <c r="K10855" i="2"/>
  <c r="L10855" i="2"/>
  <c r="C10856" i="2"/>
  <c r="D10856" i="2"/>
  <c r="F10856" i="2"/>
  <c r="G10856" i="2"/>
  <c r="H10856" i="2"/>
  <c r="J10856" i="2"/>
  <c r="K10856" i="2"/>
  <c r="L10856" i="2"/>
  <c r="C10857" i="2"/>
  <c r="D10857" i="2"/>
  <c r="F10857" i="2"/>
  <c r="G10857" i="2"/>
  <c r="H10857" i="2"/>
  <c r="J10857" i="2"/>
  <c r="K10857" i="2"/>
  <c r="L10857" i="2"/>
  <c r="C10858" i="2"/>
  <c r="D10858" i="2"/>
  <c r="F10858" i="2"/>
  <c r="G10858" i="2"/>
  <c r="H10858" i="2"/>
  <c r="J10858" i="2"/>
  <c r="K10858" i="2"/>
  <c r="L10858" i="2"/>
  <c r="C10859" i="2"/>
  <c r="D10859" i="2"/>
  <c r="F10859" i="2"/>
  <c r="G10859" i="2"/>
  <c r="H10859" i="2"/>
  <c r="J10859" i="2"/>
  <c r="K10859" i="2"/>
  <c r="L10859" i="2"/>
  <c r="C10860" i="2"/>
  <c r="D10860" i="2"/>
  <c r="F10860" i="2"/>
  <c r="G10860" i="2"/>
  <c r="H10860" i="2"/>
  <c r="J10860" i="2"/>
  <c r="K10860" i="2"/>
  <c r="L10860" i="2"/>
  <c r="C10861" i="2"/>
  <c r="D10861" i="2"/>
  <c r="F10861" i="2"/>
  <c r="G10861" i="2"/>
  <c r="H10861" i="2"/>
  <c r="J10861" i="2"/>
  <c r="K10861" i="2"/>
  <c r="L10861" i="2"/>
  <c r="C10862" i="2"/>
  <c r="D10862" i="2"/>
  <c r="F10862" i="2"/>
  <c r="G10862" i="2"/>
  <c r="H10862" i="2"/>
  <c r="J10862" i="2"/>
  <c r="K10862" i="2"/>
  <c r="L10862" i="2"/>
  <c r="C10863" i="2"/>
  <c r="D10863" i="2"/>
  <c r="F10863" i="2"/>
  <c r="G10863" i="2"/>
  <c r="H10863" i="2"/>
  <c r="J10863" i="2"/>
  <c r="K10863" i="2"/>
  <c r="L10863" i="2"/>
  <c r="C10864" i="2"/>
  <c r="D10864" i="2"/>
  <c r="F10864" i="2"/>
  <c r="G10864" i="2"/>
  <c r="H10864" i="2"/>
  <c r="J10864" i="2"/>
  <c r="K10864" i="2"/>
  <c r="L10864" i="2"/>
  <c r="C10865" i="2"/>
  <c r="D10865" i="2"/>
  <c r="F10865" i="2"/>
  <c r="G10865" i="2"/>
  <c r="H10865" i="2"/>
  <c r="J10865" i="2"/>
  <c r="K10865" i="2"/>
  <c r="L10865" i="2"/>
  <c r="C10866" i="2"/>
  <c r="D10866" i="2"/>
  <c r="F10866" i="2"/>
  <c r="G10866" i="2"/>
  <c r="H10866" i="2"/>
  <c r="J10866" i="2"/>
  <c r="K10866" i="2"/>
  <c r="L10866" i="2"/>
  <c r="C10867" i="2"/>
  <c r="D10867" i="2"/>
  <c r="F10867" i="2"/>
  <c r="G10867" i="2"/>
  <c r="H10867" i="2"/>
  <c r="J10867" i="2"/>
  <c r="K10867" i="2"/>
  <c r="L10867" i="2"/>
  <c r="C10868" i="2"/>
  <c r="D10868" i="2"/>
  <c r="F10868" i="2"/>
  <c r="G10868" i="2"/>
  <c r="H10868" i="2"/>
  <c r="J10868" i="2"/>
  <c r="K10868" i="2"/>
  <c r="L10868" i="2"/>
  <c r="C10869" i="2"/>
  <c r="D10869" i="2"/>
  <c r="F10869" i="2"/>
  <c r="G10869" i="2"/>
  <c r="H10869" i="2"/>
  <c r="J10869" i="2"/>
  <c r="K10869" i="2"/>
  <c r="L10869" i="2"/>
  <c r="C10870" i="2"/>
  <c r="D10870" i="2"/>
  <c r="F10870" i="2"/>
  <c r="G10870" i="2"/>
  <c r="H10870" i="2"/>
  <c r="J10870" i="2"/>
  <c r="K10870" i="2"/>
  <c r="L10870" i="2"/>
  <c r="C10871" i="2"/>
  <c r="D10871" i="2"/>
  <c r="F10871" i="2"/>
  <c r="G10871" i="2"/>
  <c r="H10871" i="2"/>
  <c r="J10871" i="2"/>
  <c r="K10871" i="2"/>
  <c r="L10871" i="2"/>
  <c r="C10872" i="2"/>
  <c r="D10872" i="2"/>
  <c r="F10872" i="2"/>
  <c r="G10872" i="2"/>
  <c r="H10872" i="2"/>
  <c r="J10872" i="2"/>
  <c r="K10872" i="2"/>
  <c r="L10872" i="2"/>
  <c r="C10873" i="2"/>
  <c r="D10873" i="2"/>
  <c r="F10873" i="2"/>
  <c r="G10873" i="2"/>
  <c r="H10873" i="2"/>
  <c r="J10873" i="2"/>
  <c r="K10873" i="2"/>
  <c r="L10873" i="2"/>
  <c r="C10874" i="2"/>
  <c r="D10874" i="2"/>
  <c r="F10874" i="2"/>
  <c r="G10874" i="2"/>
  <c r="H10874" i="2"/>
  <c r="J10874" i="2"/>
  <c r="K10874" i="2"/>
  <c r="L10874" i="2"/>
  <c r="C10875" i="2"/>
  <c r="D10875" i="2"/>
  <c r="F10875" i="2"/>
  <c r="G10875" i="2"/>
  <c r="H10875" i="2"/>
  <c r="J10875" i="2"/>
  <c r="K10875" i="2"/>
  <c r="L10875" i="2"/>
  <c r="C10876" i="2"/>
  <c r="D10876" i="2"/>
  <c r="F10876" i="2"/>
  <c r="G10876" i="2"/>
  <c r="H10876" i="2"/>
  <c r="J10876" i="2"/>
  <c r="K10876" i="2"/>
  <c r="L10876" i="2"/>
  <c r="C10877" i="2"/>
  <c r="D10877" i="2"/>
  <c r="F10877" i="2"/>
  <c r="G10877" i="2"/>
  <c r="H10877" i="2"/>
  <c r="J10877" i="2"/>
  <c r="K10877" i="2"/>
  <c r="L10877" i="2"/>
  <c r="C10878" i="2"/>
  <c r="D10878" i="2"/>
  <c r="F10878" i="2"/>
  <c r="G10878" i="2"/>
  <c r="H10878" i="2"/>
  <c r="J10878" i="2"/>
  <c r="K10878" i="2"/>
  <c r="L10878" i="2"/>
  <c r="C10879" i="2"/>
  <c r="D10879" i="2"/>
  <c r="F10879" i="2"/>
  <c r="G10879" i="2"/>
  <c r="H10879" i="2"/>
  <c r="J10879" i="2"/>
  <c r="K10879" i="2"/>
  <c r="L10879" i="2"/>
  <c r="C10880" i="2"/>
  <c r="D10880" i="2"/>
  <c r="F10880" i="2"/>
  <c r="G10880" i="2"/>
  <c r="H10880" i="2"/>
  <c r="J10880" i="2"/>
  <c r="K10880" i="2"/>
  <c r="L10880" i="2"/>
  <c r="C10881" i="2"/>
  <c r="D10881" i="2"/>
  <c r="F10881" i="2"/>
  <c r="G10881" i="2"/>
  <c r="H10881" i="2"/>
  <c r="J10881" i="2"/>
  <c r="K10881" i="2"/>
  <c r="L10881" i="2"/>
  <c r="C10882" i="2"/>
  <c r="D10882" i="2"/>
  <c r="F10882" i="2"/>
  <c r="G10882" i="2"/>
  <c r="H10882" i="2"/>
  <c r="J10882" i="2"/>
  <c r="K10882" i="2"/>
  <c r="L10882" i="2"/>
  <c r="C10883" i="2"/>
  <c r="D10883" i="2"/>
  <c r="F10883" i="2"/>
  <c r="G10883" i="2"/>
  <c r="H10883" i="2"/>
  <c r="J10883" i="2"/>
  <c r="K10883" i="2"/>
  <c r="L10883" i="2"/>
  <c r="C10884" i="2"/>
  <c r="D10884" i="2"/>
  <c r="F10884" i="2"/>
  <c r="G10884" i="2"/>
  <c r="H10884" i="2"/>
  <c r="J10884" i="2"/>
  <c r="K10884" i="2"/>
  <c r="L10884" i="2"/>
  <c r="C10885" i="2"/>
  <c r="D10885" i="2"/>
  <c r="F10885" i="2"/>
  <c r="G10885" i="2"/>
  <c r="H10885" i="2"/>
  <c r="J10885" i="2"/>
  <c r="K10885" i="2"/>
  <c r="L10885" i="2"/>
  <c r="C10886" i="2"/>
  <c r="D10886" i="2"/>
  <c r="F10886" i="2"/>
  <c r="G10886" i="2"/>
  <c r="H10886" i="2"/>
  <c r="J10886" i="2"/>
  <c r="K10886" i="2"/>
  <c r="L10886" i="2"/>
  <c r="C10887" i="2"/>
  <c r="D10887" i="2"/>
  <c r="F10887" i="2"/>
  <c r="G10887" i="2"/>
  <c r="H10887" i="2"/>
  <c r="J10887" i="2"/>
  <c r="K10887" i="2"/>
  <c r="L10887" i="2"/>
  <c r="C10888" i="2"/>
  <c r="D10888" i="2"/>
  <c r="F10888" i="2"/>
  <c r="G10888" i="2"/>
  <c r="H10888" i="2"/>
  <c r="J10888" i="2"/>
  <c r="K10888" i="2"/>
  <c r="L10888" i="2"/>
  <c r="C10889" i="2"/>
  <c r="D10889" i="2"/>
  <c r="F10889" i="2"/>
  <c r="G10889" i="2"/>
  <c r="H10889" i="2"/>
  <c r="J10889" i="2"/>
  <c r="K10889" i="2"/>
  <c r="L10889" i="2"/>
  <c r="C10890" i="2"/>
  <c r="D10890" i="2"/>
  <c r="F10890" i="2"/>
  <c r="G10890" i="2"/>
  <c r="H10890" i="2"/>
  <c r="J10890" i="2"/>
  <c r="K10890" i="2"/>
  <c r="L10890" i="2"/>
  <c r="C10891" i="2"/>
  <c r="D10891" i="2"/>
  <c r="F10891" i="2"/>
  <c r="G10891" i="2"/>
  <c r="H10891" i="2"/>
  <c r="J10891" i="2"/>
  <c r="K10891" i="2"/>
  <c r="L10891" i="2"/>
  <c r="C10892" i="2"/>
  <c r="D10892" i="2"/>
  <c r="F10892" i="2"/>
  <c r="G10892" i="2"/>
  <c r="H10892" i="2"/>
  <c r="J10892" i="2"/>
  <c r="K10892" i="2"/>
  <c r="L10892" i="2"/>
  <c r="C10893" i="2"/>
  <c r="D10893" i="2"/>
  <c r="F10893" i="2"/>
  <c r="G10893" i="2"/>
  <c r="H10893" i="2"/>
  <c r="J10893" i="2"/>
  <c r="K10893" i="2"/>
  <c r="L10893" i="2"/>
  <c r="C10894" i="2"/>
  <c r="D10894" i="2"/>
  <c r="F10894" i="2"/>
  <c r="G10894" i="2"/>
  <c r="H10894" i="2"/>
  <c r="J10894" i="2"/>
  <c r="K10894" i="2"/>
  <c r="L10894" i="2"/>
  <c r="C10895" i="2"/>
  <c r="D10895" i="2"/>
  <c r="F10895" i="2"/>
  <c r="G10895" i="2"/>
  <c r="H10895" i="2"/>
  <c r="J10895" i="2"/>
  <c r="K10895" i="2"/>
  <c r="L10895" i="2"/>
  <c r="C10896" i="2"/>
  <c r="D10896" i="2"/>
  <c r="F10896" i="2"/>
  <c r="G10896" i="2"/>
  <c r="H10896" i="2"/>
  <c r="J10896" i="2"/>
  <c r="K10896" i="2"/>
  <c r="L10896" i="2"/>
  <c r="C10897" i="2"/>
  <c r="D10897" i="2"/>
  <c r="F10897" i="2"/>
  <c r="G10897" i="2"/>
  <c r="H10897" i="2"/>
  <c r="J10897" i="2"/>
  <c r="K10897" i="2"/>
  <c r="L10897" i="2"/>
  <c r="C10898" i="2"/>
  <c r="D10898" i="2"/>
  <c r="F10898" i="2"/>
  <c r="G10898" i="2"/>
  <c r="H10898" i="2"/>
  <c r="J10898" i="2"/>
  <c r="K10898" i="2"/>
  <c r="L10898" i="2"/>
  <c r="C10899" i="2"/>
  <c r="D10899" i="2"/>
  <c r="F10899" i="2"/>
  <c r="G10899" i="2"/>
  <c r="H10899" i="2"/>
  <c r="J10899" i="2"/>
  <c r="K10899" i="2"/>
  <c r="L10899" i="2"/>
  <c r="C10900" i="2"/>
  <c r="D10900" i="2"/>
  <c r="F10900" i="2"/>
  <c r="G10900" i="2"/>
  <c r="H10900" i="2"/>
  <c r="J10900" i="2"/>
  <c r="K10900" i="2"/>
  <c r="L10900" i="2"/>
  <c r="C10901" i="2"/>
  <c r="D10901" i="2"/>
  <c r="F10901" i="2"/>
  <c r="G10901" i="2"/>
  <c r="H10901" i="2"/>
  <c r="J10901" i="2"/>
  <c r="K10901" i="2"/>
  <c r="L10901" i="2"/>
  <c r="C10902" i="2"/>
  <c r="D10902" i="2"/>
  <c r="F10902" i="2"/>
  <c r="G10902" i="2"/>
  <c r="H10902" i="2"/>
  <c r="J10902" i="2"/>
  <c r="K10902" i="2"/>
  <c r="L10902" i="2"/>
  <c r="C10903" i="2"/>
  <c r="D10903" i="2"/>
  <c r="F10903" i="2"/>
  <c r="G10903" i="2"/>
  <c r="H10903" i="2"/>
  <c r="J10903" i="2"/>
  <c r="K10903" i="2"/>
  <c r="L10903" i="2"/>
  <c r="C10904" i="2"/>
  <c r="D10904" i="2"/>
  <c r="F10904" i="2"/>
  <c r="G10904" i="2"/>
  <c r="H10904" i="2"/>
  <c r="J10904" i="2"/>
  <c r="K10904" i="2"/>
  <c r="L10904" i="2"/>
  <c r="C10905" i="2"/>
  <c r="D10905" i="2"/>
  <c r="F10905" i="2"/>
  <c r="G10905" i="2"/>
  <c r="H10905" i="2"/>
  <c r="J10905" i="2"/>
  <c r="K10905" i="2"/>
  <c r="L10905" i="2"/>
  <c r="C10906" i="2"/>
  <c r="D10906" i="2"/>
  <c r="F10906" i="2"/>
  <c r="G10906" i="2"/>
  <c r="H10906" i="2"/>
  <c r="J10906" i="2"/>
  <c r="K10906" i="2"/>
  <c r="L10906" i="2"/>
  <c r="C10907" i="2"/>
  <c r="D10907" i="2"/>
  <c r="F10907" i="2"/>
  <c r="G10907" i="2"/>
  <c r="H10907" i="2"/>
  <c r="J10907" i="2"/>
  <c r="K10907" i="2"/>
  <c r="L10907" i="2"/>
  <c r="C10908" i="2"/>
  <c r="D10908" i="2"/>
  <c r="F10908" i="2"/>
  <c r="G10908" i="2"/>
  <c r="H10908" i="2"/>
  <c r="J10908" i="2"/>
  <c r="K10908" i="2"/>
  <c r="L10908" i="2"/>
  <c r="C10909" i="2"/>
  <c r="D10909" i="2"/>
  <c r="F10909" i="2"/>
  <c r="G10909" i="2"/>
  <c r="H10909" i="2"/>
  <c r="J10909" i="2"/>
  <c r="K10909" i="2"/>
  <c r="L10909" i="2"/>
  <c r="C10910" i="2"/>
  <c r="D10910" i="2"/>
  <c r="F10910" i="2"/>
  <c r="G10910" i="2"/>
  <c r="H10910" i="2"/>
  <c r="J10910" i="2"/>
  <c r="K10910" i="2"/>
  <c r="L10910" i="2"/>
  <c r="C10911" i="2"/>
  <c r="D10911" i="2"/>
  <c r="F10911" i="2"/>
  <c r="G10911" i="2"/>
  <c r="H10911" i="2"/>
  <c r="J10911" i="2"/>
  <c r="K10911" i="2"/>
  <c r="L10911" i="2"/>
  <c r="C10912" i="2"/>
  <c r="D10912" i="2"/>
  <c r="F10912" i="2"/>
  <c r="G10912" i="2"/>
  <c r="H10912" i="2"/>
  <c r="J10912" i="2"/>
  <c r="K10912" i="2"/>
  <c r="L10912" i="2"/>
  <c r="C10913" i="2"/>
  <c r="D10913" i="2"/>
  <c r="F10913" i="2"/>
  <c r="G10913" i="2"/>
  <c r="H10913" i="2"/>
  <c r="J10913" i="2"/>
  <c r="K10913" i="2"/>
  <c r="L10913" i="2"/>
  <c r="C10914" i="2"/>
  <c r="D10914" i="2"/>
  <c r="F10914" i="2"/>
  <c r="G10914" i="2"/>
  <c r="H10914" i="2"/>
  <c r="J10914" i="2"/>
  <c r="K10914" i="2"/>
  <c r="L10914" i="2"/>
  <c r="C10915" i="2"/>
  <c r="D10915" i="2"/>
  <c r="E10915" i="2"/>
  <c r="F10915" i="2"/>
  <c r="G10915" i="2"/>
  <c r="H10915" i="2"/>
  <c r="J10915" i="2"/>
  <c r="K10915" i="2"/>
  <c r="L10915" i="2"/>
  <c r="C10916" i="2"/>
  <c r="D10916" i="2"/>
  <c r="F10916" i="2"/>
  <c r="G10916" i="2"/>
  <c r="H10916" i="2"/>
  <c r="J10916" i="2"/>
  <c r="K10916" i="2"/>
  <c r="L10916" i="2"/>
  <c r="C10917" i="2"/>
  <c r="D10917" i="2"/>
  <c r="F10917" i="2"/>
  <c r="G10917" i="2"/>
  <c r="H10917" i="2"/>
  <c r="J10917" i="2"/>
  <c r="K10917" i="2"/>
  <c r="L10917" i="2"/>
  <c r="C10918" i="2"/>
  <c r="D10918" i="2"/>
  <c r="F10918" i="2"/>
  <c r="G10918" i="2"/>
  <c r="H10918" i="2"/>
  <c r="J10918" i="2"/>
  <c r="K10918" i="2"/>
  <c r="L10918" i="2"/>
  <c r="C10919" i="2"/>
  <c r="D10919" i="2"/>
  <c r="F10919" i="2"/>
  <c r="G10919" i="2"/>
  <c r="H10919" i="2"/>
  <c r="J10919" i="2"/>
  <c r="K10919" i="2"/>
  <c r="L10919" i="2"/>
  <c r="C10920" i="2"/>
  <c r="D10920" i="2"/>
  <c r="F10920" i="2"/>
  <c r="G10920" i="2"/>
  <c r="H10920" i="2"/>
  <c r="J10920" i="2"/>
  <c r="K10920" i="2"/>
  <c r="L10920" i="2"/>
  <c r="C10921" i="2"/>
  <c r="D10921" i="2"/>
  <c r="F10921" i="2"/>
  <c r="G10921" i="2"/>
  <c r="H10921" i="2"/>
  <c r="J10921" i="2"/>
  <c r="K10921" i="2"/>
  <c r="L10921" i="2"/>
  <c r="C10922" i="2"/>
  <c r="D10922" i="2"/>
  <c r="F10922" i="2"/>
  <c r="G10922" i="2"/>
  <c r="H10922" i="2"/>
  <c r="J10922" i="2"/>
  <c r="K10922" i="2"/>
  <c r="L10922" i="2"/>
  <c r="C10923" i="2"/>
  <c r="D10923" i="2"/>
  <c r="F10923" i="2"/>
  <c r="G10923" i="2"/>
  <c r="H10923" i="2"/>
  <c r="J10923" i="2"/>
  <c r="K10923" i="2"/>
  <c r="L10923" i="2"/>
  <c r="C10924" i="2"/>
  <c r="D10924" i="2"/>
  <c r="F10924" i="2"/>
  <c r="G10924" i="2"/>
  <c r="H10924" i="2"/>
  <c r="J10924" i="2"/>
  <c r="K10924" i="2"/>
  <c r="L10924" i="2"/>
  <c r="C10925" i="2"/>
  <c r="D10925" i="2"/>
  <c r="F10925" i="2"/>
  <c r="G10925" i="2"/>
  <c r="H10925" i="2"/>
  <c r="J10925" i="2"/>
  <c r="K10925" i="2"/>
  <c r="L10925" i="2"/>
  <c r="C10926" i="2"/>
  <c r="D10926" i="2"/>
  <c r="F10926" i="2"/>
  <c r="G10926" i="2"/>
  <c r="H10926" i="2"/>
  <c r="J10926" i="2"/>
  <c r="K10926" i="2"/>
  <c r="L10926" i="2"/>
  <c r="C10927" i="2"/>
  <c r="D10927" i="2"/>
  <c r="F10927" i="2"/>
  <c r="G10927" i="2"/>
  <c r="H10927" i="2"/>
  <c r="J10927" i="2"/>
  <c r="K10927" i="2"/>
  <c r="L10927" i="2"/>
  <c r="C10928" i="2"/>
  <c r="D10928" i="2"/>
  <c r="F10928" i="2"/>
  <c r="G10928" i="2"/>
  <c r="H10928" i="2"/>
  <c r="J10928" i="2"/>
  <c r="K10928" i="2"/>
  <c r="L10928" i="2"/>
  <c r="C10929" i="2"/>
  <c r="D10929" i="2"/>
  <c r="F10929" i="2"/>
  <c r="G10929" i="2"/>
  <c r="H10929" i="2"/>
  <c r="J10929" i="2"/>
  <c r="K10929" i="2"/>
  <c r="L10929" i="2"/>
  <c r="C10930" i="2"/>
  <c r="D10930" i="2"/>
  <c r="F10930" i="2"/>
  <c r="G10930" i="2"/>
  <c r="H10930" i="2"/>
  <c r="J10930" i="2"/>
  <c r="K10930" i="2"/>
  <c r="L10930" i="2"/>
  <c r="C10931" i="2"/>
  <c r="D10931" i="2"/>
  <c r="F10931" i="2"/>
  <c r="G10931" i="2"/>
  <c r="H10931" i="2"/>
  <c r="J10931" i="2"/>
  <c r="K10931" i="2"/>
  <c r="L10931" i="2"/>
  <c r="C10932" i="2"/>
  <c r="D10932" i="2"/>
  <c r="F10932" i="2"/>
  <c r="G10932" i="2"/>
  <c r="H10932" i="2"/>
  <c r="J10932" i="2"/>
  <c r="K10932" i="2"/>
  <c r="L10932" i="2"/>
  <c r="C10933" i="2"/>
  <c r="D10933" i="2"/>
  <c r="F10933" i="2"/>
  <c r="G10933" i="2"/>
  <c r="H10933" i="2"/>
  <c r="J10933" i="2"/>
  <c r="K10933" i="2"/>
  <c r="L10933" i="2"/>
  <c r="C10934" i="2"/>
  <c r="D10934" i="2"/>
  <c r="F10934" i="2"/>
  <c r="G10934" i="2"/>
  <c r="H10934" i="2"/>
  <c r="J10934" i="2"/>
  <c r="K10934" i="2"/>
  <c r="L10934" i="2"/>
  <c r="C10935" i="2"/>
  <c r="D10935" i="2"/>
  <c r="F10935" i="2"/>
  <c r="G10935" i="2"/>
  <c r="H10935" i="2"/>
  <c r="J10935" i="2"/>
  <c r="K10935" i="2"/>
  <c r="L10935" i="2"/>
  <c r="C10936" i="2"/>
  <c r="D10936" i="2"/>
  <c r="F10936" i="2"/>
  <c r="G10936" i="2"/>
  <c r="H10936" i="2"/>
  <c r="J10936" i="2"/>
  <c r="K10936" i="2"/>
  <c r="L10936" i="2"/>
  <c r="C10937" i="2"/>
  <c r="D10937" i="2"/>
  <c r="F10937" i="2"/>
  <c r="G10937" i="2"/>
  <c r="H10937" i="2"/>
  <c r="J10937" i="2"/>
  <c r="K10937" i="2"/>
  <c r="L10937" i="2"/>
  <c r="C10938" i="2"/>
  <c r="D10938" i="2"/>
  <c r="F10938" i="2"/>
  <c r="G10938" i="2"/>
  <c r="H10938" i="2"/>
  <c r="J10938" i="2"/>
  <c r="K10938" i="2"/>
  <c r="L10938" i="2"/>
  <c r="C10939" i="2"/>
  <c r="D10939" i="2"/>
  <c r="F10939" i="2"/>
  <c r="G10939" i="2"/>
  <c r="H10939" i="2"/>
  <c r="J10939" i="2"/>
  <c r="K10939" i="2"/>
  <c r="L10939" i="2"/>
  <c r="C10940" i="2"/>
  <c r="D10940" i="2"/>
  <c r="F10940" i="2"/>
  <c r="G10940" i="2"/>
  <c r="H10940" i="2"/>
  <c r="J10940" i="2"/>
  <c r="K10940" i="2"/>
  <c r="L10940" i="2"/>
  <c r="C10941" i="2"/>
  <c r="D10941" i="2"/>
  <c r="F10941" i="2"/>
  <c r="G10941" i="2"/>
  <c r="H10941" i="2"/>
  <c r="J10941" i="2"/>
  <c r="K10941" i="2"/>
  <c r="L10941" i="2"/>
  <c r="C10942" i="2"/>
  <c r="D10942" i="2"/>
  <c r="F10942" i="2"/>
  <c r="G10942" i="2"/>
  <c r="H10942" i="2"/>
  <c r="J10942" i="2"/>
  <c r="K10942" i="2"/>
  <c r="L10942" i="2"/>
  <c r="C10943" i="2"/>
  <c r="D10943" i="2"/>
  <c r="F10943" i="2"/>
  <c r="G10943" i="2"/>
  <c r="H10943" i="2"/>
  <c r="J10943" i="2"/>
  <c r="K10943" i="2"/>
  <c r="L10943" i="2"/>
  <c r="C10944" i="2"/>
  <c r="D10944" i="2"/>
  <c r="F10944" i="2"/>
  <c r="G10944" i="2"/>
  <c r="H10944" i="2"/>
  <c r="J10944" i="2"/>
  <c r="K10944" i="2"/>
  <c r="L10944" i="2"/>
  <c r="C10945" i="2"/>
  <c r="D10945" i="2"/>
  <c r="F10945" i="2"/>
  <c r="G10945" i="2"/>
  <c r="H10945" i="2"/>
  <c r="J10945" i="2"/>
  <c r="K10945" i="2"/>
  <c r="L10945" i="2"/>
  <c r="C10946" i="2"/>
  <c r="D10946" i="2"/>
  <c r="F10946" i="2"/>
  <c r="G10946" i="2"/>
  <c r="H10946" i="2"/>
  <c r="J10946" i="2"/>
  <c r="K10946" i="2"/>
  <c r="L10946" i="2"/>
  <c r="C10947" i="2"/>
  <c r="D10947" i="2"/>
  <c r="F10947" i="2"/>
  <c r="G10947" i="2"/>
  <c r="H10947" i="2"/>
  <c r="J10947" i="2"/>
  <c r="K10947" i="2"/>
  <c r="L10947" i="2"/>
  <c r="C10948" i="2"/>
  <c r="D10948" i="2"/>
  <c r="F10948" i="2"/>
  <c r="G10948" i="2"/>
  <c r="H10948" i="2"/>
  <c r="J10948" i="2"/>
  <c r="K10948" i="2"/>
  <c r="L10948" i="2"/>
  <c r="C10949" i="2"/>
  <c r="D10949" i="2"/>
  <c r="F10949" i="2"/>
  <c r="G10949" i="2"/>
  <c r="H10949" i="2"/>
  <c r="J10949" i="2"/>
  <c r="K10949" i="2"/>
  <c r="L10949" i="2"/>
  <c r="C10950" i="2"/>
  <c r="D10950" i="2"/>
  <c r="F10950" i="2"/>
  <c r="G10950" i="2"/>
  <c r="H10950" i="2"/>
  <c r="J10950" i="2"/>
  <c r="K10950" i="2"/>
  <c r="L10950" i="2"/>
  <c r="C10951" i="2"/>
  <c r="D10951" i="2"/>
  <c r="F10951" i="2"/>
  <c r="G10951" i="2"/>
  <c r="H10951" i="2"/>
  <c r="J10951" i="2"/>
  <c r="K10951" i="2"/>
  <c r="L10951" i="2"/>
  <c r="C10952" i="2"/>
  <c r="D10952" i="2"/>
  <c r="F10952" i="2"/>
  <c r="G10952" i="2"/>
  <c r="H10952" i="2"/>
  <c r="J10952" i="2"/>
  <c r="K10952" i="2"/>
  <c r="L10952" i="2"/>
  <c r="C10953" i="2"/>
  <c r="D10953" i="2"/>
  <c r="F10953" i="2"/>
  <c r="G10953" i="2"/>
  <c r="H10953" i="2"/>
  <c r="J10953" i="2"/>
  <c r="K10953" i="2"/>
  <c r="L10953" i="2"/>
  <c r="C10954" i="2"/>
  <c r="D10954" i="2"/>
  <c r="F10954" i="2"/>
  <c r="G10954" i="2"/>
  <c r="H10954" i="2"/>
  <c r="J10954" i="2"/>
  <c r="K10954" i="2"/>
  <c r="L10954" i="2"/>
  <c r="C10955" i="2"/>
  <c r="D10955" i="2"/>
  <c r="F10955" i="2"/>
  <c r="G10955" i="2"/>
  <c r="H10955" i="2"/>
  <c r="J10955" i="2"/>
  <c r="K10955" i="2"/>
  <c r="L10955" i="2"/>
  <c r="C10956" i="2"/>
  <c r="D10956" i="2"/>
  <c r="F10956" i="2"/>
  <c r="G10956" i="2"/>
  <c r="H10956" i="2"/>
  <c r="J10956" i="2"/>
  <c r="K10956" i="2"/>
  <c r="L10956" i="2"/>
  <c r="C10957" i="2"/>
  <c r="D10957" i="2"/>
  <c r="F10957" i="2"/>
  <c r="G10957" i="2"/>
  <c r="H10957" i="2"/>
  <c r="J10957" i="2"/>
  <c r="K10957" i="2"/>
  <c r="L10957" i="2"/>
  <c r="C10958" i="2"/>
  <c r="D10958" i="2"/>
  <c r="F10958" i="2"/>
  <c r="G10958" i="2"/>
  <c r="H10958" i="2"/>
  <c r="J10958" i="2"/>
  <c r="K10958" i="2"/>
  <c r="L10958" i="2"/>
  <c r="C10959" i="2"/>
  <c r="D10959" i="2"/>
  <c r="F10959" i="2"/>
  <c r="G10959" i="2"/>
  <c r="H10959" i="2"/>
  <c r="J10959" i="2"/>
  <c r="K10959" i="2"/>
  <c r="L10959" i="2"/>
  <c r="C10960" i="2"/>
  <c r="D10960" i="2"/>
  <c r="F10960" i="2"/>
  <c r="G10960" i="2"/>
  <c r="H10960" i="2"/>
  <c r="J10960" i="2"/>
  <c r="K10960" i="2"/>
  <c r="L10960" i="2"/>
  <c r="C10961" i="2"/>
  <c r="D10961" i="2"/>
  <c r="F10961" i="2"/>
  <c r="G10961" i="2"/>
  <c r="H10961" i="2"/>
  <c r="J10961" i="2"/>
  <c r="K10961" i="2"/>
  <c r="L10961" i="2"/>
  <c r="C10962" i="2"/>
  <c r="D10962" i="2"/>
  <c r="F10962" i="2"/>
  <c r="G10962" i="2"/>
  <c r="H10962" i="2"/>
  <c r="J10962" i="2"/>
  <c r="K10962" i="2"/>
  <c r="L10962" i="2"/>
  <c r="C10963" i="2"/>
  <c r="D10963" i="2"/>
  <c r="F10963" i="2"/>
  <c r="G10963" i="2"/>
  <c r="H10963" i="2"/>
  <c r="J10963" i="2"/>
  <c r="K10963" i="2"/>
  <c r="L10963" i="2"/>
  <c r="C10964" i="2"/>
  <c r="D10964" i="2"/>
  <c r="F10964" i="2"/>
  <c r="G10964" i="2"/>
  <c r="H10964" i="2"/>
  <c r="J10964" i="2"/>
  <c r="K10964" i="2"/>
  <c r="L10964" i="2"/>
  <c r="C10965" i="2"/>
  <c r="D10965" i="2"/>
  <c r="F10965" i="2"/>
  <c r="G10965" i="2"/>
  <c r="H10965" i="2"/>
  <c r="J10965" i="2"/>
  <c r="K10965" i="2"/>
  <c r="L10965" i="2"/>
  <c r="C10966" i="2"/>
  <c r="D10966" i="2"/>
  <c r="F10966" i="2"/>
  <c r="G10966" i="2"/>
  <c r="H10966" i="2"/>
  <c r="J10966" i="2"/>
  <c r="K10966" i="2"/>
  <c r="L10966" i="2"/>
  <c r="C10967" i="2"/>
  <c r="D10967" i="2"/>
  <c r="F10967" i="2"/>
  <c r="G10967" i="2"/>
  <c r="H10967" i="2"/>
  <c r="J10967" i="2"/>
  <c r="K10967" i="2"/>
  <c r="L10967" i="2"/>
  <c r="C10968" i="2"/>
  <c r="D10968" i="2"/>
  <c r="F10968" i="2"/>
  <c r="G10968" i="2"/>
  <c r="H10968" i="2"/>
  <c r="J10968" i="2"/>
  <c r="K10968" i="2"/>
  <c r="L10968" i="2"/>
  <c r="C10969" i="2"/>
  <c r="D10969" i="2"/>
  <c r="F10969" i="2"/>
  <c r="G10969" i="2"/>
  <c r="H10969" i="2"/>
  <c r="J10969" i="2"/>
  <c r="K10969" i="2"/>
  <c r="L10969" i="2"/>
  <c r="C10970" i="2"/>
  <c r="D10970" i="2"/>
  <c r="F10970" i="2"/>
  <c r="G10970" i="2"/>
  <c r="H10970" i="2"/>
  <c r="J10970" i="2"/>
  <c r="K10970" i="2"/>
  <c r="L10970" i="2"/>
  <c r="C10971" i="2"/>
  <c r="D10971" i="2"/>
  <c r="F10971" i="2"/>
  <c r="G10971" i="2"/>
  <c r="H10971" i="2"/>
  <c r="J10971" i="2"/>
  <c r="K10971" i="2"/>
  <c r="L10971" i="2"/>
  <c r="C10972" i="2"/>
  <c r="D10972" i="2"/>
  <c r="F10972" i="2"/>
  <c r="G10972" i="2"/>
  <c r="H10972" i="2"/>
  <c r="J10972" i="2"/>
  <c r="K10972" i="2"/>
  <c r="L10972" i="2"/>
  <c r="C10973" i="2"/>
  <c r="D10973" i="2"/>
  <c r="F10973" i="2"/>
  <c r="G10973" i="2"/>
  <c r="H10973" i="2"/>
  <c r="J10973" i="2"/>
  <c r="K10973" i="2"/>
  <c r="L10973" i="2"/>
  <c r="C10974" i="2"/>
  <c r="D10974" i="2"/>
  <c r="F10974" i="2"/>
  <c r="G10974" i="2"/>
  <c r="H10974" i="2"/>
  <c r="J10974" i="2"/>
  <c r="K10974" i="2"/>
  <c r="L10974" i="2"/>
  <c r="C10975" i="2"/>
  <c r="D10975" i="2"/>
  <c r="F10975" i="2"/>
  <c r="G10975" i="2"/>
  <c r="H10975" i="2"/>
  <c r="J10975" i="2"/>
  <c r="K10975" i="2"/>
  <c r="L10975" i="2"/>
  <c r="C10976" i="2"/>
  <c r="D10976" i="2"/>
  <c r="F10976" i="2"/>
  <c r="G10976" i="2"/>
  <c r="H10976" i="2"/>
  <c r="J10976" i="2"/>
  <c r="K10976" i="2"/>
  <c r="L10976" i="2"/>
  <c r="C10977" i="2"/>
  <c r="D10977" i="2"/>
  <c r="F10977" i="2"/>
  <c r="G10977" i="2"/>
  <c r="H10977" i="2"/>
  <c r="J10977" i="2"/>
  <c r="K10977" i="2"/>
  <c r="L10977" i="2"/>
  <c r="C10978" i="2"/>
  <c r="D10978" i="2"/>
  <c r="F10978" i="2"/>
  <c r="G10978" i="2"/>
  <c r="H10978" i="2"/>
  <c r="J10978" i="2"/>
  <c r="K10978" i="2"/>
  <c r="L10978" i="2"/>
  <c r="C10979" i="2"/>
  <c r="D10979" i="2"/>
  <c r="F10979" i="2"/>
  <c r="G10979" i="2"/>
  <c r="H10979" i="2"/>
  <c r="J10979" i="2"/>
  <c r="K10979" i="2"/>
  <c r="L10979" i="2"/>
  <c r="C10980" i="2"/>
  <c r="D10980" i="2"/>
  <c r="F10980" i="2"/>
  <c r="G10980" i="2"/>
  <c r="H10980" i="2"/>
  <c r="J10980" i="2"/>
  <c r="K10980" i="2"/>
  <c r="L10980" i="2"/>
  <c r="C10981" i="2"/>
  <c r="D10981" i="2"/>
  <c r="F10981" i="2"/>
  <c r="G10981" i="2"/>
  <c r="H10981" i="2"/>
  <c r="J10981" i="2"/>
  <c r="K10981" i="2"/>
  <c r="L10981" i="2"/>
  <c r="C10982" i="2"/>
  <c r="D10982" i="2"/>
  <c r="F10982" i="2"/>
  <c r="G10982" i="2"/>
  <c r="H10982" i="2"/>
  <c r="J10982" i="2"/>
  <c r="K10982" i="2"/>
  <c r="L10982" i="2"/>
  <c r="C10983" i="2"/>
  <c r="D10983" i="2"/>
  <c r="F10983" i="2"/>
  <c r="G10983" i="2"/>
  <c r="H10983" i="2"/>
  <c r="J10983" i="2"/>
  <c r="K10983" i="2"/>
  <c r="L10983" i="2"/>
  <c r="C10984" i="2"/>
  <c r="D10984" i="2"/>
  <c r="F10984" i="2"/>
  <c r="G10984" i="2"/>
  <c r="H10984" i="2"/>
  <c r="J10984" i="2"/>
  <c r="K10984" i="2"/>
  <c r="L10984" i="2"/>
  <c r="C10985" i="2"/>
  <c r="D10985" i="2"/>
  <c r="F10985" i="2"/>
  <c r="G10985" i="2"/>
  <c r="H10985" i="2"/>
  <c r="J10985" i="2"/>
  <c r="K10985" i="2"/>
  <c r="L10985" i="2"/>
  <c r="C10986" i="2"/>
  <c r="D10986" i="2"/>
  <c r="F10986" i="2"/>
  <c r="G10986" i="2"/>
  <c r="H10986" i="2"/>
  <c r="J10986" i="2"/>
  <c r="K10986" i="2"/>
  <c r="L10986" i="2"/>
  <c r="C10987" i="2"/>
  <c r="D10987" i="2"/>
  <c r="F10987" i="2"/>
  <c r="G10987" i="2"/>
  <c r="H10987" i="2"/>
  <c r="J10987" i="2"/>
  <c r="K10987" i="2"/>
  <c r="L10987" i="2"/>
  <c r="C10988" i="2"/>
  <c r="D10988" i="2"/>
  <c r="F10988" i="2"/>
  <c r="G10988" i="2"/>
  <c r="H10988" i="2"/>
  <c r="J10988" i="2"/>
  <c r="K10988" i="2"/>
  <c r="L10988" i="2"/>
  <c r="C10989" i="2"/>
  <c r="D10989" i="2"/>
  <c r="F10989" i="2"/>
  <c r="G10989" i="2"/>
  <c r="H10989" i="2"/>
  <c r="J10989" i="2"/>
  <c r="K10989" i="2"/>
  <c r="L10989" i="2"/>
  <c r="C10990" i="2"/>
  <c r="D10990" i="2"/>
  <c r="F10990" i="2"/>
  <c r="G10990" i="2"/>
  <c r="H10990" i="2"/>
  <c r="J10990" i="2"/>
  <c r="K10990" i="2"/>
  <c r="L10990" i="2"/>
  <c r="C10991" i="2"/>
  <c r="D10991" i="2"/>
  <c r="F10991" i="2"/>
  <c r="G10991" i="2"/>
  <c r="H10991" i="2"/>
  <c r="J10991" i="2"/>
  <c r="K10991" i="2"/>
  <c r="L10991" i="2"/>
  <c r="C10992" i="2"/>
  <c r="D10992" i="2"/>
  <c r="F10992" i="2"/>
  <c r="G10992" i="2"/>
  <c r="H10992" i="2"/>
  <c r="J10992" i="2"/>
  <c r="K10992" i="2"/>
  <c r="L10992" i="2"/>
  <c r="C10993" i="2"/>
  <c r="D10993" i="2"/>
  <c r="F10993" i="2"/>
  <c r="G10993" i="2"/>
  <c r="H10993" i="2"/>
  <c r="J10993" i="2"/>
  <c r="K10993" i="2"/>
  <c r="L10993" i="2"/>
  <c r="C10994" i="2"/>
  <c r="D10994" i="2"/>
  <c r="F10994" i="2"/>
  <c r="G10994" i="2"/>
  <c r="H10994" i="2"/>
  <c r="J10994" i="2"/>
  <c r="K10994" i="2"/>
  <c r="L10994" i="2"/>
  <c r="C10995" i="2"/>
  <c r="D10995" i="2"/>
  <c r="F10995" i="2"/>
  <c r="G10995" i="2"/>
  <c r="H10995" i="2"/>
  <c r="J10995" i="2"/>
  <c r="K10995" i="2"/>
  <c r="L10995" i="2"/>
  <c r="C10996" i="2"/>
  <c r="D10996" i="2"/>
  <c r="F10996" i="2"/>
  <c r="G10996" i="2"/>
  <c r="H10996" i="2"/>
  <c r="J10996" i="2"/>
  <c r="K10996" i="2"/>
  <c r="L10996" i="2"/>
  <c r="C10997" i="2"/>
  <c r="D10997" i="2"/>
  <c r="F10997" i="2"/>
  <c r="G10997" i="2"/>
  <c r="H10997" i="2"/>
  <c r="J10997" i="2"/>
  <c r="K10997" i="2"/>
  <c r="L10997" i="2"/>
  <c r="C10998" i="2"/>
  <c r="D10998" i="2"/>
  <c r="F10998" i="2"/>
  <c r="G10998" i="2"/>
  <c r="H10998" i="2"/>
  <c r="J10998" i="2"/>
  <c r="K10998" i="2"/>
  <c r="L10998" i="2"/>
  <c r="C10999" i="2"/>
  <c r="D10999" i="2"/>
  <c r="F10999" i="2"/>
  <c r="G10999" i="2"/>
  <c r="H10999" i="2"/>
  <c r="J10999" i="2"/>
  <c r="K10999" i="2"/>
  <c r="L10999" i="2"/>
  <c r="C11000" i="2"/>
  <c r="D11000" i="2"/>
  <c r="F11000" i="2"/>
  <c r="G11000" i="2"/>
  <c r="H11000" i="2"/>
  <c r="J11000" i="2"/>
  <c r="K11000" i="2"/>
  <c r="L11000" i="2"/>
  <c r="C11001" i="2"/>
  <c r="D11001" i="2"/>
  <c r="F11001" i="2"/>
  <c r="G11001" i="2"/>
  <c r="H11001" i="2"/>
  <c r="J11001" i="2"/>
  <c r="K11001" i="2"/>
  <c r="L11001" i="2"/>
  <c r="C11002" i="2"/>
  <c r="D11002" i="2"/>
  <c r="F11002" i="2"/>
  <c r="G11002" i="2"/>
  <c r="H11002" i="2"/>
  <c r="J11002" i="2"/>
  <c r="K11002" i="2"/>
  <c r="L11002" i="2"/>
  <c r="C11003" i="2"/>
  <c r="D11003" i="2"/>
  <c r="F11003" i="2"/>
  <c r="G11003" i="2"/>
  <c r="H11003" i="2"/>
  <c r="J11003" i="2"/>
  <c r="K11003" i="2"/>
  <c r="L11003" i="2"/>
  <c r="C11004" i="2"/>
  <c r="D11004" i="2"/>
  <c r="F11004" i="2"/>
  <c r="G11004" i="2"/>
  <c r="H11004" i="2"/>
  <c r="J11004" i="2"/>
  <c r="K11004" i="2"/>
  <c r="L11004" i="2"/>
  <c r="C11005" i="2"/>
  <c r="D11005" i="2"/>
  <c r="F11005" i="2"/>
  <c r="G11005" i="2"/>
  <c r="H11005" i="2"/>
  <c r="J11005" i="2"/>
  <c r="K11005" i="2"/>
  <c r="L11005" i="2"/>
  <c r="C11006" i="2"/>
  <c r="D11006" i="2"/>
  <c r="F11006" i="2"/>
  <c r="G11006" i="2"/>
  <c r="H11006" i="2"/>
  <c r="J11006" i="2"/>
  <c r="K11006" i="2"/>
  <c r="L11006" i="2"/>
  <c r="C11007" i="2"/>
  <c r="D11007" i="2"/>
  <c r="F11007" i="2"/>
  <c r="G11007" i="2"/>
  <c r="H11007" i="2"/>
  <c r="J11007" i="2"/>
  <c r="K11007" i="2"/>
  <c r="L11007" i="2"/>
  <c r="C11008" i="2"/>
  <c r="D11008" i="2"/>
  <c r="F11008" i="2"/>
  <c r="G11008" i="2"/>
  <c r="H11008" i="2"/>
  <c r="J11008" i="2"/>
  <c r="K11008" i="2"/>
  <c r="L11008" i="2"/>
  <c r="C11009" i="2"/>
  <c r="D11009" i="2"/>
  <c r="F11009" i="2"/>
  <c r="G11009" i="2"/>
  <c r="H11009" i="2"/>
  <c r="J11009" i="2"/>
  <c r="K11009" i="2"/>
  <c r="L11009" i="2"/>
  <c r="C11010" i="2"/>
  <c r="D11010" i="2"/>
  <c r="F11010" i="2"/>
  <c r="G11010" i="2"/>
  <c r="H11010" i="2"/>
  <c r="J11010" i="2"/>
  <c r="K11010" i="2"/>
  <c r="L11010" i="2"/>
  <c r="C11011" i="2"/>
  <c r="D11011" i="2"/>
  <c r="F11011" i="2"/>
  <c r="G11011" i="2"/>
  <c r="H11011" i="2"/>
  <c r="J11011" i="2"/>
  <c r="K11011" i="2"/>
  <c r="L11011" i="2"/>
  <c r="C11012" i="2"/>
  <c r="D11012" i="2"/>
  <c r="F11012" i="2"/>
  <c r="G11012" i="2"/>
  <c r="H11012" i="2"/>
  <c r="J11012" i="2"/>
  <c r="K11012" i="2"/>
  <c r="L11012" i="2"/>
  <c r="C11013" i="2"/>
  <c r="D11013" i="2"/>
  <c r="F11013" i="2"/>
  <c r="G11013" i="2"/>
  <c r="H11013" i="2"/>
  <c r="J11013" i="2"/>
  <c r="K11013" i="2"/>
  <c r="L11013" i="2"/>
  <c r="C11014" i="2"/>
  <c r="D11014" i="2"/>
  <c r="F11014" i="2"/>
  <c r="G11014" i="2"/>
  <c r="H11014" i="2"/>
  <c r="J11014" i="2"/>
  <c r="K11014" i="2"/>
  <c r="L11014" i="2"/>
  <c r="C11015" i="2"/>
  <c r="D11015" i="2"/>
  <c r="F11015" i="2"/>
  <c r="G11015" i="2"/>
  <c r="H11015" i="2"/>
  <c r="J11015" i="2"/>
  <c r="K11015" i="2"/>
  <c r="L11015" i="2"/>
  <c r="C11016" i="2"/>
  <c r="D11016" i="2"/>
  <c r="F11016" i="2"/>
  <c r="G11016" i="2"/>
  <c r="H11016" i="2"/>
  <c r="J11016" i="2"/>
  <c r="K11016" i="2"/>
  <c r="L11016" i="2"/>
  <c r="C11017" i="2"/>
  <c r="D11017" i="2"/>
  <c r="F11017" i="2"/>
  <c r="G11017" i="2"/>
  <c r="H11017" i="2"/>
  <c r="J11017" i="2"/>
  <c r="K11017" i="2"/>
  <c r="L11017" i="2"/>
  <c r="C11018" i="2"/>
  <c r="D11018" i="2"/>
  <c r="F11018" i="2"/>
  <c r="G11018" i="2"/>
  <c r="H11018" i="2"/>
  <c r="J11018" i="2"/>
  <c r="K11018" i="2"/>
  <c r="L11018" i="2"/>
  <c r="C11019" i="2"/>
  <c r="D11019" i="2"/>
  <c r="F11019" i="2"/>
  <c r="G11019" i="2"/>
  <c r="H11019" i="2"/>
  <c r="J11019" i="2"/>
  <c r="K11019" i="2"/>
  <c r="L11019" i="2"/>
  <c r="C11020" i="2"/>
  <c r="D11020" i="2"/>
  <c r="F11020" i="2"/>
  <c r="G11020" i="2"/>
  <c r="H11020" i="2"/>
  <c r="J11020" i="2"/>
  <c r="K11020" i="2"/>
  <c r="L11020" i="2"/>
  <c r="C11021" i="2"/>
  <c r="D11021" i="2"/>
  <c r="F11021" i="2"/>
  <c r="G11021" i="2"/>
  <c r="H11021" i="2"/>
  <c r="J11021" i="2"/>
  <c r="K11021" i="2"/>
  <c r="L11021" i="2"/>
  <c r="C11022" i="2"/>
  <c r="D11022" i="2"/>
  <c r="F11022" i="2"/>
  <c r="G11022" i="2"/>
  <c r="H11022" i="2"/>
  <c r="J11022" i="2"/>
  <c r="K11022" i="2"/>
  <c r="L11022" i="2"/>
  <c r="C11023" i="2"/>
  <c r="D11023" i="2"/>
  <c r="F11023" i="2"/>
  <c r="G11023" i="2"/>
  <c r="H11023" i="2"/>
  <c r="J11023" i="2"/>
  <c r="K11023" i="2"/>
  <c r="L11023" i="2"/>
  <c r="C11024" i="2"/>
  <c r="D11024" i="2"/>
  <c r="F11024" i="2"/>
  <c r="G11024" i="2"/>
  <c r="H11024" i="2"/>
  <c r="J11024" i="2"/>
  <c r="K11024" i="2"/>
  <c r="L11024" i="2"/>
  <c r="C11025" i="2"/>
  <c r="D11025" i="2"/>
  <c r="F11025" i="2"/>
  <c r="G11025" i="2"/>
  <c r="H11025" i="2"/>
  <c r="J11025" i="2"/>
  <c r="K11025" i="2"/>
  <c r="L11025" i="2"/>
  <c r="C11026" i="2"/>
  <c r="D11026" i="2"/>
  <c r="F11026" i="2"/>
  <c r="G11026" i="2"/>
  <c r="H11026" i="2"/>
  <c r="J11026" i="2"/>
  <c r="K11026" i="2"/>
  <c r="L11026" i="2"/>
  <c r="C11027" i="2"/>
  <c r="D11027" i="2"/>
  <c r="F11027" i="2"/>
  <c r="G11027" i="2"/>
  <c r="H11027" i="2"/>
  <c r="J11027" i="2"/>
  <c r="K11027" i="2"/>
  <c r="L11027" i="2"/>
  <c r="C11028" i="2"/>
  <c r="D11028" i="2"/>
  <c r="F11028" i="2"/>
  <c r="G11028" i="2"/>
  <c r="H11028" i="2"/>
  <c r="J11028" i="2"/>
  <c r="K11028" i="2"/>
  <c r="L11028" i="2"/>
  <c r="C11029" i="2"/>
  <c r="D11029" i="2"/>
  <c r="F11029" i="2"/>
  <c r="G11029" i="2"/>
  <c r="H11029" i="2"/>
  <c r="J11029" i="2"/>
  <c r="K11029" i="2"/>
  <c r="L11029" i="2"/>
  <c r="C11030" i="2"/>
  <c r="D11030" i="2"/>
  <c r="F11030" i="2"/>
  <c r="G11030" i="2"/>
  <c r="H11030" i="2"/>
  <c r="J11030" i="2"/>
  <c r="K11030" i="2"/>
  <c r="L11030" i="2"/>
  <c r="C11031" i="2"/>
  <c r="D11031" i="2"/>
  <c r="F11031" i="2"/>
  <c r="G11031" i="2"/>
  <c r="H11031" i="2"/>
  <c r="J11031" i="2"/>
  <c r="K11031" i="2"/>
  <c r="L11031" i="2"/>
  <c r="C11032" i="2"/>
  <c r="D11032" i="2"/>
  <c r="F11032" i="2"/>
  <c r="G11032" i="2"/>
  <c r="H11032" i="2"/>
  <c r="J11032" i="2"/>
  <c r="K11032" i="2"/>
  <c r="L11032" i="2"/>
  <c r="C11033" i="2"/>
  <c r="D11033" i="2"/>
  <c r="F11033" i="2"/>
  <c r="G11033" i="2"/>
  <c r="H11033" i="2"/>
  <c r="J11033" i="2"/>
  <c r="K11033" i="2"/>
  <c r="L11033" i="2"/>
  <c r="C11034" i="2"/>
  <c r="D11034" i="2"/>
  <c r="F11034" i="2"/>
  <c r="G11034" i="2"/>
  <c r="H11034" i="2"/>
  <c r="J11034" i="2"/>
  <c r="K11034" i="2"/>
  <c r="L11034" i="2"/>
  <c r="C11035" i="2"/>
  <c r="D11035" i="2"/>
  <c r="F11035" i="2"/>
  <c r="G11035" i="2"/>
  <c r="H11035" i="2"/>
  <c r="J11035" i="2"/>
  <c r="K11035" i="2"/>
  <c r="L11035" i="2"/>
  <c r="C11036" i="2"/>
  <c r="D11036" i="2"/>
  <c r="F11036" i="2"/>
  <c r="G11036" i="2"/>
  <c r="H11036" i="2"/>
  <c r="J11036" i="2"/>
  <c r="K11036" i="2"/>
  <c r="L11036" i="2"/>
  <c r="C11037" i="2"/>
  <c r="D11037" i="2"/>
  <c r="F11037" i="2"/>
  <c r="G11037" i="2"/>
  <c r="H11037" i="2"/>
  <c r="J11037" i="2"/>
  <c r="K11037" i="2"/>
  <c r="L11037" i="2"/>
  <c r="C11038" i="2"/>
  <c r="D11038" i="2"/>
  <c r="F11038" i="2"/>
  <c r="G11038" i="2"/>
  <c r="H11038" i="2"/>
  <c r="J11038" i="2"/>
  <c r="K11038" i="2"/>
  <c r="L11038" i="2"/>
  <c r="C11039" i="2"/>
  <c r="D11039" i="2"/>
  <c r="F11039" i="2"/>
  <c r="G11039" i="2"/>
  <c r="H11039" i="2"/>
  <c r="J11039" i="2"/>
  <c r="K11039" i="2"/>
  <c r="L11039" i="2"/>
  <c r="C11040" i="2"/>
  <c r="D11040" i="2"/>
  <c r="F11040" i="2"/>
  <c r="G11040" i="2"/>
  <c r="H11040" i="2"/>
  <c r="J11040" i="2"/>
  <c r="K11040" i="2"/>
  <c r="L11040" i="2"/>
  <c r="C11041" i="2"/>
  <c r="D11041" i="2"/>
  <c r="F11041" i="2"/>
  <c r="G11041" i="2"/>
  <c r="H11041" i="2"/>
  <c r="J11041" i="2"/>
  <c r="K11041" i="2"/>
  <c r="L11041" i="2"/>
  <c r="C11042" i="2"/>
  <c r="D11042" i="2"/>
  <c r="F11042" i="2"/>
  <c r="G11042" i="2"/>
  <c r="H11042" i="2"/>
  <c r="J11042" i="2"/>
  <c r="K11042" i="2"/>
  <c r="L11042" i="2"/>
  <c r="C11043" i="2"/>
  <c r="D11043" i="2"/>
  <c r="F11043" i="2"/>
  <c r="G11043" i="2"/>
  <c r="H11043" i="2"/>
  <c r="J11043" i="2"/>
  <c r="K11043" i="2"/>
  <c r="L11043" i="2"/>
  <c r="C11044" i="2"/>
  <c r="D11044" i="2"/>
  <c r="F11044" i="2"/>
  <c r="G11044" i="2"/>
  <c r="H11044" i="2"/>
  <c r="J11044" i="2"/>
  <c r="K11044" i="2"/>
  <c r="L11044" i="2"/>
  <c r="C11045" i="2"/>
  <c r="D11045" i="2"/>
  <c r="F11045" i="2"/>
  <c r="G11045" i="2"/>
  <c r="H11045" i="2"/>
  <c r="J11045" i="2"/>
  <c r="K11045" i="2"/>
  <c r="L11045" i="2"/>
  <c r="C11046" i="2"/>
  <c r="D11046" i="2"/>
  <c r="F11046" i="2"/>
  <c r="G11046" i="2"/>
  <c r="H11046" i="2"/>
  <c r="J11046" i="2"/>
  <c r="K11046" i="2"/>
  <c r="L11046" i="2"/>
  <c r="C11047" i="2"/>
  <c r="D11047" i="2"/>
  <c r="F11047" i="2"/>
  <c r="G11047" i="2"/>
  <c r="H11047" i="2"/>
  <c r="J11047" i="2"/>
  <c r="K11047" i="2"/>
  <c r="L11047" i="2"/>
  <c r="C11048" i="2"/>
  <c r="D11048" i="2"/>
  <c r="F11048" i="2"/>
  <c r="G11048" i="2"/>
  <c r="H11048" i="2"/>
  <c r="J11048" i="2"/>
  <c r="K11048" i="2"/>
  <c r="L11048" i="2"/>
  <c r="C11049" i="2"/>
  <c r="D11049" i="2"/>
  <c r="F11049" i="2"/>
  <c r="G11049" i="2"/>
  <c r="H11049" i="2"/>
  <c r="J11049" i="2"/>
  <c r="K11049" i="2"/>
  <c r="L11049" i="2"/>
  <c r="C11050" i="2"/>
  <c r="D11050" i="2"/>
  <c r="F11050" i="2"/>
  <c r="G11050" i="2"/>
  <c r="H11050" i="2"/>
  <c r="J11050" i="2"/>
  <c r="K11050" i="2"/>
  <c r="L11050" i="2"/>
  <c r="C11051" i="2"/>
  <c r="D11051" i="2"/>
  <c r="F11051" i="2"/>
  <c r="G11051" i="2"/>
  <c r="H11051" i="2"/>
  <c r="J11051" i="2"/>
  <c r="K11051" i="2"/>
  <c r="L11051" i="2"/>
  <c r="C11052" i="2"/>
  <c r="D11052" i="2"/>
  <c r="F11052" i="2"/>
  <c r="G11052" i="2"/>
  <c r="H11052" i="2"/>
  <c r="J11052" i="2"/>
  <c r="K11052" i="2"/>
  <c r="L11052" i="2"/>
  <c r="C11053" i="2"/>
  <c r="D11053" i="2"/>
  <c r="F11053" i="2"/>
  <c r="G11053" i="2"/>
  <c r="H11053" i="2"/>
  <c r="J11053" i="2"/>
  <c r="K11053" i="2"/>
  <c r="L11053" i="2"/>
  <c r="C11054" i="2"/>
  <c r="D11054" i="2"/>
  <c r="F11054" i="2"/>
  <c r="G11054" i="2"/>
  <c r="H11054" i="2"/>
  <c r="J11054" i="2"/>
  <c r="K11054" i="2"/>
  <c r="L11054" i="2"/>
  <c r="C11055" i="2"/>
  <c r="D11055" i="2"/>
  <c r="F11055" i="2"/>
  <c r="G11055" i="2"/>
  <c r="H11055" i="2"/>
  <c r="J11055" i="2"/>
  <c r="K11055" i="2"/>
  <c r="L11055" i="2"/>
  <c r="C11056" i="2"/>
  <c r="D11056" i="2"/>
  <c r="F11056" i="2"/>
  <c r="G11056" i="2"/>
  <c r="H11056" i="2"/>
  <c r="J11056" i="2"/>
  <c r="K11056" i="2"/>
  <c r="L11056" i="2"/>
  <c r="C11057" i="2"/>
  <c r="D11057" i="2"/>
  <c r="F11057" i="2"/>
  <c r="G11057" i="2"/>
  <c r="H11057" i="2"/>
  <c r="J11057" i="2"/>
  <c r="K11057" i="2"/>
  <c r="L11057" i="2"/>
  <c r="C11058" i="2"/>
  <c r="D11058" i="2"/>
  <c r="F11058" i="2"/>
  <c r="G11058" i="2"/>
  <c r="H11058" i="2"/>
  <c r="J11058" i="2"/>
  <c r="K11058" i="2"/>
  <c r="L11058" i="2"/>
  <c r="C11059" i="2"/>
  <c r="D11059" i="2"/>
  <c r="F11059" i="2"/>
  <c r="G11059" i="2"/>
  <c r="H11059" i="2"/>
  <c r="J11059" i="2"/>
  <c r="K11059" i="2"/>
  <c r="L11059" i="2"/>
  <c r="C11060" i="2"/>
  <c r="D11060" i="2"/>
  <c r="F11060" i="2"/>
  <c r="G11060" i="2"/>
  <c r="H11060" i="2"/>
  <c r="J11060" i="2"/>
  <c r="K11060" i="2"/>
  <c r="L11060" i="2"/>
  <c r="C11061" i="2"/>
  <c r="D11061" i="2"/>
  <c r="F11061" i="2"/>
  <c r="G11061" i="2"/>
  <c r="H11061" i="2"/>
  <c r="J11061" i="2"/>
  <c r="K11061" i="2"/>
  <c r="L11061" i="2"/>
  <c r="C11062" i="2"/>
  <c r="D11062" i="2"/>
  <c r="F11062" i="2"/>
  <c r="G11062" i="2"/>
  <c r="H11062" i="2"/>
  <c r="J11062" i="2"/>
  <c r="K11062" i="2"/>
  <c r="L11062" i="2"/>
  <c r="C11063" i="2"/>
  <c r="D11063" i="2"/>
  <c r="F11063" i="2"/>
  <c r="G11063" i="2"/>
  <c r="H11063" i="2"/>
  <c r="J11063" i="2"/>
  <c r="K11063" i="2"/>
  <c r="L11063" i="2"/>
  <c r="C11064" i="2"/>
  <c r="D11064" i="2"/>
  <c r="F11064" i="2"/>
  <c r="G11064" i="2"/>
  <c r="H11064" i="2"/>
  <c r="J11064" i="2"/>
  <c r="K11064" i="2"/>
  <c r="L11064" i="2"/>
  <c r="C11065" i="2"/>
  <c r="D11065" i="2"/>
  <c r="F11065" i="2"/>
  <c r="G11065" i="2"/>
  <c r="H11065" i="2"/>
  <c r="J11065" i="2"/>
  <c r="K11065" i="2"/>
  <c r="L11065" i="2"/>
  <c r="C11066" i="2"/>
  <c r="D11066" i="2"/>
  <c r="F11066" i="2"/>
  <c r="G11066" i="2"/>
  <c r="H11066" i="2"/>
  <c r="J11066" i="2"/>
  <c r="K11066" i="2"/>
  <c r="L11066" i="2"/>
  <c r="C11067" i="2"/>
  <c r="D11067" i="2"/>
  <c r="F11067" i="2"/>
  <c r="G11067" i="2"/>
  <c r="H11067" i="2"/>
  <c r="J11067" i="2"/>
  <c r="K11067" i="2"/>
  <c r="L11067" i="2"/>
  <c r="C11068" i="2"/>
  <c r="D11068" i="2"/>
  <c r="F11068" i="2"/>
  <c r="G11068" i="2"/>
  <c r="H11068" i="2"/>
  <c r="J11068" i="2"/>
  <c r="K11068" i="2"/>
  <c r="L11068" i="2"/>
  <c r="C11069" i="2"/>
  <c r="D11069" i="2"/>
  <c r="F11069" i="2"/>
  <c r="G11069" i="2"/>
  <c r="H11069" i="2"/>
  <c r="J11069" i="2"/>
  <c r="K11069" i="2"/>
  <c r="L11069" i="2"/>
  <c r="C11070" i="2"/>
  <c r="D11070" i="2"/>
  <c r="F11070" i="2"/>
  <c r="G11070" i="2"/>
  <c r="H11070" i="2"/>
  <c r="J11070" i="2"/>
  <c r="K11070" i="2"/>
  <c r="L11070" i="2"/>
  <c r="C11071" i="2"/>
  <c r="D11071" i="2"/>
  <c r="F11071" i="2"/>
  <c r="G11071" i="2"/>
  <c r="H11071" i="2"/>
  <c r="J11071" i="2"/>
  <c r="K11071" i="2"/>
  <c r="L11071" i="2"/>
  <c r="C11072" i="2"/>
  <c r="D11072" i="2"/>
  <c r="F11072" i="2"/>
  <c r="G11072" i="2"/>
  <c r="H11072" i="2"/>
  <c r="J11072" i="2"/>
  <c r="K11072" i="2"/>
  <c r="L11072" i="2"/>
  <c r="C11073" i="2"/>
  <c r="D11073" i="2"/>
  <c r="F11073" i="2"/>
  <c r="G11073" i="2"/>
  <c r="H11073" i="2"/>
  <c r="J11073" i="2"/>
  <c r="K11073" i="2"/>
  <c r="L11073" i="2"/>
  <c r="C11074" i="2"/>
  <c r="D11074" i="2"/>
  <c r="F11074" i="2"/>
  <c r="G11074" i="2"/>
  <c r="H11074" i="2"/>
  <c r="J11074" i="2"/>
  <c r="K11074" i="2"/>
  <c r="L11074" i="2"/>
  <c r="C11075" i="2"/>
  <c r="D11075" i="2"/>
  <c r="F11075" i="2"/>
  <c r="G11075" i="2"/>
  <c r="H11075" i="2"/>
  <c r="J11075" i="2"/>
  <c r="K11075" i="2"/>
  <c r="L11075" i="2"/>
  <c r="C11076" i="2"/>
  <c r="D11076" i="2"/>
  <c r="F11076" i="2"/>
  <c r="G11076" i="2"/>
  <c r="H11076" i="2"/>
  <c r="J11076" i="2"/>
  <c r="K11076" i="2"/>
  <c r="L11076" i="2"/>
  <c r="C11077" i="2"/>
  <c r="D11077" i="2"/>
  <c r="F11077" i="2"/>
  <c r="G11077" i="2"/>
  <c r="H11077" i="2"/>
  <c r="J11077" i="2"/>
  <c r="K11077" i="2"/>
  <c r="L11077" i="2"/>
  <c r="C11078" i="2"/>
  <c r="D11078" i="2"/>
  <c r="F11078" i="2"/>
  <c r="G11078" i="2"/>
  <c r="H11078" i="2"/>
  <c r="J11078" i="2"/>
  <c r="K11078" i="2"/>
  <c r="L11078" i="2"/>
  <c r="C11079" i="2"/>
  <c r="D11079" i="2"/>
  <c r="F11079" i="2"/>
  <c r="G11079" i="2"/>
  <c r="H11079" i="2"/>
  <c r="J11079" i="2"/>
  <c r="K11079" i="2"/>
  <c r="L11079" i="2"/>
  <c r="C11080" i="2"/>
  <c r="D11080" i="2"/>
  <c r="F11080" i="2"/>
  <c r="G11080" i="2"/>
  <c r="H11080" i="2"/>
  <c r="J11080" i="2"/>
  <c r="K11080" i="2"/>
  <c r="L11080" i="2"/>
  <c r="C11081" i="2"/>
  <c r="D11081" i="2"/>
  <c r="F11081" i="2"/>
  <c r="G11081" i="2"/>
  <c r="H11081" i="2"/>
  <c r="J11081" i="2"/>
  <c r="K11081" i="2"/>
  <c r="L11081" i="2"/>
  <c r="C11082" i="2"/>
  <c r="D11082" i="2"/>
  <c r="F11082" i="2"/>
  <c r="G11082" i="2"/>
  <c r="H11082" i="2"/>
  <c r="J11082" i="2"/>
  <c r="K11082" i="2"/>
  <c r="L11082" i="2"/>
  <c r="C11083" i="2"/>
  <c r="D11083" i="2"/>
  <c r="F11083" i="2"/>
  <c r="G11083" i="2"/>
  <c r="H11083" i="2"/>
  <c r="J11083" i="2"/>
  <c r="K11083" i="2"/>
  <c r="L11083" i="2"/>
  <c r="C11084" i="2"/>
  <c r="D11084" i="2"/>
  <c r="F11084" i="2"/>
  <c r="G11084" i="2"/>
  <c r="H11084" i="2"/>
  <c r="J11084" i="2"/>
  <c r="K11084" i="2"/>
  <c r="L11084" i="2"/>
  <c r="C11085" i="2"/>
  <c r="D11085" i="2"/>
  <c r="F11085" i="2"/>
  <c r="G11085" i="2"/>
  <c r="H11085" i="2"/>
  <c r="J11085" i="2"/>
  <c r="K11085" i="2"/>
  <c r="L11085" i="2"/>
  <c r="C11086" i="2"/>
  <c r="D11086" i="2"/>
  <c r="F11086" i="2"/>
  <c r="G11086" i="2"/>
  <c r="H11086" i="2"/>
  <c r="J11086" i="2"/>
  <c r="K11086" i="2"/>
  <c r="L11086" i="2"/>
  <c r="C11087" i="2"/>
  <c r="D11087" i="2"/>
  <c r="F11087" i="2"/>
  <c r="G11087" i="2"/>
  <c r="H11087" i="2"/>
  <c r="J11087" i="2"/>
  <c r="K11087" i="2"/>
  <c r="L11087" i="2"/>
  <c r="C11088" i="2"/>
  <c r="D11088" i="2"/>
  <c r="F11088" i="2"/>
  <c r="G11088" i="2"/>
  <c r="H11088" i="2"/>
  <c r="J11088" i="2"/>
  <c r="K11088" i="2"/>
  <c r="L11088" i="2"/>
  <c r="C11089" i="2"/>
  <c r="D11089" i="2"/>
  <c r="F11089" i="2"/>
  <c r="G11089" i="2"/>
  <c r="H11089" i="2"/>
  <c r="J11089" i="2"/>
  <c r="K11089" i="2"/>
  <c r="L11089" i="2"/>
  <c r="C11090" i="2"/>
  <c r="D11090" i="2"/>
  <c r="F11090" i="2"/>
  <c r="G11090" i="2"/>
  <c r="H11090" i="2"/>
  <c r="J11090" i="2"/>
  <c r="K11090" i="2"/>
  <c r="L11090" i="2"/>
  <c r="C11091" i="2"/>
  <c r="D11091" i="2"/>
  <c r="F11091" i="2"/>
  <c r="G11091" i="2"/>
  <c r="H11091" i="2"/>
  <c r="J11091" i="2"/>
  <c r="K11091" i="2"/>
  <c r="L11091" i="2"/>
  <c r="C11092" i="2"/>
  <c r="D11092" i="2"/>
  <c r="F11092" i="2"/>
  <c r="G11092" i="2"/>
  <c r="H11092" i="2"/>
  <c r="J11092" i="2"/>
  <c r="K11092" i="2"/>
  <c r="L11092" i="2"/>
  <c r="C11093" i="2"/>
  <c r="D11093" i="2"/>
  <c r="F11093" i="2"/>
  <c r="G11093" i="2"/>
  <c r="H11093" i="2"/>
  <c r="J11093" i="2"/>
  <c r="K11093" i="2"/>
  <c r="L11093" i="2"/>
  <c r="C11094" i="2"/>
  <c r="D11094" i="2"/>
  <c r="F11094" i="2"/>
  <c r="G11094" i="2"/>
  <c r="H11094" i="2"/>
  <c r="J11094" i="2"/>
  <c r="K11094" i="2"/>
  <c r="L11094" i="2"/>
  <c r="C11095" i="2"/>
  <c r="D11095" i="2"/>
  <c r="F11095" i="2"/>
  <c r="G11095" i="2"/>
  <c r="H11095" i="2"/>
  <c r="J11095" i="2"/>
  <c r="K11095" i="2"/>
  <c r="L11095" i="2"/>
  <c r="C11096" i="2"/>
  <c r="D11096" i="2"/>
  <c r="F11096" i="2"/>
  <c r="G11096" i="2"/>
  <c r="H11096" i="2"/>
  <c r="J11096" i="2"/>
  <c r="K11096" i="2"/>
  <c r="L11096" i="2"/>
  <c r="C11097" i="2"/>
  <c r="D11097" i="2"/>
  <c r="F11097" i="2"/>
  <c r="G11097" i="2"/>
  <c r="H11097" i="2"/>
  <c r="J11097" i="2"/>
  <c r="K11097" i="2"/>
  <c r="L11097" i="2"/>
  <c r="C11098" i="2"/>
  <c r="D11098" i="2"/>
  <c r="F11098" i="2"/>
  <c r="G11098" i="2"/>
  <c r="H11098" i="2"/>
  <c r="J11098" i="2"/>
  <c r="K11098" i="2"/>
  <c r="L11098" i="2"/>
  <c r="C11099" i="2"/>
  <c r="D11099" i="2"/>
  <c r="F11099" i="2"/>
  <c r="G11099" i="2"/>
  <c r="H11099" i="2"/>
  <c r="J11099" i="2"/>
  <c r="K11099" i="2"/>
  <c r="L11099" i="2"/>
  <c r="C11100" i="2"/>
  <c r="D11100" i="2"/>
  <c r="F11100" i="2"/>
  <c r="G11100" i="2"/>
  <c r="H11100" i="2"/>
  <c r="J11100" i="2"/>
  <c r="K11100" i="2"/>
  <c r="L11100" i="2"/>
  <c r="C11101" i="2"/>
  <c r="D11101" i="2"/>
  <c r="F11101" i="2"/>
  <c r="G11101" i="2"/>
  <c r="H11101" i="2"/>
  <c r="J11101" i="2"/>
  <c r="K11101" i="2"/>
  <c r="L11101" i="2"/>
  <c r="C11102" i="2"/>
  <c r="D11102" i="2"/>
  <c r="F11102" i="2"/>
  <c r="G11102" i="2"/>
  <c r="H11102" i="2"/>
  <c r="J11102" i="2"/>
  <c r="K11102" i="2"/>
  <c r="L11102" i="2"/>
  <c r="C11103" i="2"/>
  <c r="D11103" i="2"/>
  <c r="F11103" i="2"/>
  <c r="G11103" i="2"/>
  <c r="H11103" i="2"/>
  <c r="J11103" i="2"/>
  <c r="K11103" i="2"/>
  <c r="L11103" i="2"/>
  <c r="C11104" i="2"/>
  <c r="D11104" i="2"/>
  <c r="F11104" i="2"/>
  <c r="G11104" i="2"/>
  <c r="H11104" i="2"/>
  <c r="J11104" i="2"/>
  <c r="K11104" i="2"/>
  <c r="L11104" i="2"/>
  <c r="C11105" i="2"/>
  <c r="D11105" i="2"/>
  <c r="F11105" i="2"/>
  <c r="G11105" i="2"/>
  <c r="H11105" i="2"/>
  <c r="J11105" i="2"/>
  <c r="K11105" i="2"/>
  <c r="L11105" i="2"/>
  <c r="C11106" i="2"/>
  <c r="D11106" i="2"/>
  <c r="F11106" i="2"/>
  <c r="G11106" i="2"/>
  <c r="H11106" i="2"/>
  <c r="J11106" i="2"/>
  <c r="K11106" i="2"/>
  <c r="L11106" i="2"/>
  <c r="C11107" i="2"/>
  <c r="D11107" i="2"/>
  <c r="F11107" i="2"/>
  <c r="G11107" i="2"/>
  <c r="H11107" i="2"/>
  <c r="J11107" i="2"/>
  <c r="K11107" i="2"/>
  <c r="L11107" i="2"/>
  <c r="C11108" i="2"/>
  <c r="D11108" i="2"/>
  <c r="F11108" i="2"/>
  <c r="G11108" i="2"/>
  <c r="H11108" i="2"/>
  <c r="J11108" i="2"/>
  <c r="K11108" i="2"/>
  <c r="L11108" i="2"/>
  <c r="C11109" i="2"/>
  <c r="D11109" i="2"/>
  <c r="F11109" i="2"/>
  <c r="G11109" i="2"/>
  <c r="H11109" i="2"/>
  <c r="J11109" i="2"/>
  <c r="K11109" i="2"/>
  <c r="L11109" i="2"/>
  <c r="C11110" i="2"/>
  <c r="D11110" i="2"/>
  <c r="F11110" i="2"/>
  <c r="G11110" i="2"/>
  <c r="H11110" i="2"/>
  <c r="J11110" i="2"/>
  <c r="K11110" i="2"/>
  <c r="L11110" i="2"/>
  <c r="C11111" i="2"/>
  <c r="D11111" i="2"/>
  <c r="F11111" i="2"/>
  <c r="G11111" i="2"/>
  <c r="H11111" i="2"/>
  <c r="J11111" i="2"/>
  <c r="K11111" i="2"/>
  <c r="L11111" i="2"/>
  <c r="C11112" i="2"/>
  <c r="D11112" i="2"/>
  <c r="F11112" i="2"/>
  <c r="G11112" i="2"/>
  <c r="H11112" i="2"/>
  <c r="J11112" i="2"/>
  <c r="K11112" i="2"/>
  <c r="L11112" i="2"/>
  <c r="C11113" i="2"/>
  <c r="D11113" i="2"/>
  <c r="F11113" i="2"/>
  <c r="G11113" i="2"/>
  <c r="H11113" i="2"/>
  <c r="J11113" i="2"/>
  <c r="K11113" i="2"/>
  <c r="L11113" i="2"/>
  <c r="C11114" i="2"/>
  <c r="D11114" i="2"/>
  <c r="F11114" i="2"/>
  <c r="G11114" i="2"/>
  <c r="H11114" i="2"/>
  <c r="J11114" i="2"/>
  <c r="K11114" i="2"/>
  <c r="L11114" i="2"/>
  <c r="C11115" i="2"/>
  <c r="D11115" i="2"/>
  <c r="F11115" i="2"/>
  <c r="G11115" i="2"/>
  <c r="H11115" i="2"/>
  <c r="J11115" i="2"/>
  <c r="K11115" i="2"/>
  <c r="L11115" i="2"/>
  <c r="C11116" i="2"/>
  <c r="D11116" i="2"/>
  <c r="F11116" i="2"/>
  <c r="G11116" i="2"/>
  <c r="H11116" i="2"/>
  <c r="J11116" i="2"/>
  <c r="K11116" i="2"/>
  <c r="L11116" i="2"/>
  <c r="C11117" i="2"/>
  <c r="D11117" i="2"/>
  <c r="F11117" i="2"/>
  <c r="G11117" i="2"/>
  <c r="H11117" i="2"/>
  <c r="J11117" i="2"/>
  <c r="K11117" i="2"/>
  <c r="L11117" i="2"/>
  <c r="C11118" i="2"/>
  <c r="D11118" i="2"/>
  <c r="F11118" i="2"/>
  <c r="G11118" i="2"/>
  <c r="H11118" i="2"/>
  <c r="J11118" i="2"/>
  <c r="K11118" i="2"/>
  <c r="L11118" i="2"/>
  <c r="C11119" i="2"/>
  <c r="D11119" i="2"/>
  <c r="F11119" i="2"/>
  <c r="G11119" i="2"/>
  <c r="H11119" i="2"/>
  <c r="J11119" i="2"/>
  <c r="K11119" i="2"/>
  <c r="L11119" i="2"/>
  <c r="C11120" i="2"/>
  <c r="D11120" i="2"/>
  <c r="F11120" i="2"/>
  <c r="G11120" i="2"/>
  <c r="H11120" i="2"/>
  <c r="J11120" i="2"/>
  <c r="K11120" i="2"/>
  <c r="L11120" i="2"/>
  <c r="C11121" i="2"/>
  <c r="D11121" i="2"/>
  <c r="F11121" i="2"/>
  <c r="G11121" i="2"/>
  <c r="H11121" i="2"/>
  <c r="J11121" i="2"/>
  <c r="K11121" i="2"/>
  <c r="L11121" i="2"/>
  <c r="C11122" i="2"/>
  <c r="D11122" i="2"/>
  <c r="F11122" i="2"/>
  <c r="G11122" i="2"/>
  <c r="H11122" i="2"/>
  <c r="J11122" i="2"/>
  <c r="K11122" i="2"/>
  <c r="L11122" i="2"/>
  <c r="C11123" i="2"/>
  <c r="D11123" i="2"/>
  <c r="F11123" i="2"/>
  <c r="G11123" i="2"/>
  <c r="H11123" i="2"/>
  <c r="J11123" i="2"/>
  <c r="K11123" i="2"/>
  <c r="L11123" i="2"/>
  <c r="C11124" i="2"/>
  <c r="D11124" i="2"/>
  <c r="F11124" i="2"/>
  <c r="G11124" i="2"/>
  <c r="H11124" i="2"/>
  <c r="J11124" i="2"/>
  <c r="K11124" i="2"/>
  <c r="L11124" i="2"/>
  <c r="C11125" i="2"/>
  <c r="D11125" i="2"/>
  <c r="F11125" i="2"/>
  <c r="G11125" i="2"/>
  <c r="H11125" i="2"/>
  <c r="J11125" i="2"/>
  <c r="K11125" i="2"/>
  <c r="L11125" i="2"/>
  <c r="C11126" i="2"/>
  <c r="D11126" i="2"/>
  <c r="F11126" i="2"/>
  <c r="G11126" i="2"/>
  <c r="H11126" i="2"/>
  <c r="J11126" i="2"/>
  <c r="K11126" i="2"/>
  <c r="L11126" i="2"/>
  <c r="C11127" i="2"/>
  <c r="D11127" i="2"/>
  <c r="F11127" i="2"/>
  <c r="G11127" i="2"/>
  <c r="H11127" i="2"/>
  <c r="J11127" i="2"/>
  <c r="K11127" i="2"/>
  <c r="L11127" i="2"/>
  <c r="C11128" i="2"/>
  <c r="D11128" i="2"/>
  <c r="F11128" i="2"/>
  <c r="G11128" i="2"/>
  <c r="H11128" i="2"/>
  <c r="J11128" i="2"/>
  <c r="K11128" i="2"/>
  <c r="L11128" i="2"/>
  <c r="C11129" i="2"/>
  <c r="D11129" i="2"/>
  <c r="F11129" i="2"/>
  <c r="G11129" i="2"/>
  <c r="H11129" i="2"/>
  <c r="J11129" i="2"/>
  <c r="K11129" i="2"/>
  <c r="L11129" i="2"/>
  <c r="C11130" i="2"/>
  <c r="D11130" i="2"/>
  <c r="F11130" i="2"/>
  <c r="G11130" i="2"/>
  <c r="H11130" i="2"/>
  <c r="J11130" i="2"/>
  <c r="K11130" i="2"/>
  <c r="L11130" i="2"/>
  <c r="C11131" i="2"/>
  <c r="D11131" i="2"/>
  <c r="F11131" i="2"/>
  <c r="G11131" i="2"/>
  <c r="H11131" i="2"/>
  <c r="J11131" i="2"/>
  <c r="K11131" i="2"/>
  <c r="L11131" i="2"/>
  <c r="C11132" i="2"/>
  <c r="D11132" i="2"/>
  <c r="F11132" i="2"/>
  <c r="G11132" i="2"/>
  <c r="H11132" i="2"/>
  <c r="J11132" i="2"/>
  <c r="K11132" i="2"/>
  <c r="L11132" i="2"/>
  <c r="C11133" i="2"/>
  <c r="D11133" i="2"/>
  <c r="F11133" i="2"/>
  <c r="G11133" i="2"/>
  <c r="H11133" i="2"/>
  <c r="J11133" i="2"/>
  <c r="K11133" i="2"/>
  <c r="L11133" i="2"/>
  <c r="C11134" i="2"/>
  <c r="D11134" i="2"/>
  <c r="F11134" i="2"/>
  <c r="G11134" i="2"/>
  <c r="H11134" i="2"/>
  <c r="J11134" i="2"/>
  <c r="K11134" i="2"/>
  <c r="L11134" i="2"/>
  <c r="C11135" i="2"/>
  <c r="D11135" i="2"/>
  <c r="F11135" i="2"/>
  <c r="G11135" i="2"/>
  <c r="H11135" i="2"/>
  <c r="J11135" i="2"/>
  <c r="K11135" i="2"/>
  <c r="L11135" i="2"/>
  <c r="C11136" i="2"/>
  <c r="D11136" i="2"/>
  <c r="F11136" i="2"/>
  <c r="G11136" i="2"/>
  <c r="H11136" i="2"/>
  <c r="J11136" i="2"/>
  <c r="K11136" i="2"/>
  <c r="L11136" i="2"/>
  <c r="C11137" i="2"/>
  <c r="D11137" i="2"/>
  <c r="F11137" i="2"/>
  <c r="G11137" i="2"/>
  <c r="H11137" i="2"/>
  <c r="J11137" i="2"/>
  <c r="K11137" i="2"/>
  <c r="L11137" i="2"/>
  <c r="C11138" i="2"/>
  <c r="D11138" i="2"/>
  <c r="F11138" i="2"/>
  <c r="G11138" i="2"/>
  <c r="H11138" i="2"/>
  <c r="J11138" i="2"/>
  <c r="K11138" i="2"/>
  <c r="L11138" i="2"/>
  <c r="C11139" i="2"/>
  <c r="D11139" i="2"/>
  <c r="F11139" i="2"/>
  <c r="G11139" i="2"/>
  <c r="H11139" i="2"/>
  <c r="J11139" i="2"/>
  <c r="K11139" i="2"/>
  <c r="L11139" i="2"/>
  <c r="C11140" i="2"/>
  <c r="D11140" i="2"/>
  <c r="F11140" i="2"/>
  <c r="G11140" i="2"/>
  <c r="H11140" i="2"/>
  <c r="J11140" i="2"/>
  <c r="K11140" i="2"/>
  <c r="L11140" i="2"/>
  <c r="C11141" i="2"/>
  <c r="D11141" i="2"/>
  <c r="F11141" i="2"/>
  <c r="G11141" i="2"/>
  <c r="H11141" i="2"/>
  <c r="J11141" i="2"/>
  <c r="K11141" i="2"/>
  <c r="L11141" i="2"/>
  <c r="C11142" i="2"/>
  <c r="D11142" i="2"/>
  <c r="F11142" i="2"/>
  <c r="G11142" i="2"/>
  <c r="H11142" i="2"/>
  <c r="J11142" i="2"/>
  <c r="K11142" i="2"/>
  <c r="L11142" i="2"/>
  <c r="C11143" i="2"/>
  <c r="D11143" i="2"/>
  <c r="F11143" i="2"/>
  <c r="G11143" i="2"/>
  <c r="H11143" i="2"/>
  <c r="J11143" i="2"/>
  <c r="K11143" i="2"/>
  <c r="L11143" i="2"/>
  <c r="C11144" i="2"/>
  <c r="D11144" i="2"/>
  <c r="F11144" i="2"/>
  <c r="G11144" i="2"/>
  <c r="H11144" i="2"/>
  <c r="J11144" i="2"/>
  <c r="K11144" i="2"/>
  <c r="L11144" i="2"/>
  <c r="C11145" i="2"/>
  <c r="D11145" i="2"/>
  <c r="F11145" i="2"/>
  <c r="G11145" i="2"/>
  <c r="H11145" i="2"/>
  <c r="J11145" i="2"/>
  <c r="K11145" i="2"/>
  <c r="L11145" i="2"/>
  <c r="C11146" i="2"/>
  <c r="D11146" i="2"/>
  <c r="F11146" i="2"/>
  <c r="G11146" i="2"/>
  <c r="H11146" i="2"/>
  <c r="J11146" i="2"/>
  <c r="K11146" i="2"/>
  <c r="L11146" i="2"/>
  <c r="C11147" i="2"/>
  <c r="D11147" i="2"/>
  <c r="F11147" i="2"/>
  <c r="G11147" i="2"/>
  <c r="H11147" i="2"/>
  <c r="J11147" i="2"/>
  <c r="K11147" i="2"/>
  <c r="L11147" i="2"/>
  <c r="C11148" i="2"/>
  <c r="D11148" i="2"/>
  <c r="F11148" i="2"/>
  <c r="G11148" i="2"/>
  <c r="H11148" i="2"/>
  <c r="J11148" i="2"/>
  <c r="K11148" i="2"/>
  <c r="L11148" i="2"/>
  <c r="C11149" i="2"/>
  <c r="D11149" i="2"/>
  <c r="F11149" i="2"/>
  <c r="G11149" i="2"/>
  <c r="H11149" i="2"/>
  <c r="J11149" i="2"/>
  <c r="K11149" i="2"/>
  <c r="L11149" i="2"/>
  <c r="C11150" i="2"/>
  <c r="D11150" i="2"/>
  <c r="F11150" i="2"/>
  <c r="G11150" i="2"/>
  <c r="H11150" i="2"/>
  <c r="J11150" i="2"/>
  <c r="K11150" i="2"/>
  <c r="L11150" i="2"/>
  <c r="C11151" i="2"/>
  <c r="D11151" i="2"/>
  <c r="F11151" i="2"/>
  <c r="G11151" i="2"/>
  <c r="H11151" i="2"/>
  <c r="J11151" i="2"/>
  <c r="K11151" i="2"/>
  <c r="L11151" i="2"/>
  <c r="C11152" i="2"/>
  <c r="D11152" i="2"/>
  <c r="F11152" i="2"/>
  <c r="G11152" i="2"/>
  <c r="H11152" i="2"/>
  <c r="J11152" i="2"/>
  <c r="K11152" i="2"/>
  <c r="L11152" i="2"/>
  <c r="C11153" i="2"/>
  <c r="D11153" i="2"/>
  <c r="F11153" i="2"/>
  <c r="G11153" i="2"/>
  <c r="H11153" i="2"/>
  <c r="J11153" i="2"/>
  <c r="K11153" i="2"/>
  <c r="L11153" i="2"/>
  <c r="C11154" i="2"/>
  <c r="D11154" i="2"/>
  <c r="F11154" i="2"/>
  <c r="G11154" i="2"/>
  <c r="H11154" i="2"/>
  <c r="J11154" i="2"/>
  <c r="K11154" i="2"/>
  <c r="L11154" i="2"/>
  <c r="C11155" i="2"/>
  <c r="D11155" i="2"/>
  <c r="F11155" i="2"/>
  <c r="G11155" i="2"/>
  <c r="H11155" i="2"/>
  <c r="J11155" i="2"/>
  <c r="K11155" i="2"/>
  <c r="L11155" i="2"/>
  <c r="C11156" i="2"/>
  <c r="D11156" i="2"/>
  <c r="F11156" i="2"/>
  <c r="G11156" i="2"/>
  <c r="H11156" i="2"/>
  <c r="J11156" i="2"/>
  <c r="K11156" i="2"/>
  <c r="L11156" i="2"/>
  <c r="C11157" i="2"/>
  <c r="D11157" i="2"/>
  <c r="F11157" i="2"/>
  <c r="G11157" i="2"/>
  <c r="H11157" i="2"/>
  <c r="J11157" i="2"/>
  <c r="K11157" i="2"/>
  <c r="L11157" i="2"/>
  <c r="C11158" i="2"/>
  <c r="D11158" i="2"/>
  <c r="F11158" i="2"/>
  <c r="G11158" i="2"/>
  <c r="H11158" i="2"/>
  <c r="J11158" i="2"/>
  <c r="K11158" i="2"/>
  <c r="L11158" i="2"/>
  <c r="C11159" i="2"/>
  <c r="D11159" i="2"/>
  <c r="F11159" i="2"/>
  <c r="G11159" i="2"/>
  <c r="H11159" i="2"/>
  <c r="J11159" i="2"/>
  <c r="K11159" i="2"/>
  <c r="L11159" i="2"/>
  <c r="C11160" i="2"/>
  <c r="D11160" i="2"/>
  <c r="F11160" i="2"/>
  <c r="G11160" i="2"/>
  <c r="H11160" i="2"/>
  <c r="J11160" i="2"/>
  <c r="K11160" i="2"/>
  <c r="L11160" i="2"/>
  <c r="C11161" i="2"/>
  <c r="D11161" i="2"/>
  <c r="F11161" i="2"/>
  <c r="G11161" i="2"/>
  <c r="H11161" i="2"/>
  <c r="J11161" i="2"/>
  <c r="K11161" i="2"/>
  <c r="L11161" i="2"/>
  <c r="C11162" i="2"/>
  <c r="D11162" i="2"/>
  <c r="F11162" i="2"/>
  <c r="G11162" i="2"/>
  <c r="H11162" i="2"/>
  <c r="J11162" i="2"/>
  <c r="K11162" i="2"/>
  <c r="L11162" i="2"/>
  <c r="C11163" i="2"/>
  <c r="D11163" i="2"/>
  <c r="F11163" i="2"/>
  <c r="G11163" i="2"/>
  <c r="H11163" i="2"/>
  <c r="J11163" i="2"/>
  <c r="K11163" i="2"/>
  <c r="L11163" i="2"/>
  <c r="C11164" i="2"/>
  <c r="D11164" i="2"/>
  <c r="F11164" i="2"/>
  <c r="G11164" i="2"/>
  <c r="H11164" i="2"/>
  <c r="J11164" i="2"/>
  <c r="K11164" i="2"/>
  <c r="L11164" i="2"/>
  <c r="C11165" i="2"/>
  <c r="D11165" i="2"/>
  <c r="F11165" i="2"/>
  <c r="G11165" i="2"/>
  <c r="H11165" i="2"/>
  <c r="J11165" i="2"/>
  <c r="K11165" i="2"/>
  <c r="L11165" i="2"/>
  <c r="C11166" i="2"/>
  <c r="D11166" i="2"/>
  <c r="F11166" i="2"/>
  <c r="G11166" i="2"/>
  <c r="H11166" i="2"/>
  <c r="J11166" i="2"/>
  <c r="K11166" i="2"/>
  <c r="L11166" i="2"/>
  <c r="C11167" i="2"/>
  <c r="D11167" i="2"/>
  <c r="F11167" i="2"/>
  <c r="G11167" i="2"/>
  <c r="H11167" i="2"/>
  <c r="J11167" i="2"/>
  <c r="K11167" i="2"/>
  <c r="L11167" i="2"/>
  <c r="C11168" i="2"/>
  <c r="D11168" i="2"/>
  <c r="F11168" i="2"/>
  <c r="G11168" i="2"/>
  <c r="H11168" i="2"/>
  <c r="J11168" i="2"/>
  <c r="K11168" i="2"/>
  <c r="L11168" i="2"/>
  <c r="C11169" i="2"/>
  <c r="D11169" i="2"/>
  <c r="F11169" i="2"/>
  <c r="G11169" i="2"/>
  <c r="H11169" i="2"/>
  <c r="J11169" i="2"/>
  <c r="K11169" i="2"/>
  <c r="L11169" i="2"/>
  <c r="C11170" i="2"/>
  <c r="D11170" i="2"/>
  <c r="F11170" i="2"/>
  <c r="G11170" i="2"/>
  <c r="H11170" i="2"/>
  <c r="J11170" i="2"/>
  <c r="K11170" i="2"/>
  <c r="L11170" i="2"/>
  <c r="C11171" i="2"/>
  <c r="D11171" i="2"/>
  <c r="F11171" i="2"/>
  <c r="G11171" i="2"/>
  <c r="H11171" i="2"/>
  <c r="J11171" i="2"/>
  <c r="K11171" i="2"/>
  <c r="L11171" i="2"/>
  <c r="C11172" i="2"/>
  <c r="D11172" i="2"/>
  <c r="F11172" i="2"/>
  <c r="G11172" i="2"/>
  <c r="H11172" i="2"/>
  <c r="J11172" i="2"/>
  <c r="K11172" i="2"/>
  <c r="L11172" i="2"/>
  <c r="C11173" i="2"/>
  <c r="D11173" i="2"/>
  <c r="F11173" i="2"/>
  <c r="G11173" i="2"/>
  <c r="H11173" i="2"/>
  <c r="J11173" i="2"/>
  <c r="K11173" i="2"/>
  <c r="L11173" i="2"/>
  <c r="C11174" i="2"/>
  <c r="D11174" i="2"/>
  <c r="F11174" i="2"/>
  <c r="G11174" i="2"/>
  <c r="H11174" i="2"/>
  <c r="J11174" i="2"/>
  <c r="K11174" i="2"/>
  <c r="L11174" i="2"/>
  <c r="C11175" i="2"/>
  <c r="D11175" i="2"/>
  <c r="F11175" i="2"/>
  <c r="G11175" i="2"/>
  <c r="H11175" i="2"/>
  <c r="J11175" i="2"/>
  <c r="K11175" i="2"/>
  <c r="L11175" i="2"/>
  <c r="C11176" i="2"/>
  <c r="D11176" i="2"/>
  <c r="F11176" i="2"/>
  <c r="G11176" i="2"/>
  <c r="H11176" i="2"/>
  <c r="J11176" i="2"/>
  <c r="K11176" i="2"/>
  <c r="L11176" i="2"/>
  <c r="C11177" i="2"/>
  <c r="D11177" i="2"/>
  <c r="F11177" i="2"/>
  <c r="G11177" i="2"/>
  <c r="H11177" i="2"/>
  <c r="J11177" i="2"/>
  <c r="K11177" i="2"/>
  <c r="L11177" i="2"/>
  <c r="C11178" i="2"/>
  <c r="D11178" i="2"/>
  <c r="F11178" i="2"/>
  <c r="G11178" i="2"/>
  <c r="H11178" i="2"/>
  <c r="J11178" i="2"/>
  <c r="K11178" i="2"/>
  <c r="L11178" i="2"/>
  <c r="C11179" i="2"/>
  <c r="D11179" i="2"/>
  <c r="F11179" i="2"/>
  <c r="G11179" i="2"/>
  <c r="H11179" i="2"/>
  <c r="J11179" i="2"/>
  <c r="K11179" i="2"/>
  <c r="L11179" i="2"/>
  <c r="C11180" i="2"/>
  <c r="D11180" i="2"/>
  <c r="F11180" i="2"/>
  <c r="G11180" i="2"/>
  <c r="H11180" i="2"/>
  <c r="J11180" i="2"/>
  <c r="K11180" i="2"/>
  <c r="L11180" i="2"/>
  <c r="C11181" i="2"/>
  <c r="D11181" i="2"/>
  <c r="F11181" i="2"/>
  <c r="G11181" i="2"/>
  <c r="H11181" i="2"/>
  <c r="J11181" i="2"/>
  <c r="K11181" i="2"/>
  <c r="L11181" i="2"/>
  <c r="C11182" i="2"/>
  <c r="D11182" i="2"/>
  <c r="F11182" i="2"/>
  <c r="G11182" i="2"/>
  <c r="H11182" i="2"/>
  <c r="J11182" i="2"/>
  <c r="K11182" i="2"/>
  <c r="L11182" i="2"/>
  <c r="C11183" i="2"/>
  <c r="D11183" i="2"/>
  <c r="F11183" i="2"/>
  <c r="G11183" i="2"/>
  <c r="H11183" i="2"/>
  <c r="J11183" i="2"/>
  <c r="K11183" i="2"/>
  <c r="L11183" i="2"/>
  <c r="C11184" i="2"/>
  <c r="D11184" i="2"/>
  <c r="F11184" i="2"/>
  <c r="G11184" i="2"/>
  <c r="H11184" i="2"/>
  <c r="J11184" i="2"/>
  <c r="K11184" i="2"/>
  <c r="L11184" i="2"/>
  <c r="C11185" i="2"/>
  <c r="D11185" i="2"/>
  <c r="F11185" i="2"/>
  <c r="G11185" i="2"/>
  <c r="H11185" i="2"/>
  <c r="J11185" i="2"/>
  <c r="K11185" i="2"/>
  <c r="L11185" i="2"/>
  <c r="C11186" i="2"/>
  <c r="D11186" i="2"/>
  <c r="F11186" i="2"/>
  <c r="G11186" i="2"/>
  <c r="H11186" i="2"/>
  <c r="J11186" i="2"/>
  <c r="K11186" i="2"/>
  <c r="L11186" i="2"/>
  <c r="C11187" i="2"/>
  <c r="D11187" i="2"/>
  <c r="F11187" i="2"/>
  <c r="G11187" i="2"/>
  <c r="H11187" i="2"/>
  <c r="J11187" i="2"/>
  <c r="K11187" i="2"/>
  <c r="L11187" i="2"/>
  <c r="C11188" i="2"/>
  <c r="D11188" i="2"/>
  <c r="F11188" i="2"/>
  <c r="G11188" i="2"/>
  <c r="H11188" i="2"/>
  <c r="J11188" i="2"/>
  <c r="K11188" i="2"/>
  <c r="L11188" i="2"/>
  <c r="C11189" i="2"/>
  <c r="D11189" i="2"/>
  <c r="F11189" i="2"/>
  <c r="G11189" i="2"/>
  <c r="H11189" i="2"/>
  <c r="J11189" i="2"/>
  <c r="K11189" i="2"/>
  <c r="L11189" i="2"/>
  <c r="C11190" i="2"/>
  <c r="D11190" i="2"/>
  <c r="F11190" i="2"/>
  <c r="G11190" i="2"/>
  <c r="H11190" i="2"/>
  <c r="J11190" i="2"/>
  <c r="K11190" i="2"/>
  <c r="L11190" i="2"/>
  <c r="C11191" i="2"/>
  <c r="D11191" i="2"/>
  <c r="F11191" i="2"/>
  <c r="G11191" i="2"/>
  <c r="H11191" i="2"/>
  <c r="J11191" i="2"/>
  <c r="K11191" i="2"/>
  <c r="L11191" i="2"/>
  <c r="C11192" i="2"/>
  <c r="D11192" i="2"/>
  <c r="F11192" i="2"/>
  <c r="G11192" i="2"/>
  <c r="H11192" i="2"/>
  <c r="J11192" i="2"/>
  <c r="K11192" i="2"/>
  <c r="L11192" i="2"/>
  <c r="C11193" i="2"/>
  <c r="D11193" i="2"/>
  <c r="F11193" i="2"/>
  <c r="G11193" i="2"/>
  <c r="H11193" i="2"/>
  <c r="J11193" i="2"/>
  <c r="K11193" i="2"/>
  <c r="L11193" i="2"/>
  <c r="C11194" i="2"/>
  <c r="D11194" i="2"/>
  <c r="F11194" i="2"/>
  <c r="G11194" i="2"/>
  <c r="H11194" i="2"/>
  <c r="J11194" i="2"/>
  <c r="K11194" i="2"/>
  <c r="L11194" i="2"/>
  <c r="C11195" i="2"/>
  <c r="D11195" i="2"/>
  <c r="F11195" i="2"/>
  <c r="G11195" i="2"/>
  <c r="H11195" i="2"/>
  <c r="J11195" i="2"/>
  <c r="K11195" i="2"/>
  <c r="L11195" i="2"/>
  <c r="C11196" i="2"/>
  <c r="D11196" i="2"/>
  <c r="F11196" i="2"/>
  <c r="G11196" i="2"/>
  <c r="H11196" i="2"/>
  <c r="J11196" i="2"/>
  <c r="K11196" i="2"/>
  <c r="L11196" i="2"/>
  <c r="C11197" i="2"/>
  <c r="D11197" i="2"/>
  <c r="F11197" i="2"/>
  <c r="G11197" i="2"/>
  <c r="H11197" i="2"/>
  <c r="J11197" i="2"/>
  <c r="K11197" i="2"/>
  <c r="L11197" i="2"/>
  <c r="C11198" i="2"/>
  <c r="D11198" i="2"/>
  <c r="F11198" i="2"/>
  <c r="G11198" i="2"/>
  <c r="H11198" i="2"/>
  <c r="J11198" i="2"/>
  <c r="K11198" i="2"/>
  <c r="L11198" i="2"/>
  <c r="C11199" i="2"/>
  <c r="D11199" i="2"/>
  <c r="F11199" i="2"/>
  <c r="G11199" i="2"/>
  <c r="H11199" i="2"/>
  <c r="J11199" i="2"/>
  <c r="K11199" i="2"/>
  <c r="L11199" i="2"/>
  <c r="C11200" i="2"/>
  <c r="D11200" i="2"/>
  <c r="F11200" i="2"/>
  <c r="G11200" i="2"/>
  <c r="H11200" i="2"/>
  <c r="J11200" i="2"/>
  <c r="K11200" i="2"/>
  <c r="L11200" i="2"/>
  <c r="C11201" i="2"/>
  <c r="D11201" i="2"/>
  <c r="F11201" i="2"/>
  <c r="G11201" i="2"/>
  <c r="H11201" i="2"/>
  <c r="J11201" i="2"/>
  <c r="K11201" i="2"/>
  <c r="L11201" i="2"/>
  <c r="C11202" i="2"/>
  <c r="D11202" i="2"/>
  <c r="F11202" i="2"/>
  <c r="G11202" i="2"/>
  <c r="H11202" i="2"/>
  <c r="J11202" i="2"/>
  <c r="K11202" i="2"/>
  <c r="L11202" i="2"/>
  <c r="C11203" i="2"/>
  <c r="D11203" i="2"/>
  <c r="F11203" i="2"/>
  <c r="G11203" i="2"/>
  <c r="H11203" i="2"/>
  <c r="J11203" i="2"/>
  <c r="K11203" i="2"/>
  <c r="L11203" i="2"/>
  <c r="C11204" i="2"/>
  <c r="D11204" i="2"/>
  <c r="F11204" i="2"/>
  <c r="G11204" i="2"/>
  <c r="H11204" i="2"/>
  <c r="J11204" i="2"/>
  <c r="K11204" i="2"/>
  <c r="L11204" i="2"/>
  <c r="C11205" i="2"/>
  <c r="D11205" i="2"/>
  <c r="F11205" i="2"/>
  <c r="G11205" i="2"/>
  <c r="H11205" i="2"/>
  <c r="J11205" i="2"/>
  <c r="K11205" i="2"/>
  <c r="L11205" i="2"/>
  <c r="C11206" i="2"/>
  <c r="D11206" i="2"/>
  <c r="F11206" i="2"/>
  <c r="G11206" i="2"/>
  <c r="H11206" i="2"/>
  <c r="J11206" i="2"/>
  <c r="K11206" i="2"/>
  <c r="L11206" i="2"/>
  <c r="C11207" i="2"/>
  <c r="D11207" i="2"/>
  <c r="F11207" i="2"/>
  <c r="G11207" i="2"/>
  <c r="H11207" i="2"/>
  <c r="J11207" i="2"/>
  <c r="K11207" i="2"/>
  <c r="L11207" i="2"/>
  <c r="C11208" i="2"/>
  <c r="D11208" i="2"/>
  <c r="F11208" i="2"/>
  <c r="G11208" i="2"/>
  <c r="H11208" i="2"/>
  <c r="J11208" i="2"/>
  <c r="K11208" i="2"/>
  <c r="L11208" i="2"/>
  <c r="C11209" i="2"/>
  <c r="D11209" i="2"/>
  <c r="F11209" i="2"/>
  <c r="G11209" i="2"/>
  <c r="H11209" i="2"/>
  <c r="J11209" i="2"/>
  <c r="K11209" i="2"/>
  <c r="L11209" i="2"/>
  <c r="C11210" i="2"/>
  <c r="D11210" i="2"/>
  <c r="F11210" i="2"/>
  <c r="G11210" i="2"/>
  <c r="H11210" i="2"/>
  <c r="J11210" i="2"/>
  <c r="K11210" i="2"/>
  <c r="L11210" i="2"/>
  <c r="C11211" i="2"/>
  <c r="D11211" i="2"/>
  <c r="F11211" i="2"/>
  <c r="G11211" i="2"/>
  <c r="H11211" i="2"/>
  <c r="J11211" i="2"/>
  <c r="K11211" i="2"/>
  <c r="L11211" i="2"/>
  <c r="C11212" i="2"/>
  <c r="D11212" i="2"/>
  <c r="F11212" i="2"/>
  <c r="G11212" i="2"/>
  <c r="H11212" i="2"/>
  <c r="J11212" i="2"/>
  <c r="K11212" i="2"/>
  <c r="L11212" i="2"/>
  <c r="C11213" i="2"/>
  <c r="D11213" i="2"/>
  <c r="F11213" i="2"/>
  <c r="G11213" i="2"/>
  <c r="H11213" i="2"/>
  <c r="J11213" i="2"/>
  <c r="K11213" i="2"/>
  <c r="L11213" i="2"/>
  <c r="C11214" i="2"/>
  <c r="D11214" i="2"/>
  <c r="F11214" i="2"/>
  <c r="G11214" i="2"/>
  <c r="H11214" i="2"/>
  <c r="J11214" i="2"/>
  <c r="K11214" i="2"/>
  <c r="L11214" i="2"/>
  <c r="C11215" i="2"/>
  <c r="D11215" i="2"/>
  <c r="F11215" i="2"/>
  <c r="G11215" i="2"/>
  <c r="H11215" i="2"/>
  <c r="J11215" i="2"/>
  <c r="K11215" i="2"/>
  <c r="L11215" i="2"/>
  <c r="C11216" i="2"/>
  <c r="D11216" i="2"/>
  <c r="F11216" i="2"/>
  <c r="G11216" i="2"/>
  <c r="H11216" i="2"/>
  <c r="J11216" i="2"/>
  <c r="K11216" i="2"/>
  <c r="L11216" i="2"/>
  <c r="C11217" i="2"/>
  <c r="D11217" i="2"/>
  <c r="F11217" i="2"/>
  <c r="G11217" i="2"/>
  <c r="H11217" i="2"/>
  <c r="J11217" i="2"/>
  <c r="K11217" i="2"/>
  <c r="L11217" i="2"/>
  <c r="C11218" i="2"/>
  <c r="D11218" i="2"/>
  <c r="F11218" i="2"/>
  <c r="G11218" i="2"/>
  <c r="H11218" i="2"/>
  <c r="J11218" i="2"/>
  <c r="K11218" i="2"/>
  <c r="L11218" i="2"/>
  <c r="C11219" i="2"/>
  <c r="D11219" i="2"/>
  <c r="F11219" i="2"/>
  <c r="G11219" i="2"/>
  <c r="H11219" i="2"/>
  <c r="J11219" i="2"/>
  <c r="K11219" i="2"/>
  <c r="L11219" i="2"/>
  <c r="C11220" i="2"/>
  <c r="D11220" i="2"/>
  <c r="F11220" i="2"/>
  <c r="G11220" i="2"/>
  <c r="H11220" i="2"/>
  <c r="J11220" i="2"/>
  <c r="K11220" i="2"/>
  <c r="L11220" i="2"/>
  <c r="C11221" i="2"/>
  <c r="D11221" i="2"/>
  <c r="F11221" i="2"/>
  <c r="G11221" i="2"/>
  <c r="H11221" i="2"/>
  <c r="J11221" i="2"/>
  <c r="K11221" i="2"/>
  <c r="L11221" i="2"/>
  <c r="C11222" i="2"/>
  <c r="D11222" i="2"/>
  <c r="F11222" i="2"/>
  <c r="G11222" i="2"/>
  <c r="H11222" i="2"/>
  <c r="J11222" i="2"/>
  <c r="K11222" i="2"/>
  <c r="L11222" i="2"/>
  <c r="C11223" i="2"/>
  <c r="D11223" i="2"/>
  <c r="F11223" i="2"/>
  <c r="G11223" i="2"/>
  <c r="H11223" i="2"/>
  <c r="J11223" i="2"/>
  <c r="K11223" i="2"/>
  <c r="L11223" i="2"/>
  <c r="C11224" i="2"/>
  <c r="D11224" i="2"/>
  <c r="F11224" i="2"/>
  <c r="G11224" i="2"/>
  <c r="H11224" i="2"/>
  <c r="J11224" i="2"/>
  <c r="K11224" i="2"/>
  <c r="L11224" i="2"/>
  <c r="C11225" i="2"/>
  <c r="D11225" i="2"/>
  <c r="F11225" i="2"/>
  <c r="G11225" i="2"/>
  <c r="H11225" i="2"/>
  <c r="J11225" i="2"/>
  <c r="K11225" i="2"/>
  <c r="L11225" i="2"/>
  <c r="C11226" i="2"/>
  <c r="D11226" i="2"/>
  <c r="F11226" i="2"/>
  <c r="G11226" i="2"/>
  <c r="H11226" i="2"/>
  <c r="J11226" i="2"/>
  <c r="K11226" i="2"/>
  <c r="L11226" i="2"/>
  <c r="C11227" i="2"/>
  <c r="D11227" i="2"/>
  <c r="F11227" i="2"/>
  <c r="G11227" i="2"/>
  <c r="H11227" i="2"/>
  <c r="J11227" i="2"/>
  <c r="K11227" i="2"/>
  <c r="L11227" i="2"/>
  <c r="C11228" i="2"/>
  <c r="D11228" i="2"/>
  <c r="F11228" i="2"/>
  <c r="G11228" i="2"/>
  <c r="H11228" i="2"/>
  <c r="J11228" i="2"/>
  <c r="K11228" i="2"/>
  <c r="L11228" i="2"/>
  <c r="C11229" i="2"/>
  <c r="D11229" i="2"/>
  <c r="F11229" i="2"/>
  <c r="G11229" i="2"/>
  <c r="H11229" i="2"/>
  <c r="J11229" i="2"/>
  <c r="K11229" i="2"/>
  <c r="L11229" i="2"/>
  <c r="C11230" i="2"/>
  <c r="D11230" i="2"/>
  <c r="F11230" i="2"/>
  <c r="G11230" i="2"/>
  <c r="H11230" i="2"/>
  <c r="J11230" i="2"/>
  <c r="K11230" i="2"/>
  <c r="L11230" i="2"/>
  <c r="C11231" i="2"/>
  <c r="D11231" i="2"/>
  <c r="F11231" i="2"/>
  <c r="G11231" i="2"/>
  <c r="H11231" i="2"/>
  <c r="J11231" i="2"/>
  <c r="K11231" i="2"/>
  <c r="L11231" i="2"/>
  <c r="C11232" i="2"/>
  <c r="D11232" i="2"/>
  <c r="F11232" i="2"/>
  <c r="G11232" i="2"/>
  <c r="H11232" i="2"/>
  <c r="J11232" i="2"/>
  <c r="K11232" i="2"/>
  <c r="L11232" i="2"/>
  <c r="C11233" i="2"/>
  <c r="D11233" i="2"/>
  <c r="F11233" i="2"/>
  <c r="G11233" i="2"/>
  <c r="H11233" i="2"/>
  <c r="J11233" i="2"/>
  <c r="K11233" i="2"/>
  <c r="L11233" i="2"/>
  <c r="C11234" i="2"/>
  <c r="D11234" i="2"/>
  <c r="F11234" i="2"/>
  <c r="G11234" i="2"/>
  <c r="H11234" i="2"/>
  <c r="J11234" i="2"/>
  <c r="K11234" i="2"/>
  <c r="L11234" i="2"/>
  <c r="C11235" i="2"/>
  <c r="D11235" i="2"/>
  <c r="F11235" i="2"/>
  <c r="G11235" i="2"/>
  <c r="H11235" i="2"/>
  <c r="J11235" i="2"/>
  <c r="K11235" i="2"/>
  <c r="L11235" i="2"/>
  <c r="C11236" i="2"/>
  <c r="D11236" i="2"/>
  <c r="F11236" i="2"/>
  <c r="G11236" i="2"/>
  <c r="H11236" i="2"/>
  <c r="J11236" i="2"/>
  <c r="K11236" i="2"/>
  <c r="L11236" i="2"/>
  <c r="C11237" i="2"/>
  <c r="D11237" i="2"/>
  <c r="F11237" i="2"/>
  <c r="G11237" i="2"/>
  <c r="H11237" i="2"/>
  <c r="J11237" i="2"/>
  <c r="K11237" i="2"/>
  <c r="L11237" i="2"/>
  <c r="C11238" i="2"/>
  <c r="D11238" i="2"/>
  <c r="F11238" i="2"/>
  <c r="G11238" i="2"/>
  <c r="H11238" i="2"/>
  <c r="J11238" i="2"/>
  <c r="K11238" i="2"/>
  <c r="L11238" i="2"/>
  <c r="C11239" i="2"/>
  <c r="D11239" i="2"/>
  <c r="F11239" i="2"/>
  <c r="G11239" i="2"/>
  <c r="H11239" i="2"/>
  <c r="J11239" i="2"/>
  <c r="K11239" i="2"/>
  <c r="L11239" i="2"/>
  <c r="C11240" i="2"/>
  <c r="D11240" i="2"/>
  <c r="F11240" i="2"/>
  <c r="G11240" i="2"/>
  <c r="H11240" i="2"/>
  <c r="J11240" i="2"/>
  <c r="K11240" i="2"/>
  <c r="L11240" i="2"/>
  <c r="C11241" i="2"/>
  <c r="D11241" i="2"/>
  <c r="F11241" i="2"/>
  <c r="G11241" i="2"/>
  <c r="H11241" i="2"/>
  <c r="J11241" i="2"/>
  <c r="K11241" i="2"/>
  <c r="L11241" i="2"/>
  <c r="C11242" i="2"/>
  <c r="D11242" i="2"/>
  <c r="F11242" i="2"/>
  <c r="G11242" i="2"/>
  <c r="H11242" i="2"/>
  <c r="J11242" i="2"/>
  <c r="K11242" i="2"/>
  <c r="L11242" i="2"/>
  <c r="C11243" i="2"/>
  <c r="D11243" i="2"/>
  <c r="F11243" i="2"/>
  <c r="G11243" i="2"/>
  <c r="H11243" i="2"/>
  <c r="J11243" i="2"/>
  <c r="K11243" i="2"/>
  <c r="L11243" i="2"/>
  <c r="C11244" i="2"/>
  <c r="D11244" i="2"/>
  <c r="F11244" i="2"/>
  <c r="G11244" i="2"/>
  <c r="H11244" i="2"/>
  <c r="J11244" i="2"/>
  <c r="K11244" i="2"/>
  <c r="L11244" i="2"/>
  <c r="C11245" i="2"/>
  <c r="D11245" i="2"/>
  <c r="F11245" i="2"/>
  <c r="G11245" i="2"/>
  <c r="H11245" i="2"/>
  <c r="J11245" i="2"/>
  <c r="K11245" i="2"/>
  <c r="L11245" i="2"/>
  <c r="C11246" i="2"/>
  <c r="D11246" i="2"/>
  <c r="F11246" i="2"/>
  <c r="G11246" i="2"/>
  <c r="H11246" i="2"/>
  <c r="J11246" i="2"/>
  <c r="K11246" i="2"/>
  <c r="L11246" i="2"/>
  <c r="C11247" i="2"/>
  <c r="D11247" i="2"/>
  <c r="F11247" i="2"/>
  <c r="G11247" i="2"/>
  <c r="H11247" i="2"/>
  <c r="J11247" i="2"/>
  <c r="K11247" i="2"/>
  <c r="L11247" i="2"/>
  <c r="C11248" i="2"/>
  <c r="D11248" i="2"/>
  <c r="F11248" i="2"/>
  <c r="G11248" i="2"/>
  <c r="H11248" i="2"/>
  <c r="J11248" i="2"/>
  <c r="K11248" i="2"/>
  <c r="L11248" i="2"/>
  <c r="C11249" i="2"/>
  <c r="D11249" i="2"/>
  <c r="F11249" i="2"/>
  <c r="G11249" i="2"/>
  <c r="H11249" i="2"/>
  <c r="J11249" i="2"/>
  <c r="K11249" i="2"/>
  <c r="L11249" i="2"/>
  <c r="C11250" i="2"/>
  <c r="D11250" i="2"/>
  <c r="F11250" i="2"/>
  <c r="G11250" i="2"/>
  <c r="H11250" i="2"/>
  <c r="J11250" i="2"/>
  <c r="K11250" i="2"/>
  <c r="L11250" i="2"/>
  <c r="C11251" i="2"/>
  <c r="D11251" i="2"/>
  <c r="F11251" i="2"/>
  <c r="G11251" i="2"/>
  <c r="H11251" i="2"/>
  <c r="J11251" i="2"/>
  <c r="K11251" i="2"/>
  <c r="L11251" i="2"/>
  <c r="C11252" i="2"/>
  <c r="D11252" i="2"/>
  <c r="F11252" i="2"/>
  <c r="G11252" i="2"/>
  <c r="H11252" i="2"/>
  <c r="J11252" i="2"/>
  <c r="K11252" i="2"/>
  <c r="L11252" i="2"/>
  <c r="C11253" i="2"/>
  <c r="D11253" i="2"/>
  <c r="F11253" i="2"/>
  <c r="G11253" i="2"/>
  <c r="H11253" i="2"/>
  <c r="J11253" i="2"/>
  <c r="K11253" i="2"/>
  <c r="L11253" i="2"/>
  <c r="C11254" i="2"/>
  <c r="D11254" i="2"/>
  <c r="F11254" i="2"/>
  <c r="G11254" i="2"/>
  <c r="H11254" i="2"/>
  <c r="J11254" i="2"/>
  <c r="K11254" i="2"/>
  <c r="L11254" i="2"/>
  <c r="C11255" i="2"/>
  <c r="D11255" i="2"/>
  <c r="F11255" i="2"/>
  <c r="G11255" i="2"/>
  <c r="H11255" i="2"/>
  <c r="J11255" i="2"/>
  <c r="K11255" i="2"/>
  <c r="L11255" i="2"/>
  <c r="C11256" i="2"/>
  <c r="D11256" i="2"/>
  <c r="F11256" i="2"/>
  <c r="G11256" i="2"/>
  <c r="H11256" i="2"/>
  <c r="J11256" i="2"/>
  <c r="K11256" i="2"/>
  <c r="L11256" i="2"/>
  <c r="C11257" i="2"/>
  <c r="D11257" i="2"/>
  <c r="F11257" i="2"/>
  <c r="G11257" i="2"/>
  <c r="H11257" i="2"/>
  <c r="J11257" i="2"/>
  <c r="K11257" i="2"/>
  <c r="L11257" i="2"/>
  <c r="C11258" i="2"/>
  <c r="D11258" i="2"/>
  <c r="F11258" i="2"/>
  <c r="G11258" i="2"/>
  <c r="H11258" i="2"/>
  <c r="J11258" i="2"/>
  <c r="K11258" i="2"/>
  <c r="L11258" i="2"/>
  <c r="C11259" i="2"/>
  <c r="D11259" i="2"/>
  <c r="F11259" i="2"/>
  <c r="G11259" i="2"/>
  <c r="H11259" i="2"/>
  <c r="J11259" i="2"/>
  <c r="K11259" i="2"/>
  <c r="L11259" i="2"/>
  <c r="C11260" i="2"/>
  <c r="D11260" i="2"/>
  <c r="F11260" i="2"/>
  <c r="G11260" i="2"/>
  <c r="H11260" i="2"/>
  <c r="J11260" i="2"/>
  <c r="K11260" i="2"/>
  <c r="L11260" i="2"/>
  <c r="C11261" i="2"/>
  <c r="D11261" i="2"/>
  <c r="F11261" i="2"/>
  <c r="G11261" i="2"/>
  <c r="H11261" i="2"/>
  <c r="J11261" i="2"/>
  <c r="K11261" i="2"/>
  <c r="L11261" i="2"/>
  <c r="C11262" i="2"/>
  <c r="D11262" i="2"/>
  <c r="F11262" i="2"/>
  <c r="G11262" i="2"/>
  <c r="H11262" i="2"/>
  <c r="J11262" i="2"/>
  <c r="K11262" i="2"/>
  <c r="L11262" i="2"/>
  <c r="C11263" i="2"/>
  <c r="D11263" i="2"/>
  <c r="F11263" i="2"/>
  <c r="G11263" i="2"/>
  <c r="H11263" i="2"/>
  <c r="J11263" i="2"/>
  <c r="K11263" i="2"/>
  <c r="L11263" i="2"/>
  <c r="D11264" i="2"/>
  <c r="F11264" i="2"/>
  <c r="G11264" i="2"/>
  <c r="H11264" i="2"/>
  <c r="J11264" i="2"/>
  <c r="K11264" i="2"/>
  <c r="L11264" i="2"/>
  <c r="C11265" i="2"/>
  <c r="D11265" i="2"/>
  <c r="F11265" i="2"/>
  <c r="G11265" i="2"/>
  <c r="H11265" i="2"/>
  <c r="J11265" i="2"/>
  <c r="K11265" i="2"/>
  <c r="L11265" i="2"/>
  <c r="C11266" i="2"/>
  <c r="D11266" i="2"/>
  <c r="F11266" i="2"/>
  <c r="G11266" i="2"/>
  <c r="H11266" i="2"/>
  <c r="J11266" i="2"/>
  <c r="K11266" i="2"/>
  <c r="L11266" i="2"/>
  <c r="C11267" i="2"/>
  <c r="D11267" i="2"/>
  <c r="F11267" i="2"/>
  <c r="G11267" i="2"/>
  <c r="H11267" i="2"/>
  <c r="J11267" i="2"/>
  <c r="K11267" i="2"/>
  <c r="L11267" i="2"/>
  <c r="C11268" i="2"/>
  <c r="D11268" i="2"/>
  <c r="F11268" i="2"/>
  <c r="G11268" i="2"/>
  <c r="H11268" i="2"/>
  <c r="J11268" i="2"/>
  <c r="K11268" i="2"/>
  <c r="L11268" i="2"/>
  <c r="C11269" i="2"/>
  <c r="D11269" i="2"/>
  <c r="F11269" i="2"/>
  <c r="G11269" i="2"/>
  <c r="H11269" i="2"/>
  <c r="J11269" i="2"/>
  <c r="K11269" i="2"/>
  <c r="L11269" i="2"/>
  <c r="C11270" i="2"/>
  <c r="D11270" i="2"/>
  <c r="F11270" i="2"/>
  <c r="G11270" i="2"/>
  <c r="H11270" i="2"/>
  <c r="J11270" i="2"/>
  <c r="K11270" i="2"/>
  <c r="L11270" i="2"/>
  <c r="C11271" i="2"/>
  <c r="D11271" i="2"/>
  <c r="F11271" i="2"/>
  <c r="G11271" i="2"/>
  <c r="H11271" i="2"/>
  <c r="J11271" i="2"/>
  <c r="K11271" i="2"/>
  <c r="L11271" i="2"/>
  <c r="C11272" i="2"/>
  <c r="D11272" i="2"/>
  <c r="F11272" i="2"/>
  <c r="G11272" i="2"/>
  <c r="H11272" i="2"/>
  <c r="J11272" i="2"/>
  <c r="K11272" i="2"/>
  <c r="L11272" i="2"/>
  <c r="C11273" i="2"/>
  <c r="D11273" i="2"/>
  <c r="F11273" i="2"/>
  <c r="G11273" i="2"/>
  <c r="H11273" i="2"/>
  <c r="J11273" i="2"/>
  <c r="K11273" i="2"/>
  <c r="L11273" i="2"/>
  <c r="C11274" i="2"/>
  <c r="D11274" i="2"/>
  <c r="F11274" i="2"/>
  <c r="G11274" i="2"/>
  <c r="H11274" i="2"/>
  <c r="J11274" i="2"/>
  <c r="K11274" i="2"/>
  <c r="L11274" i="2"/>
  <c r="C11275" i="2"/>
  <c r="D11275" i="2"/>
  <c r="F11275" i="2"/>
  <c r="G11275" i="2"/>
  <c r="H11275" i="2"/>
  <c r="J11275" i="2"/>
  <c r="K11275" i="2"/>
  <c r="L11275" i="2"/>
  <c r="C11276" i="2"/>
  <c r="D11276" i="2"/>
  <c r="F11276" i="2"/>
  <c r="G11276" i="2"/>
  <c r="H11276" i="2"/>
  <c r="J11276" i="2"/>
  <c r="K11276" i="2"/>
  <c r="L11276" i="2"/>
  <c r="C11277" i="2"/>
  <c r="D11277" i="2"/>
  <c r="F11277" i="2"/>
  <c r="G11277" i="2"/>
  <c r="H11277" i="2"/>
  <c r="J11277" i="2"/>
  <c r="K11277" i="2"/>
  <c r="L11277" i="2"/>
  <c r="C11278" i="2"/>
  <c r="D11278" i="2"/>
  <c r="F11278" i="2"/>
  <c r="G11278" i="2"/>
  <c r="H11278" i="2"/>
  <c r="J11278" i="2"/>
  <c r="K11278" i="2"/>
  <c r="L11278" i="2"/>
  <c r="C11279" i="2"/>
  <c r="D11279" i="2"/>
  <c r="F11279" i="2"/>
  <c r="G11279" i="2"/>
  <c r="H11279" i="2"/>
  <c r="J11279" i="2"/>
  <c r="K11279" i="2"/>
  <c r="L11279" i="2"/>
  <c r="C11280" i="2"/>
  <c r="D11280" i="2"/>
  <c r="F11280" i="2"/>
  <c r="G11280" i="2"/>
  <c r="H11280" i="2"/>
  <c r="J11280" i="2"/>
  <c r="K11280" i="2"/>
  <c r="L11280" i="2"/>
  <c r="C11281" i="2"/>
  <c r="D11281" i="2"/>
  <c r="F11281" i="2"/>
  <c r="G11281" i="2"/>
  <c r="H11281" i="2"/>
  <c r="J11281" i="2"/>
  <c r="K11281" i="2"/>
  <c r="L11281" i="2"/>
  <c r="C11282" i="2"/>
  <c r="D11282" i="2"/>
  <c r="F11282" i="2"/>
  <c r="G11282" i="2"/>
  <c r="H11282" i="2"/>
  <c r="J11282" i="2"/>
  <c r="K11282" i="2"/>
  <c r="L11282" i="2"/>
  <c r="C11283" i="2"/>
  <c r="D11283" i="2"/>
  <c r="F11283" i="2"/>
  <c r="G11283" i="2"/>
  <c r="H11283" i="2"/>
  <c r="J11283" i="2"/>
  <c r="K11283" i="2"/>
  <c r="L11283" i="2"/>
  <c r="C11284" i="2"/>
  <c r="D11284" i="2"/>
  <c r="F11284" i="2"/>
  <c r="G11284" i="2"/>
  <c r="H11284" i="2"/>
  <c r="J11284" i="2"/>
  <c r="K11284" i="2"/>
  <c r="L11284" i="2"/>
  <c r="C11285" i="2"/>
  <c r="D11285" i="2"/>
  <c r="F11285" i="2"/>
  <c r="G11285" i="2"/>
  <c r="H11285" i="2"/>
  <c r="J11285" i="2"/>
  <c r="K11285" i="2"/>
  <c r="L11285" i="2"/>
  <c r="C11286" i="2"/>
  <c r="D11286" i="2"/>
  <c r="F11286" i="2"/>
  <c r="G11286" i="2"/>
  <c r="H11286" i="2"/>
  <c r="J11286" i="2"/>
  <c r="K11286" i="2"/>
  <c r="L11286" i="2"/>
  <c r="C11287" i="2"/>
  <c r="D11287" i="2"/>
  <c r="F11287" i="2"/>
  <c r="G11287" i="2"/>
  <c r="H11287" i="2"/>
  <c r="J11287" i="2"/>
  <c r="K11287" i="2"/>
  <c r="L11287" i="2"/>
  <c r="C11288" i="2"/>
  <c r="D11288" i="2"/>
  <c r="F11288" i="2"/>
  <c r="G11288" i="2"/>
  <c r="H11288" i="2"/>
  <c r="J11288" i="2"/>
  <c r="K11288" i="2"/>
  <c r="L11288" i="2"/>
  <c r="C11289" i="2"/>
  <c r="D11289" i="2"/>
  <c r="F11289" i="2"/>
  <c r="G11289" i="2"/>
  <c r="H11289" i="2"/>
  <c r="J11289" i="2"/>
  <c r="K11289" i="2"/>
  <c r="L11289" i="2"/>
  <c r="C11290" i="2"/>
  <c r="D11290" i="2"/>
  <c r="F11290" i="2"/>
  <c r="G11290" i="2"/>
  <c r="H11290" i="2"/>
  <c r="J11290" i="2"/>
  <c r="K11290" i="2"/>
  <c r="L11290" i="2"/>
  <c r="C11291" i="2"/>
  <c r="D11291" i="2"/>
  <c r="F11291" i="2"/>
  <c r="G11291" i="2"/>
  <c r="H11291" i="2"/>
  <c r="J11291" i="2"/>
  <c r="K11291" i="2"/>
  <c r="L11291" i="2"/>
  <c r="C11292" i="2"/>
  <c r="D11292" i="2"/>
  <c r="F11292" i="2"/>
  <c r="G11292" i="2"/>
  <c r="H11292" i="2"/>
  <c r="J11292" i="2"/>
  <c r="K11292" i="2"/>
  <c r="L11292" i="2"/>
  <c r="C11293" i="2"/>
  <c r="D11293" i="2"/>
  <c r="F11293" i="2"/>
  <c r="G11293" i="2"/>
  <c r="H11293" i="2"/>
  <c r="J11293" i="2"/>
  <c r="K11293" i="2"/>
  <c r="L11293" i="2"/>
  <c r="C11294" i="2"/>
  <c r="D11294" i="2"/>
  <c r="F11294" i="2"/>
  <c r="G11294" i="2"/>
  <c r="H11294" i="2"/>
  <c r="J11294" i="2"/>
  <c r="K11294" i="2"/>
  <c r="L11294" i="2"/>
  <c r="C11295" i="2"/>
  <c r="D11295" i="2"/>
  <c r="F11295" i="2"/>
  <c r="G11295" i="2"/>
  <c r="H11295" i="2"/>
  <c r="J11295" i="2"/>
  <c r="K11295" i="2"/>
  <c r="L11295" i="2"/>
  <c r="C11296" i="2"/>
  <c r="D11296" i="2"/>
  <c r="F11296" i="2"/>
  <c r="G11296" i="2"/>
  <c r="H11296" i="2"/>
  <c r="J11296" i="2"/>
  <c r="K11296" i="2"/>
  <c r="L11296" i="2"/>
  <c r="C11297" i="2"/>
  <c r="D11297" i="2"/>
  <c r="F11297" i="2"/>
  <c r="G11297" i="2"/>
  <c r="H11297" i="2"/>
  <c r="J11297" i="2"/>
  <c r="K11297" i="2"/>
  <c r="L11297" i="2"/>
  <c r="C11298" i="2"/>
  <c r="D11298" i="2"/>
  <c r="F11298" i="2"/>
  <c r="G11298" i="2"/>
  <c r="H11298" i="2"/>
  <c r="J11298" i="2"/>
  <c r="K11298" i="2"/>
  <c r="L11298" i="2"/>
  <c r="C11299" i="2"/>
  <c r="D11299" i="2"/>
  <c r="F11299" i="2"/>
  <c r="G11299" i="2"/>
  <c r="H11299" i="2"/>
  <c r="J11299" i="2"/>
  <c r="K11299" i="2"/>
  <c r="L11299" i="2"/>
  <c r="C11300" i="2"/>
  <c r="D11300" i="2"/>
  <c r="F11300" i="2"/>
  <c r="G11300" i="2"/>
  <c r="H11300" i="2"/>
  <c r="J11300" i="2"/>
  <c r="K11300" i="2"/>
  <c r="L11300" i="2"/>
  <c r="C11301" i="2"/>
  <c r="D11301" i="2"/>
  <c r="F11301" i="2"/>
  <c r="G11301" i="2"/>
  <c r="H11301" i="2"/>
  <c r="J11301" i="2"/>
  <c r="K11301" i="2"/>
  <c r="L11301" i="2"/>
  <c r="C11302" i="2"/>
  <c r="D11302" i="2"/>
  <c r="F11302" i="2"/>
  <c r="G11302" i="2"/>
  <c r="H11302" i="2"/>
  <c r="J11302" i="2"/>
  <c r="K11302" i="2"/>
  <c r="L11302" i="2"/>
  <c r="C11303" i="2"/>
  <c r="D11303" i="2"/>
  <c r="F11303" i="2"/>
  <c r="G11303" i="2"/>
  <c r="H11303" i="2"/>
  <c r="J11303" i="2"/>
  <c r="K11303" i="2"/>
  <c r="L11303" i="2"/>
  <c r="C11304" i="2"/>
  <c r="D11304" i="2"/>
  <c r="F11304" i="2"/>
  <c r="G11304" i="2"/>
  <c r="H11304" i="2"/>
  <c r="J11304" i="2"/>
  <c r="K11304" i="2"/>
  <c r="L11304" i="2"/>
  <c r="C11305" i="2"/>
  <c r="D11305" i="2"/>
  <c r="F11305" i="2"/>
  <c r="G11305" i="2"/>
  <c r="H11305" i="2"/>
  <c r="J11305" i="2"/>
  <c r="K11305" i="2"/>
  <c r="L11305" i="2"/>
  <c r="C11306" i="2"/>
  <c r="D11306" i="2"/>
  <c r="F11306" i="2"/>
  <c r="G11306" i="2"/>
  <c r="H11306" i="2"/>
  <c r="J11306" i="2"/>
  <c r="K11306" i="2"/>
  <c r="L11306" i="2"/>
  <c r="C11307" i="2"/>
  <c r="D11307" i="2"/>
  <c r="F11307" i="2"/>
  <c r="G11307" i="2"/>
  <c r="H11307" i="2"/>
  <c r="J11307" i="2"/>
  <c r="K11307" i="2"/>
  <c r="L11307" i="2"/>
  <c r="C11308" i="2"/>
  <c r="D11308" i="2"/>
  <c r="F11308" i="2"/>
  <c r="G11308" i="2"/>
  <c r="H11308" i="2"/>
  <c r="J11308" i="2"/>
  <c r="K11308" i="2"/>
  <c r="L11308" i="2"/>
  <c r="C11309" i="2"/>
  <c r="D11309" i="2"/>
  <c r="F11309" i="2"/>
  <c r="G11309" i="2"/>
  <c r="H11309" i="2"/>
  <c r="J11309" i="2"/>
  <c r="K11309" i="2"/>
  <c r="L11309" i="2"/>
  <c r="C11310" i="2"/>
  <c r="D11310" i="2"/>
  <c r="F11310" i="2"/>
  <c r="G11310" i="2"/>
  <c r="H11310" i="2"/>
  <c r="J11310" i="2"/>
  <c r="K11310" i="2"/>
  <c r="L11310" i="2"/>
  <c r="C11311" i="2"/>
  <c r="D11311" i="2"/>
  <c r="F11311" i="2"/>
  <c r="G11311" i="2"/>
  <c r="H11311" i="2"/>
  <c r="J11311" i="2"/>
  <c r="K11311" i="2"/>
  <c r="L11311" i="2"/>
  <c r="C11312" i="2"/>
  <c r="D11312" i="2"/>
  <c r="F11312" i="2"/>
  <c r="G11312" i="2"/>
  <c r="H11312" i="2"/>
  <c r="J11312" i="2"/>
  <c r="K11312" i="2"/>
  <c r="L11312" i="2"/>
  <c r="C11313" i="2"/>
  <c r="D11313" i="2"/>
  <c r="F11313" i="2"/>
  <c r="G11313" i="2"/>
  <c r="H11313" i="2"/>
  <c r="J11313" i="2"/>
  <c r="K11313" i="2"/>
  <c r="L11313" i="2"/>
  <c r="C11314" i="2"/>
  <c r="D11314" i="2"/>
  <c r="F11314" i="2"/>
  <c r="G11314" i="2"/>
  <c r="H11314" i="2"/>
  <c r="J11314" i="2"/>
  <c r="K11314" i="2"/>
  <c r="L11314" i="2"/>
  <c r="C11315" i="2"/>
  <c r="D11315" i="2"/>
  <c r="F11315" i="2"/>
  <c r="G11315" i="2"/>
  <c r="H11315" i="2"/>
  <c r="J11315" i="2"/>
  <c r="K11315" i="2"/>
  <c r="L11315" i="2"/>
  <c r="C11316" i="2"/>
  <c r="D11316" i="2"/>
  <c r="F11316" i="2"/>
  <c r="G11316" i="2"/>
  <c r="H11316" i="2"/>
  <c r="J11316" i="2"/>
  <c r="K11316" i="2"/>
  <c r="L11316" i="2"/>
  <c r="C11317" i="2"/>
  <c r="D11317" i="2"/>
  <c r="F11317" i="2"/>
  <c r="G11317" i="2"/>
  <c r="H11317" i="2"/>
  <c r="J11317" i="2"/>
  <c r="K11317" i="2"/>
  <c r="L11317" i="2"/>
  <c r="C11318" i="2"/>
  <c r="D11318" i="2"/>
  <c r="F11318" i="2"/>
  <c r="G11318" i="2"/>
  <c r="H11318" i="2"/>
  <c r="J11318" i="2"/>
  <c r="K11318" i="2"/>
  <c r="L11318" i="2"/>
  <c r="C11319" i="2"/>
  <c r="D11319" i="2"/>
  <c r="F11319" i="2"/>
  <c r="G11319" i="2"/>
  <c r="H11319" i="2"/>
  <c r="J11319" i="2"/>
  <c r="K11319" i="2"/>
  <c r="L11319" i="2"/>
  <c r="C11320" i="2"/>
  <c r="D11320" i="2"/>
  <c r="F11320" i="2"/>
  <c r="G11320" i="2"/>
  <c r="H11320" i="2"/>
  <c r="J11320" i="2"/>
  <c r="K11320" i="2"/>
  <c r="L11320" i="2"/>
  <c r="C11321" i="2"/>
  <c r="D11321" i="2"/>
  <c r="F11321" i="2"/>
  <c r="G11321" i="2"/>
  <c r="H11321" i="2"/>
  <c r="J11321" i="2"/>
  <c r="K11321" i="2"/>
  <c r="L11321" i="2"/>
  <c r="C11322" i="2"/>
  <c r="D11322" i="2"/>
  <c r="F11322" i="2"/>
  <c r="G11322" i="2"/>
  <c r="H11322" i="2"/>
  <c r="J11322" i="2"/>
  <c r="K11322" i="2"/>
  <c r="L11322" i="2"/>
  <c r="C11323" i="2"/>
  <c r="D11323" i="2"/>
  <c r="F11323" i="2"/>
  <c r="G11323" i="2"/>
  <c r="H11323" i="2"/>
  <c r="J11323" i="2"/>
  <c r="K11323" i="2"/>
  <c r="L11323" i="2"/>
  <c r="C11324" i="2"/>
  <c r="D11324" i="2"/>
  <c r="F11324" i="2"/>
  <c r="G11324" i="2"/>
  <c r="H11324" i="2"/>
  <c r="J11324" i="2"/>
  <c r="K11324" i="2"/>
  <c r="L11324" i="2"/>
  <c r="C11325" i="2"/>
  <c r="D11325" i="2"/>
  <c r="F11325" i="2"/>
  <c r="G11325" i="2"/>
  <c r="H11325" i="2"/>
  <c r="J11325" i="2"/>
  <c r="K11325" i="2"/>
  <c r="L11325" i="2"/>
  <c r="C11326" i="2"/>
  <c r="D11326" i="2"/>
  <c r="F11326" i="2"/>
  <c r="G11326" i="2"/>
  <c r="H11326" i="2"/>
  <c r="J11326" i="2"/>
  <c r="K11326" i="2"/>
  <c r="L11326" i="2"/>
  <c r="C11327" i="2"/>
  <c r="D11327" i="2"/>
  <c r="F11327" i="2"/>
  <c r="G11327" i="2"/>
  <c r="H11327" i="2"/>
  <c r="J11327" i="2"/>
  <c r="K11327" i="2"/>
  <c r="L11327" i="2"/>
  <c r="C11328" i="2"/>
  <c r="D11328" i="2"/>
  <c r="F11328" i="2"/>
  <c r="G11328" i="2"/>
  <c r="H11328" i="2"/>
  <c r="J11328" i="2"/>
  <c r="K11328" i="2"/>
  <c r="L11328" i="2"/>
  <c r="C11329" i="2"/>
  <c r="D11329" i="2"/>
  <c r="F11329" i="2"/>
  <c r="G11329" i="2"/>
  <c r="H11329" i="2"/>
  <c r="J11329" i="2"/>
  <c r="K11329" i="2"/>
  <c r="L11329" i="2"/>
  <c r="C11330" i="2"/>
  <c r="D11330" i="2"/>
  <c r="F11330" i="2"/>
  <c r="G11330" i="2"/>
  <c r="H11330" i="2"/>
  <c r="J11330" i="2"/>
  <c r="K11330" i="2"/>
  <c r="L11330" i="2"/>
  <c r="C11331" i="2"/>
  <c r="D11331" i="2"/>
  <c r="F11331" i="2"/>
  <c r="G11331" i="2"/>
  <c r="H11331" i="2"/>
  <c r="J11331" i="2"/>
  <c r="K11331" i="2"/>
  <c r="L11331" i="2"/>
  <c r="C11332" i="2"/>
  <c r="D11332" i="2"/>
  <c r="F11332" i="2"/>
  <c r="G11332" i="2"/>
  <c r="H11332" i="2"/>
  <c r="J11332" i="2"/>
  <c r="K11332" i="2"/>
  <c r="L11332" i="2"/>
  <c r="C11333" i="2"/>
  <c r="D11333" i="2"/>
  <c r="F11333" i="2"/>
  <c r="G11333" i="2"/>
  <c r="H11333" i="2"/>
  <c r="J11333" i="2"/>
  <c r="K11333" i="2"/>
  <c r="L11333" i="2"/>
  <c r="C11334" i="2"/>
  <c r="D11334" i="2"/>
  <c r="F11334" i="2"/>
  <c r="G11334" i="2"/>
  <c r="H11334" i="2"/>
  <c r="J11334" i="2"/>
  <c r="K11334" i="2"/>
  <c r="L11334" i="2"/>
  <c r="C11335" i="2"/>
  <c r="D11335" i="2"/>
  <c r="F11335" i="2"/>
  <c r="G11335" i="2"/>
  <c r="H11335" i="2"/>
  <c r="J11335" i="2"/>
  <c r="K11335" i="2"/>
  <c r="L11335" i="2"/>
  <c r="C11336" i="2"/>
  <c r="D11336" i="2"/>
  <c r="F11336" i="2"/>
  <c r="G11336" i="2"/>
  <c r="H11336" i="2"/>
  <c r="J11336" i="2"/>
  <c r="K11336" i="2"/>
  <c r="L11336" i="2"/>
  <c r="C11337" i="2"/>
  <c r="D11337" i="2"/>
  <c r="F11337" i="2"/>
  <c r="G11337" i="2"/>
  <c r="H11337" i="2"/>
  <c r="J11337" i="2"/>
  <c r="K11337" i="2"/>
  <c r="L11337" i="2"/>
  <c r="C11338" i="2"/>
  <c r="D11338" i="2"/>
  <c r="F11338" i="2"/>
  <c r="G11338" i="2"/>
  <c r="H11338" i="2"/>
  <c r="J11338" i="2"/>
  <c r="K11338" i="2"/>
  <c r="L11338" i="2"/>
  <c r="C11339" i="2"/>
  <c r="D11339" i="2"/>
  <c r="F11339" i="2"/>
  <c r="G11339" i="2"/>
  <c r="H11339" i="2"/>
  <c r="J11339" i="2"/>
  <c r="K11339" i="2"/>
  <c r="L11339" i="2"/>
  <c r="C11340" i="2"/>
  <c r="D11340" i="2"/>
  <c r="F11340" i="2"/>
  <c r="G11340" i="2"/>
  <c r="H11340" i="2"/>
  <c r="J11340" i="2"/>
  <c r="K11340" i="2"/>
  <c r="L11340" i="2"/>
  <c r="C11341" i="2"/>
  <c r="D11341" i="2"/>
  <c r="F11341" i="2"/>
  <c r="G11341" i="2"/>
  <c r="H11341" i="2"/>
  <c r="J11341" i="2"/>
  <c r="K11341" i="2"/>
  <c r="L11341" i="2"/>
  <c r="C11342" i="2"/>
  <c r="D11342" i="2"/>
  <c r="F11342" i="2"/>
  <c r="G11342" i="2"/>
  <c r="H11342" i="2"/>
  <c r="J11342" i="2"/>
  <c r="K11342" i="2"/>
  <c r="L11342" i="2"/>
  <c r="C11343" i="2"/>
  <c r="D11343" i="2"/>
  <c r="F11343" i="2"/>
  <c r="G11343" i="2"/>
  <c r="H11343" i="2"/>
  <c r="J11343" i="2"/>
  <c r="K11343" i="2"/>
  <c r="L11343" i="2"/>
  <c r="C11344" i="2"/>
  <c r="D11344" i="2"/>
  <c r="F11344" i="2"/>
  <c r="G11344" i="2"/>
  <c r="H11344" i="2"/>
  <c r="J11344" i="2"/>
  <c r="K11344" i="2"/>
  <c r="L11344" i="2"/>
  <c r="C11345" i="2"/>
  <c r="D11345" i="2"/>
  <c r="F11345" i="2"/>
  <c r="G11345" i="2"/>
  <c r="H11345" i="2"/>
  <c r="J11345" i="2"/>
  <c r="K11345" i="2"/>
  <c r="L11345" i="2"/>
  <c r="C11346" i="2"/>
  <c r="D11346" i="2"/>
  <c r="F11346" i="2"/>
  <c r="G11346" i="2"/>
  <c r="H11346" i="2"/>
  <c r="J11346" i="2"/>
  <c r="K11346" i="2"/>
  <c r="L11346" i="2"/>
  <c r="C11347" i="2"/>
  <c r="D11347" i="2"/>
  <c r="F11347" i="2"/>
  <c r="G11347" i="2"/>
  <c r="H11347" i="2"/>
  <c r="J11347" i="2"/>
  <c r="K11347" i="2"/>
  <c r="L11347" i="2"/>
  <c r="C11348" i="2"/>
  <c r="D11348" i="2"/>
  <c r="F11348" i="2"/>
  <c r="G11348" i="2"/>
  <c r="H11348" i="2"/>
  <c r="J11348" i="2"/>
  <c r="K11348" i="2"/>
  <c r="L11348" i="2"/>
  <c r="C11349" i="2"/>
  <c r="D11349" i="2"/>
  <c r="F11349" i="2"/>
  <c r="G11349" i="2"/>
  <c r="H11349" i="2"/>
  <c r="J11349" i="2"/>
  <c r="K11349" i="2"/>
  <c r="L11349" i="2"/>
  <c r="C11350" i="2"/>
  <c r="D11350" i="2"/>
  <c r="F11350" i="2"/>
  <c r="G11350" i="2"/>
  <c r="H11350" i="2"/>
  <c r="J11350" i="2"/>
  <c r="K11350" i="2"/>
  <c r="L11350" i="2"/>
  <c r="C11351" i="2"/>
  <c r="D11351" i="2"/>
  <c r="F11351" i="2"/>
  <c r="G11351" i="2"/>
  <c r="H11351" i="2"/>
  <c r="J11351" i="2"/>
  <c r="K11351" i="2"/>
  <c r="L11351" i="2"/>
  <c r="C11352" i="2"/>
  <c r="D11352" i="2"/>
  <c r="F11352" i="2"/>
  <c r="G11352" i="2"/>
  <c r="H11352" i="2"/>
  <c r="J11352" i="2"/>
  <c r="K11352" i="2"/>
  <c r="L11352" i="2"/>
  <c r="C11353" i="2"/>
  <c r="D11353" i="2"/>
  <c r="F11353" i="2"/>
  <c r="G11353" i="2"/>
  <c r="H11353" i="2"/>
  <c r="J11353" i="2"/>
  <c r="K11353" i="2"/>
  <c r="L11353" i="2"/>
  <c r="C11354" i="2"/>
  <c r="D11354" i="2"/>
  <c r="F11354" i="2"/>
  <c r="G11354" i="2"/>
  <c r="H11354" i="2"/>
  <c r="J11354" i="2"/>
  <c r="K11354" i="2"/>
  <c r="L11354" i="2"/>
  <c r="C11355" i="2"/>
  <c r="D11355" i="2"/>
  <c r="F11355" i="2"/>
  <c r="G11355" i="2"/>
  <c r="H11355" i="2"/>
  <c r="J11355" i="2"/>
  <c r="K11355" i="2"/>
  <c r="L11355" i="2"/>
  <c r="C11356" i="2"/>
  <c r="D11356" i="2"/>
  <c r="F11356" i="2"/>
  <c r="G11356" i="2"/>
  <c r="H11356" i="2"/>
  <c r="J11356" i="2"/>
  <c r="K11356" i="2"/>
  <c r="L11356" i="2"/>
  <c r="C11357" i="2"/>
  <c r="D11357" i="2"/>
  <c r="F11357" i="2"/>
  <c r="G11357" i="2"/>
  <c r="H11357" i="2"/>
  <c r="J11357" i="2"/>
  <c r="K11357" i="2"/>
  <c r="L11357" i="2"/>
  <c r="C11358" i="2"/>
  <c r="D11358" i="2"/>
  <c r="F11358" i="2"/>
  <c r="G11358" i="2"/>
  <c r="H11358" i="2"/>
  <c r="J11358" i="2"/>
  <c r="K11358" i="2"/>
  <c r="L11358" i="2"/>
  <c r="C11359" i="2"/>
  <c r="D11359" i="2"/>
  <c r="F11359" i="2"/>
  <c r="G11359" i="2"/>
  <c r="H11359" i="2"/>
  <c r="J11359" i="2"/>
  <c r="K11359" i="2"/>
  <c r="L11359" i="2"/>
  <c r="C11360" i="2"/>
  <c r="D11360" i="2"/>
  <c r="F11360" i="2"/>
  <c r="G11360" i="2"/>
  <c r="H11360" i="2"/>
  <c r="J11360" i="2"/>
  <c r="K11360" i="2"/>
  <c r="L11360" i="2"/>
  <c r="C11361" i="2"/>
  <c r="D11361" i="2"/>
  <c r="F11361" i="2"/>
  <c r="G11361" i="2"/>
  <c r="H11361" i="2"/>
  <c r="J11361" i="2"/>
  <c r="K11361" i="2"/>
  <c r="L11361" i="2"/>
  <c r="C11362" i="2"/>
  <c r="D11362" i="2"/>
  <c r="F11362" i="2"/>
  <c r="G11362" i="2"/>
  <c r="H11362" i="2"/>
  <c r="J11362" i="2"/>
  <c r="K11362" i="2"/>
  <c r="L11362" i="2"/>
  <c r="C11363" i="2"/>
  <c r="D11363" i="2"/>
  <c r="F11363" i="2"/>
  <c r="G11363" i="2"/>
  <c r="H11363" i="2"/>
  <c r="J11363" i="2"/>
  <c r="K11363" i="2"/>
  <c r="L11363" i="2"/>
  <c r="C11364" i="2"/>
  <c r="D11364" i="2"/>
  <c r="F11364" i="2"/>
  <c r="G11364" i="2"/>
  <c r="H11364" i="2"/>
  <c r="J11364" i="2"/>
  <c r="K11364" i="2"/>
  <c r="L11364" i="2"/>
  <c r="C11365" i="2"/>
  <c r="D11365" i="2"/>
  <c r="F11365" i="2"/>
  <c r="G11365" i="2"/>
  <c r="H11365" i="2"/>
  <c r="J11365" i="2"/>
  <c r="K11365" i="2"/>
  <c r="L11365" i="2"/>
  <c r="C11366" i="2"/>
  <c r="D11366" i="2"/>
  <c r="F11366" i="2"/>
  <c r="G11366" i="2"/>
  <c r="H11366" i="2"/>
  <c r="J11366" i="2"/>
  <c r="K11366" i="2"/>
  <c r="L11366" i="2"/>
  <c r="C11367" i="2"/>
  <c r="D11367" i="2"/>
  <c r="F11367" i="2"/>
  <c r="G11367" i="2"/>
  <c r="H11367" i="2"/>
  <c r="J11367" i="2"/>
  <c r="K11367" i="2"/>
  <c r="L11367" i="2"/>
  <c r="C11368" i="2"/>
  <c r="D11368" i="2"/>
  <c r="F11368" i="2"/>
  <c r="G11368" i="2"/>
  <c r="H11368" i="2"/>
  <c r="J11368" i="2"/>
  <c r="K11368" i="2"/>
  <c r="L11368" i="2"/>
  <c r="C11369" i="2"/>
  <c r="D11369" i="2"/>
  <c r="F11369" i="2"/>
  <c r="G11369" i="2"/>
  <c r="H11369" i="2"/>
  <c r="J11369" i="2"/>
  <c r="K11369" i="2"/>
  <c r="L11369" i="2"/>
  <c r="C11370" i="2"/>
  <c r="D11370" i="2"/>
  <c r="F11370" i="2"/>
  <c r="G11370" i="2"/>
  <c r="H11370" i="2"/>
  <c r="J11370" i="2"/>
  <c r="K11370" i="2"/>
  <c r="L11370" i="2"/>
  <c r="C11371" i="2"/>
  <c r="D11371" i="2"/>
  <c r="F11371" i="2"/>
  <c r="G11371" i="2"/>
  <c r="H11371" i="2"/>
  <c r="J11371" i="2"/>
  <c r="K11371" i="2"/>
  <c r="L11371" i="2"/>
  <c r="C11372" i="2"/>
  <c r="D11372" i="2"/>
  <c r="F11372" i="2"/>
  <c r="G11372" i="2"/>
  <c r="H11372" i="2"/>
  <c r="J11372" i="2"/>
  <c r="K11372" i="2"/>
  <c r="L11372" i="2"/>
  <c r="C11373" i="2"/>
  <c r="D11373" i="2"/>
  <c r="F11373" i="2"/>
  <c r="G11373" i="2"/>
  <c r="H11373" i="2"/>
  <c r="J11373" i="2"/>
  <c r="K11373" i="2"/>
  <c r="L11373" i="2"/>
  <c r="C11374" i="2"/>
  <c r="D11374" i="2"/>
  <c r="F11374" i="2"/>
  <c r="G11374" i="2"/>
  <c r="H11374" i="2"/>
  <c r="J11374" i="2"/>
  <c r="K11374" i="2"/>
  <c r="L11374" i="2"/>
  <c r="C11375" i="2"/>
  <c r="D11375" i="2"/>
  <c r="F11375" i="2"/>
  <c r="G11375" i="2"/>
  <c r="H11375" i="2"/>
  <c r="J11375" i="2"/>
  <c r="K11375" i="2"/>
  <c r="L11375" i="2"/>
  <c r="C11376" i="2"/>
  <c r="D11376" i="2"/>
  <c r="F11376" i="2"/>
  <c r="G11376" i="2"/>
  <c r="H11376" i="2"/>
  <c r="J11376" i="2"/>
  <c r="K11376" i="2"/>
  <c r="L11376" i="2"/>
  <c r="C11377" i="2"/>
  <c r="D11377" i="2"/>
  <c r="F11377" i="2"/>
  <c r="G11377" i="2"/>
  <c r="H11377" i="2"/>
  <c r="J11377" i="2"/>
  <c r="K11377" i="2"/>
  <c r="L11377" i="2"/>
  <c r="C11378" i="2"/>
  <c r="D11378" i="2"/>
  <c r="F11378" i="2"/>
  <c r="G11378" i="2"/>
  <c r="H11378" i="2"/>
  <c r="J11378" i="2"/>
  <c r="K11378" i="2"/>
  <c r="L11378" i="2"/>
  <c r="C11379" i="2"/>
  <c r="D11379" i="2"/>
  <c r="F11379" i="2"/>
  <c r="G11379" i="2"/>
  <c r="H11379" i="2"/>
  <c r="J11379" i="2"/>
  <c r="K11379" i="2"/>
  <c r="L11379" i="2"/>
  <c r="C11380" i="2"/>
  <c r="D11380" i="2"/>
  <c r="F11380" i="2"/>
  <c r="G11380" i="2"/>
  <c r="H11380" i="2"/>
  <c r="J11380" i="2"/>
  <c r="K11380" i="2"/>
  <c r="L11380" i="2"/>
  <c r="C11381" i="2"/>
  <c r="D11381" i="2"/>
  <c r="F11381" i="2"/>
  <c r="G11381" i="2"/>
  <c r="H11381" i="2"/>
  <c r="J11381" i="2"/>
  <c r="K11381" i="2"/>
  <c r="L11381" i="2"/>
  <c r="C11382" i="2"/>
  <c r="D11382" i="2"/>
  <c r="F11382" i="2"/>
  <c r="G11382" i="2"/>
  <c r="H11382" i="2"/>
  <c r="J11382" i="2"/>
  <c r="K11382" i="2"/>
  <c r="L11382" i="2"/>
  <c r="C11383" i="2"/>
  <c r="D11383" i="2"/>
  <c r="F11383" i="2"/>
  <c r="G11383" i="2"/>
  <c r="H11383" i="2"/>
  <c r="J11383" i="2"/>
  <c r="K11383" i="2"/>
  <c r="L11383" i="2"/>
  <c r="C11384" i="2"/>
  <c r="D11384" i="2"/>
  <c r="F11384" i="2"/>
  <c r="G11384" i="2"/>
  <c r="H11384" i="2"/>
  <c r="J11384" i="2"/>
  <c r="K11384" i="2"/>
  <c r="L11384" i="2"/>
  <c r="C11385" i="2"/>
  <c r="D11385" i="2"/>
  <c r="F11385" i="2"/>
  <c r="G11385" i="2"/>
  <c r="H11385" i="2"/>
  <c r="J11385" i="2"/>
  <c r="K11385" i="2"/>
  <c r="L11385" i="2"/>
  <c r="C11386" i="2"/>
  <c r="D11386" i="2"/>
  <c r="F11386" i="2"/>
  <c r="G11386" i="2"/>
  <c r="H11386" i="2"/>
  <c r="J11386" i="2"/>
  <c r="K11386" i="2"/>
  <c r="L11386" i="2"/>
  <c r="C11387" i="2"/>
  <c r="D11387" i="2"/>
  <c r="F11387" i="2"/>
  <c r="G11387" i="2"/>
  <c r="H11387" i="2"/>
  <c r="J11387" i="2"/>
  <c r="K11387" i="2"/>
  <c r="L11387" i="2"/>
  <c r="C11388" i="2"/>
  <c r="D11388" i="2"/>
  <c r="F11388" i="2"/>
  <c r="G11388" i="2"/>
  <c r="H11388" i="2"/>
  <c r="J11388" i="2"/>
  <c r="K11388" i="2"/>
  <c r="L11388" i="2"/>
  <c r="C11389" i="2"/>
  <c r="D11389" i="2"/>
  <c r="F11389" i="2"/>
  <c r="G11389" i="2"/>
  <c r="H11389" i="2"/>
  <c r="J11389" i="2"/>
  <c r="K11389" i="2"/>
  <c r="L11389" i="2"/>
  <c r="C11390" i="2"/>
  <c r="D11390" i="2"/>
  <c r="F11390" i="2"/>
  <c r="G11390" i="2"/>
  <c r="H11390" i="2"/>
  <c r="J11390" i="2"/>
  <c r="K11390" i="2"/>
  <c r="L11390" i="2"/>
  <c r="C11391" i="2"/>
  <c r="D11391" i="2"/>
  <c r="F11391" i="2"/>
  <c r="G11391" i="2"/>
  <c r="H11391" i="2"/>
  <c r="J11391" i="2"/>
  <c r="K11391" i="2"/>
  <c r="L11391" i="2"/>
  <c r="C11392" i="2"/>
  <c r="D11392" i="2"/>
  <c r="F11392" i="2"/>
  <c r="G11392" i="2"/>
  <c r="H11392" i="2"/>
  <c r="J11392" i="2"/>
  <c r="K11392" i="2"/>
  <c r="L11392" i="2"/>
  <c r="C11393" i="2"/>
  <c r="D11393" i="2"/>
  <c r="F11393" i="2"/>
  <c r="G11393" i="2"/>
  <c r="H11393" i="2"/>
  <c r="J11393" i="2"/>
  <c r="K11393" i="2"/>
  <c r="L11393" i="2"/>
  <c r="C11394" i="2"/>
  <c r="D11394" i="2"/>
  <c r="F11394" i="2"/>
  <c r="G11394" i="2"/>
  <c r="H11394" i="2"/>
  <c r="J11394" i="2"/>
  <c r="K11394" i="2"/>
  <c r="L11394" i="2"/>
  <c r="C11395" i="2"/>
  <c r="D11395" i="2"/>
  <c r="F11395" i="2"/>
  <c r="G11395" i="2"/>
  <c r="H11395" i="2"/>
  <c r="J11395" i="2"/>
  <c r="K11395" i="2"/>
  <c r="L11395" i="2"/>
  <c r="C11396" i="2"/>
  <c r="D11396" i="2"/>
  <c r="F11396" i="2"/>
  <c r="G11396" i="2"/>
  <c r="H11396" i="2"/>
  <c r="J11396" i="2"/>
  <c r="K11396" i="2"/>
  <c r="L11396" i="2"/>
  <c r="C11397" i="2"/>
  <c r="D11397" i="2"/>
  <c r="F11397" i="2"/>
  <c r="G11397" i="2"/>
  <c r="H11397" i="2"/>
  <c r="J11397" i="2"/>
  <c r="K11397" i="2"/>
  <c r="L11397" i="2"/>
  <c r="C11398" i="2"/>
  <c r="D11398" i="2"/>
  <c r="F11398" i="2"/>
  <c r="G11398" i="2"/>
  <c r="H11398" i="2"/>
  <c r="J11398" i="2"/>
  <c r="K11398" i="2"/>
  <c r="L11398" i="2"/>
  <c r="C11399" i="2"/>
  <c r="D11399" i="2"/>
  <c r="F11399" i="2"/>
  <c r="G11399" i="2"/>
  <c r="H11399" i="2"/>
  <c r="J11399" i="2"/>
  <c r="K11399" i="2"/>
  <c r="L11399" i="2"/>
  <c r="C11400" i="2"/>
  <c r="D11400" i="2"/>
  <c r="F11400" i="2"/>
  <c r="G11400" i="2"/>
  <c r="H11400" i="2"/>
  <c r="J11400" i="2"/>
  <c r="K11400" i="2"/>
  <c r="L11400" i="2"/>
  <c r="C11401" i="2"/>
  <c r="D11401" i="2"/>
  <c r="F11401" i="2"/>
  <c r="G11401" i="2"/>
  <c r="H11401" i="2"/>
  <c r="J11401" i="2"/>
  <c r="K11401" i="2"/>
  <c r="L11401" i="2"/>
  <c r="C11402" i="2"/>
  <c r="D11402" i="2"/>
  <c r="F11402" i="2"/>
  <c r="G11402" i="2"/>
  <c r="H11402" i="2"/>
  <c r="J11402" i="2"/>
  <c r="K11402" i="2"/>
  <c r="L11402" i="2"/>
  <c r="C11403" i="2"/>
  <c r="D11403" i="2"/>
  <c r="F11403" i="2"/>
  <c r="G11403" i="2"/>
  <c r="H11403" i="2"/>
  <c r="J11403" i="2"/>
  <c r="K11403" i="2"/>
  <c r="L11403" i="2"/>
  <c r="C11404" i="2"/>
  <c r="D11404" i="2"/>
  <c r="F11404" i="2"/>
  <c r="G11404" i="2"/>
  <c r="H11404" i="2"/>
  <c r="J11404" i="2"/>
  <c r="K11404" i="2"/>
  <c r="L11404" i="2"/>
  <c r="C11405" i="2"/>
  <c r="D11405" i="2"/>
  <c r="E11405" i="2"/>
  <c r="F11405" i="2"/>
  <c r="G11405" i="2"/>
  <c r="H11405" i="2"/>
  <c r="J11405" i="2"/>
  <c r="K11405" i="2"/>
  <c r="L11405" i="2"/>
  <c r="C11406" i="2"/>
  <c r="D11406" i="2"/>
  <c r="F11406" i="2"/>
  <c r="G11406" i="2"/>
  <c r="H11406" i="2"/>
  <c r="J11406" i="2"/>
  <c r="K11406" i="2"/>
  <c r="L11406" i="2"/>
  <c r="C11407" i="2"/>
  <c r="D11407" i="2"/>
  <c r="F11407" i="2"/>
  <c r="G11407" i="2"/>
  <c r="H11407" i="2"/>
  <c r="J11407" i="2"/>
  <c r="K11407" i="2"/>
  <c r="L11407" i="2"/>
  <c r="C11408" i="2"/>
  <c r="D11408" i="2"/>
  <c r="F11408" i="2"/>
  <c r="G11408" i="2"/>
  <c r="H11408" i="2"/>
  <c r="J11408" i="2"/>
  <c r="K11408" i="2"/>
  <c r="L11408" i="2"/>
  <c r="C11409" i="2"/>
  <c r="D11409" i="2"/>
  <c r="F11409" i="2"/>
  <c r="G11409" i="2"/>
  <c r="H11409" i="2"/>
  <c r="J11409" i="2"/>
  <c r="K11409" i="2"/>
  <c r="L11409" i="2"/>
  <c r="C11410" i="2"/>
  <c r="D11410" i="2"/>
  <c r="F11410" i="2"/>
  <c r="G11410" i="2"/>
  <c r="H11410" i="2"/>
  <c r="J11410" i="2"/>
  <c r="K11410" i="2"/>
  <c r="L11410" i="2"/>
  <c r="C11411" i="2"/>
  <c r="D11411" i="2"/>
  <c r="F11411" i="2"/>
  <c r="G11411" i="2"/>
  <c r="H11411" i="2"/>
  <c r="J11411" i="2"/>
  <c r="K11411" i="2"/>
  <c r="L11411" i="2"/>
  <c r="C11412" i="2"/>
  <c r="D11412" i="2"/>
  <c r="F11412" i="2"/>
  <c r="G11412" i="2"/>
  <c r="H11412" i="2"/>
  <c r="J11412" i="2"/>
  <c r="K11412" i="2"/>
  <c r="L11412" i="2"/>
  <c r="C11413" i="2"/>
  <c r="D11413" i="2"/>
  <c r="F11413" i="2"/>
  <c r="G11413" i="2"/>
  <c r="H11413" i="2"/>
  <c r="J11413" i="2"/>
  <c r="K11413" i="2"/>
  <c r="L11413" i="2"/>
  <c r="C11414" i="2"/>
  <c r="D11414" i="2"/>
  <c r="F11414" i="2"/>
  <c r="G11414" i="2"/>
  <c r="H11414" i="2"/>
  <c r="J11414" i="2"/>
  <c r="K11414" i="2"/>
  <c r="L11414" i="2"/>
  <c r="C11415" i="2"/>
  <c r="D11415" i="2"/>
  <c r="F11415" i="2"/>
  <c r="G11415" i="2"/>
  <c r="H11415" i="2"/>
  <c r="J11415" i="2"/>
  <c r="K11415" i="2"/>
  <c r="L11415" i="2"/>
  <c r="C11416" i="2"/>
  <c r="D11416" i="2"/>
  <c r="F11416" i="2"/>
  <c r="G11416" i="2"/>
  <c r="H11416" i="2"/>
  <c r="J11416" i="2"/>
  <c r="K11416" i="2"/>
  <c r="L11416" i="2"/>
  <c r="C11417" i="2"/>
  <c r="D11417" i="2"/>
  <c r="F11417" i="2"/>
  <c r="G11417" i="2"/>
  <c r="H11417" i="2"/>
  <c r="J11417" i="2"/>
  <c r="K11417" i="2"/>
  <c r="L11417" i="2"/>
  <c r="C11418" i="2"/>
  <c r="D11418" i="2"/>
  <c r="F11418" i="2"/>
  <c r="G11418" i="2"/>
  <c r="H11418" i="2"/>
  <c r="J11418" i="2"/>
  <c r="K11418" i="2"/>
  <c r="L11418" i="2"/>
  <c r="C11419" i="2"/>
  <c r="D11419" i="2"/>
  <c r="F11419" i="2"/>
  <c r="G11419" i="2"/>
  <c r="H11419" i="2"/>
  <c r="J11419" i="2"/>
  <c r="K11419" i="2"/>
  <c r="L11419" i="2"/>
  <c r="C11420" i="2"/>
  <c r="D11420" i="2"/>
  <c r="F11420" i="2"/>
  <c r="G11420" i="2"/>
  <c r="H11420" i="2"/>
  <c r="J11420" i="2"/>
  <c r="K11420" i="2"/>
  <c r="L11420" i="2"/>
  <c r="C11421" i="2"/>
  <c r="D11421" i="2"/>
  <c r="F11421" i="2"/>
  <c r="G11421" i="2"/>
  <c r="H11421" i="2"/>
  <c r="J11421" i="2"/>
  <c r="K11421" i="2"/>
  <c r="L11421" i="2"/>
  <c r="C11422" i="2"/>
  <c r="D11422" i="2"/>
  <c r="F11422" i="2"/>
  <c r="G11422" i="2"/>
  <c r="H11422" i="2"/>
  <c r="J11422" i="2"/>
  <c r="K11422" i="2"/>
  <c r="L11422" i="2"/>
  <c r="C11423" i="2"/>
  <c r="D11423" i="2"/>
  <c r="F11423" i="2"/>
  <c r="G11423" i="2"/>
  <c r="H11423" i="2"/>
  <c r="J11423" i="2"/>
  <c r="K11423" i="2"/>
  <c r="L11423" i="2"/>
  <c r="C11424" i="2"/>
  <c r="D11424" i="2"/>
  <c r="F11424" i="2"/>
  <c r="G11424" i="2"/>
  <c r="H11424" i="2"/>
  <c r="J11424" i="2"/>
  <c r="K11424" i="2"/>
  <c r="L11424" i="2"/>
  <c r="C11425" i="2"/>
  <c r="D11425" i="2"/>
  <c r="F11425" i="2"/>
  <c r="G11425" i="2"/>
  <c r="H11425" i="2"/>
  <c r="J11425" i="2"/>
  <c r="K11425" i="2"/>
  <c r="L11425" i="2"/>
  <c r="C11426" i="2"/>
  <c r="D11426" i="2"/>
  <c r="F11426" i="2"/>
  <c r="G11426" i="2"/>
  <c r="H11426" i="2"/>
  <c r="J11426" i="2"/>
  <c r="K11426" i="2"/>
  <c r="L11426" i="2"/>
  <c r="C11427" i="2"/>
  <c r="D11427" i="2"/>
  <c r="F11427" i="2"/>
  <c r="G11427" i="2"/>
  <c r="H11427" i="2"/>
  <c r="J11427" i="2"/>
  <c r="K11427" i="2"/>
  <c r="L11427" i="2"/>
  <c r="C11428" i="2"/>
  <c r="D11428" i="2"/>
  <c r="F11428" i="2"/>
  <c r="G11428" i="2"/>
  <c r="H11428" i="2"/>
  <c r="J11428" i="2"/>
  <c r="K11428" i="2"/>
  <c r="L11428" i="2"/>
  <c r="C11429" i="2"/>
  <c r="D11429" i="2"/>
  <c r="F11429" i="2"/>
  <c r="G11429" i="2"/>
  <c r="H11429" i="2"/>
  <c r="J11429" i="2"/>
  <c r="K11429" i="2"/>
  <c r="L11429" i="2"/>
  <c r="C11430" i="2"/>
  <c r="D11430" i="2"/>
  <c r="F11430" i="2"/>
  <c r="G11430" i="2"/>
  <c r="H11430" i="2"/>
  <c r="J11430" i="2"/>
  <c r="K11430" i="2"/>
  <c r="L11430" i="2"/>
  <c r="C11431" i="2"/>
  <c r="D11431" i="2"/>
  <c r="F11431" i="2"/>
  <c r="G11431" i="2"/>
  <c r="H11431" i="2"/>
  <c r="J11431" i="2"/>
  <c r="K11431" i="2"/>
  <c r="L11431" i="2"/>
  <c r="C11432" i="2"/>
  <c r="D11432" i="2"/>
  <c r="F11432" i="2"/>
  <c r="G11432" i="2"/>
  <c r="H11432" i="2"/>
  <c r="J11432" i="2"/>
  <c r="K11432" i="2"/>
  <c r="L11432" i="2"/>
  <c r="C11433" i="2"/>
  <c r="D11433" i="2"/>
  <c r="F11433" i="2"/>
  <c r="G11433" i="2"/>
  <c r="H11433" i="2"/>
  <c r="J11433" i="2"/>
  <c r="K11433" i="2"/>
  <c r="L11433" i="2"/>
  <c r="C11434" i="2"/>
  <c r="D11434" i="2"/>
  <c r="F11434" i="2"/>
  <c r="G11434" i="2"/>
  <c r="H11434" i="2"/>
  <c r="J11434" i="2"/>
  <c r="K11434" i="2"/>
  <c r="L11434" i="2"/>
  <c r="C11435" i="2"/>
  <c r="D11435" i="2"/>
  <c r="F11435" i="2"/>
  <c r="G11435" i="2"/>
  <c r="H11435" i="2"/>
  <c r="J11435" i="2"/>
  <c r="K11435" i="2"/>
  <c r="L11435" i="2"/>
  <c r="C11436" i="2"/>
  <c r="D11436" i="2"/>
  <c r="F11436" i="2"/>
  <c r="G11436" i="2"/>
  <c r="H11436" i="2"/>
  <c r="J11436" i="2"/>
  <c r="K11436" i="2"/>
  <c r="L11436" i="2"/>
  <c r="C11437" i="2"/>
  <c r="D11437" i="2"/>
  <c r="F11437" i="2"/>
  <c r="G11437" i="2"/>
  <c r="H11437" i="2"/>
  <c r="J11437" i="2"/>
  <c r="K11437" i="2"/>
  <c r="L11437" i="2"/>
  <c r="C11438" i="2"/>
  <c r="D11438" i="2"/>
  <c r="F11438" i="2"/>
  <c r="G11438" i="2"/>
  <c r="H11438" i="2"/>
  <c r="J11438" i="2"/>
  <c r="K11438" i="2"/>
  <c r="L11438" i="2"/>
  <c r="C11439" i="2"/>
  <c r="D11439" i="2"/>
  <c r="F11439" i="2"/>
  <c r="G11439" i="2"/>
  <c r="H11439" i="2"/>
  <c r="J11439" i="2"/>
  <c r="K11439" i="2"/>
  <c r="L11439" i="2"/>
  <c r="C11440" i="2"/>
  <c r="D11440" i="2"/>
  <c r="F11440" i="2"/>
  <c r="G11440" i="2"/>
  <c r="H11440" i="2"/>
  <c r="J11440" i="2"/>
  <c r="K11440" i="2"/>
  <c r="L11440" i="2"/>
  <c r="C11441" i="2"/>
  <c r="D11441" i="2"/>
  <c r="F11441" i="2"/>
  <c r="G11441" i="2"/>
  <c r="H11441" i="2"/>
  <c r="J11441" i="2"/>
  <c r="K11441" i="2"/>
  <c r="L11441" i="2"/>
  <c r="C11442" i="2"/>
  <c r="D11442" i="2"/>
  <c r="F11442" i="2"/>
  <c r="G11442" i="2"/>
  <c r="H11442" i="2"/>
  <c r="J11442" i="2"/>
  <c r="K11442" i="2"/>
  <c r="L11442" i="2"/>
  <c r="C11443" i="2"/>
  <c r="D11443" i="2"/>
  <c r="F11443" i="2"/>
  <c r="G11443" i="2"/>
  <c r="H11443" i="2"/>
  <c r="J11443" i="2"/>
  <c r="K11443" i="2"/>
  <c r="L11443" i="2"/>
  <c r="C11444" i="2"/>
  <c r="D11444" i="2"/>
  <c r="F11444" i="2"/>
  <c r="G11444" i="2"/>
  <c r="H11444" i="2"/>
  <c r="J11444" i="2"/>
  <c r="K11444" i="2"/>
  <c r="L11444" i="2"/>
  <c r="C11445" i="2"/>
  <c r="D11445" i="2"/>
  <c r="F11445" i="2"/>
  <c r="G11445" i="2"/>
  <c r="H11445" i="2"/>
  <c r="J11445" i="2"/>
  <c r="K11445" i="2"/>
  <c r="L11445" i="2"/>
  <c r="C11446" i="2"/>
  <c r="D11446" i="2"/>
  <c r="F11446" i="2"/>
  <c r="G11446" i="2"/>
  <c r="H11446" i="2"/>
  <c r="J11446" i="2"/>
  <c r="K11446" i="2"/>
  <c r="L11446" i="2"/>
  <c r="C11447" i="2"/>
  <c r="D11447" i="2"/>
  <c r="F11447" i="2"/>
  <c r="G11447" i="2"/>
  <c r="H11447" i="2"/>
  <c r="J11447" i="2"/>
  <c r="K11447" i="2"/>
  <c r="L11447" i="2"/>
  <c r="C11448" i="2"/>
  <c r="D11448" i="2"/>
  <c r="F11448" i="2"/>
  <c r="G11448" i="2"/>
  <c r="H11448" i="2"/>
  <c r="J11448" i="2"/>
  <c r="K11448" i="2"/>
  <c r="L11448" i="2"/>
  <c r="C11449" i="2"/>
  <c r="D11449" i="2"/>
  <c r="F11449" i="2"/>
  <c r="G11449" i="2"/>
  <c r="H11449" i="2"/>
  <c r="J11449" i="2"/>
  <c r="K11449" i="2"/>
  <c r="L11449" i="2"/>
  <c r="C11450" i="2"/>
  <c r="D11450" i="2"/>
  <c r="F11450" i="2"/>
  <c r="G11450" i="2"/>
  <c r="H11450" i="2"/>
  <c r="J11450" i="2"/>
  <c r="K11450" i="2"/>
  <c r="L11450" i="2"/>
  <c r="C11451" i="2"/>
  <c r="D11451" i="2"/>
  <c r="F11451" i="2"/>
  <c r="G11451" i="2"/>
  <c r="H11451" i="2"/>
  <c r="J11451" i="2"/>
  <c r="K11451" i="2"/>
  <c r="L11451" i="2"/>
  <c r="C11452" i="2"/>
  <c r="D11452" i="2"/>
  <c r="F11452" i="2"/>
  <c r="G11452" i="2"/>
  <c r="H11452" i="2"/>
  <c r="J11452" i="2"/>
  <c r="K11452" i="2"/>
  <c r="L11452" i="2"/>
  <c r="C11453" i="2"/>
  <c r="D11453" i="2"/>
  <c r="F11453" i="2"/>
  <c r="G11453" i="2"/>
  <c r="H11453" i="2"/>
  <c r="J11453" i="2"/>
  <c r="K11453" i="2"/>
  <c r="L11453" i="2"/>
  <c r="C11454" i="2"/>
  <c r="D11454" i="2"/>
  <c r="F11454" i="2"/>
  <c r="G11454" i="2"/>
  <c r="H11454" i="2"/>
  <c r="J11454" i="2"/>
  <c r="K11454" i="2"/>
  <c r="L11454" i="2"/>
  <c r="C11455" i="2"/>
  <c r="D11455" i="2"/>
  <c r="F11455" i="2"/>
  <c r="G11455" i="2"/>
  <c r="H11455" i="2"/>
  <c r="J11455" i="2"/>
  <c r="K11455" i="2"/>
  <c r="L11455" i="2"/>
  <c r="C11456" i="2"/>
  <c r="D11456" i="2"/>
  <c r="F11456" i="2"/>
  <c r="G11456" i="2"/>
  <c r="H11456" i="2"/>
  <c r="J11456" i="2"/>
  <c r="K11456" i="2"/>
  <c r="L11456" i="2"/>
  <c r="C11457" i="2"/>
  <c r="D11457" i="2"/>
  <c r="F11457" i="2"/>
  <c r="G11457" i="2"/>
  <c r="H11457" i="2"/>
  <c r="J11457" i="2"/>
  <c r="K11457" i="2"/>
  <c r="L11457" i="2"/>
  <c r="C11458" i="2"/>
  <c r="D11458" i="2"/>
  <c r="F11458" i="2"/>
  <c r="G11458" i="2"/>
  <c r="H11458" i="2"/>
  <c r="J11458" i="2"/>
  <c r="K11458" i="2"/>
  <c r="L11458" i="2"/>
  <c r="C11459" i="2"/>
  <c r="D11459" i="2"/>
  <c r="F11459" i="2"/>
  <c r="G11459" i="2"/>
  <c r="H11459" i="2"/>
  <c r="J11459" i="2"/>
  <c r="K11459" i="2"/>
  <c r="L11459" i="2"/>
  <c r="C11460" i="2"/>
  <c r="D11460" i="2"/>
  <c r="F11460" i="2"/>
  <c r="G11460" i="2"/>
  <c r="H11460" i="2"/>
  <c r="J11460" i="2"/>
  <c r="K11460" i="2"/>
  <c r="L11460" i="2"/>
  <c r="C11461" i="2"/>
  <c r="D11461" i="2"/>
  <c r="F11461" i="2"/>
  <c r="G11461" i="2"/>
  <c r="H11461" i="2"/>
  <c r="J11461" i="2"/>
  <c r="K11461" i="2"/>
  <c r="L11461" i="2"/>
  <c r="C11462" i="2"/>
  <c r="D11462" i="2"/>
  <c r="F11462" i="2"/>
  <c r="G11462" i="2"/>
  <c r="H11462" i="2"/>
  <c r="J11462" i="2"/>
  <c r="K11462" i="2"/>
  <c r="L11462" i="2"/>
  <c r="C11463" i="2"/>
  <c r="D11463" i="2"/>
  <c r="F11463" i="2"/>
  <c r="G11463" i="2"/>
  <c r="H11463" i="2"/>
  <c r="J11463" i="2"/>
  <c r="K11463" i="2"/>
  <c r="L11463" i="2"/>
  <c r="C11464" i="2"/>
  <c r="D11464" i="2"/>
  <c r="F11464" i="2"/>
  <c r="G11464" i="2"/>
  <c r="H11464" i="2"/>
  <c r="J11464" i="2"/>
  <c r="K11464" i="2"/>
  <c r="L11464" i="2"/>
  <c r="C11465" i="2"/>
  <c r="D11465" i="2"/>
  <c r="F11465" i="2"/>
  <c r="G11465" i="2"/>
  <c r="H11465" i="2"/>
  <c r="J11465" i="2"/>
  <c r="K11465" i="2"/>
  <c r="L11465" i="2"/>
  <c r="C11466" i="2"/>
  <c r="D11466" i="2"/>
  <c r="F11466" i="2"/>
  <c r="G11466" i="2"/>
  <c r="H11466" i="2"/>
  <c r="J11466" i="2"/>
  <c r="K11466" i="2"/>
  <c r="L11466" i="2"/>
  <c r="C11467" i="2"/>
  <c r="D11467" i="2"/>
  <c r="F11467" i="2"/>
  <c r="G11467" i="2"/>
  <c r="H11467" i="2"/>
  <c r="J11467" i="2"/>
  <c r="K11467" i="2"/>
  <c r="L11467" i="2"/>
  <c r="C11468" i="2"/>
  <c r="D11468" i="2"/>
  <c r="F11468" i="2"/>
  <c r="G11468" i="2"/>
  <c r="H11468" i="2"/>
  <c r="J11468" i="2"/>
  <c r="K11468" i="2"/>
  <c r="L11468" i="2"/>
  <c r="C11469" i="2"/>
  <c r="D11469" i="2"/>
  <c r="F11469" i="2"/>
  <c r="G11469" i="2"/>
  <c r="H11469" i="2"/>
  <c r="J11469" i="2"/>
  <c r="K11469" i="2"/>
  <c r="L11469" i="2"/>
  <c r="C11470" i="2"/>
  <c r="D11470" i="2"/>
  <c r="F11470" i="2"/>
  <c r="G11470" i="2"/>
  <c r="H11470" i="2"/>
  <c r="J11470" i="2"/>
  <c r="K11470" i="2"/>
  <c r="L11470" i="2"/>
  <c r="C11471" i="2"/>
  <c r="D11471" i="2"/>
  <c r="F11471" i="2"/>
  <c r="G11471" i="2"/>
  <c r="H11471" i="2"/>
  <c r="J11471" i="2"/>
  <c r="K11471" i="2"/>
  <c r="L11471" i="2"/>
  <c r="C11472" i="2"/>
  <c r="D11472" i="2"/>
  <c r="F11472" i="2"/>
  <c r="G11472" i="2"/>
  <c r="H11472" i="2"/>
  <c r="J11472" i="2"/>
  <c r="K11472" i="2"/>
  <c r="L11472" i="2"/>
  <c r="C11473" i="2"/>
  <c r="D11473" i="2"/>
  <c r="F11473" i="2"/>
  <c r="G11473" i="2"/>
  <c r="H11473" i="2"/>
  <c r="J11473" i="2"/>
  <c r="K11473" i="2"/>
  <c r="L11473" i="2"/>
  <c r="D11474" i="2"/>
  <c r="F11474" i="2"/>
  <c r="G11474" i="2"/>
  <c r="H11474" i="2"/>
  <c r="J11474" i="2"/>
  <c r="K11474" i="2"/>
  <c r="L11474" i="2"/>
  <c r="C11475" i="2"/>
  <c r="D11475" i="2"/>
  <c r="F11475" i="2"/>
  <c r="G11475" i="2"/>
  <c r="H11475" i="2"/>
  <c r="J11475" i="2"/>
  <c r="K11475" i="2"/>
  <c r="L11475" i="2"/>
  <c r="C11476" i="2"/>
  <c r="D11476" i="2"/>
  <c r="F11476" i="2"/>
  <c r="G11476" i="2"/>
  <c r="H11476" i="2"/>
  <c r="J11476" i="2"/>
  <c r="K11476" i="2"/>
  <c r="L11476" i="2"/>
  <c r="C11477" i="2"/>
  <c r="D11477" i="2"/>
  <c r="F11477" i="2"/>
  <c r="G11477" i="2"/>
  <c r="H11477" i="2"/>
  <c r="J11477" i="2"/>
  <c r="K11477" i="2"/>
  <c r="L11477" i="2"/>
  <c r="C11478" i="2"/>
  <c r="D11478" i="2"/>
  <c r="F11478" i="2"/>
  <c r="G11478" i="2"/>
  <c r="H11478" i="2"/>
  <c r="J11478" i="2"/>
  <c r="K11478" i="2"/>
  <c r="L11478" i="2"/>
  <c r="C11479" i="2"/>
  <c r="D11479" i="2"/>
  <c r="F11479" i="2"/>
  <c r="G11479" i="2"/>
  <c r="H11479" i="2"/>
  <c r="J11479" i="2"/>
  <c r="K11479" i="2"/>
  <c r="L11479" i="2"/>
  <c r="C11480" i="2"/>
  <c r="D11480" i="2"/>
  <c r="E11480" i="2"/>
  <c r="F11480" i="2"/>
  <c r="G11480" i="2"/>
  <c r="H11480" i="2"/>
  <c r="J11480" i="2"/>
  <c r="K11480" i="2"/>
  <c r="L11480" i="2"/>
  <c r="C11481" i="2"/>
  <c r="D11481" i="2"/>
  <c r="F11481" i="2"/>
  <c r="G11481" i="2"/>
  <c r="H11481" i="2"/>
  <c r="J11481" i="2"/>
  <c r="K11481" i="2"/>
  <c r="L11481" i="2"/>
  <c r="C11482" i="2"/>
  <c r="D11482" i="2"/>
  <c r="F11482" i="2"/>
  <c r="G11482" i="2"/>
  <c r="H11482" i="2"/>
  <c r="J11482" i="2"/>
  <c r="K11482" i="2"/>
  <c r="L11482" i="2"/>
  <c r="C11483" i="2"/>
  <c r="D11483" i="2"/>
  <c r="F11483" i="2"/>
  <c r="G11483" i="2"/>
  <c r="H11483" i="2"/>
  <c r="J11483" i="2"/>
  <c r="K11483" i="2"/>
  <c r="L11483" i="2"/>
  <c r="C11484" i="2"/>
  <c r="D11484" i="2"/>
  <c r="F11484" i="2"/>
  <c r="G11484" i="2"/>
  <c r="H11484" i="2"/>
  <c r="J11484" i="2"/>
  <c r="K11484" i="2"/>
  <c r="L11484" i="2"/>
  <c r="C11485" i="2"/>
  <c r="D11485" i="2"/>
  <c r="F11485" i="2"/>
  <c r="G11485" i="2"/>
  <c r="H11485" i="2"/>
  <c r="J11485" i="2"/>
  <c r="K11485" i="2"/>
  <c r="L11485" i="2"/>
  <c r="C11486" i="2"/>
  <c r="D11486" i="2"/>
  <c r="F11486" i="2"/>
  <c r="G11486" i="2"/>
  <c r="H11486" i="2"/>
  <c r="J11486" i="2"/>
  <c r="K11486" i="2"/>
  <c r="L11486" i="2"/>
  <c r="C11487" i="2"/>
  <c r="D11487" i="2"/>
  <c r="F11487" i="2"/>
  <c r="G11487" i="2"/>
  <c r="H11487" i="2"/>
  <c r="J11487" i="2"/>
  <c r="K11487" i="2"/>
  <c r="L11487" i="2"/>
  <c r="C11488" i="2"/>
  <c r="D11488" i="2"/>
  <c r="F11488" i="2"/>
  <c r="G11488" i="2"/>
  <c r="H11488" i="2"/>
  <c r="J11488" i="2"/>
  <c r="K11488" i="2"/>
  <c r="L11488" i="2"/>
  <c r="C11489" i="2"/>
  <c r="D11489" i="2"/>
  <c r="F11489" i="2"/>
  <c r="G11489" i="2"/>
  <c r="H11489" i="2"/>
  <c r="J11489" i="2"/>
  <c r="K11489" i="2"/>
  <c r="L11489" i="2"/>
  <c r="C11490" i="2"/>
  <c r="D11490" i="2"/>
  <c r="F11490" i="2"/>
  <c r="G11490" i="2"/>
  <c r="H11490" i="2"/>
  <c r="J11490" i="2"/>
  <c r="K11490" i="2"/>
  <c r="L11490" i="2"/>
  <c r="C11491" i="2"/>
  <c r="D11491" i="2"/>
  <c r="F11491" i="2"/>
  <c r="G11491" i="2"/>
  <c r="H11491" i="2"/>
  <c r="J11491" i="2"/>
  <c r="K11491" i="2"/>
  <c r="L11491" i="2"/>
  <c r="C11492" i="2"/>
  <c r="D11492" i="2"/>
  <c r="F11492" i="2"/>
  <c r="G11492" i="2"/>
  <c r="H11492" i="2"/>
  <c r="J11492" i="2"/>
  <c r="K11492" i="2"/>
  <c r="L11492" i="2"/>
  <c r="C11493" i="2"/>
  <c r="D11493" i="2"/>
  <c r="F11493" i="2"/>
  <c r="G11493" i="2"/>
  <c r="H11493" i="2"/>
  <c r="J11493" i="2"/>
  <c r="K11493" i="2"/>
  <c r="L11493" i="2"/>
  <c r="C11494" i="2"/>
  <c r="D11494" i="2"/>
  <c r="F11494" i="2"/>
  <c r="G11494" i="2"/>
  <c r="H11494" i="2"/>
  <c r="J11494" i="2"/>
  <c r="K11494" i="2"/>
  <c r="L11494" i="2"/>
  <c r="C11495" i="2"/>
  <c r="D11495" i="2"/>
  <c r="F11495" i="2"/>
  <c r="G11495" i="2"/>
  <c r="H11495" i="2"/>
  <c r="J11495" i="2"/>
  <c r="K11495" i="2"/>
  <c r="L11495" i="2"/>
  <c r="C11496" i="2"/>
  <c r="D11496" i="2"/>
  <c r="F11496" i="2"/>
  <c r="G11496" i="2"/>
  <c r="H11496" i="2"/>
  <c r="J11496" i="2"/>
  <c r="K11496" i="2"/>
  <c r="L11496" i="2"/>
  <c r="C11497" i="2"/>
  <c r="D11497" i="2"/>
  <c r="F11497" i="2"/>
  <c r="G11497" i="2"/>
  <c r="H11497" i="2"/>
  <c r="J11497" i="2"/>
  <c r="K11497" i="2"/>
  <c r="L11497" i="2"/>
  <c r="C11498" i="2"/>
  <c r="D11498" i="2"/>
  <c r="F11498" i="2"/>
  <c r="G11498" i="2"/>
  <c r="H11498" i="2"/>
  <c r="J11498" i="2"/>
  <c r="K11498" i="2"/>
  <c r="L11498" i="2"/>
  <c r="C11499" i="2"/>
  <c r="D11499" i="2"/>
  <c r="F11499" i="2"/>
  <c r="G11499" i="2"/>
  <c r="H11499" i="2"/>
  <c r="J11499" i="2"/>
  <c r="K11499" i="2"/>
  <c r="L11499" i="2"/>
  <c r="C11500" i="2"/>
  <c r="D11500" i="2"/>
  <c r="E11500" i="2"/>
  <c r="F11500" i="2"/>
  <c r="G11500" i="2"/>
  <c r="H11500" i="2"/>
  <c r="J11500" i="2"/>
  <c r="K11500" i="2"/>
  <c r="L11500" i="2"/>
  <c r="C11501" i="2"/>
  <c r="D11501" i="2"/>
  <c r="F11501" i="2"/>
  <c r="G11501" i="2"/>
  <c r="H11501" i="2"/>
  <c r="J11501" i="2"/>
  <c r="K11501" i="2"/>
  <c r="L11501" i="2"/>
  <c r="C11502" i="2"/>
  <c r="D11502" i="2"/>
  <c r="F11502" i="2"/>
  <c r="G11502" i="2"/>
  <c r="H11502" i="2"/>
  <c r="J11502" i="2"/>
  <c r="K11502" i="2"/>
  <c r="L11502" i="2"/>
  <c r="C11503" i="2"/>
  <c r="D11503" i="2"/>
  <c r="F11503" i="2"/>
  <c r="G11503" i="2"/>
  <c r="H11503" i="2"/>
  <c r="J11503" i="2"/>
  <c r="K11503" i="2"/>
  <c r="L11503" i="2"/>
  <c r="C11504" i="2"/>
  <c r="D11504" i="2"/>
  <c r="F11504" i="2"/>
  <c r="G11504" i="2"/>
  <c r="H11504" i="2"/>
  <c r="J11504" i="2"/>
  <c r="K11504" i="2"/>
  <c r="L11504" i="2"/>
  <c r="C11505" i="2"/>
  <c r="D11505" i="2"/>
  <c r="F11505" i="2"/>
  <c r="G11505" i="2"/>
  <c r="H11505" i="2"/>
  <c r="J11505" i="2"/>
  <c r="K11505" i="2"/>
  <c r="L11505" i="2"/>
  <c r="C11506" i="2"/>
  <c r="D11506" i="2"/>
  <c r="F11506" i="2"/>
  <c r="G11506" i="2"/>
  <c r="H11506" i="2"/>
  <c r="J11506" i="2"/>
  <c r="K11506" i="2"/>
  <c r="L11506" i="2"/>
  <c r="C11507" i="2"/>
  <c r="D11507" i="2"/>
  <c r="F11507" i="2"/>
  <c r="G11507" i="2"/>
  <c r="H11507" i="2"/>
  <c r="J11507" i="2"/>
  <c r="K11507" i="2"/>
  <c r="L11507" i="2"/>
  <c r="C11508" i="2"/>
  <c r="D11508" i="2"/>
  <c r="F11508" i="2"/>
  <c r="G11508" i="2"/>
  <c r="H11508" i="2"/>
  <c r="J11508" i="2"/>
  <c r="K11508" i="2"/>
  <c r="L11508" i="2"/>
  <c r="C11509" i="2"/>
  <c r="D11509" i="2"/>
  <c r="F11509" i="2"/>
  <c r="G11509" i="2"/>
  <c r="H11509" i="2"/>
  <c r="J11509" i="2"/>
  <c r="K11509" i="2"/>
  <c r="L11509" i="2"/>
  <c r="C11510" i="2"/>
  <c r="D11510" i="2"/>
  <c r="F11510" i="2"/>
  <c r="G11510" i="2"/>
  <c r="H11510" i="2"/>
  <c r="J11510" i="2"/>
  <c r="K11510" i="2"/>
  <c r="L11510" i="2"/>
  <c r="C11511" i="2"/>
  <c r="D11511" i="2"/>
  <c r="F11511" i="2"/>
  <c r="G11511" i="2"/>
  <c r="H11511" i="2"/>
  <c r="J11511" i="2"/>
  <c r="K11511" i="2"/>
  <c r="L11511" i="2"/>
  <c r="C11512" i="2"/>
  <c r="D11512" i="2"/>
  <c r="F11512" i="2"/>
  <c r="G11512" i="2"/>
  <c r="H11512" i="2"/>
  <c r="J11512" i="2"/>
  <c r="K11512" i="2"/>
  <c r="L11512" i="2"/>
  <c r="C11513" i="2"/>
  <c r="D11513" i="2"/>
  <c r="F11513" i="2"/>
  <c r="G11513" i="2"/>
  <c r="H11513" i="2"/>
  <c r="J11513" i="2"/>
  <c r="K11513" i="2"/>
  <c r="L11513" i="2"/>
  <c r="C11514" i="2"/>
  <c r="D11514" i="2"/>
  <c r="F11514" i="2"/>
  <c r="G11514" i="2"/>
  <c r="H11514" i="2"/>
  <c r="J11514" i="2"/>
  <c r="K11514" i="2"/>
  <c r="L11514" i="2"/>
  <c r="C11515" i="2"/>
  <c r="D11515" i="2"/>
  <c r="F11515" i="2"/>
  <c r="G11515" i="2"/>
  <c r="H11515" i="2"/>
  <c r="J11515" i="2"/>
  <c r="K11515" i="2"/>
  <c r="L11515" i="2"/>
  <c r="C11516" i="2"/>
  <c r="D11516" i="2"/>
  <c r="F11516" i="2"/>
  <c r="G11516" i="2"/>
  <c r="H11516" i="2"/>
  <c r="J11516" i="2"/>
  <c r="K11516" i="2"/>
  <c r="L11516" i="2"/>
  <c r="C11517" i="2"/>
  <c r="D11517" i="2"/>
  <c r="F11517" i="2"/>
  <c r="G11517" i="2"/>
  <c r="H11517" i="2"/>
  <c r="J11517" i="2"/>
  <c r="K11517" i="2"/>
  <c r="L11517" i="2"/>
  <c r="C11518" i="2"/>
  <c r="D11518" i="2"/>
  <c r="F11518" i="2"/>
  <c r="G11518" i="2"/>
  <c r="H11518" i="2"/>
  <c r="J11518" i="2"/>
  <c r="K11518" i="2"/>
  <c r="L11518" i="2"/>
  <c r="C11519" i="2"/>
  <c r="D11519" i="2"/>
  <c r="F11519" i="2"/>
  <c r="G11519" i="2"/>
  <c r="H11519" i="2"/>
  <c r="J11519" i="2"/>
  <c r="K11519" i="2"/>
  <c r="L11519" i="2"/>
  <c r="C11520" i="2"/>
  <c r="D11520" i="2"/>
  <c r="F11520" i="2"/>
  <c r="G11520" i="2"/>
  <c r="H11520" i="2"/>
  <c r="J11520" i="2"/>
  <c r="K11520" i="2"/>
  <c r="L11520" i="2"/>
  <c r="C11521" i="2"/>
  <c r="D11521" i="2"/>
  <c r="F11521" i="2"/>
  <c r="G11521" i="2"/>
  <c r="H11521" i="2"/>
  <c r="J11521" i="2"/>
  <c r="K11521" i="2"/>
  <c r="L11521" i="2"/>
  <c r="C11522" i="2"/>
  <c r="D11522" i="2"/>
  <c r="F11522" i="2"/>
  <c r="G11522" i="2"/>
  <c r="H11522" i="2"/>
  <c r="J11522" i="2"/>
  <c r="K11522" i="2"/>
  <c r="L11522" i="2"/>
  <c r="C11523" i="2"/>
  <c r="D11523" i="2"/>
  <c r="F11523" i="2"/>
  <c r="G11523" i="2"/>
  <c r="H11523" i="2"/>
  <c r="J11523" i="2"/>
  <c r="K11523" i="2"/>
  <c r="L11523" i="2"/>
  <c r="C11524" i="2"/>
  <c r="D11524" i="2"/>
  <c r="F11524" i="2"/>
  <c r="G11524" i="2"/>
  <c r="H11524" i="2"/>
  <c r="J11524" i="2"/>
  <c r="K11524" i="2"/>
  <c r="L11524" i="2"/>
  <c r="C11525" i="2"/>
  <c r="D11525" i="2"/>
  <c r="F11525" i="2"/>
  <c r="G11525" i="2"/>
  <c r="H11525" i="2"/>
  <c r="J11525" i="2"/>
  <c r="K11525" i="2"/>
  <c r="L11525" i="2"/>
  <c r="C11526" i="2"/>
  <c r="D11526" i="2"/>
  <c r="F11526" i="2"/>
  <c r="G11526" i="2"/>
  <c r="H11526" i="2"/>
  <c r="J11526" i="2"/>
  <c r="K11526" i="2"/>
  <c r="L11526" i="2"/>
  <c r="C11527" i="2"/>
  <c r="D11527" i="2"/>
  <c r="F11527" i="2"/>
  <c r="G11527" i="2"/>
  <c r="H11527" i="2"/>
  <c r="J11527" i="2"/>
  <c r="K11527" i="2"/>
  <c r="L11527" i="2"/>
  <c r="C11528" i="2"/>
  <c r="D11528" i="2"/>
  <c r="F11528" i="2"/>
  <c r="G11528" i="2"/>
  <c r="H11528" i="2"/>
  <c r="J11528" i="2"/>
  <c r="K11528" i="2"/>
  <c r="L11528" i="2"/>
  <c r="C11529" i="2"/>
  <c r="D11529" i="2"/>
  <c r="F11529" i="2"/>
  <c r="G11529" i="2"/>
  <c r="H11529" i="2"/>
  <c r="J11529" i="2"/>
  <c r="K11529" i="2"/>
  <c r="L11529" i="2"/>
  <c r="C11530" i="2"/>
  <c r="D11530" i="2"/>
  <c r="F11530" i="2"/>
  <c r="G11530" i="2"/>
  <c r="H11530" i="2"/>
  <c r="J11530" i="2"/>
  <c r="K11530" i="2"/>
  <c r="L11530" i="2"/>
  <c r="C11531" i="2"/>
  <c r="D11531" i="2"/>
  <c r="F11531" i="2"/>
  <c r="G11531" i="2"/>
  <c r="H11531" i="2"/>
  <c r="J11531" i="2"/>
  <c r="K11531" i="2"/>
  <c r="L11531" i="2"/>
  <c r="C11532" i="2"/>
  <c r="D11532" i="2"/>
  <c r="F11532" i="2"/>
  <c r="G11532" i="2"/>
  <c r="H11532" i="2"/>
  <c r="J11532" i="2"/>
  <c r="K11532" i="2"/>
  <c r="L11532" i="2"/>
  <c r="C11533" i="2"/>
  <c r="D11533" i="2"/>
  <c r="F11533" i="2"/>
  <c r="G11533" i="2"/>
  <c r="H11533" i="2"/>
  <c r="J11533" i="2"/>
  <c r="K11533" i="2"/>
  <c r="L11533" i="2"/>
  <c r="C11534" i="2"/>
  <c r="D11534" i="2"/>
  <c r="F11534" i="2"/>
  <c r="G11534" i="2"/>
  <c r="H11534" i="2"/>
  <c r="J11534" i="2"/>
  <c r="K11534" i="2"/>
  <c r="L11534" i="2"/>
  <c r="C11535" i="2"/>
  <c r="D11535" i="2"/>
  <c r="F11535" i="2"/>
  <c r="G11535" i="2"/>
  <c r="H11535" i="2"/>
  <c r="J11535" i="2"/>
  <c r="K11535" i="2"/>
  <c r="L11535" i="2"/>
  <c r="C11536" i="2"/>
  <c r="D11536" i="2"/>
  <c r="F11536" i="2"/>
  <c r="G11536" i="2"/>
  <c r="H11536" i="2"/>
  <c r="J11536" i="2"/>
  <c r="K11536" i="2"/>
  <c r="L11536" i="2"/>
  <c r="C11537" i="2"/>
  <c r="D11537" i="2"/>
  <c r="F11537" i="2"/>
  <c r="G11537" i="2"/>
  <c r="H11537" i="2"/>
  <c r="J11537" i="2"/>
  <c r="K11537" i="2"/>
  <c r="L11537" i="2"/>
  <c r="C11538" i="2"/>
  <c r="D11538" i="2"/>
  <c r="F11538" i="2"/>
  <c r="G11538" i="2"/>
  <c r="H11538" i="2"/>
  <c r="J11538" i="2"/>
  <c r="K11538" i="2"/>
  <c r="L11538" i="2"/>
  <c r="C11539" i="2"/>
  <c r="D11539" i="2"/>
  <c r="F11539" i="2"/>
  <c r="G11539" i="2"/>
  <c r="H11539" i="2"/>
  <c r="J11539" i="2"/>
  <c r="K11539" i="2"/>
  <c r="L11539" i="2"/>
  <c r="C11540" i="2"/>
  <c r="D11540" i="2"/>
  <c r="F11540" i="2"/>
  <c r="G11540" i="2"/>
  <c r="H11540" i="2"/>
  <c r="J11540" i="2"/>
  <c r="K11540" i="2"/>
  <c r="L11540" i="2"/>
  <c r="C11541" i="2"/>
  <c r="D11541" i="2"/>
  <c r="F11541" i="2"/>
  <c r="G11541" i="2"/>
  <c r="H11541" i="2"/>
  <c r="J11541" i="2"/>
  <c r="K11541" i="2"/>
  <c r="L11541" i="2"/>
  <c r="C11542" i="2"/>
  <c r="D11542" i="2"/>
  <c r="F11542" i="2"/>
  <c r="G11542" i="2"/>
  <c r="H11542" i="2"/>
  <c r="J11542" i="2"/>
  <c r="K11542" i="2"/>
  <c r="L11542" i="2"/>
  <c r="C11543" i="2"/>
  <c r="D11543" i="2"/>
  <c r="F11543" i="2"/>
  <c r="G11543" i="2"/>
  <c r="H11543" i="2"/>
  <c r="J11543" i="2"/>
  <c r="K11543" i="2"/>
  <c r="L11543" i="2"/>
  <c r="C11544" i="2"/>
  <c r="D11544" i="2"/>
  <c r="F11544" i="2"/>
  <c r="G11544" i="2"/>
  <c r="H11544" i="2"/>
  <c r="J11544" i="2"/>
  <c r="K11544" i="2"/>
  <c r="L11544" i="2"/>
  <c r="C11545" i="2"/>
  <c r="D11545" i="2"/>
  <c r="F11545" i="2"/>
  <c r="G11545" i="2"/>
  <c r="H11545" i="2"/>
  <c r="J11545" i="2"/>
  <c r="K11545" i="2"/>
  <c r="L11545" i="2"/>
  <c r="C11546" i="2"/>
  <c r="D11546" i="2"/>
  <c r="F11546" i="2"/>
  <c r="G11546" i="2"/>
  <c r="H11546" i="2"/>
  <c r="J11546" i="2"/>
  <c r="K11546" i="2"/>
  <c r="L11546" i="2"/>
  <c r="C11547" i="2"/>
  <c r="D11547" i="2"/>
  <c r="F11547" i="2"/>
  <c r="G11547" i="2"/>
  <c r="H11547" i="2"/>
  <c r="J11547" i="2"/>
  <c r="K11547" i="2"/>
  <c r="L11547" i="2"/>
  <c r="C11548" i="2"/>
  <c r="D11548" i="2"/>
  <c r="F11548" i="2"/>
  <c r="G11548" i="2"/>
  <c r="H11548" i="2"/>
  <c r="J11548" i="2"/>
  <c r="K11548" i="2"/>
  <c r="L11548" i="2"/>
  <c r="C11549" i="2"/>
  <c r="D11549" i="2"/>
  <c r="F11549" i="2"/>
  <c r="G11549" i="2"/>
  <c r="H11549" i="2"/>
  <c r="J11549" i="2"/>
  <c r="K11549" i="2"/>
  <c r="L11549" i="2"/>
  <c r="C11550" i="2"/>
  <c r="D11550" i="2"/>
  <c r="F11550" i="2"/>
  <c r="G11550" i="2"/>
  <c r="H11550" i="2"/>
  <c r="J11550" i="2"/>
  <c r="K11550" i="2"/>
  <c r="L11550" i="2"/>
  <c r="C11551" i="2"/>
  <c r="D11551" i="2"/>
  <c r="F11551" i="2"/>
  <c r="G11551" i="2"/>
  <c r="H11551" i="2"/>
  <c r="J11551" i="2"/>
  <c r="K11551" i="2"/>
  <c r="L11551" i="2"/>
  <c r="C11552" i="2"/>
  <c r="D11552" i="2"/>
  <c r="F11552" i="2"/>
  <c r="G11552" i="2"/>
  <c r="H11552" i="2"/>
  <c r="J11552" i="2"/>
  <c r="K11552" i="2"/>
  <c r="L11552" i="2"/>
  <c r="C11553" i="2"/>
  <c r="D11553" i="2"/>
  <c r="F11553" i="2"/>
  <c r="G11553" i="2"/>
  <c r="H11553" i="2"/>
  <c r="J11553" i="2"/>
  <c r="K11553" i="2"/>
  <c r="L11553" i="2"/>
  <c r="C11554" i="2"/>
  <c r="D11554" i="2"/>
  <c r="F11554" i="2"/>
  <c r="G11554" i="2"/>
  <c r="H11554" i="2"/>
  <c r="J11554" i="2"/>
  <c r="K11554" i="2"/>
  <c r="L11554" i="2"/>
  <c r="C11555" i="2"/>
  <c r="D11555" i="2"/>
  <c r="F11555" i="2"/>
  <c r="G11555" i="2"/>
  <c r="H11555" i="2"/>
  <c r="J11555" i="2"/>
  <c r="K11555" i="2"/>
  <c r="L11555" i="2"/>
  <c r="C11556" i="2"/>
  <c r="D11556" i="2"/>
  <c r="F11556" i="2"/>
  <c r="G11556" i="2"/>
  <c r="H11556" i="2"/>
  <c r="J11556" i="2"/>
  <c r="K11556" i="2"/>
  <c r="L11556" i="2"/>
  <c r="C11557" i="2"/>
  <c r="D11557" i="2"/>
  <c r="F11557" i="2"/>
  <c r="G11557" i="2"/>
  <c r="H11557" i="2"/>
  <c r="J11557" i="2"/>
  <c r="K11557" i="2"/>
  <c r="L11557" i="2"/>
  <c r="C11558" i="2"/>
  <c r="D11558" i="2"/>
  <c r="F11558" i="2"/>
  <c r="G11558" i="2"/>
  <c r="H11558" i="2"/>
  <c r="J11558" i="2"/>
  <c r="K11558" i="2"/>
  <c r="L11558" i="2"/>
  <c r="C11559" i="2"/>
  <c r="D11559" i="2"/>
  <c r="F11559" i="2"/>
  <c r="G11559" i="2"/>
  <c r="H11559" i="2"/>
  <c r="J11559" i="2"/>
  <c r="K11559" i="2"/>
  <c r="L11559" i="2"/>
  <c r="C11560" i="2"/>
  <c r="D11560" i="2"/>
  <c r="F11560" i="2"/>
  <c r="G11560" i="2"/>
  <c r="H11560" i="2"/>
  <c r="J11560" i="2"/>
  <c r="K11560" i="2"/>
  <c r="L11560" i="2"/>
  <c r="C11561" i="2"/>
  <c r="D11561" i="2"/>
  <c r="F11561" i="2"/>
  <c r="G11561" i="2"/>
  <c r="H11561" i="2"/>
  <c r="J11561" i="2"/>
  <c r="K11561" i="2"/>
  <c r="L11561" i="2"/>
  <c r="C11562" i="2"/>
  <c r="D11562" i="2"/>
  <c r="F11562" i="2"/>
  <c r="G11562" i="2"/>
  <c r="H11562" i="2"/>
  <c r="J11562" i="2"/>
  <c r="K11562" i="2"/>
  <c r="L11562" i="2"/>
  <c r="C11563" i="2"/>
  <c r="D11563" i="2"/>
  <c r="F11563" i="2"/>
  <c r="G11563" i="2"/>
  <c r="H11563" i="2"/>
  <c r="J11563" i="2"/>
  <c r="K11563" i="2"/>
  <c r="L11563" i="2"/>
  <c r="C11564" i="2"/>
  <c r="D11564" i="2"/>
  <c r="F11564" i="2"/>
  <c r="G11564" i="2"/>
  <c r="H11564" i="2"/>
  <c r="J11564" i="2"/>
  <c r="K11564" i="2"/>
  <c r="L11564" i="2"/>
  <c r="C11565" i="2"/>
  <c r="D11565" i="2"/>
  <c r="F11565" i="2"/>
  <c r="G11565" i="2"/>
  <c r="H11565" i="2"/>
  <c r="J11565" i="2"/>
  <c r="K11565" i="2"/>
  <c r="L11565" i="2"/>
  <c r="C11566" i="2"/>
  <c r="D11566" i="2"/>
  <c r="F11566" i="2"/>
  <c r="G11566" i="2"/>
  <c r="H11566" i="2"/>
  <c r="J11566" i="2"/>
  <c r="K11566" i="2"/>
  <c r="L11566" i="2"/>
  <c r="C11567" i="2"/>
  <c r="D11567" i="2"/>
  <c r="F11567" i="2"/>
  <c r="G11567" i="2"/>
  <c r="H11567" i="2"/>
  <c r="J11567" i="2"/>
  <c r="K11567" i="2"/>
  <c r="L11567" i="2"/>
  <c r="C11568" i="2"/>
  <c r="D11568" i="2"/>
  <c r="F11568" i="2"/>
  <c r="G11568" i="2"/>
  <c r="H11568" i="2"/>
  <c r="J11568" i="2"/>
  <c r="K11568" i="2"/>
  <c r="L11568" i="2"/>
  <c r="C11569" i="2"/>
  <c r="D11569" i="2"/>
  <c r="F11569" i="2"/>
  <c r="G11569" i="2"/>
  <c r="H11569" i="2"/>
  <c r="J11569" i="2"/>
  <c r="K11569" i="2"/>
  <c r="L11569" i="2"/>
  <c r="C11570" i="2"/>
  <c r="D11570" i="2"/>
  <c r="F11570" i="2"/>
  <c r="G11570" i="2"/>
  <c r="H11570" i="2"/>
  <c r="J11570" i="2"/>
  <c r="K11570" i="2"/>
  <c r="L11570" i="2"/>
  <c r="C11571" i="2"/>
  <c r="D11571" i="2"/>
  <c r="F11571" i="2"/>
  <c r="G11571" i="2"/>
  <c r="H11571" i="2"/>
  <c r="J11571" i="2"/>
  <c r="K11571" i="2"/>
  <c r="L11571" i="2"/>
  <c r="C11572" i="2"/>
  <c r="D11572" i="2"/>
  <c r="F11572" i="2"/>
  <c r="G11572" i="2"/>
  <c r="H11572" i="2"/>
  <c r="J11572" i="2"/>
  <c r="K11572" i="2"/>
  <c r="L11572" i="2"/>
  <c r="C11573" i="2"/>
  <c r="D11573" i="2"/>
  <c r="F11573" i="2"/>
  <c r="G11573" i="2"/>
  <c r="H11573" i="2"/>
  <c r="J11573" i="2"/>
  <c r="K11573" i="2"/>
  <c r="L11573" i="2"/>
  <c r="C11574" i="2"/>
  <c r="D11574" i="2"/>
  <c r="F11574" i="2"/>
  <c r="G11574" i="2"/>
  <c r="H11574" i="2"/>
  <c r="J11574" i="2"/>
  <c r="K11574" i="2"/>
  <c r="L11574" i="2"/>
  <c r="C11575" i="2"/>
  <c r="D11575" i="2"/>
  <c r="F11575" i="2"/>
  <c r="G11575" i="2"/>
  <c r="H11575" i="2"/>
  <c r="J11575" i="2"/>
  <c r="K11575" i="2"/>
  <c r="L11575" i="2"/>
  <c r="C11576" i="2"/>
  <c r="D11576" i="2"/>
  <c r="F11576" i="2"/>
  <c r="G11576" i="2"/>
  <c r="H11576" i="2"/>
  <c r="J11576" i="2"/>
  <c r="K11576" i="2"/>
  <c r="L11576" i="2"/>
  <c r="C11577" i="2"/>
  <c r="D11577" i="2"/>
  <c r="F11577" i="2"/>
  <c r="G11577" i="2"/>
  <c r="H11577" i="2"/>
  <c r="J11577" i="2"/>
  <c r="K11577" i="2"/>
  <c r="L11577" i="2"/>
  <c r="C11578" i="2"/>
  <c r="D11578" i="2"/>
  <c r="F11578" i="2"/>
  <c r="G11578" i="2"/>
  <c r="H11578" i="2"/>
  <c r="J11578" i="2"/>
  <c r="K11578" i="2"/>
  <c r="L11578" i="2"/>
  <c r="C11579" i="2"/>
  <c r="D11579" i="2"/>
  <c r="F11579" i="2"/>
  <c r="G11579" i="2"/>
  <c r="H11579" i="2"/>
  <c r="J11579" i="2"/>
  <c r="K11579" i="2"/>
  <c r="L11579" i="2"/>
  <c r="C11580" i="2"/>
  <c r="D11580" i="2"/>
  <c r="F11580" i="2"/>
  <c r="G11580" i="2"/>
  <c r="H11580" i="2"/>
  <c r="J11580" i="2"/>
  <c r="K11580" i="2"/>
  <c r="L11580" i="2"/>
  <c r="C11581" i="2"/>
  <c r="D11581" i="2"/>
  <c r="F11581" i="2"/>
  <c r="G11581" i="2"/>
  <c r="H11581" i="2"/>
  <c r="J11581" i="2"/>
  <c r="K11581" i="2"/>
  <c r="L11581" i="2"/>
  <c r="C11582" i="2"/>
  <c r="D11582" i="2"/>
  <c r="E11582" i="2"/>
  <c r="F11582" i="2"/>
  <c r="G11582" i="2"/>
  <c r="H11582" i="2"/>
  <c r="J11582" i="2"/>
  <c r="K11582" i="2"/>
  <c r="L11582" i="2"/>
  <c r="C11583" i="2"/>
  <c r="D11583" i="2"/>
  <c r="F11583" i="2"/>
  <c r="G11583" i="2"/>
  <c r="H11583" i="2"/>
  <c r="J11583" i="2"/>
  <c r="K11583" i="2"/>
  <c r="L11583" i="2"/>
  <c r="C11584" i="2"/>
  <c r="D11584" i="2"/>
  <c r="F11584" i="2"/>
  <c r="G11584" i="2"/>
  <c r="H11584" i="2"/>
  <c r="J11584" i="2"/>
  <c r="K11584" i="2"/>
  <c r="L11584" i="2"/>
  <c r="C11585" i="2"/>
  <c r="D11585" i="2"/>
  <c r="F11585" i="2"/>
  <c r="G11585" i="2"/>
  <c r="H11585" i="2"/>
  <c r="J11585" i="2"/>
  <c r="K11585" i="2"/>
  <c r="L11585" i="2"/>
  <c r="C11586" i="2"/>
  <c r="D11586" i="2"/>
  <c r="F11586" i="2"/>
  <c r="G11586" i="2"/>
  <c r="H11586" i="2"/>
  <c r="J11586" i="2"/>
  <c r="K11586" i="2"/>
  <c r="L11586" i="2"/>
  <c r="C11587" i="2"/>
  <c r="D11587" i="2"/>
  <c r="F11587" i="2"/>
  <c r="G11587" i="2"/>
  <c r="H11587" i="2"/>
  <c r="J11587" i="2"/>
  <c r="K11587" i="2"/>
  <c r="L11587" i="2"/>
  <c r="C11588" i="2"/>
  <c r="D11588" i="2"/>
  <c r="F11588" i="2"/>
  <c r="G11588" i="2"/>
  <c r="H11588" i="2"/>
  <c r="J11588" i="2"/>
  <c r="K11588" i="2"/>
  <c r="L11588" i="2"/>
  <c r="C11589" i="2"/>
  <c r="D11589" i="2"/>
  <c r="F11589" i="2"/>
  <c r="G11589" i="2"/>
  <c r="H11589" i="2"/>
  <c r="J11589" i="2"/>
  <c r="K11589" i="2"/>
  <c r="L11589" i="2"/>
  <c r="C11590" i="2"/>
  <c r="D11590" i="2"/>
  <c r="F11590" i="2"/>
  <c r="G11590" i="2"/>
  <c r="H11590" i="2"/>
  <c r="J11590" i="2"/>
  <c r="K11590" i="2"/>
  <c r="L11590" i="2"/>
  <c r="C11591" i="2"/>
  <c r="D11591" i="2"/>
  <c r="F11591" i="2"/>
  <c r="G11591" i="2"/>
  <c r="H11591" i="2"/>
  <c r="J11591" i="2"/>
  <c r="K11591" i="2"/>
  <c r="L11591" i="2"/>
  <c r="C11592" i="2"/>
  <c r="D11592" i="2"/>
  <c r="F11592" i="2"/>
  <c r="G11592" i="2"/>
  <c r="H11592" i="2"/>
  <c r="J11592" i="2"/>
  <c r="K11592" i="2"/>
  <c r="L11592" i="2"/>
  <c r="C11593" i="2"/>
  <c r="D11593" i="2"/>
  <c r="F11593" i="2"/>
  <c r="G11593" i="2"/>
  <c r="H11593" i="2"/>
  <c r="J11593" i="2"/>
  <c r="K11593" i="2"/>
  <c r="L11593" i="2"/>
  <c r="C11594" i="2"/>
  <c r="D11594" i="2"/>
  <c r="F11594" i="2"/>
  <c r="G11594" i="2"/>
  <c r="H11594" i="2"/>
  <c r="J11594" i="2"/>
  <c r="K11594" i="2"/>
  <c r="L11594" i="2"/>
  <c r="C11595" i="2"/>
  <c r="D11595" i="2"/>
  <c r="F11595" i="2"/>
  <c r="G11595" i="2"/>
  <c r="H11595" i="2"/>
  <c r="J11595" i="2"/>
  <c r="K11595" i="2"/>
  <c r="L11595" i="2"/>
  <c r="C11596" i="2"/>
  <c r="D11596" i="2"/>
  <c r="F11596" i="2"/>
  <c r="G11596" i="2"/>
  <c r="H11596" i="2"/>
  <c r="J11596" i="2"/>
  <c r="K11596" i="2"/>
  <c r="L11596" i="2"/>
  <c r="C11597" i="2"/>
  <c r="D11597" i="2"/>
  <c r="F11597" i="2"/>
  <c r="G11597" i="2"/>
  <c r="H11597" i="2"/>
  <c r="J11597" i="2"/>
  <c r="K11597" i="2"/>
  <c r="L11597" i="2"/>
  <c r="C11598" i="2"/>
  <c r="D11598" i="2"/>
  <c r="F11598" i="2"/>
  <c r="G11598" i="2"/>
  <c r="H11598" i="2"/>
  <c r="J11598" i="2"/>
  <c r="K11598" i="2"/>
  <c r="L11598" i="2"/>
  <c r="C11599" i="2"/>
  <c r="D11599" i="2"/>
  <c r="F11599" i="2"/>
  <c r="G11599" i="2"/>
  <c r="H11599" i="2"/>
  <c r="J11599" i="2"/>
  <c r="K11599" i="2"/>
  <c r="L11599" i="2"/>
  <c r="C11600" i="2"/>
  <c r="D11600" i="2"/>
  <c r="F11600" i="2"/>
  <c r="G11600" i="2"/>
  <c r="H11600" i="2"/>
  <c r="J11600" i="2"/>
  <c r="K11600" i="2"/>
  <c r="L11600" i="2"/>
  <c r="C11601" i="2"/>
  <c r="D11601" i="2"/>
  <c r="F11601" i="2"/>
  <c r="G11601" i="2"/>
  <c r="H11601" i="2"/>
  <c r="J11601" i="2"/>
  <c r="K11601" i="2"/>
  <c r="L11601" i="2"/>
  <c r="C11602" i="2"/>
  <c r="D11602" i="2"/>
  <c r="F11602" i="2"/>
  <c r="G11602" i="2"/>
  <c r="H11602" i="2"/>
  <c r="J11602" i="2"/>
  <c r="K11602" i="2"/>
  <c r="L11602" i="2"/>
  <c r="C11603" i="2"/>
  <c r="D11603" i="2"/>
  <c r="F11603" i="2"/>
  <c r="G11603" i="2"/>
  <c r="H11603" i="2"/>
  <c r="J11603" i="2"/>
  <c r="K11603" i="2"/>
  <c r="L11603" i="2"/>
  <c r="C11604" i="2"/>
  <c r="D11604" i="2"/>
  <c r="F11604" i="2"/>
  <c r="G11604" i="2"/>
  <c r="H11604" i="2"/>
  <c r="J11604" i="2"/>
  <c r="K11604" i="2"/>
  <c r="L11604" i="2"/>
  <c r="C11605" i="2"/>
  <c r="D11605" i="2"/>
  <c r="F11605" i="2"/>
  <c r="G11605" i="2"/>
  <c r="H11605" i="2"/>
  <c r="J11605" i="2"/>
  <c r="K11605" i="2"/>
  <c r="L11605" i="2"/>
  <c r="C11606" i="2"/>
  <c r="D11606" i="2"/>
  <c r="F11606" i="2"/>
  <c r="G11606" i="2"/>
  <c r="H11606" i="2"/>
  <c r="J11606" i="2"/>
  <c r="K11606" i="2"/>
  <c r="L11606" i="2"/>
  <c r="C11607" i="2"/>
  <c r="D11607" i="2"/>
  <c r="F11607" i="2"/>
  <c r="G11607" i="2"/>
  <c r="H11607" i="2"/>
  <c r="J11607" i="2"/>
  <c r="K11607" i="2"/>
  <c r="L11607" i="2"/>
  <c r="C11608" i="2"/>
  <c r="D11608" i="2"/>
  <c r="F11608" i="2"/>
  <c r="G11608" i="2"/>
  <c r="H11608" i="2"/>
  <c r="J11608" i="2"/>
  <c r="K11608" i="2"/>
  <c r="L11608" i="2"/>
  <c r="C11609" i="2"/>
  <c r="D11609" i="2"/>
  <c r="F11609" i="2"/>
  <c r="G11609" i="2"/>
  <c r="H11609" i="2"/>
  <c r="J11609" i="2"/>
  <c r="K11609" i="2"/>
  <c r="L11609" i="2"/>
  <c r="C11610" i="2"/>
  <c r="D11610" i="2"/>
  <c r="F11610" i="2"/>
  <c r="G11610" i="2"/>
  <c r="H11610" i="2"/>
  <c r="J11610" i="2"/>
  <c r="K11610" i="2"/>
  <c r="L11610" i="2"/>
  <c r="C11611" i="2"/>
  <c r="D11611" i="2"/>
  <c r="F11611" i="2"/>
  <c r="G11611" i="2"/>
  <c r="H11611" i="2"/>
  <c r="J11611" i="2"/>
  <c r="K11611" i="2"/>
  <c r="L11611" i="2"/>
  <c r="C11612" i="2"/>
  <c r="D11612" i="2"/>
  <c r="F11612" i="2"/>
  <c r="G11612" i="2"/>
  <c r="H11612" i="2"/>
  <c r="J11612" i="2"/>
  <c r="K11612" i="2"/>
  <c r="L11612" i="2"/>
  <c r="C11613" i="2"/>
  <c r="D11613" i="2"/>
  <c r="F11613" i="2"/>
  <c r="G11613" i="2"/>
  <c r="H11613" i="2"/>
  <c r="J11613" i="2"/>
  <c r="K11613" i="2"/>
  <c r="L11613" i="2"/>
  <c r="C11614" i="2"/>
  <c r="D11614" i="2"/>
  <c r="F11614" i="2"/>
  <c r="G11614" i="2"/>
  <c r="H11614" i="2"/>
  <c r="J11614" i="2"/>
  <c r="K11614" i="2"/>
  <c r="L11614" i="2"/>
  <c r="C11615" i="2"/>
  <c r="D11615" i="2"/>
  <c r="F11615" i="2"/>
  <c r="G11615" i="2"/>
  <c r="H11615" i="2"/>
  <c r="J11615" i="2"/>
  <c r="K11615" i="2"/>
  <c r="L11615" i="2"/>
  <c r="C11616" i="2"/>
  <c r="D11616" i="2"/>
  <c r="F11616" i="2"/>
  <c r="G11616" i="2"/>
  <c r="H11616" i="2"/>
  <c r="J11616" i="2"/>
  <c r="K11616" i="2"/>
  <c r="L11616" i="2"/>
  <c r="C11617" i="2"/>
  <c r="D11617" i="2"/>
  <c r="F11617" i="2"/>
  <c r="G11617" i="2"/>
  <c r="H11617" i="2"/>
  <c r="J11617" i="2"/>
  <c r="K11617" i="2"/>
  <c r="L11617" i="2"/>
  <c r="C11618" i="2"/>
  <c r="D11618" i="2"/>
  <c r="F11618" i="2"/>
  <c r="G11618" i="2"/>
  <c r="H11618" i="2"/>
  <c r="J11618" i="2"/>
  <c r="K11618" i="2"/>
  <c r="L11618" i="2"/>
  <c r="C11619" i="2"/>
  <c r="D11619" i="2"/>
  <c r="F11619" i="2"/>
  <c r="G11619" i="2"/>
  <c r="H11619" i="2"/>
  <c r="J11619" i="2"/>
  <c r="K11619" i="2"/>
  <c r="L11619" i="2"/>
  <c r="C11620" i="2"/>
  <c r="D11620" i="2"/>
  <c r="F11620" i="2"/>
  <c r="G11620" i="2"/>
  <c r="H11620" i="2"/>
  <c r="J11620" i="2"/>
  <c r="K11620" i="2"/>
  <c r="L11620" i="2"/>
  <c r="C11621" i="2"/>
  <c r="D11621" i="2"/>
  <c r="F11621" i="2"/>
  <c r="G11621" i="2"/>
  <c r="H11621" i="2"/>
  <c r="J11621" i="2"/>
  <c r="K11621" i="2"/>
  <c r="L11621" i="2"/>
  <c r="C11622" i="2"/>
  <c r="D11622" i="2"/>
  <c r="F11622" i="2"/>
  <c r="G11622" i="2"/>
  <c r="H11622" i="2"/>
  <c r="J11622" i="2"/>
  <c r="K11622" i="2"/>
  <c r="L11622" i="2"/>
  <c r="C11623" i="2"/>
  <c r="D11623" i="2"/>
  <c r="F11623" i="2"/>
  <c r="G11623" i="2"/>
  <c r="H11623" i="2"/>
  <c r="J11623" i="2"/>
  <c r="K11623" i="2"/>
  <c r="L11623" i="2"/>
  <c r="C11624" i="2"/>
  <c r="D11624" i="2"/>
  <c r="F11624" i="2"/>
  <c r="G11624" i="2"/>
  <c r="H11624" i="2"/>
  <c r="J11624" i="2"/>
  <c r="K11624" i="2"/>
  <c r="L11624" i="2"/>
  <c r="C11625" i="2"/>
  <c r="D11625" i="2"/>
  <c r="F11625" i="2"/>
  <c r="G11625" i="2"/>
  <c r="H11625" i="2"/>
  <c r="J11625" i="2"/>
  <c r="K11625" i="2"/>
  <c r="L11625" i="2"/>
  <c r="C11626" i="2"/>
  <c r="D11626" i="2"/>
  <c r="F11626" i="2"/>
  <c r="G11626" i="2"/>
  <c r="H11626" i="2"/>
  <c r="J11626" i="2"/>
  <c r="K11626" i="2"/>
  <c r="L11626" i="2"/>
  <c r="C11627" i="2"/>
  <c r="D11627" i="2"/>
  <c r="F11627" i="2"/>
  <c r="G11627" i="2"/>
  <c r="H11627" i="2"/>
  <c r="J11627" i="2"/>
  <c r="K11627" i="2"/>
  <c r="L11627" i="2"/>
  <c r="C11628" i="2"/>
  <c r="D11628" i="2"/>
  <c r="F11628" i="2"/>
  <c r="G11628" i="2"/>
  <c r="H11628" i="2"/>
  <c r="J11628" i="2"/>
  <c r="K11628" i="2"/>
  <c r="L11628" i="2"/>
  <c r="C11629" i="2"/>
  <c r="D11629" i="2"/>
  <c r="F11629" i="2"/>
  <c r="G11629" i="2"/>
  <c r="H11629" i="2"/>
  <c r="J11629" i="2"/>
  <c r="K11629" i="2"/>
  <c r="L11629" i="2"/>
  <c r="C11630" i="2"/>
  <c r="D11630" i="2"/>
  <c r="F11630" i="2"/>
  <c r="G11630" i="2"/>
  <c r="H11630" i="2"/>
  <c r="J11630" i="2"/>
  <c r="K11630" i="2"/>
  <c r="L11630" i="2"/>
  <c r="C11631" i="2"/>
  <c r="D11631" i="2"/>
  <c r="F11631" i="2"/>
  <c r="G11631" i="2"/>
  <c r="H11631" i="2"/>
  <c r="J11631" i="2"/>
  <c r="K11631" i="2"/>
  <c r="L11631" i="2"/>
  <c r="C11632" i="2"/>
  <c r="D11632" i="2"/>
  <c r="F11632" i="2"/>
  <c r="G11632" i="2"/>
  <c r="H11632" i="2"/>
  <c r="J11632" i="2"/>
  <c r="K11632" i="2"/>
  <c r="L11632" i="2"/>
  <c r="C11633" i="2"/>
  <c r="D11633" i="2"/>
  <c r="F11633" i="2"/>
  <c r="G11633" i="2"/>
  <c r="H11633" i="2"/>
  <c r="J11633" i="2"/>
  <c r="K11633" i="2"/>
  <c r="L11633" i="2"/>
  <c r="C11634" i="2"/>
  <c r="D11634" i="2"/>
  <c r="F11634" i="2"/>
  <c r="G11634" i="2"/>
  <c r="H11634" i="2"/>
  <c r="J11634" i="2"/>
  <c r="K11634" i="2"/>
  <c r="L11634" i="2"/>
  <c r="C11635" i="2"/>
  <c r="D11635" i="2"/>
  <c r="F11635" i="2"/>
  <c r="G11635" i="2"/>
  <c r="H11635" i="2"/>
  <c r="J11635" i="2"/>
  <c r="K11635" i="2"/>
  <c r="L11635" i="2"/>
  <c r="C11636" i="2"/>
  <c r="D11636" i="2"/>
  <c r="F11636" i="2"/>
  <c r="G11636" i="2"/>
  <c r="H11636" i="2"/>
  <c r="J11636" i="2"/>
  <c r="K11636" i="2"/>
  <c r="L11636" i="2"/>
  <c r="C11637" i="2"/>
  <c r="D11637" i="2"/>
  <c r="F11637" i="2"/>
  <c r="G11637" i="2"/>
  <c r="H11637" i="2"/>
  <c r="J11637" i="2"/>
  <c r="K11637" i="2"/>
  <c r="L11637" i="2"/>
  <c r="C11638" i="2"/>
  <c r="D11638" i="2"/>
  <c r="F11638" i="2"/>
  <c r="G11638" i="2"/>
  <c r="H11638" i="2"/>
  <c r="J11638" i="2"/>
  <c r="K11638" i="2"/>
  <c r="L11638" i="2"/>
  <c r="C11639" i="2"/>
  <c r="D11639" i="2"/>
  <c r="F11639" i="2"/>
  <c r="G11639" i="2"/>
  <c r="H11639" i="2"/>
  <c r="J11639" i="2"/>
  <c r="K11639" i="2"/>
  <c r="L11639" i="2"/>
  <c r="C11640" i="2"/>
  <c r="D11640" i="2"/>
  <c r="F11640" i="2"/>
  <c r="G11640" i="2"/>
  <c r="H11640" i="2"/>
  <c r="J11640" i="2"/>
  <c r="K11640" i="2"/>
  <c r="L11640" i="2"/>
  <c r="C11641" i="2"/>
  <c r="D11641" i="2"/>
  <c r="F11641" i="2"/>
  <c r="G11641" i="2"/>
  <c r="H11641" i="2"/>
  <c r="J11641" i="2"/>
  <c r="K11641" i="2"/>
  <c r="L11641" i="2"/>
  <c r="C11642" i="2"/>
  <c r="D11642" i="2"/>
  <c r="F11642" i="2"/>
  <c r="G11642" i="2"/>
  <c r="H11642" i="2"/>
  <c r="J11642" i="2"/>
  <c r="K11642" i="2"/>
  <c r="L11642" i="2"/>
  <c r="C11643" i="2"/>
  <c r="D11643" i="2"/>
  <c r="F11643" i="2"/>
  <c r="G11643" i="2"/>
  <c r="H11643" i="2"/>
  <c r="J11643" i="2"/>
  <c r="K11643" i="2"/>
  <c r="L11643" i="2"/>
  <c r="C11644" i="2"/>
  <c r="D11644" i="2"/>
  <c r="F11644" i="2"/>
  <c r="G11644" i="2"/>
  <c r="H11644" i="2"/>
  <c r="J11644" i="2"/>
  <c r="K11644" i="2"/>
  <c r="L11644" i="2"/>
  <c r="C11645" i="2"/>
  <c r="D11645" i="2"/>
  <c r="F11645" i="2"/>
  <c r="G11645" i="2"/>
  <c r="H11645" i="2"/>
  <c r="J11645" i="2"/>
  <c r="K11645" i="2"/>
  <c r="L11645" i="2"/>
  <c r="C11646" i="2"/>
  <c r="D11646" i="2"/>
  <c r="F11646" i="2"/>
  <c r="G11646" i="2"/>
  <c r="H11646" i="2"/>
  <c r="J11646" i="2"/>
  <c r="K11646" i="2"/>
  <c r="L11646" i="2"/>
  <c r="C11647" i="2"/>
  <c r="D11647" i="2"/>
  <c r="F11647" i="2"/>
  <c r="G11647" i="2"/>
  <c r="H11647" i="2"/>
  <c r="J11647" i="2"/>
  <c r="K11647" i="2"/>
  <c r="L11647" i="2"/>
  <c r="C11648" i="2"/>
  <c r="D11648" i="2"/>
  <c r="F11648" i="2"/>
  <c r="G11648" i="2"/>
  <c r="H11648" i="2"/>
  <c r="J11648" i="2"/>
  <c r="K11648" i="2"/>
  <c r="L11648" i="2"/>
  <c r="C11649" i="2"/>
  <c r="D11649" i="2"/>
  <c r="F11649" i="2"/>
  <c r="G11649" i="2"/>
  <c r="H11649" i="2"/>
  <c r="J11649" i="2"/>
  <c r="K11649" i="2"/>
  <c r="L11649" i="2"/>
  <c r="C11650" i="2"/>
  <c r="D11650" i="2"/>
  <c r="F11650" i="2"/>
  <c r="G11650" i="2"/>
  <c r="H11650" i="2"/>
  <c r="J11650" i="2"/>
  <c r="K11650" i="2"/>
  <c r="L11650" i="2"/>
  <c r="C11651" i="2"/>
  <c r="D11651" i="2"/>
  <c r="F11651" i="2"/>
  <c r="G11651" i="2"/>
  <c r="H11651" i="2"/>
  <c r="J11651" i="2"/>
  <c r="K11651" i="2"/>
  <c r="L11651" i="2"/>
  <c r="C11652" i="2"/>
  <c r="D11652" i="2"/>
  <c r="F11652" i="2"/>
  <c r="G11652" i="2"/>
  <c r="H11652" i="2"/>
  <c r="J11652" i="2"/>
  <c r="K11652" i="2"/>
  <c r="L11652" i="2"/>
  <c r="C11653" i="2"/>
  <c r="D11653" i="2"/>
  <c r="F11653" i="2"/>
  <c r="G11653" i="2"/>
  <c r="H11653" i="2"/>
  <c r="J11653" i="2"/>
  <c r="K11653" i="2"/>
  <c r="L11653" i="2"/>
  <c r="C11654" i="2"/>
  <c r="D11654" i="2"/>
  <c r="F11654" i="2"/>
  <c r="G11654" i="2"/>
  <c r="H11654" i="2"/>
  <c r="J11654" i="2"/>
  <c r="K11654" i="2"/>
  <c r="L11654" i="2"/>
  <c r="C11655" i="2"/>
  <c r="D11655" i="2"/>
  <c r="F11655" i="2"/>
  <c r="G11655" i="2"/>
  <c r="H11655" i="2"/>
  <c r="J11655" i="2"/>
  <c r="K11655" i="2"/>
  <c r="L11655" i="2"/>
  <c r="C11656" i="2"/>
  <c r="D11656" i="2"/>
  <c r="F11656" i="2"/>
  <c r="G11656" i="2"/>
  <c r="H11656" i="2"/>
  <c r="J11656" i="2"/>
  <c r="K11656" i="2"/>
  <c r="L11656" i="2"/>
  <c r="C11657" i="2"/>
  <c r="D11657" i="2"/>
  <c r="F11657" i="2"/>
  <c r="G11657" i="2"/>
  <c r="H11657" i="2"/>
  <c r="J11657" i="2"/>
  <c r="K11657" i="2"/>
  <c r="L11657" i="2"/>
  <c r="C11658" i="2"/>
  <c r="D11658" i="2"/>
  <c r="F11658" i="2"/>
  <c r="G11658" i="2"/>
  <c r="H11658" i="2"/>
  <c r="J11658" i="2"/>
  <c r="K11658" i="2"/>
  <c r="L11658" i="2"/>
  <c r="C11659" i="2"/>
  <c r="D11659" i="2"/>
  <c r="F11659" i="2"/>
  <c r="G11659" i="2"/>
  <c r="H11659" i="2"/>
  <c r="J11659" i="2"/>
  <c r="K11659" i="2"/>
  <c r="L11659" i="2"/>
  <c r="C11660" i="2"/>
  <c r="D11660" i="2"/>
  <c r="F11660" i="2"/>
  <c r="G11660" i="2"/>
  <c r="H11660" i="2"/>
  <c r="J11660" i="2"/>
  <c r="K11660" i="2"/>
  <c r="L11660" i="2"/>
  <c r="C11661" i="2"/>
  <c r="D11661" i="2"/>
  <c r="F11661" i="2"/>
  <c r="G11661" i="2"/>
  <c r="H11661" i="2"/>
  <c r="J11661" i="2"/>
  <c r="K11661" i="2"/>
  <c r="L11661" i="2"/>
  <c r="C11662" i="2"/>
  <c r="D11662" i="2"/>
  <c r="F11662" i="2"/>
  <c r="G11662" i="2"/>
  <c r="H11662" i="2"/>
  <c r="J11662" i="2"/>
  <c r="K11662" i="2"/>
  <c r="L11662" i="2"/>
  <c r="C11663" i="2"/>
  <c r="D11663" i="2"/>
  <c r="F11663" i="2"/>
  <c r="G11663" i="2"/>
  <c r="H11663" i="2"/>
  <c r="J11663" i="2"/>
  <c r="K11663" i="2"/>
  <c r="L11663" i="2"/>
  <c r="C11664" i="2"/>
  <c r="D11664" i="2"/>
  <c r="F11664" i="2"/>
  <c r="G11664" i="2"/>
  <c r="H11664" i="2"/>
  <c r="J11664" i="2"/>
  <c r="K11664" i="2"/>
  <c r="L11664" i="2"/>
  <c r="C11665" i="2"/>
  <c r="D11665" i="2"/>
  <c r="F11665" i="2"/>
  <c r="G11665" i="2"/>
  <c r="H11665" i="2"/>
  <c r="J11665" i="2"/>
  <c r="K11665" i="2"/>
  <c r="L11665" i="2"/>
  <c r="C11666" i="2"/>
  <c r="D11666" i="2"/>
  <c r="F11666" i="2"/>
  <c r="G11666" i="2"/>
  <c r="H11666" i="2"/>
  <c r="J11666" i="2"/>
  <c r="K11666" i="2"/>
  <c r="L11666" i="2"/>
  <c r="C11667" i="2"/>
  <c r="D11667" i="2"/>
  <c r="F11667" i="2"/>
  <c r="G11667" i="2"/>
  <c r="H11667" i="2"/>
  <c r="J11667" i="2"/>
  <c r="K11667" i="2"/>
  <c r="L11667" i="2"/>
  <c r="C11668" i="2"/>
  <c r="D11668" i="2"/>
  <c r="F11668" i="2"/>
  <c r="G11668" i="2"/>
  <c r="H11668" i="2"/>
  <c r="J11668" i="2"/>
  <c r="K11668" i="2"/>
  <c r="L11668" i="2"/>
  <c r="C11669" i="2"/>
  <c r="D11669" i="2"/>
  <c r="F11669" i="2"/>
  <c r="G11669" i="2"/>
  <c r="H11669" i="2"/>
  <c r="J11669" i="2"/>
  <c r="K11669" i="2"/>
  <c r="L11669" i="2"/>
  <c r="C11670" i="2"/>
  <c r="D11670" i="2"/>
  <c r="F11670" i="2"/>
  <c r="G11670" i="2"/>
  <c r="H11670" i="2"/>
  <c r="J11670" i="2"/>
  <c r="K11670" i="2"/>
  <c r="L11670" i="2"/>
  <c r="C11671" i="2"/>
  <c r="D11671" i="2"/>
  <c r="F11671" i="2"/>
  <c r="G11671" i="2"/>
  <c r="H11671" i="2"/>
  <c r="J11671" i="2"/>
  <c r="K11671" i="2"/>
  <c r="L11671" i="2"/>
  <c r="C11672" i="2"/>
  <c r="D11672" i="2"/>
  <c r="F11672" i="2"/>
  <c r="G11672" i="2"/>
  <c r="H11672" i="2"/>
  <c r="J11672" i="2"/>
  <c r="K11672" i="2"/>
  <c r="L11672" i="2"/>
  <c r="C11673" i="2"/>
  <c r="D11673" i="2"/>
  <c r="F11673" i="2"/>
  <c r="G11673" i="2"/>
  <c r="H11673" i="2"/>
  <c r="J11673" i="2"/>
  <c r="K11673" i="2"/>
  <c r="L11673" i="2"/>
  <c r="C11674" i="2"/>
  <c r="D11674" i="2"/>
  <c r="F11674" i="2"/>
  <c r="G11674" i="2"/>
  <c r="H11674" i="2"/>
  <c r="J11674" i="2"/>
  <c r="K11674" i="2"/>
  <c r="L11674" i="2"/>
  <c r="C11675" i="2"/>
  <c r="D11675" i="2"/>
  <c r="F11675" i="2"/>
  <c r="G11675" i="2"/>
  <c r="H11675" i="2"/>
  <c r="J11675" i="2"/>
  <c r="K11675" i="2"/>
  <c r="L11675" i="2"/>
  <c r="C11676" i="2"/>
  <c r="D11676" i="2"/>
  <c r="F11676" i="2"/>
  <c r="G11676" i="2"/>
  <c r="H11676" i="2"/>
  <c r="J11676" i="2"/>
  <c r="K11676" i="2"/>
  <c r="L11676" i="2"/>
  <c r="C11677" i="2"/>
  <c r="D11677" i="2"/>
  <c r="F11677" i="2"/>
  <c r="G11677" i="2"/>
  <c r="H11677" i="2"/>
  <c r="J11677" i="2"/>
  <c r="K11677" i="2"/>
  <c r="L11677" i="2"/>
  <c r="C11678" i="2"/>
  <c r="D11678" i="2"/>
  <c r="F11678" i="2"/>
  <c r="G11678" i="2"/>
  <c r="H11678" i="2"/>
  <c r="J11678" i="2"/>
  <c r="K11678" i="2"/>
  <c r="L11678" i="2"/>
  <c r="C11679" i="2"/>
  <c r="D11679" i="2"/>
  <c r="F11679" i="2"/>
  <c r="G11679" i="2"/>
  <c r="H11679" i="2"/>
  <c r="J11679" i="2"/>
  <c r="K11679" i="2"/>
  <c r="L11679" i="2"/>
  <c r="C11680" i="2"/>
  <c r="D11680" i="2"/>
  <c r="F11680" i="2"/>
  <c r="G11680" i="2"/>
  <c r="H11680" i="2"/>
  <c r="J11680" i="2"/>
  <c r="K11680" i="2"/>
  <c r="L11680" i="2"/>
  <c r="C11681" i="2"/>
  <c r="D11681" i="2"/>
  <c r="F11681" i="2"/>
  <c r="G11681" i="2"/>
  <c r="H11681" i="2"/>
  <c r="J11681" i="2"/>
  <c r="K11681" i="2"/>
  <c r="L11681" i="2"/>
  <c r="C11682" i="2"/>
  <c r="D11682" i="2"/>
  <c r="F11682" i="2"/>
  <c r="G11682" i="2"/>
  <c r="H11682" i="2"/>
  <c r="J11682" i="2"/>
  <c r="K11682" i="2"/>
  <c r="L11682" i="2"/>
  <c r="C11683" i="2"/>
  <c r="D11683" i="2"/>
  <c r="F11683" i="2"/>
  <c r="G11683" i="2"/>
  <c r="H11683" i="2"/>
  <c r="J11683" i="2"/>
  <c r="K11683" i="2"/>
  <c r="L11683" i="2"/>
  <c r="C11684" i="2"/>
  <c r="D11684" i="2"/>
  <c r="F11684" i="2"/>
  <c r="G11684" i="2"/>
  <c r="H11684" i="2"/>
  <c r="J11684" i="2"/>
  <c r="K11684" i="2"/>
  <c r="L11684" i="2"/>
  <c r="C11685" i="2"/>
  <c r="D11685" i="2"/>
  <c r="F11685" i="2"/>
  <c r="G11685" i="2"/>
  <c r="H11685" i="2"/>
  <c r="J11685" i="2"/>
  <c r="K11685" i="2"/>
  <c r="L11685" i="2"/>
  <c r="C11686" i="2"/>
  <c r="D11686" i="2"/>
  <c r="F11686" i="2"/>
  <c r="G11686" i="2"/>
  <c r="H11686" i="2"/>
  <c r="J11686" i="2"/>
  <c r="K11686" i="2"/>
  <c r="L11686" i="2"/>
  <c r="C11687" i="2"/>
  <c r="D11687" i="2"/>
  <c r="F11687" i="2"/>
  <c r="G11687" i="2"/>
  <c r="H11687" i="2"/>
  <c r="J11687" i="2"/>
  <c r="K11687" i="2"/>
  <c r="L11687" i="2"/>
  <c r="C11688" i="2"/>
  <c r="D11688" i="2"/>
  <c r="F11688" i="2"/>
  <c r="G11688" i="2"/>
  <c r="H11688" i="2"/>
  <c r="J11688" i="2"/>
  <c r="K11688" i="2"/>
  <c r="L11688" i="2"/>
  <c r="C11689" i="2"/>
  <c r="D11689" i="2"/>
  <c r="F11689" i="2"/>
  <c r="G11689" i="2"/>
  <c r="H11689" i="2"/>
  <c r="J11689" i="2"/>
  <c r="K11689" i="2"/>
  <c r="L11689" i="2"/>
  <c r="C11690" i="2"/>
  <c r="D11690" i="2"/>
  <c r="F11690" i="2"/>
  <c r="G11690" i="2"/>
  <c r="H11690" i="2"/>
  <c r="J11690" i="2"/>
  <c r="K11690" i="2"/>
  <c r="L11690" i="2"/>
  <c r="C11691" i="2"/>
  <c r="D11691" i="2"/>
  <c r="F11691" i="2"/>
  <c r="G11691" i="2"/>
  <c r="H11691" i="2"/>
  <c r="J11691" i="2"/>
  <c r="K11691" i="2"/>
  <c r="L11691" i="2"/>
  <c r="C11692" i="2"/>
  <c r="D11692" i="2"/>
  <c r="F11692" i="2"/>
  <c r="G11692" i="2"/>
  <c r="H11692" i="2"/>
  <c r="J11692" i="2"/>
  <c r="K11692" i="2"/>
  <c r="L11692" i="2"/>
  <c r="C11693" i="2"/>
  <c r="D11693" i="2"/>
  <c r="F11693" i="2"/>
  <c r="G11693" i="2"/>
  <c r="H11693" i="2"/>
  <c r="J11693" i="2"/>
  <c r="K11693" i="2"/>
  <c r="L11693" i="2"/>
  <c r="C11694" i="2"/>
  <c r="D11694" i="2"/>
  <c r="F11694" i="2"/>
  <c r="G11694" i="2"/>
  <c r="H11694" i="2"/>
  <c r="J11694" i="2"/>
  <c r="K11694" i="2"/>
  <c r="L11694" i="2"/>
  <c r="C11695" i="2"/>
  <c r="D11695" i="2"/>
  <c r="F11695" i="2"/>
  <c r="G11695" i="2"/>
  <c r="H11695" i="2"/>
  <c r="J11695" i="2"/>
  <c r="K11695" i="2"/>
  <c r="L11695" i="2"/>
  <c r="C11696" i="2"/>
  <c r="D11696" i="2"/>
  <c r="F11696" i="2"/>
  <c r="G11696" i="2"/>
  <c r="H11696" i="2"/>
  <c r="J11696" i="2"/>
  <c r="K11696" i="2"/>
  <c r="L11696" i="2"/>
  <c r="C11697" i="2"/>
  <c r="D11697" i="2"/>
  <c r="F11697" i="2"/>
  <c r="G11697" i="2"/>
  <c r="H11697" i="2"/>
  <c r="J11697" i="2"/>
  <c r="K11697" i="2"/>
  <c r="L11697" i="2"/>
  <c r="C11698" i="2"/>
  <c r="D11698" i="2"/>
  <c r="F11698" i="2"/>
  <c r="G11698" i="2"/>
  <c r="H11698" i="2"/>
  <c r="J11698" i="2"/>
  <c r="K11698" i="2"/>
  <c r="L11698" i="2"/>
  <c r="C11699" i="2"/>
  <c r="D11699" i="2"/>
  <c r="F11699" i="2"/>
  <c r="G11699" i="2"/>
  <c r="H11699" i="2"/>
  <c r="J11699" i="2"/>
  <c r="K11699" i="2"/>
  <c r="L11699" i="2"/>
  <c r="C11700" i="2"/>
  <c r="D11700" i="2"/>
  <c r="F11700" i="2"/>
  <c r="G11700" i="2"/>
  <c r="H11700" i="2"/>
  <c r="J11700" i="2"/>
  <c r="K11700" i="2"/>
  <c r="L11700" i="2"/>
  <c r="C11701" i="2"/>
  <c r="D11701" i="2"/>
  <c r="F11701" i="2"/>
  <c r="G11701" i="2"/>
  <c r="H11701" i="2"/>
  <c r="J11701" i="2"/>
  <c r="K11701" i="2"/>
  <c r="L11701" i="2"/>
  <c r="C11702" i="2"/>
  <c r="D11702" i="2"/>
  <c r="F11702" i="2"/>
  <c r="G11702" i="2"/>
  <c r="H11702" i="2"/>
  <c r="J11702" i="2"/>
  <c r="K11702" i="2"/>
  <c r="L11702" i="2"/>
  <c r="C11703" i="2"/>
  <c r="D11703" i="2"/>
  <c r="F11703" i="2"/>
  <c r="G11703" i="2"/>
  <c r="H11703" i="2"/>
  <c r="J11703" i="2"/>
  <c r="K11703" i="2"/>
  <c r="L11703" i="2"/>
  <c r="C11704" i="2"/>
  <c r="D11704" i="2"/>
  <c r="F11704" i="2"/>
  <c r="G11704" i="2"/>
  <c r="H11704" i="2"/>
  <c r="J11704" i="2"/>
  <c r="K11704" i="2"/>
  <c r="L11704" i="2"/>
  <c r="C11705" i="2"/>
  <c r="D11705" i="2"/>
  <c r="F11705" i="2"/>
  <c r="G11705" i="2"/>
  <c r="H11705" i="2"/>
  <c r="J11705" i="2"/>
  <c r="K11705" i="2"/>
  <c r="L11705" i="2"/>
  <c r="C11706" i="2"/>
  <c r="D11706" i="2"/>
  <c r="F11706" i="2"/>
  <c r="G11706" i="2"/>
  <c r="H11706" i="2"/>
  <c r="J11706" i="2"/>
  <c r="K11706" i="2"/>
  <c r="L11706" i="2"/>
  <c r="C11707" i="2"/>
  <c r="D11707" i="2"/>
  <c r="F11707" i="2"/>
  <c r="G11707" i="2"/>
  <c r="H11707" i="2"/>
  <c r="J11707" i="2"/>
  <c r="K11707" i="2"/>
  <c r="L11707" i="2"/>
  <c r="C11708" i="2"/>
  <c r="D11708" i="2"/>
  <c r="F11708" i="2"/>
  <c r="G11708" i="2"/>
  <c r="H11708" i="2"/>
  <c r="J11708" i="2"/>
  <c r="K11708" i="2"/>
  <c r="L11708" i="2"/>
  <c r="C11709" i="2"/>
  <c r="D11709" i="2"/>
  <c r="F11709" i="2"/>
  <c r="G11709" i="2"/>
  <c r="H11709" i="2"/>
  <c r="J11709" i="2"/>
  <c r="K11709" i="2"/>
  <c r="L11709" i="2"/>
  <c r="C11710" i="2"/>
  <c r="D11710" i="2"/>
  <c r="F11710" i="2"/>
  <c r="G11710" i="2"/>
  <c r="H11710" i="2"/>
  <c r="J11710" i="2"/>
  <c r="K11710" i="2"/>
  <c r="L11710" i="2"/>
  <c r="C11711" i="2"/>
  <c r="D11711" i="2"/>
  <c r="F11711" i="2"/>
  <c r="G11711" i="2"/>
  <c r="H11711" i="2"/>
  <c r="J11711" i="2"/>
  <c r="K11711" i="2"/>
  <c r="L11711" i="2"/>
  <c r="C11712" i="2"/>
  <c r="D11712" i="2"/>
  <c r="F11712" i="2"/>
  <c r="G11712" i="2"/>
  <c r="H11712" i="2"/>
  <c r="J11712" i="2"/>
  <c r="K11712" i="2"/>
  <c r="L11712" i="2"/>
  <c r="C11713" i="2"/>
  <c r="D11713" i="2"/>
  <c r="F11713" i="2"/>
  <c r="G11713" i="2"/>
  <c r="H11713" i="2"/>
  <c r="J11713" i="2"/>
  <c r="K11713" i="2"/>
  <c r="L11713" i="2"/>
  <c r="C11714" i="2"/>
  <c r="D11714" i="2"/>
  <c r="F11714" i="2"/>
  <c r="G11714" i="2"/>
  <c r="H11714" i="2"/>
  <c r="J11714" i="2"/>
  <c r="K11714" i="2"/>
  <c r="L11714" i="2"/>
  <c r="C11715" i="2"/>
  <c r="D11715" i="2"/>
  <c r="F11715" i="2"/>
  <c r="G11715" i="2"/>
  <c r="H11715" i="2"/>
  <c r="J11715" i="2"/>
  <c r="K11715" i="2"/>
  <c r="L11715" i="2"/>
  <c r="C11716" i="2"/>
  <c r="D11716" i="2"/>
  <c r="F11716" i="2"/>
  <c r="G11716" i="2"/>
  <c r="H11716" i="2"/>
  <c r="J11716" i="2"/>
  <c r="K11716" i="2"/>
  <c r="L11716" i="2"/>
  <c r="C11717" i="2"/>
  <c r="D11717" i="2"/>
  <c r="F11717" i="2"/>
  <c r="G11717" i="2"/>
  <c r="H11717" i="2"/>
  <c r="J11717" i="2"/>
  <c r="K11717" i="2"/>
  <c r="L11717" i="2"/>
  <c r="C11718" i="2"/>
  <c r="D11718" i="2"/>
  <c r="F11718" i="2"/>
  <c r="G11718" i="2"/>
  <c r="H11718" i="2"/>
  <c r="J11718" i="2"/>
  <c r="K11718" i="2"/>
  <c r="L11718" i="2"/>
  <c r="C11719" i="2"/>
  <c r="D11719" i="2"/>
  <c r="F11719" i="2"/>
  <c r="G11719" i="2"/>
  <c r="H11719" i="2"/>
  <c r="J11719" i="2"/>
  <c r="K11719" i="2"/>
  <c r="L11719" i="2"/>
  <c r="C11720" i="2"/>
  <c r="D11720" i="2"/>
  <c r="F11720" i="2"/>
  <c r="G11720" i="2"/>
  <c r="H11720" i="2"/>
  <c r="J11720" i="2"/>
  <c r="K11720" i="2"/>
  <c r="L11720" i="2"/>
  <c r="C11721" i="2"/>
  <c r="D11721" i="2"/>
  <c r="F11721" i="2"/>
  <c r="G11721" i="2"/>
  <c r="H11721" i="2"/>
  <c r="J11721" i="2"/>
  <c r="K11721" i="2"/>
  <c r="L11721" i="2"/>
  <c r="C11722" i="2"/>
  <c r="D11722" i="2"/>
  <c r="F11722" i="2"/>
  <c r="G11722" i="2"/>
  <c r="H11722" i="2"/>
  <c r="J11722" i="2"/>
  <c r="K11722" i="2"/>
  <c r="L11722" i="2"/>
  <c r="C11723" i="2"/>
  <c r="D11723" i="2"/>
  <c r="F11723" i="2"/>
  <c r="G11723" i="2"/>
  <c r="H11723" i="2"/>
  <c r="J11723" i="2"/>
  <c r="K11723" i="2"/>
  <c r="L11723" i="2"/>
  <c r="C11724" i="2"/>
  <c r="D11724" i="2"/>
  <c r="F11724" i="2"/>
  <c r="G11724" i="2"/>
  <c r="H11724" i="2"/>
  <c r="J11724" i="2"/>
  <c r="K11724" i="2"/>
  <c r="L11724" i="2"/>
  <c r="C11725" i="2"/>
  <c r="D11725" i="2"/>
  <c r="F11725" i="2"/>
  <c r="G11725" i="2"/>
  <c r="H11725" i="2"/>
  <c r="J11725" i="2"/>
  <c r="K11725" i="2"/>
  <c r="L11725" i="2"/>
  <c r="C11726" i="2"/>
  <c r="D11726" i="2"/>
  <c r="F11726" i="2"/>
  <c r="G11726" i="2"/>
  <c r="H11726" i="2"/>
  <c r="J11726" i="2"/>
  <c r="K11726" i="2"/>
  <c r="L11726" i="2"/>
  <c r="C11727" i="2"/>
  <c r="D11727" i="2"/>
  <c r="F11727" i="2"/>
  <c r="G11727" i="2"/>
  <c r="H11727" i="2"/>
  <c r="J11727" i="2"/>
  <c r="K11727" i="2"/>
  <c r="L11727" i="2"/>
  <c r="C11728" i="2"/>
  <c r="D11728" i="2"/>
  <c r="F11728" i="2"/>
  <c r="G11728" i="2"/>
  <c r="H11728" i="2"/>
  <c r="J11728" i="2"/>
  <c r="K11728" i="2"/>
  <c r="L11728" i="2"/>
  <c r="C11729" i="2"/>
  <c r="D11729" i="2"/>
  <c r="F11729" i="2"/>
  <c r="G11729" i="2"/>
  <c r="H11729" i="2"/>
  <c r="J11729" i="2"/>
  <c r="K11729" i="2"/>
  <c r="L11729" i="2"/>
  <c r="C11730" i="2"/>
  <c r="D11730" i="2"/>
  <c r="F11730" i="2"/>
  <c r="G11730" i="2"/>
  <c r="H11730" i="2"/>
  <c r="J11730" i="2"/>
  <c r="K11730" i="2"/>
  <c r="L11730" i="2"/>
  <c r="C11731" i="2"/>
  <c r="D11731" i="2"/>
  <c r="F11731" i="2"/>
  <c r="G11731" i="2"/>
  <c r="H11731" i="2"/>
  <c r="J11731" i="2"/>
  <c r="K11731" i="2"/>
  <c r="L11731" i="2"/>
  <c r="C11732" i="2"/>
  <c r="D11732" i="2"/>
  <c r="F11732" i="2"/>
  <c r="G11732" i="2"/>
  <c r="H11732" i="2"/>
  <c r="J11732" i="2"/>
  <c r="K11732" i="2"/>
  <c r="L11732" i="2"/>
  <c r="C11733" i="2"/>
  <c r="D11733" i="2"/>
  <c r="F11733" i="2"/>
  <c r="G11733" i="2"/>
  <c r="H11733" i="2"/>
  <c r="J11733" i="2"/>
  <c r="K11733" i="2"/>
  <c r="L11733" i="2"/>
  <c r="C11734" i="2"/>
  <c r="D11734" i="2"/>
  <c r="F11734" i="2"/>
  <c r="G11734" i="2"/>
  <c r="H11734" i="2"/>
  <c r="J11734" i="2"/>
  <c r="K11734" i="2"/>
  <c r="L11734" i="2"/>
  <c r="C11735" i="2"/>
  <c r="D11735" i="2"/>
  <c r="F11735" i="2"/>
  <c r="G11735" i="2"/>
  <c r="H11735" i="2"/>
  <c r="J11735" i="2"/>
  <c r="K11735" i="2"/>
  <c r="L11735" i="2"/>
  <c r="C11736" i="2"/>
  <c r="D11736" i="2"/>
  <c r="F11736" i="2"/>
  <c r="G11736" i="2"/>
  <c r="H11736" i="2"/>
  <c r="J11736" i="2"/>
  <c r="K11736" i="2"/>
  <c r="L11736" i="2"/>
  <c r="C11737" i="2"/>
  <c r="D11737" i="2"/>
  <c r="F11737" i="2"/>
  <c r="G11737" i="2"/>
  <c r="H11737" i="2"/>
  <c r="J11737" i="2"/>
  <c r="K11737" i="2"/>
  <c r="L11737" i="2"/>
  <c r="C11738" i="2"/>
  <c r="D11738" i="2"/>
  <c r="F11738" i="2"/>
  <c r="G11738" i="2"/>
  <c r="H11738" i="2"/>
  <c r="J11738" i="2"/>
  <c r="K11738" i="2"/>
  <c r="L11738" i="2"/>
  <c r="C11739" i="2"/>
  <c r="D11739" i="2"/>
  <c r="F11739" i="2"/>
  <c r="G11739" i="2"/>
  <c r="H11739" i="2"/>
  <c r="J11739" i="2"/>
  <c r="K11739" i="2"/>
  <c r="L11739" i="2"/>
  <c r="C11740" i="2"/>
  <c r="D11740" i="2"/>
  <c r="F11740" i="2"/>
  <c r="G11740" i="2"/>
  <c r="H11740" i="2"/>
  <c r="J11740" i="2"/>
  <c r="K11740" i="2"/>
  <c r="L11740" i="2"/>
  <c r="C11741" i="2"/>
  <c r="D11741" i="2"/>
  <c r="F11741" i="2"/>
  <c r="G11741" i="2"/>
  <c r="H11741" i="2"/>
  <c r="J11741" i="2"/>
  <c r="K11741" i="2"/>
  <c r="L11741" i="2"/>
  <c r="C11742" i="2"/>
  <c r="D11742" i="2"/>
  <c r="F11742" i="2"/>
  <c r="G11742" i="2"/>
  <c r="H11742" i="2"/>
  <c r="J11742" i="2"/>
  <c r="K11742" i="2"/>
  <c r="L11742" i="2"/>
  <c r="C11743" i="2"/>
  <c r="D11743" i="2"/>
  <c r="F11743" i="2"/>
  <c r="G11743" i="2"/>
  <c r="H11743" i="2"/>
  <c r="J11743" i="2"/>
  <c r="K11743" i="2"/>
  <c r="L11743" i="2"/>
  <c r="C11744" i="2"/>
  <c r="D11744" i="2"/>
  <c r="F11744" i="2"/>
  <c r="G11744" i="2"/>
  <c r="H11744" i="2"/>
  <c r="J11744" i="2"/>
  <c r="K11744" i="2"/>
  <c r="L11744" i="2"/>
  <c r="C11745" i="2"/>
  <c r="D11745" i="2"/>
  <c r="F11745" i="2"/>
  <c r="G11745" i="2"/>
  <c r="H11745" i="2"/>
  <c r="J11745" i="2"/>
  <c r="K11745" i="2"/>
  <c r="L11745" i="2"/>
  <c r="C11746" i="2"/>
  <c r="D11746" i="2"/>
  <c r="F11746" i="2"/>
  <c r="G11746" i="2"/>
  <c r="H11746" i="2"/>
  <c r="J11746" i="2"/>
  <c r="K11746" i="2"/>
  <c r="L11746" i="2"/>
  <c r="C11747" i="2"/>
  <c r="D11747" i="2"/>
  <c r="F11747" i="2"/>
  <c r="G11747" i="2"/>
  <c r="H11747" i="2"/>
  <c r="J11747" i="2"/>
  <c r="K11747" i="2"/>
  <c r="L11747" i="2"/>
  <c r="C11748" i="2"/>
  <c r="D11748" i="2"/>
  <c r="E11748" i="2"/>
  <c r="F11748" i="2"/>
  <c r="G11748" i="2"/>
  <c r="H11748" i="2"/>
  <c r="J11748" i="2"/>
  <c r="K11748" i="2"/>
  <c r="L11748" i="2"/>
  <c r="C11749" i="2"/>
  <c r="D11749" i="2"/>
  <c r="F11749" i="2"/>
  <c r="G11749" i="2"/>
  <c r="H11749" i="2"/>
  <c r="J11749" i="2"/>
  <c r="K11749" i="2"/>
  <c r="L11749" i="2"/>
  <c r="C11750" i="2"/>
  <c r="D11750" i="2"/>
  <c r="F11750" i="2"/>
  <c r="G11750" i="2"/>
  <c r="H11750" i="2"/>
  <c r="J11750" i="2"/>
  <c r="K11750" i="2"/>
  <c r="L11750" i="2"/>
  <c r="C11751" i="2"/>
  <c r="D11751" i="2"/>
  <c r="F11751" i="2"/>
  <c r="G11751" i="2"/>
  <c r="H11751" i="2"/>
  <c r="J11751" i="2"/>
  <c r="K11751" i="2"/>
  <c r="L11751" i="2"/>
  <c r="C11752" i="2"/>
  <c r="D11752" i="2"/>
  <c r="F11752" i="2"/>
  <c r="G11752" i="2"/>
  <c r="H11752" i="2"/>
  <c r="J11752" i="2"/>
  <c r="K11752" i="2"/>
  <c r="L11752" i="2"/>
  <c r="C11753" i="2"/>
  <c r="D11753" i="2"/>
  <c r="F11753" i="2"/>
  <c r="G11753" i="2"/>
  <c r="H11753" i="2"/>
  <c r="J11753" i="2"/>
  <c r="K11753" i="2"/>
  <c r="L11753" i="2"/>
  <c r="C11754" i="2"/>
  <c r="D11754" i="2"/>
  <c r="F11754" i="2"/>
  <c r="G11754" i="2"/>
  <c r="H11754" i="2"/>
  <c r="J11754" i="2"/>
  <c r="K11754" i="2"/>
  <c r="L11754" i="2"/>
  <c r="C11755" i="2"/>
  <c r="D11755" i="2"/>
  <c r="F11755" i="2"/>
  <c r="G11755" i="2"/>
  <c r="H11755" i="2"/>
  <c r="J11755" i="2"/>
  <c r="K11755" i="2"/>
  <c r="L11755" i="2"/>
  <c r="C11756" i="2"/>
  <c r="D11756" i="2"/>
  <c r="F11756" i="2"/>
  <c r="G11756" i="2"/>
  <c r="H11756" i="2"/>
  <c r="J11756" i="2"/>
  <c r="K11756" i="2"/>
  <c r="L11756" i="2"/>
  <c r="C11757" i="2"/>
  <c r="D11757" i="2"/>
  <c r="F11757" i="2"/>
  <c r="G11757" i="2"/>
  <c r="H11757" i="2"/>
  <c r="J11757" i="2"/>
  <c r="K11757" i="2"/>
  <c r="L11757" i="2"/>
  <c r="C11758" i="2"/>
  <c r="D11758" i="2"/>
  <c r="F11758" i="2"/>
  <c r="G11758" i="2"/>
  <c r="H11758" i="2"/>
  <c r="J11758" i="2"/>
  <c r="K11758" i="2"/>
  <c r="L11758" i="2"/>
  <c r="C11759" i="2"/>
  <c r="D11759" i="2"/>
  <c r="F11759" i="2"/>
  <c r="G11759" i="2"/>
  <c r="H11759" i="2"/>
  <c r="J11759" i="2"/>
  <c r="K11759" i="2"/>
  <c r="L11759" i="2"/>
  <c r="C11760" i="2"/>
  <c r="D11760" i="2"/>
  <c r="F11760" i="2"/>
  <c r="G11760" i="2"/>
  <c r="H11760" i="2"/>
  <c r="J11760" i="2"/>
  <c r="K11760" i="2"/>
  <c r="L11760" i="2"/>
  <c r="C11761" i="2"/>
  <c r="D11761" i="2"/>
  <c r="F11761" i="2"/>
  <c r="G11761" i="2"/>
  <c r="H11761" i="2"/>
  <c r="J11761" i="2"/>
  <c r="K11761" i="2"/>
  <c r="L11761" i="2"/>
  <c r="C11762" i="2"/>
  <c r="D11762" i="2"/>
  <c r="F11762" i="2"/>
  <c r="G11762" i="2"/>
  <c r="H11762" i="2"/>
  <c r="J11762" i="2"/>
  <c r="K11762" i="2"/>
  <c r="L11762" i="2"/>
  <c r="C11763" i="2"/>
  <c r="D11763" i="2"/>
  <c r="F11763" i="2"/>
  <c r="G11763" i="2"/>
  <c r="H11763" i="2"/>
  <c r="J11763" i="2"/>
  <c r="K11763" i="2"/>
  <c r="L11763" i="2"/>
  <c r="C11764" i="2"/>
  <c r="D11764" i="2"/>
  <c r="F11764" i="2"/>
  <c r="G11764" i="2"/>
  <c r="H11764" i="2"/>
  <c r="J11764" i="2"/>
  <c r="K11764" i="2"/>
  <c r="L11764" i="2"/>
  <c r="C11765" i="2"/>
  <c r="D11765" i="2"/>
  <c r="F11765" i="2"/>
  <c r="G11765" i="2"/>
  <c r="H11765" i="2"/>
  <c r="J11765" i="2"/>
  <c r="K11765" i="2"/>
  <c r="L11765" i="2"/>
  <c r="C11766" i="2"/>
  <c r="D11766" i="2"/>
  <c r="F11766" i="2"/>
  <c r="G11766" i="2"/>
  <c r="H11766" i="2"/>
  <c r="J11766" i="2"/>
  <c r="K11766" i="2"/>
  <c r="L11766" i="2"/>
  <c r="C11767" i="2"/>
  <c r="D11767" i="2"/>
  <c r="F11767" i="2"/>
  <c r="G11767" i="2"/>
  <c r="H11767" i="2"/>
  <c r="J11767" i="2"/>
  <c r="K11767" i="2"/>
  <c r="L11767" i="2"/>
  <c r="C11768" i="2"/>
  <c r="D11768" i="2"/>
  <c r="F11768" i="2"/>
  <c r="G11768" i="2"/>
  <c r="H11768" i="2"/>
  <c r="J11768" i="2"/>
  <c r="K11768" i="2"/>
  <c r="L11768" i="2"/>
  <c r="C11769" i="2"/>
  <c r="D11769" i="2"/>
  <c r="F11769" i="2"/>
  <c r="G11769" i="2"/>
  <c r="H11769" i="2"/>
  <c r="J11769" i="2"/>
  <c r="K11769" i="2"/>
  <c r="L11769" i="2"/>
  <c r="C11770" i="2"/>
  <c r="D11770" i="2"/>
  <c r="F11770" i="2"/>
  <c r="G11770" i="2"/>
  <c r="H11770" i="2"/>
  <c r="J11770" i="2"/>
  <c r="K11770" i="2"/>
  <c r="L11770" i="2"/>
  <c r="C11771" i="2"/>
  <c r="D11771" i="2"/>
  <c r="F11771" i="2"/>
  <c r="G11771" i="2"/>
  <c r="H11771" i="2"/>
  <c r="J11771" i="2"/>
  <c r="K11771" i="2"/>
  <c r="L11771" i="2"/>
  <c r="C11772" i="2"/>
  <c r="D11772" i="2"/>
  <c r="F11772" i="2"/>
  <c r="G11772" i="2"/>
  <c r="H11772" i="2"/>
  <c r="J11772" i="2"/>
  <c r="K11772" i="2"/>
  <c r="L11772" i="2"/>
  <c r="C11773" i="2"/>
  <c r="D11773" i="2"/>
  <c r="F11773" i="2"/>
  <c r="G11773" i="2"/>
  <c r="H11773" i="2"/>
  <c r="J11773" i="2"/>
  <c r="K11773" i="2"/>
  <c r="L11773" i="2"/>
  <c r="C11774" i="2"/>
  <c r="D11774" i="2"/>
  <c r="F11774" i="2"/>
  <c r="G11774" i="2"/>
  <c r="H11774" i="2"/>
  <c r="J11774" i="2"/>
  <c r="K11774" i="2"/>
  <c r="L11774" i="2"/>
  <c r="C11775" i="2"/>
  <c r="D11775" i="2"/>
  <c r="F11775" i="2"/>
  <c r="G11775" i="2"/>
  <c r="H11775" i="2"/>
  <c r="J11775" i="2"/>
  <c r="K11775" i="2"/>
  <c r="L11775" i="2"/>
  <c r="C11776" i="2"/>
  <c r="D11776" i="2"/>
  <c r="F11776" i="2"/>
  <c r="G11776" i="2"/>
  <c r="H11776" i="2"/>
  <c r="J11776" i="2"/>
  <c r="K11776" i="2"/>
  <c r="L11776" i="2"/>
  <c r="C11777" i="2"/>
  <c r="D11777" i="2"/>
  <c r="F11777" i="2"/>
  <c r="G11777" i="2"/>
  <c r="H11777" i="2"/>
  <c r="J11777" i="2"/>
  <c r="K11777" i="2"/>
  <c r="L11777" i="2"/>
  <c r="C11778" i="2"/>
  <c r="D11778" i="2"/>
  <c r="F11778" i="2"/>
  <c r="G11778" i="2"/>
  <c r="H11778" i="2"/>
  <c r="J11778" i="2"/>
  <c r="K11778" i="2"/>
  <c r="L11778" i="2"/>
  <c r="C11779" i="2"/>
  <c r="D11779" i="2"/>
  <c r="E11779" i="2"/>
  <c r="F11779" i="2"/>
  <c r="G11779" i="2"/>
  <c r="H11779" i="2"/>
  <c r="J11779" i="2"/>
  <c r="K11779" i="2"/>
  <c r="L11779" i="2"/>
  <c r="C11780" i="2"/>
  <c r="D11780" i="2"/>
  <c r="F11780" i="2"/>
  <c r="G11780" i="2"/>
  <c r="H11780" i="2"/>
  <c r="J11780" i="2"/>
  <c r="K11780" i="2"/>
  <c r="L11780" i="2"/>
  <c r="C11781" i="2"/>
  <c r="D11781" i="2"/>
  <c r="F11781" i="2"/>
  <c r="G11781" i="2"/>
  <c r="H11781" i="2"/>
  <c r="J11781" i="2"/>
  <c r="K11781" i="2"/>
  <c r="L11781" i="2"/>
  <c r="C11782" i="2"/>
  <c r="D11782" i="2"/>
  <c r="F11782" i="2"/>
  <c r="G11782" i="2"/>
  <c r="H11782" i="2"/>
  <c r="J11782" i="2"/>
  <c r="K11782" i="2"/>
  <c r="L11782" i="2"/>
  <c r="C11783" i="2"/>
  <c r="D11783" i="2"/>
  <c r="F11783" i="2"/>
  <c r="G11783" i="2"/>
  <c r="H11783" i="2"/>
  <c r="J11783" i="2"/>
  <c r="K11783" i="2"/>
  <c r="L11783" i="2"/>
  <c r="C11784" i="2"/>
  <c r="D11784" i="2"/>
  <c r="F11784" i="2"/>
  <c r="G11784" i="2"/>
  <c r="H11784" i="2"/>
  <c r="J11784" i="2"/>
  <c r="K11784" i="2"/>
  <c r="L11784" i="2"/>
  <c r="C11785" i="2"/>
  <c r="D11785" i="2"/>
  <c r="F11785" i="2"/>
  <c r="G11785" i="2"/>
  <c r="H11785" i="2"/>
  <c r="J11785" i="2"/>
  <c r="K11785" i="2"/>
  <c r="L11785" i="2"/>
  <c r="C11786" i="2"/>
  <c r="D11786" i="2"/>
  <c r="F11786" i="2"/>
  <c r="G11786" i="2"/>
  <c r="H11786" i="2"/>
  <c r="J11786" i="2"/>
  <c r="K11786" i="2"/>
  <c r="L11786" i="2"/>
  <c r="C11787" i="2"/>
  <c r="D11787" i="2"/>
  <c r="F11787" i="2"/>
  <c r="G11787" i="2"/>
  <c r="H11787" i="2"/>
  <c r="J11787" i="2"/>
  <c r="K11787" i="2"/>
  <c r="L11787" i="2"/>
  <c r="C11788" i="2"/>
  <c r="D11788" i="2"/>
  <c r="F11788" i="2"/>
  <c r="G11788" i="2"/>
  <c r="H11788" i="2"/>
  <c r="J11788" i="2"/>
  <c r="K11788" i="2"/>
  <c r="L11788" i="2"/>
  <c r="C11789" i="2"/>
  <c r="D11789" i="2"/>
  <c r="F11789" i="2"/>
  <c r="G11789" i="2"/>
  <c r="H11789" i="2"/>
  <c r="J11789" i="2"/>
  <c r="K11789" i="2"/>
  <c r="L11789" i="2"/>
  <c r="C11790" i="2"/>
  <c r="D11790" i="2"/>
  <c r="F11790" i="2"/>
  <c r="G11790" i="2"/>
  <c r="H11790" i="2"/>
  <c r="J11790" i="2"/>
  <c r="K11790" i="2"/>
  <c r="L11790" i="2"/>
  <c r="C11791" i="2"/>
  <c r="D11791" i="2"/>
  <c r="F11791" i="2"/>
  <c r="G11791" i="2"/>
  <c r="H11791" i="2"/>
  <c r="J11791" i="2"/>
  <c r="K11791" i="2"/>
  <c r="L11791" i="2"/>
  <c r="C11792" i="2"/>
  <c r="D11792" i="2"/>
  <c r="F11792" i="2"/>
  <c r="G11792" i="2"/>
  <c r="H11792" i="2"/>
  <c r="J11792" i="2"/>
  <c r="K11792" i="2"/>
  <c r="L11792" i="2"/>
  <c r="C11793" i="2"/>
  <c r="D11793" i="2"/>
  <c r="F11793" i="2"/>
  <c r="G11793" i="2"/>
  <c r="H11793" i="2"/>
  <c r="J11793" i="2"/>
  <c r="K11793" i="2"/>
  <c r="L11793" i="2"/>
  <c r="C11794" i="2"/>
  <c r="D11794" i="2"/>
  <c r="F11794" i="2"/>
  <c r="G11794" i="2"/>
  <c r="H11794" i="2"/>
  <c r="J11794" i="2"/>
  <c r="K11794" i="2"/>
  <c r="L11794" i="2"/>
  <c r="C11795" i="2"/>
  <c r="D11795" i="2"/>
  <c r="F11795" i="2"/>
  <c r="G11795" i="2"/>
  <c r="H11795" i="2"/>
  <c r="J11795" i="2"/>
  <c r="K11795" i="2"/>
  <c r="L11795" i="2"/>
  <c r="C11796" i="2"/>
  <c r="D11796" i="2"/>
  <c r="F11796" i="2"/>
  <c r="G11796" i="2"/>
  <c r="H11796" i="2"/>
  <c r="J11796" i="2"/>
  <c r="K11796" i="2"/>
  <c r="L11796" i="2"/>
  <c r="C11797" i="2"/>
  <c r="D11797" i="2"/>
  <c r="F11797" i="2"/>
  <c r="G11797" i="2"/>
  <c r="H11797" i="2"/>
  <c r="J11797" i="2"/>
  <c r="K11797" i="2"/>
  <c r="L11797" i="2"/>
  <c r="C11798" i="2"/>
  <c r="D11798" i="2"/>
  <c r="F11798" i="2"/>
  <c r="G11798" i="2"/>
  <c r="H11798" i="2"/>
  <c r="J11798" i="2"/>
  <c r="K11798" i="2"/>
  <c r="L11798" i="2"/>
  <c r="C11799" i="2"/>
  <c r="D11799" i="2"/>
  <c r="F11799" i="2"/>
  <c r="G11799" i="2"/>
  <c r="H11799" i="2"/>
  <c r="J11799" i="2"/>
  <c r="K11799" i="2"/>
  <c r="L11799" i="2"/>
  <c r="C11800" i="2"/>
  <c r="D11800" i="2"/>
  <c r="F11800" i="2"/>
  <c r="G11800" i="2"/>
  <c r="H11800" i="2"/>
  <c r="J11800" i="2"/>
  <c r="K11800" i="2"/>
  <c r="L11800" i="2"/>
  <c r="C11801" i="2"/>
  <c r="D11801" i="2"/>
  <c r="F11801" i="2"/>
  <c r="G11801" i="2"/>
  <c r="H11801" i="2"/>
  <c r="J11801" i="2"/>
  <c r="K11801" i="2"/>
  <c r="L11801" i="2"/>
  <c r="C11802" i="2"/>
  <c r="D11802" i="2"/>
  <c r="F11802" i="2"/>
  <c r="G11802" i="2"/>
  <c r="H11802" i="2"/>
  <c r="J11802" i="2"/>
  <c r="K11802" i="2"/>
  <c r="L11802" i="2"/>
  <c r="C11803" i="2"/>
  <c r="D11803" i="2"/>
  <c r="F11803" i="2"/>
  <c r="G11803" i="2"/>
  <c r="H11803" i="2"/>
  <c r="J11803" i="2"/>
  <c r="K11803" i="2"/>
  <c r="L11803" i="2"/>
  <c r="C11804" i="2"/>
  <c r="D11804" i="2"/>
  <c r="F11804" i="2"/>
  <c r="G11804" i="2"/>
  <c r="H11804" i="2"/>
  <c r="J11804" i="2"/>
  <c r="K11804" i="2"/>
  <c r="L11804" i="2"/>
  <c r="C11805" i="2"/>
  <c r="D11805" i="2"/>
  <c r="F11805" i="2"/>
  <c r="G11805" i="2"/>
  <c r="H11805" i="2"/>
  <c r="J11805" i="2"/>
  <c r="K11805" i="2"/>
  <c r="L11805" i="2"/>
  <c r="C11806" i="2"/>
  <c r="D11806" i="2"/>
  <c r="F11806" i="2"/>
  <c r="G11806" i="2"/>
  <c r="H11806" i="2"/>
  <c r="J11806" i="2"/>
  <c r="K11806" i="2"/>
  <c r="L11806" i="2"/>
  <c r="C11807" i="2"/>
  <c r="D11807" i="2"/>
  <c r="F11807" i="2"/>
  <c r="G11807" i="2"/>
  <c r="H11807" i="2"/>
  <c r="J11807" i="2"/>
  <c r="K11807" i="2"/>
  <c r="L11807" i="2"/>
  <c r="C11808" i="2"/>
  <c r="D11808" i="2"/>
  <c r="F11808" i="2"/>
  <c r="G11808" i="2"/>
  <c r="H11808" i="2"/>
  <c r="J11808" i="2"/>
  <c r="K11808" i="2"/>
  <c r="L11808" i="2"/>
  <c r="D11809" i="2"/>
  <c r="F11809" i="2"/>
  <c r="G11809" i="2"/>
  <c r="H11809" i="2"/>
  <c r="J11809" i="2"/>
  <c r="K11809" i="2"/>
  <c r="L11809" i="2"/>
  <c r="C11810" i="2"/>
  <c r="D11810" i="2"/>
  <c r="F11810" i="2"/>
  <c r="G11810" i="2"/>
  <c r="H11810" i="2"/>
  <c r="J11810" i="2"/>
  <c r="K11810" i="2"/>
  <c r="L11810" i="2"/>
  <c r="C11811" i="2"/>
  <c r="D11811" i="2"/>
  <c r="F11811" i="2"/>
  <c r="G11811" i="2"/>
  <c r="H11811" i="2"/>
  <c r="J11811" i="2"/>
  <c r="K11811" i="2"/>
  <c r="L11811" i="2"/>
  <c r="C11812" i="2"/>
  <c r="D11812" i="2"/>
  <c r="F11812" i="2"/>
  <c r="G11812" i="2"/>
  <c r="H11812" i="2"/>
  <c r="J11812" i="2"/>
  <c r="K11812" i="2"/>
  <c r="L11812" i="2"/>
  <c r="C11813" i="2"/>
  <c r="D11813" i="2"/>
  <c r="F11813" i="2"/>
  <c r="G11813" i="2"/>
  <c r="H11813" i="2"/>
  <c r="J11813" i="2"/>
  <c r="K11813" i="2"/>
  <c r="L11813" i="2"/>
  <c r="C11814" i="2"/>
  <c r="D11814" i="2"/>
  <c r="F11814" i="2"/>
  <c r="G11814" i="2"/>
  <c r="H11814" i="2"/>
  <c r="J11814" i="2"/>
  <c r="K11814" i="2"/>
  <c r="L11814" i="2"/>
  <c r="C11815" i="2"/>
  <c r="D11815" i="2"/>
  <c r="F11815" i="2"/>
  <c r="G11815" i="2"/>
  <c r="H11815" i="2"/>
  <c r="J11815" i="2"/>
  <c r="K11815" i="2"/>
  <c r="L11815" i="2"/>
  <c r="C11816" i="2"/>
  <c r="D11816" i="2"/>
  <c r="F11816" i="2"/>
  <c r="G11816" i="2"/>
  <c r="H11816" i="2"/>
  <c r="J11816" i="2"/>
  <c r="K11816" i="2"/>
  <c r="L11816" i="2"/>
  <c r="C11817" i="2"/>
  <c r="D11817" i="2"/>
  <c r="F11817" i="2"/>
  <c r="G11817" i="2"/>
  <c r="H11817" i="2"/>
  <c r="J11817" i="2"/>
  <c r="K11817" i="2"/>
  <c r="L11817" i="2"/>
  <c r="C11818" i="2"/>
  <c r="D11818" i="2"/>
  <c r="F11818" i="2"/>
  <c r="G11818" i="2"/>
  <c r="H11818" i="2"/>
  <c r="J11818" i="2"/>
  <c r="K11818" i="2"/>
  <c r="L11818" i="2"/>
  <c r="C11819" i="2"/>
  <c r="D11819" i="2"/>
  <c r="F11819" i="2"/>
  <c r="G11819" i="2"/>
  <c r="H11819" i="2"/>
  <c r="J11819" i="2"/>
  <c r="K11819" i="2"/>
  <c r="L11819" i="2"/>
  <c r="C11820" i="2"/>
  <c r="D11820" i="2"/>
  <c r="F11820" i="2"/>
  <c r="G11820" i="2"/>
  <c r="H11820" i="2"/>
  <c r="J11820" i="2"/>
  <c r="K11820" i="2"/>
  <c r="L11820" i="2"/>
  <c r="C11821" i="2"/>
  <c r="D11821" i="2"/>
  <c r="F11821" i="2"/>
  <c r="G11821" i="2"/>
  <c r="H11821" i="2"/>
  <c r="J11821" i="2"/>
  <c r="K11821" i="2"/>
  <c r="L11821" i="2"/>
  <c r="C11822" i="2"/>
  <c r="D11822" i="2"/>
  <c r="F11822" i="2"/>
  <c r="G11822" i="2"/>
  <c r="H11822" i="2"/>
  <c r="J11822" i="2"/>
  <c r="K11822" i="2"/>
  <c r="L11822" i="2"/>
  <c r="C11823" i="2"/>
  <c r="D11823" i="2"/>
  <c r="F11823" i="2"/>
  <c r="G11823" i="2"/>
  <c r="H11823" i="2"/>
  <c r="J11823" i="2"/>
  <c r="K11823" i="2"/>
  <c r="L11823" i="2"/>
  <c r="C11824" i="2"/>
  <c r="D11824" i="2"/>
  <c r="F11824" i="2"/>
  <c r="G11824" i="2"/>
  <c r="H11824" i="2"/>
  <c r="J11824" i="2"/>
  <c r="K11824" i="2"/>
  <c r="L11824" i="2"/>
  <c r="C11825" i="2"/>
  <c r="D11825" i="2"/>
  <c r="F11825" i="2"/>
  <c r="G11825" i="2"/>
  <c r="H11825" i="2"/>
  <c r="J11825" i="2"/>
  <c r="K11825" i="2"/>
  <c r="L11825" i="2"/>
  <c r="C11826" i="2"/>
  <c r="D11826" i="2"/>
  <c r="F11826" i="2"/>
  <c r="G11826" i="2"/>
  <c r="H11826" i="2"/>
  <c r="J11826" i="2"/>
  <c r="K11826" i="2"/>
  <c r="L11826" i="2"/>
  <c r="C11827" i="2"/>
  <c r="D11827" i="2"/>
  <c r="F11827" i="2"/>
  <c r="G11827" i="2"/>
  <c r="H11827" i="2"/>
  <c r="J11827" i="2"/>
  <c r="K11827" i="2"/>
  <c r="L11827" i="2"/>
  <c r="C11828" i="2"/>
  <c r="D11828" i="2"/>
  <c r="F11828" i="2"/>
  <c r="G11828" i="2"/>
  <c r="H11828" i="2"/>
  <c r="J11828" i="2"/>
  <c r="K11828" i="2"/>
  <c r="L11828" i="2"/>
  <c r="C11829" i="2"/>
  <c r="D11829" i="2"/>
  <c r="F11829" i="2"/>
  <c r="G11829" i="2"/>
  <c r="H11829" i="2"/>
  <c r="J11829" i="2"/>
  <c r="K11829" i="2"/>
  <c r="L11829" i="2"/>
  <c r="C11830" i="2"/>
  <c r="D11830" i="2"/>
  <c r="F11830" i="2"/>
  <c r="G11830" i="2"/>
  <c r="H11830" i="2"/>
  <c r="J11830" i="2"/>
  <c r="K11830" i="2"/>
  <c r="L11830" i="2"/>
  <c r="C11831" i="2"/>
  <c r="D11831" i="2"/>
  <c r="F11831" i="2"/>
  <c r="G11831" i="2"/>
  <c r="H11831" i="2"/>
  <c r="J11831" i="2"/>
  <c r="K11831" i="2"/>
  <c r="L11831" i="2"/>
  <c r="C11832" i="2"/>
  <c r="D11832" i="2"/>
  <c r="F11832" i="2"/>
  <c r="G11832" i="2"/>
  <c r="H11832" i="2"/>
  <c r="J11832" i="2"/>
  <c r="K11832" i="2"/>
  <c r="L11832" i="2"/>
  <c r="C11833" i="2"/>
  <c r="D11833" i="2"/>
  <c r="F11833" i="2"/>
  <c r="G11833" i="2"/>
  <c r="H11833" i="2"/>
  <c r="J11833" i="2"/>
  <c r="K11833" i="2"/>
  <c r="L11833" i="2"/>
  <c r="C11834" i="2"/>
  <c r="D11834" i="2"/>
  <c r="F11834" i="2"/>
  <c r="G11834" i="2"/>
  <c r="H11834" i="2"/>
  <c r="J11834" i="2"/>
  <c r="K11834" i="2"/>
  <c r="L11834" i="2"/>
  <c r="C11835" i="2"/>
  <c r="D11835" i="2"/>
  <c r="F11835" i="2"/>
  <c r="G11835" i="2"/>
  <c r="H11835" i="2"/>
  <c r="J11835" i="2"/>
  <c r="K11835" i="2"/>
  <c r="L11835" i="2"/>
  <c r="C11836" i="2"/>
  <c r="D11836" i="2"/>
  <c r="F11836" i="2"/>
  <c r="G11836" i="2"/>
  <c r="H11836" i="2"/>
  <c r="J11836" i="2"/>
  <c r="K11836" i="2"/>
  <c r="L11836" i="2"/>
  <c r="C11837" i="2"/>
  <c r="D11837" i="2"/>
  <c r="F11837" i="2"/>
  <c r="G11837" i="2"/>
  <c r="H11837" i="2"/>
  <c r="J11837" i="2"/>
  <c r="K11837" i="2"/>
  <c r="L11837" i="2"/>
  <c r="C11838" i="2"/>
  <c r="D11838" i="2"/>
  <c r="F11838" i="2"/>
  <c r="G11838" i="2"/>
  <c r="H11838" i="2"/>
  <c r="J11838" i="2"/>
  <c r="K11838" i="2"/>
  <c r="L11838" i="2"/>
  <c r="C11839" i="2"/>
  <c r="D11839" i="2"/>
  <c r="F11839" i="2"/>
  <c r="G11839" i="2"/>
  <c r="H11839" i="2"/>
  <c r="J11839" i="2"/>
  <c r="K11839" i="2"/>
  <c r="L11839" i="2"/>
  <c r="C11840" i="2"/>
  <c r="D11840" i="2"/>
  <c r="F11840" i="2"/>
  <c r="G11840" i="2"/>
  <c r="H11840" i="2"/>
  <c r="J11840" i="2"/>
  <c r="K11840" i="2"/>
  <c r="L11840" i="2"/>
  <c r="C11841" i="2"/>
  <c r="D11841" i="2"/>
  <c r="F11841" i="2"/>
  <c r="G11841" i="2"/>
  <c r="H11841" i="2"/>
  <c r="J11841" i="2"/>
  <c r="K11841" i="2"/>
  <c r="L11841" i="2"/>
  <c r="C11842" i="2"/>
  <c r="D11842" i="2"/>
  <c r="F11842" i="2"/>
  <c r="G11842" i="2"/>
  <c r="H11842" i="2"/>
  <c r="J11842" i="2"/>
  <c r="K11842" i="2"/>
  <c r="L11842" i="2"/>
  <c r="C11843" i="2"/>
  <c r="D11843" i="2"/>
  <c r="F11843" i="2"/>
  <c r="G11843" i="2"/>
  <c r="H11843" i="2"/>
  <c r="J11843" i="2"/>
  <c r="K11843" i="2"/>
  <c r="L11843" i="2"/>
  <c r="C11844" i="2"/>
  <c r="D11844" i="2"/>
  <c r="F11844" i="2"/>
  <c r="G11844" i="2"/>
  <c r="H11844" i="2"/>
  <c r="J11844" i="2"/>
  <c r="K11844" i="2"/>
  <c r="L11844" i="2"/>
  <c r="C11845" i="2"/>
  <c r="D11845" i="2"/>
  <c r="F11845" i="2"/>
  <c r="G11845" i="2"/>
  <c r="H11845" i="2"/>
  <c r="J11845" i="2"/>
  <c r="K11845" i="2"/>
  <c r="L11845" i="2"/>
  <c r="C11846" i="2"/>
  <c r="D11846" i="2"/>
  <c r="F11846" i="2"/>
  <c r="G11846" i="2"/>
  <c r="H11846" i="2"/>
  <c r="J11846" i="2"/>
  <c r="K11846" i="2"/>
  <c r="L11846" i="2"/>
  <c r="C11847" i="2"/>
  <c r="D11847" i="2"/>
  <c r="F11847" i="2"/>
  <c r="G11847" i="2"/>
  <c r="H11847" i="2"/>
  <c r="J11847" i="2"/>
  <c r="K11847" i="2"/>
  <c r="L11847" i="2"/>
  <c r="C11848" i="2"/>
  <c r="D11848" i="2"/>
  <c r="F11848" i="2"/>
  <c r="G11848" i="2"/>
  <c r="H11848" i="2"/>
  <c r="J11848" i="2"/>
  <c r="K11848" i="2"/>
  <c r="L11848" i="2"/>
  <c r="C11849" i="2"/>
  <c r="D11849" i="2"/>
  <c r="F11849" i="2"/>
  <c r="G11849" i="2"/>
  <c r="H11849" i="2"/>
  <c r="J11849" i="2"/>
  <c r="K11849" i="2"/>
  <c r="L11849" i="2"/>
  <c r="C11850" i="2"/>
  <c r="D11850" i="2"/>
  <c r="F11850" i="2"/>
  <c r="G11850" i="2"/>
  <c r="H11850" i="2"/>
  <c r="J11850" i="2"/>
  <c r="K11850" i="2"/>
  <c r="L11850" i="2"/>
  <c r="C11851" i="2"/>
  <c r="D11851" i="2"/>
  <c r="F11851" i="2"/>
  <c r="G11851" i="2"/>
  <c r="H11851" i="2"/>
  <c r="J11851" i="2"/>
  <c r="K11851" i="2"/>
  <c r="L11851" i="2"/>
  <c r="C11852" i="2"/>
  <c r="D11852" i="2"/>
  <c r="F11852" i="2"/>
  <c r="G11852" i="2"/>
  <c r="H11852" i="2"/>
  <c r="J11852" i="2"/>
  <c r="K11852" i="2"/>
  <c r="L11852" i="2"/>
  <c r="C11853" i="2"/>
  <c r="D11853" i="2"/>
  <c r="F11853" i="2"/>
  <c r="G11853" i="2"/>
  <c r="H11853" i="2"/>
  <c r="J11853" i="2"/>
  <c r="K11853" i="2"/>
  <c r="L11853" i="2"/>
  <c r="C11854" i="2"/>
  <c r="D11854" i="2"/>
  <c r="F11854" i="2"/>
  <c r="G11854" i="2"/>
  <c r="H11854" i="2"/>
  <c r="J11854" i="2"/>
  <c r="K11854" i="2"/>
  <c r="L11854" i="2"/>
  <c r="C11855" i="2"/>
  <c r="D11855" i="2"/>
  <c r="F11855" i="2"/>
  <c r="G11855" i="2"/>
  <c r="H11855" i="2"/>
  <c r="J11855" i="2"/>
  <c r="K11855" i="2"/>
  <c r="L11855" i="2"/>
  <c r="C11856" i="2"/>
  <c r="D11856" i="2"/>
  <c r="F11856" i="2"/>
  <c r="G11856" i="2"/>
  <c r="H11856" i="2"/>
  <c r="J11856" i="2"/>
  <c r="K11856" i="2"/>
  <c r="L11856" i="2"/>
  <c r="C11857" i="2"/>
  <c r="D11857" i="2"/>
  <c r="F11857" i="2"/>
  <c r="G11857" i="2"/>
  <c r="H11857" i="2"/>
  <c r="J11857" i="2"/>
  <c r="K11857" i="2"/>
  <c r="L11857" i="2"/>
  <c r="C11858" i="2"/>
  <c r="D11858" i="2"/>
  <c r="F11858" i="2"/>
  <c r="G11858" i="2"/>
  <c r="H11858" i="2"/>
  <c r="J11858" i="2"/>
  <c r="K11858" i="2"/>
  <c r="L11858" i="2"/>
  <c r="C11859" i="2"/>
  <c r="D11859" i="2"/>
  <c r="F11859" i="2"/>
  <c r="G11859" i="2"/>
  <c r="H11859" i="2"/>
  <c r="J11859" i="2"/>
  <c r="K11859" i="2"/>
  <c r="L11859" i="2"/>
  <c r="C11860" i="2"/>
  <c r="D11860" i="2"/>
  <c r="F11860" i="2"/>
  <c r="G11860" i="2"/>
  <c r="H11860" i="2"/>
  <c r="J11860" i="2"/>
  <c r="K11860" i="2"/>
  <c r="L11860" i="2"/>
  <c r="C11861" i="2"/>
  <c r="D11861" i="2"/>
  <c r="F11861" i="2"/>
  <c r="G11861" i="2"/>
  <c r="H11861" i="2"/>
  <c r="J11861" i="2"/>
  <c r="K11861" i="2"/>
  <c r="L11861" i="2"/>
  <c r="C11862" i="2"/>
  <c r="D11862" i="2"/>
  <c r="F11862" i="2"/>
  <c r="G11862" i="2"/>
  <c r="H11862" i="2"/>
  <c r="J11862" i="2"/>
  <c r="K11862" i="2"/>
  <c r="L11862" i="2"/>
  <c r="C11863" i="2"/>
  <c r="D11863" i="2"/>
  <c r="F11863" i="2"/>
  <c r="G11863" i="2"/>
  <c r="H11863" i="2"/>
  <c r="J11863" i="2"/>
  <c r="K11863" i="2"/>
  <c r="L11863" i="2"/>
  <c r="C11864" i="2"/>
  <c r="D11864" i="2"/>
  <c r="F11864" i="2"/>
  <c r="G11864" i="2"/>
  <c r="H11864" i="2"/>
  <c r="J11864" i="2"/>
  <c r="K11864" i="2"/>
  <c r="L11864" i="2"/>
  <c r="C11865" i="2"/>
  <c r="D11865" i="2"/>
  <c r="F11865" i="2"/>
  <c r="G11865" i="2"/>
  <c r="H11865" i="2"/>
  <c r="J11865" i="2"/>
  <c r="K11865" i="2"/>
  <c r="L11865" i="2"/>
  <c r="C11866" i="2"/>
  <c r="D11866" i="2"/>
  <c r="F11866" i="2"/>
  <c r="G11866" i="2"/>
  <c r="H11866" i="2"/>
  <c r="J11866" i="2"/>
  <c r="K11866" i="2"/>
  <c r="L11866" i="2"/>
  <c r="C11867" i="2"/>
  <c r="D11867" i="2"/>
  <c r="F11867" i="2"/>
  <c r="G11867" i="2"/>
  <c r="H11867" i="2"/>
  <c r="J11867" i="2"/>
  <c r="K11867" i="2"/>
  <c r="L11867" i="2"/>
  <c r="C11868" i="2"/>
  <c r="D11868" i="2"/>
  <c r="F11868" i="2"/>
  <c r="G11868" i="2"/>
  <c r="H11868" i="2"/>
  <c r="J11868" i="2"/>
  <c r="K11868" i="2"/>
  <c r="L11868" i="2"/>
  <c r="C11869" i="2"/>
  <c r="D11869" i="2"/>
  <c r="F11869" i="2"/>
  <c r="G11869" i="2"/>
  <c r="H11869" i="2"/>
  <c r="J11869" i="2"/>
  <c r="K11869" i="2"/>
  <c r="L11869" i="2"/>
  <c r="C11870" i="2"/>
  <c r="D11870" i="2"/>
  <c r="F11870" i="2"/>
  <c r="G11870" i="2"/>
  <c r="H11870" i="2"/>
  <c r="J11870" i="2"/>
  <c r="K11870" i="2"/>
  <c r="L11870" i="2"/>
  <c r="C11871" i="2"/>
  <c r="D11871" i="2"/>
  <c r="F11871" i="2"/>
  <c r="G11871" i="2"/>
  <c r="H11871" i="2"/>
  <c r="J11871" i="2"/>
  <c r="K11871" i="2"/>
  <c r="L11871" i="2"/>
  <c r="C11872" i="2"/>
  <c r="D11872" i="2"/>
  <c r="F11872" i="2"/>
  <c r="G11872" i="2"/>
  <c r="H11872" i="2"/>
  <c r="J11872" i="2"/>
  <c r="K11872" i="2"/>
  <c r="L11872" i="2"/>
  <c r="C11873" i="2"/>
  <c r="D11873" i="2"/>
  <c r="F11873" i="2"/>
  <c r="G11873" i="2"/>
  <c r="H11873" i="2"/>
  <c r="J11873" i="2"/>
  <c r="K11873" i="2"/>
  <c r="L11873" i="2"/>
  <c r="C11874" i="2"/>
  <c r="D11874" i="2"/>
  <c r="F11874" i="2"/>
  <c r="G11874" i="2"/>
  <c r="H11874" i="2"/>
  <c r="J11874" i="2"/>
  <c r="K11874" i="2"/>
  <c r="L11874" i="2"/>
  <c r="C11875" i="2"/>
  <c r="D11875" i="2"/>
  <c r="F11875" i="2"/>
  <c r="G11875" i="2"/>
  <c r="H11875" i="2"/>
  <c r="J11875" i="2"/>
  <c r="K11875" i="2"/>
  <c r="L11875" i="2"/>
  <c r="C11876" i="2"/>
  <c r="D11876" i="2"/>
  <c r="F11876" i="2"/>
  <c r="G11876" i="2"/>
  <c r="H11876" i="2"/>
  <c r="J11876" i="2"/>
  <c r="K11876" i="2"/>
  <c r="L11876" i="2"/>
  <c r="C11877" i="2"/>
  <c r="D11877" i="2"/>
  <c r="F11877" i="2"/>
  <c r="G11877" i="2"/>
  <c r="H11877" i="2"/>
  <c r="J11877" i="2"/>
  <c r="K11877" i="2"/>
  <c r="L11877" i="2"/>
  <c r="C11878" i="2"/>
  <c r="D11878" i="2"/>
  <c r="F11878" i="2"/>
  <c r="G11878" i="2"/>
  <c r="H11878" i="2"/>
  <c r="J11878" i="2"/>
  <c r="K11878" i="2"/>
  <c r="L11878" i="2"/>
  <c r="C11879" i="2"/>
  <c r="D11879" i="2"/>
  <c r="F11879" i="2"/>
  <c r="G11879" i="2"/>
  <c r="H11879" i="2"/>
  <c r="J11879" i="2"/>
  <c r="K11879" i="2"/>
  <c r="L11879" i="2"/>
  <c r="C11880" i="2"/>
  <c r="D11880" i="2"/>
  <c r="F11880" i="2"/>
  <c r="G11880" i="2"/>
  <c r="H11880" i="2"/>
  <c r="J11880" i="2"/>
  <c r="K11880" i="2"/>
  <c r="L11880" i="2"/>
  <c r="C11881" i="2"/>
  <c r="D11881" i="2"/>
  <c r="F11881" i="2"/>
  <c r="G11881" i="2"/>
  <c r="H11881" i="2"/>
  <c r="J11881" i="2"/>
  <c r="K11881" i="2"/>
  <c r="L11881" i="2"/>
  <c r="C11882" i="2"/>
  <c r="D11882" i="2"/>
  <c r="F11882" i="2"/>
  <c r="G11882" i="2"/>
  <c r="H11882" i="2"/>
  <c r="J11882" i="2"/>
  <c r="K11882" i="2"/>
  <c r="L11882" i="2"/>
  <c r="C11883" i="2"/>
  <c r="D11883" i="2"/>
  <c r="F11883" i="2"/>
  <c r="G11883" i="2"/>
  <c r="H11883" i="2"/>
  <c r="J11883" i="2"/>
  <c r="K11883" i="2"/>
  <c r="L11883" i="2"/>
  <c r="C11884" i="2"/>
  <c r="D11884" i="2"/>
  <c r="F11884" i="2"/>
  <c r="G11884" i="2"/>
  <c r="H11884" i="2"/>
  <c r="J11884" i="2"/>
  <c r="K11884" i="2"/>
  <c r="L11884" i="2"/>
  <c r="C11885" i="2"/>
  <c r="D11885" i="2"/>
  <c r="F11885" i="2"/>
  <c r="G11885" i="2"/>
  <c r="H11885" i="2"/>
  <c r="J11885" i="2"/>
  <c r="K11885" i="2"/>
  <c r="L11885" i="2"/>
  <c r="C11886" i="2"/>
  <c r="D11886" i="2"/>
  <c r="F11886" i="2"/>
  <c r="G11886" i="2"/>
  <c r="H11886" i="2"/>
  <c r="J11886" i="2"/>
  <c r="K11886" i="2"/>
  <c r="L11886" i="2"/>
  <c r="C11887" i="2"/>
  <c r="D11887" i="2"/>
  <c r="F11887" i="2"/>
  <c r="G11887" i="2"/>
  <c r="H11887" i="2"/>
  <c r="J11887" i="2"/>
  <c r="K11887" i="2"/>
  <c r="L11887" i="2"/>
  <c r="C11888" i="2"/>
  <c r="D11888" i="2"/>
  <c r="F11888" i="2"/>
  <c r="G11888" i="2"/>
  <c r="H11888" i="2"/>
  <c r="J11888" i="2"/>
  <c r="K11888" i="2"/>
  <c r="L11888" i="2"/>
  <c r="C11889" i="2"/>
  <c r="D11889" i="2"/>
  <c r="F11889" i="2"/>
  <c r="G11889" i="2"/>
  <c r="H11889" i="2"/>
  <c r="J11889" i="2"/>
  <c r="K11889" i="2"/>
  <c r="L11889" i="2"/>
  <c r="C11890" i="2"/>
  <c r="D11890" i="2"/>
  <c r="F11890" i="2"/>
  <c r="G11890" i="2"/>
  <c r="H11890" i="2"/>
  <c r="J11890" i="2"/>
  <c r="K11890" i="2"/>
  <c r="L11890" i="2"/>
  <c r="C11891" i="2"/>
  <c r="D11891" i="2"/>
  <c r="F11891" i="2"/>
  <c r="G11891" i="2"/>
  <c r="H11891" i="2"/>
  <c r="J11891" i="2"/>
  <c r="K11891" i="2"/>
  <c r="L11891" i="2"/>
  <c r="C11892" i="2"/>
  <c r="D11892" i="2"/>
  <c r="F11892" i="2"/>
  <c r="G11892" i="2"/>
  <c r="H11892" i="2"/>
  <c r="J11892" i="2"/>
  <c r="K11892" i="2"/>
  <c r="L11892" i="2"/>
  <c r="C11893" i="2"/>
  <c r="D11893" i="2"/>
  <c r="F11893" i="2"/>
  <c r="G11893" i="2"/>
  <c r="H11893" i="2"/>
  <c r="J11893" i="2"/>
  <c r="K11893" i="2"/>
  <c r="L11893" i="2"/>
  <c r="C11894" i="2"/>
  <c r="D11894" i="2"/>
  <c r="F11894" i="2"/>
  <c r="G11894" i="2"/>
  <c r="H11894" i="2"/>
  <c r="J11894" i="2"/>
  <c r="K11894" i="2"/>
  <c r="L11894" i="2"/>
  <c r="C11895" i="2"/>
  <c r="D11895" i="2"/>
  <c r="F11895" i="2"/>
  <c r="G11895" i="2"/>
  <c r="H11895" i="2"/>
  <c r="J11895" i="2"/>
  <c r="K11895" i="2"/>
  <c r="L11895" i="2"/>
  <c r="C11896" i="2"/>
  <c r="D11896" i="2"/>
  <c r="F11896" i="2"/>
  <c r="G11896" i="2"/>
  <c r="H11896" i="2"/>
  <c r="J11896" i="2"/>
  <c r="K11896" i="2"/>
  <c r="L11896" i="2"/>
  <c r="C11897" i="2"/>
  <c r="D11897" i="2"/>
  <c r="F11897" i="2"/>
  <c r="G11897" i="2"/>
  <c r="H11897" i="2"/>
  <c r="J11897" i="2"/>
  <c r="K11897" i="2"/>
  <c r="L11897" i="2"/>
  <c r="C11898" i="2"/>
  <c r="D11898" i="2"/>
  <c r="F11898" i="2"/>
  <c r="G11898" i="2"/>
  <c r="H11898" i="2"/>
  <c r="J11898" i="2"/>
  <c r="K11898" i="2"/>
  <c r="L11898" i="2"/>
  <c r="C11899" i="2"/>
  <c r="D11899" i="2"/>
  <c r="F11899" i="2"/>
  <c r="G11899" i="2"/>
  <c r="H11899" i="2"/>
  <c r="J11899" i="2"/>
  <c r="K11899" i="2"/>
  <c r="L11899" i="2"/>
  <c r="C11900" i="2"/>
  <c r="D11900" i="2"/>
  <c r="F11900" i="2"/>
  <c r="G11900" i="2"/>
  <c r="H11900" i="2"/>
  <c r="J11900" i="2"/>
  <c r="K11900" i="2"/>
  <c r="L11900" i="2"/>
  <c r="C11901" i="2"/>
  <c r="D11901" i="2"/>
  <c r="F11901" i="2"/>
  <c r="G11901" i="2"/>
  <c r="H11901" i="2"/>
  <c r="J11901" i="2"/>
  <c r="K11901" i="2"/>
  <c r="L11901" i="2"/>
  <c r="C11902" i="2"/>
  <c r="D11902" i="2"/>
  <c r="F11902" i="2"/>
  <c r="G11902" i="2"/>
  <c r="H11902" i="2"/>
  <c r="J11902" i="2"/>
  <c r="K11902" i="2"/>
  <c r="L11902" i="2"/>
  <c r="C11903" i="2"/>
  <c r="D11903" i="2"/>
  <c r="F11903" i="2"/>
  <c r="G11903" i="2"/>
  <c r="H11903" i="2"/>
  <c r="J11903" i="2"/>
  <c r="K11903" i="2"/>
  <c r="L11903" i="2"/>
  <c r="C11904" i="2"/>
  <c r="D11904" i="2"/>
  <c r="F11904" i="2"/>
  <c r="G11904" i="2"/>
  <c r="H11904" i="2"/>
  <c r="J11904" i="2"/>
  <c r="K11904" i="2"/>
  <c r="L11904" i="2"/>
  <c r="C11905" i="2"/>
  <c r="D11905" i="2"/>
  <c r="F11905" i="2"/>
  <c r="G11905" i="2"/>
  <c r="H11905" i="2"/>
  <c r="J11905" i="2"/>
  <c r="K11905" i="2"/>
  <c r="L11905" i="2"/>
  <c r="C11906" i="2"/>
  <c r="D11906" i="2"/>
  <c r="F11906" i="2"/>
  <c r="G11906" i="2"/>
  <c r="H11906" i="2"/>
  <c r="J11906" i="2"/>
  <c r="K11906" i="2"/>
  <c r="L11906" i="2"/>
  <c r="C11907" i="2"/>
  <c r="D11907" i="2"/>
  <c r="F11907" i="2"/>
  <c r="G11907" i="2"/>
  <c r="H11907" i="2"/>
  <c r="J11907" i="2"/>
  <c r="K11907" i="2"/>
  <c r="L11907" i="2"/>
  <c r="D11908" i="2"/>
  <c r="F11908" i="2"/>
  <c r="G11908" i="2"/>
  <c r="H11908" i="2"/>
  <c r="J11908" i="2"/>
  <c r="K11908" i="2"/>
  <c r="L11908" i="2"/>
  <c r="C11909" i="2"/>
  <c r="D11909" i="2"/>
  <c r="F11909" i="2"/>
  <c r="G11909" i="2"/>
  <c r="H11909" i="2"/>
  <c r="J11909" i="2"/>
  <c r="K11909" i="2"/>
  <c r="L11909" i="2"/>
  <c r="C11910" i="2"/>
  <c r="D11910" i="2"/>
  <c r="F11910" i="2"/>
  <c r="G11910" i="2"/>
  <c r="H11910" i="2"/>
  <c r="J11910" i="2"/>
  <c r="K11910" i="2"/>
  <c r="L11910" i="2"/>
  <c r="C11911" i="2"/>
  <c r="D11911" i="2"/>
  <c r="F11911" i="2"/>
  <c r="G11911" i="2"/>
  <c r="H11911" i="2"/>
  <c r="J11911" i="2"/>
  <c r="K11911" i="2"/>
  <c r="L11911" i="2"/>
  <c r="C11912" i="2"/>
  <c r="D11912" i="2"/>
  <c r="E11912" i="2"/>
  <c r="F11912" i="2"/>
  <c r="G11912" i="2"/>
  <c r="H11912" i="2"/>
  <c r="J11912" i="2"/>
  <c r="K11912" i="2"/>
  <c r="L11912" i="2"/>
  <c r="C11913" i="2"/>
  <c r="D11913" i="2"/>
  <c r="F11913" i="2"/>
  <c r="G11913" i="2"/>
  <c r="H11913" i="2"/>
  <c r="J11913" i="2"/>
  <c r="K11913" i="2"/>
  <c r="L11913" i="2"/>
  <c r="C11914" i="2"/>
  <c r="D11914" i="2"/>
  <c r="F11914" i="2"/>
  <c r="G11914" i="2"/>
  <c r="H11914" i="2"/>
  <c r="J11914" i="2"/>
  <c r="K11914" i="2"/>
  <c r="L11914" i="2"/>
  <c r="C11915" i="2"/>
  <c r="D11915" i="2"/>
  <c r="F11915" i="2"/>
  <c r="G11915" i="2"/>
  <c r="H11915" i="2"/>
  <c r="J11915" i="2"/>
  <c r="K11915" i="2"/>
  <c r="L11915" i="2"/>
  <c r="C11916" i="2"/>
  <c r="D11916" i="2"/>
  <c r="F11916" i="2"/>
  <c r="G11916" i="2"/>
  <c r="H11916" i="2"/>
  <c r="J11916" i="2"/>
  <c r="K11916" i="2"/>
  <c r="L11916" i="2"/>
  <c r="C11917" i="2"/>
  <c r="D11917" i="2"/>
  <c r="F11917" i="2"/>
  <c r="G11917" i="2"/>
  <c r="H11917" i="2"/>
  <c r="J11917" i="2"/>
  <c r="K11917" i="2"/>
  <c r="L11917" i="2"/>
  <c r="C11918" i="2"/>
  <c r="D11918" i="2"/>
  <c r="F11918" i="2"/>
  <c r="G11918" i="2"/>
  <c r="H11918" i="2"/>
  <c r="J11918" i="2"/>
  <c r="K11918" i="2"/>
  <c r="L11918" i="2"/>
  <c r="C11919" i="2"/>
  <c r="D11919" i="2"/>
  <c r="F11919" i="2"/>
  <c r="G11919" i="2"/>
  <c r="H11919" i="2"/>
  <c r="J11919" i="2"/>
  <c r="K11919" i="2"/>
  <c r="L11919" i="2"/>
  <c r="C11920" i="2"/>
  <c r="D11920" i="2"/>
  <c r="F11920" i="2"/>
  <c r="G11920" i="2"/>
  <c r="H11920" i="2"/>
  <c r="J11920" i="2"/>
  <c r="K11920" i="2"/>
  <c r="L11920" i="2"/>
  <c r="C11921" i="2"/>
  <c r="D11921" i="2"/>
  <c r="F11921" i="2"/>
  <c r="G11921" i="2"/>
  <c r="H11921" i="2"/>
  <c r="J11921" i="2"/>
  <c r="K11921" i="2"/>
  <c r="L11921" i="2"/>
  <c r="C11922" i="2"/>
  <c r="D11922" i="2"/>
  <c r="F11922" i="2"/>
  <c r="G11922" i="2"/>
  <c r="H11922" i="2"/>
  <c r="J11922" i="2"/>
  <c r="K11922" i="2"/>
  <c r="L11922" i="2"/>
  <c r="C11923" i="2"/>
  <c r="D11923" i="2"/>
  <c r="E11923" i="2"/>
  <c r="F11923" i="2"/>
  <c r="G11923" i="2"/>
  <c r="H11923" i="2"/>
  <c r="J11923" i="2"/>
  <c r="K11923" i="2"/>
  <c r="L11923" i="2"/>
  <c r="C11924" i="2"/>
  <c r="D11924" i="2"/>
  <c r="F11924" i="2"/>
  <c r="G11924" i="2"/>
  <c r="H11924" i="2"/>
  <c r="J11924" i="2"/>
  <c r="K11924" i="2"/>
  <c r="L11924" i="2"/>
  <c r="C11925" i="2"/>
  <c r="D11925" i="2"/>
  <c r="F11925" i="2"/>
  <c r="G11925" i="2"/>
  <c r="H11925" i="2"/>
  <c r="J11925" i="2"/>
  <c r="K11925" i="2"/>
  <c r="L11925" i="2"/>
  <c r="C11926" i="2"/>
  <c r="D11926" i="2"/>
  <c r="F11926" i="2"/>
  <c r="G11926" i="2"/>
  <c r="H11926" i="2"/>
  <c r="J11926" i="2"/>
  <c r="K11926" i="2"/>
  <c r="L11926" i="2"/>
  <c r="C11927" i="2"/>
  <c r="D11927" i="2"/>
  <c r="F11927" i="2"/>
  <c r="G11927" i="2"/>
  <c r="H11927" i="2"/>
  <c r="J11927" i="2"/>
  <c r="K11927" i="2"/>
  <c r="L11927" i="2"/>
  <c r="C11928" i="2"/>
  <c r="D11928" i="2"/>
  <c r="F11928" i="2"/>
  <c r="G11928" i="2"/>
  <c r="H11928" i="2"/>
  <c r="J11928" i="2"/>
  <c r="K11928" i="2"/>
  <c r="L11928" i="2"/>
  <c r="C11929" i="2"/>
  <c r="D11929" i="2"/>
  <c r="F11929" i="2"/>
  <c r="G11929" i="2"/>
  <c r="H11929" i="2"/>
  <c r="J11929" i="2"/>
  <c r="K11929" i="2"/>
  <c r="L11929" i="2"/>
  <c r="C11930" i="2"/>
  <c r="D11930" i="2"/>
  <c r="F11930" i="2"/>
  <c r="G11930" i="2"/>
  <c r="H11930" i="2"/>
  <c r="J11930" i="2"/>
  <c r="K11930" i="2"/>
  <c r="L11930" i="2"/>
  <c r="C11931" i="2"/>
  <c r="D11931" i="2"/>
  <c r="F11931" i="2"/>
  <c r="G11931" i="2"/>
  <c r="H11931" i="2"/>
  <c r="J11931" i="2"/>
  <c r="K11931" i="2"/>
  <c r="L11931" i="2"/>
  <c r="C11932" i="2"/>
  <c r="D11932" i="2"/>
  <c r="F11932" i="2"/>
  <c r="G11932" i="2"/>
  <c r="H11932" i="2"/>
  <c r="J11932" i="2"/>
  <c r="K11932" i="2"/>
  <c r="L11932" i="2"/>
  <c r="C11933" i="2"/>
  <c r="D11933" i="2"/>
  <c r="F11933" i="2"/>
  <c r="G11933" i="2"/>
  <c r="H11933" i="2"/>
  <c r="J11933" i="2"/>
  <c r="K11933" i="2"/>
  <c r="L11933" i="2"/>
  <c r="C11934" i="2"/>
  <c r="D11934" i="2"/>
  <c r="F11934" i="2"/>
  <c r="G11934" i="2"/>
  <c r="H11934" i="2"/>
  <c r="J11934" i="2"/>
  <c r="K11934" i="2"/>
  <c r="L11934" i="2"/>
  <c r="C11935" i="2"/>
  <c r="D11935" i="2"/>
  <c r="F11935" i="2"/>
  <c r="G11935" i="2"/>
  <c r="H11935" i="2"/>
  <c r="J11935" i="2"/>
  <c r="K11935" i="2"/>
  <c r="L11935" i="2"/>
  <c r="C11936" i="2"/>
  <c r="D11936" i="2"/>
  <c r="F11936" i="2"/>
  <c r="G11936" i="2"/>
  <c r="H11936" i="2"/>
  <c r="J11936" i="2"/>
  <c r="K11936" i="2"/>
  <c r="L11936" i="2"/>
  <c r="C11937" i="2"/>
  <c r="D11937" i="2"/>
  <c r="F11937" i="2"/>
  <c r="G11937" i="2"/>
  <c r="H11937" i="2"/>
  <c r="J11937" i="2"/>
  <c r="K11937" i="2"/>
  <c r="L11937" i="2"/>
  <c r="C11938" i="2"/>
  <c r="D11938" i="2"/>
  <c r="F11938" i="2"/>
  <c r="G11938" i="2"/>
  <c r="H11938" i="2"/>
  <c r="J11938" i="2"/>
  <c r="K11938" i="2"/>
  <c r="L11938" i="2"/>
  <c r="C11939" i="2"/>
  <c r="D11939" i="2"/>
  <c r="F11939" i="2"/>
  <c r="G11939" i="2"/>
  <c r="H11939" i="2"/>
  <c r="J11939" i="2"/>
  <c r="K11939" i="2"/>
  <c r="L11939" i="2"/>
  <c r="C11940" i="2"/>
  <c r="D11940" i="2"/>
  <c r="F11940" i="2"/>
  <c r="G11940" i="2"/>
  <c r="H11940" i="2"/>
  <c r="J11940" i="2"/>
  <c r="K11940" i="2"/>
  <c r="L11940" i="2"/>
  <c r="C11941" i="2"/>
  <c r="D11941" i="2"/>
  <c r="F11941" i="2"/>
  <c r="G11941" i="2"/>
  <c r="H11941" i="2"/>
  <c r="J11941" i="2"/>
  <c r="K11941" i="2"/>
  <c r="L11941" i="2"/>
  <c r="C11942" i="2"/>
  <c r="D11942" i="2"/>
  <c r="F11942" i="2"/>
  <c r="G11942" i="2"/>
  <c r="H11942" i="2"/>
  <c r="J11942" i="2"/>
  <c r="K11942" i="2"/>
  <c r="L11942" i="2"/>
  <c r="C11943" i="2"/>
  <c r="D11943" i="2"/>
  <c r="F11943" i="2"/>
  <c r="G11943" i="2"/>
  <c r="H11943" i="2"/>
  <c r="J11943" i="2"/>
  <c r="K11943" i="2"/>
  <c r="L11943" i="2"/>
  <c r="C11944" i="2"/>
  <c r="D11944" i="2"/>
  <c r="F11944" i="2"/>
  <c r="G11944" i="2"/>
  <c r="H11944" i="2"/>
  <c r="J11944" i="2"/>
  <c r="K11944" i="2"/>
  <c r="L11944" i="2"/>
  <c r="C11945" i="2"/>
  <c r="D11945" i="2"/>
  <c r="F11945" i="2"/>
  <c r="G11945" i="2"/>
  <c r="H11945" i="2"/>
  <c r="J11945" i="2"/>
  <c r="K11945" i="2"/>
  <c r="L11945" i="2"/>
  <c r="C11946" i="2"/>
  <c r="D11946" i="2"/>
  <c r="F11946" i="2"/>
  <c r="G11946" i="2"/>
  <c r="H11946" i="2"/>
  <c r="J11946" i="2"/>
  <c r="K11946" i="2"/>
  <c r="L11946" i="2"/>
  <c r="C11947" i="2"/>
  <c r="D11947" i="2"/>
  <c r="F11947" i="2"/>
  <c r="G11947" i="2"/>
  <c r="H11947" i="2"/>
  <c r="J11947" i="2"/>
  <c r="K11947" i="2"/>
  <c r="L11947" i="2"/>
  <c r="C11948" i="2"/>
  <c r="D11948" i="2"/>
  <c r="F11948" i="2"/>
  <c r="G11948" i="2"/>
  <c r="H11948" i="2"/>
  <c r="J11948" i="2"/>
  <c r="K11948" i="2"/>
  <c r="L11948" i="2"/>
  <c r="C11949" i="2"/>
  <c r="D11949" i="2"/>
  <c r="F11949" i="2"/>
  <c r="G11949" i="2"/>
  <c r="H11949" i="2"/>
  <c r="J11949" i="2"/>
  <c r="K11949" i="2"/>
  <c r="L11949" i="2"/>
  <c r="C11950" i="2"/>
  <c r="D11950" i="2"/>
  <c r="F11950" i="2"/>
  <c r="G11950" i="2"/>
  <c r="H11950" i="2"/>
  <c r="J11950" i="2"/>
  <c r="K11950" i="2"/>
  <c r="L11950" i="2"/>
  <c r="C11951" i="2"/>
  <c r="D11951" i="2"/>
  <c r="F11951" i="2"/>
  <c r="G11951" i="2"/>
  <c r="H11951" i="2"/>
  <c r="J11951" i="2"/>
  <c r="K11951" i="2"/>
  <c r="L11951" i="2"/>
  <c r="C11952" i="2"/>
  <c r="D11952" i="2"/>
  <c r="F11952" i="2"/>
  <c r="G11952" i="2"/>
  <c r="H11952" i="2"/>
  <c r="J11952" i="2"/>
  <c r="K11952" i="2"/>
  <c r="L11952" i="2"/>
  <c r="C11953" i="2"/>
  <c r="D11953" i="2"/>
  <c r="F11953" i="2"/>
  <c r="G11953" i="2"/>
  <c r="H11953" i="2"/>
  <c r="J11953" i="2"/>
  <c r="K11953" i="2"/>
  <c r="L11953" i="2"/>
  <c r="C11954" i="2"/>
  <c r="D11954" i="2"/>
  <c r="F11954" i="2"/>
  <c r="G11954" i="2"/>
  <c r="H11954" i="2"/>
  <c r="J11954" i="2"/>
  <c r="K11954" i="2"/>
  <c r="L11954" i="2"/>
  <c r="C11955" i="2"/>
  <c r="D11955" i="2"/>
  <c r="F11955" i="2"/>
  <c r="G11955" i="2"/>
  <c r="H11955" i="2"/>
  <c r="J11955" i="2"/>
  <c r="K11955" i="2"/>
  <c r="L11955" i="2"/>
  <c r="C11956" i="2"/>
  <c r="D11956" i="2"/>
  <c r="F11956" i="2"/>
  <c r="G11956" i="2"/>
  <c r="H11956" i="2"/>
  <c r="J11956" i="2"/>
  <c r="K11956" i="2"/>
  <c r="L11956" i="2"/>
  <c r="C11957" i="2"/>
  <c r="D11957" i="2"/>
  <c r="F11957" i="2"/>
  <c r="G11957" i="2"/>
  <c r="H11957" i="2"/>
  <c r="J11957" i="2"/>
  <c r="K11957" i="2"/>
  <c r="L11957" i="2"/>
  <c r="C11958" i="2"/>
  <c r="D11958" i="2"/>
  <c r="F11958" i="2"/>
  <c r="G11958" i="2"/>
  <c r="H11958" i="2"/>
  <c r="J11958" i="2"/>
  <c r="K11958" i="2"/>
  <c r="L11958" i="2"/>
  <c r="C11959" i="2"/>
  <c r="D11959" i="2"/>
  <c r="F11959" i="2"/>
  <c r="G11959" i="2"/>
  <c r="H11959" i="2"/>
  <c r="J11959" i="2"/>
  <c r="K11959" i="2"/>
  <c r="L11959" i="2"/>
  <c r="C11960" i="2"/>
  <c r="D11960" i="2"/>
  <c r="F11960" i="2"/>
  <c r="G11960" i="2"/>
  <c r="H11960" i="2"/>
  <c r="J11960" i="2"/>
  <c r="K11960" i="2"/>
  <c r="L11960" i="2"/>
  <c r="C11961" i="2"/>
  <c r="D11961" i="2"/>
  <c r="F11961" i="2"/>
  <c r="G11961" i="2"/>
  <c r="H11961" i="2"/>
  <c r="J11961" i="2"/>
  <c r="K11961" i="2"/>
  <c r="L11961" i="2"/>
  <c r="C11962" i="2"/>
  <c r="D11962" i="2"/>
  <c r="F11962" i="2"/>
  <c r="G11962" i="2"/>
  <c r="H11962" i="2"/>
  <c r="J11962" i="2"/>
  <c r="K11962" i="2"/>
  <c r="L11962" i="2"/>
  <c r="C11963" i="2"/>
  <c r="D11963" i="2"/>
  <c r="F11963" i="2"/>
  <c r="G11963" i="2"/>
  <c r="H11963" i="2"/>
  <c r="J11963" i="2"/>
  <c r="K11963" i="2"/>
  <c r="L11963" i="2"/>
  <c r="C11964" i="2"/>
  <c r="D11964" i="2"/>
  <c r="F11964" i="2"/>
  <c r="G11964" i="2"/>
  <c r="H11964" i="2"/>
  <c r="J11964" i="2"/>
  <c r="K11964" i="2"/>
  <c r="L11964" i="2"/>
  <c r="C11965" i="2"/>
  <c r="D11965" i="2"/>
  <c r="F11965" i="2"/>
  <c r="G11965" i="2"/>
  <c r="H11965" i="2"/>
  <c r="J11965" i="2"/>
  <c r="K11965" i="2"/>
  <c r="L11965" i="2"/>
  <c r="C11966" i="2"/>
  <c r="D11966" i="2"/>
  <c r="F11966" i="2"/>
  <c r="G11966" i="2"/>
  <c r="H11966" i="2"/>
  <c r="J11966" i="2"/>
  <c r="K11966" i="2"/>
  <c r="L11966" i="2"/>
  <c r="C11967" i="2"/>
  <c r="D11967" i="2"/>
  <c r="F11967" i="2"/>
  <c r="G11967" i="2"/>
  <c r="H11967" i="2"/>
  <c r="J11967" i="2"/>
  <c r="K11967" i="2"/>
  <c r="L11967" i="2"/>
  <c r="C11968" i="2"/>
  <c r="D11968" i="2"/>
  <c r="F11968" i="2"/>
  <c r="G11968" i="2"/>
  <c r="H11968" i="2"/>
  <c r="J11968" i="2"/>
  <c r="K11968" i="2"/>
  <c r="L11968" i="2"/>
  <c r="C11969" i="2"/>
  <c r="D11969" i="2"/>
  <c r="F11969" i="2"/>
  <c r="G11969" i="2"/>
  <c r="H11969" i="2"/>
  <c r="J11969" i="2"/>
  <c r="K11969" i="2"/>
  <c r="L11969" i="2"/>
  <c r="C11970" i="2"/>
  <c r="D11970" i="2"/>
  <c r="F11970" i="2"/>
  <c r="G11970" i="2"/>
  <c r="H11970" i="2"/>
  <c r="J11970" i="2"/>
  <c r="K11970" i="2"/>
  <c r="L11970" i="2"/>
  <c r="C11971" i="2"/>
  <c r="D11971" i="2"/>
  <c r="F11971" i="2"/>
  <c r="G11971" i="2"/>
  <c r="H11971" i="2"/>
  <c r="J11971" i="2"/>
  <c r="K11971" i="2"/>
  <c r="L11971" i="2"/>
  <c r="C11972" i="2"/>
  <c r="D11972" i="2"/>
  <c r="F11972" i="2"/>
  <c r="G11972" i="2"/>
  <c r="H11972" i="2"/>
  <c r="J11972" i="2"/>
  <c r="K11972" i="2"/>
  <c r="L11972" i="2"/>
  <c r="C11973" i="2"/>
  <c r="D11973" i="2"/>
  <c r="F11973" i="2"/>
  <c r="G11973" i="2"/>
  <c r="H11973" i="2"/>
  <c r="J11973" i="2"/>
  <c r="K11973" i="2"/>
  <c r="L11973" i="2"/>
  <c r="C11974" i="2"/>
  <c r="D11974" i="2"/>
  <c r="F11974" i="2"/>
  <c r="G11974" i="2"/>
  <c r="H11974" i="2"/>
  <c r="J11974" i="2"/>
  <c r="K11974" i="2"/>
  <c r="L11974" i="2"/>
  <c r="C11975" i="2"/>
  <c r="D11975" i="2"/>
  <c r="F11975" i="2"/>
  <c r="G11975" i="2"/>
  <c r="H11975" i="2"/>
  <c r="J11975" i="2"/>
  <c r="K11975" i="2"/>
  <c r="L11975" i="2"/>
  <c r="C11976" i="2"/>
  <c r="D11976" i="2"/>
  <c r="F11976" i="2"/>
  <c r="G11976" i="2"/>
  <c r="H11976" i="2"/>
  <c r="J11976" i="2"/>
  <c r="K11976" i="2"/>
  <c r="L11976" i="2"/>
  <c r="C11977" i="2"/>
  <c r="D11977" i="2"/>
  <c r="F11977" i="2"/>
  <c r="G11977" i="2"/>
  <c r="H11977" i="2"/>
  <c r="J11977" i="2"/>
  <c r="K11977" i="2"/>
  <c r="L11977" i="2"/>
  <c r="C11978" i="2"/>
  <c r="D11978" i="2"/>
  <c r="F11978" i="2"/>
  <c r="G11978" i="2"/>
  <c r="H11978" i="2"/>
  <c r="J11978" i="2"/>
  <c r="K11978" i="2"/>
  <c r="L11978" i="2"/>
  <c r="C11979" i="2"/>
  <c r="D11979" i="2"/>
  <c r="F11979" i="2"/>
  <c r="G11979" i="2"/>
  <c r="H11979" i="2"/>
  <c r="J11979" i="2"/>
  <c r="K11979" i="2"/>
  <c r="L11979" i="2"/>
  <c r="C11980" i="2"/>
  <c r="D11980" i="2"/>
  <c r="F11980" i="2"/>
  <c r="G11980" i="2"/>
  <c r="H11980" i="2"/>
  <c r="J11980" i="2"/>
  <c r="K11980" i="2"/>
  <c r="L11980" i="2"/>
  <c r="C11981" i="2"/>
  <c r="D11981" i="2"/>
  <c r="F11981" i="2"/>
  <c r="G11981" i="2"/>
  <c r="H11981" i="2"/>
  <c r="J11981" i="2"/>
  <c r="K11981" i="2"/>
  <c r="L11981" i="2"/>
  <c r="C11982" i="2"/>
  <c r="D11982" i="2"/>
  <c r="F11982" i="2"/>
  <c r="G11982" i="2"/>
  <c r="H11982" i="2"/>
  <c r="J11982" i="2"/>
  <c r="K11982" i="2"/>
  <c r="L11982" i="2"/>
  <c r="C11983" i="2"/>
  <c r="D11983" i="2"/>
  <c r="F11983" i="2"/>
  <c r="G11983" i="2"/>
  <c r="H11983" i="2"/>
  <c r="J11983" i="2"/>
  <c r="K11983" i="2"/>
  <c r="L11983" i="2"/>
  <c r="C11984" i="2"/>
  <c r="D11984" i="2"/>
  <c r="F11984" i="2"/>
  <c r="G11984" i="2"/>
  <c r="H11984" i="2"/>
  <c r="J11984" i="2"/>
  <c r="K11984" i="2"/>
  <c r="L11984" i="2"/>
  <c r="C11985" i="2"/>
  <c r="D11985" i="2"/>
  <c r="F11985" i="2"/>
  <c r="G11985" i="2"/>
  <c r="H11985" i="2"/>
  <c r="J11985" i="2"/>
  <c r="K11985" i="2"/>
  <c r="L11985" i="2"/>
  <c r="C11986" i="2"/>
  <c r="D11986" i="2"/>
  <c r="F11986" i="2"/>
  <c r="G11986" i="2"/>
  <c r="H11986" i="2"/>
  <c r="J11986" i="2"/>
  <c r="K11986" i="2"/>
  <c r="L11986" i="2"/>
  <c r="C11987" i="2"/>
  <c r="D11987" i="2"/>
  <c r="F11987" i="2"/>
  <c r="G11987" i="2"/>
  <c r="H11987" i="2"/>
  <c r="J11987" i="2"/>
  <c r="K11987" i="2"/>
  <c r="L11987" i="2"/>
  <c r="C11988" i="2"/>
  <c r="D11988" i="2"/>
  <c r="F11988" i="2"/>
  <c r="G11988" i="2"/>
  <c r="H11988" i="2"/>
  <c r="J11988" i="2"/>
  <c r="K11988" i="2"/>
  <c r="L11988" i="2"/>
  <c r="C11989" i="2"/>
  <c r="D11989" i="2"/>
  <c r="F11989" i="2"/>
  <c r="G11989" i="2"/>
  <c r="H11989" i="2"/>
  <c r="J11989" i="2"/>
  <c r="K11989" i="2"/>
  <c r="L11989" i="2"/>
  <c r="C11990" i="2"/>
  <c r="D11990" i="2"/>
  <c r="F11990" i="2"/>
  <c r="G11990" i="2"/>
  <c r="H11990" i="2"/>
  <c r="J11990" i="2"/>
  <c r="K11990" i="2"/>
  <c r="L11990" i="2"/>
  <c r="C11991" i="2"/>
  <c r="D11991" i="2"/>
  <c r="F11991" i="2"/>
  <c r="G11991" i="2"/>
  <c r="H11991" i="2"/>
  <c r="J11991" i="2"/>
  <c r="K11991" i="2"/>
  <c r="L11991" i="2"/>
  <c r="C11992" i="2"/>
  <c r="D11992" i="2"/>
  <c r="F11992" i="2"/>
  <c r="G11992" i="2"/>
  <c r="H11992" i="2"/>
  <c r="J11992" i="2"/>
  <c r="K11992" i="2"/>
  <c r="L11992" i="2"/>
  <c r="C11993" i="2"/>
  <c r="D11993" i="2"/>
  <c r="F11993" i="2"/>
  <c r="G11993" i="2"/>
  <c r="H11993" i="2"/>
  <c r="J11993" i="2"/>
  <c r="K11993" i="2"/>
  <c r="L11993" i="2"/>
  <c r="C11994" i="2"/>
  <c r="D11994" i="2"/>
  <c r="F11994" i="2"/>
  <c r="G11994" i="2"/>
  <c r="H11994" i="2"/>
  <c r="J11994" i="2"/>
  <c r="K11994" i="2"/>
  <c r="L11994" i="2"/>
  <c r="C11995" i="2"/>
  <c r="D11995" i="2"/>
  <c r="F11995" i="2"/>
  <c r="G11995" i="2"/>
  <c r="H11995" i="2"/>
  <c r="J11995" i="2"/>
  <c r="K11995" i="2"/>
  <c r="L11995" i="2"/>
  <c r="C11996" i="2"/>
  <c r="D11996" i="2"/>
  <c r="F11996" i="2"/>
  <c r="G11996" i="2"/>
  <c r="H11996" i="2"/>
  <c r="J11996" i="2"/>
  <c r="K11996" i="2"/>
  <c r="L11996" i="2"/>
  <c r="C11997" i="2"/>
  <c r="D11997" i="2"/>
  <c r="F11997" i="2"/>
  <c r="G11997" i="2"/>
  <c r="H11997" i="2"/>
  <c r="J11997" i="2"/>
  <c r="K11997" i="2"/>
  <c r="L11997" i="2"/>
  <c r="C11998" i="2"/>
  <c r="D11998" i="2"/>
  <c r="F11998" i="2"/>
  <c r="G11998" i="2"/>
  <c r="H11998" i="2"/>
  <c r="J11998" i="2"/>
  <c r="K11998" i="2"/>
  <c r="L11998" i="2"/>
  <c r="C11999" i="2"/>
  <c r="D11999" i="2"/>
  <c r="F11999" i="2"/>
  <c r="G11999" i="2"/>
  <c r="H11999" i="2"/>
  <c r="J11999" i="2"/>
  <c r="K11999" i="2"/>
  <c r="L11999" i="2"/>
  <c r="C12000" i="2"/>
  <c r="D12000" i="2"/>
  <c r="F12000" i="2"/>
  <c r="G12000" i="2"/>
  <c r="H12000" i="2"/>
  <c r="J12000" i="2"/>
  <c r="K12000" i="2"/>
  <c r="L12000" i="2"/>
  <c r="C12001" i="2"/>
  <c r="D12001" i="2"/>
  <c r="F12001" i="2"/>
  <c r="G12001" i="2"/>
  <c r="H12001" i="2"/>
  <c r="J12001" i="2"/>
  <c r="K12001" i="2"/>
  <c r="L12001" i="2"/>
  <c r="C12002" i="2"/>
  <c r="D12002" i="2"/>
  <c r="F12002" i="2"/>
  <c r="G12002" i="2"/>
  <c r="H12002" i="2"/>
  <c r="J12002" i="2"/>
  <c r="K12002" i="2"/>
  <c r="L12002" i="2"/>
  <c r="C12003" i="2"/>
  <c r="D12003" i="2"/>
  <c r="F12003" i="2"/>
  <c r="G12003" i="2"/>
  <c r="H12003" i="2"/>
  <c r="J12003" i="2"/>
  <c r="K12003" i="2"/>
  <c r="L12003" i="2"/>
  <c r="C12004" i="2"/>
  <c r="D12004" i="2"/>
  <c r="F12004" i="2"/>
  <c r="G12004" i="2"/>
  <c r="H12004" i="2"/>
  <c r="J12004" i="2"/>
  <c r="K12004" i="2"/>
  <c r="L12004" i="2"/>
  <c r="C12005" i="2"/>
  <c r="D12005" i="2"/>
  <c r="F12005" i="2"/>
  <c r="G12005" i="2"/>
  <c r="H12005" i="2"/>
  <c r="J12005" i="2"/>
  <c r="K12005" i="2"/>
  <c r="L12005" i="2"/>
  <c r="C12006" i="2"/>
  <c r="D12006" i="2"/>
  <c r="F12006" i="2"/>
  <c r="G12006" i="2"/>
  <c r="H12006" i="2"/>
  <c r="J12006" i="2"/>
  <c r="K12006" i="2"/>
  <c r="L12006" i="2"/>
  <c r="C12007" i="2"/>
  <c r="D12007" i="2"/>
  <c r="F12007" i="2"/>
  <c r="G12007" i="2"/>
  <c r="H12007" i="2"/>
  <c r="J12007" i="2"/>
  <c r="K12007" i="2"/>
  <c r="L12007" i="2"/>
  <c r="C12008" i="2"/>
  <c r="D12008" i="2"/>
  <c r="F12008" i="2"/>
  <c r="G12008" i="2"/>
  <c r="H12008" i="2"/>
  <c r="J12008" i="2"/>
  <c r="K12008" i="2"/>
  <c r="L12008" i="2"/>
  <c r="C12009" i="2"/>
  <c r="D12009" i="2"/>
  <c r="F12009" i="2"/>
  <c r="G12009" i="2"/>
  <c r="H12009" i="2"/>
  <c r="J12009" i="2"/>
  <c r="K12009" i="2"/>
  <c r="L12009" i="2"/>
  <c r="C12010" i="2"/>
  <c r="D12010" i="2"/>
  <c r="F12010" i="2"/>
  <c r="G12010" i="2"/>
  <c r="H12010" i="2"/>
  <c r="J12010" i="2"/>
  <c r="K12010" i="2"/>
  <c r="L12010" i="2"/>
  <c r="C12011" i="2"/>
  <c r="D12011" i="2"/>
  <c r="F12011" i="2"/>
  <c r="G12011" i="2"/>
  <c r="H12011" i="2"/>
  <c r="J12011" i="2"/>
  <c r="K12011" i="2"/>
  <c r="L12011" i="2"/>
  <c r="C12012" i="2"/>
  <c r="D12012" i="2"/>
  <c r="F12012" i="2"/>
  <c r="G12012" i="2"/>
  <c r="H12012" i="2"/>
  <c r="J12012" i="2"/>
  <c r="K12012" i="2"/>
  <c r="L12012" i="2"/>
  <c r="C12013" i="2"/>
  <c r="D12013" i="2"/>
  <c r="F12013" i="2"/>
  <c r="G12013" i="2"/>
  <c r="H12013" i="2"/>
  <c r="J12013" i="2"/>
  <c r="K12013" i="2"/>
  <c r="L12013" i="2"/>
  <c r="C12014" i="2"/>
  <c r="D12014" i="2"/>
  <c r="F12014" i="2"/>
  <c r="G12014" i="2"/>
  <c r="H12014" i="2"/>
  <c r="J12014" i="2"/>
  <c r="K12014" i="2"/>
  <c r="L12014" i="2"/>
  <c r="C12015" i="2"/>
  <c r="D12015" i="2"/>
  <c r="F12015" i="2"/>
  <c r="G12015" i="2"/>
  <c r="H12015" i="2"/>
  <c r="J12015" i="2"/>
  <c r="K12015" i="2"/>
  <c r="L12015" i="2"/>
  <c r="C12016" i="2"/>
  <c r="D12016" i="2"/>
  <c r="F12016" i="2"/>
  <c r="G12016" i="2"/>
  <c r="H12016" i="2"/>
  <c r="J12016" i="2"/>
  <c r="K12016" i="2"/>
  <c r="L12016" i="2"/>
  <c r="C12017" i="2"/>
  <c r="D12017" i="2"/>
  <c r="F12017" i="2"/>
  <c r="G12017" i="2"/>
  <c r="H12017" i="2"/>
  <c r="J12017" i="2"/>
  <c r="K12017" i="2"/>
  <c r="L12017" i="2"/>
  <c r="C12018" i="2"/>
  <c r="D12018" i="2"/>
  <c r="F12018" i="2"/>
  <c r="G12018" i="2"/>
  <c r="H12018" i="2"/>
  <c r="J12018" i="2"/>
  <c r="K12018" i="2"/>
  <c r="L12018" i="2"/>
  <c r="C12019" i="2"/>
  <c r="D12019" i="2"/>
  <c r="F12019" i="2"/>
  <c r="G12019" i="2"/>
  <c r="H12019" i="2"/>
  <c r="J12019" i="2"/>
  <c r="K12019" i="2"/>
  <c r="L12019" i="2"/>
  <c r="C12020" i="2"/>
  <c r="D12020" i="2"/>
  <c r="F12020" i="2"/>
  <c r="G12020" i="2"/>
  <c r="H12020" i="2"/>
  <c r="J12020" i="2"/>
  <c r="K12020" i="2"/>
  <c r="L12020" i="2"/>
  <c r="C12021" i="2"/>
  <c r="D12021" i="2"/>
  <c r="F12021" i="2"/>
  <c r="G12021" i="2"/>
  <c r="H12021" i="2"/>
  <c r="J12021" i="2"/>
  <c r="K12021" i="2"/>
  <c r="L12021" i="2"/>
  <c r="C12022" i="2"/>
  <c r="D12022" i="2"/>
  <c r="F12022" i="2"/>
  <c r="G12022" i="2"/>
  <c r="H12022" i="2"/>
  <c r="J12022" i="2"/>
  <c r="K12022" i="2"/>
  <c r="L12022" i="2"/>
  <c r="C12023" i="2"/>
  <c r="D12023" i="2"/>
  <c r="F12023" i="2"/>
  <c r="G12023" i="2"/>
  <c r="H12023" i="2"/>
  <c r="J12023" i="2"/>
  <c r="K12023" i="2"/>
  <c r="L12023" i="2"/>
  <c r="C12024" i="2"/>
  <c r="D12024" i="2"/>
  <c r="F12024" i="2"/>
  <c r="G12024" i="2"/>
  <c r="H12024" i="2"/>
  <c r="J12024" i="2"/>
  <c r="K12024" i="2"/>
  <c r="L12024" i="2"/>
  <c r="C12025" i="2"/>
  <c r="D12025" i="2"/>
  <c r="F12025" i="2"/>
  <c r="G12025" i="2"/>
  <c r="H12025" i="2"/>
  <c r="J12025" i="2"/>
  <c r="K12025" i="2"/>
  <c r="L12025" i="2"/>
  <c r="C12026" i="2"/>
  <c r="D12026" i="2"/>
  <c r="F12026" i="2"/>
  <c r="G12026" i="2"/>
  <c r="H12026" i="2"/>
  <c r="J12026" i="2"/>
  <c r="K12026" i="2"/>
  <c r="L12026" i="2"/>
  <c r="C12027" i="2"/>
  <c r="D12027" i="2"/>
  <c r="F12027" i="2"/>
  <c r="G12027" i="2"/>
  <c r="H12027" i="2"/>
  <c r="J12027" i="2"/>
  <c r="K12027" i="2"/>
  <c r="L12027" i="2"/>
  <c r="C12028" i="2"/>
  <c r="D12028" i="2"/>
  <c r="F12028" i="2"/>
  <c r="G12028" i="2"/>
  <c r="H12028" i="2"/>
  <c r="J12028" i="2"/>
  <c r="K12028" i="2"/>
  <c r="L12028" i="2"/>
  <c r="C12029" i="2"/>
  <c r="D12029" i="2"/>
  <c r="F12029" i="2"/>
  <c r="G12029" i="2"/>
  <c r="H12029" i="2"/>
  <c r="J12029" i="2"/>
  <c r="K12029" i="2"/>
  <c r="L12029" i="2"/>
  <c r="C12030" i="2"/>
  <c r="D12030" i="2"/>
  <c r="F12030" i="2"/>
  <c r="G12030" i="2"/>
  <c r="H12030" i="2"/>
  <c r="J12030" i="2"/>
  <c r="K12030" i="2"/>
  <c r="L12030" i="2"/>
  <c r="C12031" i="2"/>
  <c r="D12031" i="2"/>
  <c r="F12031" i="2"/>
  <c r="G12031" i="2"/>
  <c r="H12031" i="2"/>
  <c r="J12031" i="2"/>
  <c r="K12031" i="2"/>
  <c r="L12031" i="2"/>
  <c r="C12032" i="2"/>
  <c r="D12032" i="2"/>
  <c r="F12032" i="2"/>
  <c r="G12032" i="2"/>
  <c r="H12032" i="2"/>
  <c r="J12032" i="2"/>
  <c r="K12032" i="2"/>
  <c r="L12032" i="2"/>
  <c r="C12033" i="2"/>
  <c r="D12033" i="2"/>
  <c r="F12033" i="2"/>
  <c r="G12033" i="2"/>
  <c r="H12033" i="2"/>
  <c r="J12033" i="2"/>
  <c r="K12033" i="2"/>
  <c r="L12033" i="2"/>
  <c r="C12034" i="2"/>
  <c r="D12034" i="2"/>
  <c r="F12034" i="2"/>
  <c r="G12034" i="2"/>
  <c r="H12034" i="2"/>
  <c r="J12034" i="2"/>
  <c r="K12034" i="2"/>
  <c r="L12034" i="2"/>
  <c r="C12035" i="2"/>
  <c r="D12035" i="2"/>
  <c r="F12035" i="2"/>
  <c r="G12035" i="2"/>
  <c r="H12035" i="2"/>
  <c r="J12035" i="2"/>
  <c r="K12035" i="2"/>
  <c r="L12035" i="2"/>
  <c r="C12036" i="2"/>
  <c r="D12036" i="2"/>
  <c r="F12036" i="2"/>
  <c r="G12036" i="2"/>
  <c r="H12036" i="2"/>
  <c r="J12036" i="2"/>
  <c r="K12036" i="2"/>
  <c r="L12036" i="2"/>
  <c r="C12037" i="2"/>
  <c r="D12037" i="2"/>
  <c r="F12037" i="2"/>
  <c r="G12037" i="2"/>
  <c r="H12037" i="2"/>
  <c r="J12037" i="2"/>
  <c r="K12037" i="2"/>
  <c r="L12037" i="2"/>
  <c r="C12038" i="2"/>
  <c r="D12038" i="2"/>
  <c r="F12038" i="2"/>
  <c r="G12038" i="2"/>
  <c r="H12038" i="2"/>
  <c r="J12038" i="2"/>
  <c r="K12038" i="2"/>
  <c r="L12038" i="2"/>
  <c r="C12039" i="2"/>
  <c r="D12039" i="2"/>
  <c r="F12039" i="2"/>
  <c r="G12039" i="2"/>
  <c r="H12039" i="2"/>
  <c r="J12039" i="2"/>
  <c r="K12039" i="2"/>
  <c r="L12039" i="2"/>
  <c r="C12040" i="2"/>
  <c r="D12040" i="2"/>
  <c r="F12040" i="2"/>
  <c r="G12040" i="2"/>
  <c r="H12040" i="2"/>
  <c r="J12040" i="2"/>
  <c r="K12040" i="2"/>
  <c r="L12040" i="2"/>
  <c r="C12041" i="2"/>
  <c r="D12041" i="2"/>
  <c r="F12041" i="2"/>
  <c r="G12041" i="2"/>
  <c r="H12041" i="2"/>
  <c r="J12041" i="2"/>
  <c r="K12041" i="2"/>
  <c r="L12041" i="2"/>
  <c r="C12042" i="2"/>
  <c r="D12042" i="2"/>
  <c r="F12042" i="2"/>
  <c r="G12042" i="2"/>
  <c r="H12042" i="2"/>
  <c r="J12042" i="2"/>
  <c r="K12042" i="2"/>
  <c r="L12042" i="2"/>
  <c r="C12043" i="2"/>
  <c r="D12043" i="2"/>
  <c r="F12043" i="2"/>
  <c r="G12043" i="2"/>
  <c r="H12043" i="2"/>
  <c r="J12043" i="2"/>
  <c r="K12043" i="2"/>
  <c r="L12043" i="2"/>
  <c r="C12044" i="2"/>
  <c r="D12044" i="2"/>
  <c r="F12044" i="2"/>
  <c r="G12044" i="2"/>
  <c r="H12044" i="2"/>
  <c r="J12044" i="2"/>
  <c r="K12044" i="2"/>
  <c r="L12044" i="2"/>
  <c r="C12045" i="2"/>
  <c r="D12045" i="2"/>
  <c r="F12045" i="2"/>
  <c r="G12045" i="2"/>
  <c r="H12045" i="2"/>
  <c r="J12045" i="2"/>
  <c r="K12045" i="2"/>
  <c r="L12045" i="2"/>
  <c r="C12046" i="2"/>
  <c r="D12046" i="2"/>
  <c r="F12046" i="2"/>
  <c r="G12046" i="2"/>
  <c r="H12046" i="2"/>
  <c r="J12046" i="2"/>
  <c r="K12046" i="2"/>
  <c r="L12046" i="2"/>
  <c r="C12047" i="2"/>
  <c r="D12047" i="2"/>
  <c r="F12047" i="2"/>
  <c r="G12047" i="2"/>
  <c r="H12047" i="2"/>
  <c r="J12047" i="2"/>
  <c r="K12047" i="2"/>
  <c r="L12047" i="2"/>
  <c r="C12048" i="2"/>
  <c r="D12048" i="2"/>
  <c r="F12048" i="2"/>
  <c r="G12048" i="2"/>
  <c r="H12048" i="2"/>
  <c r="J12048" i="2"/>
  <c r="K12048" i="2"/>
  <c r="L12048" i="2"/>
  <c r="C12049" i="2"/>
  <c r="D12049" i="2"/>
  <c r="F12049" i="2"/>
  <c r="G12049" i="2"/>
  <c r="H12049" i="2"/>
  <c r="J12049" i="2"/>
  <c r="K12049" i="2"/>
  <c r="L12049" i="2"/>
  <c r="C12050" i="2"/>
  <c r="D12050" i="2"/>
  <c r="F12050" i="2"/>
  <c r="G12050" i="2"/>
  <c r="H12050" i="2"/>
  <c r="J12050" i="2"/>
  <c r="K12050" i="2"/>
  <c r="L12050" i="2"/>
  <c r="C12051" i="2"/>
  <c r="D12051" i="2"/>
  <c r="F12051" i="2"/>
  <c r="G12051" i="2"/>
  <c r="H12051" i="2"/>
  <c r="J12051" i="2"/>
  <c r="K12051" i="2"/>
  <c r="L12051" i="2"/>
  <c r="C12052" i="2"/>
  <c r="D12052" i="2"/>
  <c r="F12052" i="2"/>
  <c r="G12052" i="2"/>
  <c r="H12052" i="2"/>
  <c r="J12052" i="2"/>
  <c r="K12052" i="2"/>
  <c r="L12052" i="2"/>
  <c r="C12053" i="2"/>
  <c r="D12053" i="2"/>
  <c r="F12053" i="2"/>
  <c r="G12053" i="2"/>
  <c r="H12053" i="2"/>
  <c r="J12053" i="2"/>
  <c r="K12053" i="2"/>
  <c r="L12053" i="2"/>
  <c r="C12054" i="2"/>
  <c r="D12054" i="2"/>
  <c r="F12054" i="2"/>
  <c r="G12054" i="2"/>
  <c r="H12054" i="2"/>
  <c r="J12054" i="2"/>
  <c r="K12054" i="2"/>
  <c r="L12054" i="2"/>
  <c r="C12055" i="2"/>
  <c r="D12055" i="2"/>
  <c r="F12055" i="2"/>
  <c r="G12055" i="2"/>
  <c r="H12055" i="2"/>
  <c r="J12055" i="2"/>
  <c r="K12055" i="2"/>
  <c r="L12055" i="2"/>
  <c r="C12056" i="2"/>
  <c r="D12056" i="2"/>
  <c r="F12056" i="2"/>
  <c r="G12056" i="2"/>
  <c r="H12056" i="2"/>
  <c r="J12056" i="2"/>
  <c r="K12056" i="2"/>
  <c r="L12056" i="2"/>
  <c r="C12057" i="2"/>
  <c r="D12057" i="2"/>
  <c r="F12057" i="2"/>
  <c r="G12057" i="2"/>
  <c r="H12057" i="2"/>
  <c r="J12057" i="2"/>
  <c r="K12057" i="2"/>
  <c r="L12057" i="2"/>
  <c r="C12058" i="2"/>
  <c r="D12058" i="2"/>
  <c r="F12058" i="2"/>
  <c r="G12058" i="2"/>
  <c r="H12058" i="2"/>
  <c r="J12058" i="2"/>
  <c r="K12058" i="2"/>
  <c r="L12058" i="2"/>
  <c r="C12059" i="2"/>
  <c r="D12059" i="2"/>
  <c r="F12059" i="2"/>
  <c r="G12059" i="2"/>
  <c r="H12059" i="2"/>
  <c r="J12059" i="2"/>
  <c r="K12059" i="2"/>
  <c r="L12059" i="2"/>
  <c r="C12060" i="2"/>
  <c r="D12060" i="2"/>
  <c r="F12060" i="2"/>
  <c r="G12060" i="2"/>
  <c r="H12060" i="2"/>
  <c r="J12060" i="2"/>
  <c r="K12060" i="2"/>
  <c r="L12060" i="2"/>
  <c r="C12061" i="2"/>
  <c r="D12061" i="2"/>
  <c r="F12061" i="2"/>
  <c r="G12061" i="2"/>
  <c r="H12061" i="2"/>
  <c r="J12061" i="2"/>
  <c r="K12061" i="2"/>
  <c r="L12061" i="2"/>
  <c r="C12062" i="2"/>
  <c r="D12062" i="2"/>
  <c r="F12062" i="2"/>
  <c r="G12062" i="2"/>
  <c r="H12062" i="2"/>
  <c r="J12062" i="2"/>
  <c r="K12062" i="2"/>
  <c r="L12062" i="2"/>
  <c r="C12063" i="2"/>
  <c r="D12063" i="2"/>
  <c r="F12063" i="2"/>
  <c r="G12063" i="2"/>
  <c r="H12063" i="2"/>
  <c r="J12063" i="2"/>
  <c r="K12063" i="2"/>
  <c r="L12063" i="2"/>
  <c r="C12064" i="2"/>
  <c r="D12064" i="2"/>
  <c r="F12064" i="2"/>
  <c r="G12064" i="2"/>
  <c r="H12064" i="2"/>
  <c r="J12064" i="2"/>
  <c r="K12064" i="2"/>
  <c r="L12064" i="2"/>
  <c r="C12065" i="2"/>
  <c r="D12065" i="2"/>
  <c r="F12065" i="2"/>
  <c r="G12065" i="2"/>
  <c r="H12065" i="2"/>
  <c r="J12065" i="2"/>
  <c r="K12065" i="2"/>
  <c r="L12065" i="2"/>
  <c r="C12066" i="2"/>
  <c r="D12066" i="2"/>
  <c r="F12066" i="2"/>
  <c r="G12066" i="2"/>
  <c r="H12066" i="2"/>
  <c r="J12066" i="2"/>
  <c r="K12066" i="2"/>
  <c r="L12066" i="2"/>
  <c r="C12067" i="2"/>
  <c r="D12067" i="2"/>
  <c r="F12067" i="2"/>
  <c r="G12067" i="2"/>
  <c r="H12067" i="2"/>
  <c r="J12067" i="2"/>
  <c r="K12067" i="2"/>
  <c r="L12067" i="2"/>
  <c r="C12068" i="2"/>
  <c r="D12068" i="2"/>
  <c r="F12068" i="2"/>
  <c r="G12068" i="2"/>
  <c r="H12068" i="2"/>
  <c r="J12068" i="2"/>
  <c r="K12068" i="2"/>
  <c r="L12068" i="2"/>
  <c r="C12069" i="2"/>
  <c r="D12069" i="2"/>
  <c r="F12069" i="2"/>
  <c r="G12069" i="2"/>
  <c r="H12069" i="2"/>
  <c r="J12069" i="2"/>
  <c r="K12069" i="2"/>
  <c r="L12069" i="2"/>
  <c r="C12070" i="2"/>
  <c r="D12070" i="2"/>
  <c r="F12070" i="2"/>
  <c r="G12070" i="2"/>
  <c r="H12070" i="2"/>
  <c r="J12070" i="2"/>
  <c r="K12070" i="2"/>
  <c r="L12070" i="2"/>
  <c r="C12071" i="2"/>
  <c r="D12071" i="2"/>
  <c r="F12071" i="2"/>
  <c r="G12071" i="2"/>
  <c r="H12071" i="2"/>
  <c r="J12071" i="2"/>
  <c r="K12071" i="2"/>
  <c r="L12071" i="2"/>
  <c r="C12072" i="2"/>
  <c r="D12072" i="2"/>
  <c r="F12072" i="2"/>
  <c r="G12072" i="2"/>
  <c r="H12072" i="2"/>
  <c r="J12072" i="2"/>
  <c r="K12072" i="2"/>
  <c r="L12072" i="2"/>
  <c r="C12073" i="2"/>
  <c r="D12073" i="2"/>
  <c r="F12073" i="2"/>
  <c r="G12073" i="2"/>
  <c r="H12073" i="2"/>
  <c r="J12073" i="2"/>
  <c r="K12073" i="2"/>
  <c r="L12073" i="2"/>
  <c r="C12074" i="2"/>
  <c r="D12074" i="2"/>
  <c r="F12074" i="2"/>
  <c r="G12074" i="2"/>
  <c r="H12074" i="2"/>
  <c r="J12074" i="2"/>
  <c r="K12074" i="2"/>
  <c r="L12074" i="2"/>
  <c r="C12075" i="2"/>
  <c r="D12075" i="2"/>
  <c r="F12075" i="2"/>
  <c r="G12075" i="2"/>
  <c r="H12075" i="2"/>
  <c r="J12075" i="2"/>
  <c r="K12075" i="2"/>
  <c r="L12075" i="2"/>
  <c r="C12076" i="2"/>
  <c r="D12076" i="2"/>
  <c r="F12076" i="2"/>
  <c r="G12076" i="2"/>
  <c r="H12076" i="2"/>
  <c r="J12076" i="2"/>
  <c r="K12076" i="2"/>
  <c r="L12076" i="2"/>
  <c r="C12077" i="2"/>
  <c r="D12077" i="2"/>
  <c r="F12077" i="2"/>
  <c r="G12077" i="2"/>
  <c r="H12077" i="2"/>
  <c r="J12077" i="2"/>
  <c r="K12077" i="2"/>
  <c r="L12077" i="2"/>
  <c r="C12078" i="2"/>
  <c r="D12078" i="2"/>
  <c r="F12078" i="2"/>
  <c r="G12078" i="2"/>
  <c r="H12078" i="2"/>
  <c r="J12078" i="2"/>
  <c r="K12078" i="2"/>
  <c r="L12078" i="2"/>
  <c r="C12079" i="2"/>
  <c r="D12079" i="2"/>
  <c r="F12079" i="2"/>
  <c r="G12079" i="2"/>
  <c r="H12079" i="2"/>
  <c r="J12079" i="2"/>
  <c r="K12079" i="2"/>
  <c r="L12079" i="2"/>
  <c r="C12080" i="2"/>
  <c r="D12080" i="2"/>
  <c r="F12080" i="2"/>
  <c r="G12080" i="2"/>
  <c r="H12080" i="2"/>
  <c r="J12080" i="2"/>
  <c r="K12080" i="2"/>
  <c r="L12080" i="2"/>
  <c r="D12081" i="2"/>
  <c r="F12081" i="2"/>
  <c r="G12081" i="2"/>
  <c r="H12081" i="2"/>
  <c r="J12081" i="2"/>
  <c r="K12081" i="2"/>
  <c r="L12081" i="2"/>
  <c r="C12082" i="2"/>
  <c r="D12082" i="2"/>
  <c r="F12082" i="2"/>
  <c r="G12082" i="2"/>
  <c r="H12082" i="2"/>
  <c r="J12082" i="2"/>
  <c r="K12082" i="2"/>
  <c r="L12082" i="2"/>
  <c r="C12083" i="2"/>
  <c r="D12083" i="2"/>
  <c r="F12083" i="2"/>
  <c r="G12083" i="2"/>
  <c r="H12083" i="2"/>
  <c r="J12083" i="2"/>
  <c r="K12083" i="2"/>
  <c r="L12083" i="2"/>
  <c r="C12084" i="2"/>
  <c r="D12084" i="2"/>
  <c r="F12084" i="2"/>
  <c r="G12084" i="2"/>
  <c r="H12084" i="2"/>
  <c r="J12084" i="2"/>
  <c r="K12084" i="2"/>
  <c r="L12084" i="2"/>
  <c r="C12085" i="2"/>
  <c r="D12085" i="2"/>
  <c r="F12085" i="2"/>
  <c r="G12085" i="2"/>
  <c r="H12085" i="2"/>
  <c r="J12085" i="2"/>
  <c r="K12085" i="2"/>
  <c r="L12085" i="2"/>
  <c r="C12086" i="2"/>
  <c r="D12086" i="2"/>
  <c r="F12086" i="2"/>
  <c r="G12086" i="2"/>
  <c r="H12086" i="2"/>
  <c r="J12086" i="2"/>
  <c r="K12086" i="2"/>
  <c r="L12086" i="2"/>
  <c r="C12087" i="2"/>
  <c r="D12087" i="2"/>
  <c r="F12087" i="2"/>
  <c r="G12087" i="2"/>
  <c r="H12087" i="2"/>
  <c r="J12087" i="2"/>
  <c r="K12087" i="2"/>
  <c r="L12087" i="2"/>
  <c r="C12088" i="2"/>
  <c r="D12088" i="2"/>
  <c r="F12088" i="2"/>
  <c r="G12088" i="2"/>
  <c r="H12088" i="2"/>
  <c r="J12088" i="2"/>
  <c r="K12088" i="2"/>
  <c r="L12088" i="2"/>
  <c r="C12089" i="2"/>
  <c r="D12089" i="2"/>
  <c r="F12089" i="2"/>
  <c r="G12089" i="2"/>
  <c r="H12089" i="2"/>
  <c r="J12089" i="2"/>
  <c r="K12089" i="2"/>
  <c r="L12089" i="2"/>
  <c r="C12090" i="2"/>
  <c r="D12090" i="2"/>
  <c r="F12090" i="2"/>
  <c r="G12090" i="2"/>
  <c r="H12090" i="2"/>
  <c r="J12090" i="2"/>
  <c r="K12090" i="2"/>
  <c r="L12090" i="2"/>
  <c r="C12091" i="2"/>
  <c r="D12091" i="2"/>
  <c r="F12091" i="2"/>
  <c r="G12091" i="2"/>
  <c r="H12091" i="2"/>
  <c r="J12091" i="2"/>
  <c r="K12091" i="2"/>
  <c r="L12091" i="2"/>
  <c r="C12092" i="2"/>
  <c r="D12092" i="2"/>
  <c r="F12092" i="2"/>
  <c r="G12092" i="2"/>
  <c r="H12092" i="2"/>
  <c r="J12092" i="2"/>
  <c r="K12092" i="2"/>
  <c r="L12092" i="2"/>
  <c r="C12093" i="2"/>
  <c r="D12093" i="2"/>
  <c r="F12093" i="2"/>
  <c r="G12093" i="2"/>
  <c r="H12093" i="2"/>
  <c r="J12093" i="2"/>
  <c r="K12093" i="2"/>
  <c r="L12093" i="2"/>
  <c r="C12094" i="2"/>
  <c r="D12094" i="2"/>
  <c r="F12094" i="2"/>
  <c r="G12094" i="2"/>
  <c r="H12094" i="2"/>
  <c r="J12094" i="2"/>
  <c r="K12094" i="2"/>
  <c r="L12094" i="2"/>
  <c r="C12095" i="2"/>
  <c r="D12095" i="2"/>
  <c r="F12095" i="2"/>
  <c r="G12095" i="2"/>
  <c r="H12095" i="2"/>
  <c r="J12095" i="2"/>
  <c r="K12095" i="2"/>
  <c r="L12095" i="2"/>
  <c r="C12096" i="2"/>
  <c r="D12096" i="2"/>
  <c r="F12096" i="2"/>
  <c r="G12096" i="2"/>
  <c r="H12096" i="2"/>
  <c r="J12096" i="2"/>
  <c r="K12096" i="2"/>
  <c r="L12096" i="2"/>
  <c r="C12097" i="2"/>
  <c r="D12097" i="2"/>
  <c r="F12097" i="2"/>
  <c r="G12097" i="2"/>
  <c r="H12097" i="2"/>
  <c r="J12097" i="2"/>
  <c r="K12097" i="2"/>
  <c r="L12097" i="2"/>
  <c r="C12098" i="2"/>
  <c r="D12098" i="2"/>
  <c r="F12098" i="2"/>
  <c r="G12098" i="2"/>
  <c r="H12098" i="2"/>
  <c r="J12098" i="2"/>
  <c r="K12098" i="2"/>
  <c r="L12098" i="2"/>
  <c r="C12099" i="2"/>
  <c r="D12099" i="2"/>
  <c r="F12099" i="2"/>
  <c r="G12099" i="2"/>
  <c r="H12099" i="2"/>
  <c r="J12099" i="2"/>
  <c r="K12099" i="2"/>
  <c r="L12099" i="2"/>
  <c r="C12100" i="2"/>
  <c r="D12100" i="2"/>
  <c r="F12100" i="2"/>
  <c r="G12100" i="2"/>
  <c r="H12100" i="2"/>
  <c r="J12100" i="2"/>
  <c r="K12100" i="2"/>
  <c r="L12100" i="2"/>
  <c r="C12101" i="2"/>
  <c r="D12101" i="2"/>
  <c r="F12101" i="2"/>
  <c r="G12101" i="2"/>
  <c r="H12101" i="2"/>
  <c r="J12101" i="2"/>
  <c r="K12101" i="2"/>
  <c r="L12101" i="2"/>
  <c r="C12102" i="2"/>
  <c r="D12102" i="2"/>
  <c r="F12102" i="2"/>
  <c r="G12102" i="2"/>
  <c r="H12102" i="2"/>
  <c r="J12102" i="2"/>
  <c r="K12102" i="2"/>
  <c r="L12102" i="2"/>
  <c r="C12103" i="2"/>
  <c r="D12103" i="2"/>
  <c r="F12103" i="2"/>
  <c r="G12103" i="2"/>
  <c r="H12103" i="2"/>
  <c r="J12103" i="2"/>
  <c r="K12103" i="2"/>
  <c r="L12103" i="2"/>
  <c r="C12104" i="2"/>
  <c r="D12104" i="2"/>
  <c r="F12104" i="2"/>
  <c r="G12104" i="2"/>
  <c r="H12104" i="2"/>
  <c r="J12104" i="2"/>
  <c r="K12104" i="2"/>
  <c r="L12104" i="2"/>
  <c r="C12105" i="2"/>
  <c r="D12105" i="2"/>
  <c r="F12105" i="2"/>
  <c r="G12105" i="2"/>
  <c r="H12105" i="2"/>
  <c r="J12105" i="2"/>
  <c r="K12105" i="2"/>
  <c r="L12105" i="2"/>
  <c r="C12106" i="2"/>
  <c r="D12106" i="2"/>
  <c r="F12106" i="2"/>
  <c r="G12106" i="2"/>
  <c r="H12106" i="2"/>
  <c r="J12106" i="2"/>
  <c r="K12106" i="2"/>
  <c r="L12106" i="2"/>
  <c r="C12107" i="2"/>
  <c r="D12107" i="2"/>
  <c r="F12107" i="2"/>
  <c r="G12107" i="2"/>
  <c r="H12107" i="2"/>
  <c r="J12107" i="2"/>
  <c r="K12107" i="2"/>
  <c r="L12107" i="2"/>
  <c r="C12108" i="2"/>
  <c r="D12108" i="2"/>
  <c r="F12108" i="2"/>
  <c r="G12108" i="2"/>
  <c r="H12108" i="2"/>
  <c r="J12108" i="2"/>
  <c r="K12108" i="2"/>
  <c r="L12108" i="2"/>
  <c r="C12109" i="2"/>
  <c r="D12109" i="2"/>
  <c r="F12109" i="2"/>
  <c r="G12109" i="2"/>
  <c r="H12109" i="2"/>
  <c r="J12109" i="2"/>
  <c r="K12109" i="2"/>
  <c r="L12109" i="2"/>
  <c r="C12110" i="2"/>
  <c r="D12110" i="2"/>
  <c r="F12110" i="2"/>
  <c r="G12110" i="2"/>
  <c r="H12110" i="2"/>
  <c r="J12110" i="2"/>
  <c r="K12110" i="2"/>
  <c r="L12110" i="2"/>
  <c r="C12111" i="2"/>
  <c r="D12111" i="2"/>
  <c r="F12111" i="2"/>
  <c r="G12111" i="2"/>
  <c r="H12111" i="2"/>
  <c r="J12111" i="2"/>
  <c r="K12111" i="2"/>
  <c r="L12111" i="2"/>
  <c r="C12112" i="2"/>
  <c r="D12112" i="2"/>
  <c r="F12112" i="2"/>
  <c r="G12112" i="2"/>
  <c r="H12112" i="2"/>
  <c r="J12112" i="2"/>
  <c r="K12112" i="2"/>
  <c r="L12112" i="2"/>
  <c r="C12113" i="2"/>
  <c r="D12113" i="2"/>
  <c r="F12113" i="2"/>
  <c r="G12113" i="2"/>
  <c r="H12113" i="2"/>
  <c r="J12113" i="2"/>
  <c r="K12113" i="2"/>
  <c r="L12113" i="2"/>
  <c r="C12114" i="2"/>
  <c r="D12114" i="2"/>
  <c r="F12114" i="2"/>
  <c r="G12114" i="2"/>
  <c r="H12114" i="2"/>
  <c r="J12114" i="2"/>
  <c r="K12114" i="2"/>
  <c r="L12114" i="2"/>
  <c r="C12115" i="2"/>
  <c r="D12115" i="2"/>
  <c r="F12115" i="2"/>
  <c r="G12115" i="2"/>
  <c r="H12115" i="2"/>
  <c r="J12115" i="2"/>
  <c r="K12115" i="2"/>
  <c r="L12115" i="2"/>
  <c r="C12116" i="2"/>
  <c r="D12116" i="2"/>
  <c r="F12116" i="2"/>
  <c r="G12116" i="2"/>
  <c r="H12116" i="2"/>
  <c r="J12116" i="2"/>
  <c r="K12116" i="2"/>
  <c r="L12116" i="2"/>
  <c r="C12117" i="2"/>
  <c r="D12117" i="2"/>
  <c r="F12117" i="2"/>
  <c r="G12117" i="2"/>
  <c r="H12117" i="2"/>
  <c r="J12117" i="2"/>
  <c r="K12117" i="2"/>
  <c r="L12117" i="2"/>
  <c r="C12118" i="2"/>
  <c r="D12118" i="2"/>
  <c r="F12118" i="2"/>
  <c r="G12118" i="2"/>
  <c r="H12118" i="2"/>
  <c r="J12118" i="2"/>
  <c r="K12118" i="2"/>
  <c r="L12118" i="2"/>
  <c r="C12119" i="2"/>
  <c r="D12119" i="2"/>
  <c r="F12119" i="2"/>
  <c r="G12119" i="2"/>
  <c r="H12119" i="2"/>
  <c r="J12119" i="2"/>
  <c r="K12119" i="2"/>
  <c r="L12119" i="2"/>
  <c r="C12120" i="2"/>
  <c r="D12120" i="2"/>
  <c r="F12120" i="2"/>
  <c r="G12120" i="2"/>
  <c r="H12120" i="2"/>
  <c r="J12120" i="2"/>
  <c r="K12120" i="2"/>
  <c r="L12120" i="2"/>
  <c r="C12121" i="2"/>
  <c r="D12121" i="2"/>
  <c r="F12121" i="2"/>
  <c r="G12121" i="2"/>
  <c r="H12121" i="2"/>
  <c r="J12121" i="2"/>
  <c r="K12121" i="2"/>
  <c r="L12121" i="2"/>
  <c r="C12122" i="2"/>
  <c r="D12122" i="2"/>
  <c r="F12122" i="2"/>
  <c r="G12122" i="2"/>
  <c r="H12122" i="2"/>
  <c r="J12122" i="2"/>
  <c r="K12122" i="2"/>
  <c r="L12122" i="2"/>
  <c r="C12123" i="2"/>
  <c r="D12123" i="2"/>
  <c r="F12123" i="2"/>
  <c r="G12123" i="2"/>
  <c r="H12123" i="2"/>
  <c r="J12123" i="2"/>
  <c r="K12123" i="2"/>
  <c r="L12123" i="2"/>
  <c r="C12124" i="2"/>
  <c r="D12124" i="2"/>
  <c r="F12124" i="2"/>
  <c r="G12124" i="2"/>
  <c r="H12124" i="2"/>
  <c r="J12124" i="2"/>
  <c r="K12124" i="2"/>
  <c r="L12124" i="2"/>
  <c r="C12125" i="2"/>
  <c r="D12125" i="2"/>
  <c r="F12125" i="2"/>
  <c r="G12125" i="2"/>
  <c r="H12125" i="2"/>
  <c r="J12125" i="2"/>
  <c r="K12125" i="2"/>
  <c r="L12125" i="2"/>
  <c r="C12126" i="2"/>
  <c r="D12126" i="2"/>
  <c r="F12126" i="2"/>
  <c r="G12126" i="2"/>
  <c r="H12126" i="2"/>
  <c r="J12126" i="2"/>
  <c r="K12126" i="2"/>
  <c r="L12126" i="2"/>
  <c r="C12127" i="2"/>
  <c r="D12127" i="2"/>
  <c r="F12127" i="2"/>
  <c r="G12127" i="2"/>
  <c r="H12127" i="2"/>
  <c r="J12127" i="2"/>
  <c r="K12127" i="2"/>
  <c r="L12127" i="2"/>
  <c r="C12128" i="2"/>
  <c r="D12128" i="2"/>
  <c r="F12128" i="2"/>
  <c r="G12128" i="2"/>
  <c r="H12128" i="2"/>
  <c r="J12128" i="2"/>
  <c r="K12128" i="2"/>
  <c r="L12128" i="2"/>
  <c r="C12129" i="2"/>
  <c r="D12129" i="2"/>
  <c r="F12129" i="2"/>
  <c r="G12129" i="2"/>
  <c r="H12129" i="2"/>
  <c r="J12129" i="2"/>
  <c r="K12129" i="2"/>
  <c r="L12129" i="2"/>
  <c r="C12130" i="2"/>
  <c r="D12130" i="2"/>
  <c r="F12130" i="2"/>
  <c r="G12130" i="2"/>
  <c r="H12130" i="2"/>
  <c r="J12130" i="2"/>
  <c r="K12130" i="2"/>
  <c r="L12130" i="2"/>
  <c r="C12131" i="2"/>
  <c r="D12131" i="2"/>
  <c r="F12131" i="2"/>
  <c r="G12131" i="2"/>
  <c r="H12131" i="2"/>
  <c r="J12131" i="2"/>
  <c r="K12131" i="2"/>
  <c r="L12131" i="2"/>
  <c r="C12132" i="2"/>
  <c r="D12132" i="2"/>
  <c r="F12132" i="2"/>
  <c r="G12132" i="2"/>
  <c r="H12132" i="2"/>
  <c r="J12132" i="2"/>
  <c r="K12132" i="2"/>
  <c r="L12132" i="2"/>
  <c r="C12133" i="2"/>
  <c r="D12133" i="2"/>
  <c r="F12133" i="2"/>
  <c r="G12133" i="2"/>
  <c r="H12133" i="2"/>
  <c r="J12133" i="2"/>
  <c r="K12133" i="2"/>
  <c r="L12133" i="2"/>
  <c r="C12134" i="2"/>
  <c r="D12134" i="2"/>
  <c r="F12134" i="2"/>
  <c r="G12134" i="2"/>
  <c r="H12134" i="2"/>
  <c r="J12134" i="2"/>
  <c r="K12134" i="2"/>
  <c r="L12134" i="2"/>
  <c r="C12135" i="2"/>
  <c r="D12135" i="2"/>
  <c r="F12135" i="2"/>
  <c r="G12135" i="2"/>
  <c r="H12135" i="2"/>
  <c r="J12135" i="2"/>
  <c r="K12135" i="2"/>
  <c r="L12135" i="2"/>
  <c r="C12136" i="2"/>
  <c r="D12136" i="2"/>
  <c r="F12136" i="2"/>
  <c r="G12136" i="2"/>
  <c r="H12136" i="2"/>
  <c r="J12136" i="2"/>
  <c r="K12136" i="2"/>
  <c r="L12136" i="2"/>
  <c r="C12137" i="2"/>
  <c r="D12137" i="2"/>
  <c r="F12137" i="2"/>
  <c r="G12137" i="2"/>
  <c r="H12137" i="2"/>
  <c r="J12137" i="2"/>
  <c r="K12137" i="2"/>
  <c r="L12137" i="2"/>
  <c r="C12138" i="2"/>
  <c r="D12138" i="2"/>
  <c r="E12138" i="2"/>
  <c r="F12138" i="2"/>
  <c r="G12138" i="2"/>
  <c r="H12138" i="2"/>
  <c r="J12138" i="2"/>
  <c r="K12138" i="2"/>
  <c r="L12138" i="2"/>
  <c r="C12139" i="2"/>
  <c r="D12139" i="2"/>
  <c r="F12139" i="2"/>
  <c r="G12139" i="2"/>
  <c r="H12139" i="2"/>
  <c r="J12139" i="2"/>
  <c r="K12139" i="2"/>
  <c r="L12139" i="2"/>
  <c r="C12140" i="2"/>
  <c r="D12140" i="2"/>
  <c r="F12140" i="2"/>
  <c r="G12140" i="2"/>
  <c r="H12140" i="2"/>
  <c r="J12140" i="2"/>
  <c r="K12140" i="2"/>
  <c r="L12140" i="2"/>
  <c r="C12141" i="2"/>
  <c r="D12141" i="2"/>
  <c r="F12141" i="2"/>
  <c r="G12141" i="2"/>
  <c r="H12141" i="2"/>
  <c r="J12141" i="2"/>
  <c r="K12141" i="2"/>
  <c r="L12141" i="2"/>
  <c r="C12142" i="2"/>
  <c r="D12142" i="2"/>
  <c r="F12142" i="2"/>
  <c r="G12142" i="2"/>
  <c r="H12142" i="2"/>
  <c r="J12142" i="2"/>
  <c r="K12142" i="2"/>
  <c r="L12142" i="2"/>
  <c r="C12143" i="2"/>
  <c r="D12143" i="2"/>
  <c r="F12143" i="2"/>
  <c r="G12143" i="2"/>
  <c r="H12143" i="2"/>
  <c r="J12143" i="2"/>
  <c r="K12143" i="2"/>
  <c r="L12143" i="2"/>
  <c r="C12144" i="2"/>
  <c r="D12144" i="2"/>
  <c r="F12144" i="2"/>
  <c r="G12144" i="2"/>
  <c r="H12144" i="2"/>
  <c r="J12144" i="2"/>
  <c r="K12144" i="2"/>
  <c r="L12144" i="2"/>
  <c r="C12145" i="2"/>
  <c r="D12145" i="2"/>
  <c r="F12145" i="2"/>
  <c r="G12145" i="2"/>
  <c r="H12145" i="2"/>
  <c r="J12145" i="2"/>
  <c r="K12145" i="2"/>
  <c r="L12145" i="2"/>
  <c r="C12146" i="2"/>
  <c r="D12146" i="2"/>
  <c r="F12146" i="2"/>
  <c r="G12146" i="2"/>
  <c r="H12146" i="2"/>
  <c r="J12146" i="2"/>
  <c r="K12146" i="2"/>
  <c r="L12146" i="2"/>
  <c r="C12147" i="2"/>
  <c r="D12147" i="2"/>
  <c r="F12147" i="2"/>
  <c r="G12147" i="2"/>
  <c r="H12147" i="2"/>
  <c r="J12147" i="2"/>
  <c r="K12147" i="2"/>
  <c r="L12147" i="2"/>
  <c r="C12148" i="2"/>
  <c r="D12148" i="2"/>
  <c r="F12148" i="2"/>
  <c r="G12148" i="2"/>
  <c r="H12148" i="2"/>
  <c r="J12148" i="2"/>
  <c r="K12148" i="2"/>
  <c r="L12148" i="2"/>
  <c r="C12149" i="2"/>
  <c r="D12149" i="2"/>
  <c r="F12149" i="2"/>
  <c r="G12149" i="2"/>
  <c r="H12149" i="2"/>
  <c r="J12149" i="2"/>
  <c r="K12149" i="2"/>
  <c r="L12149" i="2"/>
  <c r="C12150" i="2"/>
  <c r="D12150" i="2"/>
  <c r="F12150" i="2"/>
  <c r="G12150" i="2"/>
  <c r="H12150" i="2"/>
  <c r="J12150" i="2"/>
  <c r="K12150" i="2"/>
  <c r="L12150" i="2"/>
  <c r="C12151" i="2"/>
  <c r="D12151" i="2"/>
  <c r="F12151" i="2"/>
  <c r="G12151" i="2"/>
  <c r="H12151" i="2"/>
  <c r="J12151" i="2"/>
  <c r="K12151" i="2"/>
  <c r="L12151" i="2"/>
  <c r="C12152" i="2"/>
  <c r="D12152" i="2"/>
  <c r="F12152" i="2"/>
  <c r="G12152" i="2"/>
  <c r="H12152" i="2"/>
  <c r="J12152" i="2"/>
  <c r="K12152" i="2"/>
  <c r="L12152" i="2"/>
  <c r="C12153" i="2"/>
  <c r="D12153" i="2"/>
  <c r="F12153" i="2"/>
  <c r="G12153" i="2"/>
  <c r="H12153" i="2"/>
  <c r="J12153" i="2"/>
  <c r="K12153" i="2"/>
  <c r="L12153" i="2"/>
  <c r="C12154" i="2"/>
  <c r="D12154" i="2"/>
  <c r="F12154" i="2"/>
  <c r="G12154" i="2"/>
  <c r="H12154" i="2"/>
  <c r="J12154" i="2"/>
  <c r="K12154" i="2"/>
  <c r="L12154" i="2"/>
  <c r="C12155" i="2"/>
  <c r="D12155" i="2"/>
  <c r="F12155" i="2"/>
  <c r="G12155" i="2"/>
  <c r="H12155" i="2"/>
  <c r="J12155" i="2"/>
  <c r="K12155" i="2"/>
  <c r="L12155" i="2"/>
  <c r="C12156" i="2"/>
  <c r="D12156" i="2"/>
  <c r="F12156" i="2"/>
  <c r="G12156" i="2"/>
  <c r="H12156" i="2"/>
  <c r="J12156" i="2"/>
  <c r="K12156" i="2"/>
  <c r="L12156" i="2"/>
  <c r="C12157" i="2"/>
  <c r="D12157" i="2"/>
  <c r="F12157" i="2"/>
  <c r="G12157" i="2"/>
  <c r="H12157" i="2"/>
  <c r="J12157" i="2"/>
  <c r="K12157" i="2"/>
  <c r="L12157" i="2"/>
  <c r="C12158" i="2"/>
  <c r="D12158" i="2"/>
  <c r="F12158" i="2"/>
  <c r="G12158" i="2"/>
  <c r="H12158" i="2"/>
  <c r="J12158" i="2"/>
  <c r="K12158" i="2"/>
  <c r="L12158" i="2"/>
  <c r="C12159" i="2"/>
  <c r="D12159" i="2"/>
  <c r="F12159" i="2"/>
  <c r="G12159" i="2"/>
  <c r="H12159" i="2"/>
  <c r="J12159" i="2"/>
  <c r="K12159" i="2"/>
  <c r="L12159" i="2"/>
  <c r="C12160" i="2"/>
  <c r="D12160" i="2"/>
  <c r="F12160" i="2"/>
  <c r="G12160" i="2"/>
  <c r="H12160" i="2"/>
  <c r="J12160" i="2"/>
  <c r="K12160" i="2"/>
  <c r="L12160" i="2"/>
  <c r="C12161" i="2"/>
  <c r="D12161" i="2"/>
  <c r="F12161" i="2"/>
  <c r="G12161" i="2"/>
  <c r="H12161" i="2"/>
  <c r="J12161" i="2"/>
  <c r="K12161" i="2"/>
  <c r="L12161" i="2"/>
  <c r="C12162" i="2"/>
  <c r="D12162" i="2"/>
  <c r="F12162" i="2"/>
  <c r="G12162" i="2"/>
  <c r="H12162" i="2"/>
  <c r="J12162" i="2"/>
  <c r="K12162" i="2"/>
  <c r="L12162" i="2"/>
  <c r="C12163" i="2"/>
  <c r="D12163" i="2"/>
  <c r="F12163" i="2"/>
  <c r="G12163" i="2"/>
  <c r="H12163" i="2"/>
  <c r="J12163" i="2"/>
  <c r="K12163" i="2"/>
  <c r="L12163" i="2"/>
  <c r="C12164" i="2"/>
  <c r="D12164" i="2"/>
  <c r="F12164" i="2"/>
  <c r="G12164" i="2"/>
  <c r="H12164" i="2"/>
  <c r="J12164" i="2"/>
  <c r="K12164" i="2"/>
  <c r="L12164" i="2"/>
  <c r="C12165" i="2"/>
  <c r="D12165" i="2"/>
  <c r="F12165" i="2"/>
  <c r="G12165" i="2"/>
  <c r="H12165" i="2"/>
  <c r="J12165" i="2"/>
  <c r="K12165" i="2"/>
  <c r="L12165" i="2"/>
  <c r="C12166" i="2"/>
  <c r="D12166" i="2"/>
  <c r="F12166" i="2"/>
  <c r="G12166" i="2"/>
  <c r="H12166" i="2"/>
  <c r="J12166" i="2"/>
  <c r="K12166" i="2"/>
  <c r="L12166" i="2"/>
  <c r="C12167" i="2"/>
  <c r="D12167" i="2"/>
  <c r="F12167" i="2"/>
  <c r="G12167" i="2"/>
  <c r="H12167" i="2"/>
  <c r="J12167" i="2"/>
  <c r="K12167" i="2"/>
  <c r="L12167" i="2"/>
  <c r="C12168" i="2"/>
  <c r="D12168" i="2"/>
  <c r="F12168" i="2"/>
  <c r="G12168" i="2"/>
  <c r="H12168" i="2"/>
  <c r="J12168" i="2"/>
  <c r="K12168" i="2"/>
  <c r="L12168" i="2"/>
  <c r="C12169" i="2"/>
  <c r="D12169" i="2"/>
  <c r="F12169" i="2"/>
  <c r="G12169" i="2"/>
  <c r="H12169" i="2"/>
  <c r="J12169" i="2"/>
  <c r="K12169" i="2"/>
  <c r="L12169" i="2"/>
  <c r="C12170" i="2"/>
  <c r="D12170" i="2"/>
  <c r="F12170" i="2"/>
  <c r="G12170" i="2"/>
  <c r="H12170" i="2"/>
  <c r="J12170" i="2"/>
  <c r="K12170" i="2"/>
  <c r="L12170" i="2"/>
  <c r="C12171" i="2"/>
  <c r="D12171" i="2"/>
  <c r="F12171" i="2"/>
  <c r="G12171" i="2"/>
  <c r="H12171" i="2"/>
  <c r="J12171" i="2"/>
  <c r="K12171" i="2"/>
  <c r="L12171" i="2"/>
  <c r="C12172" i="2"/>
  <c r="D12172" i="2"/>
  <c r="F12172" i="2"/>
  <c r="G12172" i="2"/>
  <c r="H12172" i="2"/>
  <c r="J12172" i="2"/>
  <c r="K12172" i="2"/>
  <c r="L12172" i="2"/>
  <c r="C12173" i="2"/>
  <c r="D12173" i="2"/>
  <c r="F12173" i="2"/>
  <c r="G12173" i="2"/>
  <c r="H12173" i="2"/>
  <c r="J12173" i="2"/>
  <c r="K12173" i="2"/>
  <c r="L12173" i="2"/>
  <c r="C12174" i="2"/>
  <c r="D12174" i="2"/>
  <c r="F12174" i="2"/>
  <c r="G12174" i="2"/>
  <c r="H12174" i="2"/>
  <c r="J12174" i="2"/>
  <c r="K12174" i="2"/>
  <c r="L12174" i="2"/>
  <c r="C12175" i="2"/>
  <c r="D12175" i="2"/>
  <c r="F12175" i="2"/>
  <c r="G12175" i="2"/>
  <c r="H12175" i="2"/>
  <c r="J12175" i="2"/>
  <c r="K12175" i="2"/>
  <c r="L12175" i="2"/>
  <c r="C12176" i="2"/>
  <c r="D12176" i="2"/>
  <c r="F12176" i="2"/>
  <c r="G12176" i="2"/>
  <c r="H12176" i="2"/>
  <c r="J12176" i="2"/>
  <c r="K12176" i="2"/>
  <c r="L12176" i="2"/>
  <c r="C12177" i="2"/>
  <c r="D12177" i="2"/>
  <c r="F12177" i="2"/>
  <c r="G12177" i="2"/>
  <c r="H12177" i="2"/>
  <c r="J12177" i="2"/>
  <c r="K12177" i="2"/>
  <c r="L12177" i="2"/>
  <c r="C12178" i="2"/>
  <c r="D12178" i="2"/>
  <c r="F12178" i="2"/>
  <c r="G12178" i="2"/>
  <c r="H12178" i="2"/>
  <c r="J12178" i="2"/>
  <c r="K12178" i="2"/>
  <c r="L12178" i="2"/>
  <c r="C12179" i="2"/>
  <c r="D12179" i="2"/>
  <c r="F12179" i="2"/>
  <c r="G12179" i="2"/>
  <c r="H12179" i="2"/>
  <c r="J12179" i="2"/>
  <c r="K12179" i="2"/>
  <c r="L12179" i="2"/>
  <c r="C12180" i="2"/>
  <c r="D12180" i="2"/>
  <c r="F12180" i="2"/>
  <c r="G12180" i="2"/>
  <c r="H12180" i="2"/>
  <c r="J12180" i="2"/>
  <c r="K12180" i="2"/>
  <c r="L12180" i="2"/>
  <c r="C12181" i="2"/>
  <c r="D12181" i="2"/>
  <c r="F12181" i="2"/>
  <c r="G12181" i="2"/>
  <c r="H12181" i="2"/>
  <c r="J12181" i="2"/>
  <c r="K12181" i="2"/>
  <c r="L12181" i="2"/>
  <c r="C12182" i="2"/>
  <c r="D12182" i="2"/>
  <c r="F12182" i="2"/>
  <c r="G12182" i="2"/>
  <c r="H12182" i="2"/>
  <c r="J12182" i="2"/>
  <c r="K12182" i="2"/>
  <c r="L12182" i="2"/>
  <c r="C12183" i="2"/>
  <c r="D12183" i="2"/>
  <c r="F12183" i="2"/>
  <c r="G12183" i="2"/>
  <c r="H12183" i="2"/>
  <c r="J12183" i="2"/>
  <c r="K12183" i="2"/>
  <c r="L12183" i="2"/>
  <c r="C12184" i="2"/>
  <c r="D12184" i="2"/>
  <c r="F12184" i="2"/>
  <c r="G12184" i="2"/>
  <c r="H12184" i="2"/>
  <c r="J12184" i="2"/>
  <c r="K12184" i="2"/>
  <c r="L12184" i="2"/>
  <c r="C12185" i="2"/>
  <c r="D12185" i="2"/>
  <c r="F12185" i="2"/>
  <c r="G12185" i="2"/>
  <c r="H12185" i="2"/>
  <c r="J12185" i="2"/>
  <c r="K12185" i="2"/>
  <c r="L12185" i="2"/>
  <c r="C12186" i="2"/>
  <c r="D12186" i="2"/>
  <c r="F12186" i="2"/>
  <c r="G12186" i="2"/>
  <c r="H12186" i="2"/>
  <c r="J12186" i="2"/>
  <c r="K12186" i="2"/>
  <c r="L12186" i="2"/>
  <c r="C12187" i="2"/>
  <c r="D12187" i="2"/>
  <c r="F12187" i="2"/>
  <c r="G12187" i="2"/>
  <c r="H12187" i="2"/>
  <c r="J12187" i="2"/>
  <c r="K12187" i="2"/>
  <c r="L12187" i="2"/>
  <c r="C12188" i="2"/>
  <c r="D12188" i="2"/>
  <c r="F12188" i="2"/>
  <c r="G12188" i="2"/>
  <c r="H12188" i="2"/>
  <c r="J12188" i="2"/>
  <c r="K12188" i="2"/>
  <c r="L12188" i="2"/>
  <c r="C12189" i="2"/>
  <c r="D12189" i="2"/>
  <c r="F12189" i="2"/>
  <c r="G12189" i="2"/>
  <c r="H12189" i="2"/>
  <c r="J12189" i="2"/>
  <c r="K12189" i="2"/>
  <c r="L12189" i="2"/>
  <c r="C12190" i="2"/>
  <c r="D12190" i="2"/>
  <c r="F12190" i="2"/>
  <c r="G12190" i="2"/>
  <c r="H12190" i="2"/>
  <c r="J12190" i="2"/>
  <c r="K12190" i="2"/>
  <c r="L12190" i="2"/>
  <c r="C12191" i="2"/>
  <c r="D12191" i="2"/>
  <c r="F12191" i="2"/>
  <c r="G12191" i="2"/>
  <c r="H12191" i="2"/>
  <c r="J12191" i="2"/>
  <c r="K12191" i="2"/>
  <c r="L12191" i="2"/>
  <c r="C12192" i="2"/>
  <c r="D12192" i="2"/>
  <c r="F12192" i="2"/>
  <c r="G12192" i="2"/>
  <c r="H12192" i="2"/>
  <c r="J12192" i="2"/>
  <c r="K12192" i="2"/>
  <c r="L12192" i="2"/>
  <c r="C12193" i="2"/>
  <c r="D12193" i="2"/>
  <c r="F12193" i="2"/>
  <c r="G12193" i="2"/>
  <c r="H12193" i="2"/>
  <c r="J12193" i="2"/>
  <c r="K12193" i="2"/>
  <c r="L12193" i="2"/>
  <c r="C12194" i="2"/>
  <c r="D12194" i="2"/>
  <c r="F12194" i="2"/>
  <c r="G12194" i="2"/>
  <c r="H12194" i="2"/>
  <c r="J12194" i="2"/>
  <c r="K12194" i="2"/>
  <c r="L12194" i="2"/>
  <c r="C12195" i="2"/>
  <c r="D12195" i="2"/>
  <c r="F12195" i="2"/>
  <c r="G12195" i="2"/>
  <c r="H12195" i="2"/>
  <c r="J12195" i="2"/>
  <c r="K12195" i="2"/>
  <c r="L12195" i="2"/>
  <c r="C12196" i="2"/>
  <c r="D12196" i="2"/>
  <c r="F12196" i="2"/>
  <c r="G12196" i="2"/>
  <c r="H12196" i="2"/>
  <c r="J12196" i="2"/>
  <c r="K12196" i="2"/>
  <c r="L12196" i="2"/>
  <c r="C12197" i="2"/>
  <c r="D12197" i="2"/>
  <c r="F12197" i="2"/>
  <c r="G12197" i="2"/>
  <c r="H12197" i="2"/>
  <c r="J12197" i="2"/>
  <c r="K12197" i="2"/>
  <c r="L12197" i="2"/>
  <c r="C12198" i="2"/>
  <c r="D12198" i="2"/>
  <c r="F12198" i="2"/>
  <c r="G12198" i="2"/>
  <c r="H12198" i="2"/>
  <c r="J12198" i="2"/>
  <c r="K12198" i="2"/>
  <c r="L12198" i="2"/>
  <c r="C12199" i="2"/>
  <c r="D12199" i="2"/>
  <c r="F12199" i="2"/>
  <c r="G12199" i="2"/>
  <c r="H12199" i="2"/>
  <c r="J12199" i="2"/>
  <c r="K12199" i="2"/>
  <c r="L12199" i="2"/>
  <c r="C12200" i="2"/>
  <c r="D12200" i="2"/>
  <c r="F12200" i="2"/>
  <c r="G12200" i="2"/>
  <c r="H12200" i="2"/>
  <c r="J12200" i="2"/>
  <c r="K12200" i="2"/>
  <c r="L12200" i="2"/>
  <c r="C12201" i="2"/>
  <c r="D12201" i="2"/>
  <c r="F12201" i="2"/>
  <c r="G12201" i="2"/>
  <c r="H12201" i="2"/>
  <c r="J12201" i="2"/>
  <c r="K12201" i="2"/>
  <c r="L12201" i="2"/>
  <c r="C12202" i="2"/>
  <c r="D12202" i="2"/>
  <c r="F12202" i="2"/>
  <c r="G12202" i="2"/>
  <c r="H12202" i="2"/>
  <c r="J12202" i="2"/>
  <c r="K12202" i="2"/>
  <c r="L12202" i="2"/>
  <c r="C12203" i="2"/>
  <c r="D12203" i="2"/>
  <c r="F12203" i="2"/>
  <c r="G12203" i="2"/>
  <c r="H12203" i="2"/>
  <c r="J12203" i="2"/>
  <c r="K12203" i="2"/>
  <c r="L12203" i="2"/>
  <c r="C12204" i="2"/>
  <c r="D12204" i="2"/>
  <c r="F12204" i="2"/>
  <c r="G12204" i="2"/>
  <c r="H12204" i="2"/>
  <c r="J12204" i="2"/>
  <c r="K12204" i="2"/>
  <c r="L12204" i="2"/>
  <c r="C12205" i="2"/>
  <c r="D12205" i="2"/>
  <c r="F12205" i="2"/>
  <c r="G12205" i="2"/>
  <c r="H12205" i="2"/>
  <c r="J12205" i="2"/>
  <c r="K12205" i="2"/>
  <c r="L12205" i="2"/>
  <c r="C12206" i="2"/>
  <c r="D12206" i="2"/>
  <c r="F12206" i="2"/>
  <c r="G12206" i="2"/>
  <c r="H12206" i="2"/>
  <c r="J12206" i="2"/>
  <c r="K12206" i="2"/>
  <c r="L12206" i="2"/>
  <c r="C12207" i="2"/>
  <c r="D12207" i="2"/>
  <c r="F12207" i="2"/>
  <c r="G12207" i="2"/>
  <c r="H12207" i="2"/>
  <c r="J12207" i="2"/>
  <c r="K12207" i="2"/>
  <c r="L12207" i="2"/>
  <c r="C12208" i="2"/>
  <c r="D12208" i="2"/>
  <c r="F12208" i="2"/>
  <c r="G12208" i="2"/>
  <c r="H12208" i="2"/>
  <c r="J12208" i="2"/>
  <c r="K12208" i="2"/>
  <c r="L12208" i="2"/>
  <c r="C12209" i="2"/>
  <c r="D12209" i="2"/>
  <c r="F12209" i="2"/>
  <c r="G12209" i="2"/>
  <c r="H12209" i="2"/>
  <c r="J12209" i="2"/>
  <c r="K12209" i="2"/>
  <c r="L12209" i="2"/>
  <c r="C12210" i="2"/>
  <c r="D12210" i="2"/>
  <c r="F12210" i="2"/>
  <c r="G12210" i="2"/>
  <c r="H12210" i="2"/>
  <c r="J12210" i="2"/>
  <c r="K12210" i="2"/>
  <c r="L12210" i="2"/>
  <c r="C12211" i="2"/>
  <c r="D12211" i="2"/>
  <c r="F12211" i="2"/>
  <c r="G12211" i="2"/>
  <c r="H12211" i="2"/>
  <c r="J12211" i="2"/>
  <c r="K12211" i="2"/>
  <c r="L12211" i="2"/>
  <c r="C12212" i="2"/>
  <c r="D12212" i="2"/>
  <c r="F12212" i="2"/>
  <c r="G12212" i="2"/>
  <c r="H12212" i="2"/>
  <c r="J12212" i="2"/>
  <c r="K12212" i="2"/>
  <c r="L12212" i="2"/>
  <c r="C12213" i="2"/>
  <c r="D12213" i="2"/>
  <c r="F12213" i="2"/>
  <c r="G12213" i="2"/>
  <c r="H12213" i="2"/>
  <c r="J12213" i="2"/>
  <c r="K12213" i="2"/>
  <c r="L12213" i="2"/>
  <c r="C12214" i="2"/>
  <c r="D12214" i="2"/>
  <c r="F12214" i="2"/>
  <c r="G12214" i="2"/>
  <c r="H12214" i="2"/>
  <c r="J12214" i="2"/>
  <c r="K12214" i="2"/>
  <c r="L12214" i="2"/>
  <c r="C12215" i="2"/>
  <c r="D12215" i="2"/>
  <c r="F12215" i="2"/>
  <c r="G12215" i="2"/>
  <c r="H12215" i="2"/>
  <c r="J12215" i="2"/>
  <c r="K12215" i="2"/>
  <c r="L12215" i="2"/>
  <c r="C12216" i="2"/>
  <c r="D12216" i="2"/>
  <c r="F12216" i="2"/>
  <c r="G12216" i="2"/>
  <c r="H12216" i="2"/>
  <c r="J12216" i="2"/>
  <c r="K12216" i="2"/>
  <c r="L12216" i="2"/>
  <c r="C12217" i="2"/>
  <c r="D12217" i="2"/>
  <c r="F12217" i="2"/>
  <c r="G12217" i="2"/>
  <c r="H12217" i="2"/>
  <c r="J12217" i="2"/>
  <c r="K12217" i="2"/>
  <c r="L12217" i="2"/>
  <c r="C12218" i="2"/>
  <c r="D12218" i="2"/>
  <c r="F12218" i="2"/>
  <c r="G12218" i="2"/>
  <c r="H12218" i="2"/>
  <c r="J12218" i="2"/>
  <c r="K12218" i="2"/>
  <c r="L12218" i="2"/>
  <c r="C12219" i="2"/>
  <c r="D12219" i="2"/>
  <c r="F12219" i="2"/>
  <c r="G12219" i="2"/>
  <c r="H12219" i="2"/>
  <c r="J12219" i="2"/>
  <c r="K12219" i="2"/>
  <c r="L12219" i="2"/>
  <c r="C12220" i="2"/>
  <c r="D12220" i="2"/>
  <c r="F12220" i="2"/>
  <c r="G12220" i="2"/>
  <c r="H12220" i="2"/>
  <c r="J12220" i="2"/>
  <c r="K12220" i="2"/>
  <c r="L12220" i="2"/>
  <c r="C12221" i="2"/>
  <c r="D12221" i="2"/>
  <c r="F12221" i="2"/>
  <c r="G12221" i="2"/>
  <c r="H12221" i="2"/>
  <c r="J12221" i="2"/>
  <c r="K12221" i="2"/>
  <c r="L12221" i="2"/>
  <c r="C12222" i="2"/>
  <c r="D12222" i="2"/>
  <c r="F12222" i="2"/>
  <c r="G12222" i="2"/>
  <c r="H12222" i="2"/>
  <c r="J12222" i="2"/>
  <c r="K12222" i="2"/>
  <c r="L12222" i="2"/>
  <c r="C12223" i="2"/>
  <c r="D12223" i="2"/>
  <c r="F12223" i="2"/>
  <c r="G12223" i="2"/>
  <c r="H12223" i="2"/>
  <c r="J12223" i="2"/>
  <c r="K12223" i="2"/>
  <c r="L12223" i="2"/>
  <c r="C12224" i="2"/>
  <c r="D12224" i="2"/>
  <c r="F12224" i="2"/>
  <c r="G12224" i="2"/>
  <c r="H12224" i="2"/>
  <c r="J12224" i="2"/>
  <c r="K12224" i="2"/>
  <c r="L12224" i="2"/>
  <c r="C12225" i="2"/>
  <c r="D12225" i="2"/>
  <c r="F12225" i="2"/>
  <c r="G12225" i="2"/>
  <c r="H12225" i="2"/>
  <c r="J12225" i="2"/>
  <c r="K12225" i="2"/>
  <c r="L12225" i="2"/>
  <c r="C12226" i="2"/>
  <c r="D12226" i="2"/>
  <c r="F12226" i="2"/>
  <c r="G12226" i="2"/>
  <c r="H12226" i="2"/>
  <c r="J12226" i="2"/>
  <c r="K12226" i="2"/>
  <c r="L12226" i="2"/>
  <c r="C12227" i="2"/>
  <c r="D12227" i="2"/>
  <c r="F12227" i="2"/>
  <c r="G12227" i="2"/>
  <c r="H12227" i="2"/>
  <c r="J12227" i="2"/>
  <c r="K12227" i="2"/>
  <c r="L12227" i="2"/>
  <c r="C12228" i="2"/>
  <c r="D12228" i="2"/>
  <c r="F12228" i="2"/>
  <c r="G12228" i="2"/>
  <c r="H12228" i="2"/>
  <c r="J12228" i="2"/>
  <c r="K12228" i="2"/>
  <c r="L12228" i="2"/>
  <c r="C12229" i="2"/>
  <c r="D12229" i="2"/>
  <c r="F12229" i="2"/>
  <c r="G12229" i="2"/>
  <c r="H12229" i="2"/>
  <c r="J12229" i="2"/>
  <c r="K12229" i="2"/>
  <c r="L12229" i="2"/>
  <c r="C12230" i="2"/>
  <c r="D12230" i="2"/>
  <c r="F12230" i="2"/>
  <c r="G12230" i="2"/>
  <c r="H12230" i="2"/>
  <c r="J12230" i="2"/>
  <c r="K12230" i="2"/>
  <c r="L12230" i="2"/>
  <c r="C12231" i="2"/>
  <c r="D12231" i="2"/>
  <c r="F12231" i="2"/>
  <c r="G12231" i="2"/>
  <c r="H12231" i="2"/>
  <c r="J12231" i="2"/>
  <c r="K12231" i="2"/>
  <c r="L12231" i="2"/>
  <c r="C12232" i="2"/>
  <c r="D12232" i="2"/>
  <c r="F12232" i="2"/>
  <c r="G12232" i="2"/>
  <c r="H12232" i="2"/>
  <c r="J12232" i="2"/>
  <c r="K12232" i="2"/>
  <c r="L12232" i="2"/>
  <c r="C12233" i="2"/>
  <c r="D12233" i="2"/>
  <c r="F12233" i="2"/>
  <c r="G12233" i="2"/>
  <c r="H12233" i="2"/>
  <c r="J12233" i="2"/>
  <c r="K12233" i="2"/>
  <c r="L12233" i="2"/>
  <c r="C12234" i="2"/>
  <c r="D12234" i="2"/>
  <c r="F12234" i="2"/>
  <c r="G12234" i="2"/>
  <c r="H12234" i="2"/>
  <c r="J12234" i="2"/>
  <c r="K12234" i="2"/>
  <c r="L12234" i="2"/>
  <c r="C12235" i="2"/>
  <c r="D12235" i="2"/>
  <c r="F12235" i="2"/>
  <c r="G12235" i="2"/>
  <c r="H12235" i="2"/>
  <c r="J12235" i="2"/>
  <c r="K12235" i="2"/>
  <c r="L12235" i="2"/>
  <c r="C12236" i="2"/>
  <c r="D12236" i="2"/>
  <c r="F12236" i="2"/>
  <c r="G12236" i="2"/>
  <c r="H12236" i="2"/>
  <c r="J12236" i="2"/>
  <c r="K12236" i="2"/>
  <c r="L12236" i="2"/>
  <c r="C12237" i="2"/>
  <c r="D12237" i="2"/>
  <c r="F12237" i="2"/>
  <c r="G12237" i="2"/>
  <c r="H12237" i="2"/>
  <c r="J12237" i="2"/>
  <c r="K12237" i="2"/>
  <c r="L12237" i="2"/>
  <c r="C12238" i="2"/>
  <c r="D12238" i="2"/>
  <c r="F12238" i="2"/>
  <c r="G12238" i="2"/>
  <c r="H12238" i="2"/>
  <c r="J12238" i="2"/>
  <c r="K12238" i="2"/>
  <c r="L12238" i="2"/>
  <c r="C12239" i="2"/>
  <c r="D12239" i="2"/>
  <c r="F12239" i="2"/>
  <c r="G12239" i="2"/>
  <c r="H12239" i="2"/>
  <c r="J12239" i="2"/>
  <c r="K12239" i="2"/>
  <c r="L12239" i="2"/>
  <c r="C12240" i="2"/>
  <c r="D12240" i="2"/>
  <c r="F12240" i="2"/>
  <c r="G12240" i="2"/>
  <c r="H12240" i="2"/>
  <c r="J12240" i="2"/>
  <c r="K12240" i="2"/>
  <c r="L12240" i="2"/>
  <c r="C12241" i="2"/>
  <c r="D12241" i="2"/>
  <c r="F12241" i="2"/>
  <c r="G12241" i="2"/>
  <c r="H12241" i="2"/>
  <c r="J12241" i="2"/>
  <c r="K12241" i="2"/>
  <c r="L12241" i="2"/>
  <c r="C12242" i="2"/>
  <c r="D12242" i="2"/>
  <c r="F12242" i="2"/>
  <c r="G12242" i="2"/>
  <c r="H12242" i="2"/>
  <c r="J12242" i="2"/>
  <c r="K12242" i="2"/>
  <c r="L12242" i="2"/>
  <c r="C12243" i="2"/>
  <c r="D12243" i="2"/>
  <c r="F12243" i="2"/>
  <c r="G12243" i="2"/>
  <c r="H12243" i="2"/>
  <c r="J12243" i="2"/>
  <c r="K12243" i="2"/>
  <c r="L12243" i="2"/>
  <c r="C12244" i="2"/>
  <c r="D12244" i="2"/>
  <c r="F12244" i="2"/>
  <c r="G12244" i="2"/>
  <c r="H12244" i="2"/>
  <c r="J12244" i="2"/>
  <c r="K12244" i="2"/>
  <c r="L12244" i="2"/>
  <c r="C12245" i="2"/>
  <c r="D12245" i="2"/>
  <c r="F12245" i="2"/>
  <c r="G12245" i="2"/>
  <c r="H12245" i="2"/>
  <c r="J12245" i="2"/>
  <c r="K12245" i="2"/>
  <c r="L12245" i="2"/>
  <c r="C12246" i="2"/>
  <c r="D12246" i="2"/>
  <c r="F12246" i="2"/>
  <c r="G12246" i="2"/>
  <c r="H12246" i="2"/>
  <c r="J12246" i="2"/>
  <c r="K12246" i="2"/>
  <c r="L12246" i="2"/>
  <c r="C12247" i="2"/>
  <c r="D12247" i="2"/>
  <c r="F12247" i="2"/>
  <c r="G12247" i="2"/>
  <c r="H12247" i="2"/>
  <c r="J12247" i="2"/>
  <c r="K12247" i="2"/>
  <c r="L12247" i="2"/>
  <c r="C12248" i="2"/>
  <c r="D12248" i="2"/>
  <c r="F12248" i="2"/>
  <c r="G12248" i="2"/>
  <c r="H12248" i="2"/>
  <c r="J12248" i="2"/>
  <c r="K12248" i="2"/>
  <c r="L12248" i="2"/>
  <c r="C12249" i="2"/>
  <c r="D12249" i="2"/>
  <c r="F12249" i="2"/>
  <c r="G12249" i="2"/>
  <c r="H12249" i="2"/>
  <c r="J12249" i="2"/>
  <c r="K12249" i="2"/>
  <c r="L12249" i="2"/>
  <c r="C12250" i="2"/>
  <c r="D12250" i="2"/>
  <c r="F12250" i="2"/>
  <c r="G12250" i="2"/>
  <c r="H12250" i="2"/>
  <c r="J12250" i="2"/>
  <c r="K12250" i="2"/>
  <c r="L12250" i="2"/>
  <c r="C12251" i="2"/>
  <c r="D12251" i="2"/>
  <c r="F12251" i="2"/>
  <c r="G12251" i="2"/>
  <c r="H12251" i="2"/>
  <c r="J12251" i="2"/>
  <c r="K12251" i="2"/>
  <c r="L12251" i="2"/>
  <c r="C12252" i="2"/>
  <c r="D12252" i="2"/>
  <c r="F12252" i="2"/>
  <c r="G12252" i="2"/>
  <c r="H12252" i="2"/>
  <c r="J12252" i="2"/>
  <c r="K12252" i="2"/>
  <c r="L12252" i="2"/>
  <c r="C12253" i="2"/>
  <c r="D12253" i="2"/>
  <c r="F12253" i="2"/>
  <c r="G12253" i="2"/>
  <c r="H12253" i="2"/>
  <c r="J12253" i="2"/>
  <c r="K12253" i="2"/>
  <c r="L12253" i="2"/>
  <c r="C12254" i="2"/>
  <c r="D12254" i="2"/>
  <c r="F12254" i="2"/>
  <c r="G12254" i="2"/>
  <c r="H12254" i="2"/>
  <c r="J12254" i="2"/>
  <c r="K12254" i="2"/>
  <c r="L12254" i="2"/>
  <c r="C12255" i="2"/>
  <c r="D12255" i="2"/>
  <c r="F12255" i="2"/>
  <c r="G12255" i="2"/>
  <c r="H12255" i="2"/>
  <c r="J12255" i="2"/>
  <c r="K12255" i="2"/>
  <c r="L12255" i="2"/>
  <c r="C12256" i="2"/>
  <c r="D12256" i="2"/>
  <c r="F12256" i="2"/>
  <c r="G12256" i="2"/>
  <c r="H12256" i="2"/>
  <c r="J12256" i="2"/>
  <c r="K12256" i="2"/>
  <c r="L12256" i="2"/>
  <c r="C12257" i="2"/>
  <c r="D12257" i="2"/>
  <c r="F12257" i="2"/>
  <c r="G12257" i="2"/>
  <c r="H12257" i="2"/>
  <c r="J12257" i="2"/>
  <c r="K12257" i="2"/>
  <c r="L12257" i="2"/>
  <c r="C12258" i="2"/>
  <c r="D12258" i="2"/>
  <c r="F12258" i="2"/>
  <c r="G12258" i="2"/>
  <c r="H12258" i="2"/>
  <c r="J12258" i="2"/>
  <c r="K12258" i="2"/>
  <c r="L12258" i="2"/>
  <c r="C12259" i="2"/>
  <c r="D12259" i="2"/>
  <c r="F12259" i="2"/>
  <c r="G12259" i="2"/>
  <c r="H12259" i="2"/>
  <c r="J12259" i="2"/>
  <c r="K12259" i="2"/>
  <c r="L12259" i="2"/>
  <c r="C12260" i="2"/>
  <c r="D12260" i="2"/>
  <c r="F12260" i="2"/>
  <c r="G12260" i="2"/>
  <c r="H12260" i="2"/>
  <c r="J12260" i="2"/>
  <c r="K12260" i="2"/>
  <c r="L12260" i="2"/>
  <c r="C12261" i="2"/>
  <c r="D12261" i="2"/>
  <c r="F12261" i="2"/>
  <c r="G12261" i="2"/>
  <c r="H12261" i="2"/>
  <c r="J12261" i="2"/>
  <c r="K12261" i="2"/>
  <c r="L12261" i="2"/>
  <c r="C12262" i="2"/>
  <c r="D12262" i="2"/>
  <c r="F12262" i="2"/>
  <c r="G12262" i="2"/>
  <c r="H12262" i="2"/>
  <c r="J12262" i="2"/>
  <c r="K12262" i="2"/>
  <c r="L12262" i="2"/>
  <c r="C12263" i="2"/>
  <c r="D12263" i="2"/>
  <c r="F12263" i="2"/>
  <c r="G12263" i="2"/>
  <c r="H12263" i="2"/>
  <c r="J12263" i="2"/>
  <c r="K12263" i="2"/>
  <c r="L12263" i="2"/>
  <c r="C12264" i="2"/>
  <c r="D12264" i="2"/>
  <c r="F12264" i="2"/>
  <c r="G12264" i="2"/>
  <c r="H12264" i="2"/>
  <c r="J12264" i="2"/>
  <c r="K12264" i="2"/>
  <c r="L12264" i="2"/>
  <c r="C12265" i="2"/>
  <c r="D12265" i="2"/>
  <c r="F12265" i="2"/>
  <c r="G12265" i="2"/>
  <c r="H12265" i="2"/>
  <c r="J12265" i="2"/>
  <c r="K12265" i="2"/>
  <c r="L12265" i="2"/>
  <c r="C12266" i="2"/>
  <c r="D12266" i="2"/>
  <c r="F12266" i="2"/>
  <c r="G12266" i="2"/>
  <c r="H12266" i="2"/>
  <c r="J12266" i="2"/>
  <c r="K12266" i="2"/>
  <c r="L12266" i="2"/>
  <c r="C12267" i="2"/>
  <c r="D12267" i="2"/>
  <c r="F12267" i="2"/>
  <c r="G12267" i="2"/>
  <c r="H12267" i="2"/>
  <c r="J12267" i="2"/>
  <c r="K12267" i="2"/>
  <c r="L12267" i="2"/>
  <c r="C12268" i="2"/>
  <c r="D12268" i="2"/>
  <c r="F12268" i="2"/>
  <c r="G12268" i="2"/>
  <c r="H12268" i="2"/>
  <c r="J12268" i="2"/>
  <c r="K12268" i="2"/>
  <c r="L12268" i="2"/>
  <c r="C12269" i="2"/>
  <c r="D12269" i="2"/>
  <c r="F12269" i="2"/>
  <c r="G12269" i="2"/>
  <c r="H12269" i="2"/>
  <c r="J12269" i="2"/>
  <c r="K12269" i="2"/>
  <c r="L12269" i="2"/>
  <c r="C12270" i="2"/>
  <c r="D12270" i="2"/>
  <c r="F12270" i="2"/>
  <c r="G12270" i="2"/>
  <c r="H12270" i="2"/>
  <c r="J12270" i="2"/>
  <c r="K12270" i="2"/>
  <c r="L12270" i="2"/>
  <c r="C12271" i="2"/>
  <c r="D12271" i="2"/>
  <c r="F12271" i="2"/>
  <c r="G12271" i="2"/>
  <c r="H12271" i="2"/>
  <c r="J12271" i="2"/>
  <c r="K12271" i="2"/>
  <c r="L12271" i="2"/>
  <c r="C12272" i="2"/>
  <c r="D12272" i="2"/>
  <c r="F12272" i="2"/>
  <c r="G12272" i="2"/>
  <c r="H12272" i="2"/>
  <c r="J12272" i="2"/>
  <c r="K12272" i="2"/>
  <c r="L12272" i="2"/>
  <c r="C12273" i="2"/>
  <c r="D12273" i="2"/>
  <c r="F12273" i="2"/>
  <c r="G12273" i="2"/>
  <c r="H12273" i="2"/>
  <c r="J12273" i="2"/>
  <c r="K12273" i="2"/>
  <c r="L12273" i="2"/>
  <c r="C12274" i="2"/>
  <c r="D12274" i="2"/>
  <c r="F12274" i="2"/>
  <c r="G12274" i="2"/>
  <c r="H12274" i="2"/>
  <c r="J12274" i="2"/>
  <c r="K12274" i="2"/>
  <c r="L12274" i="2"/>
  <c r="C12275" i="2"/>
  <c r="D12275" i="2"/>
  <c r="F12275" i="2"/>
  <c r="G12275" i="2"/>
  <c r="H12275" i="2"/>
  <c r="J12275" i="2"/>
  <c r="K12275" i="2"/>
  <c r="L12275" i="2"/>
  <c r="C12276" i="2"/>
  <c r="D12276" i="2"/>
  <c r="F12276" i="2"/>
  <c r="G12276" i="2"/>
  <c r="H12276" i="2"/>
  <c r="J12276" i="2"/>
  <c r="K12276" i="2"/>
  <c r="L12276" i="2"/>
  <c r="C12277" i="2"/>
  <c r="D12277" i="2"/>
  <c r="F12277" i="2"/>
  <c r="G12277" i="2"/>
  <c r="H12277" i="2"/>
  <c r="J12277" i="2"/>
  <c r="K12277" i="2"/>
  <c r="L12277" i="2"/>
  <c r="C12278" i="2"/>
  <c r="D12278" i="2"/>
  <c r="F12278" i="2"/>
  <c r="G12278" i="2"/>
  <c r="H12278" i="2"/>
  <c r="J12278" i="2"/>
  <c r="K12278" i="2"/>
  <c r="L12278" i="2"/>
  <c r="C12279" i="2"/>
  <c r="D12279" i="2"/>
  <c r="F12279" i="2"/>
  <c r="G12279" i="2"/>
  <c r="H12279" i="2"/>
  <c r="J12279" i="2"/>
  <c r="K12279" i="2"/>
  <c r="L12279" i="2"/>
  <c r="C12280" i="2"/>
  <c r="D12280" i="2"/>
  <c r="F12280" i="2"/>
  <c r="G12280" i="2"/>
  <c r="H12280" i="2"/>
  <c r="J12280" i="2"/>
  <c r="K12280" i="2"/>
  <c r="L12280" i="2"/>
  <c r="C12281" i="2"/>
  <c r="D12281" i="2"/>
  <c r="F12281" i="2"/>
  <c r="G12281" i="2"/>
  <c r="H12281" i="2"/>
  <c r="J12281" i="2"/>
  <c r="K12281" i="2"/>
  <c r="L12281" i="2"/>
  <c r="C12282" i="2"/>
  <c r="D12282" i="2"/>
  <c r="F12282" i="2"/>
  <c r="G12282" i="2"/>
  <c r="H12282" i="2"/>
  <c r="J12282" i="2"/>
  <c r="K12282" i="2"/>
  <c r="L12282" i="2"/>
  <c r="C12283" i="2"/>
  <c r="D12283" i="2"/>
  <c r="F12283" i="2"/>
  <c r="G12283" i="2"/>
  <c r="H12283" i="2"/>
  <c r="J12283" i="2"/>
  <c r="K12283" i="2"/>
  <c r="L12283" i="2"/>
  <c r="C12284" i="2"/>
  <c r="D12284" i="2"/>
  <c r="F12284" i="2"/>
  <c r="G12284" i="2"/>
  <c r="H12284" i="2"/>
  <c r="J12284" i="2"/>
  <c r="K12284" i="2"/>
  <c r="L12284" i="2"/>
  <c r="C12285" i="2"/>
  <c r="D12285" i="2"/>
  <c r="F12285" i="2"/>
  <c r="G12285" i="2"/>
  <c r="H12285" i="2"/>
  <c r="J12285" i="2"/>
  <c r="K12285" i="2"/>
  <c r="L12285" i="2"/>
  <c r="C12286" i="2"/>
  <c r="D12286" i="2"/>
  <c r="F12286" i="2"/>
  <c r="G12286" i="2"/>
  <c r="H12286" i="2"/>
  <c r="J12286" i="2"/>
  <c r="K12286" i="2"/>
  <c r="L12286" i="2"/>
  <c r="C12287" i="2"/>
  <c r="D12287" i="2"/>
  <c r="F12287" i="2"/>
  <c r="G12287" i="2"/>
  <c r="H12287" i="2"/>
  <c r="J12287" i="2"/>
  <c r="K12287" i="2"/>
  <c r="L12287" i="2"/>
  <c r="C12288" i="2"/>
  <c r="D12288" i="2"/>
  <c r="F12288" i="2"/>
  <c r="G12288" i="2"/>
  <c r="H12288" i="2"/>
  <c r="J12288" i="2"/>
  <c r="K12288" i="2"/>
  <c r="L12288" i="2"/>
  <c r="C12289" i="2"/>
  <c r="D12289" i="2"/>
  <c r="F12289" i="2"/>
  <c r="G12289" i="2"/>
  <c r="H12289" i="2"/>
  <c r="J12289" i="2"/>
  <c r="K12289" i="2"/>
  <c r="L12289" i="2"/>
  <c r="C12290" i="2"/>
  <c r="D12290" i="2"/>
  <c r="F12290" i="2"/>
  <c r="G12290" i="2"/>
  <c r="H12290" i="2"/>
  <c r="J12290" i="2"/>
  <c r="K12290" i="2"/>
  <c r="L12290" i="2"/>
  <c r="C12291" i="2"/>
  <c r="D12291" i="2"/>
  <c r="F12291" i="2"/>
  <c r="G12291" i="2"/>
  <c r="H12291" i="2"/>
  <c r="J12291" i="2"/>
  <c r="K12291" i="2"/>
  <c r="L12291" i="2"/>
  <c r="C12292" i="2"/>
  <c r="D12292" i="2"/>
  <c r="F12292" i="2"/>
  <c r="G12292" i="2"/>
  <c r="H12292" i="2"/>
  <c r="J12292" i="2"/>
  <c r="K12292" i="2"/>
  <c r="L12292" i="2"/>
  <c r="C12293" i="2"/>
  <c r="D12293" i="2"/>
  <c r="F12293" i="2"/>
  <c r="G12293" i="2"/>
  <c r="H12293" i="2"/>
  <c r="J12293" i="2"/>
  <c r="K12293" i="2"/>
  <c r="L12293" i="2"/>
  <c r="C12294" i="2"/>
  <c r="D12294" i="2"/>
  <c r="F12294" i="2"/>
  <c r="G12294" i="2"/>
  <c r="H12294" i="2"/>
  <c r="J12294" i="2"/>
  <c r="K12294" i="2"/>
  <c r="L12294" i="2"/>
  <c r="C12295" i="2"/>
  <c r="D12295" i="2"/>
  <c r="F12295" i="2"/>
  <c r="G12295" i="2"/>
  <c r="H12295" i="2"/>
  <c r="J12295" i="2"/>
  <c r="K12295" i="2"/>
  <c r="L12295" i="2"/>
  <c r="C12296" i="2"/>
  <c r="D12296" i="2"/>
  <c r="F12296" i="2"/>
  <c r="G12296" i="2"/>
  <c r="H12296" i="2"/>
  <c r="J12296" i="2"/>
  <c r="K12296" i="2"/>
  <c r="L12296" i="2"/>
  <c r="C12297" i="2"/>
  <c r="D12297" i="2"/>
  <c r="F12297" i="2"/>
  <c r="G12297" i="2"/>
  <c r="H12297" i="2"/>
  <c r="J12297" i="2"/>
  <c r="K12297" i="2"/>
  <c r="L12297" i="2"/>
  <c r="C12298" i="2"/>
  <c r="D12298" i="2"/>
  <c r="F12298" i="2"/>
  <c r="G12298" i="2"/>
  <c r="H12298" i="2"/>
  <c r="J12298" i="2"/>
  <c r="K12298" i="2"/>
  <c r="L12298" i="2"/>
  <c r="C12299" i="2"/>
  <c r="D12299" i="2"/>
  <c r="F12299" i="2"/>
  <c r="G12299" i="2"/>
  <c r="H12299" i="2"/>
  <c r="J12299" i="2"/>
  <c r="K12299" i="2"/>
  <c r="L12299" i="2"/>
  <c r="C12300" i="2"/>
  <c r="D12300" i="2"/>
  <c r="F12300" i="2"/>
  <c r="G12300" i="2"/>
  <c r="H12300" i="2"/>
  <c r="J12300" i="2"/>
  <c r="K12300" i="2"/>
  <c r="L12300" i="2"/>
  <c r="C12301" i="2"/>
  <c r="D12301" i="2"/>
  <c r="F12301" i="2"/>
  <c r="G12301" i="2"/>
  <c r="H12301" i="2"/>
  <c r="J12301" i="2"/>
  <c r="K12301" i="2"/>
  <c r="L12301" i="2"/>
  <c r="C12302" i="2"/>
  <c r="D12302" i="2"/>
  <c r="F12302" i="2"/>
  <c r="G12302" i="2"/>
  <c r="H12302" i="2"/>
  <c r="J12302" i="2"/>
  <c r="K12302" i="2"/>
  <c r="L12302" i="2"/>
  <c r="C12303" i="2"/>
  <c r="D12303" i="2"/>
  <c r="F12303" i="2"/>
  <c r="G12303" i="2"/>
  <c r="H12303" i="2"/>
  <c r="J12303" i="2"/>
  <c r="K12303" i="2"/>
  <c r="L12303" i="2"/>
  <c r="C12304" i="2"/>
  <c r="D12304" i="2"/>
  <c r="F12304" i="2"/>
  <c r="G12304" i="2"/>
  <c r="H12304" i="2"/>
  <c r="J12304" i="2"/>
  <c r="K12304" i="2"/>
  <c r="L12304" i="2"/>
  <c r="C12305" i="2"/>
  <c r="D12305" i="2"/>
  <c r="F12305" i="2"/>
  <c r="G12305" i="2"/>
  <c r="H12305" i="2"/>
  <c r="J12305" i="2"/>
  <c r="K12305" i="2"/>
  <c r="L12305" i="2"/>
  <c r="C12306" i="2"/>
  <c r="D12306" i="2"/>
  <c r="F12306" i="2"/>
  <c r="G12306" i="2"/>
  <c r="H12306" i="2"/>
  <c r="J12306" i="2"/>
  <c r="K12306" i="2"/>
  <c r="L12306" i="2"/>
  <c r="C12307" i="2"/>
  <c r="D12307" i="2"/>
  <c r="F12307" i="2"/>
  <c r="G12307" i="2"/>
  <c r="H12307" i="2"/>
  <c r="J12307" i="2"/>
  <c r="K12307" i="2"/>
  <c r="L12307" i="2"/>
  <c r="C12308" i="2"/>
  <c r="D12308" i="2"/>
  <c r="F12308" i="2"/>
  <c r="G12308" i="2"/>
  <c r="H12308" i="2"/>
  <c r="J12308" i="2"/>
  <c r="K12308" i="2"/>
  <c r="L12308" i="2"/>
  <c r="C12309" i="2"/>
  <c r="D12309" i="2"/>
  <c r="F12309" i="2"/>
  <c r="G12309" i="2"/>
  <c r="H12309" i="2"/>
  <c r="J12309" i="2"/>
  <c r="K12309" i="2"/>
  <c r="L12309" i="2"/>
  <c r="C12310" i="2"/>
  <c r="D12310" i="2"/>
  <c r="F12310" i="2"/>
  <c r="G12310" i="2"/>
  <c r="H12310" i="2"/>
  <c r="J12310" i="2"/>
  <c r="K12310" i="2"/>
  <c r="L12310" i="2"/>
  <c r="C12311" i="2"/>
  <c r="D12311" i="2"/>
  <c r="F12311" i="2"/>
  <c r="G12311" i="2"/>
  <c r="H12311" i="2"/>
  <c r="J12311" i="2"/>
  <c r="K12311" i="2"/>
  <c r="L12311" i="2"/>
  <c r="C12312" i="2"/>
  <c r="D12312" i="2"/>
  <c r="F12312" i="2"/>
  <c r="G12312" i="2"/>
  <c r="H12312" i="2"/>
  <c r="J12312" i="2"/>
  <c r="K12312" i="2"/>
  <c r="L12312" i="2"/>
  <c r="C12313" i="2"/>
  <c r="D12313" i="2"/>
  <c r="F12313" i="2"/>
  <c r="G12313" i="2"/>
  <c r="H12313" i="2"/>
  <c r="J12313" i="2"/>
  <c r="K12313" i="2"/>
  <c r="L12313" i="2"/>
  <c r="C12314" i="2"/>
  <c r="D12314" i="2"/>
  <c r="F12314" i="2"/>
  <c r="G12314" i="2"/>
  <c r="H12314" i="2"/>
  <c r="J12314" i="2"/>
  <c r="K12314" i="2"/>
  <c r="L12314" i="2"/>
  <c r="C12315" i="2"/>
  <c r="D12315" i="2"/>
  <c r="F12315" i="2"/>
  <c r="G12315" i="2"/>
  <c r="H12315" i="2"/>
  <c r="J12315" i="2"/>
  <c r="K12315" i="2"/>
  <c r="L12315" i="2"/>
  <c r="C12316" i="2"/>
  <c r="D12316" i="2"/>
  <c r="F12316" i="2"/>
  <c r="G12316" i="2"/>
  <c r="H12316" i="2"/>
  <c r="J12316" i="2"/>
  <c r="K12316" i="2"/>
  <c r="L12316" i="2"/>
  <c r="C12317" i="2"/>
  <c r="D12317" i="2"/>
  <c r="F12317" i="2"/>
  <c r="G12317" i="2"/>
  <c r="H12317" i="2"/>
  <c r="J12317" i="2"/>
  <c r="K12317" i="2"/>
  <c r="L12317" i="2"/>
  <c r="C12318" i="2"/>
  <c r="D12318" i="2"/>
  <c r="F12318" i="2"/>
  <c r="G12318" i="2"/>
  <c r="H12318" i="2"/>
  <c r="J12318" i="2"/>
  <c r="K12318" i="2"/>
  <c r="L12318" i="2"/>
  <c r="C12319" i="2"/>
  <c r="D12319" i="2"/>
  <c r="F12319" i="2"/>
  <c r="G12319" i="2"/>
  <c r="H12319" i="2"/>
  <c r="J12319" i="2"/>
  <c r="K12319" i="2"/>
  <c r="L12319" i="2"/>
  <c r="C12320" i="2"/>
  <c r="D12320" i="2"/>
  <c r="F12320" i="2"/>
  <c r="G12320" i="2"/>
  <c r="H12320" i="2"/>
  <c r="J12320" i="2"/>
  <c r="K12320" i="2"/>
  <c r="L12320" i="2"/>
  <c r="C12321" i="2"/>
  <c r="D12321" i="2"/>
  <c r="F12321" i="2"/>
  <c r="G12321" i="2"/>
  <c r="H12321" i="2"/>
  <c r="J12321" i="2"/>
  <c r="K12321" i="2"/>
  <c r="L12321" i="2"/>
  <c r="C12322" i="2"/>
  <c r="D12322" i="2"/>
  <c r="F12322" i="2"/>
  <c r="G12322" i="2"/>
  <c r="H12322" i="2"/>
  <c r="J12322" i="2"/>
  <c r="K12322" i="2"/>
  <c r="L12322" i="2"/>
  <c r="C12323" i="2"/>
  <c r="D12323" i="2"/>
  <c r="F12323" i="2"/>
  <c r="G12323" i="2"/>
  <c r="H12323" i="2"/>
  <c r="J12323" i="2"/>
  <c r="K12323" i="2"/>
  <c r="L12323" i="2"/>
  <c r="C12324" i="2"/>
  <c r="D12324" i="2"/>
  <c r="F12324" i="2"/>
  <c r="G12324" i="2"/>
  <c r="H12324" i="2"/>
  <c r="J12324" i="2"/>
  <c r="K12324" i="2"/>
  <c r="L12324" i="2"/>
  <c r="C12325" i="2"/>
  <c r="D12325" i="2"/>
  <c r="F12325" i="2"/>
  <c r="G12325" i="2"/>
  <c r="H12325" i="2"/>
  <c r="J12325" i="2"/>
  <c r="K12325" i="2"/>
  <c r="L12325" i="2"/>
  <c r="C12326" i="2"/>
  <c r="D12326" i="2"/>
  <c r="F12326" i="2"/>
  <c r="G12326" i="2"/>
  <c r="H12326" i="2"/>
  <c r="J12326" i="2"/>
  <c r="K12326" i="2"/>
  <c r="L12326" i="2"/>
  <c r="C12327" i="2"/>
  <c r="D12327" i="2"/>
  <c r="F12327" i="2"/>
  <c r="G12327" i="2"/>
  <c r="H12327" i="2"/>
  <c r="J12327" i="2"/>
  <c r="K12327" i="2"/>
  <c r="L12327" i="2"/>
  <c r="C12328" i="2"/>
  <c r="D12328" i="2"/>
  <c r="F12328" i="2"/>
  <c r="G12328" i="2"/>
  <c r="H12328" i="2"/>
  <c r="J12328" i="2"/>
  <c r="K12328" i="2"/>
  <c r="L12328" i="2"/>
  <c r="C12329" i="2"/>
  <c r="D12329" i="2"/>
  <c r="F12329" i="2"/>
  <c r="G12329" i="2"/>
  <c r="H12329" i="2"/>
  <c r="J12329" i="2"/>
  <c r="K12329" i="2"/>
  <c r="L12329" i="2"/>
  <c r="C12330" i="2"/>
  <c r="D12330" i="2"/>
  <c r="F12330" i="2"/>
  <c r="G12330" i="2"/>
  <c r="H12330" i="2"/>
  <c r="J12330" i="2"/>
  <c r="K12330" i="2"/>
  <c r="L12330" i="2"/>
  <c r="C12331" i="2"/>
  <c r="D12331" i="2"/>
  <c r="F12331" i="2"/>
  <c r="G12331" i="2"/>
  <c r="H12331" i="2"/>
  <c r="J12331" i="2"/>
  <c r="K12331" i="2"/>
  <c r="L12331" i="2"/>
  <c r="C12332" i="2"/>
  <c r="D12332" i="2"/>
  <c r="F12332" i="2"/>
  <c r="G12332" i="2"/>
  <c r="H12332" i="2"/>
  <c r="J12332" i="2"/>
  <c r="K12332" i="2"/>
  <c r="L12332" i="2"/>
  <c r="C12333" i="2"/>
  <c r="D12333" i="2"/>
  <c r="F12333" i="2"/>
  <c r="G12333" i="2"/>
  <c r="H12333" i="2"/>
  <c r="J12333" i="2"/>
  <c r="K12333" i="2"/>
  <c r="L12333" i="2"/>
  <c r="C12334" i="2"/>
  <c r="D12334" i="2"/>
  <c r="F12334" i="2"/>
  <c r="G12334" i="2"/>
  <c r="H12334" i="2"/>
  <c r="J12334" i="2"/>
  <c r="K12334" i="2"/>
  <c r="L12334" i="2"/>
  <c r="C12335" i="2"/>
  <c r="D12335" i="2"/>
  <c r="F12335" i="2"/>
  <c r="G12335" i="2"/>
  <c r="H12335" i="2"/>
  <c r="J12335" i="2"/>
  <c r="K12335" i="2"/>
  <c r="L12335" i="2"/>
  <c r="C12336" i="2"/>
  <c r="D12336" i="2"/>
  <c r="F12336" i="2"/>
  <c r="G12336" i="2"/>
  <c r="H12336" i="2"/>
  <c r="J12336" i="2"/>
  <c r="K12336" i="2"/>
  <c r="L12336" i="2"/>
  <c r="C12337" i="2"/>
  <c r="D12337" i="2"/>
  <c r="F12337" i="2"/>
  <c r="G12337" i="2"/>
  <c r="H12337" i="2"/>
  <c r="J12337" i="2"/>
  <c r="K12337" i="2"/>
  <c r="L12337" i="2"/>
  <c r="C12338" i="2"/>
  <c r="D12338" i="2"/>
  <c r="F12338" i="2"/>
  <c r="G12338" i="2"/>
  <c r="H12338" i="2"/>
  <c r="J12338" i="2"/>
  <c r="K12338" i="2"/>
  <c r="L12338" i="2"/>
  <c r="C12339" i="2"/>
  <c r="D12339" i="2"/>
  <c r="F12339" i="2"/>
  <c r="G12339" i="2"/>
  <c r="H12339" i="2"/>
  <c r="J12339" i="2"/>
  <c r="K12339" i="2"/>
  <c r="L12339" i="2"/>
  <c r="C12340" i="2"/>
  <c r="D12340" i="2"/>
  <c r="F12340" i="2"/>
  <c r="G12340" i="2"/>
  <c r="H12340" i="2"/>
  <c r="J12340" i="2"/>
  <c r="K12340" i="2"/>
  <c r="L12340" i="2"/>
  <c r="C12341" i="2"/>
  <c r="D12341" i="2"/>
  <c r="F12341" i="2"/>
  <c r="G12341" i="2"/>
  <c r="H12341" i="2"/>
  <c r="J12341" i="2"/>
  <c r="K12341" i="2"/>
  <c r="L12341" i="2"/>
  <c r="C12342" i="2"/>
  <c r="D12342" i="2"/>
  <c r="F12342" i="2"/>
  <c r="G12342" i="2"/>
  <c r="H12342" i="2"/>
  <c r="J12342" i="2"/>
  <c r="K12342" i="2"/>
  <c r="L12342" i="2"/>
  <c r="C12343" i="2"/>
  <c r="D12343" i="2"/>
  <c r="F12343" i="2"/>
  <c r="G12343" i="2"/>
  <c r="H12343" i="2"/>
  <c r="J12343" i="2"/>
  <c r="K12343" i="2"/>
  <c r="L12343" i="2"/>
  <c r="C12344" i="2"/>
  <c r="D12344" i="2"/>
  <c r="F12344" i="2"/>
  <c r="G12344" i="2"/>
  <c r="H12344" i="2"/>
  <c r="J12344" i="2"/>
  <c r="K12344" i="2"/>
  <c r="L12344" i="2"/>
  <c r="C12345" i="2"/>
  <c r="D12345" i="2"/>
  <c r="F12345" i="2"/>
  <c r="G12345" i="2"/>
  <c r="H12345" i="2"/>
  <c r="J12345" i="2"/>
  <c r="K12345" i="2"/>
  <c r="L12345" i="2"/>
  <c r="C12346" i="2"/>
  <c r="D12346" i="2"/>
  <c r="F12346" i="2"/>
  <c r="G12346" i="2"/>
  <c r="H12346" i="2"/>
  <c r="J12346" i="2"/>
  <c r="K12346" i="2"/>
  <c r="L12346" i="2"/>
  <c r="C12347" i="2"/>
  <c r="D12347" i="2"/>
  <c r="F12347" i="2"/>
  <c r="G12347" i="2"/>
  <c r="H12347" i="2"/>
  <c r="J12347" i="2"/>
  <c r="K12347" i="2"/>
  <c r="L12347" i="2"/>
  <c r="C12348" i="2"/>
  <c r="D12348" i="2"/>
  <c r="F12348" i="2"/>
  <c r="G12348" i="2"/>
  <c r="H12348" i="2"/>
  <c r="J12348" i="2"/>
  <c r="K12348" i="2"/>
  <c r="L12348" i="2"/>
  <c r="C12349" i="2"/>
  <c r="D12349" i="2"/>
  <c r="F12349" i="2"/>
  <c r="G12349" i="2"/>
  <c r="H12349" i="2"/>
  <c r="J12349" i="2"/>
  <c r="K12349" i="2"/>
  <c r="L12349" i="2"/>
  <c r="C12350" i="2"/>
  <c r="D12350" i="2"/>
  <c r="F12350" i="2"/>
  <c r="G12350" i="2"/>
  <c r="H12350" i="2"/>
  <c r="J12350" i="2"/>
  <c r="K12350" i="2"/>
  <c r="L12350" i="2"/>
  <c r="C12351" i="2"/>
  <c r="D12351" i="2"/>
  <c r="F12351" i="2"/>
  <c r="G12351" i="2"/>
  <c r="H12351" i="2"/>
  <c r="J12351" i="2"/>
  <c r="K12351" i="2"/>
  <c r="L12351" i="2"/>
  <c r="C12352" i="2"/>
  <c r="D12352" i="2"/>
  <c r="F12352" i="2"/>
  <c r="G12352" i="2"/>
  <c r="H12352" i="2"/>
  <c r="J12352" i="2"/>
  <c r="K12352" i="2"/>
  <c r="L12352" i="2"/>
  <c r="C12353" i="2"/>
  <c r="D12353" i="2"/>
  <c r="F12353" i="2"/>
  <c r="G12353" i="2"/>
  <c r="H12353" i="2"/>
  <c r="J12353" i="2"/>
  <c r="K12353" i="2"/>
  <c r="L12353" i="2"/>
  <c r="C12354" i="2"/>
  <c r="D12354" i="2"/>
  <c r="F12354" i="2"/>
  <c r="G12354" i="2"/>
  <c r="H12354" i="2"/>
  <c r="J12354" i="2"/>
  <c r="K12354" i="2"/>
  <c r="L12354" i="2"/>
  <c r="C12355" i="2"/>
  <c r="D12355" i="2"/>
  <c r="F12355" i="2"/>
  <c r="G12355" i="2"/>
  <c r="H12355" i="2"/>
  <c r="J12355" i="2"/>
  <c r="K12355" i="2"/>
  <c r="L12355" i="2"/>
  <c r="C12356" i="2"/>
  <c r="D12356" i="2"/>
  <c r="F12356" i="2"/>
  <c r="G12356" i="2"/>
  <c r="H12356" i="2"/>
  <c r="J12356" i="2"/>
  <c r="K12356" i="2"/>
  <c r="L12356" i="2"/>
  <c r="C12357" i="2"/>
  <c r="D12357" i="2"/>
  <c r="F12357" i="2"/>
  <c r="G12357" i="2"/>
  <c r="H12357" i="2"/>
  <c r="J12357" i="2"/>
  <c r="K12357" i="2"/>
  <c r="L12357" i="2"/>
  <c r="C12358" i="2"/>
  <c r="D12358" i="2"/>
  <c r="F12358" i="2"/>
  <c r="G12358" i="2"/>
  <c r="H12358" i="2"/>
  <c r="J12358" i="2"/>
  <c r="K12358" i="2"/>
  <c r="L12358" i="2"/>
  <c r="C12359" i="2"/>
  <c r="D12359" i="2"/>
  <c r="F12359" i="2"/>
  <c r="G12359" i="2"/>
  <c r="H12359" i="2"/>
  <c r="J12359" i="2"/>
  <c r="K12359" i="2"/>
  <c r="L12359" i="2"/>
  <c r="C12360" i="2"/>
  <c r="D12360" i="2"/>
  <c r="F12360" i="2"/>
  <c r="G12360" i="2"/>
  <c r="H12360" i="2"/>
  <c r="J12360" i="2"/>
  <c r="K12360" i="2"/>
  <c r="L12360" i="2"/>
  <c r="C12361" i="2"/>
  <c r="D12361" i="2"/>
  <c r="F12361" i="2"/>
  <c r="G12361" i="2"/>
  <c r="H12361" i="2"/>
  <c r="J12361" i="2"/>
  <c r="K12361" i="2"/>
  <c r="L12361" i="2"/>
  <c r="C12362" i="2"/>
  <c r="D12362" i="2"/>
  <c r="F12362" i="2"/>
  <c r="G12362" i="2"/>
  <c r="H12362" i="2"/>
  <c r="J12362" i="2"/>
  <c r="K12362" i="2"/>
  <c r="L12362" i="2"/>
  <c r="C12363" i="2"/>
  <c r="D12363" i="2"/>
  <c r="F12363" i="2"/>
  <c r="G12363" i="2"/>
  <c r="H12363" i="2"/>
  <c r="J12363" i="2"/>
  <c r="K12363" i="2"/>
  <c r="L12363" i="2"/>
  <c r="C12364" i="2"/>
  <c r="D12364" i="2"/>
  <c r="F12364" i="2"/>
  <c r="G12364" i="2"/>
  <c r="H12364" i="2"/>
  <c r="J12364" i="2"/>
  <c r="K12364" i="2"/>
  <c r="L12364" i="2"/>
  <c r="C12365" i="2"/>
  <c r="D12365" i="2"/>
  <c r="F12365" i="2"/>
  <c r="G12365" i="2"/>
  <c r="H12365" i="2"/>
  <c r="J12365" i="2"/>
  <c r="K12365" i="2"/>
  <c r="L12365" i="2"/>
  <c r="C12366" i="2"/>
  <c r="D12366" i="2"/>
  <c r="F12366" i="2"/>
  <c r="G12366" i="2"/>
  <c r="H12366" i="2"/>
  <c r="J12366" i="2"/>
  <c r="K12366" i="2"/>
  <c r="L12366" i="2"/>
  <c r="C12367" i="2"/>
  <c r="D12367" i="2"/>
  <c r="F12367" i="2"/>
  <c r="G12367" i="2"/>
  <c r="H12367" i="2"/>
  <c r="J12367" i="2"/>
  <c r="K12367" i="2"/>
  <c r="L12367" i="2"/>
  <c r="C12368" i="2"/>
  <c r="D12368" i="2"/>
  <c r="F12368" i="2"/>
  <c r="G12368" i="2"/>
  <c r="H12368" i="2"/>
  <c r="J12368" i="2"/>
  <c r="K12368" i="2"/>
  <c r="L12368" i="2"/>
  <c r="C12369" i="2"/>
  <c r="D12369" i="2"/>
  <c r="F12369" i="2"/>
  <c r="G12369" i="2"/>
  <c r="H12369" i="2"/>
  <c r="J12369" i="2"/>
  <c r="K12369" i="2"/>
  <c r="L12369" i="2"/>
  <c r="C12370" i="2"/>
  <c r="D12370" i="2"/>
  <c r="F12370" i="2"/>
  <c r="G12370" i="2"/>
  <c r="H12370" i="2"/>
  <c r="J12370" i="2"/>
  <c r="K12370" i="2"/>
  <c r="L12370" i="2"/>
  <c r="C12371" i="2"/>
  <c r="D12371" i="2"/>
  <c r="F12371" i="2"/>
  <c r="G12371" i="2"/>
  <c r="H12371" i="2"/>
  <c r="J12371" i="2"/>
  <c r="K12371" i="2"/>
  <c r="L12371" i="2"/>
  <c r="C12372" i="2"/>
  <c r="D12372" i="2"/>
  <c r="F12372" i="2"/>
  <c r="G12372" i="2"/>
  <c r="H12372" i="2"/>
  <c r="J12372" i="2"/>
  <c r="K12372" i="2"/>
  <c r="L12372" i="2"/>
  <c r="C12373" i="2"/>
  <c r="D12373" i="2"/>
  <c r="F12373" i="2"/>
  <c r="G12373" i="2"/>
  <c r="H12373" i="2"/>
  <c r="J12373" i="2"/>
  <c r="K12373" i="2"/>
  <c r="L12373" i="2"/>
  <c r="C12374" i="2"/>
  <c r="D12374" i="2"/>
  <c r="F12374" i="2"/>
  <c r="G12374" i="2"/>
  <c r="H12374" i="2"/>
  <c r="J12374" i="2"/>
  <c r="K12374" i="2"/>
  <c r="L12374" i="2"/>
  <c r="C12375" i="2"/>
  <c r="D12375" i="2"/>
  <c r="F12375" i="2"/>
  <c r="G12375" i="2"/>
  <c r="H12375" i="2"/>
  <c r="J12375" i="2"/>
  <c r="K12375" i="2"/>
  <c r="L12375" i="2"/>
  <c r="C12376" i="2"/>
  <c r="D12376" i="2"/>
  <c r="F12376" i="2"/>
  <c r="G12376" i="2"/>
  <c r="H12376" i="2"/>
  <c r="J12376" i="2"/>
  <c r="K12376" i="2"/>
  <c r="L12376" i="2"/>
  <c r="C12377" i="2"/>
  <c r="D12377" i="2"/>
  <c r="F12377" i="2"/>
  <c r="G12377" i="2"/>
  <c r="H12377" i="2"/>
  <c r="J12377" i="2"/>
  <c r="K12377" i="2"/>
  <c r="L12377" i="2"/>
  <c r="C12378" i="2"/>
  <c r="D12378" i="2"/>
  <c r="F12378" i="2"/>
  <c r="G12378" i="2"/>
  <c r="H12378" i="2"/>
  <c r="J12378" i="2"/>
  <c r="K12378" i="2"/>
  <c r="L12378" i="2"/>
  <c r="C12379" i="2"/>
  <c r="D12379" i="2"/>
  <c r="F12379" i="2"/>
  <c r="G12379" i="2"/>
  <c r="H12379" i="2"/>
  <c r="J12379" i="2"/>
  <c r="K12379" i="2"/>
  <c r="L12379" i="2"/>
  <c r="C12380" i="2"/>
  <c r="D12380" i="2"/>
  <c r="F12380" i="2"/>
  <c r="G12380" i="2"/>
  <c r="H12380" i="2"/>
  <c r="J12380" i="2"/>
  <c r="K12380" i="2"/>
  <c r="L12380" i="2"/>
  <c r="C12381" i="2"/>
  <c r="D12381" i="2"/>
  <c r="F12381" i="2"/>
  <c r="G12381" i="2"/>
  <c r="H12381" i="2"/>
  <c r="J12381" i="2"/>
  <c r="K12381" i="2"/>
  <c r="L12381" i="2"/>
  <c r="C12382" i="2"/>
  <c r="D12382" i="2"/>
  <c r="F12382" i="2"/>
  <c r="G12382" i="2"/>
  <c r="H12382" i="2"/>
  <c r="J12382" i="2"/>
  <c r="K12382" i="2"/>
  <c r="L12382" i="2"/>
  <c r="C12383" i="2"/>
  <c r="D12383" i="2"/>
  <c r="F12383" i="2"/>
  <c r="G12383" i="2"/>
  <c r="H12383" i="2"/>
  <c r="J12383" i="2"/>
  <c r="K12383" i="2"/>
  <c r="L12383" i="2"/>
  <c r="C12384" i="2"/>
  <c r="D12384" i="2"/>
  <c r="F12384" i="2"/>
  <c r="G12384" i="2"/>
  <c r="H12384" i="2"/>
  <c r="J12384" i="2"/>
  <c r="K12384" i="2"/>
  <c r="L12384" i="2"/>
  <c r="C12385" i="2"/>
  <c r="D12385" i="2"/>
  <c r="F12385" i="2"/>
  <c r="G12385" i="2"/>
  <c r="H12385" i="2"/>
  <c r="J12385" i="2"/>
  <c r="K12385" i="2"/>
  <c r="L12385" i="2"/>
  <c r="C12386" i="2"/>
  <c r="D12386" i="2"/>
  <c r="F12386" i="2"/>
  <c r="G12386" i="2"/>
  <c r="H12386" i="2"/>
  <c r="J12386" i="2"/>
  <c r="K12386" i="2"/>
  <c r="L12386" i="2"/>
  <c r="C12387" i="2"/>
  <c r="D12387" i="2"/>
  <c r="F12387" i="2"/>
  <c r="G12387" i="2"/>
  <c r="H12387" i="2"/>
  <c r="J12387" i="2"/>
  <c r="K12387" i="2"/>
  <c r="L12387" i="2"/>
  <c r="C12388" i="2"/>
  <c r="D12388" i="2"/>
  <c r="F12388" i="2"/>
  <c r="G12388" i="2"/>
  <c r="H12388" i="2"/>
  <c r="J12388" i="2"/>
  <c r="K12388" i="2"/>
  <c r="L12388" i="2"/>
  <c r="C12389" i="2"/>
  <c r="D12389" i="2"/>
  <c r="F12389" i="2"/>
  <c r="G12389" i="2"/>
  <c r="H12389" i="2"/>
  <c r="J12389" i="2"/>
  <c r="K12389" i="2"/>
  <c r="L12389" i="2"/>
  <c r="C12390" i="2"/>
  <c r="D12390" i="2"/>
  <c r="F12390" i="2"/>
  <c r="G12390" i="2"/>
  <c r="H12390" i="2"/>
  <c r="J12390" i="2"/>
  <c r="K12390" i="2"/>
  <c r="L12390" i="2"/>
  <c r="C12391" i="2"/>
  <c r="D12391" i="2"/>
  <c r="F12391" i="2"/>
  <c r="G12391" i="2"/>
  <c r="H12391" i="2"/>
  <c r="J12391" i="2"/>
  <c r="K12391" i="2"/>
  <c r="L12391" i="2"/>
  <c r="C12392" i="2"/>
  <c r="D12392" i="2"/>
  <c r="F12392" i="2"/>
  <c r="G12392" i="2"/>
  <c r="H12392" i="2"/>
  <c r="J12392" i="2"/>
  <c r="K12392" i="2"/>
  <c r="L12392" i="2"/>
  <c r="C12393" i="2"/>
  <c r="D12393" i="2"/>
  <c r="F12393" i="2"/>
  <c r="G12393" i="2"/>
  <c r="H12393" i="2"/>
  <c r="J12393" i="2"/>
  <c r="K12393" i="2"/>
  <c r="L12393" i="2"/>
  <c r="C12394" i="2"/>
  <c r="D12394" i="2"/>
  <c r="F12394" i="2"/>
  <c r="G12394" i="2"/>
  <c r="H12394" i="2"/>
  <c r="J12394" i="2"/>
  <c r="K12394" i="2"/>
  <c r="L12394" i="2"/>
  <c r="C12395" i="2"/>
  <c r="D12395" i="2"/>
  <c r="F12395" i="2"/>
  <c r="G12395" i="2"/>
  <c r="H12395" i="2"/>
  <c r="J12395" i="2"/>
  <c r="K12395" i="2"/>
  <c r="L12395" i="2"/>
  <c r="C12396" i="2"/>
  <c r="D12396" i="2"/>
  <c r="F12396" i="2"/>
  <c r="G12396" i="2"/>
  <c r="H12396" i="2"/>
  <c r="J12396" i="2"/>
  <c r="K12396" i="2"/>
  <c r="L12396" i="2"/>
  <c r="C12397" i="2"/>
  <c r="D12397" i="2"/>
  <c r="F12397" i="2"/>
  <c r="G12397" i="2"/>
  <c r="H12397" i="2"/>
  <c r="J12397" i="2"/>
  <c r="K12397" i="2"/>
  <c r="L12397" i="2"/>
  <c r="C12398" i="2"/>
  <c r="D12398" i="2"/>
  <c r="F12398" i="2"/>
  <c r="G12398" i="2"/>
  <c r="H12398" i="2"/>
  <c r="J12398" i="2"/>
  <c r="K12398" i="2"/>
  <c r="L12398" i="2"/>
  <c r="C12399" i="2"/>
  <c r="D12399" i="2"/>
  <c r="F12399" i="2"/>
  <c r="G12399" i="2"/>
  <c r="H12399" i="2"/>
  <c r="J12399" i="2"/>
  <c r="K12399" i="2"/>
  <c r="L12399" i="2"/>
  <c r="C12400" i="2"/>
  <c r="D12400" i="2"/>
  <c r="F12400" i="2"/>
  <c r="G12400" i="2"/>
  <c r="H12400" i="2"/>
  <c r="J12400" i="2"/>
  <c r="K12400" i="2"/>
  <c r="L12400" i="2"/>
  <c r="C12401" i="2"/>
  <c r="D12401" i="2"/>
  <c r="F12401" i="2"/>
  <c r="G12401" i="2"/>
  <c r="H12401" i="2"/>
  <c r="J12401" i="2"/>
  <c r="K12401" i="2"/>
  <c r="L12401" i="2"/>
  <c r="C12402" i="2"/>
  <c r="D12402" i="2"/>
  <c r="F12402" i="2"/>
  <c r="G12402" i="2"/>
  <c r="H12402" i="2"/>
  <c r="J12402" i="2"/>
  <c r="K12402" i="2"/>
  <c r="L12402" i="2"/>
  <c r="C12403" i="2"/>
  <c r="D12403" i="2"/>
  <c r="F12403" i="2"/>
  <c r="G12403" i="2"/>
  <c r="H12403" i="2"/>
  <c r="J12403" i="2"/>
  <c r="K12403" i="2"/>
  <c r="L12403" i="2"/>
  <c r="C12404" i="2"/>
  <c r="D12404" i="2"/>
  <c r="F12404" i="2"/>
  <c r="G12404" i="2"/>
  <c r="H12404" i="2"/>
  <c r="J12404" i="2"/>
  <c r="K12404" i="2"/>
  <c r="L12404" i="2"/>
  <c r="C12405" i="2"/>
  <c r="D12405" i="2"/>
  <c r="F12405" i="2"/>
  <c r="G12405" i="2"/>
  <c r="H12405" i="2"/>
  <c r="J12405" i="2"/>
  <c r="K12405" i="2"/>
  <c r="L12405" i="2"/>
  <c r="C12406" i="2"/>
  <c r="D12406" i="2"/>
  <c r="F12406" i="2"/>
  <c r="G12406" i="2"/>
  <c r="H12406" i="2"/>
  <c r="J12406" i="2"/>
  <c r="K12406" i="2"/>
  <c r="L12406" i="2"/>
  <c r="C12407" i="2"/>
  <c r="D12407" i="2"/>
  <c r="F12407" i="2"/>
  <c r="G12407" i="2"/>
  <c r="H12407" i="2"/>
  <c r="J12407" i="2"/>
  <c r="K12407" i="2"/>
  <c r="L12407" i="2"/>
  <c r="C12408" i="2"/>
  <c r="D12408" i="2"/>
  <c r="F12408" i="2"/>
  <c r="G12408" i="2"/>
  <c r="H12408" i="2"/>
  <c r="J12408" i="2"/>
  <c r="K12408" i="2"/>
  <c r="L12408" i="2"/>
  <c r="C12409" i="2"/>
  <c r="D12409" i="2"/>
  <c r="F12409" i="2"/>
  <c r="G12409" i="2"/>
  <c r="H12409" i="2"/>
  <c r="J12409" i="2"/>
  <c r="K12409" i="2"/>
  <c r="L12409" i="2"/>
  <c r="C12410" i="2"/>
  <c r="D12410" i="2"/>
  <c r="F12410" i="2"/>
  <c r="G12410" i="2"/>
  <c r="H12410" i="2"/>
  <c r="J12410" i="2"/>
  <c r="K12410" i="2"/>
  <c r="L12410" i="2"/>
  <c r="C12411" i="2"/>
  <c r="D12411" i="2"/>
  <c r="F12411" i="2"/>
  <c r="G12411" i="2"/>
  <c r="H12411" i="2"/>
  <c r="J12411" i="2"/>
  <c r="K12411" i="2"/>
  <c r="L12411" i="2"/>
  <c r="C12412" i="2"/>
  <c r="D12412" i="2"/>
  <c r="F12412" i="2"/>
  <c r="G12412" i="2"/>
  <c r="H12412" i="2"/>
  <c r="J12412" i="2"/>
  <c r="K12412" i="2"/>
  <c r="L12412" i="2"/>
  <c r="C12413" i="2"/>
  <c r="D12413" i="2"/>
  <c r="F12413" i="2"/>
  <c r="G12413" i="2"/>
  <c r="H12413" i="2"/>
  <c r="J12413" i="2"/>
  <c r="K12413" i="2"/>
  <c r="L12413" i="2"/>
  <c r="C12414" i="2"/>
  <c r="D12414" i="2"/>
  <c r="F12414" i="2"/>
  <c r="G12414" i="2"/>
  <c r="H12414" i="2"/>
  <c r="J12414" i="2"/>
  <c r="K12414" i="2"/>
  <c r="L12414" i="2"/>
  <c r="C12415" i="2"/>
  <c r="D12415" i="2"/>
  <c r="F12415" i="2"/>
  <c r="G12415" i="2"/>
  <c r="H12415" i="2"/>
  <c r="J12415" i="2"/>
  <c r="K12415" i="2"/>
  <c r="L12415" i="2"/>
  <c r="C12416" i="2"/>
  <c r="D12416" i="2"/>
  <c r="F12416" i="2"/>
  <c r="G12416" i="2"/>
  <c r="H12416" i="2"/>
  <c r="J12416" i="2"/>
  <c r="K12416" i="2"/>
  <c r="L12416" i="2"/>
  <c r="C12417" i="2"/>
  <c r="D12417" i="2"/>
  <c r="F12417" i="2"/>
  <c r="G12417" i="2"/>
  <c r="H12417" i="2"/>
  <c r="J12417" i="2"/>
  <c r="K12417" i="2"/>
  <c r="L12417" i="2"/>
  <c r="C12418" i="2"/>
  <c r="D12418" i="2"/>
  <c r="F12418" i="2"/>
  <c r="G12418" i="2"/>
  <c r="H12418" i="2"/>
  <c r="J12418" i="2"/>
  <c r="K12418" i="2"/>
  <c r="L12418" i="2"/>
  <c r="C12419" i="2"/>
  <c r="D12419" i="2"/>
  <c r="F12419" i="2"/>
  <c r="G12419" i="2"/>
  <c r="H12419" i="2"/>
  <c r="J12419" i="2"/>
  <c r="K12419" i="2"/>
  <c r="L12419" i="2"/>
  <c r="C12420" i="2"/>
  <c r="D12420" i="2"/>
  <c r="F12420" i="2"/>
  <c r="G12420" i="2"/>
  <c r="H12420" i="2"/>
  <c r="J12420" i="2"/>
  <c r="K12420" i="2"/>
  <c r="L12420" i="2"/>
  <c r="C12421" i="2"/>
  <c r="D12421" i="2"/>
  <c r="F12421" i="2"/>
  <c r="G12421" i="2"/>
  <c r="H12421" i="2"/>
  <c r="J12421" i="2"/>
  <c r="K12421" i="2"/>
  <c r="L12421" i="2"/>
  <c r="C12422" i="2"/>
  <c r="D12422" i="2"/>
  <c r="F12422" i="2"/>
  <c r="G12422" i="2"/>
  <c r="H12422" i="2"/>
  <c r="J12422" i="2"/>
  <c r="K12422" i="2"/>
  <c r="L12422" i="2"/>
  <c r="C12423" i="2"/>
  <c r="D12423" i="2"/>
  <c r="F12423" i="2"/>
  <c r="G12423" i="2"/>
  <c r="H12423" i="2"/>
  <c r="J12423" i="2"/>
  <c r="K12423" i="2"/>
  <c r="L12423" i="2"/>
  <c r="C12424" i="2"/>
  <c r="D12424" i="2"/>
  <c r="F12424" i="2"/>
  <c r="G12424" i="2"/>
  <c r="H12424" i="2"/>
  <c r="J12424" i="2"/>
  <c r="K12424" i="2"/>
  <c r="L12424" i="2"/>
  <c r="C12425" i="2"/>
  <c r="D12425" i="2"/>
  <c r="F12425" i="2"/>
  <c r="G12425" i="2"/>
  <c r="H12425" i="2"/>
  <c r="J12425" i="2"/>
  <c r="K12425" i="2"/>
  <c r="L12425" i="2"/>
  <c r="C12426" i="2"/>
  <c r="D12426" i="2"/>
  <c r="F12426" i="2"/>
  <c r="G12426" i="2"/>
  <c r="H12426" i="2"/>
  <c r="J12426" i="2"/>
  <c r="K12426" i="2"/>
  <c r="L12426" i="2"/>
  <c r="C12427" i="2"/>
  <c r="D12427" i="2"/>
  <c r="F12427" i="2"/>
  <c r="G12427" i="2"/>
  <c r="H12427" i="2"/>
  <c r="J12427" i="2"/>
  <c r="K12427" i="2"/>
  <c r="L12427" i="2"/>
  <c r="C12428" i="2"/>
  <c r="D12428" i="2"/>
  <c r="F12428" i="2"/>
  <c r="G12428" i="2"/>
  <c r="H12428" i="2"/>
  <c r="J12428" i="2"/>
  <c r="K12428" i="2"/>
  <c r="L12428" i="2"/>
  <c r="C12429" i="2"/>
  <c r="D12429" i="2"/>
  <c r="F12429" i="2"/>
  <c r="G12429" i="2"/>
  <c r="H12429" i="2"/>
  <c r="J12429" i="2"/>
  <c r="K12429" i="2"/>
  <c r="L12429" i="2"/>
  <c r="C12430" i="2"/>
  <c r="D12430" i="2"/>
  <c r="F12430" i="2"/>
  <c r="G12430" i="2"/>
  <c r="H12430" i="2"/>
  <c r="J12430" i="2"/>
  <c r="K12430" i="2"/>
  <c r="L12430" i="2"/>
  <c r="C12431" i="2"/>
  <c r="D12431" i="2"/>
  <c r="F12431" i="2"/>
  <c r="G12431" i="2"/>
  <c r="H12431" i="2"/>
  <c r="J12431" i="2"/>
  <c r="K12431" i="2"/>
  <c r="L12431" i="2"/>
  <c r="C12432" i="2"/>
  <c r="D12432" i="2"/>
  <c r="F12432" i="2"/>
  <c r="G12432" i="2"/>
  <c r="H12432" i="2"/>
  <c r="J12432" i="2"/>
  <c r="K12432" i="2"/>
  <c r="L12432" i="2"/>
  <c r="C12433" i="2"/>
  <c r="D12433" i="2"/>
  <c r="F12433" i="2"/>
  <c r="G12433" i="2"/>
  <c r="H12433" i="2"/>
  <c r="J12433" i="2"/>
  <c r="K12433" i="2"/>
  <c r="L12433" i="2"/>
  <c r="C12434" i="2"/>
  <c r="D12434" i="2"/>
  <c r="F12434" i="2"/>
  <c r="G12434" i="2"/>
  <c r="H12434" i="2"/>
  <c r="J12434" i="2"/>
  <c r="K12434" i="2"/>
  <c r="L12434" i="2"/>
  <c r="C12435" i="2"/>
  <c r="D12435" i="2"/>
  <c r="F12435" i="2"/>
  <c r="G12435" i="2"/>
  <c r="H12435" i="2"/>
  <c r="J12435" i="2"/>
  <c r="K12435" i="2"/>
  <c r="L12435" i="2"/>
  <c r="C12436" i="2"/>
  <c r="D12436" i="2"/>
  <c r="F12436" i="2"/>
  <c r="G12436" i="2"/>
  <c r="H12436" i="2"/>
  <c r="J12436" i="2"/>
  <c r="K12436" i="2"/>
  <c r="L12436" i="2"/>
  <c r="C12437" i="2"/>
  <c r="D12437" i="2"/>
  <c r="F12437" i="2"/>
  <c r="G12437" i="2"/>
  <c r="H12437" i="2"/>
  <c r="J12437" i="2"/>
  <c r="K12437" i="2"/>
  <c r="L12437" i="2"/>
  <c r="C12438" i="2"/>
  <c r="D12438" i="2"/>
  <c r="F12438" i="2"/>
  <c r="G12438" i="2"/>
  <c r="H12438" i="2"/>
  <c r="J12438" i="2"/>
  <c r="K12438" i="2"/>
  <c r="L12438" i="2"/>
  <c r="C12439" i="2"/>
  <c r="D12439" i="2"/>
  <c r="F12439" i="2"/>
  <c r="G12439" i="2"/>
  <c r="H12439" i="2"/>
  <c r="J12439" i="2"/>
  <c r="K12439" i="2"/>
  <c r="L12439" i="2"/>
  <c r="C12440" i="2"/>
  <c r="D12440" i="2"/>
  <c r="F12440" i="2"/>
  <c r="G12440" i="2"/>
  <c r="H12440" i="2"/>
  <c r="J12440" i="2"/>
  <c r="K12440" i="2"/>
  <c r="L12440" i="2"/>
  <c r="C12441" i="2"/>
  <c r="D12441" i="2"/>
  <c r="F12441" i="2"/>
  <c r="G12441" i="2"/>
  <c r="H12441" i="2"/>
  <c r="J12441" i="2"/>
  <c r="K12441" i="2"/>
  <c r="L12441" i="2"/>
  <c r="C12442" i="2"/>
  <c r="D12442" i="2"/>
  <c r="F12442" i="2"/>
  <c r="G12442" i="2"/>
  <c r="H12442" i="2"/>
  <c r="J12442" i="2"/>
  <c r="K12442" i="2"/>
  <c r="L12442" i="2"/>
  <c r="C12443" i="2"/>
  <c r="D12443" i="2"/>
  <c r="F12443" i="2"/>
  <c r="G12443" i="2"/>
  <c r="H12443" i="2"/>
  <c r="J12443" i="2"/>
  <c r="K12443" i="2"/>
  <c r="L12443" i="2"/>
  <c r="C12444" i="2"/>
  <c r="D12444" i="2"/>
  <c r="F12444" i="2"/>
  <c r="G12444" i="2"/>
  <c r="H12444" i="2"/>
  <c r="J12444" i="2"/>
  <c r="K12444" i="2"/>
  <c r="L12444" i="2"/>
  <c r="C12445" i="2"/>
  <c r="D12445" i="2"/>
  <c r="F12445" i="2"/>
  <c r="G12445" i="2"/>
  <c r="H12445" i="2"/>
  <c r="J12445" i="2"/>
  <c r="K12445" i="2"/>
  <c r="L12445" i="2"/>
  <c r="C12446" i="2"/>
  <c r="D12446" i="2"/>
  <c r="F12446" i="2"/>
  <c r="G12446" i="2"/>
  <c r="H12446" i="2"/>
  <c r="J12446" i="2"/>
  <c r="K12446" i="2"/>
  <c r="L12446" i="2"/>
  <c r="C12447" i="2"/>
  <c r="D12447" i="2"/>
  <c r="F12447" i="2"/>
  <c r="G12447" i="2"/>
  <c r="H12447" i="2"/>
  <c r="J12447" i="2"/>
  <c r="K12447" i="2"/>
  <c r="L12447" i="2"/>
  <c r="C12448" i="2"/>
  <c r="D12448" i="2"/>
  <c r="F12448" i="2"/>
  <c r="G12448" i="2"/>
  <c r="H12448" i="2"/>
  <c r="J12448" i="2"/>
  <c r="K12448" i="2"/>
  <c r="L12448" i="2"/>
  <c r="C12449" i="2"/>
  <c r="D12449" i="2"/>
  <c r="F12449" i="2"/>
  <c r="G12449" i="2"/>
  <c r="H12449" i="2"/>
  <c r="J12449" i="2"/>
  <c r="K12449" i="2"/>
  <c r="L12449" i="2"/>
  <c r="C12450" i="2"/>
  <c r="D12450" i="2"/>
  <c r="F12450" i="2"/>
  <c r="G12450" i="2"/>
  <c r="H12450" i="2"/>
  <c r="J12450" i="2"/>
  <c r="K12450" i="2"/>
  <c r="L12450" i="2"/>
  <c r="C12451" i="2"/>
  <c r="D12451" i="2"/>
  <c r="F12451" i="2"/>
  <c r="G12451" i="2"/>
  <c r="H12451" i="2"/>
  <c r="J12451" i="2"/>
  <c r="K12451" i="2"/>
  <c r="L12451" i="2"/>
  <c r="C12452" i="2"/>
  <c r="D12452" i="2"/>
  <c r="F12452" i="2"/>
  <c r="G12452" i="2"/>
  <c r="H12452" i="2"/>
  <c r="J12452" i="2"/>
  <c r="K12452" i="2"/>
  <c r="L12452" i="2"/>
  <c r="C12453" i="2"/>
  <c r="D12453" i="2"/>
  <c r="E12453" i="2"/>
  <c r="F12453" i="2"/>
  <c r="G12453" i="2"/>
  <c r="H12453" i="2"/>
  <c r="J12453" i="2"/>
  <c r="K12453" i="2"/>
  <c r="L12453" i="2"/>
  <c r="C12454" i="2"/>
  <c r="D12454" i="2"/>
  <c r="F12454" i="2"/>
  <c r="G12454" i="2"/>
  <c r="H12454" i="2"/>
  <c r="J12454" i="2"/>
  <c r="K12454" i="2"/>
  <c r="L12454" i="2"/>
  <c r="C12455" i="2"/>
  <c r="D12455" i="2"/>
  <c r="F12455" i="2"/>
  <c r="G12455" i="2"/>
  <c r="H12455" i="2"/>
  <c r="J12455" i="2"/>
  <c r="K12455" i="2"/>
  <c r="L12455" i="2"/>
  <c r="C12456" i="2"/>
  <c r="D12456" i="2"/>
  <c r="F12456" i="2"/>
  <c r="G12456" i="2"/>
  <c r="H12456" i="2"/>
  <c r="J12456" i="2"/>
  <c r="K12456" i="2"/>
  <c r="L12456" i="2"/>
  <c r="C12457" i="2"/>
  <c r="D12457" i="2"/>
  <c r="F12457" i="2"/>
  <c r="G12457" i="2"/>
  <c r="H12457" i="2"/>
  <c r="J12457" i="2"/>
  <c r="K12457" i="2"/>
  <c r="L12457" i="2"/>
  <c r="C12458" i="2"/>
  <c r="D12458" i="2"/>
  <c r="F12458" i="2"/>
  <c r="G12458" i="2"/>
  <c r="H12458" i="2"/>
  <c r="J12458" i="2"/>
  <c r="K12458" i="2"/>
  <c r="L12458" i="2"/>
  <c r="C12459" i="2"/>
  <c r="D12459" i="2"/>
  <c r="F12459" i="2"/>
  <c r="G12459" i="2"/>
  <c r="H12459" i="2"/>
  <c r="J12459" i="2"/>
  <c r="K12459" i="2"/>
  <c r="L12459" i="2"/>
  <c r="C12460" i="2"/>
  <c r="D12460" i="2"/>
  <c r="F12460" i="2"/>
  <c r="G12460" i="2"/>
  <c r="H12460" i="2"/>
  <c r="J12460" i="2"/>
  <c r="K12460" i="2"/>
  <c r="L12460" i="2"/>
  <c r="C12461" i="2"/>
  <c r="D12461" i="2"/>
  <c r="F12461" i="2"/>
  <c r="G12461" i="2"/>
  <c r="H12461" i="2"/>
  <c r="J12461" i="2"/>
  <c r="K12461" i="2"/>
  <c r="L12461" i="2"/>
  <c r="C12462" i="2"/>
  <c r="D12462" i="2"/>
  <c r="F12462" i="2"/>
  <c r="G12462" i="2"/>
  <c r="H12462" i="2"/>
  <c r="J12462" i="2"/>
  <c r="K12462" i="2"/>
  <c r="L12462" i="2"/>
  <c r="C12463" i="2"/>
  <c r="D12463" i="2"/>
  <c r="F12463" i="2"/>
  <c r="G12463" i="2"/>
  <c r="H12463" i="2"/>
  <c r="J12463" i="2"/>
  <c r="K12463" i="2"/>
  <c r="L12463" i="2"/>
  <c r="C12464" i="2"/>
  <c r="D12464" i="2"/>
  <c r="F12464" i="2"/>
  <c r="G12464" i="2"/>
  <c r="H12464" i="2"/>
  <c r="J12464" i="2"/>
  <c r="K12464" i="2"/>
  <c r="L12464" i="2"/>
  <c r="C12465" i="2"/>
  <c r="D12465" i="2"/>
  <c r="F12465" i="2"/>
  <c r="G12465" i="2"/>
  <c r="H12465" i="2"/>
  <c r="J12465" i="2"/>
  <c r="K12465" i="2"/>
  <c r="L12465" i="2"/>
  <c r="C12466" i="2"/>
  <c r="D12466" i="2"/>
  <c r="F12466" i="2"/>
  <c r="G12466" i="2"/>
  <c r="H12466" i="2"/>
  <c r="J12466" i="2"/>
  <c r="K12466" i="2"/>
  <c r="L12466" i="2"/>
  <c r="C12467" i="2"/>
  <c r="D12467" i="2"/>
  <c r="F12467" i="2"/>
  <c r="G12467" i="2"/>
  <c r="H12467" i="2"/>
  <c r="J12467" i="2"/>
  <c r="K12467" i="2"/>
  <c r="L12467" i="2"/>
  <c r="C12468" i="2"/>
  <c r="D12468" i="2"/>
  <c r="F12468" i="2"/>
  <c r="G12468" i="2"/>
  <c r="H12468" i="2"/>
  <c r="J12468" i="2"/>
  <c r="K12468" i="2"/>
  <c r="L12468" i="2"/>
  <c r="C12469" i="2"/>
  <c r="D12469" i="2"/>
  <c r="F12469" i="2"/>
  <c r="G12469" i="2"/>
  <c r="H12469" i="2"/>
  <c r="J12469" i="2"/>
  <c r="K12469" i="2"/>
  <c r="L12469" i="2"/>
  <c r="C12470" i="2"/>
  <c r="D12470" i="2"/>
  <c r="F12470" i="2"/>
  <c r="G12470" i="2"/>
  <c r="H12470" i="2"/>
  <c r="J12470" i="2"/>
  <c r="K12470" i="2"/>
  <c r="L12470" i="2"/>
  <c r="C12471" i="2"/>
  <c r="D12471" i="2"/>
  <c r="F12471" i="2"/>
  <c r="G12471" i="2"/>
  <c r="H12471" i="2"/>
  <c r="J12471" i="2"/>
  <c r="K12471" i="2"/>
  <c r="L12471" i="2"/>
  <c r="C12472" i="2"/>
  <c r="D12472" i="2"/>
  <c r="F12472" i="2"/>
  <c r="G12472" i="2"/>
  <c r="H12472" i="2"/>
  <c r="J12472" i="2"/>
  <c r="K12472" i="2"/>
  <c r="L12472" i="2"/>
  <c r="C12473" i="2"/>
  <c r="D12473" i="2"/>
  <c r="F12473" i="2"/>
  <c r="G12473" i="2"/>
  <c r="H12473" i="2"/>
  <c r="J12473" i="2"/>
  <c r="K12473" i="2"/>
  <c r="L12473" i="2"/>
  <c r="C12474" i="2"/>
  <c r="D12474" i="2"/>
  <c r="F12474" i="2"/>
  <c r="G12474" i="2"/>
  <c r="H12474" i="2"/>
  <c r="J12474" i="2"/>
  <c r="K12474" i="2"/>
  <c r="L12474" i="2"/>
  <c r="C12475" i="2"/>
  <c r="D12475" i="2"/>
  <c r="F12475" i="2"/>
  <c r="G12475" i="2"/>
  <c r="H12475" i="2"/>
  <c r="J12475" i="2"/>
  <c r="K12475" i="2"/>
  <c r="L12475" i="2"/>
  <c r="C12476" i="2"/>
  <c r="D12476" i="2"/>
  <c r="F12476" i="2"/>
  <c r="G12476" i="2"/>
  <c r="H12476" i="2"/>
  <c r="J12476" i="2"/>
  <c r="K12476" i="2"/>
  <c r="L12476" i="2"/>
  <c r="C12477" i="2"/>
  <c r="D12477" i="2"/>
  <c r="F12477" i="2"/>
  <c r="G12477" i="2"/>
  <c r="H12477" i="2"/>
  <c r="J12477" i="2"/>
  <c r="K12477" i="2"/>
  <c r="L12477" i="2"/>
  <c r="C12478" i="2"/>
  <c r="D12478" i="2"/>
  <c r="F12478" i="2"/>
  <c r="G12478" i="2"/>
  <c r="H12478" i="2"/>
  <c r="J12478" i="2"/>
  <c r="K12478" i="2"/>
  <c r="L12478" i="2"/>
  <c r="C12479" i="2"/>
  <c r="D12479" i="2"/>
  <c r="F12479" i="2"/>
  <c r="G12479" i="2"/>
  <c r="H12479" i="2"/>
  <c r="J12479" i="2"/>
  <c r="K12479" i="2"/>
  <c r="L12479" i="2"/>
  <c r="C12480" i="2"/>
  <c r="D12480" i="2"/>
  <c r="F12480" i="2"/>
  <c r="G12480" i="2"/>
  <c r="H12480" i="2"/>
  <c r="J12480" i="2"/>
  <c r="K12480" i="2"/>
  <c r="L12480" i="2"/>
  <c r="D12481" i="2"/>
  <c r="F12481" i="2"/>
  <c r="G12481" i="2"/>
  <c r="H12481" i="2"/>
  <c r="J12481" i="2"/>
  <c r="K12481" i="2"/>
  <c r="L12481" i="2"/>
  <c r="C12482" i="2"/>
  <c r="D12482" i="2"/>
  <c r="F12482" i="2"/>
  <c r="G12482" i="2"/>
  <c r="H12482" i="2"/>
  <c r="J12482" i="2"/>
  <c r="K12482" i="2"/>
  <c r="L12482" i="2"/>
  <c r="C12483" i="2"/>
  <c r="D12483" i="2"/>
  <c r="F12483" i="2"/>
  <c r="G12483" i="2"/>
  <c r="H12483" i="2"/>
  <c r="J12483" i="2"/>
  <c r="K12483" i="2"/>
  <c r="L12483" i="2"/>
  <c r="C12484" i="2"/>
  <c r="D12484" i="2"/>
  <c r="F12484" i="2"/>
  <c r="G12484" i="2"/>
  <c r="H12484" i="2"/>
  <c r="J12484" i="2"/>
  <c r="K12484" i="2"/>
  <c r="L12484" i="2"/>
  <c r="C12485" i="2"/>
  <c r="D12485" i="2"/>
  <c r="F12485" i="2"/>
  <c r="G12485" i="2"/>
  <c r="H12485" i="2"/>
  <c r="J12485" i="2"/>
  <c r="K12485" i="2"/>
  <c r="L12485" i="2"/>
  <c r="C12486" i="2"/>
  <c r="D12486" i="2"/>
  <c r="F12486" i="2"/>
  <c r="G12486" i="2"/>
  <c r="H12486" i="2"/>
  <c r="J12486" i="2"/>
  <c r="K12486" i="2"/>
  <c r="L12486" i="2"/>
  <c r="C12487" i="2"/>
  <c r="D12487" i="2"/>
  <c r="F12487" i="2"/>
  <c r="G12487" i="2"/>
  <c r="H12487" i="2"/>
  <c r="J12487" i="2"/>
  <c r="K12487" i="2"/>
  <c r="L12487" i="2"/>
  <c r="C12488" i="2"/>
  <c r="D12488" i="2"/>
  <c r="F12488" i="2"/>
  <c r="G12488" i="2"/>
  <c r="H12488" i="2"/>
  <c r="J12488" i="2"/>
  <c r="K12488" i="2"/>
  <c r="L12488" i="2"/>
  <c r="C12489" i="2"/>
  <c r="D12489" i="2"/>
  <c r="F12489" i="2"/>
  <c r="G12489" i="2"/>
  <c r="H12489" i="2"/>
  <c r="J12489" i="2"/>
  <c r="K12489" i="2"/>
  <c r="L12489" i="2"/>
  <c r="C12490" i="2"/>
  <c r="D12490" i="2"/>
  <c r="F12490" i="2"/>
  <c r="G12490" i="2"/>
  <c r="H12490" i="2"/>
  <c r="J12490" i="2"/>
  <c r="K12490" i="2"/>
  <c r="L12490" i="2"/>
  <c r="C12491" i="2"/>
  <c r="D12491" i="2"/>
  <c r="F12491" i="2"/>
  <c r="G12491" i="2"/>
  <c r="H12491" i="2"/>
  <c r="J12491" i="2"/>
  <c r="K12491" i="2"/>
  <c r="L12491" i="2"/>
  <c r="C12492" i="2"/>
  <c r="D12492" i="2"/>
  <c r="F12492" i="2"/>
  <c r="G12492" i="2"/>
  <c r="H12492" i="2"/>
  <c r="J12492" i="2"/>
  <c r="K12492" i="2"/>
  <c r="L12492" i="2"/>
  <c r="C12493" i="2"/>
  <c r="D12493" i="2"/>
  <c r="F12493" i="2"/>
  <c r="G12493" i="2"/>
  <c r="H12493" i="2"/>
  <c r="J12493" i="2"/>
  <c r="K12493" i="2"/>
  <c r="L12493" i="2"/>
  <c r="C12494" i="2"/>
  <c r="D12494" i="2"/>
  <c r="F12494" i="2"/>
  <c r="G12494" i="2"/>
  <c r="H12494" i="2"/>
  <c r="J12494" i="2"/>
  <c r="K12494" i="2"/>
  <c r="L12494" i="2"/>
  <c r="C12495" i="2"/>
  <c r="D12495" i="2"/>
  <c r="F12495" i="2"/>
  <c r="G12495" i="2"/>
  <c r="H12495" i="2"/>
  <c r="J12495" i="2"/>
  <c r="K12495" i="2"/>
  <c r="L12495" i="2"/>
  <c r="C12496" i="2"/>
  <c r="D12496" i="2"/>
  <c r="F12496" i="2"/>
  <c r="G12496" i="2"/>
  <c r="H12496" i="2"/>
  <c r="J12496" i="2"/>
  <c r="K12496" i="2"/>
  <c r="L12496" i="2"/>
  <c r="C12497" i="2"/>
  <c r="D12497" i="2"/>
  <c r="F12497" i="2"/>
  <c r="G12497" i="2"/>
  <c r="H12497" i="2"/>
  <c r="J12497" i="2"/>
  <c r="K12497" i="2"/>
  <c r="L12497" i="2"/>
  <c r="C12498" i="2"/>
  <c r="D12498" i="2"/>
  <c r="F12498" i="2"/>
  <c r="G12498" i="2"/>
  <c r="H12498" i="2"/>
  <c r="J12498" i="2"/>
  <c r="K12498" i="2"/>
  <c r="L12498" i="2"/>
  <c r="C12499" i="2"/>
  <c r="D12499" i="2"/>
  <c r="F12499" i="2"/>
  <c r="G12499" i="2"/>
  <c r="H12499" i="2"/>
  <c r="J12499" i="2"/>
  <c r="K12499" i="2"/>
  <c r="L12499" i="2"/>
  <c r="C12500" i="2"/>
  <c r="D12500" i="2"/>
  <c r="F12500" i="2"/>
  <c r="G12500" i="2"/>
  <c r="H12500" i="2"/>
  <c r="J12500" i="2"/>
  <c r="K12500" i="2"/>
  <c r="L12500" i="2"/>
  <c r="C12501" i="2"/>
  <c r="D12501" i="2"/>
  <c r="F12501" i="2"/>
  <c r="G12501" i="2"/>
  <c r="H12501" i="2"/>
  <c r="J12501" i="2"/>
  <c r="K12501" i="2"/>
  <c r="L12501" i="2"/>
  <c r="C12502" i="2"/>
  <c r="D12502" i="2"/>
  <c r="F12502" i="2"/>
  <c r="G12502" i="2"/>
  <c r="H12502" i="2"/>
  <c r="J12502" i="2"/>
  <c r="K12502" i="2"/>
  <c r="L12502" i="2"/>
  <c r="C12503" i="2"/>
  <c r="D12503" i="2"/>
  <c r="F12503" i="2"/>
  <c r="G12503" i="2"/>
  <c r="H12503" i="2"/>
  <c r="J12503" i="2"/>
  <c r="K12503" i="2"/>
  <c r="L12503" i="2"/>
  <c r="C12504" i="2"/>
  <c r="D12504" i="2"/>
  <c r="F12504" i="2"/>
  <c r="G12504" i="2"/>
  <c r="H12504" i="2"/>
  <c r="J12504" i="2"/>
  <c r="K12504" i="2"/>
  <c r="L12504" i="2"/>
  <c r="C12505" i="2"/>
  <c r="D12505" i="2"/>
  <c r="F12505" i="2"/>
  <c r="G12505" i="2"/>
  <c r="H12505" i="2"/>
  <c r="J12505" i="2"/>
  <c r="K12505" i="2"/>
  <c r="L12505" i="2"/>
  <c r="C12506" i="2"/>
  <c r="D12506" i="2"/>
  <c r="F12506" i="2"/>
  <c r="G12506" i="2"/>
  <c r="H12506" i="2"/>
  <c r="J12506" i="2"/>
  <c r="K12506" i="2"/>
  <c r="L12506" i="2"/>
  <c r="C12507" i="2"/>
  <c r="D12507" i="2"/>
  <c r="F12507" i="2"/>
  <c r="G12507" i="2"/>
  <c r="H12507" i="2"/>
  <c r="J12507" i="2"/>
  <c r="K12507" i="2"/>
  <c r="L12507" i="2"/>
  <c r="C12508" i="2"/>
  <c r="D12508" i="2"/>
  <c r="F12508" i="2"/>
  <c r="G12508" i="2"/>
  <c r="H12508" i="2"/>
  <c r="J12508" i="2"/>
  <c r="K12508" i="2"/>
  <c r="L12508" i="2"/>
  <c r="C12509" i="2"/>
  <c r="D12509" i="2"/>
  <c r="F12509" i="2"/>
  <c r="G12509" i="2"/>
  <c r="H12509" i="2"/>
  <c r="J12509" i="2"/>
  <c r="K12509" i="2"/>
  <c r="L12509" i="2"/>
  <c r="C12510" i="2"/>
  <c r="D12510" i="2"/>
  <c r="F12510" i="2"/>
  <c r="G12510" i="2"/>
  <c r="H12510" i="2"/>
  <c r="J12510" i="2"/>
  <c r="K12510" i="2"/>
  <c r="L12510" i="2"/>
  <c r="C12511" i="2"/>
  <c r="D12511" i="2"/>
  <c r="F12511" i="2"/>
  <c r="G12511" i="2"/>
  <c r="H12511" i="2"/>
  <c r="J12511" i="2"/>
  <c r="K12511" i="2"/>
  <c r="L12511" i="2"/>
  <c r="C12512" i="2"/>
  <c r="D12512" i="2"/>
  <c r="F12512" i="2"/>
  <c r="G12512" i="2"/>
  <c r="H12512" i="2"/>
  <c r="J12512" i="2"/>
  <c r="K12512" i="2"/>
  <c r="L12512" i="2"/>
  <c r="C12513" i="2"/>
  <c r="D12513" i="2"/>
  <c r="F12513" i="2"/>
  <c r="G12513" i="2"/>
  <c r="H12513" i="2"/>
  <c r="J12513" i="2"/>
  <c r="K12513" i="2"/>
  <c r="L12513" i="2"/>
  <c r="C12514" i="2"/>
  <c r="D12514" i="2"/>
  <c r="F12514" i="2"/>
  <c r="G12514" i="2"/>
  <c r="H12514" i="2"/>
  <c r="J12514" i="2"/>
  <c r="K12514" i="2"/>
  <c r="L12514" i="2"/>
  <c r="C12515" i="2"/>
  <c r="D12515" i="2"/>
  <c r="F12515" i="2"/>
  <c r="G12515" i="2"/>
  <c r="H12515" i="2"/>
  <c r="J12515" i="2"/>
  <c r="K12515" i="2"/>
  <c r="L12515" i="2"/>
  <c r="C12516" i="2"/>
  <c r="D12516" i="2"/>
  <c r="F12516" i="2"/>
  <c r="G12516" i="2"/>
  <c r="H12516" i="2"/>
  <c r="J12516" i="2"/>
  <c r="K12516" i="2"/>
  <c r="L12516" i="2"/>
  <c r="C12517" i="2"/>
  <c r="D12517" i="2"/>
  <c r="F12517" i="2"/>
  <c r="G12517" i="2"/>
  <c r="H12517" i="2"/>
  <c r="J12517" i="2"/>
  <c r="K12517" i="2"/>
  <c r="L12517" i="2"/>
  <c r="C12518" i="2"/>
  <c r="D12518" i="2"/>
  <c r="F12518" i="2"/>
  <c r="G12518" i="2"/>
  <c r="H12518" i="2"/>
  <c r="J12518" i="2"/>
  <c r="K12518" i="2"/>
  <c r="L12518" i="2"/>
  <c r="C12519" i="2"/>
  <c r="D12519" i="2"/>
  <c r="F12519" i="2"/>
  <c r="G12519" i="2"/>
  <c r="H12519" i="2"/>
  <c r="J12519" i="2"/>
  <c r="K12519" i="2"/>
  <c r="L12519" i="2"/>
  <c r="C12520" i="2"/>
  <c r="D12520" i="2"/>
  <c r="F12520" i="2"/>
  <c r="G12520" i="2"/>
  <c r="H12520" i="2"/>
  <c r="J12520" i="2"/>
  <c r="K12520" i="2"/>
  <c r="L12520" i="2"/>
  <c r="C12521" i="2"/>
  <c r="D12521" i="2"/>
  <c r="F12521" i="2"/>
  <c r="G12521" i="2"/>
  <c r="H12521" i="2"/>
  <c r="J12521" i="2"/>
  <c r="K12521" i="2"/>
  <c r="L12521" i="2"/>
  <c r="C12522" i="2"/>
  <c r="D12522" i="2"/>
  <c r="F12522" i="2"/>
  <c r="G12522" i="2"/>
  <c r="H12522" i="2"/>
  <c r="J12522" i="2"/>
  <c r="K12522" i="2"/>
  <c r="L12522" i="2"/>
  <c r="C12523" i="2"/>
  <c r="D12523" i="2"/>
  <c r="F12523" i="2"/>
  <c r="G12523" i="2"/>
  <c r="H12523" i="2"/>
  <c r="J12523" i="2"/>
  <c r="K12523" i="2"/>
  <c r="L12523" i="2"/>
  <c r="C12524" i="2"/>
  <c r="D12524" i="2"/>
  <c r="F12524" i="2"/>
  <c r="G12524" i="2"/>
  <c r="H12524" i="2"/>
  <c r="J12524" i="2"/>
  <c r="K12524" i="2"/>
  <c r="L12524" i="2"/>
  <c r="C12525" i="2"/>
  <c r="D12525" i="2"/>
  <c r="F12525" i="2"/>
  <c r="G12525" i="2"/>
  <c r="H12525" i="2"/>
  <c r="J12525" i="2"/>
  <c r="K12525" i="2"/>
  <c r="L12525" i="2"/>
  <c r="C12526" i="2"/>
  <c r="D12526" i="2"/>
  <c r="F12526" i="2"/>
  <c r="G12526" i="2"/>
  <c r="H12526" i="2"/>
  <c r="J12526" i="2"/>
  <c r="K12526" i="2"/>
  <c r="L12526" i="2"/>
  <c r="C12527" i="2"/>
  <c r="D12527" i="2"/>
  <c r="F12527" i="2"/>
  <c r="G12527" i="2"/>
  <c r="H12527" i="2"/>
  <c r="J12527" i="2"/>
  <c r="K12527" i="2"/>
  <c r="L12527" i="2"/>
  <c r="C12528" i="2"/>
  <c r="D12528" i="2"/>
  <c r="F12528" i="2"/>
  <c r="G12528" i="2"/>
  <c r="H12528" i="2"/>
  <c r="J12528" i="2"/>
  <c r="K12528" i="2"/>
  <c r="L12528" i="2"/>
  <c r="C12529" i="2"/>
  <c r="D12529" i="2"/>
  <c r="F12529" i="2"/>
  <c r="G12529" i="2"/>
  <c r="H12529" i="2"/>
  <c r="J12529" i="2"/>
  <c r="K12529" i="2"/>
  <c r="L12529" i="2"/>
  <c r="C12530" i="2"/>
  <c r="D12530" i="2"/>
  <c r="F12530" i="2"/>
  <c r="G12530" i="2"/>
  <c r="H12530" i="2"/>
  <c r="J12530" i="2"/>
  <c r="K12530" i="2"/>
  <c r="L12530" i="2"/>
  <c r="C12531" i="2"/>
  <c r="D12531" i="2"/>
  <c r="F12531" i="2"/>
  <c r="G12531" i="2"/>
  <c r="H12531" i="2"/>
  <c r="J12531" i="2"/>
  <c r="K12531" i="2"/>
  <c r="L12531" i="2"/>
  <c r="C12532" i="2"/>
  <c r="D12532" i="2"/>
  <c r="F12532" i="2"/>
  <c r="G12532" i="2"/>
  <c r="H12532" i="2"/>
  <c r="J12532" i="2"/>
  <c r="K12532" i="2"/>
  <c r="L12532" i="2"/>
  <c r="C12533" i="2"/>
  <c r="D12533" i="2"/>
  <c r="F12533" i="2"/>
  <c r="G12533" i="2"/>
  <c r="H12533" i="2"/>
  <c r="J12533" i="2"/>
  <c r="K12533" i="2"/>
  <c r="L12533" i="2"/>
  <c r="C12534" i="2"/>
  <c r="D12534" i="2"/>
  <c r="F12534" i="2"/>
  <c r="G12534" i="2"/>
  <c r="H12534" i="2"/>
  <c r="J12534" i="2"/>
  <c r="K12534" i="2"/>
  <c r="L12534" i="2"/>
  <c r="C12535" i="2"/>
  <c r="D12535" i="2"/>
  <c r="F12535" i="2"/>
  <c r="G12535" i="2"/>
  <c r="H12535" i="2"/>
  <c r="J12535" i="2"/>
  <c r="K12535" i="2"/>
  <c r="L12535" i="2"/>
  <c r="C12536" i="2"/>
  <c r="D12536" i="2"/>
  <c r="F12536" i="2"/>
  <c r="G12536" i="2"/>
  <c r="H12536" i="2"/>
  <c r="J12536" i="2"/>
  <c r="K12536" i="2"/>
  <c r="L12536" i="2"/>
  <c r="C12537" i="2"/>
  <c r="D12537" i="2"/>
  <c r="F12537" i="2"/>
  <c r="G12537" i="2"/>
  <c r="H12537" i="2"/>
  <c r="J12537" i="2"/>
  <c r="K12537" i="2"/>
  <c r="L12537" i="2"/>
  <c r="C12538" i="2"/>
  <c r="D12538" i="2"/>
  <c r="F12538" i="2"/>
  <c r="G12538" i="2"/>
  <c r="H12538" i="2"/>
  <c r="J12538" i="2"/>
  <c r="K12538" i="2"/>
  <c r="L12538" i="2"/>
  <c r="C12539" i="2"/>
  <c r="D12539" i="2"/>
  <c r="F12539" i="2"/>
  <c r="G12539" i="2"/>
  <c r="H12539" i="2"/>
  <c r="J12539" i="2"/>
  <c r="K12539" i="2"/>
  <c r="L12539" i="2"/>
  <c r="C12540" i="2"/>
  <c r="D12540" i="2"/>
  <c r="F12540" i="2"/>
  <c r="G12540" i="2"/>
  <c r="H12540" i="2"/>
  <c r="J12540" i="2"/>
  <c r="K12540" i="2"/>
  <c r="L12540" i="2"/>
  <c r="C12541" i="2"/>
  <c r="D12541" i="2"/>
  <c r="F12541" i="2"/>
  <c r="G12541" i="2"/>
  <c r="H12541" i="2"/>
  <c r="J12541" i="2"/>
  <c r="K12541" i="2"/>
  <c r="L12541" i="2"/>
  <c r="C12542" i="2"/>
  <c r="D12542" i="2"/>
  <c r="F12542" i="2"/>
  <c r="G12542" i="2"/>
  <c r="H12542" i="2"/>
  <c r="J12542" i="2"/>
  <c r="K12542" i="2"/>
  <c r="L12542" i="2"/>
  <c r="C12543" i="2"/>
  <c r="D12543" i="2"/>
  <c r="F12543" i="2"/>
  <c r="G12543" i="2"/>
  <c r="H12543" i="2"/>
  <c r="J12543" i="2"/>
  <c r="K12543" i="2"/>
  <c r="L12543" i="2"/>
  <c r="C12544" i="2"/>
  <c r="D12544" i="2"/>
  <c r="F12544" i="2"/>
  <c r="G12544" i="2"/>
  <c r="H12544" i="2"/>
  <c r="J12544" i="2"/>
  <c r="K12544" i="2"/>
  <c r="L12544" i="2"/>
  <c r="C12545" i="2"/>
  <c r="D12545" i="2"/>
  <c r="F12545" i="2"/>
  <c r="G12545" i="2"/>
  <c r="H12545" i="2"/>
  <c r="J12545" i="2"/>
  <c r="K12545" i="2"/>
  <c r="L12545" i="2"/>
  <c r="C12546" i="2"/>
  <c r="D12546" i="2"/>
  <c r="F12546" i="2"/>
  <c r="G12546" i="2"/>
  <c r="H12546" i="2"/>
  <c r="J12546" i="2"/>
  <c r="K12546" i="2"/>
  <c r="L12546" i="2"/>
  <c r="C12547" i="2"/>
  <c r="D12547" i="2"/>
  <c r="F12547" i="2"/>
  <c r="G12547" i="2"/>
  <c r="H12547" i="2"/>
  <c r="J12547" i="2"/>
  <c r="K12547" i="2"/>
  <c r="L12547" i="2"/>
  <c r="C12548" i="2"/>
  <c r="D12548" i="2"/>
  <c r="F12548" i="2"/>
  <c r="G12548" i="2"/>
  <c r="H12548" i="2"/>
  <c r="J12548" i="2"/>
  <c r="K12548" i="2"/>
  <c r="L12548" i="2"/>
  <c r="C12549" i="2"/>
  <c r="D12549" i="2"/>
  <c r="F12549" i="2"/>
  <c r="G12549" i="2"/>
  <c r="H12549" i="2"/>
  <c r="J12549" i="2"/>
  <c r="K12549" i="2"/>
  <c r="L12549" i="2"/>
  <c r="C12550" i="2"/>
  <c r="D12550" i="2"/>
  <c r="F12550" i="2"/>
  <c r="G12550" i="2"/>
  <c r="H12550" i="2"/>
  <c r="J12550" i="2"/>
  <c r="K12550" i="2"/>
  <c r="L12550" i="2"/>
  <c r="C12551" i="2"/>
  <c r="D12551" i="2"/>
  <c r="F12551" i="2"/>
  <c r="G12551" i="2"/>
  <c r="H12551" i="2"/>
  <c r="J12551" i="2"/>
  <c r="K12551" i="2"/>
  <c r="L12551" i="2"/>
  <c r="C12552" i="2"/>
  <c r="D12552" i="2"/>
  <c r="F12552" i="2"/>
  <c r="G12552" i="2"/>
  <c r="H12552" i="2"/>
  <c r="J12552" i="2"/>
  <c r="K12552" i="2"/>
  <c r="L12552" i="2"/>
  <c r="C12553" i="2"/>
  <c r="D12553" i="2"/>
  <c r="F12553" i="2"/>
  <c r="G12553" i="2"/>
  <c r="H12553" i="2"/>
  <c r="J12553" i="2"/>
  <c r="K12553" i="2"/>
  <c r="L12553" i="2"/>
  <c r="C12554" i="2"/>
  <c r="D12554" i="2"/>
  <c r="F12554" i="2"/>
  <c r="G12554" i="2"/>
  <c r="H12554" i="2"/>
  <c r="J12554" i="2"/>
  <c r="K12554" i="2"/>
  <c r="L12554" i="2"/>
  <c r="C12555" i="2"/>
  <c r="D12555" i="2"/>
  <c r="F12555" i="2"/>
  <c r="G12555" i="2"/>
  <c r="H12555" i="2"/>
  <c r="J12555" i="2"/>
  <c r="K12555" i="2"/>
  <c r="L12555" i="2"/>
  <c r="C12556" i="2"/>
  <c r="D12556" i="2"/>
  <c r="F12556" i="2"/>
  <c r="G12556" i="2"/>
  <c r="H12556" i="2"/>
  <c r="J12556" i="2"/>
  <c r="K12556" i="2"/>
  <c r="L12556" i="2"/>
  <c r="C12557" i="2"/>
  <c r="D12557" i="2"/>
  <c r="F12557" i="2"/>
  <c r="G12557" i="2"/>
  <c r="H12557" i="2"/>
  <c r="J12557" i="2"/>
  <c r="K12557" i="2"/>
  <c r="L12557" i="2"/>
  <c r="C12558" i="2"/>
  <c r="D12558" i="2"/>
  <c r="F12558" i="2"/>
  <c r="G12558" i="2"/>
  <c r="H12558" i="2"/>
  <c r="J12558" i="2"/>
  <c r="K12558" i="2"/>
  <c r="L12558" i="2"/>
  <c r="C12559" i="2"/>
  <c r="D12559" i="2"/>
  <c r="F12559" i="2"/>
  <c r="G12559" i="2"/>
  <c r="H12559" i="2"/>
  <c r="J12559" i="2"/>
  <c r="K12559" i="2"/>
  <c r="L12559" i="2"/>
  <c r="C12560" i="2"/>
  <c r="D12560" i="2"/>
  <c r="F12560" i="2"/>
  <c r="G12560" i="2"/>
  <c r="H12560" i="2"/>
  <c r="J12560" i="2"/>
  <c r="K12560" i="2"/>
  <c r="L12560" i="2"/>
  <c r="C12561" i="2"/>
  <c r="D12561" i="2"/>
  <c r="F12561" i="2"/>
  <c r="G12561" i="2"/>
  <c r="H12561" i="2"/>
  <c r="J12561" i="2"/>
  <c r="K12561" i="2"/>
  <c r="L12561" i="2"/>
  <c r="C12562" i="2"/>
  <c r="D12562" i="2"/>
  <c r="F12562" i="2"/>
  <c r="G12562" i="2"/>
  <c r="H12562" i="2"/>
  <c r="J12562" i="2"/>
  <c r="K12562" i="2"/>
  <c r="L12562" i="2"/>
  <c r="C12563" i="2"/>
  <c r="D12563" i="2"/>
  <c r="F12563" i="2"/>
  <c r="G12563" i="2"/>
  <c r="H12563" i="2"/>
  <c r="J12563" i="2"/>
  <c r="K12563" i="2"/>
  <c r="L12563" i="2"/>
  <c r="C12564" i="2"/>
  <c r="D12564" i="2"/>
  <c r="F12564" i="2"/>
  <c r="G12564" i="2"/>
  <c r="H12564" i="2"/>
  <c r="J12564" i="2"/>
  <c r="K12564" i="2"/>
  <c r="L12564" i="2"/>
  <c r="C12565" i="2"/>
  <c r="D12565" i="2"/>
  <c r="F12565" i="2"/>
  <c r="G12565" i="2"/>
  <c r="H12565" i="2"/>
  <c r="J12565" i="2"/>
  <c r="K12565" i="2"/>
  <c r="L12565" i="2"/>
  <c r="C12566" i="2"/>
  <c r="D12566" i="2"/>
  <c r="F12566" i="2"/>
  <c r="G12566" i="2"/>
  <c r="H12566" i="2"/>
  <c r="J12566" i="2"/>
  <c r="K12566" i="2"/>
  <c r="L12566" i="2"/>
  <c r="C12567" i="2"/>
  <c r="D12567" i="2"/>
  <c r="F12567" i="2"/>
  <c r="G12567" i="2"/>
  <c r="H12567" i="2"/>
  <c r="J12567" i="2"/>
  <c r="K12567" i="2"/>
  <c r="L12567" i="2"/>
  <c r="C12568" i="2"/>
  <c r="D12568" i="2"/>
  <c r="F12568" i="2"/>
  <c r="G12568" i="2"/>
  <c r="H12568" i="2"/>
  <c r="J12568" i="2"/>
  <c r="K12568" i="2"/>
  <c r="L12568" i="2"/>
  <c r="C12569" i="2"/>
  <c r="D12569" i="2"/>
  <c r="F12569" i="2"/>
  <c r="G12569" i="2"/>
  <c r="H12569" i="2"/>
  <c r="J12569" i="2"/>
  <c r="K12569" i="2"/>
  <c r="L12569" i="2"/>
  <c r="C12570" i="2"/>
  <c r="D12570" i="2"/>
  <c r="F12570" i="2"/>
  <c r="G12570" i="2"/>
  <c r="H12570" i="2"/>
  <c r="J12570" i="2"/>
  <c r="K12570" i="2"/>
  <c r="L12570" i="2"/>
  <c r="C12571" i="2"/>
  <c r="D12571" i="2"/>
  <c r="F12571" i="2"/>
  <c r="G12571" i="2"/>
  <c r="H12571" i="2"/>
  <c r="J12571" i="2"/>
  <c r="K12571" i="2"/>
  <c r="L12571" i="2"/>
  <c r="C12572" i="2"/>
  <c r="D12572" i="2"/>
  <c r="F12572" i="2"/>
  <c r="G12572" i="2"/>
  <c r="H12572" i="2"/>
  <c r="J12572" i="2"/>
  <c r="K12572" i="2"/>
  <c r="L12572" i="2"/>
  <c r="C12573" i="2"/>
  <c r="D12573" i="2"/>
  <c r="F12573" i="2"/>
  <c r="G12573" i="2"/>
  <c r="H12573" i="2"/>
  <c r="J12573" i="2"/>
  <c r="K12573" i="2"/>
  <c r="L12573" i="2"/>
  <c r="C12574" i="2"/>
  <c r="D12574" i="2"/>
  <c r="F12574" i="2"/>
  <c r="G12574" i="2"/>
  <c r="H12574" i="2"/>
  <c r="J12574" i="2"/>
  <c r="K12574" i="2"/>
  <c r="L12574" i="2"/>
  <c r="C12575" i="2"/>
  <c r="D12575" i="2"/>
  <c r="F12575" i="2"/>
  <c r="G12575" i="2"/>
  <c r="H12575" i="2"/>
  <c r="J12575" i="2"/>
  <c r="K12575" i="2"/>
  <c r="L12575" i="2"/>
  <c r="C12576" i="2"/>
  <c r="D12576" i="2"/>
  <c r="F12576" i="2"/>
  <c r="G12576" i="2"/>
  <c r="H12576" i="2"/>
  <c r="J12576" i="2"/>
  <c r="K12576" i="2"/>
  <c r="L12576" i="2"/>
  <c r="C12577" i="2"/>
  <c r="D12577" i="2"/>
  <c r="F12577" i="2"/>
  <c r="G12577" i="2"/>
  <c r="H12577" i="2"/>
  <c r="J12577" i="2"/>
  <c r="K12577" i="2"/>
  <c r="L12577" i="2"/>
  <c r="C12578" i="2"/>
  <c r="D12578" i="2"/>
  <c r="F12578" i="2"/>
  <c r="G12578" i="2"/>
  <c r="H12578" i="2"/>
  <c r="J12578" i="2"/>
  <c r="K12578" i="2"/>
  <c r="L12578" i="2"/>
  <c r="C12579" i="2"/>
  <c r="D12579" i="2"/>
  <c r="F12579" i="2"/>
  <c r="G12579" i="2"/>
  <c r="H12579" i="2"/>
  <c r="J12579" i="2"/>
  <c r="K12579" i="2"/>
  <c r="L12579" i="2"/>
  <c r="C12580" i="2"/>
  <c r="D12580" i="2"/>
  <c r="F12580" i="2"/>
  <c r="G12580" i="2"/>
  <c r="H12580" i="2"/>
  <c r="J12580" i="2"/>
  <c r="K12580" i="2"/>
  <c r="L12580" i="2"/>
  <c r="C12581" i="2"/>
  <c r="D12581" i="2"/>
  <c r="F12581" i="2"/>
  <c r="G12581" i="2"/>
  <c r="H12581" i="2"/>
  <c r="J12581" i="2"/>
  <c r="K12581" i="2"/>
  <c r="L12581" i="2"/>
  <c r="C12582" i="2"/>
  <c r="D12582" i="2"/>
  <c r="F12582" i="2"/>
  <c r="G12582" i="2"/>
  <c r="H12582" i="2"/>
  <c r="J12582" i="2"/>
  <c r="K12582" i="2"/>
  <c r="L12582" i="2"/>
  <c r="C12583" i="2"/>
  <c r="D12583" i="2"/>
  <c r="F12583" i="2"/>
  <c r="G12583" i="2"/>
  <c r="H12583" i="2"/>
  <c r="J12583" i="2"/>
  <c r="K12583" i="2"/>
  <c r="L12583" i="2"/>
  <c r="C12584" i="2"/>
  <c r="D12584" i="2"/>
  <c r="F12584" i="2"/>
  <c r="G12584" i="2"/>
  <c r="H12584" i="2"/>
  <c r="J12584" i="2"/>
  <c r="K12584" i="2"/>
  <c r="L12584" i="2"/>
  <c r="C12585" i="2"/>
  <c r="D12585" i="2"/>
  <c r="F12585" i="2"/>
  <c r="G12585" i="2"/>
  <c r="H12585" i="2"/>
  <c r="J12585" i="2"/>
  <c r="K12585" i="2"/>
  <c r="L12585" i="2"/>
  <c r="C12586" i="2"/>
  <c r="D12586" i="2"/>
  <c r="F12586" i="2"/>
  <c r="G12586" i="2"/>
  <c r="H12586" i="2"/>
  <c r="J12586" i="2"/>
  <c r="K12586" i="2"/>
  <c r="L12586" i="2"/>
  <c r="C12587" i="2"/>
  <c r="D12587" i="2"/>
  <c r="F12587" i="2"/>
  <c r="G12587" i="2"/>
  <c r="H12587" i="2"/>
  <c r="J12587" i="2"/>
  <c r="K12587" i="2"/>
  <c r="L12587" i="2"/>
  <c r="C12588" i="2"/>
  <c r="D12588" i="2"/>
  <c r="F12588" i="2"/>
  <c r="G12588" i="2"/>
  <c r="H12588" i="2"/>
  <c r="J12588" i="2"/>
  <c r="K12588" i="2"/>
  <c r="L12588" i="2"/>
  <c r="C12589" i="2"/>
  <c r="D12589" i="2"/>
  <c r="F12589" i="2"/>
  <c r="G12589" i="2"/>
  <c r="H12589" i="2"/>
  <c r="J12589" i="2"/>
  <c r="K12589" i="2"/>
  <c r="L12589" i="2"/>
  <c r="C12590" i="2"/>
  <c r="D12590" i="2"/>
  <c r="F12590" i="2"/>
  <c r="G12590" i="2"/>
  <c r="H12590" i="2"/>
  <c r="J12590" i="2"/>
  <c r="K12590" i="2"/>
  <c r="L12590" i="2"/>
  <c r="C12591" i="2"/>
  <c r="D12591" i="2"/>
  <c r="F12591" i="2"/>
  <c r="G12591" i="2"/>
  <c r="H12591" i="2"/>
  <c r="J12591" i="2"/>
  <c r="K12591" i="2"/>
  <c r="L12591" i="2"/>
  <c r="C12592" i="2"/>
  <c r="D12592" i="2"/>
  <c r="F12592" i="2"/>
  <c r="G12592" i="2"/>
  <c r="H12592" i="2"/>
  <c r="J12592" i="2"/>
  <c r="K12592" i="2"/>
  <c r="L12592" i="2"/>
  <c r="C12593" i="2"/>
  <c r="D12593" i="2"/>
  <c r="F12593" i="2"/>
  <c r="G12593" i="2"/>
  <c r="H12593" i="2"/>
  <c r="J12593" i="2"/>
  <c r="K12593" i="2"/>
  <c r="L12593" i="2"/>
  <c r="C12594" i="2"/>
  <c r="D12594" i="2"/>
  <c r="F12594" i="2"/>
  <c r="G12594" i="2"/>
  <c r="H12594" i="2"/>
  <c r="J12594" i="2"/>
  <c r="K12594" i="2"/>
  <c r="L12594" i="2"/>
  <c r="C12595" i="2"/>
  <c r="D12595" i="2"/>
  <c r="F12595" i="2"/>
  <c r="G12595" i="2"/>
  <c r="H12595" i="2"/>
  <c r="J12595" i="2"/>
  <c r="K12595" i="2"/>
  <c r="L12595" i="2"/>
  <c r="C12596" i="2"/>
  <c r="D12596" i="2"/>
  <c r="F12596" i="2"/>
  <c r="G12596" i="2"/>
  <c r="H12596" i="2"/>
  <c r="J12596" i="2"/>
  <c r="K12596" i="2"/>
  <c r="L12596" i="2"/>
  <c r="C12597" i="2"/>
  <c r="D12597" i="2"/>
  <c r="F12597" i="2"/>
  <c r="G12597" i="2"/>
  <c r="H12597" i="2"/>
  <c r="J12597" i="2"/>
  <c r="K12597" i="2"/>
  <c r="L12597" i="2"/>
  <c r="C12598" i="2"/>
  <c r="D12598" i="2"/>
  <c r="F12598" i="2"/>
  <c r="G12598" i="2"/>
  <c r="H12598" i="2"/>
  <c r="J12598" i="2"/>
  <c r="K12598" i="2"/>
  <c r="L12598" i="2"/>
  <c r="C12599" i="2"/>
  <c r="D12599" i="2"/>
  <c r="F12599" i="2"/>
  <c r="G12599" i="2"/>
  <c r="H12599" i="2"/>
  <c r="J12599" i="2"/>
  <c r="K12599" i="2"/>
  <c r="L12599" i="2"/>
  <c r="C12600" i="2"/>
  <c r="D12600" i="2"/>
  <c r="F12600" i="2"/>
  <c r="G12600" i="2"/>
  <c r="H12600" i="2"/>
  <c r="J12600" i="2"/>
  <c r="K12600" i="2"/>
  <c r="L12600" i="2"/>
  <c r="C12601" i="2"/>
  <c r="D12601" i="2"/>
  <c r="F12601" i="2"/>
  <c r="G12601" i="2"/>
  <c r="H12601" i="2"/>
  <c r="J12601" i="2"/>
  <c r="K12601" i="2"/>
  <c r="L12601" i="2"/>
  <c r="C12602" i="2"/>
  <c r="D12602" i="2"/>
  <c r="F12602" i="2"/>
  <c r="G12602" i="2"/>
  <c r="H12602" i="2"/>
  <c r="J12602" i="2"/>
  <c r="K12602" i="2"/>
  <c r="L12602" i="2"/>
  <c r="C12603" i="2"/>
  <c r="D12603" i="2"/>
  <c r="F12603" i="2"/>
  <c r="G12603" i="2"/>
  <c r="H12603" i="2"/>
  <c r="J12603" i="2"/>
  <c r="K12603" i="2"/>
  <c r="L12603" i="2"/>
  <c r="C12604" i="2"/>
  <c r="D12604" i="2"/>
  <c r="F12604" i="2"/>
  <c r="G12604" i="2"/>
  <c r="H12604" i="2"/>
  <c r="J12604" i="2"/>
  <c r="K12604" i="2"/>
  <c r="L12604" i="2"/>
  <c r="C12605" i="2"/>
  <c r="D12605" i="2"/>
  <c r="F12605" i="2"/>
  <c r="G12605" i="2"/>
  <c r="H12605" i="2"/>
  <c r="J12605" i="2"/>
  <c r="K12605" i="2"/>
  <c r="L12605" i="2"/>
  <c r="C12606" i="2"/>
  <c r="D12606" i="2"/>
  <c r="F12606" i="2"/>
  <c r="G12606" i="2"/>
  <c r="H12606" i="2"/>
  <c r="J12606" i="2"/>
  <c r="K12606" i="2"/>
  <c r="L12606" i="2"/>
  <c r="C12607" i="2"/>
  <c r="D12607" i="2"/>
  <c r="F12607" i="2"/>
  <c r="G12607" i="2"/>
  <c r="H12607" i="2"/>
  <c r="J12607" i="2"/>
  <c r="K12607" i="2"/>
  <c r="L12607" i="2"/>
  <c r="C12608" i="2"/>
  <c r="D12608" i="2"/>
  <c r="F12608" i="2"/>
  <c r="G12608" i="2"/>
  <c r="H12608" i="2"/>
  <c r="J12608" i="2"/>
  <c r="K12608" i="2"/>
  <c r="L12608" i="2"/>
  <c r="C12609" i="2"/>
  <c r="D12609" i="2"/>
  <c r="F12609" i="2"/>
  <c r="G12609" i="2"/>
  <c r="H12609" i="2"/>
  <c r="J12609" i="2"/>
  <c r="K12609" i="2"/>
  <c r="L12609" i="2"/>
  <c r="C12610" i="2"/>
  <c r="D12610" i="2"/>
  <c r="F12610" i="2"/>
  <c r="G12610" i="2"/>
  <c r="H12610" i="2"/>
  <c r="J12610" i="2"/>
  <c r="K12610" i="2"/>
  <c r="L12610" i="2"/>
  <c r="C12611" i="2"/>
  <c r="D12611" i="2"/>
  <c r="F12611" i="2"/>
  <c r="G12611" i="2"/>
  <c r="H12611" i="2"/>
  <c r="J12611" i="2"/>
  <c r="K12611" i="2"/>
  <c r="L12611" i="2"/>
  <c r="C12612" i="2"/>
  <c r="D12612" i="2"/>
  <c r="F12612" i="2"/>
  <c r="G12612" i="2"/>
  <c r="H12612" i="2"/>
  <c r="J12612" i="2"/>
  <c r="K12612" i="2"/>
  <c r="L12612" i="2"/>
  <c r="C12613" i="2"/>
  <c r="D12613" i="2"/>
  <c r="F12613" i="2"/>
  <c r="G12613" i="2"/>
  <c r="H12613" i="2"/>
  <c r="J12613" i="2"/>
  <c r="K12613" i="2"/>
  <c r="L12613" i="2"/>
  <c r="C12614" i="2"/>
  <c r="D12614" i="2"/>
  <c r="F12614" i="2"/>
  <c r="G12614" i="2"/>
  <c r="H12614" i="2"/>
  <c r="J12614" i="2"/>
  <c r="K12614" i="2"/>
  <c r="L12614" i="2"/>
  <c r="C12615" i="2"/>
  <c r="D12615" i="2"/>
  <c r="F12615" i="2"/>
  <c r="G12615" i="2"/>
  <c r="H12615" i="2"/>
  <c r="J12615" i="2"/>
  <c r="K12615" i="2"/>
  <c r="L12615" i="2"/>
  <c r="C12616" i="2"/>
  <c r="D12616" i="2"/>
  <c r="F12616" i="2"/>
  <c r="G12616" i="2"/>
  <c r="H12616" i="2"/>
  <c r="J12616" i="2"/>
  <c r="K12616" i="2"/>
  <c r="L12616" i="2"/>
  <c r="C12617" i="2"/>
  <c r="D12617" i="2"/>
  <c r="F12617" i="2"/>
  <c r="G12617" i="2"/>
  <c r="H12617" i="2"/>
  <c r="J12617" i="2"/>
  <c r="K12617" i="2"/>
  <c r="L12617" i="2"/>
  <c r="C12618" i="2"/>
  <c r="D12618" i="2"/>
  <c r="F12618" i="2"/>
  <c r="G12618" i="2"/>
  <c r="H12618" i="2"/>
  <c r="J12618" i="2"/>
  <c r="K12618" i="2"/>
  <c r="L12618" i="2"/>
  <c r="C12619" i="2"/>
  <c r="D12619" i="2"/>
  <c r="F12619" i="2"/>
  <c r="G12619" i="2"/>
  <c r="H12619" i="2"/>
  <c r="J12619" i="2"/>
  <c r="K12619" i="2"/>
  <c r="L12619" i="2"/>
  <c r="C12620" i="2"/>
  <c r="D12620" i="2"/>
  <c r="F12620" i="2"/>
  <c r="G12620" i="2"/>
  <c r="H12620" i="2"/>
  <c r="J12620" i="2"/>
  <c r="K12620" i="2"/>
  <c r="L12620" i="2"/>
  <c r="C12621" i="2"/>
  <c r="D12621" i="2"/>
  <c r="F12621" i="2"/>
  <c r="G12621" i="2"/>
  <c r="H12621" i="2"/>
  <c r="J12621" i="2"/>
  <c r="K12621" i="2"/>
  <c r="L12621" i="2"/>
  <c r="C12622" i="2"/>
  <c r="D12622" i="2"/>
  <c r="F12622" i="2"/>
  <c r="G12622" i="2"/>
  <c r="H12622" i="2"/>
  <c r="J12622" i="2"/>
  <c r="K12622" i="2"/>
  <c r="L12622" i="2"/>
  <c r="C12623" i="2"/>
  <c r="D12623" i="2"/>
  <c r="F12623" i="2"/>
  <c r="G12623" i="2"/>
  <c r="H12623" i="2"/>
  <c r="J12623" i="2"/>
  <c r="K12623" i="2"/>
  <c r="L12623" i="2"/>
  <c r="C12624" i="2"/>
  <c r="D12624" i="2"/>
  <c r="F12624" i="2"/>
  <c r="G12624" i="2"/>
  <c r="H12624" i="2"/>
  <c r="J12624" i="2"/>
  <c r="K12624" i="2"/>
  <c r="L12624" i="2"/>
  <c r="C12625" i="2"/>
  <c r="D12625" i="2"/>
  <c r="F12625" i="2"/>
  <c r="G12625" i="2"/>
  <c r="H12625" i="2"/>
  <c r="J12625" i="2"/>
  <c r="K12625" i="2"/>
  <c r="L12625" i="2"/>
  <c r="C12626" i="2"/>
  <c r="D12626" i="2"/>
  <c r="F12626" i="2"/>
  <c r="G12626" i="2"/>
  <c r="H12626" i="2"/>
  <c r="J12626" i="2"/>
  <c r="K12626" i="2"/>
  <c r="L12626" i="2"/>
  <c r="C12627" i="2"/>
  <c r="D12627" i="2"/>
  <c r="F12627" i="2"/>
  <c r="G12627" i="2"/>
  <c r="H12627" i="2"/>
  <c r="J12627" i="2"/>
  <c r="K12627" i="2"/>
  <c r="L12627" i="2"/>
  <c r="C12628" i="2"/>
  <c r="D12628" i="2"/>
  <c r="F12628" i="2"/>
  <c r="G12628" i="2"/>
  <c r="H12628" i="2"/>
  <c r="J12628" i="2"/>
  <c r="K12628" i="2"/>
  <c r="L12628" i="2"/>
  <c r="C12629" i="2"/>
  <c r="D12629" i="2"/>
  <c r="F12629" i="2"/>
  <c r="G12629" i="2"/>
  <c r="H12629" i="2"/>
  <c r="J12629" i="2"/>
  <c r="K12629" i="2"/>
  <c r="L12629" i="2"/>
  <c r="C12630" i="2"/>
  <c r="D12630" i="2"/>
  <c r="F12630" i="2"/>
  <c r="G12630" i="2"/>
  <c r="H12630" i="2"/>
  <c r="J12630" i="2"/>
  <c r="K12630" i="2"/>
  <c r="L12630" i="2"/>
  <c r="C12631" i="2"/>
  <c r="D12631" i="2"/>
  <c r="F12631" i="2"/>
  <c r="G12631" i="2"/>
  <c r="H12631" i="2"/>
  <c r="J12631" i="2"/>
  <c r="K12631" i="2"/>
  <c r="L12631" i="2"/>
  <c r="C12632" i="2"/>
  <c r="D12632" i="2"/>
  <c r="F12632" i="2"/>
  <c r="G12632" i="2"/>
  <c r="H12632" i="2"/>
  <c r="J12632" i="2"/>
  <c r="K12632" i="2"/>
  <c r="L12632" i="2"/>
  <c r="C12633" i="2"/>
  <c r="D12633" i="2"/>
  <c r="F12633" i="2"/>
  <c r="G12633" i="2"/>
  <c r="H12633" i="2"/>
  <c r="J12633" i="2"/>
  <c r="K12633" i="2"/>
  <c r="L12633" i="2"/>
  <c r="C12634" i="2"/>
  <c r="D12634" i="2"/>
  <c r="F12634" i="2"/>
  <c r="G12634" i="2"/>
  <c r="H12634" i="2"/>
  <c r="J12634" i="2"/>
  <c r="K12634" i="2"/>
  <c r="L12634" i="2"/>
  <c r="C12635" i="2"/>
  <c r="D12635" i="2"/>
  <c r="F12635" i="2"/>
  <c r="G12635" i="2"/>
  <c r="H12635" i="2"/>
  <c r="J12635" i="2"/>
  <c r="K12635" i="2"/>
  <c r="L12635" i="2"/>
  <c r="C12636" i="2"/>
  <c r="D12636" i="2"/>
  <c r="F12636" i="2"/>
  <c r="G12636" i="2"/>
  <c r="H12636" i="2"/>
  <c r="J12636" i="2"/>
  <c r="K12636" i="2"/>
  <c r="L12636" i="2"/>
  <c r="C12637" i="2"/>
  <c r="D12637" i="2"/>
  <c r="F12637" i="2"/>
  <c r="G12637" i="2"/>
  <c r="H12637" i="2"/>
  <c r="J12637" i="2"/>
  <c r="K12637" i="2"/>
  <c r="L12637" i="2"/>
  <c r="C12638" i="2"/>
  <c r="D12638" i="2"/>
  <c r="F12638" i="2"/>
  <c r="G12638" i="2"/>
  <c r="H12638" i="2"/>
  <c r="J12638" i="2"/>
  <c r="K12638" i="2"/>
  <c r="L12638" i="2"/>
  <c r="C12639" i="2"/>
  <c r="D12639" i="2"/>
  <c r="F12639" i="2"/>
  <c r="G12639" i="2"/>
  <c r="H12639" i="2"/>
  <c r="J12639" i="2"/>
  <c r="K12639" i="2"/>
  <c r="L12639" i="2"/>
  <c r="C12640" i="2"/>
  <c r="D12640" i="2"/>
  <c r="F12640" i="2"/>
  <c r="G12640" i="2"/>
  <c r="H12640" i="2"/>
  <c r="J12640" i="2"/>
  <c r="K12640" i="2"/>
  <c r="L12640" i="2"/>
  <c r="C12641" i="2"/>
  <c r="D12641" i="2"/>
  <c r="F12641" i="2"/>
  <c r="G12641" i="2"/>
  <c r="H12641" i="2"/>
  <c r="J12641" i="2"/>
  <c r="K12641" i="2"/>
  <c r="L12641" i="2"/>
  <c r="C12642" i="2"/>
  <c r="D12642" i="2"/>
  <c r="F12642" i="2"/>
  <c r="G12642" i="2"/>
  <c r="H12642" i="2"/>
  <c r="J12642" i="2"/>
  <c r="K12642" i="2"/>
  <c r="L12642" i="2"/>
  <c r="C12643" i="2"/>
  <c r="D12643" i="2"/>
  <c r="F12643" i="2"/>
  <c r="G12643" i="2"/>
  <c r="H12643" i="2"/>
  <c r="J12643" i="2"/>
  <c r="K12643" i="2"/>
  <c r="L12643" i="2"/>
  <c r="C12644" i="2"/>
  <c r="D12644" i="2"/>
  <c r="F12644" i="2"/>
  <c r="G12644" i="2"/>
  <c r="H12644" i="2"/>
  <c r="J12644" i="2"/>
  <c r="K12644" i="2"/>
  <c r="L12644" i="2"/>
  <c r="C12645" i="2"/>
  <c r="D12645" i="2"/>
  <c r="F12645" i="2"/>
  <c r="G12645" i="2"/>
  <c r="H12645" i="2"/>
  <c r="J12645" i="2"/>
  <c r="K12645" i="2"/>
  <c r="L12645" i="2"/>
  <c r="C12646" i="2"/>
  <c r="D12646" i="2"/>
  <c r="F12646" i="2"/>
  <c r="G12646" i="2"/>
  <c r="H12646" i="2"/>
  <c r="J12646" i="2"/>
  <c r="K12646" i="2"/>
  <c r="L12646" i="2"/>
  <c r="C12647" i="2"/>
  <c r="D12647" i="2"/>
  <c r="F12647" i="2"/>
  <c r="G12647" i="2"/>
  <c r="H12647" i="2"/>
  <c r="J12647" i="2"/>
  <c r="K12647" i="2"/>
  <c r="L12647" i="2"/>
  <c r="C12648" i="2"/>
  <c r="D12648" i="2"/>
  <c r="F12648" i="2"/>
  <c r="G12648" i="2"/>
  <c r="H12648" i="2"/>
  <c r="J12648" i="2"/>
  <c r="K12648" i="2"/>
  <c r="L12648" i="2"/>
  <c r="C12649" i="2"/>
  <c r="D12649" i="2"/>
  <c r="F12649" i="2"/>
  <c r="G12649" i="2"/>
  <c r="H12649" i="2"/>
  <c r="J12649" i="2"/>
  <c r="K12649" i="2"/>
  <c r="L12649" i="2"/>
  <c r="C12650" i="2"/>
  <c r="D12650" i="2"/>
  <c r="F12650" i="2"/>
  <c r="G12650" i="2"/>
  <c r="H12650" i="2"/>
  <c r="J12650" i="2"/>
  <c r="K12650" i="2"/>
  <c r="L12650" i="2"/>
  <c r="C12651" i="2"/>
  <c r="D12651" i="2"/>
  <c r="F12651" i="2"/>
  <c r="G12651" i="2"/>
  <c r="H12651" i="2"/>
  <c r="J12651" i="2"/>
  <c r="K12651" i="2"/>
  <c r="L12651" i="2"/>
  <c r="C12652" i="2"/>
  <c r="D12652" i="2"/>
  <c r="F12652" i="2"/>
  <c r="G12652" i="2"/>
  <c r="H12652" i="2"/>
  <c r="J12652" i="2"/>
  <c r="K12652" i="2"/>
  <c r="L12652" i="2"/>
  <c r="C12653" i="2"/>
  <c r="D12653" i="2"/>
  <c r="F12653" i="2"/>
  <c r="G12653" i="2"/>
  <c r="H12653" i="2"/>
  <c r="J12653" i="2"/>
  <c r="K12653" i="2"/>
  <c r="L12653" i="2"/>
  <c r="C12654" i="2"/>
  <c r="D12654" i="2"/>
  <c r="F12654" i="2"/>
  <c r="G12654" i="2"/>
  <c r="H12654" i="2"/>
  <c r="J12654" i="2"/>
  <c r="K12654" i="2"/>
  <c r="L12654" i="2"/>
  <c r="C12655" i="2"/>
  <c r="D12655" i="2"/>
  <c r="F12655" i="2"/>
  <c r="G12655" i="2"/>
  <c r="H12655" i="2"/>
  <c r="J12655" i="2"/>
  <c r="K12655" i="2"/>
  <c r="L12655" i="2"/>
  <c r="C12656" i="2"/>
  <c r="D12656" i="2"/>
  <c r="F12656" i="2"/>
  <c r="G12656" i="2"/>
  <c r="H12656" i="2"/>
  <c r="J12656" i="2"/>
  <c r="K12656" i="2"/>
  <c r="L12656" i="2"/>
  <c r="C12657" i="2"/>
  <c r="D12657" i="2"/>
  <c r="F12657" i="2"/>
  <c r="G12657" i="2"/>
  <c r="H12657" i="2"/>
  <c r="J12657" i="2"/>
  <c r="K12657" i="2"/>
  <c r="L12657" i="2"/>
  <c r="C12658" i="2"/>
  <c r="D12658" i="2"/>
  <c r="F12658" i="2"/>
  <c r="G12658" i="2"/>
  <c r="H12658" i="2"/>
  <c r="J12658" i="2"/>
  <c r="K12658" i="2"/>
  <c r="L12658" i="2"/>
  <c r="C12659" i="2"/>
  <c r="D12659" i="2"/>
  <c r="F12659" i="2"/>
  <c r="G12659" i="2"/>
  <c r="H12659" i="2"/>
  <c r="J12659" i="2"/>
  <c r="K12659" i="2"/>
  <c r="L12659" i="2"/>
  <c r="C12660" i="2"/>
  <c r="D12660" i="2"/>
  <c r="F12660" i="2"/>
  <c r="G12660" i="2"/>
  <c r="H12660" i="2"/>
  <c r="J12660" i="2"/>
  <c r="K12660" i="2"/>
  <c r="L12660" i="2"/>
  <c r="C12661" i="2"/>
  <c r="D12661" i="2"/>
  <c r="F12661" i="2"/>
  <c r="G12661" i="2"/>
  <c r="H12661" i="2"/>
  <c r="J12661" i="2"/>
  <c r="K12661" i="2"/>
  <c r="L12661" i="2"/>
  <c r="C12662" i="2"/>
  <c r="D12662" i="2"/>
  <c r="F12662" i="2"/>
  <c r="G12662" i="2"/>
  <c r="H12662" i="2"/>
  <c r="J12662" i="2"/>
  <c r="K12662" i="2"/>
  <c r="L12662" i="2"/>
  <c r="C12663" i="2"/>
  <c r="D12663" i="2"/>
  <c r="F12663" i="2"/>
  <c r="G12663" i="2"/>
  <c r="H12663" i="2"/>
  <c r="J12663" i="2"/>
  <c r="K12663" i="2"/>
  <c r="L12663" i="2"/>
  <c r="C12664" i="2"/>
  <c r="D12664" i="2"/>
  <c r="F12664" i="2"/>
  <c r="G12664" i="2"/>
  <c r="H12664" i="2"/>
  <c r="J12664" i="2"/>
  <c r="K12664" i="2"/>
  <c r="L12664" i="2"/>
  <c r="C12665" i="2"/>
  <c r="D12665" i="2"/>
  <c r="F12665" i="2"/>
  <c r="G12665" i="2"/>
  <c r="H12665" i="2"/>
  <c r="J12665" i="2"/>
  <c r="K12665" i="2"/>
  <c r="L12665" i="2"/>
  <c r="C12666" i="2"/>
  <c r="D12666" i="2"/>
  <c r="F12666" i="2"/>
  <c r="G12666" i="2"/>
  <c r="H12666" i="2"/>
  <c r="J12666" i="2"/>
  <c r="K12666" i="2"/>
  <c r="L12666" i="2"/>
  <c r="C12667" i="2"/>
  <c r="D12667" i="2"/>
  <c r="F12667" i="2"/>
  <c r="G12667" i="2"/>
  <c r="H12667" i="2"/>
  <c r="J12667" i="2"/>
  <c r="K12667" i="2"/>
  <c r="L12667" i="2"/>
  <c r="C12668" i="2"/>
  <c r="D12668" i="2"/>
  <c r="F12668" i="2"/>
  <c r="G12668" i="2"/>
  <c r="H12668" i="2"/>
  <c r="J12668" i="2"/>
  <c r="K12668" i="2"/>
  <c r="L12668" i="2"/>
  <c r="C12669" i="2"/>
  <c r="D12669" i="2"/>
  <c r="F12669" i="2"/>
  <c r="G12669" i="2"/>
  <c r="H12669" i="2"/>
  <c r="J12669" i="2"/>
  <c r="K12669" i="2"/>
  <c r="L12669" i="2"/>
  <c r="C12670" i="2"/>
  <c r="D12670" i="2"/>
  <c r="F12670" i="2"/>
  <c r="G12670" i="2"/>
  <c r="H12670" i="2"/>
  <c r="J12670" i="2"/>
  <c r="K12670" i="2"/>
  <c r="L12670" i="2"/>
  <c r="C12671" i="2"/>
  <c r="D12671" i="2"/>
  <c r="F12671" i="2"/>
  <c r="G12671" i="2"/>
  <c r="H12671" i="2"/>
  <c r="J12671" i="2"/>
  <c r="K12671" i="2"/>
  <c r="L12671" i="2"/>
  <c r="C12672" i="2"/>
  <c r="D12672" i="2"/>
  <c r="F12672" i="2"/>
  <c r="G12672" i="2"/>
  <c r="H12672" i="2"/>
  <c r="J12672" i="2"/>
  <c r="K12672" i="2"/>
  <c r="L12672" i="2"/>
  <c r="C12673" i="2"/>
  <c r="D12673" i="2"/>
  <c r="F12673" i="2"/>
  <c r="G12673" i="2"/>
  <c r="H12673" i="2"/>
  <c r="J12673" i="2"/>
  <c r="K12673" i="2"/>
  <c r="L12673" i="2"/>
  <c r="C12674" i="2"/>
  <c r="D12674" i="2"/>
  <c r="F12674" i="2"/>
  <c r="G12674" i="2"/>
  <c r="H12674" i="2"/>
  <c r="J12674" i="2"/>
  <c r="K12674" i="2"/>
  <c r="L12674" i="2"/>
  <c r="C12675" i="2"/>
  <c r="D12675" i="2"/>
  <c r="F12675" i="2"/>
  <c r="G12675" i="2"/>
  <c r="H12675" i="2"/>
  <c r="J12675" i="2"/>
  <c r="K12675" i="2"/>
  <c r="L12675" i="2"/>
  <c r="C12676" i="2"/>
  <c r="D12676" i="2"/>
  <c r="F12676" i="2"/>
  <c r="G12676" i="2"/>
  <c r="H12676" i="2"/>
  <c r="J12676" i="2"/>
  <c r="K12676" i="2"/>
  <c r="L12676" i="2"/>
  <c r="C12677" i="2"/>
  <c r="D12677" i="2"/>
  <c r="F12677" i="2"/>
  <c r="G12677" i="2"/>
  <c r="H12677" i="2"/>
  <c r="J12677" i="2"/>
  <c r="K12677" i="2"/>
  <c r="L12677" i="2"/>
  <c r="C12678" i="2"/>
  <c r="D12678" i="2"/>
  <c r="F12678" i="2"/>
  <c r="G12678" i="2"/>
  <c r="H12678" i="2"/>
  <c r="J12678" i="2"/>
  <c r="K12678" i="2"/>
  <c r="L12678" i="2"/>
  <c r="C12679" i="2"/>
  <c r="D12679" i="2"/>
  <c r="F12679" i="2"/>
  <c r="G12679" i="2"/>
  <c r="H12679" i="2"/>
  <c r="J12679" i="2"/>
  <c r="K12679" i="2"/>
  <c r="L12679" i="2"/>
  <c r="C12680" i="2"/>
  <c r="D12680" i="2"/>
  <c r="F12680" i="2"/>
  <c r="G12680" i="2"/>
  <c r="H12680" i="2"/>
  <c r="J12680" i="2"/>
  <c r="K12680" i="2"/>
  <c r="L12680" i="2"/>
  <c r="C12681" i="2"/>
  <c r="D12681" i="2"/>
  <c r="F12681" i="2"/>
  <c r="G12681" i="2"/>
  <c r="H12681" i="2"/>
  <c r="J12681" i="2"/>
  <c r="K12681" i="2"/>
  <c r="L12681" i="2"/>
  <c r="C12682" i="2"/>
  <c r="D12682" i="2"/>
  <c r="F12682" i="2"/>
  <c r="G12682" i="2"/>
  <c r="H12682" i="2"/>
  <c r="J12682" i="2"/>
  <c r="K12682" i="2"/>
  <c r="L12682" i="2"/>
  <c r="C12683" i="2"/>
  <c r="D12683" i="2"/>
  <c r="F12683" i="2"/>
  <c r="G12683" i="2"/>
  <c r="H12683" i="2"/>
  <c r="J12683" i="2"/>
  <c r="K12683" i="2"/>
  <c r="L12683" i="2"/>
  <c r="C12684" i="2"/>
  <c r="D12684" i="2"/>
  <c r="F12684" i="2"/>
  <c r="G12684" i="2"/>
  <c r="H12684" i="2"/>
  <c r="J12684" i="2"/>
  <c r="K12684" i="2"/>
  <c r="L12684" i="2"/>
  <c r="C12685" i="2"/>
  <c r="D12685" i="2"/>
  <c r="F12685" i="2"/>
  <c r="G12685" i="2"/>
  <c r="H12685" i="2"/>
  <c r="J12685" i="2"/>
  <c r="K12685" i="2"/>
  <c r="L12685" i="2"/>
  <c r="C12686" i="2"/>
  <c r="D12686" i="2"/>
  <c r="F12686" i="2"/>
  <c r="G12686" i="2"/>
  <c r="H12686" i="2"/>
  <c r="J12686" i="2"/>
  <c r="K12686" i="2"/>
  <c r="L12686" i="2"/>
  <c r="C12687" i="2"/>
  <c r="D12687" i="2"/>
  <c r="F12687" i="2"/>
  <c r="G12687" i="2"/>
  <c r="H12687" i="2"/>
  <c r="J12687" i="2"/>
  <c r="K12687" i="2"/>
  <c r="L12687" i="2"/>
  <c r="C12688" i="2"/>
  <c r="D12688" i="2"/>
  <c r="F12688" i="2"/>
  <c r="G12688" i="2"/>
  <c r="H12688" i="2"/>
  <c r="J12688" i="2"/>
  <c r="K12688" i="2"/>
  <c r="L12688" i="2"/>
  <c r="C12689" i="2"/>
  <c r="D12689" i="2"/>
  <c r="F12689" i="2"/>
  <c r="G12689" i="2"/>
  <c r="H12689" i="2"/>
  <c r="J12689" i="2"/>
  <c r="K12689" i="2"/>
  <c r="L12689" i="2"/>
  <c r="C12690" i="2"/>
  <c r="D12690" i="2"/>
  <c r="F12690" i="2"/>
  <c r="G12690" i="2"/>
  <c r="H12690" i="2"/>
  <c r="J12690" i="2"/>
  <c r="K12690" i="2"/>
  <c r="L12690" i="2"/>
  <c r="C12691" i="2"/>
  <c r="D12691" i="2"/>
  <c r="F12691" i="2"/>
  <c r="G12691" i="2"/>
  <c r="H12691" i="2"/>
  <c r="J12691" i="2"/>
  <c r="K12691" i="2"/>
  <c r="L12691" i="2"/>
  <c r="C12692" i="2"/>
  <c r="D12692" i="2"/>
  <c r="F12692" i="2"/>
  <c r="G12692" i="2"/>
  <c r="H12692" i="2"/>
  <c r="J12692" i="2"/>
  <c r="K12692" i="2"/>
  <c r="L12692" i="2"/>
  <c r="C12693" i="2"/>
  <c r="D12693" i="2"/>
  <c r="F12693" i="2"/>
  <c r="G12693" i="2"/>
  <c r="H12693" i="2"/>
  <c r="J12693" i="2"/>
  <c r="K12693" i="2"/>
  <c r="L12693" i="2"/>
  <c r="C12694" i="2"/>
  <c r="D12694" i="2"/>
  <c r="F12694" i="2"/>
  <c r="G12694" i="2"/>
  <c r="H12694" i="2"/>
  <c r="J12694" i="2"/>
  <c r="K12694" i="2"/>
  <c r="L12694" i="2"/>
  <c r="C12695" i="2"/>
  <c r="D12695" i="2"/>
  <c r="F12695" i="2"/>
  <c r="G12695" i="2"/>
  <c r="H12695" i="2"/>
  <c r="J12695" i="2"/>
  <c r="K12695" i="2"/>
  <c r="L12695" i="2"/>
  <c r="C12696" i="2"/>
  <c r="D12696" i="2"/>
  <c r="F12696" i="2"/>
  <c r="G12696" i="2"/>
  <c r="H12696" i="2"/>
  <c r="J12696" i="2"/>
  <c r="K12696" i="2"/>
  <c r="L12696" i="2"/>
  <c r="C12697" i="2"/>
  <c r="D12697" i="2"/>
  <c r="F12697" i="2"/>
  <c r="G12697" i="2"/>
  <c r="H12697" i="2"/>
  <c r="J12697" i="2"/>
  <c r="K12697" i="2"/>
  <c r="L12697" i="2"/>
  <c r="C12698" i="2"/>
  <c r="D12698" i="2"/>
  <c r="F12698" i="2"/>
  <c r="G12698" i="2"/>
  <c r="H12698" i="2"/>
  <c r="J12698" i="2"/>
  <c r="K12698" i="2"/>
  <c r="L12698" i="2"/>
  <c r="C12699" i="2"/>
  <c r="D12699" i="2"/>
  <c r="F12699" i="2"/>
  <c r="G12699" i="2"/>
  <c r="H12699" i="2"/>
  <c r="J12699" i="2"/>
  <c r="K12699" i="2"/>
  <c r="L12699" i="2"/>
  <c r="C12700" i="2"/>
  <c r="D12700" i="2"/>
  <c r="F12700" i="2"/>
  <c r="G12700" i="2"/>
  <c r="H12700" i="2"/>
  <c r="J12700" i="2"/>
  <c r="K12700" i="2"/>
  <c r="L12700" i="2"/>
  <c r="C12701" i="2"/>
  <c r="D12701" i="2"/>
  <c r="F12701" i="2"/>
  <c r="G12701" i="2"/>
  <c r="H12701" i="2"/>
  <c r="J12701" i="2"/>
  <c r="K12701" i="2"/>
  <c r="L12701" i="2"/>
  <c r="C12702" i="2"/>
  <c r="D12702" i="2"/>
  <c r="F12702" i="2"/>
  <c r="G12702" i="2"/>
  <c r="H12702" i="2"/>
  <c r="J12702" i="2"/>
  <c r="K12702" i="2"/>
  <c r="L12702" i="2"/>
  <c r="C12703" i="2"/>
  <c r="D12703" i="2"/>
  <c r="F12703" i="2"/>
  <c r="G12703" i="2"/>
  <c r="H12703" i="2"/>
  <c r="J12703" i="2"/>
  <c r="K12703" i="2"/>
  <c r="L12703" i="2"/>
  <c r="C12704" i="2"/>
  <c r="D12704" i="2"/>
  <c r="F12704" i="2"/>
  <c r="G12704" i="2"/>
  <c r="H12704" i="2"/>
  <c r="J12704" i="2"/>
  <c r="K12704" i="2"/>
  <c r="L12704" i="2"/>
  <c r="C12705" i="2"/>
  <c r="D12705" i="2"/>
  <c r="F12705" i="2"/>
  <c r="G12705" i="2"/>
  <c r="H12705" i="2"/>
  <c r="J12705" i="2"/>
  <c r="K12705" i="2"/>
  <c r="L12705" i="2"/>
  <c r="C12706" i="2"/>
  <c r="D12706" i="2"/>
  <c r="F12706" i="2"/>
  <c r="G12706" i="2"/>
  <c r="H12706" i="2"/>
  <c r="J12706" i="2"/>
  <c r="K12706" i="2"/>
  <c r="L12706" i="2"/>
  <c r="C12707" i="2"/>
  <c r="D12707" i="2"/>
  <c r="F12707" i="2"/>
  <c r="G12707" i="2"/>
  <c r="H12707" i="2"/>
  <c r="J12707" i="2"/>
  <c r="K12707" i="2"/>
  <c r="L12707" i="2"/>
  <c r="C12708" i="2"/>
  <c r="D12708" i="2"/>
  <c r="F12708" i="2"/>
  <c r="G12708" i="2"/>
  <c r="H12708" i="2"/>
  <c r="J12708" i="2"/>
  <c r="K12708" i="2"/>
  <c r="L12708" i="2"/>
  <c r="C12709" i="2"/>
  <c r="D12709" i="2"/>
  <c r="F12709" i="2"/>
  <c r="G12709" i="2"/>
  <c r="H12709" i="2"/>
  <c r="J12709" i="2"/>
  <c r="K12709" i="2"/>
  <c r="L12709" i="2"/>
  <c r="C12710" i="2"/>
  <c r="D12710" i="2"/>
  <c r="F12710" i="2"/>
  <c r="G12710" i="2"/>
  <c r="H12710" i="2"/>
  <c r="J12710" i="2"/>
  <c r="K12710" i="2"/>
  <c r="L12710" i="2"/>
  <c r="C12711" i="2"/>
  <c r="D12711" i="2"/>
  <c r="F12711" i="2"/>
  <c r="G12711" i="2"/>
  <c r="H12711" i="2"/>
  <c r="J12711" i="2"/>
  <c r="K12711" i="2"/>
  <c r="L12711" i="2"/>
  <c r="C12712" i="2"/>
  <c r="D12712" i="2"/>
  <c r="F12712" i="2"/>
  <c r="G12712" i="2"/>
  <c r="H12712" i="2"/>
  <c r="J12712" i="2"/>
  <c r="K12712" i="2"/>
  <c r="L12712" i="2"/>
  <c r="C12713" i="2"/>
  <c r="D12713" i="2"/>
  <c r="F12713" i="2"/>
  <c r="G12713" i="2"/>
  <c r="H12713" i="2"/>
  <c r="J12713" i="2"/>
  <c r="K12713" i="2"/>
  <c r="L12713" i="2"/>
  <c r="C12714" i="2"/>
  <c r="D12714" i="2"/>
  <c r="F12714" i="2"/>
  <c r="G12714" i="2"/>
  <c r="H12714" i="2"/>
  <c r="J12714" i="2"/>
  <c r="K12714" i="2"/>
  <c r="L12714" i="2"/>
  <c r="C12715" i="2"/>
  <c r="D12715" i="2"/>
  <c r="F12715" i="2"/>
  <c r="G12715" i="2"/>
  <c r="H12715" i="2"/>
  <c r="J12715" i="2"/>
  <c r="K12715" i="2"/>
  <c r="L12715" i="2"/>
  <c r="C12716" i="2"/>
  <c r="D12716" i="2"/>
  <c r="F12716" i="2"/>
  <c r="G12716" i="2"/>
  <c r="H12716" i="2"/>
  <c r="J12716" i="2"/>
  <c r="K12716" i="2"/>
  <c r="L12716" i="2"/>
  <c r="C12717" i="2"/>
  <c r="D12717" i="2"/>
  <c r="F12717" i="2"/>
  <c r="G12717" i="2"/>
  <c r="H12717" i="2"/>
  <c r="J12717" i="2"/>
  <c r="K12717" i="2"/>
  <c r="L12717" i="2"/>
  <c r="C12718" i="2"/>
  <c r="D12718" i="2"/>
  <c r="F12718" i="2"/>
  <c r="G12718" i="2"/>
  <c r="H12718" i="2"/>
  <c r="J12718" i="2"/>
  <c r="K12718" i="2"/>
  <c r="L12718" i="2"/>
  <c r="C12719" i="2"/>
  <c r="D12719" i="2"/>
  <c r="F12719" i="2"/>
  <c r="G12719" i="2"/>
  <c r="H12719" i="2"/>
  <c r="J12719" i="2"/>
  <c r="K12719" i="2"/>
  <c r="L12719" i="2"/>
  <c r="C12720" i="2"/>
  <c r="D12720" i="2"/>
  <c r="F12720" i="2"/>
  <c r="G12720" i="2"/>
  <c r="H12720" i="2"/>
  <c r="J12720" i="2"/>
  <c r="K12720" i="2"/>
  <c r="L12720" i="2"/>
  <c r="C12721" i="2"/>
  <c r="D12721" i="2"/>
  <c r="F12721" i="2"/>
  <c r="G12721" i="2"/>
  <c r="H12721" i="2"/>
  <c r="J12721" i="2"/>
  <c r="K12721" i="2"/>
  <c r="L12721" i="2"/>
  <c r="C12722" i="2"/>
  <c r="D12722" i="2"/>
  <c r="F12722" i="2"/>
  <c r="G12722" i="2"/>
  <c r="H12722" i="2"/>
  <c r="J12722" i="2"/>
  <c r="K12722" i="2"/>
  <c r="L12722" i="2"/>
  <c r="C12723" i="2"/>
  <c r="D12723" i="2"/>
  <c r="F12723" i="2"/>
  <c r="G12723" i="2"/>
  <c r="H12723" i="2"/>
  <c r="J12723" i="2"/>
  <c r="K12723" i="2"/>
  <c r="L12723" i="2"/>
  <c r="C12724" i="2"/>
  <c r="D12724" i="2"/>
  <c r="F12724" i="2"/>
  <c r="G12724" i="2"/>
  <c r="H12724" i="2"/>
  <c r="J12724" i="2"/>
  <c r="K12724" i="2"/>
  <c r="L12724" i="2"/>
  <c r="C12725" i="2"/>
  <c r="D12725" i="2"/>
  <c r="F12725" i="2"/>
  <c r="G12725" i="2"/>
  <c r="H12725" i="2"/>
  <c r="J12725" i="2"/>
  <c r="K12725" i="2"/>
  <c r="L12725" i="2"/>
  <c r="C12726" i="2"/>
  <c r="D12726" i="2"/>
  <c r="F12726" i="2"/>
  <c r="G12726" i="2"/>
  <c r="H12726" i="2"/>
  <c r="J12726" i="2"/>
  <c r="K12726" i="2"/>
  <c r="L12726" i="2"/>
  <c r="C12727" i="2"/>
  <c r="D12727" i="2"/>
  <c r="F12727" i="2"/>
  <c r="G12727" i="2"/>
  <c r="H12727" i="2"/>
  <c r="J12727" i="2"/>
  <c r="K12727" i="2"/>
  <c r="L12727" i="2"/>
  <c r="C12728" i="2"/>
  <c r="D12728" i="2"/>
  <c r="F12728" i="2"/>
  <c r="G12728" i="2"/>
  <c r="H12728" i="2"/>
  <c r="J12728" i="2"/>
  <c r="K12728" i="2"/>
  <c r="L12728" i="2"/>
  <c r="C12729" i="2"/>
  <c r="D12729" i="2"/>
  <c r="F12729" i="2"/>
  <c r="G12729" i="2"/>
  <c r="H12729" i="2"/>
  <c r="J12729" i="2"/>
  <c r="K12729" i="2"/>
  <c r="L12729" i="2"/>
  <c r="C12730" i="2"/>
  <c r="D12730" i="2"/>
  <c r="F12730" i="2"/>
  <c r="G12730" i="2"/>
  <c r="H12730" i="2"/>
  <c r="J12730" i="2"/>
  <c r="K12730" i="2"/>
  <c r="L12730" i="2"/>
  <c r="C12731" i="2"/>
  <c r="D12731" i="2"/>
  <c r="F12731" i="2"/>
  <c r="G12731" i="2"/>
  <c r="H12731" i="2"/>
  <c r="J12731" i="2"/>
  <c r="K12731" i="2"/>
  <c r="L12731" i="2"/>
  <c r="C12732" i="2"/>
  <c r="D12732" i="2"/>
  <c r="F12732" i="2"/>
  <c r="G12732" i="2"/>
  <c r="H12732" i="2"/>
  <c r="J12732" i="2"/>
  <c r="K12732" i="2"/>
  <c r="L12732" i="2"/>
  <c r="C12733" i="2"/>
  <c r="D12733" i="2"/>
  <c r="F12733" i="2"/>
  <c r="G12733" i="2"/>
  <c r="H12733" i="2"/>
  <c r="J12733" i="2"/>
  <c r="K12733" i="2"/>
  <c r="L12733" i="2"/>
  <c r="C12734" i="2"/>
  <c r="D12734" i="2"/>
  <c r="F12734" i="2"/>
  <c r="G12734" i="2"/>
  <c r="H12734" i="2"/>
  <c r="J12734" i="2"/>
  <c r="K12734" i="2"/>
  <c r="L12734" i="2"/>
  <c r="C12735" i="2"/>
  <c r="D12735" i="2"/>
  <c r="F12735" i="2"/>
  <c r="G12735" i="2"/>
  <c r="H12735" i="2"/>
  <c r="J12735" i="2"/>
  <c r="K12735" i="2"/>
  <c r="L12735" i="2"/>
  <c r="C12736" i="2"/>
  <c r="D12736" i="2"/>
  <c r="F12736" i="2"/>
  <c r="G12736" i="2"/>
  <c r="H12736" i="2"/>
  <c r="J12736" i="2"/>
  <c r="K12736" i="2"/>
  <c r="L12736" i="2"/>
  <c r="C12737" i="2"/>
  <c r="D12737" i="2"/>
  <c r="F12737" i="2"/>
  <c r="G12737" i="2"/>
  <c r="H12737" i="2"/>
  <c r="J12737" i="2"/>
  <c r="K12737" i="2"/>
  <c r="L12737" i="2"/>
  <c r="C12738" i="2"/>
  <c r="D12738" i="2"/>
  <c r="F12738" i="2"/>
  <c r="G12738" i="2"/>
  <c r="H12738" i="2"/>
  <c r="J12738" i="2"/>
  <c r="K12738" i="2"/>
  <c r="L12738" i="2"/>
  <c r="C12739" i="2"/>
  <c r="D12739" i="2"/>
  <c r="F12739" i="2"/>
  <c r="G12739" i="2"/>
  <c r="H12739" i="2"/>
  <c r="J12739" i="2"/>
  <c r="K12739" i="2"/>
  <c r="L12739" i="2"/>
  <c r="C12740" i="2"/>
  <c r="D12740" i="2"/>
  <c r="F12740" i="2"/>
  <c r="G12740" i="2"/>
  <c r="H12740" i="2"/>
  <c r="J12740" i="2"/>
  <c r="K12740" i="2"/>
  <c r="L12740" i="2"/>
  <c r="C12741" i="2"/>
  <c r="D12741" i="2"/>
  <c r="F12741" i="2"/>
  <c r="G12741" i="2"/>
  <c r="H12741" i="2"/>
  <c r="J12741" i="2"/>
  <c r="K12741" i="2"/>
  <c r="L12741" i="2"/>
  <c r="C12742" i="2"/>
  <c r="D12742" i="2"/>
  <c r="F12742" i="2"/>
  <c r="G12742" i="2"/>
  <c r="H12742" i="2"/>
  <c r="J12742" i="2"/>
  <c r="K12742" i="2"/>
  <c r="L12742" i="2"/>
  <c r="C12743" i="2"/>
  <c r="D12743" i="2"/>
  <c r="F12743" i="2"/>
  <c r="G12743" i="2"/>
  <c r="H12743" i="2"/>
  <c r="J12743" i="2"/>
  <c r="K12743" i="2"/>
  <c r="L12743" i="2"/>
  <c r="C12744" i="2"/>
  <c r="D12744" i="2"/>
  <c r="F12744" i="2"/>
  <c r="G12744" i="2"/>
  <c r="H12744" i="2"/>
  <c r="J12744" i="2"/>
  <c r="K12744" i="2"/>
  <c r="L12744" i="2"/>
  <c r="C12745" i="2"/>
  <c r="D12745" i="2"/>
  <c r="F12745" i="2"/>
  <c r="G12745" i="2"/>
  <c r="H12745" i="2"/>
  <c r="J12745" i="2"/>
  <c r="K12745" i="2"/>
  <c r="L12745" i="2"/>
  <c r="C12746" i="2"/>
  <c r="D12746" i="2"/>
  <c r="F12746" i="2"/>
  <c r="G12746" i="2"/>
  <c r="H12746" i="2"/>
  <c r="J12746" i="2"/>
  <c r="K12746" i="2"/>
  <c r="L12746" i="2"/>
  <c r="C12747" i="2"/>
  <c r="D12747" i="2"/>
  <c r="F12747" i="2"/>
  <c r="G12747" i="2"/>
  <c r="H12747" i="2"/>
  <c r="J12747" i="2"/>
  <c r="K12747" i="2"/>
  <c r="L12747" i="2"/>
  <c r="C12748" i="2"/>
  <c r="D12748" i="2"/>
  <c r="F12748" i="2"/>
  <c r="G12748" i="2"/>
  <c r="H12748" i="2"/>
  <c r="J12748" i="2"/>
  <c r="K12748" i="2"/>
  <c r="L12748" i="2"/>
  <c r="C12749" i="2"/>
  <c r="D12749" i="2"/>
  <c r="F12749" i="2"/>
  <c r="G12749" i="2"/>
  <c r="H12749" i="2"/>
  <c r="J12749" i="2"/>
  <c r="K12749" i="2"/>
  <c r="L12749" i="2"/>
  <c r="C12750" i="2"/>
  <c r="D12750" i="2"/>
  <c r="E12750" i="2"/>
  <c r="F12750" i="2"/>
  <c r="G12750" i="2"/>
  <c r="H12750" i="2"/>
  <c r="J12750" i="2"/>
  <c r="K12750" i="2"/>
  <c r="L12750" i="2"/>
  <c r="C12751" i="2"/>
  <c r="D12751" i="2"/>
  <c r="F12751" i="2"/>
  <c r="G12751" i="2"/>
  <c r="H12751" i="2"/>
  <c r="J12751" i="2"/>
  <c r="K12751" i="2"/>
  <c r="L12751" i="2"/>
  <c r="C12752" i="2"/>
  <c r="D12752" i="2"/>
  <c r="F12752" i="2"/>
  <c r="G12752" i="2"/>
  <c r="H12752" i="2"/>
  <c r="J12752" i="2"/>
  <c r="K12752" i="2"/>
  <c r="L12752" i="2"/>
  <c r="C12753" i="2"/>
  <c r="D12753" i="2"/>
  <c r="F12753" i="2"/>
  <c r="G12753" i="2"/>
  <c r="H12753" i="2"/>
  <c r="J12753" i="2"/>
  <c r="K12753" i="2"/>
  <c r="L12753" i="2"/>
  <c r="C12754" i="2"/>
  <c r="D12754" i="2"/>
  <c r="F12754" i="2"/>
  <c r="G12754" i="2"/>
  <c r="H12754" i="2"/>
  <c r="J12754" i="2"/>
  <c r="K12754" i="2"/>
  <c r="L12754" i="2"/>
  <c r="C12755" i="2"/>
  <c r="D12755" i="2"/>
  <c r="F12755" i="2"/>
  <c r="G12755" i="2"/>
  <c r="H12755" i="2"/>
  <c r="J12755" i="2"/>
  <c r="K12755" i="2"/>
  <c r="L12755" i="2"/>
  <c r="C12756" i="2"/>
  <c r="D12756" i="2"/>
  <c r="F12756" i="2"/>
  <c r="G12756" i="2"/>
  <c r="H12756" i="2"/>
  <c r="J12756" i="2"/>
  <c r="K12756" i="2"/>
  <c r="L12756" i="2"/>
  <c r="C12757" i="2"/>
  <c r="D12757" i="2"/>
  <c r="F12757" i="2"/>
  <c r="G12757" i="2"/>
  <c r="H12757" i="2"/>
  <c r="J12757" i="2"/>
  <c r="K12757" i="2"/>
  <c r="L12757" i="2"/>
  <c r="C12758" i="2"/>
  <c r="D12758" i="2"/>
  <c r="F12758" i="2"/>
  <c r="G12758" i="2"/>
  <c r="H12758" i="2"/>
  <c r="J12758" i="2"/>
  <c r="K12758" i="2"/>
  <c r="L12758" i="2"/>
  <c r="C12759" i="2"/>
  <c r="D12759" i="2"/>
  <c r="F12759" i="2"/>
  <c r="G12759" i="2"/>
  <c r="H12759" i="2"/>
  <c r="J12759" i="2"/>
  <c r="K12759" i="2"/>
  <c r="L12759" i="2"/>
  <c r="C12760" i="2"/>
  <c r="D12760" i="2"/>
  <c r="F12760" i="2"/>
  <c r="G12760" i="2"/>
  <c r="H12760" i="2"/>
  <c r="J12760" i="2"/>
  <c r="K12760" i="2"/>
  <c r="L12760" i="2"/>
  <c r="C12761" i="2"/>
  <c r="D12761" i="2"/>
  <c r="F12761" i="2"/>
  <c r="G12761" i="2"/>
  <c r="H12761" i="2"/>
  <c r="J12761" i="2"/>
  <c r="K12761" i="2"/>
  <c r="L12761" i="2"/>
  <c r="C12762" i="2"/>
  <c r="D12762" i="2"/>
  <c r="F12762" i="2"/>
  <c r="G12762" i="2"/>
  <c r="H12762" i="2"/>
  <c r="J12762" i="2"/>
  <c r="K12762" i="2"/>
  <c r="L12762" i="2"/>
  <c r="C12763" i="2"/>
  <c r="D12763" i="2"/>
  <c r="F12763" i="2"/>
  <c r="G12763" i="2"/>
  <c r="H12763" i="2"/>
  <c r="J12763" i="2"/>
  <c r="K12763" i="2"/>
  <c r="L12763" i="2"/>
  <c r="C12764" i="2"/>
  <c r="D12764" i="2"/>
  <c r="F12764" i="2"/>
  <c r="G12764" i="2"/>
  <c r="H12764" i="2"/>
  <c r="J12764" i="2"/>
  <c r="K12764" i="2"/>
  <c r="L12764" i="2"/>
  <c r="C12765" i="2"/>
  <c r="D12765" i="2"/>
  <c r="F12765" i="2"/>
  <c r="G12765" i="2"/>
  <c r="H12765" i="2"/>
  <c r="J12765" i="2"/>
  <c r="K12765" i="2"/>
  <c r="L12765" i="2"/>
  <c r="C12766" i="2"/>
  <c r="D12766" i="2"/>
  <c r="F12766" i="2"/>
  <c r="G12766" i="2"/>
  <c r="H12766" i="2"/>
  <c r="J12766" i="2"/>
  <c r="K12766" i="2"/>
  <c r="L12766" i="2"/>
  <c r="C12767" i="2"/>
  <c r="D12767" i="2"/>
  <c r="F12767" i="2"/>
  <c r="G12767" i="2"/>
  <c r="H12767" i="2"/>
  <c r="J12767" i="2"/>
  <c r="K12767" i="2"/>
  <c r="L12767" i="2"/>
  <c r="C12768" i="2"/>
  <c r="D12768" i="2"/>
  <c r="F12768" i="2"/>
  <c r="G12768" i="2"/>
  <c r="H12768" i="2"/>
  <c r="J12768" i="2"/>
  <c r="K12768" i="2"/>
  <c r="L12768" i="2"/>
  <c r="C12769" i="2"/>
  <c r="D12769" i="2"/>
  <c r="F12769" i="2"/>
  <c r="G12769" i="2"/>
  <c r="H12769" i="2"/>
  <c r="J12769" i="2"/>
  <c r="K12769" i="2"/>
  <c r="L12769" i="2"/>
  <c r="C12770" i="2"/>
  <c r="D12770" i="2"/>
  <c r="F12770" i="2"/>
  <c r="G12770" i="2"/>
  <c r="H12770" i="2"/>
  <c r="J12770" i="2"/>
  <c r="K12770" i="2"/>
  <c r="L12770" i="2"/>
  <c r="C12771" i="2"/>
  <c r="D12771" i="2"/>
  <c r="F12771" i="2"/>
  <c r="G12771" i="2"/>
  <c r="H12771" i="2"/>
  <c r="J12771" i="2"/>
  <c r="K12771" i="2"/>
  <c r="L12771" i="2"/>
  <c r="C12772" i="2"/>
  <c r="D12772" i="2"/>
  <c r="F12772" i="2"/>
  <c r="G12772" i="2"/>
  <c r="H12772" i="2"/>
  <c r="J12772" i="2"/>
  <c r="K12772" i="2"/>
  <c r="L12772" i="2"/>
  <c r="C12773" i="2"/>
  <c r="D12773" i="2"/>
  <c r="F12773" i="2"/>
  <c r="G12773" i="2"/>
  <c r="H12773" i="2"/>
  <c r="J12773" i="2"/>
  <c r="K12773" i="2"/>
  <c r="L12773" i="2"/>
  <c r="C12774" i="2"/>
  <c r="D12774" i="2"/>
  <c r="F12774" i="2"/>
  <c r="G12774" i="2"/>
  <c r="H12774" i="2"/>
  <c r="J12774" i="2"/>
  <c r="K12774" i="2"/>
  <c r="L12774" i="2"/>
  <c r="C12775" i="2"/>
  <c r="D12775" i="2"/>
  <c r="F12775" i="2"/>
  <c r="G12775" i="2"/>
  <c r="H12775" i="2"/>
  <c r="J12775" i="2"/>
  <c r="K12775" i="2"/>
  <c r="L12775" i="2"/>
  <c r="C12776" i="2"/>
  <c r="D12776" i="2"/>
  <c r="F12776" i="2"/>
  <c r="G12776" i="2"/>
  <c r="H12776" i="2"/>
  <c r="J12776" i="2"/>
  <c r="K12776" i="2"/>
  <c r="L12776" i="2"/>
  <c r="C12777" i="2"/>
  <c r="D12777" i="2"/>
  <c r="F12777" i="2"/>
  <c r="G12777" i="2"/>
  <c r="H12777" i="2"/>
  <c r="J12777" i="2"/>
  <c r="K12777" i="2"/>
  <c r="L12777" i="2"/>
  <c r="C12778" i="2"/>
  <c r="D12778" i="2"/>
  <c r="F12778" i="2"/>
  <c r="G12778" i="2"/>
  <c r="H12778" i="2"/>
  <c r="J12778" i="2"/>
  <c r="K12778" i="2"/>
  <c r="L12778" i="2"/>
  <c r="C12779" i="2"/>
  <c r="D12779" i="2"/>
  <c r="F12779" i="2"/>
  <c r="G12779" i="2"/>
  <c r="H12779" i="2"/>
  <c r="J12779" i="2"/>
  <c r="K12779" i="2"/>
  <c r="L12779" i="2"/>
  <c r="C12780" i="2"/>
  <c r="D12780" i="2"/>
  <c r="F12780" i="2"/>
  <c r="G12780" i="2"/>
  <c r="H12780" i="2"/>
  <c r="J12780" i="2"/>
  <c r="K12780" i="2"/>
  <c r="L12780" i="2"/>
  <c r="C12781" i="2"/>
  <c r="D12781" i="2"/>
  <c r="F12781" i="2"/>
  <c r="G12781" i="2"/>
  <c r="H12781" i="2"/>
  <c r="J12781" i="2"/>
  <c r="K12781" i="2"/>
  <c r="L12781" i="2"/>
  <c r="C12782" i="2"/>
  <c r="D12782" i="2"/>
  <c r="F12782" i="2"/>
  <c r="G12782" i="2"/>
  <c r="H12782" i="2"/>
  <c r="J12782" i="2"/>
  <c r="K12782" i="2"/>
  <c r="L12782" i="2"/>
  <c r="C12783" i="2"/>
  <c r="D12783" i="2"/>
  <c r="F12783" i="2"/>
  <c r="G12783" i="2"/>
  <c r="H12783" i="2"/>
  <c r="J12783" i="2"/>
  <c r="K12783" i="2"/>
  <c r="L12783" i="2"/>
  <c r="C12784" i="2"/>
  <c r="D12784" i="2"/>
  <c r="F12784" i="2"/>
  <c r="G12784" i="2"/>
  <c r="H12784" i="2"/>
  <c r="J12784" i="2"/>
  <c r="K12784" i="2"/>
  <c r="L12784" i="2"/>
  <c r="C12785" i="2"/>
  <c r="D12785" i="2"/>
  <c r="F12785" i="2"/>
  <c r="G12785" i="2"/>
  <c r="H12785" i="2"/>
  <c r="J12785" i="2"/>
  <c r="K12785" i="2"/>
  <c r="L12785" i="2"/>
  <c r="C12786" i="2"/>
  <c r="D12786" i="2"/>
  <c r="F12786" i="2"/>
  <c r="G12786" i="2"/>
  <c r="H12786" i="2"/>
  <c r="J12786" i="2"/>
  <c r="K12786" i="2"/>
  <c r="L12786" i="2"/>
  <c r="C12787" i="2"/>
  <c r="D12787" i="2"/>
  <c r="F12787" i="2"/>
  <c r="G12787" i="2"/>
  <c r="H12787" i="2"/>
  <c r="J12787" i="2"/>
  <c r="K12787" i="2"/>
  <c r="L12787" i="2"/>
  <c r="C12788" i="2"/>
  <c r="D12788" i="2"/>
  <c r="F12788" i="2"/>
  <c r="G12788" i="2"/>
  <c r="H12788" i="2"/>
  <c r="J12788" i="2"/>
  <c r="K12788" i="2"/>
  <c r="L12788" i="2"/>
  <c r="C12789" i="2"/>
  <c r="D12789" i="2"/>
  <c r="F12789" i="2"/>
  <c r="G12789" i="2"/>
  <c r="H12789" i="2"/>
  <c r="J12789" i="2"/>
  <c r="K12789" i="2"/>
  <c r="L12789" i="2"/>
  <c r="C12790" i="2"/>
  <c r="D12790" i="2"/>
  <c r="F12790" i="2"/>
  <c r="G12790" i="2"/>
  <c r="H12790" i="2"/>
  <c r="J12790" i="2"/>
  <c r="K12790" i="2"/>
  <c r="L12790" i="2"/>
  <c r="C12791" i="2"/>
  <c r="D12791" i="2"/>
  <c r="F12791" i="2"/>
  <c r="G12791" i="2"/>
  <c r="H12791" i="2"/>
  <c r="J12791" i="2"/>
  <c r="K12791" i="2"/>
  <c r="L12791" i="2"/>
  <c r="C12792" i="2"/>
  <c r="D12792" i="2"/>
  <c r="F12792" i="2"/>
  <c r="G12792" i="2"/>
  <c r="H12792" i="2"/>
  <c r="J12792" i="2"/>
  <c r="K12792" i="2"/>
  <c r="L12792" i="2"/>
  <c r="C12793" i="2"/>
  <c r="D12793" i="2"/>
  <c r="F12793" i="2"/>
  <c r="G12793" i="2"/>
  <c r="H12793" i="2"/>
  <c r="J12793" i="2"/>
  <c r="K12793" i="2"/>
  <c r="L12793" i="2"/>
  <c r="C12794" i="2"/>
  <c r="D12794" i="2"/>
  <c r="F12794" i="2"/>
  <c r="G12794" i="2"/>
  <c r="H12794" i="2"/>
  <c r="J12794" i="2"/>
  <c r="K12794" i="2"/>
  <c r="L12794" i="2"/>
  <c r="C12795" i="2"/>
  <c r="D12795" i="2"/>
  <c r="F12795" i="2"/>
  <c r="G12795" i="2"/>
  <c r="H12795" i="2"/>
  <c r="J12795" i="2"/>
  <c r="K12795" i="2"/>
  <c r="L12795" i="2"/>
  <c r="C12796" i="2"/>
  <c r="D12796" i="2"/>
  <c r="F12796" i="2"/>
  <c r="G12796" i="2"/>
  <c r="H12796" i="2"/>
  <c r="J12796" i="2"/>
  <c r="K12796" i="2"/>
  <c r="L12796" i="2"/>
  <c r="C12797" i="2"/>
  <c r="D12797" i="2"/>
  <c r="F12797" i="2"/>
  <c r="G12797" i="2"/>
  <c r="H12797" i="2"/>
  <c r="J12797" i="2"/>
  <c r="K12797" i="2"/>
  <c r="L12797" i="2"/>
  <c r="C12798" i="2"/>
  <c r="D12798" i="2"/>
  <c r="F12798" i="2"/>
  <c r="G12798" i="2"/>
  <c r="H12798" i="2"/>
  <c r="J12798" i="2"/>
  <c r="K12798" i="2"/>
  <c r="L12798" i="2"/>
  <c r="C12799" i="2"/>
  <c r="D12799" i="2"/>
  <c r="F12799" i="2"/>
  <c r="G12799" i="2"/>
  <c r="H12799" i="2"/>
  <c r="J12799" i="2"/>
  <c r="K12799" i="2"/>
  <c r="L12799" i="2"/>
  <c r="C12800" i="2"/>
  <c r="D12800" i="2"/>
  <c r="F12800" i="2"/>
  <c r="G12800" i="2"/>
  <c r="H12800" i="2"/>
  <c r="J12800" i="2"/>
  <c r="K12800" i="2"/>
  <c r="L12800" i="2"/>
  <c r="C12801" i="2"/>
  <c r="D12801" i="2"/>
  <c r="F12801" i="2"/>
  <c r="G12801" i="2"/>
  <c r="H12801" i="2"/>
  <c r="J12801" i="2"/>
  <c r="K12801" i="2"/>
  <c r="L12801" i="2"/>
  <c r="C12802" i="2"/>
  <c r="D12802" i="2"/>
  <c r="F12802" i="2"/>
  <c r="G12802" i="2"/>
  <c r="H12802" i="2"/>
  <c r="J12802" i="2"/>
  <c r="K12802" i="2"/>
  <c r="L12802" i="2"/>
  <c r="C12803" i="2"/>
  <c r="D12803" i="2"/>
  <c r="F12803" i="2"/>
  <c r="G12803" i="2"/>
  <c r="H12803" i="2"/>
  <c r="J12803" i="2"/>
  <c r="K12803" i="2"/>
  <c r="L12803" i="2"/>
  <c r="C12804" i="2"/>
  <c r="D12804" i="2"/>
  <c r="F12804" i="2"/>
  <c r="G12804" i="2"/>
  <c r="H12804" i="2"/>
  <c r="J12804" i="2"/>
  <c r="K12804" i="2"/>
  <c r="L12804" i="2"/>
  <c r="C12805" i="2"/>
  <c r="D12805" i="2"/>
  <c r="F12805" i="2"/>
  <c r="G12805" i="2"/>
  <c r="H12805" i="2"/>
  <c r="J12805" i="2"/>
  <c r="K12805" i="2"/>
  <c r="L12805" i="2"/>
  <c r="C12806" i="2"/>
  <c r="D12806" i="2"/>
  <c r="F12806" i="2"/>
  <c r="G12806" i="2"/>
  <c r="H12806" i="2"/>
  <c r="J12806" i="2"/>
  <c r="K12806" i="2"/>
  <c r="L12806" i="2"/>
  <c r="C12807" i="2"/>
  <c r="D12807" i="2"/>
  <c r="F12807" i="2"/>
  <c r="G12807" i="2"/>
  <c r="H12807" i="2"/>
  <c r="J12807" i="2"/>
  <c r="K12807" i="2"/>
  <c r="L12807" i="2"/>
  <c r="C12808" i="2"/>
  <c r="D12808" i="2"/>
  <c r="F12808" i="2"/>
  <c r="G12808" i="2"/>
  <c r="H12808" i="2"/>
  <c r="J12808" i="2"/>
  <c r="K12808" i="2"/>
  <c r="L12808" i="2"/>
  <c r="C12809" i="2"/>
  <c r="D12809" i="2"/>
  <c r="F12809" i="2"/>
  <c r="G12809" i="2"/>
  <c r="H12809" i="2"/>
  <c r="J12809" i="2"/>
  <c r="K12809" i="2"/>
  <c r="L12809" i="2"/>
  <c r="C12810" i="2"/>
  <c r="D12810" i="2"/>
  <c r="F12810" i="2"/>
  <c r="G12810" i="2"/>
  <c r="H12810" i="2"/>
  <c r="J12810" i="2"/>
  <c r="K12810" i="2"/>
  <c r="L12810" i="2"/>
  <c r="C12811" i="2"/>
  <c r="D12811" i="2"/>
  <c r="F12811" i="2"/>
  <c r="G12811" i="2"/>
  <c r="H12811" i="2"/>
  <c r="J12811" i="2"/>
  <c r="K12811" i="2"/>
  <c r="L12811" i="2"/>
  <c r="C12812" i="2"/>
  <c r="D12812" i="2"/>
  <c r="F12812" i="2"/>
  <c r="G12812" i="2"/>
  <c r="H12812" i="2"/>
  <c r="J12812" i="2"/>
  <c r="K12812" i="2"/>
  <c r="L12812" i="2"/>
  <c r="C12813" i="2"/>
  <c r="D12813" i="2"/>
  <c r="F12813" i="2"/>
  <c r="G12813" i="2"/>
  <c r="H12813" i="2"/>
  <c r="J12813" i="2"/>
  <c r="K12813" i="2"/>
  <c r="L12813" i="2"/>
  <c r="C12814" i="2"/>
  <c r="D12814" i="2"/>
  <c r="F12814" i="2"/>
  <c r="G12814" i="2"/>
  <c r="H12814" i="2"/>
  <c r="J12814" i="2"/>
  <c r="K12814" i="2"/>
  <c r="L12814" i="2"/>
  <c r="C12815" i="2"/>
  <c r="D12815" i="2"/>
  <c r="F12815" i="2"/>
  <c r="G12815" i="2"/>
  <c r="H12815" i="2"/>
  <c r="J12815" i="2"/>
  <c r="K12815" i="2"/>
  <c r="L12815" i="2"/>
  <c r="C12816" i="2"/>
  <c r="D12816" i="2"/>
  <c r="F12816" i="2"/>
  <c r="G12816" i="2"/>
  <c r="H12816" i="2"/>
  <c r="J12816" i="2"/>
  <c r="K12816" i="2"/>
  <c r="L12816" i="2"/>
  <c r="C12817" i="2"/>
  <c r="D12817" i="2"/>
  <c r="F12817" i="2"/>
  <c r="G12817" i="2"/>
  <c r="H12817" i="2"/>
  <c r="J12817" i="2"/>
  <c r="K12817" i="2"/>
  <c r="L12817" i="2"/>
  <c r="C12818" i="2"/>
  <c r="D12818" i="2"/>
  <c r="F12818" i="2"/>
  <c r="G12818" i="2"/>
  <c r="H12818" i="2"/>
  <c r="J12818" i="2"/>
  <c r="K12818" i="2"/>
  <c r="L12818" i="2"/>
  <c r="C12819" i="2"/>
  <c r="D12819" i="2"/>
  <c r="F12819" i="2"/>
  <c r="G12819" i="2"/>
  <c r="H12819" i="2"/>
  <c r="J12819" i="2"/>
  <c r="K12819" i="2"/>
  <c r="L12819" i="2"/>
  <c r="C12820" i="2"/>
  <c r="D12820" i="2"/>
  <c r="F12820" i="2"/>
  <c r="G12820" i="2"/>
  <c r="H12820" i="2"/>
  <c r="J12820" i="2"/>
  <c r="K12820" i="2"/>
  <c r="L12820" i="2"/>
  <c r="C12821" i="2"/>
  <c r="D12821" i="2"/>
  <c r="F12821" i="2"/>
  <c r="G12821" i="2"/>
  <c r="H12821" i="2"/>
  <c r="J12821" i="2"/>
  <c r="K12821" i="2"/>
  <c r="L12821" i="2"/>
  <c r="C12822" i="2"/>
  <c r="D12822" i="2"/>
  <c r="F12822" i="2"/>
  <c r="G12822" i="2"/>
  <c r="H12822" i="2"/>
  <c r="J12822" i="2"/>
  <c r="K12822" i="2"/>
  <c r="L12822" i="2"/>
  <c r="C12823" i="2"/>
  <c r="D12823" i="2"/>
  <c r="F12823" i="2"/>
  <c r="G12823" i="2"/>
  <c r="H12823" i="2"/>
  <c r="J12823" i="2"/>
  <c r="K12823" i="2"/>
  <c r="L12823" i="2"/>
  <c r="C12824" i="2"/>
  <c r="D12824" i="2"/>
  <c r="F12824" i="2"/>
  <c r="G12824" i="2"/>
  <c r="H12824" i="2"/>
  <c r="J12824" i="2"/>
  <c r="K12824" i="2"/>
  <c r="L12824" i="2"/>
  <c r="C12825" i="2"/>
  <c r="D12825" i="2"/>
  <c r="F12825" i="2"/>
  <c r="G12825" i="2"/>
  <c r="H12825" i="2"/>
  <c r="J12825" i="2"/>
  <c r="K12825" i="2"/>
  <c r="L12825" i="2"/>
  <c r="C12826" i="2"/>
  <c r="D12826" i="2"/>
  <c r="F12826" i="2"/>
  <c r="G12826" i="2"/>
  <c r="H12826" i="2"/>
  <c r="J12826" i="2"/>
  <c r="K12826" i="2"/>
  <c r="L12826" i="2"/>
  <c r="C12827" i="2"/>
  <c r="D12827" i="2"/>
  <c r="F12827" i="2"/>
  <c r="G12827" i="2"/>
  <c r="H12827" i="2"/>
  <c r="J12827" i="2"/>
  <c r="K12827" i="2"/>
  <c r="L12827" i="2"/>
  <c r="C12828" i="2"/>
  <c r="D12828" i="2"/>
  <c r="F12828" i="2"/>
  <c r="G12828" i="2"/>
  <c r="H12828" i="2"/>
  <c r="J12828" i="2"/>
  <c r="K12828" i="2"/>
  <c r="L12828" i="2"/>
  <c r="C12829" i="2"/>
  <c r="D12829" i="2"/>
  <c r="F12829" i="2"/>
  <c r="G12829" i="2"/>
  <c r="H12829" i="2"/>
  <c r="J12829" i="2"/>
  <c r="K12829" i="2"/>
  <c r="L12829" i="2"/>
  <c r="C12830" i="2"/>
  <c r="D12830" i="2"/>
  <c r="F12830" i="2"/>
  <c r="G12830" i="2"/>
  <c r="H12830" i="2"/>
  <c r="J12830" i="2"/>
  <c r="K12830" i="2"/>
  <c r="L12830" i="2"/>
  <c r="C12831" i="2"/>
  <c r="D12831" i="2"/>
  <c r="F12831" i="2"/>
  <c r="G12831" i="2"/>
  <c r="H12831" i="2"/>
  <c r="J12831" i="2"/>
  <c r="K12831" i="2"/>
  <c r="L12831" i="2"/>
  <c r="C12832" i="2"/>
  <c r="D12832" i="2"/>
  <c r="F12832" i="2"/>
  <c r="G12832" i="2"/>
  <c r="H12832" i="2"/>
  <c r="J12832" i="2"/>
  <c r="K12832" i="2"/>
  <c r="L12832" i="2"/>
  <c r="C12833" i="2"/>
  <c r="D12833" i="2"/>
  <c r="F12833" i="2"/>
  <c r="G12833" i="2"/>
  <c r="H12833" i="2"/>
  <c r="J12833" i="2"/>
  <c r="K12833" i="2"/>
  <c r="L12833" i="2"/>
  <c r="C12834" i="2"/>
  <c r="D12834" i="2"/>
  <c r="F12834" i="2"/>
  <c r="G12834" i="2"/>
  <c r="H12834" i="2"/>
  <c r="J12834" i="2"/>
  <c r="K12834" i="2"/>
  <c r="L12834" i="2"/>
  <c r="C12835" i="2"/>
  <c r="D12835" i="2"/>
  <c r="F12835" i="2"/>
  <c r="G12835" i="2"/>
  <c r="H12835" i="2"/>
  <c r="J12835" i="2"/>
  <c r="K12835" i="2"/>
  <c r="L12835" i="2"/>
  <c r="C12836" i="2"/>
  <c r="D12836" i="2"/>
  <c r="F12836" i="2"/>
  <c r="G12836" i="2"/>
  <c r="H12836" i="2"/>
  <c r="J12836" i="2"/>
  <c r="K12836" i="2"/>
  <c r="L12836" i="2"/>
  <c r="C12837" i="2"/>
  <c r="D12837" i="2"/>
  <c r="F12837" i="2"/>
  <c r="G12837" i="2"/>
  <c r="H12837" i="2"/>
  <c r="J12837" i="2"/>
  <c r="K12837" i="2"/>
  <c r="L12837" i="2"/>
  <c r="C12838" i="2"/>
  <c r="D12838" i="2"/>
  <c r="F12838" i="2"/>
  <c r="G12838" i="2"/>
  <c r="H12838" i="2"/>
  <c r="J12838" i="2"/>
  <c r="K12838" i="2"/>
  <c r="L12838" i="2"/>
  <c r="C12839" i="2"/>
  <c r="D12839" i="2"/>
  <c r="F12839" i="2"/>
  <c r="G12839" i="2"/>
  <c r="H12839" i="2"/>
  <c r="J12839" i="2"/>
  <c r="K12839" i="2"/>
  <c r="L12839" i="2"/>
  <c r="C12840" i="2"/>
  <c r="D12840" i="2"/>
  <c r="F12840" i="2"/>
  <c r="G12840" i="2"/>
  <c r="H12840" i="2"/>
  <c r="J12840" i="2"/>
  <c r="K12840" i="2"/>
  <c r="L12840" i="2"/>
  <c r="C12841" i="2"/>
  <c r="D12841" i="2"/>
  <c r="F12841" i="2"/>
  <c r="G12841" i="2"/>
  <c r="H12841" i="2"/>
  <c r="J12841" i="2"/>
  <c r="K12841" i="2"/>
  <c r="L12841" i="2"/>
  <c r="C12842" i="2"/>
  <c r="D12842" i="2"/>
  <c r="F12842" i="2"/>
  <c r="G12842" i="2"/>
  <c r="H12842" i="2"/>
  <c r="J12842" i="2"/>
  <c r="K12842" i="2"/>
  <c r="L12842" i="2"/>
  <c r="C12843" i="2"/>
  <c r="D12843" i="2"/>
  <c r="F12843" i="2"/>
  <c r="G12843" i="2"/>
  <c r="H12843" i="2"/>
  <c r="J12843" i="2"/>
  <c r="K12843" i="2"/>
  <c r="L12843" i="2"/>
  <c r="C12844" i="2"/>
  <c r="D12844" i="2"/>
  <c r="F12844" i="2"/>
  <c r="G12844" i="2"/>
  <c r="H12844" i="2"/>
  <c r="J12844" i="2"/>
  <c r="K12844" i="2"/>
  <c r="L12844" i="2"/>
  <c r="C12845" i="2"/>
  <c r="D12845" i="2"/>
  <c r="F12845" i="2"/>
  <c r="G12845" i="2"/>
  <c r="H12845" i="2"/>
  <c r="J12845" i="2"/>
  <c r="K12845" i="2"/>
  <c r="L12845" i="2"/>
  <c r="C12846" i="2"/>
  <c r="D12846" i="2"/>
  <c r="F12846" i="2"/>
  <c r="G12846" i="2"/>
  <c r="H12846" i="2"/>
  <c r="J12846" i="2"/>
  <c r="K12846" i="2"/>
  <c r="L12846" i="2"/>
  <c r="C12847" i="2"/>
  <c r="D12847" i="2"/>
  <c r="F12847" i="2"/>
  <c r="G12847" i="2"/>
  <c r="H12847" i="2"/>
  <c r="J12847" i="2"/>
  <c r="K12847" i="2"/>
  <c r="L12847" i="2"/>
  <c r="C12848" i="2"/>
  <c r="D12848" i="2"/>
  <c r="F12848" i="2"/>
  <c r="G12848" i="2"/>
  <c r="H12848" i="2"/>
  <c r="J12848" i="2"/>
  <c r="K12848" i="2"/>
  <c r="L12848" i="2"/>
  <c r="C12849" i="2"/>
  <c r="D12849" i="2"/>
  <c r="F12849" i="2"/>
  <c r="G12849" i="2"/>
  <c r="H12849" i="2"/>
  <c r="J12849" i="2"/>
  <c r="K12849" i="2"/>
  <c r="L12849" i="2"/>
  <c r="C12850" i="2"/>
  <c r="D12850" i="2"/>
  <c r="F12850" i="2"/>
  <c r="G12850" i="2"/>
  <c r="H12850" i="2"/>
  <c r="J12850" i="2"/>
  <c r="K12850" i="2"/>
  <c r="L12850" i="2"/>
  <c r="C12851" i="2"/>
  <c r="D12851" i="2"/>
  <c r="F12851" i="2"/>
  <c r="G12851" i="2"/>
  <c r="H12851" i="2"/>
  <c r="J12851" i="2"/>
  <c r="K12851" i="2"/>
  <c r="L12851" i="2"/>
  <c r="C12852" i="2"/>
  <c r="D12852" i="2"/>
  <c r="F12852" i="2"/>
  <c r="G12852" i="2"/>
  <c r="H12852" i="2"/>
  <c r="J12852" i="2"/>
  <c r="K12852" i="2"/>
  <c r="L12852" i="2"/>
  <c r="C12853" i="2"/>
  <c r="D12853" i="2"/>
  <c r="F12853" i="2"/>
  <c r="G12853" i="2"/>
  <c r="H12853" i="2"/>
  <c r="J12853" i="2"/>
  <c r="K12853" i="2"/>
  <c r="L12853" i="2"/>
  <c r="C12854" i="2"/>
  <c r="D12854" i="2"/>
  <c r="F12854" i="2"/>
  <c r="G12854" i="2"/>
  <c r="H12854" i="2"/>
  <c r="J12854" i="2"/>
  <c r="K12854" i="2"/>
  <c r="L12854" i="2"/>
  <c r="C12855" i="2"/>
  <c r="D12855" i="2"/>
  <c r="F12855" i="2"/>
  <c r="G12855" i="2"/>
  <c r="H12855" i="2"/>
  <c r="J12855" i="2"/>
  <c r="K12855" i="2"/>
  <c r="L12855" i="2"/>
  <c r="C12856" i="2"/>
  <c r="D12856" i="2"/>
  <c r="F12856" i="2"/>
  <c r="G12856" i="2"/>
  <c r="H12856" i="2"/>
  <c r="J12856" i="2"/>
  <c r="K12856" i="2"/>
  <c r="L12856" i="2"/>
  <c r="C12857" i="2"/>
  <c r="D12857" i="2"/>
  <c r="F12857" i="2"/>
  <c r="G12857" i="2"/>
  <c r="H12857" i="2"/>
  <c r="J12857" i="2"/>
  <c r="K12857" i="2"/>
  <c r="L12857" i="2"/>
  <c r="C12858" i="2"/>
  <c r="D12858" i="2"/>
  <c r="F12858" i="2"/>
  <c r="G12858" i="2"/>
  <c r="H12858" i="2"/>
  <c r="J12858" i="2"/>
  <c r="K12858" i="2"/>
  <c r="L12858" i="2"/>
  <c r="C12859" i="2"/>
  <c r="D12859" i="2"/>
  <c r="F12859" i="2"/>
  <c r="G12859" i="2"/>
  <c r="H12859" i="2"/>
  <c r="J12859" i="2"/>
  <c r="K12859" i="2"/>
  <c r="L12859" i="2"/>
  <c r="C12860" i="2"/>
  <c r="D12860" i="2"/>
  <c r="F12860" i="2"/>
  <c r="G12860" i="2"/>
  <c r="H12860" i="2"/>
  <c r="J12860" i="2"/>
  <c r="K12860" i="2"/>
  <c r="L12860" i="2"/>
  <c r="C12861" i="2"/>
  <c r="D12861" i="2"/>
  <c r="F12861" i="2"/>
  <c r="G12861" i="2"/>
  <c r="H12861" i="2"/>
  <c r="J12861" i="2"/>
  <c r="K12861" i="2"/>
  <c r="L12861" i="2"/>
  <c r="C12862" i="2"/>
  <c r="D12862" i="2"/>
  <c r="F12862" i="2"/>
  <c r="G12862" i="2"/>
  <c r="H12862" i="2"/>
  <c r="J12862" i="2"/>
  <c r="K12862" i="2"/>
  <c r="L12862" i="2"/>
  <c r="C12863" i="2"/>
  <c r="D12863" i="2"/>
  <c r="F12863" i="2"/>
  <c r="G12863" i="2"/>
  <c r="H12863" i="2"/>
  <c r="J12863" i="2"/>
  <c r="K12863" i="2"/>
  <c r="L12863" i="2"/>
  <c r="C12864" i="2"/>
  <c r="D12864" i="2"/>
  <c r="F12864" i="2"/>
  <c r="G12864" i="2"/>
  <c r="H12864" i="2"/>
  <c r="J12864" i="2"/>
  <c r="K12864" i="2"/>
  <c r="L12864" i="2"/>
  <c r="C12865" i="2"/>
  <c r="D12865" i="2"/>
  <c r="F12865" i="2"/>
  <c r="G12865" i="2"/>
  <c r="H12865" i="2"/>
  <c r="J12865" i="2"/>
  <c r="K12865" i="2"/>
  <c r="L12865" i="2"/>
  <c r="C12866" i="2"/>
  <c r="D12866" i="2"/>
  <c r="F12866" i="2"/>
  <c r="G12866" i="2"/>
  <c r="H12866" i="2"/>
  <c r="J12866" i="2"/>
  <c r="K12866" i="2"/>
  <c r="L12866" i="2"/>
  <c r="C12867" i="2"/>
  <c r="D12867" i="2"/>
  <c r="F12867" i="2"/>
  <c r="G12867" i="2"/>
  <c r="H12867" i="2"/>
  <c r="J12867" i="2"/>
  <c r="K12867" i="2"/>
  <c r="L12867" i="2"/>
  <c r="C12868" i="2"/>
  <c r="D12868" i="2"/>
  <c r="F12868" i="2"/>
  <c r="G12868" i="2"/>
  <c r="H12868" i="2"/>
  <c r="J12868" i="2"/>
  <c r="K12868" i="2"/>
  <c r="L12868" i="2"/>
  <c r="C12869" i="2"/>
  <c r="D12869" i="2"/>
  <c r="F12869" i="2"/>
  <c r="G12869" i="2"/>
  <c r="H12869" i="2"/>
  <c r="J12869" i="2"/>
  <c r="K12869" i="2"/>
  <c r="L12869" i="2"/>
  <c r="C12870" i="2"/>
  <c r="D12870" i="2"/>
  <c r="F12870" i="2"/>
  <c r="G12870" i="2"/>
  <c r="H12870" i="2"/>
  <c r="J12870" i="2"/>
  <c r="K12870" i="2"/>
  <c r="L12870" i="2"/>
  <c r="C12871" i="2"/>
  <c r="D12871" i="2"/>
  <c r="F12871" i="2"/>
  <c r="G12871" i="2"/>
  <c r="H12871" i="2"/>
  <c r="J12871" i="2"/>
  <c r="K12871" i="2"/>
  <c r="L12871" i="2"/>
  <c r="C12872" i="2"/>
  <c r="D12872" i="2"/>
  <c r="F12872" i="2"/>
  <c r="G12872" i="2"/>
  <c r="H12872" i="2"/>
  <c r="J12872" i="2"/>
  <c r="K12872" i="2"/>
  <c r="L12872" i="2"/>
  <c r="C12873" i="2"/>
  <c r="D12873" i="2"/>
  <c r="F12873" i="2"/>
  <c r="G12873" i="2"/>
  <c r="H12873" i="2"/>
  <c r="J12873" i="2"/>
  <c r="K12873" i="2"/>
  <c r="L12873" i="2"/>
  <c r="C12874" i="2"/>
  <c r="D12874" i="2"/>
  <c r="F12874" i="2"/>
  <c r="G12874" i="2"/>
  <c r="H12874" i="2"/>
  <c r="J12874" i="2"/>
  <c r="K12874" i="2"/>
  <c r="L12874" i="2"/>
  <c r="C12875" i="2"/>
  <c r="D12875" i="2"/>
  <c r="F12875" i="2"/>
  <c r="G12875" i="2"/>
  <c r="H12875" i="2"/>
  <c r="J12875" i="2"/>
  <c r="K12875" i="2"/>
  <c r="L12875" i="2"/>
  <c r="C12876" i="2"/>
  <c r="D12876" i="2"/>
  <c r="F12876" i="2"/>
  <c r="G12876" i="2"/>
  <c r="H12876" i="2"/>
  <c r="J12876" i="2"/>
  <c r="K12876" i="2"/>
  <c r="L12876" i="2"/>
  <c r="C12877" i="2"/>
  <c r="D12877" i="2"/>
  <c r="F12877" i="2"/>
  <c r="G12877" i="2"/>
  <c r="H12877" i="2"/>
  <c r="J12877" i="2"/>
  <c r="K12877" i="2"/>
  <c r="L12877" i="2"/>
  <c r="C12878" i="2"/>
  <c r="D12878" i="2"/>
  <c r="F12878" i="2"/>
  <c r="G12878" i="2"/>
  <c r="H12878" i="2"/>
  <c r="J12878" i="2"/>
  <c r="K12878" i="2"/>
  <c r="L12878" i="2"/>
  <c r="C12879" i="2"/>
  <c r="D12879" i="2"/>
  <c r="F12879" i="2"/>
  <c r="G12879" i="2"/>
  <c r="H12879" i="2"/>
  <c r="J12879" i="2"/>
  <c r="K12879" i="2"/>
  <c r="L12879" i="2"/>
  <c r="C12880" i="2"/>
  <c r="D12880" i="2"/>
  <c r="F12880" i="2"/>
  <c r="G12880" i="2"/>
  <c r="H12880" i="2"/>
  <c r="J12880" i="2"/>
  <c r="K12880" i="2"/>
  <c r="L12880" i="2"/>
  <c r="C12881" i="2"/>
  <c r="D12881" i="2"/>
  <c r="F12881" i="2"/>
  <c r="G12881" i="2"/>
  <c r="H12881" i="2"/>
  <c r="J12881" i="2"/>
  <c r="K12881" i="2"/>
  <c r="L12881" i="2"/>
  <c r="C12882" i="2"/>
  <c r="D12882" i="2"/>
  <c r="F12882" i="2"/>
  <c r="G12882" i="2"/>
  <c r="H12882" i="2"/>
  <c r="J12882" i="2"/>
  <c r="K12882" i="2"/>
  <c r="L12882" i="2"/>
  <c r="C12883" i="2"/>
  <c r="D12883" i="2"/>
  <c r="F12883" i="2"/>
  <c r="G12883" i="2"/>
  <c r="H12883" i="2"/>
  <c r="J12883" i="2"/>
  <c r="K12883" i="2"/>
  <c r="L12883" i="2"/>
  <c r="C12884" i="2"/>
  <c r="D12884" i="2"/>
  <c r="F12884" i="2"/>
  <c r="G12884" i="2"/>
  <c r="H12884" i="2"/>
  <c r="J12884" i="2"/>
  <c r="K12884" i="2"/>
  <c r="L12884" i="2"/>
  <c r="C12885" i="2"/>
  <c r="D12885" i="2"/>
  <c r="F12885" i="2"/>
  <c r="G12885" i="2"/>
  <c r="H12885" i="2"/>
  <c r="J12885" i="2"/>
  <c r="K12885" i="2"/>
  <c r="L12885" i="2"/>
  <c r="C12886" i="2"/>
  <c r="D12886" i="2"/>
  <c r="F12886" i="2"/>
  <c r="G12886" i="2"/>
  <c r="H12886" i="2"/>
  <c r="J12886" i="2"/>
  <c r="K12886" i="2"/>
  <c r="L12886" i="2"/>
  <c r="C12887" i="2"/>
  <c r="D12887" i="2"/>
  <c r="F12887" i="2"/>
  <c r="G12887" i="2"/>
  <c r="H12887" i="2"/>
  <c r="J12887" i="2"/>
  <c r="K12887" i="2"/>
  <c r="L12887" i="2"/>
  <c r="C12888" i="2"/>
  <c r="D12888" i="2"/>
  <c r="F12888" i="2"/>
  <c r="G12888" i="2"/>
  <c r="H12888" i="2"/>
  <c r="J12888" i="2"/>
  <c r="K12888" i="2"/>
  <c r="L12888" i="2"/>
  <c r="C12889" i="2"/>
  <c r="D12889" i="2"/>
  <c r="F12889" i="2"/>
  <c r="G12889" i="2"/>
  <c r="H12889" i="2"/>
  <c r="J12889" i="2"/>
  <c r="K12889" i="2"/>
  <c r="L12889" i="2"/>
  <c r="C12890" i="2"/>
  <c r="D12890" i="2"/>
  <c r="F12890" i="2"/>
  <c r="G12890" i="2"/>
  <c r="H12890" i="2"/>
  <c r="J12890" i="2"/>
  <c r="K12890" i="2"/>
  <c r="L12890" i="2"/>
  <c r="C12891" i="2"/>
  <c r="D12891" i="2"/>
  <c r="F12891" i="2"/>
  <c r="G12891" i="2"/>
  <c r="H12891" i="2"/>
  <c r="J12891" i="2"/>
  <c r="K12891" i="2"/>
  <c r="L12891" i="2"/>
  <c r="C12892" i="2"/>
  <c r="D12892" i="2"/>
  <c r="F12892" i="2"/>
  <c r="G12892" i="2"/>
  <c r="H12892" i="2"/>
  <c r="J12892" i="2"/>
  <c r="K12892" i="2"/>
  <c r="L12892" i="2"/>
  <c r="C12893" i="2"/>
  <c r="D12893" i="2"/>
  <c r="F12893" i="2"/>
  <c r="G12893" i="2"/>
  <c r="H12893" i="2"/>
  <c r="J12893" i="2"/>
  <c r="K12893" i="2"/>
  <c r="L12893" i="2"/>
  <c r="C12894" i="2"/>
  <c r="D12894" i="2"/>
  <c r="F12894" i="2"/>
  <c r="G12894" i="2"/>
  <c r="H12894" i="2"/>
  <c r="J12894" i="2"/>
  <c r="K12894" i="2"/>
  <c r="L12894" i="2"/>
  <c r="C12895" i="2"/>
  <c r="D12895" i="2"/>
  <c r="F12895" i="2"/>
  <c r="G12895" i="2"/>
  <c r="H12895" i="2"/>
  <c r="J12895" i="2"/>
  <c r="K12895" i="2"/>
  <c r="L12895" i="2"/>
  <c r="C12896" i="2"/>
  <c r="D12896" i="2"/>
  <c r="F12896" i="2"/>
  <c r="G12896" i="2"/>
  <c r="H12896" i="2"/>
  <c r="J12896" i="2"/>
  <c r="K12896" i="2"/>
  <c r="L12896" i="2"/>
  <c r="C12897" i="2"/>
  <c r="D12897" i="2"/>
  <c r="F12897" i="2"/>
  <c r="G12897" i="2"/>
  <c r="H12897" i="2"/>
  <c r="J12897" i="2"/>
  <c r="K12897" i="2"/>
  <c r="L12897" i="2"/>
  <c r="C12898" i="2"/>
  <c r="D12898" i="2"/>
  <c r="F12898" i="2"/>
  <c r="G12898" i="2"/>
  <c r="H12898" i="2"/>
  <c r="J12898" i="2"/>
  <c r="K12898" i="2"/>
  <c r="L12898" i="2"/>
  <c r="C12899" i="2"/>
  <c r="D12899" i="2"/>
  <c r="F12899" i="2"/>
  <c r="G12899" i="2"/>
  <c r="H12899" i="2"/>
  <c r="J12899" i="2"/>
  <c r="K12899" i="2"/>
  <c r="L12899" i="2"/>
  <c r="C12900" i="2"/>
  <c r="D12900" i="2"/>
  <c r="F12900" i="2"/>
  <c r="G12900" i="2"/>
  <c r="H12900" i="2"/>
  <c r="J12900" i="2"/>
  <c r="K12900" i="2"/>
  <c r="L12900" i="2"/>
  <c r="C12901" i="2"/>
  <c r="D12901" i="2"/>
  <c r="F12901" i="2"/>
  <c r="G12901" i="2"/>
  <c r="H12901" i="2"/>
  <c r="J12901" i="2"/>
  <c r="K12901" i="2"/>
  <c r="L12901" i="2"/>
  <c r="C12902" i="2"/>
  <c r="D12902" i="2"/>
  <c r="F12902" i="2"/>
  <c r="G12902" i="2"/>
  <c r="H12902" i="2"/>
  <c r="J12902" i="2"/>
  <c r="K12902" i="2"/>
  <c r="L12902" i="2"/>
  <c r="C12903" i="2"/>
  <c r="D12903" i="2"/>
  <c r="F12903" i="2"/>
  <c r="G12903" i="2"/>
  <c r="H12903" i="2"/>
  <c r="J12903" i="2"/>
  <c r="K12903" i="2"/>
  <c r="L12903" i="2"/>
  <c r="C12904" i="2"/>
  <c r="D12904" i="2"/>
  <c r="F12904" i="2"/>
  <c r="G12904" i="2"/>
  <c r="H12904" i="2"/>
  <c r="J12904" i="2"/>
  <c r="K12904" i="2"/>
  <c r="L12904" i="2"/>
  <c r="C12905" i="2"/>
  <c r="D12905" i="2"/>
  <c r="F12905" i="2"/>
  <c r="G12905" i="2"/>
  <c r="H12905" i="2"/>
  <c r="J12905" i="2"/>
  <c r="K12905" i="2"/>
  <c r="L12905" i="2"/>
  <c r="C12906" i="2"/>
  <c r="D12906" i="2"/>
  <c r="F12906" i="2"/>
  <c r="G12906" i="2"/>
  <c r="H12906" i="2"/>
  <c r="J12906" i="2"/>
  <c r="K12906" i="2"/>
  <c r="L12906" i="2"/>
  <c r="C12907" i="2"/>
  <c r="D12907" i="2"/>
  <c r="F12907" i="2"/>
  <c r="G12907" i="2"/>
  <c r="H12907" i="2"/>
  <c r="J12907" i="2"/>
  <c r="K12907" i="2"/>
  <c r="L12907" i="2"/>
  <c r="C12908" i="2"/>
  <c r="D12908" i="2"/>
  <c r="F12908" i="2"/>
  <c r="G12908" i="2"/>
  <c r="H12908" i="2"/>
  <c r="J12908" i="2"/>
  <c r="K12908" i="2"/>
  <c r="L12908" i="2"/>
  <c r="C12909" i="2"/>
  <c r="D12909" i="2"/>
  <c r="F12909" i="2"/>
  <c r="G12909" i="2"/>
  <c r="H12909" i="2"/>
  <c r="J12909" i="2"/>
  <c r="K12909" i="2"/>
  <c r="L12909" i="2"/>
  <c r="C12910" i="2"/>
  <c r="D12910" i="2"/>
  <c r="F12910" i="2"/>
  <c r="G12910" i="2"/>
  <c r="H12910" i="2"/>
  <c r="J12910" i="2"/>
  <c r="K12910" i="2"/>
  <c r="L12910" i="2"/>
  <c r="C12911" i="2"/>
  <c r="D12911" i="2"/>
  <c r="F12911" i="2"/>
  <c r="G12911" i="2"/>
  <c r="H12911" i="2"/>
  <c r="J12911" i="2"/>
  <c r="K12911" i="2"/>
  <c r="L12911" i="2"/>
  <c r="C12912" i="2"/>
  <c r="D12912" i="2"/>
  <c r="F12912" i="2"/>
  <c r="G12912" i="2"/>
  <c r="H12912" i="2"/>
  <c r="J12912" i="2"/>
  <c r="K12912" i="2"/>
  <c r="L12912" i="2"/>
  <c r="C12913" i="2"/>
  <c r="D12913" i="2"/>
  <c r="F12913" i="2"/>
  <c r="H12913" i="2"/>
  <c r="J12913" i="2"/>
  <c r="K12913" i="2"/>
  <c r="L12913" i="2"/>
  <c r="C12914" i="2"/>
  <c r="D12914" i="2"/>
  <c r="F12914" i="2"/>
  <c r="G12914" i="2"/>
  <c r="H12914" i="2"/>
  <c r="J12914" i="2"/>
  <c r="K12914" i="2"/>
  <c r="L12914" i="2"/>
  <c r="C12915" i="2"/>
  <c r="D12915" i="2"/>
  <c r="F12915" i="2"/>
  <c r="G12915" i="2"/>
  <c r="H12915" i="2"/>
  <c r="J12915" i="2"/>
  <c r="K12915" i="2"/>
  <c r="L12915" i="2"/>
  <c r="C12916" i="2"/>
  <c r="D12916" i="2"/>
  <c r="F12916" i="2"/>
  <c r="G12916" i="2"/>
  <c r="H12916" i="2"/>
  <c r="J12916" i="2"/>
  <c r="K12916" i="2"/>
  <c r="L12916" i="2"/>
  <c r="C12917" i="2"/>
  <c r="D12917" i="2"/>
  <c r="F12917" i="2"/>
  <c r="G12917" i="2"/>
  <c r="H12917" i="2"/>
  <c r="J12917" i="2"/>
  <c r="K12917" i="2"/>
  <c r="L12917" i="2"/>
  <c r="C12918" i="2"/>
  <c r="D12918" i="2"/>
  <c r="F12918" i="2"/>
  <c r="G12918" i="2"/>
  <c r="H12918" i="2"/>
  <c r="J12918" i="2"/>
  <c r="K12918" i="2"/>
  <c r="L12918" i="2"/>
  <c r="C12919" i="2"/>
  <c r="D12919" i="2"/>
  <c r="F12919" i="2"/>
  <c r="G12919" i="2"/>
  <c r="H12919" i="2"/>
  <c r="J12919" i="2"/>
  <c r="K12919" i="2"/>
  <c r="L12919" i="2"/>
  <c r="C12920" i="2"/>
  <c r="D12920" i="2"/>
  <c r="F12920" i="2"/>
  <c r="G12920" i="2"/>
  <c r="H12920" i="2"/>
  <c r="J12920" i="2"/>
  <c r="K12920" i="2"/>
  <c r="L12920" i="2"/>
  <c r="C12921" i="2"/>
  <c r="D12921" i="2"/>
  <c r="F12921" i="2"/>
  <c r="G12921" i="2"/>
  <c r="H12921" i="2"/>
  <c r="J12921" i="2"/>
  <c r="K12921" i="2"/>
  <c r="L12921" i="2"/>
  <c r="C12922" i="2"/>
  <c r="D12922" i="2"/>
  <c r="F12922" i="2"/>
  <c r="G12922" i="2"/>
  <c r="H12922" i="2"/>
  <c r="J12922" i="2"/>
  <c r="K12922" i="2"/>
  <c r="L12922" i="2"/>
  <c r="C12923" i="2"/>
  <c r="D12923" i="2"/>
  <c r="F12923" i="2"/>
  <c r="G12923" i="2"/>
  <c r="H12923" i="2"/>
  <c r="J12923" i="2"/>
  <c r="K12923" i="2"/>
  <c r="L12923" i="2"/>
  <c r="C12924" i="2"/>
  <c r="D12924" i="2"/>
  <c r="F12924" i="2"/>
  <c r="G12924" i="2"/>
  <c r="H12924" i="2"/>
  <c r="J12924" i="2"/>
  <c r="K12924" i="2"/>
  <c r="L12924" i="2"/>
  <c r="C12925" i="2"/>
  <c r="D12925" i="2"/>
  <c r="F12925" i="2"/>
  <c r="G12925" i="2"/>
  <c r="H12925" i="2"/>
  <c r="J12925" i="2"/>
  <c r="K12925" i="2"/>
  <c r="L12925" i="2"/>
  <c r="C12926" i="2"/>
  <c r="D12926" i="2"/>
  <c r="F12926" i="2"/>
  <c r="G12926" i="2"/>
  <c r="H12926" i="2"/>
  <c r="J12926" i="2"/>
  <c r="K12926" i="2"/>
  <c r="L12926" i="2"/>
  <c r="C12927" i="2"/>
  <c r="D12927" i="2"/>
  <c r="F12927" i="2"/>
  <c r="G12927" i="2"/>
  <c r="H12927" i="2"/>
  <c r="J12927" i="2"/>
  <c r="K12927" i="2"/>
  <c r="L12927" i="2"/>
  <c r="C12928" i="2"/>
  <c r="D12928" i="2"/>
  <c r="F12928" i="2"/>
  <c r="G12928" i="2"/>
  <c r="H12928" i="2"/>
  <c r="J12928" i="2"/>
  <c r="K12928" i="2"/>
  <c r="L12928" i="2"/>
  <c r="C12929" i="2"/>
  <c r="D12929" i="2"/>
  <c r="F12929" i="2"/>
  <c r="G12929" i="2"/>
  <c r="H12929" i="2"/>
  <c r="J12929" i="2"/>
  <c r="K12929" i="2"/>
  <c r="L12929" i="2"/>
  <c r="C12930" i="2"/>
  <c r="D12930" i="2"/>
  <c r="F12930" i="2"/>
  <c r="G12930" i="2"/>
  <c r="H12930" i="2"/>
  <c r="J12930" i="2"/>
  <c r="K12930" i="2"/>
  <c r="L12930" i="2"/>
  <c r="C12931" i="2"/>
  <c r="D12931" i="2"/>
  <c r="F12931" i="2"/>
  <c r="G12931" i="2"/>
  <c r="H12931" i="2"/>
  <c r="J12931" i="2"/>
  <c r="K12931" i="2"/>
  <c r="L12931" i="2"/>
  <c r="C12932" i="2"/>
  <c r="D12932" i="2"/>
  <c r="F12932" i="2"/>
  <c r="G12932" i="2"/>
  <c r="H12932" i="2"/>
  <c r="J12932" i="2"/>
  <c r="K12932" i="2"/>
  <c r="L12932" i="2"/>
  <c r="C12933" i="2"/>
  <c r="D12933" i="2"/>
  <c r="F12933" i="2"/>
  <c r="G12933" i="2"/>
  <c r="H12933" i="2"/>
  <c r="J12933" i="2"/>
  <c r="K12933" i="2"/>
  <c r="L12933" i="2"/>
  <c r="C12934" i="2"/>
  <c r="D12934" i="2"/>
  <c r="F12934" i="2"/>
  <c r="G12934" i="2"/>
  <c r="H12934" i="2"/>
  <c r="J12934" i="2"/>
  <c r="K12934" i="2"/>
  <c r="L12934" i="2"/>
  <c r="C12935" i="2"/>
  <c r="D12935" i="2"/>
  <c r="F12935" i="2"/>
  <c r="G12935" i="2"/>
  <c r="H12935" i="2"/>
  <c r="J12935" i="2"/>
  <c r="K12935" i="2"/>
  <c r="L12935" i="2"/>
  <c r="C12936" i="2"/>
  <c r="D12936" i="2"/>
  <c r="F12936" i="2"/>
  <c r="G12936" i="2"/>
  <c r="H12936" i="2"/>
  <c r="J12936" i="2"/>
  <c r="K12936" i="2"/>
  <c r="L12936" i="2"/>
  <c r="C12937" i="2"/>
  <c r="D12937" i="2"/>
  <c r="F12937" i="2"/>
  <c r="G12937" i="2"/>
  <c r="H12937" i="2"/>
  <c r="J12937" i="2"/>
  <c r="K12937" i="2"/>
  <c r="L12937" i="2"/>
  <c r="C12938" i="2"/>
  <c r="D12938" i="2"/>
  <c r="F12938" i="2"/>
  <c r="G12938" i="2"/>
  <c r="H12938" i="2"/>
  <c r="J12938" i="2"/>
  <c r="K12938" i="2"/>
  <c r="L12938" i="2"/>
  <c r="C12939" i="2"/>
  <c r="D12939" i="2"/>
  <c r="F12939" i="2"/>
  <c r="G12939" i="2"/>
  <c r="H12939" i="2"/>
  <c r="J12939" i="2"/>
  <c r="K12939" i="2"/>
  <c r="L12939" i="2"/>
  <c r="C12940" i="2"/>
  <c r="D12940" i="2"/>
  <c r="F12940" i="2"/>
  <c r="G12940" i="2"/>
  <c r="H12940" i="2"/>
  <c r="J12940" i="2"/>
  <c r="K12940" i="2"/>
  <c r="L12940" i="2"/>
  <c r="C12941" i="2"/>
  <c r="D12941" i="2"/>
  <c r="F12941" i="2"/>
  <c r="G12941" i="2"/>
  <c r="H12941" i="2"/>
  <c r="J12941" i="2"/>
  <c r="K12941" i="2"/>
  <c r="L12941" i="2"/>
  <c r="C12942" i="2"/>
  <c r="D12942" i="2"/>
  <c r="F12942" i="2"/>
  <c r="G12942" i="2"/>
  <c r="H12942" i="2"/>
  <c r="J12942" i="2"/>
  <c r="K12942" i="2"/>
  <c r="L12942" i="2"/>
  <c r="C12943" i="2"/>
  <c r="D12943" i="2"/>
  <c r="F12943" i="2"/>
  <c r="G12943" i="2"/>
  <c r="H12943" i="2"/>
  <c r="J12943" i="2"/>
  <c r="K12943" i="2"/>
  <c r="L12943" i="2"/>
  <c r="C12944" i="2"/>
  <c r="D12944" i="2"/>
  <c r="F12944" i="2"/>
  <c r="G12944" i="2"/>
  <c r="H12944" i="2"/>
  <c r="J12944" i="2"/>
  <c r="K12944" i="2"/>
  <c r="L12944" i="2"/>
  <c r="C12945" i="2"/>
  <c r="D12945" i="2"/>
  <c r="F12945" i="2"/>
  <c r="G12945" i="2"/>
  <c r="H12945" i="2"/>
  <c r="J12945" i="2"/>
  <c r="K12945" i="2"/>
  <c r="L12945" i="2"/>
  <c r="C12946" i="2"/>
  <c r="D12946" i="2"/>
  <c r="F12946" i="2"/>
  <c r="G12946" i="2"/>
  <c r="H12946" i="2"/>
  <c r="J12946" i="2"/>
  <c r="K12946" i="2"/>
  <c r="L12946" i="2"/>
  <c r="C12947" i="2"/>
  <c r="D12947" i="2"/>
  <c r="F12947" i="2"/>
  <c r="G12947" i="2"/>
  <c r="H12947" i="2"/>
  <c r="J12947" i="2"/>
  <c r="K12947" i="2"/>
  <c r="L12947" i="2"/>
  <c r="C12948" i="2"/>
  <c r="D12948" i="2"/>
  <c r="F12948" i="2"/>
  <c r="G12948" i="2"/>
  <c r="H12948" i="2"/>
  <c r="J12948" i="2"/>
  <c r="K12948" i="2"/>
  <c r="L12948" i="2"/>
  <c r="C12949" i="2"/>
  <c r="D12949" i="2"/>
  <c r="F12949" i="2"/>
  <c r="G12949" i="2"/>
  <c r="H12949" i="2"/>
  <c r="J12949" i="2"/>
  <c r="K12949" i="2"/>
  <c r="L12949" i="2"/>
  <c r="C12950" i="2"/>
  <c r="D12950" i="2"/>
  <c r="F12950" i="2"/>
  <c r="G12950" i="2"/>
  <c r="H12950" i="2"/>
  <c r="J12950" i="2"/>
  <c r="K12950" i="2"/>
  <c r="L12950" i="2"/>
  <c r="C12951" i="2"/>
  <c r="D12951" i="2"/>
  <c r="F12951" i="2"/>
  <c r="G12951" i="2"/>
  <c r="H12951" i="2"/>
  <c r="J12951" i="2"/>
  <c r="K12951" i="2"/>
  <c r="L12951" i="2"/>
  <c r="C12952" i="2"/>
  <c r="D12952" i="2"/>
  <c r="F12952" i="2"/>
  <c r="G12952" i="2"/>
  <c r="H12952" i="2"/>
  <c r="J12952" i="2"/>
  <c r="K12952" i="2"/>
  <c r="L12952" i="2"/>
  <c r="C12953" i="2"/>
  <c r="D12953" i="2"/>
  <c r="F12953" i="2"/>
  <c r="G12953" i="2"/>
  <c r="H12953" i="2"/>
  <c r="J12953" i="2"/>
  <c r="K12953" i="2"/>
  <c r="L12953" i="2"/>
  <c r="C12954" i="2"/>
  <c r="D12954" i="2"/>
  <c r="F12954" i="2"/>
  <c r="G12954" i="2"/>
  <c r="H12954" i="2"/>
  <c r="J12954" i="2"/>
  <c r="K12954" i="2"/>
  <c r="L12954" i="2"/>
  <c r="C12955" i="2"/>
  <c r="D12955" i="2"/>
  <c r="F12955" i="2"/>
  <c r="G12955" i="2"/>
  <c r="H12955" i="2"/>
  <c r="J12955" i="2"/>
  <c r="K12955" i="2"/>
  <c r="L12955" i="2"/>
  <c r="C12956" i="2"/>
  <c r="D12956" i="2"/>
  <c r="F12956" i="2"/>
  <c r="G12956" i="2"/>
  <c r="H12956" i="2"/>
  <c r="J12956" i="2"/>
  <c r="K12956" i="2"/>
  <c r="L12956" i="2"/>
  <c r="C12957" i="2"/>
  <c r="D12957" i="2"/>
  <c r="F12957" i="2"/>
  <c r="G12957" i="2"/>
  <c r="H12957" i="2"/>
  <c r="J12957" i="2"/>
  <c r="K12957" i="2"/>
  <c r="L12957" i="2"/>
  <c r="C12958" i="2"/>
  <c r="D12958" i="2"/>
  <c r="F12958" i="2"/>
  <c r="G12958" i="2"/>
  <c r="H12958" i="2"/>
  <c r="J12958" i="2"/>
  <c r="K12958" i="2"/>
  <c r="L12958" i="2"/>
  <c r="C12959" i="2"/>
  <c r="D12959" i="2"/>
  <c r="F12959" i="2"/>
  <c r="G12959" i="2"/>
  <c r="H12959" i="2"/>
  <c r="J12959" i="2"/>
  <c r="K12959" i="2"/>
  <c r="L12959" i="2"/>
  <c r="C12960" i="2"/>
  <c r="D12960" i="2"/>
  <c r="F12960" i="2"/>
  <c r="G12960" i="2"/>
  <c r="H12960" i="2"/>
  <c r="J12960" i="2"/>
  <c r="K12960" i="2"/>
  <c r="L12960" i="2"/>
  <c r="C12961" i="2"/>
  <c r="D12961" i="2"/>
  <c r="F12961" i="2"/>
  <c r="G12961" i="2"/>
  <c r="H12961" i="2"/>
  <c r="J12961" i="2"/>
  <c r="K12961" i="2"/>
  <c r="L12961" i="2"/>
  <c r="C12962" i="2"/>
  <c r="D12962" i="2"/>
  <c r="F12962" i="2"/>
  <c r="G12962" i="2"/>
  <c r="H12962" i="2"/>
  <c r="J12962" i="2"/>
  <c r="K12962" i="2"/>
  <c r="L12962" i="2"/>
  <c r="C12963" i="2"/>
  <c r="D12963" i="2"/>
  <c r="F12963" i="2"/>
  <c r="G12963" i="2"/>
  <c r="H12963" i="2"/>
  <c r="J12963" i="2"/>
  <c r="K12963" i="2"/>
  <c r="L12963" i="2"/>
  <c r="C12964" i="2"/>
  <c r="D12964" i="2"/>
  <c r="F12964" i="2"/>
  <c r="G12964" i="2"/>
  <c r="H12964" i="2"/>
  <c r="J12964" i="2"/>
  <c r="K12964" i="2"/>
  <c r="L12964" i="2"/>
  <c r="C12965" i="2"/>
  <c r="D12965" i="2"/>
  <c r="F12965" i="2"/>
  <c r="G12965" i="2"/>
  <c r="H12965" i="2"/>
  <c r="J12965" i="2"/>
  <c r="K12965" i="2"/>
  <c r="L12965" i="2"/>
  <c r="C12966" i="2"/>
  <c r="D12966" i="2"/>
  <c r="F12966" i="2"/>
  <c r="G12966" i="2"/>
  <c r="H12966" i="2"/>
  <c r="J12966" i="2"/>
  <c r="K12966" i="2"/>
  <c r="L12966" i="2"/>
  <c r="C12967" i="2"/>
  <c r="D12967" i="2"/>
  <c r="F12967" i="2"/>
  <c r="G12967" i="2"/>
  <c r="H12967" i="2"/>
  <c r="J12967" i="2"/>
  <c r="K12967" i="2"/>
  <c r="L12967" i="2"/>
  <c r="C12968" i="2"/>
  <c r="D12968" i="2"/>
  <c r="F12968" i="2"/>
  <c r="G12968" i="2"/>
  <c r="H12968" i="2"/>
  <c r="J12968" i="2"/>
  <c r="K12968" i="2"/>
  <c r="L12968" i="2"/>
  <c r="C12969" i="2"/>
  <c r="D12969" i="2"/>
  <c r="F12969" i="2"/>
  <c r="G12969" i="2"/>
  <c r="H12969" i="2"/>
  <c r="J12969" i="2"/>
  <c r="K12969" i="2"/>
  <c r="L12969" i="2"/>
  <c r="C12970" i="2"/>
  <c r="D12970" i="2"/>
  <c r="F12970" i="2"/>
  <c r="G12970" i="2"/>
  <c r="H12970" i="2"/>
  <c r="J12970" i="2"/>
  <c r="K12970" i="2"/>
  <c r="L12970" i="2"/>
  <c r="C12971" i="2"/>
  <c r="D12971" i="2"/>
  <c r="F12971" i="2"/>
  <c r="G12971" i="2"/>
  <c r="H12971" i="2"/>
  <c r="J12971" i="2"/>
  <c r="K12971" i="2"/>
  <c r="L12971" i="2"/>
  <c r="C12972" i="2"/>
  <c r="D12972" i="2"/>
  <c r="F12972" i="2"/>
  <c r="G12972" i="2"/>
  <c r="H12972" i="2"/>
  <c r="J12972" i="2"/>
  <c r="K12972" i="2"/>
  <c r="L12972" i="2"/>
  <c r="C12973" i="2"/>
  <c r="D12973" i="2"/>
  <c r="F12973" i="2"/>
  <c r="G12973" i="2"/>
  <c r="H12973" i="2"/>
  <c r="J12973" i="2"/>
  <c r="K12973" i="2"/>
  <c r="L12973" i="2"/>
  <c r="C12974" i="2"/>
  <c r="D12974" i="2"/>
  <c r="F12974" i="2"/>
  <c r="G12974" i="2"/>
  <c r="H12974" i="2"/>
  <c r="J12974" i="2"/>
  <c r="K12974" i="2"/>
  <c r="L12974" i="2"/>
  <c r="C12975" i="2"/>
  <c r="D12975" i="2"/>
  <c r="F12975" i="2"/>
  <c r="G12975" i="2"/>
  <c r="H12975" i="2"/>
  <c r="J12975" i="2"/>
  <c r="K12975" i="2"/>
  <c r="L12975" i="2"/>
  <c r="C12976" i="2"/>
  <c r="D12976" i="2"/>
  <c r="F12976" i="2"/>
  <c r="G12976" i="2"/>
  <c r="H12976" i="2"/>
  <c r="J12976" i="2"/>
  <c r="K12976" i="2"/>
  <c r="L12976" i="2"/>
  <c r="C12977" i="2"/>
  <c r="D12977" i="2"/>
  <c r="F12977" i="2"/>
  <c r="G12977" i="2"/>
  <c r="H12977" i="2"/>
  <c r="J12977" i="2"/>
  <c r="K12977" i="2"/>
  <c r="L12977" i="2"/>
  <c r="C12978" i="2"/>
  <c r="D12978" i="2"/>
  <c r="F12978" i="2"/>
  <c r="G12978" i="2"/>
  <c r="H12978" i="2"/>
  <c r="J12978" i="2"/>
  <c r="K12978" i="2"/>
  <c r="L12978" i="2"/>
  <c r="C12979" i="2"/>
  <c r="D12979" i="2"/>
  <c r="F12979" i="2"/>
  <c r="G12979" i="2"/>
  <c r="H12979" i="2"/>
  <c r="J12979" i="2"/>
  <c r="K12979" i="2"/>
  <c r="L12979" i="2"/>
  <c r="C12980" i="2"/>
  <c r="D12980" i="2"/>
  <c r="F12980" i="2"/>
  <c r="G12980" i="2"/>
  <c r="H12980" i="2"/>
  <c r="J12980" i="2"/>
  <c r="K12980" i="2"/>
  <c r="L12980" i="2"/>
  <c r="C12981" i="2"/>
  <c r="D12981" i="2"/>
  <c r="F12981" i="2"/>
  <c r="G12981" i="2"/>
  <c r="H12981" i="2"/>
  <c r="J12981" i="2"/>
  <c r="K12981" i="2"/>
  <c r="L12981" i="2"/>
  <c r="C12982" i="2"/>
  <c r="D12982" i="2"/>
  <c r="F12982" i="2"/>
  <c r="G12982" i="2"/>
  <c r="H12982" i="2"/>
  <c r="J12982" i="2"/>
  <c r="K12982" i="2"/>
  <c r="L12982" i="2"/>
  <c r="C12983" i="2"/>
  <c r="D12983" i="2"/>
  <c r="F12983" i="2"/>
  <c r="G12983" i="2"/>
  <c r="H12983" i="2"/>
  <c r="J12983" i="2"/>
  <c r="K12983" i="2"/>
  <c r="L12983" i="2"/>
  <c r="C12984" i="2"/>
  <c r="D12984" i="2"/>
  <c r="F12984" i="2"/>
  <c r="G12984" i="2"/>
  <c r="H12984" i="2"/>
  <c r="J12984" i="2"/>
  <c r="K12984" i="2"/>
  <c r="L12984" i="2"/>
  <c r="C12985" i="2"/>
  <c r="D12985" i="2"/>
  <c r="F12985" i="2"/>
  <c r="G12985" i="2"/>
  <c r="H12985" i="2"/>
  <c r="J12985" i="2"/>
  <c r="K12985" i="2"/>
  <c r="L12985" i="2"/>
  <c r="C12986" i="2"/>
  <c r="D12986" i="2"/>
  <c r="F12986" i="2"/>
  <c r="G12986" i="2"/>
  <c r="H12986" i="2"/>
  <c r="J12986" i="2"/>
  <c r="K12986" i="2"/>
  <c r="L12986" i="2"/>
  <c r="C12987" i="2"/>
  <c r="D12987" i="2"/>
  <c r="F12987" i="2"/>
  <c r="G12987" i="2"/>
  <c r="H12987" i="2"/>
  <c r="J12987" i="2"/>
  <c r="K12987" i="2"/>
  <c r="L12987" i="2"/>
  <c r="C12988" i="2"/>
  <c r="D12988" i="2"/>
  <c r="F12988" i="2"/>
  <c r="G12988" i="2"/>
  <c r="H12988" i="2"/>
  <c r="J12988" i="2"/>
  <c r="K12988" i="2"/>
  <c r="L12988" i="2"/>
  <c r="C12989" i="2"/>
  <c r="D12989" i="2"/>
  <c r="F12989" i="2"/>
  <c r="G12989" i="2"/>
  <c r="H12989" i="2"/>
  <c r="J12989" i="2"/>
  <c r="K12989" i="2"/>
  <c r="L12989" i="2"/>
  <c r="C12990" i="2"/>
  <c r="D12990" i="2"/>
  <c r="F12990" i="2"/>
  <c r="G12990" i="2"/>
  <c r="H12990" i="2"/>
  <c r="J12990" i="2"/>
  <c r="K12990" i="2"/>
  <c r="L12990" i="2"/>
  <c r="C12991" i="2"/>
  <c r="D12991" i="2"/>
  <c r="F12991" i="2"/>
  <c r="G12991" i="2"/>
  <c r="H12991" i="2"/>
  <c r="J12991" i="2"/>
  <c r="K12991" i="2"/>
  <c r="L12991" i="2"/>
  <c r="C12992" i="2"/>
  <c r="D12992" i="2"/>
  <c r="F12992" i="2"/>
  <c r="G12992" i="2"/>
  <c r="H12992" i="2"/>
  <c r="J12992" i="2"/>
  <c r="K12992" i="2"/>
  <c r="L12992" i="2"/>
  <c r="C12993" i="2"/>
  <c r="D12993" i="2"/>
  <c r="F12993" i="2"/>
  <c r="G12993" i="2"/>
  <c r="H12993" i="2"/>
  <c r="J12993" i="2"/>
  <c r="K12993" i="2"/>
  <c r="L12993" i="2"/>
  <c r="C12994" i="2"/>
  <c r="D12994" i="2"/>
  <c r="F12994" i="2"/>
  <c r="G12994" i="2"/>
  <c r="H12994" i="2"/>
  <c r="J12994" i="2"/>
  <c r="K12994" i="2"/>
  <c r="L12994" i="2"/>
  <c r="C12995" i="2"/>
  <c r="D12995" i="2"/>
  <c r="F12995" i="2"/>
  <c r="G12995" i="2"/>
  <c r="H12995" i="2"/>
  <c r="J12995" i="2"/>
  <c r="K12995" i="2"/>
  <c r="L12995" i="2"/>
  <c r="C12996" i="2"/>
  <c r="D12996" i="2"/>
  <c r="F12996" i="2"/>
  <c r="G12996" i="2"/>
  <c r="H12996" i="2"/>
  <c r="J12996" i="2"/>
  <c r="K12996" i="2"/>
  <c r="L12996" i="2"/>
  <c r="C12997" i="2"/>
  <c r="D12997" i="2"/>
  <c r="F12997" i="2"/>
  <c r="G12997" i="2"/>
  <c r="H12997" i="2"/>
  <c r="J12997" i="2"/>
  <c r="K12997" i="2"/>
  <c r="L12997" i="2"/>
  <c r="C12998" i="2"/>
  <c r="D12998" i="2"/>
  <c r="F12998" i="2"/>
  <c r="G12998" i="2"/>
  <c r="H12998" i="2"/>
  <c r="J12998" i="2"/>
  <c r="K12998" i="2"/>
  <c r="L12998" i="2"/>
  <c r="C12999" i="2"/>
  <c r="D12999" i="2"/>
  <c r="F12999" i="2"/>
  <c r="G12999" i="2"/>
  <c r="H12999" i="2"/>
  <c r="J12999" i="2"/>
  <c r="K12999" i="2"/>
  <c r="L12999" i="2"/>
  <c r="C13000" i="2"/>
  <c r="D13000" i="2"/>
  <c r="F13000" i="2"/>
  <c r="G13000" i="2"/>
  <c r="H13000" i="2"/>
  <c r="J13000" i="2"/>
  <c r="K13000" i="2"/>
  <c r="L13000" i="2"/>
  <c r="C13001" i="2"/>
  <c r="D13001" i="2"/>
  <c r="F13001" i="2"/>
  <c r="G13001" i="2"/>
  <c r="H13001" i="2"/>
  <c r="J13001" i="2"/>
  <c r="K13001" i="2"/>
  <c r="L13001" i="2"/>
  <c r="C13002" i="2"/>
  <c r="D13002" i="2"/>
  <c r="F13002" i="2"/>
  <c r="G13002" i="2"/>
  <c r="H13002" i="2"/>
  <c r="J13002" i="2"/>
  <c r="K13002" i="2"/>
  <c r="L13002" i="2"/>
  <c r="C13003" i="2"/>
  <c r="D13003" i="2"/>
  <c r="F13003" i="2"/>
  <c r="G13003" i="2"/>
  <c r="H13003" i="2"/>
  <c r="J13003" i="2"/>
  <c r="K13003" i="2"/>
  <c r="L13003" i="2"/>
  <c r="C13004" i="2"/>
  <c r="D13004" i="2"/>
  <c r="F13004" i="2"/>
  <c r="G13004" i="2"/>
  <c r="H13004" i="2"/>
  <c r="J13004" i="2"/>
  <c r="K13004" i="2"/>
  <c r="L13004" i="2"/>
  <c r="C13005" i="2"/>
  <c r="D13005" i="2"/>
  <c r="F13005" i="2"/>
  <c r="G13005" i="2"/>
  <c r="H13005" i="2"/>
  <c r="J13005" i="2"/>
  <c r="K13005" i="2"/>
  <c r="L13005" i="2"/>
  <c r="C13006" i="2"/>
  <c r="D13006" i="2"/>
  <c r="F13006" i="2"/>
  <c r="G13006" i="2"/>
  <c r="H13006" i="2"/>
  <c r="J13006" i="2"/>
  <c r="K13006" i="2"/>
  <c r="L13006" i="2"/>
  <c r="C13007" i="2"/>
  <c r="D13007" i="2"/>
  <c r="F13007" i="2"/>
  <c r="G13007" i="2"/>
  <c r="H13007" i="2"/>
  <c r="J13007" i="2"/>
  <c r="K13007" i="2"/>
  <c r="L13007" i="2"/>
  <c r="C13008" i="2"/>
  <c r="D13008" i="2"/>
  <c r="F13008" i="2"/>
  <c r="G13008" i="2"/>
  <c r="H13008" i="2"/>
  <c r="J13008" i="2"/>
  <c r="K13008" i="2"/>
  <c r="L13008" i="2"/>
  <c r="C13009" i="2"/>
  <c r="D13009" i="2"/>
  <c r="F13009" i="2"/>
  <c r="G13009" i="2"/>
  <c r="H13009" i="2"/>
  <c r="J13009" i="2"/>
  <c r="K13009" i="2"/>
  <c r="L13009" i="2"/>
  <c r="C13010" i="2"/>
  <c r="D13010" i="2"/>
  <c r="F13010" i="2"/>
  <c r="G13010" i="2"/>
  <c r="H13010" i="2"/>
  <c r="J13010" i="2"/>
  <c r="K13010" i="2"/>
  <c r="L13010" i="2"/>
  <c r="C13011" i="2"/>
  <c r="D13011" i="2"/>
  <c r="F13011" i="2"/>
  <c r="G13011" i="2"/>
  <c r="H13011" i="2"/>
  <c r="J13011" i="2"/>
  <c r="K13011" i="2"/>
  <c r="L13011" i="2"/>
  <c r="C13012" i="2"/>
  <c r="D13012" i="2"/>
  <c r="F13012" i="2"/>
  <c r="G13012" i="2"/>
  <c r="H13012" i="2"/>
  <c r="J13012" i="2"/>
  <c r="K13012" i="2"/>
  <c r="L13012" i="2"/>
  <c r="C13013" i="2"/>
  <c r="D13013" i="2"/>
  <c r="F13013" i="2"/>
  <c r="G13013" i="2"/>
  <c r="H13013" i="2"/>
  <c r="J13013" i="2"/>
  <c r="K13013" i="2"/>
  <c r="L13013" i="2"/>
  <c r="C13014" i="2"/>
  <c r="D13014" i="2"/>
  <c r="F13014" i="2"/>
  <c r="G13014" i="2"/>
  <c r="H13014" i="2"/>
  <c r="J13014" i="2"/>
  <c r="K13014" i="2"/>
  <c r="L13014" i="2"/>
  <c r="C13015" i="2"/>
  <c r="D13015" i="2"/>
  <c r="F13015" i="2"/>
  <c r="G13015" i="2"/>
  <c r="H13015" i="2"/>
  <c r="J13015" i="2"/>
  <c r="K13015" i="2"/>
  <c r="L13015" i="2"/>
  <c r="C13016" i="2"/>
  <c r="D13016" i="2"/>
  <c r="F13016" i="2"/>
  <c r="G13016" i="2"/>
  <c r="H13016" i="2"/>
  <c r="J13016" i="2"/>
  <c r="K13016" i="2"/>
  <c r="L13016" i="2"/>
  <c r="C13017" i="2"/>
  <c r="D13017" i="2"/>
  <c r="F13017" i="2"/>
  <c r="G13017" i="2"/>
  <c r="H13017" i="2"/>
  <c r="J13017" i="2"/>
  <c r="K13017" i="2"/>
  <c r="L13017" i="2"/>
  <c r="C13018" i="2"/>
  <c r="D13018" i="2"/>
  <c r="F13018" i="2"/>
  <c r="G13018" i="2"/>
  <c r="H13018" i="2"/>
  <c r="J13018" i="2"/>
  <c r="K13018" i="2"/>
  <c r="L13018" i="2"/>
  <c r="C13019" i="2"/>
  <c r="D13019" i="2"/>
  <c r="F13019" i="2"/>
  <c r="G13019" i="2"/>
  <c r="H13019" i="2"/>
  <c r="J13019" i="2"/>
  <c r="K13019" i="2"/>
  <c r="L13019" i="2"/>
  <c r="C13020" i="2"/>
  <c r="D13020" i="2"/>
  <c r="F13020" i="2"/>
  <c r="G13020" i="2"/>
  <c r="H13020" i="2"/>
  <c r="J13020" i="2"/>
  <c r="K13020" i="2"/>
  <c r="L13020" i="2"/>
  <c r="C13021" i="2"/>
  <c r="D13021" i="2"/>
  <c r="F13021" i="2"/>
  <c r="G13021" i="2"/>
  <c r="H13021" i="2"/>
  <c r="J13021" i="2"/>
  <c r="K13021" i="2"/>
  <c r="L13021" i="2"/>
  <c r="C13022" i="2"/>
  <c r="D13022" i="2"/>
  <c r="F13022" i="2"/>
  <c r="G13022" i="2"/>
  <c r="H13022" i="2"/>
  <c r="J13022" i="2"/>
  <c r="K13022" i="2"/>
  <c r="L13022" i="2"/>
  <c r="C13023" i="2"/>
  <c r="D13023" i="2"/>
  <c r="F13023" i="2"/>
  <c r="G13023" i="2"/>
  <c r="H13023" i="2"/>
  <c r="J13023" i="2"/>
  <c r="K13023" i="2"/>
  <c r="L13023" i="2"/>
  <c r="C13024" i="2"/>
  <c r="D13024" i="2"/>
  <c r="F13024" i="2"/>
  <c r="G13024" i="2"/>
  <c r="H13024" i="2"/>
  <c r="J13024" i="2"/>
  <c r="K13024" i="2"/>
  <c r="L13024" i="2"/>
  <c r="C13025" i="2"/>
  <c r="D13025" i="2"/>
  <c r="F13025" i="2"/>
  <c r="G13025" i="2"/>
  <c r="H13025" i="2"/>
  <c r="J13025" i="2"/>
  <c r="K13025" i="2"/>
  <c r="L13025" i="2"/>
  <c r="C13026" i="2"/>
  <c r="D13026" i="2"/>
  <c r="F13026" i="2"/>
  <c r="G13026" i="2"/>
  <c r="H13026" i="2"/>
  <c r="J13026" i="2"/>
  <c r="K13026" i="2"/>
  <c r="L13026" i="2"/>
  <c r="C13027" i="2"/>
  <c r="D13027" i="2"/>
  <c r="F13027" i="2"/>
  <c r="G13027" i="2"/>
  <c r="H13027" i="2"/>
  <c r="J13027" i="2"/>
  <c r="K13027" i="2"/>
  <c r="L13027" i="2"/>
  <c r="C13028" i="2"/>
  <c r="D13028" i="2"/>
  <c r="F13028" i="2"/>
  <c r="G13028" i="2"/>
  <c r="H13028" i="2"/>
  <c r="J13028" i="2"/>
  <c r="K13028" i="2"/>
  <c r="L13028" i="2"/>
  <c r="D13029" i="2"/>
  <c r="F13029" i="2"/>
  <c r="G13029" i="2"/>
  <c r="H13029" i="2"/>
  <c r="J13029" i="2"/>
  <c r="K13029" i="2"/>
  <c r="L13029" i="2"/>
  <c r="C13030" i="2"/>
  <c r="D13030" i="2"/>
  <c r="F13030" i="2"/>
  <c r="G13030" i="2"/>
  <c r="H13030" i="2"/>
  <c r="J13030" i="2"/>
  <c r="K13030" i="2"/>
  <c r="L13030" i="2"/>
  <c r="C13031" i="2"/>
  <c r="D13031" i="2"/>
  <c r="F13031" i="2"/>
  <c r="G13031" i="2"/>
  <c r="H13031" i="2"/>
  <c r="J13031" i="2"/>
  <c r="K13031" i="2"/>
  <c r="L13031" i="2"/>
  <c r="C13032" i="2"/>
  <c r="D13032" i="2"/>
  <c r="F13032" i="2"/>
  <c r="G13032" i="2"/>
  <c r="H13032" i="2"/>
  <c r="J13032" i="2"/>
  <c r="K13032" i="2"/>
  <c r="L13032" i="2"/>
  <c r="C13033" i="2"/>
  <c r="D13033" i="2"/>
  <c r="F13033" i="2"/>
  <c r="G13033" i="2"/>
  <c r="H13033" i="2"/>
  <c r="J13033" i="2"/>
  <c r="K13033" i="2"/>
  <c r="L13033" i="2"/>
  <c r="C13034" i="2"/>
  <c r="D13034" i="2"/>
  <c r="F13034" i="2"/>
  <c r="G13034" i="2"/>
  <c r="H13034" i="2"/>
  <c r="J13034" i="2"/>
  <c r="K13034" i="2"/>
  <c r="L13034" i="2"/>
  <c r="C13035" i="2"/>
  <c r="D13035" i="2"/>
  <c r="F13035" i="2"/>
  <c r="G13035" i="2"/>
  <c r="H13035" i="2"/>
  <c r="J13035" i="2"/>
  <c r="K13035" i="2"/>
  <c r="L13035" i="2"/>
  <c r="C13036" i="2"/>
  <c r="D13036" i="2"/>
  <c r="F13036" i="2"/>
  <c r="G13036" i="2"/>
  <c r="H13036" i="2"/>
  <c r="J13036" i="2"/>
  <c r="K13036" i="2"/>
  <c r="L13036" i="2"/>
  <c r="C13037" i="2"/>
  <c r="D13037" i="2"/>
  <c r="F13037" i="2"/>
  <c r="G13037" i="2"/>
  <c r="H13037" i="2"/>
  <c r="J13037" i="2"/>
  <c r="K13037" i="2"/>
  <c r="L13037" i="2"/>
  <c r="C13038" i="2"/>
  <c r="D13038" i="2"/>
  <c r="F13038" i="2"/>
  <c r="G13038" i="2"/>
  <c r="H13038" i="2"/>
  <c r="J13038" i="2"/>
  <c r="K13038" i="2"/>
  <c r="L13038" i="2"/>
  <c r="C13039" i="2"/>
  <c r="D13039" i="2"/>
  <c r="F13039" i="2"/>
  <c r="G13039" i="2"/>
  <c r="H13039" i="2"/>
  <c r="J13039" i="2"/>
  <c r="K13039" i="2"/>
  <c r="L13039" i="2"/>
  <c r="C13040" i="2"/>
  <c r="D13040" i="2"/>
  <c r="F13040" i="2"/>
  <c r="G13040" i="2"/>
  <c r="H13040" i="2"/>
  <c r="J13040" i="2"/>
  <c r="K13040" i="2"/>
  <c r="L13040" i="2"/>
  <c r="C13041" i="2"/>
  <c r="D13041" i="2"/>
  <c r="F13041" i="2"/>
  <c r="G13041" i="2"/>
  <c r="H13041" i="2"/>
  <c r="J13041" i="2"/>
  <c r="K13041" i="2"/>
  <c r="L13041" i="2"/>
  <c r="C13042" i="2"/>
  <c r="D13042" i="2"/>
  <c r="F13042" i="2"/>
  <c r="G13042" i="2"/>
  <c r="H13042" i="2"/>
  <c r="J13042" i="2"/>
  <c r="K13042" i="2"/>
  <c r="L13042" i="2"/>
  <c r="C13043" i="2"/>
  <c r="D13043" i="2"/>
  <c r="F13043" i="2"/>
  <c r="G13043" i="2"/>
  <c r="H13043" i="2"/>
  <c r="J13043" i="2"/>
  <c r="K13043" i="2"/>
  <c r="L13043" i="2"/>
  <c r="C13044" i="2"/>
  <c r="D13044" i="2"/>
  <c r="F13044" i="2"/>
  <c r="G13044" i="2"/>
  <c r="H13044" i="2"/>
  <c r="J13044" i="2"/>
  <c r="K13044" i="2"/>
  <c r="L13044" i="2"/>
  <c r="C13045" i="2"/>
  <c r="D13045" i="2"/>
  <c r="F13045" i="2"/>
  <c r="G13045" i="2"/>
  <c r="H13045" i="2"/>
  <c r="J13045" i="2"/>
  <c r="K13045" i="2"/>
  <c r="L13045" i="2"/>
  <c r="C13046" i="2"/>
  <c r="D13046" i="2"/>
  <c r="F13046" i="2"/>
  <c r="G13046" i="2"/>
  <c r="H13046" i="2"/>
  <c r="J13046" i="2"/>
  <c r="K13046" i="2"/>
  <c r="L13046" i="2"/>
  <c r="C13047" i="2"/>
  <c r="D13047" i="2"/>
  <c r="F13047" i="2"/>
  <c r="G13047" i="2"/>
  <c r="H13047" i="2"/>
  <c r="J13047" i="2"/>
  <c r="K13047" i="2"/>
  <c r="L13047" i="2"/>
  <c r="C13048" i="2"/>
  <c r="D13048" i="2"/>
  <c r="F13048" i="2"/>
  <c r="G13048" i="2"/>
  <c r="H13048" i="2"/>
  <c r="J13048" i="2"/>
  <c r="K13048" i="2"/>
  <c r="L13048" i="2"/>
  <c r="C13049" i="2"/>
  <c r="D13049" i="2"/>
  <c r="F13049" i="2"/>
  <c r="G13049" i="2"/>
  <c r="H13049" i="2"/>
  <c r="J13049" i="2"/>
  <c r="K13049" i="2"/>
  <c r="L13049" i="2"/>
  <c r="C13050" i="2"/>
  <c r="D13050" i="2"/>
  <c r="F13050" i="2"/>
  <c r="G13050" i="2"/>
  <c r="H13050" i="2"/>
  <c r="J13050" i="2"/>
  <c r="K13050" i="2"/>
  <c r="L13050" i="2"/>
  <c r="C13051" i="2"/>
  <c r="D13051" i="2"/>
  <c r="F13051" i="2"/>
  <c r="G13051" i="2"/>
  <c r="H13051" i="2"/>
  <c r="J13051" i="2"/>
  <c r="K13051" i="2"/>
  <c r="L13051" i="2"/>
  <c r="C13052" i="2"/>
  <c r="D13052" i="2"/>
  <c r="F13052" i="2"/>
  <c r="G13052" i="2"/>
  <c r="H13052" i="2"/>
  <c r="J13052" i="2"/>
  <c r="K13052" i="2"/>
  <c r="L13052" i="2"/>
  <c r="C13053" i="2"/>
  <c r="D13053" i="2"/>
  <c r="F13053" i="2"/>
  <c r="G13053" i="2"/>
  <c r="H13053" i="2"/>
  <c r="J13053" i="2"/>
  <c r="K13053" i="2"/>
  <c r="L13053" i="2"/>
  <c r="C13054" i="2"/>
  <c r="D13054" i="2"/>
  <c r="F13054" i="2"/>
  <c r="G13054" i="2"/>
  <c r="H13054" i="2"/>
  <c r="J13054" i="2"/>
  <c r="K13054" i="2"/>
  <c r="L13054" i="2"/>
  <c r="C13055" i="2"/>
  <c r="D13055" i="2"/>
  <c r="F13055" i="2"/>
  <c r="G13055" i="2"/>
  <c r="H13055" i="2"/>
  <c r="J13055" i="2"/>
  <c r="K13055" i="2"/>
  <c r="L13055" i="2"/>
  <c r="D13056" i="2"/>
  <c r="F13056" i="2"/>
  <c r="G13056" i="2"/>
  <c r="H13056" i="2"/>
  <c r="J13056" i="2"/>
  <c r="K13056" i="2"/>
  <c r="L13056" i="2"/>
  <c r="C13057" i="2"/>
  <c r="D13057" i="2"/>
  <c r="F13057" i="2"/>
  <c r="G13057" i="2"/>
  <c r="H13057" i="2"/>
  <c r="J13057" i="2"/>
  <c r="K13057" i="2"/>
  <c r="L13057" i="2"/>
  <c r="C13058" i="2"/>
  <c r="D13058" i="2"/>
  <c r="F13058" i="2"/>
  <c r="G13058" i="2"/>
  <c r="H13058" i="2"/>
  <c r="J13058" i="2"/>
  <c r="K13058" i="2"/>
  <c r="L13058" i="2"/>
  <c r="C13059" i="2"/>
  <c r="D13059" i="2"/>
  <c r="F13059" i="2"/>
  <c r="G13059" i="2"/>
  <c r="H13059" i="2"/>
  <c r="J13059" i="2"/>
  <c r="K13059" i="2"/>
  <c r="L13059" i="2"/>
  <c r="C13060" i="2"/>
  <c r="D13060" i="2"/>
  <c r="F13060" i="2"/>
  <c r="G13060" i="2"/>
  <c r="H13060" i="2"/>
  <c r="J13060" i="2"/>
  <c r="K13060" i="2"/>
  <c r="L13060" i="2"/>
  <c r="C13061" i="2"/>
  <c r="D13061" i="2"/>
  <c r="F13061" i="2"/>
  <c r="G13061" i="2"/>
  <c r="H13061" i="2"/>
  <c r="J13061" i="2"/>
  <c r="K13061" i="2"/>
  <c r="L13061" i="2"/>
  <c r="C13062" i="2"/>
  <c r="D13062" i="2"/>
  <c r="F13062" i="2"/>
  <c r="G13062" i="2"/>
  <c r="H13062" i="2"/>
  <c r="J13062" i="2"/>
  <c r="K13062" i="2"/>
  <c r="L13062" i="2"/>
  <c r="C13063" i="2"/>
  <c r="D13063" i="2"/>
  <c r="F13063" i="2"/>
  <c r="G13063" i="2"/>
  <c r="H13063" i="2"/>
  <c r="J13063" i="2"/>
  <c r="K13063" i="2"/>
  <c r="L13063" i="2"/>
  <c r="C13064" i="2"/>
  <c r="D13064" i="2"/>
  <c r="F13064" i="2"/>
  <c r="G13064" i="2"/>
  <c r="H13064" i="2"/>
  <c r="J13064" i="2"/>
  <c r="K13064" i="2"/>
  <c r="L13064" i="2"/>
  <c r="C13065" i="2"/>
  <c r="D13065" i="2"/>
  <c r="F13065" i="2"/>
  <c r="G13065" i="2"/>
  <c r="H13065" i="2"/>
  <c r="J13065" i="2"/>
  <c r="K13065" i="2"/>
  <c r="L13065" i="2"/>
  <c r="C13066" i="2"/>
  <c r="D13066" i="2"/>
  <c r="F13066" i="2"/>
  <c r="G13066" i="2"/>
  <c r="H13066" i="2"/>
  <c r="J13066" i="2"/>
  <c r="K13066" i="2"/>
  <c r="L13066" i="2"/>
  <c r="C13067" i="2"/>
  <c r="D13067" i="2"/>
  <c r="F13067" i="2"/>
  <c r="G13067" i="2"/>
  <c r="H13067" i="2"/>
  <c r="J13067" i="2"/>
  <c r="K13067" i="2"/>
  <c r="L13067" i="2"/>
  <c r="C13068" i="2"/>
  <c r="D13068" i="2"/>
  <c r="F13068" i="2"/>
  <c r="G13068" i="2"/>
  <c r="H13068" i="2"/>
  <c r="J13068" i="2"/>
  <c r="K13068" i="2"/>
  <c r="L13068" i="2"/>
  <c r="C13069" i="2"/>
  <c r="D13069" i="2"/>
  <c r="F13069" i="2"/>
  <c r="G13069" i="2"/>
  <c r="H13069" i="2"/>
  <c r="J13069" i="2"/>
  <c r="K13069" i="2"/>
  <c r="L13069" i="2"/>
  <c r="C13070" i="2"/>
  <c r="D13070" i="2"/>
  <c r="F13070" i="2"/>
  <c r="G13070" i="2"/>
  <c r="H13070" i="2"/>
  <c r="J13070" i="2"/>
  <c r="K13070" i="2"/>
  <c r="L13070" i="2"/>
  <c r="C13071" i="2"/>
  <c r="D13071" i="2"/>
  <c r="F13071" i="2"/>
  <c r="G13071" i="2"/>
  <c r="H13071" i="2"/>
  <c r="J13071" i="2"/>
  <c r="K13071" i="2"/>
  <c r="L13071" i="2"/>
  <c r="C13072" i="2"/>
  <c r="D13072" i="2"/>
  <c r="F13072" i="2"/>
  <c r="G13072" i="2"/>
  <c r="H13072" i="2"/>
  <c r="J13072" i="2"/>
  <c r="K13072" i="2"/>
  <c r="L13072" i="2"/>
  <c r="C13073" i="2"/>
  <c r="D13073" i="2"/>
  <c r="F13073" i="2"/>
  <c r="G13073" i="2"/>
  <c r="H13073" i="2"/>
  <c r="J13073" i="2"/>
  <c r="K13073" i="2"/>
  <c r="L13073" i="2"/>
  <c r="C13074" i="2"/>
  <c r="D13074" i="2"/>
  <c r="F13074" i="2"/>
  <c r="G13074" i="2"/>
  <c r="H13074" i="2"/>
  <c r="J13074" i="2"/>
  <c r="K13074" i="2"/>
  <c r="L13074" i="2"/>
  <c r="C13075" i="2"/>
  <c r="D13075" i="2"/>
  <c r="F13075" i="2"/>
  <c r="G13075" i="2"/>
  <c r="H13075" i="2"/>
  <c r="J13075" i="2"/>
  <c r="K13075" i="2"/>
  <c r="L13075" i="2"/>
  <c r="C13076" i="2"/>
  <c r="D13076" i="2"/>
  <c r="F13076" i="2"/>
  <c r="G13076" i="2"/>
  <c r="H13076" i="2"/>
  <c r="J13076" i="2"/>
  <c r="K13076" i="2"/>
  <c r="L13076" i="2"/>
  <c r="C13077" i="2"/>
  <c r="D13077" i="2"/>
  <c r="F13077" i="2"/>
  <c r="G13077" i="2"/>
  <c r="H13077" i="2"/>
  <c r="J13077" i="2"/>
  <c r="K13077" i="2"/>
  <c r="L13077" i="2"/>
  <c r="C13078" i="2"/>
  <c r="D13078" i="2"/>
  <c r="F13078" i="2"/>
  <c r="G13078" i="2"/>
  <c r="H13078" i="2"/>
  <c r="J13078" i="2"/>
  <c r="K13078" i="2"/>
  <c r="L13078" i="2"/>
  <c r="C13079" i="2"/>
  <c r="D13079" i="2"/>
  <c r="F13079" i="2"/>
  <c r="G13079" i="2"/>
  <c r="H13079" i="2"/>
  <c r="J13079" i="2"/>
  <c r="K13079" i="2"/>
  <c r="L13079" i="2"/>
  <c r="C13080" i="2"/>
  <c r="D13080" i="2"/>
  <c r="F13080" i="2"/>
  <c r="G13080" i="2"/>
  <c r="H13080" i="2"/>
  <c r="J13080" i="2"/>
  <c r="K13080" i="2"/>
  <c r="L13080" i="2"/>
  <c r="C13081" i="2"/>
  <c r="D13081" i="2"/>
  <c r="F13081" i="2"/>
  <c r="G13081" i="2"/>
  <c r="H13081" i="2"/>
  <c r="J13081" i="2"/>
  <c r="K13081" i="2"/>
  <c r="L13081" i="2"/>
  <c r="C13082" i="2"/>
  <c r="D13082" i="2"/>
  <c r="F13082" i="2"/>
  <c r="G13082" i="2"/>
  <c r="H13082" i="2"/>
  <c r="J13082" i="2"/>
  <c r="K13082" i="2"/>
  <c r="L13082" i="2"/>
  <c r="C13083" i="2"/>
  <c r="D13083" i="2"/>
  <c r="F13083" i="2"/>
  <c r="G13083" i="2"/>
  <c r="H13083" i="2"/>
  <c r="J13083" i="2"/>
  <c r="K13083" i="2"/>
  <c r="L13083" i="2"/>
  <c r="C13084" i="2"/>
  <c r="D13084" i="2"/>
  <c r="F13084" i="2"/>
  <c r="G13084" i="2"/>
  <c r="H13084" i="2"/>
  <c r="J13084" i="2"/>
  <c r="K13084" i="2"/>
  <c r="L13084" i="2"/>
  <c r="C13085" i="2"/>
  <c r="D13085" i="2"/>
  <c r="F13085" i="2"/>
  <c r="G13085" i="2"/>
  <c r="H13085" i="2"/>
  <c r="J13085" i="2"/>
  <c r="K13085" i="2"/>
  <c r="L13085" i="2"/>
  <c r="C13086" i="2"/>
  <c r="D13086" i="2"/>
  <c r="F13086" i="2"/>
  <c r="G13086" i="2"/>
  <c r="H13086" i="2"/>
  <c r="J13086" i="2"/>
  <c r="K13086" i="2"/>
  <c r="L13086" i="2"/>
  <c r="C13087" i="2"/>
  <c r="D13087" i="2"/>
  <c r="F13087" i="2"/>
  <c r="G13087" i="2"/>
  <c r="H13087" i="2"/>
  <c r="J13087" i="2"/>
  <c r="K13087" i="2"/>
  <c r="L13087" i="2"/>
  <c r="C13088" i="2"/>
  <c r="D13088" i="2"/>
  <c r="F13088" i="2"/>
  <c r="G13088" i="2"/>
  <c r="H13088" i="2"/>
  <c r="J13088" i="2"/>
  <c r="K13088" i="2"/>
  <c r="L13088" i="2"/>
  <c r="C13089" i="2"/>
  <c r="D13089" i="2"/>
  <c r="F13089" i="2"/>
  <c r="G13089" i="2"/>
  <c r="H13089" i="2"/>
  <c r="J13089" i="2"/>
  <c r="K13089" i="2"/>
  <c r="L13089" i="2"/>
  <c r="C13090" i="2"/>
  <c r="D13090" i="2"/>
  <c r="F13090" i="2"/>
  <c r="G13090" i="2"/>
  <c r="H13090" i="2"/>
  <c r="J13090" i="2"/>
  <c r="K13090" i="2"/>
  <c r="L13090" i="2"/>
  <c r="C13091" i="2"/>
  <c r="D13091" i="2"/>
  <c r="F13091" i="2"/>
  <c r="G13091" i="2"/>
  <c r="H13091" i="2"/>
  <c r="J13091" i="2"/>
  <c r="K13091" i="2"/>
  <c r="L13091" i="2"/>
  <c r="C13092" i="2"/>
  <c r="D13092" i="2"/>
  <c r="F13092" i="2"/>
  <c r="G13092" i="2"/>
  <c r="H13092" i="2"/>
  <c r="J13092" i="2"/>
  <c r="K13092" i="2"/>
  <c r="L13092" i="2"/>
  <c r="C13093" i="2"/>
  <c r="D13093" i="2"/>
  <c r="F13093" i="2"/>
  <c r="G13093" i="2"/>
  <c r="H13093" i="2"/>
  <c r="J13093" i="2"/>
  <c r="K13093" i="2"/>
  <c r="L13093" i="2"/>
  <c r="C13094" i="2"/>
  <c r="D13094" i="2"/>
  <c r="F13094" i="2"/>
  <c r="G13094" i="2"/>
  <c r="H13094" i="2"/>
  <c r="J13094" i="2"/>
  <c r="K13094" i="2"/>
  <c r="L13094" i="2"/>
  <c r="C13095" i="2"/>
  <c r="D13095" i="2"/>
  <c r="F13095" i="2"/>
  <c r="G13095" i="2"/>
  <c r="H13095" i="2"/>
  <c r="J13095" i="2"/>
  <c r="K13095" i="2"/>
  <c r="L13095" i="2"/>
  <c r="C13096" i="2"/>
  <c r="D13096" i="2"/>
  <c r="F13096" i="2"/>
  <c r="G13096" i="2"/>
  <c r="H13096" i="2"/>
  <c r="J13096" i="2"/>
  <c r="K13096" i="2"/>
  <c r="L13096" i="2"/>
  <c r="C13097" i="2"/>
  <c r="D13097" i="2"/>
  <c r="F13097" i="2"/>
  <c r="G13097" i="2"/>
  <c r="H13097" i="2"/>
  <c r="J13097" i="2"/>
  <c r="K13097" i="2"/>
  <c r="L13097" i="2"/>
  <c r="C13098" i="2"/>
  <c r="D13098" i="2"/>
  <c r="F13098" i="2"/>
  <c r="G13098" i="2"/>
  <c r="H13098" i="2"/>
  <c r="J13098" i="2"/>
  <c r="K13098" i="2"/>
  <c r="L13098" i="2"/>
  <c r="C13099" i="2"/>
  <c r="D13099" i="2"/>
  <c r="F13099" i="2"/>
  <c r="G13099" i="2"/>
  <c r="H13099" i="2"/>
  <c r="J13099" i="2"/>
  <c r="K13099" i="2"/>
  <c r="L13099" i="2"/>
  <c r="C13100" i="2"/>
  <c r="D13100" i="2"/>
  <c r="F13100" i="2"/>
  <c r="G13100" i="2"/>
  <c r="H13100" i="2"/>
  <c r="J13100" i="2"/>
  <c r="K13100" i="2"/>
  <c r="L13100" i="2"/>
  <c r="C13101" i="2"/>
  <c r="D13101" i="2"/>
  <c r="F13101" i="2"/>
  <c r="G13101" i="2"/>
  <c r="H13101" i="2"/>
  <c r="J13101" i="2"/>
  <c r="K13101" i="2"/>
  <c r="L13101" i="2"/>
  <c r="C13102" i="2"/>
  <c r="D13102" i="2"/>
  <c r="F13102" i="2"/>
  <c r="G13102" i="2"/>
  <c r="H13102" i="2"/>
  <c r="J13102" i="2"/>
  <c r="K13102" i="2"/>
  <c r="L13102" i="2"/>
  <c r="C13103" i="2"/>
  <c r="D13103" i="2"/>
  <c r="F13103" i="2"/>
  <c r="G13103" i="2"/>
  <c r="H13103" i="2"/>
  <c r="J13103" i="2"/>
  <c r="K13103" i="2"/>
  <c r="L13103" i="2"/>
  <c r="C13104" i="2"/>
  <c r="D13104" i="2"/>
  <c r="F13104" i="2"/>
  <c r="G13104" i="2"/>
  <c r="H13104" i="2"/>
  <c r="J13104" i="2"/>
  <c r="K13104" i="2"/>
  <c r="L13104" i="2"/>
  <c r="C13105" i="2"/>
  <c r="D13105" i="2"/>
  <c r="F13105" i="2"/>
  <c r="G13105" i="2"/>
  <c r="H13105" i="2"/>
  <c r="J13105" i="2"/>
  <c r="K13105" i="2"/>
  <c r="L13105" i="2"/>
  <c r="C13106" i="2"/>
  <c r="D13106" i="2"/>
  <c r="F13106" i="2"/>
  <c r="G13106" i="2"/>
  <c r="H13106" i="2"/>
  <c r="J13106" i="2"/>
  <c r="K13106" i="2"/>
  <c r="L13106" i="2"/>
  <c r="C13107" i="2"/>
  <c r="D13107" i="2"/>
  <c r="F13107" i="2"/>
  <c r="G13107" i="2"/>
  <c r="H13107" i="2"/>
  <c r="J13107" i="2"/>
  <c r="K13107" i="2"/>
  <c r="L13107" i="2"/>
  <c r="C13108" i="2"/>
  <c r="D13108" i="2"/>
  <c r="F13108" i="2"/>
  <c r="G13108" i="2"/>
  <c r="H13108" i="2"/>
  <c r="J13108" i="2"/>
  <c r="K13108" i="2"/>
  <c r="L13108" i="2"/>
  <c r="C13109" i="2"/>
  <c r="D13109" i="2"/>
  <c r="F13109" i="2"/>
  <c r="G13109" i="2"/>
  <c r="H13109" i="2"/>
  <c r="J13109" i="2"/>
  <c r="K13109" i="2"/>
  <c r="L13109" i="2"/>
  <c r="C13110" i="2"/>
  <c r="D13110" i="2"/>
  <c r="F13110" i="2"/>
  <c r="G13110" i="2"/>
  <c r="H13110" i="2"/>
  <c r="J13110" i="2"/>
  <c r="K13110" i="2"/>
  <c r="L13110" i="2"/>
  <c r="C13111" i="2"/>
  <c r="D13111" i="2"/>
  <c r="F13111" i="2"/>
  <c r="G13111" i="2"/>
  <c r="H13111" i="2"/>
  <c r="J13111" i="2"/>
  <c r="K13111" i="2"/>
  <c r="L13111" i="2"/>
  <c r="C13112" i="2"/>
  <c r="D13112" i="2"/>
  <c r="F13112" i="2"/>
  <c r="G13112" i="2"/>
  <c r="H13112" i="2"/>
  <c r="J13112" i="2"/>
  <c r="K13112" i="2"/>
  <c r="L13112" i="2"/>
  <c r="C13113" i="2"/>
  <c r="D13113" i="2"/>
  <c r="F13113" i="2"/>
  <c r="G13113" i="2"/>
  <c r="H13113" i="2"/>
  <c r="J13113" i="2"/>
  <c r="K13113" i="2"/>
  <c r="L13113" i="2"/>
  <c r="C13114" i="2"/>
  <c r="D13114" i="2"/>
  <c r="F13114" i="2"/>
  <c r="G13114" i="2"/>
  <c r="H13114" i="2"/>
  <c r="J13114" i="2"/>
  <c r="K13114" i="2"/>
  <c r="L13114" i="2"/>
  <c r="C13115" i="2"/>
  <c r="D13115" i="2"/>
  <c r="F13115" i="2"/>
  <c r="G13115" i="2"/>
  <c r="H13115" i="2"/>
  <c r="J13115" i="2"/>
  <c r="K13115" i="2"/>
  <c r="L13115" i="2"/>
  <c r="C13116" i="2"/>
  <c r="D13116" i="2"/>
  <c r="F13116" i="2"/>
  <c r="G13116" i="2"/>
  <c r="H13116" i="2"/>
  <c r="J13116" i="2"/>
  <c r="K13116" i="2"/>
  <c r="L13116" i="2"/>
  <c r="C13117" i="2"/>
  <c r="D13117" i="2"/>
  <c r="F13117" i="2"/>
  <c r="G13117" i="2"/>
  <c r="H13117" i="2"/>
  <c r="J13117" i="2"/>
  <c r="K13117" i="2"/>
  <c r="L13117" i="2"/>
  <c r="C13118" i="2"/>
  <c r="D13118" i="2"/>
  <c r="F13118" i="2"/>
  <c r="G13118" i="2"/>
  <c r="H13118" i="2"/>
  <c r="J13118" i="2"/>
  <c r="K13118" i="2"/>
  <c r="L13118" i="2"/>
  <c r="C13119" i="2"/>
  <c r="D13119" i="2"/>
  <c r="F13119" i="2"/>
  <c r="G13119" i="2"/>
  <c r="H13119" i="2"/>
  <c r="J13119" i="2"/>
  <c r="K13119" i="2"/>
  <c r="L13119" i="2"/>
  <c r="C13120" i="2"/>
  <c r="D13120" i="2"/>
  <c r="F13120" i="2"/>
  <c r="G13120" i="2"/>
  <c r="H13120" i="2"/>
  <c r="J13120" i="2"/>
  <c r="K13120" i="2"/>
  <c r="L13120" i="2"/>
  <c r="C13121" i="2"/>
  <c r="D13121" i="2"/>
  <c r="F13121" i="2"/>
  <c r="G13121" i="2"/>
  <c r="H13121" i="2"/>
  <c r="J13121" i="2"/>
  <c r="K13121" i="2"/>
  <c r="L13121" i="2"/>
  <c r="C13122" i="2"/>
  <c r="D13122" i="2"/>
  <c r="F13122" i="2"/>
  <c r="G13122" i="2"/>
  <c r="H13122" i="2"/>
  <c r="J13122" i="2"/>
  <c r="K13122" i="2"/>
  <c r="L13122" i="2"/>
  <c r="C13123" i="2"/>
  <c r="D13123" i="2"/>
  <c r="F13123" i="2"/>
  <c r="G13123" i="2"/>
  <c r="H13123" i="2"/>
  <c r="J13123" i="2"/>
  <c r="K13123" i="2"/>
  <c r="L13123" i="2"/>
  <c r="C13124" i="2"/>
  <c r="D13124" i="2"/>
  <c r="F13124" i="2"/>
  <c r="G13124" i="2"/>
  <c r="H13124" i="2"/>
  <c r="J13124" i="2"/>
  <c r="K13124" i="2"/>
  <c r="L13124" i="2"/>
  <c r="C13125" i="2"/>
  <c r="D13125" i="2"/>
  <c r="F13125" i="2"/>
  <c r="G13125" i="2"/>
  <c r="H13125" i="2"/>
  <c r="J13125" i="2"/>
  <c r="K13125" i="2"/>
  <c r="L13125" i="2"/>
  <c r="C13126" i="2"/>
  <c r="D13126" i="2"/>
  <c r="F13126" i="2"/>
  <c r="G13126" i="2"/>
  <c r="H13126" i="2"/>
  <c r="J13126" i="2"/>
  <c r="K13126" i="2"/>
  <c r="L13126" i="2"/>
  <c r="C13127" i="2"/>
  <c r="D13127" i="2"/>
  <c r="F13127" i="2"/>
  <c r="G13127" i="2"/>
  <c r="H13127" i="2"/>
  <c r="J13127" i="2"/>
  <c r="K13127" i="2"/>
  <c r="L13127" i="2"/>
  <c r="C13128" i="2"/>
  <c r="D13128" i="2"/>
  <c r="F13128" i="2"/>
  <c r="G13128" i="2"/>
  <c r="H13128" i="2"/>
  <c r="J13128" i="2"/>
  <c r="K13128" i="2"/>
  <c r="L13128" i="2"/>
  <c r="C13129" i="2"/>
  <c r="D13129" i="2"/>
  <c r="F13129" i="2"/>
  <c r="G13129" i="2"/>
  <c r="H13129" i="2"/>
  <c r="J13129" i="2"/>
  <c r="K13129" i="2"/>
  <c r="L13129" i="2"/>
  <c r="C13130" i="2"/>
  <c r="D13130" i="2"/>
  <c r="F13130" i="2"/>
  <c r="G13130" i="2"/>
  <c r="H13130" i="2"/>
  <c r="J13130" i="2"/>
  <c r="K13130" i="2"/>
  <c r="L13130" i="2"/>
  <c r="C13131" i="2"/>
  <c r="D13131" i="2"/>
  <c r="F13131" i="2"/>
  <c r="G13131" i="2"/>
  <c r="H13131" i="2"/>
  <c r="J13131" i="2"/>
  <c r="K13131" i="2"/>
  <c r="L13131" i="2"/>
  <c r="C13132" i="2"/>
  <c r="D13132" i="2"/>
  <c r="F13132" i="2"/>
  <c r="G13132" i="2"/>
  <c r="H13132" i="2"/>
  <c r="J13132" i="2"/>
  <c r="K13132" i="2"/>
  <c r="L13132" i="2"/>
  <c r="C13133" i="2"/>
  <c r="D13133" i="2"/>
  <c r="F13133" i="2"/>
  <c r="G13133" i="2"/>
  <c r="H13133" i="2"/>
  <c r="J13133" i="2"/>
  <c r="K13133" i="2"/>
  <c r="L13133" i="2"/>
  <c r="C13134" i="2"/>
  <c r="D13134" i="2"/>
  <c r="F13134" i="2"/>
  <c r="G13134" i="2"/>
  <c r="H13134" i="2"/>
  <c r="J13134" i="2"/>
  <c r="K13134" i="2"/>
  <c r="L13134" i="2"/>
  <c r="C13135" i="2"/>
  <c r="D13135" i="2"/>
  <c r="F13135" i="2"/>
  <c r="G13135" i="2"/>
  <c r="H13135" i="2"/>
  <c r="J13135" i="2"/>
  <c r="K13135" i="2"/>
  <c r="L13135" i="2"/>
  <c r="C13136" i="2"/>
  <c r="D13136" i="2"/>
  <c r="F13136" i="2"/>
  <c r="G13136" i="2"/>
  <c r="H13136" i="2"/>
  <c r="J13136" i="2"/>
  <c r="K13136" i="2"/>
  <c r="L13136" i="2"/>
  <c r="C13137" i="2"/>
  <c r="D13137" i="2"/>
  <c r="F13137" i="2"/>
  <c r="G13137" i="2"/>
  <c r="H13137" i="2"/>
  <c r="J13137" i="2"/>
  <c r="K13137" i="2"/>
  <c r="L13137" i="2"/>
  <c r="C13138" i="2"/>
  <c r="D13138" i="2"/>
  <c r="F13138" i="2"/>
  <c r="G13138" i="2"/>
  <c r="H13138" i="2"/>
  <c r="J13138" i="2"/>
  <c r="K13138" i="2"/>
  <c r="L13138" i="2"/>
  <c r="C13139" i="2"/>
  <c r="D13139" i="2"/>
  <c r="F13139" i="2"/>
  <c r="G13139" i="2"/>
  <c r="H13139" i="2"/>
  <c r="J13139" i="2"/>
  <c r="K13139" i="2"/>
  <c r="L13139" i="2"/>
  <c r="C13140" i="2"/>
  <c r="D13140" i="2"/>
  <c r="F13140" i="2"/>
  <c r="G13140" i="2"/>
  <c r="H13140" i="2"/>
  <c r="J13140" i="2"/>
  <c r="K13140" i="2"/>
  <c r="L13140" i="2"/>
  <c r="C13141" i="2"/>
  <c r="D13141" i="2"/>
  <c r="F13141" i="2"/>
  <c r="G13141" i="2"/>
  <c r="H13141" i="2"/>
  <c r="J13141" i="2"/>
  <c r="K13141" i="2"/>
  <c r="L13141" i="2"/>
  <c r="C13142" i="2"/>
  <c r="D13142" i="2"/>
  <c r="F13142" i="2"/>
  <c r="G13142" i="2"/>
  <c r="H13142" i="2"/>
  <c r="J13142" i="2"/>
  <c r="K13142" i="2"/>
  <c r="L13142" i="2"/>
  <c r="C13143" i="2"/>
  <c r="D13143" i="2"/>
  <c r="F13143" i="2"/>
  <c r="G13143" i="2"/>
  <c r="H13143" i="2"/>
  <c r="J13143" i="2"/>
  <c r="K13143" i="2"/>
  <c r="L13143" i="2"/>
  <c r="C13144" i="2"/>
  <c r="D13144" i="2"/>
  <c r="F13144" i="2"/>
  <c r="G13144" i="2"/>
  <c r="H13144" i="2"/>
  <c r="J13144" i="2"/>
  <c r="K13144" i="2"/>
  <c r="L13144" i="2"/>
  <c r="C13145" i="2"/>
  <c r="D13145" i="2"/>
  <c r="F13145" i="2"/>
  <c r="G13145" i="2"/>
  <c r="H13145" i="2"/>
  <c r="J13145" i="2"/>
  <c r="K13145" i="2"/>
  <c r="L13145" i="2"/>
  <c r="C13146" i="2"/>
  <c r="D13146" i="2"/>
  <c r="F13146" i="2"/>
  <c r="G13146" i="2"/>
  <c r="H13146" i="2"/>
  <c r="J13146" i="2"/>
  <c r="K13146" i="2"/>
  <c r="L13146" i="2"/>
  <c r="C13147" i="2"/>
  <c r="D13147" i="2"/>
  <c r="F13147" i="2"/>
  <c r="G13147" i="2"/>
  <c r="H13147" i="2"/>
  <c r="J13147" i="2"/>
  <c r="K13147" i="2"/>
  <c r="L13147" i="2"/>
  <c r="C13148" i="2"/>
  <c r="D13148" i="2"/>
  <c r="F13148" i="2"/>
  <c r="G13148" i="2"/>
  <c r="H13148" i="2"/>
  <c r="J13148" i="2"/>
  <c r="K13148" i="2"/>
  <c r="L13148" i="2"/>
  <c r="C13149" i="2"/>
  <c r="D13149" i="2"/>
  <c r="F13149" i="2"/>
  <c r="G13149" i="2"/>
  <c r="H13149" i="2"/>
  <c r="J13149" i="2"/>
  <c r="K13149" i="2"/>
  <c r="L13149" i="2"/>
  <c r="C13150" i="2"/>
  <c r="D13150" i="2"/>
  <c r="F13150" i="2"/>
  <c r="G13150" i="2"/>
  <c r="H13150" i="2"/>
  <c r="J13150" i="2"/>
  <c r="K13150" i="2"/>
  <c r="L13150" i="2"/>
  <c r="C13151" i="2"/>
  <c r="D13151" i="2"/>
  <c r="F13151" i="2"/>
  <c r="G13151" i="2"/>
  <c r="H13151" i="2"/>
  <c r="J13151" i="2"/>
  <c r="K13151" i="2"/>
  <c r="L13151" i="2"/>
  <c r="C13152" i="2"/>
  <c r="D13152" i="2"/>
  <c r="F13152" i="2"/>
  <c r="G13152" i="2"/>
  <c r="H13152" i="2"/>
  <c r="J13152" i="2"/>
  <c r="K13152" i="2"/>
  <c r="L13152" i="2"/>
  <c r="C13153" i="2"/>
  <c r="D13153" i="2"/>
  <c r="F13153" i="2"/>
  <c r="G13153" i="2"/>
  <c r="H13153" i="2"/>
  <c r="J13153" i="2"/>
  <c r="K13153" i="2"/>
  <c r="L13153" i="2"/>
  <c r="C13154" i="2"/>
  <c r="D13154" i="2"/>
  <c r="F13154" i="2"/>
  <c r="G13154" i="2"/>
  <c r="H13154" i="2"/>
  <c r="J13154" i="2"/>
  <c r="K13154" i="2"/>
  <c r="L13154" i="2"/>
  <c r="C13155" i="2"/>
  <c r="D13155" i="2"/>
  <c r="F13155" i="2"/>
  <c r="G13155" i="2"/>
  <c r="H13155" i="2"/>
  <c r="J13155" i="2"/>
  <c r="K13155" i="2"/>
  <c r="L13155" i="2"/>
  <c r="C13156" i="2"/>
  <c r="D13156" i="2"/>
  <c r="F13156" i="2"/>
  <c r="G13156" i="2"/>
  <c r="H13156" i="2"/>
  <c r="J13156" i="2"/>
  <c r="K13156" i="2"/>
  <c r="L13156" i="2"/>
  <c r="C13157" i="2"/>
  <c r="D13157" i="2"/>
  <c r="F13157" i="2"/>
  <c r="G13157" i="2"/>
  <c r="H13157" i="2"/>
  <c r="J13157" i="2"/>
  <c r="K13157" i="2"/>
  <c r="L13157" i="2"/>
  <c r="C13158" i="2"/>
  <c r="D13158" i="2"/>
  <c r="F13158" i="2"/>
  <c r="G13158" i="2"/>
  <c r="H13158" i="2"/>
  <c r="J13158" i="2"/>
  <c r="K13158" i="2"/>
  <c r="L13158" i="2"/>
  <c r="C13159" i="2"/>
  <c r="D13159" i="2"/>
  <c r="F13159" i="2"/>
  <c r="G13159" i="2"/>
  <c r="H13159" i="2"/>
  <c r="J13159" i="2"/>
  <c r="K13159" i="2"/>
  <c r="L13159" i="2"/>
  <c r="C13160" i="2"/>
  <c r="D13160" i="2"/>
  <c r="F13160" i="2"/>
  <c r="G13160" i="2"/>
  <c r="H13160" i="2"/>
  <c r="J13160" i="2"/>
  <c r="K13160" i="2"/>
  <c r="L13160" i="2"/>
  <c r="C13161" i="2"/>
  <c r="D13161" i="2"/>
  <c r="F13161" i="2"/>
  <c r="G13161" i="2"/>
  <c r="H13161" i="2"/>
  <c r="J13161" i="2"/>
  <c r="K13161" i="2"/>
  <c r="L13161" i="2"/>
  <c r="C13162" i="2"/>
  <c r="D13162" i="2"/>
  <c r="F13162" i="2"/>
  <c r="G13162" i="2"/>
  <c r="H13162" i="2"/>
  <c r="J13162" i="2"/>
  <c r="K13162" i="2"/>
  <c r="L13162" i="2"/>
  <c r="C13163" i="2"/>
  <c r="D13163" i="2"/>
  <c r="F13163" i="2"/>
  <c r="G13163" i="2"/>
  <c r="H13163" i="2"/>
  <c r="J13163" i="2"/>
  <c r="K13163" i="2"/>
  <c r="L13163" i="2"/>
  <c r="C13164" i="2"/>
  <c r="D13164" i="2"/>
  <c r="F13164" i="2"/>
  <c r="G13164" i="2"/>
  <c r="H13164" i="2"/>
  <c r="J13164" i="2"/>
  <c r="K13164" i="2"/>
  <c r="L13164" i="2"/>
  <c r="C13165" i="2"/>
  <c r="D13165" i="2"/>
  <c r="F13165" i="2"/>
  <c r="G13165" i="2"/>
  <c r="H13165" i="2"/>
  <c r="J13165" i="2"/>
  <c r="K13165" i="2"/>
  <c r="L13165" i="2"/>
  <c r="C13166" i="2"/>
  <c r="D13166" i="2"/>
  <c r="F13166" i="2"/>
  <c r="G13166" i="2"/>
  <c r="H13166" i="2"/>
  <c r="J13166" i="2"/>
  <c r="K13166" i="2"/>
  <c r="L13166" i="2"/>
  <c r="C13167" i="2"/>
  <c r="D13167" i="2"/>
  <c r="F13167" i="2"/>
  <c r="G13167" i="2"/>
  <c r="H13167" i="2"/>
  <c r="J13167" i="2"/>
  <c r="K13167" i="2"/>
  <c r="L13167" i="2"/>
  <c r="C13168" i="2"/>
  <c r="D13168" i="2"/>
  <c r="F13168" i="2"/>
  <c r="G13168" i="2"/>
  <c r="H13168" i="2"/>
  <c r="J13168" i="2"/>
  <c r="K13168" i="2"/>
  <c r="L13168" i="2"/>
  <c r="C13169" i="2"/>
  <c r="D13169" i="2"/>
  <c r="F13169" i="2"/>
  <c r="G13169" i="2"/>
  <c r="H13169" i="2"/>
  <c r="J13169" i="2"/>
  <c r="K13169" i="2"/>
  <c r="L13169" i="2"/>
  <c r="C13170" i="2"/>
  <c r="D13170" i="2"/>
  <c r="F13170" i="2"/>
  <c r="G13170" i="2"/>
  <c r="H13170" i="2"/>
  <c r="J13170" i="2"/>
  <c r="K13170" i="2"/>
  <c r="L13170" i="2"/>
  <c r="C13171" i="2"/>
  <c r="D13171" i="2"/>
  <c r="F13171" i="2"/>
  <c r="G13171" i="2"/>
  <c r="H13171" i="2"/>
  <c r="J13171" i="2"/>
  <c r="K13171" i="2"/>
  <c r="L13171" i="2"/>
  <c r="C13172" i="2"/>
  <c r="D13172" i="2"/>
  <c r="F13172" i="2"/>
  <c r="G13172" i="2"/>
  <c r="H13172" i="2"/>
  <c r="J13172" i="2"/>
  <c r="K13172" i="2"/>
  <c r="L13172" i="2"/>
  <c r="C13173" i="2"/>
  <c r="D13173" i="2"/>
  <c r="F13173" i="2"/>
  <c r="G13173" i="2"/>
  <c r="H13173" i="2"/>
  <c r="J13173" i="2"/>
  <c r="K13173" i="2"/>
  <c r="L13173" i="2"/>
  <c r="C13174" i="2"/>
  <c r="D13174" i="2"/>
  <c r="F13174" i="2"/>
  <c r="G13174" i="2"/>
  <c r="H13174" i="2"/>
  <c r="J13174" i="2"/>
  <c r="K13174" i="2"/>
  <c r="L13174" i="2"/>
  <c r="C13175" i="2"/>
  <c r="D13175" i="2"/>
  <c r="F13175" i="2"/>
  <c r="G13175" i="2"/>
  <c r="H13175" i="2"/>
  <c r="J13175" i="2"/>
  <c r="K13175" i="2"/>
  <c r="L13175" i="2"/>
  <c r="C13176" i="2"/>
  <c r="D13176" i="2"/>
  <c r="F13176" i="2"/>
  <c r="G13176" i="2"/>
  <c r="H13176" i="2"/>
  <c r="J13176" i="2"/>
  <c r="K13176" i="2"/>
  <c r="L13176" i="2"/>
  <c r="C13177" i="2"/>
  <c r="D13177" i="2"/>
  <c r="F13177" i="2"/>
  <c r="G13177" i="2"/>
  <c r="H13177" i="2"/>
  <c r="J13177" i="2"/>
  <c r="K13177" i="2"/>
  <c r="L13177" i="2"/>
  <c r="C13178" i="2"/>
  <c r="D13178" i="2"/>
  <c r="F13178" i="2"/>
  <c r="G13178" i="2"/>
  <c r="H13178" i="2"/>
  <c r="J13178" i="2"/>
  <c r="K13178" i="2"/>
  <c r="L13178" i="2"/>
  <c r="C13179" i="2"/>
  <c r="D13179" i="2"/>
  <c r="F13179" i="2"/>
  <c r="G13179" i="2"/>
  <c r="H13179" i="2"/>
  <c r="J13179" i="2"/>
  <c r="K13179" i="2"/>
  <c r="L13179" i="2"/>
  <c r="C13180" i="2"/>
  <c r="D13180" i="2"/>
  <c r="F13180" i="2"/>
  <c r="G13180" i="2"/>
  <c r="H13180" i="2"/>
  <c r="J13180" i="2"/>
  <c r="K13180" i="2"/>
  <c r="L13180" i="2"/>
  <c r="C13181" i="2"/>
  <c r="D13181" i="2"/>
  <c r="F13181" i="2"/>
  <c r="G13181" i="2"/>
  <c r="H13181" i="2"/>
  <c r="J13181" i="2"/>
  <c r="K13181" i="2"/>
  <c r="L13181" i="2"/>
  <c r="C13182" i="2"/>
  <c r="D13182" i="2"/>
  <c r="F13182" i="2"/>
  <c r="G13182" i="2"/>
  <c r="H13182" i="2"/>
  <c r="J13182" i="2"/>
  <c r="K13182" i="2"/>
  <c r="L13182" i="2"/>
  <c r="C13183" i="2"/>
  <c r="D13183" i="2"/>
  <c r="F13183" i="2"/>
  <c r="G13183" i="2"/>
  <c r="H13183" i="2"/>
  <c r="J13183" i="2"/>
  <c r="K13183" i="2"/>
  <c r="L13183" i="2"/>
  <c r="C13184" i="2"/>
  <c r="D13184" i="2"/>
  <c r="F13184" i="2"/>
  <c r="G13184" i="2"/>
  <c r="H13184" i="2"/>
  <c r="J13184" i="2"/>
  <c r="K13184" i="2"/>
  <c r="L13184" i="2"/>
  <c r="C13185" i="2"/>
  <c r="D13185" i="2"/>
  <c r="F13185" i="2"/>
  <c r="G13185" i="2"/>
  <c r="H13185" i="2"/>
  <c r="J13185" i="2"/>
  <c r="K13185" i="2"/>
  <c r="L13185" i="2"/>
  <c r="C13186" i="2"/>
  <c r="D13186" i="2"/>
  <c r="F13186" i="2"/>
  <c r="G13186" i="2"/>
  <c r="H13186" i="2"/>
  <c r="J13186" i="2"/>
  <c r="K13186" i="2"/>
  <c r="L13186" i="2"/>
  <c r="C13187" i="2"/>
  <c r="D13187" i="2"/>
  <c r="F13187" i="2"/>
  <c r="G13187" i="2"/>
  <c r="H13187" i="2"/>
  <c r="J13187" i="2"/>
  <c r="K13187" i="2"/>
  <c r="L13187" i="2"/>
  <c r="C13188" i="2"/>
  <c r="D13188" i="2"/>
  <c r="F13188" i="2"/>
  <c r="G13188" i="2"/>
  <c r="H13188" i="2"/>
  <c r="J13188" i="2"/>
  <c r="K13188" i="2"/>
  <c r="L13188" i="2"/>
  <c r="C13189" i="2"/>
  <c r="D13189" i="2"/>
  <c r="F13189" i="2"/>
  <c r="G13189" i="2"/>
  <c r="H13189" i="2"/>
  <c r="J13189" i="2"/>
  <c r="K13189" i="2"/>
  <c r="L13189" i="2"/>
  <c r="C13190" i="2"/>
  <c r="D13190" i="2"/>
  <c r="F13190" i="2"/>
  <c r="G13190" i="2"/>
  <c r="H13190" i="2"/>
  <c r="J13190" i="2"/>
  <c r="K13190" i="2"/>
  <c r="L13190" i="2"/>
  <c r="C13191" i="2"/>
  <c r="D13191" i="2"/>
  <c r="F13191" i="2"/>
  <c r="G13191" i="2"/>
  <c r="H13191" i="2"/>
  <c r="J13191" i="2"/>
  <c r="K13191" i="2"/>
  <c r="L13191" i="2"/>
  <c r="C13192" i="2"/>
  <c r="D13192" i="2"/>
  <c r="F13192" i="2"/>
  <c r="G13192" i="2"/>
  <c r="H13192" i="2"/>
  <c r="J13192" i="2"/>
  <c r="K13192" i="2"/>
  <c r="L13192" i="2"/>
  <c r="C13193" i="2"/>
  <c r="D13193" i="2"/>
  <c r="F13193" i="2"/>
  <c r="G13193" i="2"/>
  <c r="H13193" i="2"/>
  <c r="J13193" i="2"/>
  <c r="K13193" i="2"/>
  <c r="L13193" i="2"/>
  <c r="C13194" i="2"/>
  <c r="D13194" i="2"/>
  <c r="F13194" i="2"/>
  <c r="G13194" i="2"/>
  <c r="H13194" i="2"/>
  <c r="J13194" i="2"/>
  <c r="K13194" i="2"/>
  <c r="L13194" i="2"/>
  <c r="C13195" i="2"/>
  <c r="D13195" i="2"/>
  <c r="F13195" i="2"/>
  <c r="G13195" i="2"/>
  <c r="H13195" i="2"/>
  <c r="J13195" i="2"/>
  <c r="K13195" i="2"/>
  <c r="L13195" i="2"/>
  <c r="C13196" i="2"/>
  <c r="D13196" i="2"/>
  <c r="F13196" i="2"/>
  <c r="G13196" i="2"/>
  <c r="H13196" i="2"/>
  <c r="J13196" i="2"/>
  <c r="K13196" i="2"/>
  <c r="L13196" i="2"/>
  <c r="C13197" i="2"/>
  <c r="D13197" i="2"/>
  <c r="F13197" i="2"/>
  <c r="G13197" i="2"/>
  <c r="H13197" i="2"/>
  <c r="J13197" i="2"/>
  <c r="K13197" i="2"/>
  <c r="L13197" i="2"/>
  <c r="C13198" i="2"/>
  <c r="D13198" i="2"/>
  <c r="F13198" i="2"/>
  <c r="G13198" i="2"/>
  <c r="H13198" i="2"/>
  <c r="J13198" i="2"/>
  <c r="K13198" i="2"/>
  <c r="L13198" i="2"/>
  <c r="C13199" i="2"/>
  <c r="D13199" i="2"/>
  <c r="F13199" i="2"/>
  <c r="G13199" i="2"/>
  <c r="H13199" i="2"/>
  <c r="J13199" i="2"/>
  <c r="K13199" i="2"/>
  <c r="L13199" i="2"/>
  <c r="C13200" i="2"/>
  <c r="D13200" i="2"/>
  <c r="F13200" i="2"/>
  <c r="G13200" i="2"/>
  <c r="H13200" i="2"/>
  <c r="J13200" i="2"/>
  <c r="K13200" i="2"/>
  <c r="L13200" i="2"/>
  <c r="C13201" i="2"/>
  <c r="D13201" i="2"/>
  <c r="F13201" i="2"/>
  <c r="G13201" i="2"/>
  <c r="H13201" i="2"/>
  <c r="J13201" i="2"/>
  <c r="K13201" i="2"/>
  <c r="L13201" i="2"/>
  <c r="C13202" i="2"/>
  <c r="D13202" i="2"/>
  <c r="F13202" i="2"/>
  <c r="G13202" i="2"/>
  <c r="H13202" i="2"/>
  <c r="J13202" i="2"/>
  <c r="K13202" i="2"/>
  <c r="L13202" i="2"/>
  <c r="C13203" i="2"/>
  <c r="D13203" i="2"/>
  <c r="F13203" i="2"/>
  <c r="G13203" i="2"/>
  <c r="H13203" i="2"/>
  <c r="J13203" i="2"/>
  <c r="K13203" i="2"/>
  <c r="L13203" i="2"/>
  <c r="C13204" i="2"/>
  <c r="D13204" i="2"/>
  <c r="F13204" i="2"/>
  <c r="G13204" i="2"/>
  <c r="H13204" i="2"/>
  <c r="J13204" i="2"/>
  <c r="K13204" i="2"/>
  <c r="L13204" i="2"/>
  <c r="C13205" i="2"/>
  <c r="D13205" i="2"/>
  <c r="F13205" i="2"/>
  <c r="G13205" i="2"/>
  <c r="H13205" i="2"/>
  <c r="J13205" i="2"/>
  <c r="K13205" i="2"/>
  <c r="L13205" i="2"/>
  <c r="C13206" i="2"/>
  <c r="D13206" i="2"/>
  <c r="F13206" i="2"/>
  <c r="G13206" i="2"/>
  <c r="H13206" i="2"/>
  <c r="J13206" i="2"/>
  <c r="K13206" i="2"/>
  <c r="L13206" i="2"/>
  <c r="C13207" i="2"/>
  <c r="D13207" i="2"/>
  <c r="E13207" i="2"/>
  <c r="F13207" i="2"/>
  <c r="G13207" i="2"/>
  <c r="H13207" i="2"/>
  <c r="J13207" i="2"/>
  <c r="K13207" i="2"/>
  <c r="L13207" i="2"/>
  <c r="C13208" i="2"/>
  <c r="D13208" i="2"/>
  <c r="F13208" i="2"/>
  <c r="G13208" i="2"/>
  <c r="H13208" i="2"/>
  <c r="J13208" i="2"/>
  <c r="K13208" i="2"/>
  <c r="L13208" i="2"/>
  <c r="C13209" i="2"/>
  <c r="D13209" i="2"/>
  <c r="F13209" i="2"/>
  <c r="G13209" i="2"/>
  <c r="H13209" i="2"/>
  <c r="J13209" i="2"/>
  <c r="K13209" i="2"/>
  <c r="L13209" i="2"/>
  <c r="C13210" i="2"/>
  <c r="D13210" i="2"/>
  <c r="F13210" i="2"/>
  <c r="G13210" i="2"/>
  <c r="H13210" i="2"/>
  <c r="J13210" i="2"/>
  <c r="K13210" i="2"/>
  <c r="L13210" i="2"/>
  <c r="C13211" i="2"/>
  <c r="D13211" i="2"/>
  <c r="F13211" i="2"/>
  <c r="G13211" i="2"/>
  <c r="H13211" i="2"/>
  <c r="J13211" i="2"/>
  <c r="K13211" i="2"/>
  <c r="L13211" i="2"/>
  <c r="C13212" i="2"/>
  <c r="D13212" i="2"/>
  <c r="F13212" i="2"/>
  <c r="G13212" i="2"/>
  <c r="H13212" i="2"/>
  <c r="J13212" i="2"/>
  <c r="K13212" i="2"/>
  <c r="L13212" i="2"/>
  <c r="C13213" i="2"/>
  <c r="D13213" i="2"/>
  <c r="F13213" i="2"/>
  <c r="G13213" i="2"/>
  <c r="H13213" i="2"/>
  <c r="J13213" i="2"/>
  <c r="K13213" i="2"/>
  <c r="L13213" i="2"/>
  <c r="C13214" i="2"/>
  <c r="D13214" i="2"/>
  <c r="F13214" i="2"/>
  <c r="G13214" i="2"/>
  <c r="H13214" i="2"/>
  <c r="J13214" i="2"/>
  <c r="K13214" i="2"/>
  <c r="L13214" i="2"/>
  <c r="C13215" i="2"/>
  <c r="D13215" i="2"/>
  <c r="F13215" i="2"/>
  <c r="G13215" i="2"/>
  <c r="H13215" i="2"/>
  <c r="J13215" i="2"/>
  <c r="K13215" i="2"/>
  <c r="L13215" i="2"/>
  <c r="C13216" i="2"/>
  <c r="D13216" i="2"/>
  <c r="F13216" i="2"/>
  <c r="G13216" i="2"/>
  <c r="H13216" i="2"/>
  <c r="J13216" i="2"/>
  <c r="K13216" i="2"/>
  <c r="L13216" i="2"/>
  <c r="C13217" i="2"/>
  <c r="D13217" i="2"/>
  <c r="F13217" i="2"/>
  <c r="G13217" i="2"/>
  <c r="H13217" i="2"/>
  <c r="J13217" i="2"/>
  <c r="K13217" i="2"/>
  <c r="L13217" i="2"/>
  <c r="C13218" i="2"/>
  <c r="D13218" i="2"/>
  <c r="F13218" i="2"/>
  <c r="G13218" i="2"/>
  <c r="H13218" i="2"/>
  <c r="J13218" i="2"/>
  <c r="K13218" i="2"/>
  <c r="L13218" i="2"/>
  <c r="C13219" i="2"/>
  <c r="D13219" i="2"/>
  <c r="F13219" i="2"/>
  <c r="G13219" i="2"/>
  <c r="H13219" i="2"/>
  <c r="J13219" i="2"/>
  <c r="K13219" i="2"/>
  <c r="L13219" i="2"/>
  <c r="C13220" i="2"/>
  <c r="D13220" i="2"/>
  <c r="F13220" i="2"/>
  <c r="G13220" i="2"/>
  <c r="H13220" i="2"/>
  <c r="J13220" i="2"/>
  <c r="K13220" i="2"/>
  <c r="L13220" i="2"/>
  <c r="C13221" i="2"/>
  <c r="D13221" i="2"/>
  <c r="F13221" i="2"/>
  <c r="G13221" i="2"/>
  <c r="H13221" i="2"/>
  <c r="J13221" i="2"/>
  <c r="K13221" i="2"/>
  <c r="L13221" i="2"/>
  <c r="C13222" i="2"/>
  <c r="D13222" i="2"/>
  <c r="F13222" i="2"/>
  <c r="G13222" i="2"/>
  <c r="H13222" i="2"/>
  <c r="J13222" i="2"/>
  <c r="K13222" i="2"/>
  <c r="L13222" i="2"/>
  <c r="C13223" i="2"/>
  <c r="D13223" i="2"/>
  <c r="F13223" i="2"/>
  <c r="G13223" i="2"/>
  <c r="H13223" i="2"/>
  <c r="J13223" i="2"/>
  <c r="K13223" i="2"/>
  <c r="L13223" i="2"/>
  <c r="C13224" i="2"/>
  <c r="D13224" i="2"/>
  <c r="F13224" i="2"/>
  <c r="G13224" i="2"/>
  <c r="H13224" i="2"/>
  <c r="J13224" i="2"/>
  <c r="K13224" i="2"/>
  <c r="L13224" i="2"/>
  <c r="C13225" i="2"/>
  <c r="D13225" i="2"/>
  <c r="F13225" i="2"/>
  <c r="G13225" i="2"/>
  <c r="H13225" i="2"/>
  <c r="J13225" i="2"/>
  <c r="K13225" i="2"/>
  <c r="L13225" i="2"/>
  <c r="C13226" i="2"/>
  <c r="D13226" i="2"/>
  <c r="F13226" i="2"/>
  <c r="G13226" i="2"/>
  <c r="H13226" i="2"/>
  <c r="J13226" i="2"/>
  <c r="K13226" i="2"/>
  <c r="L13226" i="2"/>
  <c r="C13227" i="2"/>
  <c r="D13227" i="2"/>
  <c r="F13227" i="2"/>
  <c r="G13227" i="2"/>
  <c r="H13227" i="2"/>
  <c r="J13227" i="2"/>
  <c r="K13227" i="2"/>
  <c r="L13227" i="2"/>
  <c r="C13228" i="2"/>
  <c r="D13228" i="2"/>
  <c r="F13228" i="2"/>
  <c r="G13228" i="2"/>
  <c r="H13228" i="2"/>
  <c r="J13228" i="2"/>
  <c r="K13228" i="2"/>
  <c r="L13228" i="2"/>
  <c r="C13229" i="2"/>
  <c r="D13229" i="2"/>
  <c r="F13229" i="2"/>
  <c r="G13229" i="2"/>
  <c r="H13229" i="2"/>
  <c r="J13229" i="2"/>
  <c r="K13229" i="2"/>
  <c r="L13229" i="2"/>
  <c r="C13230" i="2"/>
  <c r="D13230" i="2"/>
  <c r="F13230" i="2"/>
  <c r="G13230" i="2"/>
  <c r="H13230" i="2"/>
  <c r="J13230" i="2"/>
  <c r="K13230" i="2"/>
  <c r="L13230" i="2"/>
  <c r="C13231" i="2"/>
  <c r="D13231" i="2"/>
  <c r="F13231" i="2"/>
  <c r="G13231" i="2"/>
  <c r="H13231" i="2"/>
  <c r="J13231" i="2"/>
  <c r="K13231" i="2"/>
  <c r="L13231" i="2"/>
  <c r="C13232" i="2"/>
  <c r="D13232" i="2"/>
  <c r="F13232" i="2"/>
  <c r="G13232" i="2"/>
  <c r="H13232" i="2"/>
  <c r="J13232" i="2"/>
  <c r="K13232" i="2"/>
  <c r="L13232" i="2"/>
  <c r="C13233" i="2"/>
  <c r="D13233" i="2"/>
  <c r="F13233" i="2"/>
  <c r="G13233" i="2"/>
  <c r="H13233" i="2"/>
  <c r="J13233" i="2"/>
  <c r="K13233" i="2"/>
  <c r="L13233" i="2"/>
  <c r="C13234" i="2"/>
  <c r="D13234" i="2"/>
  <c r="F13234" i="2"/>
  <c r="G13234" i="2"/>
  <c r="H13234" i="2"/>
  <c r="J13234" i="2"/>
  <c r="K13234" i="2"/>
  <c r="L13234" i="2"/>
  <c r="C13235" i="2"/>
  <c r="D13235" i="2"/>
  <c r="F13235" i="2"/>
  <c r="G13235" i="2"/>
  <c r="H13235" i="2"/>
  <c r="J13235" i="2"/>
  <c r="K13235" i="2"/>
  <c r="L13235" i="2"/>
  <c r="C13236" i="2"/>
  <c r="D13236" i="2"/>
  <c r="F13236" i="2"/>
  <c r="G13236" i="2"/>
  <c r="H13236" i="2"/>
  <c r="J13236" i="2"/>
  <c r="K13236" i="2"/>
  <c r="L13236" i="2"/>
  <c r="C13237" i="2"/>
  <c r="D13237" i="2"/>
  <c r="F13237" i="2"/>
  <c r="G13237" i="2"/>
  <c r="H13237" i="2"/>
  <c r="J13237" i="2"/>
  <c r="K13237" i="2"/>
  <c r="L13237" i="2"/>
  <c r="C13238" i="2"/>
  <c r="D13238" i="2"/>
  <c r="F13238" i="2"/>
  <c r="G13238" i="2"/>
  <c r="H13238" i="2"/>
  <c r="J13238" i="2"/>
  <c r="K13238" i="2"/>
  <c r="L13238" i="2"/>
  <c r="C13239" i="2"/>
  <c r="D13239" i="2"/>
  <c r="F13239" i="2"/>
  <c r="G13239" i="2"/>
  <c r="H13239" i="2"/>
  <c r="J13239" i="2"/>
  <c r="K13239" i="2"/>
  <c r="L13239" i="2"/>
  <c r="C13240" i="2"/>
  <c r="D13240" i="2"/>
  <c r="F13240" i="2"/>
  <c r="G13240" i="2"/>
  <c r="H13240" i="2"/>
  <c r="J13240" i="2"/>
  <c r="K13240" i="2"/>
  <c r="L13240" i="2"/>
  <c r="C13241" i="2"/>
  <c r="D13241" i="2"/>
  <c r="E13241" i="2"/>
  <c r="F13241" i="2"/>
  <c r="G13241" i="2"/>
  <c r="H13241" i="2"/>
  <c r="J13241" i="2"/>
  <c r="K13241" i="2"/>
  <c r="L13241" i="2"/>
  <c r="C13242" i="2"/>
  <c r="D13242" i="2"/>
  <c r="F13242" i="2"/>
  <c r="G13242" i="2"/>
  <c r="H13242" i="2"/>
  <c r="J13242" i="2"/>
  <c r="K13242" i="2"/>
  <c r="L13242" i="2"/>
  <c r="C13243" i="2"/>
  <c r="D13243" i="2"/>
  <c r="F13243" i="2"/>
  <c r="G13243" i="2"/>
  <c r="H13243" i="2"/>
  <c r="J13243" i="2"/>
  <c r="K13243" i="2"/>
  <c r="L13243" i="2"/>
  <c r="C13244" i="2"/>
  <c r="D13244" i="2"/>
  <c r="F13244" i="2"/>
  <c r="G13244" i="2"/>
  <c r="H13244" i="2"/>
  <c r="J13244" i="2"/>
  <c r="K13244" i="2"/>
  <c r="L13244" i="2"/>
  <c r="C13245" i="2"/>
  <c r="D13245" i="2"/>
  <c r="F13245" i="2"/>
  <c r="G13245" i="2"/>
  <c r="H13245" i="2"/>
  <c r="J13245" i="2"/>
  <c r="K13245" i="2"/>
  <c r="L13245" i="2"/>
  <c r="C13246" i="2"/>
  <c r="D13246" i="2"/>
  <c r="F13246" i="2"/>
  <c r="G13246" i="2"/>
  <c r="H13246" i="2"/>
  <c r="J13246" i="2"/>
  <c r="K13246" i="2"/>
  <c r="L13246" i="2"/>
  <c r="C13247" i="2"/>
  <c r="D13247" i="2"/>
  <c r="F13247" i="2"/>
  <c r="G13247" i="2"/>
  <c r="H13247" i="2"/>
  <c r="J13247" i="2"/>
  <c r="K13247" i="2"/>
  <c r="L13247" i="2"/>
  <c r="C13248" i="2"/>
  <c r="D13248" i="2"/>
  <c r="F13248" i="2"/>
  <c r="G13248" i="2"/>
  <c r="H13248" i="2"/>
  <c r="J13248" i="2"/>
  <c r="K13248" i="2"/>
  <c r="L13248" i="2"/>
  <c r="C13249" i="2"/>
  <c r="D13249" i="2"/>
  <c r="F13249" i="2"/>
  <c r="G13249" i="2"/>
  <c r="H13249" i="2"/>
  <c r="J13249" i="2"/>
  <c r="K13249" i="2"/>
  <c r="L13249" i="2"/>
  <c r="C13250" i="2"/>
  <c r="D13250" i="2"/>
  <c r="F13250" i="2"/>
  <c r="G13250" i="2"/>
  <c r="H13250" i="2"/>
  <c r="J13250" i="2"/>
  <c r="K13250" i="2"/>
  <c r="L13250" i="2"/>
  <c r="C13251" i="2"/>
  <c r="D13251" i="2"/>
  <c r="F13251" i="2"/>
  <c r="G13251" i="2"/>
  <c r="H13251" i="2"/>
  <c r="J13251" i="2"/>
  <c r="K13251" i="2"/>
  <c r="L13251" i="2"/>
  <c r="C13252" i="2"/>
  <c r="D13252" i="2"/>
  <c r="F13252" i="2"/>
  <c r="G13252" i="2"/>
  <c r="H13252" i="2"/>
  <c r="J13252" i="2"/>
  <c r="K13252" i="2"/>
  <c r="L13252" i="2"/>
  <c r="C13253" i="2"/>
  <c r="D13253" i="2"/>
  <c r="F13253" i="2"/>
  <c r="G13253" i="2"/>
  <c r="H13253" i="2"/>
  <c r="J13253" i="2"/>
  <c r="K13253" i="2"/>
  <c r="L13253" i="2"/>
  <c r="C13254" i="2"/>
  <c r="D13254" i="2"/>
  <c r="F13254" i="2"/>
  <c r="G13254" i="2"/>
  <c r="H13254" i="2"/>
  <c r="J13254" i="2"/>
  <c r="K13254" i="2"/>
  <c r="L13254" i="2"/>
  <c r="C13255" i="2"/>
  <c r="D13255" i="2"/>
  <c r="F13255" i="2"/>
  <c r="G13255" i="2"/>
  <c r="H13255" i="2"/>
  <c r="J13255" i="2"/>
  <c r="K13255" i="2"/>
  <c r="L13255" i="2"/>
  <c r="C13256" i="2"/>
  <c r="D13256" i="2"/>
  <c r="F13256" i="2"/>
  <c r="G13256" i="2"/>
  <c r="H13256" i="2"/>
  <c r="J13256" i="2"/>
  <c r="K13256" i="2"/>
  <c r="L13256" i="2"/>
  <c r="C13257" i="2"/>
  <c r="D13257" i="2"/>
  <c r="F13257" i="2"/>
  <c r="G13257" i="2"/>
  <c r="H13257" i="2"/>
  <c r="J13257" i="2"/>
  <c r="K13257" i="2"/>
  <c r="L13257" i="2"/>
  <c r="C13258" i="2"/>
  <c r="D13258" i="2"/>
  <c r="F13258" i="2"/>
  <c r="G13258" i="2"/>
  <c r="H13258" i="2"/>
  <c r="J13258" i="2"/>
  <c r="K13258" i="2"/>
  <c r="L13258" i="2"/>
  <c r="C13259" i="2"/>
  <c r="D13259" i="2"/>
  <c r="F13259" i="2"/>
  <c r="G13259" i="2"/>
  <c r="H13259" i="2"/>
  <c r="J13259" i="2"/>
  <c r="K13259" i="2"/>
  <c r="L13259" i="2"/>
  <c r="C13260" i="2"/>
  <c r="D13260" i="2"/>
  <c r="F13260" i="2"/>
  <c r="G13260" i="2"/>
  <c r="H13260" i="2"/>
  <c r="J13260" i="2"/>
  <c r="K13260" i="2"/>
  <c r="L13260" i="2"/>
  <c r="C13261" i="2"/>
  <c r="D13261" i="2"/>
  <c r="F13261" i="2"/>
  <c r="G13261" i="2"/>
  <c r="H13261" i="2"/>
  <c r="J13261" i="2"/>
  <c r="K13261" i="2"/>
  <c r="L13261" i="2"/>
  <c r="C13262" i="2"/>
  <c r="D13262" i="2"/>
  <c r="F13262" i="2"/>
  <c r="G13262" i="2"/>
  <c r="H13262" i="2"/>
  <c r="J13262" i="2"/>
  <c r="K13262" i="2"/>
  <c r="L13262" i="2"/>
  <c r="C13263" i="2"/>
  <c r="D13263" i="2"/>
  <c r="F13263" i="2"/>
  <c r="G13263" i="2"/>
  <c r="H13263" i="2"/>
  <c r="J13263" i="2"/>
  <c r="K13263" i="2"/>
  <c r="L13263" i="2"/>
  <c r="C13264" i="2"/>
  <c r="D13264" i="2"/>
  <c r="F13264" i="2"/>
  <c r="G13264" i="2"/>
  <c r="H13264" i="2"/>
  <c r="J13264" i="2"/>
  <c r="K13264" i="2"/>
  <c r="L13264" i="2"/>
  <c r="C13265" i="2"/>
  <c r="D13265" i="2"/>
  <c r="F13265" i="2"/>
  <c r="G13265" i="2"/>
  <c r="H13265" i="2"/>
  <c r="J13265" i="2"/>
  <c r="K13265" i="2"/>
  <c r="L13265" i="2"/>
  <c r="C13266" i="2"/>
  <c r="D13266" i="2"/>
  <c r="F13266" i="2"/>
  <c r="G13266" i="2"/>
  <c r="H13266" i="2"/>
  <c r="J13266" i="2"/>
  <c r="K13266" i="2"/>
  <c r="L13266" i="2"/>
  <c r="C13267" i="2"/>
  <c r="D13267" i="2"/>
  <c r="F13267" i="2"/>
  <c r="G13267" i="2"/>
  <c r="H13267" i="2"/>
  <c r="J13267" i="2"/>
  <c r="K13267" i="2"/>
  <c r="L13267" i="2"/>
  <c r="C13268" i="2"/>
  <c r="D13268" i="2"/>
  <c r="F13268" i="2"/>
  <c r="G13268" i="2"/>
  <c r="H13268" i="2"/>
  <c r="J13268" i="2"/>
  <c r="K13268" i="2"/>
  <c r="L13268" i="2"/>
  <c r="C13269" i="2"/>
  <c r="D13269" i="2"/>
  <c r="F13269" i="2"/>
  <c r="G13269" i="2"/>
  <c r="H13269" i="2"/>
  <c r="J13269" i="2"/>
  <c r="K13269" i="2"/>
  <c r="L13269" i="2"/>
  <c r="C13270" i="2"/>
  <c r="D13270" i="2"/>
  <c r="F13270" i="2"/>
  <c r="G13270" i="2"/>
  <c r="H13270" i="2"/>
  <c r="J13270" i="2"/>
  <c r="K13270" i="2"/>
  <c r="L13270" i="2"/>
  <c r="C13271" i="2"/>
  <c r="D13271" i="2"/>
  <c r="F13271" i="2"/>
  <c r="G13271" i="2"/>
  <c r="H13271" i="2"/>
  <c r="J13271" i="2"/>
  <c r="K13271" i="2"/>
  <c r="L13271" i="2"/>
  <c r="C13272" i="2"/>
  <c r="D13272" i="2"/>
  <c r="F13272" i="2"/>
  <c r="G13272" i="2"/>
  <c r="H13272" i="2"/>
  <c r="J13272" i="2"/>
  <c r="K13272" i="2"/>
  <c r="L13272" i="2"/>
  <c r="C13273" i="2"/>
  <c r="D13273" i="2"/>
  <c r="F13273" i="2"/>
  <c r="G13273" i="2"/>
  <c r="H13273" i="2"/>
  <c r="J13273" i="2"/>
  <c r="K13273" i="2"/>
  <c r="L13273" i="2"/>
  <c r="C13274" i="2"/>
  <c r="D13274" i="2"/>
  <c r="F13274" i="2"/>
  <c r="G13274" i="2"/>
  <c r="H13274" i="2"/>
  <c r="J13274" i="2"/>
  <c r="K13274" i="2"/>
  <c r="L13274" i="2"/>
  <c r="C13275" i="2"/>
  <c r="D13275" i="2"/>
  <c r="F13275" i="2"/>
  <c r="G13275" i="2"/>
  <c r="H13275" i="2"/>
  <c r="J13275" i="2"/>
  <c r="K13275" i="2"/>
  <c r="L13275" i="2"/>
  <c r="C13276" i="2"/>
  <c r="D13276" i="2"/>
  <c r="F13276" i="2"/>
  <c r="G13276" i="2"/>
  <c r="H13276" i="2"/>
  <c r="J13276" i="2"/>
  <c r="K13276" i="2"/>
  <c r="L13276" i="2"/>
  <c r="C13277" i="2"/>
  <c r="D13277" i="2"/>
  <c r="F13277" i="2"/>
  <c r="G13277" i="2"/>
  <c r="H13277" i="2"/>
  <c r="J13277" i="2"/>
  <c r="K13277" i="2"/>
  <c r="L13277" i="2"/>
  <c r="C13278" i="2"/>
  <c r="D13278" i="2"/>
  <c r="F13278" i="2"/>
  <c r="G13278" i="2"/>
  <c r="H13278" i="2"/>
  <c r="J13278" i="2"/>
  <c r="K13278" i="2"/>
  <c r="L13278" i="2"/>
  <c r="C13279" i="2"/>
  <c r="D13279" i="2"/>
  <c r="F13279" i="2"/>
  <c r="G13279" i="2"/>
  <c r="H13279" i="2"/>
  <c r="J13279" i="2"/>
  <c r="K13279" i="2"/>
  <c r="L13279" i="2"/>
  <c r="C13280" i="2"/>
  <c r="D13280" i="2"/>
  <c r="F13280" i="2"/>
  <c r="G13280" i="2"/>
  <c r="H13280" i="2"/>
  <c r="J13280" i="2"/>
  <c r="K13280" i="2"/>
  <c r="L13280" i="2"/>
  <c r="C13281" i="2"/>
  <c r="D13281" i="2"/>
  <c r="F13281" i="2"/>
  <c r="G13281" i="2"/>
  <c r="H13281" i="2"/>
  <c r="J13281" i="2"/>
  <c r="K13281" i="2"/>
  <c r="L13281" i="2"/>
  <c r="C13282" i="2"/>
  <c r="D13282" i="2"/>
  <c r="F13282" i="2"/>
  <c r="G13282" i="2"/>
  <c r="H13282" i="2"/>
  <c r="J13282" i="2"/>
  <c r="K13282" i="2"/>
  <c r="L13282" i="2"/>
  <c r="C13283" i="2"/>
  <c r="D13283" i="2"/>
  <c r="F13283" i="2"/>
  <c r="G13283" i="2"/>
  <c r="H13283" i="2"/>
  <c r="J13283" i="2"/>
  <c r="K13283" i="2"/>
  <c r="L13283" i="2"/>
  <c r="C13284" i="2"/>
  <c r="D13284" i="2"/>
  <c r="F13284" i="2"/>
  <c r="G13284" i="2"/>
  <c r="H13284" i="2"/>
  <c r="J13284" i="2"/>
  <c r="K13284" i="2"/>
  <c r="L13284" i="2"/>
  <c r="C13285" i="2"/>
  <c r="D13285" i="2"/>
  <c r="F13285" i="2"/>
  <c r="G13285" i="2"/>
  <c r="H13285" i="2"/>
  <c r="J13285" i="2"/>
  <c r="K13285" i="2"/>
  <c r="L13285" i="2"/>
  <c r="C13286" i="2"/>
  <c r="D13286" i="2"/>
  <c r="F13286" i="2"/>
  <c r="G13286" i="2"/>
  <c r="H13286" i="2"/>
  <c r="J13286" i="2"/>
  <c r="K13286" i="2"/>
  <c r="L13286" i="2"/>
  <c r="C13287" i="2"/>
  <c r="D13287" i="2"/>
  <c r="F13287" i="2"/>
  <c r="G13287" i="2"/>
  <c r="H13287" i="2"/>
  <c r="J13287" i="2"/>
  <c r="K13287" i="2"/>
  <c r="L13287" i="2"/>
  <c r="C13288" i="2"/>
  <c r="D13288" i="2"/>
  <c r="F13288" i="2"/>
  <c r="G13288" i="2"/>
  <c r="H13288" i="2"/>
  <c r="J13288" i="2"/>
  <c r="K13288" i="2"/>
  <c r="L13288" i="2"/>
  <c r="C13289" i="2"/>
  <c r="D13289" i="2"/>
  <c r="F13289" i="2"/>
  <c r="G13289" i="2"/>
  <c r="H13289" i="2"/>
  <c r="J13289" i="2"/>
  <c r="K13289" i="2"/>
  <c r="L13289" i="2"/>
  <c r="C13290" i="2"/>
  <c r="D13290" i="2"/>
  <c r="F13290" i="2"/>
  <c r="G13290" i="2"/>
  <c r="H13290" i="2"/>
  <c r="J13290" i="2"/>
  <c r="K13290" i="2"/>
  <c r="L13290" i="2"/>
  <c r="C13291" i="2"/>
  <c r="D13291" i="2"/>
  <c r="F13291" i="2"/>
  <c r="G13291" i="2"/>
  <c r="H13291" i="2"/>
  <c r="J13291" i="2"/>
  <c r="K13291" i="2"/>
  <c r="L13291" i="2"/>
  <c r="C13292" i="2"/>
  <c r="D13292" i="2"/>
  <c r="F13292" i="2"/>
  <c r="G13292" i="2"/>
  <c r="H13292" i="2"/>
  <c r="J13292" i="2"/>
  <c r="K13292" i="2"/>
  <c r="L13292" i="2"/>
  <c r="C13293" i="2"/>
  <c r="D13293" i="2"/>
  <c r="F13293" i="2"/>
  <c r="G13293" i="2"/>
  <c r="H13293" i="2"/>
  <c r="J13293" i="2"/>
  <c r="K13293" i="2"/>
  <c r="L13293" i="2"/>
  <c r="C13294" i="2"/>
  <c r="D13294" i="2"/>
  <c r="F13294" i="2"/>
  <c r="G13294" i="2"/>
  <c r="H13294" i="2"/>
  <c r="J13294" i="2"/>
  <c r="K13294" i="2"/>
  <c r="L13294" i="2"/>
  <c r="C13295" i="2"/>
  <c r="D13295" i="2"/>
  <c r="F13295" i="2"/>
  <c r="G13295" i="2"/>
  <c r="H13295" i="2"/>
  <c r="J13295" i="2"/>
  <c r="K13295" i="2"/>
  <c r="L13295" i="2"/>
  <c r="C13296" i="2"/>
  <c r="D13296" i="2"/>
  <c r="F13296" i="2"/>
  <c r="G13296" i="2"/>
  <c r="H13296" i="2"/>
  <c r="J13296" i="2"/>
  <c r="K13296" i="2"/>
  <c r="L13296" i="2"/>
  <c r="C13297" i="2"/>
  <c r="D13297" i="2"/>
  <c r="F13297" i="2"/>
  <c r="G13297" i="2"/>
  <c r="H13297" i="2"/>
  <c r="J13297" i="2"/>
  <c r="K13297" i="2"/>
  <c r="L13297" i="2"/>
  <c r="C13298" i="2"/>
  <c r="D13298" i="2"/>
  <c r="F13298" i="2"/>
  <c r="G13298" i="2"/>
  <c r="H13298" i="2"/>
  <c r="J13298" i="2"/>
  <c r="K13298" i="2"/>
  <c r="L13298" i="2"/>
  <c r="C13299" i="2"/>
  <c r="D13299" i="2"/>
  <c r="F13299" i="2"/>
  <c r="G13299" i="2"/>
  <c r="H13299" i="2"/>
  <c r="J13299" i="2"/>
  <c r="K13299" i="2"/>
  <c r="L13299" i="2"/>
  <c r="C13300" i="2"/>
  <c r="D13300" i="2"/>
  <c r="F13300" i="2"/>
  <c r="G13300" i="2"/>
  <c r="H13300" i="2"/>
  <c r="J13300" i="2"/>
  <c r="K13300" i="2"/>
  <c r="L13300" i="2"/>
  <c r="C13301" i="2"/>
  <c r="D13301" i="2"/>
  <c r="F13301" i="2"/>
  <c r="G13301" i="2"/>
  <c r="H13301" i="2"/>
  <c r="J13301" i="2"/>
  <c r="K13301" i="2"/>
  <c r="L13301" i="2"/>
  <c r="C13302" i="2"/>
  <c r="D13302" i="2"/>
  <c r="F13302" i="2"/>
  <c r="G13302" i="2"/>
  <c r="H13302" i="2"/>
  <c r="J13302" i="2"/>
  <c r="K13302" i="2"/>
  <c r="L13302" i="2"/>
  <c r="C13303" i="2"/>
  <c r="D13303" i="2"/>
  <c r="F13303" i="2"/>
  <c r="G13303" i="2"/>
  <c r="H13303" i="2"/>
  <c r="J13303" i="2"/>
  <c r="K13303" i="2"/>
  <c r="L13303" i="2"/>
  <c r="C13304" i="2"/>
  <c r="D13304" i="2"/>
  <c r="F13304" i="2"/>
  <c r="G13304" i="2"/>
  <c r="H13304" i="2"/>
  <c r="J13304" i="2"/>
  <c r="K13304" i="2"/>
  <c r="L13304" i="2"/>
  <c r="C13305" i="2"/>
  <c r="D13305" i="2"/>
  <c r="F13305" i="2"/>
  <c r="G13305" i="2"/>
  <c r="H13305" i="2"/>
  <c r="J13305" i="2"/>
  <c r="K13305" i="2"/>
  <c r="L13305" i="2"/>
  <c r="C13306" i="2"/>
  <c r="D13306" i="2"/>
  <c r="F13306" i="2"/>
  <c r="G13306" i="2"/>
  <c r="H13306" i="2"/>
  <c r="J13306" i="2"/>
  <c r="K13306" i="2"/>
  <c r="L13306" i="2"/>
  <c r="C13307" i="2"/>
  <c r="D13307" i="2"/>
  <c r="F13307" i="2"/>
  <c r="G13307" i="2"/>
  <c r="H13307" i="2"/>
  <c r="J13307" i="2"/>
  <c r="K13307" i="2"/>
  <c r="L13307" i="2"/>
  <c r="C13308" i="2"/>
  <c r="D13308" i="2"/>
  <c r="F13308" i="2"/>
  <c r="G13308" i="2"/>
  <c r="H13308" i="2"/>
  <c r="J13308" i="2"/>
  <c r="K13308" i="2"/>
  <c r="L13308" i="2"/>
  <c r="C13309" i="2"/>
  <c r="D13309" i="2"/>
  <c r="F13309" i="2"/>
  <c r="G13309" i="2"/>
  <c r="H13309" i="2"/>
  <c r="J13309" i="2"/>
  <c r="K13309" i="2"/>
  <c r="L13309" i="2"/>
  <c r="C13310" i="2"/>
  <c r="D13310" i="2"/>
  <c r="F13310" i="2"/>
  <c r="G13310" i="2"/>
  <c r="H13310" i="2"/>
  <c r="J13310" i="2"/>
  <c r="K13310" i="2"/>
  <c r="L13310" i="2"/>
  <c r="C13311" i="2"/>
  <c r="D13311" i="2"/>
  <c r="F13311" i="2"/>
  <c r="G13311" i="2"/>
  <c r="H13311" i="2"/>
  <c r="J13311" i="2"/>
  <c r="K13311" i="2"/>
  <c r="L13311" i="2"/>
  <c r="C13312" i="2"/>
  <c r="D13312" i="2"/>
  <c r="F13312" i="2"/>
  <c r="G13312" i="2"/>
  <c r="H13312" i="2"/>
  <c r="J13312" i="2"/>
  <c r="K13312" i="2"/>
  <c r="L13312" i="2"/>
  <c r="C13313" i="2"/>
  <c r="D13313" i="2"/>
  <c r="F13313" i="2"/>
  <c r="G13313" i="2"/>
  <c r="H13313" i="2"/>
  <c r="J13313" i="2"/>
  <c r="K13313" i="2"/>
  <c r="L13313" i="2"/>
  <c r="C13314" i="2"/>
  <c r="D13314" i="2"/>
  <c r="F13314" i="2"/>
  <c r="G13314" i="2"/>
  <c r="H13314" i="2"/>
  <c r="J13314" i="2"/>
  <c r="K13314" i="2"/>
  <c r="L13314" i="2"/>
  <c r="C13315" i="2"/>
  <c r="D13315" i="2"/>
  <c r="F13315" i="2"/>
  <c r="G13315" i="2"/>
  <c r="H13315" i="2"/>
  <c r="J13315" i="2"/>
  <c r="K13315" i="2"/>
  <c r="L13315" i="2"/>
  <c r="C13316" i="2"/>
  <c r="D13316" i="2"/>
  <c r="F13316" i="2"/>
  <c r="G13316" i="2"/>
  <c r="H13316" i="2"/>
  <c r="J13316" i="2"/>
  <c r="K13316" i="2"/>
  <c r="L13316" i="2"/>
  <c r="C13317" i="2"/>
  <c r="D13317" i="2"/>
  <c r="F13317" i="2"/>
  <c r="G13317" i="2"/>
  <c r="H13317" i="2"/>
  <c r="J13317" i="2"/>
  <c r="K13317" i="2"/>
  <c r="L13317" i="2"/>
  <c r="C13318" i="2"/>
  <c r="D13318" i="2"/>
  <c r="F13318" i="2"/>
  <c r="G13318" i="2"/>
  <c r="H13318" i="2"/>
  <c r="J13318" i="2"/>
  <c r="K13318" i="2"/>
  <c r="L13318" i="2"/>
  <c r="C13319" i="2"/>
  <c r="D13319" i="2"/>
  <c r="F13319" i="2"/>
  <c r="G13319" i="2"/>
  <c r="H13319" i="2"/>
  <c r="J13319" i="2"/>
  <c r="K13319" i="2"/>
  <c r="L13319" i="2"/>
  <c r="C13320" i="2"/>
  <c r="D13320" i="2"/>
  <c r="F13320" i="2"/>
  <c r="G13320" i="2"/>
  <c r="H13320" i="2"/>
  <c r="J13320" i="2"/>
  <c r="K13320" i="2"/>
  <c r="L13320" i="2"/>
  <c r="C13321" i="2"/>
  <c r="D13321" i="2"/>
  <c r="F13321" i="2"/>
  <c r="G13321" i="2"/>
  <c r="H13321" i="2"/>
  <c r="J13321" i="2"/>
  <c r="K13321" i="2"/>
  <c r="L13321" i="2"/>
  <c r="C13322" i="2"/>
  <c r="D13322" i="2"/>
  <c r="F13322" i="2"/>
  <c r="G13322" i="2"/>
  <c r="H13322" i="2"/>
  <c r="J13322" i="2"/>
  <c r="K13322" i="2"/>
  <c r="L13322" i="2"/>
  <c r="C13323" i="2"/>
  <c r="D13323" i="2"/>
  <c r="F13323" i="2"/>
  <c r="G13323" i="2"/>
  <c r="H13323" i="2"/>
  <c r="J13323" i="2"/>
  <c r="K13323" i="2"/>
  <c r="L13323" i="2"/>
  <c r="C13324" i="2"/>
  <c r="D13324" i="2"/>
  <c r="F13324" i="2"/>
  <c r="G13324" i="2"/>
  <c r="H13324" i="2"/>
  <c r="J13324" i="2"/>
  <c r="K13324" i="2"/>
  <c r="L13324" i="2"/>
  <c r="C13325" i="2"/>
  <c r="D13325" i="2"/>
  <c r="F13325" i="2"/>
  <c r="G13325" i="2"/>
  <c r="H13325" i="2"/>
  <c r="J13325" i="2"/>
  <c r="K13325" i="2"/>
  <c r="L13325" i="2"/>
  <c r="C13326" i="2"/>
  <c r="D13326" i="2"/>
  <c r="F13326" i="2"/>
  <c r="G13326" i="2"/>
  <c r="H13326" i="2"/>
  <c r="J13326" i="2"/>
  <c r="K13326" i="2"/>
  <c r="L13326" i="2"/>
  <c r="C13327" i="2"/>
  <c r="D13327" i="2"/>
  <c r="F13327" i="2"/>
  <c r="G13327" i="2"/>
  <c r="H13327" i="2"/>
  <c r="J13327" i="2"/>
  <c r="K13327" i="2"/>
  <c r="L13327" i="2"/>
  <c r="C13328" i="2"/>
  <c r="D13328" i="2"/>
  <c r="F13328" i="2"/>
  <c r="G13328" i="2"/>
  <c r="H13328" i="2"/>
  <c r="J13328" i="2"/>
  <c r="K13328" i="2"/>
  <c r="L13328" i="2"/>
  <c r="C13329" i="2"/>
  <c r="D13329" i="2"/>
  <c r="F13329" i="2"/>
  <c r="G13329" i="2"/>
  <c r="H13329" i="2"/>
  <c r="J13329" i="2"/>
  <c r="K13329" i="2"/>
  <c r="L13329" i="2"/>
  <c r="C13330" i="2"/>
  <c r="D13330" i="2"/>
  <c r="F13330" i="2"/>
  <c r="G13330" i="2"/>
  <c r="H13330" i="2"/>
  <c r="J13330" i="2"/>
  <c r="K13330" i="2"/>
  <c r="L13330" i="2"/>
  <c r="C13331" i="2"/>
  <c r="D13331" i="2"/>
  <c r="F13331" i="2"/>
  <c r="G13331" i="2"/>
  <c r="H13331" i="2"/>
  <c r="J13331" i="2"/>
  <c r="K13331" i="2"/>
  <c r="L13331" i="2"/>
  <c r="C13332" i="2"/>
  <c r="D13332" i="2"/>
  <c r="F13332" i="2"/>
  <c r="G13332" i="2"/>
  <c r="H13332" i="2"/>
  <c r="J13332" i="2"/>
  <c r="K13332" i="2"/>
  <c r="L13332" i="2"/>
  <c r="C13333" i="2"/>
  <c r="D13333" i="2"/>
  <c r="F13333" i="2"/>
  <c r="G13333" i="2"/>
  <c r="H13333" i="2"/>
  <c r="J13333" i="2"/>
  <c r="K13333" i="2"/>
  <c r="L13333" i="2"/>
  <c r="C13334" i="2"/>
  <c r="D13334" i="2"/>
  <c r="F13334" i="2"/>
  <c r="G13334" i="2"/>
  <c r="H13334" i="2"/>
  <c r="J13334" i="2"/>
  <c r="K13334" i="2"/>
  <c r="L13334" i="2"/>
  <c r="C13335" i="2"/>
  <c r="D13335" i="2"/>
  <c r="F13335" i="2"/>
  <c r="G13335" i="2"/>
  <c r="H13335" i="2"/>
  <c r="J13335" i="2"/>
  <c r="K13335" i="2"/>
  <c r="L13335" i="2"/>
  <c r="C13336" i="2"/>
  <c r="D13336" i="2"/>
  <c r="F13336" i="2"/>
  <c r="G13336" i="2"/>
  <c r="H13336" i="2"/>
  <c r="J13336" i="2"/>
  <c r="K13336" i="2"/>
  <c r="L13336" i="2"/>
  <c r="C13337" i="2"/>
  <c r="D13337" i="2"/>
  <c r="F13337" i="2"/>
  <c r="G13337" i="2"/>
  <c r="H13337" i="2"/>
  <c r="J13337" i="2"/>
  <c r="K13337" i="2"/>
  <c r="L13337" i="2"/>
  <c r="C13338" i="2"/>
  <c r="D13338" i="2"/>
  <c r="F13338" i="2"/>
  <c r="G13338" i="2"/>
  <c r="H13338" i="2"/>
  <c r="J13338" i="2"/>
  <c r="K13338" i="2"/>
  <c r="L13338" i="2"/>
  <c r="C13339" i="2"/>
  <c r="D13339" i="2"/>
  <c r="F13339" i="2"/>
  <c r="G13339" i="2"/>
  <c r="H13339" i="2"/>
  <c r="J13339" i="2"/>
  <c r="K13339" i="2"/>
  <c r="L13339" i="2"/>
  <c r="C13340" i="2"/>
  <c r="D13340" i="2"/>
  <c r="F13340" i="2"/>
  <c r="G13340" i="2"/>
  <c r="H13340" i="2"/>
  <c r="J13340" i="2"/>
  <c r="K13340" i="2"/>
  <c r="L13340" i="2"/>
  <c r="C13341" i="2"/>
  <c r="D13341" i="2"/>
  <c r="F13341" i="2"/>
  <c r="G13341" i="2"/>
  <c r="H13341" i="2"/>
  <c r="J13341" i="2"/>
  <c r="K13341" i="2"/>
  <c r="L13341" i="2"/>
  <c r="C13342" i="2"/>
  <c r="D13342" i="2"/>
  <c r="F13342" i="2"/>
  <c r="G13342" i="2"/>
  <c r="H13342" i="2"/>
  <c r="J13342" i="2"/>
  <c r="K13342" i="2"/>
  <c r="L13342" i="2"/>
  <c r="C13343" i="2"/>
  <c r="D13343" i="2"/>
  <c r="F13343" i="2"/>
  <c r="G13343" i="2"/>
  <c r="H13343" i="2"/>
  <c r="J13343" i="2"/>
  <c r="K13343" i="2"/>
  <c r="L13343" i="2"/>
  <c r="C13344" i="2"/>
  <c r="D13344" i="2"/>
  <c r="F13344" i="2"/>
  <c r="G13344" i="2"/>
  <c r="H13344" i="2"/>
  <c r="J13344" i="2"/>
  <c r="K13344" i="2"/>
  <c r="L13344" i="2"/>
  <c r="C13345" i="2"/>
  <c r="D13345" i="2"/>
  <c r="F13345" i="2"/>
  <c r="G13345" i="2"/>
  <c r="H13345" i="2"/>
  <c r="J13345" i="2"/>
  <c r="K13345" i="2"/>
  <c r="L13345" i="2"/>
  <c r="C13346" i="2"/>
  <c r="D13346" i="2"/>
  <c r="F13346" i="2"/>
  <c r="G13346" i="2"/>
  <c r="H13346" i="2"/>
  <c r="J13346" i="2"/>
  <c r="K13346" i="2"/>
  <c r="L13346" i="2"/>
  <c r="C13347" i="2"/>
  <c r="D13347" i="2"/>
  <c r="F13347" i="2"/>
  <c r="G13347" i="2"/>
  <c r="H13347" i="2"/>
  <c r="J13347" i="2"/>
  <c r="K13347" i="2"/>
  <c r="L13347" i="2"/>
  <c r="C13348" i="2"/>
  <c r="D13348" i="2"/>
  <c r="F13348" i="2"/>
  <c r="G13348" i="2"/>
  <c r="H13348" i="2"/>
  <c r="J13348" i="2"/>
  <c r="K13348" i="2"/>
  <c r="L13348" i="2"/>
  <c r="C13349" i="2"/>
  <c r="D13349" i="2"/>
  <c r="F13349" i="2"/>
  <c r="G13349" i="2"/>
  <c r="H13349" i="2"/>
  <c r="J13349" i="2"/>
  <c r="K13349" i="2"/>
  <c r="L13349" i="2"/>
  <c r="C13350" i="2"/>
  <c r="D13350" i="2"/>
  <c r="F13350" i="2"/>
  <c r="G13350" i="2"/>
  <c r="H13350" i="2"/>
  <c r="J13350" i="2"/>
  <c r="K13350" i="2"/>
  <c r="L13350" i="2"/>
  <c r="C13351" i="2"/>
  <c r="D13351" i="2"/>
  <c r="F13351" i="2"/>
  <c r="G13351" i="2"/>
  <c r="H13351" i="2"/>
  <c r="J13351" i="2"/>
  <c r="K13351" i="2"/>
  <c r="L13351" i="2"/>
  <c r="C13352" i="2"/>
  <c r="D13352" i="2"/>
  <c r="F13352" i="2"/>
  <c r="G13352" i="2"/>
  <c r="H13352" i="2"/>
  <c r="J13352" i="2"/>
  <c r="K13352" i="2"/>
  <c r="L13352" i="2"/>
  <c r="C13353" i="2"/>
  <c r="D13353" i="2"/>
  <c r="F13353" i="2"/>
  <c r="G13353" i="2"/>
  <c r="H13353" i="2"/>
  <c r="J13353" i="2"/>
  <c r="K13353" i="2"/>
  <c r="L13353" i="2"/>
  <c r="C13354" i="2"/>
  <c r="D13354" i="2"/>
  <c r="F13354" i="2"/>
  <c r="G13354" i="2"/>
  <c r="H13354" i="2"/>
  <c r="J13354" i="2"/>
  <c r="K13354" i="2"/>
  <c r="L13354" i="2"/>
  <c r="C13355" i="2"/>
  <c r="D13355" i="2"/>
  <c r="F13355" i="2"/>
  <c r="G13355" i="2"/>
  <c r="H13355" i="2"/>
  <c r="J13355" i="2"/>
  <c r="K13355" i="2"/>
  <c r="L13355" i="2"/>
  <c r="C13356" i="2"/>
  <c r="D13356" i="2"/>
  <c r="F13356" i="2"/>
  <c r="G13356" i="2"/>
  <c r="H13356" i="2"/>
  <c r="J13356" i="2"/>
  <c r="K13356" i="2"/>
  <c r="L13356" i="2"/>
  <c r="C13357" i="2"/>
  <c r="D13357" i="2"/>
  <c r="F13357" i="2"/>
  <c r="G13357" i="2"/>
  <c r="H13357" i="2"/>
  <c r="J13357" i="2"/>
  <c r="K13357" i="2"/>
  <c r="L13357" i="2"/>
  <c r="C13358" i="2"/>
  <c r="D13358" i="2"/>
  <c r="F13358" i="2"/>
  <c r="G13358" i="2"/>
  <c r="H13358" i="2"/>
  <c r="J13358" i="2"/>
  <c r="K13358" i="2"/>
  <c r="L13358" i="2"/>
  <c r="C13359" i="2"/>
  <c r="D13359" i="2"/>
  <c r="F13359" i="2"/>
  <c r="G13359" i="2"/>
  <c r="H13359" i="2"/>
  <c r="J13359" i="2"/>
  <c r="K13359" i="2"/>
  <c r="L13359" i="2"/>
  <c r="C13360" i="2"/>
  <c r="D13360" i="2"/>
  <c r="F13360" i="2"/>
  <c r="G13360" i="2"/>
  <c r="H13360" i="2"/>
  <c r="J13360" i="2"/>
  <c r="K13360" i="2"/>
  <c r="L13360" i="2"/>
  <c r="C13361" i="2"/>
  <c r="D13361" i="2"/>
  <c r="F13361" i="2"/>
  <c r="G13361" i="2"/>
  <c r="H13361" i="2"/>
  <c r="J13361" i="2"/>
  <c r="K13361" i="2"/>
  <c r="L13361" i="2"/>
  <c r="C13362" i="2"/>
  <c r="D13362" i="2"/>
  <c r="F13362" i="2"/>
  <c r="G13362" i="2"/>
  <c r="H13362" i="2"/>
  <c r="J13362" i="2"/>
  <c r="K13362" i="2"/>
  <c r="L13362" i="2"/>
  <c r="C13363" i="2"/>
  <c r="D13363" i="2"/>
  <c r="F13363" i="2"/>
  <c r="G13363" i="2"/>
  <c r="H13363" i="2"/>
  <c r="J13363" i="2"/>
  <c r="K13363" i="2"/>
  <c r="L13363" i="2"/>
  <c r="C13364" i="2"/>
  <c r="D13364" i="2"/>
  <c r="F13364" i="2"/>
  <c r="G13364" i="2"/>
  <c r="H13364" i="2"/>
  <c r="J13364" i="2"/>
  <c r="K13364" i="2"/>
  <c r="L13364" i="2"/>
  <c r="C13365" i="2"/>
  <c r="D13365" i="2"/>
  <c r="F13365" i="2"/>
  <c r="G13365" i="2"/>
  <c r="H13365" i="2"/>
  <c r="J13365" i="2"/>
  <c r="K13365" i="2"/>
  <c r="L13365" i="2"/>
  <c r="C13366" i="2"/>
  <c r="D13366" i="2"/>
  <c r="F13366" i="2"/>
  <c r="G13366" i="2"/>
  <c r="H13366" i="2"/>
  <c r="J13366" i="2"/>
  <c r="K13366" i="2"/>
  <c r="L13366" i="2"/>
  <c r="C13367" i="2"/>
  <c r="D13367" i="2"/>
  <c r="F13367" i="2"/>
  <c r="G13367" i="2"/>
  <c r="H13367" i="2"/>
  <c r="J13367" i="2"/>
  <c r="K13367" i="2"/>
  <c r="L13367" i="2"/>
  <c r="C13368" i="2"/>
  <c r="D13368" i="2"/>
  <c r="F13368" i="2"/>
  <c r="G13368" i="2"/>
  <c r="H13368" i="2"/>
  <c r="J13368" i="2"/>
  <c r="K13368" i="2"/>
  <c r="L13368" i="2"/>
  <c r="C13369" i="2"/>
  <c r="D13369" i="2"/>
  <c r="F13369" i="2"/>
  <c r="G13369" i="2"/>
  <c r="H13369" i="2"/>
  <c r="J13369" i="2"/>
  <c r="K13369" i="2"/>
  <c r="L13369" i="2"/>
  <c r="C13370" i="2"/>
  <c r="D13370" i="2"/>
  <c r="F13370" i="2"/>
  <c r="G13370" i="2"/>
  <c r="H13370" i="2"/>
  <c r="J13370" i="2"/>
  <c r="K13370" i="2"/>
  <c r="L13370" i="2"/>
  <c r="C13371" i="2"/>
  <c r="D13371" i="2"/>
  <c r="F13371" i="2"/>
  <c r="G13371" i="2"/>
  <c r="H13371" i="2"/>
  <c r="J13371" i="2"/>
  <c r="K13371" i="2"/>
  <c r="L13371" i="2"/>
  <c r="C13372" i="2"/>
  <c r="D13372" i="2"/>
  <c r="F13372" i="2"/>
  <c r="G13372" i="2"/>
  <c r="H13372" i="2"/>
  <c r="J13372" i="2"/>
  <c r="K13372" i="2"/>
  <c r="L13372" i="2"/>
  <c r="C13373" i="2"/>
  <c r="D13373" i="2"/>
  <c r="F13373" i="2"/>
  <c r="G13373" i="2"/>
  <c r="H13373" i="2"/>
  <c r="J13373" i="2"/>
  <c r="K13373" i="2"/>
  <c r="L13373" i="2"/>
  <c r="C13374" i="2"/>
  <c r="D13374" i="2"/>
  <c r="F13374" i="2"/>
  <c r="G13374" i="2"/>
  <c r="H13374" i="2"/>
  <c r="J13374" i="2"/>
  <c r="K13374" i="2"/>
  <c r="L13374" i="2"/>
  <c r="C13375" i="2"/>
  <c r="D13375" i="2"/>
  <c r="F13375" i="2"/>
  <c r="G13375" i="2"/>
  <c r="H13375" i="2"/>
  <c r="J13375" i="2"/>
  <c r="K13375" i="2"/>
  <c r="L13375" i="2"/>
  <c r="C13376" i="2"/>
  <c r="D13376" i="2"/>
  <c r="F13376" i="2"/>
  <c r="G13376" i="2"/>
  <c r="H13376" i="2"/>
  <c r="J13376" i="2"/>
  <c r="K13376" i="2"/>
  <c r="L13376" i="2"/>
  <c r="C13377" i="2"/>
  <c r="D13377" i="2"/>
  <c r="F13377" i="2"/>
  <c r="G13377" i="2"/>
  <c r="H13377" i="2"/>
  <c r="J13377" i="2"/>
  <c r="K13377" i="2"/>
  <c r="L13377" i="2"/>
  <c r="C13378" i="2"/>
  <c r="D13378" i="2"/>
  <c r="F13378" i="2"/>
  <c r="G13378" i="2"/>
  <c r="H13378" i="2"/>
  <c r="J13378" i="2"/>
  <c r="K13378" i="2"/>
  <c r="L13378" i="2"/>
  <c r="C13379" i="2"/>
  <c r="D13379" i="2"/>
  <c r="F13379" i="2"/>
  <c r="G13379" i="2"/>
  <c r="H13379" i="2"/>
  <c r="J13379" i="2"/>
  <c r="K13379" i="2"/>
  <c r="L13379" i="2"/>
  <c r="C13380" i="2"/>
  <c r="D13380" i="2"/>
  <c r="F13380" i="2"/>
  <c r="G13380" i="2"/>
  <c r="H13380" i="2"/>
  <c r="J13380" i="2"/>
  <c r="K13380" i="2"/>
  <c r="L13380" i="2"/>
  <c r="C13381" i="2"/>
  <c r="D13381" i="2"/>
  <c r="F13381" i="2"/>
  <c r="G13381" i="2"/>
  <c r="H13381" i="2"/>
  <c r="J13381" i="2"/>
  <c r="K13381" i="2"/>
  <c r="L13381" i="2"/>
  <c r="C13382" i="2"/>
  <c r="D13382" i="2"/>
  <c r="F13382" i="2"/>
  <c r="G13382" i="2"/>
  <c r="H13382" i="2"/>
  <c r="J13382" i="2"/>
  <c r="K13382" i="2"/>
  <c r="L13382" i="2"/>
  <c r="C13383" i="2"/>
  <c r="D13383" i="2"/>
  <c r="F13383" i="2"/>
  <c r="G13383" i="2"/>
  <c r="H13383" i="2"/>
  <c r="J13383" i="2"/>
  <c r="K13383" i="2"/>
  <c r="L13383" i="2"/>
  <c r="C13384" i="2"/>
  <c r="D13384" i="2"/>
  <c r="F13384" i="2"/>
  <c r="G13384" i="2"/>
  <c r="H13384" i="2"/>
  <c r="J13384" i="2"/>
  <c r="K13384" i="2"/>
  <c r="L13384" i="2"/>
  <c r="C13385" i="2"/>
  <c r="D13385" i="2"/>
  <c r="F13385" i="2"/>
  <c r="G13385" i="2"/>
  <c r="H13385" i="2"/>
  <c r="J13385" i="2"/>
  <c r="K13385" i="2"/>
  <c r="L13385" i="2"/>
  <c r="C13386" i="2"/>
  <c r="D13386" i="2"/>
  <c r="F13386" i="2"/>
  <c r="G13386" i="2"/>
  <c r="H13386" i="2"/>
  <c r="J13386" i="2"/>
  <c r="K13386" i="2"/>
  <c r="L13386" i="2"/>
  <c r="C13387" i="2"/>
  <c r="D13387" i="2"/>
  <c r="F13387" i="2"/>
  <c r="G13387" i="2"/>
  <c r="H13387" i="2"/>
  <c r="J13387" i="2"/>
  <c r="K13387" i="2"/>
  <c r="L13387" i="2"/>
  <c r="C13388" i="2"/>
  <c r="D13388" i="2"/>
  <c r="F13388" i="2"/>
  <c r="G13388" i="2"/>
  <c r="H13388" i="2"/>
  <c r="J13388" i="2"/>
  <c r="K13388" i="2"/>
  <c r="L13388" i="2"/>
  <c r="C13389" i="2"/>
  <c r="D13389" i="2"/>
  <c r="F13389" i="2"/>
  <c r="G13389" i="2"/>
  <c r="H13389" i="2"/>
  <c r="J13389" i="2"/>
  <c r="K13389" i="2"/>
  <c r="L13389" i="2"/>
  <c r="C13390" i="2"/>
  <c r="D13390" i="2"/>
  <c r="F13390" i="2"/>
  <c r="G13390" i="2"/>
  <c r="H13390" i="2"/>
  <c r="J13390" i="2"/>
  <c r="K13390" i="2"/>
  <c r="L13390" i="2"/>
  <c r="C13391" i="2"/>
  <c r="D13391" i="2"/>
  <c r="F13391" i="2"/>
  <c r="G13391" i="2"/>
  <c r="H13391" i="2"/>
  <c r="J13391" i="2"/>
  <c r="K13391" i="2"/>
  <c r="L13391" i="2"/>
  <c r="C13392" i="2"/>
  <c r="D13392" i="2"/>
  <c r="F13392" i="2"/>
  <c r="G13392" i="2"/>
  <c r="H13392" i="2"/>
  <c r="J13392" i="2"/>
  <c r="K13392" i="2"/>
  <c r="L13392" i="2"/>
  <c r="C13393" i="2"/>
  <c r="D13393" i="2"/>
  <c r="F13393" i="2"/>
  <c r="G13393" i="2"/>
  <c r="H13393" i="2"/>
  <c r="J13393" i="2"/>
  <c r="K13393" i="2"/>
  <c r="L13393" i="2"/>
  <c r="C13394" i="2"/>
  <c r="D13394" i="2"/>
  <c r="F13394" i="2"/>
  <c r="G13394" i="2"/>
  <c r="H13394" i="2"/>
  <c r="J13394" i="2"/>
  <c r="K13394" i="2"/>
  <c r="L13394" i="2"/>
  <c r="C13395" i="2"/>
  <c r="D13395" i="2"/>
  <c r="F13395" i="2"/>
  <c r="G13395" i="2"/>
  <c r="H13395" i="2"/>
  <c r="J13395" i="2"/>
  <c r="K13395" i="2"/>
  <c r="L13395" i="2"/>
  <c r="C13396" i="2"/>
  <c r="D13396" i="2"/>
  <c r="F13396" i="2"/>
  <c r="G13396" i="2"/>
  <c r="H13396" i="2"/>
  <c r="J13396" i="2"/>
  <c r="K13396" i="2"/>
  <c r="L13396" i="2"/>
  <c r="C13397" i="2"/>
  <c r="D13397" i="2"/>
  <c r="F13397" i="2"/>
  <c r="G13397" i="2"/>
  <c r="H13397" i="2"/>
  <c r="J13397" i="2"/>
  <c r="K13397" i="2"/>
  <c r="L13397" i="2"/>
  <c r="C13398" i="2"/>
  <c r="D13398" i="2"/>
  <c r="F13398" i="2"/>
  <c r="G13398" i="2"/>
  <c r="H13398" i="2"/>
  <c r="J13398" i="2"/>
  <c r="K13398" i="2"/>
  <c r="L13398" i="2"/>
  <c r="C13399" i="2"/>
  <c r="D13399" i="2"/>
  <c r="F13399" i="2"/>
  <c r="G13399" i="2"/>
  <c r="H13399" i="2"/>
  <c r="J13399" i="2"/>
  <c r="K13399" i="2"/>
  <c r="L13399" i="2"/>
  <c r="C13400" i="2"/>
  <c r="D13400" i="2"/>
  <c r="F13400" i="2"/>
  <c r="G13400" i="2"/>
  <c r="H13400" i="2"/>
  <c r="J13400" i="2"/>
  <c r="K13400" i="2"/>
  <c r="L13400" i="2"/>
  <c r="C13401" i="2"/>
  <c r="D13401" i="2"/>
  <c r="F13401" i="2"/>
  <c r="G13401" i="2"/>
  <c r="H13401" i="2"/>
  <c r="J13401" i="2"/>
  <c r="K13401" i="2"/>
  <c r="L13401" i="2"/>
  <c r="C13402" i="2"/>
  <c r="D13402" i="2"/>
  <c r="F13402" i="2"/>
  <c r="G13402" i="2"/>
  <c r="H13402" i="2"/>
  <c r="J13402" i="2"/>
  <c r="K13402" i="2"/>
  <c r="L13402" i="2"/>
  <c r="C13403" i="2"/>
  <c r="D13403" i="2"/>
  <c r="F13403" i="2"/>
  <c r="G13403" i="2"/>
  <c r="H13403" i="2"/>
  <c r="J13403" i="2"/>
  <c r="K13403" i="2"/>
  <c r="L13403" i="2"/>
  <c r="C13404" i="2"/>
  <c r="D13404" i="2"/>
  <c r="F13404" i="2"/>
  <c r="G13404" i="2"/>
  <c r="H13404" i="2"/>
  <c r="J13404" i="2"/>
  <c r="K13404" i="2"/>
  <c r="L13404" i="2"/>
  <c r="C13405" i="2"/>
  <c r="D13405" i="2"/>
  <c r="F13405" i="2"/>
  <c r="G13405" i="2"/>
  <c r="H13405" i="2"/>
  <c r="J13405" i="2"/>
  <c r="K13405" i="2"/>
  <c r="L13405" i="2"/>
  <c r="C13406" i="2"/>
  <c r="D13406" i="2"/>
  <c r="F13406" i="2"/>
  <c r="G13406" i="2"/>
  <c r="H13406" i="2"/>
  <c r="J13406" i="2"/>
  <c r="K13406" i="2"/>
  <c r="L13406" i="2"/>
  <c r="D13407" i="2"/>
  <c r="F13407" i="2"/>
  <c r="G13407" i="2"/>
  <c r="H13407" i="2"/>
  <c r="J13407" i="2"/>
  <c r="K13407" i="2"/>
  <c r="L13407" i="2"/>
  <c r="C13408" i="2"/>
  <c r="D13408" i="2"/>
  <c r="F13408" i="2"/>
  <c r="G13408" i="2"/>
  <c r="H13408" i="2"/>
  <c r="J13408" i="2"/>
  <c r="K13408" i="2"/>
  <c r="L13408" i="2"/>
  <c r="C13409" i="2"/>
  <c r="D13409" i="2"/>
  <c r="F13409" i="2"/>
  <c r="G13409" i="2"/>
  <c r="H13409" i="2"/>
  <c r="J13409" i="2"/>
  <c r="K13409" i="2"/>
  <c r="L13409" i="2"/>
  <c r="C13410" i="2"/>
  <c r="D13410" i="2"/>
  <c r="F13410" i="2"/>
  <c r="G13410" i="2"/>
  <c r="H13410" i="2"/>
  <c r="J13410" i="2"/>
  <c r="K13410" i="2"/>
  <c r="L13410" i="2"/>
  <c r="C13411" i="2"/>
  <c r="D13411" i="2"/>
  <c r="F13411" i="2"/>
  <c r="G13411" i="2"/>
  <c r="H13411" i="2"/>
  <c r="J13411" i="2"/>
  <c r="K13411" i="2"/>
  <c r="L13411" i="2"/>
  <c r="C13412" i="2"/>
  <c r="D13412" i="2"/>
  <c r="F13412" i="2"/>
  <c r="G13412" i="2"/>
  <c r="H13412" i="2"/>
  <c r="J13412" i="2"/>
  <c r="K13412" i="2"/>
  <c r="L13412" i="2"/>
  <c r="C13413" i="2"/>
  <c r="D13413" i="2"/>
  <c r="F13413" i="2"/>
  <c r="G13413" i="2"/>
  <c r="H13413" i="2"/>
  <c r="J13413" i="2"/>
  <c r="K13413" i="2"/>
  <c r="L13413" i="2"/>
  <c r="C13414" i="2"/>
  <c r="D13414" i="2"/>
  <c r="F13414" i="2"/>
  <c r="G13414" i="2"/>
  <c r="H13414" i="2"/>
  <c r="J13414" i="2"/>
  <c r="K13414" i="2"/>
  <c r="L13414" i="2"/>
  <c r="C13415" i="2"/>
  <c r="D13415" i="2"/>
  <c r="F13415" i="2"/>
  <c r="G13415" i="2"/>
  <c r="H13415" i="2"/>
  <c r="J13415" i="2"/>
  <c r="K13415" i="2"/>
  <c r="L13415" i="2"/>
  <c r="C13416" i="2"/>
  <c r="D13416" i="2"/>
  <c r="F13416" i="2"/>
  <c r="G13416" i="2"/>
  <c r="H13416" i="2"/>
  <c r="J13416" i="2"/>
  <c r="K13416" i="2"/>
  <c r="L13416" i="2"/>
  <c r="C13417" i="2"/>
  <c r="D13417" i="2"/>
  <c r="F13417" i="2"/>
  <c r="G13417" i="2"/>
  <c r="H13417" i="2"/>
  <c r="J13417" i="2"/>
  <c r="K13417" i="2"/>
  <c r="L13417" i="2"/>
  <c r="C13418" i="2"/>
  <c r="D13418" i="2"/>
  <c r="F13418" i="2"/>
  <c r="G13418" i="2"/>
  <c r="H13418" i="2"/>
  <c r="J13418" i="2"/>
  <c r="K13418" i="2"/>
  <c r="L13418" i="2"/>
  <c r="C13419" i="2"/>
  <c r="D13419" i="2"/>
  <c r="F13419" i="2"/>
  <c r="G13419" i="2"/>
  <c r="H13419" i="2"/>
  <c r="J13419" i="2"/>
  <c r="K13419" i="2"/>
  <c r="L13419" i="2"/>
  <c r="C13420" i="2"/>
  <c r="D13420" i="2"/>
  <c r="F13420" i="2"/>
  <c r="G13420" i="2"/>
  <c r="H13420" i="2"/>
  <c r="J13420" i="2"/>
  <c r="K13420" i="2"/>
  <c r="L13420" i="2"/>
  <c r="C13421" i="2"/>
  <c r="D13421" i="2"/>
  <c r="F13421" i="2"/>
  <c r="G13421" i="2"/>
  <c r="H13421" i="2"/>
  <c r="J13421" i="2"/>
  <c r="K13421" i="2"/>
  <c r="L13421" i="2"/>
  <c r="C13422" i="2"/>
  <c r="D13422" i="2"/>
  <c r="F13422" i="2"/>
  <c r="G13422" i="2"/>
  <c r="H13422" i="2"/>
  <c r="J13422" i="2"/>
  <c r="K13422" i="2"/>
  <c r="L13422" i="2"/>
  <c r="C13423" i="2"/>
  <c r="D13423" i="2"/>
  <c r="F13423" i="2"/>
  <c r="G13423" i="2"/>
  <c r="H13423" i="2"/>
  <c r="J13423" i="2"/>
  <c r="K13423" i="2"/>
  <c r="L13423" i="2"/>
  <c r="C13424" i="2"/>
  <c r="D13424" i="2"/>
  <c r="F13424" i="2"/>
  <c r="G13424" i="2"/>
  <c r="H13424" i="2"/>
  <c r="J13424" i="2"/>
  <c r="K13424" i="2"/>
  <c r="L13424" i="2"/>
  <c r="C13425" i="2"/>
  <c r="D13425" i="2"/>
  <c r="F13425" i="2"/>
  <c r="G13425" i="2"/>
  <c r="H13425" i="2"/>
  <c r="J13425" i="2"/>
  <c r="K13425" i="2"/>
  <c r="L13425" i="2"/>
  <c r="C13426" i="2"/>
  <c r="D13426" i="2"/>
  <c r="F13426" i="2"/>
  <c r="G13426" i="2"/>
  <c r="H13426" i="2"/>
  <c r="J13426" i="2"/>
  <c r="K13426" i="2"/>
  <c r="L13426" i="2"/>
  <c r="C13427" i="2"/>
  <c r="D13427" i="2"/>
  <c r="F13427" i="2"/>
  <c r="G13427" i="2"/>
  <c r="H13427" i="2"/>
  <c r="J13427" i="2"/>
  <c r="K13427" i="2"/>
  <c r="L13427" i="2"/>
  <c r="C13428" i="2"/>
  <c r="D13428" i="2"/>
  <c r="F13428" i="2"/>
  <c r="G13428" i="2"/>
  <c r="H13428" i="2"/>
  <c r="J13428" i="2"/>
  <c r="K13428" i="2"/>
  <c r="L13428" i="2"/>
  <c r="C13429" i="2"/>
  <c r="D13429" i="2"/>
  <c r="F13429" i="2"/>
  <c r="G13429" i="2"/>
  <c r="H13429" i="2"/>
  <c r="J13429" i="2"/>
  <c r="K13429" i="2"/>
  <c r="L13429" i="2"/>
  <c r="C13430" i="2"/>
  <c r="D13430" i="2"/>
  <c r="F13430" i="2"/>
  <c r="G13430" i="2"/>
  <c r="H13430" i="2"/>
  <c r="J13430" i="2"/>
  <c r="K13430" i="2"/>
  <c r="L13430" i="2"/>
  <c r="C13431" i="2"/>
  <c r="D13431" i="2"/>
  <c r="F13431" i="2"/>
  <c r="G13431" i="2"/>
  <c r="H13431" i="2"/>
  <c r="J13431" i="2"/>
  <c r="K13431" i="2"/>
  <c r="L13431" i="2"/>
  <c r="C13432" i="2"/>
  <c r="D13432" i="2"/>
  <c r="F13432" i="2"/>
  <c r="G13432" i="2"/>
  <c r="H13432" i="2"/>
  <c r="J13432" i="2"/>
  <c r="K13432" i="2"/>
  <c r="L13432" i="2"/>
  <c r="C13433" i="2"/>
  <c r="D13433" i="2"/>
  <c r="F13433" i="2"/>
  <c r="G13433" i="2"/>
  <c r="H13433" i="2"/>
  <c r="J13433" i="2"/>
  <c r="K13433" i="2"/>
  <c r="L13433" i="2"/>
  <c r="C13434" i="2"/>
  <c r="D13434" i="2"/>
  <c r="F13434" i="2"/>
  <c r="G13434" i="2"/>
  <c r="H13434" i="2"/>
  <c r="J13434" i="2"/>
  <c r="K13434" i="2"/>
  <c r="L13434" i="2"/>
  <c r="C13435" i="2"/>
  <c r="D13435" i="2"/>
  <c r="F13435" i="2"/>
  <c r="G13435" i="2"/>
  <c r="H13435" i="2"/>
  <c r="J13435" i="2"/>
  <c r="K13435" i="2"/>
  <c r="L13435" i="2"/>
  <c r="C13436" i="2"/>
  <c r="D13436" i="2"/>
  <c r="F13436" i="2"/>
  <c r="G13436" i="2"/>
  <c r="H13436" i="2"/>
  <c r="J13436" i="2"/>
  <c r="K13436" i="2"/>
  <c r="L13436" i="2"/>
  <c r="C13437" i="2"/>
  <c r="D13437" i="2"/>
  <c r="F13437" i="2"/>
  <c r="G13437" i="2"/>
  <c r="H13437" i="2"/>
  <c r="J13437" i="2"/>
  <c r="K13437" i="2"/>
  <c r="L13437" i="2"/>
  <c r="C13438" i="2"/>
  <c r="D13438" i="2"/>
  <c r="F13438" i="2"/>
  <c r="G13438" i="2"/>
  <c r="H13438" i="2"/>
  <c r="J13438" i="2"/>
  <c r="K13438" i="2"/>
  <c r="L13438" i="2"/>
  <c r="C13439" i="2"/>
  <c r="D13439" i="2"/>
  <c r="F13439" i="2"/>
  <c r="G13439" i="2"/>
  <c r="H13439" i="2"/>
  <c r="J13439" i="2"/>
  <c r="K13439" i="2"/>
  <c r="L13439" i="2"/>
  <c r="C13440" i="2"/>
  <c r="D13440" i="2"/>
  <c r="F13440" i="2"/>
  <c r="G13440" i="2"/>
  <c r="H13440" i="2"/>
  <c r="J13440" i="2"/>
  <c r="K13440" i="2"/>
  <c r="L13440" i="2"/>
  <c r="C13441" i="2"/>
  <c r="D13441" i="2"/>
  <c r="F13441" i="2"/>
  <c r="G13441" i="2"/>
  <c r="H13441" i="2"/>
  <c r="J13441" i="2"/>
  <c r="K13441" i="2"/>
  <c r="L13441" i="2"/>
  <c r="C13442" i="2"/>
  <c r="D13442" i="2"/>
  <c r="F13442" i="2"/>
  <c r="G13442" i="2"/>
  <c r="H13442" i="2"/>
  <c r="J13442" i="2"/>
  <c r="K13442" i="2"/>
  <c r="L13442" i="2"/>
  <c r="C13443" i="2"/>
  <c r="D13443" i="2"/>
  <c r="F13443" i="2"/>
  <c r="G13443" i="2"/>
  <c r="H13443" i="2"/>
  <c r="J13443" i="2"/>
  <c r="K13443" i="2"/>
  <c r="L13443" i="2"/>
  <c r="C13444" i="2"/>
  <c r="D13444" i="2"/>
  <c r="F13444" i="2"/>
  <c r="G13444" i="2"/>
  <c r="H13444" i="2"/>
  <c r="J13444" i="2"/>
  <c r="K13444" i="2"/>
  <c r="L13444" i="2"/>
  <c r="C13445" i="2"/>
  <c r="D13445" i="2"/>
  <c r="F13445" i="2"/>
  <c r="G13445" i="2"/>
  <c r="H13445" i="2"/>
  <c r="J13445" i="2"/>
  <c r="K13445" i="2"/>
  <c r="L13445" i="2"/>
  <c r="C13446" i="2"/>
  <c r="D13446" i="2"/>
  <c r="F13446" i="2"/>
  <c r="G13446" i="2"/>
  <c r="H13446" i="2"/>
  <c r="J13446" i="2"/>
  <c r="K13446" i="2"/>
  <c r="L13446" i="2"/>
  <c r="C13447" i="2"/>
  <c r="D13447" i="2"/>
  <c r="F13447" i="2"/>
  <c r="G13447" i="2"/>
  <c r="H13447" i="2"/>
  <c r="J13447" i="2"/>
  <c r="K13447" i="2"/>
  <c r="L13447" i="2"/>
  <c r="C13448" i="2"/>
  <c r="D13448" i="2"/>
  <c r="F13448" i="2"/>
  <c r="G13448" i="2"/>
  <c r="H13448" i="2"/>
  <c r="J13448" i="2"/>
  <c r="K13448" i="2"/>
  <c r="L13448" i="2"/>
  <c r="C13449" i="2"/>
  <c r="D13449" i="2"/>
  <c r="F13449" i="2"/>
  <c r="G13449" i="2"/>
  <c r="H13449" i="2"/>
  <c r="J13449" i="2"/>
  <c r="K13449" i="2"/>
  <c r="L13449" i="2"/>
  <c r="C13450" i="2"/>
  <c r="D13450" i="2"/>
  <c r="F13450" i="2"/>
  <c r="G13450" i="2"/>
  <c r="H13450" i="2"/>
  <c r="J13450" i="2"/>
  <c r="K13450" i="2"/>
  <c r="L13450" i="2"/>
  <c r="C13451" i="2"/>
  <c r="D13451" i="2"/>
  <c r="F13451" i="2"/>
  <c r="G13451" i="2"/>
  <c r="H13451" i="2"/>
  <c r="J13451" i="2"/>
  <c r="K13451" i="2"/>
  <c r="L13451" i="2"/>
  <c r="C13452" i="2"/>
  <c r="D13452" i="2"/>
  <c r="F13452" i="2"/>
  <c r="G13452" i="2"/>
  <c r="H13452" i="2"/>
  <c r="J13452" i="2"/>
  <c r="K13452" i="2"/>
  <c r="L13452" i="2"/>
  <c r="C13453" i="2"/>
  <c r="D13453" i="2"/>
  <c r="F13453" i="2"/>
  <c r="G13453" i="2"/>
  <c r="H13453" i="2"/>
  <c r="J13453" i="2"/>
  <c r="K13453" i="2"/>
  <c r="L13453" i="2"/>
  <c r="C13454" i="2"/>
  <c r="D13454" i="2"/>
  <c r="F13454" i="2"/>
  <c r="G13454" i="2"/>
  <c r="H13454" i="2"/>
  <c r="J13454" i="2"/>
  <c r="K13454" i="2"/>
  <c r="L13454" i="2"/>
  <c r="C13455" i="2"/>
  <c r="D13455" i="2"/>
  <c r="F13455" i="2"/>
  <c r="G13455" i="2"/>
  <c r="H13455" i="2"/>
  <c r="J13455" i="2"/>
  <c r="K13455" i="2"/>
  <c r="L13455" i="2"/>
  <c r="C13456" i="2"/>
  <c r="D13456" i="2"/>
  <c r="F13456" i="2"/>
  <c r="G13456" i="2"/>
  <c r="H13456" i="2"/>
  <c r="J13456" i="2"/>
  <c r="K13456" i="2"/>
  <c r="L13456" i="2"/>
  <c r="C13457" i="2"/>
  <c r="D13457" i="2"/>
  <c r="F13457" i="2"/>
  <c r="G13457" i="2"/>
  <c r="H13457" i="2"/>
  <c r="J13457" i="2"/>
  <c r="K13457" i="2"/>
  <c r="L13457" i="2"/>
  <c r="C13458" i="2"/>
  <c r="D13458" i="2"/>
  <c r="F13458" i="2"/>
  <c r="G13458" i="2"/>
  <c r="H13458" i="2"/>
  <c r="J13458" i="2"/>
  <c r="K13458" i="2"/>
  <c r="L13458" i="2"/>
  <c r="C13459" i="2"/>
  <c r="D13459" i="2"/>
  <c r="F13459" i="2"/>
  <c r="G13459" i="2"/>
  <c r="H13459" i="2"/>
  <c r="J13459" i="2"/>
  <c r="K13459" i="2"/>
  <c r="L13459" i="2"/>
  <c r="C13460" i="2"/>
  <c r="D13460" i="2"/>
  <c r="F13460" i="2"/>
  <c r="G13460" i="2"/>
  <c r="H13460" i="2"/>
  <c r="J13460" i="2"/>
  <c r="K13460" i="2"/>
  <c r="L13460" i="2"/>
  <c r="C13461" i="2"/>
  <c r="D13461" i="2"/>
  <c r="F13461" i="2"/>
  <c r="G13461" i="2"/>
  <c r="H13461" i="2"/>
  <c r="J13461" i="2"/>
  <c r="K13461" i="2"/>
  <c r="L13461" i="2"/>
  <c r="C13462" i="2"/>
  <c r="D13462" i="2"/>
  <c r="F13462" i="2"/>
  <c r="G13462" i="2"/>
  <c r="H13462" i="2"/>
  <c r="J13462" i="2"/>
  <c r="K13462" i="2"/>
  <c r="L13462" i="2"/>
  <c r="C13463" i="2"/>
  <c r="D13463" i="2"/>
  <c r="F13463" i="2"/>
  <c r="G13463" i="2"/>
  <c r="H13463" i="2"/>
  <c r="J13463" i="2"/>
  <c r="K13463" i="2"/>
  <c r="L13463" i="2"/>
  <c r="C13464" i="2"/>
  <c r="D13464" i="2"/>
  <c r="F13464" i="2"/>
  <c r="G13464" i="2"/>
  <c r="H13464" i="2"/>
  <c r="J13464" i="2"/>
  <c r="K13464" i="2"/>
  <c r="L13464" i="2"/>
  <c r="C13465" i="2"/>
  <c r="D13465" i="2"/>
  <c r="F13465" i="2"/>
  <c r="G13465" i="2"/>
  <c r="H13465" i="2"/>
  <c r="J13465" i="2"/>
  <c r="K13465" i="2"/>
  <c r="L13465" i="2"/>
  <c r="C13466" i="2"/>
  <c r="D13466" i="2"/>
  <c r="F13466" i="2"/>
  <c r="G13466" i="2"/>
  <c r="H13466" i="2"/>
  <c r="J13466" i="2"/>
  <c r="K13466" i="2"/>
  <c r="L13466" i="2"/>
  <c r="C13467" i="2"/>
  <c r="D13467" i="2"/>
  <c r="F13467" i="2"/>
  <c r="G13467" i="2"/>
  <c r="H13467" i="2"/>
  <c r="J13467" i="2"/>
  <c r="K13467" i="2"/>
  <c r="L13467" i="2"/>
  <c r="C13468" i="2"/>
  <c r="D13468" i="2"/>
  <c r="F13468" i="2"/>
  <c r="G13468" i="2"/>
  <c r="H13468" i="2"/>
  <c r="J13468" i="2"/>
  <c r="K13468" i="2"/>
  <c r="L13468" i="2"/>
  <c r="C13469" i="2"/>
  <c r="D13469" i="2"/>
  <c r="F13469" i="2"/>
  <c r="G13469" i="2"/>
  <c r="H13469" i="2"/>
  <c r="J13469" i="2"/>
  <c r="K13469" i="2"/>
  <c r="L13469" i="2"/>
  <c r="C13470" i="2"/>
  <c r="D13470" i="2"/>
  <c r="F13470" i="2"/>
  <c r="G13470" i="2"/>
  <c r="H13470" i="2"/>
  <c r="J13470" i="2"/>
  <c r="K13470" i="2"/>
  <c r="L13470" i="2"/>
  <c r="C13471" i="2"/>
  <c r="D13471" i="2"/>
  <c r="F13471" i="2"/>
  <c r="G13471" i="2"/>
  <c r="H13471" i="2"/>
  <c r="J13471" i="2"/>
  <c r="K13471" i="2"/>
  <c r="L13471" i="2"/>
  <c r="C13472" i="2"/>
  <c r="D13472" i="2"/>
  <c r="F13472" i="2"/>
  <c r="G13472" i="2"/>
  <c r="H13472" i="2"/>
  <c r="J13472" i="2"/>
  <c r="K13472" i="2"/>
  <c r="L13472" i="2"/>
  <c r="C13473" i="2"/>
  <c r="D13473" i="2"/>
  <c r="F13473" i="2"/>
  <c r="G13473" i="2"/>
  <c r="H13473" i="2"/>
  <c r="J13473" i="2"/>
  <c r="K13473" i="2"/>
  <c r="L13473" i="2"/>
  <c r="C13474" i="2"/>
  <c r="D13474" i="2"/>
  <c r="F13474" i="2"/>
  <c r="G13474" i="2"/>
  <c r="H13474" i="2"/>
  <c r="J13474" i="2"/>
  <c r="K13474" i="2"/>
  <c r="L13474" i="2"/>
  <c r="C13475" i="2"/>
  <c r="D13475" i="2"/>
  <c r="F13475" i="2"/>
  <c r="G13475" i="2"/>
  <c r="H13475" i="2"/>
  <c r="J13475" i="2"/>
  <c r="K13475" i="2"/>
  <c r="L13475" i="2"/>
  <c r="C13476" i="2"/>
  <c r="D13476" i="2"/>
  <c r="F13476" i="2"/>
  <c r="G13476" i="2"/>
  <c r="H13476" i="2"/>
  <c r="J13476" i="2"/>
  <c r="K13476" i="2"/>
  <c r="L13476" i="2"/>
  <c r="C13477" i="2"/>
  <c r="D13477" i="2"/>
  <c r="F13477" i="2"/>
  <c r="G13477" i="2"/>
  <c r="H13477" i="2"/>
  <c r="J13477" i="2"/>
  <c r="K13477" i="2"/>
  <c r="L13477" i="2"/>
  <c r="C13478" i="2"/>
  <c r="D13478" i="2"/>
  <c r="F13478" i="2"/>
  <c r="G13478" i="2"/>
  <c r="H13478" i="2"/>
  <c r="J13478" i="2"/>
  <c r="K13478" i="2"/>
  <c r="L13478" i="2"/>
  <c r="C13479" i="2"/>
  <c r="D13479" i="2"/>
  <c r="F13479" i="2"/>
  <c r="G13479" i="2"/>
  <c r="H13479" i="2"/>
  <c r="J13479" i="2"/>
  <c r="K13479" i="2"/>
  <c r="L13479" i="2"/>
  <c r="C13480" i="2"/>
  <c r="D13480" i="2"/>
  <c r="F13480" i="2"/>
  <c r="G13480" i="2"/>
  <c r="H13480" i="2"/>
  <c r="J13480" i="2"/>
  <c r="K13480" i="2"/>
  <c r="L13480" i="2"/>
  <c r="C13481" i="2"/>
  <c r="D13481" i="2"/>
  <c r="F13481" i="2"/>
  <c r="G13481" i="2"/>
  <c r="H13481" i="2"/>
  <c r="J13481" i="2"/>
  <c r="K13481" i="2"/>
  <c r="L13481" i="2"/>
  <c r="C13482" i="2"/>
  <c r="D13482" i="2"/>
  <c r="F13482" i="2"/>
  <c r="G13482" i="2"/>
  <c r="H13482" i="2"/>
  <c r="J13482" i="2"/>
  <c r="K13482" i="2"/>
  <c r="L13482" i="2"/>
  <c r="C13483" i="2"/>
  <c r="D13483" i="2"/>
  <c r="F13483" i="2"/>
  <c r="G13483" i="2"/>
  <c r="H13483" i="2"/>
  <c r="J13483" i="2"/>
  <c r="K13483" i="2"/>
  <c r="L13483" i="2"/>
  <c r="C13484" i="2"/>
  <c r="D13484" i="2"/>
  <c r="F13484" i="2"/>
  <c r="G13484" i="2"/>
  <c r="H13484" i="2"/>
  <c r="J13484" i="2"/>
  <c r="K13484" i="2"/>
  <c r="L13484" i="2"/>
  <c r="C13485" i="2"/>
  <c r="D13485" i="2"/>
  <c r="F13485" i="2"/>
  <c r="G13485" i="2"/>
  <c r="H13485" i="2"/>
  <c r="J13485" i="2"/>
  <c r="K13485" i="2"/>
  <c r="L13485" i="2"/>
  <c r="C13486" i="2"/>
  <c r="D13486" i="2"/>
  <c r="F13486" i="2"/>
  <c r="G13486" i="2"/>
  <c r="H13486" i="2"/>
  <c r="J13486" i="2"/>
  <c r="K13486" i="2"/>
  <c r="L13486" i="2"/>
  <c r="C13487" i="2"/>
  <c r="D13487" i="2"/>
  <c r="F13487" i="2"/>
  <c r="G13487" i="2"/>
  <c r="H13487" i="2"/>
  <c r="J13487" i="2"/>
  <c r="K13487" i="2"/>
  <c r="L13487" i="2"/>
  <c r="C13488" i="2"/>
  <c r="D13488" i="2"/>
  <c r="F13488" i="2"/>
  <c r="G13488" i="2"/>
  <c r="H13488" i="2"/>
  <c r="J13488" i="2"/>
  <c r="K13488" i="2"/>
  <c r="L13488" i="2"/>
  <c r="C13489" i="2"/>
  <c r="D13489" i="2"/>
  <c r="F13489" i="2"/>
  <c r="G13489" i="2"/>
  <c r="H13489" i="2"/>
  <c r="J13489" i="2"/>
  <c r="K13489" i="2"/>
  <c r="L13489" i="2"/>
  <c r="C13490" i="2"/>
  <c r="D13490" i="2"/>
  <c r="F13490" i="2"/>
  <c r="G13490" i="2"/>
  <c r="H13490" i="2"/>
  <c r="J13490" i="2"/>
  <c r="K13490" i="2"/>
  <c r="L13490" i="2"/>
  <c r="C13491" i="2"/>
  <c r="D13491" i="2"/>
  <c r="F13491" i="2"/>
  <c r="G13491" i="2"/>
  <c r="H13491" i="2"/>
  <c r="J13491" i="2"/>
  <c r="K13491" i="2"/>
  <c r="L13491" i="2"/>
  <c r="C13492" i="2"/>
  <c r="D13492" i="2"/>
  <c r="F13492" i="2"/>
  <c r="G13492" i="2"/>
  <c r="H13492" i="2"/>
  <c r="J13492" i="2"/>
  <c r="K13492" i="2"/>
  <c r="L13492" i="2"/>
  <c r="C13493" i="2"/>
  <c r="D13493" i="2"/>
  <c r="F13493" i="2"/>
  <c r="G13493" i="2"/>
  <c r="H13493" i="2"/>
  <c r="J13493" i="2"/>
  <c r="K13493" i="2"/>
  <c r="L13493" i="2"/>
  <c r="C13494" i="2"/>
  <c r="D13494" i="2"/>
  <c r="F13494" i="2"/>
  <c r="G13494" i="2"/>
  <c r="H13494" i="2"/>
  <c r="J13494" i="2"/>
  <c r="K13494" i="2"/>
  <c r="L13494" i="2"/>
  <c r="C13495" i="2"/>
  <c r="D13495" i="2"/>
  <c r="F13495" i="2"/>
  <c r="G13495" i="2"/>
  <c r="H13495" i="2"/>
  <c r="J13495" i="2"/>
  <c r="K13495" i="2"/>
  <c r="L13495" i="2"/>
  <c r="C13496" i="2"/>
  <c r="D13496" i="2"/>
  <c r="F13496" i="2"/>
  <c r="G13496" i="2"/>
  <c r="H13496" i="2"/>
  <c r="J13496" i="2"/>
  <c r="K13496" i="2"/>
  <c r="L13496" i="2"/>
  <c r="C13497" i="2"/>
  <c r="D13497" i="2"/>
  <c r="F13497" i="2"/>
  <c r="G13497" i="2"/>
  <c r="H13497" i="2"/>
  <c r="J13497" i="2"/>
  <c r="K13497" i="2"/>
  <c r="L13497" i="2"/>
  <c r="C13498" i="2"/>
  <c r="D13498" i="2"/>
  <c r="F13498" i="2"/>
  <c r="G13498" i="2"/>
  <c r="H13498" i="2"/>
  <c r="J13498" i="2"/>
  <c r="K13498" i="2"/>
  <c r="L13498" i="2"/>
  <c r="C13499" i="2"/>
  <c r="D13499" i="2"/>
  <c r="F13499" i="2"/>
  <c r="G13499" i="2"/>
  <c r="H13499" i="2"/>
  <c r="J13499" i="2"/>
  <c r="K13499" i="2"/>
  <c r="L13499" i="2"/>
  <c r="C13500" i="2"/>
  <c r="D13500" i="2"/>
  <c r="F13500" i="2"/>
  <c r="G13500" i="2"/>
  <c r="H13500" i="2"/>
  <c r="J13500" i="2"/>
  <c r="K13500" i="2"/>
  <c r="L13500" i="2"/>
  <c r="C13501" i="2"/>
  <c r="D13501" i="2"/>
  <c r="F13501" i="2"/>
  <c r="G13501" i="2"/>
  <c r="H13501" i="2"/>
  <c r="J13501" i="2"/>
  <c r="K13501" i="2"/>
  <c r="L13501" i="2"/>
  <c r="C13502" i="2"/>
  <c r="D13502" i="2"/>
  <c r="F13502" i="2"/>
  <c r="G13502" i="2"/>
  <c r="H13502" i="2"/>
  <c r="J13502" i="2"/>
  <c r="K13502" i="2"/>
  <c r="L13502" i="2"/>
  <c r="C13503" i="2"/>
  <c r="D13503" i="2"/>
  <c r="F13503" i="2"/>
  <c r="G13503" i="2"/>
  <c r="H13503" i="2"/>
  <c r="J13503" i="2"/>
  <c r="K13503" i="2"/>
  <c r="L13503" i="2"/>
  <c r="C13504" i="2"/>
  <c r="D13504" i="2"/>
  <c r="F13504" i="2"/>
  <c r="G13504" i="2"/>
  <c r="H13504" i="2"/>
  <c r="J13504" i="2"/>
  <c r="K13504" i="2"/>
  <c r="L13504" i="2"/>
  <c r="C13505" i="2"/>
  <c r="D13505" i="2"/>
  <c r="F13505" i="2"/>
  <c r="G13505" i="2"/>
  <c r="H13505" i="2"/>
  <c r="J13505" i="2"/>
  <c r="K13505" i="2"/>
  <c r="L13505" i="2"/>
  <c r="C13506" i="2"/>
  <c r="D13506" i="2"/>
  <c r="F13506" i="2"/>
  <c r="G13506" i="2"/>
  <c r="H13506" i="2"/>
  <c r="J13506" i="2"/>
  <c r="K13506" i="2"/>
  <c r="L13506" i="2"/>
  <c r="C13507" i="2"/>
  <c r="D13507" i="2"/>
  <c r="F13507" i="2"/>
  <c r="G13507" i="2"/>
  <c r="H13507" i="2"/>
  <c r="J13507" i="2"/>
  <c r="K13507" i="2"/>
  <c r="L13507" i="2"/>
  <c r="C13508" i="2"/>
  <c r="D13508" i="2"/>
  <c r="F13508" i="2"/>
  <c r="G13508" i="2"/>
  <c r="H13508" i="2"/>
  <c r="J13508" i="2"/>
  <c r="K13508" i="2"/>
  <c r="L13508" i="2"/>
  <c r="C13509" i="2"/>
  <c r="D13509" i="2"/>
  <c r="F13509" i="2"/>
  <c r="G13509" i="2"/>
  <c r="H13509" i="2"/>
  <c r="J13509" i="2"/>
  <c r="K13509" i="2"/>
  <c r="L13509" i="2"/>
  <c r="C13510" i="2"/>
  <c r="D13510" i="2"/>
  <c r="F13510" i="2"/>
  <c r="G13510" i="2"/>
  <c r="H13510" i="2"/>
  <c r="J13510" i="2"/>
  <c r="K13510" i="2"/>
  <c r="L13510" i="2"/>
  <c r="C13511" i="2"/>
  <c r="D13511" i="2"/>
  <c r="F13511" i="2"/>
  <c r="G13511" i="2"/>
  <c r="H13511" i="2"/>
  <c r="J13511" i="2"/>
  <c r="K13511" i="2"/>
  <c r="L13511" i="2"/>
  <c r="C13512" i="2"/>
  <c r="D13512" i="2"/>
  <c r="F13512" i="2"/>
  <c r="G13512" i="2"/>
  <c r="H13512" i="2"/>
  <c r="J13512" i="2"/>
  <c r="K13512" i="2"/>
  <c r="L13512" i="2"/>
  <c r="C13513" i="2"/>
  <c r="D13513" i="2"/>
  <c r="F13513" i="2"/>
  <c r="G13513" i="2"/>
  <c r="H13513" i="2"/>
  <c r="J13513" i="2"/>
  <c r="K13513" i="2"/>
  <c r="L13513" i="2"/>
  <c r="C13514" i="2"/>
  <c r="D13514" i="2"/>
  <c r="F13514" i="2"/>
  <c r="G13514" i="2"/>
  <c r="H13514" i="2"/>
  <c r="J13514" i="2"/>
  <c r="K13514" i="2"/>
  <c r="L13514" i="2"/>
  <c r="C13515" i="2"/>
  <c r="D13515" i="2"/>
  <c r="F13515" i="2"/>
  <c r="G13515" i="2"/>
  <c r="H13515" i="2"/>
  <c r="J13515" i="2"/>
  <c r="K13515" i="2"/>
  <c r="L13515" i="2"/>
  <c r="C13516" i="2"/>
  <c r="D13516" i="2"/>
  <c r="F13516" i="2"/>
  <c r="G13516" i="2"/>
  <c r="H13516" i="2"/>
  <c r="J13516" i="2"/>
  <c r="K13516" i="2"/>
  <c r="L13516" i="2"/>
  <c r="C13517" i="2"/>
  <c r="D13517" i="2"/>
  <c r="F13517" i="2"/>
  <c r="G13517" i="2"/>
  <c r="H13517" i="2"/>
  <c r="J13517" i="2"/>
  <c r="K13517" i="2"/>
  <c r="L13517" i="2"/>
  <c r="C13518" i="2"/>
  <c r="D13518" i="2"/>
  <c r="F13518" i="2"/>
  <c r="G13518" i="2"/>
  <c r="H13518" i="2"/>
  <c r="J13518" i="2"/>
  <c r="K13518" i="2"/>
  <c r="L13518" i="2"/>
  <c r="C13519" i="2"/>
  <c r="D13519" i="2"/>
  <c r="F13519" i="2"/>
  <c r="G13519" i="2"/>
  <c r="H13519" i="2"/>
  <c r="J13519" i="2"/>
  <c r="K13519" i="2"/>
  <c r="L13519" i="2"/>
  <c r="C13520" i="2"/>
  <c r="D13520" i="2"/>
  <c r="F13520" i="2"/>
  <c r="G13520" i="2"/>
  <c r="H13520" i="2"/>
  <c r="J13520" i="2"/>
  <c r="K13520" i="2"/>
  <c r="L13520" i="2"/>
  <c r="C13521" i="2"/>
  <c r="D13521" i="2"/>
  <c r="F13521" i="2"/>
  <c r="G13521" i="2"/>
  <c r="H13521" i="2"/>
  <c r="J13521" i="2"/>
  <c r="K13521" i="2"/>
  <c r="L13521" i="2"/>
  <c r="C13522" i="2"/>
  <c r="D13522" i="2"/>
  <c r="F13522" i="2"/>
  <c r="G13522" i="2"/>
  <c r="H13522" i="2"/>
  <c r="J13522" i="2"/>
  <c r="K13522" i="2"/>
  <c r="L13522" i="2"/>
  <c r="C13523" i="2"/>
  <c r="D13523" i="2"/>
  <c r="F13523" i="2"/>
  <c r="G13523" i="2"/>
  <c r="H13523" i="2"/>
  <c r="J13523" i="2"/>
  <c r="K13523" i="2"/>
  <c r="L13523" i="2"/>
  <c r="C13524" i="2"/>
  <c r="D13524" i="2"/>
  <c r="F13524" i="2"/>
  <c r="G13524" i="2"/>
  <c r="H13524" i="2"/>
  <c r="J13524" i="2"/>
  <c r="K13524" i="2"/>
  <c r="L13524" i="2"/>
  <c r="C13525" i="2"/>
  <c r="D13525" i="2"/>
  <c r="F13525" i="2"/>
  <c r="G13525" i="2"/>
  <c r="H13525" i="2"/>
  <c r="J13525" i="2"/>
  <c r="K13525" i="2"/>
  <c r="L13525" i="2"/>
  <c r="D13526" i="2"/>
  <c r="F13526" i="2"/>
  <c r="G13526" i="2"/>
  <c r="H13526" i="2"/>
  <c r="J13526" i="2"/>
  <c r="K13526" i="2"/>
  <c r="L13526" i="2"/>
  <c r="C13527" i="2"/>
  <c r="D13527" i="2"/>
  <c r="F13527" i="2"/>
  <c r="G13527" i="2"/>
  <c r="H13527" i="2"/>
  <c r="J13527" i="2"/>
  <c r="K13527" i="2"/>
  <c r="L13527" i="2"/>
  <c r="C13528" i="2"/>
  <c r="D13528" i="2"/>
  <c r="F13528" i="2"/>
  <c r="G13528" i="2"/>
  <c r="H13528" i="2"/>
  <c r="J13528" i="2"/>
  <c r="K13528" i="2"/>
  <c r="L13528" i="2"/>
  <c r="C13529" i="2"/>
  <c r="D13529" i="2"/>
  <c r="F13529" i="2"/>
  <c r="G13529" i="2"/>
  <c r="H13529" i="2"/>
  <c r="J13529" i="2"/>
  <c r="K13529" i="2"/>
  <c r="L13529" i="2"/>
  <c r="C13530" i="2"/>
  <c r="D13530" i="2"/>
  <c r="F13530" i="2"/>
  <c r="G13530" i="2"/>
  <c r="H13530" i="2"/>
  <c r="J13530" i="2"/>
  <c r="K13530" i="2"/>
  <c r="L13530" i="2"/>
  <c r="C13531" i="2"/>
  <c r="D13531" i="2"/>
  <c r="F13531" i="2"/>
  <c r="G13531" i="2"/>
  <c r="H13531" i="2"/>
  <c r="J13531" i="2"/>
  <c r="K13531" i="2"/>
  <c r="L13531" i="2"/>
  <c r="C13532" i="2"/>
  <c r="D13532" i="2"/>
  <c r="F13532" i="2"/>
  <c r="G13532" i="2"/>
  <c r="H13532" i="2"/>
  <c r="J13532" i="2"/>
  <c r="K13532" i="2"/>
  <c r="L13532" i="2"/>
  <c r="C13533" i="2"/>
  <c r="D13533" i="2"/>
  <c r="F13533" i="2"/>
  <c r="G13533" i="2"/>
  <c r="H13533" i="2"/>
  <c r="J13533" i="2"/>
  <c r="K13533" i="2"/>
  <c r="L13533" i="2"/>
  <c r="C13534" i="2"/>
  <c r="D13534" i="2"/>
  <c r="F13534" i="2"/>
  <c r="G13534" i="2"/>
  <c r="H13534" i="2"/>
  <c r="J13534" i="2"/>
  <c r="K13534" i="2"/>
  <c r="L13534" i="2"/>
  <c r="C13535" i="2"/>
  <c r="D13535" i="2"/>
  <c r="F13535" i="2"/>
  <c r="G13535" i="2"/>
  <c r="H13535" i="2"/>
  <c r="J13535" i="2"/>
  <c r="K13535" i="2"/>
  <c r="L13535" i="2"/>
  <c r="C13536" i="2"/>
  <c r="D13536" i="2"/>
  <c r="F13536" i="2"/>
  <c r="G13536" i="2"/>
  <c r="H13536" i="2"/>
  <c r="J13536" i="2"/>
  <c r="K13536" i="2"/>
  <c r="L13536" i="2"/>
  <c r="C13537" i="2"/>
  <c r="D13537" i="2"/>
  <c r="F13537" i="2"/>
  <c r="G13537" i="2"/>
  <c r="H13537" i="2"/>
  <c r="J13537" i="2"/>
  <c r="K13537" i="2"/>
  <c r="L13537" i="2"/>
  <c r="C13538" i="2"/>
  <c r="D13538" i="2"/>
  <c r="F13538" i="2"/>
  <c r="G13538" i="2"/>
  <c r="H13538" i="2"/>
  <c r="J13538" i="2"/>
  <c r="K13538" i="2"/>
  <c r="L13538" i="2"/>
  <c r="C13539" i="2"/>
  <c r="D13539" i="2"/>
  <c r="F13539" i="2"/>
  <c r="G13539" i="2"/>
  <c r="H13539" i="2"/>
  <c r="J13539" i="2"/>
  <c r="K13539" i="2"/>
  <c r="L13539" i="2"/>
  <c r="C13540" i="2"/>
  <c r="D13540" i="2"/>
  <c r="F13540" i="2"/>
  <c r="G13540" i="2"/>
  <c r="H13540" i="2"/>
  <c r="J13540" i="2"/>
  <c r="K13540" i="2"/>
  <c r="L13540" i="2"/>
  <c r="C13541" i="2"/>
  <c r="D13541" i="2"/>
  <c r="F13541" i="2"/>
  <c r="G13541" i="2"/>
  <c r="H13541" i="2"/>
  <c r="J13541" i="2"/>
  <c r="K13541" i="2"/>
  <c r="L13541" i="2"/>
  <c r="C13542" i="2"/>
  <c r="D13542" i="2"/>
  <c r="F13542" i="2"/>
  <c r="G13542" i="2"/>
  <c r="H13542" i="2"/>
  <c r="J13542" i="2"/>
  <c r="K13542" i="2"/>
  <c r="L13542" i="2"/>
  <c r="C13543" i="2"/>
  <c r="D13543" i="2"/>
  <c r="F13543" i="2"/>
  <c r="G13543" i="2"/>
  <c r="H13543" i="2"/>
  <c r="J13543" i="2"/>
  <c r="K13543" i="2"/>
  <c r="L13543" i="2"/>
  <c r="C13544" i="2"/>
  <c r="D13544" i="2"/>
  <c r="F13544" i="2"/>
  <c r="G13544" i="2"/>
  <c r="H13544" i="2"/>
  <c r="J13544" i="2"/>
  <c r="K13544" i="2"/>
  <c r="L13544" i="2"/>
  <c r="C13545" i="2"/>
  <c r="D13545" i="2"/>
  <c r="F13545" i="2"/>
  <c r="G13545" i="2"/>
  <c r="H13545" i="2"/>
  <c r="J13545" i="2"/>
  <c r="K13545" i="2"/>
  <c r="L13545" i="2"/>
  <c r="C13546" i="2"/>
  <c r="D13546" i="2"/>
  <c r="F13546" i="2"/>
  <c r="G13546" i="2"/>
  <c r="H13546" i="2"/>
  <c r="J13546" i="2"/>
  <c r="K13546" i="2"/>
  <c r="L13546" i="2"/>
  <c r="C13547" i="2"/>
  <c r="D13547" i="2"/>
  <c r="F13547" i="2"/>
  <c r="G13547" i="2"/>
  <c r="H13547" i="2"/>
  <c r="J13547" i="2"/>
  <c r="K13547" i="2"/>
  <c r="L13547" i="2"/>
  <c r="C13548" i="2"/>
  <c r="D13548" i="2"/>
  <c r="F13548" i="2"/>
  <c r="G13548" i="2"/>
  <c r="H13548" i="2"/>
  <c r="J13548" i="2"/>
  <c r="K13548" i="2"/>
  <c r="L13548" i="2"/>
  <c r="C13549" i="2"/>
  <c r="D13549" i="2"/>
  <c r="F13549" i="2"/>
  <c r="G13549" i="2"/>
  <c r="H13549" i="2"/>
  <c r="J13549" i="2"/>
  <c r="K13549" i="2"/>
  <c r="L13549" i="2"/>
  <c r="C13550" i="2"/>
  <c r="D13550" i="2"/>
  <c r="F13550" i="2"/>
  <c r="G13550" i="2"/>
  <c r="H13550" i="2"/>
  <c r="J13550" i="2"/>
  <c r="K13550" i="2"/>
  <c r="L13550" i="2"/>
  <c r="C13551" i="2"/>
  <c r="D13551" i="2"/>
  <c r="F13551" i="2"/>
  <c r="G13551" i="2"/>
  <c r="H13551" i="2"/>
  <c r="J13551" i="2"/>
  <c r="K13551" i="2"/>
  <c r="L13551" i="2"/>
  <c r="C13552" i="2"/>
  <c r="D13552" i="2"/>
  <c r="F13552" i="2"/>
  <c r="G13552" i="2"/>
  <c r="H13552" i="2"/>
  <c r="J13552" i="2"/>
  <c r="K13552" i="2"/>
  <c r="L13552" i="2"/>
  <c r="C13553" i="2"/>
  <c r="D13553" i="2"/>
  <c r="F13553" i="2"/>
  <c r="G13553" i="2"/>
  <c r="H13553" i="2"/>
  <c r="J13553" i="2"/>
  <c r="K13553" i="2"/>
  <c r="L13553" i="2"/>
  <c r="C13554" i="2"/>
  <c r="D13554" i="2"/>
  <c r="F13554" i="2"/>
  <c r="G13554" i="2"/>
  <c r="H13554" i="2"/>
  <c r="J13554" i="2"/>
  <c r="K13554" i="2"/>
  <c r="L13554" i="2"/>
  <c r="C13555" i="2"/>
  <c r="D13555" i="2"/>
  <c r="F13555" i="2"/>
  <c r="G13555" i="2"/>
  <c r="H13555" i="2"/>
  <c r="J13555" i="2"/>
  <c r="K13555" i="2"/>
  <c r="L13555" i="2"/>
  <c r="C13556" i="2"/>
  <c r="D13556" i="2"/>
  <c r="F13556" i="2"/>
  <c r="G13556" i="2"/>
  <c r="H13556" i="2"/>
  <c r="J13556" i="2"/>
  <c r="K13556" i="2"/>
  <c r="L13556" i="2"/>
  <c r="C13557" i="2"/>
  <c r="D13557" i="2"/>
  <c r="F13557" i="2"/>
  <c r="G13557" i="2"/>
  <c r="H13557" i="2"/>
  <c r="J13557" i="2"/>
  <c r="K13557" i="2"/>
  <c r="L13557" i="2"/>
  <c r="C13558" i="2"/>
  <c r="D13558" i="2"/>
  <c r="F13558" i="2"/>
  <c r="G13558" i="2"/>
  <c r="H13558" i="2"/>
  <c r="J13558" i="2"/>
  <c r="K13558" i="2"/>
  <c r="L13558" i="2"/>
  <c r="C13559" i="2"/>
  <c r="D13559" i="2"/>
  <c r="F13559" i="2"/>
  <c r="G13559" i="2"/>
  <c r="H13559" i="2"/>
  <c r="J13559" i="2"/>
  <c r="K13559" i="2"/>
  <c r="L13559" i="2"/>
  <c r="C13560" i="2"/>
  <c r="D13560" i="2"/>
  <c r="F13560" i="2"/>
  <c r="G13560" i="2"/>
  <c r="H13560" i="2"/>
  <c r="J13560" i="2"/>
  <c r="K13560" i="2"/>
  <c r="L13560" i="2"/>
  <c r="C13561" i="2"/>
  <c r="D13561" i="2"/>
  <c r="F13561" i="2"/>
  <c r="G13561" i="2"/>
  <c r="H13561" i="2"/>
  <c r="J13561" i="2"/>
  <c r="K13561" i="2"/>
  <c r="L13561" i="2"/>
  <c r="C13562" i="2"/>
  <c r="D13562" i="2"/>
  <c r="F13562" i="2"/>
  <c r="G13562" i="2"/>
  <c r="H13562" i="2"/>
  <c r="J13562" i="2"/>
  <c r="K13562" i="2"/>
  <c r="L13562" i="2"/>
  <c r="C13563" i="2"/>
  <c r="D13563" i="2"/>
  <c r="F13563" i="2"/>
  <c r="G13563" i="2"/>
  <c r="H13563" i="2"/>
  <c r="J13563" i="2"/>
  <c r="K13563" i="2"/>
  <c r="L13563" i="2"/>
  <c r="C13564" i="2"/>
  <c r="D13564" i="2"/>
  <c r="F13564" i="2"/>
  <c r="G13564" i="2"/>
  <c r="H13564" i="2"/>
  <c r="J13564" i="2"/>
  <c r="K13564" i="2"/>
  <c r="L13564" i="2"/>
  <c r="C13565" i="2"/>
  <c r="D13565" i="2"/>
  <c r="F13565" i="2"/>
  <c r="G13565" i="2"/>
  <c r="H13565" i="2"/>
  <c r="J13565" i="2"/>
  <c r="K13565" i="2"/>
  <c r="L13565" i="2"/>
  <c r="C13566" i="2"/>
  <c r="D13566" i="2"/>
  <c r="F13566" i="2"/>
  <c r="G13566" i="2"/>
  <c r="H13566" i="2"/>
  <c r="J13566" i="2"/>
  <c r="K13566" i="2"/>
  <c r="L13566" i="2"/>
  <c r="C13567" i="2"/>
  <c r="D13567" i="2"/>
  <c r="F13567" i="2"/>
  <c r="G13567" i="2"/>
  <c r="H13567" i="2"/>
  <c r="J13567" i="2"/>
  <c r="K13567" i="2"/>
  <c r="L13567" i="2"/>
  <c r="C13568" i="2"/>
  <c r="D13568" i="2"/>
  <c r="F13568" i="2"/>
  <c r="G13568" i="2"/>
  <c r="H13568" i="2"/>
  <c r="J13568" i="2"/>
  <c r="K13568" i="2"/>
  <c r="L13568" i="2"/>
  <c r="C13569" i="2"/>
  <c r="D13569" i="2"/>
  <c r="F13569" i="2"/>
  <c r="G13569" i="2"/>
  <c r="H13569" i="2"/>
  <c r="J13569" i="2"/>
  <c r="K13569" i="2"/>
  <c r="L13569" i="2"/>
  <c r="C13570" i="2"/>
  <c r="D13570" i="2"/>
  <c r="F13570" i="2"/>
  <c r="G13570" i="2"/>
  <c r="H13570" i="2"/>
  <c r="J13570" i="2"/>
  <c r="K13570" i="2"/>
  <c r="L13570" i="2"/>
  <c r="C13571" i="2"/>
  <c r="D13571" i="2"/>
  <c r="F13571" i="2"/>
  <c r="G13571" i="2"/>
  <c r="H13571" i="2"/>
  <c r="J13571" i="2"/>
  <c r="K13571" i="2"/>
  <c r="L13571" i="2"/>
  <c r="C13572" i="2"/>
  <c r="D13572" i="2"/>
  <c r="F13572" i="2"/>
  <c r="G13572" i="2"/>
  <c r="H13572" i="2"/>
  <c r="J13572" i="2"/>
  <c r="K13572" i="2"/>
  <c r="L13572" i="2"/>
  <c r="C13573" i="2"/>
  <c r="D13573" i="2"/>
  <c r="F13573" i="2"/>
  <c r="G13573" i="2"/>
  <c r="H13573" i="2"/>
  <c r="J13573" i="2"/>
  <c r="K13573" i="2"/>
  <c r="L13573" i="2"/>
  <c r="C13574" i="2"/>
  <c r="D13574" i="2"/>
  <c r="F13574" i="2"/>
  <c r="G13574" i="2"/>
  <c r="H13574" i="2"/>
  <c r="J13574" i="2"/>
  <c r="K13574" i="2"/>
  <c r="L13574" i="2"/>
  <c r="C13575" i="2"/>
  <c r="D13575" i="2"/>
  <c r="F13575" i="2"/>
  <c r="G13575" i="2"/>
  <c r="H13575" i="2"/>
  <c r="J13575" i="2"/>
  <c r="K13575" i="2"/>
  <c r="L13575" i="2"/>
  <c r="C13576" i="2"/>
  <c r="D13576" i="2"/>
  <c r="F13576" i="2"/>
  <c r="G13576" i="2"/>
  <c r="H13576" i="2"/>
  <c r="J13576" i="2"/>
  <c r="K13576" i="2"/>
  <c r="L13576" i="2"/>
  <c r="C13577" i="2"/>
  <c r="D13577" i="2"/>
  <c r="F13577" i="2"/>
  <c r="G13577" i="2"/>
  <c r="H13577" i="2"/>
  <c r="J13577" i="2"/>
  <c r="K13577" i="2"/>
  <c r="L13577" i="2"/>
  <c r="C13578" i="2"/>
  <c r="D13578" i="2"/>
  <c r="F13578" i="2"/>
  <c r="G13578" i="2"/>
  <c r="H13578" i="2"/>
  <c r="J13578" i="2"/>
  <c r="K13578" i="2"/>
  <c r="L13578" i="2"/>
  <c r="C13579" i="2"/>
  <c r="D13579" i="2"/>
  <c r="F13579" i="2"/>
  <c r="G13579" i="2"/>
  <c r="H13579" i="2"/>
  <c r="J13579" i="2"/>
  <c r="K13579" i="2"/>
  <c r="L13579" i="2"/>
  <c r="C13580" i="2"/>
  <c r="D13580" i="2"/>
  <c r="F13580" i="2"/>
  <c r="G13580" i="2"/>
  <c r="H13580" i="2"/>
  <c r="J13580" i="2"/>
  <c r="K13580" i="2"/>
  <c r="L13580" i="2"/>
  <c r="C13581" i="2"/>
  <c r="D13581" i="2"/>
  <c r="F13581" i="2"/>
  <c r="G13581" i="2"/>
  <c r="H13581" i="2"/>
  <c r="J13581" i="2"/>
  <c r="K13581" i="2"/>
  <c r="L13581" i="2"/>
  <c r="C13582" i="2"/>
  <c r="D13582" i="2"/>
  <c r="F13582" i="2"/>
  <c r="G13582" i="2"/>
  <c r="H13582" i="2"/>
  <c r="J13582" i="2"/>
  <c r="K13582" i="2"/>
  <c r="L13582" i="2"/>
  <c r="C13583" i="2"/>
  <c r="D13583" i="2"/>
  <c r="F13583" i="2"/>
  <c r="G13583" i="2"/>
  <c r="H13583" i="2"/>
  <c r="J13583" i="2"/>
  <c r="K13583" i="2"/>
  <c r="L13583" i="2"/>
  <c r="C13584" i="2"/>
  <c r="D13584" i="2"/>
  <c r="F13584" i="2"/>
  <c r="G13584" i="2"/>
  <c r="H13584" i="2"/>
  <c r="J13584" i="2"/>
  <c r="K13584" i="2"/>
  <c r="L13584" i="2"/>
  <c r="C13585" i="2"/>
  <c r="D13585" i="2"/>
  <c r="F13585" i="2"/>
  <c r="G13585" i="2"/>
  <c r="H13585" i="2"/>
  <c r="J13585" i="2"/>
  <c r="K13585" i="2"/>
  <c r="L13585" i="2"/>
  <c r="C13586" i="2"/>
  <c r="D13586" i="2"/>
  <c r="F13586" i="2"/>
  <c r="G13586" i="2"/>
  <c r="H13586" i="2"/>
  <c r="J13586" i="2"/>
  <c r="K13586" i="2"/>
  <c r="L13586" i="2"/>
  <c r="C13587" i="2"/>
  <c r="D13587" i="2"/>
  <c r="F13587" i="2"/>
  <c r="G13587" i="2"/>
  <c r="H13587" i="2"/>
  <c r="J13587" i="2"/>
  <c r="K13587" i="2"/>
  <c r="L13587" i="2"/>
  <c r="C13588" i="2"/>
  <c r="D13588" i="2"/>
  <c r="F13588" i="2"/>
  <c r="G13588" i="2"/>
  <c r="H13588" i="2"/>
  <c r="J13588" i="2"/>
  <c r="K13588" i="2"/>
  <c r="L13588" i="2"/>
  <c r="C13589" i="2"/>
  <c r="D13589" i="2"/>
  <c r="F13589" i="2"/>
  <c r="G13589" i="2"/>
  <c r="H13589" i="2"/>
  <c r="J13589" i="2"/>
  <c r="K13589" i="2"/>
  <c r="L13589" i="2"/>
  <c r="C13590" i="2"/>
  <c r="D13590" i="2"/>
  <c r="F13590" i="2"/>
  <c r="G13590" i="2"/>
  <c r="H13590" i="2"/>
  <c r="J13590" i="2"/>
  <c r="K13590" i="2"/>
  <c r="L13590" i="2"/>
  <c r="C13591" i="2"/>
  <c r="D13591" i="2"/>
  <c r="F13591" i="2"/>
  <c r="G13591" i="2"/>
  <c r="H13591" i="2"/>
  <c r="J13591" i="2"/>
  <c r="K13591" i="2"/>
  <c r="L13591" i="2"/>
  <c r="C13592" i="2"/>
  <c r="D13592" i="2"/>
  <c r="F13592" i="2"/>
  <c r="G13592" i="2"/>
  <c r="H13592" i="2"/>
  <c r="J13592" i="2"/>
  <c r="K13592" i="2"/>
  <c r="L13592" i="2"/>
  <c r="C13593" i="2"/>
  <c r="D13593" i="2"/>
  <c r="F13593" i="2"/>
  <c r="G13593" i="2"/>
  <c r="H13593" i="2"/>
  <c r="J13593" i="2"/>
  <c r="K13593" i="2"/>
  <c r="L13593" i="2"/>
  <c r="C13594" i="2"/>
  <c r="D13594" i="2"/>
  <c r="F13594" i="2"/>
  <c r="G13594" i="2"/>
  <c r="H13594" i="2"/>
  <c r="J13594" i="2"/>
  <c r="K13594" i="2"/>
  <c r="L13594" i="2"/>
  <c r="C13595" i="2"/>
  <c r="D13595" i="2"/>
  <c r="F13595" i="2"/>
  <c r="G13595" i="2"/>
  <c r="H13595" i="2"/>
  <c r="J13595" i="2"/>
  <c r="K13595" i="2"/>
  <c r="L13595" i="2"/>
  <c r="C13596" i="2"/>
  <c r="D13596" i="2"/>
  <c r="F13596" i="2"/>
  <c r="G13596" i="2"/>
  <c r="H13596" i="2"/>
  <c r="J13596" i="2"/>
  <c r="K13596" i="2"/>
  <c r="L13596" i="2"/>
  <c r="C13597" i="2"/>
  <c r="D13597" i="2"/>
  <c r="F13597" i="2"/>
  <c r="G13597" i="2"/>
  <c r="H13597" i="2"/>
  <c r="J13597" i="2"/>
  <c r="K13597" i="2"/>
  <c r="L13597" i="2"/>
  <c r="C13598" i="2"/>
  <c r="D13598" i="2"/>
  <c r="F13598" i="2"/>
  <c r="G13598" i="2"/>
  <c r="H13598" i="2"/>
  <c r="J13598" i="2"/>
  <c r="K13598" i="2"/>
  <c r="L13598" i="2"/>
  <c r="C13599" i="2"/>
  <c r="D13599" i="2"/>
  <c r="F13599" i="2"/>
  <c r="G13599" i="2"/>
  <c r="H13599" i="2"/>
  <c r="J13599" i="2"/>
  <c r="K13599" i="2"/>
  <c r="L13599" i="2"/>
  <c r="C13600" i="2"/>
  <c r="D13600" i="2"/>
  <c r="F13600" i="2"/>
  <c r="G13600" i="2"/>
  <c r="H13600" i="2"/>
  <c r="J13600" i="2"/>
  <c r="K13600" i="2"/>
  <c r="L13600" i="2"/>
  <c r="C13601" i="2"/>
  <c r="D13601" i="2"/>
  <c r="F13601" i="2"/>
  <c r="G13601" i="2"/>
  <c r="H13601" i="2"/>
  <c r="J13601" i="2"/>
  <c r="K13601" i="2"/>
  <c r="L13601" i="2"/>
  <c r="C13602" i="2"/>
  <c r="D13602" i="2"/>
  <c r="F13602" i="2"/>
  <c r="G13602" i="2"/>
  <c r="H13602" i="2"/>
  <c r="J13602" i="2"/>
  <c r="K13602" i="2"/>
  <c r="L13602" i="2"/>
  <c r="C13603" i="2"/>
  <c r="D13603" i="2"/>
  <c r="F13603" i="2"/>
  <c r="G13603" i="2"/>
  <c r="H13603" i="2"/>
  <c r="J13603" i="2"/>
  <c r="K13603" i="2"/>
  <c r="L13603" i="2"/>
  <c r="C13604" i="2"/>
  <c r="D13604" i="2"/>
  <c r="F13604" i="2"/>
  <c r="G13604" i="2"/>
  <c r="H13604" i="2"/>
  <c r="J13604" i="2"/>
  <c r="K13604" i="2"/>
  <c r="L13604" i="2"/>
  <c r="C13605" i="2"/>
  <c r="D13605" i="2"/>
  <c r="F13605" i="2"/>
  <c r="G13605" i="2"/>
  <c r="H13605" i="2"/>
  <c r="J13605" i="2"/>
  <c r="K13605" i="2"/>
  <c r="L13605" i="2"/>
  <c r="C13606" i="2"/>
  <c r="D13606" i="2"/>
  <c r="F13606" i="2"/>
  <c r="G13606" i="2"/>
  <c r="H13606" i="2"/>
  <c r="J13606" i="2"/>
  <c r="K13606" i="2"/>
  <c r="L13606" i="2"/>
  <c r="C13607" i="2"/>
  <c r="D13607" i="2"/>
  <c r="F13607" i="2"/>
  <c r="G13607" i="2"/>
  <c r="H13607" i="2"/>
  <c r="J13607" i="2"/>
  <c r="K13607" i="2"/>
  <c r="L13607" i="2"/>
  <c r="C13608" i="2"/>
  <c r="D13608" i="2"/>
  <c r="F13608" i="2"/>
  <c r="G13608" i="2"/>
  <c r="H13608" i="2"/>
  <c r="J13608" i="2"/>
  <c r="K13608" i="2"/>
  <c r="L13608" i="2"/>
  <c r="C13609" i="2"/>
  <c r="D13609" i="2"/>
  <c r="F13609" i="2"/>
  <c r="G13609" i="2"/>
  <c r="H13609" i="2"/>
  <c r="J13609" i="2"/>
  <c r="K13609" i="2"/>
  <c r="L13609" i="2"/>
  <c r="C13610" i="2"/>
  <c r="D13610" i="2"/>
  <c r="F13610" i="2"/>
  <c r="G13610" i="2"/>
  <c r="H13610" i="2"/>
  <c r="J13610" i="2"/>
  <c r="K13610" i="2"/>
  <c r="L13610" i="2"/>
  <c r="C13611" i="2"/>
  <c r="D13611" i="2"/>
  <c r="F13611" i="2"/>
  <c r="G13611" i="2"/>
  <c r="H13611" i="2"/>
  <c r="J13611" i="2"/>
  <c r="K13611" i="2"/>
  <c r="L13611" i="2"/>
  <c r="C13612" i="2"/>
  <c r="D13612" i="2"/>
  <c r="F13612" i="2"/>
  <c r="G13612" i="2"/>
  <c r="H13612" i="2"/>
  <c r="J13612" i="2"/>
  <c r="K13612" i="2"/>
  <c r="L13612" i="2"/>
  <c r="C13613" i="2"/>
  <c r="D13613" i="2"/>
  <c r="F13613" i="2"/>
  <c r="G13613" i="2"/>
  <c r="H13613" i="2"/>
  <c r="J13613" i="2"/>
  <c r="K13613" i="2"/>
  <c r="L13613" i="2"/>
  <c r="C13614" i="2"/>
  <c r="D13614" i="2"/>
  <c r="F13614" i="2"/>
  <c r="G13614" i="2"/>
  <c r="H13614" i="2"/>
  <c r="J13614" i="2"/>
  <c r="K13614" i="2"/>
  <c r="L13614" i="2"/>
  <c r="C13615" i="2"/>
  <c r="D13615" i="2"/>
  <c r="F13615" i="2"/>
  <c r="G13615" i="2"/>
  <c r="H13615" i="2"/>
  <c r="J13615" i="2"/>
  <c r="K13615" i="2"/>
  <c r="L13615" i="2"/>
  <c r="C13616" i="2"/>
  <c r="D13616" i="2"/>
  <c r="F13616" i="2"/>
  <c r="G13616" i="2"/>
  <c r="H13616" i="2"/>
  <c r="J13616" i="2"/>
  <c r="K13616" i="2"/>
  <c r="L13616" i="2"/>
  <c r="C13617" i="2"/>
  <c r="D13617" i="2"/>
  <c r="F13617" i="2"/>
  <c r="G13617" i="2"/>
  <c r="H13617" i="2"/>
  <c r="J13617" i="2"/>
  <c r="K13617" i="2"/>
  <c r="L13617" i="2"/>
  <c r="C13618" i="2"/>
  <c r="D13618" i="2"/>
  <c r="F13618" i="2"/>
  <c r="G13618" i="2"/>
  <c r="H13618" i="2"/>
  <c r="J13618" i="2"/>
  <c r="K13618" i="2"/>
  <c r="L13618" i="2"/>
  <c r="C13619" i="2"/>
  <c r="D13619" i="2"/>
  <c r="F13619" i="2"/>
  <c r="G13619" i="2"/>
  <c r="H13619" i="2"/>
  <c r="J13619" i="2"/>
  <c r="K13619" i="2"/>
  <c r="L13619" i="2"/>
  <c r="C13620" i="2"/>
  <c r="D13620" i="2"/>
  <c r="F13620" i="2"/>
  <c r="G13620" i="2"/>
  <c r="H13620" i="2"/>
  <c r="J13620" i="2"/>
  <c r="K13620" i="2"/>
  <c r="L13620" i="2"/>
  <c r="C13621" i="2"/>
  <c r="D13621" i="2"/>
  <c r="F13621" i="2"/>
  <c r="G13621" i="2"/>
  <c r="H13621" i="2"/>
  <c r="J13621" i="2"/>
  <c r="K13621" i="2"/>
  <c r="L13621" i="2"/>
  <c r="C13622" i="2"/>
  <c r="D13622" i="2"/>
  <c r="F13622" i="2"/>
  <c r="G13622" i="2"/>
  <c r="H13622" i="2"/>
  <c r="J13622" i="2"/>
  <c r="K13622" i="2"/>
  <c r="L13622" i="2"/>
  <c r="C13623" i="2"/>
  <c r="D13623" i="2"/>
  <c r="F13623" i="2"/>
  <c r="G13623" i="2"/>
  <c r="H13623" i="2"/>
  <c r="J13623" i="2"/>
  <c r="K13623" i="2"/>
  <c r="L13623" i="2"/>
  <c r="C13624" i="2"/>
  <c r="D13624" i="2"/>
  <c r="F13624" i="2"/>
  <c r="G13624" i="2"/>
  <c r="H13624" i="2"/>
  <c r="J13624" i="2"/>
  <c r="K13624" i="2"/>
  <c r="L13624" i="2"/>
  <c r="C13625" i="2"/>
  <c r="D13625" i="2"/>
  <c r="F13625" i="2"/>
  <c r="G13625" i="2"/>
  <c r="H13625" i="2"/>
  <c r="J13625" i="2"/>
  <c r="K13625" i="2"/>
  <c r="L13625" i="2"/>
  <c r="C13626" i="2"/>
  <c r="D13626" i="2"/>
  <c r="F13626" i="2"/>
  <c r="G13626" i="2"/>
  <c r="H13626" i="2"/>
  <c r="J13626" i="2"/>
  <c r="K13626" i="2"/>
  <c r="L13626" i="2"/>
  <c r="C13627" i="2"/>
  <c r="D13627" i="2"/>
  <c r="F13627" i="2"/>
  <c r="G13627" i="2"/>
  <c r="H13627" i="2"/>
  <c r="J13627" i="2"/>
  <c r="K13627" i="2"/>
  <c r="L13627" i="2"/>
  <c r="C13628" i="2"/>
  <c r="D13628" i="2"/>
  <c r="F13628" i="2"/>
  <c r="G13628" i="2"/>
  <c r="H13628" i="2"/>
  <c r="J13628" i="2"/>
  <c r="K13628" i="2"/>
  <c r="L13628" i="2"/>
  <c r="C13629" i="2"/>
  <c r="D13629" i="2"/>
  <c r="F13629" i="2"/>
  <c r="G13629" i="2"/>
  <c r="H13629" i="2"/>
  <c r="J13629" i="2"/>
  <c r="K13629" i="2"/>
  <c r="L13629" i="2"/>
  <c r="C13630" i="2"/>
  <c r="D13630" i="2"/>
  <c r="F13630" i="2"/>
  <c r="G13630" i="2"/>
  <c r="H13630" i="2"/>
  <c r="J13630" i="2"/>
  <c r="K13630" i="2"/>
  <c r="L13630" i="2"/>
  <c r="C13631" i="2"/>
  <c r="D13631" i="2"/>
  <c r="F13631" i="2"/>
  <c r="G13631" i="2"/>
  <c r="H13631" i="2"/>
  <c r="J13631" i="2"/>
  <c r="K13631" i="2"/>
  <c r="L13631" i="2"/>
  <c r="C13632" i="2"/>
  <c r="D13632" i="2"/>
  <c r="F13632" i="2"/>
  <c r="G13632" i="2"/>
  <c r="H13632" i="2"/>
  <c r="J13632" i="2"/>
  <c r="K13632" i="2"/>
  <c r="L13632" i="2"/>
  <c r="C13633" i="2"/>
  <c r="D13633" i="2"/>
  <c r="F13633" i="2"/>
  <c r="G13633" i="2"/>
  <c r="H13633" i="2"/>
  <c r="J13633" i="2"/>
  <c r="K13633" i="2"/>
  <c r="L13633" i="2"/>
  <c r="C13634" i="2"/>
  <c r="D13634" i="2"/>
  <c r="F13634" i="2"/>
  <c r="G13634" i="2"/>
  <c r="H13634" i="2"/>
  <c r="J13634" i="2"/>
  <c r="K13634" i="2"/>
  <c r="L13634" i="2"/>
  <c r="C13635" i="2"/>
  <c r="D13635" i="2"/>
  <c r="F13635" i="2"/>
  <c r="G13635" i="2"/>
  <c r="H13635" i="2"/>
  <c r="J13635" i="2"/>
  <c r="K13635" i="2"/>
  <c r="L13635" i="2"/>
  <c r="D13636" i="2"/>
  <c r="F13636" i="2"/>
  <c r="G13636" i="2"/>
  <c r="H13636" i="2"/>
  <c r="J13636" i="2"/>
  <c r="K13636" i="2"/>
  <c r="L13636" i="2"/>
  <c r="C13637" i="2"/>
  <c r="D13637" i="2"/>
  <c r="F13637" i="2"/>
  <c r="G13637" i="2"/>
  <c r="H13637" i="2"/>
  <c r="J13637" i="2"/>
  <c r="K13637" i="2"/>
  <c r="L13637" i="2"/>
  <c r="C13638" i="2"/>
  <c r="D13638" i="2"/>
  <c r="F13638" i="2"/>
  <c r="G13638" i="2"/>
  <c r="H13638" i="2"/>
  <c r="J13638" i="2"/>
  <c r="K13638" i="2"/>
  <c r="L13638" i="2"/>
  <c r="C13639" i="2"/>
  <c r="D13639" i="2"/>
  <c r="F13639" i="2"/>
  <c r="G13639" i="2"/>
  <c r="H13639" i="2"/>
  <c r="J13639" i="2"/>
  <c r="K13639" i="2"/>
  <c r="L13639" i="2"/>
  <c r="C13640" i="2"/>
  <c r="D13640" i="2"/>
  <c r="F13640" i="2"/>
  <c r="G13640" i="2"/>
  <c r="H13640" i="2"/>
  <c r="J13640" i="2"/>
  <c r="K13640" i="2"/>
  <c r="L13640" i="2"/>
  <c r="C13641" i="2"/>
  <c r="D13641" i="2"/>
  <c r="F13641" i="2"/>
  <c r="G13641" i="2"/>
  <c r="H13641" i="2"/>
  <c r="J13641" i="2"/>
  <c r="K13641" i="2"/>
  <c r="L13641" i="2"/>
  <c r="C13642" i="2"/>
  <c r="D13642" i="2"/>
  <c r="F13642" i="2"/>
  <c r="G13642" i="2"/>
  <c r="H13642" i="2"/>
  <c r="J13642" i="2"/>
  <c r="K13642" i="2"/>
  <c r="L13642" i="2"/>
  <c r="C13643" i="2"/>
  <c r="D13643" i="2"/>
  <c r="F13643" i="2"/>
  <c r="G13643" i="2"/>
  <c r="H13643" i="2"/>
  <c r="J13643" i="2"/>
  <c r="K13643" i="2"/>
  <c r="L13643" i="2"/>
  <c r="C13644" i="2"/>
  <c r="D13644" i="2"/>
  <c r="F13644" i="2"/>
  <c r="G13644" i="2"/>
  <c r="H13644" i="2"/>
  <c r="J13644" i="2"/>
  <c r="K13644" i="2"/>
  <c r="L13644" i="2"/>
  <c r="C13645" i="2"/>
  <c r="D13645" i="2"/>
  <c r="F13645" i="2"/>
  <c r="G13645" i="2"/>
  <c r="H13645" i="2"/>
  <c r="J13645" i="2"/>
  <c r="K13645" i="2"/>
  <c r="L13645" i="2"/>
  <c r="C13646" i="2"/>
  <c r="D13646" i="2"/>
  <c r="F13646" i="2"/>
  <c r="G13646" i="2"/>
  <c r="H13646" i="2"/>
  <c r="J13646" i="2"/>
  <c r="K13646" i="2"/>
  <c r="L13646" i="2"/>
  <c r="C13647" i="2"/>
  <c r="D13647" i="2"/>
  <c r="F13647" i="2"/>
  <c r="G13647" i="2"/>
  <c r="H13647" i="2"/>
  <c r="J13647" i="2"/>
  <c r="K13647" i="2"/>
  <c r="L13647" i="2"/>
  <c r="C13648" i="2"/>
  <c r="D13648" i="2"/>
  <c r="F13648" i="2"/>
  <c r="G13648" i="2"/>
  <c r="H13648" i="2"/>
  <c r="J13648" i="2"/>
  <c r="K13648" i="2"/>
  <c r="L13648" i="2"/>
  <c r="C13649" i="2"/>
  <c r="D13649" i="2"/>
  <c r="F13649" i="2"/>
  <c r="G13649" i="2"/>
  <c r="H13649" i="2"/>
  <c r="J13649" i="2"/>
  <c r="K13649" i="2"/>
  <c r="L13649" i="2"/>
  <c r="C13650" i="2"/>
  <c r="D13650" i="2"/>
  <c r="F13650" i="2"/>
  <c r="G13650" i="2"/>
  <c r="H13650" i="2"/>
  <c r="J13650" i="2"/>
  <c r="K13650" i="2"/>
  <c r="L13650" i="2"/>
  <c r="D13651" i="2"/>
  <c r="F13651" i="2"/>
  <c r="G13651" i="2"/>
  <c r="H13651" i="2"/>
  <c r="J13651" i="2"/>
  <c r="K13651" i="2"/>
  <c r="L13651" i="2"/>
  <c r="C13652" i="2"/>
  <c r="D13652" i="2"/>
  <c r="F13652" i="2"/>
  <c r="G13652" i="2"/>
  <c r="H13652" i="2"/>
  <c r="J13652" i="2"/>
  <c r="K13652" i="2"/>
  <c r="L13652" i="2"/>
  <c r="C13653" i="2"/>
  <c r="D13653" i="2"/>
  <c r="F13653" i="2"/>
  <c r="G13653" i="2"/>
  <c r="H13653" i="2"/>
  <c r="J13653" i="2"/>
  <c r="K13653" i="2"/>
  <c r="L13653" i="2"/>
  <c r="C13654" i="2"/>
  <c r="D13654" i="2"/>
  <c r="F13654" i="2"/>
  <c r="G13654" i="2"/>
  <c r="H13654" i="2"/>
  <c r="J13654" i="2"/>
  <c r="K13654" i="2"/>
  <c r="L13654" i="2"/>
  <c r="C13655" i="2"/>
  <c r="D13655" i="2"/>
  <c r="F13655" i="2"/>
  <c r="G13655" i="2"/>
  <c r="H13655" i="2"/>
  <c r="J13655" i="2"/>
  <c r="K13655" i="2"/>
  <c r="L13655" i="2"/>
  <c r="C13656" i="2"/>
  <c r="D13656" i="2"/>
  <c r="F13656" i="2"/>
  <c r="G13656" i="2"/>
  <c r="H13656" i="2"/>
  <c r="J13656" i="2"/>
  <c r="K13656" i="2"/>
  <c r="L13656" i="2"/>
  <c r="C13657" i="2"/>
  <c r="D13657" i="2"/>
  <c r="F13657" i="2"/>
  <c r="G13657" i="2"/>
  <c r="H13657" i="2"/>
  <c r="J13657" i="2"/>
  <c r="K13657" i="2"/>
  <c r="L13657" i="2"/>
  <c r="C13658" i="2"/>
  <c r="D13658" i="2"/>
  <c r="F13658" i="2"/>
  <c r="G13658" i="2"/>
  <c r="H13658" i="2"/>
  <c r="J13658" i="2"/>
  <c r="K13658" i="2"/>
  <c r="L13658" i="2"/>
  <c r="C13659" i="2"/>
  <c r="D13659" i="2"/>
  <c r="E13659" i="2"/>
  <c r="F13659" i="2"/>
  <c r="G13659" i="2"/>
  <c r="H13659" i="2"/>
  <c r="J13659" i="2"/>
  <c r="K13659" i="2"/>
  <c r="L13659" i="2"/>
  <c r="C13660" i="2"/>
  <c r="D13660" i="2"/>
  <c r="F13660" i="2"/>
  <c r="G13660" i="2"/>
  <c r="H13660" i="2"/>
  <c r="J13660" i="2"/>
  <c r="K13660" i="2"/>
  <c r="L13660" i="2"/>
  <c r="C13661" i="2"/>
  <c r="D13661" i="2"/>
  <c r="F13661" i="2"/>
  <c r="G13661" i="2"/>
  <c r="H13661" i="2"/>
  <c r="J13661" i="2"/>
  <c r="K13661" i="2"/>
  <c r="L13661" i="2"/>
  <c r="C13662" i="2"/>
  <c r="D13662" i="2"/>
  <c r="F13662" i="2"/>
  <c r="G13662" i="2"/>
  <c r="H13662" i="2"/>
  <c r="J13662" i="2"/>
  <c r="K13662" i="2"/>
  <c r="L13662" i="2"/>
  <c r="C13663" i="2"/>
  <c r="D13663" i="2"/>
  <c r="F13663" i="2"/>
  <c r="G13663" i="2"/>
  <c r="H13663" i="2"/>
  <c r="J13663" i="2"/>
  <c r="K13663" i="2"/>
  <c r="L13663" i="2"/>
  <c r="C13664" i="2"/>
  <c r="D13664" i="2"/>
  <c r="F13664" i="2"/>
  <c r="G13664" i="2"/>
  <c r="H13664" i="2"/>
  <c r="J13664" i="2"/>
  <c r="K13664" i="2"/>
  <c r="L13664" i="2"/>
  <c r="C13665" i="2"/>
  <c r="D13665" i="2"/>
  <c r="F13665" i="2"/>
  <c r="G13665" i="2"/>
  <c r="H13665" i="2"/>
  <c r="J13665" i="2"/>
  <c r="K13665" i="2"/>
  <c r="L13665" i="2"/>
  <c r="C13666" i="2"/>
  <c r="D13666" i="2"/>
  <c r="F13666" i="2"/>
  <c r="G13666" i="2"/>
  <c r="H13666" i="2"/>
  <c r="J13666" i="2"/>
  <c r="K13666" i="2"/>
  <c r="L13666" i="2"/>
  <c r="C13667" i="2"/>
  <c r="D13667" i="2"/>
  <c r="F13667" i="2"/>
  <c r="G13667" i="2"/>
  <c r="H13667" i="2"/>
  <c r="J13667" i="2"/>
  <c r="K13667" i="2"/>
  <c r="L13667" i="2"/>
  <c r="C13668" i="2"/>
  <c r="D13668" i="2"/>
  <c r="F13668" i="2"/>
  <c r="G13668" i="2"/>
  <c r="H13668" i="2"/>
  <c r="J13668" i="2"/>
  <c r="K13668" i="2"/>
  <c r="L13668" i="2"/>
  <c r="C13669" i="2"/>
  <c r="D13669" i="2"/>
  <c r="F13669" i="2"/>
  <c r="G13669" i="2"/>
  <c r="H13669" i="2"/>
  <c r="J13669" i="2"/>
  <c r="K13669" i="2"/>
  <c r="L13669" i="2"/>
  <c r="C13670" i="2"/>
  <c r="D13670" i="2"/>
  <c r="F13670" i="2"/>
  <c r="G13670" i="2"/>
  <c r="H13670" i="2"/>
  <c r="J13670" i="2"/>
  <c r="K13670" i="2"/>
  <c r="L13670" i="2"/>
  <c r="C13671" i="2"/>
  <c r="D13671" i="2"/>
  <c r="F13671" i="2"/>
  <c r="G13671" i="2"/>
  <c r="H13671" i="2"/>
  <c r="J13671" i="2"/>
  <c r="K13671" i="2"/>
  <c r="L13671" i="2"/>
  <c r="C13672" i="2"/>
  <c r="D13672" i="2"/>
  <c r="F13672" i="2"/>
  <c r="G13672" i="2"/>
  <c r="H13672" i="2"/>
  <c r="J13672" i="2"/>
  <c r="K13672" i="2"/>
  <c r="L13672" i="2"/>
  <c r="C13673" i="2"/>
  <c r="D13673" i="2"/>
  <c r="F13673" i="2"/>
  <c r="G13673" i="2"/>
  <c r="H13673" i="2"/>
  <c r="J13673" i="2"/>
  <c r="K13673" i="2"/>
  <c r="L13673" i="2"/>
  <c r="C13674" i="2"/>
  <c r="D13674" i="2"/>
  <c r="F13674" i="2"/>
  <c r="G13674" i="2"/>
  <c r="H13674" i="2"/>
  <c r="J13674" i="2"/>
  <c r="K13674" i="2"/>
  <c r="L13674" i="2"/>
  <c r="C13675" i="2"/>
  <c r="D13675" i="2"/>
  <c r="F13675" i="2"/>
  <c r="G13675" i="2"/>
  <c r="H13675" i="2"/>
  <c r="J13675" i="2"/>
  <c r="K13675" i="2"/>
  <c r="L13675" i="2"/>
  <c r="C13676" i="2"/>
  <c r="D13676" i="2"/>
  <c r="F13676" i="2"/>
  <c r="G13676" i="2"/>
  <c r="H13676" i="2"/>
  <c r="J13676" i="2"/>
  <c r="K13676" i="2"/>
  <c r="L13676" i="2"/>
  <c r="C13677" i="2"/>
  <c r="D13677" i="2"/>
  <c r="F13677" i="2"/>
  <c r="G13677" i="2"/>
  <c r="H13677" i="2"/>
  <c r="J13677" i="2"/>
  <c r="K13677" i="2"/>
  <c r="L13677" i="2"/>
  <c r="C13678" i="2"/>
  <c r="D13678" i="2"/>
  <c r="F13678" i="2"/>
  <c r="G13678" i="2"/>
  <c r="H13678" i="2"/>
  <c r="J13678" i="2"/>
  <c r="K13678" i="2"/>
  <c r="L13678" i="2"/>
  <c r="C13679" i="2"/>
  <c r="D13679" i="2"/>
  <c r="F13679" i="2"/>
  <c r="G13679" i="2"/>
  <c r="H13679" i="2"/>
  <c r="J13679" i="2"/>
  <c r="K13679" i="2"/>
  <c r="L13679" i="2"/>
  <c r="C13680" i="2"/>
  <c r="D13680" i="2"/>
  <c r="F13680" i="2"/>
  <c r="G13680" i="2"/>
  <c r="H13680" i="2"/>
  <c r="J13680" i="2"/>
  <c r="K13680" i="2"/>
  <c r="L13680" i="2"/>
  <c r="C13681" i="2"/>
  <c r="D13681" i="2"/>
  <c r="F13681" i="2"/>
  <c r="G13681" i="2"/>
  <c r="H13681" i="2"/>
  <c r="J13681" i="2"/>
  <c r="K13681" i="2"/>
  <c r="L13681" i="2"/>
  <c r="C13682" i="2"/>
  <c r="D13682" i="2"/>
  <c r="F13682" i="2"/>
  <c r="G13682" i="2"/>
  <c r="H13682" i="2"/>
  <c r="J13682" i="2"/>
  <c r="K13682" i="2"/>
  <c r="L13682" i="2"/>
  <c r="C13683" i="2"/>
  <c r="D13683" i="2"/>
  <c r="F13683" i="2"/>
  <c r="G13683" i="2"/>
  <c r="H13683" i="2"/>
  <c r="J13683" i="2"/>
  <c r="K13683" i="2"/>
  <c r="L13683" i="2"/>
  <c r="C13684" i="2"/>
  <c r="D13684" i="2"/>
  <c r="F13684" i="2"/>
  <c r="G13684" i="2"/>
  <c r="H13684" i="2"/>
  <c r="J13684" i="2"/>
  <c r="K13684" i="2"/>
  <c r="L13684" i="2"/>
  <c r="C13685" i="2"/>
  <c r="D13685" i="2"/>
  <c r="F13685" i="2"/>
  <c r="G13685" i="2"/>
  <c r="H13685" i="2"/>
  <c r="J13685" i="2"/>
  <c r="K13685" i="2"/>
  <c r="L13685" i="2"/>
  <c r="C13686" i="2"/>
  <c r="D13686" i="2"/>
  <c r="F13686" i="2"/>
  <c r="G13686" i="2"/>
  <c r="H13686" i="2"/>
  <c r="J13686" i="2"/>
  <c r="K13686" i="2"/>
  <c r="L13686" i="2"/>
  <c r="C13687" i="2"/>
  <c r="D13687" i="2"/>
  <c r="F13687" i="2"/>
  <c r="G13687" i="2"/>
  <c r="H13687" i="2"/>
  <c r="J13687" i="2"/>
  <c r="K13687" i="2"/>
  <c r="L13687" i="2"/>
  <c r="C13688" i="2"/>
  <c r="D13688" i="2"/>
  <c r="F13688" i="2"/>
  <c r="G13688" i="2"/>
  <c r="H13688" i="2"/>
  <c r="J13688" i="2"/>
  <c r="K13688" i="2"/>
  <c r="L13688" i="2"/>
  <c r="C13689" i="2"/>
  <c r="D13689" i="2"/>
  <c r="F13689" i="2"/>
  <c r="G13689" i="2"/>
  <c r="H13689" i="2"/>
  <c r="J13689" i="2"/>
  <c r="K13689" i="2"/>
  <c r="L13689" i="2"/>
  <c r="C13690" i="2"/>
  <c r="D13690" i="2"/>
  <c r="F13690" i="2"/>
  <c r="G13690" i="2"/>
  <c r="H13690" i="2"/>
  <c r="J13690" i="2"/>
  <c r="K13690" i="2"/>
  <c r="L13690" i="2"/>
  <c r="C13691" i="2"/>
  <c r="D13691" i="2"/>
  <c r="F13691" i="2"/>
  <c r="G13691" i="2"/>
  <c r="H13691" i="2"/>
  <c r="J13691" i="2"/>
  <c r="K13691" i="2"/>
  <c r="L13691" i="2"/>
  <c r="C13692" i="2"/>
  <c r="D13692" i="2"/>
  <c r="F13692" i="2"/>
  <c r="G13692" i="2"/>
  <c r="H13692" i="2"/>
  <c r="J13692" i="2"/>
  <c r="K13692" i="2"/>
  <c r="L13692" i="2"/>
  <c r="C13693" i="2"/>
  <c r="D13693" i="2"/>
  <c r="F13693" i="2"/>
  <c r="G13693" i="2"/>
  <c r="H13693" i="2"/>
  <c r="J13693" i="2"/>
  <c r="K13693" i="2"/>
  <c r="L13693" i="2"/>
  <c r="C13694" i="2"/>
  <c r="D13694" i="2"/>
  <c r="F13694" i="2"/>
  <c r="G13694" i="2"/>
  <c r="H13694" i="2"/>
  <c r="J13694" i="2"/>
  <c r="K13694" i="2"/>
  <c r="L13694" i="2"/>
  <c r="C13695" i="2"/>
  <c r="D13695" i="2"/>
  <c r="F13695" i="2"/>
  <c r="G13695" i="2"/>
  <c r="H13695" i="2"/>
  <c r="J13695" i="2"/>
  <c r="K13695" i="2"/>
  <c r="L13695" i="2"/>
  <c r="C13696" i="2"/>
  <c r="D13696" i="2"/>
  <c r="F13696" i="2"/>
  <c r="G13696" i="2"/>
  <c r="H13696" i="2"/>
  <c r="J13696" i="2"/>
  <c r="K13696" i="2"/>
  <c r="L13696" i="2"/>
  <c r="C13697" i="2"/>
  <c r="D13697" i="2"/>
  <c r="F13697" i="2"/>
  <c r="G13697" i="2"/>
  <c r="H13697" i="2"/>
  <c r="J13697" i="2"/>
  <c r="K13697" i="2"/>
  <c r="L13697" i="2"/>
  <c r="C13698" i="2"/>
  <c r="D13698" i="2"/>
  <c r="F13698" i="2"/>
  <c r="G13698" i="2"/>
  <c r="H13698" i="2"/>
  <c r="J13698" i="2"/>
  <c r="K13698" i="2"/>
  <c r="L13698" i="2"/>
  <c r="C13699" i="2"/>
  <c r="D13699" i="2"/>
  <c r="F13699" i="2"/>
  <c r="G13699" i="2"/>
  <c r="H13699" i="2"/>
  <c r="J13699" i="2"/>
  <c r="K13699" i="2"/>
  <c r="L13699" i="2"/>
  <c r="C13700" i="2"/>
  <c r="D13700" i="2"/>
  <c r="F13700" i="2"/>
  <c r="G13700" i="2"/>
  <c r="H13700" i="2"/>
  <c r="J13700" i="2"/>
  <c r="K13700" i="2"/>
  <c r="L13700" i="2"/>
  <c r="C13701" i="2"/>
  <c r="D13701" i="2"/>
  <c r="F13701" i="2"/>
  <c r="G13701" i="2"/>
  <c r="H13701" i="2"/>
  <c r="J13701" i="2"/>
  <c r="K13701" i="2"/>
  <c r="L13701" i="2"/>
  <c r="C13702" i="2"/>
  <c r="D13702" i="2"/>
  <c r="F13702" i="2"/>
  <c r="G13702" i="2"/>
  <c r="H13702" i="2"/>
  <c r="J13702" i="2"/>
  <c r="K13702" i="2"/>
  <c r="L13702" i="2"/>
  <c r="C13703" i="2"/>
  <c r="D13703" i="2"/>
  <c r="F13703" i="2"/>
  <c r="G13703" i="2"/>
  <c r="H13703" i="2"/>
  <c r="J13703" i="2"/>
  <c r="K13703" i="2"/>
  <c r="L13703" i="2"/>
  <c r="C13704" i="2"/>
  <c r="D13704" i="2"/>
  <c r="F13704" i="2"/>
  <c r="G13704" i="2"/>
  <c r="H13704" i="2"/>
  <c r="J13704" i="2"/>
  <c r="K13704" i="2"/>
  <c r="L13704" i="2"/>
  <c r="C13705" i="2"/>
  <c r="D13705" i="2"/>
  <c r="F13705" i="2"/>
  <c r="G13705" i="2"/>
  <c r="H13705" i="2"/>
  <c r="J13705" i="2"/>
  <c r="K13705" i="2"/>
  <c r="L13705" i="2"/>
  <c r="C13706" i="2"/>
  <c r="D13706" i="2"/>
  <c r="F13706" i="2"/>
  <c r="G13706" i="2"/>
  <c r="H13706" i="2"/>
  <c r="J13706" i="2"/>
  <c r="K13706" i="2"/>
  <c r="L13706" i="2"/>
  <c r="C13707" i="2"/>
  <c r="D13707" i="2"/>
  <c r="F13707" i="2"/>
  <c r="G13707" i="2"/>
  <c r="H13707" i="2"/>
  <c r="J13707" i="2"/>
  <c r="K13707" i="2"/>
  <c r="L13707" i="2"/>
  <c r="C13708" i="2"/>
  <c r="D13708" i="2"/>
  <c r="F13708" i="2"/>
  <c r="G13708" i="2"/>
  <c r="H13708" i="2"/>
  <c r="J13708" i="2"/>
  <c r="K13708" i="2"/>
  <c r="L13708" i="2"/>
  <c r="C13709" i="2"/>
  <c r="D13709" i="2"/>
  <c r="F13709" i="2"/>
  <c r="G13709" i="2"/>
  <c r="H13709" i="2"/>
  <c r="J13709" i="2"/>
  <c r="K13709" i="2"/>
  <c r="L13709" i="2"/>
  <c r="C13710" i="2"/>
  <c r="D13710" i="2"/>
  <c r="F13710" i="2"/>
  <c r="G13710" i="2"/>
  <c r="H13710" i="2"/>
  <c r="J13710" i="2"/>
  <c r="K13710" i="2"/>
  <c r="L13710" i="2"/>
  <c r="C13711" i="2"/>
  <c r="D13711" i="2"/>
  <c r="F13711" i="2"/>
  <c r="G13711" i="2"/>
  <c r="H13711" i="2"/>
  <c r="J13711" i="2"/>
  <c r="K13711" i="2"/>
  <c r="L13711" i="2"/>
  <c r="C13712" i="2"/>
  <c r="D13712" i="2"/>
  <c r="F13712" i="2"/>
  <c r="G13712" i="2"/>
  <c r="H13712" i="2"/>
  <c r="J13712" i="2"/>
  <c r="K13712" i="2"/>
  <c r="L13712" i="2"/>
  <c r="C13713" i="2"/>
  <c r="D13713" i="2"/>
  <c r="F13713" i="2"/>
  <c r="G13713" i="2"/>
  <c r="H13713" i="2"/>
  <c r="J13713" i="2"/>
  <c r="K13713" i="2"/>
  <c r="L13713" i="2"/>
  <c r="C13714" i="2"/>
  <c r="D13714" i="2"/>
  <c r="F13714" i="2"/>
  <c r="G13714" i="2"/>
  <c r="H13714" i="2"/>
  <c r="J13714" i="2"/>
  <c r="K13714" i="2"/>
  <c r="L13714" i="2"/>
  <c r="C13715" i="2"/>
  <c r="D13715" i="2"/>
  <c r="F13715" i="2"/>
  <c r="G13715" i="2"/>
  <c r="H13715" i="2"/>
  <c r="J13715" i="2"/>
  <c r="K13715" i="2"/>
  <c r="L13715" i="2"/>
  <c r="C13716" i="2"/>
  <c r="D13716" i="2"/>
  <c r="F13716" i="2"/>
  <c r="G13716" i="2"/>
  <c r="H13716" i="2"/>
  <c r="J13716" i="2"/>
  <c r="K13716" i="2"/>
  <c r="L13716" i="2"/>
  <c r="C13717" i="2"/>
  <c r="D13717" i="2"/>
  <c r="F13717" i="2"/>
  <c r="G13717" i="2"/>
  <c r="H13717" i="2"/>
  <c r="J13717" i="2"/>
  <c r="K13717" i="2"/>
  <c r="L13717" i="2"/>
  <c r="C13718" i="2"/>
  <c r="D13718" i="2"/>
  <c r="F13718" i="2"/>
  <c r="G13718" i="2"/>
  <c r="H13718" i="2"/>
  <c r="J13718" i="2"/>
  <c r="K13718" i="2"/>
  <c r="L13718" i="2"/>
  <c r="C13719" i="2"/>
  <c r="D13719" i="2"/>
  <c r="F13719" i="2"/>
  <c r="G13719" i="2"/>
  <c r="H13719" i="2"/>
  <c r="J13719" i="2"/>
  <c r="K13719" i="2"/>
  <c r="L13719" i="2"/>
  <c r="C13720" i="2"/>
  <c r="D13720" i="2"/>
  <c r="F13720" i="2"/>
  <c r="G13720" i="2"/>
  <c r="H13720" i="2"/>
  <c r="J13720" i="2"/>
  <c r="K13720" i="2"/>
  <c r="L13720" i="2"/>
  <c r="C13721" i="2"/>
  <c r="D13721" i="2"/>
  <c r="F13721" i="2"/>
  <c r="G13721" i="2"/>
  <c r="H13721" i="2"/>
  <c r="J13721" i="2"/>
  <c r="K13721" i="2"/>
  <c r="L13721" i="2"/>
  <c r="C13722" i="2"/>
  <c r="D13722" i="2"/>
  <c r="F13722" i="2"/>
  <c r="G13722" i="2"/>
  <c r="H13722" i="2"/>
  <c r="J13722" i="2"/>
  <c r="K13722" i="2"/>
  <c r="L13722" i="2"/>
  <c r="C13723" i="2"/>
  <c r="D13723" i="2"/>
  <c r="F13723" i="2"/>
  <c r="G13723" i="2"/>
  <c r="H13723" i="2"/>
  <c r="J13723" i="2"/>
  <c r="K13723" i="2"/>
  <c r="L13723" i="2"/>
  <c r="C13724" i="2"/>
  <c r="D13724" i="2"/>
  <c r="F13724" i="2"/>
  <c r="G13724" i="2"/>
  <c r="H13724" i="2"/>
  <c r="J13724" i="2"/>
  <c r="K13724" i="2"/>
  <c r="L13724" i="2"/>
  <c r="C13725" i="2"/>
  <c r="D13725" i="2"/>
  <c r="F13725" i="2"/>
  <c r="G13725" i="2"/>
  <c r="H13725" i="2"/>
  <c r="J13725" i="2"/>
  <c r="K13725" i="2"/>
  <c r="L13725" i="2"/>
  <c r="C13726" i="2"/>
  <c r="D13726" i="2"/>
  <c r="F13726" i="2"/>
  <c r="G13726" i="2"/>
  <c r="H13726" i="2"/>
  <c r="J13726" i="2"/>
  <c r="K13726" i="2"/>
  <c r="L13726" i="2"/>
  <c r="C13727" i="2"/>
  <c r="D13727" i="2"/>
  <c r="F13727" i="2"/>
  <c r="G13727" i="2"/>
  <c r="H13727" i="2"/>
  <c r="J13727" i="2"/>
  <c r="K13727" i="2"/>
  <c r="L13727" i="2"/>
  <c r="C13728" i="2"/>
  <c r="D13728" i="2"/>
  <c r="F13728" i="2"/>
  <c r="G13728" i="2"/>
  <c r="H13728" i="2"/>
  <c r="J13728" i="2"/>
  <c r="K13728" i="2"/>
  <c r="L13728" i="2"/>
  <c r="C13729" i="2"/>
  <c r="D13729" i="2"/>
  <c r="F13729" i="2"/>
  <c r="G13729" i="2"/>
  <c r="H13729" i="2"/>
  <c r="J13729" i="2"/>
  <c r="K13729" i="2"/>
  <c r="L13729" i="2"/>
  <c r="C13730" i="2"/>
  <c r="D13730" i="2"/>
  <c r="F13730" i="2"/>
  <c r="G13730" i="2"/>
  <c r="H13730" i="2"/>
  <c r="J13730" i="2"/>
  <c r="K13730" i="2"/>
  <c r="L13730" i="2"/>
  <c r="C13731" i="2"/>
  <c r="D13731" i="2"/>
  <c r="F13731" i="2"/>
  <c r="G13731" i="2"/>
  <c r="H13731" i="2"/>
  <c r="J13731" i="2"/>
  <c r="K13731" i="2"/>
  <c r="L13731" i="2"/>
  <c r="C13732" i="2"/>
  <c r="D13732" i="2"/>
  <c r="F13732" i="2"/>
  <c r="G13732" i="2"/>
  <c r="H13732" i="2"/>
  <c r="J13732" i="2"/>
  <c r="K13732" i="2"/>
  <c r="L13732" i="2"/>
  <c r="C13733" i="2"/>
  <c r="D13733" i="2"/>
  <c r="F13733" i="2"/>
  <c r="G13733" i="2"/>
  <c r="H13733" i="2"/>
  <c r="J13733" i="2"/>
  <c r="K13733" i="2"/>
  <c r="L13733" i="2"/>
  <c r="C13734" i="2"/>
  <c r="D13734" i="2"/>
  <c r="F13734" i="2"/>
  <c r="G13734" i="2"/>
  <c r="H13734" i="2"/>
  <c r="J13734" i="2"/>
  <c r="K13734" i="2"/>
  <c r="L13734" i="2"/>
  <c r="C13735" i="2"/>
  <c r="D13735" i="2"/>
  <c r="F13735" i="2"/>
  <c r="G13735" i="2"/>
  <c r="H13735" i="2"/>
  <c r="J13735" i="2"/>
  <c r="K13735" i="2"/>
  <c r="L13735" i="2"/>
  <c r="C13736" i="2"/>
  <c r="D13736" i="2"/>
  <c r="F13736" i="2"/>
  <c r="G13736" i="2"/>
  <c r="H13736" i="2"/>
  <c r="J13736" i="2"/>
  <c r="K13736" i="2"/>
  <c r="L13736" i="2"/>
  <c r="C13737" i="2"/>
  <c r="D13737" i="2"/>
  <c r="F13737" i="2"/>
  <c r="G13737" i="2"/>
  <c r="H13737" i="2"/>
  <c r="J13737" i="2"/>
  <c r="K13737" i="2"/>
  <c r="L13737" i="2"/>
  <c r="C13738" i="2"/>
  <c r="D13738" i="2"/>
  <c r="F13738" i="2"/>
  <c r="G13738" i="2"/>
  <c r="H13738" i="2"/>
  <c r="J13738" i="2"/>
  <c r="K13738" i="2"/>
  <c r="L13738" i="2"/>
  <c r="C13739" i="2"/>
  <c r="D13739" i="2"/>
  <c r="F13739" i="2"/>
  <c r="G13739" i="2"/>
  <c r="H13739" i="2"/>
  <c r="J13739" i="2"/>
  <c r="K13739" i="2"/>
  <c r="L13739" i="2"/>
  <c r="C13740" i="2"/>
  <c r="D13740" i="2"/>
  <c r="F13740" i="2"/>
  <c r="G13740" i="2"/>
  <c r="H13740" i="2"/>
  <c r="J13740" i="2"/>
  <c r="K13740" i="2"/>
  <c r="L13740" i="2"/>
  <c r="C13741" i="2"/>
  <c r="D13741" i="2"/>
  <c r="F13741" i="2"/>
  <c r="G13741" i="2"/>
  <c r="H13741" i="2"/>
  <c r="J13741" i="2"/>
  <c r="K13741" i="2"/>
  <c r="L13741" i="2"/>
  <c r="C13742" i="2"/>
  <c r="D13742" i="2"/>
  <c r="F13742" i="2"/>
  <c r="G13742" i="2"/>
  <c r="H13742" i="2"/>
  <c r="J13742" i="2"/>
  <c r="K13742" i="2"/>
  <c r="L13742" i="2"/>
  <c r="C13743" i="2"/>
  <c r="D13743" i="2"/>
  <c r="F13743" i="2"/>
  <c r="G13743" i="2"/>
  <c r="H13743" i="2"/>
  <c r="J13743" i="2"/>
  <c r="K13743" i="2"/>
  <c r="L13743" i="2"/>
  <c r="C13744" i="2"/>
  <c r="D13744" i="2"/>
  <c r="F13744" i="2"/>
  <c r="G13744" i="2"/>
  <c r="H13744" i="2"/>
  <c r="J13744" i="2"/>
  <c r="K13744" i="2"/>
  <c r="L13744" i="2"/>
  <c r="C13745" i="2"/>
  <c r="D13745" i="2"/>
  <c r="F13745" i="2"/>
  <c r="G13745" i="2"/>
  <c r="H13745" i="2"/>
  <c r="J13745" i="2"/>
  <c r="K13745" i="2"/>
  <c r="L13745" i="2"/>
  <c r="C13746" i="2"/>
  <c r="D13746" i="2"/>
  <c r="F13746" i="2"/>
  <c r="G13746" i="2"/>
  <c r="H13746" i="2"/>
  <c r="J13746" i="2"/>
  <c r="K13746" i="2"/>
  <c r="L13746" i="2"/>
  <c r="C13747" i="2"/>
  <c r="D13747" i="2"/>
  <c r="F13747" i="2"/>
  <c r="G13747" i="2"/>
  <c r="H13747" i="2"/>
  <c r="J13747" i="2"/>
  <c r="K13747" i="2"/>
  <c r="L13747" i="2"/>
  <c r="C13748" i="2"/>
  <c r="D13748" i="2"/>
  <c r="F13748" i="2"/>
  <c r="G13748" i="2"/>
  <c r="H13748" i="2"/>
  <c r="J13748" i="2"/>
  <c r="K13748" i="2"/>
  <c r="L13748" i="2"/>
  <c r="C13749" i="2"/>
  <c r="D13749" i="2"/>
  <c r="F13749" i="2"/>
  <c r="G13749" i="2"/>
  <c r="H13749" i="2"/>
  <c r="J13749" i="2"/>
  <c r="K13749" i="2"/>
  <c r="L13749" i="2"/>
  <c r="C13750" i="2"/>
  <c r="D13750" i="2"/>
  <c r="F13750" i="2"/>
  <c r="G13750" i="2"/>
  <c r="H13750" i="2"/>
  <c r="J13750" i="2"/>
  <c r="K13750" i="2"/>
  <c r="L13750" i="2"/>
  <c r="C13751" i="2"/>
  <c r="D13751" i="2"/>
  <c r="F13751" i="2"/>
  <c r="G13751" i="2"/>
  <c r="H13751" i="2"/>
  <c r="J13751" i="2"/>
  <c r="K13751" i="2"/>
  <c r="L13751" i="2"/>
  <c r="C13752" i="2"/>
  <c r="D13752" i="2"/>
  <c r="F13752" i="2"/>
  <c r="G13752" i="2"/>
  <c r="H13752" i="2"/>
  <c r="J13752" i="2"/>
  <c r="K13752" i="2"/>
  <c r="L13752" i="2"/>
  <c r="C13753" i="2"/>
  <c r="D13753" i="2"/>
  <c r="F13753" i="2"/>
  <c r="G13753" i="2"/>
  <c r="H13753" i="2"/>
  <c r="J13753" i="2"/>
  <c r="K13753" i="2"/>
  <c r="L13753" i="2"/>
  <c r="C13754" i="2"/>
  <c r="D13754" i="2"/>
  <c r="F13754" i="2"/>
  <c r="G13754" i="2"/>
  <c r="H13754" i="2"/>
  <c r="J13754" i="2"/>
  <c r="K13754" i="2"/>
  <c r="L13754" i="2"/>
  <c r="C13755" i="2"/>
  <c r="D13755" i="2"/>
  <c r="F13755" i="2"/>
  <c r="G13755" i="2"/>
  <c r="H13755" i="2"/>
  <c r="J13755" i="2"/>
  <c r="K13755" i="2"/>
  <c r="L13755" i="2"/>
  <c r="C13756" i="2"/>
  <c r="D13756" i="2"/>
  <c r="F13756" i="2"/>
  <c r="G13756" i="2"/>
  <c r="H13756" i="2"/>
  <c r="J13756" i="2"/>
  <c r="K13756" i="2"/>
  <c r="L13756" i="2"/>
  <c r="C13757" i="2"/>
  <c r="D13757" i="2"/>
  <c r="F13757" i="2"/>
  <c r="G13757" i="2"/>
  <c r="H13757" i="2"/>
  <c r="J13757" i="2"/>
  <c r="K13757" i="2"/>
  <c r="L13757" i="2"/>
  <c r="C13758" i="2"/>
  <c r="D13758" i="2"/>
  <c r="F13758" i="2"/>
  <c r="G13758" i="2"/>
  <c r="H13758" i="2"/>
  <c r="J13758" i="2"/>
  <c r="K13758" i="2"/>
  <c r="L13758" i="2"/>
  <c r="C13759" i="2"/>
  <c r="D13759" i="2"/>
  <c r="F13759" i="2"/>
  <c r="G13759" i="2"/>
  <c r="H13759" i="2"/>
  <c r="J13759" i="2"/>
  <c r="K13759" i="2"/>
  <c r="L13759" i="2"/>
  <c r="C13760" i="2"/>
  <c r="D13760" i="2"/>
  <c r="F13760" i="2"/>
  <c r="G13760" i="2"/>
  <c r="H13760" i="2"/>
  <c r="J13760" i="2"/>
  <c r="K13760" i="2"/>
  <c r="L13760" i="2"/>
  <c r="C13761" i="2"/>
  <c r="D13761" i="2"/>
  <c r="F13761" i="2"/>
  <c r="G13761" i="2"/>
  <c r="H13761" i="2"/>
  <c r="J13761" i="2"/>
  <c r="K13761" i="2"/>
  <c r="L13761" i="2"/>
  <c r="C13762" i="2"/>
  <c r="D13762" i="2"/>
  <c r="F13762" i="2"/>
  <c r="G13762" i="2"/>
  <c r="H13762" i="2"/>
  <c r="J13762" i="2"/>
  <c r="K13762" i="2"/>
  <c r="L13762" i="2"/>
  <c r="C13763" i="2"/>
  <c r="D13763" i="2"/>
  <c r="F13763" i="2"/>
  <c r="G13763" i="2"/>
  <c r="H13763" i="2"/>
  <c r="J13763" i="2"/>
  <c r="K13763" i="2"/>
  <c r="L13763" i="2"/>
  <c r="C13764" i="2"/>
  <c r="D13764" i="2"/>
  <c r="F13764" i="2"/>
  <c r="G13764" i="2"/>
  <c r="H13764" i="2"/>
  <c r="J13764" i="2"/>
  <c r="K13764" i="2"/>
  <c r="L13764" i="2"/>
  <c r="C13765" i="2"/>
  <c r="D13765" i="2"/>
  <c r="F13765" i="2"/>
  <c r="G13765" i="2"/>
  <c r="H13765" i="2"/>
  <c r="J13765" i="2"/>
  <c r="K13765" i="2"/>
  <c r="L13765" i="2"/>
  <c r="C13766" i="2"/>
  <c r="D13766" i="2"/>
  <c r="F13766" i="2"/>
  <c r="G13766" i="2"/>
  <c r="H13766" i="2"/>
  <c r="J13766" i="2"/>
  <c r="K13766" i="2"/>
  <c r="L13766" i="2"/>
  <c r="C13767" i="2"/>
  <c r="D13767" i="2"/>
  <c r="F13767" i="2"/>
  <c r="G13767" i="2"/>
  <c r="H13767" i="2"/>
  <c r="J13767" i="2"/>
  <c r="K13767" i="2"/>
  <c r="L13767" i="2"/>
  <c r="C13768" i="2"/>
  <c r="D13768" i="2"/>
  <c r="F13768" i="2"/>
  <c r="G13768" i="2"/>
  <c r="H13768" i="2"/>
  <c r="J13768" i="2"/>
  <c r="K13768" i="2"/>
  <c r="L13768" i="2"/>
  <c r="C13769" i="2"/>
  <c r="D13769" i="2"/>
  <c r="F13769" i="2"/>
  <c r="G13769" i="2"/>
  <c r="H13769" i="2"/>
  <c r="J13769" i="2"/>
  <c r="K13769" i="2"/>
  <c r="L13769" i="2"/>
  <c r="C13770" i="2"/>
  <c r="D13770" i="2"/>
  <c r="F13770" i="2"/>
  <c r="G13770" i="2"/>
  <c r="H13770" i="2"/>
  <c r="J13770" i="2"/>
  <c r="K13770" i="2"/>
  <c r="L13770" i="2"/>
  <c r="C13771" i="2"/>
  <c r="D13771" i="2"/>
  <c r="F13771" i="2"/>
  <c r="G13771" i="2"/>
  <c r="H13771" i="2"/>
  <c r="J13771" i="2"/>
  <c r="K13771" i="2"/>
  <c r="L13771" i="2"/>
  <c r="C13772" i="2"/>
  <c r="D13772" i="2"/>
  <c r="F13772" i="2"/>
  <c r="G13772" i="2"/>
  <c r="H13772" i="2"/>
  <c r="J13772" i="2"/>
  <c r="K13772" i="2"/>
  <c r="L13772" i="2"/>
  <c r="C13773" i="2"/>
  <c r="D13773" i="2"/>
  <c r="F13773" i="2"/>
  <c r="G13773" i="2"/>
  <c r="H13773" i="2"/>
  <c r="J13773" i="2"/>
  <c r="K13773" i="2"/>
  <c r="L13773" i="2"/>
  <c r="C13774" i="2"/>
  <c r="D13774" i="2"/>
  <c r="F13774" i="2"/>
  <c r="G13774" i="2"/>
  <c r="H13774" i="2"/>
  <c r="J13774" i="2"/>
  <c r="K13774" i="2"/>
  <c r="L13774" i="2"/>
  <c r="C13775" i="2"/>
  <c r="D13775" i="2"/>
  <c r="F13775" i="2"/>
  <c r="G13775" i="2"/>
  <c r="H13775" i="2"/>
  <c r="J13775" i="2"/>
  <c r="K13775" i="2"/>
  <c r="L13775" i="2"/>
  <c r="C13776" i="2"/>
  <c r="D13776" i="2"/>
  <c r="F13776" i="2"/>
  <c r="G13776" i="2"/>
  <c r="H13776" i="2"/>
  <c r="J13776" i="2"/>
  <c r="K13776" i="2"/>
  <c r="L13776" i="2"/>
  <c r="C13777" i="2"/>
  <c r="D13777" i="2"/>
  <c r="F13777" i="2"/>
  <c r="G13777" i="2"/>
  <c r="H13777" i="2"/>
  <c r="J13777" i="2"/>
  <c r="K13777" i="2"/>
  <c r="L13777" i="2"/>
  <c r="C13778" i="2"/>
  <c r="D13778" i="2"/>
  <c r="F13778" i="2"/>
  <c r="G13778" i="2"/>
  <c r="H13778" i="2"/>
  <c r="J13778" i="2"/>
  <c r="K13778" i="2"/>
  <c r="L13778" i="2"/>
  <c r="C13779" i="2"/>
  <c r="D13779" i="2"/>
  <c r="F13779" i="2"/>
  <c r="G13779" i="2"/>
  <c r="H13779" i="2"/>
  <c r="J13779" i="2"/>
  <c r="K13779" i="2"/>
  <c r="L13779" i="2"/>
  <c r="C13780" i="2"/>
  <c r="D13780" i="2"/>
  <c r="F13780" i="2"/>
  <c r="G13780" i="2"/>
  <c r="H13780" i="2"/>
  <c r="J13780" i="2"/>
  <c r="K13780" i="2"/>
  <c r="L13780" i="2"/>
  <c r="C13781" i="2"/>
  <c r="D13781" i="2"/>
  <c r="F13781" i="2"/>
  <c r="G13781" i="2"/>
  <c r="H13781" i="2"/>
  <c r="J13781" i="2"/>
  <c r="K13781" i="2"/>
  <c r="L13781" i="2"/>
  <c r="C13782" i="2"/>
  <c r="D13782" i="2"/>
  <c r="F13782" i="2"/>
  <c r="G13782" i="2"/>
  <c r="H13782" i="2"/>
  <c r="J13782" i="2"/>
  <c r="K13782" i="2"/>
  <c r="L13782" i="2"/>
  <c r="C13783" i="2"/>
  <c r="D13783" i="2"/>
  <c r="F13783" i="2"/>
  <c r="G13783" i="2"/>
  <c r="H13783" i="2"/>
  <c r="J13783" i="2"/>
  <c r="K13783" i="2"/>
  <c r="L13783" i="2"/>
  <c r="C13784" i="2"/>
  <c r="D13784" i="2"/>
  <c r="F13784" i="2"/>
  <c r="G13784" i="2"/>
  <c r="H13784" i="2"/>
  <c r="J13784" i="2"/>
  <c r="K13784" i="2"/>
  <c r="L13784" i="2"/>
  <c r="C13785" i="2"/>
  <c r="D13785" i="2"/>
  <c r="F13785" i="2"/>
  <c r="G13785" i="2"/>
  <c r="H13785" i="2"/>
  <c r="J13785" i="2"/>
  <c r="K13785" i="2"/>
  <c r="L13785" i="2"/>
  <c r="C13786" i="2"/>
  <c r="D13786" i="2"/>
  <c r="F13786" i="2"/>
  <c r="G13786" i="2"/>
  <c r="H13786" i="2"/>
  <c r="J13786" i="2"/>
  <c r="K13786" i="2"/>
  <c r="L13786" i="2"/>
  <c r="C13787" i="2"/>
  <c r="D13787" i="2"/>
  <c r="F13787" i="2"/>
  <c r="G13787" i="2"/>
  <c r="H13787" i="2"/>
  <c r="J13787" i="2"/>
  <c r="K13787" i="2"/>
  <c r="L13787" i="2"/>
  <c r="C13788" i="2"/>
  <c r="D13788" i="2"/>
  <c r="F13788" i="2"/>
  <c r="G13788" i="2"/>
  <c r="H13788" i="2"/>
  <c r="J13788" i="2"/>
  <c r="K13788" i="2"/>
  <c r="L13788" i="2"/>
  <c r="C13789" i="2"/>
  <c r="D13789" i="2"/>
  <c r="F13789" i="2"/>
  <c r="G13789" i="2"/>
  <c r="H13789" i="2"/>
  <c r="J13789" i="2"/>
  <c r="K13789" i="2"/>
  <c r="L13789" i="2"/>
  <c r="C13790" i="2"/>
  <c r="D13790" i="2"/>
  <c r="F13790" i="2"/>
  <c r="G13790" i="2"/>
  <c r="H13790" i="2"/>
  <c r="J13790" i="2"/>
  <c r="K13790" i="2"/>
  <c r="L13790" i="2"/>
  <c r="C13791" i="2"/>
  <c r="D13791" i="2"/>
  <c r="F13791" i="2"/>
  <c r="G13791" i="2"/>
  <c r="H13791" i="2"/>
  <c r="J13791" i="2"/>
  <c r="K13791" i="2"/>
  <c r="L13791" i="2"/>
  <c r="C13792" i="2"/>
  <c r="D13792" i="2"/>
  <c r="F13792" i="2"/>
  <c r="G13792" i="2"/>
  <c r="H13792" i="2"/>
  <c r="J13792" i="2"/>
  <c r="K13792" i="2"/>
  <c r="L13792" i="2"/>
  <c r="C13793" i="2"/>
  <c r="D13793" i="2"/>
  <c r="F13793" i="2"/>
  <c r="G13793" i="2"/>
  <c r="H13793" i="2"/>
  <c r="J13793" i="2"/>
  <c r="K13793" i="2"/>
  <c r="L13793" i="2"/>
  <c r="C13794" i="2"/>
  <c r="D13794" i="2"/>
  <c r="F13794" i="2"/>
  <c r="G13794" i="2"/>
  <c r="H13794" i="2"/>
  <c r="J13794" i="2"/>
  <c r="K13794" i="2"/>
  <c r="L13794" i="2"/>
  <c r="C13795" i="2"/>
  <c r="D13795" i="2"/>
  <c r="F13795" i="2"/>
  <c r="G13795" i="2"/>
  <c r="H13795" i="2"/>
  <c r="J13795" i="2"/>
  <c r="K13795" i="2"/>
  <c r="L13795" i="2"/>
  <c r="C13796" i="2"/>
  <c r="D13796" i="2"/>
  <c r="F13796" i="2"/>
  <c r="G13796" i="2"/>
  <c r="H13796" i="2"/>
  <c r="J13796" i="2"/>
  <c r="K13796" i="2"/>
  <c r="L13796" i="2"/>
  <c r="C13797" i="2"/>
  <c r="D13797" i="2"/>
  <c r="F13797" i="2"/>
  <c r="G13797" i="2"/>
  <c r="H13797" i="2"/>
  <c r="J13797" i="2"/>
  <c r="K13797" i="2"/>
  <c r="L13797" i="2"/>
  <c r="C13798" i="2"/>
  <c r="D13798" i="2"/>
  <c r="F13798" i="2"/>
  <c r="G13798" i="2"/>
  <c r="H13798" i="2"/>
  <c r="J13798" i="2"/>
  <c r="K13798" i="2"/>
  <c r="L13798" i="2"/>
  <c r="C13799" i="2"/>
  <c r="D13799" i="2"/>
  <c r="F13799" i="2"/>
  <c r="G13799" i="2"/>
  <c r="H13799" i="2"/>
  <c r="J13799" i="2"/>
  <c r="K13799" i="2"/>
  <c r="L13799" i="2"/>
  <c r="C13800" i="2"/>
  <c r="D13800" i="2"/>
  <c r="F13800" i="2"/>
  <c r="G13800" i="2"/>
  <c r="H13800" i="2"/>
  <c r="J13800" i="2"/>
  <c r="K13800" i="2"/>
  <c r="L13800" i="2"/>
  <c r="C13801" i="2"/>
  <c r="D13801" i="2"/>
  <c r="F13801" i="2"/>
  <c r="G13801" i="2"/>
  <c r="H13801" i="2"/>
  <c r="J13801" i="2"/>
  <c r="K13801" i="2"/>
  <c r="L13801" i="2"/>
  <c r="C13802" i="2"/>
  <c r="D13802" i="2"/>
  <c r="F13802" i="2"/>
  <c r="G13802" i="2"/>
  <c r="H13802" i="2"/>
  <c r="J13802" i="2"/>
  <c r="K13802" i="2"/>
  <c r="L13802" i="2"/>
  <c r="C13803" i="2"/>
  <c r="D13803" i="2"/>
  <c r="F13803" i="2"/>
  <c r="G13803" i="2"/>
  <c r="H13803" i="2"/>
  <c r="J13803" i="2"/>
  <c r="K13803" i="2"/>
  <c r="L13803" i="2"/>
  <c r="C13804" i="2"/>
  <c r="D13804" i="2"/>
  <c r="F13804" i="2"/>
  <c r="G13804" i="2"/>
  <c r="H13804" i="2"/>
  <c r="J13804" i="2"/>
  <c r="K13804" i="2"/>
  <c r="L13804" i="2"/>
  <c r="C13805" i="2"/>
  <c r="D13805" i="2"/>
  <c r="F13805" i="2"/>
  <c r="G13805" i="2"/>
  <c r="H13805" i="2"/>
  <c r="J13805" i="2"/>
  <c r="K13805" i="2"/>
  <c r="L13805" i="2"/>
  <c r="C13806" i="2"/>
  <c r="D13806" i="2"/>
  <c r="F13806" i="2"/>
  <c r="G13806" i="2"/>
  <c r="H13806" i="2"/>
  <c r="J13806" i="2"/>
  <c r="K13806" i="2"/>
  <c r="L13806" i="2"/>
  <c r="C13807" i="2"/>
  <c r="D13807" i="2"/>
  <c r="F13807" i="2"/>
  <c r="G13807" i="2"/>
  <c r="H13807" i="2"/>
  <c r="J13807" i="2"/>
  <c r="K13807" i="2"/>
  <c r="L13807" i="2"/>
  <c r="C13808" i="2"/>
  <c r="D13808" i="2"/>
  <c r="F13808" i="2"/>
  <c r="G13808" i="2"/>
  <c r="H13808" i="2"/>
  <c r="J13808" i="2"/>
  <c r="K13808" i="2"/>
  <c r="L13808" i="2"/>
  <c r="C13809" i="2"/>
  <c r="D13809" i="2"/>
  <c r="F13809" i="2"/>
  <c r="G13809" i="2"/>
  <c r="H13809" i="2"/>
  <c r="J13809" i="2"/>
  <c r="K13809" i="2"/>
  <c r="L13809" i="2"/>
  <c r="C13810" i="2"/>
  <c r="D13810" i="2"/>
  <c r="F13810" i="2"/>
  <c r="G13810" i="2"/>
  <c r="H13810" i="2"/>
  <c r="J13810" i="2"/>
  <c r="K13810" i="2"/>
  <c r="L13810" i="2"/>
  <c r="C13811" i="2"/>
  <c r="D13811" i="2"/>
  <c r="F13811" i="2"/>
  <c r="G13811" i="2"/>
  <c r="H13811" i="2"/>
  <c r="J13811" i="2"/>
  <c r="K13811" i="2"/>
  <c r="L13811" i="2"/>
  <c r="C13812" i="2"/>
  <c r="D13812" i="2"/>
  <c r="F13812" i="2"/>
  <c r="G13812" i="2"/>
  <c r="H13812" i="2"/>
  <c r="J13812" i="2"/>
  <c r="K13812" i="2"/>
  <c r="L13812" i="2"/>
  <c r="C13813" i="2"/>
  <c r="D13813" i="2"/>
  <c r="F13813" i="2"/>
  <c r="G13813" i="2"/>
  <c r="H13813" i="2"/>
  <c r="J13813" i="2"/>
  <c r="K13813" i="2"/>
  <c r="L13813" i="2"/>
  <c r="C13814" i="2"/>
  <c r="D13814" i="2"/>
  <c r="F13814" i="2"/>
  <c r="G13814" i="2"/>
  <c r="H13814" i="2"/>
  <c r="J13814" i="2"/>
  <c r="K13814" i="2"/>
  <c r="L13814" i="2"/>
  <c r="C13815" i="2"/>
  <c r="D13815" i="2"/>
  <c r="F13815" i="2"/>
  <c r="G13815" i="2"/>
  <c r="H13815" i="2"/>
  <c r="J13815" i="2"/>
  <c r="K13815" i="2"/>
  <c r="L13815" i="2"/>
  <c r="C13816" i="2"/>
  <c r="D13816" i="2"/>
  <c r="F13816" i="2"/>
  <c r="G13816" i="2"/>
  <c r="H13816" i="2"/>
  <c r="J13816" i="2"/>
  <c r="K13816" i="2"/>
  <c r="L13816" i="2"/>
  <c r="C13817" i="2"/>
  <c r="D13817" i="2"/>
  <c r="F13817" i="2"/>
  <c r="G13817" i="2"/>
  <c r="H13817" i="2"/>
  <c r="J13817" i="2"/>
  <c r="K13817" i="2"/>
  <c r="L13817" i="2"/>
  <c r="C13818" i="2"/>
  <c r="D13818" i="2"/>
  <c r="F13818" i="2"/>
  <c r="G13818" i="2"/>
  <c r="H13818" i="2"/>
  <c r="J13818" i="2"/>
  <c r="K13818" i="2"/>
  <c r="L13818" i="2"/>
  <c r="C13819" i="2"/>
  <c r="D13819" i="2"/>
  <c r="F13819" i="2"/>
  <c r="G13819" i="2"/>
  <c r="H13819" i="2"/>
  <c r="J13819" i="2"/>
  <c r="K13819" i="2"/>
  <c r="L13819" i="2"/>
  <c r="C13820" i="2"/>
  <c r="D13820" i="2"/>
  <c r="F13820" i="2"/>
  <c r="G13820" i="2"/>
  <c r="H13820" i="2"/>
  <c r="J13820" i="2"/>
  <c r="K13820" i="2"/>
  <c r="L13820" i="2"/>
  <c r="C13821" i="2"/>
  <c r="D13821" i="2"/>
  <c r="F13821" i="2"/>
  <c r="G13821" i="2"/>
  <c r="H13821" i="2"/>
  <c r="J13821" i="2"/>
  <c r="K13821" i="2"/>
  <c r="L13821" i="2"/>
  <c r="C13822" i="2"/>
  <c r="D13822" i="2"/>
  <c r="F13822" i="2"/>
  <c r="G13822" i="2"/>
  <c r="H13822" i="2"/>
  <c r="J13822" i="2"/>
  <c r="K13822" i="2"/>
  <c r="L13822" i="2"/>
  <c r="C13823" i="2"/>
  <c r="D13823" i="2"/>
  <c r="F13823" i="2"/>
  <c r="G13823" i="2"/>
  <c r="H13823" i="2"/>
  <c r="J13823" i="2"/>
  <c r="K13823" i="2"/>
  <c r="L13823" i="2"/>
  <c r="C13824" i="2"/>
  <c r="D13824" i="2"/>
  <c r="F13824" i="2"/>
  <c r="G13824" i="2"/>
  <c r="H13824" i="2"/>
  <c r="J13824" i="2"/>
  <c r="K13824" i="2"/>
  <c r="L13824" i="2"/>
  <c r="C13825" i="2"/>
  <c r="D13825" i="2"/>
  <c r="F13825" i="2"/>
  <c r="G13825" i="2"/>
  <c r="H13825" i="2"/>
  <c r="J13825" i="2"/>
  <c r="K13825" i="2"/>
  <c r="L13825" i="2"/>
  <c r="C13826" i="2"/>
  <c r="D13826" i="2"/>
  <c r="F13826" i="2"/>
  <c r="G13826" i="2"/>
  <c r="H13826" i="2"/>
  <c r="J13826" i="2"/>
  <c r="K13826" i="2"/>
  <c r="L13826" i="2"/>
  <c r="C13827" i="2"/>
  <c r="D13827" i="2"/>
  <c r="F13827" i="2"/>
  <c r="G13827" i="2"/>
  <c r="H13827" i="2"/>
  <c r="J13827" i="2"/>
  <c r="K13827" i="2"/>
  <c r="L13827" i="2"/>
  <c r="C13828" i="2"/>
  <c r="D13828" i="2"/>
  <c r="F13828" i="2"/>
  <c r="G13828" i="2"/>
  <c r="H13828" i="2"/>
  <c r="J13828" i="2"/>
  <c r="K13828" i="2"/>
  <c r="L13828" i="2"/>
  <c r="C13829" i="2"/>
  <c r="D13829" i="2"/>
  <c r="F13829" i="2"/>
  <c r="G13829" i="2"/>
  <c r="H13829" i="2"/>
  <c r="J13829" i="2"/>
  <c r="K13829" i="2"/>
  <c r="L13829" i="2"/>
  <c r="C13830" i="2"/>
  <c r="D13830" i="2"/>
  <c r="F13830" i="2"/>
  <c r="G13830" i="2"/>
  <c r="H13830" i="2"/>
  <c r="J13830" i="2"/>
  <c r="K13830" i="2"/>
  <c r="L13830" i="2"/>
  <c r="C13831" i="2"/>
  <c r="D13831" i="2"/>
  <c r="F13831" i="2"/>
  <c r="G13831" i="2"/>
  <c r="H13831" i="2"/>
  <c r="J13831" i="2"/>
  <c r="K13831" i="2"/>
  <c r="L13831" i="2"/>
  <c r="C13832" i="2"/>
  <c r="D13832" i="2"/>
  <c r="F13832" i="2"/>
  <c r="G13832" i="2"/>
  <c r="H13832" i="2"/>
  <c r="J13832" i="2"/>
  <c r="K13832" i="2"/>
  <c r="L13832" i="2"/>
  <c r="C13833" i="2"/>
  <c r="D13833" i="2"/>
  <c r="F13833" i="2"/>
  <c r="G13833" i="2"/>
  <c r="H13833" i="2"/>
  <c r="J13833" i="2"/>
  <c r="K13833" i="2"/>
  <c r="L13833" i="2"/>
  <c r="C13834" i="2"/>
  <c r="D13834" i="2"/>
  <c r="F13834" i="2"/>
  <c r="G13834" i="2"/>
  <c r="H13834" i="2"/>
  <c r="J13834" i="2"/>
  <c r="K13834" i="2"/>
  <c r="L13834" i="2"/>
  <c r="C13835" i="2"/>
  <c r="D13835" i="2"/>
  <c r="F13835" i="2"/>
  <c r="G13835" i="2"/>
  <c r="H13835" i="2"/>
  <c r="J13835" i="2"/>
  <c r="K13835" i="2"/>
  <c r="L13835" i="2"/>
  <c r="C13836" i="2"/>
  <c r="D13836" i="2"/>
  <c r="F13836" i="2"/>
  <c r="G13836" i="2"/>
  <c r="H13836" i="2"/>
  <c r="J13836" i="2"/>
  <c r="K13836" i="2"/>
  <c r="L13836" i="2"/>
  <c r="C13837" i="2"/>
  <c r="D13837" i="2"/>
  <c r="F13837" i="2"/>
  <c r="G13837" i="2"/>
  <c r="H13837" i="2"/>
  <c r="J13837" i="2"/>
  <c r="K13837" i="2"/>
  <c r="L13837" i="2"/>
  <c r="C13838" i="2"/>
  <c r="D13838" i="2"/>
  <c r="F13838" i="2"/>
  <c r="G13838" i="2"/>
  <c r="H13838" i="2"/>
  <c r="J13838" i="2"/>
  <c r="K13838" i="2"/>
  <c r="L13838" i="2"/>
  <c r="C13839" i="2"/>
  <c r="D13839" i="2"/>
  <c r="F13839" i="2"/>
  <c r="G13839" i="2"/>
  <c r="H13839" i="2"/>
  <c r="J13839" i="2"/>
  <c r="K13839" i="2"/>
  <c r="L13839" i="2"/>
  <c r="C13840" i="2"/>
  <c r="D13840" i="2"/>
  <c r="F13840" i="2"/>
  <c r="G13840" i="2"/>
  <c r="H13840" i="2"/>
  <c r="J13840" i="2"/>
  <c r="K13840" i="2"/>
  <c r="L13840" i="2"/>
  <c r="C13841" i="2"/>
  <c r="D13841" i="2"/>
  <c r="F13841" i="2"/>
  <c r="G13841" i="2"/>
  <c r="H13841" i="2"/>
  <c r="J13841" i="2"/>
  <c r="K13841" i="2"/>
  <c r="L13841" i="2"/>
  <c r="C13842" i="2"/>
  <c r="D13842" i="2"/>
  <c r="F13842" i="2"/>
  <c r="G13842" i="2"/>
  <c r="H13842" i="2"/>
  <c r="J13842" i="2"/>
  <c r="K13842" i="2"/>
  <c r="L13842" i="2"/>
  <c r="C13843" i="2"/>
  <c r="D13843" i="2"/>
  <c r="F13843" i="2"/>
  <c r="G13843" i="2"/>
  <c r="H13843" i="2"/>
  <c r="J13843" i="2"/>
  <c r="K13843" i="2"/>
  <c r="L13843" i="2"/>
  <c r="C13844" i="2"/>
  <c r="D13844" i="2"/>
  <c r="F13844" i="2"/>
  <c r="G13844" i="2"/>
  <c r="H13844" i="2"/>
  <c r="J13844" i="2"/>
  <c r="K13844" i="2"/>
  <c r="L13844" i="2"/>
  <c r="C13845" i="2"/>
  <c r="D13845" i="2"/>
  <c r="F13845" i="2"/>
  <c r="G13845" i="2"/>
  <c r="H13845" i="2"/>
  <c r="J13845" i="2"/>
  <c r="K13845" i="2"/>
  <c r="L13845" i="2"/>
  <c r="C13846" i="2"/>
  <c r="D13846" i="2"/>
  <c r="E13846" i="2"/>
  <c r="F13846" i="2"/>
  <c r="G13846" i="2"/>
  <c r="H13846" i="2"/>
  <c r="J13846" i="2"/>
  <c r="K13846" i="2"/>
  <c r="L13846" i="2"/>
  <c r="C13847" i="2"/>
  <c r="D13847" i="2"/>
  <c r="F13847" i="2"/>
  <c r="G13847" i="2"/>
  <c r="H13847" i="2"/>
  <c r="J13847" i="2"/>
  <c r="K13847" i="2"/>
  <c r="L13847" i="2"/>
  <c r="C13848" i="2"/>
  <c r="D13848" i="2"/>
  <c r="F13848" i="2"/>
  <c r="G13848" i="2"/>
  <c r="H13848" i="2"/>
  <c r="J13848" i="2"/>
  <c r="K13848" i="2"/>
  <c r="L13848" i="2"/>
  <c r="C13849" i="2"/>
  <c r="D13849" i="2"/>
  <c r="F13849" i="2"/>
  <c r="G13849" i="2"/>
  <c r="H13849" i="2"/>
  <c r="J13849" i="2"/>
  <c r="K13849" i="2"/>
  <c r="L13849" i="2"/>
  <c r="C13850" i="2"/>
  <c r="D13850" i="2"/>
  <c r="F13850" i="2"/>
  <c r="G13850" i="2"/>
  <c r="H13850" i="2"/>
  <c r="J13850" i="2"/>
  <c r="K13850" i="2"/>
  <c r="L13850" i="2"/>
  <c r="C13851" i="2"/>
  <c r="D13851" i="2"/>
  <c r="F13851" i="2"/>
  <c r="G13851" i="2"/>
  <c r="H13851" i="2"/>
  <c r="J13851" i="2"/>
  <c r="K13851" i="2"/>
  <c r="L13851" i="2"/>
  <c r="C13852" i="2"/>
  <c r="D13852" i="2"/>
  <c r="F13852" i="2"/>
  <c r="G13852" i="2"/>
  <c r="H13852" i="2"/>
  <c r="J13852" i="2"/>
  <c r="K13852" i="2"/>
  <c r="L13852" i="2"/>
  <c r="C13853" i="2"/>
  <c r="D13853" i="2"/>
  <c r="F13853" i="2"/>
  <c r="G13853" i="2"/>
  <c r="H13853" i="2"/>
  <c r="J13853" i="2"/>
  <c r="K13853" i="2"/>
  <c r="L13853" i="2"/>
  <c r="C13854" i="2"/>
  <c r="D13854" i="2"/>
  <c r="F13854" i="2"/>
  <c r="G13854" i="2"/>
  <c r="H13854" i="2"/>
  <c r="J13854" i="2"/>
  <c r="K13854" i="2"/>
  <c r="L13854" i="2"/>
  <c r="C13855" i="2"/>
  <c r="D13855" i="2"/>
  <c r="F13855" i="2"/>
  <c r="G13855" i="2"/>
  <c r="H13855" i="2"/>
  <c r="J13855" i="2"/>
  <c r="K13855" i="2"/>
  <c r="L13855" i="2"/>
  <c r="C13856" i="2"/>
  <c r="D13856" i="2"/>
  <c r="F13856" i="2"/>
  <c r="G13856" i="2"/>
  <c r="H13856" i="2"/>
  <c r="J13856" i="2"/>
  <c r="K13856" i="2"/>
  <c r="L13856" i="2"/>
  <c r="C13857" i="2"/>
  <c r="D13857" i="2"/>
  <c r="F13857" i="2"/>
  <c r="G13857" i="2"/>
  <c r="H13857" i="2"/>
  <c r="J13857" i="2"/>
  <c r="K13857" i="2"/>
  <c r="L13857" i="2"/>
  <c r="C13858" i="2"/>
  <c r="D13858" i="2"/>
  <c r="F13858" i="2"/>
  <c r="G13858" i="2"/>
  <c r="H13858" i="2"/>
  <c r="J13858" i="2"/>
  <c r="K13858" i="2"/>
  <c r="L13858" i="2"/>
  <c r="C13859" i="2"/>
  <c r="D13859" i="2"/>
  <c r="F13859" i="2"/>
  <c r="G13859" i="2"/>
  <c r="H13859" i="2"/>
  <c r="J13859" i="2"/>
  <c r="K13859" i="2"/>
  <c r="L13859" i="2"/>
  <c r="C13860" i="2"/>
  <c r="D13860" i="2"/>
  <c r="F13860" i="2"/>
  <c r="G13860" i="2"/>
  <c r="H13860" i="2"/>
  <c r="J13860" i="2"/>
  <c r="K13860" i="2"/>
  <c r="L13860" i="2"/>
  <c r="C13861" i="2"/>
  <c r="D13861" i="2"/>
  <c r="F13861" i="2"/>
  <c r="G13861" i="2"/>
  <c r="H13861" i="2"/>
  <c r="J13861" i="2"/>
  <c r="K13861" i="2"/>
  <c r="L13861" i="2"/>
  <c r="C13862" i="2"/>
  <c r="D13862" i="2"/>
  <c r="F13862" i="2"/>
  <c r="G13862" i="2"/>
  <c r="H13862" i="2"/>
  <c r="J13862" i="2"/>
  <c r="K13862" i="2"/>
  <c r="L13862" i="2"/>
  <c r="C13863" i="2"/>
  <c r="D13863" i="2"/>
  <c r="F13863" i="2"/>
  <c r="G13863" i="2"/>
  <c r="H13863" i="2"/>
  <c r="J13863" i="2"/>
  <c r="K13863" i="2"/>
  <c r="L13863" i="2"/>
  <c r="C13864" i="2"/>
  <c r="D13864" i="2"/>
  <c r="F13864" i="2"/>
  <c r="G13864" i="2"/>
  <c r="H13864" i="2"/>
  <c r="J13864" i="2"/>
  <c r="K13864" i="2"/>
  <c r="L13864" i="2"/>
  <c r="C13865" i="2"/>
  <c r="D13865" i="2"/>
  <c r="F13865" i="2"/>
  <c r="G13865" i="2"/>
  <c r="H13865" i="2"/>
  <c r="J13865" i="2"/>
  <c r="K13865" i="2"/>
  <c r="L13865" i="2"/>
  <c r="C13866" i="2"/>
  <c r="D13866" i="2"/>
  <c r="F13866" i="2"/>
  <c r="G13866" i="2"/>
  <c r="H13866" i="2"/>
  <c r="J13866" i="2"/>
  <c r="K13866" i="2"/>
  <c r="L13866" i="2"/>
  <c r="C13867" i="2"/>
  <c r="D13867" i="2"/>
  <c r="F13867" i="2"/>
  <c r="G13867" i="2"/>
  <c r="H13867" i="2"/>
  <c r="J13867" i="2"/>
  <c r="K13867" i="2"/>
  <c r="L13867" i="2"/>
  <c r="C13868" i="2"/>
  <c r="D13868" i="2"/>
  <c r="F13868" i="2"/>
  <c r="G13868" i="2"/>
  <c r="H13868" i="2"/>
  <c r="J13868" i="2"/>
  <c r="K13868" i="2"/>
  <c r="L13868" i="2"/>
  <c r="C13869" i="2"/>
  <c r="D13869" i="2"/>
  <c r="F13869" i="2"/>
  <c r="G13869" i="2"/>
  <c r="H13869" i="2"/>
  <c r="J13869" i="2"/>
  <c r="K13869" i="2"/>
  <c r="L13869" i="2"/>
  <c r="C13870" i="2"/>
  <c r="D13870" i="2"/>
  <c r="F13870" i="2"/>
  <c r="G13870" i="2"/>
  <c r="H13870" i="2"/>
  <c r="J13870" i="2"/>
  <c r="K13870" i="2"/>
  <c r="L13870" i="2"/>
  <c r="C13871" i="2"/>
  <c r="D13871" i="2"/>
  <c r="F13871" i="2"/>
  <c r="G13871" i="2"/>
  <c r="H13871" i="2"/>
  <c r="J13871" i="2"/>
  <c r="K13871" i="2"/>
  <c r="L13871" i="2"/>
  <c r="C13872" i="2"/>
  <c r="D13872" i="2"/>
  <c r="F13872" i="2"/>
  <c r="G13872" i="2"/>
  <c r="H13872" i="2"/>
  <c r="J13872" i="2"/>
  <c r="K13872" i="2"/>
  <c r="L13872" i="2"/>
  <c r="C13873" i="2"/>
  <c r="D13873" i="2"/>
  <c r="F13873" i="2"/>
  <c r="G13873" i="2"/>
  <c r="H13873" i="2"/>
  <c r="J13873" i="2"/>
  <c r="K13873" i="2"/>
  <c r="L13873" i="2"/>
  <c r="C13874" i="2"/>
  <c r="D13874" i="2"/>
  <c r="F13874" i="2"/>
  <c r="G13874" i="2"/>
  <c r="H13874" i="2"/>
  <c r="J13874" i="2"/>
  <c r="K13874" i="2"/>
  <c r="L13874" i="2"/>
  <c r="C13875" i="2"/>
  <c r="D13875" i="2"/>
  <c r="F13875" i="2"/>
  <c r="G13875" i="2"/>
  <c r="H13875" i="2"/>
  <c r="J13875" i="2"/>
  <c r="K13875" i="2"/>
  <c r="L13875" i="2"/>
  <c r="C13876" i="2"/>
  <c r="D13876" i="2"/>
  <c r="F13876" i="2"/>
  <c r="G13876" i="2"/>
  <c r="H13876" i="2"/>
  <c r="J13876" i="2"/>
  <c r="K13876" i="2"/>
  <c r="L13876" i="2"/>
  <c r="C13877" i="2"/>
  <c r="D13877" i="2"/>
  <c r="F13877" i="2"/>
  <c r="G13877" i="2"/>
  <c r="H13877" i="2"/>
  <c r="J13877" i="2"/>
  <c r="K13877" i="2"/>
  <c r="L13877" i="2"/>
  <c r="C13878" i="2"/>
  <c r="D13878" i="2"/>
  <c r="F13878" i="2"/>
  <c r="G13878" i="2"/>
  <c r="H13878" i="2"/>
  <c r="J13878" i="2"/>
  <c r="K13878" i="2"/>
  <c r="L13878" i="2"/>
  <c r="C13879" i="2"/>
  <c r="D13879" i="2"/>
  <c r="F13879" i="2"/>
  <c r="G13879" i="2"/>
  <c r="H13879" i="2"/>
  <c r="J13879" i="2"/>
  <c r="K13879" i="2"/>
  <c r="L13879" i="2"/>
  <c r="C13880" i="2"/>
  <c r="D13880" i="2"/>
  <c r="F13880" i="2"/>
  <c r="G13880" i="2"/>
  <c r="H13880" i="2"/>
  <c r="J13880" i="2"/>
  <c r="K13880" i="2"/>
  <c r="L13880" i="2"/>
  <c r="C13881" i="2"/>
  <c r="D13881" i="2"/>
  <c r="F13881" i="2"/>
  <c r="G13881" i="2"/>
  <c r="H13881" i="2"/>
  <c r="J13881" i="2"/>
  <c r="K13881" i="2"/>
  <c r="L13881" i="2"/>
  <c r="C13882" i="2"/>
  <c r="D13882" i="2"/>
  <c r="F13882" i="2"/>
  <c r="G13882" i="2"/>
  <c r="H13882" i="2"/>
  <c r="J13882" i="2"/>
  <c r="K13882" i="2"/>
  <c r="L13882" i="2"/>
  <c r="C13883" i="2"/>
  <c r="D13883" i="2"/>
  <c r="F13883" i="2"/>
  <c r="G13883" i="2"/>
  <c r="H13883" i="2"/>
  <c r="J13883" i="2"/>
  <c r="K13883" i="2"/>
  <c r="L13883" i="2"/>
  <c r="C13884" i="2"/>
  <c r="D13884" i="2"/>
  <c r="F13884" i="2"/>
  <c r="G13884" i="2"/>
  <c r="H13884" i="2"/>
  <c r="J13884" i="2"/>
  <c r="K13884" i="2"/>
  <c r="L13884" i="2"/>
  <c r="C13885" i="2"/>
  <c r="D13885" i="2"/>
  <c r="F13885" i="2"/>
  <c r="G13885" i="2"/>
  <c r="H13885" i="2"/>
  <c r="J13885" i="2"/>
  <c r="K13885" i="2"/>
  <c r="L13885" i="2"/>
  <c r="C13886" i="2"/>
  <c r="D13886" i="2"/>
  <c r="F13886" i="2"/>
  <c r="G13886" i="2"/>
  <c r="H13886" i="2"/>
  <c r="J13886" i="2"/>
  <c r="K13886" i="2"/>
  <c r="L13886" i="2"/>
  <c r="C13887" i="2"/>
  <c r="D13887" i="2"/>
  <c r="F13887" i="2"/>
  <c r="G13887" i="2"/>
  <c r="H13887" i="2"/>
  <c r="J13887" i="2"/>
  <c r="K13887" i="2"/>
  <c r="L13887" i="2"/>
  <c r="C13888" i="2"/>
  <c r="D13888" i="2"/>
  <c r="F13888" i="2"/>
  <c r="G13888" i="2"/>
  <c r="H13888" i="2"/>
  <c r="J13888" i="2"/>
  <c r="K13888" i="2"/>
  <c r="L13888" i="2"/>
  <c r="C13889" i="2"/>
  <c r="D13889" i="2"/>
  <c r="F13889" i="2"/>
  <c r="G13889" i="2"/>
  <c r="H13889" i="2"/>
  <c r="J13889" i="2"/>
  <c r="K13889" i="2"/>
  <c r="L13889" i="2"/>
  <c r="C13890" i="2"/>
  <c r="D13890" i="2"/>
  <c r="F13890" i="2"/>
  <c r="G13890" i="2"/>
  <c r="H13890" i="2"/>
  <c r="J13890" i="2"/>
  <c r="K13890" i="2"/>
  <c r="L13890" i="2"/>
  <c r="C13891" i="2"/>
  <c r="D13891" i="2"/>
  <c r="F13891" i="2"/>
  <c r="G13891" i="2"/>
  <c r="H13891" i="2"/>
  <c r="J13891" i="2"/>
  <c r="K13891" i="2"/>
  <c r="L13891" i="2"/>
  <c r="C13892" i="2"/>
  <c r="D13892" i="2"/>
  <c r="F13892" i="2"/>
  <c r="G13892" i="2"/>
  <c r="H13892" i="2"/>
  <c r="J13892" i="2"/>
  <c r="K13892" i="2"/>
  <c r="L13892" i="2"/>
  <c r="C13893" i="2"/>
  <c r="D13893" i="2"/>
  <c r="F13893" i="2"/>
  <c r="G13893" i="2"/>
  <c r="H13893" i="2"/>
  <c r="J13893" i="2"/>
  <c r="K13893" i="2"/>
  <c r="L13893" i="2"/>
  <c r="C13894" i="2"/>
  <c r="D13894" i="2"/>
  <c r="F13894" i="2"/>
  <c r="G13894" i="2"/>
  <c r="H13894" i="2"/>
  <c r="J13894" i="2"/>
  <c r="K13894" i="2"/>
  <c r="L13894" i="2"/>
  <c r="C13895" i="2"/>
  <c r="D13895" i="2"/>
  <c r="F13895" i="2"/>
  <c r="G13895" i="2"/>
  <c r="H13895" i="2"/>
  <c r="J13895" i="2"/>
  <c r="K13895" i="2"/>
  <c r="L13895" i="2"/>
  <c r="C13896" i="2"/>
  <c r="D13896" i="2"/>
  <c r="F13896" i="2"/>
  <c r="G13896" i="2"/>
  <c r="H13896" i="2"/>
  <c r="J13896" i="2"/>
  <c r="K13896" i="2"/>
  <c r="L13896" i="2"/>
  <c r="C13897" i="2"/>
  <c r="D13897" i="2"/>
  <c r="F13897" i="2"/>
  <c r="G13897" i="2"/>
  <c r="H13897" i="2"/>
  <c r="J13897" i="2"/>
  <c r="K13897" i="2"/>
  <c r="L13897" i="2"/>
  <c r="C13898" i="2"/>
  <c r="D13898" i="2"/>
  <c r="F13898" i="2"/>
  <c r="G13898" i="2"/>
  <c r="H13898" i="2"/>
  <c r="J13898" i="2"/>
  <c r="K13898" i="2"/>
  <c r="L13898" i="2"/>
  <c r="C13899" i="2"/>
  <c r="D13899" i="2"/>
  <c r="F13899" i="2"/>
  <c r="G13899" i="2"/>
  <c r="H13899" i="2"/>
  <c r="J13899" i="2"/>
  <c r="K13899" i="2"/>
  <c r="L13899" i="2"/>
  <c r="C13900" i="2"/>
  <c r="D13900" i="2"/>
  <c r="F13900" i="2"/>
  <c r="G13900" i="2"/>
  <c r="H13900" i="2"/>
  <c r="J13900" i="2"/>
  <c r="K13900" i="2"/>
  <c r="L13900" i="2"/>
  <c r="C13901" i="2"/>
  <c r="D13901" i="2"/>
  <c r="F13901" i="2"/>
  <c r="G13901" i="2"/>
  <c r="H13901" i="2"/>
  <c r="J13901" i="2"/>
  <c r="K13901" i="2"/>
  <c r="L13901" i="2"/>
  <c r="C13902" i="2"/>
  <c r="D13902" i="2"/>
  <c r="F13902" i="2"/>
  <c r="G13902" i="2"/>
  <c r="H13902" i="2"/>
  <c r="J13902" i="2"/>
  <c r="K13902" i="2"/>
  <c r="L13902" i="2"/>
  <c r="C13903" i="2"/>
  <c r="D13903" i="2"/>
  <c r="F13903" i="2"/>
  <c r="G13903" i="2"/>
  <c r="H13903" i="2"/>
  <c r="J13903" i="2"/>
  <c r="K13903" i="2"/>
  <c r="L13903" i="2"/>
  <c r="C13904" i="2"/>
  <c r="D13904" i="2"/>
  <c r="F13904" i="2"/>
  <c r="G13904" i="2"/>
  <c r="H13904" i="2"/>
  <c r="J13904" i="2"/>
  <c r="K13904" i="2"/>
  <c r="L13904" i="2"/>
  <c r="C13905" i="2"/>
  <c r="D13905" i="2"/>
  <c r="F13905" i="2"/>
  <c r="G13905" i="2"/>
  <c r="H13905" i="2"/>
  <c r="J13905" i="2"/>
  <c r="K13905" i="2"/>
  <c r="L13905" i="2"/>
  <c r="C13906" i="2"/>
  <c r="D13906" i="2"/>
  <c r="F13906" i="2"/>
  <c r="G13906" i="2"/>
  <c r="H13906" i="2"/>
  <c r="J13906" i="2"/>
  <c r="K13906" i="2"/>
  <c r="L13906" i="2"/>
  <c r="C13907" i="2"/>
  <c r="D13907" i="2"/>
  <c r="F13907" i="2"/>
  <c r="G13907" i="2"/>
  <c r="H13907" i="2"/>
  <c r="J13907" i="2"/>
  <c r="K13907" i="2"/>
  <c r="L13907" i="2"/>
  <c r="C13908" i="2"/>
  <c r="D13908" i="2"/>
  <c r="F13908" i="2"/>
  <c r="G13908" i="2"/>
  <c r="H13908" i="2"/>
  <c r="J13908" i="2"/>
  <c r="K13908" i="2"/>
  <c r="L13908" i="2"/>
  <c r="C13909" i="2"/>
  <c r="D13909" i="2"/>
  <c r="F13909" i="2"/>
  <c r="G13909" i="2"/>
  <c r="H13909" i="2"/>
  <c r="J13909" i="2"/>
  <c r="K13909" i="2"/>
  <c r="L13909" i="2"/>
  <c r="C13910" i="2"/>
  <c r="D13910" i="2"/>
  <c r="F13910" i="2"/>
  <c r="G13910" i="2"/>
  <c r="H13910" i="2"/>
  <c r="J13910" i="2"/>
  <c r="K13910" i="2"/>
  <c r="L13910" i="2"/>
  <c r="C13911" i="2"/>
  <c r="D13911" i="2"/>
  <c r="F13911" i="2"/>
  <c r="G13911" i="2"/>
  <c r="H13911" i="2"/>
  <c r="J13911" i="2"/>
  <c r="K13911" i="2"/>
  <c r="L13911" i="2"/>
  <c r="C13912" i="2"/>
  <c r="D13912" i="2"/>
  <c r="F13912" i="2"/>
  <c r="G13912" i="2"/>
  <c r="H13912" i="2"/>
  <c r="J13912" i="2"/>
  <c r="K13912" i="2"/>
  <c r="L13912" i="2"/>
  <c r="C13913" i="2"/>
  <c r="D13913" i="2"/>
  <c r="F13913" i="2"/>
  <c r="G13913" i="2"/>
  <c r="H13913" i="2"/>
  <c r="J13913" i="2"/>
  <c r="K13913" i="2"/>
  <c r="L13913" i="2"/>
  <c r="C13914" i="2"/>
  <c r="D13914" i="2"/>
  <c r="F13914" i="2"/>
  <c r="G13914" i="2"/>
  <c r="H13914" i="2"/>
  <c r="J13914" i="2"/>
  <c r="K13914" i="2"/>
  <c r="L13914" i="2"/>
  <c r="C13915" i="2"/>
  <c r="D13915" i="2"/>
  <c r="F13915" i="2"/>
  <c r="G13915" i="2"/>
  <c r="H13915" i="2"/>
  <c r="J13915" i="2"/>
  <c r="K13915" i="2"/>
  <c r="L13915" i="2"/>
  <c r="C13916" i="2"/>
  <c r="D13916" i="2"/>
  <c r="F13916" i="2"/>
  <c r="G13916" i="2"/>
  <c r="H13916" i="2"/>
  <c r="J13916" i="2"/>
  <c r="K13916" i="2"/>
  <c r="L13916" i="2"/>
  <c r="C13917" i="2"/>
  <c r="D13917" i="2"/>
  <c r="F13917" i="2"/>
  <c r="G13917" i="2"/>
  <c r="H13917" i="2"/>
  <c r="J13917" i="2"/>
  <c r="K13917" i="2"/>
  <c r="L13917" i="2"/>
  <c r="C13918" i="2"/>
  <c r="D13918" i="2"/>
  <c r="F13918" i="2"/>
  <c r="G13918" i="2"/>
  <c r="H13918" i="2"/>
  <c r="J13918" i="2"/>
  <c r="K13918" i="2"/>
  <c r="L13918" i="2"/>
  <c r="C13919" i="2"/>
  <c r="D13919" i="2"/>
  <c r="F13919" i="2"/>
  <c r="G13919" i="2"/>
  <c r="H13919" i="2"/>
  <c r="J13919" i="2"/>
  <c r="K13919" i="2"/>
  <c r="L13919" i="2"/>
  <c r="C13920" i="2"/>
  <c r="D13920" i="2"/>
  <c r="F13920" i="2"/>
  <c r="G13920" i="2"/>
  <c r="H13920" i="2"/>
  <c r="J13920" i="2"/>
  <c r="K13920" i="2"/>
  <c r="L13920" i="2"/>
  <c r="C13921" i="2"/>
  <c r="D13921" i="2"/>
  <c r="F13921" i="2"/>
  <c r="G13921" i="2"/>
  <c r="H13921" i="2"/>
  <c r="J13921" i="2"/>
  <c r="K13921" i="2"/>
  <c r="L13921" i="2"/>
  <c r="C13922" i="2"/>
  <c r="D13922" i="2"/>
  <c r="F13922" i="2"/>
  <c r="G13922" i="2"/>
  <c r="H13922" i="2"/>
  <c r="J13922" i="2"/>
  <c r="K13922" i="2"/>
  <c r="L13922" i="2"/>
  <c r="C13923" i="2"/>
  <c r="D13923" i="2"/>
  <c r="F13923" i="2"/>
  <c r="G13923" i="2"/>
  <c r="H13923" i="2"/>
  <c r="J13923" i="2"/>
  <c r="K13923" i="2"/>
  <c r="L13923" i="2"/>
  <c r="C13924" i="2"/>
  <c r="D13924" i="2"/>
  <c r="F13924" i="2"/>
  <c r="G13924" i="2"/>
  <c r="H13924" i="2"/>
  <c r="J13924" i="2"/>
  <c r="K13924" i="2"/>
  <c r="L13924" i="2"/>
  <c r="C13925" i="2"/>
  <c r="D13925" i="2"/>
  <c r="F13925" i="2"/>
  <c r="G13925" i="2"/>
  <c r="H13925" i="2"/>
  <c r="J13925" i="2"/>
  <c r="K13925" i="2"/>
  <c r="L13925" i="2"/>
  <c r="C13926" i="2"/>
  <c r="D13926" i="2"/>
  <c r="F13926" i="2"/>
  <c r="G13926" i="2"/>
  <c r="H13926" i="2"/>
  <c r="J13926" i="2"/>
  <c r="K13926" i="2"/>
  <c r="L13926" i="2"/>
  <c r="C13927" i="2"/>
  <c r="D13927" i="2"/>
  <c r="F13927" i="2"/>
  <c r="G13927" i="2"/>
  <c r="H13927" i="2"/>
  <c r="J13927" i="2"/>
  <c r="K13927" i="2"/>
  <c r="L13927" i="2"/>
  <c r="C13928" i="2"/>
  <c r="D13928" i="2"/>
  <c r="F13928" i="2"/>
  <c r="G13928" i="2"/>
  <c r="H13928" i="2"/>
  <c r="J13928" i="2"/>
  <c r="K13928" i="2"/>
  <c r="L13928" i="2"/>
  <c r="C13929" i="2"/>
  <c r="D13929" i="2"/>
  <c r="F13929" i="2"/>
  <c r="G13929" i="2"/>
  <c r="H13929" i="2"/>
  <c r="J13929" i="2"/>
  <c r="K13929" i="2"/>
  <c r="L13929" i="2"/>
  <c r="C13930" i="2"/>
  <c r="D13930" i="2"/>
  <c r="F13930" i="2"/>
  <c r="G13930" i="2"/>
  <c r="H13930" i="2"/>
  <c r="J13930" i="2"/>
  <c r="K13930" i="2"/>
  <c r="L13930" i="2"/>
  <c r="C13931" i="2"/>
  <c r="D13931" i="2"/>
  <c r="F13931" i="2"/>
  <c r="G13931" i="2"/>
  <c r="H13931" i="2"/>
  <c r="J13931" i="2"/>
  <c r="K13931" i="2"/>
  <c r="L13931" i="2"/>
  <c r="C13932" i="2"/>
  <c r="D13932" i="2"/>
  <c r="F13932" i="2"/>
  <c r="G13932" i="2"/>
  <c r="H13932" i="2"/>
  <c r="J13932" i="2"/>
  <c r="K13932" i="2"/>
  <c r="L13932" i="2"/>
  <c r="C13933" i="2"/>
  <c r="D13933" i="2"/>
  <c r="F13933" i="2"/>
  <c r="G13933" i="2"/>
  <c r="H13933" i="2"/>
  <c r="J13933" i="2"/>
  <c r="K13933" i="2"/>
  <c r="L13933" i="2"/>
  <c r="C13934" i="2"/>
  <c r="D13934" i="2"/>
  <c r="F13934" i="2"/>
  <c r="G13934" i="2"/>
  <c r="H13934" i="2"/>
  <c r="J13934" i="2"/>
  <c r="K13934" i="2"/>
  <c r="L13934" i="2"/>
  <c r="C13935" i="2"/>
  <c r="D13935" i="2"/>
  <c r="F13935" i="2"/>
  <c r="G13935" i="2"/>
  <c r="H13935" i="2"/>
  <c r="J13935" i="2"/>
  <c r="K13935" i="2"/>
  <c r="L13935" i="2"/>
  <c r="C13936" i="2"/>
  <c r="D13936" i="2"/>
  <c r="F13936" i="2"/>
  <c r="G13936" i="2"/>
  <c r="H13936" i="2"/>
  <c r="J13936" i="2"/>
  <c r="K13936" i="2"/>
  <c r="L13936" i="2"/>
  <c r="C13937" i="2"/>
  <c r="D13937" i="2"/>
  <c r="F13937" i="2"/>
  <c r="G13937" i="2"/>
  <c r="H13937" i="2"/>
  <c r="J13937" i="2"/>
  <c r="K13937" i="2"/>
  <c r="L13937" i="2"/>
  <c r="C13938" i="2"/>
  <c r="D13938" i="2"/>
  <c r="F13938" i="2"/>
  <c r="G13938" i="2"/>
  <c r="H13938" i="2"/>
  <c r="J13938" i="2"/>
  <c r="K13938" i="2"/>
  <c r="L13938" i="2"/>
  <c r="C13939" i="2"/>
  <c r="D13939" i="2"/>
  <c r="F13939" i="2"/>
  <c r="G13939" i="2"/>
  <c r="H13939" i="2"/>
  <c r="J13939" i="2"/>
  <c r="K13939" i="2"/>
  <c r="L13939" i="2"/>
  <c r="C13940" i="2"/>
  <c r="D13940" i="2"/>
  <c r="F13940" i="2"/>
  <c r="G13940" i="2"/>
  <c r="H13940" i="2"/>
  <c r="J13940" i="2"/>
  <c r="K13940" i="2"/>
  <c r="L13940" i="2"/>
  <c r="C13941" i="2"/>
  <c r="D13941" i="2"/>
  <c r="F13941" i="2"/>
  <c r="G13941" i="2"/>
  <c r="H13941" i="2"/>
  <c r="J13941" i="2"/>
  <c r="K13941" i="2"/>
  <c r="L13941" i="2"/>
  <c r="C13942" i="2"/>
  <c r="D13942" i="2"/>
  <c r="F13942" i="2"/>
  <c r="G13942" i="2"/>
  <c r="H13942" i="2"/>
  <c r="J13942" i="2"/>
  <c r="K13942" i="2"/>
  <c r="L13942" i="2"/>
  <c r="C13943" i="2"/>
  <c r="D13943" i="2"/>
  <c r="F13943" i="2"/>
  <c r="G13943" i="2"/>
  <c r="H13943" i="2"/>
  <c r="J13943" i="2"/>
  <c r="K13943" i="2"/>
  <c r="L13943" i="2"/>
  <c r="C13944" i="2"/>
  <c r="D13944" i="2"/>
  <c r="F13944" i="2"/>
  <c r="G13944" i="2"/>
  <c r="H13944" i="2"/>
  <c r="J13944" i="2"/>
  <c r="K13944" i="2"/>
  <c r="L13944" i="2"/>
  <c r="C13945" i="2"/>
  <c r="D13945" i="2"/>
  <c r="F13945" i="2"/>
  <c r="G13945" i="2"/>
  <c r="H13945" i="2"/>
  <c r="J13945" i="2"/>
  <c r="K13945" i="2"/>
  <c r="L13945" i="2"/>
  <c r="C13946" i="2"/>
  <c r="D13946" i="2"/>
  <c r="F13946" i="2"/>
  <c r="G13946" i="2"/>
  <c r="H13946" i="2"/>
  <c r="J13946" i="2"/>
  <c r="K13946" i="2"/>
  <c r="L13946" i="2"/>
  <c r="C13947" i="2"/>
  <c r="D13947" i="2"/>
  <c r="F13947" i="2"/>
  <c r="G13947" i="2"/>
  <c r="H13947" i="2"/>
  <c r="J13947" i="2"/>
  <c r="K13947" i="2"/>
  <c r="L13947" i="2"/>
  <c r="C13948" i="2"/>
  <c r="D13948" i="2"/>
  <c r="F13948" i="2"/>
  <c r="G13948" i="2"/>
  <c r="H13948" i="2"/>
  <c r="J13948" i="2"/>
  <c r="K13948" i="2"/>
  <c r="L13948" i="2"/>
  <c r="C13949" i="2"/>
  <c r="D13949" i="2"/>
  <c r="F13949" i="2"/>
  <c r="G13949" i="2"/>
  <c r="H13949" i="2"/>
  <c r="J13949" i="2"/>
  <c r="K13949" i="2"/>
  <c r="L13949" i="2"/>
  <c r="C13950" i="2"/>
  <c r="D13950" i="2"/>
  <c r="F13950" i="2"/>
  <c r="G13950" i="2"/>
  <c r="H13950" i="2"/>
  <c r="J13950" i="2"/>
  <c r="K13950" i="2"/>
  <c r="L13950" i="2"/>
  <c r="C13951" i="2"/>
  <c r="D13951" i="2"/>
  <c r="F13951" i="2"/>
  <c r="G13951" i="2"/>
  <c r="H13951" i="2"/>
  <c r="J13951" i="2"/>
  <c r="K13951" i="2"/>
  <c r="L13951" i="2"/>
  <c r="C13952" i="2"/>
  <c r="D13952" i="2"/>
  <c r="F13952" i="2"/>
  <c r="G13952" i="2"/>
  <c r="H13952" i="2"/>
  <c r="J13952" i="2"/>
  <c r="K13952" i="2"/>
  <c r="L13952" i="2"/>
  <c r="C13953" i="2"/>
  <c r="D13953" i="2"/>
  <c r="F13953" i="2"/>
  <c r="G13953" i="2"/>
  <c r="H13953" i="2"/>
  <c r="J13953" i="2"/>
  <c r="K13953" i="2"/>
  <c r="L13953" i="2"/>
  <c r="C13954" i="2"/>
  <c r="D13954" i="2"/>
  <c r="F13954" i="2"/>
  <c r="G13954" i="2"/>
  <c r="H13954" i="2"/>
  <c r="J13954" i="2"/>
  <c r="K13954" i="2"/>
  <c r="L13954" i="2"/>
  <c r="C13955" i="2"/>
  <c r="D13955" i="2"/>
  <c r="F13955" i="2"/>
  <c r="G13955" i="2"/>
  <c r="H13955" i="2"/>
  <c r="J13955" i="2"/>
  <c r="K13955" i="2"/>
  <c r="L13955" i="2"/>
  <c r="C13956" i="2"/>
  <c r="D13956" i="2"/>
  <c r="F13956" i="2"/>
  <c r="G13956" i="2"/>
  <c r="H13956" i="2"/>
  <c r="J13956" i="2"/>
  <c r="K13956" i="2"/>
  <c r="L13956" i="2"/>
  <c r="C13957" i="2"/>
  <c r="D13957" i="2"/>
  <c r="F13957" i="2"/>
  <c r="G13957" i="2"/>
  <c r="H13957" i="2"/>
  <c r="J13957" i="2"/>
  <c r="K13957" i="2"/>
  <c r="L13957" i="2"/>
  <c r="D13958" i="2"/>
  <c r="F13958" i="2"/>
  <c r="G13958" i="2"/>
  <c r="H13958" i="2"/>
  <c r="J13958" i="2"/>
  <c r="K13958" i="2"/>
  <c r="L13958" i="2"/>
  <c r="C13959" i="2"/>
  <c r="D13959" i="2"/>
  <c r="F13959" i="2"/>
  <c r="G13959" i="2"/>
  <c r="H13959" i="2"/>
  <c r="J13959" i="2"/>
  <c r="K13959" i="2"/>
  <c r="L13959" i="2"/>
  <c r="C13960" i="2"/>
  <c r="D13960" i="2"/>
  <c r="F13960" i="2"/>
  <c r="G13960" i="2"/>
  <c r="H13960" i="2"/>
  <c r="J13960" i="2"/>
  <c r="K13960" i="2"/>
  <c r="L13960" i="2"/>
  <c r="C13961" i="2"/>
  <c r="D13961" i="2"/>
  <c r="F13961" i="2"/>
  <c r="G13961" i="2"/>
  <c r="H13961" i="2"/>
  <c r="J13961" i="2"/>
  <c r="K13961" i="2"/>
  <c r="L13961" i="2"/>
  <c r="C13962" i="2"/>
  <c r="D13962" i="2"/>
  <c r="F13962" i="2"/>
  <c r="G13962" i="2"/>
  <c r="H13962" i="2"/>
  <c r="J13962" i="2"/>
  <c r="K13962" i="2"/>
  <c r="L13962" i="2"/>
  <c r="C13963" i="2"/>
  <c r="D13963" i="2"/>
  <c r="F13963" i="2"/>
  <c r="G13963" i="2"/>
  <c r="H13963" i="2"/>
  <c r="J13963" i="2"/>
  <c r="K13963" i="2"/>
  <c r="L13963" i="2"/>
  <c r="C13964" i="2"/>
  <c r="D13964" i="2"/>
  <c r="F13964" i="2"/>
  <c r="G13964" i="2"/>
  <c r="H13964" i="2"/>
  <c r="J13964" i="2"/>
  <c r="K13964" i="2"/>
  <c r="L13964" i="2"/>
  <c r="C13965" i="2"/>
  <c r="D13965" i="2"/>
  <c r="F13965" i="2"/>
  <c r="G13965" i="2"/>
  <c r="H13965" i="2"/>
  <c r="J13965" i="2"/>
  <c r="K13965" i="2"/>
  <c r="L13965" i="2"/>
  <c r="C13966" i="2"/>
  <c r="D13966" i="2"/>
  <c r="F13966" i="2"/>
  <c r="G13966" i="2"/>
  <c r="H13966" i="2"/>
  <c r="J13966" i="2"/>
  <c r="K13966" i="2"/>
  <c r="L13966" i="2"/>
  <c r="C13967" i="2"/>
  <c r="D13967" i="2"/>
  <c r="F13967" i="2"/>
  <c r="G13967" i="2"/>
  <c r="H13967" i="2"/>
  <c r="J13967" i="2"/>
  <c r="K13967" i="2"/>
  <c r="L13967" i="2"/>
  <c r="C13968" i="2"/>
  <c r="D13968" i="2"/>
  <c r="F13968" i="2"/>
  <c r="G13968" i="2"/>
  <c r="H13968" i="2"/>
  <c r="J13968" i="2"/>
  <c r="K13968" i="2"/>
  <c r="L13968" i="2"/>
  <c r="C13969" i="2"/>
  <c r="D13969" i="2"/>
  <c r="F13969" i="2"/>
  <c r="G13969" i="2"/>
  <c r="H13969" i="2"/>
  <c r="J13969" i="2"/>
  <c r="K13969" i="2"/>
  <c r="L13969" i="2"/>
  <c r="C13970" i="2"/>
  <c r="D13970" i="2"/>
  <c r="F13970" i="2"/>
  <c r="G13970" i="2"/>
  <c r="H13970" i="2"/>
  <c r="J13970" i="2"/>
  <c r="K13970" i="2"/>
  <c r="L13970" i="2"/>
  <c r="C13971" i="2"/>
  <c r="D13971" i="2"/>
  <c r="F13971" i="2"/>
  <c r="G13971" i="2"/>
  <c r="H13971" i="2"/>
  <c r="J13971" i="2"/>
  <c r="K13971" i="2"/>
  <c r="L13971" i="2"/>
  <c r="C13972" i="2"/>
  <c r="D13972" i="2"/>
  <c r="F13972" i="2"/>
  <c r="G13972" i="2"/>
  <c r="H13972" i="2"/>
  <c r="J13972" i="2"/>
  <c r="K13972" i="2"/>
  <c r="L13972" i="2"/>
  <c r="C13973" i="2"/>
  <c r="D13973" i="2"/>
  <c r="F13973" i="2"/>
  <c r="G13973" i="2"/>
  <c r="H13973" i="2"/>
  <c r="J13973" i="2"/>
  <c r="K13973" i="2"/>
  <c r="L13973" i="2"/>
  <c r="C13974" i="2"/>
  <c r="D13974" i="2"/>
  <c r="F13974" i="2"/>
  <c r="G13974" i="2"/>
  <c r="H13974" i="2"/>
  <c r="J13974" i="2"/>
  <c r="K13974" i="2"/>
  <c r="L13974" i="2"/>
  <c r="C13975" i="2"/>
  <c r="D13975" i="2"/>
  <c r="F13975" i="2"/>
  <c r="G13975" i="2"/>
  <c r="H13975" i="2"/>
  <c r="J13975" i="2"/>
  <c r="K13975" i="2"/>
  <c r="L13975" i="2"/>
  <c r="C13976" i="2"/>
  <c r="D13976" i="2"/>
  <c r="F13976" i="2"/>
  <c r="G13976" i="2"/>
  <c r="H13976" i="2"/>
  <c r="J13976" i="2"/>
  <c r="K13976" i="2"/>
  <c r="L13976" i="2"/>
  <c r="C13977" i="2"/>
  <c r="D13977" i="2"/>
  <c r="F13977" i="2"/>
  <c r="G13977" i="2"/>
  <c r="H13977" i="2"/>
  <c r="J13977" i="2"/>
  <c r="K13977" i="2"/>
  <c r="L13977" i="2"/>
  <c r="C13978" i="2"/>
  <c r="D13978" i="2"/>
  <c r="F13978" i="2"/>
  <c r="G13978" i="2"/>
  <c r="H13978" i="2"/>
  <c r="J13978" i="2"/>
  <c r="K13978" i="2"/>
  <c r="L13978" i="2"/>
  <c r="C13979" i="2"/>
  <c r="D13979" i="2"/>
  <c r="F13979" i="2"/>
  <c r="G13979" i="2"/>
  <c r="H13979" i="2"/>
  <c r="J13979" i="2"/>
  <c r="K13979" i="2"/>
  <c r="L13979" i="2"/>
  <c r="C13980" i="2"/>
  <c r="D13980" i="2"/>
  <c r="F13980" i="2"/>
  <c r="G13980" i="2"/>
  <c r="H13980" i="2"/>
  <c r="J13980" i="2"/>
  <c r="K13980" i="2"/>
  <c r="L13980" i="2"/>
  <c r="C13981" i="2"/>
  <c r="D13981" i="2"/>
  <c r="F13981" i="2"/>
  <c r="G13981" i="2"/>
  <c r="H13981" i="2"/>
  <c r="J13981" i="2"/>
  <c r="K13981" i="2"/>
  <c r="L13981" i="2"/>
  <c r="C13982" i="2"/>
  <c r="D13982" i="2"/>
  <c r="F13982" i="2"/>
  <c r="G13982" i="2"/>
  <c r="H13982" i="2"/>
  <c r="J13982" i="2"/>
  <c r="K13982" i="2"/>
  <c r="L13982" i="2"/>
  <c r="D13983" i="2"/>
  <c r="F13983" i="2"/>
  <c r="G13983" i="2"/>
  <c r="H13983" i="2"/>
  <c r="J13983" i="2"/>
  <c r="K13983" i="2"/>
  <c r="L13983" i="2"/>
  <c r="C13984" i="2"/>
  <c r="D13984" i="2"/>
  <c r="F13984" i="2"/>
  <c r="G13984" i="2"/>
  <c r="H13984" i="2"/>
  <c r="J13984" i="2"/>
  <c r="K13984" i="2"/>
  <c r="L13984" i="2"/>
  <c r="C13985" i="2"/>
  <c r="D13985" i="2"/>
  <c r="F13985" i="2"/>
  <c r="G13985" i="2"/>
  <c r="H13985" i="2"/>
  <c r="J13985" i="2"/>
  <c r="K13985" i="2"/>
  <c r="L13985" i="2"/>
  <c r="C13986" i="2"/>
  <c r="D13986" i="2"/>
  <c r="F13986" i="2"/>
  <c r="G13986" i="2"/>
  <c r="H13986" i="2"/>
  <c r="J13986" i="2"/>
  <c r="K13986" i="2"/>
  <c r="L13986" i="2"/>
  <c r="C13987" i="2"/>
  <c r="D13987" i="2"/>
  <c r="F13987" i="2"/>
  <c r="G13987" i="2"/>
  <c r="H13987" i="2"/>
  <c r="J13987" i="2"/>
  <c r="K13987" i="2"/>
  <c r="L13987" i="2"/>
  <c r="C13988" i="2"/>
  <c r="D13988" i="2"/>
  <c r="F13988" i="2"/>
  <c r="G13988" i="2"/>
  <c r="H13988" i="2"/>
  <c r="J13988" i="2"/>
  <c r="K13988" i="2"/>
  <c r="L13988" i="2"/>
  <c r="C13989" i="2"/>
  <c r="D13989" i="2"/>
  <c r="F13989" i="2"/>
  <c r="G13989" i="2"/>
  <c r="H13989" i="2"/>
  <c r="J13989" i="2"/>
  <c r="K13989" i="2"/>
  <c r="L13989" i="2"/>
  <c r="C13990" i="2"/>
  <c r="D13990" i="2"/>
  <c r="F13990" i="2"/>
  <c r="G13990" i="2"/>
  <c r="H13990" i="2"/>
  <c r="J13990" i="2"/>
  <c r="K13990" i="2"/>
  <c r="L13990" i="2"/>
  <c r="C13991" i="2"/>
  <c r="D13991" i="2"/>
  <c r="F13991" i="2"/>
  <c r="G13991" i="2"/>
  <c r="H13991" i="2"/>
  <c r="J13991" i="2"/>
  <c r="K13991" i="2"/>
  <c r="L13991" i="2"/>
  <c r="C13992" i="2"/>
  <c r="D13992" i="2"/>
  <c r="F13992" i="2"/>
  <c r="G13992" i="2"/>
  <c r="H13992" i="2"/>
  <c r="J13992" i="2"/>
  <c r="K13992" i="2"/>
  <c r="L13992" i="2"/>
  <c r="C13993" i="2"/>
  <c r="D13993" i="2"/>
  <c r="F13993" i="2"/>
  <c r="G13993" i="2"/>
  <c r="H13993" i="2"/>
  <c r="J13993" i="2"/>
  <c r="K13993" i="2"/>
  <c r="L13993" i="2"/>
  <c r="C13994" i="2"/>
  <c r="D13994" i="2"/>
  <c r="F13994" i="2"/>
  <c r="G13994" i="2"/>
  <c r="H13994" i="2"/>
  <c r="J13994" i="2"/>
  <c r="K13994" i="2"/>
  <c r="L13994" i="2"/>
  <c r="C13995" i="2"/>
  <c r="D13995" i="2"/>
  <c r="F13995" i="2"/>
  <c r="G13995" i="2"/>
  <c r="H13995" i="2"/>
  <c r="J13995" i="2"/>
  <c r="K13995" i="2"/>
  <c r="L13995" i="2"/>
  <c r="C13996" i="2"/>
  <c r="D13996" i="2"/>
  <c r="F13996" i="2"/>
  <c r="G13996" i="2"/>
  <c r="H13996" i="2"/>
  <c r="J13996" i="2"/>
  <c r="K13996" i="2"/>
  <c r="L13996" i="2"/>
  <c r="C13997" i="2"/>
  <c r="D13997" i="2"/>
  <c r="F13997" i="2"/>
  <c r="G13997" i="2"/>
  <c r="H13997" i="2"/>
  <c r="J13997" i="2"/>
  <c r="K13997" i="2"/>
  <c r="L13997" i="2"/>
  <c r="C13998" i="2"/>
  <c r="D13998" i="2"/>
  <c r="F13998" i="2"/>
  <c r="G13998" i="2"/>
  <c r="H13998" i="2"/>
  <c r="J13998" i="2"/>
  <c r="K13998" i="2"/>
  <c r="L13998" i="2"/>
  <c r="C13999" i="2"/>
  <c r="D13999" i="2"/>
  <c r="F13999" i="2"/>
  <c r="G13999" i="2"/>
  <c r="H13999" i="2"/>
  <c r="J13999" i="2"/>
  <c r="K13999" i="2"/>
  <c r="L13999" i="2"/>
  <c r="C14000" i="2"/>
  <c r="D14000" i="2"/>
  <c r="F14000" i="2"/>
  <c r="G14000" i="2"/>
  <c r="H14000" i="2"/>
  <c r="J14000" i="2"/>
  <c r="K14000" i="2"/>
  <c r="L14000" i="2"/>
  <c r="C14001" i="2"/>
  <c r="D14001" i="2"/>
  <c r="F14001" i="2"/>
  <c r="G14001" i="2"/>
  <c r="H14001" i="2"/>
  <c r="J14001" i="2"/>
  <c r="K14001" i="2"/>
  <c r="L14001" i="2"/>
  <c r="C14002" i="2"/>
  <c r="D14002" i="2"/>
  <c r="F14002" i="2"/>
  <c r="G14002" i="2"/>
  <c r="H14002" i="2"/>
  <c r="J14002" i="2"/>
  <c r="K14002" i="2"/>
  <c r="L14002" i="2"/>
  <c r="C14003" i="2"/>
  <c r="D14003" i="2"/>
  <c r="F14003" i="2"/>
  <c r="G14003" i="2"/>
  <c r="H14003" i="2"/>
  <c r="J14003" i="2"/>
  <c r="K14003" i="2"/>
  <c r="L14003" i="2"/>
  <c r="C14004" i="2"/>
  <c r="D14004" i="2"/>
  <c r="F14004" i="2"/>
  <c r="G14004" i="2"/>
  <c r="H14004" i="2"/>
  <c r="J14004" i="2"/>
  <c r="K14004" i="2"/>
  <c r="L14004" i="2"/>
  <c r="C14005" i="2"/>
  <c r="D14005" i="2"/>
  <c r="F14005" i="2"/>
  <c r="G14005" i="2"/>
  <c r="H14005" i="2"/>
  <c r="J14005" i="2"/>
  <c r="K14005" i="2"/>
  <c r="L14005" i="2"/>
  <c r="C14006" i="2"/>
  <c r="D14006" i="2"/>
  <c r="F14006" i="2"/>
  <c r="G14006" i="2"/>
  <c r="H14006" i="2"/>
  <c r="J14006" i="2"/>
  <c r="K14006" i="2"/>
  <c r="L14006" i="2"/>
  <c r="C14007" i="2"/>
  <c r="D14007" i="2"/>
  <c r="F14007" i="2"/>
  <c r="G14007" i="2"/>
  <c r="H14007" i="2"/>
  <c r="J14007" i="2"/>
  <c r="K14007" i="2"/>
  <c r="L14007" i="2"/>
  <c r="C14008" i="2"/>
  <c r="D14008" i="2"/>
  <c r="F14008" i="2"/>
  <c r="G14008" i="2"/>
  <c r="H14008" i="2"/>
  <c r="J14008" i="2"/>
  <c r="K14008" i="2"/>
  <c r="L14008" i="2"/>
  <c r="C14009" i="2"/>
  <c r="D14009" i="2"/>
  <c r="F14009" i="2"/>
  <c r="G14009" i="2"/>
  <c r="H14009" i="2"/>
  <c r="J14009" i="2"/>
  <c r="K14009" i="2"/>
  <c r="L14009" i="2"/>
  <c r="C14010" i="2"/>
  <c r="D14010" i="2"/>
  <c r="F14010" i="2"/>
  <c r="G14010" i="2"/>
  <c r="H14010" i="2"/>
  <c r="J14010" i="2"/>
  <c r="K14010" i="2"/>
  <c r="L14010" i="2"/>
  <c r="C14011" i="2"/>
  <c r="D14011" i="2"/>
  <c r="F14011" i="2"/>
  <c r="G14011" i="2"/>
  <c r="H14011" i="2"/>
  <c r="J14011" i="2"/>
  <c r="K14011" i="2"/>
  <c r="L14011" i="2"/>
  <c r="C14012" i="2"/>
  <c r="D14012" i="2"/>
  <c r="F14012" i="2"/>
  <c r="G14012" i="2"/>
  <c r="H14012" i="2"/>
  <c r="J14012" i="2"/>
  <c r="K14012" i="2"/>
  <c r="L14012" i="2"/>
  <c r="C14013" i="2"/>
  <c r="D14013" i="2"/>
  <c r="F14013" i="2"/>
  <c r="G14013" i="2"/>
  <c r="H14013" i="2"/>
  <c r="J14013" i="2"/>
  <c r="K14013" i="2"/>
  <c r="L14013" i="2"/>
  <c r="C14014" i="2"/>
  <c r="D14014" i="2"/>
  <c r="F14014" i="2"/>
  <c r="G14014" i="2"/>
  <c r="H14014" i="2"/>
  <c r="J14014" i="2"/>
  <c r="K14014" i="2"/>
  <c r="L14014" i="2"/>
  <c r="C14015" i="2"/>
  <c r="D14015" i="2"/>
  <c r="F14015" i="2"/>
  <c r="G14015" i="2"/>
  <c r="H14015" i="2"/>
  <c r="J14015" i="2"/>
  <c r="K14015" i="2"/>
  <c r="L14015" i="2"/>
  <c r="C14016" i="2"/>
  <c r="D14016" i="2"/>
  <c r="F14016" i="2"/>
  <c r="G14016" i="2"/>
  <c r="H14016" i="2"/>
  <c r="J14016" i="2"/>
  <c r="K14016" i="2"/>
  <c r="L14016" i="2"/>
  <c r="C14017" i="2"/>
  <c r="D14017" i="2"/>
  <c r="F14017" i="2"/>
  <c r="G14017" i="2"/>
  <c r="H14017" i="2"/>
  <c r="J14017" i="2"/>
  <c r="K14017" i="2"/>
  <c r="L14017" i="2"/>
  <c r="C14018" i="2"/>
  <c r="D14018" i="2"/>
  <c r="F14018" i="2"/>
  <c r="G14018" i="2"/>
  <c r="H14018" i="2"/>
  <c r="J14018" i="2"/>
  <c r="K14018" i="2"/>
  <c r="L14018" i="2"/>
  <c r="C14019" i="2"/>
  <c r="D14019" i="2"/>
  <c r="F14019" i="2"/>
  <c r="G14019" i="2"/>
  <c r="H14019" i="2"/>
  <c r="J14019" i="2"/>
  <c r="K14019" i="2"/>
  <c r="L14019" i="2"/>
  <c r="C14020" i="2"/>
  <c r="D14020" i="2"/>
  <c r="F14020" i="2"/>
  <c r="G14020" i="2"/>
  <c r="H14020" i="2"/>
  <c r="J14020" i="2"/>
  <c r="K14020" i="2"/>
  <c r="L14020" i="2"/>
  <c r="C14021" i="2"/>
  <c r="D14021" i="2"/>
  <c r="F14021" i="2"/>
  <c r="G14021" i="2"/>
  <c r="H14021" i="2"/>
  <c r="J14021" i="2"/>
  <c r="K14021" i="2"/>
  <c r="L14021" i="2"/>
  <c r="C14022" i="2"/>
  <c r="D14022" i="2"/>
  <c r="F14022" i="2"/>
  <c r="G14022" i="2"/>
  <c r="H14022" i="2"/>
  <c r="J14022" i="2"/>
  <c r="K14022" i="2"/>
  <c r="L14022" i="2"/>
  <c r="C14023" i="2"/>
  <c r="D14023" i="2"/>
  <c r="F14023" i="2"/>
  <c r="G14023" i="2"/>
  <c r="H14023" i="2"/>
  <c r="J14023" i="2"/>
  <c r="K14023" i="2"/>
  <c r="L14023" i="2"/>
  <c r="C14024" i="2"/>
  <c r="D14024" i="2"/>
  <c r="F14024" i="2"/>
  <c r="G14024" i="2"/>
  <c r="H14024" i="2"/>
  <c r="J14024" i="2"/>
  <c r="K14024" i="2"/>
  <c r="L14024" i="2"/>
  <c r="C14025" i="2"/>
  <c r="D14025" i="2"/>
  <c r="F14025" i="2"/>
  <c r="G14025" i="2"/>
  <c r="H14025" i="2"/>
  <c r="J14025" i="2"/>
  <c r="K14025" i="2"/>
  <c r="L14025" i="2"/>
  <c r="C14026" i="2"/>
  <c r="D14026" i="2"/>
  <c r="F14026" i="2"/>
  <c r="G14026" i="2"/>
  <c r="H14026" i="2"/>
  <c r="J14026" i="2"/>
  <c r="K14026" i="2"/>
  <c r="L14026" i="2"/>
  <c r="C14027" i="2"/>
  <c r="D14027" i="2"/>
  <c r="F14027" i="2"/>
  <c r="G14027" i="2"/>
  <c r="H14027" i="2"/>
  <c r="J14027" i="2"/>
  <c r="K14027" i="2"/>
  <c r="L14027" i="2"/>
  <c r="C14028" i="2"/>
  <c r="D14028" i="2"/>
  <c r="F14028" i="2"/>
  <c r="G14028" i="2"/>
  <c r="H14028" i="2"/>
  <c r="J14028" i="2"/>
  <c r="K14028" i="2"/>
  <c r="L14028" i="2"/>
  <c r="C14029" i="2"/>
  <c r="D14029" i="2"/>
  <c r="F14029" i="2"/>
  <c r="G14029" i="2"/>
  <c r="H14029" i="2"/>
  <c r="J14029" i="2"/>
  <c r="K14029" i="2"/>
  <c r="L14029" i="2"/>
  <c r="C14030" i="2"/>
  <c r="D14030" i="2"/>
  <c r="F14030" i="2"/>
  <c r="G14030" i="2"/>
  <c r="H14030" i="2"/>
  <c r="J14030" i="2"/>
  <c r="K14030" i="2"/>
  <c r="L14030" i="2"/>
  <c r="C14031" i="2"/>
  <c r="D14031" i="2"/>
  <c r="F14031" i="2"/>
  <c r="G14031" i="2"/>
  <c r="H14031" i="2"/>
  <c r="J14031" i="2"/>
  <c r="K14031" i="2"/>
  <c r="L14031" i="2"/>
  <c r="C14032" i="2"/>
  <c r="D14032" i="2"/>
  <c r="F14032" i="2"/>
  <c r="G14032" i="2"/>
  <c r="H14032" i="2"/>
  <c r="J14032" i="2"/>
  <c r="K14032" i="2"/>
  <c r="L14032" i="2"/>
  <c r="C14033" i="2"/>
  <c r="D14033" i="2"/>
  <c r="F14033" i="2"/>
  <c r="G14033" i="2"/>
  <c r="H14033" i="2"/>
  <c r="J14033" i="2"/>
  <c r="K14033" i="2"/>
  <c r="L14033" i="2"/>
  <c r="C14034" i="2"/>
  <c r="D14034" i="2"/>
  <c r="F14034" i="2"/>
  <c r="G14034" i="2"/>
  <c r="H14034" i="2"/>
  <c r="J14034" i="2"/>
  <c r="K14034" i="2"/>
  <c r="L14034" i="2"/>
  <c r="C14035" i="2"/>
  <c r="D14035" i="2"/>
  <c r="F14035" i="2"/>
  <c r="G14035" i="2"/>
  <c r="H14035" i="2"/>
  <c r="J14035" i="2"/>
  <c r="K14035" i="2"/>
  <c r="L14035" i="2"/>
  <c r="C14036" i="2"/>
  <c r="D14036" i="2"/>
  <c r="F14036" i="2"/>
  <c r="G14036" i="2"/>
  <c r="H14036" i="2"/>
  <c r="J14036" i="2"/>
  <c r="K14036" i="2"/>
  <c r="L14036" i="2"/>
  <c r="C14037" i="2"/>
  <c r="D14037" i="2"/>
  <c r="F14037" i="2"/>
  <c r="G14037" i="2"/>
  <c r="H14037" i="2"/>
  <c r="J14037" i="2"/>
  <c r="K14037" i="2"/>
  <c r="L14037" i="2"/>
  <c r="C14038" i="2"/>
  <c r="D14038" i="2"/>
  <c r="F14038" i="2"/>
  <c r="G14038" i="2"/>
  <c r="H14038" i="2"/>
  <c r="J14038" i="2"/>
  <c r="K14038" i="2"/>
  <c r="L14038" i="2"/>
  <c r="C14039" i="2"/>
  <c r="D14039" i="2"/>
  <c r="F14039" i="2"/>
  <c r="G14039" i="2"/>
  <c r="H14039" i="2"/>
  <c r="J14039" i="2"/>
  <c r="K14039" i="2"/>
  <c r="L14039" i="2"/>
  <c r="C14040" i="2"/>
  <c r="D14040" i="2"/>
  <c r="F14040" i="2"/>
  <c r="G14040" i="2"/>
  <c r="H14040" i="2"/>
  <c r="J14040" i="2"/>
  <c r="K14040" i="2"/>
  <c r="L14040" i="2"/>
  <c r="C14041" i="2"/>
  <c r="D14041" i="2"/>
  <c r="F14041" i="2"/>
  <c r="G14041" i="2"/>
  <c r="H14041" i="2"/>
  <c r="J14041" i="2"/>
  <c r="K14041" i="2"/>
  <c r="L14041" i="2"/>
  <c r="C14042" i="2"/>
  <c r="D14042" i="2"/>
  <c r="F14042" i="2"/>
  <c r="G14042" i="2"/>
  <c r="H14042" i="2"/>
  <c r="J14042" i="2"/>
  <c r="K14042" i="2"/>
  <c r="L14042" i="2"/>
  <c r="C14043" i="2"/>
  <c r="D14043" i="2"/>
  <c r="F14043" i="2"/>
  <c r="G14043" i="2"/>
  <c r="H14043" i="2"/>
  <c r="J14043" i="2"/>
  <c r="K14043" i="2"/>
  <c r="L14043" i="2"/>
  <c r="C14044" i="2"/>
  <c r="D14044" i="2"/>
  <c r="F14044" i="2"/>
  <c r="G14044" i="2"/>
  <c r="H14044" i="2"/>
  <c r="J14044" i="2"/>
  <c r="K14044" i="2"/>
  <c r="L14044" i="2"/>
  <c r="C14045" i="2"/>
  <c r="D14045" i="2"/>
  <c r="F14045" i="2"/>
  <c r="G14045" i="2"/>
  <c r="H14045" i="2"/>
  <c r="J14045" i="2"/>
  <c r="K14045" i="2"/>
  <c r="L14045" i="2"/>
  <c r="C14046" i="2"/>
  <c r="D14046" i="2"/>
  <c r="F14046" i="2"/>
  <c r="G14046" i="2"/>
  <c r="H14046" i="2"/>
  <c r="J14046" i="2"/>
  <c r="K14046" i="2"/>
  <c r="L14046" i="2"/>
  <c r="C14047" i="2"/>
  <c r="D14047" i="2"/>
  <c r="F14047" i="2"/>
  <c r="G14047" i="2"/>
  <c r="H14047" i="2"/>
  <c r="J14047" i="2"/>
  <c r="K14047" i="2"/>
  <c r="L14047" i="2"/>
  <c r="C14048" i="2"/>
  <c r="D14048" i="2"/>
  <c r="F14048" i="2"/>
  <c r="G14048" i="2"/>
  <c r="H14048" i="2"/>
  <c r="J14048" i="2"/>
  <c r="K14048" i="2"/>
  <c r="L14048" i="2"/>
  <c r="C14049" i="2"/>
  <c r="D14049" i="2"/>
  <c r="F14049" i="2"/>
  <c r="G14049" i="2"/>
  <c r="H14049" i="2"/>
  <c r="J14049" i="2"/>
  <c r="K14049" i="2"/>
  <c r="L14049" i="2"/>
  <c r="C14050" i="2"/>
  <c r="D14050" i="2"/>
  <c r="F14050" i="2"/>
  <c r="G14050" i="2"/>
  <c r="H14050" i="2"/>
  <c r="J14050" i="2"/>
  <c r="K14050" i="2"/>
  <c r="L14050" i="2"/>
  <c r="C14051" i="2"/>
  <c r="D14051" i="2"/>
  <c r="F14051" i="2"/>
  <c r="G14051" i="2"/>
  <c r="H14051" i="2"/>
  <c r="J14051" i="2"/>
  <c r="K14051" i="2"/>
  <c r="L14051" i="2"/>
  <c r="C14052" i="2"/>
  <c r="D14052" i="2"/>
  <c r="F14052" i="2"/>
  <c r="G14052" i="2"/>
  <c r="H14052" i="2"/>
  <c r="J14052" i="2"/>
  <c r="K14052" i="2"/>
  <c r="L14052" i="2"/>
  <c r="C14053" i="2"/>
  <c r="D14053" i="2"/>
  <c r="F14053" i="2"/>
  <c r="G14053" i="2"/>
  <c r="H14053" i="2"/>
  <c r="J14053" i="2"/>
  <c r="K14053" i="2"/>
  <c r="L14053" i="2"/>
  <c r="C14054" i="2"/>
  <c r="D14054" i="2"/>
  <c r="F14054" i="2"/>
  <c r="G14054" i="2"/>
  <c r="H14054" i="2"/>
  <c r="J14054" i="2"/>
  <c r="K14054" i="2"/>
  <c r="L14054" i="2"/>
  <c r="C14055" i="2"/>
  <c r="D14055" i="2"/>
  <c r="F14055" i="2"/>
  <c r="G14055" i="2"/>
  <c r="H14055" i="2"/>
  <c r="J14055" i="2"/>
  <c r="K14055" i="2"/>
  <c r="L14055" i="2"/>
  <c r="C14056" i="2"/>
  <c r="D14056" i="2"/>
  <c r="F14056" i="2"/>
  <c r="G14056" i="2"/>
  <c r="H14056" i="2"/>
  <c r="J14056" i="2"/>
  <c r="K14056" i="2"/>
  <c r="L14056" i="2"/>
  <c r="C14057" i="2"/>
  <c r="D14057" i="2"/>
  <c r="F14057" i="2"/>
  <c r="G14057" i="2"/>
  <c r="H14057" i="2"/>
  <c r="J14057" i="2"/>
  <c r="K14057" i="2"/>
  <c r="L14057" i="2"/>
  <c r="C14058" i="2"/>
  <c r="D14058" i="2"/>
  <c r="F14058" i="2"/>
  <c r="G14058" i="2"/>
  <c r="H14058" i="2"/>
  <c r="J14058" i="2"/>
  <c r="K14058" i="2"/>
  <c r="L14058" i="2"/>
  <c r="C14059" i="2"/>
  <c r="D14059" i="2"/>
  <c r="F14059" i="2"/>
  <c r="G14059" i="2"/>
  <c r="H14059" i="2"/>
  <c r="J14059" i="2"/>
  <c r="K14059" i="2"/>
  <c r="L14059" i="2"/>
  <c r="C14060" i="2"/>
  <c r="D14060" i="2"/>
  <c r="F14060" i="2"/>
  <c r="G14060" i="2"/>
  <c r="H14060" i="2"/>
  <c r="J14060" i="2"/>
  <c r="K14060" i="2"/>
  <c r="L14060" i="2"/>
  <c r="C14061" i="2"/>
  <c r="D14061" i="2"/>
  <c r="F14061" i="2"/>
  <c r="G14061" i="2"/>
  <c r="H14061" i="2"/>
  <c r="J14061" i="2"/>
  <c r="K14061" i="2"/>
  <c r="L14061" i="2"/>
  <c r="C14062" i="2"/>
  <c r="D14062" i="2"/>
  <c r="F14062" i="2"/>
  <c r="G14062" i="2"/>
  <c r="H14062" i="2"/>
  <c r="J14062" i="2"/>
  <c r="K14062" i="2"/>
  <c r="L14062" i="2"/>
  <c r="C14063" i="2"/>
  <c r="D14063" i="2"/>
  <c r="F14063" i="2"/>
  <c r="G14063" i="2"/>
  <c r="H14063" i="2"/>
  <c r="J14063" i="2"/>
  <c r="K14063" i="2"/>
  <c r="L14063" i="2"/>
  <c r="C14064" i="2"/>
  <c r="D14064" i="2"/>
  <c r="F14064" i="2"/>
  <c r="G14064" i="2"/>
  <c r="H14064" i="2"/>
  <c r="J14064" i="2"/>
  <c r="K14064" i="2"/>
  <c r="L14064" i="2"/>
  <c r="C14065" i="2"/>
  <c r="D14065" i="2"/>
  <c r="F14065" i="2"/>
  <c r="G14065" i="2"/>
  <c r="H14065" i="2"/>
  <c r="J14065" i="2"/>
  <c r="K14065" i="2"/>
  <c r="L14065" i="2"/>
  <c r="C14066" i="2"/>
  <c r="D14066" i="2"/>
  <c r="F14066" i="2"/>
  <c r="G14066" i="2"/>
  <c r="H14066" i="2"/>
  <c r="J14066" i="2"/>
  <c r="K14066" i="2"/>
  <c r="L14066" i="2"/>
  <c r="C14067" i="2"/>
  <c r="D14067" i="2"/>
  <c r="F14067" i="2"/>
  <c r="G14067" i="2"/>
  <c r="H14067" i="2"/>
  <c r="J14067" i="2"/>
  <c r="K14067" i="2"/>
  <c r="L14067" i="2"/>
  <c r="C14068" i="2"/>
  <c r="D14068" i="2"/>
  <c r="F14068" i="2"/>
  <c r="G14068" i="2"/>
  <c r="H14068" i="2"/>
  <c r="J14068" i="2"/>
  <c r="K14068" i="2"/>
  <c r="L14068" i="2"/>
  <c r="C14069" i="2"/>
  <c r="D14069" i="2"/>
  <c r="F14069" i="2"/>
  <c r="G14069" i="2"/>
  <c r="H14069" i="2"/>
  <c r="J14069" i="2"/>
  <c r="K14069" i="2"/>
  <c r="L14069" i="2"/>
  <c r="C14070" i="2"/>
  <c r="D14070" i="2"/>
  <c r="F14070" i="2"/>
  <c r="G14070" i="2"/>
  <c r="H14070" i="2"/>
  <c r="J14070" i="2"/>
  <c r="K14070" i="2"/>
  <c r="L14070" i="2"/>
  <c r="C14071" i="2"/>
  <c r="D14071" i="2"/>
  <c r="F14071" i="2"/>
  <c r="G14071" i="2"/>
  <c r="H14071" i="2"/>
  <c r="J14071" i="2"/>
  <c r="K14071" i="2"/>
  <c r="L14071" i="2"/>
  <c r="C14072" i="2"/>
  <c r="D14072" i="2"/>
  <c r="F14072" i="2"/>
  <c r="G14072" i="2"/>
  <c r="H14072" i="2"/>
  <c r="J14072" i="2"/>
  <c r="K14072" i="2"/>
  <c r="L14072" i="2"/>
  <c r="C14073" i="2"/>
  <c r="D14073" i="2"/>
  <c r="F14073" i="2"/>
  <c r="G14073" i="2"/>
  <c r="H14073" i="2"/>
  <c r="J14073" i="2"/>
  <c r="K14073" i="2"/>
  <c r="L14073" i="2"/>
  <c r="C14074" i="2"/>
  <c r="D14074" i="2"/>
  <c r="F14074" i="2"/>
  <c r="G14074" i="2"/>
  <c r="H14074" i="2"/>
  <c r="J14074" i="2"/>
  <c r="K14074" i="2"/>
  <c r="L14074" i="2"/>
  <c r="C14075" i="2"/>
  <c r="D14075" i="2"/>
  <c r="F14075" i="2"/>
  <c r="G14075" i="2"/>
  <c r="H14075" i="2"/>
  <c r="J14075" i="2"/>
  <c r="K14075" i="2"/>
  <c r="L14075" i="2"/>
  <c r="C14076" i="2"/>
  <c r="D14076" i="2"/>
  <c r="F14076" i="2"/>
  <c r="G14076" i="2"/>
  <c r="H14076" i="2"/>
  <c r="J14076" i="2"/>
  <c r="K14076" i="2"/>
  <c r="L14076" i="2"/>
  <c r="C14077" i="2"/>
  <c r="D14077" i="2"/>
  <c r="F14077" i="2"/>
  <c r="G14077" i="2"/>
  <c r="H14077" i="2"/>
  <c r="J14077" i="2"/>
  <c r="K14077" i="2"/>
  <c r="L14077" i="2"/>
  <c r="C14078" i="2"/>
  <c r="D14078" i="2"/>
  <c r="F14078" i="2"/>
  <c r="G14078" i="2"/>
  <c r="H14078" i="2"/>
  <c r="J14078" i="2"/>
  <c r="K14078" i="2"/>
  <c r="L14078" i="2"/>
  <c r="C14079" i="2"/>
  <c r="D14079" i="2"/>
  <c r="F14079" i="2"/>
  <c r="G14079" i="2"/>
  <c r="H14079" i="2"/>
  <c r="J14079" i="2"/>
  <c r="K14079" i="2"/>
  <c r="L14079" i="2"/>
  <c r="C14080" i="2"/>
  <c r="D14080" i="2"/>
  <c r="F14080" i="2"/>
  <c r="G14080" i="2"/>
  <c r="H14080" i="2"/>
  <c r="J14080" i="2"/>
  <c r="K14080" i="2"/>
  <c r="L14080" i="2"/>
  <c r="C14081" i="2"/>
  <c r="D14081" i="2"/>
  <c r="F14081" i="2"/>
  <c r="G14081" i="2"/>
  <c r="H14081" i="2"/>
  <c r="J14081" i="2"/>
  <c r="K14081" i="2"/>
  <c r="L14081" i="2"/>
  <c r="C14082" i="2"/>
  <c r="D14082" i="2"/>
  <c r="F14082" i="2"/>
  <c r="G14082" i="2"/>
  <c r="H14082" i="2"/>
  <c r="J14082" i="2"/>
  <c r="K14082" i="2"/>
  <c r="L14082" i="2"/>
  <c r="C14083" i="2"/>
  <c r="D14083" i="2"/>
  <c r="F14083" i="2"/>
  <c r="G14083" i="2"/>
  <c r="H14083" i="2"/>
  <c r="J14083" i="2"/>
  <c r="K14083" i="2"/>
  <c r="L14083" i="2"/>
  <c r="C14084" i="2"/>
  <c r="D14084" i="2"/>
  <c r="F14084" i="2"/>
  <c r="G14084" i="2"/>
  <c r="H14084" i="2"/>
  <c r="J14084" i="2"/>
  <c r="K14084" i="2"/>
  <c r="L14084" i="2"/>
  <c r="C14085" i="2"/>
  <c r="D14085" i="2"/>
  <c r="F14085" i="2"/>
  <c r="G14085" i="2"/>
  <c r="H14085" i="2"/>
  <c r="J14085" i="2"/>
  <c r="K14085" i="2"/>
  <c r="L14085" i="2"/>
  <c r="C14086" i="2"/>
  <c r="D14086" i="2"/>
  <c r="F14086" i="2"/>
  <c r="G14086" i="2"/>
  <c r="H14086" i="2"/>
  <c r="J14086" i="2"/>
  <c r="K14086" i="2"/>
  <c r="L14086" i="2"/>
  <c r="C14087" i="2"/>
  <c r="D14087" i="2"/>
  <c r="F14087" i="2"/>
  <c r="G14087" i="2"/>
  <c r="H14087" i="2"/>
  <c r="J14087" i="2"/>
  <c r="K14087" i="2"/>
  <c r="L14087" i="2"/>
  <c r="C14088" i="2"/>
  <c r="D14088" i="2"/>
  <c r="F14088" i="2"/>
  <c r="G14088" i="2"/>
  <c r="H14088" i="2"/>
  <c r="J14088" i="2"/>
  <c r="K14088" i="2"/>
  <c r="L14088" i="2"/>
  <c r="C14089" i="2"/>
  <c r="D14089" i="2"/>
  <c r="F14089" i="2"/>
  <c r="G14089" i="2"/>
  <c r="H14089" i="2"/>
  <c r="J14089" i="2"/>
  <c r="K14089" i="2"/>
  <c r="L14089" i="2"/>
  <c r="C14090" i="2"/>
  <c r="D14090" i="2"/>
  <c r="F14090" i="2"/>
  <c r="G14090" i="2"/>
  <c r="H14090" i="2"/>
  <c r="J14090" i="2"/>
  <c r="K14090" i="2"/>
  <c r="L14090" i="2"/>
  <c r="C14091" i="2"/>
  <c r="D14091" i="2"/>
  <c r="F14091" i="2"/>
  <c r="G14091" i="2"/>
  <c r="H14091" i="2"/>
  <c r="J14091" i="2"/>
  <c r="K14091" i="2"/>
  <c r="L14091" i="2"/>
  <c r="C14092" i="2"/>
  <c r="D14092" i="2"/>
  <c r="F14092" i="2"/>
  <c r="G14092" i="2"/>
  <c r="H14092" i="2"/>
  <c r="J14092" i="2"/>
  <c r="K14092" i="2"/>
  <c r="L14092" i="2"/>
  <c r="C14093" i="2"/>
  <c r="D14093" i="2"/>
  <c r="F14093" i="2"/>
  <c r="G14093" i="2"/>
  <c r="H14093" i="2"/>
  <c r="J14093" i="2"/>
  <c r="K14093" i="2"/>
  <c r="L14093" i="2"/>
  <c r="C14094" i="2"/>
  <c r="D14094" i="2"/>
  <c r="F14094" i="2"/>
  <c r="G14094" i="2"/>
  <c r="H14094" i="2"/>
  <c r="J14094" i="2"/>
  <c r="K14094" i="2"/>
  <c r="L14094" i="2"/>
  <c r="C14095" i="2"/>
  <c r="D14095" i="2"/>
  <c r="F14095" i="2"/>
  <c r="G14095" i="2"/>
  <c r="H14095" i="2"/>
  <c r="J14095" i="2"/>
  <c r="K14095" i="2"/>
  <c r="L14095" i="2"/>
  <c r="C14096" i="2"/>
  <c r="D14096" i="2"/>
  <c r="F14096" i="2"/>
  <c r="G14096" i="2"/>
  <c r="H14096" i="2"/>
  <c r="J14096" i="2"/>
  <c r="K14096" i="2"/>
  <c r="L14096" i="2"/>
  <c r="C14097" i="2"/>
  <c r="D14097" i="2"/>
  <c r="F14097" i="2"/>
  <c r="G14097" i="2"/>
  <c r="H14097" i="2"/>
  <c r="J14097" i="2"/>
  <c r="K14097" i="2"/>
  <c r="L14097" i="2"/>
  <c r="C14098" i="2"/>
  <c r="D14098" i="2"/>
  <c r="F14098" i="2"/>
  <c r="G14098" i="2"/>
  <c r="H14098" i="2"/>
  <c r="J14098" i="2"/>
  <c r="K14098" i="2"/>
  <c r="L14098" i="2"/>
  <c r="C14099" i="2"/>
  <c r="D14099" i="2"/>
  <c r="F14099" i="2"/>
  <c r="G14099" i="2"/>
  <c r="H14099" i="2"/>
  <c r="J14099" i="2"/>
  <c r="K14099" i="2"/>
  <c r="L14099" i="2"/>
  <c r="C14100" i="2"/>
  <c r="D14100" i="2"/>
  <c r="F14100" i="2"/>
  <c r="G14100" i="2"/>
  <c r="H14100" i="2"/>
  <c r="J14100" i="2"/>
  <c r="K14100" i="2"/>
  <c r="L14100" i="2"/>
  <c r="C14101" i="2"/>
  <c r="D14101" i="2"/>
  <c r="F14101" i="2"/>
  <c r="G14101" i="2"/>
  <c r="H14101" i="2"/>
  <c r="J14101" i="2"/>
  <c r="K14101" i="2"/>
  <c r="L14101" i="2"/>
  <c r="C14102" i="2"/>
  <c r="D14102" i="2"/>
  <c r="F14102" i="2"/>
  <c r="G14102" i="2"/>
  <c r="H14102" i="2"/>
  <c r="J14102" i="2"/>
  <c r="K14102" i="2"/>
  <c r="L14102" i="2"/>
  <c r="C14103" i="2"/>
  <c r="D14103" i="2"/>
  <c r="F14103" i="2"/>
  <c r="G14103" i="2"/>
  <c r="H14103" i="2"/>
  <c r="J14103" i="2"/>
  <c r="K14103" i="2"/>
  <c r="L14103" i="2"/>
  <c r="C14104" i="2"/>
  <c r="D14104" i="2"/>
  <c r="F14104" i="2"/>
  <c r="G14104" i="2"/>
  <c r="H14104" i="2"/>
  <c r="J14104" i="2"/>
  <c r="K14104" i="2"/>
  <c r="L14104" i="2"/>
  <c r="C14105" i="2"/>
  <c r="D14105" i="2"/>
  <c r="F14105" i="2"/>
  <c r="G14105" i="2"/>
  <c r="H14105" i="2"/>
  <c r="J14105" i="2"/>
  <c r="K14105" i="2"/>
  <c r="L14105" i="2"/>
  <c r="C14106" i="2"/>
  <c r="D14106" i="2"/>
  <c r="F14106" i="2"/>
  <c r="G14106" i="2"/>
  <c r="H14106" i="2"/>
  <c r="J14106" i="2"/>
  <c r="K14106" i="2"/>
  <c r="L14106" i="2"/>
  <c r="C14107" i="2"/>
  <c r="D14107" i="2"/>
  <c r="F14107" i="2"/>
  <c r="G14107" i="2"/>
  <c r="H14107" i="2"/>
  <c r="J14107" i="2"/>
  <c r="K14107" i="2"/>
  <c r="L14107" i="2"/>
  <c r="C14108" i="2"/>
  <c r="D14108" i="2"/>
  <c r="F14108" i="2"/>
  <c r="G14108" i="2"/>
  <c r="H14108" i="2"/>
  <c r="J14108" i="2"/>
  <c r="K14108" i="2"/>
  <c r="L14108" i="2"/>
  <c r="C14109" i="2"/>
  <c r="D14109" i="2"/>
  <c r="F14109" i="2"/>
  <c r="G14109" i="2"/>
  <c r="H14109" i="2"/>
  <c r="J14109" i="2"/>
  <c r="K14109" i="2"/>
  <c r="L14109" i="2"/>
  <c r="C14110" i="2"/>
  <c r="D14110" i="2"/>
  <c r="F14110" i="2"/>
  <c r="G14110" i="2"/>
  <c r="H14110" i="2"/>
  <c r="J14110" i="2"/>
  <c r="K14110" i="2"/>
  <c r="L14110" i="2"/>
  <c r="C14111" i="2"/>
  <c r="D14111" i="2"/>
  <c r="F14111" i="2"/>
  <c r="G14111" i="2"/>
  <c r="H14111" i="2"/>
  <c r="J14111" i="2"/>
  <c r="K14111" i="2"/>
  <c r="L14111" i="2"/>
  <c r="C14112" i="2"/>
  <c r="D14112" i="2"/>
  <c r="F14112" i="2"/>
  <c r="G14112" i="2"/>
  <c r="H14112" i="2"/>
  <c r="J14112" i="2"/>
  <c r="K14112" i="2"/>
  <c r="L14112" i="2"/>
  <c r="C14113" i="2"/>
  <c r="D14113" i="2"/>
  <c r="F14113" i="2"/>
  <c r="G14113" i="2"/>
  <c r="H14113" i="2"/>
  <c r="J14113" i="2"/>
  <c r="K14113" i="2"/>
  <c r="L14113" i="2"/>
  <c r="C14114" i="2"/>
  <c r="D14114" i="2"/>
  <c r="F14114" i="2"/>
  <c r="G14114" i="2"/>
  <c r="H14114" i="2"/>
  <c r="J14114" i="2"/>
  <c r="K14114" i="2"/>
  <c r="L14114" i="2"/>
  <c r="C14115" i="2"/>
  <c r="D14115" i="2"/>
  <c r="F14115" i="2"/>
  <c r="G14115" i="2"/>
  <c r="H14115" i="2"/>
  <c r="J14115" i="2"/>
  <c r="K14115" i="2"/>
  <c r="L14115" i="2"/>
  <c r="C14116" i="2"/>
  <c r="D14116" i="2"/>
  <c r="F14116" i="2"/>
  <c r="G14116" i="2"/>
  <c r="H14116" i="2"/>
  <c r="J14116" i="2"/>
  <c r="K14116" i="2"/>
  <c r="L14116" i="2"/>
  <c r="C14117" i="2"/>
  <c r="D14117" i="2"/>
  <c r="F14117" i="2"/>
  <c r="G14117" i="2"/>
  <c r="H14117" i="2"/>
  <c r="J14117" i="2"/>
  <c r="K14117" i="2"/>
  <c r="L14117" i="2"/>
  <c r="C14118" i="2"/>
  <c r="D14118" i="2"/>
  <c r="F14118" i="2"/>
  <c r="G14118" i="2"/>
  <c r="H14118" i="2"/>
  <c r="J14118" i="2"/>
  <c r="K14118" i="2"/>
  <c r="L14118" i="2"/>
  <c r="C14119" i="2"/>
  <c r="D14119" i="2"/>
  <c r="F14119" i="2"/>
  <c r="G14119" i="2"/>
  <c r="H14119" i="2"/>
  <c r="J14119" i="2"/>
  <c r="K14119" i="2"/>
  <c r="L14119" i="2"/>
  <c r="C14120" i="2"/>
  <c r="D14120" i="2"/>
  <c r="F14120" i="2"/>
  <c r="G14120" i="2"/>
  <c r="H14120" i="2"/>
  <c r="J14120" i="2"/>
  <c r="K14120" i="2"/>
  <c r="L14120" i="2"/>
  <c r="C14121" i="2"/>
  <c r="D14121" i="2"/>
  <c r="F14121" i="2"/>
  <c r="G14121" i="2"/>
  <c r="H14121" i="2"/>
  <c r="J14121" i="2"/>
  <c r="K14121" i="2"/>
  <c r="L14121" i="2"/>
  <c r="C14122" i="2"/>
  <c r="D14122" i="2"/>
  <c r="F14122" i="2"/>
  <c r="G14122" i="2"/>
  <c r="H14122" i="2"/>
  <c r="J14122" i="2"/>
  <c r="K14122" i="2"/>
  <c r="L14122" i="2"/>
  <c r="C14123" i="2"/>
  <c r="D14123" i="2"/>
  <c r="F14123" i="2"/>
  <c r="G14123" i="2"/>
  <c r="H14123" i="2"/>
  <c r="J14123" i="2"/>
  <c r="K14123" i="2"/>
  <c r="L14123" i="2"/>
  <c r="C14124" i="2"/>
  <c r="D14124" i="2"/>
  <c r="F14124" i="2"/>
  <c r="G14124" i="2"/>
  <c r="H14124" i="2"/>
  <c r="J14124" i="2"/>
  <c r="K14124" i="2"/>
  <c r="L14124" i="2"/>
  <c r="C14125" i="2"/>
  <c r="D14125" i="2"/>
  <c r="F14125" i="2"/>
  <c r="G14125" i="2"/>
  <c r="H14125" i="2"/>
  <c r="J14125" i="2"/>
  <c r="K14125" i="2"/>
  <c r="L14125" i="2"/>
  <c r="C14126" i="2"/>
  <c r="D14126" i="2"/>
  <c r="F14126" i="2"/>
  <c r="G14126" i="2"/>
  <c r="H14126" i="2"/>
  <c r="J14126" i="2"/>
  <c r="K14126" i="2"/>
  <c r="L14126" i="2"/>
  <c r="C14127" i="2"/>
  <c r="D14127" i="2"/>
  <c r="F14127" i="2"/>
  <c r="G14127" i="2"/>
  <c r="H14127" i="2"/>
  <c r="J14127" i="2"/>
  <c r="K14127" i="2"/>
  <c r="L14127" i="2"/>
  <c r="C14128" i="2"/>
  <c r="D14128" i="2"/>
  <c r="F14128" i="2"/>
  <c r="G14128" i="2"/>
  <c r="H14128" i="2"/>
  <c r="J14128" i="2"/>
  <c r="K14128" i="2"/>
  <c r="L14128" i="2"/>
  <c r="C14129" i="2"/>
  <c r="D14129" i="2"/>
  <c r="F14129" i="2"/>
  <c r="G14129" i="2"/>
  <c r="H14129" i="2"/>
  <c r="J14129" i="2"/>
  <c r="K14129" i="2"/>
  <c r="L14129" i="2"/>
  <c r="C14130" i="2"/>
  <c r="D14130" i="2"/>
  <c r="F14130" i="2"/>
  <c r="G14130" i="2"/>
  <c r="H14130" i="2"/>
  <c r="J14130" i="2"/>
  <c r="K14130" i="2"/>
  <c r="L14130" i="2"/>
  <c r="C14131" i="2"/>
  <c r="D14131" i="2"/>
  <c r="F14131" i="2"/>
  <c r="G14131" i="2"/>
  <c r="H14131" i="2"/>
  <c r="J14131" i="2"/>
  <c r="K14131" i="2"/>
  <c r="L14131" i="2"/>
  <c r="C14132" i="2"/>
  <c r="D14132" i="2"/>
  <c r="F14132" i="2"/>
  <c r="G14132" i="2"/>
  <c r="H14132" i="2"/>
  <c r="J14132" i="2"/>
  <c r="K14132" i="2"/>
  <c r="L14132" i="2"/>
  <c r="C14133" i="2"/>
  <c r="D14133" i="2"/>
  <c r="F14133" i="2"/>
  <c r="G14133" i="2"/>
  <c r="H14133" i="2"/>
  <c r="J14133" i="2"/>
  <c r="K14133" i="2"/>
  <c r="L14133" i="2"/>
  <c r="C14134" i="2"/>
  <c r="D14134" i="2"/>
  <c r="F14134" i="2"/>
  <c r="G14134" i="2"/>
  <c r="H14134" i="2"/>
  <c r="J14134" i="2"/>
  <c r="K14134" i="2"/>
  <c r="L14134" i="2"/>
  <c r="C14135" i="2"/>
  <c r="D14135" i="2"/>
  <c r="F14135" i="2"/>
  <c r="G14135" i="2"/>
  <c r="H14135" i="2"/>
  <c r="J14135" i="2"/>
  <c r="K14135" i="2"/>
  <c r="L14135" i="2"/>
  <c r="C14136" i="2"/>
  <c r="D14136" i="2"/>
  <c r="F14136" i="2"/>
  <c r="G14136" i="2"/>
  <c r="H14136" i="2"/>
  <c r="J14136" i="2"/>
  <c r="K14136" i="2"/>
  <c r="L14136" i="2"/>
  <c r="C14137" i="2"/>
  <c r="D14137" i="2"/>
  <c r="F14137" i="2"/>
  <c r="G14137" i="2"/>
  <c r="H14137" i="2"/>
  <c r="J14137" i="2"/>
  <c r="K14137" i="2"/>
  <c r="L14137" i="2"/>
  <c r="C14138" i="2"/>
  <c r="D14138" i="2"/>
  <c r="F14138" i="2"/>
  <c r="G14138" i="2"/>
  <c r="H14138" i="2"/>
  <c r="J14138" i="2"/>
  <c r="K14138" i="2"/>
  <c r="L14138" i="2"/>
  <c r="C14139" i="2"/>
  <c r="D14139" i="2"/>
  <c r="F14139" i="2"/>
  <c r="G14139" i="2"/>
  <c r="H14139" i="2"/>
  <c r="J14139" i="2"/>
  <c r="K14139" i="2"/>
  <c r="L14139" i="2"/>
  <c r="C14140" i="2"/>
  <c r="D14140" i="2"/>
  <c r="F14140" i="2"/>
  <c r="G14140" i="2"/>
  <c r="H14140" i="2"/>
  <c r="J14140" i="2"/>
  <c r="K14140" i="2"/>
  <c r="L14140" i="2"/>
  <c r="C14141" i="2"/>
  <c r="D14141" i="2"/>
  <c r="F14141" i="2"/>
  <c r="G14141" i="2"/>
  <c r="H14141" i="2"/>
  <c r="J14141" i="2"/>
  <c r="K14141" i="2"/>
  <c r="L14141" i="2"/>
  <c r="C14142" i="2"/>
  <c r="D14142" i="2"/>
  <c r="F14142" i="2"/>
  <c r="G14142" i="2"/>
  <c r="H14142" i="2"/>
  <c r="J14142" i="2"/>
  <c r="K14142" i="2"/>
  <c r="L14142" i="2"/>
  <c r="C14143" i="2"/>
  <c r="D14143" i="2"/>
  <c r="F14143" i="2"/>
  <c r="G14143" i="2"/>
  <c r="H14143" i="2"/>
  <c r="J14143" i="2"/>
  <c r="K14143" i="2"/>
  <c r="L14143" i="2"/>
  <c r="C14144" i="2"/>
  <c r="D14144" i="2"/>
  <c r="F14144" i="2"/>
  <c r="G14144" i="2"/>
  <c r="H14144" i="2"/>
  <c r="J14144" i="2"/>
  <c r="K14144" i="2"/>
  <c r="L14144" i="2"/>
  <c r="C14145" i="2"/>
  <c r="D14145" i="2"/>
  <c r="F14145" i="2"/>
  <c r="G14145" i="2"/>
  <c r="H14145" i="2"/>
  <c r="J14145" i="2"/>
  <c r="K14145" i="2"/>
  <c r="L14145" i="2"/>
  <c r="C14146" i="2"/>
  <c r="D14146" i="2"/>
  <c r="F14146" i="2"/>
  <c r="G14146" i="2"/>
  <c r="H14146" i="2"/>
  <c r="J14146" i="2"/>
  <c r="K14146" i="2"/>
  <c r="L14146" i="2"/>
  <c r="C14147" i="2"/>
  <c r="D14147" i="2"/>
  <c r="F14147" i="2"/>
  <c r="G14147" i="2"/>
  <c r="H14147" i="2"/>
  <c r="J14147" i="2"/>
  <c r="K14147" i="2"/>
  <c r="L14147" i="2"/>
  <c r="C14148" i="2"/>
  <c r="D14148" i="2"/>
  <c r="F14148" i="2"/>
  <c r="G14148" i="2"/>
  <c r="H14148" i="2"/>
  <c r="J14148" i="2"/>
  <c r="K14148" i="2"/>
  <c r="L14148" i="2"/>
  <c r="C14149" i="2"/>
  <c r="D14149" i="2"/>
  <c r="F14149" i="2"/>
  <c r="G14149" i="2"/>
  <c r="H14149" i="2"/>
  <c r="J14149" i="2"/>
  <c r="K14149" i="2"/>
  <c r="L14149" i="2"/>
  <c r="C14150" i="2"/>
  <c r="D14150" i="2"/>
  <c r="F14150" i="2"/>
  <c r="G14150" i="2"/>
  <c r="H14150" i="2"/>
  <c r="J14150" i="2"/>
  <c r="K14150" i="2"/>
  <c r="L14150" i="2"/>
  <c r="C14151" i="2"/>
  <c r="D14151" i="2"/>
  <c r="F14151" i="2"/>
  <c r="G14151" i="2"/>
  <c r="H14151" i="2"/>
  <c r="J14151" i="2"/>
  <c r="K14151" i="2"/>
  <c r="L14151" i="2"/>
  <c r="C14152" i="2"/>
  <c r="D14152" i="2"/>
  <c r="F14152" i="2"/>
  <c r="G14152" i="2"/>
  <c r="H14152" i="2"/>
  <c r="J14152" i="2"/>
  <c r="K14152" i="2"/>
  <c r="L14152" i="2"/>
  <c r="C14153" i="2"/>
  <c r="D14153" i="2"/>
  <c r="F14153" i="2"/>
  <c r="G14153" i="2"/>
  <c r="H14153" i="2"/>
  <c r="J14153" i="2"/>
  <c r="K14153" i="2"/>
  <c r="L14153" i="2"/>
  <c r="C14154" i="2"/>
  <c r="D14154" i="2"/>
  <c r="F14154" i="2"/>
  <c r="G14154" i="2"/>
  <c r="H14154" i="2"/>
  <c r="J14154" i="2"/>
  <c r="K14154" i="2"/>
  <c r="L14154" i="2"/>
  <c r="C14155" i="2"/>
  <c r="D14155" i="2"/>
  <c r="F14155" i="2"/>
  <c r="G14155" i="2"/>
  <c r="H14155" i="2"/>
  <c r="J14155" i="2"/>
  <c r="K14155" i="2"/>
  <c r="L14155" i="2"/>
  <c r="C14156" i="2"/>
  <c r="D14156" i="2"/>
  <c r="F14156" i="2"/>
  <c r="G14156" i="2"/>
  <c r="H14156" i="2"/>
  <c r="J14156" i="2"/>
  <c r="K14156" i="2"/>
  <c r="L14156" i="2"/>
  <c r="C14157" i="2"/>
  <c r="D14157" i="2"/>
  <c r="F14157" i="2"/>
  <c r="G14157" i="2"/>
  <c r="H14157" i="2"/>
  <c r="J14157" i="2"/>
  <c r="K14157" i="2"/>
  <c r="L14157" i="2"/>
  <c r="C14158" i="2"/>
  <c r="D14158" i="2"/>
  <c r="F14158" i="2"/>
  <c r="G14158" i="2"/>
  <c r="H14158" i="2"/>
  <c r="J14158" i="2"/>
  <c r="K14158" i="2"/>
  <c r="L14158" i="2"/>
  <c r="C14159" i="2"/>
  <c r="D14159" i="2"/>
  <c r="F14159" i="2"/>
  <c r="G14159" i="2"/>
  <c r="H14159" i="2"/>
  <c r="J14159" i="2"/>
  <c r="K14159" i="2"/>
  <c r="L14159" i="2"/>
  <c r="C14160" i="2"/>
  <c r="D14160" i="2"/>
  <c r="F14160" i="2"/>
  <c r="G14160" i="2"/>
  <c r="H14160" i="2"/>
  <c r="J14160" i="2"/>
  <c r="K14160" i="2"/>
  <c r="L14160" i="2"/>
  <c r="C14161" i="2"/>
  <c r="D14161" i="2"/>
  <c r="F14161" i="2"/>
  <c r="G14161" i="2"/>
  <c r="H14161" i="2"/>
  <c r="J14161" i="2"/>
  <c r="K14161" i="2"/>
  <c r="L14161" i="2"/>
  <c r="C14162" i="2"/>
  <c r="D14162" i="2"/>
  <c r="F14162" i="2"/>
  <c r="G14162" i="2"/>
  <c r="H14162" i="2"/>
  <c r="J14162" i="2"/>
  <c r="K14162" i="2"/>
  <c r="L14162" i="2"/>
  <c r="C14163" i="2"/>
  <c r="D14163" i="2"/>
  <c r="F14163" i="2"/>
  <c r="G14163" i="2"/>
  <c r="H14163" i="2"/>
  <c r="J14163" i="2"/>
  <c r="K14163" i="2"/>
  <c r="L14163" i="2"/>
  <c r="C14164" i="2"/>
  <c r="D14164" i="2"/>
  <c r="F14164" i="2"/>
  <c r="G14164" i="2"/>
  <c r="H14164" i="2"/>
  <c r="J14164" i="2"/>
  <c r="K14164" i="2"/>
  <c r="L14164" i="2"/>
  <c r="C14165" i="2"/>
  <c r="D14165" i="2"/>
  <c r="F14165" i="2"/>
  <c r="G14165" i="2"/>
  <c r="H14165" i="2"/>
  <c r="J14165" i="2"/>
  <c r="K14165" i="2"/>
  <c r="L14165" i="2"/>
  <c r="C14166" i="2"/>
  <c r="D14166" i="2"/>
  <c r="F14166" i="2"/>
  <c r="G14166" i="2"/>
  <c r="H14166" i="2"/>
  <c r="J14166" i="2"/>
  <c r="K14166" i="2"/>
  <c r="L14166" i="2"/>
  <c r="C14167" i="2"/>
  <c r="D14167" i="2"/>
  <c r="F14167" i="2"/>
  <c r="G14167" i="2"/>
  <c r="H14167" i="2"/>
  <c r="J14167" i="2"/>
  <c r="K14167" i="2"/>
  <c r="L14167" i="2"/>
  <c r="C14168" i="2"/>
  <c r="D14168" i="2"/>
  <c r="F14168" i="2"/>
  <c r="G14168" i="2"/>
  <c r="H14168" i="2"/>
  <c r="J14168" i="2"/>
  <c r="K14168" i="2"/>
  <c r="L14168" i="2"/>
  <c r="C14169" i="2"/>
  <c r="D14169" i="2"/>
  <c r="F14169" i="2"/>
  <c r="G14169" i="2"/>
  <c r="H14169" i="2"/>
  <c r="J14169" i="2"/>
  <c r="K14169" i="2"/>
  <c r="L14169" i="2"/>
  <c r="C14170" i="2"/>
  <c r="D14170" i="2"/>
  <c r="F14170" i="2"/>
  <c r="G14170" i="2"/>
  <c r="H14170" i="2"/>
  <c r="J14170" i="2"/>
  <c r="K14170" i="2"/>
  <c r="L14170" i="2"/>
  <c r="C14171" i="2"/>
  <c r="D14171" i="2"/>
  <c r="F14171" i="2"/>
  <c r="G14171" i="2"/>
  <c r="H14171" i="2"/>
  <c r="J14171" i="2"/>
  <c r="K14171" i="2"/>
  <c r="L14171" i="2"/>
  <c r="C14172" i="2"/>
  <c r="D14172" i="2"/>
  <c r="F14172" i="2"/>
  <c r="G14172" i="2"/>
  <c r="H14172" i="2"/>
  <c r="J14172" i="2"/>
  <c r="K14172" i="2"/>
  <c r="L14172" i="2"/>
  <c r="C14173" i="2"/>
  <c r="D14173" i="2"/>
  <c r="F14173" i="2"/>
  <c r="G14173" i="2"/>
  <c r="H14173" i="2"/>
  <c r="J14173" i="2"/>
  <c r="K14173" i="2"/>
  <c r="L14173" i="2"/>
  <c r="C14174" i="2"/>
  <c r="D14174" i="2"/>
  <c r="F14174" i="2"/>
  <c r="G14174" i="2"/>
  <c r="H14174" i="2"/>
  <c r="J14174" i="2"/>
  <c r="K14174" i="2"/>
  <c r="L14174" i="2"/>
  <c r="C14175" i="2"/>
  <c r="D14175" i="2"/>
  <c r="F14175" i="2"/>
  <c r="G14175" i="2"/>
  <c r="H14175" i="2"/>
  <c r="J14175" i="2"/>
  <c r="K14175" i="2"/>
  <c r="L14175" i="2"/>
  <c r="C14176" i="2"/>
  <c r="D14176" i="2"/>
  <c r="F14176" i="2"/>
  <c r="G14176" i="2"/>
  <c r="H14176" i="2"/>
  <c r="J14176" i="2"/>
  <c r="K14176" i="2"/>
  <c r="L14176" i="2"/>
  <c r="C14177" i="2"/>
  <c r="D14177" i="2"/>
  <c r="F14177" i="2"/>
  <c r="G14177" i="2"/>
  <c r="H14177" i="2"/>
  <c r="J14177" i="2"/>
  <c r="K14177" i="2"/>
  <c r="L14177" i="2"/>
  <c r="C14178" i="2"/>
  <c r="D14178" i="2"/>
  <c r="F14178" i="2"/>
  <c r="G14178" i="2"/>
  <c r="H14178" i="2"/>
  <c r="J14178" i="2"/>
  <c r="K14178" i="2"/>
  <c r="L14178" i="2"/>
  <c r="C14179" i="2"/>
  <c r="D14179" i="2"/>
  <c r="F14179" i="2"/>
  <c r="G14179" i="2"/>
  <c r="H14179" i="2"/>
  <c r="J14179" i="2"/>
  <c r="K14179" i="2"/>
  <c r="L14179" i="2"/>
  <c r="C14180" i="2"/>
  <c r="D14180" i="2"/>
  <c r="F14180" i="2"/>
  <c r="G14180" i="2"/>
  <c r="H14180" i="2"/>
  <c r="J14180" i="2"/>
  <c r="K14180" i="2"/>
  <c r="L14180" i="2"/>
  <c r="C14181" i="2"/>
  <c r="D14181" i="2"/>
  <c r="F14181" i="2"/>
  <c r="G14181" i="2"/>
  <c r="H14181" i="2"/>
  <c r="J14181" i="2"/>
  <c r="K14181" i="2"/>
  <c r="L14181" i="2"/>
  <c r="C14182" i="2"/>
  <c r="D14182" i="2"/>
  <c r="F14182" i="2"/>
  <c r="G14182" i="2"/>
  <c r="H14182" i="2"/>
  <c r="J14182" i="2"/>
  <c r="K14182" i="2"/>
  <c r="L14182" i="2"/>
  <c r="C14183" i="2"/>
  <c r="D14183" i="2"/>
  <c r="F14183" i="2"/>
  <c r="G14183" i="2"/>
  <c r="H14183" i="2"/>
  <c r="J14183" i="2"/>
  <c r="K14183" i="2"/>
  <c r="L14183" i="2"/>
  <c r="C14184" i="2"/>
  <c r="D14184" i="2"/>
  <c r="F14184" i="2"/>
  <c r="G14184" i="2"/>
  <c r="H14184" i="2"/>
  <c r="J14184" i="2"/>
  <c r="K14184" i="2"/>
  <c r="L14184" i="2"/>
  <c r="C14185" i="2"/>
  <c r="D14185" i="2"/>
  <c r="F14185" i="2"/>
  <c r="G14185" i="2"/>
  <c r="H14185" i="2"/>
  <c r="J14185" i="2"/>
  <c r="K14185" i="2"/>
  <c r="L14185" i="2"/>
  <c r="C14186" i="2"/>
  <c r="D14186" i="2"/>
  <c r="F14186" i="2"/>
  <c r="G14186" i="2"/>
  <c r="H14186" i="2"/>
  <c r="J14186" i="2"/>
  <c r="K14186" i="2"/>
  <c r="L14186" i="2"/>
  <c r="C14187" i="2"/>
  <c r="D14187" i="2"/>
  <c r="F14187" i="2"/>
  <c r="G14187" i="2"/>
  <c r="H14187" i="2"/>
  <c r="J14187" i="2"/>
  <c r="K14187" i="2"/>
  <c r="L14187" i="2"/>
  <c r="C14188" i="2"/>
  <c r="D14188" i="2"/>
  <c r="F14188" i="2"/>
  <c r="G14188" i="2"/>
  <c r="H14188" i="2"/>
  <c r="J14188" i="2"/>
  <c r="K14188" i="2"/>
  <c r="L14188" i="2"/>
  <c r="C14189" i="2"/>
  <c r="D14189" i="2"/>
  <c r="F14189" i="2"/>
  <c r="G14189" i="2"/>
  <c r="H14189" i="2"/>
  <c r="J14189" i="2"/>
  <c r="K14189" i="2"/>
  <c r="L14189" i="2"/>
  <c r="C14190" i="2"/>
  <c r="D14190" i="2"/>
  <c r="F14190" i="2"/>
  <c r="G14190" i="2"/>
  <c r="H14190" i="2"/>
  <c r="J14190" i="2"/>
  <c r="K14190" i="2"/>
  <c r="L14190" i="2"/>
  <c r="C14191" i="2"/>
  <c r="D14191" i="2"/>
  <c r="F14191" i="2"/>
  <c r="G14191" i="2"/>
  <c r="H14191" i="2"/>
  <c r="J14191" i="2"/>
  <c r="K14191" i="2"/>
  <c r="L14191" i="2"/>
  <c r="C14192" i="2"/>
  <c r="D14192" i="2"/>
  <c r="F14192" i="2"/>
  <c r="G14192" i="2"/>
  <c r="H14192" i="2"/>
  <c r="J14192" i="2"/>
  <c r="K14192" i="2"/>
  <c r="L14192" i="2"/>
  <c r="C14193" i="2"/>
  <c r="D14193" i="2"/>
  <c r="F14193" i="2"/>
  <c r="G14193" i="2"/>
  <c r="H14193" i="2"/>
  <c r="J14193" i="2"/>
  <c r="K14193" i="2"/>
  <c r="L14193" i="2"/>
  <c r="C14194" i="2"/>
  <c r="D14194" i="2"/>
  <c r="F14194" i="2"/>
  <c r="G14194" i="2"/>
  <c r="H14194" i="2"/>
  <c r="J14194" i="2"/>
  <c r="K14194" i="2"/>
  <c r="L14194" i="2"/>
  <c r="C14195" i="2"/>
  <c r="D14195" i="2"/>
  <c r="F14195" i="2"/>
  <c r="G14195" i="2"/>
  <c r="H14195" i="2"/>
  <c r="J14195" i="2"/>
  <c r="K14195" i="2"/>
  <c r="L14195" i="2"/>
  <c r="C14196" i="2"/>
  <c r="D14196" i="2"/>
  <c r="F14196" i="2"/>
  <c r="G14196" i="2"/>
  <c r="H14196" i="2"/>
  <c r="J14196" i="2"/>
  <c r="K14196" i="2"/>
  <c r="L14196" i="2"/>
  <c r="C14197" i="2"/>
  <c r="D14197" i="2"/>
  <c r="F14197" i="2"/>
  <c r="G14197" i="2"/>
  <c r="H14197" i="2"/>
  <c r="J14197" i="2"/>
  <c r="K14197" i="2"/>
  <c r="L14197" i="2"/>
  <c r="C14198" i="2"/>
  <c r="D14198" i="2"/>
  <c r="F14198" i="2"/>
  <c r="G14198" i="2"/>
  <c r="H14198" i="2"/>
  <c r="J14198" i="2"/>
  <c r="K14198" i="2"/>
  <c r="L14198" i="2"/>
  <c r="C14199" i="2"/>
  <c r="D14199" i="2"/>
  <c r="F14199" i="2"/>
  <c r="G14199" i="2"/>
  <c r="H14199" i="2"/>
  <c r="J14199" i="2"/>
  <c r="K14199" i="2"/>
  <c r="L14199" i="2"/>
  <c r="C14200" i="2"/>
  <c r="D14200" i="2"/>
  <c r="F14200" i="2"/>
  <c r="G14200" i="2"/>
  <c r="H14200" i="2"/>
  <c r="J14200" i="2"/>
  <c r="K14200" i="2"/>
  <c r="L14200" i="2"/>
  <c r="C14201" i="2"/>
  <c r="D14201" i="2"/>
  <c r="F14201" i="2"/>
  <c r="G14201" i="2"/>
  <c r="H14201" i="2"/>
  <c r="J14201" i="2"/>
  <c r="K14201" i="2"/>
  <c r="L14201" i="2"/>
  <c r="C14202" i="2"/>
  <c r="D14202" i="2"/>
  <c r="F14202" i="2"/>
  <c r="G14202" i="2"/>
  <c r="H14202" i="2"/>
  <c r="J14202" i="2"/>
  <c r="K14202" i="2"/>
  <c r="L14202" i="2"/>
  <c r="C14203" i="2"/>
  <c r="D14203" i="2"/>
  <c r="F14203" i="2"/>
  <c r="G14203" i="2"/>
  <c r="H14203" i="2"/>
  <c r="J14203" i="2"/>
  <c r="K14203" i="2"/>
  <c r="L14203" i="2"/>
  <c r="C14204" i="2"/>
  <c r="D14204" i="2"/>
  <c r="F14204" i="2"/>
  <c r="G14204" i="2"/>
  <c r="H14204" i="2"/>
  <c r="J14204" i="2"/>
  <c r="K14204" i="2"/>
  <c r="L14204" i="2"/>
  <c r="C14205" i="2"/>
  <c r="D14205" i="2"/>
  <c r="F14205" i="2"/>
  <c r="G14205" i="2"/>
  <c r="H14205" i="2"/>
  <c r="J14205" i="2"/>
  <c r="K14205" i="2"/>
  <c r="L14205" i="2"/>
  <c r="C14206" i="2"/>
  <c r="D14206" i="2"/>
  <c r="F14206" i="2"/>
  <c r="G14206" i="2"/>
  <c r="H14206" i="2"/>
  <c r="J14206" i="2"/>
  <c r="K14206" i="2"/>
  <c r="L14206" i="2"/>
  <c r="C14207" i="2"/>
  <c r="D14207" i="2"/>
  <c r="F14207" i="2"/>
  <c r="G14207" i="2"/>
  <c r="H14207" i="2"/>
  <c r="J14207" i="2"/>
  <c r="K14207" i="2"/>
  <c r="L14207" i="2"/>
  <c r="C14208" i="2"/>
  <c r="D14208" i="2"/>
  <c r="F14208" i="2"/>
  <c r="G14208" i="2"/>
  <c r="H14208" i="2"/>
  <c r="J14208" i="2"/>
  <c r="K14208" i="2"/>
  <c r="L14208" i="2"/>
  <c r="C14209" i="2"/>
  <c r="D14209" i="2"/>
  <c r="F14209" i="2"/>
  <c r="G14209" i="2"/>
  <c r="H14209" i="2"/>
  <c r="J14209" i="2"/>
  <c r="K14209" i="2"/>
  <c r="L14209" i="2"/>
  <c r="C14210" i="2"/>
  <c r="D14210" i="2"/>
  <c r="F14210" i="2"/>
  <c r="G14210" i="2"/>
  <c r="H14210" i="2"/>
  <c r="J14210" i="2"/>
  <c r="K14210" i="2"/>
  <c r="L14210" i="2"/>
  <c r="C14211" i="2"/>
  <c r="D14211" i="2"/>
  <c r="F14211" i="2"/>
  <c r="G14211" i="2"/>
  <c r="H14211" i="2"/>
  <c r="J14211" i="2"/>
  <c r="K14211" i="2"/>
  <c r="L14211" i="2"/>
  <c r="C14212" i="2"/>
  <c r="D14212" i="2"/>
  <c r="F14212" i="2"/>
  <c r="G14212" i="2"/>
  <c r="H14212" i="2"/>
  <c r="J14212" i="2"/>
  <c r="K14212" i="2"/>
  <c r="L14212" i="2"/>
  <c r="C14213" i="2"/>
  <c r="D14213" i="2"/>
  <c r="F14213" i="2"/>
  <c r="G14213" i="2"/>
  <c r="H14213" i="2"/>
  <c r="J14213" i="2"/>
  <c r="K14213" i="2"/>
  <c r="L14213" i="2"/>
  <c r="C14214" i="2"/>
  <c r="D14214" i="2"/>
  <c r="F14214" i="2"/>
  <c r="G14214" i="2"/>
  <c r="H14214" i="2"/>
  <c r="J14214" i="2"/>
  <c r="K14214" i="2"/>
  <c r="L14214" i="2"/>
  <c r="C14215" i="2"/>
  <c r="D14215" i="2"/>
  <c r="F14215" i="2"/>
  <c r="G14215" i="2"/>
  <c r="H14215" i="2"/>
  <c r="J14215" i="2"/>
  <c r="K14215" i="2"/>
  <c r="L14215" i="2"/>
  <c r="C14216" i="2"/>
  <c r="D14216" i="2"/>
  <c r="F14216" i="2"/>
  <c r="G14216" i="2"/>
  <c r="H14216" i="2"/>
  <c r="J14216" i="2"/>
  <c r="K14216" i="2"/>
  <c r="L14216" i="2"/>
  <c r="C14217" i="2"/>
  <c r="D14217" i="2"/>
  <c r="F14217" i="2"/>
  <c r="G14217" i="2"/>
  <c r="H14217" i="2"/>
  <c r="J14217" i="2"/>
  <c r="K14217" i="2"/>
  <c r="L14217" i="2"/>
  <c r="C14218" i="2"/>
  <c r="D14218" i="2"/>
  <c r="F14218" i="2"/>
  <c r="G14218" i="2"/>
  <c r="H14218" i="2"/>
  <c r="J14218" i="2"/>
  <c r="K14218" i="2"/>
  <c r="L14218" i="2"/>
  <c r="C14219" i="2"/>
  <c r="D14219" i="2"/>
  <c r="F14219" i="2"/>
  <c r="G14219" i="2"/>
  <c r="H14219" i="2"/>
  <c r="J14219" i="2"/>
  <c r="K14219" i="2"/>
  <c r="L14219" i="2"/>
  <c r="C14220" i="2"/>
  <c r="D14220" i="2"/>
  <c r="F14220" i="2"/>
  <c r="G14220" i="2"/>
  <c r="H14220" i="2"/>
  <c r="J14220" i="2"/>
  <c r="K14220" i="2"/>
  <c r="L14220" i="2"/>
  <c r="C14221" i="2"/>
  <c r="D14221" i="2"/>
  <c r="F14221" i="2"/>
  <c r="G14221" i="2"/>
  <c r="H14221" i="2"/>
  <c r="J14221" i="2"/>
  <c r="K14221" i="2"/>
  <c r="L14221" i="2"/>
  <c r="C14222" i="2"/>
  <c r="D14222" i="2"/>
  <c r="F14222" i="2"/>
  <c r="G14222" i="2"/>
  <c r="H14222" i="2"/>
  <c r="J14222" i="2"/>
  <c r="K14222" i="2"/>
  <c r="L14222" i="2"/>
  <c r="C14223" i="2"/>
  <c r="D14223" i="2"/>
  <c r="F14223" i="2"/>
  <c r="G14223" i="2"/>
  <c r="H14223" i="2"/>
  <c r="J14223" i="2"/>
  <c r="K14223" i="2"/>
  <c r="L14223" i="2"/>
  <c r="C14224" i="2"/>
  <c r="D14224" i="2"/>
  <c r="F14224" i="2"/>
  <c r="G14224" i="2"/>
  <c r="H14224" i="2"/>
  <c r="J14224" i="2"/>
  <c r="K14224" i="2"/>
  <c r="L14224" i="2"/>
  <c r="C14225" i="2"/>
  <c r="D14225" i="2"/>
  <c r="F14225" i="2"/>
  <c r="G14225" i="2"/>
  <c r="H14225" i="2"/>
  <c r="J14225" i="2"/>
  <c r="K14225" i="2"/>
  <c r="L14225" i="2"/>
  <c r="C14226" i="2"/>
  <c r="D14226" i="2"/>
  <c r="F14226" i="2"/>
  <c r="G14226" i="2"/>
  <c r="H14226" i="2"/>
  <c r="J14226" i="2"/>
  <c r="K14226" i="2"/>
  <c r="L14226" i="2"/>
  <c r="C14227" i="2"/>
  <c r="D14227" i="2"/>
  <c r="F14227" i="2"/>
  <c r="G14227" i="2"/>
  <c r="H14227" i="2"/>
  <c r="J14227" i="2"/>
  <c r="K14227" i="2"/>
  <c r="L14227" i="2"/>
  <c r="C14228" i="2"/>
  <c r="D14228" i="2"/>
  <c r="F14228" i="2"/>
  <c r="G14228" i="2"/>
  <c r="H14228" i="2"/>
  <c r="J14228" i="2"/>
  <c r="K14228" i="2"/>
  <c r="L14228" i="2"/>
  <c r="C14229" i="2"/>
  <c r="D14229" i="2"/>
  <c r="F14229" i="2"/>
  <c r="G14229" i="2"/>
  <c r="H14229" i="2"/>
  <c r="J14229" i="2"/>
  <c r="K14229" i="2"/>
  <c r="L14229" i="2"/>
  <c r="C14230" i="2"/>
  <c r="D14230" i="2"/>
  <c r="F14230" i="2"/>
  <c r="G14230" i="2"/>
  <c r="H14230" i="2"/>
  <c r="J14230" i="2"/>
  <c r="K14230" i="2"/>
  <c r="L14230" i="2"/>
  <c r="C14231" i="2"/>
  <c r="D14231" i="2"/>
  <c r="F14231" i="2"/>
  <c r="G14231" i="2"/>
  <c r="H14231" i="2"/>
  <c r="J14231" i="2"/>
  <c r="K14231" i="2"/>
  <c r="L14231" i="2"/>
  <c r="C14232" i="2"/>
  <c r="D14232" i="2"/>
  <c r="F14232" i="2"/>
  <c r="G14232" i="2"/>
  <c r="H14232" i="2"/>
  <c r="J14232" i="2"/>
  <c r="K14232" i="2"/>
  <c r="L14232" i="2"/>
  <c r="C14233" i="2"/>
  <c r="D14233" i="2"/>
  <c r="F14233" i="2"/>
  <c r="G14233" i="2"/>
  <c r="H14233" i="2"/>
  <c r="J14233" i="2"/>
  <c r="K14233" i="2"/>
  <c r="L14233" i="2"/>
  <c r="C14234" i="2"/>
  <c r="D14234" i="2"/>
  <c r="F14234" i="2"/>
  <c r="G14234" i="2"/>
  <c r="H14234" i="2"/>
  <c r="J14234" i="2"/>
  <c r="K14234" i="2"/>
  <c r="L14234" i="2"/>
  <c r="C14235" i="2"/>
  <c r="D14235" i="2"/>
  <c r="F14235" i="2"/>
  <c r="G14235" i="2"/>
  <c r="H14235" i="2"/>
  <c r="J14235" i="2"/>
  <c r="K14235" i="2"/>
  <c r="L14235" i="2"/>
  <c r="C14236" i="2"/>
  <c r="D14236" i="2"/>
  <c r="F14236" i="2"/>
  <c r="G14236" i="2"/>
  <c r="H14236" i="2"/>
  <c r="J14236" i="2"/>
  <c r="K14236" i="2"/>
  <c r="L14236" i="2"/>
  <c r="C14237" i="2"/>
  <c r="D14237" i="2"/>
  <c r="F14237" i="2"/>
  <c r="G14237" i="2"/>
  <c r="H14237" i="2"/>
  <c r="J14237" i="2"/>
  <c r="K14237" i="2"/>
  <c r="L14237" i="2"/>
  <c r="C14238" i="2"/>
  <c r="D14238" i="2"/>
  <c r="F14238" i="2"/>
  <c r="G14238" i="2"/>
  <c r="H14238" i="2"/>
  <c r="J14238" i="2"/>
  <c r="K14238" i="2"/>
  <c r="L14238" i="2"/>
  <c r="C14239" i="2"/>
  <c r="D14239" i="2"/>
  <c r="F14239" i="2"/>
  <c r="G14239" i="2"/>
  <c r="H14239" i="2"/>
  <c r="J14239" i="2"/>
  <c r="K14239" i="2"/>
  <c r="L14239" i="2"/>
  <c r="C14240" i="2"/>
  <c r="D14240" i="2"/>
  <c r="F14240" i="2"/>
  <c r="G14240" i="2"/>
  <c r="H14240" i="2"/>
  <c r="J14240" i="2"/>
  <c r="K14240" i="2"/>
  <c r="L14240" i="2"/>
  <c r="C14241" i="2"/>
  <c r="D14241" i="2"/>
  <c r="F14241" i="2"/>
  <c r="G14241" i="2"/>
  <c r="H14241" i="2"/>
  <c r="J14241" i="2"/>
  <c r="K14241" i="2"/>
  <c r="L14241" i="2"/>
  <c r="C14242" i="2"/>
  <c r="D14242" i="2"/>
  <c r="F14242" i="2"/>
  <c r="G14242" i="2"/>
  <c r="H14242" i="2"/>
  <c r="J14242" i="2"/>
  <c r="K14242" i="2"/>
  <c r="L14242" i="2"/>
  <c r="C14243" i="2"/>
  <c r="D14243" i="2"/>
  <c r="F14243" i="2"/>
  <c r="G14243" i="2"/>
  <c r="H14243" i="2"/>
  <c r="J14243" i="2"/>
  <c r="K14243" i="2"/>
  <c r="L14243" i="2"/>
  <c r="C14244" i="2"/>
  <c r="D14244" i="2"/>
  <c r="F14244" i="2"/>
  <c r="G14244" i="2"/>
  <c r="H14244" i="2"/>
  <c r="J14244" i="2"/>
  <c r="K14244" i="2"/>
  <c r="L14244" i="2"/>
  <c r="C14245" i="2"/>
  <c r="D14245" i="2"/>
  <c r="F14245" i="2"/>
  <c r="G14245" i="2"/>
  <c r="H14245" i="2"/>
  <c r="J14245" i="2"/>
  <c r="K14245" i="2"/>
  <c r="L14245" i="2"/>
  <c r="C14246" i="2"/>
  <c r="D14246" i="2"/>
  <c r="F14246" i="2"/>
  <c r="G14246" i="2"/>
  <c r="H14246" i="2"/>
  <c r="J14246" i="2"/>
  <c r="K14246" i="2"/>
  <c r="L14246" i="2"/>
  <c r="C14247" i="2"/>
  <c r="D14247" i="2"/>
  <c r="F14247" i="2"/>
  <c r="G14247" i="2"/>
  <c r="H14247" i="2"/>
  <c r="J14247" i="2"/>
  <c r="K14247" i="2"/>
  <c r="L14247" i="2"/>
  <c r="C14248" i="2"/>
  <c r="D14248" i="2"/>
  <c r="F14248" i="2"/>
  <c r="G14248" i="2"/>
  <c r="H14248" i="2"/>
  <c r="J14248" i="2"/>
  <c r="K14248" i="2"/>
  <c r="L14248" i="2"/>
  <c r="C14249" i="2"/>
  <c r="D14249" i="2"/>
  <c r="F14249" i="2"/>
  <c r="G14249" i="2"/>
  <c r="H14249" i="2"/>
  <c r="J14249" i="2"/>
  <c r="K14249" i="2"/>
  <c r="L14249" i="2"/>
  <c r="C14250" i="2"/>
  <c r="D14250" i="2"/>
  <c r="F14250" i="2"/>
  <c r="G14250" i="2"/>
  <c r="H14250" i="2"/>
  <c r="J14250" i="2"/>
  <c r="K14250" i="2"/>
  <c r="L14250" i="2"/>
  <c r="C14251" i="2"/>
  <c r="D14251" i="2"/>
  <c r="F14251" i="2"/>
  <c r="G14251" i="2"/>
  <c r="H14251" i="2"/>
  <c r="J14251" i="2"/>
  <c r="K14251" i="2"/>
  <c r="L14251" i="2"/>
  <c r="C14252" i="2"/>
  <c r="D14252" i="2"/>
  <c r="F14252" i="2"/>
  <c r="G14252" i="2"/>
  <c r="H14252" i="2"/>
  <c r="J14252" i="2"/>
  <c r="K14252" i="2"/>
  <c r="L14252" i="2"/>
  <c r="C14253" i="2"/>
  <c r="D14253" i="2"/>
  <c r="F14253" i="2"/>
  <c r="G14253" i="2"/>
  <c r="H14253" i="2"/>
  <c r="J14253" i="2"/>
  <c r="K14253" i="2"/>
  <c r="L14253" i="2"/>
  <c r="C14254" i="2"/>
  <c r="D14254" i="2"/>
  <c r="F14254" i="2"/>
  <c r="G14254" i="2"/>
  <c r="H14254" i="2"/>
  <c r="J14254" i="2"/>
  <c r="K14254" i="2"/>
  <c r="L14254" i="2"/>
  <c r="C14255" i="2"/>
  <c r="D14255" i="2"/>
  <c r="F14255" i="2"/>
  <c r="G14255" i="2"/>
  <c r="H14255" i="2"/>
  <c r="J14255" i="2"/>
  <c r="K14255" i="2"/>
  <c r="L14255" i="2"/>
  <c r="C14256" i="2"/>
  <c r="D14256" i="2"/>
  <c r="F14256" i="2"/>
  <c r="G14256" i="2"/>
  <c r="H14256" i="2"/>
  <c r="J14256" i="2"/>
  <c r="K14256" i="2"/>
  <c r="L14256" i="2"/>
  <c r="C14257" i="2"/>
  <c r="D14257" i="2"/>
  <c r="F14257" i="2"/>
  <c r="G14257" i="2"/>
  <c r="H14257" i="2"/>
  <c r="J14257" i="2"/>
  <c r="K14257" i="2"/>
  <c r="L14257" i="2"/>
  <c r="C14258" i="2"/>
  <c r="D14258" i="2"/>
  <c r="F14258" i="2"/>
  <c r="G14258" i="2"/>
  <c r="H14258" i="2"/>
  <c r="J14258" i="2"/>
  <c r="K14258" i="2"/>
  <c r="L14258" i="2"/>
  <c r="C14259" i="2"/>
  <c r="D14259" i="2"/>
  <c r="F14259" i="2"/>
  <c r="G14259" i="2"/>
  <c r="H14259" i="2"/>
  <c r="J14259" i="2"/>
  <c r="K14259" i="2"/>
  <c r="L14259" i="2"/>
  <c r="C14260" i="2"/>
  <c r="D14260" i="2"/>
  <c r="F14260" i="2"/>
  <c r="G14260" i="2"/>
  <c r="H14260" i="2"/>
  <c r="J14260" i="2"/>
  <c r="K14260" i="2"/>
  <c r="L14260" i="2"/>
  <c r="C14261" i="2"/>
  <c r="D14261" i="2"/>
  <c r="F14261" i="2"/>
  <c r="G14261" i="2"/>
  <c r="H14261" i="2"/>
  <c r="J14261" i="2"/>
  <c r="K14261" i="2"/>
  <c r="L14261" i="2"/>
  <c r="C14262" i="2"/>
  <c r="D14262" i="2"/>
  <c r="F14262" i="2"/>
  <c r="G14262" i="2"/>
  <c r="H14262" i="2"/>
  <c r="J14262" i="2"/>
  <c r="K14262" i="2"/>
  <c r="L14262" i="2"/>
  <c r="C14263" i="2"/>
  <c r="D14263" i="2"/>
  <c r="F14263" i="2"/>
  <c r="G14263" i="2"/>
  <c r="H14263" i="2"/>
  <c r="J14263" i="2"/>
  <c r="K14263" i="2"/>
  <c r="L14263" i="2"/>
  <c r="C14264" i="2"/>
  <c r="D14264" i="2"/>
  <c r="F14264" i="2"/>
  <c r="G14264" i="2"/>
  <c r="H14264" i="2"/>
  <c r="J14264" i="2"/>
  <c r="K14264" i="2"/>
  <c r="L14264" i="2"/>
  <c r="C14265" i="2"/>
  <c r="D14265" i="2"/>
  <c r="F14265" i="2"/>
  <c r="G14265" i="2"/>
  <c r="H14265" i="2"/>
  <c r="J14265" i="2"/>
  <c r="K14265" i="2"/>
  <c r="L14265" i="2"/>
  <c r="C14266" i="2"/>
  <c r="D14266" i="2"/>
  <c r="F14266" i="2"/>
  <c r="G14266" i="2"/>
  <c r="H14266" i="2"/>
  <c r="J14266" i="2"/>
  <c r="K14266" i="2"/>
  <c r="L14266" i="2"/>
  <c r="C14267" i="2"/>
  <c r="D14267" i="2"/>
  <c r="F14267" i="2"/>
  <c r="G14267" i="2"/>
  <c r="H14267" i="2"/>
  <c r="J14267" i="2"/>
  <c r="K14267" i="2"/>
  <c r="L14267" i="2"/>
  <c r="C14268" i="2"/>
  <c r="D14268" i="2"/>
  <c r="F14268" i="2"/>
  <c r="G14268" i="2"/>
  <c r="H14268" i="2"/>
  <c r="J14268" i="2"/>
  <c r="K14268" i="2"/>
  <c r="L14268" i="2"/>
  <c r="C14269" i="2"/>
  <c r="D14269" i="2"/>
  <c r="F14269" i="2"/>
  <c r="G14269" i="2"/>
  <c r="H14269" i="2"/>
  <c r="J14269" i="2"/>
  <c r="K14269" i="2"/>
  <c r="L14269" i="2"/>
  <c r="C14270" i="2"/>
  <c r="D14270" i="2"/>
  <c r="F14270" i="2"/>
  <c r="G14270" i="2"/>
  <c r="H14270" i="2"/>
  <c r="J14270" i="2"/>
  <c r="K14270" i="2"/>
  <c r="L14270" i="2"/>
  <c r="C14271" i="2"/>
  <c r="D14271" i="2"/>
  <c r="F14271" i="2"/>
  <c r="G14271" i="2"/>
  <c r="H14271" i="2"/>
  <c r="J14271" i="2"/>
  <c r="K14271" i="2"/>
  <c r="L14271" i="2"/>
  <c r="C14272" i="2"/>
  <c r="D14272" i="2"/>
  <c r="F14272" i="2"/>
  <c r="G14272" i="2"/>
  <c r="H14272" i="2"/>
  <c r="J14272" i="2"/>
  <c r="K14272" i="2"/>
  <c r="L14272" i="2"/>
  <c r="C14273" i="2"/>
  <c r="D14273" i="2"/>
  <c r="F14273" i="2"/>
  <c r="G14273" i="2"/>
  <c r="H14273" i="2"/>
  <c r="J14273" i="2"/>
  <c r="K14273" i="2"/>
  <c r="L14273" i="2"/>
  <c r="C14274" i="2"/>
  <c r="D14274" i="2"/>
  <c r="F14274" i="2"/>
  <c r="G14274" i="2"/>
  <c r="H14274" i="2"/>
  <c r="J14274" i="2"/>
  <c r="K14274" i="2"/>
  <c r="L14274" i="2"/>
  <c r="C14275" i="2"/>
  <c r="D14275" i="2"/>
  <c r="F14275" i="2"/>
  <c r="G14275" i="2"/>
  <c r="H14275" i="2"/>
  <c r="J14275" i="2"/>
  <c r="K14275" i="2"/>
  <c r="L14275" i="2"/>
  <c r="C14276" i="2"/>
  <c r="D14276" i="2"/>
  <c r="F14276" i="2"/>
  <c r="G14276" i="2"/>
  <c r="H14276" i="2"/>
  <c r="J14276" i="2"/>
  <c r="K14276" i="2"/>
  <c r="L14276" i="2"/>
  <c r="C14277" i="2"/>
  <c r="D14277" i="2"/>
  <c r="F14277" i="2"/>
  <c r="G14277" i="2"/>
  <c r="H14277" i="2"/>
  <c r="J14277" i="2"/>
  <c r="K14277" i="2"/>
  <c r="L14277" i="2"/>
  <c r="C14278" i="2"/>
  <c r="D14278" i="2"/>
  <c r="F14278" i="2"/>
  <c r="G14278" i="2"/>
  <c r="H14278" i="2"/>
  <c r="J14278" i="2"/>
  <c r="K14278" i="2"/>
  <c r="L14278" i="2"/>
  <c r="C14279" i="2"/>
  <c r="D14279" i="2"/>
  <c r="F14279" i="2"/>
  <c r="G14279" i="2"/>
  <c r="H14279" i="2"/>
  <c r="J14279" i="2"/>
  <c r="K14279" i="2"/>
  <c r="L14279" i="2"/>
  <c r="C14280" i="2"/>
  <c r="D14280" i="2"/>
  <c r="F14280" i="2"/>
  <c r="G14280" i="2"/>
  <c r="H14280" i="2"/>
  <c r="J14280" i="2"/>
  <c r="K14280" i="2"/>
  <c r="L14280" i="2"/>
  <c r="C14281" i="2"/>
  <c r="D14281" i="2"/>
  <c r="F14281" i="2"/>
  <c r="G14281" i="2"/>
  <c r="H14281" i="2"/>
  <c r="J14281" i="2"/>
  <c r="K14281" i="2"/>
  <c r="L14281" i="2"/>
  <c r="C14282" i="2"/>
  <c r="D14282" i="2"/>
  <c r="F14282" i="2"/>
  <c r="G14282" i="2"/>
  <c r="H14282" i="2"/>
  <c r="J14282" i="2"/>
  <c r="K14282" i="2"/>
  <c r="L14282" i="2"/>
  <c r="C14283" i="2"/>
  <c r="D14283" i="2"/>
  <c r="F14283" i="2"/>
  <c r="G14283" i="2"/>
  <c r="H14283" i="2"/>
  <c r="J14283" i="2"/>
  <c r="K14283" i="2"/>
  <c r="L14283" i="2"/>
  <c r="C14284" i="2"/>
  <c r="D14284" i="2"/>
  <c r="F14284" i="2"/>
  <c r="G14284" i="2"/>
  <c r="H14284" i="2"/>
  <c r="J14284" i="2"/>
  <c r="K14284" i="2"/>
  <c r="L14284" i="2"/>
  <c r="C14285" i="2"/>
  <c r="D14285" i="2"/>
  <c r="F14285" i="2"/>
  <c r="G14285" i="2"/>
  <c r="H14285" i="2"/>
  <c r="J14285" i="2"/>
  <c r="K14285" i="2"/>
  <c r="L14285" i="2"/>
  <c r="C14286" i="2"/>
  <c r="D14286" i="2"/>
  <c r="F14286" i="2"/>
  <c r="G14286" i="2"/>
  <c r="H14286" i="2"/>
  <c r="J14286" i="2"/>
  <c r="K14286" i="2"/>
  <c r="L14286" i="2"/>
  <c r="C14287" i="2"/>
  <c r="D14287" i="2"/>
  <c r="F14287" i="2"/>
  <c r="G14287" i="2"/>
  <c r="H14287" i="2"/>
  <c r="J14287" i="2"/>
  <c r="K14287" i="2"/>
  <c r="L14287" i="2"/>
  <c r="C14288" i="2"/>
  <c r="D14288" i="2"/>
  <c r="F14288" i="2"/>
  <c r="G14288" i="2"/>
  <c r="H14288" i="2"/>
  <c r="J14288" i="2"/>
  <c r="K14288" i="2"/>
  <c r="L14288" i="2"/>
  <c r="C14289" i="2"/>
  <c r="D14289" i="2"/>
  <c r="F14289" i="2"/>
  <c r="G14289" i="2"/>
  <c r="H14289" i="2"/>
  <c r="J14289" i="2"/>
  <c r="K14289" i="2"/>
  <c r="L14289" i="2"/>
  <c r="C14290" i="2"/>
  <c r="D14290" i="2"/>
  <c r="F14290" i="2"/>
  <c r="G14290" i="2"/>
  <c r="H14290" i="2"/>
  <c r="J14290" i="2"/>
  <c r="K14290" i="2"/>
  <c r="L14290" i="2"/>
  <c r="C14291" i="2"/>
  <c r="D14291" i="2"/>
  <c r="F14291" i="2"/>
  <c r="G14291" i="2"/>
  <c r="H14291" i="2"/>
  <c r="J14291" i="2"/>
  <c r="K14291" i="2"/>
  <c r="L14291" i="2"/>
  <c r="C14292" i="2"/>
  <c r="D14292" i="2"/>
  <c r="F14292" i="2"/>
  <c r="G14292" i="2"/>
  <c r="H14292" i="2"/>
  <c r="J14292" i="2"/>
  <c r="K14292" i="2"/>
  <c r="L14292" i="2"/>
  <c r="C14293" i="2"/>
  <c r="D14293" i="2"/>
  <c r="F14293" i="2"/>
  <c r="G14293" i="2"/>
  <c r="H14293" i="2"/>
  <c r="J14293" i="2"/>
  <c r="K14293" i="2"/>
  <c r="L14293" i="2"/>
  <c r="C14294" i="2"/>
  <c r="D14294" i="2"/>
  <c r="F14294" i="2"/>
  <c r="G14294" i="2"/>
  <c r="H14294" i="2"/>
  <c r="J14294" i="2"/>
  <c r="K14294" i="2"/>
  <c r="L14294" i="2"/>
  <c r="C14295" i="2"/>
  <c r="D14295" i="2"/>
  <c r="F14295" i="2"/>
  <c r="G14295" i="2"/>
  <c r="H14295" i="2"/>
  <c r="J14295" i="2"/>
  <c r="K14295" i="2"/>
  <c r="L14295" i="2"/>
  <c r="C14296" i="2"/>
  <c r="D14296" i="2"/>
  <c r="F14296" i="2"/>
  <c r="G14296" i="2"/>
  <c r="H14296" i="2"/>
  <c r="J14296" i="2"/>
  <c r="K14296" i="2"/>
  <c r="L14296" i="2"/>
  <c r="C14297" i="2"/>
  <c r="D14297" i="2"/>
  <c r="F14297" i="2"/>
  <c r="G14297" i="2"/>
  <c r="H14297" i="2"/>
  <c r="J14297" i="2"/>
  <c r="K14297" i="2"/>
  <c r="L14297" i="2"/>
  <c r="C14298" i="2"/>
  <c r="D14298" i="2"/>
  <c r="F14298" i="2"/>
  <c r="G14298" i="2"/>
  <c r="H14298" i="2"/>
  <c r="J14298" i="2"/>
  <c r="K14298" i="2"/>
  <c r="L14298" i="2"/>
  <c r="C14299" i="2"/>
  <c r="D14299" i="2"/>
  <c r="F14299" i="2"/>
  <c r="G14299" i="2"/>
  <c r="H14299" i="2"/>
  <c r="J14299" i="2"/>
  <c r="K14299" i="2"/>
  <c r="L14299" i="2"/>
  <c r="C14300" i="2"/>
  <c r="D14300" i="2"/>
  <c r="F14300" i="2"/>
  <c r="G14300" i="2"/>
  <c r="H14300" i="2"/>
  <c r="J14300" i="2"/>
  <c r="K14300" i="2"/>
  <c r="L14300" i="2"/>
  <c r="C14301" i="2"/>
  <c r="D14301" i="2"/>
  <c r="F14301" i="2"/>
  <c r="G14301" i="2"/>
  <c r="H14301" i="2"/>
  <c r="J14301" i="2"/>
  <c r="K14301" i="2"/>
  <c r="L14301" i="2"/>
  <c r="C14302" i="2"/>
  <c r="D14302" i="2"/>
  <c r="F14302" i="2"/>
  <c r="G14302" i="2"/>
  <c r="H14302" i="2"/>
  <c r="J14302" i="2"/>
  <c r="K14302" i="2"/>
  <c r="L14302" i="2"/>
  <c r="C14303" i="2"/>
  <c r="D14303" i="2"/>
  <c r="F14303" i="2"/>
  <c r="G14303" i="2"/>
  <c r="H14303" i="2"/>
  <c r="J14303" i="2"/>
  <c r="K14303" i="2"/>
  <c r="L14303" i="2"/>
  <c r="C14304" i="2"/>
  <c r="D14304" i="2"/>
  <c r="F14304" i="2"/>
  <c r="G14304" i="2"/>
  <c r="H14304" i="2"/>
  <c r="J14304" i="2"/>
  <c r="K14304" i="2"/>
  <c r="L14304" i="2"/>
  <c r="C14305" i="2"/>
  <c r="D14305" i="2"/>
  <c r="F14305" i="2"/>
  <c r="G14305" i="2"/>
  <c r="H14305" i="2"/>
  <c r="J14305" i="2"/>
  <c r="K14305" i="2"/>
  <c r="L14305" i="2"/>
  <c r="C14306" i="2"/>
  <c r="D14306" i="2"/>
  <c r="F14306" i="2"/>
  <c r="G14306" i="2"/>
  <c r="H14306" i="2"/>
  <c r="J14306" i="2"/>
  <c r="K14306" i="2"/>
  <c r="L14306" i="2"/>
  <c r="C14307" i="2"/>
  <c r="D14307" i="2"/>
  <c r="F14307" i="2"/>
  <c r="G14307" i="2"/>
  <c r="H14307" i="2"/>
  <c r="J14307" i="2"/>
  <c r="K14307" i="2"/>
  <c r="L14307" i="2"/>
  <c r="C14308" i="2"/>
  <c r="D14308" i="2"/>
  <c r="F14308" i="2"/>
  <c r="G14308" i="2"/>
  <c r="H14308" i="2"/>
  <c r="J14308" i="2"/>
  <c r="K14308" i="2"/>
  <c r="L14308" i="2"/>
  <c r="C14309" i="2"/>
  <c r="D14309" i="2"/>
  <c r="F14309" i="2"/>
  <c r="G14309" i="2"/>
  <c r="H14309" i="2"/>
  <c r="J14309" i="2"/>
  <c r="K14309" i="2"/>
  <c r="L14309" i="2"/>
  <c r="C14310" i="2"/>
  <c r="D14310" i="2"/>
  <c r="F14310" i="2"/>
  <c r="G14310" i="2"/>
  <c r="H14310" i="2"/>
  <c r="J14310" i="2"/>
  <c r="K14310" i="2"/>
  <c r="L14310" i="2"/>
  <c r="C14311" i="2"/>
  <c r="D14311" i="2"/>
  <c r="F14311" i="2"/>
  <c r="G14311" i="2"/>
  <c r="H14311" i="2"/>
  <c r="J14311" i="2"/>
  <c r="K14311" i="2"/>
  <c r="L14311" i="2"/>
  <c r="C14312" i="2"/>
  <c r="D14312" i="2"/>
  <c r="F14312" i="2"/>
  <c r="G14312" i="2"/>
  <c r="H14312" i="2"/>
  <c r="J14312" i="2"/>
  <c r="K14312" i="2"/>
  <c r="L14312" i="2"/>
  <c r="C14313" i="2"/>
  <c r="D14313" i="2"/>
  <c r="F14313" i="2"/>
  <c r="G14313" i="2"/>
  <c r="H14313" i="2"/>
  <c r="J14313" i="2"/>
  <c r="K14313" i="2"/>
  <c r="L14313" i="2"/>
  <c r="C14314" i="2"/>
  <c r="D14314" i="2"/>
  <c r="F14314" i="2"/>
  <c r="G14314" i="2"/>
  <c r="H14314" i="2"/>
  <c r="J14314" i="2"/>
  <c r="K14314" i="2"/>
  <c r="L14314" i="2"/>
  <c r="C14315" i="2"/>
  <c r="D14315" i="2"/>
  <c r="F14315" i="2"/>
  <c r="G14315" i="2"/>
  <c r="H14315" i="2"/>
  <c r="J14315" i="2"/>
  <c r="K14315" i="2"/>
  <c r="L14315" i="2"/>
  <c r="C14316" i="2"/>
  <c r="D14316" i="2"/>
  <c r="F14316" i="2"/>
  <c r="G14316" i="2"/>
  <c r="H14316" i="2"/>
  <c r="J14316" i="2"/>
  <c r="K14316" i="2"/>
  <c r="L14316" i="2"/>
  <c r="C14317" i="2"/>
  <c r="D14317" i="2"/>
  <c r="F14317" i="2"/>
  <c r="G14317" i="2"/>
  <c r="H14317" i="2"/>
  <c r="J14317" i="2"/>
  <c r="K14317" i="2"/>
  <c r="L14317" i="2"/>
  <c r="C14318" i="2"/>
  <c r="D14318" i="2"/>
  <c r="F14318" i="2"/>
  <c r="G14318" i="2"/>
  <c r="H14318" i="2"/>
  <c r="J14318" i="2"/>
  <c r="K14318" i="2"/>
  <c r="L14318" i="2"/>
  <c r="C14319" i="2"/>
  <c r="D14319" i="2"/>
  <c r="F14319" i="2"/>
  <c r="G14319" i="2"/>
  <c r="H14319" i="2"/>
  <c r="J14319" i="2"/>
  <c r="K14319" i="2"/>
  <c r="L14319" i="2"/>
  <c r="C14320" i="2"/>
  <c r="D14320" i="2"/>
  <c r="F14320" i="2"/>
  <c r="G14320" i="2"/>
  <c r="H14320" i="2"/>
  <c r="J14320" i="2"/>
  <c r="K14320" i="2"/>
  <c r="L14320" i="2"/>
  <c r="C14321" i="2"/>
  <c r="D14321" i="2"/>
  <c r="F14321" i="2"/>
  <c r="G14321" i="2"/>
  <c r="H14321" i="2"/>
  <c r="J14321" i="2"/>
  <c r="K14321" i="2"/>
  <c r="L14321" i="2"/>
  <c r="C14322" i="2"/>
  <c r="D14322" i="2"/>
  <c r="F14322" i="2"/>
  <c r="G14322" i="2"/>
  <c r="H14322" i="2"/>
  <c r="J14322" i="2"/>
  <c r="K14322" i="2"/>
  <c r="L14322" i="2"/>
  <c r="C14323" i="2"/>
  <c r="D14323" i="2"/>
  <c r="F14323" i="2"/>
  <c r="G14323" i="2"/>
  <c r="H14323" i="2"/>
  <c r="J14323" i="2"/>
  <c r="K14323" i="2"/>
  <c r="L14323" i="2"/>
  <c r="C14324" i="2"/>
  <c r="D14324" i="2"/>
  <c r="F14324" i="2"/>
  <c r="G14324" i="2"/>
  <c r="H14324" i="2"/>
  <c r="J14324" i="2"/>
  <c r="K14324" i="2"/>
  <c r="L14324" i="2"/>
  <c r="C14325" i="2"/>
  <c r="D14325" i="2"/>
  <c r="F14325" i="2"/>
  <c r="G14325" i="2"/>
  <c r="H14325" i="2"/>
  <c r="J14325" i="2"/>
  <c r="K14325" i="2"/>
  <c r="L14325" i="2"/>
  <c r="C14326" i="2"/>
  <c r="D14326" i="2"/>
  <c r="F14326" i="2"/>
  <c r="G14326" i="2"/>
  <c r="H14326" i="2"/>
  <c r="J14326" i="2"/>
  <c r="K14326" i="2"/>
  <c r="L14326" i="2"/>
  <c r="C14327" i="2"/>
  <c r="D14327" i="2"/>
  <c r="F14327" i="2"/>
  <c r="G14327" i="2"/>
  <c r="H14327" i="2"/>
  <c r="J14327" i="2"/>
  <c r="K14327" i="2"/>
  <c r="L14327" i="2"/>
  <c r="C14328" i="2"/>
  <c r="D14328" i="2"/>
  <c r="F14328" i="2"/>
  <c r="G14328" i="2"/>
  <c r="H14328" i="2"/>
  <c r="J14328" i="2"/>
  <c r="K14328" i="2"/>
  <c r="L14328" i="2"/>
  <c r="C14329" i="2"/>
  <c r="D14329" i="2"/>
  <c r="F14329" i="2"/>
  <c r="G14329" i="2"/>
  <c r="H14329" i="2"/>
  <c r="J14329" i="2"/>
  <c r="K14329" i="2"/>
  <c r="L14329" i="2"/>
  <c r="C14330" i="2"/>
  <c r="D14330" i="2"/>
  <c r="F14330" i="2"/>
  <c r="G14330" i="2"/>
  <c r="H14330" i="2"/>
  <c r="J14330" i="2"/>
  <c r="K14330" i="2"/>
  <c r="L14330" i="2"/>
  <c r="C14331" i="2"/>
  <c r="D14331" i="2"/>
  <c r="F14331" i="2"/>
  <c r="G14331" i="2"/>
  <c r="H14331" i="2"/>
  <c r="J14331" i="2"/>
  <c r="K14331" i="2"/>
  <c r="L14331" i="2"/>
  <c r="C14332" i="2"/>
  <c r="D14332" i="2"/>
  <c r="F14332" i="2"/>
  <c r="G14332" i="2"/>
  <c r="H14332" i="2"/>
  <c r="J14332" i="2"/>
  <c r="K14332" i="2"/>
  <c r="L14332" i="2"/>
  <c r="C14333" i="2"/>
  <c r="D14333" i="2"/>
  <c r="F14333" i="2"/>
  <c r="G14333" i="2"/>
  <c r="H14333" i="2"/>
  <c r="J14333" i="2"/>
  <c r="K14333" i="2"/>
  <c r="L14333" i="2"/>
  <c r="C14334" i="2"/>
  <c r="D14334" i="2"/>
  <c r="F14334" i="2"/>
  <c r="G14334" i="2"/>
  <c r="H14334" i="2"/>
  <c r="J14334" i="2"/>
  <c r="K14334" i="2"/>
  <c r="L14334" i="2"/>
  <c r="C14335" i="2"/>
  <c r="D14335" i="2"/>
  <c r="F14335" i="2"/>
  <c r="G14335" i="2"/>
  <c r="H14335" i="2"/>
  <c r="J14335" i="2"/>
  <c r="K14335" i="2"/>
  <c r="L14335" i="2"/>
  <c r="C14336" i="2"/>
  <c r="D14336" i="2"/>
  <c r="F14336" i="2"/>
  <c r="G14336" i="2"/>
  <c r="H14336" i="2"/>
  <c r="J14336" i="2"/>
  <c r="K14336" i="2"/>
  <c r="L14336" i="2"/>
  <c r="C14337" i="2"/>
  <c r="D14337" i="2"/>
  <c r="F14337" i="2"/>
  <c r="G14337" i="2"/>
  <c r="H14337" i="2"/>
  <c r="J14337" i="2"/>
  <c r="K14337" i="2"/>
  <c r="L14337" i="2"/>
  <c r="C14338" i="2"/>
  <c r="D14338" i="2"/>
  <c r="F14338" i="2"/>
  <c r="G14338" i="2"/>
  <c r="H14338" i="2"/>
  <c r="J14338" i="2"/>
  <c r="K14338" i="2"/>
  <c r="L14338" i="2"/>
  <c r="C14339" i="2"/>
  <c r="D14339" i="2"/>
  <c r="F14339" i="2"/>
  <c r="G14339" i="2"/>
  <c r="H14339" i="2"/>
  <c r="J14339" i="2"/>
  <c r="K14339" i="2"/>
  <c r="L14339" i="2"/>
  <c r="C14340" i="2"/>
  <c r="D14340" i="2"/>
  <c r="F14340" i="2"/>
  <c r="G14340" i="2"/>
  <c r="H14340" i="2"/>
  <c r="J14340" i="2"/>
  <c r="K14340" i="2"/>
  <c r="L14340" i="2"/>
  <c r="C14341" i="2"/>
  <c r="D14341" i="2"/>
  <c r="F14341" i="2"/>
  <c r="G14341" i="2"/>
  <c r="H14341" i="2"/>
  <c r="J14341" i="2"/>
  <c r="K14341" i="2"/>
  <c r="L14341" i="2"/>
  <c r="C14342" i="2"/>
  <c r="D14342" i="2"/>
  <c r="F14342" i="2"/>
  <c r="G14342" i="2"/>
  <c r="H14342" i="2"/>
  <c r="J14342" i="2"/>
  <c r="K14342" i="2"/>
  <c r="L14342" i="2"/>
  <c r="C14343" i="2"/>
  <c r="D14343" i="2"/>
  <c r="F14343" i="2"/>
  <c r="G14343" i="2"/>
  <c r="H14343" i="2"/>
  <c r="J14343" i="2"/>
  <c r="K14343" i="2"/>
  <c r="L14343" i="2"/>
  <c r="C14344" i="2"/>
  <c r="D14344" i="2"/>
  <c r="F14344" i="2"/>
  <c r="G14344" i="2"/>
  <c r="H14344" i="2"/>
  <c r="J14344" i="2"/>
  <c r="K14344" i="2"/>
  <c r="L14344" i="2"/>
  <c r="C14345" i="2"/>
  <c r="D14345" i="2"/>
  <c r="F14345" i="2"/>
  <c r="G14345" i="2"/>
  <c r="H14345" i="2"/>
  <c r="J14345" i="2"/>
  <c r="K14345" i="2"/>
  <c r="L14345" i="2"/>
  <c r="C14346" i="2"/>
  <c r="D14346" i="2"/>
  <c r="F14346" i="2"/>
  <c r="G14346" i="2"/>
  <c r="H14346" i="2"/>
  <c r="J14346" i="2"/>
  <c r="K14346" i="2"/>
  <c r="L14346" i="2"/>
  <c r="C14347" i="2"/>
  <c r="D14347" i="2"/>
  <c r="F14347" i="2"/>
  <c r="G14347" i="2"/>
  <c r="H14347" i="2"/>
  <c r="J14347" i="2"/>
  <c r="K14347" i="2"/>
  <c r="L14347" i="2"/>
  <c r="C14348" i="2"/>
  <c r="D14348" i="2"/>
  <c r="F14348" i="2"/>
  <c r="G14348" i="2"/>
  <c r="H14348" i="2"/>
  <c r="J14348" i="2"/>
  <c r="K14348" i="2"/>
  <c r="L14348" i="2"/>
  <c r="C14349" i="2"/>
  <c r="D14349" i="2"/>
  <c r="F14349" i="2"/>
  <c r="G14349" i="2"/>
  <c r="H14349" i="2"/>
  <c r="J14349" i="2"/>
  <c r="K14349" i="2"/>
  <c r="L14349" i="2"/>
  <c r="C14350" i="2"/>
  <c r="D14350" i="2"/>
  <c r="F14350" i="2"/>
  <c r="G14350" i="2"/>
  <c r="H14350" i="2"/>
  <c r="J14350" i="2"/>
  <c r="K14350" i="2"/>
  <c r="L14350" i="2"/>
  <c r="C14351" i="2"/>
  <c r="D14351" i="2"/>
  <c r="F14351" i="2"/>
  <c r="G14351" i="2"/>
  <c r="H14351" i="2"/>
  <c r="J14351" i="2"/>
  <c r="K14351" i="2"/>
  <c r="L14351" i="2"/>
  <c r="C14352" i="2"/>
  <c r="D14352" i="2"/>
  <c r="F14352" i="2"/>
  <c r="G14352" i="2"/>
  <c r="H14352" i="2"/>
  <c r="J14352" i="2"/>
  <c r="K14352" i="2"/>
  <c r="L14352" i="2"/>
  <c r="C14353" i="2"/>
  <c r="D14353" i="2"/>
  <c r="F14353" i="2"/>
  <c r="G14353" i="2"/>
  <c r="H14353" i="2"/>
  <c r="J14353" i="2"/>
  <c r="K14353" i="2"/>
  <c r="L14353" i="2"/>
  <c r="C14354" i="2"/>
  <c r="D14354" i="2"/>
  <c r="F14354" i="2"/>
  <c r="G14354" i="2"/>
  <c r="H14354" i="2"/>
  <c r="J14354" i="2"/>
  <c r="K14354" i="2"/>
  <c r="L14354" i="2"/>
  <c r="C14355" i="2"/>
  <c r="D14355" i="2"/>
  <c r="F14355" i="2"/>
  <c r="G14355" i="2"/>
  <c r="H14355" i="2"/>
  <c r="J14355" i="2"/>
  <c r="K14355" i="2"/>
  <c r="L14355" i="2"/>
  <c r="C14356" i="2"/>
  <c r="D14356" i="2"/>
  <c r="F14356" i="2"/>
  <c r="G14356" i="2"/>
  <c r="H14356" i="2"/>
  <c r="J14356" i="2"/>
  <c r="K14356" i="2"/>
  <c r="L14356" i="2"/>
  <c r="C14357" i="2"/>
  <c r="D14357" i="2"/>
  <c r="F14357" i="2"/>
  <c r="G14357" i="2"/>
  <c r="H14357" i="2"/>
  <c r="J14357" i="2"/>
  <c r="K14357" i="2"/>
  <c r="L14357" i="2"/>
  <c r="C14358" i="2"/>
  <c r="D14358" i="2"/>
  <c r="F14358" i="2"/>
  <c r="G14358" i="2"/>
  <c r="H14358" i="2"/>
  <c r="J14358" i="2"/>
  <c r="K14358" i="2"/>
  <c r="L14358" i="2"/>
  <c r="C14359" i="2"/>
  <c r="D14359" i="2"/>
  <c r="F14359" i="2"/>
  <c r="G14359" i="2"/>
  <c r="H14359" i="2"/>
  <c r="J14359" i="2"/>
  <c r="K14359" i="2"/>
  <c r="L14359" i="2"/>
  <c r="C14360" i="2"/>
  <c r="D14360" i="2"/>
  <c r="F14360" i="2"/>
  <c r="G14360" i="2"/>
  <c r="H14360" i="2"/>
  <c r="J14360" i="2"/>
  <c r="K14360" i="2"/>
  <c r="L14360" i="2"/>
  <c r="C14361" i="2"/>
  <c r="D14361" i="2"/>
  <c r="F14361" i="2"/>
  <c r="G14361" i="2"/>
  <c r="H14361" i="2"/>
  <c r="J14361" i="2"/>
  <c r="K14361" i="2"/>
  <c r="L14361" i="2"/>
  <c r="C14362" i="2"/>
  <c r="D14362" i="2"/>
  <c r="F14362" i="2"/>
  <c r="G14362" i="2"/>
  <c r="H14362" i="2"/>
  <c r="J14362" i="2"/>
  <c r="K14362" i="2"/>
  <c r="L14362" i="2"/>
  <c r="C14363" i="2"/>
  <c r="D14363" i="2"/>
  <c r="F14363" i="2"/>
  <c r="G14363" i="2"/>
  <c r="H14363" i="2"/>
  <c r="J14363" i="2"/>
  <c r="K14363" i="2"/>
  <c r="L14363" i="2"/>
  <c r="C14364" i="2"/>
  <c r="D14364" i="2"/>
  <c r="F14364" i="2"/>
  <c r="G14364" i="2"/>
  <c r="H14364" i="2"/>
  <c r="J14364" i="2"/>
  <c r="K14364" i="2"/>
  <c r="L14364" i="2"/>
  <c r="C14365" i="2"/>
  <c r="D14365" i="2"/>
  <c r="F14365" i="2"/>
  <c r="G14365" i="2"/>
  <c r="H14365" i="2"/>
  <c r="J14365" i="2"/>
  <c r="K14365" i="2"/>
  <c r="L14365" i="2"/>
  <c r="C14366" i="2"/>
  <c r="D14366" i="2"/>
  <c r="F14366" i="2"/>
  <c r="G14366" i="2"/>
  <c r="H14366" i="2"/>
  <c r="J14366" i="2"/>
  <c r="K14366" i="2"/>
  <c r="L14366" i="2"/>
  <c r="C14367" i="2"/>
  <c r="D14367" i="2"/>
  <c r="F14367" i="2"/>
  <c r="G14367" i="2"/>
  <c r="H14367" i="2"/>
  <c r="J14367" i="2"/>
  <c r="K14367" i="2"/>
  <c r="L14367" i="2"/>
  <c r="C14368" i="2"/>
  <c r="D14368" i="2"/>
  <c r="F14368" i="2"/>
  <c r="G14368" i="2"/>
  <c r="H14368" i="2"/>
  <c r="J14368" i="2"/>
  <c r="K14368" i="2"/>
  <c r="L14368" i="2"/>
  <c r="C14369" i="2"/>
  <c r="D14369" i="2"/>
  <c r="F14369" i="2"/>
  <c r="G14369" i="2"/>
  <c r="H14369" i="2"/>
  <c r="J14369" i="2"/>
  <c r="K14369" i="2"/>
  <c r="L14369" i="2"/>
  <c r="C14370" i="2"/>
  <c r="D14370" i="2"/>
  <c r="F14370" i="2"/>
  <c r="G14370" i="2"/>
  <c r="H14370" i="2"/>
  <c r="J14370" i="2"/>
  <c r="K14370" i="2"/>
  <c r="L14370" i="2"/>
  <c r="C14371" i="2"/>
  <c r="D14371" i="2"/>
  <c r="F14371" i="2"/>
  <c r="G14371" i="2"/>
  <c r="H14371" i="2"/>
  <c r="J14371" i="2"/>
  <c r="K14371" i="2"/>
  <c r="L14371" i="2"/>
  <c r="C14372" i="2"/>
  <c r="D14372" i="2"/>
  <c r="F14372" i="2"/>
  <c r="G14372" i="2"/>
  <c r="H14372" i="2"/>
  <c r="J14372" i="2"/>
  <c r="K14372" i="2"/>
  <c r="L14372" i="2"/>
  <c r="C14373" i="2"/>
  <c r="D14373" i="2"/>
  <c r="F14373" i="2"/>
  <c r="G14373" i="2"/>
  <c r="H14373" i="2"/>
  <c r="J14373" i="2"/>
  <c r="K14373" i="2"/>
  <c r="L14373" i="2"/>
  <c r="C14374" i="2"/>
  <c r="D14374" i="2"/>
  <c r="F14374" i="2"/>
  <c r="G14374" i="2"/>
  <c r="H14374" i="2"/>
  <c r="J14374" i="2"/>
  <c r="K14374" i="2"/>
  <c r="L14374" i="2"/>
  <c r="C14375" i="2"/>
  <c r="D14375" i="2"/>
  <c r="F14375" i="2"/>
  <c r="G14375" i="2"/>
  <c r="H14375" i="2"/>
  <c r="J14375" i="2"/>
  <c r="K14375" i="2"/>
  <c r="L14375" i="2"/>
  <c r="C14376" i="2"/>
  <c r="D14376" i="2"/>
  <c r="F14376" i="2"/>
  <c r="G14376" i="2"/>
  <c r="H14376" i="2"/>
  <c r="J14376" i="2"/>
  <c r="K14376" i="2"/>
  <c r="L14376" i="2"/>
  <c r="C14377" i="2"/>
  <c r="D14377" i="2"/>
  <c r="F14377" i="2"/>
  <c r="G14377" i="2"/>
  <c r="H14377" i="2"/>
  <c r="J14377" i="2"/>
  <c r="K14377" i="2"/>
  <c r="L14377" i="2"/>
  <c r="C14378" i="2"/>
  <c r="D14378" i="2"/>
  <c r="F14378" i="2"/>
  <c r="G14378" i="2"/>
  <c r="H14378" i="2"/>
  <c r="J14378" i="2"/>
  <c r="K14378" i="2"/>
  <c r="L14378" i="2"/>
  <c r="C14379" i="2"/>
  <c r="D14379" i="2"/>
  <c r="F14379" i="2"/>
  <c r="G14379" i="2"/>
  <c r="H14379" i="2"/>
  <c r="J14379" i="2"/>
  <c r="K14379" i="2"/>
  <c r="L14379" i="2"/>
  <c r="C14380" i="2"/>
  <c r="D14380" i="2"/>
  <c r="F14380" i="2"/>
  <c r="G14380" i="2"/>
  <c r="H14380" i="2"/>
  <c r="J14380" i="2"/>
  <c r="K14380" i="2"/>
  <c r="L14380" i="2"/>
  <c r="C14381" i="2"/>
  <c r="D14381" i="2"/>
  <c r="F14381" i="2"/>
  <c r="G14381" i="2"/>
  <c r="H14381" i="2"/>
  <c r="J14381" i="2"/>
  <c r="K14381" i="2"/>
  <c r="L14381" i="2"/>
  <c r="C14382" i="2"/>
  <c r="D14382" i="2"/>
  <c r="F14382" i="2"/>
  <c r="G14382" i="2"/>
  <c r="H14382" i="2"/>
  <c r="J14382" i="2"/>
  <c r="K14382" i="2"/>
  <c r="L14382" i="2"/>
  <c r="C14383" i="2"/>
  <c r="D14383" i="2"/>
  <c r="F14383" i="2"/>
  <c r="G14383" i="2"/>
  <c r="H14383" i="2"/>
  <c r="J14383" i="2"/>
  <c r="K14383" i="2"/>
  <c r="L14383" i="2"/>
  <c r="C14384" i="2"/>
  <c r="D14384" i="2"/>
  <c r="F14384" i="2"/>
  <c r="G14384" i="2"/>
  <c r="H14384" i="2"/>
  <c r="J14384" i="2"/>
  <c r="K14384" i="2"/>
  <c r="L14384" i="2"/>
  <c r="C14385" i="2"/>
  <c r="D14385" i="2"/>
  <c r="F14385" i="2"/>
  <c r="G14385" i="2"/>
  <c r="H14385" i="2"/>
  <c r="J14385" i="2"/>
  <c r="K14385" i="2"/>
  <c r="L14385" i="2"/>
  <c r="C14386" i="2"/>
  <c r="D14386" i="2"/>
  <c r="F14386" i="2"/>
  <c r="G14386" i="2"/>
  <c r="H14386" i="2"/>
  <c r="J14386" i="2"/>
  <c r="K14386" i="2"/>
  <c r="L14386" i="2"/>
  <c r="C14387" i="2"/>
  <c r="D14387" i="2"/>
  <c r="F14387" i="2"/>
  <c r="G14387" i="2"/>
  <c r="H14387" i="2"/>
  <c r="J14387" i="2"/>
  <c r="K14387" i="2"/>
  <c r="L14387" i="2"/>
  <c r="C14388" i="2"/>
  <c r="D14388" i="2"/>
  <c r="F14388" i="2"/>
  <c r="G14388" i="2"/>
  <c r="H14388" i="2"/>
  <c r="J14388" i="2"/>
  <c r="K14388" i="2"/>
  <c r="L14388" i="2"/>
  <c r="C14389" i="2"/>
  <c r="D14389" i="2"/>
  <c r="F14389" i="2"/>
  <c r="G14389" i="2"/>
  <c r="H14389" i="2"/>
  <c r="J14389" i="2"/>
  <c r="K14389" i="2"/>
  <c r="L14389" i="2"/>
  <c r="C14390" i="2"/>
  <c r="D14390" i="2"/>
  <c r="F14390" i="2"/>
  <c r="G14390" i="2"/>
  <c r="H14390" i="2"/>
  <c r="J14390" i="2"/>
  <c r="K14390" i="2"/>
  <c r="L14390" i="2"/>
  <c r="C14391" i="2"/>
  <c r="D14391" i="2"/>
  <c r="F14391" i="2"/>
  <c r="G14391" i="2"/>
  <c r="H14391" i="2"/>
  <c r="J14391" i="2"/>
  <c r="K14391" i="2"/>
  <c r="L14391" i="2"/>
  <c r="C14392" i="2"/>
  <c r="D14392" i="2"/>
  <c r="F14392" i="2"/>
  <c r="G14392" i="2"/>
  <c r="H14392" i="2"/>
  <c r="J14392" i="2"/>
  <c r="K14392" i="2"/>
  <c r="L14392" i="2"/>
  <c r="C14393" i="2"/>
  <c r="D14393" i="2"/>
  <c r="F14393" i="2"/>
  <c r="G14393" i="2"/>
  <c r="H14393" i="2"/>
  <c r="J14393" i="2"/>
  <c r="K14393" i="2"/>
  <c r="L14393" i="2"/>
  <c r="C14394" i="2"/>
  <c r="D14394" i="2"/>
  <c r="F14394" i="2"/>
  <c r="G14394" i="2"/>
  <c r="H14394" i="2"/>
  <c r="J14394" i="2"/>
  <c r="K14394" i="2"/>
  <c r="L14394" i="2"/>
  <c r="C14395" i="2"/>
  <c r="D14395" i="2"/>
  <c r="F14395" i="2"/>
  <c r="G14395" i="2"/>
  <c r="H14395" i="2"/>
  <c r="J14395" i="2"/>
  <c r="K14395" i="2"/>
  <c r="L14395" i="2"/>
  <c r="C14396" i="2"/>
  <c r="D14396" i="2"/>
  <c r="F14396" i="2"/>
  <c r="G14396" i="2"/>
  <c r="H14396" i="2"/>
  <c r="J14396" i="2"/>
  <c r="K14396" i="2"/>
  <c r="L14396" i="2"/>
  <c r="C14397" i="2"/>
  <c r="D14397" i="2"/>
  <c r="F14397" i="2"/>
  <c r="G14397" i="2"/>
  <c r="H14397" i="2"/>
  <c r="J14397" i="2"/>
  <c r="K14397" i="2"/>
  <c r="L14397" i="2"/>
  <c r="C14398" i="2"/>
  <c r="D14398" i="2"/>
  <c r="F14398" i="2"/>
  <c r="G14398" i="2"/>
  <c r="H14398" i="2"/>
  <c r="J14398" i="2"/>
  <c r="K14398" i="2"/>
  <c r="L14398" i="2"/>
  <c r="C14399" i="2"/>
  <c r="D14399" i="2"/>
  <c r="F14399" i="2"/>
  <c r="G14399" i="2"/>
  <c r="H14399" i="2"/>
  <c r="J14399" i="2"/>
  <c r="K14399" i="2"/>
  <c r="L14399" i="2"/>
  <c r="C14400" i="2"/>
  <c r="D14400" i="2"/>
  <c r="F14400" i="2"/>
  <c r="G14400" i="2"/>
  <c r="H14400" i="2"/>
  <c r="J14400" i="2"/>
  <c r="K14400" i="2"/>
  <c r="L14400" i="2"/>
  <c r="C14401" i="2"/>
  <c r="D14401" i="2"/>
  <c r="F14401" i="2"/>
  <c r="G14401" i="2"/>
  <c r="H14401" i="2"/>
  <c r="J14401" i="2"/>
  <c r="K14401" i="2"/>
  <c r="L14401" i="2"/>
  <c r="C14402" i="2"/>
  <c r="D14402" i="2"/>
  <c r="F14402" i="2"/>
  <c r="G14402" i="2"/>
  <c r="H14402" i="2"/>
  <c r="J14402" i="2"/>
  <c r="K14402" i="2"/>
  <c r="L14402" i="2"/>
  <c r="C14403" i="2"/>
  <c r="D14403" i="2"/>
  <c r="F14403" i="2"/>
  <c r="G14403" i="2"/>
  <c r="H14403" i="2"/>
  <c r="J14403" i="2"/>
  <c r="K14403" i="2"/>
  <c r="L14403" i="2"/>
  <c r="C14404" i="2"/>
  <c r="D14404" i="2"/>
  <c r="F14404" i="2"/>
  <c r="G14404" i="2"/>
  <c r="H14404" i="2"/>
  <c r="J14404" i="2"/>
  <c r="K14404" i="2"/>
  <c r="L14404" i="2"/>
  <c r="C14405" i="2"/>
  <c r="D14405" i="2"/>
  <c r="F14405" i="2"/>
  <c r="G14405" i="2"/>
  <c r="H14405" i="2"/>
  <c r="J14405" i="2"/>
  <c r="K14405" i="2"/>
  <c r="L14405" i="2"/>
  <c r="C14406" i="2"/>
  <c r="D14406" i="2"/>
  <c r="F14406" i="2"/>
  <c r="G14406" i="2"/>
  <c r="H14406" i="2"/>
  <c r="J14406" i="2"/>
  <c r="K14406" i="2"/>
  <c r="L14406" i="2"/>
  <c r="C14407" i="2"/>
  <c r="D14407" i="2"/>
  <c r="F14407" i="2"/>
  <c r="G14407" i="2"/>
  <c r="H14407" i="2"/>
  <c r="J14407" i="2"/>
  <c r="K14407" i="2"/>
  <c r="L14407" i="2"/>
  <c r="C14408" i="2"/>
  <c r="D14408" i="2"/>
  <c r="F14408" i="2"/>
  <c r="G14408" i="2"/>
  <c r="H14408" i="2"/>
  <c r="J14408" i="2"/>
  <c r="K14408" i="2"/>
  <c r="L14408" i="2"/>
  <c r="C14409" i="2"/>
  <c r="D14409" i="2"/>
  <c r="F14409" i="2"/>
  <c r="G14409" i="2"/>
  <c r="H14409" i="2"/>
  <c r="J14409" i="2"/>
  <c r="K14409" i="2"/>
  <c r="L14409" i="2"/>
  <c r="C14410" i="2"/>
  <c r="D14410" i="2"/>
  <c r="F14410" i="2"/>
  <c r="G14410" i="2"/>
  <c r="H14410" i="2"/>
  <c r="J14410" i="2"/>
  <c r="K14410" i="2"/>
  <c r="L14410" i="2"/>
  <c r="C14411" i="2"/>
  <c r="D14411" i="2"/>
  <c r="F14411" i="2"/>
  <c r="G14411" i="2"/>
  <c r="H14411" i="2"/>
  <c r="J14411" i="2"/>
  <c r="K14411" i="2"/>
  <c r="L14411" i="2"/>
  <c r="C14412" i="2"/>
  <c r="D14412" i="2"/>
  <c r="F14412" i="2"/>
  <c r="G14412" i="2"/>
  <c r="H14412" i="2"/>
  <c r="J14412" i="2"/>
  <c r="K14412" i="2"/>
  <c r="L14412" i="2"/>
  <c r="C14413" i="2"/>
  <c r="D14413" i="2"/>
  <c r="F14413" i="2"/>
  <c r="G14413" i="2"/>
  <c r="H14413" i="2"/>
  <c r="J14413" i="2"/>
  <c r="K14413" i="2"/>
  <c r="L14413" i="2"/>
  <c r="C14414" i="2"/>
  <c r="D14414" i="2"/>
  <c r="F14414" i="2"/>
  <c r="G14414" i="2"/>
  <c r="H14414" i="2"/>
  <c r="J14414" i="2"/>
  <c r="K14414" i="2"/>
  <c r="L14414" i="2"/>
  <c r="C14415" i="2"/>
  <c r="D14415" i="2"/>
  <c r="F14415" i="2"/>
  <c r="G14415" i="2"/>
  <c r="H14415" i="2"/>
  <c r="J14415" i="2"/>
  <c r="K14415" i="2"/>
  <c r="L14415" i="2"/>
  <c r="C14416" i="2"/>
  <c r="D14416" i="2"/>
  <c r="F14416" i="2"/>
  <c r="G14416" i="2"/>
  <c r="H14416" i="2"/>
  <c r="J14416" i="2"/>
  <c r="K14416" i="2"/>
  <c r="L14416" i="2"/>
  <c r="C14417" i="2"/>
  <c r="D14417" i="2"/>
  <c r="F14417" i="2"/>
  <c r="G14417" i="2"/>
  <c r="H14417" i="2"/>
  <c r="J14417" i="2"/>
  <c r="K14417" i="2"/>
  <c r="L14417" i="2"/>
  <c r="C14418" i="2"/>
  <c r="D14418" i="2"/>
  <c r="F14418" i="2"/>
  <c r="G14418" i="2"/>
  <c r="H14418" i="2"/>
  <c r="J14418" i="2"/>
  <c r="K14418" i="2"/>
  <c r="L14418" i="2"/>
  <c r="C14419" i="2"/>
  <c r="D14419" i="2"/>
  <c r="F14419" i="2"/>
  <c r="G14419" i="2"/>
  <c r="H14419" i="2"/>
  <c r="J14419" i="2"/>
  <c r="K14419" i="2"/>
  <c r="L14419" i="2"/>
  <c r="C14420" i="2"/>
  <c r="D14420" i="2"/>
  <c r="F14420" i="2"/>
  <c r="G14420" i="2"/>
  <c r="H14420" i="2"/>
  <c r="J14420" i="2"/>
  <c r="K14420" i="2"/>
  <c r="L14420" i="2"/>
  <c r="C14421" i="2"/>
  <c r="D14421" i="2"/>
  <c r="F14421" i="2"/>
  <c r="G14421" i="2"/>
  <c r="H14421" i="2"/>
  <c r="J14421" i="2"/>
  <c r="K14421" i="2"/>
  <c r="L14421" i="2"/>
  <c r="C14422" i="2"/>
  <c r="D14422" i="2"/>
  <c r="F14422" i="2"/>
  <c r="G14422" i="2"/>
  <c r="H14422" i="2"/>
  <c r="J14422" i="2"/>
  <c r="K14422" i="2"/>
  <c r="L14422" i="2"/>
  <c r="C14423" i="2"/>
  <c r="D14423" i="2"/>
  <c r="F14423" i="2"/>
  <c r="G14423" i="2"/>
  <c r="H14423" i="2"/>
  <c r="J14423" i="2"/>
  <c r="K14423" i="2"/>
  <c r="L14423" i="2"/>
  <c r="C14424" i="2"/>
  <c r="D14424" i="2"/>
  <c r="F14424" i="2"/>
  <c r="G14424" i="2"/>
  <c r="H14424" i="2"/>
  <c r="J14424" i="2"/>
  <c r="K14424" i="2"/>
  <c r="L14424" i="2"/>
  <c r="C14425" i="2"/>
  <c r="D14425" i="2"/>
  <c r="F14425" i="2"/>
  <c r="G14425" i="2"/>
  <c r="H14425" i="2"/>
  <c r="J14425" i="2"/>
  <c r="K14425" i="2"/>
  <c r="L14425" i="2"/>
  <c r="C14426" i="2"/>
  <c r="D14426" i="2"/>
  <c r="F14426" i="2"/>
  <c r="G14426" i="2"/>
  <c r="H14426" i="2"/>
  <c r="J14426" i="2"/>
  <c r="K14426" i="2"/>
  <c r="L14426" i="2"/>
  <c r="C14427" i="2"/>
  <c r="D14427" i="2"/>
  <c r="F14427" i="2"/>
  <c r="G14427" i="2"/>
  <c r="H14427" i="2"/>
  <c r="J14427" i="2"/>
  <c r="K14427" i="2"/>
  <c r="L14427" i="2"/>
  <c r="C14428" i="2"/>
  <c r="D14428" i="2"/>
  <c r="F14428" i="2"/>
  <c r="G14428" i="2"/>
  <c r="H14428" i="2"/>
  <c r="J14428" i="2"/>
  <c r="K14428" i="2"/>
  <c r="L14428" i="2"/>
  <c r="D14429" i="2"/>
  <c r="F14429" i="2"/>
  <c r="G14429" i="2"/>
  <c r="H14429" i="2"/>
  <c r="J14429" i="2"/>
  <c r="K14429" i="2"/>
  <c r="L14429" i="2"/>
  <c r="C14430" i="2"/>
  <c r="D14430" i="2"/>
  <c r="F14430" i="2"/>
  <c r="G14430" i="2"/>
  <c r="H14430" i="2"/>
  <c r="J14430" i="2"/>
  <c r="K14430" i="2"/>
  <c r="L14430" i="2"/>
  <c r="C14431" i="2"/>
  <c r="D14431" i="2"/>
  <c r="F14431" i="2"/>
  <c r="G14431" i="2"/>
  <c r="H14431" i="2"/>
  <c r="J14431" i="2"/>
  <c r="K14431" i="2"/>
  <c r="L14431" i="2"/>
  <c r="C14432" i="2"/>
  <c r="D14432" i="2"/>
  <c r="F14432" i="2"/>
  <c r="G14432" i="2"/>
  <c r="H14432" i="2"/>
  <c r="J14432" i="2"/>
  <c r="K14432" i="2"/>
  <c r="L14432" i="2"/>
  <c r="C14433" i="2"/>
  <c r="D14433" i="2"/>
  <c r="F14433" i="2"/>
  <c r="G14433" i="2"/>
  <c r="H14433" i="2"/>
  <c r="J14433" i="2"/>
  <c r="K14433" i="2"/>
  <c r="L14433" i="2"/>
  <c r="C14434" i="2"/>
  <c r="D14434" i="2"/>
  <c r="F14434" i="2"/>
  <c r="G14434" i="2"/>
  <c r="H14434" i="2"/>
  <c r="J14434" i="2"/>
  <c r="K14434" i="2"/>
  <c r="L14434" i="2"/>
  <c r="C14435" i="2"/>
  <c r="D14435" i="2"/>
  <c r="F14435" i="2"/>
  <c r="G14435" i="2"/>
  <c r="H14435" i="2"/>
  <c r="J14435" i="2"/>
  <c r="K14435" i="2"/>
  <c r="L14435" i="2"/>
  <c r="C14436" i="2"/>
  <c r="D14436" i="2"/>
  <c r="F14436" i="2"/>
  <c r="G14436" i="2"/>
  <c r="H14436" i="2"/>
  <c r="J14436" i="2"/>
  <c r="K14436" i="2"/>
  <c r="L14436" i="2"/>
  <c r="C14437" i="2"/>
  <c r="D14437" i="2"/>
  <c r="F14437" i="2"/>
  <c r="G14437" i="2"/>
  <c r="H14437" i="2"/>
  <c r="J14437" i="2"/>
  <c r="K14437" i="2"/>
  <c r="L14437" i="2"/>
  <c r="C14438" i="2"/>
  <c r="D14438" i="2"/>
  <c r="F14438" i="2"/>
  <c r="G14438" i="2"/>
  <c r="H14438" i="2"/>
  <c r="J14438" i="2"/>
  <c r="K14438" i="2"/>
  <c r="L14438" i="2"/>
  <c r="C14439" i="2"/>
  <c r="D14439" i="2"/>
  <c r="F14439" i="2"/>
  <c r="G14439" i="2"/>
  <c r="H14439" i="2"/>
  <c r="J14439" i="2"/>
  <c r="K14439" i="2"/>
  <c r="L14439" i="2"/>
  <c r="C14440" i="2"/>
  <c r="D14440" i="2"/>
  <c r="F14440" i="2"/>
  <c r="G14440" i="2"/>
  <c r="H14440" i="2"/>
  <c r="J14440" i="2"/>
  <c r="K14440" i="2"/>
  <c r="L14440" i="2"/>
  <c r="C14441" i="2"/>
  <c r="D14441" i="2"/>
  <c r="F14441" i="2"/>
  <c r="G14441" i="2"/>
  <c r="H14441" i="2"/>
  <c r="J14441" i="2"/>
  <c r="K14441" i="2"/>
  <c r="L14441" i="2"/>
  <c r="C14442" i="2"/>
  <c r="D14442" i="2"/>
  <c r="F14442" i="2"/>
  <c r="G14442" i="2"/>
  <c r="H14442" i="2"/>
  <c r="J14442" i="2"/>
  <c r="K14442" i="2"/>
  <c r="L14442" i="2"/>
  <c r="C14443" i="2"/>
  <c r="D14443" i="2"/>
  <c r="F14443" i="2"/>
  <c r="G14443" i="2"/>
  <c r="H14443" i="2"/>
  <c r="J14443" i="2"/>
  <c r="K14443" i="2"/>
  <c r="L14443" i="2"/>
  <c r="C14444" i="2"/>
  <c r="D14444" i="2"/>
  <c r="F14444" i="2"/>
  <c r="G14444" i="2"/>
  <c r="H14444" i="2"/>
  <c r="J14444" i="2"/>
  <c r="K14444" i="2"/>
  <c r="L14444" i="2"/>
  <c r="C14445" i="2"/>
  <c r="D14445" i="2"/>
  <c r="F14445" i="2"/>
  <c r="G14445" i="2"/>
  <c r="H14445" i="2"/>
  <c r="J14445" i="2"/>
  <c r="K14445" i="2"/>
  <c r="L14445" i="2"/>
  <c r="C14446" i="2"/>
  <c r="D14446" i="2"/>
  <c r="F14446" i="2"/>
  <c r="G14446" i="2"/>
  <c r="H14446" i="2"/>
  <c r="J14446" i="2"/>
  <c r="K14446" i="2"/>
  <c r="L14446" i="2"/>
  <c r="C14447" i="2"/>
  <c r="D14447" i="2"/>
  <c r="F14447" i="2"/>
  <c r="G14447" i="2"/>
  <c r="H14447" i="2"/>
  <c r="J14447" i="2"/>
  <c r="K14447" i="2"/>
  <c r="L14447" i="2"/>
  <c r="C14448" i="2"/>
  <c r="D14448" i="2"/>
  <c r="F14448" i="2"/>
  <c r="G14448" i="2"/>
  <c r="H14448" i="2"/>
  <c r="J14448" i="2"/>
  <c r="K14448" i="2"/>
  <c r="L14448" i="2"/>
  <c r="C14449" i="2"/>
  <c r="D14449" i="2"/>
  <c r="F14449" i="2"/>
  <c r="G14449" i="2"/>
  <c r="H14449" i="2"/>
  <c r="J14449" i="2"/>
  <c r="K14449" i="2"/>
  <c r="L14449" i="2"/>
  <c r="C14450" i="2"/>
  <c r="D14450" i="2"/>
  <c r="F14450" i="2"/>
  <c r="G14450" i="2"/>
  <c r="H14450" i="2"/>
  <c r="J14450" i="2"/>
  <c r="K14450" i="2"/>
  <c r="L14450" i="2"/>
  <c r="C14451" i="2"/>
  <c r="D14451" i="2"/>
  <c r="F14451" i="2"/>
  <c r="G14451" i="2"/>
  <c r="H14451" i="2"/>
  <c r="J14451" i="2"/>
  <c r="K14451" i="2"/>
  <c r="L14451" i="2"/>
  <c r="C14452" i="2"/>
  <c r="D14452" i="2"/>
  <c r="F14452" i="2"/>
  <c r="G14452" i="2"/>
  <c r="H14452" i="2"/>
  <c r="J14452" i="2"/>
  <c r="K14452" i="2"/>
  <c r="L14452" i="2"/>
  <c r="C14453" i="2"/>
  <c r="D14453" i="2"/>
  <c r="F14453" i="2"/>
  <c r="G14453" i="2"/>
  <c r="H14453" i="2"/>
  <c r="J14453" i="2"/>
  <c r="K14453" i="2"/>
  <c r="L14453" i="2"/>
  <c r="C14454" i="2"/>
  <c r="D14454" i="2"/>
  <c r="F14454" i="2"/>
  <c r="G14454" i="2"/>
  <c r="H14454" i="2"/>
  <c r="J14454" i="2"/>
  <c r="K14454" i="2"/>
  <c r="L14454" i="2"/>
  <c r="C14455" i="2"/>
  <c r="D14455" i="2"/>
  <c r="F14455" i="2"/>
  <c r="G14455" i="2"/>
  <c r="H14455" i="2"/>
  <c r="J14455" i="2"/>
  <c r="K14455" i="2"/>
  <c r="L14455" i="2"/>
  <c r="C14456" i="2"/>
  <c r="D14456" i="2"/>
  <c r="F14456" i="2"/>
  <c r="G14456" i="2"/>
  <c r="H14456" i="2"/>
  <c r="J14456" i="2"/>
  <c r="K14456" i="2"/>
  <c r="L14456" i="2"/>
  <c r="C14457" i="2"/>
  <c r="D14457" i="2"/>
  <c r="F14457" i="2"/>
  <c r="G14457" i="2"/>
  <c r="H14457" i="2"/>
  <c r="J14457" i="2"/>
  <c r="K14457" i="2"/>
  <c r="L14457" i="2"/>
  <c r="C14458" i="2"/>
  <c r="D14458" i="2"/>
  <c r="F14458" i="2"/>
  <c r="G14458" i="2"/>
  <c r="H14458" i="2"/>
  <c r="J14458" i="2"/>
  <c r="K14458" i="2"/>
  <c r="L14458" i="2"/>
  <c r="C14459" i="2"/>
  <c r="D14459" i="2"/>
  <c r="F14459" i="2"/>
  <c r="G14459" i="2"/>
  <c r="H14459" i="2"/>
  <c r="J14459" i="2"/>
  <c r="K14459" i="2"/>
  <c r="L14459" i="2"/>
  <c r="C14460" i="2"/>
  <c r="D14460" i="2"/>
  <c r="F14460" i="2"/>
  <c r="G14460" i="2"/>
  <c r="H14460" i="2"/>
  <c r="J14460" i="2"/>
  <c r="K14460" i="2"/>
  <c r="L14460" i="2"/>
  <c r="C14461" i="2"/>
  <c r="D14461" i="2"/>
  <c r="F14461" i="2"/>
  <c r="G14461" i="2"/>
  <c r="H14461" i="2"/>
  <c r="J14461" i="2"/>
  <c r="K14461" i="2"/>
  <c r="L14461" i="2"/>
  <c r="C14462" i="2"/>
  <c r="D14462" i="2"/>
  <c r="F14462" i="2"/>
  <c r="G14462" i="2"/>
  <c r="H14462" i="2"/>
  <c r="J14462" i="2"/>
  <c r="K14462" i="2"/>
  <c r="L14462" i="2"/>
  <c r="C14463" i="2"/>
  <c r="D14463" i="2"/>
  <c r="F14463" i="2"/>
  <c r="G14463" i="2"/>
  <c r="H14463" i="2"/>
  <c r="J14463" i="2"/>
  <c r="K14463" i="2"/>
  <c r="L14463" i="2"/>
  <c r="C14464" i="2"/>
  <c r="D14464" i="2"/>
  <c r="F14464" i="2"/>
  <c r="G14464" i="2"/>
  <c r="H14464" i="2"/>
  <c r="J14464" i="2"/>
  <c r="K14464" i="2"/>
  <c r="L14464" i="2"/>
  <c r="C14465" i="2"/>
  <c r="D14465" i="2"/>
  <c r="F14465" i="2"/>
  <c r="G14465" i="2"/>
  <c r="H14465" i="2"/>
  <c r="J14465" i="2"/>
  <c r="K14465" i="2"/>
  <c r="L14465" i="2"/>
  <c r="C14466" i="2"/>
  <c r="D14466" i="2"/>
  <c r="F14466" i="2"/>
  <c r="G14466" i="2"/>
  <c r="H14466" i="2"/>
  <c r="J14466" i="2"/>
  <c r="K14466" i="2"/>
  <c r="L14466" i="2"/>
  <c r="C14467" i="2"/>
  <c r="D14467" i="2"/>
  <c r="F14467" i="2"/>
  <c r="G14467" i="2"/>
  <c r="H14467" i="2"/>
  <c r="J14467" i="2"/>
  <c r="K14467" i="2"/>
  <c r="L14467" i="2"/>
  <c r="C14468" i="2"/>
  <c r="D14468" i="2"/>
  <c r="F14468" i="2"/>
  <c r="G14468" i="2"/>
  <c r="H14468" i="2"/>
  <c r="J14468" i="2"/>
  <c r="K14468" i="2"/>
  <c r="L14468" i="2"/>
  <c r="C14469" i="2"/>
  <c r="D14469" i="2"/>
  <c r="F14469" i="2"/>
  <c r="G14469" i="2"/>
  <c r="H14469" i="2"/>
  <c r="J14469" i="2"/>
  <c r="K14469" i="2"/>
  <c r="L14469" i="2"/>
  <c r="C14470" i="2"/>
  <c r="D14470" i="2"/>
  <c r="F14470" i="2"/>
  <c r="G14470" i="2"/>
  <c r="H14470" i="2"/>
  <c r="J14470" i="2"/>
  <c r="K14470" i="2"/>
  <c r="L14470" i="2"/>
  <c r="C14471" i="2"/>
  <c r="D14471" i="2"/>
  <c r="F14471" i="2"/>
  <c r="G14471" i="2"/>
  <c r="H14471" i="2"/>
  <c r="J14471" i="2"/>
  <c r="K14471" i="2"/>
  <c r="L14471" i="2"/>
  <c r="C14472" i="2"/>
  <c r="D14472" i="2"/>
  <c r="F14472" i="2"/>
  <c r="G14472" i="2"/>
  <c r="H14472" i="2"/>
  <c r="J14472" i="2"/>
  <c r="K14472" i="2"/>
  <c r="L14472" i="2"/>
  <c r="C14473" i="2"/>
  <c r="D14473" i="2"/>
  <c r="F14473" i="2"/>
  <c r="G14473" i="2"/>
  <c r="H14473" i="2"/>
  <c r="J14473" i="2"/>
  <c r="K14473" i="2"/>
  <c r="L14473" i="2"/>
  <c r="C14474" i="2"/>
  <c r="D14474" i="2"/>
  <c r="F14474" i="2"/>
  <c r="G14474" i="2"/>
  <c r="H14474" i="2"/>
  <c r="J14474" i="2"/>
  <c r="K14474" i="2"/>
  <c r="L14474" i="2"/>
  <c r="C14475" i="2"/>
  <c r="D14475" i="2"/>
  <c r="F14475" i="2"/>
  <c r="G14475" i="2"/>
  <c r="H14475" i="2"/>
  <c r="J14475" i="2"/>
  <c r="K14475" i="2"/>
  <c r="L14475" i="2"/>
  <c r="C14476" i="2"/>
  <c r="D14476" i="2"/>
  <c r="F14476" i="2"/>
  <c r="G14476" i="2"/>
  <c r="H14476" i="2"/>
  <c r="J14476" i="2"/>
  <c r="K14476" i="2"/>
  <c r="L14476" i="2"/>
  <c r="C14477" i="2"/>
  <c r="D14477" i="2"/>
  <c r="F14477" i="2"/>
  <c r="G14477" i="2"/>
  <c r="H14477" i="2"/>
  <c r="J14477" i="2"/>
  <c r="K14477" i="2"/>
  <c r="L14477" i="2"/>
  <c r="C14478" i="2"/>
  <c r="D14478" i="2"/>
  <c r="F14478" i="2"/>
  <c r="G14478" i="2"/>
  <c r="H14478" i="2"/>
  <c r="J14478" i="2"/>
  <c r="K14478" i="2"/>
  <c r="L14478" i="2"/>
  <c r="C14479" i="2"/>
  <c r="D14479" i="2"/>
  <c r="F14479" i="2"/>
  <c r="G14479" i="2"/>
  <c r="H14479" i="2"/>
  <c r="J14479" i="2"/>
  <c r="K14479" i="2"/>
  <c r="L14479" i="2"/>
  <c r="C14480" i="2"/>
  <c r="D14480" i="2"/>
  <c r="F14480" i="2"/>
  <c r="G14480" i="2"/>
  <c r="H14480" i="2"/>
  <c r="J14480" i="2"/>
  <c r="K14480" i="2"/>
  <c r="L14480" i="2"/>
  <c r="C14481" i="2"/>
  <c r="D14481" i="2"/>
  <c r="F14481" i="2"/>
  <c r="G14481" i="2"/>
  <c r="H14481" i="2"/>
  <c r="J14481" i="2"/>
  <c r="K14481" i="2"/>
  <c r="L14481" i="2"/>
  <c r="C14482" i="2"/>
  <c r="D14482" i="2"/>
  <c r="F14482" i="2"/>
  <c r="G14482" i="2"/>
  <c r="H14482" i="2"/>
  <c r="J14482" i="2"/>
  <c r="K14482" i="2"/>
  <c r="L14482" i="2"/>
  <c r="C14483" i="2"/>
  <c r="D14483" i="2"/>
  <c r="F14483" i="2"/>
  <c r="G14483" i="2"/>
  <c r="H14483" i="2"/>
  <c r="J14483" i="2"/>
  <c r="K14483" i="2"/>
  <c r="L14483" i="2"/>
  <c r="C14484" i="2"/>
  <c r="D14484" i="2"/>
  <c r="F14484" i="2"/>
  <c r="G14484" i="2"/>
  <c r="H14484" i="2"/>
  <c r="J14484" i="2"/>
  <c r="K14484" i="2"/>
  <c r="L14484" i="2"/>
  <c r="C14485" i="2"/>
  <c r="D14485" i="2"/>
  <c r="F14485" i="2"/>
  <c r="G14485" i="2"/>
  <c r="H14485" i="2"/>
  <c r="J14485" i="2"/>
  <c r="K14485" i="2"/>
  <c r="L14485" i="2"/>
  <c r="C14486" i="2"/>
  <c r="D14486" i="2"/>
  <c r="F14486" i="2"/>
  <c r="G14486" i="2"/>
  <c r="H14486" i="2"/>
  <c r="J14486" i="2"/>
  <c r="K14486" i="2"/>
  <c r="L14486" i="2"/>
  <c r="C14487" i="2"/>
  <c r="D14487" i="2"/>
  <c r="F14487" i="2"/>
  <c r="G14487" i="2"/>
  <c r="H14487" i="2"/>
  <c r="J14487" i="2"/>
  <c r="K14487" i="2"/>
  <c r="L14487" i="2"/>
  <c r="C14488" i="2"/>
  <c r="D14488" i="2"/>
  <c r="F14488" i="2"/>
  <c r="G14488" i="2"/>
  <c r="H14488" i="2"/>
  <c r="J14488" i="2"/>
  <c r="K14488" i="2"/>
  <c r="L14488" i="2"/>
  <c r="C14489" i="2"/>
  <c r="D14489" i="2"/>
  <c r="F14489" i="2"/>
  <c r="G14489" i="2"/>
  <c r="H14489" i="2"/>
  <c r="J14489" i="2"/>
  <c r="K14489" i="2"/>
  <c r="L14489" i="2"/>
  <c r="C14490" i="2"/>
  <c r="D14490" i="2"/>
  <c r="F14490" i="2"/>
  <c r="G14490" i="2"/>
  <c r="H14490" i="2"/>
  <c r="J14490" i="2"/>
  <c r="K14490" i="2"/>
  <c r="L14490" i="2"/>
  <c r="C14491" i="2"/>
  <c r="D14491" i="2"/>
  <c r="F14491" i="2"/>
  <c r="G14491" i="2"/>
  <c r="H14491" i="2"/>
  <c r="J14491" i="2"/>
  <c r="K14491" i="2"/>
  <c r="L14491" i="2"/>
  <c r="C14492" i="2"/>
  <c r="D14492" i="2"/>
  <c r="F14492" i="2"/>
  <c r="G14492" i="2"/>
  <c r="H14492" i="2"/>
  <c r="J14492" i="2"/>
  <c r="K14492" i="2"/>
  <c r="L14492" i="2"/>
  <c r="C14493" i="2"/>
  <c r="D14493" i="2"/>
  <c r="F14493" i="2"/>
  <c r="G14493" i="2"/>
  <c r="H14493" i="2"/>
  <c r="J14493" i="2"/>
  <c r="K14493" i="2"/>
  <c r="L14493" i="2"/>
  <c r="C14494" i="2"/>
  <c r="D14494" i="2"/>
  <c r="F14494" i="2"/>
  <c r="G14494" i="2"/>
  <c r="H14494" i="2"/>
  <c r="J14494" i="2"/>
  <c r="K14494" i="2"/>
  <c r="L14494" i="2"/>
  <c r="C14495" i="2"/>
  <c r="D14495" i="2"/>
  <c r="F14495" i="2"/>
  <c r="G14495" i="2"/>
  <c r="H14495" i="2"/>
  <c r="J14495" i="2"/>
  <c r="K14495" i="2"/>
  <c r="L14495" i="2"/>
  <c r="C14496" i="2"/>
  <c r="D14496" i="2"/>
  <c r="F14496" i="2"/>
  <c r="G14496" i="2"/>
  <c r="H14496" i="2"/>
  <c r="J14496" i="2"/>
  <c r="K14496" i="2"/>
  <c r="L14496" i="2"/>
  <c r="C14497" i="2"/>
  <c r="D14497" i="2"/>
  <c r="F14497" i="2"/>
  <c r="G14497" i="2"/>
  <c r="H14497" i="2"/>
  <c r="J14497" i="2"/>
  <c r="K14497" i="2"/>
  <c r="L14497" i="2"/>
  <c r="C14498" i="2"/>
  <c r="D14498" i="2"/>
  <c r="F14498" i="2"/>
  <c r="G14498" i="2"/>
  <c r="H14498" i="2"/>
  <c r="J14498" i="2"/>
  <c r="K14498" i="2"/>
  <c r="L14498" i="2"/>
  <c r="C14499" i="2"/>
  <c r="D14499" i="2"/>
  <c r="F14499" i="2"/>
  <c r="G14499" i="2"/>
  <c r="H14499" i="2"/>
  <c r="J14499" i="2"/>
  <c r="K14499" i="2"/>
  <c r="L14499" i="2"/>
  <c r="C14500" i="2"/>
  <c r="D14500" i="2"/>
  <c r="F14500" i="2"/>
  <c r="G14500" i="2"/>
  <c r="H14500" i="2"/>
  <c r="J14500" i="2"/>
  <c r="K14500" i="2"/>
  <c r="L14500" i="2"/>
  <c r="C14501" i="2"/>
  <c r="D14501" i="2"/>
  <c r="F14501" i="2"/>
  <c r="G14501" i="2"/>
  <c r="H14501" i="2"/>
  <c r="J14501" i="2"/>
  <c r="K14501" i="2"/>
  <c r="L14501" i="2"/>
  <c r="C14502" i="2"/>
  <c r="D14502" i="2"/>
  <c r="F14502" i="2"/>
  <c r="G14502" i="2"/>
  <c r="H14502" i="2"/>
  <c r="J14502" i="2"/>
  <c r="K14502" i="2"/>
  <c r="L14502" i="2"/>
  <c r="C14503" i="2"/>
  <c r="D14503" i="2"/>
  <c r="F14503" i="2"/>
  <c r="G14503" i="2"/>
  <c r="H14503" i="2"/>
  <c r="J14503" i="2"/>
  <c r="K14503" i="2"/>
  <c r="L14503" i="2"/>
  <c r="C14504" i="2"/>
  <c r="D14504" i="2"/>
  <c r="F14504" i="2"/>
  <c r="G14504" i="2"/>
  <c r="H14504" i="2"/>
  <c r="J14504" i="2"/>
  <c r="K14504" i="2"/>
  <c r="L14504" i="2"/>
  <c r="C14505" i="2"/>
  <c r="D14505" i="2"/>
  <c r="F14505" i="2"/>
  <c r="G14505" i="2"/>
  <c r="H14505" i="2"/>
  <c r="J14505" i="2"/>
  <c r="K14505" i="2"/>
  <c r="L14505" i="2"/>
  <c r="C14506" i="2"/>
  <c r="D14506" i="2"/>
  <c r="F14506" i="2"/>
  <c r="G14506" i="2"/>
  <c r="H14506" i="2"/>
  <c r="J14506" i="2"/>
  <c r="K14506" i="2"/>
  <c r="L14506" i="2"/>
  <c r="C14507" i="2"/>
  <c r="D14507" i="2"/>
  <c r="F14507" i="2"/>
  <c r="G14507" i="2"/>
  <c r="H14507" i="2"/>
  <c r="J14507" i="2"/>
  <c r="K14507" i="2"/>
  <c r="L14507" i="2"/>
  <c r="C14508" i="2"/>
  <c r="D14508" i="2"/>
  <c r="F14508" i="2"/>
  <c r="G14508" i="2"/>
  <c r="H14508" i="2"/>
  <c r="J14508" i="2"/>
  <c r="K14508" i="2"/>
  <c r="L14508" i="2"/>
  <c r="C14509" i="2"/>
  <c r="D14509" i="2"/>
  <c r="F14509" i="2"/>
  <c r="G14509" i="2"/>
  <c r="H14509" i="2"/>
  <c r="J14509" i="2"/>
  <c r="K14509" i="2"/>
  <c r="L14509" i="2"/>
  <c r="C14510" i="2"/>
  <c r="D14510" i="2"/>
  <c r="F14510" i="2"/>
  <c r="G14510" i="2"/>
  <c r="H14510" i="2"/>
  <c r="J14510" i="2"/>
  <c r="K14510" i="2"/>
  <c r="L14510" i="2"/>
  <c r="C14511" i="2"/>
  <c r="D14511" i="2"/>
  <c r="F14511" i="2"/>
  <c r="G14511" i="2"/>
  <c r="H14511" i="2"/>
  <c r="J14511" i="2"/>
  <c r="K14511" i="2"/>
  <c r="L14511" i="2"/>
  <c r="C14512" i="2"/>
  <c r="D14512" i="2"/>
  <c r="F14512" i="2"/>
  <c r="G14512" i="2"/>
  <c r="H14512" i="2"/>
  <c r="J14512" i="2"/>
  <c r="K14512" i="2"/>
  <c r="L14512" i="2"/>
  <c r="C14513" i="2"/>
  <c r="D14513" i="2"/>
  <c r="F14513" i="2"/>
  <c r="G14513" i="2"/>
  <c r="H14513" i="2"/>
  <c r="J14513" i="2"/>
  <c r="K14513" i="2"/>
  <c r="L14513" i="2"/>
  <c r="C14514" i="2"/>
  <c r="D14514" i="2"/>
  <c r="F14514" i="2"/>
  <c r="G14514" i="2"/>
  <c r="H14514" i="2"/>
  <c r="J14514" i="2"/>
  <c r="K14514" i="2"/>
  <c r="L14514" i="2"/>
  <c r="C14515" i="2"/>
  <c r="D14515" i="2"/>
  <c r="F14515" i="2"/>
  <c r="G14515" i="2"/>
  <c r="H14515" i="2"/>
  <c r="J14515" i="2"/>
  <c r="K14515" i="2"/>
  <c r="L14515" i="2"/>
  <c r="C14516" i="2"/>
  <c r="D14516" i="2"/>
  <c r="F14516" i="2"/>
  <c r="G14516" i="2"/>
  <c r="H14516" i="2"/>
  <c r="J14516" i="2"/>
  <c r="K14516" i="2"/>
  <c r="L14516" i="2"/>
  <c r="C14517" i="2"/>
  <c r="D14517" i="2"/>
  <c r="F14517" i="2"/>
  <c r="G14517" i="2"/>
  <c r="H14517" i="2"/>
  <c r="J14517" i="2"/>
  <c r="K14517" i="2"/>
  <c r="L14517" i="2"/>
  <c r="C14518" i="2"/>
  <c r="D14518" i="2"/>
  <c r="F14518" i="2"/>
  <c r="G14518" i="2"/>
  <c r="H14518" i="2"/>
  <c r="J14518" i="2"/>
  <c r="K14518" i="2"/>
  <c r="L14518" i="2"/>
  <c r="C14519" i="2"/>
  <c r="D14519" i="2"/>
  <c r="F14519" i="2"/>
  <c r="G14519" i="2"/>
  <c r="H14519" i="2"/>
  <c r="J14519" i="2"/>
  <c r="K14519" i="2"/>
  <c r="L14519" i="2"/>
  <c r="C14520" i="2"/>
  <c r="D14520" i="2"/>
  <c r="F14520" i="2"/>
  <c r="G14520" i="2"/>
  <c r="H14520" i="2"/>
  <c r="J14520" i="2"/>
  <c r="K14520" i="2"/>
  <c r="L14520" i="2"/>
  <c r="C14521" i="2"/>
  <c r="D14521" i="2"/>
  <c r="F14521" i="2"/>
  <c r="G14521" i="2"/>
  <c r="H14521" i="2"/>
  <c r="J14521" i="2"/>
  <c r="K14521" i="2"/>
  <c r="L14521" i="2"/>
  <c r="C14522" i="2"/>
  <c r="D14522" i="2"/>
  <c r="F14522" i="2"/>
  <c r="G14522" i="2"/>
  <c r="H14522" i="2"/>
  <c r="J14522" i="2"/>
  <c r="K14522" i="2"/>
  <c r="L14522" i="2"/>
  <c r="C14523" i="2"/>
  <c r="D14523" i="2"/>
  <c r="F14523" i="2"/>
  <c r="G14523" i="2"/>
  <c r="H14523" i="2"/>
  <c r="J14523" i="2"/>
  <c r="K14523" i="2"/>
  <c r="L14523" i="2"/>
  <c r="C14524" i="2"/>
  <c r="D14524" i="2"/>
  <c r="F14524" i="2"/>
  <c r="G14524" i="2"/>
  <c r="H14524" i="2"/>
  <c r="J14524" i="2"/>
  <c r="K14524" i="2"/>
  <c r="L14524" i="2"/>
  <c r="C14525" i="2"/>
  <c r="D14525" i="2"/>
  <c r="F14525" i="2"/>
  <c r="G14525" i="2"/>
  <c r="H14525" i="2"/>
  <c r="J14525" i="2"/>
  <c r="K14525" i="2"/>
  <c r="L14525" i="2"/>
  <c r="C14526" i="2"/>
  <c r="D14526" i="2"/>
  <c r="F14526" i="2"/>
  <c r="G14526" i="2"/>
  <c r="H14526" i="2"/>
  <c r="J14526" i="2"/>
  <c r="K14526" i="2"/>
  <c r="L14526" i="2"/>
  <c r="C14527" i="2"/>
  <c r="D14527" i="2"/>
  <c r="F14527" i="2"/>
  <c r="G14527" i="2"/>
  <c r="H14527" i="2"/>
  <c r="J14527" i="2"/>
  <c r="K14527" i="2"/>
  <c r="L14527" i="2"/>
  <c r="C14528" i="2"/>
  <c r="D14528" i="2"/>
  <c r="F14528" i="2"/>
  <c r="G14528" i="2"/>
  <c r="H14528" i="2"/>
  <c r="J14528" i="2"/>
  <c r="K14528" i="2"/>
  <c r="L14528" i="2"/>
  <c r="C14529" i="2"/>
  <c r="D14529" i="2"/>
  <c r="F14529" i="2"/>
  <c r="G14529" i="2"/>
  <c r="H14529" i="2"/>
  <c r="J14529" i="2"/>
  <c r="K14529" i="2"/>
  <c r="L14529" i="2"/>
  <c r="C14530" i="2"/>
  <c r="D14530" i="2"/>
  <c r="F14530" i="2"/>
  <c r="G14530" i="2"/>
  <c r="H14530" i="2"/>
  <c r="J14530" i="2"/>
  <c r="K14530" i="2"/>
  <c r="L14530" i="2"/>
  <c r="C14531" i="2"/>
  <c r="D14531" i="2"/>
  <c r="F14531" i="2"/>
  <c r="G14531" i="2"/>
  <c r="H14531" i="2"/>
  <c r="J14531" i="2"/>
  <c r="K14531" i="2"/>
  <c r="L14531" i="2"/>
  <c r="C14532" i="2"/>
  <c r="D14532" i="2"/>
  <c r="F14532" i="2"/>
  <c r="G14532" i="2"/>
  <c r="H14532" i="2"/>
  <c r="J14532" i="2"/>
  <c r="K14532" i="2"/>
  <c r="L14532" i="2"/>
  <c r="C14533" i="2"/>
  <c r="D14533" i="2"/>
  <c r="F14533" i="2"/>
  <c r="G14533" i="2"/>
  <c r="H14533" i="2"/>
  <c r="J14533" i="2"/>
  <c r="K14533" i="2"/>
  <c r="L14533" i="2"/>
  <c r="C14534" i="2"/>
  <c r="D14534" i="2"/>
  <c r="F14534" i="2"/>
  <c r="G14534" i="2"/>
  <c r="H14534" i="2"/>
  <c r="J14534" i="2"/>
  <c r="K14534" i="2"/>
  <c r="L14534" i="2"/>
  <c r="C14535" i="2"/>
  <c r="D14535" i="2"/>
  <c r="F14535" i="2"/>
  <c r="G14535" i="2"/>
  <c r="H14535" i="2"/>
  <c r="J14535" i="2"/>
  <c r="K14535" i="2"/>
  <c r="L14535" i="2"/>
  <c r="C14536" i="2"/>
  <c r="D14536" i="2"/>
  <c r="F14536" i="2"/>
  <c r="G14536" i="2"/>
  <c r="H14536" i="2"/>
  <c r="J14536" i="2"/>
  <c r="K14536" i="2"/>
  <c r="L14536" i="2"/>
  <c r="C14537" i="2"/>
  <c r="D14537" i="2"/>
  <c r="F14537" i="2"/>
  <c r="G14537" i="2"/>
  <c r="H14537" i="2"/>
  <c r="J14537" i="2"/>
  <c r="K14537" i="2"/>
  <c r="L14537" i="2"/>
  <c r="C14538" i="2"/>
  <c r="D14538" i="2"/>
  <c r="F14538" i="2"/>
  <c r="G14538" i="2"/>
  <c r="H14538" i="2"/>
  <c r="J14538" i="2"/>
  <c r="K14538" i="2"/>
  <c r="L14538" i="2"/>
  <c r="C14539" i="2"/>
  <c r="D14539" i="2"/>
  <c r="F14539" i="2"/>
  <c r="G14539" i="2"/>
  <c r="H14539" i="2"/>
  <c r="J14539" i="2"/>
  <c r="K14539" i="2"/>
  <c r="L14539" i="2"/>
  <c r="C14540" i="2"/>
  <c r="D14540" i="2"/>
  <c r="F14540" i="2"/>
  <c r="G14540" i="2"/>
  <c r="H14540" i="2"/>
  <c r="J14540" i="2"/>
  <c r="K14540" i="2"/>
  <c r="L14540" i="2"/>
  <c r="C14541" i="2"/>
  <c r="D14541" i="2"/>
  <c r="F14541" i="2"/>
  <c r="G14541" i="2"/>
  <c r="H14541" i="2"/>
  <c r="J14541" i="2"/>
  <c r="K14541" i="2"/>
  <c r="L14541" i="2"/>
  <c r="C14542" i="2"/>
  <c r="D14542" i="2"/>
  <c r="F14542" i="2"/>
  <c r="G14542" i="2"/>
  <c r="H14542" i="2"/>
  <c r="J14542" i="2"/>
  <c r="K14542" i="2"/>
  <c r="L14542" i="2"/>
  <c r="C14543" i="2"/>
  <c r="D14543" i="2"/>
  <c r="F14543" i="2"/>
  <c r="G14543" i="2"/>
  <c r="H14543" i="2"/>
  <c r="J14543" i="2"/>
  <c r="K14543" i="2"/>
  <c r="L14543" i="2"/>
  <c r="C14544" i="2"/>
  <c r="D14544" i="2"/>
  <c r="F14544" i="2"/>
  <c r="G14544" i="2"/>
  <c r="H14544" i="2"/>
  <c r="J14544" i="2"/>
  <c r="K14544" i="2"/>
  <c r="L14544" i="2"/>
  <c r="C14545" i="2"/>
  <c r="D14545" i="2"/>
  <c r="F14545" i="2"/>
  <c r="G14545" i="2"/>
  <c r="H14545" i="2"/>
  <c r="J14545" i="2"/>
  <c r="K14545" i="2"/>
  <c r="L14545" i="2"/>
  <c r="C14546" i="2"/>
  <c r="D14546" i="2"/>
  <c r="F14546" i="2"/>
  <c r="G14546" i="2"/>
  <c r="H14546" i="2"/>
  <c r="J14546" i="2"/>
  <c r="K14546" i="2"/>
  <c r="L14546" i="2"/>
  <c r="C14547" i="2"/>
  <c r="D14547" i="2"/>
  <c r="F14547" i="2"/>
  <c r="G14547" i="2"/>
  <c r="H14547" i="2"/>
  <c r="J14547" i="2"/>
  <c r="K14547" i="2"/>
  <c r="L14547" i="2"/>
  <c r="C14548" i="2"/>
  <c r="D14548" i="2"/>
  <c r="F14548" i="2"/>
  <c r="G14548" i="2"/>
  <c r="H14548" i="2"/>
  <c r="J14548" i="2"/>
  <c r="K14548" i="2"/>
  <c r="L14548" i="2"/>
  <c r="C14549" i="2"/>
  <c r="D14549" i="2"/>
  <c r="F14549" i="2"/>
  <c r="G14549" i="2"/>
  <c r="H14549" i="2"/>
  <c r="J14549" i="2"/>
  <c r="K14549" i="2"/>
  <c r="L14549" i="2"/>
  <c r="C14550" i="2"/>
  <c r="D14550" i="2"/>
  <c r="F14550" i="2"/>
  <c r="G14550" i="2"/>
  <c r="H14550" i="2"/>
  <c r="J14550" i="2"/>
  <c r="K14550" i="2"/>
  <c r="L14550" i="2"/>
  <c r="C14551" i="2"/>
  <c r="D14551" i="2"/>
  <c r="F14551" i="2"/>
  <c r="G14551" i="2"/>
  <c r="H14551" i="2"/>
  <c r="J14551" i="2"/>
  <c r="K14551" i="2"/>
  <c r="L14551" i="2"/>
  <c r="C14552" i="2"/>
  <c r="D14552" i="2"/>
  <c r="F14552" i="2"/>
  <c r="G14552" i="2"/>
  <c r="H14552" i="2"/>
  <c r="J14552" i="2"/>
  <c r="K14552" i="2"/>
  <c r="L14552" i="2"/>
  <c r="C14553" i="2"/>
  <c r="D14553" i="2"/>
  <c r="F14553" i="2"/>
  <c r="G14553" i="2"/>
  <c r="H14553" i="2"/>
  <c r="J14553" i="2"/>
  <c r="K14553" i="2"/>
  <c r="L14553" i="2"/>
  <c r="C14554" i="2"/>
  <c r="D14554" i="2"/>
  <c r="F14554" i="2"/>
  <c r="G14554" i="2"/>
  <c r="H14554" i="2"/>
  <c r="J14554" i="2"/>
  <c r="K14554" i="2"/>
  <c r="L14554" i="2"/>
  <c r="C14555" i="2"/>
  <c r="D14555" i="2"/>
  <c r="F14555" i="2"/>
  <c r="G14555" i="2"/>
  <c r="H14555" i="2"/>
  <c r="J14555" i="2"/>
  <c r="K14555" i="2"/>
  <c r="L14555" i="2"/>
  <c r="C14556" i="2"/>
  <c r="D14556" i="2"/>
  <c r="F14556" i="2"/>
  <c r="G14556" i="2"/>
  <c r="H14556" i="2"/>
  <c r="J14556" i="2"/>
  <c r="K14556" i="2"/>
  <c r="L14556" i="2"/>
  <c r="C14557" i="2"/>
  <c r="D14557" i="2"/>
  <c r="F14557" i="2"/>
  <c r="G14557" i="2"/>
  <c r="H14557" i="2"/>
  <c r="J14557" i="2"/>
  <c r="K14557" i="2"/>
  <c r="L14557" i="2"/>
  <c r="C14558" i="2"/>
  <c r="D14558" i="2"/>
  <c r="F14558" i="2"/>
  <c r="G14558" i="2"/>
  <c r="H14558" i="2"/>
  <c r="J14558" i="2"/>
  <c r="K14558" i="2"/>
  <c r="L14558" i="2"/>
  <c r="D14559" i="2"/>
  <c r="F14559" i="2"/>
  <c r="G14559" i="2"/>
  <c r="H14559" i="2"/>
  <c r="J14559" i="2"/>
  <c r="K14559" i="2"/>
  <c r="L14559" i="2"/>
  <c r="C14560" i="2"/>
  <c r="D14560" i="2"/>
  <c r="F14560" i="2"/>
  <c r="G14560" i="2"/>
  <c r="H14560" i="2"/>
  <c r="J14560" i="2"/>
  <c r="K14560" i="2"/>
  <c r="L14560" i="2"/>
  <c r="C14561" i="2"/>
  <c r="D14561" i="2"/>
  <c r="F14561" i="2"/>
  <c r="G14561" i="2"/>
  <c r="H14561" i="2"/>
  <c r="J14561" i="2"/>
  <c r="K14561" i="2"/>
  <c r="L14561" i="2"/>
  <c r="C14562" i="2"/>
  <c r="D14562" i="2"/>
  <c r="F14562" i="2"/>
  <c r="G14562" i="2"/>
  <c r="H14562" i="2"/>
  <c r="J14562" i="2"/>
  <c r="K14562" i="2"/>
  <c r="L14562" i="2"/>
  <c r="C14563" i="2"/>
  <c r="D14563" i="2"/>
  <c r="F14563" i="2"/>
  <c r="G14563" i="2"/>
  <c r="H14563" i="2"/>
  <c r="J14563" i="2"/>
  <c r="K14563" i="2"/>
  <c r="L14563" i="2"/>
  <c r="C14564" i="2"/>
  <c r="D14564" i="2"/>
  <c r="F14564" i="2"/>
  <c r="G14564" i="2"/>
  <c r="H14564" i="2"/>
  <c r="J14564" i="2"/>
  <c r="K14564" i="2"/>
  <c r="L14564" i="2"/>
  <c r="C14565" i="2"/>
  <c r="D14565" i="2"/>
  <c r="F14565" i="2"/>
  <c r="G14565" i="2"/>
  <c r="H14565" i="2"/>
  <c r="J14565" i="2"/>
  <c r="K14565" i="2"/>
  <c r="L14565" i="2"/>
  <c r="C14566" i="2"/>
  <c r="D14566" i="2"/>
  <c r="F14566" i="2"/>
  <c r="G14566" i="2"/>
  <c r="H14566" i="2"/>
  <c r="J14566" i="2"/>
  <c r="K14566" i="2"/>
  <c r="L14566" i="2"/>
  <c r="C14567" i="2"/>
  <c r="D14567" i="2"/>
  <c r="F14567" i="2"/>
  <c r="G14567" i="2"/>
  <c r="H14567" i="2"/>
  <c r="J14567" i="2"/>
  <c r="K14567" i="2"/>
  <c r="L14567" i="2"/>
  <c r="C14568" i="2"/>
  <c r="D14568" i="2"/>
  <c r="E14568" i="2"/>
  <c r="F14568" i="2"/>
  <c r="G14568" i="2"/>
  <c r="H14568" i="2"/>
  <c r="J14568" i="2"/>
  <c r="K14568" i="2"/>
  <c r="L14568" i="2"/>
  <c r="C14569" i="2"/>
  <c r="D14569" i="2"/>
  <c r="F14569" i="2"/>
  <c r="G14569" i="2"/>
  <c r="H14569" i="2"/>
  <c r="J14569" i="2"/>
  <c r="K14569" i="2"/>
  <c r="L14569" i="2"/>
  <c r="C14570" i="2"/>
  <c r="D14570" i="2"/>
  <c r="F14570" i="2"/>
  <c r="G14570" i="2"/>
  <c r="H14570" i="2"/>
  <c r="J14570" i="2"/>
  <c r="K14570" i="2"/>
  <c r="L14570" i="2"/>
  <c r="C14571" i="2"/>
  <c r="D14571" i="2"/>
  <c r="F14571" i="2"/>
  <c r="G14571" i="2"/>
  <c r="H14571" i="2"/>
  <c r="J14571" i="2"/>
  <c r="K14571" i="2"/>
  <c r="L14571" i="2"/>
  <c r="C14572" i="2"/>
  <c r="D14572" i="2"/>
  <c r="F14572" i="2"/>
  <c r="G14572" i="2"/>
  <c r="H14572" i="2"/>
  <c r="J14572" i="2"/>
  <c r="K14572" i="2"/>
  <c r="L14572" i="2"/>
  <c r="C14573" i="2"/>
  <c r="D14573" i="2"/>
  <c r="F14573" i="2"/>
  <c r="G14573" i="2"/>
  <c r="H14573" i="2"/>
  <c r="J14573" i="2"/>
  <c r="K14573" i="2"/>
  <c r="L14573" i="2"/>
  <c r="C14574" i="2"/>
  <c r="D14574" i="2"/>
  <c r="F14574" i="2"/>
  <c r="G14574" i="2"/>
  <c r="H14574" i="2"/>
  <c r="J14574" i="2"/>
  <c r="K14574" i="2"/>
  <c r="L14574" i="2"/>
  <c r="C14575" i="2"/>
  <c r="D14575" i="2"/>
  <c r="F14575" i="2"/>
  <c r="G14575" i="2"/>
  <c r="H14575" i="2"/>
  <c r="J14575" i="2"/>
  <c r="K14575" i="2"/>
  <c r="L14575" i="2"/>
  <c r="C14576" i="2"/>
  <c r="D14576" i="2"/>
  <c r="F14576" i="2"/>
  <c r="G14576" i="2"/>
  <c r="H14576" i="2"/>
  <c r="J14576" i="2"/>
  <c r="K14576" i="2"/>
  <c r="L14576" i="2"/>
  <c r="C14577" i="2"/>
  <c r="D14577" i="2"/>
  <c r="F14577" i="2"/>
  <c r="G14577" i="2"/>
  <c r="H14577" i="2"/>
  <c r="J14577" i="2"/>
  <c r="K14577" i="2"/>
  <c r="L14577" i="2"/>
  <c r="C14578" i="2"/>
  <c r="D14578" i="2"/>
  <c r="F14578" i="2"/>
  <c r="G14578" i="2"/>
  <c r="H14578" i="2"/>
  <c r="J14578" i="2"/>
  <c r="K14578" i="2"/>
  <c r="L14578" i="2"/>
  <c r="C14579" i="2"/>
  <c r="D14579" i="2"/>
  <c r="F14579" i="2"/>
  <c r="G14579" i="2"/>
  <c r="H14579" i="2"/>
  <c r="J14579" i="2"/>
  <c r="K14579" i="2"/>
  <c r="L14579" i="2"/>
  <c r="C14580" i="2"/>
  <c r="D14580" i="2"/>
  <c r="F14580" i="2"/>
  <c r="G14580" i="2"/>
  <c r="H14580" i="2"/>
  <c r="J14580" i="2"/>
  <c r="K14580" i="2"/>
  <c r="L14580" i="2"/>
  <c r="C14581" i="2"/>
  <c r="D14581" i="2"/>
  <c r="F14581" i="2"/>
  <c r="G14581" i="2"/>
  <c r="H14581" i="2"/>
  <c r="J14581" i="2"/>
  <c r="K14581" i="2"/>
  <c r="L14581" i="2"/>
  <c r="C14582" i="2"/>
  <c r="D14582" i="2"/>
  <c r="F14582" i="2"/>
  <c r="G14582" i="2"/>
  <c r="H14582" i="2"/>
  <c r="J14582" i="2"/>
  <c r="K14582" i="2"/>
  <c r="L14582" i="2"/>
  <c r="C14583" i="2"/>
  <c r="D14583" i="2"/>
  <c r="F14583" i="2"/>
  <c r="G14583" i="2"/>
  <c r="H14583" i="2"/>
  <c r="J14583" i="2"/>
  <c r="K14583" i="2"/>
  <c r="L14583" i="2"/>
  <c r="C14584" i="2"/>
  <c r="D14584" i="2"/>
  <c r="F14584" i="2"/>
  <c r="G14584" i="2"/>
  <c r="H14584" i="2"/>
  <c r="J14584" i="2"/>
  <c r="K14584" i="2"/>
  <c r="L14584" i="2"/>
  <c r="C14585" i="2"/>
  <c r="D14585" i="2"/>
  <c r="F14585" i="2"/>
  <c r="G14585" i="2"/>
  <c r="H14585" i="2"/>
  <c r="J14585" i="2"/>
  <c r="K14585" i="2"/>
  <c r="L14585" i="2"/>
  <c r="C14586" i="2"/>
  <c r="D14586" i="2"/>
  <c r="F14586" i="2"/>
  <c r="G14586" i="2"/>
  <c r="H14586" i="2"/>
  <c r="J14586" i="2"/>
  <c r="K14586" i="2"/>
  <c r="L14586" i="2"/>
  <c r="C14587" i="2"/>
  <c r="D14587" i="2"/>
  <c r="F14587" i="2"/>
  <c r="G14587" i="2"/>
  <c r="H14587" i="2"/>
  <c r="J14587" i="2"/>
  <c r="K14587" i="2"/>
  <c r="L14587" i="2"/>
  <c r="C14588" i="2"/>
  <c r="D14588" i="2"/>
  <c r="F14588" i="2"/>
  <c r="G14588" i="2"/>
  <c r="H14588" i="2"/>
  <c r="J14588" i="2"/>
  <c r="K14588" i="2"/>
  <c r="L14588" i="2"/>
  <c r="C14589" i="2"/>
  <c r="D14589" i="2"/>
  <c r="F14589" i="2"/>
  <c r="G14589" i="2"/>
  <c r="H14589" i="2"/>
  <c r="J14589" i="2"/>
  <c r="K14589" i="2"/>
  <c r="L14589" i="2"/>
  <c r="C14590" i="2"/>
  <c r="D14590" i="2"/>
  <c r="F14590" i="2"/>
  <c r="G14590" i="2"/>
  <c r="H14590" i="2"/>
  <c r="J14590" i="2"/>
  <c r="K14590" i="2"/>
  <c r="L14590" i="2"/>
  <c r="C14591" i="2"/>
  <c r="D14591" i="2"/>
  <c r="F14591" i="2"/>
  <c r="G14591" i="2"/>
  <c r="H14591" i="2"/>
  <c r="J14591" i="2"/>
  <c r="K14591" i="2"/>
  <c r="L14591" i="2"/>
  <c r="C14592" i="2"/>
  <c r="D14592" i="2"/>
  <c r="F14592" i="2"/>
  <c r="G14592" i="2"/>
  <c r="H14592" i="2"/>
  <c r="J14592" i="2"/>
  <c r="K14592" i="2"/>
  <c r="L14592" i="2"/>
  <c r="C14593" i="2"/>
  <c r="D14593" i="2"/>
  <c r="F14593" i="2"/>
  <c r="G14593" i="2"/>
  <c r="H14593" i="2"/>
  <c r="J14593" i="2"/>
  <c r="K14593" i="2"/>
  <c r="L14593" i="2"/>
  <c r="C14594" i="2"/>
  <c r="D14594" i="2"/>
  <c r="F14594" i="2"/>
  <c r="G14594" i="2"/>
  <c r="H14594" i="2"/>
  <c r="J14594" i="2"/>
  <c r="K14594" i="2"/>
  <c r="L14594" i="2"/>
  <c r="C14595" i="2"/>
  <c r="D14595" i="2"/>
  <c r="F14595" i="2"/>
  <c r="G14595" i="2"/>
  <c r="H14595" i="2"/>
  <c r="J14595" i="2"/>
  <c r="K14595" i="2"/>
  <c r="L14595" i="2"/>
  <c r="C14596" i="2"/>
  <c r="D14596" i="2"/>
  <c r="F14596" i="2"/>
  <c r="G14596" i="2"/>
  <c r="H14596" i="2"/>
  <c r="J14596" i="2"/>
  <c r="K14596" i="2"/>
  <c r="L14596" i="2"/>
  <c r="C14597" i="2"/>
  <c r="D14597" i="2"/>
  <c r="F14597" i="2"/>
  <c r="G14597" i="2"/>
  <c r="H14597" i="2"/>
  <c r="J14597" i="2"/>
  <c r="K14597" i="2"/>
  <c r="L14597" i="2"/>
  <c r="C14598" i="2"/>
  <c r="D14598" i="2"/>
  <c r="F14598" i="2"/>
  <c r="G14598" i="2"/>
  <c r="H14598" i="2"/>
  <c r="J14598" i="2"/>
  <c r="K14598" i="2"/>
  <c r="L14598" i="2"/>
  <c r="C14599" i="2"/>
  <c r="D14599" i="2"/>
  <c r="F14599" i="2"/>
  <c r="G14599" i="2"/>
  <c r="H14599" i="2"/>
  <c r="J14599" i="2"/>
  <c r="K14599" i="2"/>
  <c r="L14599" i="2"/>
  <c r="C14600" i="2"/>
  <c r="D14600" i="2"/>
  <c r="F14600" i="2"/>
  <c r="G14600" i="2"/>
  <c r="H14600" i="2"/>
  <c r="J14600" i="2"/>
  <c r="K14600" i="2"/>
  <c r="L14600" i="2"/>
  <c r="C14601" i="2"/>
  <c r="D14601" i="2"/>
  <c r="F14601" i="2"/>
  <c r="G14601" i="2"/>
  <c r="H14601" i="2"/>
  <c r="J14601" i="2"/>
  <c r="K14601" i="2"/>
  <c r="L14601" i="2"/>
  <c r="C14602" i="2"/>
  <c r="D14602" i="2"/>
  <c r="F14602" i="2"/>
  <c r="G14602" i="2"/>
  <c r="H14602" i="2"/>
  <c r="J14602" i="2"/>
  <c r="K14602" i="2"/>
  <c r="L14602" i="2"/>
  <c r="C14603" i="2"/>
  <c r="D14603" i="2"/>
  <c r="F14603" i="2"/>
  <c r="G14603" i="2"/>
  <c r="H14603" i="2"/>
  <c r="J14603" i="2"/>
  <c r="K14603" i="2"/>
  <c r="L14603" i="2"/>
  <c r="C14604" i="2"/>
  <c r="D14604" i="2"/>
  <c r="F14604" i="2"/>
  <c r="G14604" i="2"/>
  <c r="H14604" i="2"/>
  <c r="J14604" i="2"/>
  <c r="K14604" i="2"/>
  <c r="L14604" i="2"/>
  <c r="C14605" i="2"/>
  <c r="D14605" i="2"/>
  <c r="F14605" i="2"/>
  <c r="G14605" i="2"/>
  <c r="H14605" i="2"/>
  <c r="J14605" i="2"/>
  <c r="K14605" i="2"/>
  <c r="L14605" i="2"/>
  <c r="C14606" i="2"/>
  <c r="D14606" i="2"/>
  <c r="F14606" i="2"/>
  <c r="G14606" i="2"/>
  <c r="H14606" i="2"/>
  <c r="J14606" i="2"/>
  <c r="K14606" i="2"/>
  <c r="L14606" i="2"/>
  <c r="C14607" i="2"/>
  <c r="D14607" i="2"/>
  <c r="F14607" i="2"/>
  <c r="G14607" i="2"/>
  <c r="H14607" i="2"/>
  <c r="J14607" i="2"/>
  <c r="K14607" i="2"/>
  <c r="L14607" i="2"/>
  <c r="C14608" i="2"/>
  <c r="D14608" i="2"/>
  <c r="F14608" i="2"/>
  <c r="G14608" i="2"/>
  <c r="H14608" i="2"/>
  <c r="J14608" i="2"/>
  <c r="K14608" i="2"/>
  <c r="L14608" i="2"/>
  <c r="C14609" i="2"/>
  <c r="D14609" i="2"/>
  <c r="F14609" i="2"/>
  <c r="G14609" i="2"/>
  <c r="H14609" i="2"/>
  <c r="J14609" i="2"/>
  <c r="K14609" i="2"/>
  <c r="L14609" i="2"/>
  <c r="C14610" i="2"/>
  <c r="D14610" i="2"/>
  <c r="F14610" i="2"/>
  <c r="G14610" i="2"/>
  <c r="H14610" i="2"/>
  <c r="J14610" i="2"/>
  <c r="K14610" i="2"/>
  <c r="L14610" i="2"/>
  <c r="C14611" i="2"/>
  <c r="D14611" i="2"/>
  <c r="F14611" i="2"/>
  <c r="G14611" i="2"/>
  <c r="H14611" i="2"/>
  <c r="J14611" i="2"/>
  <c r="K14611" i="2"/>
  <c r="L14611" i="2"/>
  <c r="C14612" i="2"/>
  <c r="D14612" i="2"/>
  <c r="F14612" i="2"/>
  <c r="G14612" i="2"/>
  <c r="H14612" i="2"/>
  <c r="J14612" i="2"/>
  <c r="K14612" i="2"/>
  <c r="L14612" i="2"/>
  <c r="C14613" i="2"/>
  <c r="D14613" i="2"/>
  <c r="F14613" i="2"/>
  <c r="G14613" i="2"/>
  <c r="H14613" i="2"/>
  <c r="J14613" i="2"/>
  <c r="K14613" i="2"/>
  <c r="L14613" i="2"/>
  <c r="C14614" i="2"/>
  <c r="D14614" i="2"/>
  <c r="F14614" i="2"/>
  <c r="G14614" i="2"/>
  <c r="H14614" i="2"/>
  <c r="J14614" i="2"/>
  <c r="K14614" i="2"/>
  <c r="L14614" i="2"/>
  <c r="C14615" i="2"/>
  <c r="D14615" i="2"/>
  <c r="F14615" i="2"/>
  <c r="G14615" i="2"/>
  <c r="H14615" i="2"/>
  <c r="J14615" i="2"/>
  <c r="K14615" i="2"/>
  <c r="L14615" i="2"/>
  <c r="C14616" i="2"/>
  <c r="D14616" i="2"/>
  <c r="F14616" i="2"/>
  <c r="G14616" i="2"/>
  <c r="H14616" i="2"/>
  <c r="J14616" i="2"/>
  <c r="K14616" i="2"/>
  <c r="L14616" i="2"/>
  <c r="C14617" i="2"/>
  <c r="D14617" i="2"/>
  <c r="F14617" i="2"/>
  <c r="G14617" i="2"/>
  <c r="H14617" i="2"/>
  <c r="J14617" i="2"/>
  <c r="K14617" i="2"/>
  <c r="L14617" i="2"/>
  <c r="C14618" i="2"/>
  <c r="D14618" i="2"/>
  <c r="F14618" i="2"/>
  <c r="G14618" i="2"/>
  <c r="H14618" i="2"/>
  <c r="J14618" i="2"/>
  <c r="K14618" i="2"/>
  <c r="L14618" i="2"/>
  <c r="C14619" i="2"/>
  <c r="D14619" i="2"/>
  <c r="F14619" i="2"/>
  <c r="G14619" i="2"/>
  <c r="H14619" i="2"/>
  <c r="J14619" i="2"/>
  <c r="K14619" i="2"/>
  <c r="L14619" i="2"/>
  <c r="C14620" i="2"/>
  <c r="D14620" i="2"/>
  <c r="F14620" i="2"/>
  <c r="G14620" i="2"/>
  <c r="H14620" i="2"/>
  <c r="J14620" i="2"/>
  <c r="K14620" i="2"/>
  <c r="L14620" i="2"/>
  <c r="C14621" i="2"/>
  <c r="D14621" i="2"/>
  <c r="F14621" i="2"/>
  <c r="G14621" i="2"/>
  <c r="H14621" i="2"/>
  <c r="J14621" i="2"/>
  <c r="K14621" i="2"/>
  <c r="L14621" i="2"/>
  <c r="C14622" i="2"/>
  <c r="D14622" i="2"/>
  <c r="F14622" i="2"/>
  <c r="G14622" i="2"/>
  <c r="H14622" i="2"/>
  <c r="J14622" i="2"/>
  <c r="K14622" i="2"/>
  <c r="L14622" i="2"/>
  <c r="C14623" i="2"/>
  <c r="D14623" i="2"/>
  <c r="F14623" i="2"/>
  <c r="G14623" i="2"/>
  <c r="H14623" i="2"/>
  <c r="J14623" i="2"/>
  <c r="K14623" i="2"/>
  <c r="L14623" i="2"/>
  <c r="C14624" i="2"/>
  <c r="D14624" i="2"/>
  <c r="F14624" i="2"/>
  <c r="G14624" i="2"/>
  <c r="H14624" i="2"/>
  <c r="J14624" i="2"/>
  <c r="K14624" i="2"/>
  <c r="L14624" i="2"/>
  <c r="C14625" i="2"/>
  <c r="D14625" i="2"/>
  <c r="F14625" i="2"/>
  <c r="G14625" i="2"/>
  <c r="H14625" i="2"/>
  <c r="J14625" i="2"/>
  <c r="K14625" i="2"/>
  <c r="L14625" i="2"/>
  <c r="C14626" i="2"/>
  <c r="D14626" i="2"/>
  <c r="F14626" i="2"/>
  <c r="G14626" i="2"/>
  <c r="H14626" i="2"/>
  <c r="J14626" i="2"/>
  <c r="K14626" i="2"/>
  <c r="L14626" i="2"/>
  <c r="C14627" i="2"/>
  <c r="D14627" i="2"/>
  <c r="F14627" i="2"/>
  <c r="G14627" i="2"/>
  <c r="H14627" i="2"/>
  <c r="J14627" i="2"/>
  <c r="K14627" i="2"/>
  <c r="L14627" i="2"/>
  <c r="C14628" i="2"/>
  <c r="D14628" i="2"/>
  <c r="F14628" i="2"/>
  <c r="G14628" i="2"/>
  <c r="H14628" i="2"/>
  <c r="J14628" i="2"/>
  <c r="K14628" i="2"/>
  <c r="L14628" i="2"/>
  <c r="C14629" i="2"/>
  <c r="D14629" i="2"/>
  <c r="F14629" i="2"/>
  <c r="G14629" i="2"/>
  <c r="H14629" i="2"/>
  <c r="J14629" i="2"/>
  <c r="K14629" i="2"/>
  <c r="L14629" i="2"/>
  <c r="C14630" i="2"/>
  <c r="D14630" i="2"/>
  <c r="F14630" i="2"/>
  <c r="G14630" i="2"/>
  <c r="H14630" i="2"/>
  <c r="J14630" i="2"/>
  <c r="K14630" i="2"/>
  <c r="L14630" i="2"/>
  <c r="C14631" i="2"/>
  <c r="D14631" i="2"/>
  <c r="F14631" i="2"/>
  <c r="G14631" i="2"/>
  <c r="H14631" i="2"/>
  <c r="J14631" i="2"/>
  <c r="K14631" i="2"/>
  <c r="L14631" i="2"/>
  <c r="C14632" i="2"/>
  <c r="D14632" i="2"/>
  <c r="F14632" i="2"/>
  <c r="G14632" i="2"/>
  <c r="H14632" i="2"/>
  <c r="J14632" i="2"/>
  <c r="K14632" i="2"/>
  <c r="L14632" i="2"/>
  <c r="D14633" i="2"/>
  <c r="F14633" i="2"/>
  <c r="G14633" i="2"/>
  <c r="H14633" i="2"/>
  <c r="J14633" i="2"/>
  <c r="K14633" i="2"/>
  <c r="L14633" i="2"/>
  <c r="C14634" i="2"/>
  <c r="D14634" i="2"/>
  <c r="F14634" i="2"/>
  <c r="G14634" i="2"/>
  <c r="H14634" i="2"/>
  <c r="J14634" i="2"/>
  <c r="K14634" i="2"/>
  <c r="L14634" i="2"/>
  <c r="C14635" i="2"/>
  <c r="D14635" i="2"/>
  <c r="F14635" i="2"/>
  <c r="G14635" i="2"/>
  <c r="H14635" i="2"/>
  <c r="J14635" i="2"/>
  <c r="K14635" i="2"/>
  <c r="L14635" i="2"/>
  <c r="C14636" i="2"/>
  <c r="D14636" i="2"/>
  <c r="F14636" i="2"/>
  <c r="G14636" i="2"/>
  <c r="H14636" i="2"/>
  <c r="J14636" i="2"/>
  <c r="K14636" i="2"/>
  <c r="L14636" i="2"/>
  <c r="C14637" i="2"/>
  <c r="D14637" i="2"/>
  <c r="F14637" i="2"/>
  <c r="G14637" i="2"/>
  <c r="H14637" i="2"/>
  <c r="J14637" i="2"/>
  <c r="K14637" i="2"/>
  <c r="L14637" i="2"/>
  <c r="C14638" i="2"/>
  <c r="D14638" i="2"/>
  <c r="F14638" i="2"/>
  <c r="G14638" i="2"/>
  <c r="H14638" i="2"/>
  <c r="J14638" i="2"/>
  <c r="K14638" i="2"/>
  <c r="L14638" i="2"/>
  <c r="C14639" i="2"/>
  <c r="D14639" i="2"/>
  <c r="F14639" i="2"/>
  <c r="G14639" i="2"/>
  <c r="H14639" i="2"/>
  <c r="J14639" i="2"/>
  <c r="K14639" i="2"/>
  <c r="L14639" i="2"/>
  <c r="C14640" i="2"/>
  <c r="D14640" i="2"/>
  <c r="F14640" i="2"/>
  <c r="G14640" i="2"/>
  <c r="H14640" i="2"/>
  <c r="J14640" i="2"/>
  <c r="K14640" i="2"/>
  <c r="L14640" i="2"/>
  <c r="C14641" i="2"/>
  <c r="D14641" i="2"/>
  <c r="F14641" i="2"/>
  <c r="G14641" i="2"/>
  <c r="H14641" i="2"/>
  <c r="J14641" i="2"/>
  <c r="K14641" i="2"/>
  <c r="L14641" i="2"/>
  <c r="C14642" i="2"/>
  <c r="D14642" i="2"/>
  <c r="F14642" i="2"/>
  <c r="G14642" i="2"/>
  <c r="H14642" i="2"/>
  <c r="J14642" i="2"/>
  <c r="K14642" i="2"/>
  <c r="L14642" i="2"/>
  <c r="C14643" i="2"/>
  <c r="D14643" i="2"/>
  <c r="F14643" i="2"/>
  <c r="G14643" i="2"/>
  <c r="H14643" i="2"/>
  <c r="J14643" i="2"/>
  <c r="K14643" i="2"/>
  <c r="L14643" i="2"/>
  <c r="C14644" i="2"/>
  <c r="D14644" i="2"/>
  <c r="F14644" i="2"/>
  <c r="G14644" i="2"/>
  <c r="H14644" i="2"/>
  <c r="J14644" i="2"/>
  <c r="K14644" i="2"/>
  <c r="L14644" i="2"/>
  <c r="C14645" i="2"/>
  <c r="D14645" i="2"/>
  <c r="F14645" i="2"/>
  <c r="G14645" i="2"/>
  <c r="H14645" i="2"/>
  <c r="J14645" i="2"/>
  <c r="K14645" i="2"/>
  <c r="L14645" i="2"/>
  <c r="C14646" i="2"/>
  <c r="D14646" i="2"/>
  <c r="F14646" i="2"/>
  <c r="G14646" i="2"/>
  <c r="H14646" i="2"/>
  <c r="J14646" i="2"/>
  <c r="K14646" i="2"/>
  <c r="L14646" i="2"/>
  <c r="C14647" i="2"/>
  <c r="D14647" i="2"/>
  <c r="F14647" i="2"/>
  <c r="G14647" i="2"/>
  <c r="H14647" i="2"/>
  <c r="J14647" i="2"/>
  <c r="K14647" i="2"/>
  <c r="L14647" i="2"/>
  <c r="C14648" i="2"/>
  <c r="D14648" i="2"/>
  <c r="F14648" i="2"/>
  <c r="G14648" i="2"/>
  <c r="H14648" i="2"/>
  <c r="J14648" i="2"/>
  <c r="K14648" i="2"/>
  <c r="L14648" i="2"/>
  <c r="C14649" i="2"/>
  <c r="D14649" i="2"/>
  <c r="F14649" i="2"/>
  <c r="G14649" i="2"/>
  <c r="H14649" i="2"/>
  <c r="J14649" i="2"/>
  <c r="K14649" i="2"/>
  <c r="L14649" i="2"/>
  <c r="D14650" i="2"/>
  <c r="F14650" i="2"/>
  <c r="G14650" i="2"/>
  <c r="H14650" i="2"/>
  <c r="J14650" i="2"/>
  <c r="K14650" i="2"/>
  <c r="L14650" i="2"/>
  <c r="C14651" i="2"/>
  <c r="D14651" i="2"/>
  <c r="F14651" i="2"/>
  <c r="G14651" i="2"/>
  <c r="H14651" i="2"/>
  <c r="J14651" i="2"/>
  <c r="K14651" i="2"/>
  <c r="L14651" i="2"/>
  <c r="C14652" i="2"/>
  <c r="D14652" i="2"/>
  <c r="F14652" i="2"/>
  <c r="G14652" i="2"/>
  <c r="H14652" i="2"/>
  <c r="J14652" i="2"/>
  <c r="K14652" i="2"/>
  <c r="L14652" i="2"/>
  <c r="C14653" i="2"/>
  <c r="D14653" i="2"/>
  <c r="F14653" i="2"/>
  <c r="G14653" i="2"/>
  <c r="H14653" i="2"/>
  <c r="J14653" i="2"/>
  <c r="K14653" i="2"/>
  <c r="L14653" i="2"/>
  <c r="C14654" i="2"/>
  <c r="D14654" i="2"/>
  <c r="F14654" i="2"/>
  <c r="G14654" i="2"/>
  <c r="H14654" i="2"/>
  <c r="J14654" i="2"/>
  <c r="K14654" i="2"/>
  <c r="L14654" i="2"/>
  <c r="C14655" i="2"/>
  <c r="D14655" i="2"/>
  <c r="F14655" i="2"/>
  <c r="G14655" i="2"/>
  <c r="H14655" i="2"/>
  <c r="J14655" i="2"/>
  <c r="K14655" i="2"/>
  <c r="L14655" i="2"/>
  <c r="C14656" i="2"/>
  <c r="D14656" i="2"/>
  <c r="F14656" i="2"/>
  <c r="G14656" i="2"/>
  <c r="H14656" i="2"/>
  <c r="J14656" i="2"/>
  <c r="K14656" i="2"/>
  <c r="L14656" i="2"/>
  <c r="C14657" i="2"/>
  <c r="D14657" i="2"/>
  <c r="F14657" i="2"/>
  <c r="G14657" i="2"/>
  <c r="H14657" i="2"/>
  <c r="J14657" i="2"/>
  <c r="K14657" i="2"/>
  <c r="L14657" i="2"/>
  <c r="C14658" i="2"/>
  <c r="D14658" i="2"/>
  <c r="F14658" i="2"/>
  <c r="G14658" i="2"/>
  <c r="H14658" i="2"/>
  <c r="J14658" i="2"/>
  <c r="K14658" i="2"/>
  <c r="L14658" i="2"/>
  <c r="C14659" i="2"/>
  <c r="D14659" i="2"/>
  <c r="F14659" i="2"/>
  <c r="G14659" i="2"/>
  <c r="H14659" i="2"/>
  <c r="J14659" i="2"/>
  <c r="K14659" i="2"/>
  <c r="L14659" i="2"/>
  <c r="C14660" i="2"/>
  <c r="D14660" i="2"/>
  <c r="F14660" i="2"/>
  <c r="G14660" i="2"/>
  <c r="H14660" i="2"/>
  <c r="J14660" i="2"/>
  <c r="K14660" i="2"/>
  <c r="L14660" i="2"/>
  <c r="C14661" i="2"/>
  <c r="D14661" i="2"/>
  <c r="F14661" i="2"/>
  <c r="G14661" i="2"/>
  <c r="H14661" i="2"/>
  <c r="J14661" i="2"/>
  <c r="K14661" i="2"/>
  <c r="L14661" i="2"/>
  <c r="C14662" i="2"/>
  <c r="D14662" i="2"/>
  <c r="F14662" i="2"/>
  <c r="G14662" i="2"/>
  <c r="H14662" i="2"/>
  <c r="J14662" i="2"/>
  <c r="K14662" i="2"/>
  <c r="L14662" i="2"/>
  <c r="C14663" i="2"/>
  <c r="D14663" i="2"/>
  <c r="F14663" i="2"/>
  <c r="G14663" i="2"/>
  <c r="H14663" i="2"/>
  <c r="J14663" i="2"/>
  <c r="K14663" i="2"/>
  <c r="L14663" i="2"/>
  <c r="C14664" i="2"/>
  <c r="D14664" i="2"/>
  <c r="F14664" i="2"/>
  <c r="G14664" i="2"/>
  <c r="H14664" i="2"/>
  <c r="J14664" i="2"/>
  <c r="K14664" i="2"/>
  <c r="L14664" i="2"/>
  <c r="C14665" i="2"/>
  <c r="D14665" i="2"/>
  <c r="F14665" i="2"/>
  <c r="G14665" i="2"/>
  <c r="H14665" i="2"/>
  <c r="J14665" i="2"/>
  <c r="K14665" i="2"/>
  <c r="L14665" i="2"/>
  <c r="C14666" i="2"/>
  <c r="D14666" i="2"/>
  <c r="F14666" i="2"/>
  <c r="G14666" i="2"/>
  <c r="H14666" i="2"/>
  <c r="J14666" i="2"/>
  <c r="K14666" i="2"/>
  <c r="L14666" i="2"/>
  <c r="C14667" i="2"/>
  <c r="D14667" i="2"/>
  <c r="F14667" i="2"/>
  <c r="G14667" i="2"/>
  <c r="H14667" i="2"/>
  <c r="J14667" i="2"/>
  <c r="K14667" i="2"/>
  <c r="L14667" i="2"/>
  <c r="C14668" i="2"/>
  <c r="D14668" i="2"/>
  <c r="F14668" i="2"/>
  <c r="G14668" i="2"/>
  <c r="H14668" i="2"/>
  <c r="J14668" i="2"/>
  <c r="K14668" i="2"/>
  <c r="L14668" i="2"/>
  <c r="C14669" i="2"/>
  <c r="D14669" i="2"/>
  <c r="F14669" i="2"/>
  <c r="G14669" i="2"/>
  <c r="H14669" i="2"/>
  <c r="J14669" i="2"/>
  <c r="K14669" i="2"/>
  <c r="L14669" i="2"/>
  <c r="C14670" i="2"/>
  <c r="D14670" i="2"/>
  <c r="F14670" i="2"/>
  <c r="G14670" i="2"/>
  <c r="H14670" i="2"/>
  <c r="J14670" i="2"/>
  <c r="K14670" i="2"/>
  <c r="L14670" i="2"/>
  <c r="C14671" i="2"/>
  <c r="D14671" i="2"/>
  <c r="F14671" i="2"/>
  <c r="G14671" i="2"/>
  <c r="H14671" i="2"/>
  <c r="J14671" i="2"/>
  <c r="K14671" i="2"/>
  <c r="L14671" i="2"/>
  <c r="C14672" i="2"/>
  <c r="D14672" i="2"/>
  <c r="F14672" i="2"/>
  <c r="G14672" i="2"/>
  <c r="H14672" i="2"/>
  <c r="J14672" i="2"/>
  <c r="K14672" i="2"/>
  <c r="L14672" i="2"/>
  <c r="C14673" i="2"/>
  <c r="D14673" i="2"/>
  <c r="F14673" i="2"/>
  <c r="G14673" i="2"/>
  <c r="H14673" i="2"/>
  <c r="J14673" i="2"/>
  <c r="K14673" i="2"/>
  <c r="L14673" i="2"/>
  <c r="C14674" i="2"/>
  <c r="D14674" i="2"/>
  <c r="F14674" i="2"/>
  <c r="G14674" i="2"/>
  <c r="H14674" i="2"/>
  <c r="J14674" i="2"/>
  <c r="K14674" i="2"/>
  <c r="L14674" i="2"/>
  <c r="C14675" i="2"/>
  <c r="D14675" i="2"/>
  <c r="F14675" i="2"/>
  <c r="G14675" i="2"/>
  <c r="H14675" i="2"/>
  <c r="J14675" i="2"/>
  <c r="K14675" i="2"/>
  <c r="L14675" i="2"/>
  <c r="C14676" i="2"/>
  <c r="D14676" i="2"/>
  <c r="F14676" i="2"/>
  <c r="G14676" i="2"/>
  <c r="H14676" i="2"/>
  <c r="J14676" i="2"/>
  <c r="K14676" i="2"/>
  <c r="L14676" i="2"/>
  <c r="C14677" i="2"/>
  <c r="D14677" i="2"/>
  <c r="F14677" i="2"/>
  <c r="G14677" i="2"/>
  <c r="H14677" i="2"/>
  <c r="J14677" i="2"/>
  <c r="K14677" i="2"/>
  <c r="L14677" i="2"/>
  <c r="C14678" i="2"/>
  <c r="D14678" i="2"/>
  <c r="F14678" i="2"/>
  <c r="G14678" i="2"/>
  <c r="H14678" i="2"/>
  <c r="J14678" i="2"/>
  <c r="K14678" i="2"/>
  <c r="L14678" i="2"/>
  <c r="C14679" i="2"/>
  <c r="D14679" i="2"/>
  <c r="F14679" i="2"/>
  <c r="G14679" i="2"/>
  <c r="H14679" i="2"/>
  <c r="J14679" i="2"/>
  <c r="K14679" i="2"/>
  <c r="L14679" i="2"/>
  <c r="C14680" i="2"/>
  <c r="D14680" i="2"/>
  <c r="F14680" i="2"/>
  <c r="G14680" i="2"/>
  <c r="H14680" i="2"/>
  <c r="J14680" i="2"/>
  <c r="K14680" i="2"/>
  <c r="L14680" i="2"/>
  <c r="C14681" i="2"/>
  <c r="D14681" i="2"/>
  <c r="F14681" i="2"/>
  <c r="G14681" i="2"/>
  <c r="H14681" i="2"/>
  <c r="J14681" i="2"/>
  <c r="K14681" i="2"/>
  <c r="L14681" i="2"/>
  <c r="C14682" i="2"/>
  <c r="D14682" i="2"/>
  <c r="F14682" i="2"/>
  <c r="G14682" i="2"/>
  <c r="H14682" i="2"/>
  <c r="J14682" i="2"/>
  <c r="K14682" i="2"/>
  <c r="L14682" i="2"/>
  <c r="C14683" i="2"/>
  <c r="D14683" i="2"/>
  <c r="F14683" i="2"/>
  <c r="G14683" i="2"/>
  <c r="H14683" i="2"/>
  <c r="J14683" i="2"/>
  <c r="K14683" i="2"/>
  <c r="L14683" i="2"/>
  <c r="C14684" i="2"/>
  <c r="D14684" i="2"/>
  <c r="F14684" i="2"/>
  <c r="G14684" i="2"/>
  <c r="H14684" i="2"/>
  <c r="J14684" i="2"/>
  <c r="K14684" i="2"/>
  <c r="L14684" i="2"/>
  <c r="C14685" i="2"/>
  <c r="D14685" i="2"/>
  <c r="F14685" i="2"/>
  <c r="G14685" i="2"/>
  <c r="H14685" i="2"/>
  <c r="J14685" i="2"/>
  <c r="K14685" i="2"/>
  <c r="L14685" i="2"/>
  <c r="C14686" i="2"/>
  <c r="D14686" i="2"/>
  <c r="F14686" i="2"/>
  <c r="G14686" i="2"/>
  <c r="H14686" i="2"/>
  <c r="J14686" i="2"/>
  <c r="K14686" i="2"/>
  <c r="L14686" i="2"/>
  <c r="C14687" i="2"/>
  <c r="D14687" i="2"/>
  <c r="F14687" i="2"/>
  <c r="G14687" i="2"/>
  <c r="H14687" i="2"/>
  <c r="J14687" i="2"/>
  <c r="K14687" i="2"/>
  <c r="L14687" i="2"/>
  <c r="C14688" i="2"/>
  <c r="D14688" i="2"/>
  <c r="F14688" i="2"/>
  <c r="G14688" i="2"/>
  <c r="H14688" i="2"/>
  <c r="J14688" i="2"/>
  <c r="K14688" i="2"/>
  <c r="L14688" i="2"/>
  <c r="C14689" i="2"/>
  <c r="D14689" i="2"/>
  <c r="F14689" i="2"/>
  <c r="G14689" i="2"/>
  <c r="H14689" i="2"/>
  <c r="J14689" i="2"/>
  <c r="K14689" i="2"/>
  <c r="L14689" i="2"/>
  <c r="C14690" i="2"/>
  <c r="D14690" i="2"/>
  <c r="F14690" i="2"/>
  <c r="G14690" i="2"/>
  <c r="H14690" i="2"/>
  <c r="J14690" i="2"/>
  <c r="K14690" i="2"/>
  <c r="L14690" i="2"/>
  <c r="C14691" i="2"/>
  <c r="D14691" i="2"/>
  <c r="F14691" i="2"/>
  <c r="G14691" i="2"/>
  <c r="H14691" i="2"/>
  <c r="J14691" i="2"/>
  <c r="K14691" i="2"/>
  <c r="L14691" i="2"/>
  <c r="C14692" i="2"/>
  <c r="D14692" i="2"/>
  <c r="F14692" i="2"/>
  <c r="G14692" i="2"/>
  <c r="H14692" i="2"/>
  <c r="J14692" i="2"/>
  <c r="K14692" i="2"/>
  <c r="L14692" i="2"/>
  <c r="C14693" i="2"/>
  <c r="D14693" i="2"/>
  <c r="F14693" i="2"/>
  <c r="G14693" i="2"/>
  <c r="H14693" i="2"/>
  <c r="J14693" i="2"/>
  <c r="K14693" i="2"/>
  <c r="L14693" i="2"/>
  <c r="C14694" i="2"/>
  <c r="D14694" i="2"/>
  <c r="F14694" i="2"/>
  <c r="G14694" i="2"/>
  <c r="H14694" i="2"/>
  <c r="J14694" i="2"/>
  <c r="K14694" i="2"/>
  <c r="L14694" i="2"/>
  <c r="C14695" i="2"/>
  <c r="D14695" i="2"/>
  <c r="F14695" i="2"/>
  <c r="G14695" i="2"/>
  <c r="H14695" i="2"/>
  <c r="J14695" i="2"/>
  <c r="K14695" i="2"/>
  <c r="L14695" i="2"/>
  <c r="C14696" i="2"/>
  <c r="D14696" i="2"/>
  <c r="F14696" i="2"/>
  <c r="G14696" i="2"/>
  <c r="H14696" i="2"/>
  <c r="J14696" i="2"/>
  <c r="K14696" i="2"/>
  <c r="L14696" i="2"/>
  <c r="C14697" i="2"/>
  <c r="D14697" i="2"/>
  <c r="F14697" i="2"/>
  <c r="G14697" i="2"/>
  <c r="H14697" i="2"/>
  <c r="J14697" i="2"/>
  <c r="K14697" i="2"/>
  <c r="L14697" i="2"/>
  <c r="C14698" i="2"/>
  <c r="D14698" i="2"/>
  <c r="F14698" i="2"/>
  <c r="G14698" i="2"/>
  <c r="H14698" i="2"/>
  <c r="J14698" i="2"/>
  <c r="K14698" i="2"/>
  <c r="L14698" i="2"/>
  <c r="C14699" i="2"/>
  <c r="D14699" i="2"/>
  <c r="F14699" i="2"/>
  <c r="G14699" i="2"/>
  <c r="H14699" i="2"/>
  <c r="J14699" i="2"/>
  <c r="K14699" i="2"/>
  <c r="L14699" i="2"/>
  <c r="C14700" i="2"/>
  <c r="D14700" i="2"/>
  <c r="F14700" i="2"/>
  <c r="G14700" i="2"/>
  <c r="H14700" i="2"/>
  <c r="J14700" i="2"/>
  <c r="K14700" i="2"/>
  <c r="L14700" i="2"/>
  <c r="C14701" i="2"/>
  <c r="D14701" i="2"/>
  <c r="F14701" i="2"/>
  <c r="G14701" i="2"/>
  <c r="H14701" i="2"/>
  <c r="J14701" i="2"/>
  <c r="K14701" i="2"/>
  <c r="L14701" i="2"/>
  <c r="C14702" i="2"/>
  <c r="D14702" i="2"/>
  <c r="F14702" i="2"/>
  <c r="G14702" i="2"/>
  <c r="H14702" i="2"/>
  <c r="J14702" i="2"/>
  <c r="K14702" i="2"/>
  <c r="L14702" i="2"/>
  <c r="C14703" i="2"/>
  <c r="D14703" i="2"/>
  <c r="F14703" i="2"/>
  <c r="G14703" i="2"/>
  <c r="H14703" i="2"/>
  <c r="J14703" i="2"/>
  <c r="K14703" i="2"/>
  <c r="L14703" i="2"/>
  <c r="C14704" i="2"/>
  <c r="D14704" i="2"/>
  <c r="F14704" i="2"/>
  <c r="G14704" i="2"/>
  <c r="H14704" i="2"/>
  <c r="J14704" i="2"/>
  <c r="K14704" i="2"/>
  <c r="L14704" i="2"/>
  <c r="C14705" i="2"/>
  <c r="D14705" i="2"/>
  <c r="F14705" i="2"/>
  <c r="G14705" i="2"/>
  <c r="H14705" i="2"/>
  <c r="J14705" i="2"/>
  <c r="K14705" i="2"/>
  <c r="L14705" i="2"/>
  <c r="C14706" i="2"/>
  <c r="D14706" i="2"/>
  <c r="F14706" i="2"/>
  <c r="G14706" i="2"/>
  <c r="H14706" i="2"/>
  <c r="J14706" i="2"/>
  <c r="K14706" i="2"/>
  <c r="L14706" i="2"/>
  <c r="C14707" i="2"/>
  <c r="D14707" i="2"/>
  <c r="F14707" i="2"/>
  <c r="G14707" i="2"/>
  <c r="H14707" i="2"/>
  <c r="J14707" i="2"/>
  <c r="K14707" i="2"/>
  <c r="L14707" i="2"/>
  <c r="C14708" i="2"/>
  <c r="D14708" i="2"/>
  <c r="F14708" i="2"/>
  <c r="G14708" i="2"/>
  <c r="H14708" i="2"/>
  <c r="J14708" i="2"/>
  <c r="K14708" i="2"/>
  <c r="L14708" i="2"/>
  <c r="C14709" i="2"/>
  <c r="D14709" i="2"/>
  <c r="F14709" i="2"/>
  <c r="G14709" i="2"/>
  <c r="H14709" i="2"/>
  <c r="J14709" i="2"/>
  <c r="K14709" i="2"/>
  <c r="L14709" i="2"/>
  <c r="C14710" i="2"/>
  <c r="D14710" i="2"/>
  <c r="F14710" i="2"/>
  <c r="G14710" i="2"/>
  <c r="H14710" i="2"/>
  <c r="J14710" i="2"/>
  <c r="K14710" i="2"/>
  <c r="L14710" i="2"/>
  <c r="C14711" i="2"/>
  <c r="D14711" i="2"/>
  <c r="F14711" i="2"/>
  <c r="G14711" i="2"/>
  <c r="H14711" i="2"/>
  <c r="J14711" i="2"/>
  <c r="K14711" i="2"/>
  <c r="L14711" i="2"/>
  <c r="C14712" i="2"/>
  <c r="D14712" i="2"/>
  <c r="F14712" i="2"/>
  <c r="G14712" i="2"/>
  <c r="H14712" i="2"/>
  <c r="J14712" i="2"/>
  <c r="K14712" i="2"/>
  <c r="L14712" i="2"/>
  <c r="C14713" i="2"/>
  <c r="D14713" i="2"/>
  <c r="F14713" i="2"/>
  <c r="G14713" i="2"/>
  <c r="H14713" i="2"/>
  <c r="J14713" i="2"/>
  <c r="K14713" i="2"/>
  <c r="L14713" i="2"/>
  <c r="C14714" i="2"/>
  <c r="D14714" i="2"/>
  <c r="F14714" i="2"/>
  <c r="G14714" i="2"/>
  <c r="H14714" i="2"/>
  <c r="J14714" i="2"/>
  <c r="K14714" i="2"/>
  <c r="L14714" i="2"/>
  <c r="C14715" i="2"/>
  <c r="D14715" i="2"/>
  <c r="F14715" i="2"/>
  <c r="G14715" i="2"/>
  <c r="H14715" i="2"/>
  <c r="J14715" i="2"/>
  <c r="K14715" i="2"/>
  <c r="L14715" i="2"/>
  <c r="C14716" i="2"/>
  <c r="D14716" i="2"/>
  <c r="F14716" i="2"/>
  <c r="G14716" i="2"/>
  <c r="H14716" i="2"/>
  <c r="J14716" i="2"/>
  <c r="K14716" i="2"/>
  <c r="L14716" i="2"/>
  <c r="C14717" i="2"/>
  <c r="D14717" i="2"/>
  <c r="F14717" i="2"/>
  <c r="G14717" i="2"/>
  <c r="H14717" i="2"/>
  <c r="J14717" i="2"/>
  <c r="K14717" i="2"/>
  <c r="L14717" i="2"/>
  <c r="C14718" i="2"/>
  <c r="D14718" i="2"/>
  <c r="F14718" i="2"/>
  <c r="G14718" i="2"/>
  <c r="H14718" i="2"/>
  <c r="J14718" i="2"/>
  <c r="K14718" i="2"/>
  <c r="L14718" i="2"/>
  <c r="C14719" i="2"/>
  <c r="D14719" i="2"/>
  <c r="F14719" i="2"/>
  <c r="G14719" i="2"/>
  <c r="H14719" i="2"/>
  <c r="J14719" i="2"/>
  <c r="K14719" i="2"/>
  <c r="L14719" i="2"/>
  <c r="C14720" i="2"/>
  <c r="D14720" i="2"/>
  <c r="F14720" i="2"/>
  <c r="G14720" i="2"/>
  <c r="H14720" i="2"/>
  <c r="J14720" i="2"/>
  <c r="K14720" i="2"/>
  <c r="L14720" i="2"/>
  <c r="C14721" i="2"/>
  <c r="D14721" i="2"/>
  <c r="F14721" i="2"/>
  <c r="G14721" i="2"/>
  <c r="H14721" i="2"/>
  <c r="J14721" i="2"/>
  <c r="K14721" i="2"/>
  <c r="L14721" i="2"/>
  <c r="C14722" i="2"/>
  <c r="D14722" i="2"/>
  <c r="F14722" i="2"/>
  <c r="G14722" i="2"/>
  <c r="H14722" i="2"/>
  <c r="J14722" i="2"/>
  <c r="K14722" i="2"/>
  <c r="L14722" i="2"/>
  <c r="C14723" i="2"/>
  <c r="D14723" i="2"/>
  <c r="F14723" i="2"/>
  <c r="G14723" i="2"/>
  <c r="H14723" i="2"/>
  <c r="J14723" i="2"/>
  <c r="K14723" i="2"/>
  <c r="L14723" i="2"/>
  <c r="C14724" i="2"/>
  <c r="D14724" i="2"/>
  <c r="F14724" i="2"/>
  <c r="G14724" i="2"/>
  <c r="H14724" i="2"/>
  <c r="J14724" i="2"/>
  <c r="K14724" i="2"/>
  <c r="L14724" i="2"/>
  <c r="C14725" i="2"/>
  <c r="D14725" i="2"/>
  <c r="F14725" i="2"/>
  <c r="G14725" i="2"/>
  <c r="H14725" i="2"/>
  <c r="J14725" i="2"/>
  <c r="K14725" i="2"/>
  <c r="L14725" i="2"/>
  <c r="C14726" i="2"/>
  <c r="D14726" i="2"/>
  <c r="F14726" i="2"/>
  <c r="G14726" i="2"/>
  <c r="H14726" i="2"/>
  <c r="J14726" i="2"/>
  <c r="K14726" i="2"/>
  <c r="L14726" i="2"/>
  <c r="C14727" i="2"/>
  <c r="D14727" i="2"/>
  <c r="F14727" i="2"/>
  <c r="G14727" i="2"/>
  <c r="H14727" i="2"/>
  <c r="J14727" i="2"/>
  <c r="K14727" i="2"/>
  <c r="L14727" i="2"/>
  <c r="C14728" i="2"/>
  <c r="D14728" i="2"/>
  <c r="F14728" i="2"/>
  <c r="G14728" i="2"/>
  <c r="H14728" i="2"/>
  <c r="J14728" i="2"/>
  <c r="K14728" i="2"/>
  <c r="L14728" i="2"/>
  <c r="C14729" i="2"/>
  <c r="D14729" i="2"/>
  <c r="F14729" i="2"/>
  <c r="G14729" i="2"/>
  <c r="H14729" i="2"/>
  <c r="J14729" i="2"/>
  <c r="K14729" i="2"/>
  <c r="L14729" i="2"/>
  <c r="C14730" i="2"/>
  <c r="D14730" i="2"/>
  <c r="F14730" i="2"/>
  <c r="G14730" i="2"/>
  <c r="H14730" i="2"/>
  <c r="J14730" i="2"/>
  <c r="K14730" i="2"/>
  <c r="L14730" i="2"/>
  <c r="C14731" i="2"/>
  <c r="D14731" i="2"/>
  <c r="F14731" i="2"/>
  <c r="G14731" i="2"/>
  <c r="H14731" i="2"/>
  <c r="J14731" i="2"/>
  <c r="K14731" i="2"/>
  <c r="L14731" i="2"/>
  <c r="C14732" i="2"/>
  <c r="D14732" i="2"/>
  <c r="F14732" i="2"/>
  <c r="G14732" i="2"/>
  <c r="H14732" i="2"/>
  <c r="J14732" i="2"/>
  <c r="K14732" i="2"/>
  <c r="L14732" i="2"/>
  <c r="C14733" i="2"/>
  <c r="D14733" i="2"/>
  <c r="F14733" i="2"/>
  <c r="G14733" i="2"/>
  <c r="H14733" i="2"/>
  <c r="J14733" i="2"/>
  <c r="K14733" i="2"/>
  <c r="L14733" i="2"/>
  <c r="C14734" i="2"/>
  <c r="D14734" i="2"/>
  <c r="F14734" i="2"/>
  <c r="G14734" i="2"/>
  <c r="H14734" i="2"/>
  <c r="J14734" i="2"/>
  <c r="K14734" i="2"/>
  <c r="L14734" i="2"/>
  <c r="C14735" i="2"/>
  <c r="D14735" i="2"/>
  <c r="F14735" i="2"/>
  <c r="G14735" i="2"/>
  <c r="H14735" i="2"/>
  <c r="J14735" i="2"/>
  <c r="K14735" i="2"/>
  <c r="L14735" i="2"/>
  <c r="C14736" i="2"/>
  <c r="D14736" i="2"/>
  <c r="F14736" i="2"/>
  <c r="G14736" i="2"/>
  <c r="H14736" i="2"/>
  <c r="J14736" i="2"/>
  <c r="K14736" i="2"/>
  <c r="L14736" i="2"/>
  <c r="C14737" i="2"/>
  <c r="D14737" i="2"/>
  <c r="F14737" i="2"/>
  <c r="G14737" i="2"/>
  <c r="H14737" i="2"/>
  <c r="J14737" i="2"/>
  <c r="K14737" i="2"/>
  <c r="L14737" i="2"/>
  <c r="C14738" i="2"/>
  <c r="D14738" i="2"/>
  <c r="F14738" i="2"/>
  <c r="G14738" i="2"/>
  <c r="H14738" i="2"/>
  <c r="J14738" i="2"/>
  <c r="K14738" i="2"/>
  <c r="L14738" i="2"/>
  <c r="C14739" i="2"/>
  <c r="D14739" i="2"/>
  <c r="F14739" i="2"/>
  <c r="G14739" i="2"/>
  <c r="H14739" i="2"/>
  <c r="J14739" i="2"/>
  <c r="K14739" i="2"/>
  <c r="L14739" i="2"/>
  <c r="C14740" i="2"/>
  <c r="D14740" i="2"/>
  <c r="F14740" i="2"/>
  <c r="G14740" i="2"/>
  <c r="H14740" i="2"/>
  <c r="J14740" i="2"/>
  <c r="K14740" i="2"/>
  <c r="L14740" i="2"/>
  <c r="C14741" i="2"/>
  <c r="D14741" i="2"/>
  <c r="F14741" i="2"/>
  <c r="G14741" i="2"/>
  <c r="H14741" i="2"/>
  <c r="J14741" i="2"/>
  <c r="K14741" i="2"/>
  <c r="L14741" i="2"/>
  <c r="C14742" i="2"/>
  <c r="D14742" i="2"/>
  <c r="F14742" i="2"/>
  <c r="G14742" i="2"/>
  <c r="H14742" i="2"/>
  <c r="J14742" i="2"/>
  <c r="K14742" i="2"/>
  <c r="L14742" i="2"/>
  <c r="C14743" i="2"/>
  <c r="D14743" i="2"/>
  <c r="F14743" i="2"/>
  <c r="G14743" i="2"/>
  <c r="H14743" i="2"/>
  <c r="J14743" i="2"/>
  <c r="K14743" i="2"/>
  <c r="L14743" i="2"/>
  <c r="C14744" i="2"/>
  <c r="D14744" i="2"/>
  <c r="F14744" i="2"/>
  <c r="G14744" i="2"/>
  <c r="H14744" i="2"/>
  <c r="J14744" i="2"/>
  <c r="K14744" i="2"/>
  <c r="L14744" i="2"/>
  <c r="C14745" i="2"/>
  <c r="D14745" i="2"/>
  <c r="F14745" i="2"/>
  <c r="G14745" i="2"/>
  <c r="H14745" i="2"/>
  <c r="J14745" i="2"/>
  <c r="K14745" i="2"/>
  <c r="L14745" i="2"/>
  <c r="C14746" i="2"/>
  <c r="D14746" i="2"/>
  <c r="F14746" i="2"/>
  <c r="G14746" i="2"/>
  <c r="H14746" i="2"/>
  <c r="J14746" i="2"/>
  <c r="K14746" i="2"/>
  <c r="L14746" i="2"/>
  <c r="C14747" i="2"/>
  <c r="D14747" i="2"/>
  <c r="F14747" i="2"/>
  <c r="G14747" i="2"/>
  <c r="H14747" i="2"/>
  <c r="J14747" i="2"/>
  <c r="K14747" i="2"/>
  <c r="L14747" i="2"/>
  <c r="C14748" i="2"/>
  <c r="D14748" i="2"/>
  <c r="F14748" i="2"/>
  <c r="G14748" i="2"/>
  <c r="H14748" i="2"/>
  <c r="J14748" i="2"/>
  <c r="K14748" i="2"/>
  <c r="L14748" i="2"/>
  <c r="C14749" i="2"/>
  <c r="D14749" i="2"/>
  <c r="F14749" i="2"/>
  <c r="G14749" i="2"/>
  <c r="H14749" i="2"/>
  <c r="J14749" i="2"/>
  <c r="K14749" i="2"/>
  <c r="L14749" i="2"/>
  <c r="C14750" i="2"/>
  <c r="D14750" i="2"/>
  <c r="F14750" i="2"/>
  <c r="G14750" i="2"/>
  <c r="H14750" i="2"/>
  <c r="J14750" i="2"/>
  <c r="K14750" i="2"/>
  <c r="L14750" i="2"/>
  <c r="C14751" i="2"/>
  <c r="D14751" i="2"/>
  <c r="F14751" i="2"/>
  <c r="G14751" i="2"/>
  <c r="H14751" i="2"/>
  <c r="J14751" i="2"/>
  <c r="K14751" i="2"/>
  <c r="L14751" i="2"/>
  <c r="C14752" i="2"/>
  <c r="D14752" i="2"/>
  <c r="F14752" i="2"/>
  <c r="G14752" i="2"/>
  <c r="H14752" i="2"/>
  <c r="J14752" i="2"/>
  <c r="K14752" i="2"/>
  <c r="L14752" i="2"/>
  <c r="C14753" i="2"/>
  <c r="D14753" i="2"/>
  <c r="F14753" i="2"/>
  <c r="G14753" i="2"/>
  <c r="H14753" i="2"/>
  <c r="J14753" i="2"/>
  <c r="K14753" i="2"/>
  <c r="L14753" i="2"/>
  <c r="C14754" i="2"/>
  <c r="D14754" i="2"/>
  <c r="F14754" i="2"/>
  <c r="G14754" i="2"/>
  <c r="H14754" i="2"/>
  <c r="J14754" i="2"/>
  <c r="K14754" i="2"/>
  <c r="L14754" i="2"/>
  <c r="C14755" i="2"/>
  <c r="D14755" i="2"/>
  <c r="F14755" i="2"/>
  <c r="G14755" i="2"/>
  <c r="H14755" i="2"/>
  <c r="J14755" i="2"/>
  <c r="K14755" i="2"/>
  <c r="L14755" i="2"/>
  <c r="C14756" i="2"/>
  <c r="D14756" i="2"/>
  <c r="F14756" i="2"/>
  <c r="G14756" i="2"/>
  <c r="H14756" i="2"/>
  <c r="J14756" i="2"/>
  <c r="K14756" i="2"/>
  <c r="L14756" i="2"/>
  <c r="C14757" i="2"/>
  <c r="D14757" i="2"/>
  <c r="F14757" i="2"/>
  <c r="G14757" i="2"/>
  <c r="H14757" i="2"/>
  <c r="J14757" i="2"/>
  <c r="K14757" i="2"/>
  <c r="L14757" i="2"/>
  <c r="C14758" i="2"/>
  <c r="D14758" i="2"/>
  <c r="F14758" i="2"/>
  <c r="G14758" i="2"/>
  <c r="H14758" i="2"/>
  <c r="J14758" i="2"/>
  <c r="K14758" i="2"/>
  <c r="L14758" i="2"/>
  <c r="C14759" i="2"/>
  <c r="D14759" i="2"/>
  <c r="F14759" i="2"/>
  <c r="G14759" i="2"/>
  <c r="H14759" i="2"/>
  <c r="J14759" i="2"/>
  <c r="K14759" i="2"/>
  <c r="L14759" i="2"/>
  <c r="C14760" i="2"/>
  <c r="D14760" i="2"/>
  <c r="F14760" i="2"/>
  <c r="G14760" i="2"/>
  <c r="H14760" i="2"/>
  <c r="J14760" i="2"/>
  <c r="K14760" i="2"/>
  <c r="L14760" i="2"/>
  <c r="C14761" i="2"/>
  <c r="D14761" i="2"/>
  <c r="F14761" i="2"/>
  <c r="G14761" i="2"/>
  <c r="H14761" i="2"/>
  <c r="J14761" i="2"/>
  <c r="K14761" i="2"/>
  <c r="L14761" i="2"/>
  <c r="C14762" i="2"/>
  <c r="D14762" i="2"/>
  <c r="F14762" i="2"/>
  <c r="G14762" i="2"/>
  <c r="H14762" i="2"/>
  <c r="J14762" i="2"/>
  <c r="K14762" i="2"/>
  <c r="L14762" i="2"/>
  <c r="C14763" i="2"/>
  <c r="D14763" i="2"/>
  <c r="F14763" i="2"/>
  <c r="G14763" i="2"/>
  <c r="H14763" i="2"/>
  <c r="J14763" i="2"/>
  <c r="K14763" i="2"/>
  <c r="L14763" i="2"/>
  <c r="C14764" i="2"/>
  <c r="D14764" i="2"/>
  <c r="F14764" i="2"/>
  <c r="G14764" i="2"/>
  <c r="H14764" i="2"/>
  <c r="J14764" i="2"/>
  <c r="K14764" i="2"/>
  <c r="L14764" i="2"/>
  <c r="C14765" i="2"/>
  <c r="D14765" i="2"/>
  <c r="F14765" i="2"/>
  <c r="G14765" i="2"/>
  <c r="H14765" i="2"/>
  <c r="J14765" i="2"/>
  <c r="K14765" i="2"/>
  <c r="L14765" i="2"/>
  <c r="C14766" i="2"/>
  <c r="D14766" i="2"/>
  <c r="F14766" i="2"/>
  <c r="G14766" i="2"/>
  <c r="H14766" i="2"/>
  <c r="J14766" i="2"/>
  <c r="K14766" i="2"/>
  <c r="L14766" i="2"/>
  <c r="C14767" i="2"/>
  <c r="D14767" i="2"/>
  <c r="F14767" i="2"/>
  <c r="G14767" i="2"/>
  <c r="H14767" i="2"/>
  <c r="J14767" i="2"/>
  <c r="K14767" i="2"/>
  <c r="L14767" i="2"/>
  <c r="C14768" i="2"/>
  <c r="D14768" i="2"/>
  <c r="F14768" i="2"/>
  <c r="G14768" i="2"/>
  <c r="H14768" i="2"/>
  <c r="J14768" i="2"/>
  <c r="K14768" i="2"/>
  <c r="L14768" i="2"/>
  <c r="C14769" i="2"/>
  <c r="D14769" i="2"/>
  <c r="F14769" i="2"/>
  <c r="G14769" i="2"/>
  <c r="H14769" i="2"/>
  <c r="J14769" i="2"/>
  <c r="K14769" i="2"/>
  <c r="L14769" i="2"/>
  <c r="C14770" i="2"/>
  <c r="D14770" i="2"/>
  <c r="F14770" i="2"/>
  <c r="G14770" i="2"/>
  <c r="H14770" i="2"/>
  <c r="J14770" i="2"/>
  <c r="K14770" i="2"/>
  <c r="L14770" i="2"/>
  <c r="C14771" i="2"/>
  <c r="D14771" i="2"/>
  <c r="F14771" i="2"/>
  <c r="G14771" i="2"/>
  <c r="H14771" i="2"/>
  <c r="J14771" i="2"/>
  <c r="K14771" i="2"/>
  <c r="L14771" i="2"/>
  <c r="C14772" i="2"/>
  <c r="D14772" i="2"/>
  <c r="F14772" i="2"/>
  <c r="G14772" i="2"/>
  <c r="H14772" i="2"/>
  <c r="J14772" i="2"/>
  <c r="K14772" i="2"/>
  <c r="L14772" i="2"/>
  <c r="C14773" i="2"/>
  <c r="D14773" i="2"/>
  <c r="F14773" i="2"/>
  <c r="G14773" i="2"/>
  <c r="H14773" i="2"/>
  <c r="J14773" i="2"/>
  <c r="K14773" i="2"/>
  <c r="L14773" i="2"/>
  <c r="C14774" i="2"/>
  <c r="D14774" i="2"/>
  <c r="F14774" i="2"/>
  <c r="G14774" i="2"/>
  <c r="H14774" i="2"/>
  <c r="J14774" i="2"/>
  <c r="K14774" i="2"/>
  <c r="L14774" i="2"/>
  <c r="C14775" i="2"/>
  <c r="D14775" i="2"/>
  <c r="F14775" i="2"/>
  <c r="G14775" i="2"/>
  <c r="H14775" i="2"/>
  <c r="J14775" i="2"/>
  <c r="K14775" i="2"/>
  <c r="L14775" i="2"/>
  <c r="C14776" i="2"/>
  <c r="D14776" i="2"/>
  <c r="F14776" i="2"/>
  <c r="G14776" i="2"/>
  <c r="H14776" i="2"/>
  <c r="J14776" i="2"/>
  <c r="K14776" i="2"/>
  <c r="L14776" i="2"/>
  <c r="C14777" i="2"/>
  <c r="D14777" i="2"/>
  <c r="F14777" i="2"/>
  <c r="G14777" i="2"/>
  <c r="H14777" i="2"/>
  <c r="J14777" i="2"/>
  <c r="K14777" i="2"/>
  <c r="L14777" i="2"/>
  <c r="C14778" i="2"/>
  <c r="D14778" i="2"/>
  <c r="F14778" i="2"/>
  <c r="G14778" i="2"/>
  <c r="H14778" i="2"/>
  <c r="J14778" i="2"/>
  <c r="K14778" i="2"/>
  <c r="L14778" i="2"/>
  <c r="C14779" i="2"/>
  <c r="D14779" i="2"/>
  <c r="F14779" i="2"/>
  <c r="G14779" i="2"/>
  <c r="H14779" i="2"/>
  <c r="J14779" i="2"/>
  <c r="K14779" i="2"/>
  <c r="L14779" i="2"/>
  <c r="C14780" i="2"/>
  <c r="D14780" i="2"/>
  <c r="F14780" i="2"/>
  <c r="G14780" i="2"/>
  <c r="H14780" i="2"/>
  <c r="J14780" i="2"/>
  <c r="K14780" i="2"/>
  <c r="L14780" i="2"/>
  <c r="C14781" i="2"/>
  <c r="D14781" i="2"/>
  <c r="F14781" i="2"/>
  <c r="G14781" i="2"/>
  <c r="H14781" i="2"/>
  <c r="J14781" i="2"/>
  <c r="K14781" i="2"/>
  <c r="L14781" i="2"/>
  <c r="C14782" i="2"/>
  <c r="D14782" i="2"/>
  <c r="F14782" i="2"/>
  <c r="G14782" i="2"/>
  <c r="H14782" i="2"/>
  <c r="J14782" i="2"/>
  <c r="K14782" i="2"/>
  <c r="L14782" i="2"/>
  <c r="C14783" i="2"/>
  <c r="D14783" i="2"/>
  <c r="F14783" i="2"/>
  <c r="G14783" i="2"/>
  <c r="H14783" i="2"/>
  <c r="J14783" i="2"/>
  <c r="K14783" i="2"/>
  <c r="L14783" i="2"/>
  <c r="C14784" i="2"/>
  <c r="D14784" i="2"/>
  <c r="F14784" i="2"/>
  <c r="G14784" i="2"/>
  <c r="H14784" i="2"/>
  <c r="J14784" i="2"/>
  <c r="K14784" i="2"/>
  <c r="L14784" i="2"/>
  <c r="C14785" i="2"/>
  <c r="D14785" i="2"/>
  <c r="F14785" i="2"/>
  <c r="G14785" i="2"/>
  <c r="H14785" i="2"/>
  <c r="J14785" i="2"/>
  <c r="K14785" i="2"/>
  <c r="L14785" i="2"/>
  <c r="C14786" i="2"/>
  <c r="D14786" i="2"/>
  <c r="F14786" i="2"/>
  <c r="G14786" i="2"/>
  <c r="H14786" i="2"/>
  <c r="J14786" i="2"/>
  <c r="K14786" i="2"/>
  <c r="L14786" i="2"/>
  <c r="C14787" i="2"/>
  <c r="D14787" i="2"/>
  <c r="F14787" i="2"/>
  <c r="G14787" i="2"/>
  <c r="H14787" i="2"/>
  <c r="J14787" i="2"/>
  <c r="K14787" i="2"/>
  <c r="L14787" i="2"/>
  <c r="C14788" i="2"/>
  <c r="D14788" i="2"/>
  <c r="F14788" i="2"/>
  <c r="G14788" i="2"/>
  <c r="H14788" i="2"/>
  <c r="J14788" i="2"/>
  <c r="K14788" i="2"/>
  <c r="L14788" i="2"/>
  <c r="C14789" i="2"/>
  <c r="D14789" i="2"/>
  <c r="F14789" i="2"/>
  <c r="G14789" i="2"/>
  <c r="H14789" i="2"/>
  <c r="J14789" i="2"/>
  <c r="K14789" i="2"/>
  <c r="L14789" i="2"/>
  <c r="C14790" i="2"/>
  <c r="D14790" i="2"/>
  <c r="F14790" i="2"/>
  <c r="G14790" i="2"/>
  <c r="H14790" i="2"/>
  <c r="J14790" i="2"/>
  <c r="K14790" i="2"/>
  <c r="L14790" i="2"/>
  <c r="C14791" i="2"/>
  <c r="D14791" i="2"/>
  <c r="F14791" i="2"/>
  <c r="G14791" i="2"/>
  <c r="H14791" i="2"/>
  <c r="J14791" i="2"/>
  <c r="K14791" i="2"/>
  <c r="L14791" i="2"/>
  <c r="C14792" i="2"/>
  <c r="D14792" i="2"/>
  <c r="F14792" i="2"/>
  <c r="G14792" i="2"/>
  <c r="H14792" i="2"/>
  <c r="J14792" i="2"/>
  <c r="K14792" i="2"/>
  <c r="L14792" i="2"/>
  <c r="C14793" i="2"/>
  <c r="D14793" i="2"/>
  <c r="F14793" i="2"/>
  <c r="G14793" i="2"/>
  <c r="H14793" i="2"/>
  <c r="J14793" i="2"/>
  <c r="K14793" i="2"/>
  <c r="L14793" i="2"/>
  <c r="C14794" i="2"/>
  <c r="D14794" i="2"/>
  <c r="F14794" i="2"/>
  <c r="G14794" i="2"/>
  <c r="H14794" i="2"/>
  <c r="J14794" i="2"/>
  <c r="K14794" i="2"/>
  <c r="L14794" i="2"/>
  <c r="C14795" i="2"/>
  <c r="D14795" i="2"/>
  <c r="F14795" i="2"/>
  <c r="G14795" i="2"/>
  <c r="H14795" i="2"/>
  <c r="J14795" i="2"/>
  <c r="K14795" i="2"/>
  <c r="L14795" i="2"/>
  <c r="C14796" i="2"/>
  <c r="D14796" i="2"/>
  <c r="F14796" i="2"/>
  <c r="G14796" i="2"/>
  <c r="H14796" i="2"/>
  <c r="J14796" i="2"/>
  <c r="K14796" i="2"/>
  <c r="L14796" i="2"/>
  <c r="C14797" i="2"/>
  <c r="D14797" i="2"/>
  <c r="F14797" i="2"/>
  <c r="G14797" i="2"/>
  <c r="H14797" i="2"/>
  <c r="J14797" i="2"/>
  <c r="K14797" i="2"/>
  <c r="L14797" i="2"/>
  <c r="C14798" i="2"/>
  <c r="D14798" i="2"/>
  <c r="F14798" i="2"/>
  <c r="G14798" i="2"/>
  <c r="H14798" i="2"/>
  <c r="J14798" i="2"/>
  <c r="K14798" i="2"/>
  <c r="L14798" i="2"/>
  <c r="C14799" i="2"/>
  <c r="D14799" i="2"/>
  <c r="F14799" i="2"/>
  <c r="G14799" i="2"/>
  <c r="H14799" i="2"/>
  <c r="J14799" i="2"/>
  <c r="K14799" i="2"/>
  <c r="L14799" i="2"/>
  <c r="C14800" i="2"/>
  <c r="D14800" i="2"/>
  <c r="F14800" i="2"/>
  <c r="G14800" i="2"/>
  <c r="H14800" i="2"/>
  <c r="J14800" i="2"/>
  <c r="K14800" i="2"/>
  <c r="L14800" i="2"/>
  <c r="C14801" i="2"/>
  <c r="D14801" i="2"/>
  <c r="F14801" i="2"/>
  <c r="G14801" i="2"/>
  <c r="H14801" i="2"/>
  <c r="J14801" i="2"/>
  <c r="K14801" i="2"/>
  <c r="L14801" i="2"/>
  <c r="C14802" i="2"/>
  <c r="D14802" i="2"/>
  <c r="F14802" i="2"/>
  <c r="G14802" i="2"/>
  <c r="H14802" i="2"/>
  <c r="J14802" i="2"/>
  <c r="K14802" i="2"/>
  <c r="L14802" i="2"/>
  <c r="C14803" i="2"/>
  <c r="D14803" i="2"/>
  <c r="F14803" i="2"/>
  <c r="G14803" i="2"/>
  <c r="H14803" i="2"/>
  <c r="J14803" i="2"/>
  <c r="K14803" i="2"/>
  <c r="L14803" i="2"/>
  <c r="C14804" i="2"/>
  <c r="D14804" i="2"/>
  <c r="F14804" i="2"/>
  <c r="G14804" i="2"/>
  <c r="H14804" i="2"/>
  <c r="J14804" i="2"/>
  <c r="K14804" i="2"/>
  <c r="L14804" i="2"/>
  <c r="C14805" i="2"/>
  <c r="D14805" i="2"/>
  <c r="F14805" i="2"/>
  <c r="G14805" i="2"/>
  <c r="H14805" i="2"/>
  <c r="J14805" i="2"/>
  <c r="K14805" i="2"/>
  <c r="L14805" i="2"/>
  <c r="C14806" i="2"/>
  <c r="D14806" i="2"/>
  <c r="F14806" i="2"/>
  <c r="G14806" i="2"/>
  <c r="H14806" i="2"/>
  <c r="J14806" i="2"/>
  <c r="K14806" i="2"/>
  <c r="L14806" i="2"/>
  <c r="C14807" i="2"/>
  <c r="D14807" i="2"/>
  <c r="F14807" i="2"/>
  <c r="G14807" i="2"/>
  <c r="H14807" i="2"/>
  <c r="J14807" i="2"/>
  <c r="K14807" i="2"/>
  <c r="L14807" i="2"/>
  <c r="C14808" i="2"/>
  <c r="D14808" i="2"/>
  <c r="F14808" i="2"/>
  <c r="G14808" i="2"/>
  <c r="H14808" i="2"/>
  <c r="J14808" i="2"/>
  <c r="K14808" i="2"/>
  <c r="L14808" i="2"/>
  <c r="C14809" i="2"/>
  <c r="D14809" i="2"/>
  <c r="F14809" i="2"/>
  <c r="G14809" i="2"/>
  <c r="H14809" i="2"/>
  <c r="J14809" i="2"/>
  <c r="K14809" i="2"/>
  <c r="L14809" i="2"/>
  <c r="C14810" i="2"/>
  <c r="D14810" i="2"/>
  <c r="F14810" i="2"/>
  <c r="G14810" i="2"/>
  <c r="H14810" i="2"/>
  <c r="J14810" i="2"/>
  <c r="K14810" i="2"/>
  <c r="L14810" i="2"/>
  <c r="C14811" i="2"/>
  <c r="D14811" i="2"/>
  <c r="F14811" i="2"/>
  <c r="G14811" i="2"/>
  <c r="H14811" i="2"/>
  <c r="J14811" i="2"/>
  <c r="K14811" i="2"/>
  <c r="L14811" i="2"/>
  <c r="C14812" i="2"/>
  <c r="D14812" i="2"/>
  <c r="F14812" i="2"/>
  <c r="G14812" i="2"/>
  <c r="H14812" i="2"/>
  <c r="J14812" i="2"/>
  <c r="K14812" i="2"/>
  <c r="L14812" i="2"/>
  <c r="C14813" i="2"/>
  <c r="D14813" i="2"/>
  <c r="F14813" i="2"/>
  <c r="G14813" i="2"/>
  <c r="H14813" i="2"/>
  <c r="J14813" i="2"/>
  <c r="K14813" i="2"/>
  <c r="L14813" i="2"/>
  <c r="C14814" i="2"/>
  <c r="D14814" i="2"/>
  <c r="F14814" i="2"/>
  <c r="G14814" i="2"/>
  <c r="H14814" i="2"/>
  <c r="J14814" i="2"/>
  <c r="K14814" i="2"/>
  <c r="L14814" i="2"/>
  <c r="C14815" i="2"/>
  <c r="D14815" i="2"/>
  <c r="F14815" i="2"/>
  <c r="G14815" i="2"/>
  <c r="H14815" i="2"/>
  <c r="J14815" i="2"/>
  <c r="K14815" i="2"/>
  <c r="L14815" i="2"/>
  <c r="C14816" i="2"/>
  <c r="D14816" i="2"/>
  <c r="F14816" i="2"/>
  <c r="G14816" i="2"/>
  <c r="H14816" i="2"/>
  <c r="J14816" i="2"/>
  <c r="K14816" i="2"/>
  <c r="L14816" i="2"/>
  <c r="C14817" i="2"/>
  <c r="D14817" i="2"/>
  <c r="F14817" i="2"/>
  <c r="G14817" i="2"/>
  <c r="H14817" i="2"/>
  <c r="J14817" i="2"/>
  <c r="K14817" i="2"/>
  <c r="L14817" i="2"/>
  <c r="C14818" i="2"/>
  <c r="D14818" i="2"/>
  <c r="F14818" i="2"/>
  <c r="G14818" i="2"/>
  <c r="H14818" i="2"/>
  <c r="J14818" i="2"/>
  <c r="K14818" i="2"/>
  <c r="L14818" i="2"/>
  <c r="C14819" i="2"/>
  <c r="D14819" i="2"/>
  <c r="F14819" i="2"/>
  <c r="G14819" i="2"/>
  <c r="H14819" i="2"/>
  <c r="J14819" i="2"/>
  <c r="K14819" i="2"/>
  <c r="L14819" i="2"/>
  <c r="C14820" i="2"/>
  <c r="D14820" i="2"/>
  <c r="F14820" i="2"/>
  <c r="G14820" i="2"/>
  <c r="H14820" i="2"/>
  <c r="J14820" i="2"/>
  <c r="K14820" i="2"/>
  <c r="L14820" i="2"/>
  <c r="C14821" i="2"/>
  <c r="D14821" i="2"/>
  <c r="F14821" i="2"/>
  <c r="G14821" i="2"/>
  <c r="H14821" i="2"/>
  <c r="J14821" i="2"/>
  <c r="K14821" i="2"/>
  <c r="L14821" i="2"/>
  <c r="C14822" i="2"/>
  <c r="D14822" i="2"/>
  <c r="F14822" i="2"/>
  <c r="G14822" i="2"/>
  <c r="H14822" i="2"/>
  <c r="J14822" i="2"/>
  <c r="K14822" i="2"/>
  <c r="L14822" i="2"/>
  <c r="C14823" i="2"/>
  <c r="D14823" i="2"/>
  <c r="F14823" i="2"/>
  <c r="G14823" i="2"/>
  <c r="H14823" i="2"/>
  <c r="J14823" i="2"/>
  <c r="K14823" i="2"/>
  <c r="L14823" i="2"/>
  <c r="D14824" i="2"/>
  <c r="F14824" i="2"/>
  <c r="G14824" i="2"/>
  <c r="H14824" i="2"/>
  <c r="J14824" i="2"/>
  <c r="K14824" i="2"/>
  <c r="L14824" i="2"/>
  <c r="C14825" i="2"/>
  <c r="D14825" i="2"/>
  <c r="F14825" i="2"/>
  <c r="G14825" i="2"/>
  <c r="H14825" i="2"/>
  <c r="J14825" i="2"/>
  <c r="K14825" i="2"/>
  <c r="L14825" i="2"/>
  <c r="C14826" i="2"/>
  <c r="D14826" i="2"/>
  <c r="F14826" i="2"/>
  <c r="G14826" i="2"/>
  <c r="H14826" i="2"/>
  <c r="J14826" i="2"/>
  <c r="K14826" i="2"/>
  <c r="L14826" i="2"/>
  <c r="C14827" i="2"/>
  <c r="D14827" i="2"/>
  <c r="F14827" i="2"/>
  <c r="G14827" i="2"/>
  <c r="H14827" i="2"/>
  <c r="J14827" i="2"/>
  <c r="K14827" i="2"/>
  <c r="L14827" i="2"/>
  <c r="C14828" i="2"/>
  <c r="D14828" i="2"/>
  <c r="F14828" i="2"/>
  <c r="G14828" i="2"/>
  <c r="H14828" i="2"/>
  <c r="J14828" i="2"/>
  <c r="K14828" i="2"/>
  <c r="L14828" i="2"/>
  <c r="D14829" i="2"/>
  <c r="F14829" i="2"/>
  <c r="G14829" i="2"/>
  <c r="H14829" i="2"/>
  <c r="J14829" i="2"/>
  <c r="K14829" i="2"/>
  <c r="L14829" i="2"/>
  <c r="C14830" i="2"/>
  <c r="D14830" i="2"/>
  <c r="F14830" i="2"/>
  <c r="G14830" i="2"/>
  <c r="H14830" i="2"/>
  <c r="J14830" i="2"/>
  <c r="K14830" i="2"/>
  <c r="L14830" i="2"/>
  <c r="C14831" i="2"/>
  <c r="D14831" i="2"/>
  <c r="F14831" i="2"/>
  <c r="G14831" i="2"/>
  <c r="H14831" i="2"/>
  <c r="J14831" i="2"/>
  <c r="K14831" i="2"/>
  <c r="L14831" i="2"/>
  <c r="C14832" i="2"/>
  <c r="D14832" i="2"/>
  <c r="F14832" i="2"/>
  <c r="G14832" i="2"/>
  <c r="H14832" i="2"/>
  <c r="J14832" i="2"/>
  <c r="K14832" i="2"/>
  <c r="L14832" i="2"/>
  <c r="C14833" i="2"/>
  <c r="D14833" i="2"/>
  <c r="F14833" i="2"/>
  <c r="G14833" i="2"/>
  <c r="H14833" i="2"/>
  <c r="J14833" i="2"/>
  <c r="K14833" i="2"/>
  <c r="L14833" i="2"/>
  <c r="C14834" i="2"/>
  <c r="D14834" i="2"/>
  <c r="F14834" i="2"/>
  <c r="G14834" i="2"/>
  <c r="H14834" i="2"/>
  <c r="J14834" i="2"/>
  <c r="K14834" i="2"/>
  <c r="L14834" i="2"/>
  <c r="C14835" i="2"/>
  <c r="D14835" i="2"/>
  <c r="F14835" i="2"/>
  <c r="G14835" i="2"/>
  <c r="H14835" i="2"/>
  <c r="J14835" i="2"/>
  <c r="K14835" i="2"/>
  <c r="L14835" i="2"/>
  <c r="C14836" i="2"/>
  <c r="D14836" i="2"/>
  <c r="F14836" i="2"/>
  <c r="G14836" i="2"/>
  <c r="H14836" i="2"/>
  <c r="J14836" i="2"/>
  <c r="K14836" i="2"/>
  <c r="L14836" i="2"/>
  <c r="C14837" i="2"/>
  <c r="D14837" i="2"/>
  <c r="F14837" i="2"/>
  <c r="G14837" i="2"/>
  <c r="H14837" i="2"/>
  <c r="J14837" i="2"/>
  <c r="K14837" i="2"/>
  <c r="L14837" i="2"/>
  <c r="C14838" i="2"/>
  <c r="D14838" i="2"/>
  <c r="F14838" i="2"/>
  <c r="G14838" i="2"/>
  <c r="H14838" i="2"/>
  <c r="J14838" i="2"/>
  <c r="K14838" i="2"/>
  <c r="L14838" i="2"/>
  <c r="C14839" i="2"/>
  <c r="D14839" i="2"/>
  <c r="F14839" i="2"/>
  <c r="G14839" i="2"/>
  <c r="H14839" i="2"/>
  <c r="J14839" i="2"/>
  <c r="K14839" i="2"/>
  <c r="L14839" i="2"/>
  <c r="C14840" i="2"/>
  <c r="D14840" i="2"/>
  <c r="F14840" i="2"/>
  <c r="G14840" i="2"/>
  <c r="H14840" i="2"/>
  <c r="J14840" i="2"/>
  <c r="K14840" i="2"/>
  <c r="L14840" i="2"/>
  <c r="C14841" i="2"/>
  <c r="D14841" i="2"/>
  <c r="F14841" i="2"/>
  <c r="G14841" i="2"/>
  <c r="H14841" i="2"/>
  <c r="J14841" i="2"/>
  <c r="K14841" i="2"/>
  <c r="L14841" i="2"/>
  <c r="C14842" i="2"/>
  <c r="D14842" i="2"/>
  <c r="F14842" i="2"/>
  <c r="G14842" i="2"/>
  <c r="H14842" i="2"/>
  <c r="J14842" i="2"/>
  <c r="K14842" i="2"/>
  <c r="L14842" i="2"/>
  <c r="C14843" i="2"/>
  <c r="D14843" i="2"/>
  <c r="F14843" i="2"/>
  <c r="G14843" i="2"/>
  <c r="H14843" i="2"/>
  <c r="J14843" i="2"/>
  <c r="K14843" i="2"/>
  <c r="L14843" i="2"/>
  <c r="C14844" i="2"/>
  <c r="D14844" i="2"/>
  <c r="F14844" i="2"/>
  <c r="G14844" i="2"/>
  <c r="H14844" i="2"/>
  <c r="J14844" i="2"/>
  <c r="K14844" i="2"/>
  <c r="L14844" i="2"/>
  <c r="C14845" i="2"/>
  <c r="D14845" i="2"/>
  <c r="F14845" i="2"/>
  <c r="G14845" i="2"/>
  <c r="H14845" i="2"/>
  <c r="J14845" i="2"/>
  <c r="K14845" i="2"/>
  <c r="L14845" i="2"/>
  <c r="C14846" i="2"/>
  <c r="D14846" i="2"/>
  <c r="F14846" i="2"/>
  <c r="G14846" i="2"/>
  <c r="H14846" i="2"/>
  <c r="J14846" i="2"/>
  <c r="K14846" i="2"/>
  <c r="L14846" i="2"/>
  <c r="C14847" i="2"/>
  <c r="D14847" i="2"/>
  <c r="F14847" i="2"/>
  <c r="G14847" i="2"/>
  <c r="H14847" i="2"/>
  <c r="J14847" i="2"/>
  <c r="K14847" i="2"/>
  <c r="L14847" i="2"/>
  <c r="C14848" i="2"/>
  <c r="D14848" i="2"/>
  <c r="F14848" i="2"/>
  <c r="G14848" i="2"/>
  <c r="H14848" i="2"/>
  <c r="J14848" i="2"/>
  <c r="K14848" i="2"/>
  <c r="L14848" i="2"/>
  <c r="C14849" i="2"/>
  <c r="D14849" i="2"/>
  <c r="F14849" i="2"/>
  <c r="G14849" i="2"/>
  <c r="H14849" i="2"/>
  <c r="J14849" i="2"/>
  <c r="K14849" i="2"/>
  <c r="L14849" i="2"/>
  <c r="C14850" i="2"/>
  <c r="D14850" i="2"/>
  <c r="F14850" i="2"/>
  <c r="G14850" i="2"/>
  <c r="H14850" i="2"/>
  <c r="J14850" i="2"/>
  <c r="K14850" i="2"/>
  <c r="L14850" i="2"/>
  <c r="C14851" i="2"/>
  <c r="D14851" i="2"/>
  <c r="F14851" i="2"/>
  <c r="G14851" i="2"/>
  <c r="H14851" i="2"/>
  <c r="J14851" i="2"/>
  <c r="K14851" i="2"/>
  <c r="L14851" i="2"/>
  <c r="C14852" i="2"/>
  <c r="D14852" i="2"/>
  <c r="F14852" i="2"/>
  <c r="G14852" i="2"/>
  <c r="H14852" i="2"/>
  <c r="J14852" i="2"/>
  <c r="K14852" i="2"/>
  <c r="L14852" i="2"/>
  <c r="C14853" i="2"/>
  <c r="D14853" i="2"/>
  <c r="F14853" i="2"/>
  <c r="G14853" i="2"/>
  <c r="H14853" i="2"/>
  <c r="J14853" i="2"/>
  <c r="K14853" i="2"/>
  <c r="L14853" i="2"/>
  <c r="C14854" i="2"/>
  <c r="D14854" i="2"/>
  <c r="F14854" i="2"/>
  <c r="G14854" i="2"/>
  <c r="H14854" i="2"/>
  <c r="J14854" i="2"/>
  <c r="K14854" i="2"/>
  <c r="L14854" i="2"/>
  <c r="C14855" i="2"/>
  <c r="D14855" i="2"/>
  <c r="F14855" i="2"/>
  <c r="G14855" i="2"/>
  <c r="H14855" i="2"/>
  <c r="J14855" i="2"/>
  <c r="K14855" i="2"/>
  <c r="L14855" i="2"/>
  <c r="C14856" i="2"/>
  <c r="D14856" i="2"/>
  <c r="F14856" i="2"/>
  <c r="G14856" i="2"/>
  <c r="H14856" i="2"/>
  <c r="J14856" i="2"/>
  <c r="K14856" i="2"/>
  <c r="L14856" i="2"/>
  <c r="C14857" i="2"/>
  <c r="D14857" i="2"/>
  <c r="F14857" i="2"/>
  <c r="G14857" i="2"/>
  <c r="H14857" i="2"/>
  <c r="J14857" i="2"/>
  <c r="K14857" i="2"/>
  <c r="L14857" i="2"/>
  <c r="C14858" i="2"/>
  <c r="D14858" i="2"/>
  <c r="F14858" i="2"/>
  <c r="G14858" i="2"/>
  <c r="H14858" i="2"/>
  <c r="J14858" i="2"/>
  <c r="K14858" i="2"/>
  <c r="L14858" i="2"/>
  <c r="C14859" i="2"/>
  <c r="D14859" i="2"/>
  <c r="F14859" i="2"/>
  <c r="G14859" i="2"/>
  <c r="H14859" i="2"/>
  <c r="J14859" i="2"/>
  <c r="K14859" i="2"/>
  <c r="L14859" i="2"/>
  <c r="C14860" i="2"/>
  <c r="D14860" i="2"/>
  <c r="F14860" i="2"/>
  <c r="G14860" i="2"/>
  <c r="H14860" i="2"/>
  <c r="J14860" i="2"/>
  <c r="K14860" i="2"/>
  <c r="L14860" i="2"/>
  <c r="C14861" i="2"/>
  <c r="D14861" i="2"/>
  <c r="F14861" i="2"/>
  <c r="G14861" i="2"/>
  <c r="H14861" i="2"/>
  <c r="J14861" i="2"/>
  <c r="K14861" i="2"/>
  <c r="L14861" i="2"/>
  <c r="C14862" i="2"/>
  <c r="D14862" i="2"/>
  <c r="F14862" i="2"/>
  <c r="G14862" i="2"/>
  <c r="H14862" i="2"/>
  <c r="J14862" i="2"/>
  <c r="K14862" i="2"/>
  <c r="L14862" i="2"/>
  <c r="C14863" i="2"/>
  <c r="D14863" i="2"/>
  <c r="F14863" i="2"/>
  <c r="G14863" i="2"/>
  <c r="H14863" i="2"/>
  <c r="J14863" i="2"/>
  <c r="K14863" i="2"/>
  <c r="L14863" i="2"/>
  <c r="C14864" i="2"/>
  <c r="D14864" i="2"/>
  <c r="F14864" i="2"/>
  <c r="G14864" i="2"/>
  <c r="H14864" i="2"/>
  <c r="J14864" i="2"/>
  <c r="K14864" i="2"/>
  <c r="L14864" i="2"/>
  <c r="C14865" i="2"/>
  <c r="D14865" i="2"/>
  <c r="F14865" i="2"/>
  <c r="G14865" i="2"/>
  <c r="H14865" i="2"/>
  <c r="J14865" i="2"/>
  <c r="K14865" i="2"/>
  <c r="L14865" i="2"/>
  <c r="C14866" i="2"/>
  <c r="D14866" i="2"/>
  <c r="F14866" i="2"/>
  <c r="G14866" i="2"/>
  <c r="H14866" i="2"/>
  <c r="J14866" i="2"/>
  <c r="K14866" i="2"/>
  <c r="L14866" i="2"/>
  <c r="C14867" i="2"/>
  <c r="D14867" i="2"/>
  <c r="F14867" i="2"/>
  <c r="G14867" i="2"/>
  <c r="H14867" i="2"/>
  <c r="J14867" i="2"/>
  <c r="K14867" i="2"/>
  <c r="L14867" i="2"/>
  <c r="C14868" i="2"/>
  <c r="D14868" i="2"/>
  <c r="F14868" i="2"/>
  <c r="G14868" i="2"/>
  <c r="H14868" i="2"/>
  <c r="J14868" i="2"/>
  <c r="K14868" i="2"/>
  <c r="L14868" i="2"/>
  <c r="C14869" i="2"/>
  <c r="D14869" i="2"/>
  <c r="F14869" i="2"/>
  <c r="G14869" i="2"/>
  <c r="H14869" i="2"/>
  <c r="J14869" i="2"/>
  <c r="K14869" i="2"/>
  <c r="L14869" i="2"/>
  <c r="C14870" i="2"/>
  <c r="D14870" i="2"/>
  <c r="F14870" i="2"/>
  <c r="G14870" i="2"/>
  <c r="H14870" i="2"/>
  <c r="J14870" i="2"/>
  <c r="K14870" i="2"/>
  <c r="L14870" i="2"/>
  <c r="C14871" i="2"/>
  <c r="D14871" i="2"/>
  <c r="F14871" i="2"/>
  <c r="G14871" i="2"/>
  <c r="H14871" i="2"/>
  <c r="J14871" i="2"/>
  <c r="K14871" i="2"/>
  <c r="L14871" i="2"/>
  <c r="C14872" i="2"/>
  <c r="D14872" i="2"/>
  <c r="F14872" i="2"/>
  <c r="G14872" i="2"/>
  <c r="H14872" i="2"/>
  <c r="J14872" i="2"/>
  <c r="K14872" i="2"/>
  <c r="L14872" i="2"/>
  <c r="C14873" i="2"/>
  <c r="D14873" i="2"/>
  <c r="F14873" i="2"/>
  <c r="G14873" i="2"/>
  <c r="H14873" i="2"/>
  <c r="J14873" i="2"/>
  <c r="K14873" i="2"/>
  <c r="L14873" i="2"/>
  <c r="C14874" i="2"/>
  <c r="D14874" i="2"/>
  <c r="F14874" i="2"/>
  <c r="G14874" i="2"/>
  <c r="H14874" i="2"/>
  <c r="J14874" i="2"/>
  <c r="K14874" i="2"/>
  <c r="L14874" i="2"/>
  <c r="C14875" i="2"/>
  <c r="D14875" i="2"/>
  <c r="F14875" i="2"/>
  <c r="G14875" i="2"/>
  <c r="H14875" i="2"/>
  <c r="J14875" i="2"/>
  <c r="K14875" i="2"/>
  <c r="L14875" i="2"/>
  <c r="C14876" i="2"/>
  <c r="D14876" i="2"/>
  <c r="F14876" i="2"/>
  <c r="G14876" i="2"/>
  <c r="H14876" i="2"/>
  <c r="J14876" i="2"/>
  <c r="K14876" i="2"/>
  <c r="L14876" i="2"/>
  <c r="C14877" i="2"/>
  <c r="D14877" i="2"/>
  <c r="F14877" i="2"/>
  <c r="G14877" i="2"/>
  <c r="H14877" i="2"/>
  <c r="J14877" i="2"/>
  <c r="K14877" i="2"/>
  <c r="L14877" i="2"/>
  <c r="C14878" i="2"/>
  <c r="D14878" i="2"/>
  <c r="F14878" i="2"/>
  <c r="G14878" i="2"/>
  <c r="H14878" i="2"/>
  <c r="J14878" i="2"/>
  <c r="K14878" i="2"/>
  <c r="L14878" i="2"/>
  <c r="C14879" i="2"/>
  <c r="D14879" i="2"/>
  <c r="F14879" i="2"/>
  <c r="G14879" i="2"/>
  <c r="H14879" i="2"/>
  <c r="J14879" i="2"/>
  <c r="K14879" i="2"/>
  <c r="L14879" i="2"/>
  <c r="C14880" i="2"/>
  <c r="D14880" i="2"/>
  <c r="F14880" i="2"/>
  <c r="G14880" i="2"/>
  <c r="H14880" i="2"/>
  <c r="J14880" i="2"/>
  <c r="K14880" i="2"/>
  <c r="L14880" i="2"/>
  <c r="C14881" i="2"/>
  <c r="D14881" i="2"/>
  <c r="F14881" i="2"/>
  <c r="G14881" i="2"/>
  <c r="H14881" i="2"/>
  <c r="J14881" i="2"/>
  <c r="K14881" i="2"/>
  <c r="L14881" i="2"/>
  <c r="C14882" i="2"/>
  <c r="D14882" i="2"/>
  <c r="F14882" i="2"/>
  <c r="G14882" i="2"/>
  <c r="H14882" i="2"/>
  <c r="J14882" i="2"/>
  <c r="K14882" i="2"/>
  <c r="L14882" i="2"/>
  <c r="C14883" i="2"/>
  <c r="D14883" i="2"/>
  <c r="F14883" i="2"/>
  <c r="G14883" i="2"/>
  <c r="H14883" i="2"/>
  <c r="J14883" i="2"/>
  <c r="K14883" i="2"/>
  <c r="L14883" i="2"/>
  <c r="C14884" i="2"/>
  <c r="D14884" i="2"/>
  <c r="F14884" i="2"/>
  <c r="G14884" i="2"/>
  <c r="H14884" i="2"/>
  <c r="J14884" i="2"/>
  <c r="K14884" i="2"/>
  <c r="L14884" i="2"/>
  <c r="C14885" i="2"/>
  <c r="D14885" i="2"/>
  <c r="F14885" i="2"/>
  <c r="G14885" i="2"/>
  <c r="H14885" i="2"/>
  <c r="J14885" i="2"/>
  <c r="K14885" i="2"/>
  <c r="L14885" i="2"/>
  <c r="C14886" i="2"/>
  <c r="D14886" i="2"/>
  <c r="F14886" i="2"/>
  <c r="G14886" i="2"/>
  <c r="H14886" i="2"/>
  <c r="J14886" i="2"/>
  <c r="K14886" i="2"/>
  <c r="L14886" i="2"/>
  <c r="C14887" i="2"/>
  <c r="D14887" i="2"/>
  <c r="F14887" i="2"/>
  <c r="G14887" i="2"/>
  <c r="H14887" i="2"/>
  <c r="J14887" i="2"/>
  <c r="K14887" i="2"/>
  <c r="L14887" i="2"/>
  <c r="C14888" i="2"/>
  <c r="D14888" i="2"/>
  <c r="F14888" i="2"/>
  <c r="G14888" i="2"/>
  <c r="H14888" i="2"/>
  <c r="J14888" i="2"/>
  <c r="K14888" i="2"/>
  <c r="L14888" i="2"/>
  <c r="C14889" i="2"/>
  <c r="D14889" i="2"/>
  <c r="F14889" i="2"/>
  <c r="G14889" i="2"/>
  <c r="H14889" i="2"/>
  <c r="J14889" i="2"/>
  <c r="K14889" i="2"/>
  <c r="L14889" i="2"/>
  <c r="C14890" i="2"/>
  <c r="D14890" i="2"/>
  <c r="F14890" i="2"/>
  <c r="G14890" i="2"/>
  <c r="H14890" i="2"/>
  <c r="J14890" i="2"/>
  <c r="K14890" i="2"/>
  <c r="L14890" i="2"/>
  <c r="C14891" i="2"/>
  <c r="D14891" i="2"/>
  <c r="F14891" i="2"/>
  <c r="G14891" i="2"/>
  <c r="H14891" i="2"/>
  <c r="J14891" i="2"/>
  <c r="K14891" i="2"/>
  <c r="L14891" i="2"/>
  <c r="C14892" i="2"/>
  <c r="D14892" i="2"/>
  <c r="F14892" i="2"/>
  <c r="G14892" i="2"/>
  <c r="H14892" i="2"/>
  <c r="J14892" i="2"/>
  <c r="K14892" i="2"/>
  <c r="L14892" i="2"/>
  <c r="C14893" i="2"/>
  <c r="D14893" i="2"/>
  <c r="F14893" i="2"/>
  <c r="G14893" i="2"/>
  <c r="H14893" i="2"/>
  <c r="J14893" i="2"/>
  <c r="K14893" i="2"/>
  <c r="L14893" i="2"/>
  <c r="C14894" i="2"/>
  <c r="D14894" i="2"/>
  <c r="F14894" i="2"/>
  <c r="G14894" i="2"/>
  <c r="H14894" i="2"/>
  <c r="J14894" i="2"/>
  <c r="K14894" i="2"/>
  <c r="L14894" i="2"/>
  <c r="C14895" i="2"/>
  <c r="D14895" i="2"/>
  <c r="F14895" i="2"/>
  <c r="G14895" i="2"/>
  <c r="H14895" i="2"/>
  <c r="J14895" i="2"/>
  <c r="K14895" i="2"/>
  <c r="L14895" i="2"/>
  <c r="C14896" i="2"/>
  <c r="D14896" i="2"/>
  <c r="F14896" i="2"/>
  <c r="G14896" i="2"/>
  <c r="H14896" i="2"/>
  <c r="J14896" i="2"/>
  <c r="K14896" i="2"/>
  <c r="L14896" i="2"/>
  <c r="C14897" i="2"/>
  <c r="D14897" i="2"/>
  <c r="F14897" i="2"/>
  <c r="G14897" i="2"/>
  <c r="H14897" i="2"/>
  <c r="J14897" i="2"/>
  <c r="K14897" i="2"/>
  <c r="L14897" i="2"/>
  <c r="C14898" i="2"/>
  <c r="D14898" i="2"/>
  <c r="F14898" i="2"/>
  <c r="G14898" i="2"/>
  <c r="H14898" i="2"/>
  <c r="J14898" i="2"/>
  <c r="K14898" i="2"/>
  <c r="L14898" i="2"/>
  <c r="C14899" i="2"/>
  <c r="D14899" i="2"/>
  <c r="F14899" i="2"/>
  <c r="G14899" i="2"/>
  <c r="H14899" i="2"/>
  <c r="J14899" i="2"/>
  <c r="K14899" i="2"/>
  <c r="L14899" i="2"/>
  <c r="C14900" i="2"/>
  <c r="D14900" i="2"/>
  <c r="F14900" i="2"/>
  <c r="G14900" i="2"/>
  <c r="H14900" i="2"/>
  <c r="J14900" i="2"/>
  <c r="K14900" i="2"/>
  <c r="L14900" i="2"/>
  <c r="C14901" i="2"/>
  <c r="D14901" i="2"/>
  <c r="F14901" i="2"/>
  <c r="G14901" i="2"/>
  <c r="H14901" i="2"/>
  <c r="J14901" i="2"/>
  <c r="K14901" i="2"/>
  <c r="L14901" i="2"/>
  <c r="C14902" i="2"/>
  <c r="D14902" i="2"/>
  <c r="F14902" i="2"/>
  <c r="G14902" i="2"/>
  <c r="H14902" i="2"/>
  <c r="J14902" i="2"/>
  <c r="K14902" i="2"/>
  <c r="L14902" i="2"/>
  <c r="C14903" i="2"/>
  <c r="D14903" i="2"/>
  <c r="F14903" i="2"/>
  <c r="G14903" i="2"/>
  <c r="H14903" i="2"/>
  <c r="J14903" i="2"/>
  <c r="K14903" i="2"/>
  <c r="L14903" i="2"/>
  <c r="C14904" i="2"/>
  <c r="D14904" i="2"/>
  <c r="F14904" i="2"/>
  <c r="G14904" i="2"/>
  <c r="H14904" i="2"/>
  <c r="J14904" i="2"/>
  <c r="K14904" i="2"/>
  <c r="L14904" i="2"/>
  <c r="C14905" i="2"/>
  <c r="D14905" i="2"/>
  <c r="F14905" i="2"/>
  <c r="G14905" i="2"/>
  <c r="H14905" i="2"/>
  <c r="J14905" i="2"/>
  <c r="K14905" i="2"/>
  <c r="L14905" i="2"/>
  <c r="C14906" i="2"/>
  <c r="D14906" i="2"/>
  <c r="F14906" i="2"/>
  <c r="G14906" i="2"/>
  <c r="H14906" i="2"/>
  <c r="J14906" i="2"/>
  <c r="K14906" i="2"/>
  <c r="L14906" i="2"/>
  <c r="C14907" i="2"/>
  <c r="D14907" i="2"/>
  <c r="F14907" i="2"/>
  <c r="G14907" i="2"/>
  <c r="H14907" i="2"/>
  <c r="J14907" i="2"/>
  <c r="K14907" i="2"/>
  <c r="L14907" i="2"/>
  <c r="C14908" i="2"/>
  <c r="D14908" i="2"/>
  <c r="F14908" i="2"/>
  <c r="G14908" i="2"/>
  <c r="H14908" i="2"/>
  <c r="J14908" i="2"/>
  <c r="K14908" i="2"/>
  <c r="L14908" i="2"/>
  <c r="C14909" i="2"/>
  <c r="D14909" i="2"/>
  <c r="F14909" i="2"/>
  <c r="G14909" i="2"/>
  <c r="H14909" i="2"/>
  <c r="J14909" i="2"/>
  <c r="K14909" i="2"/>
  <c r="L14909" i="2"/>
  <c r="C14910" i="2"/>
  <c r="D14910" i="2"/>
  <c r="F14910" i="2"/>
  <c r="G14910" i="2"/>
  <c r="H14910" i="2"/>
  <c r="J14910" i="2"/>
  <c r="K14910" i="2"/>
  <c r="L14910" i="2"/>
  <c r="C14911" i="2"/>
  <c r="D14911" i="2"/>
  <c r="F14911" i="2"/>
  <c r="G14911" i="2"/>
  <c r="H14911" i="2"/>
  <c r="J14911" i="2"/>
  <c r="K14911" i="2"/>
  <c r="L14911" i="2"/>
  <c r="C14912" i="2"/>
  <c r="D14912" i="2"/>
  <c r="F14912" i="2"/>
  <c r="G14912" i="2"/>
  <c r="H14912" i="2"/>
  <c r="J14912" i="2"/>
  <c r="K14912" i="2"/>
  <c r="L14912" i="2"/>
  <c r="C14913" i="2"/>
  <c r="D14913" i="2"/>
  <c r="F14913" i="2"/>
  <c r="G14913" i="2"/>
  <c r="H14913" i="2"/>
  <c r="J14913" i="2"/>
  <c r="K14913" i="2"/>
  <c r="L14913" i="2"/>
  <c r="C14914" i="2"/>
  <c r="D14914" i="2"/>
  <c r="E14914" i="2"/>
  <c r="F14914" i="2"/>
  <c r="G14914" i="2"/>
  <c r="H14914" i="2"/>
  <c r="J14914" i="2"/>
  <c r="K14914" i="2"/>
  <c r="L14914" i="2"/>
  <c r="C14915" i="2"/>
  <c r="D14915" i="2"/>
  <c r="F14915" i="2"/>
  <c r="G14915" i="2"/>
  <c r="H14915" i="2"/>
  <c r="J14915" i="2"/>
  <c r="K14915" i="2"/>
  <c r="L14915" i="2"/>
  <c r="C14916" i="2"/>
  <c r="D14916" i="2"/>
  <c r="F14916" i="2"/>
  <c r="G14916" i="2"/>
  <c r="H14916" i="2"/>
  <c r="J14916" i="2"/>
  <c r="K14916" i="2"/>
  <c r="L14916" i="2"/>
  <c r="C14917" i="2"/>
  <c r="D14917" i="2"/>
  <c r="F14917" i="2"/>
  <c r="G14917" i="2"/>
  <c r="H14917" i="2"/>
  <c r="J14917" i="2"/>
  <c r="K14917" i="2"/>
  <c r="L14917" i="2"/>
  <c r="C14918" i="2"/>
  <c r="D14918" i="2"/>
  <c r="F14918" i="2"/>
  <c r="G14918" i="2"/>
  <c r="H14918" i="2"/>
  <c r="J14918" i="2"/>
  <c r="K14918" i="2"/>
  <c r="L14918" i="2"/>
  <c r="C14919" i="2"/>
  <c r="D14919" i="2"/>
  <c r="F14919" i="2"/>
  <c r="G14919" i="2"/>
  <c r="H14919" i="2"/>
  <c r="J14919" i="2"/>
  <c r="K14919" i="2"/>
  <c r="L14919" i="2"/>
  <c r="C14920" i="2"/>
  <c r="D14920" i="2"/>
  <c r="F14920" i="2"/>
  <c r="G14920" i="2"/>
  <c r="H14920" i="2"/>
  <c r="J14920" i="2"/>
  <c r="K14920" i="2"/>
  <c r="L14920" i="2"/>
  <c r="C14921" i="2"/>
  <c r="D14921" i="2"/>
  <c r="F14921" i="2"/>
  <c r="G14921" i="2"/>
  <c r="H14921" i="2"/>
  <c r="J14921" i="2"/>
  <c r="K14921" i="2"/>
  <c r="L14921" i="2"/>
  <c r="C14922" i="2"/>
  <c r="D14922" i="2"/>
  <c r="F14922" i="2"/>
  <c r="G14922" i="2"/>
  <c r="H14922" i="2"/>
  <c r="J14922" i="2"/>
  <c r="K14922" i="2"/>
  <c r="L14922" i="2"/>
  <c r="C14923" i="2"/>
  <c r="D14923" i="2"/>
  <c r="F14923" i="2"/>
  <c r="G14923" i="2"/>
  <c r="H14923" i="2"/>
  <c r="J14923" i="2"/>
  <c r="K14923" i="2"/>
  <c r="L14923" i="2"/>
  <c r="C14924" i="2"/>
  <c r="D14924" i="2"/>
  <c r="F14924" i="2"/>
  <c r="G14924" i="2"/>
  <c r="H14924" i="2"/>
  <c r="J14924" i="2"/>
  <c r="K14924" i="2"/>
  <c r="L14924" i="2"/>
  <c r="C14925" i="2"/>
  <c r="D14925" i="2"/>
  <c r="F14925" i="2"/>
  <c r="G14925" i="2"/>
  <c r="H14925" i="2"/>
  <c r="J14925" i="2"/>
  <c r="K14925" i="2"/>
  <c r="L14925" i="2"/>
  <c r="C14926" i="2"/>
  <c r="D14926" i="2"/>
  <c r="F14926" i="2"/>
  <c r="G14926" i="2"/>
  <c r="H14926" i="2"/>
  <c r="J14926" i="2"/>
  <c r="K14926" i="2"/>
  <c r="L14926" i="2"/>
  <c r="C14927" i="2"/>
  <c r="D14927" i="2"/>
  <c r="F14927" i="2"/>
  <c r="G14927" i="2"/>
  <c r="H14927" i="2"/>
  <c r="J14927" i="2"/>
  <c r="K14927" i="2"/>
  <c r="L14927" i="2"/>
  <c r="C14928" i="2"/>
  <c r="D14928" i="2"/>
  <c r="F14928" i="2"/>
  <c r="G14928" i="2"/>
  <c r="H14928" i="2"/>
  <c r="J14928" i="2"/>
  <c r="K14928" i="2"/>
  <c r="L14928" i="2"/>
  <c r="C14929" i="2"/>
  <c r="D14929" i="2"/>
  <c r="F14929" i="2"/>
  <c r="G14929" i="2"/>
  <c r="H14929" i="2"/>
  <c r="J14929" i="2"/>
  <c r="K14929" i="2"/>
  <c r="L14929" i="2"/>
  <c r="C14930" i="2"/>
  <c r="D14930" i="2"/>
  <c r="F14930" i="2"/>
  <c r="G14930" i="2"/>
  <c r="H14930" i="2"/>
  <c r="J14930" i="2"/>
  <c r="K14930" i="2"/>
  <c r="L14930" i="2"/>
  <c r="C14931" i="2"/>
  <c r="D14931" i="2"/>
  <c r="F14931" i="2"/>
  <c r="G14931" i="2"/>
  <c r="H14931" i="2"/>
  <c r="J14931" i="2"/>
  <c r="K14931" i="2"/>
  <c r="L14931" i="2"/>
  <c r="C14932" i="2"/>
  <c r="D14932" i="2"/>
  <c r="F14932" i="2"/>
  <c r="G14932" i="2"/>
  <c r="H14932" i="2"/>
  <c r="J14932" i="2"/>
  <c r="K14932" i="2"/>
  <c r="L14932" i="2"/>
  <c r="C14933" i="2"/>
  <c r="D14933" i="2"/>
  <c r="F14933" i="2"/>
  <c r="G14933" i="2"/>
  <c r="H14933" i="2"/>
  <c r="J14933" i="2"/>
  <c r="K14933" i="2"/>
  <c r="L14933" i="2"/>
  <c r="C14934" i="2"/>
  <c r="D14934" i="2"/>
  <c r="F14934" i="2"/>
  <c r="G14934" i="2"/>
  <c r="H14934" i="2"/>
  <c r="J14934" i="2"/>
  <c r="K14934" i="2"/>
  <c r="L14934" i="2"/>
  <c r="C14935" i="2"/>
  <c r="D14935" i="2"/>
  <c r="F14935" i="2"/>
  <c r="G14935" i="2"/>
  <c r="H14935" i="2"/>
  <c r="J14935" i="2"/>
  <c r="K14935" i="2"/>
  <c r="L14935" i="2"/>
  <c r="C14936" i="2"/>
  <c r="D14936" i="2"/>
  <c r="F14936" i="2"/>
  <c r="G14936" i="2"/>
  <c r="H14936" i="2"/>
  <c r="J14936" i="2"/>
  <c r="K14936" i="2"/>
  <c r="L14936" i="2"/>
  <c r="C14937" i="2"/>
  <c r="D14937" i="2"/>
  <c r="F14937" i="2"/>
  <c r="G14937" i="2"/>
  <c r="H14937" i="2"/>
  <c r="J14937" i="2"/>
  <c r="K14937" i="2"/>
  <c r="L14937" i="2"/>
  <c r="C14938" i="2"/>
  <c r="D14938" i="2"/>
  <c r="F14938" i="2"/>
  <c r="G14938" i="2"/>
  <c r="H14938" i="2"/>
  <c r="J14938" i="2"/>
  <c r="K14938" i="2"/>
  <c r="L14938" i="2"/>
  <c r="C14939" i="2"/>
  <c r="D14939" i="2"/>
  <c r="F14939" i="2"/>
  <c r="G14939" i="2"/>
  <c r="H14939" i="2"/>
  <c r="J14939" i="2"/>
  <c r="K14939" i="2"/>
  <c r="L14939" i="2"/>
  <c r="C14940" i="2"/>
  <c r="D14940" i="2"/>
  <c r="F14940" i="2"/>
  <c r="G14940" i="2"/>
  <c r="H14940" i="2"/>
  <c r="J14940" i="2"/>
  <c r="K14940" i="2"/>
  <c r="L14940" i="2"/>
  <c r="C14941" i="2"/>
  <c r="D14941" i="2"/>
  <c r="F14941" i="2"/>
  <c r="G14941" i="2"/>
  <c r="H14941" i="2"/>
  <c r="J14941" i="2"/>
  <c r="K14941" i="2"/>
  <c r="L14941" i="2"/>
  <c r="C14942" i="2"/>
  <c r="D14942" i="2"/>
  <c r="F14942" i="2"/>
  <c r="G14942" i="2"/>
  <c r="H14942" i="2"/>
  <c r="J14942" i="2"/>
  <c r="K14942" i="2"/>
  <c r="L14942" i="2"/>
  <c r="C14943" i="2"/>
  <c r="D14943" i="2"/>
  <c r="F14943" i="2"/>
  <c r="G14943" i="2"/>
  <c r="H14943" i="2"/>
  <c r="J14943" i="2"/>
  <c r="K14943" i="2"/>
  <c r="L14943" i="2"/>
  <c r="C14944" i="2"/>
  <c r="D14944" i="2"/>
  <c r="F14944" i="2"/>
  <c r="G14944" i="2"/>
  <c r="H14944" i="2"/>
  <c r="J14944" i="2"/>
  <c r="K14944" i="2"/>
  <c r="L14944" i="2"/>
  <c r="C14945" i="2"/>
  <c r="D14945" i="2"/>
  <c r="F14945" i="2"/>
  <c r="G14945" i="2"/>
  <c r="H14945" i="2"/>
  <c r="J14945" i="2"/>
  <c r="K14945" i="2"/>
  <c r="L14945" i="2"/>
  <c r="C14946" i="2"/>
  <c r="D14946" i="2"/>
  <c r="F14946" i="2"/>
  <c r="G14946" i="2"/>
  <c r="H14946" i="2"/>
  <c r="J14946" i="2"/>
  <c r="K14946" i="2"/>
  <c r="L14946" i="2"/>
  <c r="C14947" i="2"/>
  <c r="D14947" i="2"/>
  <c r="F14947" i="2"/>
  <c r="G14947" i="2"/>
  <c r="H14947" i="2"/>
  <c r="J14947" i="2"/>
  <c r="K14947" i="2"/>
  <c r="L14947" i="2"/>
  <c r="C14948" i="2"/>
  <c r="D14948" i="2"/>
  <c r="F14948" i="2"/>
  <c r="G14948" i="2"/>
  <c r="H14948" i="2"/>
  <c r="J14948" i="2"/>
  <c r="K14948" i="2"/>
  <c r="L14948" i="2"/>
  <c r="C14949" i="2"/>
  <c r="D14949" i="2"/>
  <c r="F14949" i="2"/>
  <c r="G14949" i="2"/>
  <c r="H14949" i="2"/>
  <c r="J14949" i="2"/>
  <c r="K14949" i="2"/>
  <c r="L14949" i="2"/>
  <c r="C14950" i="2"/>
  <c r="D14950" i="2"/>
  <c r="F14950" i="2"/>
  <c r="G14950" i="2"/>
  <c r="H14950" i="2"/>
  <c r="J14950" i="2"/>
  <c r="K14950" i="2"/>
  <c r="L14950" i="2"/>
  <c r="C14951" i="2"/>
  <c r="D14951" i="2"/>
  <c r="F14951" i="2"/>
  <c r="G14951" i="2"/>
  <c r="H14951" i="2"/>
  <c r="J14951" i="2"/>
  <c r="K14951" i="2"/>
  <c r="L14951" i="2"/>
  <c r="C14952" i="2"/>
  <c r="D14952" i="2"/>
  <c r="F14952" i="2"/>
  <c r="G14952" i="2"/>
  <c r="H14952" i="2"/>
  <c r="J14952" i="2"/>
  <c r="K14952" i="2"/>
  <c r="L14952" i="2"/>
  <c r="C14953" i="2"/>
  <c r="D14953" i="2"/>
  <c r="F14953" i="2"/>
  <c r="G14953" i="2"/>
  <c r="H14953" i="2"/>
  <c r="J14953" i="2"/>
  <c r="K14953" i="2"/>
  <c r="L14953" i="2"/>
  <c r="C14954" i="2"/>
  <c r="D14954" i="2"/>
  <c r="F14954" i="2"/>
  <c r="G14954" i="2"/>
  <c r="H14954" i="2"/>
  <c r="J14954" i="2"/>
  <c r="K14954" i="2"/>
  <c r="L14954" i="2"/>
  <c r="C14955" i="2"/>
  <c r="D14955" i="2"/>
  <c r="F14955" i="2"/>
  <c r="G14955" i="2"/>
  <c r="H14955" i="2"/>
  <c r="J14955" i="2"/>
  <c r="K14955" i="2"/>
  <c r="L14955" i="2"/>
  <c r="C14956" i="2"/>
  <c r="D14956" i="2"/>
  <c r="F14956" i="2"/>
  <c r="G14956" i="2"/>
  <c r="H14956" i="2"/>
  <c r="J14956" i="2"/>
  <c r="K14956" i="2"/>
  <c r="L14956" i="2"/>
  <c r="C14957" i="2"/>
  <c r="D14957" i="2"/>
  <c r="F14957" i="2"/>
  <c r="G14957" i="2"/>
  <c r="H14957" i="2"/>
  <c r="J14957" i="2"/>
  <c r="K14957" i="2"/>
  <c r="L14957" i="2"/>
  <c r="C14958" i="2"/>
  <c r="D14958" i="2"/>
  <c r="F14958" i="2"/>
  <c r="G14958" i="2"/>
  <c r="H14958" i="2"/>
  <c r="J14958" i="2"/>
  <c r="K14958" i="2"/>
  <c r="L14958" i="2"/>
  <c r="C14959" i="2"/>
  <c r="D14959" i="2"/>
  <c r="F14959" i="2"/>
  <c r="G14959" i="2"/>
  <c r="H14959" i="2"/>
  <c r="J14959" i="2"/>
  <c r="K14959" i="2"/>
  <c r="L14959" i="2"/>
  <c r="C14960" i="2"/>
  <c r="D14960" i="2"/>
  <c r="F14960" i="2"/>
  <c r="G14960" i="2"/>
  <c r="H14960" i="2"/>
  <c r="J14960" i="2"/>
  <c r="K14960" i="2"/>
  <c r="L14960" i="2"/>
  <c r="C14961" i="2"/>
  <c r="D14961" i="2"/>
  <c r="F14961" i="2"/>
  <c r="G14961" i="2"/>
  <c r="H14961" i="2"/>
  <c r="J14961" i="2"/>
  <c r="K14961" i="2"/>
  <c r="L14961" i="2"/>
  <c r="C14962" i="2"/>
  <c r="D14962" i="2"/>
  <c r="F14962" i="2"/>
  <c r="G14962" i="2"/>
  <c r="H14962" i="2"/>
  <c r="J14962" i="2"/>
  <c r="K14962" i="2"/>
  <c r="L14962" i="2"/>
  <c r="C14963" i="2"/>
  <c r="D14963" i="2"/>
  <c r="F14963" i="2"/>
  <c r="G14963" i="2"/>
  <c r="H14963" i="2"/>
  <c r="J14963" i="2"/>
  <c r="K14963" i="2"/>
  <c r="L14963" i="2"/>
  <c r="C14964" i="2"/>
  <c r="D14964" i="2"/>
  <c r="F14964" i="2"/>
  <c r="G14964" i="2"/>
  <c r="H14964" i="2"/>
  <c r="J14964" i="2"/>
  <c r="K14964" i="2"/>
  <c r="L14964" i="2"/>
  <c r="C14965" i="2"/>
  <c r="D14965" i="2"/>
  <c r="F14965" i="2"/>
  <c r="G14965" i="2"/>
  <c r="H14965" i="2"/>
  <c r="J14965" i="2"/>
  <c r="K14965" i="2"/>
  <c r="L14965" i="2"/>
  <c r="C14966" i="2"/>
  <c r="D14966" i="2"/>
  <c r="F14966" i="2"/>
  <c r="G14966" i="2"/>
  <c r="H14966" i="2"/>
  <c r="J14966" i="2"/>
  <c r="K14966" i="2"/>
  <c r="L14966" i="2"/>
  <c r="C14967" i="2"/>
  <c r="D14967" i="2"/>
  <c r="F14967" i="2"/>
  <c r="G14967" i="2"/>
  <c r="H14967" i="2"/>
  <c r="J14967" i="2"/>
  <c r="K14967" i="2"/>
  <c r="L14967" i="2"/>
  <c r="C14968" i="2"/>
  <c r="D14968" i="2"/>
  <c r="F14968" i="2"/>
  <c r="G14968" i="2"/>
  <c r="H14968" i="2"/>
  <c r="J14968" i="2"/>
  <c r="K14968" i="2"/>
  <c r="L14968" i="2"/>
  <c r="C14969" i="2"/>
  <c r="D14969" i="2"/>
  <c r="F14969" i="2"/>
  <c r="G14969" i="2"/>
  <c r="H14969" i="2"/>
  <c r="J14969" i="2"/>
  <c r="K14969" i="2"/>
  <c r="L14969" i="2"/>
  <c r="C14970" i="2"/>
  <c r="D14970" i="2"/>
  <c r="F14970" i="2"/>
  <c r="G14970" i="2"/>
  <c r="H14970" i="2"/>
  <c r="J14970" i="2"/>
  <c r="K14970" i="2"/>
  <c r="L14970" i="2"/>
  <c r="C14971" i="2"/>
  <c r="D14971" i="2"/>
  <c r="F14971" i="2"/>
  <c r="G14971" i="2"/>
  <c r="H14971" i="2"/>
  <c r="J14971" i="2"/>
  <c r="K14971" i="2"/>
  <c r="L14971" i="2"/>
  <c r="C14972" i="2"/>
  <c r="D14972" i="2"/>
  <c r="F14972" i="2"/>
  <c r="G14972" i="2"/>
  <c r="H14972" i="2"/>
  <c r="J14972" i="2"/>
  <c r="K14972" i="2"/>
  <c r="L14972" i="2"/>
  <c r="C14973" i="2"/>
  <c r="D14973" i="2"/>
  <c r="F14973" i="2"/>
  <c r="G14973" i="2"/>
  <c r="H14973" i="2"/>
  <c r="J14973" i="2"/>
  <c r="K14973" i="2"/>
  <c r="L14973" i="2"/>
  <c r="C14974" i="2"/>
  <c r="D14974" i="2"/>
  <c r="F14974" i="2"/>
  <c r="G14974" i="2"/>
  <c r="H14974" i="2"/>
  <c r="J14974" i="2"/>
  <c r="K14974" i="2"/>
  <c r="L14974" i="2"/>
  <c r="C14975" i="2"/>
  <c r="D14975" i="2"/>
  <c r="F14975" i="2"/>
  <c r="G14975" i="2"/>
  <c r="H14975" i="2"/>
  <c r="J14975" i="2"/>
  <c r="K14975" i="2"/>
  <c r="L14975" i="2"/>
  <c r="C14976" i="2"/>
  <c r="D14976" i="2"/>
  <c r="F14976" i="2"/>
  <c r="G14976" i="2"/>
  <c r="H14976" i="2"/>
  <c r="J14976" i="2"/>
  <c r="K14976" i="2"/>
  <c r="L14976" i="2"/>
  <c r="C14977" i="2"/>
  <c r="D14977" i="2"/>
  <c r="F14977" i="2"/>
  <c r="G14977" i="2"/>
  <c r="H14977" i="2"/>
  <c r="J14977" i="2"/>
  <c r="K14977" i="2"/>
  <c r="L14977" i="2"/>
  <c r="C14978" i="2"/>
  <c r="D14978" i="2"/>
  <c r="F14978" i="2"/>
  <c r="G14978" i="2"/>
  <c r="H14978" i="2"/>
  <c r="J14978" i="2"/>
  <c r="K14978" i="2"/>
  <c r="L14978" i="2"/>
  <c r="C14979" i="2"/>
  <c r="D14979" i="2"/>
  <c r="F14979" i="2"/>
  <c r="G14979" i="2"/>
  <c r="H14979" i="2"/>
  <c r="J14979" i="2"/>
  <c r="K14979" i="2"/>
  <c r="L14979" i="2"/>
  <c r="C14980" i="2"/>
  <c r="D14980" i="2"/>
  <c r="F14980" i="2"/>
  <c r="G14980" i="2"/>
  <c r="H14980" i="2"/>
  <c r="J14980" i="2"/>
  <c r="K14980" i="2"/>
  <c r="L14980" i="2"/>
  <c r="C14981" i="2"/>
  <c r="D14981" i="2"/>
  <c r="F14981" i="2"/>
  <c r="G14981" i="2"/>
  <c r="H14981" i="2"/>
  <c r="J14981" i="2"/>
  <c r="K14981" i="2"/>
  <c r="L14981" i="2"/>
  <c r="C14982" i="2"/>
  <c r="D14982" i="2"/>
  <c r="F14982" i="2"/>
  <c r="G14982" i="2"/>
  <c r="H14982" i="2"/>
  <c r="J14982" i="2"/>
  <c r="K14982" i="2"/>
  <c r="L14982" i="2"/>
  <c r="C14983" i="2"/>
  <c r="D14983" i="2"/>
  <c r="F14983" i="2"/>
  <c r="G14983" i="2"/>
  <c r="H14983" i="2"/>
  <c r="J14983" i="2"/>
  <c r="K14983" i="2"/>
  <c r="L14983" i="2"/>
  <c r="C14984" i="2"/>
  <c r="D14984" i="2"/>
  <c r="F14984" i="2"/>
  <c r="G14984" i="2"/>
  <c r="H14984" i="2"/>
  <c r="J14984" i="2"/>
  <c r="K14984" i="2"/>
  <c r="L14984" i="2"/>
  <c r="C14985" i="2"/>
  <c r="D14985" i="2"/>
  <c r="F14985" i="2"/>
  <c r="G14985" i="2"/>
  <c r="H14985" i="2"/>
  <c r="J14985" i="2"/>
  <c r="K14985" i="2"/>
  <c r="L14985" i="2"/>
  <c r="C14986" i="2"/>
  <c r="D14986" i="2"/>
  <c r="F14986" i="2"/>
  <c r="G14986" i="2"/>
  <c r="H14986" i="2"/>
  <c r="J14986" i="2"/>
  <c r="K14986" i="2"/>
  <c r="L14986" i="2"/>
  <c r="C14987" i="2"/>
  <c r="D14987" i="2"/>
  <c r="F14987" i="2"/>
  <c r="G14987" i="2"/>
  <c r="H14987" i="2"/>
  <c r="J14987" i="2"/>
  <c r="K14987" i="2"/>
  <c r="L14987" i="2"/>
  <c r="C14988" i="2"/>
  <c r="D14988" i="2"/>
  <c r="F14988" i="2"/>
  <c r="G14988" i="2"/>
  <c r="H14988" i="2"/>
  <c r="J14988" i="2"/>
  <c r="K14988" i="2"/>
  <c r="L14988" i="2"/>
  <c r="C14989" i="2"/>
  <c r="D14989" i="2"/>
  <c r="F14989" i="2"/>
  <c r="G14989" i="2"/>
  <c r="H14989" i="2"/>
  <c r="J14989" i="2"/>
  <c r="K14989" i="2"/>
  <c r="L14989" i="2"/>
  <c r="C14990" i="2"/>
  <c r="D14990" i="2"/>
  <c r="F14990" i="2"/>
  <c r="G14990" i="2"/>
  <c r="H14990" i="2"/>
  <c r="J14990" i="2"/>
  <c r="K14990" i="2"/>
  <c r="L14990" i="2"/>
  <c r="C14991" i="2"/>
  <c r="D14991" i="2"/>
  <c r="F14991" i="2"/>
  <c r="G14991" i="2"/>
  <c r="H14991" i="2"/>
  <c r="J14991" i="2"/>
  <c r="K14991" i="2"/>
  <c r="L14991" i="2"/>
  <c r="C14992" i="2"/>
  <c r="D14992" i="2"/>
  <c r="F14992" i="2"/>
  <c r="G14992" i="2"/>
  <c r="H14992" i="2"/>
  <c r="J14992" i="2"/>
  <c r="K14992" i="2"/>
  <c r="L14992" i="2"/>
  <c r="D14993" i="2"/>
  <c r="F14993" i="2"/>
  <c r="G14993" i="2"/>
  <c r="H14993" i="2"/>
  <c r="J14993" i="2"/>
  <c r="K14993" i="2"/>
  <c r="L14993" i="2"/>
  <c r="C14994" i="2"/>
  <c r="D14994" i="2"/>
  <c r="F14994" i="2"/>
  <c r="G14994" i="2"/>
  <c r="H14994" i="2"/>
  <c r="J14994" i="2"/>
  <c r="K14994" i="2"/>
  <c r="L14994" i="2"/>
  <c r="C14995" i="2"/>
  <c r="D14995" i="2"/>
  <c r="F14995" i="2"/>
  <c r="G14995" i="2"/>
  <c r="H14995" i="2"/>
  <c r="J14995" i="2"/>
  <c r="K14995" i="2"/>
  <c r="L14995" i="2"/>
  <c r="C14996" i="2"/>
  <c r="D14996" i="2"/>
  <c r="F14996" i="2"/>
  <c r="G14996" i="2"/>
  <c r="H14996" i="2"/>
  <c r="J14996" i="2"/>
  <c r="K14996" i="2"/>
  <c r="L14996" i="2"/>
  <c r="C14997" i="2"/>
  <c r="D14997" i="2"/>
  <c r="F14997" i="2"/>
  <c r="G14997" i="2"/>
  <c r="H14997" i="2"/>
  <c r="J14997" i="2"/>
  <c r="K14997" i="2"/>
  <c r="L14997" i="2"/>
  <c r="C14998" i="2"/>
  <c r="D14998" i="2"/>
  <c r="F14998" i="2"/>
  <c r="G14998" i="2"/>
  <c r="H14998" i="2"/>
  <c r="J14998" i="2"/>
  <c r="K14998" i="2"/>
  <c r="L14998" i="2"/>
  <c r="C14999" i="2"/>
  <c r="D14999" i="2"/>
  <c r="F14999" i="2"/>
  <c r="G14999" i="2"/>
  <c r="H14999" i="2"/>
  <c r="J14999" i="2"/>
  <c r="K14999" i="2"/>
  <c r="L14999" i="2"/>
  <c r="C15000" i="2"/>
  <c r="D15000" i="2"/>
  <c r="F15000" i="2"/>
  <c r="G15000" i="2"/>
  <c r="H15000" i="2"/>
  <c r="J15000" i="2"/>
  <c r="K15000" i="2"/>
  <c r="L15000" i="2"/>
  <c r="C15001" i="2"/>
  <c r="D15001" i="2"/>
  <c r="F15001" i="2"/>
  <c r="G15001" i="2"/>
  <c r="H15001" i="2"/>
  <c r="J15001" i="2"/>
  <c r="K15001" i="2"/>
  <c r="L15001" i="2"/>
  <c r="C15002" i="2"/>
  <c r="D15002" i="2"/>
  <c r="F15002" i="2"/>
  <c r="G15002" i="2"/>
  <c r="H15002" i="2"/>
  <c r="J15002" i="2"/>
  <c r="K15002" i="2"/>
  <c r="L15002" i="2"/>
  <c r="C15003" i="2"/>
  <c r="D15003" i="2"/>
  <c r="F15003" i="2"/>
  <c r="G15003" i="2"/>
  <c r="H15003" i="2"/>
  <c r="J15003" i="2"/>
  <c r="K15003" i="2"/>
  <c r="L15003" i="2"/>
  <c r="C15004" i="2"/>
  <c r="D15004" i="2"/>
  <c r="F15004" i="2"/>
  <c r="G15004" i="2"/>
  <c r="H15004" i="2"/>
  <c r="J15004" i="2"/>
  <c r="K15004" i="2"/>
  <c r="L15004" i="2"/>
  <c r="C15005" i="2"/>
  <c r="D15005" i="2"/>
  <c r="F15005" i="2"/>
  <c r="G15005" i="2"/>
  <c r="H15005" i="2"/>
  <c r="J15005" i="2"/>
  <c r="K15005" i="2"/>
  <c r="L15005" i="2"/>
  <c r="C15006" i="2"/>
  <c r="D15006" i="2"/>
  <c r="F15006" i="2"/>
  <c r="G15006" i="2"/>
  <c r="H15006" i="2"/>
  <c r="J15006" i="2"/>
  <c r="K15006" i="2"/>
  <c r="L15006" i="2"/>
  <c r="C15007" i="2"/>
  <c r="D15007" i="2"/>
  <c r="F15007" i="2"/>
  <c r="G15007" i="2"/>
  <c r="H15007" i="2"/>
  <c r="J15007" i="2"/>
  <c r="K15007" i="2"/>
  <c r="L15007" i="2"/>
  <c r="C15008" i="2"/>
  <c r="D15008" i="2"/>
  <c r="F15008" i="2"/>
  <c r="G15008" i="2"/>
  <c r="H15008" i="2"/>
  <c r="J15008" i="2"/>
  <c r="K15008" i="2"/>
  <c r="L15008" i="2"/>
  <c r="C15009" i="2"/>
  <c r="D15009" i="2"/>
  <c r="F15009" i="2"/>
  <c r="G15009" i="2"/>
  <c r="H15009" i="2"/>
  <c r="J15009" i="2"/>
  <c r="K15009" i="2"/>
  <c r="L15009" i="2"/>
  <c r="C15010" i="2"/>
  <c r="D15010" i="2"/>
  <c r="F15010" i="2"/>
  <c r="G15010" i="2"/>
  <c r="H15010" i="2"/>
  <c r="J15010" i="2"/>
  <c r="K15010" i="2"/>
  <c r="L15010" i="2"/>
  <c r="C15011" i="2"/>
  <c r="D15011" i="2"/>
  <c r="F15011" i="2"/>
  <c r="G15011" i="2"/>
  <c r="H15011" i="2"/>
  <c r="J15011" i="2"/>
  <c r="K15011" i="2"/>
  <c r="L15011" i="2"/>
  <c r="C15012" i="2"/>
  <c r="D15012" i="2"/>
  <c r="F15012" i="2"/>
  <c r="G15012" i="2"/>
  <c r="H15012" i="2"/>
  <c r="J15012" i="2"/>
  <c r="K15012" i="2"/>
  <c r="L15012" i="2"/>
  <c r="C15013" i="2"/>
  <c r="D15013" i="2"/>
  <c r="F15013" i="2"/>
  <c r="G15013" i="2"/>
  <c r="H15013" i="2"/>
  <c r="J15013" i="2"/>
  <c r="K15013" i="2"/>
  <c r="L15013" i="2"/>
  <c r="C15014" i="2"/>
  <c r="D15014" i="2"/>
  <c r="F15014" i="2"/>
  <c r="G15014" i="2"/>
  <c r="H15014" i="2"/>
  <c r="J15014" i="2"/>
  <c r="K15014" i="2"/>
  <c r="L15014" i="2"/>
  <c r="C15015" i="2"/>
  <c r="D15015" i="2"/>
  <c r="F15015" i="2"/>
  <c r="G15015" i="2"/>
  <c r="H15015" i="2"/>
  <c r="J15015" i="2"/>
  <c r="K15015" i="2"/>
  <c r="L15015" i="2"/>
  <c r="C15016" i="2"/>
  <c r="D15016" i="2"/>
  <c r="F15016" i="2"/>
  <c r="G15016" i="2"/>
  <c r="H15016" i="2"/>
  <c r="J15016" i="2"/>
  <c r="K15016" i="2"/>
  <c r="L15016" i="2"/>
  <c r="C15017" i="2"/>
  <c r="D15017" i="2"/>
  <c r="F15017" i="2"/>
  <c r="G15017" i="2"/>
  <c r="H15017" i="2"/>
  <c r="J15017" i="2"/>
  <c r="K15017" i="2"/>
  <c r="L15017" i="2"/>
  <c r="C15018" i="2"/>
  <c r="D15018" i="2"/>
  <c r="F15018" i="2"/>
  <c r="G15018" i="2"/>
  <c r="H15018" i="2"/>
  <c r="J15018" i="2"/>
  <c r="K15018" i="2"/>
  <c r="L15018" i="2"/>
  <c r="C15019" i="2"/>
  <c r="D15019" i="2"/>
  <c r="F15019" i="2"/>
  <c r="G15019" i="2"/>
  <c r="H15019" i="2"/>
  <c r="J15019" i="2"/>
  <c r="K15019" i="2"/>
  <c r="L15019" i="2"/>
  <c r="C15020" i="2"/>
  <c r="D15020" i="2"/>
  <c r="F15020" i="2"/>
  <c r="G15020" i="2"/>
  <c r="H15020" i="2"/>
  <c r="J15020" i="2"/>
  <c r="K15020" i="2"/>
  <c r="L15020" i="2"/>
  <c r="C15021" i="2"/>
  <c r="D15021" i="2"/>
  <c r="F15021" i="2"/>
  <c r="G15021" i="2"/>
  <c r="H15021" i="2"/>
  <c r="J15021" i="2"/>
  <c r="K15021" i="2"/>
  <c r="L15021" i="2"/>
  <c r="C15022" i="2"/>
  <c r="D15022" i="2"/>
  <c r="F15022" i="2"/>
  <c r="G15022" i="2"/>
  <c r="H15022" i="2"/>
  <c r="J15022" i="2"/>
  <c r="K15022" i="2"/>
  <c r="L15022" i="2"/>
  <c r="C15023" i="2"/>
  <c r="D15023" i="2"/>
  <c r="F15023" i="2"/>
  <c r="G15023" i="2"/>
  <c r="H15023" i="2"/>
  <c r="J15023" i="2"/>
  <c r="K15023" i="2"/>
  <c r="L15023" i="2"/>
  <c r="C15024" i="2"/>
  <c r="D15024" i="2"/>
  <c r="F15024" i="2"/>
  <c r="G15024" i="2"/>
  <c r="H15024" i="2"/>
  <c r="J15024" i="2"/>
  <c r="K15024" i="2"/>
  <c r="L15024" i="2"/>
  <c r="C15025" i="2"/>
  <c r="D15025" i="2"/>
  <c r="F15025" i="2"/>
  <c r="G15025" i="2"/>
  <c r="H15025" i="2"/>
  <c r="J15025" i="2"/>
  <c r="K15025" i="2"/>
  <c r="L15025" i="2"/>
  <c r="C15026" i="2"/>
  <c r="D15026" i="2"/>
  <c r="F15026" i="2"/>
  <c r="G15026" i="2"/>
  <c r="H15026" i="2"/>
  <c r="J15026" i="2"/>
  <c r="K15026" i="2"/>
  <c r="L15026" i="2"/>
  <c r="C15027" i="2"/>
  <c r="D15027" i="2"/>
  <c r="F15027" i="2"/>
  <c r="G15027" i="2"/>
  <c r="H15027" i="2"/>
  <c r="J15027" i="2"/>
  <c r="K15027" i="2"/>
  <c r="L15027" i="2"/>
  <c r="C15028" i="2"/>
  <c r="D15028" i="2"/>
  <c r="F15028" i="2"/>
  <c r="G15028" i="2"/>
  <c r="H15028" i="2"/>
  <c r="J15028" i="2"/>
  <c r="K15028" i="2"/>
  <c r="L15028" i="2"/>
  <c r="C15029" i="2"/>
  <c r="D15029" i="2"/>
  <c r="F15029" i="2"/>
  <c r="G15029" i="2"/>
  <c r="H15029" i="2"/>
  <c r="J15029" i="2"/>
  <c r="K15029" i="2"/>
  <c r="L15029" i="2"/>
  <c r="C15030" i="2"/>
  <c r="D15030" i="2"/>
  <c r="F15030" i="2"/>
  <c r="G15030" i="2"/>
  <c r="H15030" i="2"/>
  <c r="J15030" i="2"/>
  <c r="K15030" i="2"/>
  <c r="L15030" i="2"/>
  <c r="C15031" i="2"/>
  <c r="D15031" i="2"/>
  <c r="F15031" i="2"/>
  <c r="G15031" i="2"/>
  <c r="H15031" i="2"/>
  <c r="J15031" i="2"/>
  <c r="K15031" i="2"/>
  <c r="L15031" i="2"/>
  <c r="C15032" i="2"/>
  <c r="D15032" i="2"/>
  <c r="F15032" i="2"/>
  <c r="G15032" i="2"/>
  <c r="H15032" i="2"/>
  <c r="J15032" i="2"/>
  <c r="K15032" i="2"/>
  <c r="L15032" i="2"/>
  <c r="C15033" i="2"/>
  <c r="D15033" i="2"/>
  <c r="F15033" i="2"/>
  <c r="G15033" i="2"/>
  <c r="H15033" i="2"/>
  <c r="J15033" i="2"/>
  <c r="K15033" i="2"/>
  <c r="L15033" i="2"/>
  <c r="C15034" i="2"/>
  <c r="D15034" i="2"/>
  <c r="F15034" i="2"/>
  <c r="G15034" i="2"/>
  <c r="H15034" i="2"/>
  <c r="J15034" i="2"/>
  <c r="K15034" i="2"/>
  <c r="L15034" i="2"/>
  <c r="C15035" i="2"/>
  <c r="D15035" i="2"/>
  <c r="F15035" i="2"/>
  <c r="G15035" i="2"/>
  <c r="H15035" i="2"/>
  <c r="J15035" i="2"/>
  <c r="K15035" i="2"/>
  <c r="L15035" i="2"/>
  <c r="C15036" i="2"/>
  <c r="D15036" i="2"/>
  <c r="F15036" i="2"/>
  <c r="G15036" i="2"/>
  <c r="H15036" i="2"/>
  <c r="J15036" i="2"/>
  <c r="K15036" i="2"/>
  <c r="L15036" i="2"/>
  <c r="C15037" i="2"/>
  <c r="D15037" i="2"/>
  <c r="F15037" i="2"/>
  <c r="G15037" i="2"/>
  <c r="H15037" i="2"/>
  <c r="J15037" i="2"/>
  <c r="K15037" i="2"/>
  <c r="L15037" i="2"/>
  <c r="C15038" i="2"/>
  <c r="D15038" i="2"/>
  <c r="F15038" i="2"/>
  <c r="G15038" i="2"/>
  <c r="H15038" i="2"/>
  <c r="J15038" i="2"/>
  <c r="K15038" i="2"/>
  <c r="L15038" i="2"/>
  <c r="C15039" i="2"/>
  <c r="D15039" i="2"/>
  <c r="F15039" i="2"/>
  <c r="G15039" i="2"/>
  <c r="H15039" i="2"/>
  <c r="J15039" i="2"/>
  <c r="K15039" i="2"/>
  <c r="L15039" i="2"/>
  <c r="C15040" i="2"/>
  <c r="D15040" i="2"/>
  <c r="F15040" i="2"/>
  <c r="G15040" i="2"/>
  <c r="H15040" i="2"/>
  <c r="J15040" i="2"/>
  <c r="K15040" i="2"/>
  <c r="L15040" i="2"/>
  <c r="C15041" i="2"/>
  <c r="D15041" i="2"/>
  <c r="F15041" i="2"/>
  <c r="G15041" i="2"/>
  <c r="H15041" i="2"/>
  <c r="J15041" i="2"/>
  <c r="K15041" i="2"/>
  <c r="L15041" i="2"/>
  <c r="C15042" i="2"/>
  <c r="D15042" i="2"/>
  <c r="F15042" i="2"/>
  <c r="G15042" i="2"/>
  <c r="H15042" i="2"/>
  <c r="J15042" i="2"/>
  <c r="K15042" i="2"/>
  <c r="L15042" i="2"/>
  <c r="C15043" i="2"/>
  <c r="D15043" i="2"/>
  <c r="F15043" i="2"/>
  <c r="G15043" i="2"/>
  <c r="H15043" i="2"/>
  <c r="J15043" i="2"/>
  <c r="K15043" i="2"/>
  <c r="L15043" i="2"/>
  <c r="C15044" i="2"/>
  <c r="D15044" i="2"/>
  <c r="F15044" i="2"/>
  <c r="G15044" i="2"/>
  <c r="H15044" i="2"/>
  <c r="J15044" i="2"/>
  <c r="K15044" i="2"/>
  <c r="L15044" i="2"/>
  <c r="C15045" i="2"/>
  <c r="D15045" i="2"/>
  <c r="F15045" i="2"/>
  <c r="G15045" i="2"/>
  <c r="H15045" i="2"/>
  <c r="J15045" i="2"/>
  <c r="K15045" i="2"/>
  <c r="L15045" i="2"/>
  <c r="C15046" i="2"/>
  <c r="D15046" i="2"/>
  <c r="F15046" i="2"/>
  <c r="G15046" i="2"/>
  <c r="H15046" i="2"/>
  <c r="J15046" i="2"/>
  <c r="K15046" i="2"/>
  <c r="L15046" i="2"/>
  <c r="C15047" i="2"/>
  <c r="D15047" i="2"/>
  <c r="F15047" i="2"/>
  <c r="G15047" i="2"/>
  <c r="H15047" i="2"/>
  <c r="J15047" i="2"/>
  <c r="K15047" i="2"/>
  <c r="L15047" i="2"/>
  <c r="C15048" i="2"/>
  <c r="D15048" i="2"/>
  <c r="F15048" i="2"/>
  <c r="G15048" i="2"/>
  <c r="H15048" i="2"/>
  <c r="J15048" i="2"/>
  <c r="K15048" i="2"/>
  <c r="L15048" i="2"/>
  <c r="C15049" i="2"/>
  <c r="D15049" i="2"/>
  <c r="F15049" i="2"/>
  <c r="G15049" i="2"/>
  <c r="H15049" i="2"/>
  <c r="J15049" i="2"/>
  <c r="K15049" i="2"/>
  <c r="L15049" i="2"/>
  <c r="C15050" i="2"/>
  <c r="D15050" i="2"/>
  <c r="F15050" i="2"/>
  <c r="G15050" i="2"/>
  <c r="H15050" i="2"/>
  <c r="J15050" i="2"/>
  <c r="K15050" i="2"/>
  <c r="L15050" i="2"/>
  <c r="C15051" i="2"/>
  <c r="D15051" i="2"/>
  <c r="F15051" i="2"/>
  <c r="G15051" i="2"/>
  <c r="H15051" i="2"/>
  <c r="J15051" i="2"/>
  <c r="K15051" i="2"/>
  <c r="L15051" i="2"/>
  <c r="C15052" i="2"/>
  <c r="D15052" i="2"/>
  <c r="F15052" i="2"/>
  <c r="G15052" i="2"/>
  <c r="H15052" i="2"/>
  <c r="J15052" i="2"/>
  <c r="K15052" i="2"/>
  <c r="L15052" i="2"/>
  <c r="C15053" i="2"/>
  <c r="D15053" i="2"/>
  <c r="F15053" i="2"/>
  <c r="G15053" i="2"/>
  <c r="H15053" i="2"/>
  <c r="J15053" i="2"/>
  <c r="K15053" i="2"/>
  <c r="L15053" i="2"/>
  <c r="C15054" i="2"/>
  <c r="D15054" i="2"/>
  <c r="F15054" i="2"/>
  <c r="G15054" i="2"/>
  <c r="H15054" i="2"/>
  <c r="J15054" i="2"/>
  <c r="K15054" i="2"/>
  <c r="L15054" i="2"/>
  <c r="C15055" i="2"/>
  <c r="D15055" i="2"/>
  <c r="F15055" i="2"/>
  <c r="G15055" i="2"/>
  <c r="H15055" i="2"/>
  <c r="J15055" i="2"/>
  <c r="K15055" i="2"/>
  <c r="L15055" i="2"/>
  <c r="C15056" i="2"/>
  <c r="D15056" i="2"/>
  <c r="F15056" i="2"/>
  <c r="G15056" i="2"/>
  <c r="H15056" i="2"/>
  <c r="J15056" i="2"/>
  <c r="K15056" i="2"/>
  <c r="L15056" i="2"/>
  <c r="C15057" i="2"/>
  <c r="D15057" i="2"/>
  <c r="F15057" i="2"/>
  <c r="G15057" i="2"/>
  <c r="H15057" i="2"/>
  <c r="J15057" i="2"/>
  <c r="K15057" i="2"/>
  <c r="L15057" i="2"/>
  <c r="C15058" i="2"/>
  <c r="D15058" i="2"/>
  <c r="F15058" i="2"/>
  <c r="G15058" i="2"/>
  <c r="H15058" i="2"/>
  <c r="J15058" i="2"/>
  <c r="K15058" i="2"/>
  <c r="L15058" i="2"/>
  <c r="C15059" i="2"/>
  <c r="D15059" i="2"/>
  <c r="F15059" i="2"/>
  <c r="G15059" i="2"/>
  <c r="H15059" i="2"/>
  <c r="J15059" i="2"/>
  <c r="K15059" i="2"/>
  <c r="L15059" i="2"/>
  <c r="C15060" i="2"/>
  <c r="D15060" i="2"/>
  <c r="F15060" i="2"/>
  <c r="G15060" i="2"/>
  <c r="H15060" i="2"/>
  <c r="J15060" i="2"/>
  <c r="K15060" i="2"/>
  <c r="L15060" i="2"/>
  <c r="C15061" i="2"/>
  <c r="D15061" i="2"/>
  <c r="F15061" i="2"/>
  <c r="G15061" i="2"/>
  <c r="H15061" i="2"/>
  <c r="J15061" i="2"/>
  <c r="K15061" i="2"/>
  <c r="L15061" i="2"/>
  <c r="C15062" i="2"/>
  <c r="D15062" i="2"/>
  <c r="F15062" i="2"/>
  <c r="G15062" i="2"/>
  <c r="H15062" i="2"/>
  <c r="J15062" i="2"/>
  <c r="K15062" i="2"/>
  <c r="L15062" i="2"/>
  <c r="C15063" i="2"/>
  <c r="D15063" i="2"/>
  <c r="F15063" i="2"/>
  <c r="G15063" i="2"/>
  <c r="H15063" i="2"/>
  <c r="J15063" i="2"/>
  <c r="K15063" i="2"/>
  <c r="L15063" i="2"/>
  <c r="C15064" i="2"/>
  <c r="D15064" i="2"/>
  <c r="F15064" i="2"/>
  <c r="G15064" i="2"/>
  <c r="H15064" i="2"/>
  <c r="J15064" i="2"/>
  <c r="K15064" i="2"/>
  <c r="L15064" i="2"/>
  <c r="C15065" i="2"/>
  <c r="D15065" i="2"/>
  <c r="F15065" i="2"/>
  <c r="G15065" i="2"/>
  <c r="H15065" i="2"/>
  <c r="J15065" i="2"/>
  <c r="K15065" i="2"/>
  <c r="L15065" i="2"/>
  <c r="C15066" i="2"/>
  <c r="D15066" i="2"/>
  <c r="F15066" i="2"/>
  <c r="G15066" i="2"/>
  <c r="H15066" i="2"/>
  <c r="J15066" i="2"/>
  <c r="K15066" i="2"/>
  <c r="L15066" i="2"/>
  <c r="C15067" i="2"/>
  <c r="D15067" i="2"/>
  <c r="F15067" i="2"/>
  <c r="G15067" i="2"/>
  <c r="H15067" i="2"/>
  <c r="J15067" i="2"/>
  <c r="K15067" i="2"/>
  <c r="L15067" i="2"/>
  <c r="C15068" i="2"/>
  <c r="D15068" i="2"/>
  <c r="F15068" i="2"/>
  <c r="G15068" i="2"/>
  <c r="H15068" i="2"/>
  <c r="J15068" i="2"/>
  <c r="K15068" i="2"/>
  <c r="L15068" i="2"/>
  <c r="C15069" i="2"/>
  <c r="D15069" i="2"/>
  <c r="F15069" i="2"/>
  <c r="G15069" i="2"/>
  <c r="H15069" i="2"/>
  <c r="J15069" i="2"/>
  <c r="K15069" i="2"/>
  <c r="L15069" i="2"/>
  <c r="C15070" i="2"/>
  <c r="D15070" i="2"/>
  <c r="F15070" i="2"/>
  <c r="G15070" i="2"/>
  <c r="H15070" i="2"/>
  <c r="J15070" i="2"/>
  <c r="K15070" i="2"/>
  <c r="L15070" i="2"/>
  <c r="C15071" i="2"/>
  <c r="D15071" i="2"/>
  <c r="F15071" i="2"/>
  <c r="G15071" i="2"/>
  <c r="H15071" i="2"/>
  <c r="J15071" i="2"/>
  <c r="K15071" i="2"/>
  <c r="L15071" i="2"/>
  <c r="C15072" i="2"/>
  <c r="D15072" i="2"/>
  <c r="F15072" i="2"/>
  <c r="G15072" i="2"/>
  <c r="H15072" i="2"/>
  <c r="J15072" i="2"/>
  <c r="K15072" i="2"/>
  <c r="L15072" i="2"/>
  <c r="C15073" i="2"/>
  <c r="D15073" i="2"/>
  <c r="F15073" i="2"/>
  <c r="G15073" i="2"/>
  <c r="H15073" i="2"/>
  <c r="J15073" i="2"/>
  <c r="K15073" i="2"/>
  <c r="L15073" i="2"/>
  <c r="C15074" i="2"/>
  <c r="D15074" i="2"/>
  <c r="F15074" i="2"/>
  <c r="G15074" i="2"/>
  <c r="H15074" i="2"/>
  <c r="J15074" i="2"/>
  <c r="K15074" i="2"/>
  <c r="L15074" i="2"/>
  <c r="C15075" i="2"/>
  <c r="D15075" i="2"/>
  <c r="F15075" i="2"/>
  <c r="G15075" i="2"/>
  <c r="H15075" i="2"/>
  <c r="J15075" i="2"/>
  <c r="K15075" i="2"/>
  <c r="L15075" i="2"/>
  <c r="C15076" i="2"/>
  <c r="D15076" i="2"/>
  <c r="F15076" i="2"/>
  <c r="G15076" i="2"/>
  <c r="H15076" i="2"/>
  <c r="J15076" i="2"/>
  <c r="K15076" i="2"/>
  <c r="L15076" i="2"/>
  <c r="C15077" i="2"/>
  <c r="D15077" i="2"/>
  <c r="F15077" i="2"/>
  <c r="G15077" i="2"/>
  <c r="H15077" i="2"/>
  <c r="J15077" i="2"/>
  <c r="K15077" i="2"/>
  <c r="L15077" i="2"/>
  <c r="C15078" i="2"/>
  <c r="D15078" i="2"/>
  <c r="F15078" i="2"/>
  <c r="G15078" i="2"/>
  <c r="H15078" i="2"/>
  <c r="J15078" i="2"/>
  <c r="K15078" i="2"/>
  <c r="L15078" i="2"/>
  <c r="C15079" i="2"/>
  <c r="D15079" i="2"/>
  <c r="F15079" i="2"/>
  <c r="G15079" i="2"/>
  <c r="H15079" i="2"/>
  <c r="J15079" i="2"/>
  <c r="K15079" i="2"/>
  <c r="L15079" i="2"/>
  <c r="C15080" i="2"/>
  <c r="D15080" i="2"/>
  <c r="F15080" i="2"/>
  <c r="G15080" i="2"/>
  <c r="H15080" i="2"/>
  <c r="J15080" i="2"/>
  <c r="K15080" i="2"/>
  <c r="L15080" i="2"/>
  <c r="C15081" i="2"/>
  <c r="D15081" i="2"/>
  <c r="F15081" i="2"/>
  <c r="G15081" i="2"/>
  <c r="H15081" i="2"/>
  <c r="J15081" i="2"/>
  <c r="K15081" i="2"/>
  <c r="L15081" i="2"/>
  <c r="C15082" i="2"/>
  <c r="D15082" i="2"/>
  <c r="F15082" i="2"/>
  <c r="G15082" i="2"/>
  <c r="H15082" i="2"/>
  <c r="J15082" i="2"/>
  <c r="K15082" i="2"/>
  <c r="L15082" i="2"/>
  <c r="C15083" i="2"/>
  <c r="D15083" i="2"/>
  <c r="F15083" i="2"/>
  <c r="G15083" i="2"/>
  <c r="H15083" i="2"/>
  <c r="J15083" i="2"/>
  <c r="K15083" i="2"/>
  <c r="L15083" i="2"/>
  <c r="C15084" i="2"/>
  <c r="D15084" i="2"/>
  <c r="F15084" i="2"/>
  <c r="G15084" i="2"/>
  <c r="H15084" i="2"/>
  <c r="J15084" i="2"/>
  <c r="K15084" i="2"/>
  <c r="L15084" i="2"/>
  <c r="C15085" i="2"/>
  <c r="D15085" i="2"/>
  <c r="F15085" i="2"/>
  <c r="G15085" i="2"/>
  <c r="H15085" i="2"/>
  <c r="J15085" i="2"/>
  <c r="K15085" i="2"/>
  <c r="L15085" i="2"/>
  <c r="C15086" i="2"/>
  <c r="D15086" i="2"/>
  <c r="F15086" i="2"/>
  <c r="G15086" i="2"/>
  <c r="H15086" i="2"/>
  <c r="J15086" i="2"/>
  <c r="K15086" i="2"/>
  <c r="L15086" i="2"/>
  <c r="C15087" i="2"/>
  <c r="D15087" i="2"/>
  <c r="F15087" i="2"/>
  <c r="G15087" i="2"/>
  <c r="H15087" i="2"/>
  <c r="J15087" i="2"/>
  <c r="K15087" i="2"/>
  <c r="L15087" i="2"/>
  <c r="C15088" i="2"/>
  <c r="D15088" i="2"/>
  <c r="F15088" i="2"/>
  <c r="G15088" i="2"/>
  <c r="H15088" i="2"/>
  <c r="J15088" i="2"/>
  <c r="K15088" i="2"/>
  <c r="L15088" i="2"/>
  <c r="C15089" i="2"/>
  <c r="D15089" i="2"/>
  <c r="F15089" i="2"/>
  <c r="G15089" i="2"/>
  <c r="H15089" i="2"/>
  <c r="J15089" i="2"/>
  <c r="K15089" i="2"/>
  <c r="L15089" i="2"/>
  <c r="C15090" i="2"/>
  <c r="D15090" i="2"/>
  <c r="F15090" i="2"/>
  <c r="G15090" i="2"/>
  <c r="H15090" i="2"/>
  <c r="J15090" i="2"/>
  <c r="K15090" i="2"/>
  <c r="L15090" i="2"/>
  <c r="C15091" i="2"/>
  <c r="D15091" i="2"/>
  <c r="F15091" i="2"/>
  <c r="G15091" i="2"/>
  <c r="H15091" i="2"/>
  <c r="J15091" i="2"/>
  <c r="K15091" i="2"/>
  <c r="L15091" i="2"/>
  <c r="C15092" i="2"/>
  <c r="D15092" i="2"/>
  <c r="F15092" i="2"/>
  <c r="G15092" i="2"/>
  <c r="H15092" i="2"/>
  <c r="J15092" i="2"/>
  <c r="K15092" i="2"/>
  <c r="L15092" i="2"/>
  <c r="C15093" i="2"/>
  <c r="D15093" i="2"/>
  <c r="F15093" i="2"/>
  <c r="G15093" i="2"/>
  <c r="H15093" i="2"/>
  <c r="J15093" i="2"/>
  <c r="K15093" i="2"/>
  <c r="L15093" i="2"/>
  <c r="C15094" i="2"/>
  <c r="D15094" i="2"/>
  <c r="F15094" i="2"/>
  <c r="G15094" i="2"/>
  <c r="H15094" i="2"/>
  <c r="J15094" i="2"/>
  <c r="K15094" i="2"/>
  <c r="L15094" i="2"/>
  <c r="C15095" i="2"/>
  <c r="D15095" i="2"/>
  <c r="F15095" i="2"/>
  <c r="G15095" i="2"/>
  <c r="H15095" i="2"/>
  <c r="J15095" i="2"/>
  <c r="K15095" i="2"/>
  <c r="L15095" i="2"/>
  <c r="C15096" i="2"/>
  <c r="D15096" i="2"/>
  <c r="F15096" i="2"/>
  <c r="G15096" i="2"/>
  <c r="H15096" i="2"/>
  <c r="J15096" i="2"/>
  <c r="K15096" i="2"/>
  <c r="L15096" i="2"/>
  <c r="C15097" i="2"/>
  <c r="D15097" i="2"/>
  <c r="F15097" i="2"/>
  <c r="G15097" i="2"/>
  <c r="H15097" i="2"/>
  <c r="J15097" i="2"/>
  <c r="K15097" i="2"/>
  <c r="L15097" i="2"/>
  <c r="C15098" i="2"/>
  <c r="D15098" i="2"/>
  <c r="F15098" i="2"/>
  <c r="G15098" i="2"/>
  <c r="H15098" i="2"/>
  <c r="J15098" i="2"/>
  <c r="K15098" i="2"/>
  <c r="L15098" i="2"/>
  <c r="C15099" i="2"/>
  <c r="D15099" i="2"/>
  <c r="F15099" i="2"/>
  <c r="G15099" i="2"/>
  <c r="H15099" i="2"/>
  <c r="J15099" i="2"/>
  <c r="K15099" i="2"/>
  <c r="L15099" i="2"/>
  <c r="C15100" i="2"/>
  <c r="D15100" i="2"/>
  <c r="F15100" i="2"/>
  <c r="G15100" i="2"/>
  <c r="H15100" i="2"/>
  <c r="J15100" i="2"/>
  <c r="K15100" i="2"/>
  <c r="L15100" i="2"/>
  <c r="C15101" i="2"/>
  <c r="D15101" i="2"/>
  <c r="F15101" i="2"/>
  <c r="G15101" i="2"/>
  <c r="H15101" i="2"/>
  <c r="J15101" i="2"/>
  <c r="K15101" i="2"/>
  <c r="L15101" i="2"/>
  <c r="C15102" i="2"/>
  <c r="D15102" i="2"/>
  <c r="F15102" i="2"/>
  <c r="G15102" i="2"/>
  <c r="H15102" i="2"/>
  <c r="J15102" i="2"/>
  <c r="K15102" i="2"/>
  <c r="L15102" i="2"/>
  <c r="C15103" i="2"/>
  <c r="D15103" i="2"/>
  <c r="F15103" i="2"/>
  <c r="G15103" i="2"/>
  <c r="H15103" i="2"/>
  <c r="J15103" i="2"/>
  <c r="K15103" i="2"/>
  <c r="L15103" i="2"/>
  <c r="C15104" i="2"/>
  <c r="D15104" i="2"/>
  <c r="F15104" i="2"/>
  <c r="G15104" i="2"/>
  <c r="H15104" i="2"/>
  <c r="J15104" i="2"/>
  <c r="K15104" i="2"/>
  <c r="L15104" i="2"/>
  <c r="C15105" i="2"/>
  <c r="D15105" i="2"/>
  <c r="F15105" i="2"/>
  <c r="G15105" i="2"/>
  <c r="H15105" i="2"/>
  <c r="J15105" i="2"/>
  <c r="K15105" i="2"/>
  <c r="L15105" i="2"/>
  <c r="C15106" i="2"/>
  <c r="D15106" i="2"/>
  <c r="F15106" i="2"/>
  <c r="G15106" i="2"/>
  <c r="H15106" i="2"/>
  <c r="J15106" i="2"/>
  <c r="K15106" i="2"/>
  <c r="L15106" i="2"/>
  <c r="C15107" i="2"/>
  <c r="D15107" i="2"/>
  <c r="F15107" i="2"/>
  <c r="G15107" i="2"/>
  <c r="H15107" i="2"/>
  <c r="J15107" i="2"/>
  <c r="K15107" i="2"/>
  <c r="L15107" i="2"/>
  <c r="C15108" i="2"/>
  <c r="D15108" i="2"/>
  <c r="F15108" i="2"/>
  <c r="G15108" i="2"/>
  <c r="H15108" i="2"/>
  <c r="J15108" i="2"/>
  <c r="K15108" i="2"/>
  <c r="L15108" i="2"/>
  <c r="C15109" i="2"/>
  <c r="D15109" i="2"/>
  <c r="F15109" i="2"/>
  <c r="G15109" i="2"/>
  <c r="H15109" i="2"/>
  <c r="J15109" i="2"/>
  <c r="K15109" i="2"/>
  <c r="L15109" i="2"/>
  <c r="C15110" i="2"/>
  <c r="D15110" i="2"/>
  <c r="F15110" i="2"/>
  <c r="G15110" i="2"/>
  <c r="H15110" i="2"/>
  <c r="J15110" i="2"/>
  <c r="K15110" i="2"/>
  <c r="L15110" i="2"/>
  <c r="C15111" i="2"/>
  <c r="D15111" i="2"/>
  <c r="F15111" i="2"/>
  <c r="G15111" i="2"/>
  <c r="H15111" i="2"/>
  <c r="J15111" i="2"/>
  <c r="K15111" i="2"/>
  <c r="L15111" i="2"/>
  <c r="C15112" i="2"/>
  <c r="D15112" i="2"/>
  <c r="F15112" i="2"/>
  <c r="G15112" i="2"/>
  <c r="H15112" i="2"/>
  <c r="J15112" i="2"/>
  <c r="K15112" i="2"/>
  <c r="L15112" i="2"/>
  <c r="C15113" i="2"/>
  <c r="D15113" i="2"/>
  <c r="F15113" i="2"/>
  <c r="G15113" i="2"/>
  <c r="H15113" i="2"/>
  <c r="J15113" i="2"/>
  <c r="K15113" i="2"/>
  <c r="L15113" i="2"/>
  <c r="C15114" i="2"/>
  <c r="D15114" i="2"/>
  <c r="F15114" i="2"/>
  <c r="G15114" i="2"/>
  <c r="H15114" i="2"/>
  <c r="J15114" i="2"/>
  <c r="K15114" i="2"/>
  <c r="L15114" i="2"/>
  <c r="C15115" i="2"/>
  <c r="D15115" i="2"/>
  <c r="F15115" i="2"/>
  <c r="G15115" i="2"/>
  <c r="H15115" i="2"/>
  <c r="J15115" i="2"/>
  <c r="K15115" i="2"/>
  <c r="L15115" i="2"/>
  <c r="C15116" i="2"/>
  <c r="D15116" i="2"/>
  <c r="F15116" i="2"/>
  <c r="G15116" i="2"/>
  <c r="H15116" i="2"/>
  <c r="J15116" i="2"/>
  <c r="K15116" i="2"/>
  <c r="L15116" i="2"/>
  <c r="C15117" i="2"/>
  <c r="D15117" i="2"/>
  <c r="F15117" i="2"/>
  <c r="G15117" i="2"/>
  <c r="H15117" i="2"/>
  <c r="J15117" i="2"/>
  <c r="K15117" i="2"/>
  <c r="L15117" i="2"/>
  <c r="C15118" i="2"/>
  <c r="D15118" i="2"/>
  <c r="F15118" i="2"/>
  <c r="G15118" i="2"/>
  <c r="H15118" i="2"/>
  <c r="J15118" i="2"/>
  <c r="K15118" i="2"/>
  <c r="L15118" i="2"/>
  <c r="C15119" i="2"/>
  <c r="D15119" i="2"/>
  <c r="F15119" i="2"/>
  <c r="G15119" i="2"/>
  <c r="H15119" i="2"/>
  <c r="J15119" i="2"/>
  <c r="K15119" i="2"/>
  <c r="L15119" i="2"/>
  <c r="C15120" i="2"/>
  <c r="D15120" i="2"/>
  <c r="F15120" i="2"/>
  <c r="G15120" i="2"/>
  <c r="H15120" i="2"/>
  <c r="J15120" i="2"/>
  <c r="K15120" i="2"/>
  <c r="L15120" i="2"/>
  <c r="C15121" i="2"/>
  <c r="D15121" i="2"/>
  <c r="F15121" i="2"/>
  <c r="G15121" i="2"/>
  <c r="H15121" i="2"/>
  <c r="J15121" i="2"/>
  <c r="K15121" i="2"/>
  <c r="L15121" i="2"/>
  <c r="C15122" i="2"/>
  <c r="D15122" i="2"/>
  <c r="F15122" i="2"/>
  <c r="G15122" i="2"/>
  <c r="H15122" i="2"/>
  <c r="J15122" i="2"/>
  <c r="K15122" i="2"/>
  <c r="L15122" i="2"/>
  <c r="C15123" i="2"/>
  <c r="D15123" i="2"/>
  <c r="F15123" i="2"/>
  <c r="G15123" i="2"/>
  <c r="H15123" i="2"/>
  <c r="J15123" i="2"/>
  <c r="K15123" i="2"/>
  <c r="L15123" i="2"/>
  <c r="C15124" i="2"/>
  <c r="D15124" i="2"/>
  <c r="F15124" i="2"/>
  <c r="G15124" i="2"/>
  <c r="H15124" i="2"/>
  <c r="J15124" i="2"/>
  <c r="K15124" i="2"/>
  <c r="L15124" i="2"/>
  <c r="C15125" i="2"/>
  <c r="D15125" i="2"/>
  <c r="F15125" i="2"/>
  <c r="G15125" i="2"/>
  <c r="H15125" i="2"/>
  <c r="J15125" i="2"/>
  <c r="K15125" i="2"/>
  <c r="L15125" i="2"/>
  <c r="C15126" i="2"/>
  <c r="D15126" i="2"/>
  <c r="F15126" i="2"/>
  <c r="G15126" i="2"/>
  <c r="H15126" i="2"/>
  <c r="J15126" i="2"/>
  <c r="K15126" i="2"/>
  <c r="L15126" i="2"/>
  <c r="C15127" i="2"/>
  <c r="D15127" i="2"/>
  <c r="F15127" i="2"/>
  <c r="G15127" i="2"/>
  <c r="H15127" i="2"/>
  <c r="J15127" i="2"/>
  <c r="K15127" i="2"/>
  <c r="L15127" i="2"/>
  <c r="C15128" i="2"/>
  <c r="D15128" i="2"/>
  <c r="F15128" i="2"/>
  <c r="G15128" i="2"/>
  <c r="H15128" i="2"/>
  <c r="J15128" i="2"/>
  <c r="K15128" i="2"/>
  <c r="L15128" i="2"/>
  <c r="C15129" i="2"/>
  <c r="D15129" i="2"/>
  <c r="F15129" i="2"/>
  <c r="G15129" i="2"/>
  <c r="H15129" i="2"/>
  <c r="J15129" i="2"/>
  <c r="K15129" i="2"/>
  <c r="L15129" i="2"/>
  <c r="C15130" i="2"/>
  <c r="D15130" i="2"/>
  <c r="F15130" i="2"/>
  <c r="G15130" i="2"/>
  <c r="H15130" i="2"/>
  <c r="J15130" i="2"/>
  <c r="K15130" i="2"/>
  <c r="L15130" i="2"/>
  <c r="C15131" i="2"/>
  <c r="D15131" i="2"/>
  <c r="F15131" i="2"/>
  <c r="G15131" i="2"/>
  <c r="H15131" i="2"/>
  <c r="J15131" i="2"/>
  <c r="K15131" i="2"/>
  <c r="L15131" i="2"/>
  <c r="C15132" i="2"/>
  <c r="D15132" i="2"/>
  <c r="F15132" i="2"/>
  <c r="G15132" i="2"/>
  <c r="H15132" i="2"/>
  <c r="J15132" i="2"/>
  <c r="K15132" i="2"/>
  <c r="L15132" i="2"/>
  <c r="C15133" i="2"/>
  <c r="D15133" i="2"/>
  <c r="F15133" i="2"/>
  <c r="G15133" i="2"/>
  <c r="H15133" i="2"/>
  <c r="J15133" i="2"/>
  <c r="K15133" i="2"/>
  <c r="L15133" i="2"/>
  <c r="C15134" i="2"/>
  <c r="D15134" i="2"/>
  <c r="F15134" i="2"/>
  <c r="G15134" i="2"/>
  <c r="H15134" i="2"/>
  <c r="J15134" i="2"/>
  <c r="K15134" i="2"/>
  <c r="L15134" i="2"/>
  <c r="C15135" i="2"/>
  <c r="D15135" i="2"/>
  <c r="F15135" i="2"/>
  <c r="G15135" i="2"/>
  <c r="H15135" i="2"/>
  <c r="J15135" i="2"/>
  <c r="K15135" i="2"/>
  <c r="L15135" i="2"/>
  <c r="C15136" i="2"/>
  <c r="D15136" i="2"/>
  <c r="F15136" i="2"/>
  <c r="G15136" i="2"/>
  <c r="H15136" i="2"/>
  <c r="J15136" i="2"/>
  <c r="K15136" i="2"/>
  <c r="L15136" i="2"/>
  <c r="C15137" i="2"/>
  <c r="D15137" i="2"/>
  <c r="E15137" i="2"/>
  <c r="F15137" i="2"/>
  <c r="G15137" i="2"/>
  <c r="H15137" i="2"/>
  <c r="J15137" i="2"/>
  <c r="K15137" i="2"/>
  <c r="L15137" i="2"/>
  <c r="C15138" i="2"/>
  <c r="D15138" i="2"/>
  <c r="F15138" i="2"/>
  <c r="G15138" i="2"/>
  <c r="H15138" i="2"/>
  <c r="J15138" i="2"/>
  <c r="K15138" i="2"/>
  <c r="L15138" i="2"/>
  <c r="C15139" i="2"/>
  <c r="D15139" i="2"/>
  <c r="F15139" i="2"/>
  <c r="G15139" i="2"/>
  <c r="H15139" i="2"/>
  <c r="J15139" i="2"/>
  <c r="K15139" i="2"/>
  <c r="L15139" i="2"/>
  <c r="C15140" i="2"/>
  <c r="D15140" i="2"/>
  <c r="F15140" i="2"/>
  <c r="G15140" i="2"/>
  <c r="H15140" i="2"/>
  <c r="J15140" i="2"/>
  <c r="K15140" i="2"/>
  <c r="L15140" i="2"/>
  <c r="C15141" i="2"/>
  <c r="D15141" i="2"/>
  <c r="F15141" i="2"/>
  <c r="G15141" i="2"/>
  <c r="H15141" i="2"/>
  <c r="J15141" i="2"/>
  <c r="K15141" i="2"/>
  <c r="L15141" i="2"/>
  <c r="C15142" i="2"/>
  <c r="D15142" i="2"/>
  <c r="F15142" i="2"/>
  <c r="G15142" i="2"/>
  <c r="H15142" i="2"/>
  <c r="J15142" i="2"/>
  <c r="K15142" i="2"/>
  <c r="L15142" i="2"/>
  <c r="C15143" i="2"/>
  <c r="D15143" i="2"/>
  <c r="F15143" i="2"/>
  <c r="G15143" i="2"/>
  <c r="H15143" i="2"/>
  <c r="J15143" i="2"/>
  <c r="K15143" i="2"/>
  <c r="L15143" i="2"/>
  <c r="C15144" i="2"/>
  <c r="D15144" i="2"/>
  <c r="F15144" i="2"/>
  <c r="G15144" i="2"/>
  <c r="H15144" i="2"/>
  <c r="J15144" i="2"/>
  <c r="K15144" i="2"/>
  <c r="L15144" i="2"/>
  <c r="C15145" i="2"/>
  <c r="D15145" i="2"/>
  <c r="F15145" i="2"/>
  <c r="G15145" i="2"/>
  <c r="H15145" i="2"/>
  <c r="J15145" i="2"/>
  <c r="K15145" i="2"/>
  <c r="L15145" i="2"/>
  <c r="C15146" i="2"/>
  <c r="D15146" i="2"/>
  <c r="F15146" i="2"/>
  <c r="G15146" i="2"/>
  <c r="H15146" i="2"/>
  <c r="J15146" i="2"/>
  <c r="K15146" i="2"/>
  <c r="L15146" i="2"/>
  <c r="C15147" i="2"/>
  <c r="D15147" i="2"/>
  <c r="F15147" i="2"/>
  <c r="G15147" i="2"/>
  <c r="H15147" i="2"/>
  <c r="J15147" i="2"/>
  <c r="K15147" i="2"/>
  <c r="L15147" i="2"/>
  <c r="C15148" i="2"/>
  <c r="D15148" i="2"/>
  <c r="F15148" i="2"/>
  <c r="G15148" i="2"/>
  <c r="H15148" i="2"/>
  <c r="J15148" i="2"/>
  <c r="K15148" i="2"/>
  <c r="L15148" i="2"/>
  <c r="C15149" i="2"/>
  <c r="D15149" i="2"/>
  <c r="F15149" i="2"/>
  <c r="G15149" i="2"/>
  <c r="H15149" i="2"/>
  <c r="J15149" i="2"/>
  <c r="K15149" i="2"/>
  <c r="L15149" i="2"/>
  <c r="C15150" i="2"/>
  <c r="D15150" i="2"/>
  <c r="F15150" i="2"/>
  <c r="G15150" i="2"/>
  <c r="H15150" i="2"/>
  <c r="J15150" i="2"/>
  <c r="K15150" i="2"/>
  <c r="L15150" i="2"/>
  <c r="C15151" i="2"/>
  <c r="D15151" i="2"/>
  <c r="F15151" i="2"/>
  <c r="G15151" i="2"/>
  <c r="H15151" i="2"/>
  <c r="J15151" i="2"/>
  <c r="K15151" i="2"/>
  <c r="L15151" i="2"/>
  <c r="C15152" i="2"/>
  <c r="D15152" i="2"/>
  <c r="F15152" i="2"/>
  <c r="G15152" i="2"/>
  <c r="H15152" i="2"/>
  <c r="J15152" i="2"/>
  <c r="K15152" i="2"/>
  <c r="L15152" i="2"/>
  <c r="C15153" i="2"/>
  <c r="D15153" i="2"/>
  <c r="F15153" i="2"/>
  <c r="G15153" i="2"/>
  <c r="H15153" i="2"/>
  <c r="J15153" i="2"/>
  <c r="K15153" i="2"/>
  <c r="L15153" i="2"/>
  <c r="C15154" i="2"/>
  <c r="D15154" i="2"/>
  <c r="F15154" i="2"/>
  <c r="G15154" i="2"/>
  <c r="H15154" i="2"/>
  <c r="J15154" i="2"/>
  <c r="K15154" i="2"/>
  <c r="L15154" i="2"/>
  <c r="C15155" i="2"/>
  <c r="D15155" i="2"/>
  <c r="F15155" i="2"/>
  <c r="G15155" i="2"/>
  <c r="H15155" i="2"/>
  <c r="J15155" i="2"/>
  <c r="K15155" i="2"/>
  <c r="L15155" i="2"/>
  <c r="C15156" i="2"/>
  <c r="D15156" i="2"/>
  <c r="F15156" i="2"/>
  <c r="G15156" i="2"/>
  <c r="H15156" i="2"/>
  <c r="J15156" i="2"/>
  <c r="K15156" i="2"/>
  <c r="L15156" i="2"/>
  <c r="C15157" i="2"/>
  <c r="D15157" i="2"/>
  <c r="F15157" i="2"/>
  <c r="G15157" i="2"/>
  <c r="H15157" i="2"/>
  <c r="J15157" i="2"/>
  <c r="K15157" i="2"/>
  <c r="L15157" i="2"/>
  <c r="C15158" i="2"/>
  <c r="D15158" i="2"/>
  <c r="F15158" i="2"/>
  <c r="G15158" i="2"/>
  <c r="H15158" i="2"/>
  <c r="J15158" i="2"/>
  <c r="K15158" i="2"/>
  <c r="L15158" i="2"/>
  <c r="C15159" i="2"/>
  <c r="D15159" i="2"/>
  <c r="F15159" i="2"/>
  <c r="G15159" i="2"/>
  <c r="H15159" i="2"/>
  <c r="J15159" i="2"/>
  <c r="K15159" i="2"/>
  <c r="L15159" i="2"/>
  <c r="C15160" i="2"/>
  <c r="D15160" i="2"/>
  <c r="F15160" i="2"/>
  <c r="G15160" i="2"/>
  <c r="H15160" i="2"/>
  <c r="J15160" i="2"/>
  <c r="K15160" i="2"/>
  <c r="L15160" i="2"/>
  <c r="C15161" i="2"/>
  <c r="D15161" i="2"/>
  <c r="F15161" i="2"/>
  <c r="G15161" i="2"/>
  <c r="H15161" i="2"/>
  <c r="J15161" i="2"/>
  <c r="K15161" i="2"/>
  <c r="L15161" i="2"/>
  <c r="C15162" i="2"/>
  <c r="D15162" i="2"/>
  <c r="F15162" i="2"/>
  <c r="G15162" i="2"/>
  <c r="H15162" i="2"/>
  <c r="J15162" i="2"/>
  <c r="K15162" i="2"/>
  <c r="L15162" i="2"/>
  <c r="C15163" i="2"/>
  <c r="D15163" i="2"/>
  <c r="F15163" i="2"/>
  <c r="G15163" i="2"/>
  <c r="H15163" i="2"/>
  <c r="J15163" i="2"/>
  <c r="K15163" i="2"/>
  <c r="L15163" i="2"/>
  <c r="C15164" i="2"/>
  <c r="D15164" i="2"/>
  <c r="F15164" i="2"/>
  <c r="G15164" i="2"/>
  <c r="H15164" i="2"/>
  <c r="J15164" i="2"/>
  <c r="K15164" i="2"/>
  <c r="L15164" i="2"/>
  <c r="C15165" i="2"/>
  <c r="D15165" i="2"/>
  <c r="F15165" i="2"/>
  <c r="G15165" i="2"/>
  <c r="H15165" i="2"/>
  <c r="J15165" i="2"/>
  <c r="K15165" i="2"/>
  <c r="L15165" i="2"/>
  <c r="C15166" i="2"/>
  <c r="D15166" i="2"/>
  <c r="E15166" i="2"/>
  <c r="F15166" i="2"/>
  <c r="G15166" i="2"/>
  <c r="H15166" i="2"/>
  <c r="J15166" i="2"/>
  <c r="K15166" i="2"/>
  <c r="L15166" i="2"/>
  <c r="C15167" i="2"/>
  <c r="D15167" i="2"/>
  <c r="F15167" i="2"/>
  <c r="G15167" i="2"/>
  <c r="H15167" i="2"/>
  <c r="J15167" i="2"/>
  <c r="K15167" i="2"/>
  <c r="L15167" i="2"/>
  <c r="C15168" i="2"/>
  <c r="D15168" i="2"/>
  <c r="F15168" i="2"/>
  <c r="G15168" i="2"/>
  <c r="H15168" i="2"/>
  <c r="J15168" i="2"/>
  <c r="K15168" i="2"/>
  <c r="L15168" i="2"/>
  <c r="C15169" i="2"/>
  <c r="D15169" i="2"/>
  <c r="F15169" i="2"/>
  <c r="G15169" i="2"/>
  <c r="H15169" i="2"/>
  <c r="J15169" i="2"/>
  <c r="K15169" i="2"/>
  <c r="L15169" i="2"/>
  <c r="C15170" i="2"/>
  <c r="D15170" i="2"/>
  <c r="F15170" i="2"/>
  <c r="G15170" i="2"/>
  <c r="H15170" i="2"/>
  <c r="J15170" i="2"/>
  <c r="K15170" i="2"/>
  <c r="L15170" i="2"/>
  <c r="C15171" i="2"/>
  <c r="D15171" i="2"/>
  <c r="F15171" i="2"/>
  <c r="G15171" i="2"/>
  <c r="H15171" i="2"/>
  <c r="J15171" i="2"/>
  <c r="K15171" i="2"/>
  <c r="L15171" i="2"/>
  <c r="C15172" i="2"/>
  <c r="D15172" i="2"/>
  <c r="F15172" i="2"/>
  <c r="G15172" i="2"/>
  <c r="H15172" i="2"/>
  <c r="J15172" i="2"/>
  <c r="K15172" i="2"/>
  <c r="L15172" i="2"/>
  <c r="C15173" i="2"/>
  <c r="D15173" i="2"/>
  <c r="F15173" i="2"/>
  <c r="G15173" i="2"/>
  <c r="H15173" i="2"/>
  <c r="J15173" i="2"/>
  <c r="K15173" i="2"/>
  <c r="L15173" i="2"/>
  <c r="C15174" i="2"/>
  <c r="D15174" i="2"/>
  <c r="F15174" i="2"/>
  <c r="G15174" i="2"/>
  <c r="H15174" i="2"/>
  <c r="J15174" i="2"/>
  <c r="K15174" i="2"/>
  <c r="L15174" i="2"/>
  <c r="C15175" i="2"/>
  <c r="D15175" i="2"/>
  <c r="F15175" i="2"/>
  <c r="G15175" i="2"/>
  <c r="H15175" i="2"/>
  <c r="J15175" i="2"/>
  <c r="K15175" i="2"/>
  <c r="L15175" i="2"/>
  <c r="C15176" i="2"/>
  <c r="D15176" i="2"/>
  <c r="F15176" i="2"/>
  <c r="G15176" i="2"/>
  <c r="H15176" i="2"/>
  <c r="J15176" i="2"/>
  <c r="K15176" i="2"/>
  <c r="L15176" i="2"/>
  <c r="C15177" i="2"/>
  <c r="D15177" i="2"/>
  <c r="F15177" i="2"/>
  <c r="G15177" i="2"/>
  <c r="H15177" i="2"/>
  <c r="J15177" i="2"/>
  <c r="K15177" i="2"/>
  <c r="L15177" i="2"/>
  <c r="C15178" i="2"/>
  <c r="D15178" i="2"/>
  <c r="F15178" i="2"/>
  <c r="G15178" i="2"/>
  <c r="H15178" i="2"/>
  <c r="J15178" i="2"/>
  <c r="K15178" i="2"/>
  <c r="L15178" i="2"/>
  <c r="C15179" i="2"/>
  <c r="D15179" i="2"/>
  <c r="F15179" i="2"/>
  <c r="G15179" i="2"/>
  <c r="H15179" i="2"/>
  <c r="J15179" i="2"/>
  <c r="K15179" i="2"/>
  <c r="L15179" i="2"/>
  <c r="C15180" i="2"/>
  <c r="D15180" i="2"/>
  <c r="F15180" i="2"/>
  <c r="G15180" i="2"/>
  <c r="H15180" i="2"/>
  <c r="J15180" i="2"/>
  <c r="K15180" i="2"/>
  <c r="L15180" i="2"/>
  <c r="C15181" i="2"/>
  <c r="D15181" i="2"/>
  <c r="F15181" i="2"/>
  <c r="G15181" i="2"/>
  <c r="H15181" i="2"/>
  <c r="J15181" i="2"/>
  <c r="K15181" i="2"/>
  <c r="L15181" i="2"/>
  <c r="C15182" i="2"/>
  <c r="D15182" i="2"/>
  <c r="F15182" i="2"/>
  <c r="G15182" i="2"/>
  <c r="H15182" i="2"/>
  <c r="J15182" i="2"/>
  <c r="K15182" i="2"/>
  <c r="L15182" i="2"/>
  <c r="C15183" i="2"/>
  <c r="D15183" i="2"/>
  <c r="F15183" i="2"/>
  <c r="G15183" i="2"/>
  <c r="H15183" i="2"/>
  <c r="J15183" i="2"/>
  <c r="K15183" i="2"/>
  <c r="L15183" i="2"/>
  <c r="C15184" i="2"/>
  <c r="D15184" i="2"/>
  <c r="F15184" i="2"/>
  <c r="G15184" i="2"/>
  <c r="H15184" i="2"/>
  <c r="J15184" i="2"/>
  <c r="K15184" i="2"/>
  <c r="L15184" i="2"/>
  <c r="C15185" i="2"/>
  <c r="D15185" i="2"/>
  <c r="F15185" i="2"/>
  <c r="G15185" i="2"/>
  <c r="H15185" i="2"/>
  <c r="J15185" i="2"/>
  <c r="K15185" i="2"/>
  <c r="L15185" i="2"/>
  <c r="C15186" i="2"/>
  <c r="D15186" i="2"/>
  <c r="F15186" i="2"/>
  <c r="G15186" i="2"/>
  <c r="H15186" i="2"/>
  <c r="J15186" i="2"/>
  <c r="K15186" i="2"/>
  <c r="L15186" i="2"/>
  <c r="C15187" i="2"/>
  <c r="D15187" i="2"/>
  <c r="F15187" i="2"/>
  <c r="G15187" i="2"/>
  <c r="H15187" i="2"/>
  <c r="J15187" i="2"/>
  <c r="K15187" i="2"/>
  <c r="L15187" i="2"/>
  <c r="C15188" i="2"/>
  <c r="D15188" i="2"/>
  <c r="F15188" i="2"/>
  <c r="G15188" i="2"/>
  <c r="H15188" i="2"/>
  <c r="J15188" i="2"/>
  <c r="K15188" i="2"/>
  <c r="L15188" i="2"/>
  <c r="C15189" i="2"/>
  <c r="D15189" i="2"/>
  <c r="F15189" i="2"/>
  <c r="G15189" i="2"/>
  <c r="H15189" i="2"/>
  <c r="J15189" i="2"/>
  <c r="K15189" i="2"/>
  <c r="L15189" i="2"/>
  <c r="C15190" i="2"/>
  <c r="D15190" i="2"/>
  <c r="F15190" i="2"/>
  <c r="G15190" i="2"/>
  <c r="H15190" i="2"/>
  <c r="J15190" i="2"/>
  <c r="K15190" i="2"/>
  <c r="L15190" i="2"/>
  <c r="C15191" i="2"/>
  <c r="D15191" i="2"/>
  <c r="F15191" i="2"/>
  <c r="G15191" i="2"/>
  <c r="H15191" i="2"/>
  <c r="J15191" i="2"/>
  <c r="K15191" i="2"/>
  <c r="L15191" i="2"/>
  <c r="C15192" i="2"/>
  <c r="D15192" i="2"/>
  <c r="F15192" i="2"/>
  <c r="G15192" i="2"/>
  <c r="H15192" i="2"/>
  <c r="J15192" i="2"/>
  <c r="K15192" i="2"/>
  <c r="L15192" i="2"/>
  <c r="C15193" i="2"/>
  <c r="D15193" i="2"/>
  <c r="F15193" i="2"/>
  <c r="G15193" i="2"/>
  <c r="H15193" i="2"/>
  <c r="J15193" i="2"/>
  <c r="K15193" i="2"/>
  <c r="L15193" i="2"/>
  <c r="C15194" i="2"/>
  <c r="D15194" i="2"/>
  <c r="F15194" i="2"/>
  <c r="G15194" i="2"/>
  <c r="H15194" i="2"/>
  <c r="J15194" i="2"/>
  <c r="K15194" i="2"/>
  <c r="L15194" i="2"/>
  <c r="C15195" i="2"/>
  <c r="D15195" i="2"/>
  <c r="F15195" i="2"/>
  <c r="G15195" i="2"/>
  <c r="H15195" i="2"/>
  <c r="J15195" i="2"/>
  <c r="K15195" i="2"/>
  <c r="L15195" i="2"/>
  <c r="C15196" i="2"/>
  <c r="D15196" i="2"/>
  <c r="F15196" i="2"/>
  <c r="G15196" i="2"/>
  <c r="H15196" i="2"/>
  <c r="J15196" i="2"/>
  <c r="K15196" i="2"/>
  <c r="L15196" i="2"/>
  <c r="C15197" i="2"/>
  <c r="D15197" i="2"/>
  <c r="F15197" i="2"/>
  <c r="G15197" i="2"/>
  <c r="H15197" i="2"/>
  <c r="J15197" i="2"/>
  <c r="K15197" i="2"/>
  <c r="L15197" i="2"/>
  <c r="C15198" i="2"/>
  <c r="D15198" i="2"/>
  <c r="F15198" i="2"/>
  <c r="G15198" i="2"/>
  <c r="H15198" i="2"/>
  <c r="J15198" i="2"/>
  <c r="K15198" i="2"/>
  <c r="L15198" i="2"/>
  <c r="C15199" i="2"/>
  <c r="D15199" i="2"/>
  <c r="F15199" i="2"/>
  <c r="G15199" i="2"/>
  <c r="H15199" i="2"/>
  <c r="J15199" i="2"/>
  <c r="K15199" i="2"/>
  <c r="L15199" i="2"/>
  <c r="C15200" i="2"/>
  <c r="D15200" i="2"/>
  <c r="F15200" i="2"/>
  <c r="G15200" i="2"/>
  <c r="H15200" i="2"/>
  <c r="J15200" i="2"/>
  <c r="K15200" i="2"/>
  <c r="L15200" i="2"/>
  <c r="C15201" i="2"/>
  <c r="D15201" i="2"/>
  <c r="F15201" i="2"/>
  <c r="G15201" i="2"/>
  <c r="H15201" i="2"/>
  <c r="J15201" i="2"/>
  <c r="K15201" i="2"/>
  <c r="L15201" i="2"/>
  <c r="C15202" i="2"/>
  <c r="D15202" i="2"/>
  <c r="F15202" i="2"/>
  <c r="G15202" i="2"/>
  <c r="H15202" i="2"/>
  <c r="J15202" i="2"/>
  <c r="K15202" i="2"/>
  <c r="L15202" i="2"/>
  <c r="C15203" i="2"/>
  <c r="D15203" i="2"/>
  <c r="F15203" i="2"/>
  <c r="G15203" i="2"/>
  <c r="H15203" i="2"/>
  <c r="J15203" i="2"/>
  <c r="K15203" i="2"/>
  <c r="L15203" i="2"/>
  <c r="C15204" i="2"/>
  <c r="D15204" i="2"/>
  <c r="F15204" i="2"/>
  <c r="G15204" i="2"/>
  <c r="H15204" i="2"/>
  <c r="J15204" i="2"/>
  <c r="K15204" i="2"/>
  <c r="L15204" i="2"/>
  <c r="C15205" i="2"/>
  <c r="D15205" i="2"/>
  <c r="F15205" i="2"/>
  <c r="G15205" i="2"/>
  <c r="H15205" i="2"/>
  <c r="J15205" i="2"/>
  <c r="K15205" i="2"/>
  <c r="L15205" i="2"/>
  <c r="C15206" i="2"/>
  <c r="D15206" i="2"/>
  <c r="F15206" i="2"/>
  <c r="G15206" i="2"/>
  <c r="H15206" i="2"/>
  <c r="J15206" i="2"/>
  <c r="K15206" i="2"/>
  <c r="L15206" i="2"/>
  <c r="C15207" i="2"/>
  <c r="D15207" i="2"/>
  <c r="F15207" i="2"/>
  <c r="G15207" i="2"/>
  <c r="H15207" i="2"/>
  <c r="J15207" i="2"/>
  <c r="K15207" i="2"/>
  <c r="L15207" i="2"/>
  <c r="C15208" i="2"/>
  <c r="D15208" i="2"/>
  <c r="F15208" i="2"/>
  <c r="G15208" i="2"/>
  <c r="H15208" i="2"/>
  <c r="J15208" i="2"/>
  <c r="K15208" i="2"/>
  <c r="L15208" i="2"/>
  <c r="C15209" i="2"/>
  <c r="D15209" i="2"/>
  <c r="F15209" i="2"/>
  <c r="G15209" i="2"/>
  <c r="H15209" i="2"/>
  <c r="J15209" i="2"/>
  <c r="K15209" i="2"/>
  <c r="L15209" i="2"/>
  <c r="C15210" i="2"/>
  <c r="D15210" i="2"/>
  <c r="F15210" i="2"/>
  <c r="G15210" i="2"/>
  <c r="H15210" i="2"/>
  <c r="J15210" i="2"/>
  <c r="K15210" i="2"/>
  <c r="L15210" i="2"/>
  <c r="C15211" i="2"/>
  <c r="D15211" i="2"/>
  <c r="F15211" i="2"/>
  <c r="G15211" i="2"/>
  <c r="H15211" i="2"/>
  <c r="J15211" i="2"/>
  <c r="K15211" i="2"/>
  <c r="L15211" i="2"/>
  <c r="C15212" i="2"/>
  <c r="D15212" i="2"/>
  <c r="F15212" i="2"/>
  <c r="G15212" i="2"/>
  <c r="H15212" i="2"/>
  <c r="J15212" i="2"/>
  <c r="K15212" i="2"/>
  <c r="L15212" i="2"/>
  <c r="C15213" i="2"/>
  <c r="D15213" i="2"/>
  <c r="F15213" i="2"/>
  <c r="G15213" i="2"/>
  <c r="H15213" i="2"/>
  <c r="J15213" i="2"/>
  <c r="K15213" i="2"/>
  <c r="L15213" i="2"/>
  <c r="C15214" i="2"/>
  <c r="D15214" i="2"/>
  <c r="F15214" i="2"/>
  <c r="G15214" i="2"/>
  <c r="H15214" i="2"/>
  <c r="J15214" i="2"/>
  <c r="K15214" i="2"/>
  <c r="L15214" i="2"/>
  <c r="C15215" i="2"/>
  <c r="D15215" i="2"/>
  <c r="F15215" i="2"/>
  <c r="G15215" i="2"/>
  <c r="H15215" i="2"/>
  <c r="J15215" i="2"/>
  <c r="K15215" i="2"/>
  <c r="L15215" i="2"/>
  <c r="C15216" i="2"/>
  <c r="D15216" i="2"/>
  <c r="F15216" i="2"/>
  <c r="G15216" i="2"/>
  <c r="H15216" i="2"/>
  <c r="J15216" i="2"/>
  <c r="K15216" i="2"/>
  <c r="L15216" i="2"/>
  <c r="C15217" i="2"/>
  <c r="D15217" i="2"/>
  <c r="F15217" i="2"/>
  <c r="G15217" i="2"/>
  <c r="H15217" i="2"/>
  <c r="J15217" i="2"/>
  <c r="K15217" i="2"/>
  <c r="L15217" i="2"/>
  <c r="C15218" i="2"/>
  <c r="D15218" i="2"/>
  <c r="F15218" i="2"/>
  <c r="G15218" i="2"/>
  <c r="H15218" i="2"/>
  <c r="J15218" i="2"/>
  <c r="K15218" i="2"/>
  <c r="L15218" i="2"/>
  <c r="C15219" i="2"/>
  <c r="D15219" i="2"/>
  <c r="F15219" i="2"/>
  <c r="G15219" i="2"/>
  <c r="H15219" i="2"/>
  <c r="J15219" i="2"/>
  <c r="K15219" i="2"/>
  <c r="L15219" i="2"/>
  <c r="C15220" i="2"/>
  <c r="D15220" i="2"/>
  <c r="F15220" i="2"/>
  <c r="G15220" i="2"/>
  <c r="H15220" i="2"/>
  <c r="J15220" i="2"/>
  <c r="K15220" i="2"/>
  <c r="L15220" i="2"/>
  <c r="C15221" i="2"/>
  <c r="D15221" i="2"/>
  <c r="F15221" i="2"/>
  <c r="G15221" i="2"/>
  <c r="H15221" i="2"/>
  <c r="J15221" i="2"/>
  <c r="K15221" i="2"/>
  <c r="L15221" i="2"/>
  <c r="C15222" i="2"/>
  <c r="D15222" i="2"/>
  <c r="F15222" i="2"/>
  <c r="G15222" i="2"/>
  <c r="H15222" i="2"/>
  <c r="J15222" i="2"/>
  <c r="K15222" i="2"/>
  <c r="L15222" i="2"/>
  <c r="C15223" i="2"/>
  <c r="D15223" i="2"/>
  <c r="F15223" i="2"/>
  <c r="G15223" i="2"/>
  <c r="H15223" i="2"/>
  <c r="J15223" i="2"/>
  <c r="K15223" i="2"/>
  <c r="L15223" i="2"/>
  <c r="C15224" i="2"/>
  <c r="D15224" i="2"/>
  <c r="F15224" i="2"/>
  <c r="G15224" i="2"/>
  <c r="H15224" i="2"/>
  <c r="J15224" i="2"/>
  <c r="K15224" i="2"/>
  <c r="L15224" i="2"/>
  <c r="C15225" i="2"/>
  <c r="D15225" i="2"/>
  <c r="F15225" i="2"/>
  <c r="G15225" i="2"/>
  <c r="H15225" i="2"/>
  <c r="J15225" i="2"/>
  <c r="K15225" i="2"/>
  <c r="L15225" i="2"/>
  <c r="C15226" i="2"/>
  <c r="D15226" i="2"/>
  <c r="F15226" i="2"/>
  <c r="G15226" i="2"/>
  <c r="H15226" i="2"/>
  <c r="J15226" i="2"/>
  <c r="K15226" i="2"/>
  <c r="L15226" i="2"/>
  <c r="C15227" i="2"/>
  <c r="D15227" i="2"/>
  <c r="F15227" i="2"/>
  <c r="G15227" i="2"/>
  <c r="H15227" i="2"/>
  <c r="J15227" i="2"/>
  <c r="K15227" i="2"/>
  <c r="L15227" i="2"/>
  <c r="C15228" i="2"/>
  <c r="D15228" i="2"/>
  <c r="F15228" i="2"/>
  <c r="G15228" i="2"/>
  <c r="H15228" i="2"/>
  <c r="J15228" i="2"/>
  <c r="K15228" i="2"/>
  <c r="L15228" i="2"/>
  <c r="C15229" i="2"/>
  <c r="D15229" i="2"/>
  <c r="F15229" i="2"/>
  <c r="G15229" i="2"/>
  <c r="H15229" i="2"/>
  <c r="J15229" i="2"/>
  <c r="K15229" i="2"/>
  <c r="L15229" i="2"/>
  <c r="C15230" i="2"/>
  <c r="D15230" i="2"/>
  <c r="F15230" i="2"/>
  <c r="G15230" i="2"/>
  <c r="H15230" i="2"/>
  <c r="J15230" i="2"/>
  <c r="K15230" i="2"/>
  <c r="L15230" i="2"/>
  <c r="C15231" i="2"/>
  <c r="D15231" i="2"/>
  <c r="F15231" i="2"/>
  <c r="G15231" i="2"/>
  <c r="H15231" i="2"/>
  <c r="J15231" i="2"/>
  <c r="K15231" i="2"/>
  <c r="L15231" i="2"/>
  <c r="C15232" i="2"/>
  <c r="D15232" i="2"/>
  <c r="F15232" i="2"/>
  <c r="G15232" i="2"/>
  <c r="H15232" i="2"/>
  <c r="J15232" i="2"/>
  <c r="K15232" i="2"/>
  <c r="L15232" i="2"/>
  <c r="C15233" i="2"/>
  <c r="D15233" i="2"/>
  <c r="F15233" i="2"/>
  <c r="G15233" i="2"/>
  <c r="H15233" i="2"/>
  <c r="J15233" i="2"/>
  <c r="K15233" i="2"/>
  <c r="L15233" i="2"/>
  <c r="C15234" i="2"/>
  <c r="D15234" i="2"/>
  <c r="F15234" i="2"/>
  <c r="G15234" i="2"/>
  <c r="H15234" i="2"/>
  <c r="J15234" i="2"/>
  <c r="K15234" i="2"/>
  <c r="L15234" i="2"/>
  <c r="C15235" i="2"/>
  <c r="D15235" i="2"/>
  <c r="F15235" i="2"/>
  <c r="G15235" i="2"/>
  <c r="H15235" i="2"/>
  <c r="J15235" i="2"/>
  <c r="K15235" i="2"/>
  <c r="L15235" i="2"/>
  <c r="C15236" i="2"/>
  <c r="D15236" i="2"/>
  <c r="F15236" i="2"/>
  <c r="G15236" i="2"/>
  <c r="H15236" i="2"/>
  <c r="J15236" i="2"/>
  <c r="K15236" i="2"/>
  <c r="L15236" i="2"/>
  <c r="C15237" i="2"/>
  <c r="D15237" i="2"/>
  <c r="F15237" i="2"/>
  <c r="G15237" i="2"/>
  <c r="H15237" i="2"/>
  <c r="J15237" i="2"/>
  <c r="K15237" i="2"/>
  <c r="L15237" i="2"/>
  <c r="C15238" i="2"/>
  <c r="D15238" i="2"/>
  <c r="F15238" i="2"/>
  <c r="G15238" i="2"/>
  <c r="H15238" i="2"/>
  <c r="J15238" i="2"/>
  <c r="K15238" i="2"/>
  <c r="L15238" i="2"/>
  <c r="C15239" i="2"/>
  <c r="D15239" i="2"/>
  <c r="F15239" i="2"/>
  <c r="G15239" i="2"/>
  <c r="H15239" i="2"/>
  <c r="J15239" i="2"/>
  <c r="K15239" i="2"/>
  <c r="L15239" i="2"/>
  <c r="C15240" i="2"/>
  <c r="D15240" i="2"/>
  <c r="F15240" i="2"/>
  <c r="G15240" i="2"/>
  <c r="H15240" i="2"/>
  <c r="J15240" i="2"/>
  <c r="K15240" i="2"/>
  <c r="L15240" i="2"/>
  <c r="C15241" i="2"/>
  <c r="D15241" i="2"/>
  <c r="F15241" i="2"/>
  <c r="G15241" i="2"/>
  <c r="H15241" i="2"/>
  <c r="J15241" i="2"/>
  <c r="K15241" i="2"/>
  <c r="L15241" i="2"/>
  <c r="C15242" i="2"/>
  <c r="D15242" i="2"/>
  <c r="F15242" i="2"/>
  <c r="G15242" i="2"/>
  <c r="H15242" i="2"/>
  <c r="J15242" i="2"/>
  <c r="K15242" i="2"/>
  <c r="L15242" i="2"/>
  <c r="C15243" i="2"/>
  <c r="D15243" i="2"/>
  <c r="F15243" i="2"/>
  <c r="G15243" i="2"/>
  <c r="H15243" i="2"/>
  <c r="J15243" i="2"/>
  <c r="K15243" i="2"/>
  <c r="L15243" i="2"/>
  <c r="C15244" i="2"/>
  <c r="D15244" i="2"/>
  <c r="F15244" i="2"/>
  <c r="G15244" i="2"/>
  <c r="H15244" i="2"/>
  <c r="J15244" i="2"/>
  <c r="K15244" i="2"/>
  <c r="L15244" i="2"/>
  <c r="C15245" i="2"/>
  <c r="D15245" i="2"/>
  <c r="F15245" i="2"/>
  <c r="G15245" i="2"/>
  <c r="H15245" i="2"/>
  <c r="J15245" i="2"/>
  <c r="K15245" i="2"/>
  <c r="L15245" i="2"/>
  <c r="C15246" i="2"/>
  <c r="D15246" i="2"/>
  <c r="F15246" i="2"/>
  <c r="G15246" i="2"/>
  <c r="H15246" i="2"/>
  <c r="J15246" i="2"/>
  <c r="K15246" i="2"/>
  <c r="L15246" i="2"/>
  <c r="C15247" i="2"/>
  <c r="D15247" i="2"/>
  <c r="F15247" i="2"/>
  <c r="G15247" i="2"/>
  <c r="H15247" i="2"/>
  <c r="J15247" i="2"/>
  <c r="K15247" i="2"/>
  <c r="L15247" i="2"/>
  <c r="C15248" i="2"/>
  <c r="D15248" i="2"/>
  <c r="F15248" i="2"/>
  <c r="G15248" i="2"/>
  <c r="H15248" i="2"/>
  <c r="J15248" i="2"/>
  <c r="K15248" i="2"/>
  <c r="L15248" i="2"/>
  <c r="C15249" i="2"/>
  <c r="D15249" i="2"/>
  <c r="F15249" i="2"/>
  <c r="G15249" i="2"/>
  <c r="H15249" i="2"/>
  <c r="J15249" i="2"/>
  <c r="K15249" i="2"/>
  <c r="L15249" i="2"/>
  <c r="C15250" i="2"/>
  <c r="D15250" i="2"/>
  <c r="F15250" i="2"/>
  <c r="G15250" i="2"/>
  <c r="H15250" i="2"/>
  <c r="J15250" i="2"/>
  <c r="K15250" i="2"/>
  <c r="L15250" i="2"/>
  <c r="C15251" i="2"/>
  <c r="D15251" i="2"/>
  <c r="F15251" i="2"/>
  <c r="G15251" i="2"/>
  <c r="H15251" i="2"/>
  <c r="J15251" i="2"/>
  <c r="K15251" i="2"/>
  <c r="L15251" i="2"/>
  <c r="C15252" i="2"/>
  <c r="D15252" i="2"/>
  <c r="F15252" i="2"/>
  <c r="G15252" i="2"/>
  <c r="H15252" i="2"/>
  <c r="J15252" i="2"/>
  <c r="K15252" i="2"/>
  <c r="L15252" i="2"/>
  <c r="C15253" i="2"/>
  <c r="D15253" i="2"/>
  <c r="F15253" i="2"/>
  <c r="G15253" i="2"/>
  <c r="H15253" i="2"/>
  <c r="J15253" i="2"/>
  <c r="K15253" i="2"/>
  <c r="L15253" i="2"/>
  <c r="C15254" i="2"/>
  <c r="D15254" i="2"/>
  <c r="F15254" i="2"/>
  <c r="G15254" i="2"/>
  <c r="H15254" i="2"/>
  <c r="J15254" i="2"/>
  <c r="K15254" i="2"/>
  <c r="L15254" i="2"/>
  <c r="C15255" i="2"/>
  <c r="D15255" i="2"/>
  <c r="F15255" i="2"/>
  <c r="G15255" i="2"/>
  <c r="H15255" i="2"/>
  <c r="J15255" i="2"/>
  <c r="K15255" i="2"/>
  <c r="L15255" i="2"/>
  <c r="C15256" i="2"/>
  <c r="D15256" i="2"/>
  <c r="F15256" i="2"/>
  <c r="G15256" i="2"/>
  <c r="H15256" i="2"/>
  <c r="J15256" i="2"/>
  <c r="K15256" i="2"/>
  <c r="L15256" i="2"/>
  <c r="C15257" i="2"/>
  <c r="D15257" i="2"/>
  <c r="F15257" i="2"/>
  <c r="G15257" i="2"/>
  <c r="H15257" i="2"/>
  <c r="J15257" i="2"/>
  <c r="K15257" i="2"/>
  <c r="L15257" i="2"/>
  <c r="C15258" i="2"/>
  <c r="D15258" i="2"/>
  <c r="F15258" i="2"/>
  <c r="G15258" i="2"/>
  <c r="H15258" i="2"/>
  <c r="J15258" i="2"/>
  <c r="K15258" i="2"/>
  <c r="L15258" i="2"/>
  <c r="C15259" i="2"/>
  <c r="D15259" i="2"/>
  <c r="F15259" i="2"/>
  <c r="G15259" i="2"/>
  <c r="H15259" i="2"/>
  <c r="J15259" i="2"/>
  <c r="K15259" i="2"/>
  <c r="L15259" i="2"/>
  <c r="C15260" i="2"/>
  <c r="D15260" i="2"/>
  <c r="F15260" i="2"/>
  <c r="G15260" i="2"/>
  <c r="H15260" i="2"/>
  <c r="J15260" i="2"/>
  <c r="K15260" i="2"/>
  <c r="L15260" i="2"/>
  <c r="C15261" i="2"/>
  <c r="D15261" i="2"/>
  <c r="F15261" i="2"/>
  <c r="G15261" i="2"/>
  <c r="H15261" i="2"/>
  <c r="J15261" i="2"/>
  <c r="K15261" i="2"/>
  <c r="L15261" i="2"/>
  <c r="C15262" i="2"/>
  <c r="D15262" i="2"/>
  <c r="F15262" i="2"/>
  <c r="G15262" i="2"/>
  <c r="H15262" i="2"/>
  <c r="J15262" i="2"/>
  <c r="K15262" i="2"/>
  <c r="L15262" i="2"/>
  <c r="C15263" i="2"/>
  <c r="D15263" i="2"/>
  <c r="F15263" i="2"/>
  <c r="G15263" i="2"/>
  <c r="H15263" i="2"/>
  <c r="J15263" i="2"/>
  <c r="K15263" i="2"/>
  <c r="L15263" i="2"/>
  <c r="C15264" i="2"/>
  <c r="D15264" i="2"/>
  <c r="F15264" i="2"/>
  <c r="G15264" i="2"/>
  <c r="H15264" i="2"/>
  <c r="J15264" i="2"/>
  <c r="K15264" i="2"/>
  <c r="L15264" i="2"/>
  <c r="C15265" i="2"/>
  <c r="D15265" i="2"/>
  <c r="F15265" i="2"/>
  <c r="G15265" i="2"/>
  <c r="H15265" i="2"/>
  <c r="J15265" i="2"/>
  <c r="K15265" i="2"/>
  <c r="L15265" i="2"/>
  <c r="C15266" i="2"/>
  <c r="D15266" i="2"/>
  <c r="F15266" i="2"/>
  <c r="G15266" i="2"/>
  <c r="H15266" i="2"/>
  <c r="J15266" i="2"/>
  <c r="K15266" i="2"/>
  <c r="L15266" i="2"/>
  <c r="C15267" i="2"/>
  <c r="D15267" i="2"/>
  <c r="F15267" i="2"/>
  <c r="G15267" i="2"/>
  <c r="H15267" i="2"/>
  <c r="J15267" i="2"/>
  <c r="K15267" i="2"/>
  <c r="L15267" i="2"/>
  <c r="C15268" i="2"/>
  <c r="D15268" i="2"/>
  <c r="F15268" i="2"/>
  <c r="G15268" i="2"/>
  <c r="H15268" i="2"/>
  <c r="J15268" i="2"/>
  <c r="K15268" i="2"/>
  <c r="L15268" i="2"/>
  <c r="C15269" i="2"/>
  <c r="D15269" i="2"/>
  <c r="F15269" i="2"/>
  <c r="G15269" i="2"/>
  <c r="H15269" i="2"/>
  <c r="J15269" i="2"/>
  <c r="K15269" i="2"/>
  <c r="L15269" i="2"/>
  <c r="C15270" i="2"/>
  <c r="D15270" i="2"/>
  <c r="F15270" i="2"/>
  <c r="G15270" i="2"/>
  <c r="H15270" i="2"/>
  <c r="J15270" i="2"/>
  <c r="K15270" i="2"/>
  <c r="L15270" i="2"/>
  <c r="C15271" i="2"/>
  <c r="D15271" i="2"/>
  <c r="F15271" i="2"/>
  <c r="G15271" i="2"/>
  <c r="H15271" i="2"/>
  <c r="J15271" i="2"/>
  <c r="K15271" i="2"/>
  <c r="L15271" i="2"/>
  <c r="C15272" i="2"/>
  <c r="D15272" i="2"/>
  <c r="F15272" i="2"/>
  <c r="G15272" i="2"/>
  <c r="H15272" i="2"/>
  <c r="J15272" i="2"/>
  <c r="K15272" i="2"/>
  <c r="L15272" i="2"/>
  <c r="C15273" i="2"/>
  <c r="D15273" i="2"/>
  <c r="F15273" i="2"/>
  <c r="G15273" i="2"/>
  <c r="H15273" i="2"/>
  <c r="J15273" i="2"/>
  <c r="K15273" i="2"/>
  <c r="L15273" i="2"/>
  <c r="C15274" i="2"/>
  <c r="D15274" i="2"/>
  <c r="F15274" i="2"/>
  <c r="G15274" i="2"/>
  <c r="H15274" i="2"/>
  <c r="J15274" i="2"/>
  <c r="K15274" i="2"/>
  <c r="L15274" i="2"/>
  <c r="C15275" i="2"/>
  <c r="D15275" i="2"/>
  <c r="F15275" i="2"/>
  <c r="G15275" i="2"/>
  <c r="H15275" i="2"/>
  <c r="J15275" i="2"/>
  <c r="K15275" i="2"/>
  <c r="L15275" i="2"/>
  <c r="C15276" i="2"/>
  <c r="D15276" i="2"/>
  <c r="F15276" i="2"/>
  <c r="G15276" i="2"/>
  <c r="H15276" i="2"/>
  <c r="J15276" i="2"/>
  <c r="K15276" i="2"/>
  <c r="L15276" i="2"/>
  <c r="C15277" i="2"/>
  <c r="D15277" i="2"/>
  <c r="F15277" i="2"/>
  <c r="G15277" i="2"/>
  <c r="H15277" i="2"/>
  <c r="J15277" i="2"/>
  <c r="K15277" i="2"/>
  <c r="L15277" i="2"/>
  <c r="D15278" i="2"/>
  <c r="F15278" i="2"/>
  <c r="G15278" i="2"/>
  <c r="H15278" i="2"/>
  <c r="J15278" i="2"/>
  <c r="K15278" i="2"/>
  <c r="L15278" i="2"/>
  <c r="C15279" i="2"/>
  <c r="D15279" i="2"/>
  <c r="F15279" i="2"/>
  <c r="G15279" i="2"/>
  <c r="H15279" i="2"/>
  <c r="J15279" i="2"/>
  <c r="K15279" i="2"/>
  <c r="L15279" i="2"/>
  <c r="C15280" i="2"/>
  <c r="D15280" i="2"/>
  <c r="F15280" i="2"/>
  <c r="G15280" i="2"/>
  <c r="H15280" i="2"/>
  <c r="J15280" i="2"/>
  <c r="K15280" i="2"/>
  <c r="L15280" i="2"/>
  <c r="C15281" i="2"/>
  <c r="D15281" i="2"/>
  <c r="F15281" i="2"/>
  <c r="G15281" i="2"/>
  <c r="H15281" i="2"/>
  <c r="J15281" i="2"/>
  <c r="K15281" i="2"/>
  <c r="L15281" i="2"/>
  <c r="C15282" i="2"/>
  <c r="D15282" i="2"/>
  <c r="F15282" i="2"/>
  <c r="G15282" i="2"/>
  <c r="H15282" i="2"/>
  <c r="J15282" i="2"/>
  <c r="K15282" i="2"/>
  <c r="L15282" i="2"/>
  <c r="C15283" i="2"/>
  <c r="D15283" i="2"/>
  <c r="F15283" i="2"/>
  <c r="G15283" i="2"/>
  <c r="H15283" i="2"/>
  <c r="J15283" i="2"/>
  <c r="K15283" i="2"/>
  <c r="L15283" i="2"/>
  <c r="C15284" i="2"/>
  <c r="D15284" i="2"/>
  <c r="F15284" i="2"/>
  <c r="G15284" i="2"/>
  <c r="H15284" i="2"/>
  <c r="J15284" i="2"/>
  <c r="K15284" i="2"/>
  <c r="L15284" i="2"/>
  <c r="C15285" i="2"/>
  <c r="D15285" i="2"/>
  <c r="F15285" i="2"/>
  <c r="G15285" i="2"/>
  <c r="H15285" i="2"/>
  <c r="J15285" i="2"/>
  <c r="K15285" i="2"/>
  <c r="L15285" i="2"/>
  <c r="C15286" i="2"/>
  <c r="D15286" i="2"/>
  <c r="F15286" i="2"/>
  <c r="G15286" i="2"/>
  <c r="H15286" i="2"/>
  <c r="J15286" i="2"/>
  <c r="K15286" i="2"/>
  <c r="L15286" i="2"/>
  <c r="C15287" i="2"/>
  <c r="D15287" i="2"/>
  <c r="F15287" i="2"/>
  <c r="G15287" i="2"/>
  <c r="H15287" i="2"/>
  <c r="J15287" i="2"/>
  <c r="K15287" i="2"/>
  <c r="L15287" i="2"/>
  <c r="C15288" i="2"/>
  <c r="D15288" i="2"/>
  <c r="F15288" i="2"/>
  <c r="G15288" i="2"/>
  <c r="H15288" i="2"/>
  <c r="J15288" i="2"/>
  <c r="K15288" i="2"/>
  <c r="L15288" i="2"/>
  <c r="C15289" i="2"/>
  <c r="D15289" i="2"/>
  <c r="F15289" i="2"/>
  <c r="G15289" i="2"/>
  <c r="H15289" i="2"/>
  <c r="J15289" i="2"/>
  <c r="K15289" i="2"/>
  <c r="L15289" i="2"/>
  <c r="C15290" i="2"/>
  <c r="D15290" i="2"/>
  <c r="F15290" i="2"/>
  <c r="G15290" i="2"/>
  <c r="H15290" i="2"/>
  <c r="J15290" i="2"/>
  <c r="K15290" i="2"/>
  <c r="L15290" i="2"/>
  <c r="C15291" i="2"/>
  <c r="D15291" i="2"/>
  <c r="F15291" i="2"/>
  <c r="G15291" i="2"/>
  <c r="H15291" i="2"/>
  <c r="J15291" i="2"/>
  <c r="K15291" i="2"/>
  <c r="L15291" i="2"/>
  <c r="C15292" i="2"/>
  <c r="D15292" i="2"/>
  <c r="F15292" i="2"/>
  <c r="G15292" i="2"/>
  <c r="H15292" i="2"/>
  <c r="J15292" i="2"/>
  <c r="K15292" i="2"/>
  <c r="L15292" i="2"/>
  <c r="C15293" i="2"/>
  <c r="D15293" i="2"/>
  <c r="F15293" i="2"/>
  <c r="G15293" i="2"/>
  <c r="H15293" i="2"/>
  <c r="J15293" i="2"/>
  <c r="K15293" i="2"/>
  <c r="L15293" i="2"/>
  <c r="C15294" i="2"/>
  <c r="D15294" i="2"/>
  <c r="F15294" i="2"/>
  <c r="G15294" i="2"/>
  <c r="H15294" i="2"/>
  <c r="J15294" i="2"/>
  <c r="K15294" i="2"/>
  <c r="L15294" i="2"/>
  <c r="C15295" i="2"/>
  <c r="D15295" i="2"/>
  <c r="F15295" i="2"/>
  <c r="G15295" i="2"/>
  <c r="H15295" i="2"/>
  <c r="J15295" i="2"/>
  <c r="K15295" i="2"/>
  <c r="L15295" i="2"/>
  <c r="C15296" i="2"/>
  <c r="D15296" i="2"/>
  <c r="F15296" i="2"/>
  <c r="G15296" i="2"/>
  <c r="H15296" i="2"/>
  <c r="J15296" i="2"/>
  <c r="K15296" i="2"/>
  <c r="L15296" i="2"/>
  <c r="C15297" i="2"/>
  <c r="D15297" i="2"/>
  <c r="F15297" i="2"/>
  <c r="G15297" i="2"/>
  <c r="H15297" i="2"/>
  <c r="J15297" i="2"/>
  <c r="K15297" i="2"/>
  <c r="L15297" i="2"/>
  <c r="C15298" i="2"/>
  <c r="D15298" i="2"/>
  <c r="F15298" i="2"/>
  <c r="G15298" i="2"/>
  <c r="H15298" i="2"/>
  <c r="J15298" i="2"/>
  <c r="K15298" i="2"/>
  <c r="L15298" i="2"/>
  <c r="C15299" i="2"/>
  <c r="D15299" i="2"/>
  <c r="F15299" i="2"/>
  <c r="G15299" i="2"/>
  <c r="H15299" i="2"/>
  <c r="J15299" i="2"/>
  <c r="K15299" i="2"/>
  <c r="L15299" i="2"/>
  <c r="C15300" i="2"/>
  <c r="D15300" i="2"/>
  <c r="F15300" i="2"/>
  <c r="G15300" i="2"/>
  <c r="H15300" i="2"/>
  <c r="J15300" i="2"/>
  <c r="K15300" i="2"/>
  <c r="L15300" i="2"/>
  <c r="C15301" i="2"/>
  <c r="D15301" i="2"/>
  <c r="F15301" i="2"/>
  <c r="G15301" i="2"/>
  <c r="H15301" i="2"/>
  <c r="J15301" i="2"/>
  <c r="K15301" i="2"/>
  <c r="L15301" i="2"/>
  <c r="C15302" i="2"/>
  <c r="D15302" i="2"/>
  <c r="F15302" i="2"/>
  <c r="G15302" i="2"/>
  <c r="H15302" i="2"/>
  <c r="J15302" i="2"/>
  <c r="K15302" i="2"/>
  <c r="L15302" i="2"/>
  <c r="C15303" i="2"/>
  <c r="D15303" i="2"/>
  <c r="F15303" i="2"/>
  <c r="G15303" i="2"/>
  <c r="H15303" i="2"/>
  <c r="J15303" i="2"/>
  <c r="K15303" i="2"/>
  <c r="L15303" i="2"/>
  <c r="C15304" i="2"/>
  <c r="D15304" i="2"/>
  <c r="F15304" i="2"/>
  <c r="G15304" i="2"/>
  <c r="H15304" i="2"/>
  <c r="J15304" i="2"/>
  <c r="K15304" i="2"/>
  <c r="L15304" i="2"/>
  <c r="C15305" i="2"/>
  <c r="D15305" i="2"/>
  <c r="F15305" i="2"/>
  <c r="G15305" i="2"/>
  <c r="H15305" i="2"/>
  <c r="J15305" i="2"/>
  <c r="K15305" i="2"/>
  <c r="L15305" i="2"/>
  <c r="C15306" i="2"/>
  <c r="D15306" i="2"/>
  <c r="F15306" i="2"/>
  <c r="G15306" i="2"/>
  <c r="H15306" i="2"/>
  <c r="J15306" i="2"/>
  <c r="K15306" i="2"/>
  <c r="L15306" i="2"/>
  <c r="C15307" i="2"/>
  <c r="D15307" i="2"/>
  <c r="F15307" i="2"/>
  <c r="G15307" i="2"/>
  <c r="H15307" i="2"/>
  <c r="J15307" i="2"/>
  <c r="K15307" i="2"/>
  <c r="L15307" i="2"/>
  <c r="C15308" i="2"/>
  <c r="D15308" i="2"/>
  <c r="F15308" i="2"/>
  <c r="G15308" i="2"/>
  <c r="H15308" i="2"/>
  <c r="J15308" i="2"/>
  <c r="K15308" i="2"/>
  <c r="L15308" i="2"/>
  <c r="C15309" i="2"/>
  <c r="D15309" i="2"/>
  <c r="F15309" i="2"/>
  <c r="G15309" i="2"/>
  <c r="H15309" i="2"/>
  <c r="J15309" i="2"/>
  <c r="K15309" i="2"/>
  <c r="L15309" i="2"/>
  <c r="C15310" i="2"/>
  <c r="D15310" i="2"/>
  <c r="F15310" i="2"/>
  <c r="G15310" i="2"/>
  <c r="H15310" i="2"/>
  <c r="J15310" i="2"/>
  <c r="K15310" i="2"/>
  <c r="L15310" i="2"/>
  <c r="C15311" i="2"/>
  <c r="D15311" i="2"/>
  <c r="F15311" i="2"/>
  <c r="G15311" i="2"/>
  <c r="H15311" i="2"/>
  <c r="J15311" i="2"/>
  <c r="K15311" i="2"/>
  <c r="L15311" i="2"/>
  <c r="C15312" i="2"/>
  <c r="D15312" i="2"/>
  <c r="F15312" i="2"/>
  <c r="G15312" i="2"/>
  <c r="H15312" i="2"/>
  <c r="J15312" i="2"/>
  <c r="K15312" i="2"/>
  <c r="L15312" i="2"/>
  <c r="C15313" i="2"/>
  <c r="D15313" i="2"/>
  <c r="F15313" i="2"/>
  <c r="G15313" i="2"/>
  <c r="H15313" i="2"/>
  <c r="J15313" i="2"/>
  <c r="K15313" i="2"/>
  <c r="L15313" i="2"/>
  <c r="C15314" i="2"/>
  <c r="D15314" i="2"/>
  <c r="F15314" i="2"/>
  <c r="G15314" i="2"/>
  <c r="H15314" i="2"/>
  <c r="J15314" i="2"/>
  <c r="K15314" i="2"/>
  <c r="L15314" i="2"/>
  <c r="C15315" i="2"/>
  <c r="D15315" i="2"/>
  <c r="F15315" i="2"/>
  <c r="G15315" i="2"/>
  <c r="H15315" i="2"/>
  <c r="J15315" i="2"/>
  <c r="K15315" i="2"/>
  <c r="L15315" i="2"/>
  <c r="C15316" i="2"/>
  <c r="D15316" i="2"/>
  <c r="F15316" i="2"/>
  <c r="G15316" i="2"/>
  <c r="H15316" i="2"/>
  <c r="J15316" i="2"/>
  <c r="K15316" i="2"/>
  <c r="L15316" i="2"/>
  <c r="C15317" i="2"/>
  <c r="D15317" i="2"/>
  <c r="F15317" i="2"/>
  <c r="G15317" i="2"/>
  <c r="H15317" i="2"/>
  <c r="J15317" i="2"/>
  <c r="K15317" i="2"/>
  <c r="L15317" i="2"/>
  <c r="C15318" i="2"/>
  <c r="D15318" i="2"/>
  <c r="F15318" i="2"/>
  <c r="G15318" i="2"/>
  <c r="H15318" i="2"/>
  <c r="J15318" i="2"/>
  <c r="K15318" i="2"/>
  <c r="L15318" i="2"/>
  <c r="C15319" i="2"/>
  <c r="D15319" i="2"/>
  <c r="F15319" i="2"/>
  <c r="G15319" i="2"/>
  <c r="H15319" i="2"/>
  <c r="J15319" i="2"/>
  <c r="K15319" i="2"/>
  <c r="L15319" i="2"/>
  <c r="C15320" i="2"/>
  <c r="D15320" i="2"/>
  <c r="F15320" i="2"/>
  <c r="G15320" i="2"/>
  <c r="H15320" i="2"/>
  <c r="J15320" i="2"/>
  <c r="K15320" i="2"/>
  <c r="L15320" i="2"/>
  <c r="C15321" i="2"/>
  <c r="D15321" i="2"/>
  <c r="F15321" i="2"/>
  <c r="G15321" i="2"/>
  <c r="H15321" i="2"/>
  <c r="J15321" i="2"/>
  <c r="K15321" i="2"/>
  <c r="L15321" i="2"/>
  <c r="C15322" i="2"/>
  <c r="D15322" i="2"/>
  <c r="F15322" i="2"/>
  <c r="G15322" i="2"/>
  <c r="H15322" i="2"/>
  <c r="J15322" i="2"/>
  <c r="K15322" i="2"/>
  <c r="L15322" i="2"/>
  <c r="C15323" i="2"/>
  <c r="D15323" i="2"/>
  <c r="F15323" i="2"/>
  <c r="G15323" i="2"/>
  <c r="H15323" i="2"/>
  <c r="J15323" i="2"/>
  <c r="K15323" i="2"/>
  <c r="L15323" i="2"/>
  <c r="C15324" i="2"/>
  <c r="D15324" i="2"/>
  <c r="F15324" i="2"/>
  <c r="G15324" i="2"/>
  <c r="H15324" i="2"/>
  <c r="J15324" i="2"/>
  <c r="K15324" i="2"/>
  <c r="L15324" i="2"/>
  <c r="C15325" i="2"/>
  <c r="D15325" i="2"/>
  <c r="F15325" i="2"/>
  <c r="G15325" i="2"/>
  <c r="H15325" i="2"/>
  <c r="J15325" i="2"/>
  <c r="K15325" i="2"/>
  <c r="L15325" i="2"/>
  <c r="C15326" i="2"/>
  <c r="D15326" i="2"/>
  <c r="F15326" i="2"/>
  <c r="G15326" i="2"/>
  <c r="H15326" i="2"/>
  <c r="J15326" i="2"/>
  <c r="K15326" i="2"/>
  <c r="L15326" i="2"/>
  <c r="C15327" i="2"/>
  <c r="D15327" i="2"/>
  <c r="F15327" i="2"/>
  <c r="G15327" i="2"/>
  <c r="H15327" i="2"/>
  <c r="J15327" i="2"/>
  <c r="K15327" i="2"/>
  <c r="L15327" i="2"/>
  <c r="C15328" i="2"/>
  <c r="D15328" i="2"/>
  <c r="F15328" i="2"/>
  <c r="G15328" i="2"/>
  <c r="H15328" i="2"/>
  <c r="J15328" i="2"/>
  <c r="K15328" i="2"/>
  <c r="L15328" i="2"/>
  <c r="C15329" i="2"/>
  <c r="D15329" i="2"/>
  <c r="F15329" i="2"/>
  <c r="G15329" i="2"/>
  <c r="H15329" i="2"/>
  <c r="J15329" i="2"/>
  <c r="K15329" i="2"/>
  <c r="L15329" i="2"/>
  <c r="C15330" i="2"/>
  <c r="D15330" i="2"/>
  <c r="F15330" i="2"/>
  <c r="G15330" i="2"/>
  <c r="H15330" i="2"/>
  <c r="J15330" i="2"/>
  <c r="K15330" i="2"/>
  <c r="L15330" i="2"/>
  <c r="C15331" i="2"/>
  <c r="D15331" i="2"/>
  <c r="F15331" i="2"/>
  <c r="G15331" i="2"/>
  <c r="H15331" i="2"/>
  <c r="J15331" i="2"/>
  <c r="K15331" i="2"/>
  <c r="L15331" i="2"/>
  <c r="C15332" i="2"/>
  <c r="D15332" i="2"/>
  <c r="F15332" i="2"/>
  <c r="G15332" i="2"/>
  <c r="H15332" i="2"/>
  <c r="J15332" i="2"/>
  <c r="K15332" i="2"/>
  <c r="L15332" i="2"/>
  <c r="C15333" i="2"/>
  <c r="D15333" i="2"/>
  <c r="F15333" i="2"/>
  <c r="G15333" i="2"/>
  <c r="H15333" i="2"/>
  <c r="J15333" i="2"/>
  <c r="K15333" i="2"/>
  <c r="L15333" i="2"/>
  <c r="C15334" i="2"/>
  <c r="D15334" i="2"/>
  <c r="F15334" i="2"/>
  <c r="G15334" i="2"/>
  <c r="H15334" i="2"/>
  <c r="J15334" i="2"/>
  <c r="K15334" i="2"/>
  <c r="L15334" i="2"/>
  <c r="C15335" i="2"/>
  <c r="D15335" i="2"/>
  <c r="F15335" i="2"/>
  <c r="G15335" i="2"/>
  <c r="H15335" i="2"/>
  <c r="J15335" i="2"/>
  <c r="K15335" i="2"/>
  <c r="L15335" i="2"/>
  <c r="C15336" i="2"/>
  <c r="D15336" i="2"/>
  <c r="F15336" i="2"/>
  <c r="G15336" i="2"/>
  <c r="H15336" i="2"/>
  <c r="J15336" i="2"/>
  <c r="K15336" i="2"/>
  <c r="L15336" i="2"/>
  <c r="C15337" i="2"/>
  <c r="D15337" i="2"/>
  <c r="F15337" i="2"/>
  <c r="G15337" i="2"/>
  <c r="H15337" i="2"/>
  <c r="J15337" i="2"/>
  <c r="K15337" i="2"/>
  <c r="L15337" i="2"/>
  <c r="C15338" i="2"/>
  <c r="D15338" i="2"/>
  <c r="F15338" i="2"/>
  <c r="G15338" i="2"/>
  <c r="H15338" i="2"/>
  <c r="J15338" i="2"/>
  <c r="K15338" i="2"/>
  <c r="L15338" i="2"/>
  <c r="C15339" i="2"/>
  <c r="D15339" i="2"/>
  <c r="F15339" i="2"/>
  <c r="G15339" i="2"/>
  <c r="H15339" i="2"/>
  <c r="J15339" i="2"/>
  <c r="K15339" i="2"/>
  <c r="L15339" i="2"/>
  <c r="C15340" i="2"/>
  <c r="D15340" i="2"/>
  <c r="F15340" i="2"/>
  <c r="G15340" i="2"/>
  <c r="H15340" i="2"/>
  <c r="J15340" i="2"/>
  <c r="K15340" i="2"/>
  <c r="L15340" i="2"/>
  <c r="C15341" i="2"/>
  <c r="D15341" i="2"/>
  <c r="F15341" i="2"/>
  <c r="G15341" i="2"/>
  <c r="H15341" i="2"/>
  <c r="J15341" i="2"/>
  <c r="K15341" i="2"/>
  <c r="L15341" i="2"/>
  <c r="C15342" i="2"/>
  <c r="D15342" i="2"/>
  <c r="F15342" i="2"/>
  <c r="G15342" i="2"/>
  <c r="H15342" i="2"/>
  <c r="J15342" i="2"/>
  <c r="K15342" i="2"/>
  <c r="L15342" i="2"/>
  <c r="C15343" i="2"/>
  <c r="D15343" i="2"/>
  <c r="F15343" i="2"/>
  <c r="G15343" i="2"/>
  <c r="H15343" i="2"/>
  <c r="J15343" i="2"/>
  <c r="K15343" i="2"/>
  <c r="L15343" i="2"/>
  <c r="C15344" i="2"/>
  <c r="D15344" i="2"/>
  <c r="F15344" i="2"/>
  <c r="G15344" i="2"/>
  <c r="H15344" i="2"/>
  <c r="J15344" i="2"/>
  <c r="K15344" i="2"/>
  <c r="L15344" i="2"/>
  <c r="C15345" i="2"/>
  <c r="D15345" i="2"/>
  <c r="F15345" i="2"/>
  <c r="G15345" i="2"/>
  <c r="H15345" i="2"/>
  <c r="J15345" i="2"/>
  <c r="K15345" i="2"/>
  <c r="L15345" i="2"/>
  <c r="C15346" i="2"/>
  <c r="D15346" i="2"/>
  <c r="F15346" i="2"/>
  <c r="G15346" i="2"/>
  <c r="H15346" i="2"/>
  <c r="J15346" i="2"/>
  <c r="K15346" i="2"/>
  <c r="L15346" i="2"/>
  <c r="C15347" i="2"/>
  <c r="D15347" i="2"/>
  <c r="F15347" i="2"/>
  <c r="G15347" i="2"/>
  <c r="H15347" i="2"/>
  <c r="J15347" i="2"/>
  <c r="K15347" i="2"/>
  <c r="L15347" i="2"/>
  <c r="C15348" i="2"/>
  <c r="D15348" i="2"/>
  <c r="F15348" i="2"/>
  <c r="G15348" i="2"/>
  <c r="H15348" i="2"/>
  <c r="J15348" i="2"/>
  <c r="K15348" i="2"/>
  <c r="L15348" i="2"/>
  <c r="C15349" i="2"/>
  <c r="D15349" i="2"/>
  <c r="F15349" i="2"/>
  <c r="G15349" i="2"/>
  <c r="H15349" i="2"/>
  <c r="J15349" i="2"/>
  <c r="K15349" i="2"/>
  <c r="L15349" i="2"/>
  <c r="C15350" i="2"/>
  <c r="D15350" i="2"/>
  <c r="F15350" i="2"/>
  <c r="G15350" i="2"/>
  <c r="H15350" i="2"/>
  <c r="J15350" i="2"/>
  <c r="K15350" i="2"/>
  <c r="L15350" i="2"/>
  <c r="C15351" i="2"/>
  <c r="D15351" i="2"/>
  <c r="F15351" i="2"/>
  <c r="G15351" i="2"/>
  <c r="H15351" i="2"/>
  <c r="J15351" i="2"/>
  <c r="K15351" i="2"/>
  <c r="L15351" i="2"/>
  <c r="C15352" i="2"/>
  <c r="D15352" i="2"/>
  <c r="F15352" i="2"/>
  <c r="G15352" i="2"/>
  <c r="H15352" i="2"/>
  <c r="J15352" i="2"/>
  <c r="K15352" i="2"/>
  <c r="L15352" i="2"/>
  <c r="C15353" i="2"/>
  <c r="D15353" i="2"/>
  <c r="F15353" i="2"/>
  <c r="G15353" i="2"/>
  <c r="H15353" i="2"/>
  <c r="J15353" i="2"/>
  <c r="K15353" i="2"/>
  <c r="L15353" i="2"/>
  <c r="C15354" i="2"/>
  <c r="D15354" i="2"/>
  <c r="F15354" i="2"/>
  <c r="G15354" i="2"/>
  <c r="H15354" i="2"/>
  <c r="J15354" i="2"/>
  <c r="K15354" i="2"/>
  <c r="L15354" i="2"/>
  <c r="C15355" i="2"/>
  <c r="D15355" i="2"/>
  <c r="F15355" i="2"/>
  <c r="G15355" i="2"/>
  <c r="H15355" i="2"/>
  <c r="J15355" i="2"/>
  <c r="K15355" i="2"/>
  <c r="L15355" i="2"/>
  <c r="C15356" i="2"/>
  <c r="D15356" i="2"/>
  <c r="F15356" i="2"/>
  <c r="G15356" i="2"/>
  <c r="H15356" i="2"/>
  <c r="J15356" i="2"/>
  <c r="K15356" i="2"/>
  <c r="L15356" i="2"/>
  <c r="C15357" i="2"/>
  <c r="D15357" i="2"/>
  <c r="F15357" i="2"/>
  <c r="G15357" i="2"/>
  <c r="H15357" i="2"/>
  <c r="J15357" i="2"/>
  <c r="K15357" i="2"/>
  <c r="L15357" i="2"/>
  <c r="C15358" i="2"/>
  <c r="D15358" i="2"/>
  <c r="F15358" i="2"/>
  <c r="G15358" i="2"/>
  <c r="H15358" i="2"/>
  <c r="J15358" i="2"/>
  <c r="K15358" i="2"/>
  <c r="L15358" i="2"/>
  <c r="C15359" i="2"/>
  <c r="D15359" i="2"/>
  <c r="F15359" i="2"/>
  <c r="G15359" i="2"/>
  <c r="H15359" i="2"/>
  <c r="J15359" i="2"/>
  <c r="K15359" i="2"/>
  <c r="L15359" i="2"/>
  <c r="C15360" i="2"/>
  <c r="D15360" i="2"/>
  <c r="F15360" i="2"/>
  <c r="G15360" i="2"/>
  <c r="H15360" i="2"/>
  <c r="J15360" i="2"/>
  <c r="K15360" i="2"/>
  <c r="L15360" i="2"/>
  <c r="C15361" i="2"/>
  <c r="D15361" i="2"/>
  <c r="F15361" i="2"/>
  <c r="G15361" i="2"/>
  <c r="H15361" i="2"/>
  <c r="J15361" i="2"/>
  <c r="K15361" i="2"/>
  <c r="L15361" i="2"/>
  <c r="C15362" i="2"/>
  <c r="D15362" i="2"/>
  <c r="F15362" i="2"/>
  <c r="G15362" i="2"/>
  <c r="H15362" i="2"/>
  <c r="J15362" i="2"/>
  <c r="K15362" i="2"/>
  <c r="L15362" i="2"/>
  <c r="C15363" i="2"/>
  <c r="D15363" i="2"/>
  <c r="F15363" i="2"/>
  <c r="G15363" i="2"/>
  <c r="H15363" i="2"/>
  <c r="J15363" i="2"/>
  <c r="K15363" i="2"/>
  <c r="L15363" i="2"/>
  <c r="C15364" i="2"/>
  <c r="D15364" i="2"/>
  <c r="F15364" i="2"/>
  <c r="G15364" i="2"/>
  <c r="H15364" i="2"/>
  <c r="J15364" i="2"/>
  <c r="K15364" i="2"/>
  <c r="L15364" i="2"/>
  <c r="C15365" i="2"/>
  <c r="D15365" i="2"/>
  <c r="F15365" i="2"/>
  <c r="G15365" i="2"/>
  <c r="H15365" i="2"/>
  <c r="J15365" i="2"/>
  <c r="K15365" i="2"/>
  <c r="L15365" i="2"/>
  <c r="C15366" i="2"/>
  <c r="D15366" i="2"/>
  <c r="F15366" i="2"/>
  <c r="G15366" i="2"/>
  <c r="H15366" i="2"/>
  <c r="J15366" i="2"/>
  <c r="K15366" i="2"/>
  <c r="L15366" i="2"/>
  <c r="C15367" i="2"/>
  <c r="D15367" i="2"/>
  <c r="F15367" i="2"/>
  <c r="G15367" i="2"/>
  <c r="H15367" i="2"/>
  <c r="J15367" i="2"/>
  <c r="K15367" i="2"/>
  <c r="L15367" i="2"/>
  <c r="C15368" i="2"/>
  <c r="D15368" i="2"/>
  <c r="F15368" i="2"/>
  <c r="G15368" i="2"/>
  <c r="H15368" i="2"/>
  <c r="J15368" i="2"/>
  <c r="K15368" i="2"/>
  <c r="L15368" i="2"/>
  <c r="C15369" i="2"/>
  <c r="D15369" i="2"/>
  <c r="F15369" i="2"/>
  <c r="G15369" i="2"/>
  <c r="H15369" i="2"/>
  <c r="J15369" i="2"/>
  <c r="K15369" i="2"/>
  <c r="L15369" i="2"/>
  <c r="C15370" i="2"/>
  <c r="D15370" i="2"/>
  <c r="F15370" i="2"/>
  <c r="G15370" i="2"/>
  <c r="H15370" i="2"/>
  <c r="J15370" i="2"/>
  <c r="K15370" i="2"/>
  <c r="L15370" i="2"/>
  <c r="C15371" i="2"/>
  <c r="D15371" i="2"/>
  <c r="F15371" i="2"/>
  <c r="G15371" i="2"/>
  <c r="H15371" i="2"/>
  <c r="J15371" i="2"/>
  <c r="K15371" i="2"/>
  <c r="L15371" i="2"/>
  <c r="C15372" i="2"/>
  <c r="D15372" i="2"/>
  <c r="F15372" i="2"/>
  <c r="G15372" i="2"/>
  <c r="H15372" i="2"/>
  <c r="J15372" i="2"/>
  <c r="K15372" i="2"/>
  <c r="L15372" i="2"/>
  <c r="C15373" i="2"/>
  <c r="D15373" i="2"/>
  <c r="F15373" i="2"/>
  <c r="G15373" i="2"/>
  <c r="H15373" i="2"/>
  <c r="J15373" i="2"/>
  <c r="K15373" i="2"/>
  <c r="L15373" i="2"/>
  <c r="C15374" i="2"/>
  <c r="D15374" i="2"/>
  <c r="F15374" i="2"/>
  <c r="G15374" i="2"/>
  <c r="H15374" i="2"/>
  <c r="J15374" i="2"/>
  <c r="K15374" i="2"/>
  <c r="L15374" i="2"/>
  <c r="C15375" i="2"/>
  <c r="D15375" i="2"/>
  <c r="F15375" i="2"/>
  <c r="G15375" i="2"/>
  <c r="H15375" i="2"/>
  <c r="J15375" i="2"/>
  <c r="K15375" i="2"/>
  <c r="L15375" i="2"/>
  <c r="C15376" i="2"/>
  <c r="D15376" i="2"/>
  <c r="F15376" i="2"/>
  <c r="G15376" i="2"/>
  <c r="H15376" i="2"/>
  <c r="J15376" i="2"/>
  <c r="K15376" i="2"/>
  <c r="L15376" i="2"/>
  <c r="C15377" i="2"/>
  <c r="D15377" i="2"/>
  <c r="F15377" i="2"/>
  <c r="G15377" i="2"/>
  <c r="H15377" i="2"/>
  <c r="J15377" i="2"/>
  <c r="K15377" i="2"/>
  <c r="L15377" i="2"/>
  <c r="C15378" i="2"/>
  <c r="D15378" i="2"/>
  <c r="F15378" i="2"/>
  <c r="G15378" i="2"/>
  <c r="H15378" i="2"/>
  <c r="J15378" i="2"/>
  <c r="K15378" i="2"/>
  <c r="L15378" i="2"/>
  <c r="C15379" i="2"/>
  <c r="D15379" i="2"/>
  <c r="F15379" i="2"/>
  <c r="G15379" i="2"/>
  <c r="H15379" i="2"/>
  <c r="J15379" i="2"/>
  <c r="K15379" i="2"/>
  <c r="L15379" i="2"/>
  <c r="C15380" i="2"/>
  <c r="D15380" i="2"/>
  <c r="F15380" i="2"/>
  <c r="G15380" i="2"/>
  <c r="H15380" i="2"/>
  <c r="J15380" i="2"/>
  <c r="K15380" i="2"/>
  <c r="L15380" i="2"/>
  <c r="C15381" i="2"/>
  <c r="D15381" i="2"/>
  <c r="F15381" i="2"/>
  <c r="G15381" i="2"/>
  <c r="H15381" i="2"/>
  <c r="J15381" i="2"/>
  <c r="K15381" i="2"/>
  <c r="L15381" i="2"/>
  <c r="C15382" i="2"/>
  <c r="D15382" i="2"/>
  <c r="F15382" i="2"/>
  <c r="G15382" i="2"/>
  <c r="H15382" i="2"/>
  <c r="J15382" i="2"/>
  <c r="K15382" i="2"/>
  <c r="L15382" i="2"/>
  <c r="C15383" i="2"/>
  <c r="D15383" i="2"/>
  <c r="F15383" i="2"/>
  <c r="G15383" i="2"/>
  <c r="H15383" i="2"/>
  <c r="J15383" i="2"/>
  <c r="K15383" i="2"/>
  <c r="L15383" i="2"/>
  <c r="C15384" i="2"/>
  <c r="D15384" i="2"/>
  <c r="F15384" i="2"/>
  <c r="G15384" i="2"/>
  <c r="H15384" i="2"/>
  <c r="J15384" i="2"/>
  <c r="K15384" i="2"/>
  <c r="L15384" i="2"/>
  <c r="C15385" i="2"/>
  <c r="D15385" i="2"/>
  <c r="F15385" i="2"/>
  <c r="G15385" i="2"/>
  <c r="H15385" i="2"/>
  <c r="J15385" i="2"/>
  <c r="K15385" i="2"/>
  <c r="L15385" i="2"/>
  <c r="C15386" i="2"/>
  <c r="D15386" i="2"/>
  <c r="F15386" i="2"/>
  <c r="G15386" i="2"/>
  <c r="H15386" i="2"/>
  <c r="J15386" i="2"/>
  <c r="K15386" i="2"/>
  <c r="L15386" i="2"/>
  <c r="C15387" i="2"/>
  <c r="D15387" i="2"/>
  <c r="F15387" i="2"/>
  <c r="G15387" i="2"/>
  <c r="H15387" i="2"/>
  <c r="J15387" i="2"/>
  <c r="K15387" i="2"/>
  <c r="L15387" i="2"/>
  <c r="C15388" i="2"/>
  <c r="D15388" i="2"/>
  <c r="F15388" i="2"/>
  <c r="G15388" i="2"/>
  <c r="H15388" i="2"/>
  <c r="J15388" i="2"/>
  <c r="K15388" i="2"/>
  <c r="L15388" i="2"/>
  <c r="C15389" i="2"/>
  <c r="D15389" i="2"/>
  <c r="F15389" i="2"/>
  <c r="G15389" i="2"/>
  <c r="H15389" i="2"/>
  <c r="J15389" i="2"/>
  <c r="K15389" i="2"/>
  <c r="L15389" i="2"/>
  <c r="C15390" i="2"/>
  <c r="D15390" i="2"/>
  <c r="F15390" i="2"/>
  <c r="G15390" i="2"/>
  <c r="H15390" i="2"/>
  <c r="J15390" i="2"/>
  <c r="K15390" i="2"/>
  <c r="L15390" i="2"/>
  <c r="C15391" i="2"/>
  <c r="D15391" i="2"/>
  <c r="F15391" i="2"/>
  <c r="G15391" i="2"/>
  <c r="H15391" i="2"/>
  <c r="J15391" i="2"/>
  <c r="K15391" i="2"/>
  <c r="L15391" i="2"/>
  <c r="C15392" i="2"/>
  <c r="D15392" i="2"/>
  <c r="F15392" i="2"/>
  <c r="G15392" i="2"/>
  <c r="H15392" i="2"/>
  <c r="J15392" i="2"/>
  <c r="K15392" i="2"/>
  <c r="L15392" i="2"/>
  <c r="C15393" i="2"/>
  <c r="D15393" i="2"/>
  <c r="F15393" i="2"/>
  <c r="G15393" i="2"/>
  <c r="H15393" i="2"/>
  <c r="J15393" i="2"/>
  <c r="K15393" i="2"/>
  <c r="L15393" i="2"/>
  <c r="C15394" i="2"/>
  <c r="D15394" i="2"/>
  <c r="F15394" i="2"/>
  <c r="G15394" i="2"/>
  <c r="H15394" i="2"/>
  <c r="J15394" i="2"/>
  <c r="K15394" i="2"/>
  <c r="L15394" i="2"/>
  <c r="C15395" i="2"/>
  <c r="D15395" i="2"/>
  <c r="F15395" i="2"/>
  <c r="G15395" i="2"/>
  <c r="H15395" i="2"/>
  <c r="J15395" i="2"/>
  <c r="K15395" i="2"/>
  <c r="L15395" i="2"/>
  <c r="C15396" i="2"/>
  <c r="D15396" i="2"/>
  <c r="F15396" i="2"/>
  <c r="G15396" i="2"/>
  <c r="H15396" i="2"/>
  <c r="J15396" i="2"/>
  <c r="K15396" i="2"/>
  <c r="L15396" i="2"/>
  <c r="C15397" i="2"/>
  <c r="D15397" i="2"/>
  <c r="F15397" i="2"/>
  <c r="G15397" i="2"/>
  <c r="H15397" i="2"/>
  <c r="J15397" i="2"/>
  <c r="K15397" i="2"/>
  <c r="L15397" i="2"/>
  <c r="C15398" i="2"/>
  <c r="D15398" i="2"/>
  <c r="F15398" i="2"/>
  <c r="G15398" i="2"/>
  <c r="H15398" i="2"/>
  <c r="J15398" i="2"/>
  <c r="K15398" i="2"/>
  <c r="L15398" i="2"/>
  <c r="C15399" i="2"/>
  <c r="D15399" i="2"/>
  <c r="F15399" i="2"/>
  <c r="G15399" i="2"/>
  <c r="H15399" i="2"/>
  <c r="J15399" i="2"/>
  <c r="K15399" i="2"/>
  <c r="L15399" i="2"/>
  <c r="C15400" i="2"/>
  <c r="D15400" i="2"/>
  <c r="F15400" i="2"/>
  <c r="G15400" i="2"/>
  <c r="H15400" i="2"/>
  <c r="J15400" i="2"/>
  <c r="K15400" i="2"/>
  <c r="L15400" i="2"/>
  <c r="C15401" i="2"/>
  <c r="D15401" i="2"/>
  <c r="F15401" i="2"/>
  <c r="G15401" i="2"/>
  <c r="H15401" i="2"/>
  <c r="J15401" i="2"/>
  <c r="K15401" i="2"/>
  <c r="L15401" i="2"/>
  <c r="C15402" i="2"/>
  <c r="D15402" i="2"/>
  <c r="F15402" i="2"/>
  <c r="G15402" i="2"/>
  <c r="H15402" i="2"/>
  <c r="J15402" i="2"/>
  <c r="K15402" i="2"/>
  <c r="L15402" i="2"/>
  <c r="C15403" i="2"/>
  <c r="D15403" i="2"/>
  <c r="F15403" i="2"/>
  <c r="G15403" i="2"/>
  <c r="H15403" i="2"/>
  <c r="J15403" i="2"/>
  <c r="K15403" i="2"/>
  <c r="L15403" i="2"/>
  <c r="C15404" i="2"/>
  <c r="D15404" i="2"/>
  <c r="F15404" i="2"/>
  <c r="G15404" i="2"/>
  <c r="H15404" i="2"/>
  <c r="J15404" i="2"/>
  <c r="K15404" i="2"/>
  <c r="L15404" i="2"/>
  <c r="C15405" i="2"/>
  <c r="D15405" i="2"/>
  <c r="F15405" i="2"/>
  <c r="G15405" i="2"/>
  <c r="H15405" i="2"/>
  <c r="J15405" i="2"/>
  <c r="K15405" i="2"/>
  <c r="L15405" i="2"/>
  <c r="C15406" i="2"/>
  <c r="D15406" i="2"/>
  <c r="F15406" i="2"/>
  <c r="G15406" i="2"/>
  <c r="H15406" i="2"/>
  <c r="J15406" i="2"/>
  <c r="K15406" i="2"/>
  <c r="L15406" i="2"/>
  <c r="C15407" i="2"/>
  <c r="D15407" i="2"/>
  <c r="F15407" i="2"/>
  <c r="G15407" i="2"/>
  <c r="H15407" i="2"/>
  <c r="J15407" i="2"/>
  <c r="K15407" i="2"/>
  <c r="L15407" i="2"/>
  <c r="C15408" i="2"/>
  <c r="D15408" i="2"/>
  <c r="F15408" i="2"/>
  <c r="G15408" i="2"/>
  <c r="H15408" i="2"/>
  <c r="J15408" i="2"/>
  <c r="K15408" i="2"/>
  <c r="L15408" i="2"/>
  <c r="C15409" i="2"/>
  <c r="D15409" i="2"/>
  <c r="F15409" i="2"/>
  <c r="G15409" i="2"/>
  <c r="H15409" i="2"/>
  <c r="J15409" i="2"/>
  <c r="K15409" i="2"/>
  <c r="L15409" i="2"/>
  <c r="C15410" i="2"/>
  <c r="D15410" i="2"/>
  <c r="F15410" i="2"/>
  <c r="G15410" i="2"/>
  <c r="H15410" i="2"/>
  <c r="J15410" i="2"/>
  <c r="K15410" i="2"/>
  <c r="L15410" i="2"/>
  <c r="C15411" i="2"/>
  <c r="D15411" i="2"/>
  <c r="F15411" i="2"/>
  <c r="G15411" i="2"/>
  <c r="H15411" i="2"/>
  <c r="J15411" i="2"/>
  <c r="K15411" i="2"/>
  <c r="L15411" i="2"/>
  <c r="C15412" i="2"/>
  <c r="D15412" i="2"/>
  <c r="F15412" i="2"/>
  <c r="G15412" i="2"/>
  <c r="H15412" i="2"/>
  <c r="J15412" i="2"/>
  <c r="K15412" i="2"/>
  <c r="L15412" i="2"/>
  <c r="C15413" i="2"/>
  <c r="D15413" i="2"/>
  <c r="F15413" i="2"/>
  <c r="G15413" i="2"/>
  <c r="H15413" i="2"/>
  <c r="J15413" i="2"/>
  <c r="K15413" i="2"/>
  <c r="L15413" i="2"/>
  <c r="C15414" i="2"/>
  <c r="D15414" i="2"/>
  <c r="F15414" i="2"/>
  <c r="G15414" i="2"/>
  <c r="H15414" i="2"/>
  <c r="J15414" i="2"/>
  <c r="K15414" i="2"/>
  <c r="L15414" i="2"/>
  <c r="C15415" i="2"/>
  <c r="D15415" i="2"/>
  <c r="F15415" i="2"/>
  <c r="G15415" i="2"/>
  <c r="H15415" i="2"/>
  <c r="J15415" i="2"/>
  <c r="K15415" i="2"/>
  <c r="L15415" i="2"/>
  <c r="C15416" i="2"/>
  <c r="D15416" i="2"/>
  <c r="F15416" i="2"/>
  <c r="G15416" i="2"/>
  <c r="H15416" i="2"/>
  <c r="J15416" i="2"/>
  <c r="K15416" i="2"/>
  <c r="L15416" i="2"/>
  <c r="C15417" i="2"/>
  <c r="D15417" i="2"/>
  <c r="F15417" i="2"/>
  <c r="G15417" i="2"/>
  <c r="H15417" i="2"/>
  <c r="J15417" i="2"/>
  <c r="K15417" i="2"/>
  <c r="L15417" i="2"/>
  <c r="C15418" i="2"/>
  <c r="D15418" i="2"/>
  <c r="F15418" i="2"/>
  <c r="G15418" i="2"/>
  <c r="H15418" i="2"/>
  <c r="J15418" i="2"/>
  <c r="K15418" i="2"/>
  <c r="L15418" i="2"/>
  <c r="C15419" i="2"/>
  <c r="D15419" i="2"/>
  <c r="F15419" i="2"/>
  <c r="G15419" i="2"/>
  <c r="H15419" i="2"/>
  <c r="J15419" i="2"/>
  <c r="K15419" i="2"/>
  <c r="L15419" i="2"/>
  <c r="C15420" i="2"/>
  <c r="D15420" i="2"/>
  <c r="F15420" i="2"/>
  <c r="G15420" i="2"/>
  <c r="H15420" i="2"/>
  <c r="J15420" i="2"/>
  <c r="K15420" i="2"/>
  <c r="L15420" i="2"/>
  <c r="C15421" i="2"/>
  <c r="D15421" i="2"/>
  <c r="F15421" i="2"/>
  <c r="G15421" i="2"/>
  <c r="H15421" i="2"/>
  <c r="J15421" i="2"/>
  <c r="K15421" i="2"/>
  <c r="L15421" i="2"/>
  <c r="C15422" i="2"/>
  <c r="D15422" i="2"/>
  <c r="F15422" i="2"/>
  <c r="G15422" i="2"/>
  <c r="H15422" i="2"/>
  <c r="J15422" i="2"/>
  <c r="K15422" i="2"/>
  <c r="L15422" i="2"/>
  <c r="C15423" i="2"/>
  <c r="D15423" i="2"/>
  <c r="F15423" i="2"/>
  <c r="G15423" i="2"/>
  <c r="H15423" i="2"/>
  <c r="J15423" i="2"/>
  <c r="K15423" i="2"/>
  <c r="L15423" i="2"/>
  <c r="C15424" i="2"/>
  <c r="D15424" i="2"/>
  <c r="F15424" i="2"/>
  <c r="G15424" i="2"/>
  <c r="H15424" i="2"/>
  <c r="J15424" i="2"/>
  <c r="K15424" i="2"/>
  <c r="L15424" i="2"/>
  <c r="C15425" i="2"/>
  <c r="D15425" i="2"/>
  <c r="F15425" i="2"/>
  <c r="G15425" i="2"/>
  <c r="H15425" i="2"/>
  <c r="J15425" i="2"/>
  <c r="K15425" i="2"/>
  <c r="L15425" i="2"/>
  <c r="C15426" i="2"/>
  <c r="D15426" i="2"/>
  <c r="F15426" i="2"/>
  <c r="G15426" i="2"/>
  <c r="H15426" i="2"/>
  <c r="J15426" i="2"/>
  <c r="K15426" i="2"/>
  <c r="L15426" i="2"/>
  <c r="C15427" i="2"/>
  <c r="D15427" i="2"/>
  <c r="F15427" i="2"/>
  <c r="G15427" i="2"/>
  <c r="H15427" i="2"/>
  <c r="J15427" i="2"/>
  <c r="K15427" i="2"/>
  <c r="L15427" i="2"/>
  <c r="C15428" i="2"/>
  <c r="D15428" i="2"/>
  <c r="F15428" i="2"/>
  <c r="G15428" i="2"/>
  <c r="H15428" i="2"/>
  <c r="J15428" i="2"/>
  <c r="K15428" i="2"/>
  <c r="L15428" i="2"/>
  <c r="C15429" i="2"/>
  <c r="D15429" i="2"/>
  <c r="F15429" i="2"/>
  <c r="G15429" i="2"/>
  <c r="H15429" i="2"/>
  <c r="J15429" i="2"/>
  <c r="K15429" i="2"/>
  <c r="L15429" i="2"/>
  <c r="C15430" i="2"/>
  <c r="D15430" i="2"/>
  <c r="E15430" i="2"/>
  <c r="F15430" i="2"/>
  <c r="G15430" i="2"/>
  <c r="H15430" i="2"/>
  <c r="J15430" i="2"/>
  <c r="K15430" i="2"/>
  <c r="L15430" i="2"/>
  <c r="C15431" i="2"/>
  <c r="D15431" i="2"/>
  <c r="F15431" i="2"/>
  <c r="G15431" i="2"/>
  <c r="H15431" i="2"/>
  <c r="J15431" i="2"/>
  <c r="K15431" i="2"/>
  <c r="L15431" i="2"/>
  <c r="C15432" i="2"/>
  <c r="D15432" i="2"/>
  <c r="F15432" i="2"/>
  <c r="G15432" i="2"/>
  <c r="H15432" i="2"/>
  <c r="J15432" i="2"/>
  <c r="K15432" i="2"/>
  <c r="L15432" i="2"/>
  <c r="C15433" i="2"/>
  <c r="D15433" i="2"/>
  <c r="F15433" i="2"/>
  <c r="G15433" i="2"/>
  <c r="H15433" i="2"/>
  <c r="J15433" i="2"/>
  <c r="K15433" i="2"/>
  <c r="L15433" i="2"/>
  <c r="C15434" i="2"/>
  <c r="D15434" i="2"/>
  <c r="F15434" i="2"/>
  <c r="G15434" i="2"/>
  <c r="H15434" i="2"/>
  <c r="J15434" i="2"/>
  <c r="K15434" i="2"/>
  <c r="L15434" i="2"/>
  <c r="C15435" i="2"/>
  <c r="D15435" i="2"/>
  <c r="F15435" i="2"/>
  <c r="G15435" i="2"/>
  <c r="H15435" i="2"/>
  <c r="J15435" i="2"/>
  <c r="K15435" i="2"/>
  <c r="L15435" i="2"/>
  <c r="C15436" i="2"/>
  <c r="D15436" i="2"/>
  <c r="F15436" i="2"/>
  <c r="G15436" i="2"/>
  <c r="H15436" i="2"/>
  <c r="J15436" i="2"/>
  <c r="K15436" i="2"/>
  <c r="L15436" i="2"/>
  <c r="C15437" i="2"/>
  <c r="D15437" i="2"/>
  <c r="F15437" i="2"/>
  <c r="G15437" i="2"/>
  <c r="H15437" i="2"/>
  <c r="J15437" i="2"/>
  <c r="K15437" i="2"/>
  <c r="L15437" i="2"/>
  <c r="C15438" i="2"/>
  <c r="D15438" i="2"/>
  <c r="F15438" i="2"/>
  <c r="G15438" i="2"/>
  <c r="H15438" i="2"/>
  <c r="J15438" i="2"/>
  <c r="K15438" i="2"/>
  <c r="L15438" i="2"/>
  <c r="C15439" i="2"/>
  <c r="D15439" i="2"/>
  <c r="F15439" i="2"/>
  <c r="G15439" i="2"/>
  <c r="H15439" i="2"/>
  <c r="J15439" i="2"/>
  <c r="K15439" i="2"/>
  <c r="L15439" i="2"/>
  <c r="C15440" i="2"/>
  <c r="D15440" i="2"/>
  <c r="F15440" i="2"/>
  <c r="G15440" i="2"/>
  <c r="H15440" i="2"/>
  <c r="J15440" i="2"/>
  <c r="K15440" i="2"/>
  <c r="L15440" i="2"/>
  <c r="C15441" i="2"/>
  <c r="D15441" i="2"/>
  <c r="F15441" i="2"/>
  <c r="G15441" i="2"/>
  <c r="H15441" i="2"/>
  <c r="J15441" i="2"/>
  <c r="K15441" i="2"/>
  <c r="L15441" i="2"/>
  <c r="C15442" i="2"/>
  <c r="D15442" i="2"/>
  <c r="F15442" i="2"/>
  <c r="G15442" i="2"/>
  <c r="H15442" i="2"/>
  <c r="J15442" i="2"/>
  <c r="K15442" i="2"/>
  <c r="L15442" i="2"/>
  <c r="C15443" i="2"/>
  <c r="D15443" i="2"/>
  <c r="F15443" i="2"/>
  <c r="G15443" i="2"/>
  <c r="H15443" i="2"/>
  <c r="J15443" i="2"/>
  <c r="K15443" i="2"/>
  <c r="L15443" i="2"/>
  <c r="C15444" i="2"/>
  <c r="D15444" i="2"/>
  <c r="F15444" i="2"/>
  <c r="G15444" i="2"/>
  <c r="H15444" i="2"/>
  <c r="J15444" i="2"/>
  <c r="K15444" i="2"/>
  <c r="L15444" i="2"/>
  <c r="C15445" i="2"/>
  <c r="D15445" i="2"/>
  <c r="F15445" i="2"/>
  <c r="G15445" i="2"/>
  <c r="H15445" i="2"/>
  <c r="J15445" i="2"/>
  <c r="K15445" i="2"/>
  <c r="L15445" i="2"/>
  <c r="C15446" i="2"/>
  <c r="D15446" i="2"/>
  <c r="F15446" i="2"/>
  <c r="G15446" i="2"/>
  <c r="H15446" i="2"/>
  <c r="J15446" i="2"/>
  <c r="K15446" i="2"/>
  <c r="L15446" i="2"/>
  <c r="C15447" i="2"/>
  <c r="D15447" i="2"/>
  <c r="F15447" i="2"/>
  <c r="G15447" i="2"/>
  <c r="H15447" i="2"/>
  <c r="J15447" i="2"/>
  <c r="K15447" i="2"/>
  <c r="L15447" i="2"/>
  <c r="C15448" i="2"/>
  <c r="D15448" i="2"/>
  <c r="F15448" i="2"/>
  <c r="G15448" i="2"/>
  <c r="H15448" i="2"/>
  <c r="J15448" i="2"/>
  <c r="K15448" i="2"/>
  <c r="L15448" i="2"/>
  <c r="C15449" i="2"/>
  <c r="D15449" i="2"/>
  <c r="F15449" i="2"/>
  <c r="G15449" i="2"/>
  <c r="H15449" i="2"/>
  <c r="J15449" i="2"/>
  <c r="K15449" i="2"/>
  <c r="L15449" i="2"/>
  <c r="C15450" i="2"/>
  <c r="D15450" i="2"/>
  <c r="F15450" i="2"/>
  <c r="G15450" i="2"/>
  <c r="H15450" i="2"/>
  <c r="J15450" i="2"/>
  <c r="K15450" i="2"/>
  <c r="L15450" i="2"/>
  <c r="C15451" i="2"/>
  <c r="D15451" i="2"/>
  <c r="F15451" i="2"/>
  <c r="G15451" i="2"/>
  <c r="H15451" i="2"/>
  <c r="J15451" i="2"/>
  <c r="K15451" i="2"/>
  <c r="L15451" i="2"/>
  <c r="C15452" i="2"/>
  <c r="D15452" i="2"/>
  <c r="F15452" i="2"/>
  <c r="G15452" i="2"/>
  <c r="H15452" i="2"/>
  <c r="J15452" i="2"/>
  <c r="K15452" i="2"/>
  <c r="L15452" i="2"/>
  <c r="C15453" i="2"/>
  <c r="D15453" i="2"/>
  <c r="F15453" i="2"/>
  <c r="G15453" i="2"/>
  <c r="H15453" i="2"/>
  <c r="J15453" i="2"/>
  <c r="K15453" i="2"/>
  <c r="L15453" i="2"/>
  <c r="C15454" i="2"/>
  <c r="D15454" i="2"/>
  <c r="F15454" i="2"/>
  <c r="G15454" i="2"/>
  <c r="H15454" i="2"/>
  <c r="J15454" i="2"/>
  <c r="K15454" i="2"/>
  <c r="L15454" i="2"/>
  <c r="C15455" i="2"/>
  <c r="D15455" i="2"/>
  <c r="F15455" i="2"/>
  <c r="G15455" i="2"/>
  <c r="H15455" i="2"/>
  <c r="J15455" i="2"/>
  <c r="K15455" i="2"/>
  <c r="L15455" i="2"/>
  <c r="C15456" i="2"/>
  <c r="D15456" i="2"/>
  <c r="F15456" i="2"/>
  <c r="G15456" i="2"/>
  <c r="H15456" i="2"/>
  <c r="J15456" i="2"/>
  <c r="K15456" i="2"/>
  <c r="L15456" i="2"/>
  <c r="C15457" i="2"/>
  <c r="D15457" i="2"/>
  <c r="F15457" i="2"/>
  <c r="G15457" i="2"/>
  <c r="H15457" i="2"/>
  <c r="J15457" i="2"/>
  <c r="K15457" i="2"/>
  <c r="L15457" i="2"/>
  <c r="C15458" i="2"/>
  <c r="D15458" i="2"/>
  <c r="F15458" i="2"/>
  <c r="G15458" i="2"/>
  <c r="H15458" i="2"/>
  <c r="J15458" i="2"/>
  <c r="K15458" i="2"/>
  <c r="L15458" i="2"/>
  <c r="C15459" i="2"/>
  <c r="D15459" i="2"/>
  <c r="F15459" i="2"/>
  <c r="G15459" i="2"/>
  <c r="H15459" i="2"/>
  <c r="J15459" i="2"/>
  <c r="K15459" i="2"/>
  <c r="L15459" i="2"/>
  <c r="C15460" i="2"/>
  <c r="D15460" i="2"/>
  <c r="F15460" i="2"/>
  <c r="G15460" i="2"/>
  <c r="H15460" i="2"/>
  <c r="J15460" i="2"/>
  <c r="K15460" i="2"/>
  <c r="L15460" i="2"/>
  <c r="C15461" i="2"/>
  <c r="D15461" i="2"/>
  <c r="F15461" i="2"/>
  <c r="G15461" i="2"/>
  <c r="H15461" i="2"/>
  <c r="J15461" i="2"/>
  <c r="K15461" i="2"/>
  <c r="L15461" i="2"/>
  <c r="C15462" i="2"/>
  <c r="D15462" i="2"/>
  <c r="F15462" i="2"/>
  <c r="G15462" i="2"/>
  <c r="H15462" i="2"/>
  <c r="J15462" i="2"/>
  <c r="K15462" i="2"/>
  <c r="L15462" i="2"/>
  <c r="C15463" i="2"/>
  <c r="D15463" i="2"/>
  <c r="F15463" i="2"/>
  <c r="G15463" i="2"/>
  <c r="H15463" i="2"/>
  <c r="J15463" i="2"/>
  <c r="K15463" i="2"/>
  <c r="L15463" i="2"/>
  <c r="C15464" i="2"/>
  <c r="D15464" i="2"/>
  <c r="F15464" i="2"/>
  <c r="G15464" i="2"/>
  <c r="H15464" i="2"/>
  <c r="J15464" i="2"/>
  <c r="K15464" i="2"/>
  <c r="L15464" i="2"/>
  <c r="C15465" i="2"/>
  <c r="D15465" i="2"/>
  <c r="F15465" i="2"/>
  <c r="G15465" i="2"/>
  <c r="H15465" i="2"/>
  <c r="J15465" i="2"/>
  <c r="K15465" i="2"/>
  <c r="L15465" i="2"/>
  <c r="C15466" i="2"/>
  <c r="D15466" i="2"/>
  <c r="F15466" i="2"/>
  <c r="G15466" i="2"/>
  <c r="H15466" i="2"/>
  <c r="J15466" i="2"/>
  <c r="K15466" i="2"/>
  <c r="L15466" i="2"/>
  <c r="C15467" i="2"/>
  <c r="D15467" i="2"/>
  <c r="F15467" i="2"/>
  <c r="G15467" i="2"/>
  <c r="H15467" i="2"/>
  <c r="J15467" i="2"/>
  <c r="K15467" i="2"/>
  <c r="L15467" i="2"/>
  <c r="C15468" i="2"/>
  <c r="D15468" i="2"/>
  <c r="F15468" i="2"/>
  <c r="G15468" i="2"/>
  <c r="H15468" i="2"/>
  <c r="J15468" i="2"/>
  <c r="K15468" i="2"/>
  <c r="L15468" i="2"/>
  <c r="C15469" i="2"/>
  <c r="D15469" i="2"/>
  <c r="F15469" i="2"/>
  <c r="G15469" i="2"/>
  <c r="H15469" i="2"/>
  <c r="J15469" i="2"/>
  <c r="K15469" i="2"/>
  <c r="L15469" i="2"/>
  <c r="C15470" i="2"/>
  <c r="D15470" i="2"/>
  <c r="F15470" i="2"/>
  <c r="G15470" i="2"/>
  <c r="H15470" i="2"/>
  <c r="J15470" i="2"/>
  <c r="K15470" i="2"/>
  <c r="L15470" i="2"/>
  <c r="C15471" i="2"/>
  <c r="D15471" i="2"/>
  <c r="F15471" i="2"/>
  <c r="G15471" i="2"/>
  <c r="H15471" i="2"/>
  <c r="J15471" i="2"/>
  <c r="K15471" i="2"/>
  <c r="L15471" i="2"/>
  <c r="C15472" i="2"/>
  <c r="D15472" i="2"/>
  <c r="F15472" i="2"/>
  <c r="G15472" i="2"/>
  <c r="H15472" i="2"/>
  <c r="J15472" i="2"/>
  <c r="K15472" i="2"/>
  <c r="L15472" i="2"/>
  <c r="C15473" i="2"/>
  <c r="D15473" i="2"/>
  <c r="F15473" i="2"/>
  <c r="G15473" i="2"/>
  <c r="H15473" i="2"/>
  <c r="J15473" i="2"/>
  <c r="K15473" i="2"/>
  <c r="L15473" i="2"/>
  <c r="C15474" i="2"/>
  <c r="D15474" i="2"/>
  <c r="F15474" i="2"/>
  <c r="G15474" i="2"/>
  <c r="H15474" i="2"/>
  <c r="J15474" i="2"/>
  <c r="K15474" i="2"/>
  <c r="L15474" i="2"/>
  <c r="C15475" i="2"/>
  <c r="D15475" i="2"/>
  <c r="F15475" i="2"/>
  <c r="G15475" i="2"/>
  <c r="H15475" i="2"/>
  <c r="J15475" i="2"/>
  <c r="K15475" i="2"/>
  <c r="L15475" i="2"/>
  <c r="C15476" i="2"/>
  <c r="D15476" i="2"/>
  <c r="F15476" i="2"/>
  <c r="G15476" i="2"/>
  <c r="H15476" i="2"/>
  <c r="J15476" i="2"/>
  <c r="K15476" i="2"/>
  <c r="L15476" i="2"/>
  <c r="C15477" i="2"/>
  <c r="D15477" i="2"/>
  <c r="F15477" i="2"/>
  <c r="G15477" i="2"/>
  <c r="H15477" i="2"/>
  <c r="J15477" i="2"/>
  <c r="K15477" i="2"/>
  <c r="L15477" i="2"/>
  <c r="C15478" i="2"/>
  <c r="D15478" i="2"/>
  <c r="F15478" i="2"/>
  <c r="G15478" i="2"/>
  <c r="H15478" i="2"/>
  <c r="J15478" i="2"/>
  <c r="K15478" i="2"/>
  <c r="L15478" i="2"/>
  <c r="C15479" i="2"/>
  <c r="D15479" i="2"/>
  <c r="F15479" i="2"/>
  <c r="G15479" i="2"/>
  <c r="H15479" i="2"/>
  <c r="J15479" i="2"/>
  <c r="K15479" i="2"/>
  <c r="L15479" i="2"/>
  <c r="C15480" i="2"/>
  <c r="D15480" i="2"/>
  <c r="F15480" i="2"/>
  <c r="G15480" i="2"/>
  <c r="H15480" i="2"/>
  <c r="J15480" i="2"/>
  <c r="K15480" i="2"/>
  <c r="L15480" i="2"/>
  <c r="C15481" i="2"/>
  <c r="D15481" i="2"/>
  <c r="F15481" i="2"/>
  <c r="G15481" i="2"/>
  <c r="H15481" i="2"/>
  <c r="J15481" i="2"/>
  <c r="K15481" i="2"/>
  <c r="L15481" i="2"/>
  <c r="C15482" i="2"/>
  <c r="D15482" i="2"/>
  <c r="F15482" i="2"/>
  <c r="G15482" i="2"/>
  <c r="H15482" i="2"/>
  <c r="J15482" i="2"/>
  <c r="K15482" i="2"/>
  <c r="L15482" i="2"/>
  <c r="C15483" i="2"/>
  <c r="D15483" i="2"/>
  <c r="F15483" i="2"/>
  <c r="G15483" i="2"/>
  <c r="H15483" i="2"/>
  <c r="J15483" i="2"/>
  <c r="K15483" i="2"/>
  <c r="L15483" i="2"/>
  <c r="C15484" i="2"/>
  <c r="D15484" i="2"/>
  <c r="F15484" i="2"/>
  <c r="G15484" i="2"/>
  <c r="H15484" i="2"/>
  <c r="J15484" i="2"/>
  <c r="K15484" i="2"/>
  <c r="L15484" i="2"/>
  <c r="C15485" i="2"/>
  <c r="D15485" i="2"/>
  <c r="F15485" i="2"/>
  <c r="G15485" i="2"/>
  <c r="H15485" i="2"/>
  <c r="J15485" i="2"/>
  <c r="K15485" i="2"/>
  <c r="L15485" i="2"/>
  <c r="C15486" i="2"/>
  <c r="D15486" i="2"/>
  <c r="F15486" i="2"/>
  <c r="G15486" i="2"/>
  <c r="H15486" i="2"/>
  <c r="J15486" i="2"/>
  <c r="K15486" i="2"/>
  <c r="L15486" i="2"/>
  <c r="C15487" i="2"/>
  <c r="D15487" i="2"/>
  <c r="F15487" i="2"/>
  <c r="G15487" i="2"/>
  <c r="H15487" i="2"/>
  <c r="J15487" i="2"/>
  <c r="K15487" i="2"/>
  <c r="L15487" i="2"/>
  <c r="C15488" i="2"/>
  <c r="D15488" i="2"/>
  <c r="F15488" i="2"/>
  <c r="G15488" i="2"/>
  <c r="H15488" i="2"/>
  <c r="J15488" i="2"/>
  <c r="K15488" i="2"/>
  <c r="L15488" i="2"/>
  <c r="C15489" i="2"/>
  <c r="D15489" i="2"/>
  <c r="F15489" i="2"/>
  <c r="G15489" i="2"/>
  <c r="H15489" i="2"/>
  <c r="J15489" i="2"/>
  <c r="K15489" i="2"/>
  <c r="L15489" i="2"/>
  <c r="C15490" i="2"/>
  <c r="D15490" i="2"/>
  <c r="F15490" i="2"/>
  <c r="G15490" i="2"/>
  <c r="H15490" i="2"/>
  <c r="J15490" i="2"/>
  <c r="K15490" i="2"/>
  <c r="L15490" i="2"/>
  <c r="C15491" i="2"/>
  <c r="D15491" i="2"/>
  <c r="F15491" i="2"/>
  <c r="G15491" i="2"/>
  <c r="H15491" i="2"/>
  <c r="J15491" i="2"/>
  <c r="K15491" i="2"/>
  <c r="L15491" i="2"/>
  <c r="C15492" i="2"/>
  <c r="D15492" i="2"/>
  <c r="F15492" i="2"/>
  <c r="G15492" i="2"/>
  <c r="H15492" i="2"/>
  <c r="J15492" i="2"/>
  <c r="K15492" i="2"/>
  <c r="L15492" i="2"/>
  <c r="C15493" i="2"/>
  <c r="D15493" i="2"/>
  <c r="F15493" i="2"/>
  <c r="G15493" i="2"/>
  <c r="H15493" i="2"/>
  <c r="J15493" i="2"/>
  <c r="K15493" i="2"/>
  <c r="L15493" i="2"/>
  <c r="C15494" i="2"/>
  <c r="D15494" i="2"/>
  <c r="F15494" i="2"/>
  <c r="G15494" i="2"/>
  <c r="H15494" i="2"/>
  <c r="J15494" i="2"/>
  <c r="K15494" i="2"/>
  <c r="L15494" i="2"/>
  <c r="C15495" i="2"/>
  <c r="D15495" i="2"/>
  <c r="F15495" i="2"/>
  <c r="G15495" i="2"/>
  <c r="H15495" i="2"/>
  <c r="J15495" i="2"/>
  <c r="K15495" i="2"/>
  <c r="L15495" i="2"/>
  <c r="C15496" i="2"/>
  <c r="D15496" i="2"/>
  <c r="F15496" i="2"/>
  <c r="G15496" i="2"/>
  <c r="H15496" i="2"/>
  <c r="J15496" i="2"/>
  <c r="K15496" i="2"/>
  <c r="L15496" i="2"/>
  <c r="C15497" i="2"/>
  <c r="D15497" i="2"/>
  <c r="F15497" i="2"/>
  <c r="G15497" i="2"/>
  <c r="H15497" i="2"/>
  <c r="J15497" i="2"/>
  <c r="K15497" i="2"/>
  <c r="L15497" i="2"/>
  <c r="C15498" i="2"/>
  <c r="D15498" i="2"/>
  <c r="F15498" i="2"/>
  <c r="G15498" i="2"/>
  <c r="H15498" i="2"/>
  <c r="J15498" i="2"/>
  <c r="K15498" i="2"/>
  <c r="L15498" i="2"/>
  <c r="C15499" i="2"/>
  <c r="D15499" i="2"/>
  <c r="F15499" i="2"/>
  <c r="G15499" i="2"/>
  <c r="H15499" i="2"/>
  <c r="J15499" i="2"/>
  <c r="K15499" i="2"/>
  <c r="L15499" i="2"/>
  <c r="C15500" i="2"/>
  <c r="D15500" i="2"/>
  <c r="F15500" i="2"/>
  <c r="G15500" i="2"/>
  <c r="H15500" i="2"/>
  <c r="J15500" i="2"/>
  <c r="K15500" i="2"/>
  <c r="L15500" i="2"/>
  <c r="C15501" i="2"/>
  <c r="D15501" i="2"/>
  <c r="F15501" i="2"/>
  <c r="G15501" i="2"/>
  <c r="H15501" i="2"/>
  <c r="J15501" i="2"/>
  <c r="K15501" i="2"/>
  <c r="L15501" i="2"/>
  <c r="C15502" i="2"/>
  <c r="D15502" i="2"/>
  <c r="F15502" i="2"/>
  <c r="G15502" i="2"/>
  <c r="H15502" i="2"/>
  <c r="J15502" i="2"/>
  <c r="K15502" i="2"/>
  <c r="L15502" i="2"/>
  <c r="C15503" i="2"/>
  <c r="D15503" i="2"/>
  <c r="F15503" i="2"/>
  <c r="G15503" i="2"/>
  <c r="H15503" i="2"/>
  <c r="J15503" i="2"/>
  <c r="K15503" i="2"/>
  <c r="L15503" i="2"/>
  <c r="C15504" i="2"/>
  <c r="D15504" i="2"/>
  <c r="F15504" i="2"/>
  <c r="G15504" i="2"/>
  <c r="H15504" i="2"/>
  <c r="J15504" i="2"/>
  <c r="K15504" i="2"/>
  <c r="L15504" i="2"/>
  <c r="C15505" i="2"/>
  <c r="D15505" i="2"/>
  <c r="F15505" i="2"/>
  <c r="G15505" i="2"/>
  <c r="H15505" i="2"/>
  <c r="J15505" i="2"/>
  <c r="K15505" i="2"/>
  <c r="L15505" i="2"/>
  <c r="C15506" i="2"/>
  <c r="D15506" i="2"/>
  <c r="F15506" i="2"/>
  <c r="G15506" i="2"/>
  <c r="H15506" i="2"/>
  <c r="J15506" i="2"/>
  <c r="K15506" i="2"/>
  <c r="L15506" i="2"/>
  <c r="C15507" i="2"/>
  <c r="D15507" i="2"/>
  <c r="F15507" i="2"/>
  <c r="G15507" i="2"/>
  <c r="H15507" i="2"/>
  <c r="J15507" i="2"/>
  <c r="K15507" i="2"/>
  <c r="L15507" i="2"/>
  <c r="C15508" i="2"/>
  <c r="D15508" i="2"/>
  <c r="F15508" i="2"/>
  <c r="G15508" i="2"/>
  <c r="H15508" i="2"/>
  <c r="J15508" i="2"/>
  <c r="K15508" i="2"/>
  <c r="L15508" i="2"/>
  <c r="C15509" i="2"/>
  <c r="D15509" i="2"/>
  <c r="F15509" i="2"/>
  <c r="G15509" i="2"/>
  <c r="H15509" i="2"/>
  <c r="J15509" i="2"/>
  <c r="K15509" i="2"/>
  <c r="L15509" i="2"/>
  <c r="C15510" i="2"/>
  <c r="D15510" i="2"/>
  <c r="F15510" i="2"/>
  <c r="G15510" i="2"/>
  <c r="H15510" i="2"/>
  <c r="J15510" i="2"/>
  <c r="K15510" i="2"/>
  <c r="L15510" i="2"/>
  <c r="C15511" i="2"/>
  <c r="D15511" i="2"/>
  <c r="F15511" i="2"/>
  <c r="G15511" i="2"/>
  <c r="H15511" i="2"/>
  <c r="J15511" i="2"/>
  <c r="K15511" i="2"/>
  <c r="L15511" i="2"/>
  <c r="C15512" i="2"/>
  <c r="D15512" i="2"/>
  <c r="F15512" i="2"/>
  <c r="G15512" i="2"/>
  <c r="H15512" i="2"/>
  <c r="J15512" i="2"/>
  <c r="K15512" i="2"/>
  <c r="L15512" i="2"/>
  <c r="C15513" i="2"/>
  <c r="D15513" i="2"/>
  <c r="F15513" i="2"/>
  <c r="G15513" i="2"/>
  <c r="H15513" i="2"/>
  <c r="J15513" i="2"/>
  <c r="K15513" i="2"/>
  <c r="L15513" i="2"/>
  <c r="C15514" i="2"/>
  <c r="D15514" i="2"/>
  <c r="F15514" i="2"/>
  <c r="G15514" i="2"/>
  <c r="H15514" i="2"/>
  <c r="J15514" i="2"/>
  <c r="K15514" i="2"/>
  <c r="L15514" i="2"/>
  <c r="C15515" i="2"/>
  <c r="D15515" i="2"/>
  <c r="F15515" i="2"/>
  <c r="G15515" i="2"/>
  <c r="H15515" i="2"/>
  <c r="J15515" i="2"/>
  <c r="K15515" i="2"/>
  <c r="L15515" i="2"/>
  <c r="C15516" i="2"/>
  <c r="D15516" i="2"/>
  <c r="F15516" i="2"/>
  <c r="G15516" i="2"/>
  <c r="H15516" i="2"/>
  <c r="J15516" i="2"/>
  <c r="K15516" i="2"/>
  <c r="L15516" i="2"/>
  <c r="C15517" i="2"/>
  <c r="D15517" i="2"/>
  <c r="F15517" i="2"/>
  <c r="G15517" i="2"/>
  <c r="H15517" i="2"/>
  <c r="J15517" i="2"/>
  <c r="K15517" i="2"/>
  <c r="L15517" i="2"/>
  <c r="C15518" i="2"/>
  <c r="D15518" i="2"/>
  <c r="F15518" i="2"/>
  <c r="G15518" i="2"/>
  <c r="H15518" i="2"/>
  <c r="J15518" i="2"/>
  <c r="K15518" i="2"/>
  <c r="L15518" i="2"/>
  <c r="C15519" i="2"/>
  <c r="D15519" i="2"/>
  <c r="F15519" i="2"/>
  <c r="G15519" i="2"/>
  <c r="H15519" i="2"/>
  <c r="J15519" i="2"/>
  <c r="K15519" i="2"/>
  <c r="L15519" i="2"/>
  <c r="C15520" i="2"/>
  <c r="D15520" i="2"/>
  <c r="F15520" i="2"/>
  <c r="G15520" i="2"/>
  <c r="H15520" i="2"/>
  <c r="J15520" i="2"/>
  <c r="K15520" i="2"/>
  <c r="L15520" i="2"/>
  <c r="C15521" i="2"/>
  <c r="D15521" i="2"/>
  <c r="F15521" i="2"/>
  <c r="G15521" i="2"/>
  <c r="H15521" i="2"/>
  <c r="J15521" i="2"/>
  <c r="K15521" i="2"/>
  <c r="L15521" i="2"/>
  <c r="C15522" i="2"/>
  <c r="D15522" i="2"/>
  <c r="F15522" i="2"/>
  <c r="G15522" i="2"/>
  <c r="H15522" i="2"/>
  <c r="J15522" i="2"/>
  <c r="K15522" i="2"/>
  <c r="L15522" i="2"/>
  <c r="C15523" i="2"/>
  <c r="D15523" i="2"/>
  <c r="F15523" i="2"/>
  <c r="G15523" i="2"/>
  <c r="H15523" i="2"/>
  <c r="J15523" i="2"/>
  <c r="K15523" i="2"/>
  <c r="L15523" i="2"/>
  <c r="C15524" i="2"/>
  <c r="D15524" i="2"/>
  <c r="F15524" i="2"/>
  <c r="G15524" i="2"/>
  <c r="H15524" i="2"/>
  <c r="J15524" i="2"/>
  <c r="K15524" i="2"/>
  <c r="L15524" i="2"/>
  <c r="C15525" i="2"/>
  <c r="D15525" i="2"/>
  <c r="F15525" i="2"/>
  <c r="G15525" i="2"/>
  <c r="H15525" i="2"/>
  <c r="J15525" i="2"/>
  <c r="K15525" i="2"/>
  <c r="L15525" i="2"/>
  <c r="C15526" i="2"/>
  <c r="D15526" i="2"/>
  <c r="F15526" i="2"/>
  <c r="G15526" i="2"/>
  <c r="H15526" i="2"/>
  <c r="J15526" i="2"/>
  <c r="K15526" i="2"/>
  <c r="L15526" i="2"/>
  <c r="C15527" i="2"/>
  <c r="D15527" i="2"/>
  <c r="F15527" i="2"/>
  <c r="G15527" i="2"/>
  <c r="H15527" i="2"/>
  <c r="J15527" i="2"/>
  <c r="K15527" i="2"/>
  <c r="L15527" i="2"/>
  <c r="C15528" i="2"/>
  <c r="D15528" i="2"/>
  <c r="F15528" i="2"/>
  <c r="G15528" i="2"/>
  <c r="H15528" i="2"/>
  <c r="J15528" i="2"/>
  <c r="K15528" i="2"/>
  <c r="L15528" i="2"/>
  <c r="C15529" i="2"/>
  <c r="D15529" i="2"/>
  <c r="F15529" i="2"/>
  <c r="G15529" i="2"/>
  <c r="H15529" i="2"/>
  <c r="J15529" i="2"/>
  <c r="K15529" i="2"/>
  <c r="L15529" i="2"/>
  <c r="C15530" i="2"/>
  <c r="D15530" i="2"/>
  <c r="F15530" i="2"/>
  <c r="G15530" i="2"/>
  <c r="H15530" i="2"/>
  <c r="J15530" i="2"/>
  <c r="K15530" i="2"/>
  <c r="L15530" i="2"/>
  <c r="C15531" i="2"/>
  <c r="D15531" i="2"/>
  <c r="F15531" i="2"/>
  <c r="G15531" i="2"/>
  <c r="H15531" i="2"/>
  <c r="J15531" i="2"/>
  <c r="K15531" i="2"/>
  <c r="L15531" i="2"/>
  <c r="C15532" i="2"/>
  <c r="D15532" i="2"/>
  <c r="F15532" i="2"/>
  <c r="G15532" i="2"/>
  <c r="H15532" i="2"/>
  <c r="J15532" i="2"/>
  <c r="K15532" i="2"/>
  <c r="L15532" i="2"/>
  <c r="C15533" i="2"/>
  <c r="D15533" i="2"/>
  <c r="F15533" i="2"/>
  <c r="G15533" i="2"/>
  <c r="H15533" i="2"/>
  <c r="J15533" i="2"/>
  <c r="K15533" i="2"/>
  <c r="L15533" i="2"/>
  <c r="C15534" i="2"/>
  <c r="D15534" i="2"/>
  <c r="F15534" i="2"/>
  <c r="G15534" i="2"/>
  <c r="H15534" i="2"/>
  <c r="J15534" i="2"/>
  <c r="K15534" i="2"/>
  <c r="L15534" i="2"/>
  <c r="C15535" i="2"/>
  <c r="D15535" i="2"/>
  <c r="F15535" i="2"/>
  <c r="G15535" i="2"/>
  <c r="H15535" i="2"/>
  <c r="J15535" i="2"/>
  <c r="K15535" i="2"/>
  <c r="L15535" i="2"/>
  <c r="C15536" i="2"/>
  <c r="D15536" i="2"/>
  <c r="F15536" i="2"/>
  <c r="G15536" i="2"/>
  <c r="H15536" i="2"/>
  <c r="J15536" i="2"/>
  <c r="K15536" i="2"/>
  <c r="L15536" i="2"/>
  <c r="C15537" i="2"/>
  <c r="D15537" i="2"/>
  <c r="F15537" i="2"/>
  <c r="G15537" i="2"/>
  <c r="H15537" i="2"/>
  <c r="J15537" i="2"/>
  <c r="K15537" i="2"/>
  <c r="L15537" i="2"/>
  <c r="C15538" i="2"/>
  <c r="D15538" i="2"/>
  <c r="F15538" i="2"/>
  <c r="G15538" i="2"/>
  <c r="H15538" i="2"/>
  <c r="J15538" i="2"/>
  <c r="K15538" i="2"/>
  <c r="L15538" i="2"/>
  <c r="C15539" i="2"/>
  <c r="D15539" i="2"/>
  <c r="F15539" i="2"/>
  <c r="G15539" i="2"/>
  <c r="H15539" i="2"/>
  <c r="J15539" i="2"/>
  <c r="K15539" i="2"/>
  <c r="L15539" i="2"/>
  <c r="C15540" i="2"/>
  <c r="D15540" i="2"/>
  <c r="F15540" i="2"/>
  <c r="G15540" i="2"/>
  <c r="H15540" i="2"/>
  <c r="J15540" i="2"/>
  <c r="K15540" i="2"/>
  <c r="L15540" i="2"/>
  <c r="C15541" i="2"/>
  <c r="D15541" i="2"/>
  <c r="F15541" i="2"/>
  <c r="G15541" i="2"/>
  <c r="H15541" i="2"/>
  <c r="J15541" i="2"/>
  <c r="K15541" i="2"/>
  <c r="L15541" i="2"/>
  <c r="C15542" i="2"/>
  <c r="D15542" i="2"/>
  <c r="F15542" i="2"/>
  <c r="G15542" i="2"/>
  <c r="H15542" i="2"/>
  <c r="J15542" i="2"/>
  <c r="K15542" i="2"/>
  <c r="L15542" i="2"/>
  <c r="C15543" i="2"/>
  <c r="D15543" i="2"/>
  <c r="F15543" i="2"/>
  <c r="G15543" i="2"/>
  <c r="H15543" i="2"/>
  <c r="J15543" i="2"/>
  <c r="K15543" i="2"/>
  <c r="L15543" i="2"/>
  <c r="C15544" i="2"/>
  <c r="D15544" i="2"/>
  <c r="F15544" i="2"/>
  <c r="G15544" i="2"/>
  <c r="H15544" i="2"/>
  <c r="J15544" i="2"/>
  <c r="K15544" i="2"/>
  <c r="L15544" i="2"/>
  <c r="C15545" i="2"/>
  <c r="D15545" i="2"/>
  <c r="F15545" i="2"/>
  <c r="G15545" i="2"/>
  <c r="H15545" i="2"/>
  <c r="J15545" i="2"/>
  <c r="K15545" i="2"/>
  <c r="L15545" i="2"/>
  <c r="C15546" i="2"/>
  <c r="D15546" i="2"/>
  <c r="F15546" i="2"/>
  <c r="G15546" i="2"/>
  <c r="H15546" i="2"/>
  <c r="J15546" i="2"/>
  <c r="K15546" i="2"/>
  <c r="L15546" i="2"/>
  <c r="C15547" i="2"/>
  <c r="D15547" i="2"/>
  <c r="F15547" i="2"/>
  <c r="G15547" i="2"/>
  <c r="H15547" i="2"/>
  <c r="J15547" i="2"/>
  <c r="K15547" i="2"/>
  <c r="L15547" i="2"/>
  <c r="C15548" i="2"/>
  <c r="D15548" i="2"/>
  <c r="F15548" i="2"/>
  <c r="G15548" i="2"/>
  <c r="H15548" i="2"/>
  <c r="J15548" i="2"/>
  <c r="K15548" i="2"/>
  <c r="L15548" i="2"/>
  <c r="C15549" i="2"/>
  <c r="D15549" i="2"/>
  <c r="F15549" i="2"/>
  <c r="G15549" i="2"/>
  <c r="H15549" i="2"/>
  <c r="J15549" i="2"/>
  <c r="K15549" i="2"/>
  <c r="L15549" i="2"/>
  <c r="C15550" i="2"/>
  <c r="D15550" i="2"/>
  <c r="F15550" i="2"/>
  <c r="G15550" i="2"/>
  <c r="H15550" i="2"/>
  <c r="J15550" i="2"/>
  <c r="K15550" i="2"/>
  <c r="L15550" i="2"/>
  <c r="C15551" i="2"/>
  <c r="D15551" i="2"/>
  <c r="F15551" i="2"/>
  <c r="G15551" i="2"/>
  <c r="H15551" i="2"/>
  <c r="J15551" i="2"/>
  <c r="K15551" i="2"/>
  <c r="L15551" i="2"/>
  <c r="C15552" i="2"/>
  <c r="D15552" i="2"/>
  <c r="F15552" i="2"/>
  <c r="G15552" i="2"/>
  <c r="H15552" i="2"/>
  <c r="J15552" i="2"/>
  <c r="K15552" i="2"/>
  <c r="L15552" i="2"/>
  <c r="C15553" i="2"/>
  <c r="D15553" i="2"/>
  <c r="F15553" i="2"/>
  <c r="G15553" i="2"/>
  <c r="H15553" i="2"/>
  <c r="J15553" i="2"/>
  <c r="K15553" i="2"/>
  <c r="L15553" i="2"/>
  <c r="C15554" i="2"/>
  <c r="D15554" i="2"/>
  <c r="F15554" i="2"/>
  <c r="G15554" i="2"/>
  <c r="H15554" i="2"/>
  <c r="J15554" i="2"/>
  <c r="K15554" i="2"/>
  <c r="L15554" i="2"/>
  <c r="C15555" i="2"/>
  <c r="D15555" i="2"/>
  <c r="F15555" i="2"/>
  <c r="G15555" i="2"/>
  <c r="H15555" i="2"/>
  <c r="J15555" i="2"/>
  <c r="K15555" i="2"/>
  <c r="L15555" i="2"/>
  <c r="C15556" i="2"/>
  <c r="D15556" i="2"/>
  <c r="F15556" i="2"/>
  <c r="G15556" i="2"/>
  <c r="H15556" i="2"/>
  <c r="J15556" i="2"/>
  <c r="K15556" i="2"/>
  <c r="L15556" i="2"/>
  <c r="C15557" i="2"/>
  <c r="D15557" i="2"/>
  <c r="F15557" i="2"/>
  <c r="G15557" i="2"/>
  <c r="H15557" i="2"/>
  <c r="J15557" i="2"/>
  <c r="K15557" i="2"/>
  <c r="L15557" i="2"/>
  <c r="C15558" i="2"/>
  <c r="D15558" i="2"/>
  <c r="F15558" i="2"/>
  <c r="G15558" i="2"/>
  <c r="H15558" i="2"/>
  <c r="J15558" i="2"/>
  <c r="K15558" i="2"/>
  <c r="L15558" i="2"/>
  <c r="C15559" i="2"/>
  <c r="D15559" i="2"/>
  <c r="F15559" i="2"/>
  <c r="G15559" i="2"/>
  <c r="H15559" i="2"/>
  <c r="J15559" i="2"/>
  <c r="K15559" i="2"/>
  <c r="L15559" i="2"/>
  <c r="C15560" i="2"/>
  <c r="D15560" i="2"/>
  <c r="F15560" i="2"/>
  <c r="G15560" i="2"/>
  <c r="H15560" i="2"/>
  <c r="J15560" i="2"/>
  <c r="K15560" i="2"/>
  <c r="L15560" i="2"/>
  <c r="C15561" i="2"/>
  <c r="D15561" i="2"/>
  <c r="F15561" i="2"/>
  <c r="G15561" i="2"/>
  <c r="H15561" i="2"/>
  <c r="J15561" i="2"/>
  <c r="K15561" i="2"/>
  <c r="L15561" i="2"/>
  <c r="C15562" i="2"/>
  <c r="D15562" i="2"/>
  <c r="F15562" i="2"/>
  <c r="G15562" i="2"/>
  <c r="H15562" i="2"/>
  <c r="J15562" i="2"/>
  <c r="K15562" i="2"/>
  <c r="L15562" i="2"/>
  <c r="C15563" i="2"/>
  <c r="D15563" i="2"/>
  <c r="F15563" i="2"/>
  <c r="G15563" i="2"/>
  <c r="H15563" i="2"/>
  <c r="J15563" i="2"/>
  <c r="K15563" i="2"/>
  <c r="L15563" i="2"/>
  <c r="C15564" i="2"/>
  <c r="D15564" i="2"/>
  <c r="F15564" i="2"/>
  <c r="G15564" i="2"/>
  <c r="H15564" i="2"/>
  <c r="J15564" i="2"/>
  <c r="K15564" i="2"/>
  <c r="L15564" i="2"/>
  <c r="C15565" i="2"/>
  <c r="D15565" i="2"/>
  <c r="F15565" i="2"/>
  <c r="G15565" i="2"/>
  <c r="H15565" i="2"/>
  <c r="J15565" i="2"/>
  <c r="K15565" i="2"/>
  <c r="L15565" i="2"/>
  <c r="C15566" i="2"/>
  <c r="D15566" i="2"/>
  <c r="F15566" i="2"/>
  <c r="G15566" i="2"/>
  <c r="H15566" i="2"/>
  <c r="J15566" i="2"/>
  <c r="K15566" i="2"/>
  <c r="L15566" i="2"/>
  <c r="C15567" i="2"/>
  <c r="D15567" i="2"/>
  <c r="F15567" i="2"/>
  <c r="G15567" i="2"/>
  <c r="H15567" i="2"/>
  <c r="J15567" i="2"/>
  <c r="K15567" i="2"/>
  <c r="L15567" i="2"/>
  <c r="C15568" i="2"/>
  <c r="D15568" i="2"/>
  <c r="F15568" i="2"/>
  <c r="G15568" i="2"/>
  <c r="H15568" i="2"/>
  <c r="J15568" i="2"/>
  <c r="K15568" i="2"/>
  <c r="L15568" i="2"/>
  <c r="C15569" i="2"/>
  <c r="D15569" i="2"/>
  <c r="F15569" i="2"/>
  <c r="G15569" i="2"/>
  <c r="H15569" i="2"/>
  <c r="J15569" i="2"/>
  <c r="K15569" i="2"/>
  <c r="L15569" i="2"/>
  <c r="C15570" i="2"/>
  <c r="D15570" i="2"/>
  <c r="F15570" i="2"/>
  <c r="G15570" i="2"/>
  <c r="H15570" i="2"/>
  <c r="J15570" i="2"/>
  <c r="K15570" i="2"/>
  <c r="L15570" i="2"/>
  <c r="C15571" i="2"/>
  <c r="D15571" i="2"/>
  <c r="F15571" i="2"/>
  <c r="G15571" i="2"/>
  <c r="H15571" i="2"/>
  <c r="J15571" i="2"/>
  <c r="K15571" i="2"/>
  <c r="L15571" i="2"/>
  <c r="C15572" i="2"/>
  <c r="D15572" i="2"/>
  <c r="F15572" i="2"/>
  <c r="G15572" i="2"/>
  <c r="H15572" i="2"/>
  <c r="J15572" i="2"/>
  <c r="K15572" i="2"/>
  <c r="L15572" i="2"/>
  <c r="C15573" i="2"/>
  <c r="D15573" i="2"/>
  <c r="F15573" i="2"/>
  <c r="G15573" i="2"/>
  <c r="H15573" i="2"/>
  <c r="J15573" i="2"/>
  <c r="K15573" i="2"/>
  <c r="L15573" i="2"/>
  <c r="C15574" i="2"/>
  <c r="D15574" i="2"/>
  <c r="F15574" i="2"/>
  <c r="G15574" i="2"/>
  <c r="H15574" i="2"/>
  <c r="J15574" i="2"/>
  <c r="K15574" i="2"/>
  <c r="L15574" i="2"/>
  <c r="C15575" i="2"/>
  <c r="D15575" i="2"/>
  <c r="F15575" i="2"/>
  <c r="G15575" i="2"/>
  <c r="H15575" i="2"/>
  <c r="J15575" i="2"/>
  <c r="K15575" i="2"/>
  <c r="L15575" i="2"/>
  <c r="C15576" i="2"/>
  <c r="D15576" i="2"/>
  <c r="F15576" i="2"/>
  <c r="G15576" i="2"/>
  <c r="H15576" i="2"/>
  <c r="J15576" i="2"/>
  <c r="K15576" i="2"/>
  <c r="L15576" i="2"/>
  <c r="C15577" i="2"/>
  <c r="D15577" i="2"/>
  <c r="F15577" i="2"/>
  <c r="G15577" i="2"/>
  <c r="H15577" i="2"/>
  <c r="J15577" i="2"/>
  <c r="K15577" i="2"/>
  <c r="L15577" i="2"/>
  <c r="C15578" i="2"/>
  <c r="D15578" i="2"/>
  <c r="F15578" i="2"/>
  <c r="G15578" i="2"/>
  <c r="H15578" i="2"/>
  <c r="J15578" i="2"/>
  <c r="K15578" i="2"/>
  <c r="L15578" i="2"/>
  <c r="C15579" i="2"/>
  <c r="D15579" i="2"/>
  <c r="F15579" i="2"/>
  <c r="G15579" i="2"/>
  <c r="H15579" i="2"/>
  <c r="J15579" i="2"/>
  <c r="K15579" i="2"/>
  <c r="L15579" i="2"/>
  <c r="C15580" i="2"/>
  <c r="D15580" i="2"/>
  <c r="F15580" i="2"/>
  <c r="G15580" i="2"/>
  <c r="H15580" i="2"/>
  <c r="J15580" i="2"/>
  <c r="K15580" i="2"/>
  <c r="L15580" i="2"/>
  <c r="C15581" i="2"/>
  <c r="D15581" i="2"/>
  <c r="F15581" i="2"/>
  <c r="G15581" i="2"/>
  <c r="H15581" i="2"/>
  <c r="J15581" i="2"/>
  <c r="K15581" i="2"/>
  <c r="L15581" i="2"/>
  <c r="C15582" i="2"/>
  <c r="D15582" i="2"/>
  <c r="F15582" i="2"/>
  <c r="G15582" i="2"/>
  <c r="H15582" i="2"/>
  <c r="J15582" i="2"/>
  <c r="K15582" i="2"/>
  <c r="L15582" i="2"/>
  <c r="C15583" i="2"/>
  <c r="D15583" i="2"/>
  <c r="F15583" i="2"/>
  <c r="G15583" i="2"/>
  <c r="H15583" i="2"/>
  <c r="J15583" i="2"/>
  <c r="K15583" i="2"/>
  <c r="L15583" i="2"/>
  <c r="C15584" i="2"/>
  <c r="D15584" i="2"/>
  <c r="F15584" i="2"/>
  <c r="G15584" i="2"/>
  <c r="H15584" i="2"/>
  <c r="J15584" i="2"/>
  <c r="K15584" i="2"/>
  <c r="L15584" i="2"/>
  <c r="C15585" i="2"/>
  <c r="D15585" i="2"/>
  <c r="F15585" i="2"/>
  <c r="G15585" i="2"/>
  <c r="H15585" i="2"/>
  <c r="J15585" i="2"/>
  <c r="K15585" i="2"/>
  <c r="L15585" i="2"/>
  <c r="C15586" i="2"/>
  <c r="D15586" i="2"/>
  <c r="F15586" i="2"/>
  <c r="G15586" i="2"/>
  <c r="H15586" i="2"/>
  <c r="J15586" i="2"/>
  <c r="K15586" i="2"/>
  <c r="L15586" i="2"/>
  <c r="C15587" i="2"/>
  <c r="D15587" i="2"/>
  <c r="F15587" i="2"/>
  <c r="G15587" i="2"/>
  <c r="H15587" i="2"/>
  <c r="J15587" i="2"/>
  <c r="K15587" i="2"/>
  <c r="L15587" i="2"/>
  <c r="C15588" i="2"/>
  <c r="D15588" i="2"/>
  <c r="F15588" i="2"/>
  <c r="G15588" i="2"/>
  <c r="H15588" i="2"/>
  <c r="J15588" i="2"/>
  <c r="K15588" i="2"/>
  <c r="L15588" i="2"/>
  <c r="C15589" i="2"/>
  <c r="D15589" i="2"/>
  <c r="F15589" i="2"/>
  <c r="G15589" i="2"/>
  <c r="H15589" i="2"/>
  <c r="J15589" i="2"/>
  <c r="K15589" i="2"/>
  <c r="L15589" i="2"/>
  <c r="C15590" i="2"/>
  <c r="D15590" i="2"/>
  <c r="F15590" i="2"/>
  <c r="G15590" i="2"/>
  <c r="H15590" i="2"/>
  <c r="J15590" i="2"/>
  <c r="K15590" i="2"/>
  <c r="L15590" i="2"/>
  <c r="C15591" i="2"/>
  <c r="D15591" i="2"/>
  <c r="F15591" i="2"/>
  <c r="G15591" i="2"/>
  <c r="H15591" i="2"/>
  <c r="J15591" i="2"/>
  <c r="K15591" i="2"/>
  <c r="L15591" i="2"/>
  <c r="C15592" i="2"/>
  <c r="D15592" i="2"/>
  <c r="F15592" i="2"/>
  <c r="G15592" i="2"/>
  <c r="H15592" i="2"/>
  <c r="J15592" i="2"/>
  <c r="K15592" i="2"/>
  <c r="L15592" i="2"/>
  <c r="C15593" i="2"/>
  <c r="D15593" i="2"/>
  <c r="F15593" i="2"/>
  <c r="G15593" i="2"/>
  <c r="H15593" i="2"/>
  <c r="J15593" i="2"/>
  <c r="K15593" i="2"/>
  <c r="L15593" i="2"/>
  <c r="C15594" i="2"/>
  <c r="D15594" i="2"/>
  <c r="F15594" i="2"/>
  <c r="G15594" i="2"/>
  <c r="H15594" i="2"/>
  <c r="J15594" i="2"/>
  <c r="K15594" i="2"/>
  <c r="L15594" i="2"/>
  <c r="C15595" i="2"/>
  <c r="D15595" i="2"/>
  <c r="F15595" i="2"/>
  <c r="G15595" i="2"/>
  <c r="H15595" i="2"/>
  <c r="J15595" i="2"/>
  <c r="K15595" i="2"/>
  <c r="L15595" i="2"/>
  <c r="C15596" i="2"/>
  <c r="D15596" i="2"/>
  <c r="F15596" i="2"/>
  <c r="G15596" i="2"/>
  <c r="H15596" i="2"/>
  <c r="J15596" i="2"/>
  <c r="K15596" i="2"/>
  <c r="L15596" i="2"/>
  <c r="C15597" i="2"/>
  <c r="D15597" i="2"/>
  <c r="F15597" i="2"/>
  <c r="G15597" i="2"/>
  <c r="H15597" i="2"/>
  <c r="J15597" i="2"/>
  <c r="K15597" i="2"/>
  <c r="L15597" i="2"/>
  <c r="C15598" i="2"/>
  <c r="D15598" i="2"/>
  <c r="F15598" i="2"/>
  <c r="G15598" i="2"/>
  <c r="H15598" i="2"/>
  <c r="J15598" i="2"/>
  <c r="K15598" i="2"/>
  <c r="L15598" i="2"/>
  <c r="C15599" i="2"/>
  <c r="D15599" i="2"/>
  <c r="F15599" i="2"/>
  <c r="G15599" i="2"/>
  <c r="H15599" i="2"/>
  <c r="J15599" i="2"/>
  <c r="K15599" i="2"/>
  <c r="L15599" i="2"/>
  <c r="C15600" i="2"/>
  <c r="D15600" i="2"/>
  <c r="F15600" i="2"/>
  <c r="G15600" i="2"/>
  <c r="H15600" i="2"/>
  <c r="J15600" i="2"/>
  <c r="K15600" i="2"/>
  <c r="L15600" i="2"/>
  <c r="C15601" i="2"/>
  <c r="D15601" i="2"/>
  <c r="F15601" i="2"/>
  <c r="G15601" i="2"/>
  <c r="H15601" i="2"/>
  <c r="J15601" i="2"/>
  <c r="K15601" i="2"/>
  <c r="L15601" i="2"/>
  <c r="C15602" i="2"/>
  <c r="D15602" i="2"/>
  <c r="F15602" i="2"/>
  <c r="G15602" i="2"/>
  <c r="H15602" i="2"/>
  <c r="J15602" i="2"/>
  <c r="K15602" i="2"/>
  <c r="L15602" i="2"/>
  <c r="C15603" i="2"/>
  <c r="D15603" i="2"/>
  <c r="F15603" i="2"/>
  <c r="G15603" i="2"/>
  <c r="H15603" i="2"/>
  <c r="J15603" i="2"/>
  <c r="K15603" i="2"/>
  <c r="L15603" i="2"/>
  <c r="C15604" i="2"/>
  <c r="D15604" i="2"/>
  <c r="F15604" i="2"/>
  <c r="G15604" i="2"/>
  <c r="H15604" i="2"/>
  <c r="J15604" i="2"/>
  <c r="K15604" i="2"/>
  <c r="L15604" i="2"/>
  <c r="C15605" i="2"/>
  <c r="D15605" i="2"/>
  <c r="F15605" i="2"/>
  <c r="G15605" i="2"/>
  <c r="H15605" i="2"/>
  <c r="J15605" i="2"/>
  <c r="K15605" i="2"/>
  <c r="L15605" i="2"/>
  <c r="C15606" i="2"/>
  <c r="D15606" i="2"/>
  <c r="F15606" i="2"/>
  <c r="G15606" i="2"/>
  <c r="H15606" i="2"/>
  <c r="J15606" i="2"/>
  <c r="K15606" i="2"/>
  <c r="L15606" i="2"/>
  <c r="C15607" i="2"/>
  <c r="D15607" i="2"/>
  <c r="F15607" i="2"/>
  <c r="G15607" i="2"/>
  <c r="H15607" i="2"/>
  <c r="J15607" i="2"/>
  <c r="K15607" i="2"/>
  <c r="L15607" i="2"/>
  <c r="C15608" i="2"/>
  <c r="D15608" i="2"/>
  <c r="F15608" i="2"/>
  <c r="G15608" i="2"/>
  <c r="H15608" i="2"/>
  <c r="J15608" i="2"/>
  <c r="K15608" i="2"/>
  <c r="L15608" i="2"/>
  <c r="C15609" i="2"/>
  <c r="D15609" i="2"/>
  <c r="F15609" i="2"/>
  <c r="G15609" i="2"/>
  <c r="H15609" i="2"/>
  <c r="J15609" i="2"/>
  <c r="K15609" i="2"/>
  <c r="L15609" i="2"/>
  <c r="C15610" i="2"/>
  <c r="D15610" i="2"/>
  <c r="F15610" i="2"/>
  <c r="G15610" i="2"/>
  <c r="H15610" i="2"/>
  <c r="J15610" i="2"/>
  <c r="K15610" i="2"/>
  <c r="L15610" i="2"/>
  <c r="C15611" i="2"/>
  <c r="D15611" i="2"/>
  <c r="F15611" i="2"/>
  <c r="G15611" i="2"/>
  <c r="H15611" i="2"/>
  <c r="J15611" i="2"/>
  <c r="K15611" i="2"/>
  <c r="L15611" i="2"/>
  <c r="C15612" i="2"/>
  <c r="D15612" i="2"/>
  <c r="F15612" i="2"/>
  <c r="G15612" i="2"/>
  <c r="H15612" i="2"/>
  <c r="J15612" i="2"/>
  <c r="K15612" i="2"/>
  <c r="L15612" i="2"/>
  <c r="C15613" i="2"/>
  <c r="D15613" i="2"/>
  <c r="F15613" i="2"/>
  <c r="G15613" i="2"/>
  <c r="H15613" i="2"/>
  <c r="J15613" i="2"/>
  <c r="K15613" i="2"/>
  <c r="L15613" i="2"/>
  <c r="C15614" i="2"/>
  <c r="D15614" i="2"/>
  <c r="F15614" i="2"/>
  <c r="G15614" i="2"/>
  <c r="H15614" i="2"/>
  <c r="J15614" i="2"/>
  <c r="K15614" i="2"/>
  <c r="L15614" i="2"/>
  <c r="C15615" i="2"/>
  <c r="D15615" i="2"/>
  <c r="F15615" i="2"/>
  <c r="G15615" i="2"/>
  <c r="H15615" i="2"/>
  <c r="J15615" i="2"/>
  <c r="K15615" i="2"/>
  <c r="L15615" i="2"/>
  <c r="C15616" i="2"/>
  <c r="D15616" i="2"/>
  <c r="F15616" i="2"/>
  <c r="G15616" i="2"/>
  <c r="H15616" i="2"/>
  <c r="J15616" i="2"/>
  <c r="K15616" i="2"/>
  <c r="L15616" i="2"/>
  <c r="C15617" i="2"/>
  <c r="D15617" i="2"/>
  <c r="F15617" i="2"/>
  <c r="G15617" i="2"/>
  <c r="H15617" i="2"/>
  <c r="J15617" i="2"/>
  <c r="K15617" i="2"/>
  <c r="L15617" i="2"/>
  <c r="C15618" i="2"/>
  <c r="D15618" i="2"/>
  <c r="F15618" i="2"/>
  <c r="G15618" i="2"/>
  <c r="H15618" i="2"/>
  <c r="J15618" i="2"/>
  <c r="K15618" i="2"/>
  <c r="L15618" i="2"/>
  <c r="C15619" i="2"/>
  <c r="D15619" i="2"/>
  <c r="F15619" i="2"/>
  <c r="G15619" i="2"/>
  <c r="H15619" i="2"/>
  <c r="J15619" i="2"/>
  <c r="K15619" i="2"/>
  <c r="L15619" i="2"/>
  <c r="C15620" i="2"/>
  <c r="D15620" i="2"/>
  <c r="F15620" i="2"/>
  <c r="G15620" i="2"/>
  <c r="H15620" i="2"/>
  <c r="J15620" i="2"/>
  <c r="K15620" i="2"/>
  <c r="L15620" i="2"/>
  <c r="C15621" i="2"/>
  <c r="D15621" i="2"/>
  <c r="F15621" i="2"/>
  <c r="G15621" i="2"/>
  <c r="H15621" i="2"/>
  <c r="J15621" i="2"/>
  <c r="K15621" i="2"/>
  <c r="L15621" i="2"/>
  <c r="C15622" i="2"/>
  <c r="D15622" i="2"/>
  <c r="F15622" i="2"/>
  <c r="G15622" i="2"/>
  <c r="H15622" i="2"/>
  <c r="J15622" i="2"/>
  <c r="K15622" i="2"/>
  <c r="L15622" i="2"/>
  <c r="C15623" i="2"/>
  <c r="D15623" i="2"/>
  <c r="F15623" i="2"/>
  <c r="G15623" i="2"/>
  <c r="H15623" i="2"/>
  <c r="J15623" i="2"/>
  <c r="K15623" i="2"/>
  <c r="L15623" i="2"/>
  <c r="C15624" i="2"/>
  <c r="D15624" i="2"/>
  <c r="F15624" i="2"/>
  <c r="G15624" i="2"/>
  <c r="H15624" i="2"/>
  <c r="J15624" i="2"/>
  <c r="K15624" i="2"/>
  <c r="L15624" i="2"/>
  <c r="C15625" i="2"/>
  <c r="D15625" i="2"/>
  <c r="F15625" i="2"/>
  <c r="G15625" i="2"/>
  <c r="H15625" i="2"/>
  <c r="J15625" i="2"/>
  <c r="K15625" i="2"/>
  <c r="L15625" i="2"/>
  <c r="C15626" i="2"/>
  <c r="D15626" i="2"/>
  <c r="F15626" i="2"/>
  <c r="G15626" i="2"/>
  <c r="H15626" i="2"/>
  <c r="J15626" i="2"/>
  <c r="K15626" i="2"/>
  <c r="L15626" i="2"/>
  <c r="C15627" i="2"/>
  <c r="D15627" i="2"/>
  <c r="F15627" i="2"/>
  <c r="G15627" i="2"/>
  <c r="H15627" i="2"/>
  <c r="J15627" i="2"/>
  <c r="K15627" i="2"/>
  <c r="L15627" i="2"/>
  <c r="C15628" i="2"/>
  <c r="D15628" i="2"/>
  <c r="F15628" i="2"/>
  <c r="G15628" i="2"/>
  <c r="H15628" i="2"/>
  <c r="J15628" i="2"/>
  <c r="K15628" i="2"/>
  <c r="L15628" i="2"/>
  <c r="C15629" i="2"/>
  <c r="D15629" i="2"/>
  <c r="F15629" i="2"/>
  <c r="G15629" i="2"/>
  <c r="H15629" i="2"/>
  <c r="J15629" i="2"/>
  <c r="K15629" i="2"/>
  <c r="L15629" i="2"/>
  <c r="C15630" i="2"/>
  <c r="D15630" i="2"/>
  <c r="F15630" i="2"/>
  <c r="G15630" i="2"/>
  <c r="H15630" i="2"/>
  <c r="J15630" i="2"/>
  <c r="K15630" i="2"/>
  <c r="L15630" i="2"/>
  <c r="C15631" i="2"/>
  <c r="D15631" i="2"/>
  <c r="F15631" i="2"/>
  <c r="G15631" i="2"/>
  <c r="H15631" i="2"/>
  <c r="J15631" i="2"/>
  <c r="K15631" i="2"/>
  <c r="L15631" i="2"/>
  <c r="C15632" i="2"/>
  <c r="D15632" i="2"/>
  <c r="F15632" i="2"/>
  <c r="G15632" i="2"/>
  <c r="H15632" i="2"/>
  <c r="J15632" i="2"/>
  <c r="K15632" i="2"/>
  <c r="L15632" i="2"/>
  <c r="C15633" i="2"/>
  <c r="D15633" i="2"/>
  <c r="F15633" i="2"/>
  <c r="G15633" i="2"/>
  <c r="H15633" i="2"/>
  <c r="J15633" i="2"/>
  <c r="K15633" i="2"/>
  <c r="L15633" i="2"/>
  <c r="C15634" i="2"/>
  <c r="D15634" i="2"/>
  <c r="F15634" i="2"/>
  <c r="G15634" i="2"/>
  <c r="H15634" i="2"/>
  <c r="J15634" i="2"/>
  <c r="K15634" i="2"/>
  <c r="L15634" i="2"/>
  <c r="C15635" i="2"/>
  <c r="D15635" i="2"/>
  <c r="F15635" i="2"/>
  <c r="G15635" i="2"/>
  <c r="H15635" i="2"/>
  <c r="J15635" i="2"/>
  <c r="K15635" i="2"/>
  <c r="L15635" i="2"/>
  <c r="C15636" i="2"/>
  <c r="D15636" i="2"/>
  <c r="F15636" i="2"/>
  <c r="G15636" i="2"/>
  <c r="H15636" i="2"/>
  <c r="J15636" i="2"/>
  <c r="K15636" i="2"/>
  <c r="L15636" i="2"/>
  <c r="C15637" i="2"/>
  <c r="D15637" i="2"/>
  <c r="F15637" i="2"/>
  <c r="G15637" i="2"/>
  <c r="H15637" i="2"/>
  <c r="J15637" i="2"/>
  <c r="K15637" i="2"/>
  <c r="L15637" i="2"/>
  <c r="C15638" i="2"/>
  <c r="D15638" i="2"/>
  <c r="F15638" i="2"/>
  <c r="G15638" i="2"/>
  <c r="H15638" i="2"/>
  <c r="J15638" i="2"/>
  <c r="K15638" i="2"/>
  <c r="L15638" i="2"/>
  <c r="C15639" i="2"/>
  <c r="D15639" i="2"/>
  <c r="F15639" i="2"/>
  <c r="G15639" i="2"/>
  <c r="H15639" i="2"/>
  <c r="J15639" i="2"/>
  <c r="K15639" i="2"/>
  <c r="L15639" i="2"/>
  <c r="C15640" i="2"/>
  <c r="D15640" i="2"/>
  <c r="F15640" i="2"/>
  <c r="G15640" i="2"/>
  <c r="H15640" i="2"/>
  <c r="J15640" i="2"/>
  <c r="K15640" i="2"/>
  <c r="L15640" i="2"/>
  <c r="C15641" i="2"/>
  <c r="D15641" i="2"/>
  <c r="F15641" i="2"/>
  <c r="G15641" i="2"/>
  <c r="H15641" i="2"/>
  <c r="J15641" i="2"/>
  <c r="K15641" i="2"/>
  <c r="L15641" i="2"/>
  <c r="C15642" i="2"/>
  <c r="D15642" i="2"/>
  <c r="F15642" i="2"/>
  <c r="G15642" i="2"/>
  <c r="H15642" i="2"/>
  <c r="J15642" i="2"/>
  <c r="K15642" i="2"/>
  <c r="L15642" i="2"/>
  <c r="C15643" i="2"/>
  <c r="D15643" i="2"/>
  <c r="F15643" i="2"/>
  <c r="G15643" i="2"/>
  <c r="H15643" i="2"/>
  <c r="J15643" i="2"/>
  <c r="K15643" i="2"/>
  <c r="L15643" i="2"/>
  <c r="C15644" i="2"/>
  <c r="D15644" i="2"/>
  <c r="F15644" i="2"/>
  <c r="G15644" i="2"/>
  <c r="H15644" i="2"/>
  <c r="J15644" i="2"/>
  <c r="K15644" i="2"/>
  <c r="L15644" i="2"/>
  <c r="C15645" i="2"/>
  <c r="D15645" i="2"/>
  <c r="F15645" i="2"/>
  <c r="G15645" i="2"/>
  <c r="H15645" i="2"/>
  <c r="J15645" i="2"/>
  <c r="K15645" i="2"/>
  <c r="L15645" i="2"/>
  <c r="C15646" i="2"/>
  <c r="D15646" i="2"/>
  <c r="F15646" i="2"/>
  <c r="G15646" i="2"/>
  <c r="H15646" i="2"/>
  <c r="J15646" i="2"/>
  <c r="K15646" i="2"/>
  <c r="L15646" i="2"/>
  <c r="C15647" i="2"/>
  <c r="D15647" i="2"/>
  <c r="F15647" i="2"/>
  <c r="G15647" i="2"/>
  <c r="H15647" i="2"/>
  <c r="J15647" i="2"/>
  <c r="K15647" i="2"/>
  <c r="L15647" i="2"/>
  <c r="C15648" i="2"/>
  <c r="D15648" i="2"/>
  <c r="F15648" i="2"/>
  <c r="G15648" i="2"/>
  <c r="H15648" i="2"/>
  <c r="J15648" i="2"/>
  <c r="K15648" i="2"/>
  <c r="L15648" i="2"/>
  <c r="C15649" i="2"/>
  <c r="D15649" i="2"/>
  <c r="F15649" i="2"/>
  <c r="G15649" i="2"/>
  <c r="H15649" i="2"/>
  <c r="J15649" i="2"/>
  <c r="K15649" i="2"/>
  <c r="L15649" i="2"/>
  <c r="C15650" i="2"/>
  <c r="D15650" i="2"/>
  <c r="F15650" i="2"/>
  <c r="G15650" i="2"/>
  <c r="H15650" i="2"/>
  <c r="J15650" i="2"/>
  <c r="K15650" i="2"/>
  <c r="L15650" i="2"/>
  <c r="C15651" i="2"/>
  <c r="D15651" i="2"/>
  <c r="F15651" i="2"/>
  <c r="G15651" i="2"/>
  <c r="H15651" i="2"/>
  <c r="J15651" i="2"/>
  <c r="K15651" i="2"/>
  <c r="L15651" i="2"/>
  <c r="C15652" i="2"/>
  <c r="D15652" i="2"/>
  <c r="F15652" i="2"/>
  <c r="G15652" i="2"/>
  <c r="H15652" i="2"/>
  <c r="J15652" i="2"/>
  <c r="K15652" i="2"/>
  <c r="L15652" i="2"/>
  <c r="C15653" i="2"/>
  <c r="D15653" i="2"/>
  <c r="F15653" i="2"/>
  <c r="G15653" i="2"/>
  <c r="H15653" i="2"/>
  <c r="J15653" i="2"/>
  <c r="K15653" i="2"/>
  <c r="L15653" i="2"/>
  <c r="C15654" i="2"/>
  <c r="D15654" i="2"/>
  <c r="F15654" i="2"/>
  <c r="G15654" i="2"/>
  <c r="H15654" i="2"/>
  <c r="J15654" i="2"/>
  <c r="K15654" i="2"/>
  <c r="L15654" i="2"/>
  <c r="C15655" i="2"/>
  <c r="D15655" i="2"/>
  <c r="F15655" i="2"/>
  <c r="G15655" i="2"/>
  <c r="H15655" i="2"/>
  <c r="J15655" i="2"/>
  <c r="K15655" i="2"/>
  <c r="L15655" i="2"/>
  <c r="C15656" i="2"/>
  <c r="D15656" i="2"/>
  <c r="F15656" i="2"/>
  <c r="G15656" i="2"/>
  <c r="H15656" i="2"/>
  <c r="J15656" i="2"/>
  <c r="K15656" i="2"/>
  <c r="L15656" i="2"/>
  <c r="C15657" i="2"/>
  <c r="D15657" i="2"/>
  <c r="F15657" i="2"/>
  <c r="G15657" i="2"/>
  <c r="H15657" i="2"/>
  <c r="J15657" i="2"/>
  <c r="K15657" i="2"/>
  <c r="L15657" i="2"/>
  <c r="C15658" i="2"/>
  <c r="D15658" i="2"/>
  <c r="F15658" i="2"/>
  <c r="G15658" i="2"/>
  <c r="H15658" i="2"/>
  <c r="J15658" i="2"/>
  <c r="K15658" i="2"/>
  <c r="L15658" i="2"/>
  <c r="C15659" i="2"/>
  <c r="D15659" i="2"/>
  <c r="F15659" i="2"/>
  <c r="G15659" i="2"/>
  <c r="H15659" i="2"/>
  <c r="J15659" i="2"/>
  <c r="K15659" i="2"/>
  <c r="L15659" i="2"/>
  <c r="C15660" i="2"/>
  <c r="D15660" i="2"/>
  <c r="F15660" i="2"/>
  <c r="G15660" i="2"/>
  <c r="H15660" i="2"/>
  <c r="J15660" i="2"/>
  <c r="K15660" i="2"/>
  <c r="L15660" i="2"/>
  <c r="C15661" i="2"/>
  <c r="D15661" i="2"/>
  <c r="F15661" i="2"/>
  <c r="G15661" i="2"/>
  <c r="H15661" i="2"/>
  <c r="J15661" i="2"/>
  <c r="K15661" i="2"/>
  <c r="L15661" i="2"/>
  <c r="C15662" i="2"/>
  <c r="D15662" i="2"/>
  <c r="F15662" i="2"/>
  <c r="G15662" i="2"/>
  <c r="H15662" i="2"/>
  <c r="J15662" i="2"/>
  <c r="K15662" i="2"/>
  <c r="L15662" i="2"/>
  <c r="C15663" i="2"/>
  <c r="D15663" i="2"/>
  <c r="F15663" i="2"/>
  <c r="G15663" i="2"/>
  <c r="H15663" i="2"/>
  <c r="J15663" i="2"/>
  <c r="K15663" i="2"/>
  <c r="L15663" i="2"/>
  <c r="C15664" i="2"/>
  <c r="D15664" i="2"/>
  <c r="F15664" i="2"/>
  <c r="G15664" i="2"/>
  <c r="H15664" i="2"/>
  <c r="J15664" i="2"/>
  <c r="K15664" i="2"/>
  <c r="L15664" i="2"/>
  <c r="C15665" i="2"/>
  <c r="D15665" i="2"/>
  <c r="F15665" i="2"/>
  <c r="G15665" i="2"/>
  <c r="H15665" i="2"/>
  <c r="J15665" i="2"/>
  <c r="K15665" i="2"/>
  <c r="L15665" i="2"/>
  <c r="C15666" i="2"/>
  <c r="D15666" i="2"/>
  <c r="F15666" i="2"/>
  <c r="G15666" i="2"/>
  <c r="H15666" i="2"/>
  <c r="J15666" i="2"/>
  <c r="K15666" i="2"/>
  <c r="L15666" i="2"/>
  <c r="C15667" i="2"/>
  <c r="D15667" i="2"/>
  <c r="F15667" i="2"/>
  <c r="G15667" i="2"/>
  <c r="H15667" i="2"/>
  <c r="J15667" i="2"/>
  <c r="K15667" i="2"/>
  <c r="L15667" i="2"/>
  <c r="C15668" i="2"/>
  <c r="D15668" i="2"/>
  <c r="F15668" i="2"/>
  <c r="G15668" i="2"/>
  <c r="H15668" i="2"/>
  <c r="J15668" i="2"/>
  <c r="K15668" i="2"/>
  <c r="L15668" i="2"/>
  <c r="C15669" i="2"/>
  <c r="D15669" i="2"/>
  <c r="F15669" i="2"/>
  <c r="G15669" i="2"/>
  <c r="H15669" i="2"/>
  <c r="J15669" i="2"/>
  <c r="K15669" i="2"/>
  <c r="L15669" i="2"/>
  <c r="C15670" i="2"/>
  <c r="D15670" i="2"/>
  <c r="F15670" i="2"/>
  <c r="G15670" i="2"/>
  <c r="H15670" i="2"/>
  <c r="J15670" i="2"/>
  <c r="K15670" i="2"/>
  <c r="L15670" i="2"/>
  <c r="C15671" i="2"/>
  <c r="D15671" i="2"/>
  <c r="F15671" i="2"/>
  <c r="G15671" i="2"/>
  <c r="H15671" i="2"/>
  <c r="J15671" i="2"/>
  <c r="K15671" i="2"/>
  <c r="L15671" i="2"/>
  <c r="C15672" i="2"/>
  <c r="D15672" i="2"/>
  <c r="F15672" i="2"/>
  <c r="G15672" i="2"/>
  <c r="H15672" i="2"/>
  <c r="J15672" i="2"/>
  <c r="K15672" i="2"/>
  <c r="L15672" i="2"/>
  <c r="C15673" i="2"/>
  <c r="D15673" i="2"/>
  <c r="F15673" i="2"/>
  <c r="G15673" i="2"/>
  <c r="H15673" i="2"/>
  <c r="J15673" i="2"/>
  <c r="K15673" i="2"/>
  <c r="L15673" i="2"/>
  <c r="C15674" i="2"/>
  <c r="D15674" i="2"/>
  <c r="F15674" i="2"/>
  <c r="G15674" i="2"/>
  <c r="H15674" i="2"/>
  <c r="J15674" i="2"/>
  <c r="K15674" i="2"/>
  <c r="L15674" i="2"/>
  <c r="C15675" i="2"/>
  <c r="D15675" i="2"/>
  <c r="F15675" i="2"/>
  <c r="G15675" i="2"/>
  <c r="H15675" i="2"/>
  <c r="J15675" i="2"/>
  <c r="K15675" i="2"/>
  <c r="L15675" i="2"/>
  <c r="C15676" i="2"/>
  <c r="D15676" i="2"/>
  <c r="F15676" i="2"/>
  <c r="G15676" i="2"/>
  <c r="H15676" i="2"/>
  <c r="J15676" i="2"/>
  <c r="K15676" i="2"/>
  <c r="L15676" i="2"/>
  <c r="C15677" i="2"/>
  <c r="D15677" i="2"/>
  <c r="F15677" i="2"/>
  <c r="G15677" i="2"/>
  <c r="H15677" i="2"/>
  <c r="J15677" i="2"/>
  <c r="K15677" i="2"/>
  <c r="L15677" i="2"/>
  <c r="C15678" i="2"/>
  <c r="D15678" i="2"/>
  <c r="F15678" i="2"/>
  <c r="G15678" i="2"/>
  <c r="H15678" i="2"/>
  <c r="J15678" i="2"/>
  <c r="K15678" i="2"/>
  <c r="L15678" i="2"/>
  <c r="C15679" i="2"/>
  <c r="D15679" i="2"/>
  <c r="F15679" i="2"/>
  <c r="G15679" i="2"/>
  <c r="H15679" i="2"/>
  <c r="J15679" i="2"/>
  <c r="K15679" i="2"/>
  <c r="L15679" i="2"/>
  <c r="C15680" i="2"/>
  <c r="D15680" i="2"/>
  <c r="F15680" i="2"/>
  <c r="G15680" i="2"/>
  <c r="H15680" i="2"/>
  <c r="J15680" i="2"/>
  <c r="K15680" i="2"/>
  <c r="L15680" i="2"/>
  <c r="C15681" i="2"/>
  <c r="D15681" i="2"/>
  <c r="F15681" i="2"/>
  <c r="G15681" i="2"/>
  <c r="H15681" i="2"/>
  <c r="J15681" i="2"/>
  <c r="K15681" i="2"/>
  <c r="L15681" i="2"/>
  <c r="C15682" i="2"/>
  <c r="D15682" i="2"/>
  <c r="F15682" i="2"/>
  <c r="G15682" i="2"/>
  <c r="H15682" i="2"/>
  <c r="J15682" i="2"/>
  <c r="K15682" i="2"/>
  <c r="L15682" i="2"/>
  <c r="C15683" i="2"/>
  <c r="D15683" i="2"/>
  <c r="F15683" i="2"/>
  <c r="G15683" i="2"/>
  <c r="H15683" i="2"/>
  <c r="J15683" i="2"/>
  <c r="K15683" i="2"/>
  <c r="L15683" i="2"/>
  <c r="C15684" i="2"/>
  <c r="D15684" i="2"/>
  <c r="F15684" i="2"/>
  <c r="G15684" i="2"/>
  <c r="H15684" i="2"/>
  <c r="J15684" i="2"/>
  <c r="K15684" i="2"/>
  <c r="L15684" i="2"/>
  <c r="C15685" i="2"/>
  <c r="D15685" i="2"/>
  <c r="F15685" i="2"/>
  <c r="G15685" i="2"/>
  <c r="H15685" i="2"/>
  <c r="J15685" i="2"/>
  <c r="K15685" i="2"/>
  <c r="L15685" i="2"/>
  <c r="C15686" i="2"/>
  <c r="D15686" i="2"/>
  <c r="F15686" i="2"/>
  <c r="G15686" i="2"/>
  <c r="H15686" i="2"/>
  <c r="J15686" i="2"/>
  <c r="K15686" i="2"/>
  <c r="L15686" i="2"/>
  <c r="C15687" i="2"/>
  <c r="D15687" i="2"/>
  <c r="F15687" i="2"/>
  <c r="G15687" i="2"/>
  <c r="H15687" i="2"/>
  <c r="J15687" i="2"/>
  <c r="K15687" i="2"/>
  <c r="L15687" i="2"/>
  <c r="C15688" i="2"/>
  <c r="D15688" i="2"/>
  <c r="F15688" i="2"/>
  <c r="G15688" i="2"/>
  <c r="H15688" i="2"/>
  <c r="J15688" i="2"/>
  <c r="K15688" i="2"/>
  <c r="L15688" i="2"/>
  <c r="C15689" i="2"/>
  <c r="D15689" i="2"/>
  <c r="F15689" i="2"/>
  <c r="G15689" i="2"/>
  <c r="H15689" i="2"/>
  <c r="J15689" i="2"/>
  <c r="K15689" i="2"/>
  <c r="L15689" i="2"/>
  <c r="C15690" i="2"/>
  <c r="D15690" i="2"/>
  <c r="F15690" i="2"/>
  <c r="G15690" i="2"/>
  <c r="H15690" i="2"/>
  <c r="J15690" i="2"/>
  <c r="K15690" i="2"/>
  <c r="L15690" i="2"/>
  <c r="C15691" i="2"/>
  <c r="D15691" i="2"/>
  <c r="F15691" i="2"/>
  <c r="G15691" i="2"/>
  <c r="H15691" i="2"/>
  <c r="J15691" i="2"/>
  <c r="K15691" i="2"/>
  <c r="L15691" i="2"/>
  <c r="C15692" i="2"/>
  <c r="D15692" i="2"/>
  <c r="F15692" i="2"/>
  <c r="G15692" i="2"/>
  <c r="H15692" i="2"/>
  <c r="J15692" i="2"/>
  <c r="K15692" i="2"/>
  <c r="L15692" i="2"/>
  <c r="C15693" i="2"/>
  <c r="D15693" i="2"/>
  <c r="F15693" i="2"/>
  <c r="G15693" i="2"/>
  <c r="H15693" i="2"/>
  <c r="J15693" i="2"/>
  <c r="K15693" i="2"/>
  <c r="L15693" i="2"/>
  <c r="C15694" i="2"/>
  <c r="D15694" i="2"/>
  <c r="F15694" i="2"/>
  <c r="G15694" i="2"/>
  <c r="H15694" i="2"/>
  <c r="J15694" i="2"/>
  <c r="K15694" i="2"/>
  <c r="L15694" i="2"/>
  <c r="C15695" i="2"/>
  <c r="D15695" i="2"/>
  <c r="F15695" i="2"/>
  <c r="G15695" i="2"/>
  <c r="H15695" i="2"/>
  <c r="J15695" i="2"/>
  <c r="K15695" i="2"/>
  <c r="L15695" i="2"/>
  <c r="C15696" i="2"/>
  <c r="D15696" i="2"/>
  <c r="F15696" i="2"/>
  <c r="G15696" i="2"/>
  <c r="H15696" i="2"/>
  <c r="J15696" i="2"/>
  <c r="K15696" i="2"/>
  <c r="L15696" i="2"/>
  <c r="C15697" i="2"/>
  <c r="D15697" i="2"/>
  <c r="F15697" i="2"/>
  <c r="G15697" i="2"/>
  <c r="H15697" i="2"/>
  <c r="J15697" i="2"/>
  <c r="K15697" i="2"/>
  <c r="L15697" i="2"/>
  <c r="C15698" i="2"/>
  <c r="D15698" i="2"/>
  <c r="F15698" i="2"/>
  <c r="G15698" i="2"/>
  <c r="H15698" i="2"/>
  <c r="J15698" i="2"/>
  <c r="K15698" i="2"/>
  <c r="L15698" i="2"/>
  <c r="C15699" i="2"/>
  <c r="D15699" i="2"/>
  <c r="F15699" i="2"/>
  <c r="G15699" i="2"/>
  <c r="H15699" i="2"/>
  <c r="J15699" i="2"/>
  <c r="K15699" i="2"/>
  <c r="L15699" i="2"/>
  <c r="C15700" i="2"/>
  <c r="D15700" i="2"/>
  <c r="F15700" i="2"/>
  <c r="G15700" i="2"/>
  <c r="H15700" i="2"/>
  <c r="J15700" i="2"/>
  <c r="K15700" i="2"/>
  <c r="L15700" i="2"/>
  <c r="C15701" i="2"/>
  <c r="D15701" i="2"/>
  <c r="F15701" i="2"/>
  <c r="G15701" i="2"/>
  <c r="H15701" i="2"/>
  <c r="J15701" i="2"/>
  <c r="K15701" i="2"/>
  <c r="L15701" i="2"/>
  <c r="C15702" i="2"/>
  <c r="D15702" i="2"/>
  <c r="F15702" i="2"/>
  <c r="G15702" i="2"/>
  <c r="H15702" i="2"/>
  <c r="J15702" i="2"/>
  <c r="K15702" i="2"/>
  <c r="L15702" i="2"/>
  <c r="C15703" i="2"/>
  <c r="D15703" i="2"/>
  <c r="F15703" i="2"/>
  <c r="G15703" i="2"/>
  <c r="H15703" i="2"/>
  <c r="J15703" i="2"/>
  <c r="K15703" i="2"/>
  <c r="L15703" i="2"/>
  <c r="C15704" i="2"/>
  <c r="D15704" i="2"/>
  <c r="F15704" i="2"/>
  <c r="G15704" i="2"/>
  <c r="H15704" i="2"/>
  <c r="J15704" i="2"/>
  <c r="K15704" i="2"/>
  <c r="L15704" i="2"/>
  <c r="C15705" i="2"/>
  <c r="D15705" i="2"/>
  <c r="F15705" i="2"/>
  <c r="G15705" i="2"/>
  <c r="H15705" i="2"/>
  <c r="J15705" i="2"/>
  <c r="K15705" i="2"/>
  <c r="L15705" i="2"/>
  <c r="C15706" i="2"/>
  <c r="D15706" i="2"/>
  <c r="F15706" i="2"/>
  <c r="G15706" i="2"/>
  <c r="H15706" i="2"/>
  <c r="J15706" i="2"/>
  <c r="K15706" i="2"/>
  <c r="L15706" i="2"/>
  <c r="C15707" i="2"/>
  <c r="D15707" i="2"/>
  <c r="F15707" i="2"/>
  <c r="G15707" i="2"/>
  <c r="H15707" i="2"/>
  <c r="J15707" i="2"/>
  <c r="K15707" i="2"/>
  <c r="L15707" i="2"/>
  <c r="C15708" i="2"/>
  <c r="D15708" i="2"/>
  <c r="F15708" i="2"/>
  <c r="G15708" i="2"/>
  <c r="H15708" i="2"/>
  <c r="J15708" i="2"/>
  <c r="K15708" i="2"/>
  <c r="L15708" i="2"/>
  <c r="C15709" i="2"/>
  <c r="D15709" i="2"/>
  <c r="F15709" i="2"/>
  <c r="G15709" i="2"/>
  <c r="H15709" i="2"/>
  <c r="J15709" i="2"/>
  <c r="K15709" i="2"/>
  <c r="L15709" i="2"/>
  <c r="C15710" i="2"/>
  <c r="D15710" i="2"/>
  <c r="F15710" i="2"/>
  <c r="G15710" i="2"/>
  <c r="H15710" i="2"/>
  <c r="J15710" i="2"/>
  <c r="K15710" i="2"/>
  <c r="L15710" i="2"/>
  <c r="C15711" i="2"/>
  <c r="D15711" i="2"/>
  <c r="F15711" i="2"/>
  <c r="G15711" i="2"/>
  <c r="H15711" i="2"/>
  <c r="J15711" i="2"/>
  <c r="K15711" i="2"/>
  <c r="L15711" i="2"/>
  <c r="C15712" i="2"/>
  <c r="D15712" i="2"/>
  <c r="F15712" i="2"/>
  <c r="G15712" i="2"/>
  <c r="H15712" i="2"/>
  <c r="J15712" i="2"/>
  <c r="K15712" i="2"/>
  <c r="L15712" i="2"/>
  <c r="C15713" i="2"/>
  <c r="D15713" i="2"/>
  <c r="F15713" i="2"/>
  <c r="G15713" i="2"/>
  <c r="H15713" i="2"/>
  <c r="J15713" i="2"/>
  <c r="K15713" i="2"/>
  <c r="L15713" i="2"/>
  <c r="C15714" i="2"/>
  <c r="D15714" i="2"/>
  <c r="F15714" i="2"/>
  <c r="G15714" i="2"/>
  <c r="H15714" i="2"/>
  <c r="J15714" i="2"/>
  <c r="K15714" i="2"/>
  <c r="L15714" i="2"/>
  <c r="C15715" i="2"/>
  <c r="D15715" i="2"/>
  <c r="F15715" i="2"/>
  <c r="G15715" i="2"/>
  <c r="H15715" i="2"/>
  <c r="J15715" i="2"/>
  <c r="K15715" i="2"/>
  <c r="L15715" i="2"/>
  <c r="C15716" i="2"/>
  <c r="D15716" i="2"/>
  <c r="F15716" i="2"/>
  <c r="G15716" i="2"/>
  <c r="H15716" i="2"/>
  <c r="J15716" i="2"/>
  <c r="K15716" i="2"/>
  <c r="L15716" i="2"/>
  <c r="C15717" i="2"/>
  <c r="D15717" i="2"/>
  <c r="F15717" i="2"/>
  <c r="G15717" i="2"/>
  <c r="H15717" i="2"/>
  <c r="J15717" i="2"/>
  <c r="K15717" i="2"/>
  <c r="L15717" i="2"/>
  <c r="C15718" i="2"/>
  <c r="D15718" i="2"/>
  <c r="F15718" i="2"/>
  <c r="G15718" i="2"/>
  <c r="H15718" i="2"/>
  <c r="J15718" i="2"/>
  <c r="K15718" i="2"/>
  <c r="L15718" i="2"/>
  <c r="C15719" i="2"/>
  <c r="D15719" i="2"/>
  <c r="F15719" i="2"/>
  <c r="G15719" i="2"/>
  <c r="H15719" i="2"/>
  <c r="J15719" i="2"/>
  <c r="K15719" i="2"/>
  <c r="L15719" i="2"/>
  <c r="C15720" i="2"/>
  <c r="D15720" i="2"/>
  <c r="F15720" i="2"/>
  <c r="G15720" i="2"/>
  <c r="H15720" i="2"/>
  <c r="J15720" i="2"/>
  <c r="K15720" i="2"/>
  <c r="L15720" i="2"/>
  <c r="C15721" i="2"/>
  <c r="D15721" i="2"/>
  <c r="F15721" i="2"/>
  <c r="G15721" i="2"/>
  <c r="H15721" i="2"/>
  <c r="J15721" i="2"/>
  <c r="K15721" i="2"/>
  <c r="L15721" i="2"/>
  <c r="C15722" i="2"/>
  <c r="D15722" i="2"/>
  <c r="F15722" i="2"/>
  <c r="G15722" i="2"/>
  <c r="H15722" i="2"/>
  <c r="J15722" i="2"/>
  <c r="K15722" i="2"/>
  <c r="L15722" i="2"/>
  <c r="C15723" i="2"/>
  <c r="D15723" i="2"/>
  <c r="F15723" i="2"/>
  <c r="G15723" i="2"/>
  <c r="H15723" i="2"/>
  <c r="J15723" i="2"/>
  <c r="K15723" i="2"/>
  <c r="L15723" i="2"/>
  <c r="C15724" i="2"/>
  <c r="D15724" i="2"/>
  <c r="F15724" i="2"/>
  <c r="G15724" i="2"/>
  <c r="H15724" i="2"/>
  <c r="J15724" i="2"/>
  <c r="K15724" i="2"/>
  <c r="L15724" i="2"/>
  <c r="C15725" i="2"/>
  <c r="D15725" i="2"/>
  <c r="F15725" i="2"/>
  <c r="G15725" i="2"/>
  <c r="H15725" i="2"/>
  <c r="J15725" i="2"/>
  <c r="K15725" i="2"/>
  <c r="L15725" i="2"/>
  <c r="C15726" i="2"/>
  <c r="D15726" i="2"/>
  <c r="F15726" i="2"/>
  <c r="G15726" i="2"/>
  <c r="H15726" i="2"/>
  <c r="J15726" i="2"/>
  <c r="K15726" i="2"/>
  <c r="L15726" i="2"/>
  <c r="C15727" i="2"/>
  <c r="D15727" i="2"/>
  <c r="F15727" i="2"/>
  <c r="G15727" i="2"/>
  <c r="H15727" i="2"/>
  <c r="J15727" i="2"/>
  <c r="K15727" i="2"/>
  <c r="L15727" i="2"/>
  <c r="C15728" i="2"/>
  <c r="D15728" i="2"/>
  <c r="F15728" i="2"/>
  <c r="G15728" i="2"/>
  <c r="H15728" i="2"/>
  <c r="J15728" i="2"/>
  <c r="K15728" i="2"/>
  <c r="L15728" i="2"/>
  <c r="C15729" i="2"/>
  <c r="D15729" i="2"/>
  <c r="F15729" i="2"/>
  <c r="G15729" i="2"/>
  <c r="H15729" i="2"/>
  <c r="J15729" i="2"/>
  <c r="K15729" i="2"/>
  <c r="L15729" i="2"/>
  <c r="C15730" i="2"/>
  <c r="D15730" i="2"/>
  <c r="F15730" i="2"/>
  <c r="G15730" i="2"/>
  <c r="H15730" i="2"/>
  <c r="J15730" i="2"/>
  <c r="K15730" i="2"/>
  <c r="L15730" i="2"/>
  <c r="C15731" i="2"/>
  <c r="D15731" i="2"/>
  <c r="F15731" i="2"/>
  <c r="G15731" i="2"/>
  <c r="H15731" i="2"/>
  <c r="J15731" i="2"/>
  <c r="K15731" i="2"/>
  <c r="L15731" i="2"/>
  <c r="C15732" i="2"/>
  <c r="D15732" i="2"/>
  <c r="F15732" i="2"/>
  <c r="G15732" i="2"/>
  <c r="H15732" i="2"/>
  <c r="J15732" i="2"/>
  <c r="K15732" i="2"/>
  <c r="L15732" i="2"/>
  <c r="C15733" i="2"/>
  <c r="D15733" i="2"/>
  <c r="F15733" i="2"/>
  <c r="G15733" i="2"/>
  <c r="H15733" i="2"/>
  <c r="J15733" i="2"/>
  <c r="K15733" i="2"/>
  <c r="L15733" i="2"/>
  <c r="C15734" i="2"/>
  <c r="D15734" i="2"/>
  <c r="F15734" i="2"/>
  <c r="G15734" i="2"/>
  <c r="H15734" i="2"/>
  <c r="J15734" i="2"/>
  <c r="K15734" i="2"/>
  <c r="L15734" i="2"/>
  <c r="C15735" i="2"/>
  <c r="D15735" i="2"/>
  <c r="F15735" i="2"/>
  <c r="G15735" i="2"/>
  <c r="H15735" i="2"/>
  <c r="J15735" i="2"/>
  <c r="K15735" i="2"/>
  <c r="L15735" i="2"/>
  <c r="C15736" i="2"/>
  <c r="D15736" i="2"/>
  <c r="F15736" i="2"/>
  <c r="G15736" i="2"/>
  <c r="H15736" i="2"/>
  <c r="J15736" i="2"/>
  <c r="K15736" i="2"/>
  <c r="L15736" i="2"/>
  <c r="C15737" i="2"/>
  <c r="D15737" i="2"/>
  <c r="F15737" i="2"/>
  <c r="G15737" i="2"/>
  <c r="H15737" i="2"/>
  <c r="J15737" i="2"/>
  <c r="K15737" i="2"/>
  <c r="L15737" i="2"/>
  <c r="C15738" i="2"/>
  <c r="D15738" i="2"/>
  <c r="F15738" i="2"/>
  <c r="G15738" i="2"/>
  <c r="H15738" i="2"/>
  <c r="J15738" i="2"/>
  <c r="K15738" i="2"/>
  <c r="L15738" i="2"/>
  <c r="C15739" i="2"/>
  <c r="D15739" i="2"/>
  <c r="F15739" i="2"/>
  <c r="G15739" i="2"/>
  <c r="H15739" i="2"/>
  <c r="J15739" i="2"/>
  <c r="K15739" i="2"/>
  <c r="L15739" i="2"/>
  <c r="C15740" i="2"/>
  <c r="D15740" i="2"/>
  <c r="F15740" i="2"/>
  <c r="G15740" i="2"/>
  <c r="H15740" i="2"/>
  <c r="J15740" i="2"/>
  <c r="K15740" i="2"/>
  <c r="L15740" i="2"/>
  <c r="C15741" i="2"/>
  <c r="D15741" i="2"/>
  <c r="F15741" i="2"/>
  <c r="G15741" i="2"/>
  <c r="H15741" i="2"/>
  <c r="J15741" i="2"/>
  <c r="K15741" i="2"/>
  <c r="L15741" i="2"/>
  <c r="C15742" i="2"/>
  <c r="D15742" i="2"/>
  <c r="F15742" i="2"/>
  <c r="G15742" i="2"/>
  <c r="H15742" i="2"/>
  <c r="J15742" i="2"/>
  <c r="K15742" i="2"/>
  <c r="L15742" i="2"/>
  <c r="C15743" i="2"/>
  <c r="D15743" i="2"/>
  <c r="F15743" i="2"/>
  <c r="G15743" i="2"/>
  <c r="H15743" i="2"/>
  <c r="J15743" i="2"/>
  <c r="K15743" i="2"/>
  <c r="L15743" i="2"/>
  <c r="C15744" i="2"/>
  <c r="D15744" i="2"/>
  <c r="F15744" i="2"/>
  <c r="G15744" i="2"/>
  <c r="H15744" i="2"/>
  <c r="J15744" i="2"/>
  <c r="K15744" i="2"/>
  <c r="L15744" i="2"/>
  <c r="C15745" i="2"/>
  <c r="D15745" i="2"/>
  <c r="F15745" i="2"/>
  <c r="G15745" i="2"/>
  <c r="H15745" i="2"/>
  <c r="J15745" i="2"/>
  <c r="K15745" i="2"/>
  <c r="L15745" i="2"/>
  <c r="C15746" i="2"/>
  <c r="D15746" i="2"/>
  <c r="F15746" i="2"/>
  <c r="G15746" i="2"/>
  <c r="H15746" i="2"/>
  <c r="J15746" i="2"/>
  <c r="K15746" i="2"/>
  <c r="L15746" i="2"/>
  <c r="C15747" i="2"/>
  <c r="D15747" i="2"/>
  <c r="F15747" i="2"/>
  <c r="G15747" i="2"/>
  <c r="H15747" i="2"/>
  <c r="J15747" i="2"/>
  <c r="K15747" i="2"/>
  <c r="L15747" i="2"/>
  <c r="C15748" i="2"/>
  <c r="D15748" i="2"/>
  <c r="F15748" i="2"/>
  <c r="G15748" i="2"/>
  <c r="H15748" i="2"/>
  <c r="J15748" i="2"/>
  <c r="K15748" i="2"/>
  <c r="L15748" i="2"/>
  <c r="C15749" i="2"/>
  <c r="D15749" i="2"/>
  <c r="F15749" i="2"/>
  <c r="G15749" i="2"/>
  <c r="H15749" i="2"/>
  <c r="J15749" i="2"/>
  <c r="K15749" i="2"/>
  <c r="L15749" i="2"/>
  <c r="C15750" i="2"/>
  <c r="D15750" i="2"/>
  <c r="F15750" i="2"/>
  <c r="G15750" i="2"/>
  <c r="H15750" i="2"/>
  <c r="J15750" i="2"/>
  <c r="K15750" i="2"/>
  <c r="L15750" i="2"/>
  <c r="C15751" i="2"/>
  <c r="D15751" i="2"/>
  <c r="F15751" i="2"/>
  <c r="G15751" i="2"/>
  <c r="H15751" i="2"/>
  <c r="J15751" i="2"/>
  <c r="K15751" i="2"/>
  <c r="L15751" i="2"/>
  <c r="C15752" i="2"/>
  <c r="D15752" i="2"/>
  <c r="F15752" i="2"/>
  <c r="G15752" i="2"/>
  <c r="H15752" i="2"/>
  <c r="J15752" i="2"/>
  <c r="K15752" i="2"/>
  <c r="L15752" i="2"/>
  <c r="C15753" i="2"/>
  <c r="D15753" i="2"/>
  <c r="F15753" i="2"/>
  <c r="G15753" i="2"/>
  <c r="H15753" i="2"/>
  <c r="J15753" i="2"/>
  <c r="K15753" i="2"/>
  <c r="L15753" i="2"/>
  <c r="C15754" i="2"/>
  <c r="D15754" i="2"/>
  <c r="F15754" i="2"/>
  <c r="G15754" i="2"/>
  <c r="H15754" i="2"/>
  <c r="J15754" i="2"/>
  <c r="K15754" i="2"/>
  <c r="L15754" i="2"/>
  <c r="C15755" i="2"/>
  <c r="D15755" i="2"/>
  <c r="F15755" i="2"/>
  <c r="G15755" i="2"/>
  <c r="H15755" i="2"/>
  <c r="J15755" i="2"/>
  <c r="K15755" i="2"/>
  <c r="L15755" i="2"/>
  <c r="C15756" i="2"/>
  <c r="D15756" i="2"/>
  <c r="F15756" i="2"/>
  <c r="G15756" i="2"/>
  <c r="H15756" i="2"/>
  <c r="J15756" i="2"/>
  <c r="K15756" i="2"/>
  <c r="L15756" i="2"/>
  <c r="C15757" i="2"/>
  <c r="D15757" i="2"/>
  <c r="F15757" i="2"/>
  <c r="G15757" i="2"/>
  <c r="H15757" i="2"/>
  <c r="J15757" i="2"/>
  <c r="K15757" i="2"/>
  <c r="L15757" i="2"/>
  <c r="C15758" i="2"/>
  <c r="D15758" i="2"/>
  <c r="F15758" i="2"/>
  <c r="G15758" i="2"/>
  <c r="H15758" i="2"/>
  <c r="J15758" i="2"/>
  <c r="K15758" i="2"/>
  <c r="L15758" i="2"/>
  <c r="C15759" i="2"/>
  <c r="D15759" i="2"/>
  <c r="F15759" i="2"/>
  <c r="G15759" i="2"/>
  <c r="H15759" i="2"/>
  <c r="J15759" i="2"/>
  <c r="K15759" i="2"/>
  <c r="L15759" i="2"/>
  <c r="C15760" i="2"/>
  <c r="D15760" i="2"/>
  <c r="F15760" i="2"/>
  <c r="G15760" i="2"/>
  <c r="H15760" i="2"/>
  <c r="J15760" i="2"/>
  <c r="K15760" i="2"/>
  <c r="L15760" i="2"/>
  <c r="C15761" i="2"/>
  <c r="D15761" i="2"/>
  <c r="F15761" i="2"/>
  <c r="G15761" i="2"/>
  <c r="H15761" i="2"/>
  <c r="J15761" i="2"/>
  <c r="K15761" i="2"/>
  <c r="L15761" i="2"/>
  <c r="C15762" i="2"/>
  <c r="D15762" i="2"/>
  <c r="F15762" i="2"/>
  <c r="G15762" i="2"/>
  <c r="H15762" i="2"/>
  <c r="J15762" i="2"/>
  <c r="K15762" i="2"/>
  <c r="L15762" i="2"/>
  <c r="C15763" i="2"/>
  <c r="D15763" i="2"/>
  <c r="F15763" i="2"/>
  <c r="G15763" i="2"/>
  <c r="H15763" i="2"/>
  <c r="J15763" i="2"/>
  <c r="K15763" i="2"/>
  <c r="L15763" i="2"/>
  <c r="C15764" i="2"/>
  <c r="D15764" i="2"/>
  <c r="F15764" i="2"/>
  <c r="G15764" i="2"/>
  <c r="H15764" i="2"/>
  <c r="J15764" i="2"/>
  <c r="K15764" i="2"/>
  <c r="L15764" i="2"/>
  <c r="C15765" i="2"/>
  <c r="D15765" i="2"/>
  <c r="F15765" i="2"/>
  <c r="G15765" i="2"/>
  <c r="H15765" i="2"/>
  <c r="J15765" i="2"/>
  <c r="K15765" i="2"/>
  <c r="L15765" i="2"/>
  <c r="C15766" i="2"/>
  <c r="D15766" i="2"/>
  <c r="E15766" i="2"/>
  <c r="F15766" i="2"/>
  <c r="G15766" i="2"/>
  <c r="H15766" i="2"/>
  <c r="J15766" i="2"/>
  <c r="K15766" i="2"/>
  <c r="L15766" i="2"/>
  <c r="C15767" i="2"/>
  <c r="D15767" i="2"/>
  <c r="F15767" i="2"/>
  <c r="G15767" i="2"/>
  <c r="H15767" i="2"/>
  <c r="J15767" i="2"/>
  <c r="K15767" i="2"/>
  <c r="L15767" i="2"/>
  <c r="C15768" i="2"/>
  <c r="D15768" i="2"/>
  <c r="F15768" i="2"/>
  <c r="G15768" i="2"/>
  <c r="H15768" i="2"/>
  <c r="J15768" i="2"/>
  <c r="K15768" i="2"/>
  <c r="L15768" i="2"/>
  <c r="C15769" i="2"/>
  <c r="D15769" i="2"/>
  <c r="F15769" i="2"/>
  <c r="G15769" i="2"/>
  <c r="H15769" i="2"/>
  <c r="J15769" i="2"/>
  <c r="K15769" i="2"/>
  <c r="L15769" i="2"/>
  <c r="C15770" i="2"/>
  <c r="D15770" i="2"/>
  <c r="F15770" i="2"/>
  <c r="G15770" i="2"/>
  <c r="H15770" i="2"/>
  <c r="J15770" i="2"/>
  <c r="K15770" i="2"/>
  <c r="L15770" i="2"/>
  <c r="C15771" i="2"/>
  <c r="D15771" i="2"/>
  <c r="F15771" i="2"/>
  <c r="G15771" i="2"/>
  <c r="H15771" i="2"/>
  <c r="J15771" i="2"/>
  <c r="K15771" i="2"/>
  <c r="L15771" i="2"/>
  <c r="C15772" i="2"/>
  <c r="D15772" i="2"/>
  <c r="F15772" i="2"/>
  <c r="G15772" i="2"/>
  <c r="H15772" i="2"/>
  <c r="J15772" i="2"/>
  <c r="K15772" i="2"/>
  <c r="L15772" i="2"/>
  <c r="C15773" i="2"/>
  <c r="D15773" i="2"/>
  <c r="F15773" i="2"/>
  <c r="G15773" i="2"/>
  <c r="H15773" i="2"/>
  <c r="J15773" i="2"/>
  <c r="K15773" i="2"/>
  <c r="L15773" i="2"/>
  <c r="C15774" i="2"/>
  <c r="D15774" i="2"/>
  <c r="F15774" i="2"/>
  <c r="G15774" i="2"/>
  <c r="H15774" i="2"/>
  <c r="J15774" i="2"/>
  <c r="K15774" i="2"/>
  <c r="L15774" i="2"/>
  <c r="C15775" i="2"/>
  <c r="D15775" i="2"/>
  <c r="F15775" i="2"/>
  <c r="G15775" i="2"/>
  <c r="H15775" i="2"/>
  <c r="J15775" i="2"/>
  <c r="K15775" i="2"/>
  <c r="L15775" i="2"/>
  <c r="C15776" i="2"/>
  <c r="D15776" i="2"/>
  <c r="F15776" i="2"/>
  <c r="G15776" i="2"/>
  <c r="H15776" i="2"/>
  <c r="J15776" i="2"/>
  <c r="K15776" i="2"/>
  <c r="L15776" i="2"/>
  <c r="C15777" i="2"/>
  <c r="D15777" i="2"/>
  <c r="F15777" i="2"/>
  <c r="G15777" i="2"/>
  <c r="H15777" i="2"/>
  <c r="J15777" i="2"/>
  <c r="K15777" i="2"/>
  <c r="L15777" i="2"/>
  <c r="C15778" i="2"/>
  <c r="D15778" i="2"/>
  <c r="F15778" i="2"/>
  <c r="G15778" i="2"/>
  <c r="H15778" i="2"/>
  <c r="J15778" i="2"/>
  <c r="K15778" i="2"/>
  <c r="L15778" i="2"/>
  <c r="C15779" i="2"/>
  <c r="D15779" i="2"/>
  <c r="F15779" i="2"/>
  <c r="G15779" i="2"/>
  <c r="H15779" i="2"/>
  <c r="J15779" i="2"/>
  <c r="K15779" i="2"/>
  <c r="L15779" i="2"/>
  <c r="C15780" i="2"/>
  <c r="D15780" i="2"/>
  <c r="F15780" i="2"/>
  <c r="G15780" i="2"/>
  <c r="H15780" i="2"/>
  <c r="J15780" i="2"/>
  <c r="K15780" i="2"/>
  <c r="L15780" i="2"/>
  <c r="C15781" i="2"/>
  <c r="D15781" i="2"/>
  <c r="F15781" i="2"/>
  <c r="G15781" i="2"/>
  <c r="H15781" i="2"/>
  <c r="J15781" i="2"/>
  <c r="K15781" i="2"/>
  <c r="L15781" i="2"/>
  <c r="C15782" i="2"/>
  <c r="D15782" i="2"/>
  <c r="F15782" i="2"/>
  <c r="G15782" i="2"/>
  <c r="H15782" i="2"/>
  <c r="J15782" i="2"/>
  <c r="K15782" i="2"/>
  <c r="L15782" i="2"/>
  <c r="C15783" i="2"/>
  <c r="D15783" i="2"/>
  <c r="F15783" i="2"/>
  <c r="G15783" i="2"/>
  <c r="H15783" i="2"/>
  <c r="J15783" i="2"/>
  <c r="K15783" i="2"/>
  <c r="L15783" i="2"/>
  <c r="C15784" i="2"/>
  <c r="D15784" i="2"/>
  <c r="F15784" i="2"/>
  <c r="G15784" i="2"/>
  <c r="H15784" i="2"/>
  <c r="J15784" i="2"/>
  <c r="K15784" i="2"/>
  <c r="L15784" i="2"/>
  <c r="C15785" i="2"/>
  <c r="D15785" i="2"/>
  <c r="F15785" i="2"/>
  <c r="G15785" i="2"/>
  <c r="H15785" i="2"/>
  <c r="J15785" i="2"/>
  <c r="K15785" i="2"/>
  <c r="L15785" i="2"/>
  <c r="C15786" i="2"/>
  <c r="D15786" i="2"/>
  <c r="F15786" i="2"/>
  <c r="G15786" i="2"/>
  <c r="H15786" i="2"/>
  <c r="J15786" i="2"/>
  <c r="K15786" i="2"/>
  <c r="L15786" i="2"/>
  <c r="C15787" i="2"/>
  <c r="D15787" i="2"/>
  <c r="F15787" i="2"/>
  <c r="G15787" i="2"/>
  <c r="H15787" i="2"/>
  <c r="J15787" i="2"/>
  <c r="K15787" i="2"/>
  <c r="L15787" i="2"/>
  <c r="C15788" i="2"/>
  <c r="D15788" i="2"/>
  <c r="F15788" i="2"/>
  <c r="G15788" i="2"/>
  <c r="H15788" i="2"/>
  <c r="J15788" i="2"/>
  <c r="K15788" i="2"/>
  <c r="L15788" i="2"/>
  <c r="C15789" i="2"/>
  <c r="D15789" i="2"/>
  <c r="F15789" i="2"/>
  <c r="G15789" i="2"/>
  <c r="H15789" i="2"/>
  <c r="J15789" i="2"/>
  <c r="K15789" i="2"/>
  <c r="L15789" i="2"/>
  <c r="C15790" i="2"/>
  <c r="D15790" i="2"/>
  <c r="F15790" i="2"/>
  <c r="G15790" i="2"/>
  <c r="H15790" i="2"/>
  <c r="J15790" i="2"/>
  <c r="K15790" i="2"/>
  <c r="L15790" i="2"/>
  <c r="C15791" i="2"/>
  <c r="D15791" i="2"/>
  <c r="F15791" i="2"/>
  <c r="G15791" i="2"/>
  <c r="H15791" i="2"/>
  <c r="J15791" i="2"/>
  <c r="K15791" i="2"/>
  <c r="L15791" i="2"/>
  <c r="C15792" i="2"/>
  <c r="D15792" i="2"/>
  <c r="F15792" i="2"/>
  <c r="G15792" i="2"/>
  <c r="H15792" i="2"/>
  <c r="J15792" i="2"/>
  <c r="K15792" i="2"/>
  <c r="L15792" i="2"/>
  <c r="C15793" i="2"/>
  <c r="D15793" i="2"/>
  <c r="F15793" i="2"/>
  <c r="G15793" i="2"/>
  <c r="H15793" i="2"/>
  <c r="J15793" i="2"/>
  <c r="K15793" i="2"/>
  <c r="L15793" i="2"/>
  <c r="C15794" i="2"/>
  <c r="D15794" i="2"/>
  <c r="F15794" i="2"/>
  <c r="G15794" i="2"/>
  <c r="H15794" i="2"/>
  <c r="J15794" i="2"/>
  <c r="K15794" i="2"/>
  <c r="L15794" i="2"/>
  <c r="C15795" i="2"/>
  <c r="D15795" i="2"/>
  <c r="F15795" i="2"/>
  <c r="G15795" i="2"/>
  <c r="H15795" i="2"/>
  <c r="J15795" i="2"/>
  <c r="K15795" i="2"/>
  <c r="L15795" i="2"/>
  <c r="C15796" i="2"/>
  <c r="D15796" i="2"/>
  <c r="F15796" i="2"/>
  <c r="G15796" i="2"/>
  <c r="H15796" i="2"/>
  <c r="J15796" i="2"/>
  <c r="K15796" i="2"/>
  <c r="L15796" i="2"/>
  <c r="C15797" i="2"/>
  <c r="D15797" i="2"/>
  <c r="F15797" i="2"/>
  <c r="G15797" i="2"/>
  <c r="H15797" i="2"/>
  <c r="J15797" i="2"/>
  <c r="K15797" i="2"/>
  <c r="L15797" i="2"/>
  <c r="C15798" i="2"/>
  <c r="D15798" i="2"/>
  <c r="F15798" i="2"/>
  <c r="G15798" i="2"/>
  <c r="H15798" i="2"/>
  <c r="J15798" i="2"/>
  <c r="K15798" i="2"/>
  <c r="L15798" i="2"/>
  <c r="C15799" i="2"/>
  <c r="D15799" i="2"/>
  <c r="F15799" i="2"/>
  <c r="G15799" i="2"/>
  <c r="H15799" i="2"/>
  <c r="J15799" i="2"/>
  <c r="K15799" i="2"/>
  <c r="L15799" i="2"/>
  <c r="C15800" i="2"/>
  <c r="D15800" i="2"/>
  <c r="F15800" i="2"/>
  <c r="G15800" i="2"/>
  <c r="H15800" i="2"/>
  <c r="J15800" i="2"/>
  <c r="K15800" i="2"/>
  <c r="L15800" i="2"/>
  <c r="C15801" i="2"/>
  <c r="D15801" i="2"/>
  <c r="F15801" i="2"/>
  <c r="G15801" i="2"/>
  <c r="H15801" i="2"/>
  <c r="J15801" i="2"/>
  <c r="K15801" i="2"/>
  <c r="L15801" i="2"/>
  <c r="C15802" i="2"/>
  <c r="D15802" i="2"/>
  <c r="F15802" i="2"/>
  <c r="G15802" i="2"/>
  <c r="H15802" i="2"/>
  <c r="J15802" i="2"/>
  <c r="K15802" i="2"/>
  <c r="L15802" i="2"/>
  <c r="C15803" i="2"/>
  <c r="D15803" i="2"/>
  <c r="F15803" i="2"/>
  <c r="G15803" i="2"/>
  <c r="H15803" i="2"/>
  <c r="J15803" i="2"/>
  <c r="K15803" i="2"/>
  <c r="L15803" i="2"/>
  <c r="C15804" i="2"/>
  <c r="D15804" i="2"/>
  <c r="F15804" i="2"/>
  <c r="G15804" i="2"/>
  <c r="H15804" i="2"/>
  <c r="J15804" i="2"/>
  <c r="K15804" i="2"/>
  <c r="L15804" i="2"/>
  <c r="C15805" i="2"/>
  <c r="D15805" i="2"/>
  <c r="F15805" i="2"/>
  <c r="G15805" i="2"/>
  <c r="H15805" i="2"/>
  <c r="J15805" i="2"/>
  <c r="K15805" i="2"/>
  <c r="L15805" i="2"/>
  <c r="C15806" i="2"/>
  <c r="D15806" i="2"/>
  <c r="F15806" i="2"/>
  <c r="G15806" i="2"/>
  <c r="H15806" i="2"/>
  <c r="J15806" i="2"/>
  <c r="K15806" i="2"/>
  <c r="L15806" i="2"/>
  <c r="C15807" i="2"/>
  <c r="D15807" i="2"/>
  <c r="F15807" i="2"/>
  <c r="G15807" i="2"/>
  <c r="H15807" i="2"/>
  <c r="J15807" i="2"/>
  <c r="K15807" i="2"/>
  <c r="L15807" i="2"/>
  <c r="C15808" i="2"/>
  <c r="D15808" i="2"/>
  <c r="F15808" i="2"/>
  <c r="G15808" i="2"/>
  <c r="H15808" i="2"/>
  <c r="J15808" i="2"/>
  <c r="K15808" i="2"/>
  <c r="L15808" i="2"/>
  <c r="C15809" i="2"/>
  <c r="D15809" i="2"/>
  <c r="F15809" i="2"/>
  <c r="G15809" i="2"/>
  <c r="H15809" i="2"/>
  <c r="J15809" i="2"/>
  <c r="K15809" i="2"/>
  <c r="L15809" i="2"/>
  <c r="C15810" i="2"/>
  <c r="D15810" i="2"/>
  <c r="F15810" i="2"/>
  <c r="G15810" i="2"/>
  <c r="H15810" i="2"/>
  <c r="J15810" i="2"/>
  <c r="K15810" i="2"/>
  <c r="L15810" i="2"/>
  <c r="C15811" i="2"/>
  <c r="D15811" i="2"/>
  <c r="E15811" i="2"/>
  <c r="F15811" i="2"/>
  <c r="G15811" i="2"/>
  <c r="H15811" i="2"/>
  <c r="J15811" i="2"/>
  <c r="K15811" i="2"/>
  <c r="L15811" i="2"/>
  <c r="C15812" i="2"/>
  <c r="D15812" i="2"/>
  <c r="F15812" i="2"/>
  <c r="G15812" i="2"/>
  <c r="H15812" i="2"/>
  <c r="J15812" i="2"/>
  <c r="K15812" i="2"/>
  <c r="L15812" i="2"/>
  <c r="C15813" i="2"/>
  <c r="D15813" i="2"/>
  <c r="F15813" i="2"/>
  <c r="G15813" i="2"/>
  <c r="H15813" i="2"/>
  <c r="J15813" i="2"/>
  <c r="K15813" i="2"/>
  <c r="L15813" i="2"/>
  <c r="C15814" i="2"/>
  <c r="D15814" i="2"/>
  <c r="F15814" i="2"/>
  <c r="G15814" i="2"/>
  <c r="H15814" i="2"/>
  <c r="J15814" i="2"/>
  <c r="K15814" i="2"/>
  <c r="L15814" i="2"/>
  <c r="C15815" i="2"/>
  <c r="D15815" i="2"/>
  <c r="F15815" i="2"/>
  <c r="G15815" i="2"/>
  <c r="H15815" i="2"/>
  <c r="J15815" i="2"/>
  <c r="K15815" i="2"/>
  <c r="L15815" i="2"/>
  <c r="C15816" i="2"/>
  <c r="D15816" i="2"/>
  <c r="F15816" i="2"/>
  <c r="G15816" i="2"/>
  <c r="H15816" i="2"/>
  <c r="J15816" i="2"/>
  <c r="K15816" i="2"/>
  <c r="L15816" i="2"/>
  <c r="C15817" i="2"/>
  <c r="D15817" i="2"/>
  <c r="F15817" i="2"/>
  <c r="G15817" i="2"/>
  <c r="H15817" i="2"/>
  <c r="J15817" i="2"/>
  <c r="K15817" i="2"/>
  <c r="L15817" i="2"/>
  <c r="C15818" i="2"/>
  <c r="D15818" i="2"/>
  <c r="F15818" i="2"/>
  <c r="G15818" i="2"/>
  <c r="H15818" i="2"/>
  <c r="J15818" i="2"/>
  <c r="K15818" i="2"/>
  <c r="L15818" i="2"/>
  <c r="C15819" i="2"/>
  <c r="D15819" i="2"/>
  <c r="F15819" i="2"/>
  <c r="G15819" i="2"/>
  <c r="H15819" i="2"/>
  <c r="J15819" i="2"/>
  <c r="K15819" i="2"/>
  <c r="L15819" i="2"/>
  <c r="C15820" i="2"/>
  <c r="D15820" i="2"/>
  <c r="F15820" i="2"/>
  <c r="G15820" i="2"/>
  <c r="H15820" i="2"/>
  <c r="J15820" i="2"/>
  <c r="K15820" i="2"/>
  <c r="L15820" i="2"/>
  <c r="C15821" i="2"/>
  <c r="D15821" i="2"/>
  <c r="F15821" i="2"/>
  <c r="G15821" i="2"/>
  <c r="H15821" i="2"/>
  <c r="J15821" i="2"/>
  <c r="K15821" i="2"/>
  <c r="L15821" i="2"/>
  <c r="C15822" i="2"/>
  <c r="D15822" i="2"/>
  <c r="F15822" i="2"/>
  <c r="G15822" i="2"/>
  <c r="H15822" i="2"/>
  <c r="J15822" i="2"/>
  <c r="K15822" i="2"/>
  <c r="L15822" i="2"/>
  <c r="C15823" i="2"/>
  <c r="D15823" i="2"/>
  <c r="F15823" i="2"/>
  <c r="G15823" i="2"/>
  <c r="H15823" i="2"/>
  <c r="J15823" i="2"/>
  <c r="K15823" i="2"/>
  <c r="L15823" i="2"/>
  <c r="C15824" i="2"/>
  <c r="D15824" i="2"/>
  <c r="F15824" i="2"/>
  <c r="G15824" i="2"/>
  <c r="H15824" i="2"/>
  <c r="J15824" i="2"/>
  <c r="K15824" i="2"/>
  <c r="L15824" i="2"/>
  <c r="C15825" i="2"/>
  <c r="D15825" i="2"/>
  <c r="F15825" i="2"/>
  <c r="G15825" i="2"/>
  <c r="H15825" i="2"/>
  <c r="J15825" i="2"/>
  <c r="K15825" i="2"/>
  <c r="L15825" i="2"/>
  <c r="C15826" i="2"/>
  <c r="D15826" i="2"/>
  <c r="F15826" i="2"/>
  <c r="G15826" i="2"/>
  <c r="H15826" i="2"/>
  <c r="J15826" i="2"/>
  <c r="K15826" i="2"/>
  <c r="L15826" i="2"/>
  <c r="C15827" i="2"/>
  <c r="D15827" i="2"/>
  <c r="F15827" i="2"/>
  <c r="G15827" i="2"/>
  <c r="H15827" i="2"/>
  <c r="J15827" i="2"/>
  <c r="K15827" i="2"/>
  <c r="L15827" i="2"/>
  <c r="C15828" i="2"/>
  <c r="D15828" i="2"/>
  <c r="F15828" i="2"/>
  <c r="G15828" i="2"/>
  <c r="H15828" i="2"/>
  <c r="J15828" i="2"/>
  <c r="K15828" i="2"/>
  <c r="L15828" i="2"/>
  <c r="C15829" i="2"/>
  <c r="D15829" i="2"/>
  <c r="F15829" i="2"/>
  <c r="G15829" i="2"/>
  <c r="H15829" i="2"/>
  <c r="J15829" i="2"/>
  <c r="K15829" i="2"/>
  <c r="L15829" i="2"/>
  <c r="C15830" i="2"/>
  <c r="D15830" i="2"/>
  <c r="F15830" i="2"/>
  <c r="G15830" i="2"/>
  <c r="H15830" i="2"/>
  <c r="J15830" i="2"/>
  <c r="K15830" i="2"/>
  <c r="L15830" i="2"/>
  <c r="C15831" i="2"/>
  <c r="D15831" i="2"/>
  <c r="F15831" i="2"/>
  <c r="G15831" i="2"/>
  <c r="H15831" i="2"/>
  <c r="J15831" i="2"/>
  <c r="K15831" i="2"/>
  <c r="L15831" i="2"/>
  <c r="C15832" i="2"/>
  <c r="D15832" i="2"/>
  <c r="F15832" i="2"/>
  <c r="G15832" i="2"/>
  <c r="H15832" i="2"/>
  <c r="J15832" i="2"/>
  <c r="K15832" i="2"/>
  <c r="L15832" i="2"/>
  <c r="C15833" i="2"/>
  <c r="D15833" i="2"/>
  <c r="F15833" i="2"/>
  <c r="G15833" i="2"/>
  <c r="H15833" i="2"/>
  <c r="J15833" i="2"/>
  <c r="K15833" i="2"/>
  <c r="L15833" i="2"/>
  <c r="C15834" i="2"/>
  <c r="D15834" i="2"/>
  <c r="F15834" i="2"/>
  <c r="G15834" i="2"/>
  <c r="H15834" i="2"/>
  <c r="J15834" i="2"/>
  <c r="K15834" i="2"/>
  <c r="L15834" i="2"/>
  <c r="C15835" i="2"/>
  <c r="D15835" i="2"/>
  <c r="F15835" i="2"/>
  <c r="G15835" i="2"/>
  <c r="H15835" i="2"/>
  <c r="J15835" i="2"/>
  <c r="K15835" i="2"/>
  <c r="L15835" i="2"/>
  <c r="C15836" i="2"/>
  <c r="D15836" i="2"/>
  <c r="F15836" i="2"/>
  <c r="G15836" i="2"/>
  <c r="H15836" i="2"/>
  <c r="J15836" i="2"/>
  <c r="K15836" i="2"/>
  <c r="L15836" i="2"/>
  <c r="C15837" i="2"/>
  <c r="D15837" i="2"/>
  <c r="F15837" i="2"/>
  <c r="G15837" i="2"/>
  <c r="H15837" i="2"/>
  <c r="J15837" i="2"/>
  <c r="K15837" i="2"/>
  <c r="L15837" i="2"/>
  <c r="C15838" i="2"/>
  <c r="D15838" i="2"/>
  <c r="F15838" i="2"/>
  <c r="G15838" i="2"/>
  <c r="H15838" i="2"/>
  <c r="J15838" i="2"/>
  <c r="K15838" i="2"/>
  <c r="L15838" i="2"/>
  <c r="C15839" i="2"/>
  <c r="D15839" i="2"/>
  <c r="F15839" i="2"/>
  <c r="G15839" i="2"/>
  <c r="H15839" i="2"/>
  <c r="J15839" i="2"/>
  <c r="K15839" i="2"/>
  <c r="L15839" i="2"/>
  <c r="C15840" i="2"/>
  <c r="D15840" i="2"/>
  <c r="F15840" i="2"/>
  <c r="G15840" i="2"/>
  <c r="H15840" i="2"/>
  <c r="J15840" i="2"/>
  <c r="K15840" i="2"/>
  <c r="L15840" i="2"/>
  <c r="C15841" i="2"/>
  <c r="D15841" i="2"/>
  <c r="F15841" i="2"/>
  <c r="G15841" i="2"/>
  <c r="H15841" i="2"/>
  <c r="J15841" i="2"/>
  <c r="K15841" i="2"/>
  <c r="L15841" i="2"/>
  <c r="C15842" i="2"/>
  <c r="D15842" i="2"/>
  <c r="F15842" i="2"/>
  <c r="G15842" i="2"/>
  <c r="H15842" i="2"/>
  <c r="J15842" i="2"/>
  <c r="K15842" i="2"/>
  <c r="L15842" i="2"/>
  <c r="C15843" i="2"/>
  <c r="D15843" i="2"/>
  <c r="F15843" i="2"/>
  <c r="G15843" i="2"/>
  <c r="H15843" i="2"/>
  <c r="J15843" i="2"/>
  <c r="K15843" i="2"/>
  <c r="L15843" i="2"/>
  <c r="C15844" i="2"/>
  <c r="D15844" i="2"/>
  <c r="F15844" i="2"/>
  <c r="G15844" i="2"/>
  <c r="H15844" i="2"/>
  <c r="J15844" i="2"/>
  <c r="K15844" i="2"/>
  <c r="L15844" i="2"/>
  <c r="C15845" i="2"/>
  <c r="D15845" i="2"/>
  <c r="F15845" i="2"/>
  <c r="G15845" i="2"/>
  <c r="H15845" i="2"/>
  <c r="J15845" i="2"/>
  <c r="K15845" i="2"/>
  <c r="L15845" i="2"/>
  <c r="C15846" i="2"/>
  <c r="D15846" i="2"/>
  <c r="F15846" i="2"/>
  <c r="G15846" i="2"/>
  <c r="H15846" i="2"/>
  <c r="J15846" i="2"/>
  <c r="K15846" i="2"/>
  <c r="L15846" i="2"/>
  <c r="C15847" i="2"/>
  <c r="D15847" i="2"/>
  <c r="F15847" i="2"/>
  <c r="G15847" i="2"/>
  <c r="H15847" i="2"/>
  <c r="J15847" i="2"/>
  <c r="K15847" i="2"/>
  <c r="L15847" i="2"/>
  <c r="C15848" i="2"/>
  <c r="D15848" i="2"/>
  <c r="F15848" i="2"/>
  <c r="G15848" i="2"/>
  <c r="H15848" i="2"/>
  <c r="J15848" i="2"/>
  <c r="K15848" i="2"/>
  <c r="L15848" i="2"/>
  <c r="C15849" i="2"/>
  <c r="D15849" i="2"/>
  <c r="F15849" i="2"/>
  <c r="G15849" i="2"/>
  <c r="H15849" i="2"/>
  <c r="J15849" i="2"/>
  <c r="K15849" i="2"/>
  <c r="L15849" i="2"/>
  <c r="C15850" i="2"/>
  <c r="D15850" i="2"/>
  <c r="F15850" i="2"/>
  <c r="G15850" i="2"/>
  <c r="H15850" i="2"/>
  <c r="J15850" i="2"/>
  <c r="K15850" i="2"/>
  <c r="L15850" i="2"/>
  <c r="C15851" i="2"/>
  <c r="D15851" i="2"/>
  <c r="F15851" i="2"/>
  <c r="G15851" i="2"/>
  <c r="H15851" i="2"/>
  <c r="J15851" i="2"/>
  <c r="K15851" i="2"/>
  <c r="L15851" i="2"/>
  <c r="C15852" i="2"/>
  <c r="D15852" i="2"/>
  <c r="F15852" i="2"/>
  <c r="G15852" i="2"/>
  <c r="H15852" i="2"/>
  <c r="J15852" i="2"/>
  <c r="K15852" i="2"/>
  <c r="L15852" i="2"/>
  <c r="C15853" i="2"/>
  <c r="D15853" i="2"/>
  <c r="F15853" i="2"/>
  <c r="G15853" i="2"/>
  <c r="H15853" i="2"/>
  <c r="J15853" i="2"/>
  <c r="K15853" i="2"/>
  <c r="L15853" i="2"/>
  <c r="C15854" i="2"/>
  <c r="D15854" i="2"/>
  <c r="F15854" i="2"/>
  <c r="G15854" i="2"/>
  <c r="H15854" i="2"/>
  <c r="J15854" i="2"/>
  <c r="K15854" i="2"/>
  <c r="L15854" i="2"/>
  <c r="C15855" i="2"/>
  <c r="D15855" i="2"/>
  <c r="F15855" i="2"/>
  <c r="G15855" i="2"/>
  <c r="H15855" i="2"/>
  <c r="J15855" i="2"/>
  <c r="K15855" i="2"/>
  <c r="L15855" i="2"/>
  <c r="C15856" i="2"/>
  <c r="D15856" i="2"/>
  <c r="F15856" i="2"/>
  <c r="G15856" i="2"/>
  <c r="H15856" i="2"/>
  <c r="J15856" i="2"/>
  <c r="K15856" i="2"/>
  <c r="L15856" i="2"/>
  <c r="C15857" i="2"/>
  <c r="D15857" i="2"/>
  <c r="F15857" i="2"/>
  <c r="G15857" i="2"/>
  <c r="H15857" i="2"/>
  <c r="J15857" i="2"/>
  <c r="K15857" i="2"/>
  <c r="L15857" i="2"/>
  <c r="C15858" i="2"/>
  <c r="D15858" i="2"/>
  <c r="F15858" i="2"/>
  <c r="G15858" i="2"/>
  <c r="H15858" i="2"/>
  <c r="J15858" i="2"/>
  <c r="K15858" i="2"/>
  <c r="L15858" i="2"/>
  <c r="C15859" i="2"/>
  <c r="D15859" i="2"/>
  <c r="F15859" i="2"/>
  <c r="G15859" i="2"/>
  <c r="H15859" i="2"/>
  <c r="J15859" i="2"/>
  <c r="K15859" i="2"/>
  <c r="L15859" i="2"/>
  <c r="C15860" i="2"/>
  <c r="D15860" i="2"/>
  <c r="F15860" i="2"/>
  <c r="G15860" i="2"/>
  <c r="H15860" i="2"/>
  <c r="J15860" i="2"/>
  <c r="K15860" i="2"/>
  <c r="L15860" i="2"/>
  <c r="C15861" i="2"/>
  <c r="D15861" i="2"/>
  <c r="F15861" i="2"/>
  <c r="G15861" i="2"/>
  <c r="H15861" i="2"/>
  <c r="J15861" i="2"/>
  <c r="K15861" i="2"/>
  <c r="L15861" i="2"/>
  <c r="C15862" i="2"/>
  <c r="D15862" i="2"/>
  <c r="F15862" i="2"/>
  <c r="G15862" i="2"/>
  <c r="H15862" i="2"/>
  <c r="J15862" i="2"/>
  <c r="K15862" i="2"/>
  <c r="L15862" i="2"/>
  <c r="C15863" i="2"/>
  <c r="D15863" i="2"/>
  <c r="F15863" i="2"/>
  <c r="G15863" i="2"/>
  <c r="H15863" i="2"/>
  <c r="J15863" i="2"/>
  <c r="K15863" i="2"/>
  <c r="L15863" i="2"/>
  <c r="C15864" i="2"/>
  <c r="D15864" i="2"/>
  <c r="F15864" i="2"/>
  <c r="G15864" i="2"/>
  <c r="H15864" i="2"/>
  <c r="J15864" i="2"/>
  <c r="K15864" i="2"/>
  <c r="L15864" i="2"/>
  <c r="C15865" i="2"/>
  <c r="D15865" i="2"/>
  <c r="F15865" i="2"/>
  <c r="G15865" i="2"/>
  <c r="H15865" i="2"/>
  <c r="J15865" i="2"/>
  <c r="K15865" i="2"/>
  <c r="L15865" i="2"/>
  <c r="C15866" i="2"/>
  <c r="D15866" i="2"/>
  <c r="F15866" i="2"/>
  <c r="G15866" i="2"/>
  <c r="H15866" i="2"/>
  <c r="J15866" i="2"/>
  <c r="K15866" i="2"/>
  <c r="L15866" i="2"/>
  <c r="C15867" i="2"/>
  <c r="D15867" i="2"/>
  <c r="F15867" i="2"/>
  <c r="G15867" i="2"/>
  <c r="H15867" i="2"/>
  <c r="J15867" i="2"/>
  <c r="K15867" i="2"/>
  <c r="L15867" i="2"/>
  <c r="C15868" i="2"/>
  <c r="D15868" i="2"/>
  <c r="F15868" i="2"/>
  <c r="G15868" i="2"/>
  <c r="H15868" i="2"/>
  <c r="J15868" i="2"/>
  <c r="K15868" i="2"/>
  <c r="L15868" i="2"/>
  <c r="C15869" i="2"/>
  <c r="D15869" i="2"/>
  <c r="F15869" i="2"/>
  <c r="G15869" i="2"/>
  <c r="H15869" i="2"/>
  <c r="J15869" i="2"/>
  <c r="K15869" i="2"/>
  <c r="L15869" i="2"/>
  <c r="C15870" i="2"/>
  <c r="D15870" i="2"/>
  <c r="F15870" i="2"/>
  <c r="G15870" i="2"/>
  <c r="H15870" i="2"/>
  <c r="J15870" i="2"/>
  <c r="K15870" i="2"/>
  <c r="L15870" i="2"/>
  <c r="C15871" i="2"/>
  <c r="D15871" i="2"/>
  <c r="F15871" i="2"/>
  <c r="G15871" i="2"/>
  <c r="H15871" i="2"/>
  <c r="J15871" i="2"/>
  <c r="K15871" i="2"/>
  <c r="L15871" i="2"/>
  <c r="D15872" i="2"/>
  <c r="F15872" i="2"/>
  <c r="G15872" i="2"/>
  <c r="H15872" i="2"/>
  <c r="J15872" i="2"/>
  <c r="K15872" i="2"/>
  <c r="L15872" i="2"/>
  <c r="C15873" i="2"/>
  <c r="D15873" i="2"/>
  <c r="F15873" i="2"/>
  <c r="G15873" i="2"/>
  <c r="H15873" i="2"/>
  <c r="J15873" i="2"/>
  <c r="K15873" i="2"/>
  <c r="L15873" i="2"/>
  <c r="C15874" i="2"/>
  <c r="D15874" i="2"/>
  <c r="F15874" i="2"/>
  <c r="G15874" i="2"/>
  <c r="H15874" i="2"/>
  <c r="J15874" i="2"/>
  <c r="K15874" i="2"/>
  <c r="L15874" i="2"/>
  <c r="C15875" i="2"/>
  <c r="D15875" i="2"/>
  <c r="F15875" i="2"/>
  <c r="G15875" i="2"/>
  <c r="H15875" i="2"/>
  <c r="J15875" i="2"/>
  <c r="K15875" i="2"/>
  <c r="L15875" i="2"/>
  <c r="C15876" i="2"/>
  <c r="D15876" i="2"/>
  <c r="F15876" i="2"/>
  <c r="G15876" i="2"/>
  <c r="H15876" i="2"/>
  <c r="J15876" i="2"/>
  <c r="K15876" i="2"/>
  <c r="L15876" i="2"/>
  <c r="C15877" i="2"/>
  <c r="D15877" i="2"/>
  <c r="F15877" i="2"/>
  <c r="G15877" i="2"/>
  <c r="H15877" i="2"/>
  <c r="J15877" i="2"/>
  <c r="K15877" i="2"/>
  <c r="L15877" i="2"/>
  <c r="C15878" i="2"/>
  <c r="D15878" i="2"/>
  <c r="F15878" i="2"/>
  <c r="G15878" i="2"/>
  <c r="H15878" i="2"/>
  <c r="J15878" i="2"/>
  <c r="K15878" i="2"/>
  <c r="L15878" i="2"/>
  <c r="C15879" i="2"/>
  <c r="D15879" i="2"/>
  <c r="F15879" i="2"/>
  <c r="G15879" i="2"/>
  <c r="H15879" i="2"/>
  <c r="J15879" i="2"/>
  <c r="K15879" i="2"/>
  <c r="L15879" i="2"/>
  <c r="C15880" i="2"/>
  <c r="D15880" i="2"/>
  <c r="F15880" i="2"/>
  <c r="G15880" i="2"/>
  <c r="H15880" i="2"/>
  <c r="J15880" i="2"/>
  <c r="K15880" i="2"/>
  <c r="L15880" i="2"/>
  <c r="C15881" i="2"/>
  <c r="D15881" i="2"/>
  <c r="F15881" i="2"/>
  <c r="G15881" i="2"/>
  <c r="H15881" i="2"/>
  <c r="J15881" i="2"/>
  <c r="K15881" i="2"/>
  <c r="L15881" i="2"/>
  <c r="C15882" i="2"/>
  <c r="D15882" i="2"/>
  <c r="F15882" i="2"/>
  <c r="G15882" i="2"/>
  <c r="H15882" i="2"/>
  <c r="J15882" i="2"/>
  <c r="K15882" i="2"/>
  <c r="L15882" i="2"/>
  <c r="C15883" i="2"/>
  <c r="D15883" i="2"/>
  <c r="F15883" i="2"/>
  <c r="G15883" i="2"/>
  <c r="H15883" i="2"/>
  <c r="J15883" i="2"/>
  <c r="K15883" i="2"/>
  <c r="L15883" i="2"/>
  <c r="C15884" i="2"/>
  <c r="D15884" i="2"/>
  <c r="F15884" i="2"/>
  <c r="G15884" i="2"/>
  <c r="H15884" i="2"/>
  <c r="J15884" i="2"/>
  <c r="K15884" i="2"/>
  <c r="L15884" i="2"/>
  <c r="C15885" i="2"/>
  <c r="D15885" i="2"/>
  <c r="F15885" i="2"/>
  <c r="G15885" i="2"/>
  <c r="H15885" i="2"/>
  <c r="J15885" i="2"/>
  <c r="K15885" i="2"/>
  <c r="L15885" i="2"/>
  <c r="C15886" i="2"/>
  <c r="D15886" i="2"/>
  <c r="F15886" i="2"/>
  <c r="G15886" i="2"/>
  <c r="H15886" i="2"/>
  <c r="J15886" i="2"/>
  <c r="K15886" i="2"/>
  <c r="L15886" i="2"/>
  <c r="C15887" i="2"/>
  <c r="D15887" i="2"/>
  <c r="F15887" i="2"/>
  <c r="G15887" i="2"/>
  <c r="H15887" i="2"/>
  <c r="J15887" i="2"/>
  <c r="K15887" i="2"/>
  <c r="L15887" i="2"/>
  <c r="C15888" i="2"/>
  <c r="D15888" i="2"/>
  <c r="F15888" i="2"/>
  <c r="G15888" i="2"/>
  <c r="H15888" i="2"/>
  <c r="J15888" i="2"/>
  <c r="K15888" i="2"/>
  <c r="L15888" i="2"/>
  <c r="C15889" i="2"/>
  <c r="D15889" i="2"/>
  <c r="F15889" i="2"/>
  <c r="G15889" i="2"/>
  <c r="H15889" i="2"/>
  <c r="J15889" i="2"/>
  <c r="K15889" i="2"/>
  <c r="L15889" i="2"/>
  <c r="C15890" i="2"/>
  <c r="D15890" i="2"/>
  <c r="F15890" i="2"/>
  <c r="G15890" i="2"/>
  <c r="H15890" i="2"/>
  <c r="J15890" i="2"/>
  <c r="K15890" i="2"/>
  <c r="L15890" i="2"/>
  <c r="C15891" i="2"/>
  <c r="D15891" i="2"/>
  <c r="F15891" i="2"/>
  <c r="G15891" i="2"/>
  <c r="H15891" i="2"/>
  <c r="J15891" i="2"/>
  <c r="K15891" i="2"/>
  <c r="L15891" i="2"/>
  <c r="C15892" i="2"/>
  <c r="D15892" i="2"/>
  <c r="F15892" i="2"/>
  <c r="G15892" i="2"/>
  <c r="H15892" i="2"/>
  <c r="J15892" i="2"/>
  <c r="K15892" i="2"/>
  <c r="L15892" i="2"/>
  <c r="C15893" i="2"/>
  <c r="D15893" i="2"/>
  <c r="F15893" i="2"/>
  <c r="G15893" i="2"/>
  <c r="H15893" i="2"/>
  <c r="J15893" i="2"/>
  <c r="K15893" i="2"/>
  <c r="L15893" i="2"/>
  <c r="C15894" i="2"/>
  <c r="D15894" i="2"/>
  <c r="F15894" i="2"/>
  <c r="G15894" i="2"/>
  <c r="H15894" i="2"/>
  <c r="J15894" i="2"/>
  <c r="K15894" i="2"/>
  <c r="L15894" i="2"/>
  <c r="C15895" i="2"/>
  <c r="D15895" i="2"/>
  <c r="F15895" i="2"/>
  <c r="G15895" i="2"/>
  <c r="H15895" i="2"/>
  <c r="J15895" i="2"/>
  <c r="K15895" i="2"/>
  <c r="L15895" i="2"/>
  <c r="C15896" i="2"/>
  <c r="D15896" i="2"/>
  <c r="E15896" i="2"/>
  <c r="F15896" i="2"/>
  <c r="G15896" i="2"/>
  <c r="H15896" i="2"/>
  <c r="J15896" i="2"/>
  <c r="K15896" i="2"/>
  <c r="L15896" i="2"/>
  <c r="C15897" i="2"/>
  <c r="D15897" i="2"/>
  <c r="F15897" i="2"/>
  <c r="G15897" i="2"/>
  <c r="H15897" i="2"/>
  <c r="J15897" i="2"/>
  <c r="K15897" i="2"/>
  <c r="L15897" i="2"/>
  <c r="C15898" i="2"/>
  <c r="D15898" i="2"/>
  <c r="F15898" i="2"/>
  <c r="G15898" i="2"/>
  <c r="H15898" i="2"/>
  <c r="J15898" i="2"/>
  <c r="K15898" i="2"/>
  <c r="L15898" i="2"/>
  <c r="C15899" i="2"/>
  <c r="D15899" i="2"/>
  <c r="F15899" i="2"/>
  <c r="G15899" i="2"/>
  <c r="H15899" i="2"/>
  <c r="J15899" i="2"/>
  <c r="K15899" i="2"/>
  <c r="L15899" i="2"/>
  <c r="C15900" i="2"/>
  <c r="D15900" i="2"/>
  <c r="F15900" i="2"/>
  <c r="G15900" i="2"/>
  <c r="H15900" i="2"/>
  <c r="J15900" i="2"/>
  <c r="K15900" i="2"/>
  <c r="L15900" i="2"/>
  <c r="C15901" i="2"/>
  <c r="D15901" i="2"/>
  <c r="F15901" i="2"/>
  <c r="G15901" i="2"/>
  <c r="H15901" i="2"/>
  <c r="J15901" i="2"/>
  <c r="K15901" i="2"/>
  <c r="L15901" i="2"/>
  <c r="C15902" i="2"/>
  <c r="D15902" i="2"/>
  <c r="F15902" i="2"/>
  <c r="G15902" i="2"/>
  <c r="H15902" i="2"/>
  <c r="J15902" i="2"/>
  <c r="K15902" i="2"/>
  <c r="L15902" i="2"/>
  <c r="C15903" i="2"/>
  <c r="D15903" i="2"/>
  <c r="F15903" i="2"/>
  <c r="G15903" i="2"/>
  <c r="H15903" i="2"/>
  <c r="J15903" i="2"/>
  <c r="K15903" i="2"/>
  <c r="L15903" i="2"/>
  <c r="C15904" i="2"/>
  <c r="D15904" i="2"/>
  <c r="F15904" i="2"/>
  <c r="G15904" i="2"/>
  <c r="H15904" i="2"/>
  <c r="J15904" i="2"/>
  <c r="K15904" i="2"/>
  <c r="L15904" i="2"/>
  <c r="C15905" i="2"/>
  <c r="D15905" i="2"/>
  <c r="F15905" i="2"/>
  <c r="G15905" i="2"/>
  <c r="H15905" i="2"/>
  <c r="J15905" i="2"/>
  <c r="K15905" i="2"/>
  <c r="L15905" i="2"/>
  <c r="C15906" i="2"/>
  <c r="D15906" i="2"/>
  <c r="F15906" i="2"/>
  <c r="G15906" i="2"/>
  <c r="H15906" i="2"/>
  <c r="J15906" i="2"/>
  <c r="K15906" i="2"/>
  <c r="L15906" i="2"/>
  <c r="C15907" i="2"/>
  <c r="D15907" i="2"/>
  <c r="F15907" i="2"/>
  <c r="G15907" i="2"/>
  <c r="H15907" i="2"/>
  <c r="J15907" i="2"/>
  <c r="K15907" i="2"/>
  <c r="L15907" i="2"/>
  <c r="C15908" i="2"/>
  <c r="D15908" i="2"/>
  <c r="F15908" i="2"/>
  <c r="G15908" i="2"/>
  <c r="H15908" i="2"/>
  <c r="J15908" i="2"/>
  <c r="K15908" i="2"/>
  <c r="L15908" i="2"/>
  <c r="C15909" i="2"/>
  <c r="D15909" i="2"/>
  <c r="F15909" i="2"/>
  <c r="G15909" i="2"/>
  <c r="H15909" i="2"/>
  <c r="J15909" i="2"/>
  <c r="K15909" i="2"/>
  <c r="L15909" i="2"/>
  <c r="C15910" i="2"/>
  <c r="D15910" i="2"/>
  <c r="F15910" i="2"/>
  <c r="G15910" i="2"/>
  <c r="H15910" i="2"/>
  <c r="J15910" i="2"/>
  <c r="K15910" i="2"/>
  <c r="L15910" i="2"/>
  <c r="C15911" i="2"/>
  <c r="D15911" i="2"/>
  <c r="F15911" i="2"/>
  <c r="G15911" i="2"/>
  <c r="H15911" i="2"/>
  <c r="J15911" i="2"/>
  <c r="K15911" i="2"/>
  <c r="L15911" i="2"/>
  <c r="C15912" i="2"/>
  <c r="D15912" i="2"/>
  <c r="F15912" i="2"/>
  <c r="G15912" i="2"/>
  <c r="H15912" i="2"/>
  <c r="J15912" i="2"/>
  <c r="K15912" i="2"/>
  <c r="L15912" i="2"/>
  <c r="C15913" i="2"/>
  <c r="D15913" i="2"/>
  <c r="F15913" i="2"/>
  <c r="G15913" i="2"/>
  <c r="H15913" i="2"/>
  <c r="J15913" i="2"/>
  <c r="K15913" i="2"/>
  <c r="L15913" i="2"/>
  <c r="C15914" i="2"/>
  <c r="D15914" i="2"/>
  <c r="F15914" i="2"/>
  <c r="G15914" i="2"/>
  <c r="H15914" i="2"/>
  <c r="J15914" i="2"/>
  <c r="K15914" i="2"/>
  <c r="L15914" i="2"/>
  <c r="C15915" i="2"/>
  <c r="D15915" i="2"/>
  <c r="F15915" i="2"/>
  <c r="G15915" i="2"/>
  <c r="H15915" i="2"/>
  <c r="J15915" i="2"/>
  <c r="K15915" i="2"/>
  <c r="L15915" i="2"/>
  <c r="C15916" i="2"/>
  <c r="D15916" i="2"/>
  <c r="F15916" i="2"/>
  <c r="G15916" i="2"/>
  <c r="H15916" i="2"/>
  <c r="J15916" i="2"/>
  <c r="K15916" i="2"/>
  <c r="L15916" i="2"/>
  <c r="C15917" i="2"/>
  <c r="D15917" i="2"/>
  <c r="F15917" i="2"/>
  <c r="G15917" i="2"/>
  <c r="H15917" i="2"/>
  <c r="J15917" i="2"/>
  <c r="K15917" i="2"/>
  <c r="L15917" i="2"/>
  <c r="C15918" i="2"/>
  <c r="D15918" i="2"/>
  <c r="F15918" i="2"/>
  <c r="G15918" i="2"/>
  <c r="H15918" i="2"/>
  <c r="J15918" i="2"/>
  <c r="K15918" i="2"/>
  <c r="L15918" i="2"/>
  <c r="C15919" i="2"/>
  <c r="D15919" i="2"/>
  <c r="F15919" i="2"/>
  <c r="G15919" i="2"/>
  <c r="H15919" i="2"/>
  <c r="J15919" i="2"/>
  <c r="K15919" i="2"/>
  <c r="L15919" i="2"/>
  <c r="C15920" i="2"/>
  <c r="D15920" i="2"/>
  <c r="F15920" i="2"/>
  <c r="G15920" i="2"/>
  <c r="H15920" i="2"/>
  <c r="J15920" i="2"/>
  <c r="K15920" i="2"/>
  <c r="L15920" i="2"/>
  <c r="C15921" i="2"/>
  <c r="D15921" i="2"/>
  <c r="F15921" i="2"/>
  <c r="G15921" i="2"/>
  <c r="H15921" i="2"/>
  <c r="J15921" i="2"/>
  <c r="K15921" i="2"/>
  <c r="L15921" i="2"/>
  <c r="C15922" i="2"/>
  <c r="D15922" i="2"/>
  <c r="F15922" i="2"/>
  <c r="G15922" i="2"/>
  <c r="H15922" i="2"/>
  <c r="J15922" i="2"/>
  <c r="K15922" i="2"/>
  <c r="L15922" i="2"/>
  <c r="C15923" i="2"/>
  <c r="D15923" i="2"/>
  <c r="F15923" i="2"/>
  <c r="G15923" i="2"/>
  <c r="H15923" i="2"/>
  <c r="J15923" i="2"/>
  <c r="K15923" i="2"/>
  <c r="L15923" i="2"/>
  <c r="C15924" i="2"/>
  <c r="D15924" i="2"/>
  <c r="F15924" i="2"/>
  <c r="G15924" i="2"/>
  <c r="H15924" i="2"/>
  <c r="J15924" i="2"/>
  <c r="K15924" i="2"/>
  <c r="L15924" i="2"/>
  <c r="C15925" i="2"/>
  <c r="D15925" i="2"/>
  <c r="F15925" i="2"/>
  <c r="G15925" i="2"/>
  <c r="H15925" i="2"/>
  <c r="J15925" i="2"/>
  <c r="K15925" i="2"/>
  <c r="L15925" i="2"/>
  <c r="C15926" i="2"/>
  <c r="D15926" i="2"/>
  <c r="F15926" i="2"/>
  <c r="G15926" i="2"/>
  <c r="H15926" i="2"/>
  <c r="J15926" i="2"/>
  <c r="K15926" i="2"/>
  <c r="L15926" i="2"/>
  <c r="C15927" i="2"/>
  <c r="D15927" i="2"/>
  <c r="F15927" i="2"/>
  <c r="G15927" i="2"/>
  <c r="H15927" i="2"/>
  <c r="J15927" i="2"/>
  <c r="K15927" i="2"/>
  <c r="L15927" i="2"/>
  <c r="C15928" i="2"/>
  <c r="D15928" i="2"/>
  <c r="F15928" i="2"/>
  <c r="G15928" i="2"/>
  <c r="H15928" i="2"/>
  <c r="J15928" i="2"/>
  <c r="K15928" i="2"/>
  <c r="L15928" i="2"/>
  <c r="C15929" i="2"/>
  <c r="D15929" i="2"/>
  <c r="F15929" i="2"/>
  <c r="G15929" i="2"/>
  <c r="H15929" i="2"/>
  <c r="J15929" i="2"/>
  <c r="K15929" i="2"/>
  <c r="L15929" i="2"/>
  <c r="C15930" i="2"/>
  <c r="D15930" i="2"/>
  <c r="F15930" i="2"/>
  <c r="G15930" i="2"/>
  <c r="H15930" i="2"/>
  <c r="J15930" i="2"/>
  <c r="K15930" i="2"/>
  <c r="L15930" i="2"/>
  <c r="C15931" i="2"/>
  <c r="D15931" i="2"/>
  <c r="F15931" i="2"/>
  <c r="G15931" i="2"/>
  <c r="H15931" i="2"/>
  <c r="J15931" i="2"/>
  <c r="K15931" i="2"/>
  <c r="L15931" i="2"/>
  <c r="C15932" i="2"/>
  <c r="D15932" i="2"/>
  <c r="F15932" i="2"/>
  <c r="G15932" i="2"/>
  <c r="H15932" i="2"/>
  <c r="J15932" i="2"/>
  <c r="K15932" i="2"/>
  <c r="L15932" i="2"/>
  <c r="C15933" i="2"/>
  <c r="D15933" i="2"/>
  <c r="F15933" i="2"/>
  <c r="G15933" i="2"/>
  <c r="H15933" i="2"/>
  <c r="J15933" i="2"/>
  <c r="K15933" i="2"/>
  <c r="L15933" i="2"/>
  <c r="C15934" i="2"/>
  <c r="D15934" i="2"/>
  <c r="F15934" i="2"/>
  <c r="G15934" i="2"/>
  <c r="H15934" i="2"/>
  <c r="J15934" i="2"/>
  <c r="K15934" i="2"/>
  <c r="L15934" i="2"/>
  <c r="C15935" i="2"/>
  <c r="D15935" i="2"/>
  <c r="F15935" i="2"/>
  <c r="G15935" i="2"/>
  <c r="H15935" i="2"/>
  <c r="J15935" i="2"/>
  <c r="K15935" i="2"/>
  <c r="L15935" i="2"/>
  <c r="C15936" i="2"/>
  <c r="D15936" i="2"/>
  <c r="E15936" i="2"/>
  <c r="F15936" i="2"/>
  <c r="G15936" i="2"/>
  <c r="H15936" i="2"/>
  <c r="J15936" i="2"/>
  <c r="K15936" i="2"/>
  <c r="L15936" i="2"/>
  <c r="C15937" i="2"/>
  <c r="D15937" i="2"/>
  <c r="F15937" i="2"/>
  <c r="G15937" i="2"/>
  <c r="H15937" i="2"/>
  <c r="J15937" i="2"/>
  <c r="K15937" i="2"/>
  <c r="L15937" i="2"/>
  <c r="C15938" i="2"/>
  <c r="D15938" i="2"/>
  <c r="F15938" i="2"/>
  <c r="G15938" i="2"/>
  <c r="H15938" i="2"/>
  <c r="J15938" i="2"/>
  <c r="K15938" i="2"/>
  <c r="L15938" i="2"/>
  <c r="C15939" i="2"/>
  <c r="D15939" i="2"/>
  <c r="F15939" i="2"/>
  <c r="G15939" i="2"/>
  <c r="H15939" i="2"/>
  <c r="J15939" i="2"/>
  <c r="K15939" i="2"/>
  <c r="L15939" i="2"/>
  <c r="C15940" i="2"/>
  <c r="D15940" i="2"/>
  <c r="F15940" i="2"/>
  <c r="G15940" i="2"/>
  <c r="H15940" i="2"/>
  <c r="J15940" i="2"/>
  <c r="K15940" i="2"/>
  <c r="L15940" i="2"/>
  <c r="C15941" i="2"/>
  <c r="D15941" i="2"/>
  <c r="F15941" i="2"/>
  <c r="G15941" i="2"/>
  <c r="H15941" i="2"/>
  <c r="J15941" i="2"/>
  <c r="K15941" i="2"/>
  <c r="L15941" i="2"/>
  <c r="C15942" i="2"/>
  <c r="D15942" i="2"/>
  <c r="F15942" i="2"/>
  <c r="G15942" i="2"/>
  <c r="H15942" i="2"/>
  <c r="J15942" i="2"/>
  <c r="K15942" i="2"/>
  <c r="L15942" i="2"/>
  <c r="C15943" i="2"/>
  <c r="D15943" i="2"/>
  <c r="F15943" i="2"/>
  <c r="G15943" i="2"/>
  <c r="H15943" i="2"/>
  <c r="J15943" i="2"/>
  <c r="K15943" i="2"/>
  <c r="L15943" i="2"/>
  <c r="C15944" i="2"/>
  <c r="D15944" i="2"/>
  <c r="F15944" i="2"/>
  <c r="G15944" i="2"/>
  <c r="H15944" i="2"/>
  <c r="J15944" i="2"/>
  <c r="K15944" i="2"/>
  <c r="L15944" i="2"/>
  <c r="C15945" i="2"/>
  <c r="D15945" i="2"/>
  <c r="F15945" i="2"/>
  <c r="G15945" i="2"/>
  <c r="H15945" i="2"/>
  <c r="J15945" i="2"/>
  <c r="K15945" i="2"/>
  <c r="L15945" i="2"/>
  <c r="C15946" i="2"/>
  <c r="D15946" i="2"/>
  <c r="F15946" i="2"/>
  <c r="G15946" i="2"/>
  <c r="H15946" i="2"/>
  <c r="J15946" i="2"/>
  <c r="K15946" i="2"/>
  <c r="L15946" i="2"/>
  <c r="C15947" i="2"/>
  <c r="D15947" i="2"/>
  <c r="F15947" i="2"/>
  <c r="G15947" i="2"/>
  <c r="H15947" i="2"/>
  <c r="J15947" i="2"/>
  <c r="K15947" i="2"/>
  <c r="L15947" i="2"/>
  <c r="C15948" i="2"/>
  <c r="D15948" i="2"/>
  <c r="F15948" i="2"/>
  <c r="G15948" i="2"/>
  <c r="H15948" i="2"/>
  <c r="J15948" i="2"/>
  <c r="K15948" i="2"/>
  <c r="L15948" i="2"/>
  <c r="C15949" i="2"/>
  <c r="D15949" i="2"/>
  <c r="F15949" i="2"/>
  <c r="G15949" i="2"/>
  <c r="H15949" i="2"/>
  <c r="J15949" i="2"/>
  <c r="K15949" i="2"/>
  <c r="L15949" i="2"/>
  <c r="C15950" i="2"/>
  <c r="D15950" i="2"/>
  <c r="F15950" i="2"/>
  <c r="G15950" i="2"/>
  <c r="H15950" i="2"/>
  <c r="J15950" i="2"/>
  <c r="K15950" i="2"/>
  <c r="L15950" i="2"/>
  <c r="C15951" i="2"/>
  <c r="D15951" i="2"/>
  <c r="F15951" i="2"/>
  <c r="G15951" i="2"/>
  <c r="H15951" i="2"/>
  <c r="J15951" i="2"/>
  <c r="K15951" i="2"/>
  <c r="L15951" i="2"/>
  <c r="C15952" i="2"/>
  <c r="D15952" i="2"/>
  <c r="F15952" i="2"/>
  <c r="G15952" i="2"/>
  <c r="H15952" i="2"/>
  <c r="J15952" i="2"/>
  <c r="K15952" i="2"/>
  <c r="L15952" i="2"/>
  <c r="C15953" i="2"/>
  <c r="D15953" i="2"/>
  <c r="F15953" i="2"/>
  <c r="G15953" i="2"/>
  <c r="H15953" i="2"/>
  <c r="J15953" i="2"/>
  <c r="K15953" i="2"/>
  <c r="L15953" i="2"/>
  <c r="C15954" i="2"/>
  <c r="D15954" i="2"/>
  <c r="F15954" i="2"/>
  <c r="G15954" i="2"/>
  <c r="H15954" i="2"/>
  <c r="J15954" i="2"/>
  <c r="K15954" i="2"/>
  <c r="L15954" i="2"/>
  <c r="C15955" i="2"/>
  <c r="D15955" i="2"/>
  <c r="F15955" i="2"/>
  <c r="G15955" i="2"/>
  <c r="H15955" i="2"/>
  <c r="J15955" i="2"/>
  <c r="K15955" i="2"/>
  <c r="L15955" i="2"/>
  <c r="C15956" i="2"/>
  <c r="D15956" i="2"/>
  <c r="F15956" i="2"/>
  <c r="G15956" i="2"/>
  <c r="H15956" i="2"/>
  <c r="J15956" i="2"/>
  <c r="K15956" i="2"/>
  <c r="L15956" i="2"/>
  <c r="C15957" i="2"/>
  <c r="D15957" i="2"/>
  <c r="F15957" i="2"/>
  <c r="G15957" i="2"/>
  <c r="H15957" i="2"/>
  <c r="J15957" i="2"/>
  <c r="K15957" i="2"/>
  <c r="L15957" i="2"/>
  <c r="C15958" i="2"/>
  <c r="D15958" i="2"/>
  <c r="F15958" i="2"/>
  <c r="G15958" i="2"/>
  <c r="H15958" i="2"/>
  <c r="J15958" i="2"/>
  <c r="K15958" i="2"/>
  <c r="L15958" i="2"/>
  <c r="C15959" i="2"/>
  <c r="D15959" i="2"/>
  <c r="F15959" i="2"/>
  <c r="G15959" i="2"/>
  <c r="H15959" i="2"/>
  <c r="J15959" i="2"/>
  <c r="K15959" i="2"/>
  <c r="L15959" i="2"/>
  <c r="C15960" i="2"/>
  <c r="D15960" i="2"/>
  <c r="F15960" i="2"/>
  <c r="G15960" i="2"/>
  <c r="H15960" i="2"/>
  <c r="J15960" i="2"/>
  <c r="K15960" i="2"/>
  <c r="L15960" i="2"/>
  <c r="C15961" i="2"/>
  <c r="D15961" i="2"/>
  <c r="F15961" i="2"/>
  <c r="G15961" i="2"/>
  <c r="H15961" i="2"/>
  <c r="J15961" i="2"/>
  <c r="K15961" i="2"/>
  <c r="L15961" i="2"/>
  <c r="C15962" i="2"/>
  <c r="D15962" i="2"/>
  <c r="F15962" i="2"/>
  <c r="G15962" i="2"/>
  <c r="H15962" i="2"/>
  <c r="J15962" i="2"/>
  <c r="K15962" i="2"/>
  <c r="L15962" i="2"/>
  <c r="C15963" i="2"/>
  <c r="D15963" i="2"/>
  <c r="F15963" i="2"/>
  <c r="G15963" i="2"/>
  <c r="H15963" i="2"/>
  <c r="J15963" i="2"/>
  <c r="K15963" i="2"/>
  <c r="L15963" i="2"/>
  <c r="C15964" i="2"/>
  <c r="D15964" i="2"/>
  <c r="F15964" i="2"/>
  <c r="G15964" i="2"/>
  <c r="H15964" i="2"/>
  <c r="J15964" i="2"/>
  <c r="K15964" i="2"/>
  <c r="L15964" i="2"/>
  <c r="C15965" i="2"/>
  <c r="D15965" i="2"/>
  <c r="F15965" i="2"/>
  <c r="G15965" i="2"/>
  <c r="H15965" i="2"/>
  <c r="J15965" i="2"/>
  <c r="K15965" i="2"/>
  <c r="L15965" i="2"/>
  <c r="C15966" i="2"/>
  <c r="D15966" i="2"/>
  <c r="F15966" i="2"/>
  <c r="G15966" i="2"/>
  <c r="H15966" i="2"/>
  <c r="J15966" i="2"/>
  <c r="K15966" i="2"/>
  <c r="L15966" i="2"/>
  <c r="C15967" i="2"/>
  <c r="D15967" i="2"/>
  <c r="F15967" i="2"/>
  <c r="G15967" i="2"/>
  <c r="H15967" i="2"/>
  <c r="J15967" i="2"/>
  <c r="K15967" i="2"/>
  <c r="L15967" i="2"/>
  <c r="C15968" i="2"/>
  <c r="D15968" i="2"/>
  <c r="F15968" i="2"/>
  <c r="G15968" i="2"/>
  <c r="H15968" i="2"/>
  <c r="J15968" i="2"/>
  <c r="K15968" i="2"/>
  <c r="L15968" i="2"/>
  <c r="C15969" i="2"/>
  <c r="D15969" i="2"/>
  <c r="F15969" i="2"/>
  <c r="G15969" i="2"/>
  <c r="H15969" i="2"/>
  <c r="J15969" i="2"/>
  <c r="K15969" i="2"/>
  <c r="L15969" i="2"/>
  <c r="C15970" i="2"/>
  <c r="D15970" i="2"/>
  <c r="F15970" i="2"/>
  <c r="G15970" i="2"/>
  <c r="H15970" i="2"/>
  <c r="J15970" i="2"/>
  <c r="K15970" i="2"/>
  <c r="L15970" i="2"/>
  <c r="C15971" i="2"/>
  <c r="D15971" i="2"/>
  <c r="F15971" i="2"/>
  <c r="G15971" i="2"/>
  <c r="H15971" i="2"/>
  <c r="J15971" i="2"/>
  <c r="K15971" i="2"/>
  <c r="L15971" i="2"/>
  <c r="C15972" i="2"/>
  <c r="D15972" i="2"/>
  <c r="F15972" i="2"/>
  <c r="G15972" i="2"/>
  <c r="H15972" i="2"/>
  <c r="J15972" i="2"/>
  <c r="K15972" i="2"/>
  <c r="L15972" i="2"/>
  <c r="C15973" i="2"/>
  <c r="D15973" i="2"/>
  <c r="F15973" i="2"/>
  <c r="G15973" i="2"/>
  <c r="H15973" i="2"/>
  <c r="J15973" i="2"/>
  <c r="K15973" i="2"/>
  <c r="L15973" i="2"/>
  <c r="C15974" i="2"/>
  <c r="D15974" i="2"/>
  <c r="F15974" i="2"/>
  <c r="G15974" i="2"/>
  <c r="H15974" i="2"/>
  <c r="J15974" i="2"/>
  <c r="K15974" i="2"/>
  <c r="L15974" i="2"/>
  <c r="C15975" i="2"/>
  <c r="D15975" i="2"/>
  <c r="F15975" i="2"/>
  <c r="G15975" i="2"/>
  <c r="H15975" i="2"/>
  <c r="J15975" i="2"/>
  <c r="K15975" i="2"/>
  <c r="L15975" i="2"/>
  <c r="C15976" i="2"/>
  <c r="D15976" i="2"/>
  <c r="F15976" i="2"/>
  <c r="G15976" i="2"/>
  <c r="H15976" i="2"/>
  <c r="J15976" i="2"/>
  <c r="K15976" i="2"/>
  <c r="L15976" i="2"/>
  <c r="C15977" i="2"/>
  <c r="D15977" i="2"/>
  <c r="F15977" i="2"/>
  <c r="G15977" i="2"/>
  <c r="H15977" i="2"/>
  <c r="J15977" i="2"/>
  <c r="K15977" i="2"/>
  <c r="L15977" i="2"/>
  <c r="C15978" i="2"/>
  <c r="D15978" i="2"/>
  <c r="F15978" i="2"/>
  <c r="G15978" i="2"/>
  <c r="H15978" i="2"/>
  <c r="J15978" i="2"/>
  <c r="K15978" i="2"/>
  <c r="L15978" i="2"/>
  <c r="C15979" i="2"/>
  <c r="D15979" i="2"/>
  <c r="F15979" i="2"/>
  <c r="G15979" i="2"/>
  <c r="H15979" i="2"/>
  <c r="J15979" i="2"/>
  <c r="K15979" i="2"/>
  <c r="L15979" i="2"/>
  <c r="C15980" i="2"/>
  <c r="D15980" i="2"/>
  <c r="F15980" i="2"/>
  <c r="G15980" i="2"/>
  <c r="H15980" i="2"/>
  <c r="J15980" i="2"/>
  <c r="K15980" i="2"/>
  <c r="L15980" i="2"/>
  <c r="C15981" i="2"/>
  <c r="D15981" i="2"/>
  <c r="F15981" i="2"/>
  <c r="G15981" i="2"/>
  <c r="H15981" i="2"/>
  <c r="J15981" i="2"/>
  <c r="K15981" i="2"/>
  <c r="L15981" i="2"/>
  <c r="C15982" i="2"/>
  <c r="D15982" i="2"/>
  <c r="F15982" i="2"/>
  <c r="G15982" i="2"/>
  <c r="H15982" i="2"/>
  <c r="J15982" i="2"/>
  <c r="K15982" i="2"/>
  <c r="L15982" i="2"/>
  <c r="C15983" i="2"/>
  <c r="D15983" i="2"/>
  <c r="F15983" i="2"/>
  <c r="G15983" i="2"/>
  <c r="H15983" i="2"/>
  <c r="J15983" i="2"/>
  <c r="K15983" i="2"/>
  <c r="L15983" i="2"/>
  <c r="C15984" i="2"/>
  <c r="D15984" i="2"/>
  <c r="F15984" i="2"/>
  <c r="G15984" i="2"/>
  <c r="H15984" i="2"/>
  <c r="J15984" i="2"/>
  <c r="K15984" i="2"/>
  <c r="L15984" i="2"/>
  <c r="C15985" i="2"/>
  <c r="D15985" i="2"/>
  <c r="F15985" i="2"/>
  <c r="G15985" i="2"/>
  <c r="H15985" i="2"/>
  <c r="J15985" i="2"/>
  <c r="K15985" i="2"/>
  <c r="L15985" i="2"/>
  <c r="C15986" i="2"/>
  <c r="D15986" i="2"/>
  <c r="F15986" i="2"/>
  <c r="G15986" i="2"/>
  <c r="H15986" i="2"/>
  <c r="J15986" i="2"/>
  <c r="K15986" i="2"/>
  <c r="L15986" i="2"/>
  <c r="C15987" i="2"/>
  <c r="D15987" i="2"/>
  <c r="F15987" i="2"/>
  <c r="G15987" i="2"/>
  <c r="H15987" i="2"/>
  <c r="J15987" i="2"/>
  <c r="K15987" i="2"/>
  <c r="L15987" i="2"/>
  <c r="C15988" i="2"/>
  <c r="D15988" i="2"/>
  <c r="F15988" i="2"/>
  <c r="G15988" i="2"/>
  <c r="H15988" i="2"/>
  <c r="J15988" i="2"/>
  <c r="K15988" i="2"/>
  <c r="L15988" i="2"/>
  <c r="C15989" i="2"/>
  <c r="D15989" i="2"/>
  <c r="F15989" i="2"/>
  <c r="G15989" i="2"/>
  <c r="H15989" i="2"/>
  <c r="J15989" i="2"/>
  <c r="K15989" i="2"/>
  <c r="L15989" i="2"/>
  <c r="C15990" i="2"/>
  <c r="D15990" i="2"/>
  <c r="F15990" i="2"/>
  <c r="G15990" i="2"/>
  <c r="H15990" i="2"/>
  <c r="J15990" i="2"/>
  <c r="K15990" i="2"/>
  <c r="L15990" i="2"/>
  <c r="C15991" i="2"/>
  <c r="D15991" i="2"/>
  <c r="F15991" i="2"/>
  <c r="G15991" i="2"/>
  <c r="H15991" i="2"/>
  <c r="J15991" i="2"/>
  <c r="K15991" i="2"/>
  <c r="L15991" i="2"/>
  <c r="C15992" i="2"/>
  <c r="D15992" i="2"/>
  <c r="F15992" i="2"/>
  <c r="G15992" i="2"/>
  <c r="H15992" i="2"/>
  <c r="J15992" i="2"/>
  <c r="K15992" i="2"/>
  <c r="L15992" i="2"/>
  <c r="C15993" i="2"/>
  <c r="D15993" i="2"/>
  <c r="F15993" i="2"/>
  <c r="G15993" i="2"/>
  <c r="H15993" i="2"/>
  <c r="J15993" i="2"/>
  <c r="K15993" i="2"/>
  <c r="L15993" i="2"/>
  <c r="C15994" i="2"/>
  <c r="D15994" i="2"/>
  <c r="F15994" i="2"/>
  <c r="G15994" i="2"/>
  <c r="H15994" i="2"/>
  <c r="J15994" i="2"/>
  <c r="K15994" i="2"/>
  <c r="L15994" i="2"/>
  <c r="C15995" i="2"/>
  <c r="D15995" i="2"/>
  <c r="F15995" i="2"/>
  <c r="G15995" i="2"/>
  <c r="H15995" i="2"/>
  <c r="J15995" i="2"/>
  <c r="K15995" i="2"/>
  <c r="L15995" i="2"/>
  <c r="C15996" i="2"/>
  <c r="D15996" i="2"/>
  <c r="F15996" i="2"/>
  <c r="G15996" i="2"/>
  <c r="H15996" i="2"/>
  <c r="J15996" i="2"/>
  <c r="K15996" i="2"/>
  <c r="L15996" i="2"/>
  <c r="C15997" i="2"/>
  <c r="D15997" i="2"/>
  <c r="F15997" i="2"/>
  <c r="G15997" i="2"/>
  <c r="H15997" i="2"/>
  <c r="J15997" i="2"/>
  <c r="K15997" i="2"/>
  <c r="L15997" i="2"/>
  <c r="C15998" i="2"/>
  <c r="D15998" i="2"/>
  <c r="F15998" i="2"/>
  <c r="G15998" i="2"/>
  <c r="H15998" i="2"/>
  <c r="J15998" i="2"/>
  <c r="K15998" i="2"/>
  <c r="L15998" i="2"/>
  <c r="C15999" i="2"/>
  <c r="D15999" i="2"/>
  <c r="F15999" i="2"/>
  <c r="G15999" i="2"/>
  <c r="H15999" i="2"/>
  <c r="J15999" i="2"/>
  <c r="K15999" i="2"/>
  <c r="L15999" i="2"/>
  <c r="C16000" i="2"/>
  <c r="D16000" i="2"/>
  <c r="F16000" i="2"/>
  <c r="G16000" i="2"/>
  <c r="H16000" i="2"/>
  <c r="J16000" i="2"/>
  <c r="K16000" i="2"/>
  <c r="L16000" i="2"/>
  <c r="C16001" i="2"/>
  <c r="D16001" i="2"/>
  <c r="F16001" i="2"/>
  <c r="G16001" i="2"/>
  <c r="H16001" i="2"/>
  <c r="J16001" i="2"/>
  <c r="K16001" i="2"/>
  <c r="L16001" i="2"/>
  <c r="C16002" i="2"/>
  <c r="D16002" i="2"/>
  <c r="F16002" i="2"/>
  <c r="G16002" i="2"/>
  <c r="H16002" i="2"/>
  <c r="J16002" i="2"/>
  <c r="K16002" i="2"/>
  <c r="L16002" i="2"/>
  <c r="C16003" i="2"/>
  <c r="D16003" i="2"/>
  <c r="F16003" i="2"/>
  <c r="G16003" i="2"/>
  <c r="H16003" i="2"/>
  <c r="J16003" i="2"/>
  <c r="K16003" i="2"/>
  <c r="L16003" i="2"/>
  <c r="C16004" i="2"/>
  <c r="D16004" i="2"/>
  <c r="F16004" i="2"/>
  <c r="G16004" i="2"/>
  <c r="H16004" i="2"/>
  <c r="J16004" i="2"/>
  <c r="K16004" i="2"/>
  <c r="L16004" i="2"/>
  <c r="C16005" i="2"/>
  <c r="D16005" i="2"/>
  <c r="F16005" i="2"/>
  <c r="G16005" i="2"/>
  <c r="H16005" i="2"/>
  <c r="J16005" i="2"/>
  <c r="K16005" i="2"/>
  <c r="L16005" i="2"/>
  <c r="C16006" i="2"/>
  <c r="D16006" i="2"/>
  <c r="F16006" i="2"/>
  <c r="G16006" i="2"/>
  <c r="H16006" i="2"/>
  <c r="J16006" i="2"/>
  <c r="K16006" i="2"/>
  <c r="L16006" i="2"/>
  <c r="C16007" i="2"/>
  <c r="D16007" i="2"/>
  <c r="F16007" i="2"/>
  <c r="G16007" i="2"/>
  <c r="H16007" i="2"/>
  <c r="J16007" i="2"/>
  <c r="K16007" i="2"/>
  <c r="L16007" i="2"/>
  <c r="C16008" i="2"/>
  <c r="D16008" i="2"/>
  <c r="F16008" i="2"/>
  <c r="G16008" i="2"/>
  <c r="H16008" i="2"/>
  <c r="J16008" i="2"/>
  <c r="K16008" i="2"/>
  <c r="L16008" i="2"/>
  <c r="C16009" i="2"/>
  <c r="D16009" i="2"/>
  <c r="F16009" i="2"/>
  <c r="G16009" i="2"/>
  <c r="H16009" i="2"/>
  <c r="J16009" i="2"/>
  <c r="K16009" i="2"/>
  <c r="L16009" i="2"/>
  <c r="C16010" i="2"/>
  <c r="D16010" i="2"/>
  <c r="F16010" i="2"/>
  <c r="G16010" i="2"/>
  <c r="H16010" i="2"/>
  <c r="J16010" i="2"/>
  <c r="K16010" i="2"/>
  <c r="L16010" i="2"/>
  <c r="C16011" i="2"/>
  <c r="D16011" i="2"/>
  <c r="F16011" i="2"/>
  <c r="G16011" i="2"/>
  <c r="H16011" i="2"/>
  <c r="J16011" i="2"/>
  <c r="K16011" i="2"/>
  <c r="L16011" i="2"/>
  <c r="C16012" i="2"/>
  <c r="D16012" i="2"/>
  <c r="F16012" i="2"/>
  <c r="G16012" i="2"/>
  <c r="H16012" i="2"/>
  <c r="J16012" i="2"/>
  <c r="K16012" i="2"/>
  <c r="L16012" i="2"/>
  <c r="C16013" i="2"/>
  <c r="D16013" i="2"/>
  <c r="F16013" i="2"/>
  <c r="G16013" i="2"/>
  <c r="H16013" i="2"/>
  <c r="J16013" i="2"/>
  <c r="K16013" i="2"/>
  <c r="L16013" i="2"/>
  <c r="C16014" i="2"/>
  <c r="D16014" i="2"/>
  <c r="F16014" i="2"/>
  <c r="G16014" i="2"/>
  <c r="H16014" i="2"/>
  <c r="J16014" i="2"/>
  <c r="K16014" i="2"/>
  <c r="L16014" i="2"/>
  <c r="C16015" i="2"/>
  <c r="D16015" i="2"/>
  <c r="F16015" i="2"/>
  <c r="G16015" i="2"/>
  <c r="H16015" i="2"/>
  <c r="J16015" i="2"/>
  <c r="K16015" i="2"/>
  <c r="L16015" i="2"/>
  <c r="C16016" i="2"/>
  <c r="D16016" i="2"/>
  <c r="F16016" i="2"/>
  <c r="G16016" i="2"/>
  <c r="H16016" i="2"/>
  <c r="J16016" i="2"/>
  <c r="K16016" i="2"/>
  <c r="L16016" i="2"/>
  <c r="C16017" i="2"/>
  <c r="D16017" i="2"/>
  <c r="F16017" i="2"/>
  <c r="G16017" i="2"/>
  <c r="H16017" i="2"/>
  <c r="J16017" i="2"/>
  <c r="K16017" i="2"/>
  <c r="L16017" i="2"/>
  <c r="C16018" i="2"/>
  <c r="D16018" i="2"/>
  <c r="F16018" i="2"/>
  <c r="G16018" i="2"/>
  <c r="H16018" i="2"/>
  <c r="J16018" i="2"/>
  <c r="K16018" i="2"/>
  <c r="L16018" i="2"/>
  <c r="C16019" i="2"/>
  <c r="D16019" i="2"/>
  <c r="F16019" i="2"/>
  <c r="G16019" i="2"/>
  <c r="H16019" i="2"/>
  <c r="J16019" i="2"/>
  <c r="K16019" i="2"/>
  <c r="L16019" i="2"/>
  <c r="C16020" i="2"/>
  <c r="D16020" i="2"/>
  <c r="F16020" i="2"/>
  <c r="G16020" i="2"/>
  <c r="H16020" i="2"/>
  <c r="J16020" i="2"/>
  <c r="K16020" i="2"/>
  <c r="L16020" i="2"/>
  <c r="C16021" i="2"/>
  <c r="D16021" i="2"/>
  <c r="F16021" i="2"/>
  <c r="G16021" i="2"/>
  <c r="H16021" i="2"/>
  <c r="J16021" i="2"/>
  <c r="K16021" i="2"/>
  <c r="L16021" i="2"/>
  <c r="C16022" i="2"/>
  <c r="D16022" i="2"/>
  <c r="F16022" i="2"/>
  <c r="G16022" i="2"/>
  <c r="H16022" i="2"/>
  <c r="J16022" i="2"/>
  <c r="K16022" i="2"/>
  <c r="L16022" i="2"/>
  <c r="C16023" i="2"/>
  <c r="D16023" i="2"/>
  <c r="F16023" i="2"/>
  <c r="G16023" i="2"/>
  <c r="H16023" i="2"/>
  <c r="J16023" i="2"/>
  <c r="K16023" i="2"/>
  <c r="L16023" i="2"/>
  <c r="C16024" i="2"/>
  <c r="D16024" i="2"/>
  <c r="F16024" i="2"/>
  <c r="G16024" i="2"/>
  <c r="H16024" i="2"/>
  <c r="J16024" i="2"/>
  <c r="K16024" i="2"/>
  <c r="L16024" i="2"/>
  <c r="C16025" i="2"/>
  <c r="D16025" i="2"/>
  <c r="F16025" i="2"/>
  <c r="G16025" i="2"/>
  <c r="H16025" i="2"/>
  <c r="J16025" i="2"/>
  <c r="K16025" i="2"/>
  <c r="L16025" i="2"/>
  <c r="C16026" i="2"/>
  <c r="D16026" i="2"/>
  <c r="F16026" i="2"/>
  <c r="G16026" i="2"/>
  <c r="H16026" i="2"/>
  <c r="J16026" i="2"/>
  <c r="K16026" i="2"/>
  <c r="L16026" i="2"/>
  <c r="C16027" i="2"/>
  <c r="D16027" i="2"/>
  <c r="F16027" i="2"/>
  <c r="G16027" i="2"/>
  <c r="H16027" i="2"/>
  <c r="J16027" i="2"/>
  <c r="K16027" i="2"/>
  <c r="L16027" i="2"/>
  <c r="C16028" i="2"/>
  <c r="D16028" i="2"/>
  <c r="F16028" i="2"/>
  <c r="G16028" i="2"/>
  <c r="H16028" i="2"/>
  <c r="J16028" i="2"/>
  <c r="K16028" i="2"/>
  <c r="L16028" i="2"/>
  <c r="C16029" i="2"/>
  <c r="D16029" i="2"/>
  <c r="F16029" i="2"/>
  <c r="G16029" i="2"/>
  <c r="H16029" i="2"/>
  <c r="J16029" i="2"/>
  <c r="K16029" i="2"/>
  <c r="L16029" i="2"/>
  <c r="C16030" i="2"/>
  <c r="D16030" i="2"/>
  <c r="F16030" i="2"/>
  <c r="G16030" i="2"/>
  <c r="H16030" i="2"/>
  <c r="J16030" i="2"/>
  <c r="K16030" i="2"/>
  <c r="L16030" i="2"/>
  <c r="C16031" i="2"/>
  <c r="D16031" i="2"/>
  <c r="F16031" i="2"/>
  <c r="G16031" i="2"/>
  <c r="H16031" i="2"/>
  <c r="J16031" i="2"/>
  <c r="K16031" i="2"/>
  <c r="L16031" i="2"/>
  <c r="C16032" i="2"/>
  <c r="D16032" i="2"/>
  <c r="E16032" i="2"/>
  <c r="F16032" i="2"/>
  <c r="G16032" i="2"/>
  <c r="H16032" i="2"/>
  <c r="J16032" i="2"/>
  <c r="K16032" i="2"/>
  <c r="L16032" i="2"/>
  <c r="C16033" i="2"/>
  <c r="D16033" i="2"/>
  <c r="F16033" i="2"/>
  <c r="G16033" i="2"/>
  <c r="H16033" i="2"/>
  <c r="J16033" i="2"/>
  <c r="K16033" i="2"/>
  <c r="L16033" i="2"/>
  <c r="C16034" i="2"/>
  <c r="D16034" i="2"/>
  <c r="F16034" i="2"/>
  <c r="G16034" i="2"/>
  <c r="H16034" i="2"/>
  <c r="J16034" i="2"/>
  <c r="K16034" i="2"/>
  <c r="L16034" i="2"/>
  <c r="C16035" i="2"/>
  <c r="D16035" i="2"/>
  <c r="F16035" i="2"/>
  <c r="G16035" i="2"/>
  <c r="H16035" i="2"/>
  <c r="J16035" i="2"/>
  <c r="K16035" i="2"/>
  <c r="L16035" i="2"/>
  <c r="C16036" i="2"/>
  <c r="D16036" i="2"/>
  <c r="F16036" i="2"/>
  <c r="G16036" i="2"/>
  <c r="H16036" i="2"/>
  <c r="J16036" i="2"/>
  <c r="K16036" i="2"/>
  <c r="L16036" i="2"/>
  <c r="C16037" i="2"/>
  <c r="D16037" i="2"/>
  <c r="F16037" i="2"/>
  <c r="G16037" i="2"/>
  <c r="H16037" i="2"/>
  <c r="J16037" i="2"/>
  <c r="K16037" i="2"/>
  <c r="L16037" i="2"/>
  <c r="C16038" i="2"/>
  <c r="D16038" i="2"/>
  <c r="F16038" i="2"/>
  <c r="G16038" i="2"/>
  <c r="H16038" i="2"/>
  <c r="J16038" i="2"/>
  <c r="K16038" i="2"/>
  <c r="L16038" i="2"/>
  <c r="C16039" i="2"/>
  <c r="D16039" i="2"/>
  <c r="F16039" i="2"/>
  <c r="G16039" i="2"/>
  <c r="H16039" i="2"/>
  <c r="J16039" i="2"/>
  <c r="K16039" i="2"/>
  <c r="L16039" i="2"/>
  <c r="C16040" i="2"/>
  <c r="D16040" i="2"/>
  <c r="F16040" i="2"/>
  <c r="G16040" i="2"/>
  <c r="H16040" i="2"/>
  <c r="J16040" i="2"/>
  <c r="K16040" i="2"/>
  <c r="L16040" i="2"/>
  <c r="C16041" i="2"/>
  <c r="D16041" i="2"/>
  <c r="F16041" i="2"/>
  <c r="G16041" i="2"/>
  <c r="H16041" i="2"/>
  <c r="J16041" i="2"/>
  <c r="K16041" i="2"/>
  <c r="L16041" i="2"/>
  <c r="C16042" i="2"/>
  <c r="D16042" i="2"/>
  <c r="F16042" i="2"/>
  <c r="G16042" i="2"/>
  <c r="H16042" i="2"/>
  <c r="J16042" i="2"/>
  <c r="K16042" i="2"/>
  <c r="L16042" i="2"/>
  <c r="C16043" i="2"/>
  <c r="D16043" i="2"/>
  <c r="F16043" i="2"/>
  <c r="G16043" i="2"/>
  <c r="H16043" i="2"/>
  <c r="J16043" i="2"/>
  <c r="K16043" i="2"/>
  <c r="L16043" i="2"/>
  <c r="C16044" i="2"/>
  <c r="D16044" i="2"/>
  <c r="F16044" i="2"/>
  <c r="G16044" i="2"/>
  <c r="H16044" i="2"/>
  <c r="J16044" i="2"/>
  <c r="K16044" i="2"/>
  <c r="L16044" i="2"/>
  <c r="C16045" i="2"/>
  <c r="D16045" i="2"/>
  <c r="F16045" i="2"/>
  <c r="G16045" i="2"/>
  <c r="H16045" i="2"/>
  <c r="J16045" i="2"/>
  <c r="K16045" i="2"/>
  <c r="L16045" i="2"/>
  <c r="C16046" i="2"/>
  <c r="D16046" i="2"/>
  <c r="F16046" i="2"/>
  <c r="G16046" i="2"/>
  <c r="H16046" i="2"/>
  <c r="J16046" i="2"/>
  <c r="K16046" i="2"/>
  <c r="L16046" i="2"/>
  <c r="C16047" i="2"/>
  <c r="D16047" i="2"/>
  <c r="F16047" i="2"/>
  <c r="G16047" i="2"/>
  <c r="H16047" i="2"/>
  <c r="J16047" i="2"/>
  <c r="K16047" i="2"/>
  <c r="L16047" i="2"/>
  <c r="C16048" i="2"/>
  <c r="D16048" i="2"/>
  <c r="F16048" i="2"/>
  <c r="G16048" i="2"/>
  <c r="H16048" i="2"/>
  <c r="J16048" i="2"/>
  <c r="K16048" i="2"/>
  <c r="L16048" i="2"/>
  <c r="C16049" i="2"/>
  <c r="D16049" i="2"/>
  <c r="F16049" i="2"/>
  <c r="G16049" i="2"/>
  <c r="H16049" i="2"/>
  <c r="J16049" i="2"/>
  <c r="K16049" i="2"/>
  <c r="L16049" i="2"/>
  <c r="C16050" i="2"/>
  <c r="D16050" i="2"/>
  <c r="F16050" i="2"/>
  <c r="G16050" i="2"/>
  <c r="H16050" i="2"/>
  <c r="J16050" i="2"/>
  <c r="K16050" i="2"/>
  <c r="L16050" i="2"/>
  <c r="C16051" i="2"/>
  <c r="D16051" i="2"/>
  <c r="F16051" i="2"/>
  <c r="G16051" i="2"/>
  <c r="H16051" i="2"/>
  <c r="J16051" i="2"/>
  <c r="K16051" i="2"/>
  <c r="L16051" i="2"/>
  <c r="C16052" i="2"/>
  <c r="D16052" i="2"/>
  <c r="F16052" i="2"/>
  <c r="G16052" i="2"/>
  <c r="H16052" i="2"/>
  <c r="J16052" i="2"/>
  <c r="K16052" i="2"/>
  <c r="L16052" i="2"/>
  <c r="C16053" i="2"/>
  <c r="D16053" i="2"/>
  <c r="F16053" i="2"/>
  <c r="G16053" i="2"/>
  <c r="H16053" i="2"/>
  <c r="J16053" i="2"/>
  <c r="K16053" i="2"/>
  <c r="L16053" i="2"/>
  <c r="C16054" i="2"/>
  <c r="D16054" i="2"/>
  <c r="F16054" i="2"/>
  <c r="G16054" i="2"/>
  <c r="H16054" i="2"/>
  <c r="J16054" i="2"/>
  <c r="K16054" i="2"/>
  <c r="L16054" i="2"/>
  <c r="C16055" i="2"/>
  <c r="D16055" i="2"/>
  <c r="F16055" i="2"/>
  <c r="G16055" i="2"/>
  <c r="H16055" i="2"/>
  <c r="J16055" i="2"/>
  <c r="K16055" i="2"/>
  <c r="L16055" i="2"/>
  <c r="C16056" i="2"/>
  <c r="D16056" i="2"/>
  <c r="F16056" i="2"/>
  <c r="G16056" i="2"/>
  <c r="H16056" i="2"/>
  <c r="J16056" i="2"/>
  <c r="K16056" i="2"/>
  <c r="L16056" i="2"/>
  <c r="C16057" i="2"/>
  <c r="D16057" i="2"/>
  <c r="F16057" i="2"/>
  <c r="G16057" i="2"/>
  <c r="H16057" i="2"/>
  <c r="J16057" i="2"/>
  <c r="K16057" i="2"/>
  <c r="L16057" i="2"/>
  <c r="C16058" i="2"/>
  <c r="D16058" i="2"/>
  <c r="F16058" i="2"/>
  <c r="G16058" i="2"/>
  <c r="H16058" i="2"/>
  <c r="J16058" i="2"/>
  <c r="K16058" i="2"/>
  <c r="L16058" i="2"/>
  <c r="C16059" i="2"/>
  <c r="D16059" i="2"/>
  <c r="F16059" i="2"/>
  <c r="G16059" i="2"/>
  <c r="H16059" i="2"/>
  <c r="J16059" i="2"/>
  <c r="K16059" i="2"/>
  <c r="L16059" i="2"/>
  <c r="C16060" i="2"/>
  <c r="D16060" i="2"/>
  <c r="F16060" i="2"/>
  <c r="G16060" i="2"/>
  <c r="H16060" i="2"/>
  <c r="J16060" i="2"/>
  <c r="K16060" i="2"/>
  <c r="L16060" i="2"/>
  <c r="C16061" i="2"/>
  <c r="D16061" i="2"/>
  <c r="F16061" i="2"/>
  <c r="G16061" i="2"/>
  <c r="H16061" i="2"/>
  <c r="J16061" i="2"/>
  <c r="K16061" i="2"/>
  <c r="L16061" i="2"/>
  <c r="C16062" i="2"/>
  <c r="D16062" i="2"/>
  <c r="F16062" i="2"/>
  <c r="G16062" i="2"/>
  <c r="H16062" i="2"/>
  <c r="J16062" i="2"/>
  <c r="K16062" i="2"/>
  <c r="L16062" i="2"/>
  <c r="C16063" i="2"/>
  <c r="D16063" i="2"/>
  <c r="F16063" i="2"/>
  <c r="G16063" i="2"/>
  <c r="H16063" i="2"/>
  <c r="J16063" i="2"/>
  <c r="K16063" i="2"/>
  <c r="L16063" i="2"/>
  <c r="C16064" i="2"/>
  <c r="D16064" i="2"/>
  <c r="F16064" i="2"/>
  <c r="G16064" i="2"/>
  <c r="H16064" i="2"/>
  <c r="J16064" i="2"/>
  <c r="K16064" i="2"/>
  <c r="L16064" i="2"/>
  <c r="C16065" i="2"/>
  <c r="D16065" i="2"/>
  <c r="F16065" i="2"/>
  <c r="G16065" i="2"/>
  <c r="H16065" i="2"/>
  <c r="J16065" i="2"/>
  <c r="K16065" i="2"/>
  <c r="L16065" i="2"/>
  <c r="C16066" i="2"/>
  <c r="D16066" i="2"/>
  <c r="F16066" i="2"/>
  <c r="G16066" i="2"/>
  <c r="H16066" i="2"/>
  <c r="J16066" i="2"/>
  <c r="K16066" i="2"/>
  <c r="L16066" i="2"/>
  <c r="C16067" i="2"/>
  <c r="D16067" i="2"/>
  <c r="F16067" i="2"/>
  <c r="G16067" i="2"/>
  <c r="H16067" i="2"/>
  <c r="J16067" i="2"/>
  <c r="K16067" i="2"/>
  <c r="L16067" i="2"/>
  <c r="C16068" i="2"/>
  <c r="D16068" i="2"/>
  <c r="F16068" i="2"/>
  <c r="G16068" i="2"/>
  <c r="H16068" i="2"/>
  <c r="J16068" i="2"/>
  <c r="K16068" i="2"/>
  <c r="L16068" i="2"/>
  <c r="C16069" i="2"/>
  <c r="D16069" i="2"/>
  <c r="F16069" i="2"/>
  <c r="G16069" i="2"/>
  <c r="H16069" i="2"/>
  <c r="J16069" i="2"/>
  <c r="K16069" i="2"/>
  <c r="L16069" i="2"/>
  <c r="C16070" i="2"/>
  <c r="D16070" i="2"/>
  <c r="F16070" i="2"/>
  <c r="G16070" i="2"/>
  <c r="H16070" i="2"/>
  <c r="J16070" i="2"/>
  <c r="K16070" i="2"/>
  <c r="L16070" i="2"/>
  <c r="C16071" i="2"/>
  <c r="D16071" i="2"/>
  <c r="F16071" i="2"/>
  <c r="G16071" i="2"/>
  <c r="H16071" i="2"/>
  <c r="J16071" i="2"/>
  <c r="K16071" i="2"/>
  <c r="L16071" i="2"/>
  <c r="C16072" i="2"/>
  <c r="D16072" i="2"/>
  <c r="F16072" i="2"/>
  <c r="G16072" i="2"/>
  <c r="H16072" i="2"/>
  <c r="J16072" i="2"/>
  <c r="K16072" i="2"/>
  <c r="L16072" i="2"/>
  <c r="C16073" i="2"/>
  <c r="D16073" i="2"/>
  <c r="F16073" i="2"/>
  <c r="G16073" i="2"/>
  <c r="H16073" i="2"/>
  <c r="J16073" i="2"/>
  <c r="K16073" i="2"/>
  <c r="L16073" i="2"/>
  <c r="C16074" i="2"/>
  <c r="D16074" i="2"/>
  <c r="F16074" i="2"/>
  <c r="G16074" i="2"/>
  <c r="H16074" i="2"/>
  <c r="J16074" i="2"/>
  <c r="K16074" i="2"/>
  <c r="L16074" i="2"/>
  <c r="C16075" i="2"/>
  <c r="D16075" i="2"/>
  <c r="F16075" i="2"/>
  <c r="G16075" i="2"/>
  <c r="H16075" i="2"/>
  <c r="J16075" i="2"/>
  <c r="K16075" i="2"/>
  <c r="L16075" i="2"/>
  <c r="C16076" i="2"/>
  <c r="D16076" i="2"/>
  <c r="F16076" i="2"/>
  <c r="G16076" i="2"/>
  <c r="H16076" i="2"/>
  <c r="J16076" i="2"/>
  <c r="K16076" i="2"/>
  <c r="L16076" i="2"/>
  <c r="C16077" i="2"/>
  <c r="D16077" i="2"/>
  <c r="F16077" i="2"/>
  <c r="G16077" i="2"/>
  <c r="H16077" i="2"/>
  <c r="J16077" i="2"/>
  <c r="K16077" i="2"/>
  <c r="L16077" i="2"/>
  <c r="C16078" i="2"/>
  <c r="D16078" i="2"/>
  <c r="F16078" i="2"/>
  <c r="G16078" i="2"/>
  <c r="H16078" i="2"/>
  <c r="J16078" i="2"/>
  <c r="K16078" i="2"/>
  <c r="L16078" i="2"/>
  <c r="C16079" i="2"/>
  <c r="D16079" i="2"/>
  <c r="F16079" i="2"/>
  <c r="G16079" i="2"/>
  <c r="H16079" i="2"/>
  <c r="J16079" i="2"/>
  <c r="K16079" i="2"/>
  <c r="L16079" i="2"/>
  <c r="C16080" i="2"/>
  <c r="D16080" i="2"/>
  <c r="F16080" i="2"/>
  <c r="G16080" i="2"/>
  <c r="H16080" i="2"/>
  <c r="J16080" i="2"/>
  <c r="K16080" i="2"/>
  <c r="L16080" i="2"/>
  <c r="C16081" i="2"/>
  <c r="D16081" i="2"/>
  <c r="F16081" i="2"/>
  <c r="G16081" i="2"/>
  <c r="H16081" i="2"/>
  <c r="J16081" i="2"/>
  <c r="K16081" i="2"/>
  <c r="L16081" i="2"/>
  <c r="C16082" i="2"/>
  <c r="D16082" i="2"/>
  <c r="F16082" i="2"/>
  <c r="G16082" i="2"/>
  <c r="H16082" i="2"/>
  <c r="J16082" i="2"/>
  <c r="K16082" i="2"/>
  <c r="L16082" i="2"/>
  <c r="C16083" i="2"/>
  <c r="D16083" i="2"/>
  <c r="F16083" i="2"/>
  <c r="G16083" i="2"/>
  <c r="H16083" i="2"/>
  <c r="J16083" i="2"/>
  <c r="K16083" i="2"/>
  <c r="L16083" i="2"/>
  <c r="C16084" i="2"/>
  <c r="D16084" i="2"/>
  <c r="F16084" i="2"/>
  <c r="G16084" i="2"/>
  <c r="H16084" i="2"/>
  <c r="J16084" i="2"/>
  <c r="K16084" i="2"/>
  <c r="L16084" i="2"/>
  <c r="C16085" i="2"/>
  <c r="D16085" i="2"/>
  <c r="F16085" i="2"/>
  <c r="G16085" i="2"/>
  <c r="H16085" i="2"/>
  <c r="J16085" i="2"/>
  <c r="K16085" i="2"/>
  <c r="L16085" i="2"/>
  <c r="C16086" i="2"/>
  <c r="D16086" i="2"/>
  <c r="F16086" i="2"/>
  <c r="G16086" i="2"/>
  <c r="H16086" i="2"/>
  <c r="J16086" i="2"/>
  <c r="K16086" i="2"/>
  <c r="L16086" i="2"/>
  <c r="C16087" i="2"/>
  <c r="D16087" i="2"/>
  <c r="F16087" i="2"/>
  <c r="G16087" i="2"/>
  <c r="H16087" i="2"/>
  <c r="J16087" i="2"/>
  <c r="K16087" i="2"/>
  <c r="L16087" i="2"/>
  <c r="C16088" i="2"/>
  <c r="D16088" i="2"/>
  <c r="F16088" i="2"/>
  <c r="G16088" i="2"/>
  <c r="H16088" i="2"/>
  <c r="J16088" i="2"/>
  <c r="K16088" i="2"/>
  <c r="L16088" i="2"/>
  <c r="C16089" i="2"/>
  <c r="D16089" i="2"/>
  <c r="F16089" i="2"/>
  <c r="G16089" i="2"/>
  <c r="H16089" i="2"/>
  <c r="J16089" i="2"/>
  <c r="K16089" i="2"/>
  <c r="L16089" i="2"/>
  <c r="C16090" i="2"/>
  <c r="D16090" i="2"/>
  <c r="F16090" i="2"/>
  <c r="G16090" i="2"/>
  <c r="H16090" i="2"/>
  <c r="J16090" i="2"/>
  <c r="K16090" i="2"/>
  <c r="L16090" i="2"/>
  <c r="C16091" i="2"/>
  <c r="D16091" i="2"/>
  <c r="F16091" i="2"/>
  <c r="G16091" i="2"/>
  <c r="H16091" i="2"/>
  <c r="J16091" i="2"/>
  <c r="K16091" i="2"/>
  <c r="L16091" i="2"/>
  <c r="C16092" i="2"/>
  <c r="D16092" i="2"/>
  <c r="F16092" i="2"/>
  <c r="G16092" i="2"/>
  <c r="H16092" i="2"/>
  <c r="J16092" i="2"/>
  <c r="K16092" i="2"/>
  <c r="L16092" i="2"/>
  <c r="C16093" i="2"/>
  <c r="D16093" i="2"/>
  <c r="F16093" i="2"/>
  <c r="G16093" i="2"/>
  <c r="H16093" i="2"/>
  <c r="J16093" i="2"/>
  <c r="K16093" i="2"/>
  <c r="L16093" i="2"/>
  <c r="C16094" i="2"/>
  <c r="D16094" i="2"/>
  <c r="F16094" i="2"/>
  <c r="G16094" i="2"/>
  <c r="H16094" i="2"/>
  <c r="J16094" i="2"/>
  <c r="K16094" i="2"/>
  <c r="L16094" i="2"/>
  <c r="C16095" i="2"/>
  <c r="D16095" i="2"/>
  <c r="F16095" i="2"/>
  <c r="G16095" i="2"/>
  <c r="H16095" i="2"/>
  <c r="J16095" i="2"/>
  <c r="K16095" i="2"/>
  <c r="L16095" i="2"/>
  <c r="C16096" i="2"/>
  <c r="D16096" i="2"/>
  <c r="F16096" i="2"/>
  <c r="G16096" i="2"/>
  <c r="H16096" i="2"/>
  <c r="J16096" i="2"/>
  <c r="K16096" i="2"/>
  <c r="L16096" i="2"/>
  <c r="C16097" i="2"/>
  <c r="D16097" i="2"/>
  <c r="F16097" i="2"/>
  <c r="G16097" i="2"/>
  <c r="H16097" i="2"/>
  <c r="J16097" i="2"/>
  <c r="K16097" i="2"/>
  <c r="L16097" i="2"/>
  <c r="C16098" i="2"/>
  <c r="D16098" i="2"/>
  <c r="E16098" i="2"/>
  <c r="F16098" i="2"/>
  <c r="G16098" i="2"/>
  <c r="H16098" i="2"/>
  <c r="J16098" i="2"/>
  <c r="K16098" i="2"/>
  <c r="L16098" i="2"/>
  <c r="C16099" i="2"/>
  <c r="D16099" i="2"/>
  <c r="F16099" i="2"/>
  <c r="G16099" i="2"/>
  <c r="H16099" i="2"/>
  <c r="J16099" i="2"/>
  <c r="K16099" i="2"/>
  <c r="L16099" i="2"/>
  <c r="C16100" i="2"/>
  <c r="D16100" i="2"/>
  <c r="F16100" i="2"/>
  <c r="G16100" i="2"/>
  <c r="H16100" i="2"/>
  <c r="J16100" i="2"/>
  <c r="K16100" i="2"/>
  <c r="L16100" i="2"/>
  <c r="C16101" i="2"/>
  <c r="D16101" i="2"/>
  <c r="F16101" i="2"/>
  <c r="G16101" i="2"/>
  <c r="H16101" i="2"/>
  <c r="J16101" i="2"/>
  <c r="K16101" i="2"/>
  <c r="L16101" i="2"/>
  <c r="C16102" i="2"/>
  <c r="D16102" i="2"/>
  <c r="F16102" i="2"/>
  <c r="G16102" i="2"/>
  <c r="H16102" i="2"/>
  <c r="J16102" i="2"/>
  <c r="K16102" i="2"/>
  <c r="L16102" i="2"/>
  <c r="C16103" i="2"/>
  <c r="D16103" i="2"/>
  <c r="F16103" i="2"/>
  <c r="G16103" i="2"/>
  <c r="H16103" i="2"/>
  <c r="J16103" i="2"/>
  <c r="K16103" i="2"/>
  <c r="L16103" i="2"/>
  <c r="C16104" i="2"/>
  <c r="D16104" i="2"/>
  <c r="F16104" i="2"/>
  <c r="G16104" i="2"/>
  <c r="H16104" i="2"/>
  <c r="J16104" i="2"/>
  <c r="K16104" i="2"/>
  <c r="L16104" i="2"/>
  <c r="C16105" i="2"/>
  <c r="D16105" i="2"/>
  <c r="F16105" i="2"/>
  <c r="G16105" i="2"/>
  <c r="H16105" i="2"/>
  <c r="J16105" i="2"/>
  <c r="K16105" i="2"/>
  <c r="L16105" i="2"/>
  <c r="C16106" i="2"/>
  <c r="D16106" i="2"/>
  <c r="F16106" i="2"/>
  <c r="G16106" i="2"/>
  <c r="H16106" i="2"/>
  <c r="J16106" i="2"/>
  <c r="K16106" i="2"/>
  <c r="L16106" i="2"/>
  <c r="C16107" i="2"/>
  <c r="D16107" i="2"/>
  <c r="F16107" i="2"/>
  <c r="G16107" i="2"/>
  <c r="H16107" i="2"/>
  <c r="J16107" i="2"/>
  <c r="K16107" i="2"/>
  <c r="L16107" i="2"/>
  <c r="C16108" i="2"/>
  <c r="D16108" i="2"/>
  <c r="F16108" i="2"/>
  <c r="G16108" i="2"/>
  <c r="H16108" i="2"/>
  <c r="J16108" i="2"/>
  <c r="K16108" i="2"/>
  <c r="L16108" i="2"/>
  <c r="C16109" i="2"/>
  <c r="D16109" i="2"/>
  <c r="F16109" i="2"/>
  <c r="G16109" i="2"/>
  <c r="H16109" i="2"/>
  <c r="J16109" i="2"/>
  <c r="K16109" i="2"/>
  <c r="L16109" i="2"/>
  <c r="C16110" i="2"/>
  <c r="D16110" i="2"/>
  <c r="F16110" i="2"/>
  <c r="G16110" i="2"/>
  <c r="H16110" i="2"/>
  <c r="J16110" i="2"/>
  <c r="K16110" i="2"/>
  <c r="L16110" i="2"/>
  <c r="C16111" i="2"/>
  <c r="D16111" i="2"/>
  <c r="F16111" i="2"/>
  <c r="G16111" i="2"/>
  <c r="H16111" i="2"/>
  <c r="J16111" i="2"/>
  <c r="K16111" i="2"/>
  <c r="L16111" i="2"/>
  <c r="C16112" i="2"/>
  <c r="D16112" i="2"/>
  <c r="F16112" i="2"/>
  <c r="G16112" i="2"/>
  <c r="H16112" i="2"/>
  <c r="J16112" i="2"/>
  <c r="K16112" i="2"/>
  <c r="L16112" i="2"/>
  <c r="C16113" i="2"/>
  <c r="D16113" i="2"/>
  <c r="F16113" i="2"/>
  <c r="G16113" i="2"/>
  <c r="H16113" i="2"/>
  <c r="J16113" i="2"/>
  <c r="K16113" i="2"/>
  <c r="L16113" i="2"/>
  <c r="C16114" i="2"/>
  <c r="D16114" i="2"/>
  <c r="F16114" i="2"/>
  <c r="G16114" i="2"/>
  <c r="H16114" i="2"/>
  <c r="J16114" i="2"/>
  <c r="K16114" i="2"/>
  <c r="L16114" i="2"/>
  <c r="C16115" i="2"/>
  <c r="D16115" i="2"/>
  <c r="F16115" i="2"/>
  <c r="G16115" i="2"/>
  <c r="H16115" i="2"/>
  <c r="J16115" i="2"/>
  <c r="K16115" i="2"/>
  <c r="L16115" i="2"/>
  <c r="C16116" i="2"/>
  <c r="D16116" i="2"/>
  <c r="F16116" i="2"/>
  <c r="G16116" i="2"/>
  <c r="H16116" i="2"/>
  <c r="J16116" i="2"/>
  <c r="K16116" i="2"/>
  <c r="L16116" i="2"/>
  <c r="C16117" i="2"/>
  <c r="D16117" i="2"/>
  <c r="F16117" i="2"/>
  <c r="G16117" i="2"/>
  <c r="H16117" i="2"/>
  <c r="J16117" i="2"/>
  <c r="K16117" i="2"/>
  <c r="L16117" i="2"/>
  <c r="C16118" i="2"/>
  <c r="D16118" i="2"/>
  <c r="F16118" i="2"/>
  <c r="G16118" i="2"/>
  <c r="H16118" i="2"/>
  <c r="J16118" i="2"/>
  <c r="K16118" i="2"/>
  <c r="L16118" i="2"/>
  <c r="C16119" i="2"/>
  <c r="D16119" i="2"/>
  <c r="F16119" i="2"/>
  <c r="G16119" i="2"/>
  <c r="H16119" i="2"/>
  <c r="J16119" i="2"/>
  <c r="K16119" i="2"/>
  <c r="L16119" i="2"/>
  <c r="C16120" i="2"/>
  <c r="D16120" i="2"/>
  <c r="F16120" i="2"/>
  <c r="G16120" i="2"/>
  <c r="H16120" i="2"/>
  <c r="J16120" i="2"/>
  <c r="K16120" i="2"/>
  <c r="L16120" i="2"/>
  <c r="C16121" i="2"/>
  <c r="D16121" i="2"/>
  <c r="F16121" i="2"/>
  <c r="G16121" i="2"/>
  <c r="H16121" i="2"/>
  <c r="J16121" i="2"/>
  <c r="K16121" i="2"/>
  <c r="L16121" i="2"/>
  <c r="C16122" i="2"/>
  <c r="D16122" i="2"/>
  <c r="F16122" i="2"/>
  <c r="G16122" i="2"/>
  <c r="H16122" i="2"/>
  <c r="J16122" i="2"/>
  <c r="K16122" i="2"/>
  <c r="L16122" i="2"/>
  <c r="C16123" i="2"/>
  <c r="D16123" i="2"/>
  <c r="F16123" i="2"/>
  <c r="G16123" i="2"/>
  <c r="H16123" i="2"/>
  <c r="J16123" i="2"/>
  <c r="K16123" i="2"/>
  <c r="L16123" i="2"/>
  <c r="C16124" i="2"/>
  <c r="D16124" i="2"/>
  <c r="F16124" i="2"/>
  <c r="G16124" i="2"/>
  <c r="H16124" i="2"/>
  <c r="J16124" i="2"/>
  <c r="K16124" i="2"/>
  <c r="L16124" i="2"/>
  <c r="C16125" i="2"/>
  <c r="D16125" i="2"/>
  <c r="F16125" i="2"/>
  <c r="G16125" i="2"/>
  <c r="H16125" i="2"/>
  <c r="J16125" i="2"/>
  <c r="K16125" i="2"/>
  <c r="L16125" i="2"/>
  <c r="C16126" i="2"/>
  <c r="D16126" i="2"/>
  <c r="F16126" i="2"/>
  <c r="G16126" i="2"/>
  <c r="H16126" i="2"/>
  <c r="J16126" i="2"/>
  <c r="K16126" i="2"/>
  <c r="L16126" i="2"/>
  <c r="C16127" i="2"/>
  <c r="D16127" i="2"/>
  <c r="F16127" i="2"/>
  <c r="G16127" i="2"/>
  <c r="H16127" i="2"/>
  <c r="J16127" i="2"/>
  <c r="K16127" i="2"/>
  <c r="L16127" i="2"/>
  <c r="C16128" i="2"/>
  <c r="D16128" i="2"/>
  <c r="F16128" i="2"/>
  <c r="G16128" i="2"/>
  <c r="H16128" i="2"/>
  <c r="J16128" i="2"/>
  <c r="K16128" i="2"/>
  <c r="L16128" i="2"/>
  <c r="C16129" i="2"/>
  <c r="D16129" i="2"/>
  <c r="F16129" i="2"/>
  <c r="G16129" i="2"/>
  <c r="H16129" i="2"/>
  <c r="J16129" i="2"/>
  <c r="K16129" i="2"/>
  <c r="L16129" i="2"/>
  <c r="C16130" i="2"/>
  <c r="D16130" i="2"/>
  <c r="F16130" i="2"/>
  <c r="G16130" i="2"/>
  <c r="H16130" i="2"/>
  <c r="J16130" i="2"/>
  <c r="K16130" i="2"/>
  <c r="L16130" i="2"/>
  <c r="C16131" i="2"/>
  <c r="D16131" i="2"/>
  <c r="F16131" i="2"/>
  <c r="G16131" i="2"/>
  <c r="H16131" i="2"/>
  <c r="J16131" i="2"/>
  <c r="K16131" i="2"/>
  <c r="L16131" i="2"/>
  <c r="C16132" i="2"/>
  <c r="D16132" i="2"/>
  <c r="F16132" i="2"/>
  <c r="G16132" i="2"/>
  <c r="H16132" i="2"/>
  <c r="J16132" i="2"/>
  <c r="K16132" i="2"/>
  <c r="L16132" i="2"/>
  <c r="C16133" i="2"/>
  <c r="D16133" i="2"/>
  <c r="F16133" i="2"/>
  <c r="G16133" i="2"/>
  <c r="H16133" i="2"/>
  <c r="J16133" i="2"/>
  <c r="K16133" i="2"/>
  <c r="L16133" i="2"/>
  <c r="C16134" i="2"/>
  <c r="D16134" i="2"/>
  <c r="F16134" i="2"/>
  <c r="G16134" i="2"/>
  <c r="H16134" i="2"/>
  <c r="J16134" i="2"/>
  <c r="K16134" i="2"/>
  <c r="L16134" i="2"/>
  <c r="C16135" i="2"/>
  <c r="D16135" i="2"/>
  <c r="F16135" i="2"/>
  <c r="G16135" i="2"/>
  <c r="H16135" i="2"/>
  <c r="J16135" i="2"/>
  <c r="K16135" i="2"/>
  <c r="L16135" i="2"/>
  <c r="C16136" i="2"/>
  <c r="D16136" i="2"/>
  <c r="F16136" i="2"/>
  <c r="G16136" i="2"/>
  <c r="H16136" i="2"/>
  <c r="J16136" i="2"/>
  <c r="K16136" i="2"/>
  <c r="L16136" i="2"/>
  <c r="C16137" i="2"/>
  <c r="D16137" i="2"/>
  <c r="F16137" i="2"/>
  <c r="G16137" i="2"/>
  <c r="H16137" i="2"/>
  <c r="J16137" i="2"/>
  <c r="K16137" i="2"/>
  <c r="L16137" i="2"/>
  <c r="C16138" i="2"/>
  <c r="D16138" i="2"/>
  <c r="F16138" i="2"/>
  <c r="G16138" i="2"/>
  <c r="H16138" i="2"/>
  <c r="J16138" i="2"/>
  <c r="K16138" i="2"/>
  <c r="L16138" i="2"/>
  <c r="C16139" i="2"/>
  <c r="D16139" i="2"/>
  <c r="F16139" i="2"/>
  <c r="G16139" i="2"/>
  <c r="H16139" i="2"/>
  <c r="J16139" i="2"/>
  <c r="K16139" i="2"/>
  <c r="L16139" i="2"/>
  <c r="C16140" i="2"/>
  <c r="D16140" i="2"/>
  <c r="F16140" i="2"/>
  <c r="G16140" i="2"/>
  <c r="H16140" i="2"/>
  <c r="J16140" i="2"/>
  <c r="K16140" i="2"/>
  <c r="L16140" i="2"/>
  <c r="C16141" i="2"/>
  <c r="D16141" i="2"/>
  <c r="F16141" i="2"/>
  <c r="G16141" i="2"/>
  <c r="H16141" i="2"/>
  <c r="J16141" i="2"/>
  <c r="K16141" i="2"/>
  <c r="L16141" i="2"/>
  <c r="C16142" i="2"/>
  <c r="D16142" i="2"/>
  <c r="F16142" i="2"/>
  <c r="G16142" i="2"/>
  <c r="H16142" i="2"/>
  <c r="J16142" i="2"/>
  <c r="K16142" i="2"/>
  <c r="L16142" i="2"/>
  <c r="C16143" i="2"/>
  <c r="D16143" i="2"/>
  <c r="F16143" i="2"/>
  <c r="G16143" i="2"/>
  <c r="H16143" i="2"/>
  <c r="J16143" i="2"/>
  <c r="K16143" i="2"/>
  <c r="L16143" i="2"/>
  <c r="C16144" i="2"/>
  <c r="D16144" i="2"/>
  <c r="F16144" i="2"/>
  <c r="G16144" i="2"/>
  <c r="H16144" i="2"/>
  <c r="J16144" i="2"/>
  <c r="K16144" i="2"/>
  <c r="L16144" i="2"/>
  <c r="C16145" i="2"/>
  <c r="D16145" i="2"/>
  <c r="F16145" i="2"/>
  <c r="G16145" i="2"/>
  <c r="H16145" i="2"/>
  <c r="J16145" i="2"/>
  <c r="K16145" i="2"/>
  <c r="L16145" i="2"/>
  <c r="C16146" i="2"/>
  <c r="D16146" i="2"/>
  <c r="F16146" i="2"/>
  <c r="G16146" i="2"/>
  <c r="H16146" i="2"/>
  <c r="J16146" i="2"/>
  <c r="K16146" i="2"/>
  <c r="L16146" i="2"/>
  <c r="C16147" i="2"/>
  <c r="D16147" i="2"/>
  <c r="F16147" i="2"/>
  <c r="G16147" i="2"/>
  <c r="H16147" i="2"/>
  <c r="J16147" i="2"/>
  <c r="K16147" i="2"/>
  <c r="L16147" i="2"/>
  <c r="C16148" i="2"/>
  <c r="D16148" i="2"/>
  <c r="F16148" i="2"/>
  <c r="G16148" i="2"/>
  <c r="H16148" i="2"/>
  <c r="J16148" i="2"/>
  <c r="K16148" i="2"/>
  <c r="L16148" i="2"/>
  <c r="C16149" i="2"/>
  <c r="D16149" i="2"/>
  <c r="F16149" i="2"/>
  <c r="G16149" i="2"/>
  <c r="H16149" i="2"/>
  <c r="J16149" i="2"/>
  <c r="K16149" i="2"/>
  <c r="L16149" i="2"/>
  <c r="C16150" i="2"/>
  <c r="D16150" i="2"/>
  <c r="F16150" i="2"/>
  <c r="G16150" i="2"/>
  <c r="H16150" i="2"/>
  <c r="J16150" i="2"/>
  <c r="K16150" i="2"/>
  <c r="L16150" i="2"/>
  <c r="C16151" i="2"/>
  <c r="D16151" i="2"/>
  <c r="F16151" i="2"/>
  <c r="G16151" i="2"/>
  <c r="H16151" i="2"/>
  <c r="J16151" i="2"/>
  <c r="K16151" i="2"/>
  <c r="L16151" i="2"/>
  <c r="C16152" i="2"/>
  <c r="D16152" i="2"/>
  <c r="F16152" i="2"/>
  <c r="G16152" i="2"/>
  <c r="H16152" i="2"/>
  <c r="J16152" i="2"/>
  <c r="K16152" i="2"/>
  <c r="L16152" i="2"/>
  <c r="C16153" i="2"/>
  <c r="D16153" i="2"/>
  <c r="F16153" i="2"/>
  <c r="G16153" i="2"/>
  <c r="H16153" i="2"/>
  <c r="J16153" i="2"/>
  <c r="K16153" i="2"/>
  <c r="L16153" i="2"/>
  <c r="C16154" i="2"/>
  <c r="D16154" i="2"/>
  <c r="F16154" i="2"/>
  <c r="G16154" i="2"/>
  <c r="H16154" i="2"/>
  <c r="J16154" i="2"/>
  <c r="K16154" i="2"/>
  <c r="L16154" i="2"/>
  <c r="C16155" i="2"/>
  <c r="D16155" i="2"/>
  <c r="F16155" i="2"/>
  <c r="G16155" i="2"/>
  <c r="H16155" i="2"/>
  <c r="J16155" i="2"/>
  <c r="K16155" i="2"/>
  <c r="L16155" i="2"/>
  <c r="C16156" i="2"/>
  <c r="D16156" i="2"/>
  <c r="F16156" i="2"/>
  <c r="G16156" i="2"/>
  <c r="H16156" i="2"/>
  <c r="J16156" i="2"/>
  <c r="K16156" i="2"/>
  <c r="L16156" i="2"/>
  <c r="C16157" i="2"/>
  <c r="D16157" i="2"/>
  <c r="F16157" i="2"/>
  <c r="G16157" i="2"/>
  <c r="H16157" i="2"/>
  <c r="J16157" i="2"/>
  <c r="K16157" i="2"/>
  <c r="L16157" i="2"/>
  <c r="C16158" i="2"/>
  <c r="D16158" i="2"/>
  <c r="F16158" i="2"/>
  <c r="G16158" i="2"/>
  <c r="H16158" i="2"/>
  <c r="J16158" i="2"/>
  <c r="K16158" i="2"/>
  <c r="L16158" i="2"/>
  <c r="C16159" i="2"/>
  <c r="D16159" i="2"/>
  <c r="F16159" i="2"/>
  <c r="G16159" i="2"/>
  <c r="H16159" i="2"/>
  <c r="J16159" i="2"/>
  <c r="K16159" i="2"/>
  <c r="L16159" i="2"/>
  <c r="C16160" i="2"/>
  <c r="D16160" i="2"/>
  <c r="F16160" i="2"/>
  <c r="G16160" i="2"/>
  <c r="H16160" i="2"/>
  <c r="J16160" i="2"/>
  <c r="K16160" i="2"/>
  <c r="L16160" i="2"/>
  <c r="C16161" i="2"/>
  <c r="D16161" i="2"/>
  <c r="F16161" i="2"/>
  <c r="G16161" i="2"/>
  <c r="H16161" i="2"/>
  <c r="J16161" i="2"/>
  <c r="K16161" i="2"/>
  <c r="L16161" i="2"/>
  <c r="C16162" i="2"/>
  <c r="D16162" i="2"/>
  <c r="F16162" i="2"/>
  <c r="G16162" i="2"/>
  <c r="H16162" i="2"/>
  <c r="J16162" i="2"/>
  <c r="K16162" i="2"/>
  <c r="L16162" i="2"/>
  <c r="C16163" i="2"/>
  <c r="D16163" i="2"/>
  <c r="F16163" i="2"/>
  <c r="G16163" i="2"/>
  <c r="H16163" i="2"/>
  <c r="J16163" i="2"/>
  <c r="K16163" i="2"/>
  <c r="L16163" i="2"/>
  <c r="C16164" i="2"/>
  <c r="D16164" i="2"/>
  <c r="F16164" i="2"/>
  <c r="G16164" i="2"/>
  <c r="H16164" i="2"/>
  <c r="J16164" i="2"/>
  <c r="K16164" i="2"/>
  <c r="L16164" i="2"/>
  <c r="C16165" i="2"/>
  <c r="D16165" i="2"/>
  <c r="F16165" i="2"/>
  <c r="G16165" i="2"/>
  <c r="H16165" i="2"/>
  <c r="J16165" i="2"/>
  <c r="K16165" i="2"/>
  <c r="L16165" i="2"/>
  <c r="C16166" i="2"/>
  <c r="D16166" i="2"/>
  <c r="F16166" i="2"/>
  <c r="G16166" i="2"/>
  <c r="H16166" i="2"/>
  <c r="J16166" i="2"/>
  <c r="K16166" i="2"/>
  <c r="L16166" i="2"/>
  <c r="C16167" i="2"/>
  <c r="D16167" i="2"/>
  <c r="F16167" i="2"/>
  <c r="G16167" i="2"/>
  <c r="H16167" i="2"/>
  <c r="J16167" i="2"/>
  <c r="K16167" i="2"/>
  <c r="L16167" i="2"/>
  <c r="C16168" i="2"/>
  <c r="D16168" i="2"/>
  <c r="F16168" i="2"/>
  <c r="G16168" i="2"/>
  <c r="H16168" i="2"/>
  <c r="J16168" i="2"/>
  <c r="K16168" i="2"/>
  <c r="L16168" i="2"/>
  <c r="C16169" i="2"/>
  <c r="D16169" i="2"/>
  <c r="F16169" i="2"/>
  <c r="G16169" i="2"/>
  <c r="H16169" i="2"/>
  <c r="J16169" i="2"/>
  <c r="K16169" i="2"/>
  <c r="L16169" i="2"/>
  <c r="C16170" i="2"/>
  <c r="D16170" i="2"/>
  <c r="F16170" i="2"/>
  <c r="G16170" i="2"/>
  <c r="H16170" i="2"/>
  <c r="J16170" i="2"/>
  <c r="K16170" i="2"/>
  <c r="L16170" i="2"/>
  <c r="C16171" i="2"/>
  <c r="D16171" i="2"/>
  <c r="F16171" i="2"/>
  <c r="G16171" i="2"/>
  <c r="H16171" i="2"/>
  <c r="J16171" i="2"/>
  <c r="K16171" i="2"/>
  <c r="L16171" i="2"/>
  <c r="C16172" i="2"/>
  <c r="D16172" i="2"/>
  <c r="F16172" i="2"/>
  <c r="G16172" i="2"/>
  <c r="H16172" i="2"/>
  <c r="J16172" i="2"/>
  <c r="K16172" i="2"/>
  <c r="L16172" i="2"/>
  <c r="C16173" i="2"/>
  <c r="D16173" i="2"/>
  <c r="F16173" i="2"/>
  <c r="G16173" i="2"/>
  <c r="H16173" i="2"/>
  <c r="J16173" i="2"/>
  <c r="K16173" i="2"/>
  <c r="L16173" i="2"/>
  <c r="C16174" i="2"/>
  <c r="D16174" i="2"/>
  <c r="F16174" i="2"/>
  <c r="G16174" i="2"/>
  <c r="H16174" i="2"/>
  <c r="J16174" i="2"/>
  <c r="K16174" i="2"/>
  <c r="L16174" i="2"/>
  <c r="C16175" i="2"/>
  <c r="D16175" i="2"/>
  <c r="F16175" i="2"/>
  <c r="G16175" i="2"/>
  <c r="H16175" i="2"/>
  <c r="J16175" i="2"/>
  <c r="K16175" i="2"/>
  <c r="L16175" i="2"/>
  <c r="C16176" i="2"/>
  <c r="D16176" i="2"/>
  <c r="F16176" i="2"/>
  <c r="G16176" i="2"/>
  <c r="H16176" i="2"/>
  <c r="J16176" i="2"/>
  <c r="K16176" i="2"/>
  <c r="L16176" i="2"/>
  <c r="C16177" i="2"/>
  <c r="D16177" i="2"/>
  <c r="F16177" i="2"/>
  <c r="G16177" i="2"/>
  <c r="H16177" i="2"/>
  <c r="J16177" i="2"/>
  <c r="K16177" i="2"/>
  <c r="L16177" i="2"/>
  <c r="C16178" i="2"/>
  <c r="D16178" i="2"/>
  <c r="F16178" i="2"/>
  <c r="G16178" i="2"/>
  <c r="H16178" i="2"/>
  <c r="J16178" i="2"/>
  <c r="K16178" i="2"/>
  <c r="L16178" i="2"/>
  <c r="C16179" i="2"/>
  <c r="D16179" i="2"/>
  <c r="F16179" i="2"/>
  <c r="G16179" i="2"/>
  <c r="H16179" i="2"/>
  <c r="J16179" i="2"/>
  <c r="K16179" i="2"/>
  <c r="L16179" i="2"/>
  <c r="C16180" i="2"/>
  <c r="D16180" i="2"/>
  <c r="F16180" i="2"/>
  <c r="G16180" i="2"/>
  <c r="H16180" i="2"/>
  <c r="J16180" i="2"/>
  <c r="K16180" i="2"/>
  <c r="L16180" i="2"/>
  <c r="C16181" i="2"/>
  <c r="D16181" i="2"/>
  <c r="F16181" i="2"/>
  <c r="G16181" i="2"/>
  <c r="H16181" i="2"/>
  <c r="J16181" i="2"/>
  <c r="K16181" i="2"/>
  <c r="L16181" i="2"/>
  <c r="C16182" i="2"/>
  <c r="D16182" i="2"/>
  <c r="F16182" i="2"/>
  <c r="G16182" i="2"/>
  <c r="H16182" i="2"/>
  <c r="J16182" i="2"/>
  <c r="K16182" i="2"/>
  <c r="L16182" i="2"/>
  <c r="C16183" i="2"/>
  <c r="D16183" i="2"/>
  <c r="F16183" i="2"/>
  <c r="G16183" i="2"/>
  <c r="H16183" i="2"/>
  <c r="J16183" i="2"/>
  <c r="K16183" i="2"/>
  <c r="L16183" i="2"/>
  <c r="C16184" i="2"/>
  <c r="D16184" i="2"/>
  <c r="F16184" i="2"/>
  <c r="G16184" i="2"/>
  <c r="H16184" i="2"/>
  <c r="J16184" i="2"/>
  <c r="K16184" i="2"/>
  <c r="L16184" i="2"/>
  <c r="C16185" i="2"/>
  <c r="D16185" i="2"/>
  <c r="F16185" i="2"/>
  <c r="G16185" i="2"/>
  <c r="H16185" i="2"/>
  <c r="J16185" i="2"/>
  <c r="K16185" i="2"/>
  <c r="L16185" i="2"/>
  <c r="C16186" i="2"/>
  <c r="D16186" i="2"/>
  <c r="F16186" i="2"/>
  <c r="G16186" i="2"/>
  <c r="H16186" i="2"/>
  <c r="J16186" i="2"/>
  <c r="K16186" i="2"/>
  <c r="L16186" i="2"/>
  <c r="C16187" i="2"/>
  <c r="D16187" i="2"/>
  <c r="F16187" i="2"/>
  <c r="G16187" i="2"/>
  <c r="H16187" i="2"/>
  <c r="J16187" i="2"/>
  <c r="K16187" i="2"/>
  <c r="L16187" i="2"/>
  <c r="C16188" i="2"/>
  <c r="D16188" i="2"/>
  <c r="F16188" i="2"/>
  <c r="G16188" i="2"/>
  <c r="H16188" i="2"/>
  <c r="J16188" i="2"/>
  <c r="K16188" i="2"/>
  <c r="L16188" i="2"/>
  <c r="C16189" i="2"/>
  <c r="D16189" i="2"/>
  <c r="F16189" i="2"/>
  <c r="G16189" i="2"/>
  <c r="H16189" i="2"/>
  <c r="J16189" i="2"/>
  <c r="K16189" i="2"/>
  <c r="L16189" i="2"/>
  <c r="C16190" i="2"/>
  <c r="D16190" i="2"/>
  <c r="F16190" i="2"/>
  <c r="G16190" i="2"/>
  <c r="H16190" i="2"/>
  <c r="J16190" i="2"/>
  <c r="K16190" i="2"/>
  <c r="L16190" i="2"/>
  <c r="C16191" i="2"/>
  <c r="D16191" i="2"/>
  <c r="F16191" i="2"/>
  <c r="G16191" i="2"/>
  <c r="H16191" i="2"/>
  <c r="J16191" i="2"/>
  <c r="K16191" i="2"/>
  <c r="L16191" i="2"/>
  <c r="C16192" i="2"/>
  <c r="D16192" i="2"/>
  <c r="F16192" i="2"/>
  <c r="G16192" i="2"/>
  <c r="H16192" i="2"/>
  <c r="J16192" i="2"/>
  <c r="K16192" i="2"/>
  <c r="L16192" i="2"/>
  <c r="C16193" i="2"/>
  <c r="D16193" i="2"/>
  <c r="F16193" i="2"/>
  <c r="G16193" i="2"/>
  <c r="H16193" i="2"/>
  <c r="J16193" i="2"/>
  <c r="K16193" i="2"/>
  <c r="L16193" i="2"/>
  <c r="C16194" i="2"/>
  <c r="D16194" i="2"/>
  <c r="F16194" i="2"/>
  <c r="G16194" i="2"/>
  <c r="H16194" i="2"/>
  <c r="J16194" i="2"/>
  <c r="K16194" i="2"/>
  <c r="L16194" i="2"/>
  <c r="C16195" i="2"/>
  <c r="D16195" i="2"/>
  <c r="F16195" i="2"/>
  <c r="G16195" i="2"/>
  <c r="H16195" i="2"/>
  <c r="J16195" i="2"/>
  <c r="K16195" i="2"/>
  <c r="L16195" i="2"/>
  <c r="C16196" i="2"/>
  <c r="D16196" i="2"/>
  <c r="F16196" i="2"/>
  <c r="G16196" i="2"/>
  <c r="H16196" i="2"/>
  <c r="J16196" i="2"/>
  <c r="K16196" i="2"/>
  <c r="L16196" i="2"/>
  <c r="C16197" i="2"/>
  <c r="D16197" i="2"/>
  <c r="F16197" i="2"/>
  <c r="G16197" i="2"/>
  <c r="H16197" i="2"/>
  <c r="J16197" i="2"/>
  <c r="K16197" i="2"/>
  <c r="L16197" i="2"/>
  <c r="C16198" i="2"/>
  <c r="D16198" i="2"/>
  <c r="F16198" i="2"/>
  <c r="G16198" i="2"/>
  <c r="H16198" i="2"/>
  <c r="J16198" i="2"/>
  <c r="K16198" i="2"/>
  <c r="L16198" i="2"/>
  <c r="C16199" i="2"/>
  <c r="D16199" i="2"/>
  <c r="F16199" i="2"/>
  <c r="G16199" i="2"/>
  <c r="H16199" i="2"/>
  <c r="J16199" i="2"/>
  <c r="K16199" i="2"/>
  <c r="L16199" i="2"/>
  <c r="C16200" i="2"/>
  <c r="D16200" i="2"/>
  <c r="F16200" i="2"/>
  <c r="G16200" i="2"/>
  <c r="H16200" i="2"/>
  <c r="J16200" i="2"/>
  <c r="K16200" i="2"/>
  <c r="L16200" i="2"/>
  <c r="C16201" i="2"/>
  <c r="D16201" i="2"/>
  <c r="F16201" i="2"/>
  <c r="G16201" i="2"/>
  <c r="H16201" i="2"/>
  <c r="J16201" i="2"/>
  <c r="K16201" i="2"/>
  <c r="L16201" i="2"/>
  <c r="C16202" i="2"/>
  <c r="D16202" i="2"/>
  <c r="F16202" i="2"/>
  <c r="G16202" i="2"/>
  <c r="H16202" i="2"/>
  <c r="J16202" i="2"/>
  <c r="K16202" i="2"/>
  <c r="L16202" i="2"/>
  <c r="C16203" i="2"/>
  <c r="D16203" i="2"/>
  <c r="F16203" i="2"/>
  <c r="G16203" i="2"/>
  <c r="H16203" i="2"/>
  <c r="J16203" i="2"/>
  <c r="K16203" i="2"/>
  <c r="L16203" i="2"/>
  <c r="C16204" i="2"/>
  <c r="D16204" i="2"/>
  <c r="F16204" i="2"/>
  <c r="G16204" i="2"/>
  <c r="H16204" i="2"/>
  <c r="J16204" i="2"/>
  <c r="K16204" i="2"/>
  <c r="L16204" i="2"/>
  <c r="C16205" i="2"/>
  <c r="D16205" i="2"/>
  <c r="F16205" i="2"/>
  <c r="G16205" i="2"/>
  <c r="H16205" i="2"/>
  <c r="J16205" i="2"/>
  <c r="K16205" i="2"/>
  <c r="L16205" i="2"/>
  <c r="C16206" i="2"/>
  <c r="D16206" i="2"/>
  <c r="F16206" i="2"/>
  <c r="G16206" i="2"/>
  <c r="H16206" i="2"/>
  <c r="J16206" i="2"/>
  <c r="K16206" i="2"/>
  <c r="L16206" i="2"/>
  <c r="C16207" i="2"/>
  <c r="D16207" i="2"/>
  <c r="F16207" i="2"/>
  <c r="G16207" i="2"/>
  <c r="H16207" i="2"/>
  <c r="J16207" i="2"/>
  <c r="K16207" i="2"/>
  <c r="L16207" i="2"/>
  <c r="C16208" i="2"/>
  <c r="D16208" i="2"/>
  <c r="F16208" i="2"/>
  <c r="G16208" i="2"/>
  <c r="H16208" i="2"/>
  <c r="J16208" i="2"/>
  <c r="K16208" i="2"/>
  <c r="L16208" i="2"/>
  <c r="C16209" i="2"/>
  <c r="D16209" i="2"/>
  <c r="F16209" i="2"/>
  <c r="G16209" i="2"/>
  <c r="H16209" i="2"/>
  <c r="J16209" i="2"/>
  <c r="K16209" i="2"/>
  <c r="L16209" i="2"/>
  <c r="C16210" i="2"/>
  <c r="D16210" i="2"/>
  <c r="F16210" i="2"/>
  <c r="G16210" i="2"/>
  <c r="H16210" i="2"/>
  <c r="J16210" i="2"/>
  <c r="K16210" i="2"/>
  <c r="L16210" i="2"/>
  <c r="C16211" i="2"/>
  <c r="D16211" i="2"/>
  <c r="F16211" i="2"/>
  <c r="G16211" i="2"/>
  <c r="H16211" i="2"/>
  <c r="J16211" i="2"/>
  <c r="K16211" i="2"/>
  <c r="L16211" i="2"/>
  <c r="C16212" i="2"/>
  <c r="D16212" i="2"/>
  <c r="F16212" i="2"/>
  <c r="G16212" i="2"/>
  <c r="H16212" i="2"/>
  <c r="J16212" i="2"/>
  <c r="K16212" i="2"/>
  <c r="L16212" i="2"/>
  <c r="C16213" i="2"/>
  <c r="D16213" i="2"/>
  <c r="F16213" i="2"/>
  <c r="G16213" i="2"/>
  <c r="H16213" i="2"/>
  <c r="J16213" i="2"/>
  <c r="K16213" i="2"/>
  <c r="L16213" i="2"/>
  <c r="C16214" i="2"/>
  <c r="D16214" i="2"/>
  <c r="F16214" i="2"/>
  <c r="G16214" i="2"/>
  <c r="H16214" i="2"/>
  <c r="J16214" i="2"/>
  <c r="K16214" i="2"/>
  <c r="L16214" i="2"/>
  <c r="C16215" i="2"/>
  <c r="D16215" i="2"/>
  <c r="F16215" i="2"/>
  <c r="G16215" i="2"/>
  <c r="H16215" i="2"/>
  <c r="J16215" i="2"/>
  <c r="K16215" i="2"/>
  <c r="L16215" i="2"/>
  <c r="C16216" i="2"/>
  <c r="D16216" i="2"/>
  <c r="F16216" i="2"/>
  <c r="G16216" i="2"/>
  <c r="H16216" i="2"/>
  <c r="J16216" i="2"/>
  <c r="K16216" i="2"/>
  <c r="L16216" i="2"/>
  <c r="C16217" i="2"/>
  <c r="D16217" i="2"/>
  <c r="F16217" i="2"/>
  <c r="G16217" i="2"/>
  <c r="H16217" i="2"/>
  <c r="J16217" i="2"/>
  <c r="K16217" i="2"/>
  <c r="L16217" i="2"/>
  <c r="C16218" i="2"/>
  <c r="D16218" i="2"/>
  <c r="F16218" i="2"/>
  <c r="G16218" i="2"/>
  <c r="H16218" i="2"/>
  <c r="J16218" i="2"/>
  <c r="K16218" i="2"/>
  <c r="L16218" i="2"/>
  <c r="C16219" i="2"/>
  <c r="D16219" i="2"/>
  <c r="F16219" i="2"/>
  <c r="G16219" i="2"/>
  <c r="H16219" i="2"/>
  <c r="J16219" i="2"/>
  <c r="K16219" i="2"/>
  <c r="L16219" i="2"/>
  <c r="C16220" i="2"/>
  <c r="D16220" i="2"/>
  <c r="F16220" i="2"/>
  <c r="G16220" i="2"/>
  <c r="H16220" i="2"/>
  <c r="J16220" i="2"/>
  <c r="K16220" i="2"/>
  <c r="L16220" i="2"/>
  <c r="C16221" i="2"/>
  <c r="D16221" i="2"/>
  <c r="F16221" i="2"/>
  <c r="G16221" i="2"/>
  <c r="H16221" i="2"/>
  <c r="J16221" i="2"/>
  <c r="K16221" i="2"/>
  <c r="L16221" i="2"/>
  <c r="C16222" i="2"/>
  <c r="D16222" i="2"/>
  <c r="F16222" i="2"/>
  <c r="G16222" i="2"/>
  <c r="H16222" i="2"/>
  <c r="J16222" i="2"/>
  <c r="K16222" i="2"/>
  <c r="L16222" i="2"/>
  <c r="C16223" i="2"/>
  <c r="D16223" i="2"/>
  <c r="F16223" i="2"/>
  <c r="G16223" i="2"/>
  <c r="H16223" i="2"/>
  <c r="J16223" i="2"/>
  <c r="K16223" i="2"/>
  <c r="L16223" i="2"/>
  <c r="C16224" i="2"/>
  <c r="D16224" i="2"/>
  <c r="F16224" i="2"/>
  <c r="G16224" i="2"/>
  <c r="H16224" i="2"/>
  <c r="J16224" i="2"/>
  <c r="K16224" i="2"/>
  <c r="L16224" i="2"/>
  <c r="C16225" i="2"/>
  <c r="D16225" i="2"/>
  <c r="F16225" i="2"/>
  <c r="G16225" i="2"/>
  <c r="H16225" i="2"/>
  <c r="J16225" i="2"/>
  <c r="K16225" i="2"/>
  <c r="L16225" i="2"/>
  <c r="C16226" i="2"/>
  <c r="D16226" i="2"/>
  <c r="F16226" i="2"/>
  <c r="G16226" i="2"/>
  <c r="H16226" i="2"/>
  <c r="J16226" i="2"/>
  <c r="K16226" i="2"/>
  <c r="L16226" i="2"/>
  <c r="C16227" i="2"/>
  <c r="D16227" i="2"/>
  <c r="F16227" i="2"/>
  <c r="G16227" i="2"/>
  <c r="H16227" i="2"/>
  <c r="J16227" i="2"/>
  <c r="K16227" i="2"/>
  <c r="L16227" i="2"/>
  <c r="C16228" i="2"/>
  <c r="D16228" i="2"/>
  <c r="F16228" i="2"/>
  <c r="G16228" i="2"/>
  <c r="H16228" i="2"/>
  <c r="J16228" i="2"/>
  <c r="K16228" i="2"/>
  <c r="L16228" i="2"/>
  <c r="C16229" i="2"/>
  <c r="D16229" i="2"/>
  <c r="F16229" i="2"/>
  <c r="G16229" i="2"/>
  <c r="H16229" i="2"/>
  <c r="J16229" i="2"/>
  <c r="K16229" i="2"/>
  <c r="L16229" i="2"/>
  <c r="C16230" i="2"/>
  <c r="D16230" i="2"/>
  <c r="F16230" i="2"/>
  <c r="G16230" i="2"/>
  <c r="H16230" i="2"/>
  <c r="J16230" i="2"/>
  <c r="K16230" i="2"/>
  <c r="L16230" i="2"/>
  <c r="C16231" i="2"/>
  <c r="D16231" i="2"/>
  <c r="F16231" i="2"/>
  <c r="G16231" i="2"/>
  <c r="H16231" i="2"/>
  <c r="J16231" i="2"/>
  <c r="K16231" i="2"/>
  <c r="L16231" i="2"/>
  <c r="C16232" i="2"/>
  <c r="D16232" i="2"/>
  <c r="F16232" i="2"/>
  <c r="G16232" i="2"/>
  <c r="H16232" i="2"/>
  <c r="J16232" i="2"/>
  <c r="K16232" i="2"/>
  <c r="L16232" i="2"/>
  <c r="C16233" i="2"/>
  <c r="D16233" i="2"/>
  <c r="F16233" i="2"/>
  <c r="G16233" i="2"/>
  <c r="H16233" i="2"/>
  <c r="J16233" i="2"/>
  <c r="K16233" i="2"/>
  <c r="L16233" i="2"/>
  <c r="C16234" i="2"/>
  <c r="D16234" i="2"/>
  <c r="F16234" i="2"/>
  <c r="G16234" i="2"/>
  <c r="H16234" i="2"/>
  <c r="J16234" i="2"/>
  <c r="K16234" i="2"/>
  <c r="L16234" i="2"/>
  <c r="C16235" i="2"/>
  <c r="D16235" i="2"/>
  <c r="F16235" i="2"/>
  <c r="G16235" i="2"/>
  <c r="H16235" i="2"/>
  <c r="J16235" i="2"/>
  <c r="K16235" i="2"/>
  <c r="L16235" i="2"/>
  <c r="C16236" i="2"/>
  <c r="D16236" i="2"/>
  <c r="F16236" i="2"/>
  <c r="G16236" i="2"/>
  <c r="H16236" i="2"/>
  <c r="J16236" i="2"/>
  <c r="K16236" i="2"/>
  <c r="L16236" i="2"/>
  <c r="C16237" i="2"/>
  <c r="D16237" i="2"/>
  <c r="F16237" i="2"/>
  <c r="G16237" i="2"/>
  <c r="H16237" i="2"/>
  <c r="J16237" i="2"/>
  <c r="K16237" i="2"/>
  <c r="L16237" i="2"/>
  <c r="C16238" i="2"/>
  <c r="D16238" i="2"/>
  <c r="F16238" i="2"/>
  <c r="G16238" i="2"/>
  <c r="H16238" i="2"/>
  <c r="J16238" i="2"/>
  <c r="K16238" i="2"/>
  <c r="L16238" i="2"/>
  <c r="C16239" i="2"/>
  <c r="D16239" i="2"/>
  <c r="F16239" i="2"/>
  <c r="G16239" i="2"/>
  <c r="H16239" i="2"/>
  <c r="J16239" i="2"/>
  <c r="K16239" i="2"/>
  <c r="L16239" i="2"/>
  <c r="C16240" i="2"/>
  <c r="D16240" i="2"/>
  <c r="F16240" i="2"/>
  <c r="G16240" i="2"/>
  <c r="H16240" i="2"/>
  <c r="J16240" i="2"/>
  <c r="K16240" i="2"/>
  <c r="L16240" i="2"/>
  <c r="C16241" i="2"/>
  <c r="D16241" i="2"/>
  <c r="F16241" i="2"/>
  <c r="G16241" i="2"/>
  <c r="H16241" i="2"/>
  <c r="J16241" i="2"/>
  <c r="K16241" i="2"/>
  <c r="L16241" i="2"/>
  <c r="C16242" i="2"/>
  <c r="D16242" i="2"/>
  <c r="F16242" i="2"/>
  <c r="G16242" i="2"/>
  <c r="H16242" i="2"/>
  <c r="J16242" i="2"/>
  <c r="K16242" i="2"/>
  <c r="L16242" i="2"/>
  <c r="C16243" i="2"/>
  <c r="D16243" i="2"/>
  <c r="F16243" i="2"/>
  <c r="G16243" i="2"/>
  <c r="H16243" i="2"/>
  <c r="J16243" i="2"/>
  <c r="K16243" i="2"/>
  <c r="L16243" i="2"/>
  <c r="C16244" i="2"/>
  <c r="D16244" i="2"/>
  <c r="F16244" i="2"/>
  <c r="G16244" i="2"/>
  <c r="H16244" i="2"/>
  <c r="J16244" i="2"/>
  <c r="K16244" i="2"/>
  <c r="L16244" i="2"/>
  <c r="C16245" i="2"/>
  <c r="D16245" i="2"/>
  <c r="F16245" i="2"/>
  <c r="G16245" i="2"/>
  <c r="H16245" i="2"/>
  <c r="J16245" i="2"/>
  <c r="K16245" i="2"/>
  <c r="L16245" i="2"/>
  <c r="C16246" i="2"/>
  <c r="D16246" i="2"/>
  <c r="F16246" i="2"/>
  <c r="G16246" i="2"/>
  <c r="H16246" i="2"/>
  <c r="J16246" i="2"/>
  <c r="K16246" i="2"/>
  <c r="L16246" i="2"/>
  <c r="C16247" i="2"/>
  <c r="D16247" i="2"/>
  <c r="F16247" i="2"/>
  <c r="G16247" i="2"/>
  <c r="H16247" i="2"/>
  <c r="J16247" i="2"/>
  <c r="K16247" i="2"/>
  <c r="L16247" i="2"/>
  <c r="C16248" i="2"/>
  <c r="D16248" i="2"/>
  <c r="F16248" i="2"/>
  <c r="G16248" i="2"/>
  <c r="H16248" i="2"/>
  <c r="J16248" i="2"/>
  <c r="K16248" i="2"/>
  <c r="L16248" i="2"/>
  <c r="C16249" i="2"/>
  <c r="D16249" i="2"/>
  <c r="F16249" i="2"/>
  <c r="G16249" i="2"/>
  <c r="H16249" i="2"/>
  <c r="J16249" i="2"/>
  <c r="K16249" i="2"/>
  <c r="L16249" i="2"/>
  <c r="C16250" i="2"/>
  <c r="D16250" i="2"/>
  <c r="F16250" i="2"/>
  <c r="G16250" i="2"/>
  <c r="H16250" i="2"/>
  <c r="J16250" i="2"/>
  <c r="K16250" i="2"/>
  <c r="L16250" i="2"/>
  <c r="C16251" i="2"/>
  <c r="D16251" i="2"/>
  <c r="F16251" i="2"/>
  <c r="G16251" i="2"/>
  <c r="H16251" i="2"/>
  <c r="J16251" i="2"/>
  <c r="K16251" i="2"/>
  <c r="L16251" i="2"/>
  <c r="C16252" i="2"/>
  <c r="D16252" i="2"/>
  <c r="F16252" i="2"/>
  <c r="G16252" i="2"/>
  <c r="H16252" i="2"/>
  <c r="J16252" i="2"/>
  <c r="K16252" i="2"/>
  <c r="L16252" i="2"/>
  <c r="C16253" i="2"/>
  <c r="D16253" i="2"/>
  <c r="F16253" i="2"/>
  <c r="G16253" i="2"/>
  <c r="H16253" i="2"/>
  <c r="J16253" i="2"/>
  <c r="K16253" i="2"/>
  <c r="L16253" i="2"/>
  <c r="C16254" i="2"/>
  <c r="D16254" i="2"/>
  <c r="F16254" i="2"/>
  <c r="G16254" i="2"/>
  <c r="H16254" i="2"/>
  <c r="J16254" i="2"/>
  <c r="K16254" i="2"/>
  <c r="L16254" i="2"/>
  <c r="C16255" i="2"/>
  <c r="D16255" i="2"/>
  <c r="F16255" i="2"/>
  <c r="G16255" i="2"/>
  <c r="H16255" i="2"/>
  <c r="J16255" i="2"/>
  <c r="K16255" i="2"/>
  <c r="L16255" i="2"/>
  <c r="C16256" i="2"/>
  <c r="D16256" i="2"/>
  <c r="F16256" i="2"/>
  <c r="G16256" i="2"/>
  <c r="H16256" i="2"/>
  <c r="J16256" i="2"/>
  <c r="K16256" i="2"/>
  <c r="L16256" i="2"/>
  <c r="C16257" i="2"/>
  <c r="D16257" i="2"/>
  <c r="F16257" i="2"/>
  <c r="G16257" i="2"/>
  <c r="H16257" i="2"/>
  <c r="J16257" i="2"/>
  <c r="K16257" i="2"/>
  <c r="L16257" i="2"/>
  <c r="C16258" i="2"/>
  <c r="D16258" i="2"/>
  <c r="F16258" i="2"/>
  <c r="G16258" i="2"/>
  <c r="H16258" i="2"/>
  <c r="J16258" i="2"/>
  <c r="K16258" i="2"/>
  <c r="L16258" i="2"/>
  <c r="C16259" i="2"/>
  <c r="D16259" i="2"/>
  <c r="F16259" i="2"/>
  <c r="G16259" i="2"/>
  <c r="H16259" i="2"/>
  <c r="J16259" i="2"/>
  <c r="K16259" i="2"/>
  <c r="L16259" i="2"/>
  <c r="C16260" i="2"/>
  <c r="D16260" i="2"/>
  <c r="F16260" i="2"/>
  <c r="G16260" i="2"/>
  <c r="H16260" i="2"/>
  <c r="J16260" i="2"/>
  <c r="K16260" i="2"/>
  <c r="L16260" i="2"/>
  <c r="C16261" i="2"/>
  <c r="D16261" i="2"/>
  <c r="F16261" i="2"/>
  <c r="G16261" i="2"/>
  <c r="H16261" i="2"/>
  <c r="J16261" i="2"/>
  <c r="K16261" i="2"/>
  <c r="L16261" i="2"/>
  <c r="C16262" i="2"/>
  <c r="D16262" i="2"/>
  <c r="F16262" i="2"/>
  <c r="G16262" i="2"/>
  <c r="H16262" i="2"/>
  <c r="J16262" i="2"/>
  <c r="K16262" i="2"/>
  <c r="L16262" i="2"/>
  <c r="C16263" i="2"/>
  <c r="D16263" i="2"/>
  <c r="F16263" i="2"/>
  <c r="G16263" i="2"/>
  <c r="H16263" i="2"/>
  <c r="J16263" i="2"/>
  <c r="K16263" i="2"/>
  <c r="L16263" i="2"/>
  <c r="C16264" i="2"/>
  <c r="D16264" i="2"/>
  <c r="F16264" i="2"/>
  <c r="G16264" i="2"/>
  <c r="H16264" i="2"/>
  <c r="J16264" i="2"/>
  <c r="K16264" i="2"/>
  <c r="L16264" i="2"/>
  <c r="C16265" i="2"/>
  <c r="D16265" i="2"/>
  <c r="F16265" i="2"/>
  <c r="G16265" i="2"/>
  <c r="H16265" i="2"/>
  <c r="J16265" i="2"/>
  <c r="K16265" i="2"/>
  <c r="L16265" i="2"/>
  <c r="C16266" i="2"/>
  <c r="D16266" i="2"/>
  <c r="F16266" i="2"/>
  <c r="G16266" i="2"/>
  <c r="H16266" i="2"/>
  <c r="J16266" i="2"/>
  <c r="K16266" i="2"/>
  <c r="L16266" i="2"/>
  <c r="C16267" i="2"/>
  <c r="D16267" i="2"/>
  <c r="F16267" i="2"/>
  <c r="G16267" i="2"/>
  <c r="H16267" i="2"/>
  <c r="J16267" i="2"/>
  <c r="K16267" i="2"/>
  <c r="L16267" i="2"/>
  <c r="C16268" i="2"/>
  <c r="D16268" i="2"/>
  <c r="F16268" i="2"/>
  <c r="G16268" i="2"/>
  <c r="H16268" i="2"/>
  <c r="J16268" i="2"/>
  <c r="K16268" i="2"/>
  <c r="L16268" i="2"/>
  <c r="C16269" i="2"/>
  <c r="D16269" i="2"/>
  <c r="F16269" i="2"/>
  <c r="G16269" i="2"/>
  <c r="H16269" i="2"/>
  <c r="J16269" i="2"/>
  <c r="K16269" i="2"/>
  <c r="L16269" i="2"/>
  <c r="D16270" i="2"/>
  <c r="F16270" i="2"/>
  <c r="G16270" i="2"/>
  <c r="H16270" i="2"/>
  <c r="J16270" i="2"/>
  <c r="K16270" i="2"/>
  <c r="L16270" i="2"/>
  <c r="C16271" i="2"/>
  <c r="D16271" i="2"/>
  <c r="F16271" i="2"/>
  <c r="G16271" i="2"/>
  <c r="H16271" i="2"/>
  <c r="J16271" i="2"/>
  <c r="K16271" i="2"/>
  <c r="L16271" i="2"/>
  <c r="C16272" i="2"/>
  <c r="D16272" i="2"/>
  <c r="F16272" i="2"/>
  <c r="G16272" i="2"/>
  <c r="H16272" i="2"/>
  <c r="J16272" i="2"/>
  <c r="K16272" i="2"/>
  <c r="L16272" i="2"/>
  <c r="C16273" i="2"/>
  <c r="D16273" i="2"/>
  <c r="F16273" i="2"/>
  <c r="G16273" i="2"/>
  <c r="H16273" i="2"/>
  <c r="J16273" i="2"/>
  <c r="K16273" i="2"/>
  <c r="L16273" i="2"/>
  <c r="C16274" i="2"/>
  <c r="D16274" i="2"/>
  <c r="F16274" i="2"/>
  <c r="G16274" i="2"/>
  <c r="H16274" i="2"/>
  <c r="J16274" i="2"/>
  <c r="K16274" i="2"/>
  <c r="L16274" i="2"/>
  <c r="C16275" i="2"/>
  <c r="D16275" i="2"/>
  <c r="F16275" i="2"/>
  <c r="G16275" i="2"/>
  <c r="H16275" i="2"/>
  <c r="J16275" i="2"/>
  <c r="K16275" i="2"/>
  <c r="L16275" i="2"/>
  <c r="C16276" i="2"/>
  <c r="D16276" i="2"/>
  <c r="F16276" i="2"/>
  <c r="G16276" i="2"/>
  <c r="H16276" i="2"/>
  <c r="J16276" i="2"/>
  <c r="K16276" i="2"/>
  <c r="L16276" i="2"/>
  <c r="C16277" i="2"/>
  <c r="D16277" i="2"/>
  <c r="F16277" i="2"/>
  <c r="G16277" i="2"/>
  <c r="H16277" i="2"/>
  <c r="J16277" i="2"/>
  <c r="K16277" i="2"/>
  <c r="L16277" i="2"/>
  <c r="C16278" i="2"/>
  <c r="D16278" i="2"/>
  <c r="F16278" i="2"/>
  <c r="G16278" i="2"/>
  <c r="H16278" i="2"/>
  <c r="J16278" i="2"/>
  <c r="K16278" i="2"/>
  <c r="L16278" i="2"/>
  <c r="C16279" i="2"/>
  <c r="D16279" i="2"/>
  <c r="F16279" i="2"/>
  <c r="G16279" i="2"/>
  <c r="H16279" i="2"/>
  <c r="J16279" i="2"/>
  <c r="K16279" i="2"/>
  <c r="L16279" i="2"/>
  <c r="C16280" i="2"/>
  <c r="D16280" i="2"/>
  <c r="F16280" i="2"/>
  <c r="G16280" i="2"/>
  <c r="H16280" i="2"/>
  <c r="J16280" i="2"/>
  <c r="K16280" i="2"/>
  <c r="L16280" i="2"/>
  <c r="C16281" i="2"/>
  <c r="D16281" i="2"/>
  <c r="F16281" i="2"/>
  <c r="G16281" i="2"/>
  <c r="H16281" i="2"/>
  <c r="J16281" i="2"/>
  <c r="K16281" i="2"/>
  <c r="L16281" i="2"/>
  <c r="C16282" i="2"/>
  <c r="D16282" i="2"/>
  <c r="F16282" i="2"/>
  <c r="G16282" i="2"/>
  <c r="H16282" i="2"/>
  <c r="J16282" i="2"/>
  <c r="K16282" i="2"/>
  <c r="L16282" i="2"/>
  <c r="C16283" i="2"/>
  <c r="D16283" i="2"/>
  <c r="F16283" i="2"/>
  <c r="G16283" i="2"/>
  <c r="H16283" i="2"/>
  <c r="J16283" i="2"/>
  <c r="K16283" i="2"/>
  <c r="L16283" i="2"/>
  <c r="C16284" i="2"/>
  <c r="D16284" i="2"/>
  <c r="F16284" i="2"/>
  <c r="G16284" i="2"/>
  <c r="H16284" i="2"/>
  <c r="J16284" i="2"/>
  <c r="K16284" i="2"/>
  <c r="L16284" i="2"/>
  <c r="C16285" i="2"/>
  <c r="D16285" i="2"/>
  <c r="F16285" i="2"/>
  <c r="G16285" i="2"/>
  <c r="H16285" i="2"/>
  <c r="J16285" i="2"/>
  <c r="K16285" i="2"/>
  <c r="L16285" i="2"/>
  <c r="C16286" i="2"/>
  <c r="D16286" i="2"/>
  <c r="F16286" i="2"/>
  <c r="G16286" i="2"/>
  <c r="H16286" i="2"/>
  <c r="J16286" i="2"/>
  <c r="K16286" i="2"/>
  <c r="L16286" i="2"/>
  <c r="C16287" i="2"/>
  <c r="D16287" i="2"/>
  <c r="F16287" i="2"/>
  <c r="G16287" i="2"/>
  <c r="H16287" i="2"/>
  <c r="J16287" i="2"/>
  <c r="K16287" i="2"/>
  <c r="L16287" i="2"/>
  <c r="C16288" i="2"/>
  <c r="D16288" i="2"/>
  <c r="F16288" i="2"/>
  <c r="G16288" i="2"/>
  <c r="H16288" i="2"/>
  <c r="J16288" i="2"/>
  <c r="K16288" i="2"/>
  <c r="L16288" i="2"/>
  <c r="C16289" i="2"/>
  <c r="D16289" i="2"/>
  <c r="F16289" i="2"/>
  <c r="G16289" i="2"/>
  <c r="H16289" i="2"/>
  <c r="J16289" i="2"/>
  <c r="K16289" i="2"/>
  <c r="L16289" i="2"/>
  <c r="C16290" i="2"/>
  <c r="D16290" i="2"/>
  <c r="F16290" i="2"/>
  <c r="G16290" i="2"/>
  <c r="H16290" i="2"/>
  <c r="J16290" i="2"/>
  <c r="K16290" i="2"/>
  <c r="L16290" i="2"/>
  <c r="C16291" i="2"/>
  <c r="D16291" i="2"/>
  <c r="E16291" i="2"/>
  <c r="F16291" i="2"/>
  <c r="G16291" i="2"/>
  <c r="H16291" i="2"/>
  <c r="J16291" i="2"/>
  <c r="K16291" i="2"/>
  <c r="L16291" i="2"/>
  <c r="C16292" i="2"/>
  <c r="D16292" i="2"/>
  <c r="F16292" i="2"/>
  <c r="G16292" i="2"/>
  <c r="H16292" i="2"/>
  <c r="J16292" i="2"/>
  <c r="K16292" i="2"/>
  <c r="L16292" i="2"/>
  <c r="C16293" i="2"/>
  <c r="D16293" i="2"/>
  <c r="F16293" i="2"/>
  <c r="G16293" i="2"/>
  <c r="H16293" i="2"/>
  <c r="J16293" i="2"/>
  <c r="K16293" i="2"/>
  <c r="L16293" i="2"/>
  <c r="C16294" i="2"/>
  <c r="D16294" i="2"/>
  <c r="F16294" i="2"/>
  <c r="G16294" i="2"/>
  <c r="H16294" i="2"/>
  <c r="J16294" i="2"/>
  <c r="K16294" i="2"/>
  <c r="L16294" i="2"/>
  <c r="C16295" i="2"/>
  <c r="D16295" i="2"/>
  <c r="F16295" i="2"/>
  <c r="G16295" i="2"/>
  <c r="H16295" i="2"/>
  <c r="J16295" i="2"/>
  <c r="K16295" i="2"/>
  <c r="L16295" i="2"/>
  <c r="C16296" i="2"/>
  <c r="D16296" i="2"/>
  <c r="F16296" i="2"/>
  <c r="G16296" i="2"/>
  <c r="H16296" i="2"/>
  <c r="J16296" i="2"/>
  <c r="K16296" i="2"/>
  <c r="L16296" i="2"/>
  <c r="C16297" i="2"/>
  <c r="D16297" i="2"/>
  <c r="F16297" i="2"/>
  <c r="G16297" i="2"/>
  <c r="H16297" i="2"/>
  <c r="J16297" i="2"/>
  <c r="K16297" i="2"/>
  <c r="L16297" i="2"/>
  <c r="C16298" i="2"/>
  <c r="D16298" i="2"/>
  <c r="F16298" i="2"/>
  <c r="G16298" i="2"/>
  <c r="H16298" i="2"/>
  <c r="J16298" i="2"/>
  <c r="K16298" i="2"/>
  <c r="L16298" i="2"/>
  <c r="C16299" i="2"/>
  <c r="D16299" i="2"/>
  <c r="F16299" i="2"/>
  <c r="G16299" i="2"/>
  <c r="H16299" i="2"/>
  <c r="J16299" i="2"/>
  <c r="K16299" i="2"/>
  <c r="L16299" i="2"/>
  <c r="C16300" i="2"/>
  <c r="D16300" i="2"/>
  <c r="F16300" i="2"/>
  <c r="G16300" i="2"/>
  <c r="H16300" i="2"/>
  <c r="J16300" i="2"/>
  <c r="K16300" i="2"/>
  <c r="L16300" i="2"/>
  <c r="C16301" i="2"/>
  <c r="D16301" i="2"/>
  <c r="F16301" i="2"/>
  <c r="G16301" i="2"/>
  <c r="H16301" i="2"/>
  <c r="J16301" i="2"/>
  <c r="K16301" i="2"/>
  <c r="L16301" i="2"/>
  <c r="C16302" i="2"/>
  <c r="D16302" i="2"/>
  <c r="E16302" i="2"/>
  <c r="F16302" i="2"/>
  <c r="G16302" i="2"/>
  <c r="H16302" i="2"/>
  <c r="J16302" i="2"/>
  <c r="K16302" i="2"/>
  <c r="L16302" i="2"/>
  <c r="C16303" i="2"/>
  <c r="D16303" i="2"/>
  <c r="E16303" i="2"/>
  <c r="F16303" i="2"/>
  <c r="G16303" i="2"/>
  <c r="H16303" i="2"/>
  <c r="J16303" i="2"/>
  <c r="K16303" i="2"/>
  <c r="L16303" i="2"/>
  <c r="C16304" i="2"/>
  <c r="D16304" i="2"/>
  <c r="F16304" i="2"/>
  <c r="G16304" i="2"/>
  <c r="H16304" i="2"/>
  <c r="J16304" i="2"/>
  <c r="K16304" i="2"/>
  <c r="L16304" i="2"/>
  <c r="C16305" i="2"/>
  <c r="D16305" i="2"/>
  <c r="F16305" i="2"/>
  <c r="G16305" i="2"/>
  <c r="H16305" i="2"/>
  <c r="J16305" i="2"/>
  <c r="K16305" i="2"/>
  <c r="L16305" i="2"/>
  <c r="C16306" i="2"/>
  <c r="D16306" i="2"/>
  <c r="F16306" i="2"/>
  <c r="G16306" i="2"/>
  <c r="H16306" i="2"/>
  <c r="J16306" i="2"/>
  <c r="K16306" i="2"/>
  <c r="L16306" i="2"/>
  <c r="C16307" i="2"/>
  <c r="D16307" i="2"/>
  <c r="F16307" i="2"/>
  <c r="G16307" i="2"/>
  <c r="H16307" i="2"/>
  <c r="J16307" i="2"/>
  <c r="K16307" i="2"/>
  <c r="L16307" i="2"/>
  <c r="C16308" i="2"/>
  <c r="D16308" i="2"/>
  <c r="F16308" i="2"/>
  <c r="G16308" i="2"/>
  <c r="H16308" i="2"/>
  <c r="J16308" i="2"/>
  <c r="K16308" i="2"/>
  <c r="L16308" i="2"/>
  <c r="C16309" i="2"/>
  <c r="D16309" i="2"/>
  <c r="F16309" i="2"/>
  <c r="G16309" i="2"/>
  <c r="H16309" i="2"/>
  <c r="J16309" i="2"/>
  <c r="K16309" i="2"/>
  <c r="L16309" i="2"/>
  <c r="C16310" i="2"/>
  <c r="D16310" i="2"/>
  <c r="F16310" i="2"/>
  <c r="G16310" i="2"/>
  <c r="H16310" i="2"/>
  <c r="J16310" i="2"/>
  <c r="K16310" i="2"/>
  <c r="L16310" i="2"/>
  <c r="C16311" i="2"/>
  <c r="D16311" i="2"/>
  <c r="F16311" i="2"/>
  <c r="G16311" i="2"/>
  <c r="H16311" i="2"/>
  <c r="J16311" i="2"/>
  <c r="K16311" i="2"/>
  <c r="L16311" i="2"/>
  <c r="C16312" i="2"/>
  <c r="D16312" i="2"/>
  <c r="F16312" i="2"/>
  <c r="G16312" i="2"/>
  <c r="H16312" i="2"/>
  <c r="J16312" i="2"/>
  <c r="K16312" i="2"/>
  <c r="L16312" i="2"/>
  <c r="C16313" i="2"/>
  <c r="D16313" i="2"/>
  <c r="F16313" i="2"/>
  <c r="G16313" i="2"/>
  <c r="H16313" i="2"/>
  <c r="J16313" i="2"/>
  <c r="K16313" i="2"/>
  <c r="L16313" i="2"/>
  <c r="C16314" i="2"/>
  <c r="D16314" i="2"/>
  <c r="F16314" i="2"/>
  <c r="G16314" i="2"/>
  <c r="H16314" i="2"/>
  <c r="J16314" i="2"/>
  <c r="K16314" i="2"/>
  <c r="L16314" i="2"/>
  <c r="C16315" i="2"/>
  <c r="D16315" i="2"/>
  <c r="F16315" i="2"/>
  <c r="G16315" i="2"/>
  <c r="H16315" i="2"/>
  <c r="J16315" i="2"/>
  <c r="K16315" i="2"/>
  <c r="L16315" i="2"/>
  <c r="C16316" i="2"/>
  <c r="D16316" i="2"/>
  <c r="F16316" i="2"/>
  <c r="G16316" i="2"/>
  <c r="H16316" i="2"/>
  <c r="J16316" i="2"/>
  <c r="K16316" i="2"/>
  <c r="L16316" i="2"/>
  <c r="C16317" i="2"/>
  <c r="D16317" i="2"/>
  <c r="F16317" i="2"/>
  <c r="G16317" i="2"/>
  <c r="H16317" i="2"/>
  <c r="J16317" i="2"/>
  <c r="K16317" i="2"/>
  <c r="L16317" i="2"/>
  <c r="C16318" i="2"/>
  <c r="D16318" i="2"/>
  <c r="F16318" i="2"/>
  <c r="G16318" i="2"/>
  <c r="H16318" i="2"/>
  <c r="J16318" i="2"/>
  <c r="K16318" i="2"/>
  <c r="L16318" i="2"/>
  <c r="C16319" i="2"/>
  <c r="D16319" i="2"/>
  <c r="F16319" i="2"/>
  <c r="G16319" i="2"/>
  <c r="H16319" i="2"/>
  <c r="J16319" i="2"/>
  <c r="K16319" i="2"/>
  <c r="L16319" i="2"/>
  <c r="C16320" i="2"/>
  <c r="D16320" i="2"/>
  <c r="F16320" i="2"/>
  <c r="G16320" i="2"/>
  <c r="H16320" i="2"/>
  <c r="J16320" i="2"/>
  <c r="K16320" i="2"/>
  <c r="L16320" i="2"/>
  <c r="C16321" i="2"/>
  <c r="D16321" i="2"/>
  <c r="F16321" i="2"/>
  <c r="G16321" i="2"/>
  <c r="H16321" i="2"/>
  <c r="J16321" i="2"/>
  <c r="K16321" i="2"/>
  <c r="L16321" i="2"/>
  <c r="C16322" i="2"/>
  <c r="D16322" i="2"/>
  <c r="F16322" i="2"/>
  <c r="G16322" i="2"/>
  <c r="H16322" i="2"/>
  <c r="J16322" i="2"/>
  <c r="K16322" i="2"/>
  <c r="L16322" i="2"/>
  <c r="C16323" i="2"/>
  <c r="D16323" i="2"/>
  <c r="F16323" i="2"/>
  <c r="G16323" i="2"/>
  <c r="H16323" i="2"/>
  <c r="J16323" i="2"/>
  <c r="K16323" i="2"/>
  <c r="L16323" i="2"/>
  <c r="C16324" i="2"/>
  <c r="D16324" i="2"/>
  <c r="F16324" i="2"/>
  <c r="G16324" i="2"/>
  <c r="H16324" i="2"/>
  <c r="J16324" i="2"/>
  <c r="K16324" i="2"/>
  <c r="L16324" i="2"/>
  <c r="C16325" i="2"/>
  <c r="D16325" i="2"/>
  <c r="F16325" i="2"/>
  <c r="G16325" i="2"/>
  <c r="H16325" i="2"/>
  <c r="J16325" i="2"/>
  <c r="K16325" i="2"/>
  <c r="L16325" i="2"/>
  <c r="C16326" i="2"/>
  <c r="D16326" i="2"/>
  <c r="F16326" i="2"/>
  <c r="G16326" i="2"/>
  <c r="H16326" i="2"/>
  <c r="J16326" i="2"/>
  <c r="K16326" i="2"/>
  <c r="L16326" i="2"/>
  <c r="C16327" i="2"/>
  <c r="D16327" i="2"/>
  <c r="F16327" i="2"/>
  <c r="G16327" i="2"/>
  <c r="H16327" i="2"/>
  <c r="J16327" i="2"/>
  <c r="K16327" i="2"/>
  <c r="L16327" i="2"/>
  <c r="C16328" i="2"/>
  <c r="D16328" i="2"/>
  <c r="F16328" i="2"/>
  <c r="G16328" i="2"/>
  <c r="H16328" i="2"/>
  <c r="J16328" i="2"/>
  <c r="K16328" i="2"/>
  <c r="L16328" i="2"/>
  <c r="C16329" i="2"/>
  <c r="D16329" i="2"/>
  <c r="F16329" i="2"/>
  <c r="G16329" i="2"/>
  <c r="H16329" i="2"/>
  <c r="J16329" i="2"/>
  <c r="K16329" i="2"/>
  <c r="L16329" i="2"/>
  <c r="C16330" i="2"/>
  <c r="D16330" i="2"/>
  <c r="F16330" i="2"/>
  <c r="G16330" i="2"/>
  <c r="H16330" i="2"/>
  <c r="J16330" i="2"/>
  <c r="K16330" i="2"/>
  <c r="L16330" i="2"/>
  <c r="C16331" i="2"/>
  <c r="D16331" i="2"/>
  <c r="F16331" i="2"/>
  <c r="G16331" i="2"/>
  <c r="H16331" i="2"/>
  <c r="J16331" i="2"/>
  <c r="K16331" i="2"/>
  <c r="L16331" i="2"/>
  <c r="C16332" i="2"/>
  <c r="D16332" i="2"/>
  <c r="F16332" i="2"/>
  <c r="G16332" i="2"/>
  <c r="H16332" i="2"/>
  <c r="J16332" i="2"/>
  <c r="K16332" i="2"/>
  <c r="L16332" i="2"/>
  <c r="C16333" i="2"/>
  <c r="D16333" i="2"/>
  <c r="F16333" i="2"/>
  <c r="G16333" i="2"/>
  <c r="H16333" i="2"/>
  <c r="J16333" i="2"/>
  <c r="K16333" i="2"/>
  <c r="L16333" i="2"/>
  <c r="C16334" i="2"/>
  <c r="D16334" i="2"/>
  <c r="F16334" i="2"/>
  <c r="G16334" i="2"/>
  <c r="H16334" i="2"/>
  <c r="J16334" i="2"/>
  <c r="K16334" i="2"/>
  <c r="L16334" i="2"/>
  <c r="C16335" i="2"/>
  <c r="D16335" i="2"/>
  <c r="F16335" i="2"/>
  <c r="G16335" i="2"/>
  <c r="H16335" i="2"/>
  <c r="J16335" i="2"/>
  <c r="K16335" i="2"/>
  <c r="L16335" i="2"/>
  <c r="C16336" i="2"/>
  <c r="D16336" i="2"/>
  <c r="F16336" i="2"/>
  <c r="G16336" i="2"/>
  <c r="H16336" i="2"/>
  <c r="J16336" i="2"/>
  <c r="K16336" i="2"/>
  <c r="L16336" i="2"/>
  <c r="C16337" i="2"/>
  <c r="D16337" i="2"/>
  <c r="F16337" i="2"/>
  <c r="G16337" i="2"/>
  <c r="H16337" i="2"/>
  <c r="J16337" i="2"/>
  <c r="K16337" i="2"/>
  <c r="L16337" i="2"/>
  <c r="C16338" i="2"/>
  <c r="D16338" i="2"/>
  <c r="F16338" i="2"/>
  <c r="G16338" i="2"/>
  <c r="H16338" i="2"/>
  <c r="J16338" i="2"/>
  <c r="K16338" i="2"/>
  <c r="L16338" i="2"/>
  <c r="C16339" i="2"/>
  <c r="D16339" i="2"/>
  <c r="F16339" i="2"/>
  <c r="G16339" i="2"/>
  <c r="H16339" i="2"/>
  <c r="J16339" i="2"/>
  <c r="K16339" i="2"/>
  <c r="L16339" i="2"/>
  <c r="C16340" i="2"/>
  <c r="D16340" i="2"/>
  <c r="F16340" i="2"/>
  <c r="G16340" i="2"/>
  <c r="H16340" i="2"/>
  <c r="J16340" i="2"/>
  <c r="K16340" i="2"/>
  <c r="L16340" i="2"/>
  <c r="C16341" i="2"/>
  <c r="D16341" i="2"/>
  <c r="F16341" i="2"/>
  <c r="G16341" i="2"/>
  <c r="H16341" i="2"/>
  <c r="J16341" i="2"/>
  <c r="K16341" i="2"/>
  <c r="L16341" i="2"/>
  <c r="C16342" i="2"/>
  <c r="D16342" i="2"/>
  <c r="F16342" i="2"/>
  <c r="G16342" i="2"/>
  <c r="H16342" i="2"/>
  <c r="J16342" i="2"/>
  <c r="K16342" i="2"/>
  <c r="L16342" i="2"/>
  <c r="C16343" i="2"/>
  <c r="D16343" i="2"/>
  <c r="F16343" i="2"/>
  <c r="G16343" i="2"/>
  <c r="H16343" i="2"/>
  <c r="J16343" i="2"/>
  <c r="K16343" i="2"/>
  <c r="L16343" i="2"/>
  <c r="C16344" i="2"/>
  <c r="D16344" i="2"/>
  <c r="F16344" i="2"/>
  <c r="G16344" i="2"/>
  <c r="H16344" i="2"/>
  <c r="J16344" i="2"/>
  <c r="K16344" i="2"/>
  <c r="L16344" i="2"/>
  <c r="C16345" i="2"/>
  <c r="D16345" i="2"/>
  <c r="F16345" i="2"/>
  <c r="G16345" i="2"/>
  <c r="H16345" i="2"/>
  <c r="J16345" i="2"/>
  <c r="K16345" i="2"/>
  <c r="L16345" i="2"/>
  <c r="C16346" i="2"/>
  <c r="D16346" i="2"/>
  <c r="F16346" i="2"/>
  <c r="G16346" i="2"/>
  <c r="H16346" i="2"/>
  <c r="J16346" i="2"/>
  <c r="K16346" i="2"/>
  <c r="L16346" i="2"/>
  <c r="C16347" i="2"/>
  <c r="D16347" i="2"/>
  <c r="F16347" i="2"/>
  <c r="G16347" i="2"/>
  <c r="H16347" i="2"/>
  <c r="J16347" i="2"/>
  <c r="K16347" i="2"/>
  <c r="L16347" i="2"/>
  <c r="C16348" i="2"/>
  <c r="D16348" i="2"/>
  <c r="F16348" i="2"/>
  <c r="G16348" i="2"/>
  <c r="H16348" i="2"/>
  <c r="J16348" i="2"/>
  <c r="K16348" i="2"/>
  <c r="L16348" i="2"/>
  <c r="C16349" i="2"/>
  <c r="D16349" i="2"/>
  <c r="F16349" i="2"/>
  <c r="G16349" i="2"/>
  <c r="H16349" i="2"/>
  <c r="J16349" i="2"/>
  <c r="K16349" i="2"/>
  <c r="L16349" i="2"/>
  <c r="C16350" i="2"/>
  <c r="D16350" i="2"/>
  <c r="F16350" i="2"/>
  <c r="G16350" i="2"/>
  <c r="H16350" i="2"/>
  <c r="J16350" i="2"/>
  <c r="K16350" i="2"/>
  <c r="L16350" i="2"/>
  <c r="C16351" i="2"/>
  <c r="D16351" i="2"/>
  <c r="F16351" i="2"/>
  <c r="G16351" i="2"/>
  <c r="H16351" i="2"/>
  <c r="J16351" i="2"/>
  <c r="K16351" i="2"/>
  <c r="L16351" i="2"/>
  <c r="C16352" i="2"/>
  <c r="D16352" i="2"/>
  <c r="F16352" i="2"/>
  <c r="G16352" i="2"/>
  <c r="H16352" i="2"/>
  <c r="J16352" i="2"/>
  <c r="K16352" i="2"/>
  <c r="L16352" i="2"/>
  <c r="C16353" i="2"/>
  <c r="D16353" i="2"/>
  <c r="F16353" i="2"/>
  <c r="G16353" i="2"/>
  <c r="H16353" i="2"/>
  <c r="J16353" i="2"/>
  <c r="K16353" i="2"/>
  <c r="L16353" i="2"/>
  <c r="C16354" i="2"/>
  <c r="D16354" i="2"/>
  <c r="F16354" i="2"/>
  <c r="G16354" i="2"/>
  <c r="H16354" i="2"/>
  <c r="J16354" i="2"/>
  <c r="K16354" i="2"/>
  <c r="L16354" i="2"/>
  <c r="C16355" i="2"/>
  <c r="D16355" i="2"/>
  <c r="F16355" i="2"/>
  <c r="G16355" i="2"/>
  <c r="H16355" i="2"/>
  <c r="J16355" i="2"/>
  <c r="K16355" i="2"/>
  <c r="L16355" i="2"/>
  <c r="C16356" i="2"/>
  <c r="D16356" i="2"/>
  <c r="F16356" i="2"/>
  <c r="G16356" i="2"/>
  <c r="H16356" i="2"/>
  <c r="J16356" i="2"/>
  <c r="K16356" i="2"/>
  <c r="L16356" i="2"/>
  <c r="C16357" i="2"/>
  <c r="D16357" i="2"/>
  <c r="F16357" i="2"/>
  <c r="G16357" i="2"/>
  <c r="H16357" i="2"/>
  <c r="J16357" i="2"/>
  <c r="K16357" i="2"/>
  <c r="L16357" i="2"/>
  <c r="C16358" i="2"/>
  <c r="D16358" i="2"/>
  <c r="F16358" i="2"/>
  <c r="G16358" i="2"/>
  <c r="H16358" i="2"/>
  <c r="J16358" i="2"/>
  <c r="K16358" i="2"/>
  <c r="L16358" i="2"/>
  <c r="C16359" i="2"/>
  <c r="D16359" i="2"/>
  <c r="F16359" i="2"/>
  <c r="G16359" i="2"/>
  <c r="H16359" i="2"/>
  <c r="J16359" i="2"/>
  <c r="K16359" i="2"/>
  <c r="L16359" i="2"/>
  <c r="C16360" i="2"/>
  <c r="D16360" i="2"/>
  <c r="F16360" i="2"/>
  <c r="G16360" i="2"/>
  <c r="H16360" i="2"/>
  <c r="J16360" i="2"/>
  <c r="K16360" i="2"/>
  <c r="L16360" i="2"/>
  <c r="C16361" i="2"/>
  <c r="D16361" i="2"/>
  <c r="F16361" i="2"/>
  <c r="G16361" i="2"/>
  <c r="H16361" i="2"/>
  <c r="J16361" i="2"/>
  <c r="K16361" i="2"/>
  <c r="L16361" i="2"/>
  <c r="C16362" i="2"/>
  <c r="D16362" i="2"/>
  <c r="F16362" i="2"/>
  <c r="G16362" i="2"/>
  <c r="H16362" i="2"/>
  <c r="J16362" i="2"/>
  <c r="K16362" i="2"/>
  <c r="L16362" i="2"/>
  <c r="C16363" i="2"/>
  <c r="D16363" i="2"/>
  <c r="F16363" i="2"/>
  <c r="G16363" i="2"/>
  <c r="H16363" i="2"/>
  <c r="J16363" i="2"/>
  <c r="K16363" i="2"/>
  <c r="L16363" i="2"/>
  <c r="C16364" i="2"/>
  <c r="D16364" i="2"/>
  <c r="F16364" i="2"/>
  <c r="G16364" i="2"/>
  <c r="H16364" i="2"/>
  <c r="J16364" i="2"/>
  <c r="K16364" i="2"/>
  <c r="L16364" i="2"/>
  <c r="C16365" i="2"/>
  <c r="D16365" i="2"/>
  <c r="F16365" i="2"/>
  <c r="G16365" i="2"/>
  <c r="H16365" i="2"/>
  <c r="J16365" i="2"/>
  <c r="K16365" i="2"/>
  <c r="L16365" i="2"/>
  <c r="C16366" i="2"/>
  <c r="D16366" i="2"/>
  <c r="F16366" i="2"/>
  <c r="G16366" i="2"/>
  <c r="H16366" i="2"/>
  <c r="J16366" i="2"/>
  <c r="K16366" i="2"/>
  <c r="L16366" i="2"/>
  <c r="C16367" i="2"/>
  <c r="D16367" i="2"/>
  <c r="F16367" i="2"/>
  <c r="G16367" i="2"/>
  <c r="H16367" i="2"/>
  <c r="J16367" i="2"/>
  <c r="K16367" i="2"/>
  <c r="L16367" i="2"/>
  <c r="C16368" i="2"/>
  <c r="D16368" i="2"/>
  <c r="F16368" i="2"/>
  <c r="G16368" i="2"/>
  <c r="H16368" i="2"/>
  <c r="J16368" i="2"/>
  <c r="K16368" i="2"/>
  <c r="L16368" i="2"/>
  <c r="C16369" i="2"/>
  <c r="D16369" i="2"/>
  <c r="F16369" i="2"/>
  <c r="G16369" i="2"/>
  <c r="H16369" i="2"/>
  <c r="J16369" i="2"/>
  <c r="K16369" i="2"/>
  <c r="L16369" i="2"/>
  <c r="C16370" i="2"/>
  <c r="D16370" i="2"/>
  <c r="F16370" i="2"/>
  <c r="G16370" i="2"/>
  <c r="H16370" i="2"/>
  <c r="J16370" i="2"/>
  <c r="K16370" i="2"/>
  <c r="L16370" i="2"/>
  <c r="C16371" i="2"/>
  <c r="D16371" i="2"/>
  <c r="F16371" i="2"/>
  <c r="G16371" i="2"/>
  <c r="H16371" i="2"/>
  <c r="J16371" i="2"/>
  <c r="K16371" i="2"/>
  <c r="L16371" i="2"/>
  <c r="C16372" i="2"/>
  <c r="D16372" i="2"/>
  <c r="F16372" i="2"/>
  <c r="G16372" i="2"/>
  <c r="H16372" i="2"/>
  <c r="J16372" i="2"/>
  <c r="K16372" i="2"/>
  <c r="L16372" i="2"/>
  <c r="C16373" i="2"/>
  <c r="D16373" i="2"/>
  <c r="F16373" i="2"/>
  <c r="G16373" i="2"/>
  <c r="H16373" i="2"/>
  <c r="J16373" i="2"/>
  <c r="K16373" i="2"/>
  <c r="L16373" i="2"/>
  <c r="C16374" i="2"/>
  <c r="D16374" i="2"/>
  <c r="F16374" i="2"/>
  <c r="G16374" i="2"/>
  <c r="H16374" i="2"/>
  <c r="J16374" i="2"/>
  <c r="K16374" i="2"/>
  <c r="L16374" i="2"/>
  <c r="C16375" i="2"/>
  <c r="D16375" i="2"/>
  <c r="F16375" i="2"/>
  <c r="G16375" i="2"/>
  <c r="H16375" i="2"/>
  <c r="J16375" i="2"/>
  <c r="K16375" i="2"/>
  <c r="L16375" i="2"/>
  <c r="C16376" i="2"/>
  <c r="D16376" i="2"/>
  <c r="F16376" i="2"/>
  <c r="G16376" i="2"/>
  <c r="H16376" i="2"/>
  <c r="J16376" i="2"/>
  <c r="K16376" i="2"/>
  <c r="L16376" i="2"/>
  <c r="C16377" i="2"/>
  <c r="D16377" i="2"/>
  <c r="F16377" i="2"/>
  <c r="G16377" i="2"/>
  <c r="H16377" i="2"/>
  <c r="J16377" i="2"/>
  <c r="K16377" i="2"/>
  <c r="L16377" i="2"/>
  <c r="C16378" i="2"/>
  <c r="D16378" i="2"/>
  <c r="F16378" i="2"/>
  <c r="G16378" i="2"/>
  <c r="H16378" i="2"/>
  <c r="J16378" i="2"/>
  <c r="K16378" i="2"/>
  <c r="L16378" i="2"/>
  <c r="C16379" i="2"/>
  <c r="D16379" i="2"/>
  <c r="F16379" i="2"/>
  <c r="G16379" i="2"/>
  <c r="H16379" i="2"/>
  <c r="J16379" i="2"/>
  <c r="K16379" i="2"/>
  <c r="L16379" i="2"/>
  <c r="C16380" i="2"/>
  <c r="D16380" i="2"/>
  <c r="F16380" i="2"/>
  <c r="G16380" i="2"/>
  <c r="H16380" i="2"/>
  <c r="J16380" i="2"/>
  <c r="K16380" i="2"/>
  <c r="L16380" i="2"/>
  <c r="C16381" i="2"/>
  <c r="D16381" i="2"/>
  <c r="F16381" i="2"/>
  <c r="G16381" i="2"/>
  <c r="H16381" i="2"/>
  <c r="J16381" i="2"/>
  <c r="K16381" i="2"/>
  <c r="L16381" i="2"/>
  <c r="C16382" i="2"/>
  <c r="D16382" i="2"/>
  <c r="F16382" i="2"/>
  <c r="G16382" i="2"/>
  <c r="H16382" i="2"/>
  <c r="J16382" i="2"/>
  <c r="K16382" i="2"/>
  <c r="L16382" i="2"/>
  <c r="C16383" i="2"/>
  <c r="D16383" i="2"/>
  <c r="F16383" i="2"/>
  <c r="G16383" i="2"/>
  <c r="H16383" i="2"/>
  <c r="J16383" i="2"/>
  <c r="K16383" i="2"/>
  <c r="L16383" i="2"/>
  <c r="C16384" i="2"/>
  <c r="D16384" i="2"/>
  <c r="F16384" i="2"/>
  <c r="G16384" i="2"/>
  <c r="H16384" i="2"/>
  <c r="J16384" i="2"/>
  <c r="K16384" i="2"/>
  <c r="L16384" i="2"/>
  <c r="C16385" i="2"/>
  <c r="D16385" i="2"/>
  <c r="F16385" i="2"/>
  <c r="G16385" i="2"/>
  <c r="H16385" i="2"/>
  <c r="J16385" i="2"/>
  <c r="K16385" i="2"/>
  <c r="L16385" i="2"/>
  <c r="C16386" i="2"/>
  <c r="D16386" i="2"/>
  <c r="F16386" i="2"/>
  <c r="G16386" i="2"/>
  <c r="H16386" i="2"/>
  <c r="J16386" i="2"/>
  <c r="K16386" i="2"/>
  <c r="L16386" i="2"/>
  <c r="C16387" i="2"/>
  <c r="D16387" i="2"/>
  <c r="F16387" i="2"/>
  <c r="G16387" i="2"/>
  <c r="H16387" i="2"/>
  <c r="J16387" i="2"/>
  <c r="K16387" i="2"/>
  <c r="L16387" i="2"/>
  <c r="C16388" i="2"/>
  <c r="D16388" i="2"/>
  <c r="F16388" i="2"/>
  <c r="G16388" i="2"/>
  <c r="H16388" i="2"/>
  <c r="J16388" i="2"/>
  <c r="K16388" i="2"/>
  <c r="L16388" i="2"/>
  <c r="C16389" i="2"/>
  <c r="D16389" i="2"/>
  <c r="F16389" i="2"/>
  <c r="G16389" i="2"/>
  <c r="H16389" i="2"/>
  <c r="J16389" i="2"/>
  <c r="K16389" i="2"/>
  <c r="L16389" i="2"/>
  <c r="C16390" i="2"/>
  <c r="D16390" i="2"/>
  <c r="F16390" i="2"/>
  <c r="G16390" i="2"/>
  <c r="H16390" i="2"/>
  <c r="J16390" i="2"/>
  <c r="K16390" i="2"/>
  <c r="L16390" i="2"/>
  <c r="C16391" i="2"/>
  <c r="D16391" i="2"/>
  <c r="F16391" i="2"/>
  <c r="G16391" i="2"/>
  <c r="H16391" i="2"/>
  <c r="J16391" i="2"/>
  <c r="K16391" i="2"/>
  <c r="L16391" i="2"/>
  <c r="C16392" i="2"/>
  <c r="D16392" i="2"/>
  <c r="F16392" i="2"/>
  <c r="G16392" i="2"/>
  <c r="H16392" i="2"/>
  <c r="J16392" i="2"/>
  <c r="K16392" i="2"/>
  <c r="L16392" i="2"/>
  <c r="C16393" i="2"/>
  <c r="D16393" i="2"/>
  <c r="F16393" i="2"/>
  <c r="G16393" i="2"/>
  <c r="H16393" i="2"/>
  <c r="J16393" i="2"/>
  <c r="K16393" i="2"/>
  <c r="L16393" i="2"/>
  <c r="C16394" i="2"/>
  <c r="D16394" i="2"/>
  <c r="F16394" i="2"/>
  <c r="G16394" i="2"/>
  <c r="H16394" i="2"/>
  <c r="J16394" i="2"/>
  <c r="K16394" i="2"/>
  <c r="L16394" i="2"/>
  <c r="C16395" i="2"/>
  <c r="D16395" i="2"/>
  <c r="F16395" i="2"/>
  <c r="G16395" i="2"/>
  <c r="H16395" i="2"/>
  <c r="J16395" i="2"/>
  <c r="K16395" i="2"/>
  <c r="L16395" i="2"/>
  <c r="C16396" i="2"/>
  <c r="D16396" i="2"/>
  <c r="F16396" i="2"/>
  <c r="G16396" i="2"/>
  <c r="H16396" i="2"/>
  <c r="J16396" i="2"/>
  <c r="K16396" i="2"/>
  <c r="L16396" i="2"/>
  <c r="C16397" i="2"/>
  <c r="D16397" i="2"/>
  <c r="F16397" i="2"/>
  <c r="G16397" i="2"/>
  <c r="H16397" i="2"/>
  <c r="J16397" i="2"/>
  <c r="K16397" i="2"/>
  <c r="L16397" i="2"/>
  <c r="C16398" i="2"/>
  <c r="D16398" i="2"/>
  <c r="F16398" i="2"/>
  <c r="G16398" i="2"/>
  <c r="H16398" i="2"/>
  <c r="J16398" i="2"/>
  <c r="K16398" i="2"/>
  <c r="L16398" i="2"/>
  <c r="C16399" i="2"/>
  <c r="D16399" i="2"/>
  <c r="F16399" i="2"/>
  <c r="G16399" i="2"/>
  <c r="H16399" i="2"/>
  <c r="J16399" i="2"/>
  <c r="K16399" i="2"/>
  <c r="L16399" i="2"/>
  <c r="C16400" i="2"/>
  <c r="D16400" i="2"/>
  <c r="F16400" i="2"/>
  <c r="G16400" i="2"/>
  <c r="H16400" i="2"/>
  <c r="J16400" i="2"/>
  <c r="K16400" i="2"/>
  <c r="L16400" i="2"/>
  <c r="C16401" i="2"/>
  <c r="D16401" i="2"/>
  <c r="F16401" i="2"/>
  <c r="G16401" i="2"/>
  <c r="H16401" i="2"/>
  <c r="J16401" i="2"/>
  <c r="K16401" i="2"/>
  <c r="L16401" i="2"/>
  <c r="C16402" i="2"/>
  <c r="D16402" i="2"/>
  <c r="F16402" i="2"/>
  <c r="G16402" i="2"/>
  <c r="H16402" i="2"/>
  <c r="J16402" i="2"/>
  <c r="K16402" i="2"/>
  <c r="L16402" i="2"/>
  <c r="C16403" i="2"/>
  <c r="D16403" i="2"/>
  <c r="F16403" i="2"/>
  <c r="G16403" i="2"/>
  <c r="H16403" i="2"/>
  <c r="J16403" i="2"/>
  <c r="K16403" i="2"/>
  <c r="L16403" i="2"/>
  <c r="C16404" i="2"/>
  <c r="D16404" i="2"/>
  <c r="F16404" i="2"/>
  <c r="G16404" i="2"/>
  <c r="H16404" i="2"/>
  <c r="J16404" i="2"/>
  <c r="K16404" i="2"/>
  <c r="L16404" i="2"/>
  <c r="C16405" i="2"/>
  <c r="D16405" i="2"/>
  <c r="F16405" i="2"/>
  <c r="G16405" i="2"/>
  <c r="H16405" i="2"/>
  <c r="J16405" i="2"/>
  <c r="K16405" i="2"/>
  <c r="L16405" i="2"/>
  <c r="C16406" i="2"/>
  <c r="D16406" i="2"/>
  <c r="F16406" i="2"/>
  <c r="G16406" i="2"/>
  <c r="H16406" i="2"/>
  <c r="J16406" i="2"/>
  <c r="K16406" i="2"/>
  <c r="L16406" i="2"/>
  <c r="C16407" i="2"/>
  <c r="D16407" i="2"/>
  <c r="F16407" i="2"/>
  <c r="G16407" i="2"/>
  <c r="H16407" i="2"/>
  <c r="J16407" i="2"/>
  <c r="K16407" i="2"/>
  <c r="L16407" i="2"/>
  <c r="C16408" i="2"/>
  <c r="D16408" i="2"/>
  <c r="E16408" i="2"/>
  <c r="F16408" i="2"/>
  <c r="G16408" i="2"/>
  <c r="H16408" i="2"/>
  <c r="J16408" i="2"/>
  <c r="K16408" i="2"/>
  <c r="L16408" i="2"/>
  <c r="C16409" i="2"/>
  <c r="D16409" i="2"/>
  <c r="F16409" i="2"/>
  <c r="G16409" i="2"/>
  <c r="H16409" i="2"/>
  <c r="J16409" i="2"/>
  <c r="K16409" i="2"/>
  <c r="L16409" i="2"/>
  <c r="C16410" i="2"/>
  <c r="D16410" i="2"/>
  <c r="F16410" i="2"/>
  <c r="G16410" i="2"/>
  <c r="H16410" i="2"/>
  <c r="J16410" i="2"/>
  <c r="K16410" i="2"/>
  <c r="L16410" i="2"/>
  <c r="C16411" i="2"/>
  <c r="D16411" i="2"/>
  <c r="F16411" i="2"/>
  <c r="G16411" i="2"/>
  <c r="H16411" i="2"/>
  <c r="J16411" i="2"/>
  <c r="K16411" i="2"/>
  <c r="L16411" i="2"/>
  <c r="C16412" i="2"/>
  <c r="D16412" i="2"/>
  <c r="F16412" i="2"/>
  <c r="G16412" i="2"/>
  <c r="H16412" i="2"/>
  <c r="J16412" i="2"/>
  <c r="K16412" i="2"/>
  <c r="L16412" i="2"/>
  <c r="C16413" i="2"/>
  <c r="D16413" i="2"/>
  <c r="F16413" i="2"/>
  <c r="G16413" i="2"/>
  <c r="H16413" i="2"/>
  <c r="J16413" i="2"/>
  <c r="K16413" i="2"/>
  <c r="L16413" i="2"/>
  <c r="C16414" i="2"/>
  <c r="D16414" i="2"/>
  <c r="F16414" i="2"/>
  <c r="G16414" i="2"/>
  <c r="H16414" i="2"/>
  <c r="J16414" i="2"/>
  <c r="K16414" i="2"/>
  <c r="L16414" i="2"/>
  <c r="C16415" i="2"/>
  <c r="D16415" i="2"/>
  <c r="F16415" i="2"/>
  <c r="G16415" i="2"/>
  <c r="H16415" i="2"/>
  <c r="J16415" i="2"/>
  <c r="K16415" i="2"/>
  <c r="L16415" i="2"/>
  <c r="C16416" i="2"/>
  <c r="D16416" i="2"/>
  <c r="F16416" i="2"/>
  <c r="G16416" i="2"/>
  <c r="H16416" i="2"/>
  <c r="J16416" i="2"/>
  <c r="K16416" i="2"/>
  <c r="L16416" i="2"/>
  <c r="C16417" i="2"/>
  <c r="D16417" i="2"/>
  <c r="F16417" i="2"/>
  <c r="G16417" i="2"/>
  <c r="H16417" i="2"/>
  <c r="J16417" i="2"/>
  <c r="K16417" i="2"/>
  <c r="L16417" i="2"/>
  <c r="C16418" i="2"/>
  <c r="D16418" i="2"/>
  <c r="F16418" i="2"/>
  <c r="G16418" i="2"/>
  <c r="H16418" i="2"/>
  <c r="J16418" i="2"/>
  <c r="K16418" i="2"/>
  <c r="L16418" i="2"/>
  <c r="C16419" i="2"/>
  <c r="D16419" i="2"/>
  <c r="F16419" i="2"/>
  <c r="G16419" i="2"/>
  <c r="H16419" i="2"/>
  <c r="J16419" i="2"/>
  <c r="K16419" i="2"/>
  <c r="L16419" i="2"/>
  <c r="C16420" i="2"/>
  <c r="D16420" i="2"/>
  <c r="F16420" i="2"/>
  <c r="G16420" i="2"/>
  <c r="H16420" i="2"/>
  <c r="J16420" i="2"/>
  <c r="K16420" i="2"/>
  <c r="L16420" i="2"/>
  <c r="C16421" i="2"/>
  <c r="D16421" i="2"/>
  <c r="F16421" i="2"/>
  <c r="G16421" i="2"/>
  <c r="H16421" i="2"/>
  <c r="J16421" i="2"/>
  <c r="K16421" i="2"/>
  <c r="L16421" i="2"/>
  <c r="C16422" i="2"/>
  <c r="D16422" i="2"/>
  <c r="F16422" i="2"/>
  <c r="G16422" i="2"/>
  <c r="H16422" i="2"/>
  <c r="J16422" i="2"/>
  <c r="K16422" i="2"/>
  <c r="L16422" i="2"/>
  <c r="C16423" i="2"/>
  <c r="D16423" i="2"/>
  <c r="F16423" i="2"/>
  <c r="G16423" i="2"/>
  <c r="H16423" i="2"/>
  <c r="J16423" i="2"/>
  <c r="K16423" i="2"/>
  <c r="L16423" i="2"/>
  <c r="C16424" i="2"/>
  <c r="D16424" i="2"/>
  <c r="F16424" i="2"/>
  <c r="G16424" i="2"/>
  <c r="H16424" i="2"/>
  <c r="J16424" i="2"/>
  <c r="K16424" i="2"/>
  <c r="L16424" i="2"/>
  <c r="C16425" i="2"/>
  <c r="D16425" i="2"/>
  <c r="F16425" i="2"/>
  <c r="G16425" i="2"/>
  <c r="H16425" i="2"/>
  <c r="J16425" i="2"/>
  <c r="K16425" i="2"/>
  <c r="L16425" i="2"/>
  <c r="C16426" i="2"/>
  <c r="D16426" i="2"/>
  <c r="F16426" i="2"/>
  <c r="G16426" i="2"/>
  <c r="H16426" i="2"/>
  <c r="J16426" i="2"/>
  <c r="K16426" i="2"/>
  <c r="L16426" i="2"/>
  <c r="C16427" i="2"/>
  <c r="D16427" i="2"/>
  <c r="F16427" i="2"/>
  <c r="G16427" i="2"/>
  <c r="H16427" i="2"/>
  <c r="J16427" i="2"/>
  <c r="K16427" i="2"/>
  <c r="L16427" i="2"/>
  <c r="C16428" i="2"/>
  <c r="D16428" i="2"/>
  <c r="E16428" i="2"/>
  <c r="F16428" i="2"/>
  <c r="G16428" i="2"/>
  <c r="H16428" i="2"/>
  <c r="J16428" i="2"/>
  <c r="K16428" i="2"/>
  <c r="L16428" i="2"/>
  <c r="C16429" i="2"/>
  <c r="D16429" i="2"/>
  <c r="F16429" i="2"/>
  <c r="G16429" i="2"/>
  <c r="H16429" i="2"/>
  <c r="J16429" i="2"/>
  <c r="K16429" i="2"/>
  <c r="L16429" i="2"/>
  <c r="C16430" i="2"/>
  <c r="D16430" i="2"/>
  <c r="F16430" i="2"/>
  <c r="G16430" i="2"/>
  <c r="H16430" i="2"/>
  <c r="J16430" i="2"/>
  <c r="K16430" i="2"/>
  <c r="L16430" i="2"/>
  <c r="C16431" i="2"/>
  <c r="D16431" i="2"/>
  <c r="F16431" i="2"/>
  <c r="G16431" i="2"/>
  <c r="H16431" i="2"/>
  <c r="J16431" i="2"/>
  <c r="K16431" i="2"/>
  <c r="L16431" i="2"/>
  <c r="C16432" i="2"/>
  <c r="D16432" i="2"/>
  <c r="F16432" i="2"/>
  <c r="G16432" i="2"/>
  <c r="H16432" i="2"/>
  <c r="J16432" i="2"/>
  <c r="K16432" i="2"/>
  <c r="L16432" i="2"/>
  <c r="C16433" i="2"/>
  <c r="D16433" i="2"/>
  <c r="F16433" i="2"/>
  <c r="G16433" i="2"/>
  <c r="H16433" i="2"/>
  <c r="J16433" i="2"/>
  <c r="K16433" i="2"/>
  <c r="L16433" i="2"/>
  <c r="C16434" i="2"/>
  <c r="D16434" i="2"/>
  <c r="F16434" i="2"/>
  <c r="G16434" i="2"/>
  <c r="H16434" i="2"/>
  <c r="J16434" i="2"/>
  <c r="K16434" i="2"/>
  <c r="L16434" i="2"/>
  <c r="C16435" i="2"/>
  <c r="D16435" i="2"/>
  <c r="F16435" i="2"/>
  <c r="G16435" i="2"/>
  <c r="H16435" i="2"/>
  <c r="J16435" i="2"/>
  <c r="K16435" i="2"/>
  <c r="L16435" i="2"/>
  <c r="C16436" i="2"/>
  <c r="D16436" i="2"/>
  <c r="F16436" i="2"/>
  <c r="G16436" i="2"/>
  <c r="H16436" i="2"/>
  <c r="J16436" i="2"/>
  <c r="K16436" i="2"/>
  <c r="L16436" i="2"/>
  <c r="C16437" i="2"/>
  <c r="D16437" i="2"/>
  <c r="F16437" i="2"/>
  <c r="G16437" i="2"/>
  <c r="H16437" i="2"/>
  <c r="J16437" i="2"/>
  <c r="K16437" i="2"/>
  <c r="L16437" i="2"/>
  <c r="C16438" i="2"/>
  <c r="D16438" i="2"/>
  <c r="F16438" i="2"/>
  <c r="G16438" i="2"/>
  <c r="H16438" i="2"/>
  <c r="J16438" i="2"/>
  <c r="K16438" i="2"/>
  <c r="L16438" i="2"/>
  <c r="C16439" i="2"/>
  <c r="D16439" i="2"/>
  <c r="F16439" i="2"/>
  <c r="G16439" i="2"/>
  <c r="H16439" i="2"/>
  <c r="J16439" i="2"/>
  <c r="K16439" i="2"/>
  <c r="L16439" i="2"/>
  <c r="C16440" i="2"/>
  <c r="D16440" i="2"/>
  <c r="E16440" i="2"/>
  <c r="F16440" i="2"/>
  <c r="G16440" i="2"/>
  <c r="H16440" i="2"/>
  <c r="J16440" i="2"/>
  <c r="K16440" i="2"/>
  <c r="L16440" i="2"/>
  <c r="C16441" i="2"/>
  <c r="D16441" i="2"/>
  <c r="F16441" i="2"/>
  <c r="G16441" i="2"/>
  <c r="H16441" i="2"/>
  <c r="J16441" i="2"/>
  <c r="K16441" i="2"/>
  <c r="L16441" i="2"/>
  <c r="C16442" i="2"/>
  <c r="D16442" i="2"/>
  <c r="F16442" i="2"/>
  <c r="G16442" i="2"/>
  <c r="H16442" i="2"/>
  <c r="J16442" i="2"/>
  <c r="K16442" i="2"/>
  <c r="L16442" i="2"/>
  <c r="C16443" i="2"/>
  <c r="D16443" i="2"/>
  <c r="F16443" i="2"/>
  <c r="G16443" i="2"/>
  <c r="H16443" i="2"/>
  <c r="J16443" i="2"/>
  <c r="K16443" i="2"/>
  <c r="L16443" i="2"/>
  <c r="C16444" i="2"/>
  <c r="D16444" i="2"/>
  <c r="F16444" i="2"/>
  <c r="G16444" i="2"/>
  <c r="H16444" i="2"/>
  <c r="J16444" i="2"/>
  <c r="K16444" i="2"/>
  <c r="L16444" i="2"/>
  <c r="C16445" i="2"/>
  <c r="D16445" i="2"/>
  <c r="F16445" i="2"/>
  <c r="G16445" i="2"/>
  <c r="H16445" i="2"/>
  <c r="J16445" i="2"/>
  <c r="K16445" i="2"/>
  <c r="L16445" i="2"/>
  <c r="C16446" i="2"/>
  <c r="D16446" i="2"/>
  <c r="F16446" i="2"/>
  <c r="G16446" i="2"/>
  <c r="H16446" i="2"/>
  <c r="J16446" i="2"/>
  <c r="K16446" i="2"/>
  <c r="L16446" i="2"/>
  <c r="C16447" i="2"/>
  <c r="D16447" i="2"/>
  <c r="F16447" i="2"/>
  <c r="G16447" i="2"/>
  <c r="H16447" i="2"/>
  <c r="J16447" i="2"/>
  <c r="K16447" i="2"/>
  <c r="L16447" i="2"/>
  <c r="C16448" i="2"/>
  <c r="D16448" i="2"/>
  <c r="F16448" i="2"/>
  <c r="G16448" i="2"/>
  <c r="H16448" i="2"/>
  <c r="J16448" i="2"/>
  <c r="K16448" i="2"/>
  <c r="L16448" i="2"/>
  <c r="C16449" i="2"/>
  <c r="D16449" i="2"/>
  <c r="F16449" i="2"/>
  <c r="G16449" i="2"/>
  <c r="H16449" i="2"/>
  <c r="J16449" i="2"/>
  <c r="K16449" i="2"/>
  <c r="L16449" i="2"/>
  <c r="C16450" i="2"/>
  <c r="D16450" i="2"/>
  <c r="F16450" i="2"/>
  <c r="G16450" i="2"/>
  <c r="H16450" i="2"/>
  <c r="J16450" i="2"/>
  <c r="K16450" i="2"/>
  <c r="L16450" i="2"/>
  <c r="C16451" i="2"/>
  <c r="D16451" i="2"/>
  <c r="F16451" i="2"/>
  <c r="G16451" i="2"/>
  <c r="H16451" i="2"/>
  <c r="J16451" i="2"/>
  <c r="K16451" i="2"/>
  <c r="L16451" i="2"/>
  <c r="C16452" i="2"/>
  <c r="D16452" i="2"/>
  <c r="F16452" i="2"/>
  <c r="G16452" i="2"/>
  <c r="H16452" i="2"/>
  <c r="J16452" i="2"/>
  <c r="K16452" i="2"/>
  <c r="L16452" i="2"/>
  <c r="C16453" i="2"/>
  <c r="D16453" i="2"/>
  <c r="F16453" i="2"/>
  <c r="G16453" i="2"/>
  <c r="H16453" i="2"/>
  <c r="J16453" i="2"/>
  <c r="K16453" i="2"/>
  <c r="L16453" i="2"/>
  <c r="C16454" i="2"/>
  <c r="D16454" i="2"/>
  <c r="F16454" i="2"/>
  <c r="G16454" i="2"/>
  <c r="H16454" i="2"/>
  <c r="J16454" i="2"/>
  <c r="K16454" i="2"/>
  <c r="L16454" i="2"/>
  <c r="C16455" i="2"/>
  <c r="D16455" i="2"/>
  <c r="F16455" i="2"/>
  <c r="G16455" i="2"/>
  <c r="H16455" i="2"/>
  <c r="J16455" i="2"/>
  <c r="K16455" i="2"/>
  <c r="L16455" i="2"/>
  <c r="C16456" i="2"/>
  <c r="D16456" i="2"/>
  <c r="F16456" i="2"/>
  <c r="G16456" i="2"/>
  <c r="H16456" i="2"/>
  <c r="J16456" i="2"/>
  <c r="K16456" i="2"/>
  <c r="L16456" i="2"/>
  <c r="C16457" i="2"/>
  <c r="D16457" i="2"/>
  <c r="F16457" i="2"/>
  <c r="G16457" i="2"/>
  <c r="H16457" i="2"/>
  <c r="J16457" i="2"/>
  <c r="K16457" i="2"/>
  <c r="L16457" i="2"/>
  <c r="C16458" i="2"/>
  <c r="D16458" i="2"/>
  <c r="F16458" i="2"/>
  <c r="G16458" i="2"/>
  <c r="H16458" i="2"/>
  <c r="J16458" i="2"/>
  <c r="K16458" i="2"/>
  <c r="L16458" i="2"/>
  <c r="C16459" i="2"/>
  <c r="D16459" i="2"/>
  <c r="F16459" i="2"/>
  <c r="G16459" i="2"/>
  <c r="H16459" i="2"/>
  <c r="J16459" i="2"/>
  <c r="K16459" i="2"/>
  <c r="L16459" i="2"/>
  <c r="C16460" i="2"/>
  <c r="D16460" i="2"/>
  <c r="F16460" i="2"/>
  <c r="G16460" i="2"/>
  <c r="H16460" i="2"/>
  <c r="J16460" i="2"/>
  <c r="K16460" i="2"/>
  <c r="L16460" i="2"/>
  <c r="C16461" i="2"/>
  <c r="D16461" i="2"/>
  <c r="F16461" i="2"/>
  <c r="G16461" i="2"/>
  <c r="H16461" i="2"/>
  <c r="J16461" i="2"/>
  <c r="K16461" i="2"/>
  <c r="L16461" i="2"/>
  <c r="C16462" i="2"/>
  <c r="D16462" i="2"/>
  <c r="F16462" i="2"/>
  <c r="G16462" i="2"/>
  <c r="H16462" i="2"/>
  <c r="J16462" i="2"/>
  <c r="K16462" i="2"/>
  <c r="L16462" i="2"/>
  <c r="C16463" i="2"/>
  <c r="D16463" i="2"/>
  <c r="F16463" i="2"/>
  <c r="G16463" i="2"/>
  <c r="H16463" i="2"/>
  <c r="J16463" i="2"/>
  <c r="K16463" i="2"/>
  <c r="L16463" i="2"/>
  <c r="C16464" i="2"/>
  <c r="D16464" i="2"/>
  <c r="F16464" i="2"/>
  <c r="G16464" i="2"/>
  <c r="H16464" i="2"/>
  <c r="J16464" i="2"/>
  <c r="K16464" i="2"/>
  <c r="L16464" i="2"/>
  <c r="C16465" i="2"/>
  <c r="D16465" i="2"/>
  <c r="F16465" i="2"/>
  <c r="G16465" i="2"/>
  <c r="H16465" i="2"/>
  <c r="J16465" i="2"/>
  <c r="K16465" i="2"/>
  <c r="L16465" i="2"/>
  <c r="C16466" i="2"/>
  <c r="D16466" i="2"/>
  <c r="F16466" i="2"/>
  <c r="G16466" i="2"/>
  <c r="H16466" i="2"/>
  <c r="J16466" i="2"/>
  <c r="K16466" i="2"/>
  <c r="L16466" i="2"/>
  <c r="C16467" i="2"/>
  <c r="D16467" i="2"/>
  <c r="F16467" i="2"/>
  <c r="G16467" i="2"/>
  <c r="H16467" i="2"/>
  <c r="J16467" i="2"/>
  <c r="K16467" i="2"/>
  <c r="L16467" i="2"/>
  <c r="C16468" i="2"/>
  <c r="D16468" i="2"/>
  <c r="F16468" i="2"/>
  <c r="G16468" i="2"/>
  <c r="H16468" i="2"/>
  <c r="J16468" i="2"/>
  <c r="K16468" i="2"/>
  <c r="L16468" i="2"/>
  <c r="C16469" i="2"/>
  <c r="D16469" i="2"/>
  <c r="F16469" i="2"/>
  <c r="G16469" i="2"/>
  <c r="H16469" i="2"/>
  <c r="J16469" i="2"/>
  <c r="K16469" i="2"/>
  <c r="L16469" i="2"/>
  <c r="C16470" i="2"/>
  <c r="D16470" i="2"/>
  <c r="F16470" i="2"/>
  <c r="G16470" i="2"/>
  <c r="H16470" i="2"/>
  <c r="J16470" i="2"/>
  <c r="K16470" i="2"/>
  <c r="L16470" i="2"/>
  <c r="C16471" i="2"/>
  <c r="D16471" i="2"/>
  <c r="F16471" i="2"/>
  <c r="G16471" i="2"/>
  <c r="H16471" i="2"/>
  <c r="J16471" i="2"/>
  <c r="K16471" i="2"/>
  <c r="L16471" i="2"/>
  <c r="C16472" i="2"/>
  <c r="D16472" i="2"/>
  <c r="F16472" i="2"/>
  <c r="G16472" i="2"/>
  <c r="H16472" i="2"/>
  <c r="J16472" i="2"/>
  <c r="K16472" i="2"/>
  <c r="L16472" i="2"/>
  <c r="C16473" i="2"/>
  <c r="D16473" i="2"/>
  <c r="F16473" i="2"/>
  <c r="G16473" i="2"/>
  <c r="H16473" i="2"/>
  <c r="J16473" i="2"/>
  <c r="K16473" i="2"/>
  <c r="L16473" i="2"/>
  <c r="C16474" i="2"/>
  <c r="D16474" i="2"/>
  <c r="F16474" i="2"/>
  <c r="G16474" i="2"/>
  <c r="H16474" i="2"/>
  <c r="J16474" i="2"/>
  <c r="K16474" i="2"/>
  <c r="L16474" i="2"/>
  <c r="C16475" i="2"/>
  <c r="D16475" i="2"/>
  <c r="F16475" i="2"/>
  <c r="G16475" i="2"/>
  <c r="H16475" i="2"/>
  <c r="J16475" i="2"/>
  <c r="K16475" i="2"/>
  <c r="L16475" i="2"/>
  <c r="C16476" i="2"/>
  <c r="D16476" i="2"/>
  <c r="F16476" i="2"/>
  <c r="G16476" i="2"/>
  <c r="H16476" i="2"/>
  <c r="J16476" i="2"/>
  <c r="K16476" i="2"/>
  <c r="L16476" i="2"/>
  <c r="C16477" i="2"/>
  <c r="D16477" i="2"/>
  <c r="F16477" i="2"/>
  <c r="G16477" i="2"/>
  <c r="H16477" i="2"/>
  <c r="J16477" i="2"/>
  <c r="K16477" i="2"/>
  <c r="L16477" i="2"/>
  <c r="C16478" i="2"/>
  <c r="D16478" i="2"/>
  <c r="F16478" i="2"/>
  <c r="G16478" i="2"/>
  <c r="H16478" i="2"/>
  <c r="J16478" i="2"/>
  <c r="K16478" i="2"/>
  <c r="L16478" i="2"/>
  <c r="C16479" i="2"/>
  <c r="D16479" i="2"/>
  <c r="F16479" i="2"/>
  <c r="G16479" i="2"/>
  <c r="H16479" i="2"/>
  <c r="J16479" i="2"/>
  <c r="K16479" i="2"/>
  <c r="L16479" i="2"/>
  <c r="C16480" i="2"/>
  <c r="D16480" i="2"/>
  <c r="F16480" i="2"/>
  <c r="G16480" i="2"/>
  <c r="H16480" i="2"/>
  <c r="J16480" i="2"/>
  <c r="K16480" i="2"/>
  <c r="L16480" i="2"/>
  <c r="C16481" i="2"/>
  <c r="D16481" i="2"/>
  <c r="F16481" i="2"/>
  <c r="G16481" i="2"/>
  <c r="H16481" i="2"/>
  <c r="J16481" i="2"/>
  <c r="K16481" i="2"/>
  <c r="L16481" i="2"/>
  <c r="C16482" i="2"/>
  <c r="D16482" i="2"/>
  <c r="F16482" i="2"/>
  <c r="G16482" i="2"/>
  <c r="H16482" i="2"/>
  <c r="J16482" i="2"/>
  <c r="K16482" i="2"/>
  <c r="L16482" i="2"/>
  <c r="C16483" i="2"/>
  <c r="D16483" i="2"/>
  <c r="F16483" i="2"/>
  <c r="G16483" i="2"/>
  <c r="H16483" i="2"/>
  <c r="J16483" i="2"/>
  <c r="K16483" i="2"/>
  <c r="L16483" i="2"/>
  <c r="C16484" i="2"/>
  <c r="D16484" i="2"/>
  <c r="F16484" i="2"/>
  <c r="G16484" i="2"/>
  <c r="H16484" i="2"/>
  <c r="J16484" i="2"/>
  <c r="K16484" i="2"/>
  <c r="L16484" i="2"/>
  <c r="C16485" i="2"/>
  <c r="D16485" i="2"/>
  <c r="F16485" i="2"/>
  <c r="G16485" i="2"/>
  <c r="H16485" i="2"/>
  <c r="J16485" i="2"/>
  <c r="K16485" i="2"/>
  <c r="L16485" i="2"/>
  <c r="C16486" i="2"/>
  <c r="D16486" i="2"/>
  <c r="F16486" i="2"/>
  <c r="G16486" i="2"/>
  <c r="H16486" i="2"/>
  <c r="J16486" i="2"/>
  <c r="K16486" i="2"/>
  <c r="L16486" i="2"/>
  <c r="C16487" i="2"/>
  <c r="D16487" i="2"/>
  <c r="F16487" i="2"/>
  <c r="G16487" i="2"/>
  <c r="H16487" i="2"/>
  <c r="J16487" i="2"/>
  <c r="K16487" i="2"/>
  <c r="L16487" i="2"/>
  <c r="C16488" i="2"/>
  <c r="D16488" i="2"/>
  <c r="F16488" i="2"/>
  <c r="G16488" i="2"/>
  <c r="H16488" i="2"/>
  <c r="J16488" i="2"/>
  <c r="K16488" i="2"/>
  <c r="L16488" i="2"/>
  <c r="C16489" i="2"/>
  <c r="D16489" i="2"/>
  <c r="F16489" i="2"/>
  <c r="G16489" i="2"/>
  <c r="H16489" i="2"/>
  <c r="J16489" i="2"/>
  <c r="K16489" i="2"/>
  <c r="L16489" i="2"/>
  <c r="C16490" i="2"/>
  <c r="D16490" i="2"/>
  <c r="F16490" i="2"/>
  <c r="G16490" i="2"/>
  <c r="H16490" i="2"/>
  <c r="J16490" i="2"/>
  <c r="K16490" i="2"/>
  <c r="L16490" i="2"/>
  <c r="C16491" i="2"/>
  <c r="D16491" i="2"/>
  <c r="F16491" i="2"/>
  <c r="G16491" i="2"/>
  <c r="H16491" i="2"/>
  <c r="J16491" i="2"/>
  <c r="K16491" i="2"/>
  <c r="L16491" i="2"/>
  <c r="C16492" i="2"/>
  <c r="D16492" i="2"/>
  <c r="F16492" i="2"/>
  <c r="G16492" i="2"/>
  <c r="H16492" i="2"/>
  <c r="J16492" i="2"/>
  <c r="K16492" i="2"/>
  <c r="L16492" i="2"/>
  <c r="C16493" i="2"/>
  <c r="D16493" i="2"/>
  <c r="F16493" i="2"/>
  <c r="G16493" i="2"/>
  <c r="H16493" i="2"/>
  <c r="J16493" i="2"/>
  <c r="K16493" i="2"/>
  <c r="L16493" i="2"/>
  <c r="C16494" i="2"/>
  <c r="D16494" i="2"/>
  <c r="F16494" i="2"/>
  <c r="G16494" i="2"/>
  <c r="H16494" i="2"/>
  <c r="J16494" i="2"/>
  <c r="K16494" i="2"/>
  <c r="L16494" i="2"/>
  <c r="C16495" i="2"/>
  <c r="D16495" i="2"/>
  <c r="F16495" i="2"/>
  <c r="G16495" i="2"/>
  <c r="H16495" i="2"/>
  <c r="J16495" i="2"/>
  <c r="K16495" i="2"/>
  <c r="L16495" i="2"/>
  <c r="C16496" i="2"/>
  <c r="D16496" i="2"/>
  <c r="F16496" i="2"/>
  <c r="G16496" i="2"/>
  <c r="H16496" i="2"/>
  <c r="J16496" i="2"/>
  <c r="K16496" i="2"/>
  <c r="L16496" i="2"/>
  <c r="C16497" i="2"/>
  <c r="D16497" i="2"/>
  <c r="F16497" i="2"/>
  <c r="G16497" i="2"/>
  <c r="H16497" i="2"/>
  <c r="J16497" i="2"/>
  <c r="K16497" i="2"/>
  <c r="L16497" i="2"/>
  <c r="C16498" i="2"/>
  <c r="D16498" i="2"/>
  <c r="F16498" i="2"/>
  <c r="G16498" i="2"/>
  <c r="H16498" i="2"/>
  <c r="J16498" i="2"/>
  <c r="K16498" i="2"/>
  <c r="L16498" i="2"/>
  <c r="C16499" i="2"/>
  <c r="D16499" i="2"/>
  <c r="F16499" i="2"/>
  <c r="G16499" i="2"/>
  <c r="H16499" i="2"/>
  <c r="J16499" i="2"/>
  <c r="K16499" i="2"/>
  <c r="L16499" i="2"/>
  <c r="C16500" i="2"/>
  <c r="D16500" i="2"/>
  <c r="F16500" i="2"/>
  <c r="G16500" i="2"/>
  <c r="H16500" i="2"/>
  <c r="J16500" i="2"/>
  <c r="K16500" i="2"/>
  <c r="L16500" i="2"/>
  <c r="C16501" i="2"/>
  <c r="D16501" i="2"/>
  <c r="F16501" i="2"/>
  <c r="G16501" i="2"/>
  <c r="H16501" i="2"/>
  <c r="J16501" i="2"/>
  <c r="K16501" i="2"/>
  <c r="L16501" i="2"/>
  <c r="C16502" i="2"/>
  <c r="D16502" i="2"/>
  <c r="F16502" i="2"/>
  <c r="G16502" i="2"/>
  <c r="H16502" i="2"/>
  <c r="J16502" i="2"/>
  <c r="K16502" i="2"/>
  <c r="L16502" i="2"/>
  <c r="C16503" i="2"/>
  <c r="D16503" i="2"/>
  <c r="F16503" i="2"/>
  <c r="G16503" i="2"/>
  <c r="H16503" i="2"/>
  <c r="J16503" i="2"/>
  <c r="K16503" i="2"/>
  <c r="L16503" i="2"/>
  <c r="C16504" i="2"/>
  <c r="D16504" i="2"/>
  <c r="F16504" i="2"/>
  <c r="G16504" i="2"/>
  <c r="H16504" i="2"/>
  <c r="J16504" i="2"/>
  <c r="K16504" i="2"/>
  <c r="L16504" i="2"/>
  <c r="C16505" i="2"/>
  <c r="D16505" i="2"/>
  <c r="F16505" i="2"/>
  <c r="G16505" i="2"/>
  <c r="H16505" i="2"/>
  <c r="J16505" i="2"/>
  <c r="K16505" i="2"/>
  <c r="L16505" i="2"/>
  <c r="C16506" i="2"/>
  <c r="D16506" i="2"/>
  <c r="F16506" i="2"/>
  <c r="G16506" i="2"/>
  <c r="H16506" i="2"/>
  <c r="J16506" i="2"/>
  <c r="K16506" i="2"/>
  <c r="L16506" i="2"/>
  <c r="C16507" i="2"/>
  <c r="D16507" i="2"/>
  <c r="F16507" i="2"/>
  <c r="G16507" i="2"/>
  <c r="H16507" i="2"/>
  <c r="J16507" i="2"/>
  <c r="K16507" i="2"/>
  <c r="L16507" i="2"/>
  <c r="C16508" i="2"/>
  <c r="D16508" i="2"/>
  <c r="F16508" i="2"/>
  <c r="G16508" i="2"/>
  <c r="H16508" i="2"/>
  <c r="J16508" i="2"/>
  <c r="K16508" i="2"/>
  <c r="L16508" i="2"/>
  <c r="C16509" i="2"/>
  <c r="D16509" i="2"/>
  <c r="F16509" i="2"/>
  <c r="G16509" i="2"/>
  <c r="H16509" i="2"/>
  <c r="J16509" i="2"/>
  <c r="K16509" i="2"/>
  <c r="L16509" i="2"/>
  <c r="C16510" i="2"/>
  <c r="D16510" i="2"/>
  <c r="F16510" i="2"/>
  <c r="G16510" i="2"/>
  <c r="H16510" i="2"/>
  <c r="J16510" i="2"/>
  <c r="K16510" i="2"/>
  <c r="L16510" i="2"/>
  <c r="C16511" i="2"/>
  <c r="D16511" i="2"/>
  <c r="F16511" i="2"/>
  <c r="G16511" i="2"/>
  <c r="H16511" i="2"/>
  <c r="J16511" i="2"/>
  <c r="K16511" i="2"/>
  <c r="L16511" i="2"/>
  <c r="C16512" i="2"/>
  <c r="D16512" i="2"/>
  <c r="F16512" i="2"/>
  <c r="G16512" i="2"/>
  <c r="H16512" i="2"/>
  <c r="J16512" i="2"/>
  <c r="K16512" i="2"/>
  <c r="L16512" i="2"/>
  <c r="C16513" i="2"/>
  <c r="D16513" i="2"/>
  <c r="F16513" i="2"/>
  <c r="G16513" i="2"/>
  <c r="H16513" i="2"/>
  <c r="J16513" i="2"/>
  <c r="K16513" i="2"/>
  <c r="L16513" i="2"/>
  <c r="C16514" i="2"/>
  <c r="D16514" i="2"/>
  <c r="F16514" i="2"/>
  <c r="G16514" i="2"/>
  <c r="H16514" i="2"/>
  <c r="J16514" i="2"/>
  <c r="K16514" i="2"/>
  <c r="L16514" i="2"/>
  <c r="C16515" i="2"/>
  <c r="D16515" i="2"/>
  <c r="F16515" i="2"/>
  <c r="G16515" i="2"/>
  <c r="H16515" i="2"/>
  <c r="J16515" i="2"/>
  <c r="K16515" i="2"/>
  <c r="L16515" i="2"/>
  <c r="C16516" i="2"/>
  <c r="D16516" i="2"/>
  <c r="F16516" i="2"/>
  <c r="G16516" i="2"/>
  <c r="H16516" i="2"/>
  <c r="J16516" i="2"/>
  <c r="K16516" i="2"/>
  <c r="L16516" i="2"/>
  <c r="C16517" i="2"/>
  <c r="D16517" i="2"/>
  <c r="F16517" i="2"/>
  <c r="G16517" i="2"/>
  <c r="H16517" i="2"/>
  <c r="J16517" i="2"/>
  <c r="K16517" i="2"/>
  <c r="L16517" i="2"/>
  <c r="C16518" i="2"/>
  <c r="D16518" i="2"/>
  <c r="F16518" i="2"/>
  <c r="G16518" i="2"/>
  <c r="H16518" i="2"/>
  <c r="J16518" i="2"/>
  <c r="K16518" i="2"/>
  <c r="L16518" i="2"/>
  <c r="C16519" i="2"/>
  <c r="D16519" i="2"/>
  <c r="F16519" i="2"/>
  <c r="G16519" i="2"/>
  <c r="H16519" i="2"/>
  <c r="J16519" i="2"/>
  <c r="K16519" i="2"/>
  <c r="L16519" i="2"/>
  <c r="C16520" i="2"/>
  <c r="D16520" i="2"/>
  <c r="F16520" i="2"/>
  <c r="G16520" i="2"/>
  <c r="H16520" i="2"/>
  <c r="J16520" i="2"/>
  <c r="K16520" i="2"/>
  <c r="L16520" i="2"/>
  <c r="C16521" i="2"/>
  <c r="D16521" i="2"/>
  <c r="F16521" i="2"/>
  <c r="G16521" i="2"/>
  <c r="H16521" i="2"/>
  <c r="J16521" i="2"/>
  <c r="K16521" i="2"/>
  <c r="L16521" i="2"/>
  <c r="C16522" i="2"/>
  <c r="D16522" i="2"/>
  <c r="F16522" i="2"/>
  <c r="G16522" i="2"/>
  <c r="H16522" i="2"/>
  <c r="J16522" i="2"/>
  <c r="K16522" i="2"/>
  <c r="L16522" i="2"/>
  <c r="C16523" i="2"/>
  <c r="D16523" i="2"/>
  <c r="F16523" i="2"/>
  <c r="G16523" i="2"/>
  <c r="H16523" i="2"/>
  <c r="J16523" i="2"/>
  <c r="K16523" i="2"/>
  <c r="L16523" i="2"/>
  <c r="C16524" i="2"/>
  <c r="D16524" i="2"/>
  <c r="F16524" i="2"/>
  <c r="G16524" i="2"/>
  <c r="H16524" i="2"/>
  <c r="J16524" i="2"/>
  <c r="K16524" i="2"/>
  <c r="L16524" i="2"/>
  <c r="C16525" i="2"/>
  <c r="D16525" i="2"/>
  <c r="F16525" i="2"/>
  <c r="G16525" i="2"/>
  <c r="H16525" i="2"/>
  <c r="J16525" i="2"/>
  <c r="K16525" i="2"/>
  <c r="L16525" i="2"/>
  <c r="C16526" i="2"/>
  <c r="D16526" i="2"/>
  <c r="F16526" i="2"/>
  <c r="G16526" i="2"/>
  <c r="H16526" i="2"/>
  <c r="J16526" i="2"/>
  <c r="K16526" i="2"/>
  <c r="L16526" i="2"/>
  <c r="C16527" i="2"/>
  <c r="D16527" i="2"/>
  <c r="F16527" i="2"/>
  <c r="G16527" i="2"/>
  <c r="H16527" i="2"/>
  <c r="J16527" i="2"/>
  <c r="K16527" i="2"/>
  <c r="L16527" i="2"/>
  <c r="C16528" i="2"/>
  <c r="D16528" i="2"/>
  <c r="F16528" i="2"/>
  <c r="G16528" i="2"/>
  <c r="H16528" i="2"/>
  <c r="J16528" i="2"/>
  <c r="K16528" i="2"/>
  <c r="L16528" i="2"/>
  <c r="C16529" i="2"/>
  <c r="D16529" i="2"/>
  <c r="F16529" i="2"/>
  <c r="G16529" i="2"/>
  <c r="H16529" i="2"/>
  <c r="J16529" i="2"/>
  <c r="K16529" i="2"/>
  <c r="L16529" i="2"/>
  <c r="C16530" i="2"/>
  <c r="D16530" i="2"/>
  <c r="F16530" i="2"/>
  <c r="G16530" i="2"/>
  <c r="H16530" i="2"/>
  <c r="J16530" i="2"/>
  <c r="K16530" i="2"/>
  <c r="L16530" i="2"/>
  <c r="C16531" i="2"/>
  <c r="D16531" i="2"/>
  <c r="F16531" i="2"/>
  <c r="G16531" i="2"/>
  <c r="H16531" i="2"/>
  <c r="J16531" i="2"/>
  <c r="K16531" i="2"/>
  <c r="L16531" i="2"/>
  <c r="C16532" i="2"/>
  <c r="D16532" i="2"/>
  <c r="F16532" i="2"/>
  <c r="G16532" i="2"/>
  <c r="H16532" i="2"/>
  <c r="J16532" i="2"/>
  <c r="K16532" i="2"/>
  <c r="L16532" i="2"/>
  <c r="C16533" i="2"/>
  <c r="D16533" i="2"/>
  <c r="F16533" i="2"/>
  <c r="G16533" i="2"/>
  <c r="H16533" i="2"/>
  <c r="J16533" i="2"/>
  <c r="K16533" i="2"/>
  <c r="L16533" i="2"/>
  <c r="C16534" i="2"/>
  <c r="D16534" i="2"/>
  <c r="F16534" i="2"/>
  <c r="G16534" i="2"/>
  <c r="H16534" i="2"/>
  <c r="J16534" i="2"/>
  <c r="K16534" i="2"/>
  <c r="L16534" i="2"/>
  <c r="C16535" i="2"/>
  <c r="D16535" i="2"/>
  <c r="F16535" i="2"/>
  <c r="G16535" i="2"/>
  <c r="H16535" i="2"/>
  <c r="J16535" i="2"/>
  <c r="K16535" i="2"/>
  <c r="L16535" i="2"/>
  <c r="C16536" i="2"/>
  <c r="D16536" i="2"/>
  <c r="F16536" i="2"/>
  <c r="G16536" i="2"/>
  <c r="H16536" i="2"/>
  <c r="J16536" i="2"/>
  <c r="K16536" i="2"/>
  <c r="L16536" i="2"/>
  <c r="C16537" i="2"/>
  <c r="D16537" i="2"/>
  <c r="F16537" i="2"/>
  <c r="G16537" i="2"/>
  <c r="H16537" i="2"/>
  <c r="J16537" i="2"/>
  <c r="K16537" i="2"/>
  <c r="L16537" i="2"/>
  <c r="C16538" i="2"/>
  <c r="D16538" i="2"/>
  <c r="F16538" i="2"/>
  <c r="G16538" i="2"/>
  <c r="H16538" i="2"/>
  <c r="J16538" i="2"/>
  <c r="K16538" i="2"/>
  <c r="L16538" i="2"/>
  <c r="C16539" i="2"/>
  <c r="D16539" i="2"/>
  <c r="F16539" i="2"/>
  <c r="G16539" i="2"/>
  <c r="H16539" i="2"/>
  <c r="J16539" i="2"/>
  <c r="K16539" i="2"/>
  <c r="L16539" i="2"/>
  <c r="C16540" i="2"/>
  <c r="D16540" i="2"/>
  <c r="F16540" i="2"/>
  <c r="G16540" i="2"/>
  <c r="H16540" i="2"/>
  <c r="J16540" i="2"/>
  <c r="K16540" i="2"/>
  <c r="L16540" i="2"/>
  <c r="C16541" i="2"/>
  <c r="D16541" i="2"/>
  <c r="F16541" i="2"/>
  <c r="G16541" i="2"/>
  <c r="H16541" i="2"/>
  <c r="J16541" i="2"/>
  <c r="K16541" i="2"/>
  <c r="L16541" i="2"/>
  <c r="D16542" i="2"/>
  <c r="F16542" i="2"/>
  <c r="G16542" i="2"/>
  <c r="H16542" i="2"/>
  <c r="J16542" i="2"/>
  <c r="K16542" i="2"/>
  <c r="L16542" i="2"/>
  <c r="C16543" i="2"/>
  <c r="D16543" i="2"/>
  <c r="F16543" i="2"/>
  <c r="G16543" i="2"/>
  <c r="H16543" i="2"/>
  <c r="J16543" i="2"/>
  <c r="K16543" i="2"/>
  <c r="L16543" i="2"/>
  <c r="C16544" i="2"/>
  <c r="D16544" i="2"/>
  <c r="F16544" i="2"/>
  <c r="G16544" i="2"/>
  <c r="H16544" i="2"/>
  <c r="J16544" i="2"/>
  <c r="K16544" i="2"/>
  <c r="L16544" i="2"/>
  <c r="C16545" i="2"/>
  <c r="D16545" i="2"/>
  <c r="F16545" i="2"/>
  <c r="G16545" i="2"/>
  <c r="H16545" i="2"/>
  <c r="J16545" i="2"/>
  <c r="K16545" i="2"/>
  <c r="L16545" i="2"/>
  <c r="C16546" i="2"/>
  <c r="D16546" i="2"/>
  <c r="F16546" i="2"/>
  <c r="G16546" i="2"/>
  <c r="H16546" i="2"/>
  <c r="J16546" i="2"/>
  <c r="K16546" i="2"/>
  <c r="L16546" i="2"/>
  <c r="C16547" i="2"/>
  <c r="D16547" i="2"/>
  <c r="F16547" i="2"/>
  <c r="G16547" i="2"/>
  <c r="H16547" i="2"/>
  <c r="J16547" i="2"/>
  <c r="K16547" i="2"/>
  <c r="L16547" i="2"/>
  <c r="C16548" i="2"/>
  <c r="D16548" i="2"/>
  <c r="F16548" i="2"/>
  <c r="G16548" i="2"/>
  <c r="H16548" i="2"/>
  <c r="J16548" i="2"/>
  <c r="K16548" i="2"/>
  <c r="L16548" i="2"/>
  <c r="C16549" i="2"/>
  <c r="D16549" i="2"/>
  <c r="F16549" i="2"/>
  <c r="G16549" i="2"/>
  <c r="H16549" i="2"/>
  <c r="J16549" i="2"/>
  <c r="K16549" i="2"/>
  <c r="L16549" i="2"/>
  <c r="C16550" i="2"/>
  <c r="D16550" i="2"/>
  <c r="F16550" i="2"/>
  <c r="G16550" i="2"/>
  <c r="H16550" i="2"/>
  <c r="J16550" i="2"/>
  <c r="K16550" i="2"/>
  <c r="L16550" i="2"/>
  <c r="C16551" i="2"/>
  <c r="D16551" i="2"/>
  <c r="F16551" i="2"/>
  <c r="G16551" i="2"/>
  <c r="H16551" i="2"/>
  <c r="J16551" i="2"/>
  <c r="K16551" i="2"/>
  <c r="L16551" i="2"/>
  <c r="C16552" i="2"/>
  <c r="D16552" i="2"/>
  <c r="F16552" i="2"/>
  <c r="G16552" i="2"/>
  <c r="H16552" i="2"/>
  <c r="J16552" i="2"/>
  <c r="K16552" i="2"/>
  <c r="L16552" i="2"/>
  <c r="C16553" i="2"/>
  <c r="D16553" i="2"/>
  <c r="F16553" i="2"/>
  <c r="G16553" i="2"/>
  <c r="H16553" i="2"/>
  <c r="J16553" i="2"/>
  <c r="K16553" i="2"/>
  <c r="L16553" i="2"/>
  <c r="C16554" i="2"/>
  <c r="D16554" i="2"/>
  <c r="F16554" i="2"/>
  <c r="G16554" i="2"/>
  <c r="H16554" i="2"/>
  <c r="J16554" i="2"/>
  <c r="K16554" i="2"/>
  <c r="L16554" i="2"/>
  <c r="C16555" i="2"/>
  <c r="D16555" i="2"/>
  <c r="F16555" i="2"/>
  <c r="G16555" i="2"/>
  <c r="H16555" i="2"/>
  <c r="J16555" i="2"/>
  <c r="K16555" i="2"/>
  <c r="L16555" i="2"/>
  <c r="C16556" i="2"/>
  <c r="D16556" i="2"/>
  <c r="F16556" i="2"/>
  <c r="G16556" i="2"/>
  <c r="H16556" i="2"/>
  <c r="J16556" i="2"/>
  <c r="K16556" i="2"/>
  <c r="L16556" i="2"/>
  <c r="C16557" i="2"/>
  <c r="D16557" i="2"/>
  <c r="F16557" i="2"/>
  <c r="G16557" i="2"/>
  <c r="H16557" i="2"/>
  <c r="J16557" i="2"/>
  <c r="K16557" i="2"/>
  <c r="L16557" i="2"/>
  <c r="C16558" i="2"/>
  <c r="D16558" i="2"/>
  <c r="F16558" i="2"/>
  <c r="G16558" i="2"/>
  <c r="H16558" i="2"/>
  <c r="J16558" i="2"/>
  <c r="K16558" i="2"/>
  <c r="L16558" i="2"/>
  <c r="C16559" i="2"/>
  <c r="D16559" i="2"/>
  <c r="F16559" i="2"/>
  <c r="G16559" i="2"/>
  <c r="H16559" i="2"/>
  <c r="J16559" i="2"/>
  <c r="K16559" i="2"/>
  <c r="L16559" i="2"/>
  <c r="C16560" i="2"/>
  <c r="D16560" i="2"/>
  <c r="F16560" i="2"/>
  <c r="G16560" i="2"/>
  <c r="H16560" i="2"/>
  <c r="J16560" i="2"/>
  <c r="K16560" i="2"/>
  <c r="L16560" i="2"/>
  <c r="C16561" i="2"/>
  <c r="D16561" i="2"/>
  <c r="F16561" i="2"/>
  <c r="G16561" i="2"/>
  <c r="H16561" i="2"/>
  <c r="J16561" i="2"/>
  <c r="K16561" i="2"/>
  <c r="L16561" i="2"/>
  <c r="C16562" i="2"/>
  <c r="D16562" i="2"/>
  <c r="F16562" i="2"/>
  <c r="G16562" i="2"/>
  <c r="H16562" i="2"/>
  <c r="J16562" i="2"/>
  <c r="K16562" i="2"/>
  <c r="L16562" i="2"/>
  <c r="C16563" i="2"/>
  <c r="D16563" i="2"/>
  <c r="F16563" i="2"/>
  <c r="G16563" i="2"/>
  <c r="H16563" i="2"/>
  <c r="J16563" i="2"/>
  <c r="K16563" i="2"/>
  <c r="L16563" i="2"/>
  <c r="C16564" i="2"/>
  <c r="D16564" i="2"/>
  <c r="F16564" i="2"/>
  <c r="G16564" i="2"/>
  <c r="H16564" i="2"/>
  <c r="J16564" i="2"/>
  <c r="K16564" i="2"/>
  <c r="L16564" i="2"/>
  <c r="C16565" i="2"/>
  <c r="D16565" i="2"/>
  <c r="F16565" i="2"/>
  <c r="G16565" i="2"/>
  <c r="H16565" i="2"/>
  <c r="J16565" i="2"/>
  <c r="K16565" i="2"/>
  <c r="L16565" i="2"/>
  <c r="C16566" i="2"/>
  <c r="D16566" i="2"/>
  <c r="F16566" i="2"/>
  <c r="G16566" i="2"/>
  <c r="H16566" i="2"/>
  <c r="J16566" i="2"/>
  <c r="K16566" i="2"/>
  <c r="L16566" i="2"/>
  <c r="C16567" i="2"/>
  <c r="D16567" i="2"/>
  <c r="F16567" i="2"/>
  <c r="G16567" i="2"/>
  <c r="H16567" i="2"/>
  <c r="J16567" i="2"/>
  <c r="K16567" i="2"/>
  <c r="L16567" i="2"/>
  <c r="C16568" i="2"/>
  <c r="D16568" i="2"/>
  <c r="F16568" i="2"/>
  <c r="G16568" i="2"/>
  <c r="H16568" i="2"/>
  <c r="J16568" i="2"/>
  <c r="K16568" i="2"/>
  <c r="L16568" i="2"/>
  <c r="C16569" i="2"/>
  <c r="D16569" i="2"/>
  <c r="F16569" i="2"/>
  <c r="G16569" i="2"/>
  <c r="H16569" i="2"/>
  <c r="J16569" i="2"/>
  <c r="K16569" i="2"/>
  <c r="L16569" i="2"/>
  <c r="C16570" i="2"/>
  <c r="D16570" i="2"/>
  <c r="F16570" i="2"/>
  <c r="G16570" i="2"/>
  <c r="H16570" i="2"/>
  <c r="J16570" i="2"/>
  <c r="K16570" i="2"/>
  <c r="L16570" i="2"/>
  <c r="C16571" i="2"/>
  <c r="D16571" i="2"/>
  <c r="F16571" i="2"/>
  <c r="G16571" i="2"/>
  <c r="H16571" i="2"/>
  <c r="J16571" i="2"/>
  <c r="K16571" i="2"/>
  <c r="L16571" i="2"/>
  <c r="C16572" i="2"/>
  <c r="D16572" i="2"/>
  <c r="F16572" i="2"/>
  <c r="G16572" i="2"/>
  <c r="H16572" i="2"/>
  <c r="J16572" i="2"/>
  <c r="K16572" i="2"/>
  <c r="L16572" i="2"/>
  <c r="C16573" i="2"/>
  <c r="D16573" i="2"/>
  <c r="F16573" i="2"/>
  <c r="G16573" i="2"/>
  <c r="H16573" i="2"/>
  <c r="J16573" i="2"/>
  <c r="K16573" i="2"/>
  <c r="L16573" i="2"/>
  <c r="C16574" i="2"/>
  <c r="D16574" i="2"/>
  <c r="F16574" i="2"/>
  <c r="G16574" i="2"/>
  <c r="H16574" i="2"/>
  <c r="J16574" i="2"/>
  <c r="K16574" i="2"/>
  <c r="L16574" i="2"/>
  <c r="C16575" i="2"/>
  <c r="D16575" i="2"/>
  <c r="F16575" i="2"/>
  <c r="G16575" i="2"/>
  <c r="H16575" i="2"/>
  <c r="J16575" i="2"/>
  <c r="K16575" i="2"/>
  <c r="L16575" i="2"/>
  <c r="C16576" i="2"/>
  <c r="D16576" i="2"/>
  <c r="F16576" i="2"/>
  <c r="G16576" i="2"/>
  <c r="H16576" i="2"/>
  <c r="J16576" i="2"/>
  <c r="K16576" i="2"/>
  <c r="L16576" i="2"/>
  <c r="C16577" i="2"/>
  <c r="D16577" i="2"/>
  <c r="F16577" i="2"/>
  <c r="G16577" i="2"/>
  <c r="H16577" i="2"/>
  <c r="J16577" i="2"/>
  <c r="K16577" i="2"/>
  <c r="L16577" i="2"/>
  <c r="C16578" i="2"/>
  <c r="D16578" i="2"/>
  <c r="F16578" i="2"/>
  <c r="G16578" i="2"/>
  <c r="H16578" i="2"/>
  <c r="J16578" i="2"/>
  <c r="K16578" i="2"/>
  <c r="L16578" i="2"/>
  <c r="C16579" i="2"/>
  <c r="D16579" i="2"/>
  <c r="F16579" i="2"/>
  <c r="G16579" i="2"/>
  <c r="H16579" i="2"/>
  <c r="J16579" i="2"/>
  <c r="K16579" i="2"/>
  <c r="L16579" i="2"/>
  <c r="C16580" i="2"/>
  <c r="D16580" i="2"/>
  <c r="F16580" i="2"/>
  <c r="G16580" i="2"/>
  <c r="H16580" i="2"/>
  <c r="J16580" i="2"/>
  <c r="K16580" i="2"/>
  <c r="L16580" i="2"/>
  <c r="C16581" i="2"/>
  <c r="D16581" i="2"/>
  <c r="F16581" i="2"/>
  <c r="G16581" i="2"/>
  <c r="H16581" i="2"/>
  <c r="J16581" i="2"/>
  <c r="K16581" i="2"/>
  <c r="L16581" i="2"/>
  <c r="C16582" i="2"/>
  <c r="D16582" i="2"/>
  <c r="F16582" i="2"/>
  <c r="G16582" i="2"/>
  <c r="H16582" i="2"/>
  <c r="J16582" i="2"/>
  <c r="K16582" i="2"/>
  <c r="L16582" i="2"/>
  <c r="C16583" i="2"/>
  <c r="D16583" i="2"/>
  <c r="F16583" i="2"/>
  <c r="G16583" i="2"/>
  <c r="H16583" i="2"/>
  <c r="J16583" i="2"/>
  <c r="K16583" i="2"/>
  <c r="L16583" i="2"/>
  <c r="C16584" i="2"/>
  <c r="D16584" i="2"/>
  <c r="F16584" i="2"/>
  <c r="G16584" i="2"/>
  <c r="H16584" i="2"/>
  <c r="J16584" i="2"/>
  <c r="K16584" i="2"/>
  <c r="L16584" i="2"/>
  <c r="C16585" i="2"/>
  <c r="D16585" i="2"/>
  <c r="F16585" i="2"/>
  <c r="G16585" i="2"/>
  <c r="H16585" i="2"/>
  <c r="J16585" i="2"/>
  <c r="K16585" i="2"/>
  <c r="L16585" i="2"/>
  <c r="C16586" i="2"/>
  <c r="D16586" i="2"/>
  <c r="F16586" i="2"/>
  <c r="G16586" i="2"/>
  <c r="H16586" i="2"/>
  <c r="J16586" i="2"/>
  <c r="K16586" i="2"/>
  <c r="L16586" i="2"/>
  <c r="C16587" i="2"/>
  <c r="D16587" i="2"/>
  <c r="F16587" i="2"/>
  <c r="G16587" i="2"/>
  <c r="H16587" i="2"/>
  <c r="J16587" i="2"/>
  <c r="K16587" i="2"/>
  <c r="L16587" i="2"/>
  <c r="C16588" i="2"/>
  <c r="D16588" i="2"/>
  <c r="F16588" i="2"/>
  <c r="G16588" i="2"/>
  <c r="H16588" i="2"/>
  <c r="J16588" i="2"/>
  <c r="K16588" i="2"/>
  <c r="L16588" i="2"/>
  <c r="C16589" i="2"/>
  <c r="D16589" i="2"/>
  <c r="F16589" i="2"/>
  <c r="G16589" i="2"/>
  <c r="H16589" i="2"/>
  <c r="J16589" i="2"/>
  <c r="K16589" i="2"/>
  <c r="L16589" i="2"/>
  <c r="C16590" i="2"/>
  <c r="D16590" i="2"/>
  <c r="F16590" i="2"/>
  <c r="G16590" i="2"/>
  <c r="H16590" i="2"/>
  <c r="J16590" i="2"/>
  <c r="K16590" i="2"/>
  <c r="L16590" i="2"/>
  <c r="C16591" i="2"/>
  <c r="D16591" i="2"/>
  <c r="F16591" i="2"/>
  <c r="G16591" i="2"/>
  <c r="H16591" i="2"/>
  <c r="J16591" i="2"/>
  <c r="K16591" i="2"/>
  <c r="L16591" i="2"/>
  <c r="C16592" i="2"/>
  <c r="D16592" i="2"/>
  <c r="F16592" i="2"/>
  <c r="G16592" i="2"/>
  <c r="H16592" i="2"/>
  <c r="J16592" i="2"/>
  <c r="K16592" i="2"/>
  <c r="L16592" i="2"/>
  <c r="C16593" i="2"/>
  <c r="D16593" i="2"/>
  <c r="F16593" i="2"/>
  <c r="G16593" i="2"/>
  <c r="H16593" i="2"/>
  <c r="J16593" i="2"/>
  <c r="K16593" i="2"/>
  <c r="L16593" i="2"/>
  <c r="C16594" i="2"/>
  <c r="D16594" i="2"/>
  <c r="F16594" i="2"/>
  <c r="G16594" i="2"/>
  <c r="H16594" i="2"/>
  <c r="J16594" i="2"/>
  <c r="K16594" i="2"/>
  <c r="L16594" i="2"/>
  <c r="C16595" i="2"/>
  <c r="D16595" i="2"/>
  <c r="F16595" i="2"/>
  <c r="G16595" i="2"/>
  <c r="H16595" i="2"/>
  <c r="J16595" i="2"/>
  <c r="K16595" i="2"/>
  <c r="L16595" i="2"/>
  <c r="C16596" i="2"/>
  <c r="D16596" i="2"/>
  <c r="F16596" i="2"/>
  <c r="G16596" i="2"/>
  <c r="H16596" i="2"/>
  <c r="J16596" i="2"/>
  <c r="K16596" i="2"/>
  <c r="L16596" i="2"/>
  <c r="C16597" i="2"/>
  <c r="D16597" i="2"/>
  <c r="F16597" i="2"/>
  <c r="G16597" i="2"/>
  <c r="H16597" i="2"/>
  <c r="J16597" i="2"/>
  <c r="K16597" i="2"/>
  <c r="L16597" i="2"/>
  <c r="C16598" i="2"/>
  <c r="D16598" i="2"/>
  <c r="F16598" i="2"/>
  <c r="G16598" i="2"/>
  <c r="H16598" i="2"/>
  <c r="J16598" i="2"/>
  <c r="K16598" i="2"/>
  <c r="L16598" i="2"/>
  <c r="C16599" i="2"/>
  <c r="D16599" i="2"/>
  <c r="F16599" i="2"/>
  <c r="G16599" i="2"/>
  <c r="H16599" i="2"/>
  <c r="J16599" i="2"/>
  <c r="K16599" i="2"/>
  <c r="L16599" i="2"/>
  <c r="C16600" i="2"/>
  <c r="D16600" i="2"/>
  <c r="F16600" i="2"/>
  <c r="G16600" i="2"/>
  <c r="H16600" i="2"/>
  <c r="J16600" i="2"/>
  <c r="K16600" i="2"/>
  <c r="L16600" i="2"/>
  <c r="C16601" i="2"/>
  <c r="D16601" i="2"/>
  <c r="F16601" i="2"/>
  <c r="G16601" i="2"/>
  <c r="H16601" i="2"/>
  <c r="J16601" i="2"/>
  <c r="K16601" i="2"/>
  <c r="L16601" i="2"/>
  <c r="C16602" i="2"/>
  <c r="D16602" i="2"/>
  <c r="F16602" i="2"/>
  <c r="G16602" i="2"/>
  <c r="H16602" i="2"/>
  <c r="J16602" i="2"/>
  <c r="K16602" i="2"/>
  <c r="L16602" i="2"/>
  <c r="C16603" i="2"/>
  <c r="D16603" i="2"/>
  <c r="F16603" i="2"/>
  <c r="G16603" i="2"/>
  <c r="H16603" i="2"/>
  <c r="J16603" i="2"/>
  <c r="K16603" i="2"/>
  <c r="L16603" i="2"/>
  <c r="C16604" i="2"/>
  <c r="D16604" i="2"/>
  <c r="F16604" i="2"/>
  <c r="G16604" i="2"/>
  <c r="H16604" i="2"/>
  <c r="J16604" i="2"/>
  <c r="K16604" i="2"/>
  <c r="L16604" i="2"/>
  <c r="C16605" i="2"/>
  <c r="D16605" i="2"/>
  <c r="F16605" i="2"/>
  <c r="G16605" i="2"/>
  <c r="H16605" i="2"/>
  <c r="J16605" i="2"/>
  <c r="K16605" i="2"/>
  <c r="L16605" i="2"/>
  <c r="C16606" i="2"/>
  <c r="D16606" i="2"/>
  <c r="F16606" i="2"/>
  <c r="G16606" i="2"/>
  <c r="H16606" i="2"/>
  <c r="J16606" i="2"/>
  <c r="K16606" i="2"/>
  <c r="L16606" i="2"/>
  <c r="C16607" i="2"/>
  <c r="D16607" i="2"/>
  <c r="F16607" i="2"/>
  <c r="G16607" i="2"/>
  <c r="H16607" i="2"/>
  <c r="J16607" i="2"/>
  <c r="K16607" i="2"/>
  <c r="L16607" i="2"/>
  <c r="C16608" i="2"/>
  <c r="D16608" i="2"/>
  <c r="F16608" i="2"/>
  <c r="G16608" i="2"/>
  <c r="H16608" i="2"/>
  <c r="J16608" i="2"/>
  <c r="K16608" i="2"/>
  <c r="L16608" i="2"/>
  <c r="C16609" i="2"/>
  <c r="D16609" i="2"/>
  <c r="F16609" i="2"/>
  <c r="G16609" i="2"/>
  <c r="H16609" i="2"/>
  <c r="J16609" i="2"/>
  <c r="K16609" i="2"/>
  <c r="L16609" i="2"/>
  <c r="C16610" i="2"/>
  <c r="D16610" i="2"/>
  <c r="F16610" i="2"/>
  <c r="G16610" i="2"/>
  <c r="H16610" i="2"/>
  <c r="J16610" i="2"/>
  <c r="K16610" i="2"/>
  <c r="L16610" i="2"/>
  <c r="C16611" i="2"/>
  <c r="D16611" i="2"/>
  <c r="F16611" i="2"/>
  <c r="G16611" i="2"/>
  <c r="H16611" i="2"/>
  <c r="J16611" i="2"/>
  <c r="K16611" i="2"/>
  <c r="L16611" i="2"/>
  <c r="C16612" i="2"/>
  <c r="D16612" i="2"/>
  <c r="F16612" i="2"/>
  <c r="G16612" i="2"/>
  <c r="H16612" i="2"/>
  <c r="J16612" i="2"/>
  <c r="K16612" i="2"/>
  <c r="L16612" i="2"/>
  <c r="C16613" i="2"/>
  <c r="D16613" i="2"/>
  <c r="F16613" i="2"/>
  <c r="G16613" i="2"/>
  <c r="H16613" i="2"/>
  <c r="J16613" i="2"/>
  <c r="K16613" i="2"/>
  <c r="L16613" i="2"/>
  <c r="C16614" i="2"/>
  <c r="D16614" i="2"/>
  <c r="F16614" i="2"/>
  <c r="G16614" i="2"/>
  <c r="H16614" i="2"/>
  <c r="J16614" i="2"/>
  <c r="K16614" i="2"/>
  <c r="L16614" i="2"/>
  <c r="C16615" i="2"/>
  <c r="D16615" i="2"/>
  <c r="F16615" i="2"/>
  <c r="G16615" i="2"/>
  <c r="H16615" i="2"/>
  <c r="J16615" i="2"/>
  <c r="K16615" i="2"/>
  <c r="L16615" i="2"/>
  <c r="C16616" i="2"/>
  <c r="D16616" i="2"/>
  <c r="F16616" i="2"/>
  <c r="G16616" i="2"/>
  <c r="H16616" i="2"/>
  <c r="J16616" i="2"/>
  <c r="K16616" i="2"/>
  <c r="L16616" i="2"/>
  <c r="C16617" i="2"/>
  <c r="D16617" i="2"/>
  <c r="F16617" i="2"/>
  <c r="G16617" i="2"/>
  <c r="H16617" i="2"/>
  <c r="J16617" i="2"/>
  <c r="K16617" i="2"/>
  <c r="L16617" i="2"/>
  <c r="C16618" i="2"/>
  <c r="D16618" i="2"/>
  <c r="F16618" i="2"/>
  <c r="G16618" i="2"/>
  <c r="H16618" i="2"/>
  <c r="J16618" i="2"/>
  <c r="K16618" i="2"/>
  <c r="L16618" i="2"/>
  <c r="D16619" i="2"/>
  <c r="F16619" i="2"/>
  <c r="G16619" i="2"/>
  <c r="H16619" i="2"/>
  <c r="J16619" i="2"/>
  <c r="K16619" i="2"/>
  <c r="L16619" i="2"/>
  <c r="D16620" i="2"/>
  <c r="F16620" i="2"/>
  <c r="G16620" i="2"/>
  <c r="H16620" i="2"/>
  <c r="J16620" i="2"/>
  <c r="K16620" i="2"/>
  <c r="L16620" i="2"/>
  <c r="C16621" i="2"/>
  <c r="D16621" i="2"/>
  <c r="F16621" i="2"/>
  <c r="G16621" i="2"/>
  <c r="H16621" i="2"/>
  <c r="J16621" i="2"/>
  <c r="K16621" i="2"/>
  <c r="L16621" i="2"/>
  <c r="C16622" i="2"/>
  <c r="D16622" i="2"/>
  <c r="F16622" i="2"/>
  <c r="G16622" i="2"/>
  <c r="H16622" i="2"/>
  <c r="J16622" i="2"/>
  <c r="K16622" i="2"/>
  <c r="L16622" i="2"/>
  <c r="C16623" i="2"/>
  <c r="D16623" i="2"/>
  <c r="F16623" i="2"/>
  <c r="G16623" i="2"/>
  <c r="H16623" i="2"/>
  <c r="J16623" i="2"/>
  <c r="K16623" i="2"/>
  <c r="L16623" i="2"/>
  <c r="C16624" i="2"/>
  <c r="D16624" i="2"/>
  <c r="F16624" i="2"/>
  <c r="G16624" i="2"/>
  <c r="H16624" i="2"/>
  <c r="J16624" i="2"/>
  <c r="K16624" i="2"/>
  <c r="L16624" i="2"/>
  <c r="C16625" i="2"/>
  <c r="D16625" i="2"/>
  <c r="F16625" i="2"/>
  <c r="G16625" i="2"/>
  <c r="H16625" i="2"/>
  <c r="J16625" i="2"/>
  <c r="K16625" i="2"/>
  <c r="L16625" i="2"/>
  <c r="C16626" i="2"/>
  <c r="D16626" i="2"/>
  <c r="F16626" i="2"/>
  <c r="G16626" i="2"/>
  <c r="H16626" i="2"/>
  <c r="J16626" i="2"/>
  <c r="K16626" i="2"/>
  <c r="L16626" i="2"/>
  <c r="C16627" i="2"/>
  <c r="D16627" i="2"/>
  <c r="F16627" i="2"/>
  <c r="G16627" i="2"/>
  <c r="H16627" i="2"/>
  <c r="J16627" i="2"/>
  <c r="K16627" i="2"/>
  <c r="L16627" i="2"/>
  <c r="C16628" i="2"/>
  <c r="D16628" i="2"/>
  <c r="F16628" i="2"/>
  <c r="G16628" i="2"/>
  <c r="H16628" i="2"/>
  <c r="J16628" i="2"/>
  <c r="K16628" i="2"/>
  <c r="L16628" i="2"/>
  <c r="C16629" i="2"/>
  <c r="D16629" i="2"/>
  <c r="F16629" i="2"/>
  <c r="G16629" i="2"/>
  <c r="H16629" i="2"/>
  <c r="J16629" i="2"/>
  <c r="K16629" i="2"/>
  <c r="L16629" i="2"/>
  <c r="C16630" i="2"/>
  <c r="D16630" i="2"/>
  <c r="F16630" i="2"/>
  <c r="G16630" i="2"/>
  <c r="H16630" i="2"/>
  <c r="J16630" i="2"/>
  <c r="K16630" i="2"/>
  <c r="L16630" i="2"/>
  <c r="C16631" i="2"/>
  <c r="D16631" i="2"/>
  <c r="F16631" i="2"/>
  <c r="G16631" i="2"/>
  <c r="H16631" i="2"/>
  <c r="J16631" i="2"/>
  <c r="K16631" i="2"/>
  <c r="L16631" i="2"/>
  <c r="C16632" i="2"/>
  <c r="D16632" i="2"/>
  <c r="F16632" i="2"/>
  <c r="G16632" i="2"/>
  <c r="H16632" i="2"/>
  <c r="J16632" i="2"/>
  <c r="K16632" i="2"/>
  <c r="L16632" i="2"/>
  <c r="C16633" i="2"/>
  <c r="D16633" i="2"/>
  <c r="F16633" i="2"/>
  <c r="G16633" i="2"/>
  <c r="H16633" i="2"/>
  <c r="J16633" i="2"/>
  <c r="K16633" i="2"/>
  <c r="L16633" i="2"/>
  <c r="C16634" i="2"/>
  <c r="D16634" i="2"/>
  <c r="F16634" i="2"/>
  <c r="G16634" i="2"/>
  <c r="H16634" i="2"/>
  <c r="J16634" i="2"/>
  <c r="K16634" i="2"/>
  <c r="L16634" i="2"/>
  <c r="C16635" i="2"/>
  <c r="D16635" i="2"/>
  <c r="F16635" i="2"/>
  <c r="G16635" i="2"/>
  <c r="H16635" i="2"/>
  <c r="J16635" i="2"/>
  <c r="K16635" i="2"/>
  <c r="L16635" i="2"/>
  <c r="C16636" i="2"/>
  <c r="D16636" i="2"/>
  <c r="F16636" i="2"/>
  <c r="G16636" i="2"/>
  <c r="H16636" i="2"/>
  <c r="J16636" i="2"/>
  <c r="K16636" i="2"/>
  <c r="L16636" i="2"/>
  <c r="C16637" i="2"/>
  <c r="D16637" i="2"/>
  <c r="F16637" i="2"/>
  <c r="G16637" i="2"/>
  <c r="H16637" i="2"/>
  <c r="J16637" i="2"/>
  <c r="K16637" i="2"/>
  <c r="L16637" i="2"/>
  <c r="C16638" i="2"/>
  <c r="D16638" i="2"/>
  <c r="F16638" i="2"/>
  <c r="G16638" i="2"/>
  <c r="H16638" i="2"/>
  <c r="J16638" i="2"/>
  <c r="K16638" i="2"/>
  <c r="L16638" i="2"/>
  <c r="C16639" i="2"/>
  <c r="D16639" i="2"/>
  <c r="F16639" i="2"/>
  <c r="G16639" i="2"/>
  <c r="H16639" i="2"/>
  <c r="J16639" i="2"/>
  <c r="K16639" i="2"/>
  <c r="L16639" i="2"/>
  <c r="C16640" i="2"/>
  <c r="D16640" i="2"/>
  <c r="F16640" i="2"/>
  <c r="G16640" i="2"/>
  <c r="H16640" i="2"/>
  <c r="J16640" i="2"/>
  <c r="K16640" i="2"/>
  <c r="L16640" i="2"/>
  <c r="C16641" i="2"/>
  <c r="D16641" i="2"/>
  <c r="F16641" i="2"/>
  <c r="G16641" i="2"/>
  <c r="H16641" i="2"/>
  <c r="J16641" i="2"/>
  <c r="K16641" i="2"/>
  <c r="L16641" i="2"/>
  <c r="C16642" i="2"/>
  <c r="D16642" i="2"/>
  <c r="F16642" i="2"/>
  <c r="G16642" i="2"/>
  <c r="H16642" i="2"/>
  <c r="J16642" i="2"/>
  <c r="K16642" i="2"/>
  <c r="L16642" i="2"/>
  <c r="C16643" i="2"/>
  <c r="D16643" i="2"/>
  <c r="F16643" i="2"/>
  <c r="G16643" i="2"/>
  <c r="H16643" i="2"/>
  <c r="J16643" i="2"/>
  <c r="K16643" i="2"/>
  <c r="L16643" i="2"/>
  <c r="C16644" i="2"/>
  <c r="D16644" i="2"/>
  <c r="F16644" i="2"/>
  <c r="G16644" i="2"/>
  <c r="H16644" i="2"/>
  <c r="J16644" i="2"/>
  <c r="K16644" i="2"/>
  <c r="L16644" i="2"/>
  <c r="C16645" i="2"/>
  <c r="D16645" i="2"/>
  <c r="F16645" i="2"/>
  <c r="G16645" i="2"/>
  <c r="H16645" i="2"/>
  <c r="J16645" i="2"/>
  <c r="K16645" i="2"/>
  <c r="L16645" i="2"/>
  <c r="C16646" i="2"/>
  <c r="D16646" i="2"/>
  <c r="F16646" i="2"/>
  <c r="G16646" i="2"/>
  <c r="H16646" i="2"/>
  <c r="J16646" i="2"/>
  <c r="K16646" i="2"/>
  <c r="L16646" i="2"/>
  <c r="C16647" i="2"/>
  <c r="D16647" i="2"/>
  <c r="F16647" i="2"/>
  <c r="G16647" i="2"/>
  <c r="H16647" i="2"/>
  <c r="J16647" i="2"/>
  <c r="K16647" i="2"/>
  <c r="L16647" i="2"/>
  <c r="C16648" i="2"/>
  <c r="D16648" i="2"/>
  <c r="F16648" i="2"/>
  <c r="G16648" i="2"/>
  <c r="H16648" i="2"/>
  <c r="J16648" i="2"/>
  <c r="K16648" i="2"/>
  <c r="L16648" i="2"/>
  <c r="C16649" i="2"/>
  <c r="D16649" i="2"/>
  <c r="F16649" i="2"/>
  <c r="G16649" i="2"/>
  <c r="H16649" i="2"/>
  <c r="J16649" i="2"/>
  <c r="K16649" i="2"/>
  <c r="L16649" i="2"/>
  <c r="C16650" i="2"/>
  <c r="D16650" i="2"/>
  <c r="F16650" i="2"/>
  <c r="G16650" i="2"/>
  <c r="H16650" i="2"/>
  <c r="J16650" i="2"/>
  <c r="K16650" i="2"/>
  <c r="L16650" i="2"/>
  <c r="C16651" i="2"/>
  <c r="D16651" i="2"/>
  <c r="F16651" i="2"/>
  <c r="G16651" i="2"/>
  <c r="H16651" i="2"/>
  <c r="J16651" i="2"/>
  <c r="K16651" i="2"/>
  <c r="L16651" i="2"/>
  <c r="C16652" i="2"/>
  <c r="D16652" i="2"/>
  <c r="F16652" i="2"/>
  <c r="G16652" i="2"/>
  <c r="H16652" i="2"/>
  <c r="J16652" i="2"/>
  <c r="K16652" i="2"/>
  <c r="L16652" i="2"/>
  <c r="C16653" i="2"/>
  <c r="D16653" i="2"/>
  <c r="F16653" i="2"/>
  <c r="G16653" i="2"/>
  <c r="H16653" i="2"/>
  <c r="J16653" i="2"/>
  <c r="K16653" i="2"/>
  <c r="L16653" i="2"/>
  <c r="C16654" i="2"/>
  <c r="D16654" i="2"/>
  <c r="F16654" i="2"/>
  <c r="G16654" i="2"/>
  <c r="H16654" i="2"/>
  <c r="J16654" i="2"/>
  <c r="K16654" i="2"/>
  <c r="L16654" i="2"/>
  <c r="C16655" i="2"/>
  <c r="D16655" i="2"/>
  <c r="F16655" i="2"/>
  <c r="G16655" i="2"/>
  <c r="H16655" i="2"/>
  <c r="J16655" i="2"/>
  <c r="K16655" i="2"/>
  <c r="L16655" i="2"/>
  <c r="C16656" i="2"/>
  <c r="D16656" i="2"/>
  <c r="F16656" i="2"/>
  <c r="G16656" i="2"/>
  <c r="H16656" i="2"/>
  <c r="J16656" i="2"/>
  <c r="K16656" i="2"/>
  <c r="L16656" i="2"/>
  <c r="C16657" i="2"/>
  <c r="D16657" i="2"/>
  <c r="F16657" i="2"/>
  <c r="G16657" i="2"/>
  <c r="H16657" i="2"/>
  <c r="J16657" i="2"/>
  <c r="K16657" i="2"/>
  <c r="L16657" i="2"/>
  <c r="C16658" i="2"/>
  <c r="D16658" i="2"/>
  <c r="F16658" i="2"/>
  <c r="G16658" i="2"/>
  <c r="H16658" i="2"/>
  <c r="J16658" i="2"/>
  <c r="K16658" i="2"/>
  <c r="L16658" i="2"/>
  <c r="C16659" i="2"/>
  <c r="D16659" i="2"/>
  <c r="F16659" i="2"/>
  <c r="G16659" i="2"/>
  <c r="H16659" i="2"/>
  <c r="J16659" i="2"/>
  <c r="K16659" i="2"/>
  <c r="L16659" i="2"/>
  <c r="C16660" i="2"/>
  <c r="D16660" i="2"/>
  <c r="F16660" i="2"/>
  <c r="G16660" i="2"/>
  <c r="H16660" i="2"/>
  <c r="J16660" i="2"/>
  <c r="K16660" i="2"/>
  <c r="L16660" i="2"/>
  <c r="C16661" i="2"/>
  <c r="D16661" i="2"/>
  <c r="F16661" i="2"/>
  <c r="G16661" i="2"/>
  <c r="H16661" i="2"/>
  <c r="J16661" i="2"/>
  <c r="K16661" i="2"/>
  <c r="L16661" i="2"/>
  <c r="C16662" i="2"/>
  <c r="D16662" i="2"/>
  <c r="F16662" i="2"/>
  <c r="G16662" i="2"/>
  <c r="H16662" i="2"/>
  <c r="J16662" i="2"/>
  <c r="K16662" i="2"/>
  <c r="L16662" i="2"/>
  <c r="C16663" i="2"/>
  <c r="D16663" i="2"/>
  <c r="F16663" i="2"/>
  <c r="G16663" i="2"/>
  <c r="H16663" i="2"/>
  <c r="J16663" i="2"/>
  <c r="K16663" i="2"/>
  <c r="L16663" i="2"/>
  <c r="C16664" i="2"/>
  <c r="D16664" i="2"/>
  <c r="F16664" i="2"/>
  <c r="G16664" i="2"/>
  <c r="H16664" i="2"/>
  <c r="J16664" i="2"/>
  <c r="K16664" i="2"/>
  <c r="L16664" i="2"/>
  <c r="C16665" i="2"/>
  <c r="D16665" i="2"/>
  <c r="F16665" i="2"/>
  <c r="G16665" i="2"/>
  <c r="H16665" i="2"/>
  <c r="J16665" i="2"/>
  <c r="K16665" i="2"/>
  <c r="L16665" i="2"/>
  <c r="C16666" i="2"/>
  <c r="D16666" i="2"/>
  <c r="F16666" i="2"/>
  <c r="G16666" i="2"/>
  <c r="H16666" i="2"/>
  <c r="J16666" i="2"/>
  <c r="K16666" i="2"/>
  <c r="L16666" i="2"/>
  <c r="C16667" i="2"/>
  <c r="D16667" i="2"/>
  <c r="F16667" i="2"/>
  <c r="G16667" i="2"/>
  <c r="H16667" i="2"/>
  <c r="J16667" i="2"/>
  <c r="K16667" i="2"/>
  <c r="L16667" i="2"/>
  <c r="C16668" i="2"/>
  <c r="D16668" i="2"/>
  <c r="F16668" i="2"/>
  <c r="G16668" i="2"/>
  <c r="H16668" i="2"/>
  <c r="J16668" i="2"/>
  <c r="K16668" i="2"/>
  <c r="L16668" i="2"/>
  <c r="C16669" i="2"/>
  <c r="D16669" i="2"/>
  <c r="F16669" i="2"/>
  <c r="G16669" i="2"/>
  <c r="H16669" i="2"/>
  <c r="J16669" i="2"/>
  <c r="K16669" i="2"/>
  <c r="L16669" i="2"/>
  <c r="C16670" i="2"/>
  <c r="D16670" i="2"/>
  <c r="F16670" i="2"/>
  <c r="G16670" i="2"/>
  <c r="H16670" i="2"/>
  <c r="J16670" i="2"/>
  <c r="K16670" i="2"/>
  <c r="L16670" i="2"/>
  <c r="C16671" i="2"/>
  <c r="D16671" i="2"/>
  <c r="F16671" i="2"/>
  <c r="G16671" i="2"/>
  <c r="H16671" i="2"/>
  <c r="J16671" i="2"/>
  <c r="K16671" i="2"/>
  <c r="L16671" i="2"/>
  <c r="C16672" i="2"/>
  <c r="D16672" i="2"/>
  <c r="F16672" i="2"/>
  <c r="G16672" i="2"/>
  <c r="H16672" i="2"/>
  <c r="J16672" i="2"/>
  <c r="K16672" i="2"/>
  <c r="L16672" i="2"/>
  <c r="C16673" i="2"/>
  <c r="D16673" i="2"/>
  <c r="F16673" i="2"/>
  <c r="G16673" i="2"/>
  <c r="H16673" i="2"/>
  <c r="J16673" i="2"/>
  <c r="K16673" i="2"/>
  <c r="L16673" i="2"/>
  <c r="C16674" i="2"/>
  <c r="D16674" i="2"/>
  <c r="F16674" i="2"/>
  <c r="G16674" i="2"/>
  <c r="H16674" i="2"/>
  <c r="J16674" i="2"/>
  <c r="K16674" i="2"/>
  <c r="L16674" i="2"/>
  <c r="C16675" i="2"/>
  <c r="D16675" i="2"/>
  <c r="F16675" i="2"/>
  <c r="G16675" i="2"/>
  <c r="H16675" i="2"/>
  <c r="J16675" i="2"/>
  <c r="K16675" i="2"/>
  <c r="L16675" i="2"/>
  <c r="C16676" i="2"/>
  <c r="D16676" i="2"/>
  <c r="F16676" i="2"/>
  <c r="G16676" i="2"/>
  <c r="H16676" i="2"/>
  <c r="J16676" i="2"/>
  <c r="K16676" i="2"/>
  <c r="L16676" i="2"/>
  <c r="C16677" i="2"/>
  <c r="D16677" i="2"/>
  <c r="F16677" i="2"/>
  <c r="G16677" i="2"/>
  <c r="H16677" i="2"/>
  <c r="J16677" i="2"/>
  <c r="K16677" i="2"/>
  <c r="L16677" i="2"/>
  <c r="C16678" i="2"/>
  <c r="D16678" i="2"/>
  <c r="F16678" i="2"/>
  <c r="G16678" i="2"/>
  <c r="H16678" i="2"/>
  <c r="J16678" i="2"/>
  <c r="K16678" i="2"/>
  <c r="L16678" i="2"/>
  <c r="C16679" i="2"/>
  <c r="D16679" i="2"/>
  <c r="F16679" i="2"/>
  <c r="G16679" i="2"/>
  <c r="H16679" i="2"/>
  <c r="J16679" i="2"/>
  <c r="K16679" i="2"/>
  <c r="L16679" i="2"/>
  <c r="C16680" i="2"/>
  <c r="D16680" i="2"/>
  <c r="F16680" i="2"/>
  <c r="G16680" i="2"/>
  <c r="H16680" i="2"/>
  <c r="J16680" i="2"/>
  <c r="K16680" i="2"/>
  <c r="L16680" i="2"/>
  <c r="C16681" i="2"/>
  <c r="D16681" i="2"/>
  <c r="F16681" i="2"/>
  <c r="G16681" i="2"/>
  <c r="H16681" i="2"/>
  <c r="J16681" i="2"/>
  <c r="K16681" i="2"/>
  <c r="L16681" i="2"/>
  <c r="C16682" i="2"/>
  <c r="D16682" i="2"/>
  <c r="F16682" i="2"/>
  <c r="G16682" i="2"/>
  <c r="H16682" i="2"/>
  <c r="J16682" i="2"/>
  <c r="K16682" i="2"/>
  <c r="L16682" i="2"/>
  <c r="C16683" i="2"/>
  <c r="D16683" i="2"/>
  <c r="F16683" i="2"/>
  <c r="G16683" i="2"/>
  <c r="H16683" i="2"/>
  <c r="J16683" i="2"/>
  <c r="K16683" i="2"/>
  <c r="L16683" i="2"/>
  <c r="C16684" i="2"/>
  <c r="D16684" i="2"/>
  <c r="F16684" i="2"/>
  <c r="G16684" i="2"/>
  <c r="H16684" i="2"/>
  <c r="J16684" i="2"/>
  <c r="K16684" i="2"/>
  <c r="L16684" i="2"/>
  <c r="C16685" i="2"/>
  <c r="D16685" i="2"/>
  <c r="F16685" i="2"/>
  <c r="G16685" i="2"/>
  <c r="H16685" i="2"/>
  <c r="J16685" i="2"/>
  <c r="K16685" i="2"/>
  <c r="L16685" i="2"/>
  <c r="C16686" i="2"/>
  <c r="D16686" i="2"/>
  <c r="F16686" i="2"/>
  <c r="G16686" i="2"/>
  <c r="H16686" i="2"/>
  <c r="J16686" i="2"/>
  <c r="K16686" i="2"/>
  <c r="L16686" i="2"/>
  <c r="C16687" i="2"/>
  <c r="D16687" i="2"/>
  <c r="F16687" i="2"/>
  <c r="G16687" i="2"/>
  <c r="H16687" i="2"/>
  <c r="J16687" i="2"/>
  <c r="K16687" i="2"/>
  <c r="L16687" i="2"/>
  <c r="C16688" i="2"/>
  <c r="D16688" i="2"/>
  <c r="F16688" i="2"/>
  <c r="G16688" i="2"/>
  <c r="H16688" i="2"/>
  <c r="J16688" i="2"/>
  <c r="K16688" i="2"/>
  <c r="L16688" i="2"/>
  <c r="C16689" i="2"/>
  <c r="D16689" i="2"/>
  <c r="F16689" i="2"/>
  <c r="G16689" i="2"/>
  <c r="H16689" i="2"/>
  <c r="J16689" i="2"/>
  <c r="K16689" i="2"/>
  <c r="L16689" i="2"/>
  <c r="C16690" i="2"/>
  <c r="D16690" i="2"/>
  <c r="F16690" i="2"/>
  <c r="G16690" i="2"/>
  <c r="H16690" i="2"/>
  <c r="J16690" i="2"/>
  <c r="K16690" i="2"/>
  <c r="L16690" i="2"/>
  <c r="C16691" i="2"/>
  <c r="D16691" i="2"/>
  <c r="F16691" i="2"/>
  <c r="G16691" i="2"/>
  <c r="H16691" i="2"/>
  <c r="J16691" i="2"/>
  <c r="K16691" i="2"/>
  <c r="L16691" i="2"/>
  <c r="C16692" i="2"/>
  <c r="D16692" i="2"/>
  <c r="F16692" i="2"/>
  <c r="G16692" i="2"/>
  <c r="H16692" i="2"/>
  <c r="J16692" i="2"/>
  <c r="K16692" i="2"/>
  <c r="L16692" i="2"/>
  <c r="C16693" i="2"/>
  <c r="D16693" i="2"/>
  <c r="F16693" i="2"/>
  <c r="G16693" i="2"/>
  <c r="H16693" i="2"/>
  <c r="J16693" i="2"/>
  <c r="K16693" i="2"/>
  <c r="L16693" i="2"/>
  <c r="C16694" i="2"/>
  <c r="D16694" i="2"/>
  <c r="F16694" i="2"/>
  <c r="G16694" i="2"/>
  <c r="H16694" i="2"/>
  <c r="J16694" i="2"/>
  <c r="K16694" i="2"/>
  <c r="L16694" i="2"/>
  <c r="C16695" i="2"/>
  <c r="D16695" i="2"/>
  <c r="F16695" i="2"/>
  <c r="G16695" i="2"/>
  <c r="H16695" i="2"/>
  <c r="J16695" i="2"/>
  <c r="K16695" i="2"/>
  <c r="L16695" i="2"/>
  <c r="C16696" i="2"/>
  <c r="D16696" i="2"/>
  <c r="F16696" i="2"/>
  <c r="G16696" i="2"/>
  <c r="H16696" i="2"/>
  <c r="J16696" i="2"/>
  <c r="K16696" i="2"/>
  <c r="L16696" i="2"/>
  <c r="C16697" i="2"/>
  <c r="D16697" i="2"/>
  <c r="F16697" i="2"/>
  <c r="G16697" i="2"/>
  <c r="H16697" i="2"/>
  <c r="J16697" i="2"/>
  <c r="K16697" i="2"/>
  <c r="L16697" i="2"/>
  <c r="C16698" i="2"/>
  <c r="D16698" i="2"/>
  <c r="F16698" i="2"/>
  <c r="G16698" i="2"/>
  <c r="H16698" i="2"/>
  <c r="J16698" i="2"/>
  <c r="K16698" i="2"/>
  <c r="L16698" i="2"/>
  <c r="C16699" i="2"/>
  <c r="D16699" i="2"/>
  <c r="F16699" i="2"/>
  <c r="G16699" i="2"/>
  <c r="H16699" i="2"/>
  <c r="J16699" i="2"/>
  <c r="K16699" i="2"/>
  <c r="L16699" i="2"/>
  <c r="C16700" i="2"/>
  <c r="D16700" i="2"/>
  <c r="F16700" i="2"/>
  <c r="G16700" i="2"/>
  <c r="H16700" i="2"/>
  <c r="J16700" i="2"/>
  <c r="K16700" i="2"/>
  <c r="L16700" i="2"/>
  <c r="C16701" i="2"/>
  <c r="D16701" i="2"/>
  <c r="F16701" i="2"/>
  <c r="G16701" i="2"/>
  <c r="H16701" i="2"/>
  <c r="J16701" i="2"/>
  <c r="K16701" i="2"/>
  <c r="L16701" i="2"/>
  <c r="C16702" i="2"/>
  <c r="D16702" i="2"/>
  <c r="F16702" i="2"/>
  <c r="G16702" i="2"/>
  <c r="H16702" i="2"/>
  <c r="J16702" i="2"/>
  <c r="K16702" i="2"/>
  <c r="L16702" i="2"/>
  <c r="C16703" i="2"/>
  <c r="D16703" i="2"/>
  <c r="F16703" i="2"/>
  <c r="G16703" i="2"/>
  <c r="H16703" i="2"/>
  <c r="J16703" i="2"/>
  <c r="K16703" i="2"/>
  <c r="L16703" i="2"/>
  <c r="C16704" i="2"/>
  <c r="D16704" i="2"/>
  <c r="F16704" i="2"/>
  <c r="G16704" i="2"/>
  <c r="H16704" i="2"/>
  <c r="J16704" i="2"/>
  <c r="K16704" i="2"/>
  <c r="L16704" i="2"/>
  <c r="C16705" i="2"/>
  <c r="D16705" i="2"/>
  <c r="F16705" i="2"/>
  <c r="G16705" i="2"/>
  <c r="H16705" i="2"/>
  <c r="J16705" i="2"/>
  <c r="K16705" i="2"/>
  <c r="L16705" i="2"/>
  <c r="C16706" i="2"/>
  <c r="D16706" i="2"/>
  <c r="F16706" i="2"/>
  <c r="G16706" i="2"/>
  <c r="H16706" i="2"/>
  <c r="J16706" i="2"/>
  <c r="K16706" i="2"/>
  <c r="L16706" i="2"/>
  <c r="C16707" i="2"/>
  <c r="D16707" i="2"/>
  <c r="F16707" i="2"/>
  <c r="G16707" i="2"/>
  <c r="H16707" i="2"/>
  <c r="J16707" i="2"/>
  <c r="K16707" i="2"/>
  <c r="L16707" i="2"/>
  <c r="C16708" i="2"/>
  <c r="D16708" i="2"/>
  <c r="F16708" i="2"/>
  <c r="G16708" i="2"/>
  <c r="H16708" i="2"/>
  <c r="J16708" i="2"/>
  <c r="K16708" i="2"/>
  <c r="L16708" i="2"/>
  <c r="C16709" i="2"/>
  <c r="D16709" i="2"/>
  <c r="F16709" i="2"/>
  <c r="G16709" i="2"/>
  <c r="H16709" i="2"/>
  <c r="J16709" i="2"/>
  <c r="K16709" i="2"/>
  <c r="L16709" i="2"/>
  <c r="C16710" i="2"/>
  <c r="D16710" i="2"/>
  <c r="F16710" i="2"/>
  <c r="G16710" i="2"/>
  <c r="H16710" i="2"/>
  <c r="J16710" i="2"/>
  <c r="K16710" i="2"/>
  <c r="L16710" i="2"/>
  <c r="C16711" i="2"/>
  <c r="D16711" i="2"/>
  <c r="F16711" i="2"/>
  <c r="G16711" i="2"/>
  <c r="H16711" i="2"/>
  <c r="J16711" i="2"/>
  <c r="K16711" i="2"/>
  <c r="L16711" i="2"/>
  <c r="C16712" i="2"/>
  <c r="D16712" i="2"/>
  <c r="F16712" i="2"/>
  <c r="G16712" i="2"/>
  <c r="H16712" i="2"/>
  <c r="J16712" i="2"/>
  <c r="K16712" i="2"/>
  <c r="L16712" i="2"/>
  <c r="C16713" i="2"/>
  <c r="D16713" i="2"/>
  <c r="F16713" i="2"/>
  <c r="G16713" i="2"/>
  <c r="H16713" i="2"/>
  <c r="J16713" i="2"/>
  <c r="K16713" i="2"/>
  <c r="L16713" i="2"/>
  <c r="C16714" i="2"/>
  <c r="D16714" i="2"/>
  <c r="F16714" i="2"/>
  <c r="G16714" i="2"/>
  <c r="H16714" i="2"/>
  <c r="J16714" i="2"/>
  <c r="K16714" i="2"/>
  <c r="L16714" i="2"/>
  <c r="C16715" i="2"/>
  <c r="D16715" i="2"/>
  <c r="F16715" i="2"/>
  <c r="G16715" i="2"/>
  <c r="H16715" i="2"/>
  <c r="J16715" i="2"/>
  <c r="K16715" i="2"/>
  <c r="L16715" i="2"/>
  <c r="C16716" i="2"/>
  <c r="D16716" i="2"/>
  <c r="F16716" i="2"/>
  <c r="G16716" i="2"/>
  <c r="H16716" i="2"/>
  <c r="J16716" i="2"/>
  <c r="K16716" i="2"/>
  <c r="L16716" i="2"/>
  <c r="C16717" i="2"/>
  <c r="D16717" i="2"/>
  <c r="F16717" i="2"/>
  <c r="G16717" i="2"/>
  <c r="H16717" i="2"/>
  <c r="J16717" i="2"/>
  <c r="K16717" i="2"/>
  <c r="L16717" i="2"/>
  <c r="C16718" i="2"/>
  <c r="D16718" i="2"/>
  <c r="F16718" i="2"/>
  <c r="G16718" i="2"/>
  <c r="H16718" i="2"/>
  <c r="J16718" i="2"/>
  <c r="K16718" i="2"/>
  <c r="L16718" i="2"/>
  <c r="C16719" i="2"/>
  <c r="D16719" i="2"/>
  <c r="F16719" i="2"/>
  <c r="G16719" i="2"/>
  <c r="H16719" i="2"/>
  <c r="J16719" i="2"/>
  <c r="K16719" i="2"/>
  <c r="L16719" i="2"/>
  <c r="C16720" i="2"/>
  <c r="D16720" i="2"/>
  <c r="F16720" i="2"/>
  <c r="G16720" i="2"/>
  <c r="H16720" i="2"/>
  <c r="J16720" i="2"/>
  <c r="K16720" i="2"/>
  <c r="L16720" i="2"/>
  <c r="C16721" i="2"/>
  <c r="D16721" i="2"/>
  <c r="F16721" i="2"/>
  <c r="G16721" i="2"/>
  <c r="H16721" i="2"/>
  <c r="J16721" i="2"/>
  <c r="K16721" i="2"/>
  <c r="L16721" i="2"/>
  <c r="C16722" i="2"/>
  <c r="D16722" i="2"/>
  <c r="E16722" i="2"/>
  <c r="F16722" i="2"/>
  <c r="G16722" i="2"/>
  <c r="H16722" i="2"/>
  <c r="J16722" i="2"/>
  <c r="K16722" i="2"/>
  <c r="L16722" i="2"/>
  <c r="C16723" i="2"/>
  <c r="D16723" i="2"/>
  <c r="F16723" i="2"/>
  <c r="G16723" i="2"/>
  <c r="H16723" i="2"/>
  <c r="J16723" i="2"/>
  <c r="K16723" i="2"/>
  <c r="L16723" i="2"/>
  <c r="C16724" i="2"/>
  <c r="D16724" i="2"/>
  <c r="F16724" i="2"/>
  <c r="G16724" i="2"/>
  <c r="H16724" i="2"/>
  <c r="J16724" i="2"/>
  <c r="K16724" i="2"/>
  <c r="L16724" i="2"/>
  <c r="C16725" i="2"/>
  <c r="D16725" i="2"/>
  <c r="F16725" i="2"/>
  <c r="G16725" i="2"/>
  <c r="H16725" i="2"/>
  <c r="J16725" i="2"/>
  <c r="K16725" i="2"/>
  <c r="L16725" i="2"/>
  <c r="C16726" i="2"/>
  <c r="D16726" i="2"/>
  <c r="F16726" i="2"/>
  <c r="G16726" i="2"/>
  <c r="H16726" i="2"/>
  <c r="J16726" i="2"/>
  <c r="K16726" i="2"/>
  <c r="L16726" i="2"/>
  <c r="D16727" i="2"/>
  <c r="F16727" i="2"/>
  <c r="G16727" i="2"/>
  <c r="H16727" i="2"/>
  <c r="J16727" i="2"/>
  <c r="K16727" i="2"/>
  <c r="L16727" i="2"/>
  <c r="C16728" i="2"/>
  <c r="D16728" i="2"/>
  <c r="F16728" i="2"/>
  <c r="G16728" i="2"/>
  <c r="H16728" i="2"/>
  <c r="J16728" i="2"/>
  <c r="K16728" i="2"/>
  <c r="L16728" i="2"/>
  <c r="C16729" i="2"/>
  <c r="D16729" i="2"/>
  <c r="F16729" i="2"/>
  <c r="G16729" i="2"/>
  <c r="H16729" i="2"/>
  <c r="J16729" i="2"/>
  <c r="K16729" i="2"/>
  <c r="L16729" i="2"/>
  <c r="C16730" i="2"/>
  <c r="D16730" i="2"/>
  <c r="F16730" i="2"/>
  <c r="G16730" i="2"/>
  <c r="H16730" i="2"/>
  <c r="J16730" i="2"/>
  <c r="K16730" i="2"/>
  <c r="L16730" i="2"/>
  <c r="C16731" i="2"/>
  <c r="D16731" i="2"/>
  <c r="F16731" i="2"/>
  <c r="G16731" i="2"/>
  <c r="H16731" i="2"/>
  <c r="J16731" i="2"/>
  <c r="K16731" i="2"/>
  <c r="L16731" i="2"/>
  <c r="C16732" i="2"/>
  <c r="D16732" i="2"/>
  <c r="F16732" i="2"/>
  <c r="G16732" i="2"/>
  <c r="H16732" i="2"/>
  <c r="J16732" i="2"/>
  <c r="K16732" i="2"/>
  <c r="L16732" i="2"/>
  <c r="C16733" i="2"/>
  <c r="D16733" i="2"/>
  <c r="F16733" i="2"/>
  <c r="G16733" i="2"/>
  <c r="H16733" i="2"/>
  <c r="J16733" i="2"/>
  <c r="K16733" i="2"/>
  <c r="L16733" i="2"/>
  <c r="C16734" i="2"/>
  <c r="D16734" i="2"/>
  <c r="F16734" i="2"/>
  <c r="G16734" i="2"/>
  <c r="H16734" i="2"/>
  <c r="J16734" i="2"/>
  <c r="K16734" i="2"/>
  <c r="L16734" i="2"/>
  <c r="C16735" i="2"/>
  <c r="D16735" i="2"/>
  <c r="F16735" i="2"/>
  <c r="G16735" i="2"/>
  <c r="H16735" i="2"/>
  <c r="J16735" i="2"/>
  <c r="K16735" i="2"/>
  <c r="L16735" i="2"/>
  <c r="C16736" i="2"/>
  <c r="D16736" i="2"/>
  <c r="F16736" i="2"/>
  <c r="G16736" i="2"/>
  <c r="H16736" i="2"/>
  <c r="J16736" i="2"/>
  <c r="K16736" i="2"/>
  <c r="L16736" i="2"/>
  <c r="C16737" i="2"/>
  <c r="D16737" i="2"/>
  <c r="F16737" i="2"/>
  <c r="G16737" i="2"/>
  <c r="H16737" i="2"/>
  <c r="J16737" i="2"/>
  <c r="K16737" i="2"/>
  <c r="L16737" i="2"/>
  <c r="C16738" i="2"/>
  <c r="D16738" i="2"/>
  <c r="F16738" i="2"/>
  <c r="G16738" i="2"/>
  <c r="H16738" i="2"/>
  <c r="J16738" i="2"/>
  <c r="K16738" i="2"/>
  <c r="L16738" i="2"/>
  <c r="C16739" i="2"/>
  <c r="D16739" i="2"/>
  <c r="F16739" i="2"/>
  <c r="G16739" i="2"/>
  <c r="H16739" i="2"/>
  <c r="J16739" i="2"/>
  <c r="K16739" i="2"/>
  <c r="L16739" i="2"/>
  <c r="C16740" i="2"/>
  <c r="D16740" i="2"/>
  <c r="F16740" i="2"/>
  <c r="G16740" i="2"/>
  <c r="H16740" i="2"/>
  <c r="J16740" i="2"/>
  <c r="K16740" i="2"/>
  <c r="L16740" i="2"/>
  <c r="C16741" i="2"/>
  <c r="D16741" i="2"/>
  <c r="F16741" i="2"/>
  <c r="G16741" i="2"/>
  <c r="H16741" i="2"/>
  <c r="J16741" i="2"/>
  <c r="K16741" i="2"/>
  <c r="L16741" i="2"/>
  <c r="C16742" i="2"/>
  <c r="D16742" i="2"/>
  <c r="F16742" i="2"/>
  <c r="G16742" i="2"/>
  <c r="H16742" i="2"/>
  <c r="J16742" i="2"/>
  <c r="K16742" i="2"/>
  <c r="L16742" i="2"/>
  <c r="C16743" i="2"/>
  <c r="D16743" i="2"/>
  <c r="F16743" i="2"/>
  <c r="G16743" i="2"/>
  <c r="H16743" i="2"/>
  <c r="J16743" i="2"/>
  <c r="K16743" i="2"/>
  <c r="L16743" i="2"/>
  <c r="C16744" i="2"/>
  <c r="D16744" i="2"/>
  <c r="F16744" i="2"/>
  <c r="G16744" i="2"/>
  <c r="H16744" i="2"/>
  <c r="J16744" i="2"/>
  <c r="K16744" i="2"/>
  <c r="L16744" i="2"/>
  <c r="C16745" i="2"/>
  <c r="D16745" i="2"/>
  <c r="F16745" i="2"/>
  <c r="G16745" i="2"/>
  <c r="H16745" i="2"/>
  <c r="J16745" i="2"/>
  <c r="K16745" i="2"/>
  <c r="L16745" i="2"/>
  <c r="C16746" i="2"/>
  <c r="D16746" i="2"/>
  <c r="F16746" i="2"/>
  <c r="G16746" i="2"/>
  <c r="H16746" i="2"/>
  <c r="J16746" i="2"/>
  <c r="K16746" i="2"/>
  <c r="L16746" i="2"/>
  <c r="C16747" i="2"/>
  <c r="D16747" i="2"/>
  <c r="F16747" i="2"/>
  <c r="G16747" i="2"/>
  <c r="H16747" i="2"/>
  <c r="J16747" i="2"/>
  <c r="K16747" i="2"/>
  <c r="L16747" i="2"/>
  <c r="C16748" i="2"/>
  <c r="D16748" i="2"/>
  <c r="F16748" i="2"/>
  <c r="G16748" i="2"/>
  <c r="H16748" i="2"/>
  <c r="J16748" i="2"/>
  <c r="K16748" i="2"/>
  <c r="L16748" i="2"/>
  <c r="C16749" i="2"/>
  <c r="D16749" i="2"/>
  <c r="F16749" i="2"/>
  <c r="G16749" i="2"/>
  <c r="H16749" i="2"/>
  <c r="J16749" i="2"/>
  <c r="K16749" i="2"/>
  <c r="L16749" i="2"/>
  <c r="C16750" i="2"/>
  <c r="D16750" i="2"/>
  <c r="F16750" i="2"/>
  <c r="G16750" i="2"/>
  <c r="H16750" i="2"/>
  <c r="J16750" i="2"/>
  <c r="K16750" i="2"/>
  <c r="L16750" i="2"/>
  <c r="C16751" i="2"/>
  <c r="D16751" i="2"/>
  <c r="F16751" i="2"/>
  <c r="G16751" i="2"/>
  <c r="H16751" i="2"/>
  <c r="J16751" i="2"/>
  <c r="K16751" i="2"/>
  <c r="L16751" i="2"/>
  <c r="C16752" i="2"/>
  <c r="D16752" i="2"/>
  <c r="F16752" i="2"/>
  <c r="G16752" i="2"/>
  <c r="H16752" i="2"/>
  <c r="J16752" i="2"/>
  <c r="K16752" i="2"/>
  <c r="L16752" i="2"/>
  <c r="C16753" i="2"/>
  <c r="D16753" i="2"/>
  <c r="F16753" i="2"/>
  <c r="G16753" i="2"/>
  <c r="H16753" i="2"/>
  <c r="J16753" i="2"/>
  <c r="K16753" i="2"/>
  <c r="L16753" i="2"/>
  <c r="C16754" i="2"/>
  <c r="D16754" i="2"/>
  <c r="F16754" i="2"/>
  <c r="G16754" i="2"/>
  <c r="H16754" i="2"/>
  <c r="J16754" i="2"/>
  <c r="K16754" i="2"/>
  <c r="L16754" i="2"/>
  <c r="C16755" i="2"/>
  <c r="D16755" i="2"/>
  <c r="F16755" i="2"/>
  <c r="G16755" i="2"/>
  <c r="H16755" i="2"/>
  <c r="J16755" i="2"/>
  <c r="K16755" i="2"/>
  <c r="L16755" i="2"/>
  <c r="C16756" i="2"/>
  <c r="D16756" i="2"/>
  <c r="F16756" i="2"/>
  <c r="G16756" i="2"/>
  <c r="H16756" i="2"/>
  <c r="J16756" i="2"/>
  <c r="K16756" i="2"/>
  <c r="L16756" i="2"/>
  <c r="C16757" i="2"/>
  <c r="D16757" i="2"/>
  <c r="F16757" i="2"/>
  <c r="G16757" i="2"/>
  <c r="H16757" i="2"/>
  <c r="J16757" i="2"/>
  <c r="K16757" i="2"/>
  <c r="L16757" i="2"/>
  <c r="C16758" i="2"/>
  <c r="D16758" i="2"/>
  <c r="F16758" i="2"/>
  <c r="G16758" i="2"/>
  <c r="H16758" i="2"/>
  <c r="J16758" i="2"/>
  <c r="K16758" i="2"/>
  <c r="L16758" i="2"/>
  <c r="C16759" i="2"/>
  <c r="D16759" i="2"/>
  <c r="F16759" i="2"/>
  <c r="G16759" i="2"/>
  <c r="H16759" i="2"/>
  <c r="J16759" i="2"/>
  <c r="K16759" i="2"/>
  <c r="L16759" i="2"/>
  <c r="C16760" i="2"/>
  <c r="D16760" i="2"/>
  <c r="F16760" i="2"/>
  <c r="G16760" i="2"/>
  <c r="H16760" i="2"/>
  <c r="J16760" i="2"/>
  <c r="K16760" i="2"/>
  <c r="L16760" i="2"/>
  <c r="C16761" i="2"/>
  <c r="D16761" i="2"/>
  <c r="F16761" i="2"/>
  <c r="G16761" i="2"/>
  <c r="H16761" i="2"/>
  <c r="J16761" i="2"/>
  <c r="K16761" i="2"/>
  <c r="L16761" i="2"/>
  <c r="C16762" i="2"/>
  <c r="D16762" i="2"/>
  <c r="F16762" i="2"/>
  <c r="G16762" i="2"/>
  <c r="H16762" i="2"/>
  <c r="J16762" i="2"/>
  <c r="K16762" i="2"/>
  <c r="L16762" i="2"/>
  <c r="C16763" i="2"/>
  <c r="D16763" i="2"/>
  <c r="F16763" i="2"/>
  <c r="G16763" i="2"/>
  <c r="H16763" i="2"/>
  <c r="J16763" i="2"/>
  <c r="K16763" i="2"/>
  <c r="L16763" i="2"/>
  <c r="C16764" i="2"/>
  <c r="D16764" i="2"/>
  <c r="F16764" i="2"/>
  <c r="G16764" i="2"/>
  <c r="H16764" i="2"/>
  <c r="J16764" i="2"/>
  <c r="K16764" i="2"/>
  <c r="L16764" i="2"/>
  <c r="C16765" i="2"/>
  <c r="D16765" i="2"/>
  <c r="F16765" i="2"/>
  <c r="G16765" i="2"/>
  <c r="H16765" i="2"/>
  <c r="J16765" i="2"/>
  <c r="K16765" i="2"/>
  <c r="L16765" i="2"/>
  <c r="C16766" i="2"/>
  <c r="D16766" i="2"/>
  <c r="F16766" i="2"/>
  <c r="G16766" i="2"/>
  <c r="H16766" i="2"/>
  <c r="J16766" i="2"/>
  <c r="K16766" i="2"/>
  <c r="L16766" i="2"/>
  <c r="C16767" i="2"/>
  <c r="D16767" i="2"/>
  <c r="F16767" i="2"/>
  <c r="G16767" i="2"/>
  <c r="H16767" i="2"/>
  <c r="J16767" i="2"/>
  <c r="K16767" i="2"/>
  <c r="L16767" i="2"/>
  <c r="C16768" i="2"/>
  <c r="D16768" i="2"/>
  <c r="F16768" i="2"/>
  <c r="G16768" i="2"/>
  <c r="H16768" i="2"/>
  <c r="J16768" i="2"/>
  <c r="K16768" i="2"/>
  <c r="L16768" i="2"/>
  <c r="C16769" i="2"/>
  <c r="D16769" i="2"/>
  <c r="F16769" i="2"/>
  <c r="G16769" i="2"/>
  <c r="H16769" i="2"/>
  <c r="J16769" i="2"/>
  <c r="K16769" i="2"/>
  <c r="L16769" i="2"/>
  <c r="C16770" i="2"/>
  <c r="D16770" i="2"/>
  <c r="F16770" i="2"/>
  <c r="G16770" i="2"/>
  <c r="H16770" i="2"/>
  <c r="J16770" i="2"/>
  <c r="K16770" i="2"/>
  <c r="L16770" i="2"/>
  <c r="C16771" i="2"/>
  <c r="D16771" i="2"/>
  <c r="F16771" i="2"/>
  <c r="G16771" i="2"/>
  <c r="H16771" i="2"/>
  <c r="J16771" i="2"/>
  <c r="K16771" i="2"/>
  <c r="L16771" i="2"/>
  <c r="C16772" i="2"/>
  <c r="D16772" i="2"/>
  <c r="F16772" i="2"/>
  <c r="G16772" i="2"/>
  <c r="H16772" i="2"/>
  <c r="J16772" i="2"/>
  <c r="K16772" i="2"/>
  <c r="L16772" i="2"/>
  <c r="C16773" i="2"/>
  <c r="D16773" i="2"/>
  <c r="F16773" i="2"/>
  <c r="G16773" i="2"/>
  <c r="H16773" i="2"/>
  <c r="J16773" i="2"/>
  <c r="K16773" i="2"/>
  <c r="L16773" i="2"/>
  <c r="C16774" i="2"/>
  <c r="D16774" i="2"/>
  <c r="F16774" i="2"/>
  <c r="G16774" i="2"/>
  <c r="H16774" i="2"/>
  <c r="J16774" i="2"/>
  <c r="K16774" i="2"/>
  <c r="L16774" i="2"/>
  <c r="C16775" i="2"/>
  <c r="D16775" i="2"/>
  <c r="F16775" i="2"/>
  <c r="G16775" i="2"/>
  <c r="H16775" i="2"/>
  <c r="J16775" i="2"/>
  <c r="K16775" i="2"/>
  <c r="L16775" i="2"/>
  <c r="C16776" i="2"/>
  <c r="D16776" i="2"/>
  <c r="F16776" i="2"/>
  <c r="G16776" i="2"/>
  <c r="H16776" i="2"/>
  <c r="J16776" i="2"/>
  <c r="K16776" i="2"/>
  <c r="L16776" i="2"/>
  <c r="C16777" i="2"/>
  <c r="D16777" i="2"/>
  <c r="F16777" i="2"/>
  <c r="G16777" i="2"/>
  <c r="H16777" i="2"/>
  <c r="J16777" i="2"/>
  <c r="K16777" i="2"/>
  <c r="L16777" i="2"/>
  <c r="C16778" i="2"/>
  <c r="D16778" i="2"/>
  <c r="F16778" i="2"/>
  <c r="G16778" i="2"/>
  <c r="H16778" i="2"/>
  <c r="J16778" i="2"/>
  <c r="K16778" i="2"/>
  <c r="L16778" i="2"/>
  <c r="C16779" i="2"/>
  <c r="D16779" i="2"/>
  <c r="F16779" i="2"/>
  <c r="G16779" i="2"/>
  <c r="H16779" i="2"/>
  <c r="J16779" i="2"/>
  <c r="K16779" i="2"/>
  <c r="L16779" i="2"/>
  <c r="C16780" i="2"/>
  <c r="D16780" i="2"/>
  <c r="F16780" i="2"/>
  <c r="G16780" i="2"/>
  <c r="H16780" i="2"/>
  <c r="J16780" i="2"/>
  <c r="K16780" i="2"/>
  <c r="L16780" i="2"/>
  <c r="C16781" i="2"/>
  <c r="D16781" i="2"/>
  <c r="F16781" i="2"/>
  <c r="G16781" i="2"/>
  <c r="H16781" i="2"/>
  <c r="J16781" i="2"/>
  <c r="K16781" i="2"/>
  <c r="L16781" i="2"/>
  <c r="C16782" i="2"/>
  <c r="D16782" i="2"/>
  <c r="F16782" i="2"/>
  <c r="G16782" i="2"/>
  <c r="H16782" i="2"/>
  <c r="J16782" i="2"/>
  <c r="K16782" i="2"/>
  <c r="L16782" i="2"/>
  <c r="C16783" i="2"/>
  <c r="D16783" i="2"/>
  <c r="F16783" i="2"/>
  <c r="G16783" i="2"/>
  <c r="H16783" i="2"/>
  <c r="J16783" i="2"/>
  <c r="K16783" i="2"/>
  <c r="L16783" i="2"/>
  <c r="C16784" i="2"/>
  <c r="D16784" i="2"/>
  <c r="F16784" i="2"/>
  <c r="G16784" i="2"/>
  <c r="H16784" i="2"/>
  <c r="J16784" i="2"/>
  <c r="K16784" i="2"/>
  <c r="L16784" i="2"/>
  <c r="C16785" i="2"/>
  <c r="D16785" i="2"/>
  <c r="F16785" i="2"/>
  <c r="G16785" i="2"/>
  <c r="H16785" i="2"/>
  <c r="J16785" i="2"/>
  <c r="K16785" i="2"/>
  <c r="L16785" i="2"/>
  <c r="C16786" i="2"/>
  <c r="D16786" i="2"/>
  <c r="F16786" i="2"/>
  <c r="G16786" i="2"/>
  <c r="H16786" i="2"/>
  <c r="J16786" i="2"/>
  <c r="K16786" i="2"/>
  <c r="L16786" i="2"/>
  <c r="C16787" i="2"/>
  <c r="D16787" i="2"/>
  <c r="F16787" i="2"/>
  <c r="G16787" i="2"/>
  <c r="H16787" i="2"/>
  <c r="J16787" i="2"/>
  <c r="K16787" i="2"/>
  <c r="L16787" i="2"/>
  <c r="C16788" i="2"/>
  <c r="D16788" i="2"/>
  <c r="F16788" i="2"/>
  <c r="G16788" i="2"/>
  <c r="H16788" i="2"/>
  <c r="J16788" i="2"/>
  <c r="K16788" i="2"/>
  <c r="L16788" i="2"/>
  <c r="C16789" i="2"/>
  <c r="D16789" i="2"/>
  <c r="F16789" i="2"/>
  <c r="G16789" i="2"/>
  <c r="H16789" i="2"/>
  <c r="J16789" i="2"/>
  <c r="K16789" i="2"/>
  <c r="L16789" i="2"/>
  <c r="C16790" i="2"/>
  <c r="D16790" i="2"/>
  <c r="F16790" i="2"/>
  <c r="G16790" i="2"/>
  <c r="H16790" i="2"/>
  <c r="J16790" i="2"/>
  <c r="K16790" i="2"/>
  <c r="L16790" i="2"/>
  <c r="C16791" i="2"/>
  <c r="D16791" i="2"/>
  <c r="F16791" i="2"/>
  <c r="G16791" i="2"/>
  <c r="H16791" i="2"/>
  <c r="J16791" i="2"/>
  <c r="K16791" i="2"/>
  <c r="L16791" i="2"/>
  <c r="C16792" i="2"/>
  <c r="D16792" i="2"/>
  <c r="F16792" i="2"/>
  <c r="G16792" i="2"/>
  <c r="H16792" i="2"/>
  <c r="J16792" i="2"/>
  <c r="K16792" i="2"/>
  <c r="L16792" i="2"/>
  <c r="C16793" i="2"/>
  <c r="D16793" i="2"/>
  <c r="F16793" i="2"/>
  <c r="G16793" i="2"/>
  <c r="H16793" i="2"/>
  <c r="J16793" i="2"/>
  <c r="K16793" i="2"/>
  <c r="L16793" i="2"/>
  <c r="C16794" i="2"/>
  <c r="D16794" i="2"/>
  <c r="F16794" i="2"/>
  <c r="G16794" i="2"/>
  <c r="H16794" i="2"/>
  <c r="J16794" i="2"/>
  <c r="K16794" i="2"/>
  <c r="L16794" i="2"/>
  <c r="C16795" i="2"/>
  <c r="D16795" i="2"/>
  <c r="F16795" i="2"/>
  <c r="G16795" i="2"/>
  <c r="H16795" i="2"/>
  <c r="J16795" i="2"/>
  <c r="K16795" i="2"/>
  <c r="L16795" i="2"/>
  <c r="C16796" i="2"/>
  <c r="D16796" i="2"/>
  <c r="F16796" i="2"/>
  <c r="G16796" i="2"/>
  <c r="H16796" i="2"/>
  <c r="J16796" i="2"/>
  <c r="K16796" i="2"/>
  <c r="L16796" i="2"/>
  <c r="C16797" i="2"/>
  <c r="D16797" i="2"/>
  <c r="F16797" i="2"/>
  <c r="G16797" i="2"/>
  <c r="H16797" i="2"/>
  <c r="J16797" i="2"/>
  <c r="K16797" i="2"/>
  <c r="L16797" i="2"/>
  <c r="C16798" i="2"/>
  <c r="D16798" i="2"/>
  <c r="F16798" i="2"/>
  <c r="G16798" i="2"/>
  <c r="H16798" i="2"/>
  <c r="J16798" i="2"/>
  <c r="K16798" i="2"/>
  <c r="L16798" i="2"/>
  <c r="C16799" i="2"/>
  <c r="D16799" i="2"/>
  <c r="F16799" i="2"/>
  <c r="G16799" i="2"/>
  <c r="H16799" i="2"/>
  <c r="J16799" i="2"/>
  <c r="K16799" i="2"/>
  <c r="L16799" i="2"/>
  <c r="C16800" i="2"/>
  <c r="D16800" i="2"/>
  <c r="F16800" i="2"/>
  <c r="G16800" i="2"/>
  <c r="H16800" i="2"/>
  <c r="J16800" i="2"/>
  <c r="K16800" i="2"/>
  <c r="L16800" i="2"/>
  <c r="C16801" i="2"/>
  <c r="D16801" i="2"/>
  <c r="F16801" i="2"/>
  <c r="G16801" i="2"/>
  <c r="H16801" i="2"/>
  <c r="J16801" i="2"/>
  <c r="K16801" i="2"/>
  <c r="L16801" i="2"/>
  <c r="C16802" i="2"/>
  <c r="D16802" i="2"/>
  <c r="F16802" i="2"/>
  <c r="G16802" i="2"/>
  <c r="H16802" i="2"/>
  <c r="J16802" i="2"/>
  <c r="K16802" i="2"/>
  <c r="L16802" i="2"/>
  <c r="C16803" i="2"/>
  <c r="D16803" i="2"/>
  <c r="F16803" i="2"/>
  <c r="G16803" i="2"/>
  <c r="H16803" i="2"/>
  <c r="J16803" i="2"/>
  <c r="K16803" i="2"/>
  <c r="L16803" i="2"/>
  <c r="C16804" i="2"/>
  <c r="D16804" i="2"/>
  <c r="F16804" i="2"/>
  <c r="G16804" i="2"/>
  <c r="H16804" i="2"/>
  <c r="J16804" i="2"/>
  <c r="K16804" i="2"/>
  <c r="L16804" i="2"/>
  <c r="C16805" i="2"/>
  <c r="D16805" i="2"/>
  <c r="F16805" i="2"/>
  <c r="G16805" i="2"/>
  <c r="H16805" i="2"/>
  <c r="J16805" i="2"/>
  <c r="K16805" i="2"/>
  <c r="L16805" i="2"/>
  <c r="C16806" i="2"/>
  <c r="D16806" i="2"/>
  <c r="F16806" i="2"/>
  <c r="G16806" i="2"/>
  <c r="H16806" i="2"/>
  <c r="J16806" i="2"/>
  <c r="K16806" i="2"/>
  <c r="L16806" i="2"/>
  <c r="C16807" i="2"/>
  <c r="D16807" i="2"/>
  <c r="F16807" i="2"/>
  <c r="G16807" i="2"/>
  <c r="H16807" i="2"/>
  <c r="J16807" i="2"/>
  <c r="K16807" i="2"/>
  <c r="L16807" i="2"/>
  <c r="C16808" i="2"/>
  <c r="D16808" i="2"/>
  <c r="F16808" i="2"/>
  <c r="G16808" i="2"/>
  <c r="H16808" i="2"/>
  <c r="J16808" i="2"/>
  <c r="K16808" i="2"/>
  <c r="L16808" i="2"/>
  <c r="C16809" i="2"/>
  <c r="D16809" i="2"/>
  <c r="F16809" i="2"/>
  <c r="G16809" i="2"/>
  <c r="H16809" i="2"/>
  <c r="J16809" i="2"/>
  <c r="K16809" i="2"/>
  <c r="L16809" i="2"/>
  <c r="C16810" i="2"/>
  <c r="D16810" i="2"/>
  <c r="F16810" i="2"/>
  <c r="G16810" i="2"/>
  <c r="H16810" i="2"/>
  <c r="J16810" i="2"/>
  <c r="K16810" i="2"/>
  <c r="L16810" i="2"/>
  <c r="C16811" i="2"/>
  <c r="D16811" i="2"/>
  <c r="F16811" i="2"/>
  <c r="G16811" i="2"/>
  <c r="H16811" i="2"/>
  <c r="J16811" i="2"/>
  <c r="K16811" i="2"/>
  <c r="L16811" i="2"/>
  <c r="C16812" i="2"/>
  <c r="D16812" i="2"/>
  <c r="F16812" i="2"/>
  <c r="G16812" i="2"/>
  <c r="H16812" i="2"/>
  <c r="J16812" i="2"/>
  <c r="K16812" i="2"/>
  <c r="L16812" i="2"/>
  <c r="C16813" i="2"/>
  <c r="D16813" i="2"/>
  <c r="F16813" i="2"/>
  <c r="G16813" i="2"/>
  <c r="H16813" i="2"/>
  <c r="J16813" i="2"/>
  <c r="K16813" i="2"/>
  <c r="L16813" i="2"/>
  <c r="C16814" i="2"/>
  <c r="D16814" i="2"/>
  <c r="F16814" i="2"/>
  <c r="G16814" i="2"/>
  <c r="H16814" i="2"/>
  <c r="J16814" i="2"/>
  <c r="K16814" i="2"/>
  <c r="L16814" i="2"/>
  <c r="C16815" i="2"/>
  <c r="D16815" i="2"/>
  <c r="F16815" i="2"/>
  <c r="G16815" i="2"/>
  <c r="H16815" i="2"/>
  <c r="J16815" i="2"/>
  <c r="K16815" i="2"/>
  <c r="L16815" i="2"/>
  <c r="C16816" i="2"/>
  <c r="D16816" i="2"/>
  <c r="F16816" i="2"/>
  <c r="G16816" i="2"/>
  <c r="H16816" i="2"/>
  <c r="J16816" i="2"/>
  <c r="K16816" i="2"/>
  <c r="L16816" i="2"/>
  <c r="C16817" i="2"/>
  <c r="D16817" i="2"/>
  <c r="F16817" i="2"/>
  <c r="G16817" i="2"/>
  <c r="H16817" i="2"/>
  <c r="J16817" i="2"/>
  <c r="K16817" i="2"/>
  <c r="L16817" i="2"/>
  <c r="C16818" i="2"/>
  <c r="D16818" i="2"/>
  <c r="F16818" i="2"/>
  <c r="G16818" i="2"/>
  <c r="H16818" i="2"/>
  <c r="J16818" i="2"/>
  <c r="K16818" i="2"/>
  <c r="L16818" i="2"/>
  <c r="C16819" i="2"/>
  <c r="D16819" i="2"/>
  <c r="F16819" i="2"/>
  <c r="G16819" i="2"/>
  <c r="H16819" i="2"/>
  <c r="J16819" i="2"/>
  <c r="K16819" i="2"/>
  <c r="L16819" i="2"/>
  <c r="C16820" i="2"/>
  <c r="D16820" i="2"/>
  <c r="F16820" i="2"/>
  <c r="G16820" i="2"/>
  <c r="H16820" i="2"/>
  <c r="J16820" i="2"/>
  <c r="K16820" i="2"/>
  <c r="L16820" i="2"/>
  <c r="C16821" i="2"/>
  <c r="D16821" i="2"/>
  <c r="F16821" i="2"/>
  <c r="G16821" i="2"/>
  <c r="H16821" i="2"/>
  <c r="J16821" i="2"/>
  <c r="K16821" i="2"/>
  <c r="L16821" i="2"/>
  <c r="C16822" i="2"/>
  <c r="D16822" i="2"/>
  <c r="F16822" i="2"/>
  <c r="G16822" i="2"/>
  <c r="H16822" i="2"/>
  <c r="J16822" i="2"/>
  <c r="K16822" i="2"/>
  <c r="L16822" i="2"/>
  <c r="C16823" i="2"/>
  <c r="D16823" i="2"/>
  <c r="F16823" i="2"/>
  <c r="G16823" i="2"/>
  <c r="H16823" i="2"/>
  <c r="J16823" i="2"/>
  <c r="K16823" i="2"/>
  <c r="L16823" i="2"/>
  <c r="C16824" i="2"/>
  <c r="D16824" i="2"/>
  <c r="F16824" i="2"/>
  <c r="G16824" i="2"/>
  <c r="H16824" i="2"/>
  <c r="J16824" i="2"/>
  <c r="K16824" i="2"/>
  <c r="L16824" i="2"/>
  <c r="C16825" i="2"/>
  <c r="D16825" i="2"/>
  <c r="F16825" i="2"/>
  <c r="G16825" i="2"/>
  <c r="H16825" i="2"/>
  <c r="J16825" i="2"/>
  <c r="K16825" i="2"/>
  <c r="L16825" i="2"/>
  <c r="C16826" i="2"/>
  <c r="D16826" i="2"/>
  <c r="F16826" i="2"/>
  <c r="G16826" i="2"/>
  <c r="H16826" i="2"/>
  <c r="J16826" i="2"/>
  <c r="K16826" i="2"/>
  <c r="L16826" i="2"/>
  <c r="C16827" i="2"/>
  <c r="D16827" i="2"/>
  <c r="F16827" i="2"/>
  <c r="G16827" i="2"/>
  <c r="H16827" i="2"/>
  <c r="J16827" i="2"/>
  <c r="K16827" i="2"/>
  <c r="L16827" i="2"/>
  <c r="C16828" i="2"/>
  <c r="D16828" i="2"/>
  <c r="F16828" i="2"/>
  <c r="G16828" i="2"/>
  <c r="H16828" i="2"/>
  <c r="J16828" i="2"/>
  <c r="K16828" i="2"/>
  <c r="L16828" i="2"/>
  <c r="C16829" i="2"/>
  <c r="D16829" i="2"/>
  <c r="F16829" i="2"/>
  <c r="G16829" i="2"/>
  <c r="H16829" i="2"/>
  <c r="J16829" i="2"/>
  <c r="K16829" i="2"/>
  <c r="L16829" i="2"/>
  <c r="C16830" i="2"/>
  <c r="D16830" i="2"/>
  <c r="F16830" i="2"/>
  <c r="G16830" i="2"/>
  <c r="H16830" i="2"/>
  <c r="J16830" i="2"/>
  <c r="K16830" i="2"/>
  <c r="L16830" i="2"/>
  <c r="C16831" i="2"/>
  <c r="D16831" i="2"/>
  <c r="F16831" i="2"/>
  <c r="G16831" i="2"/>
  <c r="H16831" i="2"/>
  <c r="J16831" i="2"/>
  <c r="K16831" i="2"/>
  <c r="L16831" i="2"/>
  <c r="C16832" i="2"/>
  <c r="D16832" i="2"/>
  <c r="F16832" i="2"/>
  <c r="G16832" i="2"/>
  <c r="H16832" i="2"/>
  <c r="J16832" i="2"/>
  <c r="K16832" i="2"/>
  <c r="L16832" i="2"/>
  <c r="C16833" i="2"/>
  <c r="D16833" i="2"/>
  <c r="F16833" i="2"/>
  <c r="G16833" i="2"/>
  <c r="H16833" i="2"/>
  <c r="J16833" i="2"/>
  <c r="K16833" i="2"/>
  <c r="L16833" i="2"/>
  <c r="C16834" i="2"/>
  <c r="D16834" i="2"/>
  <c r="F16834" i="2"/>
  <c r="G16834" i="2"/>
  <c r="H16834" i="2"/>
  <c r="J16834" i="2"/>
  <c r="K16834" i="2"/>
  <c r="L16834" i="2"/>
  <c r="C16835" i="2"/>
  <c r="D16835" i="2"/>
  <c r="F16835" i="2"/>
  <c r="G16835" i="2"/>
  <c r="H16835" i="2"/>
  <c r="J16835" i="2"/>
  <c r="K16835" i="2"/>
  <c r="L16835" i="2"/>
  <c r="C16836" i="2"/>
  <c r="D16836" i="2"/>
  <c r="F16836" i="2"/>
  <c r="G16836" i="2"/>
  <c r="H16836" i="2"/>
  <c r="J16836" i="2"/>
  <c r="K16836" i="2"/>
  <c r="L16836" i="2"/>
  <c r="C16837" i="2"/>
  <c r="D16837" i="2"/>
  <c r="F16837" i="2"/>
  <c r="G16837" i="2"/>
  <c r="H16837" i="2"/>
  <c r="J16837" i="2"/>
  <c r="K16837" i="2"/>
  <c r="L16837" i="2"/>
  <c r="C16838" i="2"/>
  <c r="D16838" i="2"/>
  <c r="F16838" i="2"/>
  <c r="G16838" i="2"/>
  <c r="H16838" i="2"/>
  <c r="J16838" i="2"/>
  <c r="K16838" i="2"/>
  <c r="L16838" i="2"/>
  <c r="C16839" i="2"/>
  <c r="D16839" i="2"/>
  <c r="F16839" i="2"/>
  <c r="G16839" i="2"/>
  <c r="H16839" i="2"/>
  <c r="J16839" i="2"/>
  <c r="K16839" i="2"/>
  <c r="L16839" i="2"/>
  <c r="C16840" i="2"/>
  <c r="D16840" i="2"/>
  <c r="F16840" i="2"/>
  <c r="G16840" i="2"/>
  <c r="H16840" i="2"/>
  <c r="J16840" i="2"/>
  <c r="K16840" i="2"/>
  <c r="L16840" i="2"/>
  <c r="C16841" i="2"/>
  <c r="D16841" i="2"/>
  <c r="F16841" i="2"/>
  <c r="G16841" i="2"/>
  <c r="H16841" i="2"/>
  <c r="J16841" i="2"/>
  <c r="K16841" i="2"/>
  <c r="L16841" i="2"/>
  <c r="C16842" i="2"/>
  <c r="D16842" i="2"/>
  <c r="F16842" i="2"/>
  <c r="G16842" i="2"/>
  <c r="H16842" i="2"/>
  <c r="J16842" i="2"/>
  <c r="K16842" i="2"/>
  <c r="L16842" i="2"/>
  <c r="C16843" i="2"/>
  <c r="D16843" i="2"/>
  <c r="F16843" i="2"/>
  <c r="G16843" i="2"/>
  <c r="H16843" i="2"/>
  <c r="J16843" i="2"/>
  <c r="K16843" i="2"/>
  <c r="L16843" i="2"/>
  <c r="C16844" i="2"/>
  <c r="D16844" i="2"/>
  <c r="F16844" i="2"/>
  <c r="G16844" i="2"/>
  <c r="H16844" i="2"/>
  <c r="J16844" i="2"/>
  <c r="K16844" i="2"/>
  <c r="L16844" i="2"/>
  <c r="C16845" i="2"/>
  <c r="D16845" i="2"/>
  <c r="F16845" i="2"/>
  <c r="G16845" i="2"/>
  <c r="H16845" i="2"/>
  <c r="J16845" i="2"/>
  <c r="K16845" i="2"/>
  <c r="L16845" i="2"/>
  <c r="C16846" i="2"/>
  <c r="D16846" i="2"/>
  <c r="F16846" i="2"/>
  <c r="G16846" i="2"/>
  <c r="H16846" i="2"/>
  <c r="J16846" i="2"/>
  <c r="K16846" i="2"/>
  <c r="L16846" i="2"/>
  <c r="C16847" i="2"/>
  <c r="D16847" i="2"/>
  <c r="F16847" i="2"/>
  <c r="G16847" i="2"/>
  <c r="H16847" i="2"/>
  <c r="J16847" i="2"/>
  <c r="K16847" i="2"/>
  <c r="L16847" i="2"/>
  <c r="C16848" i="2"/>
  <c r="D16848" i="2"/>
  <c r="F16848" i="2"/>
  <c r="G16848" i="2"/>
  <c r="H16848" i="2"/>
  <c r="J16848" i="2"/>
  <c r="K16848" i="2"/>
  <c r="L16848" i="2"/>
  <c r="C16849" i="2"/>
  <c r="D16849" i="2"/>
  <c r="F16849" i="2"/>
  <c r="G16849" i="2"/>
  <c r="H16849" i="2"/>
  <c r="J16849" i="2"/>
  <c r="K16849" i="2"/>
  <c r="L16849" i="2"/>
  <c r="C16850" i="2"/>
  <c r="D16850" i="2"/>
  <c r="F16850" i="2"/>
  <c r="G16850" i="2"/>
  <c r="H16850" i="2"/>
  <c r="J16850" i="2"/>
  <c r="K16850" i="2"/>
  <c r="L16850" i="2"/>
  <c r="C16851" i="2"/>
  <c r="D16851" i="2"/>
  <c r="F16851" i="2"/>
  <c r="G16851" i="2"/>
  <c r="H16851" i="2"/>
  <c r="J16851" i="2"/>
  <c r="K16851" i="2"/>
  <c r="L16851" i="2"/>
  <c r="C16852" i="2"/>
  <c r="D16852" i="2"/>
  <c r="F16852" i="2"/>
  <c r="G16852" i="2"/>
  <c r="H16852" i="2"/>
  <c r="J16852" i="2"/>
  <c r="K16852" i="2"/>
  <c r="L16852" i="2"/>
  <c r="C16853" i="2"/>
  <c r="D16853" i="2"/>
  <c r="F16853" i="2"/>
  <c r="G16853" i="2"/>
  <c r="H16853" i="2"/>
  <c r="J16853" i="2"/>
  <c r="K16853" i="2"/>
  <c r="L16853" i="2"/>
  <c r="C16854" i="2"/>
  <c r="D16854" i="2"/>
  <c r="F16854" i="2"/>
  <c r="G16854" i="2"/>
  <c r="H16854" i="2"/>
  <c r="J16854" i="2"/>
  <c r="K16854" i="2"/>
  <c r="L16854" i="2"/>
  <c r="C16855" i="2"/>
  <c r="D16855" i="2"/>
  <c r="F16855" i="2"/>
  <c r="G16855" i="2"/>
  <c r="H16855" i="2"/>
  <c r="J16855" i="2"/>
  <c r="K16855" i="2"/>
  <c r="L16855" i="2"/>
  <c r="C16856" i="2"/>
  <c r="D16856" i="2"/>
  <c r="F16856" i="2"/>
  <c r="G16856" i="2"/>
  <c r="H16856" i="2"/>
  <c r="J16856" i="2"/>
  <c r="K16856" i="2"/>
  <c r="L16856" i="2"/>
  <c r="C16857" i="2"/>
  <c r="D16857" i="2"/>
  <c r="F16857" i="2"/>
  <c r="G16857" i="2"/>
  <c r="H16857" i="2"/>
  <c r="J16857" i="2"/>
  <c r="K16857" i="2"/>
  <c r="L16857" i="2"/>
  <c r="C16858" i="2"/>
  <c r="D16858" i="2"/>
  <c r="F16858" i="2"/>
  <c r="G16858" i="2"/>
  <c r="H16858" i="2"/>
  <c r="J16858" i="2"/>
  <c r="K16858" i="2"/>
  <c r="L16858" i="2"/>
  <c r="C16859" i="2"/>
  <c r="D16859" i="2"/>
  <c r="F16859" i="2"/>
  <c r="G16859" i="2"/>
  <c r="H16859" i="2"/>
  <c r="J16859" i="2"/>
  <c r="K16859" i="2"/>
  <c r="L16859" i="2"/>
  <c r="C16860" i="2"/>
  <c r="D16860" i="2"/>
  <c r="F16860" i="2"/>
  <c r="G16860" i="2"/>
  <c r="H16860" i="2"/>
  <c r="J16860" i="2"/>
  <c r="K16860" i="2"/>
  <c r="L16860" i="2"/>
  <c r="C16861" i="2"/>
  <c r="D16861" i="2"/>
  <c r="F16861" i="2"/>
  <c r="G16861" i="2"/>
  <c r="H16861" i="2"/>
  <c r="J16861" i="2"/>
  <c r="K16861" i="2"/>
  <c r="L16861" i="2"/>
  <c r="C16862" i="2"/>
  <c r="D16862" i="2"/>
  <c r="F16862" i="2"/>
  <c r="G16862" i="2"/>
  <c r="H16862" i="2"/>
  <c r="J16862" i="2"/>
  <c r="K16862" i="2"/>
  <c r="L16862" i="2"/>
  <c r="C16863" i="2"/>
  <c r="D16863" i="2"/>
  <c r="F16863" i="2"/>
  <c r="G16863" i="2"/>
  <c r="H16863" i="2"/>
  <c r="J16863" i="2"/>
  <c r="K16863" i="2"/>
  <c r="L16863" i="2"/>
  <c r="C16864" i="2"/>
  <c r="D16864" i="2"/>
  <c r="F16864" i="2"/>
  <c r="G16864" i="2"/>
  <c r="H16864" i="2"/>
  <c r="J16864" i="2"/>
  <c r="K16864" i="2"/>
  <c r="L16864" i="2"/>
  <c r="C16865" i="2"/>
  <c r="D16865" i="2"/>
  <c r="F16865" i="2"/>
  <c r="G16865" i="2"/>
  <c r="H16865" i="2"/>
  <c r="J16865" i="2"/>
  <c r="K16865" i="2"/>
  <c r="L16865" i="2"/>
  <c r="C16866" i="2"/>
  <c r="D16866" i="2"/>
  <c r="F16866" i="2"/>
  <c r="G16866" i="2"/>
  <c r="H16866" i="2"/>
  <c r="J16866" i="2"/>
  <c r="K16866" i="2"/>
  <c r="L16866" i="2"/>
  <c r="C16867" i="2"/>
  <c r="D16867" i="2"/>
  <c r="F16867" i="2"/>
  <c r="G16867" i="2"/>
  <c r="H16867" i="2"/>
  <c r="J16867" i="2"/>
  <c r="K16867" i="2"/>
  <c r="L16867" i="2"/>
  <c r="C16868" i="2"/>
  <c r="D16868" i="2"/>
  <c r="F16868" i="2"/>
  <c r="G16868" i="2"/>
  <c r="H16868" i="2"/>
  <c r="J16868" i="2"/>
  <c r="K16868" i="2"/>
  <c r="L16868" i="2"/>
  <c r="C16869" i="2"/>
  <c r="D16869" i="2"/>
  <c r="F16869" i="2"/>
  <c r="G16869" i="2"/>
  <c r="H16869" i="2"/>
  <c r="J16869" i="2"/>
  <c r="K16869" i="2"/>
  <c r="L16869" i="2"/>
  <c r="C16870" i="2"/>
  <c r="D16870" i="2"/>
  <c r="F16870" i="2"/>
  <c r="G16870" i="2"/>
  <c r="H16870" i="2"/>
  <c r="J16870" i="2"/>
  <c r="K16870" i="2"/>
  <c r="L16870" i="2"/>
  <c r="C16871" i="2"/>
  <c r="D16871" i="2"/>
  <c r="F16871" i="2"/>
  <c r="G16871" i="2"/>
  <c r="H16871" i="2"/>
  <c r="J16871" i="2"/>
  <c r="K16871" i="2"/>
  <c r="L16871" i="2"/>
  <c r="C16872" i="2"/>
  <c r="D16872" i="2"/>
  <c r="F16872" i="2"/>
  <c r="G16872" i="2"/>
  <c r="H16872" i="2"/>
  <c r="J16872" i="2"/>
  <c r="K16872" i="2"/>
  <c r="L16872" i="2"/>
  <c r="C16873" i="2"/>
  <c r="D16873" i="2"/>
  <c r="F16873" i="2"/>
  <c r="G16873" i="2"/>
  <c r="H16873" i="2"/>
  <c r="J16873" i="2"/>
  <c r="K16873" i="2"/>
  <c r="L16873" i="2"/>
  <c r="C16874" i="2"/>
  <c r="D16874" i="2"/>
  <c r="F16874" i="2"/>
  <c r="G16874" i="2"/>
  <c r="H16874" i="2"/>
  <c r="J16874" i="2"/>
  <c r="K16874" i="2"/>
  <c r="L16874" i="2"/>
  <c r="C16875" i="2"/>
  <c r="D16875" i="2"/>
  <c r="F16875" i="2"/>
  <c r="G16875" i="2"/>
  <c r="H16875" i="2"/>
  <c r="J16875" i="2"/>
  <c r="K16875" i="2"/>
  <c r="L16875" i="2"/>
  <c r="C16876" i="2"/>
  <c r="D16876" i="2"/>
  <c r="F16876" i="2"/>
  <c r="G16876" i="2"/>
  <c r="H16876" i="2"/>
  <c r="J16876" i="2"/>
  <c r="K16876" i="2"/>
  <c r="L16876" i="2"/>
  <c r="C16877" i="2"/>
  <c r="D16877" i="2"/>
  <c r="F16877" i="2"/>
  <c r="G16877" i="2"/>
  <c r="H16877" i="2"/>
  <c r="J16877" i="2"/>
  <c r="K16877" i="2"/>
  <c r="L16877" i="2"/>
  <c r="C16878" i="2"/>
  <c r="D16878" i="2"/>
  <c r="F16878" i="2"/>
  <c r="G16878" i="2"/>
  <c r="H16878" i="2"/>
  <c r="J16878" i="2"/>
  <c r="K16878" i="2"/>
  <c r="L16878" i="2"/>
  <c r="C16879" i="2"/>
  <c r="D16879" i="2"/>
  <c r="F16879" i="2"/>
  <c r="G16879" i="2"/>
  <c r="H16879" i="2"/>
  <c r="J16879" i="2"/>
  <c r="K16879" i="2"/>
  <c r="L16879" i="2"/>
  <c r="C16880" i="2"/>
  <c r="D16880" i="2"/>
  <c r="F16880" i="2"/>
  <c r="G16880" i="2"/>
  <c r="H16880" i="2"/>
  <c r="J16880" i="2"/>
  <c r="K16880" i="2"/>
  <c r="L16880" i="2"/>
  <c r="C16881" i="2"/>
  <c r="D16881" i="2"/>
  <c r="F16881" i="2"/>
  <c r="G16881" i="2"/>
  <c r="H16881" i="2"/>
  <c r="J16881" i="2"/>
  <c r="K16881" i="2"/>
  <c r="L16881" i="2"/>
  <c r="C16882" i="2"/>
  <c r="D16882" i="2"/>
  <c r="F16882" i="2"/>
  <c r="G16882" i="2"/>
  <c r="H16882" i="2"/>
  <c r="J16882" i="2"/>
  <c r="K16882" i="2"/>
  <c r="L16882" i="2"/>
  <c r="C16883" i="2"/>
  <c r="D16883" i="2"/>
  <c r="F16883" i="2"/>
  <c r="G16883" i="2"/>
  <c r="H16883" i="2"/>
  <c r="J16883" i="2"/>
  <c r="K16883" i="2"/>
  <c r="L16883" i="2"/>
  <c r="C16884" i="2"/>
  <c r="D16884" i="2"/>
  <c r="F16884" i="2"/>
  <c r="G16884" i="2"/>
  <c r="H16884" i="2"/>
  <c r="J16884" i="2"/>
  <c r="K16884" i="2"/>
  <c r="L16884" i="2"/>
  <c r="C16885" i="2"/>
  <c r="D16885" i="2"/>
  <c r="F16885" i="2"/>
  <c r="G16885" i="2"/>
  <c r="H16885" i="2"/>
  <c r="J16885" i="2"/>
  <c r="K16885" i="2"/>
  <c r="L16885" i="2"/>
  <c r="C16886" i="2"/>
  <c r="D16886" i="2"/>
  <c r="F16886" i="2"/>
  <c r="G16886" i="2"/>
  <c r="H16886" i="2"/>
  <c r="J16886" i="2"/>
  <c r="K16886" i="2"/>
  <c r="L16886" i="2"/>
  <c r="C16887" i="2"/>
  <c r="D16887" i="2"/>
  <c r="F16887" i="2"/>
  <c r="G16887" i="2"/>
  <c r="H16887" i="2"/>
  <c r="J16887" i="2"/>
  <c r="K16887" i="2"/>
  <c r="L16887" i="2"/>
  <c r="C16888" i="2"/>
  <c r="D16888" i="2"/>
  <c r="F16888" i="2"/>
  <c r="G16888" i="2"/>
  <c r="H16888" i="2"/>
  <c r="J16888" i="2"/>
  <c r="K16888" i="2"/>
  <c r="L16888" i="2"/>
  <c r="C16889" i="2"/>
  <c r="D16889" i="2"/>
  <c r="F16889" i="2"/>
  <c r="G16889" i="2"/>
  <c r="H16889" i="2"/>
  <c r="J16889" i="2"/>
  <c r="K16889" i="2"/>
  <c r="L16889" i="2"/>
  <c r="C16890" i="2"/>
  <c r="D16890" i="2"/>
  <c r="F16890" i="2"/>
  <c r="G16890" i="2"/>
  <c r="H16890" i="2"/>
  <c r="J16890" i="2"/>
  <c r="K16890" i="2"/>
  <c r="L16890" i="2"/>
  <c r="C16891" i="2"/>
  <c r="D16891" i="2"/>
  <c r="F16891" i="2"/>
  <c r="G16891" i="2"/>
  <c r="H16891" i="2"/>
  <c r="J16891" i="2"/>
  <c r="K16891" i="2"/>
  <c r="L16891" i="2"/>
  <c r="C16892" i="2"/>
  <c r="D16892" i="2"/>
  <c r="F16892" i="2"/>
  <c r="G16892" i="2"/>
  <c r="H16892" i="2"/>
  <c r="J16892" i="2"/>
  <c r="K16892" i="2"/>
  <c r="L16892" i="2"/>
  <c r="C16893" i="2"/>
  <c r="D16893" i="2"/>
  <c r="F16893" i="2"/>
  <c r="G16893" i="2"/>
  <c r="H16893" i="2"/>
  <c r="J16893" i="2"/>
  <c r="K16893" i="2"/>
  <c r="L16893" i="2"/>
  <c r="C16894" i="2"/>
  <c r="D16894" i="2"/>
  <c r="F16894" i="2"/>
  <c r="G16894" i="2"/>
  <c r="H16894" i="2"/>
  <c r="J16894" i="2"/>
  <c r="K16894" i="2"/>
  <c r="L16894" i="2"/>
  <c r="C16895" i="2"/>
  <c r="D16895" i="2"/>
  <c r="F16895" i="2"/>
  <c r="G16895" i="2"/>
  <c r="H16895" i="2"/>
  <c r="J16895" i="2"/>
  <c r="K16895" i="2"/>
  <c r="L16895" i="2"/>
  <c r="C16896" i="2"/>
  <c r="D16896" i="2"/>
  <c r="F16896" i="2"/>
  <c r="G16896" i="2"/>
  <c r="H16896" i="2"/>
  <c r="J16896" i="2"/>
  <c r="K16896" i="2"/>
  <c r="L16896" i="2"/>
  <c r="C16897" i="2"/>
  <c r="D16897" i="2"/>
  <c r="F16897" i="2"/>
  <c r="G16897" i="2"/>
  <c r="H16897" i="2"/>
  <c r="J16897" i="2"/>
  <c r="K16897" i="2"/>
  <c r="L16897" i="2"/>
  <c r="C16898" i="2"/>
  <c r="D16898" i="2"/>
  <c r="F16898" i="2"/>
  <c r="G16898" i="2"/>
  <c r="H16898" i="2"/>
  <c r="J16898" i="2"/>
  <c r="K16898" i="2"/>
  <c r="L16898" i="2"/>
  <c r="C16899" i="2"/>
  <c r="D16899" i="2"/>
  <c r="F16899" i="2"/>
  <c r="G16899" i="2"/>
  <c r="H16899" i="2"/>
  <c r="J16899" i="2"/>
  <c r="K16899" i="2"/>
  <c r="L16899" i="2"/>
  <c r="C16900" i="2"/>
  <c r="D16900" i="2"/>
  <c r="F16900" i="2"/>
  <c r="G16900" i="2"/>
  <c r="H16900" i="2"/>
  <c r="J16900" i="2"/>
  <c r="K16900" i="2"/>
  <c r="L16900" i="2"/>
  <c r="C16901" i="2"/>
  <c r="D16901" i="2"/>
  <c r="F16901" i="2"/>
  <c r="G16901" i="2"/>
  <c r="H16901" i="2"/>
  <c r="J16901" i="2"/>
  <c r="K16901" i="2"/>
  <c r="L16901" i="2"/>
  <c r="C16902" i="2"/>
  <c r="D16902" i="2"/>
  <c r="F16902" i="2"/>
  <c r="G16902" i="2"/>
  <c r="H16902" i="2"/>
  <c r="J16902" i="2"/>
  <c r="K16902" i="2"/>
  <c r="L16902" i="2"/>
  <c r="C16903" i="2"/>
  <c r="D16903" i="2"/>
  <c r="F16903" i="2"/>
  <c r="G16903" i="2"/>
  <c r="H16903" i="2"/>
  <c r="J16903" i="2"/>
  <c r="K16903" i="2"/>
  <c r="L16903" i="2"/>
  <c r="C16904" i="2"/>
  <c r="D16904" i="2"/>
  <c r="F16904" i="2"/>
  <c r="G16904" i="2"/>
  <c r="H16904" i="2"/>
  <c r="J16904" i="2"/>
  <c r="K16904" i="2"/>
  <c r="L16904" i="2"/>
  <c r="C16905" i="2"/>
  <c r="D16905" i="2"/>
  <c r="F16905" i="2"/>
  <c r="G16905" i="2"/>
  <c r="H16905" i="2"/>
  <c r="J16905" i="2"/>
  <c r="K16905" i="2"/>
  <c r="L16905" i="2"/>
  <c r="C16906" i="2"/>
  <c r="D16906" i="2"/>
  <c r="F16906" i="2"/>
  <c r="G16906" i="2"/>
  <c r="H16906" i="2"/>
  <c r="J16906" i="2"/>
  <c r="K16906" i="2"/>
  <c r="L16906" i="2"/>
  <c r="C16907" i="2"/>
  <c r="D16907" i="2"/>
  <c r="F16907" i="2"/>
  <c r="G16907" i="2"/>
  <c r="H16907" i="2"/>
  <c r="J16907" i="2"/>
  <c r="K16907" i="2"/>
  <c r="L16907" i="2"/>
  <c r="C16908" i="2"/>
  <c r="D16908" i="2"/>
  <c r="F16908" i="2"/>
  <c r="G16908" i="2"/>
  <c r="H16908" i="2"/>
  <c r="J16908" i="2"/>
  <c r="K16908" i="2"/>
  <c r="L16908" i="2"/>
  <c r="C16909" i="2"/>
  <c r="D16909" i="2"/>
  <c r="F16909" i="2"/>
  <c r="G16909" i="2"/>
  <c r="H16909" i="2"/>
  <c r="J16909" i="2"/>
  <c r="K16909" i="2"/>
  <c r="L16909" i="2"/>
  <c r="C16910" i="2"/>
  <c r="D16910" i="2"/>
  <c r="F16910" i="2"/>
  <c r="G16910" i="2"/>
  <c r="H16910" i="2"/>
  <c r="J16910" i="2"/>
  <c r="K16910" i="2"/>
  <c r="L16910" i="2"/>
  <c r="C16911" i="2"/>
  <c r="D16911" i="2"/>
  <c r="F16911" i="2"/>
  <c r="G16911" i="2"/>
  <c r="H16911" i="2"/>
  <c r="J16911" i="2"/>
  <c r="K16911" i="2"/>
  <c r="L16911" i="2"/>
  <c r="C16912" i="2"/>
  <c r="D16912" i="2"/>
  <c r="F16912" i="2"/>
  <c r="G16912" i="2"/>
  <c r="H16912" i="2"/>
  <c r="J16912" i="2"/>
  <c r="K16912" i="2"/>
  <c r="L16912" i="2"/>
  <c r="C16913" i="2"/>
  <c r="D16913" i="2"/>
  <c r="F16913" i="2"/>
  <c r="G16913" i="2"/>
  <c r="H16913" i="2"/>
  <c r="J16913" i="2"/>
  <c r="K16913" i="2"/>
  <c r="L16913" i="2"/>
  <c r="C16914" i="2"/>
  <c r="D16914" i="2"/>
  <c r="F16914" i="2"/>
  <c r="G16914" i="2"/>
  <c r="H16914" i="2"/>
  <c r="J16914" i="2"/>
  <c r="K16914" i="2"/>
  <c r="L16914" i="2"/>
  <c r="C16915" i="2"/>
  <c r="D16915" i="2"/>
  <c r="F16915" i="2"/>
  <c r="G16915" i="2"/>
  <c r="H16915" i="2"/>
  <c r="J16915" i="2"/>
  <c r="K16915" i="2"/>
  <c r="L16915" i="2"/>
  <c r="C16916" i="2"/>
  <c r="D16916" i="2"/>
  <c r="F16916" i="2"/>
  <c r="G16916" i="2"/>
  <c r="H16916" i="2"/>
  <c r="J16916" i="2"/>
  <c r="K16916" i="2"/>
  <c r="L16916" i="2"/>
  <c r="C16917" i="2"/>
  <c r="D16917" i="2"/>
  <c r="F16917" i="2"/>
  <c r="G16917" i="2"/>
  <c r="H16917" i="2"/>
  <c r="J16917" i="2"/>
  <c r="K16917" i="2"/>
  <c r="L16917" i="2"/>
  <c r="C16918" i="2"/>
  <c r="D16918" i="2"/>
  <c r="F16918" i="2"/>
  <c r="G16918" i="2"/>
  <c r="H16918" i="2"/>
  <c r="J16918" i="2"/>
  <c r="K16918" i="2"/>
  <c r="L16918" i="2"/>
  <c r="C16919" i="2"/>
  <c r="D16919" i="2"/>
  <c r="F16919" i="2"/>
  <c r="G16919" i="2"/>
  <c r="H16919" i="2"/>
  <c r="J16919" i="2"/>
  <c r="K16919" i="2"/>
  <c r="L16919" i="2"/>
  <c r="C16920" i="2"/>
  <c r="D16920" i="2"/>
  <c r="F16920" i="2"/>
  <c r="G16920" i="2"/>
  <c r="H16920" i="2"/>
  <c r="J16920" i="2"/>
  <c r="K16920" i="2"/>
  <c r="L16920" i="2"/>
  <c r="C16921" i="2"/>
  <c r="D16921" i="2"/>
  <c r="F16921" i="2"/>
  <c r="G16921" i="2"/>
  <c r="H16921" i="2"/>
  <c r="J16921" i="2"/>
  <c r="K16921" i="2"/>
  <c r="L16921" i="2"/>
  <c r="C16922" i="2"/>
  <c r="D16922" i="2"/>
  <c r="F16922" i="2"/>
  <c r="G16922" i="2"/>
  <c r="H16922" i="2"/>
  <c r="J16922" i="2"/>
  <c r="K16922" i="2"/>
  <c r="L16922" i="2"/>
  <c r="C16923" i="2"/>
  <c r="D16923" i="2"/>
  <c r="F16923" i="2"/>
  <c r="G16923" i="2"/>
  <c r="H16923" i="2"/>
  <c r="J16923" i="2"/>
  <c r="K16923" i="2"/>
  <c r="L16923" i="2"/>
  <c r="C16924" i="2"/>
  <c r="D16924" i="2"/>
  <c r="F16924" i="2"/>
  <c r="G16924" i="2"/>
  <c r="H16924" i="2"/>
  <c r="J16924" i="2"/>
  <c r="K16924" i="2"/>
  <c r="L16924" i="2"/>
  <c r="C16925" i="2"/>
  <c r="D16925" i="2"/>
  <c r="F16925" i="2"/>
  <c r="G16925" i="2"/>
  <c r="H16925" i="2"/>
  <c r="J16925" i="2"/>
  <c r="K16925" i="2"/>
  <c r="L16925" i="2"/>
  <c r="C16926" i="2"/>
  <c r="D16926" i="2"/>
  <c r="F16926" i="2"/>
  <c r="G16926" i="2"/>
  <c r="H16926" i="2"/>
  <c r="J16926" i="2"/>
  <c r="K16926" i="2"/>
  <c r="L16926" i="2"/>
  <c r="C16927" i="2"/>
  <c r="D16927" i="2"/>
  <c r="F16927" i="2"/>
  <c r="G16927" i="2"/>
  <c r="H16927" i="2"/>
  <c r="J16927" i="2"/>
  <c r="K16927" i="2"/>
  <c r="L16927" i="2"/>
  <c r="C16928" i="2"/>
  <c r="D16928" i="2"/>
  <c r="F16928" i="2"/>
  <c r="G16928" i="2"/>
  <c r="H16928" i="2"/>
  <c r="J16928" i="2"/>
  <c r="K16928" i="2"/>
  <c r="L16928" i="2"/>
  <c r="C16929" i="2"/>
  <c r="D16929" i="2"/>
  <c r="F16929" i="2"/>
  <c r="G16929" i="2"/>
  <c r="H16929" i="2"/>
  <c r="J16929" i="2"/>
  <c r="K16929" i="2"/>
  <c r="L16929" i="2"/>
  <c r="C16930" i="2"/>
  <c r="D16930" i="2"/>
  <c r="F16930" i="2"/>
  <c r="G16930" i="2"/>
  <c r="H16930" i="2"/>
  <c r="J16930" i="2"/>
  <c r="K16930" i="2"/>
  <c r="L16930" i="2"/>
  <c r="C16931" i="2"/>
  <c r="D16931" i="2"/>
  <c r="F16931" i="2"/>
  <c r="G16931" i="2"/>
  <c r="H16931" i="2"/>
  <c r="J16931" i="2"/>
  <c r="K16931" i="2"/>
  <c r="L16931" i="2"/>
  <c r="C16932" i="2"/>
  <c r="D16932" i="2"/>
  <c r="F16932" i="2"/>
  <c r="G16932" i="2"/>
  <c r="H16932" i="2"/>
  <c r="J16932" i="2"/>
  <c r="K16932" i="2"/>
  <c r="L16932" i="2"/>
  <c r="C16933" i="2"/>
  <c r="D16933" i="2"/>
  <c r="F16933" i="2"/>
  <c r="G16933" i="2"/>
  <c r="H16933" i="2"/>
  <c r="J16933" i="2"/>
  <c r="K16933" i="2"/>
  <c r="L16933" i="2"/>
  <c r="C16934" i="2"/>
  <c r="D16934" i="2"/>
  <c r="F16934" i="2"/>
  <c r="G16934" i="2"/>
  <c r="H16934" i="2"/>
  <c r="J16934" i="2"/>
  <c r="K16934" i="2"/>
  <c r="L16934" i="2"/>
  <c r="C16935" i="2"/>
  <c r="D16935" i="2"/>
  <c r="F16935" i="2"/>
  <c r="G16935" i="2"/>
  <c r="H16935" i="2"/>
  <c r="J16935" i="2"/>
  <c r="K16935" i="2"/>
  <c r="L16935" i="2"/>
  <c r="C16936" i="2"/>
  <c r="D16936" i="2"/>
  <c r="F16936" i="2"/>
  <c r="G16936" i="2"/>
  <c r="H16936" i="2"/>
  <c r="J16936" i="2"/>
  <c r="K16936" i="2"/>
  <c r="L16936" i="2"/>
  <c r="C16937" i="2"/>
  <c r="D16937" i="2"/>
  <c r="F16937" i="2"/>
  <c r="G16937" i="2"/>
  <c r="H16937" i="2"/>
  <c r="J16937" i="2"/>
  <c r="K16937" i="2"/>
  <c r="L16937" i="2"/>
  <c r="C16938" i="2"/>
  <c r="D16938" i="2"/>
  <c r="F16938" i="2"/>
  <c r="G16938" i="2"/>
  <c r="H16938" i="2"/>
  <c r="J16938" i="2"/>
  <c r="K16938" i="2"/>
  <c r="L16938" i="2"/>
  <c r="C16939" i="2"/>
  <c r="D16939" i="2"/>
  <c r="F16939" i="2"/>
  <c r="G16939" i="2"/>
  <c r="H16939" i="2"/>
  <c r="J16939" i="2"/>
  <c r="K16939" i="2"/>
  <c r="L16939" i="2"/>
  <c r="C16940" i="2"/>
  <c r="D16940" i="2"/>
  <c r="F16940" i="2"/>
  <c r="G16940" i="2"/>
  <c r="H16940" i="2"/>
  <c r="J16940" i="2"/>
  <c r="K16940" i="2"/>
  <c r="L16940" i="2"/>
  <c r="C16941" i="2"/>
  <c r="D16941" i="2"/>
  <c r="F16941" i="2"/>
  <c r="G16941" i="2"/>
  <c r="H16941" i="2"/>
  <c r="J16941" i="2"/>
  <c r="K16941" i="2"/>
  <c r="L16941" i="2"/>
  <c r="C16942" i="2"/>
  <c r="D16942" i="2"/>
  <c r="F16942" i="2"/>
  <c r="G16942" i="2"/>
  <c r="H16942" i="2"/>
  <c r="J16942" i="2"/>
  <c r="K16942" i="2"/>
  <c r="L16942" i="2"/>
  <c r="C16943" i="2"/>
  <c r="D16943" i="2"/>
  <c r="F16943" i="2"/>
  <c r="G16943" i="2"/>
  <c r="H16943" i="2"/>
  <c r="J16943" i="2"/>
  <c r="K16943" i="2"/>
  <c r="L16943" i="2"/>
  <c r="C16944" i="2"/>
  <c r="D16944" i="2"/>
  <c r="F16944" i="2"/>
  <c r="G16944" i="2"/>
  <c r="H16944" i="2"/>
  <c r="J16944" i="2"/>
  <c r="K16944" i="2"/>
  <c r="L16944" i="2"/>
  <c r="C16945" i="2"/>
  <c r="D16945" i="2"/>
  <c r="F16945" i="2"/>
  <c r="G16945" i="2"/>
  <c r="H16945" i="2"/>
  <c r="J16945" i="2"/>
  <c r="K16945" i="2"/>
  <c r="L16945" i="2"/>
  <c r="C16946" i="2"/>
  <c r="D16946" i="2"/>
  <c r="F16946" i="2"/>
  <c r="G16946" i="2"/>
  <c r="H16946" i="2"/>
  <c r="J16946" i="2"/>
  <c r="K16946" i="2"/>
  <c r="L16946" i="2"/>
  <c r="C16947" i="2"/>
  <c r="D16947" i="2"/>
  <c r="F16947" i="2"/>
  <c r="G16947" i="2"/>
  <c r="H16947" i="2"/>
  <c r="J16947" i="2"/>
  <c r="K16947" i="2"/>
  <c r="L16947" i="2"/>
  <c r="C16948" i="2"/>
  <c r="D16948" i="2"/>
  <c r="F16948" i="2"/>
  <c r="G16948" i="2"/>
  <c r="H16948" i="2"/>
  <c r="J16948" i="2"/>
  <c r="K16948" i="2"/>
  <c r="L16948" i="2"/>
  <c r="C16949" i="2"/>
  <c r="D16949" i="2"/>
  <c r="F16949" i="2"/>
  <c r="G16949" i="2"/>
  <c r="H16949" i="2"/>
  <c r="J16949" i="2"/>
  <c r="K16949" i="2"/>
  <c r="L16949" i="2"/>
  <c r="C16950" i="2"/>
  <c r="D16950" i="2"/>
  <c r="F16950" i="2"/>
  <c r="G16950" i="2"/>
  <c r="H16950" i="2"/>
  <c r="J16950" i="2"/>
  <c r="K16950" i="2"/>
  <c r="L16950" i="2"/>
  <c r="C16951" i="2"/>
  <c r="D16951" i="2"/>
  <c r="F16951" i="2"/>
  <c r="G16951" i="2"/>
  <c r="H16951" i="2"/>
  <c r="J16951" i="2"/>
  <c r="K16951" i="2"/>
  <c r="L16951" i="2"/>
  <c r="C16952" i="2"/>
  <c r="D16952" i="2"/>
  <c r="F16952" i="2"/>
  <c r="G16952" i="2"/>
  <c r="H16952" i="2"/>
  <c r="J16952" i="2"/>
  <c r="K16952" i="2"/>
  <c r="L16952" i="2"/>
  <c r="C16953" i="2"/>
  <c r="D16953" i="2"/>
  <c r="F16953" i="2"/>
  <c r="G16953" i="2"/>
  <c r="H16953" i="2"/>
  <c r="J16953" i="2"/>
  <c r="K16953" i="2"/>
  <c r="L16953" i="2"/>
  <c r="C16954" i="2"/>
  <c r="D16954" i="2"/>
  <c r="F16954" i="2"/>
  <c r="G16954" i="2"/>
  <c r="H16954" i="2"/>
  <c r="J16954" i="2"/>
  <c r="K16954" i="2"/>
  <c r="L16954" i="2"/>
  <c r="C16955" i="2"/>
  <c r="D16955" i="2"/>
  <c r="F16955" i="2"/>
  <c r="G16955" i="2"/>
  <c r="H16955" i="2"/>
  <c r="J16955" i="2"/>
  <c r="K16955" i="2"/>
  <c r="L16955" i="2"/>
  <c r="C16956" i="2"/>
  <c r="D16956" i="2"/>
  <c r="F16956" i="2"/>
  <c r="G16956" i="2"/>
  <c r="H16956" i="2"/>
  <c r="J16956" i="2"/>
  <c r="K16956" i="2"/>
  <c r="L16956" i="2"/>
  <c r="C16957" i="2"/>
  <c r="D16957" i="2"/>
  <c r="F16957" i="2"/>
  <c r="G16957" i="2"/>
  <c r="H16957" i="2"/>
  <c r="J16957" i="2"/>
  <c r="K16957" i="2"/>
  <c r="L16957" i="2"/>
  <c r="C16958" i="2"/>
  <c r="D16958" i="2"/>
  <c r="F16958" i="2"/>
  <c r="G16958" i="2"/>
  <c r="H16958" i="2"/>
  <c r="J16958" i="2"/>
  <c r="K16958" i="2"/>
  <c r="L16958" i="2"/>
  <c r="C16959" i="2"/>
  <c r="D16959" i="2"/>
  <c r="F16959" i="2"/>
  <c r="G16959" i="2"/>
  <c r="H16959" i="2"/>
  <c r="J16959" i="2"/>
  <c r="K16959" i="2"/>
  <c r="L16959" i="2"/>
  <c r="C16960" i="2"/>
  <c r="D16960" i="2"/>
  <c r="F16960" i="2"/>
  <c r="G16960" i="2"/>
  <c r="H16960" i="2"/>
  <c r="J16960" i="2"/>
  <c r="K16960" i="2"/>
  <c r="L16960" i="2"/>
  <c r="C16961" i="2"/>
  <c r="D16961" i="2"/>
  <c r="F16961" i="2"/>
  <c r="G16961" i="2"/>
  <c r="H16961" i="2"/>
  <c r="J16961" i="2"/>
  <c r="K16961" i="2"/>
  <c r="L16961" i="2"/>
  <c r="C16962" i="2"/>
  <c r="D16962" i="2"/>
  <c r="F16962" i="2"/>
  <c r="G16962" i="2"/>
  <c r="H16962" i="2"/>
  <c r="J16962" i="2"/>
  <c r="K16962" i="2"/>
  <c r="L16962" i="2"/>
  <c r="C16963" i="2"/>
  <c r="D16963" i="2"/>
  <c r="F16963" i="2"/>
  <c r="G16963" i="2"/>
  <c r="H16963" i="2"/>
  <c r="J16963" i="2"/>
  <c r="K16963" i="2"/>
  <c r="L16963" i="2"/>
  <c r="C16964" i="2"/>
  <c r="D16964" i="2"/>
  <c r="F16964" i="2"/>
  <c r="G16964" i="2"/>
  <c r="H16964" i="2"/>
  <c r="J16964" i="2"/>
  <c r="K16964" i="2"/>
  <c r="L16964" i="2"/>
  <c r="C16965" i="2"/>
  <c r="D16965" i="2"/>
  <c r="F16965" i="2"/>
  <c r="G16965" i="2"/>
  <c r="H16965" i="2"/>
  <c r="J16965" i="2"/>
  <c r="K16965" i="2"/>
  <c r="L16965" i="2"/>
  <c r="C16966" i="2"/>
  <c r="D16966" i="2"/>
  <c r="F16966" i="2"/>
  <c r="G16966" i="2"/>
  <c r="H16966" i="2"/>
  <c r="J16966" i="2"/>
  <c r="K16966" i="2"/>
  <c r="L16966" i="2"/>
  <c r="C16967" i="2"/>
  <c r="D16967" i="2"/>
  <c r="F16967" i="2"/>
  <c r="G16967" i="2"/>
  <c r="H16967" i="2"/>
  <c r="J16967" i="2"/>
  <c r="K16967" i="2"/>
  <c r="L16967" i="2"/>
  <c r="C16968" i="2"/>
  <c r="D16968" i="2"/>
  <c r="F16968" i="2"/>
  <c r="G16968" i="2"/>
  <c r="H16968" i="2"/>
  <c r="J16968" i="2"/>
  <c r="K16968" i="2"/>
  <c r="L16968" i="2"/>
  <c r="C16969" i="2"/>
  <c r="D16969" i="2"/>
  <c r="F16969" i="2"/>
  <c r="G16969" i="2"/>
  <c r="H16969" i="2"/>
  <c r="J16969" i="2"/>
  <c r="K16969" i="2"/>
  <c r="L16969" i="2"/>
  <c r="C16970" i="2"/>
  <c r="D16970" i="2"/>
  <c r="F16970" i="2"/>
  <c r="G16970" i="2"/>
  <c r="H16970" i="2"/>
  <c r="J16970" i="2"/>
  <c r="K16970" i="2"/>
  <c r="L16970" i="2"/>
  <c r="C16971" i="2"/>
  <c r="D16971" i="2"/>
  <c r="F16971" i="2"/>
  <c r="G16971" i="2"/>
  <c r="H16971" i="2"/>
  <c r="J16971" i="2"/>
  <c r="K16971" i="2"/>
  <c r="L16971" i="2"/>
  <c r="C16972" i="2"/>
  <c r="D16972" i="2"/>
  <c r="F16972" i="2"/>
  <c r="G16972" i="2"/>
  <c r="H16972" i="2"/>
  <c r="J16972" i="2"/>
  <c r="K16972" i="2"/>
  <c r="L16972" i="2"/>
  <c r="C16973" i="2"/>
  <c r="D16973" i="2"/>
  <c r="F16973" i="2"/>
  <c r="G16973" i="2"/>
  <c r="H16973" i="2"/>
  <c r="J16973" i="2"/>
  <c r="K16973" i="2"/>
  <c r="L16973" i="2"/>
  <c r="C16974" i="2"/>
  <c r="D16974" i="2"/>
  <c r="F16974" i="2"/>
  <c r="G16974" i="2"/>
  <c r="H16974" i="2"/>
  <c r="J16974" i="2"/>
  <c r="K16974" i="2"/>
  <c r="L16974" i="2"/>
  <c r="C16975" i="2"/>
  <c r="D16975" i="2"/>
  <c r="F16975" i="2"/>
  <c r="G16975" i="2"/>
  <c r="H16975" i="2"/>
  <c r="J16975" i="2"/>
  <c r="K16975" i="2"/>
  <c r="L16975" i="2"/>
  <c r="C16976" i="2"/>
  <c r="D16976" i="2"/>
  <c r="F16976" i="2"/>
  <c r="G16976" i="2"/>
  <c r="H16976" i="2"/>
  <c r="J16976" i="2"/>
  <c r="K16976" i="2"/>
  <c r="L16976" i="2"/>
  <c r="C16977" i="2"/>
  <c r="D16977" i="2"/>
  <c r="F16977" i="2"/>
  <c r="G16977" i="2"/>
  <c r="H16977" i="2"/>
  <c r="J16977" i="2"/>
  <c r="K16977" i="2"/>
  <c r="L16977" i="2"/>
  <c r="C16978" i="2"/>
  <c r="D16978" i="2"/>
  <c r="F16978" i="2"/>
  <c r="G16978" i="2"/>
  <c r="H16978" i="2"/>
  <c r="J16978" i="2"/>
  <c r="K16978" i="2"/>
  <c r="L16978" i="2"/>
  <c r="C16979" i="2"/>
  <c r="D16979" i="2"/>
  <c r="F16979" i="2"/>
  <c r="G16979" i="2"/>
  <c r="H16979" i="2"/>
  <c r="J16979" i="2"/>
  <c r="K16979" i="2"/>
  <c r="L16979" i="2"/>
  <c r="C16980" i="2"/>
  <c r="D16980" i="2"/>
  <c r="F16980" i="2"/>
  <c r="G16980" i="2"/>
  <c r="H16980" i="2"/>
  <c r="J16980" i="2"/>
  <c r="K16980" i="2"/>
  <c r="L16980" i="2"/>
  <c r="C16981" i="2"/>
  <c r="D16981" i="2"/>
  <c r="F16981" i="2"/>
  <c r="G16981" i="2"/>
  <c r="H16981" i="2"/>
  <c r="J16981" i="2"/>
  <c r="K16981" i="2"/>
  <c r="L16981" i="2"/>
  <c r="C16982" i="2"/>
  <c r="D16982" i="2"/>
  <c r="F16982" i="2"/>
  <c r="G16982" i="2"/>
  <c r="H16982" i="2"/>
  <c r="J16982" i="2"/>
  <c r="K16982" i="2"/>
  <c r="L16982" i="2"/>
  <c r="C16983" i="2"/>
  <c r="D16983" i="2"/>
  <c r="F16983" i="2"/>
  <c r="G16983" i="2"/>
  <c r="H16983" i="2"/>
  <c r="J16983" i="2"/>
  <c r="K16983" i="2"/>
  <c r="L16983" i="2"/>
  <c r="C16984" i="2"/>
  <c r="D16984" i="2"/>
  <c r="F16984" i="2"/>
  <c r="G16984" i="2"/>
  <c r="H16984" i="2"/>
  <c r="J16984" i="2"/>
  <c r="K16984" i="2"/>
  <c r="L16984" i="2"/>
  <c r="C16985" i="2"/>
  <c r="D16985" i="2"/>
  <c r="F16985" i="2"/>
  <c r="G16985" i="2"/>
  <c r="H16985" i="2"/>
  <c r="J16985" i="2"/>
  <c r="K16985" i="2"/>
  <c r="L16985" i="2"/>
  <c r="C16986" i="2"/>
  <c r="D16986" i="2"/>
  <c r="F16986" i="2"/>
  <c r="G16986" i="2"/>
  <c r="H16986" i="2"/>
  <c r="J16986" i="2"/>
  <c r="K16986" i="2"/>
  <c r="L16986" i="2"/>
  <c r="C16987" i="2"/>
  <c r="D16987" i="2"/>
  <c r="F16987" i="2"/>
  <c r="G16987" i="2"/>
  <c r="H16987" i="2"/>
  <c r="J16987" i="2"/>
  <c r="K16987" i="2"/>
  <c r="L16987" i="2"/>
  <c r="C16988" i="2"/>
  <c r="D16988" i="2"/>
  <c r="F16988" i="2"/>
  <c r="G16988" i="2"/>
  <c r="H16988" i="2"/>
  <c r="J16988" i="2"/>
  <c r="K16988" i="2"/>
  <c r="L16988" i="2"/>
  <c r="C16989" i="2"/>
  <c r="D16989" i="2"/>
  <c r="F16989" i="2"/>
  <c r="G16989" i="2"/>
  <c r="H16989" i="2"/>
  <c r="J16989" i="2"/>
  <c r="K16989" i="2"/>
  <c r="L16989" i="2"/>
  <c r="C16990" i="2"/>
  <c r="D16990" i="2"/>
  <c r="F16990" i="2"/>
  <c r="G16990" i="2"/>
  <c r="H16990" i="2"/>
  <c r="J16990" i="2"/>
  <c r="K16990" i="2"/>
  <c r="L16990" i="2"/>
  <c r="C16991" i="2"/>
  <c r="D16991" i="2"/>
  <c r="F16991" i="2"/>
  <c r="G16991" i="2"/>
  <c r="H16991" i="2"/>
  <c r="J16991" i="2"/>
  <c r="K16991" i="2"/>
  <c r="L16991" i="2"/>
  <c r="C16992" i="2"/>
  <c r="D16992" i="2"/>
  <c r="F16992" i="2"/>
  <c r="G16992" i="2"/>
  <c r="H16992" i="2"/>
  <c r="J16992" i="2"/>
  <c r="K16992" i="2"/>
  <c r="L16992" i="2"/>
  <c r="C16993" i="2"/>
  <c r="D16993" i="2"/>
  <c r="F16993" i="2"/>
  <c r="G16993" i="2"/>
  <c r="H16993" i="2"/>
  <c r="J16993" i="2"/>
  <c r="K16993" i="2"/>
  <c r="L16993" i="2"/>
  <c r="C16994" i="2"/>
  <c r="D16994" i="2"/>
  <c r="F16994" i="2"/>
  <c r="G16994" i="2"/>
  <c r="H16994" i="2"/>
  <c r="J16994" i="2"/>
  <c r="K16994" i="2"/>
  <c r="L16994" i="2"/>
  <c r="C16995" i="2"/>
  <c r="D16995" i="2"/>
  <c r="F16995" i="2"/>
  <c r="G16995" i="2"/>
  <c r="H16995" i="2"/>
  <c r="J16995" i="2"/>
  <c r="K16995" i="2"/>
  <c r="L16995" i="2"/>
  <c r="C16996" i="2"/>
  <c r="D16996" i="2"/>
  <c r="F16996" i="2"/>
  <c r="G16996" i="2"/>
  <c r="H16996" i="2"/>
  <c r="J16996" i="2"/>
  <c r="K16996" i="2"/>
  <c r="L16996" i="2"/>
  <c r="C16997" i="2"/>
  <c r="D16997" i="2"/>
  <c r="F16997" i="2"/>
  <c r="G16997" i="2"/>
  <c r="H16997" i="2"/>
  <c r="J16997" i="2"/>
  <c r="K16997" i="2"/>
  <c r="L16997" i="2"/>
  <c r="C16998" i="2"/>
  <c r="D16998" i="2"/>
  <c r="F16998" i="2"/>
  <c r="G16998" i="2"/>
  <c r="H16998" i="2"/>
  <c r="J16998" i="2"/>
  <c r="K16998" i="2"/>
  <c r="L16998" i="2"/>
  <c r="C16999" i="2"/>
  <c r="D16999" i="2"/>
  <c r="F16999" i="2"/>
  <c r="G16999" i="2"/>
  <c r="H16999" i="2"/>
  <c r="J16999" i="2"/>
  <c r="K16999" i="2"/>
  <c r="L16999" i="2"/>
  <c r="C17000" i="2"/>
  <c r="D17000" i="2"/>
  <c r="F17000" i="2"/>
  <c r="G17000" i="2"/>
  <c r="H17000" i="2"/>
  <c r="J17000" i="2"/>
  <c r="K17000" i="2"/>
  <c r="L17000" i="2"/>
  <c r="C17001" i="2"/>
  <c r="D17001" i="2"/>
  <c r="F17001" i="2"/>
  <c r="G17001" i="2"/>
  <c r="H17001" i="2"/>
  <c r="J17001" i="2"/>
  <c r="K17001" i="2"/>
  <c r="L17001" i="2"/>
  <c r="C17002" i="2"/>
  <c r="D17002" i="2"/>
  <c r="F17002" i="2"/>
  <c r="G17002" i="2"/>
  <c r="H17002" i="2"/>
  <c r="J17002" i="2"/>
  <c r="K17002" i="2"/>
  <c r="L17002" i="2"/>
  <c r="C17003" i="2"/>
  <c r="D17003" i="2"/>
  <c r="F17003" i="2"/>
  <c r="G17003" i="2"/>
  <c r="H17003" i="2"/>
  <c r="J17003" i="2"/>
  <c r="K17003" i="2"/>
  <c r="L17003" i="2"/>
  <c r="C17004" i="2"/>
  <c r="D17004" i="2"/>
  <c r="F17004" i="2"/>
  <c r="G17004" i="2"/>
  <c r="H17004" i="2"/>
  <c r="J17004" i="2"/>
  <c r="K17004" i="2"/>
  <c r="L17004" i="2"/>
  <c r="C17005" i="2"/>
  <c r="D17005" i="2"/>
  <c r="F17005" i="2"/>
  <c r="G17005" i="2"/>
  <c r="H17005" i="2"/>
  <c r="J17005" i="2"/>
  <c r="K17005" i="2"/>
  <c r="L17005" i="2"/>
  <c r="C17006" i="2"/>
  <c r="D17006" i="2"/>
  <c r="F17006" i="2"/>
  <c r="G17006" i="2"/>
  <c r="H17006" i="2"/>
  <c r="J17006" i="2"/>
  <c r="K17006" i="2"/>
  <c r="L17006" i="2"/>
  <c r="C17007" i="2"/>
  <c r="D17007" i="2"/>
  <c r="F17007" i="2"/>
  <c r="G17007" i="2"/>
  <c r="H17007" i="2"/>
  <c r="J17007" i="2"/>
  <c r="K17007" i="2"/>
  <c r="L17007" i="2"/>
  <c r="C17008" i="2"/>
  <c r="D17008" i="2"/>
  <c r="F17008" i="2"/>
  <c r="G17008" i="2"/>
  <c r="H17008" i="2"/>
  <c r="J17008" i="2"/>
  <c r="K17008" i="2"/>
  <c r="L17008" i="2"/>
  <c r="C17009" i="2"/>
  <c r="D17009" i="2"/>
  <c r="F17009" i="2"/>
  <c r="G17009" i="2"/>
  <c r="H17009" i="2"/>
  <c r="J17009" i="2"/>
  <c r="K17009" i="2"/>
  <c r="L17009" i="2"/>
  <c r="C17010" i="2"/>
  <c r="D17010" i="2"/>
  <c r="F17010" i="2"/>
  <c r="G17010" i="2"/>
  <c r="H17010" i="2"/>
  <c r="J17010" i="2"/>
  <c r="K17010" i="2"/>
  <c r="L17010" i="2"/>
  <c r="C17011" i="2"/>
  <c r="D17011" i="2"/>
  <c r="F17011" i="2"/>
  <c r="G17011" i="2"/>
  <c r="H17011" i="2"/>
  <c r="J17011" i="2"/>
  <c r="K17011" i="2"/>
  <c r="L17011" i="2"/>
  <c r="C17012" i="2"/>
  <c r="D17012" i="2"/>
  <c r="F17012" i="2"/>
  <c r="G17012" i="2"/>
  <c r="H17012" i="2"/>
  <c r="J17012" i="2"/>
  <c r="K17012" i="2"/>
  <c r="L17012" i="2"/>
  <c r="C17013" i="2"/>
  <c r="D17013" i="2"/>
  <c r="F17013" i="2"/>
  <c r="G17013" i="2"/>
  <c r="H17013" i="2"/>
  <c r="J17013" i="2"/>
  <c r="K17013" i="2"/>
  <c r="L17013" i="2"/>
  <c r="C17014" i="2"/>
  <c r="D17014" i="2"/>
  <c r="F17014" i="2"/>
  <c r="G17014" i="2"/>
  <c r="H17014" i="2"/>
  <c r="J17014" i="2"/>
  <c r="K17014" i="2"/>
  <c r="L17014" i="2"/>
  <c r="C17015" i="2"/>
  <c r="D17015" i="2"/>
  <c r="F17015" i="2"/>
  <c r="G17015" i="2"/>
  <c r="H17015" i="2"/>
  <c r="J17015" i="2"/>
  <c r="K17015" i="2"/>
  <c r="L17015" i="2"/>
  <c r="C17016" i="2"/>
  <c r="D17016" i="2"/>
  <c r="F17016" i="2"/>
  <c r="G17016" i="2"/>
  <c r="H17016" i="2"/>
  <c r="J17016" i="2"/>
  <c r="K17016" i="2"/>
  <c r="L17016" i="2"/>
  <c r="C17017" i="2"/>
  <c r="D17017" i="2"/>
  <c r="F17017" i="2"/>
  <c r="G17017" i="2"/>
  <c r="H17017" i="2"/>
  <c r="J17017" i="2"/>
  <c r="K17017" i="2"/>
  <c r="L17017" i="2"/>
  <c r="C17018" i="2"/>
  <c r="D17018" i="2"/>
  <c r="F17018" i="2"/>
  <c r="G17018" i="2"/>
  <c r="H17018" i="2"/>
  <c r="J17018" i="2"/>
  <c r="K17018" i="2"/>
  <c r="L17018" i="2"/>
  <c r="C17019" i="2"/>
  <c r="D17019" i="2"/>
  <c r="F17019" i="2"/>
  <c r="G17019" i="2"/>
  <c r="H17019" i="2"/>
  <c r="J17019" i="2"/>
  <c r="K17019" i="2"/>
  <c r="L17019" i="2"/>
  <c r="C17020" i="2"/>
  <c r="D17020" i="2"/>
  <c r="F17020" i="2"/>
  <c r="G17020" i="2"/>
  <c r="H17020" i="2"/>
  <c r="J17020" i="2"/>
  <c r="K17020" i="2"/>
  <c r="L17020" i="2"/>
  <c r="C17021" i="2"/>
  <c r="D17021" i="2"/>
  <c r="F17021" i="2"/>
  <c r="G17021" i="2"/>
  <c r="H17021" i="2"/>
  <c r="J17021" i="2"/>
  <c r="K17021" i="2"/>
  <c r="L17021" i="2"/>
  <c r="C17022" i="2"/>
  <c r="D17022" i="2"/>
  <c r="F17022" i="2"/>
  <c r="G17022" i="2"/>
  <c r="H17022" i="2"/>
  <c r="J17022" i="2"/>
  <c r="K17022" i="2"/>
  <c r="L17022" i="2"/>
  <c r="C17023" i="2"/>
  <c r="D17023" i="2"/>
  <c r="F17023" i="2"/>
  <c r="G17023" i="2"/>
  <c r="H17023" i="2"/>
  <c r="J17023" i="2"/>
  <c r="K17023" i="2"/>
  <c r="L17023" i="2"/>
  <c r="C17024" i="2"/>
  <c r="D17024" i="2"/>
  <c r="F17024" i="2"/>
  <c r="G17024" i="2"/>
  <c r="H17024" i="2"/>
  <c r="J17024" i="2"/>
  <c r="K17024" i="2"/>
  <c r="L17024" i="2"/>
  <c r="C17025" i="2"/>
  <c r="D17025" i="2"/>
  <c r="F17025" i="2"/>
  <c r="G17025" i="2"/>
  <c r="H17025" i="2"/>
  <c r="J17025" i="2"/>
  <c r="K17025" i="2"/>
  <c r="L17025" i="2"/>
  <c r="C17026" i="2"/>
  <c r="D17026" i="2"/>
  <c r="F17026" i="2"/>
  <c r="G17026" i="2"/>
  <c r="H17026" i="2"/>
  <c r="J17026" i="2"/>
  <c r="K17026" i="2"/>
  <c r="L17026" i="2"/>
  <c r="C17027" i="2"/>
  <c r="D17027" i="2"/>
  <c r="F17027" i="2"/>
  <c r="G17027" i="2"/>
  <c r="H17027" i="2"/>
  <c r="J17027" i="2"/>
  <c r="K17027" i="2"/>
  <c r="L17027" i="2"/>
  <c r="C17028" i="2"/>
  <c r="D17028" i="2"/>
  <c r="F17028" i="2"/>
  <c r="G17028" i="2"/>
  <c r="H17028" i="2"/>
  <c r="J17028" i="2"/>
  <c r="K17028" i="2"/>
  <c r="L17028" i="2"/>
  <c r="C17029" i="2"/>
  <c r="D17029" i="2"/>
  <c r="F17029" i="2"/>
  <c r="G17029" i="2"/>
  <c r="H17029" i="2"/>
  <c r="J17029" i="2"/>
  <c r="K17029" i="2"/>
  <c r="L17029" i="2"/>
  <c r="C17030" i="2"/>
  <c r="D17030" i="2"/>
  <c r="F17030" i="2"/>
  <c r="G17030" i="2"/>
  <c r="H17030" i="2"/>
  <c r="J17030" i="2"/>
  <c r="K17030" i="2"/>
  <c r="L17030" i="2"/>
  <c r="C17031" i="2"/>
  <c r="D17031" i="2"/>
  <c r="F17031" i="2"/>
  <c r="G17031" i="2"/>
  <c r="H17031" i="2"/>
  <c r="J17031" i="2"/>
  <c r="K17031" i="2"/>
  <c r="L17031" i="2"/>
  <c r="C17032" i="2"/>
  <c r="D17032" i="2"/>
  <c r="F17032" i="2"/>
  <c r="G17032" i="2"/>
  <c r="H17032" i="2"/>
  <c r="J17032" i="2"/>
  <c r="K17032" i="2"/>
  <c r="L17032" i="2"/>
  <c r="C17033" i="2"/>
  <c r="D17033" i="2"/>
  <c r="F17033" i="2"/>
  <c r="G17033" i="2"/>
  <c r="H17033" i="2"/>
  <c r="J17033" i="2"/>
  <c r="K17033" i="2"/>
  <c r="L17033" i="2"/>
  <c r="C17034" i="2"/>
  <c r="D17034" i="2"/>
  <c r="F17034" i="2"/>
  <c r="G17034" i="2"/>
  <c r="H17034" i="2"/>
  <c r="J17034" i="2"/>
  <c r="K17034" i="2"/>
  <c r="L17034" i="2"/>
  <c r="C17035" i="2"/>
  <c r="D17035" i="2"/>
  <c r="F17035" i="2"/>
  <c r="G17035" i="2"/>
  <c r="H17035" i="2"/>
  <c r="J17035" i="2"/>
  <c r="K17035" i="2"/>
  <c r="L17035" i="2"/>
  <c r="C17036" i="2"/>
  <c r="D17036" i="2"/>
  <c r="F17036" i="2"/>
  <c r="G17036" i="2"/>
  <c r="H17036" i="2"/>
  <c r="J17036" i="2"/>
  <c r="K17036" i="2"/>
  <c r="L17036" i="2"/>
  <c r="C17037" i="2"/>
  <c r="D17037" i="2"/>
  <c r="F17037" i="2"/>
  <c r="G17037" i="2"/>
  <c r="H17037" i="2"/>
  <c r="J17037" i="2"/>
  <c r="K17037" i="2"/>
  <c r="L17037" i="2"/>
  <c r="C17038" i="2"/>
  <c r="D17038" i="2"/>
  <c r="F17038" i="2"/>
  <c r="G17038" i="2"/>
  <c r="H17038" i="2"/>
  <c r="J17038" i="2"/>
  <c r="K17038" i="2"/>
  <c r="L17038" i="2"/>
  <c r="C17039" i="2"/>
  <c r="D17039" i="2"/>
  <c r="F17039" i="2"/>
  <c r="G17039" i="2"/>
  <c r="H17039" i="2"/>
  <c r="J17039" i="2"/>
  <c r="K17039" i="2"/>
  <c r="L17039" i="2"/>
  <c r="C17040" i="2"/>
  <c r="D17040" i="2"/>
  <c r="F17040" i="2"/>
  <c r="G17040" i="2"/>
  <c r="H17040" i="2"/>
  <c r="J17040" i="2"/>
  <c r="K17040" i="2"/>
  <c r="L17040" i="2"/>
  <c r="C17041" i="2"/>
  <c r="D17041" i="2"/>
  <c r="F17041" i="2"/>
  <c r="G17041" i="2"/>
  <c r="H17041" i="2"/>
  <c r="J17041" i="2"/>
  <c r="K17041" i="2"/>
  <c r="L17041" i="2"/>
  <c r="C17042" i="2"/>
  <c r="D17042" i="2"/>
  <c r="F17042" i="2"/>
  <c r="G17042" i="2"/>
  <c r="H17042" i="2"/>
  <c r="J17042" i="2"/>
  <c r="K17042" i="2"/>
  <c r="L17042" i="2"/>
  <c r="C17043" i="2"/>
  <c r="D17043" i="2"/>
  <c r="F17043" i="2"/>
  <c r="G17043" i="2"/>
  <c r="H17043" i="2"/>
  <c r="J17043" i="2"/>
  <c r="K17043" i="2"/>
  <c r="L17043" i="2"/>
  <c r="C17044" i="2"/>
  <c r="D17044" i="2"/>
  <c r="F17044" i="2"/>
  <c r="G17044" i="2"/>
  <c r="H17044" i="2"/>
  <c r="J17044" i="2"/>
  <c r="K17044" i="2"/>
  <c r="L17044" i="2"/>
  <c r="C17045" i="2"/>
  <c r="D17045" i="2"/>
  <c r="F17045" i="2"/>
  <c r="G17045" i="2"/>
  <c r="H17045" i="2"/>
  <c r="J17045" i="2"/>
  <c r="K17045" i="2"/>
  <c r="L17045" i="2"/>
  <c r="C17046" i="2"/>
  <c r="D17046" i="2"/>
  <c r="F17046" i="2"/>
  <c r="G17046" i="2"/>
  <c r="H17046" i="2"/>
  <c r="J17046" i="2"/>
  <c r="K17046" i="2"/>
  <c r="L17046" i="2"/>
  <c r="C17047" i="2"/>
  <c r="D17047" i="2"/>
  <c r="F17047" i="2"/>
  <c r="G17047" i="2"/>
  <c r="H17047" i="2"/>
  <c r="J17047" i="2"/>
  <c r="K17047" i="2"/>
  <c r="L17047" i="2"/>
  <c r="C17048" i="2"/>
  <c r="D17048" i="2"/>
  <c r="F17048" i="2"/>
  <c r="G17048" i="2"/>
  <c r="H17048" i="2"/>
  <c r="J17048" i="2"/>
  <c r="K17048" i="2"/>
  <c r="L17048" i="2"/>
  <c r="C17049" i="2"/>
  <c r="D17049" i="2"/>
  <c r="F17049" i="2"/>
  <c r="G17049" i="2"/>
  <c r="H17049" i="2"/>
  <c r="J17049" i="2"/>
  <c r="K17049" i="2"/>
  <c r="L17049" i="2"/>
  <c r="C17050" i="2"/>
  <c r="D17050" i="2"/>
  <c r="F17050" i="2"/>
  <c r="G17050" i="2"/>
  <c r="H17050" i="2"/>
  <c r="J17050" i="2"/>
  <c r="K17050" i="2"/>
  <c r="L17050" i="2"/>
  <c r="C17051" i="2"/>
  <c r="D17051" i="2"/>
  <c r="F17051" i="2"/>
  <c r="G17051" i="2"/>
  <c r="H17051" i="2"/>
  <c r="J17051" i="2"/>
  <c r="K17051" i="2"/>
  <c r="L17051" i="2"/>
  <c r="C17052" i="2"/>
  <c r="D17052" i="2"/>
  <c r="F17052" i="2"/>
  <c r="G17052" i="2"/>
  <c r="H17052" i="2"/>
  <c r="J17052" i="2"/>
  <c r="K17052" i="2"/>
  <c r="L17052" i="2"/>
  <c r="C17053" i="2"/>
  <c r="D17053" i="2"/>
  <c r="F17053" i="2"/>
  <c r="G17053" i="2"/>
  <c r="H17053" i="2"/>
  <c r="J17053" i="2"/>
  <c r="K17053" i="2"/>
  <c r="L17053" i="2"/>
  <c r="C17054" i="2"/>
  <c r="D17054" i="2"/>
  <c r="F17054" i="2"/>
  <c r="G17054" i="2"/>
  <c r="H17054" i="2"/>
  <c r="J17054" i="2"/>
  <c r="K17054" i="2"/>
  <c r="L17054" i="2"/>
  <c r="C17055" i="2"/>
  <c r="D17055" i="2"/>
  <c r="F17055" i="2"/>
  <c r="G17055" i="2"/>
  <c r="H17055" i="2"/>
  <c r="J17055" i="2"/>
  <c r="K17055" i="2"/>
  <c r="L17055" i="2"/>
  <c r="C17056" i="2"/>
  <c r="D17056" i="2"/>
  <c r="F17056" i="2"/>
  <c r="G17056" i="2"/>
  <c r="H17056" i="2"/>
  <c r="J17056" i="2"/>
  <c r="K17056" i="2"/>
  <c r="L17056" i="2"/>
  <c r="C17057" i="2"/>
  <c r="D17057" i="2"/>
  <c r="F17057" i="2"/>
  <c r="G17057" i="2"/>
  <c r="H17057" i="2"/>
  <c r="J17057" i="2"/>
  <c r="K17057" i="2"/>
  <c r="L17057" i="2"/>
  <c r="C17058" i="2"/>
  <c r="D17058" i="2"/>
  <c r="F17058" i="2"/>
  <c r="G17058" i="2"/>
  <c r="H17058" i="2"/>
  <c r="J17058" i="2"/>
  <c r="K17058" i="2"/>
  <c r="L17058" i="2"/>
  <c r="C17059" i="2"/>
  <c r="D17059" i="2"/>
  <c r="F17059" i="2"/>
  <c r="G17059" i="2"/>
  <c r="H17059" i="2"/>
  <c r="J17059" i="2"/>
  <c r="K17059" i="2"/>
  <c r="L17059" i="2"/>
  <c r="C17060" i="2"/>
  <c r="D17060" i="2"/>
  <c r="F17060" i="2"/>
  <c r="G17060" i="2"/>
  <c r="H17060" i="2"/>
  <c r="J17060" i="2"/>
  <c r="K17060" i="2"/>
  <c r="L17060" i="2"/>
  <c r="C17061" i="2"/>
  <c r="D17061" i="2"/>
  <c r="F17061" i="2"/>
  <c r="G17061" i="2"/>
  <c r="H17061" i="2"/>
  <c r="J17061" i="2"/>
  <c r="K17061" i="2"/>
  <c r="L17061" i="2"/>
  <c r="C17062" i="2"/>
  <c r="D17062" i="2"/>
  <c r="F17062" i="2"/>
  <c r="G17062" i="2"/>
  <c r="H17062" i="2"/>
  <c r="J17062" i="2"/>
  <c r="K17062" i="2"/>
  <c r="L17062" i="2"/>
  <c r="C17063" i="2"/>
  <c r="D17063" i="2"/>
  <c r="F17063" i="2"/>
  <c r="G17063" i="2"/>
  <c r="H17063" i="2"/>
  <c r="J17063" i="2"/>
  <c r="K17063" i="2"/>
  <c r="L17063" i="2"/>
  <c r="C17064" i="2"/>
  <c r="D17064" i="2"/>
  <c r="F17064" i="2"/>
  <c r="G17064" i="2"/>
  <c r="H17064" i="2"/>
  <c r="J17064" i="2"/>
  <c r="K17064" i="2"/>
  <c r="L17064" i="2"/>
  <c r="C17065" i="2"/>
  <c r="D17065" i="2"/>
  <c r="F17065" i="2"/>
  <c r="G17065" i="2"/>
  <c r="H17065" i="2"/>
  <c r="J17065" i="2"/>
  <c r="K17065" i="2"/>
  <c r="L17065" i="2"/>
  <c r="C17066" i="2"/>
  <c r="D17066" i="2"/>
  <c r="F17066" i="2"/>
  <c r="G17066" i="2"/>
  <c r="H17066" i="2"/>
  <c r="J17066" i="2"/>
  <c r="K17066" i="2"/>
  <c r="L17066" i="2"/>
  <c r="C17067" i="2"/>
  <c r="D17067" i="2"/>
  <c r="F17067" i="2"/>
  <c r="G17067" i="2"/>
  <c r="H17067" i="2"/>
  <c r="J17067" i="2"/>
  <c r="K17067" i="2"/>
  <c r="L17067" i="2"/>
  <c r="C17068" i="2"/>
  <c r="D17068" i="2"/>
  <c r="F17068" i="2"/>
  <c r="G17068" i="2"/>
  <c r="H17068" i="2"/>
  <c r="J17068" i="2"/>
  <c r="K17068" i="2"/>
  <c r="L17068" i="2"/>
  <c r="C17069" i="2"/>
  <c r="D17069" i="2"/>
  <c r="F17069" i="2"/>
  <c r="G17069" i="2"/>
  <c r="H17069" i="2"/>
  <c r="J17069" i="2"/>
  <c r="K17069" i="2"/>
  <c r="L17069" i="2"/>
  <c r="C17070" i="2"/>
  <c r="D17070" i="2"/>
  <c r="F17070" i="2"/>
  <c r="G17070" i="2"/>
  <c r="H17070" i="2"/>
  <c r="J17070" i="2"/>
  <c r="K17070" i="2"/>
  <c r="L17070" i="2"/>
  <c r="C17071" i="2"/>
  <c r="D17071" i="2"/>
  <c r="F17071" i="2"/>
  <c r="G17071" i="2"/>
  <c r="H17071" i="2"/>
  <c r="J17071" i="2"/>
  <c r="K17071" i="2"/>
  <c r="L17071" i="2"/>
  <c r="C17072" i="2"/>
  <c r="D17072" i="2"/>
  <c r="F17072" i="2"/>
  <c r="G17072" i="2"/>
  <c r="H17072" i="2"/>
  <c r="J17072" i="2"/>
  <c r="K17072" i="2"/>
  <c r="L17072" i="2"/>
  <c r="C17073" i="2"/>
  <c r="D17073" i="2"/>
  <c r="F17073" i="2"/>
  <c r="G17073" i="2"/>
  <c r="H17073" i="2"/>
  <c r="J17073" i="2"/>
  <c r="K17073" i="2"/>
  <c r="L17073" i="2"/>
  <c r="C17074" i="2"/>
  <c r="D17074" i="2"/>
  <c r="E17074" i="2"/>
  <c r="F17074" i="2"/>
  <c r="G17074" i="2"/>
  <c r="H17074" i="2"/>
  <c r="J17074" i="2"/>
  <c r="K17074" i="2"/>
  <c r="L17074" i="2"/>
  <c r="C17075" i="2"/>
  <c r="D17075" i="2"/>
  <c r="F17075" i="2"/>
  <c r="G17075" i="2"/>
  <c r="H17075" i="2"/>
  <c r="J17075" i="2"/>
  <c r="K17075" i="2"/>
  <c r="L17075" i="2"/>
  <c r="C17076" i="2"/>
  <c r="D17076" i="2"/>
  <c r="F17076" i="2"/>
  <c r="G17076" i="2"/>
  <c r="H17076" i="2"/>
  <c r="J17076" i="2"/>
  <c r="K17076" i="2"/>
  <c r="L17076" i="2"/>
  <c r="C17077" i="2"/>
  <c r="D17077" i="2"/>
  <c r="F17077" i="2"/>
  <c r="G17077" i="2"/>
  <c r="H17077" i="2"/>
  <c r="J17077" i="2"/>
  <c r="K17077" i="2"/>
  <c r="L17077" i="2"/>
  <c r="C17078" i="2"/>
  <c r="D17078" i="2"/>
  <c r="F17078" i="2"/>
  <c r="G17078" i="2"/>
  <c r="H17078" i="2"/>
  <c r="J17078" i="2"/>
  <c r="K17078" i="2"/>
  <c r="L17078" i="2"/>
  <c r="C17079" i="2"/>
  <c r="D17079" i="2"/>
  <c r="F17079" i="2"/>
  <c r="G17079" i="2"/>
  <c r="H17079" i="2"/>
  <c r="J17079" i="2"/>
  <c r="K17079" i="2"/>
  <c r="L17079" i="2"/>
  <c r="C17080" i="2"/>
  <c r="D17080" i="2"/>
  <c r="F17080" i="2"/>
  <c r="G17080" i="2"/>
  <c r="H17080" i="2"/>
  <c r="J17080" i="2"/>
  <c r="K17080" i="2"/>
  <c r="L17080" i="2"/>
  <c r="C17081" i="2"/>
  <c r="D17081" i="2"/>
  <c r="F17081" i="2"/>
  <c r="G17081" i="2"/>
  <c r="H17081" i="2"/>
  <c r="J17081" i="2"/>
  <c r="K17081" i="2"/>
  <c r="L17081" i="2"/>
  <c r="C17082" i="2"/>
  <c r="D17082" i="2"/>
  <c r="F17082" i="2"/>
  <c r="G17082" i="2"/>
  <c r="H17082" i="2"/>
  <c r="J17082" i="2"/>
  <c r="K17082" i="2"/>
  <c r="L17082" i="2"/>
  <c r="C17083" i="2"/>
  <c r="D17083" i="2"/>
  <c r="F17083" i="2"/>
  <c r="G17083" i="2"/>
  <c r="H17083" i="2"/>
  <c r="J17083" i="2"/>
  <c r="K17083" i="2"/>
  <c r="L17083" i="2"/>
  <c r="C17084" i="2"/>
  <c r="D17084" i="2"/>
  <c r="F17084" i="2"/>
  <c r="G17084" i="2"/>
  <c r="H17084" i="2"/>
  <c r="J17084" i="2"/>
  <c r="K17084" i="2"/>
  <c r="L17084" i="2"/>
  <c r="C17085" i="2"/>
  <c r="D17085" i="2"/>
  <c r="F17085" i="2"/>
  <c r="G17085" i="2"/>
  <c r="H17085" i="2"/>
  <c r="J17085" i="2"/>
  <c r="K17085" i="2"/>
  <c r="L17085" i="2"/>
  <c r="C17086" i="2"/>
  <c r="D17086" i="2"/>
  <c r="F17086" i="2"/>
  <c r="G17086" i="2"/>
  <c r="H17086" i="2"/>
  <c r="J17086" i="2"/>
  <c r="K17086" i="2"/>
  <c r="L17086" i="2"/>
  <c r="C17087" i="2"/>
  <c r="D17087" i="2"/>
  <c r="F17087" i="2"/>
  <c r="G17087" i="2"/>
  <c r="H17087" i="2"/>
  <c r="J17087" i="2"/>
  <c r="K17087" i="2"/>
  <c r="L17087" i="2"/>
  <c r="C17088" i="2"/>
  <c r="D17088" i="2"/>
  <c r="F17088" i="2"/>
  <c r="G17088" i="2"/>
  <c r="H17088" i="2"/>
  <c r="J17088" i="2"/>
  <c r="K17088" i="2"/>
  <c r="L17088" i="2"/>
  <c r="C17089" i="2"/>
  <c r="D17089" i="2"/>
  <c r="F17089" i="2"/>
  <c r="G17089" i="2"/>
  <c r="H17089" i="2"/>
  <c r="J17089" i="2"/>
  <c r="K17089" i="2"/>
  <c r="L17089" i="2"/>
  <c r="C17090" i="2"/>
  <c r="D17090" i="2"/>
  <c r="F17090" i="2"/>
  <c r="G17090" i="2"/>
  <c r="H17090" i="2"/>
  <c r="J17090" i="2"/>
  <c r="K17090" i="2"/>
  <c r="L17090" i="2"/>
  <c r="C17091" i="2"/>
  <c r="D17091" i="2"/>
  <c r="F17091" i="2"/>
  <c r="G17091" i="2"/>
  <c r="H17091" i="2"/>
  <c r="J17091" i="2"/>
  <c r="K17091" i="2"/>
  <c r="L17091" i="2"/>
  <c r="C17092" i="2"/>
  <c r="D17092" i="2"/>
  <c r="F17092" i="2"/>
  <c r="G17092" i="2"/>
  <c r="H17092" i="2"/>
  <c r="J17092" i="2"/>
  <c r="K17092" i="2"/>
  <c r="L17092" i="2"/>
  <c r="C17093" i="2"/>
  <c r="D17093" i="2"/>
  <c r="F17093" i="2"/>
  <c r="G17093" i="2"/>
  <c r="H17093" i="2"/>
  <c r="J17093" i="2"/>
  <c r="K17093" i="2"/>
  <c r="L17093" i="2"/>
  <c r="C17094" i="2"/>
  <c r="D17094" i="2"/>
  <c r="F17094" i="2"/>
  <c r="G17094" i="2"/>
  <c r="H17094" i="2"/>
  <c r="J17094" i="2"/>
  <c r="K17094" i="2"/>
  <c r="L17094" i="2"/>
  <c r="C17095" i="2"/>
  <c r="D17095" i="2"/>
  <c r="F17095" i="2"/>
  <c r="G17095" i="2"/>
  <c r="H17095" i="2"/>
  <c r="J17095" i="2"/>
  <c r="K17095" i="2"/>
  <c r="L17095" i="2"/>
  <c r="C17096" i="2"/>
  <c r="D17096" i="2"/>
  <c r="F17096" i="2"/>
  <c r="G17096" i="2"/>
  <c r="H17096" i="2"/>
  <c r="J17096" i="2"/>
  <c r="K17096" i="2"/>
  <c r="L17096" i="2"/>
  <c r="C17097" i="2"/>
  <c r="D17097" i="2"/>
  <c r="F17097" i="2"/>
  <c r="G17097" i="2"/>
  <c r="H17097" i="2"/>
  <c r="J17097" i="2"/>
  <c r="K17097" i="2"/>
  <c r="L17097" i="2"/>
  <c r="C17098" i="2"/>
  <c r="D17098" i="2"/>
  <c r="F17098" i="2"/>
  <c r="G17098" i="2"/>
  <c r="H17098" i="2"/>
  <c r="J17098" i="2"/>
  <c r="K17098" i="2"/>
  <c r="L17098" i="2"/>
  <c r="C17099" i="2"/>
  <c r="D17099" i="2"/>
  <c r="F17099" i="2"/>
  <c r="G17099" i="2"/>
  <c r="H17099" i="2"/>
  <c r="J17099" i="2"/>
  <c r="K17099" i="2"/>
  <c r="L17099" i="2"/>
  <c r="C17100" i="2"/>
  <c r="D17100" i="2"/>
  <c r="F17100" i="2"/>
  <c r="G17100" i="2"/>
  <c r="H17100" i="2"/>
  <c r="J17100" i="2"/>
  <c r="K17100" i="2"/>
  <c r="L17100" i="2"/>
  <c r="C17101" i="2"/>
  <c r="D17101" i="2"/>
  <c r="F17101" i="2"/>
  <c r="G17101" i="2"/>
  <c r="H17101" i="2"/>
  <c r="J17101" i="2"/>
  <c r="K17101" i="2"/>
  <c r="L17101" i="2"/>
  <c r="C17102" i="2"/>
  <c r="D17102" i="2"/>
  <c r="F17102" i="2"/>
  <c r="G17102" i="2"/>
  <c r="H17102" i="2"/>
  <c r="J17102" i="2"/>
  <c r="K17102" i="2"/>
  <c r="L17102" i="2"/>
  <c r="C17103" i="2"/>
  <c r="D17103" i="2"/>
  <c r="E17103" i="2"/>
  <c r="F17103" i="2"/>
  <c r="G17103" i="2"/>
  <c r="H17103" i="2"/>
  <c r="J17103" i="2"/>
  <c r="K17103" i="2"/>
  <c r="L17103" i="2"/>
  <c r="C17104" i="2"/>
  <c r="D17104" i="2"/>
  <c r="F17104" i="2"/>
  <c r="G17104" i="2"/>
  <c r="H17104" i="2"/>
  <c r="J17104" i="2"/>
  <c r="K17104" i="2"/>
  <c r="L17104" i="2"/>
  <c r="C17105" i="2"/>
  <c r="D17105" i="2"/>
  <c r="F17105" i="2"/>
  <c r="G17105" i="2"/>
  <c r="H17105" i="2"/>
  <c r="J17105" i="2"/>
  <c r="K17105" i="2"/>
  <c r="L17105" i="2"/>
  <c r="C17106" i="2"/>
  <c r="D17106" i="2"/>
  <c r="F17106" i="2"/>
  <c r="G17106" i="2"/>
  <c r="H17106" i="2"/>
  <c r="J17106" i="2"/>
  <c r="K17106" i="2"/>
  <c r="L17106" i="2"/>
  <c r="C17107" i="2"/>
  <c r="D17107" i="2"/>
  <c r="F17107" i="2"/>
  <c r="G17107" i="2"/>
  <c r="H17107" i="2"/>
  <c r="J17107" i="2"/>
  <c r="K17107" i="2"/>
  <c r="L17107" i="2"/>
  <c r="C17108" i="2"/>
  <c r="D17108" i="2"/>
  <c r="F17108" i="2"/>
  <c r="G17108" i="2"/>
  <c r="H17108" i="2"/>
  <c r="J17108" i="2"/>
  <c r="K17108" i="2"/>
  <c r="L17108" i="2"/>
  <c r="C17109" i="2"/>
  <c r="D17109" i="2"/>
  <c r="F17109" i="2"/>
  <c r="G17109" i="2"/>
  <c r="H17109" i="2"/>
  <c r="J17109" i="2"/>
  <c r="K17109" i="2"/>
  <c r="L17109" i="2"/>
  <c r="C17110" i="2"/>
  <c r="D17110" i="2"/>
  <c r="F17110" i="2"/>
  <c r="G17110" i="2"/>
  <c r="H17110" i="2"/>
  <c r="J17110" i="2"/>
  <c r="K17110" i="2"/>
  <c r="L17110" i="2"/>
  <c r="C17111" i="2"/>
  <c r="D17111" i="2"/>
  <c r="F17111" i="2"/>
  <c r="G17111" i="2"/>
  <c r="H17111" i="2"/>
  <c r="J17111" i="2"/>
  <c r="K17111" i="2"/>
  <c r="L17111" i="2"/>
  <c r="C17112" i="2"/>
  <c r="D17112" i="2"/>
  <c r="F17112" i="2"/>
  <c r="G17112" i="2"/>
  <c r="H17112" i="2"/>
  <c r="J17112" i="2"/>
  <c r="K17112" i="2"/>
  <c r="L17112" i="2"/>
  <c r="C17113" i="2"/>
  <c r="D17113" i="2"/>
  <c r="F17113" i="2"/>
  <c r="G17113" i="2"/>
  <c r="H17113" i="2"/>
  <c r="J17113" i="2"/>
  <c r="K17113" i="2"/>
  <c r="L17113" i="2"/>
  <c r="C17114" i="2"/>
  <c r="D17114" i="2"/>
  <c r="F17114" i="2"/>
  <c r="G17114" i="2"/>
  <c r="H17114" i="2"/>
  <c r="J17114" i="2"/>
  <c r="K17114" i="2"/>
  <c r="L17114" i="2"/>
  <c r="C17115" i="2"/>
  <c r="D17115" i="2"/>
  <c r="F17115" i="2"/>
  <c r="G17115" i="2"/>
  <c r="H17115" i="2"/>
  <c r="J17115" i="2"/>
  <c r="K17115" i="2"/>
  <c r="L17115" i="2"/>
  <c r="C17116" i="2"/>
  <c r="D17116" i="2"/>
  <c r="F17116" i="2"/>
  <c r="G17116" i="2"/>
  <c r="H17116" i="2"/>
  <c r="J17116" i="2"/>
  <c r="K17116" i="2"/>
  <c r="L17116" i="2"/>
  <c r="C17117" i="2"/>
  <c r="D17117" i="2"/>
  <c r="F17117" i="2"/>
  <c r="G17117" i="2"/>
  <c r="H17117" i="2"/>
  <c r="J17117" i="2"/>
  <c r="K17117" i="2"/>
  <c r="L17117" i="2"/>
  <c r="C17118" i="2"/>
  <c r="D17118" i="2"/>
  <c r="F17118" i="2"/>
  <c r="G17118" i="2"/>
  <c r="H17118" i="2"/>
  <c r="J17118" i="2"/>
  <c r="K17118" i="2"/>
  <c r="L17118" i="2"/>
  <c r="C17119" i="2"/>
  <c r="D17119" i="2"/>
  <c r="F17119" i="2"/>
  <c r="G17119" i="2"/>
  <c r="H17119" i="2"/>
  <c r="J17119" i="2"/>
  <c r="K17119" i="2"/>
  <c r="L17119" i="2"/>
  <c r="C17120" i="2"/>
  <c r="D17120" i="2"/>
  <c r="F17120" i="2"/>
  <c r="G17120" i="2"/>
  <c r="H17120" i="2"/>
  <c r="J17120" i="2"/>
  <c r="K17120" i="2"/>
  <c r="L17120" i="2"/>
  <c r="C17121" i="2"/>
  <c r="D17121" i="2"/>
  <c r="F17121" i="2"/>
  <c r="G17121" i="2"/>
  <c r="H17121" i="2"/>
  <c r="J17121" i="2"/>
  <c r="K17121" i="2"/>
  <c r="L17121" i="2"/>
  <c r="C17122" i="2"/>
  <c r="D17122" i="2"/>
  <c r="F17122" i="2"/>
  <c r="G17122" i="2"/>
  <c r="H17122" i="2"/>
  <c r="J17122" i="2"/>
  <c r="K17122" i="2"/>
  <c r="L17122" i="2"/>
  <c r="C17123" i="2"/>
  <c r="D17123" i="2"/>
  <c r="F17123" i="2"/>
  <c r="G17123" i="2"/>
  <c r="H17123" i="2"/>
  <c r="J17123" i="2"/>
  <c r="K17123" i="2"/>
  <c r="L17123" i="2"/>
  <c r="C17124" i="2"/>
  <c r="D17124" i="2"/>
  <c r="F17124" i="2"/>
  <c r="G17124" i="2"/>
  <c r="H17124" i="2"/>
  <c r="J17124" i="2"/>
  <c r="K17124" i="2"/>
  <c r="L17124" i="2"/>
  <c r="C17125" i="2"/>
  <c r="D17125" i="2"/>
  <c r="F17125" i="2"/>
  <c r="G17125" i="2"/>
  <c r="H17125" i="2"/>
  <c r="J17125" i="2"/>
  <c r="K17125" i="2"/>
  <c r="L17125" i="2"/>
  <c r="C17126" i="2"/>
  <c r="D17126" i="2"/>
  <c r="F17126" i="2"/>
  <c r="G17126" i="2"/>
  <c r="H17126" i="2"/>
  <c r="J17126" i="2"/>
  <c r="K17126" i="2"/>
  <c r="L17126" i="2"/>
  <c r="C17127" i="2"/>
  <c r="D17127" i="2"/>
  <c r="F17127" i="2"/>
  <c r="G17127" i="2"/>
  <c r="H17127" i="2"/>
  <c r="J17127" i="2"/>
  <c r="K17127" i="2"/>
  <c r="L17127" i="2"/>
  <c r="C17128" i="2"/>
  <c r="D17128" i="2"/>
  <c r="F17128" i="2"/>
  <c r="G17128" i="2"/>
  <c r="H17128" i="2"/>
  <c r="J17128" i="2"/>
  <c r="K17128" i="2"/>
  <c r="L17128" i="2"/>
  <c r="C17129" i="2"/>
  <c r="D17129" i="2"/>
  <c r="F17129" i="2"/>
  <c r="G17129" i="2"/>
  <c r="H17129" i="2"/>
  <c r="J17129" i="2"/>
  <c r="K17129" i="2"/>
  <c r="L17129" i="2"/>
  <c r="C17130" i="2"/>
  <c r="D17130" i="2"/>
  <c r="F17130" i="2"/>
  <c r="G17130" i="2"/>
  <c r="H17130" i="2"/>
  <c r="J17130" i="2"/>
  <c r="K17130" i="2"/>
  <c r="L17130" i="2"/>
  <c r="C17131" i="2"/>
  <c r="D17131" i="2"/>
  <c r="F17131" i="2"/>
  <c r="G17131" i="2"/>
  <c r="H17131" i="2"/>
  <c r="J17131" i="2"/>
  <c r="K17131" i="2"/>
  <c r="L17131" i="2"/>
  <c r="C17132" i="2"/>
  <c r="D17132" i="2"/>
  <c r="F17132" i="2"/>
  <c r="G17132" i="2"/>
  <c r="H17132" i="2"/>
  <c r="J17132" i="2"/>
  <c r="K17132" i="2"/>
  <c r="L17132" i="2"/>
  <c r="C17133" i="2"/>
  <c r="D17133" i="2"/>
  <c r="F17133" i="2"/>
  <c r="G17133" i="2"/>
  <c r="H17133" i="2"/>
  <c r="J17133" i="2"/>
  <c r="K17133" i="2"/>
  <c r="L17133" i="2"/>
  <c r="C17134" i="2"/>
  <c r="D17134" i="2"/>
  <c r="F17134" i="2"/>
  <c r="G17134" i="2"/>
  <c r="H17134" i="2"/>
  <c r="J17134" i="2"/>
  <c r="K17134" i="2"/>
  <c r="L17134" i="2"/>
  <c r="C17135" i="2"/>
  <c r="D17135" i="2"/>
  <c r="F17135" i="2"/>
  <c r="G17135" i="2"/>
  <c r="H17135" i="2"/>
  <c r="J17135" i="2"/>
  <c r="K17135" i="2"/>
  <c r="L17135" i="2"/>
  <c r="C17136" i="2"/>
  <c r="D17136" i="2"/>
  <c r="F17136" i="2"/>
  <c r="G17136" i="2"/>
  <c r="H17136" i="2"/>
  <c r="J17136" i="2"/>
  <c r="K17136" i="2"/>
  <c r="L17136" i="2"/>
  <c r="C17137" i="2"/>
  <c r="D17137" i="2"/>
  <c r="F17137" i="2"/>
  <c r="G17137" i="2"/>
  <c r="H17137" i="2"/>
  <c r="J17137" i="2"/>
  <c r="K17137" i="2"/>
  <c r="L17137" i="2"/>
  <c r="C17138" i="2"/>
  <c r="D17138" i="2"/>
  <c r="F17138" i="2"/>
  <c r="G17138" i="2"/>
  <c r="H17138" i="2"/>
  <c r="J17138" i="2"/>
  <c r="K17138" i="2"/>
  <c r="L17138" i="2"/>
  <c r="C17139" i="2"/>
  <c r="D17139" i="2"/>
  <c r="F17139" i="2"/>
  <c r="G17139" i="2"/>
  <c r="H17139" i="2"/>
  <c r="J17139" i="2"/>
  <c r="K17139" i="2"/>
  <c r="L17139" i="2"/>
  <c r="C17140" i="2"/>
  <c r="D17140" i="2"/>
  <c r="F17140" i="2"/>
  <c r="G17140" i="2"/>
  <c r="H17140" i="2"/>
  <c r="J17140" i="2"/>
  <c r="K17140" i="2"/>
  <c r="L17140" i="2"/>
  <c r="C17141" i="2"/>
  <c r="D17141" i="2"/>
  <c r="F17141" i="2"/>
  <c r="G17141" i="2"/>
  <c r="H17141" i="2"/>
  <c r="J17141" i="2"/>
  <c r="K17141" i="2"/>
  <c r="L17141" i="2"/>
  <c r="C17142" i="2"/>
  <c r="D17142" i="2"/>
  <c r="F17142" i="2"/>
  <c r="G17142" i="2"/>
  <c r="H17142" i="2"/>
  <c r="J17142" i="2"/>
  <c r="K17142" i="2"/>
  <c r="L17142" i="2"/>
  <c r="C17143" i="2"/>
  <c r="D17143" i="2"/>
  <c r="F17143" i="2"/>
  <c r="G17143" i="2"/>
  <c r="H17143" i="2"/>
  <c r="J17143" i="2"/>
  <c r="K17143" i="2"/>
  <c r="L17143" i="2"/>
  <c r="C17144" i="2"/>
  <c r="D17144" i="2"/>
  <c r="F17144" i="2"/>
  <c r="G17144" i="2"/>
  <c r="H17144" i="2"/>
  <c r="J17144" i="2"/>
  <c r="K17144" i="2"/>
  <c r="L17144" i="2"/>
  <c r="C17145" i="2"/>
  <c r="D17145" i="2"/>
  <c r="F17145" i="2"/>
  <c r="G17145" i="2"/>
  <c r="H17145" i="2"/>
  <c r="J17145" i="2"/>
  <c r="K17145" i="2"/>
  <c r="L17145" i="2"/>
  <c r="C17146" i="2"/>
  <c r="D17146" i="2"/>
  <c r="F17146" i="2"/>
  <c r="G17146" i="2"/>
  <c r="H17146" i="2"/>
  <c r="J17146" i="2"/>
  <c r="K17146" i="2"/>
  <c r="L17146" i="2"/>
  <c r="C17147" i="2"/>
  <c r="D17147" i="2"/>
  <c r="F17147" i="2"/>
  <c r="G17147" i="2"/>
  <c r="H17147" i="2"/>
  <c r="J17147" i="2"/>
  <c r="K17147" i="2"/>
  <c r="L17147" i="2"/>
  <c r="C17148" i="2"/>
  <c r="D17148" i="2"/>
  <c r="F17148" i="2"/>
  <c r="G17148" i="2"/>
  <c r="H17148" i="2"/>
  <c r="J17148" i="2"/>
  <c r="K17148" i="2"/>
  <c r="L17148" i="2"/>
  <c r="C17149" i="2"/>
  <c r="D17149" i="2"/>
  <c r="F17149" i="2"/>
  <c r="G17149" i="2"/>
  <c r="H17149" i="2"/>
  <c r="J17149" i="2"/>
  <c r="K17149" i="2"/>
  <c r="L17149" i="2"/>
  <c r="C17150" i="2"/>
  <c r="D17150" i="2"/>
  <c r="F17150" i="2"/>
  <c r="G17150" i="2"/>
  <c r="H17150" i="2"/>
  <c r="J17150" i="2"/>
  <c r="K17150" i="2"/>
  <c r="L17150" i="2"/>
  <c r="C17151" i="2"/>
  <c r="D17151" i="2"/>
  <c r="F17151" i="2"/>
  <c r="G17151" i="2"/>
  <c r="H17151" i="2"/>
  <c r="J17151" i="2"/>
  <c r="K17151" i="2"/>
  <c r="L17151" i="2"/>
  <c r="C17152" i="2"/>
  <c r="D17152" i="2"/>
  <c r="F17152" i="2"/>
  <c r="G17152" i="2"/>
  <c r="H17152" i="2"/>
  <c r="J17152" i="2"/>
  <c r="K17152" i="2"/>
  <c r="L17152" i="2"/>
  <c r="C17153" i="2"/>
  <c r="D17153" i="2"/>
  <c r="F17153" i="2"/>
  <c r="G17153" i="2"/>
  <c r="H17153" i="2"/>
  <c r="J17153" i="2"/>
  <c r="K17153" i="2"/>
  <c r="L17153" i="2"/>
  <c r="C17154" i="2"/>
  <c r="D17154" i="2"/>
  <c r="F17154" i="2"/>
  <c r="G17154" i="2"/>
  <c r="H17154" i="2"/>
  <c r="J17154" i="2"/>
  <c r="K17154" i="2"/>
  <c r="L17154" i="2"/>
  <c r="C17155" i="2"/>
  <c r="D17155" i="2"/>
  <c r="F17155" i="2"/>
  <c r="G17155" i="2"/>
  <c r="H17155" i="2"/>
  <c r="J17155" i="2"/>
  <c r="K17155" i="2"/>
  <c r="L17155" i="2"/>
  <c r="C17156" i="2"/>
  <c r="D17156" i="2"/>
  <c r="F17156" i="2"/>
  <c r="G17156" i="2"/>
  <c r="H17156" i="2"/>
  <c r="J17156" i="2"/>
  <c r="K17156" i="2"/>
  <c r="L17156" i="2"/>
  <c r="C17157" i="2"/>
  <c r="D17157" i="2"/>
  <c r="F17157" i="2"/>
  <c r="G17157" i="2"/>
  <c r="H17157" i="2"/>
  <c r="J17157" i="2"/>
  <c r="K17157" i="2"/>
  <c r="L17157" i="2"/>
  <c r="C17158" i="2"/>
  <c r="D17158" i="2"/>
  <c r="F17158" i="2"/>
  <c r="G17158" i="2"/>
  <c r="H17158" i="2"/>
  <c r="J17158" i="2"/>
  <c r="K17158" i="2"/>
  <c r="L17158" i="2"/>
  <c r="C17159" i="2"/>
  <c r="D17159" i="2"/>
  <c r="F17159" i="2"/>
  <c r="G17159" i="2"/>
  <c r="H17159" i="2"/>
  <c r="J17159" i="2"/>
  <c r="K17159" i="2"/>
  <c r="L17159" i="2"/>
  <c r="C17160" i="2"/>
  <c r="D17160" i="2"/>
  <c r="F17160" i="2"/>
  <c r="G17160" i="2"/>
  <c r="H17160" i="2"/>
  <c r="J17160" i="2"/>
  <c r="K17160" i="2"/>
  <c r="L17160" i="2"/>
  <c r="C17161" i="2"/>
  <c r="D17161" i="2"/>
  <c r="F17161" i="2"/>
  <c r="G17161" i="2"/>
  <c r="H17161" i="2"/>
  <c r="J17161" i="2"/>
  <c r="K17161" i="2"/>
  <c r="L17161" i="2"/>
  <c r="C17162" i="2"/>
  <c r="D17162" i="2"/>
  <c r="F17162" i="2"/>
  <c r="G17162" i="2"/>
  <c r="H17162" i="2"/>
  <c r="J17162" i="2"/>
  <c r="K17162" i="2"/>
  <c r="L17162" i="2"/>
  <c r="C17163" i="2"/>
  <c r="D17163" i="2"/>
  <c r="F17163" i="2"/>
  <c r="G17163" i="2"/>
  <c r="H17163" i="2"/>
  <c r="J17163" i="2"/>
  <c r="K17163" i="2"/>
  <c r="L17163" i="2"/>
  <c r="C17164" i="2"/>
  <c r="D17164" i="2"/>
  <c r="F17164" i="2"/>
  <c r="G17164" i="2"/>
  <c r="H17164" i="2"/>
  <c r="J17164" i="2"/>
  <c r="K17164" i="2"/>
  <c r="L17164" i="2"/>
  <c r="C17165" i="2"/>
  <c r="D17165" i="2"/>
  <c r="F17165" i="2"/>
  <c r="G17165" i="2"/>
  <c r="H17165" i="2"/>
  <c r="J17165" i="2"/>
  <c r="K17165" i="2"/>
  <c r="L17165" i="2"/>
  <c r="C17166" i="2"/>
  <c r="D17166" i="2"/>
  <c r="F17166" i="2"/>
  <c r="G17166" i="2"/>
  <c r="H17166" i="2"/>
  <c r="J17166" i="2"/>
  <c r="K17166" i="2"/>
  <c r="L17166" i="2"/>
  <c r="C17167" i="2"/>
  <c r="D17167" i="2"/>
  <c r="F17167" i="2"/>
  <c r="G17167" i="2"/>
  <c r="H17167" i="2"/>
  <c r="J17167" i="2"/>
  <c r="K17167" i="2"/>
  <c r="L17167" i="2"/>
  <c r="C17168" i="2"/>
  <c r="D17168" i="2"/>
  <c r="F17168" i="2"/>
  <c r="G17168" i="2"/>
  <c r="H17168" i="2"/>
  <c r="J17168" i="2"/>
  <c r="K17168" i="2"/>
  <c r="L17168" i="2"/>
  <c r="C17169" i="2"/>
  <c r="D17169" i="2"/>
  <c r="F17169" i="2"/>
  <c r="G17169" i="2"/>
  <c r="H17169" i="2"/>
  <c r="J17169" i="2"/>
  <c r="K17169" i="2"/>
  <c r="L17169" i="2"/>
  <c r="C17170" i="2"/>
  <c r="D17170" i="2"/>
  <c r="F17170" i="2"/>
  <c r="G17170" i="2"/>
  <c r="H17170" i="2"/>
  <c r="J17170" i="2"/>
  <c r="K17170" i="2"/>
  <c r="L17170" i="2"/>
  <c r="C17171" i="2"/>
  <c r="D17171" i="2"/>
  <c r="F17171" i="2"/>
  <c r="G17171" i="2"/>
  <c r="H17171" i="2"/>
  <c r="J17171" i="2"/>
  <c r="K17171" i="2"/>
  <c r="L17171" i="2"/>
  <c r="C17172" i="2"/>
  <c r="D17172" i="2"/>
  <c r="F17172" i="2"/>
  <c r="G17172" i="2"/>
  <c r="H17172" i="2"/>
  <c r="J17172" i="2"/>
  <c r="K17172" i="2"/>
  <c r="L17172" i="2"/>
  <c r="C17173" i="2"/>
  <c r="D17173" i="2"/>
  <c r="F17173" i="2"/>
  <c r="G17173" i="2"/>
  <c r="H17173" i="2"/>
  <c r="J17173" i="2"/>
  <c r="K17173" i="2"/>
  <c r="L17173" i="2"/>
  <c r="C17174" i="2"/>
  <c r="D17174" i="2"/>
  <c r="F17174" i="2"/>
  <c r="G17174" i="2"/>
  <c r="H17174" i="2"/>
  <c r="J17174" i="2"/>
  <c r="K17174" i="2"/>
  <c r="L17174" i="2"/>
  <c r="C17175" i="2"/>
  <c r="D17175" i="2"/>
  <c r="F17175" i="2"/>
  <c r="G17175" i="2"/>
  <c r="H17175" i="2"/>
  <c r="J17175" i="2"/>
  <c r="K17175" i="2"/>
  <c r="L17175" i="2"/>
  <c r="C17176" i="2"/>
  <c r="D17176" i="2"/>
  <c r="F17176" i="2"/>
  <c r="G17176" i="2"/>
  <c r="H17176" i="2"/>
  <c r="J17176" i="2"/>
  <c r="K17176" i="2"/>
  <c r="L17176" i="2"/>
  <c r="C17177" i="2"/>
  <c r="D17177" i="2"/>
  <c r="F17177" i="2"/>
  <c r="G17177" i="2"/>
  <c r="H17177" i="2"/>
  <c r="J17177" i="2"/>
  <c r="K17177" i="2"/>
  <c r="L17177" i="2"/>
  <c r="C17178" i="2"/>
  <c r="D17178" i="2"/>
  <c r="F17178" i="2"/>
  <c r="G17178" i="2"/>
  <c r="H17178" i="2"/>
  <c r="J17178" i="2"/>
  <c r="K17178" i="2"/>
  <c r="L17178" i="2"/>
  <c r="C17179" i="2"/>
  <c r="D17179" i="2"/>
  <c r="F17179" i="2"/>
  <c r="G17179" i="2"/>
  <c r="H17179" i="2"/>
  <c r="J17179" i="2"/>
  <c r="K17179" i="2"/>
  <c r="L17179" i="2"/>
  <c r="C17180" i="2"/>
  <c r="D17180" i="2"/>
  <c r="F17180" i="2"/>
  <c r="G17180" i="2"/>
  <c r="H17180" i="2"/>
  <c r="J17180" i="2"/>
  <c r="K17180" i="2"/>
  <c r="L17180" i="2"/>
  <c r="C17181" i="2"/>
  <c r="D17181" i="2"/>
  <c r="F17181" i="2"/>
  <c r="G17181" i="2"/>
  <c r="H17181" i="2"/>
  <c r="J17181" i="2"/>
  <c r="K17181" i="2"/>
  <c r="L17181" i="2"/>
  <c r="C17182" i="2"/>
  <c r="D17182" i="2"/>
  <c r="F17182" i="2"/>
  <c r="G17182" i="2"/>
  <c r="H17182" i="2"/>
  <c r="J17182" i="2"/>
  <c r="K17182" i="2"/>
  <c r="L17182" i="2"/>
  <c r="C17183" i="2"/>
  <c r="D17183" i="2"/>
  <c r="F17183" i="2"/>
  <c r="G17183" i="2"/>
  <c r="H17183" i="2"/>
  <c r="J17183" i="2"/>
  <c r="K17183" i="2"/>
  <c r="L17183" i="2"/>
  <c r="C17184" i="2"/>
  <c r="D17184" i="2"/>
  <c r="F17184" i="2"/>
  <c r="G17184" i="2"/>
  <c r="H17184" i="2"/>
  <c r="J17184" i="2"/>
  <c r="K17184" i="2"/>
  <c r="L17184" i="2"/>
  <c r="C17185" i="2"/>
  <c r="D17185" i="2"/>
  <c r="F17185" i="2"/>
  <c r="G17185" i="2"/>
  <c r="H17185" i="2"/>
  <c r="J17185" i="2"/>
  <c r="K17185" i="2"/>
  <c r="L17185" i="2"/>
  <c r="C17186" i="2"/>
  <c r="D17186" i="2"/>
  <c r="F17186" i="2"/>
  <c r="G17186" i="2"/>
  <c r="H17186" i="2"/>
  <c r="J17186" i="2"/>
  <c r="K17186" i="2"/>
  <c r="L17186" i="2"/>
  <c r="C17187" i="2"/>
  <c r="D17187" i="2"/>
  <c r="F17187" i="2"/>
  <c r="G17187" i="2"/>
  <c r="H17187" i="2"/>
  <c r="J17187" i="2"/>
  <c r="K17187" i="2"/>
  <c r="L17187" i="2"/>
  <c r="C17188" i="2"/>
  <c r="D17188" i="2"/>
  <c r="F17188" i="2"/>
  <c r="G17188" i="2"/>
  <c r="H17188" i="2"/>
  <c r="J17188" i="2"/>
  <c r="K17188" i="2"/>
  <c r="L17188" i="2"/>
  <c r="C17189" i="2"/>
  <c r="D17189" i="2"/>
  <c r="F17189" i="2"/>
  <c r="G17189" i="2"/>
  <c r="H17189" i="2"/>
  <c r="J17189" i="2"/>
  <c r="K17189" i="2"/>
  <c r="L17189" i="2"/>
  <c r="C17190" i="2"/>
  <c r="D17190" i="2"/>
  <c r="F17190" i="2"/>
  <c r="G17190" i="2"/>
  <c r="H17190" i="2"/>
  <c r="J17190" i="2"/>
  <c r="K17190" i="2"/>
  <c r="L17190" i="2"/>
  <c r="C17191" i="2"/>
  <c r="D17191" i="2"/>
  <c r="F17191" i="2"/>
  <c r="G17191" i="2"/>
  <c r="H17191" i="2"/>
  <c r="J17191" i="2"/>
  <c r="K17191" i="2"/>
  <c r="L17191" i="2"/>
  <c r="C17192" i="2"/>
  <c r="D17192" i="2"/>
  <c r="F17192" i="2"/>
  <c r="G17192" i="2"/>
  <c r="H17192" i="2"/>
  <c r="J17192" i="2"/>
  <c r="K17192" i="2"/>
  <c r="L17192" i="2"/>
  <c r="C17193" i="2"/>
  <c r="D17193" i="2"/>
  <c r="F17193" i="2"/>
  <c r="G17193" i="2"/>
  <c r="H17193" i="2"/>
  <c r="J17193" i="2"/>
  <c r="K17193" i="2"/>
  <c r="L17193" i="2"/>
  <c r="C17194" i="2"/>
  <c r="D17194" i="2"/>
  <c r="F17194" i="2"/>
  <c r="G17194" i="2"/>
  <c r="H17194" i="2"/>
  <c r="J17194" i="2"/>
  <c r="K17194" i="2"/>
  <c r="L17194" i="2"/>
  <c r="C17195" i="2"/>
  <c r="D17195" i="2"/>
  <c r="F17195" i="2"/>
  <c r="G17195" i="2"/>
  <c r="H17195" i="2"/>
  <c r="J17195" i="2"/>
  <c r="K17195" i="2"/>
  <c r="L17195" i="2"/>
  <c r="C17196" i="2"/>
  <c r="D17196" i="2"/>
  <c r="F17196" i="2"/>
  <c r="G17196" i="2"/>
  <c r="H17196" i="2"/>
  <c r="J17196" i="2"/>
  <c r="K17196" i="2"/>
  <c r="L17196" i="2"/>
  <c r="C17197" i="2"/>
  <c r="D17197" i="2"/>
  <c r="F17197" i="2"/>
  <c r="G17197" i="2"/>
  <c r="H17197" i="2"/>
  <c r="J17197" i="2"/>
  <c r="K17197" i="2"/>
  <c r="L17197" i="2"/>
  <c r="C17198" i="2"/>
  <c r="D17198" i="2"/>
  <c r="F17198" i="2"/>
  <c r="G17198" i="2"/>
  <c r="H17198" i="2"/>
  <c r="J17198" i="2"/>
  <c r="K17198" i="2"/>
  <c r="L17198" i="2"/>
  <c r="C17199" i="2"/>
  <c r="D17199" i="2"/>
  <c r="F17199" i="2"/>
  <c r="G17199" i="2"/>
  <c r="H17199" i="2"/>
  <c r="J17199" i="2"/>
  <c r="K17199" i="2"/>
  <c r="L17199" i="2"/>
  <c r="C17200" i="2"/>
  <c r="D17200" i="2"/>
  <c r="F17200" i="2"/>
  <c r="G17200" i="2"/>
  <c r="H17200" i="2"/>
  <c r="J17200" i="2"/>
  <c r="K17200" i="2"/>
  <c r="L17200" i="2"/>
  <c r="C17201" i="2"/>
  <c r="D17201" i="2"/>
  <c r="F17201" i="2"/>
  <c r="G17201" i="2"/>
  <c r="H17201" i="2"/>
  <c r="J17201" i="2"/>
  <c r="K17201" i="2"/>
  <c r="L17201" i="2"/>
  <c r="C17202" i="2"/>
  <c r="D17202" i="2"/>
  <c r="F17202" i="2"/>
  <c r="G17202" i="2"/>
  <c r="H17202" i="2"/>
  <c r="J17202" i="2"/>
  <c r="K17202" i="2"/>
  <c r="L17202" i="2"/>
  <c r="C17203" i="2"/>
  <c r="D17203" i="2"/>
  <c r="F17203" i="2"/>
  <c r="G17203" i="2"/>
  <c r="H17203" i="2"/>
  <c r="J17203" i="2"/>
  <c r="K17203" i="2"/>
  <c r="L17203" i="2"/>
  <c r="C17204" i="2"/>
  <c r="D17204" i="2"/>
  <c r="F17204" i="2"/>
  <c r="G17204" i="2"/>
  <c r="H17204" i="2"/>
  <c r="J17204" i="2"/>
  <c r="K17204" i="2"/>
  <c r="L17204" i="2"/>
  <c r="C17205" i="2"/>
  <c r="D17205" i="2"/>
  <c r="F17205" i="2"/>
  <c r="G17205" i="2"/>
  <c r="H17205" i="2"/>
  <c r="J17205" i="2"/>
  <c r="K17205" i="2"/>
  <c r="L17205" i="2"/>
  <c r="C17206" i="2"/>
  <c r="D17206" i="2"/>
  <c r="F17206" i="2"/>
  <c r="G17206" i="2"/>
  <c r="H17206" i="2"/>
  <c r="J17206" i="2"/>
  <c r="K17206" i="2"/>
  <c r="L17206" i="2"/>
  <c r="C17207" i="2"/>
  <c r="D17207" i="2"/>
  <c r="F17207" i="2"/>
  <c r="G17207" i="2"/>
  <c r="H17207" i="2"/>
  <c r="J17207" i="2"/>
  <c r="K17207" i="2"/>
  <c r="L17207" i="2"/>
  <c r="C17208" i="2"/>
  <c r="D17208" i="2"/>
  <c r="F17208" i="2"/>
  <c r="G17208" i="2"/>
  <c r="H17208" i="2"/>
  <c r="J17208" i="2"/>
  <c r="K17208" i="2"/>
  <c r="L17208" i="2"/>
  <c r="C17209" i="2"/>
  <c r="D17209" i="2"/>
  <c r="F17209" i="2"/>
  <c r="G17209" i="2"/>
  <c r="H17209" i="2"/>
  <c r="J17209" i="2"/>
  <c r="K17209" i="2"/>
  <c r="L17209" i="2"/>
  <c r="C17210" i="2"/>
  <c r="D17210" i="2"/>
  <c r="F17210" i="2"/>
  <c r="G17210" i="2"/>
  <c r="H17210" i="2"/>
  <c r="J17210" i="2"/>
  <c r="K17210" i="2"/>
  <c r="L17210" i="2"/>
  <c r="C17211" i="2"/>
  <c r="D17211" i="2"/>
  <c r="F17211" i="2"/>
  <c r="G17211" i="2"/>
  <c r="H17211" i="2"/>
  <c r="J17211" i="2"/>
  <c r="K17211" i="2"/>
  <c r="L17211" i="2"/>
  <c r="C17212" i="2"/>
  <c r="D17212" i="2"/>
  <c r="F17212" i="2"/>
  <c r="G17212" i="2"/>
  <c r="H17212" i="2"/>
  <c r="J17212" i="2"/>
  <c r="K17212" i="2"/>
  <c r="L17212" i="2"/>
  <c r="C17213" i="2"/>
  <c r="D17213" i="2"/>
  <c r="F17213" i="2"/>
  <c r="G17213" i="2"/>
  <c r="H17213" i="2"/>
  <c r="J17213" i="2"/>
  <c r="K17213" i="2"/>
  <c r="L17213" i="2"/>
  <c r="C17214" i="2"/>
  <c r="D17214" i="2"/>
  <c r="F17214" i="2"/>
  <c r="G17214" i="2"/>
  <c r="H17214" i="2"/>
  <c r="J17214" i="2"/>
  <c r="K17214" i="2"/>
  <c r="L17214" i="2"/>
  <c r="C17215" i="2"/>
  <c r="D17215" i="2"/>
  <c r="F17215" i="2"/>
  <c r="G17215" i="2"/>
  <c r="H17215" i="2"/>
  <c r="J17215" i="2"/>
  <c r="K17215" i="2"/>
  <c r="L17215" i="2"/>
  <c r="C17216" i="2"/>
  <c r="D17216" i="2"/>
  <c r="F17216" i="2"/>
  <c r="G17216" i="2"/>
  <c r="H17216" i="2"/>
  <c r="J17216" i="2"/>
  <c r="K17216" i="2"/>
  <c r="L17216" i="2"/>
  <c r="C17217" i="2"/>
  <c r="D17217" i="2"/>
  <c r="F17217" i="2"/>
  <c r="G17217" i="2"/>
  <c r="H17217" i="2"/>
  <c r="J17217" i="2"/>
  <c r="K17217" i="2"/>
  <c r="L17217" i="2"/>
  <c r="C17218" i="2"/>
  <c r="D17218" i="2"/>
  <c r="F17218" i="2"/>
  <c r="G17218" i="2"/>
  <c r="H17218" i="2"/>
  <c r="J17218" i="2"/>
  <c r="K17218" i="2"/>
  <c r="L17218" i="2"/>
  <c r="C17219" i="2"/>
  <c r="D17219" i="2"/>
  <c r="F17219" i="2"/>
  <c r="G17219" i="2"/>
  <c r="H17219" i="2"/>
  <c r="J17219" i="2"/>
  <c r="K17219" i="2"/>
  <c r="L17219" i="2"/>
  <c r="C17220" i="2"/>
  <c r="D17220" i="2"/>
  <c r="F17220" i="2"/>
  <c r="G17220" i="2"/>
  <c r="H17220" i="2"/>
  <c r="J17220" i="2"/>
  <c r="K17220" i="2"/>
  <c r="L17220" i="2"/>
  <c r="C17221" i="2"/>
  <c r="D17221" i="2"/>
  <c r="F17221" i="2"/>
  <c r="G17221" i="2"/>
  <c r="H17221" i="2"/>
  <c r="J17221" i="2"/>
  <c r="K17221" i="2"/>
  <c r="L17221" i="2"/>
  <c r="C17222" i="2"/>
  <c r="D17222" i="2"/>
  <c r="F17222" i="2"/>
  <c r="G17222" i="2"/>
  <c r="H17222" i="2"/>
  <c r="J17222" i="2"/>
  <c r="K17222" i="2"/>
  <c r="L17222" i="2"/>
  <c r="D17223" i="2"/>
  <c r="F17223" i="2"/>
  <c r="G17223" i="2"/>
  <c r="H17223" i="2"/>
  <c r="J17223" i="2"/>
  <c r="K17223" i="2"/>
  <c r="L17223" i="2"/>
  <c r="C17224" i="2"/>
  <c r="D17224" i="2"/>
  <c r="F17224" i="2"/>
  <c r="G17224" i="2"/>
  <c r="H17224" i="2"/>
  <c r="J17224" i="2"/>
  <c r="K17224" i="2"/>
  <c r="L17224" i="2"/>
  <c r="D17225" i="2"/>
  <c r="F17225" i="2"/>
  <c r="G17225" i="2"/>
  <c r="H17225" i="2"/>
  <c r="J17225" i="2"/>
  <c r="K17225" i="2"/>
  <c r="L17225" i="2"/>
  <c r="C17226" i="2"/>
  <c r="D17226" i="2"/>
  <c r="F17226" i="2"/>
  <c r="G17226" i="2"/>
  <c r="H17226" i="2"/>
  <c r="J17226" i="2"/>
  <c r="K17226" i="2"/>
  <c r="L17226" i="2"/>
  <c r="C17227" i="2"/>
  <c r="D17227" i="2"/>
  <c r="F17227" i="2"/>
  <c r="G17227" i="2"/>
  <c r="H17227" i="2"/>
  <c r="J17227" i="2"/>
  <c r="K17227" i="2"/>
  <c r="L17227" i="2"/>
  <c r="C17228" i="2"/>
  <c r="D17228" i="2"/>
  <c r="F17228" i="2"/>
  <c r="G17228" i="2"/>
  <c r="H17228" i="2"/>
  <c r="J17228" i="2"/>
  <c r="K17228" i="2"/>
  <c r="L17228" i="2"/>
  <c r="C17229" i="2"/>
  <c r="D17229" i="2"/>
  <c r="F17229" i="2"/>
  <c r="G17229" i="2"/>
  <c r="H17229" i="2"/>
  <c r="J17229" i="2"/>
  <c r="K17229" i="2"/>
  <c r="L17229" i="2"/>
  <c r="C17230" i="2"/>
  <c r="D17230" i="2"/>
  <c r="F17230" i="2"/>
  <c r="G17230" i="2"/>
  <c r="H17230" i="2"/>
  <c r="J17230" i="2"/>
  <c r="K17230" i="2"/>
  <c r="L17230" i="2"/>
  <c r="C17231" i="2"/>
  <c r="D17231" i="2"/>
  <c r="F17231" i="2"/>
  <c r="G17231" i="2"/>
  <c r="H17231" i="2"/>
  <c r="J17231" i="2"/>
  <c r="K17231" i="2"/>
  <c r="L17231" i="2"/>
  <c r="C17232" i="2"/>
  <c r="D17232" i="2"/>
  <c r="F17232" i="2"/>
  <c r="G17232" i="2"/>
  <c r="H17232" i="2"/>
  <c r="J17232" i="2"/>
  <c r="K17232" i="2"/>
  <c r="L17232" i="2"/>
  <c r="C17233" i="2"/>
  <c r="D17233" i="2"/>
  <c r="F17233" i="2"/>
  <c r="G17233" i="2"/>
  <c r="H17233" i="2"/>
  <c r="J17233" i="2"/>
  <c r="K17233" i="2"/>
  <c r="L17233" i="2"/>
  <c r="C17234" i="2"/>
  <c r="D17234" i="2"/>
  <c r="F17234" i="2"/>
  <c r="G17234" i="2"/>
  <c r="H17234" i="2"/>
  <c r="J17234" i="2"/>
  <c r="K17234" i="2"/>
  <c r="L17234" i="2"/>
  <c r="C17235" i="2"/>
  <c r="D17235" i="2"/>
  <c r="F17235" i="2"/>
  <c r="G17235" i="2"/>
  <c r="H17235" i="2"/>
  <c r="J17235" i="2"/>
  <c r="K17235" i="2"/>
  <c r="L17235" i="2"/>
  <c r="C17236" i="2"/>
  <c r="D17236" i="2"/>
  <c r="F17236" i="2"/>
  <c r="G17236" i="2"/>
  <c r="H17236" i="2"/>
  <c r="J17236" i="2"/>
  <c r="K17236" i="2"/>
  <c r="L17236" i="2"/>
  <c r="C17237" i="2"/>
  <c r="D17237" i="2"/>
  <c r="F17237" i="2"/>
  <c r="G17237" i="2"/>
  <c r="H17237" i="2"/>
  <c r="J17237" i="2"/>
  <c r="K17237" i="2"/>
  <c r="L17237" i="2"/>
  <c r="C17238" i="2"/>
  <c r="D17238" i="2"/>
  <c r="F17238" i="2"/>
  <c r="G17238" i="2"/>
  <c r="H17238" i="2"/>
  <c r="J17238" i="2"/>
  <c r="K17238" i="2"/>
  <c r="L17238" i="2"/>
  <c r="C17239" i="2"/>
  <c r="D17239" i="2"/>
  <c r="F17239" i="2"/>
  <c r="G17239" i="2"/>
  <c r="H17239" i="2"/>
  <c r="J17239" i="2"/>
  <c r="K17239" i="2"/>
  <c r="L17239" i="2"/>
  <c r="C17240" i="2"/>
  <c r="D17240" i="2"/>
  <c r="F17240" i="2"/>
  <c r="G17240" i="2"/>
  <c r="H17240" i="2"/>
  <c r="J17240" i="2"/>
  <c r="K17240" i="2"/>
  <c r="L17240" i="2"/>
  <c r="C17241" i="2"/>
  <c r="D17241" i="2"/>
  <c r="F17241" i="2"/>
  <c r="G17241" i="2"/>
  <c r="H17241" i="2"/>
  <c r="J17241" i="2"/>
  <c r="K17241" i="2"/>
  <c r="L17241" i="2"/>
  <c r="C17242" i="2"/>
  <c r="D17242" i="2"/>
  <c r="F17242" i="2"/>
  <c r="G17242" i="2"/>
  <c r="H17242" i="2"/>
  <c r="J17242" i="2"/>
  <c r="K17242" i="2"/>
  <c r="L17242" i="2"/>
  <c r="C17243" i="2"/>
  <c r="D17243" i="2"/>
  <c r="F17243" i="2"/>
  <c r="G17243" i="2"/>
  <c r="H17243" i="2"/>
  <c r="J17243" i="2"/>
  <c r="K17243" i="2"/>
  <c r="L17243" i="2"/>
  <c r="C17244" i="2"/>
  <c r="D17244" i="2"/>
  <c r="F17244" i="2"/>
  <c r="G17244" i="2"/>
  <c r="H17244" i="2"/>
  <c r="J17244" i="2"/>
  <c r="K17244" i="2"/>
  <c r="L17244" i="2"/>
  <c r="C17245" i="2"/>
  <c r="D17245" i="2"/>
  <c r="F17245" i="2"/>
  <c r="G17245" i="2"/>
  <c r="H17245" i="2"/>
  <c r="J17245" i="2"/>
  <c r="K17245" i="2"/>
  <c r="L17245" i="2"/>
  <c r="C17246" i="2"/>
  <c r="D17246" i="2"/>
  <c r="F17246" i="2"/>
  <c r="G17246" i="2"/>
  <c r="H17246" i="2"/>
  <c r="J17246" i="2"/>
  <c r="K17246" i="2"/>
  <c r="L17246" i="2"/>
  <c r="C17247" i="2"/>
  <c r="D17247" i="2"/>
  <c r="F17247" i="2"/>
  <c r="G17247" i="2"/>
  <c r="H17247" i="2"/>
  <c r="J17247" i="2"/>
  <c r="K17247" i="2"/>
  <c r="L17247" i="2"/>
  <c r="C17248" i="2"/>
  <c r="D17248" i="2"/>
  <c r="F17248" i="2"/>
  <c r="G17248" i="2"/>
  <c r="H17248" i="2"/>
  <c r="J17248" i="2"/>
  <c r="K17248" i="2"/>
  <c r="L17248" i="2"/>
  <c r="C17249" i="2"/>
  <c r="D17249" i="2"/>
  <c r="F17249" i="2"/>
  <c r="G17249" i="2"/>
  <c r="H17249" i="2"/>
  <c r="J17249" i="2"/>
  <c r="K17249" i="2"/>
  <c r="L17249" i="2"/>
  <c r="C17250" i="2"/>
  <c r="D17250" i="2"/>
  <c r="F17250" i="2"/>
  <c r="G17250" i="2"/>
  <c r="H17250" i="2"/>
  <c r="J17250" i="2"/>
  <c r="K17250" i="2"/>
  <c r="L17250" i="2"/>
  <c r="C17251" i="2"/>
  <c r="D17251" i="2"/>
  <c r="F17251" i="2"/>
  <c r="G17251" i="2"/>
  <c r="H17251" i="2"/>
  <c r="J17251" i="2"/>
  <c r="K17251" i="2"/>
  <c r="L17251" i="2"/>
  <c r="C17252" i="2"/>
  <c r="D17252" i="2"/>
  <c r="F17252" i="2"/>
  <c r="G17252" i="2"/>
  <c r="H17252" i="2"/>
  <c r="J17252" i="2"/>
  <c r="K17252" i="2"/>
  <c r="L17252" i="2"/>
  <c r="C17253" i="2"/>
  <c r="D17253" i="2"/>
  <c r="F17253" i="2"/>
  <c r="G17253" i="2"/>
  <c r="H17253" i="2"/>
  <c r="J17253" i="2"/>
  <c r="K17253" i="2"/>
  <c r="L17253" i="2"/>
  <c r="C17254" i="2"/>
  <c r="D17254" i="2"/>
  <c r="F17254" i="2"/>
  <c r="G17254" i="2"/>
  <c r="H17254" i="2"/>
  <c r="J17254" i="2"/>
  <c r="K17254" i="2"/>
  <c r="L17254" i="2"/>
  <c r="C17255" i="2"/>
  <c r="D17255" i="2"/>
  <c r="F17255" i="2"/>
  <c r="G17255" i="2"/>
  <c r="H17255" i="2"/>
  <c r="J17255" i="2"/>
  <c r="K17255" i="2"/>
  <c r="L17255" i="2"/>
  <c r="C17256" i="2"/>
  <c r="D17256" i="2"/>
  <c r="F17256" i="2"/>
  <c r="G17256" i="2"/>
  <c r="H17256" i="2"/>
  <c r="J17256" i="2"/>
  <c r="K17256" i="2"/>
  <c r="L17256" i="2"/>
  <c r="C17257" i="2"/>
  <c r="D17257" i="2"/>
  <c r="F17257" i="2"/>
  <c r="G17257" i="2"/>
  <c r="H17257" i="2"/>
  <c r="J17257" i="2"/>
  <c r="K17257" i="2"/>
  <c r="L17257" i="2"/>
  <c r="C17258" i="2"/>
  <c r="D17258" i="2"/>
  <c r="F17258" i="2"/>
  <c r="G17258" i="2"/>
  <c r="H17258" i="2"/>
  <c r="J17258" i="2"/>
  <c r="K17258" i="2"/>
  <c r="L17258" i="2"/>
  <c r="C17259" i="2"/>
  <c r="D17259" i="2"/>
  <c r="F17259" i="2"/>
  <c r="G17259" i="2"/>
  <c r="H17259" i="2"/>
  <c r="J17259" i="2"/>
  <c r="K17259" i="2"/>
  <c r="L17259" i="2"/>
  <c r="C17260" i="2"/>
  <c r="D17260" i="2"/>
  <c r="F17260" i="2"/>
  <c r="G17260" i="2"/>
  <c r="H17260" i="2"/>
  <c r="J17260" i="2"/>
  <c r="K17260" i="2"/>
  <c r="L17260" i="2"/>
  <c r="C17261" i="2"/>
  <c r="D17261" i="2"/>
  <c r="F17261" i="2"/>
  <c r="G17261" i="2"/>
  <c r="H17261" i="2"/>
  <c r="J17261" i="2"/>
  <c r="K17261" i="2"/>
  <c r="L17261" i="2"/>
  <c r="C17262" i="2"/>
  <c r="D17262" i="2"/>
  <c r="F17262" i="2"/>
  <c r="G17262" i="2"/>
  <c r="H17262" i="2"/>
  <c r="J17262" i="2"/>
  <c r="K17262" i="2"/>
  <c r="L17262" i="2"/>
  <c r="C17263" i="2"/>
  <c r="D17263" i="2"/>
  <c r="F17263" i="2"/>
  <c r="G17263" i="2"/>
  <c r="H17263" i="2"/>
  <c r="J17263" i="2"/>
  <c r="K17263" i="2"/>
  <c r="L17263" i="2"/>
  <c r="C17264" i="2"/>
  <c r="D17264" i="2"/>
  <c r="F17264" i="2"/>
  <c r="G17264" i="2"/>
  <c r="H17264" i="2"/>
  <c r="J17264" i="2"/>
  <c r="K17264" i="2"/>
  <c r="L17264" i="2"/>
  <c r="C17265" i="2"/>
  <c r="D17265" i="2"/>
  <c r="F17265" i="2"/>
  <c r="G17265" i="2"/>
  <c r="H17265" i="2"/>
  <c r="J17265" i="2"/>
  <c r="K17265" i="2"/>
  <c r="L17265" i="2"/>
  <c r="C17266" i="2"/>
  <c r="D17266" i="2"/>
  <c r="F17266" i="2"/>
  <c r="G17266" i="2"/>
  <c r="H17266" i="2"/>
  <c r="J17266" i="2"/>
  <c r="K17266" i="2"/>
  <c r="L17266" i="2"/>
  <c r="C17267" i="2"/>
  <c r="D17267" i="2"/>
  <c r="F17267" i="2"/>
  <c r="G17267" i="2"/>
  <c r="H17267" i="2"/>
  <c r="J17267" i="2"/>
  <c r="K17267" i="2"/>
  <c r="L17267" i="2"/>
  <c r="C17268" i="2"/>
  <c r="D17268" i="2"/>
  <c r="F17268" i="2"/>
  <c r="G17268" i="2"/>
  <c r="H17268" i="2"/>
  <c r="J17268" i="2"/>
  <c r="K17268" i="2"/>
  <c r="L17268" i="2"/>
  <c r="C17269" i="2"/>
  <c r="D17269" i="2"/>
  <c r="F17269" i="2"/>
  <c r="G17269" i="2"/>
  <c r="H17269" i="2"/>
  <c r="J17269" i="2"/>
  <c r="K17269" i="2"/>
  <c r="L17269" i="2"/>
  <c r="C17270" i="2"/>
  <c r="D17270" i="2"/>
  <c r="F17270" i="2"/>
  <c r="G17270" i="2"/>
  <c r="H17270" i="2"/>
  <c r="J17270" i="2"/>
  <c r="K17270" i="2"/>
  <c r="L17270" i="2"/>
  <c r="C17271" i="2"/>
  <c r="D17271" i="2"/>
  <c r="F17271" i="2"/>
  <c r="G17271" i="2"/>
  <c r="H17271" i="2"/>
  <c r="J17271" i="2"/>
  <c r="K17271" i="2"/>
  <c r="L17271" i="2"/>
  <c r="C17272" i="2"/>
  <c r="D17272" i="2"/>
  <c r="F17272" i="2"/>
  <c r="G17272" i="2"/>
  <c r="H17272" i="2"/>
  <c r="J17272" i="2"/>
  <c r="K17272" i="2"/>
  <c r="L17272" i="2"/>
  <c r="C17273" i="2"/>
  <c r="D17273" i="2"/>
  <c r="F17273" i="2"/>
  <c r="G17273" i="2"/>
  <c r="H17273" i="2"/>
  <c r="J17273" i="2"/>
  <c r="K17273" i="2"/>
  <c r="L17273" i="2"/>
  <c r="C17274" i="2"/>
  <c r="D17274" i="2"/>
  <c r="F17274" i="2"/>
  <c r="G17274" i="2"/>
  <c r="H17274" i="2"/>
  <c r="J17274" i="2"/>
  <c r="K17274" i="2"/>
  <c r="L17274" i="2"/>
  <c r="C17275" i="2"/>
  <c r="D17275" i="2"/>
  <c r="F17275" i="2"/>
  <c r="G17275" i="2"/>
  <c r="H17275" i="2"/>
  <c r="J17275" i="2"/>
  <c r="K17275" i="2"/>
  <c r="L17275" i="2"/>
  <c r="C17276" i="2"/>
  <c r="D17276" i="2"/>
  <c r="F17276" i="2"/>
  <c r="G17276" i="2"/>
  <c r="H17276" i="2"/>
  <c r="J17276" i="2"/>
  <c r="K17276" i="2"/>
  <c r="L17276" i="2"/>
  <c r="C17277" i="2"/>
  <c r="D17277" i="2"/>
  <c r="F17277" i="2"/>
  <c r="G17277" i="2"/>
  <c r="H17277" i="2"/>
  <c r="J17277" i="2"/>
  <c r="K17277" i="2"/>
  <c r="L17277" i="2"/>
  <c r="C17278" i="2"/>
  <c r="D17278" i="2"/>
  <c r="E17278" i="2"/>
  <c r="F17278" i="2"/>
  <c r="G17278" i="2"/>
  <c r="H17278" i="2"/>
  <c r="J17278" i="2"/>
  <c r="K17278" i="2"/>
  <c r="L17278" i="2"/>
  <c r="C17279" i="2"/>
  <c r="D17279" i="2"/>
  <c r="F17279" i="2"/>
  <c r="G17279" i="2"/>
  <c r="H17279" i="2"/>
  <c r="J17279" i="2"/>
  <c r="K17279" i="2"/>
  <c r="L17279" i="2"/>
  <c r="C17280" i="2"/>
  <c r="D17280" i="2"/>
  <c r="F17280" i="2"/>
  <c r="G17280" i="2"/>
  <c r="H17280" i="2"/>
  <c r="J17280" i="2"/>
  <c r="K17280" i="2"/>
  <c r="L17280" i="2"/>
  <c r="C17281" i="2"/>
  <c r="D17281" i="2"/>
  <c r="F17281" i="2"/>
  <c r="G17281" i="2"/>
  <c r="H17281" i="2"/>
  <c r="J17281" i="2"/>
  <c r="K17281" i="2"/>
  <c r="L17281" i="2"/>
  <c r="C17282" i="2"/>
  <c r="D17282" i="2"/>
  <c r="F17282" i="2"/>
  <c r="G17282" i="2"/>
  <c r="H17282" i="2"/>
  <c r="J17282" i="2"/>
  <c r="K17282" i="2"/>
  <c r="L17282" i="2"/>
  <c r="C17283" i="2"/>
  <c r="D17283" i="2"/>
  <c r="F17283" i="2"/>
  <c r="G17283" i="2"/>
  <c r="H17283" i="2"/>
  <c r="J17283" i="2"/>
  <c r="K17283" i="2"/>
  <c r="L17283" i="2"/>
  <c r="C17284" i="2"/>
  <c r="D17284" i="2"/>
  <c r="F17284" i="2"/>
  <c r="G17284" i="2"/>
  <c r="H17284" i="2"/>
  <c r="J17284" i="2"/>
  <c r="K17284" i="2"/>
  <c r="L17284" i="2"/>
  <c r="C17285" i="2"/>
  <c r="D17285" i="2"/>
  <c r="F17285" i="2"/>
  <c r="G17285" i="2"/>
  <c r="H17285" i="2"/>
  <c r="J17285" i="2"/>
  <c r="K17285" i="2"/>
  <c r="L17285" i="2"/>
  <c r="C17286" i="2"/>
  <c r="D17286" i="2"/>
  <c r="F17286" i="2"/>
  <c r="G17286" i="2"/>
  <c r="H17286" i="2"/>
  <c r="J17286" i="2"/>
  <c r="K17286" i="2"/>
  <c r="L17286" i="2"/>
  <c r="C17287" i="2"/>
  <c r="D17287" i="2"/>
  <c r="F17287" i="2"/>
  <c r="G17287" i="2"/>
  <c r="H17287" i="2"/>
  <c r="J17287" i="2"/>
  <c r="K17287" i="2"/>
  <c r="L17287" i="2"/>
  <c r="C17288" i="2"/>
  <c r="D17288" i="2"/>
  <c r="F17288" i="2"/>
  <c r="G17288" i="2"/>
  <c r="H17288" i="2"/>
  <c r="J17288" i="2"/>
  <c r="K17288" i="2"/>
  <c r="L17288" i="2"/>
  <c r="C17289" i="2"/>
  <c r="D17289" i="2"/>
  <c r="F17289" i="2"/>
  <c r="G17289" i="2"/>
  <c r="H17289" i="2"/>
  <c r="J17289" i="2"/>
  <c r="K17289" i="2"/>
  <c r="L17289" i="2"/>
  <c r="C17290" i="2"/>
  <c r="D17290" i="2"/>
  <c r="F17290" i="2"/>
  <c r="G17290" i="2"/>
  <c r="H17290" i="2"/>
  <c r="J17290" i="2"/>
  <c r="K17290" i="2"/>
  <c r="L17290" i="2"/>
  <c r="C17291" i="2"/>
  <c r="D17291" i="2"/>
  <c r="F17291" i="2"/>
  <c r="G17291" i="2"/>
  <c r="H17291" i="2"/>
  <c r="J17291" i="2"/>
  <c r="K17291" i="2"/>
  <c r="L17291" i="2"/>
  <c r="C17292" i="2"/>
  <c r="D17292" i="2"/>
  <c r="F17292" i="2"/>
  <c r="G17292" i="2"/>
  <c r="H17292" i="2"/>
  <c r="J17292" i="2"/>
  <c r="K17292" i="2"/>
  <c r="L17292" i="2"/>
  <c r="C17293" i="2"/>
  <c r="D17293" i="2"/>
  <c r="F17293" i="2"/>
  <c r="G17293" i="2"/>
  <c r="H17293" i="2"/>
  <c r="J17293" i="2"/>
  <c r="K17293" i="2"/>
  <c r="L17293" i="2"/>
  <c r="C17294" i="2"/>
  <c r="D17294" i="2"/>
  <c r="F17294" i="2"/>
  <c r="G17294" i="2"/>
  <c r="H17294" i="2"/>
  <c r="J17294" i="2"/>
  <c r="K17294" i="2"/>
  <c r="L17294" i="2"/>
  <c r="C17295" i="2"/>
  <c r="D17295" i="2"/>
  <c r="F17295" i="2"/>
  <c r="G17295" i="2"/>
  <c r="H17295" i="2"/>
  <c r="J17295" i="2"/>
  <c r="K17295" i="2"/>
  <c r="L17295" i="2"/>
  <c r="C17296" i="2"/>
  <c r="D17296" i="2"/>
  <c r="F17296" i="2"/>
  <c r="G17296" i="2"/>
  <c r="H17296" i="2"/>
  <c r="J17296" i="2"/>
  <c r="K17296" i="2"/>
  <c r="L17296" i="2"/>
  <c r="C17297" i="2"/>
  <c r="D17297" i="2"/>
  <c r="F17297" i="2"/>
  <c r="G17297" i="2"/>
  <c r="H17297" i="2"/>
  <c r="J17297" i="2"/>
  <c r="K17297" i="2"/>
  <c r="L17297" i="2"/>
  <c r="C17298" i="2"/>
  <c r="D17298" i="2"/>
  <c r="F17298" i="2"/>
  <c r="G17298" i="2"/>
  <c r="H17298" i="2"/>
  <c r="J17298" i="2"/>
  <c r="K17298" i="2"/>
  <c r="L17298" i="2"/>
  <c r="C17299" i="2"/>
  <c r="D17299" i="2"/>
  <c r="F17299" i="2"/>
  <c r="G17299" i="2"/>
  <c r="H17299" i="2"/>
  <c r="J17299" i="2"/>
  <c r="K17299" i="2"/>
  <c r="L17299" i="2"/>
  <c r="C17300" i="2"/>
  <c r="D17300" i="2"/>
  <c r="F17300" i="2"/>
  <c r="G17300" i="2"/>
  <c r="H17300" i="2"/>
  <c r="J17300" i="2"/>
  <c r="K17300" i="2"/>
  <c r="L17300" i="2"/>
  <c r="C17301" i="2"/>
  <c r="D17301" i="2"/>
  <c r="F17301" i="2"/>
  <c r="G17301" i="2"/>
  <c r="H17301" i="2"/>
  <c r="J17301" i="2"/>
  <c r="K17301" i="2"/>
  <c r="L17301" i="2"/>
  <c r="C17302" i="2"/>
  <c r="D17302" i="2"/>
  <c r="F17302" i="2"/>
  <c r="G17302" i="2"/>
  <c r="H17302" i="2"/>
  <c r="J17302" i="2"/>
  <c r="K17302" i="2"/>
  <c r="L17302" i="2"/>
  <c r="C17303" i="2"/>
  <c r="D17303" i="2"/>
  <c r="F17303" i="2"/>
  <c r="G17303" i="2"/>
  <c r="H17303" i="2"/>
  <c r="J17303" i="2"/>
  <c r="K17303" i="2"/>
  <c r="L17303" i="2"/>
  <c r="C17304" i="2"/>
  <c r="D17304" i="2"/>
  <c r="F17304" i="2"/>
  <c r="G17304" i="2"/>
  <c r="H17304" i="2"/>
  <c r="J17304" i="2"/>
  <c r="K17304" i="2"/>
  <c r="L17304" i="2"/>
  <c r="C17305" i="2"/>
  <c r="D17305" i="2"/>
  <c r="F17305" i="2"/>
  <c r="G17305" i="2"/>
  <c r="H17305" i="2"/>
  <c r="J17305" i="2"/>
  <c r="K17305" i="2"/>
  <c r="L17305" i="2"/>
  <c r="C17306" i="2"/>
  <c r="D17306" i="2"/>
  <c r="F17306" i="2"/>
  <c r="G17306" i="2"/>
  <c r="H17306" i="2"/>
  <c r="J17306" i="2"/>
  <c r="K17306" i="2"/>
  <c r="L17306" i="2"/>
  <c r="C17307" i="2"/>
  <c r="D17307" i="2"/>
  <c r="F17307" i="2"/>
  <c r="G17307" i="2"/>
  <c r="H17307" i="2"/>
  <c r="J17307" i="2"/>
  <c r="K17307" i="2"/>
  <c r="L17307" i="2"/>
  <c r="C17308" i="2"/>
  <c r="D17308" i="2"/>
  <c r="F17308" i="2"/>
  <c r="G17308" i="2"/>
  <c r="H17308" i="2"/>
  <c r="J17308" i="2"/>
  <c r="K17308" i="2"/>
  <c r="L17308" i="2"/>
  <c r="C17309" i="2"/>
  <c r="D17309" i="2"/>
  <c r="F17309" i="2"/>
  <c r="G17309" i="2"/>
  <c r="H17309" i="2"/>
  <c r="J17309" i="2"/>
  <c r="K17309" i="2"/>
  <c r="L17309" i="2"/>
  <c r="C17310" i="2"/>
  <c r="D17310" i="2"/>
  <c r="F17310" i="2"/>
  <c r="G17310" i="2"/>
  <c r="H17310" i="2"/>
  <c r="J17310" i="2"/>
  <c r="K17310" i="2"/>
  <c r="L17310" i="2"/>
  <c r="C17311" i="2"/>
  <c r="D17311" i="2"/>
  <c r="F17311" i="2"/>
  <c r="G17311" i="2"/>
  <c r="H17311" i="2"/>
  <c r="J17311" i="2"/>
  <c r="K17311" i="2"/>
  <c r="L17311" i="2"/>
  <c r="C17312" i="2"/>
  <c r="D17312" i="2"/>
  <c r="F17312" i="2"/>
  <c r="G17312" i="2"/>
  <c r="H17312" i="2"/>
  <c r="J17312" i="2"/>
  <c r="K17312" i="2"/>
  <c r="L17312" i="2"/>
  <c r="C17313" i="2"/>
  <c r="D17313" i="2"/>
  <c r="F17313" i="2"/>
  <c r="G17313" i="2"/>
  <c r="H17313" i="2"/>
  <c r="J17313" i="2"/>
  <c r="K17313" i="2"/>
  <c r="L17313" i="2"/>
  <c r="C17314" i="2"/>
  <c r="D17314" i="2"/>
  <c r="F17314" i="2"/>
  <c r="G17314" i="2"/>
  <c r="H17314" i="2"/>
  <c r="J17314" i="2"/>
  <c r="K17314" i="2"/>
  <c r="L17314" i="2"/>
  <c r="C17315" i="2"/>
  <c r="D17315" i="2"/>
  <c r="F17315" i="2"/>
  <c r="G17315" i="2"/>
  <c r="H17315" i="2"/>
  <c r="J17315" i="2"/>
  <c r="K17315" i="2"/>
  <c r="L17315" i="2"/>
  <c r="C17316" i="2"/>
  <c r="D17316" i="2"/>
  <c r="F17316" i="2"/>
  <c r="G17316" i="2"/>
  <c r="H17316" i="2"/>
  <c r="J17316" i="2"/>
  <c r="K17316" i="2"/>
  <c r="L17316" i="2"/>
  <c r="C17317" i="2"/>
  <c r="D17317" i="2"/>
  <c r="F17317" i="2"/>
  <c r="G17317" i="2"/>
  <c r="H17317" i="2"/>
  <c r="J17317" i="2"/>
  <c r="K17317" i="2"/>
  <c r="L17317" i="2"/>
  <c r="C17318" i="2"/>
  <c r="D17318" i="2"/>
  <c r="F17318" i="2"/>
  <c r="G17318" i="2"/>
  <c r="H17318" i="2"/>
  <c r="J17318" i="2"/>
  <c r="K17318" i="2"/>
  <c r="L17318" i="2"/>
  <c r="C17319" i="2"/>
  <c r="D17319" i="2"/>
  <c r="F17319" i="2"/>
  <c r="G17319" i="2"/>
  <c r="H17319" i="2"/>
  <c r="J17319" i="2"/>
  <c r="K17319" i="2"/>
  <c r="L17319" i="2"/>
  <c r="C17320" i="2"/>
  <c r="D17320" i="2"/>
  <c r="F17320" i="2"/>
  <c r="G17320" i="2"/>
  <c r="H17320" i="2"/>
  <c r="J17320" i="2"/>
  <c r="K17320" i="2"/>
  <c r="L17320" i="2"/>
  <c r="C17321" i="2"/>
  <c r="D17321" i="2"/>
  <c r="F17321" i="2"/>
  <c r="G17321" i="2"/>
  <c r="H17321" i="2"/>
  <c r="J17321" i="2"/>
  <c r="K17321" i="2"/>
  <c r="L17321" i="2"/>
  <c r="C17322" i="2"/>
  <c r="D17322" i="2"/>
  <c r="F17322" i="2"/>
  <c r="G17322" i="2"/>
  <c r="H17322" i="2"/>
  <c r="J17322" i="2"/>
  <c r="K17322" i="2"/>
  <c r="L17322" i="2"/>
  <c r="C17323" i="2"/>
  <c r="D17323" i="2"/>
  <c r="F17323" i="2"/>
  <c r="G17323" i="2"/>
  <c r="H17323" i="2"/>
  <c r="J17323" i="2"/>
  <c r="K17323" i="2"/>
  <c r="L17323" i="2"/>
  <c r="C17324" i="2"/>
  <c r="D17324" i="2"/>
  <c r="F17324" i="2"/>
  <c r="G17324" i="2"/>
  <c r="H17324" i="2"/>
  <c r="J17324" i="2"/>
  <c r="K17324" i="2"/>
  <c r="L17324" i="2"/>
  <c r="C17325" i="2"/>
  <c r="D17325" i="2"/>
  <c r="F17325" i="2"/>
  <c r="G17325" i="2"/>
  <c r="H17325" i="2"/>
  <c r="J17325" i="2"/>
  <c r="K17325" i="2"/>
  <c r="L17325" i="2"/>
  <c r="C17326" i="2"/>
  <c r="D17326" i="2"/>
  <c r="F17326" i="2"/>
  <c r="G17326" i="2"/>
  <c r="H17326" i="2"/>
  <c r="J17326" i="2"/>
  <c r="K17326" i="2"/>
  <c r="L17326" i="2"/>
  <c r="C17327" i="2"/>
  <c r="D17327" i="2"/>
  <c r="F17327" i="2"/>
  <c r="G17327" i="2"/>
  <c r="H17327" i="2"/>
  <c r="J17327" i="2"/>
  <c r="K17327" i="2"/>
  <c r="L17327" i="2"/>
  <c r="C17328" i="2"/>
  <c r="D17328" i="2"/>
  <c r="F17328" i="2"/>
  <c r="G17328" i="2"/>
  <c r="H17328" i="2"/>
  <c r="J17328" i="2"/>
  <c r="K17328" i="2"/>
  <c r="L17328" i="2"/>
  <c r="C17329" i="2"/>
  <c r="D17329" i="2"/>
  <c r="F17329" i="2"/>
  <c r="G17329" i="2"/>
  <c r="H17329" i="2"/>
  <c r="J17329" i="2"/>
  <c r="K17329" i="2"/>
  <c r="L17329" i="2"/>
  <c r="C17330" i="2"/>
  <c r="D17330" i="2"/>
  <c r="F17330" i="2"/>
  <c r="G17330" i="2"/>
  <c r="H17330" i="2"/>
  <c r="J17330" i="2"/>
  <c r="K17330" i="2"/>
  <c r="L17330" i="2"/>
  <c r="C17331" i="2"/>
  <c r="D17331" i="2"/>
  <c r="F17331" i="2"/>
  <c r="G17331" i="2"/>
  <c r="H17331" i="2"/>
  <c r="J17331" i="2"/>
  <c r="K17331" i="2"/>
  <c r="L17331" i="2"/>
  <c r="C17332" i="2"/>
  <c r="D17332" i="2"/>
  <c r="F17332" i="2"/>
  <c r="G17332" i="2"/>
  <c r="H17332" i="2"/>
  <c r="J17332" i="2"/>
  <c r="K17332" i="2"/>
  <c r="L17332" i="2"/>
  <c r="C17333" i="2"/>
  <c r="D17333" i="2"/>
  <c r="F17333" i="2"/>
  <c r="G17333" i="2"/>
  <c r="H17333" i="2"/>
  <c r="J17333" i="2"/>
  <c r="K17333" i="2"/>
  <c r="L17333" i="2"/>
  <c r="C17334" i="2"/>
  <c r="D17334" i="2"/>
  <c r="F17334" i="2"/>
  <c r="G17334" i="2"/>
  <c r="H17334" i="2"/>
  <c r="J17334" i="2"/>
  <c r="K17334" i="2"/>
  <c r="L17334" i="2"/>
  <c r="C17335" i="2"/>
  <c r="D17335" i="2"/>
  <c r="F17335" i="2"/>
  <c r="G17335" i="2"/>
  <c r="H17335" i="2"/>
  <c r="J17335" i="2"/>
  <c r="K17335" i="2"/>
  <c r="L17335" i="2"/>
  <c r="C17336" i="2"/>
  <c r="D17336" i="2"/>
  <c r="F17336" i="2"/>
  <c r="G17336" i="2"/>
  <c r="H17336" i="2"/>
  <c r="J17336" i="2"/>
  <c r="K17336" i="2"/>
  <c r="L17336" i="2"/>
  <c r="C17337" i="2"/>
  <c r="D17337" i="2"/>
  <c r="F17337" i="2"/>
  <c r="G17337" i="2"/>
  <c r="H17337" i="2"/>
  <c r="J17337" i="2"/>
  <c r="K17337" i="2"/>
  <c r="L17337" i="2"/>
  <c r="C17338" i="2"/>
  <c r="D17338" i="2"/>
  <c r="F17338" i="2"/>
  <c r="G17338" i="2"/>
  <c r="H17338" i="2"/>
  <c r="J17338" i="2"/>
  <c r="K17338" i="2"/>
  <c r="L17338" i="2"/>
  <c r="C17339" i="2"/>
  <c r="D17339" i="2"/>
  <c r="F17339" i="2"/>
  <c r="G17339" i="2"/>
  <c r="H17339" i="2"/>
  <c r="J17339" i="2"/>
  <c r="K17339" i="2"/>
  <c r="L17339" i="2"/>
  <c r="C17340" i="2"/>
  <c r="D17340" i="2"/>
  <c r="F17340" i="2"/>
  <c r="G17340" i="2"/>
  <c r="H17340" i="2"/>
  <c r="J17340" i="2"/>
  <c r="K17340" i="2"/>
  <c r="L17340" i="2"/>
  <c r="C17341" i="2"/>
  <c r="D17341" i="2"/>
  <c r="F17341" i="2"/>
  <c r="G17341" i="2"/>
  <c r="H17341" i="2"/>
  <c r="J17341" i="2"/>
  <c r="K17341" i="2"/>
  <c r="L17341" i="2"/>
  <c r="C17342" i="2"/>
  <c r="D17342" i="2"/>
  <c r="F17342" i="2"/>
  <c r="G17342" i="2"/>
  <c r="H17342" i="2"/>
  <c r="J17342" i="2"/>
  <c r="K17342" i="2"/>
  <c r="L17342" i="2"/>
  <c r="C17343" i="2"/>
  <c r="D17343" i="2"/>
  <c r="F17343" i="2"/>
  <c r="G17343" i="2"/>
  <c r="H17343" i="2"/>
  <c r="J17343" i="2"/>
  <c r="K17343" i="2"/>
  <c r="L17343" i="2"/>
  <c r="C17344" i="2"/>
  <c r="D17344" i="2"/>
  <c r="F17344" i="2"/>
  <c r="G17344" i="2"/>
  <c r="H17344" i="2"/>
  <c r="J17344" i="2"/>
  <c r="K17344" i="2"/>
  <c r="L17344" i="2"/>
  <c r="C17345" i="2"/>
  <c r="D17345" i="2"/>
  <c r="F17345" i="2"/>
  <c r="G17345" i="2"/>
  <c r="H17345" i="2"/>
  <c r="J17345" i="2"/>
  <c r="K17345" i="2"/>
  <c r="L17345" i="2"/>
  <c r="C17346" i="2"/>
  <c r="D17346" i="2"/>
  <c r="F17346" i="2"/>
  <c r="G17346" i="2"/>
  <c r="H17346" i="2"/>
  <c r="J17346" i="2"/>
  <c r="K17346" i="2"/>
  <c r="L17346" i="2"/>
  <c r="C17347" i="2"/>
  <c r="D17347" i="2"/>
  <c r="F17347" i="2"/>
  <c r="G17347" i="2"/>
  <c r="H17347" i="2"/>
  <c r="J17347" i="2"/>
  <c r="K17347" i="2"/>
  <c r="L17347" i="2"/>
  <c r="C17348" i="2"/>
  <c r="D17348" i="2"/>
  <c r="F17348" i="2"/>
  <c r="G17348" i="2"/>
  <c r="H17348" i="2"/>
  <c r="J17348" i="2"/>
  <c r="K17348" i="2"/>
  <c r="L17348" i="2"/>
  <c r="C17349" i="2"/>
  <c r="D17349" i="2"/>
  <c r="F17349" i="2"/>
  <c r="G17349" i="2"/>
  <c r="H17349" i="2"/>
  <c r="J17349" i="2"/>
  <c r="K17349" i="2"/>
  <c r="L17349" i="2"/>
  <c r="C17350" i="2"/>
  <c r="D17350" i="2"/>
  <c r="F17350" i="2"/>
  <c r="G17350" i="2"/>
  <c r="H17350" i="2"/>
  <c r="J17350" i="2"/>
  <c r="K17350" i="2"/>
  <c r="L17350" i="2"/>
  <c r="C17351" i="2"/>
  <c r="D17351" i="2"/>
  <c r="F17351" i="2"/>
  <c r="G17351" i="2"/>
  <c r="H17351" i="2"/>
  <c r="J17351" i="2"/>
  <c r="K17351" i="2"/>
  <c r="L17351" i="2"/>
  <c r="C17352" i="2"/>
  <c r="D17352" i="2"/>
  <c r="F17352" i="2"/>
  <c r="G17352" i="2"/>
  <c r="H17352" i="2"/>
  <c r="J17352" i="2"/>
  <c r="K17352" i="2"/>
  <c r="L17352" i="2"/>
  <c r="C17353" i="2"/>
  <c r="D17353" i="2"/>
  <c r="F17353" i="2"/>
  <c r="G17353" i="2"/>
  <c r="H17353" i="2"/>
  <c r="J17353" i="2"/>
  <c r="K17353" i="2"/>
  <c r="L17353" i="2"/>
  <c r="C17354" i="2"/>
  <c r="D17354" i="2"/>
  <c r="F17354" i="2"/>
  <c r="G17354" i="2"/>
  <c r="H17354" i="2"/>
  <c r="J17354" i="2"/>
  <c r="K17354" i="2"/>
  <c r="L17354" i="2"/>
  <c r="C17355" i="2"/>
  <c r="D17355" i="2"/>
  <c r="F17355" i="2"/>
  <c r="G17355" i="2"/>
  <c r="H17355" i="2"/>
  <c r="J17355" i="2"/>
  <c r="K17355" i="2"/>
  <c r="L17355" i="2"/>
  <c r="C17356" i="2"/>
  <c r="D17356" i="2"/>
  <c r="F17356" i="2"/>
  <c r="G17356" i="2"/>
  <c r="H17356" i="2"/>
  <c r="J17356" i="2"/>
  <c r="K17356" i="2"/>
  <c r="L17356" i="2"/>
  <c r="C17357" i="2"/>
  <c r="D17357" i="2"/>
  <c r="F17357" i="2"/>
  <c r="G17357" i="2"/>
  <c r="H17357" i="2"/>
  <c r="J17357" i="2"/>
  <c r="K17357" i="2"/>
  <c r="L17357" i="2"/>
  <c r="C17358" i="2"/>
  <c r="D17358" i="2"/>
  <c r="F17358" i="2"/>
  <c r="G17358" i="2"/>
  <c r="H17358" i="2"/>
  <c r="J17358" i="2"/>
  <c r="K17358" i="2"/>
  <c r="L17358" i="2"/>
  <c r="C17359" i="2"/>
  <c r="D17359" i="2"/>
  <c r="F17359" i="2"/>
  <c r="G17359" i="2"/>
  <c r="H17359" i="2"/>
  <c r="J17359" i="2"/>
  <c r="K17359" i="2"/>
  <c r="L17359" i="2"/>
  <c r="C17360" i="2"/>
  <c r="D17360" i="2"/>
  <c r="F17360" i="2"/>
  <c r="G17360" i="2"/>
  <c r="H17360" i="2"/>
  <c r="J17360" i="2"/>
  <c r="K17360" i="2"/>
  <c r="L17360" i="2"/>
  <c r="D17361" i="2"/>
  <c r="F17361" i="2"/>
  <c r="G17361" i="2"/>
  <c r="H17361" i="2"/>
  <c r="J17361" i="2"/>
  <c r="K17361" i="2"/>
  <c r="L17361" i="2"/>
  <c r="C17362" i="2"/>
  <c r="D17362" i="2"/>
  <c r="F17362" i="2"/>
  <c r="G17362" i="2"/>
  <c r="H17362" i="2"/>
  <c r="J17362" i="2"/>
  <c r="K17362" i="2"/>
  <c r="L17362" i="2"/>
  <c r="C17363" i="2"/>
  <c r="D17363" i="2"/>
  <c r="F17363" i="2"/>
  <c r="G17363" i="2"/>
  <c r="H17363" i="2"/>
  <c r="J17363" i="2"/>
  <c r="K17363" i="2"/>
  <c r="L17363" i="2"/>
  <c r="C17364" i="2"/>
  <c r="D17364" i="2"/>
  <c r="F17364" i="2"/>
  <c r="G17364" i="2"/>
  <c r="H17364" i="2"/>
  <c r="J17364" i="2"/>
  <c r="K17364" i="2"/>
  <c r="L17364" i="2"/>
  <c r="C17365" i="2"/>
  <c r="D17365" i="2"/>
  <c r="F17365" i="2"/>
  <c r="G17365" i="2"/>
  <c r="H17365" i="2"/>
  <c r="J17365" i="2"/>
  <c r="K17365" i="2"/>
  <c r="L17365" i="2"/>
  <c r="C17366" i="2"/>
  <c r="D17366" i="2"/>
  <c r="F17366" i="2"/>
  <c r="G17366" i="2"/>
  <c r="H17366" i="2"/>
  <c r="J17366" i="2"/>
  <c r="K17366" i="2"/>
  <c r="L17366" i="2"/>
  <c r="C17367" i="2"/>
  <c r="D17367" i="2"/>
  <c r="F17367" i="2"/>
  <c r="G17367" i="2"/>
  <c r="H17367" i="2"/>
  <c r="J17367" i="2"/>
  <c r="K17367" i="2"/>
  <c r="L17367" i="2"/>
  <c r="C17368" i="2"/>
  <c r="D17368" i="2"/>
  <c r="F17368" i="2"/>
  <c r="G17368" i="2"/>
  <c r="H17368" i="2"/>
  <c r="J17368" i="2"/>
  <c r="K17368" i="2"/>
  <c r="L17368" i="2"/>
  <c r="D17369" i="2"/>
  <c r="F17369" i="2"/>
  <c r="G17369" i="2"/>
  <c r="H17369" i="2"/>
  <c r="J17369" i="2"/>
  <c r="K17369" i="2"/>
  <c r="L17369" i="2"/>
  <c r="C17370" i="2"/>
  <c r="D17370" i="2"/>
  <c r="F17370" i="2"/>
  <c r="G17370" i="2"/>
  <c r="H17370" i="2"/>
  <c r="J17370" i="2"/>
  <c r="K17370" i="2"/>
  <c r="L17370" i="2"/>
  <c r="C17371" i="2"/>
  <c r="D17371" i="2"/>
  <c r="F17371" i="2"/>
  <c r="G17371" i="2"/>
  <c r="H17371" i="2"/>
  <c r="J17371" i="2"/>
  <c r="K17371" i="2"/>
  <c r="L17371" i="2"/>
  <c r="C17372" i="2"/>
  <c r="D17372" i="2"/>
  <c r="F17372" i="2"/>
  <c r="G17372" i="2"/>
  <c r="H17372" i="2"/>
  <c r="J17372" i="2"/>
  <c r="K17372" i="2"/>
  <c r="L17372" i="2"/>
  <c r="C17373" i="2"/>
  <c r="D17373" i="2"/>
  <c r="F17373" i="2"/>
  <c r="G17373" i="2"/>
  <c r="H17373" i="2"/>
  <c r="J17373" i="2"/>
  <c r="K17373" i="2"/>
  <c r="L17373" i="2"/>
  <c r="C17374" i="2"/>
  <c r="D17374" i="2"/>
  <c r="F17374" i="2"/>
  <c r="G17374" i="2"/>
  <c r="H17374" i="2"/>
  <c r="J17374" i="2"/>
  <c r="K17374" i="2"/>
  <c r="L17374" i="2"/>
  <c r="C17375" i="2"/>
  <c r="D17375" i="2"/>
  <c r="F17375" i="2"/>
  <c r="G17375" i="2"/>
  <c r="H17375" i="2"/>
  <c r="J17375" i="2"/>
  <c r="K17375" i="2"/>
  <c r="L17375" i="2"/>
  <c r="C17376" i="2"/>
  <c r="D17376" i="2"/>
  <c r="F17376" i="2"/>
  <c r="G17376" i="2"/>
  <c r="H17376" i="2"/>
  <c r="J17376" i="2"/>
  <c r="K17376" i="2"/>
  <c r="L17376" i="2"/>
  <c r="C17377" i="2"/>
  <c r="D17377" i="2"/>
  <c r="F17377" i="2"/>
  <c r="G17377" i="2"/>
  <c r="H17377" i="2"/>
  <c r="J17377" i="2"/>
  <c r="K17377" i="2"/>
  <c r="L17377" i="2"/>
  <c r="C17378" i="2"/>
  <c r="D17378" i="2"/>
  <c r="F17378" i="2"/>
  <c r="G17378" i="2"/>
  <c r="H17378" i="2"/>
  <c r="J17378" i="2"/>
  <c r="K17378" i="2"/>
  <c r="L17378" i="2"/>
  <c r="C17379" i="2"/>
  <c r="D17379" i="2"/>
  <c r="F17379" i="2"/>
  <c r="G17379" i="2"/>
  <c r="H17379" i="2"/>
  <c r="J17379" i="2"/>
  <c r="K17379" i="2"/>
  <c r="L17379" i="2"/>
  <c r="D17380" i="2"/>
  <c r="F17380" i="2"/>
  <c r="G17380" i="2"/>
  <c r="H17380" i="2"/>
  <c r="J17380" i="2"/>
  <c r="K17380" i="2"/>
  <c r="L17380" i="2"/>
  <c r="C17381" i="2"/>
  <c r="D17381" i="2"/>
  <c r="F17381" i="2"/>
  <c r="G17381" i="2"/>
  <c r="H17381" i="2"/>
  <c r="J17381" i="2"/>
  <c r="K17381" i="2"/>
  <c r="L17381" i="2"/>
  <c r="D17382" i="2"/>
  <c r="F17382" i="2"/>
  <c r="G17382" i="2"/>
  <c r="H17382" i="2"/>
  <c r="J17382" i="2"/>
  <c r="K17382" i="2"/>
  <c r="L17382" i="2"/>
  <c r="C17383" i="2"/>
  <c r="D17383" i="2"/>
  <c r="F17383" i="2"/>
  <c r="G17383" i="2"/>
  <c r="H17383" i="2"/>
  <c r="J17383" i="2"/>
  <c r="K17383" i="2"/>
  <c r="L17383" i="2"/>
  <c r="D17384" i="2"/>
  <c r="F17384" i="2"/>
  <c r="G17384" i="2"/>
  <c r="H17384" i="2"/>
  <c r="J17384" i="2"/>
  <c r="K17384" i="2"/>
  <c r="L17384" i="2"/>
  <c r="C17385" i="2"/>
  <c r="D17385" i="2"/>
  <c r="F17385" i="2"/>
  <c r="G17385" i="2"/>
  <c r="H17385" i="2"/>
  <c r="J17385" i="2"/>
  <c r="K17385" i="2"/>
  <c r="L17385" i="2"/>
  <c r="C17386" i="2"/>
  <c r="D17386" i="2"/>
  <c r="F17386" i="2"/>
  <c r="G17386" i="2"/>
  <c r="H17386" i="2"/>
  <c r="J17386" i="2"/>
  <c r="K17386" i="2"/>
  <c r="L17386" i="2"/>
  <c r="C17387" i="2"/>
  <c r="D17387" i="2"/>
  <c r="F17387" i="2"/>
  <c r="G17387" i="2"/>
  <c r="H17387" i="2"/>
  <c r="J17387" i="2"/>
  <c r="K17387" i="2"/>
  <c r="L17387" i="2"/>
  <c r="C17388" i="2"/>
  <c r="D17388" i="2"/>
  <c r="F17388" i="2"/>
  <c r="G17388" i="2"/>
  <c r="H17388" i="2"/>
  <c r="J17388" i="2"/>
  <c r="K17388" i="2"/>
  <c r="L17388" i="2"/>
  <c r="D17389" i="2"/>
  <c r="F17389" i="2"/>
  <c r="G17389" i="2"/>
  <c r="H17389" i="2"/>
  <c r="J17389" i="2"/>
  <c r="K17389" i="2"/>
  <c r="L17389" i="2"/>
  <c r="C17390" i="2"/>
  <c r="D17390" i="2"/>
  <c r="F17390" i="2"/>
  <c r="G17390" i="2"/>
  <c r="H17390" i="2"/>
  <c r="J17390" i="2"/>
  <c r="K17390" i="2"/>
  <c r="L17390" i="2"/>
  <c r="C17391" i="2"/>
  <c r="D17391" i="2"/>
  <c r="F17391" i="2"/>
  <c r="G17391" i="2"/>
  <c r="H17391" i="2"/>
  <c r="J17391" i="2"/>
  <c r="K17391" i="2"/>
  <c r="L17391" i="2"/>
  <c r="C17392" i="2"/>
  <c r="D17392" i="2"/>
  <c r="F17392" i="2"/>
  <c r="G17392" i="2"/>
  <c r="H17392" i="2"/>
  <c r="J17392" i="2"/>
  <c r="K17392" i="2"/>
  <c r="L17392" i="2"/>
  <c r="C17393" i="2"/>
  <c r="D17393" i="2"/>
  <c r="F17393" i="2"/>
  <c r="G17393" i="2"/>
  <c r="H17393" i="2"/>
  <c r="J17393" i="2"/>
  <c r="K17393" i="2"/>
  <c r="L17393" i="2"/>
  <c r="D17394" i="2"/>
  <c r="F17394" i="2"/>
  <c r="G17394" i="2"/>
  <c r="H17394" i="2"/>
  <c r="J17394" i="2"/>
  <c r="K17394" i="2"/>
  <c r="L17394" i="2"/>
  <c r="C17395" i="2"/>
  <c r="D17395" i="2"/>
  <c r="F17395" i="2"/>
  <c r="G17395" i="2"/>
  <c r="H17395" i="2"/>
  <c r="J17395" i="2"/>
  <c r="K17395" i="2"/>
  <c r="L17395" i="2"/>
  <c r="C17396" i="2"/>
  <c r="D17396" i="2"/>
  <c r="F17396" i="2"/>
  <c r="G17396" i="2"/>
  <c r="H17396" i="2"/>
  <c r="J17396" i="2"/>
  <c r="K17396" i="2"/>
  <c r="L17396" i="2"/>
  <c r="C17397" i="2"/>
  <c r="D17397" i="2"/>
  <c r="F17397" i="2"/>
  <c r="G17397" i="2"/>
  <c r="H17397" i="2"/>
  <c r="J17397" i="2"/>
  <c r="K17397" i="2"/>
  <c r="L17397" i="2"/>
  <c r="C17398" i="2"/>
  <c r="D17398" i="2"/>
  <c r="F17398" i="2"/>
  <c r="G17398" i="2"/>
  <c r="H17398" i="2"/>
  <c r="J17398" i="2"/>
  <c r="K17398" i="2"/>
  <c r="L17398" i="2"/>
  <c r="D17399" i="2"/>
  <c r="F17399" i="2"/>
  <c r="G17399" i="2"/>
  <c r="H17399" i="2"/>
  <c r="J17399" i="2"/>
  <c r="K17399" i="2"/>
  <c r="L17399" i="2"/>
  <c r="C17400" i="2"/>
  <c r="D17400" i="2"/>
  <c r="F17400" i="2"/>
  <c r="G17400" i="2"/>
  <c r="H17400" i="2"/>
  <c r="J17400" i="2"/>
  <c r="K17400" i="2"/>
  <c r="L17400" i="2"/>
  <c r="C17401" i="2"/>
  <c r="D17401" i="2"/>
  <c r="F17401" i="2"/>
  <c r="G17401" i="2"/>
  <c r="H17401" i="2"/>
  <c r="J17401" i="2"/>
  <c r="K17401" i="2"/>
  <c r="L17401" i="2"/>
  <c r="C17402" i="2"/>
  <c r="D17402" i="2"/>
  <c r="F17402" i="2"/>
  <c r="G17402" i="2"/>
  <c r="H17402" i="2"/>
  <c r="J17402" i="2"/>
  <c r="K17402" i="2"/>
  <c r="L17402" i="2"/>
  <c r="C17403" i="2"/>
  <c r="D17403" i="2"/>
  <c r="F17403" i="2"/>
  <c r="G17403" i="2"/>
  <c r="H17403" i="2"/>
  <c r="J17403" i="2"/>
  <c r="K17403" i="2"/>
  <c r="L17403" i="2"/>
  <c r="C17404" i="2"/>
  <c r="D17404" i="2"/>
  <c r="F17404" i="2"/>
  <c r="G17404" i="2"/>
  <c r="H17404" i="2"/>
  <c r="J17404" i="2"/>
  <c r="K17404" i="2"/>
  <c r="L17404" i="2"/>
  <c r="D17405" i="2"/>
  <c r="F17405" i="2"/>
  <c r="G17405" i="2"/>
  <c r="H17405" i="2"/>
  <c r="J17405" i="2"/>
  <c r="K17405" i="2"/>
  <c r="L17405" i="2"/>
  <c r="C17406" i="2"/>
  <c r="D17406" i="2"/>
  <c r="F17406" i="2"/>
  <c r="G17406" i="2"/>
  <c r="H17406" i="2"/>
  <c r="J17406" i="2"/>
  <c r="K17406" i="2"/>
  <c r="L17406" i="2"/>
  <c r="C17407" i="2"/>
  <c r="D17407" i="2"/>
  <c r="F17407" i="2"/>
  <c r="G17407" i="2"/>
  <c r="H17407" i="2"/>
  <c r="J17407" i="2"/>
  <c r="K17407" i="2"/>
  <c r="L17407" i="2"/>
  <c r="D17408" i="2"/>
  <c r="F17408" i="2"/>
  <c r="G17408" i="2"/>
  <c r="H17408" i="2"/>
  <c r="J17408" i="2"/>
  <c r="K17408" i="2"/>
  <c r="L17408" i="2"/>
  <c r="C17409" i="2"/>
  <c r="D17409" i="2"/>
  <c r="F17409" i="2"/>
  <c r="G17409" i="2"/>
  <c r="H17409" i="2"/>
  <c r="J17409" i="2"/>
  <c r="K17409" i="2"/>
  <c r="L17409" i="2"/>
  <c r="D17410" i="2"/>
  <c r="F17410" i="2"/>
  <c r="G17410" i="2"/>
  <c r="H17410" i="2"/>
  <c r="J17410" i="2"/>
  <c r="K17410" i="2"/>
  <c r="L17410" i="2"/>
  <c r="D17411" i="2"/>
  <c r="F17411" i="2"/>
  <c r="G17411" i="2"/>
  <c r="H17411" i="2"/>
  <c r="J17411" i="2"/>
  <c r="K17411" i="2"/>
  <c r="L17411" i="2"/>
  <c r="C17412" i="2"/>
  <c r="D17412" i="2"/>
  <c r="F17412" i="2"/>
  <c r="G17412" i="2"/>
  <c r="H17412" i="2"/>
  <c r="J17412" i="2"/>
  <c r="K17412" i="2"/>
  <c r="L17412" i="2"/>
  <c r="C17413" i="2"/>
  <c r="D17413" i="2"/>
  <c r="F17413" i="2"/>
  <c r="G17413" i="2"/>
  <c r="H17413" i="2"/>
  <c r="J17413" i="2"/>
  <c r="K17413" i="2"/>
  <c r="L17413" i="2"/>
  <c r="C17414" i="2"/>
  <c r="D17414" i="2"/>
  <c r="F17414" i="2"/>
  <c r="G17414" i="2"/>
  <c r="H17414" i="2"/>
  <c r="J17414" i="2"/>
  <c r="K17414" i="2"/>
  <c r="L17414" i="2"/>
  <c r="C17415" i="2"/>
  <c r="D17415" i="2"/>
  <c r="F17415" i="2"/>
  <c r="G17415" i="2"/>
  <c r="H17415" i="2"/>
  <c r="J17415" i="2"/>
  <c r="K17415" i="2"/>
  <c r="L17415" i="2"/>
  <c r="C17416" i="2"/>
  <c r="D17416" i="2"/>
  <c r="F17416" i="2"/>
  <c r="G17416" i="2"/>
  <c r="H17416" i="2"/>
  <c r="J17416" i="2"/>
  <c r="K17416" i="2"/>
  <c r="L17416" i="2"/>
  <c r="C17417" i="2"/>
  <c r="D17417" i="2"/>
  <c r="F17417" i="2"/>
  <c r="G17417" i="2"/>
  <c r="H17417" i="2"/>
  <c r="J17417" i="2"/>
  <c r="K17417" i="2"/>
  <c r="L17417" i="2"/>
  <c r="C17418" i="2"/>
  <c r="D17418" i="2"/>
  <c r="F17418" i="2"/>
  <c r="G17418" i="2"/>
  <c r="H17418" i="2"/>
  <c r="J17418" i="2"/>
  <c r="K17418" i="2"/>
  <c r="L17418" i="2"/>
  <c r="C17419" i="2"/>
  <c r="D17419" i="2"/>
  <c r="F17419" i="2"/>
  <c r="G17419" i="2"/>
  <c r="H17419" i="2"/>
  <c r="J17419" i="2"/>
  <c r="K17419" i="2"/>
  <c r="L17419" i="2"/>
  <c r="C17420" i="2"/>
  <c r="D17420" i="2"/>
  <c r="F17420" i="2"/>
  <c r="G17420" i="2"/>
  <c r="H17420" i="2"/>
  <c r="J17420" i="2"/>
  <c r="K17420" i="2"/>
  <c r="L17420" i="2"/>
  <c r="C17421" i="2"/>
  <c r="D17421" i="2"/>
  <c r="F17421" i="2"/>
  <c r="G17421" i="2"/>
  <c r="H17421" i="2"/>
  <c r="J17421" i="2"/>
  <c r="K17421" i="2"/>
  <c r="L17421" i="2"/>
  <c r="C17422" i="2"/>
  <c r="D17422" i="2"/>
  <c r="F17422" i="2"/>
  <c r="G17422" i="2"/>
  <c r="H17422" i="2"/>
  <c r="J17422" i="2"/>
  <c r="K17422" i="2"/>
  <c r="L17422" i="2"/>
  <c r="C17423" i="2"/>
  <c r="D17423" i="2"/>
  <c r="F17423" i="2"/>
  <c r="G17423" i="2"/>
  <c r="H17423" i="2"/>
  <c r="J17423" i="2"/>
  <c r="K17423" i="2"/>
  <c r="L17423" i="2"/>
  <c r="C17424" i="2"/>
  <c r="D17424" i="2"/>
  <c r="F17424" i="2"/>
  <c r="G17424" i="2"/>
  <c r="H17424" i="2"/>
  <c r="J17424" i="2"/>
  <c r="K17424" i="2"/>
  <c r="L17424" i="2"/>
  <c r="C17425" i="2"/>
  <c r="D17425" i="2"/>
  <c r="F17425" i="2"/>
  <c r="G17425" i="2"/>
  <c r="H17425" i="2"/>
  <c r="J17425" i="2"/>
  <c r="K17425" i="2"/>
  <c r="L17425" i="2"/>
  <c r="C17426" i="2"/>
  <c r="D17426" i="2"/>
  <c r="F17426" i="2"/>
  <c r="G17426" i="2"/>
  <c r="H17426" i="2"/>
  <c r="J17426" i="2"/>
  <c r="K17426" i="2"/>
  <c r="L17426" i="2"/>
  <c r="C17427" i="2"/>
  <c r="D17427" i="2"/>
  <c r="F17427" i="2"/>
  <c r="G17427" i="2"/>
  <c r="H17427" i="2"/>
  <c r="J17427" i="2"/>
  <c r="K17427" i="2"/>
  <c r="L17427" i="2"/>
  <c r="C17428" i="2"/>
  <c r="D17428" i="2"/>
  <c r="F17428" i="2"/>
  <c r="G17428" i="2"/>
  <c r="H17428" i="2"/>
  <c r="J17428" i="2"/>
  <c r="K17428" i="2"/>
  <c r="L17428" i="2"/>
  <c r="C17429" i="2"/>
  <c r="D17429" i="2"/>
  <c r="F17429" i="2"/>
  <c r="G17429" i="2"/>
  <c r="H17429" i="2"/>
  <c r="J17429" i="2"/>
  <c r="K17429" i="2"/>
  <c r="L17429" i="2"/>
  <c r="C17430" i="2"/>
  <c r="D17430" i="2"/>
  <c r="F17430" i="2"/>
  <c r="G17430" i="2"/>
  <c r="H17430" i="2"/>
  <c r="J17430" i="2"/>
  <c r="K17430" i="2"/>
  <c r="L17430" i="2"/>
  <c r="D17431" i="2"/>
  <c r="F17431" i="2"/>
  <c r="G17431" i="2"/>
  <c r="H17431" i="2"/>
  <c r="J17431" i="2"/>
  <c r="K17431" i="2"/>
  <c r="L17431" i="2"/>
  <c r="C17432" i="2"/>
  <c r="D17432" i="2"/>
  <c r="F17432" i="2"/>
  <c r="G17432" i="2"/>
  <c r="H17432" i="2"/>
  <c r="J17432" i="2"/>
  <c r="K17432" i="2"/>
  <c r="L17432" i="2"/>
  <c r="C17433" i="2"/>
  <c r="D17433" i="2"/>
  <c r="F17433" i="2"/>
  <c r="G17433" i="2"/>
  <c r="H17433" i="2"/>
  <c r="J17433" i="2"/>
  <c r="K17433" i="2"/>
  <c r="L17433" i="2"/>
  <c r="C17434" i="2"/>
  <c r="D17434" i="2"/>
  <c r="F17434" i="2"/>
  <c r="G17434" i="2"/>
  <c r="H17434" i="2"/>
  <c r="J17434" i="2"/>
  <c r="K17434" i="2"/>
  <c r="L17434" i="2"/>
  <c r="C17435" i="2"/>
  <c r="D17435" i="2"/>
  <c r="F17435" i="2"/>
  <c r="G17435" i="2"/>
  <c r="H17435" i="2"/>
  <c r="J17435" i="2"/>
  <c r="K17435" i="2"/>
  <c r="L17435" i="2"/>
  <c r="C17436" i="2"/>
  <c r="D17436" i="2"/>
  <c r="F17436" i="2"/>
  <c r="G17436" i="2"/>
  <c r="H17436" i="2"/>
  <c r="J17436" i="2"/>
  <c r="K17436" i="2"/>
  <c r="L17436" i="2"/>
  <c r="C17437" i="2"/>
  <c r="D17437" i="2"/>
  <c r="F17437" i="2"/>
  <c r="G17437" i="2"/>
  <c r="H17437" i="2"/>
  <c r="J17437" i="2"/>
  <c r="K17437" i="2"/>
  <c r="L17437" i="2"/>
  <c r="C17438" i="2"/>
  <c r="D17438" i="2"/>
  <c r="F17438" i="2"/>
  <c r="G17438" i="2"/>
  <c r="H17438" i="2"/>
  <c r="J17438" i="2"/>
  <c r="K17438" i="2"/>
  <c r="L17438" i="2"/>
  <c r="C17439" i="2"/>
  <c r="D17439" i="2"/>
  <c r="F17439" i="2"/>
  <c r="G17439" i="2"/>
  <c r="H17439" i="2"/>
  <c r="J17439" i="2"/>
  <c r="K17439" i="2"/>
  <c r="L17439" i="2"/>
  <c r="C17440" i="2"/>
  <c r="D17440" i="2"/>
  <c r="F17440" i="2"/>
  <c r="G17440" i="2"/>
  <c r="H17440" i="2"/>
  <c r="J17440" i="2"/>
  <c r="K17440" i="2"/>
  <c r="L17440" i="2"/>
  <c r="C17441" i="2"/>
  <c r="D17441" i="2"/>
  <c r="F17441" i="2"/>
  <c r="G17441" i="2"/>
  <c r="H17441" i="2"/>
  <c r="J17441" i="2"/>
  <c r="K17441" i="2"/>
  <c r="L17441" i="2"/>
  <c r="C17442" i="2"/>
  <c r="D17442" i="2"/>
  <c r="F17442" i="2"/>
  <c r="G17442" i="2"/>
  <c r="H17442" i="2"/>
  <c r="J17442" i="2"/>
  <c r="K17442" i="2"/>
  <c r="L17442" i="2"/>
  <c r="C17443" i="2"/>
  <c r="D17443" i="2"/>
  <c r="F17443" i="2"/>
  <c r="G17443" i="2"/>
  <c r="H17443" i="2"/>
  <c r="J17443" i="2"/>
  <c r="K17443" i="2"/>
  <c r="L17443" i="2"/>
  <c r="C17444" i="2"/>
  <c r="D17444" i="2"/>
  <c r="F17444" i="2"/>
  <c r="G17444" i="2"/>
  <c r="H17444" i="2"/>
  <c r="J17444" i="2"/>
  <c r="K17444" i="2"/>
  <c r="L17444" i="2"/>
  <c r="C17445" i="2"/>
  <c r="D17445" i="2"/>
  <c r="F17445" i="2"/>
  <c r="G17445" i="2"/>
  <c r="H17445" i="2"/>
  <c r="J17445" i="2"/>
  <c r="K17445" i="2"/>
  <c r="L17445" i="2"/>
  <c r="C17446" i="2"/>
  <c r="D17446" i="2"/>
  <c r="F17446" i="2"/>
  <c r="G17446" i="2"/>
  <c r="H17446" i="2"/>
  <c r="J17446" i="2"/>
  <c r="K17446" i="2"/>
  <c r="L17446" i="2"/>
  <c r="C17447" i="2"/>
  <c r="D17447" i="2"/>
  <c r="F17447" i="2"/>
  <c r="G17447" i="2"/>
  <c r="H17447" i="2"/>
  <c r="J17447" i="2"/>
  <c r="K17447" i="2"/>
  <c r="L17447" i="2"/>
  <c r="C17448" i="2"/>
  <c r="D17448" i="2"/>
  <c r="F17448" i="2"/>
  <c r="G17448" i="2"/>
  <c r="H17448" i="2"/>
  <c r="J17448" i="2"/>
  <c r="K17448" i="2"/>
  <c r="L17448" i="2"/>
  <c r="C17449" i="2"/>
  <c r="D17449" i="2"/>
  <c r="F17449" i="2"/>
  <c r="G17449" i="2"/>
  <c r="H17449" i="2"/>
  <c r="J17449" i="2"/>
  <c r="K17449" i="2"/>
  <c r="L17449" i="2"/>
  <c r="C17450" i="2"/>
  <c r="D17450" i="2"/>
  <c r="F17450" i="2"/>
  <c r="G17450" i="2"/>
  <c r="H17450" i="2"/>
  <c r="J17450" i="2"/>
  <c r="K17450" i="2"/>
  <c r="L17450" i="2"/>
  <c r="C17451" i="2"/>
  <c r="D17451" i="2"/>
  <c r="F17451" i="2"/>
  <c r="G17451" i="2"/>
  <c r="H17451" i="2"/>
  <c r="J17451" i="2"/>
  <c r="K17451" i="2"/>
  <c r="L17451" i="2"/>
  <c r="C17452" i="2"/>
  <c r="D17452" i="2"/>
  <c r="F17452" i="2"/>
  <c r="G17452" i="2"/>
  <c r="H17452" i="2"/>
  <c r="J17452" i="2"/>
  <c r="K17452" i="2"/>
  <c r="L17452" i="2"/>
  <c r="C17453" i="2"/>
  <c r="D17453" i="2"/>
  <c r="F17453" i="2"/>
  <c r="G17453" i="2"/>
  <c r="H17453" i="2"/>
  <c r="J17453" i="2"/>
  <c r="K17453" i="2"/>
  <c r="L17453" i="2"/>
  <c r="D17454" i="2"/>
  <c r="F17454" i="2"/>
  <c r="G17454" i="2"/>
  <c r="H17454" i="2"/>
  <c r="J17454" i="2"/>
  <c r="K17454" i="2"/>
  <c r="L17454" i="2"/>
  <c r="C17455" i="2"/>
  <c r="D17455" i="2"/>
  <c r="F17455" i="2"/>
  <c r="G17455" i="2"/>
  <c r="H17455" i="2"/>
  <c r="J17455" i="2"/>
  <c r="K17455" i="2"/>
  <c r="L17455" i="2"/>
  <c r="D17456" i="2"/>
  <c r="F17456" i="2"/>
  <c r="G17456" i="2"/>
  <c r="H17456" i="2"/>
  <c r="J17456" i="2"/>
  <c r="K17456" i="2"/>
  <c r="L17456" i="2"/>
  <c r="C17457" i="2"/>
  <c r="D17457" i="2"/>
  <c r="F17457" i="2"/>
  <c r="G17457" i="2"/>
  <c r="H17457" i="2"/>
  <c r="J17457" i="2"/>
  <c r="K17457" i="2"/>
  <c r="L17457" i="2"/>
  <c r="C17458" i="2"/>
  <c r="D17458" i="2"/>
  <c r="F17458" i="2"/>
  <c r="G17458" i="2"/>
  <c r="H17458" i="2"/>
  <c r="J17458" i="2"/>
  <c r="K17458" i="2"/>
  <c r="L17458" i="2"/>
  <c r="C17459" i="2"/>
  <c r="D17459" i="2"/>
  <c r="F17459" i="2"/>
  <c r="G17459" i="2"/>
  <c r="H17459" i="2"/>
  <c r="J17459" i="2"/>
  <c r="K17459" i="2"/>
  <c r="L17459" i="2"/>
  <c r="D17460" i="2"/>
  <c r="F17460" i="2"/>
  <c r="G17460" i="2"/>
  <c r="H17460" i="2"/>
  <c r="J17460" i="2"/>
  <c r="K17460" i="2"/>
  <c r="L17460" i="2"/>
  <c r="C17461" i="2"/>
  <c r="D17461" i="2"/>
  <c r="F17461" i="2"/>
  <c r="G17461" i="2"/>
  <c r="H17461" i="2"/>
  <c r="J17461" i="2"/>
  <c r="K17461" i="2"/>
  <c r="L17461" i="2"/>
  <c r="C17462" i="2"/>
  <c r="D17462" i="2"/>
  <c r="F17462" i="2"/>
  <c r="G17462" i="2"/>
  <c r="H17462" i="2"/>
  <c r="J17462" i="2"/>
  <c r="K17462" i="2"/>
  <c r="L17462" i="2"/>
  <c r="D17463" i="2"/>
  <c r="F17463" i="2"/>
  <c r="G17463" i="2"/>
  <c r="H17463" i="2"/>
  <c r="J17463" i="2"/>
  <c r="K17463" i="2"/>
  <c r="L17463" i="2"/>
  <c r="D17464" i="2"/>
  <c r="F17464" i="2"/>
  <c r="G17464" i="2"/>
  <c r="H17464" i="2"/>
  <c r="J17464" i="2"/>
  <c r="K17464" i="2"/>
  <c r="L17464" i="2"/>
  <c r="C17465" i="2"/>
  <c r="D17465" i="2"/>
  <c r="F17465" i="2"/>
  <c r="G17465" i="2"/>
  <c r="H17465" i="2"/>
  <c r="J17465" i="2"/>
  <c r="K17465" i="2"/>
  <c r="L17465" i="2"/>
  <c r="C17466" i="2"/>
  <c r="D17466" i="2"/>
  <c r="F17466" i="2"/>
  <c r="G17466" i="2"/>
  <c r="H17466" i="2"/>
  <c r="J17466" i="2"/>
  <c r="K17466" i="2"/>
  <c r="L17466" i="2"/>
  <c r="C17467" i="2"/>
  <c r="D17467" i="2"/>
  <c r="F17467" i="2"/>
  <c r="G17467" i="2"/>
  <c r="H17467" i="2"/>
  <c r="J17467" i="2"/>
  <c r="K17467" i="2"/>
  <c r="L17467" i="2"/>
  <c r="C17468" i="2"/>
  <c r="D17468" i="2"/>
  <c r="F17468" i="2"/>
  <c r="G17468" i="2"/>
  <c r="H17468" i="2"/>
  <c r="J17468" i="2"/>
  <c r="K17468" i="2"/>
  <c r="L17468" i="2"/>
  <c r="C17469" i="2"/>
  <c r="D17469" i="2"/>
  <c r="F17469" i="2"/>
  <c r="G17469" i="2"/>
  <c r="H17469" i="2"/>
  <c r="J17469" i="2"/>
  <c r="K17469" i="2"/>
  <c r="L17469" i="2"/>
  <c r="D17470" i="2"/>
  <c r="F17470" i="2"/>
  <c r="G17470" i="2"/>
  <c r="H17470" i="2"/>
  <c r="J17470" i="2"/>
  <c r="K17470" i="2"/>
  <c r="L17470" i="2"/>
  <c r="C17471" i="2"/>
  <c r="D17471" i="2"/>
  <c r="F17471" i="2"/>
  <c r="G17471" i="2"/>
  <c r="H17471" i="2"/>
  <c r="J17471" i="2"/>
  <c r="K17471" i="2"/>
  <c r="L17471" i="2"/>
  <c r="C17472" i="2"/>
  <c r="D17472" i="2"/>
  <c r="F17472" i="2"/>
  <c r="G17472" i="2"/>
  <c r="H17472" i="2"/>
  <c r="J17472" i="2"/>
  <c r="K17472" i="2"/>
  <c r="L17472" i="2"/>
  <c r="C17473" i="2"/>
  <c r="D17473" i="2"/>
  <c r="F17473" i="2"/>
  <c r="G17473" i="2"/>
  <c r="H17473" i="2"/>
  <c r="J17473" i="2"/>
  <c r="K17473" i="2"/>
  <c r="L17473" i="2"/>
  <c r="C17474" i="2"/>
  <c r="D17474" i="2"/>
  <c r="F17474" i="2"/>
  <c r="G17474" i="2"/>
  <c r="H17474" i="2"/>
  <c r="J17474" i="2"/>
  <c r="K17474" i="2"/>
  <c r="L17474" i="2"/>
  <c r="C17475" i="2"/>
  <c r="D17475" i="2"/>
  <c r="F17475" i="2"/>
  <c r="G17475" i="2"/>
  <c r="H17475" i="2"/>
  <c r="J17475" i="2"/>
  <c r="K17475" i="2"/>
  <c r="L17475" i="2"/>
  <c r="C17476" i="2"/>
  <c r="D17476" i="2"/>
  <c r="F17476" i="2"/>
  <c r="G17476" i="2"/>
  <c r="H17476" i="2"/>
  <c r="J17476" i="2"/>
  <c r="K17476" i="2"/>
  <c r="L17476" i="2"/>
  <c r="C17477" i="2"/>
  <c r="D17477" i="2"/>
  <c r="F17477" i="2"/>
  <c r="G17477" i="2"/>
  <c r="H17477" i="2"/>
  <c r="J17477" i="2"/>
  <c r="K17477" i="2"/>
  <c r="L17477" i="2"/>
  <c r="C17478" i="2"/>
  <c r="D17478" i="2"/>
  <c r="F17478" i="2"/>
  <c r="G17478" i="2"/>
  <c r="H17478" i="2"/>
  <c r="J17478" i="2"/>
  <c r="K17478" i="2"/>
  <c r="L17478" i="2"/>
  <c r="C17479" i="2"/>
  <c r="D17479" i="2"/>
  <c r="F17479" i="2"/>
  <c r="G17479" i="2"/>
  <c r="H17479" i="2"/>
  <c r="J17479" i="2"/>
  <c r="K17479" i="2"/>
  <c r="L17479" i="2"/>
  <c r="C17480" i="2"/>
  <c r="D17480" i="2"/>
  <c r="F17480" i="2"/>
  <c r="G17480" i="2"/>
  <c r="H17480" i="2"/>
  <c r="J17480" i="2"/>
  <c r="K17480" i="2"/>
  <c r="L17480" i="2"/>
  <c r="C17481" i="2"/>
  <c r="D17481" i="2"/>
  <c r="F17481" i="2"/>
  <c r="G17481" i="2"/>
  <c r="H17481" i="2"/>
  <c r="J17481" i="2"/>
  <c r="K17481" i="2"/>
  <c r="L17481" i="2"/>
  <c r="C17482" i="2"/>
  <c r="D17482" i="2"/>
  <c r="F17482" i="2"/>
  <c r="G17482" i="2"/>
  <c r="H17482" i="2"/>
  <c r="J17482" i="2"/>
  <c r="K17482" i="2"/>
  <c r="L17482" i="2"/>
  <c r="C17483" i="2"/>
  <c r="D17483" i="2"/>
  <c r="F17483" i="2"/>
  <c r="G17483" i="2"/>
  <c r="H17483" i="2"/>
  <c r="J17483" i="2"/>
  <c r="K17483" i="2"/>
  <c r="L17483" i="2"/>
  <c r="C17484" i="2"/>
  <c r="D17484" i="2"/>
  <c r="F17484" i="2"/>
  <c r="G17484" i="2"/>
  <c r="H17484" i="2"/>
  <c r="J17484" i="2"/>
  <c r="K17484" i="2"/>
  <c r="L17484" i="2"/>
  <c r="C17485" i="2"/>
  <c r="D17485" i="2"/>
  <c r="F17485" i="2"/>
  <c r="G17485" i="2"/>
  <c r="H17485" i="2"/>
  <c r="J17485" i="2"/>
  <c r="K17485" i="2"/>
  <c r="L17485" i="2"/>
  <c r="C17486" i="2"/>
  <c r="D17486" i="2"/>
  <c r="F17486" i="2"/>
  <c r="G17486" i="2"/>
  <c r="H17486" i="2"/>
  <c r="J17486" i="2"/>
  <c r="K17486" i="2"/>
  <c r="L17486" i="2"/>
  <c r="C17487" i="2"/>
  <c r="D17487" i="2"/>
  <c r="F17487" i="2"/>
  <c r="G17487" i="2"/>
  <c r="H17487" i="2"/>
  <c r="J17487" i="2"/>
  <c r="K17487" i="2"/>
  <c r="L17487" i="2"/>
  <c r="C17488" i="2"/>
  <c r="D17488" i="2"/>
  <c r="F17488" i="2"/>
  <c r="G17488" i="2"/>
  <c r="H17488" i="2"/>
  <c r="J17488" i="2"/>
  <c r="K17488" i="2"/>
  <c r="L17488" i="2"/>
  <c r="C17489" i="2"/>
  <c r="D17489" i="2"/>
  <c r="F17489" i="2"/>
  <c r="G17489" i="2"/>
  <c r="H17489" i="2"/>
  <c r="J17489" i="2"/>
  <c r="K17489" i="2"/>
  <c r="L17489" i="2"/>
  <c r="C17490" i="2"/>
  <c r="D17490" i="2"/>
  <c r="F17490" i="2"/>
  <c r="G17490" i="2"/>
  <c r="H17490" i="2"/>
  <c r="J17490" i="2"/>
  <c r="K17490" i="2"/>
  <c r="L17490" i="2"/>
  <c r="C17491" i="2"/>
  <c r="D17491" i="2"/>
  <c r="F17491" i="2"/>
  <c r="G17491" i="2"/>
  <c r="H17491" i="2"/>
  <c r="J17491" i="2"/>
  <c r="K17491" i="2"/>
  <c r="L17491" i="2"/>
  <c r="C17492" i="2"/>
  <c r="D17492" i="2"/>
  <c r="F17492" i="2"/>
  <c r="G17492" i="2"/>
  <c r="H17492" i="2"/>
  <c r="J17492" i="2"/>
  <c r="K17492" i="2"/>
  <c r="L17492" i="2"/>
  <c r="C17493" i="2"/>
  <c r="D17493" i="2"/>
  <c r="F17493" i="2"/>
  <c r="G17493" i="2"/>
  <c r="H17493" i="2"/>
  <c r="J17493" i="2"/>
  <c r="K17493" i="2"/>
  <c r="L17493" i="2"/>
  <c r="C17494" i="2"/>
  <c r="D17494" i="2"/>
  <c r="F17494" i="2"/>
  <c r="G17494" i="2"/>
  <c r="H17494" i="2"/>
  <c r="J17494" i="2"/>
  <c r="K17494" i="2"/>
  <c r="L17494" i="2"/>
  <c r="C17495" i="2"/>
  <c r="D17495" i="2"/>
  <c r="F17495" i="2"/>
  <c r="G17495" i="2"/>
  <c r="H17495" i="2"/>
  <c r="J17495" i="2"/>
  <c r="K17495" i="2"/>
  <c r="L17495" i="2"/>
  <c r="C17496" i="2"/>
  <c r="D17496" i="2"/>
  <c r="F17496" i="2"/>
  <c r="G17496" i="2"/>
  <c r="H17496" i="2"/>
  <c r="J17496" i="2"/>
  <c r="K17496" i="2"/>
  <c r="L17496" i="2"/>
  <c r="C17497" i="2"/>
  <c r="D17497" i="2"/>
  <c r="F17497" i="2"/>
  <c r="G17497" i="2"/>
  <c r="H17497" i="2"/>
  <c r="J17497" i="2"/>
  <c r="K17497" i="2"/>
  <c r="L17497" i="2"/>
  <c r="C17498" i="2"/>
  <c r="D17498" i="2"/>
  <c r="F17498" i="2"/>
  <c r="G17498" i="2"/>
  <c r="H17498" i="2"/>
  <c r="J17498" i="2"/>
  <c r="K17498" i="2"/>
  <c r="L17498" i="2"/>
  <c r="C17499" i="2"/>
  <c r="D17499" i="2"/>
  <c r="F17499" i="2"/>
  <c r="G17499" i="2"/>
  <c r="H17499" i="2"/>
  <c r="J17499" i="2"/>
  <c r="K17499" i="2"/>
  <c r="L17499" i="2"/>
  <c r="C17500" i="2"/>
  <c r="D17500" i="2"/>
  <c r="F17500" i="2"/>
  <c r="G17500" i="2"/>
  <c r="H17500" i="2"/>
  <c r="J17500" i="2"/>
  <c r="K17500" i="2"/>
  <c r="L17500" i="2"/>
  <c r="C17501" i="2"/>
  <c r="D17501" i="2"/>
  <c r="F17501" i="2"/>
  <c r="G17501" i="2"/>
  <c r="H17501" i="2"/>
  <c r="J17501" i="2"/>
  <c r="K17501" i="2"/>
  <c r="L17501" i="2"/>
  <c r="C17502" i="2"/>
  <c r="D17502" i="2"/>
  <c r="F17502" i="2"/>
  <c r="G17502" i="2"/>
  <c r="H17502" i="2"/>
  <c r="J17502" i="2"/>
  <c r="K17502" i="2"/>
  <c r="L17502" i="2"/>
  <c r="C17503" i="2"/>
  <c r="D17503" i="2"/>
  <c r="F17503" i="2"/>
  <c r="G17503" i="2"/>
  <c r="H17503" i="2"/>
  <c r="J17503" i="2"/>
  <c r="K17503" i="2"/>
  <c r="L17503" i="2"/>
  <c r="C17504" i="2"/>
  <c r="D17504" i="2"/>
  <c r="F17504" i="2"/>
  <c r="G17504" i="2"/>
  <c r="H17504" i="2"/>
  <c r="J17504" i="2"/>
  <c r="K17504" i="2"/>
  <c r="L17504" i="2"/>
  <c r="C17505" i="2"/>
  <c r="D17505" i="2"/>
  <c r="F17505" i="2"/>
  <c r="G17505" i="2"/>
  <c r="H17505" i="2"/>
  <c r="J17505" i="2"/>
  <c r="K17505" i="2"/>
  <c r="L17505" i="2"/>
  <c r="C17506" i="2"/>
  <c r="D17506" i="2"/>
  <c r="F17506" i="2"/>
  <c r="G17506" i="2"/>
  <c r="H17506" i="2"/>
  <c r="J17506" i="2"/>
  <c r="K17506" i="2"/>
  <c r="L17506" i="2"/>
  <c r="C17507" i="2"/>
  <c r="D17507" i="2"/>
  <c r="F17507" i="2"/>
  <c r="G17507" i="2"/>
  <c r="H17507" i="2"/>
  <c r="J17507" i="2"/>
  <c r="K17507" i="2"/>
  <c r="L17507" i="2"/>
  <c r="C17508" i="2"/>
  <c r="D17508" i="2"/>
  <c r="F17508" i="2"/>
  <c r="G17508" i="2"/>
  <c r="H17508" i="2"/>
  <c r="J17508" i="2"/>
  <c r="K17508" i="2"/>
  <c r="L17508" i="2"/>
  <c r="C17509" i="2"/>
  <c r="D17509" i="2"/>
  <c r="F17509" i="2"/>
  <c r="G17509" i="2"/>
  <c r="H17509" i="2"/>
  <c r="J17509" i="2"/>
  <c r="K17509" i="2"/>
  <c r="L17509" i="2"/>
  <c r="C17510" i="2"/>
  <c r="D17510" i="2"/>
  <c r="F17510" i="2"/>
  <c r="G17510" i="2"/>
  <c r="H17510" i="2"/>
  <c r="J17510" i="2"/>
  <c r="K17510" i="2"/>
  <c r="L17510" i="2"/>
  <c r="C17511" i="2"/>
  <c r="D17511" i="2"/>
  <c r="F17511" i="2"/>
  <c r="G17511" i="2"/>
  <c r="H17511" i="2"/>
  <c r="J17511" i="2"/>
  <c r="K17511" i="2"/>
  <c r="L17511" i="2"/>
  <c r="C17512" i="2"/>
  <c r="D17512" i="2"/>
  <c r="F17512" i="2"/>
  <c r="G17512" i="2"/>
  <c r="H17512" i="2"/>
  <c r="J17512" i="2"/>
  <c r="K17512" i="2"/>
  <c r="L17512" i="2"/>
  <c r="C17513" i="2"/>
  <c r="D17513" i="2"/>
  <c r="F17513" i="2"/>
  <c r="G17513" i="2"/>
  <c r="H17513" i="2"/>
  <c r="J17513" i="2"/>
  <c r="K17513" i="2"/>
  <c r="L17513" i="2"/>
  <c r="C17514" i="2"/>
  <c r="D17514" i="2"/>
  <c r="F17514" i="2"/>
  <c r="G17514" i="2"/>
  <c r="H17514" i="2"/>
  <c r="J17514" i="2"/>
  <c r="K17514" i="2"/>
  <c r="L17514" i="2"/>
  <c r="C17515" i="2"/>
  <c r="D17515" i="2"/>
  <c r="F17515" i="2"/>
  <c r="G17515" i="2"/>
  <c r="H17515" i="2"/>
  <c r="J17515" i="2"/>
  <c r="K17515" i="2"/>
  <c r="L17515" i="2"/>
  <c r="C17516" i="2"/>
  <c r="D17516" i="2"/>
  <c r="F17516" i="2"/>
  <c r="G17516" i="2"/>
  <c r="H17516" i="2"/>
  <c r="J17516" i="2"/>
  <c r="K17516" i="2"/>
  <c r="L17516" i="2"/>
  <c r="C17517" i="2"/>
  <c r="D17517" i="2"/>
  <c r="F17517" i="2"/>
  <c r="G17517" i="2"/>
  <c r="H17517" i="2"/>
  <c r="J17517" i="2"/>
  <c r="K17517" i="2"/>
  <c r="L17517" i="2"/>
  <c r="C17518" i="2"/>
  <c r="D17518" i="2"/>
  <c r="F17518" i="2"/>
  <c r="G17518" i="2"/>
  <c r="H17518" i="2"/>
  <c r="J17518" i="2"/>
  <c r="K17518" i="2"/>
  <c r="L17518" i="2"/>
  <c r="C17519" i="2"/>
  <c r="D17519" i="2"/>
  <c r="F17519" i="2"/>
  <c r="G17519" i="2"/>
  <c r="H17519" i="2"/>
  <c r="J17519" i="2"/>
  <c r="K17519" i="2"/>
  <c r="L17519" i="2"/>
  <c r="C17520" i="2"/>
  <c r="D17520" i="2"/>
  <c r="F17520" i="2"/>
  <c r="G17520" i="2"/>
  <c r="H17520" i="2"/>
  <c r="J17520" i="2"/>
  <c r="K17520" i="2"/>
  <c r="L17520" i="2"/>
  <c r="C17521" i="2"/>
  <c r="D17521" i="2"/>
  <c r="F17521" i="2"/>
  <c r="G17521" i="2"/>
  <c r="H17521" i="2"/>
  <c r="J17521" i="2"/>
  <c r="K17521" i="2"/>
  <c r="L17521" i="2"/>
  <c r="C17522" i="2"/>
  <c r="D17522" i="2"/>
  <c r="F17522" i="2"/>
  <c r="G17522" i="2"/>
  <c r="H17522" i="2"/>
  <c r="J17522" i="2"/>
  <c r="K17522" i="2"/>
  <c r="L17522" i="2"/>
  <c r="C17523" i="2"/>
  <c r="D17523" i="2"/>
  <c r="F17523" i="2"/>
  <c r="G17523" i="2"/>
  <c r="H17523" i="2"/>
  <c r="J17523" i="2"/>
  <c r="K17523" i="2"/>
  <c r="L17523" i="2"/>
  <c r="C17524" i="2"/>
  <c r="D17524" i="2"/>
  <c r="F17524" i="2"/>
  <c r="G17524" i="2"/>
  <c r="H17524" i="2"/>
  <c r="J17524" i="2"/>
  <c r="K17524" i="2"/>
  <c r="L17524" i="2"/>
  <c r="C17525" i="2"/>
  <c r="D17525" i="2"/>
  <c r="F17525" i="2"/>
  <c r="G17525" i="2"/>
  <c r="H17525" i="2"/>
  <c r="J17525" i="2"/>
  <c r="K17525" i="2"/>
  <c r="L17525" i="2"/>
  <c r="C17526" i="2"/>
  <c r="D17526" i="2"/>
  <c r="F17526" i="2"/>
  <c r="G17526" i="2"/>
  <c r="H17526" i="2"/>
  <c r="J17526" i="2"/>
  <c r="K17526" i="2"/>
  <c r="L17526" i="2"/>
  <c r="C17527" i="2"/>
  <c r="D17527" i="2"/>
  <c r="F17527" i="2"/>
  <c r="G17527" i="2"/>
  <c r="H17527" i="2"/>
  <c r="J17527" i="2"/>
  <c r="K17527" i="2"/>
  <c r="L17527" i="2"/>
  <c r="C17528" i="2"/>
  <c r="D17528" i="2"/>
  <c r="F17528" i="2"/>
  <c r="G17528" i="2"/>
  <c r="H17528" i="2"/>
  <c r="J17528" i="2"/>
  <c r="K17528" i="2"/>
  <c r="L17528" i="2"/>
  <c r="C17529" i="2"/>
  <c r="D17529" i="2"/>
  <c r="F17529" i="2"/>
  <c r="G17529" i="2"/>
  <c r="H17529" i="2"/>
  <c r="J17529" i="2"/>
  <c r="K17529" i="2"/>
  <c r="L17529" i="2"/>
  <c r="C17530" i="2"/>
  <c r="D17530" i="2"/>
  <c r="F17530" i="2"/>
  <c r="G17530" i="2"/>
  <c r="H17530" i="2"/>
  <c r="J17530" i="2"/>
  <c r="K17530" i="2"/>
  <c r="L17530" i="2"/>
  <c r="C17531" i="2"/>
  <c r="D17531" i="2"/>
  <c r="F17531" i="2"/>
  <c r="G17531" i="2"/>
  <c r="H17531" i="2"/>
  <c r="J17531" i="2"/>
  <c r="K17531" i="2"/>
  <c r="L17531" i="2"/>
  <c r="C17532" i="2"/>
  <c r="D17532" i="2"/>
  <c r="F17532" i="2"/>
  <c r="G17532" i="2"/>
  <c r="H17532" i="2"/>
  <c r="J17532" i="2"/>
  <c r="K17532" i="2"/>
  <c r="L17532" i="2"/>
  <c r="C17533" i="2"/>
  <c r="D17533" i="2"/>
  <c r="F17533" i="2"/>
  <c r="G17533" i="2"/>
  <c r="H17533" i="2"/>
  <c r="J17533" i="2"/>
  <c r="K17533" i="2"/>
  <c r="L17533" i="2"/>
  <c r="C17534" i="2"/>
  <c r="D17534" i="2"/>
  <c r="F17534" i="2"/>
  <c r="G17534" i="2"/>
  <c r="H17534" i="2"/>
  <c r="J17534" i="2"/>
  <c r="K17534" i="2"/>
  <c r="L17534" i="2"/>
  <c r="C17535" i="2"/>
  <c r="D17535" i="2"/>
  <c r="F17535" i="2"/>
  <c r="G17535" i="2"/>
  <c r="H17535" i="2"/>
  <c r="J17535" i="2"/>
  <c r="K17535" i="2"/>
  <c r="L17535" i="2"/>
  <c r="C17536" i="2"/>
  <c r="D17536" i="2"/>
  <c r="F17536" i="2"/>
  <c r="G17536" i="2"/>
  <c r="H17536" i="2"/>
  <c r="J17536" i="2"/>
  <c r="K17536" i="2"/>
  <c r="L17536" i="2"/>
  <c r="C17537" i="2"/>
  <c r="D17537" i="2"/>
  <c r="F17537" i="2"/>
  <c r="G17537" i="2"/>
  <c r="H17537" i="2"/>
  <c r="J17537" i="2"/>
  <c r="K17537" i="2"/>
  <c r="L17537" i="2"/>
  <c r="C17538" i="2"/>
  <c r="D17538" i="2"/>
  <c r="F17538" i="2"/>
  <c r="G17538" i="2"/>
  <c r="H17538" i="2"/>
  <c r="J17538" i="2"/>
  <c r="K17538" i="2"/>
  <c r="L17538" i="2"/>
  <c r="C17539" i="2"/>
  <c r="D17539" i="2"/>
  <c r="F17539" i="2"/>
  <c r="G17539" i="2"/>
  <c r="H17539" i="2"/>
  <c r="J17539" i="2"/>
  <c r="K17539" i="2"/>
  <c r="L17539" i="2"/>
  <c r="C17540" i="2"/>
  <c r="D17540" i="2"/>
  <c r="F17540" i="2"/>
  <c r="G17540" i="2"/>
  <c r="H17540" i="2"/>
  <c r="J17540" i="2"/>
  <c r="K17540" i="2"/>
  <c r="L17540" i="2"/>
  <c r="C17541" i="2"/>
  <c r="D17541" i="2"/>
  <c r="F17541" i="2"/>
  <c r="G17541" i="2"/>
  <c r="H17541" i="2"/>
  <c r="J17541" i="2"/>
  <c r="K17541" i="2"/>
  <c r="L17541" i="2"/>
  <c r="C17542" i="2"/>
  <c r="D17542" i="2"/>
  <c r="F17542" i="2"/>
  <c r="G17542" i="2"/>
  <c r="H17542" i="2"/>
  <c r="J17542" i="2"/>
  <c r="K17542" i="2"/>
  <c r="L17542" i="2"/>
  <c r="C17543" i="2"/>
  <c r="D17543" i="2"/>
  <c r="F17543" i="2"/>
  <c r="G17543" i="2"/>
  <c r="H17543" i="2"/>
  <c r="J17543" i="2"/>
  <c r="K17543" i="2"/>
  <c r="L17543" i="2"/>
  <c r="C17544" i="2"/>
  <c r="D17544" i="2"/>
  <c r="F17544" i="2"/>
  <c r="G17544" i="2"/>
  <c r="H17544" i="2"/>
  <c r="J17544" i="2"/>
  <c r="K17544" i="2"/>
  <c r="L17544" i="2"/>
  <c r="C17545" i="2"/>
  <c r="D17545" i="2"/>
  <c r="F17545" i="2"/>
  <c r="G17545" i="2"/>
  <c r="H17545" i="2"/>
  <c r="J17545" i="2"/>
  <c r="K17545" i="2"/>
  <c r="L17545" i="2"/>
  <c r="C17546" i="2"/>
  <c r="D17546" i="2"/>
  <c r="F17546" i="2"/>
  <c r="G17546" i="2"/>
  <c r="H17546" i="2"/>
  <c r="J17546" i="2"/>
  <c r="K17546" i="2"/>
  <c r="L17546" i="2"/>
  <c r="C17547" i="2"/>
  <c r="D17547" i="2"/>
  <c r="F17547" i="2"/>
  <c r="G17547" i="2"/>
  <c r="H17547" i="2"/>
  <c r="J17547" i="2"/>
  <c r="K17547" i="2"/>
  <c r="L17547" i="2"/>
  <c r="C17548" i="2"/>
  <c r="D17548" i="2"/>
  <c r="F17548" i="2"/>
  <c r="G17548" i="2"/>
  <c r="H17548" i="2"/>
  <c r="J17548" i="2"/>
  <c r="K17548" i="2"/>
  <c r="L17548" i="2"/>
  <c r="C17549" i="2"/>
  <c r="D17549" i="2"/>
  <c r="F17549" i="2"/>
  <c r="G17549" i="2"/>
  <c r="H17549" i="2"/>
  <c r="J17549" i="2"/>
  <c r="K17549" i="2"/>
  <c r="L17549" i="2"/>
  <c r="C17550" i="2"/>
  <c r="D17550" i="2"/>
  <c r="F17550" i="2"/>
  <c r="G17550" i="2"/>
  <c r="H17550" i="2"/>
  <c r="J17550" i="2"/>
  <c r="K17550" i="2"/>
  <c r="L17550" i="2"/>
  <c r="C17551" i="2"/>
  <c r="D17551" i="2"/>
  <c r="F17551" i="2"/>
  <c r="G17551" i="2"/>
  <c r="H17551" i="2"/>
  <c r="J17551" i="2"/>
  <c r="K17551" i="2"/>
  <c r="L17551" i="2"/>
  <c r="C17552" i="2"/>
  <c r="D17552" i="2"/>
  <c r="F17552" i="2"/>
  <c r="G17552" i="2"/>
  <c r="H17552" i="2"/>
  <c r="J17552" i="2"/>
  <c r="K17552" i="2"/>
  <c r="L17552" i="2"/>
  <c r="C17553" i="2"/>
  <c r="D17553" i="2"/>
  <c r="F17553" i="2"/>
  <c r="G17553" i="2"/>
  <c r="H17553" i="2"/>
  <c r="J17553" i="2"/>
  <c r="K17553" i="2"/>
  <c r="L17553" i="2"/>
  <c r="C17554" i="2"/>
  <c r="D17554" i="2"/>
  <c r="F17554" i="2"/>
  <c r="G17554" i="2"/>
  <c r="H17554" i="2"/>
  <c r="J17554" i="2"/>
  <c r="K17554" i="2"/>
  <c r="L17554" i="2"/>
  <c r="C17555" i="2"/>
  <c r="D17555" i="2"/>
  <c r="F17555" i="2"/>
  <c r="G17555" i="2"/>
  <c r="H17555" i="2"/>
  <c r="J17555" i="2"/>
  <c r="K17555" i="2"/>
  <c r="L17555" i="2"/>
  <c r="C17556" i="2"/>
  <c r="D17556" i="2"/>
  <c r="F17556" i="2"/>
  <c r="G17556" i="2"/>
  <c r="H17556" i="2"/>
  <c r="J17556" i="2"/>
  <c r="K17556" i="2"/>
  <c r="L17556" i="2"/>
  <c r="C17557" i="2"/>
  <c r="D17557" i="2"/>
  <c r="F17557" i="2"/>
  <c r="G17557" i="2"/>
  <c r="H17557" i="2"/>
  <c r="J17557" i="2"/>
  <c r="K17557" i="2"/>
  <c r="L17557" i="2"/>
  <c r="C17558" i="2"/>
  <c r="D17558" i="2"/>
  <c r="F17558" i="2"/>
  <c r="G17558" i="2"/>
  <c r="H17558" i="2"/>
  <c r="J17558" i="2"/>
  <c r="K17558" i="2"/>
  <c r="L17558" i="2"/>
  <c r="C17559" i="2"/>
  <c r="D17559" i="2"/>
  <c r="F17559" i="2"/>
  <c r="G17559" i="2"/>
  <c r="H17559" i="2"/>
  <c r="J17559" i="2"/>
  <c r="K17559" i="2"/>
  <c r="L17559" i="2"/>
  <c r="C17560" i="2"/>
  <c r="D17560" i="2"/>
  <c r="F17560" i="2"/>
  <c r="G17560" i="2"/>
  <c r="H17560" i="2"/>
  <c r="J17560" i="2"/>
  <c r="K17560" i="2"/>
  <c r="L17560" i="2"/>
  <c r="C17561" i="2"/>
  <c r="D17561" i="2"/>
  <c r="F17561" i="2"/>
  <c r="G17561" i="2"/>
  <c r="H17561" i="2"/>
  <c r="J17561" i="2"/>
  <c r="K17561" i="2"/>
  <c r="L17561" i="2"/>
  <c r="C17562" i="2"/>
  <c r="D17562" i="2"/>
  <c r="F17562" i="2"/>
  <c r="G17562" i="2"/>
  <c r="H17562" i="2"/>
  <c r="J17562" i="2"/>
  <c r="K17562" i="2"/>
  <c r="L17562" i="2"/>
  <c r="C17563" i="2"/>
  <c r="D17563" i="2"/>
  <c r="F17563" i="2"/>
  <c r="G17563" i="2"/>
  <c r="H17563" i="2"/>
  <c r="J17563" i="2"/>
  <c r="K17563" i="2"/>
  <c r="L17563" i="2"/>
  <c r="C17564" i="2"/>
  <c r="D17564" i="2"/>
  <c r="F17564" i="2"/>
  <c r="G17564" i="2"/>
  <c r="H17564" i="2"/>
  <c r="J17564" i="2"/>
  <c r="K17564" i="2"/>
  <c r="L17564" i="2"/>
  <c r="C17565" i="2"/>
  <c r="D17565" i="2"/>
  <c r="F17565" i="2"/>
  <c r="G17565" i="2"/>
  <c r="H17565" i="2"/>
  <c r="J17565" i="2"/>
  <c r="K17565" i="2"/>
  <c r="L17565" i="2"/>
  <c r="C17566" i="2"/>
  <c r="D17566" i="2"/>
  <c r="F17566" i="2"/>
  <c r="G17566" i="2"/>
  <c r="H17566" i="2"/>
  <c r="J17566" i="2"/>
  <c r="K17566" i="2"/>
  <c r="L17566" i="2"/>
  <c r="C17567" i="2"/>
  <c r="D17567" i="2"/>
  <c r="F17567" i="2"/>
  <c r="G17567" i="2"/>
  <c r="H17567" i="2"/>
  <c r="J17567" i="2"/>
  <c r="K17567" i="2"/>
  <c r="L17567" i="2"/>
  <c r="C17568" i="2"/>
  <c r="D17568" i="2"/>
  <c r="F17568" i="2"/>
  <c r="G17568" i="2"/>
  <c r="H17568" i="2"/>
  <c r="J17568" i="2"/>
  <c r="K17568" i="2"/>
  <c r="L17568" i="2"/>
  <c r="C17569" i="2"/>
  <c r="D17569" i="2"/>
  <c r="F17569" i="2"/>
  <c r="G17569" i="2"/>
  <c r="H17569" i="2"/>
  <c r="J17569" i="2"/>
  <c r="K17569" i="2"/>
  <c r="L17569" i="2"/>
  <c r="C17570" i="2"/>
  <c r="D17570" i="2"/>
  <c r="F17570" i="2"/>
  <c r="G17570" i="2"/>
  <c r="H17570" i="2"/>
  <c r="J17570" i="2"/>
  <c r="K17570" i="2"/>
  <c r="L17570" i="2"/>
  <c r="C17571" i="2"/>
  <c r="D17571" i="2"/>
  <c r="F17571" i="2"/>
  <c r="G17571" i="2"/>
  <c r="H17571" i="2"/>
  <c r="J17571" i="2"/>
  <c r="K17571" i="2"/>
  <c r="L17571" i="2"/>
  <c r="C17572" i="2"/>
  <c r="D17572" i="2"/>
  <c r="F17572" i="2"/>
  <c r="G17572" i="2"/>
  <c r="H17572" i="2"/>
  <c r="J17572" i="2"/>
  <c r="K17572" i="2"/>
  <c r="L17572" i="2"/>
  <c r="C17573" i="2"/>
  <c r="D17573" i="2"/>
  <c r="F17573" i="2"/>
  <c r="G17573" i="2"/>
  <c r="H17573" i="2"/>
  <c r="J17573" i="2"/>
  <c r="K17573" i="2"/>
  <c r="L17573" i="2"/>
  <c r="C17574" i="2"/>
  <c r="D17574" i="2"/>
  <c r="F17574" i="2"/>
  <c r="G17574" i="2"/>
  <c r="H17574" i="2"/>
  <c r="J17574" i="2"/>
  <c r="K17574" i="2"/>
  <c r="L17574" i="2"/>
  <c r="C17575" i="2"/>
  <c r="D17575" i="2"/>
  <c r="F17575" i="2"/>
  <c r="G17575" i="2"/>
  <c r="H17575" i="2"/>
  <c r="J17575" i="2"/>
  <c r="K17575" i="2"/>
  <c r="L17575" i="2"/>
  <c r="C17576" i="2"/>
  <c r="D17576" i="2"/>
  <c r="F17576" i="2"/>
  <c r="G17576" i="2"/>
  <c r="H17576" i="2"/>
  <c r="J17576" i="2"/>
  <c r="K17576" i="2"/>
  <c r="L17576" i="2"/>
  <c r="C17577" i="2"/>
  <c r="D17577" i="2"/>
  <c r="F17577" i="2"/>
  <c r="G17577" i="2"/>
  <c r="H17577" i="2"/>
  <c r="J17577" i="2"/>
  <c r="K17577" i="2"/>
  <c r="L17577" i="2"/>
  <c r="C17578" i="2"/>
  <c r="D17578" i="2"/>
  <c r="F17578" i="2"/>
  <c r="G17578" i="2"/>
  <c r="H17578" i="2"/>
  <c r="J17578" i="2"/>
  <c r="K17578" i="2"/>
  <c r="L17578" i="2"/>
  <c r="C17579" i="2"/>
  <c r="D17579" i="2"/>
  <c r="F17579" i="2"/>
  <c r="G17579" i="2"/>
  <c r="H17579" i="2"/>
  <c r="J17579" i="2"/>
  <c r="K17579" i="2"/>
  <c r="L17579" i="2"/>
  <c r="C17580" i="2"/>
  <c r="D17580" i="2"/>
  <c r="F17580" i="2"/>
  <c r="G17580" i="2"/>
  <c r="H17580" i="2"/>
  <c r="J17580" i="2"/>
  <c r="K17580" i="2"/>
  <c r="L17580" i="2"/>
  <c r="C17581" i="2"/>
  <c r="D17581" i="2"/>
  <c r="F17581" i="2"/>
  <c r="G17581" i="2"/>
  <c r="H17581" i="2"/>
  <c r="J17581" i="2"/>
  <c r="K17581" i="2"/>
  <c r="L17581" i="2"/>
  <c r="C17582" i="2"/>
  <c r="D17582" i="2"/>
  <c r="F17582" i="2"/>
  <c r="G17582" i="2"/>
  <c r="H17582" i="2"/>
  <c r="J17582" i="2"/>
  <c r="K17582" i="2"/>
  <c r="L17582" i="2"/>
  <c r="C17583" i="2"/>
  <c r="D17583" i="2"/>
  <c r="F17583" i="2"/>
  <c r="G17583" i="2"/>
  <c r="H17583" i="2"/>
  <c r="J17583" i="2"/>
  <c r="K17583" i="2"/>
  <c r="L17583" i="2"/>
  <c r="C17584" i="2"/>
  <c r="D17584" i="2"/>
  <c r="F17584" i="2"/>
  <c r="G17584" i="2"/>
  <c r="H17584" i="2"/>
  <c r="J17584" i="2"/>
  <c r="K17584" i="2"/>
  <c r="L17584" i="2"/>
  <c r="C17585" i="2"/>
  <c r="D17585" i="2"/>
  <c r="F17585" i="2"/>
  <c r="G17585" i="2"/>
  <c r="H17585" i="2"/>
  <c r="J17585" i="2"/>
  <c r="K17585" i="2"/>
  <c r="L17585" i="2"/>
  <c r="C17586" i="2"/>
  <c r="D17586" i="2"/>
  <c r="F17586" i="2"/>
  <c r="G17586" i="2"/>
  <c r="H17586" i="2"/>
  <c r="J17586" i="2"/>
  <c r="K17586" i="2"/>
  <c r="L17586" i="2"/>
  <c r="C17587" i="2"/>
  <c r="D17587" i="2"/>
  <c r="F17587" i="2"/>
  <c r="G17587" i="2"/>
  <c r="H17587" i="2"/>
  <c r="J17587" i="2"/>
  <c r="K17587" i="2"/>
  <c r="L17587" i="2"/>
  <c r="C17588" i="2"/>
  <c r="D17588" i="2"/>
  <c r="F17588" i="2"/>
  <c r="G17588" i="2"/>
  <c r="H17588" i="2"/>
  <c r="J17588" i="2"/>
  <c r="K17588" i="2"/>
  <c r="L17588" i="2"/>
  <c r="C17589" i="2"/>
  <c r="D17589" i="2"/>
  <c r="F17589" i="2"/>
  <c r="G17589" i="2"/>
  <c r="H17589" i="2"/>
  <c r="J17589" i="2"/>
  <c r="K17589" i="2"/>
  <c r="L17589" i="2"/>
  <c r="C17590" i="2"/>
  <c r="D17590" i="2"/>
  <c r="F17590" i="2"/>
  <c r="G17590" i="2"/>
  <c r="H17590" i="2"/>
  <c r="J17590" i="2"/>
  <c r="K17590" i="2"/>
  <c r="L17590" i="2"/>
  <c r="C17591" i="2"/>
  <c r="D17591" i="2"/>
  <c r="F17591" i="2"/>
  <c r="G17591" i="2"/>
  <c r="H17591" i="2"/>
  <c r="J17591" i="2"/>
  <c r="K17591" i="2"/>
  <c r="L17591" i="2"/>
  <c r="C17592" i="2"/>
  <c r="D17592" i="2"/>
  <c r="F17592" i="2"/>
  <c r="G17592" i="2"/>
  <c r="H17592" i="2"/>
  <c r="J17592" i="2"/>
  <c r="K17592" i="2"/>
  <c r="L17592" i="2"/>
  <c r="C17593" i="2"/>
  <c r="D17593" i="2"/>
  <c r="F17593" i="2"/>
  <c r="G17593" i="2"/>
  <c r="H17593" i="2"/>
  <c r="J17593" i="2"/>
  <c r="K17593" i="2"/>
  <c r="L17593" i="2"/>
  <c r="C17594" i="2"/>
  <c r="D17594" i="2"/>
  <c r="F17594" i="2"/>
  <c r="G17594" i="2"/>
  <c r="H17594" i="2"/>
  <c r="J17594" i="2"/>
  <c r="K17594" i="2"/>
  <c r="L17594" i="2"/>
  <c r="C17595" i="2"/>
  <c r="D17595" i="2"/>
  <c r="F17595" i="2"/>
  <c r="G17595" i="2"/>
  <c r="H17595" i="2"/>
  <c r="J17595" i="2"/>
  <c r="K17595" i="2"/>
  <c r="L17595" i="2"/>
  <c r="C17596" i="2"/>
  <c r="D17596" i="2"/>
  <c r="F17596" i="2"/>
  <c r="G17596" i="2"/>
  <c r="H17596" i="2"/>
  <c r="J17596" i="2"/>
  <c r="K17596" i="2"/>
  <c r="L17596" i="2"/>
  <c r="C17597" i="2"/>
  <c r="D17597" i="2"/>
  <c r="F17597" i="2"/>
  <c r="G17597" i="2"/>
  <c r="H17597" i="2"/>
  <c r="J17597" i="2"/>
  <c r="K17597" i="2"/>
  <c r="L17597" i="2"/>
  <c r="C17598" i="2"/>
  <c r="D17598" i="2"/>
  <c r="F17598" i="2"/>
  <c r="G17598" i="2"/>
  <c r="H17598" i="2"/>
  <c r="J17598" i="2"/>
  <c r="K17598" i="2"/>
  <c r="L17598" i="2"/>
  <c r="C17599" i="2"/>
  <c r="D17599" i="2"/>
  <c r="F17599" i="2"/>
  <c r="G17599" i="2"/>
  <c r="H17599" i="2"/>
  <c r="J17599" i="2"/>
  <c r="K17599" i="2"/>
  <c r="L17599" i="2"/>
  <c r="C17600" i="2"/>
  <c r="D17600" i="2"/>
  <c r="F17600" i="2"/>
  <c r="G17600" i="2"/>
  <c r="H17600" i="2"/>
  <c r="J17600" i="2"/>
  <c r="K17600" i="2"/>
  <c r="L17600" i="2"/>
  <c r="C17601" i="2"/>
  <c r="D17601" i="2"/>
  <c r="F17601" i="2"/>
  <c r="G17601" i="2"/>
  <c r="H17601" i="2"/>
  <c r="J17601" i="2"/>
  <c r="K17601" i="2"/>
  <c r="L17601" i="2"/>
  <c r="C17602" i="2"/>
  <c r="D17602" i="2"/>
  <c r="F17602" i="2"/>
  <c r="G17602" i="2"/>
  <c r="H17602" i="2"/>
  <c r="J17602" i="2"/>
  <c r="K17602" i="2"/>
  <c r="L17602" i="2"/>
  <c r="C17603" i="2"/>
  <c r="D17603" i="2"/>
  <c r="F17603" i="2"/>
  <c r="G17603" i="2"/>
  <c r="H17603" i="2"/>
  <c r="J17603" i="2"/>
  <c r="K17603" i="2"/>
  <c r="L17603" i="2"/>
  <c r="C17604" i="2"/>
  <c r="D17604" i="2"/>
  <c r="F17604" i="2"/>
  <c r="G17604" i="2"/>
  <c r="H17604" i="2"/>
  <c r="J17604" i="2"/>
  <c r="K17604" i="2"/>
  <c r="L17604" i="2"/>
  <c r="C17605" i="2"/>
  <c r="D17605" i="2"/>
  <c r="F17605" i="2"/>
  <c r="G17605" i="2"/>
  <c r="H17605" i="2"/>
  <c r="J17605" i="2"/>
  <c r="K17605" i="2"/>
  <c r="L17605" i="2"/>
  <c r="C17606" i="2"/>
  <c r="D17606" i="2"/>
  <c r="F17606" i="2"/>
  <c r="G17606" i="2"/>
  <c r="H17606" i="2"/>
  <c r="J17606" i="2"/>
  <c r="K17606" i="2"/>
  <c r="L17606" i="2"/>
  <c r="C17607" i="2"/>
  <c r="D17607" i="2"/>
  <c r="F17607" i="2"/>
  <c r="G17607" i="2"/>
  <c r="H17607" i="2"/>
  <c r="J17607" i="2"/>
  <c r="K17607" i="2"/>
  <c r="L17607" i="2"/>
  <c r="C17608" i="2"/>
  <c r="D17608" i="2"/>
  <c r="F17608" i="2"/>
  <c r="G17608" i="2"/>
  <c r="H17608" i="2"/>
  <c r="J17608" i="2"/>
  <c r="K17608" i="2"/>
  <c r="L17608" i="2"/>
  <c r="C17609" i="2"/>
  <c r="D17609" i="2"/>
  <c r="F17609" i="2"/>
  <c r="G17609" i="2"/>
  <c r="H17609" i="2"/>
  <c r="J17609" i="2"/>
  <c r="K17609" i="2"/>
  <c r="L17609" i="2"/>
  <c r="C17610" i="2"/>
  <c r="D17610" i="2"/>
  <c r="F17610" i="2"/>
  <c r="G17610" i="2"/>
  <c r="H17610" i="2"/>
  <c r="J17610" i="2"/>
  <c r="K17610" i="2"/>
  <c r="L17610" i="2"/>
  <c r="C17611" i="2"/>
  <c r="D17611" i="2"/>
  <c r="F17611" i="2"/>
  <c r="G17611" i="2"/>
  <c r="H17611" i="2"/>
  <c r="J17611" i="2"/>
  <c r="K17611" i="2"/>
  <c r="L17611" i="2"/>
  <c r="C17612" i="2"/>
  <c r="D17612" i="2"/>
  <c r="F17612" i="2"/>
  <c r="G17612" i="2"/>
  <c r="H17612" i="2"/>
  <c r="J17612" i="2"/>
  <c r="K17612" i="2"/>
  <c r="L17612" i="2"/>
  <c r="C17613" i="2"/>
  <c r="D17613" i="2"/>
  <c r="F17613" i="2"/>
  <c r="G17613" i="2"/>
  <c r="H17613" i="2"/>
  <c r="J17613" i="2"/>
  <c r="K17613" i="2"/>
  <c r="L17613" i="2"/>
  <c r="C17614" i="2"/>
  <c r="D17614" i="2"/>
  <c r="F17614" i="2"/>
  <c r="G17614" i="2"/>
  <c r="H17614" i="2"/>
  <c r="J17614" i="2"/>
  <c r="K17614" i="2"/>
  <c r="L17614" i="2"/>
  <c r="C17615" i="2"/>
  <c r="D17615" i="2"/>
  <c r="F17615" i="2"/>
  <c r="G17615" i="2"/>
  <c r="H17615" i="2"/>
  <c r="J17615" i="2"/>
  <c r="K17615" i="2"/>
  <c r="L17615" i="2"/>
  <c r="C17616" i="2"/>
  <c r="D17616" i="2"/>
  <c r="F17616" i="2"/>
  <c r="G17616" i="2"/>
  <c r="H17616" i="2"/>
  <c r="J17616" i="2"/>
  <c r="K17616" i="2"/>
  <c r="L17616" i="2"/>
  <c r="C17617" i="2"/>
  <c r="D17617" i="2"/>
  <c r="F17617" i="2"/>
  <c r="G17617" i="2"/>
  <c r="H17617" i="2"/>
  <c r="J17617" i="2"/>
  <c r="K17617" i="2"/>
  <c r="L17617" i="2"/>
  <c r="C17618" i="2"/>
  <c r="D17618" i="2"/>
  <c r="F17618" i="2"/>
  <c r="G17618" i="2"/>
  <c r="H17618" i="2"/>
  <c r="J17618" i="2"/>
  <c r="K17618" i="2"/>
  <c r="L17618" i="2"/>
  <c r="C17619" i="2"/>
  <c r="D17619" i="2"/>
  <c r="F17619" i="2"/>
  <c r="G17619" i="2"/>
  <c r="H17619" i="2"/>
  <c r="J17619" i="2"/>
  <c r="K17619" i="2"/>
  <c r="L17619" i="2"/>
  <c r="C17620" i="2"/>
  <c r="D17620" i="2"/>
  <c r="F17620" i="2"/>
  <c r="G17620" i="2"/>
  <c r="H17620" i="2"/>
  <c r="J17620" i="2"/>
  <c r="K17620" i="2"/>
  <c r="L17620" i="2"/>
  <c r="C17621" i="2"/>
  <c r="D17621" i="2"/>
  <c r="F17621" i="2"/>
  <c r="G17621" i="2"/>
  <c r="H17621" i="2"/>
  <c r="J17621" i="2"/>
  <c r="K17621" i="2"/>
  <c r="L17621" i="2"/>
  <c r="C17622" i="2"/>
  <c r="D17622" i="2"/>
  <c r="F17622" i="2"/>
  <c r="G17622" i="2"/>
  <c r="H17622" i="2"/>
  <c r="J17622" i="2"/>
  <c r="K17622" i="2"/>
  <c r="L17622" i="2"/>
  <c r="C17623" i="2"/>
  <c r="D17623" i="2"/>
  <c r="F17623" i="2"/>
  <c r="G17623" i="2"/>
  <c r="H17623" i="2"/>
  <c r="J17623" i="2"/>
  <c r="K17623" i="2"/>
  <c r="L17623" i="2"/>
  <c r="C17624" i="2"/>
  <c r="D17624" i="2"/>
  <c r="F17624" i="2"/>
  <c r="G17624" i="2"/>
  <c r="H17624" i="2"/>
  <c r="J17624" i="2"/>
  <c r="K17624" i="2"/>
  <c r="L17624" i="2"/>
  <c r="C17625" i="2"/>
  <c r="D17625" i="2"/>
  <c r="F17625" i="2"/>
  <c r="G17625" i="2"/>
  <c r="H17625" i="2"/>
  <c r="J17625" i="2"/>
  <c r="K17625" i="2"/>
  <c r="L17625" i="2"/>
  <c r="C17626" i="2"/>
  <c r="D17626" i="2"/>
  <c r="F17626" i="2"/>
  <c r="G17626" i="2"/>
  <c r="H17626" i="2"/>
  <c r="J17626" i="2"/>
  <c r="K17626" i="2"/>
  <c r="L17626" i="2"/>
  <c r="C17627" i="2"/>
  <c r="D17627" i="2"/>
  <c r="F17627" i="2"/>
  <c r="G17627" i="2"/>
  <c r="H17627" i="2"/>
  <c r="J17627" i="2"/>
  <c r="K17627" i="2"/>
  <c r="L17627" i="2"/>
  <c r="C17628" i="2"/>
  <c r="D17628" i="2"/>
  <c r="F17628" i="2"/>
  <c r="G17628" i="2"/>
  <c r="H17628" i="2"/>
  <c r="J17628" i="2"/>
  <c r="K17628" i="2"/>
  <c r="L17628" i="2"/>
  <c r="C17629" i="2"/>
  <c r="D17629" i="2"/>
  <c r="F17629" i="2"/>
  <c r="G17629" i="2"/>
  <c r="H17629" i="2"/>
  <c r="J17629" i="2"/>
  <c r="K17629" i="2"/>
  <c r="L17629" i="2"/>
  <c r="C17630" i="2"/>
  <c r="D17630" i="2"/>
  <c r="F17630" i="2"/>
  <c r="G17630" i="2"/>
  <c r="H17630" i="2"/>
  <c r="J17630" i="2"/>
  <c r="K17630" i="2"/>
  <c r="L17630" i="2"/>
  <c r="C17631" i="2"/>
  <c r="D17631" i="2"/>
  <c r="F17631" i="2"/>
  <c r="G17631" i="2"/>
  <c r="H17631" i="2"/>
  <c r="J17631" i="2"/>
  <c r="K17631" i="2"/>
  <c r="L17631" i="2"/>
  <c r="C17632" i="2"/>
  <c r="D17632" i="2"/>
  <c r="F17632" i="2"/>
  <c r="G17632" i="2"/>
  <c r="H17632" i="2"/>
  <c r="J17632" i="2"/>
  <c r="K17632" i="2"/>
  <c r="L17632" i="2"/>
  <c r="C17633" i="2"/>
  <c r="D17633" i="2"/>
  <c r="F17633" i="2"/>
  <c r="G17633" i="2"/>
  <c r="H17633" i="2"/>
  <c r="J17633" i="2"/>
  <c r="K17633" i="2"/>
  <c r="L17633" i="2"/>
  <c r="C17634" i="2"/>
  <c r="D17634" i="2"/>
  <c r="F17634" i="2"/>
  <c r="G17634" i="2"/>
  <c r="H17634" i="2"/>
  <c r="J17634" i="2"/>
  <c r="K17634" i="2"/>
  <c r="L17634" i="2"/>
  <c r="C17635" i="2"/>
  <c r="D17635" i="2"/>
  <c r="F17635" i="2"/>
  <c r="G17635" i="2"/>
  <c r="H17635" i="2"/>
  <c r="J17635" i="2"/>
  <c r="K17635" i="2"/>
  <c r="L17635" i="2"/>
  <c r="C17636" i="2"/>
  <c r="D17636" i="2"/>
  <c r="F17636" i="2"/>
  <c r="G17636" i="2"/>
  <c r="H17636" i="2"/>
  <c r="J17636" i="2"/>
  <c r="K17636" i="2"/>
  <c r="L17636" i="2"/>
  <c r="C17637" i="2"/>
  <c r="D17637" i="2"/>
  <c r="F17637" i="2"/>
  <c r="G17637" i="2"/>
  <c r="H17637" i="2"/>
  <c r="J17637" i="2"/>
  <c r="K17637" i="2"/>
  <c r="L17637" i="2"/>
  <c r="C17638" i="2"/>
  <c r="D17638" i="2"/>
  <c r="F17638" i="2"/>
  <c r="G17638" i="2"/>
  <c r="H17638" i="2"/>
  <c r="J17638" i="2"/>
  <c r="K17638" i="2"/>
  <c r="L17638" i="2"/>
  <c r="C17639" i="2"/>
  <c r="D17639" i="2"/>
  <c r="F17639" i="2"/>
  <c r="G17639" i="2"/>
  <c r="H17639" i="2"/>
  <c r="J17639" i="2"/>
  <c r="K17639" i="2"/>
  <c r="L17639" i="2"/>
  <c r="C17640" i="2"/>
  <c r="D17640" i="2"/>
  <c r="F17640" i="2"/>
  <c r="G17640" i="2"/>
  <c r="H17640" i="2"/>
  <c r="J17640" i="2"/>
  <c r="K17640" i="2"/>
  <c r="L17640" i="2"/>
  <c r="C17641" i="2"/>
  <c r="D17641" i="2"/>
  <c r="F17641" i="2"/>
  <c r="G17641" i="2"/>
  <c r="H17641" i="2"/>
  <c r="J17641" i="2"/>
  <c r="K17641" i="2"/>
  <c r="L17641" i="2"/>
  <c r="C17642" i="2"/>
  <c r="D17642" i="2"/>
  <c r="F17642" i="2"/>
  <c r="G17642" i="2"/>
  <c r="H17642" i="2"/>
  <c r="J17642" i="2"/>
  <c r="K17642" i="2"/>
  <c r="L17642" i="2"/>
  <c r="C17643" i="2"/>
  <c r="D17643" i="2"/>
  <c r="F17643" i="2"/>
  <c r="G17643" i="2"/>
  <c r="H17643" i="2"/>
  <c r="J17643" i="2"/>
  <c r="K17643" i="2"/>
  <c r="L17643" i="2"/>
  <c r="C17644" i="2"/>
  <c r="D17644" i="2"/>
  <c r="F17644" i="2"/>
  <c r="G17644" i="2"/>
  <c r="H17644" i="2"/>
  <c r="J17644" i="2"/>
  <c r="K17644" i="2"/>
  <c r="L17644" i="2"/>
  <c r="C17645" i="2"/>
  <c r="D17645" i="2"/>
  <c r="F17645" i="2"/>
  <c r="G17645" i="2"/>
  <c r="H17645" i="2"/>
  <c r="J17645" i="2"/>
  <c r="K17645" i="2"/>
  <c r="L17645" i="2"/>
  <c r="C17646" i="2"/>
  <c r="D17646" i="2"/>
  <c r="F17646" i="2"/>
  <c r="G17646" i="2"/>
  <c r="H17646" i="2"/>
  <c r="J17646" i="2"/>
  <c r="K17646" i="2"/>
  <c r="L17646" i="2"/>
  <c r="C17647" i="2"/>
  <c r="D17647" i="2"/>
  <c r="E17647" i="2"/>
  <c r="F17647" i="2"/>
  <c r="G17647" i="2"/>
  <c r="H17647" i="2"/>
  <c r="J17647" i="2"/>
  <c r="K17647" i="2"/>
  <c r="L17647" i="2"/>
  <c r="C17648" i="2"/>
  <c r="D17648" i="2"/>
  <c r="F17648" i="2"/>
  <c r="G17648" i="2"/>
  <c r="H17648" i="2"/>
  <c r="J17648" i="2"/>
  <c r="K17648" i="2"/>
  <c r="L17648" i="2"/>
  <c r="C17649" i="2"/>
  <c r="D17649" i="2"/>
  <c r="F17649" i="2"/>
  <c r="G17649" i="2"/>
  <c r="H17649" i="2"/>
  <c r="J17649" i="2"/>
  <c r="K17649" i="2"/>
  <c r="L17649" i="2"/>
  <c r="C17650" i="2"/>
  <c r="D17650" i="2"/>
  <c r="F17650" i="2"/>
  <c r="G17650" i="2"/>
  <c r="H17650" i="2"/>
  <c r="J17650" i="2"/>
  <c r="K17650" i="2"/>
  <c r="L17650" i="2"/>
  <c r="C17651" i="2"/>
  <c r="D17651" i="2"/>
  <c r="F17651" i="2"/>
  <c r="G17651" i="2"/>
  <c r="H17651" i="2"/>
  <c r="J17651" i="2"/>
  <c r="K17651" i="2"/>
  <c r="L17651" i="2"/>
  <c r="C17652" i="2"/>
  <c r="D17652" i="2"/>
  <c r="F17652" i="2"/>
  <c r="G17652" i="2"/>
  <c r="H17652" i="2"/>
  <c r="J17652" i="2"/>
  <c r="K17652" i="2"/>
  <c r="L17652" i="2"/>
  <c r="C17653" i="2"/>
  <c r="D17653" i="2"/>
  <c r="F17653" i="2"/>
  <c r="G17653" i="2"/>
  <c r="H17653" i="2"/>
  <c r="J17653" i="2"/>
  <c r="K17653" i="2"/>
  <c r="L17653" i="2"/>
  <c r="C17654" i="2"/>
  <c r="D17654" i="2"/>
  <c r="F17654" i="2"/>
  <c r="G17654" i="2"/>
  <c r="H17654" i="2"/>
  <c r="J17654" i="2"/>
  <c r="K17654" i="2"/>
  <c r="L17654" i="2"/>
  <c r="C17655" i="2"/>
  <c r="D17655" i="2"/>
  <c r="F17655" i="2"/>
  <c r="G17655" i="2"/>
  <c r="H17655" i="2"/>
  <c r="J17655" i="2"/>
  <c r="K17655" i="2"/>
  <c r="L17655" i="2"/>
  <c r="C17656" i="2"/>
  <c r="D17656" i="2"/>
  <c r="F17656" i="2"/>
  <c r="G17656" i="2"/>
  <c r="H17656" i="2"/>
  <c r="J17656" i="2"/>
  <c r="K17656" i="2"/>
  <c r="L17656" i="2"/>
  <c r="C17657" i="2"/>
  <c r="D17657" i="2"/>
  <c r="F17657" i="2"/>
  <c r="G17657" i="2"/>
  <c r="H17657" i="2"/>
  <c r="J17657" i="2"/>
  <c r="K17657" i="2"/>
  <c r="L17657" i="2"/>
  <c r="C17658" i="2"/>
  <c r="D17658" i="2"/>
  <c r="F17658" i="2"/>
  <c r="G17658" i="2"/>
  <c r="H17658" i="2"/>
  <c r="J17658" i="2"/>
  <c r="K17658" i="2"/>
  <c r="L17658" i="2"/>
  <c r="C17659" i="2"/>
  <c r="D17659" i="2"/>
  <c r="F17659" i="2"/>
  <c r="G17659" i="2"/>
  <c r="H17659" i="2"/>
  <c r="J17659" i="2"/>
  <c r="K17659" i="2"/>
  <c r="L17659" i="2"/>
  <c r="C17660" i="2"/>
  <c r="D17660" i="2"/>
  <c r="F17660" i="2"/>
  <c r="G17660" i="2"/>
  <c r="H17660" i="2"/>
  <c r="J17660" i="2"/>
  <c r="K17660" i="2"/>
  <c r="L17660" i="2"/>
  <c r="C17661" i="2"/>
  <c r="D17661" i="2"/>
  <c r="F17661" i="2"/>
  <c r="G17661" i="2"/>
  <c r="H17661" i="2"/>
  <c r="J17661" i="2"/>
  <c r="K17661" i="2"/>
  <c r="L17661" i="2"/>
  <c r="C17662" i="2"/>
  <c r="D17662" i="2"/>
  <c r="F17662" i="2"/>
  <c r="G17662" i="2"/>
  <c r="H17662" i="2"/>
  <c r="J17662" i="2"/>
  <c r="K17662" i="2"/>
  <c r="L17662" i="2"/>
  <c r="C17663" i="2"/>
  <c r="D17663" i="2"/>
  <c r="F17663" i="2"/>
  <c r="G17663" i="2"/>
  <c r="H17663" i="2"/>
  <c r="J17663" i="2"/>
  <c r="K17663" i="2"/>
  <c r="L17663" i="2"/>
  <c r="C17664" i="2"/>
  <c r="D17664" i="2"/>
  <c r="F17664" i="2"/>
  <c r="G17664" i="2"/>
  <c r="H17664" i="2"/>
  <c r="J17664" i="2"/>
  <c r="K17664" i="2"/>
  <c r="L17664" i="2"/>
  <c r="C17665" i="2"/>
  <c r="D17665" i="2"/>
  <c r="F17665" i="2"/>
  <c r="G17665" i="2"/>
  <c r="H17665" i="2"/>
  <c r="J17665" i="2"/>
  <c r="K17665" i="2"/>
  <c r="L17665" i="2"/>
  <c r="C17666" i="2"/>
  <c r="D17666" i="2"/>
  <c r="F17666" i="2"/>
  <c r="G17666" i="2"/>
  <c r="H17666" i="2"/>
  <c r="J17666" i="2"/>
  <c r="K17666" i="2"/>
  <c r="L17666" i="2"/>
  <c r="C17667" i="2"/>
  <c r="D17667" i="2"/>
  <c r="F17667" i="2"/>
  <c r="G17667" i="2"/>
  <c r="H17667" i="2"/>
  <c r="J17667" i="2"/>
  <c r="K17667" i="2"/>
  <c r="L17667" i="2"/>
  <c r="C17668" i="2"/>
  <c r="D17668" i="2"/>
  <c r="F17668" i="2"/>
  <c r="G17668" i="2"/>
  <c r="H17668" i="2"/>
  <c r="J17668" i="2"/>
  <c r="K17668" i="2"/>
  <c r="L17668" i="2"/>
  <c r="C17669" i="2"/>
  <c r="D17669" i="2"/>
  <c r="F17669" i="2"/>
  <c r="G17669" i="2"/>
  <c r="H17669" i="2"/>
  <c r="J17669" i="2"/>
  <c r="K17669" i="2"/>
  <c r="L17669" i="2"/>
  <c r="C17670" i="2"/>
  <c r="D17670" i="2"/>
  <c r="F17670" i="2"/>
  <c r="G17670" i="2"/>
  <c r="H17670" i="2"/>
  <c r="J17670" i="2"/>
  <c r="K17670" i="2"/>
  <c r="L17670" i="2"/>
  <c r="C17671" i="2"/>
  <c r="D17671" i="2"/>
  <c r="F17671" i="2"/>
  <c r="G17671" i="2"/>
  <c r="H17671" i="2"/>
  <c r="J17671" i="2"/>
  <c r="K17671" i="2"/>
  <c r="L17671" i="2"/>
  <c r="C17672" i="2"/>
  <c r="D17672" i="2"/>
  <c r="F17672" i="2"/>
  <c r="G17672" i="2"/>
  <c r="H17672" i="2"/>
  <c r="J17672" i="2"/>
  <c r="K17672" i="2"/>
  <c r="L17672" i="2"/>
  <c r="C17673" i="2"/>
  <c r="D17673" i="2"/>
  <c r="F17673" i="2"/>
  <c r="G17673" i="2"/>
  <c r="H17673" i="2"/>
  <c r="J17673" i="2"/>
  <c r="K17673" i="2"/>
  <c r="L17673" i="2"/>
  <c r="C17674" i="2"/>
  <c r="D17674" i="2"/>
  <c r="F17674" i="2"/>
  <c r="G17674" i="2"/>
  <c r="H17674" i="2"/>
  <c r="J17674" i="2"/>
  <c r="K17674" i="2"/>
  <c r="L17674" i="2"/>
  <c r="C17675" i="2"/>
  <c r="D17675" i="2"/>
  <c r="F17675" i="2"/>
  <c r="G17675" i="2"/>
  <c r="H17675" i="2"/>
  <c r="J17675" i="2"/>
  <c r="K17675" i="2"/>
  <c r="L17675" i="2"/>
  <c r="C17676" i="2"/>
  <c r="D17676" i="2"/>
  <c r="F17676" i="2"/>
  <c r="G17676" i="2"/>
  <c r="H17676" i="2"/>
  <c r="J17676" i="2"/>
  <c r="K17676" i="2"/>
  <c r="L17676" i="2"/>
  <c r="C17677" i="2"/>
  <c r="D17677" i="2"/>
  <c r="F17677" i="2"/>
  <c r="G17677" i="2"/>
  <c r="H17677" i="2"/>
  <c r="J17677" i="2"/>
  <c r="K17677" i="2"/>
  <c r="L17677" i="2"/>
  <c r="C17678" i="2"/>
  <c r="D17678" i="2"/>
  <c r="F17678" i="2"/>
  <c r="G17678" i="2"/>
  <c r="H17678" i="2"/>
  <c r="J17678" i="2"/>
  <c r="K17678" i="2"/>
  <c r="L17678" i="2"/>
  <c r="C17679" i="2"/>
  <c r="D17679" i="2"/>
  <c r="F17679" i="2"/>
  <c r="G17679" i="2"/>
  <c r="H17679" i="2"/>
  <c r="J17679" i="2"/>
  <c r="K17679" i="2"/>
  <c r="L17679" i="2"/>
  <c r="C17680" i="2"/>
  <c r="D17680" i="2"/>
  <c r="F17680" i="2"/>
  <c r="G17680" i="2"/>
  <c r="H17680" i="2"/>
  <c r="J17680" i="2"/>
  <c r="K17680" i="2"/>
  <c r="L17680" i="2"/>
  <c r="C17681" i="2"/>
  <c r="D17681" i="2"/>
  <c r="F17681" i="2"/>
  <c r="G17681" i="2"/>
  <c r="H17681" i="2"/>
  <c r="J17681" i="2"/>
  <c r="K17681" i="2"/>
  <c r="L17681" i="2"/>
  <c r="C17682" i="2"/>
  <c r="D17682" i="2"/>
  <c r="F17682" i="2"/>
  <c r="G17682" i="2"/>
  <c r="H17682" i="2"/>
  <c r="J17682" i="2"/>
  <c r="K17682" i="2"/>
  <c r="L17682" i="2"/>
  <c r="C17683" i="2"/>
  <c r="D17683" i="2"/>
  <c r="F17683" i="2"/>
  <c r="G17683" i="2"/>
  <c r="H17683" i="2"/>
  <c r="J17683" i="2"/>
  <c r="K17683" i="2"/>
  <c r="L17683" i="2"/>
  <c r="C17684" i="2"/>
  <c r="D17684" i="2"/>
  <c r="F17684" i="2"/>
  <c r="G17684" i="2"/>
  <c r="H17684" i="2"/>
  <c r="J17684" i="2"/>
  <c r="K17684" i="2"/>
  <c r="L17684" i="2"/>
  <c r="C17685" i="2"/>
  <c r="D17685" i="2"/>
  <c r="F17685" i="2"/>
  <c r="G17685" i="2"/>
  <c r="H17685" i="2"/>
  <c r="J17685" i="2"/>
  <c r="K17685" i="2"/>
  <c r="L17685" i="2"/>
  <c r="C17686" i="2"/>
  <c r="D17686" i="2"/>
  <c r="F17686" i="2"/>
  <c r="G17686" i="2"/>
  <c r="H17686" i="2"/>
  <c r="J17686" i="2"/>
  <c r="K17686" i="2"/>
  <c r="L17686" i="2"/>
  <c r="C17687" i="2"/>
  <c r="D17687" i="2"/>
  <c r="F17687" i="2"/>
  <c r="G17687" i="2"/>
  <c r="H17687" i="2"/>
  <c r="J17687" i="2"/>
  <c r="K17687" i="2"/>
  <c r="L17687" i="2"/>
  <c r="C17688" i="2"/>
  <c r="D17688" i="2"/>
  <c r="F17688" i="2"/>
  <c r="G17688" i="2"/>
  <c r="H17688" i="2"/>
  <c r="J17688" i="2"/>
  <c r="K17688" i="2"/>
  <c r="L17688" i="2"/>
  <c r="C17689" i="2"/>
  <c r="D17689" i="2"/>
  <c r="F17689" i="2"/>
  <c r="G17689" i="2"/>
  <c r="H17689" i="2"/>
  <c r="J17689" i="2"/>
  <c r="K17689" i="2"/>
  <c r="L17689" i="2"/>
  <c r="C17690" i="2"/>
  <c r="D17690" i="2"/>
  <c r="F17690" i="2"/>
  <c r="G17690" i="2"/>
  <c r="H17690" i="2"/>
  <c r="J17690" i="2"/>
  <c r="K17690" i="2"/>
  <c r="L17690" i="2"/>
  <c r="C17691" i="2"/>
  <c r="D17691" i="2"/>
  <c r="F17691" i="2"/>
  <c r="G17691" i="2"/>
  <c r="H17691" i="2"/>
  <c r="J17691" i="2"/>
  <c r="K17691" i="2"/>
  <c r="L17691" i="2"/>
  <c r="C17692" i="2"/>
  <c r="D17692" i="2"/>
  <c r="F17692" i="2"/>
  <c r="G17692" i="2"/>
  <c r="H17692" i="2"/>
  <c r="J17692" i="2"/>
  <c r="K17692" i="2"/>
  <c r="L17692" i="2"/>
  <c r="C17693" i="2"/>
  <c r="D17693" i="2"/>
  <c r="F17693" i="2"/>
  <c r="G17693" i="2"/>
  <c r="H17693" i="2"/>
  <c r="J17693" i="2"/>
  <c r="K17693" i="2"/>
  <c r="L17693" i="2"/>
  <c r="C17694" i="2"/>
  <c r="D17694" i="2"/>
  <c r="F17694" i="2"/>
  <c r="G17694" i="2"/>
  <c r="H17694" i="2"/>
  <c r="J17694" i="2"/>
  <c r="K17694" i="2"/>
  <c r="L17694" i="2"/>
  <c r="C17695" i="2"/>
  <c r="D17695" i="2"/>
  <c r="F17695" i="2"/>
  <c r="G17695" i="2"/>
  <c r="H17695" i="2"/>
  <c r="J17695" i="2"/>
  <c r="K17695" i="2"/>
  <c r="L17695" i="2"/>
  <c r="C17696" i="2"/>
  <c r="D17696" i="2"/>
  <c r="F17696" i="2"/>
  <c r="G17696" i="2"/>
  <c r="H17696" i="2"/>
  <c r="J17696" i="2"/>
  <c r="K17696" i="2"/>
  <c r="L17696" i="2"/>
  <c r="C17697" i="2"/>
  <c r="D17697" i="2"/>
  <c r="F17697" i="2"/>
  <c r="G17697" i="2"/>
  <c r="H17697" i="2"/>
  <c r="J17697" i="2"/>
  <c r="K17697" i="2"/>
  <c r="L17697" i="2"/>
  <c r="C17698" i="2"/>
  <c r="D17698" i="2"/>
  <c r="F17698" i="2"/>
  <c r="G17698" i="2"/>
  <c r="H17698" i="2"/>
  <c r="J17698" i="2"/>
  <c r="K17698" i="2"/>
  <c r="L17698" i="2"/>
  <c r="C17699" i="2"/>
  <c r="D17699" i="2"/>
  <c r="F17699" i="2"/>
  <c r="G17699" i="2"/>
  <c r="H17699" i="2"/>
  <c r="J17699" i="2"/>
  <c r="K17699" i="2"/>
  <c r="L17699" i="2"/>
  <c r="C17700" i="2"/>
  <c r="D17700" i="2"/>
  <c r="F17700" i="2"/>
  <c r="G17700" i="2"/>
  <c r="H17700" i="2"/>
  <c r="J17700" i="2"/>
  <c r="K17700" i="2"/>
  <c r="L17700" i="2"/>
  <c r="C17701" i="2"/>
  <c r="D17701" i="2"/>
  <c r="F17701" i="2"/>
  <c r="G17701" i="2"/>
  <c r="H17701" i="2"/>
  <c r="J17701" i="2"/>
  <c r="K17701" i="2"/>
  <c r="L17701" i="2"/>
  <c r="C17702" i="2"/>
  <c r="D17702" i="2"/>
  <c r="F17702" i="2"/>
  <c r="G17702" i="2"/>
  <c r="H17702" i="2"/>
  <c r="J17702" i="2"/>
  <c r="K17702" i="2"/>
  <c r="L17702" i="2"/>
  <c r="C17703" i="2"/>
  <c r="D17703" i="2"/>
  <c r="F17703" i="2"/>
  <c r="G17703" i="2"/>
  <c r="H17703" i="2"/>
  <c r="J17703" i="2"/>
  <c r="K17703" i="2"/>
  <c r="L17703" i="2"/>
  <c r="C17704" i="2"/>
  <c r="D17704" i="2"/>
  <c r="F17704" i="2"/>
  <c r="G17704" i="2"/>
  <c r="H17704" i="2"/>
  <c r="J17704" i="2"/>
  <c r="K17704" i="2"/>
  <c r="L17704" i="2"/>
  <c r="C17705" i="2"/>
  <c r="D17705" i="2"/>
  <c r="F17705" i="2"/>
  <c r="G17705" i="2"/>
  <c r="H17705" i="2"/>
  <c r="J17705" i="2"/>
  <c r="K17705" i="2"/>
  <c r="L17705" i="2"/>
  <c r="C17706" i="2"/>
  <c r="D17706" i="2"/>
  <c r="E17706" i="2"/>
  <c r="F17706" i="2"/>
  <c r="G17706" i="2"/>
  <c r="H17706" i="2"/>
  <c r="J17706" i="2"/>
  <c r="K17706" i="2"/>
  <c r="L17706" i="2"/>
  <c r="C17707" i="2"/>
  <c r="D17707" i="2"/>
  <c r="F17707" i="2"/>
  <c r="G17707" i="2"/>
  <c r="H17707" i="2"/>
  <c r="J17707" i="2"/>
  <c r="K17707" i="2"/>
  <c r="L17707" i="2"/>
  <c r="C17708" i="2"/>
  <c r="D17708" i="2"/>
  <c r="F17708" i="2"/>
  <c r="G17708" i="2"/>
  <c r="H17708" i="2"/>
  <c r="J17708" i="2"/>
  <c r="K17708" i="2"/>
  <c r="L17708" i="2"/>
  <c r="C17709" i="2"/>
  <c r="D17709" i="2"/>
  <c r="F17709" i="2"/>
  <c r="G17709" i="2"/>
  <c r="H17709" i="2"/>
  <c r="J17709" i="2"/>
  <c r="K17709" i="2"/>
  <c r="L17709" i="2"/>
  <c r="C17710" i="2"/>
  <c r="D17710" i="2"/>
  <c r="F17710" i="2"/>
  <c r="G17710" i="2"/>
  <c r="H17710" i="2"/>
  <c r="J17710" i="2"/>
  <c r="K17710" i="2"/>
  <c r="L17710" i="2"/>
  <c r="C17711" i="2"/>
  <c r="D17711" i="2"/>
  <c r="F17711" i="2"/>
  <c r="G17711" i="2"/>
  <c r="H17711" i="2"/>
  <c r="J17711" i="2"/>
  <c r="K17711" i="2"/>
  <c r="L17711" i="2"/>
  <c r="C17712" i="2"/>
  <c r="D17712" i="2"/>
  <c r="F17712" i="2"/>
  <c r="G17712" i="2"/>
  <c r="H17712" i="2"/>
  <c r="J17712" i="2"/>
  <c r="K17712" i="2"/>
  <c r="L17712" i="2"/>
  <c r="C17713" i="2"/>
  <c r="D17713" i="2"/>
  <c r="F17713" i="2"/>
  <c r="G17713" i="2"/>
  <c r="H17713" i="2"/>
  <c r="J17713" i="2"/>
  <c r="K17713" i="2"/>
  <c r="L17713" i="2"/>
  <c r="C17714" i="2"/>
  <c r="D17714" i="2"/>
  <c r="F17714" i="2"/>
  <c r="G17714" i="2"/>
  <c r="H17714" i="2"/>
  <c r="J17714" i="2"/>
  <c r="K17714" i="2"/>
  <c r="L17714" i="2"/>
  <c r="C17715" i="2"/>
  <c r="D17715" i="2"/>
  <c r="F17715" i="2"/>
  <c r="G17715" i="2"/>
  <c r="H17715" i="2"/>
  <c r="J17715" i="2"/>
  <c r="K17715" i="2"/>
  <c r="L17715" i="2"/>
  <c r="C17716" i="2"/>
  <c r="D17716" i="2"/>
  <c r="F17716" i="2"/>
  <c r="G17716" i="2"/>
  <c r="H17716" i="2"/>
  <c r="J17716" i="2"/>
  <c r="K17716" i="2"/>
  <c r="L17716" i="2"/>
  <c r="C17717" i="2"/>
  <c r="D17717" i="2"/>
  <c r="F17717" i="2"/>
  <c r="G17717" i="2"/>
  <c r="H17717" i="2"/>
  <c r="J17717" i="2"/>
  <c r="K17717" i="2"/>
  <c r="L17717" i="2"/>
  <c r="C17718" i="2"/>
  <c r="D17718" i="2"/>
  <c r="F17718" i="2"/>
  <c r="G17718" i="2"/>
  <c r="H17718" i="2"/>
  <c r="J17718" i="2"/>
  <c r="K17718" i="2"/>
  <c r="L17718" i="2"/>
  <c r="C17719" i="2"/>
  <c r="D17719" i="2"/>
  <c r="F17719" i="2"/>
  <c r="G17719" i="2"/>
  <c r="H17719" i="2"/>
  <c r="J17719" i="2"/>
  <c r="K17719" i="2"/>
  <c r="L17719" i="2"/>
  <c r="C17720" i="2"/>
  <c r="D17720" i="2"/>
  <c r="F17720" i="2"/>
  <c r="G17720" i="2"/>
  <c r="H17720" i="2"/>
  <c r="J17720" i="2"/>
  <c r="K17720" i="2"/>
  <c r="L17720" i="2"/>
  <c r="C17721" i="2"/>
  <c r="D17721" i="2"/>
  <c r="F17721" i="2"/>
  <c r="G17721" i="2"/>
  <c r="H17721" i="2"/>
  <c r="J17721" i="2"/>
  <c r="K17721" i="2"/>
  <c r="L17721" i="2"/>
  <c r="C17722" i="2"/>
  <c r="D17722" i="2"/>
  <c r="F17722" i="2"/>
  <c r="G17722" i="2"/>
  <c r="H17722" i="2"/>
  <c r="J17722" i="2"/>
  <c r="K17722" i="2"/>
  <c r="L17722" i="2"/>
  <c r="C17723" i="2"/>
  <c r="D17723" i="2"/>
  <c r="F17723" i="2"/>
  <c r="G17723" i="2"/>
  <c r="H17723" i="2"/>
  <c r="J17723" i="2"/>
  <c r="K17723" i="2"/>
  <c r="L17723" i="2"/>
  <c r="C17724" i="2"/>
  <c r="D17724" i="2"/>
  <c r="F17724" i="2"/>
  <c r="G17724" i="2"/>
  <c r="H17724" i="2"/>
  <c r="J17724" i="2"/>
  <c r="K17724" i="2"/>
  <c r="L17724" i="2"/>
  <c r="C17725" i="2"/>
  <c r="D17725" i="2"/>
  <c r="F17725" i="2"/>
  <c r="G17725" i="2"/>
  <c r="H17725" i="2"/>
  <c r="J17725" i="2"/>
  <c r="K17725" i="2"/>
  <c r="L17725" i="2"/>
  <c r="C17726" i="2"/>
  <c r="D17726" i="2"/>
  <c r="F17726" i="2"/>
  <c r="G17726" i="2"/>
  <c r="H17726" i="2"/>
  <c r="J17726" i="2"/>
  <c r="K17726" i="2"/>
  <c r="L17726" i="2"/>
  <c r="C17727" i="2"/>
  <c r="D17727" i="2"/>
  <c r="F17727" i="2"/>
  <c r="G17727" i="2"/>
  <c r="H17727" i="2"/>
  <c r="J17727" i="2"/>
  <c r="K17727" i="2"/>
  <c r="L17727" i="2"/>
  <c r="C17728" i="2"/>
  <c r="D17728" i="2"/>
  <c r="F17728" i="2"/>
  <c r="G17728" i="2"/>
  <c r="H17728" i="2"/>
  <c r="J17728" i="2"/>
  <c r="K17728" i="2"/>
  <c r="L17728" i="2"/>
  <c r="C17729" i="2"/>
  <c r="D17729" i="2"/>
  <c r="F17729" i="2"/>
  <c r="G17729" i="2"/>
  <c r="H17729" i="2"/>
  <c r="J17729" i="2"/>
  <c r="K17729" i="2"/>
  <c r="L17729" i="2"/>
  <c r="C17730" i="2"/>
  <c r="D17730" i="2"/>
  <c r="F17730" i="2"/>
  <c r="G17730" i="2"/>
  <c r="H17730" i="2"/>
  <c r="J17730" i="2"/>
  <c r="K17730" i="2"/>
  <c r="L17730" i="2"/>
  <c r="C17731" i="2"/>
  <c r="D17731" i="2"/>
  <c r="F17731" i="2"/>
  <c r="G17731" i="2"/>
  <c r="H17731" i="2"/>
  <c r="J17731" i="2"/>
  <c r="K17731" i="2"/>
  <c r="L17731" i="2"/>
  <c r="C17732" i="2"/>
  <c r="D17732" i="2"/>
  <c r="F17732" i="2"/>
  <c r="G17732" i="2"/>
  <c r="H17732" i="2"/>
  <c r="J17732" i="2"/>
  <c r="K17732" i="2"/>
  <c r="L17732" i="2"/>
  <c r="C17733" i="2"/>
  <c r="D17733" i="2"/>
  <c r="F17733" i="2"/>
  <c r="G17733" i="2"/>
  <c r="H17733" i="2"/>
  <c r="J17733" i="2"/>
  <c r="K17733" i="2"/>
  <c r="L17733" i="2"/>
  <c r="C17734" i="2"/>
  <c r="D17734" i="2"/>
  <c r="F17734" i="2"/>
  <c r="G17734" i="2"/>
  <c r="H17734" i="2"/>
  <c r="J17734" i="2"/>
  <c r="K17734" i="2"/>
  <c r="L17734" i="2"/>
  <c r="C17735" i="2"/>
  <c r="D17735" i="2"/>
  <c r="F17735" i="2"/>
  <c r="G17735" i="2"/>
  <c r="H17735" i="2"/>
  <c r="J17735" i="2"/>
  <c r="K17735" i="2"/>
  <c r="L17735" i="2"/>
  <c r="C17736" i="2"/>
  <c r="D17736" i="2"/>
  <c r="F17736" i="2"/>
  <c r="G17736" i="2"/>
  <c r="H17736" i="2"/>
  <c r="J17736" i="2"/>
  <c r="K17736" i="2"/>
  <c r="L17736" i="2"/>
  <c r="C17737" i="2"/>
  <c r="D17737" i="2"/>
  <c r="F17737" i="2"/>
  <c r="G17737" i="2"/>
  <c r="H17737" i="2"/>
  <c r="J17737" i="2"/>
  <c r="K17737" i="2"/>
  <c r="L17737" i="2"/>
  <c r="C17738" i="2"/>
  <c r="D17738" i="2"/>
  <c r="F17738" i="2"/>
  <c r="G17738" i="2"/>
  <c r="H17738" i="2"/>
  <c r="J17738" i="2"/>
  <c r="K17738" i="2"/>
  <c r="L17738" i="2"/>
  <c r="C17739" i="2"/>
  <c r="D17739" i="2"/>
  <c r="F17739" i="2"/>
  <c r="G17739" i="2"/>
  <c r="H17739" i="2"/>
  <c r="J17739" i="2"/>
  <c r="K17739" i="2"/>
  <c r="L17739" i="2"/>
  <c r="C17740" i="2"/>
  <c r="D17740" i="2"/>
  <c r="F17740" i="2"/>
  <c r="G17740" i="2"/>
  <c r="H17740" i="2"/>
  <c r="J17740" i="2"/>
  <c r="K17740" i="2"/>
  <c r="L17740" i="2"/>
  <c r="C17741" i="2"/>
  <c r="D17741" i="2"/>
  <c r="F17741" i="2"/>
  <c r="G17741" i="2"/>
  <c r="H17741" i="2"/>
  <c r="J17741" i="2"/>
  <c r="K17741" i="2"/>
  <c r="L17741" i="2"/>
  <c r="C17742" i="2"/>
  <c r="D17742" i="2"/>
  <c r="F17742" i="2"/>
  <c r="G17742" i="2"/>
  <c r="H17742" i="2"/>
  <c r="J17742" i="2"/>
  <c r="K17742" i="2"/>
  <c r="L17742" i="2"/>
  <c r="C17743" i="2"/>
  <c r="D17743" i="2"/>
  <c r="F17743" i="2"/>
  <c r="G17743" i="2"/>
  <c r="H17743" i="2"/>
  <c r="J17743" i="2"/>
  <c r="K17743" i="2"/>
  <c r="L17743" i="2"/>
  <c r="C17744" i="2"/>
  <c r="D17744" i="2"/>
  <c r="F17744" i="2"/>
  <c r="G17744" i="2"/>
  <c r="H17744" i="2"/>
  <c r="J17744" i="2"/>
  <c r="K17744" i="2"/>
  <c r="L17744" i="2"/>
  <c r="C17745" i="2"/>
  <c r="D17745" i="2"/>
  <c r="F17745" i="2"/>
  <c r="G17745" i="2"/>
  <c r="H17745" i="2"/>
  <c r="J17745" i="2"/>
  <c r="K17745" i="2"/>
  <c r="L17745" i="2"/>
  <c r="C17746" i="2"/>
  <c r="D17746" i="2"/>
  <c r="F17746" i="2"/>
  <c r="G17746" i="2"/>
  <c r="H17746" i="2"/>
  <c r="J17746" i="2"/>
  <c r="K17746" i="2"/>
  <c r="L17746" i="2"/>
  <c r="C17747" i="2"/>
  <c r="D17747" i="2"/>
  <c r="F17747" i="2"/>
  <c r="G17747" i="2"/>
  <c r="H17747" i="2"/>
  <c r="J17747" i="2"/>
  <c r="K17747" i="2"/>
  <c r="L17747" i="2"/>
  <c r="C17748" i="2"/>
  <c r="D17748" i="2"/>
  <c r="F17748" i="2"/>
  <c r="G17748" i="2"/>
  <c r="H17748" i="2"/>
  <c r="J17748" i="2"/>
  <c r="K17748" i="2"/>
  <c r="L17748" i="2"/>
  <c r="C17749" i="2"/>
  <c r="D17749" i="2"/>
  <c r="F17749" i="2"/>
  <c r="G17749" i="2"/>
  <c r="H17749" i="2"/>
  <c r="J17749" i="2"/>
  <c r="K17749" i="2"/>
  <c r="L17749" i="2"/>
  <c r="C17750" i="2"/>
  <c r="D17750" i="2"/>
  <c r="F17750" i="2"/>
  <c r="G17750" i="2"/>
  <c r="H17750" i="2"/>
  <c r="J17750" i="2"/>
  <c r="K17750" i="2"/>
  <c r="L17750" i="2"/>
  <c r="C17751" i="2"/>
  <c r="D17751" i="2"/>
  <c r="F17751" i="2"/>
  <c r="G17751" i="2"/>
  <c r="H17751" i="2"/>
  <c r="J17751" i="2"/>
  <c r="K17751" i="2"/>
  <c r="L17751" i="2"/>
  <c r="C17752" i="2"/>
  <c r="D17752" i="2"/>
  <c r="F17752" i="2"/>
  <c r="G17752" i="2"/>
  <c r="H17752" i="2"/>
  <c r="J17752" i="2"/>
  <c r="K17752" i="2"/>
  <c r="L17752" i="2"/>
  <c r="C17753" i="2"/>
  <c r="D17753" i="2"/>
  <c r="F17753" i="2"/>
  <c r="G17753" i="2"/>
  <c r="H17753" i="2"/>
  <c r="J17753" i="2"/>
  <c r="K17753" i="2"/>
  <c r="L17753" i="2"/>
  <c r="C17754" i="2"/>
  <c r="D17754" i="2"/>
  <c r="F17754" i="2"/>
  <c r="G17754" i="2"/>
  <c r="H17754" i="2"/>
  <c r="J17754" i="2"/>
  <c r="K17754" i="2"/>
  <c r="L17754" i="2"/>
  <c r="C17755" i="2"/>
  <c r="D17755" i="2"/>
  <c r="F17755" i="2"/>
  <c r="G17755" i="2"/>
  <c r="H17755" i="2"/>
  <c r="J17755" i="2"/>
  <c r="K17755" i="2"/>
  <c r="L17755" i="2"/>
  <c r="C17756" i="2"/>
  <c r="D17756" i="2"/>
  <c r="F17756" i="2"/>
  <c r="G17756" i="2"/>
  <c r="H17756" i="2"/>
  <c r="J17756" i="2"/>
  <c r="K17756" i="2"/>
  <c r="L17756" i="2"/>
  <c r="C17757" i="2"/>
  <c r="D17757" i="2"/>
  <c r="F17757" i="2"/>
  <c r="G17757" i="2"/>
  <c r="H17757" i="2"/>
  <c r="J17757" i="2"/>
  <c r="K17757" i="2"/>
  <c r="L17757" i="2"/>
  <c r="C17758" i="2"/>
  <c r="D17758" i="2"/>
  <c r="F17758" i="2"/>
  <c r="G17758" i="2"/>
  <c r="H17758" i="2"/>
  <c r="J17758" i="2"/>
  <c r="K17758" i="2"/>
  <c r="L17758" i="2"/>
  <c r="C17759" i="2"/>
  <c r="D17759" i="2"/>
  <c r="F17759" i="2"/>
  <c r="G17759" i="2"/>
  <c r="H17759" i="2"/>
  <c r="J17759" i="2"/>
  <c r="K17759" i="2"/>
  <c r="L17759" i="2"/>
  <c r="C17760" i="2"/>
  <c r="D17760" i="2"/>
  <c r="F17760" i="2"/>
  <c r="G17760" i="2"/>
  <c r="H17760" i="2"/>
  <c r="J17760" i="2"/>
  <c r="K17760" i="2"/>
  <c r="L17760" i="2"/>
  <c r="C17761" i="2"/>
  <c r="D17761" i="2"/>
  <c r="F17761" i="2"/>
  <c r="G17761" i="2"/>
  <c r="H17761" i="2"/>
  <c r="J17761" i="2"/>
  <c r="K17761" i="2"/>
  <c r="L17761" i="2"/>
  <c r="C17762" i="2"/>
  <c r="D17762" i="2"/>
  <c r="F17762" i="2"/>
  <c r="G17762" i="2"/>
  <c r="H17762" i="2"/>
  <c r="J17762" i="2"/>
  <c r="K17762" i="2"/>
  <c r="L17762" i="2"/>
  <c r="C17763" i="2"/>
  <c r="D17763" i="2"/>
  <c r="F17763" i="2"/>
  <c r="G17763" i="2"/>
  <c r="H17763" i="2"/>
  <c r="J17763" i="2"/>
  <c r="K17763" i="2"/>
  <c r="L17763" i="2"/>
  <c r="C17764" i="2"/>
  <c r="D17764" i="2"/>
  <c r="F17764" i="2"/>
  <c r="G17764" i="2"/>
  <c r="H17764" i="2"/>
  <c r="J17764" i="2"/>
  <c r="K17764" i="2"/>
  <c r="L17764" i="2"/>
  <c r="C17765" i="2"/>
  <c r="D17765" i="2"/>
  <c r="F17765" i="2"/>
  <c r="G17765" i="2"/>
  <c r="H17765" i="2"/>
  <c r="J17765" i="2"/>
  <c r="K17765" i="2"/>
  <c r="L17765" i="2"/>
  <c r="C17766" i="2"/>
  <c r="D17766" i="2"/>
  <c r="F17766" i="2"/>
  <c r="G17766" i="2"/>
  <c r="H17766" i="2"/>
  <c r="J17766" i="2"/>
  <c r="K17766" i="2"/>
  <c r="L17766" i="2"/>
  <c r="C17767" i="2"/>
  <c r="D17767" i="2"/>
  <c r="F17767" i="2"/>
  <c r="G17767" i="2"/>
  <c r="H17767" i="2"/>
  <c r="J17767" i="2"/>
  <c r="K17767" i="2"/>
  <c r="L17767" i="2"/>
  <c r="C17768" i="2"/>
  <c r="D17768" i="2"/>
  <c r="F17768" i="2"/>
  <c r="G17768" i="2"/>
  <c r="H17768" i="2"/>
  <c r="J17768" i="2"/>
  <c r="K17768" i="2"/>
  <c r="L17768" i="2"/>
  <c r="C17769" i="2"/>
  <c r="D17769" i="2"/>
  <c r="F17769" i="2"/>
  <c r="G17769" i="2"/>
  <c r="H17769" i="2"/>
  <c r="J17769" i="2"/>
  <c r="K17769" i="2"/>
  <c r="L17769" i="2"/>
  <c r="C17770" i="2"/>
  <c r="D17770" i="2"/>
  <c r="F17770" i="2"/>
  <c r="G17770" i="2"/>
  <c r="H17770" i="2"/>
  <c r="J17770" i="2"/>
  <c r="K17770" i="2"/>
  <c r="L17770" i="2"/>
  <c r="C17771" i="2"/>
  <c r="D17771" i="2"/>
  <c r="F17771" i="2"/>
  <c r="G17771" i="2"/>
  <c r="H17771" i="2"/>
  <c r="J17771" i="2"/>
  <c r="K17771" i="2"/>
  <c r="L17771" i="2"/>
  <c r="C17772" i="2"/>
  <c r="D17772" i="2"/>
  <c r="F17772" i="2"/>
  <c r="G17772" i="2"/>
  <c r="H17772" i="2"/>
  <c r="J17772" i="2"/>
  <c r="K17772" i="2"/>
  <c r="L17772" i="2"/>
  <c r="C17773" i="2"/>
  <c r="D17773" i="2"/>
  <c r="F17773" i="2"/>
  <c r="G17773" i="2"/>
  <c r="H17773" i="2"/>
  <c r="J17773" i="2"/>
  <c r="K17773" i="2"/>
  <c r="L17773" i="2"/>
  <c r="C17774" i="2"/>
  <c r="D17774" i="2"/>
  <c r="F17774" i="2"/>
  <c r="G17774" i="2"/>
  <c r="H17774" i="2"/>
  <c r="J17774" i="2"/>
  <c r="K17774" i="2"/>
  <c r="L17774" i="2"/>
  <c r="C17775" i="2"/>
  <c r="D17775" i="2"/>
  <c r="F17775" i="2"/>
  <c r="G17775" i="2"/>
  <c r="H17775" i="2"/>
  <c r="J17775" i="2"/>
  <c r="K17775" i="2"/>
  <c r="L17775" i="2"/>
  <c r="C17776" i="2"/>
  <c r="D17776" i="2"/>
  <c r="F17776" i="2"/>
  <c r="G17776" i="2"/>
  <c r="H17776" i="2"/>
  <c r="J17776" i="2"/>
  <c r="K17776" i="2"/>
  <c r="L17776" i="2"/>
  <c r="C17777" i="2"/>
  <c r="D17777" i="2"/>
  <c r="F17777" i="2"/>
  <c r="G17777" i="2"/>
  <c r="H17777" i="2"/>
  <c r="J17777" i="2"/>
  <c r="K17777" i="2"/>
  <c r="L17777" i="2"/>
  <c r="C17778" i="2"/>
  <c r="D17778" i="2"/>
  <c r="F17778" i="2"/>
  <c r="G17778" i="2"/>
  <c r="H17778" i="2"/>
  <c r="J17778" i="2"/>
  <c r="K17778" i="2"/>
  <c r="L17778" i="2"/>
  <c r="C17779" i="2"/>
  <c r="D17779" i="2"/>
  <c r="F17779" i="2"/>
  <c r="G17779" i="2"/>
  <c r="H17779" i="2"/>
  <c r="J17779" i="2"/>
  <c r="K17779" i="2"/>
  <c r="L17779" i="2"/>
  <c r="C17780" i="2"/>
  <c r="D17780" i="2"/>
  <c r="F17780" i="2"/>
  <c r="G17780" i="2"/>
  <c r="H17780" i="2"/>
  <c r="J17780" i="2"/>
  <c r="K17780" i="2"/>
  <c r="L17780" i="2"/>
  <c r="C17781" i="2"/>
  <c r="D17781" i="2"/>
  <c r="F17781" i="2"/>
  <c r="G17781" i="2"/>
  <c r="H17781" i="2"/>
  <c r="J17781" i="2"/>
  <c r="K17781" i="2"/>
  <c r="L17781" i="2"/>
  <c r="C17782" i="2"/>
  <c r="D17782" i="2"/>
  <c r="E17782" i="2"/>
  <c r="F17782" i="2"/>
  <c r="G17782" i="2"/>
  <c r="H17782" i="2"/>
  <c r="J17782" i="2"/>
  <c r="K17782" i="2"/>
  <c r="L17782" i="2"/>
  <c r="C17783" i="2"/>
  <c r="D17783" i="2"/>
  <c r="F17783" i="2"/>
  <c r="G17783" i="2"/>
  <c r="H17783" i="2"/>
  <c r="J17783" i="2"/>
  <c r="K17783" i="2"/>
  <c r="L17783" i="2"/>
  <c r="C17784" i="2"/>
  <c r="D17784" i="2"/>
  <c r="F17784" i="2"/>
  <c r="G17784" i="2"/>
  <c r="H17784" i="2"/>
  <c r="J17784" i="2"/>
  <c r="K17784" i="2"/>
  <c r="L17784" i="2"/>
  <c r="C17785" i="2"/>
  <c r="D17785" i="2"/>
  <c r="F17785" i="2"/>
  <c r="G17785" i="2"/>
  <c r="H17785" i="2"/>
  <c r="J17785" i="2"/>
  <c r="K17785" i="2"/>
  <c r="L17785" i="2"/>
  <c r="C17786" i="2"/>
  <c r="D17786" i="2"/>
  <c r="F17786" i="2"/>
  <c r="G17786" i="2"/>
  <c r="H17786" i="2"/>
  <c r="J17786" i="2"/>
  <c r="K17786" i="2"/>
  <c r="L17786" i="2"/>
  <c r="C17787" i="2"/>
  <c r="D17787" i="2"/>
  <c r="F17787" i="2"/>
  <c r="G17787" i="2"/>
  <c r="H17787" i="2"/>
  <c r="J17787" i="2"/>
  <c r="K17787" i="2"/>
  <c r="L17787" i="2"/>
  <c r="C17788" i="2"/>
  <c r="D17788" i="2"/>
  <c r="F17788" i="2"/>
  <c r="G17788" i="2"/>
  <c r="H17788" i="2"/>
  <c r="J17788" i="2"/>
  <c r="K17788" i="2"/>
  <c r="L17788" i="2"/>
  <c r="C17789" i="2"/>
  <c r="D17789" i="2"/>
  <c r="F17789" i="2"/>
  <c r="G17789" i="2"/>
  <c r="H17789" i="2"/>
  <c r="J17789" i="2"/>
  <c r="K17789" i="2"/>
  <c r="L17789" i="2"/>
  <c r="C17790" i="2"/>
  <c r="D17790" i="2"/>
  <c r="F17790" i="2"/>
  <c r="G17790" i="2"/>
  <c r="H17790" i="2"/>
  <c r="J17790" i="2"/>
  <c r="K17790" i="2"/>
  <c r="L17790" i="2"/>
  <c r="C17791" i="2"/>
  <c r="D17791" i="2"/>
  <c r="F17791" i="2"/>
  <c r="G17791" i="2"/>
  <c r="H17791" i="2"/>
  <c r="J17791" i="2"/>
  <c r="K17791" i="2"/>
  <c r="L17791" i="2"/>
  <c r="C17792" i="2"/>
  <c r="D17792" i="2"/>
  <c r="F17792" i="2"/>
  <c r="G17792" i="2"/>
  <c r="H17792" i="2"/>
  <c r="J17792" i="2"/>
  <c r="K17792" i="2"/>
  <c r="L17792" i="2"/>
  <c r="C17793" i="2"/>
  <c r="D17793" i="2"/>
  <c r="F17793" i="2"/>
  <c r="G17793" i="2"/>
  <c r="H17793" i="2"/>
  <c r="J17793" i="2"/>
  <c r="K17793" i="2"/>
  <c r="L17793" i="2"/>
  <c r="C17794" i="2"/>
  <c r="D17794" i="2"/>
  <c r="F17794" i="2"/>
  <c r="G17794" i="2"/>
  <c r="H17794" i="2"/>
  <c r="J17794" i="2"/>
  <c r="K17794" i="2"/>
  <c r="L17794" i="2"/>
  <c r="C17795" i="2"/>
  <c r="D17795" i="2"/>
  <c r="F17795" i="2"/>
  <c r="G17795" i="2"/>
  <c r="H17795" i="2"/>
  <c r="J17795" i="2"/>
  <c r="K17795" i="2"/>
  <c r="L17795" i="2"/>
  <c r="C17796" i="2"/>
  <c r="D17796" i="2"/>
  <c r="F17796" i="2"/>
  <c r="G17796" i="2"/>
  <c r="H17796" i="2"/>
  <c r="J17796" i="2"/>
  <c r="K17796" i="2"/>
  <c r="L17796" i="2"/>
  <c r="C17797" i="2"/>
  <c r="D17797" i="2"/>
  <c r="F17797" i="2"/>
  <c r="G17797" i="2"/>
  <c r="H17797" i="2"/>
  <c r="J17797" i="2"/>
  <c r="K17797" i="2"/>
  <c r="L17797" i="2"/>
  <c r="C17798" i="2"/>
  <c r="D17798" i="2"/>
  <c r="F17798" i="2"/>
  <c r="G17798" i="2"/>
  <c r="H17798" i="2"/>
  <c r="J17798" i="2"/>
  <c r="K17798" i="2"/>
  <c r="L17798" i="2"/>
  <c r="C17799" i="2"/>
  <c r="D17799" i="2"/>
  <c r="F17799" i="2"/>
  <c r="G17799" i="2"/>
  <c r="H17799" i="2"/>
  <c r="J17799" i="2"/>
  <c r="K17799" i="2"/>
  <c r="L17799" i="2"/>
  <c r="C17800" i="2"/>
  <c r="D17800" i="2"/>
  <c r="F17800" i="2"/>
  <c r="G17800" i="2"/>
  <c r="H17800" i="2"/>
  <c r="J17800" i="2"/>
  <c r="K17800" i="2"/>
  <c r="L17800" i="2"/>
  <c r="C17801" i="2"/>
  <c r="D17801" i="2"/>
  <c r="F17801" i="2"/>
  <c r="G17801" i="2"/>
  <c r="H17801" i="2"/>
  <c r="J17801" i="2"/>
  <c r="K17801" i="2"/>
  <c r="L17801" i="2"/>
  <c r="C17802" i="2"/>
  <c r="D17802" i="2"/>
  <c r="F17802" i="2"/>
  <c r="G17802" i="2"/>
  <c r="H17802" i="2"/>
  <c r="J17802" i="2"/>
  <c r="K17802" i="2"/>
  <c r="L17802" i="2"/>
  <c r="C17803" i="2"/>
  <c r="D17803" i="2"/>
  <c r="F17803" i="2"/>
  <c r="G17803" i="2"/>
  <c r="H17803" i="2"/>
  <c r="J17803" i="2"/>
  <c r="K17803" i="2"/>
  <c r="L17803" i="2"/>
  <c r="C17804" i="2"/>
  <c r="D17804" i="2"/>
  <c r="F17804" i="2"/>
  <c r="G17804" i="2"/>
  <c r="H17804" i="2"/>
  <c r="J17804" i="2"/>
  <c r="K17804" i="2"/>
  <c r="L17804" i="2"/>
  <c r="C17805" i="2"/>
  <c r="D17805" i="2"/>
  <c r="F17805" i="2"/>
  <c r="G17805" i="2"/>
  <c r="H17805" i="2"/>
  <c r="J17805" i="2"/>
  <c r="K17805" i="2"/>
  <c r="L17805" i="2"/>
  <c r="C17806" i="2"/>
  <c r="D17806" i="2"/>
  <c r="F17806" i="2"/>
  <c r="G17806" i="2"/>
  <c r="H17806" i="2"/>
  <c r="J17806" i="2"/>
  <c r="K17806" i="2"/>
  <c r="L17806" i="2"/>
  <c r="C17807" i="2"/>
  <c r="D17807" i="2"/>
  <c r="F17807" i="2"/>
  <c r="G17807" i="2"/>
  <c r="H17807" i="2"/>
  <c r="J17807" i="2"/>
  <c r="K17807" i="2"/>
  <c r="L17807" i="2"/>
  <c r="C17808" i="2"/>
  <c r="D17808" i="2"/>
  <c r="F17808" i="2"/>
  <c r="G17808" i="2"/>
  <c r="H17808" i="2"/>
  <c r="J17808" i="2"/>
  <c r="K17808" i="2"/>
  <c r="L17808" i="2"/>
  <c r="C17809" i="2"/>
  <c r="D17809" i="2"/>
  <c r="F17809" i="2"/>
  <c r="G17809" i="2"/>
  <c r="H17809" i="2"/>
  <c r="J17809" i="2"/>
  <c r="K17809" i="2"/>
  <c r="L17809" i="2"/>
  <c r="C17810" i="2"/>
  <c r="D17810" i="2"/>
  <c r="F17810" i="2"/>
  <c r="G17810" i="2"/>
  <c r="H17810" i="2"/>
  <c r="J17810" i="2"/>
  <c r="K17810" i="2"/>
  <c r="L17810" i="2"/>
  <c r="C17811" i="2"/>
  <c r="D17811" i="2"/>
  <c r="F17811" i="2"/>
  <c r="G17811" i="2"/>
  <c r="H17811" i="2"/>
  <c r="J17811" i="2"/>
  <c r="K17811" i="2"/>
  <c r="L17811" i="2"/>
  <c r="C17812" i="2"/>
  <c r="D17812" i="2"/>
  <c r="F17812" i="2"/>
  <c r="G17812" i="2"/>
  <c r="H17812" i="2"/>
  <c r="J17812" i="2"/>
  <c r="K17812" i="2"/>
  <c r="L17812" i="2"/>
  <c r="C17813" i="2"/>
  <c r="D17813" i="2"/>
  <c r="F17813" i="2"/>
  <c r="G17813" i="2"/>
  <c r="H17813" i="2"/>
  <c r="J17813" i="2"/>
  <c r="K17813" i="2"/>
  <c r="L17813" i="2"/>
  <c r="C17814" i="2"/>
  <c r="D17814" i="2"/>
  <c r="F17814" i="2"/>
  <c r="G17814" i="2"/>
  <c r="H17814" i="2"/>
  <c r="J17814" i="2"/>
  <c r="K17814" i="2"/>
  <c r="L17814" i="2"/>
  <c r="C17815" i="2"/>
  <c r="D17815" i="2"/>
  <c r="F17815" i="2"/>
  <c r="G17815" i="2"/>
  <c r="H17815" i="2"/>
  <c r="J17815" i="2"/>
  <c r="K17815" i="2"/>
  <c r="L17815" i="2"/>
  <c r="C17816" i="2"/>
  <c r="D17816" i="2"/>
  <c r="F17816" i="2"/>
  <c r="G17816" i="2"/>
  <c r="H17816" i="2"/>
  <c r="J17816" i="2"/>
  <c r="K17816" i="2"/>
  <c r="L17816" i="2"/>
  <c r="C17817" i="2"/>
  <c r="D17817" i="2"/>
  <c r="F17817" i="2"/>
  <c r="G17817" i="2"/>
  <c r="H17817" i="2"/>
  <c r="J17817" i="2"/>
  <c r="K17817" i="2"/>
  <c r="L17817" i="2"/>
  <c r="C17818" i="2"/>
  <c r="D17818" i="2"/>
  <c r="F17818" i="2"/>
  <c r="G17818" i="2"/>
  <c r="H17818" i="2"/>
  <c r="J17818" i="2"/>
  <c r="K17818" i="2"/>
  <c r="L17818" i="2"/>
  <c r="C17819" i="2"/>
  <c r="D17819" i="2"/>
  <c r="F17819" i="2"/>
  <c r="G17819" i="2"/>
  <c r="H17819" i="2"/>
  <c r="J17819" i="2"/>
  <c r="K17819" i="2"/>
  <c r="L17819" i="2"/>
  <c r="C17820" i="2"/>
  <c r="D17820" i="2"/>
  <c r="F17820" i="2"/>
  <c r="G17820" i="2"/>
  <c r="H17820" i="2"/>
  <c r="J17820" i="2"/>
  <c r="K17820" i="2"/>
  <c r="L17820" i="2"/>
  <c r="C17821" i="2"/>
  <c r="D17821" i="2"/>
  <c r="F17821" i="2"/>
  <c r="G17821" i="2"/>
  <c r="H17821" i="2"/>
  <c r="J17821" i="2"/>
  <c r="K17821" i="2"/>
  <c r="L17821" i="2"/>
  <c r="D17822" i="2"/>
  <c r="F17822" i="2"/>
  <c r="G17822" i="2"/>
  <c r="H17822" i="2"/>
  <c r="J17822" i="2"/>
  <c r="K17822" i="2"/>
  <c r="L17822" i="2"/>
  <c r="C17823" i="2"/>
  <c r="D17823" i="2"/>
  <c r="F17823" i="2"/>
  <c r="G17823" i="2"/>
  <c r="H17823" i="2"/>
  <c r="J17823" i="2"/>
  <c r="K17823" i="2"/>
  <c r="L17823" i="2"/>
  <c r="C17824" i="2"/>
  <c r="D17824" i="2"/>
  <c r="F17824" i="2"/>
  <c r="G17824" i="2"/>
  <c r="H17824" i="2"/>
  <c r="J17824" i="2"/>
  <c r="K17824" i="2"/>
  <c r="L17824" i="2"/>
  <c r="C17825" i="2"/>
  <c r="D17825" i="2"/>
  <c r="F17825" i="2"/>
  <c r="G17825" i="2"/>
  <c r="H17825" i="2"/>
  <c r="J17825" i="2"/>
  <c r="K17825" i="2"/>
  <c r="L17825" i="2"/>
  <c r="D17826" i="2"/>
  <c r="F17826" i="2"/>
  <c r="G17826" i="2"/>
  <c r="H17826" i="2"/>
  <c r="J17826" i="2"/>
  <c r="K17826" i="2"/>
  <c r="L17826" i="2"/>
  <c r="D17827" i="2"/>
  <c r="F17827" i="2"/>
  <c r="G17827" i="2"/>
  <c r="H17827" i="2"/>
  <c r="J17827" i="2"/>
  <c r="K17827" i="2"/>
  <c r="L17827" i="2"/>
  <c r="C17828" i="2"/>
  <c r="D17828" i="2"/>
  <c r="F17828" i="2"/>
  <c r="G17828" i="2"/>
  <c r="H17828" i="2"/>
  <c r="J17828" i="2"/>
  <c r="K17828" i="2"/>
  <c r="L17828" i="2"/>
  <c r="C17829" i="2"/>
  <c r="D17829" i="2"/>
  <c r="F17829" i="2"/>
  <c r="G17829" i="2"/>
  <c r="H17829" i="2"/>
  <c r="J17829" i="2"/>
  <c r="K17829" i="2"/>
  <c r="L17829" i="2"/>
  <c r="D17830" i="2"/>
  <c r="F17830" i="2"/>
  <c r="G17830" i="2"/>
  <c r="H17830" i="2"/>
  <c r="J17830" i="2"/>
  <c r="K17830" i="2"/>
  <c r="L17830" i="2"/>
  <c r="D17831" i="2"/>
  <c r="F17831" i="2"/>
  <c r="G17831" i="2"/>
  <c r="H17831" i="2"/>
  <c r="J17831" i="2"/>
  <c r="K17831" i="2"/>
  <c r="L17831" i="2"/>
  <c r="D17832" i="2"/>
  <c r="F17832" i="2"/>
  <c r="G17832" i="2"/>
  <c r="H17832" i="2"/>
  <c r="J17832" i="2"/>
  <c r="K17832" i="2"/>
  <c r="L17832" i="2"/>
  <c r="D17833" i="2"/>
  <c r="F17833" i="2"/>
  <c r="G17833" i="2"/>
  <c r="H17833" i="2"/>
  <c r="J17833" i="2"/>
  <c r="K17833" i="2"/>
  <c r="L17833" i="2"/>
  <c r="C17834" i="2"/>
  <c r="D17834" i="2"/>
  <c r="F17834" i="2"/>
  <c r="G17834" i="2"/>
  <c r="H17834" i="2"/>
  <c r="J17834" i="2"/>
  <c r="K17834" i="2"/>
  <c r="L17834" i="2"/>
  <c r="C17835" i="2"/>
  <c r="D17835" i="2"/>
  <c r="F17835" i="2"/>
  <c r="G17835" i="2"/>
  <c r="H17835" i="2"/>
  <c r="J17835" i="2"/>
  <c r="K17835" i="2"/>
  <c r="L17835" i="2"/>
  <c r="C17836" i="2"/>
  <c r="D17836" i="2"/>
  <c r="F17836" i="2"/>
  <c r="G17836" i="2"/>
  <c r="H17836" i="2"/>
  <c r="J17836" i="2"/>
  <c r="K17836" i="2"/>
  <c r="L17836" i="2"/>
  <c r="D17837" i="2"/>
  <c r="F17837" i="2"/>
  <c r="G17837" i="2"/>
  <c r="H17837" i="2"/>
  <c r="J17837" i="2"/>
  <c r="K17837" i="2"/>
  <c r="L17837" i="2"/>
  <c r="C17838" i="2"/>
  <c r="D17838" i="2"/>
  <c r="F17838" i="2"/>
  <c r="G17838" i="2"/>
  <c r="H17838" i="2"/>
  <c r="J17838" i="2"/>
  <c r="K17838" i="2"/>
  <c r="L17838" i="2"/>
  <c r="C17839" i="2"/>
  <c r="D17839" i="2"/>
  <c r="F17839" i="2"/>
  <c r="G17839" i="2"/>
  <c r="H17839" i="2"/>
  <c r="J17839" i="2"/>
  <c r="K17839" i="2"/>
  <c r="L17839" i="2"/>
  <c r="C17840" i="2"/>
  <c r="D17840" i="2"/>
  <c r="F17840" i="2"/>
  <c r="G17840" i="2"/>
  <c r="H17840" i="2"/>
  <c r="J17840" i="2"/>
  <c r="K17840" i="2"/>
  <c r="L17840" i="2"/>
  <c r="D17841" i="2"/>
  <c r="F17841" i="2"/>
  <c r="G17841" i="2"/>
  <c r="H17841" i="2"/>
  <c r="J17841" i="2"/>
  <c r="K17841" i="2"/>
  <c r="L17841" i="2"/>
  <c r="D17842" i="2"/>
  <c r="F17842" i="2"/>
  <c r="G17842" i="2"/>
  <c r="H17842" i="2"/>
  <c r="J17842" i="2"/>
  <c r="K17842" i="2"/>
  <c r="L17842" i="2"/>
  <c r="C17843" i="2"/>
  <c r="D17843" i="2"/>
  <c r="F17843" i="2"/>
  <c r="G17843" i="2"/>
  <c r="H17843" i="2"/>
  <c r="J17843" i="2"/>
  <c r="K17843" i="2"/>
  <c r="L17843" i="2"/>
  <c r="C17844" i="2"/>
  <c r="D17844" i="2"/>
  <c r="F17844" i="2"/>
  <c r="G17844" i="2"/>
  <c r="H17844" i="2"/>
  <c r="J17844" i="2"/>
  <c r="K17844" i="2"/>
  <c r="L17844" i="2"/>
  <c r="C17845" i="2"/>
  <c r="D17845" i="2"/>
  <c r="F17845" i="2"/>
  <c r="G17845" i="2"/>
  <c r="H17845" i="2"/>
  <c r="J17845" i="2"/>
  <c r="K17845" i="2"/>
  <c r="L17845" i="2"/>
  <c r="C17846" i="2"/>
  <c r="D17846" i="2"/>
  <c r="F17846" i="2"/>
  <c r="G17846" i="2"/>
  <c r="H17846" i="2"/>
  <c r="J17846" i="2"/>
  <c r="K17846" i="2"/>
  <c r="L17846" i="2"/>
  <c r="C17847" i="2"/>
  <c r="D17847" i="2"/>
  <c r="F17847" i="2"/>
  <c r="G17847" i="2"/>
  <c r="H17847" i="2"/>
  <c r="J17847" i="2"/>
  <c r="K17847" i="2"/>
  <c r="L17847" i="2"/>
  <c r="D17848" i="2"/>
  <c r="F17848" i="2"/>
  <c r="G17848" i="2"/>
  <c r="H17848" i="2"/>
  <c r="J17848" i="2"/>
  <c r="K17848" i="2"/>
  <c r="L17848" i="2"/>
  <c r="C17849" i="2"/>
  <c r="D17849" i="2"/>
  <c r="F17849" i="2"/>
  <c r="G17849" i="2"/>
  <c r="H17849" i="2"/>
  <c r="J17849" i="2"/>
  <c r="K17849" i="2"/>
  <c r="L17849" i="2"/>
  <c r="C17850" i="2"/>
  <c r="D17850" i="2"/>
  <c r="F17850" i="2"/>
  <c r="G17850" i="2"/>
  <c r="H17850" i="2"/>
  <c r="J17850" i="2"/>
  <c r="K17850" i="2"/>
  <c r="L17850" i="2"/>
  <c r="C17851" i="2"/>
  <c r="D17851" i="2"/>
  <c r="F17851" i="2"/>
  <c r="G17851" i="2"/>
  <c r="H17851" i="2"/>
  <c r="J17851" i="2"/>
  <c r="K17851" i="2"/>
  <c r="L17851" i="2"/>
  <c r="C17852" i="2"/>
  <c r="D17852" i="2"/>
  <c r="F17852" i="2"/>
  <c r="G17852" i="2"/>
  <c r="H17852" i="2"/>
  <c r="J17852" i="2"/>
  <c r="K17852" i="2"/>
  <c r="L17852" i="2"/>
  <c r="D17853" i="2"/>
  <c r="F17853" i="2"/>
  <c r="G17853" i="2"/>
  <c r="H17853" i="2"/>
  <c r="J17853" i="2"/>
  <c r="K17853" i="2"/>
  <c r="L17853" i="2"/>
  <c r="D17854" i="2"/>
  <c r="F17854" i="2"/>
  <c r="G17854" i="2"/>
  <c r="H17854" i="2"/>
  <c r="J17854" i="2"/>
  <c r="K17854" i="2"/>
  <c r="L17854" i="2"/>
  <c r="C17855" i="2"/>
  <c r="D17855" i="2"/>
  <c r="F17855" i="2"/>
  <c r="G17855" i="2"/>
  <c r="H17855" i="2"/>
  <c r="J17855" i="2"/>
  <c r="K17855" i="2"/>
  <c r="L17855" i="2"/>
  <c r="C17856" i="2"/>
  <c r="D17856" i="2"/>
  <c r="F17856" i="2"/>
  <c r="G17856" i="2"/>
  <c r="H17856" i="2"/>
  <c r="J17856" i="2"/>
  <c r="K17856" i="2"/>
  <c r="L17856" i="2"/>
  <c r="D17857" i="2"/>
  <c r="F17857" i="2"/>
  <c r="G17857" i="2"/>
  <c r="H17857" i="2"/>
  <c r="J17857" i="2"/>
  <c r="K17857" i="2"/>
  <c r="L17857" i="2"/>
  <c r="D17858" i="2"/>
  <c r="F17858" i="2"/>
  <c r="G17858" i="2"/>
  <c r="H17858" i="2"/>
  <c r="J17858" i="2"/>
  <c r="K17858" i="2"/>
  <c r="L17858" i="2"/>
  <c r="C17859" i="2"/>
  <c r="D17859" i="2"/>
  <c r="F17859" i="2"/>
  <c r="G17859" i="2"/>
  <c r="H17859" i="2"/>
  <c r="J17859" i="2"/>
  <c r="K17859" i="2"/>
  <c r="L17859" i="2"/>
  <c r="C17860" i="2"/>
  <c r="D17860" i="2"/>
  <c r="F17860" i="2"/>
  <c r="G17860" i="2"/>
  <c r="H17860" i="2"/>
  <c r="J17860" i="2"/>
  <c r="K17860" i="2"/>
  <c r="L17860" i="2"/>
  <c r="C17861" i="2"/>
  <c r="D17861" i="2"/>
  <c r="F17861" i="2"/>
  <c r="G17861" i="2"/>
  <c r="H17861" i="2"/>
  <c r="J17861" i="2"/>
  <c r="K17861" i="2"/>
  <c r="L17861" i="2"/>
  <c r="C17862" i="2"/>
  <c r="D17862" i="2"/>
  <c r="F17862" i="2"/>
  <c r="G17862" i="2"/>
  <c r="H17862" i="2"/>
  <c r="J17862" i="2"/>
  <c r="K17862" i="2"/>
  <c r="L17862" i="2"/>
  <c r="D17863" i="2"/>
  <c r="F17863" i="2"/>
  <c r="G17863" i="2"/>
  <c r="H17863" i="2"/>
  <c r="J17863" i="2"/>
  <c r="K17863" i="2"/>
  <c r="L17863" i="2"/>
  <c r="C17864" i="2"/>
  <c r="D17864" i="2"/>
  <c r="F17864" i="2"/>
  <c r="G17864" i="2"/>
  <c r="H17864" i="2"/>
  <c r="J17864" i="2"/>
  <c r="K17864" i="2"/>
  <c r="L17864" i="2"/>
  <c r="C17865" i="2"/>
  <c r="D17865" i="2"/>
  <c r="F17865" i="2"/>
  <c r="G17865" i="2"/>
  <c r="H17865" i="2"/>
  <c r="J17865" i="2"/>
  <c r="K17865" i="2"/>
  <c r="L17865" i="2"/>
  <c r="C17866" i="2"/>
  <c r="D17866" i="2"/>
  <c r="F17866" i="2"/>
  <c r="G17866" i="2"/>
  <c r="H17866" i="2"/>
  <c r="J17866" i="2"/>
  <c r="K17866" i="2"/>
  <c r="L17866" i="2"/>
  <c r="C17867" i="2"/>
  <c r="D17867" i="2"/>
  <c r="F17867" i="2"/>
  <c r="G17867" i="2"/>
  <c r="H17867" i="2"/>
  <c r="J17867" i="2"/>
  <c r="K17867" i="2"/>
  <c r="L17867" i="2"/>
  <c r="C17868" i="2"/>
  <c r="D17868" i="2"/>
  <c r="F17868" i="2"/>
  <c r="G17868" i="2"/>
  <c r="H17868" i="2"/>
  <c r="J17868" i="2"/>
  <c r="K17868" i="2"/>
  <c r="L17868" i="2"/>
  <c r="C17869" i="2"/>
  <c r="D17869" i="2"/>
  <c r="F17869" i="2"/>
  <c r="G17869" i="2"/>
  <c r="H17869" i="2"/>
  <c r="J17869" i="2"/>
  <c r="K17869" i="2"/>
  <c r="L17869" i="2"/>
  <c r="D17870" i="2"/>
  <c r="F17870" i="2"/>
  <c r="G17870" i="2"/>
  <c r="H17870" i="2"/>
  <c r="J17870" i="2"/>
  <c r="K17870" i="2"/>
  <c r="L17870" i="2"/>
  <c r="D17871" i="2"/>
  <c r="F17871" i="2"/>
  <c r="G17871" i="2"/>
  <c r="H17871" i="2"/>
  <c r="J17871" i="2"/>
  <c r="K17871" i="2"/>
  <c r="L17871" i="2"/>
  <c r="C17872" i="2"/>
  <c r="D17872" i="2"/>
  <c r="F17872" i="2"/>
  <c r="G17872" i="2"/>
  <c r="H17872" i="2"/>
  <c r="J17872" i="2"/>
  <c r="K17872" i="2"/>
  <c r="L17872" i="2"/>
  <c r="C17873" i="2"/>
  <c r="D17873" i="2"/>
  <c r="F17873" i="2"/>
  <c r="G17873" i="2"/>
  <c r="H17873" i="2"/>
  <c r="J17873" i="2"/>
  <c r="K17873" i="2"/>
  <c r="L17873" i="2"/>
  <c r="C17874" i="2"/>
  <c r="D17874" i="2"/>
  <c r="F17874" i="2"/>
  <c r="G17874" i="2"/>
  <c r="H17874" i="2"/>
  <c r="J17874" i="2"/>
  <c r="K17874" i="2"/>
  <c r="L17874" i="2"/>
  <c r="C17875" i="2"/>
  <c r="D17875" i="2"/>
  <c r="F17875" i="2"/>
  <c r="G17875" i="2"/>
  <c r="H17875" i="2"/>
  <c r="J17875" i="2"/>
  <c r="K17875" i="2"/>
  <c r="L17875" i="2"/>
  <c r="D17876" i="2"/>
  <c r="F17876" i="2"/>
  <c r="G17876" i="2"/>
  <c r="H17876" i="2"/>
  <c r="J17876" i="2"/>
  <c r="K17876" i="2"/>
  <c r="L17876" i="2"/>
  <c r="C17877" i="2"/>
  <c r="D17877" i="2"/>
  <c r="F17877" i="2"/>
  <c r="G17877" i="2"/>
  <c r="H17877" i="2"/>
  <c r="J17877" i="2"/>
  <c r="K17877" i="2"/>
  <c r="L17877" i="2"/>
  <c r="D17878" i="2"/>
  <c r="F17878" i="2"/>
  <c r="G17878" i="2"/>
  <c r="H17878" i="2"/>
  <c r="J17878" i="2"/>
  <c r="K17878" i="2"/>
  <c r="L17878" i="2"/>
  <c r="C17879" i="2"/>
  <c r="D17879" i="2"/>
  <c r="F17879" i="2"/>
  <c r="G17879" i="2"/>
  <c r="H17879" i="2"/>
  <c r="J17879" i="2"/>
  <c r="K17879" i="2"/>
  <c r="L17879" i="2"/>
  <c r="C17880" i="2"/>
  <c r="D17880" i="2"/>
  <c r="F17880" i="2"/>
  <c r="G17880" i="2"/>
  <c r="H17880" i="2"/>
  <c r="J17880" i="2"/>
  <c r="K17880" i="2"/>
  <c r="L17880" i="2"/>
  <c r="C17881" i="2"/>
  <c r="D17881" i="2"/>
  <c r="F17881" i="2"/>
  <c r="G17881" i="2"/>
  <c r="H17881" i="2"/>
  <c r="J17881" i="2"/>
  <c r="K17881" i="2"/>
  <c r="L17881" i="2"/>
  <c r="D17882" i="2"/>
  <c r="F17882" i="2"/>
  <c r="G17882" i="2"/>
  <c r="H17882" i="2"/>
  <c r="J17882" i="2"/>
  <c r="K17882" i="2"/>
  <c r="L17882" i="2"/>
  <c r="D17883" i="2"/>
  <c r="F17883" i="2"/>
  <c r="G17883" i="2"/>
  <c r="H17883" i="2"/>
  <c r="J17883" i="2"/>
  <c r="K17883" i="2"/>
  <c r="L17883" i="2"/>
  <c r="C17884" i="2"/>
  <c r="D17884" i="2"/>
  <c r="F17884" i="2"/>
  <c r="G17884" i="2"/>
  <c r="H17884" i="2"/>
  <c r="J17884" i="2"/>
  <c r="K17884" i="2"/>
  <c r="L17884" i="2"/>
  <c r="D17885" i="2"/>
  <c r="F17885" i="2"/>
  <c r="G17885" i="2"/>
  <c r="H17885" i="2"/>
  <c r="J17885" i="2"/>
  <c r="K17885" i="2"/>
  <c r="L17885" i="2"/>
  <c r="D17886" i="2"/>
  <c r="F17886" i="2"/>
  <c r="G17886" i="2"/>
  <c r="H17886" i="2"/>
  <c r="J17886" i="2"/>
  <c r="K17886" i="2"/>
  <c r="L17886" i="2"/>
  <c r="D17887" i="2"/>
  <c r="F17887" i="2"/>
  <c r="G17887" i="2"/>
  <c r="H17887" i="2"/>
  <c r="J17887" i="2"/>
  <c r="K17887" i="2"/>
  <c r="L17887" i="2"/>
  <c r="C17888" i="2"/>
  <c r="D17888" i="2"/>
  <c r="F17888" i="2"/>
  <c r="G17888" i="2"/>
  <c r="H17888" i="2"/>
  <c r="J17888" i="2"/>
  <c r="K17888" i="2"/>
  <c r="L17888" i="2"/>
  <c r="D17889" i="2"/>
  <c r="F17889" i="2"/>
  <c r="G17889" i="2"/>
  <c r="H17889" i="2"/>
  <c r="J17889" i="2"/>
  <c r="K17889" i="2"/>
  <c r="L17889" i="2"/>
  <c r="D17890" i="2"/>
  <c r="F17890" i="2"/>
  <c r="G17890" i="2"/>
  <c r="H17890" i="2"/>
  <c r="J17890" i="2"/>
  <c r="K17890" i="2"/>
  <c r="L17890" i="2"/>
  <c r="D17891" i="2"/>
  <c r="F17891" i="2"/>
  <c r="G17891" i="2"/>
  <c r="H17891" i="2"/>
  <c r="J17891" i="2"/>
  <c r="K17891" i="2"/>
  <c r="L17891" i="2"/>
  <c r="D17892" i="2"/>
  <c r="F17892" i="2"/>
  <c r="G17892" i="2"/>
  <c r="H17892" i="2"/>
  <c r="J17892" i="2"/>
  <c r="K17892" i="2"/>
  <c r="L17892" i="2"/>
  <c r="D17893" i="2"/>
  <c r="F17893" i="2"/>
  <c r="G17893" i="2"/>
  <c r="H17893" i="2"/>
  <c r="J17893" i="2"/>
  <c r="K17893" i="2"/>
  <c r="L17893" i="2"/>
  <c r="C17894" i="2"/>
  <c r="D17894" i="2"/>
  <c r="F17894" i="2"/>
  <c r="G17894" i="2"/>
  <c r="H17894" i="2"/>
  <c r="J17894" i="2"/>
  <c r="K17894" i="2"/>
  <c r="L17894" i="2"/>
  <c r="D17895" i="2"/>
  <c r="F17895" i="2"/>
  <c r="G17895" i="2"/>
  <c r="H17895" i="2"/>
  <c r="J17895" i="2"/>
  <c r="K17895" i="2"/>
  <c r="L17895" i="2"/>
  <c r="D17896" i="2"/>
  <c r="F17896" i="2"/>
  <c r="G17896" i="2"/>
  <c r="H17896" i="2"/>
  <c r="J17896" i="2"/>
  <c r="K17896" i="2"/>
  <c r="L17896" i="2"/>
  <c r="C17897" i="2"/>
  <c r="D17897" i="2"/>
  <c r="F17897" i="2"/>
  <c r="G17897" i="2"/>
  <c r="H17897" i="2"/>
  <c r="J17897" i="2"/>
  <c r="K17897" i="2"/>
  <c r="L17897" i="2"/>
  <c r="C17898" i="2"/>
  <c r="D17898" i="2"/>
  <c r="F17898" i="2"/>
  <c r="G17898" i="2"/>
  <c r="H17898" i="2"/>
  <c r="J17898" i="2"/>
  <c r="K17898" i="2"/>
  <c r="L17898" i="2"/>
  <c r="C17899" i="2"/>
  <c r="D17899" i="2"/>
  <c r="F17899" i="2"/>
  <c r="G17899" i="2"/>
  <c r="H17899" i="2"/>
  <c r="J17899" i="2"/>
  <c r="K17899" i="2"/>
  <c r="L17899" i="2"/>
  <c r="C17900" i="2"/>
  <c r="D17900" i="2"/>
  <c r="F17900" i="2"/>
  <c r="G17900" i="2"/>
  <c r="H17900" i="2"/>
  <c r="J17900" i="2"/>
  <c r="K17900" i="2"/>
  <c r="L17900" i="2"/>
  <c r="C17901" i="2"/>
  <c r="D17901" i="2"/>
  <c r="F17901" i="2"/>
  <c r="G17901" i="2"/>
  <c r="H17901" i="2"/>
  <c r="J17901" i="2"/>
  <c r="K17901" i="2"/>
  <c r="L17901" i="2"/>
  <c r="C17902" i="2"/>
  <c r="D17902" i="2"/>
  <c r="F17902" i="2"/>
  <c r="G17902" i="2"/>
  <c r="H17902" i="2"/>
  <c r="J17902" i="2"/>
  <c r="K17902" i="2"/>
  <c r="L17902" i="2"/>
  <c r="C17903" i="2"/>
  <c r="D17903" i="2"/>
  <c r="F17903" i="2"/>
  <c r="G17903" i="2"/>
  <c r="H17903" i="2"/>
  <c r="J17903" i="2"/>
  <c r="K17903" i="2"/>
  <c r="L17903" i="2"/>
  <c r="C17904" i="2"/>
  <c r="D17904" i="2"/>
  <c r="F17904" i="2"/>
  <c r="G17904" i="2"/>
  <c r="H17904" i="2"/>
  <c r="J17904" i="2"/>
  <c r="K17904" i="2"/>
  <c r="L17904" i="2"/>
  <c r="D17905" i="2"/>
  <c r="F17905" i="2"/>
  <c r="G17905" i="2"/>
  <c r="H17905" i="2"/>
  <c r="J17905" i="2"/>
  <c r="K17905" i="2"/>
  <c r="L17905" i="2"/>
  <c r="C17906" i="2"/>
  <c r="D17906" i="2"/>
  <c r="F17906" i="2"/>
  <c r="G17906" i="2"/>
  <c r="H17906" i="2"/>
  <c r="J17906" i="2"/>
  <c r="K17906" i="2"/>
  <c r="L17906" i="2"/>
  <c r="D17907" i="2"/>
  <c r="F17907" i="2"/>
  <c r="G17907" i="2"/>
  <c r="H17907" i="2"/>
  <c r="J17907" i="2"/>
  <c r="K17907" i="2"/>
  <c r="L17907" i="2"/>
  <c r="C17908" i="2"/>
  <c r="D17908" i="2"/>
  <c r="F17908" i="2"/>
  <c r="G17908" i="2"/>
  <c r="H17908" i="2"/>
  <c r="J17908" i="2"/>
  <c r="K17908" i="2"/>
  <c r="L17908" i="2"/>
  <c r="C17909" i="2"/>
  <c r="D17909" i="2"/>
  <c r="F17909" i="2"/>
  <c r="G17909" i="2"/>
  <c r="H17909" i="2"/>
  <c r="J17909" i="2"/>
  <c r="K17909" i="2"/>
  <c r="L17909" i="2"/>
  <c r="C17910" i="2"/>
  <c r="D17910" i="2"/>
  <c r="F17910" i="2"/>
  <c r="G17910" i="2"/>
  <c r="H17910" i="2"/>
  <c r="J17910" i="2"/>
  <c r="K17910" i="2"/>
  <c r="L17910" i="2"/>
  <c r="C17911" i="2"/>
  <c r="D17911" i="2"/>
  <c r="F17911" i="2"/>
  <c r="G17911" i="2"/>
  <c r="H17911" i="2"/>
  <c r="J17911" i="2"/>
  <c r="K17911" i="2"/>
  <c r="L17911" i="2"/>
  <c r="C17912" i="2"/>
  <c r="D17912" i="2"/>
  <c r="F17912" i="2"/>
  <c r="G17912" i="2"/>
  <c r="H17912" i="2"/>
  <c r="J17912" i="2"/>
  <c r="K17912" i="2"/>
  <c r="L17912" i="2"/>
  <c r="C17913" i="2"/>
  <c r="D17913" i="2"/>
  <c r="F17913" i="2"/>
  <c r="G17913" i="2"/>
  <c r="H17913" i="2"/>
  <c r="J17913" i="2"/>
  <c r="K17913" i="2"/>
  <c r="L17913" i="2"/>
  <c r="C17914" i="2"/>
  <c r="D17914" i="2"/>
  <c r="F17914" i="2"/>
  <c r="G17914" i="2"/>
  <c r="H17914" i="2"/>
  <c r="J17914" i="2"/>
  <c r="K17914" i="2"/>
  <c r="L17914" i="2"/>
  <c r="C17915" i="2"/>
  <c r="D17915" i="2"/>
  <c r="F17915" i="2"/>
  <c r="G17915" i="2"/>
  <c r="H17915" i="2"/>
  <c r="J17915" i="2"/>
  <c r="K17915" i="2"/>
  <c r="L17915" i="2"/>
  <c r="C17916" i="2"/>
  <c r="D17916" i="2"/>
  <c r="F17916" i="2"/>
  <c r="G17916" i="2"/>
  <c r="H17916" i="2"/>
  <c r="J17916" i="2"/>
  <c r="K17916" i="2"/>
  <c r="L17916" i="2"/>
  <c r="C17917" i="2"/>
  <c r="D17917" i="2"/>
  <c r="F17917" i="2"/>
  <c r="G17917" i="2"/>
  <c r="H17917" i="2"/>
  <c r="J17917" i="2"/>
  <c r="K17917" i="2"/>
  <c r="L17917" i="2"/>
  <c r="C17918" i="2"/>
  <c r="D17918" i="2"/>
  <c r="F17918" i="2"/>
  <c r="G17918" i="2"/>
  <c r="H17918" i="2"/>
  <c r="J17918" i="2"/>
  <c r="K17918" i="2"/>
  <c r="L17918" i="2"/>
  <c r="C17919" i="2"/>
  <c r="D17919" i="2"/>
  <c r="F17919" i="2"/>
  <c r="G17919" i="2"/>
  <c r="H17919" i="2"/>
  <c r="J17919" i="2"/>
  <c r="K17919" i="2"/>
  <c r="L17919" i="2"/>
  <c r="C17920" i="2"/>
  <c r="D17920" i="2"/>
  <c r="F17920" i="2"/>
  <c r="G17920" i="2"/>
  <c r="H17920" i="2"/>
  <c r="J17920" i="2"/>
  <c r="K17920" i="2"/>
  <c r="L17920" i="2"/>
  <c r="C17921" i="2"/>
  <c r="D17921" i="2"/>
  <c r="F17921" i="2"/>
  <c r="G17921" i="2"/>
  <c r="H17921" i="2"/>
  <c r="J17921" i="2"/>
  <c r="K17921" i="2"/>
  <c r="L17921" i="2"/>
  <c r="C17922" i="2"/>
  <c r="D17922" i="2"/>
  <c r="F17922" i="2"/>
  <c r="G17922" i="2"/>
  <c r="H17922" i="2"/>
  <c r="J17922" i="2"/>
  <c r="K17922" i="2"/>
  <c r="L17922" i="2"/>
  <c r="C17923" i="2"/>
  <c r="D17923" i="2"/>
  <c r="F17923" i="2"/>
  <c r="G17923" i="2"/>
  <c r="H17923" i="2"/>
  <c r="J17923" i="2"/>
  <c r="K17923" i="2"/>
  <c r="L17923" i="2"/>
  <c r="C17924" i="2"/>
  <c r="D17924" i="2"/>
  <c r="F17924" i="2"/>
  <c r="G17924" i="2"/>
  <c r="H17924" i="2"/>
  <c r="J17924" i="2"/>
  <c r="K17924" i="2"/>
  <c r="L17924" i="2"/>
  <c r="C17925" i="2"/>
  <c r="D17925" i="2"/>
  <c r="F17925" i="2"/>
  <c r="G17925" i="2"/>
  <c r="H17925" i="2"/>
  <c r="J17925" i="2"/>
  <c r="K17925" i="2"/>
  <c r="L17925" i="2"/>
  <c r="C17926" i="2"/>
  <c r="D17926" i="2"/>
  <c r="F17926" i="2"/>
  <c r="G17926" i="2"/>
  <c r="H17926" i="2"/>
  <c r="J17926" i="2"/>
  <c r="K17926" i="2"/>
  <c r="L17926" i="2"/>
  <c r="C17927" i="2"/>
  <c r="D17927" i="2"/>
  <c r="F17927" i="2"/>
  <c r="G17927" i="2"/>
  <c r="H17927" i="2"/>
  <c r="J17927" i="2"/>
  <c r="K17927" i="2"/>
  <c r="L17927" i="2"/>
  <c r="C17928" i="2"/>
  <c r="D17928" i="2"/>
  <c r="F17928" i="2"/>
  <c r="G17928" i="2"/>
  <c r="H17928" i="2"/>
  <c r="J17928" i="2"/>
  <c r="K17928" i="2"/>
  <c r="L17928" i="2"/>
  <c r="C17929" i="2"/>
  <c r="D17929" i="2"/>
  <c r="F17929" i="2"/>
  <c r="G17929" i="2"/>
  <c r="H17929" i="2"/>
  <c r="J17929" i="2"/>
  <c r="K17929" i="2"/>
  <c r="L17929" i="2"/>
  <c r="C17930" i="2"/>
  <c r="D17930" i="2"/>
  <c r="E17930" i="2"/>
  <c r="F17930" i="2"/>
  <c r="G17930" i="2"/>
  <c r="H17930" i="2"/>
  <c r="J17930" i="2"/>
  <c r="K17930" i="2"/>
  <c r="L17930" i="2"/>
  <c r="C17931" i="2"/>
  <c r="D17931" i="2"/>
  <c r="F17931" i="2"/>
  <c r="G17931" i="2"/>
  <c r="H17931" i="2"/>
  <c r="J17931" i="2"/>
  <c r="K17931" i="2"/>
  <c r="L17931" i="2"/>
  <c r="C17932" i="2"/>
  <c r="D17932" i="2"/>
  <c r="F17932" i="2"/>
  <c r="G17932" i="2"/>
  <c r="H17932" i="2"/>
  <c r="J17932" i="2"/>
  <c r="K17932" i="2"/>
  <c r="L17932" i="2"/>
  <c r="C17933" i="2"/>
  <c r="D17933" i="2"/>
  <c r="F17933" i="2"/>
  <c r="G17933" i="2"/>
  <c r="H17933" i="2"/>
  <c r="J17933" i="2"/>
  <c r="K17933" i="2"/>
  <c r="L17933" i="2"/>
  <c r="C17934" i="2"/>
  <c r="D17934" i="2"/>
  <c r="F17934" i="2"/>
  <c r="G17934" i="2"/>
  <c r="H17934" i="2"/>
  <c r="J17934" i="2"/>
  <c r="K17934" i="2"/>
  <c r="L17934" i="2"/>
  <c r="C17935" i="2"/>
  <c r="D17935" i="2"/>
  <c r="F17935" i="2"/>
  <c r="G17935" i="2"/>
  <c r="H17935" i="2"/>
  <c r="J17935" i="2"/>
  <c r="K17935" i="2"/>
  <c r="L17935" i="2"/>
  <c r="C17936" i="2"/>
  <c r="D17936" i="2"/>
  <c r="F17936" i="2"/>
  <c r="G17936" i="2"/>
  <c r="H17936" i="2"/>
  <c r="J17936" i="2"/>
  <c r="K17936" i="2"/>
  <c r="L17936" i="2"/>
  <c r="C17937" i="2"/>
  <c r="D17937" i="2"/>
  <c r="F17937" i="2"/>
  <c r="G17937" i="2"/>
  <c r="H17937" i="2"/>
  <c r="J17937" i="2"/>
  <c r="K17937" i="2"/>
  <c r="L17937" i="2"/>
  <c r="C17938" i="2"/>
  <c r="D17938" i="2"/>
  <c r="F17938" i="2"/>
  <c r="G17938" i="2"/>
  <c r="H17938" i="2"/>
  <c r="J17938" i="2"/>
  <c r="K17938" i="2"/>
  <c r="L17938" i="2"/>
  <c r="C17939" i="2"/>
  <c r="D17939" i="2"/>
  <c r="F17939" i="2"/>
  <c r="G17939" i="2"/>
  <c r="H17939" i="2"/>
  <c r="J17939" i="2"/>
  <c r="K17939" i="2"/>
  <c r="L17939" i="2"/>
  <c r="C17940" i="2"/>
  <c r="D17940" i="2"/>
  <c r="F17940" i="2"/>
  <c r="G17940" i="2"/>
  <c r="H17940" i="2"/>
  <c r="J17940" i="2"/>
  <c r="K17940" i="2"/>
  <c r="L17940" i="2"/>
  <c r="C17941" i="2"/>
  <c r="D17941" i="2"/>
  <c r="F17941" i="2"/>
  <c r="G17941" i="2"/>
  <c r="H17941" i="2"/>
  <c r="J17941" i="2"/>
  <c r="K17941" i="2"/>
  <c r="L17941" i="2"/>
  <c r="C17942" i="2"/>
  <c r="D17942" i="2"/>
  <c r="F17942" i="2"/>
  <c r="G17942" i="2"/>
  <c r="H17942" i="2"/>
  <c r="J17942" i="2"/>
  <c r="K17942" i="2"/>
  <c r="L17942" i="2"/>
  <c r="C17943" i="2"/>
  <c r="D17943" i="2"/>
  <c r="F17943" i="2"/>
  <c r="G17943" i="2"/>
  <c r="H17943" i="2"/>
  <c r="J17943" i="2"/>
  <c r="K17943" i="2"/>
  <c r="L17943" i="2"/>
  <c r="C17944" i="2"/>
  <c r="D17944" i="2"/>
  <c r="F17944" i="2"/>
  <c r="G17944" i="2"/>
  <c r="H17944" i="2"/>
  <c r="J17944" i="2"/>
  <c r="K17944" i="2"/>
  <c r="L17944" i="2"/>
  <c r="C17945" i="2"/>
  <c r="D17945" i="2"/>
  <c r="F17945" i="2"/>
  <c r="G17945" i="2"/>
  <c r="H17945" i="2"/>
  <c r="J17945" i="2"/>
  <c r="K17945" i="2"/>
  <c r="L17945" i="2"/>
  <c r="C17946" i="2"/>
  <c r="D17946" i="2"/>
  <c r="F17946" i="2"/>
  <c r="G17946" i="2"/>
  <c r="H17946" i="2"/>
  <c r="J17946" i="2"/>
  <c r="K17946" i="2"/>
  <c r="L17946" i="2"/>
  <c r="C17947" i="2"/>
  <c r="D17947" i="2"/>
  <c r="F17947" i="2"/>
  <c r="G17947" i="2"/>
  <c r="H17947" i="2"/>
  <c r="J17947" i="2"/>
  <c r="K17947" i="2"/>
  <c r="L17947" i="2"/>
  <c r="C17948" i="2"/>
  <c r="D17948" i="2"/>
  <c r="F17948" i="2"/>
  <c r="G17948" i="2"/>
  <c r="H17948" i="2"/>
  <c r="J17948" i="2"/>
  <c r="K17948" i="2"/>
  <c r="L17948" i="2"/>
  <c r="C17949" i="2"/>
  <c r="D17949" i="2"/>
  <c r="F17949" i="2"/>
  <c r="G17949" i="2"/>
  <c r="H17949" i="2"/>
  <c r="J17949" i="2"/>
  <c r="K17949" i="2"/>
  <c r="L17949" i="2"/>
  <c r="C17950" i="2"/>
  <c r="D17950" i="2"/>
  <c r="F17950" i="2"/>
  <c r="G17950" i="2"/>
  <c r="H17950" i="2"/>
  <c r="J17950" i="2"/>
  <c r="K17950" i="2"/>
  <c r="L17950" i="2"/>
  <c r="C17951" i="2"/>
  <c r="D17951" i="2"/>
  <c r="F17951" i="2"/>
  <c r="G17951" i="2"/>
  <c r="H17951" i="2"/>
  <c r="J17951" i="2"/>
  <c r="K17951" i="2"/>
  <c r="L17951" i="2"/>
  <c r="C17952" i="2"/>
  <c r="D17952" i="2"/>
  <c r="F17952" i="2"/>
  <c r="G17952" i="2"/>
  <c r="H17952" i="2"/>
  <c r="J17952" i="2"/>
  <c r="K17952" i="2"/>
  <c r="L17952" i="2"/>
  <c r="C17953" i="2"/>
  <c r="D17953" i="2"/>
  <c r="F17953" i="2"/>
  <c r="G17953" i="2"/>
  <c r="H17953" i="2"/>
  <c r="J17953" i="2"/>
  <c r="K17953" i="2"/>
  <c r="L17953" i="2"/>
  <c r="C17954" i="2"/>
  <c r="D17954" i="2"/>
  <c r="F17954" i="2"/>
  <c r="G17954" i="2"/>
  <c r="H17954" i="2"/>
  <c r="J17954" i="2"/>
  <c r="K17954" i="2"/>
  <c r="L17954" i="2"/>
  <c r="C17955" i="2"/>
  <c r="D17955" i="2"/>
  <c r="F17955" i="2"/>
  <c r="G17955" i="2"/>
  <c r="H17955" i="2"/>
  <c r="J17955" i="2"/>
  <c r="K17955" i="2"/>
  <c r="L17955" i="2"/>
  <c r="C17956" i="2"/>
  <c r="D17956" i="2"/>
  <c r="F17956" i="2"/>
  <c r="G17956" i="2"/>
  <c r="H17956" i="2"/>
  <c r="J17956" i="2"/>
  <c r="K17956" i="2"/>
  <c r="L17956" i="2"/>
  <c r="C17957" i="2"/>
  <c r="D17957" i="2"/>
  <c r="F17957" i="2"/>
  <c r="G17957" i="2"/>
  <c r="H17957" i="2"/>
  <c r="J17957" i="2"/>
  <c r="K17957" i="2"/>
  <c r="L17957" i="2"/>
  <c r="C17958" i="2"/>
  <c r="D17958" i="2"/>
  <c r="F17958" i="2"/>
  <c r="G17958" i="2"/>
  <c r="H17958" i="2"/>
  <c r="J17958" i="2"/>
  <c r="K17958" i="2"/>
  <c r="L17958" i="2"/>
  <c r="C17959" i="2"/>
  <c r="D17959" i="2"/>
  <c r="F17959" i="2"/>
  <c r="G17959" i="2"/>
  <c r="H17959" i="2"/>
  <c r="J17959" i="2"/>
  <c r="K17959" i="2"/>
  <c r="L17959" i="2"/>
  <c r="C17960" i="2"/>
  <c r="D17960" i="2"/>
  <c r="F17960" i="2"/>
  <c r="G17960" i="2"/>
  <c r="H17960" i="2"/>
  <c r="J17960" i="2"/>
  <c r="K17960" i="2"/>
  <c r="L17960" i="2"/>
  <c r="C17961" i="2"/>
  <c r="D17961" i="2"/>
  <c r="F17961" i="2"/>
  <c r="G17961" i="2"/>
  <c r="H17961" i="2"/>
  <c r="J17961" i="2"/>
  <c r="K17961" i="2"/>
  <c r="L17961" i="2"/>
  <c r="C17962" i="2"/>
  <c r="D17962" i="2"/>
  <c r="F17962" i="2"/>
  <c r="G17962" i="2"/>
  <c r="H17962" i="2"/>
  <c r="J17962" i="2"/>
  <c r="K17962" i="2"/>
  <c r="L17962" i="2"/>
  <c r="C17963" i="2"/>
  <c r="D17963" i="2"/>
  <c r="F17963" i="2"/>
  <c r="G17963" i="2"/>
  <c r="H17963" i="2"/>
  <c r="J17963" i="2"/>
  <c r="K17963" i="2"/>
  <c r="L17963" i="2"/>
  <c r="C17964" i="2"/>
  <c r="D17964" i="2"/>
  <c r="F17964" i="2"/>
  <c r="G17964" i="2"/>
  <c r="H17964" i="2"/>
  <c r="J17964" i="2"/>
  <c r="K17964" i="2"/>
  <c r="L17964" i="2"/>
  <c r="C17965" i="2"/>
  <c r="D17965" i="2"/>
  <c r="F17965" i="2"/>
  <c r="G17965" i="2"/>
  <c r="H17965" i="2"/>
  <c r="J17965" i="2"/>
  <c r="K17965" i="2"/>
  <c r="L17965" i="2"/>
  <c r="C17966" i="2"/>
  <c r="D17966" i="2"/>
  <c r="F17966" i="2"/>
  <c r="G17966" i="2"/>
  <c r="H17966" i="2"/>
  <c r="J17966" i="2"/>
  <c r="K17966" i="2"/>
  <c r="L17966" i="2"/>
  <c r="C17967" i="2"/>
  <c r="D17967" i="2"/>
  <c r="F17967" i="2"/>
  <c r="G17967" i="2"/>
  <c r="H17967" i="2"/>
  <c r="J17967" i="2"/>
  <c r="K17967" i="2"/>
  <c r="L17967" i="2"/>
  <c r="C17968" i="2"/>
  <c r="D17968" i="2"/>
  <c r="F17968" i="2"/>
  <c r="G17968" i="2"/>
  <c r="H17968" i="2"/>
  <c r="J17968" i="2"/>
  <c r="K17968" i="2"/>
  <c r="L17968" i="2"/>
  <c r="C17969" i="2"/>
  <c r="D17969" i="2"/>
  <c r="F17969" i="2"/>
  <c r="G17969" i="2"/>
  <c r="H17969" i="2"/>
  <c r="J17969" i="2"/>
  <c r="K17969" i="2"/>
  <c r="L17969" i="2"/>
  <c r="D17970" i="2"/>
  <c r="F17970" i="2"/>
  <c r="G17970" i="2"/>
  <c r="H17970" i="2"/>
  <c r="J17970" i="2"/>
  <c r="K17970" i="2"/>
  <c r="L17970" i="2"/>
  <c r="C17971" i="2"/>
  <c r="D17971" i="2"/>
  <c r="F17971" i="2"/>
  <c r="G17971" i="2"/>
  <c r="H17971" i="2"/>
  <c r="J17971" i="2"/>
  <c r="K17971" i="2"/>
  <c r="L17971" i="2"/>
  <c r="D17972" i="2"/>
  <c r="F17972" i="2"/>
  <c r="G17972" i="2"/>
  <c r="H17972" i="2"/>
  <c r="J17972" i="2"/>
  <c r="K17972" i="2"/>
  <c r="L17972" i="2"/>
  <c r="C17973" i="2"/>
  <c r="D17973" i="2"/>
  <c r="F17973" i="2"/>
  <c r="G17973" i="2"/>
  <c r="H17973" i="2"/>
  <c r="J17973" i="2"/>
  <c r="K17973" i="2"/>
  <c r="L17973" i="2"/>
  <c r="C17974" i="2"/>
  <c r="D17974" i="2"/>
  <c r="F17974" i="2"/>
  <c r="G17974" i="2"/>
  <c r="H17974" i="2"/>
  <c r="J17974" i="2"/>
  <c r="K17974" i="2"/>
  <c r="L17974" i="2"/>
  <c r="C17975" i="2"/>
  <c r="D17975" i="2"/>
  <c r="F17975" i="2"/>
  <c r="G17975" i="2"/>
  <c r="H17975" i="2"/>
  <c r="J17975" i="2"/>
  <c r="K17975" i="2"/>
  <c r="L17975" i="2"/>
  <c r="D17976" i="2"/>
  <c r="F17976" i="2"/>
  <c r="G17976" i="2"/>
  <c r="H17976" i="2"/>
  <c r="J17976" i="2"/>
  <c r="K17976" i="2"/>
  <c r="L17976" i="2"/>
  <c r="C17977" i="2"/>
  <c r="D17977" i="2"/>
  <c r="F17977" i="2"/>
  <c r="G17977" i="2"/>
  <c r="H17977" i="2"/>
  <c r="J17977" i="2"/>
  <c r="K17977" i="2"/>
  <c r="L17977" i="2"/>
  <c r="C17978" i="2"/>
  <c r="D17978" i="2"/>
  <c r="F17978" i="2"/>
  <c r="G17978" i="2"/>
  <c r="H17978" i="2"/>
  <c r="J17978" i="2"/>
  <c r="K17978" i="2"/>
  <c r="L17978" i="2"/>
  <c r="D17979" i="2"/>
  <c r="F17979" i="2"/>
  <c r="G17979" i="2"/>
  <c r="H17979" i="2"/>
  <c r="J17979" i="2"/>
  <c r="K17979" i="2"/>
  <c r="L17979" i="2"/>
  <c r="D17980" i="2"/>
  <c r="F17980" i="2"/>
  <c r="G17980" i="2"/>
  <c r="H17980" i="2"/>
  <c r="J17980" i="2"/>
  <c r="K17980" i="2"/>
  <c r="L17980" i="2"/>
  <c r="D17981" i="2"/>
  <c r="F17981" i="2"/>
  <c r="G17981" i="2"/>
  <c r="H17981" i="2"/>
  <c r="J17981" i="2"/>
  <c r="K17981" i="2"/>
  <c r="L17981" i="2"/>
  <c r="D17982" i="2"/>
  <c r="F17982" i="2"/>
  <c r="G17982" i="2"/>
  <c r="H17982" i="2"/>
  <c r="J17982" i="2"/>
  <c r="K17982" i="2"/>
  <c r="L17982" i="2"/>
  <c r="C17983" i="2"/>
  <c r="D17983" i="2"/>
  <c r="F17983" i="2"/>
  <c r="G17983" i="2"/>
  <c r="H17983" i="2"/>
  <c r="J17983" i="2"/>
  <c r="K17983" i="2"/>
  <c r="L17983" i="2"/>
  <c r="C17984" i="2"/>
  <c r="D17984" i="2"/>
  <c r="F17984" i="2"/>
  <c r="G17984" i="2"/>
  <c r="H17984" i="2"/>
  <c r="J17984" i="2"/>
  <c r="K17984" i="2"/>
  <c r="L17984" i="2"/>
  <c r="D17985" i="2"/>
  <c r="F17985" i="2"/>
  <c r="G17985" i="2"/>
  <c r="H17985" i="2"/>
  <c r="J17985" i="2"/>
  <c r="K17985" i="2"/>
  <c r="L17985" i="2"/>
  <c r="C17986" i="2"/>
  <c r="D17986" i="2"/>
  <c r="F17986" i="2"/>
  <c r="G17986" i="2"/>
  <c r="H17986" i="2"/>
  <c r="J17986" i="2"/>
  <c r="K17986" i="2"/>
  <c r="L17986" i="2"/>
  <c r="C17987" i="2"/>
  <c r="D17987" i="2"/>
  <c r="F17987" i="2"/>
  <c r="G17987" i="2"/>
  <c r="H17987" i="2"/>
  <c r="J17987" i="2"/>
  <c r="K17987" i="2"/>
  <c r="L17987" i="2"/>
  <c r="C17988" i="2"/>
  <c r="D17988" i="2"/>
  <c r="F17988" i="2"/>
  <c r="G17988" i="2"/>
  <c r="H17988" i="2"/>
  <c r="J17988" i="2"/>
  <c r="K17988" i="2"/>
  <c r="L17988" i="2"/>
  <c r="C17989" i="2"/>
  <c r="D17989" i="2"/>
  <c r="F17989" i="2"/>
  <c r="G17989" i="2"/>
  <c r="H17989" i="2"/>
  <c r="J17989" i="2"/>
  <c r="K17989" i="2"/>
  <c r="L17989" i="2"/>
  <c r="C17990" i="2"/>
  <c r="D17990" i="2"/>
  <c r="F17990" i="2"/>
  <c r="G17990" i="2"/>
  <c r="H17990" i="2"/>
  <c r="J17990" i="2"/>
  <c r="K17990" i="2"/>
  <c r="L17990" i="2"/>
  <c r="C17991" i="2"/>
  <c r="D17991" i="2"/>
  <c r="F17991" i="2"/>
  <c r="G17991" i="2"/>
  <c r="H17991" i="2"/>
  <c r="J17991" i="2"/>
  <c r="K17991" i="2"/>
  <c r="L17991" i="2"/>
  <c r="C17992" i="2"/>
  <c r="D17992" i="2"/>
  <c r="F17992" i="2"/>
  <c r="G17992" i="2"/>
  <c r="H17992" i="2"/>
  <c r="J17992" i="2"/>
  <c r="K17992" i="2"/>
  <c r="L17992" i="2"/>
  <c r="C17993" i="2"/>
  <c r="D17993" i="2"/>
  <c r="F17993" i="2"/>
  <c r="G17993" i="2"/>
  <c r="H17993" i="2"/>
  <c r="J17993" i="2"/>
  <c r="K17993" i="2"/>
  <c r="L17993" i="2"/>
  <c r="C17994" i="2"/>
  <c r="D17994" i="2"/>
  <c r="F17994" i="2"/>
  <c r="G17994" i="2"/>
  <c r="H17994" i="2"/>
  <c r="J17994" i="2"/>
  <c r="K17994" i="2"/>
  <c r="L17994" i="2"/>
  <c r="C17995" i="2"/>
  <c r="D17995" i="2"/>
  <c r="F17995" i="2"/>
  <c r="G17995" i="2"/>
  <c r="H17995" i="2"/>
  <c r="J17995" i="2"/>
  <c r="K17995" i="2"/>
  <c r="L17995" i="2"/>
  <c r="C17996" i="2"/>
  <c r="D17996" i="2"/>
  <c r="F17996" i="2"/>
  <c r="G17996" i="2"/>
  <c r="H17996" i="2"/>
  <c r="J17996" i="2"/>
  <c r="K17996" i="2"/>
  <c r="L17996" i="2"/>
  <c r="C17997" i="2"/>
  <c r="D17997" i="2"/>
  <c r="F17997" i="2"/>
  <c r="G17997" i="2"/>
  <c r="H17997" i="2"/>
  <c r="J17997" i="2"/>
  <c r="K17997" i="2"/>
  <c r="L17997" i="2"/>
  <c r="C17998" i="2"/>
  <c r="D17998" i="2"/>
  <c r="F17998" i="2"/>
  <c r="G17998" i="2"/>
  <c r="H17998" i="2"/>
  <c r="J17998" i="2"/>
  <c r="K17998" i="2"/>
  <c r="L17998" i="2"/>
  <c r="C17999" i="2"/>
  <c r="D17999" i="2"/>
  <c r="F17999" i="2"/>
  <c r="G17999" i="2"/>
  <c r="H17999" i="2"/>
  <c r="J17999" i="2"/>
  <c r="K17999" i="2"/>
  <c r="L17999" i="2"/>
  <c r="C18000" i="2"/>
  <c r="D18000" i="2"/>
  <c r="F18000" i="2"/>
  <c r="G18000" i="2"/>
  <c r="H18000" i="2"/>
  <c r="J18000" i="2"/>
  <c r="K18000" i="2"/>
  <c r="L18000" i="2"/>
  <c r="C18001" i="2"/>
  <c r="D18001" i="2"/>
  <c r="F18001" i="2"/>
  <c r="G18001" i="2"/>
  <c r="H18001" i="2"/>
  <c r="J18001" i="2"/>
  <c r="K18001" i="2"/>
  <c r="L18001" i="2"/>
  <c r="C18002" i="2"/>
  <c r="D18002" i="2"/>
  <c r="F18002" i="2"/>
  <c r="G18002" i="2"/>
  <c r="H18002" i="2"/>
  <c r="J18002" i="2"/>
  <c r="K18002" i="2"/>
  <c r="L18002" i="2"/>
  <c r="C18003" i="2"/>
  <c r="D18003" i="2"/>
  <c r="F18003" i="2"/>
  <c r="G18003" i="2"/>
  <c r="H18003" i="2"/>
  <c r="J18003" i="2"/>
  <c r="K18003" i="2"/>
  <c r="L18003" i="2"/>
  <c r="C18004" i="2"/>
  <c r="D18004" i="2"/>
  <c r="F18004" i="2"/>
  <c r="G18004" i="2"/>
  <c r="H18004" i="2"/>
  <c r="J18004" i="2"/>
  <c r="K18004" i="2"/>
  <c r="L18004" i="2"/>
  <c r="C18005" i="2"/>
  <c r="D18005" i="2"/>
  <c r="F18005" i="2"/>
  <c r="G18005" i="2"/>
  <c r="H18005" i="2"/>
  <c r="J18005" i="2"/>
  <c r="K18005" i="2"/>
  <c r="L18005" i="2"/>
  <c r="C18006" i="2"/>
  <c r="D18006" i="2"/>
  <c r="F18006" i="2"/>
  <c r="G18006" i="2"/>
  <c r="H18006" i="2"/>
  <c r="J18006" i="2"/>
  <c r="K18006" i="2"/>
  <c r="L18006" i="2"/>
  <c r="C18007" i="2"/>
  <c r="D18007" i="2"/>
  <c r="F18007" i="2"/>
  <c r="G18007" i="2"/>
  <c r="H18007" i="2"/>
  <c r="J18007" i="2"/>
  <c r="K18007" i="2"/>
  <c r="L18007" i="2"/>
  <c r="C18008" i="2"/>
  <c r="D18008" i="2"/>
  <c r="F18008" i="2"/>
  <c r="G18008" i="2"/>
  <c r="H18008" i="2"/>
  <c r="J18008" i="2"/>
  <c r="K18008" i="2"/>
  <c r="L18008" i="2"/>
  <c r="C18009" i="2"/>
  <c r="D18009" i="2"/>
  <c r="F18009" i="2"/>
  <c r="G18009" i="2"/>
  <c r="H18009" i="2"/>
  <c r="J18009" i="2"/>
  <c r="K18009" i="2"/>
  <c r="L18009" i="2"/>
  <c r="C18010" i="2"/>
  <c r="D18010" i="2"/>
  <c r="F18010" i="2"/>
  <c r="G18010" i="2"/>
  <c r="H18010" i="2"/>
  <c r="J18010" i="2"/>
  <c r="K18010" i="2"/>
  <c r="L18010" i="2"/>
  <c r="C18011" i="2"/>
  <c r="D18011" i="2"/>
  <c r="F18011" i="2"/>
  <c r="G18011" i="2"/>
  <c r="H18011" i="2"/>
  <c r="J18011" i="2"/>
  <c r="K18011" i="2"/>
  <c r="L18011" i="2"/>
  <c r="C18012" i="2"/>
  <c r="D18012" i="2"/>
  <c r="F18012" i="2"/>
  <c r="G18012" i="2"/>
  <c r="H18012" i="2"/>
  <c r="J18012" i="2"/>
  <c r="K18012" i="2"/>
  <c r="L18012" i="2"/>
  <c r="C18013" i="2"/>
  <c r="D18013" i="2"/>
  <c r="F18013" i="2"/>
  <c r="G18013" i="2"/>
  <c r="H18013" i="2"/>
  <c r="J18013" i="2"/>
  <c r="K18013" i="2"/>
  <c r="L18013" i="2"/>
  <c r="C18014" i="2"/>
  <c r="D18014" i="2"/>
  <c r="F18014" i="2"/>
  <c r="G18014" i="2"/>
  <c r="H18014" i="2"/>
  <c r="J18014" i="2"/>
  <c r="K18014" i="2"/>
  <c r="L18014" i="2"/>
  <c r="C18015" i="2"/>
  <c r="D18015" i="2"/>
  <c r="F18015" i="2"/>
  <c r="G18015" i="2"/>
  <c r="H18015" i="2"/>
  <c r="J18015" i="2"/>
  <c r="K18015" i="2"/>
  <c r="L18015" i="2"/>
  <c r="C18016" i="2"/>
  <c r="D18016" i="2"/>
  <c r="F18016" i="2"/>
  <c r="G18016" i="2"/>
  <c r="H18016" i="2"/>
  <c r="J18016" i="2"/>
  <c r="K18016" i="2"/>
  <c r="L18016" i="2"/>
  <c r="C18017" i="2"/>
  <c r="D18017" i="2"/>
  <c r="F18017" i="2"/>
  <c r="G18017" i="2"/>
  <c r="H18017" i="2"/>
  <c r="J18017" i="2"/>
  <c r="K18017" i="2"/>
  <c r="L18017" i="2"/>
  <c r="C18018" i="2"/>
  <c r="D18018" i="2"/>
  <c r="F18018" i="2"/>
  <c r="G18018" i="2"/>
  <c r="H18018" i="2"/>
  <c r="J18018" i="2"/>
  <c r="K18018" i="2"/>
  <c r="L18018" i="2"/>
  <c r="C18019" i="2"/>
  <c r="D18019" i="2"/>
  <c r="F18019" i="2"/>
  <c r="G18019" i="2"/>
  <c r="H18019" i="2"/>
  <c r="J18019" i="2"/>
  <c r="K18019" i="2"/>
  <c r="L18019" i="2"/>
  <c r="C18020" i="2"/>
  <c r="D18020" i="2"/>
  <c r="F18020" i="2"/>
  <c r="G18020" i="2"/>
  <c r="H18020" i="2"/>
  <c r="J18020" i="2"/>
  <c r="K18020" i="2"/>
  <c r="L18020" i="2"/>
  <c r="C18021" i="2"/>
  <c r="D18021" i="2"/>
  <c r="F18021" i="2"/>
  <c r="G18021" i="2"/>
  <c r="H18021" i="2"/>
  <c r="J18021" i="2"/>
  <c r="K18021" i="2"/>
  <c r="L18021" i="2"/>
  <c r="C18022" i="2"/>
  <c r="D18022" i="2"/>
  <c r="F18022" i="2"/>
  <c r="G18022" i="2"/>
  <c r="H18022" i="2"/>
  <c r="J18022" i="2"/>
  <c r="K18022" i="2"/>
  <c r="L18022" i="2"/>
  <c r="C18023" i="2"/>
  <c r="D18023" i="2"/>
  <c r="F18023" i="2"/>
  <c r="G18023" i="2"/>
  <c r="H18023" i="2"/>
  <c r="J18023" i="2"/>
  <c r="K18023" i="2"/>
  <c r="L18023" i="2"/>
  <c r="C18024" i="2"/>
  <c r="D18024" i="2"/>
  <c r="F18024" i="2"/>
  <c r="G18024" i="2"/>
  <c r="H18024" i="2"/>
  <c r="J18024" i="2"/>
  <c r="K18024" i="2"/>
  <c r="L18024" i="2"/>
  <c r="C18025" i="2"/>
  <c r="D18025" i="2"/>
  <c r="F18025" i="2"/>
  <c r="G18025" i="2"/>
  <c r="H18025" i="2"/>
  <c r="J18025" i="2"/>
  <c r="K18025" i="2"/>
  <c r="L18025" i="2"/>
  <c r="C18026" i="2"/>
  <c r="D18026" i="2"/>
  <c r="F18026" i="2"/>
  <c r="G18026" i="2"/>
  <c r="H18026" i="2"/>
  <c r="J18026" i="2"/>
  <c r="K18026" i="2"/>
  <c r="L18026" i="2"/>
  <c r="C18027" i="2"/>
  <c r="D18027" i="2"/>
  <c r="F18027" i="2"/>
  <c r="G18027" i="2"/>
  <c r="H18027" i="2"/>
  <c r="J18027" i="2"/>
  <c r="K18027" i="2"/>
  <c r="L18027" i="2"/>
  <c r="C18028" i="2"/>
  <c r="D18028" i="2"/>
  <c r="F18028" i="2"/>
  <c r="G18028" i="2"/>
  <c r="H18028" i="2"/>
  <c r="J18028" i="2"/>
  <c r="K18028" i="2"/>
  <c r="L18028" i="2"/>
  <c r="C18029" i="2"/>
  <c r="D18029" i="2"/>
  <c r="F18029" i="2"/>
  <c r="G18029" i="2"/>
  <c r="H18029" i="2"/>
  <c r="J18029" i="2"/>
  <c r="K18029" i="2"/>
  <c r="L18029" i="2"/>
  <c r="C18030" i="2"/>
  <c r="D18030" i="2"/>
  <c r="F18030" i="2"/>
  <c r="G18030" i="2"/>
  <c r="H18030" i="2"/>
  <c r="J18030" i="2"/>
  <c r="K18030" i="2"/>
  <c r="L18030" i="2"/>
  <c r="C18031" i="2"/>
  <c r="D18031" i="2"/>
  <c r="F18031" i="2"/>
  <c r="G18031" i="2"/>
  <c r="H18031" i="2"/>
  <c r="J18031" i="2"/>
  <c r="K18031" i="2"/>
  <c r="L18031" i="2"/>
  <c r="C18032" i="2"/>
  <c r="D18032" i="2"/>
  <c r="F18032" i="2"/>
  <c r="G18032" i="2"/>
  <c r="H18032" i="2"/>
  <c r="J18032" i="2"/>
  <c r="K18032" i="2"/>
  <c r="L18032" i="2"/>
  <c r="C18033" i="2"/>
  <c r="D18033" i="2"/>
  <c r="F18033" i="2"/>
  <c r="G18033" i="2"/>
  <c r="H18033" i="2"/>
  <c r="J18033" i="2"/>
  <c r="K18033" i="2"/>
  <c r="L18033" i="2"/>
  <c r="C18034" i="2"/>
  <c r="D18034" i="2"/>
  <c r="F18034" i="2"/>
  <c r="G18034" i="2"/>
  <c r="H18034" i="2"/>
  <c r="J18034" i="2"/>
  <c r="K18034" i="2"/>
  <c r="L18034" i="2"/>
  <c r="C18035" i="2"/>
  <c r="D18035" i="2"/>
  <c r="F18035" i="2"/>
  <c r="G18035" i="2"/>
  <c r="H18035" i="2"/>
  <c r="J18035" i="2"/>
  <c r="K18035" i="2"/>
  <c r="L18035" i="2"/>
  <c r="C18036" i="2"/>
  <c r="D18036" i="2"/>
  <c r="F18036" i="2"/>
  <c r="G18036" i="2"/>
  <c r="H18036" i="2"/>
  <c r="J18036" i="2"/>
  <c r="K18036" i="2"/>
  <c r="L18036" i="2"/>
  <c r="C18037" i="2"/>
  <c r="D18037" i="2"/>
  <c r="F18037" i="2"/>
  <c r="G18037" i="2"/>
  <c r="H18037" i="2"/>
  <c r="J18037" i="2"/>
  <c r="K18037" i="2"/>
  <c r="L18037" i="2"/>
  <c r="C18038" i="2"/>
  <c r="D18038" i="2"/>
  <c r="F18038" i="2"/>
  <c r="G18038" i="2"/>
  <c r="H18038" i="2"/>
  <c r="J18038" i="2"/>
  <c r="K18038" i="2"/>
  <c r="L18038" i="2"/>
  <c r="C18039" i="2"/>
  <c r="D18039" i="2"/>
  <c r="F18039" i="2"/>
  <c r="G18039" i="2"/>
  <c r="H18039" i="2"/>
  <c r="J18039" i="2"/>
  <c r="K18039" i="2"/>
  <c r="L18039" i="2"/>
  <c r="C18040" i="2"/>
  <c r="D18040" i="2"/>
  <c r="F18040" i="2"/>
  <c r="G18040" i="2"/>
  <c r="H18040" i="2"/>
  <c r="J18040" i="2"/>
  <c r="K18040" i="2"/>
  <c r="L18040" i="2"/>
  <c r="C18041" i="2"/>
  <c r="D18041" i="2"/>
  <c r="F18041" i="2"/>
  <c r="G18041" i="2"/>
  <c r="H18041" i="2"/>
  <c r="J18041" i="2"/>
  <c r="K18041" i="2"/>
  <c r="L18041" i="2"/>
  <c r="C18042" i="2"/>
  <c r="D18042" i="2"/>
  <c r="F18042" i="2"/>
  <c r="G18042" i="2"/>
  <c r="H18042" i="2"/>
  <c r="J18042" i="2"/>
  <c r="K18042" i="2"/>
  <c r="L18042" i="2"/>
  <c r="C18043" i="2"/>
  <c r="D18043" i="2"/>
  <c r="F18043" i="2"/>
  <c r="G18043" i="2"/>
  <c r="H18043" i="2"/>
  <c r="J18043" i="2"/>
  <c r="K18043" i="2"/>
  <c r="L18043" i="2"/>
  <c r="C18044" i="2"/>
  <c r="D18044" i="2"/>
  <c r="F18044" i="2"/>
  <c r="G18044" i="2"/>
  <c r="H18044" i="2"/>
  <c r="J18044" i="2"/>
  <c r="K18044" i="2"/>
  <c r="L18044" i="2"/>
  <c r="C18045" i="2"/>
  <c r="D18045" i="2"/>
  <c r="F18045" i="2"/>
  <c r="G18045" i="2"/>
  <c r="H18045" i="2"/>
  <c r="J18045" i="2"/>
  <c r="K18045" i="2"/>
  <c r="L18045" i="2"/>
  <c r="C18046" i="2"/>
  <c r="D18046" i="2"/>
  <c r="F18046" i="2"/>
  <c r="G18046" i="2"/>
  <c r="H18046" i="2"/>
  <c r="J18046" i="2"/>
  <c r="K18046" i="2"/>
  <c r="L18046" i="2"/>
  <c r="D18047" i="2"/>
  <c r="F18047" i="2"/>
  <c r="G18047" i="2"/>
  <c r="H18047" i="2"/>
  <c r="J18047" i="2"/>
  <c r="K18047" i="2"/>
  <c r="L18047" i="2"/>
  <c r="C18048" i="2"/>
  <c r="D18048" i="2"/>
  <c r="F18048" i="2"/>
  <c r="G18048" i="2"/>
  <c r="H18048" i="2"/>
  <c r="J18048" i="2"/>
  <c r="K18048" i="2"/>
  <c r="L18048" i="2"/>
  <c r="D18049" i="2"/>
  <c r="F18049" i="2"/>
  <c r="G18049" i="2"/>
  <c r="H18049" i="2"/>
  <c r="J18049" i="2"/>
  <c r="K18049" i="2"/>
  <c r="L18049" i="2"/>
  <c r="C18050" i="2"/>
  <c r="D18050" i="2"/>
  <c r="F18050" i="2"/>
  <c r="G18050" i="2"/>
  <c r="H18050" i="2"/>
  <c r="J18050" i="2"/>
  <c r="K18050" i="2"/>
  <c r="L18050" i="2"/>
  <c r="C18051" i="2"/>
  <c r="D18051" i="2"/>
  <c r="F18051" i="2"/>
  <c r="G18051" i="2"/>
  <c r="H18051" i="2"/>
  <c r="J18051" i="2"/>
  <c r="K18051" i="2"/>
  <c r="L18051" i="2"/>
  <c r="D18052" i="2"/>
  <c r="F18052" i="2"/>
  <c r="G18052" i="2"/>
  <c r="H18052" i="2"/>
  <c r="J18052" i="2"/>
  <c r="K18052" i="2"/>
  <c r="L18052" i="2"/>
  <c r="C18053" i="2"/>
  <c r="D18053" i="2"/>
  <c r="F18053" i="2"/>
  <c r="G18053" i="2"/>
  <c r="H18053" i="2"/>
  <c r="J18053" i="2"/>
  <c r="K18053" i="2"/>
  <c r="L18053" i="2"/>
  <c r="D18054" i="2"/>
  <c r="F18054" i="2"/>
  <c r="G18054" i="2"/>
  <c r="H18054" i="2"/>
  <c r="J18054" i="2"/>
  <c r="K18054" i="2"/>
  <c r="L18054" i="2"/>
  <c r="C18055" i="2"/>
  <c r="D18055" i="2"/>
  <c r="F18055" i="2"/>
  <c r="G18055" i="2"/>
  <c r="H18055" i="2"/>
  <c r="J18055" i="2"/>
  <c r="K18055" i="2"/>
  <c r="L18055" i="2"/>
  <c r="C18056" i="2"/>
  <c r="D18056" i="2"/>
  <c r="F18056" i="2"/>
  <c r="G18056" i="2"/>
  <c r="H18056" i="2"/>
  <c r="J18056" i="2"/>
  <c r="K18056" i="2"/>
  <c r="L18056" i="2"/>
  <c r="C18057" i="2"/>
  <c r="D18057" i="2"/>
  <c r="F18057" i="2"/>
  <c r="G18057" i="2"/>
  <c r="H18057" i="2"/>
  <c r="J18057" i="2"/>
  <c r="K18057" i="2"/>
  <c r="L18057" i="2"/>
  <c r="C18058" i="2"/>
  <c r="D18058" i="2"/>
  <c r="F18058" i="2"/>
  <c r="G18058" i="2"/>
  <c r="H18058" i="2"/>
  <c r="J18058" i="2"/>
  <c r="K18058" i="2"/>
  <c r="L18058" i="2"/>
  <c r="D18059" i="2"/>
  <c r="F18059" i="2"/>
  <c r="G18059" i="2"/>
  <c r="H18059" i="2"/>
  <c r="J18059" i="2"/>
  <c r="K18059" i="2"/>
  <c r="L18059" i="2"/>
  <c r="C18060" i="2"/>
  <c r="D18060" i="2"/>
  <c r="F18060" i="2"/>
  <c r="G18060" i="2"/>
  <c r="H18060" i="2"/>
  <c r="J18060" i="2"/>
  <c r="K18060" i="2"/>
  <c r="L18060" i="2"/>
  <c r="C18061" i="2"/>
  <c r="D18061" i="2"/>
  <c r="F18061" i="2"/>
  <c r="G18061" i="2"/>
  <c r="H18061" i="2"/>
  <c r="J18061" i="2"/>
  <c r="K18061" i="2"/>
  <c r="L18061" i="2"/>
  <c r="C18062" i="2"/>
  <c r="D18062" i="2"/>
  <c r="F18062" i="2"/>
  <c r="G18062" i="2"/>
  <c r="H18062" i="2"/>
  <c r="J18062" i="2"/>
  <c r="K18062" i="2"/>
  <c r="L18062" i="2"/>
  <c r="C18063" i="2"/>
  <c r="D18063" i="2"/>
  <c r="F18063" i="2"/>
  <c r="G18063" i="2"/>
  <c r="H18063" i="2"/>
  <c r="J18063" i="2"/>
  <c r="K18063" i="2"/>
  <c r="L18063" i="2"/>
  <c r="C18064" i="2"/>
  <c r="D18064" i="2"/>
  <c r="F18064" i="2"/>
  <c r="G18064" i="2"/>
  <c r="H18064" i="2"/>
  <c r="J18064" i="2"/>
  <c r="K18064" i="2"/>
  <c r="L18064" i="2"/>
  <c r="C18065" i="2"/>
  <c r="D18065" i="2"/>
  <c r="F18065" i="2"/>
  <c r="G18065" i="2"/>
  <c r="H18065" i="2"/>
  <c r="J18065" i="2"/>
  <c r="K18065" i="2"/>
  <c r="L18065" i="2"/>
  <c r="C18066" i="2"/>
  <c r="D18066" i="2"/>
  <c r="F18066" i="2"/>
  <c r="G18066" i="2"/>
  <c r="H18066" i="2"/>
  <c r="J18066" i="2"/>
  <c r="K18066" i="2"/>
  <c r="L18066" i="2"/>
  <c r="C18067" i="2"/>
  <c r="D18067" i="2"/>
  <c r="F18067" i="2"/>
  <c r="G18067" i="2"/>
  <c r="H18067" i="2"/>
  <c r="J18067" i="2"/>
  <c r="K18067" i="2"/>
  <c r="L18067" i="2"/>
  <c r="D18068" i="2"/>
  <c r="F18068" i="2"/>
  <c r="G18068" i="2"/>
  <c r="H18068" i="2"/>
  <c r="J18068" i="2"/>
  <c r="K18068" i="2"/>
  <c r="L18068" i="2"/>
  <c r="C18069" i="2"/>
  <c r="D18069" i="2"/>
  <c r="F18069" i="2"/>
  <c r="G18069" i="2"/>
  <c r="H18069" i="2"/>
  <c r="J18069" i="2"/>
  <c r="K18069" i="2"/>
  <c r="L18069" i="2"/>
  <c r="D18070" i="2"/>
  <c r="F18070" i="2"/>
  <c r="G18070" i="2"/>
  <c r="H18070" i="2"/>
  <c r="J18070" i="2"/>
  <c r="K18070" i="2"/>
  <c r="L18070" i="2"/>
  <c r="D18071" i="2"/>
  <c r="F18071" i="2"/>
  <c r="G18071" i="2"/>
  <c r="H18071" i="2"/>
  <c r="J18071" i="2"/>
  <c r="K18071" i="2"/>
  <c r="L18071" i="2"/>
  <c r="D18072" i="2"/>
  <c r="F18072" i="2"/>
  <c r="G18072" i="2"/>
  <c r="H18072" i="2"/>
  <c r="J18072" i="2"/>
  <c r="K18072" i="2"/>
  <c r="L18072" i="2"/>
  <c r="C18073" i="2"/>
  <c r="D18073" i="2"/>
  <c r="F18073" i="2"/>
  <c r="G18073" i="2"/>
  <c r="H18073" i="2"/>
  <c r="J18073" i="2"/>
  <c r="K18073" i="2"/>
  <c r="L18073" i="2"/>
  <c r="C18074" i="2"/>
  <c r="D18074" i="2"/>
  <c r="F18074" i="2"/>
  <c r="G18074" i="2"/>
  <c r="H18074" i="2"/>
  <c r="J18074" i="2"/>
  <c r="K18074" i="2"/>
  <c r="L18074" i="2"/>
  <c r="D18075" i="2"/>
  <c r="F18075" i="2"/>
  <c r="G18075" i="2"/>
  <c r="H18075" i="2"/>
  <c r="J18075" i="2"/>
  <c r="K18075" i="2"/>
  <c r="L18075" i="2"/>
  <c r="D18076" i="2"/>
  <c r="F18076" i="2"/>
  <c r="G18076" i="2"/>
  <c r="H18076" i="2"/>
  <c r="J18076" i="2"/>
  <c r="K18076" i="2"/>
  <c r="L18076" i="2"/>
  <c r="D18077" i="2"/>
  <c r="F18077" i="2"/>
  <c r="G18077" i="2"/>
  <c r="H18077" i="2"/>
  <c r="J18077" i="2"/>
  <c r="K18077" i="2"/>
  <c r="L18077" i="2"/>
  <c r="C18078" i="2"/>
  <c r="D18078" i="2"/>
  <c r="F18078" i="2"/>
  <c r="G18078" i="2"/>
  <c r="H18078" i="2"/>
  <c r="J18078" i="2"/>
  <c r="K18078" i="2"/>
  <c r="L18078" i="2"/>
  <c r="D18079" i="2"/>
  <c r="F18079" i="2"/>
  <c r="G18079" i="2"/>
  <c r="H18079" i="2"/>
  <c r="J18079" i="2"/>
  <c r="K18079" i="2"/>
  <c r="L18079" i="2"/>
  <c r="C18080" i="2"/>
  <c r="D18080" i="2"/>
  <c r="F18080" i="2"/>
  <c r="G18080" i="2"/>
  <c r="H18080" i="2"/>
  <c r="J18080" i="2"/>
  <c r="K18080" i="2"/>
  <c r="L18080" i="2"/>
  <c r="C18081" i="2"/>
  <c r="D18081" i="2"/>
  <c r="F18081" i="2"/>
  <c r="G18081" i="2"/>
  <c r="H18081" i="2"/>
  <c r="J18081" i="2"/>
  <c r="K18081" i="2"/>
  <c r="L18081" i="2"/>
  <c r="D18082" i="2"/>
  <c r="F18082" i="2"/>
  <c r="G18082" i="2"/>
  <c r="H18082" i="2"/>
  <c r="J18082" i="2"/>
  <c r="K18082" i="2"/>
  <c r="L18082" i="2"/>
  <c r="D18083" i="2"/>
  <c r="F18083" i="2"/>
  <c r="G18083" i="2"/>
  <c r="H18083" i="2"/>
  <c r="J18083" i="2"/>
  <c r="K18083" i="2"/>
  <c r="L18083" i="2"/>
  <c r="D18084" i="2"/>
  <c r="F18084" i="2"/>
  <c r="G18084" i="2"/>
  <c r="H18084" i="2"/>
  <c r="J18084" i="2"/>
  <c r="K18084" i="2"/>
  <c r="L18084" i="2"/>
  <c r="D18085" i="2"/>
  <c r="F18085" i="2"/>
  <c r="G18085" i="2"/>
  <c r="H18085" i="2"/>
  <c r="J18085" i="2"/>
  <c r="K18085" i="2"/>
  <c r="L18085" i="2"/>
  <c r="D18086" i="2"/>
  <c r="F18086" i="2"/>
  <c r="G18086" i="2"/>
  <c r="H18086" i="2"/>
  <c r="J18086" i="2"/>
  <c r="K18086" i="2"/>
  <c r="L18086" i="2"/>
  <c r="D18087" i="2"/>
  <c r="F18087" i="2"/>
  <c r="G18087" i="2"/>
  <c r="H18087" i="2"/>
  <c r="J18087" i="2"/>
  <c r="K18087" i="2"/>
  <c r="L18087" i="2"/>
  <c r="D18088" i="2"/>
  <c r="F18088" i="2"/>
  <c r="G18088" i="2"/>
  <c r="H18088" i="2"/>
  <c r="J18088" i="2"/>
  <c r="K18088" i="2"/>
  <c r="L18088" i="2"/>
  <c r="D18089" i="2"/>
  <c r="F18089" i="2"/>
  <c r="G18089" i="2"/>
  <c r="H18089" i="2"/>
  <c r="J18089" i="2"/>
  <c r="K18089" i="2"/>
  <c r="L18089" i="2"/>
  <c r="D18090" i="2"/>
  <c r="F18090" i="2"/>
  <c r="G18090" i="2"/>
  <c r="H18090" i="2"/>
  <c r="J18090" i="2"/>
  <c r="K18090" i="2"/>
  <c r="L18090" i="2"/>
  <c r="D18091" i="2"/>
  <c r="F18091" i="2"/>
  <c r="G18091" i="2"/>
  <c r="H18091" i="2"/>
  <c r="J18091" i="2"/>
  <c r="K18091" i="2"/>
  <c r="L18091" i="2"/>
  <c r="D18092" i="2"/>
  <c r="F18092" i="2"/>
  <c r="G18092" i="2"/>
  <c r="H18092" i="2"/>
  <c r="J18092" i="2"/>
  <c r="K18092" i="2"/>
  <c r="L18092" i="2"/>
  <c r="D18093" i="2"/>
  <c r="F18093" i="2"/>
  <c r="G18093" i="2"/>
  <c r="H18093" i="2"/>
  <c r="J18093" i="2"/>
  <c r="K18093" i="2"/>
  <c r="L18093" i="2"/>
  <c r="D18094" i="2"/>
  <c r="F18094" i="2"/>
  <c r="G18094" i="2"/>
  <c r="H18094" i="2"/>
  <c r="J18094" i="2"/>
  <c r="K18094" i="2"/>
  <c r="L18094" i="2"/>
  <c r="C18095" i="2"/>
  <c r="D18095" i="2"/>
  <c r="F18095" i="2"/>
  <c r="G18095" i="2"/>
  <c r="H18095" i="2"/>
  <c r="J18095" i="2"/>
  <c r="K18095" i="2"/>
  <c r="L18095" i="2"/>
  <c r="C18096" i="2"/>
  <c r="D18096" i="2"/>
  <c r="F18096" i="2"/>
  <c r="G18096" i="2"/>
  <c r="H18096" i="2"/>
  <c r="J18096" i="2"/>
  <c r="K18096" i="2"/>
  <c r="L18096" i="2"/>
  <c r="C18097" i="2"/>
  <c r="D18097" i="2"/>
  <c r="F18097" i="2"/>
  <c r="G18097" i="2"/>
  <c r="H18097" i="2"/>
  <c r="J18097" i="2"/>
  <c r="K18097" i="2"/>
  <c r="L18097" i="2"/>
  <c r="D18098" i="2"/>
  <c r="F18098" i="2"/>
  <c r="G18098" i="2"/>
  <c r="H18098" i="2"/>
  <c r="J18098" i="2"/>
  <c r="K18098" i="2"/>
  <c r="L18098" i="2"/>
  <c r="C18099" i="2"/>
  <c r="D18099" i="2"/>
  <c r="F18099" i="2"/>
  <c r="G18099" i="2"/>
  <c r="H18099" i="2"/>
  <c r="J18099" i="2"/>
  <c r="K18099" i="2"/>
  <c r="L18099" i="2"/>
  <c r="C18100" i="2"/>
  <c r="D18100" i="2"/>
  <c r="F18100" i="2"/>
  <c r="G18100" i="2"/>
  <c r="H18100" i="2"/>
  <c r="J18100" i="2"/>
  <c r="K18100" i="2"/>
  <c r="L18100" i="2"/>
  <c r="D18101" i="2"/>
  <c r="F18101" i="2"/>
  <c r="G18101" i="2"/>
  <c r="H18101" i="2"/>
  <c r="J18101" i="2"/>
  <c r="K18101" i="2"/>
  <c r="L18101" i="2"/>
  <c r="C18102" i="2"/>
  <c r="D18102" i="2"/>
  <c r="F18102" i="2"/>
  <c r="G18102" i="2"/>
  <c r="H18102" i="2"/>
  <c r="J18102" i="2"/>
  <c r="K18102" i="2"/>
  <c r="L18102" i="2"/>
  <c r="C18103" i="2"/>
  <c r="D18103" i="2"/>
  <c r="F18103" i="2"/>
  <c r="G18103" i="2"/>
  <c r="H18103" i="2"/>
  <c r="J18103" i="2"/>
  <c r="K18103" i="2"/>
  <c r="L18103" i="2"/>
  <c r="D18104" i="2"/>
  <c r="F18104" i="2"/>
  <c r="G18104" i="2"/>
  <c r="H18104" i="2"/>
  <c r="J18104" i="2"/>
  <c r="K18104" i="2"/>
  <c r="L18104" i="2"/>
  <c r="D18105" i="2"/>
  <c r="F18105" i="2"/>
  <c r="G18105" i="2"/>
  <c r="H18105" i="2"/>
  <c r="J18105" i="2"/>
  <c r="K18105" i="2"/>
  <c r="L18105" i="2"/>
  <c r="D18106" i="2"/>
  <c r="F18106" i="2"/>
  <c r="G18106" i="2"/>
  <c r="H18106" i="2"/>
  <c r="J18106" i="2"/>
  <c r="K18106" i="2"/>
  <c r="L18106" i="2"/>
  <c r="C18107" i="2"/>
  <c r="D18107" i="2"/>
  <c r="F18107" i="2"/>
  <c r="G18107" i="2"/>
  <c r="H18107" i="2"/>
  <c r="J18107" i="2"/>
  <c r="K18107" i="2"/>
  <c r="L18107" i="2"/>
  <c r="C18108" i="2"/>
  <c r="D18108" i="2"/>
  <c r="F18108" i="2"/>
  <c r="G18108" i="2"/>
  <c r="H18108" i="2"/>
  <c r="J18108" i="2"/>
  <c r="K18108" i="2"/>
  <c r="L18108" i="2"/>
  <c r="D18109" i="2"/>
  <c r="F18109" i="2"/>
  <c r="G18109" i="2"/>
  <c r="H18109" i="2"/>
  <c r="J18109" i="2"/>
  <c r="K18109" i="2"/>
  <c r="L18109" i="2"/>
  <c r="C18110" i="2"/>
  <c r="D18110" i="2"/>
  <c r="F18110" i="2"/>
  <c r="G18110" i="2"/>
  <c r="H18110" i="2"/>
  <c r="J18110" i="2"/>
  <c r="K18110" i="2"/>
  <c r="L18110" i="2"/>
  <c r="D18111" i="2"/>
  <c r="F18111" i="2"/>
  <c r="G18111" i="2"/>
  <c r="H18111" i="2"/>
  <c r="J18111" i="2"/>
  <c r="K18111" i="2"/>
  <c r="L18111" i="2"/>
  <c r="D18112" i="2"/>
  <c r="F18112" i="2"/>
  <c r="G18112" i="2"/>
  <c r="H18112" i="2"/>
  <c r="J18112" i="2"/>
  <c r="K18112" i="2"/>
  <c r="L18112" i="2"/>
  <c r="D18113" i="2"/>
  <c r="F18113" i="2"/>
  <c r="G18113" i="2"/>
  <c r="H18113" i="2"/>
  <c r="J18113" i="2"/>
  <c r="K18113" i="2"/>
  <c r="L18113" i="2"/>
  <c r="C18114" i="2"/>
  <c r="D18114" i="2"/>
  <c r="F18114" i="2"/>
  <c r="G18114" i="2"/>
  <c r="H18114" i="2"/>
  <c r="J18114" i="2"/>
  <c r="K18114" i="2"/>
  <c r="L18114" i="2"/>
  <c r="D18115" i="2"/>
  <c r="F18115" i="2"/>
  <c r="G18115" i="2"/>
  <c r="H18115" i="2"/>
  <c r="J18115" i="2"/>
  <c r="K18115" i="2"/>
  <c r="L18115" i="2"/>
  <c r="C18116" i="2"/>
  <c r="D18116" i="2"/>
  <c r="F18116" i="2"/>
  <c r="G18116" i="2"/>
  <c r="H18116" i="2"/>
  <c r="J18116" i="2"/>
  <c r="K18116" i="2"/>
  <c r="L18116" i="2"/>
  <c r="C18117" i="2"/>
  <c r="D18117" i="2"/>
  <c r="F18117" i="2"/>
  <c r="G18117" i="2"/>
  <c r="H18117" i="2"/>
  <c r="J18117" i="2"/>
  <c r="K18117" i="2"/>
  <c r="L18117" i="2"/>
  <c r="C18118" i="2"/>
  <c r="D18118" i="2"/>
  <c r="F18118" i="2"/>
  <c r="G18118" i="2"/>
  <c r="H18118" i="2"/>
  <c r="J18118" i="2"/>
  <c r="K18118" i="2"/>
  <c r="L18118" i="2"/>
  <c r="C18119" i="2"/>
  <c r="D18119" i="2"/>
  <c r="F18119" i="2"/>
  <c r="G18119" i="2"/>
  <c r="H18119" i="2"/>
  <c r="J18119" i="2"/>
  <c r="K18119" i="2"/>
  <c r="L18119" i="2"/>
  <c r="C18120" i="2"/>
  <c r="D18120" i="2"/>
  <c r="F18120" i="2"/>
  <c r="G18120" i="2"/>
  <c r="H18120" i="2"/>
  <c r="J18120" i="2"/>
  <c r="K18120" i="2"/>
  <c r="L18120" i="2"/>
  <c r="C18121" i="2"/>
  <c r="D18121" i="2"/>
  <c r="F18121" i="2"/>
  <c r="G18121" i="2"/>
  <c r="H18121" i="2"/>
  <c r="J18121" i="2"/>
  <c r="K18121" i="2"/>
  <c r="L18121" i="2"/>
  <c r="C18122" i="2"/>
  <c r="D18122" i="2"/>
  <c r="F18122" i="2"/>
  <c r="G18122" i="2"/>
  <c r="H18122" i="2"/>
  <c r="J18122" i="2"/>
  <c r="K18122" i="2"/>
  <c r="L18122" i="2"/>
  <c r="C18123" i="2"/>
  <c r="D18123" i="2"/>
  <c r="F18123" i="2"/>
  <c r="G18123" i="2"/>
  <c r="H18123" i="2"/>
  <c r="J18123" i="2"/>
  <c r="K18123" i="2"/>
  <c r="L18123" i="2"/>
  <c r="C18124" i="2"/>
  <c r="D18124" i="2"/>
  <c r="F18124" i="2"/>
  <c r="G18124" i="2"/>
  <c r="H18124" i="2"/>
  <c r="J18124" i="2"/>
  <c r="K18124" i="2"/>
  <c r="L18124" i="2"/>
  <c r="C18125" i="2"/>
  <c r="D18125" i="2"/>
  <c r="F18125" i="2"/>
  <c r="G18125" i="2"/>
  <c r="H18125" i="2"/>
  <c r="J18125" i="2"/>
  <c r="K18125" i="2"/>
  <c r="L18125" i="2"/>
  <c r="C18126" i="2"/>
  <c r="D18126" i="2"/>
  <c r="F18126" i="2"/>
  <c r="G18126" i="2"/>
  <c r="H18126" i="2"/>
  <c r="J18126" i="2"/>
  <c r="K18126" i="2"/>
  <c r="L18126" i="2"/>
  <c r="D18127" i="2"/>
  <c r="F18127" i="2"/>
  <c r="G18127" i="2"/>
  <c r="H18127" i="2"/>
  <c r="J18127" i="2"/>
  <c r="K18127" i="2"/>
  <c r="L18127" i="2"/>
  <c r="C18128" i="2"/>
  <c r="D18128" i="2"/>
  <c r="F18128" i="2"/>
  <c r="G18128" i="2"/>
  <c r="H18128" i="2"/>
  <c r="J18128" i="2"/>
  <c r="K18128" i="2"/>
  <c r="L18128" i="2"/>
  <c r="C18129" i="2"/>
  <c r="D18129" i="2"/>
  <c r="F18129" i="2"/>
  <c r="G18129" i="2"/>
  <c r="H18129" i="2"/>
  <c r="J18129" i="2"/>
  <c r="K18129" i="2"/>
  <c r="L18129" i="2"/>
  <c r="C18130" i="2"/>
  <c r="D18130" i="2"/>
  <c r="F18130" i="2"/>
  <c r="G18130" i="2"/>
  <c r="H18130" i="2"/>
  <c r="J18130" i="2"/>
  <c r="K18130" i="2"/>
  <c r="L18130" i="2"/>
  <c r="C18131" i="2"/>
  <c r="D18131" i="2"/>
  <c r="F18131" i="2"/>
  <c r="G18131" i="2"/>
  <c r="H18131" i="2"/>
  <c r="J18131" i="2"/>
  <c r="K18131" i="2"/>
  <c r="L18131" i="2"/>
  <c r="C18132" i="2"/>
  <c r="D18132" i="2"/>
  <c r="F18132" i="2"/>
  <c r="G18132" i="2"/>
  <c r="H18132" i="2"/>
  <c r="J18132" i="2"/>
  <c r="K18132" i="2"/>
  <c r="L18132" i="2"/>
  <c r="C18133" i="2"/>
  <c r="D18133" i="2"/>
  <c r="F18133" i="2"/>
  <c r="G18133" i="2"/>
  <c r="H18133" i="2"/>
  <c r="J18133" i="2"/>
  <c r="K18133" i="2"/>
  <c r="L18133" i="2"/>
  <c r="C18134" i="2"/>
  <c r="D18134" i="2"/>
  <c r="F18134" i="2"/>
  <c r="G18134" i="2"/>
  <c r="H18134" i="2"/>
  <c r="J18134" i="2"/>
  <c r="K18134" i="2"/>
  <c r="L18134" i="2"/>
  <c r="C18135" i="2"/>
  <c r="D18135" i="2"/>
  <c r="F18135" i="2"/>
  <c r="G18135" i="2"/>
  <c r="H18135" i="2"/>
  <c r="J18135" i="2"/>
  <c r="K18135" i="2"/>
  <c r="L18135" i="2"/>
  <c r="C18136" i="2"/>
  <c r="D18136" i="2"/>
  <c r="F18136" i="2"/>
  <c r="G18136" i="2"/>
  <c r="H18136" i="2"/>
  <c r="J18136" i="2"/>
  <c r="K18136" i="2"/>
  <c r="L18136" i="2"/>
  <c r="C18137" i="2"/>
  <c r="D18137" i="2"/>
  <c r="F18137" i="2"/>
  <c r="G18137" i="2"/>
  <c r="H18137" i="2"/>
  <c r="J18137" i="2"/>
  <c r="K18137" i="2"/>
  <c r="L18137" i="2"/>
  <c r="C18138" i="2"/>
  <c r="D18138" i="2"/>
  <c r="F18138" i="2"/>
  <c r="G18138" i="2"/>
  <c r="H18138" i="2"/>
  <c r="J18138" i="2"/>
  <c r="K18138" i="2"/>
  <c r="L18138" i="2"/>
  <c r="C18139" i="2"/>
  <c r="D18139" i="2"/>
  <c r="F18139" i="2"/>
  <c r="G18139" i="2"/>
  <c r="H18139" i="2"/>
  <c r="J18139" i="2"/>
  <c r="K18139" i="2"/>
  <c r="L18139" i="2"/>
  <c r="D18140" i="2"/>
  <c r="F18140" i="2"/>
  <c r="G18140" i="2"/>
  <c r="H18140" i="2"/>
  <c r="J18140" i="2"/>
  <c r="K18140" i="2"/>
  <c r="L18140" i="2"/>
  <c r="C18141" i="2"/>
  <c r="D18141" i="2"/>
  <c r="F18141" i="2"/>
  <c r="G18141" i="2"/>
  <c r="H18141" i="2"/>
  <c r="J18141" i="2"/>
  <c r="K18141" i="2"/>
  <c r="L18141" i="2"/>
  <c r="C18142" i="2"/>
  <c r="D18142" i="2"/>
  <c r="F18142" i="2"/>
  <c r="G18142" i="2"/>
  <c r="H18142" i="2"/>
  <c r="J18142" i="2"/>
  <c r="K18142" i="2"/>
  <c r="L18142" i="2"/>
  <c r="C18143" i="2"/>
  <c r="D18143" i="2"/>
  <c r="F18143" i="2"/>
  <c r="G18143" i="2"/>
  <c r="H18143" i="2"/>
  <c r="J18143" i="2"/>
  <c r="K18143" i="2"/>
  <c r="L18143" i="2"/>
  <c r="C18144" i="2"/>
  <c r="D18144" i="2"/>
  <c r="F18144" i="2"/>
  <c r="G18144" i="2"/>
  <c r="H18144" i="2"/>
  <c r="J18144" i="2"/>
  <c r="K18144" i="2"/>
  <c r="L18144" i="2"/>
  <c r="C18145" i="2"/>
  <c r="D18145" i="2"/>
  <c r="F18145" i="2"/>
  <c r="G18145" i="2"/>
  <c r="H18145" i="2"/>
  <c r="J18145" i="2"/>
  <c r="K18145" i="2"/>
  <c r="L18145" i="2"/>
  <c r="C18146" i="2"/>
  <c r="D18146" i="2"/>
  <c r="F18146" i="2"/>
  <c r="G18146" i="2"/>
  <c r="H18146" i="2"/>
  <c r="J18146" i="2"/>
  <c r="K18146" i="2"/>
  <c r="L18146" i="2"/>
  <c r="C18147" i="2"/>
  <c r="D18147" i="2"/>
  <c r="F18147" i="2"/>
  <c r="G18147" i="2"/>
  <c r="H18147" i="2"/>
  <c r="J18147" i="2"/>
  <c r="K18147" i="2"/>
  <c r="L18147" i="2"/>
  <c r="C18148" i="2"/>
  <c r="D18148" i="2"/>
  <c r="F18148" i="2"/>
  <c r="G18148" i="2"/>
  <c r="H18148" i="2"/>
  <c r="J18148" i="2"/>
  <c r="K18148" i="2"/>
  <c r="L18148" i="2"/>
  <c r="C18149" i="2"/>
  <c r="D18149" i="2"/>
  <c r="F18149" i="2"/>
  <c r="G18149" i="2"/>
  <c r="H18149" i="2"/>
  <c r="J18149" i="2"/>
  <c r="K18149" i="2"/>
  <c r="L18149" i="2"/>
  <c r="C18150" i="2"/>
  <c r="D18150" i="2"/>
  <c r="F18150" i="2"/>
  <c r="G18150" i="2"/>
  <c r="H18150" i="2"/>
  <c r="J18150" i="2"/>
  <c r="K18150" i="2"/>
  <c r="L18150" i="2"/>
  <c r="D18151" i="2"/>
  <c r="F18151" i="2"/>
  <c r="G18151" i="2"/>
  <c r="H18151" i="2"/>
  <c r="J18151" i="2"/>
  <c r="K18151" i="2"/>
  <c r="L18151" i="2"/>
  <c r="C18152" i="2"/>
  <c r="D18152" i="2"/>
  <c r="F18152" i="2"/>
  <c r="G18152" i="2"/>
  <c r="H18152" i="2"/>
  <c r="J18152" i="2"/>
  <c r="K18152" i="2"/>
  <c r="L18152" i="2"/>
  <c r="C18153" i="2"/>
  <c r="D18153" i="2"/>
  <c r="F18153" i="2"/>
  <c r="G18153" i="2"/>
  <c r="H18153" i="2"/>
  <c r="J18153" i="2"/>
  <c r="K18153" i="2"/>
  <c r="L18153" i="2"/>
  <c r="C18154" i="2"/>
  <c r="D18154" i="2"/>
  <c r="F18154" i="2"/>
  <c r="G18154" i="2"/>
  <c r="H18154" i="2"/>
  <c r="J18154" i="2"/>
  <c r="K18154" i="2"/>
  <c r="L18154" i="2"/>
  <c r="C18155" i="2"/>
  <c r="D18155" i="2"/>
  <c r="F18155" i="2"/>
  <c r="G18155" i="2"/>
  <c r="H18155" i="2"/>
  <c r="J18155" i="2"/>
  <c r="K18155" i="2"/>
  <c r="L18155" i="2"/>
  <c r="C18156" i="2"/>
  <c r="D18156" i="2"/>
  <c r="F18156" i="2"/>
  <c r="G18156" i="2"/>
  <c r="H18156" i="2"/>
  <c r="J18156" i="2"/>
  <c r="K18156" i="2"/>
  <c r="L18156" i="2"/>
  <c r="C18157" i="2"/>
  <c r="D18157" i="2"/>
  <c r="F18157" i="2"/>
  <c r="G18157" i="2"/>
  <c r="H18157" i="2"/>
  <c r="J18157" i="2"/>
  <c r="K18157" i="2"/>
  <c r="L18157" i="2"/>
  <c r="C18158" i="2"/>
  <c r="D18158" i="2"/>
  <c r="F18158" i="2"/>
  <c r="G18158" i="2"/>
  <c r="H18158" i="2"/>
  <c r="J18158" i="2"/>
  <c r="K18158" i="2"/>
  <c r="L18158" i="2"/>
  <c r="C18159" i="2"/>
  <c r="D18159" i="2"/>
  <c r="F18159" i="2"/>
  <c r="G18159" i="2"/>
  <c r="H18159" i="2"/>
  <c r="J18159" i="2"/>
  <c r="K18159" i="2"/>
  <c r="L18159" i="2"/>
  <c r="C18160" i="2"/>
  <c r="D18160" i="2"/>
  <c r="F18160" i="2"/>
  <c r="G18160" i="2"/>
  <c r="H18160" i="2"/>
  <c r="J18160" i="2"/>
  <c r="K18160" i="2"/>
  <c r="L18160" i="2"/>
  <c r="C18161" i="2"/>
  <c r="D18161" i="2"/>
  <c r="F18161" i="2"/>
  <c r="G18161" i="2"/>
  <c r="H18161" i="2"/>
  <c r="J18161" i="2"/>
  <c r="K18161" i="2"/>
  <c r="L18161" i="2"/>
  <c r="C18162" i="2"/>
  <c r="D18162" i="2"/>
  <c r="F18162" i="2"/>
  <c r="G18162" i="2"/>
  <c r="H18162" i="2"/>
  <c r="J18162" i="2"/>
  <c r="K18162" i="2"/>
  <c r="L18162" i="2"/>
  <c r="C18163" i="2"/>
  <c r="D18163" i="2"/>
  <c r="F18163" i="2"/>
  <c r="G18163" i="2"/>
  <c r="H18163" i="2"/>
  <c r="J18163" i="2"/>
  <c r="K18163" i="2"/>
  <c r="L18163" i="2"/>
  <c r="C18164" i="2"/>
  <c r="D18164" i="2"/>
  <c r="F18164" i="2"/>
  <c r="G18164" i="2"/>
  <c r="H18164" i="2"/>
  <c r="J18164" i="2"/>
  <c r="K18164" i="2"/>
  <c r="L18164" i="2"/>
  <c r="C18165" i="2"/>
  <c r="D18165" i="2"/>
  <c r="F18165" i="2"/>
  <c r="G18165" i="2"/>
  <c r="H18165" i="2"/>
  <c r="J18165" i="2"/>
  <c r="K18165" i="2"/>
  <c r="L18165" i="2"/>
  <c r="C18166" i="2"/>
  <c r="D18166" i="2"/>
  <c r="F18166" i="2"/>
  <c r="G18166" i="2"/>
  <c r="H18166" i="2"/>
  <c r="J18166" i="2"/>
  <c r="K18166" i="2"/>
  <c r="L18166" i="2"/>
  <c r="C18167" i="2"/>
  <c r="D18167" i="2"/>
  <c r="F18167" i="2"/>
  <c r="G18167" i="2"/>
  <c r="H18167" i="2"/>
  <c r="J18167" i="2"/>
  <c r="K18167" i="2"/>
  <c r="L18167" i="2"/>
  <c r="C18168" i="2"/>
  <c r="D18168" i="2"/>
  <c r="F18168" i="2"/>
  <c r="G18168" i="2"/>
  <c r="H18168" i="2"/>
  <c r="J18168" i="2"/>
  <c r="K18168" i="2"/>
  <c r="L18168" i="2"/>
  <c r="C18169" i="2"/>
  <c r="D18169" i="2"/>
  <c r="F18169" i="2"/>
  <c r="G18169" i="2"/>
  <c r="H18169" i="2"/>
  <c r="J18169" i="2"/>
  <c r="K18169" i="2"/>
  <c r="L18169" i="2"/>
  <c r="C18170" i="2"/>
  <c r="D18170" i="2"/>
  <c r="F18170" i="2"/>
  <c r="G18170" i="2"/>
  <c r="H18170" i="2"/>
  <c r="J18170" i="2"/>
  <c r="K18170" i="2"/>
  <c r="L18170" i="2"/>
  <c r="C18171" i="2"/>
  <c r="D18171" i="2"/>
  <c r="F18171" i="2"/>
  <c r="G18171" i="2"/>
  <c r="H18171" i="2"/>
  <c r="J18171" i="2"/>
  <c r="K18171" i="2"/>
  <c r="L18171" i="2"/>
  <c r="C18172" i="2"/>
  <c r="D18172" i="2"/>
  <c r="F18172" i="2"/>
  <c r="G18172" i="2"/>
  <c r="H18172" i="2"/>
  <c r="J18172" i="2"/>
  <c r="K18172" i="2"/>
  <c r="L18172" i="2"/>
  <c r="C18173" i="2"/>
  <c r="D18173" i="2"/>
  <c r="F18173" i="2"/>
  <c r="G18173" i="2"/>
  <c r="H18173" i="2"/>
  <c r="J18173" i="2"/>
  <c r="K18173" i="2"/>
  <c r="L18173" i="2"/>
  <c r="C18174" i="2"/>
  <c r="D18174" i="2"/>
  <c r="F18174" i="2"/>
  <c r="G18174" i="2"/>
  <c r="H18174" i="2"/>
  <c r="J18174" i="2"/>
  <c r="K18174" i="2"/>
  <c r="L18174" i="2"/>
  <c r="C18175" i="2"/>
  <c r="D18175" i="2"/>
  <c r="F18175" i="2"/>
  <c r="G18175" i="2"/>
  <c r="H18175" i="2"/>
  <c r="J18175" i="2"/>
  <c r="K18175" i="2"/>
  <c r="L18175" i="2"/>
  <c r="D18176" i="2"/>
  <c r="F18176" i="2"/>
  <c r="G18176" i="2"/>
  <c r="H18176" i="2"/>
  <c r="J18176" i="2"/>
  <c r="K18176" i="2"/>
  <c r="L18176" i="2"/>
  <c r="C18177" i="2"/>
  <c r="D18177" i="2"/>
  <c r="F18177" i="2"/>
  <c r="G18177" i="2"/>
  <c r="H18177" i="2"/>
  <c r="J18177" i="2"/>
  <c r="K18177" i="2"/>
  <c r="L18177" i="2"/>
  <c r="C18178" i="2"/>
  <c r="D18178" i="2"/>
  <c r="F18178" i="2"/>
  <c r="G18178" i="2"/>
  <c r="H18178" i="2"/>
  <c r="J18178" i="2"/>
  <c r="K18178" i="2"/>
  <c r="L18178" i="2"/>
  <c r="C18179" i="2"/>
  <c r="D18179" i="2"/>
  <c r="F18179" i="2"/>
  <c r="G18179" i="2"/>
  <c r="H18179" i="2"/>
  <c r="J18179" i="2"/>
  <c r="K18179" i="2"/>
  <c r="L18179" i="2"/>
  <c r="C18180" i="2"/>
  <c r="D18180" i="2"/>
  <c r="F18180" i="2"/>
  <c r="G18180" i="2"/>
  <c r="H18180" i="2"/>
  <c r="J18180" i="2"/>
  <c r="K18180" i="2"/>
  <c r="L18180" i="2"/>
  <c r="C18181" i="2"/>
  <c r="D18181" i="2"/>
  <c r="F18181" i="2"/>
  <c r="G18181" i="2"/>
  <c r="H18181" i="2"/>
  <c r="J18181" i="2"/>
  <c r="K18181" i="2"/>
  <c r="L18181" i="2"/>
  <c r="C18182" i="2"/>
  <c r="D18182" i="2"/>
  <c r="F18182" i="2"/>
  <c r="G18182" i="2"/>
  <c r="H18182" i="2"/>
  <c r="J18182" i="2"/>
  <c r="K18182" i="2"/>
  <c r="L18182" i="2"/>
  <c r="C18183" i="2"/>
  <c r="D18183" i="2"/>
  <c r="F18183" i="2"/>
  <c r="G18183" i="2"/>
  <c r="H18183" i="2"/>
  <c r="J18183" i="2"/>
  <c r="K18183" i="2"/>
  <c r="L18183" i="2"/>
  <c r="D18184" i="2"/>
  <c r="F18184" i="2"/>
  <c r="G18184" i="2"/>
  <c r="H18184" i="2"/>
  <c r="J18184" i="2"/>
  <c r="K18184" i="2"/>
  <c r="L18184" i="2"/>
  <c r="C18185" i="2"/>
  <c r="D18185" i="2"/>
  <c r="F18185" i="2"/>
  <c r="G18185" i="2"/>
  <c r="H18185" i="2"/>
  <c r="J18185" i="2"/>
  <c r="K18185" i="2"/>
  <c r="L18185" i="2"/>
  <c r="C18186" i="2"/>
  <c r="D18186" i="2"/>
  <c r="F18186" i="2"/>
  <c r="G18186" i="2"/>
  <c r="H18186" i="2"/>
  <c r="J18186" i="2"/>
  <c r="K18186" i="2"/>
  <c r="L18186" i="2"/>
  <c r="C18187" i="2"/>
  <c r="D18187" i="2"/>
  <c r="F18187" i="2"/>
  <c r="G18187" i="2"/>
  <c r="H18187" i="2"/>
  <c r="J18187" i="2"/>
  <c r="K18187" i="2"/>
  <c r="L18187" i="2"/>
  <c r="C18188" i="2"/>
  <c r="D18188" i="2"/>
  <c r="F18188" i="2"/>
  <c r="G18188" i="2"/>
  <c r="H18188" i="2"/>
  <c r="J18188" i="2"/>
  <c r="K18188" i="2"/>
  <c r="L18188" i="2"/>
  <c r="C18189" i="2"/>
  <c r="D18189" i="2"/>
  <c r="F18189" i="2"/>
  <c r="G18189" i="2"/>
  <c r="H18189" i="2"/>
  <c r="J18189" i="2"/>
  <c r="K18189" i="2"/>
  <c r="L18189" i="2"/>
  <c r="C18190" i="2"/>
  <c r="D18190" i="2"/>
  <c r="F18190" i="2"/>
  <c r="G18190" i="2"/>
  <c r="H18190" i="2"/>
  <c r="J18190" i="2"/>
  <c r="K18190" i="2"/>
  <c r="L18190" i="2"/>
  <c r="C18191" i="2"/>
  <c r="D18191" i="2"/>
  <c r="F18191" i="2"/>
  <c r="G18191" i="2"/>
  <c r="H18191" i="2"/>
  <c r="J18191" i="2"/>
  <c r="K18191" i="2"/>
  <c r="L18191" i="2"/>
  <c r="C18192" i="2"/>
  <c r="D18192" i="2"/>
  <c r="F18192" i="2"/>
  <c r="G18192" i="2"/>
  <c r="H18192" i="2"/>
  <c r="J18192" i="2"/>
  <c r="K18192" i="2"/>
  <c r="L18192" i="2"/>
  <c r="C18193" i="2"/>
  <c r="D18193" i="2"/>
  <c r="F18193" i="2"/>
  <c r="G18193" i="2"/>
  <c r="H18193" i="2"/>
  <c r="J18193" i="2"/>
  <c r="K18193" i="2"/>
  <c r="L18193" i="2"/>
  <c r="C18194" i="2"/>
  <c r="D18194" i="2"/>
  <c r="F18194" i="2"/>
  <c r="G18194" i="2"/>
  <c r="H18194" i="2"/>
  <c r="J18194" i="2"/>
  <c r="K18194" i="2"/>
  <c r="L18194" i="2"/>
  <c r="D18195" i="2"/>
  <c r="F18195" i="2"/>
  <c r="G18195" i="2"/>
  <c r="H18195" i="2"/>
  <c r="J18195" i="2"/>
  <c r="K18195" i="2"/>
  <c r="L18195" i="2"/>
  <c r="C18196" i="2"/>
  <c r="D18196" i="2"/>
  <c r="F18196" i="2"/>
  <c r="G18196" i="2"/>
  <c r="H18196" i="2"/>
  <c r="J18196" i="2"/>
  <c r="K18196" i="2"/>
  <c r="L18196" i="2"/>
  <c r="C18197" i="2"/>
  <c r="D18197" i="2"/>
  <c r="F18197" i="2"/>
  <c r="G18197" i="2"/>
  <c r="H18197" i="2"/>
  <c r="J18197" i="2"/>
  <c r="K18197" i="2"/>
  <c r="L18197" i="2"/>
  <c r="C18198" i="2"/>
  <c r="D18198" i="2"/>
  <c r="F18198" i="2"/>
  <c r="G18198" i="2"/>
  <c r="H18198" i="2"/>
  <c r="J18198" i="2"/>
  <c r="K18198" i="2"/>
  <c r="L18198" i="2"/>
  <c r="C18199" i="2"/>
  <c r="D18199" i="2"/>
  <c r="F18199" i="2"/>
  <c r="G18199" i="2"/>
  <c r="H18199" i="2"/>
  <c r="J18199" i="2"/>
  <c r="K18199" i="2"/>
  <c r="L18199" i="2"/>
  <c r="C18200" i="2"/>
  <c r="D18200" i="2"/>
  <c r="F18200" i="2"/>
  <c r="G18200" i="2"/>
  <c r="H18200" i="2"/>
  <c r="J18200" i="2"/>
  <c r="K18200" i="2"/>
  <c r="L18200" i="2"/>
  <c r="C18201" i="2"/>
  <c r="D18201" i="2"/>
  <c r="F18201" i="2"/>
  <c r="G18201" i="2"/>
  <c r="H18201" i="2"/>
  <c r="J18201" i="2"/>
  <c r="K18201" i="2"/>
  <c r="L18201" i="2"/>
  <c r="C18202" i="2"/>
  <c r="D18202" i="2"/>
  <c r="F18202" i="2"/>
  <c r="G18202" i="2"/>
  <c r="H18202" i="2"/>
  <c r="J18202" i="2"/>
  <c r="K18202" i="2"/>
  <c r="L18202" i="2"/>
  <c r="C18203" i="2"/>
  <c r="D18203" i="2"/>
  <c r="F18203" i="2"/>
  <c r="G18203" i="2"/>
  <c r="H18203" i="2"/>
  <c r="J18203" i="2"/>
  <c r="K18203" i="2"/>
  <c r="L18203" i="2"/>
  <c r="C18204" i="2"/>
  <c r="D18204" i="2"/>
  <c r="F18204" i="2"/>
  <c r="G18204" i="2"/>
  <c r="H18204" i="2"/>
  <c r="J18204" i="2"/>
  <c r="K18204" i="2"/>
  <c r="L18204" i="2"/>
  <c r="C18205" i="2"/>
  <c r="D18205" i="2"/>
  <c r="F18205" i="2"/>
  <c r="G18205" i="2"/>
  <c r="H18205" i="2"/>
  <c r="J18205" i="2"/>
  <c r="K18205" i="2"/>
  <c r="L18205" i="2"/>
  <c r="C18206" i="2"/>
  <c r="D18206" i="2"/>
  <c r="F18206" i="2"/>
  <c r="G18206" i="2"/>
  <c r="H18206" i="2"/>
  <c r="J18206" i="2"/>
  <c r="K18206" i="2"/>
  <c r="L18206" i="2"/>
  <c r="C18207" i="2"/>
  <c r="D18207" i="2"/>
  <c r="F18207" i="2"/>
  <c r="G18207" i="2"/>
  <c r="H18207" i="2"/>
  <c r="J18207" i="2"/>
  <c r="K18207" i="2"/>
  <c r="L18207" i="2"/>
  <c r="C18208" i="2"/>
  <c r="D18208" i="2"/>
  <c r="F18208" i="2"/>
  <c r="G18208" i="2"/>
  <c r="H18208" i="2"/>
  <c r="J18208" i="2"/>
  <c r="K18208" i="2"/>
  <c r="L18208" i="2"/>
  <c r="C18209" i="2"/>
  <c r="D18209" i="2"/>
  <c r="F18209" i="2"/>
  <c r="G18209" i="2"/>
  <c r="H18209" i="2"/>
  <c r="J18209" i="2"/>
  <c r="K18209" i="2"/>
  <c r="L18209" i="2"/>
  <c r="C18210" i="2"/>
  <c r="D18210" i="2"/>
  <c r="F18210" i="2"/>
  <c r="G18210" i="2"/>
  <c r="H18210" i="2"/>
  <c r="J18210" i="2"/>
  <c r="K18210" i="2"/>
  <c r="L18210" i="2"/>
  <c r="C18211" i="2"/>
  <c r="D18211" i="2"/>
  <c r="F18211" i="2"/>
  <c r="G18211" i="2"/>
  <c r="H18211" i="2"/>
  <c r="J18211" i="2"/>
  <c r="K18211" i="2"/>
  <c r="L18211" i="2"/>
  <c r="C18212" i="2"/>
  <c r="D18212" i="2"/>
  <c r="F18212" i="2"/>
  <c r="G18212" i="2"/>
  <c r="H18212" i="2"/>
  <c r="J18212" i="2"/>
  <c r="K18212" i="2"/>
  <c r="L18212" i="2"/>
  <c r="C18213" i="2"/>
  <c r="D18213" i="2"/>
  <c r="F18213" i="2"/>
  <c r="G18213" i="2"/>
  <c r="H18213" i="2"/>
  <c r="J18213" i="2"/>
  <c r="K18213" i="2"/>
  <c r="L18213" i="2"/>
  <c r="C18214" i="2"/>
  <c r="D18214" i="2"/>
  <c r="F18214" i="2"/>
  <c r="G18214" i="2"/>
  <c r="H18214" i="2"/>
  <c r="J18214" i="2"/>
  <c r="K18214" i="2"/>
  <c r="L18214" i="2"/>
  <c r="C18215" i="2"/>
  <c r="D18215" i="2"/>
  <c r="F18215" i="2"/>
  <c r="G18215" i="2"/>
  <c r="H18215" i="2"/>
  <c r="J18215" i="2"/>
  <c r="K18215" i="2"/>
  <c r="L18215" i="2"/>
  <c r="C18216" i="2"/>
  <c r="D18216" i="2"/>
  <c r="F18216" i="2"/>
  <c r="G18216" i="2"/>
  <c r="H18216" i="2"/>
  <c r="J18216" i="2"/>
  <c r="K18216" i="2"/>
  <c r="L18216" i="2"/>
  <c r="C18217" i="2"/>
  <c r="D18217" i="2"/>
  <c r="F18217" i="2"/>
  <c r="G18217" i="2"/>
  <c r="H18217" i="2"/>
  <c r="J18217" i="2"/>
  <c r="K18217" i="2"/>
  <c r="L18217" i="2"/>
  <c r="C18218" i="2"/>
  <c r="D18218" i="2"/>
  <c r="F18218" i="2"/>
  <c r="G18218" i="2"/>
  <c r="H18218" i="2"/>
  <c r="J18218" i="2"/>
  <c r="K18218" i="2"/>
  <c r="L18218" i="2"/>
  <c r="C18219" i="2"/>
  <c r="D18219" i="2"/>
  <c r="F18219" i="2"/>
  <c r="G18219" i="2"/>
  <c r="H18219" i="2"/>
  <c r="J18219" i="2"/>
  <c r="K18219" i="2"/>
  <c r="L18219" i="2"/>
  <c r="C18220" i="2"/>
  <c r="D18220" i="2"/>
  <c r="F18220" i="2"/>
  <c r="G18220" i="2"/>
  <c r="H18220" i="2"/>
  <c r="J18220" i="2"/>
  <c r="K18220" i="2"/>
  <c r="L18220" i="2"/>
  <c r="C18221" i="2"/>
  <c r="D18221" i="2"/>
  <c r="F18221" i="2"/>
  <c r="G18221" i="2"/>
  <c r="H18221" i="2"/>
  <c r="J18221" i="2"/>
  <c r="K18221" i="2"/>
  <c r="L18221" i="2"/>
  <c r="C18222" i="2"/>
  <c r="D18222" i="2"/>
  <c r="F18222" i="2"/>
  <c r="G18222" i="2"/>
  <c r="H18222" i="2"/>
  <c r="J18222" i="2"/>
  <c r="K18222" i="2"/>
  <c r="L18222" i="2"/>
  <c r="C18223" i="2"/>
  <c r="D18223" i="2"/>
  <c r="F18223" i="2"/>
  <c r="G18223" i="2"/>
  <c r="H18223" i="2"/>
  <c r="J18223" i="2"/>
  <c r="K18223" i="2"/>
  <c r="L18223" i="2"/>
  <c r="C18224" i="2"/>
  <c r="D18224" i="2"/>
  <c r="F18224" i="2"/>
  <c r="G18224" i="2"/>
  <c r="H18224" i="2"/>
  <c r="J18224" i="2"/>
  <c r="K18224" i="2"/>
  <c r="L18224" i="2"/>
  <c r="C18225" i="2"/>
  <c r="D18225" i="2"/>
  <c r="F18225" i="2"/>
  <c r="G18225" i="2"/>
  <c r="H18225" i="2"/>
  <c r="J18225" i="2"/>
  <c r="K18225" i="2"/>
  <c r="L18225" i="2"/>
  <c r="C18226" i="2"/>
  <c r="D18226" i="2"/>
  <c r="F18226" i="2"/>
  <c r="G18226" i="2"/>
  <c r="H18226" i="2"/>
  <c r="J18226" i="2"/>
  <c r="K18226" i="2"/>
  <c r="L18226" i="2"/>
  <c r="C18227" i="2"/>
  <c r="D18227" i="2"/>
  <c r="F18227" i="2"/>
  <c r="G18227" i="2"/>
  <c r="H18227" i="2"/>
  <c r="J18227" i="2"/>
  <c r="K18227" i="2"/>
  <c r="L18227" i="2"/>
  <c r="C18228" i="2"/>
  <c r="D18228" i="2"/>
  <c r="F18228" i="2"/>
  <c r="G18228" i="2"/>
  <c r="H18228" i="2"/>
  <c r="J18228" i="2"/>
  <c r="K18228" i="2"/>
  <c r="L18228" i="2"/>
  <c r="C18229" i="2"/>
  <c r="D18229" i="2"/>
  <c r="F18229" i="2"/>
  <c r="G18229" i="2"/>
  <c r="H18229" i="2"/>
  <c r="J18229" i="2"/>
  <c r="K18229" i="2"/>
  <c r="L18229" i="2"/>
  <c r="C18230" i="2"/>
  <c r="D18230" i="2"/>
  <c r="F18230" i="2"/>
  <c r="G18230" i="2"/>
  <c r="H18230" i="2"/>
  <c r="J18230" i="2"/>
  <c r="K18230" i="2"/>
  <c r="L18230" i="2"/>
  <c r="C18231" i="2"/>
  <c r="D18231" i="2"/>
  <c r="F18231" i="2"/>
  <c r="G18231" i="2"/>
  <c r="H18231" i="2"/>
  <c r="J18231" i="2"/>
  <c r="K18231" i="2"/>
  <c r="L18231" i="2"/>
  <c r="C18232" i="2"/>
  <c r="D18232" i="2"/>
  <c r="F18232" i="2"/>
  <c r="G18232" i="2"/>
  <c r="H18232" i="2"/>
  <c r="J18232" i="2"/>
  <c r="K18232" i="2"/>
  <c r="L18232" i="2"/>
  <c r="C18233" i="2"/>
  <c r="D18233" i="2"/>
  <c r="F18233" i="2"/>
  <c r="G18233" i="2"/>
  <c r="H18233" i="2"/>
  <c r="J18233" i="2"/>
  <c r="K18233" i="2"/>
  <c r="L18233" i="2"/>
  <c r="C18234" i="2"/>
  <c r="D18234" i="2"/>
  <c r="F18234" i="2"/>
  <c r="G18234" i="2"/>
  <c r="H18234" i="2"/>
  <c r="J18234" i="2"/>
  <c r="K18234" i="2"/>
  <c r="L18234" i="2"/>
  <c r="C18235" i="2"/>
  <c r="D18235" i="2"/>
  <c r="F18235" i="2"/>
  <c r="G18235" i="2"/>
  <c r="H18235" i="2"/>
  <c r="J18235" i="2"/>
  <c r="K18235" i="2"/>
  <c r="L18235" i="2"/>
  <c r="C18236" i="2"/>
  <c r="D18236" i="2"/>
  <c r="F18236" i="2"/>
  <c r="G18236" i="2"/>
  <c r="H18236" i="2"/>
  <c r="J18236" i="2"/>
  <c r="K18236" i="2"/>
  <c r="L18236" i="2"/>
  <c r="C18237" i="2"/>
  <c r="D18237" i="2"/>
  <c r="F18237" i="2"/>
  <c r="G18237" i="2"/>
  <c r="H18237" i="2"/>
  <c r="J18237" i="2"/>
  <c r="K18237" i="2"/>
  <c r="L18237" i="2"/>
  <c r="C18238" i="2"/>
  <c r="D18238" i="2"/>
  <c r="F18238" i="2"/>
  <c r="G18238" i="2"/>
  <c r="H18238" i="2"/>
  <c r="J18238" i="2"/>
  <c r="K18238" i="2"/>
  <c r="L18238" i="2"/>
  <c r="C18239" i="2"/>
  <c r="D18239" i="2"/>
  <c r="F18239" i="2"/>
  <c r="G18239" i="2"/>
  <c r="H18239" i="2"/>
  <c r="J18239" i="2"/>
  <c r="K18239" i="2"/>
  <c r="L18239" i="2"/>
  <c r="C18240" i="2"/>
  <c r="D18240" i="2"/>
  <c r="F18240" i="2"/>
  <c r="G18240" i="2"/>
  <c r="H18240" i="2"/>
  <c r="J18240" i="2"/>
  <c r="K18240" i="2"/>
  <c r="L18240" i="2"/>
  <c r="C18241" i="2"/>
  <c r="D18241" i="2"/>
  <c r="F18241" i="2"/>
  <c r="G18241" i="2"/>
  <c r="H18241" i="2"/>
  <c r="J18241" i="2"/>
  <c r="K18241" i="2"/>
  <c r="L18241" i="2"/>
  <c r="C18242" i="2"/>
  <c r="D18242" i="2"/>
  <c r="F18242" i="2"/>
  <c r="G18242" i="2"/>
  <c r="H18242" i="2"/>
  <c r="J18242" i="2"/>
  <c r="K18242" i="2"/>
  <c r="L18242" i="2"/>
  <c r="C18243" i="2"/>
  <c r="D18243" i="2"/>
  <c r="F18243" i="2"/>
  <c r="G18243" i="2"/>
  <c r="H18243" i="2"/>
  <c r="J18243" i="2"/>
  <c r="K18243" i="2"/>
  <c r="L18243" i="2"/>
  <c r="C18244" i="2"/>
  <c r="D18244" i="2"/>
  <c r="F18244" i="2"/>
  <c r="G18244" i="2"/>
  <c r="H18244" i="2"/>
  <c r="J18244" i="2"/>
  <c r="K18244" i="2"/>
  <c r="L18244" i="2"/>
  <c r="C18245" i="2"/>
  <c r="D18245" i="2"/>
  <c r="F18245" i="2"/>
  <c r="G18245" i="2"/>
  <c r="H18245" i="2"/>
  <c r="J18245" i="2"/>
  <c r="K18245" i="2"/>
  <c r="L18245" i="2"/>
  <c r="C18246" i="2"/>
  <c r="D18246" i="2"/>
  <c r="F18246" i="2"/>
  <c r="G18246" i="2"/>
  <c r="H18246" i="2"/>
  <c r="J18246" i="2"/>
  <c r="K18246" i="2"/>
  <c r="L18246" i="2"/>
  <c r="C18247" i="2"/>
  <c r="D18247" i="2"/>
  <c r="F18247" i="2"/>
  <c r="G18247" i="2"/>
  <c r="H18247" i="2"/>
  <c r="J18247" i="2"/>
  <c r="K18247" i="2"/>
  <c r="L18247" i="2"/>
  <c r="C18248" i="2"/>
  <c r="D18248" i="2"/>
  <c r="F18248" i="2"/>
  <c r="G18248" i="2"/>
  <c r="H18248" i="2"/>
  <c r="J18248" i="2"/>
  <c r="K18248" i="2"/>
  <c r="L18248" i="2"/>
  <c r="C18249" i="2"/>
  <c r="D18249" i="2"/>
  <c r="F18249" i="2"/>
  <c r="G18249" i="2"/>
  <c r="H18249" i="2"/>
  <c r="J18249" i="2"/>
  <c r="K18249" i="2"/>
  <c r="L18249" i="2"/>
  <c r="C18250" i="2"/>
  <c r="D18250" i="2"/>
  <c r="F18250" i="2"/>
  <c r="G18250" i="2"/>
  <c r="H18250" i="2"/>
  <c r="J18250" i="2"/>
  <c r="K18250" i="2"/>
  <c r="L18250" i="2"/>
  <c r="C18251" i="2"/>
  <c r="D18251" i="2"/>
  <c r="F18251" i="2"/>
  <c r="G18251" i="2"/>
  <c r="H18251" i="2"/>
  <c r="J18251" i="2"/>
  <c r="K18251" i="2"/>
  <c r="L18251" i="2"/>
  <c r="C18252" i="2"/>
  <c r="D18252" i="2"/>
  <c r="F18252" i="2"/>
  <c r="G18252" i="2"/>
  <c r="H18252" i="2"/>
  <c r="J18252" i="2"/>
  <c r="K18252" i="2"/>
  <c r="L18252" i="2"/>
  <c r="C18253" i="2"/>
  <c r="D18253" i="2"/>
  <c r="F18253" i="2"/>
  <c r="G18253" i="2"/>
  <c r="H18253" i="2"/>
  <c r="J18253" i="2"/>
  <c r="K18253" i="2"/>
  <c r="L18253" i="2"/>
  <c r="C18254" i="2"/>
  <c r="D18254" i="2"/>
  <c r="F18254" i="2"/>
  <c r="G18254" i="2"/>
  <c r="H18254" i="2"/>
  <c r="J18254" i="2"/>
  <c r="K18254" i="2"/>
  <c r="L18254" i="2"/>
  <c r="C18255" i="2"/>
  <c r="D18255" i="2"/>
  <c r="F18255" i="2"/>
  <c r="G18255" i="2"/>
  <c r="H18255" i="2"/>
  <c r="J18255" i="2"/>
  <c r="K18255" i="2"/>
  <c r="L18255" i="2"/>
  <c r="C18256" i="2"/>
  <c r="D18256" i="2"/>
  <c r="F18256" i="2"/>
  <c r="G18256" i="2"/>
  <c r="H18256" i="2"/>
  <c r="J18256" i="2"/>
  <c r="K18256" i="2"/>
  <c r="L18256" i="2"/>
  <c r="C18257" i="2"/>
  <c r="D18257" i="2"/>
  <c r="F18257" i="2"/>
  <c r="G18257" i="2"/>
  <c r="H18257" i="2"/>
  <c r="J18257" i="2"/>
  <c r="K18257" i="2"/>
  <c r="L18257" i="2"/>
  <c r="C18258" i="2"/>
  <c r="D18258" i="2"/>
  <c r="F18258" i="2"/>
  <c r="G18258" i="2"/>
  <c r="H18258" i="2"/>
  <c r="J18258" i="2"/>
  <c r="K18258" i="2"/>
  <c r="L18258" i="2"/>
  <c r="C18259" i="2"/>
  <c r="D18259" i="2"/>
  <c r="F18259" i="2"/>
  <c r="G18259" i="2"/>
  <c r="H18259" i="2"/>
  <c r="J18259" i="2"/>
  <c r="K18259" i="2"/>
  <c r="L18259" i="2"/>
  <c r="C18260" i="2"/>
  <c r="D18260" i="2"/>
  <c r="F18260" i="2"/>
  <c r="G18260" i="2"/>
  <c r="H18260" i="2"/>
  <c r="J18260" i="2"/>
  <c r="K18260" i="2"/>
  <c r="L18260" i="2"/>
  <c r="C18261" i="2"/>
  <c r="D18261" i="2"/>
  <c r="F18261" i="2"/>
  <c r="G18261" i="2"/>
  <c r="H18261" i="2"/>
  <c r="J18261" i="2"/>
  <c r="K18261" i="2"/>
  <c r="L18261" i="2"/>
  <c r="C18262" i="2"/>
  <c r="D18262" i="2"/>
  <c r="F18262" i="2"/>
  <c r="G18262" i="2"/>
  <c r="H18262" i="2"/>
  <c r="J18262" i="2"/>
  <c r="K18262" i="2"/>
  <c r="L18262" i="2"/>
  <c r="C18263" i="2"/>
  <c r="D18263" i="2"/>
  <c r="F18263" i="2"/>
  <c r="G18263" i="2"/>
  <c r="H18263" i="2"/>
  <c r="J18263" i="2"/>
  <c r="K18263" i="2"/>
  <c r="L18263" i="2"/>
  <c r="C18264" i="2"/>
  <c r="D18264" i="2"/>
  <c r="F18264" i="2"/>
  <c r="G18264" i="2"/>
  <c r="H18264" i="2"/>
  <c r="J18264" i="2"/>
  <c r="K18264" i="2"/>
  <c r="L18264" i="2"/>
  <c r="C18265" i="2"/>
  <c r="D18265" i="2"/>
  <c r="F18265" i="2"/>
  <c r="G18265" i="2"/>
  <c r="H18265" i="2"/>
  <c r="J18265" i="2"/>
  <c r="K18265" i="2"/>
  <c r="L18265" i="2"/>
  <c r="C18266" i="2"/>
  <c r="D18266" i="2"/>
  <c r="F18266" i="2"/>
  <c r="G18266" i="2"/>
  <c r="H18266" i="2"/>
  <c r="J18266" i="2"/>
  <c r="K18266" i="2"/>
  <c r="L18266" i="2"/>
  <c r="C18267" i="2"/>
  <c r="D18267" i="2"/>
  <c r="F18267" i="2"/>
  <c r="G18267" i="2"/>
  <c r="H18267" i="2"/>
  <c r="J18267" i="2"/>
  <c r="K18267" i="2"/>
  <c r="L18267" i="2"/>
  <c r="C18268" i="2"/>
  <c r="D18268" i="2"/>
  <c r="F18268" i="2"/>
  <c r="G18268" i="2"/>
  <c r="H18268" i="2"/>
  <c r="J18268" i="2"/>
  <c r="K18268" i="2"/>
  <c r="L18268" i="2"/>
  <c r="C18269" i="2"/>
  <c r="D18269" i="2"/>
  <c r="F18269" i="2"/>
  <c r="G18269" i="2"/>
  <c r="H18269" i="2"/>
  <c r="J18269" i="2"/>
  <c r="K18269" i="2"/>
  <c r="L18269" i="2"/>
  <c r="C18270" i="2"/>
  <c r="D18270" i="2"/>
  <c r="F18270" i="2"/>
  <c r="G18270" i="2"/>
  <c r="H18270" i="2"/>
  <c r="J18270" i="2"/>
  <c r="K18270" i="2"/>
  <c r="L18270" i="2"/>
  <c r="C18271" i="2"/>
  <c r="D18271" i="2"/>
  <c r="F18271" i="2"/>
  <c r="G18271" i="2"/>
  <c r="H18271" i="2"/>
  <c r="J18271" i="2"/>
  <c r="K18271" i="2"/>
  <c r="L18271" i="2"/>
  <c r="C18272" i="2"/>
  <c r="D18272" i="2"/>
  <c r="F18272" i="2"/>
  <c r="G18272" i="2"/>
  <c r="H18272" i="2"/>
  <c r="J18272" i="2"/>
  <c r="K18272" i="2"/>
  <c r="L18272" i="2"/>
  <c r="C18273" i="2"/>
  <c r="D18273" i="2"/>
  <c r="F18273" i="2"/>
  <c r="G18273" i="2"/>
  <c r="H18273" i="2"/>
  <c r="J18273" i="2"/>
  <c r="K18273" i="2"/>
  <c r="L18273" i="2"/>
  <c r="C18274" i="2"/>
  <c r="D18274" i="2"/>
  <c r="F18274" i="2"/>
  <c r="G18274" i="2"/>
  <c r="H18274" i="2"/>
  <c r="J18274" i="2"/>
  <c r="K18274" i="2"/>
  <c r="L18274" i="2"/>
  <c r="C18275" i="2"/>
  <c r="D18275" i="2"/>
  <c r="F18275" i="2"/>
  <c r="G18275" i="2"/>
  <c r="H18275" i="2"/>
  <c r="J18275" i="2"/>
  <c r="K18275" i="2"/>
  <c r="L18275" i="2"/>
  <c r="C18276" i="2"/>
  <c r="D18276" i="2"/>
  <c r="F18276" i="2"/>
  <c r="G18276" i="2"/>
  <c r="H18276" i="2"/>
  <c r="J18276" i="2"/>
  <c r="K18276" i="2"/>
  <c r="L18276" i="2"/>
  <c r="C18277" i="2"/>
  <c r="D18277" i="2"/>
  <c r="F18277" i="2"/>
  <c r="G18277" i="2"/>
  <c r="H18277" i="2"/>
  <c r="J18277" i="2"/>
  <c r="K18277" i="2"/>
  <c r="L18277" i="2"/>
  <c r="C18278" i="2"/>
  <c r="D18278" i="2"/>
  <c r="F18278" i="2"/>
  <c r="G18278" i="2"/>
  <c r="H18278" i="2"/>
  <c r="J18278" i="2"/>
  <c r="K18278" i="2"/>
  <c r="L18278" i="2"/>
  <c r="C18279" i="2"/>
  <c r="D18279" i="2"/>
  <c r="F18279" i="2"/>
  <c r="G18279" i="2"/>
  <c r="H18279" i="2"/>
  <c r="J18279" i="2"/>
  <c r="K18279" i="2"/>
  <c r="L18279" i="2"/>
  <c r="C18280" i="2"/>
  <c r="D18280" i="2"/>
  <c r="F18280" i="2"/>
  <c r="G18280" i="2"/>
  <c r="H18280" i="2"/>
  <c r="J18280" i="2"/>
  <c r="K18280" i="2"/>
  <c r="L18280" i="2"/>
  <c r="C18281" i="2"/>
  <c r="D18281" i="2"/>
  <c r="F18281" i="2"/>
  <c r="G18281" i="2"/>
  <c r="H18281" i="2"/>
  <c r="J18281" i="2"/>
  <c r="K18281" i="2"/>
  <c r="L18281" i="2"/>
  <c r="C18282" i="2"/>
  <c r="D18282" i="2"/>
  <c r="F18282" i="2"/>
  <c r="G18282" i="2"/>
  <c r="H18282" i="2"/>
  <c r="J18282" i="2"/>
  <c r="K18282" i="2"/>
  <c r="L18282" i="2"/>
  <c r="C18283" i="2"/>
  <c r="D18283" i="2"/>
  <c r="F18283" i="2"/>
  <c r="G18283" i="2"/>
  <c r="H18283" i="2"/>
  <c r="J18283" i="2"/>
  <c r="K18283" i="2"/>
  <c r="L18283" i="2"/>
  <c r="C18284" i="2"/>
  <c r="D18284" i="2"/>
  <c r="F18284" i="2"/>
  <c r="G18284" i="2"/>
  <c r="H18284" i="2"/>
  <c r="J18284" i="2"/>
  <c r="K18284" i="2"/>
  <c r="L18284" i="2"/>
  <c r="C18285" i="2"/>
  <c r="D18285" i="2"/>
  <c r="F18285" i="2"/>
  <c r="G18285" i="2"/>
  <c r="H18285" i="2"/>
  <c r="J18285" i="2"/>
  <c r="K18285" i="2"/>
  <c r="L18285" i="2"/>
  <c r="C18286" i="2"/>
  <c r="D18286" i="2"/>
  <c r="F18286" i="2"/>
  <c r="G18286" i="2"/>
  <c r="H18286" i="2"/>
  <c r="J18286" i="2"/>
  <c r="K18286" i="2"/>
  <c r="L18286" i="2"/>
  <c r="C18287" i="2"/>
  <c r="D18287" i="2"/>
  <c r="F18287" i="2"/>
  <c r="G18287" i="2"/>
  <c r="H18287" i="2"/>
  <c r="J18287" i="2"/>
  <c r="K18287" i="2"/>
  <c r="L18287" i="2"/>
  <c r="C18288" i="2"/>
  <c r="D18288" i="2"/>
  <c r="F18288" i="2"/>
  <c r="G18288" i="2"/>
  <c r="H18288" i="2"/>
  <c r="J18288" i="2"/>
  <c r="K18288" i="2"/>
  <c r="L18288" i="2"/>
  <c r="C18289" i="2"/>
  <c r="D18289" i="2"/>
  <c r="F18289" i="2"/>
  <c r="G18289" i="2"/>
  <c r="H18289" i="2"/>
  <c r="J18289" i="2"/>
  <c r="K18289" i="2"/>
  <c r="L18289" i="2"/>
  <c r="C18290" i="2"/>
  <c r="D18290" i="2"/>
  <c r="F18290" i="2"/>
  <c r="G18290" i="2"/>
  <c r="H18290" i="2"/>
  <c r="J18290" i="2"/>
  <c r="K18290" i="2"/>
  <c r="L18290" i="2"/>
  <c r="C18291" i="2"/>
  <c r="D18291" i="2"/>
  <c r="F18291" i="2"/>
  <c r="G18291" i="2"/>
  <c r="H18291" i="2"/>
  <c r="J18291" i="2"/>
  <c r="K18291" i="2"/>
  <c r="L18291" i="2"/>
  <c r="C18292" i="2"/>
  <c r="D18292" i="2"/>
  <c r="F18292" i="2"/>
  <c r="G18292" i="2"/>
  <c r="H18292" i="2"/>
  <c r="J18292" i="2"/>
  <c r="K18292" i="2"/>
  <c r="L18292" i="2"/>
  <c r="C18293" i="2"/>
  <c r="D18293" i="2"/>
  <c r="F18293" i="2"/>
  <c r="G18293" i="2"/>
  <c r="H18293" i="2"/>
  <c r="J18293" i="2"/>
  <c r="K18293" i="2"/>
  <c r="L18293" i="2"/>
  <c r="C18294" i="2"/>
  <c r="D18294" i="2"/>
  <c r="F18294" i="2"/>
  <c r="G18294" i="2"/>
  <c r="H18294" i="2"/>
  <c r="J18294" i="2"/>
  <c r="K18294" i="2"/>
  <c r="L18294" i="2"/>
  <c r="C18295" i="2"/>
  <c r="D18295" i="2"/>
  <c r="F18295" i="2"/>
  <c r="G18295" i="2"/>
  <c r="H18295" i="2"/>
  <c r="J18295" i="2"/>
  <c r="K18295" i="2"/>
  <c r="L18295" i="2"/>
  <c r="C18296" i="2"/>
  <c r="D18296" i="2"/>
  <c r="F18296" i="2"/>
  <c r="G18296" i="2"/>
  <c r="H18296" i="2"/>
  <c r="J18296" i="2"/>
  <c r="K18296" i="2"/>
  <c r="L18296" i="2"/>
  <c r="C18297" i="2"/>
  <c r="D18297" i="2"/>
  <c r="F18297" i="2"/>
  <c r="G18297" i="2"/>
  <c r="H18297" i="2"/>
  <c r="J18297" i="2"/>
  <c r="K18297" i="2"/>
  <c r="L18297" i="2"/>
  <c r="C18298" i="2"/>
  <c r="D18298" i="2"/>
  <c r="F18298" i="2"/>
  <c r="G18298" i="2"/>
  <c r="H18298" i="2"/>
  <c r="J18298" i="2"/>
  <c r="K18298" i="2"/>
  <c r="L18298" i="2"/>
  <c r="C18299" i="2"/>
  <c r="D18299" i="2"/>
  <c r="F18299" i="2"/>
  <c r="G18299" i="2"/>
  <c r="H18299" i="2"/>
  <c r="J18299" i="2"/>
  <c r="K18299" i="2"/>
  <c r="L18299" i="2"/>
  <c r="C18300" i="2"/>
  <c r="D18300" i="2"/>
  <c r="F18300" i="2"/>
  <c r="G18300" i="2"/>
  <c r="H18300" i="2"/>
  <c r="J18300" i="2"/>
  <c r="K18300" i="2"/>
  <c r="L18300" i="2"/>
  <c r="C18301" i="2"/>
  <c r="D18301" i="2"/>
  <c r="F18301" i="2"/>
  <c r="G18301" i="2"/>
  <c r="H18301" i="2"/>
  <c r="J18301" i="2"/>
  <c r="K18301" i="2"/>
  <c r="L18301" i="2"/>
  <c r="C18302" i="2"/>
  <c r="D18302" i="2"/>
  <c r="F18302" i="2"/>
  <c r="G18302" i="2"/>
  <c r="H18302" i="2"/>
  <c r="J18302" i="2"/>
  <c r="K18302" i="2"/>
  <c r="L18302" i="2"/>
  <c r="C18303" i="2"/>
  <c r="D18303" i="2"/>
  <c r="F18303" i="2"/>
  <c r="G18303" i="2"/>
  <c r="H18303" i="2"/>
  <c r="J18303" i="2"/>
  <c r="K18303" i="2"/>
  <c r="L18303" i="2"/>
  <c r="C18304" i="2"/>
  <c r="D18304" i="2"/>
  <c r="F18304" i="2"/>
  <c r="G18304" i="2"/>
  <c r="H18304" i="2"/>
  <c r="J18304" i="2"/>
  <c r="K18304" i="2"/>
  <c r="L18304" i="2"/>
  <c r="C18305" i="2"/>
  <c r="D18305" i="2"/>
  <c r="F18305" i="2"/>
  <c r="G18305" i="2"/>
  <c r="H18305" i="2"/>
  <c r="J18305" i="2"/>
  <c r="K18305" i="2"/>
  <c r="L18305" i="2"/>
  <c r="C18306" i="2"/>
  <c r="D18306" i="2"/>
  <c r="F18306" i="2"/>
  <c r="G18306" i="2"/>
  <c r="H18306" i="2"/>
  <c r="J18306" i="2"/>
  <c r="K18306" i="2"/>
  <c r="L18306" i="2"/>
  <c r="C18307" i="2"/>
  <c r="D18307" i="2"/>
  <c r="F18307" i="2"/>
  <c r="G18307" i="2"/>
  <c r="H18307" i="2"/>
  <c r="J18307" i="2"/>
  <c r="K18307" i="2"/>
  <c r="L18307" i="2"/>
  <c r="C18308" i="2"/>
  <c r="D18308" i="2"/>
  <c r="F18308" i="2"/>
  <c r="G18308" i="2"/>
  <c r="H18308" i="2"/>
  <c r="J18308" i="2"/>
  <c r="K18308" i="2"/>
  <c r="L18308" i="2"/>
  <c r="C18309" i="2"/>
  <c r="D18309" i="2"/>
  <c r="F18309" i="2"/>
  <c r="G18309" i="2"/>
  <c r="H18309" i="2"/>
  <c r="J18309" i="2"/>
  <c r="K18309" i="2"/>
  <c r="L18309" i="2"/>
  <c r="C18310" i="2"/>
  <c r="D18310" i="2"/>
  <c r="F18310" i="2"/>
  <c r="G18310" i="2"/>
  <c r="H18310" i="2"/>
  <c r="J18310" i="2"/>
  <c r="K18310" i="2"/>
  <c r="L18310" i="2"/>
  <c r="C18311" i="2"/>
  <c r="D18311" i="2"/>
  <c r="F18311" i="2"/>
  <c r="G18311" i="2"/>
  <c r="H18311" i="2"/>
  <c r="J18311" i="2"/>
  <c r="K18311" i="2"/>
  <c r="L18311" i="2"/>
  <c r="C18312" i="2"/>
  <c r="D18312" i="2"/>
  <c r="F18312" i="2"/>
  <c r="G18312" i="2"/>
  <c r="H18312" i="2"/>
  <c r="J18312" i="2"/>
  <c r="K18312" i="2"/>
  <c r="L18312" i="2"/>
  <c r="C18313" i="2"/>
  <c r="D18313" i="2"/>
  <c r="F18313" i="2"/>
  <c r="G18313" i="2"/>
  <c r="H18313" i="2"/>
  <c r="J18313" i="2"/>
  <c r="K18313" i="2"/>
  <c r="L18313" i="2"/>
  <c r="C18314" i="2"/>
  <c r="D18314" i="2"/>
  <c r="F18314" i="2"/>
  <c r="G18314" i="2"/>
  <c r="H18314" i="2"/>
  <c r="J18314" i="2"/>
  <c r="K18314" i="2"/>
  <c r="L18314" i="2"/>
  <c r="C18315" i="2"/>
  <c r="D18315" i="2"/>
  <c r="F18315" i="2"/>
  <c r="G18315" i="2"/>
  <c r="H18315" i="2"/>
  <c r="J18315" i="2"/>
  <c r="K18315" i="2"/>
  <c r="L18315" i="2"/>
  <c r="C18316" i="2"/>
  <c r="D18316" i="2"/>
  <c r="F18316" i="2"/>
  <c r="G18316" i="2"/>
  <c r="H18316" i="2"/>
  <c r="J18316" i="2"/>
  <c r="K18316" i="2"/>
  <c r="L18316" i="2"/>
  <c r="C18317" i="2"/>
  <c r="D18317" i="2"/>
  <c r="F18317" i="2"/>
  <c r="G18317" i="2"/>
  <c r="H18317" i="2"/>
  <c r="J18317" i="2"/>
  <c r="K18317" i="2"/>
  <c r="L18317" i="2"/>
  <c r="C18318" i="2"/>
  <c r="D18318" i="2"/>
  <c r="F18318" i="2"/>
  <c r="G18318" i="2"/>
  <c r="H18318" i="2"/>
  <c r="J18318" i="2"/>
  <c r="K18318" i="2"/>
  <c r="L18318" i="2"/>
  <c r="C18319" i="2"/>
  <c r="D18319" i="2"/>
  <c r="F18319" i="2"/>
  <c r="G18319" i="2"/>
  <c r="H18319" i="2"/>
  <c r="J18319" i="2"/>
  <c r="K18319" i="2"/>
  <c r="L18319" i="2"/>
  <c r="C18320" i="2"/>
  <c r="D18320" i="2"/>
  <c r="F18320" i="2"/>
  <c r="G18320" i="2"/>
  <c r="H18320" i="2"/>
  <c r="J18320" i="2"/>
  <c r="K18320" i="2"/>
  <c r="L18320" i="2"/>
  <c r="C18321" i="2"/>
  <c r="D18321" i="2"/>
  <c r="F18321" i="2"/>
  <c r="G18321" i="2"/>
  <c r="H18321" i="2"/>
  <c r="J18321" i="2"/>
  <c r="K18321" i="2"/>
  <c r="L18321" i="2"/>
  <c r="C18322" i="2"/>
  <c r="D18322" i="2"/>
  <c r="F18322" i="2"/>
  <c r="G18322" i="2"/>
  <c r="H18322" i="2"/>
  <c r="J18322" i="2"/>
  <c r="K18322" i="2"/>
  <c r="L18322" i="2"/>
  <c r="C18323" i="2"/>
  <c r="D18323" i="2"/>
  <c r="F18323" i="2"/>
  <c r="G18323" i="2"/>
  <c r="H18323" i="2"/>
  <c r="J18323" i="2"/>
  <c r="K18323" i="2"/>
  <c r="L18323" i="2"/>
  <c r="C18324" i="2"/>
  <c r="D18324" i="2"/>
  <c r="F18324" i="2"/>
  <c r="G18324" i="2"/>
  <c r="H18324" i="2"/>
  <c r="J18324" i="2"/>
  <c r="K18324" i="2"/>
  <c r="L18324" i="2"/>
  <c r="C18325" i="2"/>
  <c r="D18325" i="2"/>
  <c r="F18325" i="2"/>
  <c r="G18325" i="2"/>
  <c r="H18325" i="2"/>
  <c r="J18325" i="2"/>
  <c r="K18325" i="2"/>
  <c r="L18325" i="2"/>
  <c r="C18326" i="2"/>
  <c r="D18326" i="2"/>
  <c r="F18326" i="2"/>
  <c r="G18326" i="2"/>
  <c r="H18326" i="2"/>
  <c r="J18326" i="2"/>
  <c r="K18326" i="2"/>
  <c r="L18326" i="2"/>
  <c r="C18327" i="2"/>
  <c r="D18327" i="2"/>
  <c r="F18327" i="2"/>
  <c r="G18327" i="2"/>
  <c r="H18327" i="2"/>
  <c r="J18327" i="2"/>
  <c r="K18327" i="2"/>
  <c r="L18327" i="2"/>
  <c r="C18328" i="2"/>
  <c r="D18328" i="2"/>
  <c r="F18328" i="2"/>
  <c r="G18328" i="2"/>
  <c r="H18328" i="2"/>
  <c r="J18328" i="2"/>
  <c r="K18328" i="2"/>
  <c r="L18328" i="2"/>
  <c r="C18329" i="2"/>
  <c r="D18329" i="2"/>
  <c r="F18329" i="2"/>
  <c r="G18329" i="2"/>
  <c r="H18329" i="2"/>
  <c r="J18329" i="2"/>
  <c r="K18329" i="2"/>
  <c r="L18329" i="2"/>
  <c r="C18330" i="2"/>
  <c r="D18330" i="2"/>
  <c r="F18330" i="2"/>
  <c r="G18330" i="2"/>
  <c r="H18330" i="2"/>
  <c r="J18330" i="2"/>
  <c r="K18330" i="2"/>
  <c r="L18330" i="2"/>
  <c r="C18331" i="2"/>
  <c r="D18331" i="2"/>
  <c r="F18331" i="2"/>
  <c r="G18331" i="2"/>
  <c r="H18331" i="2"/>
  <c r="J18331" i="2"/>
  <c r="K18331" i="2"/>
  <c r="L18331" i="2"/>
  <c r="C18332" i="2"/>
  <c r="D18332" i="2"/>
  <c r="F18332" i="2"/>
  <c r="G18332" i="2"/>
  <c r="H18332" i="2"/>
  <c r="J18332" i="2"/>
  <c r="K18332" i="2"/>
  <c r="L18332" i="2"/>
  <c r="C18333" i="2"/>
  <c r="D18333" i="2"/>
  <c r="F18333" i="2"/>
  <c r="G18333" i="2"/>
  <c r="H18333" i="2"/>
  <c r="J18333" i="2"/>
  <c r="K18333" i="2"/>
  <c r="L18333" i="2"/>
  <c r="C18334" i="2"/>
  <c r="D18334" i="2"/>
  <c r="F18334" i="2"/>
  <c r="G18334" i="2"/>
  <c r="H18334" i="2"/>
  <c r="J18334" i="2"/>
  <c r="K18334" i="2"/>
  <c r="L18334" i="2"/>
  <c r="C18335" i="2"/>
  <c r="D18335" i="2"/>
  <c r="F18335" i="2"/>
  <c r="G18335" i="2"/>
  <c r="H18335" i="2"/>
  <c r="J18335" i="2"/>
  <c r="K18335" i="2"/>
  <c r="L18335" i="2"/>
  <c r="C18336" i="2"/>
  <c r="D18336" i="2"/>
  <c r="F18336" i="2"/>
  <c r="G18336" i="2"/>
  <c r="H18336" i="2"/>
  <c r="J18336" i="2"/>
  <c r="K18336" i="2"/>
  <c r="L18336" i="2"/>
  <c r="C18337" i="2"/>
  <c r="D18337" i="2"/>
  <c r="F18337" i="2"/>
  <c r="G18337" i="2"/>
  <c r="H18337" i="2"/>
  <c r="J18337" i="2"/>
  <c r="K18337" i="2"/>
  <c r="L18337" i="2"/>
  <c r="C18338" i="2"/>
  <c r="D18338" i="2"/>
  <c r="F18338" i="2"/>
  <c r="G18338" i="2"/>
  <c r="H18338" i="2"/>
  <c r="J18338" i="2"/>
  <c r="K18338" i="2"/>
  <c r="L18338" i="2"/>
  <c r="C18339" i="2"/>
  <c r="D18339" i="2"/>
  <c r="F18339" i="2"/>
  <c r="G18339" i="2"/>
  <c r="H18339" i="2"/>
  <c r="J18339" i="2"/>
  <c r="K18339" i="2"/>
  <c r="L18339" i="2"/>
  <c r="C18340" i="2"/>
  <c r="D18340" i="2"/>
  <c r="F18340" i="2"/>
  <c r="G18340" i="2"/>
  <c r="H18340" i="2"/>
  <c r="J18340" i="2"/>
  <c r="K18340" i="2"/>
  <c r="L18340" i="2"/>
  <c r="C18341" i="2"/>
  <c r="D18341" i="2"/>
  <c r="F18341" i="2"/>
  <c r="G18341" i="2"/>
  <c r="H18341" i="2"/>
  <c r="J18341" i="2"/>
  <c r="K18341" i="2"/>
  <c r="L18341" i="2"/>
  <c r="C18342" i="2"/>
  <c r="D18342" i="2"/>
  <c r="F18342" i="2"/>
  <c r="G18342" i="2"/>
  <c r="H18342" i="2"/>
  <c r="J18342" i="2"/>
  <c r="K18342" i="2"/>
  <c r="L18342" i="2"/>
  <c r="C18343" i="2"/>
  <c r="D18343" i="2"/>
  <c r="F18343" i="2"/>
  <c r="G18343" i="2"/>
  <c r="H18343" i="2"/>
  <c r="J18343" i="2"/>
  <c r="K18343" i="2"/>
  <c r="L18343" i="2"/>
  <c r="C18344" i="2"/>
  <c r="D18344" i="2"/>
  <c r="F18344" i="2"/>
  <c r="G18344" i="2"/>
  <c r="H18344" i="2"/>
  <c r="J18344" i="2"/>
  <c r="K18344" i="2"/>
  <c r="L18344" i="2"/>
  <c r="C18345" i="2"/>
  <c r="D18345" i="2"/>
  <c r="F18345" i="2"/>
  <c r="G18345" i="2"/>
  <c r="H18345" i="2"/>
  <c r="J18345" i="2"/>
  <c r="K18345" i="2"/>
  <c r="L18345" i="2"/>
  <c r="C18346" i="2"/>
  <c r="D18346" i="2"/>
  <c r="F18346" i="2"/>
  <c r="G18346" i="2"/>
  <c r="H18346" i="2"/>
  <c r="J18346" i="2"/>
  <c r="K18346" i="2"/>
  <c r="L18346" i="2"/>
  <c r="C18347" i="2"/>
  <c r="D18347" i="2"/>
  <c r="F18347" i="2"/>
  <c r="G18347" i="2"/>
  <c r="H18347" i="2"/>
  <c r="J18347" i="2"/>
  <c r="K18347" i="2"/>
  <c r="L18347" i="2"/>
  <c r="C18348" i="2"/>
  <c r="D18348" i="2"/>
  <c r="F18348" i="2"/>
  <c r="G18348" i="2"/>
  <c r="H18348" i="2"/>
  <c r="J18348" i="2"/>
  <c r="K18348" i="2"/>
  <c r="L18348" i="2"/>
  <c r="C18349" i="2"/>
  <c r="D18349" i="2"/>
  <c r="F18349" i="2"/>
  <c r="G18349" i="2"/>
  <c r="H18349" i="2"/>
  <c r="J18349" i="2"/>
  <c r="K18349" i="2"/>
  <c r="L18349" i="2"/>
  <c r="C18350" i="2"/>
  <c r="D18350" i="2"/>
  <c r="F18350" i="2"/>
  <c r="G18350" i="2"/>
  <c r="H18350" i="2"/>
  <c r="J18350" i="2"/>
  <c r="K18350" i="2"/>
  <c r="L18350" i="2"/>
  <c r="C18351" i="2"/>
  <c r="D18351" i="2"/>
  <c r="F18351" i="2"/>
  <c r="G18351" i="2"/>
  <c r="H18351" i="2"/>
  <c r="J18351" i="2"/>
  <c r="K18351" i="2"/>
  <c r="L18351" i="2"/>
  <c r="C18352" i="2"/>
  <c r="D18352" i="2"/>
  <c r="F18352" i="2"/>
  <c r="G18352" i="2"/>
  <c r="H18352" i="2"/>
  <c r="J18352" i="2"/>
  <c r="K18352" i="2"/>
  <c r="L18352" i="2"/>
  <c r="C18353" i="2"/>
  <c r="D18353" i="2"/>
  <c r="F18353" i="2"/>
  <c r="G18353" i="2"/>
  <c r="H18353" i="2"/>
  <c r="J18353" i="2"/>
  <c r="K18353" i="2"/>
  <c r="L18353" i="2"/>
  <c r="C18354" i="2"/>
  <c r="D18354" i="2"/>
  <c r="F18354" i="2"/>
  <c r="G18354" i="2"/>
  <c r="H18354" i="2"/>
  <c r="J18354" i="2"/>
  <c r="K18354" i="2"/>
  <c r="L18354" i="2"/>
  <c r="C18355" i="2"/>
  <c r="D18355" i="2"/>
  <c r="F18355" i="2"/>
  <c r="G18355" i="2"/>
  <c r="H18355" i="2"/>
  <c r="J18355" i="2"/>
  <c r="K18355" i="2"/>
  <c r="L18355" i="2"/>
  <c r="C18356" i="2"/>
  <c r="D18356" i="2"/>
  <c r="F18356" i="2"/>
  <c r="G18356" i="2"/>
  <c r="H18356" i="2"/>
  <c r="J18356" i="2"/>
  <c r="K18356" i="2"/>
  <c r="L18356" i="2"/>
  <c r="C18357" i="2"/>
  <c r="D18357" i="2"/>
  <c r="F18357" i="2"/>
  <c r="G18357" i="2"/>
  <c r="H18357" i="2"/>
  <c r="J18357" i="2"/>
  <c r="K18357" i="2"/>
  <c r="L18357" i="2"/>
  <c r="C18358" i="2"/>
  <c r="D18358" i="2"/>
  <c r="F18358" i="2"/>
  <c r="G18358" i="2"/>
  <c r="H18358" i="2"/>
  <c r="J18358" i="2"/>
  <c r="K18358" i="2"/>
  <c r="L18358" i="2"/>
  <c r="C18359" i="2"/>
  <c r="D18359" i="2"/>
  <c r="F18359" i="2"/>
  <c r="G18359" i="2"/>
  <c r="H18359" i="2"/>
  <c r="J18359" i="2"/>
  <c r="K18359" i="2"/>
  <c r="L18359" i="2"/>
  <c r="C18360" i="2"/>
  <c r="D18360" i="2"/>
  <c r="F18360" i="2"/>
  <c r="G18360" i="2"/>
  <c r="H18360" i="2"/>
  <c r="J18360" i="2"/>
  <c r="K18360" i="2"/>
  <c r="L18360" i="2"/>
  <c r="C18361" i="2"/>
  <c r="D18361" i="2"/>
  <c r="F18361" i="2"/>
  <c r="G18361" i="2"/>
  <c r="H18361" i="2"/>
  <c r="J18361" i="2"/>
  <c r="K18361" i="2"/>
  <c r="L18361" i="2"/>
  <c r="C18362" i="2"/>
  <c r="D18362" i="2"/>
  <c r="F18362" i="2"/>
  <c r="G18362" i="2"/>
  <c r="H18362" i="2"/>
  <c r="J18362" i="2"/>
  <c r="K18362" i="2"/>
  <c r="L18362" i="2"/>
  <c r="C18363" i="2"/>
  <c r="D18363" i="2"/>
  <c r="F18363" i="2"/>
  <c r="G18363" i="2"/>
  <c r="H18363" i="2"/>
  <c r="J18363" i="2"/>
  <c r="K18363" i="2"/>
  <c r="L18363" i="2"/>
  <c r="C18364" i="2"/>
  <c r="D18364" i="2"/>
  <c r="F18364" i="2"/>
  <c r="G18364" i="2"/>
  <c r="H18364" i="2"/>
  <c r="J18364" i="2"/>
  <c r="K18364" i="2"/>
  <c r="L18364" i="2"/>
  <c r="C18365" i="2"/>
  <c r="D18365" i="2"/>
  <c r="F18365" i="2"/>
  <c r="G18365" i="2"/>
  <c r="H18365" i="2"/>
  <c r="J18365" i="2"/>
  <c r="K18365" i="2"/>
  <c r="L18365" i="2"/>
  <c r="C18366" i="2"/>
  <c r="D18366" i="2"/>
  <c r="F18366" i="2"/>
  <c r="G18366" i="2"/>
  <c r="H18366" i="2"/>
  <c r="J18366" i="2"/>
  <c r="K18366" i="2"/>
  <c r="L18366" i="2"/>
  <c r="C18367" i="2"/>
  <c r="D18367" i="2"/>
  <c r="F18367" i="2"/>
  <c r="G18367" i="2"/>
  <c r="H18367" i="2"/>
  <c r="J18367" i="2"/>
  <c r="K18367" i="2"/>
  <c r="L18367" i="2"/>
  <c r="C18368" i="2"/>
  <c r="D18368" i="2"/>
  <c r="F18368" i="2"/>
  <c r="G18368" i="2"/>
  <c r="H18368" i="2"/>
  <c r="J18368" i="2"/>
  <c r="K18368" i="2"/>
  <c r="L18368" i="2"/>
  <c r="C18369" i="2"/>
  <c r="D18369" i="2"/>
  <c r="F18369" i="2"/>
  <c r="G18369" i="2"/>
  <c r="H18369" i="2"/>
  <c r="J18369" i="2"/>
  <c r="K18369" i="2"/>
  <c r="L18369" i="2"/>
  <c r="C18370" i="2"/>
  <c r="D18370" i="2"/>
  <c r="F18370" i="2"/>
  <c r="G18370" i="2"/>
  <c r="H18370" i="2"/>
  <c r="J18370" i="2"/>
  <c r="K18370" i="2"/>
  <c r="L18370" i="2"/>
  <c r="C18371" i="2"/>
  <c r="D18371" i="2"/>
  <c r="F18371" i="2"/>
  <c r="G18371" i="2"/>
  <c r="H18371" i="2"/>
  <c r="J18371" i="2"/>
  <c r="K18371" i="2"/>
  <c r="L18371" i="2"/>
  <c r="C18372" i="2"/>
  <c r="D18372" i="2"/>
  <c r="F18372" i="2"/>
  <c r="G18372" i="2"/>
  <c r="H18372" i="2"/>
  <c r="J18372" i="2"/>
  <c r="K18372" i="2"/>
  <c r="L18372" i="2"/>
  <c r="C18373" i="2"/>
  <c r="D18373" i="2"/>
  <c r="F18373" i="2"/>
  <c r="G18373" i="2"/>
  <c r="H18373" i="2"/>
  <c r="J18373" i="2"/>
  <c r="K18373" i="2"/>
  <c r="L18373" i="2"/>
  <c r="C18374" i="2"/>
  <c r="D18374" i="2"/>
  <c r="F18374" i="2"/>
  <c r="G18374" i="2"/>
  <c r="H18374" i="2"/>
  <c r="J18374" i="2"/>
  <c r="K18374" i="2"/>
  <c r="L18374" i="2"/>
  <c r="C18375" i="2"/>
  <c r="D18375" i="2"/>
  <c r="F18375" i="2"/>
  <c r="G18375" i="2"/>
  <c r="H18375" i="2"/>
  <c r="J18375" i="2"/>
  <c r="K18375" i="2"/>
  <c r="L18375" i="2"/>
  <c r="C18376" i="2"/>
  <c r="D18376" i="2"/>
  <c r="F18376" i="2"/>
  <c r="G18376" i="2"/>
  <c r="H18376" i="2"/>
  <c r="J18376" i="2"/>
  <c r="K18376" i="2"/>
  <c r="L18376" i="2"/>
  <c r="C18377" i="2"/>
  <c r="D18377" i="2"/>
  <c r="F18377" i="2"/>
  <c r="G18377" i="2"/>
  <c r="H18377" i="2"/>
  <c r="J18377" i="2"/>
  <c r="K18377" i="2"/>
  <c r="L18377" i="2"/>
  <c r="C18378" i="2"/>
  <c r="D18378" i="2"/>
  <c r="F18378" i="2"/>
  <c r="G18378" i="2"/>
  <c r="H18378" i="2"/>
  <c r="J18378" i="2"/>
  <c r="K18378" i="2"/>
  <c r="L18378" i="2"/>
  <c r="C18379" i="2"/>
  <c r="D18379" i="2"/>
  <c r="F18379" i="2"/>
  <c r="G18379" i="2"/>
  <c r="H18379" i="2"/>
  <c r="J18379" i="2"/>
  <c r="K18379" i="2"/>
  <c r="L18379" i="2"/>
  <c r="C18380" i="2"/>
  <c r="D18380" i="2"/>
  <c r="F18380" i="2"/>
  <c r="G18380" i="2"/>
  <c r="H18380" i="2"/>
  <c r="J18380" i="2"/>
  <c r="K18380" i="2"/>
  <c r="L18380" i="2"/>
  <c r="C18381" i="2"/>
  <c r="D18381" i="2"/>
  <c r="F18381" i="2"/>
  <c r="G18381" i="2"/>
  <c r="H18381" i="2"/>
  <c r="J18381" i="2"/>
  <c r="K18381" i="2"/>
  <c r="L18381" i="2"/>
  <c r="C18382" i="2"/>
  <c r="D18382" i="2"/>
  <c r="F18382" i="2"/>
  <c r="G18382" i="2"/>
  <c r="H18382" i="2"/>
  <c r="J18382" i="2"/>
  <c r="K18382" i="2"/>
  <c r="L18382" i="2"/>
  <c r="C18383" i="2"/>
  <c r="D18383" i="2"/>
  <c r="F18383" i="2"/>
  <c r="G18383" i="2"/>
  <c r="H18383" i="2"/>
  <c r="J18383" i="2"/>
  <c r="K18383" i="2"/>
  <c r="L18383" i="2"/>
  <c r="C18384" i="2"/>
  <c r="D18384" i="2"/>
  <c r="F18384" i="2"/>
  <c r="G18384" i="2"/>
  <c r="H18384" i="2"/>
  <c r="J18384" i="2"/>
  <c r="K18384" i="2"/>
  <c r="L18384" i="2"/>
  <c r="C18385" i="2"/>
  <c r="D18385" i="2"/>
  <c r="F18385" i="2"/>
  <c r="G18385" i="2"/>
  <c r="H18385" i="2"/>
  <c r="J18385" i="2"/>
  <c r="K18385" i="2"/>
  <c r="L18385" i="2"/>
  <c r="C18386" i="2"/>
  <c r="D18386" i="2"/>
  <c r="F18386" i="2"/>
  <c r="G18386" i="2"/>
  <c r="H18386" i="2"/>
  <c r="J18386" i="2"/>
  <c r="K18386" i="2"/>
  <c r="L18386" i="2"/>
  <c r="C18387" i="2"/>
  <c r="D18387" i="2"/>
  <c r="F18387" i="2"/>
  <c r="G18387" i="2"/>
  <c r="H18387" i="2"/>
  <c r="J18387" i="2"/>
  <c r="K18387" i="2"/>
  <c r="L18387" i="2"/>
  <c r="C18388" i="2"/>
  <c r="D18388" i="2"/>
  <c r="F18388" i="2"/>
  <c r="G18388" i="2"/>
  <c r="H18388" i="2"/>
  <c r="J18388" i="2"/>
  <c r="K18388" i="2"/>
  <c r="L18388" i="2"/>
  <c r="C18389" i="2"/>
  <c r="D18389" i="2"/>
  <c r="F18389" i="2"/>
  <c r="G18389" i="2"/>
  <c r="H18389" i="2"/>
  <c r="J18389" i="2"/>
  <c r="K18389" i="2"/>
  <c r="L18389" i="2"/>
  <c r="C18390" i="2"/>
  <c r="D18390" i="2"/>
  <c r="F18390" i="2"/>
  <c r="G18390" i="2"/>
  <c r="H18390" i="2"/>
  <c r="J18390" i="2"/>
  <c r="K18390" i="2"/>
  <c r="L18390" i="2"/>
  <c r="C18391" i="2"/>
  <c r="D18391" i="2"/>
  <c r="F18391" i="2"/>
  <c r="G18391" i="2"/>
  <c r="H18391" i="2"/>
  <c r="J18391" i="2"/>
  <c r="K18391" i="2"/>
  <c r="L18391" i="2"/>
  <c r="C18392" i="2"/>
  <c r="D18392" i="2"/>
  <c r="F18392" i="2"/>
  <c r="G18392" i="2"/>
  <c r="H18392" i="2"/>
  <c r="J18392" i="2"/>
  <c r="K18392" i="2"/>
  <c r="L18392" i="2"/>
  <c r="C18393" i="2"/>
  <c r="D18393" i="2"/>
  <c r="F18393" i="2"/>
  <c r="G18393" i="2"/>
  <c r="H18393" i="2"/>
  <c r="J18393" i="2"/>
  <c r="K18393" i="2"/>
  <c r="L18393" i="2"/>
  <c r="C18394" i="2"/>
  <c r="D18394" i="2"/>
  <c r="F18394" i="2"/>
  <c r="G18394" i="2"/>
  <c r="H18394" i="2"/>
  <c r="J18394" i="2"/>
  <c r="K18394" i="2"/>
  <c r="L18394" i="2"/>
  <c r="C18395" i="2"/>
  <c r="D18395" i="2"/>
  <c r="F18395" i="2"/>
  <c r="G18395" i="2"/>
  <c r="H18395" i="2"/>
  <c r="J18395" i="2"/>
  <c r="K18395" i="2"/>
  <c r="L18395" i="2"/>
  <c r="C18396" i="2"/>
  <c r="D18396" i="2"/>
  <c r="F18396" i="2"/>
  <c r="G18396" i="2"/>
  <c r="H18396" i="2"/>
  <c r="J18396" i="2"/>
  <c r="K18396" i="2"/>
  <c r="L18396" i="2"/>
  <c r="C18397" i="2"/>
  <c r="D18397" i="2"/>
  <c r="F18397" i="2"/>
  <c r="G18397" i="2"/>
  <c r="H18397" i="2"/>
  <c r="J18397" i="2"/>
  <c r="K18397" i="2"/>
  <c r="L18397" i="2"/>
  <c r="C18398" i="2"/>
  <c r="D18398" i="2"/>
  <c r="F18398" i="2"/>
  <c r="G18398" i="2"/>
  <c r="H18398" i="2"/>
  <c r="J18398" i="2"/>
  <c r="K18398" i="2"/>
  <c r="L18398" i="2"/>
  <c r="C18399" i="2"/>
  <c r="D18399" i="2"/>
  <c r="F18399" i="2"/>
  <c r="G18399" i="2"/>
  <c r="H18399" i="2"/>
  <c r="J18399" i="2"/>
  <c r="K18399" i="2"/>
  <c r="L18399" i="2"/>
  <c r="C18400" i="2"/>
  <c r="D18400" i="2"/>
  <c r="F18400" i="2"/>
  <c r="G18400" i="2"/>
  <c r="H18400" i="2"/>
  <c r="J18400" i="2"/>
  <c r="K18400" i="2"/>
  <c r="L18400" i="2"/>
  <c r="C18401" i="2"/>
  <c r="D18401" i="2"/>
  <c r="F18401" i="2"/>
  <c r="G18401" i="2"/>
  <c r="H18401" i="2"/>
  <c r="J18401" i="2"/>
  <c r="K18401" i="2"/>
  <c r="L18401" i="2"/>
  <c r="C18402" i="2"/>
  <c r="D18402" i="2"/>
  <c r="F18402" i="2"/>
  <c r="G18402" i="2"/>
  <c r="H18402" i="2"/>
  <c r="J18402" i="2"/>
  <c r="K18402" i="2"/>
  <c r="L18402" i="2"/>
  <c r="C18403" i="2"/>
  <c r="D18403" i="2"/>
  <c r="F18403" i="2"/>
  <c r="G18403" i="2"/>
  <c r="H18403" i="2"/>
  <c r="J18403" i="2"/>
  <c r="K18403" i="2"/>
  <c r="L18403" i="2"/>
  <c r="C18404" i="2"/>
  <c r="D18404" i="2"/>
  <c r="F18404" i="2"/>
  <c r="G18404" i="2"/>
  <c r="H18404" i="2"/>
  <c r="J18404" i="2"/>
  <c r="K18404" i="2"/>
  <c r="L18404" i="2"/>
  <c r="C18405" i="2"/>
  <c r="D18405" i="2"/>
  <c r="F18405" i="2"/>
  <c r="G18405" i="2"/>
  <c r="H18405" i="2"/>
  <c r="J18405" i="2"/>
  <c r="K18405" i="2"/>
  <c r="L18405" i="2"/>
  <c r="C18406" i="2"/>
  <c r="D18406" i="2"/>
  <c r="F18406" i="2"/>
  <c r="G18406" i="2"/>
  <c r="H18406" i="2"/>
  <c r="J18406" i="2"/>
  <c r="K18406" i="2"/>
  <c r="L18406" i="2"/>
  <c r="C18407" i="2"/>
  <c r="D18407" i="2"/>
  <c r="F18407" i="2"/>
  <c r="G18407" i="2"/>
  <c r="H18407" i="2"/>
  <c r="J18407" i="2"/>
  <c r="K18407" i="2"/>
  <c r="L18407" i="2"/>
  <c r="C18408" i="2"/>
  <c r="D18408" i="2"/>
  <c r="F18408" i="2"/>
  <c r="G18408" i="2"/>
  <c r="H18408" i="2"/>
  <c r="J18408" i="2"/>
  <c r="K18408" i="2"/>
  <c r="L18408" i="2"/>
  <c r="C18409" i="2"/>
  <c r="D18409" i="2"/>
  <c r="F18409" i="2"/>
  <c r="G18409" i="2"/>
  <c r="H18409" i="2"/>
  <c r="J18409" i="2"/>
  <c r="K18409" i="2"/>
  <c r="L18409" i="2"/>
  <c r="C18410" i="2"/>
  <c r="D18410" i="2"/>
  <c r="F18410" i="2"/>
  <c r="G18410" i="2"/>
  <c r="H18410" i="2"/>
  <c r="J18410" i="2"/>
  <c r="K18410" i="2"/>
  <c r="L18410" i="2"/>
  <c r="C18411" i="2"/>
  <c r="D18411" i="2"/>
  <c r="F18411" i="2"/>
  <c r="G18411" i="2"/>
  <c r="H18411" i="2"/>
  <c r="J18411" i="2"/>
  <c r="K18411" i="2"/>
  <c r="L18411" i="2"/>
  <c r="C18412" i="2"/>
  <c r="D18412" i="2"/>
  <c r="F18412" i="2"/>
  <c r="G18412" i="2"/>
  <c r="H18412" i="2"/>
  <c r="J18412" i="2"/>
  <c r="K18412" i="2"/>
  <c r="L18412" i="2"/>
  <c r="C18413" i="2"/>
  <c r="D18413" i="2"/>
  <c r="F18413" i="2"/>
  <c r="G18413" i="2"/>
  <c r="H18413" i="2"/>
  <c r="J18413" i="2"/>
  <c r="K18413" i="2"/>
  <c r="L18413" i="2"/>
  <c r="C18414" i="2"/>
  <c r="D18414" i="2"/>
  <c r="F18414" i="2"/>
  <c r="G18414" i="2"/>
  <c r="H18414" i="2"/>
  <c r="J18414" i="2"/>
  <c r="K18414" i="2"/>
  <c r="L18414" i="2"/>
  <c r="C18415" i="2"/>
  <c r="D18415" i="2"/>
  <c r="F18415" i="2"/>
  <c r="G18415" i="2"/>
  <c r="H18415" i="2"/>
  <c r="J18415" i="2"/>
  <c r="K18415" i="2"/>
  <c r="L18415" i="2"/>
  <c r="C18416" i="2"/>
  <c r="D18416" i="2"/>
  <c r="F18416" i="2"/>
  <c r="G18416" i="2"/>
  <c r="H18416" i="2"/>
  <c r="J18416" i="2"/>
  <c r="K18416" i="2"/>
  <c r="L18416" i="2"/>
  <c r="C18417" i="2"/>
  <c r="D18417" i="2"/>
  <c r="F18417" i="2"/>
  <c r="G18417" i="2"/>
  <c r="H18417" i="2"/>
  <c r="J18417" i="2"/>
  <c r="K18417" i="2"/>
  <c r="L18417" i="2"/>
  <c r="C18418" i="2"/>
  <c r="D18418" i="2"/>
  <c r="F18418" i="2"/>
  <c r="G18418" i="2"/>
  <c r="H18418" i="2"/>
  <c r="J18418" i="2"/>
  <c r="K18418" i="2"/>
  <c r="L18418" i="2"/>
  <c r="C18419" i="2"/>
  <c r="D18419" i="2"/>
  <c r="F18419" i="2"/>
  <c r="G18419" i="2"/>
  <c r="H18419" i="2"/>
  <c r="J18419" i="2"/>
  <c r="K18419" i="2"/>
  <c r="L18419" i="2"/>
  <c r="C18420" i="2"/>
  <c r="D18420" i="2"/>
  <c r="F18420" i="2"/>
  <c r="G18420" i="2"/>
  <c r="H18420" i="2"/>
  <c r="J18420" i="2"/>
  <c r="K18420" i="2"/>
  <c r="L18420" i="2"/>
  <c r="C18421" i="2"/>
  <c r="D18421" i="2"/>
  <c r="F18421" i="2"/>
  <c r="G18421" i="2"/>
  <c r="H18421" i="2"/>
  <c r="J18421" i="2"/>
  <c r="K18421" i="2"/>
  <c r="L18421" i="2"/>
  <c r="C18422" i="2"/>
  <c r="D18422" i="2"/>
  <c r="F18422" i="2"/>
  <c r="G18422" i="2"/>
  <c r="H18422" i="2"/>
  <c r="J18422" i="2"/>
  <c r="K18422" i="2"/>
  <c r="L18422" i="2"/>
  <c r="D18423" i="2"/>
  <c r="F18423" i="2"/>
  <c r="G18423" i="2"/>
  <c r="H18423" i="2"/>
  <c r="J18423" i="2"/>
  <c r="K18423" i="2"/>
  <c r="L18423" i="2"/>
  <c r="C18424" i="2"/>
  <c r="D18424" i="2"/>
  <c r="F18424" i="2"/>
  <c r="G18424" i="2"/>
  <c r="H18424" i="2"/>
  <c r="J18424" i="2"/>
  <c r="K18424" i="2"/>
  <c r="L18424" i="2"/>
  <c r="C18425" i="2"/>
  <c r="D18425" i="2"/>
  <c r="F18425" i="2"/>
  <c r="G18425" i="2"/>
  <c r="H18425" i="2"/>
  <c r="J18425" i="2"/>
  <c r="K18425" i="2"/>
  <c r="L18425" i="2"/>
  <c r="C18426" i="2"/>
  <c r="D18426" i="2"/>
  <c r="F18426" i="2"/>
  <c r="G18426" i="2"/>
  <c r="H18426" i="2"/>
  <c r="J18426" i="2"/>
  <c r="K18426" i="2"/>
  <c r="L18426" i="2"/>
  <c r="D18427" i="2"/>
  <c r="F18427" i="2"/>
  <c r="G18427" i="2"/>
  <c r="H18427" i="2"/>
  <c r="J18427" i="2"/>
  <c r="K18427" i="2"/>
  <c r="L18427" i="2"/>
  <c r="D18428" i="2"/>
  <c r="F18428" i="2"/>
  <c r="G18428" i="2"/>
  <c r="H18428" i="2"/>
  <c r="J18428" i="2"/>
  <c r="K18428" i="2"/>
  <c r="L18428" i="2"/>
  <c r="C18429" i="2"/>
  <c r="D18429" i="2"/>
  <c r="F18429" i="2"/>
  <c r="G18429" i="2"/>
  <c r="H18429" i="2"/>
  <c r="J18429" i="2"/>
  <c r="K18429" i="2"/>
  <c r="L18429" i="2"/>
  <c r="C18430" i="2"/>
  <c r="D18430" i="2"/>
  <c r="F18430" i="2"/>
  <c r="G18430" i="2"/>
  <c r="H18430" i="2"/>
  <c r="J18430" i="2"/>
  <c r="K18430" i="2"/>
  <c r="L18430" i="2"/>
  <c r="C18431" i="2"/>
  <c r="D18431" i="2"/>
  <c r="F18431" i="2"/>
  <c r="G18431" i="2"/>
  <c r="H18431" i="2"/>
  <c r="J18431" i="2"/>
  <c r="K18431" i="2"/>
  <c r="L18431" i="2"/>
  <c r="C18432" i="2"/>
  <c r="D18432" i="2"/>
  <c r="F18432" i="2"/>
  <c r="G18432" i="2"/>
  <c r="H18432" i="2"/>
  <c r="J18432" i="2"/>
  <c r="K18432" i="2"/>
  <c r="L18432" i="2"/>
  <c r="D18433" i="2"/>
  <c r="F18433" i="2"/>
  <c r="G18433" i="2"/>
  <c r="H18433" i="2"/>
  <c r="J18433" i="2"/>
  <c r="K18433" i="2"/>
  <c r="L18433" i="2"/>
  <c r="D18434" i="2"/>
  <c r="F18434" i="2"/>
  <c r="G18434" i="2"/>
  <c r="H18434" i="2"/>
  <c r="J18434" i="2"/>
  <c r="K18434" i="2"/>
  <c r="L18434" i="2"/>
  <c r="D18435" i="2"/>
  <c r="F18435" i="2"/>
  <c r="G18435" i="2"/>
  <c r="H18435" i="2"/>
  <c r="J18435" i="2"/>
  <c r="K18435" i="2"/>
  <c r="L18435" i="2"/>
  <c r="D18436" i="2"/>
  <c r="F18436" i="2"/>
  <c r="G18436" i="2"/>
  <c r="H18436" i="2"/>
  <c r="J18436" i="2"/>
  <c r="K18436" i="2"/>
  <c r="L18436" i="2"/>
  <c r="D18437" i="2"/>
  <c r="F18437" i="2"/>
  <c r="G18437" i="2"/>
  <c r="H18437" i="2"/>
  <c r="J18437" i="2"/>
  <c r="K18437" i="2"/>
  <c r="L18437" i="2"/>
  <c r="C18438" i="2"/>
  <c r="D18438" i="2"/>
  <c r="F18438" i="2"/>
  <c r="G18438" i="2"/>
  <c r="H18438" i="2"/>
  <c r="J18438" i="2"/>
  <c r="K18438" i="2"/>
  <c r="L18438" i="2"/>
  <c r="C18439" i="2"/>
  <c r="D18439" i="2"/>
  <c r="F18439" i="2"/>
  <c r="G18439" i="2"/>
  <c r="H18439" i="2"/>
  <c r="J18439" i="2"/>
  <c r="K18439" i="2"/>
  <c r="L18439" i="2"/>
  <c r="C18440" i="2"/>
  <c r="D18440" i="2"/>
  <c r="F18440" i="2"/>
  <c r="G18440" i="2"/>
  <c r="H18440" i="2"/>
  <c r="J18440" i="2"/>
  <c r="K18440" i="2"/>
  <c r="L18440" i="2"/>
  <c r="C18441" i="2"/>
  <c r="D18441" i="2"/>
  <c r="F18441" i="2"/>
  <c r="G18441" i="2"/>
  <c r="H18441" i="2"/>
  <c r="J18441" i="2"/>
  <c r="K18441" i="2"/>
  <c r="L18441" i="2"/>
  <c r="D18442" i="2"/>
  <c r="F18442" i="2"/>
  <c r="G18442" i="2"/>
  <c r="H18442" i="2"/>
  <c r="J18442" i="2"/>
  <c r="K18442" i="2"/>
  <c r="L18442" i="2"/>
  <c r="C18443" i="2"/>
  <c r="D18443" i="2"/>
  <c r="F18443" i="2"/>
  <c r="G18443" i="2"/>
  <c r="H18443" i="2"/>
  <c r="J18443" i="2"/>
  <c r="K18443" i="2"/>
  <c r="L18443" i="2"/>
  <c r="C18444" i="2"/>
  <c r="D18444" i="2"/>
  <c r="F18444" i="2"/>
  <c r="G18444" i="2"/>
  <c r="H18444" i="2"/>
  <c r="J18444" i="2"/>
  <c r="K18444" i="2"/>
  <c r="L18444" i="2"/>
  <c r="C18445" i="2"/>
  <c r="D18445" i="2"/>
  <c r="F18445" i="2"/>
  <c r="G18445" i="2"/>
  <c r="H18445" i="2"/>
  <c r="J18445" i="2"/>
  <c r="K18445" i="2"/>
  <c r="L18445" i="2"/>
  <c r="C18446" i="2"/>
  <c r="D18446" i="2"/>
  <c r="F18446" i="2"/>
  <c r="G18446" i="2"/>
  <c r="H18446" i="2"/>
  <c r="J18446" i="2"/>
  <c r="K18446" i="2"/>
  <c r="L18446" i="2"/>
  <c r="C18447" i="2"/>
  <c r="D18447" i="2"/>
  <c r="F18447" i="2"/>
  <c r="G18447" i="2"/>
  <c r="H18447" i="2"/>
  <c r="J18447" i="2"/>
  <c r="K18447" i="2"/>
  <c r="L18447" i="2"/>
  <c r="C18448" i="2"/>
  <c r="D18448" i="2"/>
  <c r="F18448" i="2"/>
  <c r="G18448" i="2"/>
  <c r="H18448" i="2"/>
  <c r="J18448" i="2"/>
  <c r="K18448" i="2"/>
  <c r="L18448" i="2"/>
  <c r="C18449" i="2"/>
  <c r="D18449" i="2"/>
  <c r="F18449" i="2"/>
  <c r="G18449" i="2"/>
  <c r="H18449" i="2"/>
  <c r="J18449" i="2"/>
  <c r="K18449" i="2"/>
  <c r="L18449" i="2"/>
  <c r="C18450" i="2"/>
  <c r="D18450" i="2"/>
  <c r="F18450" i="2"/>
  <c r="G18450" i="2"/>
  <c r="H18450" i="2"/>
  <c r="J18450" i="2"/>
  <c r="K18450" i="2"/>
  <c r="L18450" i="2"/>
  <c r="C18451" i="2"/>
  <c r="D18451" i="2"/>
  <c r="F18451" i="2"/>
  <c r="G18451" i="2"/>
  <c r="H18451" i="2"/>
  <c r="J18451" i="2"/>
  <c r="K18451" i="2"/>
  <c r="L18451" i="2"/>
  <c r="D18452" i="2"/>
  <c r="F18452" i="2"/>
  <c r="G18452" i="2"/>
  <c r="H18452" i="2"/>
  <c r="J18452" i="2"/>
  <c r="K18452" i="2"/>
  <c r="L18452" i="2"/>
  <c r="C18453" i="2"/>
  <c r="D18453" i="2"/>
  <c r="F18453" i="2"/>
  <c r="G18453" i="2"/>
  <c r="H18453" i="2"/>
  <c r="J18453" i="2"/>
  <c r="K18453" i="2"/>
  <c r="L18453" i="2"/>
  <c r="C18454" i="2"/>
  <c r="D18454" i="2"/>
  <c r="F18454" i="2"/>
  <c r="G18454" i="2"/>
  <c r="H18454" i="2"/>
  <c r="J18454" i="2"/>
  <c r="K18454" i="2"/>
  <c r="L18454" i="2"/>
  <c r="D18455" i="2"/>
  <c r="F18455" i="2"/>
  <c r="G18455" i="2"/>
  <c r="H18455" i="2"/>
  <c r="J18455" i="2"/>
  <c r="K18455" i="2"/>
  <c r="L18455" i="2"/>
  <c r="C18456" i="2"/>
  <c r="D18456" i="2"/>
  <c r="F18456" i="2"/>
  <c r="G18456" i="2"/>
  <c r="H18456" i="2"/>
  <c r="J18456" i="2"/>
  <c r="K18456" i="2"/>
  <c r="L18456" i="2"/>
  <c r="C18457" i="2"/>
  <c r="D18457" i="2"/>
  <c r="F18457" i="2"/>
  <c r="G18457" i="2"/>
  <c r="H18457" i="2"/>
  <c r="J18457" i="2"/>
  <c r="K18457" i="2"/>
  <c r="L18457" i="2"/>
  <c r="C18458" i="2"/>
  <c r="D18458" i="2"/>
  <c r="F18458" i="2"/>
  <c r="G18458" i="2"/>
  <c r="H18458" i="2"/>
  <c r="J18458" i="2"/>
  <c r="K18458" i="2"/>
  <c r="L18458" i="2"/>
  <c r="C18459" i="2"/>
  <c r="D18459" i="2"/>
  <c r="F18459" i="2"/>
  <c r="G18459" i="2"/>
  <c r="H18459" i="2"/>
  <c r="J18459" i="2"/>
  <c r="K18459" i="2"/>
  <c r="L18459" i="2"/>
  <c r="C18460" i="2"/>
  <c r="D18460" i="2"/>
  <c r="F18460" i="2"/>
  <c r="G18460" i="2"/>
  <c r="H18460" i="2"/>
  <c r="J18460" i="2"/>
  <c r="K18460" i="2"/>
  <c r="L18460" i="2"/>
  <c r="C18461" i="2"/>
  <c r="D18461" i="2"/>
  <c r="F18461" i="2"/>
  <c r="G18461" i="2"/>
  <c r="H18461" i="2"/>
  <c r="J18461" i="2"/>
  <c r="K18461" i="2"/>
  <c r="L18461" i="2"/>
  <c r="C18462" i="2"/>
  <c r="D18462" i="2"/>
  <c r="F18462" i="2"/>
  <c r="G18462" i="2"/>
  <c r="H18462" i="2"/>
  <c r="J18462" i="2"/>
  <c r="K18462" i="2"/>
  <c r="L18462" i="2"/>
  <c r="C18463" i="2"/>
  <c r="D18463" i="2"/>
  <c r="F18463" i="2"/>
  <c r="G18463" i="2"/>
  <c r="H18463" i="2"/>
  <c r="J18463" i="2"/>
  <c r="K18463" i="2"/>
  <c r="L18463" i="2"/>
  <c r="C18464" i="2"/>
  <c r="D18464" i="2"/>
  <c r="F18464" i="2"/>
  <c r="G18464" i="2"/>
  <c r="H18464" i="2"/>
  <c r="J18464" i="2"/>
  <c r="K18464" i="2"/>
  <c r="L18464" i="2"/>
  <c r="C18465" i="2"/>
  <c r="D18465" i="2"/>
  <c r="F18465" i="2"/>
  <c r="G18465" i="2"/>
  <c r="H18465" i="2"/>
  <c r="J18465" i="2"/>
  <c r="K18465" i="2"/>
  <c r="L18465" i="2"/>
  <c r="C18466" i="2"/>
  <c r="D18466" i="2"/>
  <c r="F18466" i="2"/>
  <c r="G18466" i="2"/>
  <c r="H18466" i="2"/>
  <c r="J18466" i="2"/>
  <c r="K18466" i="2"/>
  <c r="L18466" i="2"/>
  <c r="C18467" i="2"/>
  <c r="D18467" i="2"/>
  <c r="F18467" i="2"/>
  <c r="G18467" i="2"/>
  <c r="H18467" i="2"/>
  <c r="J18467" i="2"/>
  <c r="K18467" i="2"/>
  <c r="L18467" i="2"/>
  <c r="C18468" i="2"/>
  <c r="D18468" i="2"/>
  <c r="F18468" i="2"/>
  <c r="G18468" i="2"/>
  <c r="H18468" i="2"/>
  <c r="J18468" i="2"/>
  <c r="K18468" i="2"/>
  <c r="L18468" i="2"/>
  <c r="C18469" i="2"/>
  <c r="D18469" i="2"/>
  <c r="F18469" i="2"/>
  <c r="G18469" i="2"/>
  <c r="H18469" i="2"/>
  <c r="J18469" i="2"/>
  <c r="K18469" i="2"/>
  <c r="L18469" i="2"/>
  <c r="C18470" i="2"/>
  <c r="D18470" i="2"/>
  <c r="F18470" i="2"/>
  <c r="G18470" i="2"/>
  <c r="H18470" i="2"/>
  <c r="J18470" i="2"/>
  <c r="K18470" i="2"/>
  <c r="L18470" i="2"/>
  <c r="C18471" i="2"/>
  <c r="D18471" i="2"/>
  <c r="F18471" i="2"/>
  <c r="G18471" i="2"/>
  <c r="H18471" i="2"/>
  <c r="J18471" i="2"/>
  <c r="K18471" i="2"/>
  <c r="L18471" i="2"/>
  <c r="C18472" i="2"/>
  <c r="D18472" i="2"/>
  <c r="F18472" i="2"/>
  <c r="G18472" i="2"/>
  <c r="H18472" i="2"/>
  <c r="J18472" i="2"/>
  <c r="K18472" i="2"/>
  <c r="L18472" i="2"/>
  <c r="C18473" i="2"/>
  <c r="D18473" i="2"/>
  <c r="E18473" i="2"/>
  <c r="F18473" i="2"/>
  <c r="G18473" i="2"/>
  <c r="H18473" i="2"/>
  <c r="J18473" i="2"/>
  <c r="K18473" i="2"/>
  <c r="L18473" i="2"/>
  <c r="C18474" i="2"/>
  <c r="D18474" i="2"/>
  <c r="F18474" i="2"/>
  <c r="G18474" i="2"/>
  <c r="H18474" i="2"/>
  <c r="J18474" i="2"/>
  <c r="K18474" i="2"/>
  <c r="L18474" i="2"/>
  <c r="C18475" i="2"/>
  <c r="D18475" i="2"/>
  <c r="F18475" i="2"/>
  <c r="G18475" i="2"/>
  <c r="H18475" i="2"/>
  <c r="J18475" i="2"/>
  <c r="K18475" i="2"/>
  <c r="L18475" i="2"/>
  <c r="C18476" i="2"/>
  <c r="D18476" i="2"/>
  <c r="F18476" i="2"/>
  <c r="G18476" i="2"/>
  <c r="H18476" i="2"/>
  <c r="J18476" i="2"/>
  <c r="K18476" i="2"/>
  <c r="L18476" i="2"/>
  <c r="C18477" i="2"/>
  <c r="D18477" i="2"/>
  <c r="F18477" i="2"/>
  <c r="G18477" i="2"/>
  <c r="H18477" i="2"/>
  <c r="J18477" i="2"/>
  <c r="K18477" i="2"/>
  <c r="L18477" i="2"/>
  <c r="C18478" i="2"/>
  <c r="D18478" i="2"/>
  <c r="F18478" i="2"/>
  <c r="G18478" i="2"/>
  <c r="H18478" i="2"/>
  <c r="J18478" i="2"/>
  <c r="K18478" i="2"/>
  <c r="L18478" i="2"/>
  <c r="C18479" i="2"/>
  <c r="D18479" i="2"/>
  <c r="F18479" i="2"/>
  <c r="G18479" i="2"/>
  <c r="H18479" i="2"/>
  <c r="J18479" i="2"/>
  <c r="K18479" i="2"/>
  <c r="L18479" i="2"/>
  <c r="C18480" i="2"/>
  <c r="D18480" i="2"/>
  <c r="F18480" i="2"/>
  <c r="G18480" i="2"/>
  <c r="H18480" i="2"/>
  <c r="J18480" i="2"/>
  <c r="K18480" i="2"/>
  <c r="L18480" i="2"/>
  <c r="C18481" i="2"/>
  <c r="D18481" i="2"/>
  <c r="F18481" i="2"/>
  <c r="G18481" i="2"/>
  <c r="H18481" i="2"/>
  <c r="J18481" i="2"/>
  <c r="K18481" i="2"/>
  <c r="L18481" i="2"/>
  <c r="C18482" i="2"/>
  <c r="D18482" i="2"/>
  <c r="F18482" i="2"/>
  <c r="G18482" i="2"/>
  <c r="H18482" i="2"/>
  <c r="J18482" i="2"/>
  <c r="K18482" i="2"/>
  <c r="L18482" i="2"/>
  <c r="C18483" i="2"/>
  <c r="D18483" i="2"/>
  <c r="F18483" i="2"/>
  <c r="G18483" i="2"/>
  <c r="H18483" i="2"/>
  <c r="J18483" i="2"/>
  <c r="K18483" i="2"/>
  <c r="L18483" i="2"/>
  <c r="D18484" i="2"/>
  <c r="F18484" i="2"/>
  <c r="G18484" i="2"/>
  <c r="H18484" i="2"/>
  <c r="J18484" i="2"/>
  <c r="K18484" i="2"/>
  <c r="L18484" i="2"/>
  <c r="C18485" i="2"/>
  <c r="D18485" i="2"/>
  <c r="F18485" i="2"/>
  <c r="G18485" i="2"/>
  <c r="H18485" i="2"/>
  <c r="J18485" i="2"/>
  <c r="K18485" i="2"/>
  <c r="L18485" i="2"/>
  <c r="C18486" i="2"/>
  <c r="D18486" i="2"/>
  <c r="F18486" i="2"/>
  <c r="G18486" i="2"/>
  <c r="H18486" i="2"/>
  <c r="J18486" i="2"/>
  <c r="K18486" i="2"/>
  <c r="L18486" i="2"/>
  <c r="C18487" i="2"/>
  <c r="D18487" i="2"/>
  <c r="F18487" i="2"/>
  <c r="G18487" i="2"/>
  <c r="H18487" i="2"/>
  <c r="J18487" i="2"/>
  <c r="K18487" i="2"/>
  <c r="L18487" i="2"/>
  <c r="C18488" i="2"/>
  <c r="D18488" i="2"/>
  <c r="F18488" i="2"/>
  <c r="G18488" i="2"/>
  <c r="H18488" i="2"/>
  <c r="J18488" i="2"/>
  <c r="K18488" i="2"/>
  <c r="L18488" i="2"/>
  <c r="C18489" i="2"/>
  <c r="D18489" i="2"/>
  <c r="F18489" i="2"/>
  <c r="G18489" i="2"/>
  <c r="H18489" i="2"/>
  <c r="J18489" i="2"/>
  <c r="K18489" i="2"/>
  <c r="L18489" i="2"/>
  <c r="C18490" i="2"/>
  <c r="D18490" i="2"/>
  <c r="F18490" i="2"/>
  <c r="G18490" i="2"/>
  <c r="H18490" i="2"/>
  <c r="J18490" i="2"/>
  <c r="K18490" i="2"/>
  <c r="L18490" i="2"/>
  <c r="C18491" i="2"/>
  <c r="D18491" i="2"/>
  <c r="F18491" i="2"/>
  <c r="G18491" i="2"/>
  <c r="H18491" i="2"/>
  <c r="J18491" i="2"/>
  <c r="K18491" i="2"/>
  <c r="L18491" i="2"/>
  <c r="C18492" i="2"/>
  <c r="D18492" i="2"/>
  <c r="F18492" i="2"/>
  <c r="G18492" i="2"/>
  <c r="H18492" i="2"/>
  <c r="J18492" i="2"/>
  <c r="K18492" i="2"/>
  <c r="L18492" i="2"/>
  <c r="C18493" i="2"/>
  <c r="D18493" i="2"/>
  <c r="F18493" i="2"/>
  <c r="G18493" i="2"/>
  <c r="H18493" i="2"/>
  <c r="J18493" i="2"/>
  <c r="K18493" i="2"/>
  <c r="L18493" i="2"/>
  <c r="C18494" i="2"/>
  <c r="D18494" i="2"/>
  <c r="F18494" i="2"/>
  <c r="G18494" i="2"/>
  <c r="H18494" i="2"/>
  <c r="J18494" i="2"/>
  <c r="K18494" i="2"/>
  <c r="L18494" i="2"/>
  <c r="D18495" i="2"/>
  <c r="F18495" i="2"/>
  <c r="G18495" i="2"/>
  <c r="H18495" i="2"/>
  <c r="J18495" i="2"/>
  <c r="K18495" i="2"/>
  <c r="L18495" i="2"/>
  <c r="D18496" i="2"/>
  <c r="F18496" i="2"/>
  <c r="G18496" i="2"/>
  <c r="H18496" i="2"/>
  <c r="J18496" i="2"/>
  <c r="K18496" i="2"/>
  <c r="L18496" i="2"/>
  <c r="C18497" i="2"/>
  <c r="D18497" i="2"/>
  <c r="F18497" i="2"/>
  <c r="G18497" i="2"/>
  <c r="H18497" i="2"/>
  <c r="J18497" i="2"/>
  <c r="K18497" i="2"/>
  <c r="L18497" i="2"/>
  <c r="C18498" i="2"/>
  <c r="D18498" i="2"/>
  <c r="F18498" i="2"/>
  <c r="G18498" i="2"/>
  <c r="H18498" i="2"/>
  <c r="J18498" i="2"/>
  <c r="K18498" i="2"/>
  <c r="L18498" i="2"/>
  <c r="C18499" i="2"/>
  <c r="D18499" i="2"/>
  <c r="F18499" i="2"/>
  <c r="G18499" i="2"/>
  <c r="H18499" i="2"/>
  <c r="J18499" i="2"/>
  <c r="K18499" i="2"/>
  <c r="L18499" i="2"/>
  <c r="C18500" i="2"/>
  <c r="D18500" i="2"/>
  <c r="F18500" i="2"/>
  <c r="G18500" i="2"/>
  <c r="H18500" i="2"/>
  <c r="J18500" i="2"/>
  <c r="K18500" i="2"/>
  <c r="L18500" i="2"/>
  <c r="C18501" i="2"/>
  <c r="D18501" i="2"/>
  <c r="F18501" i="2"/>
  <c r="G18501" i="2"/>
  <c r="H18501" i="2"/>
  <c r="J18501" i="2"/>
  <c r="K18501" i="2"/>
  <c r="L18501" i="2"/>
  <c r="C18502" i="2"/>
  <c r="D18502" i="2"/>
  <c r="F18502" i="2"/>
  <c r="G18502" i="2"/>
  <c r="H18502" i="2"/>
  <c r="J18502" i="2"/>
  <c r="K18502" i="2"/>
  <c r="L18502" i="2"/>
  <c r="C18503" i="2"/>
  <c r="D18503" i="2"/>
  <c r="F18503" i="2"/>
  <c r="G18503" i="2"/>
  <c r="H18503" i="2"/>
  <c r="J18503" i="2"/>
  <c r="K18503" i="2"/>
  <c r="L18503" i="2"/>
  <c r="C18504" i="2"/>
  <c r="D18504" i="2"/>
  <c r="F18504" i="2"/>
  <c r="G18504" i="2"/>
  <c r="H18504" i="2"/>
  <c r="J18504" i="2"/>
  <c r="K18504" i="2"/>
  <c r="L18504" i="2"/>
  <c r="D18505" i="2"/>
  <c r="F18505" i="2"/>
  <c r="G18505" i="2"/>
  <c r="H18505" i="2"/>
  <c r="J18505" i="2"/>
  <c r="K18505" i="2"/>
  <c r="L18505" i="2"/>
  <c r="C18506" i="2"/>
  <c r="D18506" i="2"/>
  <c r="F18506" i="2"/>
  <c r="G18506" i="2"/>
  <c r="H18506" i="2"/>
  <c r="J18506" i="2"/>
  <c r="K18506" i="2"/>
  <c r="L18506" i="2"/>
  <c r="C18507" i="2"/>
  <c r="D18507" i="2"/>
  <c r="F18507" i="2"/>
  <c r="G18507" i="2"/>
  <c r="H18507" i="2"/>
  <c r="J18507" i="2"/>
  <c r="K18507" i="2"/>
  <c r="L18507" i="2"/>
  <c r="C18508" i="2"/>
  <c r="D18508" i="2"/>
  <c r="F18508" i="2"/>
  <c r="G18508" i="2"/>
  <c r="H18508" i="2"/>
  <c r="J18508" i="2"/>
  <c r="K18508" i="2"/>
  <c r="L18508" i="2"/>
  <c r="C18509" i="2"/>
  <c r="D18509" i="2"/>
  <c r="F18509" i="2"/>
  <c r="G18509" i="2"/>
  <c r="H18509" i="2"/>
  <c r="J18509" i="2"/>
  <c r="K18509" i="2"/>
  <c r="L18509" i="2"/>
  <c r="C18510" i="2"/>
  <c r="D18510" i="2"/>
  <c r="F18510" i="2"/>
  <c r="G18510" i="2"/>
  <c r="H18510" i="2"/>
  <c r="J18510" i="2"/>
  <c r="K18510" i="2"/>
  <c r="L18510" i="2"/>
  <c r="C18511" i="2"/>
  <c r="D18511" i="2"/>
  <c r="F18511" i="2"/>
  <c r="G18511" i="2"/>
  <c r="H18511" i="2"/>
  <c r="J18511" i="2"/>
  <c r="K18511" i="2"/>
  <c r="L18511" i="2"/>
  <c r="C18512" i="2"/>
  <c r="D18512" i="2"/>
  <c r="F18512" i="2"/>
  <c r="G18512" i="2"/>
  <c r="H18512" i="2"/>
  <c r="J18512" i="2"/>
  <c r="K18512" i="2"/>
  <c r="L18512" i="2"/>
  <c r="C18513" i="2"/>
  <c r="D18513" i="2"/>
  <c r="F18513" i="2"/>
  <c r="G18513" i="2"/>
  <c r="H18513" i="2"/>
  <c r="J18513" i="2"/>
  <c r="K18513" i="2"/>
  <c r="L18513" i="2"/>
  <c r="C18514" i="2"/>
  <c r="D18514" i="2"/>
  <c r="F18514" i="2"/>
  <c r="G18514" i="2"/>
  <c r="H18514" i="2"/>
  <c r="J18514" i="2"/>
  <c r="K18514" i="2"/>
  <c r="L18514" i="2"/>
  <c r="C18515" i="2"/>
  <c r="D18515" i="2"/>
  <c r="F18515" i="2"/>
  <c r="G18515" i="2"/>
  <c r="H18515" i="2"/>
  <c r="J18515" i="2"/>
  <c r="K18515" i="2"/>
  <c r="L18515" i="2"/>
  <c r="C18516" i="2"/>
  <c r="D18516" i="2"/>
  <c r="F18516" i="2"/>
  <c r="G18516" i="2"/>
  <c r="H18516" i="2"/>
  <c r="J18516" i="2"/>
  <c r="K18516" i="2"/>
  <c r="L18516" i="2"/>
  <c r="C18517" i="2"/>
  <c r="D18517" i="2"/>
  <c r="F18517" i="2"/>
  <c r="G18517" i="2"/>
  <c r="H18517" i="2"/>
  <c r="J18517" i="2"/>
  <c r="K18517" i="2"/>
  <c r="L18517" i="2"/>
  <c r="C18518" i="2"/>
  <c r="D18518" i="2"/>
  <c r="F18518" i="2"/>
  <c r="G18518" i="2"/>
  <c r="H18518" i="2"/>
  <c r="J18518" i="2"/>
  <c r="K18518" i="2"/>
  <c r="L18518" i="2"/>
  <c r="C18519" i="2"/>
  <c r="D18519" i="2"/>
  <c r="F18519" i="2"/>
  <c r="G18519" i="2"/>
  <c r="H18519" i="2"/>
  <c r="J18519" i="2"/>
  <c r="K18519" i="2"/>
  <c r="L18519" i="2"/>
  <c r="C18520" i="2"/>
  <c r="D18520" i="2"/>
  <c r="F18520" i="2"/>
  <c r="G18520" i="2"/>
  <c r="H18520" i="2"/>
  <c r="J18520" i="2"/>
  <c r="K18520" i="2"/>
  <c r="L18520" i="2"/>
  <c r="C18521" i="2"/>
  <c r="D18521" i="2"/>
  <c r="F18521" i="2"/>
  <c r="G18521" i="2"/>
  <c r="H18521" i="2"/>
  <c r="J18521" i="2"/>
  <c r="K18521" i="2"/>
  <c r="L18521" i="2"/>
  <c r="C18522" i="2"/>
  <c r="D18522" i="2"/>
  <c r="F18522" i="2"/>
  <c r="G18522" i="2"/>
  <c r="H18522" i="2"/>
  <c r="J18522" i="2"/>
  <c r="K18522" i="2"/>
  <c r="L18522" i="2"/>
  <c r="C18523" i="2"/>
  <c r="D18523" i="2"/>
  <c r="F18523" i="2"/>
  <c r="G18523" i="2"/>
  <c r="H18523" i="2"/>
  <c r="J18523" i="2"/>
  <c r="K18523" i="2"/>
  <c r="L18523" i="2"/>
  <c r="C18524" i="2"/>
  <c r="D18524" i="2"/>
  <c r="F18524" i="2"/>
  <c r="G18524" i="2"/>
  <c r="H18524" i="2"/>
  <c r="J18524" i="2"/>
  <c r="K18524" i="2"/>
  <c r="L18524" i="2"/>
  <c r="C18525" i="2"/>
  <c r="D18525" i="2"/>
  <c r="F18525" i="2"/>
  <c r="G18525" i="2"/>
  <c r="H18525" i="2"/>
  <c r="J18525" i="2"/>
  <c r="K18525" i="2"/>
  <c r="L18525" i="2"/>
  <c r="C18526" i="2"/>
  <c r="D18526" i="2"/>
  <c r="F18526" i="2"/>
  <c r="G18526" i="2"/>
  <c r="H18526" i="2"/>
  <c r="J18526" i="2"/>
  <c r="K18526" i="2"/>
  <c r="L18526" i="2"/>
  <c r="C18527" i="2"/>
  <c r="D18527" i="2"/>
  <c r="F18527" i="2"/>
  <c r="G18527" i="2"/>
  <c r="H18527" i="2"/>
  <c r="J18527" i="2"/>
  <c r="K18527" i="2"/>
  <c r="L18527" i="2"/>
  <c r="C18528" i="2"/>
  <c r="D18528" i="2"/>
  <c r="F18528" i="2"/>
  <c r="G18528" i="2"/>
  <c r="H18528" i="2"/>
  <c r="J18528" i="2"/>
  <c r="K18528" i="2"/>
  <c r="L18528" i="2"/>
  <c r="C18529" i="2"/>
  <c r="D18529" i="2"/>
  <c r="F18529" i="2"/>
  <c r="G18529" i="2"/>
  <c r="H18529" i="2"/>
  <c r="J18529" i="2"/>
  <c r="K18529" i="2"/>
  <c r="L18529" i="2"/>
  <c r="C18530" i="2"/>
  <c r="D18530" i="2"/>
  <c r="F18530" i="2"/>
  <c r="G18530" i="2"/>
  <c r="H18530" i="2"/>
  <c r="J18530" i="2"/>
  <c r="K18530" i="2"/>
  <c r="L18530" i="2"/>
  <c r="D18531" i="2"/>
  <c r="F18531" i="2"/>
  <c r="G18531" i="2"/>
  <c r="H18531" i="2"/>
  <c r="J18531" i="2"/>
  <c r="K18531" i="2"/>
  <c r="L18531" i="2"/>
  <c r="C18532" i="2"/>
  <c r="D18532" i="2"/>
  <c r="F18532" i="2"/>
  <c r="G18532" i="2"/>
  <c r="H18532" i="2"/>
  <c r="J18532" i="2"/>
  <c r="K18532" i="2"/>
  <c r="L18532" i="2"/>
  <c r="C18533" i="2"/>
  <c r="D18533" i="2"/>
  <c r="F18533" i="2"/>
  <c r="G18533" i="2"/>
  <c r="H18533" i="2"/>
  <c r="J18533" i="2"/>
  <c r="K18533" i="2"/>
  <c r="L18533" i="2"/>
  <c r="C18534" i="2"/>
  <c r="D18534" i="2"/>
  <c r="F18534" i="2"/>
  <c r="G18534" i="2"/>
  <c r="H18534" i="2"/>
  <c r="J18534" i="2"/>
  <c r="K18534" i="2"/>
  <c r="L18534" i="2"/>
  <c r="D18535" i="2"/>
  <c r="F18535" i="2"/>
  <c r="G18535" i="2"/>
  <c r="H18535" i="2"/>
  <c r="J18535" i="2"/>
  <c r="K18535" i="2"/>
  <c r="L18535" i="2"/>
  <c r="C18536" i="2"/>
  <c r="D18536" i="2"/>
  <c r="F18536" i="2"/>
  <c r="G18536" i="2"/>
  <c r="H18536" i="2"/>
  <c r="J18536" i="2"/>
  <c r="K18536" i="2"/>
  <c r="L18536" i="2"/>
  <c r="C18537" i="2"/>
  <c r="D18537" i="2"/>
  <c r="F18537" i="2"/>
  <c r="G18537" i="2"/>
  <c r="H18537" i="2"/>
  <c r="J18537" i="2"/>
  <c r="K18537" i="2"/>
  <c r="L18537" i="2"/>
  <c r="C18538" i="2"/>
  <c r="D18538" i="2"/>
  <c r="F18538" i="2"/>
  <c r="G18538" i="2"/>
  <c r="H18538" i="2"/>
  <c r="J18538" i="2"/>
  <c r="K18538" i="2"/>
  <c r="L18538" i="2"/>
  <c r="C18539" i="2"/>
  <c r="D18539" i="2"/>
  <c r="F18539" i="2"/>
  <c r="G18539" i="2"/>
  <c r="H18539" i="2"/>
  <c r="J18539" i="2"/>
  <c r="K18539" i="2"/>
  <c r="L18539" i="2"/>
  <c r="C18540" i="2"/>
  <c r="D18540" i="2"/>
  <c r="F18540" i="2"/>
  <c r="G18540" i="2"/>
  <c r="H18540" i="2"/>
  <c r="J18540" i="2"/>
  <c r="K18540" i="2"/>
  <c r="L18540" i="2"/>
  <c r="C18541" i="2"/>
  <c r="D18541" i="2"/>
  <c r="F18541" i="2"/>
  <c r="G18541" i="2"/>
  <c r="H18541" i="2"/>
  <c r="J18541" i="2"/>
  <c r="K18541" i="2"/>
  <c r="L18541" i="2"/>
  <c r="C18542" i="2"/>
  <c r="D18542" i="2"/>
  <c r="F18542" i="2"/>
  <c r="G18542" i="2"/>
  <c r="H18542" i="2"/>
  <c r="J18542" i="2"/>
  <c r="K18542" i="2"/>
  <c r="L18542" i="2"/>
  <c r="C18543" i="2"/>
  <c r="D18543" i="2"/>
  <c r="F18543" i="2"/>
  <c r="G18543" i="2"/>
  <c r="H18543" i="2"/>
  <c r="J18543" i="2"/>
  <c r="K18543" i="2"/>
  <c r="L18543" i="2"/>
  <c r="C18544" i="2"/>
  <c r="D18544" i="2"/>
  <c r="F18544" i="2"/>
  <c r="G18544" i="2"/>
  <c r="H18544" i="2"/>
  <c r="J18544" i="2"/>
  <c r="K18544" i="2"/>
  <c r="L18544" i="2"/>
  <c r="C18545" i="2"/>
  <c r="D18545" i="2"/>
  <c r="F18545" i="2"/>
  <c r="G18545" i="2"/>
  <c r="H18545" i="2"/>
  <c r="J18545" i="2"/>
  <c r="K18545" i="2"/>
  <c r="L18545" i="2"/>
  <c r="C18546" i="2"/>
  <c r="D18546" i="2"/>
  <c r="F18546" i="2"/>
  <c r="G18546" i="2"/>
  <c r="H18546" i="2"/>
  <c r="J18546" i="2"/>
  <c r="K18546" i="2"/>
  <c r="L18546" i="2"/>
  <c r="C18547" i="2"/>
  <c r="D18547" i="2"/>
  <c r="F18547" i="2"/>
  <c r="G18547" i="2"/>
  <c r="H18547" i="2"/>
  <c r="J18547" i="2"/>
  <c r="K18547" i="2"/>
  <c r="L18547" i="2"/>
  <c r="C18548" i="2"/>
  <c r="D18548" i="2"/>
  <c r="F18548" i="2"/>
  <c r="G18548" i="2"/>
  <c r="H18548" i="2"/>
  <c r="J18548" i="2"/>
  <c r="K18548" i="2"/>
  <c r="L18548" i="2"/>
  <c r="C18549" i="2"/>
  <c r="D18549" i="2"/>
  <c r="F18549" i="2"/>
  <c r="G18549" i="2"/>
  <c r="H18549" i="2"/>
  <c r="J18549" i="2"/>
  <c r="K18549" i="2"/>
  <c r="L18549" i="2"/>
  <c r="C18550" i="2"/>
  <c r="D18550" i="2"/>
  <c r="F18550" i="2"/>
  <c r="G18550" i="2"/>
  <c r="H18550" i="2"/>
  <c r="J18550" i="2"/>
  <c r="K18550" i="2"/>
  <c r="L18550" i="2"/>
  <c r="C18551" i="2"/>
  <c r="D18551" i="2"/>
  <c r="F18551" i="2"/>
  <c r="G18551" i="2"/>
  <c r="H18551" i="2"/>
  <c r="J18551" i="2"/>
  <c r="K18551" i="2"/>
  <c r="L18551" i="2"/>
  <c r="C18552" i="2"/>
  <c r="D18552" i="2"/>
  <c r="F18552" i="2"/>
  <c r="G18552" i="2"/>
  <c r="H18552" i="2"/>
  <c r="J18552" i="2"/>
  <c r="K18552" i="2"/>
  <c r="L18552" i="2"/>
  <c r="C18553" i="2"/>
  <c r="D18553" i="2"/>
  <c r="F18553" i="2"/>
  <c r="G18553" i="2"/>
  <c r="H18553" i="2"/>
  <c r="J18553" i="2"/>
  <c r="K18553" i="2"/>
  <c r="L18553" i="2"/>
  <c r="C18554" i="2"/>
  <c r="D18554" i="2"/>
  <c r="F18554" i="2"/>
  <c r="G18554" i="2"/>
  <c r="H18554" i="2"/>
  <c r="J18554" i="2"/>
  <c r="K18554" i="2"/>
  <c r="L18554" i="2"/>
  <c r="C18555" i="2"/>
  <c r="D18555" i="2"/>
  <c r="F18555" i="2"/>
  <c r="G18555" i="2"/>
  <c r="H18555" i="2"/>
  <c r="J18555" i="2"/>
  <c r="K18555" i="2"/>
  <c r="L18555" i="2"/>
  <c r="C18556" i="2"/>
  <c r="D18556" i="2"/>
  <c r="F18556" i="2"/>
  <c r="G18556" i="2"/>
  <c r="H18556" i="2"/>
  <c r="J18556" i="2"/>
  <c r="K18556" i="2"/>
  <c r="L18556" i="2"/>
  <c r="C18557" i="2"/>
  <c r="D18557" i="2"/>
  <c r="F18557" i="2"/>
  <c r="G18557" i="2"/>
  <c r="H18557" i="2"/>
  <c r="J18557" i="2"/>
  <c r="K18557" i="2"/>
  <c r="L18557" i="2"/>
  <c r="C18558" i="2"/>
  <c r="D18558" i="2"/>
  <c r="F18558" i="2"/>
  <c r="G18558" i="2"/>
  <c r="H18558" i="2"/>
  <c r="J18558" i="2"/>
  <c r="K18558" i="2"/>
  <c r="L18558" i="2"/>
  <c r="C18559" i="2"/>
  <c r="D18559" i="2"/>
  <c r="F18559" i="2"/>
  <c r="G18559" i="2"/>
  <c r="H18559" i="2"/>
  <c r="J18559" i="2"/>
  <c r="K18559" i="2"/>
  <c r="L18559" i="2"/>
  <c r="C18560" i="2"/>
  <c r="D18560" i="2"/>
  <c r="F18560" i="2"/>
  <c r="G18560" i="2"/>
  <c r="H18560" i="2"/>
  <c r="J18560" i="2"/>
  <c r="K18560" i="2"/>
  <c r="L18560" i="2"/>
  <c r="C18561" i="2"/>
  <c r="D18561" i="2"/>
  <c r="F18561" i="2"/>
  <c r="G18561" i="2"/>
  <c r="H18561" i="2"/>
  <c r="J18561" i="2"/>
  <c r="K18561" i="2"/>
  <c r="L18561" i="2"/>
  <c r="C18562" i="2"/>
  <c r="D18562" i="2"/>
  <c r="F18562" i="2"/>
  <c r="G18562" i="2"/>
  <c r="H18562" i="2"/>
  <c r="J18562" i="2"/>
  <c r="K18562" i="2"/>
  <c r="L18562" i="2"/>
  <c r="C18563" i="2"/>
  <c r="D18563" i="2"/>
  <c r="F18563" i="2"/>
  <c r="G18563" i="2"/>
  <c r="H18563" i="2"/>
  <c r="J18563" i="2"/>
  <c r="K18563" i="2"/>
  <c r="L18563" i="2"/>
  <c r="C18564" i="2"/>
  <c r="D18564" i="2"/>
  <c r="F18564" i="2"/>
  <c r="G18564" i="2"/>
  <c r="H18564" i="2"/>
  <c r="J18564" i="2"/>
  <c r="K18564" i="2"/>
  <c r="L18564" i="2"/>
  <c r="C18565" i="2"/>
  <c r="D18565" i="2"/>
  <c r="F18565" i="2"/>
  <c r="G18565" i="2"/>
  <c r="H18565" i="2"/>
  <c r="J18565" i="2"/>
  <c r="K18565" i="2"/>
  <c r="L18565" i="2"/>
  <c r="C18566" i="2"/>
  <c r="D18566" i="2"/>
  <c r="F18566" i="2"/>
  <c r="G18566" i="2"/>
  <c r="H18566" i="2"/>
  <c r="J18566" i="2"/>
  <c r="K18566" i="2"/>
  <c r="L18566" i="2"/>
  <c r="C18567" i="2"/>
  <c r="D18567" i="2"/>
  <c r="F18567" i="2"/>
  <c r="G18567" i="2"/>
  <c r="H18567" i="2"/>
  <c r="J18567" i="2"/>
  <c r="K18567" i="2"/>
  <c r="L18567" i="2"/>
  <c r="C18568" i="2"/>
  <c r="D18568" i="2"/>
  <c r="F18568" i="2"/>
  <c r="G18568" i="2"/>
  <c r="H18568" i="2"/>
  <c r="J18568" i="2"/>
  <c r="K18568" i="2"/>
  <c r="L18568" i="2"/>
  <c r="C18569" i="2"/>
  <c r="D18569" i="2"/>
  <c r="F18569" i="2"/>
  <c r="G18569" i="2"/>
  <c r="H18569" i="2"/>
  <c r="J18569" i="2"/>
  <c r="K18569" i="2"/>
  <c r="L18569" i="2"/>
  <c r="D18570" i="2"/>
  <c r="F18570" i="2"/>
  <c r="G18570" i="2"/>
  <c r="H18570" i="2"/>
  <c r="J18570" i="2"/>
  <c r="K18570" i="2"/>
  <c r="L18570" i="2"/>
  <c r="C18571" i="2"/>
  <c r="D18571" i="2"/>
  <c r="F18571" i="2"/>
  <c r="G18571" i="2"/>
  <c r="H18571" i="2"/>
  <c r="J18571" i="2"/>
  <c r="K18571" i="2"/>
  <c r="L18571" i="2"/>
  <c r="C18572" i="2"/>
  <c r="D18572" i="2"/>
  <c r="F18572" i="2"/>
  <c r="G18572" i="2"/>
  <c r="H18572" i="2"/>
  <c r="J18572" i="2"/>
  <c r="K18572" i="2"/>
  <c r="L18572" i="2"/>
  <c r="C18573" i="2"/>
  <c r="D18573" i="2"/>
  <c r="F18573" i="2"/>
  <c r="G18573" i="2"/>
  <c r="H18573" i="2"/>
  <c r="J18573" i="2"/>
  <c r="K18573" i="2"/>
  <c r="L18573" i="2"/>
  <c r="C18574" i="2"/>
  <c r="D18574" i="2"/>
  <c r="F18574" i="2"/>
  <c r="G18574" i="2"/>
  <c r="H18574" i="2"/>
  <c r="J18574" i="2"/>
  <c r="K18574" i="2"/>
  <c r="L18574" i="2"/>
  <c r="D18575" i="2"/>
  <c r="F18575" i="2"/>
  <c r="G18575" i="2"/>
  <c r="H18575" i="2"/>
  <c r="J18575" i="2"/>
  <c r="K18575" i="2"/>
  <c r="L18575" i="2"/>
  <c r="C18576" i="2"/>
  <c r="D18576" i="2"/>
  <c r="F18576" i="2"/>
  <c r="G18576" i="2"/>
  <c r="H18576" i="2"/>
  <c r="J18576" i="2"/>
  <c r="K18576" i="2"/>
  <c r="L18576" i="2"/>
  <c r="C18577" i="2"/>
  <c r="D18577" i="2"/>
  <c r="F18577" i="2"/>
  <c r="G18577" i="2"/>
  <c r="H18577" i="2"/>
  <c r="J18577" i="2"/>
  <c r="K18577" i="2"/>
  <c r="L18577" i="2"/>
  <c r="C18578" i="2"/>
  <c r="D18578" i="2"/>
  <c r="F18578" i="2"/>
  <c r="G18578" i="2"/>
  <c r="H18578" i="2"/>
  <c r="J18578" i="2"/>
  <c r="K18578" i="2"/>
  <c r="L18578" i="2"/>
  <c r="C18579" i="2"/>
  <c r="D18579" i="2"/>
  <c r="F18579" i="2"/>
  <c r="G18579" i="2"/>
  <c r="H18579" i="2"/>
  <c r="J18579" i="2"/>
  <c r="K18579" i="2"/>
  <c r="L18579" i="2"/>
  <c r="C18580" i="2"/>
  <c r="D18580" i="2"/>
  <c r="F18580" i="2"/>
  <c r="G18580" i="2"/>
  <c r="H18580" i="2"/>
  <c r="J18580" i="2"/>
  <c r="K18580" i="2"/>
  <c r="L18580" i="2"/>
  <c r="C18581" i="2"/>
  <c r="D18581" i="2"/>
  <c r="F18581" i="2"/>
  <c r="G18581" i="2"/>
  <c r="H18581" i="2"/>
  <c r="J18581" i="2"/>
  <c r="K18581" i="2"/>
  <c r="L18581" i="2"/>
  <c r="D18582" i="2"/>
  <c r="F18582" i="2"/>
  <c r="G18582" i="2"/>
  <c r="H18582" i="2"/>
  <c r="J18582" i="2"/>
  <c r="K18582" i="2"/>
  <c r="L18582" i="2"/>
  <c r="C18583" i="2"/>
  <c r="D18583" i="2"/>
  <c r="F18583" i="2"/>
  <c r="G18583" i="2"/>
  <c r="H18583" i="2"/>
  <c r="J18583" i="2"/>
  <c r="K18583" i="2"/>
  <c r="L18583" i="2"/>
  <c r="D18584" i="2"/>
  <c r="F18584" i="2"/>
  <c r="G18584" i="2"/>
  <c r="H18584" i="2"/>
  <c r="J18584" i="2"/>
  <c r="K18584" i="2"/>
  <c r="L18584" i="2"/>
  <c r="C18585" i="2"/>
  <c r="D18585" i="2"/>
  <c r="F18585" i="2"/>
  <c r="G18585" i="2"/>
  <c r="H18585" i="2"/>
  <c r="J18585" i="2"/>
  <c r="K18585" i="2"/>
  <c r="L18585" i="2"/>
  <c r="D18586" i="2"/>
  <c r="F18586" i="2"/>
  <c r="G18586" i="2"/>
  <c r="H18586" i="2"/>
  <c r="J18586" i="2"/>
  <c r="K18586" i="2"/>
  <c r="L18586" i="2"/>
  <c r="C18587" i="2"/>
  <c r="D18587" i="2"/>
  <c r="F18587" i="2"/>
  <c r="G18587" i="2"/>
  <c r="H18587" i="2"/>
  <c r="J18587" i="2"/>
  <c r="K18587" i="2"/>
  <c r="L18587" i="2"/>
  <c r="C18588" i="2"/>
  <c r="D18588" i="2"/>
  <c r="F18588" i="2"/>
  <c r="G18588" i="2"/>
  <c r="H18588" i="2"/>
  <c r="J18588" i="2"/>
  <c r="K18588" i="2"/>
  <c r="L18588" i="2"/>
  <c r="D18589" i="2"/>
  <c r="F18589" i="2"/>
  <c r="G18589" i="2"/>
  <c r="H18589" i="2"/>
  <c r="J18589" i="2"/>
  <c r="K18589" i="2"/>
  <c r="L18589" i="2"/>
  <c r="D18590" i="2"/>
  <c r="F18590" i="2"/>
  <c r="G18590" i="2"/>
  <c r="H18590" i="2"/>
  <c r="J18590" i="2"/>
  <c r="K18590" i="2"/>
  <c r="L18590" i="2"/>
  <c r="D18591" i="2"/>
  <c r="F18591" i="2"/>
  <c r="G18591" i="2"/>
  <c r="H18591" i="2"/>
  <c r="J18591" i="2"/>
  <c r="K18591" i="2"/>
  <c r="L18591" i="2"/>
  <c r="D18592" i="2"/>
  <c r="F18592" i="2"/>
  <c r="G18592" i="2"/>
  <c r="H18592" i="2"/>
  <c r="J18592" i="2"/>
  <c r="K18592" i="2"/>
  <c r="L18592" i="2"/>
  <c r="C18593" i="2"/>
  <c r="D18593" i="2"/>
  <c r="F18593" i="2"/>
  <c r="G18593" i="2"/>
  <c r="H18593" i="2"/>
  <c r="J18593" i="2"/>
  <c r="K18593" i="2"/>
  <c r="L18593" i="2"/>
  <c r="C18594" i="2"/>
  <c r="D18594" i="2"/>
  <c r="F18594" i="2"/>
  <c r="G18594" i="2"/>
  <c r="H18594" i="2"/>
  <c r="J18594" i="2"/>
  <c r="K18594" i="2"/>
  <c r="L18594" i="2"/>
  <c r="D18595" i="2"/>
  <c r="F18595" i="2"/>
  <c r="G18595" i="2"/>
  <c r="H18595" i="2"/>
  <c r="J18595" i="2"/>
  <c r="K18595" i="2"/>
  <c r="L18595" i="2"/>
  <c r="D18596" i="2"/>
  <c r="F18596" i="2"/>
  <c r="G18596" i="2"/>
  <c r="H18596" i="2"/>
  <c r="J18596" i="2"/>
  <c r="K18596" i="2"/>
  <c r="L18596" i="2"/>
  <c r="C18597" i="2"/>
  <c r="D18597" i="2"/>
  <c r="F18597" i="2"/>
  <c r="G18597" i="2"/>
  <c r="H18597" i="2"/>
  <c r="J18597" i="2"/>
  <c r="K18597" i="2"/>
  <c r="L18597" i="2"/>
  <c r="C18598" i="2"/>
  <c r="D18598" i="2"/>
  <c r="F18598" i="2"/>
  <c r="G18598" i="2"/>
  <c r="H18598" i="2"/>
  <c r="J18598" i="2"/>
  <c r="K18598" i="2"/>
  <c r="L18598" i="2"/>
  <c r="C18599" i="2"/>
  <c r="D18599" i="2"/>
  <c r="F18599" i="2"/>
  <c r="G18599" i="2"/>
  <c r="H18599" i="2"/>
  <c r="J18599" i="2"/>
  <c r="K18599" i="2"/>
  <c r="L18599" i="2"/>
  <c r="C18600" i="2"/>
  <c r="D18600" i="2"/>
  <c r="F18600" i="2"/>
  <c r="G18600" i="2"/>
  <c r="H18600" i="2"/>
  <c r="J18600" i="2"/>
  <c r="K18600" i="2"/>
  <c r="L18600" i="2"/>
  <c r="C18601" i="2"/>
  <c r="D18601" i="2"/>
  <c r="F18601" i="2"/>
  <c r="G18601" i="2"/>
  <c r="H18601" i="2"/>
  <c r="J18601" i="2"/>
  <c r="K18601" i="2"/>
  <c r="L18601" i="2"/>
  <c r="C18602" i="2"/>
  <c r="D18602" i="2"/>
  <c r="F18602" i="2"/>
  <c r="G18602" i="2"/>
  <c r="H18602" i="2"/>
  <c r="J18602" i="2"/>
  <c r="K18602" i="2"/>
  <c r="L18602" i="2"/>
  <c r="C18603" i="2"/>
  <c r="D18603" i="2"/>
  <c r="F18603" i="2"/>
  <c r="G18603" i="2"/>
  <c r="H18603" i="2"/>
  <c r="J18603" i="2"/>
  <c r="K18603" i="2"/>
  <c r="L18603" i="2"/>
  <c r="C18604" i="2"/>
  <c r="D18604" i="2"/>
  <c r="F18604" i="2"/>
  <c r="G18604" i="2"/>
  <c r="H18604" i="2"/>
  <c r="J18604" i="2"/>
  <c r="K18604" i="2"/>
  <c r="L18604" i="2"/>
  <c r="C18605" i="2"/>
  <c r="D18605" i="2"/>
  <c r="F18605" i="2"/>
  <c r="G18605" i="2"/>
  <c r="H18605" i="2"/>
  <c r="J18605" i="2"/>
  <c r="K18605" i="2"/>
  <c r="L18605" i="2"/>
  <c r="C18606" i="2"/>
  <c r="D18606" i="2"/>
  <c r="F18606" i="2"/>
  <c r="G18606" i="2"/>
  <c r="H18606" i="2"/>
  <c r="J18606" i="2"/>
  <c r="K18606" i="2"/>
  <c r="L18606" i="2"/>
  <c r="C18607" i="2"/>
  <c r="D18607" i="2"/>
  <c r="F18607" i="2"/>
  <c r="G18607" i="2"/>
  <c r="H18607" i="2"/>
  <c r="J18607" i="2"/>
  <c r="K18607" i="2"/>
  <c r="L18607" i="2"/>
  <c r="C18608" i="2"/>
  <c r="D18608" i="2"/>
  <c r="F18608" i="2"/>
  <c r="G18608" i="2"/>
  <c r="H18608" i="2"/>
  <c r="J18608" i="2"/>
  <c r="K18608" i="2"/>
  <c r="L18608" i="2"/>
  <c r="C18609" i="2"/>
  <c r="D18609" i="2"/>
  <c r="F18609" i="2"/>
  <c r="G18609" i="2"/>
  <c r="H18609" i="2"/>
  <c r="J18609" i="2"/>
  <c r="K18609" i="2"/>
  <c r="L18609" i="2"/>
  <c r="C18610" i="2"/>
  <c r="D18610" i="2"/>
  <c r="F18610" i="2"/>
  <c r="G18610" i="2"/>
  <c r="H18610" i="2"/>
  <c r="J18610" i="2"/>
  <c r="K18610" i="2"/>
  <c r="L18610" i="2"/>
  <c r="D18611" i="2"/>
  <c r="F18611" i="2"/>
  <c r="G18611" i="2"/>
  <c r="H18611" i="2"/>
  <c r="J18611" i="2"/>
  <c r="K18611" i="2"/>
  <c r="L18611" i="2"/>
  <c r="C18612" i="2"/>
  <c r="D18612" i="2"/>
  <c r="F18612" i="2"/>
  <c r="G18612" i="2"/>
  <c r="H18612" i="2"/>
  <c r="J18612" i="2"/>
  <c r="K18612" i="2"/>
  <c r="L18612" i="2"/>
  <c r="C18613" i="2"/>
  <c r="D18613" i="2"/>
  <c r="F18613" i="2"/>
  <c r="G18613" i="2"/>
  <c r="H18613" i="2"/>
  <c r="J18613" i="2"/>
  <c r="K18613" i="2"/>
  <c r="L18613" i="2"/>
  <c r="D18614" i="2"/>
  <c r="F18614" i="2"/>
  <c r="G18614" i="2"/>
  <c r="H18614" i="2"/>
  <c r="J18614" i="2"/>
  <c r="K18614" i="2"/>
  <c r="L18614" i="2"/>
  <c r="C18615" i="2"/>
  <c r="D18615" i="2"/>
  <c r="F18615" i="2"/>
  <c r="G18615" i="2"/>
  <c r="H18615" i="2"/>
  <c r="J18615" i="2"/>
  <c r="K18615" i="2"/>
  <c r="L18615" i="2"/>
  <c r="C18616" i="2"/>
  <c r="D18616" i="2"/>
  <c r="F18616" i="2"/>
  <c r="G18616" i="2"/>
  <c r="H18616" i="2"/>
  <c r="J18616" i="2"/>
  <c r="K18616" i="2"/>
  <c r="L18616" i="2"/>
  <c r="C18617" i="2"/>
  <c r="D18617" i="2"/>
  <c r="F18617" i="2"/>
  <c r="G18617" i="2"/>
  <c r="H18617" i="2"/>
  <c r="J18617" i="2"/>
  <c r="K18617" i="2"/>
  <c r="L18617" i="2"/>
  <c r="C18618" i="2"/>
  <c r="D18618" i="2"/>
  <c r="F18618" i="2"/>
  <c r="G18618" i="2"/>
  <c r="H18618" i="2"/>
  <c r="J18618" i="2"/>
  <c r="K18618" i="2"/>
  <c r="L18618" i="2"/>
  <c r="C18619" i="2"/>
  <c r="D18619" i="2"/>
  <c r="F18619" i="2"/>
  <c r="G18619" i="2"/>
  <c r="H18619" i="2"/>
  <c r="J18619" i="2"/>
  <c r="K18619" i="2"/>
  <c r="L18619" i="2"/>
  <c r="D18620" i="2"/>
  <c r="F18620" i="2"/>
  <c r="G18620" i="2"/>
  <c r="H18620" i="2"/>
  <c r="J18620" i="2"/>
  <c r="K18620" i="2"/>
  <c r="L18620" i="2"/>
  <c r="C18621" i="2"/>
  <c r="D18621" i="2"/>
  <c r="F18621" i="2"/>
  <c r="G18621" i="2"/>
  <c r="H18621" i="2"/>
  <c r="J18621" i="2"/>
  <c r="K18621" i="2"/>
  <c r="L18621" i="2"/>
  <c r="C18622" i="2"/>
  <c r="D18622" i="2"/>
  <c r="F18622" i="2"/>
  <c r="G18622" i="2"/>
  <c r="H18622" i="2"/>
  <c r="J18622" i="2"/>
  <c r="K18622" i="2"/>
  <c r="L18622" i="2"/>
  <c r="D18623" i="2"/>
  <c r="F18623" i="2"/>
  <c r="G18623" i="2"/>
  <c r="H18623" i="2"/>
  <c r="J18623" i="2"/>
  <c r="K18623" i="2"/>
  <c r="L18623" i="2"/>
  <c r="C18624" i="2"/>
  <c r="D18624" i="2"/>
  <c r="F18624" i="2"/>
  <c r="G18624" i="2"/>
  <c r="H18624" i="2"/>
  <c r="J18624" i="2"/>
  <c r="K18624" i="2"/>
  <c r="L18624" i="2"/>
  <c r="C18625" i="2"/>
  <c r="D18625" i="2"/>
  <c r="F18625" i="2"/>
  <c r="G18625" i="2"/>
  <c r="H18625" i="2"/>
  <c r="J18625" i="2"/>
  <c r="K18625" i="2"/>
  <c r="L18625" i="2"/>
  <c r="C18626" i="2"/>
  <c r="D18626" i="2"/>
  <c r="F18626" i="2"/>
  <c r="G18626" i="2"/>
  <c r="H18626" i="2"/>
  <c r="J18626" i="2"/>
  <c r="K18626" i="2"/>
  <c r="L18626" i="2"/>
  <c r="C18627" i="2"/>
  <c r="D18627" i="2"/>
  <c r="F18627" i="2"/>
  <c r="G18627" i="2"/>
  <c r="H18627" i="2"/>
  <c r="J18627" i="2"/>
  <c r="K18627" i="2"/>
  <c r="L18627" i="2"/>
  <c r="C18628" i="2"/>
  <c r="D18628" i="2"/>
  <c r="F18628" i="2"/>
  <c r="G18628" i="2"/>
  <c r="H18628" i="2"/>
  <c r="J18628" i="2"/>
  <c r="K18628" i="2"/>
  <c r="L18628" i="2"/>
  <c r="C18629" i="2"/>
  <c r="D18629" i="2"/>
  <c r="F18629" i="2"/>
  <c r="G18629" i="2"/>
  <c r="H18629" i="2"/>
  <c r="J18629" i="2"/>
  <c r="K18629" i="2"/>
  <c r="L18629" i="2"/>
  <c r="C18630" i="2"/>
  <c r="D18630" i="2"/>
  <c r="F18630" i="2"/>
  <c r="G18630" i="2"/>
  <c r="H18630" i="2"/>
  <c r="J18630" i="2"/>
  <c r="K18630" i="2"/>
  <c r="L18630" i="2"/>
  <c r="C18631" i="2"/>
  <c r="D18631" i="2"/>
  <c r="F18631" i="2"/>
  <c r="G18631" i="2"/>
  <c r="H18631" i="2"/>
  <c r="J18631" i="2"/>
  <c r="K18631" i="2"/>
  <c r="L18631" i="2"/>
  <c r="C18632" i="2"/>
  <c r="D18632" i="2"/>
  <c r="F18632" i="2"/>
  <c r="G18632" i="2"/>
  <c r="H18632" i="2"/>
  <c r="J18632" i="2"/>
  <c r="K18632" i="2"/>
  <c r="L18632" i="2"/>
  <c r="C18633" i="2"/>
  <c r="D18633" i="2"/>
  <c r="F18633" i="2"/>
  <c r="G18633" i="2"/>
  <c r="H18633" i="2"/>
  <c r="J18633" i="2"/>
  <c r="K18633" i="2"/>
  <c r="L18633" i="2"/>
  <c r="C18634" i="2"/>
  <c r="D18634" i="2"/>
  <c r="F18634" i="2"/>
  <c r="G18634" i="2"/>
  <c r="H18634" i="2"/>
  <c r="J18634" i="2"/>
  <c r="K18634" i="2"/>
  <c r="L18634" i="2"/>
  <c r="C18635" i="2"/>
  <c r="D18635" i="2"/>
  <c r="F18635" i="2"/>
  <c r="G18635" i="2"/>
  <c r="H18635" i="2"/>
  <c r="J18635" i="2"/>
  <c r="K18635" i="2"/>
  <c r="L18635" i="2"/>
  <c r="C18636" i="2"/>
  <c r="D18636" i="2"/>
  <c r="F18636" i="2"/>
  <c r="G18636" i="2"/>
  <c r="H18636" i="2"/>
  <c r="J18636" i="2"/>
  <c r="K18636" i="2"/>
  <c r="L18636" i="2"/>
  <c r="C18637" i="2"/>
  <c r="D18637" i="2"/>
  <c r="F18637" i="2"/>
  <c r="G18637" i="2"/>
  <c r="H18637" i="2"/>
  <c r="J18637" i="2"/>
  <c r="K18637" i="2"/>
  <c r="L18637" i="2"/>
  <c r="C18638" i="2"/>
  <c r="D18638" i="2"/>
  <c r="F18638" i="2"/>
  <c r="G18638" i="2"/>
  <c r="H18638" i="2"/>
  <c r="J18638" i="2"/>
  <c r="K18638" i="2"/>
  <c r="L18638" i="2"/>
  <c r="C18639" i="2"/>
  <c r="D18639" i="2"/>
  <c r="F18639" i="2"/>
  <c r="G18639" i="2"/>
  <c r="H18639" i="2"/>
  <c r="J18639" i="2"/>
  <c r="K18639" i="2"/>
  <c r="L18639" i="2"/>
  <c r="C18640" i="2"/>
  <c r="D18640" i="2"/>
  <c r="F18640" i="2"/>
  <c r="G18640" i="2"/>
  <c r="H18640" i="2"/>
  <c r="J18640" i="2"/>
  <c r="K18640" i="2"/>
  <c r="L18640" i="2"/>
  <c r="C18641" i="2"/>
  <c r="D18641" i="2"/>
  <c r="F18641" i="2"/>
  <c r="G18641" i="2"/>
  <c r="H18641" i="2"/>
  <c r="J18641" i="2"/>
  <c r="K18641" i="2"/>
  <c r="L18641" i="2"/>
  <c r="C18642" i="2"/>
  <c r="D18642" i="2"/>
  <c r="F18642" i="2"/>
  <c r="G18642" i="2"/>
  <c r="H18642" i="2"/>
  <c r="J18642" i="2"/>
  <c r="K18642" i="2"/>
  <c r="L18642" i="2"/>
  <c r="C18643" i="2"/>
  <c r="D18643" i="2"/>
  <c r="F18643" i="2"/>
  <c r="G18643" i="2"/>
  <c r="H18643" i="2"/>
  <c r="J18643" i="2"/>
  <c r="K18643" i="2"/>
  <c r="L18643" i="2"/>
  <c r="C18644" i="2"/>
  <c r="D18644" i="2"/>
  <c r="F18644" i="2"/>
  <c r="G18644" i="2"/>
  <c r="H18644" i="2"/>
  <c r="J18644" i="2"/>
  <c r="K18644" i="2"/>
  <c r="L18644" i="2"/>
  <c r="C18645" i="2"/>
  <c r="D18645" i="2"/>
  <c r="F18645" i="2"/>
  <c r="G18645" i="2"/>
  <c r="H18645" i="2"/>
  <c r="J18645" i="2"/>
  <c r="K18645" i="2"/>
  <c r="L18645" i="2"/>
  <c r="C18646" i="2"/>
  <c r="D18646" i="2"/>
  <c r="F18646" i="2"/>
  <c r="G18646" i="2"/>
  <c r="H18646" i="2"/>
  <c r="J18646" i="2"/>
  <c r="K18646" i="2"/>
  <c r="L18646" i="2"/>
  <c r="C18647" i="2"/>
  <c r="D18647" i="2"/>
  <c r="F18647" i="2"/>
  <c r="G18647" i="2"/>
  <c r="H18647" i="2"/>
  <c r="J18647" i="2"/>
  <c r="K18647" i="2"/>
  <c r="L18647" i="2"/>
  <c r="C18648" i="2"/>
  <c r="D18648" i="2"/>
  <c r="F18648" i="2"/>
  <c r="G18648" i="2"/>
  <c r="H18648" i="2"/>
  <c r="J18648" i="2"/>
  <c r="K18648" i="2"/>
  <c r="L18648" i="2"/>
  <c r="C18649" i="2"/>
  <c r="D18649" i="2"/>
  <c r="F18649" i="2"/>
  <c r="G18649" i="2"/>
  <c r="H18649" i="2"/>
  <c r="J18649" i="2"/>
  <c r="K18649" i="2"/>
  <c r="L18649" i="2"/>
  <c r="C18650" i="2"/>
  <c r="D18650" i="2"/>
  <c r="E18650" i="2"/>
  <c r="F18650" i="2"/>
  <c r="G18650" i="2"/>
  <c r="H18650" i="2"/>
  <c r="J18650" i="2"/>
  <c r="K18650" i="2"/>
  <c r="L18650" i="2"/>
  <c r="C18651" i="2"/>
  <c r="D18651" i="2"/>
  <c r="F18651" i="2"/>
  <c r="G18651" i="2"/>
  <c r="H18651" i="2"/>
  <c r="J18651" i="2"/>
  <c r="K18651" i="2"/>
  <c r="L18651" i="2"/>
  <c r="C18652" i="2"/>
  <c r="D18652" i="2"/>
  <c r="F18652" i="2"/>
  <c r="G18652" i="2"/>
  <c r="H18652" i="2"/>
  <c r="J18652" i="2"/>
  <c r="K18652" i="2"/>
  <c r="L18652" i="2"/>
  <c r="C18653" i="2"/>
  <c r="D18653" i="2"/>
  <c r="F18653" i="2"/>
  <c r="G18653" i="2"/>
  <c r="H18653" i="2"/>
  <c r="J18653" i="2"/>
  <c r="K18653" i="2"/>
  <c r="L18653" i="2"/>
  <c r="C18654" i="2"/>
  <c r="D18654" i="2"/>
  <c r="F18654" i="2"/>
  <c r="G18654" i="2"/>
  <c r="H18654" i="2"/>
  <c r="J18654" i="2"/>
  <c r="K18654" i="2"/>
  <c r="L18654" i="2"/>
  <c r="C18655" i="2"/>
  <c r="D18655" i="2"/>
  <c r="F18655" i="2"/>
  <c r="G18655" i="2"/>
  <c r="H18655" i="2"/>
  <c r="J18655" i="2"/>
  <c r="K18655" i="2"/>
  <c r="L18655" i="2"/>
  <c r="C18656" i="2"/>
  <c r="D18656" i="2"/>
  <c r="F18656" i="2"/>
  <c r="G18656" i="2"/>
  <c r="H18656" i="2"/>
  <c r="J18656" i="2"/>
  <c r="K18656" i="2"/>
  <c r="L18656" i="2"/>
  <c r="C18657" i="2"/>
  <c r="D18657" i="2"/>
  <c r="F18657" i="2"/>
  <c r="G18657" i="2"/>
  <c r="H18657" i="2"/>
  <c r="J18657" i="2"/>
  <c r="K18657" i="2"/>
  <c r="L18657" i="2"/>
  <c r="C18658" i="2"/>
  <c r="D18658" i="2"/>
  <c r="F18658" i="2"/>
  <c r="G18658" i="2"/>
  <c r="H18658" i="2"/>
  <c r="J18658" i="2"/>
  <c r="K18658" i="2"/>
  <c r="L18658" i="2"/>
  <c r="C18659" i="2"/>
  <c r="D18659" i="2"/>
  <c r="F18659" i="2"/>
  <c r="G18659" i="2"/>
  <c r="H18659" i="2"/>
  <c r="J18659" i="2"/>
  <c r="K18659" i="2"/>
  <c r="L18659" i="2"/>
  <c r="C18660" i="2"/>
  <c r="D18660" i="2"/>
  <c r="F18660" i="2"/>
  <c r="G18660" i="2"/>
  <c r="H18660" i="2"/>
  <c r="J18660" i="2"/>
  <c r="K18660" i="2"/>
  <c r="L18660" i="2"/>
  <c r="C18661" i="2"/>
  <c r="D18661" i="2"/>
  <c r="F18661" i="2"/>
  <c r="G18661" i="2"/>
  <c r="H18661" i="2"/>
  <c r="J18661" i="2"/>
  <c r="K18661" i="2"/>
  <c r="L18661" i="2"/>
  <c r="C18662" i="2"/>
  <c r="D18662" i="2"/>
  <c r="F18662" i="2"/>
  <c r="G18662" i="2"/>
  <c r="H18662" i="2"/>
  <c r="J18662" i="2"/>
  <c r="K18662" i="2"/>
  <c r="L18662" i="2"/>
  <c r="C18663" i="2"/>
  <c r="D18663" i="2"/>
  <c r="E18663" i="2"/>
  <c r="F18663" i="2"/>
  <c r="G18663" i="2"/>
  <c r="H18663" i="2"/>
  <c r="J18663" i="2"/>
  <c r="K18663" i="2"/>
  <c r="L18663" i="2"/>
  <c r="C18664" i="2"/>
  <c r="D18664" i="2"/>
  <c r="E18664" i="2"/>
  <c r="F18664" i="2"/>
  <c r="G18664" i="2"/>
  <c r="H18664" i="2"/>
  <c r="J18664" i="2"/>
  <c r="K18664" i="2"/>
  <c r="L18664" i="2"/>
  <c r="C18665" i="2"/>
  <c r="D18665" i="2"/>
  <c r="E18665" i="2"/>
  <c r="F18665" i="2"/>
  <c r="G18665" i="2"/>
  <c r="H18665" i="2"/>
  <c r="J18665" i="2"/>
  <c r="K18665" i="2"/>
  <c r="L18665" i="2"/>
  <c r="C18666" i="2"/>
  <c r="D18666" i="2"/>
  <c r="F18666" i="2"/>
  <c r="G18666" i="2"/>
  <c r="H18666" i="2"/>
  <c r="J18666" i="2"/>
  <c r="K18666" i="2"/>
  <c r="L18666" i="2"/>
  <c r="C18667" i="2"/>
  <c r="D18667" i="2"/>
  <c r="F18667" i="2"/>
  <c r="G18667" i="2"/>
  <c r="H18667" i="2"/>
  <c r="J18667" i="2"/>
  <c r="K18667" i="2"/>
  <c r="L18667" i="2"/>
  <c r="C18668" i="2"/>
  <c r="D18668" i="2"/>
  <c r="F18668" i="2"/>
  <c r="G18668" i="2"/>
  <c r="H18668" i="2"/>
  <c r="J18668" i="2"/>
  <c r="K18668" i="2"/>
  <c r="L18668" i="2"/>
  <c r="C18669" i="2"/>
  <c r="D18669" i="2"/>
  <c r="F18669" i="2"/>
  <c r="G18669" i="2"/>
  <c r="H18669" i="2"/>
  <c r="J18669" i="2"/>
  <c r="K18669" i="2"/>
  <c r="L18669" i="2"/>
  <c r="C18670" i="2"/>
  <c r="D18670" i="2"/>
  <c r="F18670" i="2"/>
  <c r="G18670" i="2"/>
  <c r="H18670" i="2"/>
  <c r="J18670" i="2"/>
  <c r="K18670" i="2"/>
  <c r="L18670" i="2"/>
  <c r="D18671" i="2"/>
  <c r="F18671" i="2"/>
  <c r="G18671" i="2"/>
  <c r="H18671" i="2"/>
  <c r="J18671" i="2"/>
  <c r="K18671" i="2"/>
  <c r="L18671" i="2"/>
  <c r="C18672" i="2"/>
  <c r="D18672" i="2"/>
  <c r="F18672" i="2"/>
  <c r="G18672" i="2"/>
  <c r="H18672" i="2"/>
  <c r="J18672" i="2"/>
  <c r="K18672" i="2"/>
  <c r="L18672" i="2"/>
  <c r="C18673" i="2"/>
  <c r="D18673" i="2"/>
  <c r="F18673" i="2"/>
  <c r="G18673" i="2"/>
  <c r="H18673" i="2"/>
  <c r="J18673" i="2"/>
  <c r="K18673" i="2"/>
  <c r="L18673" i="2"/>
  <c r="C18674" i="2"/>
  <c r="D18674" i="2"/>
  <c r="F18674" i="2"/>
  <c r="G18674" i="2"/>
  <c r="H18674" i="2"/>
  <c r="J18674" i="2"/>
  <c r="K18674" i="2"/>
  <c r="L18674" i="2"/>
  <c r="C18675" i="2"/>
  <c r="D18675" i="2"/>
  <c r="F18675" i="2"/>
  <c r="G18675" i="2"/>
  <c r="H18675" i="2"/>
  <c r="J18675" i="2"/>
  <c r="K18675" i="2"/>
  <c r="L18675" i="2"/>
  <c r="C18676" i="2"/>
  <c r="D18676" i="2"/>
  <c r="F18676" i="2"/>
  <c r="G18676" i="2"/>
  <c r="H18676" i="2"/>
  <c r="J18676" i="2"/>
  <c r="K18676" i="2"/>
  <c r="L18676" i="2"/>
  <c r="C18677" i="2"/>
  <c r="D18677" i="2"/>
  <c r="F18677" i="2"/>
  <c r="G18677" i="2"/>
  <c r="H18677" i="2"/>
  <c r="J18677" i="2"/>
  <c r="K18677" i="2"/>
  <c r="L18677" i="2"/>
  <c r="C18678" i="2"/>
  <c r="D18678" i="2"/>
  <c r="F18678" i="2"/>
  <c r="G18678" i="2"/>
  <c r="H18678" i="2"/>
  <c r="J18678" i="2"/>
  <c r="K18678" i="2"/>
  <c r="L18678" i="2"/>
  <c r="C18679" i="2"/>
  <c r="D18679" i="2"/>
  <c r="F18679" i="2"/>
  <c r="G18679" i="2"/>
  <c r="H18679" i="2"/>
  <c r="J18679" i="2"/>
  <c r="K18679" i="2"/>
  <c r="L18679" i="2"/>
  <c r="C18680" i="2"/>
  <c r="D18680" i="2"/>
  <c r="F18680" i="2"/>
  <c r="G18680" i="2"/>
  <c r="H18680" i="2"/>
  <c r="J18680" i="2"/>
  <c r="K18680" i="2"/>
  <c r="L18680" i="2"/>
  <c r="C18681" i="2"/>
  <c r="D18681" i="2"/>
  <c r="F18681" i="2"/>
  <c r="G18681" i="2"/>
  <c r="H18681" i="2"/>
  <c r="J18681" i="2"/>
  <c r="K18681" i="2"/>
  <c r="L18681" i="2"/>
  <c r="C18682" i="2"/>
  <c r="D18682" i="2"/>
  <c r="F18682" i="2"/>
  <c r="G18682" i="2"/>
  <c r="H18682" i="2"/>
  <c r="J18682" i="2"/>
  <c r="K18682" i="2"/>
  <c r="L18682" i="2"/>
  <c r="C18683" i="2"/>
  <c r="D18683" i="2"/>
  <c r="F18683" i="2"/>
  <c r="G18683" i="2"/>
  <c r="H18683" i="2"/>
  <c r="J18683" i="2"/>
  <c r="K18683" i="2"/>
  <c r="L18683" i="2"/>
  <c r="C18684" i="2"/>
  <c r="D18684" i="2"/>
  <c r="F18684" i="2"/>
  <c r="G18684" i="2"/>
  <c r="H18684" i="2"/>
  <c r="J18684" i="2"/>
  <c r="K18684" i="2"/>
  <c r="L18684" i="2"/>
  <c r="C18685" i="2"/>
  <c r="D18685" i="2"/>
  <c r="F18685" i="2"/>
  <c r="G18685" i="2"/>
  <c r="H18685" i="2"/>
  <c r="J18685" i="2"/>
  <c r="K18685" i="2"/>
  <c r="L18685" i="2"/>
  <c r="C18686" i="2"/>
  <c r="D18686" i="2"/>
  <c r="F18686" i="2"/>
  <c r="G18686" i="2"/>
  <c r="H18686" i="2"/>
  <c r="J18686" i="2"/>
  <c r="K18686" i="2"/>
  <c r="L18686" i="2"/>
  <c r="C18687" i="2"/>
  <c r="D18687" i="2"/>
  <c r="F18687" i="2"/>
  <c r="G18687" i="2"/>
  <c r="H18687" i="2"/>
  <c r="J18687" i="2"/>
  <c r="K18687" i="2"/>
  <c r="L18687" i="2"/>
  <c r="C18688" i="2"/>
  <c r="D18688" i="2"/>
  <c r="F18688" i="2"/>
  <c r="G18688" i="2"/>
  <c r="H18688" i="2"/>
  <c r="J18688" i="2"/>
  <c r="K18688" i="2"/>
  <c r="L18688" i="2"/>
  <c r="C18689" i="2"/>
  <c r="D18689" i="2"/>
  <c r="F18689" i="2"/>
  <c r="G18689" i="2"/>
  <c r="H18689" i="2"/>
  <c r="J18689" i="2"/>
  <c r="K18689" i="2"/>
  <c r="L18689" i="2"/>
  <c r="C18690" i="2"/>
  <c r="D18690" i="2"/>
  <c r="F18690" i="2"/>
  <c r="G18690" i="2"/>
  <c r="H18690" i="2"/>
  <c r="J18690" i="2"/>
  <c r="K18690" i="2"/>
  <c r="L18690" i="2"/>
  <c r="C18691" i="2"/>
  <c r="D18691" i="2"/>
  <c r="F18691" i="2"/>
  <c r="G18691" i="2"/>
  <c r="H18691" i="2"/>
  <c r="J18691" i="2"/>
  <c r="K18691" i="2"/>
  <c r="L18691" i="2"/>
  <c r="C18692" i="2"/>
  <c r="D18692" i="2"/>
  <c r="F18692" i="2"/>
  <c r="G18692" i="2"/>
  <c r="H18692" i="2"/>
  <c r="J18692" i="2"/>
  <c r="K18692" i="2"/>
  <c r="L18692" i="2"/>
  <c r="C18693" i="2"/>
  <c r="D18693" i="2"/>
  <c r="F18693" i="2"/>
  <c r="G18693" i="2"/>
  <c r="H18693" i="2"/>
  <c r="J18693" i="2"/>
  <c r="K18693" i="2"/>
  <c r="L18693" i="2"/>
  <c r="C18694" i="2"/>
  <c r="D18694" i="2"/>
  <c r="F18694" i="2"/>
  <c r="G18694" i="2"/>
  <c r="H18694" i="2"/>
  <c r="J18694" i="2"/>
  <c r="K18694" i="2"/>
  <c r="L18694" i="2"/>
  <c r="C18695" i="2"/>
  <c r="D18695" i="2"/>
  <c r="F18695" i="2"/>
  <c r="G18695" i="2"/>
  <c r="H18695" i="2"/>
  <c r="J18695" i="2"/>
  <c r="K18695" i="2"/>
  <c r="L18695" i="2"/>
  <c r="C18696" i="2"/>
  <c r="D18696" i="2"/>
  <c r="F18696" i="2"/>
  <c r="G18696" i="2"/>
  <c r="H18696" i="2"/>
  <c r="J18696" i="2"/>
  <c r="K18696" i="2"/>
  <c r="L18696" i="2"/>
  <c r="C18697" i="2"/>
  <c r="D18697" i="2"/>
  <c r="F18697" i="2"/>
  <c r="G18697" i="2"/>
  <c r="H18697" i="2"/>
  <c r="J18697" i="2"/>
  <c r="K18697" i="2"/>
  <c r="L18697" i="2"/>
  <c r="C18698" i="2"/>
  <c r="D18698" i="2"/>
  <c r="F18698" i="2"/>
  <c r="G18698" i="2"/>
  <c r="H18698" i="2"/>
  <c r="J18698" i="2"/>
  <c r="K18698" i="2"/>
  <c r="L18698" i="2"/>
  <c r="C18699" i="2"/>
  <c r="D18699" i="2"/>
  <c r="F18699" i="2"/>
  <c r="G18699" i="2"/>
  <c r="H18699" i="2"/>
  <c r="J18699" i="2"/>
  <c r="K18699" i="2"/>
  <c r="L18699" i="2"/>
  <c r="C18700" i="2"/>
  <c r="D18700" i="2"/>
  <c r="F18700" i="2"/>
  <c r="G18700" i="2"/>
  <c r="H18700" i="2"/>
  <c r="J18700" i="2"/>
  <c r="K18700" i="2"/>
  <c r="L18700" i="2"/>
  <c r="C18701" i="2"/>
  <c r="D18701" i="2"/>
  <c r="F18701" i="2"/>
  <c r="G18701" i="2"/>
  <c r="H18701" i="2"/>
  <c r="J18701" i="2"/>
  <c r="K18701" i="2"/>
  <c r="L18701" i="2"/>
  <c r="C18702" i="2"/>
  <c r="D18702" i="2"/>
  <c r="F18702" i="2"/>
  <c r="G18702" i="2"/>
  <c r="H18702" i="2"/>
  <c r="J18702" i="2"/>
  <c r="K18702" i="2"/>
  <c r="L18702" i="2"/>
  <c r="C18703" i="2"/>
  <c r="D18703" i="2"/>
  <c r="F18703" i="2"/>
  <c r="G18703" i="2"/>
  <c r="H18703" i="2"/>
  <c r="J18703" i="2"/>
  <c r="K18703" i="2"/>
  <c r="L18703" i="2"/>
  <c r="C18704" i="2"/>
  <c r="D18704" i="2"/>
  <c r="F18704" i="2"/>
  <c r="G18704" i="2"/>
  <c r="H18704" i="2"/>
  <c r="J18704" i="2"/>
  <c r="K18704" i="2"/>
  <c r="L18704" i="2"/>
  <c r="C18705" i="2"/>
  <c r="D18705" i="2"/>
  <c r="F18705" i="2"/>
  <c r="G18705" i="2"/>
  <c r="H18705" i="2"/>
  <c r="J18705" i="2"/>
  <c r="K18705" i="2"/>
  <c r="L18705" i="2"/>
  <c r="C18706" i="2"/>
  <c r="D18706" i="2"/>
  <c r="F18706" i="2"/>
  <c r="G18706" i="2"/>
  <c r="H18706" i="2"/>
  <c r="J18706" i="2"/>
  <c r="K18706" i="2"/>
  <c r="L18706" i="2"/>
  <c r="C18707" i="2"/>
  <c r="D18707" i="2"/>
  <c r="F18707" i="2"/>
  <c r="G18707" i="2"/>
  <c r="H18707" i="2"/>
  <c r="J18707" i="2"/>
  <c r="K18707" i="2"/>
  <c r="L18707" i="2"/>
  <c r="C18708" i="2"/>
  <c r="D18708" i="2"/>
  <c r="F18708" i="2"/>
  <c r="G18708" i="2"/>
  <c r="H18708" i="2"/>
  <c r="J18708" i="2"/>
  <c r="K18708" i="2"/>
  <c r="L18708" i="2"/>
  <c r="C18709" i="2"/>
  <c r="D18709" i="2"/>
  <c r="F18709" i="2"/>
  <c r="G18709" i="2"/>
  <c r="H18709" i="2"/>
  <c r="J18709" i="2"/>
  <c r="K18709" i="2"/>
  <c r="L18709" i="2"/>
  <c r="C18710" i="2"/>
  <c r="D18710" i="2"/>
  <c r="F18710" i="2"/>
  <c r="G18710" i="2"/>
  <c r="H18710" i="2"/>
  <c r="J18710" i="2"/>
  <c r="K18710" i="2"/>
  <c r="L18710" i="2"/>
  <c r="C18711" i="2"/>
  <c r="D18711" i="2"/>
  <c r="F18711" i="2"/>
  <c r="G18711" i="2"/>
  <c r="H18711" i="2"/>
  <c r="J18711" i="2"/>
  <c r="K18711" i="2"/>
  <c r="L18711" i="2"/>
  <c r="D18712" i="2"/>
  <c r="F18712" i="2"/>
  <c r="G18712" i="2"/>
  <c r="H18712" i="2"/>
  <c r="J18712" i="2"/>
  <c r="K18712" i="2"/>
  <c r="L18712" i="2"/>
  <c r="D18713" i="2"/>
  <c r="F18713" i="2"/>
  <c r="G18713" i="2"/>
  <c r="H18713" i="2"/>
  <c r="J18713" i="2"/>
  <c r="K18713" i="2"/>
  <c r="L18713" i="2"/>
  <c r="C18714" i="2"/>
  <c r="D18714" i="2"/>
  <c r="F18714" i="2"/>
  <c r="G18714" i="2"/>
  <c r="H18714" i="2"/>
  <c r="J18714" i="2"/>
  <c r="K18714" i="2"/>
  <c r="L18714" i="2"/>
  <c r="C18715" i="2"/>
  <c r="D18715" i="2"/>
  <c r="F18715" i="2"/>
  <c r="G18715" i="2"/>
  <c r="H18715" i="2"/>
  <c r="J18715" i="2"/>
  <c r="K18715" i="2"/>
  <c r="L18715" i="2"/>
  <c r="C18716" i="2"/>
  <c r="D18716" i="2"/>
  <c r="F18716" i="2"/>
  <c r="G18716" i="2"/>
  <c r="H18716" i="2"/>
  <c r="J18716" i="2"/>
  <c r="K18716" i="2"/>
  <c r="L18716" i="2"/>
  <c r="D18717" i="2"/>
  <c r="F18717" i="2"/>
  <c r="G18717" i="2"/>
  <c r="H18717" i="2"/>
  <c r="J18717" i="2"/>
  <c r="K18717" i="2"/>
  <c r="L18717" i="2"/>
  <c r="D18718" i="2"/>
  <c r="F18718" i="2"/>
  <c r="G18718" i="2"/>
  <c r="H18718" i="2"/>
  <c r="J18718" i="2"/>
  <c r="K18718" i="2"/>
  <c r="L18718" i="2"/>
  <c r="D18719" i="2"/>
  <c r="F18719" i="2"/>
  <c r="G18719" i="2"/>
  <c r="H18719" i="2"/>
  <c r="J18719" i="2"/>
  <c r="K18719" i="2"/>
  <c r="L18719" i="2"/>
  <c r="D18720" i="2"/>
  <c r="F18720" i="2"/>
  <c r="G18720" i="2"/>
  <c r="H18720" i="2"/>
  <c r="J18720" i="2"/>
  <c r="K18720" i="2"/>
  <c r="L18720" i="2"/>
  <c r="D18721" i="2"/>
  <c r="F18721" i="2"/>
  <c r="G18721" i="2"/>
  <c r="H18721" i="2"/>
  <c r="J18721" i="2"/>
  <c r="K18721" i="2"/>
  <c r="L18721" i="2"/>
  <c r="C18722" i="2"/>
  <c r="D18722" i="2"/>
  <c r="F18722" i="2"/>
  <c r="G18722" i="2"/>
  <c r="H18722" i="2"/>
  <c r="J18722" i="2"/>
  <c r="K18722" i="2"/>
  <c r="L18722" i="2"/>
  <c r="C18723" i="2"/>
  <c r="D18723" i="2"/>
  <c r="F18723" i="2"/>
  <c r="G18723" i="2"/>
  <c r="H18723" i="2"/>
  <c r="J18723" i="2"/>
  <c r="K18723" i="2"/>
  <c r="L18723" i="2"/>
  <c r="D18724" i="2"/>
  <c r="F18724" i="2"/>
  <c r="G18724" i="2"/>
  <c r="H18724" i="2"/>
  <c r="J18724" i="2"/>
  <c r="K18724" i="2"/>
  <c r="L18724" i="2"/>
  <c r="D18725" i="2"/>
  <c r="F18725" i="2"/>
  <c r="G18725" i="2"/>
  <c r="H18725" i="2"/>
  <c r="J18725" i="2"/>
  <c r="K18725" i="2"/>
  <c r="L18725" i="2"/>
  <c r="C18726" i="2"/>
  <c r="D18726" i="2"/>
  <c r="F18726" i="2"/>
  <c r="G18726" i="2"/>
  <c r="H18726" i="2"/>
  <c r="J18726" i="2"/>
  <c r="K18726" i="2"/>
  <c r="L18726" i="2"/>
  <c r="D18727" i="2"/>
  <c r="F18727" i="2"/>
  <c r="G18727" i="2"/>
  <c r="H18727" i="2"/>
  <c r="J18727" i="2"/>
  <c r="K18727" i="2"/>
  <c r="L18727" i="2"/>
  <c r="C18728" i="2"/>
  <c r="D18728" i="2"/>
  <c r="F18728" i="2"/>
  <c r="G18728" i="2"/>
  <c r="H18728" i="2"/>
  <c r="J18728" i="2"/>
  <c r="K18728" i="2"/>
  <c r="L18728" i="2"/>
  <c r="C18729" i="2"/>
  <c r="D18729" i="2"/>
  <c r="F18729" i="2"/>
  <c r="G18729" i="2"/>
  <c r="H18729" i="2"/>
  <c r="J18729" i="2"/>
  <c r="K18729" i="2"/>
  <c r="L18729" i="2"/>
  <c r="C18730" i="2"/>
  <c r="D18730" i="2"/>
  <c r="F18730" i="2"/>
  <c r="G18730" i="2"/>
  <c r="H18730" i="2"/>
  <c r="J18730" i="2"/>
  <c r="K18730" i="2"/>
  <c r="L18730" i="2"/>
  <c r="D18731" i="2"/>
  <c r="F18731" i="2"/>
  <c r="G18731" i="2"/>
  <c r="H18731" i="2"/>
  <c r="J18731" i="2"/>
  <c r="K18731" i="2"/>
  <c r="L18731" i="2"/>
  <c r="D18732" i="2"/>
  <c r="F18732" i="2"/>
  <c r="G18732" i="2"/>
  <c r="H18732" i="2"/>
  <c r="J18732" i="2"/>
  <c r="K18732" i="2"/>
  <c r="L18732" i="2"/>
  <c r="D18733" i="2"/>
  <c r="F18733" i="2"/>
  <c r="G18733" i="2"/>
  <c r="H18733" i="2"/>
  <c r="J18733" i="2"/>
  <c r="K18733" i="2"/>
  <c r="L18733" i="2"/>
  <c r="C18734" i="2"/>
  <c r="D18734" i="2"/>
  <c r="F18734" i="2"/>
  <c r="G18734" i="2"/>
  <c r="H18734" i="2"/>
  <c r="J18734" i="2"/>
  <c r="K18734" i="2"/>
  <c r="L18734" i="2"/>
  <c r="C18735" i="2"/>
  <c r="D18735" i="2"/>
  <c r="F18735" i="2"/>
  <c r="G18735" i="2"/>
  <c r="H18735" i="2"/>
  <c r="J18735" i="2"/>
  <c r="K18735" i="2"/>
  <c r="L18735" i="2"/>
  <c r="C18736" i="2"/>
  <c r="D18736" i="2"/>
  <c r="F18736" i="2"/>
  <c r="G18736" i="2"/>
  <c r="H18736" i="2"/>
  <c r="J18736" i="2"/>
  <c r="K18736" i="2"/>
  <c r="L18736" i="2"/>
  <c r="C18737" i="2"/>
  <c r="D18737" i="2"/>
  <c r="F18737" i="2"/>
  <c r="G18737" i="2"/>
  <c r="H18737" i="2"/>
  <c r="J18737" i="2"/>
  <c r="K18737" i="2"/>
  <c r="L18737" i="2"/>
  <c r="C18738" i="2"/>
  <c r="D18738" i="2"/>
  <c r="F18738" i="2"/>
  <c r="G18738" i="2"/>
  <c r="H18738" i="2"/>
  <c r="J18738" i="2"/>
  <c r="K18738" i="2"/>
  <c r="L18738" i="2"/>
  <c r="C18739" i="2"/>
  <c r="D18739" i="2"/>
  <c r="F18739" i="2"/>
  <c r="G18739" i="2"/>
  <c r="H18739" i="2"/>
  <c r="J18739" i="2"/>
  <c r="K18739" i="2"/>
  <c r="L18739" i="2"/>
  <c r="D18740" i="2"/>
  <c r="F18740" i="2"/>
  <c r="G18740" i="2"/>
  <c r="H18740" i="2"/>
  <c r="J18740" i="2"/>
  <c r="K18740" i="2"/>
  <c r="L18740" i="2"/>
  <c r="C18741" i="2"/>
  <c r="D18741" i="2"/>
  <c r="F18741" i="2"/>
  <c r="G18741" i="2"/>
  <c r="H18741" i="2"/>
  <c r="J18741" i="2"/>
  <c r="K18741" i="2"/>
  <c r="L18741" i="2"/>
  <c r="C18742" i="2"/>
  <c r="D18742" i="2"/>
  <c r="F18742" i="2"/>
  <c r="G18742" i="2"/>
  <c r="H18742" i="2"/>
  <c r="J18742" i="2"/>
  <c r="K18742" i="2"/>
  <c r="L18742" i="2"/>
  <c r="C18743" i="2"/>
  <c r="D18743" i="2"/>
  <c r="F18743" i="2"/>
  <c r="G18743" i="2"/>
  <c r="H18743" i="2"/>
  <c r="J18743" i="2"/>
  <c r="K18743" i="2"/>
  <c r="L18743" i="2"/>
  <c r="C18744" i="2"/>
  <c r="D18744" i="2"/>
  <c r="F18744" i="2"/>
  <c r="G18744" i="2"/>
  <c r="H18744" i="2"/>
  <c r="J18744" i="2"/>
  <c r="K18744" i="2"/>
  <c r="L18744" i="2"/>
  <c r="C18745" i="2"/>
  <c r="D18745" i="2"/>
  <c r="F18745" i="2"/>
  <c r="G18745" i="2"/>
  <c r="H18745" i="2"/>
  <c r="J18745" i="2"/>
  <c r="K18745" i="2"/>
  <c r="L18745" i="2"/>
  <c r="C18746" i="2"/>
  <c r="D18746" i="2"/>
  <c r="F18746" i="2"/>
  <c r="G18746" i="2"/>
  <c r="H18746" i="2"/>
  <c r="J18746" i="2"/>
  <c r="K18746" i="2"/>
  <c r="L18746" i="2"/>
  <c r="C18747" i="2"/>
  <c r="D18747" i="2"/>
  <c r="F18747" i="2"/>
  <c r="G18747" i="2"/>
  <c r="H18747" i="2"/>
  <c r="J18747" i="2"/>
  <c r="K18747" i="2"/>
  <c r="L18747" i="2"/>
  <c r="C18748" i="2"/>
  <c r="D18748" i="2"/>
  <c r="F18748" i="2"/>
  <c r="G18748" i="2"/>
  <c r="H18748" i="2"/>
  <c r="J18748" i="2"/>
  <c r="K18748" i="2"/>
  <c r="L18748" i="2"/>
  <c r="C18749" i="2"/>
  <c r="D18749" i="2"/>
  <c r="F18749" i="2"/>
  <c r="G18749" i="2"/>
  <c r="H18749" i="2"/>
  <c r="J18749" i="2"/>
  <c r="K18749" i="2"/>
  <c r="L18749" i="2"/>
  <c r="C18750" i="2"/>
  <c r="D18750" i="2"/>
  <c r="F18750" i="2"/>
  <c r="G18750" i="2"/>
  <c r="H18750" i="2"/>
  <c r="J18750" i="2"/>
  <c r="K18750" i="2"/>
  <c r="L18750" i="2"/>
  <c r="C18751" i="2"/>
  <c r="D18751" i="2"/>
  <c r="F18751" i="2"/>
  <c r="G18751" i="2"/>
  <c r="H18751" i="2"/>
  <c r="J18751" i="2"/>
  <c r="K18751" i="2"/>
  <c r="L18751" i="2"/>
  <c r="C18752" i="2"/>
  <c r="D18752" i="2"/>
  <c r="F18752" i="2"/>
  <c r="G18752" i="2"/>
  <c r="H18752" i="2"/>
  <c r="J18752" i="2"/>
  <c r="K18752" i="2"/>
  <c r="L18752" i="2"/>
  <c r="C18753" i="2"/>
  <c r="D18753" i="2"/>
  <c r="F18753" i="2"/>
  <c r="G18753" i="2"/>
  <c r="H18753" i="2"/>
  <c r="J18753" i="2"/>
  <c r="K18753" i="2"/>
  <c r="L18753" i="2"/>
  <c r="C18754" i="2"/>
  <c r="D18754" i="2"/>
  <c r="F18754" i="2"/>
  <c r="G18754" i="2"/>
  <c r="H18754" i="2"/>
  <c r="J18754" i="2"/>
  <c r="K18754" i="2"/>
  <c r="L18754" i="2"/>
  <c r="C18755" i="2"/>
  <c r="D18755" i="2"/>
  <c r="F18755" i="2"/>
  <c r="G18755" i="2"/>
  <c r="H18755" i="2"/>
  <c r="J18755" i="2"/>
  <c r="K18755" i="2"/>
  <c r="L18755" i="2"/>
  <c r="C18756" i="2"/>
  <c r="D18756" i="2"/>
  <c r="F18756" i="2"/>
  <c r="G18756" i="2"/>
  <c r="H18756" i="2"/>
  <c r="J18756" i="2"/>
  <c r="K18756" i="2"/>
  <c r="L18756" i="2"/>
  <c r="C18757" i="2"/>
  <c r="D18757" i="2"/>
  <c r="F18757" i="2"/>
  <c r="G18757" i="2"/>
  <c r="H18757" i="2"/>
  <c r="J18757" i="2"/>
  <c r="K18757" i="2"/>
  <c r="L18757" i="2"/>
  <c r="C18758" i="2"/>
  <c r="D18758" i="2"/>
  <c r="F18758" i="2"/>
  <c r="G18758" i="2"/>
  <c r="H18758" i="2"/>
  <c r="J18758" i="2"/>
  <c r="K18758" i="2"/>
  <c r="L18758" i="2"/>
  <c r="C18759" i="2"/>
  <c r="D18759" i="2"/>
  <c r="F18759" i="2"/>
  <c r="G18759" i="2"/>
  <c r="H18759" i="2"/>
  <c r="J18759" i="2"/>
  <c r="K18759" i="2"/>
  <c r="L18759" i="2"/>
  <c r="C18760" i="2"/>
  <c r="D18760" i="2"/>
  <c r="F18760" i="2"/>
  <c r="G18760" i="2"/>
  <c r="H18760" i="2"/>
  <c r="J18760" i="2"/>
  <c r="K18760" i="2"/>
  <c r="L18760" i="2"/>
  <c r="C18761" i="2"/>
  <c r="D18761" i="2"/>
  <c r="F18761" i="2"/>
  <c r="G18761" i="2"/>
  <c r="H18761" i="2"/>
  <c r="J18761" i="2"/>
  <c r="K18761" i="2"/>
  <c r="L18761" i="2"/>
  <c r="C18762" i="2"/>
  <c r="D18762" i="2"/>
  <c r="F18762" i="2"/>
  <c r="G18762" i="2"/>
  <c r="H18762" i="2"/>
  <c r="J18762" i="2"/>
  <c r="K18762" i="2"/>
  <c r="L18762" i="2"/>
  <c r="C18763" i="2"/>
  <c r="D18763" i="2"/>
  <c r="F18763" i="2"/>
  <c r="G18763" i="2"/>
  <c r="H18763" i="2"/>
  <c r="J18763" i="2"/>
  <c r="K18763" i="2"/>
  <c r="L18763" i="2"/>
  <c r="C18764" i="2"/>
  <c r="D18764" i="2"/>
  <c r="F18764" i="2"/>
  <c r="G18764" i="2"/>
  <c r="H18764" i="2"/>
  <c r="J18764" i="2"/>
  <c r="K18764" i="2"/>
  <c r="L18764" i="2"/>
  <c r="C18765" i="2"/>
  <c r="D18765" i="2"/>
  <c r="F18765" i="2"/>
  <c r="G18765" i="2"/>
  <c r="H18765" i="2"/>
  <c r="J18765" i="2"/>
  <c r="K18765" i="2"/>
  <c r="L18765" i="2"/>
  <c r="C18766" i="2"/>
  <c r="D18766" i="2"/>
  <c r="F18766" i="2"/>
  <c r="G18766" i="2"/>
  <c r="H18766" i="2"/>
  <c r="J18766" i="2"/>
  <c r="K18766" i="2"/>
  <c r="L18766" i="2"/>
  <c r="C18767" i="2"/>
  <c r="D18767" i="2"/>
  <c r="F18767" i="2"/>
  <c r="G18767" i="2"/>
  <c r="H18767" i="2"/>
  <c r="J18767" i="2"/>
  <c r="K18767" i="2"/>
  <c r="L18767" i="2"/>
  <c r="C18768" i="2"/>
  <c r="D18768" i="2"/>
  <c r="E18768" i="2"/>
  <c r="F18768" i="2"/>
  <c r="G18768" i="2"/>
  <c r="H18768" i="2"/>
  <c r="J18768" i="2"/>
  <c r="K18768" i="2"/>
  <c r="L18768" i="2"/>
  <c r="C18769" i="2"/>
  <c r="D18769" i="2"/>
  <c r="F18769" i="2"/>
  <c r="G18769" i="2"/>
  <c r="H18769" i="2"/>
  <c r="J18769" i="2"/>
  <c r="K18769" i="2"/>
  <c r="L18769" i="2"/>
  <c r="C18770" i="2"/>
  <c r="D18770" i="2"/>
  <c r="F18770" i="2"/>
  <c r="G18770" i="2"/>
  <c r="H18770" i="2"/>
  <c r="J18770" i="2"/>
  <c r="K18770" i="2"/>
  <c r="L18770" i="2"/>
  <c r="C18771" i="2"/>
  <c r="D18771" i="2"/>
  <c r="F18771" i="2"/>
  <c r="G18771" i="2"/>
  <c r="H18771" i="2"/>
  <c r="J18771" i="2"/>
  <c r="K18771" i="2"/>
  <c r="L18771" i="2"/>
  <c r="C18772" i="2"/>
  <c r="D18772" i="2"/>
  <c r="F18772" i="2"/>
  <c r="G18772" i="2"/>
  <c r="H18772" i="2"/>
  <c r="J18772" i="2"/>
  <c r="K18772" i="2"/>
  <c r="L18772" i="2"/>
  <c r="C18773" i="2"/>
  <c r="D18773" i="2"/>
  <c r="F18773" i="2"/>
  <c r="G18773" i="2"/>
  <c r="H18773" i="2"/>
  <c r="J18773" i="2"/>
  <c r="K18773" i="2"/>
  <c r="L18773" i="2"/>
  <c r="C18774" i="2"/>
  <c r="D18774" i="2"/>
  <c r="F18774" i="2"/>
  <c r="G18774" i="2"/>
  <c r="H18774" i="2"/>
  <c r="J18774" i="2"/>
  <c r="K18774" i="2"/>
  <c r="L18774" i="2"/>
  <c r="C18775" i="2"/>
  <c r="D18775" i="2"/>
  <c r="F18775" i="2"/>
  <c r="G18775" i="2"/>
  <c r="H18775" i="2"/>
  <c r="J18775" i="2"/>
  <c r="K18775" i="2"/>
  <c r="L18775" i="2"/>
  <c r="C18776" i="2"/>
  <c r="D18776" i="2"/>
  <c r="F18776" i="2"/>
  <c r="G18776" i="2"/>
  <c r="H18776" i="2"/>
  <c r="J18776" i="2"/>
  <c r="K18776" i="2"/>
  <c r="L18776" i="2"/>
  <c r="C18777" i="2"/>
  <c r="D18777" i="2"/>
  <c r="F18777" i="2"/>
  <c r="G18777" i="2"/>
  <c r="H18777" i="2"/>
  <c r="J18777" i="2"/>
  <c r="K18777" i="2"/>
  <c r="L18777" i="2"/>
  <c r="C18778" i="2"/>
  <c r="D18778" i="2"/>
  <c r="F18778" i="2"/>
  <c r="G18778" i="2"/>
  <c r="H18778" i="2"/>
  <c r="J18778" i="2"/>
  <c r="K18778" i="2"/>
  <c r="L18778" i="2"/>
  <c r="C18779" i="2"/>
  <c r="D18779" i="2"/>
  <c r="F18779" i="2"/>
  <c r="G18779" i="2"/>
  <c r="H18779" i="2"/>
  <c r="J18779" i="2"/>
  <c r="K18779" i="2"/>
  <c r="L18779" i="2"/>
  <c r="C18780" i="2"/>
  <c r="D18780" i="2"/>
  <c r="F18780" i="2"/>
  <c r="G18780" i="2"/>
  <c r="H18780" i="2"/>
  <c r="J18780" i="2"/>
  <c r="K18780" i="2"/>
  <c r="L18780" i="2"/>
  <c r="C18781" i="2"/>
  <c r="D18781" i="2"/>
  <c r="F18781" i="2"/>
  <c r="G18781" i="2"/>
  <c r="H18781" i="2"/>
  <c r="J18781" i="2"/>
  <c r="K18781" i="2"/>
  <c r="L18781" i="2"/>
  <c r="C18782" i="2"/>
  <c r="D18782" i="2"/>
  <c r="F18782" i="2"/>
  <c r="G18782" i="2"/>
  <c r="H18782" i="2"/>
  <c r="J18782" i="2"/>
  <c r="K18782" i="2"/>
  <c r="L18782" i="2"/>
  <c r="C18783" i="2"/>
  <c r="D18783" i="2"/>
  <c r="F18783" i="2"/>
  <c r="G18783" i="2"/>
  <c r="H18783" i="2"/>
  <c r="J18783" i="2"/>
  <c r="K18783" i="2"/>
  <c r="L18783" i="2"/>
  <c r="C18784" i="2"/>
  <c r="D18784" i="2"/>
  <c r="F18784" i="2"/>
  <c r="G18784" i="2"/>
  <c r="H18784" i="2"/>
  <c r="J18784" i="2"/>
  <c r="K18784" i="2"/>
  <c r="L18784" i="2"/>
  <c r="C18785" i="2"/>
  <c r="D18785" i="2"/>
  <c r="F18785" i="2"/>
  <c r="G18785" i="2"/>
  <c r="H18785" i="2"/>
  <c r="J18785" i="2"/>
  <c r="K18785" i="2"/>
  <c r="L18785" i="2"/>
  <c r="C18786" i="2"/>
  <c r="D18786" i="2"/>
  <c r="F18786" i="2"/>
  <c r="G18786" i="2"/>
  <c r="H18786" i="2"/>
  <c r="J18786" i="2"/>
  <c r="K18786" i="2"/>
  <c r="L18786" i="2"/>
  <c r="C18787" i="2"/>
  <c r="D18787" i="2"/>
  <c r="F18787" i="2"/>
  <c r="G18787" i="2"/>
  <c r="H18787" i="2"/>
  <c r="J18787" i="2"/>
  <c r="K18787" i="2"/>
  <c r="L18787" i="2"/>
  <c r="C18788" i="2"/>
  <c r="D18788" i="2"/>
  <c r="F18788" i="2"/>
  <c r="G18788" i="2"/>
  <c r="H18788" i="2"/>
  <c r="J18788" i="2"/>
  <c r="K18788" i="2"/>
  <c r="L18788" i="2"/>
  <c r="C18789" i="2"/>
  <c r="D18789" i="2"/>
  <c r="F18789" i="2"/>
  <c r="G18789" i="2"/>
  <c r="H18789" i="2"/>
  <c r="J18789" i="2"/>
  <c r="K18789" i="2"/>
  <c r="L18789" i="2"/>
  <c r="C18790" i="2"/>
  <c r="D18790" i="2"/>
  <c r="F18790" i="2"/>
  <c r="G18790" i="2"/>
  <c r="H18790" i="2"/>
  <c r="J18790" i="2"/>
  <c r="K18790" i="2"/>
  <c r="L18790" i="2"/>
  <c r="C18791" i="2"/>
  <c r="D18791" i="2"/>
  <c r="F18791" i="2"/>
  <c r="G18791" i="2"/>
  <c r="H18791" i="2"/>
  <c r="J18791" i="2"/>
  <c r="K18791" i="2"/>
  <c r="L18791" i="2"/>
  <c r="C18792" i="2"/>
  <c r="D18792" i="2"/>
  <c r="F18792" i="2"/>
  <c r="G18792" i="2"/>
  <c r="H18792" i="2"/>
  <c r="J18792" i="2"/>
  <c r="K18792" i="2"/>
  <c r="L18792" i="2"/>
  <c r="C18793" i="2"/>
  <c r="D18793" i="2"/>
  <c r="F18793" i="2"/>
  <c r="G18793" i="2"/>
  <c r="H18793" i="2"/>
  <c r="J18793" i="2"/>
  <c r="K18793" i="2"/>
  <c r="L18793" i="2"/>
  <c r="C18794" i="2"/>
  <c r="D18794" i="2"/>
  <c r="F18794" i="2"/>
  <c r="G18794" i="2"/>
  <c r="H18794" i="2"/>
  <c r="J18794" i="2"/>
  <c r="K18794" i="2"/>
  <c r="L18794" i="2"/>
  <c r="C18795" i="2"/>
  <c r="D18795" i="2"/>
  <c r="F18795" i="2"/>
  <c r="G18795" i="2"/>
  <c r="H18795" i="2"/>
  <c r="J18795" i="2"/>
  <c r="K18795" i="2"/>
  <c r="L18795" i="2"/>
  <c r="C18796" i="2"/>
  <c r="D18796" i="2"/>
  <c r="F18796" i="2"/>
  <c r="G18796" i="2"/>
  <c r="H18796" i="2"/>
  <c r="J18796" i="2"/>
  <c r="K18796" i="2"/>
  <c r="L18796" i="2"/>
  <c r="C18797" i="2"/>
  <c r="D18797" i="2"/>
  <c r="F18797" i="2"/>
  <c r="G18797" i="2"/>
  <c r="H18797" i="2"/>
  <c r="J18797" i="2"/>
  <c r="K18797" i="2"/>
  <c r="L18797" i="2"/>
  <c r="C18798" i="2"/>
  <c r="D18798" i="2"/>
  <c r="F18798" i="2"/>
  <c r="G18798" i="2"/>
  <c r="H18798" i="2"/>
  <c r="J18798" i="2"/>
  <c r="K18798" i="2"/>
  <c r="L18798" i="2"/>
  <c r="C18799" i="2"/>
  <c r="D18799" i="2"/>
  <c r="F18799" i="2"/>
  <c r="G18799" i="2"/>
  <c r="H18799" i="2"/>
  <c r="J18799" i="2"/>
  <c r="K18799" i="2"/>
  <c r="L18799" i="2"/>
  <c r="C18800" i="2"/>
  <c r="D18800" i="2"/>
  <c r="F18800" i="2"/>
  <c r="G18800" i="2"/>
  <c r="H18800" i="2"/>
  <c r="J18800" i="2"/>
  <c r="K18800" i="2"/>
  <c r="L18800" i="2"/>
  <c r="C18801" i="2"/>
  <c r="D18801" i="2"/>
  <c r="F18801" i="2"/>
  <c r="G18801" i="2"/>
  <c r="H18801" i="2"/>
  <c r="J18801" i="2"/>
  <c r="K18801" i="2"/>
  <c r="L18801" i="2"/>
  <c r="C18802" i="2"/>
  <c r="D18802" i="2"/>
  <c r="F18802" i="2"/>
  <c r="G18802" i="2"/>
  <c r="H18802" i="2"/>
  <c r="J18802" i="2"/>
  <c r="K18802" i="2"/>
  <c r="L18802" i="2"/>
  <c r="C18803" i="2"/>
  <c r="D18803" i="2"/>
  <c r="F18803" i="2"/>
  <c r="G18803" i="2"/>
  <c r="H18803" i="2"/>
  <c r="J18803" i="2"/>
  <c r="K18803" i="2"/>
  <c r="L18803" i="2"/>
  <c r="C18804" i="2"/>
  <c r="D18804" i="2"/>
  <c r="F18804" i="2"/>
  <c r="G18804" i="2"/>
  <c r="H18804" i="2"/>
  <c r="J18804" i="2"/>
  <c r="K18804" i="2"/>
  <c r="L18804" i="2"/>
  <c r="C18805" i="2"/>
  <c r="D18805" i="2"/>
  <c r="F18805" i="2"/>
  <c r="G18805" i="2"/>
  <c r="H18805" i="2"/>
  <c r="J18805" i="2"/>
  <c r="K18805" i="2"/>
  <c r="L18805" i="2"/>
  <c r="C18806" i="2"/>
  <c r="D18806" i="2"/>
  <c r="F18806" i="2"/>
  <c r="G18806" i="2"/>
  <c r="H18806" i="2"/>
  <c r="J18806" i="2"/>
  <c r="K18806" i="2"/>
  <c r="L18806" i="2"/>
  <c r="C18807" i="2"/>
  <c r="D18807" i="2"/>
  <c r="F18807" i="2"/>
  <c r="G18807" i="2"/>
  <c r="H18807" i="2"/>
  <c r="J18807" i="2"/>
  <c r="K18807" i="2"/>
  <c r="L18807" i="2"/>
  <c r="C18808" i="2"/>
  <c r="D18808" i="2"/>
  <c r="F18808" i="2"/>
  <c r="G18808" i="2"/>
  <c r="H18808" i="2"/>
  <c r="J18808" i="2"/>
  <c r="K18808" i="2"/>
  <c r="L18808" i="2"/>
  <c r="C18809" i="2"/>
  <c r="D18809" i="2"/>
  <c r="F18809" i="2"/>
  <c r="G18809" i="2"/>
  <c r="H18809" i="2"/>
  <c r="J18809" i="2"/>
  <c r="K18809" i="2"/>
  <c r="L18809" i="2"/>
  <c r="C18810" i="2"/>
  <c r="D18810" i="2"/>
  <c r="F18810" i="2"/>
  <c r="G18810" i="2"/>
  <c r="H18810" i="2"/>
  <c r="J18810" i="2"/>
  <c r="K18810" i="2"/>
  <c r="L18810" i="2"/>
  <c r="C18811" i="2"/>
  <c r="D18811" i="2"/>
  <c r="F18811" i="2"/>
  <c r="G18811" i="2"/>
  <c r="H18811" i="2"/>
  <c r="J18811" i="2"/>
  <c r="K18811" i="2"/>
  <c r="L18811" i="2"/>
  <c r="D18812" i="2"/>
  <c r="E18812" i="2"/>
  <c r="F18812" i="2"/>
  <c r="G18812" i="2"/>
  <c r="H18812" i="2"/>
  <c r="J18812" i="2"/>
  <c r="K18812" i="2"/>
  <c r="L18812" i="2"/>
  <c r="D18813" i="2"/>
  <c r="F18813" i="2"/>
  <c r="G18813" i="2"/>
  <c r="H18813" i="2"/>
  <c r="J18813" i="2"/>
  <c r="K18813" i="2"/>
  <c r="L18813" i="2"/>
  <c r="C18814" i="2"/>
  <c r="D18814" i="2"/>
  <c r="F18814" i="2"/>
  <c r="G18814" i="2"/>
  <c r="H18814" i="2"/>
  <c r="J18814" i="2"/>
  <c r="K18814" i="2"/>
  <c r="L18814" i="2"/>
  <c r="C18815" i="2"/>
  <c r="D18815" i="2"/>
  <c r="F18815" i="2"/>
  <c r="G18815" i="2"/>
  <c r="H18815" i="2"/>
  <c r="J18815" i="2"/>
  <c r="K18815" i="2"/>
  <c r="L18815" i="2"/>
  <c r="C18816" i="2"/>
  <c r="D18816" i="2"/>
  <c r="F18816" i="2"/>
  <c r="G18816" i="2"/>
  <c r="H18816" i="2"/>
  <c r="J18816" i="2"/>
  <c r="K18816" i="2"/>
  <c r="L18816" i="2"/>
  <c r="D18817" i="2"/>
  <c r="F18817" i="2"/>
  <c r="G18817" i="2"/>
  <c r="H18817" i="2"/>
  <c r="J18817" i="2"/>
  <c r="K18817" i="2"/>
  <c r="L18817" i="2"/>
  <c r="D18818" i="2"/>
  <c r="F18818" i="2"/>
  <c r="G18818" i="2"/>
  <c r="H18818" i="2"/>
  <c r="J18818" i="2"/>
  <c r="K18818" i="2"/>
  <c r="L18818" i="2"/>
  <c r="D18819" i="2"/>
  <c r="F18819" i="2"/>
  <c r="G18819" i="2"/>
  <c r="H18819" i="2"/>
  <c r="J18819" i="2"/>
  <c r="K18819" i="2"/>
  <c r="L18819" i="2"/>
  <c r="C18820" i="2"/>
  <c r="D18820" i="2"/>
  <c r="F18820" i="2"/>
  <c r="G18820" i="2"/>
  <c r="H18820" i="2"/>
  <c r="J18820" i="2"/>
  <c r="K18820" i="2"/>
  <c r="L18820" i="2"/>
  <c r="C18821" i="2"/>
  <c r="D18821" i="2"/>
  <c r="F18821" i="2"/>
  <c r="G18821" i="2"/>
  <c r="H18821" i="2"/>
  <c r="J18821" i="2"/>
  <c r="K18821" i="2"/>
  <c r="L18821" i="2"/>
  <c r="C18822" i="2"/>
  <c r="D18822" i="2"/>
  <c r="E18822" i="2"/>
  <c r="F18822" i="2"/>
  <c r="G18822" i="2"/>
  <c r="H18822" i="2"/>
  <c r="J18822" i="2"/>
  <c r="K18822" i="2"/>
  <c r="L18822" i="2"/>
  <c r="D18823" i="2"/>
  <c r="F18823" i="2"/>
  <c r="G18823" i="2"/>
  <c r="H18823" i="2"/>
  <c r="J18823" i="2"/>
  <c r="K18823" i="2"/>
  <c r="L18823" i="2"/>
  <c r="D18824" i="2"/>
  <c r="F18824" i="2"/>
  <c r="G18824" i="2"/>
  <c r="H18824" i="2"/>
  <c r="J18824" i="2"/>
  <c r="K18824" i="2"/>
  <c r="L18824" i="2"/>
  <c r="C18825" i="2"/>
  <c r="D18825" i="2"/>
  <c r="F18825" i="2"/>
  <c r="G18825" i="2"/>
  <c r="H18825" i="2"/>
  <c r="J18825" i="2"/>
  <c r="K18825" i="2"/>
  <c r="L18825" i="2"/>
  <c r="C18826" i="2"/>
  <c r="D18826" i="2"/>
  <c r="F18826" i="2"/>
  <c r="G18826" i="2"/>
  <c r="H18826" i="2"/>
  <c r="J18826" i="2"/>
  <c r="K18826" i="2"/>
  <c r="L18826" i="2"/>
  <c r="C18827" i="2"/>
  <c r="D18827" i="2"/>
  <c r="F18827" i="2"/>
  <c r="G18827" i="2"/>
  <c r="H18827" i="2"/>
  <c r="J18827" i="2"/>
  <c r="K18827" i="2"/>
  <c r="L18827" i="2"/>
  <c r="D18828" i="2"/>
  <c r="F18828" i="2"/>
  <c r="G18828" i="2"/>
  <c r="H18828" i="2"/>
  <c r="J18828" i="2"/>
  <c r="K18828" i="2"/>
  <c r="L18828" i="2"/>
  <c r="D18829" i="2"/>
  <c r="F18829" i="2"/>
  <c r="G18829" i="2"/>
  <c r="H18829" i="2"/>
  <c r="J18829" i="2"/>
  <c r="K18829" i="2"/>
  <c r="L18829" i="2"/>
  <c r="C18830" i="2"/>
  <c r="D18830" i="2"/>
  <c r="F18830" i="2"/>
  <c r="G18830" i="2"/>
  <c r="H18830" i="2"/>
  <c r="J18830" i="2"/>
  <c r="K18830" i="2"/>
  <c r="L18830" i="2"/>
  <c r="C18831" i="2"/>
  <c r="D18831" i="2"/>
  <c r="F18831" i="2"/>
  <c r="G18831" i="2"/>
  <c r="H18831" i="2"/>
  <c r="J18831" i="2"/>
  <c r="K18831" i="2"/>
  <c r="L18831" i="2"/>
  <c r="C18832" i="2"/>
  <c r="D18832" i="2"/>
  <c r="F18832" i="2"/>
  <c r="G18832" i="2"/>
  <c r="H18832" i="2"/>
  <c r="J18832" i="2"/>
  <c r="K18832" i="2"/>
  <c r="L18832" i="2"/>
  <c r="C18833" i="2"/>
  <c r="D18833" i="2"/>
  <c r="F18833" i="2"/>
  <c r="G18833" i="2"/>
  <c r="H18833" i="2"/>
  <c r="J18833" i="2"/>
  <c r="K18833" i="2"/>
  <c r="L18833" i="2"/>
  <c r="C18834" i="2"/>
  <c r="D18834" i="2"/>
  <c r="F18834" i="2"/>
  <c r="G18834" i="2"/>
  <c r="H18834" i="2"/>
  <c r="J18834" i="2"/>
  <c r="K18834" i="2"/>
  <c r="L18834" i="2"/>
  <c r="C18835" i="2"/>
  <c r="D18835" i="2"/>
  <c r="F18835" i="2"/>
  <c r="G18835" i="2"/>
  <c r="H18835" i="2"/>
  <c r="J18835" i="2"/>
  <c r="K18835" i="2"/>
  <c r="L18835" i="2"/>
  <c r="C18836" i="2"/>
  <c r="D18836" i="2"/>
  <c r="E18836" i="2"/>
  <c r="F18836" i="2"/>
  <c r="G18836" i="2"/>
  <c r="H18836" i="2"/>
  <c r="J18836" i="2"/>
  <c r="K18836" i="2"/>
  <c r="L18836" i="2"/>
  <c r="C18837" i="2"/>
  <c r="D18837" i="2"/>
  <c r="F18837" i="2"/>
  <c r="G18837" i="2"/>
  <c r="H18837" i="2"/>
  <c r="J18837" i="2"/>
  <c r="K18837" i="2"/>
  <c r="L18837" i="2"/>
  <c r="C18838" i="2"/>
  <c r="D18838" i="2"/>
  <c r="F18838" i="2"/>
  <c r="G18838" i="2"/>
  <c r="H18838" i="2"/>
  <c r="J18838" i="2"/>
  <c r="K18838" i="2"/>
  <c r="L18838" i="2"/>
  <c r="C18839" i="2"/>
  <c r="D18839" i="2"/>
  <c r="F18839" i="2"/>
  <c r="G18839" i="2"/>
  <c r="H18839" i="2"/>
  <c r="J18839" i="2"/>
  <c r="K18839" i="2"/>
  <c r="L18839" i="2"/>
  <c r="C18840" i="2"/>
  <c r="D18840" i="2"/>
  <c r="F18840" i="2"/>
  <c r="G18840" i="2"/>
  <c r="H18840" i="2"/>
  <c r="J18840" i="2"/>
  <c r="K18840" i="2"/>
  <c r="L18840" i="2"/>
  <c r="C18841" i="2"/>
  <c r="D18841" i="2"/>
  <c r="F18841" i="2"/>
  <c r="G18841" i="2"/>
  <c r="H18841" i="2"/>
  <c r="J18841" i="2"/>
  <c r="K18841" i="2"/>
  <c r="L18841" i="2"/>
  <c r="C18842" i="2"/>
  <c r="D18842" i="2"/>
  <c r="F18842" i="2"/>
  <c r="G18842" i="2"/>
  <c r="H18842" i="2"/>
  <c r="J18842" i="2"/>
  <c r="K18842" i="2"/>
  <c r="L18842" i="2"/>
  <c r="C18843" i="2"/>
  <c r="D18843" i="2"/>
  <c r="F18843" i="2"/>
  <c r="G18843" i="2"/>
  <c r="H18843" i="2"/>
  <c r="J18843" i="2"/>
  <c r="K18843" i="2"/>
  <c r="L18843" i="2"/>
  <c r="C18844" i="2"/>
  <c r="D18844" i="2"/>
  <c r="F18844" i="2"/>
  <c r="G18844" i="2"/>
  <c r="H18844" i="2"/>
  <c r="J18844" i="2"/>
  <c r="K18844" i="2"/>
  <c r="L18844" i="2"/>
  <c r="C18845" i="2"/>
  <c r="D18845" i="2"/>
  <c r="F18845" i="2"/>
  <c r="G18845" i="2"/>
  <c r="H18845" i="2"/>
  <c r="J18845" i="2"/>
  <c r="K18845" i="2"/>
  <c r="L18845" i="2"/>
  <c r="C18846" i="2"/>
  <c r="D18846" i="2"/>
  <c r="F18846" i="2"/>
  <c r="G18846" i="2"/>
  <c r="H18846" i="2"/>
  <c r="J18846" i="2"/>
  <c r="K18846" i="2"/>
  <c r="L18846" i="2"/>
  <c r="C18847" i="2"/>
  <c r="D18847" i="2"/>
  <c r="F18847" i="2"/>
  <c r="G18847" i="2"/>
  <c r="H18847" i="2"/>
  <c r="J18847" i="2"/>
  <c r="K18847" i="2"/>
  <c r="L18847" i="2"/>
  <c r="C18848" i="2"/>
  <c r="D18848" i="2"/>
  <c r="F18848" i="2"/>
  <c r="G18848" i="2"/>
  <c r="H18848" i="2"/>
  <c r="J18848" i="2"/>
  <c r="K18848" i="2"/>
  <c r="L18848" i="2"/>
  <c r="C18849" i="2"/>
  <c r="D18849" i="2"/>
  <c r="F18849" i="2"/>
  <c r="G18849" i="2"/>
  <c r="H18849" i="2"/>
  <c r="J18849" i="2"/>
  <c r="K18849" i="2"/>
  <c r="L18849" i="2"/>
  <c r="C18850" i="2"/>
  <c r="D18850" i="2"/>
  <c r="F18850" i="2"/>
  <c r="G18850" i="2"/>
  <c r="H18850" i="2"/>
  <c r="J18850" i="2"/>
  <c r="K18850" i="2"/>
  <c r="L18850" i="2"/>
  <c r="C18851" i="2"/>
  <c r="D18851" i="2"/>
  <c r="F18851" i="2"/>
  <c r="G18851" i="2"/>
  <c r="H18851" i="2"/>
  <c r="J18851" i="2"/>
  <c r="K18851" i="2"/>
  <c r="L18851" i="2"/>
  <c r="C18852" i="2"/>
  <c r="D18852" i="2"/>
  <c r="F18852" i="2"/>
  <c r="G18852" i="2"/>
  <c r="H18852" i="2"/>
  <c r="J18852" i="2"/>
  <c r="K18852" i="2"/>
  <c r="L18852" i="2"/>
  <c r="C18853" i="2"/>
  <c r="D18853" i="2"/>
  <c r="F18853" i="2"/>
  <c r="G18853" i="2"/>
  <c r="H18853" i="2"/>
  <c r="J18853" i="2"/>
  <c r="K18853" i="2"/>
  <c r="L18853" i="2"/>
  <c r="C18854" i="2"/>
  <c r="D18854" i="2"/>
  <c r="F18854" i="2"/>
  <c r="G18854" i="2"/>
  <c r="H18854" i="2"/>
  <c r="J18854" i="2"/>
  <c r="K18854" i="2"/>
  <c r="L18854" i="2"/>
  <c r="C18855" i="2"/>
  <c r="D18855" i="2"/>
  <c r="F18855" i="2"/>
  <c r="G18855" i="2"/>
  <c r="H18855" i="2"/>
  <c r="J18855" i="2"/>
  <c r="K18855" i="2"/>
  <c r="L18855" i="2"/>
  <c r="C18856" i="2"/>
  <c r="D18856" i="2"/>
  <c r="F18856" i="2"/>
  <c r="G18856" i="2"/>
  <c r="H18856" i="2"/>
  <c r="J18856" i="2"/>
  <c r="K18856" i="2"/>
  <c r="L18856" i="2"/>
  <c r="C18857" i="2"/>
  <c r="D18857" i="2"/>
  <c r="F18857" i="2"/>
  <c r="G18857" i="2"/>
  <c r="H18857" i="2"/>
  <c r="J18857" i="2"/>
  <c r="K18857" i="2"/>
  <c r="L18857" i="2"/>
  <c r="C18858" i="2"/>
  <c r="D18858" i="2"/>
  <c r="F18858" i="2"/>
  <c r="G18858" i="2"/>
  <c r="H18858" i="2"/>
  <c r="J18858" i="2"/>
  <c r="K18858" i="2"/>
  <c r="L18858" i="2"/>
  <c r="D18859" i="2"/>
  <c r="F18859" i="2"/>
  <c r="G18859" i="2"/>
  <c r="H18859" i="2"/>
  <c r="J18859" i="2"/>
  <c r="K18859" i="2"/>
  <c r="L18859" i="2"/>
  <c r="D18860" i="2"/>
  <c r="F18860" i="2"/>
  <c r="G18860" i="2"/>
  <c r="H18860" i="2"/>
  <c r="J18860" i="2"/>
  <c r="K18860" i="2"/>
  <c r="L18860" i="2"/>
  <c r="C18861" i="2"/>
  <c r="D18861" i="2"/>
  <c r="F18861" i="2"/>
  <c r="G18861" i="2"/>
  <c r="H18861" i="2"/>
  <c r="J18861" i="2"/>
  <c r="K18861" i="2"/>
  <c r="L18861" i="2"/>
  <c r="C18862" i="2"/>
  <c r="D18862" i="2"/>
  <c r="F18862" i="2"/>
  <c r="G18862" i="2"/>
  <c r="H18862" i="2"/>
  <c r="J18862" i="2"/>
  <c r="K18862" i="2"/>
  <c r="L18862" i="2"/>
  <c r="C18863" i="2"/>
  <c r="D18863" i="2"/>
  <c r="F18863" i="2"/>
  <c r="G18863" i="2"/>
  <c r="H18863" i="2"/>
  <c r="J18863" i="2"/>
  <c r="K18863" i="2"/>
  <c r="L18863" i="2"/>
  <c r="C18864" i="2"/>
  <c r="D18864" i="2"/>
  <c r="F18864" i="2"/>
  <c r="G18864" i="2"/>
  <c r="H18864" i="2"/>
  <c r="J18864" i="2"/>
  <c r="K18864" i="2"/>
  <c r="L18864" i="2"/>
  <c r="C18865" i="2"/>
  <c r="D18865" i="2"/>
  <c r="F18865" i="2"/>
  <c r="G18865" i="2"/>
  <c r="H18865" i="2"/>
  <c r="J18865" i="2"/>
  <c r="K18865" i="2"/>
  <c r="L18865" i="2"/>
  <c r="C18866" i="2"/>
  <c r="D18866" i="2"/>
  <c r="F18866" i="2"/>
  <c r="G18866" i="2"/>
  <c r="H18866" i="2"/>
  <c r="J18866" i="2"/>
  <c r="K18866" i="2"/>
  <c r="L18866" i="2"/>
  <c r="C18867" i="2"/>
  <c r="D18867" i="2"/>
  <c r="F18867" i="2"/>
  <c r="G18867" i="2"/>
  <c r="H18867" i="2"/>
  <c r="J18867" i="2"/>
  <c r="K18867" i="2"/>
  <c r="L18867" i="2"/>
  <c r="C18868" i="2"/>
  <c r="D18868" i="2"/>
  <c r="F18868" i="2"/>
  <c r="G18868" i="2"/>
  <c r="H18868" i="2"/>
  <c r="J18868" i="2"/>
  <c r="K18868" i="2"/>
  <c r="L18868" i="2"/>
  <c r="C18869" i="2"/>
  <c r="D18869" i="2"/>
  <c r="F18869" i="2"/>
  <c r="G18869" i="2"/>
  <c r="H18869" i="2"/>
  <c r="J18869" i="2"/>
  <c r="K18869" i="2"/>
  <c r="L18869" i="2"/>
  <c r="C18870" i="2"/>
  <c r="D18870" i="2"/>
  <c r="F18870" i="2"/>
  <c r="G18870" i="2"/>
  <c r="H18870" i="2"/>
  <c r="J18870" i="2"/>
  <c r="K18870" i="2"/>
  <c r="L18870" i="2"/>
  <c r="C18871" i="2"/>
  <c r="D18871" i="2"/>
  <c r="F18871" i="2"/>
  <c r="G18871" i="2"/>
  <c r="H18871" i="2"/>
  <c r="J18871" i="2"/>
  <c r="K18871" i="2"/>
  <c r="L18871" i="2"/>
  <c r="C18872" i="2"/>
  <c r="D18872" i="2"/>
  <c r="F18872" i="2"/>
  <c r="G18872" i="2"/>
  <c r="H18872" i="2"/>
  <c r="J18872" i="2"/>
  <c r="K18872" i="2"/>
  <c r="L18872" i="2"/>
  <c r="C18873" i="2"/>
  <c r="D18873" i="2"/>
  <c r="F18873" i="2"/>
  <c r="G18873" i="2"/>
  <c r="H18873" i="2"/>
  <c r="J18873" i="2"/>
  <c r="K18873" i="2"/>
  <c r="L18873" i="2"/>
  <c r="C18874" i="2"/>
  <c r="D18874" i="2"/>
  <c r="F18874" i="2"/>
  <c r="G18874" i="2"/>
  <c r="H18874" i="2"/>
  <c r="J18874" i="2"/>
  <c r="K18874" i="2"/>
  <c r="L18874" i="2"/>
  <c r="C18875" i="2"/>
  <c r="D18875" i="2"/>
  <c r="F18875" i="2"/>
  <c r="G18875" i="2"/>
  <c r="H18875" i="2"/>
  <c r="J18875" i="2"/>
  <c r="K18875" i="2"/>
  <c r="L18875" i="2"/>
  <c r="C18876" i="2"/>
  <c r="D18876" i="2"/>
  <c r="F18876" i="2"/>
  <c r="G18876" i="2"/>
  <c r="H18876" i="2"/>
  <c r="J18876" i="2"/>
  <c r="K18876" i="2"/>
  <c r="L18876" i="2"/>
  <c r="C18877" i="2"/>
  <c r="D18877" i="2"/>
  <c r="F18877" i="2"/>
  <c r="G18877" i="2"/>
  <c r="H18877" i="2"/>
  <c r="J18877" i="2"/>
  <c r="K18877" i="2"/>
  <c r="L18877" i="2"/>
  <c r="C18878" i="2"/>
  <c r="D18878" i="2"/>
  <c r="F18878" i="2"/>
  <c r="G18878" i="2"/>
  <c r="H18878" i="2"/>
  <c r="J18878" i="2"/>
  <c r="K18878" i="2"/>
  <c r="L18878" i="2"/>
  <c r="C18879" i="2"/>
  <c r="D18879" i="2"/>
  <c r="F18879" i="2"/>
  <c r="G18879" i="2"/>
  <c r="H18879" i="2"/>
  <c r="J18879" i="2"/>
  <c r="K18879" i="2"/>
  <c r="L18879" i="2"/>
  <c r="C18880" i="2"/>
  <c r="D18880" i="2"/>
  <c r="F18880" i="2"/>
  <c r="G18880" i="2"/>
  <c r="H18880" i="2"/>
  <c r="J18880" i="2"/>
  <c r="K18880" i="2"/>
  <c r="L18880" i="2"/>
  <c r="C18881" i="2"/>
  <c r="D18881" i="2"/>
  <c r="F18881" i="2"/>
  <c r="G18881" i="2"/>
  <c r="H18881" i="2"/>
  <c r="J18881" i="2"/>
  <c r="K18881" i="2"/>
  <c r="L18881" i="2"/>
  <c r="C18882" i="2"/>
  <c r="D18882" i="2"/>
  <c r="F18882" i="2"/>
  <c r="G18882" i="2"/>
  <c r="H18882" i="2"/>
  <c r="J18882" i="2"/>
  <c r="K18882" i="2"/>
  <c r="L18882" i="2"/>
  <c r="C18883" i="2"/>
  <c r="D18883" i="2"/>
  <c r="F18883" i="2"/>
  <c r="G18883" i="2"/>
  <c r="H18883" i="2"/>
  <c r="J18883" i="2"/>
  <c r="K18883" i="2"/>
  <c r="L18883" i="2"/>
  <c r="C18884" i="2"/>
  <c r="D18884" i="2"/>
  <c r="F18884" i="2"/>
  <c r="G18884" i="2"/>
  <c r="H18884" i="2"/>
  <c r="J18884" i="2"/>
  <c r="K18884" i="2"/>
  <c r="L18884" i="2"/>
  <c r="C18885" i="2"/>
  <c r="D18885" i="2"/>
  <c r="E18885" i="2"/>
  <c r="F18885" i="2"/>
  <c r="G18885" i="2"/>
  <c r="H18885" i="2"/>
  <c r="J18885" i="2"/>
  <c r="K18885" i="2"/>
  <c r="L18885" i="2"/>
  <c r="C18886" i="2"/>
  <c r="D18886" i="2"/>
  <c r="F18886" i="2"/>
  <c r="G18886" i="2"/>
  <c r="H18886" i="2"/>
  <c r="J18886" i="2"/>
  <c r="K18886" i="2"/>
  <c r="L18886" i="2"/>
  <c r="C18887" i="2"/>
  <c r="D18887" i="2"/>
  <c r="F18887" i="2"/>
  <c r="G18887" i="2"/>
  <c r="H18887" i="2"/>
  <c r="J18887" i="2"/>
  <c r="K18887" i="2"/>
  <c r="L18887" i="2"/>
  <c r="C18888" i="2"/>
  <c r="D18888" i="2"/>
  <c r="F18888" i="2"/>
  <c r="G18888" i="2"/>
  <c r="H18888" i="2"/>
  <c r="J18888" i="2"/>
  <c r="K18888" i="2"/>
  <c r="L18888" i="2"/>
  <c r="C18889" i="2"/>
  <c r="D18889" i="2"/>
  <c r="F18889" i="2"/>
  <c r="G18889" i="2"/>
  <c r="H18889" i="2"/>
  <c r="J18889" i="2"/>
  <c r="K18889" i="2"/>
  <c r="L18889" i="2"/>
  <c r="C18890" i="2"/>
  <c r="D18890" i="2"/>
  <c r="F18890" i="2"/>
  <c r="G18890" i="2"/>
  <c r="H18890" i="2"/>
  <c r="J18890" i="2"/>
  <c r="K18890" i="2"/>
  <c r="L18890" i="2"/>
  <c r="C18891" i="2"/>
  <c r="D18891" i="2"/>
  <c r="F18891" i="2"/>
  <c r="G18891" i="2"/>
  <c r="H18891" i="2"/>
  <c r="J18891" i="2"/>
  <c r="K18891" i="2"/>
  <c r="L18891" i="2"/>
  <c r="C18892" i="2"/>
  <c r="D18892" i="2"/>
  <c r="F18892" i="2"/>
  <c r="G18892" i="2"/>
  <c r="H18892" i="2"/>
  <c r="J18892" i="2"/>
  <c r="K18892" i="2"/>
  <c r="L18892" i="2"/>
  <c r="C18893" i="2"/>
  <c r="D18893" i="2"/>
  <c r="F18893" i="2"/>
  <c r="G18893" i="2"/>
  <c r="H18893" i="2"/>
  <c r="J18893" i="2"/>
  <c r="K18893" i="2"/>
  <c r="L18893" i="2"/>
  <c r="C18894" i="2"/>
  <c r="D18894" i="2"/>
  <c r="F18894" i="2"/>
  <c r="G18894" i="2"/>
  <c r="H18894" i="2"/>
  <c r="J18894" i="2"/>
  <c r="K18894" i="2"/>
  <c r="L18894" i="2"/>
  <c r="C18895" i="2"/>
  <c r="D18895" i="2"/>
  <c r="F18895" i="2"/>
  <c r="G18895" i="2"/>
  <c r="H18895" i="2"/>
  <c r="J18895" i="2"/>
  <c r="K18895" i="2"/>
  <c r="L18895" i="2"/>
  <c r="C18896" i="2"/>
  <c r="D18896" i="2"/>
  <c r="F18896" i="2"/>
  <c r="G18896" i="2"/>
  <c r="H18896" i="2"/>
  <c r="J18896" i="2"/>
  <c r="K18896" i="2"/>
  <c r="L18896" i="2"/>
  <c r="C18897" i="2"/>
  <c r="D18897" i="2"/>
  <c r="F18897" i="2"/>
  <c r="G18897" i="2"/>
  <c r="H18897" i="2"/>
  <c r="J18897" i="2"/>
  <c r="K18897" i="2"/>
  <c r="L18897" i="2"/>
  <c r="C18898" i="2"/>
  <c r="D18898" i="2"/>
  <c r="F18898" i="2"/>
  <c r="G18898" i="2"/>
  <c r="H18898" i="2"/>
  <c r="J18898" i="2"/>
  <c r="K18898" i="2"/>
  <c r="L18898" i="2"/>
  <c r="C18899" i="2"/>
  <c r="D18899" i="2"/>
  <c r="F18899" i="2"/>
  <c r="G18899" i="2"/>
  <c r="H18899" i="2"/>
  <c r="J18899" i="2"/>
  <c r="K18899" i="2"/>
  <c r="L18899" i="2"/>
  <c r="C18900" i="2"/>
  <c r="D18900" i="2"/>
  <c r="F18900" i="2"/>
  <c r="G18900" i="2"/>
  <c r="H18900" i="2"/>
  <c r="J18900" i="2"/>
  <c r="K18900" i="2"/>
  <c r="L18900" i="2"/>
  <c r="C18901" i="2"/>
  <c r="D18901" i="2"/>
  <c r="F18901" i="2"/>
  <c r="G18901" i="2"/>
  <c r="H18901" i="2"/>
  <c r="J18901" i="2"/>
  <c r="K18901" i="2"/>
  <c r="L18901" i="2"/>
  <c r="C18902" i="2"/>
  <c r="D18902" i="2"/>
  <c r="F18902" i="2"/>
  <c r="G18902" i="2"/>
  <c r="H18902" i="2"/>
  <c r="J18902" i="2"/>
  <c r="K18902" i="2"/>
  <c r="L18902" i="2"/>
  <c r="C18903" i="2"/>
  <c r="D18903" i="2"/>
  <c r="F18903" i="2"/>
  <c r="G18903" i="2"/>
  <c r="H18903" i="2"/>
  <c r="J18903" i="2"/>
  <c r="K18903" i="2"/>
  <c r="L18903" i="2"/>
  <c r="C18904" i="2"/>
  <c r="D18904" i="2"/>
  <c r="F18904" i="2"/>
  <c r="G18904" i="2"/>
  <c r="H18904" i="2"/>
  <c r="J18904" i="2"/>
  <c r="K18904" i="2"/>
  <c r="L18904" i="2"/>
  <c r="C18905" i="2"/>
  <c r="D18905" i="2"/>
  <c r="F18905" i="2"/>
  <c r="G18905" i="2"/>
  <c r="H18905" i="2"/>
  <c r="J18905" i="2"/>
  <c r="K18905" i="2"/>
  <c r="L18905" i="2"/>
  <c r="C18906" i="2"/>
  <c r="D18906" i="2"/>
  <c r="F18906" i="2"/>
  <c r="G18906" i="2"/>
  <c r="H18906" i="2"/>
  <c r="J18906" i="2"/>
  <c r="K18906" i="2"/>
  <c r="L18906" i="2"/>
  <c r="C18907" i="2"/>
  <c r="D18907" i="2"/>
  <c r="F18907" i="2"/>
  <c r="G18907" i="2"/>
  <c r="H18907" i="2"/>
  <c r="J18907" i="2"/>
  <c r="K18907" i="2"/>
  <c r="L18907" i="2"/>
  <c r="C18908" i="2"/>
  <c r="D18908" i="2"/>
  <c r="F18908" i="2"/>
  <c r="G18908" i="2"/>
  <c r="H18908" i="2"/>
  <c r="J18908" i="2"/>
  <c r="K18908" i="2"/>
  <c r="L18908" i="2"/>
  <c r="C18909" i="2"/>
  <c r="D18909" i="2"/>
  <c r="F18909" i="2"/>
  <c r="G18909" i="2"/>
  <c r="H18909" i="2"/>
  <c r="J18909" i="2"/>
  <c r="K18909" i="2"/>
  <c r="L18909" i="2"/>
  <c r="C18910" i="2"/>
  <c r="D18910" i="2"/>
  <c r="F18910" i="2"/>
  <c r="G18910" i="2"/>
  <c r="H18910" i="2"/>
  <c r="J18910" i="2"/>
  <c r="K18910" i="2"/>
  <c r="L18910" i="2"/>
  <c r="C18911" i="2"/>
  <c r="D18911" i="2"/>
  <c r="F18911" i="2"/>
  <c r="G18911" i="2"/>
  <c r="H18911" i="2"/>
  <c r="J18911" i="2"/>
  <c r="K18911" i="2"/>
  <c r="L18911" i="2"/>
  <c r="C18912" i="2"/>
  <c r="D18912" i="2"/>
  <c r="F18912" i="2"/>
  <c r="G18912" i="2"/>
  <c r="H18912" i="2"/>
  <c r="J18912" i="2"/>
  <c r="K18912" i="2"/>
  <c r="L18912" i="2"/>
  <c r="C18913" i="2"/>
  <c r="D18913" i="2"/>
  <c r="F18913" i="2"/>
  <c r="G18913" i="2"/>
  <c r="H18913" i="2"/>
  <c r="J18913" i="2"/>
  <c r="K18913" i="2"/>
  <c r="L18913" i="2"/>
  <c r="C18914" i="2"/>
  <c r="D18914" i="2"/>
  <c r="F18914" i="2"/>
  <c r="G18914" i="2"/>
  <c r="H18914" i="2"/>
  <c r="J18914" i="2"/>
  <c r="K18914" i="2"/>
  <c r="L18914" i="2"/>
  <c r="C18915" i="2"/>
  <c r="D18915" i="2"/>
  <c r="F18915" i="2"/>
  <c r="G18915" i="2"/>
  <c r="H18915" i="2"/>
  <c r="J18915" i="2"/>
  <c r="K18915" i="2"/>
  <c r="L18915" i="2"/>
  <c r="C18916" i="2"/>
  <c r="D18916" i="2"/>
  <c r="F18916" i="2"/>
  <c r="G18916" i="2"/>
  <c r="H18916" i="2"/>
  <c r="J18916" i="2"/>
  <c r="K18916" i="2"/>
  <c r="L18916" i="2"/>
  <c r="C18917" i="2"/>
  <c r="D18917" i="2"/>
  <c r="F18917" i="2"/>
  <c r="G18917" i="2"/>
  <c r="H18917" i="2"/>
  <c r="J18917" i="2"/>
  <c r="K18917" i="2"/>
  <c r="L18917" i="2"/>
  <c r="C18918" i="2"/>
  <c r="D18918" i="2"/>
  <c r="F18918" i="2"/>
  <c r="G18918" i="2"/>
  <c r="H18918" i="2"/>
  <c r="J18918" i="2"/>
  <c r="K18918" i="2"/>
  <c r="L18918" i="2"/>
  <c r="C18919" i="2"/>
  <c r="D18919" i="2"/>
  <c r="F18919" i="2"/>
  <c r="G18919" i="2"/>
  <c r="H18919" i="2"/>
  <c r="J18919" i="2"/>
  <c r="K18919" i="2"/>
  <c r="L18919" i="2"/>
  <c r="C18920" i="2"/>
  <c r="D18920" i="2"/>
  <c r="F18920" i="2"/>
  <c r="G18920" i="2"/>
  <c r="H18920" i="2"/>
  <c r="J18920" i="2"/>
  <c r="K18920" i="2"/>
  <c r="L18920" i="2"/>
  <c r="C18921" i="2"/>
  <c r="D18921" i="2"/>
  <c r="F18921" i="2"/>
  <c r="G18921" i="2"/>
  <c r="H18921" i="2"/>
  <c r="J18921" i="2"/>
  <c r="K18921" i="2"/>
  <c r="L18921" i="2"/>
  <c r="C18922" i="2"/>
  <c r="D18922" i="2"/>
  <c r="F18922" i="2"/>
  <c r="G18922" i="2"/>
  <c r="H18922" i="2"/>
  <c r="J18922" i="2"/>
  <c r="K18922" i="2"/>
  <c r="L18922" i="2"/>
  <c r="C18923" i="2"/>
  <c r="D18923" i="2"/>
  <c r="F18923" i="2"/>
  <c r="G18923" i="2"/>
  <c r="H18923" i="2"/>
  <c r="J18923" i="2"/>
  <c r="K18923" i="2"/>
  <c r="L18923" i="2"/>
  <c r="C18924" i="2"/>
  <c r="D18924" i="2"/>
  <c r="F18924" i="2"/>
  <c r="G18924" i="2"/>
  <c r="H18924" i="2"/>
  <c r="J18924" i="2"/>
  <c r="K18924" i="2"/>
  <c r="L18924" i="2"/>
  <c r="C18925" i="2"/>
  <c r="D18925" i="2"/>
  <c r="F18925" i="2"/>
  <c r="G18925" i="2"/>
  <c r="H18925" i="2"/>
  <c r="J18925" i="2"/>
  <c r="K18925" i="2"/>
  <c r="L18925" i="2"/>
  <c r="C18926" i="2"/>
  <c r="D18926" i="2"/>
  <c r="F18926" i="2"/>
  <c r="G18926" i="2"/>
  <c r="H18926" i="2"/>
  <c r="J18926" i="2"/>
  <c r="K18926" i="2"/>
  <c r="L18926" i="2"/>
  <c r="C18927" i="2"/>
  <c r="D18927" i="2"/>
  <c r="F18927" i="2"/>
  <c r="G18927" i="2"/>
  <c r="H18927" i="2"/>
  <c r="J18927" i="2"/>
  <c r="K18927" i="2"/>
  <c r="L18927" i="2"/>
  <c r="C18928" i="2"/>
  <c r="D18928" i="2"/>
  <c r="F18928" i="2"/>
  <c r="G18928" i="2"/>
  <c r="H18928" i="2"/>
  <c r="J18928" i="2"/>
  <c r="K18928" i="2"/>
  <c r="L18928" i="2"/>
  <c r="C18929" i="2"/>
  <c r="D18929" i="2"/>
  <c r="F18929" i="2"/>
  <c r="G18929" i="2"/>
  <c r="H18929" i="2"/>
  <c r="J18929" i="2"/>
  <c r="K18929" i="2"/>
  <c r="L18929" i="2"/>
  <c r="C18930" i="2"/>
  <c r="D18930" i="2"/>
  <c r="F18930" i="2"/>
  <c r="G18930" i="2"/>
  <c r="H18930" i="2"/>
  <c r="J18930" i="2"/>
  <c r="K18930" i="2"/>
  <c r="L18930" i="2"/>
  <c r="C18931" i="2"/>
  <c r="D18931" i="2"/>
  <c r="F18931" i="2"/>
  <c r="G18931" i="2"/>
  <c r="H18931" i="2"/>
  <c r="J18931" i="2"/>
  <c r="K18931" i="2"/>
  <c r="L18931" i="2"/>
  <c r="C18932" i="2"/>
  <c r="D18932" i="2"/>
  <c r="F18932" i="2"/>
  <c r="G18932" i="2"/>
  <c r="H18932" i="2"/>
  <c r="J18932" i="2"/>
  <c r="K18932" i="2"/>
  <c r="L18932" i="2"/>
  <c r="C18933" i="2"/>
  <c r="D18933" i="2"/>
  <c r="F18933" i="2"/>
  <c r="G18933" i="2"/>
  <c r="H18933" i="2"/>
  <c r="J18933" i="2"/>
  <c r="K18933" i="2"/>
  <c r="L18933" i="2"/>
  <c r="C18934" i="2"/>
  <c r="D18934" i="2"/>
  <c r="F18934" i="2"/>
  <c r="G18934" i="2"/>
  <c r="H18934" i="2"/>
  <c r="J18934" i="2"/>
  <c r="K18934" i="2"/>
  <c r="L18934" i="2"/>
  <c r="C18935" i="2"/>
  <c r="D18935" i="2"/>
  <c r="F18935" i="2"/>
  <c r="G18935" i="2"/>
  <c r="H18935" i="2"/>
  <c r="J18935" i="2"/>
  <c r="K18935" i="2"/>
  <c r="L18935" i="2"/>
  <c r="C18936" i="2"/>
  <c r="D18936" i="2"/>
  <c r="F18936" i="2"/>
  <c r="G18936" i="2"/>
  <c r="H18936" i="2"/>
  <c r="J18936" i="2"/>
  <c r="K18936" i="2"/>
  <c r="L18936" i="2"/>
  <c r="C18937" i="2"/>
  <c r="D18937" i="2"/>
  <c r="F18937" i="2"/>
  <c r="G18937" i="2"/>
  <c r="H18937" i="2"/>
  <c r="J18937" i="2"/>
  <c r="K18937" i="2"/>
  <c r="L18937" i="2"/>
  <c r="C18938" i="2"/>
  <c r="D18938" i="2"/>
  <c r="F18938" i="2"/>
  <c r="G18938" i="2"/>
  <c r="H18938" i="2"/>
  <c r="J18938" i="2"/>
  <c r="K18938" i="2"/>
  <c r="L18938" i="2"/>
  <c r="C18939" i="2"/>
  <c r="D18939" i="2"/>
  <c r="F18939" i="2"/>
  <c r="G18939" i="2"/>
  <c r="H18939" i="2"/>
  <c r="J18939" i="2"/>
  <c r="K18939" i="2"/>
  <c r="L18939" i="2"/>
  <c r="C18940" i="2"/>
  <c r="D18940" i="2"/>
  <c r="F18940" i="2"/>
  <c r="G18940" i="2"/>
  <c r="H18940" i="2"/>
  <c r="J18940" i="2"/>
  <c r="K18940" i="2"/>
  <c r="L18940" i="2"/>
  <c r="C18941" i="2"/>
  <c r="D18941" i="2"/>
  <c r="F18941" i="2"/>
  <c r="G18941" i="2"/>
  <c r="H18941" i="2"/>
  <c r="J18941" i="2"/>
  <c r="K18941" i="2"/>
  <c r="L18941" i="2"/>
  <c r="C18942" i="2"/>
  <c r="D18942" i="2"/>
  <c r="F18942" i="2"/>
  <c r="G18942" i="2"/>
  <c r="H18942" i="2"/>
  <c r="J18942" i="2"/>
  <c r="K18942" i="2"/>
  <c r="L18942" i="2"/>
  <c r="C18943" i="2"/>
  <c r="D18943" i="2"/>
  <c r="F18943" i="2"/>
  <c r="G18943" i="2"/>
  <c r="H18943" i="2"/>
  <c r="J18943" i="2"/>
  <c r="K18943" i="2"/>
  <c r="L18943" i="2"/>
  <c r="C18944" i="2"/>
  <c r="D18944" i="2"/>
  <c r="F18944" i="2"/>
  <c r="G18944" i="2"/>
  <c r="H18944" i="2"/>
  <c r="J18944" i="2"/>
  <c r="K18944" i="2"/>
  <c r="L18944" i="2"/>
  <c r="C18945" i="2"/>
  <c r="D18945" i="2"/>
  <c r="F18945" i="2"/>
  <c r="G18945" i="2"/>
  <c r="H18945" i="2"/>
  <c r="J18945" i="2"/>
  <c r="K18945" i="2"/>
  <c r="L18945" i="2"/>
  <c r="C18946" i="2"/>
  <c r="D18946" i="2"/>
  <c r="F18946" i="2"/>
  <c r="G18946" i="2"/>
  <c r="H18946" i="2"/>
  <c r="J18946" i="2"/>
  <c r="K18946" i="2"/>
  <c r="L18946" i="2"/>
  <c r="C18947" i="2"/>
  <c r="D18947" i="2"/>
  <c r="F18947" i="2"/>
  <c r="G18947" i="2"/>
  <c r="H18947" i="2"/>
  <c r="J18947" i="2"/>
  <c r="K18947" i="2"/>
  <c r="L18947" i="2"/>
  <c r="C18948" i="2"/>
  <c r="D18948" i="2"/>
  <c r="F18948" i="2"/>
  <c r="G18948" i="2"/>
  <c r="H18948" i="2"/>
  <c r="J18948" i="2"/>
  <c r="K18948" i="2"/>
  <c r="L18948" i="2"/>
  <c r="D18949" i="2"/>
  <c r="F18949" i="2"/>
  <c r="G18949" i="2"/>
  <c r="H18949" i="2"/>
  <c r="J18949" i="2"/>
  <c r="K18949" i="2"/>
  <c r="L18949" i="2"/>
  <c r="C18950" i="2"/>
  <c r="D18950" i="2"/>
  <c r="F18950" i="2"/>
  <c r="G18950" i="2"/>
  <c r="H18950" i="2"/>
  <c r="J18950" i="2"/>
  <c r="K18950" i="2"/>
  <c r="L18950" i="2"/>
  <c r="C18951" i="2"/>
  <c r="D18951" i="2"/>
  <c r="F18951" i="2"/>
  <c r="G18951" i="2"/>
  <c r="H18951" i="2"/>
  <c r="J18951" i="2"/>
  <c r="K18951" i="2"/>
  <c r="L18951" i="2"/>
  <c r="C18952" i="2"/>
  <c r="D18952" i="2"/>
  <c r="F18952" i="2"/>
  <c r="G18952" i="2"/>
  <c r="H18952" i="2"/>
  <c r="J18952" i="2"/>
  <c r="K18952" i="2"/>
  <c r="L18952" i="2"/>
  <c r="C18953" i="2"/>
  <c r="D18953" i="2"/>
  <c r="F18953" i="2"/>
  <c r="G18953" i="2"/>
  <c r="H18953" i="2"/>
  <c r="J18953" i="2"/>
  <c r="K18953" i="2"/>
  <c r="L18953" i="2"/>
  <c r="C18954" i="2"/>
  <c r="D18954" i="2"/>
  <c r="F18954" i="2"/>
  <c r="G18954" i="2"/>
  <c r="H18954" i="2"/>
  <c r="J18954" i="2"/>
  <c r="K18954" i="2"/>
  <c r="L18954" i="2"/>
  <c r="C18955" i="2"/>
  <c r="D18955" i="2"/>
  <c r="F18955" i="2"/>
  <c r="G18955" i="2"/>
  <c r="H18955" i="2"/>
  <c r="J18955" i="2"/>
  <c r="K18955" i="2"/>
  <c r="L18955" i="2"/>
  <c r="C18956" i="2"/>
  <c r="D18956" i="2"/>
  <c r="F18956" i="2"/>
  <c r="G18956" i="2"/>
  <c r="H18956" i="2"/>
  <c r="J18956" i="2"/>
  <c r="K18956" i="2"/>
  <c r="L18956" i="2"/>
  <c r="C18957" i="2"/>
  <c r="D18957" i="2"/>
  <c r="F18957" i="2"/>
  <c r="G18957" i="2"/>
  <c r="H18957" i="2"/>
  <c r="J18957" i="2"/>
  <c r="K18957" i="2"/>
  <c r="L18957" i="2"/>
  <c r="C18958" i="2"/>
  <c r="D18958" i="2"/>
  <c r="F18958" i="2"/>
  <c r="G18958" i="2"/>
  <c r="H18958" i="2"/>
  <c r="J18958" i="2"/>
  <c r="K18958" i="2"/>
  <c r="L18958" i="2"/>
  <c r="C18959" i="2"/>
  <c r="D18959" i="2"/>
  <c r="F18959" i="2"/>
  <c r="G18959" i="2"/>
  <c r="H18959" i="2"/>
  <c r="J18959" i="2"/>
  <c r="K18959" i="2"/>
  <c r="L18959" i="2"/>
  <c r="C18960" i="2"/>
  <c r="D18960" i="2"/>
  <c r="F18960" i="2"/>
  <c r="G18960" i="2"/>
  <c r="H18960" i="2"/>
  <c r="J18960" i="2"/>
  <c r="K18960" i="2"/>
  <c r="L18960" i="2"/>
  <c r="C18961" i="2"/>
  <c r="D18961" i="2"/>
  <c r="F18961" i="2"/>
  <c r="G18961" i="2"/>
  <c r="H18961" i="2"/>
  <c r="J18961" i="2"/>
  <c r="K18961" i="2"/>
  <c r="L18961" i="2"/>
  <c r="C18962" i="2"/>
  <c r="D18962" i="2"/>
  <c r="F18962" i="2"/>
  <c r="G18962" i="2"/>
  <c r="H18962" i="2"/>
  <c r="J18962" i="2"/>
  <c r="K18962" i="2"/>
  <c r="L18962" i="2"/>
  <c r="C18963" i="2"/>
  <c r="D18963" i="2"/>
  <c r="F18963" i="2"/>
  <c r="G18963" i="2"/>
  <c r="H18963" i="2"/>
  <c r="J18963" i="2"/>
  <c r="K18963" i="2"/>
  <c r="L18963" i="2"/>
  <c r="C18964" i="2"/>
  <c r="D18964" i="2"/>
  <c r="F18964" i="2"/>
  <c r="G18964" i="2"/>
  <c r="H18964" i="2"/>
  <c r="J18964" i="2"/>
  <c r="K18964" i="2"/>
  <c r="L18964" i="2"/>
  <c r="C18965" i="2"/>
  <c r="D18965" i="2"/>
  <c r="F18965" i="2"/>
  <c r="G18965" i="2"/>
  <c r="H18965" i="2"/>
  <c r="J18965" i="2"/>
  <c r="K18965" i="2"/>
  <c r="L18965" i="2"/>
  <c r="C18966" i="2"/>
  <c r="D18966" i="2"/>
  <c r="F18966" i="2"/>
  <c r="G18966" i="2"/>
  <c r="H18966" i="2"/>
  <c r="J18966" i="2"/>
  <c r="K18966" i="2"/>
  <c r="L18966" i="2"/>
  <c r="C18967" i="2"/>
  <c r="D18967" i="2"/>
  <c r="F18967" i="2"/>
  <c r="G18967" i="2"/>
  <c r="H18967" i="2"/>
  <c r="J18967" i="2"/>
  <c r="K18967" i="2"/>
  <c r="L18967" i="2"/>
  <c r="C18968" i="2"/>
  <c r="D18968" i="2"/>
  <c r="F18968" i="2"/>
  <c r="G18968" i="2"/>
  <c r="H18968" i="2"/>
  <c r="J18968" i="2"/>
  <c r="K18968" i="2"/>
  <c r="L18968" i="2"/>
  <c r="C18969" i="2"/>
  <c r="D18969" i="2"/>
  <c r="F18969" i="2"/>
  <c r="G18969" i="2"/>
  <c r="H18969" i="2"/>
  <c r="J18969" i="2"/>
  <c r="K18969" i="2"/>
  <c r="L18969" i="2"/>
  <c r="C18970" i="2"/>
  <c r="D18970" i="2"/>
  <c r="F18970" i="2"/>
  <c r="G18970" i="2"/>
  <c r="H18970" i="2"/>
  <c r="J18970" i="2"/>
  <c r="K18970" i="2"/>
  <c r="L18970" i="2"/>
  <c r="C18971" i="2"/>
  <c r="D18971" i="2"/>
  <c r="F18971" i="2"/>
  <c r="G18971" i="2"/>
  <c r="H18971" i="2"/>
  <c r="J18971" i="2"/>
  <c r="K18971" i="2"/>
  <c r="L18971" i="2"/>
  <c r="D18972" i="2"/>
  <c r="F18972" i="2"/>
  <c r="G18972" i="2"/>
  <c r="H18972" i="2"/>
  <c r="J18972" i="2"/>
  <c r="K18972" i="2"/>
  <c r="L18972" i="2"/>
  <c r="C18973" i="2"/>
  <c r="D18973" i="2"/>
  <c r="F18973" i="2"/>
  <c r="G18973" i="2"/>
  <c r="H18973" i="2"/>
  <c r="J18973" i="2"/>
  <c r="K18973" i="2"/>
  <c r="L18973" i="2"/>
  <c r="D18974" i="2"/>
  <c r="F18974" i="2"/>
  <c r="G18974" i="2"/>
  <c r="H18974" i="2"/>
  <c r="J18974" i="2"/>
  <c r="K18974" i="2"/>
  <c r="L18974" i="2"/>
  <c r="D18975" i="2"/>
  <c r="F18975" i="2"/>
  <c r="G18975" i="2"/>
  <c r="H18975" i="2"/>
  <c r="J18975" i="2"/>
  <c r="K18975" i="2"/>
  <c r="L18975" i="2"/>
  <c r="C18976" i="2"/>
  <c r="D18976" i="2"/>
  <c r="F18976" i="2"/>
  <c r="G18976" i="2"/>
  <c r="H18976" i="2"/>
  <c r="J18976" i="2"/>
  <c r="K18976" i="2"/>
  <c r="L18976" i="2"/>
  <c r="C18977" i="2"/>
  <c r="D18977" i="2"/>
  <c r="F18977" i="2"/>
  <c r="G18977" i="2"/>
  <c r="H18977" i="2"/>
  <c r="J18977" i="2"/>
  <c r="K18977" i="2"/>
  <c r="L18977" i="2"/>
  <c r="C18978" i="2"/>
  <c r="D18978" i="2"/>
  <c r="F18978" i="2"/>
  <c r="G18978" i="2"/>
  <c r="H18978" i="2"/>
  <c r="J18978" i="2"/>
  <c r="K18978" i="2"/>
  <c r="L18978" i="2"/>
  <c r="C18979" i="2"/>
  <c r="D18979" i="2"/>
  <c r="F18979" i="2"/>
  <c r="G18979" i="2"/>
  <c r="H18979" i="2"/>
  <c r="J18979" i="2"/>
  <c r="K18979" i="2"/>
  <c r="L18979" i="2"/>
  <c r="C18980" i="2"/>
  <c r="D18980" i="2"/>
  <c r="F18980" i="2"/>
  <c r="G18980" i="2"/>
  <c r="H18980" i="2"/>
  <c r="J18980" i="2"/>
  <c r="K18980" i="2"/>
  <c r="L18980" i="2"/>
  <c r="C18981" i="2"/>
  <c r="D18981" i="2"/>
  <c r="F18981" i="2"/>
  <c r="G18981" i="2"/>
  <c r="H18981" i="2"/>
  <c r="J18981" i="2"/>
  <c r="K18981" i="2"/>
  <c r="L18981" i="2"/>
  <c r="C18982" i="2"/>
  <c r="D18982" i="2"/>
  <c r="F18982" i="2"/>
  <c r="G18982" i="2"/>
  <c r="H18982" i="2"/>
  <c r="J18982" i="2"/>
  <c r="K18982" i="2"/>
  <c r="L18982" i="2"/>
  <c r="C18983" i="2"/>
  <c r="D18983" i="2"/>
  <c r="F18983" i="2"/>
  <c r="G18983" i="2"/>
  <c r="H18983" i="2"/>
  <c r="J18983" i="2"/>
  <c r="K18983" i="2"/>
  <c r="L18983" i="2"/>
  <c r="C18984" i="2"/>
  <c r="D18984" i="2"/>
  <c r="F18984" i="2"/>
  <c r="G18984" i="2"/>
  <c r="H18984" i="2"/>
  <c r="J18984" i="2"/>
  <c r="K18984" i="2"/>
  <c r="L18984" i="2"/>
  <c r="C18985" i="2"/>
  <c r="D18985" i="2"/>
  <c r="F18985" i="2"/>
  <c r="G18985" i="2"/>
  <c r="H18985" i="2"/>
  <c r="J18985" i="2"/>
  <c r="K18985" i="2"/>
  <c r="L18985" i="2"/>
  <c r="C18986" i="2"/>
  <c r="D18986" i="2"/>
  <c r="F18986" i="2"/>
  <c r="G18986" i="2"/>
  <c r="H18986" i="2"/>
  <c r="J18986" i="2"/>
  <c r="K18986" i="2"/>
  <c r="L18986" i="2"/>
  <c r="C18987" i="2"/>
  <c r="D18987" i="2"/>
  <c r="F18987" i="2"/>
  <c r="G18987" i="2"/>
  <c r="H18987" i="2"/>
  <c r="J18987" i="2"/>
  <c r="K18987" i="2"/>
  <c r="L18987" i="2"/>
  <c r="C18988" i="2"/>
  <c r="D18988" i="2"/>
  <c r="F18988" i="2"/>
  <c r="G18988" i="2"/>
  <c r="H18988" i="2"/>
  <c r="J18988" i="2"/>
  <c r="K18988" i="2"/>
  <c r="L18988" i="2"/>
  <c r="C18989" i="2"/>
  <c r="D18989" i="2"/>
  <c r="F18989" i="2"/>
  <c r="G18989" i="2"/>
  <c r="H18989" i="2"/>
  <c r="J18989" i="2"/>
  <c r="K18989" i="2"/>
  <c r="L18989" i="2"/>
  <c r="C18990" i="2"/>
  <c r="D18990" i="2"/>
  <c r="F18990" i="2"/>
  <c r="G18990" i="2"/>
  <c r="H18990" i="2"/>
  <c r="J18990" i="2"/>
  <c r="K18990" i="2"/>
  <c r="L18990" i="2"/>
  <c r="C18991" i="2"/>
  <c r="D18991" i="2"/>
  <c r="F18991" i="2"/>
  <c r="G18991" i="2"/>
  <c r="H18991" i="2"/>
  <c r="J18991" i="2"/>
  <c r="K18991" i="2"/>
  <c r="L18991" i="2"/>
  <c r="C18992" i="2"/>
  <c r="D18992" i="2"/>
  <c r="F18992" i="2"/>
  <c r="G18992" i="2"/>
  <c r="H18992" i="2"/>
  <c r="J18992" i="2"/>
  <c r="K18992" i="2"/>
  <c r="L18992" i="2"/>
  <c r="C18993" i="2"/>
  <c r="D18993" i="2"/>
  <c r="F18993" i="2"/>
  <c r="G18993" i="2"/>
  <c r="H18993" i="2"/>
  <c r="J18993" i="2"/>
  <c r="K18993" i="2"/>
  <c r="L18993" i="2"/>
  <c r="C18994" i="2"/>
  <c r="D18994" i="2"/>
  <c r="F18994" i="2"/>
  <c r="G18994" i="2"/>
  <c r="H18994" i="2"/>
  <c r="J18994" i="2"/>
  <c r="K18994" i="2"/>
  <c r="L18994" i="2"/>
  <c r="C18995" i="2"/>
  <c r="D18995" i="2"/>
  <c r="F18995" i="2"/>
  <c r="G18995" i="2"/>
  <c r="H18995" i="2"/>
  <c r="J18995" i="2"/>
  <c r="K18995" i="2"/>
  <c r="L18995" i="2"/>
  <c r="C18996" i="2"/>
  <c r="D18996" i="2"/>
  <c r="F18996" i="2"/>
  <c r="G18996" i="2"/>
  <c r="H18996" i="2"/>
  <c r="J18996" i="2"/>
  <c r="K18996" i="2"/>
  <c r="L18996" i="2"/>
  <c r="C18997" i="2"/>
  <c r="D18997" i="2"/>
  <c r="F18997" i="2"/>
  <c r="G18997" i="2"/>
  <c r="H18997" i="2"/>
  <c r="J18997" i="2"/>
  <c r="K18997" i="2"/>
  <c r="L18997" i="2"/>
  <c r="C18998" i="2"/>
  <c r="D18998" i="2"/>
  <c r="F18998" i="2"/>
  <c r="G18998" i="2"/>
  <c r="H18998" i="2"/>
  <c r="J18998" i="2"/>
  <c r="K18998" i="2"/>
  <c r="L18998" i="2"/>
  <c r="C18999" i="2"/>
  <c r="D18999" i="2"/>
  <c r="F18999" i="2"/>
  <c r="G18999" i="2"/>
  <c r="H18999" i="2"/>
  <c r="J18999" i="2"/>
  <c r="K18999" i="2"/>
  <c r="L18999" i="2"/>
  <c r="C19000" i="2"/>
  <c r="D19000" i="2"/>
  <c r="F19000" i="2"/>
  <c r="G19000" i="2"/>
  <c r="H19000" i="2"/>
  <c r="J19000" i="2"/>
  <c r="K19000" i="2"/>
  <c r="L19000" i="2"/>
  <c r="C19001" i="2"/>
  <c r="D19001" i="2"/>
  <c r="F19001" i="2"/>
  <c r="G19001" i="2"/>
  <c r="H19001" i="2"/>
  <c r="J19001" i="2"/>
  <c r="K19001" i="2"/>
  <c r="L19001" i="2"/>
  <c r="C19002" i="2"/>
  <c r="D19002" i="2"/>
  <c r="F19002" i="2"/>
  <c r="G19002" i="2"/>
  <c r="H19002" i="2"/>
  <c r="J19002" i="2"/>
  <c r="K19002" i="2"/>
  <c r="L19002" i="2"/>
  <c r="C19003" i="2"/>
  <c r="D19003" i="2"/>
  <c r="F19003" i="2"/>
  <c r="G19003" i="2"/>
  <c r="H19003" i="2"/>
  <c r="J19003" i="2"/>
  <c r="K19003" i="2"/>
  <c r="L19003" i="2"/>
  <c r="C19004" i="2"/>
  <c r="D19004" i="2"/>
  <c r="F19004" i="2"/>
  <c r="G19004" i="2"/>
  <c r="H19004" i="2"/>
  <c r="J19004" i="2"/>
  <c r="K19004" i="2"/>
  <c r="L19004" i="2"/>
  <c r="C19005" i="2"/>
  <c r="D19005" i="2"/>
  <c r="F19005" i="2"/>
  <c r="G19005" i="2"/>
  <c r="H19005" i="2"/>
  <c r="J19005" i="2"/>
  <c r="K19005" i="2"/>
  <c r="L19005" i="2"/>
  <c r="C19006" i="2"/>
  <c r="D19006" i="2"/>
  <c r="F19006" i="2"/>
  <c r="G19006" i="2"/>
  <c r="H19006" i="2"/>
  <c r="J19006" i="2"/>
  <c r="K19006" i="2"/>
  <c r="L19006" i="2"/>
  <c r="C19007" i="2"/>
  <c r="D19007" i="2"/>
  <c r="F19007" i="2"/>
  <c r="G19007" i="2"/>
  <c r="H19007" i="2"/>
  <c r="J19007" i="2"/>
  <c r="K19007" i="2"/>
  <c r="L19007" i="2"/>
  <c r="C19008" i="2"/>
  <c r="D19008" i="2"/>
  <c r="F19008" i="2"/>
  <c r="G19008" i="2"/>
  <c r="J19008" i="2"/>
  <c r="K19008" i="2"/>
  <c r="L19008" i="2"/>
  <c r="C19009" i="2"/>
  <c r="D19009" i="2"/>
  <c r="F19009" i="2"/>
  <c r="G19009" i="2"/>
  <c r="J19009" i="2"/>
  <c r="K19009" i="2"/>
  <c r="L19009" i="2"/>
</calcChain>
</file>

<file path=xl/sharedStrings.xml><?xml version="1.0" encoding="utf-8"?>
<sst xmlns="http://schemas.openxmlformats.org/spreadsheetml/2006/main" count="116701" uniqueCount="1400">
  <si>
    <t>KT(v4)</t>
    <phoneticPr fontId="1" type="noConversion"/>
  </si>
  <si>
    <t>SKB</t>
    <phoneticPr fontId="1" type="noConversion"/>
  </si>
  <si>
    <t>드림라인</t>
    <phoneticPr fontId="1" type="noConversion"/>
  </si>
  <si>
    <t>LG(v4)</t>
    <phoneticPr fontId="1" type="noConversion"/>
  </si>
  <si>
    <t>SKT(v6)</t>
    <phoneticPr fontId="1" type="noConversion"/>
  </si>
  <si>
    <t>무선</t>
    <phoneticPr fontId="1" type="noConversion"/>
  </si>
  <si>
    <t>비고</t>
    <phoneticPr fontId="1" type="noConversion"/>
  </si>
  <si>
    <t>LG</t>
    <phoneticPr fontId="1" type="noConversion"/>
  </si>
  <si>
    <t>PLC</t>
  </si>
  <si>
    <t xml:space="preserve"> </t>
  </si>
  <si>
    <t>정상</t>
  </si>
  <si>
    <t>기타</t>
  </si>
  <si>
    <t>PING FAIL</t>
  </si>
  <si>
    <t>서울본부직할</t>
  </si>
  <si>
    <t>계기 없음</t>
  </si>
  <si>
    <t>K-DCU</t>
  </si>
  <si>
    <t>보강</t>
  </si>
  <si>
    <t>HPGP</t>
  </si>
  <si>
    <t>간선망 장애</t>
  </si>
  <si>
    <t>강북성북지사</t>
  </si>
  <si>
    <t>마포용산지사</t>
  </si>
  <si>
    <t>서대문은평지사</t>
  </si>
  <si>
    <t>노원도봉지사</t>
  </si>
  <si>
    <t>광진성동지사</t>
  </si>
  <si>
    <t>동대문중랑지사</t>
  </si>
  <si>
    <t>DCU 등록시간</t>
  </si>
  <si>
    <t>서버시간</t>
  </si>
  <si>
    <t>성공/전체계기</t>
  </si>
  <si>
    <t>인입망 통신방식</t>
  </si>
  <si>
    <t>변대주명</t>
  </si>
  <si>
    <t>변대주번호</t>
  </si>
  <si>
    <t>DCU IP</t>
  </si>
  <si>
    <t>장애여부</t>
  </si>
  <si>
    <t>DCU ID</t>
  </si>
  <si>
    <t>차수</t>
  </si>
  <si>
    <t>지사</t>
  </si>
  <si>
    <t>통신사</t>
    <phoneticPr fontId="1" type="noConversion"/>
  </si>
  <si>
    <t>회선상태</t>
    <phoneticPr fontId="1" type="noConversion"/>
  </si>
  <si>
    <t>개통</t>
    <phoneticPr fontId="1" type="noConversion"/>
  </si>
  <si>
    <t>정지</t>
    <phoneticPr fontId="1" type="noConversion"/>
  </si>
  <si>
    <t>오차</t>
    <phoneticPr fontId="1" type="noConversion"/>
  </si>
  <si>
    <t>보강대상</t>
    <phoneticPr fontId="1" type="noConversion"/>
  </si>
  <si>
    <t>Kt(v6)</t>
    <phoneticPr fontId="1" type="noConversion"/>
  </si>
  <si>
    <t>-</t>
    <phoneticPr fontId="1" type="noConversion"/>
  </si>
  <si>
    <t>해지</t>
    <phoneticPr fontId="1" type="noConversion"/>
  </si>
  <si>
    <t>LG(유선)</t>
    <phoneticPr fontId="1" type="noConversion"/>
  </si>
  <si>
    <t>정상</t>
    <phoneticPr fontId="1" type="noConversion"/>
  </si>
  <si>
    <t>K-AMI운영수량</t>
    <phoneticPr fontId="1" type="noConversion"/>
  </si>
  <si>
    <t>드림</t>
    <phoneticPr fontId="1" type="noConversion"/>
  </si>
  <si>
    <t>회선개통수량</t>
    <phoneticPr fontId="1" type="noConversion"/>
  </si>
  <si>
    <t>요금납부수량</t>
    <phoneticPr fontId="1" type="noConversion"/>
  </si>
  <si>
    <t>유지보수용 선개통</t>
    <phoneticPr fontId="1" type="noConversion"/>
  </si>
  <si>
    <t>정지, 해지대상</t>
    <phoneticPr fontId="1" type="noConversion"/>
  </si>
  <si>
    <t>계</t>
    <phoneticPr fontId="1" type="noConversion"/>
  </si>
  <si>
    <t>구분</t>
    <phoneticPr fontId="1" type="noConversion"/>
  </si>
  <si>
    <t>1차</t>
  </si>
  <si>
    <t>0127X54300</t>
  </si>
  <si>
    <t>10.89.245.131</t>
  </si>
  <si>
    <t>0127X543</t>
  </si>
  <si>
    <t>제기간 44</t>
  </si>
  <si>
    <t>4차</t>
  </si>
  <si>
    <t>0227E90144</t>
  </si>
  <si>
    <t>10.10.54.122</t>
  </si>
  <si>
    <t>0227E901</t>
  </si>
  <si>
    <t>경희로SW 4R3R1</t>
  </si>
  <si>
    <t>0227G96544</t>
  </si>
  <si>
    <t>10.10.48.114</t>
  </si>
  <si>
    <t>0227G965</t>
  </si>
  <si>
    <t>연구간 17</t>
  </si>
  <si>
    <t>0227H97344</t>
  </si>
  <si>
    <t>10.10.52.146</t>
  </si>
  <si>
    <t>0227H973</t>
  </si>
  <si>
    <t>청용간 18</t>
  </si>
  <si>
    <t>0326Q87239</t>
  </si>
  <si>
    <t>10.12.130.118</t>
  </si>
  <si>
    <t>0326Q872</t>
  </si>
  <si>
    <t>장평간 6R14R1T1</t>
  </si>
  <si>
    <t>0326W08539</t>
  </si>
  <si>
    <t>10.12.130.116</t>
  </si>
  <si>
    <t>0326W085</t>
  </si>
  <si>
    <t>장평간 6R18T1</t>
  </si>
  <si>
    <t>0327F35231</t>
  </si>
  <si>
    <t>10.10.17.147</t>
  </si>
  <si>
    <t>0327F352</t>
  </si>
  <si>
    <t>신배간 18L3</t>
  </si>
  <si>
    <t>0327X43244</t>
  </si>
  <si>
    <t>10.10.56.42</t>
  </si>
  <si>
    <t>0327X432</t>
  </si>
  <si>
    <t>면오간 22R10R1</t>
  </si>
  <si>
    <t>0328E89144</t>
  </si>
  <si>
    <t>10.10.44.218</t>
  </si>
  <si>
    <t>0328E891</t>
  </si>
  <si>
    <t>신묵간 11</t>
  </si>
  <si>
    <t>3차</t>
  </si>
  <si>
    <t>0328F54239</t>
  </si>
  <si>
    <t>10.10.8.42</t>
  </si>
  <si>
    <t>0328F542</t>
  </si>
  <si>
    <t>묵동지 16L2</t>
  </si>
  <si>
    <t>0328W95239</t>
  </si>
  <si>
    <t>10.10.7.186</t>
  </si>
  <si>
    <t>0328W952</t>
  </si>
  <si>
    <t>신중간 29L2</t>
  </si>
  <si>
    <t>0328Y51439</t>
  </si>
  <si>
    <t>10.10.40.26</t>
  </si>
  <si>
    <t>0328Y514</t>
  </si>
  <si>
    <t>동이간 26</t>
  </si>
  <si>
    <t>0328Z95139</t>
  </si>
  <si>
    <t>10.10.7.218</t>
  </si>
  <si>
    <t>0328Z951</t>
  </si>
  <si>
    <t>한독간 25</t>
  </si>
  <si>
    <t>0328Z97130</t>
  </si>
  <si>
    <t>10.10.4.130</t>
  </si>
  <si>
    <t>0328Z971</t>
  </si>
  <si>
    <t>한독간 20</t>
  </si>
  <si>
    <t>2차</t>
  </si>
  <si>
    <t>0426C18429</t>
  </si>
  <si>
    <t>10.89.246.34</t>
  </si>
  <si>
    <t>0426C184</t>
  </si>
  <si>
    <t>덕수간 28</t>
  </si>
  <si>
    <t>0427A52300</t>
  </si>
  <si>
    <t>10.89.254.18</t>
  </si>
  <si>
    <t>0427A523</t>
  </si>
  <si>
    <t>상이간 4</t>
  </si>
  <si>
    <t>5-2차</t>
  </si>
  <si>
    <t>0427H7115M</t>
  </si>
  <si>
    <t>fde3:102:1430:8400:0:0:0:22</t>
  </si>
  <si>
    <t>0427H711</t>
  </si>
  <si>
    <t>우일간 76R1</t>
  </si>
  <si>
    <t>0427Q16100</t>
  </si>
  <si>
    <t>10.89.247.77</t>
  </si>
  <si>
    <t>0427Q161</t>
  </si>
  <si>
    <t>상능간 19R19R2</t>
  </si>
  <si>
    <t>0428A19339</t>
  </si>
  <si>
    <t>10.10.20.34</t>
  </si>
  <si>
    <t>0428A193</t>
  </si>
  <si>
    <t>묵동지 34R10</t>
  </si>
  <si>
    <t>0429S06439</t>
  </si>
  <si>
    <t>10.12.132.95</t>
  </si>
  <si>
    <t>0429S064</t>
  </si>
  <si>
    <t>신내 49-1</t>
  </si>
  <si>
    <t>0224E47301</t>
  </si>
  <si>
    <t>10.125.0.60</t>
  </si>
  <si>
    <t>0224E473</t>
  </si>
  <si>
    <t>대종간 7L2R2</t>
  </si>
  <si>
    <t>0225S18144</t>
  </si>
  <si>
    <t>10.11.76.178</t>
  </si>
  <si>
    <t>0225S181</t>
  </si>
  <si>
    <t>뚝섬간 20L7</t>
  </si>
  <si>
    <t>0324H26244</t>
  </si>
  <si>
    <t>10.125.119.226</t>
  </si>
  <si>
    <t>0324H262</t>
  </si>
  <si>
    <t>자양간 15R5R3</t>
  </si>
  <si>
    <t>0325S11244</t>
  </si>
  <si>
    <t>10.11.75.122</t>
  </si>
  <si>
    <t>0325S112</t>
  </si>
  <si>
    <t>화성간 22L15R6A2</t>
  </si>
  <si>
    <t>0325Z16339</t>
  </si>
  <si>
    <t>10.11.51.146</t>
  </si>
  <si>
    <t>0325Z163</t>
  </si>
  <si>
    <t>광나루 81R3R1</t>
  </si>
  <si>
    <t>0424C60139</t>
  </si>
  <si>
    <t>10.11.57.130</t>
  </si>
  <si>
    <t>0424C601</t>
  </si>
  <si>
    <t>자양간 37H1R2</t>
  </si>
  <si>
    <t>0425B83220</t>
  </si>
  <si>
    <t>10.125.116.5</t>
  </si>
  <si>
    <t>0425B832</t>
  </si>
  <si>
    <t>고랑지 6R2L1</t>
  </si>
  <si>
    <t>0425C48439</t>
  </si>
  <si>
    <t>10.11.57.218</t>
  </si>
  <si>
    <t>0425C484</t>
  </si>
  <si>
    <t>광장간 30L14H1</t>
  </si>
  <si>
    <t>0525R17244</t>
  </si>
  <si>
    <t>10.11.69.2</t>
  </si>
  <si>
    <t>0525R172</t>
  </si>
  <si>
    <t>아차지 12R2R1</t>
  </si>
  <si>
    <t>0130F66320</t>
  </si>
  <si>
    <t>10.26.96.210</t>
  </si>
  <si>
    <t>0130F663</t>
  </si>
  <si>
    <t>쌍문간 49</t>
  </si>
  <si>
    <t>0131D83129</t>
  </si>
  <si>
    <t>10.107.250.130</t>
  </si>
  <si>
    <t>0131D831</t>
  </si>
  <si>
    <t>도우지 47</t>
  </si>
  <si>
    <t>0131H53220</t>
  </si>
  <si>
    <t>10.10.4.242</t>
  </si>
  <si>
    <t>0131H532</t>
  </si>
  <si>
    <t>자연간 45</t>
  </si>
  <si>
    <t>0131H64221</t>
  </si>
  <si>
    <t>10.10.4.243</t>
  </si>
  <si>
    <t>0131H642</t>
  </si>
  <si>
    <t>자연간 46</t>
  </si>
  <si>
    <t>0131Q85120</t>
  </si>
  <si>
    <t>10.107.129.165</t>
  </si>
  <si>
    <t>0131Q851</t>
  </si>
  <si>
    <t>자연간 22L13</t>
  </si>
  <si>
    <t>0131W71220</t>
  </si>
  <si>
    <t>10.10.4.170</t>
  </si>
  <si>
    <t>0131W712</t>
  </si>
  <si>
    <t>자연간 17</t>
  </si>
  <si>
    <t>0230C35439</t>
  </si>
  <si>
    <t>10.10.12.66</t>
  </si>
  <si>
    <t>0230C354</t>
  </si>
  <si>
    <t>신창간 85L3</t>
  </si>
  <si>
    <t>0231B38244</t>
  </si>
  <si>
    <t>10.107.250.173</t>
  </si>
  <si>
    <t>0231B382</t>
  </si>
  <si>
    <t>도봉SW 16R2</t>
  </si>
  <si>
    <t>0231D88329</t>
  </si>
  <si>
    <t>10.107.249.72</t>
  </si>
  <si>
    <t>0231D883</t>
  </si>
  <si>
    <t>쌍용간 10</t>
  </si>
  <si>
    <t>0231Q15239</t>
  </si>
  <si>
    <t>10.10.8.186</t>
  </si>
  <si>
    <t>0231Q152</t>
  </si>
  <si>
    <t>창동간 39R4</t>
  </si>
  <si>
    <t>0231S96144</t>
  </si>
  <si>
    <t>10.107.135.75</t>
  </si>
  <si>
    <t>0231S961</t>
  </si>
  <si>
    <t>창동간 31R23</t>
  </si>
  <si>
    <t>5-1차</t>
  </si>
  <si>
    <t>0232D6535S</t>
  </si>
  <si>
    <t>fde3:102:1420:5400:0:0:0:d</t>
  </si>
  <si>
    <t>0232D653</t>
  </si>
  <si>
    <t>산장지 45R7</t>
  </si>
  <si>
    <t>0232S7325S</t>
  </si>
  <si>
    <t>fde1:103:4:5971:0:0:0:2</t>
  </si>
  <si>
    <t>0232S732</t>
  </si>
  <si>
    <t>쌍용간 36L3L2</t>
  </si>
  <si>
    <t>0329E43139</t>
  </si>
  <si>
    <t>10.12.136.70</t>
  </si>
  <si>
    <t>0329E431</t>
  </si>
  <si>
    <t>하계 32</t>
  </si>
  <si>
    <t>0329E61139</t>
  </si>
  <si>
    <t>10.12.136.59</t>
  </si>
  <si>
    <t>0329E611</t>
  </si>
  <si>
    <t>하계 37</t>
  </si>
  <si>
    <t>0329G58344</t>
  </si>
  <si>
    <t>10.107.120.235</t>
  </si>
  <si>
    <t>0329G583</t>
  </si>
  <si>
    <t>중계간 8</t>
  </si>
  <si>
    <t>0330Y23145</t>
  </si>
  <si>
    <t>10.14.1.21</t>
  </si>
  <si>
    <t>0330Y231</t>
  </si>
  <si>
    <t>하계 12A</t>
  </si>
  <si>
    <t>0330Y54244</t>
  </si>
  <si>
    <t>10.107.249.226</t>
  </si>
  <si>
    <t>0330Y542</t>
  </si>
  <si>
    <t>공릉지 10</t>
  </si>
  <si>
    <t>0431R30341</t>
  </si>
  <si>
    <t>10.12.129.149</t>
  </si>
  <si>
    <t>0431R303</t>
  </si>
  <si>
    <t>은혜지 1L17</t>
  </si>
  <si>
    <t>9626F85100</t>
  </si>
  <si>
    <t>10.128.111.18</t>
  </si>
  <si>
    <t>9626F851</t>
  </si>
  <si>
    <t>홍남간 74</t>
  </si>
  <si>
    <t>9627E23244</t>
  </si>
  <si>
    <t>10.128.74.50</t>
  </si>
  <si>
    <t>9627E232</t>
  </si>
  <si>
    <t>수색간 84L8</t>
  </si>
  <si>
    <t>9627E62144</t>
  </si>
  <si>
    <t>10.10.130.26</t>
  </si>
  <si>
    <t>9627E621</t>
  </si>
  <si>
    <t>수색간 89</t>
  </si>
  <si>
    <t>9627G13200</t>
  </si>
  <si>
    <t>10.128.2.131</t>
  </si>
  <si>
    <t>9627G132</t>
  </si>
  <si>
    <t>숭실간 31R15L2</t>
  </si>
  <si>
    <t>9627Q61100</t>
  </si>
  <si>
    <t>10.128.2.139</t>
  </si>
  <si>
    <t>9627Q611</t>
  </si>
  <si>
    <t>수색간 48R2R2</t>
  </si>
  <si>
    <t>9628E07239</t>
  </si>
  <si>
    <t>10.128.73.34</t>
  </si>
  <si>
    <t>9628E072</t>
  </si>
  <si>
    <t>용두간 4H1</t>
  </si>
  <si>
    <t>9628G51100</t>
  </si>
  <si>
    <t>10.128.71.19</t>
  </si>
  <si>
    <t>9628G511</t>
  </si>
  <si>
    <t>역말간 39L1R4L2</t>
  </si>
  <si>
    <t>9628H21144</t>
  </si>
  <si>
    <t>10.10.81.234</t>
  </si>
  <si>
    <t>9628H211</t>
  </si>
  <si>
    <t>서오간 11R2L1</t>
  </si>
  <si>
    <t>9628W02300</t>
  </si>
  <si>
    <t>10.128.1.12</t>
  </si>
  <si>
    <t>9628W023</t>
  </si>
  <si>
    <t>갈색지 32</t>
  </si>
  <si>
    <t>9628W60100</t>
  </si>
  <si>
    <t>10.128.1.29</t>
  </si>
  <si>
    <t>9628W601</t>
  </si>
  <si>
    <t>갈색지 41R25</t>
  </si>
  <si>
    <t>9628W96439</t>
  </si>
  <si>
    <t>10.128.74.139</t>
  </si>
  <si>
    <t>9628W964</t>
  </si>
  <si>
    <t>신사간 18R21</t>
  </si>
  <si>
    <t>9628X14102</t>
  </si>
  <si>
    <t>10.128.73.28</t>
  </si>
  <si>
    <t>9628X141</t>
  </si>
  <si>
    <t>역말간 32R5</t>
  </si>
  <si>
    <t>9628X81300</t>
  </si>
  <si>
    <t>10.128.71.107</t>
  </si>
  <si>
    <t>9628X813</t>
  </si>
  <si>
    <t>갈촌간 3L13</t>
  </si>
  <si>
    <t>9629W93101</t>
  </si>
  <si>
    <t>10.128.71.106</t>
  </si>
  <si>
    <t>9629W931</t>
  </si>
  <si>
    <t>갈현간 24R4A1</t>
  </si>
  <si>
    <t>9725B63100</t>
  </si>
  <si>
    <t>10.128.97.210</t>
  </si>
  <si>
    <t>9725B631</t>
  </si>
  <si>
    <t>창천간 30</t>
  </si>
  <si>
    <t>9725E34344</t>
  </si>
  <si>
    <t>10.10.130.170</t>
  </si>
  <si>
    <t>9725E343</t>
  </si>
  <si>
    <t>창천간 1R10A1H1</t>
  </si>
  <si>
    <t>9726B39144</t>
  </si>
  <si>
    <t>10.10.80.218</t>
  </si>
  <si>
    <t>9726B391</t>
  </si>
  <si>
    <t>홍은간 5</t>
  </si>
  <si>
    <t>9726B84300</t>
  </si>
  <si>
    <t>10.128.99.242</t>
  </si>
  <si>
    <t>9726B843</t>
  </si>
  <si>
    <t>연촌간 72L4L15L2</t>
  </si>
  <si>
    <t>9726G44400</t>
  </si>
  <si>
    <t>10.128.32.139</t>
  </si>
  <si>
    <t>9726G444</t>
  </si>
  <si>
    <t>화교간 9L2</t>
  </si>
  <si>
    <t>9727H02100</t>
  </si>
  <si>
    <t>10.128.32.185</t>
  </si>
  <si>
    <t>9727H021</t>
  </si>
  <si>
    <t>백련간 14L1L1L7</t>
  </si>
  <si>
    <t>9727P40100</t>
  </si>
  <si>
    <t>10.128.115.61</t>
  </si>
  <si>
    <t>9727P401</t>
  </si>
  <si>
    <t>홍은간 26</t>
  </si>
  <si>
    <t>9727R39139</t>
  </si>
  <si>
    <t>10.128.114.40</t>
  </si>
  <si>
    <t>9727R391</t>
  </si>
  <si>
    <t>명지간 5</t>
  </si>
  <si>
    <t>9727R59139</t>
  </si>
  <si>
    <t>10.128.114.45</t>
  </si>
  <si>
    <t>9727R591</t>
  </si>
  <si>
    <t>홍은간 25</t>
  </si>
  <si>
    <t>9727R68400</t>
  </si>
  <si>
    <t>10.128.115.60</t>
  </si>
  <si>
    <t>9727R684</t>
  </si>
  <si>
    <t>홍은간 22</t>
  </si>
  <si>
    <t>9727S11139</t>
  </si>
  <si>
    <t>10.128.115.9</t>
  </si>
  <si>
    <t>9727S111</t>
  </si>
  <si>
    <t>홍은간 9</t>
  </si>
  <si>
    <t>9727S12239</t>
  </si>
  <si>
    <t>10.128.34.79</t>
  </si>
  <si>
    <t>9727S122</t>
  </si>
  <si>
    <t>두산간 29</t>
  </si>
  <si>
    <t>9727S13100</t>
  </si>
  <si>
    <t>10.128.32.198</t>
  </si>
  <si>
    <t>9727S131</t>
  </si>
  <si>
    <t>두산간 30</t>
  </si>
  <si>
    <t>9728B01200</t>
  </si>
  <si>
    <t>10.128.1.244</t>
  </si>
  <si>
    <t>9728B012</t>
  </si>
  <si>
    <t>대조간 16</t>
  </si>
  <si>
    <t>9728C51201</t>
  </si>
  <si>
    <t>10.128.2.221</t>
  </si>
  <si>
    <t>9728C512</t>
  </si>
  <si>
    <t>응암간 22L2R1</t>
  </si>
  <si>
    <t>9728Q80101</t>
  </si>
  <si>
    <t>10.128.66.43</t>
  </si>
  <si>
    <t>9728Q801</t>
  </si>
  <si>
    <t>응암간 54L13</t>
  </si>
  <si>
    <t>9729R46501</t>
  </si>
  <si>
    <t>10.128.2.90</t>
  </si>
  <si>
    <t>9729R465</t>
  </si>
  <si>
    <t>불광간 8R3</t>
  </si>
  <si>
    <t>0024Q2445S</t>
  </si>
  <si>
    <t>fde3:102:1301:b01:0:0:0:2</t>
  </si>
  <si>
    <t>0024Q244</t>
  </si>
  <si>
    <t>한보간 44L3</t>
  </si>
  <si>
    <t>0024Q41142</t>
  </si>
  <si>
    <t>10.125.224.162</t>
  </si>
  <si>
    <t>0024Q411</t>
  </si>
  <si>
    <t>동보간 29R3</t>
  </si>
  <si>
    <t>0124A00230</t>
  </si>
  <si>
    <t>10.10.41.114</t>
  </si>
  <si>
    <t>0124A002</t>
  </si>
  <si>
    <t>보광간 60</t>
  </si>
  <si>
    <t>9525F77144</t>
  </si>
  <si>
    <t>10.10.139.130</t>
  </si>
  <si>
    <t>9525F771</t>
  </si>
  <si>
    <t>동국지 28R1</t>
  </si>
  <si>
    <t>9525F77244</t>
  </si>
  <si>
    <t>10.10.141.42</t>
  </si>
  <si>
    <t>9525F772</t>
  </si>
  <si>
    <t>동국지 28R2</t>
  </si>
  <si>
    <t>9525F78144</t>
  </si>
  <si>
    <t>10.10.139.170</t>
  </si>
  <si>
    <t>9525F781</t>
  </si>
  <si>
    <t>동국지 28R3</t>
  </si>
  <si>
    <t>9525F86144</t>
  </si>
  <si>
    <t>10.10.139.114</t>
  </si>
  <si>
    <t>9525F861</t>
  </si>
  <si>
    <t>동국지 26</t>
  </si>
  <si>
    <t>9625X21139</t>
  </si>
  <si>
    <t>10.10.30.178</t>
  </si>
  <si>
    <t>9625X211</t>
  </si>
  <si>
    <t>서교지 1L3</t>
  </si>
  <si>
    <t>9725C54139</t>
  </si>
  <si>
    <t>10.10.36.26</t>
  </si>
  <si>
    <t>9725C541</t>
  </si>
  <si>
    <t>양화간 15R16R3L3</t>
  </si>
  <si>
    <t>9725D03230</t>
  </si>
  <si>
    <t>10.10.35.202</t>
  </si>
  <si>
    <t>9725D032</t>
  </si>
  <si>
    <t>양화간 15R16R10</t>
  </si>
  <si>
    <t>9725H48539</t>
  </si>
  <si>
    <t>10.12.132.93</t>
  </si>
  <si>
    <t>9725H485</t>
  </si>
  <si>
    <t>신촌로 22</t>
  </si>
  <si>
    <t>9725P16239</t>
  </si>
  <si>
    <t>10.10.32.90</t>
  </si>
  <si>
    <t>9725P162</t>
  </si>
  <si>
    <t>홍익지 11L2</t>
  </si>
  <si>
    <t>9725P27230</t>
  </si>
  <si>
    <t>10.10.32.74</t>
  </si>
  <si>
    <t>9725P272</t>
  </si>
  <si>
    <t>홍익지 13</t>
  </si>
  <si>
    <t>9725P38230</t>
  </si>
  <si>
    <t>10.10.37.82</t>
  </si>
  <si>
    <t>9725P382</t>
  </si>
  <si>
    <t>양화간 36AL7</t>
  </si>
  <si>
    <t>9725Q62239</t>
  </si>
  <si>
    <t>10.10.41.130</t>
  </si>
  <si>
    <t>9725Q622</t>
  </si>
  <si>
    <t>신상간 27H1L1</t>
  </si>
  <si>
    <t>9725R26439</t>
  </si>
  <si>
    <t>10.10.33.18</t>
  </si>
  <si>
    <t>9725R264</t>
  </si>
  <si>
    <t>당포간 19R1L1</t>
  </si>
  <si>
    <t>9725S75139</t>
  </si>
  <si>
    <t>10.10.33.2</t>
  </si>
  <si>
    <t>9725S751</t>
  </si>
  <si>
    <t>당포간 52</t>
  </si>
  <si>
    <t>9726R92144</t>
  </si>
  <si>
    <t>10.10.79.18</t>
  </si>
  <si>
    <t>9726R921</t>
  </si>
  <si>
    <t>동신지 24L4</t>
  </si>
  <si>
    <t>9824S77101</t>
  </si>
  <si>
    <t>10.12.134.169</t>
  </si>
  <si>
    <t>9824S771</t>
  </si>
  <si>
    <t>수도지 12</t>
  </si>
  <si>
    <t>9925Y27144</t>
  </si>
  <si>
    <t>10.10.67.2</t>
  </si>
  <si>
    <t>9925Y271</t>
  </si>
  <si>
    <t>해암지 22R9R3</t>
  </si>
  <si>
    <t>0028G23200</t>
  </si>
  <si>
    <t>10.107.4.187</t>
  </si>
  <si>
    <t>0028G232</t>
  </si>
  <si>
    <t>국민간 60L5</t>
  </si>
  <si>
    <t>0030F91200</t>
  </si>
  <si>
    <t>10.107.122.134</t>
  </si>
  <si>
    <t>0030F912</t>
  </si>
  <si>
    <t>한신지 8</t>
  </si>
  <si>
    <t>0128E6625M</t>
  </si>
  <si>
    <t>fde3:102:1410:1200:0:0:0:3</t>
  </si>
  <si>
    <t>0128E662</t>
  </si>
  <si>
    <t>송천간 54R2L2</t>
  </si>
  <si>
    <t>0128Z59100</t>
  </si>
  <si>
    <t>10.107.124.34</t>
  </si>
  <si>
    <t>0128Z591</t>
  </si>
  <si>
    <t>종암지 11</t>
  </si>
  <si>
    <t>0129E03139</t>
  </si>
  <si>
    <t>10.107.123.13</t>
  </si>
  <si>
    <t>0129E031</t>
  </si>
  <si>
    <t>솔샘간 17R2R7</t>
  </si>
  <si>
    <t>0129G9425M</t>
  </si>
  <si>
    <t>fde3:102:1410:1300:0:0:0:2</t>
  </si>
  <si>
    <t>0129G942</t>
  </si>
  <si>
    <t>신일간 36L6HL1</t>
  </si>
  <si>
    <t>0129W39244</t>
  </si>
  <si>
    <t>10.107.15.41</t>
  </si>
  <si>
    <t>0129W392</t>
  </si>
  <si>
    <t>솔샘간 29R9</t>
  </si>
  <si>
    <t>0130R90239</t>
  </si>
  <si>
    <t>10.107.122.169</t>
  </si>
  <si>
    <t>0130R902</t>
  </si>
  <si>
    <t>삼원간 42</t>
  </si>
  <si>
    <t>0130W43139</t>
  </si>
  <si>
    <t>10.107.122.195</t>
  </si>
  <si>
    <t>0130W431</t>
  </si>
  <si>
    <t>구청지 40R2</t>
  </si>
  <si>
    <t>0228G60239</t>
  </si>
  <si>
    <t>10.107.124.22</t>
  </si>
  <si>
    <t>0228G602</t>
  </si>
  <si>
    <t>석관간 58L1R3</t>
  </si>
  <si>
    <t>0228H68139</t>
  </si>
  <si>
    <t>10.107.8.44</t>
  </si>
  <si>
    <t>0228H681</t>
  </si>
  <si>
    <t>석관간 44</t>
  </si>
  <si>
    <t>0228P45230</t>
  </si>
  <si>
    <t>10.107.119.4</t>
  </si>
  <si>
    <t>0228P452</t>
  </si>
  <si>
    <t>율곡지 19</t>
  </si>
  <si>
    <t>0228Q22939</t>
  </si>
  <si>
    <t>10.12.133.242</t>
  </si>
  <si>
    <t>0228Q229</t>
  </si>
  <si>
    <t>동덕 7</t>
  </si>
  <si>
    <t>0228Q75144</t>
  </si>
  <si>
    <t>10.107.12.85</t>
  </si>
  <si>
    <t>0228Q751</t>
  </si>
  <si>
    <t>월암간 39</t>
  </si>
  <si>
    <t>0328D25230</t>
  </si>
  <si>
    <t>10.107.121.85</t>
  </si>
  <si>
    <t>0328D252</t>
  </si>
  <si>
    <t>석관간 11</t>
  </si>
  <si>
    <t>0025F26139</t>
  </si>
  <si>
    <t>10.11.13.186</t>
  </si>
  <si>
    <t>0025F261</t>
  </si>
  <si>
    <t>무학지 3L5</t>
  </si>
  <si>
    <t>0025W82220</t>
  </si>
  <si>
    <t>10.11.9.106</t>
  </si>
  <si>
    <t>0025W822</t>
  </si>
  <si>
    <t>성곽길 16</t>
  </si>
  <si>
    <t>0025W83121</t>
  </si>
  <si>
    <t>10.11.9.107</t>
  </si>
  <si>
    <t>0025W831</t>
  </si>
  <si>
    <t>성곽길 17L1</t>
  </si>
  <si>
    <t>0026C01239</t>
  </si>
  <si>
    <t>10.11.34.218</t>
  </si>
  <si>
    <t>0026C012</t>
  </si>
  <si>
    <t>별궁지 2R1</t>
  </si>
  <si>
    <t>0026C61431</t>
  </si>
  <si>
    <t>10.11.19.91</t>
  </si>
  <si>
    <t>0026C614</t>
  </si>
  <si>
    <t>창덕궁간 7R2R6</t>
  </si>
  <si>
    <t>0026C62139</t>
  </si>
  <si>
    <t>10.11.18.194</t>
  </si>
  <si>
    <t>0026C621</t>
  </si>
  <si>
    <t>종로간 38R4L2</t>
  </si>
  <si>
    <t>0026S25239</t>
  </si>
  <si>
    <t>10.11.17.90</t>
  </si>
  <si>
    <t>0026S252</t>
  </si>
  <si>
    <t>예관지 16R11</t>
  </si>
  <si>
    <t>0126C68429</t>
  </si>
  <si>
    <t>10.11.2.162</t>
  </si>
  <si>
    <t>0126C684</t>
  </si>
  <si>
    <t>석산지 4H1</t>
  </si>
  <si>
    <t>0126Y06129</t>
  </si>
  <si>
    <t>10.11.10.194</t>
  </si>
  <si>
    <t>0126Y061</t>
  </si>
  <si>
    <t>문화촌지 23L7</t>
  </si>
  <si>
    <t>0127R53329</t>
  </si>
  <si>
    <t>10.11.2.122</t>
  </si>
  <si>
    <t>0127R533</t>
  </si>
  <si>
    <t>석산지 21R2L3</t>
  </si>
  <si>
    <t>9825F43144</t>
  </si>
  <si>
    <t>10.89.68.2</t>
  </si>
  <si>
    <t>9825F431</t>
  </si>
  <si>
    <t>중림지 15L3L1</t>
  </si>
  <si>
    <t>9826F11121</t>
  </si>
  <si>
    <t>10.11.7.163</t>
  </si>
  <si>
    <t>9826F111</t>
  </si>
  <si>
    <t>현저간 18L10</t>
  </si>
  <si>
    <t>9826H18421</t>
  </si>
  <si>
    <t>10.11.7.243</t>
  </si>
  <si>
    <t>9826H184</t>
  </si>
  <si>
    <t>현저간 18L8R3H1</t>
  </si>
  <si>
    <t>9828F95130</t>
  </si>
  <si>
    <t>10.11.23.194</t>
  </si>
  <si>
    <t>9828F951</t>
  </si>
  <si>
    <t>평창간 6L22L3</t>
  </si>
  <si>
    <t>9828H24139</t>
  </si>
  <si>
    <t>10.11.18.18</t>
  </si>
  <si>
    <t>9828H241</t>
  </si>
  <si>
    <t>청운간 91</t>
  </si>
  <si>
    <t>9926A61221</t>
  </si>
  <si>
    <t>10.11.2.67</t>
  </si>
  <si>
    <t>9926A612</t>
  </si>
  <si>
    <t>사직지 21R1L3R3</t>
  </si>
  <si>
    <t>9926G45239</t>
  </si>
  <si>
    <t>10.11.21.162</t>
  </si>
  <si>
    <t>9926G452</t>
  </si>
  <si>
    <t>청진지 7R3</t>
  </si>
  <si>
    <t>9926H00139</t>
  </si>
  <si>
    <t>10.11.38.90</t>
  </si>
  <si>
    <t>9926H001</t>
  </si>
  <si>
    <t>종로간 63R2</t>
  </si>
  <si>
    <t>9927R05129</t>
  </si>
  <si>
    <t>10.11.5.26</t>
  </si>
  <si>
    <t>9927R051</t>
  </si>
  <si>
    <t>옥인지 7R5L3</t>
  </si>
  <si>
    <t>0125G29645</t>
  </si>
  <si>
    <t>10.14.9.55</t>
  </si>
  <si>
    <t>0125G296</t>
  </si>
  <si>
    <t>금호로 14-3</t>
  </si>
  <si>
    <t>0225Y49541</t>
  </si>
  <si>
    <t>10.14.5.37</t>
  </si>
  <si>
    <t>0225Y495</t>
  </si>
  <si>
    <t>성지간 68R4L4</t>
  </si>
  <si>
    <t>0225Y68341</t>
  </si>
  <si>
    <t>10.14.15.130</t>
  </si>
  <si>
    <t>0225Y683</t>
  </si>
  <si>
    <t>성지간 68R4</t>
  </si>
  <si>
    <t>0225Y88241</t>
  </si>
  <si>
    <t>10.14.9.114</t>
  </si>
  <si>
    <t>0225Y882</t>
  </si>
  <si>
    <t>화성간 59L18</t>
  </si>
  <si>
    <t>0324E21145</t>
  </si>
  <si>
    <t>10.14.14.55</t>
  </si>
  <si>
    <t>0324E211</t>
  </si>
  <si>
    <t>패션로 11-1</t>
  </si>
  <si>
    <t>0325R03441</t>
  </si>
  <si>
    <t>10.14.2.200</t>
  </si>
  <si>
    <t>0325R034</t>
  </si>
  <si>
    <t>화성간 39R1H1</t>
  </si>
  <si>
    <t>0325R06241</t>
  </si>
  <si>
    <t>10.14.6.42</t>
  </si>
  <si>
    <t>0325R062</t>
  </si>
  <si>
    <t>화성간 39R7L1L2</t>
  </si>
  <si>
    <t>0230Y95145</t>
  </si>
  <si>
    <t>10.14.12.60</t>
  </si>
  <si>
    <t>0230Y951</t>
  </si>
  <si>
    <t>월계 520</t>
  </si>
  <si>
    <t>0329B76245</t>
  </si>
  <si>
    <t>10.14.4.20</t>
  </si>
  <si>
    <t>0329B762</t>
  </si>
  <si>
    <t>하계 10</t>
  </si>
  <si>
    <t>0330B90345</t>
  </si>
  <si>
    <t>10.14.7.59</t>
  </si>
  <si>
    <t>0330B903</t>
  </si>
  <si>
    <t>하계 304A</t>
  </si>
  <si>
    <t>0330G46145</t>
  </si>
  <si>
    <t>10.14.13.23</t>
  </si>
  <si>
    <t>0330G461</t>
  </si>
  <si>
    <t>중계 32</t>
  </si>
  <si>
    <t>0331X93145</t>
  </si>
  <si>
    <t>10.14.3.190</t>
  </si>
  <si>
    <t>0331X931</t>
  </si>
  <si>
    <t>중계 206</t>
  </si>
  <si>
    <t>9627D16101</t>
  </si>
  <si>
    <t>10.14.6.116</t>
  </si>
  <si>
    <t>9627D161</t>
  </si>
  <si>
    <t>숭실간 32</t>
  </si>
  <si>
    <t>9728B76101</t>
  </si>
  <si>
    <t>10.14.11.191</t>
  </si>
  <si>
    <t>9728B761</t>
  </si>
  <si>
    <t>독박간 9L5</t>
  </si>
  <si>
    <t>9728D19745</t>
  </si>
  <si>
    <t>10.14.8.65</t>
  </si>
  <si>
    <t>9728D197</t>
  </si>
  <si>
    <t>대조간 22L10H1A1</t>
  </si>
  <si>
    <t>9728D59345</t>
  </si>
  <si>
    <t>10.14.8.61</t>
  </si>
  <si>
    <t>9728D593</t>
  </si>
  <si>
    <t>환경간 12L8A1</t>
  </si>
  <si>
    <t>9825E61139</t>
  </si>
  <si>
    <t>10.12.136.196</t>
  </si>
  <si>
    <t>9825E611</t>
  </si>
  <si>
    <t>충덕 3</t>
  </si>
  <si>
    <t>0024W17241</t>
  </si>
  <si>
    <t>10.14.8.49</t>
  </si>
  <si>
    <t>0024W172</t>
  </si>
  <si>
    <t>백제간 25L2</t>
  </si>
  <si>
    <t>9725Z38901</t>
  </si>
  <si>
    <t>10.14.7.194</t>
  </si>
  <si>
    <t>9725Z389</t>
  </si>
  <si>
    <t>신상간 1</t>
  </si>
  <si>
    <t>9824A03145</t>
  </si>
  <si>
    <t>10.14.15.21</t>
  </si>
  <si>
    <t>9824A031</t>
  </si>
  <si>
    <t>독막길 7</t>
  </si>
  <si>
    <t>0127B57245</t>
  </si>
  <si>
    <t>10.14.2.54</t>
  </si>
  <si>
    <t>0127B572</t>
  </si>
  <si>
    <t>동소문 67</t>
  </si>
  <si>
    <t>0025H88145</t>
  </si>
  <si>
    <t>10.14.13.28</t>
  </si>
  <si>
    <t>0025H881</t>
  </si>
  <si>
    <t>다산로 R3</t>
  </si>
  <si>
    <t>0026D66345</t>
  </si>
  <si>
    <t>10.14.2.22</t>
  </si>
  <si>
    <t>0026D663</t>
  </si>
  <si>
    <t>동소문간 10R4A1</t>
  </si>
  <si>
    <t>0125A03139</t>
  </si>
  <si>
    <t>10.14.6.13</t>
  </si>
  <si>
    <t>0125A031</t>
  </si>
  <si>
    <t>다산로 L9T</t>
  </si>
  <si>
    <t>0125A46341</t>
  </si>
  <si>
    <t>10.14.11.188</t>
  </si>
  <si>
    <t>0125A463</t>
  </si>
  <si>
    <t>신금지 22H1</t>
  </si>
  <si>
    <t>0126D87439</t>
  </si>
  <si>
    <t>10.14.13.33</t>
  </si>
  <si>
    <t>0126D874</t>
  </si>
  <si>
    <t>난계로 1</t>
  </si>
  <si>
    <t>0126S30739</t>
  </si>
  <si>
    <t>10.14.2.116</t>
  </si>
  <si>
    <t>0126S307</t>
  </si>
  <si>
    <t>동화로 8</t>
  </si>
  <si>
    <t>9828H73139</t>
  </si>
  <si>
    <t>10.12.128.30</t>
  </si>
  <si>
    <t>9828H731</t>
  </si>
  <si>
    <t>평창간 6L7</t>
  </si>
  <si>
    <t>9925B98139</t>
  </si>
  <si>
    <t>10.14.3.117</t>
  </si>
  <si>
    <t>9925B981</t>
  </si>
  <si>
    <t>남대문간 21R1R1</t>
  </si>
  <si>
    <t>9925E07139</t>
  </si>
  <si>
    <t>10.14.9.184</t>
  </si>
  <si>
    <t>9925E071</t>
  </si>
  <si>
    <t>남대문간 21R3</t>
  </si>
  <si>
    <t>9927Z25139</t>
  </si>
  <si>
    <t>10.12.131.220</t>
  </si>
  <si>
    <t>9927Z251</t>
  </si>
  <si>
    <t>별궁로 12</t>
  </si>
  <si>
    <t>9927Z72339</t>
  </si>
  <si>
    <t>10.12.130.76</t>
  </si>
  <si>
    <t>9927Z723</t>
  </si>
  <si>
    <t>북촌로 6</t>
  </si>
  <si>
    <t>통신방식</t>
    <phoneticPr fontId="1" type="noConversion"/>
  </si>
  <si>
    <t>전체 고객호수</t>
    <phoneticPr fontId="1" type="noConversion"/>
  </si>
  <si>
    <t>20</t>
  </si>
  <si>
    <t>38</t>
  </si>
  <si>
    <t>68</t>
  </si>
  <si>
    <t>49</t>
  </si>
  <si>
    <t>84</t>
  </si>
  <si>
    <t>19</t>
  </si>
  <si>
    <t>7</t>
  </si>
  <si>
    <t>39</t>
  </si>
  <si>
    <t>29</t>
  </si>
  <si>
    <t>2</t>
  </si>
  <si>
    <t>14</t>
  </si>
  <si>
    <t>63</t>
  </si>
  <si>
    <t>115</t>
  </si>
  <si>
    <t>60</t>
  </si>
  <si>
    <t>12</t>
  </si>
  <si>
    <t>66</t>
  </si>
  <si>
    <t>50</t>
  </si>
  <si>
    <t>18</t>
  </si>
  <si>
    <t>10</t>
  </si>
  <si>
    <t>31</t>
  </si>
  <si>
    <t>1</t>
  </si>
  <si>
    <t>3</t>
  </si>
  <si>
    <t>16</t>
  </si>
  <si>
    <t>81</t>
  </si>
  <si>
    <t>48</t>
  </si>
  <si>
    <t>58</t>
  </si>
  <si>
    <t>75</t>
  </si>
  <si>
    <t>119</t>
  </si>
  <si>
    <t>21</t>
  </si>
  <si>
    <t>121</t>
  </si>
  <si>
    <t>54</t>
  </si>
  <si>
    <t>64</t>
  </si>
  <si>
    <t>95</t>
  </si>
  <si>
    <t>28</t>
  </si>
  <si>
    <t>108</t>
  </si>
  <si>
    <t>82</t>
  </si>
  <si>
    <t>52</t>
  </si>
  <si>
    <t>27</t>
  </si>
  <si>
    <t>36</t>
  </si>
  <si>
    <t>46</t>
  </si>
  <si>
    <t>15</t>
  </si>
  <si>
    <t>78</t>
  </si>
  <si>
    <t>41</t>
  </si>
  <si>
    <t>37</t>
  </si>
  <si>
    <t>83</t>
  </si>
  <si>
    <t>25</t>
  </si>
  <si>
    <t>22</t>
  </si>
  <si>
    <t>9</t>
  </si>
  <si>
    <t>85</t>
  </si>
  <si>
    <t>11</t>
  </si>
  <si>
    <t>17</t>
  </si>
  <si>
    <t>74</t>
  </si>
  <si>
    <t>35</t>
  </si>
  <si>
    <t>24</t>
  </si>
  <si>
    <t>43</t>
  </si>
  <si>
    <t>118</t>
  </si>
  <si>
    <t>40</t>
  </si>
  <si>
    <t>8</t>
  </si>
  <si>
    <t>4</t>
  </si>
  <si>
    <t>44</t>
  </si>
  <si>
    <t>56</t>
  </si>
  <si>
    <t>148</t>
  </si>
  <si>
    <t>122</t>
  </si>
  <si>
    <t>180</t>
  </si>
  <si>
    <t>104</t>
  </si>
  <si>
    <t>73</t>
  </si>
  <si>
    <t>80</t>
  </si>
  <si>
    <t>32</t>
  </si>
  <si>
    <t>71</t>
  </si>
  <si>
    <t>6</t>
  </si>
  <si>
    <t>87</t>
  </si>
  <si>
    <t>125</t>
  </si>
  <si>
    <t>검토</t>
    <phoneticPr fontId="1" type="noConversion"/>
  </si>
  <si>
    <t>잔여</t>
    <phoneticPr fontId="1" type="noConversion"/>
  </si>
  <si>
    <t>유지</t>
    <phoneticPr fontId="1" type="noConversion"/>
  </si>
  <si>
    <t>6차</t>
  </si>
  <si>
    <t>0127Y7416S</t>
  </si>
  <si>
    <t>fde1:103:4:c5e0:0:0:0:2</t>
  </si>
  <si>
    <t>0127Y741</t>
  </si>
  <si>
    <t>제기간 17</t>
  </si>
  <si>
    <t>0226H9745M</t>
  </si>
  <si>
    <t>fde1:103:4:591a:0:0:0:2</t>
  </si>
  <si>
    <t>0226H974</t>
  </si>
  <si>
    <t>황물간 58</t>
  </si>
  <si>
    <t>0327B8925S</t>
  </si>
  <si>
    <t>fde1:103:4:58c4:0:0:0:2</t>
  </si>
  <si>
    <t>0327B892</t>
  </si>
  <si>
    <t>신이문간 45</t>
  </si>
  <si>
    <t>0427G5215M</t>
  </si>
  <si>
    <t>fde1:103:4:932b:0:0:0:2</t>
  </si>
  <si>
    <t>0427G521</t>
  </si>
  <si>
    <t>휘창간 2L2</t>
  </si>
  <si>
    <t>9728C2625M</t>
  </si>
  <si>
    <t>fde1:103:4:92a2:0:0:0:2</t>
  </si>
  <si>
    <t>9728C262</t>
  </si>
  <si>
    <t>대조간 34</t>
  </si>
  <si>
    <t>9729P8225M</t>
  </si>
  <si>
    <t>fde1:103:4:6e29:0:0:0:2</t>
  </si>
  <si>
    <t>9729P822</t>
  </si>
  <si>
    <t>진성간 20</t>
  </si>
  <si>
    <t>0024Q0326S</t>
  </si>
  <si>
    <t>fde1:103:4:927b:0:0:0:2</t>
  </si>
  <si>
    <t>0024Q032</t>
  </si>
  <si>
    <t>동보간 33R1</t>
  </si>
  <si>
    <t>0024Q3415M</t>
  </si>
  <si>
    <t>fde1:103:4:93fb:0:0:0:2</t>
  </si>
  <si>
    <t>0024Q341</t>
  </si>
  <si>
    <t>한보간 38L4</t>
  </si>
  <si>
    <t>0024S6115M</t>
  </si>
  <si>
    <t>fde1:103:4:5581:0:0:0:2</t>
  </si>
  <si>
    <t>0024S611</t>
  </si>
  <si>
    <t>동보간 7</t>
  </si>
  <si>
    <t>0128H1015M</t>
  </si>
  <si>
    <t>fde1:103:4:6e7b:0:0:0:2</t>
  </si>
  <si>
    <t>0128H101</t>
  </si>
  <si>
    <t>성가지 8R4</t>
  </si>
  <si>
    <t>47</t>
  </si>
  <si>
    <t>51</t>
  </si>
  <si>
    <t>65</t>
  </si>
  <si>
    <t>53</t>
  </si>
  <si>
    <t>회선유지</t>
    <phoneticPr fontId="1" type="noConversion"/>
  </si>
  <si>
    <t>LTE 미전환, 30호 이상</t>
    <phoneticPr fontId="1" type="noConversion"/>
  </si>
  <si>
    <t>계기없음 제외(계기없음 : 482대)</t>
    <phoneticPr fontId="1" type="noConversion"/>
  </si>
  <si>
    <t>회선번호</t>
    <phoneticPr fontId="1" type="noConversion"/>
  </si>
  <si>
    <t>IP</t>
  </si>
  <si>
    <t>회선상태</t>
  </si>
  <si>
    <t>012-2128-8993</t>
  </si>
  <si>
    <t>10.12.133.76</t>
  </si>
  <si>
    <t>일시이용중단중</t>
    <phoneticPr fontId="1" type="noConversion"/>
  </si>
  <si>
    <t>0424D39F39</t>
  </si>
  <si>
    <t>미가로 4-1</t>
  </si>
  <si>
    <t>012-2128-9196</t>
  </si>
  <si>
    <t>10.12.134.131</t>
  </si>
  <si>
    <t>9825C59339</t>
  </si>
  <si>
    <t>신촌로 30</t>
  </si>
  <si>
    <t>012-2322-0738</t>
  </si>
  <si>
    <t>10.12.131.230</t>
  </si>
  <si>
    <t>0027R07139</t>
  </si>
  <si>
    <t>북촌로 15</t>
  </si>
  <si>
    <t>012-2322-3411</t>
  </si>
  <si>
    <t>10.12.131.218</t>
  </si>
  <si>
    <t>9630Z60539</t>
  </si>
  <si>
    <t>이지구 1</t>
  </si>
  <si>
    <t>012-2328-2593</t>
  </si>
  <si>
    <t>10.12.132.71</t>
  </si>
  <si>
    <t>9925F00939</t>
  </si>
  <si>
    <t>남산로 29</t>
  </si>
  <si>
    <t>012-2329-2379</t>
  </si>
  <si>
    <t>10.12.132.15</t>
  </si>
  <si>
    <t>0231Y73139</t>
  </si>
  <si>
    <t>창동 18</t>
  </si>
  <si>
    <t>012-2342-7337</t>
  </si>
  <si>
    <t>10.12.133.177</t>
  </si>
  <si>
    <t>9727H74839</t>
  </si>
  <si>
    <t>홍제 R23</t>
  </si>
  <si>
    <t>012-2342-7533</t>
  </si>
  <si>
    <t>10.12.133.174</t>
  </si>
  <si>
    <t>0324E58539</t>
  </si>
  <si>
    <t>능동로 49-4</t>
  </si>
  <si>
    <t>012-2342-8467</t>
  </si>
  <si>
    <t>10.12.133.163</t>
  </si>
  <si>
    <t>0324E45139</t>
  </si>
  <si>
    <t>능동로 51-1</t>
  </si>
  <si>
    <t>012-2343-2405</t>
  </si>
  <si>
    <t>10.12.132.142</t>
  </si>
  <si>
    <t>9729P30101</t>
  </si>
  <si>
    <t>진성간 8</t>
  </si>
  <si>
    <t>012-2343-2420</t>
  </si>
  <si>
    <t>10.12.132.140</t>
  </si>
  <si>
    <t>0024D95339</t>
  </si>
  <si>
    <t>이태원로 25</t>
  </si>
  <si>
    <t>012-2343-2768</t>
  </si>
  <si>
    <t>10.12.132.136</t>
  </si>
  <si>
    <t>0024G17239</t>
  </si>
  <si>
    <t>이태원로 26T</t>
  </si>
  <si>
    <t>012-2356-8996</t>
  </si>
  <si>
    <t>10.12.131.127</t>
  </si>
  <si>
    <t>0125B46539</t>
  </si>
  <si>
    <t>동화로 3</t>
  </si>
  <si>
    <t>012-2356-9192</t>
  </si>
  <si>
    <t>10.12.131.125</t>
  </si>
  <si>
    <t>9925F14839</t>
  </si>
  <si>
    <t>남산로 25</t>
  </si>
  <si>
    <t>012-2356-9197</t>
  </si>
  <si>
    <t>10.12.131.119</t>
  </si>
  <si>
    <t>0026X05539</t>
  </si>
  <si>
    <t>을지로 L37</t>
  </si>
  <si>
    <t>012-2356-9982</t>
  </si>
  <si>
    <t>10.12.131.117</t>
  </si>
  <si>
    <t>0125B45239</t>
  </si>
  <si>
    <t>동화로 4</t>
  </si>
  <si>
    <t>012-2357-6185</t>
  </si>
  <si>
    <t>10.12.130.251</t>
  </si>
  <si>
    <t>9626B32439</t>
  </si>
  <si>
    <t>와산간 13R7R21</t>
  </si>
  <si>
    <t>012-2358-3680</t>
  </si>
  <si>
    <t>10.12.128.133</t>
  </si>
  <si>
    <t>9625X59539</t>
  </si>
  <si>
    <t>양화간 58H1</t>
  </si>
  <si>
    <t>012-2358-3689</t>
  </si>
  <si>
    <t>10.12.128.196</t>
  </si>
  <si>
    <t>0131G87129</t>
  </si>
  <si>
    <t>방학지 69</t>
  </si>
  <si>
    <t>012-2364-7853</t>
  </si>
  <si>
    <t>10.12.129.238</t>
  </si>
  <si>
    <t>9725G25139</t>
  </si>
  <si>
    <t>와우지 5L6</t>
  </si>
  <si>
    <t>012-2364-7881</t>
  </si>
  <si>
    <t>10.12.129.240</t>
  </si>
  <si>
    <t>0227R63439</t>
  </si>
  <si>
    <t>경동간 37</t>
  </si>
  <si>
    <t>012-2374-5745</t>
  </si>
  <si>
    <t>10.12.130.133</t>
  </si>
  <si>
    <t>9628Y13101</t>
  </si>
  <si>
    <t>신사간 20R1L13</t>
  </si>
  <si>
    <t>012-2374-6317</t>
  </si>
  <si>
    <t>10.12.130.124</t>
  </si>
  <si>
    <t>9728W27139</t>
  </si>
  <si>
    <t>통일로 L14</t>
  </si>
  <si>
    <t>012-2905-9239</t>
  </si>
  <si>
    <t>10.12.133.59</t>
  </si>
  <si>
    <t>0026H63139</t>
  </si>
  <si>
    <t>왕산로 R15</t>
  </si>
  <si>
    <t>012-2905-9240</t>
  </si>
  <si>
    <t>10.12.133.58</t>
  </si>
  <si>
    <t>0126Y18339</t>
  </si>
  <si>
    <t>왕십리로 R13</t>
  </si>
  <si>
    <t>012-2905-9249</t>
  </si>
  <si>
    <t>10.12.133.79</t>
  </si>
  <si>
    <t>9925B75939</t>
  </si>
  <si>
    <t>남문로 4</t>
  </si>
  <si>
    <t>012-2905-9283</t>
  </si>
  <si>
    <t>10.12.133.26</t>
  </si>
  <si>
    <t>0424D48239</t>
  </si>
  <si>
    <t>미가로 4-4</t>
  </si>
  <si>
    <t>012-2905-9284</t>
  </si>
  <si>
    <t>10.12.133.20</t>
  </si>
  <si>
    <t>0225B18C39</t>
  </si>
  <si>
    <t>한양대 10-1</t>
  </si>
  <si>
    <t>012-2905-9301</t>
  </si>
  <si>
    <t>10.12.133.12</t>
  </si>
  <si>
    <t>0424D39C39</t>
  </si>
  <si>
    <t>미가로 3-1</t>
  </si>
  <si>
    <t>012-2905-9307</t>
  </si>
  <si>
    <t>10.12.133.2</t>
  </si>
  <si>
    <t>0024G09139</t>
  </si>
  <si>
    <t>이태원로 30-2</t>
  </si>
  <si>
    <t>012-2905-9321</t>
  </si>
  <si>
    <t>10.12.133.8</t>
  </si>
  <si>
    <t>0325Y86139</t>
  </si>
  <si>
    <t>능동로 41-1</t>
  </si>
  <si>
    <t>012-2905-9365</t>
  </si>
  <si>
    <t>10.12.132.243</t>
  </si>
  <si>
    <t>0325H65539</t>
  </si>
  <si>
    <t>능동로 96-4</t>
  </si>
  <si>
    <t>012-2905-9397</t>
  </si>
  <si>
    <t>10.12.132.208</t>
  </si>
  <si>
    <t>9925B02239</t>
  </si>
  <si>
    <t>염천로 5-2</t>
  </si>
  <si>
    <t>012-2906-8849</t>
  </si>
  <si>
    <t>10.12.134.93</t>
  </si>
  <si>
    <t>9925A92139</t>
  </si>
  <si>
    <t>염천로 3</t>
  </si>
  <si>
    <t>012-2906-8986</t>
  </si>
  <si>
    <t>10.12.134.170</t>
  </si>
  <si>
    <t>0225B15239</t>
  </si>
  <si>
    <t>한양대 10-4</t>
  </si>
  <si>
    <t>012-2908-9402</t>
  </si>
  <si>
    <t>10.12.134.54</t>
  </si>
  <si>
    <t>0325Y49239</t>
  </si>
  <si>
    <t>화양로 11-1</t>
  </si>
  <si>
    <t>012-2908-9423</t>
  </si>
  <si>
    <t>10.12.134.121</t>
  </si>
  <si>
    <t>0424C67945</t>
  </si>
  <si>
    <t>미가로 1-5</t>
  </si>
  <si>
    <t>012-2908-9428</t>
  </si>
  <si>
    <t>10.12.134.116</t>
  </si>
  <si>
    <t>0026H60239</t>
  </si>
  <si>
    <t>왕산로 L12-1</t>
  </si>
  <si>
    <t>012-2908-9432</t>
  </si>
  <si>
    <t>10.12.134.129</t>
  </si>
  <si>
    <t>0424D17839</t>
  </si>
  <si>
    <t>미가로 2-1</t>
  </si>
  <si>
    <t>012-2908-9453</t>
  </si>
  <si>
    <t>10.12.134.28</t>
  </si>
  <si>
    <t>9925R91339</t>
  </si>
  <si>
    <t>동자로 R4</t>
  </si>
  <si>
    <t>012-2910-9781</t>
  </si>
  <si>
    <t>10.12.136.205</t>
  </si>
  <si>
    <t>0127C89B39</t>
  </si>
  <si>
    <t>동소문 60</t>
  </si>
  <si>
    <t>012-2910-9813</t>
  </si>
  <si>
    <t>10.12.136.198</t>
  </si>
  <si>
    <t>9825Z80139</t>
  </si>
  <si>
    <t>숙명로 2</t>
  </si>
  <si>
    <t>012-2910-9821</t>
  </si>
  <si>
    <t>10.12.136.192</t>
  </si>
  <si>
    <t>9825A64339</t>
  </si>
  <si>
    <t>송림 1</t>
  </si>
  <si>
    <t>012-2910-9861</t>
  </si>
  <si>
    <t>10.12.137.61</t>
  </si>
  <si>
    <t>0130W55439</t>
  </si>
  <si>
    <t>사일구 2</t>
  </si>
  <si>
    <t>012-2910-9902</t>
  </si>
  <si>
    <t>10.12.135.244</t>
  </si>
  <si>
    <t>9825A34239</t>
  </si>
  <si>
    <t>이대 5</t>
  </si>
  <si>
    <t>012-2910-9922</t>
  </si>
  <si>
    <t>10.12.135.228</t>
  </si>
  <si>
    <t>9825A26939</t>
  </si>
  <si>
    <t>이대 7</t>
  </si>
  <si>
    <t>012-2919-9863</t>
  </si>
  <si>
    <t>10.12.135.84</t>
  </si>
  <si>
    <t>9630X05639</t>
  </si>
  <si>
    <t>삼지구 104</t>
  </si>
  <si>
    <t>012-2919-9938</t>
  </si>
  <si>
    <t>10.12.137.100</t>
  </si>
  <si>
    <t>0233S30839</t>
  </si>
  <si>
    <t>산장 5</t>
  </si>
  <si>
    <t>012-2919-9947</t>
  </si>
  <si>
    <t>10.12.134.229</t>
  </si>
  <si>
    <t>0429S30139</t>
  </si>
  <si>
    <t>신내 38</t>
  </si>
  <si>
    <t>012-2919-9955</t>
  </si>
  <si>
    <t>10.12.134.217</t>
  </si>
  <si>
    <t>0226R28139</t>
  </si>
  <si>
    <t>고산자로 11-2</t>
  </si>
  <si>
    <t>012-2920-1694</t>
  </si>
  <si>
    <t>10.12.137.193</t>
  </si>
  <si>
    <t>9926F42139</t>
  </si>
  <si>
    <t>별궁로 7</t>
  </si>
  <si>
    <t>012-2920-1773</t>
  </si>
  <si>
    <t>10.12.137.236</t>
  </si>
  <si>
    <t>0025E36139</t>
  </si>
  <si>
    <t>훈련원로 6</t>
  </si>
  <si>
    <t>012-2920-9933</t>
  </si>
  <si>
    <t>10.12.135.165</t>
  </si>
  <si>
    <t>9725H18A39</t>
  </si>
  <si>
    <t>대현 1-3</t>
  </si>
  <si>
    <t>012-2920-9937</t>
  </si>
  <si>
    <t>10.12.135.162</t>
  </si>
  <si>
    <t>9725G28E39</t>
  </si>
  <si>
    <t>동교 10</t>
  </si>
  <si>
    <t>012-2920-9953</t>
  </si>
  <si>
    <t>10.12.135.113</t>
  </si>
  <si>
    <t>9630X87139</t>
  </si>
  <si>
    <t>삼지구 209</t>
  </si>
  <si>
    <t>012-2920-9957</t>
  </si>
  <si>
    <t>10.12.135.109</t>
  </si>
  <si>
    <t>9630H31339</t>
  </si>
  <si>
    <t>삼지구 109</t>
  </si>
  <si>
    <t>012-2920-9965</t>
  </si>
  <si>
    <t>10.12.135.101</t>
  </si>
  <si>
    <t>9630H71339</t>
  </si>
  <si>
    <t>삼지구 204</t>
  </si>
  <si>
    <t>012-2920-9966</t>
  </si>
  <si>
    <t>10.12.135.100</t>
  </si>
  <si>
    <t>9630H40439</t>
  </si>
  <si>
    <t>삼지구 110</t>
  </si>
  <si>
    <t>012-2920-9979</t>
  </si>
  <si>
    <t>10.12.135.38</t>
  </si>
  <si>
    <t>9726Z95639</t>
  </si>
  <si>
    <t>성산로 L2</t>
  </si>
  <si>
    <t>012-2922-9855</t>
  </si>
  <si>
    <t>10.12.136.91</t>
  </si>
  <si>
    <t>0228R00339</t>
  </si>
  <si>
    <t>종암 22</t>
  </si>
  <si>
    <t>012-2922-9867</t>
  </si>
  <si>
    <t>10.12.137.87</t>
  </si>
  <si>
    <t>0225B03239</t>
  </si>
  <si>
    <t>한양대 13-5</t>
  </si>
  <si>
    <t>012-2922-9896</t>
  </si>
  <si>
    <t>10.12.137.70</t>
  </si>
  <si>
    <t>0325P51239</t>
  </si>
  <si>
    <t>광나루 33-1</t>
  </si>
  <si>
    <t>012-2922-9897</t>
  </si>
  <si>
    <t>10.12.136.110</t>
  </si>
  <si>
    <t>0330C76139</t>
  </si>
  <si>
    <t>하계 9</t>
  </si>
  <si>
    <t>012-2922-9948</t>
  </si>
  <si>
    <t>10.12.136.26</t>
  </si>
  <si>
    <t>9725F04439</t>
  </si>
  <si>
    <t>창서 L6</t>
  </si>
  <si>
    <t>012-2922-9973</t>
  </si>
  <si>
    <t>10.12.135.145</t>
  </si>
  <si>
    <t>0024G78139</t>
  </si>
  <si>
    <t>한남로 11</t>
  </si>
  <si>
    <t>012-2922-9984</t>
  </si>
  <si>
    <t>10.12.135.134</t>
  </si>
  <si>
    <t>0424C67439</t>
  </si>
  <si>
    <t>미가로 1-3</t>
  </si>
  <si>
    <t>012-2924-9763</t>
  </si>
  <si>
    <t>10.12.136.153</t>
  </si>
  <si>
    <t>0424D39E39</t>
  </si>
  <si>
    <t>미가로 4-2</t>
  </si>
  <si>
    <t>012-2328-3095</t>
  </si>
  <si>
    <t>10.12.132.65</t>
  </si>
  <si>
    <t>9928C45139</t>
  </si>
  <si>
    <t>청운간 133R7R8</t>
  </si>
  <si>
    <t>012-2328-3277</t>
  </si>
  <si>
    <t>10.12.132.62</t>
  </si>
  <si>
    <t>0231Y64239</t>
  </si>
  <si>
    <t>창동 16</t>
  </si>
  <si>
    <t>012-2329-1329</t>
  </si>
  <si>
    <t>10.12.132.25</t>
  </si>
  <si>
    <t>0231Y52139</t>
  </si>
  <si>
    <t>창동 14</t>
  </si>
  <si>
    <t>012-2329-1373</t>
  </si>
  <si>
    <t>10.12.132.24</t>
  </si>
  <si>
    <t>0231Y91139</t>
  </si>
  <si>
    <t>창동 2</t>
  </si>
  <si>
    <t>012-2330-0985</t>
  </si>
  <si>
    <t>10.12.131.45</t>
  </si>
  <si>
    <t>9826G94139</t>
  </si>
  <si>
    <t>의주로 1-3</t>
  </si>
  <si>
    <t>012-2330-4218</t>
  </si>
  <si>
    <t>10.12.130.244</t>
  </si>
  <si>
    <t>9728C76101</t>
  </si>
  <si>
    <t>대조간 25L2</t>
  </si>
  <si>
    <t>012-2342-8787</t>
  </si>
  <si>
    <t>10.12.133.162</t>
  </si>
  <si>
    <t>0024D21639</t>
  </si>
  <si>
    <t>이태원로 40T</t>
  </si>
  <si>
    <t>012-2343-2499</t>
  </si>
  <si>
    <t>10.12.132.138</t>
  </si>
  <si>
    <t>0024P69639</t>
  </si>
  <si>
    <t>이태원로 2-1</t>
  </si>
  <si>
    <t>012-2343-3186</t>
  </si>
  <si>
    <t>10.12.132.144</t>
  </si>
  <si>
    <t>0024D72239</t>
  </si>
  <si>
    <t>이태원로 17T</t>
  </si>
  <si>
    <t>012-2343-3407</t>
  </si>
  <si>
    <t>10.12.132.143</t>
  </si>
  <si>
    <t>0024D41339</t>
  </si>
  <si>
    <t>이태원로 39</t>
  </si>
  <si>
    <t>012-2344-4516</t>
  </si>
  <si>
    <t>10.12.138.170</t>
  </si>
  <si>
    <t>0331H71244</t>
  </si>
  <si>
    <t>당재간 54</t>
  </si>
  <si>
    <t>012-2354-3744</t>
  </si>
  <si>
    <t>10.12.128.218</t>
  </si>
  <si>
    <t>0231B52229</t>
  </si>
  <si>
    <t>도봉SW 2R2R2</t>
  </si>
  <si>
    <t>012-2354-3820</t>
  </si>
  <si>
    <t>10.12.128.75</t>
  </si>
  <si>
    <t>0428R01339</t>
  </si>
  <si>
    <t>봉화간 27L5R7</t>
  </si>
  <si>
    <t>012-2356-3910</t>
  </si>
  <si>
    <t>10.12.131.82</t>
  </si>
  <si>
    <t>9626B64344</t>
  </si>
  <si>
    <t>가좌간 33L8</t>
  </si>
  <si>
    <t>012-2357-6197</t>
  </si>
  <si>
    <t>10.12.130.89</t>
  </si>
  <si>
    <t>9925P92139</t>
  </si>
  <si>
    <t>동자로 R9</t>
  </si>
  <si>
    <t>012-2357-7001</t>
  </si>
  <si>
    <t>10.12.130.82</t>
  </si>
  <si>
    <t>9925R14639</t>
  </si>
  <si>
    <t>숙명로 5</t>
  </si>
  <si>
    <t>012-2357-9192</t>
  </si>
  <si>
    <t>10.12.130.79</t>
  </si>
  <si>
    <t>9927R27339</t>
  </si>
  <si>
    <t>궁정로 17</t>
  </si>
  <si>
    <t>012-2362-3893</t>
  </si>
  <si>
    <t>10.12.129.21</t>
  </si>
  <si>
    <t>0328X60331</t>
  </si>
  <si>
    <t>중화간 4R12L1R2</t>
  </si>
  <si>
    <t>012-2358-3748</t>
  </si>
  <si>
    <t>10.12.128.213</t>
  </si>
  <si>
    <t>0024H92239</t>
  </si>
  <si>
    <t>유엔간 6L2</t>
  </si>
  <si>
    <t>012-2372-5239</t>
  </si>
  <si>
    <t>10.12.130.44</t>
  </si>
  <si>
    <t>0125D22241</t>
  </si>
  <si>
    <t>금문간 44</t>
  </si>
  <si>
    <t>012-2374-5239</t>
  </si>
  <si>
    <t>10.12.130.109</t>
  </si>
  <si>
    <t>9926E25339</t>
  </si>
  <si>
    <t>팔판로 1-6</t>
  </si>
  <si>
    <t>012-2905-9298</t>
  </si>
  <si>
    <t>10.12.134.167</t>
  </si>
  <si>
    <t>9626S20639</t>
  </si>
  <si>
    <t>합정로 T15-1</t>
  </si>
  <si>
    <t>012-2905-9337</t>
  </si>
  <si>
    <t>10.12.133.108</t>
  </si>
  <si>
    <t>0325P50339</t>
  </si>
  <si>
    <t>광나루 44-1</t>
  </si>
  <si>
    <t>012-2905-9361</t>
  </si>
  <si>
    <t>10.12.132.241</t>
  </si>
  <si>
    <t>9825B30139</t>
  </si>
  <si>
    <t>신촌로 36</t>
  </si>
  <si>
    <t>012-2906-8864</t>
  </si>
  <si>
    <t>10.12.133.225</t>
  </si>
  <si>
    <t>9725G37139</t>
  </si>
  <si>
    <t>신촌로 11T</t>
  </si>
  <si>
    <t>012-2906-8987</t>
  </si>
  <si>
    <t>10.12.133.80</t>
  </si>
  <si>
    <t>0225X64139</t>
  </si>
  <si>
    <t>광나루 25-2</t>
  </si>
  <si>
    <t>012-2906-8995</t>
  </si>
  <si>
    <t>10.12.133.74</t>
  </si>
  <si>
    <t>0425S92239</t>
  </si>
  <si>
    <t>광나루 103-1</t>
  </si>
  <si>
    <t>012-2908-9391</t>
  </si>
  <si>
    <t>10.12.134.64</t>
  </si>
  <si>
    <t>0325Y86639</t>
  </si>
  <si>
    <t>능동로 75-3</t>
  </si>
  <si>
    <t>012-2908-9472</t>
  </si>
  <si>
    <t>10.12.134.17</t>
  </si>
  <si>
    <t>9629X71339</t>
  </si>
  <si>
    <t>통일로 L30-1</t>
  </si>
  <si>
    <t>012-2910-9900</t>
  </si>
  <si>
    <t>10.12.135.246</t>
  </si>
  <si>
    <t>9825A26839</t>
  </si>
  <si>
    <t>이대 8</t>
  </si>
  <si>
    <t>012-2910-9910</t>
  </si>
  <si>
    <t>10.12.135.237</t>
  </si>
  <si>
    <t>9727C62639</t>
  </si>
  <si>
    <t>장수로 1-2</t>
  </si>
  <si>
    <t>012-2910-9913</t>
  </si>
  <si>
    <t>10.12.135.235</t>
  </si>
  <si>
    <t>9725E93339</t>
  </si>
  <si>
    <t>창서 L3</t>
  </si>
  <si>
    <t>012-2910-9920</t>
  </si>
  <si>
    <t>10.12.135.230</t>
  </si>
  <si>
    <t>0330C35239</t>
  </si>
  <si>
    <t>노원 13C</t>
  </si>
  <si>
    <t>012-2913-9948</t>
  </si>
  <si>
    <t>10.12.137.46</t>
  </si>
  <si>
    <t>0324B75739</t>
  </si>
  <si>
    <t>구의로 3-1</t>
  </si>
  <si>
    <t>012-2919-9849</t>
  </si>
  <si>
    <t>10.12.135.97</t>
  </si>
  <si>
    <t>9725H69239</t>
  </si>
  <si>
    <t>신촌로 23-1</t>
  </si>
  <si>
    <t>012-2919-9856</t>
  </si>
  <si>
    <t>10.12.135.91</t>
  </si>
  <si>
    <t>9725C17239</t>
  </si>
  <si>
    <t>양화로 8</t>
  </si>
  <si>
    <t>012-2919-9857</t>
  </si>
  <si>
    <t>10.12.135.90</t>
  </si>
  <si>
    <t>9630X45139</t>
  </si>
  <si>
    <t>삼지구 106</t>
  </si>
  <si>
    <t>012-2919-9861</t>
  </si>
  <si>
    <t>10.12.135.86</t>
  </si>
  <si>
    <t>9630X61539</t>
  </si>
  <si>
    <t>삼지구 107-2</t>
  </si>
  <si>
    <t>012-2919-9862</t>
  </si>
  <si>
    <t>10.12.135.85</t>
  </si>
  <si>
    <t>9630X32239</t>
  </si>
  <si>
    <t>삼지구 107</t>
  </si>
  <si>
    <t>012-2919-9867</t>
  </si>
  <si>
    <t>10.12.135.79</t>
  </si>
  <si>
    <t>9630X99239</t>
  </si>
  <si>
    <t>삼지구 208</t>
  </si>
  <si>
    <t>012-2919-9872</t>
  </si>
  <si>
    <t>10.12.135.75</t>
  </si>
  <si>
    <t>0128Z55339</t>
  </si>
  <si>
    <t>종암지 17R4</t>
  </si>
  <si>
    <t>012-2919-9913</t>
  </si>
  <si>
    <t>10.12.135.4</t>
  </si>
  <si>
    <t>0325Z55339</t>
  </si>
  <si>
    <t>광나루 83-2</t>
  </si>
  <si>
    <t>012-2919-9914</t>
  </si>
  <si>
    <t>10.12.135.3</t>
  </si>
  <si>
    <t>9725A93139</t>
  </si>
  <si>
    <t>신촌로 1</t>
  </si>
  <si>
    <t>012-2919-9922</t>
  </si>
  <si>
    <t>10.12.134.249</t>
  </si>
  <si>
    <t>0130X08739</t>
  </si>
  <si>
    <t>강북 4</t>
  </si>
  <si>
    <t>012-2919-9937</t>
  </si>
  <si>
    <t>10.12.134.234</t>
  </si>
  <si>
    <t>0325B89439</t>
  </si>
  <si>
    <t>천호로 2</t>
  </si>
  <si>
    <t>012-2919-9940</t>
  </si>
  <si>
    <t>10.12.134.232</t>
  </si>
  <si>
    <t>0124C05139</t>
  </si>
  <si>
    <t>독서당로 8</t>
  </si>
  <si>
    <t>012-2919-9954</t>
  </si>
  <si>
    <t>10.12.134.218</t>
  </si>
  <si>
    <t>0325Q91139</t>
  </si>
  <si>
    <t>광나루 52-4</t>
  </si>
  <si>
    <t>012-2920-1676</t>
  </si>
  <si>
    <t>10.12.137.179</t>
  </si>
  <si>
    <t>9726B49202</t>
  </si>
  <si>
    <t>두산간 24</t>
  </si>
  <si>
    <t>012-2920-9873</t>
  </si>
  <si>
    <t>10.12.135.252</t>
  </si>
  <si>
    <t>9730C94339</t>
  </si>
  <si>
    <t>연화 5</t>
  </si>
  <si>
    <t>012-2920-9903</t>
  </si>
  <si>
    <t>10.12.135.193</t>
  </si>
  <si>
    <t>0230H03139</t>
  </si>
  <si>
    <t>창동 11</t>
  </si>
  <si>
    <t>012-2920-9908</t>
  </si>
  <si>
    <t>10.12.135.190</t>
  </si>
  <si>
    <t>0330B25239</t>
  </si>
  <si>
    <t>노원 36</t>
  </si>
  <si>
    <t>012-2920-9928</t>
  </si>
  <si>
    <t>10.12.135.170</t>
  </si>
  <si>
    <t>9730C05239</t>
  </si>
  <si>
    <t>방패 1</t>
  </si>
  <si>
    <t>012-2920-9943</t>
  </si>
  <si>
    <t>10.12.135.155</t>
  </si>
  <si>
    <t>9630W82839</t>
  </si>
  <si>
    <t>삼지구 103</t>
  </si>
  <si>
    <t>012-2920-9945</t>
  </si>
  <si>
    <t>10.12.135.153</t>
  </si>
  <si>
    <t>9730C68339</t>
  </si>
  <si>
    <t>방패 5</t>
  </si>
  <si>
    <t>012-2920-9955</t>
  </si>
  <si>
    <t>10.12.135.112</t>
  </si>
  <si>
    <t>0126Z91339</t>
  </si>
  <si>
    <t>왕십로 61-2</t>
  </si>
  <si>
    <t>012-2920-9961</t>
  </si>
  <si>
    <t>10.12.135.105</t>
  </si>
  <si>
    <t>0126Z63239</t>
  </si>
  <si>
    <t>왕십로 32-4</t>
  </si>
  <si>
    <t>012-2920-9962</t>
  </si>
  <si>
    <t>10.12.135.104</t>
  </si>
  <si>
    <t>9726Z95739</t>
  </si>
  <si>
    <t>성산로 L3</t>
  </si>
  <si>
    <t>012-2920-9963</t>
  </si>
  <si>
    <t>10.12.135.103</t>
  </si>
  <si>
    <t>9630X65439</t>
  </si>
  <si>
    <t>삼지구 210</t>
  </si>
  <si>
    <t>012-2920-9967</t>
  </si>
  <si>
    <t>10.12.135.99</t>
  </si>
  <si>
    <t>9630H41A39</t>
  </si>
  <si>
    <t>삼지구 205</t>
  </si>
  <si>
    <t>012-2920-9996</t>
  </si>
  <si>
    <t>10.12.135.22</t>
  </si>
  <si>
    <t>0025X39139</t>
  </si>
  <si>
    <t>다산로 L26</t>
  </si>
  <si>
    <t>012-2922-9854</t>
  </si>
  <si>
    <t>10.12.136.108</t>
  </si>
  <si>
    <t>0130Q99339</t>
  </si>
  <si>
    <t>사일구 37</t>
  </si>
  <si>
    <t>012-2922-9874</t>
  </si>
  <si>
    <t>10.12.136.100</t>
  </si>
  <si>
    <t>0227A17139</t>
  </si>
  <si>
    <t>종암 13</t>
  </si>
  <si>
    <t>012-2922-9894</t>
  </si>
  <si>
    <t>10.12.137.71</t>
  </si>
  <si>
    <t>9925B52139</t>
  </si>
  <si>
    <t>남문로 1-2</t>
  </si>
  <si>
    <t>012-2922-9903</t>
  </si>
  <si>
    <t>10.12.136.63</t>
  </si>
  <si>
    <t>0330D30139</t>
  </si>
  <si>
    <t>하계 16</t>
  </si>
  <si>
    <t>012-2922-9929</t>
  </si>
  <si>
    <t>10.12.136.44</t>
  </si>
  <si>
    <t>9725F84439</t>
  </si>
  <si>
    <t>이대 14</t>
  </si>
  <si>
    <t>012-2922-9951</t>
  </si>
  <si>
    <t>10.12.136.23</t>
  </si>
  <si>
    <t>0324C43339</t>
  </si>
  <si>
    <t>동이로 10-1</t>
  </si>
  <si>
    <t>012-2922-9956</t>
  </si>
  <si>
    <t>10.12.136.18</t>
  </si>
  <si>
    <t>9730D74239</t>
  </si>
  <si>
    <t>연화 10</t>
  </si>
  <si>
    <t>012-2922-9975</t>
  </si>
  <si>
    <t>10.12.135.143</t>
  </si>
  <si>
    <t>9925Z51231</t>
    <phoneticPr fontId="1" type="noConversion"/>
  </si>
  <si>
    <t>해방간 18L3</t>
  </si>
  <si>
    <t>012-2922-9985</t>
  </si>
  <si>
    <t>10.12.135.133</t>
  </si>
  <si>
    <t>9630H24439</t>
  </si>
  <si>
    <t>삼지구 108</t>
  </si>
  <si>
    <t>012-2924-9759</t>
  </si>
  <si>
    <t>10.12.136.158</t>
  </si>
  <si>
    <t>0225W18139</t>
  </si>
  <si>
    <t>광나루 12-5</t>
  </si>
  <si>
    <t>보강대상 여부</t>
    <phoneticPr fontId="1" type="noConversion"/>
  </si>
  <si>
    <t>LTE 전환호수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</si>
</sst>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표준" xfId="0" builtinId="0"/>
    <cellStyle name="표준 2" xfId="1" xr:uid="{700A4931-DA2E-4773-8917-005784268CF2}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2" tint="-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1511-6C73-43C7-88D8-88FD6ACCC5B2}">
  <sheetPr>
    <pageSetUpPr fitToPage="1"/>
  </sheetPr>
  <dimension ref="A2:H8"/>
  <sheetViews>
    <sheetView workbookViewId="0"/>
  </sheetViews>
  <sheetFormatPr defaultRowHeight="16.5" x14ac:dyDescent="0.3"/>
  <cols>
    <col min="2" max="2" width="17.875" bestFit="1" customWidth="1"/>
    <col min="8" max="8" width="30.625" bestFit="1" customWidth="1"/>
  </cols>
  <sheetData>
    <row r="2" spans="1:8" x14ac:dyDescent="0.3">
      <c r="B2" s="1" t="s">
        <v>54</v>
      </c>
      <c r="C2" s="1" t="s">
        <v>5</v>
      </c>
      <c r="D2" s="1" t="s">
        <v>7</v>
      </c>
      <c r="E2" s="1" t="s">
        <v>1</v>
      </c>
      <c r="F2" s="1" t="s">
        <v>48</v>
      </c>
      <c r="G2" s="1" t="s">
        <v>53</v>
      </c>
      <c r="H2" s="2" t="s">
        <v>6</v>
      </c>
    </row>
    <row r="3" spans="1:8" x14ac:dyDescent="0.3">
      <c r="B3" s="1" t="s">
        <v>47</v>
      </c>
      <c r="C3" s="3">
        <v>6445</v>
      </c>
      <c r="D3" s="3">
        <v>6574</v>
      </c>
      <c r="E3" s="3">
        <v>3464</v>
      </c>
      <c r="F3" s="3">
        <v>2046</v>
      </c>
      <c r="G3" s="3">
        <f>SUM(C3:F3)</f>
        <v>18529</v>
      </c>
      <c r="H3" s="1" t="s">
        <v>845</v>
      </c>
    </row>
    <row r="4" spans="1:8" ht="17.25" thickBot="1" x14ac:dyDescent="0.35">
      <c r="B4" s="5" t="s">
        <v>49</v>
      </c>
      <c r="C4" s="6">
        <v>6516</v>
      </c>
      <c r="D4" s="6">
        <v>6635</v>
      </c>
      <c r="E4" s="6">
        <v>3501</v>
      </c>
      <c r="F4" s="6">
        <v>2070</v>
      </c>
      <c r="G4" s="6">
        <f t="shared" ref="G4:G8" si="0">SUM(C4:F4)</f>
        <v>18722</v>
      </c>
      <c r="H4" s="5" t="s">
        <v>50</v>
      </c>
    </row>
    <row r="5" spans="1:8" ht="17.25" thickBot="1" x14ac:dyDescent="0.35">
      <c r="A5" s="7"/>
      <c r="B5" s="8" t="s">
        <v>40</v>
      </c>
      <c r="C5" s="9">
        <f>C4-C3</f>
        <v>71</v>
      </c>
      <c r="D5" s="9">
        <f t="shared" ref="D5:F5" si="1">D4-D3</f>
        <v>61</v>
      </c>
      <c r="E5" s="9">
        <f t="shared" si="1"/>
        <v>37</v>
      </c>
      <c r="F5" s="9">
        <f t="shared" si="1"/>
        <v>24</v>
      </c>
      <c r="G5" s="9">
        <f t="shared" si="0"/>
        <v>193</v>
      </c>
      <c r="H5" s="10" t="s">
        <v>43</v>
      </c>
    </row>
    <row r="6" spans="1:8" x14ac:dyDescent="0.3">
      <c r="A6" s="7"/>
      <c r="B6" s="14" t="s">
        <v>51</v>
      </c>
      <c r="C6" s="15">
        <v>18</v>
      </c>
      <c r="D6" s="15">
        <v>0</v>
      </c>
      <c r="E6" s="15">
        <v>0</v>
      </c>
      <c r="F6" s="15">
        <v>0</v>
      </c>
      <c r="G6" s="18">
        <f t="shared" si="0"/>
        <v>18</v>
      </c>
      <c r="H6" s="11" t="s">
        <v>43</v>
      </c>
    </row>
    <row r="7" spans="1:8" x14ac:dyDescent="0.3">
      <c r="A7" s="7"/>
      <c r="B7" s="16" t="s">
        <v>843</v>
      </c>
      <c r="C7" s="1">
        <v>7</v>
      </c>
      <c r="D7" s="1">
        <v>3</v>
      </c>
      <c r="E7" s="1">
        <v>1</v>
      </c>
      <c r="F7" s="1">
        <v>0</v>
      </c>
      <c r="G7" s="3">
        <f t="shared" si="0"/>
        <v>11</v>
      </c>
      <c r="H7" s="12" t="s">
        <v>844</v>
      </c>
    </row>
    <row r="8" spans="1:8" ht="17.25" thickBot="1" x14ac:dyDescent="0.35">
      <c r="B8" s="20" t="s">
        <v>52</v>
      </c>
      <c r="C8" s="21">
        <v>46</v>
      </c>
      <c r="D8" s="17">
        <v>58</v>
      </c>
      <c r="E8" s="17">
        <v>36</v>
      </c>
      <c r="F8" s="17">
        <v>24</v>
      </c>
      <c r="G8" s="17">
        <f t="shared" si="0"/>
        <v>164</v>
      </c>
      <c r="H8" s="13"/>
    </row>
  </sheetData>
  <phoneticPr fontId="1" type="noConversion"/>
  <pageMargins left="0.7" right="0.7" top="0.75" bottom="0.75" header="0.3" footer="0.3"/>
  <pageSetup paperSize="9" scale="78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44D8-42C1-4106-BF06-3B549BC0C4DA}">
  <dimension ref="B2:O19009"/>
  <sheetViews>
    <sheetView workbookViewId="0"/>
  </sheetViews>
  <sheetFormatPr defaultRowHeight="16.5" x14ac:dyDescent="0.3"/>
  <cols>
    <col min="2" max="2" width="15.125" bestFit="1" customWidth="1"/>
    <col min="4" max="4" width="13.375" bestFit="1" customWidth="1"/>
    <col min="5" max="5" width="20.375" bestFit="1" customWidth="1"/>
    <col min="6" max="6" width="25.5" bestFit="1" customWidth="1"/>
    <col min="7" max="7" width="11" bestFit="1" customWidth="1"/>
    <col min="8" max="8" width="23.75" bestFit="1" customWidth="1"/>
    <col min="9" max="9" width="15.875" bestFit="1" customWidth="1"/>
    <col min="10" max="10" width="13.875" bestFit="1" customWidth="1"/>
    <col min="11" max="12" width="19.25" bestFit="1" customWidth="1"/>
  </cols>
  <sheetData>
    <row r="2" spans="2:15" x14ac:dyDescent="0.3">
      <c r="B2" s="1" t="s">
        <v>35</v>
      </c>
      <c r="C2" s="1" t="s">
        <v>34</v>
      </c>
      <c r="D2" s="1" t="s">
        <v>33</v>
      </c>
      <c r="E2" s="1" t="s">
        <v>32</v>
      </c>
      <c r="F2" s="1" t="s">
        <v>31</v>
      </c>
      <c r="G2" s="1" t="s">
        <v>30</v>
      </c>
      <c r="H2" s="1" t="s">
        <v>29</v>
      </c>
      <c r="I2" s="1" t="s">
        <v>28</v>
      </c>
      <c r="J2" s="1" t="s">
        <v>27</v>
      </c>
      <c r="K2" s="1" t="s">
        <v>26</v>
      </c>
      <c r="L2" s="1" t="s">
        <v>25</v>
      </c>
      <c r="M2" s="2" t="s">
        <v>36</v>
      </c>
      <c r="N2" s="2" t="s">
        <v>37</v>
      </c>
      <c r="O2" s="2" t="s">
        <v>6</v>
      </c>
    </row>
    <row r="3" spans="2:15" x14ac:dyDescent="0.3">
      <c r="B3" s="1" t="s">
        <v>24</v>
      </c>
      <c r="C3" s="1" t="str">
        <f>"4차"</f>
        <v>4차</v>
      </c>
      <c r="D3" s="1" t="str">
        <f>"0126E04344"</f>
        <v>0126E04344</v>
      </c>
      <c r="E3" s="1" t="s">
        <v>10</v>
      </c>
      <c r="F3" s="1" t="str">
        <f>"10.10.46.202"</f>
        <v>10.10.46.202</v>
      </c>
      <c r="G3" s="1" t="str">
        <f>"0126E043"</f>
        <v>0126E043</v>
      </c>
      <c r="H3" s="1" t="str">
        <f>"신안간 38"</f>
        <v>신안간 38</v>
      </c>
      <c r="I3" s="1" t="s">
        <v>8</v>
      </c>
      <c r="J3" s="1" t="str">
        <f>"38/38"</f>
        <v>38/38</v>
      </c>
      <c r="K3" s="1" t="str">
        <f>"2026-07-29 13:18:01"</f>
        <v>2026-07-29 13:18:01</v>
      </c>
      <c r="L3" s="1" t="str">
        <f>"2019-10-29 15:13:05"</f>
        <v>2019-10-29 15:13:05</v>
      </c>
      <c r="M3" s="1" t="s">
        <v>1</v>
      </c>
      <c r="N3" s="1" t="s">
        <v>38</v>
      </c>
      <c r="O3" s="1" t="s">
        <v>46</v>
      </c>
    </row>
    <row r="4" spans="2:15" x14ac:dyDescent="0.3">
      <c r="B4" s="1" t="s">
        <v>24</v>
      </c>
      <c r="C4" s="1" t="str">
        <f>"4차"</f>
        <v>4차</v>
      </c>
      <c r="D4" s="1" t="str">
        <f>"0126E23445"</f>
        <v>0126E23445</v>
      </c>
      <c r="E4" s="1" t="s">
        <v>10</v>
      </c>
      <c r="F4" s="1" t="str">
        <f>"10.14.2.13"</f>
        <v>10.14.2.13</v>
      </c>
      <c r="G4" s="1" t="str">
        <f>"0126E234"</f>
        <v>0126E234</v>
      </c>
      <c r="H4" s="1" t="str">
        <f>"왕디로 L2"</f>
        <v>왕디로 L2</v>
      </c>
      <c r="I4" s="1" t="s">
        <v>17</v>
      </c>
      <c r="J4" s="1" t="str">
        <f>"8/8"</f>
        <v>8/8</v>
      </c>
      <c r="K4" s="1" t="str">
        <f>"2026-07-29 13:18:02"</f>
        <v>2026-07-29 13:18:02</v>
      </c>
      <c r="L4" s="1" t="str">
        <f>"2021-06-30 11:53:32"</f>
        <v>2021-06-30 11:53:32</v>
      </c>
      <c r="M4" s="1" t="s">
        <v>3</v>
      </c>
      <c r="N4" s="1" t="s">
        <v>38</v>
      </c>
      <c r="O4" s="1" t="s">
        <v>46</v>
      </c>
    </row>
    <row r="5" spans="2:15" x14ac:dyDescent="0.3">
      <c r="B5" s="1" t="s">
        <v>24</v>
      </c>
      <c r="C5" s="1" t="str">
        <f>"4차"</f>
        <v>4차</v>
      </c>
      <c r="D5" s="1" t="str">
        <f>"0126E31241"</f>
        <v>0126E31241</v>
      </c>
      <c r="E5" s="1" t="s">
        <v>10</v>
      </c>
      <c r="F5" s="1" t="str">
        <f>"10.14.3.46"</f>
        <v>10.14.3.46</v>
      </c>
      <c r="G5" s="1" t="str">
        <f>"0126E312"</f>
        <v>0126E312</v>
      </c>
      <c r="H5" s="1" t="str">
        <f>"왕디로SW R1R3"</f>
        <v>왕디로SW R1R3</v>
      </c>
      <c r="I5" s="1" t="s">
        <v>17</v>
      </c>
      <c r="J5" s="1" t="str">
        <f>"14/14"</f>
        <v>14/14</v>
      </c>
      <c r="K5" s="1" t="str">
        <f>"2026-07-29 13:18:02"</f>
        <v>2026-07-29 13:18:02</v>
      </c>
      <c r="L5" s="1" t="str">
        <f>"2021-10-15 10:10:33"</f>
        <v>2021-10-15 10:10:33</v>
      </c>
      <c r="M5" s="1" t="s">
        <v>3</v>
      </c>
      <c r="N5" s="1" t="s">
        <v>38</v>
      </c>
      <c r="O5" s="1" t="s">
        <v>46</v>
      </c>
    </row>
    <row r="6" spans="2:15" x14ac:dyDescent="0.3">
      <c r="B6" s="1" t="s">
        <v>24</v>
      </c>
      <c r="C6" s="1" t="str">
        <f>"4차"</f>
        <v>4차</v>
      </c>
      <c r="D6" s="1" t="str">
        <f>"0126E32141"</f>
        <v>0126E32141</v>
      </c>
      <c r="E6" s="1" t="s">
        <v>10</v>
      </c>
      <c r="F6" s="1" t="str">
        <f>"10.14.12.46"</f>
        <v>10.14.12.46</v>
      </c>
      <c r="G6" s="1" t="str">
        <f>"0126E321"</f>
        <v>0126E321</v>
      </c>
      <c r="H6" s="1" t="str">
        <f>"왕디로SW R5R1R4"</f>
        <v>왕디로SW R5R1R4</v>
      </c>
      <c r="I6" s="1" t="s">
        <v>17</v>
      </c>
      <c r="J6" s="1" t="str">
        <f>"22/24"</f>
        <v>22/24</v>
      </c>
      <c r="K6" s="1" t="str">
        <f>"2026-07-29 13:18:02"</f>
        <v>2026-07-29 13:18:02</v>
      </c>
      <c r="L6" s="1" t="str">
        <f>"2021-10-15 09:29:19"</f>
        <v>2021-10-15 09:29:19</v>
      </c>
      <c r="M6" s="1" t="s">
        <v>3</v>
      </c>
      <c r="N6" s="1" t="s">
        <v>38</v>
      </c>
      <c r="O6" s="1" t="s">
        <v>46</v>
      </c>
    </row>
    <row r="7" spans="2:15" x14ac:dyDescent="0.3">
      <c r="B7" s="1" t="s">
        <v>24</v>
      </c>
      <c r="C7" s="1" t="str">
        <f>"4차"</f>
        <v>4차</v>
      </c>
      <c r="D7" s="1" t="str">
        <f>"0126E33645"</f>
        <v>0126E33645</v>
      </c>
      <c r="E7" s="1" t="s">
        <v>10</v>
      </c>
      <c r="F7" s="1" t="str">
        <f>"10.14.3.4"</f>
        <v>10.14.3.4</v>
      </c>
      <c r="G7" s="1" t="str">
        <f>"0126E336"</f>
        <v>0126E336</v>
      </c>
      <c r="H7" s="1" t="str">
        <f>"왕디로 L3"</f>
        <v>왕디로 L3</v>
      </c>
      <c r="I7" s="1" t="s">
        <v>17</v>
      </c>
      <c r="J7" s="1" t="str">
        <f>"1/1"</f>
        <v>1/1</v>
      </c>
      <c r="K7" s="1" t="str">
        <f>"2026-07-29 13:18:02"</f>
        <v>2026-07-29 13:18:02</v>
      </c>
      <c r="L7" s="1" t="str">
        <f>"2021-06-30 11:27:38"</f>
        <v>2021-06-30 11:27:38</v>
      </c>
      <c r="M7" s="1" t="s">
        <v>3</v>
      </c>
      <c r="N7" s="1" t="s">
        <v>38</v>
      </c>
      <c r="O7" s="1" t="s">
        <v>46</v>
      </c>
    </row>
    <row r="8" spans="2:15" x14ac:dyDescent="0.3">
      <c r="B8" s="1" t="s">
        <v>24</v>
      </c>
      <c r="C8" s="1" t="str">
        <f>"3차"</f>
        <v>3차</v>
      </c>
      <c r="D8" s="1" t="str">
        <f>"0126E35439"</f>
        <v>0126E35439</v>
      </c>
      <c r="E8" s="1" t="s">
        <v>10</v>
      </c>
      <c r="F8" s="1" t="str">
        <f>"10.12.128.211"</f>
        <v>10.12.128.211</v>
      </c>
      <c r="G8" s="1" t="str">
        <f>"0126E354"</f>
        <v>0126E354</v>
      </c>
      <c r="H8" s="1" t="str">
        <f>"신안간 34L2"</f>
        <v>신안간 34L2</v>
      </c>
      <c r="I8" s="1" t="s">
        <v>8</v>
      </c>
      <c r="J8" s="1" t="str">
        <f>"25/25"</f>
        <v>25/25</v>
      </c>
      <c r="K8" s="1" t="str">
        <f>"2026-07-29 13:18:02"</f>
        <v>2026-07-29 13:18:02</v>
      </c>
      <c r="L8" s="1" t="str">
        <f>"2018-04-12 07:43:40"</f>
        <v>2018-04-12 07:43:40</v>
      </c>
      <c r="M8" s="1" t="s">
        <v>0</v>
      </c>
      <c r="N8" s="1" t="s">
        <v>38</v>
      </c>
      <c r="O8" s="1" t="s">
        <v>46</v>
      </c>
    </row>
    <row r="9" spans="2:15" x14ac:dyDescent="0.3">
      <c r="B9" s="1" t="s">
        <v>24</v>
      </c>
      <c r="C9" s="1" t="str">
        <f>"4차"</f>
        <v>4차</v>
      </c>
      <c r="D9" s="1" t="str">
        <f>"0126E36444"</f>
        <v>0126E36444</v>
      </c>
      <c r="E9" s="1" t="s">
        <v>10</v>
      </c>
      <c r="F9" s="1" t="str">
        <f>"10.10.46.186"</f>
        <v>10.10.46.186</v>
      </c>
      <c r="G9" s="1" t="str">
        <f>"0126E364"</f>
        <v>0126E364</v>
      </c>
      <c r="H9" s="1" t="str">
        <f>"신안간 30L1"</f>
        <v>신안간 30L1</v>
      </c>
      <c r="I9" s="1" t="s">
        <v>8</v>
      </c>
      <c r="J9" s="1" t="str">
        <f>"28/28"</f>
        <v>28/28</v>
      </c>
      <c r="K9" s="1" t="str">
        <f>"2026-07-29 13:18:01"</f>
        <v>2026-07-29 13:18:01</v>
      </c>
      <c r="L9" s="1" t="str">
        <f>"2019-10-29 15:13:04"</f>
        <v>2019-10-29 15:13:04</v>
      </c>
      <c r="M9" s="1" t="s">
        <v>1</v>
      </c>
      <c r="N9" s="1" t="s">
        <v>38</v>
      </c>
      <c r="O9" s="1" t="s">
        <v>46</v>
      </c>
    </row>
    <row r="10" spans="2:15" x14ac:dyDescent="0.3">
      <c r="B10" s="1" t="s">
        <v>24</v>
      </c>
      <c r="C10" s="1" t="str">
        <f>"4차"</f>
        <v>4차</v>
      </c>
      <c r="D10" s="1" t="str">
        <f>"0126E36544"</f>
        <v>0126E36544</v>
      </c>
      <c r="E10" s="1" t="s">
        <v>10</v>
      </c>
      <c r="F10" s="1" t="str">
        <f>"10.10.107.154"</f>
        <v>10.10.107.154</v>
      </c>
      <c r="G10" s="1" t="str">
        <f>"0126E365"</f>
        <v>0126E365</v>
      </c>
      <c r="H10" s="1" t="str">
        <f>"신안간 29"</f>
        <v>신안간 29</v>
      </c>
      <c r="I10" s="1" t="s">
        <v>8</v>
      </c>
      <c r="J10" s="1" t="str">
        <f>"18/18"</f>
        <v>18/18</v>
      </c>
      <c r="K10" s="1" t="str">
        <f>"2026-07-29 13:18:01"</f>
        <v>2026-07-29 13:18:01</v>
      </c>
      <c r="L10" s="1" t="str">
        <f>"2019-10-29 15:13:04"</f>
        <v>2019-10-29 15:13:04</v>
      </c>
      <c r="M10" s="1" t="s">
        <v>1</v>
      </c>
      <c r="N10" s="1" t="s">
        <v>38</v>
      </c>
      <c r="O10" s="1" t="s">
        <v>46</v>
      </c>
    </row>
    <row r="11" spans="2:15" x14ac:dyDescent="0.3">
      <c r="B11" s="1" t="s">
        <v>24</v>
      </c>
      <c r="C11" s="1" t="str">
        <f>"5-1차"</f>
        <v>5-1차</v>
      </c>
      <c r="D11" s="1" t="str">
        <f>"0126E4115M"</f>
        <v>0126E4115M</v>
      </c>
      <c r="E11" s="1" t="s">
        <v>10</v>
      </c>
      <c r="F11" s="1" t="str">
        <f>"fde2:104:0:15d:0:0:0:2"</f>
        <v>fde2:104:0:15d:0:0:0:2</v>
      </c>
      <c r="G11" s="1" t="str">
        <f>"0126E411"</f>
        <v>0126E411</v>
      </c>
      <c r="H11" s="1" t="str">
        <f>"왕디로SW R5R3R2"</f>
        <v>왕디로SW R5R3R2</v>
      </c>
      <c r="I11" s="1" t="s">
        <v>15</v>
      </c>
      <c r="J11" s="1" t="str">
        <f>"65/65"</f>
        <v>65/65</v>
      </c>
      <c r="K11" s="1" t="str">
        <f>"2026-07-29 14:20:27"</f>
        <v>2026-07-29 14:20:27</v>
      </c>
      <c r="L11" s="1" t="str">
        <f>"2022-09-28 11:06:36"</f>
        <v>2022-09-28 11:06:36</v>
      </c>
      <c r="M11" s="1" t="s">
        <v>42</v>
      </c>
      <c r="N11" s="1" t="s">
        <v>38</v>
      </c>
      <c r="O11" s="1" t="s">
        <v>46</v>
      </c>
    </row>
    <row r="12" spans="2:15" x14ac:dyDescent="0.3">
      <c r="B12" s="1" t="s">
        <v>24</v>
      </c>
      <c r="C12" s="1" t="str">
        <f>"4차"</f>
        <v>4차</v>
      </c>
      <c r="D12" s="1" t="str">
        <f>"0126E42141"</f>
        <v>0126E42141</v>
      </c>
      <c r="E12" s="1" t="s">
        <v>10</v>
      </c>
      <c r="F12" s="1" t="str">
        <f>"10.14.13.112"</f>
        <v>10.14.13.112</v>
      </c>
      <c r="G12" s="1" t="str">
        <f>"0126E421"</f>
        <v>0126E421</v>
      </c>
      <c r="H12" s="1" t="str">
        <f>"왕디로SW R5R1R3"</f>
        <v>왕디로SW R5R1R3</v>
      </c>
      <c r="I12" s="1" t="s">
        <v>17</v>
      </c>
      <c r="J12" s="1" t="str">
        <f>"26/27"</f>
        <v>26/27</v>
      </c>
      <c r="K12" s="1" t="str">
        <f>"2026-07-29 13:18:02"</f>
        <v>2026-07-29 13:18:02</v>
      </c>
      <c r="L12" s="1" t="str">
        <f>"2021-07-16 11:41:12"</f>
        <v>2021-07-16 11:41:12</v>
      </c>
      <c r="M12" s="1" t="s">
        <v>3</v>
      </c>
      <c r="N12" s="1" t="s">
        <v>38</v>
      </c>
      <c r="O12" s="1" t="s">
        <v>46</v>
      </c>
    </row>
    <row r="13" spans="2:15" x14ac:dyDescent="0.3">
      <c r="B13" s="1" t="s">
        <v>24</v>
      </c>
      <c r="C13" s="1" t="str">
        <f>"4차"</f>
        <v>4차</v>
      </c>
      <c r="D13" s="1" t="str">
        <f>"0126E47344"</f>
        <v>0126E47344</v>
      </c>
      <c r="E13" s="1" t="s">
        <v>10</v>
      </c>
      <c r="F13" s="1" t="str">
        <f>"10.10.107.130"</f>
        <v>10.10.107.130</v>
      </c>
      <c r="G13" s="1" t="str">
        <f>"0126E473"</f>
        <v>0126E473</v>
      </c>
      <c r="H13" s="1" t="str">
        <f>"신안간 27"</f>
        <v>신안간 27</v>
      </c>
      <c r="I13" s="1" t="s">
        <v>8</v>
      </c>
      <c r="J13" s="1" t="str">
        <f>"11/11"</f>
        <v>11/11</v>
      </c>
      <c r="K13" s="1" t="str">
        <f>"2026-07-29 13:18:01"</f>
        <v>2026-07-29 13:18:01</v>
      </c>
      <c r="L13" s="1" t="str">
        <f>"2019-10-29 15:13:05"</f>
        <v>2019-10-29 15:13:05</v>
      </c>
      <c r="M13" s="1" t="s">
        <v>1</v>
      </c>
      <c r="N13" s="1" t="s">
        <v>38</v>
      </c>
      <c r="O13" s="1" t="s">
        <v>46</v>
      </c>
    </row>
    <row r="14" spans="2:15" x14ac:dyDescent="0.3">
      <c r="B14" s="1" t="s">
        <v>24</v>
      </c>
      <c r="C14" s="1" t="str">
        <f>"5-2차"</f>
        <v>5-2차</v>
      </c>
      <c r="D14" s="1" t="str">
        <f>"0126E5015M"</f>
        <v>0126E5015M</v>
      </c>
      <c r="E14" s="1" t="s">
        <v>10</v>
      </c>
      <c r="F14" s="1" t="str">
        <f>"fde1:103:4:5596:0:0:0:2"</f>
        <v>fde1:103:4:5596:0:0:0:2</v>
      </c>
      <c r="G14" s="1" t="str">
        <f>"0126E501"</f>
        <v>0126E501</v>
      </c>
      <c r="H14" s="1" t="str">
        <f>"왕디로SW R5R5"</f>
        <v>왕디로SW R5R5</v>
      </c>
      <c r="I14" s="1" t="s">
        <v>15</v>
      </c>
      <c r="J14" s="1" t="str">
        <f>"44/44"</f>
        <v>44/44</v>
      </c>
      <c r="K14" s="1" t="str">
        <f>"2026-07-29 14:20:18"</f>
        <v>2026-07-29 14:20:18</v>
      </c>
      <c r="L14" s="1" t="str">
        <f>"2023-09-04 16:53:57"</f>
        <v>2023-09-04 16:53:57</v>
      </c>
      <c r="M14" s="1" t="s">
        <v>4</v>
      </c>
      <c r="N14" s="1" t="s">
        <v>38</v>
      </c>
      <c r="O14" s="1" t="s">
        <v>46</v>
      </c>
    </row>
    <row r="15" spans="2:15" x14ac:dyDescent="0.3">
      <c r="B15" s="1" t="s">
        <v>24</v>
      </c>
      <c r="C15" s="1" t="str">
        <f>"5-2차"</f>
        <v>5-2차</v>
      </c>
      <c r="D15" s="1" t="str">
        <f>"0126E5135M"</f>
        <v>0126E5135M</v>
      </c>
      <c r="E15" s="1" t="s">
        <v>10</v>
      </c>
      <c r="F15" s="1" t="str">
        <f>"fde1:103:4:563d:0:0:0:2"</f>
        <v>fde1:103:4:563d:0:0:0:2</v>
      </c>
      <c r="G15" s="1" t="str">
        <f>"0126E513"</f>
        <v>0126E513</v>
      </c>
      <c r="H15" s="1" t="str">
        <f>"왕디로SW R5R3R1"</f>
        <v>왕디로SW R5R3R1</v>
      </c>
      <c r="I15" s="1" t="s">
        <v>15</v>
      </c>
      <c r="J15" s="1" t="str">
        <f>"53/53"</f>
        <v>53/53</v>
      </c>
      <c r="K15" s="1" t="str">
        <f>"2026-07-29 14:20:26"</f>
        <v>2026-07-29 14:20:26</v>
      </c>
      <c r="L15" s="1" t="str">
        <f>"2023-09-04 16:55:39"</f>
        <v>2023-09-04 16:55:39</v>
      </c>
      <c r="M15" s="1" t="s">
        <v>4</v>
      </c>
      <c r="N15" s="1" t="s">
        <v>38</v>
      </c>
      <c r="O15" s="1" t="s">
        <v>46</v>
      </c>
    </row>
    <row r="16" spans="2:15" x14ac:dyDescent="0.3">
      <c r="B16" s="1" t="s">
        <v>24</v>
      </c>
      <c r="C16" s="1" t="str">
        <f>"4차"</f>
        <v>4차</v>
      </c>
      <c r="D16" s="1" t="str">
        <f>"0126E54439"</f>
        <v>0126E54439</v>
      </c>
      <c r="E16" s="1" t="s">
        <v>10</v>
      </c>
      <c r="F16" s="1" t="str">
        <f>"10.12.137.27"</f>
        <v>10.12.137.27</v>
      </c>
      <c r="G16" s="1" t="str">
        <f>"0126E544"</f>
        <v>0126E544</v>
      </c>
      <c r="H16" s="1" t="str">
        <f>"왕디로 L4"</f>
        <v>왕디로 L4</v>
      </c>
      <c r="I16" s="1" t="s">
        <v>17</v>
      </c>
      <c r="J16" s="1" t="str">
        <f>"36/38"</f>
        <v>36/38</v>
      </c>
      <c r="K16" s="1" t="str">
        <f>"2026-07-29 13:18:01"</f>
        <v>2026-07-29 13:18:01</v>
      </c>
      <c r="L16" s="1" t="str">
        <f>"2018-10-08 10:39:55"</f>
        <v>2018-10-08 10:39:55</v>
      </c>
      <c r="M16" s="1" t="s">
        <v>0</v>
      </c>
      <c r="N16" s="1" t="s">
        <v>38</v>
      </c>
      <c r="O16" s="1" t="s">
        <v>46</v>
      </c>
    </row>
    <row r="17" spans="2:15" x14ac:dyDescent="0.3">
      <c r="B17" s="1" t="s">
        <v>24</v>
      </c>
      <c r="C17" s="1" t="str">
        <f>"4차"</f>
        <v>4차</v>
      </c>
      <c r="D17" s="1" t="str">
        <f>"0126E57344"</f>
        <v>0126E57344</v>
      </c>
      <c r="E17" s="1" t="s">
        <v>10</v>
      </c>
      <c r="F17" s="1" t="str">
        <f>"10.10.46.178"</f>
        <v>10.10.46.178</v>
      </c>
      <c r="G17" s="1" t="str">
        <f>"0126E573"</f>
        <v>0126E573</v>
      </c>
      <c r="H17" s="1" t="str">
        <f>"신안간 28L3"</f>
        <v>신안간 28L3</v>
      </c>
      <c r="I17" s="1" t="s">
        <v>8</v>
      </c>
      <c r="J17" s="1" t="str">
        <f>"24/24"</f>
        <v>24/24</v>
      </c>
      <c r="K17" s="1" t="str">
        <f>"2026-07-29 13:18:01"</f>
        <v>2026-07-29 13:18:01</v>
      </c>
      <c r="L17" s="1" t="str">
        <f>"2019-12-17 15:30:26"</f>
        <v>2019-12-17 15:30:26</v>
      </c>
      <c r="M17" s="1" t="s">
        <v>1</v>
      </c>
      <c r="N17" s="1" t="s">
        <v>38</v>
      </c>
      <c r="O17" s="1" t="s">
        <v>46</v>
      </c>
    </row>
    <row r="18" spans="2:15" x14ac:dyDescent="0.3">
      <c r="B18" s="1" t="s">
        <v>24</v>
      </c>
      <c r="C18" s="1" t="str">
        <f>"5-2차"</f>
        <v>5-2차</v>
      </c>
      <c r="D18" s="1" t="str">
        <f>"0126E7015M"</f>
        <v>0126E7015M</v>
      </c>
      <c r="E18" s="1" t="s">
        <v>10</v>
      </c>
      <c r="F18" s="1" t="str">
        <f>"fde1:103:4:5582:0:0:0:2"</f>
        <v>fde1:103:4:5582:0:0:0:2</v>
      </c>
      <c r="G18" s="1" t="str">
        <f>"0126E701"</f>
        <v>0126E701</v>
      </c>
      <c r="H18" s="1" t="str">
        <f>"마신간 8L4"</f>
        <v>마신간 8L4</v>
      </c>
      <c r="I18" s="1" t="s">
        <v>15</v>
      </c>
      <c r="J18" s="1" t="str">
        <f>"52/52"</f>
        <v>52/52</v>
      </c>
      <c r="K18" s="1" t="str">
        <f>"2026-07-29 14:20:26"</f>
        <v>2026-07-29 14:20:26</v>
      </c>
      <c r="L18" s="1" t="str">
        <f>"2023-09-04 16:56:55"</f>
        <v>2023-09-04 16:56:55</v>
      </c>
      <c r="M18" s="1" t="s">
        <v>4</v>
      </c>
      <c r="N18" s="1" t="s">
        <v>38</v>
      </c>
      <c r="O18" s="1" t="s">
        <v>46</v>
      </c>
    </row>
    <row r="19" spans="2:15" x14ac:dyDescent="0.3">
      <c r="B19" s="1" t="s">
        <v>24</v>
      </c>
      <c r="C19" s="1" t="str">
        <f>"5-2차"</f>
        <v>5-2차</v>
      </c>
      <c r="D19" s="1" t="str">
        <f>"0126E7235M"</f>
        <v>0126E7235M</v>
      </c>
      <c r="E19" s="1" t="s">
        <v>10</v>
      </c>
      <c r="F19" s="1" t="str">
        <f>"fde1:103:4:56b1:0:0:0:2"</f>
        <v>fde1:103:4:56b1:0:0:0:2</v>
      </c>
      <c r="G19" s="1" t="str">
        <f>"0126E723"</f>
        <v>0126E723</v>
      </c>
      <c r="H19" s="1" t="str">
        <f>"마신간 13L1"</f>
        <v>마신간 13L1</v>
      </c>
      <c r="I19" s="1" t="s">
        <v>15</v>
      </c>
      <c r="J19" s="1" t="str">
        <f>"46/46"</f>
        <v>46/46</v>
      </c>
      <c r="K19" s="1" t="str">
        <f>"2026-07-29 14:20:27"</f>
        <v>2026-07-29 14:20:27</v>
      </c>
      <c r="L19" s="1" t="str">
        <f>"2023-09-04 17:15:38"</f>
        <v>2023-09-04 17:15:38</v>
      </c>
      <c r="M19" s="1" t="s">
        <v>4</v>
      </c>
      <c r="N19" s="1" t="s">
        <v>38</v>
      </c>
      <c r="O19" s="1" t="s">
        <v>46</v>
      </c>
    </row>
    <row r="20" spans="2:15" x14ac:dyDescent="0.3">
      <c r="B20" s="1" t="s">
        <v>24</v>
      </c>
      <c r="C20" s="1" t="str">
        <f t="shared" ref="C20:C28" si="0">"4차"</f>
        <v>4차</v>
      </c>
      <c r="D20" s="1" t="str">
        <f>"0126E76241"</f>
        <v>0126E76241</v>
      </c>
      <c r="E20" s="1" t="s">
        <v>10</v>
      </c>
      <c r="F20" s="1" t="str">
        <f>"10.12.135.121"</f>
        <v>10.12.135.121</v>
      </c>
      <c r="G20" s="1" t="str">
        <f>"0126E762"</f>
        <v>0126E762</v>
      </c>
      <c r="H20" s="1" t="str">
        <f>"왕디로SW L10L9"</f>
        <v>왕디로SW L10L9</v>
      </c>
      <c r="I20" s="1" t="s">
        <v>17</v>
      </c>
      <c r="J20" s="1" t="str">
        <f>"10/10"</f>
        <v>10/10</v>
      </c>
      <c r="K20" s="1" t="str">
        <f>"2026-07-29 13:18:01"</f>
        <v>2026-07-29 13:18:01</v>
      </c>
      <c r="L20" s="1" t="str">
        <f>"2021-10-15 07:43:07"</f>
        <v>2021-10-15 07:43:07</v>
      </c>
      <c r="M20" s="1" t="s">
        <v>0</v>
      </c>
      <c r="N20" s="1" t="s">
        <v>38</v>
      </c>
      <c r="O20" s="1" t="s">
        <v>46</v>
      </c>
    </row>
    <row r="21" spans="2:15" x14ac:dyDescent="0.3">
      <c r="B21" s="1" t="s">
        <v>24</v>
      </c>
      <c r="C21" s="1" t="str">
        <f t="shared" si="0"/>
        <v>4차</v>
      </c>
      <c r="D21" s="1" t="str">
        <f>"0126E86141"</f>
        <v>0126E86141</v>
      </c>
      <c r="E21" s="1" t="s">
        <v>10</v>
      </c>
      <c r="F21" s="1" t="str">
        <f>"10.14.7.179"</f>
        <v>10.14.7.179</v>
      </c>
      <c r="G21" s="1" t="str">
        <f>"0126E861"</f>
        <v>0126E861</v>
      </c>
      <c r="H21" s="1" t="str">
        <f>"왕디로SW L10L7"</f>
        <v>왕디로SW L10L7</v>
      </c>
      <c r="I21" s="1" t="s">
        <v>17</v>
      </c>
      <c r="J21" s="1" t="str">
        <f>"9/9"</f>
        <v>9/9</v>
      </c>
      <c r="K21" s="1" t="str">
        <f>"2026-07-29 13:18:02"</f>
        <v>2026-07-29 13:18:02</v>
      </c>
      <c r="L21" s="1" t="str">
        <f>"2021-07-16 10:54:41"</f>
        <v>2021-07-16 10:54:41</v>
      </c>
      <c r="M21" s="1" t="s">
        <v>3</v>
      </c>
      <c r="N21" s="1" t="s">
        <v>38</v>
      </c>
      <c r="O21" s="1" t="s">
        <v>46</v>
      </c>
    </row>
    <row r="22" spans="2:15" x14ac:dyDescent="0.3">
      <c r="B22" s="1" t="s">
        <v>24</v>
      </c>
      <c r="C22" s="1" t="str">
        <f t="shared" si="0"/>
        <v>4차</v>
      </c>
      <c r="D22" s="1" t="str">
        <f>"0126E86645"</f>
        <v>0126E86645</v>
      </c>
      <c r="E22" s="1" t="s">
        <v>10</v>
      </c>
      <c r="F22" s="1" t="str">
        <f>"10.14.15.65"</f>
        <v>10.14.15.65</v>
      </c>
      <c r="G22" s="1" t="str">
        <f>"0126E866"</f>
        <v>0126E866</v>
      </c>
      <c r="H22" s="1" t="str">
        <f>"왕디로SW L10L7L1T1"</f>
        <v>왕디로SW L10L7L1T1</v>
      </c>
      <c r="I22" s="1" t="s">
        <v>17</v>
      </c>
      <c r="J22" s="1" t="str">
        <f>"62/62"</f>
        <v>62/62</v>
      </c>
      <c r="K22" s="1" t="str">
        <f>"2026-07-29 13:18:02"</f>
        <v>2026-07-29 13:18:02</v>
      </c>
      <c r="L22" s="1" t="str">
        <f>"2021-06-30 11:07:45"</f>
        <v>2021-06-30 11:07:45</v>
      </c>
      <c r="M22" s="1" t="s">
        <v>3</v>
      </c>
      <c r="N22" s="1" t="s">
        <v>38</v>
      </c>
      <c r="O22" s="1" t="s">
        <v>46</v>
      </c>
    </row>
    <row r="23" spans="2:15" x14ac:dyDescent="0.3">
      <c r="B23" s="1" t="s">
        <v>24</v>
      </c>
      <c r="C23" s="1" t="str">
        <f t="shared" si="0"/>
        <v>4차</v>
      </c>
      <c r="D23" s="1" t="str">
        <f>"0126E87244"</f>
        <v>0126E87244</v>
      </c>
      <c r="E23" s="1" t="s">
        <v>10</v>
      </c>
      <c r="F23" s="1" t="str">
        <f>"10.10.48.130"</f>
        <v>10.10.48.130</v>
      </c>
      <c r="G23" s="1" t="str">
        <f>"0126E872"</f>
        <v>0126E872</v>
      </c>
      <c r="H23" s="1" t="str">
        <f>"왕디로SW L10L7R3"</f>
        <v>왕디로SW L10L7R3</v>
      </c>
      <c r="I23" s="1" t="s">
        <v>8</v>
      </c>
      <c r="J23" s="1" t="str">
        <f>"34/34"</f>
        <v>34/34</v>
      </c>
      <c r="K23" s="1" t="str">
        <f>"2026-07-29 13:18:01"</f>
        <v>2026-07-29 13:18:01</v>
      </c>
      <c r="L23" s="1" t="str">
        <f>"2019-10-29 15:13:05"</f>
        <v>2019-10-29 15:13:05</v>
      </c>
      <c r="M23" s="1" t="s">
        <v>1</v>
      </c>
      <c r="N23" s="1" t="s">
        <v>38</v>
      </c>
      <c r="O23" s="1" t="s">
        <v>46</v>
      </c>
    </row>
    <row r="24" spans="2:15" x14ac:dyDescent="0.3">
      <c r="B24" s="1" t="s">
        <v>24</v>
      </c>
      <c r="C24" s="1" t="str">
        <f t="shared" si="0"/>
        <v>4차</v>
      </c>
      <c r="D24" s="1" t="str">
        <f>"0126E93144"</f>
        <v>0126E93144</v>
      </c>
      <c r="E24" s="1" t="s">
        <v>10</v>
      </c>
      <c r="F24" s="1" t="str">
        <f>"10.10.45.250"</f>
        <v>10.10.45.250</v>
      </c>
      <c r="G24" s="1" t="str">
        <f>"0126E931"</f>
        <v>0126E931</v>
      </c>
      <c r="H24" s="1" t="str">
        <f>"마신간 1R10L5"</f>
        <v>마신간 1R10L5</v>
      </c>
      <c r="I24" s="1" t="s">
        <v>8</v>
      </c>
      <c r="J24" s="1" t="str">
        <f>"18/18"</f>
        <v>18/18</v>
      </c>
      <c r="K24" s="1" t="str">
        <f>"2026-07-29 13:18:01"</f>
        <v>2026-07-29 13:18:01</v>
      </c>
      <c r="L24" s="1" t="str">
        <f>"2019-10-29 15:13:04"</f>
        <v>2019-10-29 15:13:04</v>
      </c>
      <c r="M24" s="1" t="s">
        <v>1</v>
      </c>
      <c r="N24" s="1" t="s">
        <v>38</v>
      </c>
      <c r="O24" s="1" t="s">
        <v>46</v>
      </c>
    </row>
    <row r="25" spans="2:15" x14ac:dyDescent="0.3">
      <c r="B25" s="1" t="s">
        <v>24</v>
      </c>
      <c r="C25" s="1" t="str">
        <f t="shared" si="0"/>
        <v>4차</v>
      </c>
      <c r="D25" s="1" t="str">
        <f>"0126E94144"</f>
        <v>0126E94144</v>
      </c>
      <c r="E25" s="1" t="s">
        <v>10</v>
      </c>
      <c r="F25" s="1" t="str">
        <f>"10.10.45.226"</f>
        <v>10.10.45.226</v>
      </c>
      <c r="G25" s="1" t="str">
        <f>"0126E941"</f>
        <v>0126E941</v>
      </c>
      <c r="H25" s="1" t="str">
        <f>"마신간 14R4"</f>
        <v>마신간 14R4</v>
      </c>
      <c r="I25" s="1" t="s">
        <v>8</v>
      </c>
      <c r="J25" s="1" t="str">
        <f>"20/20"</f>
        <v>20/20</v>
      </c>
      <c r="K25" s="1" t="str">
        <f>"2026-07-29 13:18:01"</f>
        <v>2026-07-29 13:18:01</v>
      </c>
      <c r="L25" s="1" t="str">
        <f>"2019-10-10 10:21:10"</f>
        <v>2019-10-10 10:21:10</v>
      </c>
      <c r="M25" s="1" t="s">
        <v>1</v>
      </c>
      <c r="N25" s="1" t="s">
        <v>38</v>
      </c>
      <c r="O25" s="1" t="s">
        <v>46</v>
      </c>
    </row>
    <row r="26" spans="2:15" x14ac:dyDescent="0.3">
      <c r="B26" s="1" t="s">
        <v>24</v>
      </c>
      <c r="C26" s="1" t="str">
        <f t="shared" si="0"/>
        <v>4차</v>
      </c>
      <c r="D26" s="1" t="str">
        <f>"0126E97144"</f>
        <v>0126E97144</v>
      </c>
      <c r="E26" s="1" t="s">
        <v>10</v>
      </c>
      <c r="F26" s="1" t="str">
        <f>"10.10.48.138"</f>
        <v>10.10.48.138</v>
      </c>
      <c r="G26" s="1" t="str">
        <f>"0126E971"</f>
        <v>0126E971</v>
      </c>
      <c r="H26" s="1" t="str">
        <f>"왕디로SW L10L7R4"</f>
        <v>왕디로SW L10L7R4</v>
      </c>
      <c r="I26" s="1" t="s">
        <v>8</v>
      </c>
      <c r="J26" s="1" t="str">
        <f>"29/30"</f>
        <v>29/30</v>
      </c>
      <c r="K26" s="1" t="str">
        <f>"2026-07-29 13:18:01"</f>
        <v>2026-07-29 13:18:01</v>
      </c>
      <c r="L26" s="1" t="str">
        <f>"2019-10-29 15:13:05"</f>
        <v>2019-10-29 15:13:05</v>
      </c>
      <c r="M26" s="1" t="s">
        <v>1</v>
      </c>
      <c r="N26" s="1" t="s">
        <v>38</v>
      </c>
      <c r="O26" s="1" t="s">
        <v>46</v>
      </c>
    </row>
    <row r="27" spans="2:15" x14ac:dyDescent="0.3">
      <c r="B27" s="1" t="s">
        <v>24</v>
      </c>
      <c r="C27" s="1" t="str">
        <f t="shared" si="0"/>
        <v>4차</v>
      </c>
      <c r="D27" s="1" t="str">
        <f>"0126F00144"</f>
        <v>0126F00144</v>
      </c>
      <c r="E27" s="1" t="str">
        <f>"검침실패(3시간 이상)"</f>
        <v>검침실패(3시간 이상)</v>
      </c>
      <c r="F27" s="1" t="str">
        <f>"10.10.106.178"</f>
        <v>10.10.106.178</v>
      </c>
      <c r="G27" s="1" t="str">
        <f>"0126F001"</f>
        <v>0126F001</v>
      </c>
      <c r="H27" s="1" t="str">
        <f>"마신간 1R3L3R3"</f>
        <v>마신간 1R3L3R3</v>
      </c>
      <c r="I27" s="1" t="s">
        <v>8</v>
      </c>
      <c r="J27" s="1" t="str">
        <f>"0/13"</f>
        <v>0/13</v>
      </c>
      <c r="K27" s="1" t="str">
        <f>"2026-07-20 07:18:01"</f>
        <v>2026-07-20 07:18:01</v>
      </c>
      <c r="L27" s="1" t="str">
        <f>"2023-10-06 15:01:27"</f>
        <v>2023-10-06 15:01:27</v>
      </c>
      <c r="M27" s="1" t="s">
        <v>1</v>
      </c>
      <c r="N27" s="1" t="s">
        <v>38</v>
      </c>
      <c r="O27" s="1" t="s">
        <v>46</v>
      </c>
    </row>
    <row r="28" spans="2:15" x14ac:dyDescent="0.3">
      <c r="B28" s="1" t="s">
        <v>24</v>
      </c>
      <c r="C28" s="1" t="str">
        <f t="shared" si="0"/>
        <v>4차</v>
      </c>
      <c r="D28" s="1" t="str">
        <f>"0126F07244"</f>
        <v>0126F07244</v>
      </c>
      <c r="E28" s="1" t="s">
        <v>10</v>
      </c>
      <c r="F28" s="1" t="str">
        <f>"10.10.48.122"</f>
        <v>10.10.48.122</v>
      </c>
      <c r="G28" s="1" t="str">
        <f>"0126F072"</f>
        <v>0126F072</v>
      </c>
      <c r="H28" s="1" t="str">
        <f>"왕디로SW L10L2"</f>
        <v>왕디로SW L10L2</v>
      </c>
      <c r="I28" s="1" t="s">
        <v>8</v>
      </c>
      <c r="J28" s="1" t="str">
        <f>"10/10"</f>
        <v>10/10</v>
      </c>
      <c r="K28" s="1" t="str">
        <f>"2026-07-29 13:18:01"</f>
        <v>2026-07-29 13:18:01</v>
      </c>
      <c r="L28" s="1" t="str">
        <f>"2019-10-29 15:13:04"</f>
        <v>2019-10-29 15:13:04</v>
      </c>
      <c r="M28" s="1" t="s">
        <v>1</v>
      </c>
      <c r="N28" s="1" t="s">
        <v>38</v>
      </c>
      <c r="O28" s="1" t="s">
        <v>46</v>
      </c>
    </row>
    <row r="29" spans="2:15" x14ac:dyDescent="0.3">
      <c r="B29" s="1" t="s">
        <v>24</v>
      </c>
      <c r="C29" s="1" t="str">
        <f>"1차"</f>
        <v>1차</v>
      </c>
      <c r="D29" s="1" t="str">
        <f>"0126F08200"</f>
        <v>0126F08200</v>
      </c>
      <c r="E29" s="1" t="s">
        <v>10</v>
      </c>
      <c r="F29" s="1" t="str">
        <f>"10.12.131.104"</f>
        <v>10.12.131.104</v>
      </c>
      <c r="G29" s="1" t="str">
        <f>"0126F082"</f>
        <v>0126F082</v>
      </c>
      <c r="H29" s="1" t="str">
        <f>"신안간 16L1"</f>
        <v>신안간 16L1</v>
      </c>
      <c r="I29" s="1" t="s">
        <v>8</v>
      </c>
      <c r="J29" s="1" t="str">
        <f>"1/1"</f>
        <v>1/1</v>
      </c>
      <c r="K29" s="1" t="str">
        <f>"2026-07-29 13:18:02"</f>
        <v>2026-07-29 13:18:02</v>
      </c>
      <c r="L29" s="1" t="str">
        <f>"2020-07-31 14:59:48"</f>
        <v>2020-07-31 14:59:48</v>
      </c>
      <c r="M29" s="1" t="s">
        <v>0</v>
      </c>
      <c r="N29" s="1" t="s">
        <v>38</v>
      </c>
      <c r="O29" s="1" t="s">
        <v>46</v>
      </c>
    </row>
    <row r="30" spans="2:15" x14ac:dyDescent="0.3">
      <c r="B30" s="1" t="s">
        <v>24</v>
      </c>
      <c r="C30" s="1" t="str">
        <f t="shared" ref="C30:C39" si="1">"4차"</f>
        <v>4차</v>
      </c>
      <c r="D30" s="1" t="str">
        <f>"0126F10144"</f>
        <v>0126F10144</v>
      </c>
      <c r="E30" s="1" t="s">
        <v>10</v>
      </c>
      <c r="F30" s="1" t="str">
        <f>"10.125.119.145"</f>
        <v>10.125.119.145</v>
      </c>
      <c r="G30" s="1" t="str">
        <f>"0126F101"</f>
        <v>0126F101</v>
      </c>
      <c r="H30" s="1" t="str">
        <f>"마신간 1R3L3R2"</f>
        <v>마신간 1R3L3R2</v>
      </c>
      <c r="I30" s="1" t="s">
        <v>8</v>
      </c>
      <c r="J30" s="1" t="str">
        <f>"26/26"</f>
        <v>26/26</v>
      </c>
      <c r="K30" s="1" t="str">
        <f t="shared" ref="K30:K38" si="2">"2026-07-29 13:18:01"</f>
        <v>2026-07-29 13:18:01</v>
      </c>
      <c r="L30" s="1" t="str">
        <f>"2020-01-10 15:24:43"</f>
        <v>2020-01-10 15:24:43</v>
      </c>
      <c r="M30" s="1" t="s">
        <v>45</v>
      </c>
      <c r="N30" s="1" t="s">
        <v>38</v>
      </c>
      <c r="O30" s="1" t="s">
        <v>46</v>
      </c>
    </row>
    <row r="31" spans="2:15" x14ac:dyDescent="0.3">
      <c r="B31" s="1" t="s">
        <v>24</v>
      </c>
      <c r="C31" s="1" t="str">
        <f t="shared" si="1"/>
        <v>4차</v>
      </c>
      <c r="D31" s="1" t="str">
        <f>"0126F11244"</f>
        <v>0126F11244</v>
      </c>
      <c r="E31" s="1" t="s">
        <v>10</v>
      </c>
      <c r="F31" s="1" t="str">
        <f>"10.125.119.146"</f>
        <v>10.125.119.146</v>
      </c>
      <c r="G31" s="1" t="str">
        <f>"0126F112"</f>
        <v>0126F112</v>
      </c>
      <c r="H31" s="1" t="str">
        <f>"마신간 1R3L3R2R1"</f>
        <v>마신간 1R3L3R2R1</v>
      </c>
      <c r="I31" s="1" t="s">
        <v>8</v>
      </c>
      <c r="J31" s="1" t="str">
        <f>"12/12"</f>
        <v>12/12</v>
      </c>
      <c r="K31" s="1" t="str">
        <f t="shared" si="2"/>
        <v>2026-07-29 13:18:01</v>
      </c>
      <c r="L31" s="1" t="str">
        <f>"2020-01-10 15:24:46"</f>
        <v>2020-01-10 15:24:46</v>
      </c>
      <c r="M31" s="1" t="s">
        <v>45</v>
      </c>
      <c r="N31" s="1" t="s">
        <v>38</v>
      </c>
      <c r="O31" s="1" t="s">
        <v>46</v>
      </c>
    </row>
    <row r="32" spans="2:15" x14ac:dyDescent="0.3">
      <c r="B32" s="1" t="s">
        <v>24</v>
      </c>
      <c r="C32" s="1" t="str">
        <f t="shared" si="1"/>
        <v>4차</v>
      </c>
      <c r="D32" s="1" t="str">
        <f>"0126F20144"</f>
        <v>0126F20144</v>
      </c>
      <c r="E32" s="1" t="s">
        <v>10</v>
      </c>
      <c r="F32" s="1" t="str">
        <f>"10.10.46.50"</f>
        <v>10.10.46.50</v>
      </c>
      <c r="G32" s="1" t="str">
        <f>"0126F201"</f>
        <v>0126F201</v>
      </c>
      <c r="H32" s="1" t="str">
        <f>"마신간 1R5"</f>
        <v>마신간 1R5</v>
      </c>
      <c r="I32" s="1" t="s">
        <v>8</v>
      </c>
      <c r="J32" s="1" t="str">
        <f>"13/13"</f>
        <v>13/13</v>
      </c>
      <c r="K32" s="1" t="str">
        <f t="shared" si="2"/>
        <v>2026-07-29 13:18:01</v>
      </c>
      <c r="L32" s="1" t="str">
        <f>"2019-10-10 10:31:41"</f>
        <v>2019-10-10 10:31:41</v>
      </c>
      <c r="M32" s="1" t="s">
        <v>1</v>
      </c>
      <c r="N32" s="1" t="s">
        <v>38</v>
      </c>
      <c r="O32" s="1" t="s">
        <v>46</v>
      </c>
    </row>
    <row r="33" spans="2:15" x14ac:dyDescent="0.3">
      <c r="B33" s="1" t="s">
        <v>24</v>
      </c>
      <c r="C33" s="1" t="str">
        <f t="shared" si="1"/>
        <v>4차</v>
      </c>
      <c r="D33" s="1" t="str">
        <f>"0126F21239"</f>
        <v>0126F21239</v>
      </c>
      <c r="E33" s="1" t="s">
        <v>10</v>
      </c>
      <c r="F33" s="1" t="str">
        <f>"10.125.119.132"</f>
        <v>10.125.119.132</v>
      </c>
      <c r="G33" s="1" t="str">
        <f>"0126F212"</f>
        <v>0126F212</v>
      </c>
      <c r="H33" s="1" t="str">
        <f>"마신간 1R6"</f>
        <v>마신간 1R6</v>
      </c>
      <c r="I33" s="1" t="s">
        <v>8</v>
      </c>
      <c r="J33" s="1" t="str">
        <f>"31/31"</f>
        <v>31/31</v>
      </c>
      <c r="K33" s="1" t="str">
        <f t="shared" si="2"/>
        <v>2026-07-29 13:18:01</v>
      </c>
      <c r="L33" s="1" t="str">
        <f>"2018-06-07 15:57:45"</f>
        <v>2018-06-07 15:57:45</v>
      </c>
      <c r="M33" s="1" t="s">
        <v>45</v>
      </c>
      <c r="N33" s="1" t="s">
        <v>38</v>
      </c>
      <c r="O33" s="1" t="s">
        <v>46</v>
      </c>
    </row>
    <row r="34" spans="2:15" x14ac:dyDescent="0.3">
      <c r="B34" s="1" t="s">
        <v>24</v>
      </c>
      <c r="C34" s="1" t="str">
        <f t="shared" si="1"/>
        <v>4차</v>
      </c>
      <c r="D34" s="1" t="str">
        <f>"0126F22244"</f>
        <v>0126F22244</v>
      </c>
      <c r="E34" s="1" t="s">
        <v>10</v>
      </c>
      <c r="F34" s="1" t="str">
        <f>"10.10.106.250"</f>
        <v>10.10.106.250</v>
      </c>
      <c r="G34" s="1" t="str">
        <f>"0126F222"</f>
        <v>0126F222</v>
      </c>
      <c r="H34" s="1" t="str">
        <f>"마청간 1L9"</f>
        <v>마청간 1L9</v>
      </c>
      <c r="I34" s="1" t="s">
        <v>8</v>
      </c>
      <c r="J34" s="1" t="str">
        <f>"28/29"</f>
        <v>28/29</v>
      </c>
      <c r="K34" s="1" t="str">
        <f t="shared" si="2"/>
        <v>2026-07-29 13:18:01</v>
      </c>
      <c r="L34" s="1" t="str">
        <f>"2019-10-10 11:24:40"</f>
        <v>2019-10-10 11:24:40</v>
      </c>
      <c r="M34" s="1" t="s">
        <v>1</v>
      </c>
      <c r="N34" s="1" t="s">
        <v>38</v>
      </c>
      <c r="O34" s="1" t="s">
        <v>46</v>
      </c>
    </row>
    <row r="35" spans="2:15" x14ac:dyDescent="0.3">
      <c r="B35" s="1" t="s">
        <v>24</v>
      </c>
      <c r="C35" s="1" t="str">
        <f t="shared" si="1"/>
        <v>4차</v>
      </c>
      <c r="D35" s="1" t="str">
        <f>"0126F31444"</f>
        <v>0126F31444</v>
      </c>
      <c r="E35" s="1" t="s">
        <v>10</v>
      </c>
      <c r="F35" s="1" t="str">
        <f>"10.10.46.82"</f>
        <v>10.10.46.82</v>
      </c>
      <c r="G35" s="1" t="str">
        <f>"0126F314"</f>
        <v>0126F314</v>
      </c>
      <c r="H35" s="1" t="str">
        <f>"마청간 1L6R3L1"</f>
        <v>마청간 1L6R3L1</v>
      </c>
      <c r="I35" s="1" t="s">
        <v>8</v>
      </c>
      <c r="J35" s="1" t="str">
        <f>"42/42"</f>
        <v>42/42</v>
      </c>
      <c r="K35" s="1" t="str">
        <f t="shared" si="2"/>
        <v>2026-07-29 13:18:01</v>
      </c>
      <c r="L35" s="1" t="str">
        <f>"2019-10-10 10:34:40"</f>
        <v>2019-10-10 10:34:40</v>
      </c>
      <c r="M35" s="1" t="s">
        <v>1</v>
      </c>
      <c r="N35" s="1" t="s">
        <v>38</v>
      </c>
      <c r="O35" s="1" t="s">
        <v>46</v>
      </c>
    </row>
    <row r="36" spans="2:15" x14ac:dyDescent="0.3">
      <c r="B36" s="1" t="s">
        <v>24</v>
      </c>
      <c r="C36" s="1" t="str">
        <f t="shared" si="1"/>
        <v>4차</v>
      </c>
      <c r="D36" s="1" t="str">
        <f>"0126F32244"</f>
        <v>0126F32244</v>
      </c>
      <c r="E36" s="1" t="s">
        <v>10</v>
      </c>
      <c r="F36" s="1" t="str">
        <f>"10.10.48.170"</f>
        <v>10.10.48.170</v>
      </c>
      <c r="G36" s="1" t="str">
        <f>"0126F322"</f>
        <v>0126F322</v>
      </c>
      <c r="H36" s="1" t="str">
        <f>"왕디로SW R9R2R3"</f>
        <v>왕디로SW R9R2R3</v>
      </c>
      <c r="I36" s="1" t="s">
        <v>8</v>
      </c>
      <c r="J36" s="1" t="str">
        <f>"6/6"</f>
        <v>6/6</v>
      </c>
      <c r="K36" s="1" t="str">
        <f t="shared" si="2"/>
        <v>2026-07-29 13:18:01</v>
      </c>
      <c r="L36" s="1" t="str">
        <f>"2019-10-29 15:13:05"</f>
        <v>2019-10-29 15:13:05</v>
      </c>
      <c r="M36" s="1" t="s">
        <v>1</v>
      </c>
      <c r="N36" s="1" t="s">
        <v>38</v>
      </c>
      <c r="O36" s="1" t="s">
        <v>46</v>
      </c>
    </row>
    <row r="37" spans="2:15" x14ac:dyDescent="0.3">
      <c r="B37" s="1" t="s">
        <v>24</v>
      </c>
      <c r="C37" s="1" t="str">
        <f t="shared" si="1"/>
        <v>4차</v>
      </c>
      <c r="D37" s="1" t="str">
        <f>"0126F33344"</f>
        <v>0126F33344</v>
      </c>
      <c r="E37" s="1" t="s">
        <v>10</v>
      </c>
      <c r="F37" s="1" t="str">
        <f>"10.10.48.162"</f>
        <v>10.10.48.162</v>
      </c>
      <c r="G37" s="1" t="str">
        <f>"0126F333"</f>
        <v>0126F333</v>
      </c>
      <c r="H37" s="1" t="str">
        <f>"왕디로SW R9R2R2"</f>
        <v>왕디로SW R9R2R2</v>
      </c>
      <c r="I37" s="1" t="s">
        <v>8</v>
      </c>
      <c r="J37" s="1" t="str">
        <f>"11/11"</f>
        <v>11/11</v>
      </c>
      <c r="K37" s="1" t="str">
        <f t="shared" si="2"/>
        <v>2026-07-29 13:18:01</v>
      </c>
      <c r="L37" s="1" t="str">
        <f>"2019-10-10 10:38:08"</f>
        <v>2019-10-10 10:38:08</v>
      </c>
      <c r="M37" s="1" t="s">
        <v>1</v>
      </c>
      <c r="N37" s="1" t="s">
        <v>38</v>
      </c>
      <c r="O37" s="1" t="s">
        <v>46</v>
      </c>
    </row>
    <row r="38" spans="2:15" x14ac:dyDescent="0.3">
      <c r="B38" s="1" t="s">
        <v>24</v>
      </c>
      <c r="C38" s="1" t="str">
        <f t="shared" si="1"/>
        <v>4차</v>
      </c>
      <c r="D38" s="1" t="str">
        <f>"0126F34144"</f>
        <v>0126F34144</v>
      </c>
      <c r="E38" s="1" t="s">
        <v>10</v>
      </c>
      <c r="F38" s="1" t="str">
        <f>"10.10.48.146"</f>
        <v>10.10.48.146</v>
      </c>
      <c r="G38" s="1" t="str">
        <f>"0126F341"</f>
        <v>0126F341</v>
      </c>
      <c r="H38" s="1" t="str">
        <f>"왕디로SW R9R2R1"</f>
        <v>왕디로SW R9R2R1</v>
      </c>
      <c r="I38" s="1" t="s">
        <v>8</v>
      </c>
      <c r="J38" s="1" t="str">
        <f>"42/43"</f>
        <v>42/43</v>
      </c>
      <c r="K38" s="1" t="str">
        <f t="shared" si="2"/>
        <v>2026-07-29 13:18:01</v>
      </c>
      <c r="L38" s="1" t="str">
        <f>"2019-10-29 15:13:05"</f>
        <v>2019-10-29 15:13:05</v>
      </c>
      <c r="M38" s="1" t="s">
        <v>1</v>
      </c>
      <c r="N38" s="1" t="s">
        <v>38</v>
      </c>
      <c r="O38" s="1" t="s">
        <v>46</v>
      </c>
    </row>
    <row r="39" spans="2:15" x14ac:dyDescent="0.3">
      <c r="B39" s="1" t="s">
        <v>24</v>
      </c>
      <c r="C39" s="1" t="str">
        <f t="shared" si="1"/>
        <v>4차</v>
      </c>
      <c r="D39" s="1" t="str">
        <f>"0126F37239"</f>
        <v>0126F37239</v>
      </c>
      <c r="E39" s="1" t="s">
        <v>10</v>
      </c>
      <c r="F39" s="1" t="str">
        <f>"10.12.129.47"</f>
        <v>10.12.129.47</v>
      </c>
      <c r="G39" s="1" t="str">
        <f>"0126F372"</f>
        <v>0126F372</v>
      </c>
      <c r="H39" s="1" t="str">
        <f>"왕디로 L6-1"</f>
        <v>왕디로 L6-1</v>
      </c>
      <c r="I39" s="1" t="s">
        <v>17</v>
      </c>
      <c r="J39" s="1" t="str">
        <f>"68/68"</f>
        <v>68/68</v>
      </c>
      <c r="K39" s="1" t="str">
        <f>"2026-07-29 13:18:02"</f>
        <v>2026-07-29 13:18:02</v>
      </c>
      <c r="L39" s="1" t="str">
        <f>"2018-10-08 10:20:25"</f>
        <v>2018-10-08 10:20:25</v>
      </c>
      <c r="M39" s="1" t="s">
        <v>0</v>
      </c>
      <c r="N39" s="1" t="s">
        <v>38</v>
      </c>
      <c r="O39" s="1" t="s">
        <v>46</v>
      </c>
    </row>
    <row r="40" spans="2:15" x14ac:dyDescent="0.3">
      <c r="B40" s="1" t="s">
        <v>24</v>
      </c>
      <c r="C40" s="1" t="str">
        <f>"3차"</f>
        <v>3차</v>
      </c>
      <c r="D40" s="1" t="str">
        <f>"0126F40139"</f>
        <v>0126F40139</v>
      </c>
      <c r="E40" s="1" t="s">
        <v>10</v>
      </c>
      <c r="F40" s="1" t="str">
        <f>"10.125.119.147"</f>
        <v>10.125.119.147</v>
      </c>
      <c r="G40" s="1" t="str">
        <f>"0126F401"</f>
        <v>0126F401</v>
      </c>
      <c r="H40" s="1" t="str">
        <f>"마청간 1L6R8R2"</f>
        <v>마청간 1L6R8R2</v>
      </c>
      <c r="I40" s="1" t="s">
        <v>8</v>
      </c>
      <c r="J40" s="1" t="str">
        <f>"34/34"</f>
        <v>34/34</v>
      </c>
      <c r="K40" s="1" t="str">
        <f t="shared" ref="K40:K45" si="3">"2026-07-29 13:18:01"</f>
        <v>2026-07-29 13:18:01</v>
      </c>
      <c r="L40" s="1" t="str">
        <f>"2018-07-27 09:58:19"</f>
        <v>2018-07-27 09:58:19</v>
      </c>
      <c r="M40" s="1" t="s">
        <v>45</v>
      </c>
      <c r="N40" s="1" t="s">
        <v>38</v>
      </c>
      <c r="O40" s="1" t="s">
        <v>46</v>
      </c>
    </row>
    <row r="41" spans="2:15" x14ac:dyDescent="0.3">
      <c r="B41" s="1" t="s">
        <v>24</v>
      </c>
      <c r="C41" s="1" t="str">
        <f t="shared" ref="C41:C47" si="4">"4차"</f>
        <v>4차</v>
      </c>
      <c r="D41" s="1" t="str">
        <f>"0126F42144"</f>
        <v>0126F42144</v>
      </c>
      <c r="E41" s="1" t="s">
        <v>10</v>
      </c>
      <c r="F41" s="1" t="str">
        <f>"10.10.46.106"</f>
        <v>10.10.46.106</v>
      </c>
      <c r="G41" s="1" t="str">
        <f>"0126F421"</f>
        <v>0126F421</v>
      </c>
      <c r="H41" s="1" t="str">
        <f>"마청간 1L6R6L2L3"</f>
        <v>마청간 1L6R6L2L3</v>
      </c>
      <c r="I41" s="1" t="s">
        <v>8</v>
      </c>
      <c r="J41" s="1" t="str">
        <f>"13/13"</f>
        <v>13/13</v>
      </c>
      <c r="K41" s="1" t="str">
        <f t="shared" si="3"/>
        <v>2026-07-29 13:18:01</v>
      </c>
      <c r="L41" s="1" t="str">
        <f>"2019-10-10 10:32:54"</f>
        <v>2019-10-10 10:32:54</v>
      </c>
      <c r="M41" s="1" t="s">
        <v>1</v>
      </c>
      <c r="N41" s="1" t="s">
        <v>38</v>
      </c>
      <c r="O41" s="1" t="s">
        <v>46</v>
      </c>
    </row>
    <row r="42" spans="2:15" x14ac:dyDescent="0.3">
      <c r="B42" s="1" t="s">
        <v>24</v>
      </c>
      <c r="C42" s="1" t="str">
        <f t="shared" si="4"/>
        <v>4차</v>
      </c>
      <c r="D42" s="1" t="str">
        <f>"0126F45144"</f>
        <v>0126F45144</v>
      </c>
      <c r="E42" s="1" t="s">
        <v>10</v>
      </c>
      <c r="F42" s="1" t="str">
        <f>"10.10.48.154"</f>
        <v>10.10.48.154</v>
      </c>
      <c r="G42" s="1" t="str">
        <f>"0126F451"</f>
        <v>0126F451</v>
      </c>
      <c r="H42" s="1" t="str">
        <f>"왕디로SW R9R2R1L2"</f>
        <v>왕디로SW R9R2R1L2</v>
      </c>
      <c r="I42" s="1" t="s">
        <v>8</v>
      </c>
      <c r="J42" s="1" t="str">
        <f>"26/26"</f>
        <v>26/26</v>
      </c>
      <c r="K42" s="1" t="str">
        <f t="shared" si="3"/>
        <v>2026-07-29 13:18:01</v>
      </c>
      <c r="L42" s="1" t="str">
        <f>"2019-10-29 15:13:05"</f>
        <v>2019-10-29 15:13:05</v>
      </c>
      <c r="M42" s="1" t="s">
        <v>1</v>
      </c>
      <c r="N42" s="1" t="s">
        <v>38</v>
      </c>
      <c r="O42" s="1" t="s">
        <v>46</v>
      </c>
    </row>
    <row r="43" spans="2:15" x14ac:dyDescent="0.3">
      <c r="B43" s="1" t="s">
        <v>24</v>
      </c>
      <c r="C43" s="1" t="str">
        <f t="shared" si="4"/>
        <v>4차</v>
      </c>
      <c r="D43" s="1" t="str">
        <f>"0126F45244"</f>
        <v>0126F45244</v>
      </c>
      <c r="E43" s="1" t="s">
        <v>10</v>
      </c>
      <c r="F43" s="1" t="str">
        <f>"10.10.48.178"</f>
        <v>10.10.48.178</v>
      </c>
      <c r="G43" s="1" t="str">
        <f>"0126F452"</f>
        <v>0126F452</v>
      </c>
      <c r="H43" s="1" t="str">
        <f>"왕디로SW R9R3"</f>
        <v>왕디로SW R9R3</v>
      </c>
      <c r="I43" s="1" t="s">
        <v>8</v>
      </c>
      <c r="J43" s="1" t="str">
        <f>"35/35"</f>
        <v>35/35</v>
      </c>
      <c r="K43" s="1" t="str">
        <f t="shared" si="3"/>
        <v>2026-07-29 13:18:01</v>
      </c>
      <c r="L43" s="1" t="str">
        <f>"2019-12-18 02:04:19"</f>
        <v>2019-12-18 02:04:19</v>
      </c>
      <c r="M43" s="1" t="s">
        <v>1</v>
      </c>
      <c r="N43" s="1" t="s">
        <v>38</v>
      </c>
      <c r="O43" s="1" t="s">
        <v>46</v>
      </c>
    </row>
    <row r="44" spans="2:15" x14ac:dyDescent="0.3">
      <c r="B44" s="1" t="s">
        <v>24</v>
      </c>
      <c r="C44" s="1" t="str">
        <f t="shared" si="4"/>
        <v>4차</v>
      </c>
      <c r="D44" s="1" t="str">
        <f>"0126F47144"</f>
        <v>0126F47144</v>
      </c>
      <c r="E44" s="1" t="s">
        <v>10</v>
      </c>
      <c r="F44" s="1" t="str">
        <f>"10.10.46.170"</f>
        <v>10.10.46.170</v>
      </c>
      <c r="G44" s="1" t="str">
        <f>"0126F471"</f>
        <v>0126F471</v>
      </c>
      <c r="H44" s="1" t="str">
        <f>"신안간 13C4"</f>
        <v>신안간 13C4</v>
      </c>
      <c r="I44" s="1" t="s">
        <v>8</v>
      </c>
      <c r="J44" s="1" t="str">
        <f>"2/2"</f>
        <v>2/2</v>
      </c>
      <c r="K44" s="1" t="str">
        <f t="shared" si="3"/>
        <v>2026-07-29 13:18:01</v>
      </c>
      <c r="L44" s="1" t="str">
        <f>"2020-01-29 09:51:31"</f>
        <v>2020-01-29 09:51:31</v>
      </c>
      <c r="M44" s="1" t="s">
        <v>1</v>
      </c>
      <c r="N44" s="1" t="s">
        <v>38</v>
      </c>
      <c r="O44" s="1" t="s">
        <v>46</v>
      </c>
    </row>
    <row r="45" spans="2:15" x14ac:dyDescent="0.3">
      <c r="B45" s="1" t="s">
        <v>24</v>
      </c>
      <c r="C45" s="1" t="str">
        <f t="shared" si="4"/>
        <v>4차</v>
      </c>
      <c r="D45" s="1" t="str">
        <f>"0126F53144"</f>
        <v>0126F53144</v>
      </c>
      <c r="E45" s="1" t="s">
        <v>10</v>
      </c>
      <c r="F45" s="1" t="str">
        <f>"10.10.46.98"</f>
        <v>10.10.46.98</v>
      </c>
      <c r="G45" s="1" t="str">
        <f>"0126F531"</f>
        <v>0126F531</v>
      </c>
      <c r="H45" s="1" t="str">
        <f>"마청간 1L6R6L3"</f>
        <v>마청간 1L6R6L3</v>
      </c>
      <c r="I45" s="1" t="s">
        <v>8</v>
      </c>
      <c r="J45" s="1" t="str">
        <f>"8/8"</f>
        <v>8/8</v>
      </c>
      <c r="K45" s="1" t="str">
        <f t="shared" si="3"/>
        <v>2026-07-29 13:18:01</v>
      </c>
      <c r="L45" s="1" t="str">
        <f>"2019-10-29 15:13:05"</f>
        <v>2019-10-29 15:13:05</v>
      </c>
      <c r="M45" s="1" t="s">
        <v>1</v>
      </c>
      <c r="N45" s="1" t="s">
        <v>38</v>
      </c>
      <c r="O45" s="1" t="s">
        <v>46</v>
      </c>
    </row>
    <row r="46" spans="2:15" x14ac:dyDescent="0.3">
      <c r="B46" s="1" t="s">
        <v>24</v>
      </c>
      <c r="C46" s="1" t="str">
        <f t="shared" si="4"/>
        <v>4차</v>
      </c>
      <c r="D46" s="1" t="str">
        <f>"0126F56241"</f>
        <v>0126F56241</v>
      </c>
      <c r="E46" s="1" t="s">
        <v>10</v>
      </c>
      <c r="F46" s="1" t="str">
        <f>"10.14.14.180"</f>
        <v>10.14.14.180</v>
      </c>
      <c r="G46" s="1" t="str">
        <f>"0126F562"</f>
        <v>0126F562</v>
      </c>
      <c r="H46" s="1" t="str">
        <f>"왕디로SW R9R6"</f>
        <v>왕디로SW R9R6</v>
      </c>
      <c r="I46" s="1" t="s">
        <v>17</v>
      </c>
      <c r="J46" s="1" t="str">
        <f>"13/13"</f>
        <v>13/13</v>
      </c>
      <c r="K46" s="1" t="str">
        <f>"2026-07-29 13:18:02"</f>
        <v>2026-07-29 13:18:02</v>
      </c>
      <c r="L46" s="1" t="str">
        <f>"2022-01-05 11:14:21"</f>
        <v>2022-01-05 11:14:21</v>
      </c>
      <c r="M46" s="1" t="s">
        <v>3</v>
      </c>
      <c r="N46" s="1" t="s">
        <v>38</v>
      </c>
      <c r="O46" s="1" t="s">
        <v>46</v>
      </c>
    </row>
    <row r="47" spans="2:15" x14ac:dyDescent="0.3">
      <c r="B47" s="1" t="s">
        <v>24</v>
      </c>
      <c r="C47" s="1" t="str">
        <f t="shared" si="4"/>
        <v>4차</v>
      </c>
      <c r="D47" s="1" t="str">
        <f>"0126F59141"</f>
        <v>0126F59141</v>
      </c>
      <c r="E47" s="1" t="s">
        <v>10</v>
      </c>
      <c r="F47" s="1" t="str">
        <f>"10.14.3.180"</f>
        <v>10.14.3.180</v>
      </c>
      <c r="G47" s="1" t="str">
        <f>"0126F591"</f>
        <v>0126F591</v>
      </c>
      <c r="H47" s="1" t="str">
        <f>"고대간 62"</f>
        <v>고대간 62</v>
      </c>
      <c r="I47" s="1" t="s">
        <v>17</v>
      </c>
      <c r="J47" s="1" t="str">
        <f>"51/52"</f>
        <v>51/52</v>
      </c>
      <c r="K47" s="1" t="str">
        <f>"2026-07-29 13:18:02"</f>
        <v>2026-07-29 13:18:02</v>
      </c>
      <c r="L47" s="1" t="str">
        <f>"2021-10-15 10:19:39"</f>
        <v>2021-10-15 10:19:39</v>
      </c>
      <c r="M47" s="1" t="s">
        <v>3</v>
      </c>
      <c r="N47" s="1" t="s">
        <v>38</v>
      </c>
      <c r="O47" s="1" t="s">
        <v>46</v>
      </c>
    </row>
    <row r="48" spans="2:15" x14ac:dyDescent="0.3">
      <c r="B48" s="1" t="s">
        <v>24</v>
      </c>
      <c r="C48" s="1" t="str">
        <f>"6차"</f>
        <v>6차</v>
      </c>
      <c r="D48" s="1" t="str">
        <f>"0126F6016S"</f>
        <v>0126F6016S</v>
      </c>
      <c r="E48" s="1" t="s">
        <v>10</v>
      </c>
      <c r="F48" s="1" t="str">
        <f>"fde1:103:4:c638:0:0:0:2"</f>
        <v>fde1:103:4:c638:0:0:0:2</v>
      </c>
      <c r="G48" s="1" t="str">
        <f>"0126F601"</f>
        <v>0126F601</v>
      </c>
      <c r="H48" s="1" t="str">
        <f>"마청간 1L6R9"</f>
        <v>마청간 1L6R9</v>
      </c>
      <c r="I48" s="1" t="s">
        <v>15</v>
      </c>
      <c r="J48" s="1" t="str">
        <f>"29/30"</f>
        <v>29/30</v>
      </c>
      <c r="K48" s="1" t="str">
        <f>"2026-07-29 14:20:26"</f>
        <v>2026-07-29 14:20:26</v>
      </c>
      <c r="L48" s="1" t="str">
        <f>"2024-11-01 18:13:40"</f>
        <v>2024-11-01 18:13:40</v>
      </c>
      <c r="M48" s="1" t="s">
        <v>4</v>
      </c>
      <c r="N48" s="1" t="s">
        <v>38</v>
      </c>
      <c r="O48" s="1" t="s">
        <v>46</v>
      </c>
    </row>
    <row r="49" spans="2:15" x14ac:dyDescent="0.3">
      <c r="B49" s="1" t="s">
        <v>24</v>
      </c>
      <c r="C49" s="1" t="str">
        <f>"6차"</f>
        <v>6차</v>
      </c>
      <c r="D49" s="1" t="str">
        <f>"0126F6416S"</f>
        <v>0126F6416S</v>
      </c>
      <c r="E49" s="1" t="s">
        <v>10</v>
      </c>
      <c r="F49" s="1" t="str">
        <f>"fde1:103:4:c6db:0:0:0:2"</f>
        <v>fde1:103:4:c6db:0:0:0:2</v>
      </c>
      <c r="G49" s="1" t="str">
        <f>"0126F641"</f>
        <v>0126F641</v>
      </c>
      <c r="H49" s="1" t="str">
        <f>"왕디로SW R9R5R3"</f>
        <v>왕디로SW R9R5R3</v>
      </c>
      <c r="I49" s="1" t="s">
        <v>15</v>
      </c>
      <c r="J49" s="1" t="str">
        <f>"24/24"</f>
        <v>24/24</v>
      </c>
      <c r="K49" s="1" t="str">
        <f>"2026-07-29 14:20:01"</f>
        <v>2026-07-29 14:20:01</v>
      </c>
      <c r="L49" s="1" t="str">
        <f>"2024-11-01 18:14:07"</f>
        <v>2024-11-01 18:14:07</v>
      </c>
      <c r="M49" s="1" t="s">
        <v>4</v>
      </c>
      <c r="N49" s="1" t="s">
        <v>38</v>
      </c>
      <c r="O49" s="1" t="s">
        <v>46</v>
      </c>
    </row>
    <row r="50" spans="2:15" x14ac:dyDescent="0.3">
      <c r="B50" s="1" t="s">
        <v>24</v>
      </c>
      <c r="C50" s="1" t="str">
        <f>"6차"</f>
        <v>6차</v>
      </c>
      <c r="D50" s="1" t="str">
        <f>"0126F6426S"</f>
        <v>0126F6426S</v>
      </c>
      <c r="E50" s="1" t="s">
        <v>10</v>
      </c>
      <c r="F50" s="1" t="str">
        <f>"fde1:103:4:c5d5:0:0:0:2"</f>
        <v>fde1:103:4:c5d5:0:0:0:2</v>
      </c>
      <c r="G50" s="1" t="str">
        <f>"0126F642"</f>
        <v>0126F642</v>
      </c>
      <c r="H50" s="1" t="str">
        <f>"왕디로SW R9R5R4"</f>
        <v>왕디로SW R9R5R4</v>
      </c>
      <c r="I50" s="1" t="s">
        <v>15</v>
      </c>
      <c r="J50" s="1" t="str">
        <f>"50/59"</f>
        <v>50/59</v>
      </c>
      <c r="K50" s="1" t="str">
        <f>"2026-07-29 14:20:18"</f>
        <v>2026-07-29 14:20:18</v>
      </c>
      <c r="L50" s="1" t="str">
        <f>"2024-11-01 18:13:38"</f>
        <v>2024-11-01 18:13:38</v>
      </c>
      <c r="M50" s="1" t="s">
        <v>4</v>
      </c>
      <c r="N50" s="1" t="s">
        <v>38</v>
      </c>
      <c r="O50" s="1" t="s">
        <v>46</v>
      </c>
    </row>
    <row r="51" spans="2:15" x14ac:dyDescent="0.3">
      <c r="B51" s="1" t="s">
        <v>24</v>
      </c>
      <c r="C51" s="1" t="str">
        <f>"1차"</f>
        <v>1차</v>
      </c>
      <c r="D51" s="1" t="str">
        <f>"0126F70200"</f>
        <v>0126F70200</v>
      </c>
      <c r="E51" s="1" t="s">
        <v>10</v>
      </c>
      <c r="F51" s="1" t="str">
        <f>"10.125.119.136"</f>
        <v>10.125.119.136</v>
      </c>
      <c r="G51" s="1" t="str">
        <f>"0126F702"</f>
        <v>0126F702</v>
      </c>
      <c r="H51" s="1" t="str">
        <f>"마청간 1L6R11"</f>
        <v>마청간 1L6R11</v>
      </c>
      <c r="I51" s="1" t="s">
        <v>8</v>
      </c>
      <c r="J51" s="1" t="str">
        <f>"41/42"</f>
        <v>41/42</v>
      </c>
      <c r="K51" s="1" t="str">
        <f>"2026-07-29 13:18:01"</f>
        <v>2026-07-29 13:18:01</v>
      </c>
      <c r="L51" s="1" t="str">
        <f>"2015-08-03 10:47:57"</f>
        <v>2015-08-03 10:47:57</v>
      </c>
      <c r="M51" s="1" t="s">
        <v>45</v>
      </c>
      <c r="N51" s="1" t="s">
        <v>38</v>
      </c>
      <c r="O51" s="1" t="s">
        <v>46</v>
      </c>
    </row>
    <row r="52" spans="2:15" x14ac:dyDescent="0.3">
      <c r="B52" s="1" t="s">
        <v>24</v>
      </c>
      <c r="C52" s="1" t="str">
        <f>"1차"</f>
        <v>1차</v>
      </c>
      <c r="D52" s="1" t="str">
        <f>"0126F72200"</f>
        <v>0126F72200</v>
      </c>
      <c r="E52" s="1" t="s">
        <v>10</v>
      </c>
      <c r="F52" s="1" t="str">
        <f>"10.125.119.134"</f>
        <v>10.125.119.134</v>
      </c>
      <c r="G52" s="1" t="str">
        <f>"0126F722"</f>
        <v>0126F722</v>
      </c>
      <c r="H52" s="1" t="str">
        <f>"마청간 1L6R6L2R2"</f>
        <v>마청간 1L6R6L2R2</v>
      </c>
      <c r="I52" s="1" t="s">
        <v>8</v>
      </c>
      <c r="J52" s="1" t="str">
        <f>"15/16"</f>
        <v>15/16</v>
      </c>
      <c r="K52" s="1" t="str">
        <f>"2026-07-29 13:18:01"</f>
        <v>2026-07-29 13:18:01</v>
      </c>
      <c r="L52" s="1" t="str">
        <f>"2015-07-31 14:23:12"</f>
        <v>2015-07-31 14:23:12</v>
      </c>
      <c r="M52" s="1" t="s">
        <v>45</v>
      </c>
      <c r="N52" s="1" t="s">
        <v>38</v>
      </c>
      <c r="O52" s="1" t="s">
        <v>46</v>
      </c>
    </row>
    <row r="53" spans="2:15" x14ac:dyDescent="0.3">
      <c r="B53" s="1" t="s">
        <v>24</v>
      </c>
      <c r="C53" s="1" t="str">
        <f>"1차"</f>
        <v>1차</v>
      </c>
      <c r="D53" s="1" t="str">
        <f>"0126F72401"</f>
        <v>0126F72401</v>
      </c>
      <c r="E53" s="1" t="s">
        <v>10</v>
      </c>
      <c r="F53" s="1" t="str">
        <f>"10.12.137.13"</f>
        <v>10.12.137.13</v>
      </c>
      <c r="G53" s="1" t="str">
        <f>"0126F724"</f>
        <v>0126F724</v>
      </c>
      <c r="H53" s="1" t="str">
        <f>"마청간 1L6R6L2R3"</f>
        <v>마청간 1L6R6L2R3</v>
      </c>
      <c r="I53" s="1" t="s">
        <v>8</v>
      </c>
      <c r="J53" s="1" t="str">
        <f>"38/39"</f>
        <v>38/39</v>
      </c>
      <c r="K53" s="1" t="str">
        <f>"2026-07-29 13:18:02"</f>
        <v>2026-07-29 13:18:02</v>
      </c>
      <c r="L53" s="1" t="str">
        <f>"2015-08-06 14:09:09"</f>
        <v>2015-08-06 14:09:09</v>
      </c>
      <c r="M53" s="1" t="s">
        <v>0</v>
      </c>
      <c r="N53" s="1" t="s">
        <v>38</v>
      </c>
      <c r="O53" s="1" t="s">
        <v>46</v>
      </c>
    </row>
    <row r="54" spans="2:15" x14ac:dyDescent="0.3">
      <c r="B54" s="1" t="s">
        <v>24</v>
      </c>
      <c r="C54" s="1" t="str">
        <f>"6차"</f>
        <v>6차</v>
      </c>
      <c r="D54" s="1" t="str">
        <f>"0126F7426S"</f>
        <v>0126F7426S</v>
      </c>
      <c r="E54" s="1" t="s">
        <v>10</v>
      </c>
      <c r="F54" s="1" t="str">
        <f>"fde1:103:4:c5fd:0:0:0:2"</f>
        <v>fde1:103:4:c5fd:0:0:0:2</v>
      </c>
      <c r="G54" s="1" t="str">
        <f>"0126F742"</f>
        <v>0126F742</v>
      </c>
      <c r="H54" s="1" t="str">
        <f>"왕디로SW R9R5R5L1"</f>
        <v>왕디로SW R9R5R5L1</v>
      </c>
      <c r="I54" s="1" t="s">
        <v>15</v>
      </c>
      <c r="J54" s="1" t="str">
        <f>"46/48"</f>
        <v>46/48</v>
      </c>
      <c r="K54" s="1" t="str">
        <f>"2026-07-29 14:20:26"</f>
        <v>2026-07-29 14:20:26</v>
      </c>
      <c r="L54" s="1" t="str">
        <f>"2024-11-01 18:13:30"</f>
        <v>2024-11-01 18:13:30</v>
      </c>
      <c r="M54" s="1" t="s">
        <v>4</v>
      </c>
      <c r="N54" s="1" t="s">
        <v>38</v>
      </c>
      <c r="O54" s="1" t="s">
        <v>46</v>
      </c>
    </row>
    <row r="55" spans="2:15" x14ac:dyDescent="0.3">
      <c r="B55" s="1" t="s">
        <v>24</v>
      </c>
      <c r="C55" s="1" t="str">
        <f>"1차"</f>
        <v>1차</v>
      </c>
      <c r="D55" s="1" t="str">
        <f>"0126F80201"</f>
        <v>0126F80201</v>
      </c>
      <c r="E55" s="1" t="s">
        <v>10</v>
      </c>
      <c r="F55" s="1" t="str">
        <f>"10.125.119.137"</f>
        <v>10.125.119.137</v>
      </c>
      <c r="G55" s="1" t="str">
        <f>"0126F802"</f>
        <v>0126F802</v>
      </c>
      <c r="H55" s="1" t="str">
        <f>"마청간 1L6R12"</f>
        <v>마청간 1L6R12</v>
      </c>
      <c r="I55" s="1" t="s">
        <v>8</v>
      </c>
      <c r="J55" s="1" t="str">
        <f>"9/9"</f>
        <v>9/9</v>
      </c>
      <c r="K55" s="1" t="str">
        <f>"2026-07-29 13:18:01"</f>
        <v>2026-07-29 13:18:01</v>
      </c>
      <c r="L55" s="1" t="str">
        <f>"2015-08-03 10:57:12"</f>
        <v>2015-08-03 10:57:12</v>
      </c>
      <c r="M55" s="1" t="s">
        <v>45</v>
      </c>
      <c r="N55" s="1" t="s">
        <v>38</v>
      </c>
      <c r="O55" s="1" t="s">
        <v>46</v>
      </c>
    </row>
    <row r="56" spans="2:15" x14ac:dyDescent="0.3">
      <c r="B56" s="1" t="s">
        <v>24</v>
      </c>
      <c r="C56" s="1" t="str">
        <f>"5-2차"</f>
        <v>5-2차</v>
      </c>
      <c r="D56" s="1" t="str">
        <f>"0126F8955M"</f>
        <v>0126F8955M</v>
      </c>
      <c r="E56" s="1" t="s">
        <v>10</v>
      </c>
      <c r="F56" s="1" t="str">
        <f>"fde1:103:4:5638:0:0:0:2"</f>
        <v>fde1:103:4:5638:0:0:0:2</v>
      </c>
      <c r="G56" s="1" t="str">
        <f>"0126F895"</f>
        <v>0126F895</v>
      </c>
      <c r="H56" s="1" t="str">
        <f>"고대간 57R3R2R2"</f>
        <v>고대간 57R3R2R2</v>
      </c>
      <c r="I56" s="1" t="s">
        <v>15</v>
      </c>
      <c r="J56" s="1" t="str">
        <f>"9/9"</f>
        <v>9/9</v>
      </c>
      <c r="K56" s="1" t="str">
        <f>"2026-07-29 14:20:18"</f>
        <v>2026-07-29 14:20:18</v>
      </c>
      <c r="L56" s="1" t="str">
        <f>"2023-09-04 17:17:25"</f>
        <v>2023-09-04 17:17:25</v>
      </c>
      <c r="M56" s="1" t="s">
        <v>4</v>
      </c>
      <c r="N56" s="1" t="s">
        <v>38</v>
      </c>
      <c r="O56" s="1" t="s">
        <v>46</v>
      </c>
    </row>
    <row r="57" spans="2:15" x14ac:dyDescent="0.3">
      <c r="B57" s="1" t="s">
        <v>24</v>
      </c>
      <c r="C57" s="1" t="str">
        <f t="shared" ref="C57:C65" si="5">"4차"</f>
        <v>4차</v>
      </c>
      <c r="D57" s="1" t="str">
        <f>"0126F90441"</f>
        <v>0126F90441</v>
      </c>
      <c r="E57" s="1" t="str">
        <f>"검침실패(3시간 이상)"</f>
        <v>검침실패(3시간 이상)</v>
      </c>
      <c r="F57" s="1" t="str">
        <f>"10.14.13.44"</f>
        <v>10.14.13.44</v>
      </c>
      <c r="G57" s="1" t="str">
        <f>"0126F904"</f>
        <v>0126F904</v>
      </c>
      <c r="H57" s="1" t="str">
        <f>"왕디로SW R10R11"</f>
        <v>왕디로SW R10R11</v>
      </c>
      <c r="I57" s="1" t="s">
        <v>17</v>
      </c>
      <c r="J57" s="1" t="str">
        <f>"0/4"</f>
        <v>0/4</v>
      </c>
      <c r="K57" s="1" t="str">
        <f t="shared" ref="K57:K65" si="6">"2026-07-29 13:18:02"</f>
        <v>2026-07-29 13:18:02</v>
      </c>
      <c r="L57" s="1" t="str">
        <f>"2021-10-18 09:21:39"</f>
        <v>2021-10-18 09:21:39</v>
      </c>
      <c r="M57" s="1" t="s">
        <v>3</v>
      </c>
      <c r="N57" s="1" t="s">
        <v>38</v>
      </c>
      <c r="O57" s="1" t="s">
        <v>46</v>
      </c>
    </row>
    <row r="58" spans="2:15" x14ac:dyDescent="0.3">
      <c r="B58" s="1" t="s">
        <v>24</v>
      </c>
      <c r="C58" s="1" t="str">
        <f t="shared" si="5"/>
        <v>4차</v>
      </c>
      <c r="D58" s="1" t="str">
        <f>"0126F91341"</f>
        <v>0126F91341</v>
      </c>
      <c r="E58" s="1" t="s">
        <v>10</v>
      </c>
      <c r="F58" s="1" t="str">
        <f>"10.14.6.112"</f>
        <v>10.14.6.112</v>
      </c>
      <c r="G58" s="1" t="str">
        <f>"0126F913"</f>
        <v>0126F913</v>
      </c>
      <c r="H58" s="1" t="str">
        <f>"왕디로SW R10R9"</f>
        <v>왕디로SW R10R9</v>
      </c>
      <c r="I58" s="1" t="s">
        <v>17</v>
      </c>
      <c r="J58" s="1" t="str">
        <f>"19/22"</f>
        <v>19/22</v>
      </c>
      <c r="K58" s="1" t="str">
        <f t="shared" si="6"/>
        <v>2026-07-29 13:18:02</v>
      </c>
      <c r="L58" s="1" t="str">
        <f>"2021-10-18 08:46:57"</f>
        <v>2021-10-18 08:46:57</v>
      </c>
      <c r="M58" s="1" t="s">
        <v>3</v>
      </c>
      <c r="N58" s="1" t="s">
        <v>38</v>
      </c>
      <c r="O58" s="1" t="s">
        <v>46</v>
      </c>
    </row>
    <row r="59" spans="2:15" x14ac:dyDescent="0.3">
      <c r="B59" s="1" t="s">
        <v>24</v>
      </c>
      <c r="C59" s="1" t="str">
        <f t="shared" si="5"/>
        <v>4차</v>
      </c>
      <c r="D59" s="1" t="str">
        <f>"0126F92241"</f>
        <v>0126F92241</v>
      </c>
      <c r="E59" s="1" t="s">
        <v>10</v>
      </c>
      <c r="F59" s="1" t="str">
        <f>"10.14.10.48"</f>
        <v>10.14.10.48</v>
      </c>
      <c r="G59" s="1" t="str">
        <f>"0126F922"</f>
        <v>0126F922</v>
      </c>
      <c r="H59" s="1" t="str">
        <f>"왕디로SW R10R7"</f>
        <v>왕디로SW R10R7</v>
      </c>
      <c r="I59" s="1" t="s">
        <v>17</v>
      </c>
      <c r="J59" s="1" t="str">
        <f>"19/22"</f>
        <v>19/22</v>
      </c>
      <c r="K59" s="1" t="str">
        <f t="shared" si="6"/>
        <v>2026-07-29 13:18:02</v>
      </c>
      <c r="L59" s="1" t="str">
        <f>"2021-10-18 07:59:23"</f>
        <v>2021-10-18 07:59:23</v>
      </c>
      <c r="M59" s="1" t="s">
        <v>3</v>
      </c>
      <c r="N59" s="1" t="s">
        <v>38</v>
      </c>
      <c r="O59" s="1" t="s">
        <v>46</v>
      </c>
    </row>
    <row r="60" spans="2:15" x14ac:dyDescent="0.3">
      <c r="B60" s="1" t="s">
        <v>24</v>
      </c>
      <c r="C60" s="1" t="str">
        <f t="shared" si="5"/>
        <v>4차</v>
      </c>
      <c r="D60" s="1" t="str">
        <f>"0126F93141"</f>
        <v>0126F93141</v>
      </c>
      <c r="E60" s="1" t="s">
        <v>10</v>
      </c>
      <c r="F60" s="1" t="str">
        <f>"10.14.14.48"</f>
        <v>10.14.14.48</v>
      </c>
      <c r="G60" s="1" t="str">
        <f>"0126F931"</f>
        <v>0126F931</v>
      </c>
      <c r="H60" s="1" t="str">
        <f>"왕디로SW R10R6"</f>
        <v>왕디로SW R10R6</v>
      </c>
      <c r="I60" s="1" t="s">
        <v>17</v>
      </c>
      <c r="J60" s="1" t="str">
        <f>"10/16"</f>
        <v>10/16</v>
      </c>
      <c r="K60" s="1" t="str">
        <f t="shared" si="6"/>
        <v>2026-07-29 13:18:02</v>
      </c>
      <c r="L60" s="1" t="str">
        <f>"2021-07-16 11:19:57"</f>
        <v>2021-07-16 11:19:57</v>
      </c>
      <c r="M60" s="1" t="s">
        <v>3</v>
      </c>
      <c r="N60" s="1" t="s">
        <v>38</v>
      </c>
      <c r="O60" s="1" t="s">
        <v>46</v>
      </c>
    </row>
    <row r="61" spans="2:15" x14ac:dyDescent="0.3">
      <c r="B61" s="1" t="s">
        <v>24</v>
      </c>
      <c r="C61" s="1" t="str">
        <f t="shared" si="5"/>
        <v>4차</v>
      </c>
      <c r="D61" s="1" t="str">
        <f>"0126F95241"</f>
        <v>0126F95241</v>
      </c>
      <c r="E61" s="1" t="s">
        <v>10</v>
      </c>
      <c r="F61" s="1" t="str">
        <f>"10.14.15.42"</f>
        <v>10.14.15.42</v>
      </c>
      <c r="G61" s="1" t="str">
        <f>"0126F952"</f>
        <v>0126F952</v>
      </c>
      <c r="H61" s="1" t="str">
        <f>"왕디로SW R10R4"</f>
        <v>왕디로SW R10R4</v>
      </c>
      <c r="I61" s="1" t="s">
        <v>17</v>
      </c>
      <c r="J61" s="1" t="str">
        <f>"19/22"</f>
        <v>19/22</v>
      </c>
      <c r="K61" s="1" t="str">
        <f t="shared" si="6"/>
        <v>2026-07-29 13:18:02</v>
      </c>
      <c r="L61" s="1" t="str">
        <f>"2021-07-16 11:09:18"</f>
        <v>2021-07-16 11:09:18</v>
      </c>
      <c r="M61" s="1" t="s">
        <v>3</v>
      </c>
      <c r="N61" s="1" t="s">
        <v>38</v>
      </c>
      <c r="O61" s="1" t="s">
        <v>46</v>
      </c>
    </row>
    <row r="62" spans="2:15" x14ac:dyDescent="0.3">
      <c r="B62" s="1" t="s">
        <v>24</v>
      </c>
      <c r="C62" s="1" t="str">
        <f t="shared" si="5"/>
        <v>4차</v>
      </c>
      <c r="D62" s="1" t="str">
        <f>"0126G13341"</f>
        <v>0126G13341</v>
      </c>
      <c r="E62" s="1" t="s">
        <v>10</v>
      </c>
      <c r="F62" s="1" t="str">
        <f>"10.14.2.130"</f>
        <v>10.14.2.130</v>
      </c>
      <c r="G62" s="1" t="str">
        <f>"0126G133"</f>
        <v>0126G133</v>
      </c>
      <c r="H62" s="1" t="str">
        <f>"풍물지 20R3"</f>
        <v>풍물지 20R3</v>
      </c>
      <c r="I62" s="1" t="s">
        <v>17</v>
      </c>
      <c r="J62" s="1" t="str">
        <f>"7/11"</f>
        <v>7/11</v>
      </c>
      <c r="K62" s="1" t="str">
        <f t="shared" si="6"/>
        <v>2026-07-29 13:18:02</v>
      </c>
      <c r="L62" s="1" t="str">
        <f>"2021-10-15 12:10:59"</f>
        <v>2021-10-15 12:10:59</v>
      </c>
      <c r="M62" s="1" t="s">
        <v>3</v>
      </c>
      <c r="N62" s="1" t="s">
        <v>38</v>
      </c>
      <c r="O62" s="1" t="s">
        <v>46</v>
      </c>
    </row>
    <row r="63" spans="2:15" x14ac:dyDescent="0.3">
      <c r="B63" s="1" t="s">
        <v>24</v>
      </c>
      <c r="C63" s="1" t="str">
        <f t="shared" si="5"/>
        <v>4차</v>
      </c>
      <c r="D63" s="1" t="str">
        <f>"0126G17241"</f>
        <v>0126G17241</v>
      </c>
      <c r="E63" s="1" t="s">
        <v>10</v>
      </c>
      <c r="F63" s="1" t="str">
        <f>"10.14.12.48"</f>
        <v>10.14.12.48</v>
      </c>
      <c r="G63" s="1" t="str">
        <f>"0126G172"</f>
        <v>0126G172</v>
      </c>
      <c r="H63" s="1" t="str">
        <f>"풍물지 5L3"</f>
        <v>풍물지 5L3</v>
      </c>
      <c r="I63" s="1" t="s">
        <v>17</v>
      </c>
      <c r="J63" s="1" t="str">
        <f>"15/15"</f>
        <v>15/15</v>
      </c>
      <c r="K63" s="1" t="str">
        <f t="shared" si="6"/>
        <v>2026-07-29 13:18:02</v>
      </c>
      <c r="L63" s="1" t="str">
        <f>"2021-10-15 11:35:01"</f>
        <v>2021-10-15 11:35:01</v>
      </c>
      <c r="M63" s="1" t="s">
        <v>3</v>
      </c>
      <c r="N63" s="1" t="s">
        <v>38</v>
      </c>
      <c r="O63" s="1" t="s">
        <v>46</v>
      </c>
    </row>
    <row r="64" spans="2:15" x14ac:dyDescent="0.3">
      <c r="B64" s="1" t="s">
        <v>24</v>
      </c>
      <c r="C64" s="1" t="str">
        <f t="shared" si="5"/>
        <v>4차</v>
      </c>
      <c r="D64" s="1" t="str">
        <f>"0126G18141"</f>
        <v>0126G18141</v>
      </c>
      <c r="E64" s="1" t="s">
        <v>10</v>
      </c>
      <c r="F64" s="1" t="str">
        <f>"10.14.12.179"</f>
        <v>10.14.12.179</v>
      </c>
      <c r="G64" s="1" t="str">
        <f>"0126G181"</f>
        <v>0126G181</v>
      </c>
      <c r="H64" s="1" t="str">
        <f>"풍물지 5A1"</f>
        <v>풍물지 5A1</v>
      </c>
      <c r="I64" s="1" t="s">
        <v>17</v>
      </c>
      <c r="J64" s="1" t="str">
        <f>"33/33"</f>
        <v>33/33</v>
      </c>
      <c r="K64" s="1" t="str">
        <f t="shared" si="6"/>
        <v>2026-07-29 13:18:02</v>
      </c>
      <c r="L64" s="1" t="str">
        <f>"2021-10-15 10:58:42"</f>
        <v>2021-10-15 10:58:42</v>
      </c>
      <c r="M64" s="1" t="s">
        <v>3</v>
      </c>
      <c r="N64" s="1" t="s">
        <v>38</v>
      </c>
      <c r="O64" s="1" t="s">
        <v>46</v>
      </c>
    </row>
    <row r="65" spans="2:15" x14ac:dyDescent="0.3">
      <c r="B65" s="1" t="s">
        <v>24</v>
      </c>
      <c r="C65" s="1" t="str">
        <f t="shared" si="5"/>
        <v>4차</v>
      </c>
      <c r="D65" s="1" t="str">
        <f>"0126G34745"</f>
        <v>0126G34745</v>
      </c>
      <c r="E65" s="1" t="s">
        <v>10</v>
      </c>
      <c r="F65" s="1" t="str">
        <f>"10.14.5.12"</f>
        <v>10.14.5.12</v>
      </c>
      <c r="G65" s="1" t="str">
        <f>"0126G347"</f>
        <v>0126G347</v>
      </c>
      <c r="H65" s="1" t="str">
        <f>"풍물시장 1"</f>
        <v>풍물시장 1</v>
      </c>
      <c r="I65" s="1" t="s">
        <v>17</v>
      </c>
      <c r="J65" s="1" t="str">
        <f>"15/15"</f>
        <v>15/15</v>
      </c>
      <c r="K65" s="1" t="str">
        <f t="shared" si="6"/>
        <v>2026-07-29 13:18:02</v>
      </c>
      <c r="L65" s="1" t="str">
        <f>"2021-06-30 13:47:37"</f>
        <v>2021-06-30 13:47:37</v>
      </c>
      <c r="M65" s="1" t="s">
        <v>3</v>
      </c>
      <c r="N65" s="1" t="s">
        <v>38</v>
      </c>
      <c r="O65" s="1" t="s">
        <v>46</v>
      </c>
    </row>
    <row r="66" spans="2:15" x14ac:dyDescent="0.3">
      <c r="B66" s="1" t="s">
        <v>24</v>
      </c>
      <c r="C66" s="1" t="str">
        <f>"6차"</f>
        <v>6차</v>
      </c>
      <c r="D66" s="1" t="str">
        <f>"0126G4516S"</f>
        <v>0126G4516S</v>
      </c>
      <c r="E66" s="1" t="s">
        <v>10</v>
      </c>
      <c r="F66" s="1" t="str">
        <f>"fde1:103:4:c60b:0:0:0:2"</f>
        <v>fde1:103:4:c60b:0:0:0:2</v>
      </c>
      <c r="G66" s="1" t="str">
        <f>"0126G451"</f>
        <v>0126G451</v>
      </c>
      <c r="H66" s="1" t="str">
        <f>"풍물지 5A11"</f>
        <v>풍물지 5A11</v>
      </c>
      <c r="I66" s="1" t="s">
        <v>15</v>
      </c>
      <c r="J66" s="1" t="str">
        <f>"56/56"</f>
        <v>56/56</v>
      </c>
      <c r="K66" s="1" t="str">
        <f>"2026-07-29 14:20:26"</f>
        <v>2026-07-29 14:20:26</v>
      </c>
      <c r="L66" s="1" t="str">
        <f>"2024-09-26 19:43:30"</f>
        <v>2024-09-26 19:43:30</v>
      </c>
      <c r="M66" s="1" t="s">
        <v>4</v>
      </c>
      <c r="N66" s="1" t="s">
        <v>38</v>
      </c>
      <c r="O66" s="1" t="s">
        <v>46</v>
      </c>
    </row>
    <row r="67" spans="2:15" x14ac:dyDescent="0.3">
      <c r="B67" s="1" t="s">
        <v>24</v>
      </c>
      <c r="C67" s="1" t="str">
        <f>"4차"</f>
        <v>4차</v>
      </c>
      <c r="D67" s="1" t="str">
        <f>"0126G52239"</f>
        <v>0126G52239</v>
      </c>
      <c r="E67" s="1" t="s">
        <v>10</v>
      </c>
      <c r="F67" s="1" t="str">
        <f>"10.12.129.18"</f>
        <v>10.12.129.18</v>
      </c>
      <c r="G67" s="1" t="str">
        <f>"0126G522"</f>
        <v>0126G522</v>
      </c>
      <c r="H67" s="1" t="str">
        <f>"풍물지 24"</f>
        <v>풍물지 24</v>
      </c>
      <c r="I67" s="1" t="s">
        <v>8</v>
      </c>
      <c r="J67" s="1" t="str">
        <f>"28/28"</f>
        <v>28/28</v>
      </c>
      <c r="K67" s="1" t="str">
        <f>"2026-07-29 13:18:02"</f>
        <v>2026-07-29 13:18:02</v>
      </c>
      <c r="L67" s="1" t="str">
        <f>"2018-04-19 07:43:54"</f>
        <v>2018-04-19 07:43:54</v>
      </c>
      <c r="M67" s="1" t="s">
        <v>0</v>
      </c>
      <c r="N67" s="1" t="s">
        <v>38</v>
      </c>
      <c r="O67" s="1" t="s">
        <v>46</v>
      </c>
    </row>
    <row r="68" spans="2:15" x14ac:dyDescent="0.3">
      <c r="B68" s="1" t="s">
        <v>24</v>
      </c>
      <c r="C68" s="1" t="str">
        <f>"4차"</f>
        <v>4차</v>
      </c>
      <c r="D68" s="1" t="str">
        <f>"0126G89144"</f>
        <v>0126G89144</v>
      </c>
      <c r="E68" s="1" t="s">
        <v>10</v>
      </c>
      <c r="F68" s="1" t="str">
        <f>"10.10.45.218"</f>
        <v>10.10.45.218</v>
      </c>
      <c r="G68" s="1" t="str">
        <f>"0126G891"</f>
        <v>0126G891</v>
      </c>
      <c r="H68" s="1" t="str">
        <f>"마신간 10"</f>
        <v>마신간 10</v>
      </c>
      <c r="I68" s="1" t="s">
        <v>8</v>
      </c>
      <c r="J68" s="1" t="str">
        <f>"19/19"</f>
        <v>19/19</v>
      </c>
      <c r="K68" s="1" t="str">
        <f>"2026-07-29 13:18:01"</f>
        <v>2026-07-29 13:18:01</v>
      </c>
      <c r="L68" s="1" t="str">
        <f>"2019-10-10 10:15:27"</f>
        <v>2019-10-10 10:15:27</v>
      </c>
      <c r="M68" s="1" t="s">
        <v>1</v>
      </c>
      <c r="N68" s="1" t="s">
        <v>38</v>
      </c>
      <c r="O68" s="1" t="s">
        <v>46</v>
      </c>
    </row>
    <row r="69" spans="2:15" x14ac:dyDescent="0.3">
      <c r="B69" s="1" t="s">
        <v>24</v>
      </c>
      <c r="C69" s="1" t="str">
        <f>"4차"</f>
        <v>4차</v>
      </c>
      <c r="D69" s="1" t="str">
        <f>"0126H09139"</f>
        <v>0126H09139</v>
      </c>
      <c r="E69" s="1" t="s">
        <v>10</v>
      </c>
      <c r="F69" s="1" t="str">
        <f>"10.12.129.92"</f>
        <v>10.12.129.92</v>
      </c>
      <c r="G69" s="1" t="str">
        <f>"0126H091"</f>
        <v>0126H091</v>
      </c>
      <c r="H69" s="1" t="str">
        <f>"마신간 1R3L5"</f>
        <v>마신간 1R3L5</v>
      </c>
      <c r="I69" s="1" t="s">
        <v>8</v>
      </c>
      <c r="J69" s="1" t="str">
        <f>"49/49"</f>
        <v>49/49</v>
      </c>
      <c r="K69" s="1" t="str">
        <f>"2026-07-29 13:18:02"</f>
        <v>2026-07-29 13:18:02</v>
      </c>
      <c r="L69" s="1" t="str">
        <f>"2018-04-12 09:32:12"</f>
        <v>2018-04-12 09:32:12</v>
      </c>
      <c r="M69" s="1" t="s">
        <v>0</v>
      </c>
      <c r="N69" s="1" t="s">
        <v>38</v>
      </c>
      <c r="O69" s="1" t="s">
        <v>46</v>
      </c>
    </row>
    <row r="70" spans="2:15" x14ac:dyDescent="0.3">
      <c r="B70" s="1" t="s">
        <v>24</v>
      </c>
      <c r="C70" s="1" t="str">
        <f>"4차"</f>
        <v>4차</v>
      </c>
      <c r="D70" s="1" t="str">
        <f>"0126H19144"</f>
        <v>0126H19144</v>
      </c>
      <c r="E70" s="1" t="s">
        <v>10</v>
      </c>
      <c r="F70" s="1" t="str">
        <f>"10.10.46.42"</f>
        <v>10.10.46.42</v>
      </c>
      <c r="G70" s="1" t="str">
        <f>"0126H191"</f>
        <v>0126H191</v>
      </c>
      <c r="H70" s="1" t="str">
        <f>"마신간 1R3L4"</f>
        <v>마신간 1R3L4</v>
      </c>
      <c r="I70" s="1" t="s">
        <v>8</v>
      </c>
      <c r="J70" s="1" t="str">
        <f>"38/38"</f>
        <v>38/38</v>
      </c>
      <c r="K70" s="1" t="str">
        <f>"2026-07-29 13:18:01"</f>
        <v>2026-07-29 13:18:01</v>
      </c>
      <c r="L70" s="1" t="str">
        <f>"2019-10-10 14:26:43"</f>
        <v>2019-10-10 14:26:43</v>
      </c>
      <c r="M70" s="1" t="s">
        <v>1</v>
      </c>
      <c r="N70" s="1" t="s">
        <v>38</v>
      </c>
      <c r="O70" s="1" t="s">
        <v>46</v>
      </c>
    </row>
    <row r="71" spans="2:15" x14ac:dyDescent="0.3">
      <c r="B71" s="1" t="s">
        <v>24</v>
      </c>
      <c r="C71" s="1" t="str">
        <f>"4차"</f>
        <v>4차</v>
      </c>
      <c r="D71" s="1" t="str">
        <f>"0126H19344"</f>
        <v>0126H19344</v>
      </c>
      <c r="E71" s="1" t="s">
        <v>10</v>
      </c>
      <c r="F71" s="1" t="str">
        <f>"10.125.119.144"</f>
        <v>10.125.119.144</v>
      </c>
      <c r="G71" s="1" t="str">
        <f>"0126H193"</f>
        <v>0126H193</v>
      </c>
      <c r="H71" s="1" t="str">
        <f>"마신간 1R3L3R1"</f>
        <v>마신간 1R3L3R1</v>
      </c>
      <c r="I71" s="1" t="s">
        <v>8</v>
      </c>
      <c r="J71" s="1" t="str">
        <f>"24/24"</f>
        <v>24/24</v>
      </c>
      <c r="K71" s="1" t="str">
        <f>"2026-07-29 13:18:01"</f>
        <v>2026-07-29 13:18:01</v>
      </c>
      <c r="L71" s="1" t="str">
        <f>"2020-01-10 15:24:40"</f>
        <v>2020-01-10 15:24:40</v>
      </c>
      <c r="M71" s="1" t="s">
        <v>45</v>
      </c>
      <c r="N71" s="1" t="s">
        <v>38</v>
      </c>
      <c r="O71" s="1" t="s">
        <v>46</v>
      </c>
    </row>
    <row r="72" spans="2:15" x14ac:dyDescent="0.3">
      <c r="B72" s="1" t="s">
        <v>24</v>
      </c>
      <c r="C72" s="1" t="str">
        <f>"5-1차"</f>
        <v>5-1차</v>
      </c>
      <c r="D72" s="1" t="str">
        <f>"0126H2045M"</f>
        <v>0126H2045M</v>
      </c>
      <c r="E72" s="1" t="s">
        <v>10</v>
      </c>
      <c r="F72" s="1" t="str">
        <f>"fde3:102:1430:2100:0:0:0:4"</f>
        <v>fde3:102:1430:2100:0:0:0:4</v>
      </c>
      <c r="G72" s="1" t="str">
        <f>"0126H204"</f>
        <v>0126H204</v>
      </c>
      <c r="H72" s="1" t="str">
        <f>"마동간 17L1"</f>
        <v>마동간 17L1</v>
      </c>
      <c r="I72" s="1" t="s">
        <v>15</v>
      </c>
      <c r="J72" s="1" t="str">
        <f>"56/57"</f>
        <v>56/57</v>
      </c>
      <c r="K72" s="1" t="str">
        <f>"2026-07-29 14:20:37"</f>
        <v>2026-07-29 14:20:37</v>
      </c>
      <c r="L72" s="1" t="str">
        <f>"2022-11-16 09:33:47"</f>
        <v>2022-11-16 09:33:47</v>
      </c>
      <c r="M72" s="1" t="s">
        <v>45</v>
      </c>
      <c r="N72" s="1" t="s">
        <v>38</v>
      </c>
      <c r="O72" s="1" t="s">
        <v>46</v>
      </c>
    </row>
    <row r="73" spans="2:15" x14ac:dyDescent="0.3">
      <c r="B73" s="1" t="s">
        <v>24</v>
      </c>
      <c r="C73" s="1" t="str">
        <f>"3차"</f>
        <v>3차</v>
      </c>
      <c r="D73" s="1" t="str">
        <f>"0126H26239"</f>
        <v>0126H26239</v>
      </c>
      <c r="E73" s="1" t="s">
        <v>10</v>
      </c>
      <c r="F73" s="1" t="str">
        <f>"10.125.119.143"</f>
        <v>10.125.119.143</v>
      </c>
      <c r="G73" s="1" t="str">
        <f>"0126H262"</f>
        <v>0126H262</v>
      </c>
      <c r="H73" s="1" t="str">
        <f>"마동간 17L9"</f>
        <v>마동간 17L9</v>
      </c>
      <c r="I73" s="1" t="s">
        <v>8</v>
      </c>
      <c r="J73" s="1" t="str">
        <f>"20/20"</f>
        <v>20/20</v>
      </c>
      <c r="K73" s="1" t="str">
        <f t="shared" ref="K73:K83" si="7">"2026-07-29 13:18:01"</f>
        <v>2026-07-29 13:18:01</v>
      </c>
      <c r="L73" s="1" t="str">
        <f>"2018-04-10 17:03:30"</f>
        <v>2018-04-10 17:03:30</v>
      </c>
      <c r="M73" s="1" t="s">
        <v>45</v>
      </c>
      <c r="N73" s="1" t="s">
        <v>38</v>
      </c>
      <c r="O73" s="1" t="s">
        <v>46</v>
      </c>
    </row>
    <row r="74" spans="2:15" x14ac:dyDescent="0.3">
      <c r="B74" s="1" t="s">
        <v>24</v>
      </c>
      <c r="C74" s="1" t="str">
        <f>"4차"</f>
        <v>4차</v>
      </c>
      <c r="D74" s="1" t="str">
        <f>"0126H28144"</f>
        <v>0126H28144</v>
      </c>
      <c r="E74" s="1" t="s">
        <v>10</v>
      </c>
      <c r="F74" s="1" t="str">
        <f>"10.10.46.58"</f>
        <v>10.10.46.58</v>
      </c>
      <c r="G74" s="1" t="str">
        <f>"0126H281"</f>
        <v>0126H281</v>
      </c>
      <c r="H74" s="1" t="str">
        <f>"마청간 1L2"</f>
        <v>마청간 1L2</v>
      </c>
      <c r="I74" s="1" t="s">
        <v>8</v>
      </c>
      <c r="J74" s="1" t="str">
        <f>"12/12"</f>
        <v>12/12</v>
      </c>
      <c r="K74" s="1" t="str">
        <f t="shared" si="7"/>
        <v>2026-07-29 13:18:01</v>
      </c>
      <c r="L74" s="1" t="str">
        <f>"2019-10-11 14:43:04"</f>
        <v>2019-10-11 14:43:04</v>
      </c>
      <c r="M74" s="1" t="s">
        <v>1</v>
      </c>
      <c r="N74" s="1" t="s">
        <v>38</v>
      </c>
      <c r="O74" s="1" t="s">
        <v>46</v>
      </c>
    </row>
    <row r="75" spans="2:15" x14ac:dyDescent="0.3">
      <c r="B75" s="1" t="s">
        <v>24</v>
      </c>
      <c r="C75" s="1" t="str">
        <f>"4차"</f>
        <v>4차</v>
      </c>
      <c r="D75" s="1" t="str">
        <f>"0126H32144"</f>
        <v>0126H32144</v>
      </c>
      <c r="E75" s="1" t="s">
        <v>10</v>
      </c>
      <c r="F75" s="1" t="str">
        <f>"10.10.45.130"</f>
        <v>10.10.45.130</v>
      </c>
      <c r="G75" s="1" t="str">
        <f>"0126H321"</f>
        <v>0126H321</v>
      </c>
      <c r="H75" s="1" t="str">
        <f>"마동간 17L3R1"</f>
        <v>마동간 17L3R1</v>
      </c>
      <c r="I75" s="1" t="s">
        <v>8</v>
      </c>
      <c r="J75" s="1" t="str">
        <f>"66/66"</f>
        <v>66/66</v>
      </c>
      <c r="K75" s="1" t="str">
        <f t="shared" si="7"/>
        <v>2026-07-29 13:18:01</v>
      </c>
      <c r="L75" s="1" t="str">
        <f>"2019-10-11 14:35:34"</f>
        <v>2019-10-11 14:35:34</v>
      </c>
      <c r="M75" s="1" t="s">
        <v>1</v>
      </c>
      <c r="N75" s="1" t="s">
        <v>38</v>
      </c>
      <c r="O75" s="1" t="s">
        <v>46</v>
      </c>
    </row>
    <row r="76" spans="2:15" x14ac:dyDescent="0.3">
      <c r="B76" s="1" t="s">
        <v>24</v>
      </c>
      <c r="C76" s="1" t="str">
        <f>"4차"</f>
        <v>4차</v>
      </c>
      <c r="D76" s="1" t="str">
        <f>"0126H36144"</f>
        <v>0126H36144</v>
      </c>
      <c r="E76" s="1" t="s">
        <v>10</v>
      </c>
      <c r="F76" s="1" t="str">
        <f>"10.10.45.138"</f>
        <v>10.10.45.138</v>
      </c>
      <c r="G76" s="1" t="str">
        <f>"0126H361"</f>
        <v>0126H361</v>
      </c>
      <c r="H76" s="1" t="str">
        <f>"마동간 17L3R11"</f>
        <v>마동간 17L3R11</v>
      </c>
      <c r="I76" s="1" t="s">
        <v>8</v>
      </c>
      <c r="J76" s="1" t="str">
        <f>"8/8"</f>
        <v>8/8</v>
      </c>
      <c r="K76" s="1" t="str">
        <f t="shared" si="7"/>
        <v>2026-07-29 13:18:01</v>
      </c>
      <c r="L76" s="1" t="str">
        <f>"2019-10-10 16:04:36"</f>
        <v>2019-10-10 16:04:36</v>
      </c>
      <c r="M76" s="1" t="s">
        <v>1</v>
      </c>
      <c r="N76" s="1" t="s">
        <v>38</v>
      </c>
      <c r="O76" s="1" t="s">
        <v>46</v>
      </c>
    </row>
    <row r="77" spans="2:15" x14ac:dyDescent="0.3">
      <c r="B77" s="1" t="s">
        <v>24</v>
      </c>
      <c r="C77" s="1" t="str">
        <f>"4차"</f>
        <v>4차</v>
      </c>
      <c r="D77" s="1" t="str">
        <f>"0126H42142"</f>
        <v>0126H42142</v>
      </c>
      <c r="E77" s="1" t="s">
        <v>10</v>
      </c>
      <c r="F77" s="1" t="str">
        <f>"10.125.119.142"</f>
        <v>10.125.119.142</v>
      </c>
      <c r="G77" s="1" t="str">
        <f>"0126H421"</f>
        <v>0126H421</v>
      </c>
      <c r="H77" s="1" t="str">
        <f>"마동간 17L3R2"</f>
        <v>마동간 17L3R2</v>
      </c>
      <c r="I77" s="1" t="s">
        <v>8</v>
      </c>
      <c r="J77" s="1" t="str">
        <f>"5/5"</f>
        <v>5/5</v>
      </c>
      <c r="K77" s="1" t="str">
        <f t="shared" si="7"/>
        <v>2026-07-29 13:18:01</v>
      </c>
      <c r="L77" s="1" t="str">
        <f>"2025-01-20 09:31:28"</f>
        <v>2025-01-20 09:31:28</v>
      </c>
      <c r="M77" s="1" t="s">
        <v>45</v>
      </c>
      <c r="N77" s="1" t="s">
        <v>38</v>
      </c>
      <c r="O77" s="1" t="s">
        <v>46</v>
      </c>
    </row>
    <row r="78" spans="2:15" x14ac:dyDescent="0.3">
      <c r="B78" s="1" t="s">
        <v>24</v>
      </c>
      <c r="C78" s="1" t="str">
        <f>"1차"</f>
        <v>1차</v>
      </c>
      <c r="D78" s="1" t="str">
        <f>"0126H42201"</f>
        <v>0126H42201</v>
      </c>
      <c r="E78" s="1" t="s">
        <v>10</v>
      </c>
      <c r="F78" s="1" t="str">
        <f>"10.12.131.161"</f>
        <v>10.12.131.161</v>
      </c>
      <c r="G78" s="1" t="str">
        <f>"0126H422"</f>
        <v>0126H422</v>
      </c>
      <c r="H78" s="1" t="str">
        <f>"마동간 17L3R2R1"</f>
        <v>마동간 17L3R2R1</v>
      </c>
      <c r="I78" s="1" t="s">
        <v>8</v>
      </c>
      <c r="J78" s="1" t="str">
        <f>"30/30"</f>
        <v>30/30</v>
      </c>
      <c r="K78" s="1" t="str">
        <f t="shared" si="7"/>
        <v>2026-07-29 13:18:01</v>
      </c>
      <c r="L78" s="1" t="str">
        <f>"2015-08-03 14:01:44"</f>
        <v>2015-08-03 14:01:44</v>
      </c>
      <c r="M78" s="1" t="s">
        <v>0</v>
      </c>
      <c r="N78" s="1" t="s">
        <v>38</v>
      </c>
      <c r="O78" s="1" t="s">
        <v>46</v>
      </c>
    </row>
    <row r="79" spans="2:15" x14ac:dyDescent="0.3">
      <c r="B79" s="1" t="s">
        <v>24</v>
      </c>
      <c r="C79" s="1" t="str">
        <f>"1차"</f>
        <v>1차</v>
      </c>
      <c r="D79" s="1" t="str">
        <f>"0126H43201"</f>
        <v>0126H43201</v>
      </c>
      <c r="E79" s="1" t="s">
        <v>10</v>
      </c>
      <c r="F79" s="1" t="str">
        <f>"10.125.119.140"</f>
        <v>10.125.119.140</v>
      </c>
      <c r="G79" s="1" t="str">
        <f>"0126H432"</f>
        <v>0126H432</v>
      </c>
      <c r="H79" s="1" t="str">
        <f>"마동간 17L3R4R1"</f>
        <v>마동간 17L3R4R1</v>
      </c>
      <c r="I79" s="1" t="s">
        <v>8</v>
      </c>
      <c r="J79" s="1" t="str">
        <f>"46/46"</f>
        <v>46/46</v>
      </c>
      <c r="K79" s="1" t="str">
        <f t="shared" si="7"/>
        <v>2026-07-29 13:18:01</v>
      </c>
      <c r="L79" s="1" t="str">
        <f>"2015-08-04 08:19:57"</f>
        <v>2015-08-04 08:19:57</v>
      </c>
      <c r="M79" s="1" t="s">
        <v>45</v>
      </c>
      <c r="N79" s="1" t="s">
        <v>38</v>
      </c>
      <c r="O79" s="1" t="s">
        <v>46</v>
      </c>
    </row>
    <row r="80" spans="2:15" x14ac:dyDescent="0.3">
      <c r="B80" s="1" t="s">
        <v>24</v>
      </c>
      <c r="C80" s="1" t="str">
        <f>"4차"</f>
        <v>4차</v>
      </c>
      <c r="D80" s="1" t="str">
        <f>"0126H43444"</f>
        <v>0126H43444</v>
      </c>
      <c r="E80" s="1" t="s">
        <v>10</v>
      </c>
      <c r="F80" s="1" t="str">
        <f>"10.10.45.186"</f>
        <v>10.10.45.186</v>
      </c>
      <c r="G80" s="1" t="str">
        <f>"0126H434"</f>
        <v>0126H434</v>
      </c>
      <c r="H80" s="1" t="str">
        <f>"마동간 17L3R5"</f>
        <v>마동간 17L3R5</v>
      </c>
      <c r="I80" s="1" t="s">
        <v>8</v>
      </c>
      <c r="J80" s="1" t="str">
        <f>"15/15"</f>
        <v>15/15</v>
      </c>
      <c r="K80" s="1" t="str">
        <f t="shared" si="7"/>
        <v>2026-07-29 13:18:01</v>
      </c>
      <c r="L80" s="1" t="str">
        <f>"2019-10-11 14:36:45"</f>
        <v>2019-10-11 14:36:45</v>
      </c>
      <c r="M80" s="1" t="s">
        <v>1</v>
      </c>
      <c r="N80" s="1" t="s">
        <v>38</v>
      </c>
      <c r="O80" s="1" t="s">
        <v>46</v>
      </c>
    </row>
    <row r="81" spans="2:15" x14ac:dyDescent="0.3">
      <c r="B81" s="1" t="s">
        <v>24</v>
      </c>
      <c r="C81" s="1" t="str">
        <f>"1차"</f>
        <v>1차</v>
      </c>
      <c r="D81" s="1" t="str">
        <f>"0126H43500"</f>
        <v>0126H43500</v>
      </c>
      <c r="E81" s="1" t="s">
        <v>10</v>
      </c>
      <c r="F81" s="1" t="str">
        <f>"10.125.119.139"</f>
        <v>10.125.119.139</v>
      </c>
      <c r="G81" s="1" t="str">
        <f>"0126H435"</f>
        <v>0126H435</v>
      </c>
      <c r="H81" s="1" t="str">
        <f>"마동간 17L3R3"</f>
        <v>마동간 17L3R3</v>
      </c>
      <c r="I81" s="1" t="s">
        <v>8</v>
      </c>
      <c r="J81" s="1" t="str">
        <f>"5/5"</f>
        <v>5/5</v>
      </c>
      <c r="K81" s="1" t="str">
        <f t="shared" si="7"/>
        <v>2026-07-29 13:18:01</v>
      </c>
      <c r="L81" s="1" t="str">
        <f>"2023-10-06 10:54:55"</f>
        <v>2023-10-06 10:54:55</v>
      </c>
      <c r="M81" s="1" t="s">
        <v>45</v>
      </c>
      <c r="N81" s="1" t="s">
        <v>38</v>
      </c>
      <c r="O81" s="1" t="s">
        <v>46</v>
      </c>
    </row>
    <row r="82" spans="2:15" x14ac:dyDescent="0.3">
      <c r="B82" s="1" t="s">
        <v>24</v>
      </c>
      <c r="C82" s="1" t="str">
        <f>"4차"</f>
        <v>4차</v>
      </c>
      <c r="D82" s="1" t="str">
        <f>"0126H49244"</f>
        <v>0126H49244</v>
      </c>
      <c r="E82" s="1" t="s">
        <v>10</v>
      </c>
      <c r="F82" s="1" t="str">
        <f>"10.10.46.114"</f>
        <v>10.10.46.114</v>
      </c>
      <c r="G82" s="1" t="str">
        <f>"0126H492"</f>
        <v>0126H492</v>
      </c>
      <c r="H82" s="1" t="str">
        <f>"마청간 4L4"</f>
        <v>마청간 4L4</v>
      </c>
      <c r="I82" s="1" t="s">
        <v>8</v>
      </c>
      <c r="J82" s="1" t="str">
        <f>"12/16"</f>
        <v>12/16</v>
      </c>
      <c r="K82" s="1" t="str">
        <f t="shared" si="7"/>
        <v>2026-07-29 13:18:01</v>
      </c>
      <c r="L82" s="1" t="str">
        <f>"2019-10-11 14:53:04"</f>
        <v>2019-10-11 14:53:04</v>
      </c>
      <c r="M82" s="1" t="s">
        <v>1</v>
      </c>
      <c r="N82" s="1" t="s">
        <v>38</v>
      </c>
      <c r="O82" s="1" t="s">
        <v>46</v>
      </c>
    </row>
    <row r="83" spans="2:15" x14ac:dyDescent="0.3">
      <c r="B83" s="1" t="s">
        <v>24</v>
      </c>
      <c r="C83" s="1" t="str">
        <f>"3차"</f>
        <v>3차</v>
      </c>
      <c r="D83" s="1" t="str">
        <f>"0126H49439"</f>
        <v>0126H49439</v>
      </c>
      <c r="E83" s="1" t="s">
        <v>10</v>
      </c>
      <c r="F83" s="1" t="str">
        <f>"10.125.119.133"</f>
        <v>10.125.119.133</v>
      </c>
      <c r="G83" s="1" t="str">
        <f>"0126H494"</f>
        <v>0126H494</v>
      </c>
      <c r="H83" s="1" t="str">
        <f>"마청간 4L4H1"</f>
        <v>마청간 4L4H1</v>
      </c>
      <c r="I83" s="1" t="s">
        <v>8</v>
      </c>
      <c r="J83" s="1" t="str">
        <f>"25/27"</f>
        <v>25/27</v>
      </c>
      <c r="K83" s="1" t="str">
        <f t="shared" si="7"/>
        <v>2026-07-29 13:18:01</v>
      </c>
      <c r="L83" s="1" t="str">
        <f>"2021-07-27 09:22:30"</f>
        <v>2021-07-27 09:22:30</v>
      </c>
      <c r="M83" s="1" t="s">
        <v>45</v>
      </c>
      <c r="N83" s="1" t="s">
        <v>38</v>
      </c>
      <c r="O83" s="1" t="s">
        <v>46</v>
      </c>
    </row>
    <row r="84" spans="2:15" x14ac:dyDescent="0.3">
      <c r="B84" s="1" t="s">
        <v>24</v>
      </c>
      <c r="C84" s="1" t="str">
        <f>"4차"</f>
        <v>4차</v>
      </c>
      <c r="D84" s="1" t="str">
        <f>"0126H50244"</f>
        <v>0126H50244</v>
      </c>
      <c r="E84" s="1" t="s">
        <v>10</v>
      </c>
      <c r="F84" s="1" t="str">
        <f>"10.12.138.95"</f>
        <v>10.12.138.95</v>
      </c>
      <c r="G84" s="1" t="str">
        <f>"0126H502"</f>
        <v>0126H502</v>
      </c>
      <c r="H84" s="1" t="str">
        <f>"마동간 23"</f>
        <v>마동간 23</v>
      </c>
      <c r="I84" s="1" t="s">
        <v>8</v>
      </c>
      <c r="J84" s="1" t="str">
        <f>"11/11"</f>
        <v>11/11</v>
      </c>
      <c r="K84" s="1" t="str">
        <f>"2026-07-29 13:18:02"</f>
        <v>2026-07-29 13:18:02</v>
      </c>
      <c r="L84" s="1" t="str">
        <f>"2020-01-10 15:24:39"</f>
        <v>2020-01-10 15:24:39</v>
      </c>
      <c r="M84" s="1" t="s">
        <v>0</v>
      </c>
      <c r="N84" s="1" t="s">
        <v>38</v>
      </c>
      <c r="O84" s="1" t="s">
        <v>46</v>
      </c>
    </row>
    <row r="85" spans="2:15" x14ac:dyDescent="0.3">
      <c r="B85" s="1" t="s">
        <v>24</v>
      </c>
      <c r="C85" s="1" t="str">
        <f>"1차"</f>
        <v>1차</v>
      </c>
      <c r="D85" s="1" t="str">
        <f>"0126H53100"</f>
        <v>0126H53100</v>
      </c>
      <c r="E85" s="1" t="s">
        <v>10</v>
      </c>
      <c r="F85" s="1" t="str">
        <f>"10.125.119.141"</f>
        <v>10.125.119.141</v>
      </c>
      <c r="G85" s="1" t="str">
        <f>"0126H531"</f>
        <v>0126H531</v>
      </c>
      <c r="H85" s="1" t="str">
        <f>"마동간 17L3R4R2"</f>
        <v>마동간 17L3R4R2</v>
      </c>
      <c r="I85" s="1" t="s">
        <v>8</v>
      </c>
      <c r="J85" s="1" t="str">
        <f>"48/49"</f>
        <v>48/49</v>
      </c>
      <c r="K85" s="1" t="str">
        <f t="shared" ref="K85:K94" si="8">"2026-07-29 13:18:01"</f>
        <v>2026-07-29 13:18:01</v>
      </c>
      <c r="L85" s="1" t="str">
        <f>"2015-08-03 15:26:16"</f>
        <v>2015-08-03 15:26:16</v>
      </c>
      <c r="M85" s="1" t="s">
        <v>45</v>
      </c>
      <c r="N85" s="1" t="s">
        <v>38</v>
      </c>
      <c r="O85" s="1" t="s">
        <v>46</v>
      </c>
    </row>
    <row r="86" spans="2:15" x14ac:dyDescent="0.3">
      <c r="B86" s="1" t="s">
        <v>24</v>
      </c>
      <c r="C86" s="1" t="str">
        <f t="shared" ref="C86:C98" si="9">"4차"</f>
        <v>4차</v>
      </c>
      <c r="D86" s="1" t="str">
        <f>"0126H56244"</f>
        <v>0126H56244</v>
      </c>
      <c r="E86" s="1" t="s">
        <v>10</v>
      </c>
      <c r="F86" s="1" t="str">
        <f>"10.10.45.146"</f>
        <v>10.10.45.146</v>
      </c>
      <c r="G86" s="1" t="str">
        <f>"0126H562"</f>
        <v>0126H562</v>
      </c>
      <c r="H86" s="1" t="str">
        <f>"마동간 17L3R14"</f>
        <v>마동간 17L3R14</v>
      </c>
      <c r="I86" s="1" t="s">
        <v>8</v>
      </c>
      <c r="J86" s="1" t="str">
        <f>"43/45"</f>
        <v>43/45</v>
      </c>
      <c r="K86" s="1" t="str">
        <f t="shared" si="8"/>
        <v>2026-07-29 13:18:01</v>
      </c>
      <c r="L86" s="1" t="str">
        <f>"2019-10-10 16:01:13"</f>
        <v>2019-10-10 16:01:13</v>
      </c>
      <c r="M86" s="1" t="s">
        <v>1</v>
      </c>
      <c r="N86" s="1" t="s">
        <v>38</v>
      </c>
      <c r="O86" s="1" t="s">
        <v>46</v>
      </c>
    </row>
    <row r="87" spans="2:15" x14ac:dyDescent="0.3">
      <c r="B87" s="1" t="s">
        <v>24</v>
      </c>
      <c r="C87" s="1" t="str">
        <f t="shared" si="9"/>
        <v>4차</v>
      </c>
      <c r="D87" s="1" t="str">
        <f>"0126H58344"</f>
        <v>0126H58344</v>
      </c>
      <c r="E87" s="1" t="s">
        <v>10</v>
      </c>
      <c r="F87" s="1" t="str">
        <f>"10.10.46.154"</f>
        <v>10.10.46.154</v>
      </c>
      <c r="G87" s="1" t="str">
        <f>"0126H583"</f>
        <v>0126H583</v>
      </c>
      <c r="H87" s="1" t="str">
        <f>"마청간 6"</f>
        <v>마청간 6</v>
      </c>
      <c r="I87" s="1" t="s">
        <v>8</v>
      </c>
      <c r="J87" s="1" t="str">
        <f>"16/16"</f>
        <v>16/16</v>
      </c>
      <c r="K87" s="1" t="str">
        <f t="shared" si="8"/>
        <v>2026-07-29 13:18:01</v>
      </c>
      <c r="L87" s="1" t="str">
        <f>"2019-10-11 14:53:04"</f>
        <v>2019-10-11 14:53:04</v>
      </c>
      <c r="M87" s="1" t="s">
        <v>1</v>
      </c>
      <c r="N87" s="1" t="s">
        <v>38</v>
      </c>
      <c r="O87" s="1" t="s">
        <v>46</v>
      </c>
    </row>
    <row r="88" spans="2:15" x14ac:dyDescent="0.3">
      <c r="B88" s="1" t="s">
        <v>24</v>
      </c>
      <c r="C88" s="1" t="str">
        <f t="shared" si="9"/>
        <v>4차</v>
      </c>
      <c r="D88" s="1" t="str">
        <f>"0126H59144"</f>
        <v>0126H59144</v>
      </c>
      <c r="E88" s="1" t="s">
        <v>10</v>
      </c>
      <c r="F88" s="1" t="str">
        <f>"10.10.46.122"</f>
        <v>10.10.46.122</v>
      </c>
      <c r="G88" s="1" t="str">
        <f>"0126H591"</f>
        <v>0126H591</v>
      </c>
      <c r="H88" s="1" t="str">
        <f>"마청간 4L5"</f>
        <v>마청간 4L5</v>
      </c>
      <c r="I88" s="1" t="s">
        <v>8</v>
      </c>
      <c r="J88" s="1" t="str">
        <f>"27/27"</f>
        <v>27/27</v>
      </c>
      <c r="K88" s="1" t="str">
        <f t="shared" si="8"/>
        <v>2026-07-29 13:18:01</v>
      </c>
      <c r="L88" s="1" t="str">
        <f>"2019-10-11 14:47:51"</f>
        <v>2019-10-11 14:47:51</v>
      </c>
      <c r="M88" s="1" t="s">
        <v>1</v>
      </c>
      <c r="N88" s="1" t="s">
        <v>38</v>
      </c>
      <c r="O88" s="1" t="s">
        <v>46</v>
      </c>
    </row>
    <row r="89" spans="2:15" x14ac:dyDescent="0.3">
      <c r="B89" s="1" t="s">
        <v>24</v>
      </c>
      <c r="C89" s="1" t="str">
        <f t="shared" si="9"/>
        <v>4차</v>
      </c>
      <c r="D89" s="1" t="str">
        <f>"0126H69144"</f>
        <v>0126H69144</v>
      </c>
      <c r="E89" s="1" t="s">
        <v>10</v>
      </c>
      <c r="F89" s="1" t="str">
        <f>"10.10.46.130"</f>
        <v>10.10.46.130</v>
      </c>
      <c r="G89" s="1" t="str">
        <f>"0126H691"</f>
        <v>0126H691</v>
      </c>
      <c r="H89" s="1" t="str">
        <f>"마청간 4L6"</f>
        <v>마청간 4L6</v>
      </c>
      <c r="I89" s="1" t="s">
        <v>8</v>
      </c>
      <c r="J89" s="1" t="str">
        <f>"35/35"</f>
        <v>35/35</v>
      </c>
      <c r="K89" s="1" t="str">
        <f t="shared" si="8"/>
        <v>2026-07-29 13:18:01</v>
      </c>
      <c r="L89" s="1" t="str">
        <f>"2019-10-18 14:37:51"</f>
        <v>2019-10-18 14:37:51</v>
      </c>
      <c r="M89" s="1" t="s">
        <v>1</v>
      </c>
      <c r="N89" s="1" t="s">
        <v>38</v>
      </c>
      <c r="O89" s="1" t="s">
        <v>46</v>
      </c>
    </row>
    <row r="90" spans="2:15" x14ac:dyDescent="0.3">
      <c r="B90" s="1" t="s">
        <v>24</v>
      </c>
      <c r="C90" s="1" t="str">
        <f t="shared" si="9"/>
        <v>4차</v>
      </c>
      <c r="D90" s="1" t="str">
        <f>"0126H75144"</f>
        <v>0126H75144</v>
      </c>
      <c r="E90" s="1" t="s">
        <v>10</v>
      </c>
      <c r="F90" s="1" t="str">
        <f>"10.10.106.66"</f>
        <v>10.10.106.66</v>
      </c>
      <c r="G90" s="1" t="str">
        <f>"0126H751"</f>
        <v>0126H751</v>
      </c>
      <c r="H90" s="1" t="str">
        <f>"마동간 17L3R19"</f>
        <v>마동간 17L3R19</v>
      </c>
      <c r="I90" s="1" t="s">
        <v>8</v>
      </c>
      <c r="J90" s="1" t="str">
        <f>"19/19"</f>
        <v>19/19</v>
      </c>
      <c r="K90" s="1" t="str">
        <f t="shared" si="8"/>
        <v>2026-07-29 13:18:01</v>
      </c>
      <c r="L90" s="1" t="str">
        <f>"2019-10-10 16:33:04"</f>
        <v>2019-10-10 16:33:04</v>
      </c>
      <c r="M90" s="1" t="s">
        <v>1</v>
      </c>
      <c r="N90" s="1" t="s">
        <v>38</v>
      </c>
      <c r="O90" s="1" t="s">
        <v>46</v>
      </c>
    </row>
    <row r="91" spans="2:15" x14ac:dyDescent="0.3">
      <c r="B91" s="1" t="s">
        <v>24</v>
      </c>
      <c r="C91" s="1" t="str">
        <f t="shared" si="9"/>
        <v>4차</v>
      </c>
      <c r="D91" s="1" t="str">
        <f>"0126H76344"</f>
        <v>0126H76344</v>
      </c>
      <c r="E91" s="1" t="s">
        <v>10</v>
      </c>
      <c r="F91" s="1" t="str">
        <f>"10.10.45.154"</f>
        <v>10.10.45.154</v>
      </c>
      <c r="G91" s="1" t="str">
        <f>"0126H763"</f>
        <v>0126H763</v>
      </c>
      <c r="H91" s="1" t="str">
        <f>"마동간 17L3R17"</f>
        <v>마동간 17L3R17</v>
      </c>
      <c r="I91" s="1" t="s">
        <v>8</v>
      </c>
      <c r="J91" s="1" t="str">
        <f>"18/18"</f>
        <v>18/18</v>
      </c>
      <c r="K91" s="1" t="str">
        <f t="shared" si="8"/>
        <v>2026-07-29 13:18:01</v>
      </c>
      <c r="L91" s="1" t="str">
        <f>"2019-10-10 16:09:22"</f>
        <v>2019-10-10 16:09:22</v>
      </c>
      <c r="M91" s="1" t="s">
        <v>1</v>
      </c>
      <c r="N91" s="1" t="s">
        <v>38</v>
      </c>
      <c r="O91" s="1" t="s">
        <v>46</v>
      </c>
    </row>
    <row r="92" spans="2:15" x14ac:dyDescent="0.3">
      <c r="B92" s="1" t="s">
        <v>24</v>
      </c>
      <c r="C92" s="1" t="str">
        <f t="shared" si="9"/>
        <v>4차</v>
      </c>
      <c r="D92" s="1" t="str">
        <f>"0126H79144"</f>
        <v>0126H79144</v>
      </c>
      <c r="E92" s="1" t="s">
        <v>10</v>
      </c>
      <c r="F92" s="1" t="str">
        <f>"10.10.46.138"</f>
        <v>10.10.46.138</v>
      </c>
      <c r="G92" s="1" t="str">
        <f>"0126H791"</f>
        <v>0126H791</v>
      </c>
      <c r="H92" s="1" t="str">
        <f>"마청간 4L7"</f>
        <v>마청간 4L7</v>
      </c>
      <c r="I92" s="1" t="s">
        <v>8</v>
      </c>
      <c r="J92" s="1" t="str">
        <f>"36/36"</f>
        <v>36/36</v>
      </c>
      <c r="K92" s="1" t="str">
        <f t="shared" si="8"/>
        <v>2026-07-29 13:18:01</v>
      </c>
      <c r="L92" s="1" t="str">
        <f>"2019-10-11 14:49:36"</f>
        <v>2019-10-11 14:49:36</v>
      </c>
      <c r="M92" s="1" t="s">
        <v>1</v>
      </c>
      <c r="N92" s="1" t="s">
        <v>38</v>
      </c>
      <c r="O92" s="1" t="s">
        <v>46</v>
      </c>
    </row>
    <row r="93" spans="2:15" x14ac:dyDescent="0.3">
      <c r="B93" s="1" t="s">
        <v>24</v>
      </c>
      <c r="C93" s="1" t="str">
        <f t="shared" si="9"/>
        <v>4차</v>
      </c>
      <c r="D93" s="1" t="str">
        <f>"0126H83144"</f>
        <v>0126H83144</v>
      </c>
      <c r="E93" s="1" t="s">
        <v>10</v>
      </c>
      <c r="F93" s="1" t="str">
        <f>"10.10.45.202"</f>
        <v>10.10.45.202</v>
      </c>
      <c r="G93" s="1" t="str">
        <f>"0126H831"</f>
        <v>0126H831</v>
      </c>
      <c r="H93" s="1" t="str">
        <f>"마동간 28"</f>
        <v>마동간 28</v>
      </c>
      <c r="I93" s="1" t="s">
        <v>8</v>
      </c>
      <c r="J93" s="1" t="str">
        <f>"46/47"</f>
        <v>46/47</v>
      </c>
      <c r="K93" s="1" t="str">
        <f t="shared" si="8"/>
        <v>2026-07-29 13:18:01</v>
      </c>
      <c r="L93" s="1" t="str">
        <f>"2019-10-10 17:13:06"</f>
        <v>2019-10-10 17:13:06</v>
      </c>
      <c r="M93" s="1" t="s">
        <v>1</v>
      </c>
      <c r="N93" s="1" t="s">
        <v>38</v>
      </c>
      <c r="O93" s="1" t="s">
        <v>46</v>
      </c>
    </row>
    <row r="94" spans="2:15" x14ac:dyDescent="0.3">
      <c r="B94" s="1" t="s">
        <v>24</v>
      </c>
      <c r="C94" s="1" t="str">
        <f t="shared" si="9"/>
        <v>4차</v>
      </c>
      <c r="D94" s="1" t="str">
        <f>"0126H85144"</f>
        <v>0126H85144</v>
      </c>
      <c r="E94" s="1" t="s">
        <v>10</v>
      </c>
      <c r="F94" s="1" t="str">
        <f>"10.10.45.162"</f>
        <v>10.10.45.162</v>
      </c>
      <c r="G94" s="1" t="str">
        <f>"0126H851"</f>
        <v>0126H851</v>
      </c>
      <c r="H94" s="1" t="str">
        <f>"마동간 39L2L2"</f>
        <v>마동간 39L2L2</v>
      </c>
      <c r="I94" s="1" t="s">
        <v>8</v>
      </c>
      <c r="J94" s="1" t="str">
        <f>"45/45"</f>
        <v>45/45</v>
      </c>
      <c r="K94" s="1" t="str">
        <f t="shared" si="8"/>
        <v>2026-07-29 13:18:01</v>
      </c>
      <c r="L94" s="1" t="str">
        <f>"2019-10-11 14:43:04"</f>
        <v>2019-10-11 14:43:04</v>
      </c>
      <c r="M94" s="1" t="s">
        <v>1</v>
      </c>
      <c r="N94" s="1" t="s">
        <v>38</v>
      </c>
      <c r="O94" s="1" t="s">
        <v>46</v>
      </c>
    </row>
    <row r="95" spans="2:15" x14ac:dyDescent="0.3">
      <c r="B95" s="1" t="s">
        <v>24</v>
      </c>
      <c r="C95" s="1" t="str">
        <f t="shared" si="9"/>
        <v>4차</v>
      </c>
      <c r="D95" s="1" t="str">
        <f>"0126H85244"</f>
        <v>0126H85244</v>
      </c>
      <c r="E95" s="1" t="s">
        <v>10</v>
      </c>
      <c r="F95" s="1" t="str">
        <f>"10.14.1.28"</f>
        <v>10.14.1.28</v>
      </c>
      <c r="G95" s="1" t="str">
        <f>"0126H852"</f>
        <v>0126H852</v>
      </c>
      <c r="H95" s="1" t="str">
        <f>"마동간 39L2L3"</f>
        <v>마동간 39L2L3</v>
      </c>
      <c r="I95" s="1" t="s">
        <v>8</v>
      </c>
      <c r="J95" s="1" t="str">
        <f>"49/54"</f>
        <v>49/54</v>
      </c>
      <c r="K95" s="1" t="str">
        <f>"2026-07-29 13:18:02"</f>
        <v>2026-07-29 13:18:02</v>
      </c>
      <c r="L95" s="1" t="str">
        <f>"2019-11-11 19:50:12"</f>
        <v>2019-11-11 19:50:12</v>
      </c>
      <c r="M95" s="1" t="s">
        <v>3</v>
      </c>
      <c r="N95" s="1" t="s">
        <v>38</v>
      </c>
      <c r="O95" s="1" t="s">
        <v>46</v>
      </c>
    </row>
    <row r="96" spans="2:15" x14ac:dyDescent="0.3">
      <c r="B96" s="1" t="s">
        <v>24</v>
      </c>
      <c r="C96" s="1" t="str">
        <f t="shared" si="9"/>
        <v>4차</v>
      </c>
      <c r="D96" s="1" t="str">
        <f>"0126H87144"</f>
        <v>0126H87144</v>
      </c>
      <c r="E96" s="1" t="s">
        <v>10</v>
      </c>
      <c r="F96" s="1" t="str">
        <f>"10.10.45.178"</f>
        <v>10.10.45.178</v>
      </c>
      <c r="G96" s="1" t="str">
        <f>"0126H871"</f>
        <v>0126H871</v>
      </c>
      <c r="H96" s="1" t="str">
        <f>"마동간 39L1"</f>
        <v>마동간 39L1</v>
      </c>
      <c r="I96" s="1" t="s">
        <v>8</v>
      </c>
      <c r="J96" s="1" t="str">
        <f>"33/39"</f>
        <v>33/39</v>
      </c>
      <c r="K96" s="1" t="str">
        <f>"2026-07-29 13:18:01"</f>
        <v>2026-07-29 13:18:01</v>
      </c>
      <c r="L96" s="1" t="str">
        <f>"2019-10-10 16:40:52"</f>
        <v>2019-10-10 16:40:52</v>
      </c>
      <c r="M96" s="1" t="s">
        <v>1</v>
      </c>
      <c r="N96" s="1" t="s">
        <v>38</v>
      </c>
      <c r="O96" s="1" t="s">
        <v>46</v>
      </c>
    </row>
    <row r="97" spans="2:15" x14ac:dyDescent="0.3">
      <c r="B97" s="1" t="s">
        <v>24</v>
      </c>
      <c r="C97" s="1" t="str">
        <f t="shared" si="9"/>
        <v>4차</v>
      </c>
      <c r="D97" s="1" t="str">
        <f>"0126H99141"</f>
        <v>0126H99141</v>
      </c>
      <c r="E97" s="1" t="s">
        <v>10</v>
      </c>
      <c r="F97" s="1" t="str">
        <f>"10.14.11.66"</f>
        <v>10.14.11.66</v>
      </c>
      <c r="G97" s="1" t="str">
        <f>"0126H991"</f>
        <v>0126H991</v>
      </c>
      <c r="H97" s="1" t="str">
        <f>"왕디로SW R10R12"</f>
        <v>왕디로SW R10R12</v>
      </c>
      <c r="I97" s="1" t="s">
        <v>17</v>
      </c>
      <c r="J97" s="1" t="str">
        <f>"10/10"</f>
        <v>10/10</v>
      </c>
      <c r="K97" s="1" t="str">
        <f>"2026-07-29 13:18:02"</f>
        <v>2026-07-29 13:18:02</v>
      </c>
      <c r="L97" s="1" t="str">
        <f>"2021-11-03 17:26:54"</f>
        <v>2021-11-03 17:26:54</v>
      </c>
      <c r="M97" s="1" t="s">
        <v>3</v>
      </c>
      <c r="N97" s="1" t="s">
        <v>38</v>
      </c>
      <c r="O97" s="1" t="s">
        <v>46</v>
      </c>
    </row>
    <row r="98" spans="2:15" x14ac:dyDescent="0.3">
      <c r="B98" s="1" t="s">
        <v>24</v>
      </c>
      <c r="C98" s="1" t="str">
        <f t="shared" si="9"/>
        <v>4차</v>
      </c>
      <c r="D98" s="1" t="str">
        <f>"0127X41144"</f>
        <v>0127X41144</v>
      </c>
      <c r="E98" s="1" t="s">
        <v>10</v>
      </c>
      <c r="F98" s="1" t="str">
        <f>"10.10.62.122"</f>
        <v>10.10.62.122</v>
      </c>
      <c r="G98" s="1" t="str">
        <f>"0127X411"</f>
        <v>0127X411</v>
      </c>
      <c r="H98" s="1" t="str">
        <f>"제기간 38"</f>
        <v>제기간 38</v>
      </c>
      <c r="I98" s="1" t="s">
        <v>8</v>
      </c>
      <c r="J98" s="1" t="str">
        <f>"30/30"</f>
        <v>30/30</v>
      </c>
      <c r="K98" s="1" t="str">
        <f t="shared" ref="K98:K103" si="10">"2026-07-29 13:18:01"</f>
        <v>2026-07-29 13:18:01</v>
      </c>
      <c r="L98" s="1" t="str">
        <f>"2019-11-22 14:33:04"</f>
        <v>2019-11-22 14:33:04</v>
      </c>
      <c r="M98" s="1" t="s">
        <v>1</v>
      </c>
      <c r="N98" s="1" t="s">
        <v>38</v>
      </c>
      <c r="O98" s="1" t="s">
        <v>46</v>
      </c>
    </row>
    <row r="99" spans="2:15" x14ac:dyDescent="0.3">
      <c r="B99" s="1" t="s">
        <v>24</v>
      </c>
      <c r="C99" s="1" t="str">
        <f>"1차"</f>
        <v>1차</v>
      </c>
      <c r="D99" s="1" t="str">
        <f>"0127X42100"</f>
        <v>0127X42100</v>
      </c>
      <c r="E99" s="1" t="s">
        <v>10</v>
      </c>
      <c r="F99" s="1" t="str">
        <f>"10.89.245.132"</f>
        <v>10.89.245.132</v>
      </c>
      <c r="G99" s="1" t="str">
        <f>"0127X421"</f>
        <v>0127X421</v>
      </c>
      <c r="H99" s="1" t="str">
        <f>"제기간 40"</f>
        <v>제기간 40</v>
      </c>
      <c r="I99" s="1" t="s">
        <v>8</v>
      </c>
      <c r="J99" s="1" t="str">
        <f>"57/57"</f>
        <v>57/57</v>
      </c>
      <c r="K99" s="1" t="str">
        <f t="shared" si="10"/>
        <v>2026-07-29 13:18:01</v>
      </c>
      <c r="L99" s="1" t="str">
        <f>"2015-08-04 13:52:08"</f>
        <v>2015-08-04 13:52:08</v>
      </c>
      <c r="M99" s="1" t="s">
        <v>45</v>
      </c>
      <c r="N99" s="1" t="s">
        <v>38</v>
      </c>
      <c r="O99" s="1" t="s">
        <v>46</v>
      </c>
    </row>
    <row r="100" spans="2:15" x14ac:dyDescent="0.3">
      <c r="B100" s="1" t="s">
        <v>24</v>
      </c>
      <c r="C100" s="1" t="str">
        <f>"4차"</f>
        <v>4차</v>
      </c>
      <c r="D100" s="1" t="str">
        <f>"0127X50344"</f>
        <v>0127X50344</v>
      </c>
      <c r="E100" s="1" t="s">
        <v>10</v>
      </c>
      <c r="F100" s="1" t="str">
        <f>"10.10.64.122"</f>
        <v>10.10.64.122</v>
      </c>
      <c r="G100" s="1" t="str">
        <f>"0127X503"</f>
        <v>0127X503</v>
      </c>
      <c r="H100" s="1" t="str">
        <f>"제기간 37R5"</f>
        <v>제기간 37R5</v>
      </c>
      <c r="I100" s="1" t="s">
        <v>8</v>
      </c>
      <c r="J100" s="1" t="str">
        <f>"31/35"</f>
        <v>31/35</v>
      </c>
      <c r="K100" s="1" t="str">
        <f t="shared" si="10"/>
        <v>2026-07-29 13:18:01</v>
      </c>
      <c r="L100" s="1" t="str">
        <f>"2021-07-28 16:45:01"</f>
        <v>2021-07-28 16:45:01</v>
      </c>
      <c r="M100" s="1" t="s">
        <v>1</v>
      </c>
      <c r="N100" s="1" t="s">
        <v>38</v>
      </c>
      <c r="O100" s="1" t="s">
        <v>46</v>
      </c>
    </row>
    <row r="101" spans="2:15" x14ac:dyDescent="0.3">
      <c r="B101" s="1" t="s">
        <v>24</v>
      </c>
      <c r="C101" s="1" t="str">
        <f>"4차"</f>
        <v>4차</v>
      </c>
      <c r="D101" s="1" t="str">
        <f>"0127X52244"</f>
        <v>0127X52244</v>
      </c>
      <c r="E101" s="1" t="s">
        <v>10</v>
      </c>
      <c r="F101" s="1" t="str">
        <f>"10.10.62.90"</f>
        <v>10.10.62.90</v>
      </c>
      <c r="G101" s="1" t="str">
        <f>"0127X522"</f>
        <v>0127X522</v>
      </c>
      <c r="H101" s="1" t="str">
        <f>"제기간 40R2"</f>
        <v>제기간 40R2</v>
      </c>
      <c r="I101" s="1" t="s">
        <v>8</v>
      </c>
      <c r="J101" s="1" t="str">
        <f>"31/40"</f>
        <v>31/40</v>
      </c>
      <c r="K101" s="1" t="str">
        <f t="shared" si="10"/>
        <v>2026-07-29 13:18:01</v>
      </c>
      <c r="L101" s="1" t="str">
        <f>"2019-11-22 14:22:59"</f>
        <v>2019-11-22 14:22:59</v>
      </c>
      <c r="M101" s="1" t="s">
        <v>1</v>
      </c>
      <c r="N101" s="1" t="s">
        <v>38</v>
      </c>
      <c r="O101" s="1" t="s">
        <v>46</v>
      </c>
    </row>
    <row r="102" spans="2:15" x14ac:dyDescent="0.3">
      <c r="B102" s="1" t="s">
        <v>24</v>
      </c>
      <c r="C102" s="1" t="str">
        <f>"1차"</f>
        <v>1차</v>
      </c>
      <c r="D102" s="1" t="str">
        <f>"0127X52300"</f>
        <v>0127X52300</v>
      </c>
      <c r="E102" s="1" t="s">
        <v>10</v>
      </c>
      <c r="F102" s="1" t="str">
        <f>"10.89.245.137"</f>
        <v>10.89.245.137</v>
      </c>
      <c r="G102" s="1" t="str">
        <f>"0127X523"</f>
        <v>0127X523</v>
      </c>
      <c r="H102" s="1" t="str">
        <f>"제기간 40R3"</f>
        <v>제기간 40R3</v>
      </c>
      <c r="I102" s="1" t="s">
        <v>8</v>
      </c>
      <c r="J102" s="1" t="str">
        <f>"40/40"</f>
        <v>40/40</v>
      </c>
      <c r="K102" s="1" t="str">
        <f t="shared" si="10"/>
        <v>2026-07-29 13:18:01</v>
      </c>
      <c r="L102" s="1" t="str">
        <f>"2014-11-20 10:08:26"</f>
        <v>2014-11-20 10:08:26</v>
      </c>
      <c r="M102" s="1" t="s">
        <v>45</v>
      </c>
      <c r="N102" s="1" t="s">
        <v>38</v>
      </c>
      <c r="O102" s="1" t="s">
        <v>46</v>
      </c>
    </row>
    <row r="103" spans="2:15" x14ac:dyDescent="0.3">
      <c r="B103" s="1" t="s">
        <v>24</v>
      </c>
      <c r="C103" s="1" t="str">
        <f>"1차"</f>
        <v>1차</v>
      </c>
      <c r="D103" s="1" t="str">
        <f>"0127X53300"</f>
        <v>0127X53300</v>
      </c>
      <c r="E103" s="1" t="s">
        <v>10</v>
      </c>
      <c r="F103" s="1" t="str">
        <f>"10.89.245.133"</f>
        <v>10.89.245.133</v>
      </c>
      <c r="G103" s="1" t="str">
        <f>"0127X533"</f>
        <v>0127X533</v>
      </c>
      <c r="H103" s="1" t="str">
        <f>"제기간 43"</f>
        <v>제기간 43</v>
      </c>
      <c r="I103" s="1" t="s">
        <v>8</v>
      </c>
      <c r="J103" s="1" t="str">
        <f>"25/25"</f>
        <v>25/25</v>
      </c>
      <c r="K103" s="1" t="str">
        <f t="shared" si="10"/>
        <v>2026-07-29 13:18:01</v>
      </c>
      <c r="L103" s="1" t="str">
        <f>"2015-08-04 13:59:45"</f>
        <v>2015-08-04 13:59:45</v>
      </c>
      <c r="M103" s="1" t="s">
        <v>45</v>
      </c>
      <c r="N103" s="1" t="s">
        <v>38</v>
      </c>
      <c r="O103" s="1" t="s">
        <v>46</v>
      </c>
    </row>
    <row r="104" spans="2:15" x14ac:dyDescent="0.3">
      <c r="B104" s="1" t="s">
        <v>24</v>
      </c>
      <c r="C104" s="1" t="str">
        <f>"1차"</f>
        <v>1차</v>
      </c>
      <c r="D104" s="1" t="str">
        <f>"0127X54300"</f>
        <v>0127X54300</v>
      </c>
      <c r="E104" s="1" t="s">
        <v>14</v>
      </c>
      <c r="F104" s="1" t="str">
        <f>"10.89.245.131"</f>
        <v>10.89.245.131</v>
      </c>
      <c r="G104" s="1" t="str">
        <f>"0127X543"</f>
        <v>0127X543</v>
      </c>
      <c r="H104" s="1" t="str">
        <f>"제기간 44"</f>
        <v>제기간 44</v>
      </c>
      <c r="I104" s="1" t="s">
        <v>8</v>
      </c>
      <c r="J104" s="1" t="str">
        <f>"0/0"</f>
        <v>0/0</v>
      </c>
      <c r="K104" s="1" t="str">
        <f>"2026-07-29 13:18:02"</f>
        <v>2026-07-29 13:18:02</v>
      </c>
      <c r="L104" s="1" t="str">
        <f>"2015-08-04 14:07:02"</f>
        <v>2015-08-04 14:07:02</v>
      </c>
      <c r="M104" s="1" t="s">
        <v>45</v>
      </c>
      <c r="N104" s="1" t="s">
        <v>38</v>
      </c>
      <c r="O104" s="1" t="s">
        <v>44</v>
      </c>
    </row>
    <row r="105" spans="2:15" x14ac:dyDescent="0.3">
      <c r="B105" s="1" t="s">
        <v>24</v>
      </c>
      <c r="C105" s="1" t="str">
        <f>"4차"</f>
        <v>4차</v>
      </c>
      <c r="D105" s="1" t="str">
        <f>"0127X61244"</f>
        <v>0127X61244</v>
      </c>
      <c r="E105" s="1" t="s">
        <v>10</v>
      </c>
      <c r="F105" s="1" t="str">
        <f>"10.10.55.42"</f>
        <v>10.10.55.42</v>
      </c>
      <c r="G105" s="1" t="str">
        <f>"0127X612"</f>
        <v>0127X612</v>
      </c>
      <c r="H105" s="1" t="str">
        <f>"고대간 32R9"</f>
        <v>고대간 32R9</v>
      </c>
      <c r="I105" s="1" t="s">
        <v>8</v>
      </c>
      <c r="J105" s="1" t="str">
        <f>"33/33"</f>
        <v>33/33</v>
      </c>
      <c r="K105" s="1" t="str">
        <f>"2026-07-29 13:18:02"</f>
        <v>2026-07-29 13:18:02</v>
      </c>
      <c r="L105" s="1" t="str">
        <f>"2019-10-14 15:26:50"</f>
        <v>2019-10-14 15:26:50</v>
      </c>
      <c r="M105" s="1" t="s">
        <v>1</v>
      </c>
      <c r="N105" s="1" t="s">
        <v>38</v>
      </c>
      <c r="O105" s="1" t="s">
        <v>46</v>
      </c>
    </row>
    <row r="106" spans="2:15" x14ac:dyDescent="0.3">
      <c r="B106" s="1" t="s">
        <v>24</v>
      </c>
      <c r="C106" s="1" t="str">
        <f>"6차"</f>
        <v>6차</v>
      </c>
      <c r="D106" s="1" t="str">
        <f>"0127X6536S"</f>
        <v>0127X6536S</v>
      </c>
      <c r="E106" s="1" t="s">
        <v>10</v>
      </c>
      <c r="F106" s="1" t="str">
        <f>"fde1:103:4:9116:0:0:0:2"</f>
        <v>fde1:103:4:9116:0:0:0:2</v>
      </c>
      <c r="G106" s="1" t="str">
        <f>"0127X653"</f>
        <v>0127X653</v>
      </c>
      <c r="H106" s="1" t="str">
        <f>"제기간 47"</f>
        <v>제기간 47</v>
      </c>
      <c r="I106" s="1" t="s">
        <v>15</v>
      </c>
      <c r="J106" s="1" t="str">
        <f>"45/45"</f>
        <v>45/45</v>
      </c>
      <c r="K106" s="1" t="str">
        <f>"2026-07-29 14:20:42"</f>
        <v>2026-07-29 14:20:42</v>
      </c>
      <c r="L106" s="1" t="str">
        <f>"2025-02-18 15:48:43"</f>
        <v>2025-02-18 15:48:43</v>
      </c>
      <c r="M106" s="1" t="s">
        <v>4</v>
      </c>
      <c r="N106" s="1" t="s">
        <v>38</v>
      </c>
      <c r="O106" s="1" t="s">
        <v>46</v>
      </c>
    </row>
    <row r="107" spans="2:15" x14ac:dyDescent="0.3">
      <c r="B107" s="1" t="s">
        <v>24</v>
      </c>
      <c r="C107" s="1" t="str">
        <f>"4차"</f>
        <v>4차</v>
      </c>
      <c r="D107" s="1" t="str">
        <f>"0127X70144"</f>
        <v>0127X70144</v>
      </c>
      <c r="E107" s="1" t="s">
        <v>10</v>
      </c>
      <c r="F107" s="1" t="str">
        <f>"10.10.60.82"</f>
        <v>10.10.60.82</v>
      </c>
      <c r="G107" s="1" t="str">
        <f>"0127X701"</f>
        <v>0127X701</v>
      </c>
      <c r="H107" s="1" t="str">
        <f>"고대간 37R4R3L3"</f>
        <v>고대간 37R4R3L3</v>
      </c>
      <c r="I107" s="1" t="s">
        <v>8</v>
      </c>
      <c r="J107" s="1" t="str">
        <f>"71/71"</f>
        <v>71/71</v>
      </c>
      <c r="K107" s="1" t="str">
        <f t="shared" ref="K107:K112" si="11">"2026-07-29 13:18:02"</f>
        <v>2026-07-29 13:18:02</v>
      </c>
      <c r="L107" s="1" t="str">
        <f>"2019-11-22 14:33:04"</f>
        <v>2019-11-22 14:33:04</v>
      </c>
      <c r="M107" s="1" t="s">
        <v>1</v>
      </c>
      <c r="N107" s="1" t="s">
        <v>38</v>
      </c>
      <c r="O107" s="1" t="s">
        <v>46</v>
      </c>
    </row>
    <row r="108" spans="2:15" x14ac:dyDescent="0.3">
      <c r="B108" s="1" t="s">
        <v>24</v>
      </c>
      <c r="C108" s="1" t="str">
        <f>"4차"</f>
        <v>4차</v>
      </c>
      <c r="D108" s="1" t="str">
        <f>"0127X71144"</f>
        <v>0127X71144</v>
      </c>
      <c r="E108" s="1" t="s">
        <v>10</v>
      </c>
      <c r="F108" s="1" t="str">
        <f>"10.10.61.26"</f>
        <v>10.10.61.26</v>
      </c>
      <c r="G108" s="1" t="str">
        <f>"0127X711"</f>
        <v>0127X711</v>
      </c>
      <c r="H108" s="1" t="str">
        <f>"고대간 37R4R3L5"</f>
        <v>고대간 37R4R3L5</v>
      </c>
      <c r="I108" s="1" t="s">
        <v>8</v>
      </c>
      <c r="J108" s="1" t="str">
        <f>"28/28"</f>
        <v>28/28</v>
      </c>
      <c r="K108" s="1" t="str">
        <f t="shared" si="11"/>
        <v>2026-07-29 13:18:02</v>
      </c>
      <c r="L108" s="1" t="str">
        <f>"2019-11-22 14:23:59"</f>
        <v>2019-11-22 14:23:59</v>
      </c>
      <c r="M108" s="1" t="s">
        <v>1</v>
      </c>
      <c r="N108" s="1" t="s">
        <v>38</v>
      </c>
      <c r="O108" s="1" t="s">
        <v>46</v>
      </c>
    </row>
    <row r="109" spans="2:15" x14ac:dyDescent="0.3">
      <c r="B109" s="1" t="s">
        <v>24</v>
      </c>
      <c r="C109" s="1" t="str">
        <f>"4차"</f>
        <v>4차</v>
      </c>
      <c r="D109" s="1" t="str">
        <f>"0127X71244"</f>
        <v>0127X71244</v>
      </c>
      <c r="E109" s="1" t="s">
        <v>10</v>
      </c>
      <c r="F109" s="1" t="str">
        <f>"10.10.113.170"</f>
        <v>10.10.113.170</v>
      </c>
      <c r="G109" s="1" t="str">
        <f>"0127X712"</f>
        <v>0127X712</v>
      </c>
      <c r="H109" s="1" t="str">
        <f>"고대간 32R6"</f>
        <v>고대간 32R6</v>
      </c>
      <c r="I109" s="1" t="s">
        <v>8</v>
      </c>
      <c r="J109" s="1" t="str">
        <f>"21/21"</f>
        <v>21/21</v>
      </c>
      <c r="K109" s="1" t="str">
        <f t="shared" si="11"/>
        <v>2026-07-29 13:18:02</v>
      </c>
      <c r="L109" s="1" t="str">
        <f>"2019-09-18 18:48:41"</f>
        <v>2019-09-18 18:48:41</v>
      </c>
      <c r="M109" s="1" t="s">
        <v>1</v>
      </c>
      <c r="N109" s="1" t="s">
        <v>38</v>
      </c>
      <c r="O109" s="1" t="s">
        <v>46</v>
      </c>
    </row>
    <row r="110" spans="2:15" x14ac:dyDescent="0.3">
      <c r="B110" s="1" t="s">
        <v>24</v>
      </c>
      <c r="C110" s="1" t="str">
        <f>"4차"</f>
        <v>4차</v>
      </c>
      <c r="D110" s="1" t="str">
        <f>"0127X72144"</f>
        <v>0127X72144</v>
      </c>
      <c r="E110" s="1" t="s">
        <v>10</v>
      </c>
      <c r="F110" s="1" t="str">
        <f>"10.10.55.26"</f>
        <v>10.10.55.26</v>
      </c>
      <c r="G110" s="1" t="str">
        <f>"0127X721"</f>
        <v>0127X721</v>
      </c>
      <c r="H110" s="1" t="str">
        <f>"고대간 32R7"</f>
        <v>고대간 32R7</v>
      </c>
      <c r="I110" s="1" t="s">
        <v>8</v>
      </c>
      <c r="J110" s="1" t="str">
        <f>"58/61"</f>
        <v>58/61</v>
      </c>
      <c r="K110" s="1" t="str">
        <f t="shared" si="11"/>
        <v>2026-07-29 13:18:02</v>
      </c>
      <c r="L110" s="1" t="str">
        <f>"2019-09-18 15:03:04"</f>
        <v>2019-09-18 15:03:04</v>
      </c>
      <c r="M110" s="1" t="s">
        <v>1</v>
      </c>
      <c r="N110" s="1" t="s">
        <v>38</v>
      </c>
      <c r="O110" s="1" t="s">
        <v>46</v>
      </c>
    </row>
    <row r="111" spans="2:15" x14ac:dyDescent="0.3">
      <c r="B111" s="1" t="s">
        <v>24</v>
      </c>
      <c r="C111" s="1" t="str">
        <f>"4차"</f>
        <v>4차</v>
      </c>
      <c r="D111" s="1" t="str">
        <f>"0127X73444"</f>
        <v>0127X73444</v>
      </c>
      <c r="E111" s="1" t="s">
        <v>10</v>
      </c>
      <c r="F111" s="1" t="str">
        <f>"10.10.55.34"</f>
        <v>10.10.55.34</v>
      </c>
      <c r="G111" s="1" t="str">
        <f>"0127X734"</f>
        <v>0127X734</v>
      </c>
      <c r="H111" s="1" t="str">
        <f>"고대간 32R7R1"</f>
        <v>고대간 32R7R1</v>
      </c>
      <c r="I111" s="1" t="s">
        <v>8</v>
      </c>
      <c r="J111" s="1" t="str">
        <f>"55/55"</f>
        <v>55/55</v>
      </c>
      <c r="K111" s="1" t="str">
        <f t="shared" si="11"/>
        <v>2026-07-29 13:18:02</v>
      </c>
      <c r="L111" s="1" t="str">
        <f>"2019-09-18 14:59:58"</f>
        <v>2019-09-18 14:59:58</v>
      </c>
      <c r="M111" s="1" t="s">
        <v>1</v>
      </c>
      <c r="N111" s="1" t="s">
        <v>38</v>
      </c>
      <c r="O111" s="1" t="s">
        <v>46</v>
      </c>
    </row>
    <row r="112" spans="2:15" x14ac:dyDescent="0.3">
      <c r="B112" s="1" t="s">
        <v>24</v>
      </c>
      <c r="C112" s="1" t="str">
        <f>"1차"</f>
        <v>1차</v>
      </c>
      <c r="D112" s="1" t="str">
        <f>"0127X74100"</f>
        <v>0127X74100</v>
      </c>
      <c r="E112" s="1" t="s">
        <v>10</v>
      </c>
      <c r="F112" s="1" t="str">
        <f>"10.89.245.134"</f>
        <v>10.89.245.134</v>
      </c>
      <c r="G112" s="1" t="str">
        <f>"0127X741"</f>
        <v>0127X741</v>
      </c>
      <c r="H112" s="1" t="str">
        <f>"고대간 23R8L3R1"</f>
        <v>고대간 23R8L3R1</v>
      </c>
      <c r="I112" s="1" t="s">
        <v>8</v>
      </c>
      <c r="J112" s="1" t="str">
        <f>"179/180"</f>
        <v>179/180</v>
      </c>
      <c r="K112" s="1" t="str">
        <f t="shared" si="11"/>
        <v>2026-07-29 13:18:02</v>
      </c>
      <c r="L112" s="1" t="str">
        <f>"2015-08-04 15:52:27"</f>
        <v>2015-08-04 15:52:27</v>
      </c>
      <c r="M112" s="1" t="s">
        <v>45</v>
      </c>
      <c r="N112" s="1" t="s">
        <v>38</v>
      </c>
      <c r="O112" s="1" t="s">
        <v>46</v>
      </c>
    </row>
    <row r="113" spans="2:15" x14ac:dyDescent="0.3">
      <c r="B113" s="1" t="s">
        <v>24</v>
      </c>
      <c r="C113" s="1" t="str">
        <f>"1차"</f>
        <v>1차</v>
      </c>
      <c r="D113" s="1" t="str">
        <f>"0127X76200"</f>
        <v>0127X76200</v>
      </c>
      <c r="E113" s="1" t="s">
        <v>10</v>
      </c>
      <c r="F113" s="1" t="str">
        <f>"10.125.8.74"</f>
        <v>10.125.8.74</v>
      </c>
      <c r="G113" s="1" t="str">
        <f>"0127X762"</f>
        <v>0127X762</v>
      </c>
      <c r="H113" s="1" t="str">
        <f>"고대간 22R10"</f>
        <v>고대간 22R10</v>
      </c>
      <c r="I113" s="1" t="s">
        <v>8</v>
      </c>
      <c r="J113" s="1" t="str">
        <f>"23/23"</f>
        <v>23/23</v>
      </c>
      <c r="K113" s="1" t="str">
        <f>"2026-07-29 13:18:01"</f>
        <v>2026-07-29 13:18:01</v>
      </c>
      <c r="L113" s="1" t="str">
        <f>"2022-06-02 16:09:16"</f>
        <v>2022-06-02 16:09:16</v>
      </c>
      <c r="M113" s="1" t="s">
        <v>45</v>
      </c>
      <c r="N113" s="1" t="s">
        <v>38</v>
      </c>
      <c r="O113" s="1" t="s">
        <v>46</v>
      </c>
    </row>
    <row r="114" spans="2:15" x14ac:dyDescent="0.3">
      <c r="B114" s="1" t="s">
        <v>24</v>
      </c>
      <c r="C114" s="1" t="str">
        <f>"4차"</f>
        <v>4차</v>
      </c>
      <c r="D114" s="1" t="str">
        <f>"0127X82244"</f>
        <v>0127X82244</v>
      </c>
      <c r="E114" s="1" t="s">
        <v>10</v>
      </c>
      <c r="F114" s="1" t="str">
        <f>"10.12.132.152"</f>
        <v>10.12.132.152</v>
      </c>
      <c r="G114" s="1" t="str">
        <f>"0127X822"</f>
        <v>0127X822</v>
      </c>
      <c r="H114" s="1" t="str">
        <f>"고대간 32R4R3"</f>
        <v>고대간 32R4R3</v>
      </c>
      <c r="I114" s="1" t="s">
        <v>8</v>
      </c>
      <c r="J114" s="1" t="str">
        <f>"60/60"</f>
        <v>60/60</v>
      </c>
      <c r="K114" s="1" t="str">
        <f>"2026-07-29 13:18:01"</f>
        <v>2026-07-29 13:18:01</v>
      </c>
      <c r="L114" s="1" t="str">
        <f>"2019-09-18 13:51:29"</f>
        <v>2019-09-18 13:51:29</v>
      </c>
      <c r="M114" s="1" t="s">
        <v>0</v>
      </c>
      <c r="N114" s="1" t="s">
        <v>38</v>
      </c>
      <c r="O114" s="1" t="s">
        <v>46</v>
      </c>
    </row>
    <row r="115" spans="2:15" x14ac:dyDescent="0.3">
      <c r="B115" s="1" t="s">
        <v>24</v>
      </c>
      <c r="C115" s="1" t="str">
        <f>"4차"</f>
        <v>4차</v>
      </c>
      <c r="D115" s="1" t="str">
        <f>"0127X83544"</f>
        <v>0127X83544</v>
      </c>
      <c r="E115" s="1" t="s">
        <v>10</v>
      </c>
      <c r="F115" s="1" t="str">
        <f>"10.12.138.116"</f>
        <v>10.12.138.116</v>
      </c>
      <c r="G115" s="1" t="str">
        <f>"0127X835"</f>
        <v>0127X835</v>
      </c>
      <c r="H115" s="1" t="str">
        <f>"고대간 23R8L3L1"</f>
        <v>고대간 23R8L3L1</v>
      </c>
      <c r="I115" s="1" t="s">
        <v>8</v>
      </c>
      <c r="J115" s="1" t="str">
        <f>"33/33"</f>
        <v>33/33</v>
      </c>
      <c r="K115" s="1" t="str">
        <f>"2026-07-29 13:18:03"</f>
        <v>2026-07-29 13:18:03</v>
      </c>
      <c r="L115" s="1" t="str">
        <f>"2021-07-27 12:20:14"</f>
        <v>2021-07-27 12:20:14</v>
      </c>
      <c r="M115" s="1" t="s">
        <v>0</v>
      </c>
      <c r="N115" s="1" t="s">
        <v>38</v>
      </c>
      <c r="O115" s="1" t="s">
        <v>46</v>
      </c>
    </row>
    <row r="116" spans="2:15" x14ac:dyDescent="0.3">
      <c r="B116" s="1" t="s">
        <v>24</v>
      </c>
      <c r="C116" s="1" t="str">
        <f>"4차"</f>
        <v>4차</v>
      </c>
      <c r="D116" s="1" t="str">
        <f>"0127X84344"</f>
        <v>0127X84344</v>
      </c>
      <c r="E116" s="1" t="s">
        <v>10</v>
      </c>
      <c r="F116" s="1" t="str">
        <f>"10.10.54.210"</f>
        <v>10.10.54.210</v>
      </c>
      <c r="G116" s="1" t="str">
        <f>"0127X843"</f>
        <v>0127X843</v>
      </c>
      <c r="H116" s="1" t="str">
        <f>"고대간 23R8L3"</f>
        <v>고대간 23R8L3</v>
      </c>
      <c r="I116" s="1" t="s">
        <v>8</v>
      </c>
      <c r="J116" s="1" t="str">
        <f>"106/106"</f>
        <v>106/106</v>
      </c>
      <c r="K116" s="1" t="str">
        <f>"2026-07-29 13:18:01"</f>
        <v>2026-07-29 13:18:01</v>
      </c>
      <c r="L116" s="1" t="str">
        <f>"2019-10-14 15:34:35"</f>
        <v>2019-10-14 15:34:35</v>
      </c>
      <c r="M116" s="1" t="s">
        <v>1</v>
      </c>
      <c r="N116" s="1" t="s">
        <v>38</v>
      </c>
      <c r="O116" s="1" t="s">
        <v>46</v>
      </c>
    </row>
    <row r="117" spans="2:15" x14ac:dyDescent="0.3">
      <c r="B117" s="1" t="s">
        <v>24</v>
      </c>
      <c r="C117" s="1" t="str">
        <f>"1차"</f>
        <v>1차</v>
      </c>
      <c r="D117" s="1" t="str">
        <f>"0127X85100"</f>
        <v>0127X85100</v>
      </c>
      <c r="E117" s="1" t="s">
        <v>10</v>
      </c>
      <c r="F117" s="1" t="str">
        <f>"10.125.8.66"</f>
        <v>10.125.8.66</v>
      </c>
      <c r="G117" s="1" t="str">
        <f>"0127X851"</f>
        <v>0127X851</v>
      </c>
      <c r="H117" s="1" t="str">
        <f>"고대간 22R6"</f>
        <v>고대간 22R6</v>
      </c>
      <c r="I117" s="1" t="s">
        <v>8</v>
      </c>
      <c r="J117" s="1" t="str">
        <f>"32/32"</f>
        <v>32/32</v>
      </c>
      <c r="K117" s="1" t="str">
        <f>"2026-07-29 13:18:01"</f>
        <v>2026-07-29 13:18:01</v>
      </c>
      <c r="L117" s="1" t="str">
        <f>"2015-09-11 14:10:00"</f>
        <v>2015-09-11 14:10:00</v>
      </c>
      <c r="M117" s="1" t="s">
        <v>45</v>
      </c>
      <c r="N117" s="1" t="s">
        <v>38</v>
      </c>
      <c r="O117" s="1" t="s">
        <v>46</v>
      </c>
    </row>
    <row r="118" spans="2:15" x14ac:dyDescent="0.3">
      <c r="B118" s="1" t="s">
        <v>24</v>
      </c>
      <c r="C118" s="1" t="str">
        <f>"4차"</f>
        <v>4차</v>
      </c>
      <c r="D118" s="1" t="str">
        <f>"0127X85444"</f>
        <v>0127X85444</v>
      </c>
      <c r="E118" s="1" t="s">
        <v>10</v>
      </c>
      <c r="F118" s="1" t="str">
        <f>"10.12.138.111"</f>
        <v>10.12.138.111</v>
      </c>
      <c r="G118" s="1" t="str">
        <f>"0127X854"</f>
        <v>0127X854</v>
      </c>
      <c r="H118" s="1" t="str">
        <f>"고대간 23R8L1"</f>
        <v>고대간 23R8L1</v>
      </c>
      <c r="I118" s="1" t="s">
        <v>8</v>
      </c>
      <c r="J118" s="1" t="str">
        <f>"24/24"</f>
        <v>24/24</v>
      </c>
      <c r="K118" s="1" t="str">
        <f>"2026-07-29 13:18:01"</f>
        <v>2026-07-29 13:18:01</v>
      </c>
      <c r="L118" s="1" t="str">
        <f>"2021-07-27 12:19:29"</f>
        <v>2021-07-27 12:19:29</v>
      </c>
      <c r="M118" s="1" t="s">
        <v>0</v>
      </c>
      <c r="N118" s="1" t="s">
        <v>38</v>
      </c>
      <c r="O118" s="1" t="s">
        <v>46</v>
      </c>
    </row>
    <row r="119" spans="2:15" x14ac:dyDescent="0.3">
      <c r="B119" s="1" t="s">
        <v>24</v>
      </c>
      <c r="C119" s="1" t="str">
        <f>"1차"</f>
        <v>1차</v>
      </c>
      <c r="D119" s="1" t="str">
        <f>"0127X88100"</f>
        <v>0127X88100</v>
      </c>
      <c r="E119" s="1" t="s">
        <v>10</v>
      </c>
      <c r="F119" s="1" t="str">
        <f>"10.89.255.26"</f>
        <v>10.89.255.26</v>
      </c>
      <c r="G119" s="1" t="str">
        <f>"0127X881"</f>
        <v>0127X881</v>
      </c>
      <c r="H119" s="1" t="str">
        <f>"고대간 22R13"</f>
        <v>고대간 22R13</v>
      </c>
      <c r="I119" s="1" t="s">
        <v>8</v>
      </c>
      <c r="J119" s="1" t="str">
        <f>"48/48"</f>
        <v>48/48</v>
      </c>
      <c r="K119" s="1" t="str">
        <f>"2026-07-29 13:18:01"</f>
        <v>2026-07-29 13:18:01</v>
      </c>
      <c r="L119" s="1" t="str">
        <f>"2015-02-06 09:38:15"</f>
        <v>2015-02-06 09:38:15</v>
      </c>
      <c r="M119" s="1" t="s">
        <v>45</v>
      </c>
      <c r="N119" s="1" t="s">
        <v>38</v>
      </c>
      <c r="O119" s="1" t="s">
        <v>46</v>
      </c>
    </row>
    <row r="120" spans="2:15" x14ac:dyDescent="0.3">
      <c r="B120" s="1" t="s">
        <v>24</v>
      </c>
      <c r="C120" s="1" t="str">
        <f>"4차"</f>
        <v>4차</v>
      </c>
      <c r="D120" s="1" t="str">
        <f>"0127X90144"</f>
        <v>0127X90144</v>
      </c>
      <c r="E120" s="1" t="s">
        <v>10</v>
      </c>
      <c r="F120" s="1" t="str">
        <f>"10.10.54.250"</f>
        <v>10.10.54.250</v>
      </c>
      <c r="G120" s="1" t="str">
        <f>"0127X901"</f>
        <v>0127X901</v>
      </c>
      <c r="H120" s="1" t="str">
        <f>"고대간 32R2"</f>
        <v>고대간 32R2</v>
      </c>
      <c r="I120" s="1" t="s">
        <v>8</v>
      </c>
      <c r="J120" s="1" t="str">
        <f>"35/36"</f>
        <v>35/36</v>
      </c>
      <c r="K120" s="1" t="str">
        <f>"2026-07-29 13:18:01"</f>
        <v>2026-07-29 13:18:01</v>
      </c>
      <c r="L120" s="1" t="str">
        <f>"2019-10-14 15:33:05"</f>
        <v>2019-10-14 15:33:05</v>
      </c>
      <c r="M120" s="1" t="s">
        <v>1</v>
      </c>
      <c r="N120" s="1" t="s">
        <v>38</v>
      </c>
      <c r="O120" s="1" t="s">
        <v>46</v>
      </c>
    </row>
    <row r="121" spans="2:15" x14ac:dyDescent="0.3">
      <c r="B121" s="1" t="s">
        <v>24</v>
      </c>
      <c r="C121" s="1" t="str">
        <f>"4차"</f>
        <v>4차</v>
      </c>
      <c r="D121" s="1" t="str">
        <f>"0127X91244"</f>
        <v>0127X91244</v>
      </c>
      <c r="E121" s="1" t="s">
        <v>10</v>
      </c>
      <c r="F121" s="1" t="str">
        <f>"10.12.134.146"</f>
        <v>10.12.134.146</v>
      </c>
      <c r="G121" s="1" t="str">
        <f>"0127X912"</f>
        <v>0127X912</v>
      </c>
      <c r="H121" s="1" t="str">
        <f>"고대간 32R4"</f>
        <v>고대간 32R4</v>
      </c>
      <c r="I121" s="1" t="s">
        <v>8</v>
      </c>
      <c r="J121" s="1" t="str">
        <f>"35/35"</f>
        <v>35/35</v>
      </c>
      <c r="K121" s="1" t="str">
        <f>"2026-07-27 18:22:34"</f>
        <v>2026-07-27 18:22:34</v>
      </c>
      <c r="L121" s="1" t="str">
        <f>"2019-09-18 11:53:05"</f>
        <v>2019-09-18 11:53:05</v>
      </c>
      <c r="M121" s="1" t="s">
        <v>0</v>
      </c>
      <c r="N121" s="1" t="s">
        <v>38</v>
      </c>
      <c r="O121" s="1" t="s">
        <v>46</v>
      </c>
    </row>
    <row r="122" spans="2:15" x14ac:dyDescent="0.3">
      <c r="B122" s="1" t="s">
        <v>24</v>
      </c>
      <c r="C122" s="1" t="str">
        <f>"4차"</f>
        <v>4차</v>
      </c>
      <c r="D122" s="1" t="str">
        <f>"0127X92444"</f>
        <v>0127X92444</v>
      </c>
      <c r="E122" s="1" t="s">
        <v>10</v>
      </c>
      <c r="F122" s="1" t="str">
        <f>"10.10.55.10"</f>
        <v>10.10.55.10</v>
      </c>
      <c r="G122" s="1" t="str">
        <f>"0127X924"</f>
        <v>0127X924</v>
      </c>
      <c r="H122" s="1" t="str">
        <f>"고대간 32R4R2"</f>
        <v>고대간 32R4R2</v>
      </c>
      <c r="I122" s="1" t="s">
        <v>8</v>
      </c>
      <c r="J122" s="1" t="str">
        <f>"40/40"</f>
        <v>40/40</v>
      </c>
      <c r="K122" s="1" t="str">
        <f>"2026-07-29 13:18:01"</f>
        <v>2026-07-29 13:18:01</v>
      </c>
      <c r="L122" s="1" t="str">
        <f>"2019-09-18 13:34:13"</f>
        <v>2019-09-18 13:34:13</v>
      </c>
      <c r="M122" s="1" t="s">
        <v>1</v>
      </c>
      <c r="N122" s="1" t="s">
        <v>38</v>
      </c>
      <c r="O122" s="1" t="s">
        <v>46</v>
      </c>
    </row>
    <row r="123" spans="2:15" x14ac:dyDescent="0.3">
      <c r="B123" s="1" t="s">
        <v>24</v>
      </c>
      <c r="C123" s="1" t="str">
        <f>"4차"</f>
        <v>4차</v>
      </c>
      <c r="D123" s="1" t="str">
        <f>"0127X94144"</f>
        <v>0127X94144</v>
      </c>
      <c r="E123" s="1" t="s">
        <v>10</v>
      </c>
      <c r="F123" s="1" t="str">
        <f>"10.10.61.130"</f>
        <v>10.10.61.130</v>
      </c>
      <c r="G123" s="1" t="str">
        <f>"0127X941"</f>
        <v>0127X941</v>
      </c>
      <c r="H123" s="1" t="str">
        <f>"고대간 23R5L1"</f>
        <v>고대간 23R5L1</v>
      </c>
      <c r="I123" s="1" t="s">
        <v>8</v>
      </c>
      <c r="J123" s="1" t="str">
        <f>"133/134"</f>
        <v>133/134</v>
      </c>
      <c r="K123" s="1" t="str">
        <f>"2026-07-29 13:18:01"</f>
        <v>2026-07-29 13:18:01</v>
      </c>
      <c r="L123" s="1" t="str">
        <f>"2019-12-11 17:48:54"</f>
        <v>2019-12-11 17:48:54</v>
      </c>
      <c r="M123" s="1" t="s">
        <v>1</v>
      </c>
      <c r="N123" s="1" t="s">
        <v>38</v>
      </c>
      <c r="O123" s="1" t="s">
        <v>46</v>
      </c>
    </row>
    <row r="124" spans="2:15" x14ac:dyDescent="0.3">
      <c r="B124" s="1" t="s">
        <v>24</v>
      </c>
      <c r="C124" s="1" t="str">
        <f>"4차"</f>
        <v>4차</v>
      </c>
      <c r="D124" s="1" t="str">
        <f>"0127X94344"</f>
        <v>0127X94344</v>
      </c>
      <c r="E124" s="1" t="s">
        <v>10</v>
      </c>
      <c r="F124" s="1" t="str">
        <f>"10.89.245.136"</f>
        <v>10.89.245.136</v>
      </c>
      <c r="G124" s="1" t="str">
        <f>"0127X943"</f>
        <v>0127X943</v>
      </c>
      <c r="H124" s="1" t="str">
        <f>"고대간 26R3"</f>
        <v>고대간 26R3</v>
      </c>
      <c r="I124" s="1" t="s">
        <v>8</v>
      </c>
      <c r="J124" s="1" t="str">
        <f>"7/7"</f>
        <v>7/7</v>
      </c>
      <c r="K124" s="1" t="str">
        <f>"2026-07-29 13:18:01"</f>
        <v>2026-07-29 13:18:01</v>
      </c>
      <c r="L124" s="1" t="str">
        <f>"2019-09-18 11:07:42"</f>
        <v>2019-09-18 11:07:42</v>
      </c>
      <c r="M124" s="1" t="s">
        <v>45</v>
      </c>
      <c r="N124" s="1" t="s">
        <v>38</v>
      </c>
      <c r="O124" s="1" t="s">
        <v>46</v>
      </c>
    </row>
    <row r="125" spans="2:15" x14ac:dyDescent="0.3">
      <c r="B125" s="1" t="s">
        <v>24</v>
      </c>
      <c r="C125" s="1" t="str">
        <f>"6차"</f>
        <v>6차</v>
      </c>
      <c r="D125" s="1" t="str">
        <f>"0127X9736S"</f>
        <v>0127X9736S</v>
      </c>
      <c r="E125" s="1" t="s">
        <v>10</v>
      </c>
      <c r="F125" s="1" t="str">
        <f>"fde1:103:4:911a:0:0:0:2"</f>
        <v>fde1:103:4:911a:0:0:0:2</v>
      </c>
      <c r="G125" s="1" t="str">
        <f>"0127X973"</f>
        <v>0127X973</v>
      </c>
      <c r="H125" s="1" t="str">
        <f>"고대간 22R4R2"</f>
        <v>고대간 22R4R2</v>
      </c>
      <c r="I125" s="1" t="s">
        <v>15</v>
      </c>
      <c r="J125" s="1" t="str">
        <f>"26/26"</f>
        <v>26/26</v>
      </c>
      <c r="K125" s="1" t="str">
        <f>"2026-07-29 14:20:20"</f>
        <v>2026-07-29 14:20:20</v>
      </c>
      <c r="L125" s="1" t="str">
        <f>"2025-02-18 15:48:17"</f>
        <v>2025-02-18 15:48:17</v>
      </c>
      <c r="M125" s="1" t="s">
        <v>4</v>
      </c>
      <c r="N125" s="1" t="s">
        <v>38</v>
      </c>
      <c r="O125" s="1" t="s">
        <v>46</v>
      </c>
    </row>
    <row r="126" spans="2:15" x14ac:dyDescent="0.3">
      <c r="B126" s="1" t="s">
        <v>24</v>
      </c>
      <c r="C126" s="1" t="str">
        <f>"6차"</f>
        <v>6차</v>
      </c>
      <c r="D126" s="1" t="str">
        <f>"0127X9826S"</f>
        <v>0127X9826S</v>
      </c>
      <c r="E126" s="1" t="s">
        <v>10</v>
      </c>
      <c r="F126" s="1" t="str">
        <f>"fde1:103:4:911c:0:0:0:2"</f>
        <v>fde1:103:4:911c:0:0:0:2</v>
      </c>
      <c r="G126" s="1" t="str">
        <f>"0127X982"</f>
        <v>0127X982</v>
      </c>
      <c r="H126" s="1" t="str">
        <f>"고대간 22R15"</f>
        <v>고대간 22R15</v>
      </c>
      <c r="I126" s="1" t="s">
        <v>15</v>
      </c>
      <c r="J126" s="1" t="str">
        <f>"29/29"</f>
        <v>29/29</v>
      </c>
      <c r="K126" s="1" t="str">
        <f>"2026-07-29 14:20:00"</f>
        <v>2026-07-29 14:20:00</v>
      </c>
      <c r="L126" s="1" t="str">
        <f>"2025-02-18 15:49:11"</f>
        <v>2025-02-18 15:49:11</v>
      </c>
      <c r="M126" s="1" t="s">
        <v>4</v>
      </c>
      <c r="N126" s="1" t="s">
        <v>38</v>
      </c>
      <c r="O126" s="1" t="s">
        <v>46</v>
      </c>
    </row>
    <row r="127" spans="2:15" x14ac:dyDescent="0.3">
      <c r="B127" s="1" t="s">
        <v>24</v>
      </c>
      <c r="C127" s="1" t="str">
        <f>"5-2차"</f>
        <v>5-2차</v>
      </c>
      <c r="D127" s="1" t="str">
        <f>"0127Y4035M"</f>
        <v>0127Y4035M</v>
      </c>
      <c r="E127" s="1" t="s">
        <v>10</v>
      </c>
      <c r="F127" s="1" t="str">
        <f>"fde1:103:4:56cb:0:0:0:2"</f>
        <v>fde1:103:4:56cb:0:0:0:2</v>
      </c>
      <c r="G127" s="1" t="str">
        <f>"0127Y403"</f>
        <v>0127Y403</v>
      </c>
      <c r="H127" s="1" t="str">
        <f>"제기간 15R2R5"</f>
        <v>제기간 15R2R5</v>
      </c>
      <c r="I127" s="1" t="s">
        <v>15</v>
      </c>
      <c r="J127" s="1" t="str">
        <f>"34/35"</f>
        <v>34/35</v>
      </c>
      <c r="K127" s="1" t="str">
        <f>"2026-07-29 14:20:20"</f>
        <v>2026-07-29 14:20:20</v>
      </c>
      <c r="L127" s="1" t="str">
        <f>"2023-09-04 17:20:01"</f>
        <v>2023-09-04 17:20:01</v>
      </c>
      <c r="M127" s="1" t="s">
        <v>4</v>
      </c>
      <c r="N127" s="1" t="s">
        <v>38</v>
      </c>
      <c r="O127" s="1" t="s">
        <v>46</v>
      </c>
    </row>
    <row r="128" spans="2:15" x14ac:dyDescent="0.3">
      <c r="B128" s="1" t="s">
        <v>24</v>
      </c>
      <c r="C128" s="1" t="str">
        <f>"1차"</f>
        <v>1차</v>
      </c>
      <c r="D128" s="1" t="str">
        <f>"0127Y72100"</f>
        <v>0127Y72100</v>
      </c>
      <c r="E128" s="1" t="s">
        <v>10</v>
      </c>
      <c r="F128" s="1" t="str">
        <f>"10.125.119.148"</f>
        <v>10.125.119.148</v>
      </c>
      <c r="G128" s="1" t="str">
        <f>"0127Y721"</f>
        <v>0127Y721</v>
      </c>
      <c r="H128" s="1" t="str">
        <f>"제기간 15R4"</f>
        <v>제기간 15R4</v>
      </c>
      <c r="I128" s="1" t="s">
        <v>8</v>
      </c>
      <c r="J128" s="1" t="str">
        <f>"19/19"</f>
        <v>19/19</v>
      </c>
      <c r="K128" s="1" t="str">
        <f>"2026-07-29 13:18:01"</f>
        <v>2026-07-29 13:18:01</v>
      </c>
      <c r="L128" s="1" t="str">
        <f>"2014-08-13 15:42:08"</f>
        <v>2014-08-13 15:42:08</v>
      </c>
      <c r="M128" s="1" t="s">
        <v>45</v>
      </c>
      <c r="N128" s="1" t="s">
        <v>38</v>
      </c>
      <c r="O128" s="1" t="s">
        <v>46</v>
      </c>
    </row>
    <row r="129" spans="2:15" x14ac:dyDescent="0.3">
      <c r="B129" s="1" t="s">
        <v>24</v>
      </c>
      <c r="C129" s="1" t="str">
        <f>"6차"</f>
        <v>6차</v>
      </c>
      <c r="D129" s="1" t="str">
        <f>"0127Y7316S"</f>
        <v>0127Y7316S</v>
      </c>
      <c r="E129" s="1" t="s">
        <v>10</v>
      </c>
      <c r="F129" s="1" t="str">
        <f>"fde1:103:4:c68c:0:0:0:2"</f>
        <v>fde1:103:4:c68c:0:0:0:2</v>
      </c>
      <c r="G129" s="1" t="str">
        <f>"0127Y731"</f>
        <v>0127Y731</v>
      </c>
      <c r="H129" s="1" t="str">
        <f>"제기간 15R2L2"</f>
        <v>제기간 15R2L2</v>
      </c>
      <c r="I129" s="1" t="s">
        <v>15</v>
      </c>
      <c r="J129" s="1" t="str">
        <f>"132/133"</f>
        <v>132/133</v>
      </c>
      <c r="K129" s="1" t="str">
        <f>"2026-07-29 08:20:29"</f>
        <v>2026-07-29 08:20:29</v>
      </c>
      <c r="L129" s="1" t="str">
        <f>"2024-11-05 14:45:58"</f>
        <v>2024-11-05 14:45:58</v>
      </c>
      <c r="M129" s="1" t="s">
        <v>4</v>
      </c>
      <c r="N129" s="1" t="s">
        <v>38</v>
      </c>
      <c r="O129" s="1" t="s">
        <v>46</v>
      </c>
    </row>
    <row r="130" spans="2:15" x14ac:dyDescent="0.3">
      <c r="B130" s="1" t="s">
        <v>24</v>
      </c>
      <c r="C130" s="1" t="str">
        <f>"1차"</f>
        <v>1차</v>
      </c>
      <c r="D130" s="1" t="str">
        <f>"0127Y73200"</f>
        <v>0127Y73200</v>
      </c>
      <c r="E130" s="1" t="s">
        <v>10</v>
      </c>
      <c r="F130" s="1" t="str">
        <f>"10.125.119.130"</f>
        <v>10.125.119.130</v>
      </c>
      <c r="G130" s="1" t="str">
        <f>"0127Y732"</f>
        <v>0127Y732</v>
      </c>
      <c r="H130" s="1" t="str">
        <f>"제기간 15R2L3"</f>
        <v>제기간 15R2L3</v>
      </c>
      <c r="I130" s="1" t="s">
        <v>8</v>
      </c>
      <c r="J130" s="1" t="str">
        <f>"53/53"</f>
        <v>53/53</v>
      </c>
      <c r="K130" s="1" t="str">
        <f>"2026-07-29 13:18:01"</f>
        <v>2026-07-29 13:18:01</v>
      </c>
      <c r="L130" s="1" t="str">
        <f>"2014-08-13 15:57:17"</f>
        <v>2014-08-13 15:57:17</v>
      </c>
      <c r="M130" s="1" t="s">
        <v>45</v>
      </c>
      <c r="N130" s="1" t="s">
        <v>38</v>
      </c>
      <c r="O130" s="1" t="s">
        <v>46</v>
      </c>
    </row>
    <row r="131" spans="2:15" x14ac:dyDescent="0.3">
      <c r="B131" s="1" t="s">
        <v>24</v>
      </c>
      <c r="C131" s="1" t="str">
        <f>"6차"</f>
        <v>6차</v>
      </c>
      <c r="D131" s="1" t="str">
        <f>"0127Y7416S"</f>
        <v>0127Y7416S</v>
      </c>
      <c r="E131" s="1" t="s">
        <v>14</v>
      </c>
      <c r="F131" s="1" t="str">
        <f>"fde1:103:4:c5e0:0:0:0:2"</f>
        <v>fde1:103:4:c5e0:0:0:0:2</v>
      </c>
      <c r="G131" s="1" t="str">
        <f>"0127Y741"</f>
        <v>0127Y741</v>
      </c>
      <c r="H131" s="1" t="str">
        <f>"제기간 17"</f>
        <v>제기간 17</v>
      </c>
      <c r="I131" s="1" t="s">
        <v>15</v>
      </c>
      <c r="J131" s="1" t="str">
        <f>"0/0"</f>
        <v>0/0</v>
      </c>
      <c r="K131" s="1" t="str">
        <f>"2026-07-29 08:20:01"</f>
        <v>2026-07-29 08:20:01</v>
      </c>
      <c r="L131" s="1" t="str">
        <f>"2024-11-05 14:45:41"</f>
        <v>2024-11-05 14:45:41</v>
      </c>
      <c r="M131" s="1" t="s">
        <v>4</v>
      </c>
      <c r="N131" s="1" t="s">
        <v>38</v>
      </c>
      <c r="O131" s="1" t="s">
        <v>44</v>
      </c>
    </row>
    <row r="132" spans="2:15" x14ac:dyDescent="0.3">
      <c r="B132" s="1" t="s">
        <v>24</v>
      </c>
      <c r="C132" s="1" t="str">
        <f>"1차"</f>
        <v>1차</v>
      </c>
      <c r="D132" s="1" t="str">
        <f>"0127Y82301"</f>
        <v>0127Y82301</v>
      </c>
      <c r="E132" s="1" t="s">
        <v>10</v>
      </c>
      <c r="F132" s="1" t="str">
        <f>"10.125.119.149"</f>
        <v>10.125.119.149</v>
      </c>
      <c r="G132" s="1" t="str">
        <f>"0127Y823"</f>
        <v>0127Y823</v>
      </c>
      <c r="H132" s="1" t="str">
        <f>"제기간 15R5"</f>
        <v>제기간 15R5</v>
      </c>
      <c r="I132" s="1" t="s">
        <v>8</v>
      </c>
      <c r="J132" s="1" t="str">
        <f>"43/43"</f>
        <v>43/43</v>
      </c>
      <c r="K132" s="1" t="str">
        <f>"2026-07-29 13:18:01"</f>
        <v>2026-07-29 13:18:01</v>
      </c>
      <c r="L132" s="1" t="str">
        <f>"2014-11-20 15:57:36"</f>
        <v>2014-11-20 15:57:36</v>
      </c>
      <c r="M132" s="1" t="s">
        <v>45</v>
      </c>
      <c r="N132" s="1" t="s">
        <v>38</v>
      </c>
      <c r="O132" s="1" t="s">
        <v>46</v>
      </c>
    </row>
    <row r="133" spans="2:15" x14ac:dyDescent="0.3">
      <c r="B133" s="1" t="s">
        <v>24</v>
      </c>
      <c r="C133" s="1" t="str">
        <f>"1차"</f>
        <v>1차</v>
      </c>
      <c r="D133" s="1" t="str">
        <f>"0127Y83101"</f>
        <v>0127Y83101</v>
      </c>
      <c r="E133" s="1" t="s">
        <v>10</v>
      </c>
      <c r="F133" s="1" t="str">
        <f>"10.12.128.112"</f>
        <v>10.12.128.112</v>
      </c>
      <c r="G133" s="1" t="str">
        <f>"0127Y831"</f>
        <v>0127Y831</v>
      </c>
      <c r="H133" s="1" t="str">
        <f>"제기간 15R2L4"</f>
        <v>제기간 15R2L4</v>
      </c>
      <c r="I133" s="1" t="s">
        <v>8</v>
      </c>
      <c r="J133" s="1" t="str">
        <f>"24/24"</f>
        <v>24/24</v>
      </c>
      <c r="K133" s="1" t="str">
        <f>"2026-07-29 13:18:01"</f>
        <v>2026-07-29 13:18:01</v>
      </c>
      <c r="L133" s="1" t="str">
        <f>"2014-11-24 14:44:29"</f>
        <v>2014-11-24 14:44:29</v>
      </c>
      <c r="M133" s="1" t="s">
        <v>0</v>
      </c>
      <c r="N133" s="1" t="s">
        <v>38</v>
      </c>
      <c r="O133" s="1" t="s">
        <v>46</v>
      </c>
    </row>
    <row r="134" spans="2:15" x14ac:dyDescent="0.3">
      <c r="B134" s="1" t="s">
        <v>24</v>
      </c>
      <c r="C134" s="1" t="str">
        <f>"6차"</f>
        <v>6차</v>
      </c>
      <c r="D134" s="1" t="str">
        <f>"0127Y9526S"</f>
        <v>0127Y9526S</v>
      </c>
      <c r="E134" s="1" t="s">
        <v>10</v>
      </c>
      <c r="F134" s="1" t="str">
        <f>"fde1:103:4:c65c:0:0:0:2"</f>
        <v>fde1:103:4:c65c:0:0:0:2</v>
      </c>
      <c r="G134" s="1" t="str">
        <f>"0127Y952"</f>
        <v>0127Y952</v>
      </c>
      <c r="H134" s="1" t="str">
        <f>"제기간 22R1"</f>
        <v>제기간 22R1</v>
      </c>
      <c r="I134" s="1" t="s">
        <v>15</v>
      </c>
      <c r="J134" s="1" t="str">
        <f>"62/62"</f>
        <v>62/62</v>
      </c>
      <c r="K134" s="1" t="str">
        <f>"2026-07-29 14:20:21"</f>
        <v>2026-07-29 14:20:21</v>
      </c>
      <c r="L134" s="1" t="str">
        <f>"2024-11-05 14:51:18"</f>
        <v>2024-11-05 14:51:18</v>
      </c>
      <c r="M134" s="1" t="s">
        <v>4</v>
      </c>
      <c r="N134" s="1" t="s">
        <v>38</v>
      </c>
      <c r="O134" s="1" t="s">
        <v>46</v>
      </c>
    </row>
    <row r="135" spans="2:15" x14ac:dyDescent="0.3">
      <c r="B135" s="1" t="s">
        <v>24</v>
      </c>
      <c r="C135" s="1" t="str">
        <f>"1차"</f>
        <v>1차</v>
      </c>
      <c r="D135" s="1" t="str">
        <f>"0127Z02301"</f>
        <v>0127Z02301</v>
      </c>
      <c r="E135" s="1" t="s">
        <v>10</v>
      </c>
      <c r="F135" s="1" t="str">
        <f>"10.12.135.183"</f>
        <v>10.12.135.183</v>
      </c>
      <c r="G135" s="1" t="str">
        <f>"0127Z023"</f>
        <v>0127Z023</v>
      </c>
      <c r="H135" s="1" t="str">
        <f>"제기간 22R6"</f>
        <v>제기간 22R6</v>
      </c>
      <c r="I135" s="1" t="s">
        <v>8</v>
      </c>
      <c r="J135" s="1" t="str">
        <f>"8/8"</f>
        <v>8/8</v>
      </c>
      <c r="K135" s="1" t="str">
        <f>"2026-07-29 13:18:03"</f>
        <v>2026-07-29 13:18:03</v>
      </c>
      <c r="L135" s="1" t="str">
        <f>"2014-11-20 15:43:33"</f>
        <v>2014-11-20 15:43:33</v>
      </c>
      <c r="M135" s="1" t="s">
        <v>0</v>
      </c>
      <c r="N135" s="1" t="s">
        <v>38</v>
      </c>
      <c r="O135" s="1" t="s">
        <v>46</v>
      </c>
    </row>
    <row r="136" spans="2:15" x14ac:dyDescent="0.3">
      <c r="B136" s="1" t="s">
        <v>24</v>
      </c>
      <c r="C136" s="1" t="str">
        <f>"5-1차"</f>
        <v>5-1차</v>
      </c>
      <c r="D136" s="1" t="str">
        <f>"0127Z0435M"</f>
        <v>0127Z0435M</v>
      </c>
      <c r="E136" s="1" t="s">
        <v>10</v>
      </c>
      <c r="F136" s="1" t="str">
        <f>"fde2:104:0:157:0:0:0:2"</f>
        <v>fde2:104:0:157:0:0:0:2</v>
      </c>
      <c r="G136" s="1" t="str">
        <f>"0127Z043"</f>
        <v>0127Z043</v>
      </c>
      <c r="H136" s="1" t="str">
        <f>"제기간 22R4"</f>
        <v>제기간 22R4</v>
      </c>
      <c r="I136" s="1" t="s">
        <v>15</v>
      </c>
      <c r="J136" s="1" t="str">
        <f>"129/129"</f>
        <v>129/129</v>
      </c>
      <c r="K136" s="1" t="str">
        <f>"2026-07-29 14:20:56"</f>
        <v>2026-07-29 14:20:56</v>
      </c>
      <c r="L136" s="1" t="str">
        <f>"2022-09-28 11:01:25"</f>
        <v>2022-09-28 11:01:25</v>
      </c>
      <c r="M136" s="1" t="s">
        <v>42</v>
      </c>
      <c r="N136" s="1" t="s">
        <v>38</v>
      </c>
      <c r="O136" s="1" t="s">
        <v>46</v>
      </c>
    </row>
    <row r="137" spans="2:15" x14ac:dyDescent="0.3">
      <c r="B137" s="1" t="s">
        <v>24</v>
      </c>
      <c r="C137" s="1" t="str">
        <f>"6차"</f>
        <v>6차</v>
      </c>
      <c r="D137" s="1" t="str">
        <f>"0127Z0526S"</f>
        <v>0127Z0526S</v>
      </c>
      <c r="E137" s="1" t="s">
        <v>10</v>
      </c>
      <c r="F137" s="1" t="str">
        <f>"fde1:103:4:c677:0:0:0:2"</f>
        <v>fde1:103:4:c677:0:0:0:2</v>
      </c>
      <c r="G137" s="1" t="str">
        <f>"0127Z052"</f>
        <v>0127Z052</v>
      </c>
      <c r="H137" s="1" t="str">
        <f>"제기간 22R2"</f>
        <v>제기간 22R2</v>
      </c>
      <c r="I137" s="1" t="s">
        <v>15</v>
      </c>
      <c r="J137" s="1" t="str">
        <f>"72/72"</f>
        <v>72/72</v>
      </c>
      <c r="K137" s="1" t="str">
        <f>"2026-07-29 14:20:01"</f>
        <v>2026-07-29 14:20:01</v>
      </c>
      <c r="L137" s="1" t="str">
        <f>"2024-11-05 14:45:14"</f>
        <v>2024-11-05 14:45:14</v>
      </c>
      <c r="M137" s="1" t="s">
        <v>4</v>
      </c>
      <c r="N137" s="1" t="s">
        <v>38</v>
      </c>
      <c r="O137" s="1" t="s">
        <v>46</v>
      </c>
    </row>
    <row r="138" spans="2:15" x14ac:dyDescent="0.3">
      <c r="B138" s="1" t="s">
        <v>24</v>
      </c>
      <c r="C138" s="1" t="str">
        <f>"5-1차"</f>
        <v>5-1차</v>
      </c>
      <c r="D138" s="1" t="str">
        <f>"0127Z1225M"</f>
        <v>0127Z1225M</v>
      </c>
      <c r="E138" s="1" t="s">
        <v>10</v>
      </c>
      <c r="F138" s="1" t="str">
        <f>"fde3:102:1430:2100:0:0:0:5"</f>
        <v>fde3:102:1430:2100:0:0:0:5</v>
      </c>
      <c r="G138" s="1" t="str">
        <f>"0127Z122"</f>
        <v>0127Z122</v>
      </c>
      <c r="H138" s="1" t="str">
        <f>"신안간 7"</f>
        <v>신안간 7</v>
      </c>
      <c r="I138" s="1" t="s">
        <v>15</v>
      </c>
      <c r="J138" s="1" t="str">
        <f>"17/17"</f>
        <v>17/17</v>
      </c>
      <c r="K138" s="1" t="str">
        <f>"2026-07-29 14:20:01"</f>
        <v>2026-07-29 14:20:01</v>
      </c>
      <c r="L138" s="1" t="str">
        <f>"2022-11-18 21:49:57"</f>
        <v>2022-11-18 21:49:57</v>
      </c>
      <c r="M138" s="1" t="s">
        <v>45</v>
      </c>
      <c r="N138" s="1" t="s">
        <v>38</v>
      </c>
      <c r="O138" s="1" t="s">
        <v>46</v>
      </c>
    </row>
    <row r="139" spans="2:15" x14ac:dyDescent="0.3">
      <c r="B139" s="1" t="s">
        <v>24</v>
      </c>
      <c r="C139" s="1" t="str">
        <f>"5-1차"</f>
        <v>5-1차</v>
      </c>
      <c r="D139" s="1" t="str">
        <f>"0127Z1315M"</f>
        <v>0127Z1315M</v>
      </c>
      <c r="E139" s="1" t="s">
        <v>10</v>
      </c>
      <c r="F139" s="1" t="str">
        <f>"fde3:102:1430:2100:0:0:0:6"</f>
        <v>fde3:102:1430:2100:0:0:0:6</v>
      </c>
      <c r="G139" s="1" t="str">
        <f>"0127Z131"</f>
        <v>0127Z131</v>
      </c>
      <c r="H139" s="1" t="str">
        <f>"신안간 6"</f>
        <v>신안간 6</v>
      </c>
      <c r="I139" s="1" t="s">
        <v>15</v>
      </c>
      <c r="J139" s="1" t="str">
        <f>"45/46"</f>
        <v>45/46</v>
      </c>
      <c r="K139" s="1" t="str">
        <f>"2026-07-29 14:20:59"</f>
        <v>2026-07-29 14:20:59</v>
      </c>
      <c r="L139" s="1" t="str">
        <f>"2022-11-18 21:52:10"</f>
        <v>2022-11-18 21:52:10</v>
      </c>
      <c r="M139" s="1" t="s">
        <v>45</v>
      </c>
      <c r="N139" s="1" t="s">
        <v>38</v>
      </c>
      <c r="O139" s="1" t="s">
        <v>46</v>
      </c>
    </row>
    <row r="140" spans="2:15" x14ac:dyDescent="0.3">
      <c r="B140" s="1" t="s">
        <v>24</v>
      </c>
      <c r="C140" s="1" t="str">
        <f t="shared" ref="C140:C168" si="12">"4차"</f>
        <v>4차</v>
      </c>
      <c r="D140" s="1" t="str">
        <f>"0127Z23144"</f>
        <v>0127Z23144</v>
      </c>
      <c r="E140" s="1" t="s">
        <v>10</v>
      </c>
      <c r="F140" s="1" t="str">
        <f>"10.10.47.18"</f>
        <v>10.10.47.18</v>
      </c>
      <c r="G140" s="1" t="str">
        <f>"0127Z231"</f>
        <v>0127Z231</v>
      </c>
      <c r="H140" s="1" t="str">
        <f>"신안간 4L1R1"</f>
        <v>신안간 4L1R1</v>
      </c>
      <c r="I140" s="1" t="s">
        <v>8</v>
      </c>
      <c r="J140" s="1" t="str">
        <f>"49/50"</f>
        <v>49/50</v>
      </c>
      <c r="K140" s="1" t="str">
        <f t="shared" ref="K140:K150" si="13">"2026-07-29 13:18:01"</f>
        <v>2026-07-29 13:18:01</v>
      </c>
      <c r="L140" s="1" t="str">
        <f>"2022-10-05 13:22:10"</f>
        <v>2022-10-05 13:22:10</v>
      </c>
      <c r="M140" s="1" t="s">
        <v>1</v>
      </c>
      <c r="N140" s="1" t="s">
        <v>38</v>
      </c>
      <c r="O140" s="1" t="s">
        <v>46</v>
      </c>
    </row>
    <row r="141" spans="2:15" x14ac:dyDescent="0.3">
      <c r="B141" s="1" t="s">
        <v>24</v>
      </c>
      <c r="C141" s="1" t="str">
        <f t="shared" si="12"/>
        <v>4차</v>
      </c>
      <c r="D141" s="1" t="str">
        <f>"0127Z24144"</f>
        <v>0127Z24144</v>
      </c>
      <c r="E141" s="1" t="s">
        <v>10</v>
      </c>
      <c r="F141" s="1" t="str">
        <f>"10.10.46.210"</f>
        <v>10.10.46.210</v>
      </c>
      <c r="G141" s="1" t="str">
        <f>"0127Z241"</f>
        <v>0127Z241</v>
      </c>
      <c r="H141" s="1" t="str">
        <f>"신안간 4L1"</f>
        <v>신안간 4L1</v>
      </c>
      <c r="I141" s="1" t="s">
        <v>8</v>
      </c>
      <c r="J141" s="1" t="str">
        <f>"41/41"</f>
        <v>41/41</v>
      </c>
      <c r="K141" s="1" t="str">
        <f t="shared" si="13"/>
        <v>2026-07-29 13:18:01</v>
      </c>
      <c r="L141" s="1" t="str">
        <f>"2019-11-04 09:06:59"</f>
        <v>2019-11-04 09:06:59</v>
      </c>
      <c r="M141" s="1" t="s">
        <v>1</v>
      </c>
      <c r="N141" s="1" t="s">
        <v>38</v>
      </c>
      <c r="O141" s="1" t="s">
        <v>46</v>
      </c>
    </row>
    <row r="142" spans="2:15" x14ac:dyDescent="0.3">
      <c r="B142" s="1" t="s">
        <v>24</v>
      </c>
      <c r="C142" s="1" t="str">
        <f t="shared" si="12"/>
        <v>4차</v>
      </c>
      <c r="D142" s="1" t="str">
        <f>"0127Z25144"</f>
        <v>0127Z25144</v>
      </c>
      <c r="E142" s="1" t="s">
        <v>10</v>
      </c>
      <c r="F142" s="1" t="str">
        <f>"10.10.110.122"</f>
        <v>10.10.110.122</v>
      </c>
      <c r="G142" s="1" t="str">
        <f>"0127Z251"</f>
        <v>0127Z251</v>
      </c>
      <c r="H142" s="1" t="str">
        <f>"신안간 4L1L1"</f>
        <v>신안간 4L1L1</v>
      </c>
      <c r="I142" s="1" t="s">
        <v>8</v>
      </c>
      <c r="J142" s="1" t="str">
        <f>"22/22"</f>
        <v>22/22</v>
      </c>
      <c r="K142" s="1" t="str">
        <f t="shared" si="13"/>
        <v>2026-07-29 13:18:01</v>
      </c>
      <c r="L142" s="1" t="str">
        <f>"2019-11-04 09:30:11"</f>
        <v>2019-11-04 09:30:11</v>
      </c>
      <c r="M142" s="1" t="s">
        <v>1</v>
      </c>
      <c r="N142" s="1" t="s">
        <v>38</v>
      </c>
      <c r="O142" s="1" t="s">
        <v>46</v>
      </c>
    </row>
    <row r="143" spans="2:15" x14ac:dyDescent="0.3">
      <c r="B143" s="1" t="s">
        <v>24</v>
      </c>
      <c r="C143" s="1" t="str">
        <f t="shared" si="12"/>
        <v>4차</v>
      </c>
      <c r="D143" s="1" t="str">
        <f>"0127Z27344"</f>
        <v>0127Z27344</v>
      </c>
      <c r="E143" s="1" t="s">
        <v>10</v>
      </c>
      <c r="F143" s="1" t="str">
        <f>"10.10.52.114"</f>
        <v>10.10.52.114</v>
      </c>
      <c r="G143" s="1" t="str">
        <f>"0127Z273"</f>
        <v>0127Z273</v>
      </c>
      <c r="H143" s="1" t="str">
        <f>"고대간 37R14"</f>
        <v>고대간 37R14</v>
      </c>
      <c r="I143" s="1" t="s">
        <v>8</v>
      </c>
      <c r="J143" s="1" t="str">
        <f>"45/45"</f>
        <v>45/45</v>
      </c>
      <c r="K143" s="1" t="str">
        <f t="shared" si="13"/>
        <v>2026-07-29 13:18:01</v>
      </c>
      <c r="L143" s="1" t="str">
        <f>"2019-11-21 21:18:40"</f>
        <v>2019-11-21 21:18:40</v>
      </c>
      <c r="M143" s="1" t="s">
        <v>1</v>
      </c>
      <c r="N143" s="1" t="s">
        <v>38</v>
      </c>
      <c r="O143" s="1" t="s">
        <v>46</v>
      </c>
    </row>
    <row r="144" spans="2:15" x14ac:dyDescent="0.3">
      <c r="B144" s="1" t="s">
        <v>24</v>
      </c>
      <c r="C144" s="1" t="str">
        <f t="shared" si="12"/>
        <v>4차</v>
      </c>
      <c r="D144" s="1" t="str">
        <f>"0127Z28244"</f>
        <v>0127Z28244</v>
      </c>
      <c r="E144" s="1" t="s">
        <v>10</v>
      </c>
      <c r="F144" s="1" t="str">
        <f>"10.10.62.66"</f>
        <v>10.10.62.66</v>
      </c>
      <c r="G144" s="1" t="str">
        <f>"0127Z282"</f>
        <v>0127Z282</v>
      </c>
      <c r="H144" s="1" t="str">
        <f>"고대간 37R15R2"</f>
        <v>고대간 37R15R2</v>
      </c>
      <c r="I144" s="1" t="s">
        <v>8</v>
      </c>
      <c r="J144" s="1" t="str">
        <f>"16/16"</f>
        <v>16/16</v>
      </c>
      <c r="K144" s="1" t="str">
        <f t="shared" si="13"/>
        <v>2026-07-29 13:18:01</v>
      </c>
      <c r="L144" s="1" t="str">
        <f>"2023-02-27 17:58:35"</f>
        <v>2023-02-27 17:58:35</v>
      </c>
      <c r="M144" s="1" t="s">
        <v>1</v>
      </c>
      <c r="N144" s="1" t="s">
        <v>38</v>
      </c>
      <c r="O144" s="1" t="s">
        <v>46</v>
      </c>
    </row>
    <row r="145" spans="2:15" x14ac:dyDescent="0.3">
      <c r="B145" s="1" t="s">
        <v>24</v>
      </c>
      <c r="C145" s="1" t="str">
        <f t="shared" si="12"/>
        <v>4차</v>
      </c>
      <c r="D145" s="1" t="str">
        <f>"0127Z28439"</f>
        <v>0127Z28439</v>
      </c>
      <c r="E145" s="1" t="s">
        <v>10</v>
      </c>
      <c r="F145" s="1" t="str">
        <f>"10.12.129.222"</f>
        <v>10.12.129.222</v>
      </c>
      <c r="G145" s="1" t="str">
        <f>"0127Z284"</f>
        <v>0127Z284</v>
      </c>
      <c r="H145" s="1" t="str">
        <f>"고대간 37R15R1"</f>
        <v>고대간 37R15R1</v>
      </c>
      <c r="I145" s="1" t="s">
        <v>8</v>
      </c>
      <c r="J145" s="1" t="str">
        <f>"41/41"</f>
        <v>41/41</v>
      </c>
      <c r="K145" s="1" t="str">
        <f t="shared" si="13"/>
        <v>2026-07-29 13:18:01</v>
      </c>
      <c r="L145" s="1" t="str">
        <f>"2018-04-17 18:24:46"</f>
        <v>2018-04-17 18:24:46</v>
      </c>
      <c r="M145" s="1" t="s">
        <v>0</v>
      </c>
      <c r="N145" s="1" t="s">
        <v>38</v>
      </c>
      <c r="O145" s="1" t="s">
        <v>46</v>
      </c>
    </row>
    <row r="146" spans="2:15" x14ac:dyDescent="0.3">
      <c r="B146" s="1" t="s">
        <v>24</v>
      </c>
      <c r="C146" s="1" t="str">
        <f t="shared" si="12"/>
        <v>4차</v>
      </c>
      <c r="D146" s="1" t="str">
        <f>"0127Z33144"</f>
        <v>0127Z33144</v>
      </c>
      <c r="E146" s="1" t="s">
        <v>10</v>
      </c>
      <c r="F146" s="1" t="str">
        <f>"10.10.52.130"</f>
        <v>10.10.52.130</v>
      </c>
      <c r="G146" s="1" t="str">
        <f>"0127Z331"</f>
        <v>0127Z331</v>
      </c>
      <c r="H146" s="1" t="str">
        <f>"고대간 69"</f>
        <v>고대간 69</v>
      </c>
      <c r="I146" s="1" t="s">
        <v>8</v>
      </c>
      <c r="J146" s="1" t="str">
        <f>"59/59"</f>
        <v>59/59</v>
      </c>
      <c r="K146" s="1" t="str">
        <f t="shared" si="13"/>
        <v>2026-07-29 13:18:01</v>
      </c>
      <c r="L146" s="1" t="str">
        <f>"2019-11-21 11:54:35"</f>
        <v>2019-11-21 11:54:35</v>
      </c>
      <c r="M146" s="1" t="s">
        <v>1</v>
      </c>
      <c r="N146" s="1" t="s">
        <v>38</v>
      </c>
      <c r="O146" s="1" t="s">
        <v>46</v>
      </c>
    </row>
    <row r="147" spans="2:15" x14ac:dyDescent="0.3">
      <c r="B147" s="1" t="s">
        <v>24</v>
      </c>
      <c r="C147" s="1" t="str">
        <f t="shared" si="12"/>
        <v>4차</v>
      </c>
      <c r="D147" s="1" t="str">
        <f>"0127Z34144"</f>
        <v>0127Z34144</v>
      </c>
      <c r="E147" s="1" t="s">
        <v>10</v>
      </c>
      <c r="F147" s="1" t="str">
        <f>"10.10.47.26"</f>
        <v>10.10.47.26</v>
      </c>
      <c r="G147" s="1" t="str">
        <f>"0127Z341"</f>
        <v>0127Z341</v>
      </c>
      <c r="H147" s="1" t="str">
        <f>"신안간 4L2"</f>
        <v>신안간 4L2</v>
      </c>
      <c r="I147" s="1" t="s">
        <v>8</v>
      </c>
      <c r="J147" s="1" t="str">
        <f>"44/44"</f>
        <v>44/44</v>
      </c>
      <c r="K147" s="1" t="str">
        <f t="shared" si="13"/>
        <v>2026-07-29 13:18:01</v>
      </c>
      <c r="L147" s="1" t="str">
        <f>"2019-11-21 12:18:17"</f>
        <v>2019-11-21 12:18:17</v>
      </c>
      <c r="M147" s="1" t="s">
        <v>1</v>
      </c>
      <c r="N147" s="1" t="s">
        <v>38</v>
      </c>
      <c r="O147" s="1" t="s">
        <v>46</v>
      </c>
    </row>
    <row r="148" spans="2:15" x14ac:dyDescent="0.3">
      <c r="B148" s="1" t="s">
        <v>24</v>
      </c>
      <c r="C148" s="1" t="str">
        <f t="shared" si="12"/>
        <v>4차</v>
      </c>
      <c r="D148" s="1" t="str">
        <f>"0127Z36144"</f>
        <v>0127Z36144</v>
      </c>
      <c r="E148" s="1" t="s">
        <v>10</v>
      </c>
      <c r="F148" s="1" t="str">
        <f>"10.10.46.250"</f>
        <v>10.10.46.250</v>
      </c>
      <c r="G148" s="1" t="str">
        <f>"0127Z361"</f>
        <v>0127Z361</v>
      </c>
      <c r="H148" s="1" t="str">
        <f>"신안간 4L1L4"</f>
        <v>신안간 4L1L4</v>
      </c>
      <c r="I148" s="1" t="s">
        <v>8</v>
      </c>
      <c r="J148" s="1" t="str">
        <f>"39/39"</f>
        <v>39/39</v>
      </c>
      <c r="K148" s="1" t="str">
        <f t="shared" si="13"/>
        <v>2026-07-29 13:18:01</v>
      </c>
      <c r="L148" s="1" t="str">
        <f>"2019-11-04 09:13:08"</f>
        <v>2019-11-04 09:13:08</v>
      </c>
      <c r="M148" s="1" t="s">
        <v>1</v>
      </c>
      <c r="N148" s="1" t="s">
        <v>38</v>
      </c>
      <c r="O148" s="1" t="s">
        <v>46</v>
      </c>
    </row>
    <row r="149" spans="2:15" x14ac:dyDescent="0.3">
      <c r="B149" s="1" t="s">
        <v>24</v>
      </c>
      <c r="C149" s="1" t="str">
        <f t="shared" si="12"/>
        <v>4차</v>
      </c>
      <c r="D149" s="1" t="str">
        <f>"0127Z36244"</f>
        <v>0127Z36244</v>
      </c>
      <c r="E149" s="1" t="s">
        <v>10</v>
      </c>
      <c r="F149" s="1" t="str">
        <f>"10.10.47.2"</f>
        <v>10.10.47.2</v>
      </c>
      <c r="G149" s="1" t="str">
        <f>"0127Z362"</f>
        <v>0127Z362</v>
      </c>
      <c r="H149" s="1" t="str">
        <f>"신안간 4L1L5"</f>
        <v>신안간 4L1L5</v>
      </c>
      <c r="I149" s="1" t="s">
        <v>8</v>
      </c>
      <c r="J149" s="1" t="str">
        <f>"15/15"</f>
        <v>15/15</v>
      </c>
      <c r="K149" s="1" t="str">
        <f t="shared" si="13"/>
        <v>2026-07-29 13:18:01</v>
      </c>
      <c r="L149" s="1" t="str">
        <f>"2019-11-04 09:23:04"</f>
        <v>2019-11-04 09:23:04</v>
      </c>
      <c r="M149" s="1" t="s">
        <v>1</v>
      </c>
      <c r="N149" s="1" t="s">
        <v>38</v>
      </c>
      <c r="O149" s="1" t="s">
        <v>46</v>
      </c>
    </row>
    <row r="150" spans="2:15" x14ac:dyDescent="0.3">
      <c r="B150" s="1" t="s">
        <v>24</v>
      </c>
      <c r="C150" s="1" t="str">
        <f t="shared" si="12"/>
        <v>4차</v>
      </c>
      <c r="D150" s="1" t="str">
        <f>"0127Z37344"</f>
        <v>0127Z37344</v>
      </c>
      <c r="E150" s="1" t="s">
        <v>10</v>
      </c>
      <c r="F150" s="1" t="str">
        <f>"10.10.52.138"</f>
        <v>10.10.52.138</v>
      </c>
      <c r="G150" s="1" t="str">
        <f>"0127Z373"</f>
        <v>0127Z373</v>
      </c>
      <c r="H150" s="1" t="str">
        <f>"고대간 37R13"</f>
        <v>고대간 37R13</v>
      </c>
      <c r="I150" s="1" t="s">
        <v>8</v>
      </c>
      <c r="J150" s="1" t="str">
        <f>"23/28"</f>
        <v>23/28</v>
      </c>
      <c r="K150" s="1" t="str">
        <f t="shared" si="13"/>
        <v>2026-07-29 13:18:01</v>
      </c>
      <c r="L150" s="1" t="str">
        <f>"2019-11-22 13:51:39"</f>
        <v>2019-11-22 13:51:39</v>
      </c>
      <c r="M150" s="1" t="s">
        <v>1</v>
      </c>
      <c r="N150" s="1" t="s">
        <v>38</v>
      </c>
      <c r="O150" s="1" t="s">
        <v>46</v>
      </c>
    </row>
    <row r="151" spans="2:15" x14ac:dyDescent="0.3">
      <c r="B151" s="1" t="s">
        <v>24</v>
      </c>
      <c r="C151" s="1" t="str">
        <f t="shared" si="12"/>
        <v>4차</v>
      </c>
      <c r="D151" s="1" t="str">
        <f>"0127Z41141"</f>
        <v>0127Z41141</v>
      </c>
      <c r="E151" s="1" t="s">
        <v>10</v>
      </c>
      <c r="F151" s="1" t="str">
        <f>"10.14.3.40"</f>
        <v>10.14.3.40</v>
      </c>
      <c r="G151" s="1" t="str">
        <f>"0127Z411"</f>
        <v>0127Z411</v>
      </c>
      <c r="H151" s="1" t="str">
        <f>"고대간 66"</f>
        <v>고대간 66</v>
      </c>
      <c r="I151" s="1" t="s">
        <v>17</v>
      </c>
      <c r="J151" s="1" t="str">
        <f>"66/68"</f>
        <v>66/68</v>
      </c>
      <c r="K151" s="1" t="str">
        <f>"2026-07-29 13:18:02"</f>
        <v>2026-07-29 13:18:02</v>
      </c>
      <c r="L151" s="1" t="str">
        <f>"2021-10-15 10:52:53"</f>
        <v>2021-10-15 10:52:53</v>
      </c>
      <c r="M151" s="1" t="s">
        <v>3</v>
      </c>
      <c r="N151" s="1" t="s">
        <v>38</v>
      </c>
      <c r="O151" s="1" t="s">
        <v>46</v>
      </c>
    </row>
    <row r="152" spans="2:15" x14ac:dyDescent="0.3">
      <c r="B152" s="1" t="s">
        <v>24</v>
      </c>
      <c r="C152" s="1" t="str">
        <f t="shared" si="12"/>
        <v>4차</v>
      </c>
      <c r="D152" s="1" t="str">
        <f>"0127Z43244"</f>
        <v>0127Z43244</v>
      </c>
      <c r="E152" s="1" t="s">
        <v>10</v>
      </c>
      <c r="F152" s="1" t="str">
        <f>"10.10.47.34"</f>
        <v>10.10.47.34</v>
      </c>
      <c r="G152" s="1" t="str">
        <f>"0127Z432"</f>
        <v>0127Z432</v>
      </c>
      <c r="H152" s="1" t="str">
        <f>"신안간 4L4R1"</f>
        <v>신안간 4L4R1</v>
      </c>
      <c r="I152" s="1" t="s">
        <v>8</v>
      </c>
      <c r="J152" s="1" t="str">
        <f>"27/27"</f>
        <v>27/27</v>
      </c>
      <c r="K152" s="1" t="str">
        <f>"2026-07-29 13:18:01"</f>
        <v>2026-07-29 13:18:01</v>
      </c>
      <c r="L152" s="1" t="str">
        <f>"2019-11-21 11:44:07"</f>
        <v>2019-11-21 11:44:07</v>
      </c>
      <c r="M152" s="1" t="s">
        <v>1</v>
      </c>
      <c r="N152" s="1" t="s">
        <v>38</v>
      </c>
      <c r="O152" s="1" t="s">
        <v>46</v>
      </c>
    </row>
    <row r="153" spans="2:15" x14ac:dyDescent="0.3">
      <c r="B153" s="1" t="s">
        <v>24</v>
      </c>
      <c r="C153" s="1" t="str">
        <f t="shared" si="12"/>
        <v>4차</v>
      </c>
      <c r="D153" s="1" t="str">
        <f>"0127Z50141"</f>
        <v>0127Z50141</v>
      </c>
      <c r="E153" s="1" t="s">
        <v>10</v>
      </c>
      <c r="F153" s="1" t="str">
        <f>"10.12.129.164"</f>
        <v>10.12.129.164</v>
      </c>
      <c r="G153" s="1" t="str">
        <f>"0127Z501"</f>
        <v>0127Z501</v>
      </c>
      <c r="H153" s="1" t="str">
        <f>"고대간 57R5"</f>
        <v>고대간 57R5</v>
      </c>
      <c r="I153" s="1" t="s">
        <v>17</v>
      </c>
      <c r="J153" s="1" t="str">
        <f>"17/17"</f>
        <v>17/17</v>
      </c>
      <c r="K153" s="1" t="str">
        <f>"2026-07-29 13:18:02"</f>
        <v>2026-07-29 13:18:02</v>
      </c>
      <c r="L153" s="1" t="str">
        <f>"2021-07-15 13:45:37"</f>
        <v>2021-07-15 13:45:37</v>
      </c>
      <c r="M153" s="1" t="s">
        <v>0</v>
      </c>
      <c r="N153" s="1" t="s">
        <v>38</v>
      </c>
      <c r="O153" s="1" t="s">
        <v>46</v>
      </c>
    </row>
    <row r="154" spans="2:15" x14ac:dyDescent="0.3">
      <c r="B154" s="1" t="s">
        <v>24</v>
      </c>
      <c r="C154" s="1" t="str">
        <f t="shared" si="12"/>
        <v>4차</v>
      </c>
      <c r="D154" s="1" t="str">
        <f>"0127Z51241"</f>
        <v>0127Z51241</v>
      </c>
      <c r="E154" s="1" t="s">
        <v>10</v>
      </c>
      <c r="F154" s="1" t="str">
        <f>"10.14.11.43"</f>
        <v>10.14.11.43</v>
      </c>
      <c r="G154" s="1" t="str">
        <f>"0127Z512"</f>
        <v>0127Z512</v>
      </c>
      <c r="H154" s="1" t="str">
        <f>"고대간 57R6"</f>
        <v>고대간 57R6</v>
      </c>
      <c r="I154" s="1" t="s">
        <v>17</v>
      </c>
      <c r="J154" s="1" t="str">
        <f>"44/56"</f>
        <v>44/56</v>
      </c>
      <c r="K154" s="1" t="str">
        <f>"2026-07-29 13:18:03"</f>
        <v>2026-07-29 13:18:03</v>
      </c>
      <c r="L154" s="1" t="str">
        <f>"2021-10-15 09:18:13"</f>
        <v>2021-10-15 09:18:13</v>
      </c>
      <c r="M154" s="1" t="s">
        <v>3</v>
      </c>
      <c r="N154" s="1" t="s">
        <v>38</v>
      </c>
      <c r="O154" s="1" t="s">
        <v>46</v>
      </c>
    </row>
    <row r="155" spans="2:15" x14ac:dyDescent="0.3">
      <c r="B155" s="1" t="s">
        <v>24</v>
      </c>
      <c r="C155" s="1" t="str">
        <f t="shared" si="12"/>
        <v>4차</v>
      </c>
      <c r="D155" s="1" t="str">
        <f>"0127Z54344"</f>
        <v>0127Z54344</v>
      </c>
      <c r="E155" s="1" t="s">
        <v>10</v>
      </c>
      <c r="F155" s="1" t="str">
        <f>"10.10.47.42"</f>
        <v>10.10.47.42</v>
      </c>
      <c r="G155" s="1" t="str">
        <f>"0127Z543"</f>
        <v>0127Z543</v>
      </c>
      <c r="H155" s="1" t="str">
        <f>"신안간 4L5"</f>
        <v>신안간 4L5</v>
      </c>
      <c r="I155" s="1" t="s">
        <v>8</v>
      </c>
      <c r="J155" s="1" t="str">
        <f>"43/43"</f>
        <v>43/43</v>
      </c>
      <c r="K155" s="1" t="str">
        <f>"2026-07-29 13:18:01"</f>
        <v>2026-07-29 13:18:01</v>
      </c>
      <c r="L155" s="1" t="str">
        <f>"2019-11-04 09:13:04"</f>
        <v>2019-11-04 09:13:04</v>
      </c>
      <c r="M155" s="1" t="s">
        <v>1</v>
      </c>
      <c r="N155" s="1" t="s">
        <v>38</v>
      </c>
      <c r="O155" s="1" t="s">
        <v>46</v>
      </c>
    </row>
    <row r="156" spans="2:15" x14ac:dyDescent="0.3">
      <c r="B156" s="1" t="s">
        <v>24</v>
      </c>
      <c r="C156" s="1" t="str">
        <f t="shared" si="12"/>
        <v>4차</v>
      </c>
      <c r="D156" s="1" t="str">
        <f>"0127Z56444"</f>
        <v>0127Z56444</v>
      </c>
      <c r="E156" s="1" t="s">
        <v>10</v>
      </c>
      <c r="F156" s="1" t="str">
        <f>"10.10.47.10"</f>
        <v>10.10.47.10</v>
      </c>
      <c r="G156" s="1" t="str">
        <f>"0127Z564"</f>
        <v>0127Z564</v>
      </c>
      <c r="H156" s="1" t="str">
        <f>"신안간 4L1L9H1R1"</f>
        <v>신안간 4L1L9H1R1</v>
      </c>
      <c r="I156" s="1" t="s">
        <v>8</v>
      </c>
      <c r="J156" s="1" t="str">
        <f>"25/25"</f>
        <v>25/25</v>
      </c>
      <c r="K156" s="1" t="str">
        <f>"2026-07-29 13:18:01"</f>
        <v>2026-07-29 13:18:01</v>
      </c>
      <c r="L156" s="1" t="str">
        <f>"2019-11-04 09:13:03"</f>
        <v>2019-11-04 09:13:03</v>
      </c>
      <c r="M156" s="1" t="s">
        <v>1</v>
      </c>
      <c r="N156" s="1" t="s">
        <v>38</v>
      </c>
      <c r="O156" s="1" t="s">
        <v>46</v>
      </c>
    </row>
    <row r="157" spans="2:15" x14ac:dyDescent="0.3">
      <c r="B157" s="1" t="s">
        <v>24</v>
      </c>
      <c r="C157" s="1" t="str">
        <f t="shared" si="12"/>
        <v>4차</v>
      </c>
      <c r="D157" s="1" t="str">
        <f>"0127Z61141"</f>
        <v>0127Z61141</v>
      </c>
      <c r="E157" s="1" t="s">
        <v>10</v>
      </c>
      <c r="F157" s="1" t="str">
        <f>"10.14.7.48"</f>
        <v>10.14.7.48</v>
      </c>
      <c r="G157" s="1" t="str">
        <f>"0127Z611"</f>
        <v>0127Z611</v>
      </c>
      <c r="H157" s="1" t="str">
        <f>"고대간 57R3R1L1"</f>
        <v>고대간 57R3R1L1</v>
      </c>
      <c r="I157" s="1" t="s">
        <v>17</v>
      </c>
      <c r="J157" s="1" t="str">
        <f>"19/19"</f>
        <v>19/19</v>
      </c>
      <c r="K157" s="1" t="str">
        <f>"2026-07-29 13:18:03"</f>
        <v>2026-07-29 13:18:03</v>
      </c>
      <c r="L157" s="1" t="str">
        <f>"2021-10-15 08:12:16"</f>
        <v>2021-10-15 08:12:16</v>
      </c>
      <c r="M157" s="1" t="s">
        <v>3</v>
      </c>
      <c r="N157" s="1" t="s">
        <v>38</v>
      </c>
      <c r="O157" s="1" t="s">
        <v>46</v>
      </c>
    </row>
    <row r="158" spans="2:15" x14ac:dyDescent="0.3">
      <c r="B158" s="1" t="s">
        <v>24</v>
      </c>
      <c r="C158" s="1" t="str">
        <f t="shared" si="12"/>
        <v>4차</v>
      </c>
      <c r="D158" s="1" t="str">
        <f>"0127Z61241"</f>
        <v>0127Z61241</v>
      </c>
      <c r="E158" s="1" t="s">
        <v>10</v>
      </c>
      <c r="F158" s="1" t="str">
        <f>"10.14.13.180"</f>
        <v>10.14.13.180</v>
      </c>
      <c r="G158" s="1" t="str">
        <f>"0127Z612"</f>
        <v>0127Z612</v>
      </c>
      <c r="H158" s="1" t="str">
        <f>"고대간 57R3R1L2"</f>
        <v>고대간 57R3R1L2</v>
      </c>
      <c r="I158" s="1" t="s">
        <v>17</v>
      </c>
      <c r="J158" s="1" t="str">
        <f>"24/24"</f>
        <v>24/24</v>
      </c>
      <c r="K158" s="1" t="str">
        <f>"2026-07-29 13:18:01"</f>
        <v>2026-07-29 13:18:01</v>
      </c>
      <c r="L158" s="1" t="str">
        <f>"2021-10-15 08:41:17"</f>
        <v>2021-10-15 08:41:17</v>
      </c>
      <c r="M158" s="1" t="s">
        <v>3</v>
      </c>
      <c r="N158" s="1" t="s">
        <v>38</v>
      </c>
      <c r="O158" s="1" t="s">
        <v>46</v>
      </c>
    </row>
    <row r="159" spans="2:15" x14ac:dyDescent="0.3">
      <c r="B159" s="1" t="s">
        <v>24</v>
      </c>
      <c r="C159" s="1" t="str">
        <f t="shared" si="12"/>
        <v>4차</v>
      </c>
      <c r="D159" s="1" t="str">
        <f>"0127Z62239"</f>
        <v>0127Z62239</v>
      </c>
      <c r="E159" s="1" t="s">
        <v>10</v>
      </c>
      <c r="F159" s="1" t="str">
        <f>"10.89.128.238"</f>
        <v>10.89.128.238</v>
      </c>
      <c r="G159" s="1" t="str">
        <f>"0127Z622"</f>
        <v>0127Z622</v>
      </c>
      <c r="H159" s="1" t="str">
        <f>"고대간 57R3R1L4"</f>
        <v>고대간 57R3R1L4</v>
      </c>
      <c r="I159" s="1" t="s">
        <v>17</v>
      </c>
      <c r="J159" s="1" t="str">
        <f>"78/78"</f>
        <v>78/78</v>
      </c>
      <c r="K159" s="1" t="str">
        <f>"2026-07-29 13:18:01"</f>
        <v>2026-07-29 13:18:01</v>
      </c>
      <c r="L159" s="1" t="str">
        <f>"2018-09-20 12:55:58"</f>
        <v>2018-09-20 12:55:58</v>
      </c>
      <c r="M159" s="1" t="s">
        <v>45</v>
      </c>
      <c r="N159" s="1" t="s">
        <v>38</v>
      </c>
      <c r="O159" s="1" t="s">
        <v>46</v>
      </c>
    </row>
    <row r="160" spans="2:15" x14ac:dyDescent="0.3">
      <c r="B160" s="1" t="s">
        <v>24</v>
      </c>
      <c r="C160" s="1" t="str">
        <f t="shared" si="12"/>
        <v>4차</v>
      </c>
      <c r="D160" s="1" t="str">
        <f>"0127Z64239"</f>
        <v>0127Z64239</v>
      </c>
      <c r="E160" s="1" t="s">
        <v>10</v>
      </c>
      <c r="F160" s="1" t="str">
        <f>"10.12.130.7"</f>
        <v>10.12.130.7</v>
      </c>
      <c r="G160" s="1" t="str">
        <f>"0127Z642"</f>
        <v>0127Z642</v>
      </c>
      <c r="H160" s="1" t="str">
        <f>"신안간 4L7"</f>
        <v>신안간 4L7</v>
      </c>
      <c r="I160" s="1" t="s">
        <v>8</v>
      </c>
      <c r="J160" s="1" t="str">
        <f>"53/53"</f>
        <v>53/53</v>
      </c>
      <c r="K160" s="1" t="str">
        <f>"2026-07-29 13:18:02"</f>
        <v>2026-07-29 13:18:02</v>
      </c>
      <c r="L160" s="1" t="str">
        <f>"2018-04-17 19:42:32"</f>
        <v>2018-04-17 19:42:32</v>
      </c>
      <c r="M160" s="1" t="s">
        <v>0</v>
      </c>
      <c r="N160" s="1" t="s">
        <v>38</v>
      </c>
      <c r="O160" s="1" t="s">
        <v>46</v>
      </c>
    </row>
    <row r="161" spans="2:15" x14ac:dyDescent="0.3">
      <c r="B161" s="1" t="s">
        <v>24</v>
      </c>
      <c r="C161" s="1" t="str">
        <f t="shared" si="12"/>
        <v>4차</v>
      </c>
      <c r="D161" s="1" t="str">
        <f>"0127Z64344"</f>
        <v>0127Z64344</v>
      </c>
      <c r="E161" s="1" t="s">
        <v>10</v>
      </c>
      <c r="F161" s="1" t="str">
        <f>"10.10.47.50"</f>
        <v>10.10.47.50</v>
      </c>
      <c r="G161" s="1" t="str">
        <f>"0127Z643"</f>
        <v>0127Z643</v>
      </c>
      <c r="H161" s="1" t="str">
        <f>"신안간 4L8"</f>
        <v>신안간 4L8</v>
      </c>
      <c r="I161" s="1" t="s">
        <v>8</v>
      </c>
      <c r="J161" s="1" t="str">
        <f>"30/30"</f>
        <v>30/30</v>
      </c>
      <c r="K161" s="1" t="str">
        <f>"2026-07-29 13:18:01"</f>
        <v>2026-07-29 13:18:01</v>
      </c>
      <c r="L161" s="1" t="str">
        <f>"2019-11-04 09:23:04"</f>
        <v>2019-11-04 09:23:04</v>
      </c>
      <c r="M161" s="1" t="s">
        <v>1</v>
      </c>
      <c r="N161" s="1" t="s">
        <v>38</v>
      </c>
      <c r="O161" s="1" t="s">
        <v>46</v>
      </c>
    </row>
    <row r="162" spans="2:15" x14ac:dyDescent="0.3">
      <c r="B162" s="1" t="s">
        <v>24</v>
      </c>
      <c r="C162" s="1" t="str">
        <f t="shared" si="12"/>
        <v>4차</v>
      </c>
      <c r="D162" s="1" t="str">
        <f>"0127Z66144"</f>
        <v>0127Z66144</v>
      </c>
      <c r="E162" s="1" t="s">
        <v>10</v>
      </c>
      <c r="F162" s="1" t="str">
        <f>"10.10.46.242"</f>
        <v>10.10.46.242</v>
      </c>
      <c r="G162" s="1" t="str">
        <f>"0127Z661"</f>
        <v>0127Z661</v>
      </c>
      <c r="H162" s="1" t="str">
        <f>"신안간 4L1L10"</f>
        <v>신안간 4L1L10</v>
      </c>
      <c r="I162" s="1" t="s">
        <v>8</v>
      </c>
      <c r="J162" s="1" t="str">
        <f>"61/61"</f>
        <v>61/61</v>
      </c>
      <c r="K162" s="1" t="str">
        <f>"2026-07-29 13:18:01"</f>
        <v>2026-07-29 13:18:01</v>
      </c>
      <c r="L162" s="1" t="str">
        <f>"2019-11-04 09:07:11"</f>
        <v>2019-11-04 09:07:11</v>
      </c>
      <c r="M162" s="1" t="s">
        <v>1</v>
      </c>
      <c r="N162" s="1" t="s">
        <v>38</v>
      </c>
      <c r="O162" s="1" t="s">
        <v>46</v>
      </c>
    </row>
    <row r="163" spans="2:15" x14ac:dyDescent="0.3">
      <c r="B163" s="1" t="s">
        <v>24</v>
      </c>
      <c r="C163" s="1" t="str">
        <f t="shared" si="12"/>
        <v>4차</v>
      </c>
      <c r="D163" s="1" t="str">
        <f>"0127Z68244"</f>
        <v>0127Z68244</v>
      </c>
      <c r="E163" s="1" t="s">
        <v>10</v>
      </c>
      <c r="F163" s="1" t="str">
        <f>"10.10.117.74"</f>
        <v>10.10.117.74</v>
      </c>
      <c r="G163" s="1" t="str">
        <f>"0127Z682"</f>
        <v>0127Z682</v>
      </c>
      <c r="H163" s="1" t="str">
        <f>"고대간 37R5R2"</f>
        <v>고대간 37R5R2</v>
      </c>
      <c r="I163" s="1" t="s">
        <v>8</v>
      </c>
      <c r="J163" s="1" t="str">
        <f>"22/22"</f>
        <v>22/22</v>
      </c>
      <c r="K163" s="1" t="str">
        <f>"2026-07-29 13:18:01"</f>
        <v>2026-07-29 13:18:01</v>
      </c>
      <c r="L163" s="1" t="str">
        <f>"2019-11-22 14:33:04"</f>
        <v>2019-11-22 14:33:04</v>
      </c>
      <c r="M163" s="1" t="s">
        <v>1</v>
      </c>
      <c r="N163" s="1" t="s">
        <v>38</v>
      </c>
      <c r="O163" s="1" t="s">
        <v>46</v>
      </c>
    </row>
    <row r="164" spans="2:15" x14ac:dyDescent="0.3">
      <c r="B164" s="1" t="s">
        <v>24</v>
      </c>
      <c r="C164" s="1" t="str">
        <f t="shared" si="12"/>
        <v>4차</v>
      </c>
      <c r="D164" s="1" t="str">
        <f>"0127Z70141"</f>
        <v>0127Z70141</v>
      </c>
      <c r="E164" s="1" t="s">
        <v>10</v>
      </c>
      <c r="F164" s="1" t="str">
        <f>"10.12.131.86"</f>
        <v>10.12.131.86</v>
      </c>
      <c r="G164" s="1" t="str">
        <f>"0127Z701"</f>
        <v>0127Z701</v>
      </c>
      <c r="H164" s="1" t="str">
        <f>"고대간 57R3R1"</f>
        <v>고대간 57R3R1</v>
      </c>
      <c r="I164" s="1" t="s">
        <v>17</v>
      </c>
      <c r="J164" s="1" t="str">
        <f>"38/38"</f>
        <v>38/38</v>
      </c>
      <c r="K164" s="1" t="str">
        <f>"2026-07-29 13:18:01"</f>
        <v>2026-07-29 13:18:01</v>
      </c>
      <c r="L164" s="1" t="str">
        <f>"2021-10-15 07:44:40"</f>
        <v>2021-10-15 07:44:40</v>
      </c>
      <c r="M164" s="1" t="s">
        <v>0</v>
      </c>
      <c r="N164" s="1" t="s">
        <v>38</v>
      </c>
      <c r="O164" s="1" t="s">
        <v>46</v>
      </c>
    </row>
    <row r="165" spans="2:15" x14ac:dyDescent="0.3">
      <c r="B165" s="1" t="s">
        <v>24</v>
      </c>
      <c r="C165" s="1" t="str">
        <f t="shared" si="12"/>
        <v>4차</v>
      </c>
      <c r="D165" s="1" t="str">
        <f>"0127Z70241"</f>
        <v>0127Z70241</v>
      </c>
      <c r="E165" s="1" t="s">
        <v>10</v>
      </c>
      <c r="F165" s="1" t="str">
        <f>"10.14.13.46"</f>
        <v>10.14.13.46</v>
      </c>
      <c r="G165" s="1" t="str">
        <f>"0127Z702"</f>
        <v>0127Z702</v>
      </c>
      <c r="H165" s="1" t="str">
        <f>"고대간 57R3R2"</f>
        <v>고대간 57R3R2</v>
      </c>
      <c r="I165" s="1" t="s">
        <v>17</v>
      </c>
      <c r="J165" s="1" t="str">
        <f>"55/55"</f>
        <v>55/55</v>
      </c>
      <c r="K165" s="1" t="str">
        <f>"2026-07-29 13:18:03"</f>
        <v>2026-07-29 13:18:03</v>
      </c>
      <c r="L165" s="1" t="str">
        <f>"2021-07-15 13:34:22"</f>
        <v>2021-07-15 13:34:22</v>
      </c>
      <c r="M165" s="1" t="s">
        <v>3</v>
      </c>
      <c r="N165" s="1" t="s">
        <v>38</v>
      </c>
      <c r="O165" s="1" t="s">
        <v>46</v>
      </c>
    </row>
    <row r="166" spans="2:15" x14ac:dyDescent="0.3">
      <c r="B166" s="1" t="s">
        <v>24</v>
      </c>
      <c r="C166" s="1" t="str">
        <f t="shared" si="12"/>
        <v>4차</v>
      </c>
      <c r="D166" s="1" t="str">
        <f>"0127Z71339"</f>
        <v>0127Z71339</v>
      </c>
      <c r="E166" s="1" t="s">
        <v>10</v>
      </c>
      <c r="F166" s="1" t="str">
        <f>"10.89.128.239"</f>
        <v>10.89.128.239</v>
      </c>
      <c r="G166" s="1" t="str">
        <f>"0127Z713"</f>
        <v>0127Z713</v>
      </c>
      <c r="H166" s="1" t="str">
        <f>"고대간 57R3R4"</f>
        <v>고대간 57R3R4</v>
      </c>
      <c r="I166" s="1" t="s">
        <v>17</v>
      </c>
      <c r="J166" s="1" t="str">
        <f>"79/79"</f>
        <v>79/79</v>
      </c>
      <c r="K166" s="1" t="str">
        <f t="shared" ref="K166:K176" si="14">"2026-07-29 13:18:01"</f>
        <v>2026-07-29 13:18:01</v>
      </c>
      <c r="L166" s="1" t="str">
        <f>"2018-09-20 21:53:47"</f>
        <v>2018-09-20 21:53:47</v>
      </c>
      <c r="M166" s="1" t="s">
        <v>45</v>
      </c>
      <c r="N166" s="1" t="s">
        <v>38</v>
      </c>
      <c r="O166" s="1" t="s">
        <v>46</v>
      </c>
    </row>
    <row r="167" spans="2:15" x14ac:dyDescent="0.3">
      <c r="B167" s="1" t="s">
        <v>24</v>
      </c>
      <c r="C167" s="1" t="str">
        <f t="shared" si="12"/>
        <v>4차</v>
      </c>
      <c r="D167" s="1" t="str">
        <f>"0127Z72441"</f>
        <v>0127Z72441</v>
      </c>
      <c r="E167" s="1" t="s">
        <v>10</v>
      </c>
      <c r="F167" s="1" t="str">
        <f>"10.14.5.113"</f>
        <v>10.14.5.113</v>
      </c>
      <c r="G167" s="1" t="str">
        <f>"0127Z724"</f>
        <v>0127Z724</v>
      </c>
      <c r="H167" s="1" t="str">
        <f>"고대간 57R3R5"</f>
        <v>고대간 57R3R5</v>
      </c>
      <c r="I167" s="1" t="s">
        <v>17</v>
      </c>
      <c r="J167" s="1" t="str">
        <f>"27/27"</f>
        <v>27/27</v>
      </c>
      <c r="K167" s="1" t="str">
        <f t="shared" si="14"/>
        <v>2026-07-29 13:18:01</v>
      </c>
      <c r="L167" s="1" t="str">
        <f>"2021-10-15 11:52:13"</f>
        <v>2021-10-15 11:52:13</v>
      </c>
      <c r="M167" s="1" t="s">
        <v>3</v>
      </c>
      <c r="N167" s="1" t="s">
        <v>38</v>
      </c>
      <c r="O167" s="1" t="s">
        <v>46</v>
      </c>
    </row>
    <row r="168" spans="2:15" x14ac:dyDescent="0.3">
      <c r="B168" s="1" t="s">
        <v>24</v>
      </c>
      <c r="C168" s="1" t="str">
        <f t="shared" si="12"/>
        <v>4차</v>
      </c>
      <c r="D168" s="1" t="str">
        <f>"0127Z73244"</f>
        <v>0127Z73244</v>
      </c>
      <c r="E168" s="1" t="s">
        <v>10</v>
      </c>
      <c r="F168" s="1" t="str">
        <f>"10.10.46.218"</f>
        <v>10.10.46.218</v>
      </c>
      <c r="G168" s="1" t="str">
        <f>"0127Z732"</f>
        <v>0127Z732</v>
      </c>
      <c r="H168" s="1" t="str">
        <f>"고대간 46R6"</f>
        <v>고대간 46R6</v>
      </c>
      <c r="I168" s="1" t="s">
        <v>8</v>
      </c>
      <c r="J168" s="1" t="str">
        <f>"70/70"</f>
        <v>70/70</v>
      </c>
      <c r="K168" s="1" t="str">
        <f t="shared" si="14"/>
        <v>2026-07-29 13:18:01</v>
      </c>
      <c r="L168" s="1" t="str">
        <f>"2019-11-04 09:07:41"</f>
        <v>2019-11-04 09:07:41</v>
      </c>
      <c r="M168" s="1" t="s">
        <v>1</v>
      </c>
      <c r="N168" s="1" t="s">
        <v>38</v>
      </c>
      <c r="O168" s="1" t="s">
        <v>46</v>
      </c>
    </row>
    <row r="169" spans="2:15" x14ac:dyDescent="0.3">
      <c r="B169" s="1" t="s">
        <v>24</v>
      </c>
      <c r="C169" s="1" t="s">
        <v>16</v>
      </c>
      <c r="D169" s="1" t="str">
        <f>"0127Z73344"</f>
        <v>0127Z73344</v>
      </c>
      <c r="E169" s="1" t="s">
        <v>10</v>
      </c>
      <c r="F169" s="1" t="str">
        <f>"10.10.46.226"</f>
        <v>10.10.46.226</v>
      </c>
      <c r="G169" s="1" t="str">
        <f>"0127Z733"</f>
        <v>0127Z733</v>
      </c>
      <c r="H169" s="1" t="str">
        <f>"고대간 46R5"</f>
        <v>고대간 46R5</v>
      </c>
      <c r="I169" s="1" t="s">
        <v>8</v>
      </c>
      <c r="J169" s="1" t="str">
        <f>"28/28"</f>
        <v>28/28</v>
      </c>
      <c r="K169" s="1" t="str">
        <f t="shared" si="14"/>
        <v>2026-07-29 13:18:01</v>
      </c>
      <c r="L169" s="1" t="str">
        <f>"2022-09-23 17:43:50"</f>
        <v>2022-09-23 17:43:50</v>
      </c>
      <c r="M169" s="1" t="s">
        <v>1</v>
      </c>
      <c r="N169" s="1" t="s">
        <v>38</v>
      </c>
      <c r="O169" s="1" t="s">
        <v>46</v>
      </c>
    </row>
    <row r="170" spans="2:15" x14ac:dyDescent="0.3">
      <c r="B170" s="1" t="s">
        <v>24</v>
      </c>
      <c r="C170" s="1" t="str">
        <f t="shared" ref="C170:C176" si="15">"4차"</f>
        <v>4차</v>
      </c>
      <c r="D170" s="1" t="str">
        <f>"0127Z76244"</f>
        <v>0127Z76244</v>
      </c>
      <c r="E170" s="1" t="s">
        <v>10</v>
      </c>
      <c r="F170" s="1" t="str">
        <f>"10.10.52.74"</f>
        <v>10.10.52.74</v>
      </c>
      <c r="G170" s="1" t="str">
        <f>"0127Z762"</f>
        <v>0127Z762</v>
      </c>
      <c r="H170" s="1" t="str">
        <f>"고대간 37R2L1L4"</f>
        <v>고대간 37R2L1L4</v>
      </c>
      <c r="I170" s="1" t="s">
        <v>8</v>
      </c>
      <c r="J170" s="1" t="str">
        <f>"25/28"</f>
        <v>25/28</v>
      </c>
      <c r="K170" s="1" t="str">
        <f t="shared" si="14"/>
        <v>2026-07-29 13:18:01</v>
      </c>
      <c r="L170" s="1" t="str">
        <f>"2022-04-11 16:02:28"</f>
        <v>2022-04-11 16:02:28</v>
      </c>
      <c r="M170" s="1" t="s">
        <v>1</v>
      </c>
      <c r="N170" s="1" t="s">
        <v>38</v>
      </c>
      <c r="O170" s="1" t="s">
        <v>46</v>
      </c>
    </row>
    <row r="171" spans="2:15" x14ac:dyDescent="0.3">
      <c r="B171" s="1" t="s">
        <v>24</v>
      </c>
      <c r="C171" s="1" t="str">
        <f t="shared" si="15"/>
        <v>4차</v>
      </c>
      <c r="D171" s="1" t="str">
        <f>"0127Z82144"</f>
        <v>0127Z82144</v>
      </c>
      <c r="E171" s="1" t="s">
        <v>10</v>
      </c>
      <c r="F171" s="1" t="str">
        <f>"10.10.46.234"</f>
        <v>10.10.46.234</v>
      </c>
      <c r="G171" s="1" t="str">
        <f>"0127Z821"</f>
        <v>0127Z821</v>
      </c>
      <c r="H171" s="1" t="str">
        <f>"고대간 46R3"</f>
        <v>고대간 46R3</v>
      </c>
      <c r="I171" s="1" t="s">
        <v>8</v>
      </c>
      <c r="J171" s="1" t="str">
        <f>"63/63"</f>
        <v>63/63</v>
      </c>
      <c r="K171" s="1" t="str">
        <f t="shared" si="14"/>
        <v>2026-07-29 13:18:01</v>
      </c>
      <c r="L171" s="1" t="str">
        <f>"2019-11-04 09:43:04"</f>
        <v>2019-11-04 09:43:04</v>
      </c>
      <c r="M171" s="1" t="s">
        <v>1</v>
      </c>
      <c r="N171" s="1" t="s">
        <v>38</v>
      </c>
      <c r="O171" s="1" t="s">
        <v>46</v>
      </c>
    </row>
    <row r="172" spans="2:15" x14ac:dyDescent="0.3">
      <c r="B172" s="1" t="s">
        <v>24</v>
      </c>
      <c r="C172" s="1" t="str">
        <f t="shared" si="15"/>
        <v>4차</v>
      </c>
      <c r="D172" s="1" t="str">
        <f>"0127Z87544"</f>
        <v>0127Z87544</v>
      </c>
      <c r="E172" s="1" t="s">
        <v>10</v>
      </c>
      <c r="F172" s="1" t="str">
        <f>"10.10.60.138"</f>
        <v>10.10.60.138</v>
      </c>
      <c r="G172" s="1" t="str">
        <f>"0127Z875"</f>
        <v>0127Z875</v>
      </c>
      <c r="H172" s="1" t="str">
        <f>"고대간 37R4R1"</f>
        <v>고대간 37R4R1</v>
      </c>
      <c r="I172" s="1" t="s">
        <v>8</v>
      </c>
      <c r="J172" s="1" t="str">
        <f>"10/10"</f>
        <v>10/10</v>
      </c>
      <c r="K172" s="1" t="str">
        <f t="shared" si="14"/>
        <v>2026-07-29 13:18:01</v>
      </c>
      <c r="L172" s="1" t="str">
        <f>"2019-11-22 14:33:04"</f>
        <v>2019-11-22 14:33:04</v>
      </c>
      <c r="M172" s="1" t="s">
        <v>1</v>
      </c>
      <c r="N172" s="1" t="s">
        <v>38</v>
      </c>
      <c r="O172" s="1" t="s">
        <v>46</v>
      </c>
    </row>
    <row r="173" spans="2:15" x14ac:dyDescent="0.3">
      <c r="B173" s="1" t="s">
        <v>24</v>
      </c>
      <c r="C173" s="1" t="str">
        <f t="shared" si="15"/>
        <v>4차</v>
      </c>
      <c r="D173" s="1" t="str">
        <f>"0127Z89144"</f>
        <v>0127Z89144</v>
      </c>
      <c r="E173" s="1" t="s">
        <v>10</v>
      </c>
      <c r="F173" s="1" t="str">
        <f>"10.10.60.98"</f>
        <v>10.10.60.98</v>
      </c>
      <c r="G173" s="1" t="str">
        <f>"0127Z891"</f>
        <v>0127Z891</v>
      </c>
      <c r="H173" s="1" t="str">
        <f>"고대간 37R4R3L1"</f>
        <v>고대간 37R4R3L1</v>
      </c>
      <c r="I173" s="1" t="s">
        <v>8</v>
      </c>
      <c r="J173" s="1" t="str">
        <f>"18/18"</f>
        <v>18/18</v>
      </c>
      <c r="K173" s="1" t="str">
        <f t="shared" si="14"/>
        <v>2026-07-29 13:18:01</v>
      </c>
      <c r="L173" s="1" t="str">
        <f>"2020-01-11 01:38:17"</f>
        <v>2020-01-11 01:38:17</v>
      </c>
      <c r="M173" s="1" t="s">
        <v>1</v>
      </c>
      <c r="N173" s="1" t="s">
        <v>38</v>
      </c>
      <c r="O173" s="1" t="s">
        <v>46</v>
      </c>
    </row>
    <row r="174" spans="2:15" x14ac:dyDescent="0.3">
      <c r="B174" s="1" t="s">
        <v>24</v>
      </c>
      <c r="C174" s="1" t="str">
        <f t="shared" si="15"/>
        <v>4차</v>
      </c>
      <c r="D174" s="1" t="str">
        <f>"0127Z92244"</f>
        <v>0127Z92244</v>
      </c>
      <c r="E174" s="1" t="s">
        <v>10</v>
      </c>
      <c r="F174" s="1" t="str">
        <f>"10.10.52.66"</f>
        <v>10.10.52.66</v>
      </c>
      <c r="G174" s="1" t="str">
        <f>"0127Z922"</f>
        <v>0127Z922</v>
      </c>
      <c r="H174" s="1" t="str">
        <f>"고대간 47"</f>
        <v>고대간 47</v>
      </c>
      <c r="I174" s="1" t="s">
        <v>8</v>
      </c>
      <c r="J174" s="1" t="str">
        <f>"7/7"</f>
        <v>7/7</v>
      </c>
      <c r="K174" s="1" t="str">
        <f t="shared" si="14"/>
        <v>2026-07-29 13:18:01</v>
      </c>
      <c r="L174" s="1" t="str">
        <f>"2019-11-04 09:23:04"</f>
        <v>2019-11-04 09:23:04</v>
      </c>
      <c r="M174" s="1" t="s">
        <v>1</v>
      </c>
      <c r="N174" s="1" t="s">
        <v>38</v>
      </c>
      <c r="O174" s="1" t="s">
        <v>46</v>
      </c>
    </row>
    <row r="175" spans="2:15" x14ac:dyDescent="0.3">
      <c r="B175" s="1" t="s">
        <v>24</v>
      </c>
      <c r="C175" s="1" t="str">
        <f t="shared" si="15"/>
        <v>4차</v>
      </c>
      <c r="D175" s="1" t="str">
        <f>"0127Z97144"</f>
        <v>0127Z97144</v>
      </c>
      <c r="E175" s="1" t="s">
        <v>10</v>
      </c>
      <c r="F175" s="1" t="str">
        <f>"10.10.61.98"</f>
        <v>10.10.61.98</v>
      </c>
      <c r="G175" s="1" t="str">
        <f>"0127Z971"</f>
        <v>0127Z971</v>
      </c>
      <c r="H175" s="1" t="str">
        <f>"고대간 37R3"</f>
        <v>고대간 37R3</v>
      </c>
      <c r="I175" s="1" t="s">
        <v>8</v>
      </c>
      <c r="J175" s="1" t="str">
        <f>"6/6"</f>
        <v>6/6</v>
      </c>
      <c r="K175" s="1" t="str">
        <f t="shared" si="14"/>
        <v>2026-07-29 13:18:01</v>
      </c>
      <c r="L175" s="1" t="str">
        <f>"2019-11-22 14:23:15"</f>
        <v>2019-11-22 14:23:15</v>
      </c>
      <c r="M175" s="1" t="s">
        <v>1</v>
      </c>
      <c r="N175" s="1" t="s">
        <v>38</v>
      </c>
      <c r="O175" s="1" t="s">
        <v>46</v>
      </c>
    </row>
    <row r="176" spans="2:15" x14ac:dyDescent="0.3">
      <c r="B176" s="1" t="s">
        <v>24</v>
      </c>
      <c r="C176" s="1" t="str">
        <f t="shared" si="15"/>
        <v>4차</v>
      </c>
      <c r="D176" s="1" t="str">
        <f>"0127Z99244"</f>
        <v>0127Z99244</v>
      </c>
      <c r="E176" s="1" t="s">
        <v>10</v>
      </c>
      <c r="F176" s="1" t="str">
        <f>"10.10.60.122"</f>
        <v>10.10.60.122</v>
      </c>
      <c r="G176" s="1" t="str">
        <f>"0127Z992"</f>
        <v>0127Z992</v>
      </c>
      <c r="H176" s="1" t="str">
        <f>"고대간 37R4R5"</f>
        <v>고대간 37R4R5</v>
      </c>
      <c r="I176" s="1" t="s">
        <v>8</v>
      </c>
      <c r="J176" s="1" t="str">
        <f>"87/87"</f>
        <v>87/87</v>
      </c>
      <c r="K176" s="1" t="str">
        <f t="shared" si="14"/>
        <v>2026-07-29 13:18:01</v>
      </c>
      <c r="L176" s="1" t="str">
        <f>"2019-11-22 14:18:58"</f>
        <v>2019-11-22 14:18:58</v>
      </c>
      <c r="M176" s="1" t="s">
        <v>1</v>
      </c>
      <c r="N176" s="1" t="s">
        <v>38</v>
      </c>
      <c r="O176" s="1" t="s">
        <v>46</v>
      </c>
    </row>
    <row r="177" spans="2:15" x14ac:dyDescent="0.3">
      <c r="B177" s="1" t="s">
        <v>24</v>
      </c>
      <c r="C177" s="1" t="str">
        <f>"5-2차"</f>
        <v>5-2차</v>
      </c>
      <c r="D177" s="1" t="str">
        <f>"0226A3515M"</f>
        <v>0226A3515M</v>
      </c>
      <c r="E177" s="1" t="s">
        <v>10</v>
      </c>
      <c r="F177" s="1" t="str">
        <f>"fde1:103:4:5570:0:0:0:2"</f>
        <v>fde1:103:4:5570:0:0:0:2</v>
      </c>
      <c r="G177" s="1" t="str">
        <f>"0226A351"</f>
        <v>0226A351</v>
      </c>
      <c r="H177" s="1" t="str">
        <f>"마청간 21L11"</f>
        <v>마청간 21L11</v>
      </c>
      <c r="I177" s="1" t="s">
        <v>15</v>
      </c>
      <c r="J177" s="1" t="str">
        <f>"31/31"</f>
        <v>31/31</v>
      </c>
      <c r="K177" s="1" t="str">
        <f>"2026-07-29 14:20:33"</f>
        <v>2026-07-29 14:20:33</v>
      </c>
      <c r="L177" s="1" t="str">
        <f>"2023-09-05 09:29:54"</f>
        <v>2023-09-05 09:29:54</v>
      </c>
      <c r="M177" s="1" t="s">
        <v>4</v>
      </c>
      <c r="N177" s="1" t="s">
        <v>38</v>
      </c>
      <c r="O177" s="1" t="s">
        <v>46</v>
      </c>
    </row>
    <row r="178" spans="2:15" x14ac:dyDescent="0.3">
      <c r="B178" s="1" t="s">
        <v>24</v>
      </c>
      <c r="C178" s="1" t="str">
        <f>"4차"</f>
        <v>4차</v>
      </c>
      <c r="D178" s="1" t="str">
        <f>"0226A39845"</f>
        <v>0226A39845</v>
      </c>
      <c r="E178" s="1" t="s">
        <v>10</v>
      </c>
      <c r="F178" s="1" t="str">
        <f>"10.14.6.56"</f>
        <v>10.14.6.56</v>
      </c>
      <c r="G178" s="1" t="str">
        <f>"0226A398"</f>
        <v>0226A398</v>
      </c>
      <c r="H178" s="1" t="str">
        <f>"약전로 R1"</f>
        <v>약전로 R1</v>
      </c>
      <c r="I178" s="1" t="s">
        <v>17</v>
      </c>
      <c r="J178" s="1" t="str">
        <f>"11/11"</f>
        <v>11/11</v>
      </c>
      <c r="K178" s="1" t="str">
        <f>"2026-07-29 07:18:01"</f>
        <v>2026-07-29 07:18:01</v>
      </c>
      <c r="L178" s="1" t="str">
        <f>"2021-06-28 10:50:49"</f>
        <v>2021-06-28 10:50:49</v>
      </c>
      <c r="M178" s="1" t="s">
        <v>3</v>
      </c>
      <c r="N178" s="1" t="s">
        <v>38</v>
      </c>
      <c r="O178" s="1" t="s">
        <v>46</v>
      </c>
    </row>
    <row r="179" spans="2:15" x14ac:dyDescent="0.3">
      <c r="B179" s="1" t="s">
        <v>24</v>
      </c>
      <c r="C179" s="1" t="str">
        <f>"5-2차"</f>
        <v>5-2차</v>
      </c>
      <c r="D179" s="1" t="str">
        <f>"0226A4635M"</f>
        <v>0226A4635M</v>
      </c>
      <c r="E179" s="1" t="s">
        <v>10</v>
      </c>
      <c r="F179" s="1" t="str">
        <f>"fde1:103:4:559c:0:0:0:2"</f>
        <v>fde1:103:4:559c:0:0:0:2</v>
      </c>
      <c r="G179" s="1" t="str">
        <f>"0226A463"</f>
        <v>0226A463</v>
      </c>
      <c r="H179" s="1" t="str">
        <f>"마청간 21L9R1"</f>
        <v>마청간 21L9R1</v>
      </c>
      <c r="I179" s="1" t="s">
        <v>15</v>
      </c>
      <c r="J179" s="1" t="str">
        <f>"32/32"</f>
        <v>32/32</v>
      </c>
      <c r="K179" s="1" t="str">
        <f>"2026-07-29 14:20:27"</f>
        <v>2026-07-29 14:20:27</v>
      </c>
      <c r="L179" s="1" t="str">
        <f>"2023-09-05 09:31:19"</f>
        <v>2023-09-05 09:31:19</v>
      </c>
      <c r="M179" s="1" t="s">
        <v>4</v>
      </c>
      <c r="N179" s="1" t="s">
        <v>38</v>
      </c>
      <c r="O179" s="1" t="s">
        <v>46</v>
      </c>
    </row>
    <row r="180" spans="2:15" x14ac:dyDescent="0.3">
      <c r="B180" s="1" t="s">
        <v>24</v>
      </c>
      <c r="C180" s="1" t="str">
        <f t="shared" ref="C180:C186" si="16">"4차"</f>
        <v>4차</v>
      </c>
      <c r="D180" s="1" t="str">
        <f>"0226A57245"</f>
        <v>0226A57245</v>
      </c>
      <c r="E180" s="1" t="s">
        <v>10</v>
      </c>
      <c r="F180" s="1" t="str">
        <f>"10.14.6.65"</f>
        <v>10.14.6.65</v>
      </c>
      <c r="G180" s="1" t="str">
        <f>"0226A572"</f>
        <v>0226A572</v>
      </c>
      <c r="H180" s="1" t="str">
        <f>"왕디로 L9"</f>
        <v>왕디로 L9</v>
      </c>
      <c r="I180" s="1" t="s">
        <v>17</v>
      </c>
      <c r="J180" s="1" t="str">
        <f>"1/1"</f>
        <v>1/1</v>
      </c>
      <c r="K180" s="1" t="str">
        <f>"2026-07-29 13:18:03"</f>
        <v>2026-07-29 13:18:03</v>
      </c>
      <c r="L180" s="1" t="str">
        <f>"2021-06-28 11:27:50"</f>
        <v>2021-06-28 11:27:50</v>
      </c>
      <c r="M180" s="1" t="s">
        <v>3</v>
      </c>
      <c r="N180" s="1" t="s">
        <v>38</v>
      </c>
      <c r="O180" s="1" t="s">
        <v>46</v>
      </c>
    </row>
    <row r="181" spans="2:15" x14ac:dyDescent="0.3">
      <c r="B181" s="1" t="s">
        <v>24</v>
      </c>
      <c r="C181" s="1" t="str">
        <f t="shared" si="16"/>
        <v>4차</v>
      </c>
      <c r="D181" s="1" t="str">
        <f>"0226A72244"</f>
        <v>0226A72244</v>
      </c>
      <c r="E181" s="1" t="s">
        <v>10</v>
      </c>
      <c r="F181" s="1" t="str">
        <f>"10.10.60.226"</f>
        <v>10.10.60.226</v>
      </c>
      <c r="G181" s="1" t="str">
        <f>"0226A722"</f>
        <v>0226A722</v>
      </c>
      <c r="H181" s="1" t="str">
        <f>"용구간 6R3"</f>
        <v>용구간 6R3</v>
      </c>
      <c r="I181" s="1" t="s">
        <v>8</v>
      </c>
      <c r="J181" s="1" t="str">
        <f>"27/28"</f>
        <v>27/28</v>
      </c>
      <c r="K181" s="1" t="str">
        <f>"2026-07-29 13:18:01"</f>
        <v>2026-07-29 13:18:01</v>
      </c>
      <c r="L181" s="1" t="str">
        <f>"2019-11-11 11:41:27"</f>
        <v>2019-11-11 11:41:27</v>
      </c>
      <c r="M181" s="1" t="s">
        <v>1</v>
      </c>
      <c r="N181" s="1" t="s">
        <v>38</v>
      </c>
      <c r="O181" s="1" t="s">
        <v>46</v>
      </c>
    </row>
    <row r="182" spans="2:15" x14ac:dyDescent="0.3">
      <c r="B182" s="1" t="s">
        <v>24</v>
      </c>
      <c r="C182" s="1" t="str">
        <f t="shared" si="16"/>
        <v>4차</v>
      </c>
      <c r="D182" s="1" t="str">
        <f>"0226A78139"</f>
        <v>0226A78139</v>
      </c>
      <c r="E182" s="1" t="s">
        <v>10</v>
      </c>
      <c r="F182" s="1" t="str">
        <f>"10.12.131.49"</f>
        <v>10.12.131.49</v>
      </c>
      <c r="G182" s="1" t="str">
        <f>"0226A781"</f>
        <v>0226A781</v>
      </c>
      <c r="H182" s="1" t="str">
        <f>"왕디로 L10"</f>
        <v>왕디로 L10</v>
      </c>
      <c r="I182" s="1" t="s">
        <v>17</v>
      </c>
      <c r="J182" s="1" t="str">
        <f>"12/12"</f>
        <v>12/12</v>
      </c>
      <c r="K182" s="1" t="str">
        <f>"2026-07-29 13:18:02"</f>
        <v>2026-07-29 13:18:02</v>
      </c>
      <c r="L182" s="1" t="str">
        <f>"2018-10-18 11:02:25"</f>
        <v>2018-10-18 11:02:25</v>
      </c>
      <c r="M182" s="1" t="s">
        <v>0</v>
      </c>
      <c r="N182" s="1" t="s">
        <v>38</v>
      </c>
      <c r="O182" s="1" t="s">
        <v>46</v>
      </c>
    </row>
    <row r="183" spans="2:15" x14ac:dyDescent="0.3">
      <c r="B183" s="1" t="s">
        <v>24</v>
      </c>
      <c r="C183" s="1" t="str">
        <f t="shared" si="16"/>
        <v>4차</v>
      </c>
      <c r="D183" s="1" t="str">
        <f>"0226A82244"</f>
        <v>0226A82244</v>
      </c>
      <c r="E183" s="1" t="s">
        <v>10</v>
      </c>
      <c r="F183" s="1" t="str">
        <f>"10.89.246.226"</f>
        <v>10.89.246.226</v>
      </c>
      <c r="G183" s="1" t="str">
        <f>"0226A822"</f>
        <v>0226A822</v>
      </c>
      <c r="H183" s="1" t="str">
        <f>"용구간 3L1L19"</f>
        <v>용구간 3L1L19</v>
      </c>
      <c r="I183" s="1" t="s">
        <v>8</v>
      </c>
      <c r="J183" s="1" t="str">
        <f>"56/59"</f>
        <v>56/59</v>
      </c>
      <c r="K183" s="1" t="str">
        <f>"2026-07-29 13:18:01"</f>
        <v>2026-07-29 13:18:01</v>
      </c>
      <c r="L183" s="1" t="str">
        <f>"2020-01-10 15:25:41"</f>
        <v>2020-01-10 15:25:41</v>
      </c>
      <c r="M183" s="1" t="s">
        <v>45</v>
      </c>
      <c r="N183" s="1" t="s">
        <v>38</v>
      </c>
      <c r="O183" s="1" t="s">
        <v>46</v>
      </c>
    </row>
    <row r="184" spans="2:15" x14ac:dyDescent="0.3">
      <c r="B184" s="1" t="s">
        <v>24</v>
      </c>
      <c r="C184" s="1" t="str">
        <f t="shared" si="16"/>
        <v>4차</v>
      </c>
      <c r="D184" s="1" t="str">
        <f>"0226A83244"</f>
        <v>0226A83244</v>
      </c>
      <c r="E184" s="1" t="s">
        <v>10</v>
      </c>
      <c r="F184" s="1" t="str">
        <f>"10.10.60.162"</f>
        <v>10.10.60.162</v>
      </c>
      <c r="G184" s="1" t="str">
        <f>"0226A832"</f>
        <v>0226A832</v>
      </c>
      <c r="H184" s="1" t="str">
        <f>"용구간 9R3R1"</f>
        <v>용구간 9R3R1</v>
      </c>
      <c r="I184" s="1" t="s">
        <v>8</v>
      </c>
      <c r="J184" s="1" t="str">
        <f>"98/98"</f>
        <v>98/98</v>
      </c>
      <c r="K184" s="1" t="str">
        <f>"2026-07-29 13:18:01"</f>
        <v>2026-07-29 13:18:01</v>
      </c>
      <c r="L184" s="1" t="str">
        <f>"2019-11-11 11:42:26"</f>
        <v>2019-11-11 11:42:26</v>
      </c>
      <c r="M184" s="1" t="s">
        <v>1</v>
      </c>
      <c r="N184" s="1" t="s">
        <v>38</v>
      </c>
      <c r="O184" s="1" t="s">
        <v>46</v>
      </c>
    </row>
    <row r="185" spans="2:15" x14ac:dyDescent="0.3">
      <c r="B185" s="1" t="s">
        <v>24</v>
      </c>
      <c r="C185" s="1" t="str">
        <f t="shared" si="16"/>
        <v>4차</v>
      </c>
      <c r="D185" s="1" t="str">
        <f>"0226A90139"</f>
        <v>0226A90139</v>
      </c>
      <c r="E185" s="1" t="s">
        <v>10</v>
      </c>
      <c r="F185" s="1" t="str">
        <f>"10.14.12.200"</f>
        <v>10.14.12.200</v>
      </c>
      <c r="G185" s="1" t="str">
        <f>"0226A901"</f>
        <v>0226A901</v>
      </c>
      <c r="H185" s="1" t="str">
        <f>"용구간 3L1L5"</f>
        <v>용구간 3L1L5</v>
      </c>
      <c r="I185" s="1" t="s">
        <v>8</v>
      </c>
      <c r="J185" s="1" t="str">
        <f>"23/23"</f>
        <v>23/23</v>
      </c>
      <c r="K185" s="1" t="str">
        <f>"2026-07-29 13:18:04"</f>
        <v>2026-07-29 13:18:04</v>
      </c>
      <c r="L185" s="1" t="str">
        <f>"2018-04-17 18:16:59"</f>
        <v>2018-04-17 18:16:59</v>
      </c>
      <c r="M185" s="1" t="s">
        <v>3</v>
      </c>
      <c r="N185" s="1" t="s">
        <v>38</v>
      </c>
      <c r="O185" s="1" t="s">
        <v>46</v>
      </c>
    </row>
    <row r="186" spans="2:15" x14ac:dyDescent="0.3">
      <c r="B186" s="1" t="s">
        <v>24</v>
      </c>
      <c r="C186" s="1" t="str">
        <f t="shared" si="16"/>
        <v>4차</v>
      </c>
      <c r="D186" s="1" t="str">
        <f>"0226A91244"</f>
        <v>0226A91244</v>
      </c>
      <c r="E186" s="1" t="s">
        <v>10</v>
      </c>
      <c r="F186" s="1" t="str">
        <f>"10.10.60.218"</f>
        <v>10.10.60.218</v>
      </c>
      <c r="G186" s="1" t="str">
        <f>"0226A912"</f>
        <v>0226A912</v>
      </c>
      <c r="H186" s="1" t="str">
        <f>"용구간 3L1L16L1"</f>
        <v>용구간 3L1L16L1</v>
      </c>
      <c r="I186" s="1" t="s">
        <v>8</v>
      </c>
      <c r="J186" s="1" t="str">
        <f>"33/33"</f>
        <v>33/33</v>
      </c>
      <c r="K186" s="1" t="str">
        <f>"2026-07-29 13:18:01"</f>
        <v>2026-07-29 13:18:01</v>
      </c>
      <c r="L186" s="1" t="str">
        <f>"2019-11-11 11:44:58"</f>
        <v>2019-11-11 11:44:58</v>
      </c>
      <c r="M186" s="1" t="s">
        <v>1</v>
      </c>
      <c r="N186" s="1" t="s">
        <v>38</v>
      </c>
      <c r="O186" s="1" t="s">
        <v>46</v>
      </c>
    </row>
    <row r="187" spans="2:15" x14ac:dyDescent="0.3">
      <c r="B187" s="1" t="s">
        <v>24</v>
      </c>
      <c r="C187" s="1" t="str">
        <f>"1차"</f>
        <v>1차</v>
      </c>
      <c r="D187" s="1" t="str">
        <f>"0226A92201"</f>
        <v>0226A92201</v>
      </c>
      <c r="E187" s="1" t="s">
        <v>10</v>
      </c>
      <c r="F187" s="1" t="str">
        <f>"10.12.132.42"</f>
        <v>10.12.132.42</v>
      </c>
      <c r="G187" s="1" t="str">
        <f>"0226A922"</f>
        <v>0226A922</v>
      </c>
      <c r="H187" s="1" t="str">
        <f>"용구간 3L1L17"</f>
        <v>용구간 3L1L17</v>
      </c>
      <c r="I187" s="1" t="s">
        <v>8</v>
      </c>
      <c r="J187" s="1" t="str">
        <f>"16/18"</f>
        <v>16/18</v>
      </c>
      <c r="K187" s="1" t="str">
        <f>"2026-07-29 07:18:03"</f>
        <v>2026-07-29 07:18:03</v>
      </c>
      <c r="L187" s="1" t="str">
        <f>"2014-08-14 15:55:46"</f>
        <v>2014-08-14 15:55:46</v>
      </c>
      <c r="M187" s="1" t="s">
        <v>0</v>
      </c>
      <c r="N187" s="1" t="s">
        <v>38</v>
      </c>
      <c r="O187" s="1" t="s">
        <v>46</v>
      </c>
    </row>
    <row r="188" spans="2:15" x14ac:dyDescent="0.3">
      <c r="B188" s="1" t="s">
        <v>24</v>
      </c>
      <c r="C188" s="1" t="str">
        <f>"6차"</f>
        <v>6차</v>
      </c>
      <c r="D188" s="1" t="str">
        <f>"0226A9426S"</f>
        <v>0226A9426S</v>
      </c>
      <c r="E188" s="1" t="s">
        <v>10</v>
      </c>
      <c r="F188" s="1" t="str">
        <f>"fde1:103:4:c5bd:0:0:0:2"</f>
        <v>fde1:103:4:c5bd:0:0:0:2</v>
      </c>
      <c r="G188" s="1" t="str">
        <f>"0226A942"</f>
        <v>0226A942</v>
      </c>
      <c r="H188" s="1" t="str">
        <f>"용구간 9R4"</f>
        <v>용구간 9R4</v>
      </c>
      <c r="I188" s="1" t="s">
        <v>15</v>
      </c>
      <c r="J188" s="1" t="str">
        <f>"57/57"</f>
        <v>57/57</v>
      </c>
      <c r="K188" s="1" t="str">
        <f>"2026-07-29 14:20:40"</f>
        <v>2026-07-29 14:20:40</v>
      </c>
      <c r="L188" s="1" t="str">
        <f>"2024-09-26 19:56:08"</f>
        <v>2024-09-26 19:56:08</v>
      </c>
      <c r="M188" s="1" t="s">
        <v>4</v>
      </c>
      <c r="N188" s="1" t="s">
        <v>38</v>
      </c>
      <c r="O188" s="1" t="s">
        <v>46</v>
      </c>
    </row>
    <row r="189" spans="2:15" x14ac:dyDescent="0.3">
      <c r="B189" s="1" t="s">
        <v>24</v>
      </c>
      <c r="C189" s="1" t="str">
        <f>"1차"</f>
        <v>1차</v>
      </c>
      <c r="D189" s="1" t="str">
        <f>"0226A95201"</f>
        <v>0226A95201</v>
      </c>
      <c r="E189" s="1" t="s">
        <v>10</v>
      </c>
      <c r="F189" s="1" t="str">
        <f>"10.89.246.248"</f>
        <v>10.89.246.248</v>
      </c>
      <c r="G189" s="1" t="str">
        <f>"0226A952"</f>
        <v>0226A952</v>
      </c>
      <c r="H189" s="1" t="str">
        <f>"용구간 21R2R1"</f>
        <v>용구간 21R2R1</v>
      </c>
      <c r="I189" s="1" t="s">
        <v>8</v>
      </c>
      <c r="J189" s="1" t="str">
        <f>"28/28"</f>
        <v>28/28</v>
      </c>
      <c r="K189" s="1" t="str">
        <f>"2026-07-29 13:18:02"</f>
        <v>2026-07-29 13:18:02</v>
      </c>
      <c r="L189" s="1" t="str">
        <f>"2014-12-10 15:23:44"</f>
        <v>2014-12-10 15:23:44</v>
      </c>
      <c r="M189" s="1" t="s">
        <v>45</v>
      </c>
      <c r="N189" s="1" t="s">
        <v>38</v>
      </c>
      <c r="O189" s="1" t="s">
        <v>46</v>
      </c>
    </row>
    <row r="190" spans="2:15" x14ac:dyDescent="0.3">
      <c r="B190" s="1" t="s">
        <v>24</v>
      </c>
      <c r="C190" s="1" t="str">
        <f>"4차"</f>
        <v>4차</v>
      </c>
      <c r="D190" s="1" t="str">
        <f>"0226A98239"</f>
        <v>0226A98239</v>
      </c>
      <c r="E190" s="1" t="s">
        <v>10</v>
      </c>
      <c r="F190" s="1" t="str">
        <f>"10.12.130.128"</f>
        <v>10.12.130.128</v>
      </c>
      <c r="G190" s="1" t="str">
        <f>"0226A982"</f>
        <v>0226A982</v>
      </c>
      <c r="H190" s="1" t="str">
        <f>"왕디로 L11"</f>
        <v>왕디로 L11</v>
      </c>
      <c r="I190" s="1" t="s">
        <v>17</v>
      </c>
      <c r="J190" s="1" t="str">
        <f>"14/14"</f>
        <v>14/14</v>
      </c>
      <c r="K190" s="1" t="str">
        <f>"2026-07-29 13:18:01"</f>
        <v>2026-07-29 13:18:01</v>
      </c>
      <c r="L190" s="1" t="str">
        <f>"2018-10-18 11:33:25"</f>
        <v>2018-10-18 11:33:25</v>
      </c>
      <c r="M190" s="1" t="s">
        <v>0</v>
      </c>
      <c r="N190" s="1" t="s">
        <v>38</v>
      </c>
      <c r="O190" s="1" t="s">
        <v>46</v>
      </c>
    </row>
    <row r="191" spans="2:15" x14ac:dyDescent="0.3">
      <c r="B191" s="1" t="s">
        <v>24</v>
      </c>
      <c r="C191" s="1" t="str">
        <f>"4차"</f>
        <v>4차</v>
      </c>
      <c r="D191" s="1" t="str">
        <f>"0226B00144"</f>
        <v>0226B00144</v>
      </c>
      <c r="E191" s="1" t="s">
        <v>10</v>
      </c>
      <c r="F191" s="1" t="str">
        <f>"10.10.61.10"</f>
        <v>10.10.61.10</v>
      </c>
      <c r="G191" s="1" t="str">
        <f>"0226B001"</f>
        <v>0226B001</v>
      </c>
      <c r="H191" s="1" t="str">
        <f>"용구간 3L1L7"</f>
        <v>용구간 3L1L7</v>
      </c>
      <c r="I191" s="1" t="s">
        <v>8</v>
      </c>
      <c r="J191" s="1" t="str">
        <f>"26/26"</f>
        <v>26/26</v>
      </c>
      <c r="K191" s="1" t="str">
        <f>"2026-07-29 13:18:01"</f>
        <v>2026-07-29 13:18:01</v>
      </c>
      <c r="L191" s="1" t="str">
        <f>"2020-01-10 17:17:57"</f>
        <v>2020-01-10 17:17:57</v>
      </c>
      <c r="M191" s="1" t="s">
        <v>1</v>
      </c>
      <c r="N191" s="1" t="s">
        <v>38</v>
      </c>
      <c r="O191" s="1" t="s">
        <v>46</v>
      </c>
    </row>
    <row r="192" spans="2:15" x14ac:dyDescent="0.3">
      <c r="B192" s="1" t="s">
        <v>24</v>
      </c>
      <c r="C192" s="1" t="str">
        <f>"1차"</f>
        <v>1차</v>
      </c>
      <c r="D192" s="1" t="str">
        <f>"0226B01100"</f>
        <v>0226B01100</v>
      </c>
      <c r="E192" s="1" t="s">
        <v>10</v>
      </c>
      <c r="F192" s="1" t="str">
        <f>"10.89.246.239"</f>
        <v>10.89.246.239</v>
      </c>
      <c r="G192" s="1" t="str">
        <f>"0226B011"</f>
        <v>0226B011</v>
      </c>
      <c r="H192" s="1" t="str">
        <f>"용구간 3L1L15"</f>
        <v>용구간 3L1L15</v>
      </c>
      <c r="I192" s="1" t="s">
        <v>8</v>
      </c>
      <c r="J192" s="1" t="str">
        <f>"16/16"</f>
        <v>16/16</v>
      </c>
      <c r="K192" s="1" t="str">
        <f>"2026-07-29 13:18:01"</f>
        <v>2026-07-29 13:18:01</v>
      </c>
      <c r="L192" s="1" t="str">
        <f>"2014-07-22 00:27:28"</f>
        <v>2014-07-22 00:27:28</v>
      </c>
      <c r="M192" s="1" t="s">
        <v>45</v>
      </c>
      <c r="N192" s="1" t="s">
        <v>38</v>
      </c>
      <c r="O192" s="1" t="s">
        <v>46</v>
      </c>
    </row>
    <row r="193" spans="2:15" x14ac:dyDescent="0.3">
      <c r="B193" s="1" t="s">
        <v>24</v>
      </c>
      <c r="C193" s="1" t="str">
        <f>"6차"</f>
        <v>6차</v>
      </c>
      <c r="D193" s="1" t="str">
        <f>"0226B0316S"</f>
        <v>0226B0316S</v>
      </c>
      <c r="E193" s="1" t="s">
        <v>10</v>
      </c>
      <c r="F193" s="1" t="str">
        <f>"fde1:103:4:c671:0:0:0:2"</f>
        <v>fde1:103:4:c671:0:0:0:2</v>
      </c>
      <c r="G193" s="1" t="str">
        <f>"0226B031"</f>
        <v>0226B031</v>
      </c>
      <c r="H193" s="1" t="str">
        <f>"용구간 3L1L17R2"</f>
        <v>용구간 3L1L17R2</v>
      </c>
      <c r="I193" s="1" t="s">
        <v>15</v>
      </c>
      <c r="J193" s="1" t="str">
        <f>"20/20"</f>
        <v>20/20</v>
      </c>
      <c r="K193" s="1" t="str">
        <f>"2026-07-29 02:20:23"</f>
        <v>2026-07-29 02:20:23</v>
      </c>
      <c r="L193" s="1" t="str">
        <f>"2024-11-04 15:44:02"</f>
        <v>2024-11-04 15:44:02</v>
      </c>
      <c r="M193" s="1" t="s">
        <v>4</v>
      </c>
      <c r="N193" s="1" t="s">
        <v>38</v>
      </c>
      <c r="O193" s="1" t="s">
        <v>46</v>
      </c>
    </row>
    <row r="194" spans="2:15" x14ac:dyDescent="0.3">
      <c r="B194" s="1" t="s">
        <v>24</v>
      </c>
      <c r="C194" s="1" t="str">
        <f>"6차"</f>
        <v>6차</v>
      </c>
      <c r="D194" s="1" t="str">
        <f>"0226B0336S"</f>
        <v>0226B0336S</v>
      </c>
      <c r="E194" s="1" t="s">
        <v>10</v>
      </c>
      <c r="F194" s="1" t="str">
        <f>"fde1:103:4:c658:0:0:0:2"</f>
        <v>fde1:103:4:c658:0:0:0:2</v>
      </c>
      <c r="G194" s="1" t="str">
        <f>"0226B033"</f>
        <v>0226B033</v>
      </c>
      <c r="H194" s="1" t="str">
        <f>"용구간 3L1L17R1"</f>
        <v>용구간 3L1L17R1</v>
      </c>
      <c r="I194" s="1" t="s">
        <v>15</v>
      </c>
      <c r="J194" s="1" t="str">
        <f>"29/29"</f>
        <v>29/29</v>
      </c>
      <c r="K194" s="1" t="str">
        <f>"2026-07-29 14:20:33"</f>
        <v>2026-07-29 14:20:33</v>
      </c>
      <c r="L194" s="1" t="str">
        <f>"2024-11-04 15:44:07"</f>
        <v>2024-11-04 15:44:07</v>
      </c>
      <c r="M194" s="1" t="s">
        <v>4</v>
      </c>
      <c r="N194" s="1" t="s">
        <v>38</v>
      </c>
      <c r="O194" s="1" t="s">
        <v>46</v>
      </c>
    </row>
    <row r="195" spans="2:15" x14ac:dyDescent="0.3">
      <c r="B195" s="1" t="s">
        <v>24</v>
      </c>
      <c r="C195" s="1" t="str">
        <f>"4차"</f>
        <v>4차</v>
      </c>
      <c r="D195" s="1" t="str">
        <f>"0226B05142"</f>
        <v>0226B05142</v>
      </c>
      <c r="E195" s="1" t="s">
        <v>10</v>
      </c>
      <c r="F195" s="1" t="str">
        <f>"10.12.138.54"</f>
        <v>10.12.138.54</v>
      </c>
      <c r="G195" s="1" t="str">
        <f>"0226B051"</f>
        <v>0226B051</v>
      </c>
      <c r="H195" s="1" t="str">
        <f>"용구간 21R4"</f>
        <v>용구간 21R4</v>
      </c>
      <c r="I195" s="1" t="s">
        <v>8</v>
      </c>
      <c r="J195" s="1" t="str">
        <f>"18/18"</f>
        <v>18/18</v>
      </c>
      <c r="K195" s="1" t="str">
        <f>"2026-07-29 13:18:01"</f>
        <v>2026-07-29 13:18:01</v>
      </c>
      <c r="L195" s="1" t="str">
        <f>"2025-01-17 17:04:30"</f>
        <v>2025-01-17 17:04:30</v>
      </c>
      <c r="M195" s="1" t="s">
        <v>0</v>
      </c>
      <c r="N195" s="1" t="s">
        <v>38</v>
      </c>
      <c r="O195" s="1" t="s">
        <v>46</v>
      </c>
    </row>
    <row r="196" spans="2:15" x14ac:dyDescent="0.3">
      <c r="B196" s="1" t="s">
        <v>24</v>
      </c>
      <c r="C196" s="1" t="str">
        <f>"1차"</f>
        <v>1차</v>
      </c>
      <c r="D196" s="1" t="str">
        <f>"0226B05301"</f>
        <v>0226B05301</v>
      </c>
      <c r="E196" s="1" t="s">
        <v>10</v>
      </c>
      <c r="F196" s="1" t="str">
        <f>"10.89.246.246"</f>
        <v>10.89.246.246</v>
      </c>
      <c r="G196" s="1" t="str">
        <f>"0226B053"</f>
        <v>0226B053</v>
      </c>
      <c r="H196" s="1" t="str">
        <f>"용구간 21R2"</f>
        <v>용구간 21R2</v>
      </c>
      <c r="I196" s="1" t="s">
        <v>8</v>
      </c>
      <c r="J196" s="1" t="str">
        <f>"5/5"</f>
        <v>5/5</v>
      </c>
      <c r="K196" s="1" t="str">
        <f>"2026-07-29 01:18:05"</f>
        <v>2026-07-29 01:18:05</v>
      </c>
      <c r="L196" s="1" t="str">
        <f>"2015-02-06 10:20:13"</f>
        <v>2015-02-06 10:20:13</v>
      </c>
      <c r="M196" s="1" t="s">
        <v>45</v>
      </c>
      <c r="N196" s="1" t="s">
        <v>38</v>
      </c>
      <c r="O196" s="1" t="s">
        <v>46</v>
      </c>
    </row>
    <row r="197" spans="2:15" x14ac:dyDescent="0.3">
      <c r="B197" s="1" t="s">
        <v>24</v>
      </c>
      <c r="C197" s="1" t="str">
        <f>"1차"</f>
        <v>1차</v>
      </c>
      <c r="D197" s="1" t="str">
        <f>"0226B05400"</f>
        <v>0226B05400</v>
      </c>
      <c r="E197" s="1" t="s">
        <v>10</v>
      </c>
      <c r="F197" s="1" t="str">
        <f>"10.89.246.244"</f>
        <v>10.89.246.244</v>
      </c>
      <c r="G197" s="1" t="str">
        <f>"0226B054"</f>
        <v>0226B054</v>
      </c>
      <c r="H197" s="1" t="str">
        <f>"용구간 21R3"</f>
        <v>용구간 21R3</v>
      </c>
      <c r="I197" s="1" t="s">
        <v>8</v>
      </c>
      <c r="J197" s="1" t="str">
        <f>"6/6"</f>
        <v>6/6</v>
      </c>
      <c r="K197" s="1" t="str">
        <f>"2026-07-29 13:18:01"</f>
        <v>2026-07-29 13:18:01</v>
      </c>
      <c r="L197" s="1" t="str">
        <f>"2014-11-19 15:43:34"</f>
        <v>2014-11-19 15:43:34</v>
      </c>
      <c r="M197" s="1" t="s">
        <v>45</v>
      </c>
      <c r="N197" s="1" t="s">
        <v>38</v>
      </c>
      <c r="O197" s="1" t="s">
        <v>46</v>
      </c>
    </row>
    <row r="198" spans="2:15" x14ac:dyDescent="0.3">
      <c r="B198" s="1" t="s">
        <v>24</v>
      </c>
      <c r="C198" s="1" t="str">
        <f>"1차"</f>
        <v>1차</v>
      </c>
      <c r="D198" s="1" t="str">
        <f>"0226B06100"</f>
        <v>0226B06100</v>
      </c>
      <c r="E198" s="1" t="s">
        <v>10</v>
      </c>
      <c r="F198" s="1" t="str">
        <f>"10.89.246.247"</f>
        <v>10.89.246.247</v>
      </c>
      <c r="G198" s="1" t="str">
        <f>"0226B061"</f>
        <v>0226B061</v>
      </c>
      <c r="H198" s="1" t="str">
        <f>"용구간 21R1"</f>
        <v>용구간 21R1</v>
      </c>
      <c r="I198" s="1" t="s">
        <v>8</v>
      </c>
      <c r="J198" s="1" t="str">
        <f>"24/25"</f>
        <v>24/25</v>
      </c>
      <c r="K198" s="1" t="str">
        <f>"2026-07-29 13:18:01"</f>
        <v>2026-07-29 13:18:01</v>
      </c>
      <c r="L198" s="1" t="str">
        <f>"2014-11-19 15:28:22"</f>
        <v>2014-11-19 15:28:22</v>
      </c>
      <c r="M198" s="1" t="s">
        <v>45</v>
      </c>
      <c r="N198" s="1" t="s">
        <v>38</v>
      </c>
      <c r="O198" s="1" t="s">
        <v>46</v>
      </c>
    </row>
    <row r="199" spans="2:15" x14ac:dyDescent="0.3">
      <c r="B199" s="1" t="s">
        <v>24</v>
      </c>
      <c r="C199" s="1" t="str">
        <f>"3차"</f>
        <v>3차</v>
      </c>
      <c r="D199" s="1" t="str">
        <f>"0226B10139"</f>
        <v>0226B10139</v>
      </c>
      <c r="E199" s="1" t="s">
        <v>10</v>
      </c>
      <c r="F199" s="1" t="str">
        <f>"10.12.133.98"</f>
        <v>10.12.133.98</v>
      </c>
      <c r="G199" s="1" t="str">
        <f>"0226B101"</f>
        <v>0226B101</v>
      </c>
      <c r="H199" s="1" t="str">
        <f>"용구간 3L1L13"</f>
        <v>용구간 3L1L13</v>
      </c>
      <c r="I199" s="1" t="s">
        <v>8</v>
      </c>
      <c r="J199" s="1" t="str">
        <f>"28/47"</f>
        <v>28/47</v>
      </c>
      <c r="K199" s="1" t="str">
        <f>"2026-07-29 13:18:01"</f>
        <v>2026-07-29 13:18:01</v>
      </c>
      <c r="L199" s="1" t="str">
        <f>"2018-04-17 18:30:16"</f>
        <v>2018-04-17 18:30:16</v>
      </c>
      <c r="M199" s="1" t="s">
        <v>0</v>
      </c>
      <c r="N199" s="1" t="s">
        <v>38</v>
      </c>
      <c r="O199" s="1" t="s">
        <v>46</v>
      </c>
    </row>
    <row r="200" spans="2:15" x14ac:dyDescent="0.3">
      <c r="B200" s="1" t="s">
        <v>24</v>
      </c>
      <c r="C200" s="1" t="str">
        <f>"6차"</f>
        <v>6차</v>
      </c>
      <c r="D200" s="1" t="str">
        <f>"0226B1116S"</f>
        <v>0226B1116S</v>
      </c>
      <c r="E200" s="1" t="s">
        <v>10</v>
      </c>
      <c r="F200" s="1" t="str">
        <f>"fde1:103:4:c6a3:0:0:0:2"</f>
        <v>fde1:103:4:c6a3:0:0:0:2</v>
      </c>
      <c r="G200" s="1" t="str">
        <f>"0226B111"</f>
        <v>0226B111</v>
      </c>
      <c r="H200" s="1" t="str">
        <f>"용구간 3L1L14"</f>
        <v>용구간 3L1L14</v>
      </c>
      <c r="I200" s="1" t="s">
        <v>15</v>
      </c>
      <c r="J200" s="1" t="str">
        <f>"49/62"</f>
        <v>49/62</v>
      </c>
      <c r="K200" s="1" t="str">
        <f>"2026-07-29 14:20:33"</f>
        <v>2026-07-29 14:20:33</v>
      </c>
      <c r="L200" s="1" t="str">
        <f>"2024-09-26 19:55:59"</f>
        <v>2024-09-26 19:55:59</v>
      </c>
      <c r="M200" s="1" t="s">
        <v>4</v>
      </c>
      <c r="N200" s="1" t="s">
        <v>38</v>
      </c>
      <c r="O200" s="1" t="s">
        <v>46</v>
      </c>
    </row>
    <row r="201" spans="2:15" x14ac:dyDescent="0.3">
      <c r="B201" s="1" t="s">
        <v>24</v>
      </c>
      <c r="C201" s="1" t="str">
        <f>"1차"</f>
        <v>1차</v>
      </c>
      <c r="D201" s="1" t="str">
        <f>"0226B12101"</f>
        <v>0226B12101</v>
      </c>
      <c r="E201" s="1" t="s">
        <v>10</v>
      </c>
      <c r="F201" s="1" t="str">
        <f>"10.12.130.203"</f>
        <v>10.12.130.203</v>
      </c>
      <c r="G201" s="1" t="str">
        <f>"0226B121"</f>
        <v>0226B121</v>
      </c>
      <c r="H201" s="1" t="str">
        <f>"용구간 3L1L14D1"</f>
        <v>용구간 3L1L14D1</v>
      </c>
      <c r="I201" s="1" t="s">
        <v>8</v>
      </c>
      <c r="J201" s="1" t="str">
        <f>"16/17"</f>
        <v>16/17</v>
      </c>
      <c r="K201" s="1" t="str">
        <f>"2026-07-29 13:18:03"</f>
        <v>2026-07-29 13:18:03</v>
      </c>
      <c r="L201" s="1" t="str">
        <f>"2015-02-04 11:43:34"</f>
        <v>2015-02-04 11:43:34</v>
      </c>
      <c r="M201" s="1" t="s">
        <v>0</v>
      </c>
      <c r="N201" s="1" t="s">
        <v>38</v>
      </c>
      <c r="O201" s="1" t="s">
        <v>46</v>
      </c>
    </row>
    <row r="202" spans="2:15" x14ac:dyDescent="0.3">
      <c r="B202" s="1" t="s">
        <v>24</v>
      </c>
      <c r="C202" s="1" t="str">
        <f>"4차"</f>
        <v>4차</v>
      </c>
      <c r="D202" s="1" t="str">
        <f>"0226B21244"</f>
        <v>0226B21244</v>
      </c>
      <c r="E202" s="1" t="s">
        <v>10</v>
      </c>
      <c r="F202" s="1" t="str">
        <f>"10.10.60.194"</f>
        <v>10.10.60.194</v>
      </c>
      <c r="G202" s="1" t="str">
        <f>"0226B212"</f>
        <v>0226B212</v>
      </c>
      <c r="H202" s="1" t="str">
        <f>"용구간 3L1L14R2"</f>
        <v>용구간 3L1L14R2</v>
      </c>
      <c r="I202" s="1" t="s">
        <v>8</v>
      </c>
      <c r="J202" s="1" t="str">
        <f>"32/52"</f>
        <v>32/52</v>
      </c>
      <c r="K202" s="1" t="str">
        <f>"2026-07-29 13:18:02"</f>
        <v>2026-07-29 13:18:02</v>
      </c>
      <c r="L202" s="1" t="str">
        <f>"2019-11-11 11:38:57"</f>
        <v>2019-11-11 11:38:57</v>
      </c>
      <c r="M202" s="1" t="s">
        <v>1</v>
      </c>
      <c r="N202" s="1" t="s">
        <v>38</v>
      </c>
      <c r="O202" s="1" t="s">
        <v>46</v>
      </c>
    </row>
    <row r="203" spans="2:15" x14ac:dyDescent="0.3">
      <c r="B203" s="1" t="s">
        <v>24</v>
      </c>
      <c r="C203" s="1" t="str">
        <f>"6차"</f>
        <v>6차</v>
      </c>
      <c r="D203" s="1" t="str">
        <f>"0226B2416S"</f>
        <v>0226B2416S</v>
      </c>
      <c r="E203" s="1" t="s">
        <v>10</v>
      </c>
      <c r="F203" s="1" t="str">
        <f>"fde1:103:4:9123:0:0:0:2"</f>
        <v>fde1:103:4:9123:0:0:0:2</v>
      </c>
      <c r="G203" s="1" t="str">
        <f>"0226B241"</f>
        <v>0226B241</v>
      </c>
      <c r="H203" s="1" t="str">
        <f>"역전간 7R7"</f>
        <v>역전간 7R7</v>
      </c>
      <c r="I203" s="1" t="s">
        <v>15</v>
      </c>
      <c r="J203" s="1" t="str">
        <f>"67/68"</f>
        <v>67/68</v>
      </c>
      <c r="K203" s="1" t="str">
        <f>"2026-07-29 14:20:49"</f>
        <v>2026-07-29 14:20:49</v>
      </c>
      <c r="L203" s="1" t="str">
        <f>"2025-02-18 15:49:02"</f>
        <v>2025-02-18 15:49:02</v>
      </c>
      <c r="M203" s="1" t="s">
        <v>4</v>
      </c>
      <c r="N203" s="1" t="s">
        <v>38</v>
      </c>
      <c r="O203" s="1" t="s">
        <v>46</v>
      </c>
    </row>
    <row r="204" spans="2:15" x14ac:dyDescent="0.3">
      <c r="B204" s="1" t="s">
        <v>24</v>
      </c>
      <c r="C204" s="1" t="str">
        <f>"6차"</f>
        <v>6차</v>
      </c>
      <c r="D204" s="1" t="str">
        <f>"0226B2526S"</f>
        <v>0226B2526S</v>
      </c>
      <c r="E204" s="1" t="s">
        <v>10</v>
      </c>
      <c r="F204" s="1" t="str">
        <f>"fde3:102:1430:2100:0:0:0:7"</f>
        <v>fde3:102:1430:2100:0:0:0:7</v>
      </c>
      <c r="G204" s="1" t="str">
        <f>"0226B252"</f>
        <v>0226B252</v>
      </c>
      <c r="H204" s="1" t="str">
        <f>"용구간 3L1L17R5"</f>
        <v>용구간 3L1L17R5</v>
      </c>
      <c r="I204" s="1" t="s">
        <v>15</v>
      </c>
      <c r="J204" s="1" t="str">
        <f>"72/73"</f>
        <v>72/73</v>
      </c>
      <c r="K204" s="1" t="str">
        <f>"2026-07-29 14:20:32"</f>
        <v>2026-07-29 14:20:32</v>
      </c>
      <c r="L204" s="1" t="str">
        <f>"2024-09-25 19:38:14"</f>
        <v>2024-09-25 19:38:14</v>
      </c>
      <c r="M204" s="1" t="s">
        <v>45</v>
      </c>
      <c r="N204" s="1" t="s">
        <v>38</v>
      </c>
      <c r="O204" s="1" t="s">
        <v>46</v>
      </c>
    </row>
    <row r="205" spans="2:15" x14ac:dyDescent="0.3">
      <c r="B205" s="1" t="s">
        <v>24</v>
      </c>
      <c r="C205" s="1" t="str">
        <f>"4차"</f>
        <v>4차</v>
      </c>
      <c r="D205" s="1" t="str">
        <f>"0226B30244"</f>
        <v>0226B30244</v>
      </c>
      <c r="E205" s="1" t="s">
        <v>10</v>
      </c>
      <c r="F205" s="1" t="str">
        <f>"10.10.60.202"</f>
        <v>10.10.60.202</v>
      </c>
      <c r="G205" s="1" t="str">
        <f>"0226B302"</f>
        <v>0226B302</v>
      </c>
      <c r="H205" s="1" t="str">
        <f>"용구간 3L1L14R4"</f>
        <v>용구간 3L1L14R4</v>
      </c>
      <c r="I205" s="1" t="s">
        <v>8</v>
      </c>
      <c r="J205" s="1" t="str">
        <f>"60/60"</f>
        <v>60/60</v>
      </c>
      <c r="K205" s="1" t="str">
        <f>"2026-07-29 13:18:02"</f>
        <v>2026-07-29 13:18:02</v>
      </c>
      <c r="L205" s="1" t="str">
        <f>"2019-11-11 11:41:57"</f>
        <v>2019-11-11 11:41:57</v>
      </c>
      <c r="M205" s="1" t="s">
        <v>1</v>
      </c>
      <c r="N205" s="1" t="s">
        <v>38</v>
      </c>
      <c r="O205" s="1" t="s">
        <v>46</v>
      </c>
    </row>
    <row r="206" spans="2:15" x14ac:dyDescent="0.3">
      <c r="B206" s="1" t="s">
        <v>24</v>
      </c>
      <c r="C206" s="1" t="str">
        <f>"6차"</f>
        <v>6차</v>
      </c>
      <c r="D206" s="1" t="str">
        <f>"0226B3316S"</f>
        <v>0226B3316S</v>
      </c>
      <c r="E206" s="1" t="s">
        <v>10</v>
      </c>
      <c r="F206" s="1" t="str">
        <f>"fde1:103:4:c5c3:0:0:0:2"</f>
        <v>fde1:103:4:c5c3:0:0:0:2</v>
      </c>
      <c r="G206" s="1" t="str">
        <f>"0226B331"</f>
        <v>0226B331</v>
      </c>
      <c r="H206" s="1" t="str">
        <f>"역전간 7R5"</f>
        <v>역전간 7R5</v>
      </c>
      <c r="I206" s="1" t="s">
        <v>15</v>
      </c>
      <c r="J206" s="1" t="str">
        <f>"68/68"</f>
        <v>68/68</v>
      </c>
      <c r="K206" s="1" t="str">
        <f>"2026-07-29 14:20:33"</f>
        <v>2026-07-29 14:20:33</v>
      </c>
      <c r="L206" s="1" t="str">
        <f>"2024-11-04 15:44:00"</f>
        <v>2024-11-04 15:44:00</v>
      </c>
      <c r="M206" s="1" t="s">
        <v>4</v>
      </c>
      <c r="N206" s="1" t="s">
        <v>38</v>
      </c>
      <c r="O206" s="1" t="s">
        <v>46</v>
      </c>
    </row>
    <row r="207" spans="2:15" x14ac:dyDescent="0.3">
      <c r="B207" s="1" t="s">
        <v>24</v>
      </c>
      <c r="C207" s="1" t="str">
        <f>"3차"</f>
        <v>3차</v>
      </c>
      <c r="D207" s="1" t="str">
        <f>"0226B40339"</f>
        <v>0226B40339</v>
      </c>
      <c r="E207" s="1" t="s">
        <v>10</v>
      </c>
      <c r="F207" s="1" t="str">
        <f>"10.12.128.61"</f>
        <v>10.12.128.61</v>
      </c>
      <c r="G207" s="1" t="str">
        <f>"0226B403"</f>
        <v>0226B403</v>
      </c>
      <c r="H207" s="1" t="str">
        <f>"용구간 3L1L14R5"</f>
        <v>용구간 3L1L14R5</v>
      </c>
      <c r="I207" s="1" t="s">
        <v>8</v>
      </c>
      <c r="J207" s="1" t="str">
        <f>"33/33"</f>
        <v>33/33</v>
      </c>
      <c r="K207" s="1" t="str">
        <f>"2026-07-29 13:18:04"</f>
        <v>2026-07-29 13:18:04</v>
      </c>
      <c r="L207" s="1" t="str">
        <f>"2018-07-17 17:03:13"</f>
        <v>2018-07-17 17:03:13</v>
      </c>
      <c r="M207" s="1" t="s">
        <v>0</v>
      </c>
      <c r="N207" s="1" t="s">
        <v>38</v>
      </c>
      <c r="O207" s="1" t="s">
        <v>46</v>
      </c>
    </row>
    <row r="208" spans="2:15" x14ac:dyDescent="0.3">
      <c r="B208" s="1" t="s">
        <v>24</v>
      </c>
      <c r="C208" s="1" t="str">
        <f>"4차"</f>
        <v>4차</v>
      </c>
      <c r="D208" s="1" t="str">
        <f>"0226B42144"</f>
        <v>0226B42144</v>
      </c>
      <c r="E208" s="1" t="s">
        <v>10</v>
      </c>
      <c r="F208" s="1" t="str">
        <f>"10.10.59.122"</f>
        <v>10.10.59.122</v>
      </c>
      <c r="G208" s="1" t="str">
        <f>"0226B421"</f>
        <v>0226B421</v>
      </c>
      <c r="H208" s="1" t="str">
        <f>"역전간 7R2L4"</f>
        <v>역전간 7R2L4</v>
      </c>
      <c r="I208" s="1" t="s">
        <v>8</v>
      </c>
      <c r="J208" s="1" t="str">
        <f>"51/52"</f>
        <v>51/52</v>
      </c>
      <c r="K208" s="1" t="str">
        <f>"2026-07-29 13:18:01"</f>
        <v>2026-07-29 13:18:01</v>
      </c>
      <c r="L208" s="1" t="str">
        <f>"2019-12-24 16:39:10"</f>
        <v>2019-12-24 16:39:10</v>
      </c>
      <c r="M208" s="1" t="s">
        <v>1</v>
      </c>
      <c r="N208" s="1" t="s">
        <v>38</v>
      </c>
      <c r="O208" s="1" t="s">
        <v>46</v>
      </c>
    </row>
    <row r="209" spans="2:15" x14ac:dyDescent="0.3">
      <c r="B209" s="1" t="s">
        <v>24</v>
      </c>
      <c r="C209" s="1" t="str">
        <f>"6차"</f>
        <v>6차</v>
      </c>
      <c r="D209" s="1" t="str">
        <f>"0226B4316S"</f>
        <v>0226B4316S</v>
      </c>
      <c r="E209" s="1" t="s">
        <v>10</v>
      </c>
      <c r="F209" s="1" t="str">
        <f>"fde1:103:4:c5ea:0:0:0:2"</f>
        <v>fde1:103:4:c5ea:0:0:0:2</v>
      </c>
      <c r="G209" s="1" t="str">
        <f>"0226B431"</f>
        <v>0226B431</v>
      </c>
      <c r="H209" s="1" t="str">
        <f>"역전간 7R4"</f>
        <v>역전간 7R4</v>
      </c>
      <c r="I209" s="1" t="s">
        <v>15</v>
      </c>
      <c r="J209" s="1" t="str">
        <f>"66/66"</f>
        <v>66/66</v>
      </c>
      <c r="K209" s="1" t="str">
        <f>"2026-07-29 14:20:01"</f>
        <v>2026-07-29 14:20:01</v>
      </c>
      <c r="L209" s="1" t="str">
        <f>"2024-11-04 15:44:06"</f>
        <v>2024-11-04 15:44:06</v>
      </c>
      <c r="M209" s="1" t="s">
        <v>4</v>
      </c>
      <c r="N209" s="1" t="s">
        <v>38</v>
      </c>
      <c r="O209" s="1" t="s">
        <v>46</v>
      </c>
    </row>
    <row r="210" spans="2:15" x14ac:dyDescent="0.3">
      <c r="B210" s="1" t="s">
        <v>24</v>
      </c>
      <c r="C210" s="1" t="str">
        <f>"6차"</f>
        <v>6차</v>
      </c>
      <c r="D210" s="1" t="str">
        <f>"0226B5016S"</f>
        <v>0226B5016S</v>
      </c>
      <c r="E210" s="1" t="s">
        <v>10</v>
      </c>
      <c r="F210" s="1" t="str">
        <f>"fde1:103:4:c65e:0:0:0:2"</f>
        <v>fde1:103:4:c65e:0:0:0:2</v>
      </c>
      <c r="G210" s="1" t="str">
        <f>"0226B501"</f>
        <v>0226B501</v>
      </c>
      <c r="H210" s="1" t="str">
        <f>"역전간 11"</f>
        <v>역전간 11</v>
      </c>
      <c r="I210" s="1" t="s">
        <v>15</v>
      </c>
      <c r="J210" s="1" t="str">
        <f>"111/112"</f>
        <v>111/112</v>
      </c>
      <c r="K210" s="1" t="str">
        <f>"2026-07-29 14:20:19"</f>
        <v>2026-07-29 14:20:19</v>
      </c>
      <c r="L210" s="1" t="str">
        <f>"2024-11-13 17:18:08"</f>
        <v>2024-11-13 17:18:08</v>
      </c>
      <c r="M210" s="1" t="s">
        <v>4</v>
      </c>
      <c r="N210" s="1" t="s">
        <v>38</v>
      </c>
      <c r="O210" s="1" t="s">
        <v>46</v>
      </c>
    </row>
    <row r="211" spans="2:15" x14ac:dyDescent="0.3">
      <c r="B211" s="1" t="s">
        <v>24</v>
      </c>
      <c r="C211" s="1" t="str">
        <f>"4차"</f>
        <v>4차</v>
      </c>
      <c r="D211" s="1" t="str">
        <f>"0226B51444"</f>
        <v>0226B51444</v>
      </c>
      <c r="E211" s="1" t="s">
        <v>10</v>
      </c>
      <c r="F211" s="1" t="str">
        <f>"10.12.128.129"</f>
        <v>10.12.128.129</v>
      </c>
      <c r="G211" s="1" t="str">
        <f>"0226B514"</f>
        <v>0226B514</v>
      </c>
      <c r="H211" s="1" t="str">
        <f>"역전간 10"</f>
        <v>역전간 10</v>
      </c>
      <c r="I211" s="1" t="s">
        <v>8</v>
      </c>
      <c r="J211" s="1" t="str">
        <f>"25/25"</f>
        <v>25/25</v>
      </c>
      <c r="K211" s="1" t="str">
        <f>"2026-07-29 13:18:02"</f>
        <v>2026-07-29 13:18:02</v>
      </c>
      <c r="L211" s="1" t="str">
        <f>"2023-11-17 14:43:24"</f>
        <v>2023-11-17 14:43:24</v>
      </c>
      <c r="M211" s="1" t="s">
        <v>0</v>
      </c>
      <c r="N211" s="1" t="s">
        <v>38</v>
      </c>
      <c r="O211" s="1" t="s">
        <v>46</v>
      </c>
    </row>
    <row r="212" spans="2:15" x14ac:dyDescent="0.3">
      <c r="B212" s="1" t="s">
        <v>24</v>
      </c>
      <c r="C212" s="1" t="str">
        <f>"4차"</f>
        <v>4차</v>
      </c>
      <c r="D212" s="1" t="str">
        <f>"0226B52144"</f>
        <v>0226B52144</v>
      </c>
      <c r="E212" s="1" t="s">
        <v>10</v>
      </c>
      <c r="F212" s="1" t="str">
        <f>"10.89.246.228"</f>
        <v>10.89.246.228</v>
      </c>
      <c r="G212" s="1" t="str">
        <f>"0226B521"</f>
        <v>0226B521</v>
      </c>
      <c r="H212" s="1" t="str">
        <f>"역전간 7R2"</f>
        <v>역전간 7R2</v>
      </c>
      <c r="I212" s="1" t="s">
        <v>8</v>
      </c>
      <c r="J212" s="1" t="str">
        <f>"66/66"</f>
        <v>66/66</v>
      </c>
      <c r="K212" s="1" t="str">
        <f>"2026-07-29 13:18:01"</f>
        <v>2026-07-29 13:18:01</v>
      </c>
      <c r="L212" s="1" t="str">
        <f>"2023-07-19 17:24:06"</f>
        <v>2023-07-19 17:24:06</v>
      </c>
      <c r="M212" s="1" t="s">
        <v>45</v>
      </c>
      <c r="N212" s="1" t="s">
        <v>38</v>
      </c>
      <c r="O212" s="1" t="s">
        <v>46</v>
      </c>
    </row>
    <row r="213" spans="2:15" x14ac:dyDescent="0.3">
      <c r="B213" s="1" t="s">
        <v>24</v>
      </c>
      <c r="C213" s="1" t="str">
        <f>"6차"</f>
        <v>6차</v>
      </c>
      <c r="D213" s="1" t="str">
        <f>"0226B5316S"</f>
        <v>0226B5316S</v>
      </c>
      <c r="E213" s="1" t="s">
        <v>10</v>
      </c>
      <c r="F213" s="1" t="str">
        <f>"fde1:103:4:c5c6:0:0:0:2"</f>
        <v>fde1:103:4:c5c6:0:0:0:2</v>
      </c>
      <c r="G213" s="1" t="str">
        <f>"0226B531"</f>
        <v>0226B531</v>
      </c>
      <c r="H213" s="1" t="str">
        <f>"역전간 7R3"</f>
        <v>역전간 7R3</v>
      </c>
      <c r="I213" s="1" t="s">
        <v>15</v>
      </c>
      <c r="J213" s="1" t="str">
        <f>"27/31"</f>
        <v>27/31</v>
      </c>
      <c r="K213" s="1" t="str">
        <f>"2026-07-29 14:20:33"</f>
        <v>2026-07-29 14:20:33</v>
      </c>
      <c r="L213" s="1" t="str">
        <f>"2024-11-04 15:44:10"</f>
        <v>2024-11-04 15:44:10</v>
      </c>
      <c r="M213" s="1" t="s">
        <v>4</v>
      </c>
      <c r="N213" s="1" t="s">
        <v>38</v>
      </c>
      <c r="O213" s="1" t="s">
        <v>46</v>
      </c>
    </row>
    <row r="214" spans="2:15" x14ac:dyDescent="0.3">
      <c r="B214" s="1" t="s">
        <v>24</v>
      </c>
      <c r="C214" s="1" t="str">
        <f>"6차"</f>
        <v>6차</v>
      </c>
      <c r="D214" s="1" t="str">
        <f>"0226B6216S"</f>
        <v>0226B6216S</v>
      </c>
      <c r="E214" s="1" t="s">
        <v>10</v>
      </c>
      <c r="F214" s="1" t="str">
        <f>"fde1:103:4:c626:0:0:0:2"</f>
        <v>fde1:103:4:c626:0:0:0:2</v>
      </c>
      <c r="G214" s="1" t="str">
        <f>"0226B621"</f>
        <v>0226B621</v>
      </c>
      <c r="H214" s="1" t="str">
        <f>"역전간 7R1"</f>
        <v>역전간 7R1</v>
      </c>
      <c r="I214" s="1" t="s">
        <v>15</v>
      </c>
      <c r="J214" s="1" t="str">
        <f>"29/31"</f>
        <v>29/31</v>
      </c>
      <c r="K214" s="1" t="str">
        <f>"2026-07-29 14:20:33"</f>
        <v>2026-07-29 14:20:33</v>
      </c>
      <c r="L214" s="1" t="str">
        <f>"2024-11-04 15:44:02"</f>
        <v>2024-11-04 15:44:02</v>
      </c>
      <c r="M214" s="1" t="s">
        <v>4</v>
      </c>
      <c r="N214" s="1" t="s">
        <v>38</v>
      </c>
      <c r="O214" s="1" t="s">
        <v>46</v>
      </c>
    </row>
    <row r="215" spans="2:15" x14ac:dyDescent="0.3">
      <c r="B215" s="1" t="s">
        <v>24</v>
      </c>
      <c r="C215" s="1" t="str">
        <f t="shared" ref="C215:C220" si="17">"4차"</f>
        <v>4차</v>
      </c>
      <c r="D215" s="1" t="str">
        <f>"0226B62339"</f>
        <v>0226B62339</v>
      </c>
      <c r="E215" s="1" t="s">
        <v>10</v>
      </c>
      <c r="F215" s="1" t="str">
        <f>"10.14.3.123"</f>
        <v>10.14.3.123</v>
      </c>
      <c r="G215" s="1" t="str">
        <f>"0226B623"</f>
        <v>0226B623</v>
      </c>
      <c r="H215" s="1" t="str">
        <f>"역전간 7H1"</f>
        <v>역전간 7H1</v>
      </c>
      <c r="I215" s="1" t="s">
        <v>8</v>
      </c>
      <c r="J215" s="1" t="str">
        <f>"37/38"</f>
        <v>37/38</v>
      </c>
      <c r="K215" s="1" t="str">
        <f>"2026-07-29 13:18:02"</f>
        <v>2026-07-29 13:18:02</v>
      </c>
      <c r="L215" s="1" t="str">
        <f>"2022-12-28 13:38:53"</f>
        <v>2022-12-28 13:38:53</v>
      </c>
      <c r="M215" s="1" t="s">
        <v>3</v>
      </c>
      <c r="N215" s="1" t="s">
        <v>38</v>
      </c>
      <c r="O215" s="1" t="s">
        <v>46</v>
      </c>
    </row>
    <row r="216" spans="2:15" x14ac:dyDescent="0.3">
      <c r="B216" s="1" t="s">
        <v>24</v>
      </c>
      <c r="C216" s="1" t="str">
        <f t="shared" si="17"/>
        <v>4차</v>
      </c>
      <c r="D216" s="1" t="str">
        <f>"0226B64144"</f>
        <v>0226B64144</v>
      </c>
      <c r="E216" s="1" t="s">
        <v>10</v>
      </c>
      <c r="F216" s="1" t="str">
        <f>"10.10.116.10"</f>
        <v>10.10.116.10</v>
      </c>
      <c r="G216" s="1" t="str">
        <f>"0226B641"</f>
        <v>0226B641</v>
      </c>
      <c r="H216" s="1" t="str">
        <f>"역전간 5R4"</f>
        <v>역전간 5R4</v>
      </c>
      <c r="I216" s="1" t="s">
        <v>8</v>
      </c>
      <c r="J216" s="1" t="str">
        <f>"13/15"</f>
        <v>13/15</v>
      </c>
      <c r="K216" s="1" t="str">
        <f>"2026-07-29 13:18:01"</f>
        <v>2026-07-29 13:18:01</v>
      </c>
      <c r="L216" s="1" t="str">
        <f>"2019-11-11 12:03:04"</f>
        <v>2019-11-11 12:03:04</v>
      </c>
      <c r="M216" s="1" t="s">
        <v>1</v>
      </c>
      <c r="N216" s="1" t="s">
        <v>38</v>
      </c>
      <c r="O216" s="1" t="s">
        <v>46</v>
      </c>
    </row>
    <row r="217" spans="2:15" x14ac:dyDescent="0.3">
      <c r="B217" s="1" t="s">
        <v>24</v>
      </c>
      <c r="C217" s="1" t="str">
        <f t="shared" si="17"/>
        <v>4차</v>
      </c>
      <c r="D217" s="1" t="str">
        <f>"0226B64339"</f>
        <v>0226B64339</v>
      </c>
      <c r="E217" s="1" t="s">
        <v>10</v>
      </c>
      <c r="F217" s="1" t="str">
        <f>"10.12.129.72"</f>
        <v>10.12.129.72</v>
      </c>
      <c r="G217" s="1" t="str">
        <f>"0226B643"</f>
        <v>0226B643</v>
      </c>
      <c r="H217" s="1" t="str">
        <f>"역전간 5R3"</f>
        <v>역전간 5R3</v>
      </c>
      <c r="I217" s="1" t="s">
        <v>8</v>
      </c>
      <c r="J217" s="1" t="str">
        <f>"41/41"</f>
        <v>41/41</v>
      </c>
      <c r="K217" s="1" t="str">
        <f>"2026-07-29 07:18:02"</f>
        <v>2026-07-29 07:18:02</v>
      </c>
      <c r="L217" s="1" t="str">
        <f>"2018-04-17 18:28:15"</f>
        <v>2018-04-17 18:28:15</v>
      </c>
      <c r="M217" s="1" t="s">
        <v>0</v>
      </c>
      <c r="N217" s="1" t="s">
        <v>38</v>
      </c>
      <c r="O217" s="1" t="s">
        <v>46</v>
      </c>
    </row>
    <row r="218" spans="2:15" x14ac:dyDescent="0.3">
      <c r="B218" s="1" t="s">
        <v>24</v>
      </c>
      <c r="C218" s="1" t="str">
        <f t="shared" si="17"/>
        <v>4차</v>
      </c>
      <c r="D218" s="1" t="str">
        <f>"0226B64444"</f>
        <v>0226B64444</v>
      </c>
      <c r="E218" s="1" t="s">
        <v>10</v>
      </c>
      <c r="F218" s="1" t="str">
        <f>"10.10.115.10"</f>
        <v>10.10.115.10</v>
      </c>
      <c r="G218" s="1" t="str">
        <f>"0226B644"</f>
        <v>0226B644</v>
      </c>
      <c r="H218" s="1" t="str">
        <f>"역전간 5R2"</f>
        <v>역전간 5R2</v>
      </c>
      <c r="I218" s="1" t="s">
        <v>8</v>
      </c>
      <c r="J218" s="1" t="str">
        <f>"20/20"</f>
        <v>20/20</v>
      </c>
      <c r="K218" s="1" t="str">
        <f>"2026-07-29 13:18:01"</f>
        <v>2026-07-29 13:18:01</v>
      </c>
      <c r="L218" s="1" t="str">
        <f>"2019-11-11 11:53:33"</f>
        <v>2019-11-11 11:53:33</v>
      </c>
      <c r="M218" s="1" t="s">
        <v>1</v>
      </c>
      <c r="N218" s="1" t="s">
        <v>38</v>
      </c>
      <c r="O218" s="1" t="s">
        <v>46</v>
      </c>
    </row>
    <row r="219" spans="2:15" x14ac:dyDescent="0.3">
      <c r="B219" s="1" t="s">
        <v>24</v>
      </c>
      <c r="C219" s="1" t="str">
        <f t="shared" si="17"/>
        <v>4차</v>
      </c>
      <c r="D219" s="1" t="str">
        <f>"0226B64542"</f>
        <v>0226B64542</v>
      </c>
      <c r="E219" s="1" t="s">
        <v>10</v>
      </c>
      <c r="F219" s="1" t="str">
        <f>"10.89.129.170"</f>
        <v>10.89.129.170</v>
      </c>
      <c r="G219" s="1" t="str">
        <f>"0226B645"</f>
        <v>0226B645</v>
      </c>
      <c r="H219" s="1" t="str">
        <f>"역전간 5R5"</f>
        <v>역전간 5R5</v>
      </c>
      <c r="I219" s="1" t="s">
        <v>8</v>
      </c>
      <c r="J219" s="1" t="str">
        <f>"32/35"</f>
        <v>32/35</v>
      </c>
      <c r="K219" s="1" t="str">
        <f>"2026-07-29 13:18:02"</f>
        <v>2026-07-29 13:18:02</v>
      </c>
      <c r="L219" s="1" t="str">
        <f>"2025-01-14 18:17:29"</f>
        <v>2025-01-14 18:17:29</v>
      </c>
      <c r="M219" s="1" t="s">
        <v>45</v>
      </c>
      <c r="N219" s="1" t="s">
        <v>38</v>
      </c>
      <c r="O219" s="1" t="s">
        <v>46</v>
      </c>
    </row>
    <row r="220" spans="2:15" x14ac:dyDescent="0.3">
      <c r="B220" s="1" t="s">
        <v>24</v>
      </c>
      <c r="C220" s="1" t="str">
        <f t="shared" si="17"/>
        <v>4차</v>
      </c>
      <c r="D220" s="1" t="str">
        <f>"0226B74344"</f>
        <v>0226B74344</v>
      </c>
      <c r="E220" s="1" t="s">
        <v>10</v>
      </c>
      <c r="F220" s="1" t="str">
        <f>"10.10.115.18"</f>
        <v>10.10.115.18</v>
      </c>
      <c r="G220" s="1" t="str">
        <f>"0226B743"</f>
        <v>0226B743</v>
      </c>
      <c r="H220" s="1" t="str">
        <f>"역전간 5R1"</f>
        <v>역전간 5R1</v>
      </c>
      <c r="I220" s="1" t="s">
        <v>8</v>
      </c>
      <c r="J220" s="1" t="str">
        <f>"15/15"</f>
        <v>15/15</v>
      </c>
      <c r="K220" s="1" t="str">
        <f>"2026-07-29 13:18:02"</f>
        <v>2026-07-29 13:18:02</v>
      </c>
      <c r="L220" s="1" t="str">
        <f>"2021-07-28 16:38:26"</f>
        <v>2021-07-28 16:38:26</v>
      </c>
      <c r="M220" s="1" t="s">
        <v>1</v>
      </c>
      <c r="N220" s="1" t="s">
        <v>38</v>
      </c>
      <c r="O220" s="1" t="s">
        <v>46</v>
      </c>
    </row>
    <row r="221" spans="2:15" x14ac:dyDescent="0.3">
      <c r="B221" s="1" t="s">
        <v>24</v>
      </c>
      <c r="C221" s="1" t="str">
        <f>"1차"</f>
        <v>1차</v>
      </c>
      <c r="D221" s="1" t="str">
        <f>"0226B81100"</f>
        <v>0226B81100</v>
      </c>
      <c r="E221" s="1" t="s">
        <v>10</v>
      </c>
      <c r="F221" s="1" t="str">
        <f>"10.89.128.5"</f>
        <v>10.89.128.5</v>
      </c>
      <c r="G221" s="1" t="str">
        <f>"0226B811"</f>
        <v>0226B811</v>
      </c>
      <c r="H221" s="1" t="str">
        <f>"태양간 23L7"</f>
        <v>태양간 23L7</v>
      </c>
      <c r="I221" s="1" t="s">
        <v>8</v>
      </c>
      <c r="J221" s="1" t="str">
        <f>"11/11"</f>
        <v>11/11</v>
      </c>
      <c r="K221" s="1" t="str">
        <f>"2026-07-29 13:18:02"</f>
        <v>2026-07-29 13:18:02</v>
      </c>
      <c r="L221" s="1" t="str">
        <f>"2023-10-27 15:43:03"</f>
        <v>2023-10-27 15:43:03</v>
      </c>
      <c r="M221" s="1" t="s">
        <v>45</v>
      </c>
      <c r="N221" s="1" t="s">
        <v>38</v>
      </c>
      <c r="O221" s="1" t="s">
        <v>46</v>
      </c>
    </row>
    <row r="222" spans="2:15" x14ac:dyDescent="0.3">
      <c r="B222" s="1" t="s">
        <v>24</v>
      </c>
      <c r="C222" s="1" t="str">
        <f>"1차"</f>
        <v>1차</v>
      </c>
      <c r="D222" s="1" t="str">
        <f>"0226B82401"</f>
        <v>0226B82401</v>
      </c>
      <c r="E222" s="1" t="s">
        <v>10</v>
      </c>
      <c r="F222" s="1" t="str">
        <f>"10.14.13.118"</f>
        <v>10.14.13.118</v>
      </c>
      <c r="G222" s="1" t="str">
        <f>"0226B824"</f>
        <v>0226B824</v>
      </c>
      <c r="H222" s="1" t="str">
        <f>"태양간 23L10"</f>
        <v>태양간 23L10</v>
      </c>
      <c r="I222" s="1" t="s">
        <v>8</v>
      </c>
      <c r="J222" s="1" t="str">
        <f>"16/16"</f>
        <v>16/16</v>
      </c>
      <c r="K222" s="1" t="str">
        <f>"2026-07-29 13:18:03"</f>
        <v>2026-07-29 13:18:03</v>
      </c>
      <c r="L222" s="1" t="str">
        <f>"2014-11-17 15:53:56"</f>
        <v>2014-11-17 15:53:56</v>
      </c>
      <c r="M222" s="1" t="s">
        <v>3</v>
      </c>
      <c r="N222" s="1" t="s">
        <v>38</v>
      </c>
      <c r="O222" s="1" t="s">
        <v>46</v>
      </c>
    </row>
    <row r="223" spans="2:15" x14ac:dyDescent="0.3">
      <c r="B223" s="1" t="s">
        <v>24</v>
      </c>
      <c r="C223" s="1" t="str">
        <f>"4차"</f>
        <v>4차</v>
      </c>
      <c r="D223" s="1" t="str">
        <f>"0226D08144"</f>
        <v>0226D08144</v>
      </c>
      <c r="E223" s="1" t="s">
        <v>10</v>
      </c>
      <c r="F223" s="1" t="str">
        <f>"10.10.58.122"</f>
        <v>10.10.58.122</v>
      </c>
      <c r="G223" s="1" t="str">
        <f>"0226D081"</f>
        <v>0226D081</v>
      </c>
      <c r="H223" s="1" t="str">
        <f>"용구간 3L1L10R1"</f>
        <v>용구간 3L1L10R1</v>
      </c>
      <c r="I223" s="1" t="s">
        <v>8</v>
      </c>
      <c r="J223" s="1" t="str">
        <f>"23/23"</f>
        <v>23/23</v>
      </c>
      <c r="K223" s="1" t="str">
        <f t="shared" ref="K223:K232" si="18">"2026-07-29 13:18:02"</f>
        <v>2026-07-29 13:18:02</v>
      </c>
      <c r="L223" s="1" t="str">
        <f>"2019-11-11 11:47:56"</f>
        <v>2019-11-11 11:47:56</v>
      </c>
      <c r="M223" s="1" t="s">
        <v>1</v>
      </c>
      <c r="N223" s="1" t="s">
        <v>38</v>
      </c>
      <c r="O223" s="1" t="s">
        <v>46</v>
      </c>
    </row>
    <row r="224" spans="2:15" x14ac:dyDescent="0.3">
      <c r="B224" s="1" t="s">
        <v>24</v>
      </c>
      <c r="C224" s="1" t="str">
        <f>"4차"</f>
        <v>4차</v>
      </c>
      <c r="D224" s="1" t="str">
        <f>"0226D08244"</f>
        <v>0226D08244</v>
      </c>
      <c r="E224" s="1" t="s">
        <v>10</v>
      </c>
      <c r="F224" s="1" t="str">
        <f>"10.10.58.186"</f>
        <v>10.10.58.186</v>
      </c>
      <c r="G224" s="1" t="str">
        <f>"0226D082"</f>
        <v>0226D082</v>
      </c>
      <c r="H224" s="1" t="str">
        <f>"용구간 3L1L10"</f>
        <v>용구간 3L1L10</v>
      </c>
      <c r="I224" s="1" t="s">
        <v>8</v>
      </c>
      <c r="J224" s="1" t="str">
        <f>"35/35"</f>
        <v>35/35</v>
      </c>
      <c r="K224" s="1" t="str">
        <f t="shared" si="18"/>
        <v>2026-07-29 13:18:02</v>
      </c>
      <c r="L224" s="1" t="str">
        <f>"2019-11-11 11:34:56"</f>
        <v>2019-11-11 11:34:56</v>
      </c>
      <c r="M224" s="1" t="s">
        <v>1</v>
      </c>
      <c r="N224" s="1" t="s">
        <v>38</v>
      </c>
      <c r="O224" s="1" t="s">
        <v>46</v>
      </c>
    </row>
    <row r="225" spans="2:15" x14ac:dyDescent="0.3">
      <c r="B225" s="1" t="s">
        <v>24</v>
      </c>
      <c r="C225" s="1" t="str">
        <f>"4차"</f>
        <v>4차</v>
      </c>
      <c r="D225" s="1" t="str">
        <f>"0226D09144"</f>
        <v>0226D09144</v>
      </c>
      <c r="E225" s="1" t="s">
        <v>10</v>
      </c>
      <c r="F225" s="1" t="str">
        <f>"10.10.60.186"</f>
        <v>10.10.60.186</v>
      </c>
      <c r="G225" s="1" t="str">
        <f>"0226D091"</f>
        <v>0226D091</v>
      </c>
      <c r="H225" s="1" t="str">
        <f>"용구간 3L1L12"</f>
        <v>용구간 3L1L12</v>
      </c>
      <c r="I225" s="1" t="s">
        <v>8</v>
      </c>
      <c r="J225" s="1" t="str">
        <f>"89/89"</f>
        <v>89/89</v>
      </c>
      <c r="K225" s="1" t="str">
        <f t="shared" si="18"/>
        <v>2026-07-29 13:18:02</v>
      </c>
      <c r="L225" s="1" t="str">
        <f>"2019-11-11 11:38:41"</f>
        <v>2019-11-11 11:38:41</v>
      </c>
      <c r="M225" s="1" t="s">
        <v>1</v>
      </c>
      <c r="N225" s="1" t="s">
        <v>38</v>
      </c>
      <c r="O225" s="1" t="s">
        <v>46</v>
      </c>
    </row>
    <row r="226" spans="2:15" x14ac:dyDescent="0.3">
      <c r="B226" s="1" t="s">
        <v>24</v>
      </c>
      <c r="C226" s="1" t="str">
        <f>"3차"</f>
        <v>3차</v>
      </c>
      <c r="D226" s="1" t="str">
        <f>"0226D09239"</f>
        <v>0226D09239</v>
      </c>
      <c r="E226" s="1" t="s">
        <v>10</v>
      </c>
      <c r="F226" s="1" t="str">
        <f>"10.14.5.64"</f>
        <v>10.14.5.64</v>
      </c>
      <c r="G226" s="1" t="str">
        <f>"0226D092"</f>
        <v>0226D092</v>
      </c>
      <c r="H226" s="1" t="str">
        <f>"용구간 3L1L11"</f>
        <v>용구간 3L1L11</v>
      </c>
      <c r="I226" s="1" t="s">
        <v>8</v>
      </c>
      <c r="J226" s="1" t="str">
        <f>"59/59"</f>
        <v>59/59</v>
      </c>
      <c r="K226" s="1" t="str">
        <f t="shared" si="18"/>
        <v>2026-07-29 13:18:02</v>
      </c>
      <c r="L226" s="1" t="str">
        <f>"2018-04-17 18:23:45"</f>
        <v>2018-04-17 18:23:45</v>
      </c>
      <c r="M226" s="1" t="s">
        <v>3</v>
      </c>
      <c r="N226" s="1" t="s">
        <v>38</v>
      </c>
      <c r="O226" s="1" t="s">
        <v>46</v>
      </c>
    </row>
    <row r="227" spans="2:15" x14ac:dyDescent="0.3">
      <c r="B227" s="1" t="s">
        <v>24</v>
      </c>
      <c r="C227" s="1" t="str">
        <f t="shared" ref="C227:C234" si="19">"4차"</f>
        <v>4차</v>
      </c>
      <c r="D227" s="1" t="str">
        <f>"0226D17144"</f>
        <v>0226D17144</v>
      </c>
      <c r="E227" s="1" t="s">
        <v>10</v>
      </c>
      <c r="F227" s="1" t="str">
        <f>"10.10.59.106"</f>
        <v>10.10.59.106</v>
      </c>
      <c r="G227" s="1" t="str">
        <f>"0226D171"</f>
        <v>0226D171</v>
      </c>
      <c r="H227" s="1" t="str">
        <f>"역전간 20"</f>
        <v>역전간 20</v>
      </c>
      <c r="I227" s="1" t="s">
        <v>8</v>
      </c>
      <c r="J227" s="1" t="str">
        <f>"53/53"</f>
        <v>53/53</v>
      </c>
      <c r="K227" s="1" t="str">
        <f t="shared" si="18"/>
        <v>2026-07-29 13:18:02</v>
      </c>
      <c r="L227" s="1" t="str">
        <f>"2021-07-27 12:20:53"</f>
        <v>2021-07-27 12:20:53</v>
      </c>
      <c r="M227" s="1" t="s">
        <v>1</v>
      </c>
      <c r="N227" s="1" t="s">
        <v>38</v>
      </c>
      <c r="O227" s="1" t="s">
        <v>46</v>
      </c>
    </row>
    <row r="228" spans="2:15" x14ac:dyDescent="0.3">
      <c r="B228" s="1" t="s">
        <v>24</v>
      </c>
      <c r="C228" s="1" t="str">
        <f t="shared" si="19"/>
        <v>4차</v>
      </c>
      <c r="D228" s="1" t="str">
        <f>"0226D19144"</f>
        <v>0226D19144</v>
      </c>
      <c r="E228" s="1" t="s">
        <v>10</v>
      </c>
      <c r="F228" s="1" t="str">
        <f>"10.10.59.82"</f>
        <v>10.10.59.82</v>
      </c>
      <c r="G228" s="1" t="str">
        <f>"0226D191"</f>
        <v>0226D191</v>
      </c>
      <c r="H228" s="1" t="str">
        <f>"역전간 14R4"</f>
        <v>역전간 14R4</v>
      </c>
      <c r="I228" s="1" t="s">
        <v>8</v>
      </c>
      <c r="J228" s="1" t="str">
        <f>"36/39"</f>
        <v>36/39</v>
      </c>
      <c r="K228" s="1" t="str">
        <f t="shared" si="18"/>
        <v>2026-07-29 13:18:02</v>
      </c>
      <c r="L228" s="1" t="str">
        <f>"2019-11-11 11:35:13"</f>
        <v>2019-11-11 11:35:13</v>
      </c>
      <c r="M228" s="1" t="s">
        <v>1</v>
      </c>
      <c r="N228" s="1" t="s">
        <v>38</v>
      </c>
      <c r="O228" s="1" t="s">
        <v>46</v>
      </c>
    </row>
    <row r="229" spans="2:15" x14ac:dyDescent="0.3">
      <c r="B229" s="1" t="s">
        <v>24</v>
      </c>
      <c r="C229" s="1" t="str">
        <f t="shared" si="19"/>
        <v>4차</v>
      </c>
      <c r="D229" s="1" t="str">
        <f>"0226D27144"</f>
        <v>0226D27144</v>
      </c>
      <c r="E229" s="1" t="s">
        <v>10</v>
      </c>
      <c r="F229" s="1" t="str">
        <f>"10.10.59.98"</f>
        <v>10.10.59.98</v>
      </c>
      <c r="G229" s="1" t="str">
        <f>"0226D271"</f>
        <v>0226D271</v>
      </c>
      <c r="H229" s="1" t="str">
        <f>"역전간 18"</f>
        <v>역전간 18</v>
      </c>
      <c r="I229" s="1" t="s">
        <v>8</v>
      </c>
      <c r="J229" s="1" t="str">
        <f>"25/25"</f>
        <v>25/25</v>
      </c>
      <c r="K229" s="1" t="str">
        <f t="shared" si="18"/>
        <v>2026-07-29 13:18:02</v>
      </c>
      <c r="L229" s="1" t="str">
        <f>"2019-11-11 11:33:04"</f>
        <v>2019-11-11 11:33:04</v>
      </c>
      <c r="M229" s="1" t="s">
        <v>1</v>
      </c>
      <c r="N229" s="1" t="s">
        <v>38</v>
      </c>
      <c r="O229" s="1" t="s">
        <v>46</v>
      </c>
    </row>
    <row r="230" spans="2:15" x14ac:dyDescent="0.3">
      <c r="B230" s="1" t="s">
        <v>24</v>
      </c>
      <c r="C230" s="1" t="str">
        <f t="shared" si="19"/>
        <v>4차</v>
      </c>
      <c r="D230" s="1" t="str">
        <f>"0226D29144"</f>
        <v>0226D29144</v>
      </c>
      <c r="E230" s="1" t="s">
        <v>10</v>
      </c>
      <c r="F230" s="1" t="str">
        <f>"10.10.59.66"</f>
        <v>10.10.59.66</v>
      </c>
      <c r="G230" s="1" t="str">
        <f>"0226D291"</f>
        <v>0226D291</v>
      </c>
      <c r="H230" s="1" t="str">
        <f>"역전간 14R3"</f>
        <v>역전간 14R3</v>
      </c>
      <c r="I230" s="1" t="s">
        <v>8</v>
      </c>
      <c r="J230" s="1" t="str">
        <f>"74/75"</f>
        <v>74/75</v>
      </c>
      <c r="K230" s="1" t="str">
        <f t="shared" si="18"/>
        <v>2026-07-29 13:18:02</v>
      </c>
      <c r="L230" s="1" t="str">
        <f>"2019-11-11 11:25:13"</f>
        <v>2019-11-11 11:25:13</v>
      </c>
      <c r="M230" s="1" t="s">
        <v>1</v>
      </c>
      <c r="N230" s="1" t="s">
        <v>38</v>
      </c>
      <c r="O230" s="1" t="s">
        <v>46</v>
      </c>
    </row>
    <row r="231" spans="2:15" x14ac:dyDescent="0.3">
      <c r="B231" s="1" t="s">
        <v>24</v>
      </c>
      <c r="C231" s="1" t="str">
        <f t="shared" si="19"/>
        <v>4차</v>
      </c>
      <c r="D231" s="1" t="str">
        <f>"0226D36144"</f>
        <v>0226D36144</v>
      </c>
      <c r="E231" s="1" t="s">
        <v>10</v>
      </c>
      <c r="F231" s="1" t="str">
        <f>"10.10.115.26"</f>
        <v>10.10.115.26</v>
      </c>
      <c r="G231" s="1" t="str">
        <f>"0226D361"</f>
        <v>0226D361</v>
      </c>
      <c r="H231" s="1" t="str">
        <f>"역전간 16"</f>
        <v>역전간 16</v>
      </c>
      <c r="I231" s="1" t="s">
        <v>8</v>
      </c>
      <c r="J231" s="1" t="str">
        <f>"21/21"</f>
        <v>21/21</v>
      </c>
      <c r="K231" s="1" t="str">
        <f t="shared" si="18"/>
        <v>2026-07-29 13:18:02</v>
      </c>
      <c r="L231" s="1" t="str">
        <f>"2019-11-11 11:53:41"</f>
        <v>2019-11-11 11:53:41</v>
      </c>
      <c r="M231" s="1" t="s">
        <v>1</v>
      </c>
      <c r="N231" s="1" t="s">
        <v>38</v>
      </c>
      <c r="O231" s="1" t="s">
        <v>46</v>
      </c>
    </row>
    <row r="232" spans="2:15" x14ac:dyDescent="0.3">
      <c r="B232" s="1" t="s">
        <v>24</v>
      </c>
      <c r="C232" s="1" t="str">
        <f t="shared" si="19"/>
        <v>4차</v>
      </c>
      <c r="D232" s="1" t="str">
        <f>"0226D38244"</f>
        <v>0226D38244</v>
      </c>
      <c r="E232" s="1" t="s">
        <v>10</v>
      </c>
      <c r="F232" s="1" t="str">
        <f>"10.10.59.42"</f>
        <v>10.10.59.42</v>
      </c>
      <c r="G232" s="1" t="str">
        <f>"0226D382"</f>
        <v>0226D382</v>
      </c>
      <c r="H232" s="1" t="str">
        <f>"역전간 14R2"</f>
        <v>역전간 14R2</v>
      </c>
      <c r="I232" s="1" t="s">
        <v>8</v>
      </c>
      <c r="J232" s="1" t="str">
        <f>"118/118"</f>
        <v>118/118</v>
      </c>
      <c r="K232" s="1" t="str">
        <f t="shared" si="18"/>
        <v>2026-07-29 13:18:02</v>
      </c>
      <c r="L232" s="1" t="str">
        <f>"2019-12-17 15:37:52"</f>
        <v>2019-12-17 15:37:52</v>
      </c>
      <c r="M232" s="1" t="s">
        <v>1</v>
      </c>
      <c r="N232" s="1" t="s">
        <v>38</v>
      </c>
      <c r="O232" s="1" t="s">
        <v>46</v>
      </c>
    </row>
    <row r="233" spans="2:15" x14ac:dyDescent="0.3">
      <c r="B233" s="1" t="s">
        <v>24</v>
      </c>
      <c r="C233" s="1" t="str">
        <f t="shared" si="19"/>
        <v>4차</v>
      </c>
      <c r="D233" s="1" t="str">
        <f>"0226D48144"</f>
        <v>0226D48144</v>
      </c>
      <c r="E233" s="1" t="s">
        <v>10</v>
      </c>
      <c r="F233" s="1" t="str">
        <f>"10.10.59.26"</f>
        <v>10.10.59.26</v>
      </c>
      <c r="G233" s="1" t="str">
        <f>"0226D481"</f>
        <v>0226D481</v>
      </c>
      <c r="H233" s="1" t="str">
        <f>"역전간 14"</f>
        <v>역전간 14</v>
      </c>
      <c r="I233" s="1" t="s">
        <v>8</v>
      </c>
      <c r="J233" s="1" t="str">
        <f>"16/16"</f>
        <v>16/16</v>
      </c>
      <c r="K233" s="1" t="str">
        <f>"2026-07-29 13:18:01"</f>
        <v>2026-07-29 13:18:01</v>
      </c>
      <c r="L233" s="1" t="str">
        <f>"2019-11-11 11:37:41"</f>
        <v>2019-11-11 11:37:41</v>
      </c>
      <c r="M233" s="1" t="s">
        <v>1</v>
      </c>
      <c r="N233" s="1" t="s">
        <v>38</v>
      </c>
      <c r="O233" s="1" t="s">
        <v>46</v>
      </c>
    </row>
    <row r="234" spans="2:15" x14ac:dyDescent="0.3">
      <c r="B234" s="1" t="s">
        <v>24</v>
      </c>
      <c r="C234" s="1" t="str">
        <f t="shared" si="19"/>
        <v>4차</v>
      </c>
      <c r="D234" s="1" t="str">
        <f>"0226D48244"</f>
        <v>0226D48244</v>
      </c>
      <c r="E234" s="1" t="s">
        <v>10</v>
      </c>
      <c r="F234" s="1" t="str">
        <f>"10.10.115.42"</f>
        <v>10.10.115.42</v>
      </c>
      <c r="G234" s="1" t="str">
        <f>"0226D482"</f>
        <v>0226D482</v>
      </c>
      <c r="H234" s="1" t="str">
        <f>"역전간 14R1"</f>
        <v>역전간 14R1</v>
      </c>
      <c r="I234" s="1" t="s">
        <v>8</v>
      </c>
      <c r="J234" s="1" t="str">
        <f>"22/22"</f>
        <v>22/22</v>
      </c>
      <c r="K234" s="1" t="str">
        <f>"2026-07-29 13:18:01"</f>
        <v>2026-07-29 13:18:01</v>
      </c>
      <c r="L234" s="1" t="str">
        <f>"2019-11-11 11:50:28"</f>
        <v>2019-11-11 11:50:28</v>
      </c>
      <c r="M234" s="1" t="s">
        <v>1</v>
      </c>
      <c r="N234" s="1" t="s">
        <v>38</v>
      </c>
      <c r="O234" s="1" t="s">
        <v>46</v>
      </c>
    </row>
    <row r="235" spans="2:15" x14ac:dyDescent="0.3">
      <c r="B235" s="1" t="s">
        <v>24</v>
      </c>
      <c r="C235" s="1" t="str">
        <f>"1차"</f>
        <v>1차</v>
      </c>
      <c r="D235" s="1" t="str">
        <f>"0226E00101"</f>
        <v>0226E00101</v>
      </c>
      <c r="E235" s="1" t="s">
        <v>10</v>
      </c>
      <c r="F235" s="1" t="str">
        <f>"10.125.118.226"</f>
        <v>10.125.118.226</v>
      </c>
      <c r="G235" s="1" t="str">
        <f>"0226E001"</f>
        <v>0226E001</v>
      </c>
      <c r="H235" s="1" t="str">
        <f>"태양간 27L1"</f>
        <v>태양간 27L1</v>
      </c>
      <c r="I235" s="1" t="s">
        <v>8</v>
      </c>
      <c r="J235" s="1" t="str">
        <f>"28/28"</f>
        <v>28/28</v>
      </c>
      <c r="K235" s="1" t="str">
        <f>"2026-07-29 13:18:02"</f>
        <v>2026-07-29 13:18:02</v>
      </c>
      <c r="L235" s="1" t="str">
        <f>"2014-08-12 11:09:21"</f>
        <v>2014-08-12 11:09:21</v>
      </c>
      <c r="M235" s="1" t="s">
        <v>45</v>
      </c>
      <c r="N235" s="1" t="s">
        <v>38</v>
      </c>
      <c r="O235" s="1" t="s">
        <v>46</v>
      </c>
    </row>
    <row r="236" spans="2:15" x14ac:dyDescent="0.3">
      <c r="B236" s="1" t="s">
        <v>24</v>
      </c>
      <c r="C236" s="1" t="str">
        <f>"6차"</f>
        <v>6차</v>
      </c>
      <c r="D236" s="1" t="str">
        <f>"0226E0216S"</f>
        <v>0226E0216S</v>
      </c>
      <c r="E236" s="1" t="s">
        <v>10</v>
      </c>
      <c r="F236" s="1" t="str">
        <f>"fde1:103:4:c6c1:0:0:0:2"</f>
        <v>fde1:103:4:c6c1:0:0:0:2</v>
      </c>
      <c r="G236" s="1" t="str">
        <f>"0226E021"</f>
        <v>0226E021</v>
      </c>
      <c r="H236" s="1" t="str">
        <f>"태양간 23L11R4"</f>
        <v>태양간 23L11R4</v>
      </c>
      <c r="I236" s="1" t="s">
        <v>15</v>
      </c>
      <c r="J236" s="1" t="str">
        <f>"66/69"</f>
        <v>66/69</v>
      </c>
      <c r="K236" s="1" t="str">
        <f>"2026-07-29 14:20:50"</f>
        <v>2026-07-29 14:20:50</v>
      </c>
      <c r="L236" s="1" t="str">
        <f>"2024-11-05 14:57:41"</f>
        <v>2024-11-05 14:57:41</v>
      </c>
      <c r="M236" s="1" t="s">
        <v>4</v>
      </c>
      <c r="N236" s="1" t="s">
        <v>38</v>
      </c>
      <c r="O236" s="1" t="s">
        <v>46</v>
      </c>
    </row>
    <row r="237" spans="2:15" x14ac:dyDescent="0.3">
      <c r="B237" s="1" t="s">
        <v>24</v>
      </c>
      <c r="C237" s="1" t="str">
        <f>"6차"</f>
        <v>6차</v>
      </c>
      <c r="D237" s="1" t="str">
        <f>"0226E0226S"</f>
        <v>0226E0226S</v>
      </c>
      <c r="E237" s="1" t="s">
        <v>10</v>
      </c>
      <c r="F237" s="1" t="str">
        <f>"fde1:103:4:c64f:0:0:0:2"</f>
        <v>fde1:103:4:c64f:0:0:0:2</v>
      </c>
      <c r="G237" s="1" t="str">
        <f>"0226E022"</f>
        <v>0226E022</v>
      </c>
      <c r="H237" s="1" t="str">
        <f>"태양간 23L11R2"</f>
        <v>태양간 23L11R2</v>
      </c>
      <c r="I237" s="1" t="s">
        <v>15</v>
      </c>
      <c r="J237" s="1" t="str">
        <f>"27/27"</f>
        <v>27/27</v>
      </c>
      <c r="K237" s="1" t="str">
        <f>"2026-07-29 14:20:01"</f>
        <v>2026-07-29 14:20:01</v>
      </c>
      <c r="L237" s="1" t="str">
        <f>"2024-11-05 14:51:13"</f>
        <v>2024-11-05 14:51:13</v>
      </c>
      <c r="M237" s="1" t="s">
        <v>4</v>
      </c>
      <c r="N237" s="1" t="s">
        <v>38</v>
      </c>
      <c r="O237" s="1" t="s">
        <v>46</v>
      </c>
    </row>
    <row r="238" spans="2:15" x14ac:dyDescent="0.3">
      <c r="B238" s="1" t="s">
        <v>24</v>
      </c>
      <c r="C238" s="1" t="str">
        <f>"1차"</f>
        <v>1차</v>
      </c>
      <c r="D238" s="1" t="str">
        <f>"0226E11300"</f>
        <v>0226E11300</v>
      </c>
      <c r="E238" s="1" t="s">
        <v>10</v>
      </c>
      <c r="F238" s="1" t="str">
        <f>"10.89.245.84"</f>
        <v>10.89.245.84</v>
      </c>
      <c r="G238" s="1" t="str">
        <f>"0226E113"</f>
        <v>0226E113</v>
      </c>
      <c r="H238" s="1" t="str">
        <f>"태양간 28"</f>
        <v>태양간 28</v>
      </c>
      <c r="I238" s="1" t="s">
        <v>8</v>
      </c>
      <c r="J238" s="1" t="str">
        <f>"14/14"</f>
        <v>14/14</v>
      </c>
      <c r="K238" s="1" t="str">
        <f>"2026-07-29 13:18:02"</f>
        <v>2026-07-29 13:18:02</v>
      </c>
      <c r="L238" s="1" t="str">
        <f>"2014-07-21 17:09:26"</f>
        <v>2014-07-21 17:09:26</v>
      </c>
      <c r="M238" s="1" t="s">
        <v>45</v>
      </c>
      <c r="N238" s="1" t="s">
        <v>38</v>
      </c>
      <c r="O238" s="1" t="s">
        <v>46</v>
      </c>
    </row>
    <row r="239" spans="2:15" x14ac:dyDescent="0.3">
      <c r="B239" s="1" t="s">
        <v>24</v>
      </c>
      <c r="C239" s="1" t="str">
        <f>"5-2차"</f>
        <v>5-2차</v>
      </c>
      <c r="D239" s="1" t="str">
        <f>"0226E1245S"</f>
        <v>0226E1245S</v>
      </c>
      <c r="E239" s="1" t="s">
        <v>10</v>
      </c>
      <c r="F239" s="1" t="str">
        <f>"fde1:103:4:566d:0:0:0:2"</f>
        <v>fde1:103:4:566d:0:0:0:2</v>
      </c>
      <c r="G239" s="1" t="str">
        <f>"0226E124"</f>
        <v>0226E124</v>
      </c>
      <c r="H239" s="1" t="str">
        <f>"태양간 30A2"</f>
        <v>태양간 30A2</v>
      </c>
      <c r="I239" s="1" t="s">
        <v>15</v>
      </c>
      <c r="J239" s="1" t="str">
        <f>"15/15"</f>
        <v>15/15</v>
      </c>
      <c r="K239" s="1" t="str">
        <f>"2026-07-29 14:20:34"</f>
        <v>2026-07-29 14:20:34</v>
      </c>
      <c r="L239" s="1" t="str">
        <f>"2023-09-05 09:32:51"</f>
        <v>2023-09-05 09:32:51</v>
      </c>
      <c r="M239" s="1" t="s">
        <v>4</v>
      </c>
      <c r="N239" s="1" t="s">
        <v>38</v>
      </c>
      <c r="O239" s="1" t="s">
        <v>46</v>
      </c>
    </row>
    <row r="240" spans="2:15" x14ac:dyDescent="0.3">
      <c r="B240" s="1" t="s">
        <v>24</v>
      </c>
      <c r="C240" s="1" t="str">
        <f>"1차"</f>
        <v>1차</v>
      </c>
      <c r="D240" s="1" t="str">
        <f>"0226E26201"</f>
        <v>0226E26201</v>
      </c>
      <c r="E240" s="1" t="s">
        <v>10</v>
      </c>
      <c r="F240" s="1" t="str">
        <f>"10.12.138.48"</f>
        <v>10.12.138.48</v>
      </c>
      <c r="G240" s="1" t="str">
        <f>"0226E262"</f>
        <v>0226E262</v>
      </c>
      <c r="H240" s="1" t="str">
        <f>"태양간 31L2R6"</f>
        <v>태양간 31L2R6</v>
      </c>
      <c r="I240" s="1" t="s">
        <v>8</v>
      </c>
      <c r="J240" s="1" t="str">
        <f>"56/56"</f>
        <v>56/56</v>
      </c>
      <c r="K240" s="1" t="str">
        <f>"2026-07-29 13:18:02"</f>
        <v>2026-07-29 13:18:02</v>
      </c>
      <c r="L240" s="1" t="str">
        <f>"2014-11-14 15:39:40"</f>
        <v>2014-11-14 15:39:40</v>
      </c>
      <c r="M240" s="1" t="s">
        <v>0</v>
      </c>
      <c r="N240" s="1" t="s">
        <v>38</v>
      </c>
      <c r="O240" s="1" t="s">
        <v>46</v>
      </c>
    </row>
    <row r="241" spans="2:15" x14ac:dyDescent="0.3">
      <c r="B241" s="1" t="s">
        <v>24</v>
      </c>
      <c r="C241" s="1" t="str">
        <f>"5-2차"</f>
        <v>5-2차</v>
      </c>
      <c r="D241" s="1" t="str">
        <f>"0226E3135M"</f>
        <v>0226E3135M</v>
      </c>
      <c r="E241" s="1" t="s">
        <v>10</v>
      </c>
      <c r="F241" s="1" t="str">
        <f>"fde1:103:4:56a0:0:0:0:2"</f>
        <v>fde1:103:4:56a0:0:0:0:2</v>
      </c>
      <c r="G241" s="1" t="str">
        <f>"0226E313"</f>
        <v>0226E313</v>
      </c>
      <c r="H241" s="1" t="str">
        <f>"군답간 39"</f>
        <v>군답간 39</v>
      </c>
      <c r="I241" s="1" t="s">
        <v>15</v>
      </c>
      <c r="J241" s="1" t="str">
        <f>"49/49"</f>
        <v>49/49</v>
      </c>
      <c r="K241" s="1" t="str">
        <f>"2026-07-29 14:20:01"</f>
        <v>2026-07-29 14:20:01</v>
      </c>
      <c r="L241" s="1" t="str">
        <f>"2023-09-05 09:49:42"</f>
        <v>2023-09-05 09:49:42</v>
      </c>
      <c r="M241" s="1" t="s">
        <v>4</v>
      </c>
      <c r="N241" s="1" t="s">
        <v>38</v>
      </c>
      <c r="O241" s="1" t="s">
        <v>46</v>
      </c>
    </row>
    <row r="242" spans="2:15" x14ac:dyDescent="0.3">
      <c r="B242" s="1" t="s">
        <v>24</v>
      </c>
      <c r="C242" s="1" t="str">
        <f>"1차"</f>
        <v>1차</v>
      </c>
      <c r="D242" s="1" t="str">
        <f>"0226E36100"</f>
        <v>0226E36100</v>
      </c>
      <c r="E242" s="1" t="s">
        <v>10</v>
      </c>
      <c r="F242" s="1" t="str">
        <f>"10.89.245.196"</f>
        <v>10.89.245.196</v>
      </c>
      <c r="G242" s="1" t="str">
        <f>"0226E361"</f>
        <v>0226E361</v>
      </c>
      <c r="H242" s="1" t="str">
        <f>"태양간 37L2"</f>
        <v>태양간 37L2</v>
      </c>
      <c r="I242" s="1" t="s">
        <v>8</v>
      </c>
      <c r="J242" s="1" t="str">
        <f>"20/20"</f>
        <v>20/20</v>
      </c>
      <c r="K242" s="1" t="str">
        <f>"2026-07-29 13:18:02"</f>
        <v>2026-07-29 13:18:02</v>
      </c>
      <c r="L242" s="1" t="str">
        <f>"2014-07-21 17:24:36"</f>
        <v>2014-07-21 17:24:36</v>
      </c>
      <c r="M242" s="1" t="s">
        <v>45</v>
      </c>
      <c r="N242" s="1" t="s">
        <v>38</v>
      </c>
      <c r="O242" s="1" t="s">
        <v>46</v>
      </c>
    </row>
    <row r="243" spans="2:15" x14ac:dyDescent="0.3">
      <c r="B243" s="1" t="s">
        <v>24</v>
      </c>
      <c r="C243" s="1" t="str">
        <f>"5-1차"</f>
        <v>5-1차</v>
      </c>
      <c r="D243" s="1" t="str">
        <f>"0226E4155M"</f>
        <v>0226E4155M</v>
      </c>
      <c r="E243" s="1" t="s">
        <v>10</v>
      </c>
      <c r="F243" s="1" t="str">
        <f>"fde3:102:1430:a100:0:0:0:5"</f>
        <v>fde3:102:1430:a100:0:0:0:5</v>
      </c>
      <c r="G243" s="1" t="str">
        <f>"0226E415"</f>
        <v>0226E415</v>
      </c>
      <c r="H243" s="1" t="str">
        <f>"군답간 40"</f>
        <v>군답간 40</v>
      </c>
      <c r="I243" s="1" t="s">
        <v>15</v>
      </c>
      <c r="J243" s="1" t="str">
        <f>"115/115"</f>
        <v>115/115</v>
      </c>
      <c r="K243" s="1" t="str">
        <f>"2026-07-29 14:20:38"</f>
        <v>2026-07-29 14:20:38</v>
      </c>
      <c r="L243" s="1" t="str">
        <f>"2022-11-18 12:53:13"</f>
        <v>2022-11-18 12:53:13</v>
      </c>
      <c r="M243" s="1" t="s">
        <v>45</v>
      </c>
      <c r="N243" s="1" t="s">
        <v>38</v>
      </c>
      <c r="O243" s="1" t="s">
        <v>46</v>
      </c>
    </row>
    <row r="244" spans="2:15" x14ac:dyDescent="0.3">
      <c r="B244" s="1" t="s">
        <v>24</v>
      </c>
      <c r="C244" s="1" t="str">
        <f>"4차"</f>
        <v>4차</v>
      </c>
      <c r="D244" s="1" t="str">
        <f>"0226E44441"</f>
        <v>0226E44441</v>
      </c>
      <c r="E244" s="1" t="s">
        <v>10</v>
      </c>
      <c r="F244" s="1" t="str">
        <f>"10.14.14.42"</f>
        <v>10.14.14.42</v>
      </c>
      <c r="G244" s="1" t="str">
        <f>"0226E444"</f>
        <v>0226E444</v>
      </c>
      <c r="H244" s="1" t="str">
        <f>"전일간 16R4"</f>
        <v>전일간 16R4</v>
      </c>
      <c r="I244" s="1" t="s">
        <v>17</v>
      </c>
      <c r="J244" s="1" t="str">
        <f>"77/82"</f>
        <v>77/82</v>
      </c>
      <c r="K244" s="1" t="str">
        <f>"2026-07-29 13:18:01"</f>
        <v>2026-07-29 13:18:01</v>
      </c>
      <c r="L244" s="1" t="str">
        <f>"2021-10-18 10:32:26"</f>
        <v>2021-10-18 10:32:26</v>
      </c>
      <c r="M244" s="1" t="s">
        <v>3</v>
      </c>
      <c r="N244" s="1" t="s">
        <v>38</v>
      </c>
      <c r="O244" s="1" t="s">
        <v>46</v>
      </c>
    </row>
    <row r="245" spans="2:15" x14ac:dyDescent="0.3">
      <c r="B245" s="1" t="s">
        <v>24</v>
      </c>
      <c r="C245" s="1" t="str">
        <f>"1차"</f>
        <v>1차</v>
      </c>
      <c r="D245" s="1" t="str">
        <f>"0226E56100"</f>
        <v>0226E56100</v>
      </c>
      <c r="E245" s="1" t="s">
        <v>10</v>
      </c>
      <c r="F245" s="1" t="str">
        <f>"10.89.245.83"</f>
        <v>10.89.245.83</v>
      </c>
      <c r="G245" s="1" t="str">
        <f>"0226E561"</f>
        <v>0226E561</v>
      </c>
      <c r="H245" s="1" t="str">
        <f>"전일간 25"</f>
        <v>전일간 25</v>
      </c>
      <c r="I245" s="1" t="s">
        <v>8</v>
      </c>
      <c r="J245" s="1" t="str">
        <f>"34/34"</f>
        <v>34/34</v>
      </c>
      <c r="K245" s="1" t="str">
        <f>"2026-07-29 13:18:02"</f>
        <v>2026-07-29 13:18:02</v>
      </c>
      <c r="L245" s="1" t="str">
        <f>"2014-07-28 08:57:43"</f>
        <v>2014-07-28 08:57:43</v>
      </c>
      <c r="M245" s="1" t="s">
        <v>45</v>
      </c>
      <c r="N245" s="1" t="s">
        <v>38</v>
      </c>
      <c r="O245" s="1" t="s">
        <v>46</v>
      </c>
    </row>
    <row r="246" spans="2:15" x14ac:dyDescent="0.3">
      <c r="B246" s="1" t="s">
        <v>24</v>
      </c>
      <c r="C246" s="1" t="str">
        <f>"5-1차"</f>
        <v>5-1차</v>
      </c>
      <c r="D246" s="1" t="str">
        <f>"0226E6015S"</f>
        <v>0226E6015S</v>
      </c>
      <c r="E246" s="1" t="s">
        <v>10</v>
      </c>
      <c r="F246" s="1" t="str">
        <f>"fde3:102:1430:a100:0:0:0:6"</f>
        <v>fde3:102:1430:a100:0:0:0:6</v>
      </c>
      <c r="G246" s="1" t="str">
        <f>"0226E601"</f>
        <v>0226E601</v>
      </c>
      <c r="H246" s="1" t="str">
        <f>"군답간 43"</f>
        <v>군답간 43</v>
      </c>
      <c r="I246" s="1" t="s">
        <v>15</v>
      </c>
      <c r="J246" s="1" t="str">
        <f>"40/40"</f>
        <v>40/40</v>
      </c>
      <c r="K246" s="1" t="str">
        <f>"2026-07-29 14:20:01"</f>
        <v>2026-07-29 14:20:01</v>
      </c>
      <c r="L246" s="1" t="str">
        <f>"2022-11-17 15:02:50"</f>
        <v>2022-11-17 15:02:50</v>
      </c>
      <c r="M246" s="1" t="s">
        <v>45</v>
      </c>
      <c r="N246" s="1" t="s">
        <v>38</v>
      </c>
      <c r="O246" s="1" t="s">
        <v>46</v>
      </c>
    </row>
    <row r="247" spans="2:15" x14ac:dyDescent="0.3">
      <c r="B247" s="1" t="s">
        <v>24</v>
      </c>
      <c r="C247" s="1" t="str">
        <f>"6차"</f>
        <v>6차</v>
      </c>
      <c r="D247" s="1" t="str">
        <f>"0226E6716S"</f>
        <v>0226E6716S</v>
      </c>
      <c r="E247" s="1" t="s">
        <v>10</v>
      </c>
      <c r="F247" s="1" t="str">
        <f>"fde3:102:1430:1300:0:0:0:8"</f>
        <v>fde3:102:1430:1300:0:0:0:8</v>
      </c>
      <c r="G247" s="1" t="str">
        <f>"0226E671"</f>
        <v>0226E671</v>
      </c>
      <c r="H247" s="1" t="str">
        <f>"전일간 16R10"</f>
        <v>전일간 16R10</v>
      </c>
      <c r="I247" s="1" t="s">
        <v>15</v>
      </c>
      <c r="J247" s="1" t="str">
        <f>"87/89"</f>
        <v>87/89</v>
      </c>
      <c r="K247" s="1" t="str">
        <f>"2026-07-29 14:20:41"</f>
        <v>2026-07-29 14:20:41</v>
      </c>
      <c r="L247" s="1" t="str">
        <f>"2024-09-25 19:48:47"</f>
        <v>2024-09-25 19:48:47</v>
      </c>
      <c r="M247" s="1" t="s">
        <v>45</v>
      </c>
      <c r="N247" s="1" t="s">
        <v>38</v>
      </c>
      <c r="O247" s="1" t="s">
        <v>46</v>
      </c>
    </row>
    <row r="248" spans="2:15" x14ac:dyDescent="0.3">
      <c r="B248" s="1" t="s">
        <v>24</v>
      </c>
      <c r="C248" s="1" t="str">
        <f>"1차"</f>
        <v>1차</v>
      </c>
      <c r="D248" s="1" t="str">
        <f>"0226E79100"</f>
        <v>0226E79100</v>
      </c>
      <c r="E248" s="1" t="s">
        <v>10</v>
      </c>
      <c r="F248" s="1" t="str">
        <f>"10.89.245.82"</f>
        <v>10.89.245.82</v>
      </c>
      <c r="G248" s="1" t="str">
        <f>"0226E791"</f>
        <v>0226E791</v>
      </c>
      <c r="H248" s="1" t="str">
        <f>"전일간 30"</f>
        <v>전일간 30</v>
      </c>
      <c r="I248" s="1" t="s">
        <v>8</v>
      </c>
      <c r="J248" s="1" t="str">
        <f>"7/7"</f>
        <v>7/7</v>
      </c>
      <c r="K248" s="1" t="str">
        <f>"2026-07-29 13:18:02"</f>
        <v>2026-07-29 13:18:02</v>
      </c>
      <c r="L248" s="1" t="str">
        <f>"2014-11-19 17:43:22"</f>
        <v>2014-11-19 17:43:22</v>
      </c>
      <c r="M248" s="1" t="s">
        <v>45</v>
      </c>
      <c r="N248" s="1" t="s">
        <v>38</v>
      </c>
      <c r="O248" s="1" t="s">
        <v>46</v>
      </c>
    </row>
    <row r="249" spans="2:15" x14ac:dyDescent="0.3">
      <c r="B249" s="1" t="s">
        <v>24</v>
      </c>
      <c r="C249" s="1" t="str">
        <f>"6차"</f>
        <v>6차</v>
      </c>
      <c r="D249" s="1" t="str">
        <f>"0226E8826S"</f>
        <v>0226E8826S</v>
      </c>
      <c r="E249" s="1" t="s">
        <v>10</v>
      </c>
      <c r="F249" s="1" t="str">
        <f>"fde1:103:4:c609:0:0:0:2"</f>
        <v>fde1:103:4:c609:0:0:0:2</v>
      </c>
      <c r="G249" s="1" t="str">
        <f>"0226E882"</f>
        <v>0226E882</v>
      </c>
      <c r="H249" s="1" t="str">
        <f>"전일간 40R7"</f>
        <v>전일간 40R7</v>
      </c>
      <c r="I249" s="1" t="s">
        <v>15</v>
      </c>
      <c r="J249" s="1" t="str">
        <f>"52/53"</f>
        <v>52/53</v>
      </c>
      <c r="K249" s="1" t="str">
        <f>"2026-07-29 14:20:27"</f>
        <v>2026-07-29 14:20:27</v>
      </c>
      <c r="L249" s="1" t="str">
        <f>"2024-11-21 15:28:29"</f>
        <v>2024-11-21 15:28:29</v>
      </c>
      <c r="M249" s="1" t="s">
        <v>4</v>
      </c>
      <c r="N249" s="1" t="s">
        <v>38</v>
      </c>
      <c r="O249" s="1" t="s">
        <v>46</v>
      </c>
    </row>
    <row r="250" spans="2:15" x14ac:dyDescent="0.3">
      <c r="B250" s="1" t="s">
        <v>24</v>
      </c>
      <c r="C250" s="1" t="str">
        <f>"6차"</f>
        <v>6차</v>
      </c>
      <c r="D250" s="1" t="str">
        <f>"0226E8916S"</f>
        <v>0226E8916S</v>
      </c>
      <c r="E250" s="1" t="s">
        <v>10</v>
      </c>
      <c r="F250" s="1" t="str">
        <f>"fde1:103:4:c5c5:0:0:0:2"</f>
        <v>fde1:103:4:c5c5:0:0:0:2</v>
      </c>
      <c r="G250" s="1" t="str">
        <f>"0226E891"</f>
        <v>0226E891</v>
      </c>
      <c r="H250" s="1" t="str">
        <f>"전일간 40R6"</f>
        <v>전일간 40R6</v>
      </c>
      <c r="I250" s="1" t="s">
        <v>15</v>
      </c>
      <c r="J250" s="1" t="str">
        <f>"122/123"</f>
        <v>122/123</v>
      </c>
      <c r="K250" s="1" t="str">
        <f>"2026-07-29 14:20:00"</f>
        <v>2026-07-29 14:20:00</v>
      </c>
      <c r="L250" s="1" t="str">
        <f>"2024-11-05 14:45:06"</f>
        <v>2024-11-05 14:45:06</v>
      </c>
      <c r="M250" s="1" t="s">
        <v>4</v>
      </c>
      <c r="N250" s="1" t="s">
        <v>38</v>
      </c>
      <c r="O250" s="1" t="s">
        <v>46</v>
      </c>
    </row>
    <row r="251" spans="2:15" x14ac:dyDescent="0.3">
      <c r="B251" s="1" t="s">
        <v>24</v>
      </c>
      <c r="C251" s="1" t="str">
        <f>"5-2차"</f>
        <v>5-2차</v>
      </c>
      <c r="D251" s="1" t="str">
        <f>"0226E9735S"</f>
        <v>0226E9735S</v>
      </c>
      <c r="E251" s="1" t="s">
        <v>10</v>
      </c>
      <c r="F251" s="1" t="str">
        <f>"fde3:102:1430:1300:0:0:0:3"</f>
        <v>fde3:102:1430:1300:0:0:0:3</v>
      </c>
      <c r="G251" s="1" t="str">
        <f>"0226E973"</f>
        <v>0226E973</v>
      </c>
      <c r="H251" s="1" t="str">
        <f>"전일간 13R11"</f>
        <v>전일간 13R11</v>
      </c>
      <c r="I251" s="1" t="s">
        <v>15</v>
      </c>
      <c r="J251" s="1" t="str">
        <f>"34/34"</f>
        <v>34/34</v>
      </c>
      <c r="K251" s="1" t="str">
        <f>"2026-07-29 14:20:37"</f>
        <v>2026-07-29 14:20:37</v>
      </c>
      <c r="L251" s="1" t="str">
        <f>"2023-09-05 12:55:50"</f>
        <v>2023-09-05 12:55:50</v>
      </c>
      <c r="M251" s="1" t="s">
        <v>45</v>
      </c>
      <c r="N251" s="1" t="s">
        <v>38</v>
      </c>
      <c r="O251" s="1" t="s">
        <v>46</v>
      </c>
    </row>
    <row r="252" spans="2:15" x14ac:dyDescent="0.3">
      <c r="B252" s="1" t="s">
        <v>24</v>
      </c>
      <c r="C252" s="1" t="str">
        <f>"5-2차"</f>
        <v>5-2차</v>
      </c>
      <c r="D252" s="1" t="str">
        <f>"0226E9765S"</f>
        <v>0226E9765S</v>
      </c>
      <c r="E252" s="1" t="s">
        <v>10</v>
      </c>
      <c r="F252" s="1" t="str">
        <f>"fde3:102:1430:1300:0:0:0:4"</f>
        <v>fde3:102:1430:1300:0:0:0:4</v>
      </c>
      <c r="G252" s="1" t="str">
        <f>"0226E976"</f>
        <v>0226E976</v>
      </c>
      <c r="H252" s="1" t="str">
        <f>"전일간 13R13"</f>
        <v>전일간 13R13</v>
      </c>
      <c r="I252" s="1" t="s">
        <v>15</v>
      </c>
      <c r="J252" s="1" t="str">
        <f>"42/42"</f>
        <v>42/42</v>
      </c>
      <c r="K252" s="1" t="str">
        <f>"2026-07-29 14:20:35"</f>
        <v>2026-07-29 14:20:35</v>
      </c>
      <c r="L252" s="1" t="str">
        <f>"2023-09-05 12:59:33"</f>
        <v>2023-09-05 12:59:33</v>
      </c>
      <c r="M252" s="1" t="s">
        <v>45</v>
      </c>
      <c r="N252" s="1" t="s">
        <v>38</v>
      </c>
      <c r="O252" s="1" t="s">
        <v>46</v>
      </c>
    </row>
    <row r="253" spans="2:15" x14ac:dyDescent="0.3">
      <c r="B253" s="1" t="s">
        <v>24</v>
      </c>
      <c r="C253" s="1" t="str">
        <f>"5-1차"</f>
        <v>5-1차</v>
      </c>
      <c r="D253" s="1" t="str">
        <f>"0226E9775M"</f>
        <v>0226E9775M</v>
      </c>
      <c r="E253" s="1" t="s">
        <v>10</v>
      </c>
      <c r="F253" s="1" t="str">
        <f>"fde3:102:1430:1100:0:0:0:5"</f>
        <v>fde3:102:1430:1100:0:0:0:5</v>
      </c>
      <c r="G253" s="1" t="str">
        <f>"0226E977"</f>
        <v>0226E977</v>
      </c>
      <c r="H253" s="1" t="str">
        <f>"전일간 13R12"</f>
        <v>전일간 13R12</v>
      </c>
      <c r="I253" s="1" t="s">
        <v>15</v>
      </c>
      <c r="J253" s="1" t="str">
        <f>"62/64"</f>
        <v>62/64</v>
      </c>
      <c r="K253" s="1" t="str">
        <f>"2026-07-29 14:20:44"</f>
        <v>2026-07-29 14:20:44</v>
      </c>
      <c r="L253" s="1" t="str">
        <f>"2022-11-18 12:33:20"</f>
        <v>2022-11-18 12:33:20</v>
      </c>
      <c r="M253" s="1" t="s">
        <v>45</v>
      </c>
      <c r="N253" s="1" t="s">
        <v>38</v>
      </c>
      <c r="O253" s="1" t="s">
        <v>46</v>
      </c>
    </row>
    <row r="254" spans="2:15" x14ac:dyDescent="0.3">
      <c r="B254" s="1" t="s">
        <v>24</v>
      </c>
      <c r="C254" s="1" t="str">
        <f>"5-1차"</f>
        <v>5-1차</v>
      </c>
      <c r="D254" s="1" t="str">
        <f>"0226F0715S"</f>
        <v>0226F0715S</v>
      </c>
      <c r="E254" s="1" t="s">
        <v>10</v>
      </c>
      <c r="F254" s="1" t="str">
        <f>"fde2:104:0:152:0:0:0:2"</f>
        <v>fde2:104:0:152:0:0:0:2</v>
      </c>
      <c r="G254" s="1" t="str">
        <f>"0226F071"</f>
        <v>0226F071</v>
      </c>
      <c r="H254" s="1" t="str">
        <f>"전일간 13R13R2"</f>
        <v>전일간 13R13R2</v>
      </c>
      <c r="I254" s="1" t="s">
        <v>15</v>
      </c>
      <c r="J254" s="1" t="str">
        <f>"44/44"</f>
        <v>44/44</v>
      </c>
      <c r="K254" s="1" t="str">
        <f>"2026-07-29 14:20:37"</f>
        <v>2026-07-29 14:20:37</v>
      </c>
      <c r="L254" s="1" t="str">
        <f>"2022-09-28 11:04:14"</f>
        <v>2022-09-28 11:04:14</v>
      </c>
      <c r="M254" s="1" t="s">
        <v>42</v>
      </c>
      <c r="N254" s="1" t="s">
        <v>38</v>
      </c>
      <c r="O254" s="1" t="s">
        <v>46</v>
      </c>
    </row>
    <row r="255" spans="2:15" x14ac:dyDescent="0.3">
      <c r="B255" s="1" t="s">
        <v>24</v>
      </c>
      <c r="C255" s="1" t="str">
        <f>"5-2차"</f>
        <v>5-2차</v>
      </c>
      <c r="D255" s="1" t="str">
        <f>"0226F0935S"</f>
        <v>0226F0935S</v>
      </c>
      <c r="E255" s="1" t="s">
        <v>10</v>
      </c>
      <c r="F255" s="1" t="str">
        <f>"fde1:103:4:5812:0:0:0:2"</f>
        <v>fde1:103:4:5812:0:0:0:2</v>
      </c>
      <c r="G255" s="1" t="str">
        <f>"0226F093"</f>
        <v>0226F093</v>
      </c>
      <c r="H255" s="1" t="str">
        <f>"전일간 42R2R3"</f>
        <v>전일간 42R2R3</v>
      </c>
      <c r="I255" s="1" t="s">
        <v>15</v>
      </c>
      <c r="J255" s="1" t="str">
        <f>"51/51"</f>
        <v>51/51</v>
      </c>
      <c r="K255" s="1" t="str">
        <f>"2026-07-29 14:20:35"</f>
        <v>2026-07-29 14:20:35</v>
      </c>
      <c r="L255" s="1" t="str">
        <f>"2023-09-13 10:23:13"</f>
        <v>2023-09-13 10:23:13</v>
      </c>
      <c r="M255" s="1" t="s">
        <v>4</v>
      </c>
      <c r="N255" s="1" t="s">
        <v>38</v>
      </c>
      <c r="O255" s="1" t="s">
        <v>46</v>
      </c>
    </row>
    <row r="256" spans="2:15" x14ac:dyDescent="0.3">
      <c r="B256" s="1" t="s">
        <v>24</v>
      </c>
      <c r="C256" s="1" t="str">
        <f>"5-1차"</f>
        <v>5-1차</v>
      </c>
      <c r="D256" s="1" t="str">
        <f>"0226F1925S"</f>
        <v>0226F1925S</v>
      </c>
      <c r="E256" s="1" t="s">
        <v>10</v>
      </c>
      <c r="F256" s="1" t="str">
        <f>"fde3:102:1430:1100:0:0:0:3"</f>
        <v>fde3:102:1430:1100:0:0:0:3</v>
      </c>
      <c r="G256" s="1" t="str">
        <f>"0226F192"</f>
        <v>0226F192</v>
      </c>
      <c r="H256" s="1" t="str">
        <f>"전일간 42R2R3L2"</f>
        <v>전일간 42R2R3L2</v>
      </c>
      <c r="I256" s="1" t="s">
        <v>15</v>
      </c>
      <c r="J256" s="1" t="str">
        <f>"48/48"</f>
        <v>48/48</v>
      </c>
      <c r="K256" s="1" t="str">
        <f>"2026-07-29 14:20:41"</f>
        <v>2026-07-29 14:20:41</v>
      </c>
      <c r="L256" s="1" t="str">
        <f>"2022-10-28 11:25:46"</f>
        <v>2022-10-28 11:25:46</v>
      </c>
      <c r="M256" s="1" t="s">
        <v>45</v>
      </c>
      <c r="N256" s="1" t="s">
        <v>38</v>
      </c>
      <c r="O256" s="1" t="s">
        <v>46</v>
      </c>
    </row>
    <row r="257" spans="2:15" x14ac:dyDescent="0.3">
      <c r="B257" s="1" t="s">
        <v>24</v>
      </c>
      <c r="C257" s="1" t="str">
        <f>"5-1차"</f>
        <v>5-1차</v>
      </c>
      <c r="D257" s="1" t="str">
        <f>"0226F4825S"</f>
        <v>0226F4825S</v>
      </c>
      <c r="E257" s="1" t="s">
        <v>10</v>
      </c>
      <c r="F257" s="1" t="str">
        <f>"fde2:104:0:15a:0:0:0:2"</f>
        <v>fde2:104:0:15a:0:0:0:2</v>
      </c>
      <c r="G257" s="1" t="str">
        <f>"0226F482"</f>
        <v>0226F482</v>
      </c>
      <c r="H257" s="1" t="str">
        <f>"전일간 42R8L2"</f>
        <v>전일간 42R8L2</v>
      </c>
      <c r="I257" s="1" t="s">
        <v>15</v>
      </c>
      <c r="J257" s="1" t="str">
        <f>"15/15"</f>
        <v>15/15</v>
      </c>
      <c r="K257" s="1" t="str">
        <f>"2026-07-29 14:20:34"</f>
        <v>2026-07-29 14:20:34</v>
      </c>
      <c r="L257" s="1" t="str">
        <f>"2022-09-30 21:03:56"</f>
        <v>2022-09-30 21:03:56</v>
      </c>
      <c r="M257" s="1" t="s">
        <v>42</v>
      </c>
      <c r="N257" s="1" t="s">
        <v>38</v>
      </c>
      <c r="O257" s="1" t="s">
        <v>46</v>
      </c>
    </row>
    <row r="258" spans="2:15" x14ac:dyDescent="0.3">
      <c r="B258" s="1" t="s">
        <v>24</v>
      </c>
      <c r="C258" s="1" t="str">
        <f>"5-1차"</f>
        <v>5-1차</v>
      </c>
      <c r="D258" s="1" t="str">
        <f>"0226F4915S"</f>
        <v>0226F4915S</v>
      </c>
      <c r="E258" s="1" t="s">
        <v>10</v>
      </c>
      <c r="F258" s="1" t="str">
        <f>"fde3:102:1430:1100:0:0:0:2"</f>
        <v>fde3:102:1430:1100:0:0:0:2</v>
      </c>
      <c r="G258" s="1" t="str">
        <f>"0226F491"</f>
        <v>0226F491</v>
      </c>
      <c r="H258" s="1" t="str">
        <f>"전일간 42R7L2"</f>
        <v>전일간 42R7L2</v>
      </c>
      <c r="I258" s="1" t="s">
        <v>15</v>
      </c>
      <c r="J258" s="1" t="str">
        <f>"26/26"</f>
        <v>26/26</v>
      </c>
      <c r="K258" s="1" t="str">
        <f>"2026-07-29 14:20:36"</f>
        <v>2026-07-29 14:20:36</v>
      </c>
      <c r="L258" s="1" t="str">
        <f>"2022-11-03 13:13:56"</f>
        <v>2022-11-03 13:13:56</v>
      </c>
      <c r="M258" s="1" t="s">
        <v>45</v>
      </c>
      <c r="N258" s="1" t="s">
        <v>38</v>
      </c>
      <c r="O258" s="1" t="s">
        <v>46</v>
      </c>
    </row>
    <row r="259" spans="2:15" x14ac:dyDescent="0.3">
      <c r="B259" s="1" t="s">
        <v>24</v>
      </c>
      <c r="C259" s="1" t="str">
        <f>"4차"</f>
        <v>4차</v>
      </c>
      <c r="D259" s="1" t="str">
        <f>"0226F63344"</f>
        <v>0226F63344</v>
      </c>
      <c r="E259" s="1" t="s">
        <v>10</v>
      </c>
      <c r="F259" s="1" t="str">
        <f>"10.89.129.177"</f>
        <v>10.89.129.177</v>
      </c>
      <c r="G259" s="1" t="str">
        <f>"0226F633"</f>
        <v>0226F633</v>
      </c>
      <c r="H259" s="1" t="str">
        <f>"전일간 66R2"</f>
        <v>전일간 66R2</v>
      </c>
      <c r="I259" s="1" t="s">
        <v>8</v>
      </c>
      <c r="J259" s="1" t="str">
        <f>"40/40"</f>
        <v>40/40</v>
      </c>
      <c r="K259" s="1" t="str">
        <f>"2026-07-29 13:18:02"</f>
        <v>2026-07-29 13:18:02</v>
      </c>
      <c r="L259" s="1" t="str">
        <f>"2024-01-23 15:47:05"</f>
        <v>2024-01-23 15:47:05</v>
      </c>
      <c r="M259" s="1" t="s">
        <v>45</v>
      </c>
      <c r="N259" s="1" t="s">
        <v>38</v>
      </c>
      <c r="O259" s="1" t="s">
        <v>46</v>
      </c>
    </row>
    <row r="260" spans="2:15" x14ac:dyDescent="0.3">
      <c r="B260" s="1" t="s">
        <v>24</v>
      </c>
      <c r="C260" s="1" t="str">
        <f>"1차"</f>
        <v>1차</v>
      </c>
      <c r="D260" s="1" t="str">
        <f>"0226F66301"</f>
        <v>0226F66301</v>
      </c>
      <c r="E260" s="1" t="s">
        <v>10</v>
      </c>
      <c r="F260" s="1" t="str">
        <f>"10.89.129.240"</f>
        <v>10.89.129.240</v>
      </c>
      <c r="G260" s="1" t="str">
        <f>"0226F663"</f>
        <v>0226F663</v>
      </c>
      <c r="H260" s="1" t="str">
        <f>"전일간 50R5"</f>
        <v>전일간 50R5</v>
      </c>
      <c r="I260" s="1" t="s">
        <v>8</v>
      </c>
      <c r="J260" s="1" t="str">
        <f>"13/13"</f>
        <v>13/13</v>
      </c>
      <c r="K260" s="1" t="str">
        <f>"2026-07-29 13:18:01"</f>
        <v>2026-07-29 13:18:01</v>
      </c>
      <c r="L260" s="1" t="str">
        <f>"2014-11-22 12:42:42"</f>
        <v>2014-11-22 12:42:42</v>
      </c>
      <c r="M260" s="1" t="s">
        <v>45</v>
      </c>
      <c r="N260" s="1" t="s">
        <v>38</v>
      </c>
      <c r="O260" s="1" t="s">
        <v>46</v>
      </c>
    </row>
    <row r="261" spans="2:15" x14ac:dyDescent="0.3">
      <c r="B261" s="1" t="s">
        <v>24</v>
      </c>
      <c r="C261" s="1" t="str">
        <f>"4차"</f>
        <v>4차</v>
      </c>
      <c r="D261" s="1" t="str">
        <f>"0226F68142"</f>
        <v>0226F68142</v>
      </c>
      <c r="E261" s="1" t="s">
        <v>10</v>
      </c>
      <c r="F261" s="1" t="str">
        <f>"10.89.128.144"</f>
        <v>10.89.128.144</v>
      </c>
      <c r="G261" s="1" t="str">
        <f>"0226F681"</f>
        <v>0226F681</v>
      </c>
      <c r="H261" s="1" t="str">
        <f>"전일간 48R3"</f>
        <v>전일간 48R3</v>
      </c>
      <c r="I261" s="1" t="s">
        <v>8</v>
      </c>
      <c r="J261" s="1" t="str">
        <f>"40/40"</f>
        <v>40/40</v>
      </c>
      <c r="K261" s="1" t="str">
        <f>"2026-07-29 13:18:02"</f>
        <v>2026-07-29 13:18:02</v>
      </c>
      <c r="L261" s="1" t="str">
        <f>"2024-12-23 13:18:49"</f>
        <v>2024-12-23 13:18:49</v>
      </c>
      <c r="M261" s="1" t="s">
        <v>45</v>
      </c>
      <c r="N261" s="1" t="s">
        <v>38</v>
      </c>
      <c r="O261" s="1" t="s">
        <v>46</v>
      </c>
    </row>
    <row r="262" spans="2:15" x14ac:dyDescent="0.3">
      <c r="B262" s="1" t="s">
        <v>24</v>
      </c>
      <c r="C262" s="1" t="str">
        <f>"4차"</f>
        <v>4차</v>
      </c>
      <c r="D262" s="1" t="str">
        <f>"0226F68242"</f>
        <v>0226F68242</v>
      </c>
      <c r="E262" s="1" t="s">
        <v>10</v>
      </c>
      <c r="F262" s="1" t="str">
        <f>"10.89.128.141"</f>
        <v>10.89.128.141</v>
      </c>
      <c r="G262" s="1" t="str">
        <f>"0226F682"</f>
        <v>0226F682</v>
      </c>
      <c r="H262" s="1" t="str">
        <f>"전일간 48R2"</f>
        <v>전일간 48R2</v>
      </c>
      <c r="I262" s="1" t="s">
        <v>8</v>
      </c>
      <c r="J262" s="1" t="str">
        <f>"45/45"</f>
        <v>45/45</v>
      </c>
      <c r="K262" s="1" t="str">
        <f>"2026-07-29 13:18:02"</f>
        <v>2026-07-29 13:18:02</v>
      </c>
      <c r="L262" s="1" t="str">
        <f>"2025-01-14 14:26:09"</f>
        <v>2025-01-14 14:26:09</v>
      </c>
      <c r="M262" s="1" t="s">
        <v>45</v>
      </c>
      <c r="N262" s="1" t="s">
        <v>38</v>
      </c>
      <c r="O262" s="1" t="s">
        <v>46</v>
      </c>
    </row>
    <row r="263" spans="2:15" x14ac:dyDescent="0.3">
      <c r="B263" s="1" t="s">
        <v>24</v>
      </c>
      <c r="C263" s="1" t="str">
        <f>"5-1차"</f>
        <v>5-1차</v>
      </c>
      <c r="D263" s="1" t="str">
        <f>"0226F7225S"</f>
        <v>0226F7225S</v>
      </c>
      <c r="E263" s="1" t="s">
        <v>10</v>
      </c>
      <c r="F263" s="1" t="str">
        <f>"fde2:104:0:fe:0:0:0:2"</f>
        <v>fde2:104:0:fe:0:0:0:2</v>
      </c>
      <c r="G263" s="1" t="str">
        <f>"0226F722"</f>
        <v>0226F722</v>
      </c>
      <c r="H263" s="1" t="str">
        <f>"황물간 32R1"</f>
        <v>황물간 32R1</v>
      </c>
      <c r="I263" s="1" t="s">
        <v>15</v>
      </c>
      <c r="J263" s="1" t="str">
        <f>"64/64"</f>
        <v>64/64</v>
      </c>
      <c r="K263" s="1" t="str">
        <f>"2026-07-29 14:21:05"</f>
        <v>2026-07-29 14:21:05</v>
      </c>
      <c r="L263" s="1" t="str">
        <f>"2022-11-24 09:40:23"</f>
        <v>2022-11-24 09:40:23</v>
      </c>
      <c r="M263" s="1" t="s">
        <v>42</v>
      </c>
      <c r="N263" s="1" t="s">
        <v>38</v>
      </c>
      <c r="O263" s="1" t="s">
        <v>46</v>
      </c>
    </row>
    <row r="264" spans="2:15" x14ac:dyDescent="0.3">
      <c r="B264" s="1" t="s">
        <v>24</v>
      </c>
      <c r="C264" s="1" t="str">
        <f>"4차"</f>
        <v>4차</v>
      </c>
      <c r="D264" s="1" t="str">
        <f>"0226F86142"</f>
        <v>0226F86142</v>
      </c>
      <c r="E264" s="1" t="s">
        <v>10</v>
      </c>
      <c r="F264" s="1" t="str">
        <f>"10.12.128.215"</f>
        <v>10.12.128.215</v>
      </c>
      <c r="G264" s="1" t="str">
        <f>"0226F861"</f>
        <v>0226F861</v>
      </c>
      <c r="H264" s="1" t="str">
        <f>"전일간 50R2"</f>
        <v>전일간 50R2</v>
      </c>
      <c r="I264" s="1" t="s">
        <v>8</v>
      </c>
      <c r="J264" s="1" t="str">
        <f>"25/28"</f>
        <v>25/28</v>
      </c>
      <c r="K264" s="1" t="str">
        <f>"2026-07-29 13:18:02"</f>
        <v>2026-07-29 13:18:02</v>
      </c>
      <c r="L264" s="1" t="str">
        <f>"2026-05-28 09:05:11"</f>
        <v>2026-05-28 09:05:11</v>
      </c>
      <c r="M264" s="1" t="s">
        <v>0</v>
      </c>
      <c r="N264" s="1" t="s">
        <v>38</v>
      </c>
      <c r="O264" s="1" t="s">
        <v>46</v>
      </c>
    </row>
    <row r="265" spans="2:15" x14ac:dyDescent="0.3">
      <c r="B265" s="1" t="s">
        <v>24</v>
      </c>
      <c r="C265" s="1" t="str">
        <f>"5-1차"</f>
        <v>5-1차</v>
      </c>
      <c r="D265" s="1" t="str">
        <f>"0226F8725M"</f>
        <v>0226F8725M</v>
      </c>
      <c r="E265" s="1" t="s">
        <v>10</v>
      </c>
      <c r="F265" s="1" t="str">
        <f>"fde2:104:0:fb:0:0:0:2"</f>
        <v>fde2:104:0:fb:0:0:0:2</v>
      </c>
      <c r="G265" s="1" t="str">
        <f>"0226F872"</f>
        <v>0226F872</v>
      </c>
      <c r="H265" s="1" t="str">
        <f>"전일간 50R1L1"</f>
        <v>전일간 50R1L1</v>
      </c>
      <c r="I265" s="1" t="s">
        <v>15</v>
      </c>
      <c r="J265" s="1" t="str">
        <f>"63/63"</f>
        <v>63/63</v>
      </c>
      <c r="K265" s="1" t="str">
        <f>"2026-07-29 14:20:37"</f>
        <v>2026-07-29 14:20:37</v>
      </c>
      <c r="L265" s="1" t="str">
        <f>"2022-09-28 11:01:59"</f>
        <v>2022-09-28 11:01:59</v>
      </c>
      <c r="M265" s="1" t="s">
        <v>42</v>
      </c>
      <c r="N265" s="1" t="s">
        <v>38</v>
      </c>
      <c r="O265" s="1" t="s">
        <v>46</v>
      </c>
    </row>
    <row r="266" spans="2:15" x14ac:dyDescent="0.3">
      <c r="B266" s="1" t="s">
        <v>24</v>
      </c>
      <c r="C266" s="1" t="str">
        <f>"5-1차"</f>
        <v>5-1차</v>
      </c>
      <c r="D266" s="1" t="str">
        <f>"0226F9115M"</f>
        <v>0226F9115M</v>
      </c>
      <c r="E266" s="1" t="s">
        <v>10</v>
      </c>
      <c r="F266" s="1" t="str">
        <f>"fde3:102:1430:1100:0:0:0:6"</f>
        <v>fde3:102:1430:1100:0:0:0:6</v>
      </c>
      <c r="G266" s="1" t="str">
        <f>"0226F911"</f>
        <v>0226F911</v>
      </c>
      <c r="H266" s="1" t="str">
        <f>"황물간 47R2"</f>
        <v>황물간 47R2</v>
      </c>
      <c r="I266" s="1" t="s">
        <v>15</v>
      </c>
      <c r="J266" s="1" t="str">
        <f>"53/53"</f>
        <v>53/53</v>
      </c>
      <c r="K266" s="1" t="str">
        <f>"2026-07-29 14:20:36"</f>
        <v>2026-07-29 14:20:36</v>
      </c>
      <c r="L266" s="1" t="str">
        <f>"2022-11-16 11:27:35"</f>
        <v>2022-11-16 11:27:35</v>
      </c>
      <c r="M266" s="1" t="s">
        <v>45</v>
      </c>
      <c r="N266" s="1" t="s">
        <v>38</v>
      </c>
      <c r="O266" s="1" t="s">
        <v>46</v>
      </c>
    </row>
    <row r="267" spans="2:15" x14ac:dyDescent="0.3">
      <c r="B267" s="1" t="s">
        <v>24</v>
      </c>
      <c r="C267" s="1" t="str">
        <f>"1차"</f>
        <v>1차</v>
      </c>
      <c r="D267" s="1" t="str">
        <f>"0226F98400"</f>
        <v>0226F98400</v>
      </c>
      <c r="E267" s="1" t="s">
        <v>10</v>
      </c>
      <c r="F267" s="1" t="str">
        <f>"10.89.245.164"</f>
        <v>10.89.245.164</v>
      </c>
      <c r="G267" s="1" t="str">
        <f>"0226F984"</f>
        <v>0226F984</v>
      </c>
      <c r="H267" s="1" t="str">
        <f>"전농간 19"</f>
        <v>전농간 19</v>
      </c>
      <c r="I267" s="1" t="s">
        <v>8</v>
      </c>
      <c r="J267" s="1" t="str">
        <f>"2/2"</f>
        <v>2/2</v>
      </c>
      <c r="K267" s="1" t="str">
        <f>"2026-07-29 13:18:02"</f>
        <v>2026-07-29 13:18:02</v>
      </c>
      <c r="L267" s="1" t="str">
        <f>"2014-11-22 10:22:05"</f>
        <v>2014-11-22 10:22:05</v>
      </c>
      <c r="M267" s="1" t="s">
        <v>45</v>
      </c>
      <c r="N267" s="1" t="s">
        <v>38</v>
      </c>
      <c r="O267" s="1" t="s">
        <v>46</v>
      </c>
    </row>
    <row r="268" spans="2:15" x14ac:dyDescent="0.3">
      <c r="B268" s="1" t="s">
        <v>24</v>
      </c>
      <c r="C268" s="1" t="str">
        <f>"1차"</f>
        <v>1차</v>
      </c>
      <c r="D268" s="1" t="str">
        <f>"0226G08301"</f>
        <v>0226G08301</v>
      </c>
      <c r="E268" s="1" t="s">
        <v>10</v>
      </c>
      <c r="F268" s="1" t="str">
        <f>"10.14.11.199"</f>
        <v>10.14.11.199</v>
      </c>
      <c r="G268" s="1" t="str">
        <f>"0226G083"</f>
        <v>0226G083</v>
      </c>
      <c r="H268" s="1" t="str">
        <f>"군답간 29"</f>
        <v>군답간 29</v>
      </c>
      <c r="I268" s="1" t="s">
        <v>8</v>
      </c>
      <c r="J268" s="1" t="str">
        <f>"43/44"</f>
        <v>43/44</v>
      </c>
      <c r="K268" s="1" t="str">
        <f>"2026-07-29 13:18:03"</f>
        <v>2026-07-29 13:18:03</v>
      </c>
      <c r="L268" s="1" t="str">
        <f>"2015-02-06 15:14:09"</f>
        <v>2015-02-06 15:14:09</v>
      </c>
      <c r="M268" s="1" t="s">
        <v>3</v>
      </c>
      <c r="N268" s="1" t="s">
        <v>38</v>
      </c>
      <c r="O268" s="1" t="s">
        <v>46</v>
      </c>
    </row>
    <row r="269" spans="2:15" x14ac:dyDescent="0.3">
      <c r="B269" s="1" t="s">
        <v>24</v>
      </c>
      <c r="C269" s="1" t="str">
        <f>"1차"</f>
        <v>1차</v>
      </c>
      <c r="D269" s="1" t="str">
        <f>"0226G25100"</f>
        <v>0226G25100</v>
      </c>
      <c r="E269" s="1" t="s">
        <v>10</v>
      </c>
      <c r="F269" s="1" t="str">
        <f>"10.89.249.34"</f>
        <v>10.89.249.34</v>
      </c>
      <c r="G269" s="1" t="str">
        <f>"0226G251"</f>
        <v>0226G251</v>
      </c>
      <c r="H269" s="1" t="str">
        <f>"군답간 13"</f>
        <v>군답간 13</v>
      </c>
      <c r="I269" s="1" t="s">
        <v>8</v>
      </c>
      <c r="J269" s="1" t="str">
        <f>"14/14"</f>
        <v>14/14</v>
      </c>
      <c r="K269" s="1" t="str">
        <f>"2026-07-29 13:18:02"</f>
        <v>2026-07-29 13:18:02</v>
      </c>
      <c r="L269" s="1" t="str">
        <f>"2014-11-19 16:27:56"</f>
        <v>2014-11-19 16:27:56</v>
      </c>
      <c r="M269" s="1" t="s">
        <v>45</v>
      </c>
      <c r="N269" s="1" t="s">
        <v>38</v>
      </c>
      <c r="O269" s="1" t="s">
        <v>46</v>
      </c>
    </row>
    <row r="270" spans="2:15" x14ac:dyDescent="0.3">
      <c r="B270" s="1" t="s">
        <v>24</v>
      </c>
      <c r="C270" s="1" t="str">
        <f>"3차"</f>
        <v>3차</v>
      </c>
      <c r="D270" s="1" t="str">
        <f>"0226G25239"</f>
        <v>0226G25239</v>
      </c>
      <c r="E270" s="1" t="s">
        <v>10</v>
      </c>
      <c r="F270" s="1" t="str">
        <f>"10.12.130.139"</f>
        <v>10.12.130.139</v>
      </c>
      <c r="G270" s="1" t="str">
        <f>"0226G252"</f>
        <v>0226G252</v>
      </c>
      <c r="H270" s="1" t="str">
        <f>"군답간 63R9"</f>
        <v>군답간 63R9</v>
      </c>
      <c r="I270" s="1" t="s">
        <v>8</v>
      </c>
      <c r="J270" s="1" t="str">
        <f>"2/2"</f>
        <v>2/2</v>
      </c>
      <c r="K270" s="1" t="str">
        <f>"2026-07-29 13:18:02"</f>
        <v>2026-07-29 13:18:02</v>
      </c>
      <c r="L270" s="1" t="str">
        <f>"2023-07-26 10:18:54"</f>
        <v>2023-07-26 10:18:54</v>
      </c>
      <c r="M270" s="1" t="s">
        <v>0</v>
      </c>
      <c r="N270" s="1" t="s">
        <v>38</v>
      </c>
      <c r="O270" s="1" t="s">
        <v>46</v>
      </c>
    </row>
    <row r="271" spans="2:15" x14ac:dyDescent="0.3">
      <c r="B271" s="1" t="s">
        <v>24</v>
      </c>
      <c r="C271" s="1" t="str">
        <f>"1차"</f>
        <v>1차</v>
      </c>
      <c r="D271" s="1" t="str">
        <f>"0226G26400"</f>
        <v>0226G26400</v>
      </c>
      <c r="E271" s="1" t="s">
        <v>10</v>
      </c>
      <c r="F271" s="1" t="str">
        <f>"10.89.249.18"</f>
        <v>10.89.249.18</v>
      </c>
      <c r="G271" s="1" t="str">
        <f>"0226G264"</f>
        <v>0226G264</v>
      </c>
      <c r="H271" s="1" t="str">
        <f>"군답간 28R7L1"</f>
        <v>군답간 28R7L1</v>
      </c>
      <c r="I271" s="1" t="s">
        <v>8</v>
      </c>
      <c r="J271" s="1" t="str">
        <f>"31/31"</f>
        <v>31/31</v>
      </c>
      <c r="K271" s="1" t="str">
        <f>"2026-07-29 13:18:02"</f>
        <v>2026-07-29 13:18:02</v>
      </c>
      <c r="L271" s="1" t="str">
        <f>"2014-07-22 11:42:48"</f>
        <v>2014-07-22 11:42:48</v>
      </c>
      <c r="M271" s="1" t="s">
        <v>45</v>
      </c>
      <c r="N271" s="1" t="s">
        <v>38</v>
      </c>
      <c r="O271" s="1" t="s">
        <v>46</v>
      </c>
    </row>
    <row r="272" spans="2:15" x14ac:dyDescent="0.3">
      <c r="B272" s="1" t="s">
        <v>24</v>
      </c>
      <c r="C272" s="1" t="str">
        <f>"1차"</f>
        <v>1차</v>
      </c>
      <c r="D272" s="1" t="str">
        <f>"0226G27101"</f>
        <v>0226G27101</v>
      </c>
      <c r="E272" s="1" t="s">
        <v>10</v>
      </c>
      <c r="F272" s="1" t="str">
        <f>"10.89.249.19"</f>
        <v>10.89.249.19</v>
      </c>
      <c r="G272" s="1" t="str">
        <f>"0226G271"</f>
        <v>0226G271</v>
      </c>
      <c r="H272" s="1" t="str">
        <f>"군답간 21R5"</f>
        <v>군답간 21R5</v>
      </c>
      <c r="I272" s="1" t="s">
        <v>8</v>
      </c>
      <c r="J272" s="1" t="str">
        <f>"31/31"</f>
        <v>31/31</v>
      </c>
      <c r="K272" s="1" t="str">
        <f>"2026-07-29 13:18:01"</f>
        <v>2026-07-29 13:18:01</v>
      </c>
      <c r="L272" s="1" t="str">
        <f>"2014-07-22 18:57:43"</f>
        <v>2014-07-22 18:57:43</v>
      </c>
      <c r="M272" s="1" t="s">
        <v>45</v>
      </c>
      <c r="N272" s="1" t="s">
        <v>38</v>
      </c>
      <c r="O272" s="1" t="s">
        <v>46</v>
      </c>
    </row>
    <row r="273" spans="2:15" x14ac:dyDescent="0.3">
      <c r="B273" s="1" t="s">
        <v>24</v>
      </c>
      <c r="C273" s="1" t="str">
        <f>"4차"</f>
        <v>4차</v>
      </c>
      <c r="D273" s="1" t="str">
        <f>"0226G29144"</f>
        <v>0226G29144</v>
      </c>
      <c r="E273" s="1" t="s">
        <v>10</v>
      </c>
      <c r="F273" s="1" t="str">
        <f>"10.12.129.60"</f>
        <v>10.12.129.60</v>
      </c>
      <c r="G273" s="1" t="str">
        <f>"0226G291"</f>
        <v>0226G291</v>
      </c>
      <c r="H273" s="1" t="str">
        <f>"군답간 55R14"</f>
        <v>군답간 55R14</v>
      </c>
      <c r="I273" s="1" t="s">
        <v>8</v>
      </c>
      <c r="J273" s="1" t="str">
        <f>"39/39"</f>
        <v>39/39</v>
      </c>
      <c r="K273" s="1" t="str">
        <f>"2026-07-29 13:18:03"</f>
        <v>2026-07-29 13:18:03</v>
      </c>
      <c r="L273" s="1" t="str">
        <f>"2023-09-22 17:48:37"</f>
        <v>2023-09-22 17:48:37</v>
      </c>
      <c r="M273" s="1" t="s">
        <v>0</v>
      </c>
      <c r="N273" s="1" t="s">
        <v>38</v>
      </c>
      <c r="O273" s="1" t="s">
        <v>46</v>
      </c>
    </row>
    <row r="274" spans="2:15" x14ac:dyDescent="0.3">
      <c r="B274" s="1" t="s">
        <v>24</v>
      </c>
      <c r="C274" s="1" t="str">
        <f>"4차"</f>
        <v>4차</v>
      </c>
      <c r="D274" s="1" t="str">
        <f>"0226G38342"</f>
        <v>0226G38342</v>
      </c>
      <c r="E274" s="1" t="s">
        <v>10</v>
      </c>
      <c r="F274" s="1" t="str">
        <f>"10.12.137.97"</f>
        <v>10.12.137.97</v>
      </c>
      <c r="G274" s="1" t="str">
        <f>"0226G383"</f>
        <v>0226G383</v>
      </c>
      <c r="H274" s="1" t="str">
        <f>"군답간 55R12"</f>
        <v>군답간 55R12</v>
      </c>
      <c r="I274" s="1" t="s">
        <v>8</v>
      </c>
      <c r="J274" s="1" t="str">
        <f>"64/64"</f>
        <v>64/64</v>
      </c>
      <c r="K274" s="1" t="str">
        <f>"2026-07-29 13:18:03"</f>
        <v>2026-07-29 13:18:03</v>
      </c>
      <c r="L274" s="1" t="str">
        <f>"2025-01-14 16:02:49"</f>
        <v>2025-01-14 16:02:49</v>
      </c>
      <c r="M274" s="1" t="s">
        <v>0</v>
      </c>
      <c r="N274" s="1" t="s">
        <v>38</v>
      </c>
      <c r="O274" s="1" t="s">
        <v>46</v>
      </c>
    </row>
    <row r="275" spans="2:15" x14ac:dyDescent="0.3">
      <c r="B275" s="1" t="s">
        <v>24</v>
      </c>
      <c r="C275" s="1" t="str">
        <f>"4차"</f>
        <v>4차</v>
      </c>
      <c r="D275" s="1" t="str">
        <f>"0226G38444"</f>
        <v>0226G38444</v>
      </c>
      <c r="E275" s="1" t="s">
        <v>10</v>
      </c>
      <c r="F275" s="1" t="str">
        <f>"10.89.249.26"</f>
        <v>10.89.249.26</v>
      </c>
      <c r="G275" s="1" t="str">
        <f>"0226G384"</f>
        <v>0226G384</v>
      </c>
      <c r="H275" s="1" t="str">
        <f>"군답간 55R13"</f>
        <v>군답간 55R13</v>
      </c>
      <c r="I275" s="1" t="s">
        <v>8</v>
      </c>
      <c r="J275" s="1" t="str">
        <f>"58/61"</f>
        <v>58/61</v>
      </c>
      <c r="K275" s="1" t="str">
        <f>"2026-07-29 13:18:02"</f>
        <v>2026-07-29 13:18:02</v>
      </c>
      <c r="L275" s="1" t="str">
        <f>"2023-09-22 17:13:17"</f>
        <v>2023-09-22 17:13:17</v>
      </c>
      <c r="M275" s="1" t="s">
        <v>45</v>
      </c>
      <c r="N275" s="1" t="s">
        <v>38</v>
      </c>
      <c r="O275" s="1" t="s">
        <v>46</v>
      </c>
    </row>
    <row r="276" spans="2:15" x14ac:dyDescent="0.3">
      <c r="B276" s="1" t="s">
        <v>24</v>
      </c>
      <c r="C276" s="1" t="str">
        <f>"5-1차"</f>
        <v>5-1차</v>
      </c>
      <c r="D276" s="1" t="str">
        <f>"0226G3865M"</f>
        <v>0226G3865M</v>
      </c>
      <c r="E276" s="1" t="s">
        <v>10</v>
      </c>
      <c r="F276" s="1" t="str">
        <f>"fde2:104:0:f4:0:0:0:2"</f>
        <v>fde2:104:0:f4:0:0:0:2</v>
      </c>
      <c r="G276" s="1" t="str">
        <f>"0226G386"</f>
        <v>0226G386</v>
      </c>
      <c r="H276" s="1" t="str">
        <f>"군답간 28R7L4"</f>
        <v>군답간 28R7L4</v>
      </c>
      <c r="I276" s="1" t="s">
        <v>15</v>
      </c>
      <c r="J276" s="1" t="str">
        <f>"40/40"</f>
        <v>40/40</v>
      </c>
      <c r="K276" s="1" t="str">
        <f>"2026-07-29 14:20:45"</f>
        <v>2026-07-29 14:20:45</v>
      </c>
      <c r="L276" s="1" t="str">
        <f>"2022-10-13 12:16:51"</f>
        <v>2022-10-13 12:16:51</v>
      </c>
      <c r="M276" s="1" t="s">
        <v>42</v>
      </c>
      <c r="N276" s="1" t="s">
        <v>38</v>
      </c>
      <c r="O276" s="1" t="s">
        <v>46</v>
      </c>
    </row>
    <row r="277" spans="2:15" x14ac:dyDescent="0.3">
      <c r="B277" s="1" t="s">
        <v>24</v>
      </c>
      <c r="C277" s="1" t="str">
        <f>"4차"</f>
        <v>4차</v>
      </c>
      <c r="D277" s="1" t="str">
        <f>"0226G45239"</f>
        <v>0226G45239</v>
      </c>
      <c r="E277" s="1" t="s">
        <v>10</v>
      </c>
      <c r="F277" s="1" t="str">
        <f>"10.125.118.227"</f>
        <v>10.125.118.227</v>
      </c>
      <c r="G277" s="1" t="str">
        <f>"0226G452"</f>
        <v>0226G452</v>
      </c>
      <c r="H277" s="1" t="str">
        <f>"군답간 55R5L3R2"</f>
        <v>군답간 55R5L3R2</v>
      </c>
      <c r="I277" s="1" t="s">
        <v>8</v>
      </c>
      <c r="J277" s="1" t="str">
        <f>"84/84"</f>
        <v>84/84</v>
      </c>
      <c r="K277" s="1" t="str">
        <f>"2026-07-29 13:18:02"</f>
        <v>2026-07-29 13:18:02</v>
      </c>
      <c r="L277" s="1" t="str">
        <f>"2024-02-29 11:30:44"</f>
        <v>2024-02-29 11:30:44</v>
      </c>
      <c r="M277" s="1" t="s">
        <v>45</v>
      </c>
      <c r="N277" s="1" t="s">
        <v>38</v>
      </c>
      <c r="O277" s="1" t="s">
        <v>46</v>
      </c>
    </row>
    <row r="278" spans="2:15" x14ac:dyDescent="0.3">
      <c r="B278" s="1" t="s">
        <v>24</v>
      </c>
      <c r="C278" s="1" t="str">
        <f t="shared" ref="C278:C283" si="20">"5-1차"</f>
        <v>5-1차</v>
      </c>
      <c r="D278" s="1" t="str">
        <f>"0226G4925M"</f>
        <v>0226G4925M</v>
      </c>
      <c r="E278" s="1" t="s">
        <v>10</v>
      </c>
      <c r="F278" s="1" t="str">
        <f>"fde3:102:1430:a100:0:0:0:7"</f>
        <v>fde3:102:1430:a100:0:0:0:7</v>
      </c>
      <c r="G278" s="1" t="str">
        <f>"0226G492"</f>
        <v>0226G492</v>
      </c>
      <c r="H278" s="1" t="str">
        <f>"군답간 42R4"</f>
        <v>군답간 42R4</v>
      </c>
      <c r="I278" s="1" t="s">
        <v>15</v>
      </c>
      <c r="J278" s="1" t="str">
        <f>"59/59"</f>
        <v>59/59</v>
      </c>
      <c r="K278" s="1" t="str">
        <f>"2026-07-29 14:20:27"</f>
        <v>2026-07-29 14:20:27</v>
      </c>
      <c r="L278" s="1" t="str">
        <f>"2022-10-31 16:29:23"</f>
        <v>2022-10-31 16:29:23</v>
      </c>
      <c r="M278" s="1" t="s">
        <v>45</v>
      </c>
      <c r="N278" s="1" t="s">
        <v>38</v>
      </c>
      <c r="O278" s="1" t="s">
        <v>46</v>
      </c>
    </row>
    <row r="279" spans="2:15" x14ac:dyDescent="0.3">
      <c r="B279" s="1" t="s">
        <v>24</v>
      </c>
      <c r="C279" s="1" t="str">
        <f t="shared" si="20"/>
        <v>5-1차</v>
      </c>
      <c r="D279" s="1" t="str">
        <f>"0226G5315M"</f>
        <v>0226G5315M</v>
      </c>
      <c r="E279" s="1" t="s">
        <v>10</v>
      </c>
      <c r="F279" s="1" t="str">
        <f>"fde3:102:1430:a100:0:0:0:2"</f>
        <v>fde3:102:1430:a100:0:0:0:2</v>
      </c>
      <c r="G279" s="1" t="str">
        <f>"0226G531"</f>
        <v>0226G531</v>
      </c>
      <c r="H279" s="1" t="str">
        <f>"군답간 63R2R1"</f>
        <v>군답간 63R2R1</v>
      </c>
      <c r="I279" s="1" t="s">
        <v>15</v>
      </c>
      <c r="J279" s="1" t="str">
        <f>"64/64"</f>
        <v>64/64</v>
      </c>
      <c r="K279" s="1" t="str">
        <f>"2026-07-29 14:20:37"</f>
        <v>2026-07-29 14:20:37</v>
      </c>
      <c r="L279" s="1" t="str">
        <f>"2022-10-25 14:02:58"</f>
        <v>2022-10-25 14:02:58</v>
      </c>
      <c r="M279" s="1" t="s">
        <v>45</v>
      </c>
      <c r="N279" s="1" t="s">
        <v>38</v>
      </c>
      <c r="O279" s="1" t="s">
        <v>46</v>
      </c>
    </row>
    <row r="280" spans="2:15" x14ac:dyDescent="0.3">
      <c r="B280" s="1" t="s">
        <v>24</v>
      </c>
      <c r="C280" s="1" t="str">
        <f t="shared" si="20"/>
        <v>5-1차</v>
      </c>
      <c r="D280" s="1" t="str">
        <f>"0226G7155M"</f>
        <v>0226G7155M</v>
      </c>
      <c r="E280" s="1" t="s">
        <v>10</v>
      </c>
      <c r="F280" s="1" t="str">
        <f>"fde2:104:0:f5:0:0:0:2"</f>
        <v>fde2:104:0:f5:0:0:0:2</v>
      </c>
      <c r="G280" s="1" t="str">
        <f>"0226G715"</f>
        <v>0226G715</v>
      </c>
      <c r="H280" s="1" t="str">
        <f>"황물간 5"</f>
        <v>황물간 5</v>
      </c>
      <c r="I280" s="1" t="s">
        <v>15</v>
      </c>
      <c r="J280" s="1" t="str">
        <f>"80/80"</f>
        <v>80/80</v>
      </c>
      <c r="K280" s="1" t="str">
        <f>"2026-07-29 14:20:39"</f>
        <v>2026-07-29 14:20:39</v>
      </c>
      <c r="L280" s="1" t="str">
        <f>"2022-10-14 09:40:59"</f>
        <v>2022-10-14 09:40:59</v>
      </c>
      <c r="M280" s="1" t="s">
        <v>42</v>
      </c>
      <c r="N280" s="1" t="s">
        <v>38</v>
      </c>
      <c r="O280" s="1" t="s">
        <v>46</v>
      </c>
    </row>
    <row r="281" spans="2:15" x14ac:dyDescent="0.3">
      <c r="B281" s="1" t="s">
        <v>24</v>
      </c>
      <c r="C281" s="1" t="str">
        <f t="shared" si="20"/>
        <v>5-1차</v>
      </c>
      <c r="D281" s="1" t="str">
        <f>"0226G7315M"</f>
        <v>0226G7315M</v>
      </c>
      <c r="E281" s="1" t="s">
        <v>10</v>
      </c>
      <c r="F281" s="1" t="str">
        <f>"fde3:102:1430:a100:0:0:0:3"</f>
        <v>fde3:102:1430:a100:0:0:0:3</v>
      </c>
      <c r="G281" s="1" t="str">
        <f>"0226G731"</f>
        <v>0226G731</v>
      </c>
      <c r="H281" s="1" t="str">
        <f>"군답간 60"</f>
        <v>군답간 60</v>
      </c>
      <c r="I281" s="1" t="s">
        <v>15</v>
      </c>
      <c r="J281" s="1" t="str">
        <f>"45/45"</f>
        <v>45/45</v>
      </c>
      <c r="K281" s="1" t="str">
        <f>"2026-07-29 14:20:38"</f>
        <v>2026-07-29 14:20:38</v>
      </c>
      <c r="L281" s="1" t="str">
        <f>"2022-11-17 15:46:30"</f>
        <v>2022-11-17 15:46:30</v>
      </c>
      <c r="M281" s="1" t="s">
        <v>45</v>
      </c>
      <c r="N281" s="1" t="s">
        <v>38</v>
      </c>
      <c r="O281" s="1" t="s">
        <v>46</v>
      </c>
    </row>
    <row r="282" spans="2:15" x14ac:dyDescent="0.3">
      <c r="B282" s="1" t="s">
        <v>24</v>
      </c>
      <c r="C282" s="1" t="str">
        <f t="shared" si="20"/>
        <v>5-1차</v>
      </c>
      <c r="D282" s="1" t="str">
        <f>"0226G7415S"</f>
        <v>0226G7415S</v>
      </c>
      <c r="E282" s="1" t="s">
        <v>10</v>
      </c>
      <c r="F282" s="1" t="str">
        <f>"fde3:102:1430:a100:0:0:0:4"</f>
        <v>fde3:102:1430:a100:0:0:0:4</v>
      </c>
      <c r="G282" s="1" t="str">
        <f>"0226G741"</f>
        <v>0226G741</v>
      </c>
      <c r="H282" s="1" t="str">
        <f>"군답간 63R2R4"</f>
        <v>군답간 63R2R4</v>
      </c>
      <c r="I282" s="1" t="s">
        <v>15</v>
      </c>
      <c r="J282" s="1" t="str">
        <f>"44/44"</f>
        <v>44/44</v>
      </c>
      <c r="K282" s="1" t="str">
        <f>"2026-07-29 14:20:45"</f>
        <v>2026-07-29 14:20:45</v>
      </c>
      <c r="L282" s="1" t="str">
        <f>"2022-10-31 16:55:50"</f>
        <v>2022-10-31 16:55:50</v>
      </c>
      <c r="M282" s="1" t="s">
        <v>45</v>
      </c>
      <c r="N282" s="1" t="s">
        <v>38</v>
      </c>
      <c r="O282" s="1" t="s">
        <v>46</v>
      </c>
    </row>
    <row r="283" spans="2:15" x14ac:dyDescent="0.3">
      <c r="B283" s="1" t="s">
        <v>24</v>
      </c>
      <c r="C283" s="1" t="str">
        <f t="shared" si="20"/>
        <v>5-1차</v>
      </c>
      <c r="D283" s="1" t="str">
        <f>"0226G7615M"</f>
        <v>0226G7615M</v>
      </c>
      <c r="E283" s="1" t="s">
        <v>10</v>
      </c>
      <c r="F283" s="1" t="str">
        <f>"fde3:102:1430:a100:0:0:0:8"</f>
        <v>fde3:102:1430:a100:0:0:0:8</v>
      </c>
      <c r="G283" s="1" t="str">
        <f>"0226G761"</f>
        <v>0226G761</v>
      </c>
      <c r="H283" s="1" t="str">
        <f>"군답간 55R4"</f>
        <v>군답간 55R4</v>
      </c>
      <c r="I283" s="1" t="s">
        <v>15</v>
      </c>
      <c r="J283" s="1" t="str">
        <f>"60/60"</f>
        <v>60/60</v>
      </c>
      <c r="K283" s="1" t="str">
        <f>"2026-07-29 14:20:38"</f>
        <v>2026-07-29 14:20:38</v>
      </c>
      <c r="L283" s="1" t="str">
        <f>"2022-10-31 16:11:44"</f>
        <v>2022-10-31 16:11:44</v>
      </c>
      <c r="M283" s="1" t="s">
        <v>45</v>
      </c>
      <c r="N283" s="1" t="s">
        <v>38</v>
      </c>
      <c r="O283" s="1" t="s">
        <v>46</v>
      </c>
    </row>
    <row r="284" spans="2:15" x14ac:dyDescent="0.3">
      <c r="B284" s="1" t="s">
        <v>24</v>
      </c>
      <c r="C284" s="1" t="str">
        <f>"4차"</f>
        <v>4차</v>
      </c>
      <c r="D284" s="1" t="str">
        <f>"0226G80142"</f>
        <v>0226G80142</v>
      </c>
      <c r="E284" s="1" t="s">
        <v>10</v>
      </c>
      <c r="F284" s="1" t="str">
        <f>"10.125.119.162"</f>
        <v>10.125.119.162</v>
      </c>
      <c r="G284" s="1" t="str">
        <f>"0226G801"</f>
        <v>0226G801</v>
      </c>
      <c r="H284" s="1" t="str">
        <f>"황물간 88R23"</f>
        <v>황물간 88R23</v>
      </c>
      <c r="I284" s="1" t="s">
        <v>8</v>
      </c>
      <c r="J284" s="1" t="str">
        <f>"84/84"</f>
        <v>84/84</v>
      </c>
      <c r="K284" s="1" t="str">
        <f>"2026-07-29 13:18:02"</f>
        <v>2026-07-29 13:18:02</v>
      </c>
      <c r="L284" s="1" t="str">
        <f>"2025-01-14 14:45:45"</f>
        <v>2025-01-14 14:45:45</v>
      </c>
      <c r="M284" s="1" t="s">
        <v>45</v>
      </c>
      <c r="N284" s="1" t="s">
        <v>38</v>
      </c>
      <c r="O284" s="1" t="s">
        <v>46</v>
      </c>
    </row>
    <row r="285" spans="2:15" x14ac:dyDescent="0.3">
      <c r="B285" s="1" t="s">
        <v>24</v>
      </c>
      <c r="C285" s="1" t="str">
        <f>"1차"</f>
        <v>1차</v>
      </c>
      <c r="D285" s="1" t="str">
        <f>"0226G82101"</f>
        <v>0226G82101</v>
      </c>
      <c r="E285" s="1" t="s">
        <v>10</v>
      </c>
      <c r="F285" s="1" t="str">
        <f>"10.12.136.168"</f>
        <v>10.12.136.168</v>
      </c>
      <c r="G285" s="1" t="str">
        <f>"0226G821"</f>
        <v>0226G821</v>
      </c>
      <c r="H285" s="1" t="str">
        <f>"황물간 7R2"</f>
        <v>황물간 7R2</v>
      </c>
      <c r="I285" s="1" t="s">
        <v>8</v>
      </c>
      <c r="J285" s="1" t="str">
        <f>"12/13"</f>
        <v>12/13</v>
      </c>
      <c r="K285" s="1" t="str">
        <f>"2026-07-29 13:18:01"</f>
        <v>2026-07-29 13:18:01</v>
      </c>
      <c r="L285" s="1" t="str">
        <f>"2014-11-14 09:58:28"</f>
        <v>2014-11-14 09:58:28</v>
      </c>
      <c r="M285" s="1" t="s">
        <v>0</v>
      </c>
      <c r="N285" s="1" t="s">
        <v>38</v>
      </c>
      <c r="O285" s="1" t="s">
        <v>46</v>
      </c>
    </row>
    <row r="286" spans="2:15" x14ac:dyDescent="0.3">
      <c r="B286" s="1" t="s">
        <v>24</v>
      </c>
      <c r="C286" s="1" t="str">
        <f>"5-1차"</f>
        <v>5-1차</v>
      </c>
      <c r="D286" s="1" t="str">
        <f>"0226G8525M"</f>
        <v>0226G8525M</v>
      </c>
      <c r="E286" s="1" t="s">
        <v>10</v>
      </c>
      <c r="F286" s="1" t="str">
        <f>"fde2:104:0:15b:0:0:0:2"</f>
        <v>fde2:104:0:15b:0:0:0:2</v>
      </c>
      <c r="G286" s="1" t="str">
        <f>"0226G852"</f>
        <v>0226G852</v>
      </c>
      <c r="H286" s="1" t="str">
        <f>"군답간 55R3"</f>
        <v>군답간 55R3</v>
      </c>
      <c r="I286" s="1" t="s">
        <v>15</v>
      </c>
      <c r="J286" s="1" t="str">
        <f>"39/39"</f>
        <v>39/39</v>
      </c>
      <c r="K286" s="1" t="str">
        <f>"2026-07-29 14:20:28"</f>
        <v>2026-07-29 14:20:28</v>
      </c>
      <c r="L286" s="1" t="str">
        <f>"2022-10-13 14:12:27"</f>
        <v>2022-10-13 14:12:27</v>
      </c>
      <c r="M286" s="1" t="s">
        <v>42</v>
      </c>
      <c r="N286" s="1" t="s">
        <v>38</v>
      </c>
      <c r="O286" s="1" t="s">
        <v>46</v>
      </c>
    </row>
    <row r="287" spans="2:15" x14ac:dyDescent="0.3">
      <c r="B287" s="1" t="s">
        <v>24</v>
      </c>
      <c r="C287" s="1" t="str">
        <f>"1차"</f>
        <v>1차</v>
      </c>
      <c r="D287" s="1" t="str">
        <f>"0226G91600"</f>
        <v>0226G91600</v>
      </c>
      <c r="E287" s="1" t="s">
        <v>10</v>
      </c>
      <c r="F287" s="1" t="str">
        <f>"10.125.119.165"</f>
        <v>10.125.119.165</v>
      </c>
      <c r="G287" s="1" t="str">
        <f>"0226G916"</f>
        <v>0226G916</v>
      </c>
      <c r="H287" s="1" t="str">
        <f>"황물간 7R5"</f>
        <v>황물간 7R5</v>
      </c>
      <c r="I287" s="1" t="s">
        <v>8</v>
      </c>
      <c r="J287" s="1" t="str">
        <f>"20/21"</f>
        <v>20/21</v>
      </c>
      <c r="K287" s="1" t="str">
        <f>"2026-07-29 13:18:02"</f>
        <v>2026-07-29 13:18:02</v>
      </c>
      <c r="L287" s="1" t="str">
        <f>"2014-10-31 14:12:14"</f>
        <v>2014-10-31 14:12:14</v>
      </c>
      <c r="M287" s="1" t="s">
        <v>45</v>
      </c>
      <c r="N287" s="1" t="s">
        <v>38</v>
      </c>
      <c r="O287" s="1" t="s">
        <v>46</v>
      </c>
    </row>
    <row r="288" spans="2:15" x14ac:dyDescent="0.3">
      <c r="B288" s="1" t="s">
        <v>24</v>
      </c>
      <c r="C288" s="1" t="str">
        <f>"5-1차"</f>
        <v>5-1차</v>
      </c>
      <c r="D288" s="1" t="str">
        <f>"0226H7135M"</f>
        <v>0226H7135M</v>
      </c>
      <c r="E288" s="1" t="s">
        <v>10</v>
      </c>
      <c r="F288" s="1" t="str">
        <f>"fde2:104:0:107:0:0:0:2"</f>
        <v>fde2:104:0:107:0:0:0:2</v>
      </c>
      <c r="G288" s="1" t="str">
        <f>"0226H713"</f>
        <v>0226H713</v>
      </c>
      <c r="H288" s="1" t="str">
        <f>"황물간 61R11"</f>
        <v>황물간 61R11</v>
      </c>
      <c r="I288" s="1" t="s">
        <v>15</v>
      </c>
      <c r="J288" s="1" t="str">
        <f>"45/45"</f>
        <v>45/45</v>
      </c>
      <c r="K288" s="1" t="str">
        <f>"2026-07-29 14:20:28"</f>
        <v>2026-07-29 14:20:28</v>
      </c>
      <c r="L288" s="1" t="str">
        <f>"2022-10-14 11:12:29"</f>
        <v>2022-10-14 11:12:29</v>
      </c>
      <c r="M288" s="1" t="s">
        <v>42</v>
      </c>
      <c r="N288" s="1" t="s">
        <v>38</v>
      </c>
      <c r="O288" s="1" t="s">
        <v>46</v>
      </c>
    </row>
    <row r="289" spans="2:15" x14ac:dyDescent="0.3">
      <c r="B289" s="1" t="s">
        <v>24</v>
      </c>
      <c r="C289" s="1" t="str">
        <f>"4차"</f>
        <v>4차</v>
      </c>
      <c r="D289" s="1" t="str">
        <f>"0226H72142"</f>
        <v>0226H72142</v>
      </c>
      <c r="E289" s="1" t="s">
        <v>10</v>
      </c>
      <c r="F289" s="1" t="str">
        <f>"10.125.119.167"</f>
        <v>10.125.119.167</v>
      </c>
      <c r="G289" s="1" t="str">
        <f>"0226H721"</f>
        <v>0226H721</v>
      </c>
      <c r="H289" s="1" t="str">
        <f>"황물간 61R9"</f>
        <v>황물간 61R9</v>
      </c>
      <c r="I289" s="1" t="s">
        <v>8</v>
      </c>
      <c r="J289" s="1" t="str">
        <f>"22/22"</f>
        <v>22/22</v>
      </c>
      <c r="K289" s="1" t="str">
        <f>"2026-07-29 13:18:02"</f>
        <v>2026-07-29 13:18:02</v>
      </c>
      <c r="L289" s="1" t="str">
        <f>"2025-04-17 09:29:08"</f>
        <v>2025-04-17 09:29:08</v>
      </c>
      <c r="M289" s="1" t="s">
        <v>45</v>
      </c>
      <c r="N289" s="1" t="s">
        <v>38</v>
      </c>
      <c r="O289" s="1" t="s">
        <v>46</v>
      </c>
    </row>
    <row r="290" spans="2:15" x14ac:dyDescent="0.3">
      <c r="B290" s="1" t="s">
        <v>24</v>
      </c>
      <c r="C290" s="1" t="str">
        <f>"4차"</f>
        <v>4차</v>
      </c>
      <c r="D290" s="1" t="str">
        <f>"0226H73442"</f>
        <v>0226H73442</v>
      </c>
      <c r="E290" s="1" t="s">
        <v>10</v>
      </c>
      <c r="F290" s="1" t="str">
        <f>"10.12.129.87"</f>
        <v>10.12.129.87</v>
      </c>
      <c r="G290" s="1" t="str">
        <f>"0226H734"</f>
        <v>0226H734</v>
      </c>
      <c r="H290" s="1" t="str">
        <f>"황물간 61R7"</f>
        <v>황물간 61R7</v>
      </c>
      <c r="I290" s="1" t="s">
        <v>8</v>
      </c>
      <c r="J290" s="1" t="str">
        <f>"35/35"</f>
        <v>35/35</v>
      </c>
      <c r="K290" s="1" t="str">
        <f>"2026-07-29 13:18:03"</f>
        <v>2026-07-29 13:18:03</v>
      </c>
      <c r="L290" s="1" t="str">
        <f>"2025-05-23 09:44:04"</f>
        <v>2025-05-23 09:44:04</v>
      </c>
      <c r="M290" s="1" t="s">
        <v>0</v>
      </c>
      <c r="N290" s="1" t="s">
        <v>38</v>
      </c>
      <c r="O290" s="1" t="s">
        <v>46</v>
      </c>
    </row>
    <row r="291" spans="2:15" x14ac:dyDescent="0.3">
      <c r="B291" s="1" t="s">
        <v>24</v>
      </c>
      <c r="C291" s="1" t="str">
        <f>"5-2차"</f>
        <v>5-2차</v>
      </c>
      <c r="D291" s="1" t="str">
        <f>"0226H9035M"</f>
        <v>0226H9035M</v>
      </c>
      <c r="E291" s="1" t="s">
        <v>10</v>
      </c>
      <c r="F291" s="1" t="str">
        <f>"fde3:102:1430:3400:0:0:0:15"</f>
        <v>fde3:102:1430:3400:0:0:0:15</v>
      </c>
      <c r="G291" s="1" t="str">
        <f>"0226H903"</f>
        <v>0226H903</v>
      </c>
      <c r="H291" s="1" t="str">
        <f>"황물간 71"</f>
        <v>황물간 71</v>
      </c>
      <c r="I291" s="1" t="s">
        <v>15</v>
      </c>
      <c r="J291" s="1" t="str">
        <f>"42/42"</f>
        <v>42/42</v>
      </c>
      <c r="K291" s="1" t="str">
        <f>"2026-07-29 14:20:27"</f>
        <v>2026-07-29 14:20:27</v>
      </c>
      <c r="L291" s="1" t="str">
        <f>"2023-08-30 12:55:27"</f>
        <v>2023-08-30 12:55:27</v>
      </c>
      <c r="M291" s="1" t="s">
        <v>45</v>
      </c>
      <c r="N291" s="1" t="s">
        <v>38</v>
      </c>
      <c r="O291" s="1" t="s">
        <v>46</v>
      </c>
    </row>
    <row r="292" spans="2:15" x14ac:dyDescent="0.3">
      <c r="B292" s="1" t="s">
        <v>24</v>
      </c>
      <c r="C292" s="1" t="str">
        <f>"6차"</f>
        <v>6차</v>
      </c>
      <c r="D292" s="1" t="str">
        <f>"0226H9116S"</f>
        <v>0226H9116S</v>
      </c>
      <c r="E292" s="1" t="s">
        <v>10</v>
      </c>
      <c r="F292" s="1" t="str">
        <f>"fde1:103:4:c679:0:0:0:2"</f>
        <v>fde1:103:4:c679:0:0:0:2</v>
      </c>
      <c r="G292" s="1" t="str">
        <f>"0226H911"</f>
        <v>0226H911</v>
      </c>
      <c r="H292" s="1" t="str">
        <f>"황물간 69"</f>
        <v>황물간 69</v>
      </c>
      <c r="I292" s="1" t="s">
        <v>15</v>
      </c>
      <c r="J292" s="1" t="str">
        <f>"39/40"</f>
        <v>39/40</v>
      </c>
      <c r="K292" s="1" t="str">
        <f>"2026-07-29 14:20:01"</f>
        <v>2026-07-29 14:20:01</v>
      </c>
      <c r="L292" s="1" t="str">
        <f>"2024-11-01 18:13:22"</f>
        <v>2024-11-01 18:13:22</v>
      </c>
      <c r="M292" s="1" t="s">
        <v>4</v>
      </c>
      <c r="N292" s="1" t="s">
        <v>38</v>
      </c>
      <c r="O292" s="1" t="s">
        <v>46</v>
      </c>
    </row>
    <row r="293" spans="2:15" x14ac:dyDescent="0.3">
      <c r="B293" s="1" t="s">
        <v>24</v>
      </c>
      <c r="C293" s="1" t="str">
        <f>"1차"</f>
        <v>1차</v>
      </c>
      <c r="D293" s="1" t="str">
        <f>"0226H92200"</f>
        <v>0226H92200</v>
      </c>
      <c r="E293" s="1" t="s">
        <v>10</v>
      </c>
      <c r="F293" s="1" t="str">
        <f>"10.12.136.243"</f>
        <v>10.12.136.243</v>
      </c>
      <c r="G293" s="1" t="str">
        <f>"0226H922"</f>
        <v>0226H922</v>
      </c>
      <c r="H293" s="1" t="str">
        <f>"황물간 67"</f>
        <v>황물간 67</v>
      </c>
      <c r="I293" s="1" t="s">
        <v>8</v>
      </c>
      <c r="J293" s="1" t="str">
        <f>"7/8"</f>
        <v>7/8</v>
      </c>
      <c r="K293" s="1" t="str">
        <f>"2026-07-29 13:18:03"</f>
        <v>2026-07-29 13:18:03</v>
      </c>
      <c r="L293" s="1" t="str">
        <f>"2023-11-10 17:18:46"</f>
        <v>2023-11-10 17:18:46</v>
      </c>
      <c r="M293" s="1" t="s">
        <v>0</v>
      </c>
      <c r="N293" s="1" t="s">
        <v>38</v>
      </c>
      <c r="O293" s="1" t="s">
        <v>46</v>
      </c>
    </row>
    <row r="294" spans="2:15" x14ac:dyDescent="0.3">
      <c r="B294" s="1" t="s">
        <v>24</v>
      </c>
      <c r="C294" s="1" t="str">
        <f>"5-2차"</f>
        <v>5-2차</v>
      </c>
      <c r="D294" s="1" t="str">
        <f>"0226H9435M"</f>
        <v>0226H9435M</v>
      </c>
      <c r="E294" s="1" t="s">
        <v>10</v>
      </c>
      <c r="F294" s="1" t="str">
        <f>"fde1:103:4:5983:0:0:0:2"</f>
        <v>fde1:103:4:5983:0:0:0:2</v>
      </c>
      <c r="G294" s="1" t="str">
        <f>"0226H943"</f>
        <v>0226H943</v>
      </c>
      <c r="H294" s="1" t="str">
        <f>"황물간 63"</f>
        <v>황물간 63</v>
      </c>
      <c r="I294" s="1" t="s">
        <v>15</v>
      </c>
      <c r="J294" s="1" t="str">
        <f>"70/71"</f>
        <v>70/71</v>
      </c>
      <c r="K294" s="1" t="str">
        <f>"2026-07-29 14:20:28"</f>
        <v>2026-07-29 14:20:28</v>
      </c>
      <c r="L294" s="1" t="str">
        <f>"2023-09-13 10:24:28"</f>
        <v>2023-09-13 10:24:28</v>
      </c>
      <c r="M294" s="1" t="s">
        <v>4</v>
      </c>
      <c r="N294" s="1" t="s">
        <v>38</v>
      </c>
      <c r="O294" s="1" t="s">
        <v>46</v>
      </c>
    </row>
    <row r="295" spans="2:15" x14ac:dyDescent="0.3">
      <c r="B295" s="1" t="s">
        <v>24</v>
      </c>
      <c r="C295" s="1" t="str">
        <f>"5-2차"</f>
        <v>5-2차</v>
      </c>
      <c r="D295" s="1" t="str">
        <f>"0226H9745M"</f>
        <v>0226H9745M</v>
      </c>
      <c r="E295" s="1" t="s">
        <v>14</v>
      </c>
      <c r="F295" s="1" t="str">
        <f>"fde1:103:4:591a:0:0:0:2"</f>
        <v>fde1:103:4:591a:0:0:0:2</v>
      </c>
      <c r="G295" s="1" t="str">
        <f>"0226H974"</f>
        <v>0226H974</v>
      </c>
      <c r="H295" s="1" t="str">
        <f>"황물간 58"</f>
        <v>황물간 58</v>
      </c>
      <c r="I295" s="1" t="s">
        <v>15</v>
      </c>
      <c r="J295" s="1" t="str">
        <f>"0/0"</f>
        <v>0/0</v>
      </c>
      <c r="K295" s="1" t="str">
        <f>"2026-07-29 14:20:40"</f>
        <v>2026-07-29 14:20:40</v>
      </c>
      <c r="L295" s="1" t="str">
        <f>"2023-09-13 10:26:38"</f>
        <v>2023-09-13 10:26:38</v>
      </c>
      <c r="M295" s="1" t="s">
        <v>4</v>
      </c>
      <c r="N295" s="1" t="s">
        <v>38</v>
      </c>
      <c r="O295" s="1" t="s">
        <v>44</v>
      </c>
    </row>
    <row r="296" spans="2:15" x14ac:dyDescent="0.3">
      <c r="B296" s="1" t="s">
        <v>24</v>
      </c>
      <c r="C296" s="1" t="str">
        <f>"5-1차"</f>
        <v>5-1차</v>
      </c>
      <c r="D296" s="1" t="str">
        <f>"0226W9825M"</f>
        <v>0226W9825M</v>
      </c>
      <c r="E296" s="1" t="s">
        <v>10</v>
      </c>
      <c r="F296" s="1" t="str">
        <f>"fde3:102:1430:3100:0:0:0:2"</f>
        <v>fde3:102:1430:3100:0:0:0:2</v>
      </c>
      <c r="G296" s="1" t="str">
        <f>"0226W982"</f>
        <v>0226W982</v>
      </c>
      <c r="H296" s="1" t="str">
        <f>"황물간 88R20"</f>
        <v>황물간 88R20</v>
      </c>
      <c r="I296" s="1" t="s">
        <v>15</v>
      </c>
      <c r="J296" s="1" t="str">
        <f>"6/9"</f>
        <v>6/9</v>
      </c>
      <c r="K296" s="1" t="str">
        <f>"2026-07-29 14:20:29"</f>
        <v>2026-07-29 14:20:29</v>
      </c>
      <c r="L296" s="1" t="str">
        <f>"2022-10-25 10:09:39"</f>
        <v>2022-10-25 10:09:39</v>
      </c>
      <c r="M296" s="1" t="s">
        <v>45</v>
      </c>
      <c r="N296" s="1" t="s">
        <v>38</v>
      </c>
      <c r="O296" s="1" t="s">
        <v>46</v>
      </c>
    </row>
    <row r="297" spans="2:15" x14ac:dyDescent="0.3">
      <c r="B297" s="1" t="s">
        <v>24</v>
      </c>
      <c r="C297" s="1" t="str">
        <f>"5-1차"</f>
        <v>5-1차</v>
      </c>
      <c r="D297" s="1" t="str">
        <f>"0226X0715M"</f>
        <v>0226X0715M</v>
      </c>
      <c r="E297" s="1" t="s">
        <v>10</v>
      </c>
      <c r="F297" s="1" t="str">
        <f>"fde3:102:1430:3100:0:0:0:8"</f>
        <v>fde3:102:1430:3100:0:0:0:8</v>
      </c>
      <c r="G297" s="1" t="str">
        <f>"0226X071"</f>
        <v>0226X071</v>
      </c>
      <c r="H297" s="1" t="str">
        <f>"황물간 88R17"</f>
        <v>황물간 88R17</v>
      </c>
      <c r="I297" s="1" t="s">
        <v>15</v>
      </c>
      <c r="J297" s="1" t="str">
        <f>"43/43"</f>
        <v>43/43</v>
      </c>
      <c r="K297" s="1" t="str">
        <f>"2026-07-29 14:20:31"</f>
        <v>2026-07-29 14:20:31</v>
      </c>
      <c r="L297" s="1" t="str">
        <f>"2022-11-16 11:00:49"</f>
        <v>2022-11-16 11:00:49</v>
      </c>
      <c r="M297" s="1" t="s">
        <v>45</v>
      </c>
      <c r="N297" s="1" t="s">
        <v>38</v>
      </c>
      <c r="O297" s="1" t="s">
        <v>46</v>
      </c>
    </row>
    <row r="298" spans="2:15" x14ac:dyDescent="0.3">
      <c r="B298" s="1" t="s">
        <v>24</v>
      </c>
      <c r="C298" s="1" t="str">
        <f>"5-1차"</f>
        <v>5-1차</v>
      </c>
      <c r="D298" s="1" t="str">
        <f>"0226X2425S"</f>
        <v>0226X2425S</v>
      </c>
      <c r="E298" s="1" t="s">
        <v>10</v>
      </c>
      <c r="F298" s="1" t="str">
        <f>"fde3:102:1430:3100:0:0:0:9"</f>
        <v>fde3:102:1430:3100:0:0:0:9</v>
      </c>
      <c r="G298" s="1" t="str">
        <f>"0226X242"</f>
        <v>0226X242</v>
      </c>
      <c r="H298" s="1" t="str">
        <f>"황물간 88R12"</f>
        <v>황물간 88R12</v>
      </c>
      <c r="I298" s="1" t="s">
        <v>15</v>
      </c>
      <c r="J298" s="1" t="str">
        <f>"56/56"</f>
        <v>56/56</v>
      </c>
      <c r="K298" s="1" t="str">
        <f>"2026-07-29 14:20:02"</f>
        <v>2026-07-29 14:20:02</v>
      </c>
      <c r="L298" s="1" t="str">
        <f>"2022-11-18 14:08:20"</f>
        <v>2022-11-18 14:08:20</v>
      </c>
      <c r="M298" s="1" t="s">
        <v>45</v>
      </c>
      <c r="N298" s="1" t="s">
        <v>38</v>
      </c>
      <c r="O298" s="1" t="s">
        <v>46</v>
      </c>
    </row>
    <row r="299" spans="2:15" x14ac:dyDescent="0.3">
      <c r="B299" s="1" t="s">
        <v>24</v>
      </c>
      <c r="C299" s="1" t="str">
        <f>"1차"</f>
        <v>1차</v>
      </c>
      <c r="D299" s="1" t="str">
        <f>"0226X25400"</f>
        <v>0226X25400</v>
      </c>
      <c r="E299" s="1" t="s">
        <v>10</v>
      </c>
      <c r="F299" s="1" t="str">
        <f>"10.89.246.67"</f>
        <v>10.89.246.67</v>
      </c>
      <c r="G299" s="1" t="str">
        <f>"0226X254"</f>
        <v>0226X254</v>
      </c>
      <c r="H299" s="1" t="str">
        <f>"천사간 10R2"</f>
        <v>천사간 10R2</v>
      </c>
      <c r="I299" s="1" t="s">
        <v>8</v>
      </c>
      <c r="J299" s="1" t="str">
        <f>"7/7"</f>
        <v>7/7</v>
      </c>
      <c r="K299" s="1" t="str">
        <f>"2026-07-29 13:18:00"</f>
        <v>2026-07-29 13:18:00</v>
      </c>
      <c r="L299" s="1" t="str">
        <f>"2014-11-12 16:56:26"</f>
        <v>2014-11-12 16:56:26</v>
      </c>
      <c r="M299" s="1" t="s">
        <v>45</v>
      </c>
      <c r="N299" s="1" t="s">
        <v>38</v>
      </c>
      <c r="O299" s="1" t="s">
        <v>46</v>
      </c>
    </row>
    <row r="300" spans="2:15" x14ac:dyDescent="0.3">
      <c r="B300" s="1" t="s">
        <v>24</v>
      </c>
      <c r="C300" s="1" t="str">
        <f>"5-1차"</f>
        <v>5-1차</v>
      </c>
      <c r="D300" s="1" t="str">
        <f>"0226X2625M"</f>
        <v>0226X2625M</v>
      </c>
      <c r="E300" s="1" t="s">
        <v>10</v>
      </c>
      <c r="F300" s="1" t="str">
        <f>"fde2:104:0:103:0:0:0:2"</f>
        <v>fde2:104:0:103:0:0:0:2</v>
      </c>
      <c r="G300" s="1" t="str">
        <f>"0226X262"</f>
        <v>0226X262</v>
      </c>
      <c r="H300" s="1" t="str">
        <f>"황물간 88R14R3"</f>
        <v>황물간 88R14R3</v>
      </c>
      <c r="I300" s="1" t="s">
        <v>15</v>
      </c>
      <c r="J300" s="1" t="str">
        <f>"173/173"</f>
        <v>173/173</v>
      </c>
      <c r="K300" s="1" t="str">
        <f>"2026-07-29 14:21:07"</f>
        <v>2026-07-29 14:21:07</v>
      </c>
      <c r="L300" s="1" t="str">
        <f>"2022-10-14 08:06:53"</f>
        <v>2022-10-14 08:06:53</v>
      </c>
      <c r="M300" s="1" t="s">
        <v>42</v>
      </c>
      <c r="N300" s="1" t="s">
        <v>38</v>
      </c>
      <c r="O300" s="1" t="s">
        <v>46</v>
      </c>
    </row>
    <row r="301" spans="2:15" x14ac:dyDescent="0.3">
      <c r="B301" s="1" t="s">
        <v>24</v>
      </c>
      <c r="C301" s="1" t="str">
        <f>"5-1차"</f>
        <v>5-1차</v>
      </c>
      <c r="D301" s="1" t="str">
        <f>"0226X3315S"</f>
        <v>0226X3315S</v>
      </c>
      <c r="E301" s="1" t="s">
        <v>10</v>
      </c>
      <c r="F301" s="1" t="str">
        <f>"fde2:104:0:101:0:0:0:2"</f>
        <v>fde2:104:0:101:0:0:0:2</v>
      </c>
      <c r="G301" s="1" t="str">
        <f>"0226X331"</f>
        <v>0226X331</v>
      </c>
      <c r="H301" s="1" t="str">
        <f>"황물간 88R8"</f>
        <v>황물간 88R8</v>
      </c>
      <c r="I301" s="1" t="s">
        <v>15</v>
      </c>
      <c r="J301" s="1" t="str">
        <f>"35/35"</f>
        <v>35/35</v>
      </c>
      <c r="K301" s="1" t="str">
        <f>"2026-07-29 14:20:02"</f>
        <v>2026-07-29 14:20:02</v>
      </c>
      <c r="L301" s="1" t="str">
        <f>"2022-10-14 08:44:50"</f>
        <v>2022-10-14 08:44:50</v>
      </c>
      <c r="M301" s="1" t="s">
        <v>42</v>
      </c>
      <c r="N301" s="1" t="s">
        <v>38</v>
      </c>
      <c r="O301" s="1" t="s">
        <v>46</v>
      </c>
    </row>
    <row r="302" spans="2:15" x14ac:dyDescent="0.3">
      <c r="B302" s="1" t="s">
        <v>24</v>
      </c>
      <c r="C302" s="1" t="str">
        <f>"1차"</f>
        <v>1차</v>
      </c>
      <c r="D302" s="1" t="str">
        <f>"0226X52200"</f>
        <v>0226X52200</v>
      </c>
      <c r="E302" s="1" t="s">
        <v>10</v>
      </c>
      <c r="F302" s="1" t="str">
        <f>"10.89.246.69"</f>
        <v>10.89.246.69</v>
      </c>
      <c r="G302" s="1" t="str">
        <f>"0226X522"</f>
        <v>0226X522</v>
      </c>
      <c r="H302" s="1" t="str">
        <f>"화신간 4L3"</f>
        <v>화신간 4L3</v>
      </c>
      <c r="I302" s="1" t="s">
        <v>8</v>
      </c>
      <c r="J302" s="1" t="str">
        <f>"1/2"</f>
        <v>1/2</v>
      </c>
      <c r="K302" s="1" t="str">
        <f>"2026-07-29 13:18:00"</f>
        <v>2026-07-29 13:18:00</v>
      </c>
      <c r="L302" s="1" t="str">
        <f>"2014-11-27 14:47:23"</f>
        <v>2014-11-27 14:47:23</v>
      </c>
      <c r="M302" s="1" t="s">
        <v>45</v>
      </c>
      <c r="N302" s="1" t="s">
        <v>38</v>
      </c>
      <c r="O302" s="1" t="s">
        <v>46</v>
      </c>
    </row>
    <row r="303" spans="2:15" x14ac:dyDescent="0.3">
      <c r="B303" s="1" t="s">
        <v>24</v>
      </c>
      <c r="C303" s="1" t="str">
        <f>"4차"</f>
        <v>4차</v>
      </c>
      <c r="D303" s="1" t="str">
        <f>"0226X52339"</f>
        <v>0226X52339</v>
      </c>
      <c r="E303" s="1" t="s">
        <v>10</v>
      </c>
      <c r="F303" s="1" t="str">
        <f>"10.12.130.48"</f>
        <v>10.12.130.48</v>
      </c>
      <c r="G303" s="1" t="str">
        <f>"0226X523"</f>
        <v>0226X523</v>
      </c>
      <c r="H303" s="1" t="str">
        <f>"황물간 84R7"</f>
        <v>황물간 84R7</v>
      </c>
      <c r="I303" s="1" t="s">
        <v>8</v>
      </c>
      <c r="J303" s="1" t="str">
        <f>"7/7"</f>
        <v>7/7</v>
      </c>
      <c r="K303" s="1" t="str">
        <f>"2026-07-29 13:18:02"</f>
        <v>2026-07-29 13:18:02</v>
      </c>
      <c r="L303" s="1" t="str">
        <f>"2023-07-27 09:19:18"</f>
        <v>2023-07-27 09:19:18</v>
      </c>
      <c r="M303" s="1" t="s">
        <v>0</v>
      </c>
      <c r="N303" s="1" t="s">
        <v>38</v>
      </c>
      <c r="O303" s="1" t="s">
        <v>46</v>
      </c>
    </row>
    <row r="304" spans="2:15" x14ac:dyDescent="0.3">
      <c r="B304" s="1" t="s">
        <v>24</v>
      </c>
      <c r="C304" s="1" t="str">
        <f>"6차"</f>
        <v>6차</v>
      </c>
      <c r="D304" s="1" t="str">
        <f>"0226X7116S"</f>
        <v>0226X7116S</v>
      </c>
      <c r="E304" s="1" t="s">
        <v>10</v>
      </c>
      <c r="F304" s="1" t="str">
        <f>"fde1:103:4:c635:0:0:0:2"</f>
        <v>fde1:103:4:c635:0:0:0:2</v>
      </c>
      <c r="G304" s="1" t="str">
        <f>"0226X711"</f>
        <v>0226X711</v>
      </c>
      <c r="H304" s="1" t="str">
        <f>"황물간 86"</f>
        <v>황물간 86</v>
      </c>
      <c r="I304" s="1" t="s">
        <v>15</v>
      </c>
      <c r="J304" s="1" t="str">
        <f>"33/35"</f>
        <v>33/35</v>
      </c>
      <c r="K304" s="1" t="str">
        <f>"2026-07-29 14:20:50"</f>
        <v>2026-07-29 14:20:50</v>
      </c>
      <c r="L304" s="1" t="str">
        <f>"2024-11-01 18:13:21"</f>
        <v>2024-11-01 18:13:21</v>
      </c>
      <c r="M304" s="1" t="s">
        <v>4</v>
      </c>
      <c r="N304" s="1" t="s">
        <v>38</v>
      </c>
      <c r="O304" s="1" t="s">
        <v>46</v>
      </c>
    </row>
    <row r="305" spans="2:15" x14ac:dyDescent="0.3">
      <c r="B305" s="1" t="s">
        <v>24</v>
      </c>
      <c r="C305" s="1" t="str">
        <f>"1차"</f>
        <v>1차</v>
      </c>
      <c r="D305" s="1" t="str">
        <f>"0226X73300"</f>
        <v>0226X73300</v>
      </c>
      <c r="E305" s="1" t="s">
        <v>10</v>
      </c>
      <c r="F305" s="1" t="str">
        <f>"10.89.246.72"</f>
        <v>10.89.246.72</v>
      </c>
      <c r="G305" s="1" t="str">
        <f>"0226X733"</f>
        <v>0226X733</v>
      </c>
      <c r="H305" s="1" t="str">
        <f>"황물간 84R1"</f>
        <v>황물간 84R1</v>
      </c>
      <c r="I305" s="1" t="s">
        <v>8</v>
      </c>
      <c r="J305" s="1" t="str">
        <f>"20/21"</f>
        <v>20/21</v>
      </c>
      <c r="K305" s="1" t="str">
        <f>"2026-07-29 13:18:02"</f>
        <v>2026-07-29 13:18:02</v>
      </c>
      <c r="L305" s="1" t="str">
        <f>"2014-11-27 14:49:39"</f>
        <v>2014-11-27 14:49:39</v>
      </c>
      <c r="M305" s="1" t="s">
        <v>45</v>
      </c>
      <c r="N305" s="1" t="s">
        <v>38</v>
      </c>
      <c r="O305" s="1" t="s">
        <v>46</v>
      </c>
    </row>
    <row r="306" spans="2:15" x14ac:dyDescent="0.3">
      <c r="B306" s="1" t="s">
        <v>24</v>
      </c>
      <c r="C306" s="1" t="str">
        <f>"6차"</f>
        <v>6차</v>
      </c>
      <c r="D306" s="1" t="str">
        <f>"0226X8216S"</f>
        <v>0226X8216S</v>
      </c>
      <c r="E306" s="1" t="s">
        <v>10</v>
      </c>
      <c r="F306" s="1" t="str">
        <f>"fde1:103:4:c5f7:0:0:0:2"</f>
        <v>fde1:103:4:c5f7:0:0:0:2</v>
      </c>
      <c r="G306" s="1" t="str">
        <f>"0226X821"</f>
        <v>0226X821</v>
      </c>
      <c r="H306" s="1" t="str">
        <f>"황물간 85"</f>
        <v>황물간 85</v>
      </c>
      <c r="I306" s="1" t="s">
        <v>15</v>
      </c>
      <c r="J306" s="1" t="str">
        <f>"25/25"</f>
        <v>25/25</v>
      </c>
      <c r="K306" s="1" t="str">
        <f>"2026-07-29 14:20:28"</f>
        <v>2026-07-29 14:20:28</v>
      </c>
      <c r="L306" s="1" t="str">
        <f>"2024-11-01 18:13:17"</f>
        <v>2024-11-01 18:13:17</v>
      </c>
      <c r="M306" s="1" t="s">
        <v>4</v>
      </c>
      <c r="N306" s="1" t="s">
        <v>38</v>
      </c>
      <c r="O306" s="1" t="s">
        <v>46</v>
      </c>
    </row>
    <row r="307" spans="2:15" x14ac:dyDescent="0.3">
      <c r="B307" s="1" t="s">
        <v>24</v>
      </c>
      <c r="C307" s="1" t="str">
        <f>"6차"</f>
        <v>6차</v>
      </c>
      <c r="D307" s="1" t="str">
        <f>"0226X9236S"</f>
        <v>0226X9236S</v>
      </c>
      <c r="E307" s="1" t="s">
        <v>10</v>
      </c>
      <c r="F307" s="1" t="str">
        <f>"fde1:103:4:c689:0:0:0:2"</f>
        <v>fde1:103:4:c689:0:0:0:2</v>
      </c>
      <c r="G307" s="1" t="str">
        <f>"0226X923"</f>
        <v>0226X923</v>
      </c>
      <c r="H307" s="1" t="str">
        <f>"군장간 9R2"</f>
        <v>군장간 9R2</v>
      </c>
      <c r="I307" s="1" t="s">
        <v>15</v>
      </c>
      <c r="J307" s="1" t="str">
        <f>"39/39"</f>
        <v>39/39</v>
      </c>
      <c r="K307" s="1" t="str">
        <f>"2026-07-29 14:20:03"</f>
        <v>2026-07-29 14:20:03</v>
      </c>
      <c r="L307" s="1" t="str">
        <f>"2024-11-01 18:13:33"</f>
        <v>2024-11-01 18:13:33</v>
      </c>
      <c r="M307" s="1" t="s">
        <v>4</v>
      </c>
      <c r="N307" s="1" t="s">
        <v>38</v>
      </c>
      <c r="O307" s="1" t="s">
        <v>46</v>
      </c>
    </row>
    <row r="308" spans="2:15" x14ac:dyDescent="0.3">
      <c r="B308" s="1" t="s">
        <v>24</v>
      </c>
      <c r="C308" s="1" t="str">
        <f>"5-2차"</f>
        <v>5-2차</v>
      </c>
      <c r="D308" s="1" t="str">
        <f>"0226X9835M"</f>
        <v>0226X9835M</v>
      </c>
      <c r="E308" s="1" t="s">
        <v>10</v>
      </c>
      <c r="F308" s="1" t="str">
        <f>"fde1:103:4:5756:0:0:0:2"</f>
        <v>fde1:103:4:5756:0:0:0:2</v>
      </c>
      <c r="G308" s="1" t="str">
        <f>"0226X983"</f>
        <v>0226X983</v>
      </c>
      <c r="H308" s="1" t="str">
        <f>"황물간 73"</f>
        <v>황물간 73</v>
      </c>
      <c r="I308" s="1" t="s">
        <v>15</v>
      </c>
      <c r="J308" s="1" t="str">
        <f>"81/81"</f>
        <v>81/81</v>
      </c>
      <c r="K308" s="1" t="str">
        <f>"2026-07-29 14:20:31"</f>
        <v>2026-07-29 14:20:31</v>
      </c>
      <c r="L308" s="1" t="str">
        <f>"2023-09-13 10:49:42"</f>
        <v>2023-09-13 10:49:42</v>
      </c>
      <c r="M308" s="1" t="s">
        <v>4</v>
      </c>
      <c r="N308" s="1" t="s">
        <v>38</v>
      </c>
      <c r="O308" s="1" t="s">
        <v>46</v>
      </c>
    </row>
    <row r="309" spans="2:15" x14ac:dyDescent="0.3">
      <c r="B309" s="1" t="s">
        <v>24</v>
      </c>
      <c r="C309" s="1" t="str">
        <f>"1차"</f>
        <v>1차</v>
      </c>
      <c r="D309" s="1" t="str">
        <f>"0226Z89200"</f>
        <v>0226Z89200</v>
      </c>
      <c r="E309" s="1" t="s">
        <v>10</v>
      </c>
      <c r="F309" s="1" t="str">
        <f>"10.89.245.167"</f>
        <v>10.89.245.167</v>
      </c>
      <c r="G309" s="1" t="str">
        <f>"0226Z892"</f>
        <v>0226Z892</v>
      </c>
      <c r="H309" s="1" t="str">
        <f>"군장간 5R3"</f>
        <v>군장간 5R3</v>
      </c>
      <c r="I309" s="1" t="s">
        <v>8</v>
      </c>
      <c r="J309" s="1" t="str">
        <f>"10/10"</f>
        <v>10/10</v>
      </c>
      <c r="K309" s="1" t="str">
        <f>"2026-07-29 13:18:02"</f>
        <v>2026-07-29 13:18:02</v>
      </c>
      <c r="L309" s="1" t="str">
        <f>"2014-11-27 15:10:21"</f>
        <v>2014-11-27 15:10:21</v>
      </c>
      <c r="M309" s="1" t="s">
        <v>45</v>
      </c>
      <c r="N309" s="1" t="s">
        <v>38</v>
      </c>
      <c r="O309" s="1" t="s">
        <v>46</v>
      </c>
    </row>
    <row r="310" spans="2:15" x14ac:dyDescent="0.3">
      <c r="B310" s="1" t="s">
        <v>24</v>
      </c>
      <c r="C310" s="1" t="str">
        <f>"4차"</f>
        <v>4차</v>
      </c>
      <c r="D310" s="1" t="str">
        <f>"0227C10344"</f>
        <v>0227C10344</v>
      </c>
      <c r="E310" s="1" t="s">
        <v>10</v>
      </c>
      <c r="F310" s="1" t="str">
        <f>"10.10.55.50"</f>
        <v>10.10.55.50</v>
      </c>
      <c r="G310" s="1" t="str">
        <f>"0227C103"</f>
        <v>0227C103</v>
      </c>
      <c r="H310" s="1" t="str">
        <f>"고대간 4R2"</f>
        <v>고대간 4R2</v>
      </c>
      <c r="I310" s="1" t="s">
        <v>8</v>
      </c>
      <c r="J310" s="1" t="str">
        <f>"68/68"</f>
        <v>68/68</v>
      </c>
      <c r="K310" s="1" t="str">
        <f>"2026-07-29 13:18:02"</f>
        <v>2026-07-29 13:18:02</v>
      </c>
      <c r="L310" s="1" t="str">
        <f>"2019-10-14 15:43:05"</f>
        <v>2019-10-14 15:43:05</v>
      </c>
      <c r="M310" s="1" t="s">
        <v>1</v>
      </c>
      <c r="N310" s="1" t="s">
        <v>38</v>
      </c>
      <c r="O310" s="1" t="s">
        <v>46</v>
      </c>
    </row>
    <row r="311" spans="2:15" x14ac:dyDescent="0.3">
      <c r="B311" s="1" t="s">
        <v>24</v>
      </c>
      <c r="C311" s="1" t="str">
        <f>"4차"</f>
        <v>4차</v>
      </c>
      <c r="D311" s="1" t="str">
        <f>"0227C11544"</f>
        <v>0227C11544</v>
      </c>
      <c r="E311" s="1" t="s">
        <v>10</v>
      </c>
      <c r="F311" s="1" t="str">
        <f>"10.10.55.58"</f>
        <v>10.10.55.58</v>
      </c>
      <c r="G311" s="1" t="str">
        <f>"0227C115"</f>
        <v>0227C115</v>
      </c>
      <c r="H311" s="1" t="str">
        <f>"고대간 6"</f>
        <v>고대간 6</v>
      </c>
      <c r="I311" s="1" t="s">
        <v>8</v>
      </c>
      <c r="J311" s="1" t="str">
        <f>"13/18"</f>
        <v>13/18</v>
      </c>
      <c r="K311" s="1" t="str">
        <f>"2026-07-29 13:18:02"</f>
        <v>2026-07-29 13:18:02</v>
      </c>
      <c r="L311" s="1" t="str">
        <f>"2019-09-18 16:03:05"</f>
        <v>2019-09-18 16:03:05</v>
      </c>
      <c r="M311" s="1" t="s">
        <v>1</v>
      </c>
      <c r="N311" s="1" t="s">
        <v>38</v>
      </c>
      <c r="O311" s="1" t="s">
        <v>46</v>
      </c>
    </row>
    <row r="312" spans="2:15" x14ac:dyDescent="0.3">
      <c r="B312" s="1" t="s">
        <v>24</v>
      </c>
      <c r="C312" s="1" t="str">
        <f>"1차"</f>
        <v>1차</v>
      </c>
      <c r="D312" s="1" t="str">
        <f>"0227C32100"</f>
        <v>0227C32100</v>
      </c>
      <c r="E312" s="1" t="s">
        <v>10</v>
      </c>
      <c r="F312" s="1" t="str">
        <f>"10.89.255.194"</f>
        <v>10.89.255.194</v>
      </c>
      <c r="G312" s="1" t="str">
        <f>"0227C321"</f>
        <v>0227C321</v>
      </c>
      <c r="H312" s="1" t="str">
        <f>"고대간 10L1"</f>
        <v>고대간 10L1</v>
      </c>
      <c r="I312" s="1" t="s">
        <v>8</v>
      </c>
      <c r="J312" s="1" t="str">
        <f>"20/23"</f>
        <v>20/23</v>
      </c>
      <c r="K312" s="1" t="str">
        <f>"2026-07-29 13:18:02"</f>
        <v>2026-07-29 13:18:02</v>
      </c>
      <c r="L312" s="1" t="str">
        <f>"2015-02-05 15:46:23"</f>
        <v>2015-02-05 15:46:23</v>
      </c>
      <c r="M312" s="1" t="s">
        <v>45</v>
      </c>
      <c r="N312" s="1" t="s">
        <v>38</v>
      </c>
      <c r="O312" s="1" t="s">
        <v>46</v>
      </c>
    </row>
    <row r="313" spans="2:15" x14ac:dyDescent="0.3">
      <c r="B313" s="1" t="s">
        <v>24</v>
      </c>
      <c r="C313" s="1" t="str">
        <f>"1차"</f>
        <v>1차</v>
      </c>
      <c r="D313" s="1" t="str">
        <f>"0227C34201"</f>
        <v>0227C34201</v>
      </c>
      <c r="E313" s="1" t="s">
        <v>10</v>
      </c>
      <c r="F313" s="1" t="str">
        <f>"10.12.134.155"</f>
        <v>10.12.134.155</v>
      </c>
      <c r="G313" s="1" t="str">
        <f>"0227C342"</f>
        <v>0227C342</v>
      </c>
      <c r="H313" s="1" t="str">
        <f>"고대간 10L6"</f>
        <v>고대간 10L6</v>
      </c>
      <c r="I313" s="1" t="s">
        <v>8</v>
      </c>
      <c r="J313" s="1" t="str">
        <f>"20/20"</f>
        <v>20/20</v>
      </c>
      <c r="K313" s="1" t="str">
        <f>"2026-07-29 13:18:03"</f>
        <v>2026-07-29 13:18:03</v>
      </c>
      <c r="L313" s="1" t="str">
        <f>"2015-02-15 10:33:53"</f>
        <v>2015-02-15 10:33:53</v>
      </c>
      <c r="M313" s="1" t="s">
        <v>0</v>
      </c>
      <c r="N313" s="1" t="s">
        <v>38</v>
      </c>
      <c r="O313" s="1" t="s">
        <v>46</v>
      </c>
    </row>
    <row r="314" spans="2:15" x14ac:dyDescent="0.3">
      <c r="B314" s="1" t="s">
        <v>24</v>
      </c>
      <c r="C314" s="1" t="str">
        <f>"1차"</f>
        <v>1차</v>
      </c>
      <c r="D314" s="1" t="str">
        <f>"0227C36500"</f>
        <v>0227C36500</v>
      </c>
      <c r="E314" s="1" t="s">
        <v>10</v>
      </c>
      <c r="F314" s="1" t="str">
        <f>"10.89.255.234"</f>
        <v>10.89.255.234</v>
      </c>
      <c r="G314" s="1" t="str">
        <f>"0227C365"</f>
        <v>0227C365</v>
      </c>
      <c r="H314" s="1" t="str">
        <f>"고대간 10L10R1"</f>
        <v>고대간 10L10R1</v>
      </c>
      <c r="I314" s="1" t="s">
        <v>8</v>
      </c>
      <c r="J314" s="1" t="str">
        <f>"8/8"</f>
        <v>8/8</v>
      </c>
      <c r="K314" s="1" t="str">
        <f>"2026-07-29 13:18:02"</f>
        <v>2026-07-29 13:18:02</v>
      </c>
      <c r="L314" s="1" t="str">
        <f>"2015-02-26 09:42:59"</f>
        <v>2015-02-26 09:42:59</v>
      </c>
      <c r="M314" s="1" t="s">
        <v>45</v>
      </c>
      <c r="N314" s="1" t="s">
        <v>38</v>
      </c>
      <c r="O314" s="1" t="s">
        <v>46</v>
      </c>
    </row>
    <row r="315" spans="2:15" x14ac:dyDescent="0.3">
      <c r="B315" s="1" t="s">
        <v>24</v>
      </c>
      <c r="C315" s="1" t="str">
        <f>"4차"</f>
        <v>4차</v>
      </c>
      <c r="D315" s="1" t="str">
        <f>"0227C40244"</f>
        <v>0227C40244</v>
      </c>
      <c r="E315" s="1" t="s">
        <v>10</v>
      </c>
      <c r="F315" s="1" t="str">
        <f>"10.10.54.170"</f>
        <v>10.10.54.170</v>
      </c>
      <c r="G315" s="1" t="str">
        <f>"0227C402"</f>
        <v>0227C402</v>
      </c>
      <c r="H315" s="1" t="str">
        <f>"고대간 13"</f>
        <v>고대간 13</v>
      </c>
      <c r="I315" s="1" t="s">
        <v>8</v>
      </c>
      <c r="J315" s="1" t="str">
        <f>"57/57"</f>
        <v>57/57</v>
      </c>
      <c r="K315" s="1" t="str">
        <f>"2026-07-29 13:18:03"</f>
        <v>2026-07-29 13:18:03</v>
      </c>
      <c r="L315" s="1" t="str">
        <f>"2019-11-07 15:13:37"</f>
        <v>2019-11-07 15:13:37</v>
      </c>
      <c r="M315" s="1" t="s">
        <v>1</v>
      </c>
      <c r="N315" s="1" t="s">
        <v>38</v>
      </c>
      <c r="O315" s="1" t="s">
        <v>46</v>
      </c>
    </row>
    <row r="316" spans="2:15" x14ac:dyDescent="0.3">
      <c r="B316" s="1" t="s">
        <v>24</v>
      </c>
      <c r="C316" s="1" t="str">
        <f>"1차"</f>
        <v>1차</v>
      </c>
      <c r="D316" s="1" t="str">
        <f>"0227C40301"</f>
        <v>0227C40301</v>
      </c>
      <c r="E316" s="1" t="s">
        <v>10</v>
      </c>
      <c r="F316" s="1" t="str">
        <f>"10.12.131.139"</f>
        <v>10.12.131.139</v>
      </c>
      <c r="G316" s="1" t="str">
        <f>"0227C403"</f>
        <v>0227C403</v>
      </c>
      <c r="H316" s="1" t="str">
        <f>"고대간 10L1R4"</f>
        <v>고대간 10L1R4</v>
      </c>
      <c r="I316" s="1" t="s">
        <v>8</v>
      </c>
      <c r="J316" s="1" t="str">
        <f>"20/20"</f>
        <v>20/20</v>
      </c>
      <c r="K316" s="1" t="str">
        <f>"2026-07-29 13:18:03"</f>
        <v>2026-07-29 13:18:03</v>
      </c>
      <c r="L316" s="1" t="str">
        <f>"2015-02-05 15:32:55"</f>
        <v>2015-02-05 15:32:55</v>
      </c>
      <c r="M316" s="1" t="s">
        <v>0</v>
      </c>
      <c r="N316" s="1" t="s">
        <v>38</v>
      </c>
      <c r="O316" s="1" t="s">
        <v>46</v>
      </c>
    </row>
    <row r="317" spans="2:15" x14ac:dyDescent="0.3">
      <c r="B317" s="1" t="s">
        <v>24</v>
      </c>
      <c r="C317" s="1" t="str">
        <f>"6차"</f>
        <v>6차</v>
      </c>
      <c r="D317" s="1" t="str">
        <f>"0227C4126S"</f>
        <v>0227C4126S</v>
      </c>
      <c r="E317" s="1" t="s">
        <v>10</v>
      </c>
      <c r="F317" s="1" t="str">
        <f>"fde1:103:4:92a7:0:0:0:2"</f>
        <v>fde1:103:4:92a7:0:0:0:2</v>
      </c>
      <c r="G317" s="1" t="str">
        <f>"0227C412"</f>
        <v>0227C412</v>
      </c>
      <c r="H317" s="1" t="str">
        <f>"고대간 10L1R6"</f>
        <v>고대간 10L1R6</v>
      </c>
      <c r="I317" s="1" t="s">
        <v>15</v>
      </c>
      <c r="J317" s="1" t="str">
        <f>"28/28"</f>
        <v>28/28</v>
      </c>
      <c r="K317" s="1" t="str">
        <f>"2026-07-29 14:20:25"</f>
        <v>2026-07-29 14:20:25</v>
      </c>
      <c r="L317" s="1" t="str">
        <f>"2025-02-18 15:53:17"</f>
        <v>2025-02-18 15:53:17</v>
      </c>
      <c r="M317" s="1" t="s">
        <v>4</v>
      </c>
      <c r="N317" s="1" t="s">
        <v>38</v>
      </c>
      <c r="O317" s="1" t="s">
        <v>46</v>
      </c>
    </row>
    <row r="318" spans="2:15" x14ac:dyDescent="0.3">
      <c r="B318" s="1" t="s">
        <v>24</v>
      </c>
      <c r="C318" s="1" t="str">
        <f>"4차"</f>
        <v>4차</v>
      </c>
      <c r="D318" s="1" t="str">
        <f>"0227C42442"</f>
        <v>0227C42442</v>
      </c>
      <c r="E318" s="1" t="s">
        <v>10</v>
      </c>
      <c r="F318" s="1" t="str">
        <f>"10.12.128.63"</f>
        <v>10.12.128.63</v>
      </c>
      <c r="G318" s="1" t="str">
        <f>"0227C424"</f>
        <v>0227C424</v>
      </c>
      <c r="H318" s="1" t="str">
        <f>"고대간 10L1R7"</f>
        <v>고대간 10L1R7</v>
      </c>
      <c r="I318" s="1" t="s">
        <v>8</v>
      </c>
      <c r="J318" s="1" t="str">
        <f>"19/25"</f>
        <v>19/25</v>
      </c>
      <c r="K318" s="1" t="str">
        <f>"2026-07-29 13:18:03"</f>
        <v>2026-07-29 13:18:03</v>
      </c>
      <c r="L318" s="1" t="str">
        <f>"2025-01-17 17:42:33"</f>
        <v>2025-01-17 17:42:33</v>
      </c>
      <c r="M318" s="1" t="s">
        <v>0</v>
      </c>
      <c r="N318" s="1" t="s">
        <v>38</v>
      </c>
      <c r="O318" s="1" t="s">
        <v>46</v>
      </c>
    </row>
    <row r="319" spans="2:15" x14ac:dyDescent="0.3">
      <c r="B319" s="1" t="s">
        <v>24</v>
      </c>
      <c r="C319" s="1" t="str">
        <f>"4차"</f>
        <v>4차</v>
      </c>
      <c r="D319" s="1" t="str">
        <f>"0227C43542"</f>
        <v>0227C43542</v>
      </c>
      <c r="E319" s="1" t="s">
        <v>10</v>
      </c>
      <c r="F319" s="1" t="str">
        <f>"10.89.255.242"</f>
        <v>10.89.255.242</v>
      </c>
      <c r="G319" s="1" t="str">
        <f>"0227C435"</f>
        <v>0227C435</v>
      </c>
      <c r="H319" s="1" t="str">
        <f>"고대간 10L12R5"</f>
        <v>고대간 10L12R5</v>
      </c>
      <c r="I319" s="1" t="s">
        <v>8</v>
      </c>
      <c r="J319" s="1" t="str">
        <f>"48/48"</f>
        <v>48/48</v>
      </c>
      <c r="K319" s="1" t="str">
        <f>"2026-07-29 13:18:03"</f>
        <v>2026-07-29 13:18:03</v>
      </c>
      <c r="L319" s="1" t="str">
        <f>"2025-01-16 09:40:28"</f>
        <v>2025-01-16 09:40:28</v>
      </c>
      <c r="M319" s="1" t="s">
        <v>45</v>
      </c>
      <c r="N319" s="1" t="s">
        <v>38</v>
      </c>
      <c r="O319" s="1" t="s">
        <v>46</v>
      </c>
    </row>
    <row r="320" spans="2:15" x14ac:dyDescent="0.3">
      <c r="B320" s="1" t="s">
        <v>24</v>
      </c>
      <c r="C320" s="1" t="str">
        <f>"4차"</f>
        <v>4차</v>
      </c>
      <c r="D320" s="1" t="str">
        <f>"0227C44144"</f>
        <v>0227C44144</v>
      </c>
      <c r="E320" s="1" t="s">
        <v>10</v>
      </c>
      <c r="F320" s="1" t="str">
        <f>"10.10.113.130"</f>
        <v>10.10.113.130</v>
      </c>
      <c r="G320" s="1" t="str">
        <f>"0227C441"</f>
        <v>0227C441</v>
      </c>
      <c r="H320" s="1" t="str">
        <f>"고대간 10L12R4"</f>
        <v>고대간 10L12R4</v>
      </c>
      <c r="I320" s="1" t="s">
        <v>8</v>
      </c>
      <c r="J320" s="1" t="str">
        <f>"26/26"</f>
        <v>26/26</v>
      </c>
      <c r="K320" s="1" t="str">
        <f>"2026-07-29 13:18:03"</f>
        <v>2026-07-29 13:18:03</v>
      </c>
      <c r="L320" s="1" t="str">
        <f>"2019-09-18 17:13:04"</f>
        <v>2019-09-18 17:13:04</v>
      </c>
      <c r="M320" s="1" t="s">
        <v>1</v>
      </c>
      <c r="N320" s="1" t="s">
        <v>38</v>
      </c>
      <c r="O320" s="1" t="s">
        <v>46</v>
      </c>
    </row>
    <row r="321" spans="2:15" x14ac:dyDescent="0.3">
      <c r="B321" s="1" t="s">
        <v>24</v>
      </c>
      <c r="C321" s="1" t="str">
        <f>"4차"</f>
        <v>4차</v>
      </c>
      <c r="D321" s="1" t="str">
        <f>"0227C45142"</f>
        <v>0227C45142</v>
      </c>
      <c r="E321" s="1" t="s">
        <v>10</v>
      </c>
      <c r="F321" s="1" t="str">
        <f>"10.12.128.92"</f>
        <v>10.12.128.92</v>
      </c>
      <c r="G321" s="1" t="str">
        <f>"0227C451"</f>
        <v>0227C451</v>
      </c>
      <c r="H321" s="1" t="str">
        <f>"고대간 10L12R2"</f>
        <v>고대간 10L12R2</v>
      </c>
      <c r="I321" s="1" t="s">
        <v>8</v>
      </c>
      <c r="J321" s="1" t="str">
        <f>"97/111"</f>
        <v>97/111</v>
      </c>
      <c r="K321" s="1" t="str">
        <f>"2026-07-29 13:18:01"</f>
        <v>2026-07-29 13:18:01</v>
      </c>
      <c r="L321" s="1" t="str">
        <f>"2025-01-17 17:23:17"</f>
        <v>2025-01-17 17:23:17</v>
      </c>
      <c r="M321" s="1" t="s">
        <v>0</v>
      </c>
      <c r="N321" s="1" t="s">
        <v>38</v>
      </c>
      <c r="O321" s="1" t="s">
        <v>46</v>
      </c>
    </row>
    <row r="322" spans="2:15" x14ac:dyDescent="0.3">
      <c r="B322" s="1" t="s">
        <v>24</v>
      </c>
      <c r="C322" s="1" t="str">
        <f>"4차"</f>
        <v>4차</v>
      </c>
      <c r="D322" s="1" t="str">
        <f>"0227C53244"</f>
        <v>0227C53244</v>
      </c>
      <c r="E322" s="1" t="s">
        <v>10</v>
      </c>
      <c r="F322" s="1" t="str">
        <f>"10.10.62.138"</f>
        <v>10.10.62.138</v>
      </c>
      <c r="G322" s="1" t="str">
        <f>"0227C532"</f>
        <v>0227C532</v>
      </c>
      <c r="H322" s="1" t="str">
        <f>"고대간 10L21"</f>
        <v>고대간 10L21</v>
      </c>
      <c r="I322" s="1" t="s">
        <v>8</v>
      </c>
      <c r="J322" s="1" t="str">
        <f>"44/44"</f>
        <v>44/44</v>
      </c>
      <c r="K322" s="1" t="str">
        <f>"2026-07-29 13:18:02"</f>
        <v>2026-07-29 13:18:02</v>
      </c>
      <c r="L322" s="1" t="str">
        <f>"2021-07-28 16:37:10"</f>
        <v>2021-07-28 16:37:10</v>
      </c>
      <c r="M322" s="1" t="s">
        <v>1</v>
      </c>
      <c r="N322" s="1" t="s">
        <v>38</v>
      </c>
      <c r="O322" s="1" t="s">
        <v>46</v>
      </c>
    </row>
    <row r="323" spans="2:15" x14ac:dyDescent="0.3">
      <c r="B323" s="1" t="s">
        <v>24</v>
      </c>
      <c r="C323" s="1" t="str">
        <f>"1차"</f>
        <v>1차</v>
      </c>
      <c r="D323" s="1" t="str">
        <f>"0227C54100"</f>
        <v>0227C54100</v>
      </c>
      <c r="E323" s="1" t="s">
        <v>10</v>
      </c>
      <c r="F323" s="1" t="str">
        <f>"10.89.255.226"</f>
        <v>10.89.255.226</v>
      </c>
      <c r="G323" s="1" t="str">
        <f>"0227C541"</f>
        <v>0227C541</v>
      </c>
      <c r="H323" s="1" t="str">
        <f>"고대간 10L19"</f>
        <v>고대간 10L19</v>
      </c>
      <c r="I323" s="1" t="s">
        <v>8</v>
      </c>
      <c r="J323" s="1" t="str">
        <f>"8/8"</f>
        <v>8/8</v>
      </c>
      <c r="K323" s="1" t="str">
        <f>"2026-07-29 13:18:02"</f>
        <v>2026-07-29 13:18:02</v>
      </c>
      <c r="L323" s="1" t="str">
        <f>"2015-02-06 09:04:53"</f>
        <v>2015-02-06 09:04:53</v>
      </c>
      <c r="M323" s="1" t="s">
        <v>45</v>
      </c>
      <c r="N323" s="1" t="s">
        <v>38</v>
      </c>
      <c r="O323" s="1" t="s">
        <v>46</v>
      </c>
    </row>
    <row r="324" spans="2:15" x14ac:dyDescent="0.3">
      <c r="B324" s="1" t="s">
        <v>24</v>
      </c>
      <c r="C324" s="1" t="str">
        <f>"4차"</f>
        <v>4차</v>
      </c>
      <c r="D324" s="1" t="str">
        <f>"0227C62139"</f>
        <v>0227C62139</v>
      </c>
      <c r="E324" s="1" t="s">
        <v>10</v>
      </c>
      <c r="F324" s="1" t="str">
        <f>"10.12.130.254"</f>
        <v>10.12.130.254</v>
      </c>
      <c r="G324" s="1" t="str">
        <f>"0227C621"</f>
        <v>0227C621</v>
      </c>
      <c r="H324" s="1" t="str">
        <f>"경동간 7"</f>
        <v>경동간 7</v>
      </c>
      <c r="I324" s="1" t="s">
        <v>8</v>
      </c>
      <c r="J324" s="1" t="str">
        <f>"28/36"</f>
        <v>28/36</v>
      </c>
      <c r="K324" s="1" t="str">
        <f>"2026-07-29 13:18:04"</f>
        <v>2026-07-29 13:18:04</v>
      </c>
      <c r="L324" s="1" t="str">
        <f>"2023-07-20 17:46:44"</f>
        <v>2023-07-20 17:46:44</v>
      </c>
      <c r="M324" s="1" t="s">
        <v>0</v>
      </c>
      <c r="N324" s="1" t="s">
        <v>38</v>
      </c>
      <c r="O324" s="1" t="s">
        <v>46</v>
      </c>
    </row>
    <row r="325" spans="2:15" x14ac:dyDescent="0.3">
      <c r="B325" s="1" t="s">
        <v>24</v>
      </c>
      <c r="C325" s="1" t="str">
        <f>"1차"</f>
        <v>1차</v>
      </c>
      <c r="D325" s="1" t="str">
        <f>"0227C85100"</f>
        <v>0227C85100</v>
      </c>
      <c r="E325" s="1" t="s">
        <v>10</v>
      </c>
      <c r="F325" s="1" t="str">
        <f>"10.89.252.229"</f>
        <v>10.89.252.229</v>
      </c>
      <c r="G325" s="1" t="str">
        <f>"0227C851"</f>
        <v>0227C851</v>
      </c>
      <c r="H325" s="1" t="str">
        <f>"청량간 20R9"</f>
        <v>청량간 20R9</v>
      </c>
      <c r="I325" s="1" t="s">
        <v>8</v>
      </c>
      <c r="J325" s="1" t="str">
        <f>"6/8"</f>
        <v>6/8</v>
      </c>
      <c r="K325" s="1" t="str">
        <f>"2026-07-29 13:18:02"</f>
        <v>2026-07-29 13:18:02</v>
      </c>
      <c r="L325" s="1" t="str">
        <f>"2014-07-30 13:57:41"</f>
        <v>2014-07-30 13:57:41</v>
      </c>
      <c r="M325" s="1" t="s">
        <v>45</v>
      </c>
      <c r="N325" s="1" t="s">
        <v>38</v>
      </c>
      <c r="O325" s="1" t="s">
        <v>46</v>
      </c>
    </row>
    <row r="326" spans="2:15" x14ac:dyDescent="0.3">
      <c r="B326" s="1" t="s">
        <v>24</v>
      </c>
      <c r="C326" s="1" t="str">
        <f>"1차"</f>
        <v>1차</v>
      </c>
      <c r="D326" s="1" t="str">
        <f>"0227C96101"</f>
        <v>0227C96101</v>
      </c>
      <c r="E326" s="1" t="s">
        <v>10</v>
      </c>
      <c r="F326" s="1" t="str">
        <f>"10.89.129.107"</f>
        <v>10.89.129.107</v>
      </c>
      <c r="G326" s="1" t="str">
        <f>"0227C961"</f>
        <v>0227C961</v>
      </c>
      <c r="H326" s="1" t="str">
        <f>"청량간 13"</f>
        <v>청량간 13</v>
      </c>
      <c r="I326" s="1" t="s">
        <v>8</v>
      </c>
      <c r="J326" s="1" t="str">
        <f>"51/51"</f>
        <v>51/51</v>
      </c>
      <c r="K326" s="1" t="str">
        <f>"2026-07-29 13:18:02"</f>
        <v>2026-07-29 13:18:02</v>
      </c>
      <c r="L326" s="1" t="str">
        <f>"2014-11-27 15:12:30"</f>
        <v>2014-11-27 15:12:30</v>
      </c>
      <c r="M326" s="1" t="s">
        <v>45</v>
      </c>
      <c r="N326" s="1" t="s">
        <v>38</v>
      </c>
      <c r="O326" s="1" t="s">
        <v>46</v>
      </c>
    </row>
    <row r="327" spans="2:15" x14ac:dyDescent="0.3">
      <c r="B327" s="1" t="s">
        <v>24</v>
      </c>
      <c r="C327" s="1" t="str">
        <f>"1차"</f>
        <v>1차</v>
      </c>
      <c r="D327" s="1" t="str">
        <f>"0227D05100"</f>
        <v>0227D05100</v>
      </c>
      <c r="E327" s="1" t="s">
        <v>10</v>
      </c>
      <c r="F327" s="1" t="str">
        <f>"10.89.252.230"</f>
        <v>10.89.252.230</v>
      </c>
      <c r="G327" s="1" t="str">
        <f>"0227D051"</f>
        <v>0227D051</v>
      </c>
      <c r="H327" s="1" t="str">
        <f>"청량간 20R5"</f>
        <v>청량간 20R5</v>
      </c>
      <c r="I327" s="1" t="s">
        <v>8</v>
      </c>
      <c r="J327" s="1" t="str">
        <f>"49/49"</f>
        <v>49/49</v>
      </c>
      <c r="K327" s="1" t="str">
        <f>"2026-07-29 13:18:02"</f>
        <v>2026-07-29 13:18:02</v>
      </c>
      <c r="L327" s="1" t="str">
        <f>"2014-10-27 00:13:46"</f>
        <v>2014-10-27 00:13:46</v>
      </c>
      <c r="M327" s="1" t="s">
        <v>45</v>
      </c>
      <c r="N327" s="1" t="s">
        <v>38</v>
      </c>
      <c r="O327" s="1" t="s">
        <v>46</v>
      </c>
    </row>
    <row r="328" spans="2:15" x14ac:dyDescent="0.3">
      <c r="B328" s="1" t="s">
        <v>24</v>
      </c>
      <c r="C328" s="1" t="str">
        <f>"6차"</f>
        <v>6차</v>
      </c>
      <c r="D328" s="1" t="str">
        <f>"0227D1636S"</f>
        <v>0227D1636S</v>
      </c>
      <c r="E328" s="1" t="s">
        <v>10</v>
      </c>
      <c r="F328" s="1" t="str">
        <f>"fde1:103:4:c683:0:0:0:2"</f>
        <v>fde1:103:4:c683:0:0:0:2</v>
      </c>
      <c r="G328" s="1" t="str">
        <f>"0227D163"</f>
        <v>0227D163</v>
      </c>
      <c r="H328" s="1" t="str">
        <f>"청량간 20R1"</f>
        <v>청량간 20R1</v>
      </c>
      <c r="I328" s="1" t="s">
        <v>15</v>
      </c>
      <c r="J328" s="1" t="str">
        <f>"41/42"</f>
        <v>41/42</v>
      </c>
      <c r="K328" s="1" t="str">
        <f>"2026-07-29 14:20:04"</f>
        <v>2026-07-29 14:20:04</v>
      </c>
      <c r="L328" s="1" t="str">
        <f>"2024-11-05 14:44:50"</f>
        <v>2024-11-05 14:44:50</v>
      </c>
      <c r="M328" s="1" t="s">
        <v>4</v>
      </c>
      <c r="N328" s="1" t="s">
        <v>38</v>
      </c>
      <c r="O328" s="1" t="s">
        <v>46</v>
      </c>
    </row>
    <row r="329" spans="2:15" x14ac:dyDescent="0.3">
      <c r="B329" s="1" t="s">
        <v>24</v>
      </c>
      <c r="C329" s="1" t="str">
        <f>"4차"</f>
        <v>4차</v>
      </c>
      <c r="D329" s="1" t="str">
        <f>"0227D24142"</f>
        <v>0227D24142</v>
      </c>
      <c r="E329" s="1" t="s">
        <v>10</v>
      </c>
      <c r="F329" s="1" t="str">
        <f>"10.89.252.253"</f>
        <v>10.89.252.253</v>
      </c>
      <c r="G329" s="1" t="str">
        <f>"0227D241"</f>
        <v>0227D241</v>
      </c>
      <c r="H329" s="1" t="str">
        <f>"청량간 34R2R6"</f>
        <v>청량간 34R2R6</v>
      </c>
      <c r="I329" s="1" t="s">
        <v>8</v>
      </c>
      <c r="J329" s="1" t="str">
        <f>"38/38"</f>
        <v>38/38</v>
      </c>
      <c r="K329" s="1" t="str">
        <f>"2026-07-29 13:18:02"</f>
        <v>2026-07-29 13:18:02</v>
      </c>
      <c r="L329" s="1" t="str">
        <f>"2026-06-09 17:59:31"</f>
        <v>2026-06-09 17:59:31</v>
      </c>
      <c r="M329" s="1" t="s">
        <v>45</v>
      </c>
      <c r="N329" s="1" t="s">
        <v>38</v>
      </c>
      <c r="O329" s="1" t="s">
        <v>46</v>
      </c>
    </row>
    <row r="330" spans="2:15" x14ac:dyDescent="0.3">
      <c r="B330" s="1" t="s">
        <v>24</v>
      </c>
      <c r="C330" s="1" t="str">
        <f>"5-2차"</f>
        <v>5-2차</v>
      </c>
      <c r="D330" s="1" t="str">
        <f>"0227D3035M"</f>
        <v>0227D3035M</v>
      </c>
      <c r="E330" s="1" t="s">
        <v>10</v>
      </c>
      <c r="F330" s="1" t="str">
        <f>"fde1:103:4:57a5:0:0:0:2"</f>
        <v>fde1:103:4:57a5:0:0:0:2</v>
      </c>
      <c r="G330" s="1" t="str">
        <f>"0227D303"</f>
        <v>0227D303</v>
      </c>
      <c r="H330" s="1" t="str">
        <f>"청량간 31"</f>
        <v>청량간 31</v>
      </c>
      <c r="I330" s="1" t="s">
        <v>15</v>
      </c>
      <c r="J330" s="1" t="str">
        <f>"41/43"</f>
        <v>41/43</v>
      </c>
      <c r="K330" s="1" t="str">
        <f>"2026-07-29 14:20:51"</f>
        <v>2026-07-29 14:20:51</v>
      </c>
      <c r="L330" s="1" t="str">
        <f>"2023-09-13 11:01:07"</f>
        <v>2023-09-13 11:01:07</v>
      </c>
      <c r="M330" s="1" t="s">
        <v>4</v>
      </c>
      <c r="N330" s="1" t="s">
        <v>38</v>
      </c>
      <c r="O330" s="1" t="s">
        <v>46</v>
      </c>
    </row>
    <row r="331" spans="2:15" x14ac:dyDescent="0.3">
      <c r="B331" s="1" t="s">
        <v>24</v>
      </c>
      <c r="C331" s="1" t="str">
        <f>"6차"</f>
        <v>6차</v>
      </c>
      <c r="D331" s="1" t="str">
        <f>"0227D3416S"</f>
        <v>0227D3416S</v>
      </c>
      <c r="E331" s="1" t="s">
        <v>10</v>
      </c>
      <c r="F331" s="1" t="str">
        <f>"fde1:103:4:c64b:0:0:0:2"</f>
        <v>fde1:103:4:c64b:0:0:0:2</v>
      </c>
      <c r="G331" s="1" t="str">
        <f>"0227D341"</f>
        <v>0227D341</v>
      </c>
      <c r="H331" s="1" t="str">
        <f>"청량간 25"</f>
        <v>청량간 25</v>
      </c>
      <c r="I331" s="1" t="s">
        <v>15</v>
      </c>
      <c r="J331" s="1" t="str">
        <f>"34/34"</f>
        <v>34/34</v>
      </c>
      <c r="K331" s="1" t="str">
        <f>"2026-07-29 14:20:04"</f>
        <v>2026-07-29 14:20:04</v>
      </c>
      <c r="L331" s="1" t="str">
        <f>"2024-11-05 14:45:06"</f>
        <v>2024-11-05 14:45:06</v>
      </c>
      <c r="M331" s="1" t="s">
        <v>4</v>
      </c>
      <c r="N331" s="1" t="s">
        <v>38</v>
      </c>
      <c r="O331" s="1" t="s">
        <v>46</v>
      </c>
    </row>
    <row r="332" spans="2:15" x14ac:dyDescent="0.3">
      <c r="B332" s="1" t="s">
        <v>24</v>
      </c>
      <c r="C332" s="1" t="str">
        <f>"1차"</f>
        <v>1차</v>
      </c>
      <c r="D332" s="1" t="str">
        <f>"0227D96100"</f>
        <v>0227D96100</v>
      </c>
      <c r="E332" s="1" t="s">
        <v>10</v>
      </c>
      <c r="F332" s="1" t="str">
        <f>"10.89.245.40"</f>
        <v>10.89.245.40</v>
      </c>
      <c r="G332" s="1" t="str">
        <f>"0227D961"</f>
        <v>0227D961</v>
      </c>
      <c r="H332" s="1" t="str">
        <f>"연구간 113"</f>
        <v>연구간 113</v>
      </c>
      <c r="I332" s="1" t="s">
        <v>8</v>
      </c>
      <c r="J332" s="1" t="str">
        <f>"63/71"</f>
        <v>63/71</v>
      </c>
      <c r="K332" s="1" t="str">
        <f>"2026-07-29 13:18:02"</f>
        <v>2026-07-29 13:18:02</v>
      </c>
      <c r="L332" s="1" t="str">
        <f>"2014-07-28 14:27:00"</f>
        <v>2014-07-28 14:27:00</v>
      </c>
      <c r="M332" s="1" t="s">
        <v>45</v>
      </c>
      <c r="N332" s="1" t="s">
        <v>38</v>
      </c>
      <c r="O332" s="1" t="s">
        <v>46</v>
      </c>
    </row>
    <row r="333" spans="2:15" x14ac:dyDescent="0.3">
      <c r="B333" s="1" t="s">
        <v>24</v>
      </c>
      <c r="C333" s="1" t="str">
        <f t="shared" ref="C333:C340" si="21">"4차"</f>
        <v>4차</v>
      </c>
      <c r="D333" s="1" t="str">
        <f>"0227E40244"</f>
        <v>0227E40244</v>
      </c>
      <c r="E333" s="1" t="str">
        <f>"검침실패(3시간 이상)"</f>
        <v>검침실패(3시간 이상)</v>
      </c>
      <c r="F333" s="1" t="str">
        <f>"10.12.138.31"</f>
        <v>10.12.138.31</v>
      </c>
      <c r="G333" s="1" t="str">
        <f>"0227E402"</f>
        <v>0227E402</v>
      </c>
      <c r="H333" s="1" t="str">
        <f>"경희간 4L8"</f>
        <v>경희간 4L8</v>
      </c>
      <c r="I333" s="1" t="s">
        <v>8</v>
      </c>
      <c r="J333" s="1" t="str">
        <f>"0/8"</f>
        <v>0/8</v>
      </c>
      <c r="K333" s="1" t="str">
        <f>"2026-07-15 07:18:03"</f>
        <v>2026-07-15 07:18:03</v>
      </c>
      <c r="L333" s="1" t="str">
        <f>"2019-12-11 17:42:30"</f>
        <v>2019-12-11 17:42:30</v>
      </c>
      <c r="M333" s="1" t="s">
        <v>0</v>
      </c>
      <c r="N333" s="1" t="s">
        <v>38</v>
      </c>
      <c r="O333" s="1" t="s">
        <v>46</v>
      </c>
    </row>
    <row r="334" spans="2:15" x14ac:dyDescent="0.3">
      <c r="B334" s="1" t="s">
        <v>24</v>
      </c>
      <c r="C334" s="1" t="str">
        <f t="shared" si="21"/>
        <v>4차</v>
      </c>
      <c r="D334" s="1" t="str">
        <f>"0227E60144"</f>
        <v>0227E60144</v>
      </c>
      <c r="E334" s="1" t="s">
        <v>10</v>
      </c>
      <c r="F334" s="1" t="str">
        <f>"10.12.138.2"</f>
        <v>10.12.138.2</v>
      </c>
      <c r="G334" s="1" t="str">
        <f>"0227E601"</f>
        <v>0227E601</v>
      </c>
      <c r="H334" s="1" t="str">
        <f>"경희간 4L6R1"</f>
        <v>경희간 4L6R1</v>
      </c>
      <c r="I334" s="1" t="s">
        <v>8</v>
      </c>
      <c r="J334" s="1" t="str">
        <f>"31/31"</f>
        <v>31/31</v>
      </c>
      <c r="K334" s="1" t="str">
        <f>"2026-07-29 13:18:02"</f>
        <v>2026-07-29 13:18:02</v>
      </c>
      <c r="L334" s="1" t="str">
        <f>"2020-01-14 09:44:05"</f>
        <v>2020-01-14 09:44:05</v>
      </c>
      <c r="M334" s="1" t="s">
        <v>0</v>
      </c>
      <c r="N334" s="1" t="s">
        <v>38</v>
      </c>
      <c r="O334" s="1" t="s">
        <v>46</v>
      </c>
    </row>
    <row r="335" spans="2:15" x14ac:dyDescent="0.3">
      <c r="B335" s="1" t="s">
        <v>24</v>
      </c>
      <c r="C335" s="1" t="str">
        <f t="shared" si="21"/>
        <v>4차</v>
      </c>
      <c r="D335" s="1" t="str">
        <f>"0227E62144"</f>
        <v>0227E62144</v>
      </c>
      <c r="E335" s="1" t="s">
        <v>10</v>
      </c>
      <c r="F335" s="1" t="str">
        <f>"10.10.54.98"</f>
        <v>10.10.54.98</v>
      </c>
      <c r="G335" s="1" t="str">
        <f>"0227E621"</f>
        <v>0227E621</v>
      </c>
      <c r="H335" s="1" t="str">
        <f>"경희간 7L5L8"</f>
        <v>경희간 7L5L8</v>
      </c>
      <c r="I335" s="1" t="s">
        <v>8</v>
      </c>
      <c r="J335" s="1" t="str">
        <f>"45/45"</f>
        <v>45/45</v>
      </c>
      <c r="K335" s="1" t="str">
        <f>"2026-07-29 13:18:02"</f>
        <v>2026-07-29 13:18:02</v>
      </c>
      <c r="L335" s="1" t="str">
        <f>"2019-10-30 13:23:04"</f>
        <v>2019-10-30 13:23:04</v>
      </c>
      <c r="M335" s="1" t="s">
        <v>1</v>
      </c>
      <c r="N335" s="1" t="s">
        <v>38</v>
      </c>
      <c r="O335" s="1" t="s">
        <v>46</v>
      </c>
    </row>
    <row r="336" spans="2:15" x14ac:dyDescent="0.3">
      <c r="B336" s="1" t="s">
        <v>24</v>
      </c>
      <c r="C336" s="1" t="str">
        <f t="shared" si="21"/>
        <v>4차</v>
      </c>
      <c r="D336" s="1" t="str">
        <f>"0227E70244"</f>
        <v>0227E70244</v>
      </c>
      <c r="E336" s="1" t="s">
        <v>10</v>
      </c>
      <c r="F336" s="1" t="str">
        <f>"10.10.54.90"</f>
        <v>10.10.54.90</v>
      </c>
      <c r="G336" s="1" t="str">
        <f>"0227E702"</f>
        <v>0227E702</v>
      </c>
      <c r="H336" s="1" t="str">
        <f>"경희간 7L5L1"</f>
        <v>경희간 7L5L1</v>
      </c>
      <c r="I336" s="1" t="s">
        <v>8</v>
      </c>
      <c r="J336" s="1" t="str">
        <f>"55/55"</f>
        <v>55/55</v>
      </c>
      <c r="K336" s="1" t="str">
        <f>"2026-07-29 13:18:02"</f>
        <v>2026-07-29 13:18:02</v>
      </c>
      <c r="L336" s="1" t="str">
        <f>"2021-07-28 16:44:45"</f>
        <v>2021-07-28 16:44:45</v>
      </c>
      <c r="M336" s="1" t="s">
        <v>1</v>
      </c>
      <c r="N336" s="1" t="s">
        <v>38</v>
      </c>
      <c r="O336" s="1" t="s">
        <v>46</v>
      </c>
    </row>
    <row r="337" spans="2:15" x14ac:dyDescent="0.3">
      <c r="B337" s="1" t="s">
        <v>24</v>
      </c>
      <c r="C337" s="1" t="str">
        <f t="shared" si="21"/>
        <v>4차</v>
      </c>
      <c r="D337" s="1" t="str">
        <f>"0227E71539"</f>
        <v>0227E71539</v>
      </c>
      <c r="E337" s="1" t="s">
        <v>10</v>
      </c>
      <c r="F337" s="1" t="str">
        <f>"10.12.130.171"</f>
        <v>10.12.130.171</v>
      </c>
      <c r="G337" s="1" t="str">
        <f>"0227E715"</f>
        <v>0227E715</v>
      </c>
      <c r="H337" s="1" t="str">
        <f>"경희간 7L5L3L2H1"</f>
        <v>경희간 7L5L3L2H1</v>
      </c>
      <c r="I337" s="1" t="s">
        <v>8</v>
      </c>
      <c r="J337" s="1" t="str">
        <f>"170/183"</f>
        <v>170/183</v>
      </c>
      <c r="K337" s="1" t="str">
        <f>"2026-07-29 13:18:04"</f>
        <v>2026-07-29 13:18:04</v>
      </c>
      <c r="L337" s="1" t="str">
        <f>"2018-09-27 18:00:43"</f>
        <v>2018-09-27 18:00:43</v>
      </c>
      <c r="M337" s="1" t="s">
        <v>0</v>
      </c>
      <c r="N337" s="1" t="s">
        <v>38</v>
      </c>
      <c r="O337" s="1" t="s">
        <v>46</v>
      </c>
    </row>
    <row r="338" spans="2:15" x14ac:dyDescent="0.3">
      <c r="B338" s="1" t="s">
        <v>24</v>
      </c>
      <c r="C338" s="1" t="str">
        <f t="shared" si="21"/>
        <v>4차</v>
      </c>
      <c r="D338" s="1" t="str">
        <f>"0227E72444"</f>
        <v>0227E72444</v>
      </c>
      <c r="E338" s="1" t="s">
        <v>10</v>
      </c>
      <c r="F338" s="1" t="str">
        <f>"10.12.137.248"</f>
        <v>10.12.137.248</v>
      </c>
      <c r="G338" s="1" t="str">
        <f>"0227E724"</f>
        <v>0227E724</v>
      </c>
      <c r="H338" s="1" t="str">
        <f>"경희간 7L5L8R1"</f>
        <v>경희간 7L5L8R1</v>
      </c>
      <c r="I338" s="1" t="s">
        <v>8</v>
      </c>
      <c r="J338" s="1" t="str">
        <f>"6/8"</f>
        <v>6/8</v>
      </c>
      <c r="K338" s="1" t="str">
        <f>"2026-07-29 13:18:02"</f>
        <v>2026-07-29 13:18:02</v>
      </c>
      <c r="L338" s="1" t="str">
        <f>"2020-01-14 09:14:34"</f>
        <v>2020-01-14 09:14:34</v>
      </c>
      <c r="M338" s="1" t="s">
        <v>0</v>
      </c>
      <c r="N338" s="1" t="s">
        <v>38</v>
      </c>
      <c r="O338" s="1" t="s">
        <v>46</v>
      </c>
    </row>
    <row r="339" spans="2:15" x14ac:dyDescent="0.3">
      <c r="B339" s="1" t="s">
        <v>24</v>
      </c>
      <c r="C339" s="1" t="str">
        <f t="shared" si="21"/>
        <v>4차</v>
      </c>
      <c r="D339" s="1" t="str">
        <f>"0227E90144"</f>
        <v>0227E90144</v>
      </c>
      <c r="E339" s="1" t="s">
        <v>14</v>
      </c>
      <c r="F339" s="1" t="str">
        <f>"10.10.54.122"</f>
        <v>10.10.54.122</v>
      </c>
      <c r="G339" s="1" t="str">
        <f>"0227E901"</f>
        <v>0227E901</v>
      </c>
      <c r="H339" s="1" t="str">
        <f>"경희로SW 4R3R1"</f>
        <v>경희로SW 4R3R1</v>
      </c>
      <c r="I339" s="1" t="s">
        <v>8</v>
      </c>
      <c r="J339" s="1" t="str">
        <f>"0/0"</f>
        <v>0/0</v>
      </c>
      <c r="K339" s="1" t="str">
        <f>"2026-07-29 13:18:02"</f>
        <v>2026-07-29 13:18:02</v>
      </c>
      <c r="L339" s="1" t="str">
        <f>"2020-02-10 18:39:55"</f>
        <v>2020-02-10 18:39:55</v>
      </c>
      <c r="M339" s="1" t="s">
        <v>1</v>
      </c>
      <c r="N339" s="1" t="s">
        <v>38</v>
      </c>
      <c r="O339" s="1" t="s">
        <v>44</v>
      </c>
    </row>
    <row r="340" spans="2:15" x14ac:dyDescent="0.3">
      <c r="B340" s="1" t="s">
        <v>24</v>
      </c>
      <c r="C340" s="1" t="str">
        <f t="shared" si="21"/>
        <v>4차</v>
      </c>
      <c r="D340" s="1" t="str">
        <f>"0227F11845"</f>
        <v>0227F11845</v>
      </c>
      <c r="E340" s="1" t="s">
        <v>10</v>
      </c>
      <c r="F340" s="1" t="str">
        <f>"10.14.7.8"</f>
        <v>10.14.7.8</v>
      </c>
      <c r="G340" s="1" t="str">
        <f>"0227F118"</f>
        <v>0227F118</v>
      </c>
      <c r="H340" s="1" t="str">
        <f>"경희로 6"</f>
        <v>경희로 6</v>
      </c>
      <c r="I340" s="1" t="s">
        <v>17</v>
      </c>
      <c r="J340" s="1" t="str">
        <f>"1/1"</f>
        <v>1/1</v>
      </c>
      <c r="K340" s="1" t="str">
        <f>"2026-07-29 13:18:04"</f>
        <v>2026-07-29 13:18:04</v>
      </c>
      <c r="L340" s="1" t="str">
        <f>"2021-06-29 10:07:36"</f>
        <v>2021-06-29 10:07:36</v>
      </c>
      <c r="M340" s="1" t="s">
        <v>3</v>
      </c>
      <c r="N340" s="1" t="s">
        <v>38</v>
      </c>
      <c r="O340" s="1" t="s">
        <v>46</v>
      </c>
    </row>
    <row r="341" spans="2:15" x14ac:dyDescent="0.3">
      <c r="B341" s="1" t="s">
        <v>24</v>
      </c>
      <c r="C341" s="1" t="str">
        <f>"1차"</f>
        <v>1차</v>
      </c>
      <c r="D341" s="1" t="str">
        <f>"0227F20300"</f>
        <v>0227F20300</v>
      </c>
      <c r="E341" s="1" t="s">
        <v>10</v>
      </c>
      <c r="F341" s="1" t="str">
        <f>"10.89.245.68"</f>
        <v>10.89.245.68</v>
      </c>
      <c r="G341" s="1" t="str">
        <f>"0227F203"</f>
        <v>0227F203</v>
      </c>
      <c r="H341" s="1" t="str">
        <f>"경희로SW 2R2"</f>
        <v>경희로SW 2R2</v>
      </c>
      <c r="I341" s="1" t="s">
        <v>8</v>
      </c>
      <c r="J341" s="1" t="str">
        <f>"7/14"</f>
        <v>7/14</v>
      </c>
      <c r="K341" s="1" t="str">
        <f>"2026-07-29 13:18:02"</f>
        <v>2026-07-29 13:18:02</v>
      </c>
      <c r="L341" s="1" t="str">
        <f>"2014-11-17 17:39:41"</f>
        <v>2014-11-17 17:39:41</v>
      </c>
      <c r="M341" s="1" t="s">
        <v>45</v>
      </c>
      <c r="N341" s="1" t="s">
        <v>38</v>
      </c>
      <c r="O341" s="1" t="s">
        <v>46</v>
      </c>
    </row>
    <row r="342" spans="2:15" x14ac:dyDescent="0.3">
      <c r="B342" s="1" t="s">
        <v>24</v>
      </c>
      <c r="C342" s="1" t="str">
        <f>"6차"</f>
        <v>6차</v>
      </c>
      <c r="D342" s="1" t="str">
        <f>"0227F2116S"</f>
        <v>0227F2116S</v>
      </c>
      <c r="E342" s="1" t="s">
        <v>10</v>
      </c>
      <c r="F342" s="1" t="str">
        <f>"fde1:103:4:9129:0:0:0:2"</f>
        <v>fde1:103:4:9129:0:0:0:2</v>
      </c>
      <c r="G342" s="1" t="str">
        <f>"0227F211"</f>
        <v>0227F211</v>
      </c>
      <c r="H342" s="1" t="str">
        <f>"경희로SW 3R2"</f>
        <v>경희로SW 3R2</v>
      </c>
      <c r="I342" s="1" t="s">
        <v>15</v>
      </c>
      <c r="J342" s="1" t="str">
        <f>"108/108"</f>
        <v>108/108</v>
      </c>
      <c r="K342" s="1" t="str">
        <f>"2026-07-29 14:20:04"</f>
        <v>2026-07-29 14:20:04</v>
      </c>
      <c r="L342" s="1" t="str">
        <f>"2025-02-20 17:35:30"</f>
        <v>2025-02-20 17:35:30</v>
      </c>
      <c r="M342" s="1" t="s">
        <v>4</v>
      </c>
      <c r="N342" s="1" t="s">
        <v>38</v>
      </c>
      <c r="O342" s="1" t="s">
        <v>46</v>
      </c>
    </row>
    <row r="343" spans="2:15" x14ac:dyDescent="0.3">
      <c r="B343" s="1" t="s">
        <v>24</v>
      </c>
      <c r="C343" s="1" t="str">
        <f>"4차"</f>
        <v>4차</v>
      </c>
      <c r="D343" s="1" t="str">
        <f>"0227F40142"</f>
        <v>0227F40142</v>
      </c>
      <c r="E343" s="1" t="s">
        <v>10</v>
      </c>
      <c r="F343" s="1" t="str">
        <f>"10.89.245.6"</f>
        <v>10.89.245.6</v>
      </c>
      <c r="G343" s="1" t="str">
        <f>"0227F401"</f>
        <v>0227F401</v>
      </c>
      <c r="H343" s="1" t="str">
        <f>"경희간 21L9"</f>
        <v>경희간 21L9</v>
      </c>
      <c r="I343" s="1" t="s">
        <v>8</v>
      </c>
      <c r="J343" s="1" t="str">
        <f>"52/57"</f>
        <v>52/57</v>
      </c>
      <c r="K343" s="1" t="str">
        <f>"2026-07-29 13:18:02"</f>
        <v>2026-07-29 13:18:02</v>
      </c>
      <c r="L343" s="1" t="str">
        <f>"2025-07-11 17:04:56"</f>
        <v>2025-07-11 17:04:56</v>
      </c>
      <c r="M343" s="1" t="s">
        <v>45</v>
      </c>
      <c r="N343" s="1" t="s">
        <v>38</v>
      </c>
      <c r="O343" s="1" t="s">
        <v>46</v>
      </c>
    </row>
    <row r="344" spans="2:15" x14ac:dyDescent="0.3">
      <c r="B344" s="1" t="s">
        <v>24</v>
      </c>
      <c r="C344" s="1" t="str">
        <f>"1차"</f>
        <v>1차</v>
      </c>
      <c r="D344" s="1" t="str">
        <f>"0227F41201"</f>
        <v>0227F41201</v>
      </c>
      <c r="E344" s="1" t="s">
        <v>10</v>
      </c>
      <c r="F344" s="1" t="str">
        <f>"10.12.136.178"</f>
        <v>10.12.136.178</v>
      </c>
      <c r="G344" s="1" t="str">
        <f>"0227F412"</f>
        <v>0227F412</v>
      </c>
      <c r="H344" s="1" t="str">
        <f>"경희간 21L11"</f>
        <v>경희간 21L11</v>
      </c>
      <c r="I344" s="1" t="s">
        <v>8</v>
      </c>
      <c r="J344" s="1" t="str">
        <f>"7/7"</f>
        <v>7/7</v>
      </c>
      <c r="K344" s="1" t="str">
        <f>"2026-07-29 07:18:02"</f>
        <v>2026-07-29 07:18:02</v>
      </c>
      <c r="L344" s="1" t="str">
        <f>"2025-08-22 15:29:15"</f>
        <v>2025-08-22 15:29:15</v>
      </c>
      <c r="M344" s="1" t="s">
        <v>0</v>
      </c>
      <c r="N344" s="1" t="s">
        <v>38</v>
      </c>
      <c r="O344" s="1" t="s">
        <v>46</v>
      </c>
    </row>
    <row r="345" spans="2:15" x14ac:dyDescent="0.3">
      <c r="B345" s="1" t="s">
        <v>24</v>
      </c>
      <c r="C345" s="1" t="str">
        <f t="shared" ref="C345:C367" si="22">"4차"</f>
        <v>4차</v>
      </c>
      <c r="D345" s="1" t="str">
        <f>"0227F41342"</f>
        <v>0227F41342</v>
      </c>
      <c r="E345" s="1" t="s">
        <v>10</v>
      </c>
      <c r="F345" s="1" t="str">
        <f>"10.89.245.4"</f>
        <v>10.89.245.4</v>
      </c>
      <c r="G345" s="1" t="str">
        <f>"0227F413"</f>
        <v>0227F413</v>
      </c>
      <c r="H345" s="1" t="str">
        <f>"경희간 21L10"</f>
        <v>경희간 21L10</v>
      </c>
      <c r="I345" s="1" t="s">
        <v>8</v>
      </c>
      <c r="J345" s="1" t="str">
        <f>"130/140"</f>
        <v>130/140</v>
      </c>
      <c r="K345" s="1" t="str">
        <f>"2026-07-29 13:18:02"</f>
        <v>2026-07-29 13:18:02</v>
      </c>
      <c r="L345" s="1" t="str">
        <f>"2025-07-02 08:08:44"</f>
        <v>2025-07-02 08:08:44</v>
      </c>
      <c r="M345" s="1" t="s">
        <v>45</v>
      </c>
      <c r="N345" s="1" t="s">
        <v>38</v>
      </c>
      <c r="O345" s="1" t="s">
        <v>46</v>
      </c>
    </row>
    <row r="346" spans="2:15" x14ac:dyDescent="0.3">
      <c r="B346" s="1" t="s">
        <v>24</v>
      </c>
      <c r="C346" s="1" t="str">
        <f t="shared" si="22"/>
        <v>4차</v>
      </c>
      <c r="D346" s="1" t="str">
        <f>"0227F60144"</f>
        <v>0227F60144</v>
      </c>
      <c r="E346" s="1" t="s">
        <v>10</v>
      </c>
      <c r="F346" s="1" t="str">
        <f>"10.10.49.26"</f>
        <v>10.10.49.26</v>
      </c>
      <c r="G346" s="1" t="str">
        <f>"0227F601"</f>
        <v>0227F601</v>
      </c>
      <c r="H346" s="1" t="str">
        <f>"외대간 17L5L6"</f>
        <v>외대간 17L5L6</v>
      </c>
      <c r="I346" s="1" t="s">
        <v>8</v>
      </c>
      <c r="J346" s="1" t="str">
        <f>"62/63"</f>
        <v>62/63</v>
      </c>
      <c r="K346" s="1" t="str">
        <f>"2026-07-29 13:18:02"</f>
        <v>2026-07-29 13:18:02</v>
      </c>
      <c r="L346" s="1" t="str">
        <f>"2019-11-11 10:38:34"</f>
        <v>2019-11-11 10:38:34</v>
      </c>
      <c r="M346" s="1" t="s">
        <v>1</v>
      </c>
      <c r="N346" s="1" t="s">
        <v>38</v>
      </c>
      <c r="O346" s="1" t="s">
        <v>46</v>
      </c>
    </row>
    <row r="347" spans="2:15" x14ac:dyDescent="0.3">
      <c r="B347" s="1" t="s">
        <v>24</v>
      </c>
      <c r="C347" s="1" t="str">
        <f t="shared" si="22"/>
        <v>4차</v>
      </c>
      <c r="D347" s="1" t="str">
        <f>"0227F60244"</f>
        <v>0227F60244</v>
      </c>
      <c r="E347" s="1" t="s">
        <v>10</v>
      </c>
      <c r="F347" s="1" t="str">
        <f>"10.10.49.18"</f>
        <v>10.10.49.18</v>
      </c>
      <c r="G347" s="1" t="str">
        <f>"0227F602"</f>
        <v>0227F602</v>
      </c>
      <c r="H347" s="1" t="str">
        <f>"외대간 17L5L5"</f>
        <v>외대간 17L5L5</v>
      </c>
      <c r="I347" s="1" t="s">
        <v>8</v>
      </c>
      <c r="J347" s="1" t="str">
        <f>"61/61"</f>
        <v>61/61</v>
      </c>
      <c r="K347" s="1" t="str">
        <f>"2026-07-29 13:18:02"</f>
        <v>2026-07-29 13:18:02</v>
      </c>
      <c r="L347" s="1" t="str">
        <f>"2019-11-11 20:02:05"</f>
        <v>2019-11-11 20:02:05</v>
      </c>
      <c r="M347" s="1" t="s">
        <v>1</v>
      </c>
      <c r="N347" s="1" t="s">
        <v>38</v>
      </c>
      <c r="O347" s="1" t="s">
        <v>46</v>
      </c>
    </row>
    <row r="348" spans="2:15" x14ac:dyDescent="0.3">
      <c r="B348" s="1" t="s">
        <v>24</v>
      </c>
      <c r="C348" s="1" t="str">
        <f t="shared" si="22"/>
        <v>4차</v>
      </c>
      <c r="D348" s="1" t="str">
        <f>"0227F78244"</f>
        <v>0227F78244</v>
      </c>
      <c r="E348" s="1" t="s">
        <v>10</v>
      </c>
      <c r="F348" s="1" t="str">
        <f>"10.10.47.106"</f>
        <v>10.10.47.106</v>
      </c>
      <c r="G348" s="1" t="str">
        <f>"0227F782"</f>
        <v>0227F782</v>
      </c>
      <c r="H348" s="1" t="str">
        <f>"외대간 32L15R1L1"</f>
        <v>외대간 32L15R1L1</v>
      </c>
      <c r="I348" s="1" t="s">
        <v>8</v>
      </c>
      <c r="J348" s="1" t="str">
        <f>"93/93"</f>
        <v>93/93</v>
      </c>
      <c r="K348" s="1" t="str">
        <f>"2026-07-29 13:18:02"</f>
        <v>2026-07-29 13:18:02</v>
      </c>
      <c r="L348" s="1" t="str">
        <f>"2019-11-11 10:59:42"</f>
        <v>2019-11-11 10:59:42</v>
      </c>
      <c r="M348" s="1" t="s">
        <v>1</v>
      </c>
      <c r="N348" s="1" t="s">
        <v>38</v>
      </c>
      <c r="O348" s="1" t="s">
        <v>46</v>
      </c>
    </row>
    <row r="349" spans="2:15" x14ac:dyDescent="0.3">
      <c r="B349" s="1" t="s">
        <v>24</v>
      </c>
      <c r="C349" s="1" t="str">
        <f t="shared" si="22"/>
        <v>4차</v>
      </c>
      <c r="D349" s="1" t="str">
        <f>"0227F80141"</f>
        <v>0227F80141</v>
      </c>
      <c r="E349" s="1" t="s">
        <v>10</v>
      </c>
      <c r="F349" s="1" t="str">
        <f>"10.12.130.153"</f>
        <v>10.12.130.153</v>
      </c>
      <c r="G349" s="1" t="str">
        <f>"0227F801"</f>
        <v>0227F801</v>
      </c>
      <c r="H349" s="1" t="str">
        <f>"외대간 17L5L2"</f>
        <v>외대간 17L5L2</v>
      </c>
      <c r="I349" s="1" t="s">
        <v>17</v>
      </c>
      <c r="J349" s="1" t="str">
        <f>"1/8"</f>
        <v>1/8</v>
      </c>
      <c r="K349" s="1" t="str">
        <f>"2026-07-29 13:18:01"</f>
        <v>2026-07-29 13:18:01</v>
      </c>
      <c r="L349" s="1" t="str">
        <f>"2021-10-18 11:16:40"</f>
        <v>2021-10-18 11:16:40</v>
      </c>
      <c r="M349" s="1" t="s">
        <v>0</v>
      </c>
      <c r="N349" s="1" t="s">
        <v>38</v>
      </c>
      <c r="O349" s="1" t="s">
        <v>46</v>
      </c>
    </row>
    <row r="350" spans="2:15" x14ac:dyDescent="0.3">
      <c r="B350" s="1" t="s">
        <v>24</v>
      </c>
      <c r="C350" s="1" t="str">
        <f t="shared" si="22"/>
        <v>4차</v>
      </c>
      <c r="D350" s="1" t="str">
        <f>"0227F82344"</f>
        <v>0227F82344</v>
      </c>
      <c r="E350" s="1" t="s">
        <v>10</v>
      </c>
      <c r="F350" s="1" t="str">
        <f>"10.12.135.16"</f>
        <v>10.12.135.16</v>
      </c>
      <c r="G350" s="1" t="str">
        <f>"0227F823"</f>
        <v>0227F823</v>
      </c>
      <c r="H350" s="1" t="str">
        <f>"외대간 17L6"</f>
        <v>외대간 17L6</v>
      </c>
      <c r="I350" s="1" t="s">
        <v>8</v>
      </c>
      <c r="J350" s="1" t="str">
        <f>"46/46"</f>
        <v>46/46</v>
      </c>
      <c r="K350" s="1" t="str">
        <f t="shared" ref="K350:K359" si="23">"2026-07-29 13:18:02"</f>
        <v>2026-07-29 13:18:02</v>
      </c>
      <c r="L350" s="1" t="str">
        <f>"2023-03-08 09:59:25"</f>
        <v>2023-03-08 09:59:25</v>
      </c>
      <c r="M350" s="1" t="s">
        <v>0</v>
      </c>
      <c r="N350" s="1" t="s">
        <v>38</v>
      </c>
      <c r="O350" s="1" t="s">
        <v>46</v>
      </c>
    </row>
    <row r="351" spans="2:15" x14ac:dyDescent="0.3">
      <c r="B351" s="1" t="s">
        <v>24</v>
      </c>
      <c r="C351" s="1" t="str">
        <f t="shared" si="22"/>
        <v>4차</v>
      </c>
      <c r="D351" s="1" t="str">
        <f>"0227F83144"</f>
        <v>0227F83144</v>
      </c>
      <c r="E351" s="1" t="s">
        <v>10</v>
      </c>
      <c r="F351" s="1" t="str">
        <f>"10.10.49.2"</f>
        <v>10.10.49.2</v>
      </c>
      <c r="G351" s="1" t="str">
        <f>"0227F831"</f>
        <v>0227F831</v>
      </c>
      <c r="H351" s="1" t="str">
        <f>"외대간 17L4R3"</f>
        <v>외대간 17L4R3</v>
      </c>
      <c r="I351" s="1" t="s">
        <v>8</v>
      </c>
      <c r="J351" s="1" t="str">
        <f>"31/31"</f>
        <v>31/31</v>
      </c>
      <c r="K351" s="1" t="str">
        <f t="shared" si="23"/>
        <v>2026-07-29 13:18:02</v>
      </c>
      <c r="L351" s="1" t="str">
        <f>"2019-11-11 10:38:38"</f>
        <v>2019-11-11 10:38:38</v>
      </c>
      <c r="M351" s="1" t="s">
        <v>1</v>
      </c>
      <c r="N351" s="1" t="s">
        <v>38</v>
      </c>
      <c r="O351" s="1" t="s">
        <v>46</v>
      </c>
    </row>
    <row r="352" spans="2:15" x14ac:dyDescent="0.3">
      <c r="B352" s="1" t="s">
        <v>24</v>
      </c>
      <c r="C352" s="1" t="str">
        <f t="shared" si="22"/>
        <v>4차</v>
      </c>
      <c r="D352" s="1" t="str">
        <f>"0227F83344"</f>
        <v>0227F83344</v>
      </c>
      <c r="E352" s="1" t="s">
        <v>10</v>
      </c>
      <c r="F352" s="1" t="str">
        <f>"10.10.49.34"</f>
        <v>10.10.49.34</v>
      </c>
      <c r="G352" s="1" t="str">
        <f>"0227F833"</f>
        <v>0227F833</v>
      </c>
      <c r="H352" s="1" t="str">
        <f>"외대간 17L7"</f>
        <v>외대간 17L7</v>
      </c>
      <c r="I352" s="1" t="s">
        <v>8</v>
      </c>
      <c r="J352" s="1" t="str">
        <f>"50/50"</f>
        <v>50/50</v>
      </c>
      <c r="K352" s="1" t="str">
        <f t="shared" si="23"/>
        <v>2026-07-29 13:18:02</v>
      </c>
      <c r="L352" s="1" t="str">
        <f>"2019-11-11 10:40:11"</f>
        <v>2019-11-11 10:40:11</v>
      </c>
      <c r="M352" s="1" t="s">
        <v>1</v>
      </c>
      <c r="N352" s="1" t="s">
        <v>38</v>
      </c>
      <c r="O352" s="1" t="s">
        <v>46</v>
      </c>
    </row>
    <row r="353" spans="2:15" x14ac:dyDescent="0.3">
      <c r="B353" s="1" t="s">
        <v>24</v>
      </c>
      <c r="C353" s="1" t="str">
        <f t="shared" si="22"/>
        <v>4차</v>
      </c>
      <c r="D353" s="1" t="str">
        <f>"0227F88144"</f>
        <v>0227F88144</v>
      </c>
      <c r="E353" s="1" t="s">
        <v>10</v>
      </c>
      <c r="F353" s="1" t="str">
        <f>"10.10.47.162"</f>
        <v>10.10.47.162</v>
      </c>
      <c r="G353" s="1" t="str">
        <f>"0227F881"</f>
        <v>0227F881</v>
      </c>
      <c r="H353" s="1" t="str">
        <f>"외대간 32L15"</f>
        <v>외대간 32L15</v>
      </c>
      <c r="I353" s="1" t="s">
        <v>8</v>
      </c>
      <c r="J353" s="1" t="str">
        <f>"60/60"</f>
        <v>60/60</v>
      </c>
      <c r="K353" s="1" t="str">
        <f t="shared" si="23"/>
        <v>2026-07-29 13:18:02</v>
      </c>
      <c r="L353" s="1" t="str">
        <f>"2019-11-11 11:13:03"</f>
        <v>2019-11-11 11:13:03</v>
      </c>
      <c r="M353" s="1" t="s">
        <v>1</v>
      </c>
      <c r="N353" s="1" t="s">
        <v>38</v>
      </c>
      <c r="O353" s="1" t="s">
        <v>46</v>
      </c>
    </row>
    <row r="354" spans="2:15" x14ac:dyDescent="0.3">
      <c r="B354" s="1" t="s">
        <v>24</v>
      </c>
      <c r="C354" s="1" t="str">
        <f t="shared" si="22"/>
        <v>4차</v>
      </c>
      <c r="D354" s="1" t="str">
        <f>"0227F88244"</f>
        <v>0227F88244</v>
      </c>
      <c r="E354" s="1" t="s">
        <v>10</v>
      </c>
      <c r="F354" s="1" t="str">
        <f>"10.10.47.154"</f>
        <v>10.10.47.154</v>
      </c>
      <c r="G354" s="1" t="str">
        <f>"0227F882"</f>
        <v>0227F882</v>
      </c>
      <c r="H354" s="1" t="str">
        <f>"외대간 32L15D1"</f>
        <v>외대간 32L15D1</v>
      </c>
      <c r="I354" s="1" t="s">
        <v>8</v>
      </c>
      <c r="J354" s="1" t="str">
        <f>"36/36"</f>
        <v>36/36</v>
      </c>
      <c r="K354" s="1" t="str">
        <f t="shared" si="23"/>
        <v>2026-07-29 13:18:02</v>
      </c>
      <c r="L354" s="1" t="str">
        <f>"2019-11-11 11:03:03"</f>
        <v>2019-11-11 11:03:03</v>
      </c>
      <c r="M354" s="1" t="s">
        <v>1</v>
      </c>
      <c r="N354" s="1" t="s">
        <v>38</v>
      </c>
      <c r="O354" s="1" t="s">
        <v>46</v>
      </c>
    </row>
    <row r="355" spans="2:15" x14ac:dyDescent="0.3">
      <c r="B355" s="1" t="s">
        <v>24</v>
      </c>
      <c r="C355" s="1" t="str">
        <f t="shared" si="22"/>
        <v>4차</v>
      </c>
      <c r="D355" s="1" t="str">
        <f>"0227F89144"</f>
        <v>0227F89144</v>
      </c>
      <c r="E355" s="1" t="s">
        <v>10</v>
      </c>
      <c r="F355" s="1" t="str">
        <f>"10.10.47.122"</f>
        <v>10.10.47.122</v>
      </c>
      <c r="G355" s="1" t="str">
        <f>"0227F891"</f>
        <v>0227F891</v>
      </c>
      <c r="H355" s="1" t="str">
        <f>"외대간 32L15R1"</f>
        <v>외대간 32L15R1</v>
      </c>
      <c r="I355" s="1" t="s">
        <v>8</v>
      </c>
      <c r="J355" s="1" t="str">
        <f>"40/41"</f>
        <v>40/41</v>
      </c>
      <c r="K355" s="1" t="str">
        <f t="shared" si="23"/>
        <v>2026-07-29 13:18:02</v>
      </c>
      <c r="L355" s="1" t="str">
        <f>"2019-11-11 19:48:33"</f>
        <v>2019-11-11 19:48:33</v>
      </c>
      <c r="M355" s="1" t="s">
        <v>1</v>
      </c>
      <c r="N355" s="1" t="s">
        <v>38</v>
      </c>
      <c r="O355" s="1" t="s">
        <v>46</v>
      </c>
    </row>
    <row r="356" spans="2:15" x14ac:dyDescent="0.3">
      <c r="B356" s="1" t="s">
        <v>24</v>
      </c>
      <c r="C356" s="1" t="str">
        <f t="shared" si="22"/>
        <v>4차</v>
      </c>
      <c r="D356" s="1" t="str">
        <f>"0227F89344"</f>
        <v>0227F89344</v>
      </c>
      <c r="E356" s="1" t="s">
        <v>10</v>
      </c>
      <c r="F356" s="1" t="str">
        <f>"10.10.47.98"</f>
        <v>10.10.47.98</v>
      </c>
      <c r="G356" s="1" t="str">
        <f>"0227F893"</f>
        <v>0227F893</v>
      </c>
      <c r="H356" s="1" t="str">
        <f>"외대간 32L15R2"</f>
        <v>외대간 32L15R2</v>
      </c>
      <c r="I356" s="1" t="s">
        <v>8</v>
      </c>
      <c r="J356" s="1" t="str">
        <f>"43/60"</f>
        <v>43/60</v>
      </c>
      <c r="K356" s="1" t="str">
        <f t="shared" si="23"/>
        <v>2026-07-29 13:18:02</v>
      </c>
      <c r="L356" s="1" t="str">
        <f>"2019-12-17 15:37:58"</f>
        <v>2019-12-17 15:37:58</v>
      </c>
      <c r="M356" s="1" t="s">
        <v>1</v>
      </c>
      <c r="N356" s="1" t="s">
        <v>38</v>
      </c>
      <c r="O356" s="1" t="s">
        <v>46</v>
      </c>
    </row>
    <row r="357" spans="2:15" x14ac:dyDescent="0.3">
      <c r="B357" s="1" t="s">
        <v>24</v>
      </c>
      <c r="C357" s="1" t="str">
        <f t="shared" si="22"/>
        <v>4차</v>
      </c>
      <c r="D357" s="1" t="str">
        <f>"0227F90144"</f>
        <v>0227F90144</v>
      </c>
      <c r="E357" s="1" t="s">
        <v>10</v>
      </c>
      <c r="F357" s="1" t="str">
        <f>"10.12.138.4"</f>
        <v>10.12.138.4</v>
      </c>
      <c r="G357" s="1" t="str">
        <f>"0227F901"</f>
        <v>0227F901</v>
      </c>
      <c r="H357" s="1" t="str">
        <f>"외대간 17L2L4"</f>
        <v>외대간 17L2L4</v>
      </c>
      <c r="I357" s="1" t="s">
        <v>8</v>
      </c>
      <c r="J357" s="1" t="str">
        <f>"16/16"</f>
        <v>16/16</v>
      </c>
      <c r="K357" s="1" t="str">
        <f t="shared" si="23"/>
        <v>2026-07-29 13:18:02</v>
      </c>
      <c r="L357" s="1" t="str">
        <f>"2020-01-14 08:37:24"</f>
        <v>2020-01-14 08:37:24</v>
      </c>
      <c r="M357" s="1" t="s">
        <v>0</v>
      </c>
      <c r="N357" s="1" t="s">
        <v>38</v>
      </c>
      <c r="O357" s="1" t="s">
        <v>46</v>
      </c>
    </row>
    <row r="358" spans="2:15" x14ac:dyDescent="0.3">
      <c r="B358" s="1" t="s">
        <v>24</v>
      </c>
      <c r="C358" s="1" t="str">
        <f t="shared" si="22"/>
        <v>4차</v>
      </c>
      <c r="D358" s="1" t="str">
        <f>"0227F91144"</f>
        <v>0227F91144</v>
      </c>
      <c r="E358" s="1" t="s">
        <v>10</v>
      </c>
      <c r="F358" s="1" t="str">
        <f>"10.12.137.246"</f>
        <v>10.12.137.246</v>
      </c>
      <c r="G358" s="1" t="str">
        <f>"0227F911"</f>
        <v>0227F911</v>
      </c>
      <c r="H358" s="1" t="str">
        <f>"외대간 17L4L1"</f>
        <v>외대간 17L4L1</v>
      </c>
      <c r="I358" s="1" t="s">
        <v>8</v>
      </c>
      <c r="J358" s="1" t="str">
        <f>"66/66"</f>
        <v>66/66</v>
      </c>
      <c r="K358" s="1" t="str">
        <f t="shared" si="23"/>
        <v>2026-07-29 13:18:02</v>
      </c>
      <c r="L358" s="1" t="str">
        <f>"2023-07-20 17:43:00"</f>
        <v>2023-07-20 17:43:00</v>
      </c>
      <c r="M358" s="1" t="s">
        <v>0</v>
      </c>
      <c r="N358" s="1" t="s">
        <v>38</v>
      </c>
      <c r="O358" s="1" t="s">
        <v>46</v>
      </c>
    </row>
    <row r="359" spans="2:15" x14ac:dyDescent="0.3">
      <c r="B359" s="1" t="s">
        <v>24</v>
      </c>
      <c r="C359" s="1" t="str">
        <f t="shared" si="22"/>
        <v>4차</v>
      </c>
      <c r="D359" s="1" t="str">
        <f>"0227F92144"</f>
        <v>0227F92144</v>
      </c>
      <c r="E359" s="1" t="s">
        <v>10</v>
      </c>
      <c r="F359" s="1" t="str">
        <f>"10.10.48.226"</f>
        <v>10.10.48.226</v>
      </c>
      <c r="G359" s="1" t="str">
        <f>"0227F921"</f>
        <v>0227F921</v>
      </c>
      <c r="H359" s="1" t="str">
        <f>"외대간 17L4"</f>
        <v>외대간 17L4</v>
      </c>
      <c r="I359" s="1" t="s">
        <v>8</v>
      </c>
      <c r="J359" s="1" t="str">
        <f>"42/42"</f>
        <v>42/42</v>
      </c>
      <c r="K359" s="1" t="str">
        <f t="shared" si="23"/>
        <v>2026-07-29 13:18:02</v>
      </c>
      <c r="L359" s="1" t="str">
        <f>"2019-12-30 11:40:14"</f>
        <v>2019-12-30 11:40:14</v>
      </c>
      <c r="M359" s="1" t="s">
        <v>1</v>
      </c>
      <c r="N359" s="1" t="s">
        <v>38</v>
      </c>
      <c r="O359" s="1" t="s">
        <v>46</v>
      </c>
    </row>
    <row r="360" spans="2:15" x14ac:dyDescent="0.3">
      <c r="B360" s="1" t="s">
        <v>24</v>
      </c>
      <c r="C360" s="1" t="str">
        <f t="shared" si="22"/>
        <v>4차</v>
      </c>
      <c r="D360" s="1" t="str">
        <f>"0227F93344"</f>
        <v>0227F93344</v>
      </c>
      <c r="E360" s="1" t="s">
        <v>10</v>
      </c>
      <c r="F360" s="1" t="str">
        <f>"10.10.48.250"</f>
        <v>10.10.48.250</v>
      </c>
      <c r="G360" s="1" t="str">
        <f>"0227F933"</f>
        <v>0227F933</v>
      </c>
      <c r="H360" s="1" t="str">
        <f>"외대간 17L4R2"</f>
        <v>외대간 17L4R2</v>
      </c>
      <c r="I360" s="1" t="s">
        <v>8</v>
      </c>
      <c r="J360" s="1" t="str">
        <f>"121/121"</f>
        <v>121/121</v>
      </c>
      <c r="K360" s="1" t="str">
        <f t="shared" ref="K360:K366" si="24">"2026-07-29 13:18:01"</f>
        <v>2026-07-29 13:18:01</v>
      </c>
      <c r="L360" s="1" t="str">
        <f>"2019-12-30 11:23:26"</f>
        <v>2019-12-30 11:23:26</v>
      </c>
      <c r="M360" s="1" t="s">
        <v>1</v>
      </c>
      <c r="N360" s="1" t="s">
        <v>38</v>
      </c>
      <c r="O360" s="1" t="s">
        <v>46</v>
      </c>
    </row>
    <row r="361" spans="2:15" x14ac:dyDescent="0.3">
      <c r="B361" s="1" t="s">
        <v>24</v>
      </c>
      <c r="C361" s="1" t="str">
        <f t="shared" si="22"/>
        <v>4차</v>
      </c>
      <c r="D361" s="1" t="str">
        <f>"0227F94244"</f>
        <v>0227F94244</v>
      </c>
      <c r="E361" s="1" t="s">
        <v>10</v>
      </c>
      <c r="F361" s="1" t="str">
        <f>"10.10.49.66"</f>
        <v>10.10.49.66</v>
      </c>
      <c r="G361" s="1" t="str">
        <f>"0227F942"</f>
        <v>0227F942</v>
      </c>
      <c r="H361" s="1" t="str">
        <f>"외대간 21L5"</f>
        <v>외대간 21L5</v>
      </c>
      <c r="I361" s="1" t="s">
        <v>8</v>
      </c>
      <c r="J361" s="1" t="str">
        <f>"84/84"</f>
        <v>84/84</v>
      </c>
      <c r="K361" s="1" t="str">
        <f t="shared" si="24"/>
        <v>2026-07-29 13:18:01</v>
      </c>
      <c r="L361" s="1" t="str">
        <f>"2024-10-04 17:05:12"</f>
        <v>2024-10-04 17:05:12</v>
      </c>
      <c r="M361" s="1" t="s">
        <v>1</v>
      </c>
      <c r="N361" s="1" t="s">
        <v>38</v>
      </c>
      <c r="O361" s="1" t="s">
        <v>46</v>
      </c>
    </row>
    <row r="362" spans="2:15" x14ac:dyDescent="0.3">
      <c r="B362" s="1" t="s">
        <v>24</v>
      </c>
      <c r="C362" s="1" t="str">
        <f t="shared" si="22"/>
        <v>4차</v>
      </c>
      <c r="D362" s="1" t="str">
        <f>"0227F95244"</f>
        <v>0227F95244</v>
      </c>
      <c r="E362" s="1" t="s">
        <v>10</v>
      </c>
      <c r="F362" s="1" t="str">
        <f>"10.10.51.194"</f>
        <v>10.10.51.194</v>
      </c>
      <c r="G362" s="1" t="str">
        <f>"0227F952"</f>
        <v>0227F952</v>
      </c>
      <c r="H362" s="1" t="str">
        <f>"외대간 32L19"</f>
        <v>외대간 32L19</v>
      </c>
      <c r="I362" s="1" t="s">
        <v>8</v>
      </c>
      <c r="J362" s="1" t="str">
        <f>"57/62"</f>
        <v>57/62</v>
      </c>
      <c r="K362" s="1" t="str">
        <f t="shared" si="24"/>
        <v>2026-07-29 13:18:01</v>
      </c>
      <c r="L362" s="1" t="str">
        <f>"2020-01-10 17:16:06"</f>
        <v>2020-01-10 17:16:06</v>
      </c>
      <c r="M362" s="1" t="s">
        <v>1</v>
      </c>
      <c r="N362" s="1" t="s">
        <v>38</v>
      </c>
      <c r="O362" s="1" t="s">
        <v>46</v>
      </c>
    </row>
    <row r="363" spans="2:15" x14ac:dyDescent="0.3">
      <c r="B363" s="1" t="s">
        <v>24</v>
      </c>
      <c r="C363" s="1" t="str">
        <f t="shared" si="22"/>
        <v>4차</v>
      </c>
      <c r="D363" s="1" t="str">
        <f>"0227F96444"</f>
        <v>0227F96444</v>
      </c>
      <c r="E363" s="1" t="s">
        <v>10</v>
      </c>
      <c r="F363" s="1" t="str">
        <f>"10.10.109.178"</f>
        <v>10.10.109.178</v>
      </c>
      <c r="G363" s="1" t="str">
        <f>"0227F964"</f>
        <v>0227F964</v>
      </c>
      <c r="H363" s="1" t="str">
        <f>"외대간 24L6"</f>
        <v>외대간 24L6</v>
      </c>
      <c r="I363" s="1" t="s">
        <v>8</v>
      </c>
      <c r="J363" s="1" t="str">
        <f>"13/13"</f>
        <v>13/13</v>
      </c>
      <c r="K363" s="1" t="str">
        <f t="shared" si="24"/>
        <v>2026-07-29 13:18:01</v>
      </c>
      <c r="L363" s="1" t="str">
        <f>"2019-11-11 11:53:04"</f>
        <v>2019-11-11 11:53:04</v>
      </c>
      <c r="M363" s="1" t="s">
        <v>1</v>
      </c>
      <c r="N363" s="1" t="s">
        <v>38</v>
      </c>
      <c r="O363" s="1" t="s">
        <v>46</v>
      </c>
    </row>
    <row r="364" spans="2:15" x14ac:dyDescent="0.3">
      <c r="B364" s="1" t="s">
        <v>24</v>
      </c>
      <c r="C364" s="1" t="str">
        <f t="shared" si="22"/>
        <v>4차</v>
      </c>
      <c r="D364" s="1" t="str">
        <f>"0227F97144"</f>
        <v>0227F97144</v>
      </c>
      <c r="E364" s="1" t="s">
        <v>10</v>
      </c>
      <c r="F364" s="1" t="str">
        <f>"10.10.47.90"</f>
        <v>10.10.47.90</v>
      </c>
      <c r="G364" s="1" t="str">
        <f>"0227F971"</f>
        <v>0227F971</v>
      </c>
      <c r="H364" s="1" t="str">
        <f>"외대간 32L16"</f>
        <v>외대간 32L16</v>
      </c>
      <c r="I364" s="1" t="s">
        <v>8</v>
      </c>
      <c r="J364" s="1" t="str">
        <f>"23/23"</f>
        <v>23/23</v>
      </c>
      <c r="K364" s="1" t="str">
        <f t="shared" si="24"/>
        <v>2026-07-29 13:18:01</v>
      </c>
      <c r="L364" s="1" t="str">
        <f>"2019-11-11 11:12:25"</f>
        <v>2019-11-11 11:12:25</v>
      </c>
      <c r="M364" s="1" t="s">
        <v>1</v>
      </c>
      <c r="N364" s="1" t="s">
        <v>38</v>
      </c>
      <c r="O364" s="1" t="s">
        <v>46</v>
      </c>
    </row>
    <row r="365" spans="2:15" x14ac:dyDescent="0.3">
      <c r="B365" s="1" t="s">
        <v>24</v>
      </c>
      <c r="C365" s="1" t="str">
        <f t="shared" si="22"/>
        <v>4차</v>
      </c>
      <c r="D365" s="1" t="str">
        <f>"0227F99144"</f>
        <v>0227F99144</v>
      </c>
      <c r="E365" s="1" t="s">
        <v>10</v>
      </c>
      <c r="F365" s="1" t="str">
        <f>"10.10.47.138"</f>
        <v>10.10.47.138</v>
      </c>
      <c r="G365" s="1" t="str">
        <f>"0227F991"</f>
        <v>0227F991</v>
      </c>
      <c r="H365" s="1" t="str">
        <f>"외대간 32L15H2"</f>
        <v>외대간 32L15H2</v>
      </c>
      <c r="I365" s="1" t="s">
        <v>8</v>
      </c>
      <c r="J365" s="1" t="str">
        <f>"72/72"</f>
        <v>72/72</v>
      </c>
      <c r="K365" s="1" t="str">
        <f t="shared" si="24"/>
        <v>2026-07-29 13:18:01</v>
      </c>
      <c r="L365" s="1" t="str">
        <f>"2020-01-11 02:16:17"</f>
        <v>2020-01-11 02:16:17</v>
      </c>
      <c r="M365" s="1" t="s">
        <v>1</v>
      </c>
      <c r="N365" s="1" t="s">
        <v>38</v>
      </c>
      <c r="O365" s="1" t="s">
        <v>46</v>
      </c>
    </row>
    <row r="366" spans="2:15" x14ac:dyDescent="0.3">
      <c r="B366" s="1" t="s">
        <v>24</v>
      </c>
      <c r="C366" s="1" t="str">
        <f t="shared" si="22"/>
        <v>4차</v>
      </c>
      <c r="D366" s="1" t="str">
        <f>"0227G22444"</f>
        <v>0227G22444</v>
      </c>
      <c r="E366" s="1" t="s">
        <v>10</v>
      </c>
      <c r="F366" s="1" t="str">
        <f>"10.12.138.58"</f>
        <v>10.12.138.58</v>
      </c>
      <c r="G366" s="1" t="str">
        <f>"0227G224"</f>
        <v>0227G224</v>
      </c>
      <c r="H366" s="1" t="str">
        <f>"연구간 104R1"</f>
        <v>연구간 104R1</v>
      </c>
      <c r="I366" s="1" t="s">
        <v>8</v>
      </c>
      <c r="J366" s="1" t="str">
        <f>"24/24"</f>
        <v>24/24</v>
      </c>
      <c r="K366" s="1" t="str">
        <f t="shared" si="24"/>
        <v>2026-07-29 13:18:01</v>
      </c>
      <c r="L366" s="1" t="str">
        <f>"2019-11-22 16:23:05"</f>
        <v>2019-11-22 16:23:05</v>
      </c>
      <c r="M366" s="1" t="s">
        <v>0</v>
      </c>
      <c r="N366" s="1" t="s">
        <v>38</v>
      </c>
      <c r="O366" s="1" t="s">
        <v>46</v>
      </c>
    </row>
    <row r="367" spans="2:15" x14ac:dyDescent="0.3">
      <c r="B367" s="1" t="s">
        <v>24</v>
      </c>
      <c r="C367" s="1" t="str">
        <f t="shared" si="22"/>
        <v>4차</v>
      </c>
      <c r="D367" s="1" t="str">
        <f>"0227G34144"</f>
        <v>0227G34144</v>
      </c>
      <c r="E367" s="1" t="s">
        <v>10</v>
      </c>
      <c r="F367" s="1" t="str">
        <f>"10.10.47.226"</f>
        <v>10.10.47.226</v>
      </c>
      <c r="G367" s="1" t="str">
        <f>"0227G341"</f>
        <v>0227G341</v>
      </c>
      <c r="H367" s="1" t="str">
        <f>"연구간 106R2"</f>
        <v>연구간 106R2</v>
      </c>
      <c r="I367" s="1" t="s">
        <v>8</v>
      </c>
      <c r="J367" s="1" t="str">
        <f>"41/46"</f>
        <v>41/46</v>
      </c>
      <c r="K367" s="1" t="str">
        <f>"2026-07-29 13:18:02"</f>
        <v>2026-07-29 13:18:02</v>
      </c>
      <c r="L367" s="1" t="str">
        <f>"2019-11-21 22:20:30"</f>
        <v>2019-11-21 22:20:30</v>
      </c>
      <c r="M367" s="1" t="s">
        <v>1</v>
      </c>
      <c r="N367" s="1" t="s">
        <v>38</v>
      </c>
      <c r="O367" s="1" t="s">
        <v>46</v>
      </c>
    </row>
    <row r="368" spans="2:15" x14ac:dyDescent="0.3">
      <c r="B368" s="1" t="s">
        <v>24</v>
      </c>
      <c r="C368" s="1" t="str">
        <f>"3차"</f>
        <v>3차</v>
      </c>
      <c r="D368" s="1" t="str">
        <f>"0227G41139"</f>
        <v>0227G41139</v>
      </c>
      <c r="E368" s="1" t="s">
        <v>10</v>
      </c>
      <c r="F368" s="1" t="str">
        <f>"10.89.245.34"</f>
        <v>10.89.245.34</v>
      </c>
      <c r="G368" s="1" t="str">
        <f>"0227G411"</f>
        <v>0227G411</v>
      </c>
      <c r="H368" s="1" t="str">
        <f>"연구간 101R5"</f>
        <v>연구간 101R5</v>
      </c>
      <c r="I368" s="1" t="s">
        <v>8</v>
      </c>
      <c r="J368" s="1" t="str">
        <f>"24/29"</f>
        <v>24/29</v>
      </c>
      <c r="K368" s="1" t="str">
        <f>"2026-07-29 13:18:02"</f>
        <v>2026-07-29 13:18:02</v>
      </c>
      <c r="L368" s="1" t="str">
        <f>"2018-04-11 09:03:10"</f>
        <v>2018-04-11 09:03:10</v>
      </c>
      <c r="M368" s="1" t="s">
        <v>45</v>
      </c>
      <c r="N368" s="1" t="s">
        <v>38</v>
      </c>
      <c r="O368" s="1" t="s">
        <v>46</v>
      </c>
    </row>
    <row r="369" spans="2:15" x14ac:dyDescent="0.3">
      <c r="B369" s="1" t="s">
        <v>24</v>
      </c>
      <c r="C369" s="1" t="str">
        <f t="shared" ref="C369:C380" si="25">"4차"</f>
        <v>4차</v>
      </c>
      <c r="D369" s="1" t="str">
        <f>"0227G44244"</f>
        <v>0227G44244</v>
      </c>
      <c r="E369" s="1" t="s">
        <v>10</v>
      </c>
      <c r="F369" s="1" t="str">
        <f>"10.10.48.18"</f>
        <v>10.10.48.18</v>
      </c>
      <c r="G369" s="1" t="str">
        <f>"0227G442"</f>
        <v>0227G442</v>
      </c>
      <c r="H369" s="1" t="str">
        <f>"연구간 12R1R4"</f>
        <v>연구간 12R1R4</v>
      </c>
      <c r="I369" s="1" t="s">
        <v>8</v>
      </c>
      <c r="J369" s="1" t="str">
        <f>"48/48"</f>
        <v>48/48</v>
      </c>
      <c r="K369" s="1" t="str">
        <f>"2026-07-29 13:18:02"</f>
        <v>2026-07-29 13:18:02</v>
      </c>
      <c r="L369" s="1" t="str">
        <f>"2019-11-21 22:12:04"</f>
        <v>2019-11-21 22:12:04</v>
      </c>
      <c r="M369" s="1" t="s">
        <v>1</v>
      </c>
      <c r="N369" s="1" t="s">
        <v>38</v>
      </c>
      <c r="O369" s="1" t="s">
        <v>46</v>
      </c>
    </row>
    <row r="370" spans="2:15" x14ac:dyDescent="0.3">
      <c r="B370" s="1" t="s">
        <v>24</v>
      </c>
      <c r="C370" s="1" t="str">
        <f t="shared" si="25"/>
        <v>4차</v>
      </c>
      <c r="D370" s="1" t="str">
        <f>"0227G45144"</f>
        <v>0227G45144</v>
      </c>
      <c r="E370" s="1" t="s">
        <v>10</v>
      </c>
      <c r="F370" s="1" t="str">
        <f>"10.10.48.2"</f>
        <v>10.10.48.2</v>
      </c>
      <c r="G370" s="1" t="str">
        <f>"0227G451"</f>
        <v>0227G451</v>
      </c>
      <c r="H370" s="1" t="str">
        <f>"연구간 12R1R2R1L1"</f>
        <v>연구간 12R1R2R1L1</v>
      </c>
      <c r="I370" s="1" t="s">
        <v>8</v>
      </c>
      <c r="J370" s="1" t="str">
        <f>"15/16"</f>
        <v>15/16</v>
      </c>
      <c r="K370" s="1" t="str">
        <f>"2026-07-29 13:18:02"</f>
        <v>2026-07-29 13:18:02</v>
      </c>
      <c r="L370" s="1" t="str">
        <f>"2019-11-21 21:42:28"</f>
        <v>2019-11-21 21:42:28</v>
      </c>
      <c r="M370" s="1" t="s">
        <v>1</v>
      </c>
      <c r="N370" s="1" t="s">
        <v>38</v>
      </c>
      <c r="O370" s="1" t="s">
        <v>46</v>
      </c>
    </row>
    <row r="371" spans="2:15" x14ac:dyDescent="0.3">
      <c r="B371" s="1" t="s">
        <v>24</v>
      </c>
      <c r="C371" s="1" t="str">
        <f t="shared" si="25"/>
        <v>4차</v>
      </c>
      <c r="D371" s="1" t="str">
        <f>"0227G46239"</f>
        <v>0227G46239</v>
      </c>
      <c r="E371" s="1" t="s">
        <v>10</v>
      </c>
      <c r="F371" s="1" t="str">
        <f>"10.12.130.162"</f>
        <v>10.12.130.162</v>
      </c>
      <c r="G371" s="1" t="str">
        <f>"0227G462"</f>
        <v>0227G462</v>
      </c>
      <c r="H371" s="1" t="str">
        <f>"연구간 9"</f>
        <v>연구간 9</v>
      </c>
      <c r="I371" s="1" t="s">
        <v>8</v>
      </c>
      <c r="J371" s="1" t="str">
        <f>"40/40"</f>
        <v>40/40</v>
      </c>
      <c r="K371" s="1" t="str">
        <f>"2026-07-29 13:18:01"</f>
        <v>2026-07-29 13:18:01</v>
      </c>
      <c r="L371" s="1" t="str">
        <f>"2021-07-28 09:38:57"</f>
        <v>2021-07-28 09:38:57</v>
      </c>
      <c r="M371" s="1" t="s">
        <v>0</v>
      </c>
      <c r="N371" s="1" t="s">
        <v>38</v>
      </c>
      <c r="O371" s="1" t="s">
        <v>46</v>
      </c>
    </row>
    <row r="372" spans="2:15" x14ac:dyDescent="0.3">
      <c r="B372" s="1" t="s">
        <v>24</v>
      </c>
      <c r="C372" s="1" t="str">
        <f t="shared" si="25"/>
        <v>4차</v>
      </c>
      <c r="D372" s="1" t="str">
        <f>"0227G46344"</f>
        <v>0227G46344</v>
      </c>
      <c r="E372" s="1" t="s">
        <v>10</v>
      </c>
      <c r="F372" s="1" t="str">
        <f>"10.10.48.10"</f>
        <v>10.10.48.10</v>
      </c>
      <c r="G372" s="1" t="str">
        <f>"0227G463"</f>
        <v>0227G463</v>
      </c>
      <c r="H372" s="1" t="str">
        <f>"연구간 12R1R2R2"</f>
        <v>연구간 12R1R2R2</v>
      </c>
      <c r="I372" s="1" t="s">
        <v>8</v>
      </c>
      <c r="J372" s="1" t="str">
        <f>"31/31"</f>
        <v>31/31</v>
      </c>
      <c r="K372" s="1" t="str">
        <f>"2026-07-29 13:18:02"</f>
        <v>2026-07-29 13:18:02</v>
      </c>
      <c r="L372" s="1" t="str">
        <f>"2019-11-21 21:42:46"</f>
        <v>2019-11-21 21:42:46</v>
      </c>
      <c r="M372" s="1" t="s">
        <v>1</v>
      </c>
      <c r="N372" s="1" t="s">
        <v>38</v>
      </c>
      <c r="O372" s="1" t="s">
        <v>46</v>
      </c>
    </row>
    <row r="373" spans="2:15" x14ac:dyDescent="0.3">
      <c r="B373" s="1" t="s">
        <v>24</v>
      </c>
      <c r="C373" s="1" t="str">
        <f t="shared" si="25"/>
        <v>4차</v>
      </c>
      <c r="D373" s="1" t="str">
        <f>"0227G53144"</f>
        <v>0227G53144</v>
      </c>
      <c r="E373" s="1" t="s">
        <v>10</v>
      </c>
      <c r="F373" s="1" t="str">
        <f>"10.10.48.82"</f>
        <v>10.10.48.82</v>
      </c>
      <c r="G373" s="1" t="str">
        <f>"0227G531"</f>
        <v>0227G531</v>
      </c>
      <c r="H373" s="1" t="str">
        <f>"연구간 12R9"</f>
        <v>연구간 12R9</v>
      </c>
      <c r="I373" s="1" t="s">
        <v>8</v>
      </c>
      <c r="J373" s="1" t="str">
        <f>"62/62"</f>
        <v>62/62</v>
      </c>
      <c r="K373" s="1" t="str">
        <f>"2026-07-29 13:18:01"</f>
        <v>2026-07-29 13:18:01</v>
      </c>
      <c r="L373" s="1" t="str">
        <f>"2019-11-11 10:35:04"</f>
        <v>2019-11-11 10:35:04</v>
      </c>
      <c r="M373" s="1" t="s">
        <v>1</v>
      </c>
      <c r="N373" s="1" t="s">
        <v>38</v>
      </c>
      <c r="O373" s="1" t="s">
        <v>46</v>
      </c>
    </row>
    <row r="374" spans="2:15" x14ac:dyDescent="0.3">
      <c r="B374" s="1" t="s">
        <v>24</v>
      </c>
      <c r="C374" s="1" t="str">
        <f t="shared" si="25"/>
        <v>4차</v>
      </c>
      <c r="D374" s="1" t="str">
        <f>"0227G53244"</f>
        <v>0227G53244</v>
      </c>
      <c r="E374" s="1" t="s">
        <v>10</v>
      </c>
      <c r="F374" s="1" t="str">
        <f>"10.10.47.234"</f>
        <v>10.10.47.234</v>
      </c>
      <c r="G374" s="1" t="str">
        <f>"0227G532"</f>
        <v>0227G532</v>
      </c>
      <c r="H374" s="1" t="str">
        <f>"연구간 12R10"</f>
        <v>연구간 12R10</v>
      </c>
      <c r="I374" s="1" t="s">
        <v>8</v>
      </c>
      <c r="J374" s="1" t="str">
        <f>"46/69"</f>
        <v>46/69</v>
      </c>
      <c r="K374" s="1" t="str">
        <f>"2026-07-29 13:18:01"</f>
        <v>2026-07-29 13:18:01</v>
      </c>
      <c r="L374" s="1" t="str">
        <f>"2019-11-11 10:31:34"</f>
        <v>2019-11-11 10:31:34</v>
      </c>
      <c r="M374" s="1" t="s">
        <v>1</v>
      </c>
      <c r="N374" s="1" t="s">
        <v>38</v>
      </c>
      <c r="O374" s="1" t="s">
        <v>46</v>
      </c>
    </row>
    <row r="375" spans="2:15" x14ac:dyDescent="0.3">
      <c r="B375" s="1" t="s">
        <v>24</v>
      </c>
      <c r="C375" s="1" t="str">
        <f t="shared" si="25"/>
        <v>4차</v>
      </c>
      <c r="D375" s="1" t="str">
        <f>"0227G55144"</f>
        <v>0227G55144</v>
      </c>
      <c r="E375" s="1" t="s">
        <v>10</v>
      </c>
      <c r="F375" s="1" t="str">
        <f>"10.10.47.242"</f>
        <v>10.10.47.242</v>
      </c>
      <c r="G375" s="1" t="str">
        <f>"0227G551"</f>
        <v>0227G551</v>
      </c>
      <c r="H375" s="1" t="str">
        <f>"연구간 12R1R2"</f>
        <v>연구간 12R1R2</v>
      </c>
      <c r="I375" s="1" t="s">
        <v>8</v>
      </c>
      <c r="J375" s="1" t="str">
        <f>"66/78"</f>
        <v>66/78</v>
      </c>
      <c r="K375" s="1" t="str">
        <f>"2026-07-29 13:18:01"</f>
        <v>2026-07-29 13:18:01</v>
      </c>
      <c r="L375" s="1" t="str">
        <f>"2019-11-21 21:04:15"</f>
        <v>2019-11-21 21:04:15</v>
      </c>
      <c r="M375" s="1" t="s">
        <v>1</v>
      </c>
      <c r="N375" s="1" t="s">
        <v>38</v>
      </c>
      <c r="O375" s="1" t="s">
        <v>46</v>
      </c>
    </row>
    <row r="376" spans="2:15" x14ac:dyDescent="0.3">
      <c r="B376" s="1" t="s">
        <v>24</v>
      </c>
      <c r="C376" s="1" t="str">
        <f t="shared" si="25"/>
        <v>4차</v>
      </c>
      <c r="D376" s="1" t="str">
        <f>"0227G55344"</f>
        <v>0227G55344</v>
      </c>
      <c r="E376" s="1" t="s">
        <v>10</v>
      </c>
      <c r="F376" s="1" t="str">
        <f>"10.10.47.250"</f>
        <v>10.10.47.250</v>
      </c>
      <c r="G376" s="1" t="str">
        <f>"0227G553"</f>
        <v>0227G553</v>
      </c>
      <c r="H376" s="1" t="str">
        <f>"연구간 12R1R2R1"</f>
        <v>연구간 12R1R2R1</v>
      </c>
      <c r="I376" s="1" t="s">
        <v>8</v>
      </c>
      <c r="J376" s="1" t="str">
        <f>"25/25"</f>
        <v>25/25</v>
      </c>
      <c r="K376" s="1" t="str">
        <f>"2026-07-29 13:18:01"</f>
        <v>2026-07-29 13:18:01</v>
      </c>
      <c r="L376" s="1" t="str">
        <f>"2019-11-21 21:27:59"</f>
        <v>2019-11-21 21:27:59</v>
      </c>
      <c r="M376" s="1" t="s">
        <v>1</v>
      </c>
      <c r="N376" s="1" t="s">
        <v>38</v>
      </c>
      <c r="O376" s="1" t="s">
        <v>46</v>
      </c>
    </row>
    <row r="377" spans="2:15" x14ac:dyDescent="0.3">
      <c r="B377" s="1" t="s">
        <v>24</v>
      </c>
      <c r="C377" s="1" t="str">
        <f t="shared" si="25"/>
        <v>4차</v>
      </c>
      <c r="D377" s="1" t="str">
        <f>"0227G56244"</f>
        <v>0227G56244</v>
      </c>
      <c r="E377" s="1" t="s">
        <v>10</v>
      </c>
      <c r="F377" s="1" t="str">
        <f>"10.10.47.218"</f>
        <v>10.10.47.218</v>
      </c>
      <c r="G377" s="1" t="str">
        <f>"0227G562"</f>
        <v>0227G562</v>
      </c>
      <c r="H377" s="1" t="str">
        <f>"연구간 10"</f>
        <v>연구간 10</v>
      </c>
      <c r="I377" s="1" t="s">
        <v>8</v>
      </c>
      <c r="J377" s="1" t="str">
        <f>"49/49"</f>
        <v>49/49</v>
      </c>
      <c r="K377" s="1" t="str">
        <f>"2026-07-29 13:18:03"</f>
        <v>2026-07-29 13:18:03</v>
      </c>
      <c r="L377" s="1" t="str">
        <f>"2021-07-28 16:43:40"</f>
        <v>2021-07-28 16:43:40</v>
      </c>
      <c r="M377" s="1" t="s">
        <v>1</v>
      </c>
      <c r="N377" s="1" t="s">
        <v>38</v>
      </c>
      <c r="O377" s="1" t="s">
        <v>46</v>
      </c>
    </row>
    <row r="378" spans="2:15" x14ac:dyDescent="0.3">
      <c r="B378" s="1" t="s">
        <v>24</v>
      </c>
      <c r="C378" s="1" t="str">
        <f t="shared" si="25"/>
        <v>4차</v>
      </c>
      <c r="D378" s="1" t="str">
        <f>"0227G63244"</f>
        <v>0227G63244</v>
      </c>
      <c r="E378" s="1" t="s">
        <v>10</v>
      </c>
      <c r="F378" s="1" t="str">
        <f>"10.10.48.74"</f>
        <v>10.10.48.74</v>
      </c>
      <c r="G378" s="1" t="str">
        <f>"0227G632"</f>
        <v>0227G632</v>
      </c>
      <c r="H378" s="1" t="str">
        <f>"연구간 12R8"</f>
        <v>연구간 12R8</v>
      </c>
      <c r="I378" s="1" t="s">
        <v>8</v>
      </c>
      <c r="J378" s="1" t="str">
        <f>"83/83"</f>
        <v>83/83</v>
      </c>
      <c r="K378" s="1" t="str">
        <f>"2026-07-29 13:18:03"</f>
        <v>2026-07-29 13:18:03</v>
      </c>
      <c r="L378" s="1" t="str">
        <f>"2019-11-11 10:33:15"</f>
        <v>2019-11-11 10:33:15</v>
      </c>
      <c r="M378" s="1" t="s">
        <v>1</v>
      </c>
      <c r="N378" s="1" t="s">
        <v>38</v>
      </c>
      <c r="O378" s="1" t="s">
        <v>46</v>
      </c>
    </row>
    <row r="379" spans="2:15" x14ac:dyDescent="0.3">
      <c r="B379" s="1" t="s">
        <v>24</v>
      </c>
      <c r="C379" s="1" t="str">
        <f t="shared" si="25"/>
        <v>4차</v>
      </c>
      <c r="D379" s="1" t="str">
        <f>"0227G63544"</f>
        <v>0227G63544</v>
      </c>
      <c r="E379" s="1" t="s">
        <v>10</v>
      </c>
      <c r="F379" s="1" t="str">
        <f>"10.10.48.66"</f>
        <v>10.10.48.66</v>
      </c>
      <c r="G379" s="1" t="str">
        <f>"0227G635"</f>
        <v>0227G635</v>
      </c>
      <c r="H379" s="1" t="str">
        <f>"연구간 12R6"</f>
        <v>연구간 12R6</v>
      </c>
      <c r="I379" s="1" t="s">
        <v>8</v>
      </c>
      <c r="J379" s="1" t="str">
        <f>"138/139"</f>
        <v>138/139</v>
      </c>
      <c r="K379" s="1" t="str">
        <f>"2026-07-29 13:18:01"</f>
        <v>2026-07-29 13:18:01</v>
      </c>
      <c r="L379" s="1" t="str">
        <f>"2019-11-11 10:38:33"</f>
        <v>2019-11-11 10:38:33</v>
      </c>
      <c r="M379" s="1" t="s">
        <v>1</v>
      </c>
      <c r="N379" s="1" t="s">
        <v>38</v>
      </c>
      <c r="O379" s="1" t="s">
        <v>46</v>
      </c>
    </row>
    <row r="380" spans="2:15" x14ac:dyDescent="0.3">
      <c r="B380" s="1" t="s">
        <v>24</v>
      </c>
      <c r="C380" s="1" t="str">
        <f t="shared" si="25"/>
        <v>4차</v>
      </c>
      <c r="D380" s="1" t="str">
        <f>"0227G65139"</f>
        <v>0227G65139</v>
      </c>
      <c r="E380" s="1" t="s">
        <v>10</v>
      </c>
      <c r="F380" s="1" t="str">
        <f>"10.89.245.2"</f>
        <v>10.89.245.2</v>
      </c>
      <c r="G380" s="1" t="str">
        <f>"0227G651"</f>
        <v>0227G651</v>
      </c>
      <c r="H380" s="1" t="str">
        <f>"연구간 12R1"</f>
        <v>연구간 12R1</v>
      </c>
      <c r="I380" s="1" t="s">
        <v>8</v>
      </c>
      <c r="J380" s="1" t="str">
        <f>"103/104"</f>
        <v>103/104</v>
      </c>
      <c r="K380" s="1" t="str">
        <f>"2026-07-29 13:18:03"</f>
        <v>2026-07-29 13:18:03</v>
      </c>
      <c r="L380" s="1" t="str">
        <f>"2018-09-27 14:58:42"</f>
        <v>2018-09-27 14:58:42</v>
      </c>
      <c r="M380" s="1" t="s">
        <v>45</v>
      </c>
      <c r="N380" s="1" t="s">
        <v>38</v>
      </c>
      <c r="O380" s="1" t="s">
        <v>46</v>
      </c>
    </row>
    <row r="381" spans="2:15" x14ac:dyDescent="0.3">
      <c r="B381" s="1" t="s">
        <v>24</v>
      </c>
      <c r="C381" s="1" t="str">
        <f>"3차"</f>
        <v>3차</v>
      </c>
      <c r="D381" s="1" t="str">
        <f>"0227G65239"</f>
        <v>0227G65239</v>
      </c>
      <c r="E381" s="1" t="s">
        <v>10</v>
      </c>
      <c r="F381" s="1" t="str">
        <f>"10.89.245.3"</f>
        <v>10.89.245.3</v>
      </c>
      <c r="G381" s="1" t="str">
        <f>"0227G652"</f>
        <v>0227G652</v>
      </c>
      <c r="H381" s="1" t="str">
        <f>"연구간 12R1R1"</f>
        <v>연구간 12R1R1</v>
      </c>
      <c r="I381" s="1" t="s">
        <v>8</v>
      </c>
      <c r="J381" s="1" t="str">
        <f>"32/32"</f>
        <v>32/32</v>
      </c>
      <c r="K381" s="1" t="str">
        <f>"2026-07-29 13:18:03"</f>
        <v>2026-07-29 13:18:03</v>
      </c>
      <c r="L381" s="1" t="str">
        <f>"2018-04-17 18:22:44"</f>
        <v>2018-04-17 18:22:44</v>
      </c>
      <c r="M381" s="1" t="s">
        <v>45</v>
      </c>
      <c r="N381" s="1" t="s">
        <v>38</v>
      </c>
      <c r="O381" s="1" t="s">
        <v>46</v>
      </c>
    </row>
    <row r="382" spans="2:15" x14ac:dyDescent="0.3">
      <c r="B382" s="1" t="s">
        <v>24</v>
      </c>
      <c r="C382" s="1" t="str">
        <f>"4차"</f>
        <v>4차</v>
      </c>
      <c r="D382" s="1" t="str">
        <f>"0227G65344"</f>
        <v>0227G65344</v>
      </c>
      <c r="E382" s="1" t="str">
        <f>"검침실패(3시간 이상)"</f>
        <v>검침실패(3시간 이상)</v>
      </c>
      <c r="F382" s="1" t="str">
        <f>"10.10.48.26"</f>
        <v>10.10.48.26</v>
      </c>
      <c r="G382" s="1" t="str">
        <f>"0227G653"</f>
        <v>0227G653</v>
      </c>
      <c r="H382" s="1" t="str">
        <f>"연구간 12R2"</f>
        <v>연구간 12R2</v>
      </c>
      <c r="I382" s="1" t="s">
        <v>8</v>
      </c>
      <c r="J382" s="1" t="str">
        <f>"0/113"</f>
        <v>0/113</v>
      </c>
      <c r="K382" s="1" t="str">
        <f>"2026-07-19 07:18:02"</f>
        <v>2026-07-19 07:18:02</v>
      </c>
      <c r="L382" s="1" t="str">
        <f>"2019-11-21 21:17:47"</f>
        <v>2019-11-21 21:17:47</v>
      </c>
      <c r="M382" s="1" t="s">
        <v>1</v>
      </c>
      <c r="N382" s="1" t="s">
        <v>38</v>
      </c>
      <c r="O382" s="1" t="s">
        <v>46</v>
      </c>
    </row>
    <row r="383" spans="2:15" x14ac:dyDescent="0.3">
      <c r="B383" s="1" t="s">
        <v>24</v>
      </c>
      <c r="C383" s="1" t="str">
        <f>"4차"</f>
        <v>4차</v>
      </c>
      <c r="D383" s="1" t="str">
        <f>"0227G66244"</f>
        <v>0227G66244</v>
      </c>
      <c r="E383" s="1" t="s">
        <v>10</v>
      </c>
      <c r="F383" s="1" t="str">
        <f>"10.12.138.3"</f>
        <v>10.12.138.3</v>
      </c>
      <c r="G383" s="1" t="str">
        <f>"0227G662"</f>
        <v>0227G662</v>
      </c>
      <c r="H383" s="1" t="str">
        <f>"연구간 13"</f>
        <v>연구간 13</v>
      </c>
      <c r="I383" s="1" t="s">
        <v>8</v>
      </c>
      <c r="J383" s="1" t="str">
        <f>"5/5"</f>
        <v>5/5</v>
      </c>
      <c r="K383" s="1" t="str">
        <f>"2026-07-29 13:18:03"</f>
        <v>2026-07-29 13:18:03</v>
      </c>
      <c r="L383" s="1" t="str">
        <f>"2020-01-14 10:07:47"</f>
        <v>2020-01-14 10:07:47</v>
      </c>
      <c r="M383" s="1" t="s">
        <v>0</v>
      </c>
      <c r="N383" s="1" t="s">
        <v>38</v>
      </c>
      <c r="O383" s="1" t="s">
        <v>46</v>
      </c>
    </row>
    <row r="384" spans="2:15" x14ac:dyDescent="0.3">
      <c r="B384" s="1" t="s">
        <v>24</v>
      </c>
      <c r="C384" s="1" t="str">
        <f>"3차"</f>
        <v>3차</v>
      </c>
      <c r="D384" s="1" t="str">
        <f>"0227G67139"</f>
        <v>0227G67139</v>
      </c>
      <c r="E384" s="1" t="s">
        <v>10</v>
      </c>
      <c r="F384" s="1" t="str">
        <f>"10.12.132.186"</f>
        <v>10.12.132.186</v>
      </c>
      <c r="G384" s="1" t="str">
        <f>"0227G671"</f>
        <v>0227G671</v>
      </c>
      <c r="H384" s="1" t="str">
        <f>"경희간 3"</f>
        <v>경희간 3</v>
      </c>
      <c r="I384" s="1" t="s">
        <v>8</v>
      </c>
      <c r="J384" s="1" t="str">
        <f>"79/79"</f>
        <v>79/79</v>
      </c>
      <c r="K384" s="1" t="str">
        <f>"2026-07-29 13:18:03"</f>
        <v>2026-07-29 13:18:03</v>
      </c>
      <c r="L384" s="1" t="str">
        <f>"2018-09-27 17:16:43"</f>
        <v>2018-09-27 17:16:43</v>
      </c>
      <c r="M384" s="1" t="s">
        <v>0</v>
      </c>
      <c r="N384" s="1" t="s">
        <v>38</v>
      </c>
      <c r="O384" s="1" t="s">
        <v>46</v>
      </c>
    </row>
    <row r="385" spans="2:15" x14ac:dyDescent="0.3">
      <c r="B385" s="1" t="s">
        <v>24</v>
      </c>
      <c r="C385" s="1" t="str">
        <f t="shared" ref="C385:C402" si="26">"4차"</f>
        <v>4차</v>
      </c>
      <c r="D385" s="1" t="str">
        <f>"0227G74444"</f>
        <v>0227G74444</v>
      </c>
      <c r="E385" s="1" t="s">
        <v>10</v>
      </c>
      <c r="F385" s="1" t="str">
        <f>"10.10.48.34"</f>
        <v>10.10.48.34</v>
      </c>
      <c r="G385" s="1" t="str">
        <f>"0227G744"</f>
        <v>0227G744</v>
      </c>
      <c r="H385" s="1" t="str">
        <f>"연구간 12R4L1"</f>
        <v>연구간 12R4L1</v>
      </c>
      <c r="I385" s="1" t="s">
        <v>8</v>
      </c>
      <c r="J385" s="1" t="str">
        <f>"52/52"</f>
        <v>52/52</v>
      </c>
      <c r="K385" s="1" t="str">
        <f>"2026-07-29 13:18:03"</f>
        <v>2026-07-29 13:18:03</v>
      </c>
      <c r="L385" s="1" t="str">
        <f>"2019-11-11 10:31:47"</f>
        <v>2019-11-11 10:31:47</v>
      </c>
      <c r="M385" s="1" t="s">
        <v>1</v>
      </c>
      <c r="N385" s="1" t="s">
        <v>38</v>
      </c>
      <c r="O385" s="1" t="s">
        <v>46</v>
      </c>
    </row>
    <row r="386" spans="2:15" x14ac:dyDescent="0.3">
      <c r="B386" s="1" t="s">
        <v>24</v>
      </c>
      <c r="C386" s="1" t="str">
        <f t="shared" si="26"/>
        <v>4차</v>
      </c>
      <c r="D386" s="1" t="str">
        <f>"0227G77244"</f>
        <v>0227G77244</v>
      </c>
      <c r="E386" s="1" t="s">
        <v>10</v>
      </c>
      <c r="F386" s="1" t="str">
        <f>"10.10.54.66"</f>
        <v>10.10.54.66</v>
      </c>
      <c r="G386" s="1" t="str">
        <f>"0227G772"</f>
        <v>0227G772</v>
      </c>
      <c r="H386" s="1" t="str">
        <f>"경희간 7L2L1"</f>
        <v>경희간 7L2L1</v>
      </c>
      <c r="I386" s="1" t="s">
        <v>8</v>
      </c>
      <c r="J386" s="1" t="str">
        <f>"30/30"</f>
        <v>30/30</v>
      </c>
      <c r="K386" s="1" t="str">
        <f>"2026-07-29 13:18:01"</f>
        <v>2026-07-29 13:18:01</v>
      </c>
      <c r="L386" s="1" t="str">
        <f>"2019-09-09 14:34:15"</f>
        <v>2019-09-09 14:34:15</v>
      </c>
      <c r="M386" s="1" t="s">
        <v>1</v>
      </c>
      <c r="N386" s="1" t="s">
        <v>38</v>
      </c>
      <c r="O386" s="1" t="s">
        <v>46</v>
      </c>
    </row>
    <row r="387" spans="2:15" x14ac:dyDescent="0.3">
      <c r="B387" s="1" t="s">
        <v>24</v>
      </c>
      <c r="C387" s="1" t="str">
        <f t="shared" si="26"/>
        <v>4차</v>
      </c>
      <c r="D387" s="1" t="str">
        <f>"0227G78244"</f>
        <v>0227G78244</v>
      </c>
      <c r="E387" s="1" t="s">
        <v>10</v>
      </c>
      <c r="F387" s="1" t="str">
        <f>"10.10.54.74"</f>
        <v>10.10.54.74</v>
      </c>
      <c r="G387" s="1" t="str">
        <f>"0227G782"</f>
        <v>0227G782</v>
      </c>
      <c r="H387" s="1" t="str">
        <f>"경희간 7L2L2"</f>
        <v>경희간 7L2L2</v>
      </c>
      <c r="I387" s="1" t="s">
        <v>8</v>
      </c>
      <c r="J387" s="1" t="str">
        <f>"139/140"</f>
        <v>139/140</v>
      </c>
      <c r="K387" s="1" t="str">
        <f>"2026-07-29 13:18:01"</f>
        <v>2026-07-29 13:18:01</v>
      </c>
      <c r="L387" s="1" t="str">
        <f>"2019-09-09 14:46:00"</f>
        <v>2019-09-09 14:46:00</v>
      </c>
      <c r="M387" s="1" t="s">
        <v>1</v>
      </c>
      <c r="N387" s="1" t="s">
        <v>38</v>
      </c>
      <c r="O387" s="1" t="s">
        <v>46</v>
      </c>
    </row>
    <row r="388" spans="2:15" x14ac:dyDescent="0.3">
      <c r="B388" s="1" t="s">
        <v>24</v>
      </c>
      <c r="C388" s="1" t="str">
        <f t="shared" si="26"/>
        <v>4차</v>
      </c>
      <c r="D388" s="1" t="str">
        <f>"0227G83144"</f>
        <v>0227G83144</v>
      </c>
      <c r="E388" s="1" t="s">
        <v>10</v>
      </c>
      <c r="F388" s="1" t="str">
        <f>"10.10.48.42"</f>
        <v>10.10.48.42</v>
      </c>
      <c r="G388" s="1" t="str">
        <f>"0227G831"</f>
        <v>0227G831</v>
      </c>
      <c r="H388" s="1" t="str">
        <f>"연구간 12R4L2"</f>
        <v>연구간 12R4L2</v>
      </c>
      <c r="I388" s="1" t="s">
        <v>8</v>
      </c>
      <c r="J388" s="1" t="str">
        <f>"56/59"</f>
        <v>56/59</v>
      </c>
      <c r="K388" s="1" t="str">
        <f>"2026-07-29 13:18:03"</f>
        <v>2026-07-29 13:18:03</v>
      </c>
      <c r="L388" s="1" t="str">
        <f>"2019-11-11 10:34:11"</f>
        <v>2019-11-11 10:34:11</v>
      </c>
      <c r="M388" s="1" t="s">
        <v>1</v>
      </c>
      <c r="N388" s="1" t="s">
        <v>38</v>
      </c>
      <c r="O388" s="1" t="s">
        <v>46</v>
      </c>
    </row>
    <row r="389" spans="2:15" x14ac:dyDescent="0.3">
      <c r="B389" s="1" t="s">
        <v>24</v>
      </c>
      <c r="C389" s="1" t="str">
        <f t="shared" si="26"/>
        <v>4차</v>
      </c>
      <c r="D389" s="1" t="str">
        <f>"0227G84144"</f>
        <v>0227G84144</v>
      </c>
      <c r="E389" s="1" t="s">
        <v>10</v>
      </c>
      <c r="F389" s="1" t="str">
        <f>"10.10.48.50"</f>
        <v>10.10.48.50</v>
      </c>
      <c r="G389" s="1" t="str">
        <f>"0227G841"</f>
        <v>0227G841</v>
      </c>
      <c r="H389" s="1" t="str">
        <f>"연구간 12R4L3"</f>
        <v>연구간 12R4L3</v>
      </c>
      <c r="I389" s="1" t="s">
        <v>8</v>
      </c>
      <c r="J389" s="1" t="str">
        <f>"20/20"</f>
        <v>20/20</v>
      </c>
      <c r="K389" s="1" t="str">
        <f>"2026-07-29 13:18:03"</f>
        <v>2026-07-29 13:18:03</v>
      </c>
      <c r="L389" s="1" t="str">
        <f>"2019-11-12 00:50:20"</f>
        <v>2019-11-12 00:50:20</v>
      </c>
      <c r="M389" s="1" t="s">
        <v>1</v>
      </c>
      <c r="N389" s="1" t="s">
        <v>38</v>
      </c>
      <c r="O389" s="1" t="s">
        <v>46</v>
      </c>
    </row>
    <row r="390" spans="2:15" x14ac:dyDescent="0.3">
      <c r="B390" s="1" t="s">
        <v>24</v>
      </c>
      <c r="C390" s="1" t="str">
        <f t="shared" si="26"/>
        <v>4차</v>
      </c>
      <c r="D390" s="1" t="str">
        <f>"0227G84244"</f>
        <v>0227G84244</v>
      </c>
      <c r="E390" s="1" t="s">
        <v>10</v>
      </c>
      <c r="F390" s="1" t="str">
        <f>"10.10.48.58"</f>
        <v>10.10.48.58</v>
      </c>
      <c r="G390" s="1" t="str">
        <f>"0227G842"</f>
        <v>0227G842</v>
      </c>
      <c r="H390" s="1" t="str">
        <f>"연구간 12R4L4"</f>
        <v>연구간 12R4L4</v>
      </c>
      <c r="I390" s="1" t="s">
        <v>8</v>
      </c>
      <c r="J390" s="1" t="str">
        <f>"13/15"</f>
        <v>13/15</v>
      </c>
      <c r="K390" s="1" t="str">
        <f t="shared" ref="K390:K395" si="27">"2026-07-29 13:18:01"</f>
        <v>2026-07-29 13:18:01</v>
      </c>
      <c r="L390" s="1" t="str">
        <f>"2019-11-11 10:35:03"</f>
        <v>2019-11-11 10:35:03</v>
      </c>
      <c r="M390" s="1" t="s">
        <v>1</v>
      </c>
      <c r="N390" s="1" t="s">
        <v>38</v>
      </c>
      <c r="O390" s="1" t="s">
        <v>46</v>
      </c>
    </row>
    <row r="391" spans="2:15" x14ac:dyDescent="0.3">
      <c r="B391" s="1" t="s">
        <v>24</v>
      </c>
      <c r="C391" s="1" t="str">
        <f t="shared" si="26"/>
        <v>4차</v>
      </c>
      <c r="D391" s="1" t="str">
        <f>"0227G85144"</f>
        <v>0227G85144</v>
      </c>
      <c r="E391" s="1" t="s">
        <v>10</v>
      </c>
      <c r="F391" s="1" t="str">
        <f>"10.10.48.106"</f>
        <v>10.10.48.106</v>
      </c>
      <c r="G391" s="1" t="str">
        <f>"0227G851"</f>
        <v>0227G851</v>
      </c>
      <c r="H391" s="1" t="str">
        <f>"연구간 15R3"</f>
        <v>연구간 15R3</v>
      </c>
      <c r="I391" s="1" t="s">
        <v>8</v>
      </c>
      <c r="J391" s="1" t="str">
        <f>"72/73"</f>
        <v>72/73</v>
      </c>
      <c r="K391" s="1" t="str">
        <f t="shared" si="27"/>
        <v>2026-07-29 13:18:01</v>
      </c>
      <c r="L391" s="1" t="str">
        <f>"2019-11-11 10:34:38"</f>
        <v>2019-11-11 10:34:38</v>
      </c>
      <c r="M391" s="1" t="s">
        <v>1</v>
      </c>
      <c r="N391" s="1" t="s">
        <v>38</v>
      </c>
      <c r="O391" s="1" t="s">
        <v>46</v>
      </c>
    </row>
    <row r="392" spans="2:15" x14ac:dyDescent="0.3">
      <c r="B392" s="1" t="s">
        <v>24</v>
      </c>
      <c r="C392" s="1" t="str">
        <f t="shared" si="26"/>
        <v>4차</v>
      </c>
      <c r="D392" s="1" t="str">
        <f>"0227G85244"</f>
        <v>0227G85244</v>
      </c>
      <c r="E392" s="1" t="s">
        <v>10</v>
      </c>
      <c r="F392" s="1" t="str">
        <f>"10.10.109.10"</f>
        <v>10.10.109.10</v>
      </c>
      <c r="G392" s="1" t="str">
        <f>"0227G852"</f>
        <v>0227G852</v>
      </c>
      <c r="H392" s="1" t="str">
        <f>"연구간 15R2"</f>
        <v>연구간 15R2</v>
      </c>
      <c r="I392" s="1" t="s">
        <v>8</v>
      </c>
      <c r="J392" s="1" t="str">
        <f>"22/22"</f>
        <v>22/22</v>
      </c>
      <c r="K392" s="1" t="str">
        <f t="shared" si="27"/>
        <v>2026-07-29 13:18:01</v>
      </c>
      <c r="L392" s="1" t="str">
        <f>"2019-11-11 11:47:28"</f>
        <v>2019-11-11 11:47:28</v>
      </c>
      <c r="M392" s="1" t="s">
        <v>1</v>
      </c>
      <c r="N392" s="1" t="s">
        <v>38</v>
      </c>
      <c r="O392" s="1" t="s">
        <v>46</v>
      </c>
    </row>
    <row r="393" spans="2:15" x14ac:dyDescent="0.3">
      <c r="B393" s="1" t="s">
        <v>24</v>
      </c>
      <c r="C393" s="1" t="str">
        <f t="shared" si="26"/>
        <v>4차</v>
      </c>
      <c r="D393" s="1" t="str">
        <f>"0227G85344"</f>
        <v>0227G85344</v>
      </c>
      <c r="E393" s="1" t="s">
        <v>10</v>
      </c>
      <c r="F393" s="1" t="str">
        <f>"10.10.48.98"</f>
        <v>10.10.48.98</v>
      </c>
      <c r="G393" s="1" t="str">
        <f>"0227G853"</f>
        <v>0227G853</v>
      </c>
      <c r="H393" s="1" t="str">
        <f>"연구간 15R2L1"</f>
        <v>연구간 15R2L1</v>
      </c>
      <c r="I393" s="1" t="s">
        <v>8</v>
      </c>
      <c r="J393" s="1" t="str">
        <f>"73/73"</f>
        <v>73/73</v>
      </c>
      <c r="K393" s="1" t="str">
        <f t="shared" si="27"/>
        <v>2026-07-29 13:18:01</v>
      </c>
      <c r="L393" s="1" t="str">
        <f>"2019-11-11 10:43:03"</f>
        <v>2019-11-11 10:43:03</v>
      </c>
      <c r="M393" s="1" t="s">
        <v>1</v>
      </c>
      <c r="N393" s="1" t="s">
        <v>38</v>
      </c>
      <c r="O393" s="1" t="s">
        <v>46</v>
      </c>
    </row>
    <row r="394" spans="2:15" x14ac:dyDescent="0.3">
      <c r="B394" s="1" t="s">
        <v>24</v>
      </c>
      <c r="C394" s="1" t="str">
        <f t="shared" si="26"/>
        <v>4차</v>
      </c>
      <c r="D394" s="1" t="str">
        <f>"0227G86239"</f>
        <v>0227G86239</v>
      </c>
      <c r="E394" s="1" t="s">
        <v>10</v>
      </c>
      <c r="F394" s="1" t="str">
        <f>"10.89.245.67"</f>
        <v>10.89.245.67</v>
      </c>
      <c r="G394" s="1" t="str">
        <f>"0227G862"</f>
        <v>0227G862</v>
      </c>
      <c r="H394" s="1" t="str">
        <f>"연구간 15R1"</f>
        <v>연구간 15R1</v>
      </c>
      <c r="I394" s="1" t="s">
        <v>8</v>
      </c>
      <c r="J394" s="1" t="str">
        <f>"92/92"</f>
        <v>92/92</v>
      </c>
      <c r="K394" s="1" t="str">
        <f t="shared" si="27"/>
        <v>2026-07-29 13:18:01</v>
      </c>
      <c r="L394" s="1" t="str">
        <f>"2018-09-27 15:45:27"</f>
        <v>2018-09-27 15:45:27</v>
      </c>
      <c r="M394" s="1" t="s">
        <v>45</v>
      </c>
      <c r="N394" s="1" t="s">
        <v>38</v>
      </c>
      <c r="O394" s="1" t="s">
        <v>46</v>
      </c>
    </row>
    <row r="395" spans="2:15" x14ac:dyDescent="0.3">
      <c r="B395" s="1" t="s">
        <v>24</v>
      </c>
      <c r="C395" s="1" t="str">
        <f t="shared" si="26"/>
        <v>4차</v>
      </c>
      <c r="D395" s="1" t="str">
        <f>"0227G88144"</f>
        <v>0227G88144</v>
      </c>
      <c r="E395" s="1" t="s">
        <v>10</v>
      </c>
      <c r="F395" s="1" t="str">
        <f>"10.10.42.34"</f>
        <v>10.10.42.34</v>
      </c>
      <c r="G395" s="1" t="str">
        <f>"0227G881"</f>
        <v>0227G881</v>
      </c>
      <c r="H395" s="1" t="str">
        <f>"경희간 7L4"</f>
        <v>경희간 7L4</v>
      </c>
      <c r="I395" s="1" t="s">
        <v>8</v>
      </c>
      <c r="J395" s="1" t="str">
        <f>"21/21"</f>
        <v>21/21</v>
      </c>
      <c r="K395" s="1" t="str">
        <f t="shared" si="27"/>
        <v>2026-07-29 13:18:01</v>
      </c>
      <c r="L395" s="1" t="str">
        <f>"2019-10-31 10:13:03"</f>
        <v>2019-10-31 10:13:03</v>
      </c>
      <c r="M395" s="1" t="s">
        <v>1</v>
      </c>
      <c r="N395" s="1" t="s">
        <v>38</v>
      </c>
      <c r="O395" s="1" t="s">
        <v>46</v>
      </c>
    </row>
    <row r="396" spans="2:15" x14ac:dyDescent="0.3">
      <c r="B396" s="1" t="s">
        <v>24</v>
      </c>
      <c r="C396" s="1" t="str">
        <f t="shared" si="26"/>
        <v>4차</v>
      </c>
      <c r="D396" s="1" t="str">
        <f>"0227G89144"</f>
        <v>0227G89144</v>
      </c>
      <c r="E396" s="1" t="s">
        <v>10</v>
      </c>
      <c r="F396" s="1" t="str">
        <f>"10.10.54.82"</f>
        <v>10.10.54.82</v>
      </c>
      <c r="G396" s="1" t="str">
        <f>"0227G891"</f>
        <v>0227G891</v>
      </c>
      <c r="H396" s="1" t="str">
        <f>"경희간 7L5H1"</f>
        <v>경희간 7L5H1</v>
      </c>
      <c r="I396" s="1" t="s">
        <v>8</v>
      </c>
      <c r="J396" s="1" t="str">
        <f>"41/41"</f>
        <v>41/41</v>
      </c>
      <c r="K396" s="1" t="str">
        <f>"2026-07-29 13:18:03"</f>
        <v>2026-07-29 13:18:03</v>
      </c>
      <c r="L396" s="1" t="str">
        <f>"2019-09-09 14:50:00"</f>
        <v>2019-09-09 14:50:00</v>
      </c>
      <c r="M396" s="1" t="s">
        <v>1</v>
      </c>
      <c r="N396" s="1" t="s">
        <v>38</v>
      </c>
      <c r="O396" s="1" t="s">
        <v>46</v>
      </c>
    </row>
    <row r="397" spans="2:15" x14ac:dyDescent="0.3">
      <c r="B397" s="1" t="s">
        <v>24</v>
      </c>
      <c r="C397" s="1" t="str">
        <f t="shared" si="26"/>
        <v>4차</v>
      </c>
      <c r="D397" s="1" t="str">
        <f>"0227G95244"</f>
        <v>0227G95244</v>
      </c>
      <c r="E397" s="1" t="s">
        <v>10</v>
      </c>
      <c r="F397" s="1" t="str">
        <f>"10.10.116.2"</f>
        <v>10.10.116.2</v>
      </c>
      <c r="G397" s="1" t="str">
        <f>"0227G952"</f>
        <v>0227G952</v>
      </c>
      <c r="H397" s="1" t="str">
        <f>"연구간 44R14"</f>
        <v>연구간 44R14</v>
      </c>
      <c r="I397" s="1" t="s">
        <v>8</v>
      </c>
      <c r="J397" s="1" t="str">
        <f>"21/21"</f>
        <v>21/21</v>
      </c>
      <c r="K397" s="1" t="str">
        <f>"2026-07-29 13:18:03"</f>
        <v>2026-07-29 13:18:03</v>
      </c>
      <c r="L397" s="1" t="str">
        <f>"2019-11-11 11:50:41"</f>
        <v>2019-11-11 11:50:41</v>
      </c>
      <c r="M397" s="1" t="s">
        <v>1</v>
      </c>
      <c r="N397" s="1" t="s">
        <v>38</v>
      </c>
      <c r="O397" s="1" t="s">
        <v>46</v>
      </c>
    </row>
    <row r="398" spans="2:15" x14ac:dyDescent="0.3">
      <c r="B398" s="1" t="s">
        <v>24</v>
      </c>
      <c r="C398" s="1" t="str">
        <f t="shared" si="26"/>
        <v>4차</v>
      </c>
      <c r="D398" s="1" t="str">
        <f>"0227G96244"</f>
        <v>0227G96244</v>
      </c>
      <c r="E398" s="1" t="s">
        <v>10</v>
      </c>
      <c r="F398" s="1" t="str">
        <f>"10.10.54.42"</f>
        <v>10.10.54.42</v>
      </c>
      <c r="G398" s="1" t="str">
        <f>"0227G962"</f>
        <v>0227G962</v>
      </c>
      <c r="H398" s="1" t="str">
        <f>"경희간 10"</f>
        <v>경희간 10</v>
      </c>
      <c r="I398" s="1" t="s">
        <v>8</v>
      </c>
      <c r="J398" s="1" t="str">
        <f>"17/21"</f>
        <v>17/21</v>
      </c>
      <c r="K398" s="1" t="str">
        <f>"2026-07-29 13:18:01"</f>
        <v>2026-07-29 13:18:01</v>
      </c>
      <c r="L398" s="1" t="str">
        <f>"2021-07-28 16:44:36"</f>
        <v>2021-07-28 16:44:36</v>
      </c>
      <c r="M398" s="1" t="s">
        <v>1</v>
      </c>
      <c r="N398" s="1" t="s">
        <v>38</v>
      </c>
      <c r="O398" s="1" t="s">
        <v>46</v>
      </c>
    </row>
    <row r="399" spans="2:15" x14ac:dyDescent="0.3">
      <c r="B399" s="1" t="s">
        <v>24</v>
      </c>
      <c r="C399" s="1" t="str">
        <f t="shared" si="26"/>
        <v>4차</v>
      </c>
      <c r="D399" s="1" t="str">
        <f>"0227G96344"</f>
        <v>0227G96344</v>
      </c>
      <c r="E399" s="1" t="s">
        <v>10</v>
      </c>
      <c r="F399" s="1" t="str">
        <f>"10.10.58.106"</f>
        <v>10.10.58.106</v>
      </c>
      <c r="G399" s="1" t="str">
        <f>"0227G963"</f>
        <v>0227G963</v>
      </c>
      <c r="H399" s="1" t="str">
        <f>"연구간 17R1"</f>
        <v>연구간 17R1</v>
      </c>
      <c r="I399" s="1" t="s">
        <v>8</v>
      </c>
      <c r="J399" s="1" t="str">
        <f>"42/42"</f>
        <v>42/42</v>
      </c>
      <c r="K399" s="1" t="str">
        <f>"2026-07-29 13:18:01"</f>
        <v>2026-07-29 13:18:01</v>
      </c>
      <c r="L399" s="1" t="str">
        <f>"2019-11-11 11:34:26"</f>
        <v>2019-11-11 11:34:26</v>
      </c>
      <c r="M399" s="1" t="s">
        <v>1</v>
      </c>
      <c r="N399" s="1" t="s">
        <v>38</v>
      </c>
      <c r="O399" s="1" t="s">
        <v>46</v>
      </c>
    </row>
    <row r="400" spans="2:15" x14ac:dyDescent="0.3">
      <c r="B400" s="1" t="s">
        <v>24</v>
      </c>
      <c r="C400" s="1" t="str">
        <f t="shared" si="26"/>
        <v>4차</v>
      </c>
      <c r="D400" s="1" t="str">
        <f>"0227G96544"</f>
        <v>0227G96544</v>
      </c>
      <c r="E400" s="1" t="s">
        <v>14</v>
      </c>
      <c r="F400" s="1" t="str">
        <f>"10.10.48.114"</f>
        <v>10.10.48.114</v>
      </c>
      <c r="G400" s="1" t="str">
        <f>"0227G965"</f>
        <v>0227G965</v>
      </c>
      <c r="H400" s="1" t="str">
        <f>"연구간 17"</f>
        <v>연구간 17</v>
      </c>
      <c r="I400" s="1" t="s">
        <v>8</v>
      </c>
      <c r="J400" s="1" t="str">
        <f>"0/0"</f>
        <v>0/0</v>
      </c>
      <c r="K400" s="1" t="str">
        <f>"2026-07-29 13:18:01"</f>
        <v>2026-07-29 13:18:01</v>
      </c>
      <c r="L400" s="1" t="str">
        <f>"2019-11-21 22:49:10"</f>
        <v>2019-11-21 22:49:10</v>
      </c>
      <c r="M400" s="1" t="s">
        <v>1</v>
      </c>
      <c r="N400" s="1" t="s">
        <v>38</v>
      </c>
      <c r="O400" s="1" t="s">
        <v>44</v>
      </c>
    </row>
    <row r="401" spans="2:15" x14ac:dyDescent="0.3">
      <c r="B401" s="1" t="s">
        <v>24</v>
      </c>
      <c r="C401" s="1" t="str">
        <f t="shared" si="26"/>
        <v>4차</v>
      </c>
      <c r="D401" s="1" t="str">
        <f>"0227G97144"</f>
        <v>0227G97144</v>
      </c>
      <c r="E401" s="1" t="s">
        <v>10</v>
      </c>
      <c r="F401" s="1" t="str">
        <f>"10.10.54.138"</f>
        <v>10.10.54.138</v>
      </c>
      <c r="G401" s="1" t="str">
        <f>"0227G971"</f>
        <v>0227G971</v>
      </c>
      <c r="H401" s="1" t="str">
        <f>"경희로SW 4R7"</f>
        <v>경희로SW 4R7</v>
      </c>
      <c r="I401" s="1" t="s">
        <v>8</v>
      </c>
      <c r="J401" s="1" t="str">
        <f>"38/38"</f>
        <v>38/38</v>
      </c>
      <c r="K401" s="1" t="str">
        <f>"2026-07-29 13:18:01"</f>
        <v>2026-07-29 13:18:01</v>
      </c>
      <c r="L401" s="1" t="str">
        <f>"2019-09-09 15:03:04"</f>
        <v>2019-09-09 15:03:04</v>
      </c>
      <c r="M401" s="1" t="s">
        <v>1</v>
      </c>
      <c r="N401" s="1" t="s">
        <v>38</v>
      </c>
      <c r="O401" s="1" t="s">
        <v>46</v>
      </c>
    </row>
    <row r="402" spans="2:15" x14ac:dyDescent="0.3">
      <c r="B402" s="1" t="s">
        <v>24</v>
      </c>
      <c r="C402" s="1" t="str">
        <f t="shared" si="26"/>
        <v>4차</v>
      </c>
      <c r="D402" s="1" t="str">
        <f>"0227G97244"</f>
        <v>0227G97244</v>
      </c>
      <c r="E402" s="1" t="s">
        <v>10</v>
      </c>
      <c r="F402" s="1" t="str">
        <f>"10.10.54.146"</f>
        <v>10.10.54.146</v>
      </c>
      <c r="G402" s="1" t="str">
        <f>"0227G972"</f>
        <v>0227G972</v>
      </c>
      <c r="H402" s="1" t="str">
        <f>"경희로SW 4R8"</f>
        <v>경희로SW 4R8</v>
      </c>
      <c r="I402" s="1" t="s">
        <v>8</v>
      </c>
      <c r="J402" s="1" t="str">
        <f>"23/23"</f>
        <v>23/23</v>
      </c>
      <c r="K402" s="1" t="str">
        <f>"2026-07-29 13:18:01"</f>
        <v>2026-07-29 13:18:01</v>
      </c>
      <c r="L402" s="1" t="str">
        <f>"2019-09-09 14:48:14"</f>
        <v>2019-09-09 14:48:14</v>
      </c>
      <c r="M402" s="1" t="s">
        <v>1</v>
      </c>
      <c r="N402" s="1" t="s">
        <v>38</v>
      </c>
      <c r="O402" s="1" t="s">
        <v>46</v>
      </c>
    </row>
    <row r="403" spans="2:15" x14ac:dyDescent="0.3">
      <c r="B403" s="1" t="s">
        <v>24</v>
      </c>
      <c r="C403" s="1" t="str">
        <f>"3차"</f>
        <v>3차</v>
      </c>
      <c r="D403" s="1" t="str">
        <f>"0227G98139"</f>
        <v>0227G98139</v>
      </c>
      <c r="E403" s="1" t="s">
        <v>10</v>
      </c>
      <c r="F403" s="1" t="str">
        <f>"10.12.129.187"</f>
        <v>10.12.129.187</v>
      </c>
      <c r="G403" s="1" t="str">
        <f>"0227G981"</f>
        <v>0227G981</v>
      </c>
      <c r="H403" s="1" t="str">
        <f>"경희로SW 4R5"</f>
        <v>경희로SW 4R5</v>
      </c>
      <c r="I403" s="1" t="s">
        <v>8</v>
      </c>
      <c r="J403" s="1" t="str">
        <f>"32/32"</f>
        <v>32/32</v>
      </c>
      <c r="K403" s="1" t="str">
        <f>"2026-07-29 13:18:02"</f>
        <v>2026-07-29 13:18:02</v>
      </c>
      <c r="L403" s="1" t="str">
        <f>"2018-04-17 18:21:18"</f>
        <v>2018-04-17 18:21:18</v>
      </c>
      <c r="M403" s="1" t="s">
        <v>0</v>
      </c>
      <c r="N403" s="1" t="s">
        <v>38</v>
      </c>
      <c r="O403" s="1" t="s">
        <v>46</v>
      </c>
    </row>
    <row r="404" spans="2:15" x14ac:dyDescent="0.3">
      <c r="B404" s="1" t="s">
        <v>24</v>
      </c>
      <c r="C404" s="1" t="str">
        <f>"4차"</f>
        <v>4차</v>
      </c>
      <c r="D404" s="1" t="str">
        <f>"0227G99144"</f>
        <v>0227G99144</v>
      </c>
      <c r="E404" s="1" t="s">
        <v>10</v>
      </c>
      <c r="F404" s="1" t="str">
        <f>"10.10.54.130"</f>
        <v>10.10.54.130</v>
      </c>
      <c r="G404" s="1" t="str">
        <f>"0227G991"</f>
        <v>0227G991</v>
      </c>
      <c r="H404" s="1" t="str">
        <f>"경희로SW 4R4"</f>
        <v>경희로SW 4R4</v>
      </c>
      <c r="I404" s="1" t="s">
        <v>8</v>
      </c>
      <c r="J404" s="1" t="str">
        <f>"24/24"</f>
        <v>24/24</v>
      </c>
      <c r="K404" s="1" t="str">
        <f>"2026-07-29 13:18:01"</f>
        <v>2026-07-29 13:18:01</v>
      </c>
      <c r="L404" s="1" t="str">
        <f>"2019-09-09 15:03:04"</f>
        <v>2019-09-09 15:03:04</v>
      </c>
      <c r="M404" s="1" t="s">
        <v>1</v>
      </c>
      <c r="N404" s="1" t="s">
        <v>38</v>
      </c>
      <c r="O404" s="1" t="s">
        <v>46</v>
      </c>
    </row>
    <row r="405" spans="2:15" x14ac:dyDescent="0.3">
      <c r="B405" s="1" t="s">
        <v>24</v>
      </c>
      <c r="C405" s="1" t="str">
        <f>"4차"</f>
        <v>4차</v>
      </c>
      <c r="D405" s="1" t="str">
        <f>"0227H04144"</f>
        <v>0227H04144</v>
      </c>
      <c r="E405" s="1" t="s">
        <v>10</v>
      </c>
      <c r="F405" s="1" t="str">
        <f>"10.12.138.62"</f>
        <v>10.12.138.62</v>
      </c>
      <c r="G405" s="1" t="str">
        <f>"0227H041"</f>
        <v>0227H041</v>
      </c>
      <c r="H405" s="1" t="str">
        <f>"연구간 44R13L1"</f>
        <v>연구간 44R13L1</v>
      </c>
      <c r="I405" s="1" t="s">
        <v>8</v>
      </c>
      <c r="J405" s="1" t="str">
        <f>"25/26"</f>
        <v>25/26</v>
      </c>
      <c r="K405" s="1" t="str">
        <f>"2026-07-29 13:18:03"</f>
        <v>2026-07-29 13:18:03</v>
      </c>
      <c r="L405" s="1" t="str">
        <f>"2019-11-11 19:49:20"</f>
        <v>2019-11-11 19:49:20</v>
      </c>
      <c r="M405" s="1" t="s">
        <v>0</v>
      </c>
      <c r="N405" s="1" t="s">
        <v>38</v>
      </c>
      <c r="O405" s="1" t="s">
        <v>46</v>
      </c>
    </row>
    <row r="406" spans="2:15" x14ac:dyDescent="0.3">
      <c r="B406" s="1" t="s">
        <v>24</v>
      </c>
      <c r="C406" s="1" t="str">
        <f>"3차"</f>
        <v>3차</v>
      </c>
      <c r="D406" s="1" t="str">
        <f>"0227H05139"</f>
        <v>0227H05139</v>
      </c>
      <c r="E406" s="1" t="s">
        <v>10</v>
      </c>
      <c r="F406" s="1" t="str">
        <f>"10.12.129.78"</f>
        <v>10.12.129.78</v>
      </c>
      <c r="G406" s="1" t="str">
        <f>"0227H051"</f>
        <v>0227H051</v>
      </c>
      <c r="H406" s="1" t="str">
        <f>"연구간 17R2"</f>
        <v>연구간 17R2</v>
      </c>
      <c r="I406" s="1" t="s">
        <v>8</v>
      </c>
      <c r="J406" s="1" t="str">
        <f>"33/34"</f>
        <v>33/34</v>
      </c>
      <c r="K406" s="1" t="str">
        <f>"2026-07-29 13:18:01"</f>
        <v>2026-07-29 13:18:01</v>
      </c>
      <c r="L406" s="1" t="str">
        <f>"2018-04-17 18:22:15"</f>
        <v>2018-04-17 18:22:15</v>
      </c>
      <c r="M406" s="1" t="s">
        <v>0</v>
      </c>
      <c r="N406" s="1" t="s">
        <v>38</v>
      </c>
      <c r="O406" s="1" t="s">
        <v>46</v>
      </c>
    </row>
    <row r="407" spans="2:15" x14ac:dyDescent="0.3">
      <c r="B407" s="1" t="s">
        <v>24</v>
      </c>
      <c r="C407" s="1" t="str">
        <f>"3차"</f>
        <v>3차</v>
      </c>
      <c r="D407" s="1" t="str">
        <f>"0227H08239"</f>
        <v>0227H08239</v>
      </c>
      <c r="E407" s="1" t="s">
        <v>10</v>
      </c>
      <c r="F407" s="1" t="str">
        <f>"10.12.129.19"</f>
        <v>10.12.129.19</v>
      </c>
      <c r="G407" s="1" t="str">
        <f>"0227H082"</f>
        <v>0227H082</v>
      </c>
      <c r="H407" s="1" t="str">
        <f>"경희로SW 4R8L2"</f>
        <v>경희로SW 4R8L2</v>
      </c>
      <c r="I407" s="1" t="s">
        <v>8</v>
      </c>
      <c r="J407" s="1" t="str">
        <f>"34/34"</f>
        <v>34/34</v>
      </c>
      <c r="K407" s="1" t="str">
        <f>"2026-07-29 13:18:03"</f>
        <v>2026-07-29 13:18:03</v>
      </c>
      <c r="L407" s="1" t="str">
        <f>"2021-07-29 16:43:54"</f>
        <v>2021-07-29 16:43:54</v>
      </c>
      <c r="M407" s="1" t="s">
        <v>0</v>
      </c>
      <c r="N407" s="1" t="s">
        <v>38</v>
      </c>
      <c r="O407" s="1" t="s">
        <v>46</v>
      </c>
    </row>
    <row r="408" spans="2:15" x14ac:dyDescent="0.3">
      <c r="B408" s="1" t="s">
        <v>24</v>
      </c>
      <c r="C408" s="1" t="str">
        <f>"4차"</f>
        <v>4차</v>
      </c>
      <c r="D408" s="1" t="str">
        <f>"0227H09144"</f>
        <v>0227H09144</v>
      </c>
      <c r="E408" s="1" t="s">
        <v>10</v>
      </c>
      <c r="F408" s="1" t="str">
        <f>"10.10.54.154"</f>
        <v>10.10.54.154</v>
      </c>
      <c r="G408" s="1" t="str">
        <f>"0227H091"</f>
        <v>0227H091</v>
      </c>
      <c r="H408" s="1" t="str">
        <f>"경희로SW 4R8L3"</f>
        <v>경희로SW 4R8L3</v>
      </c>
      <c r="I408" s="1" t="s">
        <v>8</v>
      </c>
      <c r="J408" s="1" t="str">
        <f>"40/40"</f>
        <v>40/40</v>
      </c>
      <c r="K408" s="1" t="str">
        <f>"2026-07-29 13:18:01"</f>
        <v>2026-07-29 13:18:01</v>
      </c>
      <c r="L408" s="1" t="str">
        <f>"2019-09-09 15:14:59"</f>
        <v>2019-09-09 15:14:59</v>
      </c>
      <c r="M408" s="1" t="s">
        <v>1</v>
      </c>
      <c r="N408" s="1" t="s">
        <v>38</v>
      </c>
      <c r="O408" s="1" t="s">
        <v>46</v>
      </c>
    </row>
    <row r="409" spans="2:15" x14ac:dyDescent="0.3">
      <c r="B409" s="1" t="s">
        <v>24</v>
      </c>
      <c r="C409" s="1" t="str">
        <f>"1차"</f>
        <v>1차</v>
      </c>
      <c r="D409" s="1" t="str">
        <f>"0227H16100"</f>
        <v>0227H16100</v>
      </c>
      <c r="E409" s="1" t="s">
        <v>10</v>
      </c>
      <c r="F409" s="1" t="str">
        <f>"10.89.245.74"</f>
        <v>10.89.245.74</v>
      </c>
      <c r="G409" s="1" t="str">
        <f>"0227H161"</f>
        <v>0227H161</v>
      </c>
      <c r="H409" s="1" t="str">
        <f>"연구간 18R2"</f>
        <v>연구간 18R2</v>
      </c>
      <c r="I409" s="1" t="s">
        <v>8</v>
      </c>
      <c r="J409" s="1" t="str">
        <f>"86/86"</f>
        <v>86/86</v>
      </c>
      <c r="K409" s="1" t="str">
        <f>"2026-07-29 13:18:01"</f>
        <v>2026-07-29 13:18:01</v>
      </c>
      <c r="L409" s="1" t="str">
        <f>"2014-07-25 16:27:22"</f>
        <v>2014-07-25 16:27:22</v>
      </c>
      <c r="M409" s="1" t="s">
        <v>45</v>
      </c>
      <c r="N409" s="1" t="s">
        <v>38</v>
      </c>
      <c r="O409" s="1" t="s">
        <v>46</v>
      </c>
    </row>
    <row r="410" spans="2:15" x14ac:dyDescent="0.3">
      <c r="B410" s="1" t="s">
        <v>24</v>
      </c>
      <c r="C410" s="1" t="str">
        <f>"1차"</f>
        <v>1차</v>
      </c>
      <c r="D410" s="1" t="str">
        <f>"0227H17600"</f>
        <v>0227H17600</v>
      </c>
      <c r="E410" s="1" t="s">
        <v>10</v>
      </c>
      <c r="F410" s="1" t="str">
        <f>"10.89.245.76"</f>
        <v>10.89.245.76</v>
      </c>
      <c r="G410" s="1" t="str">
        <f>"0227H176"</f>
        <v>0227H176</v>
      </c>
      <c r="H410" s="1" t="str">
        <f>"연구간 21"</f>
        <v>연구간 21</v>
      </c>
      <c r="I410" s="1" t="s">
        <v>8</v>
      </c>
      <c r="J410" s="1" t="str">
        <f>"15/15"</f>
        <v>15/15</v>
      </c>
      <c r="K410" s="1" t="str">
        <f>"2026-07-29 13:18:01"</f>
        <v>2026-07-29 13:18:01</v>
      </c>
      <c r="L410" s="1" t="str">
        <f>"2014-11-21 17:38:11"</f>
        <v>2014-11-21 17:38:11</v>
      </c>
      <c r="M410" s="1" t="s">
        <v>45</v>
      </c>
      <c r="N410" s="1" t="s">
        <v>38</v>
      </c>
      <c r="O410" s="1" t="s">
        <v>46</v>
      </c>
    </row>
    <row r="411" spans="2:15" x14ac:dyDescent="0.3">
      <c r="B411" s="1" t="s">
        <v>24</v>
      </c>
      <c r="C411" s="1" t="str">
        <f>"4차"</f>
        <v>4차</v>
      </c>
      <c r="D411" s="1" t="str">
        <f>"0227H18144"</f>
        <v>0227H18144</v>
      </c>
      <c r="E411" s="1" t="s">
        <v>10</v>
      </c>
      <c r="F411" s="1" t="str">
        <f>"10.10.41.170"</f>
        <v>10.10.41.170</v>
      </c>
      <c r="G411" s="1" t="str">
        <f>"0227H181"</f>
        <v>0227H181</v>
      </c>
      <c r="H411" s="1" t="str">
        <f>"경희로SW 2R5"</f>
        <v>경희로SW 2R5</v>
      </c>
      <c r="I411" s="1" t="s">
        <v>8</v>
      </c>
      <c r="J411" s="1" t="str">
        <f>"26/26"</f>
        <v>26/26</v>
      </c>
      <c r="K411" s="1" t="str">
        <f>"2026-07-29 13:18:01"</f>
        <v>2026-07-29 13:18:01</v>
      </c>
      <c r="L411" s="1" t="str">
        <f>"2019-09-09 14:28:13"</f>
        <v>2019-09-09 14:28:13</v>
      </c>
      <c r="M411" s="1" t="s">
        <v>1</v>
      </c>
      <c r="N411" s="1" t="s">
        <v>38</v>
      </c>
      <c r="O411" s="1" t="s">
        <v>46</v>
      </c>
    </row>
    <row r="412" spans="2:15" x14ac:dyDescent="0.3">
      <c r="B412" s="1" t="s">
        <v>24</v>
      </c>
      <c r="C412" s="1" t="str">
        <f>"5-2차"</f>
        <v>5-2차</v>
      </c>
      <c r="D412" s="1" t="str">
        <f>"0227H2215M"</f>
        <v>0227H2215M</v>
      </c>
      <c r="E412" s="1" t="s">
        <v>10</v>
      </c>
      <c r="F412" s="1" t="str">
        <f>"fde1:103:4:5848:0:0:0:2"</f>
        <v>fde1:103:4:5848:0:0:0:2</v>
      </c>
      <c r="G412" s="1" t="str">
        <f>"0227H221"</f>
        <v>0227H221</v>
      </c>
      <c r="H412" s="1" t="str">
        <f>"연구간 44R7"</f>
        <v>연구간 44R7</v>
      </c>
      <c r="I412" s="1" t="s">
        <v>15</v>
      </c>
      <c r="J412" s="1" t="str">
        <f>"73/73"</f>
        <v>73/73</v>
      </c>
      <c r="K412" s="1" t="str">
        <f>"2026-07-29 14:20:51"</f>
        <v>2026-07-29 14:20:51</v>
      </c>
      <c r="L412" s="1" t="str">
        <f>"2023-09-13 11:10:55"</f>
        <v>2023-09-13 11:10:55</v>
      </c>
      <c r="M412" s="1" t="s">
        <v>4</v>
      </c>
      <c r="N412" s="1" t="s">
        <v>38</v>
      </c>
      <c r="O412" s="1" t="s">
        <v>46</v>
      </c>
    </row>
    <row r="413" spans="2:15" x14ac:dyDescent="0.3">
      <c r="B413" s="1" t="s">
        <v>24</v>
      </c>
      <c r="C413" s="1" t="str">
        <f>"4차"</f>
        <v>4차</v>
      </c>
      <c r="D413" s="1" t="str">
        <f>"0227H23141"</f>
        <v>0227H23141</v>
      </c>
      <c r="E413" s="1" t="s">
        <v>10</v>
      </c>
      <c r="F413" s="1" t="str">
        <f>"10.14.1.113"</f>
        <v>10.14.1.113</v>
      </c>
      <c r="G413" s="1" t="str">
        <f>"0227H231"</f>
        <v>0227H231</v>
      </c>
      <c r="H413" s="1" t="str">
        <f>"연구간 44R8"</f>
        <v>연구간 44R8</v>
      </c>
      <c r="I413" s="1" t="s">
        <v>17</v>
      </c>
      <c r="J413" s="1" t="str">
        <f>"64/72"</f>
        <v>64/72</v>
      </c>
      <c r="K413" s="1" t="str">
        <f>"2026-07-29 13:18:03"</f>
        <v>2026-07-29 13:18:03</v>
      </c>
      <c r="L413" s="1" t="str">
        <f>"2021-10-18 14:16:47"</f>
        <v>2021-10-18 14:16:47</v>
      </c>
      <c r="M413" s="1" t="s">
        <v>3</v>
      </c>
      <c r="N413" s="1" t="s">
        <v>38</v>
      </c>
      <c r="O413" s="1" t="s">
        <v>46</v>
      </c>
    </row>
    <row r="414" spans="2:15" x14ac:dyDescent="0.3">
      <c r="B414" s="1" t="s">
        <v>24</v>
      </c>
      <c r="C414" s="1" t="str">
        <f>"4차"</f>
        <v>4차</v>
      </c>
      <c r="D414" s="1" t="str">
        <f>"0227H26244"</f>
        <v>0227H26244</v>
      </c>
      <c r="E414" s="1" t="s">
        <v>10</v>
      </c>
      <c r="F414" s="1" t="str">
        <f>"10.10.41.242"</f>
        <v>10.10.41.242</v>
      </c>
      <c r="G414" s="1" t="str">
        <f>"0227H262"</f>
        <v>0227H262</v>
      </c>
      <c r="H414" s="1" t="str">
        <f>"경희간 19"</f>
        <v>경희간 19</v>
      </c>
      <c r="I414" s="1" t="s">
        <v>8</v>
      </c>
      <c r="J414" s="1" t="str">
        <f>"6/6"</f>
        <v>6/6</v>
      </c>
      <c r="K414" s="1" t="str">
        <f>"2026-07-29 13:18:01"</f>
        <v>2026-07-29 13:18:01</v>
      </c>
      <c r="L414" s="1" t="str">
        <f>"2019-09-09 14:43:04"</f>
        <v>2019-09-09 14:43:04</v>
      </c>
      <c r="M414" s="1" t="s">
        <v>1</v>
      </c>
      <c r="N414" s="1" t="s">
        <v>38</v>
      </c>
      <c r="O414" s="1" t="s">
        <v>46</v>
      </c>
    </row>
    <row r="415" spans="2:15" x14ac:dyDescent="0.3">
      <c r="B415" s="1" t="s">
        <v>24</v>
      </c>
      <c r="C415" s="1" t="str">
        <f>"4차"</f>
        <v>4차</v>
      </c>
      <c r="D415" s="1" t="str">
        <f>"0227H27244"</f>
        <v>0227H27244</v>
      </c>
      <c r="E415" s="1" t="s">
        <v>10</v>
      </c>
      <c r="F415" s="1" t="str">
        <f>"10.10.41.162"</f>
        <v>10.10.41.162</v>
      </c>
      <c r="G415" s="1" t="str">
        <f>"0227H272"</f>
        <v>0227H272</v>
      </c>
      <c r="H415" s="1" t="str">
        <f>"경희간 21L3A2"</f>
        <v>경희간 21L3A2</v>
      </c>
      <c r="I415" s="1" t="s">
        <v>8</v>
      </c>
      <c r="J415" s="1" t="str">
        <f>"48/48"</f>
        <v>48/48</v>
      </c>
      <c r="K415" s="1" t="str">
        <f>"2026-07-29 13:18:01"</f>
        <v>2026-07-29 13:18:01</v>
      </c>
      <c r="L415" s="1" t="str">
        <f>"2019-09-09 14:26:43"</f>
        <v>2019-09-09 14:26:43</v>
      </c>
      <c r="M415" s="1" t="s">
        <v>1</v>
      </c>
      <c r="N415" s="1" t="s">
        <v>38</v>
      </c>
      <c r="O415" s="1" t="s">
        <v>46</v>
      </c>
    </row>
    <row r="416" spans="2:15" x14ac:dyDescent="0.3">
      <c r="B416" s="1" t="s">
        <v>24</v>
      </c>
      <c r="C416" s="1" t="str">
        <f>"4차"</f>
        <v>4차</v>
      </c>
      <c r="D416" s="1" t="str">
        <f>"0227H28139"</f>
        <v>0227H28139</v>
      </c>
      <c r="E416" s="1" t="s">
        <v>10</v>
      </c>
      <c r="F416" s="1" t="str">
        <f>"10.89.245.70"</f>
        <v>10.89.245.70</v>
      </c>
      <c r="G416" s="1" t="str">
        <f>"0227H281"</f>
        <v>0227H281</v>
      </c>
      <c r="H416" s="1" t="str">
        <f>"경희로SW 2R6"</f>
        <v>경희로SW 2R6</v>
      </c>
      <c r="I416" s="1" t="s">
        <v>8</v>
      </c>
      <c r="J416" s="1" t="str">
        <f>"31/31"</f>
        <v>31/31</v>
      </c>
      <c r="K416" s="1" t="str">
        <f>"2026-07-29 13:18:01"</f>
        <v>2026-07-29 13:18:01</v>
      </c>
      <c r="L416" s="1" t="str">
        <f>"2024-03-08 13:35:16"</f>
        <v>2024-03-08 13:35:16</v>
      </c>
      <c r="M416" s="1" t="s">
        <v>45</v>
      </c>
      <c r="N416" s="1" t="s">
        <v>38</v>
      </c>
      <c r="O416" s="1" t="s">
        <v>46</v>
      </c>
    </row>
    <row r="417" spans="2:15" x14ac:dyDescent="0.3">
      <c r="B417" s="1" t="s">
        <v>24</v>
      </c>
      <c r="C417" s="1" t="str">
        <f>"6차"</f>
        <v>6차</v>
      </c>
      <c r="D417" s="1" t="str">
        <f>"0227H2946S"</f>
        <v>0227H2946S</v>
      </c>
      <c r="E417" s="1" t="s">
        <v>10</v>
      </c>
      <c r="F417" s="1" t="str">
        <f>"fde1:103:4:c6a6:0:0:0:2"</f>
        <v>fde1:103:4:c6a6:0:0:0:2</v>
      </c>
      <c r="G417" s="1" t="str">
        <f>"0227H294"</f>
        <v>0227H294</v>
      </c>
      <c r="H417" s="1" t="str">
        <f>"경희로SW 2R2L2"</f>
        <v>경희로SW 2R2L2</v>
      </c>
      <c r="I417" s="1" t="s">
        <v>15</v>
      </c>
      <c r="J417" s="1" t="str">
        <f>"47/48"</f>
        <v>47/48</v>
      </c>
      <c r="K417" s="1" t="str">
        <f>"2026-07-29 14:20:29"</f>
        <v>2026-07-29 14:20:29</v>
      </c>
      <c r="L417" s="1" t="str">
        <f>"2024-11-05 14:45:09"</f>
        <v>2024-11-05 14:45:09</v>
      </c>
      <c r="M417" s="1" t="s">
        <v>4</v>
      </c>
      <c r="N417" s="1" t="s">
        <v>38</v>
      </c>
      <c r="O417" s="1" t="s">
        <v>46</v>
      </c>
    </row>
    <row r="418" spans="2:15" x14ac:dyDescent="0.3">
      <c r="B418" s="1" t="s">
        <v>24</v>
      </c>
      <c r="C418" s="1" t="str">
        <f>"4차"</f>
        <v>4차</v>
      </c>
      <c r="D418" s="1" t="str">
        <f>"0227H32139"</f>
        <v>0227H32139</v>
      </c>
      <c r="E418" s="1" t="s">
        <v>10</v>
      </c>
      <c r="F418" s="1" t="str">
        <f>"10.12.133.104"</f>
        <v>10.12.133.104</v>
      </c>
      <c r="G418" s="1" t="str">
        <f>"0227H321"</f>
        <v>0227H321</v>
      </c>
      <c r="H418" s="1" t="str">
        <f>"연구간 44R9R1"</f>
        <v>연구간 44R9R1</v>
      </c>
      <c r="I418" s="1" t="s">
        <v>17</v>
      </c>
      <c r="J418" s="1" t="str">
        <f>"85/85"</f>
        <v>85/85</v>
      </c>
      <c r="K418" s="1" t="str">
        <f>"2026-07-29 13:18:03"</f>
        <v>2026-07-29 13:18:03</v>
      </c>
      <c r="L418" s="1" t="str">
        <f>"2018-09-20 12:53:43"</f>
        <v>2018-09-20 12:53:43</v>
      </c>
      <c r="M418" s="1" t="s">
        <v>0</v>
      </c>
      <c r="N418" s="1" t="s">
        <v>38</v>
      </c>
      <c r="O418" s="1" t="s">
        <v>46</v>
      </c>
    </row>
    <row r="419" spans="2:15" x14ac:dyDescent="0.3">
      <c r="B419" s="1" t="s">
        <v>24</v>
      </c>
      <c r="C419" s="1" t="str">
        <f>"1차"</f>
        <v>1차</v>
      </c>
      <c r="D419" s="1" t="str">
        <f>"0227H35101"</f>
        <v>0227H35101</v>
      </c>
      <c r="E419" s="1" t="s">
        <v>10</v>
      </c>
      <c r="F419" s="1" t="str">
        <f>"10.12.130.12"</f>
        <v>10.12.130.12</v>
      </c>
      <c r="G419" s="1" t="str">
        <f>"0227H351"</f>
        <v>0227H351</v>
      </c>
      <c r="H419" s="1" t="str">
        <f>"연구간 25"</f>
        <v>연구간 25</v>
      </c>
      <c r="I419" s="1" t="s">
        <v>8</v>
      </c>
      <c r="J419" s="1" t="str">
        <f>"10/11"</f>
        <v>10/11</v>
      </c>
      <c r="K419" s="1" t="str">
        <f>"2026-07-29 13:18:02"</f>
        <v>2026-07-29 13:18:02</v>
      </c>
      <c r="L419" s="1" t="str">
        <f>"2014-11-27 15:23:43"</f>
        <v>2014-11-27 15:23:43</v>
      </c>
      <c r="M419" s="1" t="s">
        <v>0</v>
      </c>
      <c r="N419" s="1" t="s">
        <v>38</v>
      </c>
      <c r="O419" s="1" t="s">
        <v>46</v>
      </c>
    </row>
    <row r="420" spans="2:15" x14ac:dyDescent="0.3">
      <c r="B420" s="1" t="s">
        <v>24</v>
      </c>
      <c r="C420" s="1" t="str">
        <f>"6차"</f>
        <v>6차</v>
      </c>
      <c r="D420" s="1" t="str">
        <f>"0227H3616S"</f>
        <v>0227H3616S</v>
      </c>
      <c r="E420" s="1" t="s">
        <v>10</v>
      </c>
      <c r="F420" s="1" t="str">
        <f>"fde1:103:4:c6b9:0:0:0:2"</f>
        <v>fde1:103:4:c6b9:0:0:0:2</v>
      </c>
      <c r="G420" s="1" t="str">
        <f>"0227H361"</f>
        <v>0227H361</v>
      </c>
      <c r="H420" s="1" t="str">
        <f>"경희간 21L1"</f>
        <v>경희간 21L1</v>
      </c>
      <c r="I420" s="1" t="s">
        <v>15</v>
      </c>
      <c r="J420" s="1" t="str">
        <f>"48/49"</f>
        <v>48/49</v>
      </c>
      <c r="K420" s="1" t="str">
        <f>"2026-07-29 14:20:04"</f>
        <v>2026-07-29 14:20:04</v>
      </c>
      <c r="L420" s="1" t="str">
        <f>"2024-11-05 14:51:31"</f>
        <v>2024-11-05 14:51:31</v>
      </c>
      <c r="M420" s="1" t="s">
        <v>4</v>
      </c>
      <c r="N420" s="1" t="s">
        <v>38</v>
      </c>
      <c r="O420" s="1" t="s">
        <v>46</v>
      </c>
    </row>
    <row r="421" spans="2:15" x14ac:dyDescent="0.3">
      <c r="B421" s="1" t="s">
        <v>24</v>
      </c>
      <c r="C421" s="1" t="str">
        <f>"4차"</f>
        <v>4차</v>
      </c>
      <c r="D421" s="1" t="str">
        <f>"0227H44541"</f>
        <v>0227H44541</v>
      </c>
      <c r="E421" s="1" t="s">
        <v>10</v>
      </c>
      <c r="F421" s="1" t="str">
        <f>"10.14.2.110"</f>
        <v>10.14.2.110</v>
      </c>
      <c r="G421" s="1" t="str">
        <f>"0227H445"</f>
        <v>0227H445</v>
      </c>
      <c r="H421" s="1" t="str">
        <f>"연구간 30R1"</f>
        <v>연구간 30R1</v>
      </c>
      <c r="I421" s="1" t="s">
        <v>17</v>
      </c>
      <c r="J421" s="1" t="str">
        <f>"48/51"</f>
        <v>48/51</v>
      </c>
      <c r="K421" s="1" t="str">
        <f>"2026-07-29 13:18:02"</f>
        <v>2026-07-29 13:18:02</v>
      </c>
      <c r="L421" s="1" t="str">
        <f>"2021-10-18 12:18:03"</f>
        <v>2021-10-18 12:18:03</v>
      </c>
      <c r="M421" s="1" t="s">
        <v>3</v>
      </c>
      <c r="N421" s="1" t="s">
        <v>38</v>
      </c>
      <c r="O421" s="1" t="s">
        <v>46</v>
      </c>
    </row>
    <row r="422" spans="2:15" x14ac:dyDescent="0.3">
      <c r="B422" s="1" t="s">
        <v>24</v>
      </c>
      <c r="C422" s="1" t="str">
        <f>"1차"</f>
        <v>1차</v>
      </c>
      <c r="D422" s="1" t="str">
        <f>"0227H44800"</f>
        <v>0227H44800</v>
      </c>
      <c r="E422" s="1" t="s">
        <v>10</v>
      </c>
      <c r="F422" s="1" t="str">
        <f>"10.89.245.75"</f>
        <v>10.89.245.75</v>
      </c>
      <c r="G422" s="1" t="str">
        <f>"0227H448"</f>
        <v>0227H448</v>
      </c>
      <c r="H422" s="1" t="str">
        <f>"연구간 29R2"</f>
        <v>연구간 29R2</v>
      </c>
      <c r="I422" s="1" t="s">
        <v>8</v>
      </c>
      <c r="J422" s="1" t="str">
        <f>"48/59"</f>
        <v>48/59</v>
      </c>
      <c r="K422" s="1" t="str">
        <f>"2026-07-29 13:18:01"</f>
        <v>2026-07-29 13:18:01</v>
      </c>
      <c r="L422" s="1" t="str">
        <f>"2014-07-25 15:57:07"</f>
        <v>2014-07-25 15:57:07</v>
      </c>
      <c r="M422" s="1" t="s">
        <v>45</v>
      </c>
      <c r="N422" s="1" t="s">
        <v>38</v>
      </c>
      <c r="O422" s="1" t="s">
        <v>46</v>
      </c>
    </row>
    <row r="423" spans="2:15" x14ac:dyDescent="0.3">
      <c r="B423" s="1" t="s">
        <v>24</v>
      </c>
      <c r="C423" s="1" t="str">
        <f>"4차"</f>
        <v>4차</v>
      </c>
      <c r="D423" s="1" t="str">
        <f>"0227H46245"</f>
        <v>0227H46245</v>
      </c>
      <c r="E423" s="1" t="s">
        <v>10</v>
      </c>
      <c r="F423" s="1" t="str">
        <f>"10.14.4.2"</f>
        <v>10.14.4.2</v>
      </c>
      <c r="G423" s="1" t="str">
        <f>"0227H462"</f>
        <v>0227H462</v>
      </c>
      <c r="H423" s="1" t="str">
        <f>"경희간 22T1"</f>
        <v>경희간 22T1</v>
      </c>
      <c r="I423" s="1" t="s">
        <v>17</v>
      </c>
      <c r="J423" s="1" t="str">
        <f>"96/109"</f>
        <v>96/109</v>
      </c>
      <c r="K423" s="1" t="str">
        <f>"2026-07-29 13:18:03"</f>
        <v>2026-07-29 13:18:03</v>
      </c>
      <c r="L423" s="1" t="str">
        <f>"2021-06-29 08:58:44"</f>
        <v>2021-06-29 08:58:44</v>
      </c>
      <c r="M423" s="1" t="s">
        <v>3</v>
      </c>
      <c r="N423" s="1" t="s">
        <v>38</v>
      </c>
      <c r="O423" s="1" t="s">
        <v>46</v>
      </c>
    </row>
    <row r="424" spans="2:15" x14ac:dyDescent="0.3">
      <c r="B424" s="1" t="s">
        <v>24</v>
      </c>
      <c r="C424" s="1" t="str">
        <f>"4차"</f>
        <v>4차</v>
      </c>
      <c r="D424" s="1" t="str">
        <f>"0227H46542"</f>
        <v>0227H46542</v>
      </c>
      <c r="E424" s="1" t="s">
        <v>10</v>
      </c>
      <c r="F424" s="1" t="str">
        <f>"10.89.245.7"</f>
        <v>10.89.245.7</v>
      </c>
      <c r="G424" s="1" t="str">
        <f>"0227H465"</f>
        <v>0227H465</v>
      </c>
      <c r="H424" s="1" t="str">
        <f>"경희간 21L2"</f>
        <v>경희간 21L2</v>
      </c>
      <c r="I424" s="1" t="s">
        <v>8</v>
      </c>
      <c r="J424" s="1" t="str">
        <f>"54/55"</f>
        <v>54/55</v>
      </c>
      <c r="K424" s="1" t="str">
        <f>"2026-07-29 13:18:01"</f>
        <v>2026-07-29 13:18:01</v>
      </c>
      <c r="L424" s="1" t="str">
        <f>"2025-09-12 18:02:54"</f>
        <v>2025-09-12 18:02:54</v>
      </c>
      <c r="M424" s="1" t="s">
        <v>45</v>
      </c>
      <c r="N424" s="1" t="s">
        <v>38</v>
      </c>
      <c r="O424" s="1" t="s">
        <v>46</v>
      </c>
    </row>
    <row r="425" spans="2:15" x14ac:dyDescent="0.3">
      <c r="B425" s="1" t="s">
        <v>24</v>
      </c>
      <c r="C425" s="1" t="str">
        <f>"4차"</f>
        <v>4차</v>
      </c>
      <c r="D425" s="1" t="str">
        <f>"0227H47144"</f>
        <v>0227H47144</v>
      </c>
      <c r="E425" s="1" t="s">
        <v>10</v>
      </c>
      <c r="F425" s="1" t="str">
        <f>"10.10.42.10"</f>
        <v>10.10.42.10</v>
      </c>
      <c r="G425" s="1" t="str">
        <f>"0227H471"</f>
        <v>0227H471</v>
      </c>
      <c r="H425" s="1" t="str">
        <f>"경희간 21L4"</f>
        <v>경희간 21L4</v>
      </c>
      <c r="I425" s="1" t="s">
        <v>8</v>
      </c>
      <c r="J425" s="1" t="str">
        <f>"36/36"</f>
        <v>36/36</v>
      </c>
      <c r="K425" s="1" t="str">
        <f>"2026-07-29 13:18:01"</f>
        <v>2026-07-29 13:18:01</v>
      </c>
      <c r="L425" s="1" t="str">
        <f>"2019-09-09 16:03:14"</f>
        <v>2019-09-09 16:03:14</v>
      </c>
      <c r="M425" s="1" t="s">
        <v>1</v>
      </c>
      <c r="N425" s="1" t="s">
        <v>38</v>
      </c>
      <c r="O425" s="1" t="s">
        <v>46</v>
      </c>
    </row>
    <row r="426" spans="2:15" x14ac:dyDescent="0.3">
      <c r="B426" s="1" t="s">
        <v>24</v>
      </c>
      <c r="C426" s="1" t="str">
        <f>"1차"</f>
        <v>1차</v>
      </c>
      <c r="D426" s="1" t="str">
        <f>"0227H47301"</f>
        <v>0227H47301</v>
      </c>
      <c r="E426" s="1" t="s">
        <v>10</v>
      </c>
      <c r="F426" s="1" t="str">
        <f>"10.12.128.131"</f>
        <v>10.12.128.131</v>
      </c>
      <c r="G426" s="1" t="str">
        <f>"0227H473"</f>
        <v>0227H473</v>
      </c>
      <c r="H426" s="1" t="str">
        <f>"외대간 9L2L2R3"</f>
        <v>외대간 9L2L2R3</v>
      </c>
      <c r="I426" s="1" t="s">
        <v>8</v>
      </c>
      <c r="J426" s="1" t="str">
        <f>"20/20"</f>
        <v>20/20</v>
      </c>
      <c r="K426" s="1" t="str">
        <f>"2026-07-29 13:18:04"</f>
        <v>2026-07-29 13:18:04</v>
      </c>
      <c r="L426" s="1" t="str">
        <f>"2014-11-27 15:27:56"</f>
        <v>2014-11-27 15:27:56</v>
      </c>
      <c r="M426" s="1" t="s">
        <v>0</v>
      </c>
      <c r="N426" s="1" t="s">
        <v>38</v>
      </c>
      <c r="O426" s="1" t="s">
        <v>46</v>
      </c>
    </row>
    <row r="427" spans="2:15" x14ac:dyDescent="0.3">
      <c r="B427" s="1" t="s">
        <v>24</v>
      </c>
      <c r="C427" s="1" t="str">
        <f>"4차"</f>
        <v>4차</v>
      </c>
      <c r="D427" s="1" t="str">
        <f>"0227H48144"</f>
        <v>0227H48144</v>
      </c>
      <c r="E427" s="1" t="s">
        <v>10</v>
      </c>
      <c r="F427" s="1" t="str">
        <f>"10.10.42.18"</f>
        <v>10.10.42.18</v>
      </c>
      <c r="G427" s="1" t="str">
        <f>"0227H481"</f>
        <v>0227H481</v>
      </c>
      <c r="H427" s="1" t="str">
        <f>"경희간 21L5"</f>
        <v>경희간 21L5</v>
      </c>
      <c r="I427" s="1" t="s">
        <v>8</v>
      </c>
      <c r="J427" s="1" t="str">
        <f>"13/13"</f>
        <v>13/13</v>
      </c>
      <c r="K427" s="1" t="str">
        <f>"2026-07-29 13:18:01"</f>
        <v>2026-07-29 13:18:01</v>
      </c>
      <c r="L427" s="1" t="str">
        <f>"2019-10-14 17:20:20"</f>
        <v>2019-10-14 17:20:20</v>
      </c>
      <c r="M427" s="1" t="s">
        <v>1</v>
      </c>
      <c r="N427" s="1" t="s">
        <v>38</v>
      </c>
      <c r="O427" s="1" t="s">
        <v>46</v>
      </c>
    </row>
    <row r="428" spans="2:15" x14ac:dyDescent="0.3">
      <c r="B428" s="1" t="s">
        <v>24</v>
      </c>
      <c r="C428" s="1" t="str">
        <f>"4차"</f>
        <v>4차</v>
      </c>
      <c r="D428" s="1" t="str">
        <f>"0227H49144"</f>
        <v>0227H49144</v>
      </c>
      <c r="E428" s="1" t="s">
        <v>10</v>
      </c>
      <c r="F428" s="1" t="str">
        <f>"10.10.42.26"</f>
        <v>10.10.42.26</v>
      </c>
      <c r="G428" s="1" t="str">
        <f>"0227H491"</f>
        <v>0227H491</v>
      </c>
      <c r="H428" s="1" t="str">
        <f>"경희간 21L6"</f>
        <v>경희간 21L6</v>
      </c>
      <c r="I428" s="1" t="s">
        <v>8</v>
      </c>
      <c r="J428" s="1" t="str">
        <f>"43/48"</f>
        <v>43/48</v>
      </c>
      <c r="K428" s="1" t="str">
        <f>"2026-07-29 13:18:01"</f>
        <v>2026-07-29 13:18:01</v>
      </c>
      <c r="L428" s="1" t="str">
        <f>"2019-09-09 15:03:04"</f>
        <v>2019-09-09 15:03:04</v>
      </c>
      <c r="M428" s="1" t="s">
        <v>1</v>
      </c>
      <c r="N428" s="1" t="s">
        <v>38</v>
      </c>
      <c r="O428" s="1" t="s">
        <v>46</v>
      </c>
    </row>
    <row r="429" spans="2:15" x14ac:dyDescent="0.3">
      <c r="B429" s="1" t="s">
        <v>24</v>
      </c>
      <c r="C429" s="1" t="str">
        <f>"5-2차"</f>
        <v>5-2차</v>
      </c>
      <c r="D429" s="1" t="str">
        <f>"0227H5125M"</f>
        <v>0227H5125M</v>
      </c>
      <c r="E429" s="1" t="s">
        <v>10</v>
      </c>
      <c r="F429" s="1" t="str">
        <f>"fde3:102:1430:1300:0:0:0:6"</f>
        <v>fde3:102:1430:1300:0:0:0:6</v>
      </c>
      <c r="G429" s="1" t="str">
        <f>"0227H512"</f>
        <v>0227H512</v>
      </c>
      <c r="H429" s="1" t="str">
        <f>"회기간 60"</f>
        <v>회기간 60</v>
      </c>
      <c r="I429" s="1" t="s">
        <v>15</v>
      </c>
      <c r="J429" s="1" t="str">
        <f>"22/22"</f>
        <v>22/22</v>
      </c>
      <c r="K429" s="1" t="str">
        <f>"2026-07-29 14:20:31"</f>
        <v>2026-07-29 14:20:31</v>
      </c>
      <c r="L429" s="1" t="str">
        <f>"2023-09-19 15:43:01"</f>
        <v>2023-09-19 15:43:01</v>
      </c>
      <c r="M429" s="1" t="s">
        <v>45</v>
      </c>
      <c r="N429" s="1" t="s">
        <v>38</v>
      </c>
      <c r="O429" s="1" t="s">
        <v>46</v>
      </c>
    </row>
    <row r="430" spans="2:15" x14ac:dyDescent="0.3">
      <c r="B430" s="1" t="s">
        <v>24</v>
      </c>
      <c r="C430" s="1" t="str">
        <f>"4차"</f>
        <v>4차</v>
      </c>
      <c r="D430" s="1" t="str">
        <f>"0227H52441"</f>
        <v>0227H52441</v>
      </c>
      <c r="E430" s="1" t="s">
        <v>10</v>
      </c>
      <c r="F430" s="1" t="str">
        <f>"10.14.8.48"</f>
        <v>10.14.8.48</v>
      </c>
      <c r="G430" s="1" t="str">
        <f>"0227H524"</f>
        <v>0227H524</v>
      </c>
      <c r="H430" s="1" t="str">
        <f>"회기간 61"</f>
        <v>회기간 61</v>
      </c>
      <c r="I430" s="1" t="s">
        <v>17</v>
      </c>
      <c r="J430" s="1" t="str">
        <f>"13/13"</f>
        <v>13/13</v>
      </c>
      <c r="K430" s="1" t="str">
        <f>"2026-07-29 13:18:02"</f>
        <v>2026-07-29 13:18:02</v>
      </c>
      <c r="L430" s="1" t="str">
        <f>"2021-10-18 14:43:20"</f>
        <v>2021-10-18 14:43:20</v>
      </c>
      <c r="M430" s="1" t="s">
        <v>3</v>
      </c>
      <c r="N430" s="1" t="s">
        <v>38</v>
      </c>
      <c r="O430" s="1" t="s">
        <v>46</v>
      </c>
    </row>
    <row r="431" spans="2:15" x14ac:dyDescent="0.3">
      <c r="B431" s="1" t="s">
        <v>24</v>
      </c>
      <c r="C431" s="1" t="str">
        <f>"4차"</f>
        <v>4차</v>
      </c>
      <c r="D431" s="1" t="str">
        <f>"0227H52641"</f>
        <v>0227H52641</v>
      </c>
      <c r="E431" s="1" t="s">
        <v>10</v>
      </c>
      <c r="F431" s="1" t="str">
        <f>"10.14.11.177"</f>
        <v>10.14.11.177</v>
      </c>
      <c r="G431" s="1" t="str">
        <f>"0227H526"</f>
        <v>0227H526</v>
      </c>
      <c r="H431" s="1" t="str">
        <f>"연구간 37"</f>
        <v>연구간 37</v>
      </c>
      <c r="I431" s="1" t="s">
        <v>17</v>
      </c>
      <c r="J431" s="1" t="str">
        <f>"18/18"</f>
        <v>18/18</v>
      </c>
      <c r="K431" s="1" t="str">
        <f>"2026-07-29 13:18:03"</f>
        <v>2026-07-29 13:18:03</v>
      </c>
      <c r="L431" s="1" t="str">
        <f>"2021-10-18 13:34:35"</f>
        <v>2021-10-18 13:34:35</v>
      </c>
      <c r="M431" s="1" t="s">
        <v>3</v>
      </c>
      <c r="N431" s="1" t="s">
        <v>38</v>
      </c>
      <c r="O431" s="1" t="s">
        <v>46</v>
      </c>
    </row>
    <row r="432" spans="2:15" x14ac:dyDescent="0.3">
      <c r="B432" s="1" t="s">
        <v>24</v>
      </c>
      <c r="C432" s="1" t="str">
        <f>"5-1차"</f>
        <v>5-1차</v>
      </c>
      <c r="D432" s="1" t="str">
        <f>"0227H5345M"</f>
        <v>0227H5345M</v>
      </c>
      <c r="E432" s="1" t="s">
        <v>10</v>
      </c>
      <c r="F432" s="1" t="str">
        <f>"fde3:102:1430:1100:0:0:0:4"</f>
        <v>fde3:102:1430:1100:0:0:0:4</v>
      </c>
      <c r="G432" s="1" t="str">
        <f>"0227H534"</f>
        <v>0227H534</v>
      </c>
      <c r="H432" s="1" t="str">
        <f>"연구간 32R1"</f>
        <v>연구간 32R1</v>
      </c>
      <c r="I432" s="1" t="s">
        <v>15</v>
      </c>
      <c r="J432" s="1" t="str">
        <f>"13/13"</f>
        <v>13/13</v>
      </c>
      <c r="K432" s="1" t="str">
        <f>"2026-07-29 14:20:52"</f>
        <v>2026-07-29 14:20:52</v>
      </c>
      <c r="L432" s="1" t="str">
        <f>"2022-11-21 13:49:49"</f>
        <v>2022-11-21 13:49:49</v>
      </c>
      <c r="M432" s="1" t="s">
        <v>45</v>
      </c>
      <c r="N432" s="1" t="s">
        <v>38</v>
      </c>
      <c r="O432" s="1" t="s">
        <v>46</v>
      </c>
    </row>
    <row r="433" spans="2:15" x14ac:dyDescent="0.3">
      <c r="B433" s="1" t="s">
        <v>24</v>
      </c>
      <c r="C433" s="1" t="str">
        <f>"4차"</f>
        <v>4차</v>
      </c>
      <c r="D433" s="1" t="str">
        <f>"0227H55345"</f>
        <v>0227H55345</v>
      </c>
      <c r="E433" s="1" t="s">
        <v>10</v>
      </c>
      <c r="F433" s="1" t="str">
        <f>"10.14.2.25"</f>
        <v>10.14.2.25</v>
      </c>
      <c r="G433" s="1" t="str">
        <f>"0227H553"</f>
        <v>0227H553</v>
      </c>
      <c r="H433" s="1" t="str">
        <f>"외대간 9L2L3T1"</f>
        <v>외대간 9L2L3T1</v>
      </c>
      <c r="I433" s="1" t="s">
        <v>17</v>
      </c>
      <c r="J433" s="1" t="str">
        <f>"4/4"</f>
        <v>4/4</v>
      </c>
      <c r="K433" s="1" t="str">
        <f>"2026-07-29 13:18:04"</f>
        <v>2026-07-29 13:18:04</v>
      </c>
      <c r="L433" s="1" t="str">
        <f>"2021-06-29 08:39:19"</f>
        <v>2021-06-29 08:39:19</v>
      </c>
      <c r="M433" s="1" t="s">
        <v>3</v>
      </c>
      <c r="N433" s="1" t="s">
        <v>38</v>
      </c>
      <c r="O433" s="1" t="s">
        <v>46</v>
      </c>
    </row>
    <row r="434" spans="2:15" x14ac:dyDescent="0.3">
      <c r="B434" s="1" t="s">
        <v>24</v>
      </c>
      <c r="C434" s="1" t="str">
        <f>"1차"</f>
        <v>1차</v>
      </c>
      <c r="D434" s="1" t="str">
        <f>"0227H59201"</f>
        <v>0227H59201</v>
      </c>
      <c r="E434" s="1" t="s">
        <v>10</v>
      </c>
      <c r="F434" s="1" t="str">
        <f>"10.12.132.79"</f>
        <v>10.12.132.79</v>
      </c>
      <c r="G434" s="1" t="str">
        <f>"0227H592"</f>
        <v>0227H592</v>
      </c>
      <c r="H434" s="1" t="str">
        <f>"외대간 9L10"</f>
        <v>외대간 9L10</v>
      </c>
      <c r="I434" s="1" t="s">
        <v>8</v>
      </c>
      <c r="J434" s="1" t="str">
        <f>"11/11"</f>
        <v>11/11</v>
      </c>
      <c r="K434" s="1" t="str">
        <f>"2026-07-29 13:18:04"</f>
        <v>2026-07-29 13:18:04</v>
      </c>
      <c r="L434" s="1" t="str">
        <f>"2014-12-01 16:39:59"</f>
        <v>2014-12-01 16:39:59</v>
      </c>
      <c r="M434" s="1" t="s">
        <v>0</v>
      </c>
      <c r="N434" s="1" t="s">
        <v>38</v>
      </c>
      <c r="O434" s="1" t="s">
        <v>46</v>
      </c>
    </row>
    <row r="435" spans="2:15" x14ac:dyDescent="0.3">
      <c r="B435" s="1" t="s">
        <v>24</v>
      </c>
      <c r="C435" s="1" t="str">
        <f>"4차"</f>
        <v>4차</v>
      </c>
      <c r="D435" s="1" t="str">
        <f>"0227H63345"</f>
        <v>0227H63345</v>
      </c>
      <c r="E435" s="1" t="s">
        <v>10</v>
      </c>
      <c r="F435" s="1" t="str">
        <f>"10.14.8.27"</f>
        <v>10.14.8.27</v>
      </c>
      <c r="G435" s="1" t="str">
        <f>"0227H633"</f>
        <v>0227H633</v>
      </c>
      <c r="H435" s="1" t="str">
        <f>"청용간 5T1"</f>
        <v>청용간 5T1</v>
      </c>
      <c r="I435" s="1" t="s">
        <v>17</v>
      </c>
      <c r="J435" s="1" t="str">
        <f>"65/65"</f>
        <v>65/65</v>
      </c>
      <c r="K435" s="1" t="str">
        <f>"2026-07-29 13:18:03"</f>
        <v>2026-07-29 13:18:03</v>
      </c>
      <c r="L435" s="1" t="str">
        <f>"2021-06-29 09:21:30"</f>
        <v>2021-06-29 09:21:30</v>
      </c>
      <c r="M435" s="1" t="s">
        <v>3</v>
      </c>
      <c r="N435" s="1" t="s">
        <v>38</v>
      </c>
      <c r="O435" s="1" t="s">
        <v>46</v>
      </c>
    </row>
    <row r="436" spans="2:15" x14ac:dyDescent="0.3">
      <c r="B436" s="1" t="s">
        <v>24</v>
      </c>
      <c r="C436" s="1" t="str">
        <f>"3차"</f>
        <v>3차</v>
      </c>
      <c r="D436" s="1" t="str">
        <f>"0227H64439"</f>
        <v>0227H64439</v>
      </c>
      <c r="E436" s="1" t="s">
        <v>10</v>
      </c>
      <c r="F436" s="1" t="str">
        <f>"10.12.129.24"</f>
        <v>10.12.129.24</v>
      </c>
      <c r="G436" s="1" t="str">
        <f>"0227H644"</f>
        <v>0227H644</v>
      </c>
      <c r="H436" s="1" t="str">
        <f>"외대간 2"</f>
        <v>외대간 2</v>
      </c>
      <c r="I436" s="1" t="s">
        <v>8</v>
      </c>
      <c r="J436" s="1" t="str">
        <f>"19/22"</f>
        <v>19/22</v>
      </c>
      <c r="K436" s="1" t="str">
        <f>"2026-07-29 13:18:02"</f>
        <v>2026-07-29 13:18:02</v>
      </c>
      <c r="L436" s="1" t="str">
        <f>"2018-04-19 08:32:24"</f>
        <v>2018-04-19 08:32:24</v>
      </c>
      <c r="M436" s="1" t="s">
        <v>0</v>
      </c>
      <c r="N436" s="1" t="s">
        <v>38</v>
      </c>
      <c r="O436" s="1" t="s">
        <v>46</v>
      </c>
    </row>
    <row r="437" spans="2:15" x14ac:dyDescent="0.3">
      <c r="B437" s="1" t="s">
        <v>24</v>
      </c>
      <c r="C437" s="1" t="str">
        <f>"4차"</f>
        <v>4차</v>
      </c>
      <c r="D437" s="1" t="str">
        <f>"0227H66242"</f>
        <v>0227H66242</v>
      </c>
      <c r="E437" s="1" t="s">
        <v>10</v>
      </c>
      <c r="F437" s="1" t="str">
        <f>"10.12.134.20"</f>
        <v>10.12.134.20</v>
      </c>
      <c r="G437" s="1" t="str">
        <f>"0227H662"</f>
        <v>0227H662</v>
      </c>
      <c r="H437" s="1" t="str">
        <f>"외대간 9L2L1"</f>
        <v>외대간 9L2L1</v>
      </c>
      <c r="I437" s="1" t="s">
        <v>8</v>
      </c>
      <c r="J437" s="1" t="str">
        <f>"57/58"</f>
        <v>57/58</v>
      </c>
      <c r="K437" s="1" t="str">
        <f>"2026-07-29 13:18:01"</f>
        <v>2026-07-29 13:18:01</v>
      </c>
      <c r="L437" s="1" t="str">
        <f>"2025-01-17 18:07:07"</f>
        <v>2025-01-17 18:07:07</v>
      </c>
      <c r="M437" s="1" t="s">
        <v>0</v>
      </c>
      <c r="N437" s="1" t="s">
        <v>38</v>
      </c>
      <c r="O437" s="1" t="s">
        <v>46</v>
      </c>
    </row>
    <row r="438" spans="2:15" x14ac:dyDescent="0.3">
      <c r="B438" s="1" t="s">
        <v>24</v>
      </c>
      <c r="C438" s="1" t="str">
        <f>"1차"</f>
        <v>1차</v>
      </c>
      <c r="D438" s="1" t="str">
        <f>"0227H67101"</f>
        <v>0227H67101</v>
      </c>
      <c r="E438" s="1" t="s">
        <v>10</v>
      </c>
      <c r="F438" s="1" t="str">
        <f>"10.12.134.99"</f>
        <v>10.12.134.99</v>
      </c>
      <c r="G438" s="1" t="str">
        <f>"0227H671"</f>
        <v>0227H671</v>
      </c>
      <c r="H438" s="1" t="str">
        <f>"외대간 9L4"</f>
        <v>외대간 9L4</v>
      </c>
      <c r="I438" s="1" t="s">
        <v>8</v>
      </c>
      <c r="J438" s="1" t="str">
        <f>"12/24"</f>
        <v>12/24</v>
      </c>
      <c r="K438" s="1" t="str">
        <f>"2026-07-29 13:18:01"</f>
        <v>2026-07-29 13:18:01</v>
      </c>
      <c r="L438" s="1" t="str">
        <f>"2014-12-03 17:56:58"</f>
        <v>2014-12-03 17:56:58</v>
      </c>
      <c r="M438" s="1" t="s">
        <v>0</v>
      </c>
      <c r="N438" s="1" t="s">
        <v>38</v>
      </c>
      <c r="O438" s="1" t="s">
        <v>46</v>
      </c>
    </row>
    <row r="439" spans="2:15" x14ac:dyDescent="0.3">
      <c r="B439" s="1" t="s">
        <v>24</v>
      </c>
      <c r="C439" s="1" t="str">
        <f>"4차"</f>
        <v>4차</v>
      </c>
      <c r="D439" s="1" t="str">
        <f>"0227H69144"</f>
        <v>0227H69144</v>
      </c>
      <c r="E439" s="1" t="s">
        <v>10</v>
      </c>
      <c r="F439" s="1" t="str">
        <f>"10.10.52.82"</f>
        <v>10.10.52.82</v>
      </c>
      <c r="G439" s="1" t="str">
        <f>"0227H691"</f>
        <v>0227H691</v>
      </c>
      <c r="H439" s="1" t="str">
        <f>"외대간 9L12"</f>
        <v>외대간 9L12</v>
      </c>
      <c r="I439" s="1" t="s">
        <v>8</v>
      </c>
      <c r="J439" s="1" t="str">
        <f>"64/64"</f>
        <v>64/64</v>
      </c>
      <c r="K439" s="1" t="str">
        <f>"2026-07-29 13:18:01"</f>
        <v>2026-07-29 13:18:01</v>
      </c>
      <c r="L439" s="1" t="str">
        <f>"2019-12-17 15:39:34"</f>
        <v>2019-12-17 15:39:34</v>
      </c>
      <c r="M439" s="1" t="s">
        <v>1</v>
      </c>
      <c r="N439" s="1" t="s">
        <v>38</v>
      </c>
      <c r="O439" s="1" t="s">
        <v>46</v>
      </c>
    </row>
    <row r="440" spans="2:15" x14ac:dyDescent="0.3">
      <c r="B440" s="1" t="s">
        <v>24</v>
      </c>
      <c r="C440" s="1" t="str">
        <f>"4차"</f>
        <v>4차</v>
      </c>
      <c r="D440" s="1" t="str">
        <f>"0227H76141"</f>
        <v>0227H76141</v>
      </c>
      <c r="E440" s="1" t="s">
        <v>10</v>
      </c>
      <c r="F440" s="1" t="str">
        <f>"10.14.9.46"</f>
        <v>10.14.9.46</v>
      </c>
      <c r="G440" s="1" t="str">
        <f>"0227H761"</f>
        <v>0227H761</v>
      </c>
      <c r="H440" s="1" t="str">
        <f>"외대간 9L2"</f>
        <v>외대간 9L2</v>
      </c>
      <c r="I440" s="1" t="s">
        <v>17</v>
      </c>
      <c r="J440" s="1" t="str">
        <f>"20/20"</f>
        <v>20/20</v>
      </c>
      <c r="K440" s="1" t="str">
        <f>"2026-07-29 13:18:02"</f>
        <v>2026-07-29 13:18:02</v>
      </c>
      <c r="L440" s="1" t="str">
        <f>"2021-11-24 13:58:47"</f>
        <v>2021-11-24 13:58:47</v>
      </c>
      <c r="M440" s="1" t="s">
        <v>3</v>
      </c>
      <c r="N440" s="1" t="s">
        <v>38</v>
      </c>
      <c r="O440" s="1" t="s">
        <v>46</v>
      </c>
    </row>
    <row r="441" spans="2:15" x14ac:dyDescent="0.3">
      <c r="B441" s="1" t="s">
        <v>24</v>
      </c>
      <c r="C441" s="1" t="str">
        <f>"4차"</f>
        <v>4차</v>
      </c>
      <c r="D441" s="1" t="str">
        <f>"0227H79241"</f>
        <v>0227H79241</v>
      </c>
      <c r="E441" s="1" t="s">
        <v>10</v>
      </c>
      <c r="F441" s="1" t="str">
        <f>"10.14.3.110"</f>
        <v>10.14.3.110</v>
      </c>
      <c r="G441" s="1" t="str">
        <f>"0227H792"</f>
        <v>0227H792</v>
      </c>
      <c r="H441" s="1" t="str">
        <f>"외대간 17L5L4"</f>
        <v>외대간 17L5L4</v>
      </c>
      <c r="I441" s="1" t="s">
        <v>17</v>
      </c>
      <c r="J441" s="1" t="str">
        <f>"40/44"</f>
        <v>40/44</v>
      </c>
      <c r="K441" s="1" t="str">
        <f>"2026-07-29 13:18:02"</f>
        <v>2026-07-29 13:18:02</v>
      </c>
      <c r="L441" s="1" t="str">
        <f>"2021-10-18 10:49:09"</f>
        <v>2021-10-18 10:49:09</v>
      </c>
      <c r="M441" s="1" t="s">
        <v>3</v>
      </c>
      <c r="N441" s="1" t="s">
        <v>38</v>
      </c>
      <c r="O441" s="1" t="s">
        <v>46</v>
      </c>
    </row>
    <row r="442" spans="2:15" x14ac:dyDescent="0.3">
      <c r="B442" s="1" t="s">
        <v>24</v>
      </c>
      <c r="C442" s="1" t="str">
        <f>"4차"</f>
        <v>4차</v>
      </c>
      <c r="D442" s="1" t="str">
        <f>"0227H86239"</f>
        <v>0227H86239</v>
      </c>
      <c r="E442" s="1" t="s">
        <v>10</v>
      </c>
      <c r="F442" s="1" t="str">
        <f>"10.12.130.29"</f>
        <v>10.12.130.29</v>
      </c>
      <c r="G442" s="1" t="str">
        <f>"0227H862"</f>
        <v>0227H862</v>
      </c>
      <c r="H442" s="1" t="str">
        <f>"청용간 14"</f>
        <v>청용간 14</v>
      </c>
      <c r="I442" s="1" t="s">
        <v>17</v>
      </c>
      <c r="J442" s="1" t="str">
        <f>"7/7"</f>
        <v>7/7</v>
      </c>
      <c r="K442" s="1" t="str">
        <f>"2026-07-29 13:18:02"</f>
        <v>2026-07-29 13:18:02</v>
      </c>
      <c r="L442" s="1" t="str">
        <f>"2020-11-17 09:39:12"</f>
        <v>2020-11-17 09:39:12</v>
      </c>
      <c r="M442" s="1" t="s">
        <v>0</v>
      </c>
      <c r="N442" s="1" t="s">
        <v>38</v>
      </c>
      <c r="O442" s="1" t="s">
        <v>46</v>
      </c>
    </row>
    <row r="443" spans="2:15" x14ac:dyDescent="0.3">
      <c r="B443" s="1" t="s">
        <v>24</v>
      </c>
      <c r="C443" s="1" t="str">
        <f>"4차"</f>
        <v>4차</v>
      </c>
      <c r="D443" s="1" t="str">
        <f>"0227H86344"</f>
        <v>0227H86344</v>
      </c>
      <c r="E443" s="1" t="s">
        <v>10</v>
      </c>
      <c r="F443" s="1" t="str">
        <f>"10.10.52.90"</f>
        <v>10.10.52.90</v>
      </c>
      <c r="G443" s="1" t="str">
        <f>"0227H863"</f>
        <v>0227H863</v>
      </c>
      <c r="H443" s="1" t="str">
        <f>"외대간 9"</f>
        <v>외대간 9</v>
      </c>
      <c r="I443" s="1" t="s">
        <v>8</v>
      </c>
      <c r="J443" s="1" t="str">
        <f>"49/49"</f>
        <v>49/49</v>
      </c>
      <c r="K443" s="1" t="str">
        <f>"2026-07-29 13:18:01"</f>
        <v>2026-07-29 13:18:01</v>
      </c>
      <c r="L443" s="1" t="str">
        <f>"2019-11-11 19:52:43"</f>
        <v>2019-11-11 19:52:43</v>
      </c>
      <c r="M443" s="1" t="s">
        <v>1</v>
      </c>
      <c r="N443" s="1" t="s">
        <v>38</v>
      </c>
      <c r="O443" s="1" t="s">
        <v>46</v>
      </c>
    </row>
    <row r="444" spans="2:15" x14ac:dyDescent="0.3">
      <c r="B444" s="1" t="s">
        <v>24</v>
      </c>
      <c r="C444" s="1" t="str">
        <f>"5-2차"</f>
        <v>5-2차</v>
      </c>
      <c r="D444" s="1" t="str">
        <f>"0227H9515M"</f>
        <v>0227H9515M</v>
      </c>
      <c r="E444" s="1" t="s">
        <v>10</v>
      </c>
      <c r="F444" s="1" t="str">
        <f>"fde3:102:1430:1300:0:0:0:2"</f>
        <v>fde3:102:1430:1300:0:0:0:2</v>
      </c>
      <c r="G444" s="1" t="str">
        <f>"0227H951"</f>
        <v>0227H951</v>
      </c>
      <c r="H444" s="1" t="str">
        <f>"회기간 72L2L2"</f>
        <v>회기간 72L2L2</v>
      </c>
      <c r="I444" s="1" t="s">
        <v>15</v>
      </c>
      <c r="J444" s="1" t="str">
        <f>"58/58"</f>
        <v>58/58</v>
      </c>
      <c r="K444" s="1" t="str">
        <f>"2026-07-29 14:20:04"</f>
        <v>2026-07-29 14:20:04</v>
      </c>
      <c r="L444" s="1" t="str">
        <f>"2023-09-05 12:57:12"</f>
        <v>2023-09-05 12:57:12</v>
      </c>
      <c r="M444" s="1" t="s">
        <v>45</v>
      </c>
      <c r="N444" s="1" t="s">
        <v>38</v>
      </c>
      <c r="O444" s="1" t="s">
        <v>46</v>
      </c>
    </row>
    <row r="445" spans="2:15" x14ac:dyDescent="0.3">
      <c r="B445" s="1" t="s">
        <v>24</v>
      </c>
      <c r="C445" s="1" t="str">
        <f>"4차"</f>
        <v>4차</v>
      </c>
      <c r="D445" s="1" t="str">
        <f>"0227H97244"</f>
        <v>0227H97244</v>
      </c>
      <c r="E445" s="1" t="s">
        <v>10</v>
      </c>
      <c r="F445" s="1" t="str">
        <f>"10.10.48.186"</f>
        <v>10.10.48.186</v>
      </c>
      <c r="G445" s="1" t="str">
        <f>"0227H972"</f>
        <v>0227H972</v>
      </c>
      <c r="H445" s="1" t="str">
        <f>"외대간 11"</f>
        <v>외대간 11</v>
      </c>
      <c r="I445" s="1" t="s">
        <v>8</v>
      </c>
      <c r="J445" s="1" t="str">
        <f>"35/35"</f>
        <v>35/35</v>
      </c>
      <c r="K445" s="1" t="str">
        <f>"2026-07-29 13:18:03"</f>
        <v>2026-07-29 13:18:03</v>
      </c>
      <c r="L445" s="1" t="str">
        <f>"2019-11-22 16:53:04"</f>
        <v>2019-11-22 16:53:04</v>
      </c>
      <c r="M445" s="1" t="s">
        <v>1</v>
      </c>
      <c r="N445" s="1" t="s">
        <v>38</v>
      </c>
      <c r="O445" s="1" t="s">
        <v>46</v>
      </c>
    </row>
    <row r="446" spans="2:15" x14ac:dyDescent="0.3">
      <c r="B446" s="1" t="s">
        <v>24</v>
      </c>
      <c r="C446" s="1" t="str">
        <f>"4차"</f>
        <v>4차</v>
      </c>
      <c r="D446" s="1" t="str">
        <f>"0227H97344"</f>
        <v>0227H97344</v>
      </c>
      <c r="E446" s="1" t="s">
        <v>14</v>
      </c>
      <c r="F446" s="1" t="str">
        <f>"10.10.52.146"</f>
        <v>10.10.52.146</v>
      </c>
      <c r="G446" s="1" t="str">
        <f>"0227H973"</f>
        <v>0227H973</v>
      </c>
      <c r="H446" s="1" t="str">
        <f>"청용간 18"</f>
        <v>청용간 18</v>
      </c>
      <c r="I446" s="1" t="s">
        <v>8</v>
      </c>
      <c r="J446" s="1" t="str">
        <f>"0/0"</f>
        <v>0/0</v>
      </c>
      <c r="K446" s="1" t="str">
        <f>"2026-07-29 13:18:03"</f>
        <v>2026-07-29 13:18:03</v>
      </c>
      <c r="L446" s="1" t="str">
        <f>"2019-11-22 15:33:05"</f>
        <v>2019-11-22 15:33:05</v>
      </c>
      <c r="M446" s="1" t="s">
        <v>1</v>
      </c>
      <c r="N446" s="1" t="s">
        <v>38</v>
      </c>
      <c r="O446" s="1" t="s">
        <v>44</v>
      </c>
    </row>
    <row r="447" spans="2:15" x14ac:dyDescent="0.3">
      <c r="B447" s="1" t="s">
        <v>24</v>
      </c>
      <c r="C447" s="1" t="str">
        <f>"3차"</f>
        <v>3차</v>
      </c>
      <c r="D447" s="1" t="str">
        <f>"0227H99339"</f>
        <v>0227H99339</v>
      </c>
      <c r="E447" s="1" t="s">
        <v>10</v>
      </c>
      <c r="F447" s="1" t="str">
        <f>"10.12.129.196"</f>
        <v>10.12.129.196</v>
      </c>
      <c r="G447" s="1" t="str">
        <f>"0227H993"</f>
        <v>0227H993</v>
      </c>
      <c r="H447" s="1" t="str">
        <f>"외대간 17L2L6"</f>
        <v>외대간 17L2L6</v>
      </c>
      <c r="I447" s="1" t="s">
        <v>8</v>
      </c>
      <c r="J447" s="1" t="str">
        <f>"38/42"</f>
        <v>38/42</v>
      </c>
      <c r="K447" s="1" t="str">
        <f>"2026-07-29 13:18:03"</f>
        <v>2026-07-29 13:18:03</v>
      </c>
      <c r="L447" s="1" t="str">
        <f>"2018-04-17 18:21:18"</f>
        <v>2018-04-17 18:21:18</v>
      </c>
      <c r="M447" s="1" t="s">
        <v>0</v>
      </c>
      <c r="N447" s="1" t="s">
        <v>38</v>
      </c>
      <c r="O447" s="1" t="s">
        <v>46</v>
      </c>
    </row>
    <row r="448" spans="2:15" x14ac:dyDescent="0.3">
      <c r="B448" s="1" t="s">
        <v>24</v>
      </c>
      <c r="C448" s="1" t="str">
        <f>"4차"</f>
        <v>4차</v>
      </c>
      <c r="D448" s="1" t="str">
        <f>"0227P00244"</f>
        <v>0227P00244</v>
      </c>
      <c r="E448" s="1" t="s">
        <v>10</v>
      </c>
      <c r="F448" s="1" t="str">
        <f>"10.89.246.194"</f>
        <v>10.89.246.194</v>
      </c>
      <c r="G448" s="1" t="str">
        <f>"0227P002"</f>
        <v>0227P002</v>
      </c>
      <c r="H448" s="1" t="str">
        <f>"고대간 32R1"</f>
        <v>고대간 32R1</v>
      </c>
      <c r="I448" s="1" t="s">
        <v>8</v>
      </c>
      <c r="J448" s="1" t="str">
        <f>"12/13"</f>
        <v>12/13</v>
      </c>
      <c r="K448" s="1" t="str">
        <f>"2026-07-29 13:18:02"</f>
        <v>2026-07-29 13:18:02</v>
      </c>
      <c r="L448" s="1" t="str">
        <f>"2020-01-14 14:16:54"</f>
        <v>2020-01-14 14:16:54</v>
      </c>
      <c r="M448" s="1" t="s">
        <v>45</v>
      </c>
      <c r="N448" s="1" t="s">
        <v>38</v>
      </c>
      <c r="O448" s="1" t="s">
        <v>46</v>
      </c>
    </row>
    <row r="449" spans="2:15" x14ac:dyDescent="0.3">
      <c r="B449" s="1" t="s">
        <v>24</v>
      </c>
      <c r="C449" s="1" t="str">
        <f>"4차"</f>
        <v>4차</v>
      </c>
      <c r="D449" s="1" t="str">
        <f>"0227P01144"</f>
        <v>0227P01144</v>
      </c>
      <c r="E449" s="1" t="s">
        <v>10</v>
      </c>
      <c r="F449" s="1" t="str">
        <f>"10.10.54.242"</f>
        <v>10.10.54.242</v>
      </c>
      <c r="G449" s="1" t="str">
        <f>"0227P011"</f>
        <v>0227P011</v>
      </c>
      <c r="H449" s="1" t="str">
        <f>"고대간 32R1R1"</f>
        <v>고대간 32R1R1</v>
      </c>
      <c r="I449" s="1" t="s">
        <v>8</v>
      </c>
      <c r="J449" s="1" t="str">
        <f>"62/69"</f>
        <v>62/69</v>
      </c>
      <c r="K449" s="1" t="str">
        <f>"2026-07-29 13:18:02"</f>
        <v>2026-07-29 13:18:02</v>
      </c>
      <c r="L449" s="1" t="str">
        <f>"2019-09-18 10:54:41"</f>
        <v>2019-09-18 10:54:41</v>
      </c>
      <c r="M449" s="1" t="s">
        <v>1</v>
      </c>
      <c r="N449" s="1" t="s">
        <v>38</v>
      </c>
      <c r="O449" s="1" t="s">
        <v>46</v>
      </c>
    </row>
    <row r="450" spans="2:15" x14ac:dyDescent="0.3">
      <c r="B450" s="1" t="s">
        <v>24</v>
      </c>
      <c r="C450" s="1" t="str">
        <f>"4차"</f>
        <v>4차</v>
      </c>
      <c r="D450" s="1" t="str">
        <f>"0227P04344"</f>
        <v>0227P04344</v>
      </c>
      <c r="E450" s="1" t="s">
        <v>10</v>
      </c>
      <c r="F450" s="1" t="str">
        <f>"10.12.135.73"</f>
        <v>10.12.135.73</v>
      </c>
      <c r="G450" s="1" t="str">
        <f>"0227P043"</f>
        <v>0227P043</v>
      </c>
      <c r="H450" s="1" t="str">
        <f>"고대간 26R2"</f>
        <v>고대간 26R2</v>
      </c>
      <c r="I450" s="1" t="s">
        <v>8</v>
      </c>
      <c r="J450" s="1" t="str">
        <f>"17/17"</f>
        <v>17/17</v>
      </c>
      <c r="K450" s="1" t="str">
        <f>"2026-07-29 13:18:03"</f>
        <v>2026-07-29 13:18:03</v>
      </c>
      <c r="L450" s="1" t="str">
        <f>"2019-09-18 11:05:40"</f>
        <v>2019-09-18 11:05:40</v>
      </c>
      <c r="M450" s="1" t="s">
        <v>0</v>
      </c>
      <c r="N450" s="1" t="s">
        <v>38</v>
      </c>
      <c r="O450" s="1" t="s">
        <v>46</v>
      </c>
    </row>
    <row r="451" spans="2:15" x14ac:dyDescent="0.3">
      <c r="B451" s="1" t="s">
        <v>24</v>
      </c>
      <c r="C451" s="1" t="str">
        <f>"5-1차"</f>
        <v>5-1차</v>
      </c>
      <c r="D451" s="1" t="str">
        <f>"0227P0555M"</f>
        <v>0227P0555M</v>
      </c>
      <c r="E451" s="1" t="s">
        <v>10</v>
      </c>
      <c r="F451" s="1" t="str">
        <f>"fde3:102:1430:4100:0:0:0:2"</f>
        <v>fde3:102:1430:4100:0:0:0:2</v>
      </c>
      <c r="G451" s="1" t="str">
        <f>"0227P055"</f>
        <v>0227P055</v>
      </c>
      <c r="H451" s="1" t="str">
        <f>"고대간 23R3"</f>
        <v>고대간 23R3</v>
      </c>
      <c r="I451" s="1" t="s">
        <v>15</v>
      </c>
      <c r="J451" s="1" t="str">
        <f>"26/26"</f>
        <v>26/26</v>
      </c>
      <c r="K451" s="1" t="str">
        <f>"2026-07-29 14:20:32"</f>
        <v>2026-07-29 14:20:32</v>
      </c>
      <c r="L451" s="1" t="str">
        <f>"2022-11-21 13:50:24"</f>
        <v>2022-11-21 13:50:24</v>
      </c>
      <c r="M451" s="1" t="s">
        <v>45</v>
      </c>
      <c r="N451" s="1" t="s">
        <v>38</v>
      </c>
      <c r="O451" s="1" t="s">
        <v>46</v>
      </c>
    </row>
    <row r="452" spans="2:15" x14ac:dyDescent="0.3">
      <c r="B452" s="1" t="s">
        <v>24</v>
      </c>
      <c r="C452" s="1" t="str">
        <f>"1차"</f>
        <v>1차</v>
      </c>
      <c r="D452" s="1" t="str">
        <f>"0227P06101"</f>
        <v>0227P06101</v>
      </c>
      <c r="E452" s="1" t="s">
        <v>10</v>
      </c>
      <c r="F452" s="1" t="str">
        <f>"10.12.132.78"</f>
        <v>10.12.132.78</v>
      </c>
      <c r="G452" s="1" t="str">
        <f>"0227P061"</f>
        <v>0227P061</v>
      </c>
      <c r="H452" s="1" t="str">
        <f>"고대간 22R3"</f>
        <v>고대간 22R3</v>
      </c>
      <c r="I452" s="1" t="s">
        <v>8</v>
      </c>
      <c r="J452" s="1" t="str">
        <f>"17/17"</f>
        <v>17/17</v>
      </c>
      <c r="K452" s="1" t="str">
        <f>"2026-07-29 13:18:04"</f>
        <v>2026-07-29 13:18:04</v>
      </c>
      <c r="L452" s="1" t="str">
        <f>"2015-02-05 10:54:34"</f>
        <v>2015-02-05 10:54:34</v>
      </c>
      <c r="M452" s="1" t="s">
        <v>0</v>
      </c>
      <c r="N452" s="1" t="s">
        <v>38</v>
      </c>
      <c r="O452" s="1" t="s">
        <v>46</v>
      </c>
    </row>
    <row r="453" spans="2:15" x14ac:dyDescent="0.3">
      <c r="B453" s="1" t="s">
        <v>24</v>
      </c>
      <c r="C453" s="1" t="str">
        <f>"4차"</f>
        <v>4차</v>
      </c>
      <c r="D453" s="1" t="str">
        <f>"0227P07342"</f>
        <v>0227P07342</v>
      </c>
      <c r="E453" s="1" t="s">
        <v>10</v>
      </c>
      <c r="F453" s="1" t="str">
        <f>"10.89.255.170"</f>
        <v>10.89.255.170</v>
      </c>
      <c r="G453" s="1" t="str">
        <f>"0227P073"</f>
        <v>0227P073</v>
      </c>
      <c r="H453" s="1" t="str">
        <f>"고대간 22R4R2R2"</f>
        <v>고대간 22R4R2R2</v>
      </c>
      <c r="I453" s="1" t="s">
        <v>8</v>
      </c>
      <c r="J453" s="1" t="str">
        <f>"110/120"</f>
        <v>110/120</v>
      </c>
      <c r="K453" s="1" t="str">
        <f>"2026-07-29 13:18:01"</f>
        <v>2026-07-29 13:18:01</v>
      </c>
      <c r="L453" s="1" t="str">
        <f>"2024-05-22 17:46:13"</f>
        <v>2024-05-22 17:46:13</v>
      </c>
      <c r="M453" s="1" t="s">
        <v>45</v>
      </c>
      <c r="N453" s="1" t="s">
        <v>38</v>
      </c>
      <c r="O453" s="1" t="s">
        <v>46</v>
      </c>
    </row>
    <row r="454" spans="2:15" x14ac:dyDescent="0.3">
      <c r="B454" s="1" t="s">
        <v>24</v>
      </c>
      <c r="C454" s="1" t="str">
        <f>"1차"</f>
        <v>1차</v>
      </c>
      <c r="D454" s="1" t="str">
        <f>"0227P08201"</f>
        <v>0227P08201</v>
      </c>
      <c r="E454" s="1" t="s">
        <v>12</v>
      </c>
      <c r="F454" s="1" t="str">
        <f>"10.14.7.127"</f>
        <v>10.14.7.127</v>
      </c>
      <c r="G454" s="1" t="str">
        <f>"0227P082"</f>
        <v>0227P082</v>
      </c>
      <c r="H454" s="1" t="str">
        <f>"고대간 22R4R6"</f>
        <v>고대간 22R4R6</v>
      </c>
      <c r="I454" s="1" t="s">
        <v>8</v>
      </c>
      <c r="J454" s="1" t="str">
        <f>"0/65"</f>
        <v>0/65</v>
      </c>
      <c r="K454" s="1" t="str">
        <f>"2026-07-08 07:18:02"</f>
        <v>2026-07-08 07:18:02</v>
      </c>
      <c r="L454" s="1" t="str">
        <f>"2014-12-13 14:07:38"</f>
        <v>2014-12-13 14:07:38</v>
      </c>
      <c r="M454" s="1" t="s">
        <v>3</v>
      </c>
      <c r="N454" s="1" t="s">
        <v>38</v>
      </c>
      <c r="O454" s="1" t="s">
        <v>46</v>
      </c>
    </row>
    <row r="455" spans="2:15" x14ac:dyDescent="0.3">
      <c r="B455" s="1" t="s">
        <v>24</v>
      </c>
      <c r="C455" s="1" t="str">
        <f>"4차"</f>
        <v>4차</v>
      </c>
      <c r="D455" s="1" t="str">
        <f>"0227P08442"</f>
        <v>0227P08442</v>
      </c>
      <c r="E455" s="1" t="s">
        <v>10</v>
      </c>
      <c r="F455" s="1" t="str">
        <f>"10.89.255.2"</f>
        <v>10.89.255.2</v>
      </c>
      <c r="G455" s="1" t="str">
        <f>"0227P084"</f>
        <v>0227P084</v>
      </c>
      <c r="H455" s="1" t="str">
        <f>"고대간 22R4R5"</f>
        <v>고대간 22R4R5</v>
      </c>
      <c r="I455" s="1" t="s">
        <v>8</v>
      </c>
      <c r="J455" s="1" t="str">
        <f>"71/119"</f>
        <v>71/119</v>
      </c>
      <c r="K455" s="1" t="str">
        <f>"2026-07-29 13:18:02"</f>
        <v>2026-07-29 13:18:02</v>
      </c>
      <c r="L455" s="1" t="str">
        <f>"2025-09-02 10:14:28"</f>
        <v>2025-09-02 10:14:28</v>
      </c>
      <c r="M455" s="1" t="s">
        <v>45</v>
      </c>
      <c r="N455" s="1" t="s">
        <v>38</v>
      </c>
      <c r="O455" s="1" t="s">
        <v>46</v>
      </c>
    </row>
    <row r="456" spans="2:15" x14ac:dyDescent="0.3">
      <c r="B456" s="1" t="s">
        <v>24</v>
      </c>
      <c r="C456" s="1" t="str">
        <f>"4차"</f>
        <v>4차</v>
      </c>
      <c r="D456" s="1" t="str">
        <f>"0227P14244"</f>
        <v>0227P14244</v>
      </c>
      <c r="E456" s="1" t="s">
        <v>10</v>
      </c>
      <c r="F456" s="1" t="str">
        <f>"10.89.245.135"</f>
        <v>10.89.245.135</v>
      </c>
      <c r="G456" s="1" t="str">
        <f>"0227P142"</f>
        <v>0227P142</v>
      </c>
      <c r="H456" s="1" t="str">
        <f>"고대간 24"</f>
        <v>고대간 24</v>
      </c>
      <c r="I456" s="1" t="s">
        <v>8</v>
      </c>
      <c r="J456" s="1" t="str">
        <f>"26/26"</f>
        <v>26/26</v>
      </c>
      <c r="K456" s="1" t="str">
        <f>"2026-07-29 13:18:02"</f>
        <v>2026-07-29 13:18:02</v>
      </c>
      <c r="L456" s="1" t="str">
        <f>"2021-07-28 16:39:20"</f>
        <v>2021-07-28 16:39:20</v>
      </c>
      <c r="M456" s="1" t="s">
        <v>45</v>
      </c>
      <c r="N456" s="1" t="s">
        <v>38</v>
      </c>
      <c r="O456" s="1" t="s">
        <v>46</v>
      </c>
    </row>
    <row r="457" spans="2:15" x14ac:dyDescent="0.3">
      <c r="B457" s="1" t="s">
        <v>24</v>
      </c>
      <c r="C457" s="1" t="str">
        <f>"6차"</f>
        <v>6차</v>
      </c>
      <c r="D457" s="1" t="str">
        <f>"0227P1856S"</f>
        <v>0227P1856S</v>
      </c>
      <c r="E457" s="1" t="s">
        <v>10</v>
      </c>
      <c r="F457" s="1" t="str">
        <f>"fde1:103:4:c61b:0:0:0:2"</f>
        <v>fde1:103:4:c61b:0:0:0:2</v>
      </c>
      <c r="G457" s="1" t="str">
        <f>"0227P185"</f>
        <v>0227P185</v>
      </c>
      <c r="H457" s="1" t="str">
        <f>"고대간 22R4R9"</f>
        <v>고대간 22R4R9</v>
      </c>
      <c r="I457" s="1" t="s">
        <v>15</v>
      </c>
      <c r="J457" s="1" t="str">
        <f>"75/76"</f>
        <v>75/76</v>
      </c>
      <c r="K457" s="1" t="str">
        <f>"2026-07-29 14:20:32"</f>
        <v>2026-07-29 14:20:32</v>
      </c>
      <c r="L457" s="1" t="str">
        <f>"2024-09-27 16:55:38"</f>
        <v>2024-09-27 16:55:38</v>
      </c>
      <c r="M457" s="1" t="s">
        <v>4</v>
      </c>
      <c r="N457" s="1" t="s">
        <v>38</v>
      </c>
      <c r="O457" s="1" t="s">
        <v>46</v>
      </c>
    </row>
    <row r="458" spans="2:15" x14ac:dyDescent="0.3">
      <c r="B458" s="1" t="s">
        <v>24</v>
      </c>
      <c r="C458" s="1" t="str">
        <f>"1차"</f>
        <v>1차</v>
      </c>
      <c r="D458" s="1" t="str">
        <f>"0227P19300"</f>
        <v>0227P19300</v>
      </c>
      <c r="E458" s="1" t="s">
        <v>10</v>
      </c>
      <c r="F458" s="1" t="str">
        <f>"10.89.255.122"</f>
        <v>10.89.255.122</v>
      </c>
      <c r="G458" s="1" t="str">
        <f>"0227P193"</f>
        <v>0227P193</v>
      </c>
      <c r="H458" s="1" t="str">
        <f>"고대간 22R4R7"</f>
        <v>고대간 22R4R7</v>
      </c>
      <c r="I458" s="1" t="s">
        <v>8</v>
      </c>
      <c r="J458" s="1" t="str">
        <f>"38/38"</f>
        <v>38/38</v>
      </c>
      <c r="K458" s="1" t="str">
        <f>"2026-07-29 13:18:02"</f>
        <v>2026-07-29 13:18:02</v>
      </c>
      <c r="L458" s="1" t="str">
        <f>"2021-02-09 09:40:19"</f>
        <v>2021-02-09 09:40:19</v>
      </c>
      <c r="M458" s="1" t="s">
        <v>45</v>
      </c>
      <c r="N458" s="1" t="s">
        <v>38</v>
      </c>
      <c r="O458" s="1" t="s">
        <v>46</v>
      </c>
    </row>
    <row r="459" spans="2:15" x14ac:dyDescent="0.3">
      <c r="B459" s="1" t="s">
        <v>24</v>
      </c>
      <c r="C459" s="1" t="str">
        <f>"1차"</f>
        <v>1차</v>
      </c>
      <c r="D459" s="1" t="str">
        <f>"0227P20200"</f>
        <v>0227P20200</v>
      </c>
      <c r="E459" s="1" t="s">
        <v>10</v>
      </c>
      <c r="F459" s="1" t="str">
        <f>"10.89.255.178"</f>
        <v>10.89.255.178</v>
      </c>
      <c r="G459" s="1" t="str">
        <f>"0227P202"</f>
        <v>0227P202</v>
      </c>
      <c r="H459" s="1" t="str">
        <f>"약령간 20R1R3"</f>
        <v>약령간 20R1R3</v>
      </c>
      <c r="I459" s="1" t="s">
        <v>8</v>
      </c>
      <c r="J459" s="1" t="str">
        <f>"58/58"</f>
        <v>58/58</v>
      </c>
      <c r="K459" s="1" t="str">
        <f>"2026-07-29 13:18:03"</f>
        <v>2026-07-29 13:18:03</v>
      </c>
      <c r="L459" s="1" t="str">
        <f>"2015-02-05 13:54:03"</f>
        <v>2015-02-05 13:54:03</v>
      </c>
      <c r="M459" s="1" t="s">
        <v>45</v>
      </c>
      <c r="N459" s="1" t="s">
        <v>38</v>
      </c>
      <c r="O459" s="1" t="s">
        <v>46</v>
      </c>
    </row>
    <row r="460" spans="2:15" x14ac:dyDescent="0.3">
      <c r="B460" s="1" t="s">
        <v>24</v>
      </c>
      <c r="C460" s="1" t="str">
        <f>"4차"</f>
        <v>4차</v>
      </c>
      <c r="D460" s="1" t="str">
        <f>"0227P23344"</f>
        <v>0227P23344</v>
      </c>
      <c r="E460" s="1" t="s">
        <v>10</v>
      </c>
      <c r="F460" s="1" t="str">
        <f>"10.89.255.74"</f>
        <v>10.89.255.74</v>
      </c>
      <c r="G460" s="1" t="str">
        <f>"0227P233"</f>
        <v>0227P233</v>
      </c>
      <c r="H460" s="1" t="str">
        <f>"약령간 26L4"</f>
        <v>약령간 26L4</v>
      </c>
      <c r="I460" s="1" t="s">
        <v>8</v>
      </c>
      <c r="J460" s="1" t="str">
        <f>"55/55"</f>
        <v>55/55</v>
      </c>
      <c r="K460" s="1" t="str">
        <f>"2026-07-29 13:18:02"</f>
        <v>2026-07-29 13:18:02</v>
      </c>
      <c r="L460" s="1" t="str">
        <f>"2023-07-19 17:24:43"</f>
        <v>2023-07-19 17:24:43</v>
      </c>
      <c r="M460" s="1" t="s">
        <v>45</v>
      </c>
      <c r="N460" s="1" t="s">
        <v>38</v>
      </c>
      <c r="O460" s="1" t="s">
        <v>46</v>
      </c>
    </row>
    <row r="461" spans="2:15" x14ac:dyDescent="0.3">
      <c r="B461" s="1" t="s">
        <v>24</v>
      </c>
      <c r="C461" s="1" t="str">
        <f>"4차"</f>
        <v>4차</v>
      </c>
      <c r="D461" s="1" t="str">
        <f>"0227P27542"</f>
        <v>0227P27542</v>
      </c>
      <c r="E461" s="1" t="s">
        <v>10</v>
      </c>
      <c r="F461" s="1" t="str">
        <f>"10.89.255.18"</f>
        <v>10.89.255.18</v>
      </c>
      <c r="G461" s="1" t="str">
        <f>"0227P275"</f>
        <v>0227P275</v>
      </c>
      <c r="H461" s="1" t="str">
        <f>"고대간 19"</f>
        <v>고대간 19</v>
      </c>
      <c r="I461" s="1" t="s">
        <v>8</v>
      </c>
      <c r="J461" s="1" t="str">
        <f>"96/111"</f>
        <v>96/111</v>
      </c>
      <c r="K461" s="1" t="str">
        <f>"2026-07-29 13:18:02"</f>
        <v>2026-07-29 13:18:02</v>
      </c>
      <c r="L461" s="1" t="str">
        <f>"2024-05-22 16:53:34"</f>
        <v>2024-05-22 16:53:34</v>
      </c>
      <c r="M461" s="1" t="s">
        <v>45</v>
      </c>
      <c r="N461" s="1" t="s">
        <v>38</v>
      </c>
      <c r="O461" s="1" t="s">
        <v>46</v>
      </c>
    </row>
    <row r="462" spans="2:15" x14ac:dyDescent="0.3">
      <c r="B462" s="1" t="s">
        <v>24</v>
      </c>
      <c r="C462" s="1" t="str">
        <f>"4차"</f>
        <v>4차</v>
      </c>
      <c r="D462" s="1" t="str">
        <f>"0227P28244"</f>
        <v>0227P28244</v>
      </c>
      <c r="E462" s="1" t="s">
        <v>10</v>
      </c>
      <c r="F462" s="1" t="str">
        <f>"10.10.54.186"</f>
        <v>10.10.54.186</v>
      </c>
      <c r="G462" s="1" t="str">
        <f>"0227P282"</f>
        <v>0227P282</v>
      </c>
      <c r="H462" s="1" t="str">
        <f>"고대간 19R4"</f>
        <v>고대간 19R4</v>
      </c>
      <c r="I462" s="1" t="s">
        <v>8</v>
      </c>
      <c r="J462" s="1" t="str">
        <f>"16/16"</f>
        <v>16/16</v>
      </c>
      <c r="K462" s="1" t="str">
        <f>"2026-07-29 13:18:03"</f>
        <v>2026-07-29 13:18:03</v>
      </c>
      <c r="L462" s="1" t="str">
        <f>"2019-09-18 16:49:15"</f>
        <v>2019-09-18 16:49:15</v>
      </c>
      <c r="M462" s="1" t="s">
        <v>1</v>
      </c>
      <c r="N462" s="1" t="s">
        <v>38</v>
      </c>
      <c r="O462" s="1" t="s">
        <v>46</v>
      </c>
    </row>
    <row r="463" spans="2:15" x14ac:dyDescent="0.3">
      <c r="B463" s="1" t="s">
        <v>24</v>
      </c>
      <c r="C463" s="1" t="str">
        <f>"1차"</f>
        <v>1차</v>
      </c>
      <c r="D463" s="1" t="str">
        <f>"0227P28301"</f>
        <v>0227P28301</v>
      </c>
      <c r="E463" s="1" t="s">
        <v>10</v>
      </c>
      <c r="F463" s="1" t="str">
        <f>"10.14.13.185"</f>
        <v>10.14.13.185</v>
      </c>
      <c r="G463" s="1" t="str">
        <f>"0227P283"</f>
        <v>0227P283</v>
      </c>
      <c r="H463" s="1" t="str">
        <f>"고대간 19R2"</f>
        <v>고대간 19R2</v>
      </c>
      <c r="I463" s="1" t="s">
        <v>8</v>
      </c>
      <c r="J463" s="1" t="str">
        <f>"28/36"</f>
        <v>28/36</v>
      </c>
      <c r="K463" s="1" t="str">
        <f>"2026-07-29 13:18:02"</f>
        <v>2026-07-29 13:18:02</v>
      </c>
      <c r="L463" s="1" t="str">
        <f>"2015-02-05 15:04:02"</f>
        <v>2015-02-05 15:04:02</v>
      </c>
      <c r="M463" s="1" t="s">
        <v>3</v>
      </c>
      <c r="N463" s="1" t="s">
        <v>38</v>
      </c>
      <c r="O463" s="1" t="s">
        <v>46</v>
      </c>
    </row>
    <row r="464" spans="2:15" x14ac:dyDescent="0.3">
      <c r="B464" s="1" t="s">
        <v>24</v>
      </c>
      <c r="C464" s="1" t="str">
        <f>"4차"</f>
        <v>4차</v>
      </c>
      <c r="D464" s="1" t="str">
        <f>"0227P29244"</f>
        <v>0227P29244</v>
      </c>
      <c r="E464" s="1" t="s">
        <v>10</v>
      </c>
      <c r="F464" s="1" t="str">
        <f>"10.10.54.194"</f>
        <v>10.10.54.194</v>
      </c>
      <c r="G464" s="1" t="str">
        <f>"0227P292"</f>
        <v>0227P292</v>
      </c>
      <c r="H464" s="1" t="str">
        <f>"고대간 19R6"</f>
        <v>고대간 19R6</v>
      </c>
      <c r="I464" s="1" t="s">
        <v>8</v>
      </c>
      <c r="J464" s="1" t="str">
        <f>"17/17"</f>
        <v>17/17</v>
      </c>
      <c r="K464" s="1" t="str">
        <f>"2026-07-29 13:18:03"</f>
        <v>2026-07-29 13:18:03</v>
      </c>
      <c r="L464" s="1" t="str">
        <f>"2020-01-21 16:25:26"</f>
        <v>2020-01-21 16:25:26</v>
      </c>
      <c r="M464" s="1" t="s">
        <v>1</v>
      </c>
      <c r="N464" s="1" t="s">
        <v>38</v>
      </c>
      <c r="O464" s="1" t="s">
        <v>46</v>
      </c>
    </row>
    <row r="465" spans="2:15" x14ac:dyDescent="0.3">
      <c r="B465" s="1" t="s">
        <v>24</v>
      </c>
      <c r="C465" s="1" t="str">
        <f>"6차"</f>
        <v>6차</v>
      </c>
      <c r="D465" s="1" t="str">
        <f>"0227P3226S"</f>
        <v>0227P3226S</v>
      </c>
      <c r="E465" s="1" t="s">
        <v>10</v>
      </c>
      <c r="F465" s="1" t="str">
        <f>"fde3:102:1430:4100:0:0:0:9"</f>
        <v>fde3:102:1430:4100:0:0:0:9</v>
      </c>
      <c r="G465" s="1" t="str">
        <f>"0227P322"</f>
        <v>0227P322</v>
      </c>
      <c r="H465" s="1" t="str">
        <f>"약령간 20R2"</f>
        <v>약령간 20R2</v>
      </c>
      <c r="I465" s="1" t="s">
        <v>15</v>
      </c>
      <c r="J465" s="1" t="str">
        <f>"36/36"</f>
        <v>36/36</v>
      </c>
      <c r="K465" s="1" t="str">
        <f>"2026-07-29 14:20:32"</f>
        <v>2026-07-29 14:20:32</v>
      </c>
      <c r="L465" s="1" t="str">
        <f>"2024-09-26 10:48:09"</f>
        <v>2024-09-26 10:48:09</v>
      </c>
      <c r="M465" s="1" t="s">
        <v>45</v>
      </c>
      <c r="N465" s="1" t="s">
        <v>38</v>
      </c>
      <c r="O465" s="1" t="s">
        <v>46</v>
      </c>
    </row>
    <row r="466" spans="2:15" x14ac:dyDescent="0.3">
      <c r="B466" s="1" t="s">
        <v>24</v>
      </c>
      <c r="C466" s="1" t="str">
        <f>"4차"</f>
        <v>4차</v>
      </c>
      <c r="D466" s="1" t="str">
        <f>"0227P33142"</f>
        <v>0227P33142</v>
      </c>
      <c r="E466" s="1" t="s">
        <v>10</v>
      </c>
      <c r="F466" s="1" t="str">
        <f>"10.89.255.66"</f>
        <v>10.89.255.66</v>
      </c>
      <c r="G466" s="1" t="str">
        <f>"0227P331"</f>
        <v>0227P331</v>
      </c>
      <c r="H466" s="1" t="str">
        <f>"약령간 22"</f>
        <v>약령간 22</v>
      </c>
      <c r="I466" s="1" t="s">
        <v>8</v>
      </c>
      <c r="J466" s="1" t="str">
        <f>"30/30"</f>
        <v>30/30</v>
      </c>
      <c r="K466" s="1" t="str">
        <f>"2026-07-29 13:18:03"</f>
        <v>2026-07-29 13:18:03</v>
      </c>
      <c r="L466" s="1" t="str">
        <f>"2025-01-17 18:08:19"</f>
        <v>2025-01-17 18:08:19</v>
      </c>
      <c r="M466" s="1" t="s">
        <v>45</v>
      </c>
      <c r="N466" s="1" t="s">
        <v>38</v>
      </c>
      <c r="O466" s="1" t="s">
        <v>46</v>
      </c>
    </row>
    <row r="467" spans="2:15" x14ac:dyDescent="0.3">
      <c r="B467" s="1" t="s">
        <v>24</v>
      </c>
      <c r="C467" s="1" t="str">
        <f>"1차"</f>
        <v>1차</v>
      </c>
      <c r="D467" s="1" t="str">
        <f>"0227P33200"</f>
        <v>0227P33200</v>
      </c>
      <c r="E467" s="1" t="s">
        <v>10</v>
      </c>
      <c r="F467" s="1" t="str">
        <f>"10.89.255.58"</f>
        <v>10.89.255.58</v>
      </c>
      <c r="G467" s="1" t="str">
        <f>"0227P332"</f>
        <v>0227P332</v>
      </c>
      <c r="H467" s="1" t="str">
        <f>"약령간 20R3"</f>
        <v>약령간 20R3</v>
      </c>
      <c r="I467" s="1" t="s">
        <v>8</v>
      </c>
      <c r="J467" s="1" t="str">
        <f>"25/25"</f>
        <v>25/25</v>
      </c>
      <c r="K467" s="1" t="str">
        <f>"2026-07-29 13:18:02"</f>
        <v>2026-07-29 13:18:02</v>
      </c>
      <c r="L467" s="1" t="str">
        <f>"2015-02-05 14:40:12"</f>
        <v>2015-02-05 14:40:12</v>
      </c>
      <c r="M467" s="1" t="s">
        <v>45</v>
      </c>
      <c r="N467" s="1" t="s">
        <v>38</v>
      </c>
      <c r="O467" s="1" t="s">
        <v>46</v>
      </c>
    </row>
    <row r="468" spans="2:15" x14ac:dyDescent="0.3">
      <c r="B468" s="1" t="s">
        <v>24</v>
      </c>
      <c r="C468" s="1" t="str">
        <f>"4차"</f>
        <v>4차</v>
      </c>
      <c r="D468" s="1" t="str">
        <f>"0227P34142"</f>
        <v>0227P34142</v>
      </c>
      <c r="E468" s="1" t="s">
        <v>10</v>
      </c>
      <c r="F468" s="1" t="str">
        <f>"10.12.132.49"</f>
        <v>10.12.132.49</v>
      </c>
      <c r="G468" s="1" t="str">
        <f>"0227P341"</f>
        <v>0227P341</v>
      </c>
      <c r="H468" s="1" t="str">
        <f>"약령간 23"</f>
        <v>약령간 23</v>
      </c>
      <c r="I468" s="1" t="s">
        <v>8</v>
      </c>
      <c r="J468" s="1" t="str">
        <f>"30/30"</f>
        <v>30/30</v>
      </c>
      <c r="K468" s="1" t="str">
        <f>"2026-07-29 13:18:01"</f>
        <v>2026-07-29 13:18:01</v>
      </c>
      <c r="L468" s="1" t="str">
        <f>"2025-01-17 18:09:34"</f>
        <v>2025-01-17 18:09:34</v>
      </c>
      <c r="M468" s="1" t="s">
        <v>0</v>
      </c>
      <c r="N468" s="1" t="s">
        <v>38</v>
      </c>
      <c r="O468" s="1" t="s">
        <v>46</v>
      </c>
    </row>
    <row r="469" spans="2:15" x14ac:dyDescent="0.3">
      <c r="B469" s="1" t="s">
        <v>24</v>
      </c>
      <c r="C469" s="1" t="str">
        <f>"1차"</f>
        <v>1차</v>
      </c>
      <c r="D469" s="1" t="str">
        <f>"0227P35401"</f>
        <v>0227P35401</v>
      </c>
      <c r="E469" s="1" t="s">
        <v>10</v>
      </c>
      <c r="F469" s="1" t="str">
        <f>"10.14.15.190"</f>
        <v>10.14.15.190</v>
      </c>
      <c r="G469" s="1" t="str">
        <f>"0227P354"</f>
        <v>0227P354</v>
      </c>
      <c r="H469" s="1" t="str">
        <f>"약령간 20R6"</f>
        <v>약령간 20R6</v>
      </c>
      <c r="I469" s="1" t="s">
        <v>8</v>
      </c>
      <c r="J469" s="1" t="str">
        <f>"68/68"</f>
        <v>68/68</v>
      </c>
      <c r="K469" s="1" t="str">
        <f t="shared" ref="K469:K474" si="28">"2026-07-29 13:18:02"</f>
        <v>2026-07-29 13:18:02</v>
      </c>
      <c r="L469" s="1" t="str">
        <f>"2015-02-05 14:46:12"</f>
        <v>2015-02-05 14:46:12</v>
      </c>
      <c r="M469" s="1" t="s">
        <v>3</v>
      </c>
      <c r="N469" s="1" t="s">
        <v>38</v>
      </c>
      <c r="O469" s="1" t="s">
        <v>46</v>
      </c>
    </row>
    <row r="470" spans="2:15" x14ac:dyDescent="0.3">
      <c r="B470" s="1" t="s">
        <v>24</v>
      </c>
      <c r="C470" s="1" t="str">
        <f t="shared" ref="C470:C475" si="29">"4차"</f>
        <v>4차</v>
      </c>
      <c r="D470" s="1" t="str">
        <f>"0227P39244"</f>
        <v>0227P39244</v>
      </c>
      <c r="E470" s="1" t="s">
        <v>10</v>
      </c>
      <c r="F470" s="1" t="str">
        <f>"10.12.138.1"</f>
        <v>10.12.138.1</v>
      </c>
      <c r="G470" s="1" t="str">
        <f>"0227P392"</f>
        <v>0227P392</v>
      </c>
      <c r="H470" s="1" t="str">
        <f>"고대간 16R1"</f>
        <v>고대간 16R1</v>
      </c>
      <c r="I470" s="1" t="s">
        <v>8</v>
      </c>
      <c r="J470" s="1" t="str">
        <f>"12/12"</f>
        <v>12/12</v>
      </c>
      <c r="K470" s="1" t="str">
        <f t="shared" si="28"/>
        <v>2026-07-29 13:18:02</v>
      </c>
      <c r="L470" s="1" t="str">
        <f>"2021-07-27 12:21:05"</f>
        <v>2021-07-27 12:21:05</v>
      </c>
      <c r="M470" s="1" t="s">
        <v>0</v>
      </c>
      <c r="N470" s="1" t="s">
        <v>38</v>
      </c>
      <c r="O470" s="1" t="s">
        <v>46</v>
      </c>
    </row>
    <row r="471" spans="2:15" x14ac:dyDescent="0.3">
      <c r="B471" s="1" t="s">
        <v>24</v>
      </c>
      <c r="C471" s="1" t="str">
        <f t="shared" si="29"/>
        <v>4차</v>
      </c>
      <c r="D471" s="1" t="str">
        <f>"0227P44439"</f>
        <v>0227P44439</v>
      </c>
      <c r="E471" s="1" t="s">
        <v>10</v>
      </c>
      <c r="F471" s="1" t="str">
        <f>"10.12.132.100"</f>
        <v>10.12.132.100</v>
      </c>
      <c r="G471" s="1" t="str">
        <f>"0227P444"</f>
        <v>0227P444</v>
      </c>
      <c r="H471" s="1" t="str">
        <f>"약전로 8"</f>
        <v>약전로 8</v>
      </c>
      <c r="I471" s="1" t="s">
        <v>17</v>
      </c>
      <c r="J471" s="1" t="str">
        <f>"148/166"</f>
        <v>148/166</v>
      </c>
      <c r="K471" s="1" t="str">
        <f t="shared" si="28"/>
        <v>2026-07-29 13:18:02</v>
      </c>
      <c r="L471" s="1" t="str">
        <f>"2018-12-20 09:57:41"</f>
        <v>2018-12-20 09:57:41</v>
      </c>
      <c r="M471" s="1" t="s">
        <v>0</v>
      </c>
      <c r="N471" s="1" t="s">
        <v>38</v>
      </c>
      <c r="O471" s="1" t="s">
        <v>46</v>
      </c>
    </row>
    <row r="472" spans="2:15" x14ac:dyDescent="0.3">
      <c r="B472" s="1" t="s">
        <v>24</v>
      </c>
      <c r="C472" s="1" t="str">
        <f t="shared" si="29"/>
        <v>4차</v>
      </c>
      <c r="D472" s="1" t="str">
        <f>"0227P45344"</f>
        <v>0227P45344</v>
      </c>
      <c r="E472" s="1" t="s">
        <v>10</v>
      </c>
      <c r="F472" s="1" t="str">
        <f>"10.10.47.202"</f>
        <v>10.10.47.202</v>
      </c>
      <c r="G472" s="1" t="str">
        <f>"0227P453"</f>
        <v>0227P453</v>
      </c>
      <c r="H472" s="1" t="str">
        <f>"약령간 28"</f>
        <v>약령간 28</v>
      </c>
      <c r="I472" s="1" t="s">
        <v>8</v>
      </c>
      <c r="J472" s="1" t="str">
        <f>"52/52"</f>
        <v>52/52</v>
      </c>
      <c r="K472" s="1" t="str">
        <f t="shared" si="28"/>
        <v>2026-07-29 13:18:02</v>
      </c>
      <c r="L472" s="1" t="str">
        <f>"2019-12-18 02:00:19"</f>
        <v>2019-12-18 02:00:19</v>
      </c>
      <c r="M472" s="1" t="s">
        <v>1</v>
      </c>
      <c r="N472" s="1" t="s">
        <v>38</v>
      </c>
      <c r="O472" s="1" t="s">
        <v>46</v>
      </c>
    </row>
    <row r="473" spans="2:15" x14ac:dyDescent="0.3">
      <c r="B473" s="1" t="s">
        <v>24</v>
      </c>
      <c r="C473" s="1" t="str">
        <f t="shared" si="29"/>
        <v>4차</v>
      </c>
      <c r="D473" s="1" t="str">
        <f>"0227P46144"</f>
        <v>0227P46144</v>
      </c>
      <c r="E473" s="1" t="s">
        <v>10</v>
      </c>
      <c r="F473" s="1" t="str">
        <f>"10.10.47.146"</f>
        <v>10.10.47.146</v>
      </c>
      <c r="G473" s="1" t="str">
        <f>"0227P461"</f>
        <v>0227P461</v>
      </c>
      <c r="H473" s="1" t="str">
        <f>"약령간 27L1"</f>
        <v>약령간 27L1</v>
      </c>
      <c r="I473" s="1" t="s">
        <v>8</v>
      </c>
      <c r="J473" s="1" t="str">
        <f>"63/63"</f>
        <v>63/63</v>
      </c>
      <c r="K473" s="1" t="str">
        <f t="shared" si="28"/>
        <v>2026-07-29 13:18:02</v>
      </c>
      <c r="L473" s="1" t="str">
        <f>"2019-11-04 09:13:03"</f>
        <v>2019-11-04 09:13:03</v>
      </c>
      <c r="M473" s="1" t="s">
        <v>1</v>
      </c>
      <c r="N473" s="1" t="s">
        <v>38</v>
      </c>
      <c r="O473" s="1" t="s">
        <v>46</v>
      </c>
    </row>
    <row r="474" spans="2:15" x14ac:dyDescent="0.3">
      <c r="B474" s="1" t="s">
        <v>24</v>
      </c>
      <c r="C474" s="1" t="str">
        <f t="shared" si="29"/>
        <v>4차</v>
      </c>
      <c r="D474" s="1" t="str">
        <f>"0227P48444"</f>
        <v>0227P48444</v>
      </c>
      <c r="E474" s="1" t="s">
        <v>10</v>
      </c>
      <c r="F474" s="1" t="str">
        <f>"10.10.47.186"</f>
        <v>10.10.47.186</v>
      </c>
      <c r="G474" s="1" t="str">
        <f>"0227P484"</f>
        <v>0227P484</v>
      </c>
      <c r="H474" s="1" t="str">
        <f>"약령간 27L4L1"</f>
        <v>약령간 27L4L1</v>
      </c>
      <c r="I474" s="1" t="s">
        <v>8</v>
      </c>
      <c r="J474" s="1" t="str">
        <f>"23/23"</f>
        <v>23/23</v>
      </c>
      <c r="K474" s="1" t="str">
        <f t="shared" si="28"/>
        <v>2026-07-29 13:18:02</v>
      </c>
      <c r="L474" s="1" t="str">
        <f>"2020-01-10 17:18:53"</f>
        <v>2020-01-10 17:18:53</v>
      </c>
      <c r="M474" s="1" t="s">
        <v>1</v>
      </c>
      <c r="N474" s="1" t="s">
        <v>38</v>
      </c>
      <c r="O474" s="1" t="s">
        <v>46</v>
      </c>
    </row>
    <row r="475" spans="2:15" x14ac:dyDescent="0.3">
      <c r="B475" s="1" t="s">
        <v>24</v>
      </c>
      <c r="C475" s="1" t="str">
        <f t="shared" si="29"/>
        <v>4차</v>
      </c>
      <c r="D475" s="1" t="str">
        <f>"0227P53845"</f>
        <v>0227P53845</v>
      </c>
      <c r="E475" s="1" t="s">
        <v>10</v>
      </c>
      <c r="F475" s="1" t="str">
        <f>"10.14.13.6"</f>
        <v>10.14.13.6</v>
      </c>
      <c r="G475" s="1" t="str">
        <f>"0227P538"</f>
        <v>0227P538</v>
      </c>
      <c r="H475" s="1" t="str">
        <f>"약전로 7"</f>
        <v>약전로 7</v>
      </c>
      <c r="I475" s="1" t="s">
        <v>17</v>
      </c>
      <c r="J475" s="1" t="str">
        <f>"15/15"</f>
        <v>15/15</v>
      </c>
      <c r="K475" s="1" t="str">
        <f>"2026-07-29 13:18:03"</f>
        <v>2026-07-29 13:18:03</v>
      </c>
      <c r="L475" s="1" t="str">
        <f>"2021-06-28 08:34:52"</f>
        <v>2021-06-28 08:34:52</v>
      </c>
      <c r="M475" s="1" t="s">
        <v>3</v>
      </c>
      <c r="N475" s="1" t="s">
        <v>38</v>
      </c>
      <c r="O475" s="1" t="s">
        <v>46</v>
      </c>
    </row>
    <row r="476" spans="2:15" x14ac:dyDescent="0.3">
      <c r="B476" s="1" t="s">
        <v>24</v>
      </c>
      <c r="C476" s="1" t="str">
        <f>"6차"</f>
        <v>6차</v>
      </c>
      <c r="D476" s="1" t="str">
        <f>"0227P5926S"</f>
        <v>0227P5926S</v>
      </c>
      <c r="E476" s="1" t="s">
        <v>10</v>
      </c>
      <c r="F476" s="1" t="str">
        <f>"fde1:103:4:c6c9:0:0:0:2"</f>
        <v>fde1:103:4:c6c9:0:0:0:2</v>
      </c>
      <c r="G476" s="1" t="str">
        <f>"0227P592"</f>
        <v>0227P592</v>
      </c>
      <c r="H476" s="1" t="str">
        <f>"경동간 11R1"</f>
        <v>경동간 11R1</v>
      </c>
      <c r="I476" s="1" t="s">
        <v>15</v>
      </c>
      <c r="J476" s="1" t="str">
        <f>"21/21"</f>
        <v>21/21</v>
      </c>
      <c r="K476" s="1" t="str">
        <f>"2026-07-29 14:20:04"</f>
        <v>2026-07-29 14:20:04</v>
      </c>
      <c r="L476" s="1" t="str">
        <f>"2024-11-05 14:45:07"</f>
        <v>2024-11-05 14:45:07</v>
      </c>
      <c r="M476" s="1" t="s">
        <v>4</v>
      </c>
      <c r="N476" s="1" t="s">
        <v>38</v>
      </c>
      <c r="O476" s="1" t="s">
        <v>46</v>
      </c>
    </row>
    <row r="477" spans="2:15" x14ac:dyDescent="0.3">
      <c r="B477" s="1" t="s">
        <v>24</v>
      </c>
      <c r="C477" s="1" t="str">
        <f>"1차"</f>
        <v>1차</v>
      </c>
      <c r="D477" s="1" t="str">
        <f>"0227P61201"</f>
        <v>0227P61201</v>
      </c>
      <c r="E477" s="1" t="s">
        <v>10</v>
      </c>
      <c r="F477" s="1" t="str">
        <f>"10.12.131.202"</f>
        <v>10.12.131.202</v>
      </c>
      <c r="G477" s="1" t="str">
        <f>"0227P612"</f>
        <v>0227P612</v>
      </c>
      <c r="H477" s="1" t="str">
        <f>"경동간 25"</f>
        <v>경동간 25</v>
      </c>
      <c r="I477" s="1" t="s">
        <v>8</v>
      </c>
      <c r="J477" s="1" t="str">
        <f>"20/20"</f>
        <v>20/20</v>
      </c>
      <c r="K477" s="1" t="str">
        <f>"2026-07-29 13:18:03"</f>
        <v>2026-07-29 13:18:03</v>
      </c>
      <c r="L477" s="1" t="str">
        <f>"2014-12-08 18:12:27"</f>
        <v>2014-12-08 18:12:27</v>
      </c>
      <c r="M477" s="1" t="s">
        <v>0</v>
      </c>
      <c r="N477" s="1" t="s">
        <v>38</v>
      </c>
      <c r="O477" s="1" t="s">
        <v>46</v>
      </c>
    </row>
    <row r="478" spans="2:15" x14ac:dyDescent="0.3">
      <c r="B478" s="1" t="s">
        <v>24</v>
      </c>
      <c r="C478" s="1" t="str">
        <f>"4차"</f>
        <v>4차</v>
      </c>
      <c r="D478" s="1" t="str">
        <f>"0227P61D45"</f>
        <v>0227P61D45</v>
      </c>
      <c r="E478" s="1" t="s">
        <v>10</v>
      </c>
      <c r="F478" s="1" t="str">
        <f>"10.14.7.188"</f>
        <v>10.14.7.188</v>
      </c>
      <c r="G478" s="1" t="str">
        <f>"0227P61D"</f>
        <v>0227P61D</v>
      </c>
      <c r="H478" s="1" t="str">
        <f>"고산자로 10."</f>
        <v>고산자로 10.</v>
      </c>
      <c r="I478" s="1" t="s">
        <v>17</v>
      </c>
      <c r="J478" s="1" t="str">
        <f>"20/20"</f>
        <v>20/20</v>
      </c>
      <c r="K478" s="1" t="str">
        <f>"2026-07-29 13:18:04"</f>
        <v>2026-07-29 13:18:04</v>
      </c>
      <c r="L478" s="1" t="str">
        <f>"2021-10-25 07:30:25"</f>
        <v>2021-10-25 07:30:25</v>
      </c>
      <c r="M478" s="1" t="s">
        <v>3</v>
      </c>
      <c r="N478" s="1" t="s">
        <v>38</v>
      </c>
      <c r="O478" s="1" t="s">
        <v>46</v>
      </c>
    </row>
    <row r="479" spans="2:15" x14ac:dyDescent="0.3">
      <c r="B479" s="1" t="s">
        <v>24</v>
      </c>
      <c r="C479" s="1" t="str">
        <f>"4차"</f>
        <v>4차</v>
      </c>
      <c r="D479" s="1" t="str">
        <f>"0227P62139"</f>
        <v>0227P62139</v>
      </c>
      <c r="E479" s="1" t="s">
        <v>10</v>
      </c>
      <c r="F479" s="1" t="str">
        <f>"10.12.132.96"</f>
        <v>10.12.132.96</v>
      </c>
      <c r="G479" s="1" t="str">
        <f>"0227P621"</f>
        <v>0227P621</v>
      </c>
      <c r="H479" s="1" t="str">
        <f>"고산자로 11"</f>
        <v>고산자로 11</v>
      </c>
      <c r="I479" s="1" t="s">
        <v>17</v>
      </c>
      <c r="J479" s="1" t="str">
        <f>"69/69"</f>
        <v>69/69</v>
      </c>
      <c r="K479" s="1" t="str">
        <f>"2026-07-29 13:18:03"</f>
        <v>2026-07-29 13:18:03</v>
      </c>
      <c r="L479" s="1" t="str">
        <f>"2018-10-11 08:21:36"</f>
        <v>2018-10-11 08:21:36</v>
      </c>
      <c r="M479" s="1" t="s">
        <v>0</v>
      </c>
      <c r="N479" s="1" t="s">
        <v>38</v>
      </c>
      <c r="O479" s="1" t="s">
        <v>46</v>
      </c>
    </row>
    <row r="480" spans="2:15" x14ac:dyDescent="0.3">
      <c r="B480" s="1" t="s">
        <v>24</v>
      </c>
      <c r="C480" s="1" t="str">
        <f>"1차"</f>
        <v>1차</v>
      </c>
      <c r="D480" s="1" t="str">
        <f>"0227P70301"</f>
        <v>0227P70301</v>
      </c>
      <c r="E480" s="1" t="s">
        <v>10</v>
      </c>
      <c r="F480" s="1" t="str">
        <f>"10.89.252.228"</f>
        <v>10.89.252.228</v>
      </c>
      <c r="G480" s="1" t="str">
        <f>"0227P703"</f>
        <v>0227P703</v>
      </c>
      <c r="H480" s="1" t="str">
        <f>"경동간 26L5R1R3"</f>
        <v>경동간 26L5R1R3</v>
      </c>
      <c r="I480" s="1" t="s">
        <v>8</v>
      </c>
      <c r="J480" s="1" t="str">
        <f>"29/29"</f>
        <v>29/29</v>
      </c>
      <c r="K480" s="1" t="str">
        <f>"2026-07-29 13:18:02"</f>
        <v>2026-07-29 13:18:02</v>
      </c>
      <c r="L480" s="1" t="str">
        <f>"2015-03-16 11:26:19"</f>
        <v>2015-03-16 11:26:19</v>
      </c>
      <c r="M480" s="1" t="s">
        <v>45</v>
      </c>
      <c r="N480" s="1" t="s">
        <v>38</v>
      </c>
      <c r="O480" s="1" t="s">
        <v>46</v>
      </c>
    </row>
    <row r="481" spans="2:15" x14ac:dyDescent="0.3">
      <c r="B481" s="1" t="s">
        <v>24</v>
      </c>
      <c r="C481" s="1" t="str">
        <f>"5-2차"</f>
        <v>5-2차</v>
      </c>
      <c r="D481" s="1" t="str">
        <f>"0227P8315M"</f>
        <v>0227P8315M</v>
      </c>
      <c r="E481" s="1" t="s">
        <v>10</v>
      </c>
      <c r="F481" s="1" t="str">
        <f>"fde3:102:1430:4200:0:0:0:4"</f>
        <v>fde3:102:1430:4200:0:0:0:4</v>
      </c>
      <c r="G481" s="1" t="str">
        <f>"0227P831"</f>
        <v>0227P831</v>
      </c>
      <c r="H481" s="1" t="str">
        <f>"경동간 26L5L4L3"</f>
        <v>경동간 26L5L4L3</v>
      </c>
      <c r="I481" s="1" t="s">
        <v>15</v>
      </c>
      <c r="J481" s="1" t="str">
        <f>"35/35"</f>
        <v>35/35</v>
      </c>
      <c r="K481" s="1" t="str">
        <f>"2026-07-29 14:20:00"</f>
        <v>2026-07-29 14:20:00</v>
      </c>
      <c r="L481" s="1" t="str">
        <f>"2023-09-05 13:03:46"</f>
        <v>2023-09-05 13:03:46</v>
      </c>
      <c r="M481" s="1" t="s">
        <v>45</v>
      </c>
      <c r="N481" s="1" t="s">
        <v>38</v>
      </c>
      <c r="O481" s="1" t="s">
        <v>46</v>
      </c>
    </row>
    <row r="482" spans="2:15" x14ac:dyDescent="0.3">
      <c r="B482" s="1" t="s">
        <v>24</v>
      </c>
      <c r="C482" s="1" t="str">
        <f>"1차"</f>
        <v>1차</v>
      </c>
      <c r="D482" s="1" t="str">
        <f>"0227P91201"</f>
        <v>0227P91201</v>
      </c>
      <c r="E482" s="1" t="s">
        <v>10</v>
      </c>
      <c r="F482" s="1" t="str">
        <f>"10.14.15.120"</f>
        <v>10.14.15.120</v>
      </c>
      <c r="G482" s="1" t="str">
        <f>"0227P912"</f>
        <v>0227P912</v>
      </c>
      <c r="H482" s="1" t="str">
        <f>"경동간 26L5L1"</f>
        <v>경동간 26L5L1</v>
      </c>
      <c r="I482" s="1" t="s">
        <v>8</v>
      </c>
      <c r="J482" s="1" t="str">
        <f>"22/25"</f>
        <v>22/25</v>
      </c>
      <c r="K482" s="1" t="str">
        <f>"2026-07-29 13:18:03"</f>
        <v>2026-07-29 13:18:03</v>
      </c>
      <c r="L482" s="1" t="str">
        <f>"2014-12-08 11:53:32"</f>
        <v>2014-12-08 11:53:32</v>
      </c>
      <c r="M482" s="1" t="s">
        <v>3</v>
      </c>
      <c r="N482" s="1" t="s">
        <v>38</v>
      </c>
      <c r="O482" s="1" t="s">
        <v>46</v>
      </c>
    </row>
    <row r="483" spans="2:15" x14ac:dyDescent="0.3">
      <c r="B483" s="1" t="s">
        <v>24</v>
      </c>
      <c r="C483" s="1" t="str">
        <f>"6차"</f>
        <v>6차</v>
      </c>
      <c r="D483" s="1" t="str">
        <f>"0227P9336S"</f>
        <v>0227P9336S</v>
      </c>
      <c r="E483" s="1" t="s">
        <v>10</v>
      </c>
      <c r="F483" s="1" t="str">
        <f>"fde1:103:4:c696:0:0:0:2"</f>
        <v>fde1:103:4:c696:0:0:0:2</v>
      </c>
      <c r="G483" s="1" t="str">
        <f>"0227P933"</f>
        <v>0227P933</v>
      </c>
      <c r="H483" s="1" t="str">
        <f>"경동간 26L5L3"</f>
        <v>경동간 26L5L3</v>
      </c>
      <c r="I483" s="1" t="s">
        <v>15</v>
      </c>
      <c r="J483" s="1" t="str">
        <f>"103/103"</f>
        <v>103/103</v>
      </c>
      <c r="K483" s="1" t="str">
        <f>"2026-07-29 14:20:46"</f>
        <v>2026-07-29 14:20:46</v>
      </c>
      <c r="L483" s="1" t="str">
        <f>"2024-09-25 19:40:23"</f>
        <v>2024-09-25 19:40:23</v>
      </c>
      <c r="M483" s="1" t="s">
        <v>4</v>
      </c>
      <c r="N483" s="1" t="s">
        <v>38</v>
      </c>
      <c r="O483" s="1" t="s">
        <v>46</v>
      </c>
    </row>
    <row r="484" spans="2:15" x14ac:dyDescent="0.3">
      <c r="B484" s="1" t="s">
        <v>24</v>
      </c>
      <c r="C484" s="1" t="str">
        <f>"5-2차"</f>
        <v>5-2차</v>
      </c>
      <c r="D484" s="1" t="str">
        <f>"0227Q0625M"</f>
        <v>0227Q0625M</v>
      </c>
      <c r="E484" s="1" t="s">
        <v>10</v>
      </c>
      <c r="F484" s="1" t="str">
        <f>"fde1:103:4:59a1:0:0:0:2"</f>
        <v>fde1:103:4:59a1:0:0:0:2</v>
      </c>
      <c r="G484" s="1" t="str">
        <f>"0227Q062"</f>
        <v>0227Q062</v>
      </c>
      <c r="H484" s="1" t="str">
        <f>"청량간 38R7"</f>
        <v>청량간 38R7</v>
      </c>
      <c r="I484" s="1" t="s">
        <v>15</v>
      </c>
      <c r="J484" s="1" t="str">
        <f>"12/12"</f>
        <v>12/12</v>
      </c>
      <c r="K484" s="1" t="str">
        <f>"2026-07-29 14:20:04"</f>
        <v>2026-07-29 14:20:04</v>
      </c>
      <c r="L484" s="1" t="str">
        <f>"2023-09-13 11:14:57"</f>
        <v>2023-09-13 11:14:57</v>
      </c>
      <c r="M484" s="1" t="s">
        <v>4</v>
      </c>
      <c r="N484" s="1" t="s">
        <v>38</v>
      </c>
      <c r="O484" s="1" t="s">
        <v>46</v>
      </c>
    </row>
    <row r="485" spans="2:15" x14ac:dyDescent="0.3">
      <c r="B485" s="1" t="s">
        <v>24</v>
      </c>
      <c r="C485" s="1" t="str">
        <f>"4차"</f>
        <v>4차</v>
      </c>
      <c r="D485" s="1" t="str">
        <f>"0227Q12142"</f>
        <v>0227Q12142</v>
      </c>
      <c r="E485" s="1" t="s">
        <v>10</v>
      </c>
      <c r="F485" s="1" t="str">
        <f>"10.12.130.51"</f>
        <v>10.12.130.51</v>
      </c>
      <c r="G485" s="1" t="str">
        <f>"0227Q121"</f>
        <v>0227Q121</v>
      </c>
      <c r="H485" s="1" t="str">
        <f>"경동간 26L9L1"</f>
        <v>경동간 26L9L1</v>
      </c>
      <c r="I485" s="1" t="s">
        <v>8</v>
      </c>
      <c r="J485" s="1" t="str">
        <f>"47/50"</f>
        <v>47/50</v>
      </c>
      <c r="K485" s="1" t="str">
        <f>"2026-07-29 13:18:02"</f>
        <v>2026-07-29 13:18:02</v>
      </c>
      <c r="L485" s="1" t="str">
        <f>"2024-12-23 13:15:06"</f>
        <v>2024-12-23 13:15:06</v>
      </c>
      <c r="M485" s="1" t="s">
        <v>0</v>
      </c>
      <c r="N485" s="1" t="s">
        <v>38</v>
      </c>
      <c r="O485" s="1" t="s">
        <v>46</v>
      </c>
    </row>
    <row r="486" spans="2:15" x14ac:dyDescent="0.3">
      <c r="B486" s="1" t="s">
        <v>24</v>
      </c>
      <c r="C486" s="1" t="str">
        <f>"1차"</f>
        <v>1차</v>
      </c>
      <c r="D486" s="1" t="str">
        <f>"0227Q14201"</f>
        <v>0227Q14201</v>
      </c>
      <c r="E486" s="1" t="s">
        <v>10</v>
      </c>
      <c r="F486" s="1" t="str">
        <f>"10.14.10.192"</f>
        <v>10.14.10.192</v>
      </c>
      <c r="G486" s="1" t="str">
        <f>"0227Q142"</f>
        <v>0227Q142</v>
      </c>
      <c r="H486" s="1" t="str">
        <f>"청량간 39R4L3"</f>
        <v>청량간 39R4L3</v>
      </c>
      <c r="I486" s="1" t="s">
        <v>8</v>
      </c>
      <c r="J486" s="1" t="str">
        <f>"57/59"</f>
        <v>57/59</v>
      </c>
      <c r="K486" s="1" t="str">
        <f>"2026-07-29 13:18:03"</f>
        <v>2026-07-29 13:18:03</v>
      </c>
      <c r="L486" s="1" t="str">
        <f>"2014-08-23 11:23:31"</f>
        <v>2014-08-23 11:23:31</v>
      </c>
      <c r="M486" s="1" t="s">
        <v>3</v>
      </c>
      <c r="N486" s="1" t="s">
        <v>38</v>
      </c>
      <c r="O486" s="1" t="s">
        <v>46</v>
      </c>
    </row>
    <row r="487" spans="2:15" x14ac:dyDescent="0.3">
      <c r="B487" s="1" t="s">
        <v>24</v>
      </c>
      <c r="C487" s="1" t="str">
        <f>"4차"</f>
        <v>4차</v>
      </c>
      <c r="D487" s="1" t="str">
        <f>"0227Q17344"</f>
        <v>0227Q17344</v>
      </c>
      <c r="E487" s="1" t="s">
        <v>10</v>
      </c>
      <c r="F487" s="1" t="str">
        <f>"10.89.245.130"</f>
        <v>10.89.245.130</v>
      </c>
      <c r="G487" s="1" t="str">
        <f>"0227Q173"</f>
        <v>0227Q173</v>
      </c>
      <c r="H487" s="1" t="str">
        <f>"청량간 38R5R3"</f>
        <v>청량간 38R5R3</v>
      </c>
      <c r="I487" s="1" t="s">
        <v>8</v>
      </c>
      <c r="J487" s="1" t="str">
        <f>"83/87"</f>
        <v>83/87</v>
      </c>
      <c r="K487" s="1" t="str">
        <f>"2026-07-29 13:18:01"</f>
        <v>2026-07-29 13:18:01</v>
      </c>
      <c r="L487" s="1" t="str">
        <f>"2023-07-20 17:41:55"</f>
        <v>2023-07-20 17:41:55</v>
      </c>
      <c r="M487" s="1" t="s">
        <v>45</v>
      </c>
      <c r="N487" s="1" t="s">
        <v>38</v>
      </c>
      <c r="O487" s="1" t="s">
        <v>46</v>
      </c>
    </row>
    <row r="488" spans="2:15" x14ac:dyDescent="0.3">
      <c r="B488" s="1" t="s">
        <v>24</v>
      </c>
      <c r="C488" s="1" t="str">
        <f>"4차"</f>
        <v>4차</v>
      </c>
      <c r="D488" s="1" t="str">
        <f>"0227Q23242"</f>
        <v>0227Q23242</v>
      </c>
      <c r="E488" s="1" t="s">
        <v>10</v>
      </c>
      <c r="F488" s="1" t="str">
        <f>"10.89.252.238"</f>
        <v>10.89.252.238</v>
      </c>
      <c r="G488" s="1" t="str">
        <f>"0227Q232"</f>
        <v>0227Q232</v>
      </c>
      <c r="H488" s="1" t="str">
        <f>"청량간 39R4L5"</f>
        <v>청량간 39R4L5</v>
      </c>
      <c r="I488" s="1" t="s">
        <v>8</v>
      </c>
      <c r="J488" s="1" t="str">
        <f>"65/65"</f>
        <v>65/65</v>
      </c>
      <c r="K488" s="1" t="str">
        <f>"2026-07-29 13:18:02"</f>
        <v>2026-07-29 13:18:02</v>
      </c>
      <c r="L488" s="1" t="str">
        <f>"2025-01-16 09:41:25"</f>
        <v>2025-01-16 09:41:25</v>
      </c>
      <c r="M488" s="1" t="s">
        <v>45</v>
      </c>
      <c r="N488" s="1" t="s">
        <v>38</v>
      </c>
      <c r="O488" s="1" t="s">
        <v>46</v>
      </c>
    </row>
    <row r="489" spans="2:15" x14ac:dyDescent="0.3">
      <c r="B489" s="1" t="s">
        <v>24</v>
      </c>
      <c r="C489" s="1" t="str">
        <f>"1차"</f>
        <v>1차</v>
      </c>
      <c r="D489" s="1" t="str">
        <f>"0227Q26100"</f>
        <v>0227Q26100</v>
      </c>
      <c r="E489" s="1" t="s">
        <v>10</v>
      </c>
      <c r="F489" s="1" t="str">
        <f>"10.89.252.245"</f>
        <v>10.89.252.245</v>
      </c>
      <c r="G489" s="1" t="str">
        <f>"0227Q261"</f>
        <v>0227Q261</v>
      </c>
      <c r="H489" s="1" t="str">
        <f>"청량간 39R3"</f>
        <v>청량간 39R3</v>
      </c>
      <c r="I489" s="1" t="s">
        <v>8</v>
      </c>
      <c r="J489" s="1" t="str">
        <f>"6/6"</f>
        <v>6/6</v>
      </c>
      <c r="K489" s="1" t="str">
        <f>"2026-07-29 13:18:01"</f>
        <v>2026-07-29 13:18:01</v>
      </c>
      <c r="L489" s="1" t="str">
        <f>"2014-08-25 09:10:48"</f>
        <v>2014-08-25 09:10:48</v>
      </c>
      <c r="M489" s="1" t="s">
        <v>45</v>
      </c>
      <c r="N489" s="1" t="s">
        <v>38</v>
      </c>
      <c r="O489" s="1" t="s">
        <v>46</v>
      </c>
    </row>
    <row r="490" spans="2:15" x14ac:dyDescent="0.3">
      <c r="B490" s="1" t="s">
        <v>24</v>
      </c>
      <c r="C490" s="1" t="str">
        <f>"4차"</f>
        <v>4차</v>
      </c>
      <c r="D490" s="1" t="str">
        <f>"0227Q27242"</f>
        <v>0227Q27242</v>
      </c>
      <c r="E490" s="1" t="s">
        <v>10</v>
      </c>
      <c r="F490" s="1" t="str">
        <f>"10.12.136.236"</f>
        <v>10.12.136.236</v>
      </c>
      <c r="G490" s="1" t="str">
        <f>"0227Q272"</f>
        <v>0227Q272</v>
      </c>
      <c r="H490" s="1" t="str">
        <f>"청량간 34R2L3"</f>
        <v>청량간 34R2L3</v>
      </c>
      <c r="I490" s="1" t="s">
        <v>8</v>
      </c>
      <c r="J490" s="1" t="str">
        <f>"86/92"</f>
        <v>86/92</v>
      </c>
      <c r="K490" s="1" t="str">
        <f>"2026-07-29 07:18:04"</f>
        <v>2026-07-29 07:18:04</v>
      </c>
      <c r="L490" s="1" t="str">
        <f>"2025-08-08 16:58:08"</f>
        <v>2025-08-08 16:58:08</v>
      </c>
      <c r="M490" s="1" t="s">
        <v>0</v>
      </c>
      <c r="N490" s="1" t="s">
        <v>38</v>
      </c>
      <c r="O490" s="1" t="s">
        <v>46</v>
      </c>
    </row>
    <row r="491" spans="2:15" x14ac:dyDescent="0.3">
      <c r="B491" s="1" t="s">
        <v>24</v>
      </c>
      <c r="C491" s="1" t="str">
        <f>"4차"</f>
        <v>4차</v>
      </c>
      <c r="D491" s="1" t="str">
        <f>"0227Q28142"</f>
        <v>0227Q28142</v>
      </c>
      <c r="E491" s="1" t="s">
        <v>10</v>
      </c>
      <c r="F491" s="1" t="str">
        <f>"10.12.128.175"</f>
        <v>10.12.128.175</v>
      </c>
      <c r="G491" s="1" t="str">
        <f>"0227Q281"</f>
        <v>0227Q281</v>
      </c>
      <c r="H491" s="1" t="str">
        <f>"청량간 34R2L1"</f>
        <v>청량간 34R2L1</v>
      </c>
      <c r="I491" s="1" t="s">
        <v>8</v>
      </c>
      <c r="J491" s="1" t="str">
        <f>"62/62"</f>
        <v>62/62</v>
      </c>
      <c r="K491" s="1" t="str">
        <f>"2026-07-29 13:18:02"</f>
        <v>2026-07-29 13:18:02</v>
      </c>
      <c r="L491" s="1" t="str">
        <f>"2024-11-08 11:24:27"</f>
        <v>2024-11-08 11:24:27</v>
      </c>
      <c r="M491" s="1" t="s">
        <v>0</v>
      </c>
      <c r="N491" s="1" t="s">
        <v>38</v>
      </c>
      <c r="O491" s="1" t="s">
        <v>46</v>
      </c>
    </row>
    <row r="492" spans="2:15" x14ac:dyDescent="0.3">
      <c r="B492" s="1" t="s">
        <v>24</v>
      </c>
      <c r="C492" s="1" t="str">
        <f>"1차"</f>
        <v>1차</v>
      </c>
      <c r="D492" s="1" t="str">
        <f>"0227Q33101"</f>
        <v>0227Q33101</v>
      </c>
      <c r="E492" s="1" t="s">
        <v>10</v>
      </c>
      <c r="F492" s="1" t="str">
        <f>"10.12.129.168"</f>
        <v>10.12.129.168</v>
      </c>
      <c r="G492" s="1" t="str">
        <f>"0227Q331"</f>
        <v>0227Q331</v>
      </c>
      <c r="H492" s="1" t="str">
        <f>"청량간 45R4"</f>
        <v>청량간 45R4</v>
      </c>
      <c r="I492" s="1" t="s">
        <v>8</v>
      </c>
      <c r="J492" s="1" t="str">
        <f>"14/18"</f>
        <v>14/18</v>
      </c>
      <c r="K492" s="1" t="str">
        <f>"2026-07-29 13:18:03"</f>
        <v>2026-07-29 13:18:03</v>
      </c>
      <c r="L492" s="1" t="str">
        <f>"2014-09-01 17:11:02"</f>
        <v>2014-09-01 17:11:02</v>
      </c>
      <c r="M492" s="1" t="s">
        <v>0</v>
      </c>
      <c r="N492" s="1" t="s">
        <v>38</v>
      </c>
      <c r="O492" s="1" t="s">
        <v>46</v>
      </c>
    </row>
    <row r="493" spans="2:15" x14ac:dyDescent="0.3">
      <c r="B493" s="1" t="s">
        <v>24</v>
      </c>
      <c r="C493" s="1" t="str">
        <f>"4차"</f>
        <v>4차</v>
      </c>
      <c r="D493" s="1" t="str">
        <f>"0227Q34144"</f>
        <v>0227Q34144</v>
      </c>
      <c r="E493" s="1" t="s">
        <v>10</v>
      </c>
      <c r="F493" s="1" t="str">
        <f>"10.12.130.231"</f>
        <v>10.12.130.231</v>
      </c>
      <c r="G493" s="1" t="str">
        <f>"0227Q341"</f>
        <v>0227Q341</v>
      </c>
      <c r="H493" s="1" t="str">
        <f>"청량간 39R4L4L3"</f>
        <v>청량간 39R4L4L3</v>
      </c>
      <c r="I493" s="1" t="s">
        <v>8</v>
      </c>
      <c r="J493" s="1" t="str">
        <f>"24/24"</f>
        <v>24/24</v>
      </c>
      <c r="K493" s="1" t="str">
        <f>"2026-07-29 13:18:02"</f>
        <v>2026-07-29 13:18:02</v>
      </c>
      <c r="L493" s="1" t="str">
        <f>"2023-07-19 17:25:02"</f>
        <v>2023-07-19 17:25:02</v>
      </c>
      <c r="M493" s="1" t="s">
        <v>0</v>
      </c>
      <c r="N493" s="1" t="s">
        <v>38</v>
      </c>
      <c r="O493" s="1" t="s">
        <v>46</v>
      </c>
    </row>
    <row r="494" spans="2:15" x14ac:dyDescent="0.3">
      <c r="B494" s="1" t="s">
        <v>24</v>
      </c>
      <c r="C494" s="1" t="str">
        <f>"6차"</f>
        <v>6차</v>
      </c>
      <c r="D494" s="1" t="str">
        <f>"0227Q3926S"</f>
        <v>0227Q3926S</v>
      </c>
      <c r="E494" s="1" t="s">
        <v>12</v>
      </c>
      <c r="F494" s="1" t="str">
        <f>"fde1:103:4:c5bf:0:0:0:2"</f>
        <v>fde1:103:4:c5bf:0:0:0:2</v>
      </c>
      <c r="G494" s="1" t="str">
        <f>"0227Q392"</f>
        <v>0227Q392</v>
      </c>
      <c r="H494" s="1" t="str">
        <f>"청량간 34"</f>
        <v>청량간 34</v>
      </c>
      <c r="I494" s="1" t="s">
        <v>15</v>
      </c>
      <c r="J494" s="1" t="str">
        <f>"0/71"</f>
        <v>0/71</v>
      </c>
      <c r="K494" s="1" t="str">
        <f>"2026-05-23 02:20:59"</f>
        <v>2026-05-23 02:20:59</v>
      </c>
      <c r="L494" s="1" t="str">
        <f>"2024-11-05 14:44:35"</f>
        <v>2024-11-05 14:44:35</v>
      </c>
      <c r="M494" s="1" t="s">
        <v>4</v>
      </c>
      <c r="N494" s="1" t="s">
        <v>38</v>
      </c>
      <c r="O494" s="1" t="s">
        <v>46</v>
      </c>
    </row>
    <row r="495" spans="2:15" x14ac:dyDescent="0.3">
      <c r="B495" s="1" t="s">
        <v>24</v>
      </c>
      <c r="C495" s="1" t="str">
        <f>"4차"</f>
        <v>4차</v>
      </c>
      <c r="D495" s="1" t="str">
        <f>"0227Q43242"</f>
        <v>0227Q43242</v>
      </c>
      <c r="E495" s="1" t="s">
        <v>10</v>
      </c>
      <c r="F495" s="1" t="str">
        <f>"10.89.252.241"</f>
        <v>10.89.252.241</v>
      </c>
      <c r="G495" s="1" t="str">
        <f>"0227Q432"</f>
        <v>0227Q432</v>
      </c>
      <c r="H495" s="1" t="str">
        <f>"청량간 45R3"</f>
        <v>청량간 45R3</v>
      </c>
      <c r="I495" s="1" t="s">
        <v>8</v>
      </c>
      <c r="J495" s="1" t="str">
        <f>"57/57"</f>
        <v>57/57</v>
      </c>
      <c r="K495" s="1" t="str">
        <f>"2026-07-29 13:18:01"</f>
        <v>2026-07-29 13:18:01</v>
      </c>
      <c r="L495" s="1" t="str">
        <f>"2025-06-27 08:16:26"</f>
        <v>2025-06-27 08:16:26</v>
      </c>
      <c r="M495" s="1" t="s">
        <v>45</v>
      </c>
      <c r="N495" s="1" t="s">
        <v>38</v>
      </c>
      <c r="O495" s="1" t="s">
        <v>46</v>
      </c>
    </row>
    <row r="496" spans="2:15" x14ac:dyDescent="0.3">
      <c r="B496" s="1" t="s">
        <v>24</v>
      </c>
      <c r="C496" s="1" t="str">
        <f>"5-2차"</f>
        <v>5-2차</v>
      </c>
      <c r="D496" s="1" t="str">
        <f>"0227Q4345M"</f>
        <v>0227Q4345M</v>
      </c>
      <c r="E496" s="1" t="s">
        <v>10</v>
      </c>
      <c r="F496" s="1" t="str">
        <f>"fde3:102:1430:4200:0:0:0:2"</f>
        <v>fde3:102:1430:4200:0:0:0:2</v>
      </c>
      <c r="G496" s="1" t="str">
        <f>"0227Q434"</f>
        <v>0227Q434</v>
      </c>
      <c r="H496" s="1" t="str">
        <f>"청량간 45R2"</f>
        <v>청량간 45R2</v>
      </c>
      <c r="I496" s="1" t="s">
        <v>15</v>
      </c>
      <c r="J496" s="1" t="str">
        <f>"29/29"</f>
        <v>29/29</v>
      </c>
      <c r="K496" s="1" t="str">
        <f>"2026-07-29 14:20:32"</f>
        <v>2026-07-29 14:20:32</v>
      </c>
      <c r="L496" s="1" t="str">
        <f>"2023-09-05 13:09:26"</f>
        <v>2023-09-05 13:09:26</v>
      </c>
      <c r="M496" s="1" t="s">
        <v>45</v>
      </c>
      <c r="N496" s="1" t="s">
        <v>38</v>
      </c>
      <c r="O496" s="1" t="s">
        <v>46</v>
      </c>
    </row>
    <row r="497" spans="2:15" x14ac:dyDescent="0.3">
      <c r="B497" s="1" t="s">
        <v>24</v>
      </c>
      <c r="C497" s="1" t="str">
        <f>"1차"</f>
        <v>1차</v>
      </c>
      <c r="D497" s="1" t="str">
        <f>"0227Q47300"</f>
        <v>0227Q47300</v>
      </c>
      <c r="E497" s="1" t="s">
        <v>10</v>
      </c>
      <c r="F497" s="1" t="str">
        <f>"10.89.253.5"</f>
        <v>10.89.253.5</v>
      </c>
      <c r="G497" s="1" t="str">
        <f>"0227Q473"</f>
        <v>0227Q473</v>
      </c>
      <c r="H497" s="1" t="str">
        <f>"연구간 87"</f>
        <v>연구간 87</v>
      </c>
      <c r="I497" s="1" t="s">
        <v>8</v>
      </c>
      <c r="J497" s="1" t="str">
        <f>"18/18"</f>
        <v>18/18</v>
      </c>
      <c r="K497" s="1" t="str">
        <f>"2026-07-29 13:18:02"</f>
        <v>2026-07-29 13:18:02</v>
      </c>
      <c r="L497" s="1" t="str">
        <f>"2014-07-29 00:11:54"</f>
        <v>2014-07-29 00:11:54</v>
      </c>
      <c r="M497" s="1" t="s">
        <v>45</v>
      </c>
      <c r="N497" s="1" t="s">
        <v>38</v>
      </c>
      <c r="O497" s="1" t="s">
        <v>46</v>
      </c>
    </row>
    <row r="498" spans="2:15" x14ac:dyDescent="0.3">
      <c r="B498" s="1" t="s">
        <v>24</v>
      </c>
      <c r="C498" s="1" t="str">
        <f>"5-2차"</f>
        <v>5-2차</v>
      </c>
      <c r="D498" s="1" t="str">
        <f>"0227Q4925M"</f>
        <v>0227Q4925M</v>
      </c>
      <c r="E498" s="1" t="s">
        <v>10</v>
      </c>
      <c r="F498" s="1" t="str">
        <f>"fde1:103:4:590b:0:0:0:2"</f>
        <v>fde1:103:4:590b:0:0:0:2</v>
      </c>
      <c r="G498" s="1" t="str">
        <f>"0227Q492"</f>
        <v>0227Q492</v>
      </c>
      <c r="H498" s="1" t="str">
        <f>"연구간 91"</f>
        <v>연구간 91</v>
      </c>
      <c r="I498" s="1" t="s">
        <v>15</v>
      </c>
      <c r="J498" s="1" t="str">
        <f>"46/46"</f>
        <v>46/46</v>
      </c>
      <c r="K498" s="1" t="str">
        <f>"2026-07-29 14:20:53"</f>
        <v>2026-07-29 14:20:53</v>
      </c>
      <c r="L498" s="1" t="str">
        <f>"2023-09-13 11:12:50"</f>
        <v>2023-09-13 11:12:50</v>
      </c>
      <c r="M498" s="1" t="s">
        <v>4</v>
      </c>
      <c r="N498" s="1" t="s">
        <v>38</v>
      </c>
      <c r="O498" s="1" t="s">
        <v>46</v>
      </c>
    </row>
    <row r="499" spans="2:15" x14ac:dyDescent="0.3">
      <c r="B499" s="1" t="s">
        <v>24</v>
      </c>
      <c r="C499" s="1" t="str">
        <f>"5-2차"</f>
        <v>5-2차</v>
      </c>
      <c r="D499" s="1" t="str">
        <f>"0227Q5245M"</f>
        <v>0227Q5245M</v>
      </c>
      <c r="E499" s="1" t="s">
        <v>10</v>
      </c>
      <c r="F499" s="1" t="str">
        <f>"fde3:102:1430:4200:0:0:0:3"</f>
        <v>fde3:102:1430:4200:0:0:0:3</v>
      </c>
      <c r="G499" s="1" t="str">
        <f>"0227Q524"</f>
        <v>0227Q524</v>
      </c>
      <c r="H499" s="1" t="str">
        <f>"청량간 46"</f>
        <v>청량간 46</v>
      </c>
      <c r="I499" s="1" t="s">
        <v>15</v>
      </c>
      <c r="J499" s="1" t="str">
        <f>"45/45"</f>
        <v>45/45</v>
      </c>
      <c r="K499" s="1" t="str">
        <f>"2026-07-29 14:20:40"</f>
        <v>2026-07-29 14:20:40</v>
      </c>
      <c r="L499" s="1" t="str">
        <f>"2023-09-05 13:07:57"</f>
        <v>2023-09-05 13:07:57</v>
      </c>
      <c r="M499" s="1" t="s">
        <v>45</v>
      </c>
      <c r="N499" s="1" t="s">
        <v>38</v>
      </c>
      <c r="O499" s="1" t="s">
        <v>46</v>
      </c>
    </row>
    <row r="500" spans="2:15" x14ac:dyDescent="0.3">
      <c r="B500" s="1" t="s">
        <v>24</v>
      </c>
      <c r="C500" s="1" t="str">
        <f>"1차"</f>
        <v>1차</v>
      </c>
      <c r="D500" s="1" t="str">
        <f>"0227Q61100"</f>
        <v>0227Q61100</v>
      </c>
      <c r="E500" s="1" t="s">
        <v>10</v>
      </c>
      <c r="F500" s="1" t="str">
        <f>"10.89.253.2"</f>
        <v>10.89.253.2</v>
      </c>
      <c r="G500" s="1" t="str">
        <f>"0227Q611"</f>
        <v>0227Q611</v>
      </c>
      <c r="H500" s="1" t="str">
        <f>"임업지 15"</f>
        <v>임업지 15</v>
      </c>
      <c r="I500" s="1" t="s">
        <v>8</v>
      </c>
      <c r="J500" s="1" t="str">
        <f>"11/11"</f>
        <v>11/11</v>
      </c>
      <c r="K500" s="1" t="str">
        <f>"2026-07-29 13:18:01"</f>
        <v>2026-07-29 13:18:01</v>
      </c>
      <c r="L500" s="1" t="str">
        <f>"2014-08-20 13:57:18"</f>
        <v>2014-08-20 13:57:18</v>
      </c>
      <c r="M500" s="1" t="s">
        <v>45</v>
      </c>
      <c r="N500" s="1" t="s">
        <v>38</v>
      </c>
      <c r="O500" s="1" t="s">
        <v>46</v>
      </c>
    </row>
    <row r="501" spans="2:15" x14ac:dyDescent="0.3">
      <c r="B501" s="1" t="s">
        <v>24</v>
      </c>
      <c r="C501" s="1" t="str">
        <f>"1차"</f>
        <v>1차</v>
      </c>
      <c r="D501" s="1" t="str">
        <f>"0227Q73100"</f>
        <v>0227Q73100</v>
      </c>
      <c r="E501" s="1" t="s">
        <v>10</v>
      </c>
      <c r="F501" s="1" t="str">
        <f>"10.89.253.6"</f>
        <v>10.89.253.6</v>
      </c>
      <c r="G501" s="1" t="str">
        <f>"0227Q731"</f>
        <v>0227Q731</v>
      </c>
      <c r="H501" s="1" t="str">
        <f>"임업지 18R9"</f>
        <v>임업지 18R9</v>
      </c>
      <c r="I501" s="1" t="s">
        <v>8</v>
      </c>
      <c r="J501" s="1" t="str">
        <f>"1/1"</f>
        <v>1/1</v>
      </c>
      <c r="K501" s="1" t="str">
        <f>"2026-07-29 13:18:02"</f>
        <v>2026-07-29 13:18:02</v>
      </c>
      <c r="L501" s="1" t="str">
        <f>"2014-09-20 00:11:12"</f>
        <v>2014-09-20 00:11:12</v>
      </c>
      <c r="M501" s="1" t="s">
        <v>45</v>
      </c>
      <c r="N501" s="1" t="s">
        <v>38</v>
      </c>
      <c r="O501" s="1" t="s">
        <v>46</v>
      </c>
    </row>
    <row r="502" spans="2:15" x14ac:dyDescent="0.3">
      <c r="B502" s="1" t="s">
        <v>24</v>
      </c>
      <c r="C502" s="1" t="str">
        <f>"5-2차"</f>
        <v>5-2차</v>
      </c>
      <c r="D502" s="1" t="str">
        <f>"0227Q8415S"</f>
        <v>0227Q8415S</v>
      </c>
      <c r="E502" s="1" t="s">
        <v>10</v>
      </c>
      <c r="F502" s="1" t="str">
        <f>"fde1:103:4:58f6:0:0:0:2"</f>
        <v>fde1:103:4:58f6:0:0:0:2</v>
      </c>
      <c r="G502" s="1" t="str">
        <f>"0227Q841"</f>
        <v>0227Q841</v>
      </c>
      <c r="H502" s="1" t="str">
        <f>"임업지 18R7"</f>
        <v>임업지 18R7</v>
      </c>
      <c r="I502" s="1" t="s">
        <v>15</v>
      </c>
      <c r="J502" s="1" t="str">
        <f>"1/1"</f>
        <v>1/1</v>
      </c>
      <c r="K502" s="1" t="str">
        <f>"2026-07-29 14:20:52"</f>
        <v>2026-07-29 14:20:52</v>
      </c>
      <c r="L502" s="1" t="str">
        <f>"2023-09-13 13:15:24"</f>
        <v>2023-09-13 13:15:24</v>
      </c>
      <c r="M502" s="1" t="s">
        <v>4</v>
      </c>
      <c r="N502" s="1" t="s">
        <v>38</v>
      </c>
      <c r="O502" s="1" t="s">
        <v>46</v>
      </c>
    </row>
    <row r="503" spans="2:15" x14ac:dyDescent="0.3">
      <c r="B503" s="1" t="s">
        <v>24</v>
      </c>
      <c r="C503" s="1" t="str">
        <f>"5-2차"</f>
        <v>5-2차</v>
      </c>
      <c r="D503" s="1" t="str">
        <f>"0227Q8615M"</f>
        <v>0227Q8615M</v>
      </c>
      <c r="E503" s="1" t="s">
        <v>10</v>
      </c>
      <c r="F503" s="1" t="str">
        <f>"fde3:102:1430:4100:0:0:0:8"</f>
        <v>fde3:102:1430:4100:0:0:0:8</v>
      </c>
      <c r="G503" s="1" t="str">
        <f>"0227Q861"</f>
        <v>0227Q861</v>
      </c>
      <c r="H503" s="1" t="str">
        <f>"연구간 79"</f>
        <v>연구간 79</v>
      </c>
      <c r="I503" s="1" t="s">
        <v>15</v>
      </c>
      <c r="J503" s="1" t="str">
        <f>"5/5"</f>
        <v>5/5</v>
      </c>
      <c r="K503" s="1" t="str">
        <f>"2026-07-29 14:20:40"</f>
        <v>2026-07-29 14:20:40</v>
      </c>
      <c r="L503" s="1" t="str">
        <f>"2023-11-02 14:23:46"</f>
        <v>2023-11-02 14:23:46</v>
      </c>
      <c r="M503" s="1" t="s">
        <v>45</v>
      </c>
      <c r="N503" s="1" t="s">
        <v>38</v>
      </c>
      <c r="O503" s="1" t="s">
        <v>46</v>
      </c>
    </row>
    <row r="504" spans="2:15" x14ac:dyDescent="0.3">
      <c r="B504" s="1" t="s">
        <v>24</v>
      </c>
      <c r="C504" s="1" t="str">
        <f>"4차"</f>
        <v>4차</v>
      </c>
      <c r="D504" s="1" t="str">
        <f>"0227R08144"</f>
        <v>0227R08144</v>
      </c>
      <c r="E504" s="1" t="s">
        <v>10</v>
      </c>
      <c r="F504" s="1" t="str">
        <f>"10.10.113.178"</f>
        <v>10.10.113.178</v>
      </c>
      <c r="G504" s="1" t="str">
        <f>"0227R081"</f>
        <v>0227R081</v>
      </c>
      <c r="H504" s="1" t="str">
        <f>"고대간 36"</f>
        <v>고대간 36</v>
      </c>
      <c r="I504" s="1" t="s">
        <v>8</v>
      </c>
      <c r="J504" s="1" t="str">
        <f>"20/21"</f>
        <v>20/21</v>
      </c>
      <c r="K504" s="1" t="str">
        <f>"2026-07-29 13:18:02"</f>
        <v>2026-07-29 13:18:02</v>
      </c>
      <c r="L504" s="1" t="str">
        <f>"2019-09-18 11:53:05"</f>
        <v>2019-09-18 11:53:05</v>
      </c>
      <c r="M504" s="1" t="s">
        <v>1</v>
      </c>
      <c r="N504" s="1" t="s">
        <v>38</v>
      </c>
      <c r="O504" s="1" t="s">
        <v>46</v>
      </c>
    </row>
    <row r="505" spans="2:15" x14ac:dyDescent="0.3">
      <c r="B505" s="1" t="s">
        <v>24</v>
      </c>
      <c r="C505" s="1" t="str">
        <f>"1차"</f>
        <v>1차</v>
      </c>
      <c r="D505" s="1" t="str">
        <f>"0227R15501"</f>
        <v>0227R15501</v>
      </c>
      <c r="E505" s="1" t="s">
        <v>10</v>
      </c>
      <c r="F505" s="1" t="str">
        <f>"10.89.255.51"</f>
        <v>10.89.255.51</v>
      </c>
      <c r="G505" s="1" t="str">
        <f>"0227R155"</f>
        <v>0227R155</v>
      </c>
      <c r="H505" s="1" t="str">
        <f>"약령간 12"</f>
        <v>약령간 12</v>
      </c>
      <c r="I505" s="1" t="s">
        <v>8</v>
      </c>
      <c r="J505" s="1" t="str">
        <f>"20/20"</f>
        <v>20/20</v>
      </c>
      <c r="K505" s="1" t="str">
        <f>"2026-07-29 13:18:02"</f>
        <v>2026-07-29 13:18:02</v>
      </c>
      <c r="L505" s="1" t="str">
        <f>"2021-07-27 11:03:21"</f>
        <v>2021-07-27 11:03:21</v>
      </c>
      <c r="M505" s="1" t="s">
        <v>45</v>
      </c>
      <c r="N505" s="1" t="s">
        <v>38</v>
      </c>
      <c r="O505" s="1" t="s">
        <v>46</v>
      </c>
    </row>
    <row r="506" spans="2:15" x14ac:dyDescent="0.3">
      <c r="B506" s="1" t="s">
        <v>24</v>
      </c>
      <c r="C506" s="1" t="str">
        <f>"1차"</f>
        <v>1차</v>
      </c>
      <c r="D506" s="1" t="str">
        <f>"0227R16400"</f>
        <v>0227R16400</v>
      </c>
      <c r="E506" s="1" t="s">
        <v>10</v>
      </c>
      <c r="F506" s="1" t="str">
        <f>"10.89.255.50"</f>
        <v>10.89.255.50</v>
      </c>
      <c r="G506" s="1" t="str">
        <f>"0227R164"</f>
        <v>0227R164</v>
      </c>
      <c r="H506" s="1" t="str">
        <f>"약령간 13"</f>
        <v>약령간 13</v>
      </c>
      <c r="I506" s="1" t="s">
        <v>8</v>
      </c>
      <c r="J506" s="1" t="str">
        <f>"37/37"</f>
        <v>37/37</v>
      </c>
      <c r="K506" s="1" t="str">
        <f>"2026-07-29 13:18:01"</f>
        <v>2026-07-29 13:18:01</v>
      </c>
      <c r="L506" s="1" t="str">
        <f>"2014-11-27 15:40:30"</f>
        <v>2014-11-27 15:40:30</v>
      </c>
      <c r="M506" s="1" t="s">
        <v>45</v>
      </c>
      <c r="N506" s="1" t="s">
        <v>38</v>
      </c>
      <c r="O506" s="1" t="s">
        <v>46</v>
      </c>
    </row>
    <row r="507" spans="2:15" x14ac:dyDescent="0.3">
      <c r="B507" s="1" t="s">
        <v>24</v>
      </c>
      <c r="C507" s="1" t="str">
        <f>"3차"</f>
        <v>3차</v>
      </c>
      <c r="D507" s="1" t="str">
        <f>"0227R16539"</f>
        <v>0227R16539</v>
      </c>
      <c r="E507" s="1" t="s">
        <v>10</v>
      </c>
      <c r="F507" s="1" t="str">
        <f>"10.12.137.98"</f>
        <v>10.12.137.98</v>
      </c>
      <c r="G507" s="1" t="str">
        <f>"0227R165"</f>
        <v>0227R165</v>
      </c>
      <c r="H507" s="1" t="str">
        <f>"약령간 14R1R2"</f>
        <v>약령간 14R1R2</v>
      </c>
      <c r="I507" s="1" t="s">
        <v>8</v>
      </c>
      <c r="J507" s="1" t="str">
        <f>"158/160"</f>
        <v>158/160</v>
      </c>
      <c r="K507" s="1" t="str">
        <f>"2026-07-29 13:18:03"</f>
        <v>2026-07-29 13:18:03</v>
      </c>
      <c r="L507" s="1" t="str">
        <f>"2018-09-27 08:26:41"</f>
        <v>2018-09-27 08:26:41</v>
      </c>
      <c r="M507" s="1" t="s">
        <v>0</v>
      </c>
      <c r="N507" s="1" t="s">
        <v>38</v>
      </c>
      <c r="O507" s="1" t="s">
        <v>46</v>
      </c>
    </row>
    <row r="508" spans="2:15" x14ac:dyDescent="0.3">
      <c r="B508" s="1" t="s">
        <v>24</v>
      </c>
      <c r="C508" s="1" t="str">
        <f t="shared" ref="C508:C526" si="30">"4차"</f>
        <v>4차</v>
      </c>
      <c r="D508" s="1" t="str">
        <f>"0227R24144"</f>
        <v>0227R24144</v>
      </c>
      <c r="E508" s="1" t="s">
        <v>10</v>
      </c>
      <c r="F508" s="1" t="str">
        <f>"10.10.47.130"</f>
        <v>10.10.47.130</v>
      </c>
      <c r="G508" s="1" t="str">
        <f>"0227R241"</f>
        <v>0227R241</v>
      </c>
      <c r="H508" s="1" t="str">
        <f>"약령간 14R7"</f>
        <v>약령간 14R7</v>
      </c>
      <c r="I508" s="1" t="s">
        <v>8</v>
      </c>
      <c r="J508" s="1" t="str">
        <f>"64/64"</f>
        <v>64/64</v>
      </c>
      <c r="K508" s="1" t="str">
        <f>"2026-07-29 13:18:02"</f>
        <v>2026-07-29 13:18:02</v>
      </c>
      <c r="L508" s="1" t="str">
        <f>"2019-11-21 12:28:48"</f>
        <v>2019-11-21 12:28:48</v>
      </c>
      <c r="M508" s="1" t="s">
        <v>1</v>
      </c>
      <c r="N508" s="1" t="s">
        <v>38</v>
      </c>
      <c r="O508" s="1" t="s">
        <v>46</v>
      </c>
    </row>
    <row r="509" spans="2:15" x14ac:dyDescent="0.3">
      <c r="B509" s="1" t="s">
        <v>24</v>
      </c>
      <c r="C509" s="1" t="str">
        <f t="shared" si="30"/>
        <v>4차</v>
      </c>
      <c r="D509" s="1" t="str">
        <f>"0227R28144"</f>
        <v>0227R28144</v>
      </c>
      <c r="E509" s="1" t="s">
        <v>10</v>
      </c>
      <c r="F509" s="1" t="str">
        <f>"10.10.47.58"</f>
        <v>10.10.47.58</v>
      </c>
      <c r="G509" s="1" t="str">
        <f>"0227R281"</f>
        <v>0227R281</v>
      </c>
      <c r="H509" s="1" t="str">
        <f>"약령간 14R1L2"</f>
        <v>약령간 14R1L2</v>
      </c>
      <c r="I509" s="1" t="s">
        <v>8</v>
      </c>
      <c r="J509" s="1" t="str">
        <f>"53/66"</f>
        <v>53/66</v>
      </c>
      <c r="K509" s="1" t="str">
        <f>"2026-07-29 13:18:01"</f>
        <v>2026-07-29 13:18:01</v>
      </c>
      <c r="L509" s="1" t="str">
        <f>"2019-11-04 09:09:09"</f>
        <v>2019-11-04 09:09:09</v>
      </c>
      <c r="M509" s="1" t="s">
        <v>1</v>
      </c>
      <c r="N509" s="1" t="s">
        <v>38</v>
      </c>
      <c r="O509" s="1" t="s">
        <v>46</v>
      </c>
    </row>
    <row r="510" spans="2:15" x14ac:dyDescent="0.3">
      <c r="B510" s="1" t="s">
        <v>24</v>
      </c>
      <c r="C510" s="1" t="str">
        <f t="shared" si="30"/>
        <v>4차</v>
      </c>
      <c r="D510" s="1" t="str">
        <f>"0227R29342"</f>
        <v>0227R29342</v>
      </c>
      <c r="E510" s="1" t="s">
        <v>10</v>
      </c>
      <c r="F510" s="1" t="str">
        <f>"10.89.255.42"</f>
        <v>10.89.255.42</v>
      </c>
      <c r="G510" s="1" t="str">
        <f>"0227R293"</f>
        <v>0227R293</v>
      </c>
      <c r="H510" s="1" t="str">
        <f>"약령간 17"</f>
        <v>약령간 17</v>
      </c>
      <c r="I510" s="1" t="s">
        <v>8</v>
      </c>
      <c r="J510" s="1" t="str">
        <f>"78/78"</f>
        <v>78/78</v>
      </c>
      <c r="K510" s="1" t="str">
        <f>"2026-07-29 13:18:01"</f>
        <v>2026-07-29 13:18:01</v>
      </c>
      <c r="L510" s="1" t="str">
        <f>"2025-01-20 10:33:10"</f>
        <v>2025-01-20 10:33:10</v>
      </c>
      <c r="M510" s="1" t="s">
        <v>45</v>
      </c>
      <c r="N510" s="1" t="s">
        <v>38</v>
      </c>
      <c r="O510" s="1" t="s">
        <v>46</v>
      </c>
    </row>
    <row r="511" spans="2:15" x14ac:dyDescent="0.3">
      <c r="B511" s="1" t="s">
        <v>24</v>
      </c>
      <c r="C511" s="1" t="str">
        <f t="shared" si="30"/>
        <v>4차</v>
      </c>
      <c r="D511" s="1" t="str">
        <f>"0227R30B39"</f>
        <v>0227R30B39</v>
      </c>
      <c r="E511" s="1" t="s">
        <v>10</v>
      </c>
      <c r="F511" s="1" t="str">
        <f>"10.14.10.24"</f>
        <v>10.14.10.24</v>
      </c>
      <c r="G511" s="1" t="str">
        <f>"0227R30B"</f>
        <v>0227R30B</v>
      </c>
      <c r="H511" s="1" t="str">
        <f>"약전로 R2"</f>
        <v>약전로 R2</v>
      </c>
      <c r="I511" s="1" t="s">
        <v>17</v>
      </c>
      <c r="J511" s="1" t="str">
        <f>"18/18"</f>
        <v>18/18</v>
      </c>
      <c r="K511" s="1" t="str">
        <f>"2026-07-29 13:18:03"</f>
        <v>2026-07-29 13:18:03</v>
      </c>
      <c r="L511" s="1" t="str">
        <f>"2018-10-08 09:47:24"</f>
        <v>2018-10-08 09:47:24</v>
      </c>
      <c r="M511" s="1" t="s">
        <v>3</v>
      </c>
      <c r="N511" s="1" t="s">
        <v>38</v>
      </c>
      <c r="O511" s="1" t="s">
        <v>46</v>
      </c>
    </row>
    <row r="512" spans="2:15" x14ac:dyDescent="0.3">
      <c r="B512" s="1" t="s">
        <v>24</v>
      </c>
      <c r="C512" s="1" t="str">
        <f t="shared" si="30"/>
        <v>4차</v>
      </c>
      <c r="D512" s="1" t="str">
        <f>"0227R30C45"</f>
        <v>0227R30C45</v>
      </c>
      <c r="E512" s="1" t="s">
        <v>10</v>
      </c>
      <c r="F512" s="1" t="str">
        <f>"10.12.138.183"</f>
        <v>10.12.138.183</v>
      </c>
      <c r="G512" s="1" t="str">
        <f>"0227R30C"</f>
        <v>0227R30C</v>
      </c>
      <c r="H512" s="1" t="str">
        <f>"약전로 L1"</f>
        <v>약전로 L1</v>
      </c>
      <c r="I512" s="1" t="s">
        <v>17</v>
      </c>
      <c r="J512" s="1" t="str">
        <f>"1/1"</f>
        <v>1/1</v>
      </c>
      <c r="K512" s="1" t="str">
        <f>"2026-07-29 13:18:01"</f>
        <v>2026-07-29 13:18:01</v>
      </c>
      <c r="L512" s="1" t="str">
        <f>"2021-06-28 10:37:05"</f>
        <v>2021-06-28 10:37:05</v>
      </c>
      <c r="M512" s="1" t="s">
        <v>0</v>
      </c>
      <c r="N512" s="1" t="s">
        <v>38</v>
      </c>
      <c r="O512" s="1" t="s">
        <v>46</v>
      </c>
    </row>
    <row r="513" spans="2:15" x14ac:dyDescent="0.3">
      <c r="B513" s="1" t="s">
        <v>24</v>
      </c>
      <c r="C513" s="1" t="str">
        <f t="shared" si="30"/>
        <v>4차</v>
      </c>
      <c r="D513" s="1" t="str">
        <f>"0227R31F45"</f>
        <v>0227R31F45</v>
      </c>
      <c r="E513" s="1" t="s">
        <v>10</v>
      </c>
      <c r="F513" s="1" t="str">
        <f>"10.14.2.64"</f>
        <v>10.14.2.64</v>
      </c>
      <c r="G513" s="1" t="str">
        <f>"0227R31F"</f>
        <v>0227R31F</v>
      </c>
      <c r="H513" s="1" t="str">
        <f>"약전로 L2"</f>
        <v>약전로 L2</v>
      </c>
      <c r="I513" s="1" t="s">
        <v>17</v>
      </c>
      <c r="J513" s="1" t="str">
        <f>"8/12"</f>
        <v>8/12</v>
      </c>
      <c r="K513" s="1" t="str">
        <f>"2026-07-29 13:18:03"</f>
        <v>2026-07-29 13:18:03</v>
      </c>
      <c r="L513" s="1" t="str">
        <f>"2021-06-28 11:42:58"</f>
        <v>2021-06-28 11:42:58</v>
      </c>
      <c r="M513" s="1" t="s">
        <v>3</v>
      </c>
      <c r="N513" s="1" t="s">
        <v>38</v>
      </c>
      <c r="O513" s="1" t="s">
        <v>46</v>
      </c>
    </row>
    <row r="514" spans="2:15" x14ac:dyDescent="0.3">
      <c r="B514" s="1" t="s">
        <v>24</v>
      </c>
      <c r="C514" s="1" t="str">
        <f t="shared" si="30"/>
        <v>4차</v>
      </c>
      <c r="D514" s="1" t="str">
        <f>"0227R32745"</f>
        <v>0227R32745</v>
      </c>
      <c r="E514" s="1" t="s">
        <v>10</v>
      </c>
      <c r="F514" s="1" t="str">
        <f>"10.14.3.60"</f>
        <v>10.14.3.60</v>
      </c>
      <c r="G514" s="1" t="str">
        <f>"0227R327"</f>
        <v>0227R327</v>
      </c>
      <c r="H514" s="1" t="str">
        <f>"약전로 L3"</f>
        <v>약전로 L3</v>
      </c>
      <c r="I514" s="1" t="s">
        <v>17</v>
      </c>
      <c r="J514" s="1" t="str">
        <f>"4/4"</f>
        <v>4/4</v>
      </c>
      <c r="K514" s="1" t="str">
        <f>"2026-07-29 13:18:04"</f>
        <v>2026-07-29 13:18:04</v>
      </c>
      <c r="L514" s="1" t="str">
        <f>"2021-06-28 13:50:33"</f>
        <v>2021-06-28 13:50:33</v>
      </c>
      <c r="M514" s="1" t="s">
        <v>3</v>
      </c>
      <c r="N514" s="1" t="s">
        <v>38</v>
      </c>
      <c r="O514" s="1" t="s">
        <v>46</v>
      </c>
    </row>
    <row r="515" spans="2:15" x14ac:dyDescent="0.3">
      <c r="B515" s="1" t="s">
        <v>24</v>
      </c>
      <c r="C515" s="1" t="str">
        <f t="shared" si="30"/>
        <v>4차</v>
      </c>
      <c r="D515" s="1" t="str">
        <f>"0227R36144"</f>
        <v>0227R36144</v>
      </c>
      <c r="E515" s="1" t="s">
        <v>10</v>
      </c>
      <c r="F515" s="1" t="str">
        <f>"10.10.47.114"</f>
        <v>10.10.47.114</v>
      </c>
      <c r="G515" s="1" t="str">
        <f>"0227R361"</f>
        <v>0227R361</v>
      </c>
      <c r="H515" s="1" t="str">
        <f>"약령간 14R4"</f>
        <v>약령간 14R4</v>
      </c>
      <c r="I515" s="1" t="s">
        <v>8</v>
      </c>
      <c r="J515" s="1" t="str">
        <f>"72/72"</f>
        <v>72/72</v>
      </c>
      <c r="K515" s="1" t="str">
        <f>"2026-07-29 13:18:01"</f>
        <v>2026-07-29 13:18:01</v>
      </c>
      <c r="L515" s="1" t="str">
        <f>"2019-11-22 17:23:04"</f>
        <v>2019-11-22 17:23:04</v>
      </c>
      <c r="M515" s="1" t="s">
        <v>1</v>
      </c>
      <c r="N515" s="1" t="s">
        <v>38</v>
      </c>
      <c r="O515" s="1" t="s">
        <v>46</v>
      </c>
    </row>
    <row r="516" spans="2:15" x14ac:dyDescent="0.3">
      <c r="B516" s="1" t="s">
        <v>24</v>
      </c>
      <c r="C516" s="1" t="str">
        <f t="shared" si="30"/>
        <v>4차</v>
      </c>
      <c r="D516" s="1" t="str">
        <f>"0227R36244"</f>
        <v>0227R36244</v>
      </c>
      <c r="E516" s="1" t="s">
        <v>10</v>
      </c>
      <c r="F516" s="1" t="str">
        <f>"10.10.108.66"</f>
        <v>10.10.108.66</v>
      </c>
      <c r="G516" s="1" t="str">
        <f>"0227R362"</f>
        <v>0227R362</v>
      </c>
      <c r="H516" s="1" t="str">
        <f>"약령간 14R5"</f>
        <v>약령간 14R5</v>
      </c>
      <c r="I516" s="1" t="s">
        <v>8</v>
      </c>
      <c r="J516" s="1" t="str">
        <f>"8/8"</f>
        <v>8/8</v>
      </c>
      <c r="K516" s="1" t="str">
        <f>"2026-07-29 13:18:02"</f>
        <v>2026-07-29 13:18:02</v>
      </c>
      <c r="L516" s="1" t="str">
        <f>"2019-11-21 13:33:03"</f>
        <v>2019-11-21 13:33:03</v>
      </c>
      <c r="M516" s="1" t="s">
        <v>1</v>
      </c>
      <c r="N516" s="1" t="s">
        <v>38</v>
      </c>
      <c r="O516" s="1" t="s">
        <v>46</v>
      </c>
    </row>
    <row r="517" spans="2:15" x14ac:dyDescent="0.3">
      <c r="B517" s="1" t="s">
        <v>24</v>
      </c>
      <c r="C517" s="1" t="str">
        <f t="shared" si="30"/>
        <v>4차</v>
      </c>
      <c r="D517" s="1" t="str">
        <f>"0227R37144"</f>
        <v>0227R37144</v>
      </c>
      <c r="E517" s="1" t="s">
        <v>10</v>
      </c>
      <c r="F517" s="1" t="str">
        <f>"10.10.47.66"</f>
        <v>10.10.47.66</v>
      </c>
      <c r="G517" s="1" t="str">
        <f>"0227R371"</f>
        <v>0227R371</v>
      </c>
      <c r="H517" s="1" t="str">
        <f>"약령간 14R3"</f>
        <v>약령간 14R3</v>
      </c>
      <c r="I517" s="1" t="s">
        <v>8</v>
      </c>
      <c r="J517" s="1" t="str">
        <f>"37/37"</f>
        <v>37/37</v>
      </c>
      <c r="K517" s="1" t="str">
        <f>"2026-07-29 13:18:01"</f>
        <v>2026-07-29 13:18:01</v>
      </c>
      <c r="L517" s="1" t="str">
        <f>"2019-11-21 15:20:43"</f>
        <v>2019-11-21 15:20:43</v>
      </c>
      <c r="M517" s="1" t="s">
        <v>1</v>
      </c>
      <c r="N517" s="1" t="s">
        <v>38</v>
      </c>
      <c r="O517" s="1" t="s">
        <v>46</v>
      </c>
    </row>
    <row r="518" spans="2:15" x14ac:dyDescent="0.3">
      <c r="B518" s="1" t="s">
        <v>24</v>
      </c>
      <c r="C518" s="1" t="str">
        <f t="shared" si="30"/>
        <v>4차</v>
      </c>
      <c r="D518" s="1" t="str">
        <f>"0227R38244"</f>
        <v>0227R38244</v>
      </c>
      <c r="E518" s="1" t="s">
        <v>10</v>
      </c>
      <c r="F518" s="1" t="str">
        <f>"10.10.47.74"</f>
        <v>10.10.47.74</v>
      </c>
      <c r="G518" s="1" t="str">
        <f>"0227R382"</f>
        <v>0227R382</v>
      </c>
      <c r="H518" s="1" t="str">
        <f>"약령간 14R3L3"</f>
        <v>약령간 14R3L3</v>
      </c>
      <c r="I518" s="1" t="s">
        <v>8</v>
      </c>
      <c r="J518" s="1" t="str">
        <f>"19/19"</f>
        <v>19/19</v>
      </c>
      <c r="K518" s="1" t="str">
        <f>"2026-07-29 13:18:02"</f>
        <v>2026-07-29 13:18:02</v>
      </c>
      <c r="L518" s="1" t="str">
        <f>"2019-11-21 15:39:44"</f>
        <v>2019-11-21 15:39:44</v>
      </c>
      <c r="M518" s="1" t="s">
        <v>1</v>
      </c>
      <c r="N518" s="1" t="s">
        <v>38</v>
      </c>
      <c r="O518" s="1" t="s">
        <v>46</v>
      </c>
    </row>
    <row r="519" spans="2:15" x14ac:dyDescent="0.3">
      <c r="B519" s="1" t="s">
        <v>24</v>
      </c>
      <c r="C519" s="1" t="str">
        <f t="shared" si="30"/>
        <v>4차</v>
      </c>
      <c r="D519" s="1" t="str">
        <f>"0227R39144"</f>
        <v>0227R39144</v>
      </c>
      <c r="E519" s="1" t="s">
        <v>10</v>
      </c>
      <c r="F519" s="1" t="str">
        <f>"10.10.47.82"</f>
        <v>10.10.47.82</v>
      </c>
      <c r="G519" s="1" t="str">
        <f>"0227R391"</f>
        <v>0227R391</v>
      </c>
      <c r="H519" s="1" t="str">
        <f>"약령간 14R3L4"</f>
        <v>약령간 14R3L4</v>
      </c>
      <c r="I519" s="1" t="s">
        <v>8</v>
      </c>
      <c r="J519" s="1" t="str">
        <f>"37/37"</f>
        <v>37/37</v>
      </c>
      <c r="K519" s="1" t="str">
        <f>"2026-07-29 13:18:01"</f>
        <v>2026-07-29 13:18:01</v>
      </c>
      <c r="L519" s="1" t="str">
        <f>"2021-07-28 16:34:50"</f>
        <v>2021-07-28 16:34:50</v>
      </c>
      <c r="M519" s="1" t="s">
        <v>1</v>
      </c>
      <c r="N519" s="1" t="s">
        <v>38</v>
      </c>
      <c r="O519" s="1" t="s">
        <v>46</v>
      </c>
    </row>
    <row r="520" spans="2:15" x14ac:dyDescent="0.3">
      <c r="B520" s="1" t="s">
        <v>24</v>
      </c>
      <c r="C520" s="1" t="str">
        <f t="shared" si="30"/>
        <v>4차</v>
      </c>
      <c r="D520" s="1" t="str">
        <f>"0227R43839"</f>
        <v>0227R43839</v>
      </c>
      <c r="E520" s="1" t="s">
        <v>10</v>
      </c>
      <c r="F520" s="1" t="str">
        <f>"10.12.131.90"</f>
        <v>10.12.131.90</v>
      </c>
      <c r="G520" s="1" t="str">
        <f>"0227R438"</f>
        <v>0227R438</v>
      </c>
      <c r="H520" s="1" t="str">
        <f>"약전로 R4"</f>
        <v>약전로 R4</v>
      </c>
      <c r="I520" s="1" t="s">
        <v>17</v>
      </c>
      <c r="J520" s="1" t="str">
        <f>"63/70"</f>
        <v>63/70</v>
      </c>
      <c r="K520" s="1" t="str">
        <f>"2026-07-29 13:18:01"</f>
        <v>2026-07-29 13:18:01</v>
      </c>
      <c r="L520" s="1" t="str">
        <f>"2018-10-08 09:20:25"</f>
        <v>2018-10-08 09:20:25</v>
      </c>
      <c r="M520" s="1" t="s">
        <v>0</v>
      </c>
      <c r="N520" s="1" t="s">
        <v>38</v>
      </c>
      <c r="O520" s="1" t="s">
        <v>46</v>
      </c>
    </row>
    <row r="521" spans="2:15" x14ac:dyDescent="0.3">
      <c r="B521" s="1" t="s">
        <v>24</v>
      </c>
      <c r="C521" s="1" t="str">
        <f t="shared" si="30"/>
        <v>4차</v>
      </c>
      <c r="D521" s="1" t="str">
        <f>"0227R46E45"</f>
        <v>0227R46E45</v>
      </c>
      <c r="E521" s="1" t="s">
        <v>10</v>
      </c>
      <c r="F521" s="1" t="str">
        <f>"10.14.4.21"</f>
        <v>10.14.4.21</v>
      </c>
      <c r="G521" s="1" t="str">
        <f>"0227R46E"</f>
        <v>0227R46E</v>
      </c>
      <c r="H521" s="1" t="str">
        <f>"약전로 R5"</f>
        <v>약전로 R5</v>
      </c>
      <c r="I521" s="1" t="s">
        <v>17</v>
      </c>
      <c r="J521" s="1" t="str">
        <f>"5/5"</f>
        <v>5/5</v>
      </c>
      <c r="K521" s="1" t="str">
        <f>"2026-07-29 13:18:03"</f>
        <v>2026-07-29 13:18:03</v>
      </c>
      <c r="L521" s="1" t="str">
        <f>"2021-06-28 09:18:28"</f>
        <v>2021-06-28 09:18:28</v>
      </c>
      <c r="M521" s="1" t="s">
        <v>3</v>
      </c>
      <c r="N521" s="1" t="s">
        <v>38</v>
      </c>
      <c r="O521" s="1" t="s">
        <v>46</v>
      </c>
    </row>
    <row r="522" spans="2:15" x14ac:dyDescent="0.3">
      <c r="B522" s="1" t="s">
        <v>24</v>
      </c>
      <c r="C522" s="1" t="str">
        <f t="shared" si="30"/>
        <v>4차</v>
      </c>
      <c r="D522" s="1" t="str">
        <f>"0227R46F45"</f>
        <v>0227R46F45</v>
      </c>
      <c r="E522" s="1" t="s">
        <v>10</v>
      </c>
      <c r="F522" s="1" t="str">
        <f>"10.14.15.8"</f>
        <v>10.14.15.8</v>
      </c>
      <c r="G522" s="1" t="str">
        <f>"0227R46F"</f>
        <v>0227R46F</v>
      </c>
      <c r="H522" s="1" t="str">
        <f>"약전로 L4"</f>
        <v>약전로 L4</v>
      </c>
      <c r="I522" s="1" t="s">
        <v>17</v>
      </c>
      <c r="J522" s="1" t="str">
        <f>"12/12"</f>
        <v>12/12</v>
      </c>
      <c r="K522" s="1" t="str">
        <f>"2026-07-29 13:18:03"</f>
        <v>2026-07-29 13:18:03</v>
      </c>
      <c r="L522" s="1" t="str">
        <f>"2021-06-28 09:08:41"</f>
        <v>2021-06-28 09:08:41</v>
      </c>
      <c r="M522" s="1" t="s">
        <v>3</v>
      </c>
      <c r="N522" s="1" t="s">
        <v>38</v>
      </c>
      <c r="O522" s="1" t="s">
        <v>46</v>
      </c>
    </row>
    <row r="523" spans="2:15" x14ac:dyDescent="0.3">
      <c r="B523" s="1" t="s">
        <v>24</v>
      </c>
      <c r="C523" s="1" t="str">
        <f t="shared" si="30"/>
        <v>4차</v>
      </c>
      <c r="D523" s="1" t="str">
        <f>"0227R49645"</f>
        <v>0227R49645</v>
      </c>
      <c r="E523" s="1" t="s">
        <v>10</v>
      </c>
      <c r="F523" s="1" t="str">
        <f>"10.14.6.63"</f>
        <v>10.14.6.63</v>
      </c>
      <c r="G523" s="1" t="str">
        <f>"0227R496"</f>
        <v>0227R496</v>
      </c>
      <c r="H523" s="1" t="str">
        <f>"약전로 6"</f>
        <v>약전로 6</v>
      </c>
      <c r="I523" s="1" t="s">
        <v>17</v>
      </c>
      <c r="J523" s="1" t="str">
        <f>"7/7"</f>
        <v>7/7</v>
      </c>
      <c r="K523" s="1" t="str">
        <f>"2026-07-29 13:18:03"</f>
        <v>2026-07-29 13:18:03</v>
      </c>
      <c r="L523" s="1" t="str">
        <f>"2021-06-28 08:51:30"</f>
        <v>2021-06-28 08:51:30</v>
      </c>
      <c r="M523" s="1" t="s">
        <v>3</v>
      </c>
      <c r="N523" s="1" t="s">
        <v>38</v>
      </c>
      <c r="O523" s="1" t="s">
        <v>46</v>
      </c>
    </row>
    <row r="524" spans="2:15" x14ac:dyDescent="0.3">
      <c r="B524" s="1" t="s">
        <v>24</v>
      </c>
      <c r="C524" s="1" t="str">
        <f t="shared" si="30"/>
        <v>4차</v>
      </c>
      <c r="D524" s="1" t="str">
        <f>"0227R61145"</f>
        <v>0227R61145</v>
      </c>
      <c r="E524" s="1" t="s">
        <v>10</v>
      </c>
      <c r="F524" s="1" t="str">
        <f>"10.14.11.13"</f>
        <v>10.14.11.13</v>
      </c>
      <c r="G524" s="1" t="str">
        <f>"0227R611"</f>
        <v>0227R611</v>
      </c>
      <c r="H524" s="1" t="str">
        <f>"고산자로 2"</f>
        <v>고산자로 2</v>
      </c>
      <c r="I524" s="1" t="s">
        <v>17</v>
      </c>
      <c r="J524" s="1" t="str">
        <f>"11/11"</f>
        <v>11/11</v>
      </c>
      <c r="K524" s="1" t="str">
        <f>"2026-07-29 13:18:03"</f>
        <v>2026-07-29 13:18:03</v>
      </c>
      <c r="L524" s="1" t="str">
        <f>"2021-06-28 14:28:46"</f>
        <v>2021-06-28 14:28:46</v>
      </c>
      <c r="M524" s="1" t="s">
        <v>3</v>
      </c>
      <c r="N524" s="1" t="s">
        <v>38</v>
      </c>
      <c r="O524" s="1" t="s">
        <v>46</v>
      </c>
    </row>
    <row r="525" spans="2:15" x14ac:dyDescent="0.3">
      <c r="B525" s="1" t="s">
        <v>24</v>
      </c>
      <c r="C525" s="1" t="str">
        <f t="shared" si="30"/>
        <v>4차</v>
      </c>
      <c r="D525" s="1" t="str">
        <f>"0227R62445"</f>
        <v>0227R62445</v>
      </c>
      <c r="E525" s="1" t="s">
        <v>10</v>
      </c>
      <c r="F525" s="1" t="str">
        <f>"10.14.3.9"</f>
        <v>10.14.3.9</v>
      </c>
      <c r="G525" s="1" t="str">
        <f>"0227R624"</f>
        <v>0227R624</v>
      </c>
      <c r="H525" s="1" t="str">
        <f>"고산자로 4"</f>
        <v>고산자로 4</v>
      </c>
      <c r="I525" s="1" t="s">
        <v>17</v>
      </c>
      <c r="J525" s="1" t="str">
        <f>"4/4"</f>
        <v>4/4</v>
      </c>
      <c r="K525" s="1" t="str">
        <f>"2026-07-29 13:18:04"</f>
        <v>2026-07-29 13:18:04</v>
      </c>
      <c r="L525" s="1" t="str">
        <f>"2021-06-29 07:36:24"</f>
        <v>2021-06-29 07:36:24</v>
      </c>
      <c r="M525" s="1" t="s">
        <v>3</v>
      </c>
      <c r="N525" s="1" t="s">
        <v>38</v>
      </c>
      <c r="O525" s="1" t="s">
        <v>46</v>
      </c>
    </row>
    <row r="526" spans="2:15" x14ac:dyDescent="0.3">
      <c r="B526" s="1" t="s">
        <v>24</v>
      </c>
      <c r="C526" s="1" t="str">
        <f t="shared" si="30"/>
        <v>4차</v>
      </c>
      <c r="D526" s="1" t="str">
        <f>"0227R63145"</f>
        <v>0227R63145</v>
      </c>
      <c r="E526" s="1" t="s">
        <v>10</v>
      </c>
      <c r="F526" s="1" t="str">
        <f>"10.14.13.13"</f>
        <v>10.14.13.13</v>
      </c>
      <c r="G526" s="1" t="str">
        <f>"0227R631"</f>
        <v>0227R631</v>
      </c>
      <c r="H526" s="1" t="str">
        <f>"고산자로 5"</f>
        <v>고산자로 5</v>
      </c>
      <c r="I526" s="1" t="s">
        <v>17</v>
      </c>
      <c r="J526" s="1" t="str">
        <f>"3/5"</f>
        <v>3/5</v>
      </c>
      <c r="K526" s="1" t="str">
        <f>"2026-07-29 13:18:03"</f>
        <v>2026-07-29 13:18:03</v>
      </c>
      <c r="L526" s="1" t="str">
        <f>"2021-06-28 14:16:49"</f>
        <v>2021-06-28 14:16:49</v>
      </c>
      <c r="M526" s="1" t="s">
        <v>3</v>
      </c>
      <c r="N526" s="1" t="s">
        <v>38</v>
      </c>
      <c r="O526" s="1" t="s">
        <v>46</v>
      </c>
    </row>
    <row r="527" spans="2:15" x14ac:dyDescent="0.3">
      <c r="B527" s="1" t="s">
        <v>24</v>
      </c>
      <c r="C527" s="1" t="str">
        <f>"3차"</f>
        <v>3차</v>
      </c>
      <c r="D527" s="1" t="str">
        <f>"0227R63439"</f>
        <v>0227R63439</v>
      </c>
      <c r="E527" s="1" t="s">
        <v>14</v>
      </c>
      <c r="F527" s="1" t="str">
        <f>"10.12.129.240"</f>
        <v>10.12.129.240</v>
      </c>
      <c r="G527" s="1" t="str">
        <f>"0227R634"</f>
        <v>0227R634</v>
      </c>
      <c r="H527" s="1" t="str">
        <f>"경동간 37"</f>
        <v>경동간 37</v>
      </c>
      <c r="I527" s="1" t="s">
        <v>8</v>
      </c>
      <c r="J527" s="1" t="str">
        <f>"0/0"</f>
        <v>0/0</v>
      </c>
      <c r="K527" s="1" t="str">
        <f>"2026-07-28 13:18:03"</f>
        <v>2026-07-28 13:18:03</v>
      </c>
      <c r="L527" s="1" t="str">
        <f>"2018-04-17 18:23:15"</f>
        <v>2018-04-17 18:23:15</v>
      </c>
      <c r="M527" s="1" t="s">
        <v>0</v>
      </c>
      <c r="N527" s="1" t="s">
        <v>39</v>
      </c>
      <c r="O527" s="1" t="s">
        <v>46</v>
      </c>
    </row>
    <row r="528" spans="2:15" x14ac:dyDescent="0.3">
      <c r="B528" s="1" t="s">
        <v>24</v>
      </c>
      <c r="C528" s="1" t="str">
        <f t="shared" ref="C528:C537" si="31">"4차"</f>
        <v>4차</v>
      </c>
      <c r="D528" s="1" t="str">
        <f>"0227R65145"</f>
        <v>0227R65145</v>
      </c>
      <c r="E528" s="1" t="s">
        <v>10</v>
      </c>
      <c r="F528" s="1" t="str">
        <f>"10.14.12.15"</f>
        <v>10.14.12.15</v>
      </c>
      <c r="G528" s="1" t="str">
        <f>"0227R651"</f>
        <v>0227R651</v>
      </c>
      <c r="H528" s="1" t="str">
        <f>"고산자로 7"</f>
        <v>고산자로 7</v>
      </c>
      <c r="I528" s="1" t="s">
        <v>17</v>
      </c>
      <c r="J528" s="1" t="str">
        <f>"4/4"</f>
        <v>4/4</v>
      </c>
      <c r="K528" s="1" t="str">
        <f>"2026-07-29 13:18:03"</f>
        <v>2026-07-29 13:18:03</v>
      </c>
      <c r="L528" s="1" t="str">
        <f>"2021-06-28 09:54:19"</f>
        <v>2021-06-28 09:54:19</v>
      </c>
      <c r="M528" s="1" t="s">
        <v>3</v>
      </c>
      <c r="N528" s="1" t="s">
        <v>38</v>
      </c>
      <c r="O528" s="1" t="s">
        <v>46</v>
      </c>
    </row>
    <row r="529" spans="2:15" x14ac:dyDescent="0.3">
      <c r="B529" s="1" t="s">
        <v>24</v>
      </c>
      <c r="C529" s="1" t="str">
        <f t="shared" si="31"/>
        <v>4차</v>
      </c>
      <c r="D529" s="1" t="str">
        <f>"0227R67145"</f>
        <v>0227R67145</v>
      </c>
      <c r="E529" s="1" t="s">
        <v>10</v>
      </c>
      <c r="F529" s="1" t="str">
        <f>"10.12.138.126"</f>
        <v>10.12.138.126</v>
      </c>
      <c r="G529" s="1" t="str">
        <f>"0227R671"</f>
        <v>0227R671</v>
      </c>
      <c r="H529" s="1" t="str">
        <f>"고산자로 8"</f>
        <v>고산자로 8</v>
      </c>
      <c r="I529" s="1" t="s">
        <v>17</v>
      </c>
      <c r="J529" s="1" t="str">
        <f>"10/10"</f>
        <v>10/10</v>
      </c>
      <c r="K529" s="1" t="str">
        <f>"2026-07-29 13:18:02"</f>
        <v>2026-07-29 13:18:02</v>
      </c>
      <c r="L529" s="1" t="str">
        <f>"2021-06-28 09:41:50"</f>
        <v>2021-06-28 09:41:50</v>
      </c>
      <c r="M529" s="1" t="s">
        <v>0</v>
      </c>
      <c r="N529" s="1" t="s">
        <v>38</v>
      </c>
      <c r="O529" s="1" t="s">
        <v>46</v>
      </c>
    </row>
    <row r="530" spans="2:15" x14ac:dyDescent="0.3">
      <c r="B530" s="1" t="s">
        <v>24</v>
      </c>
      <c r="C530" s="1" t="str">
        <f t="shared" si="31"/>
        <v>4차</v>
      </c>
      <c r="D530" s="1" t="str">
        <f>"0227R75144"</f>
        <v>0227R75144</v>
      </c>
      <c r="E530" s="1" t="s">
        <v>10</v>
      </c>
      <c r="F530" s="1" t="str">
        <f>"10.14.9.185"</f>
        <v>10.14.9.185</v>
      </c>
      <c r="G530" s="1" t="str">
        <f>"0227R751"</f>
        <v>0227R751</v>
      </c>
      <c r="H530" s="1" t="str">
        <f>"경동간 31L2R5"</f>
        <v>경동간 31L2R5</v>
      </c>
      <c r="I530" s="1" t="s">
        <v>8</v>
      </c>
      <c r="J530" s="1" t="str">
        <f>"8/20"</f>
        <v>8/20</v>
      </c>
      <c r="K530" s="1" t="str">
        <f>"2026-07-29 13:18:02"</f>
        <v>2026-07-29 13:18:02</v>
      </c>
      <c r="L530" s="1" t="str">
        <f>"2023-05-15 09:39:03"</f>
        <v>2023-05-15 09:39:03</v>
      </c>
      <c r="M530" s="1" t="s">
        <v>3</v>
      </c>
      <c r="N530" s="1" t="s">
        <v>38</v>
      </c>
      <c r="O530" s="1" t="s">
        <v>46</v>
      </c>
    </row>
    <row r="531" spans="2:15" x14ac:dyDescent="0.3">
      <c r="B531" s="1" t="s">
        <v>24</v>
      </c>
      <c r="C531" s="1" t="str">
        <f t="shared" si="31"/>
        <v>4차</v>
      </c>
      <c r="D531" s="1" t="str">
        <f>"0227R75244"</f>
        <v>0227R75244</v>
      </c>
      <c r="E531" s="1" t="s">
        <v>10</v>
      </c>
      <c r="F531" s="1" t="str">
        <f>"10.12.137.240"</f>
        <v>10.12.137.240</v>
      </c>
      <c r="G531" s="1" t="str">
        <f>"0227R752"</f>
        <v>0227R752</v>
      </c>
      <c r="H531" s="1" t="str">
        <f>"경동간 31L2R6"</f>
        <v>경동간 31L2R6</v>
      </c>
      <c r="I531" s="1" t="s">
        <v>8</v>
      </c>
      <c r="J531" s="1" t="str">
        <f>"9/15"</f>
        <v>9/15</v>
      </c>
      <c r="K531" s="1" t="str">
        <f>"2026-07-29 13:18:02"</f>
        <v>2026-07-29 13:18:02</v>
      </c>
      <c r="L531" s="1" t="str">
        <f>"2020-01-14 14:17:13"</f>
        <v>2020-01-14 14:17:13</v>
      </c>
      <c r="M531" s="1" t="s">
        <v>0</v>
      </c>
      <c r="N531" s="1" t="s">
        <v>38</v>
      </c>
      <c r="O531" s="1" t="s">
        <v>46</v>
      </c>
    </row>
    <row r="532" spans="2:15" x14ac:dyDescent="0.3">
      <c r="B532" s="1" t="s">
        <v>24</v>
      </c>
      <c r="C532" s="1" t="str">
        <f t="shared" si="31"/>
        <v>4차</v>
      </c>
      <c r="D532" s="1" t="str">
        <f>"0227R77144"</f>
        <v>0227R77144</v>
      </c>
      <c r="E532" s="1" t="s">
        <v>10</v>
      </c>
      <c r="F532" s="1" t="str">
        <f>"10.10.41.154"</f>
        <v>10.10.41.154</v>
      </c>
      <c r="G532" s="1" t="str">
        <f>"0227R771"</f>
        <v>0227R771</v>
      </c>
      <c r="H532" s="1" t="str">
        <f>"경동간 31L2R2"</f>
        <v>경동간 31L2R2</v>
      </c>
      <c r="I532" s="1" t="s">
        <v>8</v>
      </c>
      <c r="J532" s="1" t="str">
        <f>"50/50"</f>
        <v>50/50</v>
      </c>
      <c r="K532" s="1" t="str">
        <f>"2026-07-29 13:18:01"</f>
        <v>2026-07-29 13:18:01</v>
      </c>
      <c r="L532" s="1" t="str">
        <f>"2019-10-11 15:08:44"</f>
        <v>2019-10-11 15:08:44</v>
      </c>
      <c r="M532" s="1" t="s">
        <v>1</v>
      </c>
      <c r="N532" s="1" t="s">
        <v>38</v>
      </c>
      <c r="O532" s="1" t="s">
        <v>46</v>
      </c>
    </row>
    <row r="533" spans="2:15" x14ac:dyDescent="0.3">
      <c r="B533" s="1" t="s">
        <v>24</v>
      </c>
      <c r="C533" s="1" t="str">
        <f t="shared" si="31"/>
        <v>4차</v>
      </c>
      <c r="D533" s="1" t="str">
        <f>"0227R86144"</f>
        <v>0227R86144</v>
      </c>
      <c r="E533" s="1" t="s">
        <v>10</v>
      </c>
      <c r="F533" s="1" t="str">
        <f>"10.12.137.244"</f>
        <v>10.12.137.244</v>
      </c>
      <c r="G533" s="1" t="str">
        <f>"0227R861"</f>
        <v>0227R861</v>
      </c>
      <c r="H533" s="1" t="str">
        <f>"경동간 31L2R4L2"</f>
        <v>경동간 31L2R4L2</v>
      </c>
      <c r="I533" s="1" t="s">
        <v>8</v>
      </c>
      <c r="J533" s="1" t="str">
        <f>"26/27"</f>
        <v>26/27</v>
      </c>
      <c r="K533" s="1" t="str">
        <f>"2026-07-29 13:18:02"</f>
        <v>2026-07-29 13:18:02</v>
      </c>
      <c r="L533" s="1" t="str">
        <f>"2020-01-14 14:17:10"</f>
        <v>2020-01-14 14:17:10</v>
      </c>
      <c r="M533" s="1" t="s">
        <v>0</v>
      </c>
      <c r="N533" s="1" t="s">
        <v>38</v>
      </c>
      <c r="O533" s="1" t="s">
        <v>46</v>
      </c>
    </row>
    <row r="534" spans="2:15" x14ac:dyDescent="0.3">
      <c r="B534" s="1" t="s">
        <v>24</v>
      </c>
      <c r="C534" s="1" t="str">
        <f t="shared" si="31"/>
        <v>4차</v>
      </c>
      <c r="D534" s="1" t="str">
        <f>"0227R88244"</f>
        <v>0227R88244</v>
      </c>
      <c r="E534" s="1" t="s">
        <v>10</v>
      </c>
      <c r="F534" s="1" t="str">
        <f>"10.10.106.2"</f>
        <v>10.10.106.2</v>
      </c>
      <c r="G534" s="1" t="str">
        <f>"0227R882"</f>
        <v>0227R882</v>
      </c>
      <c r="H534" s="1" t="str">
        <f>"경동간 31L4"</f>
        <v>경동간 31L4</v>
      </c>
      <c r="I534" s="1" t="s">
        <v>8</v>
      </c>
      <c r="J534" s="1" t="str">
        <f>"22/22"</f>
        <v>22/22</v>
      </c>
      <c r="K534" s="1" t="str">
        <f>"2026-07-29 13:18:01"</f>
        <v>2026-07-29 13:18:01</v>
      </c>
      <c r="L534" s="1" t="str">
        <f>"2019-10-14 11:32:28"</f>
        <v>2019-10-14 11:32:28</v>
      </c>
      <c r="M534" s="1" t="s">
        <v>1</v>
      </c>
      <c r="N534" s="1" t="s">
        <v>38</v>
      </c>
      <c r="O534" s="1" t="s">
        <v>46</v>
      </c>
    </row>
    <row r="535" spans="2:15" x14ac:dyDescent="0.3">
      <c r="B535" s="1" t="s">
        <v>24</v>
      </c>
      <c r="C535" s="1" t="str">
        <f t="shared" si="31"/>
        <v>4차</v>
      </c>
      <c r="D535" s="1" t="str">
        <f>"0227R94144"</f>
        <v>0227R94144</v>
      </c>
      <c r="E535" s="1" t="s">
        <v>10</v>
      </c>
      <c r="F535" s="1" t="str">
        <f>"10.10.41.226"</f>
        <v>10.10.41.226</v>
      </c>
      <c r="G535" s="1" t="str">
        <f>"0227R941"</f>
        <v>0227R941</v>
      </c>
      <c r="H535" s="1" t="str">
        <f>"경동간 31L6R4R2"</f>
        <v>경동간 31L6R4R2</v>
      </c>
      <c r="I535" s="1" t="s">
        <v>8</v>
      </c>
      <c r="J535" s="1" t="str">
        <f>"30/31"</f>
        <v>30/31</v>
      </c>
      <c r="K535" s="1" t="str">
        <f>"2026-07-29 13:18:02"</f>
        <v>2026-07-29 13:18:02</v>
      </c>
      <c r="L535" s="1" t="str">
        <f>"2019-10-11 15:43:05"</f>
        <v>2019-10-11 15:43:05</v>
      </c>
      <c r="M535" s="1" t="s">
        <v>1</v>
      </c>
      <c r="N535" s="1" t="s">
        <v>38</v>
      </c>
      <c r="O535" s="1" t="s">
        <v>46</v>
      </c>
    </row>
    <row r="536" spans="2:15" x14ac:dyDescent="0.3">
      <c r="B536" s="1" t="s">
        <v>24</v>
      </c>
      <c r="C536" s="1" t="str">
        <f t="shared" si="31"/>
        <v>4차</v>
      </c>
      <c r="D536" s="1" t="str">
        <f>"0227R94344"</f>
        <v>0227R94344</v>
      </c>
      <c r="E536" s="1" t="s">
        <v>10</v>
      </c>
      <c r="F536" s="1" t="str">
        <f>"10.10.41.218"</f>
        <v>10.10.41.218</v>
      </c>
      <c r="G536" s="1" t="str">
        <f>"0227R943"</f>
        <v>0227R943</v>
      </c>
      <c r="H536" s="1" t="str">
        <f>"경동간 31L6R4R1"</f>
        <v>경동간 31L6R4R1</v>
      </c>
      <c r="I536" s="1" t="s">
        <v>8</v>
      </c>
      <c r="J536" s="1" t="str">
        <f>"10/10"</f>
        <v>10/10</v>
      </c>
      <c r="K536" s="1" t="str">
        <f>"2026-07-29 13:18:01"</f>
        <v>2026-07-29 13:18:01</v>
      </c>
      <c r="L536" s="1" t="str">
        <f>"2022-10-17 15:41:44"</f>
        <v>2022-10-17 15:41:44</v>
      </c>
      <c r="M536" s="1" t="s">
        <v>1</v>
      </c>
      <c r="N536" s="1" t="s">
        <v>38</v>
      </c>
      <c r="O536" s="1" t="s">
        <v>46</v>
      </c>
    </row>
    <row r="537" spans="2:15" x14ac:dyDescent="0.3">
      <c r="B537" s="1" t="s">
        <v>24</v>
      </c>
      <c r="C537" s="1" t="str">
        <f t="shared" si="31"/>
        <v>4차</v>
      </c>
      <c r="D537" s="1" t="str">
        <f>"0227R98344"</f>
        <v>0227R98344</v>
      </c>
      <c r="E537" s="1" t="s">
        <v>10</v>
      </c>
      <c r="F537" s="1" t="str">
        <f>"10.10.41.186"</f>
        <v>10.10.41.186</v>
      </c>
      <c r="G537" s="1" t="str">
        <f>"0227R983"</f>
        <v>0227R983</v>
      </c>
      <c r="H537" s="1" t="str">
        <f>"경동간 31L6"</f>
        <v>경동간 31L6</v>
      </c>
      <c r="I537" s="1" t="s">
        <v>8</v>
      </c>
      <c r="J537" s="1" t="str">
        <f>"11/11"</f>
        <v>11/11</v>
      </c>
      <c r="K537" s="1" t="str">
        <f>"2026-07-29 13:18:01"</f>
        <v>2026-07-29 13:18:01</v>
      </c>
      <c r="L537" s="1" t="str">
        <f>"2019-10-14 15:26:06"</f>
        <v>2019-10-14 15:26:06</v>
      </c>
      <c r="M537" s="1" t="s">
        <v>1</v>
      </c>
      <c r="N537" s="1" t="s">
        <v>38</v>
      </c>
      <c r="O537" s="1" t="s">
        <v>46</v>
      </c>
    </row>
    <row r="538" spans="2:15" x14ac:dyDescent="0.3">
      <c r="B538" s="1" t="s">
        <v>24</v>
      </c>
      <c r="C538" s="1" t="str">
        <f>"5-2차"</f>
        <v>5-2차</v>
      </c>
      <c r="D538" s="1" t="str">
        <f>"0227R9915M"</f>
        <v>0227R9915M</v>
      </c>
      <c r="E538" s="1" t="s">
        <v>10</v>
      </c>
      <c r="F538" s="1" t="str">
        <f>"fde3:102:1430:4200:0:0:0:5"</f>
        <v>fde3:102:1430:4200:0:0:0:5</v>
      </c>
      <c r="G538" s="1" t="str">
        <f>"0227R991"</f>
        <v>0227R991</v>
      </c>
      <c r="H538" s="1" t="str">
        <f>"경동간 26L5R2R2"</f>
        <v>경동간 26L5R2R2</v>
      </c>
      <c r="I538" s="1" t="s">
        <v>15</v>
      </c>
      <c r="J538" s="1" t="str">
        <f>"51/51"</f>
        <v>51/51</v>
      </c>
      <c r="K538" s="1" t="str">
        <f>"2026-07-29 14:20:24"</f>
        <v>2026-07-29 14:20:24</v>
      </c>
      <c r="L538" s="1" t="str">
        <f>"2023-09-19 16:18:21"</f>
        <v>2023-09-19 16:18:21</v>
      </c>
      <c r="M538" s="1" t="s">
        <v>45</v>
      </c>
      <c r="N538" s="1" t="s">
        <v>38</v>
      </c>
      <c r="O538" s="1" t="s">
        <v>46</v>
      </c>
    </row>
    <row r="539" spans="2:15" x14ac:dyDescent="0.3">
      <c r="B539" s="1" t="s">
        <v>24</v>
      </c>
      <c r="C539" s="1" t="str">
        <f>"4차"</f>
        <v>4차</v>
      </c>
      <c r="D539" s="1" t="str">
        <f>"0227S02344"</f>
        <v>0227S02344</v>
      </c>
      <c r="E539" s="1" t="s">
        <v>10</v>
      </c>
      <c r="F539" s="1" t="str">
        <f>"10.10.41.194"</f>
        <v>10.10.41.194</v>
      </c>
      <c r="G539" s="1" t="str">
        <f>"0227S023"</f>
        <v>0227S023</v>
      </c>
      <c r="H539" s="1" t="str">
        <f>"경동간 31L6R6"</f>
        <v>경동간 31L6R6</v>
      </c>
      <c r="I539" s="1" t="s">
        <v>8</v>
      </c>
      <c r="J539" s="1" t="str">
        <f>"2/2"</f>
        <v>2/2</v>
      </c>
      <c r="K539" s="1" t="str">
        <f>"2026-07-29 13:18:01"</f>
        <v>2026-07-29 13:18:01</v>
      </c>
      <c r="L539" s="1" t="str">
        <f>"2019-10-11 17:10:54"</f>
        <v>2019-10-11 17:10:54</v>
      </c>
      <c r="M539" s="1" t="s">
        <v>1</v>
      </c>
      <c r="N539" s="1" t="s">
        <v>38</v>
      </c>
      <c r="O539" s="1" t="s">
        <v>46</v>
      </c>
    </row>
    <row r="540" spans="2:15" x14ac:dyDescent="0.3">
      <c r="B540" s="1" t="s">
        <v>24</v>
      </c>
      <c r="C540" s="1" t="str">
        <f>"4차"</f>
        <v>4차</v>
      </c>
      <c r="D540" s="1" t="str">
        <f>"0227S03344"</f>
        <v>0227S03344</v>
      </c>
      <c r="E540" s="1" t="s">
        <v>10</v>
      </c>
      <c r="F540" s="1" t="str">
        <f>"10.10.41.202"</f>
        <v>10.10.41.202</v>
      </c>
      <c r="G540" s="1" t="str">
        <f>"0227S033"</f>
        <v>0227S033</v>
      </c>
      <c r="H540" s="1" t="str">
        <f>"경동간 31L6R6L1"</f>
        <v>경동간 31L6R6L1</v>
      </c>
      <c r="I540" s="1" t="s">
        <v>8</v>
      </c>
      <c r="J540" s="1" t="str">
        <f>"46/46"</f>
        <v>46/46</v>
      </c>
      <c r="K540" s="1" t="str">
        <f>"2026-07-29 13:18:02"</f>
        <v>2026-07-29 13:18:02</v>
      </c>
      <c r="L540" s="1" t="str">
        <f>"2019-10-11 17:25:36"</f>
        <v>2019-10-11 17:25:36</v>
      </c>
      <c r="M540" s="1" t="s">
        <v>1</v>
      </c>
      <c r="N540" s="1" t="s">
        <v>38</v>
      </c>
      <c r="O540" s="1" t="s">
        <v>46</v>
      </c>
    </row>
    <row r="541" spans="2:15" x14ac:dyDescent="0.3">
      <c r="B541" s="1" t="s">
        <v>24</v>
      </c>
      <c r="C541" s="1" t="str">
        <f>"4차"</f>
        <v>4차</v>
      </c>
      <c r="D541" s="1" t="str">
        <f>"0227S04444"</f>
        <v>0227S04444</v>
      </c>
      <c r="E541" s="1" t="s">
        <v>10</v>
      </c>
      <c r="F541" s="1" t="str">
        <f>"10.10.41.210"</f>
        <v>10.10.41.210</v>
      </c>
      <c r="G541" s="1" t="str">
        <f>"0227S044"</f>
        <v>0227S044</v>
      </c>
      <c r="H541" s="1" t="str">
        <f>"경동간 31L6R4"</f>
        <v>경동간 31L6R4</v>
      </c>
      <c r="I541" s="1" t="s">
        <v>8</v>
      </c>
      <c r="J541" s="1" t="str">
        <f>"3/3"</f>
        <v>3/3</v>
      </c>
      <c r="K541" s="1" t="str">
        <f>"2026-07-29 13:18:02"</f>
        <v>2026-07-29 13:18:02</v>
      </c>
      <c r="L541" s="1" t="str">
        <f>"2019-10-11 16:44:23"</f>
        <v>2019-10-11 16:44:23</v>
      </c>
      <c r="M541" s="1" t="s">
        <v>1</v>
      </c>
      <c r="N541" s="1" t="s">
        <v>38</v>
      </c>
      <c r="O541" s="1" t="s">
        <v>46</v>
      </c>
    </row>
    <row r="542" spans="2:15" x14ac:dyDescent="0.3">
      <c r="B542" s="1" t="s">
        <v>24</v>
      </c>
      <c r="C542" s="1" t="str">
        <f>"6차"</f>
        <v>6차</v>
      </c>
      <c r="D542" s="1" t="str">
        <f>"0227S1416S"</f>
        <v>0227S1416S</v>
      </c>
      <c r="E542" s="1" t="s">
        <v>10</v>
      </c>
      <c r="F542" s="1" t="str">
        <f>"fde1:103:4:c6e5:0:0:0:2"</f>
        <v>fde1:103:4:c6e5:0:0:0:2</v>
      </c>
      <c r="G542" s="1" t="str">
        <f>"0227S141"</f>
        <v>0227S141</v>
      </c>
      <c r="H542" s="1" t="str">
        <f>"경동간 31L10R1R5"</f>
        <v>경동간 31L10R1R5</v>
      </c>
      <c r="I542" s="1" t="s">
        <v>15</v>
      </c>
      <c r="J542" s="1" t="str">
        <f>"38/41"</f>
        <v>38/41</v>
      </c>
      <c r="K542" s="1" t="str">
        <f>"2026-07-29 14:20:25"</f>
        <v>2026-07-29 14:20:25</v>
      </c>
      <c r="L542" s="1" t="str">
        <f>"2024-09-27 16:44:16"</f>
        <v>2024-09-27 16:44:16</v>
      </c>
      <c r="M542" s="1" t="s">
        <v>4</v>
      </c>
      <c r="N542" s="1" t="s">
        <v>38</v>
      </c>
      <c r="O542" s="1" t="s">
        <v>46</v>
      </c>
    </row>
    <row r="543" spans="2:15" x14ac:dyDescent="0.3">
      <c r="B543" s="1" t="s">
        <v>24</v>
      </c>
      <c r="C543" s="1" t="str">
        <f>"5-2차"</f>
        <v>5-2차</v>
      </c>
      <c r="D543" s="1" t="str">
        <f>"0227S1625M"</f>
        <v>0227S1625M</v>
      </c>
      <c r="E543" s="1" t="s">
        <v>10</v>
      </c>
      <c r="F543" s="1" t="str">
        <f>"fde3:102:1430:4100:0:0:0:6"</f>
        <v>fde3:102:1430:4100:0:0:0:6</v>
      </c>
      <c r="G543" s="1" t="str">
        <f>"0227S162"</f>
        <v>0227S162</v>
      </c>
      <c r="H543" s="1" t="str">
        <f>"경동간 31L10R1R2"</f>
        <v>경동간 31L10R1R2</v>
      </c>
      <c r="I543" s="1" t="s">
        <v>15</v>
      </c>
      <c r="J543" s="1" t="str">
        <f>"46/46"</f>
        <v>46/46</v>
      </c>
      <c r="K543" s="1" t="str">
        <f>"2026-07-29 14:20:04"</f>
        <v>2026-07-29 14:20:04</v>
      </c>
      <c r="L543" s="1" t="str">
        <f>"2023-08-31 13:55:15"</f>
        <v>2023-08-31 13:55:15</v>
      </c>
      <c r="M543" s="1" t="s">
        <v>45</v>
      </c>
      <c r="N543" s="1" t="s">
        <v>38</v>
      </c>
      <c r="O543" s="1" t="s">
        <v>46</v>
      </c>
    </row>
    <row r="544" spans="2:15" x14ac:dyDescent="0.3">
      <c r="B544" s="1" t="s">
        <v>24</v>
      </c>
      <c r="C544" s="1" t="str">
        <f>"5-2차"</f>
        <v>5-2차</v>
      </c>
      <c r="D544" s="1" t="str">
        <f>"0227S2615M"</f>
        <v>0227S2615M</v>
      </c>
      <c r="E544" s="1" t="s">
        <v>10</v>
      </c>
      <c r="F544" s="1" t="str">
        <f>"fde3:102:1430:4100:0:0:0:7"</f>
        <v>fde3:102:1430:4100:0:0:0:7</v>
      </c>
      <c r="G544" s="1" t="str">
        <f>"0227S261"</f>
        <v>0227S261</v>
      </c>
      <c r="H544" s="1" t="str">
        <f>"경동간 31L10R2"</f>
        <v>경동간 31L10R2</v>
      </c>
      <c r="I544" s="1" t="s">
        <v>15</v>
      </c>
      <c r="J544" s="1" t="str">
        <f>"28/28"</f>
        <v>28/28</v>
      </c>
      <c r="K544" s="1" t="str">
        <f>"2026-07-29 14:20:14"</f>
        <v>2026-07-29 14:20:14</v>
      </c>
      <c r="L544" s="1" t="str">
        <f>"2023-08-31 14:34:08"</f>
        <v>2023-08-31 14:34:08</v>
      </c>
      <c r="M544" s="1" t="s">
        <v>45</v>
      </c>
      <c r="N544" s="1" t="s">
        <v>38</v>
      </c>
      <c r="O544" s="1" t="s">
        <v>46</v>
      </c>
    </row>
    <row r="545" spans="2:15" x14ac:dyDescent="0.3">
      <c r="B545" s="1" t="s">
        <v>24</v>
      </c>
      <c r="C545" s="1" t="str">
        <f>"5-2차"</f>
        <v>5-2차</v>
      </c>
      <c r="D545" s="1" t="str">
        <f>"0227S2715M"</f>
        <v>0227S2715M</v>
      </c>
      <c r="E545" s="1" t="s">
        <v>10</v>
      </c>
      <c r="F545" s="1" t="str">
        <f>"fde3:102:1430:4100:0:0:0:4"</f>
        <v>fde3:102:1430:4100:0:0:0:4</v>
      </c>
      <c r="G545" s="1" t="str">
        <f>"0227S271"</f>
        <v>0227S271</v>
      </c>
      <c r="H545" s="1" t="str">
        <f>"경동간 31L10R1"</f>
        <v>경동간 31L10R1</v>
      </c>
      <c r="I545" s="1" t="s">
        <v>15</v>
      </c>
      <c r="J545" s="1" t="str">
        <f>"85/85"</f>
        <v>85/85</v>
      </c>
      <c r="K545" s="1" t="str">
        <f>"2026-07-29 14:20:41"</f>
        <v>2026-07-29 14:20:41</v>
      </c>
      <c r="L545" s="1" t="str">
        <f>"2023-09-22 12:03:42"</f>
        <v>2023-09-22 12:03:42</v>
      </c>
      <c r="M545" s="1" t="s">
        <v>45</v>
      </c>
      <c r="N545" s="1" t="s">
        <v>38</v>
      </c>
      <c r="O545" s="1" t="s">
        <v>46</v>
      </c>
    </row>
    <row r="546" spans="2:15" x14ac:dyDescent="0.3">
      <c r="B546" s="1" t="s">
        <v>24</v>
      </c>
      <c r="C546" s="1" t="str">
        <f>"6차"</f>
        <v>6차</v>
      </c>
      <c r="D546" s="1" t="str">
        <f>"0227S5826S"</f>
        <v>0227S5826S</v>
      </c>
      <c r="E546" s="1" t="s">
        <v>10</v>
      </c>
      <c r="F546" s="1" t="str">
        <f>"fde1:103:4:c5bb:0:0:0:2"</f>
        <v>fde1:103:4:c5bb:0:0:0:2</v>
      </c>
      <c r="G546" s="1" t="str">
        <f>"0227S582"</f>
        <v>0227S582</v>
      </c>
      <c r="H546" s="1" t="str">
        <f>"청량간 58"</f>
        <v>청량간 58</v>
      </c>
      <c r="I546" s="1" t="s">
        <v>15</v>
      </c>
      <c r="J546" s="1" t="str">
        <f>"31/31"</f>
        <v>31/31</v>
      </c>
      <c r="K546" s="1" t="str">
        <f>"2026-07-29 14:20:13"</f>
        <v>2026-07-29 14:20:13</v>
      </c>
      <c r="L546" s="1" t="str">
        <f>"2024-09-27 17:57:19"</f>
        <v>2024-09-27 17:57:19</v>
      </c>
      <c r="M546" s="1" t="s">
        <v>4</v>
      </c>
      <c r="N546" s="1" t="s">
        <v>38</v>
      </c>
      <c r="O546" s="1" t="s">
        <v>46</v>
      </c>
    </row>
    <row r="547" spans="2:15" x14ac:dyDescent="0.3">
      <c r="B547" s="1" t="s">
        <v>24</v>
      </c>
      <c r="C547" s="1" t="str">
        <f>"5-2차"</f>
        <v>5-2차</v>
      </c>
      <c r="D547" s="1" t="str">
        <f>"0227S6935M"</f>
        <v>0227S6935M</v>
      </c>
      <c r="E547" s="1" t="s">
        <v>10</v>
      </c>
      <c r="F547" s="1" t="str">
        <f>"fde3:102:1430:4100:0:0:0:3"</f>
        <v>fde3:102:1430:4100:0:0:0:3</v>
      </c>
      <c r="G547" s="1" t="str">
        <f>"0227S693"</f>
        <v>0227S693</v>
      </c>
      <c r="H547" s="1" t="str">
        <f>"청량간 53"</f>
        <v>청량간 53</v>
      </c>
      <c r="I547" s="1" t="s">
        <v>15</v>
      </c>
      <c r="J547" s="1" t="str">
        <f>"41/41"</f>
        <v>41/41</v>
      </c>
      <c r="K547" s="1" t="str">
        <f>"2026-07-29 14:20:28"</f>
        <v>2026-07-29 14:20:28</v>
      </c>
      <c r="L547" s="1" t="str">
        <f>"2023-08-08 14:26:02"</f>
        <v>2023-08-08 14:26:02</v>
      </c>
      <c r="M547" s="1" t="s">
        <v>45</v>
      </c>
      <c r="N547" s="1" t="s">
        <v>38</v>
      </c>
      <c r="O547" s="1" t="s">
        <v>46</v>
      </c>
    </row>
    <row r="548" spans="2:15" x14ac:dyDescent="0.3">
      <c r="B548" s="1" t="s">
        <v>24</v>
      </c>
      <c r="C548" s="1" t="str">
        <f t="shared" ref="C548:C585" si="32">"4차"</f>
        <v>4차</v>
      </c>
      <c r="D548" s="1" t="str">
        <f>"0227W12244"</f>
        <v>0227W12244</v>
      </c>
      <c r="E548" s="1" t="s">
        <v>10</v>
      </c>
      <c r="F548" s="1" t="str">
        <f>"10.10.59.10"</f>
        <v>10.10.59.10</v>
      </c>
      <c r="G548" s="1" t="str">
        <f>"0227W122"</f>
        <v>0227W122</v>
      </c>
      <c r="H548" s="1" t="str">
        <f>"미주간 21R6"</f>
        <v>미주간 21R6</v>
      </c>
      <c r="I548" s="1" t="s">
        <v>8</v>
      </c>
      <c r="J548" s="1" t="str">
        <f>"30/30"</f>
        <v>30/30</v>
      </c>
      <c r="K548" s="1" t="str">
        <f>"2026-07-29 13:18:02"</f>
        <v>2026-07-29 13:18:02</v>
      </c>
      <c r="L548" s="1" t="str">
        <f>"2019-10-17 17:23:04"</f>
        <v>2019-10-17 17:23:04</v>
      </c>
      <c r="M548" s="1" t="s">
        <v>1</v>
      </c>
      <c r="N548" s="1" t="s">
        <v>38</v>
      </c>
      <c r="O548" s="1" t="s">
        <v>46</v>
      </c>
    </row>
    <row r="549" spans="2:15" x14ac:dyDescent="0.3">
      <c r="B549" s="1" t="s">
        <v>24</v>
      </c>
      <c r="C549" s="1" t="str">
        <f t="shared" si="32"/>
        <v>4차</v>
      </c>
      <c r="D549" s="1" t="str">
        <f>"0227W13244"</f>
        <v>0227W13244</v>
      </c>
      <c r="E549" s="1" t="s">
        <v>10</v>
      </c>
      <c r="F549" s="1" t="str">
        <f>"10.10.44.194"</f>
        <v>10.10.44.194</v>
      </c>
      <c r="G549" s="1" t="str">
        <f>"0227W132"</f>
        <v>0227W132</v>
      </c>
      <c r="H549" s="1" t="str">
        <f>"미주간 21R8"</f>
        <v>미주간 21R8</v>
      </c>
      <c r="I549" s="1" t="s">
        <v>8</v>
      </c>
      <c r="J549" s="1" t="str">
        <f>"23/23"</f>
        <v>23/23</v>
      </c>
      <c r="K549" s="1" t="str">
        <f>"2026-07-29 13:18:01"</f>
        <v>2026-07-29 13:18:01</v>
      </c>
      <c r="L549" s="1" t="str">
        <f>"2019-10-17 17:00:04"</f>
        <v>2019-10-17 17:00:04</v>
      </c>
      <c r="M549" s="1" t="s">
        <v>1</v>
      </c>
      <c r="N549" s="1" t="s">
        <v>38</v>
      </c>
      <c r="O549" s="1" t="s">
        <v>46</v>
      </c>
    </row>
    <row r="550" spans="2:15" x14ac:dyDescent="0.3">
      <c r="B550" s="1" t="s">
        <v>24</v>
      </c>
      <c r="C550" s="1" t="str">
        <f t="shared" si="32"/>
        <v>4차</v>
      </c>
      <c r="D550" s="1" t="str">
        <f>"0227W14244"</f>
        <v>0227W14244</v>
      </c>
      <c r="E550" s="1" t="s">
        <v>10</v>
      </c>
      <c r="F550" s="1" t="str">
        <f>"10.10.44.202"</f>
        <v>10.10.44.202</v>
      </c>
      <c r="G550" s="1" t="str">
        <f>"0227W142"</f>
        <v>0227W142</v>
      </c>
      <c r="H550" s="1" t="str">
        <f>"미주간 21R9R2"</f>
        <v>미주간 21R9R2</v>
      </c>
      <c r="I550" s="1" t="s">
        <v>8</v>
      </c>
      <c r="J550" s="1" t="str">
        <f>"41/41"</f>
        <v>41/41</v>
      </c>
      <c r="K550" s="1" t="str">
        <f>"2026-07-29 13:18:02"</f>
        <v>2026-07-29 13:18:02</v>
      </c>
      <c r="L550" s="1" t="str">
        <f>"2019-10-17 17:18:36"</f>
        <v>2019-10-17 17:18:36</v>
      </c>
      <c r="M550" s="1" t="s">
        <v>1</v>
      </c>
      <c r="N550" s="1" t="s">
        <v>38</v>
      </c>
      <c r="O550" s="1" t="s">
        <v>46</v>
      </c>
    </row>
    <row r="551" spans="2:15" x14ac:dyDescent="0.3">
      <c r="B551" s="1" t="s">
        <v>24</v>
      </c>
      <c r="C551" s="1" t="str">
        <f t="shared" si="32"/>
        <v>4차</v>
      </c>
      <c r="D551" s="1" t="str">
        <f>"0227W15144"</f>
        <v>0227W15144</v>
      </c>
      <c r="E551" s="1" t="s">
        <v>10</v>
      </c>
      <c r="F551" s="1" t="str">
        <f>"10.10.44.114"</f>
        <v>10.10.44.114</v>
      </c>
      <c r="G551" s="1" t="str">
        <f>"0227W151"</f>
        <v>0227W151</v>
      </c>
      <c r="H551" s="1" t="str">
        <f>"미주간 21R11"</f>
        <v>미주간 21R11</v>
      </c>
      <c r="I551" s="1" t="s">
        <v>8</v>
      </c>
      <c r="J551" s="1" t="str">
        <f>"42/42"</f>
        <v>42/42</v>
      </c>
      <c r="K551" s="1" t="str">
        <f>"2026-07-29 13:18:02"</f>
        <v>2026-07-29 13:18:02</v>
      </c>
      <c r="L551" s="1" t="str">
        <f>"2019-10-17 18:03:04"</f>
        <v>2019-10-17 18:03:04</v>
      </c>
      <c r="M551" s="1" t="s">
        <v>1</v>
      </c>
      <c r="N551" s="1" t="s">
        <v>38</v>
      </c>
      <c r="O551" s="1" t="s">
        <v>46</v>
      </c>
    </row>
    <row r="552" spans="2:15" x14ac:dyDescent="0.3">
      <c r="B552" s="1" t="s">
        <v>24</v>
      </c>
      <c r="C552" s="1" t="str">
        <f t="shared" si="32"/>
        <v>4차</v>
      </c>
      <c r="D552" s="1" t="str">
        <f>"0227W20144"</f>
        <v>0227W20144</v>
      </c>
      <c r="E552" s="1" t="s">
        <v>10</v>
      </c>
      <c r="F552" s="1" t="str">
        <f>"10.10.107.74"</f>
        <v>10.10.107.74</v>
      </c>
      <c r="G552" s="1" t="str">
        <f>"0227W201"</f>
        <v>0227W201</v>
      </c>
      <c r="H552" s="1" t="str">
        <f>"미주간 21R3"</f>
        <v>미주간 21R3</v>
      </c>
      <c r="I552" s="1" t="s">
        <v>8</v>
      </c>
      <c r="J552" s="1" t="str">
        <f>"13/13"</f>
        <v>13/13</v>
      </c>
      <c r="K552" s="1" t="str">
        <f>"2026-07-29 13:18:01"</f>
        <v>2026-07-29 13:18:01</v>
      </c>
      <c r="L552" s="1" t="str">
        <f>"2019-10-17 11:42:47"</f>
        <v>2019-10-17 11:42:47</v>
      </c>
      <c r="M552" s="1" t="s">
        <v>1</v>
      </c>
      <c r="N552" s="1" t="s">
        <v>38</v>
      </c>
      <c r="O552" s="1" t="s">
        <v>46</v>
      </c>
    </row>
    <row r="553" spans="2:15" x14ac:dyDescent="0.3">
      <c r="B553" s="1" t="s">
        <v>24</v>
      </c>
      <c r="C553" s="1" t="str">
        <f t="shared" si="32"/>
        <v>4차</v>
      </c>
      <c r="D553" s="1" t="str">
        <f>"0227W21144"</f>
        <v>0227W21144</v>
      </c>
      <c r="E553" s="1" t="s">
        <v>10</v>
      </c>
      <c r="F553" s="1" t="str">
        <f>"10.10.107.82"</f>
        <v>10.10.107.82</v>
      </c>
      <c r="G553" s="1" t="str">
        <f>"0227W211"</f>
        <v>0227W211</v>
      </c>
      <c r="H553" s="1" t="str">
        <f>"미주간 21R5"</f>
        <v>미주간 21R5</v>
      </c>
      <c r="I553" s="1" t="s">
        <v>8</v>
      </c>
      <c r="J553" s="1" t="str">
        <f>"9/9"</f>
        <v>9/9</v>
      </c>
      <c r="K553" s="1" t="str">
        <f>"2026-07-29 13:18:01"</f>
        <v>2026-07-29 13:18:01</v>
      </c>
      <c r="L553" s="1" t="str">
        <f>"2019-11-18 20:47:20"</f>
        <v>2019-11-18 20:47:20</v>
      </c>
      <c r="M553" s="1" t="s">
        <v>1</v>
      </c>
      <c r="N553" s="1" t="s">
        <v>38</v>
      </c>
      <c r="O553" s="1" t="s">
        <v>46</v>
      </c>
    </row>
    <row r="554" spans="2:15" x14ac:dyDescent="0.3">
      <c r="B554" s="1" t="s">
        <v>24</v>
      </c>
      <c r="C554" s="1" t="str">
        <f t="shared" si="32"/>
        <v>4차</v>
      </c>
      <c r="D554" s="1" t="str">
        <f>"0227W25244"</f>
        <v>0227W25244</v>
      </c>
      <c r="E554" s="1" t="s">
        <v>10</v>
      </c>
      <c r="F554" s="1" t="str">
        <f>"10.10.107.66"</f>
        <v>10.10.107.66</v>
      </c>
      <c r="G554" s="1" t="str">
        <f>"0227W252"</f>
        <v>0227W252</v>
      </c>
      <c r="H554" s="1" t="str">
        <f>"미주간 1R7"</f>
        <v>미주간 1R7</v>
      </c>
      <c r="I554" s="1" t="s">
        <v>8</v>
      </c>
      <c r="J554" s="1" t="str">
        <f>"8/8"</f>
        <v>8/8</v>
      </c>
      <c r="K554" s="1" t="str">
        <f>"2026-07-29 13:18:01"</f>
        <v>2026-07-29 13:18:01</v>
      </c>
      <c r="L554" s="1" t="str">
        <f>"2019-10-18 10:55:20"</f>
        <v>2019-10-18 10:55:20</v>
      </c>
      <c r="M554" s="1" t="s">
        <v>1</v>
      </c>
      <c r="N554" s="1" t="s">
        <v>38</v>
      </c>
      <c r="O554" s="1" t="s">
        <v>46</v>
      </c>
    </row>
    <row r="555" spans="2:15" x14ac:dyDescent="0.3">
      <c r="B555" s="1" t="s">
        <v>24</v>
      </c>
      <c r="C555" s="1" t="str">
        <f t="shared" si="32"/>
        <v>4차</v>
      </c>
      <c r="D555" s="1" t="str">
        <f>"0227W31139"</f>
        <v>0227W31139</v>
      </c>
      <c r="E555" s="1" t="s">
        <v>10</v>
      </c>
      <c r="F555" s="1" t="str">
        <f>"10.12.129.174"</f>
        <v>10.12.129.174</v>
      </c>
      <c r="G555" s="1" t="str">
        <f>"0227W311"</f>
        <v>0227W311</v>
      </c>
      <c r="H555" s="1" t="str">
        <f>"미주간 21R4R1"</f>
        <v>미주간 21R4R1</v>
      </c>
      <c r="I555" s="1" t="s">
        <v>8</v>
      </c>
      <c r="J555" s="1" t="str">
        <f>"30/30"</f>
        <v>30/30</v>
      </c>
      <c r="K555" s="1" t="str">
        <f>"2026-07-29 13:18:03"</f>
        <v>2026-07-29 13:18:03</v>
      </c>
      <c r="L555" s="1" t="str">
        <f>"2018-04-17 18:21:02"</f>
        <v>2018-04-17 18:21:02</v>
      </c>
      <c r="M555" s="1" t="s">
        <v>0</v>
      </c>
      <c r="N555" s="1" t="s">
        <v>38</v>
      </c>
      <c r="O555" s="1" t="s">
        <v>46</v>
      </c>
    </row>
    <row r="556" spans="2:15" x14ac:dyDescent="0.3">
      <c r="B556" s="1" t="s">
        <v>24</v>
      </c>
      <c r="C556" s="1" t="str">
        <f t="shared" si="32"/>
        <v>4차</v>
      </c>
      <c r="D556" s="1" t="str">
        <f>"0227W31344"</f>
        <v>0227W31344</v>
      </c>
      <c r="E556" s="1" t="s">
        <v>10</v>
      </c>
      <c r="F556" s="1" t="str">
        <f>"10.10.44.138"</f>
        <v>10.10.44.138</v>
      </c>
      <c r="G556" s="1" t="str">
        <f>"0227W313"</f>
        <v>0227W313</v>
      </c>
      <c r="H556" s="1" t="str">
        <f>"미주간 21R4R2"</f>
        <v>미주간 21R4R2</v>
      </c>
      <c r="I556" s="1" t="s">
        <v>8</v>
      </c>
      <c r="J556" s="1" t="str">
        <f>"36/36"</f>
        <v>36/36</v>
      </c>
      <c r="K556" s="1" t="str">
        <f>"2026-07-29 13:18:01"</f>
        <v>2026-07-29 13:18:01</v>
      </c>
      <c r="L556" s="1" t="str">
        <f>"2019-10-17 12:03:05"</f>
        <v>2019-10-17 12:03:05</v>
      </c>
      <c r="M556" s="1" t="s">
        <v>1</v>
      </c>
      <c r="N556" s="1" t="s">
        <v>38</v>
      </c>
      <c r="O556" s="1" t="s">
        <v>46</v>
      </c>
    </row>
    <row r="557" spans="2:15" x14ac:dyDescent="0.3">
      <c r="B557" s="1" t="s">
        <v>24</v>
      </c>
      <c r="C557" s="1" t="str">
        <f t="shared" si="32"/>
        <v>4차</v>
      </c>
      <c r="D557" s="1" t="str">
        <f>"0227W32144"</f>
        <v>0227W32144</v>
      </c>
      <c r="E557" s="1" t="s">
        <v>10</v>
      </c>
      <c r="F557" s="1" t="str">
        <f>"10.10.44.186"</f>
        <v>10.10.44.186</v>
      </c>
      <c r="G557" s="1" t="str">
        <f>"0227W321"</f>
        <v>0227W321</v>
      </c>
      <c r="H557" s="1" t="str">
        <f>"미주간 21R6H1R2"</f>
        <v>미주간 21R6H1R2</v>
      </c>
      <c r="I557" s="1" t="s">
        <v>8</v>
      </c>
      <c r="J557" s="1" t="str">
        <f>"93/94"</f>
        <v>93/94</v>
      </c>
      <c r="K557" s="1" t="str">
        <f>"2026-07-29 13:18:02"</f>
        <v>2026-07-29 13:18:02</v>
      </c>
      <c r="L557" s="1" t="str">
        <f>"2019-10-17 16:13:05"</f>
        <v>2019-10-17 16:13:05</v>
      </c>
      <c r="M557" s="1" t="s">
        <v>1</v>
      </c>
      <c r="N557" s="1" t="s">
        <v>38</v>
      </c>
      <c r="O557" s="1" t="s">
        <v>46</v>
      </c>
    </row>
    <row r="558" spans="2:15" x14ac:dyDescent="0.3">
      <c r="B558" s="1" t="s">
        <v>24</v>
      </c>
      <c r="C558" s="1" t="str">
        <f t="shared" si="32"/>
        <v>4차</v>
      </c>
      <c r="D558" s="1" t="str">
        <f>"0227W33244"</f>
        <v>0227W33244</v>
      </c>
      <c r="E558" s="1" t="s">
        <v>10</v>
      </c>
      <c r="F558" s="1" t="str">
        <f>"10.10.107.90"</f>
        <v>10.10.107.90</v>
      </c>
      <c r="G558" s="1" t="str">
        <f>"0227W332"</f>
        <v>0227W332</v>
      </c>
      <c r="H558" s="1" t="str">
        <f>"미주간 21R6H1R3"</f>
        <v>미주간 21R6H1R3</v>
      </c>
      <c r="I558" s="1" t="s">
        <v>8</v>
      </c>
      <c r="J558" s="1" t="str">
        <f>"15/15"</f>
        <v>15/15</v>
      </c>
      <c r="K558" s="1" t="str">
        <f>"2026-07-29 13:18:02"</f>
        <v>2026-07-29 13:18:02</v>
      </c>
      <c r="L558" s="1" t="str">
        <f>"2019-10-17 16:25:49"</f>
        <v>2019-10-17 16:25:49</v>
      </c>
      <c r="M558" s="1" t="s">
        <v>1</v>
      </c>
      <c r="N558" s="1" t="s">
        <v>38</v>
      </c>
      <c r="O558" s="1" t="s">
        <v>46</v>
      </c>
    </row>
    <row r="559" spans="2:15" x14ac:dyDescent="0.3">
      <c r="B559" s="1" t="s">
        <v>24</v>
      </c>
      <c r="C559" s="1" t="str">
        <f t="shared" si="32"/>
        <v>4차</v>
      </c>
      <c r="D559" s="1" t="str">
        <f>"0227W34144"</f>
        <v>0227W34144</v>
      </c>
      <c r="E559" s="1" t="s">
        <v>10</v>
      </c>
      <c r="F559" s="1" t="str">
        <f>"10.10.44.178"</f>
        <v>10.10.44.178</v>
      </c>
      <c r="G559" s="1" t="str">
        <f>"0227W341"</f>
        <v>0227W341</v>
      </c>
      <c r="H559" s="1" t="str">
        <f>"미주간 21R4R9"</f>
        <v>미주간 21R4R9</v>
      </c>
      <c r="I559" s="1" t="s">
        <v>8</v>
      </c>
      <c r="J559" s="1" t="str">
        <f>"16/16"</f>
        <v>16/16</v>
      </c>
      <c r="K559" s="1" t="str">
        <f>"2026-07-29 13:18:01"</f>
        <v>2026-07-29 13:18:01</v>
      </c>
      <c r="L559" s="1" t="str">
        <f>"2019-10-17 17:43:04"</f>
        <v>2019-10-17 17:43:04</v>
      </c>
      <c r="M559" s="1" t="s">
        <v>1</v>
      </c>
      <c r="N559" s="1" t="s">
        <v>38</v>
      </c>
      <c r="O559" s="1" t="s">
        <v>46</v>
      </c>
    </row>
    <row r="560" spans="2:15" x14ac:dyDescent="0.3">
      <c r="B560" s="1" t="s">
        <v>24</v>
      </c>
      <c r="C560" s="1" t="str">
        <f t="shared" si="32"/>
        <v>4차</v>
      </c>
      <c r="D560" s="1" t="str">
        <f>"0227W34244"</f>
        <v>0227W34244</v>
      </c>
      <c r="E560" s="1" t="s">
        <v>10</v>
      </c>
      <c r="F560" s="1" t="str">
        <f>"10.10.44.210"</f>
        <v>10.10.44.210</v>
      </c>
      <c r="G560" s="1" t="str">
        <f>"0227W342"</f>
        <v>0227W342</v>
      </c>
      <c r="H560" s="1" t="str">
        <f>"미주간 21R9R4"</f>
        <v>미주간 21R9R4</v>
      </c>
      <c r="I560" s="1" t="s">
        <v>8</v>
      </c>
      <c r="J560" s="1" t="str">
        <f>"61/62"</f>
        <v>61/62</v>
      </c>
      <c r="K560" s="1" t="str">
        <f>"2026-07-29 13:18:02"</f>
        <v>2026-07-29 13:18:02</v>
      </c>
      <c r="L560" s="1" t="str">
        <f>"2019-11-18 21:24:14"</f>
        <v>2019-11-18 21:24:14</v>
      </c>
      <c r="M560" s="1" t="s">
        <v>1</v>
      </c>
      <c r="N560" s="1" t="s">
        <v>38</v>
      </c>
      <c r="O560" s="1" t="s">
        <v>46</v>
      </c>
    </row>
    <row r="561" spans="2:15" x14ac:dyDescent="0.3">
      <c r="B561" s="1" t="s">
        <v>24</v>
      </c>
      <c r="C561" s="1" t="str">
        <f t="shared" si="32"/>
        <v>4차</v>
      </c>
      <c r="D561" s="1" t="str">
        <f>"0227W34544"</f>
        <v>0227W34544</v>
      </c>
      <c r="E561" s="1" t="s">
        <v>10</v>
      </c>
      <c r="F561" s="1" t="str">
        <f>"10.12.138.60"</f>
        <v>10.12.138.60</v>
      </c>
      <c r="G561" s="1" t="str">
        <f>"0227W345"</f>
        <v>0227W345</v>
      </c>
      <c r="H561" s="1" t="str">
        <f>"미주간 21R13"</f>
        <v>미주간 21R13</v>
      </c>
      <c r="I561" s="1" t="s">
        <v>8</v>
      </c>
      <c r="J561" s="1" t="str">
        <f>"31/31"</f>
        <v>31/31</v>
      </c>
      <c r="K561" s="1" t="str">
        <f>"2026-07-29 13:18:01"</f>
        <v>2026-07-29 13:18:01</v>
      </c>
      <c r="L561" s="1" t="str">
        <f>"2019-11-11 19:50:24"</f>
        <v>2019-11-11 19:50:24</v>
      </c>
      <c r="M561" s="1" t="s">
        <v>0</v>
      </c>
      <c r="N561" s="1" t="s">
        <v>38</v>
      </c>
      <c r="O561" s="1" t="s">
        <v>46</v>
      </c>
    </row>
    <row r="562" spans="2:15" x14ac:dyDescent="0.3">
      <c r="B562" s="1" t="s">
        <v>24</v>
      </c>
      <c r="C562" s="1" t="str">
        <f t="shared" si="32"/>
        <v>4차</v>
      </c>
      <c r="D562" s="1" t="str">
        <f>"0227W41144"</f>
        <v>0227W41144</v>
      </c>
      <c r="E562" s="1" t="s">
        <v>10</v>
      </c>
      <c r="F562" s="1" t="str">
        <f>"10.10.44.130"</f>
        <v>10.10.44.130</v>
      </c>
      <c r="G562" s="1" t="str">
        <f>"0227W411"</f>
        <v>0227W411</v>
      </c>
      <c r="H562" s="1" t="str">
        <f>"미주간 21R2R2"</f>
        <v>미주간 21R2R2</v>
      </c>
      <c r="I562" s="1" t="s">
        <v>8</v>
      </c>
      <c r="J562" s="1" t="str">
        <f>"54/54"</f>
        <v>54/54</v>
      </c>
      <c r="K562" s="1" t="str">
        <f>"2026-07-29 13:18:02"</f>
        <v>2026-07-29 13:18:02</v>
      </c>
      <c r="L562" s="1" t="str">
        <f>"2019-10-17 12:11:47"</f>
        <v>2019-10-17 12:11:47</v>
      </c>
      <c r="M562" s="1" t="s">
        <v>1</v>
      </c>
      <c r="N562" s="1" t="s">
        <v>38</v>
      </c>
      <c r="O562" s="1" t="s">
        <v>46</v>
      </c>
    </row>
    <row r="563" spans="2:15" x14ac:dyDescent="0.3">
      <c r="B563" s="1" t="s">
        <v>24</v>
      </c>
      <c r="C563" s="1" t="str">
        <f t="shared" si="32"/>
        <v>4차</v>
      </c>
      <c r="D563" s="1" t="str">
        <f>"0227W42344"</f>
        <v>0227W42344</v>
      </c>
      <c r="E563" s="1" t="s">
        <v>10</v>
      </c>
      <c r="F563" s="1" t="str">
        <f>"10.10.44.154"</f>
        <v>10.10.44.154</v>
      </c>
      <c r="G563" s="1" t="str">
        <f>"0227W423"</f>
        <v>0227W423</v>
      </c>
      <c r="H563" s="1" t="str">
        <f>"미주간 21R4R4R1"</f>
        <v>미주간 21R4R4R1</v>
      </c>
      <c r="I563" s="1" t="s">
        <v>8</v>
      </c>
      <c r="J563" s="1" t="str">
        <f>"22/22"</f>
        <v>22/22</v>
      </c>
      <c r="K563" s="1" t="str">
        <f>"2026-07-29 13:18:02"</f>
        <v>2026-07-29 13:18:02</v>
      </c>
      <c r="L563" s="1" t="str">
        <f>"2019-10-17 13:13:03"</f>
        <v>2019-10-17 13:13:03</v>
      </c>
      <c r="M563" s="1" t="s">
        <v>1</v>
      </c>
      <c r="N563" s="1" t="s">
        <v>38</v>
      </c>
      <c r="O563" s="1" t="s">
        <v>46</v>
      </c>
    </row>
    <row r="564" spans="2:15" x14ac:dyDescent="0.3">
      <c r="B564" s="1" t="s">
        <v>24</v>
      </c>
      <c r="C564" s="1" t="str">
        <f t="shared" si="32"/>
        <v>4차</v>
      </c>
      <c r="D564" s="1" t="str">
        <f>"0227W42444"</f>
        <v>0227W42444</v>
      </c>
      <c r="E564" s="1" t="s">
        <v>10</v>
      </c>
      <c r="F564" s="1" t="str">
        <f>"10.10.44.146"</f>
        <v>10.10.44.146</v>
      </c>
      <c r="G564" s="1" t="str">
        <f>"0227W424"</f>
        <v>0227W424</v>
      </c>
      <c r="H564" s="1" t="str">
        <f>"미주간 21R4R3"</f>
        <v>미주간 21R4R3</v>
      </c>
      <c r="I564" s="1" t="s">
        <v>8</v>
      </c>
      <c r="J564" s="1" t="str">
        <f>"26/26"</f>
        <v>26/26</v>
      </c>
      <c r="K564" s="1" t="str">
        <f>"2026-07-29 13:18:02"</f>
        <v>2026-07-29 13:18:02</v>
      </c>
      <c r="L564" s="1" t="str">
        <f>"2019-10-17 13:02:34"</f>
        <v>2019-10-17 13:02:34</v>
      </c>
      <c r="M564" s="1" t="s">
        <v>1</v>
      </c>
      <c r="N564" s="1" t="s">
        <v>38</v>
      </c>
      <c r="O564" s="1" t="s">
        <v>46</v>
      </c>
    </row>
    <row r="565" spans="2:15" x14ac:dyDescent="0.3">
      <c r="B565" s="1" t="s">
        <v>24</v>
      </c>
      <c r="C565" s="1" t="str">
        <f t="shared" si="32"/>
        <v>4차</v>
      </c>
      <c r="D565" s="1" t="str">
        <f>"0227W43144"</f>
        <v>0227W43144</v>
      </c>
      <c r="E565" s="1" t="s">
        <v>10</v>
      </c>
      <c r="F565" s="1" t="str">
        <f>"10.10.44.170"</f>
        <v>10.10.44.170</v>
      </c>
      <c r="G565" s="1" t="str">
        <f>"0227W431"</f>
        <v>0227W431</v>
      </c>
      <c r="H565" s="1" t="str">
        <f>"미주간 21R4R6"</f>
        <v>미주간 21R4R6</v>
      </c>
      <c r="I565" s="1" t="s">
        <v>8</v>
      </c>
      <c r="J565" s="1" t="str">
        <f>"51/51"</f>
        <v>51/51</v>
      </c>
      <c r="K565" s="1" t="str">
        <f>"2026-07-29 13:18:02"</f>
        <v>2026-07-29 13:18:02</v>
      </c>
      <c r="L565" s="1" t="str">
        <f>"2019-10-17 13:13:03"</f>
        <v>2019-10-17 13:13:03</v>
      </c>
      <c r="M565" s="1" t="s">
        <v>1</v>
      </c>
      <c r="N565" s="1" t="s">
        <v>38</v>
      </c>
      <c r="O565" s="1" t="s">
        <v>46</v>
      </c>
    </row>
    <row r="566" spans="2:15" x14ac:dyDescent="0.3">
      <c r="B566" s="1" t="s">
        <v>24</v>
      </c>
      <c r="C566" s="1" t="str">
        <f t="shared" si="32"/>
        <v>4차</v>
      </c>
      <c r="D566" s="1" t="str">
        <f>"0227W45244"</f>
        <v>0227W45244</v>
      </c>
      <c r="E566" s="1" t="s">
        <v>10</v>
      </c>
      <c r="F566" s="1" t="str">
        <f>"10.12.138.61"</f>
        <v>10.12.138.61</v>
      </c>
      <c r="G566" s="1" t="str">
        <f>"0227W452"</f>
        <v>0227W452</v>
      </c>
      <c r="H566" s="1" t="str">
        <f>"미주간 1R4"</f>
        <v>미주간 1R4</v>
      </c>
      <c r="I566" s="1" t="s">
        <v>8</v>
      </c>
      <c r="J566" s="1" t="str">
        <f>"11/11"</f>
        <v>11/11</v>
      </c>
      <c r="K566" s="1" t="str">
        <f>"2026-07-29 13:18:01"</f>
        <v>2026-07-29 13:18:01</v>
      </c>
      <c r="L566" s="1" t="str">
        <f>"2019-11-11 19:51:00"</f>
        <v>2019-11-11 19:51:00</v>
      </c>
      <c r="M566" s="1" t="s">
        <v>0</v>
      </c>
      <c r="N566" s="1" t="s">
        <v>38</v>
      </c>
      <c r="O566" s="1" t="s">
        <v>46</v>
      </c>
    </row>
    <row r="567" spans="2:15" x14ac:dyDescent="0.3">
      <c r="B567" s="1" t="s">
        <v>24</v>
      </c>
      <c r="C567" s="1" t="str">
        <f t="shared" si="32"/>
        <v>4차</v>
      </c>
      <c r="D567" s="1" t="str">
        <f>"0227W50139"</f>
        <v>0227W50139</v>
      </c>
      <c r="E567" s="1" t="s">
        <v>10</v>
      </c>
      <c r="F567" s="1" t="str">
        <f>"10.12.129.201"</f>
        <v>10.12.129.201</v>
      </c>
      <c r="G567" s="1" t="str">
        <f>"0227W501"</f>
        <v>0227W501</v>
      </c>
      <c r="H567" s="1" t="str">
        <f>"미주간 16R1L2"</f>
        <v>미주간 16R1L2</v>
      </c>
      <c r="I567" s="1" t="s">
        <v>8</v>
      </c>
      <c r="J567" s="1" t="str">
        <f>"36/36"</f>
        <v>36/36</v>
      </c>
      <c r="K567" s="1" t="str">
        <f>"2026-07-29 13:18:03"</f>
        <v>2026-07-29 13:18:03</v>
      </c>
      <c r="L567" s="1" t="str">
        <f>"2018-04-17 18:23:59"</f>
        <v>2018-04-17 18:23:59</v>
      </c>
      <c r="M567" s="1" t="s">
        <v>0</v>
      </c>
      <c r="N567" s="1" t="s">
        <v>38</v>
      </c>
      <c r="O567" s="1" t="s">
        <v>46</v>
      </c>
    </row>
    <row r="568" spans="2:15" x14ac:dyDescent="0.3">
      <c r="B568" s="1" t="s">
        <v>24</v>
      </c>
      <c r="C568" s="1" t="str">
        <f t="shared" si="32"/>
        <v>4차</v>
      </c>
      <c r="D568" s="1" t="str">
        <f>"0227W51144"</f>
        <v>0227W51144</v>
      </c>
      <c r="E568" s="1" t="s">
        <v>10</v>
      </c>
      <c r="F568" s="1" t="str">
        <f>"10.10.44.90"</f>
        <v>10.10.44.90</v>
      </c>
      <c r="G568" s="1" t="str">
        <f>"0227W511"</f>
        <v>0227W511</v>
      </c>
      <c r="H568" s="1" t="str">
        <f>"미주간 16R2"</f>
        <v>미주간 16R2</v>
      </c>
      <c r="I568" s="1" t="s">
        <v>8</v>
      </c>
      <c r="J568" s="1" t="str">
        <f>"17/17"</f>
        <v>17/17</v>
      </c>
      <c r="K568" s="1" t="str">
        <f>"2026-07-29 13:18:01"</f>
        <v>2026-07-29 13:18:01</v>
      </c>
      <c r="L568" s="1" t="str">
        <f>"2019-11-18 19:50:48"</f>
        <v>2019-11-18 19:50:48</v>
      </c>
      <c r="M568" s="1" t="s">
        <v>1</v>
      </c>
      <c r="N568" s="1" t="s">
        <v>38</v>
      </c>
      <c r="O568" s="1" t="s">
        <v>46</v>
      </c>
    </row>
    <row r="569" spans="2:15" x14ac:dyDescent="0.3">
      <c r="B569" s="1" t="s">
        <v>24</v>
      </c>
      <c r="C569" s="1" t="str">
        <f t="shared" si="32"/>
        <v>4차</v>
      </c>
      <c r="D569" s="1" t="str">
        <f>"0227W52144"</f>
        <v>0227W52144</v>
      </c>
      <c r="E569" s="1" t="s">
        <v>10</v>
      </c>
      <c r="F569" s="1" t="str">
        <f>"10.10.107.58"</f>
        <v>10.10.107.58</v>
      </c>
      <c r="G569" s="1" t="str">
        <f>"0227W521"</f>
        <v>0227W521</v>
      </c>
      <c r="H569" s="1" t="str">
        <f>"미주간 12R2L2"</f>
        <v>미주간 12R2L2</v>
      </c>
      <c r="I569" s="1" t="s">
        <v>8</v>
      </c>
      <c r="J569" s="1" t="str">
        <f>"10/10"</f>
        <v>10/10</v>
      </c>
      <c r="K569" s="1" t="str">
        <f>"2026-07-29 13:18:01"</f>
        <v>2026-07-29 13:18:01</v>
      </c>
      <c r="L569" s="1" t="str">
        <f>"2019-10-17 13:43:18"</f>
        <v>2019-10-17 13:43:18</v>
      </c>
      <c r="M569" s="1" t="s">
        <v>1</v>
      </c>
      <c r="N569" s="1" t="s">
        <v>38</v>
      </c>
      <c r="O569" s="1" t="s">
        <v>46</v>
      </c>
    </row>
    <row r="570" spans="2:15" x14ac:dyDescent="0.3">
      <c r="B570" s="1" t="s">
        <v>24</v>
      </c>
      <c r="C570" s="1" t="str">
        <f t="shared" si="32"/>
        <v>4차</v>
      </c>
      <c r="D570" s="1" t="str">
        <f>"0227W53444"</f>
        <v>0227W53444</v>
      </c>
      <c r="E570" s="1" t="s">
        <v>10</v>
      </c>
      <c r="F570" s="1" t="str">
        <f>"10.10.44.162"</f>
        <v>10.10.44.162</v>
      </c>
      <c r="G570" s="1" t="str">
        <f>"0227W534"</f>
        <v>0227W534</v>
      </c>
      <c r="H570" s="1" t="str">
        <f>"미주간 21R4R4R2"</f>
        <v>미주간 21R4R4R2</v>
      </c>
      <c r="I570" s="1" t="s">
        <v>8</v>
      </c>
      <c r="J570" s="1" t="str">
        <f>"55/55"</f>
        <v>55/55</v>
      </c>
      <c r="K570" s="1" t="str">
        <f>"2026-07-29 13:18:01"</f>
        <v>2026-07-29 13:18:01</v>
      </c>
      <c r="L570" s="1" t="str">
        <f>"2019-10-18 10:13:03"</f>
        <v>2019-10-18 10:13:03</v>
      </c>
      <c r="M570" s="1" t="s">
        <v>1</v>
      </c>
      <c r="N570" s="1" t="s">
        <v>38</v>
      </c>
      <c r="O570" s="1" t="s">
        <v>46</v>
      </c>
    </row>
    <row r="571" spans="2:15" x14ac:dyDescent="0.3">
      <c r="B571" s="1" t="s">
        <v>24</v>
      </c>
      <c r="C571" s="1" t="str">
        <f t="shared" si="32"/>
        <v>4차</v>
      </c>
      <c r="D571" s="1" t="str">
        <f>"0227W56139"</f>
        <v>0227W56139</v>
      </c>
      <c r="E571" s="1" t="s">
        <v>10</v>
      </c>
      <c r="F571" s="1" t="str">
        <f>"10.12.129.171"</f>
        <v>10.12.129.171</v>
      </c>
      <c r="G571" s="1" t="str">
        <f>"0227W561"</f>
        <v>0227W561</v>
      </c>
      <c r="H571" s="1" t="str">
        <f>"연구간 64R3"</f>
        <v>연구간 64R3</v>
      </c>
      <c r="I571" s="1" t="s">
        <v>8</v>
      </c>
      <c r="J571" s="1" t="str">
        <f>"62/62"</f>
        <v>62/62</v>
      </c>
      <c r="K571" s="1" t="str">
        <f>"2026-07-29 07:18:02"</f>
        <v>2026-07-29 07:18:02</v>
      </c>
      <c r="L571" s="1" t="str">
        <f>"2018-04-17 18:22:15"</f>
        <v>2018-04-17 18:22:15</v>
      </c>
      <c r="M571" s="1" t="s">
        <v>0</v>
      </c>
      <c r="N571" s="1" t="s">
        <v>38</v>
      </c>
      <c r="O571" s="1" t="s">
        <v>46</v>
      </c>
    </row>
    <row r="572" spans="2:15" x14ac:dyDescent="0.3">
      <c r="B572" s="1" t="s">
        <v>24</v>
      </c>
      <c r="C572" s="1" t="str">
        <f t="shared" si="32"/>
        <v>4차</v>
      </c>
      <c r="D572" s="1" t="str">
        <f>"0227W57244"</f>
        <v>0227W57244</v>
      </c>
      <c r="E572" s="1" t="s">
        <v>10</v>
      </c>
      <c r="F572" s="1" t="str">
        <f>"10.10.117.106"</f>
        <v>10.10.117.106</v>
      </c>
      <c r="G572" s="1" t="str">
        <f>"0227W572"</f>
        <v>0227W572</v>
      </c>
      <c r="H572" s="1" t="str">
        <f>"연구간 64R4"</f>
        <v>연구간 64R4</v>
      </c>
      <c r="I572" s="1" t="s">
        <v>8</v>
      </c>
      <c r="J572" s="1" t="str">
        <f>"30/30"</f>
        <v>30/30</v>
      </c>
      <c r="K572" s="1" t="str">
        <f>"2026-07-29 13:18:02"</f>
        <v>2026-07-29 13:18:02</v>
      </c>
      <c r="L572" s="1" t="str">
        <f>"2019-11-18 23:35:51"</f>
        <v>2019-11-18 23:35:51</v>
      </c>
      <c r="M572" s="1" t="s">
        <v>1</v>
      </c>
      <c r="N572" s="1" t="s">
        <v>38</v>
      </c>
      <c r="O572" s="1" t="s">
        <v>46</v>
      </c>
    </row>
    <row r="573" spans="2:15" x14ac:dyDescent="0.3">
      <c r="B573" s="1" t="s">
        <v>24</v>
      </c>
      <c r="C573" s="1" t="str">
        <f t="shared" si="32"/>
        <v>4차</v>
      </c>
      <c r="D573" s="1" t="str">
        <f>"0227W63144"</f>
        <v>0227W63144</v>
      </c>
      <c r="E573" s="1" t="s">
        <v>10</v>
      </c>
      <c r="F573" s="1" t="str">
        <f>"10.10.44.74"</f>
        <v>10.10.44.74</v>
      </c>
      <c r="G573" s="1" t="str">
        <f>"0227W631"</f>
        <v>0227W631</v>
      </c>
      <c r="H573" s="1" t="str">
        <f>"미주간 12R2"</f>
        <v>미주간 12R2</v>
      </c>
      <c r="I573" s="1" t="s">
        <v>8</v>
      </c>
      <c r="J573" s="1" t="str">
        <f>"10/10"</f>
        <v>10/10</v>
      </c>
      <c r="K573" s="1" t="str">
        <f>"2026-07-29 13:18:01"</f>
        <v>2026-07-29 13:18:01</v>
      </c>
      <c r="L573" s="1" t="str">
        <f>"2019-10-17 13:52:03"</f>
        <v>2019-10-17 13:52:03</v>
      </c>
      <c r="M573" s="1" t="s">
        <v>1</v>
      </c>
      <c r="N573" s="1" t="s">
        <v>38</v>
      </c>
      <c r="O573" s="1" t="s">
        <v>46</v>
      </c>
    </row>
    <row r="574" spans="2:15" x14ac:dyDescent="0.3">
      <c r="B574" s="1" t="s">
        <v>24</v>
      </c>
      <c r="C574" s="1" t="str">
        <f t="shared" si="32"/>
        <v>4차</v>
      </c>
      <c r="D574" s="1" t="str">
        <f>"0227W63444"</f>
        <v>0227W63444</v>
      </c>
      <c r="E574" s="1" t="s">
        <v>10</v>
      </c>
      <c r="F574" s="1" t="str">
        <f>"10.10.44.82"</f>
        <v>10.10.44.82</v>
      </c>
      <c r="G574" s="1" t="str">
        <f>"0227W634"</f>
        <v>0227W634</v>
      </c>
      <c r="H574" s="1" t="str">
        <f>"미주간 12R4"</f>
        <v>미주간 12R4</v>
      </c>
      <c r="I574" s="1" t="s">
        <v>8</v>
      </c>
      <c r="J574" s="1" t="str">
        <f>"22/22"</f>
        <v>22/22</v>
      </c>
      <c r="K574" s="1" t="str">
        <f>"2026-07-29 13:18:01"</f>
        <v>2026-07-29 13:18:01</v>
      </c>
      <c r="L574" s="1" t="str">
        <f>"2019-10-17 14:13:04"</f>
        <v>2019-10-17 14:13:04</v>
      </c>
      <c r="M574" s="1" t="s">
        <v>1</v>
      </c>
      <c r="N574" s="1" t="s">
        <v>38</v>
      </c>
      <c r="O574" s="1" t="s">
        <v>46</v>
      </c>
    </row>
    <row r="575" spans="2:15" x14ac:dyDescent="0.3">
      <c r="B575" s="1" t="s">
        <v>24</v>
      </c>
      <c r="C575" s="1" t="str">
        <f t="shared" si="32"/>
        <v>4차</v>
      </c>
      <c r="D575" s="1" t="str">
        <f>"0227W64144"</f>
        <v>0227W64144</v>
      </c>
      <c r="E575" s="1" t="s">
        <v>10</v>
      </c>
      <c r="F575" s="1" t="str">
        <f>"10.10.44.106"</f>
        <v>10.10.44.106</v>
      </c>
      <c r="G575" s="1" t="str">
        <f>"0227W641"</f>
        <v>0227W641</v>
      </c>
      <c r="H575" s="1" t="str">
        <f>"미주간 2"</f>
        <v>미주간 2</v>
      </c>
      <c r="I575" s="1" t="s">
        <v>8</v>
      </c>
      <c r="J575" s="1" t="str">
        <f>"20/20"</f>
        <v>20/20</v>
      </c>
      <c r="K575" s="1" t="str">
        <f>"2026-07-29 13:18:01"</f>
        <v>2026-07-29 13:18:01</v>
      </c>
      <c r="L575" s="1" t="str">
        <f>"2019-10-18 10:37:32"</f>
        <v>2019-10-18 10:37:32</v>
      </c>
      <c r="M575" s="1" t="s">
        <v>1</v>
      </c>
      <c r="N575" s="1" t="s">
        <v>38</v>
      </c>
      <c r="O575" s="1" t="s">
        <v>46</v>
      </c>
    </row>
    <row r="576" spans="2:15" x14ac:dyDescent="0.3">
      <c r="B576" s="1" t="s">
        <v>24</v>
      </c>
      <c r="C576" s="1" t="str">
        <f t="shared" si="32"/>
        <v>4차</v>
      </c>
      <c r="D576" s="1" t="str">
        <f>"0227W65244"</f>
        <v>0227W65244</v>
      </c>
      <c r="E576" s="1" t="s">
        <v>10</v>
      </c>
      <c r="F576" s="1" t="str">
        <f>"10.10.115.250"</f>
        <v>10.10.115.250</v>
      </c>
      <c r="G576" s="1" t="str">
        <f>"0227W652"</f>
        <v>0227W652</v>
      </c>
      <c r="H576" s="1" t="str">
        <f>"연구간 66"</f>
        <v>연구간 66</v>
      </c>
      <c r="I576" s="1" t="s">
        <v>8</v>
      </c>
      <c r="J576" s="1" t="str">
        <f>"20/20"</f>
        <v>20/20</v>
      </c>
      <c r="K576" s="1" t="str">
        <f>"2026-07-29 13:18:02"</f>
        <v>2026-07-29 13:18:02</v>
      </c>
      <c r="L576" s="1" t="str">
        <f>"2019-11-18 23:32:09"</f>
        <v>2019-11-18 23:32:09</v>
      </c>
      <c r="M576" s="1" t="s">
        <v>1</v>
      </c>
      <c r="N576" s="1" t="s">
        <v>38</v>
      </c>
      <c r="O576" s="1" t="s">
        <v>46</v>
      </c>
    </row>
    <row r="577" spans="2:15" x14ac:dyDescent="0.3">
      <c r="B577" s="1" t="s">
        <v>24</v>
      </c>
      <c r="C577" s="1" t="str">
        <f t="shared" si="32"/>
        <v>4차</v>
      </c>
      <c r="D577" s="1" t="str">
        <f>"0227W66544"</f>
        <v>0227W66544</v>
      </c>
      <c r="E577" s="1" t="s">
        <v>12</v>
      </c>
      <c r="F577" s="1" t="str">
        <f>"10.10.60.34"</f>
        <v>10.10.60.34</v>
      </c>
      <c r="G577" s="1" t="str">
        <f>"0227W665"</f>
        <v>0227W665</v>
      </c>
      <c r="H577" s="1" t="str">
        <f>"연구간 64R2"</f>
        <v>연구간 64R2</v>
      </c>
      <c r="I577" s="1" t="s">
        <v>8</v>
      </c>
      <c r="J577" s="1" t="str">
        <f>"0/25"</f>
        <v>0/25</v>
      </c>
      <c r="K577" s="1" t="str">
        <f>"2026-07-22 20:03:47"</f>
        <v>2026-07-22 20:03:47</v>
      </c>
      <c r="L577" s="1" t="str">
        <f>"2019-11-18 23:39:29"</f>
        <v>2019-11-18 23:39:29</v>
      </c>
      <c r="M577" s="1" t="s">
        <v>1</v>
      </c>
      <c r="N577" s="1" t="s">
        <v>38</v>
      </c>
      <c r="O577" s="1" t="s">
        <v>46</v>
      </c>
    </row>
    <row r="578" spans="2:15" x14ac:dyDescent="0.3">
      <c r="B578" s="1" t="s">
        <v>24</v>
      </c>
      <c r="C578" s="1" t="str">
        <f t="shared" si="32"/>
        <v>4차</v>
      </c>
      <c r="D578" s="1" t="str">
        <f>"0227W67144"</f>
        <v>0227W67144</v>
      </c>
      <c r="E578" s="1" t="s">
        <v>10</v>
      </c>
      <c r="F578" s="1" t="str">
        <f>"10.10.60.42"</f>
        <v>10.10.60.42</v>
      </c>
      <c r="G578" s="1" t="str">
        <f>"0227W671"</f>
        <v>0227W671</v>
      </c>
      <c r="H578" s="1" t="str">
        <f>"연구간 64R2D1"</f>
        <v>연구간 64R2D1</v>
      </c>
      <c r="I578" s="1" t="s">
        <v>8</v>
      </c>
      <c r="J578" s="1" t="str">
        <f>"60/60"</f>
        <v>60/60</v>
      </c>
      <c r="K578" s="1" t="str">
        <f>"2026-07-29 13:18:02"</f>
        <v>2026-07-29 13:18:02</v>
      </c>
      <c r="L578" s="1" t="str">
        <f>"2019-11-19 00:49:07"</f>
        <v>2019-11-19 00:49:07</v>
      </c>
      <c r="M578" s="1" t="s">
        <v>1</v>
      </c>
      <c r="N578" s="1" t="s">
        <v>38</v>
      </c>
      <c r="O578" s="1" t="s">
        <v>46</v>
      </c>
    </row>
    <row r="579" spans="2:15" x14ac:dyDescent="0.3">
      <c r="B579" s="1" t="s">
        <v>24</v>
      </c>
      <c r="C579" s="1" t="str">
        <f t="shared" si="32"/>
        <v>4차</v>
      </c>
      <c r="D579" s="1" t="str">
        <f>"0227W72144"</f>
        <v>0227W72144</v>
      </c>
      <c r="E579" s="1" t="s">
        <v>10</v>
      </c>
      <c r="F579" s="1" t="str">
        <f>"10.10.107.50"</f>
        <v>10.10.107.50</v>
      </c>
      <c r="G579" s="1" t="str">
        <f>"0227W721"</f>
        <v>0227W721</v>
      </c>
      <c r="H579" s="1" t="str">
        <f>"미주간 12R1R1"</f>
        <v>미주간 12R1R1</v>
      </c>
      <c r="I579" s="1" t="s">
        <v>8</v>
      </c>
      <c r="J579" s="1" t="str">
        <f>"6/6"</f>
        <v>6/6</v>
      </c>
      <c r="K579" s="1" t="str">
        <f>"2026-07-29 13:18:03"</f>
        <v>2026-07-29 13:18:03</v>
      </c>
      <c r="L579" s="1" t="str">
        <f>"2019-10-17 15:29:04"</f>
        <v>2019-10-17 15:29:04</v>
      </c>
      <c r="M579" s="1" t="s">
        <v>1</v>
      </c>
      <c r="N579" s="1" t="s">
        <v>38</v>
      </c>
      <c r="O579" s="1" t="s">
        <v>46</v>
      </c>
    </row>
    <row r="580" spans="2:15" x14ac:dyDescent="0.3">
      <c r="B580" s="1" t="s">
        <v>24</v>
      </c>
      <c r="C580" s="1" t="str">
        <f t="shared" si="32"/>
        <v>4차</v>
      </c>
      <c r="D580" s="1" t="str">
        <f>"0227W74244"</f>
        <v>0227W74244</v>
      </c>
      <c r="E580" s="1" t="s">
        <v>10</v>
      </c>
      <c r="F580" s="1" t="str">
        <f>"10.10.107.98"</f>
        <v>10.10.107.98</v>
      </c>
      <c r="G580" s="1" t="str">
        <f>"0227W742"</f>
        <v>0227W742</v>
      </c>
      <c r="H580" s="1" t="str">
        <f>"미주간 5"</f>
        <v>미주간 5</v>
      </c>
      <c r="I580" s="1" t="s">
        <v>8</v>
      </c>
      <c r="J580" s="1" t="str">
        <f>"15/15"</f>
        <v>15/15</v>
      </c>
      <c r="K580" s="1" t="str">
        <f>"2026-07-29 13:18:01"</f>
        <v>2026-07-29 13:18:01</v>
      </c>
      <c r="L580" s="1" t="str">
        <f>"2019-10-17 14:42:34"</f>
        <v>2019-10-17 14:42:34</v>
      </c>
      <c r="M580" s="1" t="s">
        <v>1</v>
      </c>
      <c r="N580" s="1" t="s">
        <v>38</v>
      </c>
      <c r="O580" s="1" t="s">
        <v>46</v>
      </c>
    </row>
    <row r="581" spans="2:15" x14ac:dyDescent="0.3">
      <c r="B581" s="1" t="s">
        <v>24</v>
      </c>
      <c r="C581" s="1" t="str">
        <f t="shared" si="32"/>
        <v>4차</v>
      </c>
      <c r="D581" s="1" t="str">
        <f>"0227W75444"</f>
        <v>0227W75444</v>
      </c>
      <c r="E581" s="1" t="s">
        <v>10</v>
      </c>
      <c r="F581" s="1" t="str">
        <f>"10.10.60.18"</f>
        <v>10.10.60.18</v>
      </c>
      <c r="G581" s="1" t="str">
        <f>"0227W754"</f>
        <v>0227W754</v>
      </c>
      <c r="H581" s="1" t="str">
        <f>"연구간 64"</f>
        <v>연구간 64</v>
      </c>
      <c r="I581" s="1" t="s">
        <v>8</v>
      </c>
      <c r="J581" s="1" t="str">
        <f>"31/31"</f>
        <v>31/31</v>
      </c>
      <c r="K581" s="1" t="str">
        <f>"2026-07-29 13:18:02"</f>
        <v>2026-07-29 13:18:02</v>
      </c>
      <c r="L581" s="1" t="str">
        <f>"2019-11-18 23:28:30"</f>
        <v>2019-11-18 23:28:30</v>
      </c>
      <c r="M581" s="1" t="s">
        <v>1</v>
      </c>
      <c r="N581" s="1" t="s">
        <v>38</v>
      </c>
      <c r="O581" s="1" t="s">
        <v>46</v>
      </c>
    </row>
    <row r="582" spans="2:15" x14ac:dyDescent="0.3">
      <c r="B582" s="1" t="s">
        <v>24</v>
      </c>
      <c r="C582" s="1" t="str">
        <f t="shared" si="32"/>
        <v>4차</v>
      </c>
      <c r="D582" s="1" t="str">
        <f>"0227W76244"</f>
        <v>0227W76244</v>
      </c>
      <c r="E582" s="1" t="s">
        <v>10</v>
      </c>
      <c r="F582" s="1" t="str">
        <f>"10.10.60.50"</f>
        <v>10.10.60.50</v>
      </c>
      <c r="G582" s="1" t="str">
        <f>"0227W762"</f>
        <v>0227W762</v>
      </c>
      <c r="H582" s="1" t="str">
        <f>"연구간 64R2R2"</f>
        <v>연구간 64R2R2</v>
      </c>
      <c r="I582" s="1" t="s">
        <v>8</v>
      </c>
      <c r="J582" s="1" t="str">
        <f>"70/74"</f>
        <v>70/74</v>
      </c>
      <c r="K582" s="1" t="str">
        <f>"2026-07-29 13:18:02"</f>
        <v>2026-07-29 13:18:02</v>
      </c>
      <c r="L582" s="1" t="str">
        <f>"2019-11-18 23:38:27"</f>
        <v>2019-11-18 23:38:27</v>
      </c>
      <c r="M582" s="1" t="s">
        <v>1</v>
      </c>
      <c r="N582" s="1" t="s">
        <v>38</v>
      </c>
      <c r="O582" s="1" t="s">
        <v>46</v>
      </c>
    </row>
    <row r="583" spans="2:15" x14ac:dyDescent="0.3">
      <c r="B583" s="1" t="s">
        <v>24</v>
      </c>
      <c r="C583" s="1" t="str">
        <f t="shared" si="32"/>
        <v>4차</v>
      </c>
      <c r="D583" s="1" t="str">
        <f>"0227W83144"</f>
        <v>0227W83144</v>
      </c>
      <c r="E583" s="1" t="s">
        <v>10</v>
      </c>
      <c r="F583" s="1" t="str">
        <f>"10.10.46.162"</f>
        <v>10.10.46.162</v>
      </c>
      <c r="G583" s="1" t="str">
        <f>"0227W831"</f>
        <v>0227W831</v>
      </c>
      <c r="H583" s="1" t="str">
        <f>"미주간 6R1"</f>
        <v>미주간 6R1</v>
      </c>
      <c r="I583" s="1" t="s">
        <v>8</v>
      </c>
      <c r="J583" s="1" t="str">
        <f>"19/19"</f>
        <v>19/19</v>
      </c>
      <c r="K583" s="1" t="str">
        <f>"2026-07-29 13:18:01"</f>
        <v>2026-07-29 13:18:01</v>
      </c>
      <c r="L583" s="1" t="str">
        <f>"2019-10-17 14:23:04"</f>
        <v>2019-10-17 14:23:04</v>
      </c>
      <c r="M583" s="1" t="s">
        <v>1</v>
      </c>
      <c r="N583" s="1" t="s">
        <v>38</v>
      </c>
      <c r="O583" s="1" t="s">
        <v>46</v>
      </c>
    </row>
    <row r="584" spans="2:15" x14ac:dyDescent="0.3">
      <c r="B584" s="1" t="s">
        <v>24</v>
      </c>
      <c r="C584" s="1" t="str">
        <f t="shared" si="32"/>
        <v>4차</v>
      </c>
      <c r="D584" s="1" t="str">
        <f>"0227W85144"</f>
        <v>0227W85144</v>
      </c>
      <c r="E584" s="1" t="s">
        <v>10</v>
      </c>
      <c r="F584" s="1" t="str">
        <f>"10.12.128.71"</f>
        <v>10.12.128.71</v>
      </c>
      <c r="G584" s="1" t="str">
        <f>"0227W851"</f>
        <v>0227W851</v>
      </c>
      <c r="H584" s="1" t="str">
        <f>"연구간 62R1"</f>
        <v>연구간 62R1</v>
      </c>
      <c r="I584" s="1" t="s">
        <v>8</v>
      </c>
      <c r="J584" s="1" t="str">
        <f>"65/65"</f>
        <v>65/65</v>
      </c>
      <c r="K584" s="1" t="str">
        <f>"2026-07-29 13:18:03"</f>
        <v>2026-07-29 13:18:03</v>
      </c>
      <c r="L584" s="1" t="str">
        <f>"2019-11-18 22:52:29"</f>
        <v>2019-11-18 22:52:29</v>
      </c>
      <c r="M584" s="1" t="s">
        <v>0</v>
      </c>
      <c r="N584" s="1" t="s">
        <v>38</v>
      </c>
      <c r="O584" s="1" t="s">
        <v>46</v>
      </c>
    </row>
    <row r="585" spans="2:15" x14ac:dyDescent="0.3">
      <c r="B585" s="1" t="s">
        <v>24</v>
      </c>
      <c r="C585" s="1" t="str">
        <f t="shared" si="32"/>
        <v>4차</v>
      </c>
      <c r="D585" s="1" t="str">
        <f>"0227W87744"</f>
        <v>0227W87744</v>
      </c>
      <c r="E585" s="1" t="s">
        <v>10</v>
      </c>
      <c r="F585" s="1" t="str">
        <f>"10.10.60.66"</f>
        <v>10.10.60.66</v>
      </c>
      <c r="G585" s="1" t="str">
        <f>"0227W877"</f>
        <v>0227W877</v>
      </c>
      <c r="H585" s="1" t="str">
        <f>"연구간 64R2R3"</f>
        <v>연구간 64R2R3</v>
      </c>
      <c r="I585" s="1" t="s">
        <v>8</v>
      </c>
      <c r="J585" s="1" t="str">
        <f>"36/36"</f>
        <v>36/36</v>
      </c>
      <c r="K585" s="1" t="str">
        <f>"2026-07-29 13:18:02"</f>
        <v>2026-07-29 13:18:02</v>
      </c>
      <c r="L585" s="1" t="str">
        <f>"2019-11-18 23:37:37"</f>
        <v>2019-11-18 23:37:37</v>
      </c>
      <c r="M585" s="1" t="s">
        <v>1</v>
      </c>
      <c r="N585" s="1" t="s">
        <v>38</v>
      </c>
      <c r="O585" s="1" t="s">
        <v>46</v>
      </c>
    </row>
    <row r="586" spans="2:15" x14ac:dyDescent="0.3">
      <c r="B586" s="1" t="s">
        <v>24</v>
      </c>
      <c r="C586" s="1" t="str">
        <f>"5-2차"</f>
        <v>5-2차</v>
      </c>
      <c r="D586" s="1" t="str">
        <f>"0227W9025M"</f>
        <v>0227W9025M</v>
      </c>
      <c r="E586" s="1" t="s">
        <v>10</v>
      </c>
      <c r="F586" s="1" t="str">
        <f>"fde3:102:1430:1200:0:0:0:6"</f>
        <v>fde3:102:1430:1200:0:0:0:6</v>
      </c>
      <c r="G586" s="1" t="str">
        <f>"0227W902"</f>
        <v>0227W902</v>
      </c>
      <c r="H586" s="1" t="str">
        <f>"태양간 61L7R5"</f>
        <v>태양간 61L7R5</v>
      </c>
      <c r="I586" s="1" t="s">
        <v>15</v>
      </c>
      <c r="J586" s="1" t="str">
        <f>"107/110"</f>
        <v>107/110</v>
      </c>
      <c r="K586" s="1" t="str">
        <f>"2026-07-29 14:20:14"</f>
        <v>2026-07-29 14:20:14</v>
      </c>
      <c r="L586" s="1" t="str">
        <f>"2023-09-01 09:47:27"</f>
        <v>2023-09-01 09:47:27</v>
      </c>
      <c r="M586" s="1" t="s">
        <v>45</v>
      </c>
      <c r="N586" s="1" t="s">
        <v>38</v>
      </c>
      <c r="O586" s="1" t="s">
        <v>46</v>
      </c>
    </row>
    <row r="587" spans="2:15" x14ac:dyDescent="0.3">
      <c r="B587" s="1" t="s">
        <v>24</v>
      </c>
      <c r="C587" s="1" t="str">
        <f>"4차"</f>
        <v>4차</v>
      </c>
      <c r="D587" s="1" t="str">
        <f>"0227W95244"</f>
        <v>0227W95244</v>
      </c>
      <c r="E587" s="1" t="s">
        <v>10</v>
      </c>
      <c r="F587" s="1" t="str">
        <f>"10.10.59.178"</f>
        <v>10.10.59.178</v>
      </c>
      <c r="G587" s="1" t="str">
        <f>"0227W952"</f>
        <v>0227W952</v>
      </c>
      <c r="H587" s="1" t="str">
        <f>"연구간 56R2"</f>
        <v>연구간 56R2</v>
      </c>
      <c r="I587" s="1" t="s">
        <v>8</v>
      </c>
      <c r="J587" s="1" t="str">
        <f>"48/50"</f>
        <v>48/50</v>
      </c>
      <c r="K587" s="1" t="str">
        <f>"2026-07-29 13:18:02"</f>
        <v>2026-07-29 13:18:02</v>
      </c>
      <c r="L587" s="1" t="str">
        <f>"2019-11-18 21:33:44"</f>
        <v>2019-11-18 21:33:44</v>
      </c>
      <c r="M587" s="1" t="s">
        <v>1</v>
      </c>
      <c r="N587" s="1" t="s">
        <v>38</v>
      </c>
      <c r="O587" s="1" t="s">
        <v>46</v>
      </c>
    </row>
    <row r="588" spans="2:15" x14ac:dyDescent="0.3">
      <c r="B588" s="1" t="s">
        <v>24</v>
      </c>
      <c r="C588" s="1" t="str">
        <f>"4차"</f>
        <v>4차</v>
      </c>
      <c r="D588" s="1" t="str">
        <f>"0227W96144"</f>
        <v>0227W96144</v>
      </c>
      <c r="E588" s="1" t="s">
        <v>10</v>
      </c>
      <c r="F588" s="1" t="str">
        <f>"10.10.59.202"</f>
        <v>10.10.59.202</v>
      </c>
      <c r="G588" s="1" t="str">
        <f>"0227W961"</f>
        <v>0227W961</v>
      </c>
      <c r="H588" s="1" t="str">
        <f>"연구간 56R3"</f>
        <v>연구간 56R3</v>
      </c>
      <c r="I588" s="1" t="s">
        <v>8</v>
      </c>
      <c r="J588" s="1" t="str">
        <f>"46/46"</f>
        <v>46/46</v>
      </c>
      <c r="K588" s="1" t="str">
        <f>"2026-07-29 13:18:03"</f>
        <v>2026-07-29 13:18:03</v>
      </c>
      <c r="L588" s="1" t="str">
        <f>"2019-11-18 23:25:51"</f>
        <v>2019-11-18 23:25:51</v>
      </c>
      <c r="M588" s="1" t="s">
        <v>1</v>
      </c>
      <c r="N588" s="1" t="s">
        <v>38</v>
      </c>
      <c r="O588" s="1" t="s">
        <v>46</v>
      </c>
    </row>
    <row r="589" spans="2:15" x14ac:dyDescent="0.3">
      <c r="B589" s="1" t="s">
        <v>24</v>
      </c>
      <c r="C589" s="1" t="str">
        <f>"4차"</f>
        <v>4차</v>
      </c>
      <c r="D589" s="1" t="str">
        <f>"0227X06244"</f>
        <v>0227X06244</v>
      </c>
      <c r="E589" s="1" t="s">
        <v>10</v>
      </c>
      <c r="F589" s="1" t="str">
        <f>"10.10.59.162"</f>
        <v>10.10.59.162</v>
      </c>
      <c r="G589" s="1" t="str">
        <f>"0227X062"</f>
        <v>0227X062</v>
      </c>
      <c r="H589" s="1" t="str">
        <f>"연구간 52"</f>
        <v>연구간 52</v>
      </c>
      <c r="I589" s="1" t="s">
        <v>8</v>
      </c>
      <c r="J589" s="1" t="str">
        <f>"57/57"</f>
        <v>57/57</v>
      </c>
      <c r="K589" s="1" t="str">
        <f>"2026-07-29 13:18:03"</f>
        <v>2026-07-29 13:18:03</v>
      </c>
      <c r="L589" s="1" t="str">
        <f>"2019-11-18 21:22:52"</f>
        <v>2019-11-18 21:22:52</v>
      </c>
      <c r="M589" s="1" t="s">
        <v>1</v>
      </c>
      <c r="N589" s="1" t="s">
        <v>38</v>
      </c>
      <c r="O589" s="1" t="s">
        <v>46</v>
      </c>
    </row>
    <row r="590" spans="2:15" x14ac:dyDescent="0.3">
      <c r="B590" s="1" t="s">
        <v>24</v>
      </c>
      <c r="C590" s="1" t="str">
        <f>"5-2차"</f>
        <v>5-2차</v>
      </c>
      <c r="D590" s="1" t="str">
        <f>"0227X1015M"</f>
        <v>0227X1015M</v>
      </c>
      <c r="E590" s="1" t="s">
        <v>10</v>
      </c>
      <c r="F590" s="1" t="str">
        <f>"fde3:102:1430:1200:0:0:0:8"</f>
        <v>fde3:102:1430:1200:0:0:0:8</v>
      </c>
      <c r="G590" s="1" t="str">
        <f>"0227X101"</f>
        <v>0227X101</v>
      </c>
      <c r="H590" s="1" t="str">
        <f>"태양간 61L3R3"</f>
        <v>태양간 61L3R3</v>
      </c>
      <c r="I590" s="1" t="s">
        <v>15</v>
      </c>
      <c r="J590" s="1" t="str">
        <f>"50/50"</f>
        <v>50/50</v>
      </c>
      <c r="K590" s="1" t="str">
        <f>"2026-07-29 14:20:10"</f>
        <v>2026-07-29 14:20:10</v>
      </c>
      <c r="L590" s="1" t="str">
        <f>"2023-09-01 09:04:58"</f>
        <v>2023-09-01 09:04:58</v>
      </c>
      <c r="M590" s="1" t="s">
        <v>45</v>
      </c>
      <c r="N590" s="1" t="s">
        <v>38</v>
      </c>
      <c r="O590" s="1" t="s">
        <v>46</v>
      </c>
    </row>
    <row r="591" spans="2:15" x14ac:dyDescent="0.3">
      <c r="B591" s="1" t="s">
        <v>24</v>
      </c>
      <c r="C591" s="1" t="str">
        <f>"6차"</f>
        <v>6차</v>
      </c>
      <c r="D591" s="1" t="str">
        <f>"0227X1466S"</f>
        <v>0227X1466S</v>
      </c>
      <c r="E591" s="1" t="s">
        <v>10</v>
      </c>
      <c r="F591" s="1" t="str">
        <f>"fde1:103:4:c5db:0:0:0:2"</f>
        <v>fde1:103:4:c5db:0:0:0:2</v>
      </c>
      <c r="G591" s="1" t="str">
        <f>"0227X146"</f>
        <v>0227X146</v>
      </c>
      <c r="H591" s="1" t="str">
        <f>"시립간 52L3"</f>
        <v>시립간 52L3</v>
      </c>
      <c r="I591" s="1" t="s">
        <v>15</v>
      </c>
      <c r="J591" s="1" t="str">
        <f>"43/43"</f>
        <v>43/43</v>
      </c>
      <c r="K591" s="1" t="str">
        <f>"2026-07-29 08:20:32"</f>
        <v>2026-07-29 08:20:32</v>
      </c>
      <c r="L591" s="1" t="str">
        <f>"2024-09-25 19:43:26"</f>
        <v>2024-09-25 19:43:26</v>
      </c>
      <c r="M591" s="1" t="s">
        <v>4</v>
      </c>
      <c r="N591" s="1" t="s">
        <v>38</v>
      </c>
      <c r="O591" s="1" t="s">
        <v>46</v>
      </c>
    </row>
    <row r="592" spans="2:15" x14ac:dyDescent="0.3">
      <c r="B592" s="1" t="s">
        <v>24</v>
      </c>
      <c r="C592" s="1" t="str">
        <f>"5-2차"</f>
        <v>5-2차</v>
      </c>
      <c r="D592" s="1" t="str">
        <f>"0227X1745S"</f>
        <v>0227X1745S</v>
      </c>
      <c r="E592" s="1" t="s">
        <v>10</v>
      </c>
      <c r="F592" s="1" t="str">
        <f>"fde1:103:4:57fb:0:0:0:2"</f>
        <v>fde1:103:4:57fb:0:0:0:2</v>
      </c>
      <c r="G592" s="1" t="str">
        <f>"0227X174"</f>
        <v>0227X174</v>
      </c>
      <c r="H592" s="1" t="str">
        <f>"연구간 50"</f>
        <v>연구간 50</v>
      </c>
      <c r="I592" s="1" t="s">
        <v>15</v>
      </c>
      <c r="J592" s="1" t="str">
        <f>"57/57"</f>
        <v>57/57</v>
      </c>
      <c r="K592" s="1" t="str">
        <f>"2026-07-29 14:20:01"</f>
        <v>2026-07-29 14:20:01</v>
      </c>
      <c r="L592" s="1" t="str">
        <f>"2023-09-13 13:18:50"</f>
        <v>2023-09-13 13:18:50</v>
      </c>
      <c r="M592" s="1" t="s">
        <v>4</v>
      </c>
      <c r="N592" s="1" t="s">
        <v>38</v>
      </c>
      <c r="O592" s="1" t="s">
        <v>46</v>
      </c>
    </row>
    <row r="593" spans="2:15" x14ac:dyDescent="0.3">
      <c r="B593" s="1" t="s">
        <v>24</v>
      </c>
      <c r="C593" s="1" t="str">
        <f>"5-1차"</f>
        <v>5-1차</v>
      </c>
      <c r="D593" s="1" t="str">
        <f>"0227X2225S"</f>
        <v>0227X2225S</v>
      </c>
      <c r="E593" s="1" t="s">
        <v>10</v>
      </c>
      <c r="F593" s="1" t="str">
        <f>"fde2:104:0:106:0:0:0:2"</f>
        <v>fde2:104:0:106:0:0:0:2</v>
      </c>
      <c r="G593" s="1" t="str">
        <f>"0227X222"</f>
        <v>0227X222</v>
      </c>
      <c r="H593" s="1" t="str">
        <f>"시립간 52L6R6R1"</f>
        <v>시립간 52L6R6R1</v>
      </c>
      <c r="I593" s="1" t="s">
        <v>15</v>
      </c>
      <c r="J593" s="1" t="str">
        <f>"57/57"</f>
        <v>57/57</v>
      </c>
      <c r="K593" s="1" t="str">
        <f>"2026-07-29 14:20:39"</f>
        <v>2026-07-29 14:20:39</v>
      </c>
      <c r="L593" s="1" t="str">
        <f>"2022-09-28 11:04:24"</f>
        <v>2022-09-28 11:04:24</v>
      </c>
      <c r="M593" s="1" t="s">
        <v>42</v>
      </c>
      <c r="N593" s="1" t="s">
        <v>38</v>
      </c>
      <c r="O593" s="1" t="s">
        <v>46</v>
      </c>
    </row>
    <row r="594" spans="2:15" x14ac:dyDescent="0.3">
      <c r="B594" s="1" t="s">
        <v>24</v>
      </c>
      <c r="C594" s="1" t="str">
        <f>"5-1차"</f>
        <v>5-1차</v>
      </c>
      <c r="D594" s="1" t="str">
        <f>"0227X2325M"</f>
        <v>0227X2325M</v>
      </c>
      <c r="E594" s="1" t="s">
        <v>10</v>
      </c>
      <c r="F594" s="1" t="str">
        <f>"fde2:104:0:104:0:0:0:2"</f>
        <v>fde2:104:0:104:0:0:0:2</v>
      </c>
      <c r="G594" s="1" t="str">
        <f>"0227X232"</f>
        <v>0227X232</v>
      </c>
      <c r="H594" s="1" t="str">
        <f>"시립간 52L6R5R1"</f>
        <v>시립간 52L6R5R1</v>
      </c>
      <c r="I594" s="1" t="s">
        <v>15</v>
      </c>
      <c r="J594" s="1" t="str">
        <f>"108/108"</f>
        <v>108/108</v>
      </c>
      <c r="K594" s="1" t="str">
        <f>"2026-07-29 14:20:05"</f>
        <v>2026-07-29 14:20:05</v>
      </c>
      <c r="L594" s="1" t="str">
        <f>"2022-09-28 11:03:29"</f>
        <v>2022-09-28 11:03:29</v>
      </c>
      <c r="M594" s="1" t="s">
        <v>42</v>
      </c>
      <c r="N594" s="1" t="s">
        <v>38</v>
      </c>
      <c r="O594" s="1" t="s">
        <v>46</v>
      </c>
    </row>
    <row r="595" spans="2:15" x14ac:dyDescent="0.3">
      <c r="B595" s="1" t="s">
        <v>24</v>
      </c>
      <c r="C595" s="1" t="str">
        <f>"5-1차"</f>
        <v>5-1차</v>
      </c>
      <c r="D595" s="1" t="str">
        <f>"0227X2415M"</f>
        <v>0227X2415M</v>
      </c>
      <c r="E595" s="1" t="s">
        <v>10</v>
      </c>
      <c r="F595" s="1" t="str">
        <f>"fde2:104:0:ff:0:0:0:2"</f>
        <v>fde2:104:0:ff:0:0:0:2</v>
      </c>
      <c r="G595" s="1" t="str">
        <f>"0227X241"</f>
        <v>0227X241</v>
      </c>
      <c r="H595" s="1" t="str">
        <f>"시립간 52L6R2R1"</f>
        <v>시립간 52L6R2R1</v>
      </c>
      <c r="I595" s="1" t="s">
        <v>15</v>
      </c>
      <c r="J595" s="1" t="str">
        <f>"51/51"</f>
        <v>51/51</v>
      </c>
      <c r="K595" s="1" t="str">
        <f>"2026-07-29 14:20:06"</f>
        <v>2026-07-29 14:20:06</v>
      </c>
      <c r="L595" s="1" t="str">
        <f>"2022-09-28 11:00:30"</f>
        <v>2022-09-28 11:00:30</v>
      </c>
      <c r="M595" s="1" t="s">
        <v>42</v>
      </c>
      <c r="N595" s="1" t="s">
        <v>38</v>
      </c>
      <c r="O595" s="1" t="s">
        <v>46</v>
      </c>
    </row>
    <row r="596" spans="2:15" x14ac:dyDescent="0.3">
      <c r="B596" s="1" t="s">
        <v>24</v>
      </c>
      <c r="C596" s="1" t="str">
        <f>"5-2차"</f>
        <v>5-2차</v>
      </c>
      <c r="D596" s="1" t="str">
        <f>"0227X2515M"</f>
        <v>0227X2515M</v>
      </c>
      <c r="E596" s="1" t="s">
        <v>10</v>
      </c>
      <c r="F596" s="1" t="str">
        <f>"fde3:102:1430:1200:0:0:0:e"</f>
        <v>fde3:102:1430:1200:0:0:0:e</v>
      </c>
      <c r="G596" s="1" t="str">
        <f>"0227X251"</f>
        <v>0227X251</v>
      </c>
      <c r="H596" s="1" t="str">
        <f>"시립간 52L5"</f>
        <v>시립간 52L5</v>
      </c>
      <c r="I596" s="1" t="s">
        <v>15</v>
      </c>
      <c r="J596" s="1" t="str">
        <f>"29/29"</f>
        <v>29/29</v>
      </c>
      <c r="K596" s="1" t="str">
        <f>"2026-07-29 14:20:05"</f>
        <v>2026-07-29 14:20:05</v>
      </c>
      <c r="L596" s="1" t="str">
        <f>"2023-09-01 08:10:20"</f>
        <v>2023-09-01 08:10:20</v>
      </c>
      <c r="M596" s="1" t="s">
        <v>45</v>
      </c>
      <c r="N596" s="1" t="s">
        <v>38</v>
      </c>
      <c r="O596" s="1" t="s">
        <v>46</v>
      </c>
    </row>
    <row r="597" spans="2:15" x14ac:dyDescent="0.3">
      <c r="B597" s="1" t="s">
        <v>24</v>
      </c>
      <c r="C597" s="1" t="str">
        <f>"5-2차"</f>
        <v>5-2차</v>
      </c>
      <c r="D597" s="1" t="str">
        <f>"0227X3115M"</f>
        <v>0227X3115M</v>
      </c>
      <c r="E597" s="1" t="s">
        <v>10</v>
      </c>
      <c r="F597" s="1" t="str">
        <f>"fde3:102:1430:1200:0:0:0:b"</f>
        <v>fde3:102:1430:1200:0:0:0:b</v>
      </c>
      <c r="G597" s="1" t="str">
        <f>"0227X311"</f>
        <v>0227X311</v>
      </c>
      <c r="H597" s="1" t="str">
        <f>"시립간 52L6R11"</f>
        <v>시립간 52L6R11</v>
      </c>
      <c r="I597" s="1" t="s">
        <v>15</v>
      </c>
      <c r="J597" s="1" t="str">
        <f>"39/40"</f>
        <v>39/40</v>
      </c>
      <c r="K597" s="1" t="str">
        <f>"2026-07-29 14:20:41"</f>
        <v>2026-07-29 14:20:41</v>
      </c>
      <c r="L597" s="1" t="str">
        <f>"2023-09-01 06:12:29"</f>
        <v>2023-09-01 06:12:29</v>
      </c>
      <c r="M597" s="1" t="s">
        <v>45</v>
      </c>
      <c r="N597" s="1" t="s">
        <v>38</v>
      </c>
      <c r="O597" s="1" t="s">
        <v>46</v>
      </c>
    </row>
    <row r="598" spans="2:15" x14ac:dyDescent="0.3">
      <c r="B598" s="1" t="s">
        <v>24</v>
      </c>
      <c r="C598" s="1" t="str">
        <f>"5-2차"</f>
        <v>5-2차</v>
      </c>
      <c r="D598" s="1" t="str">
        <f>"0227X3235M"</f>
        <v>0227X3235M</v>
      </c>
      <c r="E598" s="1" t="s">
        <v>10</v>
      </c>
      <c r="F598" s="1" t="str">
        <f>"fde3:102:1430:1200:0:0:0:c"</f>
        <v>fde3:102:1430:1200:0:0:0:c</v>
      </c>
      <c r="G598" s="1" t="str">
        <f>"0227X323"</f>
        <v>0227X323</v>
      </c>
      <c r="H598" s="1" t="str">
        <f>"시립간 52L6R6"</f>
        <v>시립간 52L6R6</v>
      </c>
      <c r="I598" s="1" t="s">
        <v>15</v>
      </c>
      <c r="J598" s="1" t="str">
        <f>"75/75"</f>
        <v>75/75</v>
      </c>
      <c r="K598" s="1" t="str">
        <f>"2026-07-29 14:20:00"</f>
        <v>2026-07-29 14:20:00</v>
      </c>
      <c r="L598" s="1" t="str">
        <f>"2023-09-01 06:29:51"</f>
        <v>2023-09-01 06:29:51</v>
      </c>
      <c r="M598" s="1" t="s">
        <v>45</v>
      </c>
      <c r="N598" s="1" t="s">
        <v>38</v>
      </c>
      <c r="O598" s="1" t="s">
        <v>46</v>
      </c>
    </row>
    <row r="599" spans="2:15" x14ac:dyDescent="0.3">
      <c r="B599" s="1" t="s">
        <v>24</v>
      </c>
      <c r="C599" s="1" t="str">
        <f>"5-1차"</f>
        <v>5-1차</v>
      </c>
      <c r="D599" s="1" t="str">
        <f>"0227X3415S"</f>
        <v>0227X3415S</v>
      </c>
      <c r="E599" s="1" t="s">
        <v>10</v>
      </c>
      <c r="F599" s="1" t="str">
        <f>"fde3:102:1430:1200:0:0:0:2"</f>
        <v>fde3:102:1430:1200:0:0:0:2</v>
      </c>
      <c r="G599" s="1" t="str">
        <f>"0227X341"</f>
        <v>0227X341</v>
      </c>
      <c r="H599" s="1" t="str">
        <f>"시립간 52L6R3"</f>
        <v>시립간 52L6R3</v>
      </c>
      <c r="I599" s="1" t="s">
        <v>15</v>
      </c>
      <c r="J599" s="1" t="str">
        <f>"41/42"</f>
        <v>41/42</v>
      </c>
      <c r="K599" s="1" t="str">
        <f>"2026-07-29 14:20:10"</f>
        <v>2026-07-29 14:20:10</v>
      </c>
      <c r="L599" s="1" t="str">
        <f>"2022-10-28 11:01:15"</f>
        <v>2022-10-28 11:01:15</v>
      </c>
      <c r="M599" s="1" t="s">
        <v>45</v>
      </c>
      <c r="N599" s="1" t="s">
        <v>38</v>
      </c>
      <c r="O599" s="1" t="s">
        <v>46</v>
      </c>
    </row>
    <row r="600" spans="2:15" x14ac:dyDescent="0.3">
      <c r="B600" s="1" t="s">
        <v>24</v>
      </c>
      <c r="C600" s="1" t="str">
        <f>"5-2차"</f>
        <v>5-2차</v>
      </c>
      <c r="D600" s="1" t="str">
        <f>"0227X3615M"</f>
        <v>0227X3615M</v>
      </c>
      <c r="E600" s="1" t="s">
        <v>10</v>
      </c>
      <c r="F600" s="1" t="str">
        <f>"fde1:103:4:58d3:0:0:0:2"</f>
        <v>fde1:103:4:58d3:0:0:0:2</v>
      </c>
      <c r="G600" s="1" t="str">
        <f>"0227X361"</f>
        <v>0227X361</v>
      </c>
      <c r="H600" s="1" t="str">
        <f>"시립간 52L7"</f>
        <v>시립간 52L7</v>
      </c>
      <c r="I600" s="1" t="s">
        <v>15</v>
      </c>
      <c r="J600" s="1" t="str">
        <f>"122/122"</f>
        <v>122/122</v>
      </c>
      <c r="K600" s="1" t="str">
        <f>"2026-07-29 14:20:05"</f>
        <v>2026-07-29 14:20:05</v>
      </c>
      <c r="L600" s="1" t="str">
        <f>"2023-09-13 13:43:02"</f>
        <v>2023-09-13 13:43:02</v>
      </c>
      <c r="M600" s="1" t="s">
        <v>4</v>
      </c>
      <c r="N600" s="1" t="s">
        <v>38</v>
      </c>
      <c r="O600" s="1" t="s">
        <v>46</v>
      </c>
    </row>
    <row r="601" spans="2:15" x14ac:dyDescent="0.3">
      <c r="B601" s="1" t="s">
        <v>24</v>
      </c>
      <c r="C601" s="1" t="str">
        <f>"5-2차"</f>
        <v>5-2차</v>
      </c>
      <c r="D601" s="1" t="str">
        <f>"0227X3635S"</f>
        <v>0227X3635S</v>
      </c>
      <c r="E601" s="1" t="s">
        <v>10</v>
      </c>
      <c r="F601" s="1" t="str">
        <f>"fde3:102:1430:1200:0:0:0:f"</f>
        <v>fde3:102:1430:1200:0:0:0:f</v>
      </c>
      <c r="G601" s="1" t="str">
        <f>"0227X363"</f>
        <v>0227X363</v>
      </c>
      <c r="H601" s="1" t="str">
        <f>"시립간 52L7L1"</f>
        <v>시립간 52L7L1</v>
      </c>
      <c r="I601" s="1" t="s">
        <v>15</v>
      </c>
      <c r="J601" s="1" t="str">
        <f>"47/47"</f>
        <v>47/47</v>
      </c>
      <c r="K601" s="1" t="str">
        <f>"2026-07-29 14:20:35"</f>
        <v>2026-07-29 14:20:35</v>
      </c>
      <c r="L601" s="1" t="str">
        <f>"2023-09-01 07:51:52"</f>
        <v>2023-09-01 07:51:52</v>
      </c>
      <c r="M601" s="1" t="s">
        <v>45</v>
      </c>
      <c r="N601" s="1" t="s">
        <v>38</v>
      </c>
      <c r="O601" s="1" t="s">
        <v>46</v>
      </c>
    </row>
    <row r="602" spans="2:15" x14ac:dyDescent="0.3">
      <c r="B602" s="1" t="s">
        <v>24</v>
      </c>
      <c r="C602" s="1" t="str">
        <f>"5-2차"</f>
        <v>5-2차</v>
      </c>
      <c r="D602" s="1" t="str">
        <f>"0227X4155M"</f>
        <v>0227X4155M</v>
      </c>
      <c r="E602" s="1" t="s">
        <v>10</v>
      </c>
      <c r="F602" s="1" t="str">
        <f>"fde3:102:1430:1200:0:0:0:a"</f>
        <v>fde3:102:1430:1200:0:0:0:a</v>
      </c>
      <c r="G602" s="1" t="str">
        <f>"0227X415"</f>
        <v>0227X415</v>
      </c>
      <c r="H602" s="1" t="str">
        <f>"시립대SW 4L3"</f>
        <v>시립대SW 4L3</v>
      </c>
      <c r="I602" s="1" t="s">
        <v>15</v>
      </c>
      <c r="J602" s="1" t="str">
        <f>"112/112"</f>
        <v>112/112</v>
      </c>
      <c r="K602" s="1" t="str">
        <f>"2026-07-29 14:20:32"</f>
        <v>2026-07-29 14:20:32</v>
      </c>
      <c r="L602" s="1" t="str">
        <f>"2023-09-01 08:30:09"</f>
        <v>2023-09-01 08:30:09</v>
      </c>
      <c r="M602" s="1" t="s">
        <v>45</v>
      </c>
      <c r="N602" s="1" t="s">
        <v>38</v>
      </c>
      <c r="O602" s="1" t="s">
        <v>46</v>
      </c>
    </row>
    <row r="603" spans="2:15" x14ac:dyDescent="0.3">
      <c r="B603" s="1" t="s">
        <v>24</v>
      </c>
      <c r="C603" s="1" t="str">
        <f>"5-2차"</f>
        <v>5-2차</v>
      </c>
      <c r="D603" s="1" t="str">
        <f>"0227X4315M"</f>
        <v>0227X4315M</v>
      </c>
      <c r="E603" s="1" t="s">
        <v>10</v>
      </c>
      <c r="F603" s="1" t="str">
        <f>"fde3:102:1430:1200:0:0:0:d"</f>
        <v>fde3:102:1430:1200:0:0:0:d</v>
      </c>
      <c r="G603" s="1" t="str">
        <f>"0227X431"</f>
        <v>0227X431</v>
      </c>
      <c r="H603" s="1" t="str">
        <f>"시립간 52L6R5L1"</f>
        <v>시립간 52L6R5L1</v>
      </c>
      <c r="I603" s="1" t="s">
        <v>15</v>
      </c>
      <c r="J603" s="1" t="str">
        <f>"72/72"</f>
        <v>72/72</v>
      </c>
      <c r="K603" s="1" t="str">
        <f>"2026-07-29 14:20:00"</f>
        <v>2026-07-29 14:20:00</v>
      </c>
      <c r="L603" s="1" t="str">
        <f>"2023-09-01 06:44:14"</f>
        <v>2023-09-01 06:44:14</v>
      </c>
      <c r="M603" s="1" t="s">
        <v>45</v>
      </c>
      <c r="N603" s="1" t="s">
        <v>38</v>
      </c>
      <c r="O603" s="1" t="s">
        <v>46</v>
      </c>
    </row>
    <row r="604" spans="2:15" x14ac:dyDescent="0.3">
      <c r="B604" s="1" t="s">
        <v>24</v>
      </c>
      <c r="C604" s="1" t="str">
        <f>"5-1차"</f>
        <v>5-1차</v>
      </c>
      <c r="D604" s="1" t="str">
        <f>"0227X4415M"</f>
        <v>0227X4415M</v>
      </c>
      <c r="E604" s="1" t="s">
        <v>10</v>
      </c>
      <c r="F604" s="1" t="str">
        <f>"fde2:104:0:109:0:0:0:2"</f>
        <v>fde2:104:0:109:0:0:0:2</v>
      </c>
      <c r="G604" s="1" t="str">
        <f>"0227X441"</f>
        <v>0227X441</v>
      </c>
      <c r="H604" s="1" t="str">
        <f>"시립간 52L6R2L1"</f>
        <v>시립간 52L6R2L1</v>
      </c>
      <c r="I604" s="1" t="s">
        <v>15</v>
      </c>
      <c r="J604" s="1" t="str">
        <f>"41/41"</f>
        <v>41/41</v>
      </c>
      <c r="K604" s="1" t="str">
        <f>"2026-07-29 14:20:34"</f>
        <v>2026-07-29 14:20:34</v>
      </c>
      <c r="L604" s="1" t="str">
        <f>"2022-09-28 11:03:41"</f>
        <v>2022-09-28 11:03:41</v>
      </c>
      <c r="M604" s="1" t="s">
        <v>42</v>
      </c>
      <c r="N604" s="1" t="s">
        <v>38</v>
      </c>
      <c r="O604" s="1" t="s">
        <v>46</v>
      </c>
    </row>
    <row r="605" spans="2:15" x14ac:dyDescent="0.3">
      <c r="B605" s="1" t="s">
        <v>24</v>
      </c>
      <c r="C605" s="1" t="str">
        <f>"5-1차"</f>
        <v>5-1차</v>
      </c>
      <c r="D605" s="1" t="str">
        <f>"0227X4515M"</f>
        <v>0227X4515M</v>
      </c>
      <c r="E605" s="1" t="s">
        <v>10</v>
      </c>
      <c r="F605" s="1" t="str">
        <f>"fde2:104:0:114:0:0:0:2"</f>
        <v>fde2:104:0:114:0:0:0:2</v>
      </c>
      <c r="G605" s="1" t="str">
        <f>"0227X451"</f>
        <v>0227X451</v>
      </c>
      <c r="H605" s="1" t="str">
        <f>"시립간 52L6D1"</f>
        <v>시립간 52L6D1</v>
      </c>
      <c r="I605" s="1" t="s">
        <v>15</v>
      </c>
      <c r="J605" s="1" t="str">
        <f>"57/57"</f>
        <v>57/57</v>
      </c>
      <c r="K605" s="1" t="str">
        <f>"2026-07-29 14:20:06"</f>
        <v>2026-07-29 14:20:06</v>
      </c>
      <c r="L605" s="1" t="str">
        <f>"2022-09-28 11:01:09"</f>
        <v>2022-09-28 11:01:09</v>
      </c>
      <c r="M605" s="1" t="s">
        <v>42</v>
      </c>
      <c r="N605" s="1" t="s">
        <v>38</v>
      </c>
      <c r="O605" s="1" t="s">
        <v>46</v>
      </c>
    </row>
    <row r="606" spans="2:15" x14ac:dyDescent="0.3">
      <c r="B606" s="1" t="s">
        <v>24</v>
      </c>
      <c r="C606" s="1" t="str">
        <f>"5-1차"</f>
        <v>5-1차</v>
      </c>
      <c r="D606" s="1" t="str">
        <f>"0227X4525S"</f>
        <v>0227X4525S</v>
      </c>
      <c r="E606" s="1" t="s">
        <v>10</v>
      </c>
      <c r="F606" s="1" t="str">
        <f>"fde2:104:0:117:0:0:0:2"</f>
        <v>fde2:104:0:117:0:0:0:2</v>
      </c>
      <c r="G606" s="1" t="str">
        <f>"0227X452"</f>
        <v>0227X452</v>
      </c>
      <c r="H606" s="1" t="str">
        <f>"시립간 52L6D2"</f>
        <v>시립간 52L6D2</v>
      </c>
      <c r="I606" s="1" t="s">
        <v>15</v>
      </c>
      <c r="J606" s="1" t="str">
        <f>"16/16"</f>
        <v>16/16</v>
      </c>
      <c r="K606" s="1" t="str">
        <f>"2026-07-29 14:21:07"</f>
        <v>2026-07-29 14:21:07</v>
      </c>
      <c r="L606" s="1" t="str">
        <f>"2022-09-28 11:14:34"</f>
        <v>2022-09-28 11:14:34</v>
      </c>
      <c r="M606" s="1" t="s">
        <v>42</v>
      </c>
      <c r="N606" s="1" t="s">
        <v>38</v>
      </c>
      <c r="O606" s="1" t="s">
        <v>46</v>
      </c>
    </row>
    <row r="607" spans="2:15" x14ac:dyDescent="0.3">
      <c r="B607" s="1" t="s">
        <v>24</v>
      </c>
      <c r="C607" s="1" t="str">
        <f>"5-1차"</f>
        <v>5-1차</v>
      </c>
      <c r="D607" s="1" t="str">
        <f>"0227X4725M"</f>
        <v>0227X4725M</v>
      </c>
      <c r="E607" s="1" t="s">
        <v>10</v>
      </c>
      <c r="F607" s="1" t="str">
        <f>"fde2:104:0:10b:0:0:0:2"</f>
        <v>fde2:104:0:10b:0:0:0:2</v>
      </c>
      <c r="G607" s="1" t="str">
        <f>"0227X472"</f>
        <v>0227X472</v>
      </c>
      <c r="H607" s="1" t="str">
        <f>"시립간 52L9L1"</f>
        <v>시립간 52L9L1</v>
      </c>
      <c r="I607" s="1" t="s">
        <v>15</v>
      </c>
      <c r="J607" s="1" t="str">
        <f>"136/136"</f>
        <v>136/136</v>
      </c>
      <c r="K607" s="1" t="str">
        <f>"2026-07-29 14:20:33"</f>
        <v>2026-07-29 14:20:33</v>
      </c>
      <c r="L607" s="1" t="str">
        <f>"2022-09-28 11:51:07"</f>
        <v>2022-09-28 11:51:07</v>
      </c>
      <c r="M607" s="1" t="s">
        <v>42</v>
      </c>
      <c r="N607" s="1" t="s">
        <v>38</v>
      </c>
      <c r="O607" s="1" t="s">
        <v>46</v>
      </c>
    </row>
    <row r="608" spans="2:15" x14ac:dyDescent="0.3">
      <c r="B608" s="1" t="s">
        <v>24</v>
      </c>
      <c r="C608" s="1" t="str">
        <f t="shared" ref="C608:C622" si="33">"5-2차"</f>
        <v>5-2차</v>
      </c>
      <c r="D608" s="1" t="str">
        <f>"0227X5315M"</f>
        <v>0227X5315M</v>
      </c>
      <c r="E608" s="1" t="s">
        <v>10</v>
      </c>
      <c r="F608" s="1" t="str">
        <f>"fde3:102:1430:1200:0:0:0:1b"</f>
        <v>fde3:102:1430:1200:0:0:0:1b</v>
      </c>
      <c r="G608" s="1" t="str">
        <f>"0227X531"</f>
        <v>0227X531</v>
      </c>
      <c r="H608" s="1" t="str">
        <f>"시립간 52L9R4R1"</f>
        <v>시립간 52L9R4R1</v>
      </c>
      <c r="I608" s="1" t="s">
        <v>15</v>
      </c>
      <c r="J608" s="1" t="str">
        <f>"105/105"</f>
        <v>105/105</v>
      </c>
      <c r="K608" s="1" t="str">
        <f>"2026-07-29 14:20:41"</f>
        <v>2026-07-29 14:20:41</v>
      </c>
      <c r="L608" s="1" t="str">
        <f>"2023-09-02 08:13:15"</f>
        <v>2023-09-02 08:13:15</v>
      </c>
      <c r="M608" s="1" t="s">
        <v>45</v>
      </c>
      <c r="N608" s="1" t="s">
        <v>38</v>
      </c>
      <c r="O608" s="1" t="s">
        <v>46</v>
      </c>
    </row>
    <row r="609" spans="2:15" x14ac:dyDescent="0.3">
      <c r="B609" s="1" t="s">
        <v>24</v>
      </c>
      <c r="C609" s="1" t="str">
        <f t="shared" si="33"/>
        <v>5-2차</v>
      </c>
      <c r="D609" s="1" t="str">
        <f>"0227X5765M"</f>
        <v>0227X5765M</v>
      </c>
      <c r="E609" s="1" t="s">
        <v>10</v>
      </c>
      <c r="F609" s="1" t="str">
        <f>"fde3:102:1430:1200:0:0:0:10"</f>
        <v>fde3:102:1430:1200:0:0:0:10</v>
      </c>
      <c r="G609" s="1" t="str">
        <f>"0227X576"</f>
        <v>0227X576</v>
      </c>
      <c r="H609" s="1" t="str">
        <f>"시립간 52L11"</f>
        <v>시립간 52L11</v>
      </c>
      <c r="I609" s="1" t="s">
        <v>15</v>
      </c>
      <c r="J609" s="1" t="str">
        <f>"73/73"</f>
        <v>73/73</v>
      </c>
      <c r="K609" s="1" t="str">
        <f>"2026-07-29 14:20:41"</f>
        <v>2026-07-29 14:20:41</v>
      </c>
      <c r="L609" s="1" t="str">
        <f>"2023-09-02 06:06:55"</f>
        <v>2023-09-02 06:06:55</v>
      </c>
      <c r="M609" s="1" t="s">
        <v>45</v>
      </c>
      <c r="N609" s="1" t="s">
        <v>38</v>
      </c>
      <c r="O609" s="1" t="s">
        <v>46</v>
      </c>
    </row>
    <row r="610" spans="2:15" x14ac:dyDescent="0.3">
      <c r="B610" s="1" t="s">
        <v>24</v>
      </c>
      <c r="C610" s="1" t="str">
        <f t="shared" si="33"/>
        <v>5-2차</v>
      </c>
      <c r="D610" s="1" t="str">
        <f>"0227X5875M"</f>
        <v>0227X5875M</v>
      </c>
      <c r="E610" s="1" t="s">
        <v>10</v>
      </c>
      <c r="F610" s="1" t="str">
        <f>"fde3:102:1430:1100:0:0:0:7"</f>
        <v>fde3:102:1430:1100:0:0:0:7</v>
      </c>
      <c r="G610" s="1" t="str">
        <f>"0227X587"</f>
        <v>0227X587</v>
      </c>
      <c r="H610" s="1" t="str">
        <f>"시립간 39H1"</f>
        <v>시립간 39H1</v>
      </c>
      <c r="I610" s="1" t="s">
        <v>15</v>
      </c>
      <c r="J610" s="1" t="str">
        <f>"65/65"</f>
        <v>65/65</v>
      </c>
      <c r="K610" s="1" t="str">
        <f>"2026-07-29 14:20:06"</f>
        <v>2026-07-29 14:20:06</v>
      </c>
      <c r="L610" s="1" t="str">
        <f>"2023-09-06 06:23:12"</f>
        <v>2023-09-06 06:23:12</v>
      </c>
      <c r="M610" s="1" t="s">
        <v>45</v>
      </c>
      <c r="N610" s="1" t="s">
        <v>38</v>
      </c>
      <c r="O610" s="1" t="s">
        <v>46</v>
      </c>
    </row>
    <row r="611" spans="2:15" x14ac:dyDescent="0.3">
      <c r="B611" s="1" t="s">
        <v>24</v>
      </c>
      <c r="C611" s="1" t="str">
        <f t="shared" si="33"/>
        <v>5-2차</v>
      </c>
      <c r="D611" s="1" t="str">
        <f>"0227X6415M"</f>
        <v>0227X6415M</v>
      </c>
      <c r="E611" s="1" t="s">
        <v>10</v>
      </c>
      <c r="F611" s="1" t="str">
        <f>"fde3:102:1430:1200:0:0:0:1a"</f>
        <v>fde3:102:1430:1200:0:0:0:1a</v>
      </c>
      <c r="G611" s="1" t="str">
        <f>"0227X641"</f>
        <v>0227X641</v>
      </c>
      <c r="H611" s="1" t="str">
        <f>"시립간 52L9R4"</f>
        <v>시립간 52L9R4</v>
      </c>
      <c r="I611" s="1" t="s">
        <v>15</v>
      </c>
      <c r="J611" s="1" t="str">
        <f>"206/206"</f>
        <v>206/206</v>
      </c>
      <c r="K611" s="1" t="str">
        <f>"2026-07-29 14:20:32"</f>
        <v>2026-07-29 14:20:32</v>
      </c>
      <c r="L611" s="1" t="str">
        <f>"2023-09-02 07:59:32"</f>
        <v>2023-09-02 07:59:32</v>
      </c>
      <c r="M611" s="1" t="s">
        <v>45</v>
      </c>
      <c r="N611" s="1" t="s">
        <v>38</v>
      </c>
      <c r="O611" s="1" t="s">
        <v>46</v>
      </c>
    </row>
    <row r="612" spans="2:15" x14ac:dyDescent="0.3">
      <c r="B612" s="1" t="s">
        <v>24</v>
      </c>
      <c r="C612" s="1" t="str">
        <f t="shared" si="33"/>
        <v>5-2차</v>
      </c>
      <c r="D612" s="1" t="str">
        <f>"0227X6835M"</f>
        <v>0227X6835M</v>
      </c>
      <c r="E612" s="1" t="s">
        <v>10</v>
      </c>
      <c r="F612" s="1" t="str">
        <f>"fde3:102:1430:5200:0:0:0:3"</f>
        <v>fde3:102:1430:5200:0:0:0:3</v>
      </c>
      <c r="G612" s="1" t="str">
        <f>"0227X683"</f>
        <v>0227X683</v>
      </c>
      <c r="H612" s="1" t="str">
        <f>"시립간 37L1"</f>
        <v>시립간 37L1</v>
      </c>
      <c r="I612" s="1" t="s">
        <v>15</v>
      </c>
      <c r="J612" s="1" t="str">
        <f>"104/104"</f>
        <v>104/104</v>
      </c>
      <c r="K612" s="1" t="str">
        <f>"2026-07-29 14:20:14"</f>
        <v>2026-07-29 14:20:14</v>
      </c>
      <c r="L612" s="1" t="str">
        <f>"2023-09-13 08:58:05"</f>
        <v>2023-09-13 08:58:05</v>
      </c>
      <c r="M612" s="1" t="s">
        <v>45</v>
      </c>
      <c r="N612" s="1" t="s">
        <v>38</v>
      </c>
      <c r="O612" s="1" t="s">
        <v>46</v>
      </c>
    </row>
    <row r="613" spans="2:15" x14ac:dyDescent="0.3">
      <c r="B613" s="1" t="s">
        <v>24</v>
      </c>
      <c r="C613" s="1" t="str">
        <f t="shared" si="33"/>
        <v>5-2차</v>
      </c>
      <c r="D613" s="1" t="str">
        <f>"0227X7515M"</f>
        <v>0227X7515M</v>
      </c>
      <c r="E613" s="1" t="s">
        <v>10</v>
      </c>
      <c r="F613" s="1" t="str">
        <f>"fde3:102:1430:1200:0:0:0:17"</f>
        <v>fde3:102:1430:1200:0:0:0:17</v>
      </c>
      <c r="G613" s="1" t="str">
        <f>"0227X751"</f>
        <v>0227X751</v>
      </c>
      <c r="H613" s="1" t="str">
        <f>"시립간 52L13R4"</f>
        <v>시립간 52L13R4</v>
      </c>
      <c r="I613" s="1" t="s">
        <v>15</v>
      </c>
      <c r="J613" s="1" t="str">
        <f>"39/39"</f>
        <v>39/39</v>
      </c>
      <c r="K613" s="1" t="str">
        <f>"2026-07-29 14:20:32"</f>
        <v>2026-07-29 14:20:32</v>
      </c>
      <c r="L613" s="1" t="str">
        <f>"2023-09-06 05:53:44"</f>
        <v>2023-09-06 05:53:44</v>
      </c>
      <c r="M613" s="1" t="s">
        <v>45</v>
      </c>
      <c r="N613" s="1" t="s">
        <v>38</v>
      </c>
      <c r="O613" s="1" t="s">
        <v>46</v>
      </c>
    </row>
    <row r="614" spans="2:15" x14ac:dyDescent="0.3">
      <c r="B614" s="1" t="s">
        <v>24</v>
      </c>
      <c r="C614" s="1" t="str">
        <f t="shared" si="33"/>
        <v>5-2차</v>
      </c>
      <c r="D614" s="1" t="str">
        <f>"0227X7615M"</f>
        <v>0227X7615M</v>
      </c>
      <c r="E614" s="1" t="s">
        <v>10</v>
      </c>
      <c r="F614" s="1" t="str">
        <f>"fde3:102:1430:1200:0:0:0:18"</f>
        <v>fde3:102:1430:1200:0:0:0:18</v>
      </c>
      <c r="G614" s="1" t="str">
        <f>"0227X761"</f>
        <v>0227X761</v>
      </c>
      <c r="H614" s="1" t="str">
        <f>"시립간 52L13R2R1"</f>
        <v>시립간 52L13R2R1</v>
      </c>
      <c r="I614" s="1" t="s">
        <v>15</v>
      </c>
      <c r="J614" s="1" t="str">
        <f>"174/174"</f>
        <v>174/174</v>
      </c>
      <c r="K614" s="1" t="str">
        <f>"2026-07-29 14:20:33"</f>
        <v>2026-07-29 14:20:33</v>
      </c>
      <c r="L614" s="1" t="str">
        <f>"2023-09-06 06:07:58"</f>
        <v>2023-09-06 06:07:58</v>
      </c>
      <c r="M614" s="1" t="s">
        <v>45</v>
      </c>
      <c r="N614" s="1" t="s">
        <v>38</v>
      </c>
      <c r="O614" s="1" t="s">
        <v>46</v>
      </c>
    </row>
    <row r="615" spans="2:15" x14ac:dyDescent="0.3">
      <c r="B615" s="1" t="s">
        <v>24</v>
      </c>
      <c r="C615" s="1" t="str">
        <f t="shared" si="33"/>
        <v>5-2차</v>
      </c>
      <c r="D615" s="1" t="str">
        <f>"0227X7625M"</f>
        <v>0227X7625M</v>
      </c>
      <c r="E615" s="1" t="s">
        <v>10</v>
      </c>
      <c r="F615" s="1" t="str">
        <f>"fde3:102:1430:1200:0:0:0:19"</f>
        <v>fde3:102:1430:1200:0:0:0:19</v>
      </c>
      <c r="G615" s="1" t="str">
        <f>"0227X762"</f>
        <v>0227X762</v>
      </c>
      <c r="H615" s="1" t="str">
        <f>"시립간 52L13R2R2"</f>
        <v>시립간 52L13R2R2</v>
      </c>
      <c r="I615" s="1" t="s">
        <v>15</v>
      </c>
      <c r="J615" s="1" t="str">
        <f>"109/109"</f>
        <v>109/109</v>
      </c>
      <c r="K615" s="1" t="str">
        <f>"2026-07-29 14:20:30"</f>
        <v>2026-07-29 14:20:30</v>
      </c>
      <c r="L615" s="1" t="str">
        <f>"2023-10-04 12:44:30"</f>
        <v>2023-10-04 12:44:30</v>
      </c>
      <c r="M615" s="1" t="s">
        <v>45</v>
      </c>
      <c r="N615" s="1" t="s">
        <v>38</v>
      </c>
      <c r="O615" s="1" t="s">
        <v>46</v>
      </c>
    </row>
    <row r="616" spans="2:15" x14ac:dyDescent="0.3">
      <c r="B616" s="1" t="s">
        <v>24</v>
      </c>
      <c r="C616" s="1" t="str">
        <f t="shared" si="33"/>
        <v>5-2차</v>
      </c>
      <c r="D616" s="1" t="str">
        <f>"0227X7815M"</f>
        <v>0227X7815M</v>
      </c>
      <c r="E616" s="1" t="s">
        <v>10</v>
      </c>
      <c r="F616" s="1" t="str">
        <f>"fde3:102:1430:1200:0:0:0:11"</f>
        <v>fde3:102:1430:1200:0:0:0:11</v>
      </c>
      <c r="G616" s="1" t="str">
        <f>"0227X781"</f>
        <v>0227X781</v>
      </c>
      <c r="H616" s="1" t="str">
        <f>"시립간 52L13"</f>
        <v>시립간 52L13</v>
      </c>
      <c r="I616" s="1" t="s">
        <v>15</v>
      </c>
      <c r="J616" s="1" t="str">
        <f>"138/138"</f>
        <v>138/138</v>
      </c>
      <c r="K616" s="1" t="str">
        <f>"2026-07-29 14:20:15"</f>
        <v>2026-07-29 14:20:15</v>
      </c>
      <c r="L616" s="1" t="str">
        <f>"2023-09-02 06:20:54"</f>
        <v>2023-09-02 06:20:54</v>
      </c>
      <c r="M616" s="1" t="s">
        <v>45</v>
      </c>
      <c r="N616" s="1" t="s">
        <v>38</v>
      </c>
      <c r="O616" s="1" t="s">
        <v>46</v>
      </c>
    </row>
    <row r="617" spans="2:15" x14ac:dyDescent="0.3">
      <c r="B617" s="1" t="s">
        <v>24</v>
      </c>
      <c r="C617" s="1" t="str">
        <f t="shared" si="33"/>
        <v>5-2차</v>
      </c>
      <c r="D617" s="1" t="str">
        <f>"0227X7825M"</f>
        <v>0227X7825M</v>
      </c>
      <c r="E617" s="1" t="s">
        <v>10</v>
      </c>
      <c r="F617" s="1" t="str">
        <f>"fde3:102:1430:1200:0:0:0:12"</f>
        <v>fde3:102:1430:1200:0:0:0:12</v>
      </c>
      <c r="G617" s="1" t="str">
        <f>"0227X782"</f>
        <v>0227X782</v>
      </c>
      <c r="H617" s="1" t="str">
        <f>"시립간 52L14"</f>
        <v>시립간 52L14</v>
      </c>
      <c r="I617" s="1" t="s">
        <v>15</v>
      </c>
      <c r="J617" s="1" t="str">
        <f>"32/32"</f>
        <v>32/32</v>
      </c>
      <c r="K617" s="1" t="str">
        <f>"2026-07-29 14:20:33"</f>
        <v>2026-07-29 14:20:33</v>
      </c>
      <c r="L617" s="1" t="str">
        <f>"2023-09-02 06:34:44"</f>
        <v>2023-09-02 06:34:44</v>
      </c>
      <c r="M617" s="1" t="s">
        <v>45</v>
      </c>
      <c r="N617" s="1" t="s">
        <v>38</v>
      </c>
      <c r="O617" s="1" t="s">
        <v>46</v>
      </c>
    </row>
    <row r="618" spans="2:15" x14ac:dyDescent="0.3">
      <c r="B618" s="1" t="s">
        <v>24</v>
      </c>
      <c r="C618" s="1" t="str">
        <f t="shared" si="33"/>
        <v>5-2차</v>
      </c>
      <c r="D618" s="1" t="str">
        <f>"0227X7955M"</f>
        <v>0227X7955M</v>
      </c>
      <c r="E618" s="1" t="s">
        <v>10</v>
      </c>
      <c r="F618" s="1" t="str">
        <f>"fde3:102:1430:5200:0:0:0:2"</f>
        <v>fde3:102:1430:5200:0:0:0:2</v>
      </c>
      <c r="G618" s="1" t="str">
        <f>"0227X795"</f>
        <v>0227X795</v>
      </c>
      <c r="H618" s="1" t="str">
        <f>"시립간 35"</f>
        <v>시립간 35</v>
      </c>
      <c r="I618" s="1" t="s">
        <v>15</v>
      </c>
      <c r="J618" s="1" t="str">
        <f>"61/62"</f>
        <v>61/62</v>
      </c>
      <c r="K618" s="1" t="str">
        <f>"2026-07-29 14:20:33"</f>
        <v>2026-07-29 14:20:33</v>
      </c>
      <c r="L618" s="1" t="str">
        <f>"2023-09-13 08:56:15"</f>
        <v>2023-09-13 08:56:15</v>
      </c>
      <c r="M618" s="1" t="s">
        <v>45</v>
      </c>
      <c r="N618" s="1" t="s">
        <v>38</v>
      </c>
      <c r="O618" s="1" t="s">
        <v>46</v>
      </c>
    </row>
    <row r="619" spans="2:15" x14ac:dyDescent="0.3">
      <c r="B619" s="1" t="s">
        <v>24</v>
      </c>
      <c r="C619" s="1" t="str">
        <f t="shared" si="33"/>
        <v>5-2차</v>
      </c>
      <c r="D619" s="1" t="str">
        <f>"0227X8615M"</f>
        <v>0227X8615M</v>
      </c>
      <c r="E619" s="1" t="s">
        <v>10</v>
      </c>
      <c r="F619" s="1" t="str">
        <f>"fde3:102:1430:1200:0:0:0:16"</f>
        <v>fde3:102:1430:1200:0:0:0:16</v>
      </c>
      <c r="G619" s="1" t="str">
        <f>"0227X861"</f>
        <v>0227X861</v>
      </c>
      <c r="H619" s="1" t="str">
        <f>"시립간 52L13R2"</f>
        <v>시립간 52L13R2</v>
      </c>
      <c r="I619" s="1" t="s">
        <v>15</v>
      </c>
      <c r="J619" s="1" t="str">
        <f>"133/135"</f>
        <v>133/135</v>
      </c>
      <c r="K619" s="1" t="str">
        <f>"2026-07-29 14:20:50"</f>
        <v>2026-07-29 14:20:50</v>
      </c>
      <c r="L619" s="1" t="str">
        <f>"2023-09-02 06:52:22"</f>
        <v>2023-09-02 06:52:22</v>
      </c>
      <c r="M619" s="1" t="s">
        <v>45</v>
      </c>
      <c r="N619" s="1" t="s">
        <v>38</v>
      </c>
      <c r="O619" s="1" t="s">
        <v>46</v>
      </c>
    </row>
    <row r="620" spans="2:15" x14ac:dyDescent="0.3">
      <c r="B620" s="1" t="s">
        <v>24</v>
      </c>
      <c r="C620" s="1" t="str">
        <f t="shared" si="33"/>
        <v>5-2차</v>
      </c>
      <c r="D620" s="1" t="str">
        <f>"0227X8825M"</f>
        <v>0227X8825M</v>
      </c>
      <c r="E620" s="1" t="s">
        <v>10</v>
      </c>
      <c r="F620" s="1" t="str">
        <f>"fde3:102:1430:1200:0:0:0:13"</f>
        <v>fde3:102:1430:1200:0:0:0:13</v>
      </c>
      <c r="G620" s="1" t="str">
        <f>"0227X882"</f>
        <v>0227X882</v>
      </c>
      <c r="H620" s="1" t="str">
        <f>"시립간 52L17"</f>
        <v>시립간 52L17</v>
      </c>
      <c r="I620" s="1" t="s">
        <v>15</v>
      </c>
      <c r="J620" s="1" t="str">
        <f>"203/204"</f>
        <v>203/204</v>
      </c>
      <c r="K620" s="1" t="str">
        <f>"2026-07-29 14:20:51"</f>
        <v>2026-07-29 14:20:51</v>
      </c>
      <c r="L620" s="1" t="str">
        <f>"2023-09-02 07:28:07"</f>
        <v>2023-09-02 07:28:07</v>
      </c>
      <c r="M620" s="1" t="s">
        <v>45</v>
      </c>
      <c r="N620" s="1" t="s">
        <v>38</v>
      </c>
      <c r="O620" s="1" t="s">
        <v>46</v>
      </c>
    </row>
    <row r="621" spans="2:15" x14ac:dyDescent="0.3">
      <c r="B621" s="1" t="s">
        <v>24</v>
      </c>
      <c r="C621" s="1" t="str">
        <f t="shared" si="33"/>
        <v>5-2차</v>
      </c>
      <c r="D621" s="1" t="str">
        <f>"0227X9615S"</f>
        <v>0227X9615S</v>
      </c>
      <c r="E621" s="1" t="s">
        <v>10</v>
      </c>
      <c r="F621" s="1" t="str">
        <f>"fde1:103:4:57fc:0:0:0:2"</f>
        <v>fde1:103:4:57fc:0:0:0:2</v>
      </c>
      <c r="G621" s="1" t="str">
        <f>"0227X961"</f>
        <v>0227X961</v>
      </c>
      <c r="H621" s="1" t="str">
        <f>"시립간 28L15"</f>
        <v>시립간 28L15</v>
      </c>
      <c r="I621" s="1" t="s">
        <v>15</v>
      </c>
      <c r="J621" s="1" t="str">
        <f>"56/56"</f>
        <v>56/56</v>
      </c>
      <c r="K621" s="1" t="str">
        <f>"2026-07-29 14:20:33"</f>
        <v>2026-07-29 14:20:33</v>
      </c>
      <c r="L621" s="1" t="str">
        <f>"2023-09-13 13:49:56"</f>
        <v>2023-09-13 13:49:56</v>
      </c>
      <c r="M621" s="1" t="s">
        <v>4</v>
      </c>
      <c r="N621" s="1" t="s">
        <v>38</v>
      </c>
      <c r="O621" s="1" t="s">
        <v>46</v>
      </c>
    </row>
    <row r="622" spans="2:15" x14ac:dyDescent="0.3">
      <c r="B622" s="1" t="s">
        <v>24</v>
      </c>
      <c r="C622" s="1" t="str">
        <f t="shared" si="33"/>
        <v>5-2차</v>
      </c>
      <c r="D622" s="1" t="str">
        <f>"0227X9725M"</f>
        <v>0227X9725M</v>
      </c>
      <c r="E622" s="1" t="s">
        <v>10</v>
      </c>
      <c r="F622" s="1" t="str">
        <f>"fde3:102:1430:1200:0:0:0:15"</f>
        <v>fde3:102:1430:1200:0:0:0:15</v>
      </c>
      <c r="G622" s="1" t="str">
        <f>"0227X972"</f>
        <v>0227X972</v>
      </c>
      <c r="H622" s="1" t="str">
        <f>"시립간 52L13R2L1"</f>
        <v>시립간 52L13R2L1</v>
      </c>
      <c r="I622" s="1" t="s">
        <v>15</v>
      </c>
      <c r="J622" s="1" t="str">
        <f>"40/40"</f>
        <v>40/40</v>
      </c>
      <c r="K622" s="1" t="str">
        <f>"2026-07-29 14:20:33"</f>
        <v>2026-07-29 14:20:33</v>
      </c>
      <c r="L622" s="1" t="str">
        <f>"2023-09-02 07:12:38"</f>
        <v>2023-09-02 07:12:38</v>
      </c>
      <c r="M622" s="1" t="s">
        <v>45</v>
      </c>
      <c r="N622" s="1" t="s">
        <v>38</v>
      </c>
      <c r="O622" s="1" t="s">
        <v>46</v>
      </c>
    </row>
    <row r="623" spans="2:15" x14ac:dyDescent="0.3">
      <c r="B623" s="1" t="s">
        <v>24</v>
      </c>
      <c r="C623" s="1" t="str">
        <f>"4차"</f>
        <v>4차</v>
      </c>
      <c r="D623" s="1" t="str">
        <f>"0227Y49144"</f>
        <v>0227Y49144</v>
      </c>
      <c r="E623" s="1" t="s">
        <v>10</v>
      </c>
      <c r="F623" s="1" t="str">
        <f>"10.10.44.122"</f>
        <v>10.10.44.122</v>
      </c>
      <c r="G623" s="1" t="str">
        <f>"0227Y491"</f>
        <v>0227Y491</v>
      </c>
      <c r="H623" s="1" t="str">
        <f>"미주간 21R2H1"</f>
        <v>미주간 21R2H1</v>
      </c>
      <c r="I623" s="1" t="s">
        <v>8</v>
      </c>
      <c r="J623" s="1" t="str">
        <f>"8/8"</f>
        <v>8/8</v>
      </c>
      <c r="K623" s="1" t="str">
        <f>"2026-07-29 13:18:03"</f>
        <v>2026-07-29 13:18:03</v>
      </c>
      <c r="L623" s="1" t="str">
        <f>"2019-10-17 15:46:08"</f>
        <v>2019-10-17 15:46:08</v>
      </c>
      <c r="M623" s="1" t="s">
        <v>1</v>
      </c>
      <c r="N623" s="1" t="s">
        <v>38</v>
      </c>
      <c r="O623" s="1" t="s">
        <v>46</v>
      </c>
    </row>
    <row r="624" spans="2:15" x14ac:dyDescent="0.3">
      <c r="B624" s="1" t="s">
        <v>24</v>
      </c>
      <c r="C624" s="1" t="str">
        <f>"5-2차"</f>
        <v>5-2차</v>
      </c>
      <c r="D624" s="1" t="str">
        <f>"0227Y7615S"</f>
        <v>0227Y7615S</v>
      </c>
      <c r="E624" s="1" t="s">
        <v>10</v>
      </c>
      <c r="F624" s="1" t="str">
        <f>"fde1:103:4:57f4:0:0:0:2"</f>
        <v>fde1:103:4:57f4:0:0:0:2</v>
      </c>
      <c r="G624" s="1" t="str">
        <f>"0227Y761"</f>
        <v>0227Y761</v>
      </c>
      <c r="H624" s="1" t="str">
        <f>"태양간 61L7C5"</f>
        <v>태양간 61L7C5</v>
      </c>
      <c r="I624" s="1" t="s">
        <v>15</v>
      </c>
      <c r="J624" s="1" t="str">
        <f>"49/50"</f>
        <v>49/50</v>
      </c>
      <c r="K624" s="1" t="str">
        <f>"2026-07-29 14:20:35"</f>
        <v>2026-07-29 14:20:35</v>
      </c>
      <c r="L624" s="1" t="str">
        <f>"2023-09-13 13:52:26"</f>
        <v>2023-09-13 13:52:26</v>
      </c>
      <c r="M624" s="1" t="s">
        <v>4</v>
      </c>
      <c r="N624" s="1" t="s">
        <v>38</v>
      </c>
      <c r="O624" s="1" t="s">
        <v>46</v>
      </c>
    </row>
    <row r="625" spans="2:15" x14ac:dyDescent="0.3">
      <c r="B625" s="1" t="s">
        <v>24</v>
      </c>
      <c r="C625" s="1" t="str">
        <f>"4차"</f>
        <v>4차</v>
      </c>
      <c r="D625" s="1" t="str">
        <f>"0227Y78141"</f>
        <v>0227Y78141</v>
      </c>
      <c r="E625" s="1" t="s">
        <v>10</v>
      </c>
      <c r="F625" s="1" t="str">
        <f>"10.14.4.43"</f>
        <v>10.14.4.43</v>
      </c>
      <c r="G625" s="1" t="str">
        <f>"0227Y781"</f>
        <v>0227Y781</v>
      </c>
      <c r="H625" s="1" t="str">
        <f>"태양간 61L7C3"</f>
        <v>태양간 61L7C3</v>
      </c>
      <c r="I625" s="1" t="s">
        <v>17</v>
      </c>
      <c r="J625" s="1" t="str">
        <f>"18/18"</f>
        <v>18/18</v>
      </c>
      <c r="K625" s="1" t="str">
        <f>"2026-07-29 13:18:02"</f>
        <v>2026-07-29 13:18:02</v>
      </c>
      <c r="L625" s="1" t="str">
        <f>"2021-10-18 11:15:30"</f>
        <v>2021-10-18 11:15:30</v>
      </c>
      <c r="M625" s="1" t="s">
        <v>3</v>
      </c>
      <c r="N625" s="1" t="s">
        <v>38</v>
      </c>
      <c r="O625" s="1" t="s">
        <v>46</v>
      </c>
    </row>
    <row r="626" spans="2:15" x14ac:dyDescent="0.3">
      <c r="B626" s="1" t="s">
        <v>24</v>
      </c>
      <c r="C626" s="1" t="str">
        <f>"5-2차"</f>
        <v>5-2차</v>
      </c>
      <c r="D626" s="1" t="str">
        <f>"0227Y8015S"</f>
        <v>0227Y8015S</v>
      </c>
      <c r="E626" s="1" t="s">
        <v>10</v>
      </c>
      <c r="F626" s="1" t="str">
        <f>"fde1:103:4:5817:0:0:0:2"</f>
        <v>fde1:103:4:5817:0:0:0:2</v>
      </c>
      <c r="G626" s="1" t="str">
        <f>"0227Y801"</f>
        <v>0227Y801</v>
      </c>
      <c r="H626" s="1" t="str">
        <f>"전일간 40R4"</f>
        <v>전일간 40R4</v>
      </c>
      <c r="I626" s="1" t="s">
        <v>15</v>
      </c>
      <c r="J626" s="1" t="str">
        <f>"60/60"</f>
        <v>60/60</v>
      </c>
      <c r="K626" s="1" t="str">
        <f>"2026-07-29 14:20:49"</f>
        <v>2026-07-29 14:20:49</v>
      </c>
      <c r="L626" s="1" t="str">
        <f>"2023-09-13 14:07:12"</f>
        <v>2023-09-13 14:07:12</v>
      </c>
      <c r="M626" s="1" t="s">
        <v>4</v>
      </c>
      <c r="N626" s="1" t="s">
        <v>38</v>
      </c>
      <c r="O626" s="1" t="s">
        <v>46</v>
      </c>
    </row>
    <row r="627" spans="2:15" x14ac:dyDescent="0.3">
      <c r="B627" s="1" t="s">
        <v>24</v>
      </c>
      <c r="C627" s="1" t="str">
        <f>"5-2차"</f>
        <v>5-2차</v>
      </c>
      <c r="D627" s="1" t="str">
        <f>"0227Y8025S"</f>
        <v>0227Y8025S</v>
      </c>
      <c r="E627" s="1" t="s">
        <v>10</v>
      </c>
      <c r="F627" s="1" t="str">
        <f>"fde1:103:4:57bf:0:0:0:2"</f>
        <v>fde1:103:4:57bf:0:0:0:2</v>
      </c>
      <c r="G627" s="1" t="str">
        <f>"0227Y802"</f>
        <v>0227Y802</v>
      </c>
      <c r="H627" s="1" t="str">
        <f>"전일간 40R5"</f>
        <v>전일간 40R5</v>
      </c>
      <c r="I627" s="1" t="s">
        <v>15</v>
      </c>
      <c r="J627" s="1" t="str">
        <f>"34/34"</f>
        <v>34/34</v>
      </c>
      <c r="K627" s="1" t="str">
        <f>"2026-07-29 14:20:34"</f>
        <v>2026-07-29 14:20:34</v>
      </c>
      <c r="L627" s="1" t="str">
        <f>"2023-09-13 14:15:07"</f>
        <v>2023-09-13 14:15:07</v>
      </c>
      <c r="M627" s="1" t="s">
        <v>4</v>
      </c>
      <c r="N627" s="1" t="s">
        <v>38</v>
      </c>
      <c r="O627" s="1" t="s">
        <v>46</v>
      </c>
    </row>
    <row r="628" spans="2:15" x14ac:dyDescent="0.3">
      <c r="B628" s="1" t="s">
        <v>24</v>
      </c>
      <c r="C628" s="1" t="str">
        <f>"5-2차"</f>
        <v>5-2차</v>
      </c>
      <c r="D628" s="1" t="str">
        <f>"0227Y8515S"</f>
        <v>0227Y8515S</v>
      </c>
      <c r="E628" s="1" t="s">
        <v>10</v>
      </c>
      <c r="F628" s="1" t="str">
        <f>"fde3:102:1430:1200:0:0:0:3"</f>
        <v>fde3:102:1430:1200:0:0:0:3</v>
      </c>
      <c r="G628" s="1" t="str">
        <f>"0227Y851"</f>
        <v>0227Y851</v>
      </c>
      <c r="H628" s="1" t="str">
        <f>"태양간 61L12R2"</f>
        <v>태양간 61L12R2</v>
      </c>
      <c r="I628" s="1" t="s">
        <v>15</v>
      </c>
      <c r="J628" s="1" t="str">
        <f>"33/39"</f>
        <v>33/39</v>
      </c>
      <c r="K628" s="1" t="str">
        <f>"2026-07-29 14:20:33"</f>
        <v>2026-07-29 14:20:33</v>
      </c>
      <c r="L628" s="1" t="str">
        <f>"2023-09-17 09:19:21"</f>
        <v>2023-09-17 09:19:21</v>
      </c>
      <c r="M628" s="1" t="s">
        <v>45</v>
      </c>
      <c r="N628" s="1" t="s">
        <v>38</v>
      </c>
      <c r="O628" s="1" t="s">
        <v>46</v>
      </c>
    </row>
    <row r="629" spans="2:15" x14ac:dyDescent="0.3">
      <c r="B629" s="1" t="s">
        <v>24</v>
      </c>
      <c r="C629" s="1" t="str">
        <f>"5-1차"</f>
        <v>5-1차</v>
      </c>
      <c r="D629" s="1" t="str">
        <f>"0227Y9135M"</f>
        <v>0227Y9135M</v>
      </c>
      <c r="E629" s="1" t="s">
        <v>10</v>
      </c>
      <c r="F629" s="1" t="str">
        <f>"fde2:104:0:111:0:0:0:2"</f>
        <v>fde2:104:0:111:0:0:0:2</v>
      </c>
      <c r="G629" s="1" t="str">
        <f>"0227Y913"</f>
        <v>0227Y913</v>
      </c>
      <c r="H629" s="1" t="str">
        <f>"전일간 40R2"</f>
        <v>전일간 40R2</v>
      </c>
      <c r="I629" s="1" t="s">
        <v>15</v>
      </c>
      <c r="J629" s="1" t="str">
        <f>"67/67"</f>
        <v>67/67</v>
      </c>
      <c r="K629" s="1" t="str">
        <f>"2026-07-29 14:20:26"</f>
        <v>2026-07-29 14:20:26</v>
      </c>
      <c r="L629" s="1" t="str">
        <f>"2022-09-28 11:01:13"</f>
        <v>2022-09-28 11:01:13</v>
      </c>
      <c r="M629" s="1" t="s">
        <v>42</v>
      </c>
      <c r="N629" s="1" t="s">
        <v>38</v>
      </c>
      <c r="O629" s="1" t="s">
        <v>46</v>
      </c>
    </row>
    <row r="630" spans="2:15" x14ac:dyDescent="0.3">
      <c r="B630" s="1" t="s">
        <v>24</v>
      </c>
      <c r="C630" s="1" t="str">
        <f>"5-2차"</f>
        <v>5-2차</v>
      </c>
      <c r="D630" s="1" t="str">
        <f>"0227Y9525M"</f>
        <v>0227Y9525M</v>
      </c>
      <c r="E630" s="1" t="s">
        <v>10</v>
      </c>
      <c r="F630" s="1" t="str">
        <f>"fde3:102:1430:1200:0:0:0:4"</f>
        <v>fde3:102:1430:1200:0:0:0:4</v>
      </c>
      <c r="G630" s="1" t="str">
        <f>"0227Y952"</f>
        <v>0227Y952</v>
      </c>
      <c r="H630" s="1" t="str">
        <f>"태양간 61L11L2"</f>
        <v>태양간 61L11L2</v>
      </c>
      <c r="I630" s="1" t="s">
        <v>15</v>
      </c>
      <c r="J630" s="1" t="str">
        <f>"46/50"</f>
        <v>46/50</v>
      </c>
      <c r="K630" s="1" t="str">
        <f>"2026-07-29 14:20:33"</f>
        <v>2026-07-29 14:20:33</v>
      </c>
      <c r="L630" s="1" t="str">
        <f>"2023-10-04 13:55:04"</f>
        <v>2023-10-04 13:55:04</v>
      </c>
      <c r="M630" s="1" t="s">
        <v>45</v>
      </c>
      <c r="N630" s="1" t="s">
        <v>38</v>
      </c>
      <c r="O630" s="1" t="s">
        <v>46</v>
      </c>
    </row>
    <row r="631" spans="2:15" x14ac:dyDescent="0.3">
      <c r="B631" s="1" t="s">
        <v>24</v>
      </c>
      <c r="C631" s="1" t="str">
        <f>"6차"</f>
        <v>6차</v>
      </c>
      <c r="D631" s="1" t="str">
        <f>"0227Y9636S"</f>
        <v>0227Y9636S</v>
      </c>
      <c r="E631" s="1" t="s">
        <v>10</v>
      </c>
      <c r="F631" s="1" t="str">
        <f>"fde1:103:4:c668:0:0:0:2"</f>
        <v>fde1:103:4:c668:0:0:0:2</v>
      </c>
      <c r="G631" s="1" t="str">
        <f>"0227Y963"</f>
        <v>0227Y963</v>
      </c>
      <c r="H631" s="1" t="str">
        <f>"태양간 61L9L1"</f>
        <v>태양간 61L9L1</v>
      </c>
      <c r="I631" s="1" t="s">
        <v>15</v>
      </c>
      <c r="J631" s="1" t="str">
        <f>"76/93"</f>
        <v>76/93</v>
      </c>
      <c r="K631" s="1" t="str">
        <f>"2026-07-29 14:20:41"</f>
        <v>2026-07-29 14:20:41</v>
      </c>
      <c r="L631" s="1" t="str">
        <f>"2024-09-20 15:51:18"</f>
        <v>2024-09-20 15:51:18</v>
      </c>
      <c r="M631" s="1" t="s">
        <v>4</v>
      </c>
      <c r="N631" s="1" t="s">
        <v>38</v>
      </c>
      <c r="O631" s="1" t="s">
        <v>46</v>
      </c>
    </row>
    <row r="632" spans="2:15" x14ac:dyDescent="0.3">
      <c r="B632" s="1" t="s">
        <v>24</v>
      </c>
      <c r="C632" s="1" t="str">
        <f>"6차"</f>
        <v>6차</v>
      </c>
      <c r="D632" s="1" t="str">
        <f>"0227Y9736S"</f>
        <v>0227Y9736S</v>
      </c>
      <c r="E632" s="1" t="s">
        <v>10</v>
      </c>
      <c r="F632" s="1" t="str">
        <f>"fde1:103:4:c612:0:0:0:2"</f>
        <v>fde1:103:4:c612:0:0:0:2</v>
      </c>
      <c r="G632" s="1" t="str">
        <f>"0227Y973"</f>
        <v>0227Y973</v>
      </c>
      <c r="H632" s="1" t="str">
        <f>"태양간 61L9"</f>
        <v>태양간 61L9</v>
      </c>
      <c r="I632" s="1" t="s">
        <v>15</v>
      </c>
      <c r="J632" s="1" t="str">
        <f>"55/56"</f>
        <v>55/56</v>
      </c>
      <c r="K632" s="1" t="str">
        <f>"2026-07-29 14:20:29"</f>
        <v>2026-07-29 14:20:29</v>
      </c>
      <c r="L632" s="1" t="str">
        <f>"2024-11-05 14:45:24"</f>
        <v>2024-11-05 14:45:24</v>
      </c>
      <c r="M632" s="1" t="s">
        <v>4</v>
      </c>
      <c r="N632" s="1" t="s">
        <v>38</v>
      </c>
      <c r="O632" s="1" t="s">
        <v>46</v>
      </c>
    </row>
    <row r="633" spans="2:15" x14ac:dyDescent="0.3">
      <c r="B633" s="1" t="s">
        <v>24</v>
      </c>
      <c r="C633" s="1" t="str">
        <f>"5-2차"</f>
        <v>5-2차</v>
      </c>
      <c r="D633" s="1" t="str">
        <f>"0227Y9815S"</f>
        <v>0227Y9815S</v>
      </c>
      <c r="E633" s="1" t="s">
        <v>10</v>
      </c>
      <c r="F633" s="1" t="str">
        <f>"fde3:102:1430:1200:0:0:0:7"</f>
        <v>fde3:102:1430:1200:0:0:0:7</v>
      </c>
      <c r="G633" s="1" t="str">
        <f>"0227Y981"</f>
        <v>0227Y981</v>
      </c>
      <c r="H633" s="1" t="str">
        <f>"태양간 61L7"</f>
        <v>태양간 61L7</v>
      </c>
      <c r="I633" s="1" t="s">
        <v>15</v>
      </c>
      <c r="J633" s="1" t="str">
        <f>"39/39"</f>
        <v>39/39</v>
      </c>
      <c r="K633" s="1" t="str">
        <f>"2026-07-29 14:20:41"</f>
        <v>2026-07-29 14:20:41</v>
      </c>
      <c r="L633" s="1" t="str">
        <f>"2023-10-04 14:46:30"</f>
        <v>2023-10-04 14:46:30</v>
      </c>
      <c r="M633" s="1" t="s">
        <v>45</v>
      </c>
      <c r="N633" s="1" t="s">
        <v>38</v>
      </c>
      <c r="O633" s="1" t="s">
        <v>46</v>
      </c>
    </row>
    <row r="634" spans="2:15" x14ac:dyDescent="0.3">
      <c r="B634" s="1" t="s">
        <v>24</v>
      </c>
      <c r="C634" s="1" t="str">
        <f>"5-2차"</f>
        <v>5-2차</v>
      </c>
      <c r="D634" s="1" t="str">
        <f>"0227Y9915M"</f>
        <v>0227Y9915M</v>
      </c>
      <c r="E634" s="1" t="s">
        <v>10</v>
      </c>
      <c r="F634" s="1" t="str">
        <f>"fde3:102:1430:1200:0:0:0:5"</f>
        <v>fde3:102:1430:1200:0:0:0:5</v>
      </c>
      <c r="G634" s="1" t="str">
        <f>"0227Y991"</f>
        <v>0227Y991</v>
      </c>
      <c r="H634" s="1" t="str">
        <f>"태양간 61L7R2"</f>
        <v>태양간 61L7R2</v>
      </c>
      <c r="I634" s="1" t="s">
        <v>15</v>
      </c>
      <c r="J634" s="1" t="str">
        <f>"119/123"</f>
        <v>119/123</v>
      </c>
      <c r="K634" s="1" t="str">
        <f>"2026-07-29 14:20:34"</f>
        <v>2026-07-29 14:20:34</v>
      </c>
      <c r="L634" s="1" t="str">
        <f>"2023-10-04 15:01:08"</f>
        <v>2023-10-04 15:01:08</v>
      </c>
      <c r="M634" s="1" t="s">
        <v>45</v>
      </c>
      <c r="N634" s="1" t="s">
        <v>38</v>
      </c>
      <c r="O634" s="1" t="s">
        <v>46</v>
      </c>
    </row>
    <row r="635" spans="2:15" x14ac:dyDescent="0.3">
      <c r="B635" s="1" t="s">
        <v>24</v>
      </c>
      <c r="C635" s="1" t="str">
        <f>"5-2차"</f>
        <v>5-2차</v>
      </c>
      <c r="D635" s="1" t="str">
        <f>"0227Z0215S"</f>
        <v>0227Z0215S</v>
      </c>
      <c r="E635" s="1" t="s">
        <v>10</v>
      </c>
      <c r="F635" s="1" t="str">
        <f>"fde3:102:1430:5200:0:0:0:5"</f>
        <v>fde3:102:1430:5200:0:0:0:5</v>
      </c>
      <c r="G635" s="1" t="str">
        <f>"0227Z021"</f>
        <v>0227Z021</v>
      </c>
      <c r="H635" s="1" t="str">
        <f>"전일간 40R1"</f>
        <v>전일간 40R1</v>
      </c>
      <c r="I635" s="1" t="s">
        <v>15</v>
      </c>
      <c r="J635" s="1" t="str">
        <f>"57/57"</f>
        <v>57/57</v>
      </c>
      <c r="K635" s="1" t="str">
        <f>"2026-07-29 14:20:41"</f>
        <v>2026-07-29 14:20:41</v>
      </c>
      <c r="L635" s="1" t="str">
        <f>"2023-09-13 08:59:20"</f>
        <v>2023-09-13 08:59:20</v>
      </c>
      <c r="M635" s="1" t="s">
        <v>45</v>
      </c>
      <c r="N635" s="1" t="s">
        <v>38</v>
      </c>
      <c r="O635" s="1" t="s">
        <v>46</v>
      </c>
    </row>
    <row r="636" spans="2:15" x14ac:dyDescent="0.3">
      <c r="B636" s="1" t="s">
        <v>24</v>
      </c>
      <c r="C636" s="1" t="str">
        <f>"6차"</f>
        <v>6차</v>
      </c>
      <c r="D636" s="1" t="str">
        <f>"0227Z0316S"</f>
        <v>0227Z0316S</v>
      </c>
      <c r="E636" s="1" t="s">
        <v>12</v>
      </c>
      <c r="F636" s="1" t="str">
        <f>"fde3:102:1430:5200:0:0:0:14"</f>
        <v>fde3:102:1430:5200:0:0:0:14</v>
      </c>
      <c r="G636" s="1" t="str">
        <f>"0227Z031"</f>
        <v>0227Z031</v>
      </c>
      <c r="H636" s="1" t="str">
        <f>"전일간 40"</f>
        <v>전일간 40</v>
      </c>
      <c r="I636" s="1" t="s">
        <v>15</v>
      </c>
      <c r="J636" s="1" t="str">
        <f>"0/57"</f>
        <v>0/57</v>
      </c>
      <c r="K636" s="1" t="str">
        <f>"2026-07-28 18:22:26"</f>
        <v>2026-07-28 18:22:26</v>
      </c>
      <c r="L636" s="1" t="str">
        <f>"2024-09-25 19:43:55"</f>
        <v>2024-09-25 19:43:55</v>
      </c>
      <c r="M636" s="1" t="s">
        <v>45</v>
      </c>
      <c r="N636" s="1" t="s">
        <v>38</v>
      </c>
      <c r="O636" s="1" t="s">
        <v>46</v>
      </c>
    </row>
    <row r="637" spans="2:15" x14ac:dyDescent="0.3">
      <c r="B637" s="1" t="s">
        <v>24</v>
      </c>
      <c r="C637" s="1" t="str">
        <f>"5-2차"</f>
        <v>5-2차</v>
      </c>
      <c r="D637" s="1" t="str">
        <f>"0227Z0325M"</f>
        <v>0227Z0325M</v>
      </c>
      <c r="E637" s="1" t="s">
        <v>10</v>
      </c>
      <c r="F637" s="1" t="str">
        <f>"fde1:103:4:5837:0:0:0:2"</f>
        <v>fde1:103:4:5837:0:0:0:2</v>
      </c>
      <c r="G637" s="1" t="str">
        <f>"0227Z032"</f>
        <v>0227Z032</v>
      </c>
      <c r="H637" s="1" t="str">
        <f>"전일간 38"</f>
        <v>전일간 38</v>
      </c>
      <c r="I637" s="1" t="s">
        <v>15</v>
      </c>
      <c r="J637" s="1" t="str">
        <f>"20/20"</f>
        <v>20/20</v>
      </c>
      <c r="K637" s="1" t="str">
        <f>"2026-07-29 14:20:29"</f>
        <v>2026-07-29 14:20:29</v>
      </c>
      <c r="L637" s="1" t="str">
        <f>"2023-09-13 14:14:40"</f>
        <v>2023-09-13 14:14:40</v>
      </c>
      <c r="M637" s="1" t="s">
        <v>4</v>
      </c>
      <c r="N637" s="1" t="s">
        <v>38</v>
      </c>
      <c r="O637" s="1" t="s">
        <v>46</v>
      </c>
    </row>
    <row r="638" spans="2:15" x14ac:dyDescent="0.3">
      <c r="B638" s="1" t="s">
        <v>24</v>
      </c>
      <c r="C638" s="1" t="str">
        <f>"1차"</f>
        <v>1차</v>
      </c>
      <c r="D638" s="1" t="str">
        <f>"0227Z04200"</f>
        <v>0227Z04200</v>
      </c>
      <c r="E638" s="1" t="s">
        <v>10</v>
      </c>
      <c r="F638" s="1" t="str">
        <f>"10.89.247.200"</f>
        <v>10.89.247.200</v>
      </c>
      <c r="G638" s="1" t="str">
        <f>"0227Z042"</f>
        <v>0227Z042</v>
      </c>
      <c r="H638" s="1" t="str">
        <f>"전일간 38L1"</f>
        <v>전일간 38L1</v>
      </c>
      <c r="I638" s="1" t="s">
        <v>8</v>
      </c>
      <c r="J638" s="1" t="str">
        <f>"8/8"</f>
        <v>8/8</v>
      </c>
      <c r="K638" s="1" t="str">
        <f>"2026-07-29 13:18:03"</f>
        <v>2026-07-29 13:18:03</v>
      </c>
      <c r="L638" s="1" t="str">
        <f>"2014-11-27 17:13:15"</f>
        <v>2014-11-27 17:13:15</v>
      </c>
      <c r="M638" s="1" t="s">
        <v>45</v>
      </c>
      <c r="N638" s="1" t="s">
        <v>38</v>
      </c>
      <c r="O638" s="1" t="s">
        <v>46</v>
      </c>
    </row>
    <row r="639" spans="2:15" x14ac:dyDescent="0.3">
      <c r="B639" s="1" t="s">
        <v>24</v>
      </c>
      <c r="C639" s="1" t="str">
        <f>"6차"</f>
        <v>6차</v>
      </c>
      <c r="D639" s="1" t="str">
        <f>"0227Z0816S"</f>
        <v>0227Z0816S</v>
      </c>
      <c r="E639" s="1" t="s">
        <v>10</v>
      </c>
      <c r="F639" s="1" t="str">
        <f>"fde1:103:4:c67d:0:0:0:2"</f>
        <v>fde1:103:4:c67d:0:0:0:2</v>
      </c>
      <c r="G639" s="1" t="str">
        <f>"0227Z081"</f>
        <v>0227Z081</v>
      </c>
      <c r="H639" s="1" t="str">
        <f>"태양간 61L4"</f>
        <v>태양간 61L4</v>
      </c>
      <c r="I639" s="1" t="s">
        <v>15</v>
      </c>
      <c r="J639" s="1" t="str">
        <f>"37/37"</f>
        <v>37/37</v>
      </c>
      <c r="K639" s="1" t="str">
        <f>"2026-07-29 14:20:30"</f>
        <v>2026-07-29 14:20:30</v>
      </c>
      <c r="L639" s="1" t="str">
        <f>"2024-11-05 14:45:29"</f>
        <v>2024-11-05 14:45:29</v>
      </c>
      <c r="M639" s="1" t="s">
        <v>4</v>
      </c>
      <c r="N639" s="1" t="s">
        <v>38</v>
      </c>
      <c r="O639" s="1" t="s">
        <v>46</v>
      </c>
    </row>
    <row r="640" spans="2:15" x14ac:dyDescent="0.3">
      <c r="B640" s="1" t="s">
        <v>24</v>
      </c>
      <c r="C640" s="1" t="str">
        <f>"5-2차"</f>
        <v>5-2차</v>
      </c>
      <c r="D640" s="1" t="str">
        <f>"0227Z1015M"</f>
        <v>0227Z1015M</v>
      </c>
      <c r="E640" s="1" t="s">
        <v>10</v>
      </c>
      <c r="F640" s="1" t="str">
        <f>"fde3:102:1430:1100:0:0:0:a"</f>
        <v>fde3:102:1430:1100:0:0:0:a</v>
      </c>
      <c r="G640" s="1" t="str">
        <f>"0227Z101"</f>
        <v>0227Z101</v>
      </c>
      <c r="H640" s="1" t="str">
        <f>"전일간 42R2R1"</f>
        <v>전일간 42R2R1</v>
      </c>
      <c r="I640" s="1" t="s">
        <v>15</v>
      </c>
      <c r="J640" s="1" t="str">
        <f>"55/55"</f>
        <v>55/55</v>
      </c>
      <c r="K640" s="1" t="str">
        <f>"2026-07-29 14:20:41"</f>
        <v>2026-07-29 14:20:41</v>
      </c>
      <c r="L640" s="1" t="str">
        <f>"2023-09-17 10:30:20"</f>
        <v>2023-09-17 10:30:20</v>
      </c>
      <c r="M640" s="1" t="s">
        <v>45</v>
      </c>
      <c r="N640" s="1" t="s">
        <v>38</v>
      </c>
      <c r="O640" s="1" t="s">
        <v>46</v>
      </c>
    </row>
    <row r="641" spans="2:15" x14ac:dyDescent="0.3">
      <c r="B641" s="1" t="s">
        <v>24</v>
      </c>
      <c r="C641" s="1" t="str">
        <f>"5-2차"</f>
        <v>5-2차</v>
      </c>
      <c r="D641" s="1" t="str">
        <f>"0227Z1115M"</f>
        <v>0227Z1115M</v>
      </c>
      <c r="E641" s="1" t="s">
        <v>10</v>
      </c>
      <c r="F641" s="1" t="str">
        <f>"fde3:102:1430:5200:0:0:0:6"</f>
        <v>fde3:102:1430:5200:0:0:0:6</v>
      </c>
      <c r="G641" s="1" t="str">
        <f>"0227Z111"</f>
        <v>0227Z111</v>
      </c>
      <c r="H641" s="1" t="str">
        <f>"전일간 40R1L1"</f>
        <v>전일간 40R1L1</v>
      </c>
      <c r="I641" s="1" t="s">
        <v>15</v>
      </c>
      <c r="J641" s="1" t="str">
        <f>"49/49"</f>
        <v>49/49</v>
      </c>
      <c r="K641" s="1" t="str">
        <f>"2026-07-29 14:20:29"</f>
        <v>2026-07-29 14:20:29</v>
      </c>
      <c r="L641" s="1" t="str">
        <f>"2023-10-04 14:16:20"</f>
        <v>2023-10-04 14:16:20</v>
      </c>
      <c r="M641" s="1" t="s">
        <v>45</v>
      </c>
      <c r="N641" s="1" t="s">
        <v>38</v>
      </c>
      <c r="O641" s="1" t="s">
        <v>46</v>
      </c>
    </row>
    <row r="642" spans="2:15" x14ac:dyDescent="0.3">
      <c r="B642" s="1" t="s">
        <v>24</v>
      </c>
      <c r="C642" s="1" t="str">
        <f>"4차"</f>
        <v>4차</v>
      </c>
      <c r="D642" s="1" t="str">
        <f>"0227Z14139"</f>
        <v>0227Z14139</v>
      </c>
      <c r="E642" s="1" t="s">
        <v>10</v>
      </c>
      <c r="F642" s="1" t="str">
        <f>"10.89.247.195"</f>
        <v>10.89.247.195</v>
      </c>
      <c r="G642" s="1" t="str">
        <f>"0227Z141"</f>
        <v>0227Z141</v>
      </c>
      <c r="H642" s="1" t="str">
        <f>"전일간 40L2"</f>
        <v>전일간 40L2</v>
      </c>
      <c r="I642" s="1" t="s">
        <v>8</v>
      </c>
      <c r="J642" s="1" t="str">
        <f>"62/62"</f>
        <v>62/62</v>
      </c>
      <c r="K642" s="1" t="str">
        <f>"2026-07-29 13:18:03"</f>
        <v>2026-07-29 13:18:03</v>
      </c>
      <c r="L642" s="1" t="str">
        <f>"2024-02-29 13:22:22"</f>
        <v>2024-02-29 13:22:22</v>
      </c>
      <c r="M642" s="1" t="s">
        <v>45</v>
      </c>
      <c r="N642" s="1" t="s">
        <v>38</v>
      </c>
      <c r="O642" s="1" t="s">
        <v>46</v>
      </c>
    </row>
    <row r="643" spans="2:15" x14ac:dyDescent="0.3">
      <c r="B643" s="1" t="s">
        <v>24</v>
      </c>
      <c r="C643" s="1" t="str">
        <f>"1차"</f>
        <v>1차</v>
      </c>
      <c r="D643" s="1" t="str">
        <f>"0227Z15301"</f>
        <v>0227Z15301</v>
      </c>
      <c r="E643" s="1" t="s">
        <v>10</v>
      </c>
      <c r="F643" s="1" t="str">
        <f>"10.12.128.244"</f>
        <v>10.12.128.244</v>
      </c>
      <c r="G643" s="1" t="str">
        <f>"0227Z153"</f>
        <v>0227Z153</v>
      </c>
      <c r="H643" s="1" t="str">
        <f>"태양간 68L3L3"</f>
        <v>태양간 68L3L3</v>
      </c>
      <c r="I643" s="1" t="s">
        <v>8</v>
      </c>
      <c r="J643" s="1" t="str">
        <f>"16/16"</f>
        <v>16/16</v>
      </c>
      <c r="K643" s="1" t="str">
        <f>"2026-07-29 13:18:01"</f>
        <v>2026-07-29 13:18:01</v>
      </c>
      <c r="L643" s="1" t="str">
        <f>"2014-09-18 16:54:22"</f>
        <v>2014-09-18 16:54:22</v>
      </c>
      <c r="M643" s="1" t="s">
        <v>0</v>
      </c>
      <c r="N643" s="1" t="s">
        <v>38</v>
      </c>
      <c r="O643" s="1" t="s">
        <v>46</v>
      </c>
    </row>
    <row r="644" spans="2:15" x14ac:dyDescent="0.3">
      <c r="B644" s="1" t="s">
        <v>24</v>
      </c>
      <c r="C644" s="1" t="str">
        <f>"5-2차"</f>
        <v>5-2차</v>
      </c>
      <c r="D644" s="1" t="str">
        <f>"0227Z1625M"</f>
        <v>0227Z1625M</v>
      </c>
      <c r="E644" s="1" t="s">
        <v>10</v>
      </c>
      <c r="F644" s="1" t="str">
        <f>"fde3:102:1430:1200:0:0:0:9"</f>
        <v>fde3:102:1430:1200:0:0:0:9</v>
      </c>
      <c r="G644" s="1" t="str">
        <f>"0227Z162"</f>
        <v>0227Z162</v>
      </c>
      <c r="H644" s="1" t="str">
        <f>"태양간 58"</f>
        <v>태양간 58</v>
      </c>
      <c r="I644" s="1" t="s">
        <v>15</v>
      </c>
      <c r="J644" s="1" t="str">
        <f>"71/71"</f>
        <v>71/71</v>
      </c>
      <c r="K644" s="1" t="str">
        <f>"2026-07-29 14:20:29"</f>
        <v>2026-07-29 14:20:29</v>
      </c>
      <c r="L644" s="1" t="str">
        <f>"2023-10-04 13:39:18"</f>
        <v>2023-10-04 13:39:18</v>
      </c>
      <c r="M644" s="1" t="s">
        <v>45</v>
      </c>
      <c r="N644" s="1" t="s">
        <v>38</v>
      </c>
      <c r="O644" s="1" t="s">
        <v>46</v>
      </c>
    </row>
    <row r="645" spans="2:15" x14ac:dyDescent="0.3">
      <c r="B645" s="1" t="s">
        <v>24</v>
      </c>
      <c r="C645" s="1" t="str">
        <f>"1차"</f>
        <v>1차</v>
      </c>
      <c r="D645" s="1" t="str">
        <f>"0227Z18300"</f>
        <v>0227Z18300</v>
      </c>
      <c r="E645" s="1" t="s">
        <v>10</v>
      </c>
      <c r="F645" s="1" t="str">
        <f>"10.89.245.38"</f>
        <v>10.89.245.38</v>
      </c>
      <c r="G645" s="1" t="str">
        <f>"0227Z183"</f>
        <v>0227Z183</v>
      </c>
      <c r="H645" s="1" t="str">
        <f>"태양간 59L2B1"</f>
        <v>태양간 59L2B1</v>
      </c>
      <c r="I645" s="1" t="s">
        <v>8</v>
      </c>
      <c r="J645" s="1" t="str">
        <f>"12/17"</f>
        <v>12/17</v>
      </c>
      <c r="K645" s="1" t="str">
        <f>"2026-07-29 13:18:03"</f>
        <v>2026-07-29 13:18:03</v>
      </c>
      <c r="L645" s="1" t="str">
        <f>"2014-11-27 16:50:40"</f>
        <v>2014-11-27 16:50:40</v>
      </c>
      <c r="M645" s="1" t="s">
        <v>45</v>
      </c>
      <c r="N645" s="1" t="s">
        <v>38</v>
      </c>
      <c r="O645" s="1" t="s">
        <v>46</v>
      </c>
    </row>
    <row r="646" spans="2:15" x14ac:dyDescent="0.3">
      <c r="B646" s="1" t="s">
        <v>24</v>
      </c>
      <c r="C646" s="1" t="str">
        <f>"5-2차"</f>
        <v>5-2차</v>
      </c>
      <c r="D646" s="1" t="str">
        <f>"0227Z1945M"</f>
        <v>0227Z1945M</v>
      </c>
      <c r="E646" s="1" t="s">
        <v>10</v>
      </c>
      <c r="F646" s="1" t="str">
        <f>"fde1:103:4:57bd:0:0:0:2"</f>
        <v>fde1:103:4:57bd:0:0:0:2</v>
      </c>
      <c r="G646" s="1" t="str">
        <f>"0227Z194"</f>
        <v>0227Z194</v>
      </c>
      <c r="H646" s="1" t="str">
        <f>"태양간 61L3R2"</f>
        <v>태양간 61L3R2</v>
      </c>
      <c r="I646" s="1" t="s">
        <v>15</v>
      </c>
      <c r="J646" s="1" t="str">
        <f>"74/74"</f>
        <v>74/74</v>
      </c>
      <c r="K646" s="1" t="str">
        <f>"2026-07-29 14:21:01"</f>
        <v>2026-07-29 14:21:01</v>
      </c>
      <c r="L646" s="1" t="str">
        <f>"2023-09-13 14:42:02"</f>
        <v>2023-09-13 14:42:02</v>
      </c>
      <c r="M646" s="1" t="s">
        <v>4</v>
      </c>
      <c r="N646" s="1" t="s">
        <v>38</v>
      </c>
      <c r="O646" s="1" t="s">
        <v>46</v>
      </c>
    </row>
    <row r="647" spans="2:15" x14ac:dyDescent="0.3">
      <c r="B647" s="1" t="s">
        <v>24</v>
      </c>
      <c r="C647" s="1" t="str">
        <f>"5-2차"</f>
        <v>5-2차</v>
      </c>
      <c r="D647" s="1" t="str">
        <f>"0227Z2335M"</f>
        <v>0227Z2335M</v>
      </c>
      <c r="E647" s="1" t="s">
        <v>10</v>
      </c>
      <c r="F647" s="1" t="str">
        <f>"fde3:102:1430:5200:0:0:0:7"</f>
        <v>fde3:102:1430:5200:0:0:0:7</v>
      </c>
      <c r="G647" s="1" t="str">
        <f>"0227Z233"</f>
        <v>0227Z233</v>
      </c>
      <c r="H647" s="1" t="str">
        <f>"전일간 42L3"</f>
        <v>전일간 42L3</v>
      </c>
      <c r="I647" s="1" t="s">
        <v>15</v>
      </c>
      <c r="J647" s="1" t="str">
        <f>"33/33"</f>
        <v>33/33</v>
      </c>
      <c r="K647" s="1" t="str">
        <f>"2026-07-29 14:20:42"</f>
        <v>2026-07-29 14:20:42</v>
      </c>
      <c r="L647" s="1" t="str">
        <f>"2023-10-04 14:25:59"</f>
        <v>2023-10-04 14:25:59</v>
      </c>
      <c r="M647" s="1" t="s">
        <v>45</v>
      </c>
      <c r="N647" s="1" t="s">
        <v>38</v>
      </c>
      <c r="O647" s="1" t="s">
        <v>46</v>
      </c>
    </row>
    <row r="648" spans="2:15" x14ac:dyDescent="0.3">
      <c r="B648" s="1" t="s">
        <v>24</v>
      </c>
      <c r="C648" s="1" t="str">
        <f>"1차"</f>
        <v>1차</v>
      </c>
      <c r="D648" s="1" t="str">
        <f>"0227Z26101"</f>
        <v>0227Z26101</v>
      </c>
      <c r="E648" s="1" t="s">
        <v>10</v>
      </c>
      <c r="F648" s="1" t="str">
        <f>"10.12.129.158"</f>
        <v>10.12.129.158</v>
      </c>
      <c r="G648" s="1" t="str">
        <f>"0227Z261"</f>
        <v>0227Z261</v>
      </c>
      <c r="H648" s="1" t="str">
        <f>"태양간 68L4"</f>
        <v>태양간 68L4</v>
      </c>
      <c r="I648" s="1" t="s">
        <v>8</v>
      </c>
      <c r="J648" s="1" t="str">
        <f>"20/21"</f>
        <v>20/21</v>
      </c>
      <c r="K648" s="1" t="str">
        <f>"2026-07-29 13:18:01"</f>
        <v>2026-07-29 13:18:01</v>
      </c>
      <c r="L648" s="1" t="str">
        <f>"2014-10-13 17:24:49"</f>
        <v>2014-10-13 17:24:49</v>
      </c>
      <c r="M648" s="1" t="s">
        <v>0</v>
      </c>
      <c r="N648" s="1" t="s">
        <v>38</v>
      </c>
      <c r="O648" s="1" t="s">
        <v>46</v>
      </c>
    </row>
    <row r="649" spans="2:15" x14ac:dyDescent="0.3">
      <c r="B649" s="1" t="s">
        <v>24</v>
      </c>
      <c r="C649" s="1" t="str">
        <f>"5-2차"</f>
        <v>5-2차</v>
      </c>
      <c r="D649" s="1" t="str">
        <f>"0227Z27A5M"</f>
        <v>0227Z27A5M</v>
      </c>
      <c r="E649" s="1" t="s">
        <v>10</v>
      </c>
      <c r="F649" s="1" t="str">
        <f>"fde3:102:1430:5200:0:0:0:4"</f>
        <v>fde3:102:1430:5200:0:0:0:4</v>
      </c>
      <c r="G649" s="1" t="str">
        <f>"0227Z27A"</f>
        <v>0227Z27A</v>
      </c>
      <c r="H649" s="1" t="str">
        <f>"전일간 40L6"</f>
        <v>전일간 40L6</v>
      </c>
      <c r="I649" s="1" t="s">
        <v>15</v>
      </c>
      <c r="J649" s="1" t="str">
        <f>"69/71"</f>
        <v>69/71</v>
      </c>
      <c r="K649" s="1" t="str">
        <f>"2026-07-29 14:20:26"</f>
        <v>2026-07-29 14:20:26</v>
      </c>
      <c r="L649" s="1" t="str">
        <f>"2023-09-13 08:59:30"</f>
        <v>2023-09-13 08:59:30</v>
      </c>
      <c r="M649" s="1" t="s">
        <v>45</v>
      </c>
      <c r="N649" s="1" t="s">
        <v>38</v>
      </c>
      <c r="O649" s="1" t="s">
        <v>46</v>
      </c>
    </row>
    <row r="650" spans="2:15" x14ac:dyDescent="0.3">
      <c r="B650" s="1" t="s">
        <v>24</v>
      </c>
      <c r="C650" s="1" t="str">
        <f>"5-2차"</f>
        <v>5-2차</v>
      </c>
      <c r="D650" s="1" t="str">
        <f>"0227Z3525S"</f>
        <v>0227Z3525S</v>
      </c>
      <c r="E650" s="1" t="s">
        <v>10</v>
      </c>
      <c r="F650" s="1" t="str">
        <f>"fde3:102:1430:1100:0:0:0:9"</f>
        <v>fde3:102:1430:1100:0:0:0:9</v>
      </c>
      <c r="G650" s="1" t="str">
        <f>"0227Z352"</f>
        <v>0227Z352</v>
      </c>
      <c r="H650" s="1" t="str">
        <f>"전일간 52L8L6L1R1"</f>
        <v>전일간 52L8L6L1R1</v>
      </c>
      <c r="I650" s="1" t="s">
        <v>15</v>
      </c>
      <c r="J650" s="1" t="str">
        <f>"53/53"</f>
        <v>53/53</v>
      </c>
      <c r="K650" s="1" t="str">
        <f>"2026-07-29 14:20:42"</f>
        <v>2026-07-29 14:20:42</v>
      </c>
      <c r="L650" s="1" t="str">
        <f>"2023-09-14 09:20:57"</f>
        <v>2023-09-14 09:20:57</v>
      </c>
      <c r="M650" s="1" t="s">
        <v>45</v>
      </c>
      <c r="N650" s="1" t="s">
        <v>38</v>
      </c>
      <c r="O650" s="1" t="s">
        <v>46</v>
      </c>
    </row>
    <row r="651" spans="2:15" x14ac:dyDescent="0.3">
      <c r="B651" s="1" t="s">
        <v>24</v>
      </c>
      <c r="C651" s="1" t="str">
        <f>"5-2차"</f>
        <v>5-2차</v>
      </c>
      <c r="D651" s="1" t="str">
        <f>"0227Z3615M"</f>
        <v>0227Z3615M</v>
      </c>
      <c r="E651" s="1" t="s">
        <v>10</v>
      </c>
      <c r="F651" s="1" t="str">
        <f>"fde3:102:1430:1100:0:0:0:8"</f>
        <v>fde3:102:1430:1100:0:0:0:8</v>
      </c>
      <c r="G651" s="1" t="str">
        <f>"0227Z361"</f>
        <v>0227Z361</v>
      </c>
      <c r="H651" s="1" t="str">
        <f>"전일간 52L14L2"</f>
        <v>전일간 52L14L2</v>
      </c>
      <c r="I651" s="1" t="s">
        <v>15</v>
      </c>
      <c r="J651" s="1" t="str">
        <f>"65/65"</f>
        <v>65/65</v>
      </c>
      <c r="K651" s="1" t="str">
        <f>"2026-07-29 14:20:29"</f>
        <v>2026-07-29 14:20:29</v>
      </c>
      <c r="L651" s="1" t="str">
        <f>"2023-09-01 10:05:56"</f>
        <v>2023-09-01 10:05:56</v>
      </c>
      <c r="M651" s="1" t="s">
        <v>45</v>
      </c>
      <c r="N651" s="1" t="s">
        <v>38</v>
      </c>
      <c r="O651" s="1" t="s">
        <v>46</v>
      </c>
    </row>
    <row r="652" spans="2:15" x14ac:dyDescent="0.3">
      <c r="B652" s="1" t="s">
        <v>24</v>
      </c>
      <c r="C652" s="1" t="str">
        <f>"4차"</f>
        <v>4차</v>
      </c>
      <c r="D652" s="1" t="str">
        <f>"0227Z49739"</f>
        <v>0227Z49739</v>
      </c>
      <c r="E652" s="1" t="s">
        <v>10</v>
      </c>
      <c r="F652" s="1" t="str">
        <f>"10.12.130.129"</f>
        <v>10.12.130.129</v>
      </c>
      <c r="G652" s="1" t="str">
        <f>"0227Z497"</f>
        <v>0227Z497</v>
      </c>
      <c r="H652" s="1" t="str">
        <f>"시립대 1"</f>
        <v>시립대 1</v>
      </c>
      <c r="I652" s="1" t="s">
        <v>17</v>
      </c>
      <c r="J652" s="1" t="str">
        <f>"2/2"</f>
        <v>2/2</v>
      </c>
      <c r="K652" s="1" t="str">
        <f>"2026-07-29 13:18:01"</f>
        <v>2026-07-29 13:18:01</v>
      </c>
      <c r="L652" s="1" t="str">
        <f>"2018-10-18 10:31:41"</f>
        <v>2018-10-18 10:31:41</v>
      </c>
      <c r="M652" s="1" t="s">
        <v>0</v>
      </c>
      <c r="N652" s="1" t="s">
        <v>38</v>
      </c>
      <c r="O652" s="1" t="s">
        <v>46</v>
      </c>
    </row>
    <row r="653" spans="2:15" x14ac:dyDescent="0.3">
      <c r="B653" s="1" t="s">
        <v>24</v>
      </c>
      <c r="C653" s="1" t="str">
        <f>"5-2차"</f>
        <v>5-2차</v>
      </c>
      <c r="D653" s="1" t="str">
        <f>"0227Z5535M"</f>
        <v>0227Z5535M</v>
      </c>
      <c r="E653" s="1" t="s">
        <v>10</v>
      </c>
      <c r="F653" s="1" t="str">
        <f>"fde1:103:4:574e:0:0:0:2"</f>
        <v>fde1:103:4:574e:0:0:0:2</v>
      </c>
      <c r="G653" s="1" t="str">
        <f>"0227Z553"</f>
        <v>0227Z553</v>
      </c>
      <c r="H653" s="1" t="str">
        <f>"전일간 52L11"</f>
        <v>전일간 52L11</v>
      </c>
      <c r="I653" s="1" t="s">
        <v>15</v>
      </c>
      <c r="J653" s="1" t="str">
        <f>"16/16"</f>
        <v>16/16</v>
      </c>
      <c r="K653" s="1" t="str">
        <f>"2026-07-29 14:20:43"</f>
        <v>2026-07-29 14:20:43</v>
      </c>
      <c r="L653" s="1" t="str">
        <f>"2023-09-13 14:43:33"</f>
        <v>2023-09-13 14:43:33</v>
      </c>
      <c r="M653" s="1" t="s">
        <v>4</v>
      </c>
      <c r="N653" s="1" t="s">
        <v>38</v>
      </c>
      <c r="O653" s="1" t="s">
        <v>46</v>
      </c>
    </row>
    <row r="654" spans="2:15" x14ac:dyDescent="0.3">
      <c r="B654" s="1" t="s">
        <v>24</v>
      </c>
      <c r="C654" s="1" t="str">
        <f>"3차"</f>
        <v>3차</v>
      </c>
      <c r="D654" s="1" t="str">
        <f>"0228Z41339"</f>
        <v>0228Z41339</v>
      </c>
      <c r="E654" s="1" t="s">
        <v>10</v>
      </c>
      <c r="F654" s="1" t="str">
        <f>"10.12.130.170"</f>
        <v>10.12.130.170</v>
      </c>
      <c r="G654" s="1" t="str">
        <f>"0228Z413"</f>
        <v>0228Z413</v>
      </c>
      <c r="H654" s="1" t="str">
        <f>"외대간 32L11R7"</f>
        <v>외대간 32L11R7</v>
      </c>
      <c r="I654" s="1" t="s">
        <v>8</v>
      </c>
      <c r="J654" s="1" t="str">
        <f>"159/160"</f>
        <v>159/160</v>
      </c>
      <c r="K654" s="1" t="str">
        <f>"2026-07-29 13:18:02"</f>
        <v>2026-07-29 13:18:02</v>
      </c>
      <c r="L654" s="1" t="str">
        <f>"2018-09-27 09:34:54"</f>
        <v>2018-09-27 09:34:54</v>
      </c>
      <c r="M654" s="1" t="s">
        <v>0</v>
      </c>
      <c r="N654" s="1" t="s">
        <v>38</v>
      </c>
      <c r="O654" s="1" t="s">
        <v>46</v>
      </c>
    </row>
    <row r="655" spans="2:15" x14ac:dyDescent="0.3">
      <c r="B655" s="1" t="s">
        <v>24</v>
      </c>
      <c r="C655" s="1" t="str">
        <f t="shared" ref="C655:C669" si="34">"4차"</f>
        <v>4차</v>
      </c>
      <c r="D655" s="1" t="str">
        <f>"0228Z43144"</f>
        <v>0228Z43144</v>
      </c>
      <c r="E655" s="1" t="s">
        <v>10</v>
      </c>
      <c r="F655" s="1" t="str">
        <f>"10.10.52.50"</f>
        <v>10.10.52.50</v>
      </c>
      <c r="G655" s="1" t="str">
        <f>"0228Z431"</f>
        <v>0228Z431</v>
      </c>
      <c r="H655" s="1" t="str">
        <f>"외대간 32L9R2L9"</f>
        <v>외대간 32L9R2L9</v>
      </c>
      <c r="I655" s="1" t="s">
        <v>8</v>
      </c>
      <c r="J655" s="1" t="str">
        <f>"73/73"</f>
        <v>73/73</v>
      </c>
      <c r="K655" s="1" t="str">
        <f>"2026-07-29 13:18:01"</f>
        <v>2026-07-29 13:18:01</v>
      </c>
      <c r="L655" s="1" t="str">
        <f>"2024-08-12 16:04:23"</f>
        <v>2024-08-12 16:04:23</v>
      </c>
      <c r="M655" s="1" t="s">
        <v>1</v>
      </c>
      <c r="N655" s="1" t="s">
        <v>38</v>
      </c>
      <c r="O655" s="1" t="s">
        <v>46</v>
      </c>
    </row>
    <row r="656" spans="2:15" x14ac:dyDescent="0.3">
      <c r="B656" s="1" t="s">
        <v>24</v>
      </c>
      <c r="C656" s="1" t="str">
        <f t="shared" si="34"/>
        <v>4차</v>
      </c>
      <c r="D656" s="1" t="str">
        <f>"0228Z43444"</f>
        <v>0228Z43444</v>
      </c>
      <c r="E656" s="1" t="s">
        <v>10</v>
      </c>
      <c r="F656" s="1" t="str">
        <f>"10.10.51.226"</f>
        <v>10.10.51.226</v>
      </c>
      <c r="G656" s="1" t="str">
        <f>"0228Z434"</f>
        <v>0228Z434</v>
      </c>
      <c r="H656" s="1" t="str">
        <f>"외대간 32L9R2L11"</f>
        <v>외대간 32L9R2L11</v>
      </c>
      <c r="I656" s="1" t="s">
        <v>8</v>
      </c>
      <c r="J656" s="1" t="str">
        <f>"54/54"</f>
        <v>54/54</v>
      </c>
      <c r="K656" s="1" t="str">
        <f>"2026-07-29 13:18:02"</f>
        <v>2026-07-29 13:18:02</v>
      </c>
      <c r="L656" s="1" t="str">
        <f>"2019-11-11 11:15:17"</f>
        <v>2019-11-11 11:15:17</v>
      </c>
      <c r="M656" s="1" t="s">
        <v>1</v>
      </c>
      <c r="N656" s="1" t="s">
        <v>38</v>
      </c>
      <c r="O656" s="1" t="s">
        <v>46</v>
      </c>
    </row>
    <row r="657" spans="2:15" x14ac:dyDescent="0.3">
      <c r="B657" s="1" t="s">
        <v>24</v>
      </c>
      <c r="C657" s="1" t="str">
        <f t="shared" si="34"/>
        <v>4차</v>
      </c>
      <c r="D657" s="1" t="str">
        <f>"0228Z51139"</f>
        <v>0228Z51139</v>
      </c>
      <c r="E657" s="1" t="s">
        <v>10</v>
      </c>
      <c r="F657" s="1" t="str">
        <f>"10.12.132.202"</f>
        <v>10.12.132.202</v>
      </c>
      <c r="G657" s="1" t="str">
        <f>"0228Z511"</f>
        <v>0228Z511</v>
      </c>
      <c r="H657" s="1" t="str">
        <f>"외대간 32L11R6"</f>
        <v>외대간 32L11R6</v>
      </c>
      <c r="I657" s="1" t="s">
        <v>8</v>
      </c>
      <c r="J657" s="1" t="str">
        <f>"95/133"</f>
        <v>95/133</v>
      </c>
      <c r="K657" s="1" t="str">
        <f>"2026-07-29 13:18:03"</f>
        <v>2026-07-29 13:18:03</v>
      </c>
      <c r="L657" s="1" t="str">
        <f>"2018-09-27 10:13:55"</f>
        <v>2018-09-27 10:13:55</v>
      </c>
      <c r="M657" s="1" t="s">
        <v>0</v>
      </c>
      <c r="N657" s="1" t="s">
        <v>38</v>
      </c>
      <c r="O657" s="1" t="s">
        <v>46</v>
      </c>
    </row>
    <row r="658" spans="2:15" x14ac:dyDescent="0.3">
      <c r="B658" s="1" t="s">
        <v>24</v>
      </c>
      <c r="C658" s="1" t="str">
        <f t="shared" si="34"/>
        <v>4차</v>
      </c>
      <c r="D658" s="1" t="str">
        <f>"0228Z52144"</f>
        <v>0228Z52144</v>
      </c>
      <c r="E658" s="1" t="s">
        <v>10</v>
      </c>
      <c r="F658" s="1" t="str">
        <f>"10.10.52.98"</f>
        <v>10.10.52.98</v>
      </c>
      <c r="G658" s="1" t="str">
        <f>"0228Z521"</f>
        <v>0228Z521</v>
      </c>
      <c r="H658" s="1" t="str">
        <f>"외대간 32L9R2L8L1"</f>
        <v>외대간 32L9R2L8L1</v>
      </c>
      <c r="I658" s="1" t="s">
        <v>8</v>
      </c>
      <c r="J658" s="1" t="str">
        <f>"10/10"</f>
        <v>10/10</v>
      </c>
      <c r="K658" s="1" t="str">
        <f>"2026-07-29 13:18:02"</f>
        <v>2026-07-29 13:18:02</v>
      </c>
      <c r="L658" s="1" t="str">
        <f>"2019-11-22 13:25:45"</f>
        <v>2019-11-22 13:25:45</v>
      </c>
      <c r="M658" s="1" t="s">
        <v>1</v>
      </c>
      <c r="N658" s="1" t="s">
        <v>38</v>
      </c>
      <c r="O658" s="1" t="s">
        <v>46</v>
      </c>
    </row>
    <row r="659" spans="2:15" x14ac:dyDescent="0.3">
      <c r="B659" s="1" t="s">
        <v>24</v>
      </c>
      <c r="C659" s="1" t="str">
        <f t="shared" si="34"/>
        <v>4차</v>
      </c>
      <c r="D659" s="1" t="str">
        <f>"0228Z53144"</f>
        <v>0228Z53144</v>
      </c>
      <c r="E659" s="1" t="s">
        <v>10</v>
      </c>
      <c r="F659" s="1" t="str">
        <f>"10.10.52.122"</f>
        <v>10.10.52.122</v>
      </c>
      <c r="G659" s="1" t="str">
        <f>"0228Z531"</f>
        <v>0228Z531</v>
      </c>
      <c r="H659" s="1" t="str">
        <f>"외대간 32L9R2L8"</f>
        <v>외대간 32L9R2L8</v>
      </c>
      <c r="I659" s="1" t="s">
        <v>8</v>
      </c>
      <c r="J659" s="1" t="str">
        <f>"66/66"</f>
        <v>66/66</v>
      </c>
      <c r="K659" s="1" t="str">
        <f>"2026-07-29 13:18:03"</f>
        <v>2026-07-29 13:18:03</v>
      </c>
      <c r="L659" s="1" t="str">
        <f>"2019-11-11 11:27:12"</f>
        <v>2019-11-11 11:27:12</v>
      </c>
      <c r="M659" s="1" t="s">
        <v>1</v>
      </c>
      <c r="N659" s="1" t="s">
        <v>38</v>
      </c>
      <c r="O659" s="1" t="s">
        <v>46</v>
      </c>
    </row>
    <row r="660" spans="2:15" x14ac:dyDescent="0.3">
      <c r="B660" s="1" t="s">
        <v>24</v>
      </c>
      <c r="C660" s="1" t="str">
        <f t="shared" si="34"/>
        <v>4차</v>
      </c>
      <c r="D660" s="1" t="str">
        <f>"0228Z55144"</f>
        <v>0228Z55144</v>
      </c>
      <c r="E660" s="1" t="s">
        <v>10</v>
      </c>
      <c r="F660" s="1" t="str">
        <f>"10.10.52.58"</f>
        <v>10.10.52.58</v>
      </c>
      <c r="G660" s="1" t="str">
        <f>"0228Z551"</f>
        <v>0228Z551</v>
      </c>
      <c r="H660" s="1" t="str">
        <f>"외대간 32L9R2L7R3"</f>
        <v>외대간 32L9R2L7R3</v>
      </c>
      <c r="I660" s="1" t="s">
        <v>8</v>
      </c>
      <c r="J660" s="1" t="str">
        <f>"27/27"</f>
        <v>27/27</v>
      </c>
      <c r="K660" s="1" t="str">
        <f>"2026-07-29 13:18:03"</f>
        <v>2026-07-29 13:18:03</v>
      </c>
      <c r="L660" s="1" t="str">
        <f>"2019-11-11 11:15:57"</f>
        <v>2019-11-11 11:15:57</v>
      </c>
      <c r="M660" s="1" t="s">
        <v>1</v>
      </c>
      <c r="N660" s="1" t="s">
        <v>38</v>
      </c>
      <c r="O660" s="1" t="s">
        <v>46</v>
      </c>
    </row>
    <row r="661" spans="2:15" x14ac:dyDescent="0.3">
      <c r="B661" s="1" t="s">
        <v>24</v>
      </c>
      <c r="C661" s="1" t="str">
        <f t="shared" si="34"/>
        <v>4차</v>
      </c>
      <c r="D661" s="1" t="str">
        <f>"0228Z56144"</f>
        <v>0228Z56144</v>
      </c>
      <c r="E661" s="1" t="s">
        <v>10</v>
      </c>
      <c r="F661" s="1" t="str">
        <f>"10.10.52.106"</f>
        <v>10.10.52.106</v>
      </c>
      <c r="G661" s="1" t="str">
        <f>"0228Z561"</f>
        <v>0228Z561</v>
      </c>
      <c r="H661" s="1" t="str">
        <f>"외대간 32L9R2L7R4"</f>
        <v>외대간 32L9R2L7R4</v>
      </c>
      <c r="I661" s="1" t="s">
        <v>8</v>
      </c>
      <c r="J661" s="1" t="str">
        <f>"37/37"</f>
        <v>37/37</v>
      </c>
      <c r="K661" s="1" t="str">
        <f>"2026-07-29 13:18:03"</f>
        <v>2026-07-29 13:18:03</v>
      </c>
      <c r="L661" s="1" t="str">
        <f>"2019-11-11 11:26:57"</f>
        <v>2019-11-11 11:26:57</v>
      </c>
      <c r="M661" s="1" t="s">
        <v>1</v>
      </c>
      <c r="N661" s="1" t="s">
        <v>38</v>
      </c>
      <c r="O661" s="1" t="s">
        <v>46</v>
      </c>
    </row>
    <row r="662" spans="2:15" x14ac:dyDescent="0.3">
      <c r="B662" s="1" t="s">
        <v>24</v>
      </c>
      <c r="C662" s="1" t="str">
        <f t="shared" si="34"/>
        <v>4차</v>
      </c>
      <c r="D662" s="1" t="str">
        <f>"0228Z62139"</f>
        <v>0228Z62139</v>
      </c>
      <c r="E662" s="1" t="s">
        <v>10</v>
      </c>
      <c r="F662" s="1" t="str">
        <f>"10.12.132.204"</f>
        <v>10.12.132.204</v>
      </c>
      <c r="G662" s="1" t="str">
        <f>"0228Z621"</f>
        <v>0228Z621</v>
      </c>
      <c r="H662" s="1" t="str">
        <f>"외대간 32L11R4"</f>
        <v>외대간 32L11R4</v>
      </c>
      <c r="I662" s="1" t="s">
        <v>8</v>
      </c>
      <c r="J662" s="1" t="str">
        <f>"175/177"</f>
        <v>175/177</v>
      </c>
      <c r="K662" s="1" t="str">
        <f>"2026-07-29 13:18:03"</f>
        <v>2026-07-29 13:18:03</v>
      </c>
      <c r="L662" s="1" t="str">
        <f>"2018-09-27 11:31:11"</f>
        <v>2018-09-27 11:31:11</v>
      </c>
      <c r="M662" s="1" t="s">
        <v>0</v>
      </c>
      <c r="N662" s="1" t="s">
        <v>38</v>
      </c>
      <c r="O662" s="1" t="s">
        <v>46</v>
      </c>
    </row>
    <row r="663" spans="2:15" x14ac:dyDescent="0.3">
      <c r="B663" s="1" t="s">
        <v>24</v>
      </c>
      <c r="C663" s="1" t="str">
        <f t="shared" si="34"/>
        <v>4차</v>
      </c>
      <c r="D663" s="1" t="str">
        <f>"0228Z63239"</f>
        <v>0228Z63239</v>
      </c>
      <c r="E663" s="1" t="s">
        <v>10</v>
      </c>
      <c r="F663" s="1" t="str">
        <f>"10.12.130.160"</f>
        <v>10.12.130.160</v>
      </c>
      <c r="G663" s="1" t="str">
        <f>"0228Z632"</f>
        <v>0228Z632</v>
      </c>
      <c r="H663" s="1" t="str">
        <f>"외대간 32L9R2L6"</f>
        <v>외대간 32L9R2L6</v>
      </c>
      <c r="I663" s="1" t="s">
        <v>8</v>
      </c>
      <c r="J663" s="1" t="str">
        <f>"183/203"</f>
        <v>183/203</v>
      </c>
      <c r="K663" s="1" t="str">
        <f>"2026-07-29 07:18:02"</f>
        <v>2026-07-29 07:18:02</v>
      </c>
      <c r="L663" s="1" t="str">
        <f>"2018-09-27 10:38:55"</f>
        <v>2018-09-27 10:38:55</v>
      </c>
      <c r="M663" s="1" t="s">
        <v>0</v>
      </c>
      <c r="N663" s="1" t="s">
        <v>38</v>
      </c>
      <c r="O663" s="1" t="s">
        <v>46</v>
      </c>
    </row>
    <row r="664" spans="2:15" x14ac:dyDescent="0.3">
      <c r="B664" s="1" t="s">
        <v>24</v>
      </c>
      <c r="C664" s="1" t="str">
        <f t="shared" si="34"/>
        <v>4차</v>
      </c>
      <c r="D664" s="1" t="str">
        <f>"0228Z64244"</f>
        <v>0228Z64244</v>
      </c>
      <c r="E664" s="1" t="s">
        <v>10</v>
      </c>
      <c r="F664" s="1" t="str">
        <f>"10.10.51.186"</f>
        <v>10.10.51.186</v>
      </c>
      <c r="G664" s="1" t="str">
        <f>"0228Z642"</f>
        <v>0228Z642</v>
      </c>
      <c r="H664" s="1" t="str">
        <f>"외대간 32L9R2L7R1"</f>
        <v>외대간 32L9R2L7R1</v>
      </c>
      <c r="I664" s="1" t="s">
        <v>8</v>
      </c>
      <c r="J664" s="1" t="str">
        <f>"59/59"</f>
        <v>59/59</v>
      </c>
      <c r="K664" s="1" t="str">
        <f>"2026-07-29 13:18:03"</f>
        <v>2026-07-29 13:18:03</v>
      </c>
      <c r="L664" s="1" t="str">
        <f>"2019-11-11 11:18:12"</f>
        <v>2019-11-11 11:18:12</v>
      </c>
      <c r="M664" s="1" t="s">
        <v>1</v>
      </c>
      <c r="N664" s="1" t="s">
        <v>38</v>
      </c>
      <c r="O664" s="1" t="s">
        <v>46</v>
      </c>
    </row>
    <row r="665" spans="2:15" x14ac:dyDescent="0.3">
      <c r="B665" s="1" t="s">
        <v>24</v>
      </c>
      <c r="C665" s="1" t="str">
        <f t="shared" si="34"/>
        <v>4차</v>
      </c>
      <c r="D665" s="1" t="str">
        <f>"0228Z72139"</f>
        <v>0228Z72139</v>
      </c>
      <c r="E665" s="1" t="s">
        <v>10</v>
      </c>
      <c r="F665" s="1" t="str">
        <f>"10.12.130.167"</f>
        <v>10.12.130.167</v>
      </c>
      <c r="G665" s="1" t="str">
        <f>"0228Z721"</f>
        <v>0228Z721</v>
      </c>
      <c r="H665" s="1" t="str">
        <f>"외대간 32L11R3"</f>
        <v>외대간 32L11R3</v>
      </c>
      <c r="I665" s="1" t="s">
        <v>8</v>
      </c>
      <c r="J665" s="1" t="str">
        <f>"118/118"</f>
        <v>118/118</v>
      </c>
      <c r="K665" s="1" t="str">
        <f>"2026-07-29 13:18:01"</f>
        <v>2026-07-29 13:18:01</v>
      </c>
      <c r="L665" s="1" t="str">
        <f>"2019-01-10 08:40:53"</f>
        <v>2019-01-10 08:40:53</v>
      </c>
      <c r="M665" s="1" t="s">
        <v>0</v>
      </c>
      <c r="N665" s="1" t="s">
        <v>38</v>
      </c>
      <c r="O665" s="1" t="s">
        <v>46</v>
      </c>
    </row>
    <row r="666" spans="2:15" x14ac:dyDescent="0.3">
      <c r="B666" s="1" t="s">
        <v>24</v>
      </c>
      <c r="C666" s="1" t="str">
        <f t="shared" si="34"/>
        <v>4차</v>
      </c>
      <c r="D666" s="1" t="str">
        <f>"0228Z73244"</f>
        <v>0228Z73244</v>
      </c>
      <c r="E666" s="1" t="s">
        <v>10</v>
      </c>
      <c r="F666" s="1" t="str">
        <f>"10.10.51.250"</f>
        <v>10.10.51.250</v>
      </c>
      <c r="G666" s="1" t="str">
        <f>"0228Z732"</f>
        <v>0228Z732</v>
      </c>
      <c r="H666" s="1" t="str">
        <f>"외대간 32L9R2L5"</f>
        <v>외대간 32L9R2L5</v>
      </c>
      <c r="I666" s="1" t="s">
        <v>8</v>
      </c>
      <c r="J666" s="1" t="str">
        <f>"99/99"</f>
        <v>99/99</v>
      </c>
      <c r="K666" s="1" t="str">
        <f>"2026-07-29 13:18:03"</f>
        <v>2026-07-29 13:18:03</v>
      </c>
      <c r="L666" s="1" t="str">
        <f>"2019-11-11 11:23:04"</f>
        <v>2019-11-11 11:23:04</v>
      </c>
      <c r="M666" s="1" t="s">
        <v>1</v>
      </c>
      <c r="N666" s="1" t="s">
        <v>38</v>
      </c>
      <c r="O666" s="1" t="s">
        <v>46</v>
      </c>
    </row>
    <row r="667" spans="2:15" x14ac:dyDescent="0.3">
      <c r="B667" s="1" t="s">
        <v>24</v>
      </c>
      <c r="C667" s="1" t="str">
        <f t="shared" si="34"/>
        <v>4차</v>
      </c>
      <c r="D667" s="1" t="str">
        <f>"0228Z73344"</f>
        <v>0228Z73344</v>
      </c>
      <c r="E667" s="1" t="s">
        <v>10</v>
      </c>
      <c r="F667" s="1" t="str">
        <f>"10.10.51.234"</f>
        <v>10.10.51.234</v>
      </c>
      <c r="G667" s="1" t="str">
        <f>"0228Z733"</f>
        <v>0228Z733</v>
      </c>
      <c r="H667" s="1" t="str">
        <f>"외대간 32L9R2L5L1"</f>
        <v>외대간 32L9R2L5L1</v>
      </c>
      <c r="I667" s="1" t="s">
        <v>8</v>
      </c>
      <c r="J667" s="1" t="str">
        <f>"39/39"</f>
        <v>39/39</v>
      </c>
      <c r="K667" s="1" t="str">
        <f>"2026-07-29 13:18:03"</f>
        <v>2026-07-29 13:18:03</v>
      </c>
      <c r="L667" s="1" t="str">
        <f>"2019-11-11 11:17:57"</f>
        <v>2019-11-11 11:17:57</v>
      </c>
      <c r="M667" s="1" t="s">
        <v>1</v>
      </c>
      <c r="N667" s="1" t="s">
        <v>38</v>
      </c>
      <c r="O667" s="1" t="s">
        <v>46</v>
      </c>
    </row>
    <row r="668" spans="2:15" x14ac:dyDescent="0.3">
      <c r="B668" s="1" t="s">
        <v>24</v>
      </c>
      <c r="C668" s="1" t="str">
        <f t="shared" si="34"/>
        <v>4차</v>
      </c>
      <c r="D668" s="1" t="str">
        <f>"0228Z81144"</f>
        <v>0228Z81144</v>
      </c>
      <c r="E668" s="1" t="s">
        <v>10</v>
      </c>
      <c r="F668" s="1" t="str">
        <f>"10.10.47.194"</f>
        <v>10.10.47.194</v>
      </c>
      <c r="G668" s="1" t="str">
        <f>"0228Z811"</f>
        <v>0228Z811</v>
      </c>
      <c r="H668" s="1" t="str">
        <f>"외대간 32L11R2L1"</f>
        <v>외대간 32L11R2L1</v>
      </c>
      <c r="I668" s="1" t="s">
        <v>8</v>
      </c>
      <c r="J668" s="1" t="str">
        <f>"65/65"</f>
        <v>65/65</v>
      </c>
      <c r="K668" s="1" t="str">
        <f>"2026-07-29 13:18:03"</f>
        <v>2026-07-29 13:18:03</v>
      </c>
      <c r="L668" s="1" t="str">
        <f>"2019-11-11 10:59:07"</f>
        <v>2019-11-11 10:59:07</v>
      </c>
      <c r="M668" s="1" t="s">
        <v>1</v>
      </c>
      <c r="N668" s="1" t="s">
        <v>38</v>
      </c>
      <c r="O668" s="1" t="s">
        <v>46</v>
      </c>
    </row>
    <row r="669" spans="2:15" x14ac:dyDescent="0.3">
      <c r="B669" s="1" t="s">
        <v>24</v>
      </c>
      <c r="C669" s="1" t="str">
        <f t="shared" si="34"/>
        <v>4차</v>
      </c>
      <c r="D669" s="1" t="str">
        <f>"0228Z82244"</f>
        <v>0228Z82244</v>
      </c>
      <c r="E669" s="1" t="s">
        <v>10</v>
      </c>
      <c r="F669" s="1" t="str">
        <f>"10.10.43.74"</f>
        <v>10.10.43.74</v>
      </c>
      <c r="G669" s="1" t="str">
        <f>"0228Z822"</f>
        <v>0228Z822</v>
      </c>
      <c r="H669" s="1" t="str">
        <f>"외대간 32L11R2"</f>
        <v>외대간 32L11R2</v>
      </c>
      <c r="I669" s="1" t="s">
        <v>8</v>
      </c>
      <c r="J669" s="1" t="str">
        <f>"24/24"</f>
        <v>24/24</v>
      </c>
      <c r="K669" s="1" t="str">
        <f>"2026-07-29 13:18:03"</f>
        <v>2026-07-29 13:18:03</v>
      </c>
      <c r="L669" s="1" t="str">
        <f>"2019-11-11 10:58:04"</f>
        <v>2019-11-11 10:58:04</v>
      </c>
      <c r="M669" s="1" t="s">
        <v>1</v>
      </c>
      <c r="N669" s="1" t="s">
        <v>38</v>
      </c>
      <c r="O669" s="1" t="s">
        <v>46</v>
      </c>
    </row>
    <row r="670" spans="2:15" x14ac:dyDescent="0.3">
      <c r="B670" s="1" t="s">
        <v>24</v>
      </c>
      <c r="C670" s="1" t="str">
        <f>"3차"</f>
        <v>3차</v>
      </c>
      <c r="D670" s="1" t="str">
        <f>"0228Z83239"</f>
        <v>0228Z83239</v>
      </c>
      <c r="E670" s="1" t="s">
        <v>10</v>
      </c>
      <c r="F670" s="1" t="str">
        <f>"10.12.130.159"</f>
        <v>10.12.130.159</v>
      </c>
      <c r="G670" s="1" t="str">
        <f>"0228Z832"</f>
        <v>0228Z832</v>
      </c>
      <c r="H670" s="1" t="str">
        <f>"외대간 32L11R2R1"</f>
        <v>외대간 32L11R2R1</v>
      </c>
      <c r="I670" s="1" t="s">
        <v>8</v>
      </c>
      <c r="J670" s="1" t="str">
        <f>"102/102"</f>
        <v>102/102</v>
      </c>
      <c r="K670" s="1" t="str">
        <f>"2026-07-29 07:18:02"</f>
        <v>2026-07-29 07:18:02</v>
      </c>
      <c r="L670" s="1" t="str">
        <f>"2019-01-10 08:33:03"</f>
        <v>2019-01-10 08:33:03</v>
      </c>
      <c r="M670" s="1" t="s">
        <v>0</v>
      </c>
      <c r="N670" s="1" t="s">
        <v>38</v>
      </c>
      <c r="O670" s="1" t="s">
        <v>46</v>
      </c>
    </row>
    <row r="671" spans="2:15" x14ac:dyDescent="0.3">
      <c r="B671" s="1" t="s">
        <v>24</v>
      </c>
      <c r="C671" s="1" t="str">
        <f t="shared" ref="C671:C677" si="35">"4차"</f>
        <v>4차</v>
      </c>
      <c r="D671" s="1" t="str">
        <f>"0228Z83344"</f>
        <v>0228Z83344</v>
      </c>
      <c r="E671" s="1" t="s">
        <v>10</v>
      </c>
      <c r="F671" s="1" t="str">
        <f>"10.10.51.178"</f>
        <v>10.10.51.178</v>
      </c>
      <c r="G671" s="1" t="str">
        <f>"0228Z833"</f>
        <v>0228Z833</v>
      </c>
      <c r="H671" s="1" t="str">
        <f>"외대간 32L9R2L3"</f>
        <v>외대간 32L9R2L3</v>
      </c>
      <c r="I671" s="1" t="s">
        <v>8</v>
      </c>
      <c r="J671" s="1" t="str">
        <f>"81/81"</f>
        <v>81/81</v>
      </c>
      <c r="K671" s="1" t="str">
        <f>"2026-07-29 13:18:03"</f>
        <v>2026-07-29 13:18:03</v>
      </c>
      <c r="L671" s="1" t="str">
        <f>"2019-11-11 11:07:56"</f>
        <v>2019-11-11 11:07:56</v>
      </c>
      <c r="M671" s="1" t="s">
        <v>1</v>
      </c>
      <c r="N671" s="1" t="s">
        <v>38</v>
      </c>
      <c r="O671" s="1" t="s">
        <v>46</v>
      </c>
    </row>
    <row r="672" spans="2:15" x14ac:dyDescent="0.3">
      <c r="B672" s="1" t="s">
        <v>24</v>
      </c>
      <c r="C672" s="1" t="str">
        <f t="shared" si="35"/>
        <v>4차</v>
      </c>
      <c r="D672" s="1" t="str">
        <f>"0228Z90144"</f>
        <v>0228Z90144</v>
      </c>
      <c r="E672" s="1" t="s">
        <v>10</v>
      </c>
      <c r="F672" s="1" t="str">
        <f>"10.10.47.170"</f>
        <v>10.10.47.170</v>
      </c>
      <c r="G672" s="1" t="str">
        <f>"0228Z901"</f>
        <v>0228Z901</v>
      </c>
      <c r="H672" s="1" t="str">
        <f>"외대간 32L13"</f>
        <v>외대간 32L13</v>
      </c>
      <c r="I672" s="1" t="s">
        <v>8</v>
      </c>
      <c r="J672" s="1" t="str">
        <f>"46/46"</f>
        <v>46/46</v>
      </c>
      <c r="K672" s="1" t="str">
        <f>"2026-07-29 13:18:03"</f>
        <v>2026-07-29 13:18:03</v>
      </c>
      <c r="L672" s="1" t="str">
        <f>"2024-08-22 14:42:50"</f>
        <v>2024-08-22 14:42:50</v>
      </c>
      <c r="M672" s="1" t="s">
        <v>1</v>
      </c>
      <c r="N672" s="1" t="s">
        <v>38</v>
      </c>
      <c r="O672" s="1" t="s">
        <v>46</v>
      </c>
    </row>
    <row r="673" spans="2:15" x14ac:dyDescent="0.3">
      <c r="B673" s="1" t="s">
        <v>24</v>
      </c>
      <c r="C673" s="1" t="str">
        <f t="shared" si="35"/>
        <v>4차</v>
      </c>
      <c r="D673" s="1" t="str">
        <f>"0228Z91244"</f>
        <v>0228Z91244</v>
      </c>
      <c r="E673" s="1" t="s">
        <v>10</v>
      </c>
      <c r="F673" s="1" t="str">
        <f>"10.10.47.178"</f>
        <v>10.10.47.178</v>
      </c>
      <c r="G673" s="1" t="str">
        <f>"0228Z912"</f>
        <v>0228Z912</v>
      </c>
      <c r="H673" s="1" t="str">
        <f>"외대간 32L12"</f>
        <v>외대간 32L12</v>
      </c>
      <c r="I673" s="1" t="s">
        <v>8</v>
      </c>
      <c r="J673" s="1" t="str">
        <f>"31/31"</f>
        <v>31/31</v>
      </c>
      <c r="K673" s="1" t="str">
        <f>"2026-07-29 13:18:03"</f>
        <v>2026-07-29 13:18:03</v>
      </c>
      <c r="L673" s="1" t="str">
        <f>"2019-11-11 11:13:03"</f>
        <v>2019-11-11 11:13:03</v>
      </c>
      <c r="M673" s="1" t="s">
        <v>1</v>
      </c>
      <c r="N673" s="1" t="s">
        <v>38</v>
      </c>
      <c r="O673" s="1" t="s">
        <v>46</v>
      </c>
    </row>
    <row r="674" spans="2:15" x14ac:dyDescent="0.3">
      <c r="B674" s="1" t="s">
        <v>24</v>
      </c>
      <c r="C674" s="1" t="str">
        <f t="shared" si="35"/>
        <v>4차</v>
      </c>
      <c r="D674" s="1" t="str">
        <f>"0228Z92244"</f>
        <v>0228Z92244</v>
      </c>
      <c r="E674" s="1" t="s">
        <v>10</v>
      </c>
      <c r="F674" s="1" t="str">
        <f>"10.10.46.90"</f>
        <v>10.10.46.90</v>
      </c>
      <c r="G674" s="1" t="str">
        <f>"0228Z922"</f>
        <v>0228Z922</v>
      </c>
      <c r="H674" s="1" t="str">
        <f>"외대간 32L11"</f>
        <v>외대간 32L11</v>
      </c>
      <c r="I674" s="1" t="s">
        <v>8</v>
      </c>
      <c r="J674" s="1" t="str">
        <f>"90/90"</f>
        <v>90/90</v>
      </c>
      <c r="K674" s="1" t="str">
        <f>"2026-07-29 13:18:01"</f>
        <v>2026-07-29 13:18:01</v>
      </c>
      <c r="L674" s="1" t="str">
        <f>"2022-05-24 08:47:54"</f>
        <v>2022-05-24 08:47:54</v>
      </c>
      <c r="M674" s="1" t="s">
        <v>1</v>
      </c>
      <c r="N674" s="1" t="s">
        <v>38</v>
      </c>
      <c r="O674" s="1" t="s">
        <v>46</v>
      </c>
    </row>
    <row r="675" spans="2:15" x14ac:dyDescent="0.3">
      <c r="B675" s="1" t="s">
        <v>24</v>
      </c>
      <c r="C675" s="1" t="str">
        <f t="shared" si="35"/>
        <v>4차</v>
      </c>
      <c r="D675" s="1" t="str">
        <f>"0228Z93144"</f>
        <v>0228Z93144</v>
      </c>
      <c r="E675" s="1" t="s">
        <v>10</v>
      </c>
      <c r="F675" s="1" t="str">
        <f>"10.10.52.2"</f>
        <v>10.10.52.2</v>
      </c>
      <c r="G675" s="1" t="str">
        <f>"0228Z931"</f>
        <v>0228Z931</v>
      </c>
      <c r="H675" s="1" t="str">
        <f>"외대간 32L9R2L2L1"</f>
        <v>외대간 32L9R2L2L1</v>
      </c>
      <c r="I675" s="1" t="s">
        <v>8</v>
      </c>
      <c r="J675" s="1" t="str">
        <f>"18/18"</f>
        <v>18/18</v>
      </c>
      <c r="K675" s="1" t="str">
        <f>"2026-07-29 13:18:01"</f>
        <v>2026-07-29 13:18:01</v>
      </c>
      <c r="L675" s="1" t="str">
        <f>"2019-11-11 11:13:03"</f>
        <v>2019-11-11 11:13:03</v>
      </c>
      <c r="M675" s="1" t="s">
        <v>1</v>
      </c>
      <c r="N675" s="1" t="s">
        <v>38</v>
      </c>
      <c r="O675" s="1" t="s">
        <v>46</v>
      </c>
    </row>
    <row r="676" spans="2:15" x14ac:dyDescent="0.3">
      <c r="B676" s="1" t="s">
        <v>24</v>
      </c>
      <c r="C676" s="1" t="str">
        <f t="shared" si="35"/>
        <v>4차</v>
      </c>
      <c r="D676" s="1" t="str">
        <f>"0228Z94144"</f>
        <v>0228Z94144</v>
      </c>
      <c r="E676" s="1" t="s">
        <v>10</v>
      </c>
      <c r="F676" s="1" t="str">
        <f>"10.10.51.242"</f>
        <v>10.10.51.242</v>
      </c>
      <c r="G676" s="1" t="str">
        <f>"0228Z941"</f>
        <v>0228Z941</v>
      </c>
      <c r="H676" s="1" t="str">
        <f>"외대간 32L9R2L2"</f>
        <v>외대간 32L9R2L2</v>
      </c>
      <c r="I676" s="1" t="s">
        <v>8</v>
      </c>
      <c r="J676" s="1" t="str">
        <f>"107/108"</f>
        <v>107/108</v>
      </c>
      <c r="K676" s="1" t="str">
        <f>"2026-07-29 13:18:01"</f>
        <v>2026-07-29 13:18:01</v>
      </c>
      <c r="L676" s="1" t="str">
        <f>"2020-01-10 17:00:28"</f>
        <v>2020-01-10 17:00:28</v>
      </c>
      <c r="M676" s="1" t="s">
        <v>1</v>
      </c>
      <c r="N676" s="1" t="s">
        <v>38</v>
      </c>
      <c r="O676" s="1" t="s">
        <v>46</v>
      </c>
    </row>
    <row r="677" spans="2:15" x14ac:dyDescent="0.3">
      <c r="B677" s="1" t="s">
        <v>24</v>
      </c>
      <c r="C677" s="1" t="str">
        <f t="shared" si="35"/>
        <v>4차</v>
      </c>
      <c r="D677" s="1" t="str">
        <f>"0325B89439"</f>
        <v>0325B89439</v>
      </c>
      <c r="E677" s="1" t="s">
        <v>14</v>
      </c>
      <c r="F677" s="1" t="str">
        <f>"10.12.134.234"</f>
        <v>10.12.134.234</v>
      </c>
      <c r="G677" s="1" t="str">
        <f>"0325B894"</f>
        <v>0325B894</v>
      </c>
      <c r="H677" s="1" t="str">
        <f>"천호로 2"</f>
        <v>천호로 2</v>
      </c>
      <c r="I677" s="1" t="s">
        <v>17</v>
      </c>
      <c r="J677" s="1" t="str">
        <f>"0/0"</f>
        <v>0/0</v>
      </c>
      <c r="K677" s="1" t="str">
        <f>"2026-06-10 01:18:02"</f>
        <v>2026-06-10 01:18:02</v>
      </c>
      <c r="L677" s="1" t="str">
        <f>"2021-08-02 10:46:28"</f>
        <v>2021-08-02 10:46:28</v>
      </c>
      <c r="M677" s="1" t="s">
        <v>0</v>
      </c>
      <c r="N677" s="1" t="s">
        <v>39</v>
      </c>
      <c r="O677" s="1" t="s">
        <v>46</v>
      </c>
    </row>
    <row r="678" spans="2:15" x14ac:dyDescent="0.3">
      <c r="B678" s="1" t="s">
        <v>24</v>
      </c>
      <c r="C678" s="1" t="str">
        <f t="shared" ref="C678:C687" si="36">"5-2차"</f>
        <v>5-2차</v>
      </c>
      <c r="D678" s="1" t="str">
        <f>"0326A0325M"</f>
        <v>0326A0325M</v>
      </c>
      <c r="E678" s="1" t="s">
        <v>10</v>
      </c>
      <c r="F678" s="1" t="str">
        <f>"fde1:103:4:5a42:0:0:0:2"</f>
        <v>fde1:103:4:5a42:0:0:0:2</v>
      </c>
      <c r="G678" s="1" t="str">
        <f>"0326A032"</f>
        <v>0326A032</v>
      </c>
      <c r="H678" s="1" t="str">
        <f>"황물간 46"</f>
        <v>황물간 46</v>
      </c>
      <c r="I678" s="1" t="s">
        <v>15</v>
      </c>
      <c r="J678" s="1" t="str">
        <f>"41/41"</f>
        <v>41/41</v>
      </c>
      <c r="K678" s="1" t="str">
        <f>"2026-07-29 14:20:16"</f>
        <v>2026-07-29 14:20:16</v>
      </c>
      <c r="L678" s="1" t="str">
        <f>"2023-09-14 13:14:26"</f>
        <v>2023-09-14 13:14:26</v>
      </c>
      <c r="M678" s="1" t="s">
        <v>4</v>
      </c>
      <c r="N678" s="1" t="s">
        <v>38</v>
      </c>
      <c r="O678" s="1" t="s">
        <v>46</v>
      </c>
    </row>
    <row r="679" spans="2:15" x14ac:dyDescent="0.3">
      <c r="B679" s="1" t="s">
        <v>24</v>
      </c>
      <c r="C679" s="1" t="str">
        <f t="shared" si="36"/>
        <v>5-2차</v>
      </c>
      <c r="D679" s="1" t="str">
        <f>"0326A0425M"</f>
        <v>0326A0425M</v>
      </c>
      <c r="E679" s="1" t="s">
        <v>10</v>
      </c>
      <c r="F679" s="1" t="str">
        <f>"fde1:103:4:5a23:0:0:0:2"</f>
        <v>fde1:103:4:5a23:0:0:0:2</v>
      </c>
      <c r="G679" s="1" t="str">
        <f>"0326A042"</f>
        <v>0326A042</v>
      </c>
      <c r="H679" s="1" t="str">
        <f>"황물간 44"</f>
        <v>황물간 44</v>
      </c>
      <c r="I679" s="1" t="s">
        <v>15</v>
      </c>
      <c r="J679" s="1" t="str">
        <f>"42/42"</f>
        <v>42/42</v>
      </c>
      <c r="K679" s="1" t="str">
        <f>"2026-07-29 14:20:16"</f>
        <v>2026-07-29 14:20:16</v>
      </c>
      <c r="L679" s="1" t="str">
        <f>"2023-09-14 13:16:25"</f>
        <v>2023-09-14 13:16:25</v>
      </c>
      <c r="M679" s="1" t="s">
        <v>4</v>
      </c>
      <c r="N679" s="1" t="s">
        <v>38</v>
      </c>
      <c r="O679" s="1" t="s">
        <v>46</v>
      </c>
    </row>
    <row r="680" spans="2:15" x14ac:dyDescent="0.3">
      <c r="B680" s="1" t="s">
        <v>24</v>
      </c>
      <c r="C680" s="1" t="str">
        <f t="shared" si="36"/>
        <v>5-2차</v>
      </c>
      <c r="D680" s="1" t="str">
        <f>"0326A1315M"</f>
        <v>0326A1315M</v>
      </c>
      <c r="E680" s="1" t="s">
        <v>10</v>
      </c>
      <c r="F680" s="1" t="str">
        <f>"fde1:103:4:59f8:0:0:0:2"</f>
        <v>fde1:103:4:59f8:0:0:0:2</v>
      </c>
      <c r="G680" s="1" t="str">
        <f>"0326A131"</f>
        <v>0326A131</v>
      </c>
      <c r="H680" s="1" t="str">
        <f>"전우간 46R1"</f>
        <v>전우간 46R1</v>
      </c>
      <c r="I680" s="1" t="s">
        <v>15</v>
      </c>
      <c r="J680" s="1" t="str">
        <f>"49/49"</f>
        <v>49/49</v>
      </c>
      <c r="K680" s="1" t="str">
        <f>"2026-07-28 20:20:45"</f>
        <v>2026-07-28 20:20:45</v>
      </c>
      <c r="L680" s="1" t="str">
        <f>"2023-09-14 13:18:26"</f>
        <v>2023-09-14 13:18:26</v>
      </c>
      <c r="M680" s="1" t="s">
        <v>4</v>
      </c>
      <c r="N680" s="1" t="s">
        <v>38</v>
      </c>
      <c r="O680" s="1" t="s">
        <v>46</v>
      </c>
    </row>
    <row r="681" spans="2:15" x14ac:dyDescent="0.3">
      <c r="B681" s="1" t="s">
        <v>24</v>
      </c>
      <c r="C681" s="1" t="str">
        <f t="shared" si="36"/>
        <v>5-2차</v>
      </c>
      <c r="D681" s="1" t="str">
        <f>"0326A1715M"</f>
        <v>0326A1715M</v>
      </c>
      <c r="E681" s="1" t="s">
        <v>10</v>
      </c>
      <c r="F681" s="1" t="str">
        <f>"fde1:103:4:5a37:0:0:0:2"</f>
        <v>fde1:103:4:5a37:0:0:0:2</v>
      </c>
      <c r="G681" s="1" t="str">
        <f>"0326A171"</f>
        <v>0326A171</v>
      </c>
      <c r="H681" s="1" t="str">
        <f>"전농간 20L4"</f>
        <v>전농간 20L4</v>
      </c>
      <c r="I681" s="1" t="s">
        <v>15</v>
      </c>
      <c r="J681" s="1" t="str">
        <f>"52/53"</f>
        <v>52/53</v>
      </c>
      <c r="K681" s="1" t="str">
        <f>"2026-07-29 14:20:18"</f>
        <v>2026-07-29 14:20:18</v>
      </c>
      <c r="L681" s="1" t="str">
        <f>"2023-09-14 13:36:57"</f>
        <v>2023-09-14 13:36:57</v>
      </c>
      <c r="M681" s="1" t="s">
        <v>4</v>
      </c>
      <c r="N681" s="1" t="s">
        <v>38</v>
      </c>
      <c r="O681" s="1" t="s">
        <v>46</v>
      </c>
    </row>
    <row r="682" spans="2:15" x14ac:dyDescent="0.3">
      <c r="B682" s="1" t="s">
        <v>24</v>
      </c>
      <c r="C682" s="1" t="str">
        <f t="shared" si="36"/>
        <v>5-2차</v>
      </c>
      <c r="D682" s="1" t="str">
        <f>"0326A1735M"</f>
        <v>0326A1735M</v>
      </c>
      <c r="E682" s="1" t="s">
        <v>10</v>
      </c>
      <c r="F682" s="1" t="str">
        <f>"fde1:103:4:5a1a:0:0:0:2"</f>
        <v>fde1:103:4:5a1a:0:0:0:2</v>
      </c>
      <c r="G682" s="1" t="str">
        <f>"0326A173"</f>
        <v>0326A173</v>
      </c>
      <c r="H682" s="1" t="str">
        <f>"전농간 20L3"</f>
        <v>전농간 20L3</v>
      </c>
      <c r="I682" s="1" t="s">
        <v>15</v>
      </c>
      <c r="J682" s="1" t="str">
        <f>"23/23"</f>
        <v>23/23</v>
      </c>
      <c r="K682" s="1" t="str">
        <f>"2026-07-29 14:20:16"</f>
        <v>2026-07-29 14:20:16</v>
      </c>
      <c r="L682" s="1" t="str">
        <f>"2023-09-14 13:37:55"</f>
        <v>2023-09-14 13:37:55</v>
      </c>
      <c r="M682" s="1" t="s">
        <v>4</v>
      </c>
      <c r="N682" s="1" t="s">
        <v>38</v>
      </c>
      <c r="O682" s="1" t="s">
        <v>46</v>
      </c>
    </row>
    <row r="683" spans="2:15" x14ac:dyDescent="0.3">
      <c r="B683" s="1" t="s">
        <v>24</v>
      </c>
      <c r="C683" s="1" t="str">
        <f t="shared" si="36"/>
        <v>5-2차</v>
      </c>
      <c r="D683" s="1" t="str">
        <f>"0326A1925M"</f>
        <v>0326A1925M</v>
      </c>
      <c r="E683" s="1" t="s">
        <v>10</v>
      </c>
      <c r="F683" s="1" t="str">
        <f>"fde1:103:4:5a0f:0:0:0:2"</f>
        <v>fde1:103:4:5a0f:0:0:0:2</v>
      </c>
      <c r="G683" s="1" t="str">
        <f>"0326A192"</f>
        <v>0326A192</v>
      </c>
      <c r="H683" s="1" t="str">
        <f>"전농간 20L3L4"</f>
        <v>전농간 20L3L4</v>
      </c>
      <c r="I683" s="1" t="s">
        <v>15</v>
      </c>
      <c r="J683" s="1" t="str">
        <f>"44/44"</f>
        <v>44/44</v>
      </c>
      <c r="K683" s="1" t="str">
        <f>"2026-07-29 14:20:17"</f>
        <v>2026-07-29 14:20:17</v>
      </c>
      <c r="L683" s="1" t="str">
        <f>"2023-09-14 13:38:59"</f>
        <v>2023-09-14 13:38:59</v>
      </c>
      <c r="M683" s="1" t="s">
        <v>4</v>
      </c>
      <c r="N683" s="1" t="s">
        <v>38</v>
      </c>
      <c r="O683" s="1" t="s">
        <v>46</v>
      </c>
    </row>
    <row r="684" spans="2:15" x14ac:dyDescent="0.3">
      <c r="B684" s="1" t="s">
        <v>24</v>
      </c>
      <c r="C684" s="1" t="str">
        <f t="shared" si="36"/>
        <v>5-2차</v>
      </c>
      <c r="D684" s="1" t="str">
        <f>"0326A2715M"</f>
        <v>0326A2715M</v>
      </c>
      <c r="E684" s="1" t="s">
        <v>10</v>
      </c>
      <c r="F684" s="1" t="str">
        <f>"fde1:103:4:59de:0:0:0:2"</f>
        <v>fde1:103:4:59de:0:0:0:2</v>
      </c>
      <c r="G684" s="1" t="str">
        <f>"0326A271"</f>
        <v>0326A271</v>
      </c>
      <c r="H684" s="1" t="str">
        <f>"전농간 20L5"</f>
        <v>전농간 20L5</v>
      </c>
      <c r="I684" s="1" t="s">
        <v>15</v>
      </c>
      <c r="J684" s="1" t="str">
        <f>"54/54"</f>
        <v>54/54</v>
      </c>
      <c r="K684" s="1" t="str">
        <f>"2026-07-29 14:20:19"</f>
        <v>2026-07-29 14:20:19</v>
      </c>
      <c r="L684" s="1" t="str">
        <f>"2023-09-14 14:36:53"</f>
        <v>2023-09-14 14:36:53</v>
      </c>
      <c r="M684" s="1" t="s">
        <v>4</v>
      </c>
      <c r="N684" s="1" t="s">
        <v>38</v>
      </c>
      <c r="O684" s="1" t="s">
        <v>46</v>
      </c>
    </row>
    <row r="685" spans="2:15" x14ac:dyDescent="0.3">
      <c r="B685" s="1" t="s">
        <v>24</v>
      </c>
      <c r="C685" s="1" t="str">
        <f t="shared" si="36"/>
        <v>5-2차</v>
      </c>
      <c r="D685" s="1" t="str">
        <f>"0326A2825M"</f>
        <v>0326A2825M</v>
      </c>
      <c r="E685" s="1" t="s">
        <v>10</v>
      </c>
      <c r="F685" s="1" t="str">
        <f>"fde1:103:4:5a22:0:0:0:2"</f>
        <v>fde1:103:4:5a22:0:0:0:2</v>
      </c>
      <c r="G685" s="1" t="str">
        <f>"0326A282"</f>
        <v>0326A282</v>
      </c>
      <c r="H685" s="1" t="str">
        <f>"전농간 20L5L2"</f>
        <v>전농간 20L5L2</v>
      </c>
      <c r="I685" s="1" t="s">
        <v>15</v>
      </c>
      <c r="J685" s="1" t="str">
        <f>"32/32"</f>
        <v>32/32</v>
      </c>
      <c r="K685" s="1" t="str">
        <f>"2026-07-29 14:20:41"</f>
        <v>2026-07-29 14:20:41</v>
      </c>
      <c r="L685" s="1" t="str">
        <f>"2023-09-14 14:01:45"</f>
        <v>2023-09-14 14:01:45</v>
      </c>
      <c r="M685" s="1" t="s">
        <v>4</v>
      </c>
      <c r="N685" s="1" t="s">
        <v>38</v>
      </c>
      <c r="O685" s="1" t="s">
        <v>46</v>
      </c>
    </row>
    <row r="686" spans="2:15" x14ac:dyDescent="0.3">
      <c r="B686" s="1" t="s">
        <v>24</v>
      </c>
      <c r="C686" s="1" t="str">
        <f t="shared" si="36"/>
        <v>5-2차</v>
      </c>
      <c r="D686" s="1" t="str">
        <f>"0326A3985M"</f>
        <v>0326A3985M</v>
      </c>
      <c r="E686" s="1" t="s">
        <v>10</v>
      </c>
      <c r="F686" s="1" t="str">
        <f>"fde1:103:4:5a24:0:0:0:2"</f>
        <v>fde1:103:4:5a24:0:0:0:2</v>
      </c>
      <c r="G686" s="1" t="str">
        <f>"0326A398"</f>
        <v>0326A398</v>
      </c>
      <c r="H686" s="1" t="str">
        <f>"전농간 20L7L4"</f>
        <v>전농간 20L7L4</v>
      </c>
      <c r="I686" s="1" t="s">
        <v>15</v>
      </c>
      <c r="J686" s="1" t="str">
        <f>"60/60"</f>
        <v>60/60</v>
      </c>
      <c r="K686" s="1" t="str">
        <f>"2026-07-29 14:20:17"</f>
        <v>2026-07-29 14:20:17</v>
      </c>
      <c r="L686" s="1" t="str">
        <f>"2023-09-14 14:23:22"</f>
        <v>2023-09-14 14:23:22</v>
      </c>
      <c r="M686" s="1" t="s">
        <v>4</v>
      </c>
      <c r="N686" s="1" t="s">
        <v>38</v>
      </c>
      <c r="O686" s="1" t="s">
        <v>46</v>
      </c>
    </row>
    <row r="687" spans="2:15" x14ac:dyDescent="0.3">
      <c r="B687" s="1" t="s">
        <v>24</v>
      </c>
      <c r="C687" s="1" t="str">
        <f t="shared" si="36"/>
        <v>5-2차</v>
      </c>
      <c r="D687" s="1" t="str">
        <f>"0326B0725M"</f>
        <v>0326B0725M</v>
      </c>
      <c r="E687" s="1" t="s">
        <v>10</v>
      </c>
      <c r="F687" s="1" t="str">
        <f>"fde1:103:4:5a0d:0:0:0:2"</f>
        <v>fde1:103:4:5a0d:0:0:0:2</v>
      </c>
      <c r="G687" s="1" t="str">
        <f>"0326B072"</f>
        <v>0326B072</v>
      </c>
      <c r="H687" s="1" t="str">
        <f>"배봉간 47R14"</f>
        <v>배봉간 47R14</v>
      </c>
      <c r="I687" s="1" t="s">
        <v>15</v>
      </c>
      <c r="J687" s="1" t="str">
        <f>"34/34"</f>
        <v>34/34</v>
      </c>
      <c r="K687" s="1" t="str">
        <f>"2026-07-29 14:20:27"</f>
        <v>2026-07-29 14:20:27</v>
      </c>
      <c r="L687" s="1" t="str">
        <f>"2023-09-14 14:56:47"</f>
        <v>2023-09-14 14:56:47</v>
      </c>
      <c r="M687" s="1" t="s">
        <v>4</v>
      </c>
      <c r="N687" s="1" t="s">
        <v>38</v>
      </c>
      <c r="O687" s="1" t="s">
        <v>46</v>
      </c>
    </row>
    <row r="688" spans="2:15" x14ac:dyDescent="0.3">
      <c r="B688" s="1" t="s">
        <v>24</v>
      </c>
      <c r="C688" s="1" t="str">
        <f>"6차"</f>
        <v>6차</v>
      </c>
      <c r="D688" s="1" t="str">
        <f>"0326B5416S"</f>
        <v>0326B5416S</v>
      </c>
      <c r="E688" s="1" t="s">
        <v>10</v>
      </c>
      <c r="F688" s="1" t="str">
        <f>"fde1:103:4:c6a0:0:0:0:2"</f>
        <v>fde1:103:4:c6a0:0:0:0:2</v>
      </c>
      <c r="G688" s="1" t="str">
        <f>"0326B541"</f>
        <v>0326B541</v>
      </c>
      <c r="H688" s="1" t="str">
        <f>"배봉간 47R5L6"</f>
        <v>배봉간 47R5L6</v>
      </c>
      <c r="I688" s="1" t="s">
        <v>15</v>
      </c>
      <c r="J688" s="1" t="str">
        <f>"40/40"</f>
        <v>40/40</v>
      </c>
      <c r="K688" s="1" t="str">
        <f>"2026-07-29 14:20:17"</f>
        <v>2026-07-29 14:20:17</v>
      </c>
      <c r="L688" s="1" t="str">
        <f>"2024-09-26 19:41:03"</f>
        <v>2024-09-26 19:41:03</v>
      </c>
      <c r="M688" s="1" t="s">
        <v>4</v>
      </c>
      <c r="N688" s="1" t="s">
        <v>38</v>
      </c>
      <c r="O688" s="1" t="s">
        <v>46</v>
      </c>
    </row>
    <row r="689" spans="2:15" x14ac:dyDescent="0.3">
      <c r="B689" s="1" t="s">
        <v>24</v>
      </c>
      <c r="C689" s="1" t="str">
        <f>"6차"</f>
        <v>6차</v>
      </c>
      <c r="D689" s="1" t="str">
        <f>"0326B6626S"</f>
        <v>0326B6626S</v>
      </c>
      <c r="E689" s="1" t="s">
        <v>10</v>
      </c>
      <c r="F689" s="1" t="str">
        <f>"fde1:103:4:c6de:0:0:0:2"</f>
        <v>fde1:103:4:c6de:0:0:0:2</v>
      </c>
      <c r="G689" s="1" t="str">
        <f>"0326B662"</f>
        <v>0326B662</v>
      </c>
      <c r="H689" s="1" t="str">
        <f>"배봉간 47R5L3L1L1"</f>
        <v>배봉간 47R5L3L1L1</v>
      </c>
      <c r="I689" s="1" t="s">
        <v>15</v>
      </c>
      <c r="J689" s="1" t="str">
        <f>"35/35"</f>
        <v>35/35</v>
      </c>
      <c r="K689" s="1" t="str">
        <f>"2026-07-29 14:20:56"</f>
        <v>2026-07-29 14:20:56</v>
      </c>
      <c r="L689" s="1" t="str">
        <f>"2024-11-18 11:05:26"</f>
        <v>2024-11-18 11:05:26</v>
      </c>
      <c r="M689" s="1" t="s">
        <v>4</v>
      </c>
      <c r="N689" s="1" t="s">
        <v>38</v>
      </c>
      <c r="O689" s="1" t="s">
        <v>46</v>
      </c>
    </row>
    <row r="690" spans="2:15" x14ac:dyDescent="0.3">
      <c r="B690" s="1" t="s">
        <v>24</v>
      </c>
      <c r="C690" s="1" t="str">
        <f>"5-1차"</f>
        <v>5-1차</v>
      </c>
      <c r="D690" s="1" t="str">
        <f>"0326B6715M"</f>
        <v>0326B6715M</v>
      </c>
      <c r="E690" s="1" t="str">
        <f>"검침실패(3시간 이상)"</f>
        <v>검침실패(3시간 이상)</v>
      </c>
      <c r="F690" s="1" t="str">
        <f>"fde2:104:0:10a:0:0:0:2"</f>
        <v>fde2:104:0:10a:0:0:0:2</v>
      </c>
      <c r="G690" s="1" t="str">
        <f>"0326B671"</f>
        <v>0326B671</v>
      </c>
      <c r="H690" s="1" t="str">
        <f>"배봉간 47R5L1L1"</f>
        <v>배봉간 47R5L1L1</v>
      </c>
      <c r="I690" s="1" t="s">
        <v>15</v>
      </c>
      <c r="J690" s="1" t="str">
        <f>"0/9"</f>
        <v>0/9</v>
      </c>
      <c r="K690" s="1" t="str">
        <f>"2026-07-29 14:20:18"</f>
        <v>2026-07-29 14:20:18</v>
      </c>
      <c r="L690" s="1" t="str">
        <f>"2022-09-28 14:04:53"</f>
        <v>2022-09-28 14:04:53</v>
      </c>
      <c r="M690" s="1" t="s">
        <v>42</v>
      </c>
      <c r="N690" s="1" t="s">
        <v>38</v>
      </c>
      <c r="O690" s="1" t="s">
        <v>46</v>
      </c>
    </row>
    <row r="691" spans="2:15" x14ac:dyDescent="0.3">
      <c r="B691" s="1" t="s">
        <v>24</v>
      </c>
      <c r="C691" s="1" t="str">
        <f>"5-2차"</f>
        <v>5-2차</v>
      </c>
      <c r="D691" s="1" t="str">
        <f>"0326B6915M"</f>
        <v>0326B6915M</v>
      </c>
      <c r="E691" s="1" t="s">
        <v>10</v>
      </c>
      <c r="F691" s="1" t="str">
        <f>"fde1:103:4:5a06:0:0:0:2"</f>
        <v>fde1:103:4:5a06:0:0:0:2</v>
      </c>
      <c r="G691" s="1" t="str">
        <f>"0326B691"</f>
        <v>0326B691</v>
      </c>
      <c r="H691" s="1" t="str">
        <f>"전농간 47L2"</f>
        <v>전농간 47L2</v>
      </c>
      <c r="I691" s="1" t="s">
        <v>15</v>
      </c>
      <c r="J691" s="1" t="str">
        <f>"48/48"</f>
        <v>48/48</v>
      </c>
      <c r="K691" s="1" t="str">
        <f>"2026-07-29 14:20:17"</f>
        <v>2026-07-29 14:20:17</v>
      </c>
      <c r="L691" s="1" t="str">
        <f>"2023-09-14 14:57:22"</f>
        <v>2023-09-14 14:57:22</v>
      </c>
      <c r="M691" s="1" t="s">
        <v>4</v>
      </c>
      <c r="N691" s="1" t="s">
        <v>38</v>
      </c>
      <c r="O691" s="1" t="s">
        <v>46</v>
      </c>
    </row>
    <row r="692" spans="2:15" x14ac:dyDescent="0.3">
      <c r="B692" s="1" t="s">
        <v>24</v>
      </c>
      <c r="C692" s="1" t="str">
        <f>"5-2차"</f>
        <v>5-2차</v>
      </c>
      <c r="D692" s="1" t="str">
        <f>"0326B7135M"</f>
        <v>0326B7135M</v>
      </c>
      <c r="E692" s="1" t="s">
        <v>10</v>
      </c>
      <c r="F692" s="1" t="str">
        <f>"fde1:103:4:5a18:0:0:0:2"</f>
        <v>fde1:103:4:5a18:0:0:0:2</v>
      </c>
      <c r="G692" s="1" t="str">
        <f>"0326B713"</f>
        <v>0326B713</v>
      </c>
      <c r="H692" s="1" t="str">
        <f>"배봉간 57"</f>
        <v>배봉간 57</v>
      </c>
      <c r="I692" s="1" t="s">
        <v>15</v>
      </c>
      <c r="J692" s="1" t="str">
        <f>"50/50"</f>
        <v>50/50</v>
      </c>
      <c r="K692" s="1" t="str">
        <f>"2026-07-29 14:20:19"</f>
        <v>2026-07-29 14:20:19</v>
      </c>
      <c r="L692" s="1" t="str">
        <f>"2023-09-14 14:58:40"</f>
        <v>2023-09-14 14:58:40</v>
      </c>
      <c r="M692" s="1" t="s">
        <v>4</v>
      </c>
      <c r="N692" s="1" t="s">
        <v>38</v>
      </c>
      <c r="O692" s="1" t="s">
        <v>46</v>
      </c>
    </row>
    <row r="693" spans="2:15" x14ac:dyDescent="0.3">
      <c r="B693" s="1" t="s">
        <v>24</v>
      </c>
      <c r="C693" s="1" t="str">
        <f>"6차"</f>
        <v>6차</v>
      </c>
      <c r="D693" s="1" t="str">
        <f>"0326B7546S"</f>
        <v>0326B7546S</v>
      </c>
      <c r="E693" s="1" t="s">
        <v>10</v>
      </c>
      <c r="F693" s="1" t="str">
        <f>"fde1:103:4:c5e3:0:0:0:2"</f>
        <v>fde1:103:4:c5e3:0:0:0:2</v>
      </c>
      <c r="G693" s="1" t="str">
        <f>"0326B754"</f>
        <v>0326B754</v>
      </c>
      <c r="H693" s="1" t="str">
        <f>"배봉간 51R3"</f>
        <v>배봉간 51R3</v>
      </c>
      <c r="I693" s="1" t="s">
        <v>15</v>
      </c>
      <c r="J693" s="1" t="str">
        <f>"36/36"</f>
        <v>36/36</v>
      </c>
      <c r="K693" s="1" t="str">
        <f>"2026-07-29 14:20:39"</f>
        <v>2026-07-29 14:20:39</v>
      </c>
      <c r="L693" s="1" t="str">
        <f>"2024-11-11 17:07:50"</f>
        <v>2024-11-11 17:07:50</v>
      </c>
      <c r="M693" s="1" t="s">
        <v>4</v>
      </c>
      <c r="N693" s="1" t="s">
        <v>38</v>
      </c>
      <c r="O693" s="1" t="s">
        <v>46</v>
      </c>
    </row>
    <row r="694" spans="2:15" x14ac:dyDescent="0.3">
      <c r="B694" s="1" t="s">
        <v>24</v>
      </c>
      <c r="C694" s="1" t="str">
        <f t="shared" ref="C694:C702" si="37">"5-2차"</f>
        <v>5-2차</v>
      </c>
      <c r="D694" s="1" t="str">
        <f>"0326B8045S"</f>
        <v>0326B8045S</v>
      </c>
      <c r="E694" s="1" t="s">
        <v>10</v>
      </c>
      <c r="F694" s="1" t="str">
        <f>"fde3:102:1430:3200:0:0:0:7"</f>
        <v>fde3:102:1430:3200:0:0:0:7</v>
      </c>
      <c r="G694" s="1" t="str">
        <f>"0326B804"</f>
        <v>0326B804</v>
      </c>
      <c r="H694" s="1" t="str">
        <f>"군안간 61R1"</f>
        <v>군안간 61R1</v>
      </c>
      <c r="I694" s="1" t="s">
        <v>15</v>
      </c>
      <c r="J694" s="1" t="str">
        <f>"85/85"</f>
        <v>85/85</v>
      </c>
      <c r="K694" s="1" t="str">
        <f>"2026-07-29 14:20:17"</f>
        <v>2026-07-29 14:20:17</v>
      </c>
      <c r="L694" s="1" t="str">
        <f>"2023-09-19 13:41:00"</f>
        <v>2023-09-19 13:41:00</v>
      </c>
      <c r="M694" s="1" t="s">
        <v>45</v>
      </c>
      <c r="N694" s="1" t="s">
        <v>38</v>
      </c>
      <c r="O694" s="1" t="s">
        <v>46</v>
      </c>
    </row>
    <row r="695" spans="2:15" x14ac:dyDescent="0.3">
      <c r="B695" s="1" t="s">
        <v>24</v>
      </c>
      <c r="C695" s="1" t="str">
        <f t="shared" si="37"/>
        <v>5-2차</v>
      </c>
      <c r="D695" s="1" t="str">
        <f>"0326B8225M"</f>
        <v>0326B8225M</v>
      </c>
      <c r="E695" s="1" t="s">
        <v>10</v>
      </c>
      <c r="F695" s="1" t="str">
        <f>"fde3:102:1430:3200:0:0:0:b"</f>
        <v>fde3:102:1430:3200:0:0:0:b</v>
      </c>
      <c r="G695" s="1" t="str">
        <f>"0326B822"</f>
        <v>0326B822</v>
      </c>
      <c r="H695" s="1" t="str">
        <f>"군안간 64R3"</f>
        <v>군안간 64R3</v>
      </c>
      <c r="I695" s="1" t="s">
        <v>15</v>
      </c>
      <c r="J695" s="1" t="str">
        <f>"53/53"</f>
        <v>53/53</v>
      </c>
      <c r="K695" s="1" t="str">
        <f>"2026-07-29 14:20:17"</f>
        <v>2026-07-29 14:20:17</v>
      </c>
      <c r="L695" s="1" t="str">
        <f>"2023-10-05 13:45:09"</f>
        <v>2023-10-05 13:45:09</v>
      </c>
      <c r="M695" s="1" t="s">
        <v>45</v>
      </c>
      <c r="N695" s="1" t="s">
        <v>38</v>
      </c>
      <c r="O695" s="1" t="s">
        <v>46</v>
      </c>
    </row>
    <row r="696" spans="2:15" x14ac:dyDescent="0.3">
      <c r="B696" s="1" t="s">
        <v>24</v>
      </c>
      <c r="C696" s="1" t="str">
        <f t="shared" si="37"/>
        <v>5-2차</v>
      </c>
      <c r="D696" s="1" t="str">
        <f>"0326B9125S"</f>
        <v>0326B9125S</v>
      </c>
      <c r="E696" s="1" t="s">
        <v>10</v>
      </c>
      <c r="F696" s="1" t="str">
        <f>"fde3:102:1430:3200:0:0:0:5"</f>
        <v>fde3:102:1430:3200:0:0:0:5</v>
      </c>
      <c r="G696" s="1" t="str">
        <f>"0326B912"</f>
        <v>0326B912</v>
      </c>
      <c r="H696" s="1" t="str">
        <f>"군안간 49R9"</f>
        <v>군안간 49R9</v>
      </c>
      <c r="I696" s="1" t="s">
        <v>15</v>
      </c>
      <c r="J696" s="1" t="str">
        <f>"43/43"</f>
        <v>43/43</v>
      </c>
      <c r="K696" s="1" t="str">
        <f>"2026-07-29 14:20:17"</f>
        <v>2026-07-29 14:20:17</v>
      </c>
      <c r="L696" s="1" t="str">
        <f>"2023-09-17 11:04:04"</f>
        <v>2023-09-17 11:04:04</v>
      </c>
      <c r="M696" s="1" t="s">
        <v>45</v>
      </c>
      <c r="N696" s="1" t="s">
        <v>38</v>
      </c>
      <c r="O696" s="1" t="s">
        <v>46</v>
      </c>
    </row>
    <row r="697" spans="2:15" x14ac:dyDescent="0.3">
      <c r="B697" s="1" t="s">
        <v>24</v>
      </c>
      <c r="C697" s="1" t="str">
        <f t="shared" si="37"/>
        <v>5-2차</v>
      </c>
      <c r="D697" s="1" t="str">
        <f>"0326B9215S"</f>
        <v>0326B9215S</v>
      </c>
      <c r="E697" s="1" t="s">
        <v>10</v>
      </c>
      <c r="F697" s="1" t="str">
        <f>"fde3:102:1430:3200:0:0:0:c"</f>
        <v>fde3:102:1430:3200:0:0:0:c</v>
      </c>
      <c r="G697" s="1" t="str">
        <f>"0326B921"</f>
        <v>0326B921</v>
      </c>
      <c r="H697" s="1" t="str">
        <f>"군안간 65R3"</f>
        <v>군안간 65R3</v>
      </c>
      <c r="I697" s="1" t="s">
        <v>15</v>
      </c>
      <c r="J697" s="1" t="str">
        <f>"38/38"</f>
        <v>38/38</v>
      </c>
      <c r="K697" s="1" t="str">
        <f>"2026-07-29 14:20:17"</f>
        <v>2026-07-29 14:20:17</v>
      </c>
      <c r="L697" s="1" t="str">
        <f>"2023-10-05 13:27:48"</f>
        <v>2023-10-05 13:27:48</v>
      </c>
      <c r="M697" s="1" t="s">
        <v>45</v>
      </c>
      <c r="N697" s="1" t="s">
        <v>38</v>
      </c>
      <c r="O697" s="1" t="s">
        <v>46</v>
      </c>
    </row>
    <row r="698" spans="2:15" x14ac:dyDescent="0.3">
      <c r="B698" s="1" t="s">
        <v>24</v>
      </c>
      <c r="C698" s="1" t="str">
        <f t="shared" si="37"/>
        <v>5-2차</v>
      </c>
      <c r="D698" s="1" t="str">
        <f>"0326B9425S"</f>
        <v>0326B9425S</v>
      </c>
      <c r="E698" s="1" t="s">
        <v>10</v>
      </c>
      <c r="F698" s="1" t="str">
        <f>"fde1:103:4:5a55:0:0:0:2"</f>
        <v>fde1:103:4:5a55:0:0:0:2</v>
      </c>
      <c r="G698" s="1" t="str">
        <f>"0326B942"</f>
        <v>0326B942</v>
      </c>
      <c r="H698" s="1" t="str">
        <f>"군안간 66R1"</f>
        <v>군안간 66R1</v>
      </c>
      <c r="I698" s="1" t="s">
        <v>15</v>
      </c>
      <c r="J698" s="1" t="str">
        <f>"42/55"</f>
        <v>42/55</v>
      </c>
      <c r="K698" s="1" t="str">
        <f>"2026-07-29 14:20:40"</f>
        <v>2026-07-29 14:20:40</v>
      </c>
      <c r="L698" s="1" t="str">
        <f>"2023-09-14 16:01:59"</f>
        <v>2023-09-14 16:01:59</v>
      </c>
      <c r="M698" s="1" t="s">
        <v>4</v>
      </c>
      <c r="N698" s="1" t="s">
        <v>38</v>
      </c>
      <c r="O698" s="1" t="s">
        <v>46</v>
      </c>
    </row>
    <row r="699" spans="2:15" x14ac:dyDescent="0.3">
      <c r="B699" s="1" t="s">
        <v>24</v>
      </c>
      <c r="C699" s="1" t="str">
        <f t="shared" si="37"/>
        <v>5-2차</v>
      </c>
      <c r="D699" s="1" t="str">
        <f>"0326B9915M"</f>
        <v>0326B9915M</v>
      </c>
      <c r="E699" s="1" t="s">
        <v>10</v>
      </c>
      <c r="F699" s="1" t="str">
        <f>"fde1:103:4:5a25:0:0:0:2"</f>
        <v>fde1:103:4:5a25:0:0:0:2</v>
      </c>
      <c r="G699" s="1" t="str">
        <f>"0326B991"</f>
        <v>0326B991</v>
      </c>
      <c r="H699" s="1" t="str">
        <f>"휘주간 44"</f>
        <v>휘주간 44</v>
      </c>
      <c r="I699" s="1" t="s">
        <v>15</v>
      </c>
      <c r="J699" s="1" t="str">
        <f>"29/29"</f>
        <v>29/29</v>
      </c>
      <c r="K699" s="1" t="str">
        <f>"2026-07-29 14:21:14"</f>
        <v>2026-07-29 14:21:14</v>
      </c>
      <c r="L699" s="1" t="str">
        <f>"2023-09-14 15:23:36"</f>
        <v>2023-09-14 15:23:36</v>
      </c>
      <c r="M699" s="1" t="s">
        <v>4</v>
      </c>
      <c r="N699" s="1" t="s">
        <v>38</v>
      </c>
      <c r="O699" s="1" t="s">
        <v>46</v>
      </c>
    </row>
    <row r="700" spans="2:15" x14ac:dyDescent="0.3">
      <c r="B700" s="1" t="s">
        <v>24</v>
      </c>
      <c r="C700" s="1" t="str">
        <f t="shared" si="37"/>
        <v>5-2차</v>
      </c>
      <c r="D700" s="1" t="str">
        <f>"0326B9935S"</f>
        <v>0326B9935S</v>
      </c>
      <c r="E700" s="1" t="s">
        <v>10</v>
      </c>
      <c r="F700" s="1" t="str">
        <f>"fde1:103:4:5a50:0:0:0:2"</f>
        <v>fde1:103:4:5a50:0:0:0:2</v>
      </c>
      <c r="G700" s="1" t="str">
        <f>"0326B993"</f>
        <v>0326B993</v>
      </c>
      <c r="H700" s="1" t="str">
        <f>"휘주간 44H1"</f>
        <v>휘주간 44H1</v>
      </c>
      <c r="I700" s="1" t="s">
        <v>15</v>
      </c>
      <c r="J700" s="1" t="str">
        <f>"58/58"</f>
        <v>58/58</v>
      </c>
      <c r="K700" s="1" t="str">
        <f>"2026-07-29 14:20:40"</f>
        <v>2026-07-29 14:20:40</v>
      </c>
      <c r="L700" s="1" t="str">
        <f>"2023-09-14 15:26:47"</f>
        <v>2023-09-14 15:26:47</v>
      </c>
      <c r="M700" s="1" t="s">
        <v>4</v>
      </c>
      <c r="N700" s="1" t="s">
        <v>38</v>
      </c>
      <c r="O700" s="1" t="s">
        <v>46</v>
      </c>
    </row>
    <row r="701" spans="2:15" x14ac:dyDescent="0.3">
      <c r="B701" s="1" t="s">
        <v>24</v>
      </c>
      <c r="C701" s="1" t="str">
        <f t="shared" si="37"/>
        <v>5-2차</v>
      </c>
      <c r="D701" s="1" t="str">
        <f>"0326C0015M"</f>
        <v>0326C0015M</v>
      </c>
      <c r="E701" s="1" t="s">
        <v>10</v>
      </c>
      <c r="F701" s="1" t="str">
        <f>"fde1:103:4:5a59:0:0:0:2"</f>
        <v>fde1:103:4:5a59:0:0:0:2</v>
      </c>
      <c r="G701" s="1" t="str">
        <f>"0326C001"</f>
        <v>0326C001</v>
      </c>
      <c r="H701" s="1" t="str">
        <f>"전우간 31R7"</f>
        <v>전우간 31R7</v>
      </c>
      <c r="I701" s="1" t="s">
        <v>15</v>
      </c>
      <c r="J701" s="1" t="str">
        <f>"57/57"</f>
        <v>57/57</v>
      </c>
      <c r="K701" s="1" t="str">
        <f>"2026-07-29 14:20:26"</f>
        <v>2026-07-29 14:20:26</v>
      </c>
      <c r="L701" s="1" t="str">
        <f>"2023-09-14 16:09:25"</f>
        <v>2023-09-14 16:09:25</v>
      </c>
      <c r="M701" s="1" t="s">
        <v>4</v>
      </c>
      <c r="N701" s="1" t="s">
        <v>38</v>
      </c>
      <c r="O701" s="1" t="s">
        <v>46</v>
      </c>
    </row>
    <row r="702" spans="2:15" x14ac:dyDescent="0.3">
      <c r="B702" s="1" t="s">
        <v>24</v>
      </c>
      <c r="C702" s="1" t="str">
        <f t="shared" si="37"/>
        <v>5-2차</v>
      </c>
      <c r="D702" s="1" t="str">
        <f>"0326C0735M"</f>
        <v>0326C0735M</v>
      </c>
      <c r="E702" s="1" t="s">
        <v>10</v>
      </c>
      <c r="F702" s="1" t="str">
        <f>"fde1:103:4:5a0e:0:0:0:2"</f>
        <v>fde1:103:4:5a0e:0:0:0:2</v>
      </c>
      <c r="G702" s="1" t="str">
        <f>"0326C073"</f>
        <v>0326C073</v>
      </c>
      <c r="H702" s="1" t="str">
        <f>"황물간 57"</f>
        <v>황물간 57</v>
      </c>
      <c r="I702" s="1" t="s">
        <v>15</v>
      </c>
      <c r="J702" s="1" t="str">
        <f>"61/61"</f>
        <v>61/61</v>
      </c>
      <c r="K702" s="1" t="str">
        <f>"2026-07-29 08:20:35"</f>
        <v>2026-07-29 08:20:35</v>
      </c>
      <c r="L702" s="1" t="str">
        <f>"2023-09-14 16:10:36"</f>
        <v>2023-09-14 16:10:36</v>
      </c>
      <c r="M702" s="1" t="s">
        <v>4</v>
      </c>
      <c r="N702" s="1" t="s">
        <v>38</v>
      </c>
      <c r="O702" s="1" t="s">
        <v>46</v>
      </c>
    </row>
    <row r="703" spans="2:15" x14ac:dyDescent="0.3">
      <c r="B703" s="1" t="s">
        <v>24</v>
      </c>
      <c r="C703" s="1" t="str">
        <f>"1차"</f>
        <v>1차</v>
      </c>
      <c r="D703" s="1" t="str">
        <f>"0326C12201"</f>
        <v>0326C12201</v>
      </c>
      <c r="E703" s="1" t="s">
        <v>10</v>
      </c>
      <c r="F703" s="1" t="str">
        <f>"10.12.135.191"</f>
        <v>10.12.135.191</v>
      </c>
      <c r="G703" s="1" t="str">
        <f>"0326C122"</f>
        <v>0326C122</v>
      </c>
      <c r="H703" s="1" t="str">
        <f>"전우간 31R4L1"</f>
        <v>전우간 31R4L1</v>
      </c>
      <c r="I703" s="1" t="s">
        <v>8</v>
      </c>
      <c r="J703" s="1" t="str">
        <f>"55/55"</f>
        <v>55/55</v>
      </c>
      <c r="K703" s="1" t="str">
        <f>"2026-07-29 13:18:04"</f>
        <v>2026-07-29 13:18:04</v>
      </c>
      <c r="L703" s="1" t="str">
        <f>"2014-10-02 19:50:19"</f>
        <v>2014-10-02 19:50:19</v>
      </c>
      <c r="M703" s="1" t="s">
        <v>0</v>
      </c>
      <c r="N703" s="1" t="s">
        <v>38</v>
      </c>
      <c r="O703" s="1" t="s">
        <v>46</v>
      </c>
    </row>
    <row r="704" spans="2:15" x14ac:dyDescent="0.3">
      <c r="B704" s="1" t="s">
        <v>24</v>
      </c>
      <c r="C704" s="1" t="str">
        <f>"5-2차"</f>
        <v>5-2차</v>
      </c>
      <c r="D704" s="1" t="str">
        <f>"0326C1425S"</f>
        <v>0326C1425S</v>
      </c>
      <c r="E704" s="1" t="s">
        <v>10</v>
      </c>
      <c r="F704" s="1" t="str">
        <f>"fde1:103:4:59ff:0:0:0:2"</f>
        <v>fde1:103:4:59ff:0:0:0:2</v>
      </c>
      <c r="G704" s="1" t="str">
        <f>"0326C142"</f>
        <v>0326C142</v>
      </c>
      <c r="H704" s="1" t="str">
        <f>"전우간 31R2A1"</f>
        <v>전우간 31R2A1</v>
      </c>
      <c r="I704" s="1" t="s">
        <v>15</v>
      </c>
      <c r="J704" s="1" t="str">
        <f>"39/39"</f>
        <v>39/39</v>
      </c>
      <c r="K704" s="1" t="str">
        <f>"2026-07-29 14:20:40"</f>
        <v>2026-07-29 14:20:40</v>
      </c>
      <c r="L704" s="1" t="str">
        <f>"2023-09-14 16:29:03"</f>
        <v>2023-09-14 16:29:03</v>
      </c>
      <c r="M704" s="1" t="s">
        <v>4</v>
      </c>
      <c r="N704" s="1" t="s">
        <v>38</v>
      </c>
      <c r="O704" s="1" t="s">
        <v>46</v>
      </c>
    </row>
    <row r="705" spans="2:15" x14ac:dyDescent="0.3">
      <c r="B705" s="1" t="s">
        <v>24</v>
      </c>
      <c r="C705" s="1" t="str">
        <f>"5-2차"</f>
        <v>5-2차</v>
      </c>
      <c r="D705" s="1" t="str">
        <f>"0326C1535M"</f>
        <v>0326C1535M</v>
      </c>
      <c r="E705" s="1" t="s">
        <v>10</v>
      </c>
      <c r="F705" s="1" t="str">
        <f>"fde1:103:4:595e:0:0:0:2"</f>
        <v>fde1:103:4:595e:0:0:0:2</v>
      </c>
      <c r="G705" s="1" t="str">
        <f>"0326C153"</f>
        <v>0326C153</v>
      </c>
      <c r="H705" s="1" t="str">
        <f>"배봉간 64R14L9"</f>
        <v>배봉간 64R14L9</v>
      </c>
      <c r="I705" s="1" t="s">
        <v>15</v>
      </c>
      <c r="J705" s="1" t="str">
        <f>"30/30"</f>
        <v>30/30</v>
      </c>
      <c r="K705" s="1" t="str">
        <f>"2026-07-29 14:20:53"</f>
        <v>2026-07-29 14:20:53</v>
      </c>
      <c r="L705" s="1" t="str">
        <f>"2023-09-14 17:47:34"</f>
        <v>2023-09-14 17:47:34</v>
      </c>
      <c r="M705" s="1" t="s">
        <v>4</v>
      </c>
      <c r="N705" s="1" t="s">
        <v>38</v>
      </c>
      <c r="O705" s="1" t="s">
        <v>46</v>
      </c>
    </row>
    <row r="706" spans="2:15" x14ac:dyDescent="0.3">
      <c r="B706" s="1" t="s">
        <v>24</v>
      </c>
      <c r="C706" s="1" t="str">
        <f>"5-2차"</f>
        <v>5-2차</v>
      </c>
      <c r="D706" s="1" t="str">
        <f>"0326C1615M"</f>
        <v>0326C1615M</v>
      </c>
      <c r="E706" s="1" t="s">
        <v>10</v>
      </c>
      <c r="F706" s="1" t="str">
        <f>"fde1:103:4:5959:0:0:0:2"</f>
        <v>fde1:103:4:5959:0:0:0:2</v>
      </c>
      <c r="G706" s="1" t="str">
        <f>"0326C161"</f>
        <v>0326C161</v>
      </c>
      <c r="H706" s="1" t="str">
        <f>"배봉간 64R23"</f>
        <v>배봉간 64R23</v>
      </c>
      <c r="I706" s="1" t="s">
        <v>15</v>
      </c>
      <c r="J706" s="1" t="str">
        <f>"71/71"</f>
        <v>71/71</v>
      </c>
      <c r="K706" s="1" t="str">
        <f>"2026-07-29 14:20:14"</f>
        <v>2026-07-29 14:20:14</v>
      </c>
      <c r="L706" s="1" t="str">
        <f>"2023-09-14 17:07:31"</f>
        <v>2023-09-14 17:07:31</v>
      </c>
      <c r="M706" s="1" t="s">
        <v>4</v>
      </c>
      <c r="N706" s="1" t="s">
        <v>38</v>
      </c>
      <c r="O706" s="1" t="s">
        <v>46</v>
      </c>
    </row>
    <row r="707" spans="2:15" x14ac:dyDescent="0.3">
      <c r="B707" s="1" t="s">
        <v>24</v>
      </c>
      <c r="C707" s="1" t="str">
        <f>"5-2차"</f>
        <v>5-2차</v>
      </c>
      <c r="D707" s="1" t="str">
        <f>"0326C1725M"</f>
        <v>0326C1725M</v>
      </c>
      <c r="E707" s="1" t="s">
        <v>10</v>
      </c>
      <c r="F707" s="1" t="str">
        <f>"fde1:103:4:5a69:0:0:0:2"</f>
        <v>fde1:103:4:5a69:0:0:0:2</v>
      </c>
      <c r="G707" s="1" t="str">
        <f>"0326C172"</f>
        <v>0326C172</v>
      </c>
      <c r="H707" s="1" t="str">
        <f>"배봉간 64R24"</f>
        <v>배봉간 64R24</v>
      </c>
      <c r="I707" s="1" t="s">
        <v>15</v>
      </c>
      <c r="J707" s="1" t="str">
        <f>"49/49"</f>
        <v>49/49</v>
      </c>
      <c r="K707" s="1" t="str">
        <f>"2026-07-29 08:20:36"</f>
        <v>2026-07-29 08:20:36</v>
      </c>
      <c r="L707" s="1" t="str">
        <f>"2023-09-14 17:11:50"</f>
        <v>2023-09-14 17:11:50</v>
      </c>
      <c r="M707" s="1" t="s">
        <v>4</v>
      </c>
      <c r="N707" s="1" t="s">
        <v>38</v>
      </c>
      <c r="O707" s="1" t="s">
        <v>46</v>
      </c>
    </row>
    <row r="708" spans="2:15" x14ac:dyDescent="0.3">
      <c r="B708" s="1" t="s">
        <v>24</v>
      </c>
      <c r="C708" s="1" t="str">
        <f>"1차"</f>
        <v>1차</v>
      </c>
      <c r="D708" s="1" t="str">
        <f>"0326C22100"</f>
        <v>0326C22100</v>
      </c>
      <c r="E708" s="1" t="s">
        <v>10</v>
      </c>
      <c r="F708" s="1" t="str">
        <f>"10.89.245.194"</f>
        <v>10.89.245.194</v>
      </c>
      <c r="G708" s="1" t="str">
        <f>"0326C221"</f>
        <v>0326C221</v>
      </c>
      <c r="H708" s="1" t="str">
        <f>"전우간 31R4L2"</f>
        <v>전우간 31R4L2</v>
      </c>
      <c r="I708" s="1" t="s">
        <v>8</v>
      </c>
      <c r="J708" s="1" t="str">
        <f>"9/9"</f>
        <v>9/9</v>
      </c>
      <c r="K708" s="1" t="str">
        <f>"2026-07-29 13:18:01"</f>
        <v>2026-07-29 13:18:01</v>
      </c>
      <c r="L708" s="1" t="str">
        <f>"2014-09-26 00:10:32"</f>
        <v>2014-09-26 00:10:32</v>
      </c>
      <c r="M708" s="1" t="s">
        <v>45</v>
      </c>
      <c r="N708" s="1" t="s">
        <v>38</v>
      </c>
      <c r="O708" s="1" t="s">
        <v>46</v>
      </c>
    </row>
    <row r="709" spans="2:15" x14ac:dyDescent="0.3">
      <c r="B709" s="1" t="s">
        <v>24</v>
      </c>
      <c r="C709" s="1" t="str">
        <f>"5-2차"</f>
        <v>5-2차</v>
      </c>
      <c r="D709" s="1" t="str">
        <f>"0326C2715M"</f>
        <v>0326C2715M</v>
      </c>
      <c r="E709" s="1" t="s">
        <v>10</v>
      </c>
      <c r="F709" s="1" t="str">
        <f>"fde1:103:4:58b6:0:0:0:2"</f>
        <v>fde1:103:4:58b6:0:0:0:2</v>
      </c>
      <c r="G709" s="1" t="str">
        <f>"0326C271"</f>
        <v>0326C271</v>
      </c>
      <c r="H709" s="1" t="str">
        <f>"배봉간 64R20R2"</f>
        <v>배봉간 64R20R2</v>
      </c>
      <c r="I709" s="1" t="s">
        <v>15</v>
      </c>
      <c r="J709" s="1" t="str">
        <f>"91/98"</f>
        <v>91/98</v>
      </c>
      <c r="K709" s="1" t="str">
        <f>"2026-07-29 14:20:41"</f>
        <v>2026-07-29 14:20:41</v>
      </c>
      <c r="L709" s="1" t="str">
        <f>"2023-09-14 17:51:27"</f>
        <v>2023-09-14 17:51:27</v>
      </c>
      <c r="M709" s="1" t="s">
        <v>4</v>
      </c>
      <c r="N709" s="1" t="s">
        <v>38</v>
      </c>
      <c r="O709" s="1" t="s">
        <v>46</v>
      </c>
    </row>
    <row r="710" spans="2:15" x14ac:dyDescent="0.3">
      <c r="B710" s="1" t="s">
        <v>24</v>
      </c>
      <c r="C710" s="1" t="str">
        <f>"1차"</f>
        <v>1차</v>
      </c>
      <c r="D710" s="1" t="str">
        <f>"0326C32100"</f>
        <v>0326C32100</v>
      </c>
      <c r="E710" s="1" t="s">
        <v>10</v>
      </c>
      <c r="F710" s="1" t="str">
        <f>"10.89.245.195"</f>
        <v>10.89.245.195</v>
      </c>
      <c r="G710" s="1" t="str">
        <f>"0326C321"</f>
        <v>0326C321</v>
      </c>
      <c r="H710" s="1" t="str">
        <f>"전우간 31R4L4"</f>
        <v>전우간 31R4L4</v>
      </c>
      <c r="I710" s="1" t="s">
        <v>8</v>
      </c>
      <c r="J710" s="1" t="str">
        <f>"66/66"</f>
        <v>66/66</v>
      </c>
      <c r="K710" s="1" t="str">
        <f>"2026-07-29 13:18:01"</f>
        <v>2026-07-29 13:18:01</v>
      </c>
      <c r="L710" s="1" t="str">
        <f>"2014-12-11 10:21:36"</f>
        <v>2014-12-11 10:21:36</v>
      </c>
      <c r="M710" s="1" t="s">
        <v>45</v>
      </c>
      <c r="N710" s="1" t="s">
        <v>38</v>
      </c>
      <c r="O710" s="1" t="s">
        <v>46</v>
      </c>
    </row>
    <row r="711" spans="2:15" x14ac:dyDescent="0.3">
      <c r="B711" s="1" t="s">
        <v>24</v>
      </c>
      <c r="C711" s="1" t="str">
        <f>"5-2차"</f>
        <v>5-2차</v>
      </c>
      <c r="D711" s="1" t="str">
        <f>"0326C3715M"</f>
        <v>0326C3715M</v>
      </c>
      <c r="E711" s="1" t="s">
        <v>10</v>
      </c>
      <c r="F711" s="1" t="str">
        <f>"fde1:103:4:597a:0:0:0:2"</f>
        <v>fde1:103:4:597a:0:0:0:2</v>
      </c>
      <c r="G711" s="1" t="str">
        <f>"0326C371"</f>
        <v>0326C371</v>
      </c>
      <c r="H711" s="1" t="str">
        <f>"배봉간 64R19R3"</f>
        <v>배봉간 64R19R3</v>
      </c>
      <c r="I711" s="1" t="s">
        <v>15</v>
      </c>
      <c r="J711" s="1" t="str">
        <f>"121/121"</f>
        <v>121/121</v>
      </c>
      <c r="K711" s="1" t="str">
        <f>"2026-07-29 14:20:41"</f>
        <v>2026-07-29 14:20:41</v>
      </c>
      <c r="L711" s="1" t="str">
        <f>"2023-09-14 17:37:18"</f>
        <v>2023-09-14 17:37:18</v>
      </c>
      <c r="M711" s="1" t="s">
        <v>4</v>
      </c>
      <c r="N711" s="1" t="s">
        <v>38</v>
      </c>
      <c r="O711" s="1" t="s">
        <v>46</v>
      </c>
    </row>
    <row r="712" spans="2:15" x14ac:dyDescent="0.3">
      <c r="B712" s="1" t="s">
        <v>24</v>
      </c>
      <c r="C712" s="1" t="str">
        <f>"5-2차"</f>
        <v>5-2차</v>
      </c>
      <c r="D712" s="1" t="str">
        <f>"0326C4415M"</f>
        <v>0326C4415M</v>
      </c>
      <c r="E712" s="1" t="s">
        <v>10</v>
      </c>
      <c r="F712" s="1" t="str">
        <f>"fde1:103:4:57f5:0:0:0:2"</f>
        <v>fde1:103:4:57f5:0:0:0:2</v>
      </c>
      <c r="G712" s="1" t="str">
        <f>"0326C441"</f>
        <v>0326C441</v>
      </c>
      <c r="H712" s="1" t="str">
        <f>"전우간 31R4L8R1"</f>
        <v>전우간 31R4L8R1</v>
      </c>
      <c r="I712" s="1" t="s">
        <v>15</v>
      </c>
      <c r="J712" s="1" t="str">
        <f>"62/62"</f>
        <v>62/62</v>
      </c>
      <c r="K712" s="1" t="str">
        <f>"2026-07-29 14:20:42"</f>
        <v>2026-07-29 14:20:42</v>
      </c>
      <c r="L712" s="1" t="str">
        <f>"2023-09-14 17:25:21"</f>
        <v>2023-09-14 17:25:21</v>
      </c>
      <c r="M712" s="1" t="s">
        <v>4</v>
      </c>
      <c r="N712" s="1" t="s">
        <v>38</v>
      </c>
      <c r="O712" s="1" t="s">
        <v>46</v>
      </c>
    </row>
    <row r="713" spans="2:15" x14ac:dyDescent="0.3">
      <c r="B713" s="1" t="s">
        <v>24</v>
      </c>
      <c r="C713" s="1" t="str">
        <f>"5-2차"</f>
        <v>5-2차</v>
      </c>
      <c r="D713" s="1" t="str">
        <f>"0326C5535M"</f>
        <v>0326C5535M</v>
      </c>
      <c r="E713" s="1" t="s">
        <v>10</v>
      </c>
      <c r="F713" s="1" t="str">
        <f>"fde1:103:4:5a6e:0:0:0:2"</f>
        <v>fde1:103:4:5a6e:0:0:0:2</v>
      </c>
      <c r="G713" s="1" t="str">
        <f>"0326C553"</f>
        <v>0326C553</v>
      </c>
      <c r="H713" s="1" t="str">
        <f>"배봉간 64R14L3"</f>
        <v>배봉간 64R14L3</v>
      </c>
      <c r="I713" s="1" t="s">
        <v>15</v>
      </c>
      <c r="J713" s="1" t="str">
        <f>"42/42"</f>
        <v>42/42</v>
      </c>
      <c r="K713" s="1" t="str">
        <f>"2026-07-29 14:20:41"</f>
        <v>2026-07-29 14:20:41</v>
      </c>
      <c r="L713" s="1" t="str">
        <f>"2023-09-14 17:37:29"</f>
        <v>2023-09-14 17:37:29</v>
      </c>
      <c r="M713" s="1" t="s">
        <v>4</v>
      </c>
      <c r="N713" s="1" t="s">
        <v>38</v>
      </c>
      <c r="O713" s="1" t="s">
        <v>46</v>
      </c>
    </row>
    <row r="714" spans="2:15" x14ac:dyDescent="0.3">
      <c r="B714" s="1" t="s">
        <v>24</v>
      </c>
      <c r="C714" s="1" t="str">
        <f>"5-2차"</f>
        <v>5-2차</v>
      </c>
      <c r="D714" s="1" t="str">
        <f>"0326D1015M"</f>
        <v>0326D1015M</v>
      </c>
      <c r="E714" s="1" t="s">
        <v>10</v>
      </c>
      <c r="F714" s="1" t="str">
        <f>"fde1:103:4:59d9:0:0:0:2"</f>
        <v>fde1:103:4:59d9:0:0:0:2</v>
      </c>
      <c r="G714" s="1" t="str">
        <f>"0326D101"</f>
        <v>0326D101</v>
      </c>
      <c r="H714" s="1" t="str">
        <f>"배봉간 77R4R2"</f>
        <v>배봉간 77R4R2</v>
      </c>
      <c r="I714" s="1" t="s">
        <v>15</v>
      </c>
      <c r="J714" s="1" t="str">
        <f>"35/35"</f>
        <v>35/35</v>
      </c>
      <c r="K714" s="1" t="str">
        <f>"2026-07-29 08:21:06"</f>
        <v>2026-07-29 08:21:06</v>
      </c>
      <c r="L714" s="1" t="str">
        <f>"2023-09-14 17:24:18"</f>
        <v>2023-09-14 17:24:18</v>
      </c>
      <c r="M714" s="1" t="s">
        <v>4</v>
      </c>
      <c r="N714" s="1" t="s">
        <v>38</v>
      </c>
      <c r="O714" s="1" t="s">
        <v>46</v>
      </c>
    </row>
    <row r="715" spans="2:15" x14ac:dyDescent="0.3">
      <c r="B715" s="1" t="s">
        <v>24</v>
      </c>
      <c r="C715" s="1" t="str">
        <f>"5-1차"</f>
        <v>5-1차</v>
      </c>
      <c r="D715" s="1" t="str">
        <f>"0326D4015M"</f>
        <v>0326D4015M</v>
      </c>
      <c r="E715" s="1" t="s">
        <v>10</v>
      </c>
      <c r="F715" s="1" t="str">
        <f>"fde3:102:1430:3100:0:0:0:3"</f>
        <v>fde3:102:1430:3100:0:0:0:3</v>
      </c>
      <c r="G715" s="1" t="str">
        <f>"0326D401"</f>
        <v>0326D401</v>
      </c>
      <c r="H715" s="1" t="str">
        <f>"장평간 6R10R4"</f>
        <v>장평간 6R10R4</v>
      </c>
      <c r="I715" s="1" t="s">
        <v>15</v>
      </c>
      <c r="J715" s="1" t="str">
        <f>"67/67"</f>
        <v>67/67</v>
      </c>
      <c r="K715" s="1" t="str">
        <f>"2026-07-29 14:20:50"</f>
        <v>2026-07-29 14:20:50</v>
      </c>
      <c r="L715" s="1" t="str">
        <f>"2022-11-08 08:30:17"</f>
        <v>2022-11-08 08:30:17</v>
      </c>
      <c r="M715" s="1" t="s">
        <v>45</v>
      </c>
      <c r="N715" s="1" t="s">
        <v>38</v>
      </c>
      <c r="O715" s="1" t="s">
        <v>46</v>
      </c>
    </row>
    <row r="716" spans="2:15" x14ac:dyDescent="0.3">
      <c r="B716" s="1" t="s">
        <v>24</v>
      </c>
      <c r="C716" s="1" t="str">
        <f t="shared" ref="C716:C721" si="38">"5-2차"</f>
        <v>5-2차</v>
      </c>
      <c r="D716" s="1" t="str">
        <f>"0326D5115S"</f>
        <v>0326D5115S</v>
      </c>
      <c r="E716" s="1" t="s">
        <v>10</v>
      </c>
      <c r="F716" s="1" t="str">
        <f>"fde1:103:4:5a60:0:0:0:2"</f>
        <v>fde1:103:4:5a60:0:0:0:2</v>
      </c>
      <c r="G716" s="1" t="str">
        <f>"0326D511"</f>
        <v>0326D511</v>
      </c>
      <c r="H716" s="1" t="str">
        <f>"천한간 36R1R2"</f>
        <v>천한간 36R1R2</v>
      </c>
      <c r="I716" s="1" t="s">
        <v>15</v>
      </c>
      <c r="J716" s="1" t="str">
        <f>"40/40"</f>
        <v>40/40</v>
      </c>
      <c r="K716" s="1" t="str">
        <f>"2026-07-29 14:20:41"</f>
        <v>2026-07-29 14:20:41</v>
      </c>
      <c r="L716" s="1" t="str">
        <f>"2023-09-15 09:57:22"</f>
        <v>2023-09-15 09:57:22</v>
      </c>
      <c r="M716" s="1" t="s">
        <v>4</v>
      </c>
      <c r="N716" s="1" t="s">
        <v>38</v>
      </c>
      <c r="O716" s="1" t="s">
        <v>46</v>
      </c>
    </row>
    <row r="717" spans="2:15" x14ac:dyDescent="0.3">
      <c r="B717" s="1" t="s">
        <v>24</v>
      </c>
      <c r="C717" s="1" t="str">
        <f t="shared" si="38"/>
        <v>5-2차</v>
      </c>
      <c r="D717" s="1" t="str">
        <f>"0326D5215S"</f>
        <v>0326D5215S</v>
      </c>
      <c r="E717" s="1" t="s">
        <v>10</v>
      </c>
      <c r="F717" s="1" t="str">
        <f>"fde1:103:4:5758:0:0:0:2"</f>
        <v>fde1:103:4:5758:0:0:0:2</v>
      </c>
      <c r="G717" s="1" t="str">
        <f>"0326D521"</f>
        <v>0326D521</v>
      </c>
      <c r="H717" s="1" t="str">
        <f>"천한간 36R1R1"</f>
        <v>천한간 36R1R1</v>
      </c>
      <c r="I717" s="1" t="s">
        <v>15</v>
      </c>
      <c r="J717" s="1" t="str">
        <f>"73/73"</f>
        <v>73/73</v>
      </c>
      <c r="K717" s="1" t="str">
        <f>"2026-07-29 14:20:51"</f>
        <v>2026-07-29 14:20:51</v>
      </c>
      <c r="L717" s="1" t="str">
        <f>"2023-09-15 10:15:08"</f>
        <v>2023-09-15 10:15:08</v>
      </c>
      <c r="M717" s="1" t="s">
        <v>4</v>
      </c>
      <c r="N717" s="1" t="s">
        <v>38</v>
      </c>
      <c r="O717" s="1" t="s">
        <v>46</v>
      </c>
    </row>
    <row r="718" spans="2:15" x14ac:dyDescent="0.3">
      <c r="B718" s="1" t="s">
        <v>24</v>
      </c>
      <c r="C718" s="1" t="str">
        <f t="shared" si="38"/>
        <v>5-2차</v>
      </c>
      <c r="D718" s="1" t="str">
        <f>"0326D5225S"</f>
        <v>0326D5225S</v>
      </c>
      <c r="E718" s="1" t="s">
        <v>10</v>
      </c>
      <c r="F718" s="1" t="str">
        <f>"fde1:103:4:595b:0:0:0:2"</f>
        <v>fde1:103:4:595b:0:0:0:2</v>
      </c>
      <c r="G718" s="1" t="str">
        <f>"0326D522"</f>
        <v>0326D522</v>
      </c>
      <c r="H718" s="1" t="str">
        <f>"천한간 36R1R1L1"</f>
        <v>천한간 36R1R1L1</v>
      </c>
      <c r="I718" s="1" t="s">
        <v>15</v>
      </c>
      <c r="J718" s="1" t="str">
        <f>"102/102"</f>
        <v>102/102</v>
      </c>
      <c r="K718" s="1" t="str">
        <f>"2026-07-29 14:20:42"</f>
        <v>2026-07-29 14:20:42</v>
      </c>
      <c r="L718" s="1" t="str">
        <f>"2023-09-15 10:16:16"</f>
        <v>2023-09-15 10:16:16</v>
      </c>
      <c r="M718" s="1" t="s">
        <v>4</v>
      </c>
      <c r="N718" s="1" t="s">
        <v>38</v>
      </c>
      <c r="O718" s="1" t="s">
        <v>46</v>
      </c>
    </row>
    <row r="719" spans="2:15" x14ac:dyDescent="0.3">
      <c r="B719" s="1" t="s">
        <v>24</v>
      </c>
      <c r="C719" s="1" t="str">
        <f t="shared" si="38"/>
        <v>5-2차</v>
      </c>
      <c r="D719" s="1" t="str">
        <f>"0326D5315M"</f>
        <v>0326D5315M</v>
      </c>
      <c r="E719" s="1" t="s">
        <v>10</v>
      </c>
      <c r="F719" s="1" t="str">
        <f>"fde3:102:1430:3100:0:0:0:10"</f>
        <v>fde3:102:1430:3100:0:0:0:10</v>
      </c>
      <c r="G719" s="1" t="str">
        <f>"0326D531"</f>
        <v>0326D531</v>
      </c>
      <c r="H719" s="1" t="str">
        <f>"천한간 36R1"</f>
        <v>천한간 36R1</v>
      </c>
      <c r="I719" s="1" t="s">
        <v>15</v>
      </c>
      <c r="J719" s="1" t="str">
        <f>"66/66"</f>
        <v>66/66</v>
      </c>
      <c r="K719" s="1" t="str">
        <f>"2026-07-29 14:20:42"</f>
        <v>2026-07-29 14:20:42</v>
      </c>
      <c r="L719" s="1" t="str">
        <f>"2023-11-13 11:44:54"</f>
        <v>2023-11-13 11:44:54</v>
      </c>
      <c r="M719" s="1" t="s">
        <v>45</v>
      </c>
      <c r="N719" s="1" t="s">
        <v>38</v>
      </c>
      <c r="O719" s="1" t="s">
        <v>46</v>
      </c>
    </row>
    <row r="720" spans="2:15" x14ac:dyDescent="0.3">
      <c r="B720" s="1" t="s">
        <v>24</v>
      </c>
      <c r="C720" s="1" t="str">
        <f t="shared" si="38"/>
        <v>5-2차</v>
      </c>
      <c r="D720" s="1" t="str">
        <f>"0326D5465M"</f>
        <v>0326D5465M</v>
      </c>
      <c r="E720" s="1" t="s">
        <v>10</v>
      </c>
      <c r="F720" s="1" t="str">
        <f>"fde1:103:4:5866:0:0:0:2"</f>
        <v>fde1:103:4:5866:0:0:0:2</v>
      </c>
      <c r="G720" s="1" t="str">
        <f>"0326D546"</f>
        <v>0326D546</v>
      </c>
      <c r="H720" s="1" t="str">
        <f>"배봉간 67A1"</f>
        <v>배봉간 67A1</v>
      </c>
      <c r="I720" s="1" t="s">
        <v>15</v>
      </c>
      <c r="J720" s="1" t="str">
        <f>"50/50"</f>
        <v>50/50</v>
      </c>
      <c r="K720" s="1" t="str">
        <f>"2026-07-29 14:20:28"</f>
        <v>2026-07-29 14:20:28</v>
      </c>
      <c r="L720" s="1" t="str">
        <f>"2023-09-15 10:49:53"</f>
        <v>2023-09-15 10:49:53</v>
      </c>
      <c r="M720" s="1" t="s">
        <v>4</v>
      </c>
      <c r="N720" s="1" t="s">
        <v>38</v>
      </c>
      <c r="O720" s="1" t="s">
        <v>46</v>
      </c>
    </row>
    <row r="721" spans="2:15" x14ac:dyDescent="0.3">
      <c r="B721" s="1" t="s">
        <v>24</v>
      </c>
      <c r="C721" s="1" t="str">
        <f t="shared" si="38"/>
        <v>5-2차</v>
      </c>
      <c r="D721" s="1" t="str">
        <f>"0326D6115S"</f>
        <v>0326D6115S</v>
      </c>
      <c r="E721" s="1" t="s">
        <v>10</v>
      </c>
      <c r="F721" s="1" t="str">
        <f>"fde3:102:1430:3400:0:0:0:13"</f>
        <v>fde3:102:1430:3400:0:0:0:13</v>
      </c>
      <c r="G721" s="1" t="str">
        <f>"0326D611"</f>
        <v>0326D611</v>
      </c>
      <c r="H721" s="1" t="str">
        <f>"장평간 6R8R2"</f>
        <v>장평간 6R8R2</v>
      </c>
      <c r="I721" s="1" t="s">
        <v>15</v>
      </c>
      <c r="J721" s="1" t="str">
        <f>"49/49"</f>
        <v>49/49</v>
      </c>
      <c r="K721" s="1" t="str">
        <f>"2026-07-29 14:20:42"</f>
        <v>2026-07-29 14:20:42</v>
      </c>
      <c r="L721" s="1" t="str">
        <f>"2023-09-27 16:17:38"</f>
        <v>2023-09-27 16:17:38</v>
      </c>
      <c r="M721" s="1" t="s">
        <v>45</v>
      </c>
      <c r="N721" s="1" t="s">
        <v>38</v>
      </c>
      <c r="O721" s="1" t="s">
        <v>46</v>
      </c>
    </row>
    <row r="722" spans="2:15" x14ac:dyDescent="0.3">
      <c r="B722" s="1" t="s">
        <v>24</v>
      </c>
      <c r="C722" s="1" t="str">
        <f>"5-1차"</f>
        <v>5-1차</v>
      </c>
      <c r="D722" s="1" t="str">
        <f>"0326D6155M"</f>
        <v>0326D6155M</v>
      </c>
      <c r="E722" s="1" t="s">
        <v>10</v>
      </c>
      <c r="F722" s="1" t="str">
        <f>"fde2:104:0:11c:0:0:0:2"</f>
        <v>fde2:104:0:11c:0:0:0:2</v>
      </c>
      <c r="G722" s="1" t="str">
        <f>"0326D615"</f>
        <v>0326D615</v>
      </c>
      <c r="H722" s="1" t="str">
        <f>"장평간 6R10R2R1"</f>
        <v>장평간 6R10R2R1</v>
      </c>
      <c r="I722" s="1" t="s">
        <v>15</v>
      </c>
      <c r="J722" s="1" t="str">
        <f>"51/51"</f>
        <v>51/51</v>
      </c>
      <c r="K722" s="1" t="str">
        <f>"2026-07-29 14:20:44"</f>
        <v>2026-07-29 14:20:44</v>
      </c>
      <c r="L722" s="1" t="str">
        <f>"2022-10-07 08:49:59"</f>
        <v>2022-10-07 08:49:59</v>
      </c>
      <c r="M722" s="1" t="s">
        <v>42</v>
      </c>
      <c r="N722" s="1" t="s">
        <v>38</v>
      </c>
      <c r="O722" s="1" t="s">
        <v>46</v>
      </c>
    </row>
    <row r="723" spans="2:15" x14ac:dyDescent="0.3">
      <c r="B723" s="1" t="s">
        <v>24</v>
      </c>
      <c r="C723" s="1" t="str">
        <f>"5-2차"</f>
        <v>5-2차</v>
      </c>
      <c r="D723" s="1" t="str">
        <f>"0326D6175M"</f>
        <v>0326D6175M</v>
      </c>
      <c r="E723" s="1" t="s">
        <v>10</v>
      </c>
      <c r="F723" s="1" t="str">
        <f>"fde3:102:1430:3400:0:0:0:f"</f>
        <v>fde3:102:1430:3400:0:0:0:f</v>
      </c>
      <c r="G723" s="1" t="str">
        <f>"0326D617"</f>
        <v>0326D617</v>
      </c>
      <c r="H723" s="1" t="str">
        <f>"장평간 6R10R2R3"</f>
        <v>장평간 6R10R2R3</v>
      </c>
      <c r="I723" s="1" t="s">
        <v>15</v>
      </c>
      <c r="J723" s="1" t="str">
        <f>"89/89"</f>
        <v>89/89</v>
      </c>
      <c r="K723" s="1" t="str">
        <f>"2026-07-29 14:20:42"</f>
        <v>2026-07-29 14:20:42</v>
      </c>
      <c r="L723" s="1" t="str">
        <f>"2023-10-05 14:23:46"</f>
        <v>2023-10-05 14:23:46</v>
      </c>
      <c r="M723" s="1" t="s">
        <v>45</v>
      </c>
      <c r="N723" s="1" t="s">
        <v>38</v>
      </c>
      <c r="O723" s="1" t="s">
        <v>46</v>
      </c>
    </row>
    <row r="724" spans="2:15" x14ac:dyDescent="0.3">
      <c r="B724" s="1" t="s">
        <v>24</v>
      </c>
      <c r="C724" s="1" t="str">
        <f>"5-2차"</f>
        <v>5-2차</v>
      </c>
      <c r="D724" s="1" t="str">
        <f>"0326D6315M"</f>
        <v>0326D6315M</v>
      </c>
      <c r="E724" s="1" t="s">
        <v>10</v>
      </c>
      <c r="F724" s="1" t="str">
        <f>"fde1:103:4:5949:0:0:0:2"</f>
        <v>fde1:103:4:5949:0:0:0:2</v>
      </c>
      <c r="G724" s="1" t="str">
        <f>"0326D631"</f>
        <v>0326D631</v>
      </c>
      <c r="H724" s="1" t="str">
        <f>"천한간 36R2"</f>
        <v>천한간 36R2</v>
      </c>
      <c r="I724" s="1" t="s">
        <v>15</v>
      </c>
      <c r="J724" s="1" t="str">
        <f>"26/27"</f>
        <v>26/27</v>
      </c>
      <c r="K724" s="1" t="str">
        <f>"2026-07-29 14:20:44"</f>
        <v>2026-07-29 14:20:44</v>
      </c>
      <c r="L724" s="1" t="str">
        <f>"2024-01-09 14:47:56"</f>
        <v>2024-01-09 14:47:56</v>
      </c>
      <c r="M724" s="1" t="s">
        <v>4</v>
      </c>
      <c r="N724" s="1" t="s">
        <v>38</v>
      </c>
      <c r="O724" s="1" t="s">
        <v>46</v>
      </c>
    </row>
    <row r="725" spans="2:15" x14ac:dyDescent="0.3">
      <c r="B725" s="1" t="s">
        <v>24</v>
      </c>
      <c r="C725" s="1" t="str">
        <f>"6차"</f>
        <v>6차</v>
      </c>
      <c r="D725" s="1" t="str">
        <f>"0326D6726S"</f>
        <v>0326D6726S</v>
      </c>
      <c r="E725" s="1" t="s">
        <v>10</v>
      </c>
      <c r="F725" s="1" t="str">
        <f>"fde1:103:4:c6b0:0:0:0:2"</f>
        <v>fde1:103:4:c6b0:0:0:0:2</v>
      </c>
      <c r="G725" s="1" t="str">
        <f>"0326D672"</f>
        <v>0326D672</v>
      </c>
      <c r="H725" s="1" t="str">
        <f>"군안간 56"</f>
        <v>군안간 56</v>
      </c>
      <c r="I725" s="1" t="s">
        <v>15</v>
      </c>
      <c r="J725" s="1" t="str">
        <f>"34/34"</f>
        <v>34/34</v>
      </c>
      <c r="K725" s="1" t="str">
        <f>"2026-07-29 14:20:44"</f>
        <v>2026-07-29 14:20:44</v>
      </c>
      <c r="L725" s="1" t="str">
        <f>"2024-09-26 19:44:10"</f>
        <v>2024-09-26 19:44:10</v>
      </c>
      <c r="M725" s="1" t="s">
        <v>4</v>
      </c>
      <c r="N725" s="1" t="s">
        <v>38</v>
      </c>
      <c r="O725" s="1" t="s">
        <v>46</v>
      </c>
    </row>
    <row r="726" spans="2:15" x14ac:dyDescent="0.3">
      <c r="B726" s="1" t="s">
        <v>24</v>
      </c>
      <c r="C726" s="1" t="str">
        <f>"5-2차"</f>
        <v>5-2차</v>
      </c>
      <c r="D726" s="1" t="str">
        <f>"0326D6815M"</f>
        <v>0326D6815M</v>
      </c>
      <c r="E726" s="1" t="s">
        <v>10</v>
      </c>
      <c r="F726" s="1" t="str">
        <f>"fde1:103:4:58be:0:0:0:2"</f>
        <v>fde1:103:4:58be:0:0:0:2</v>
      </c>
      <c r="G726" s="1" t="str">
        <f>"0326D681"</f>
        <v>0326D681</v>
      </c>
      <c r="H726" s="1" t="str">
        <f>"배봉간 64R3R2R2"</f>
        <v>배봉간 64R3R2R2</v>
      </c>
      <c r="I726" s="1" t="s">
        <v>15</v>
      </c>
      <c r="J726" s="1" t="str">
        <f>"33/33"</f>
        <v>33/33</v>
      </c>
      <c r="K726" s="1" t="str">
        <f>"2026-07-29 14:20:45"</f>
        <v>2026-07-29 14:20:45</v>
      </c>
      <c r="L726" s="1" t="str">
        <f>"2023-09-15 11:04:18"</f>
        <v>2023-09-15 11:04:18</v>
      </c>
      <c r="M726" s="1" t="s">
        <v>4</v>
      </c>
      <c r="N726" s="1" t="s">
        <v>38</v>
      </c>
      <c r="O726" s="1" t="s">
        <v>46</v>
      </c>
    </row>
    <row r="727" spans="2:15" x14ac:dyDescent="0.3">
      <c r="B727" s="1" t="s">
        <v>24</v>
      </c>
      <c r="C727" s="1" t="str">
        <f>"5-2차"</f>
        <v>5-2차</v>
      </c>
      <c r="D727" s="1" t="str">
        <f>"0326D7015M"</f>
        <v>0326D7015M</v>
      </c>
      <c r="E727" s="1" t="s">
        <v>10</v>
      </c>
      <c r="F727" s="1" t="str">
        <f>"fde3:102:1430:3400:0:0:0:14"</f>
        <v>fde3:102:1430:3400:0:0:0:14</v>
      </c>
      <c r="G727" s="1" t="str">
        <f>"0326D701"</f>
        <v>0326D701</v>
      </c>
      <c r="H727" s="1" t="str">
        <f>"장평간 6R9"</f>
        <v>장평간 6R9</v>
      </c>
      <c r="I727" s="1" t="s">
        <v>15</v>
      </c>
      <c r="J727" s="1" t="str">
        <f>"46/46"</f>
        <v>46/46</v>
      </c>
      <c r="K727" s="1" t="str">
        <f>"2026-07-29 14:20:45"</f>
        <v>2026-07-29 14:20:45</v>
      </c>
      <c r="L727" s="1" t="str">
        <f>"2023-10-05 14:50:18"</f>
        <v>2023-10-05 14:50:18</v>
      </c>
      <c r="M727" s="1" t="s">
        <v>45</v>
      </c>
      <c r="N727" s="1" t="s">
        <v>38</v>
      </c>
      <c r="O727" s="1" t="s">
        <v>46</v>
      </c>
    </row>
    <row r="728" spans="2:15" x14ac:dyDescent="0.3">
      <c r="B728" s="1" t="s">
        <v>24</v>
      </c>
      <c r="C728" s="1" t="str">
        <f>"5-2차"</f>
        <v>5-2차</v>
      </c>
      <c r="D728" s="1" t="str">
        <f>"0326D7025S"</f>
        <v>0326D7025S</v>
      </c>
      <c r="E728" s="1" t="s">
        <v>10</v>
      </c>
      <c r="F728" s="1" t="str">
        <f>"fde3:102:1430:3400:0:0:0:12"</f>
        <v>fde3:102:1430:3400:0:0:0:12</v>
      </c>
      <c r="G728" s="1" t="str">
        <f>"0326D702"</f>
        <v>0326D702</v>
      </c>
      <c r="H728" s="1" t="str">
        <f>"장평간 6R8R1"</f>
        <v>장평간 6R8R1</v>
      </c>
      <c r="I728" s="1" t="s">
        <v>15</v>
      </c>
      <c r="J728" s="1" t="str">
        <f>"43/43"</f>
        <v>43/43</v>
      </c>
      <c r="K728" s="1" t="str">
        <f>"2026-07-29 14:20:46"</f>
        <v>2026-07-29 14:20:46</v>
      </c>
      <c r="L728" s="1" t="str">
        <f>"2023-10-05 14:56:30"</f>
        <v>2023-10-05 14:56:30</v>
      </c>
      <c r="M728" s="1" t="s">
        <v>45</v>
      </c>
      <c r="N728" s="1" t="s">
        <v>38</v>
      </c>
      <c r="O728" s="1" t="s">
        <v>46</v>
      </c>
    </row>
    <row r="729" spans="2:15" x14ac:dyDescent="0.3">
      <c r="B729" s="1" t="s">
        <v>24</v>
      </c>
      <c r="C729" s="1" t="str">
        <f>"5-2차"</f>
        <v>5-2차</v>
      </c>
      <c r="D729" s="1" t="str">
        <f>"0326D7035M"</f>
        <v>0326D7035M</v>
      </c>
      <c r="E729" s="1" t="s">
        <v>10</v>
      </c>
      <c r="F729" s="1" t="str">
        <f>"fde1:103:4:58f9:0:0:0:2"</f>
        <v>fde1:103:4:58f9:0:0:0:2</v>
      </c>
      <c r="G729" s="1" t="str">
        <f>"0326D703"</f>
        <v>0326D703</v>
      </c>
      <c r="H729" s="1" t="str">
        <f>"장평간 6R8"</f>
        <v>장평간 6R8</v>
      </c>
      <c r="I729" s="1" t="s">
        <v>15</v>
      </c>
      <c r="J729" s="1" t="str">
        <f>"43/44"</f>
        <v>43/44</v>
      </c>
      <c r="K729" s="1" t="str">
        <f>"2026-07-29 14:20:47"</f>
        <v>2026-07-29 14:20:47</v>
      </c>
      <c r="L729" s="1" t="str">
        <f>"2023-09-15 11:18:58"</f>
        <v>2023-09-15 11:18:58</v>
      </c>
      <c r="M729" s="1" t="s">
        <v>4</v>
      </c>
      <c r="N729" s="1" t="s">
        <v>38</v>
      </c>
      <c r="O729" s="1" t="s">
        <v>46</v>
      </c>
    </row>
    <row r="730" spans="2:15" x14ac:dyDescent="0.3">
      <c r="B730" s="1" t="s">
        <v>24</v>
      </c>
      <c r="C730" s="1" t="str">
        <f>"5-2차"</f>
        <v>5-2차</v>
      </c>
      <c r="D730" s="1" t="str">
        <f>"0326D7745M"</f>
        <v>0326D7745M</v>
      </c>
      <c r="E730" s="1" t="s">
        <v>10</v>
      </c>
      <c r="F730" s="1" t="str">
        <f>"fde3:102:1430:3200:0:0:0:9"</f>
        <v>fde3:102:1430:3200:0:0:0:9</v>
      </c>
      <c r="G730" s="1" t="str">
        <f>"0326D774"</f>
        <v>0326D774</v>
      </c>
      <c r="H730" s="1" t="str">
        <f>"군안간 56R3"</f>
        <v>군안간 56R3</v>
      </c>
      <c r="I730" s="1" t="s">
        <v>15</v>
      </c>
      <c r="J730" s="1" t="str">
        <f>"47/47"</f>
        <v>47/47</v>
      </c>
      <c r="K730" s="1" t="str">
        <f>"2026-07-29 14:20:48"</f>
        <v>2026-07-29 14:20:48</v>
      </c>
      <c r="L730" s="1" t="str">
        <f>"2023-10-05 14:00:10"</f>
        <v>2023-10-05 14:00:10</v>
      </c>
      <c r="M730" s="1" t="s">
        <v>45</v>
      </c>
      <c r="N730" s="1" t="s">
        <v>38</v>
      </c>
      <c r="O730" s="1" t="s">
        <v>46</v>
      </c>
    </row>
    <row r="731" spans="2:15" x14ac:dyDescent="0.3">
      <c r="B731" s="1" t="s">
        <v>24</v>
      </c>
      <c r="C731" s="1" t="str">
        <f>"4차"</f>
        <v>4차</v>
      </c>
      <c r="D731" s="1" t="str">
        <f>"0326D78141"</f>
        <v>0326D78141</v>
      </c>
      <c r="E731" s="1" t="s">
        <v>10</v>
      </c>
      <c r="F731" s="1" t="str">
        <f>"10.14.2.48"</f>
        <v>10.14.2.48</v>
      </c>
      <c r="G731" s="1" t="str">
        <f>"0326D781"</f>
        <v>0326D781</v>
      </c>
      <c r="H731" s="1" t="str">
        <f>"군안간 58R1"</f>
        <v>군안간 58R1</v>
      </c>
      <c r="I731" s="1" t="s">
        <v>17</v>
      </c>
      <c r="J731" s="1" t="str">
        <f>"15/17"</f>
        <v>15/17</v>
      </c>
      <c r="K731" s="1" t="str">
        <f>"2026-07-29 13:18:04"</f>
        <v>2026-07-29 13:18:04</v>
      </c>
      <c r="L731" s="1" t="str">
        <f>"2021-11-18 18:09:22"</f>
        <v>2021-11-18 18:09:22</v>
      </c>
      <c r="M731" s="1" t="s">
        <v>3</v>
      </c>
      <c r="N731" s="1" t="s">
        <v>38</v>
      </c>
      <c r="O731" s="1" t="s">
        <v>46</v>
      </c>
    </row>
    <row r="732" spans="2:15" x14ac:dyDescent="0.3">
      <c r="B732" s="1" t="s">
        <v>24</v>
      </c>
      <c r="C732" s="1" t="str">
        <f>"4차"</f>
        <v>4차</v>
      </c>
      <c r="D732" s="1" t="str">
        <f>"0326D80241"</f>
        <v>0326D80241</v>
      </c>
      <c r="E732" s="1" t="s">
        <v>10</v>
      </c>
      <c r="F732" s="1" t="str">
        <f>"10.12.131.1"</f>
        <v>10.12.131.1</v>
      </c>
      <c r="G732" s="1" t="str">
        <f>"0326D802"</f>
        <v>0326D802</v>
      </c>
      <c r="H732" s="1" t="str">
        <f>"장평간 6R11L2"</f>
        <v>장평간 6R11L2</v>
      </c>
      <c r="I732" s="1" t="s">
        <v>17</v>
      </c>
      <c r="J732" s="1" t="str">
        <f>"42/42"</f>
        <v>42/42</v>
      </c>
      <c r="K732" s="1" t="str">
        <f>"2026-07-29 13:18:03"</f>
        <v>2026-07-29 13:18:03</v>
      </c>
      <c r="L732" s="1" t="str">
        <f>"2021-10-22 11:59:52"</f>
        <v>2021-10-22 11:59:52</v>
      </c>
      <c r="M732" s="1" t="s">
        <v>0</v>
      </c>
      <c r="N732" s="1" t="s">
        <v>38</v>
      </c>
      <c r="O732" s="1" t="s">
        <v>46</v>
      </c>
    </row>
    <row r="733" spans="2:15" x14ac:dyDescent="0.3">
      <c r="B733" s="1" t="s">
        <v>24</v>
      </c>
      <c r="C733" s="1" t="str">
        <f>"5-1차"</f>
        <v>5-1차</v>
      </c>
      <c r="D733" s="1" t="str">
        <f>"0326D8215M"</f>
        <v>0326D8215M</v>
      </c>
      <c r="E733" s="1" t="s">
        <v>10</v>
      </c>
      <c r="F733" s="1" t="str">
        <f>"fde2:104:0:124:0:0:0:2"</f>
        <v>fde2:104:0:124:0:0:0:2</v>
      </c>
      <c r="G733" s="1" t="str">
        <f>"0326D821"</f>
        <v>0326D821</v>
      </c>
      <c r="H733" s="1" t="str">
        <f>"장평간 6R6"</f>
        <v>장평간 6R6</v>
      </c>
      <c r="I733" s="1" t="s">
        <v>15</v>
      </c>
      <c r="J733" s="1" t="str">
        <f>"44/44"</f>
        <v>44/44</v>
      </c>
      <c r="K733" s="1" t="str">
        <f>"2026-07-29 14:20:56"</f>
        <v>2026-07-29 14:20:56</v>
      </c>
      <c r="L733" s="1" t="str">
        <f>"2022-10-07 07:58:59"</f>
        <v>2022-10-07 07:58:59</v>
      </c>
      <c r="M733" s="1" t="s">
        <v>42</v>
      </c>
      <c r="N733" s="1" t="s">
        <v>38</v>
      </c>
      <c r="O733" s="1" t="s">
        <v>46</v>
      </c>
    </row>
    <row r="734" spans="2:15" x14ac:dyDescent="0.3">
      <c r="B734" s="1" t="s">
        <v>24</v>
      </c>
      <c r="C734" s="1" t="str">
        <f>"5-2차"</f>
        <v>5-2차</v>
      </c>
      <c r="D734" s="1" t="str">
        <f>"0326D8635M"</f>
        <v>0326D8635M</v>
      </c>
      <c r="E734" s="1" t="s">
        <v>10</v>
      </c>
      <c r="F734" s="1" t="str">
        <f>"fde3:102:1430:3200:0:0:0:a"</f>
        <v>fde3:102:1430:3200:0:0:0:a</v>
      </c>
      <c r="G734" s="1" t="str">
        <f>"0326D863"</f>
        <v>0326D863</v>
      </c>
      <c r="H734" s="1" t="str">
        <f>"군안간 56R4"</f>
        <v>군안간 56R4</v>
      </c>
      <c r="I734" s="1" t="s">
        <v>15</v>
      </c>
      <c r="J734" s="1" t="str">
        <f>"49/49"</f>
        <v>49/49</v>
      </c>
      <c r="K734" s="1" t="str">
        <f>"2026-07-29 14:20:49"</f>
        <v>2026-07-29 14:20:49</v>
      </c>
      <c r="L734" s="1" t="str">
        <f>"2023-09-27 15:36:58"</f>
        <v>2023-09-27 15:36:58</v>
      </c>
      <c r="M734" s="1" t="s">
        <v>45</v>
      </c>
      <c r="N734" s="1" t="s">
        <v>38</v>
      </c>
      <c r="O734" s="1" t="s">
        <v>46</v>
      </c>
    </row>
    <row r="735" spans="2:15" x14ac:dyDescent="0.3">
      <c r="B735" s="1" t="s">
        <v>24</v>
      </c>
      <c r="C735" s="1" t="str">
        <f>"6차"</f>
        <v>6차</v>
      </c>
      <c r="D735" s="1" t="str">
        <f>"0326D8726S"</f>
        <v>0326D8726S</v>
      </c>
      <c r="E735" s="1" t="s">
        <v>10</v>
      </c>
      <c r="F735" s="1" t="str">
        <f>"fde1:103:4:c6c3:0:0:0:2"</f>
        <v>fde1:103:4:c6c3:0:0:0:2</v>
      </c>
      <c r="G735" s="1" t="str">
        <f>"0326D872"</f>
        <v>0326D872</v>
      </c>
      <c r="H735" s="1" t="str">
        <f>"군안간 56R4L1"</f>
        <v>군안간 56R4L1</v>
      </c>
      <c r="I735" s="1" t="s">
        <v>15</v>
      </c>
      <c r="J735" s="1" t="str">
        <f>"82/84"</f>
        <v>82/84</v>
      </c>
      <c r="K735" s="1" t="str">
        <f>"2026-07-29 14:20:50"</f>
        <v>2026-07-29 14:20:50</v>
      </c>
      <c r="L735" s="1" t="str">
        <f>"2024-09-27 16:43:19"</f>
        <v>2024-09-27 16:43:19</v>
      </c>
      <c r="M735" s="1" t="s">
        <v>4</v>
      </c>
      <c r="N735" s="1" t="s">
        <v>38</v>
      </c>
      <c r="O735" s="1" t="s">
        <v>46</v>
      </c>
    </row>
    <row r="736" spans="2:15" x14ac:dyDescent="0.3">
      <c r="B736" s="1" t="s">
        <v>24</v>
      </c>
      <c r="C736" s="1" t="str">
        <f>"4차"</f>
        <v>4차</v>
      </c>
      <c r="D736" s="1" t="str">
        <f>"0326D92141"</f>
        <v>0326D92141</v>
      </c>
      <c r="E736" s="1" t="s">
        <v>10</v>
      </c>
      <c r="F736" s="1" t="str">
        <f>"10.14.15.38"</f>
        <v>10.14.15.38</v>
      </c>
      <c r="G736" s="1" t="str">
        <f>"0326D921"</f>
        <v>0326D921</v>
      </c>
      <c r="H736" s="1" t="str">
        <f>"장평간 6R11L4"</f>
        <v>장평간 6R11L4</v>
      </c>
      <c r="I736" s="1" t="s">
        <v>17</v>
      </c>
      <c r="J736" s="1" t="str">
        <f>"19/19"</f>
        <v>19/19</v>
      </c>
      <c r="K736" s="1" t="str">
        <f>"2026-07-29 13:18:03"</f>
        <v>2026-07-29 13:18:03</v>
      </c>
      <c r="L736" s="1" t="str">
        <f>"2021-10-25 07:45:35"</f>
        <v>2021-10-25 07:45:35</v>
      </c>
      <c r="M736" s="1" t="s">
        <v>3</v>
      </c>
      <c r="N736" s="1" t="s">
        <v>38</v>
      </c>
      <c r="O736" s="1" t="s">
        <v>46</v>
      </c>
    </row>
    <row r="737" spans="2:15" x14ac:dyDescent="0.3">
      <c r="B737" s="1" t="s">
        <v>24</v>
      </c>
      <c r="C737" s="1" t="str">
        <f>"5-2차"</f>
        <v>5-2차</v>
      </c>
      <c r="D737" s="1" t="str">
        <f>"0326D9325M"</f>
        <v>0326D9325M</v>
      </c>
      <c r="E737" s="1" t="s">
        <v>10</v>
      </c>
      <c r="F737" s="1" t="str">
        <f>"fde3:102:1430:3400:0:0:0:11"</f>
        <v>fde3:102:1430:3400:0:0:0:11</v>
      </c>
      <c r="G737" s="1" t="str">
        <f>"0326D932"</f>
        <v>0326D932</v>
      </c>
      <c r="H737" s="1" t="str">
        <f>"장평간 6R3"</f>
        <v>장평간 6R3</v>
      </c>
      <c r="I737" s="1" t="s">
        <v>15</v>
      </c>
      <c r="J737" s="1" t="str">
        <f>"31/31"</f>
        <v>31/31</v>
      </c>
      <c r="K737" s="1" t="str">
        <f>"2026-07-29 14:20:49"</f>
        <v>2026-07-29 14:20:49</v>
      </c>
      <c r="L737" s="1" t="str">
        <f>"2023-10-02 10:16:58"</f>
        <v>2023-10-02 10:16:58</v>
      </c>
      <c r="M737" s="1" t="s">
        <v>45</v>
      </c>
      <c r="N737" s="1" t="s">
        <v>38</v>
      </c>
      <c r="O737" s="1" t="s">
        <v>46</v>
      </c>
    </row>
    <row r="738" spans="2:15" x14ac:dyDescent="0.3">
      <c r="B738" s="1" t="s">
        <v>24</v>
      </c>
      <c r="C738" s="1" t="str">
        <f>"1차"</f>
        <v>1차</v>
      </c>
      <c r="D738" s="1" t="str">
        <f>"0326D97200"</f>
        <v>0326D97200</v>
      </c>
      <c r="E738" s="1" t="s">
        <v>10</v>
      </c>
      <c r="F738" s="1" t="str">
        <f>"10.125.119.98"</f>
        <v>10.125.119.98</v>
      </c>
      <c r="G738" s="1" t="str">
        <f>"0326D972"</f>
        <v>0326D972</v>
      </c>
      <c r="H738" s="1" t="str">
        <f>"군안간 49R3"</f>
        <v>군안간 49R3</v>
      </c>
      <c r="I738" s="1" t="s">
        <v>8</v>
      </c>
      <c r="J738" s="1" t="str">
        <f>"32/32"</f>
        <v>32/32</v>
      </c>
      <c r="K738" s="1" t="str">
        <f>"2026-07-29 13:18:01"</f>
        <v>2026-07-29 13:18:01</v>
      </c>
      <c r="L738" s="1" t="str">
        <f>"2014-11-27 16:00:11"</f>
        <v>2014-11-27 16:00:11</v>
      </c>
      <c r="M738" s="1" t="s">
        <v>45</v>
      </c>
      <c r="N738" s="1" t="s">
        <v>38</v>
      </c>
      <c r="O738" s="1" t="s">
        <v>46</v>
      </c>
    </row>
    <row r="739" spans="2:15" x14ac:dyDescent="0.3">
      <c r="B739" s="1" t="s">
        <v>24</v>
      </c>
      <c r="C739" s="1" t="str">
        <f t="shared" ref="C739:C746" si="39">"5-2차"</f>
        <v>5-2차</v>
      </c>
      <c r="D739" s="1" t="str">
        <f>"0326D9915S"</f>
        <v>0326D9915S</v>
      </c>
      <c r="E739" s="1" t="s">
        <v>10</v>
      </c>
      <c r="F739" s="1" t="str">
        <f>"fde3:102:1430:3200:0:0:0:6"</f>
        <v>fde3:102:1430:3200:0:0:0:6</v>
      </c>
      <c r="G739" s="1" t="str">
        <f>"0326D991"</f>
        <v>0326D991</v>
      </c>
      <c r="H739" s="1" t="str">
        <f>"군안간 61R3"</f>
        <v>군안간 61R3</v>
      </c>
      <c r="I739" s="1" t="s">
        <v>15</v>
      </c>
      <c r="J739" s="1" t="str">
        <f>"61/61"</f>
        <v>61/61</v>
      </c>
      <c r="K739" s="1" t="str">
        <f>"2026-07-29 14:20:50"</f>
        <v>2026-07-29 14:20:50</v>
      </c>
      <c r="L739" s="1" t="str">
        <f>"2023-09-17 12:02:40"</f>
        <v>2023-09-17 12:02:40</v>
      </c>
      <c r="M739" s="1" t="s">
        <v>45</v>
      </c>
      <c r="N739" s="1" t="s">
        <v>38</v>
      </c>
      <c r="O739" s="1" t="s">
        <v>46</v>
      </c>
    </row>
    <row r="740" spans="2:15" x14ac:dyDescent="0.3">
      <c r="B740" s="1" t="s">
        <v>24</v>
      </c>
      <c r="C740" s="1" t="str">
        <f t="shared" si="39"/>
        <v>5-2차</v>
      </c>
      <c r="D740" s="1" t="str">
        <f>"0326E0045M"</f>
        <v>0326E0045M</v>
      </c>
      <c r="E740" s="1" t="s">
        <v>10</v>
      </c>
      <c r="F740" s="1" t="str">
        <f>"fde3:102:1430:3200:0:0:0:4"</f>
        <v>fde3:102:1430:3200:0:0:0:4</v>
      </c>
      <c r="G740" s="1" t="str">
        <f>"0326E004"</f>
        <v>0326E004</v>
      </c>
      <c r="H740" s="1" t="str">
        <f>"군안간 49R7"</f>
        <v>군안간 49R7</v>
      </c>
      <c r="I740" s="1" t="s">
        <v>15</v>
      </c>
      <c r="J740" s="1" t="str">
        <f>"42/42"</f>
        <v>42/42</v>
      </c>
      <c r="K740" s="1" t="str">
        <f>"2026-07-29 14:20:50"</f>
        <v>2026-07-29 14:20:50</v>
      </c>
      <c r="L740" s="1" t="str">
        <f>"2023-09-17 11:34:39"</f>
        <v>2023-09-17 11:34:39</v>
      </c>
      <c r="M740" s="1" t="s">
        <v>45</v>
      </c>
      <c r="N740" s="1" t="s">
        <v>38</v>
      </c>
      <c r="O740" s="1" t="s">
        <v>46</v>
      </c>
    </row>
    <row r="741" spans="2:15" x14ac:dyDescent="0.3">
      <c r="B741" s="1" t="s">
        <v>24</v>
      </c>
      <c r="C741" s="1" t="str">
        <f t="shared" si="39"/>
        <v>5-2차</v>
      </c>
      <c r="D741" s="1" t="str">
        <f>"0326E0115M"</f>
        <v>0326E0115M</v>
      </c>
      <c r="E741" s="1" t="s">
        <v>10</v>
      </c>
      <c r="F741" s="1" t="str">
        <f>"fde1:103:4:5867:0:0:0:2"</f>
        <v>fde1:103:4:5867:0:0:0:2</v>
      </c>
      <c r="G741" s="1" t="str">
        <f>"0326E011"</f>
        <v>0326E011</v>
      </c>
      <c r="H741" s="1" t="str">
        <f>"군안간 49R8"</f>
        <v>군안간 49R8</v>
      </c>
      <c r="I741" s="1" t="s">
        <v>15</v>
      </c>
      <c r="J741" s="1" t="str">
        <f>"35/35"</f>
        <v>35/35</v>
      </c>
      <c r="K741" s="1" t="str">
        <f>"2026-07-29 14:20:51"</f>
        <v>2026-07-29 14:20:51</v>
      </c>
      <c r="L741" s="1" t="str">
        <f>"2023-09-15 11:15:22"</f>
        <v>2023-09-15 11:15:22</v>
      </c>
      <c r="M741" s="1" t="s">
        <v>4</v>
      </c>
      <c r="N741" s="1" t="s">
        <v>38</v>
      </c>
      <c r="O741" s="1" t="s">
        <v>46</v>
      </c>
    </row>
    <row r="742" spans="2:15" x14ac:dyDescent="0.3">
      <c r="B742" s="1" t="s">
        <v>24</v>
      </c>
      <c r="C742" s="1" t="str">
        <f t="shared" si="39"/>
        <v>5-2차</v>
      </c>
      <c r="D742" s="1" t="str">
        <f>"0326E0325M"</f>
        <v>0326E0325M</v>
      </c>
      <c r="E742" s="1" t="s">
        <v>10</v>
      </c>
      <c r="F742" s="1" t="str">
        <f>"fde1:103:4:5a44:0:0:0:2"</f>
        <v>fde1:103:4:5a44:0:0:0:2</v>
      </c>
      <c r="G742" s="1" t="str">
        <f>"0326E032"</f>
        <v>0326E032</v>
      </c>
      <c r="H742" s="1" t="str">
        <f>"군안간 5R7"</f>
        <v>군안간 5R7</v>
      </c>
      <c r="I742" s="1" t="s">
        <v>15</v>
      </c>
      <c r="J742" s="1" t="str">
        <f>"100/101"</f>
        <v>100/101</v>
      </c>
      <c r="K742" s="1" t="str">
        <f>"2026-07-29 14:20:52"</f>
        <v>2026-07-29 14:20:52</v>
      </c>
      <c r="L742" s="1" t="str">
        <f>"2023-09-15 11:16:39"</f>
        <v>2023-09-15 11:16:39</v>
      </c>
      <c r="M742" s="1" t="s">
        <v>4</v>
      </c>
      <c r="N742" s="1" t="s">
        <v>38</v>
      </c>
      <c r="O742" s="1" t="s">
        <v>46</v>
      </c>
    </row>
    <row r="743" spans="2:15" x14ac:dyDescent="0.3">
      <c r="B743" s="1" t="s">
        <v>24</v>
      </c>
      <c r="C743" s="1" t="str">
        <f t="shared" si="39"/>
        <v>5-2차</v>
      </c>
      <c r="D743" s="1" t="str">
        <f>"0326E0335S"</f>
        <v>0326E0335S</v>
      </c>
      <c r="E743" s="1" t="s">
        <v>10</v>
      </c>
      <c r="F743" s="1" t="str">
        <f>"fde1:103:4:5826:0:0:0:2"</f>
        <v>fde1:103:4:5826:0:0:0:2</v>
      </c>
      <c r="G743" s="1" t="str">
        <f>"0326E033"</f>
        <v>0326E033</v>
      </c>
      <c r="H743" s="1" t="str">
        <f>"군안간 65R5"</f>
        <v>군안간 65R5</v>
      </c>
      <c r="I743" s="1" t="s">
        <v>15</v>
      </c>
      <c r="J743" s="1" t="str">
        <f>"76/76"</f>
        <v>76/76</v>
      </c>
      <c r="K743" s="1" t="str">
        <f>"2026-07-29 14:20:51"</f>
        <v>2026-07-29 14:20:51</v>
      </c>
      <c r="L743" s="1" t="str">
        <f>"2023-09-15 11:38:55"</f>
        <v>2023-09-15 11:38:55</v>
      </c>
      <c r="M743" s="1" t="s">
        <v>4</v>
      </c>
      <c r="N743" s="1" t="s">
        <v>38</v>
      </c>
      <c r="O743" s="1" t="s">
        <v>46</v>
      </c>
    </row>
    <row r="744" spans="2:15" x14ac:dyDescent="0.3">
      <c r="B744" s="1" t="s">
        <v>24</v>
      </c>
      <c r="C744" s="1" t="str">
        <f t="shared" si="39"/>
        <v>5-2차</v>
      </c>
      <c r="D744" s="1" t="str">
        <f>"0326E0435M"</f>
        <v>0326E0435M</v>
      </c>
      <c r="E744" s="1" t="s">
        <v>10</v>
      </c>
      <c r="F744" s="1" t="str">
        <f>"fde1:103:4:5849:0:0:0:2"</f>
        <v>fde1:103:4:5849:0:0:0:2</v>
      </c>
      <c r="G744" s="1" t="str">
        <f>"0326E043"</f>
        <v>0326E043</v>
      </c>
      <c r="H744" s="1" t="str">
        <f>"군안간 5R5"</f>
        <v>군안간 5R5</v>
      </c>
      <c r="I744" s="1" t="s">
        <v>15</v>
      </c>
      <c r="J744" s="1" t="str">
        <f>"52/52"</f>
        <v>52/52</v>
      </c>
      <c r="K744" s="1" t="str">
        <f>"2026-07-29 14:20:52"</f>
        <v>2026-07-29 14:20:52</v>
      </c>
      <c r="L744" s="1" t="str">
        <f>"2023-09-15 11:39:52"</f>
        <v>2023-09-15 11:39:52</v>
      </c>
      <c r="M744" s="1" t="s">
        <v>4</v>
      </c>
      <c r="N744" s="1" t="s">
        <v>38</v>
      </c>
      <c r="O744" s="1" t="s">
        <v>46</v>
      </c>
    </row>
    <row r="745" spans="2:15" x14ac:dyDescent="0.3">
      <c r="B745" s="1" t="s">
        <v>24</v>
      </c>
      <c r="C745" s="1" t="str">
        <f t="shared" si="39"/>
        <v>5-2차</v>
      </c>
      <c r="D745" s="1" t="str">
        <f>"0326E0625M"</f>
        <v>0326E0625M</v>
      </c>
      <c r="E745" s="1" t="s">
        <v>10</v>
      </c>
      <c r="F745" s="1" t="str">
        <f>"fde1:103:4:58de:0:0:0:2"</f>
        <v>fde1:103:4:58de:0:0:0:2</v>
      </c>
      <c r="G745" s="1" t="str">
        <f>"0326E062"</f>
        <v>0326E062</v>
      </c>
      <c r="H745" s="1" t="str">
        <f>"군안간 70R2"</f>
        <v>군안간 70R2</v>
      </c>
      <c r="I745" s="1" t="s">
        <v>15</v>
      </c>
      <c r="J745" s="1" t="str">
        <f>"72/72"</f>
        <v>72/72</v>
      </c>
      <c r="K745" s="1" t="str">
        <f>"2026-07-29 14:20:57"</f>
        <v>2026-07-29 14:20:57</v>
      </c>
      <c r="L745" s="1" t="str">
        <f>"2023-09-15 11:41:08"</f>
        <v>2023-09-15 11:41:08</v>
      </c>
      <c r="M745" s="1" t="s">
        <v>4</v>
      </c>
      <c r="N745" s="1" t="s">
        <v>38</v>
      </c>
      <c r="O745" s="1" t="s">
        <v>46</v>
      </c>
    </row>
    <row r="746" spans="2:15" x14ac:dyDescent="0.3">
      <c r="B746" s="1" t="s">
        <v>24</v>
      </c>
      <c r="C746" s="1" t="str">
        <f t="shared" si="39"/>
        <v>5-2차</v>
      </c>
      <c r="D746" s="1" t="str">
        <f>"0326E0635M"</f>
        <v>0326E0635M</v>
      </c>
      <c r="E746" s="1" t="s">
        <v>10</v>
      </c>
      <c r="F746" s="1" t="str">
        <f>"fde1:103:4:5a2d:0:0:0:2"</f>
        <v>fde1:103:4:5a2d:0:0:0:2</v>
      </c>
      <c r="G746" s="1" t="str">
        <f>"0326E063"</f>
        <v>0326E063</v>
      </c>
      <c r="H746" s="1" t="str">
        <f>"군안간 5R3R1"</f>
        <v>군안간 5R3R1</v>
      </c>
      <c r="I746" s="1" t="s">
        <v>15</v>
      </c>
      <c r="J746" s="1" t="str">
        <f>"50/50"</f>
        <v>50/50</v>
      </c>
      <c r="K746" s="1" t="str">
        <f>"2026-07-29 14:20:55"</f>
        <v>2026-07-29 14:20:55</v>
      </c>
      <c r="L746" s="1" t="str">
        <f>"2023-09-15 13:16:05"</f>
        <v>2023-09-15 13:16:05</v>
      </c>
      <c r="M746" s="1" t="s">
        <v>4</v>
      </c>
      <c r="N746" s="1" t="s">
        <v>38</v>
      </c>
      <c r="O746" s="1" t="s">
        <v>46</v>
      </c>
    </row>
    <row r="747" spans="2:15" x14ac:dyDescent="0.3">
      <c r="B747" s="1" t="s">
        <v>24</v>
      </c>
      <c r="C747" s="1" t="s">
        <v>16</v>
      </c>
      <c r="D747" s="1" t="str">
        <f>"0326E08741"</f>
        <v>0326E08741</v>
      </c>
      <c r="E747" s="1" t="s">
        <v>10</v>
      </c>
      <c r="F747" s="1" t="str">
        <f>"10.12.133.199"</f>
        <v>10.12.133.199</v>
      </c>
      <c r="G747" s="1" t="str">
        <f>"0326E087"</f>
        <v>0326E087</v>
      </c>
      <c r="H747" s="1" t="str">
        <f>"군안간 3"</f>
        <v>군안간 3</v>
      </c>
      <c r="I747" s="1" t="s">
        <v>17</v>
      </c>
      <c r="J747" s="1" t="str">
        <f>"24/25"</f>
        <v>24/25</v>
      </c>
      <c r="K747" s="1" t="str">
        <f>"2026-07-29 13:18:03"</f>
        <v>2026-07-29 13:18:03</v>
      </c>
      <c r="L747" s="1" t="str">
        <f>"2022-11-10 08:50:49"</f>
        <v>2022-11-10 08:50:49</v>
      </c>
      <c r="M747" s="1" t="s">
        <v>0</v>
      </c>
      <c r="N747" s="1" t="s">
        <v>38</v>
      </c>
      <c r="O747" s="1" t="s">
        <v>46</v>
      </c>
    </row>
    <row r="748" spans="2:15" x14ac:dyDescent="0.3">
      <c r="B748" s="1" t="s">
        <v>24</v>
      </c>
      <c r="C748" s="1" t="str">
        <f t="shared" ref="C748:C756" si="40">"5-2차"</f>
        <v>5-2차</v>
      </c>
      <c r="D748" s="1" t="str">
        <f>"0326E1015M"</f>
        <v>0326E1015M</v>
      </c>
      <c r="E748" s="1" t="s">
        <v>10</v>
      </c>
      <c r="F748" s="1" t="str">
        <f>"fde3:102:1430:3200:0:0:0:3"</f>
        <v>fde3:102:1430:3200:0:0:0:3</v>
      </c>
      <c r="G748" s="1" t="str">
        <f>"0326E101"</f>
        <v>0326E101</v>
      </c>
      <c r="H748" s="1" t="str">
        <f>"군안간 26R6L3"</f>
        <v>군안간 26R6L3</v>
      </c>
      <c r="I748" s="1" t="s">
        <v>15</v>
      </c>
      <c r="J748" s="1" t="str">
        <f>"43/43"</f>
        <v>43/43</v>
      </c>
      <c r="K748" s="1" t="str">
        <f>"2026-07-29 14:20:51"</f>
        <v>2026-07-29 14:20:51</v>
      </c>
      <c r="L748" s="1" t="str">
        <f>"2023-09-05 13:44:30"</f>
        <v>2023-09-05 13:44:30</v>
      </c>
      <c r="M748" s="1" t="s">
        <v>45</v>
      </c>
      <c r="N748" s="1" t="s">
        <v>38</v>
      </c>
      <c r="O748" s="1" t="s">
        <v>46</v>
      </c>
    </row>
    <row r="749" spans="2:15" x14ac:dyDescent="0.3">
      <c r="B749" s="1" t="s">
        <v>24</v>
      </c>
      <c r="C749" s="1" t="str">
        <f t="shared" si="40"/>
        <v>5-2차</v>
      </c>
      <c r="D749" s="1" t="str">
        <f>"0326E1125M"</f>
        <v>0326E1125M</v>
      </c>
      <c r="E749" s="1" t="s">
        <v>10</v>
      </c>
      <c r="F749" s="1" t="str">
        <f>"fde1:103:4:58d7:0:0:0:2"</f>
        <v>fde1:103:4:58d7:0:0:0:2</v>
      </c>
      <c r="G749" s="1" t="str">
        <f>"0326E112"</f>
        <v>0326E112</v>
      </c>
      <c r="H749" s="1" t="str">
        <f>"군안간 26R8"</f>
        <v>군안간 26R8</v>
      </c>
      <c r="I749" s="1" t="s">
        <v>15</v>
      </c>
      <c r="J749" s="1" t="str">
        <f>"37/37"</f>
        <v>37/37</v>
      </c>
      <c r="K749" s="1" t="str">
        <f>"2026-07-29 14:20:53"</f>
        <v>2026-07-29 14:20:53</v>
      </c>
      <c r="L749" s="1" t="str">
        <f>"2023-09-15 13:16:51"</f>
        <v>2023-09-15 13:16:51</v>
      </c>
      <c r="M749" s="1" t="s">
        <v>4</v>
      </c>
      <c r="N749" s="1" t="s">
        <v>38</v>
      </c>
      <c r="O749" s="1" t="s">
        <v>46</v>
      </c>
    </row>
    <row r="750" spans="2:15" x14ac:dyDescent="0.3">
      <c r="B750" s="1" t="s">
        <v>24</v>
      </c>
      <c r="C750" s="1" t="str">
        <f t="shared" si="40"/>
        <v>5-2차</v>
      </c>
      <c r="D750" s="1" t="str">
        <f>"0326E1425M"</f>
        <v>0326E1425M</v>
      </c>
      <c r="E750" s="1" t="s">
        <v>10</v>
      </c>
      <c r="F750" s="1" t="str">
        <f>"fde1:103:4:5843:0:0:0:2"</f>
        <v>fde1:103:4:5843:0:0:0:2</v>
      </c>
      <c r="G750" s="1" t="str">
        <f>"0326E142"</f>
        <v>0326E142</v>
      </c>
      <c r="H750" s="1" t="str">
        <f>"군안간 7R6"</f>
        <v>군안간 7R6</v>
      </c>
      <c r="I750" s="1" t="s">
        <v>15</v>
      </c>
      <c r="J750" s="1" t="str">
        <f>"48/48"</f>
        <v>48/48</v>
      </c>
      <c r="K750" s="1" t="str">
        <f>"2026-07-29 14:20:52"</f>
        <v>2026-07-29 14:20:52</v>
      </c>
      <c r="L750" s="1" t="str">
        <f>"2023-09-15 13:30:47"</f>
        <v>2023-09-15 13:30:47</v>
      </c>
      <c r="M750" s="1" t="s">
        <v>4</v>
      </c>
      <c r="N750" s="1" t="s">
        <v>38</v>
      </c>
      <c r="O750" s="1" t="s">
        <v>46</v>
      </c>
    </row>
    <row r="751" spans="2:15" x14ac:dyDescent="0.3">
      <c r="B751" s="1" t="s">
        <v>24</v>
      </c>
      <c r="C751" s="1" t="str">
        <f t="shared" si="40"/>
        <v>5-2차</v>
      </c>
      <c r="D751" s="1" t="str">
        <f>"0326E1525M"</f>
        <v>0326E1525M</v>
      </c>
      <c r="E751" s="1" t="s">
        <v>10</v>
      </c>
      <c r="F751" s="1" t="str">
        <f>"fde1:103:4:57a2:0:0:0:2"</f>
        <v>fde1:103:4:57a2:0:0:0:2</v>
      </c>
      <c r="G751" s="1" t="str">
        <f>"0326E152"</f>
        <v>0326E152</v>
      </c>
      <c r="H751" s="1" t="str">
        <f>"군안간 5R4"</f>
        <v>군안간 5R4</v>
      </c>
      <c r="I751" s="1" t="s">
        <v>15</v>
      </c>
      <c r="J751" s="1" t="str">
        <f>"66/66"</f>
        <v>66/66</v>
      </c>
      <c r="K751" s="1" t="str">
        <f>"2026-07-29 14:20:19"</f>
        <v>2026-07-29 14:20:19</v>
      </c>
      <c r="L751" s="1" t="str">
        <f>"2023-09-15 13:39:38"</f>
        <v>2023-09-15 13:39:38</v>
      </c>
      <c r="M751" s="1" t="s">
        <v>4</v>
      </c>
      <c r="N751" s="1" t="s">
        <v>38</v>
      </c>
      <c r="O751" s="1" t="s">
        <v>46</v>
      </c>
    </row>
    <row r="752" spans="2:15" x14ac:dyDescent="0.3">
      <c r="B752" s="1" t="s">
        <v>24</v>
      </c>
      <c r="C752" s="1" t="str">
        <f t="shared" si="40"/>
        <v>5-2차</v>
      </c>
      <c r="D752" s="1" t="str">
        <f>"0326E1745M"</f>
        <v>0326E1745M</v>
      </c>
      <c r="E752" s="1" t="s">
        <v>10</v>
      </c>
      <c r="F752" s="1" t="str">
        <f>"fde1:103:4:591e:0:0:0:2"</f>
        <v>fde1:103:4:591e:0:0:0:2</v>
      </c>
      <c r="G752" s="1" t="str">
        <f>"0326E174"</f>
        <v>0326E174</v>
      </c>
      <c r="H752" s="1" t="str">
        <f>"군안간 5R2"</f>
        <v>군안간 5R2</v>
      </c>
      <c r="I752" s="1" t="s">
        <v>15</v>
      </c>
      <c r="J752" s="1" t="str">
        <f>"41/41"</f>
        <v>41/41</v>
      </c>
      <c r="K752" s="1" t="str">
        <f>"2026-07-29 14:20:52"</f>
        <v>2026-07-29 14:20:52</v>
      </c>
      <c r="L752" s="1" t="str">
        <f>"2023-09-15 14:07:54"</f>
        <v>2023-09-15 14:07:54</v>
      </c>
      <c r="M752" s="1" t="s">
        <v>4</v>
      </c>
      <c r="N752" s="1" t="s">
        <v>38</v>
      </c>
      <c r="O752" s="1" t="s">
        <v>46</v>
      </c>
    </row>
    <row r="753" spans="2:15" x14ac:dyDescent="0.3">
      <c r="B753" s="1" t="s">
        <v>24</v>
      </c>
      <c r="C753" s="1" t="str">
        <f t="shared" si="40"/>
        <v>5-2차</v>
      </c>
      <c r="D753" s="1" t="str">
        <f>"0326E2315M"</f>
        <v>0326E2315M</v>
      </c>
      <c r="E753" s="1" t="s">
        <v>10</v>
      </c>
      <c r="F753" s="1" t="str">
        <f>"fde1:103:4:5807:0:0:0:2"</f>
        <v>fde1:103:4:5807:0:0:0:2</v>
      </c>
      <c r="G753" s="1" t="str">
        <f>"0326E231"</f>
        <v>0326E231</v>
      </c>
      <c r="H753" s="1" t="str">
        <f>"군안간 22R5"</f>
        <v>군안간 22R5</v>
      </c>
      <c r="I753" s="1" t="s">
        <v>15</v>
      </c>
      <c r="J753" s="1" t="str">
        <f>"56/56"</f>
        <v>56/56</v>
      </c>
      <c r="K753" s="1" t="str">
        <f>"2026-07-29 14:20:52"</f>
        <v>2026-07-29 14:20:52</v>
      </c>
      <c r="L753" s="1" t="str">
        <f>"2023-09-15 14:09:51"</f>
        <v>2023-09-15 14:09:51</v>
      </c>
      <c r="M753" s="1" t="s">
        <v>4</v>
      </c>
      <c r="N753" s="1" t="s">
        <v>38</v>
      </c>
      <c r="O753" s="1" t="s">
        <v>46</v>
      </c>
    </row>
    <row r="754" spans="2:15" x14ac:dyDescent="0.3">
      <c r="B754" s="1" t="s">
        <v>24</v>
      </c>
      <c r="C754" s="1" t="str">
        <f t="shared" si="40"/>
        <v>5-2차</v>
      </c>
      <c r="D754" s="1" t="str">
        <f>"0326E2535M"</f>
        <v>0326E2535M</v>
      </c>
      <c r="E754" s="1" t="s">
        <v>10</v>
      </c>
      <c r="F754" s="1" t="str">
        <f>"fde3:102:1430:b100:0:0:0:2"</f>
        <v>fde3:102:1430:b100:0:0:0:2</v>
      </c>
      <c r="G754" s="1" t="str">
        <f>"0326E253"</f>
        <v>0326E253</v>
      </c>
      <c r="H754" s="1" t="str">
        <f>"군안간 7R4"</f>
        <v>군안간 7R4</v>
      </c>
      <c r="I754" s="1" t="s">
        <v>15</v>
      </c>
      <c r="J754" s="1" t="str">
        <f>"55/55"</f>
        <v>55/55</v>
      </c>
      <c r="K754" s="1" t="str">
        <f>"2026-07-29 14:20:52"</f>
        <v>2026-07-29 14:20:52</v>
      </c>
      <c r="L754" s="1" t="str">
        <f>"2023-11-27 10:21:54"</f>
        <v>2023-11-27 10:21:54</v>
      </c>
      <c r="M754" s="1" t="s">
        <v>45</v>
      </c>
      <c r="N754" s="1" t="s">
        <v>38</v>
      </c>
      <c r="O754" s="1" t="s">
        <v>46</v>
      </c>
    </row>
    <row r="755" spans="2:15" x14ac:dyDescent="0.3">
      <c r="B755" s="1" t="s">
        <v>24</v>
      </c>
      <c r="C755" s="1" t="str">
        <f t="shared" si="40"/>
        <v>5-2차</v>
      </c>
      <c r="D755" s="1" t="str">
        <f>"0326E2615M"</f>
        <v>0326E2615M</v>
      </c>
      <c r="E755" s="1" t="s">
        <v>10</v>
      </c>
      <c r="F755" s="1" t="str">
        <f>"fde1:103:4:596b:0:0:0:2"</f>
        <v>fde1:103:4:596b:0:0:0:2</v>
      </c>
      <c r="G755" s="1" t="str">
        <f>"0326E261"</f>
        <v>0326E261</v>
      </c>
      <c r="H755" s="1" t="str">
        <f>"군안간 7R3"</f>
        <v>군안간 7R3</v>
      </c>
      <c r="I755" s="1" t="s">
        <v>15</v>
      </c>
      <c r="J755" s="1" t="str">
        <f>"65/66"</f>
        <v>65/66</v>
      </c>
      <c r="K755" s="1" t="str">
        <f>"2026-07-29 14:20:52"</f>
        <v>2026-07-29 14:20:52</v>
      </c>
      <c r="L755" s="1" t="str">
        <f>"2023-09-15 14:43:58"</f>
        <v>2023-09-15 14:43:58</v>
      </c>
      <c r="M755" s="1" t="s">
        <v>4</v>
      </c>
      <c r="N755" s="1" t="s">
        <v>38</v>
      </c>
      <c r="O755" s="1" t="s">
        <v>46</v>
      </c>
    </row>
    <row r="756" spans="2:15" x14ac:dyDescent="0.3">
      <c r="B756" s="1" t="s">
        <v>24</v>
      </c>
      <c r="C756" s="1" t="str">
        <f t="shared" si="40"/>
        <v>5-2차</v>
      </c>
      <c r="D756" s="1" t="str">
        <f>"0326E2715M"</f>
        <v>0326E2715M</v>
      </c>
      <c r="E756" s="1" t="s">
        <v>10</v>
      </c>
      <c r="F756" s="1" t="str">
        <f>"fde1:103:4:59c0:0:0:0:2"</f>
        <v>fde1:103:4:59c0:0:0:0:2</v>
      </c>
      <c r="G756" s="1" t="str">
        <f>"0326E271"</f>
        <v>0326E271</v>
      </c>
      <c r="H756" s="1" t="str">
        <f>"군안간 7R2"</f>
        <v>군안간 7R2</v>
      </c>
      <c r="I756" s="1" t="s">
        <v>15</v>
      </c>
      <c r="J756" s="1" t="str">
        <f>"76/76"</f>
        <v>76/76</v>
      </c>
      <c r="K756" s="1" t="str">
        <f>"2026-07-29 14:20:18"</f>
        <v>2026-07-29 14:20:18</v>
      </c>
      <c r="L756" s="1" t="str">
        <f>"2023-09-15 14:23:04"</f>
        <v>2023-09-15 14:23:04</v>
      </c>
      <c r="M756" s="1" t="s">
        <v>4</v>
      </c>
      <c r="N756" s="1" t="s">
        <v>38</v>
      </c>
      <c r="O756" s="1" t="s">
        <v>46</v>
      </c>
    </row>
    <row r="757" spans="2:15" x14ac:dyDescent="0.3">
      <c r="B757" s="1" t="s">
        <v>24</v>
      </c>
      <c r="C757" s="1" t="str">
        <f>"4차"</f>
        <v>4차</v>
      </c>
      <c r="D757" s="1" t="str">
        <f>"0326E31139"</f>
        <v>0326E31139</v>
      </c>
      <c r="E757" s="1" t="s">
        <v>10</v>
      </c>
      <c r="F757" s="1" t="str">
        <f>"10.12.130.33"</f>
        <v>10.12.130.33</v>
      </c>
      <c r="G757" s="1" t="str">
        <f>"0326E311"</f>
        <v>0326E311</v>
      </c>
      <c r="H757" s="1" t="str">
        <f>"군안간 26R4"</f>
        <v>군안간 26R4</v>
      </c>
      <c r="I757" s="1" t="s">
        <v>17</v>
      </c>
      <c r="J757" s="1" t="str">
        <f>"49/49"</f>
        <v>49/49</v>
      </c>
      <c r="K757" s="1" t="str">
        <f>"2026-07-29 13:18:03"</f>
        <v>2026-07-29 13:18:03</v>
      </c>
      <c r="L757" s="1" t="str">
        <f>"2020-11-17 13:14:59"</f>
        <v>2020-11-17 13:14:59</v>
      </c>
      <c r="M757" s="1" t="s">
        <v>0</v>
      </c>
      <c r="N757" s="1" t="s">
        <v>38</v>
      </c>
      <c r="O757" s="1" t="s">
        <v>46</v>
      </c>
    </row>
    <row r="758" spans="2:15" x14ac:dyDescent="0.3">
      <c r="B758" s="1" t="s">
        <v>24</v>
      </c>
      <c r="C758" s="1" t="str">
        <f>"5-2차"</f>
        <v>5-2차</v>
      </c>
      <c r="D758" s="1" t="str">
        <f>"0326E3415S"</f>
        <v>0326E3415S</v>
      </c>
      <c r="E758" s="1" t="s">
        <v>10</v>
      </c>
      <c r="F758" s="1" t="str">
        <f>"fde1:103:4:5883:0:0:0:2"</f>
        <v>fde1:103:4:5883:0:0:0:2</v>
      </c>
      <c r="G758" s="1" t="str">
        <f>"0326E341"</f>
        <v>0326E341</v>
      </c>
      <c r="H758" s="1" t="str">
        <f>"군안간 22R6"</f>
        <v>군안간 22R6</v>
      </c>
      <c r="I758" s="1" t="s">
        <v>15</v>
      </c>
      <c r="J758" s="1" t="str">
        <f>"48/48"</f>
        <v>48/48</v>
      </c>
      <c r="K758" s="1" t="str">
        <f>"2026-07-29 14:20:53"</f>
        <v>2026-07-29 14:20:53</v>
      </c>
      <c r="L758" s="1" t="str">
        <f>"2023-09-15 14:24:05"</f>
        <v>2023-09-15 14:24:05</v>
      </c>
      <c r="M758" s="1" t="s">
        <v>4</v>
      </c>
      <c r="N758" s="1" t="s">
        <v>38</v>
      </c>
      <c r="O758" s="1" t="s">
        <v>46</v>
      </c>
    </row>
    <row r="759" spans="2:15" x14ac:dyDescent="0.3">
      <c r="B759" s="1" t="s">
        <v>24</v>
      </c>
      <c r="C759" s="1" t="str">
        <f>"5-2차"</f>
        <v>5-2차</v>
      </c>
      <c r="D759" s="1" t="str">
        <f>"0326E3725M"</f>
        <v>0326E3725M</v>
      </c>
      <c r="E759" s="1" t="s">
        <v>10</v>
      </c>
      <c r="F759" s="1" t="str">
        <f>"fde3:102:1430:3200:0:0:0:8"</f>
        <v>fde3:102:1430:3200:0:0:0:8</v>
      </c>
      <c r="G759" s="1" t="str">
        <f>"0326E372"</f>
        <v>0326E372</v>
      </c>
      <c r="H759" s="1" t="str">
        <f>"군안간 10R4"</f>
        <v>군안간 10R4</v>
      </c>
      <c r="I759" s="1" t="s">
        <v>15</v>
      </c>
      <c r="J759" s="1" t="str">
        <f>"28/28"</f>
        <v>28/28</v>
      </c>
      <c r="K759" s="1" t="str">
        <f>"2026-07-29 14:20:52"</f>
        <v>2026-07-29 14:20:52</v>
      </c>
      <c r="L759" s="1" t="str">
        <f>"2023-09-06 07:10:02"</f>
        <v>2023-09-06 07:10:02</v>
      </c>
      <c r="M759" s="1" t="s">
        <v>45</v>
      </c>
      <c r="N759" s="1" t="s">
        <v>38</v>
      </c>
      <c r="O759" s="1" t="s">
        <v>46</v>
      </c>
    </row>
    <row r="760" spans="2:15" x14ac:dyDescent="0.3">
      <c r="B760" s="1" t="s">
        <v>24</v>
      </c>
      <c r="C760" s="1" t="str">
        <f>"5-2차"</f>
        <v>5-2차</v>
      </c>
      <c r="D760" s="1" t="str">
        <f>"0326E3935M"</f>
        <v>0326E3935M</v>
      </c>
      <c r="E760" s="1" t="s">
        <v>10</v>
      </c>
      <c r="F760" s="1" t="str">
        <f>"fde1:103:4:587c:0:0:0:2"</f>
        <v>fde1:103:4:587c:0:0:0:2</v>
      </c>
      <c r="G760" s="1" t="str">
        <f>"0326E393"</f>
        <v>0326E393</v>
      </c>
      <c r="H760" s="1" t="str">
        <f>"뚝방지 42R2R1"</f>
        <v>뚝방지 42R2R1</v>
      </c>
      <c r="I760" s="1" t="s">
        <v>15</v>
      </c>
      <c r="J760" s="1" t="str">
        <f>"38/38"</f>
        <v>38/38</v>
      </c>
      <c r="K760" s="1" t="str">
        <f>"2026-07-29 14:20:18"</f>
        <v>2026-07-29 14:20:18</v>
      </c>
      <c r="L760" s="1" t="str">
        <f>"2023-09-15 14:55:03"</f>
        <v>2023-09-15 14:55:03</v>
      </c>
      <c r="M760" s="1" t="s">
        <v>4</v>
      </c>
      <c r="N760" s="1" t="s">
        <v>38</v>
      </c>
      <c r="O760" s="1" t="s">
        <v>46</v>
      </c>
    </row>
    <row r="761" spans="2:15" x14ac:dyDescent="0.3">
      <c r="B761" s="1" t="s">
        <v>24</v>
      </c>
      <c r="C761" s="1" t="str">
        <f>"5-2차"</f>
        <v>5-2차</v>
      </c>
      <c r="D761" s="1" t="str">
        <f>"0326E4225M"</f>
        <v>0326E4225M</v>
      </c>
      <c r="E761" s="1" t="s">
        <v>10</v>
      </c>
      <c r="F761" s="1" t="str">
        <f>"fde1:103:4:59e6:0:0:0:2"</f>
        <v>fde1:103:4:59e6:0:0:0:2</v>
      </c>
      <c r="G761" s="1" t="str">
        <f>"0326E422"</f>
        <v>0326E422</v>
      </c>
      <c r="H761" s="1" t="str">
        <f>"군안간 22R2L2"</f>
        <v>군안간 22R2L2</v>
      </c>
      <c r="I761" s="1" t="s">
        <v>15</v>
      </c>
      <c r="J761" s="1" t="str">
        <f>"51/55"</f>
        <v>51/55</v>
      </c>
      <c r="K761" s="1" t="str">
        <f>"2026-07-29 14:20:18"</f>
        <v>2026-07-29 14:20:18</v>
      </c>
      <c r="L761" s="1" t="str">
        <f>"2023-09-15 14:56:16"</f>
        <v>2023-09-15 14:56:16</v>
      </c>
      <c r="M761" s="1" t="s">
        <v>4</v>
      </c>
      <c r="N761" s="1" t="s">
        <v>38</v>
      </c>
      <c r="O761" s="1" t="s">
        <v>46</v>
      </c>
    </row>
    <row r="762" spans="2:15" x14ac:dyDescent="0.3">
      <c r="B762" s="1" t="s">
        <v>24</v>
      </c>
      <c r="C762" s="1" t="str">
        <f>"5-2차"</f>
        <v>5-2차</v>
      </c>
      <c r="D762" s="1" t="str">
        <f>"0326E4315M"</f>
        <v>0326E4315M</v>
      </c>
      <c r="E762" s="1" t="s">
        <v>10</v>
      </c>
      <c r="F762" s="1" t="str">
        <f>"fde1:103:4:596c:0:0:0:2"</f>
        <v>fde1:103:4:596c:0:0:0:2</v>
      </c>
      <c r="G762" s="1" t="str">
        <f>"0326E431"</f>
        <v>0326E431</v>
      </c>
      <c r="H762" s="1" t="str">
        <f>"군안간 22R2"</f>
        <v>군안간 22R2</v>
      </c>
      <c r="I762" s="1" t="s">
        <v>15</v>
      </c>
      <c r="J762" s="1" t="str">
        <f>"64/64"</f>
        <v>64/64</v>
      </c>
      <c r="K762" s="1" t="str">
        <f>"2026-07-29 14:20:53"</f>
        <v>2026-07-29 14:20:53</v>
      </c>
      <c r="L762" s="1" t="str">
        <f>"2023-09-15 14:57:59"</f>
        <v>2023-09-15 14:57:59</v>
      </c>
      <c r="M762" s="1" t="s">
        <v>4</v>
      </c>
      <c r="N762" s="1" t="s">
        <v>38</v>
      </c>
      <c r="O762" s="1" t="s">
        <v>46</v>
      </c>
    </row>
    <row r="763" spans="2:15" x14ac:dyDescent="0.3">
      <c r="B763" s="1" t="s">
        <v>24</v>
      </c>
      <c r="C763" s="1" t="str">
        <f>"4차"</f>
        <v>4차</v>
      </c>
      <c r="D763" s="1" t="str">
        <f>"0326E66241"</f>
        <v>0326E66241</v>
      </c>
      <c r="E763" s="1" t="s">
        <v>10</v>
      </c>
      <c r="F763" s="1" t="str">
        <f>"10.14.5.41"</f>
        <v>10.14.5.41</v>
      </c>
      <c r="G763" s="1" t="str">
        <f>"0326E662"</f>
        <v>0326E662</v>
      </c>
      <c r="H763" s="1" t="str">
        <f>"장안지 34R1"</f>
        <v>장안지 34R1</v>
      </c>
      <c r="I763" s="1" t="s">
        <v>17</v>
      </c>
      <c r="J763" s="1" t="str">
        <f>"18/18"</f>
        <v>18/18</v>
      </c>
      <c r="K763" s="1" t="str">
        <f>"2026-07-29 13:18:02"</f>
        <v>2026-07-29 13:18:02</v>
      </c>
      <c r="L763" s="1" t="str">
        <f>"2021-11-18 18:06:33"</f>
        <v>2021-11-18 18:06:33</v>
      </c>
      <c r="M763" s="1" t="s">
        <v>3</v>
      </c>
      <c r="N763" s="1" t="s">
        <v>38</v>
      </c>
      <c r="O763" s="1" t="s">
        <v>46</v>
      </c>
    </row>
    <row r="764" spans="2:15" x14ac:dyDescent="0.3">
      <c r="B764" s="1" t="s">
        <v>24</v>
      </c>
      <c r="C764" s="1" t="str">
        <f>"5-1차"</f>
        <v>5-1차</v>
      </c>
      <c r="D764" s="1" t="str">
        <f>"0326E7225M"</f>
        <v>0326E7225M</v>
      </c>
      <c r="E764" s="1" t="s">
        <v>10</v>
      </c>
      <c r="F764" s="1" t="str">
        <f>"fde2:104:0:11f:0:0:0:2"</f>
        <v>fde2:104:0:11f:0:0:0:2</v>
      </c>
      <c r="G764" s="1" t="str">
        <f>"0326E722"</f>
        <v>0326E722</v>
      </c>
      <c r="H764" s="1" t="str">
        <f>"장안지 25R2L2"</f>
        <v>장안지 25R2L2</v>
      </c>
      <c r="I764" s="1" t="s">
        <v>15</v>
      </c>
      <c r="J764" s="1" t="str">
        <f>"25/25"</f>
        <v>25/25</v>
      </c>
      <c r="K764" s="1" t="str">
        <f>"2026-07-29 14:20:19"</f>
        <v>2026-07-29 14:20:19</v>
      </c>
      <c r="L764" s="1" t="str">
        <f>"2022-10-11 14:54:05"</f>
        <v>2022-10-11 14:54:05</v>
      </c>
      <c r="M764" s="1" t="s">
        <v>42</v>
      </c>
      <c r="N764" s="1" t="s">
        <v>38</v>
      </c>
      <c r="O764" s="1" t="s">
        <v>46</v>
      </c>
    </row>
    <row r="765" spans="2:15" x14ac:dyDescent="0.3">
      <c r="B765" s="1" t="s">
        <v>24</v>
      </c>
      <c r="C765" s="1" t="str">
        <f>"1차"</f>
        <v>1차</v>
      </c>
      <c r="D765" s="1" t="str">
        <f>"0326E83100"</f>
        <v>0326E83100</v>
      </c>
      <c r="E765" s="1" t="s">
        <v>10</v>
      </c>
      <c r="F765" s="1" t="str">
        <f>"10.89.247.229"</f>
        <v>10.89.247.229</v>
      </c>
      <c r="G765" s="1" t="str">
        <f>"0326E831"</f>
        <v>0326E831</v>
      </c>
      <c r="H765" s="1" t="str">
        <f>"장안지 29R4"</f>
        <v>장안지 29R4</v>
      </c>
      <c r="I765" s="1" t="s">
        <v>8</v>
      </c>
      <c r="J765" s="1" t="str">
        <f>"101/103"</f>
        <v>101/103</v>
      </c>
      <c r="K765" s="1" t="str">
        <f>"2026-07-29 13:18:01"</f>
        <v>2026-07-29 13:18:01</v>
      </c>
      <c r="L765" s="1" t="str">
        <f>"2014-07-29 15:56:35"</f>
        <v>2014-07-29 15:56:35</v>
      </c>
      <c r="M765" s="1" t="s">
        <v>45</v>
      </c>
      <c r="N765" s="1" t="s">
        <v>38</v>
      </c>
      <c r="O765" s="1" t="s">
        <v>46</v>
      </c>
    </row>
    <row r="766" spans="2:15" x14ac:dyDescent="0.3">
      <c r="B766" s="1" t="s">
        <v>24</v>
      </c>
      <c r="C766" s="1" t="str">
        <f>"4차"</f>
        <v>4차</v>
      </c>
      <c r="D766" s="1" t="str">
        <f>"0326E86141"</f>
        <v>0326E86141</v>
      </c>
      <c r="E766" s="1" t="s">
        <v>10</v>
      </c>
      <c r="F766" s="1" t="str">
        <f>"10.14.10.37"</f>
        <v>10.14.10.37</v>
      </c>
      <c r="G766" s="1" t="str">
        <f>"0326E861"</f>
        <v>0326E861</v>
      </c>
      <c r="H766" s="1" t="str">
        <f>"장안지 34R4"</f>
        <v>장안지 34R4</v>
      </c>
      <c r="I766" s="1" t="s">
        <v>17</v>
      </c>
      <c r="J766" s="1" t="str">
        <f>"42/42"</f>
        <v>42/42</v>
      </c>
      <c r="K766" s="1" t="str">
        <f>"2026-07-29 13:18:03"</f>
        <v>2026-07-29 13:18:03</v>
      </c>
      <c r="L766" s="1" t="str">
        <f>"2021-10-22 14:02:04"</f>
        <v>2021-10-22 14:02:04</v>
      </c>
      <c r="M766" s="1" t="s">
        <v>3</v>
      </c>
      <c r="N766" s="1" t="s">
        <v>38</v>
      </c>
      <c r="O766" s="1" t="s">
        <v>46</v>
      </c>
    </row>
    <row r="767" spans="2:15" x14ac:dyDescent="0.3">
      <c r="B767" s="1" t="s">
        <v>24</v>
      </c>
      <c r="C767" s="1" t="str">
        <f>"4차"</f>
        <v>4차</v>
      </c>
      <c r="D767" s="1" t="str">
        <f>"0326E87139"</f>
        <v>0326E87139</v>
      </c>
      <c r="E767" s="1" t="s">
        <v>10</v>
      </c>
      <c r="F767" s="1" t="str">
        <f>"10.89.247.226"</f>
        <v>10.89.247.226</v>
      </c>
      <c r="G767" s="1" t="str">
        <f>"0326E871"</f>
        <v>0326E871</v>
      </c>
      <c r="H767" s="1" t="str">
        <f>"장안지 34R5L2"</f>
        <v>장안지 34R5L2</v>
      </c>
      <c r="I767" s="1" t="s">
        <v>8</v>
      </c>
      <c r="J767" s="1" t="str">
        <f>"62/65"</f>
        <v>62/65</v>
      </c>
      <c r="K767" s="1" t="str">
        <f>"2026-07-29 13:18:01"</f>
        <v>2026-07-29 13:18:01</v>
      </c>
      <c r="L767" s="1" t="str">
        <f>"2023-12-21 17:36:26"</f>
        <v>2023-12-21 17:36:26</v>
      </c>
      <c r="M767" s="1" t="s">
        <v>45</v>
      </c>
      <c r="N767" s="1" t="s">
        <v>38</v>
      </c>
      <c r="O767" s="1" t="s">
        <v>46</v>
      </c>
    </row>
    <row r="768" spans="2:15" x14ac:dyDescent="0.3">
      <c r="B768" s="1" t="s">
        <v>24</v>
      </c>
      <c r="C768" s="1" t="str">
        <f>"4차"</f>
        <v>4차</v>
      </c>
      <c r="D768" s="1" t="str">
        <f>"0326E88144"</f>
        <v>0326E88144</v>
      </c>
      <c r="E768" s="1" t="s">
        <v>10</v>
      </c>
      <c r="F768" s="1" t="str">
        <f>"10.12.130.54"</f>
        <v>10.12.130.54</v>
      </c>
      <c r="G768" s="1" t="str">
        <f>"0326E881"</f>
        <v>0326E881</v>
      </c>
      <c r="H768" s="1" t="str">
        <f>"장안지 34R5L3"</f>
        <v>장안지 34R5L3</v>
      </c>
      <c r="I768" s="1" t="s">
        <v>8</v>
      </c>
      <c r="J768" s="1" t="str">
        <f>"35/35"</f>
        <v>35/35</v>
      </c>
      <c r="K768" s="1" t="str">
        <f>"2026-07-29 13:18:03"</f>
        <v>2026-07-29 13:18:03</v>
      </c>
      <c r="L768" s="1" t="str">
        <f>"2023-10-27 13:32:32"</f>
        <v>2023-10-27 13:32:32</v>
      </c>
      <c r="M768" s="1" t="s">
        <v>0</v>
      </c>
      <c r="N768" s="1" t="s">
        <v>38</v>
      </c>
      <c r="O768" s="1" t="s">
        <v>46</v>
      </c>
    </row>
    <row r="769" spans="2:15" x14ac:dyDescent="0.3">
      <c r="B769" s="1" t="s">
        <v>24</v>
      </c>
      <c r="C769" s="1" t="str">
        <f>"5-1차"</f>
        <v>5-1차</v>
      </c>
      <c r="D769" s="1" t="str">
        <f>"0326E9135M"</f>
        <v>0326E9135M</v>
      </c>
      <c r="E769" s="1" t="s">
        <v>10</v>
      </c>
      <c r="F769" s="1" t="str">
        <f>"fde2:104:0:11b:0:0:0:2"</f>
        <v>fde2:104:0:11b:0:0:0:2</v>
      </c>
      <c r="G769" s="1" t="str">
        <f>"0326E913"</f>
        <v>0326E913</v>
      </c>
      <c r="H769" s="1" t="str">
        <f>"장안지 10R10"</f>
        <v>장안지 10R10</v>
      </c>
      <c r="I769" s="1" t="s">
        <v>15</v>
      </c>
      <c r="J769" s="1" t="str">
        <f>"51/51"</f>
        <v>51/51</v>
      </c>
      <c r="K769" s="1" t="str">
        <f>"2026-07-29 14:20:18"</f>
        <v>2026-07-29 14:20:18</v>
      </c>
      <c r="L769" s="1" t="str">
        <f>"2022-10-11 15:59:37"</f>
        <v>2022-10-11 15:59:37</v>
      </c>
      <c r="M769" s="1" t="s">
        <v>42</v>
      </c>
      <c r="N769" s="1" t="s">
        <v>38</v>
      </c>
      <c r="O769" s="1" t="s">
        <v>46</v>
      </c>
    </row>
    <row r="770" spans="2:15" x14ac:dyDescent="0.3">
      <c r="B770" s="1" t="s">
        <v>24</v>
      </c>
      <c r="C770" s="1" t="str">
        <f>"1차"</f>
        <v>1차</v>
      </c>
      <c r="D770" s="1" t="str">
        <f>"0326E97100"</f>
        <v>0326E97100</v>
      </c>
      <c r="E770" s="1" t="s">
        <v>10</v>
      </c>
      <c r="F770" s="1" t="str">
        <f>"10.89.247.230"</f>
        <v>10.89.247.230</v>
      </c>
      <c r="G770" s="1" t="str">
        <f>"0326E971"</f>
        <v>0326E971</v>
      </c>
      <c r="H770" s="1" t="str">
        <f>"장안지 42R4R1"</f>
        <v>장안지 42R4R1</v>
      </c>
      <c r="I770" s="1" t="s">
        <v>8</v>
      </c>
      <c r="J770" s="1" t="str">
        <f>"17/17"</f>
        <v>17/17</v>
      </c>
      <c r="K770" s="1" t="str">
        <f>"2026-07-29 13:18:01"</f>
        <v>2026-07-29 13:18:01</v>
      </c>
      <c r="L770" s="1" t="str">
        <f>"2014-09-19 00:11:28"</f>
        <v>2014-09-19 00:11:28</v>
      </c>
      <c r="M770" s="1" t="s">
        <v>45</v>
      </c>
      <c r="N770" s="1" t="s">
        <v>38</v>
      </c>
      <c r="O770" s="1" t="s">
        <v>46</v>
      </c>
    </row>
    <row r="771" spans="2:15" x14ac:dyDescent="0.3">
      <c r="B771" s="1" t="s">
        <v>24</v>
      </c>
      <c r="C771" s="1" t="str">
        <f>"4차"</f>
        <v>4차</v>
      </c>
      <c r="D771" s="1" t="str">
        <f>"0326E98342"</f>
        <v>0326E98342</v>
      </c>
      <c r="E771" s="1" t="s">
        <v>10</v>
      </c>
      <c r="F771" s="1" t="str">
        <f>"10.12.128.240"</f>
        <v>10.12.128.240</v>
      </c>
      <c r="G771" s="1" t="str">
        <f>"0326E983"</f>
        <v>0326E983</v>
      </c>
      <c r="H771" s="1" t="str">
        <f>"장안지 42R3R1"</f>
        <v>장안지 42R3R1</v>
      </c>
      <c r="I771" s="1" t="s">
        <v>8</v>
      </c>
      <c r="J771" s="1" t="str">
        <f>"58/68"</f>
        <v>58/68</v>
      </c>
      <c r="K771" s="1" t="str">
        <f>"2026-07-29 13:18:03"</f>
        <v>2026-07-29 13:18:03</v>
      </c>
      <c r="L771" s="1" t="str">
        <f>"2025-01-17 09:50:56"</f>
        <v>2025-01-17 09:50:56</v>
      </c>
      <c r="M771" s="1" t="s">
        <v>0</v>
      </c>
      <c r="N771" s="1" t="s">
        <v>38</v>
      </c>
      <c r="O771" s="1" t="s">
        <v>46</v>
      </c>
    </row>
    <row r="772" spans="2:15" x14ac:dyDescent="0.3">
      <c r="B772" s="1" t="s">
        <v>24</v>
      </c>
      <c r="C772" s="1" t="str">
        <f>"1차"</f>
        <v>1차</v>
      </c>
      <c r="D772" s="1" t="str">
        <f>"0326F18100"</f>
        <v>0326F18100</v>
      </c>
      <c r="E772" s="1" t="s">
        <v>10</v>
      </c>
      <c r="F772" s="1" t="str">
        <f>"10.89.247.231"</f>
        <v>10.89.247.231</v>
      </c>
      <c r="G772" s="1" t="str">
        <f>"0326F181"</f>
        <v>0326F181</v>
      </c>
      <c r="H772" s="1" t="str">
        <f>"장안지 42R7"</f>
        <v>장안지 42R7</v>
      </c>
      <c r="I772" s="1" t="s">
        <v>8</v>
      </c>
      <c r="J772" s="1" t="str">
        <f>"95/95"</f>
        <v>95/95</v>
      </c>
      <c r="K772" s="1" t="str">
        <f>"2026-07-29 13:18:01"</f>
        <v>2026-07-29 13:18:01</v>
      </c>
      <c r="L772" s="1" t="str">
        <f>"2014-09-25 12:54:09"</f>
        <v>2014-09-25 12:54:09</v>
      </c>
      <c r="M772" s="1" t="s">
        <v>45</v>
      </c>
      <c r="N772" s="1" t="s">
        <v>38</v>
      </c>
      <c r="O772" s="1" t="s">
        <v>46</v>
      </c>
    </row>
    <row r="773" spans="2:15" x14ac:dyDescent="0.3">
      <c r="B773" s="1" t="s">
        <v>24</v>
      </c>
      <c r="C773" s="1" t="str">
        <f>"4차"</f>
        <v>4차</v>
      </c>
      <c r="D773" s="1" t="str">
        <f>"0326G01141"</f>
        <v>0326G01141</v>
      </c>
      <c r="E773" s="1" t="s">
        <v>12</v>
      </c>
      <c r="F773" s="1" t="str">
        <f>"10.14.12.50"</f>
        <v>10.14.12.50</v>
      </c>
      <c r="G773" s="1" t="str">
        <f>"0326G011"</f>
        <v>0326G011</v>
      </c>
      <c r="H773" s="1" t="str">
        <f>"장평간 14R1R6L4"</f>
        <v>장평간 14R1R6L4</v>
      </c>
      <c r="I773" s="1" t="s">
        <v>17</v>
      </c>
      <c r="J773" s="1" t="str">
        <f>"0/39"</f>
        <v>0/39</v>
      </c>
      <c r="K773" s="1" t="str">
        <f>"2026-07-28 01:18:03"</f>
        <v>2026-07-28 01:18:03</v>
      </c>
      <c r="L773" s="1" t="str">
        <f>"2021-10-22 13:22:00"</f>
        <v>2021-10-22 13:22:00</v>
      </c>
      <c r="M773" s="1" t="s">
        <v>3</v>
      </c>
      <c r="N773" s="1" t="s">
        <v>38</v>
      </c>
      <c r="O773" s="1" t="s">
        <v>46</v>
      </c>
    </row>
    <row r="774" spans="2:15" x14ac:dyDescent="0.3">
      <c r="B774" s="1" t="s">
        <v>24</v>
      </c>
      <c r="C774" s="1" t="str">
        <f>"4차"</f>
        <v>4차</v>
      </c>
      <c r="D774" s="1" t="str">
        <f>"0326G03141"</f>
        <v>0326G03141</v>
      </c>
      <c r="E774" s="1" t="s">
        <v>10</v>
      </c>
      <c r="F774" s="1" t="str">
        <f>"10.14.15.37"</f>
        <v>10.14.15.37</v>
      </c>
      <c r="G774" s="1" t="str">
        <f>"0326G031"</f>
        <v>0326G031</v>
      </c>
      <c r="H774" s="1" t="str">
        <f>"장평간 14R1R8"</f>
        <v>장평간 14R1R8</v>
      </c>
      <c r="I774" s="1" t="s">
        <v>17</v>
      </c>
      <c r="J774" s="1" t="str">
        <f>"26/26"</f>
        <v>26/26</v>
      </c>
      <c r="K774" s="1" t="str">
        <f>"2026-07-29 13:18:04"</f>
        <v>2026-07-29 13:18:04</v>
      </c>
      <c r="L774" s="1" t="str">
        <f>"2021-11-18 18:14:38"</f>
        <v>2021-11-18 18:14:38</v>
      </c>
      <c r="M774" s="1" t="s">
        <v>3</v>
      </c>
      <c r="N774" s="1" t="s">
        <v>38</v>
      </c>
      <c r="O774" s="1" t="s">
        <v>46</v>
      </c>
    </row>
    <row r="775" spans="2:15" x14ac:dyDescent="0.3">
      <c r="B775" s="1" t="s">
        <v>24</v>
      </c>
      <c r="C775" s="1" t="str">
        <f>"1차"</f>
        <v>1차</v>
      </c>
      <c r="D775" s="1" t="str">
        <f>"0326G06200"</f>
        <v>0326G06200</v>
      </c>
      <c r="E775" s="1" t="s">
        <v>10</v>
      </c>
      <c r="F775" s="1" t="str">
        <f>"10.125.119.99"</f>
        <v>10.125.119.99</v>
      </c>
      <c r="G775" s="1" t="str">
        <f>"0326G062"</f>
        <v>0326G062</v>
      </c>
      <c r="H775" s="1" t="str">
        <f>"군안간 26R6L9"</f>
        <v>군안간 26R6L9</v>
      </c>
      <c r="I775" s="1" t="s">
        <v>8</v>
      </c>
      <c r="J775" s="1" t="str">
        <f>"34/34"</f>
        <v>34/34</v>
      </c>
      <c r="K775" s="1" t="str">
        <f>"2026-07-29 13:18:01"</f>
        <v>2026-07-29 13:18:01</v>
      </c>
      <c r="L775" s="1" t="str">
        <f>"2014-11-17 17:00:33"</f>
        <v>2014-11-17 17:00:33</v>
      </c>
      <c r="M775" s="1" t="s">
        <v>45</v>
      </c>
      <c r="N775" s="1" t="s">
        <v>38</v>
      </c>
      <c r="O775" s="1" t="s">
        <v>46</v>
      </c>
    </row>
    <row r="776" spans="2:15" x14ac:dyDescent="0.3">
      <c r="B776" s="1" t="s">
        <v>24</v>
      </c>
      <c r="C776" s="1" t="str">
        <f>"5-2차"</f>
        <v>5-2차</v>
      </c>
      <c r="D776" s="1" t="str">
        <f>"0326G0925M"</f>
        <v>0326G0925M</v>
      </c>
      <c r="E776" s="1" t="s">
        <v>10</v>
      </c>
      <c r="F776" s="1" t="str">
        <f>"fde3:102:1430:3200:0:0:0:11"</f>
        <v>fde3:102:1430:3200:0:0:0:11</v>
      </c>
      <c r="G776" s="1" t="str">
        <f>"0326G092"</f>
        <v>0326G092</v>
      </c>
      <c r="H776" s="1" t="str">
        <f>"군안간 49R6"</f>
        <v>군안간 49R6</v>
      </c>
      <c r="I776" s="1" t="s">
        <v>15</v>
      </c>
      <c r="J776" s="1" t="str">
        <f>"58/58"</f>
        <v>58/58</v>
      </c>
      <c r="K776" s="1" t="str">
        <f>"2026-07-29 14:20:18"</f>
        <v>2026-07-29 14:20:18</v>
      </c>
      <c r="L776" s="1" t="str">
        <f>"2023-09-19 14:31:58"</f>
        <v>2023-09-19 14:31:58</v>
      </c>
      <c r="M776" s="1" t="s">
        <v>45</v>
      </c>
      <c r="N776" s="1" t="s">
        <v>38</v>
      </c>
      <c r="O776" s="1" t="s">
        <v>46</v>
      </c>
    </row>
    <row r="777" spans="2:15" x14ac:dyDescent="0.3">
      <c r="B777" s="1" t="s">
        <v>24</v>
      </c>
      <c r="C777" s="1" t="str">
        <f>"1차"</f>
        <v>1차</v>
      </c>
      <c r="D777" s="1" t="str">
        <f>"0326G09300"</f>
        <v>0326G09300</v>
      </c>
      <c r="E777" s="1" t="s">
        <v>10</v>
      </c>
      <c r="F777" s="1" t="str">
        <f>"10.125.119.101"</f>
        <v>10.125.119.101</v>
      </c>
      <c r="G777" s="1" t="str">
        <f>"0326G093"</f>
        <v>0326G093</v>
      </c>
      <c r="H777" s="1" t="str">
        <f>"군안간 26R6L5R1"</f>
        <v>군안간 26R6L5R1</v>
      </c>
      <c r="I777" s="1" t="s">
        <v>8</v>
      </c>
      <c r="J777" s="1" t="str">
        <f>"62/62"</f>
        <v>62/62</v>
      </c>
      <c r="K777" s="1" t="str">
        <f>"2026-07-29 13:18:03"</f>
        <v>2026-07-29 13:18:03</v>
      </c>
      <c r="L777" s="1" t="str">
        <f>"2014-12-15 10:26:37"</f>
        <v>2014-12-15 10:26:37</v>
      </c>
      <c r="M777" s="1" t="s">
        <v>45</v>
      </c>
      <c r="N777" s="1" t="s">
        <v>38</v>
      </c>
      <c r="O777" s="1" t="s">
        <v>46</v>
      </c>
    </row>
    <row r="778" spans="2:15" x14ac:dyDescent="0.3">
      <c r="B778" s="1" t="s">
        <v>24</v>
      </c>
      <c r="C778" s="1" t="str">
        <f>"6차"</f>
        <v>6차</v>
      </c>
      <c r="D778" s="1" t="str">
        <f>"0326G1056S"</f>
        <v>0326G1056S</v>
      </c>
      <c r="E778" s="1" t="s">
        <v>10</v>
      </c>
      <c r="F778" s="1" t="str">
        <f>"fde1:103:4:c6cd:0:0:0:2"</f>
        <v>fde1:103:4:c6cd:0:0:0:2</v>
      </c>
      <c r="G778" s="1" t="str">
        <f>"0326G105"</f>
        <v>0326G105</v>
      </c>
      <c r="H778" s="1" t="str">
        <f>"장평간 14R12L1"</f>
        <v>장평간 14R12L1</v>
      </c>
      <c r="I778" s="1" t="s">
        <v>15</v>
      </c>
      <c r="J778" s="1" t="str">
        <f>"36/36"</f>
        <v>36/36</v>
      </c>
      <c r="K778" s="1" t="str">
        <f>"2026-07-29 14:20:18"</f>
        <v>2026-07-29 14:20:18</v>
      </c>
      <c r="L778" s="1" t="str">
        <f>"2024-09-26 19:53:53"</f>
        <v>2024-09-26 19:53:53</v>
      </c>
      <c r="M778" s="1" t="s">
        <v>4</v>
      </c>
      <c r="N778" s="1" t="s">
        <v>38</v>
      </c>
      <c r="O778" s="1" t="s">
        <v>46</v>
      </c>
    </row>
    <row r="779" spans="2:15" x14ac:dyDescent="0.3">
      <c r="B779" s="1" t="s">
        <v>24</v>
      </c>
      <c r="C779" s="1" t="str">
        <f>"5-1차"</f>
        <v>5-1차</v>
      </c>
      <c r="D779" s="1" t="str">
        <f>"0326G1645M"</f>
        <v>0326G1645M</v>
      </c>
      <c r="E779" s="1" t="s">
        <v>10</v>
      </c>
      <c r="F779" s="1" t="str">
        <f>"fde3:102:1430:3200:0:0:0:2"</f>
        <v>fde3:102:1430:3200:0:0:0:2</v>
      </c>
      <c r="G779" s="1" t="str">
        <f>"0326G164"</f>
        <v>0326G164</v>
      </c>
      <c r="H779" s="1" t="str">
        <f>"군안간 44R3L2"</f>
        <v>군안간 44R3L2</v>
      </c>
      <c r="I779" s="1" t="s">
        <v>15</v>
      </c>
      <c r="J779" s="1" t="str">
        <f>"36/36"</f>
        <v>36/36</v>
      </c>
      <c r="K779" s="1" t="str">
        <f>"2026-07-29 14:20:19"</f>
        <v>2026-07-29 14:20:19</v>
      </c>
      <c r="L779" s="1" t="str">
        <f>"2022-10-25 10:58:29"</f>
        <v>2022-10-25 10:58:29</v>
      </c>
      <c r="M779" s="1" t="s">
        <v>45</v>
      </c>
      <c r="N779" s="1" t="s">
        <v>38</v>
      </c>
      <c r="O779" s="1" t="s">
        <v>46</v>
      </c>
    </row>
    <row r="780" spans="2:15" x14ac:dyDescent="0.3">
      <c r="B780" s="1" t="s">
        <v>24</v>
      </c>
      <c r="C780" s="1" t="str">
        <f>"1차"</f>
        <v>1차</v>
      </c>
      <c r="D780" s="1" t="str">
        <f>"0326G19100"</f>
        <v>0326G19100</v>
      </c>
      <c r="E780" s="1" t="s">
        <v>10</v>
      </c>
      <c r="F780" s="1" t="str">
        <f>"10.125.119.100"</f>
        <v>10.125.119.100</v>
      </c>
      <c r="G780" s="1" t="str">
        <f>"0326G191"</f>
        <v>0326G191</v>
      </c>
      <c r="H780" s="1" t="str">
        <f>"군안간 26R6L5"</f>
        <v>군안간 26R6L5</v>
      </c>
      <c r="I780" s="1" t="s">
        <v>8</v>
      </c>
      <c r="J780" s="1" t="str">
        <f>"49/49"</f>
        <v>49/49</v>
      </c>
      <c r="K780" s="1" t="str">
        <f>"2026-07-29 13:18:03"</f>
        <v>2026-07-29 13:18:03</v>
      </c>
      <c r="L780" s="1" t="str">
        <f>"2014-11-27 16:01:20"</f>
        <v>2014-11-27 16:01:20</v>
      </c>
      <c r="M780" s="1" t="s">
        <v>45</v>
      </c>
      <c r="N780" s="1" t="s">
        <v>38</v>
      </c>
      <c r="O780" s="1" t="s">
        <v>46</v>
      </c>
    </row>
    <row r="781" spans="2:15" x14ac:dyDescent="0.3">
      <c r="B781" s="1" t="s">
        <v>24</v>
      </c>
      <c r="C781" s="1" t="str">
        <f>"5-2차"</f>
        <v>5-2차</v>
      </c>
      <c r="D781" s="1" t="str">
        <f>"0326G2315M"</f>
        <v>0326G2315M</v>
      </c>
      <c r="E781" s="1" t="s">
        <v>10</v>
      </c>
      <c r="F781" s="1" t="str">
        <f>"fde1:103:4:5793:0:0:0:2"</f>
        <v>fde1:103:4:5793:0:0:0:2</v>
      </c>
      <c r="G781" s="1" t="str">
        <f>"0326G231"</f>
        <v>0326G231</v>
      </c>
      <c r="H781" s="1" t="str">
        <f>"장평간 14R1R4"</f>
        <v>장평간 14R1R4</v>
      </c>
      <c r="I781" s="1" t="s">
        <v>15</v>
      </c>
      <c r="J781" s="1" t="str">
        <f>"23/23"</f>
        <v>23/23</v>
      </c>
      <c r="K781" s="1" t="str">
        <f>"2026-07-29 14:20:53"</f>
        <v>2026-07-29 14:20:53</v>
      </c>
      <c r="L781" s="1" t="str">
        <f>"2023-10-02 11:42:28"</f>
        <v>2023-10-02 11:42:28</v>
      </c>
      <c r="M781" s="1" t="s">
        <v>4</v>
      </c>
      <c r="N781" s="1" t="s">
        <v>38</v>
      </c>
      <c r="O781" s="1" t="s">
        <v>46</v>
      </c>
    </row>
    <row r="782" spans="2:15" x14ac:dyDescent="0.3">
      <c r="B782" s="1" t="s">
        <v>24</v>
      </c>
      <c r="C782" s="1" t="str">
        <f>"4차"</f>
        <v>4차</v>
      </c>
      <c r="D782" s="1" t="str">
        <f>"0326G46341"</f>
        <v>0326G46341</v>
      </c>
      <c r="E782" s="1" t="s">
        <v>10</v>
      </c>
      <c r="F782" s="1" t="str">
        <f>"10.12.128.24"</f>
        <v>10.12.128.24</v>
      </c>
      <c r="G782" s="1" t="str">
        <f>"0326G463"</f>
        <v>0326G463</v>
      </c>
      <c r="H782" s="1" t="str">
        <f>"군안간 30R2L4"</f>
        <v>군안간 30R2L4</v>
      </c>
      <c r="I782" s="1" t="s">
        <v>17</v>
      </c>
      <c r="J782" s="1" t="str">
        <f>"26/30"</f>
        <v>26/30</v>
      </c>
      <c r="K782" s="1" t="str">
        <f>"2026-07-29 13:18:02"</f>
        <v>2026-07-29 13:18:02</v>
      </c>
      <c r="L782" s="1" t="str">
        <f>"2021-11-05 16:52:19"</f>
        <v>2021-11-05 16:52:19</v>
      </c>
      <c r="M782" s="1" t="s">
        <v>0</v>
      </c>
      <c r="N782" s="1" t="s">
        <v>38</v>
      </c>
      <c r="O782" s="1" t="s">
        <v>46</v>
      </c>
    </row>
    <row r="783" spans="2:15" x14ac:dyDescent="0.3">
      <c r="B783" s="1" t="s">
        <v>24</v>
      </c>
      <c r="C783" s="1" t="str">
        <f>"5-2차"</f>
        <v>5-2차</v>
      </c>
      <c r="D783" s="1" t="str">
        <f>"0326G4825M"</f>
        <v>0326G4825M</v>
      </c>
      <c r="E783" s="1" t="s">
        <v>10</v>
      </c>
      <c r="F783" s="1" t="str">
        <f>"fde1:103:4:5977:0:0:0:2"</f>
        <v>fde1:103:4:5977:0:0:0:2</v>
      </c>
      <c r="G783" s="1" t="str">
        <f>"0326G482"</f>
        <v>0326G482</v>
      </c>
      <c r="H783" s="1" t="str">
        <f>"군안간 30R2"</f>
        <v>군안간 30R2</v>
      </c>
      <c r="I783" s="1" t="s">
        <v>15</v>
      </c>
      <c r="J783" s="1" t="str">
        <f>"55/55"</f>
        <v>55/55</v>
      </c>
      <c r="K783" s="1" t="str">
        <f>"2026-07-29 14:20:18"</f>
        <v>2026-07-29 14:20:18</v>
      </c>
      <c r="L783" s="1" t="str">
        <f>"2023-09-15 15:07:54"</f>
        <v>2023-09-15 15:07:54</v>
      </c>
      <c r="M783" s="1" t="s">
        <v>4</v>
      </c>
      <c r="N783" s="1" t="s">
        <v>38</v>
      </c>
      <c r="O783" s="1" t="s">
        <v>46</v>
      </c>
    </row>
    <row r="784" spans="2:15" x14ac:dyDescent="0.3">
      <c r="B784" s="1" t="s">
        <v>24</v>
      </c>
      <c r="C784" s="1" t="str">
        <f>"6차"</f>
        <v>6차</v>
      </c>
      <c r="D784" s="1" t="str">
        <f>"0326G5126S"</f>
        <v>0326G5126S</v>
      </c>
      <c r="E784" s="1" t="s">
        <v>10</v>
      </c>
      <c r="F784" s="1" t="str">
        <f>"fde1:103:4:c6ed:0:0:0:2"</f>
        <v>fde1:103:4:c6ed:0:0:0:2</v>
      </c>
      <c r="G784" s="1" t="str">
        <f>"0326G512"</f>
        <v>0326G512</v>
      </c>
      <c r="H784" s="1" t="str">
        <f>"장평간 21L2"</f>
        <v>장평간 21L2</v>
      </c>
      <c r="I784" s="1" t="s">
        <v>15</v>
      </c>
      <c r="J784" s="1" t="str">
        <f>"36/36"</f>
        <v>36/36</v>
      </c>
      <c r="K784" s="1" t="str">
        <f>"2026-07-29 14:21:00"</f>
        <v>2026-07-29 14:21:00</v>
      </c>
      <c r="L784" s="1" t="str">
        <f>"2024-09-27 16:44:39"</f>
        <v>2024-09-27 16:44:39</v>
      </c>
      <c r="M784" s="1" t="s">
        <v>4</v>
      </c>
      <c r="N784" s="1" t="s">
        <v>38</v>
      </c>
      <c r="O784" s="1" t="s">
        <v>46</v>
      </c>
    </row>
    <row r="785" spans="2:15" x14ac:dyDescent="0.3">
      <c r="B785" s="1" t="s">
        <v>24</v>
      </c>
      <c r="C785" s="1" t="str">
        <f>"5-1차"</f>
        <v>5-1차</v>
      </c>
      <c r="D785" s="1" t="str">
        <f>"0326G6015S"</f>
        <v>0326G6015S</v>
      </c>
      <c r="E785" s="1" t="s">
        <v>10</v>
      </c>
      <c r="F785" s="1" t="str">
        <f>"fde2:104:0:17b:0:0:0:2"</f>
        <v>fde2:104:0:17b:0:0:0:2</v>
      </c>
      <c r="G785" s="1" t="str">
        <f>"0326G601"</f>
        <v>0326G601</v>
      </c>
      <c r="H785" s="1" t="str">
        <f>"장평간 24"</f>
        <v>장평간 24</v>
      </c>
      <c r="I785" s="1" t="s">
        <v>15</v>
      </c>
      <c r="J785" s="1" t="str">
        <f>"73/73"</f>
        <v>73/73</v>
      </c>
      <c r="K785" s="1" t="str">
        <f>"2026-07-29 14:20:57"</f>
        <v>2026-07-29 14:20:57</v>
      </c>
      <c r="L785" s="1" t="str">
        <f>"2022-11-28 10:05:50"</f>
        <v>2022-11-28 10:05:50</v>
      </c>
      <c r="M785" s="1" t="s">
        <v>42</v>
      </c>
      <c r="N785" s="1" t="s">
        <v>38</v>
      </c>
      <c r="O785" s="1" t="s">
        <v>46</v>
      </c>
    </row>
    <row r="786" spans="2:15" x14ac:dyDescent="0.3">
      <c r="B786" s="1" t="s">
        <v>24</v>
      </c>
      <c r="C786" s="1" t="str">
        <f>"5-2차"</f>
        <v>5-2차</v>
      </c>
      <c r="D786" s="1" t="str">
        <f>"0326G6125M"</f>
        <v>0326G6125M</v>
      </c>
      <c r="E786" s="1" t="s">
        <v>10</v>
      </c>
      <c r="F786" s="1" t="str">
        <f>"fde1:103:4:59ee:0:0:0:2"</f>
        <v>fde1:103:4:59ee:0:0:0:2</v>
      </c>
      <c r="G786" s="1" t="str">
        <f>"0326G612"</f>
        <v>0326G612</v>
      </c>
      <c r="H786" s="1" t="str">
        <f>"장평간 24L3H1"</f>
        <v>장평간 24L3H1</v>
      </c>
      <c r="I786" s="1" t="s">
        <v>15</v>
      </c>
      <c r="J786" s="1" t="str">
        <f>"40/40"</f>
        <v>40/40</v>
      </c>
      <c r="K786" s="1" t="str">
        <f>"2026-07-29 14:20:18"</f>
        <v>2026-07-29 14:20:18</v>
      </c>
      <c r="L786" s="1" t="str">
        <f>"2023-09-15 15:09:21"</f>
        <v>2023-09-15 15:09:21</v>
      </c>
      <c r="M786" s="1" t="s">
        <v>4</v>
      </c>
      <c r="N786" s="1" t="s">
        <v>38</v>
      </c>
      <c r="O786" s="1" t="s">
        <v>46</v>
      </c>
    </row>
    <row r="787" spans="2:15" x14ac:dyDescent="0.3">
      <c r="B787" s="1" t="s">
        <v>24</v>
      </c>
      <c r="C787" s="1" t="str">
        <f>"5-1차"</f>
        <v>5-1차</v>
      </c>
      <c r="D787" s="1" t="str">
        <f>"0326G7245M"</f>
        <v>0326G7245M</v>
      </c>
      <c r="E787" s="1" t="s">
        <v>10</v>
      </c>
      <c r="F787" s="1" t="str">
        <f>"fde2:104:0:118:0:0:0:2"</f>
        <v>fde2:104:0:118:0:0:0:2</v>
      </c>
      <c r="G787" s="1" t="str">
        <f>"0326G724"</f>
        <v>0326G724</v>
      </c>
      <c r="H787" s="1" t="str">
        <f>"장평간 24L5"</f>
        <v>장평간 24L5</v>
      </c>
      <c r="I787" s="1" t="s">
        <v>15</v>
      </c>
      <c r="J787" s="1" t="str">
        <f>"2/2"</f>
        <v>2/2</v>
      </c>
      <c r="K787" s="1" t="str">
        <f>"2026-07-29 14:20:54"</f>
        <v>2026-07-29 14:20:54</v>
      </c>
      <c r="L787" s="1" t="str">
        <f>"2022-10-07 16:02:56"</f>
        <v>2022-10-07 16:02:56</v>
      </c>
      <c r="M787" s="1" t="s">
        <v>42</v>
      </c>
      <c r="N787" s="1" t="s">
        <v>38</v>
      </c>
      <c r="O787" s="1" t="s">
        <v>46</v>
      </c>
    </row>
    <row r="788" spans="2:15" x14ac:dyDescent="0.3">
      <c r="B788" s="1" t="s">
        <v>24</v>
      </c>
      <c r="C788" s="1" t="str">
        <f>"5-2차"</f>
        <v>5-2차</v>
      </c>
      <c r="D788" s="1" t="str">
        <f>"0326G9125M"</f>
        <v>0326G9125M</v>
      </c>
      <c r="E788" s="1" t="s">
        <v>10</v>
      </c>
      <c r="F788" s="1" t="str">
        <f>"fde1:103:4:59b4:0:0:0:2"</f>
        <v>fde1:103:4:59b4:0:0:0:2</v>
      </c>
      <c r="G788" s="1" t="str">
        <f>"0326G912"</f>
        <v>0326G912</v>
      </c>
      <c r="H788" s="1" t="str">
        <f>"장평간 32"</f>
        <v>장평간 32</v>
      </c>
      <c r="I788" s="1" t="s">
        <v>15</v>
      </c>
      <c r="J788" s="1" t="str">
        <f>"27/27"</f>
        <v>27/27</v>
      </c>
      <c r="K788" s="1" t="str">
        <f>"2026-07-29 14:20:18"</f>
        <v>2026-07-29 14:20:18</v>
      </c>
      <c r="L788" s="1" t="str">
        <f>"2023-09-15 15:10:29"</f>
        <v>2023-09-15 15:10:29</v>
      </c>
      <c r="M788" s="1" t="s">
        <v>4</v>
      </c>
      <c r="N788" s="1" t="s">
        <v>38</v>
      </c>
      <c r="O788" s="1" t="s">
        <v>46</v>
      </c>
    </row>
    <row r="789" spans="2:15" x14ac:dyDescent="0.3">
      <c r="B789" s="1" t="s">
        <v>24</v>
      </c>
      <c r="C789" s="1" t="str">
        <f>"5-2차"</f>
        <v>5-2차</v>
      </c>
      <c r="D789" s="1" t="str">
        <f>"0326G9625M"</f>
        <v>0326G9625M</v>
      </c>
      <c r="E789" s="1" t="s">
        <v>10</v>
      </c>
      <c r="F789" s="1" t="str">
        <f>"fde1:103:4:598a:0:0:0:2"</f>
        <v>fde1:103:4:598a:0:0:0:2</v>
      </c>
      <c r="G789" s="1" t="str">
        <f>"0326G962"</f>
        <v>0326G962</v>
      </c>
      <c r="H789" s="1" t="str">
        <f>"장안지 10R2"</f>
        <v>장안지 10R2</v>
      </c>
      <c r="I789" s="1" t="s">
        <v>15</v>
      </c>
      <c r="J789" s="1" t="str">
        <f>"27/27"</f>
        <v>27/27</v>
      </c>
      <c r="K789" s="1" t="str">
        <f>"2026-07-29 14:20:28"</f>
        <v>2026-07-29 14:20:28</v>
      </c>
      <c r="L789" s="1" t="str">
        <f>"2023-09-15 15:21:55"</f>
        <v>2023-09-15 15:21:55</v>
      </c>
      <c r="M789" s="1" t="s">
        <v>4</v>
      </c>
      <c r="N789" s="1" t="s">
        <v>38</v>
      </c>
      <c r="O789" s="1" t="s">
        <v>46</v>
      </c>
    </row>
    <row r="790" spans="2:15" x14ac:dyDescent="0.3">
      <c r="B790" s="1" t="s">
        <v>24</v>
      </c>
      <c r="C790" s="1" t="str">
        <f>"1차"</f>
        <v>1차</v>
      </c>
      <c r="D790" s="1" t="str">
        <f>"0326G98200"</f>
        <v>0326G98200</v>
      </c>
      <c r="E790" s="1" t="s">
        <v>10</v>
      </c>
      <c r="F790" s="1" t="str">
        <f>"10.89.247.228"</f>
        <v>10.89.247.228</v>
      </c>
      <c r="G790" s="1" t="str">
        <f>"0326G982"</f>
        <v>0326G982</v>
      </c>
      <c r="H790" s="1" t="str">
        <f>"장안지 10R5"</f>
        <v>장안지 10R5</v>
      </c>
      <c r="I790" s="1" t="s">
        <v>8</v>
      </c>
      <c r="J790" s="1" t="str">
        <f>"12/12"</f>
        <v>12/12</v>
      </c>
      <c r="K790" s="1" t="str">
        <f>"2026-07-29 13:18:03"</f>
        <v>2026-07-29 13:18:03</v>
      </c>
      <c r="L790" s="1" t="str">
        <f>"2014-08-25 09:11:03"</f>
        <v>2014-08-25 09:11:03</v>
      </c>
      <c r="M790" s="1" t="s">
        <v>45</v>
      </c>
      <c r="N790" s="1" t="s">
        <v>38</v>
      </c>
      <c r="O790" s="1" t="s">
        <v>46</v>
      </c>
    </row>
    <row r="791" spans="2:15" x14ac:dyDescent="0.3">
      <c r="B791" s="1" t="s">
        <v>24</v>
      </c>
      <c r="C791" s="1" t="str">
        <f>"1차"</f>
        <v>1차</v>
      </c>
      <c r="D791" s="1" t="str">
        <f>"0326G99101"</f>
        <v>0326G99101</v>
      </c>
      <c r="E791" s="1" t="s">
        <v>10</v>
      </c>
      <c r="F791" s="1" t="str">
        <f>"10.12.128.171"</f>
        <v>10.12.128.171</v>
      </c>
      <c r="G791" s="1" t="str">
        <f>"0326G991"</f>
        <v>0326G991</v>
      </c>
      <c r="H791" s="1" t="str">
        <f>"장안지 10R6"</f>
        <v>장안지 10R6</v>
      </c>
      <c r="I791" s="1" t="s">
        <v>8</v>
      </c>
      <c r="J791" s="1" t="str">
        <f>"20/20"</f>
        <v>20/20</v>
      </c>
      <c r="K791" s="1" t="str">
        <f>"2026-07-29 13:18:04"</f>
        <v>2026-07-29 13:18:04</v>
      </c>
      <c r="L791" s="1" t="str">
        <f>"2014-09-25 16:07:52"</f>
        <v>2014-09-25 16:07:52</v>
      </c>
      <c r="M791" s="1" t="s">
        <v>0</v>
      </c>
      <c r="N791" s="1" t="s">
        <v>38</v>
      </c>
      <c r="O791" s="1" t="s">
        <v>46</v>
      </c>
    </row>
    <row r="792" spans="2:15" x14ac:dyDescent="0.3">
      <c r="B792" s="1" t="s">
        <v>24</v>
      </c>
      <c r="C792" s="1" t="str">
        <f>"5-2차"</f>
        <v>5-2차</v>
      </c>
      <c r="D792" s="1" t="str">
        <f>"0326H1315M"</f>
        <v>0326H1315M</v>
      </c>
      <c r="E792" s="1" t="s">
        <v>10</v>
      </c>
      <c r="F792" s="1" t="str">
        <f>"fde1:103:4:57e5:0:0:0:2"</f>
        <v>fde1:103:4:57e5:0:0:0:2</v>
      </c>
      <c r="G792" s="1" t="str">
        <f>"0326H131"</f>
        <v>0326H131</v>
      </c>
      <c r="H792" s="1" t="str">
        <f>"군현간 9"</f>
        <v>군현간 9</v>
      </c>
      <c r="I792" s="1" t="s">
        <v>15</v>
      </c>
      <c r="J792" s="1" t="str">
        <f>"33/34"</f>
        <v>33/34</v>
      </c>
      <c r="K792" s="1" t="str">
        <f>"2026-07-29 14:20:33"</f>
        <v>2026-07-29 14:20:33</v>
      </c>
      <c r="L792" s="1" t="str">
        <f>"2023-09-15 15:31:21"</f>
        <v>2023-09-15 15:31:21</v>
      </c>
      <c r="M792" s="1" t="s">
        <v>4</v>
      </c>
      <c r="N792" s="1" t="s">
        <v>38</v>
      </c>
      <c r="O792" s="1" t="s">
        <v>46</v>
      </c>
    </row>
    <row r="793" spans="2:15" x14ac:dyDescent="0.3">
      <c r="B793" s="1" t="s">
        <v>24</v>
      </c>
      <c r="C793" s="1" t="str">
        <f>"5-2차"</f>
        <v>5-2차</v>
      </c>
      <c r="D793" s="1" t="str">
        <f>"0326H2245M"</f>
        <v>0326H2245M</v>
      </c>
      <c r="E793" s="1" t="s">
        <v>10</v>
      </c>
      <c r="F793" s="1" t="str">
        <f>"fde1:103:4:5823:0:0:0:2"</f>
        <v>fde1:103:4:5823:0:0:0:2</v>
      </c>
      <c r="G793" s="1" t="str">
        <f>"0326H224"</f>
        <v>0326H224</v>
      </c>
      <c r="H793" s="1" t="str">
        <f>"군현간 14R2"</f>
        <v>군현간 14R2</v>
      </c>
      <c r="I793" s="1" t="s">
        <v>15</v>
      </c>
      <c r="J793" s="1" t="str">
        <f>"63/63"</f>
        <v>63/63</v>
      </c>
      <c r="K793" s="1" t="str">
        <f>"2026-07-29 14:20:18"</f>
        <v>2026-07-29 14:20:18</v>
      </c>
      <c r="L793" s="1" t="str">
        <f>"2023-09-15 15:23:45"</f>
        <v>2023-09-15 15:23:45</v>
      </c>
      <c r="M793" s="1" t="s">
        <v>4</v>
      </c>
      <c r="N793" s="1" t="s">
        <v>38</v>
      </c>
      <c r="O793" s="1" t="s">
        <v>46</v>
      </c>
    </row>
    <row r="794" spans="2:15" x14ac:dyDescent="0.3">
      <c r="B794" s="1" t="s">
        <v>24</v>
      </c>
      <c r="C794" s="1" t="str">
        <f>"5-2차"</f>
        <v>5-2차</v>
      </c>
      <c r="D794" s="1" t="str">
        <f>"0326H2545M"</f>
        <v>0326H2545M</v>
      </c>
      <c r="E794" s="1" t="s">
        <v>10</v>
      </c>
      <c r="F794" s="1" t="str">
        <f>"fde1:103:4:59fc:0:0:0:2"</f>
        <v>fde1:103:4:59fc:0:0:0:2</v>
      </c>
      <c r="G794" s="1" t="str">
        <f>"0326H254"</f>
        <v>0326H254</v>
      </c>
      <c r="H794" s="1" t="str">
        <f>"장안지 10R2R6"</f>
        <v>장안지 10R2R6</v>
      </c>
      <c r="I794" s="1" t="s">
        <v>15</v>
      </c>
      <c r="J794" s="1" t="str">
        <f>"55/55"</f>
        <v>55/55</v>
      </c>
      <c r="K794" s="1" t="str">
        <f>"2026-07-29 14:20:20"</f>
        <v>2026-07-29 14:20:20</v>
      </c>
      <c r="L794" s="1" t="str">
        <f>"2023-09-15 15:49:12"</f>
        <v>2023-09-15 15:49:12</v>
      </c>
      <c r="M794" s="1" t="s">
        <v>4</v>
      </c>
      <c r="N794" s="1" t="s">
        <v>38</v>
      </c>
      <c r="O794" s="1" t="s">
        <v>46</v>
      </c>
    </row>
    <row r="795" spans="2:15" x14ac:dyDescent="0.3">
      <c r="B795" s="1" t="s">
        <v>24</v>
      </c>
      <c r="C795" s="1" t="str">
        <f>"5-2차"</f>
        <v>5-2차</v>
      </c>
      <c r="D795" s="1" t="str">
        <f>"0326P0435M"</f>
        <v>0326P0435M</v>
      </c>
      <c r="E795" s="1" t="s">
        <v>10</v>
      </c>
      <c r="F795" s="1" t="str">
        <f>"fde1:103:4:59f5:0:0:0:2"</f>
        <v>fde1:103:4:59f5:0:0:0:2</v>
      </c>
      <c r="G795" s="1" t="str">
        <f>"0326P043"</f>
        <v>0326P043</v>
      </c>
      <c r="H795" s="1" t="str">
        <f>"전우간 15"</f>
        <v>전우간 15</v>
      </c>
      <c r="I795" s="1" t="s">
        <v>15</v>
      </c>
      <c r="J795" s="1" t="str">
        <f>"40/40"</f>
        <v>40/40</v>
      </c>
      <c r="K795" s="1" t="str">
        <f>"2026-07-29 14:20:53"</f>
        <v>2026-07-29 14:20:53</v>
      </c>
      <c r="L795" s="1" t="str">
        <f>"2023-09-15 15:50:40"</f>
        <v>2023-09-15 15:50:40</v>
      </c>
      <c r="M795" s="1" t="s">
        <v>4</v>
      </c>
      <c r="N795" s="1" t="s">
        <v>38</v>
      </c>
      <c r="O795" s="1" t="s">
        <v>46</v>
      </c>
    </row>
    <row r="796" spans="2:15" x14ac:dyDescent="0.3">
      <c r="B796" s="1" t="s">
        <v>24</v>
      </c>
      <c r="C796" s="1" t="str">
        <f>"5-2차"</f>
        <v>5-2차</v>
      </c>
      <c r="D796" s="1" t="str">
        <f>"0326P0625S"</f>
        <v>0326P0625S</v>
      </c>
      <c r="E796" s="1" t="s">
        <v>10</v>
      </c>
      <c r="F796" s="1" t="str">
        <f>"fde1:103:4:59df:0:0:0:2"</f>
        <v>fde1:103:4:59df:0:0:0:2</v>
      </c>
      <c r="G796" s="1" t="str">
        <f>"0326P062"</f>
        <v>0326P062</v>
      </c>
      <c r="H796" s="1" t="str">
        <f>"전우간 14R2L2"</f>
        <v>전우간 14R2L2</v>
      </c>
      <c r="I796" s="1" t="s">
        <v>15</v>
      </c>
      <c r="J796" s="1" t="str">
        <f>"32/33"</f>
        <v>32/33</v>
      </c>
      <c r="K796" s="1" t="str">
        <f>"2026-07-29 14:20:19"</f>
        <v>2026-07-29 14:20:19</v>
      </c>
      <c r="L796" s="1" t="str">
        <f>"2023-09-15 15:52:49"</f>
        <v>2023-09-15 15:52:49</v>
      </c>
      <c r="M796" s="1" t="s">
        <v>4</v>
      </c>
      <c r="N796" s="1" t="s">
        <v>38</v>
      </c>
      <c r="O796" s="1" t="s">
        <v>46</v>
      </c>
    </row>
    <row r="797" spans="2:15" x14ac:dyDescent="0.3">
      <c r="B797" s="1" t="s">
        <v>24</v>
      </c>
      <c r="C797" s="1" t="str">
        <f>"6차"</f>
        <v>6차</v>
      </c>
      <c r="D797" s="1" t="str">
        <f>"0326P0716S"</f>
        <v>0326P0716S</v>
      </c>
      <c r="E797" s="1" t="s">
        <v>10</v>
      </c>
      <c r="F797" s="1" t="str">
        <f>"fde1:103:4:c5e4:0:0:0:2"</f>
        <v>fde1:103:4:c5e4:0:0:0:2</v>
      </c>
      <c r="G797" s="1" t="str">
        <f>"0326P071"</f>
        <v>0326P071</v>
      </c>
      <c r="H797" s="1" t="str">
        <f>"전우간 14R11"</f>
        <v>전우간 14R11</v>
      </c>
      <c r="I797" s="1" t="s">
        <v>15</v>
      </c>
      <c r="J797" s="1" t="str">
        <f>"27/28"</f>
        <v>27/28</v>
      </c>
      <c r="K797" s="1" t="str">
        <f>"2026-07-29 14:20:19"</f>
        <v>2026-07-29 14:20:19</v>
      </c>
      <c r="L797" s="1" t="str">
        <f>"2024-11-01 18:13:34"</f>
        <v>2024-11-01 18:13:34</v>
      </c>
      <c r="M797" s="1" t="s">
        <v>4</v>
      </c>
      <c r="N797" s="1" t="s">
        <v>38</v>
      </c>
      <c r="O797" s="1" t="s">
        <v>46</v>
      </c>
    </row>
    <row r="798" spans="2:15" x14ac:dyDescent="0.3">
      <c r="B798" s="1" t="s">
        <v>24</v>
      </c>
      <c r="C798" s="1" t="str">
        <f>"6차"</f>
        <v>6차</v>
      </c>
      <c r="D798" s="1" t="str">
        <f>"0326P0816S"</f>
        <v>0326P0816S</v>
      </c>
      <c r="E798" s="1" t="s">
        <v>10</v>
      </c>
      <c r="F798" s="1" t="str">
        <f>"fde1:103:4:c5f3:0:0:0:2"</f>
        <v>fde1:103:4:c5f3:0:0:0:2</v>
      </c>
      <c r="G798" s="1" t="str">
        <f>"0326P081"</f>
        <v>0326P081</v>
      </c>
      <c r="H798" s="1" t="str">
        <f>"전우간 31R9"</f>
        <v>전우간 31R9</v>
      </c>
      <c r="I798" s="1" t="s">
        <v>15</v>
      </c>
      <c r="J798" s="1" t="str">
        <f>"47/47"</f>
        <v>47/47</v>
      </c>
      <c r="K798" s="1" t="str">
        <f>"2026-07-29 14:20:54"</f>
        <v>2026-07-29 14:20:54</v>
      </c>
      <c r="L798" s="1" t="str">
        <f>"2024-11-01 18:13:41"</f>
        <v>2024-11-01 18:13:41</v>
      </c>
      <c r="M798" s="1" t="s">
        <v>4</v>
      </c>
      <c r="N798" s="1" t="s">
        <v>38</v>
      </c>
      <c r="O798" s="1" t="s">
        <v>46</v>
      </c>
    </row>
    <row r="799" spans="2:15" x14ac:dyDescent="0.3">
      <c r="B799" s="1" t="s">
        <v>24</v>
      </c>
      <c r="C799" s="1" t="str">
        <f>"5-2차"</f>
        <v>5-2차</v>
      </c>
      <c r="D799" s="1" t="str">
        <f>"0326P1435M"</f>
        <v>0326P1435M</v>
      </c>
      <c r="E799" s="1" t="s">
        <v>10</v>
      </c>
      <c r="F799" s="1" t="str">
        <f>"fde1:103:4:5a01:0:0:0:2"</f>
        <v>fde1:103:4:5a01:0:0:0:2</v>
      </c>
      <c r="G799" s="1" t="str">
        <f>"0326P143"</f>
        <v>0326P143</v>
      </c>
      <c r="H799" s="1" t="str">
        <f>"전우간 14R2"</f>
        <v>전우간 14R2</v>
      </c>
      <c r="I799" s="1" t="s">
        <v>15</v>
      </c>
      <c r="J799" s="1" t="str">
        <f>"34/34"</f>
        <v>34/34</v>
      </c>
      <c r="K799" s="1" t="str">
        <f>"2026-07-29 14:20:53"</f>
        <v>2026-07-29 14:20:53</v>
      </c>
      <c r="L799" s="1" t="str">
        <f>"2023-09-15 16:15:39"</f>
        <v>2023-09-15 16:15:39</v>
      </c>
      <c r="M799" s="1" t="s">
        <v>4</v>
      </c>
      <c r="N799" s="1" t="s">
        <v>38</v>
      </c>
      <c r="O799" s="1" t="s">
        <v>46</v>
      </c>
    </row>
    <row r="800" spans="2:15" x14ac:dyDescent="0.3">
      <c r="B800" s="1" t="s">
        <v>24</v>
      </c>
      <c r="C800" s="1" t="str">
        <f>"6차"</f>
        <v>6차</v>
      </c>
      <c r="D800" s="1" t="str">
        <f>"0326P1516S"</f>
        <v>0326P1516S</v>
      </c>
      <c r="E800" s="1" t="s">
        <v>10</v>
      </c>
      <c r="F800" s="1" t="str">
        <f>"fde1:103:4:c5d8:0:0:0:2"</f>
        <v>fde1:103:4:c5d8:0:0:0:2</v>
      </c>
      <c r="G800" s="1" t="str">
        <f>"0326P151"</f>
        <v>0326P151</v>
      </c>
      <c r="H800" s="1" t="str">
        <f>"전우간 14R3"</f>
        <v>전우간 14R3</v>
      </c>
      <c r="I800" s="1" t="s">
        <v>15</v>
      </c>
      <c r="J800" s="1" t="str">
        <f>"31/32"</f>
        <v>31/32</v>
      </c>
      <c r="K800" s="1" t="str">
        <f>"2026-07-29 14:20:19"</f>
        <v>2026-07-29 14:20:19</v>
      </c>
      <c r="L800" s="1" t="str">
        <f>"2024-11-01 18:23:25"</f>
        <v>2024-11-01 18:23:25</v>
      </c>
      <c r="M800" s="1" t="s">
        <v>4</v>
      </c>
      <c r="N800" s="1" t="s">
        <v>38</v>
      </c>
      <c r="O800" s="1" t="s">
        <v>46</v>
      </c>
    </row>
    <row r="801" spans="2:15" x14ac:dyDescent="0.3">
      <c r="B801" s="1" t="s">
        <v>24</v>
      </c>
      <c r="C801" s="1" t="str">
        <f>"6차"</f>
        <v>6차</v>
      </c>
      <c r="D801" s="1" t="str">
        <f>"0326P1716S"</f>
        <v>0326P1716S</v>
      </c>
      <c r="E801" s="1" t="s">
        <v>10</v>
      </c>
      <c r="F801" s="1" t="str">
        <f>"fde1:103:4:9125:0:0:0:2"</f>
        <v>fde1:103:4:9125:0:0:0:2</v>
      </c>
      <c r="G801" s="1" t="str">
        <f>"0326P171"</f>
        <v>0326P171</v>
      </c>
      <c r="H801" s="1" t="str">
        <f>"전우간 14R8"</f>
        <v>전우간 14R8</v>
      </c>
      <c r="I801" s="1" t="s">
        <v>15</v>
      </c>
      <c r="J801" s="1" t="str">
        <f>"90/90"</f>
        <v>90/90</v>
      </c>
      <c r="K801" s="1" t="str">
        <f>"2026-07-29 14:20:20"</f>
        <v>2026-07-29 14:20:20</v>
      </c>
      <c r="L801" s="1" t="str">
        <f>"2025-02-18 15:48:38"</f>
        <v>2025-02-18 15:48:38</v>
      </c>
      <c r="M801" s="1" t="s">
        <v>4</v>
      </c>
      <c r="N801" s="1" t="s">
        <v>38</v>
      </c>
      <c r="O801" s="1" t="s">
        <v>46</v>
      </c>
    </row>
    <row r="802" spans="2:15" x14ac:dyDescent="0.3">
      <c r="B802" s="1" t="s">
        <v>24</v>
      </c>
      <c r="C802" s="1" t="str">
        <f>"5-2차"</f>
        <v>5-2차</v>
      </c>
      <c r="D802" s="1" t="str">
        <f>"0326P1725S"</f>
        <v>0326P1725S</v>
      </c>
      <c r="E802" s="1" t="s">
        <v>10</v>
      </c>
      <c r="F802" s="1" t="str">
        <f>"fde1:103:4:5a36:0:0:0:2"</f>
        <v>fde1:103:4:5a36:0:0:0:2</v>
      </c>
      <c r="G802" s="1" t="str">
        <f>"0326P172"</f>
        <v>0326P172</v>
      </c>
      <c r="H802" s="1" t="str">
        <f>"전우간 14R9"</f>
        <v>전우간 14R9</v>
      </c>
      <c r="I802" s="1" t="s">
        <v>15</v>
      </c>
      <c r="J802" s="1" t="str">
        <f>"41/41"</f>
        <v>41/41</v>
      </c>
      <c r="K802" s="1" t="str">
        <f>"2026-07-29 14:20:53"</f>
        <v>2026-07-29 14:20:53</v>
      </c>
      <c r="L802" s="1" t="str">
        <f>"2023-09-15 16:12:15"</f>
        <v>2023-09-15 16:12:15</v>
      </c>
      <c r="M802" s="1" t="s">
        <v>4</v>
      </c>
      <c r="N802" s="1" t="s">
        <v>38</v>
      </c>
      <c r="O802" s="1" t="s">
        <v>46</v>
      </c>
    </row>
    <row r="803" spans="2:15" x14ac:dyDescent="0.3">
      <c r="B803" s="1" t="s">
        <v>24</v>
      </c>
      <c r="C803" s="1" t="str">
        <f>"5-2차"</f>
        <v>5-2차</v>
      </c>
      <c r="D803" s="1" t="str">
        <f>"0326P1915M"</f>
        <v>0326P1915M</v>
      </c>
      <c r="E803" s="1" t="s">
        <v>10</v>
      </c>
      <c r="F803" s="1" t="str">
        <f>"fde1:103:4:5868:0:0:0:2"</f>
        <v>fde1:103:4:5868:0:0:0:2</v>
      </c>
      <c r="G803" s="1" t="str">
        <f>"0326P191"</f>
        <v>0326P191</v>
      </c>
      <c r="H803" s="1" t="str">
        <f>"전우간 31R8L2"</f>
        <v>전우간 31R8L2</v>
      </c>
      <c r="I803" s="1" t="s">
        <v>15</v>
      </c>
      <c r="J803" s="1" t="str">
        <f>"54/55"</f>
        <v>54/55</v>
      </c>
      <c r="K803" s="1" t="str">
        <f>"2026-07-29 14:20:19"</f>
        <v>2026-07-29 14:20:19</v>
      </c>
      <c r="L803" s="1" t="str">
        <f>"2023-09-18 09:22:51"</f>
        <v>2023-09-18 09:22:51</v>
      </c>
      <c r="M803" s="1" t="s">
        <v>4</v>
      </c>
      <c r="N803" s="1" t="s">
        <v>38</v>
      </c>
      <c r="O803" s="1" t="s">
        <v>46</v>
      </c>
    </row>
    <row r="804" spans="2:15" x14ac:dyDescent="0.3">
      <c r="B804" s="1" t="s">
        <v>24</v>
      </c>
      <c r="C804" s="1" t="str">
        <f>"5-2차"</f>
        <v>5-2차</v>
      </c>
      <c r="D804" s="1" t="str">
        <f>"0326P1925S"</f>
        <v>0326P1925S</v>
      </c>
      <c r="E804" s="1" t="s">
        <v>10</v>
      </c>
      <c r="F804" s="1" t="str">
        <f>"fde1:103:4:59d3:0:0:0:2"</f>
        <v>fde1:103:4:59d3:0:0:0:2</v>
      </c>
      <c r="G804" s="1" t="str">
        <f>"0326P192"</f>
        <v>0326P192</v>
      </c>
      <c r="H804" s="1" t="str">
        <f>"전우간 31R8L3"</f>
        <v>전우간 31R8L3</v>
      </c>
      <c r="I804" s="1" t="s">
        <v>15</v>
      </c>
      <c r="J804" s="1" t="str">
        <f>"47/47"</f>
        <v>47/47</v>
      </c>
      <c r="K804" s="1" t="str">
        <f>"2026-07-29 14:20:19"</f>
        <v>2026-07-29 14:20:19</v>
      </c>
      <c r="L804" s="1" t="str">
        <f>"2023-09-18 09:23:49"</f>
        <v>2023-09-18 09:23:49</v>
      </c>
      <c r="M804" s="1" t="s">
        <v>4</v>
      </c>
      <c r="N804" s="1" t="s">
        <v>38</v>
      </c>
      <c r="O804" s="1" t="s">
        <v>46</v>
      </c>
    </row>
    <row r="805" spans="2:15" x14ac:dyDescent="0.3">
      <c r="B805" s="1" t="s">
        <v>24</v>
      </c>
      <c r="C805" s="1" t="str">
        <f>"1차"</f>
        <v>1차</v>
      </c>
      <c r="D805" s="1" t="str">
        <f>"0326P20401"</f>
        <v>0326P20401</v>
      </c>
      <c r="E805" s="1" t="s">
        <v>10</v>
      </c>
      <c r="F805" s="1" t="str">
        <f>"10.12.132.165"</f>
        <v>10.12.132.165</v>
      </c>
      <c r="G805" s="1" t="str">
        <f>"0326P204"</f>
        <v>0326P204</v>
      </c>
      <c r="H805" s="1" t="str">
        <f>"전우간 8L3"</f>
        <v>전우간 8L3</v>
      </c>
      <c r="I805" s="1" t="s">
        <v>8</v>
      </c>
      <c r="J805" s="1" t="str">
        <f>"36/36"</f>
        <v>36/36</v>
      </c>
      <c r="K805" s="1" t="str">
        <f>"2026-07-29 13:18:03"</f>
        <v>2026-07-29 13:18:03</v>
      </c>
      <c r="L805" s="1" t="str">
        <f>"2014-12-08 12:19:36"</f>
        <v>2014-12-08 12:19:36</v>
      </c>
      <c r="M805" s="1" t="s">
        <v>0</v>
      </c>
      <c r="N805" s="1" t="s">
        <v>38</v>
      </c>
      <c r="O805" s="1" t="s">
        <v>46</v>
      </c>
    </row>
    <row r="806" spans="2:15" x14ac:dyDescent="0.3">
      <c r="B806" s="1" t="s">
        <v>24</v>
      </c>
      <c r="C806" s="1" t="str">
        <f>"4차"</f>
        <v>4차</v>
      </c>
      <c r="D806" s="1" t="str">
        <f>"0326P26341"</f>
        <v>0326P26341</v>
      </c>
      <c r="E806" s="1" t="s">
        <v>10</v>
      </c>
      <c r="F806" s="1" t="str">
        <f>"10.12.128.154"</f>
        <v>10.12.128.154</v>
      </c>
      <c r="G806" s="1" t="str">
        <f>"0326P263"</f>
        <v>0326P263</v>
      </c>
      <c r="H806" s="1" t="str">
        <f>"전우간 14R5"</f>
        <v>전우간 14R5</v>
      </c>
      <c r="I806" s="1" t="s">
        <v>17</v>
      </c>
      <c r="J806" s="1" t="str">
        <f>"14/14"</f>
        <v>14/14</v>
      </c>
      <c r="K806" s="1" t="str">
        <f>"2026-07-29 13:18:02"</f>
        <v>2026-07-29 13:18:02</v>
      </c>
      <c r="L806" s="1" t="str">
        <f>"2021-10-25 13:13:05"</f>
        <v>2021-10-25 13:13:05</v>
      </c>
      <c r="M806" s="1" t="s">
        <v>0</v>
      </c>
      <c r="N806" s="1" t="s">
        <v>38</v>
      </c>
      <c r="O806" s="1" t="s">
        <v>46</v>
      </c>
    </row>
    <row r="807" spans="2:15" x14ac:dyDescent="0.3">
      <c r="B807" s="1" t="s">
        <v>24</v>
      </c>
      <c r="C807" s="1" t="str">
        <f>"1차"</f>
        <v>1차</v>
      </c>
      <c r="D807" s="1" t="str">
        <f>"0326P27100"</f>
        <v>0326P27100</v>
      </c>
      <c r="E807" s="1" t="s">
        <v>10</v>
      </c>
      <c r="F807" s="1" t="str">
        <f>"10.89.245.165"</f>
        <v>10.89.245.165</v>
      </c>
      <c r="G807" s="1" t="str">
        <f>"0326P271"</f>
        <v>0326P271</v>
      </c>
      <c r="H807" s="1" t="str">
        <f>"전우간 14R7"</f>
        <v>전우간 14R7</v>
      </c>
      <c r="I807" s="1" t="s">
        <v>8</v>
      </c>
      <c r="J807" s="1" t="str">
        <f>"26/26"</f>
        <v>26/26</v>
      </c>
      <c r="K807" s="1" t="str">
        <f>"2026-07-29 13:18:01"</f>
        <v>2026-07-29 13:18:01</v>
      </c>
      <c r="L807" s="1" t="str">
        <f>"2014-11-27 16:03:18"</f>
        <v>2014-11-27 16:03:18</v>
      </c>
      <c r="M807" s="1" t="s">
        <v>45</v>
      </c>
      <c r="N807" s="1" t="s">
        <v>38</v>
      </c>
      <c r="O807" s="1" t="s">
        <v>46</v>
      </c>
    </row>
    <row r="808" spans="2:15" x14ac:dyDescent="0.3">
      <c r="B808" s="1" t="s">
        <v>24</v>
      </c>
      <c r="C808" s="1" t="str">
        <f>"6차"</f>
        <v>6차</v>
      </c>
      <c r="D808" s="1" t="str">
        <f>"0326P2726S"</f>
        <v>0326P2726S</v>
      </c>
      <c r="E808" s="1" t="s">
        <v>10</v>
      </c>
      <c r="F808" s="1" t="str">
        <f>"fde1:103:4:c6f4:0:0:0:2"</f>
        <v>fde1:103:4:c6f4:0:0:0:2</v>
      </c>
      <c r="G808" s="1" t="str">
        <f>"0326P272"</f>
        <v>0326P272</v>
      </c>
      <c r="H808" s="1" t="str">
        <f>"전우간 14R7R1"</f>
        <v>전우간 14R7R1</v>
      </c>
      <c r="I808" s="1" t="s">
        <v>15</v>
      </c>
      <c r="J808" s="1" t="str">
        <f>"34/34"</f>
        <v>34/34</v>
      </c>
      <c r="K808" s="1" t="str">
        <f>"2026-07-29 14:20:53"</f>
        <v>2026-07-29 14:20:53</v>
      </c>
      <c r="L808" s="1" t="str">
        <f>"2024-09-26 19:56:52"</f>
        <v>2024-09-26 19:56:52</v>
      </c>
      <c r="M808" s="1" t="s">
        <v>4</v>
      </c>
      <c r="N808" s="1" t="s">
        <v>38</v>
      </c>
      <c r="O808" s="1" t="s">
        <v>46</v>
      </c>
    </row>
    <row r="809" spans="2:15" x14ac:dyDescent="0.3">
      <c r="B809" s="1" t="s">
        <v>24</v>
      </c>
      <c r="C809" s="1" t="str">
        <f>"1차"</f>
        <v>1차</v>
      </c>
      <c r="D809" s="1" t="str">
        <f>"0326P28101"</f>
        <v>0326P28101</v>
      </c>
      <c r="E809" s="1" t="s">
        <v>10</v>
      </c>
      <c r="F809" s="1" t="str">
        <f>"10.14.8.125"</f>
        <v>10.14.8.125</v>
      </c>
      <c r="G809" s="1" t="str">
        <f>"0326P281"</f>
        <v>0326P281</v>
      </c>
      <c r="H809" s="1" t="str">
        <f>"전우간 14R7R2"</f>
        <v>전우간 14R7R2</v>
      </c>
      <c r="I809" s="1" t="s">
        <v>8</v>
      </c>
      <c r="J809" s="1" t="str">
        <f>"67/67"</f>
        <v>67/67</v>
      </c>
      <c r="K809" s="1" t="str">
        <f>"2026-07-29 13:18:03"</f>
        <v>2026-07-29 13:18:03</v>
      </c>
      <c r="L809" s="1" t="str">
        <f>"2015-01-24 00:14:15"</f>
        <v>2015-01-24 00:14:15</v>
      </c>
      <c r="M809" s="1" t="s">
        <v>3</v>
      </c>
      <c r="N809" s="1" t="s">
        <v>38</v>
      </c>
      <c r="O809" s="1" t="s">
        <v>46</v>
      </c>
    </row>
    <row r="810" spans="2:15" x14ac:dyDescent="0.3">
      <c r="B810" s="1" t="s">
        <v>24</v>
      </c>
      <c r="C810" s="1" t="str">
        <f>"5-2차"</f>
        <v>5-2차</v>
      </c>
      <c r="D810" s="1" t="str">
        <f>"0326P2845M"</f>
        <v>0326P2845M</v>
      </c>
      <c r="E810" s="1" t="s">
        <v>10</v>
      </c>
      <c r="F810" s="1" t="str">
        <f>"fde1:103:4:58ca:0:0:0:2"</f>
        <v>fde1:103:4:58ca:0:0:0:2</v>
      </c>
      <c r="G810" s="1" t="str">
        <f>"0326P284"</f>
        <v>0326P284</v>
      </c>
      <c r="H810" s="1" t="str">
        <f>"전우간 31R8L4"</f>
        <v>전우간 31R8L4</v>
      </c>
      <c r="I810" s="1" t="s">
        <v>15</v>
      </c>
      <c r="J810" s="1" t="str">
        <f>"51/51"</f>
        <v>51/51</v>
      </c>
      <c r="K810" s="1" t="str">
        <f>"2026-07-29 14:20:19"</f>
        <v>2026-07-29 14:20:19</v>
      </c>
      <c r="L810" s="1" t="str">
        <f>"2023-09-18 09:39:48"</f>
        <v>2023-09-18 09:39:48</v>
      </c>
      <c r="M810" s="1" t="s">
        <v>4</v>
      </c>
      <c r="N810" s="1" t="s">
        <v>38</v>
      </c>
      <c r="O810" s="1" t="s">
        <v>46</v>
      </c>
    </row>
    <row r="811" spans="2:15" x14ac:dyDescent="0.3">
      <c r="B811" s="1" t="s">
        <v>24</v>
      </c>
      <c r="C811" s="1" t="str">
        <f>"5-2차"</f>
        <v>5-2차</v>
      </c>
      <c r="D811" s="1" t="str">
        <f>"0326P2855S"</f>
        <v>0326P2855S</v>
      </c>
      <c r="E811" s="1" t="s">
        <v>10</v>
      </c>
      <c r="F811" s="1" t="str">
        <f>"fde1:103:4:585c:0:0:0:2"</f>
        <v>fde1:103:4:585c:0:0:0:2</v>
      </c>
      <c r="G811" s="1" t="str">
        <f>"0326P285"</f>
        <v>0326P285</v>
      </c>
      <c r="H811" s="1" t="str">
        <f>"전우간 31R8L5"</f>
        <v>전우간 31R8L5</v>
      </c>
      <c r="I811" s="1" t="s">
        <v>15</v>
      </c>
      <c r="J811" s="1" t="str">
        <f>"72/72"</f>
        <v>72/72</v>
      </c>
      <c r="K811" s="1" t="str">
        <f>"2026-07-29 14:20:19"</f>
        <v>2026-07-29 14:20:19</v>
      </c>
      <c r="L811" s="1" t="str">
        <f>"2023-09-18 09:40:21"</f>
        <v>2023-09-18 09:40:21</v>
      </c>
      <c r="M811" s="1" t="s">
        <v>4</v>
      </c>
      <c r="N811" s="1" t="s">
        <v>38</v>
      </c>
      <c r="O811" s="1" t="s">
        <v>46</v>
      </c>
    </row>
    <row r="812" spans="2:15" x14ac:dyDescent="0.3">
      <c r="B812" s="1" t="s">
        <v>24</v>
      </c>
      <c r="C812" s="1" t="str">
        <f>"4차"</f>
        <v>4차</v>
      </c>
      <c r="D812" s="1" t="str">
        <f>"0326P52141"</f>
        <v>0326P52141</v>
      </c>
      <c r="E812" s="1" t="s">
        <v>10</v>
      </c>
      <c r="F812" s="1" t="str">
        <f>"10.14.7.112"</f>
        <v>10.14.7.112</v>
      </c>
      <c r="G812" s="1" t="str">
        <f>"0326P521"</f>
        <v>0326P521</v>
      </c>
      <c r="H812" s="1" t="str">
        <f>"배봉간 86R2L4"</f>
        <v>배봉간 86R2L4</v>
      </c>
      <c r="I812" s="1" t="s">
        <v>17</v>
      </c>
      <c r="J812" s="1" t="str">
        <f>"2/3"</f>
        <v>2/3</v>
      </c>
      <c r="K812" s="1" t="str">
        <f>"2026-07-29 13:18:03"</f>
        <v>2026-07-29 13:18:03</v>
      </c>
      <c r="L812" s="1" t="str">
        <f>"2021-11-03 17:22:01"</f>
        <v>2021-11-03 17:22:01</v>
      </c>
      <c r="M812" s="1" t="s">
        <v>3</v>
      </c>
      <c r="N812" s="1" t="s">
        <v>38</v>
      </c>
      <c r="O812" s="1" t="s">
        <v>46</v>
      </c>
    </row>
    <row r="813" spans="2:15" x14ac:dyDescent="0.3">
      <c r="B813" s="1" t="s">
        <v>24</v>
      </c>
      <c r="C813" s="1" t="str">
        <f>"1차"</f>
        <v>1차</v>
      </c>
      <c r="D813" s="1" t="str">
        <f>"0326P53200"</f>
        <v>0326P53200</v>
      </c>
      <c r="E813" s="1" t="s">
        <v>10</v>
      </c>
      <c r="F813" s="1" t="str">
        <f>"10.89.247.233"</f>
        <v>10.89.247.233</v>
      </c>
      <c r="G813" s="1" t="str">
        <f>"0326P532"</f>
        <v>0326P532</v>
      </c>
      <c r="H813" s="1" t="str">
        <f>"배봉간 86R2L3"</f>
        <v>배봉간 86R2L3</v>
      </c>
      <c r="I813" s="1" t="s">
        <v>8</v>
      </c>
      <c r="J813" s="1" t="str">
        <f>"5/5"</f>
        <v>5/5</v>
      </c>
      <c r="K813" s="1" t="str">
        <f>"2026-07-29 13:18:03"</f>
        <v>2026-07-29 13:18:03</v>
      </c>
      <c r="L813" s="1" t="str">
        <f>"2014-10-15 09:17:08"</f>
        <v>2014-10-15 09:17:08</v>
      </c>
      <c r="M813" s="1" t="s">
        <v>45</v>
      </c>
      <c r="N813" s="1" t="s">
        <v>38</v>
      </c>
      <c r="O813" s="1" t="s">
        <v>46</v>
      </c>
    </row>
    <row r="814" spans="2:15" x14ac:dyDescent="0.3">
      <c r="B814" s="1" t="s">
        <v>24</v>
      </c>
      <c r="C814" s="1" t="str">
        <f>"1차"</f>
        <v>1차</v>
      </c>
      <c r="D814" s="1" t="str">
        <f>"0326P82610"</f>
        <v>0326P82610</v>
      </c>
      <c r="E814" s="1" t="s">
        <v>10</v>
      </c>
      <c r="F814" s="1" t="str">
        <f>"10.89.129.159"</f>
        <v>10.89.129.159</v>
      </c>
      <c r="G814" s="1" t="str">
        <f>"0326P826"</f>
        <v>0326P826</v>
      </c>
      <c r="H814" s="1" t="str">
        <f>"배봉간 86R1"</f>
        <v>배봉간 86R1</v>
      </c>
      <c r="I814" s="1" t="s">
        <v>8</v>
      </c>
      <c r="J814" s="1" t="str">
        <f>"10/10"</f>
        <v>10/10</v>
      </c>
      <c r="K814" s="1" t="str">
        <f>"2026-07-29 13:18:03"</f>
        <v>2026-07-29 13:18:03</v>
      </c>
      <c r="L814" s="1" t="str">
        <f>"2017-03-03 10:36:14"</f>
        <v>2017-03-03 10:36:14</v>
      </c>
      <c r="M814" s="1" t="s">
        <v>45</v>
      </c>
      <c r="N814" s="1" t="s">
        <v>38</v>
      </c>
      <c r="O814" s="1" t="s">
        <v>46</v>
      </c>
    </row>
    <row r="815" spans="2:15" x14ac:dyDescent="0.3">
      <c r="B815" s="1" t="s">
        <v>24</v>
      </c>
      <c r="C815" s="1" t="str">
        <f>"4차"</f>
        <v>4차</v>
      </c>
      <c r="D815" s="1" t="str">
        <f>"0326P84244"</f>
        <v>0326P84244</v>
      </c>
      <c r="E815" s="1" t="s">
        <v>10</v>
      </c>
      <c r="F815" s="1" t="str">
        <f>"10.12.137.56"</f>
        <v>10.12.137.56</v>
      </c>
      <c r="G815" s="1" t="str">
        <f>"0326P842"</f>
        <v>0326P842</v>
      </c>
      <c r="H815" s="1" t="str">
        <f>"배봉간 86R6"</f>
        <v>배봉간 86R6</v>
      </c>
      <c r="I815" s="1" t="s">
        <v>8</v>
      </c>
      <c r="J815" s="1" t="str">
        <f>"94/94"</f>
        <v>94/94</v>
      </c>
      <c r="K815" s="1" t="str">
        <f>"2026-07-29 13:18:04"</f>
        <v>2026-07-29 13:18:04</v>
      </c>
      <c r="L815" s="1" t="str">
        <f>"2023-11-01 09:35:51"</f>
        <v>2023-11-01 09:35:51</v>
      </c>
      <c r="M815" s="1" t="s">
        <v>0</v>
      </c>
      <c r="N815" s="1" t="s">
        <v>38</v>
      </c>
      <c r="O815" s="1" t="s">
        <v>46</v>
      </c>
    </row>
    <row r="816" spans="2:15" x14ac:dyDescent="0.3">
      <c r="B816" s="1" t="s">
        <v>24</v>
      </c>
      <c r="C816" s="1" t="str">
        <f>"6차"</f>
        <v>6차</v>
      </c>
      <c r="D816" s="1" t="str">
        <f>"0326P9016S"</f>
        <v>0326P9016S</v>
      </c>
      <c r="E816" s="1" t="s">
        <v>10</v>
      </c>
      <c r="F816" s="1" t="str">
        <f>"fde1:103:4:c5ab:0:0:0:2"</f>
        <v>fde1:103:4:c5ab:0:0:0:2</v>
      </c>
      <c r="G816" s="1" t="str">
        <f>"0326P901"</f>
        <v>0326P901</v>
      </c>
      <c r="H816" s="1" t="str">
        <f>"천한간 12R5"</f>
        <v>천한간 12R5</v>
      </c>
      <c r="I816" s="1" t="s">
        <v>15</v>
      </c>
      <c r="J816" s="1" t="str">
        <f>"97/97"</f>
        <v>97/97</v>
      </c>
      <c r="K816" s="1" t="str">
        <f>"2026-07-29 14:20:19"</f>
        <v>2026-07-29 14:20:19</v>
      </c>
      <c r="L816" s="1" t="str">
        <f>"2024-09-30 11:22:07"</f>
        <v>2024-09-30 11:22:07</v>
      </c>
      <c r="M816" s="1" t="s">
        <v>4</v>
      </c>
      <c r="N816" s="1" t="s">
        <v>38</v>
      </c>
      <c r="O816" s="1" t="s">
        <v>46</v>
      </c>
    </row>
    <row r="817" spans="2:15" x14ac:dyDescent="0.3">
      <c r="B817" s="1" t="s">
        <v>24</v>
      </c>
      <c r="C817" s="1" t="str">
        <f>"1차"</f>
        <v>1차</v>
      </c>
      <c r="D817" s="1" t="str">
        <f>"0326P95100"</f>
        <v>0326P95100</v>
      </c>
      <c r="E817" s="1" t="s">
        <v>10</v>
      </c>
      <c r="F817" s="1" t="str">
        <f>"10.89.247.227"</f>
        <v>10.89.247.227</v>
      </c>
      <c r="G817" s="1" t="str">
        <f>"0326P951"</f>
        <v>0326P951</v>
      </c>
      <c r="H817" s="1" t="str">
        <f>"배봉간 82"</f>
        <v>배봉간 82</v>
      </c>
      <c r="I817" s="1" t="s">
        <v>8</v>
      </c>
      <c r="J817" s="1" t="str">
        <f>"10/10"</f>
        <v>10/10</v>
      </c>
      <c r="K817" s="1" t="str">
        <f>"2026-07-29 13:18:03"</f>
        <v>2026-07-29 13:18:03</v>
      </c>
      <c r="L817" s="1" t="str">
        <f>"2014-11-03 13:40:33"</f>
        <v>2014-11-03 13:40:33</v>
      </c>
      <c r="M817" s="1" t="s">
        <v>45</v>
      </c>
      <c r="N817" s="1" t="s">
        <v>38</v>
      </c>
      <c r="O817" s="1" t="s">
        <v>46</v>
      </c>
    </row>
    <row r="818" spans="2:15" x14ac:dyDescent="0.3">
      <c r="B818" s="1" t="s">
        <v>24</v>
      </c>
      <c r="C818" s="1" t="str">
        <f>"5-2차"</f>
        <v>5-2차</v>
      </c>
      <c r="D818" s="1" t="str">
        <f>"0326P9615M"</f>
        <v>0326P9615M</v>
      </c>
      <c r="E818" s="1" t="s">
        <v>10</v>
      </c>
      <c r="F818" s="1" t="str">
        <f>"fde1:103:4:59ac:0:0:0:2"</f>
        <v>fde1:103:4:59ac:0:0:0:2</v>
      </c>
      <c r="G818" s="1" t="str">
        <f>"0326P961"</f>
        <v>0326P961</v>
      </c>
      <c r="H818" s="1" t="str">
        <f>"배봉간 77R4L4"</f>
        <v>배봉간 77R4L4</v>
      </c>
      <c r="I818" s="1" t="s">
        <v>15</v>
      </c>
      <c r="J818" s="1" t="str">
        <f>"60/60"</f>
        <v>60/60</v>
      </c>
      <c r="K818" s="1" t="str">
        <f>"2026-07-29 14:20:19"</f>
        <v>2026-07-29 14:20:19</v>
      </c>
      <c r="L818" s="1" t="str">
        <f>"2023-09-18 09:55:44"</f>
        <v>2023-09-18 09:55:44</v>
      </c>
      <c r="M818" s="1" t="s">
        <v>4</v>
      </c>
      <c r="N818" s="1" t="s">
        <v>38</v>
      </c>
      <c r="O818" s="1" t="s">
        <v>46</v>
      </c>
    </row>
    <row r="819" spans="2:15" x14ac:dyDescent="0.3">
      <c r="B819" s="1" t="s">
        <v>24</v>
      </c>
      <c r="C819" s="1" t="str">
        <f>"5-2차"</f>
        <v>5-2차</v>
      </c>
      <c r="D819" s="1" t="str">
        <f>"0326P9725M"</f>
        <v>0326P9725M</v>
      </c>
      <c r="E819" s="1" t="s">
        <v>10</v>
      </c>
      <c r="F819" s="1" t="str">
        <f>"fde1:103:4:5892:0:0:0:2"</f>
        <v>fde1:103:4:5892:0:0:0:2</v>
      </c>
      <c r="G819" s="1" t="str">
        <f>"0326P972"</f>
        <v>0326P972</v>
      </c>
      <c r="H819" s="1" t="str">
        <f>"배봉간 77R4L2"</f>
        <v>배봉간 77R4L2</v>
      </c>
      <c r="I819" s="1" t="s">
        <v>15</v>
      </c>
      <c r="J819" s="1" t="str">
        <f>"72/72"</f>
        <v>72/72</v>
      </c>
      <c r="K819" s="1" t="str">
        <f>"2026-07-29 14:20:19"</f>
        <v>2026-07-29 14:20:19</v>
      </c>
      <c r="L819" s="1" t="str">
        <f>"2023-09-18 09:56:35"</f>
        <v>2023-09-18 09:56:35</v>
      </c>
      <c r="M819" s="1" t="s">
        <v>4</v>
      </c>
      <c r="N819" s="1" t="s">
        <v>38</v>
      </c>
      <c r="O819" s="1" t="s">
        <v>46</v>
      </c>
    </row>
    <row r="820" spans="2:15" x14ac:dyDescent="0.3">
      <c r="B820" s="1" t="s">
        <v>24</v>
      </c>
      <c r="C820" s="1" t="str">
        <f>"5-1차"</f>
        <v>5-1차</v>
      </c>
      <c r="D820" s="1" t="str">
        <f>"0326P9925S"</f>
        <v>0326P9925S</v>
      </c>
      <c r="E820" s="1" t="s">
        <v>10</v>
      </c>
      <c r="F820" s="1" t="str">
        <f>"fde2:104:0:12f:0:0:0:2"</f>
        <v>fde2:104:0:12f:0:0:0:2</v>
      </c>
      <c r="G820" s="1" t="str">
        <f>"0326P992"</f>
        <v>0326P992</v>
      </c>
      <c r="H820" s="1" t="str">
        <f>"배봉간 77R5"</f>
        <v>배봉간 77R5</v>
      </c>
      <c r="I820" s="1" t="s">
        <v>15</v>
      </c>
      <c r="J820" s="1" t="str">
        <f>"20/20"</f>
        <v>20/20</v>
      </c>
      <c r="K820" s="1" t="str">
        <f>"2026-07-29 14:20:20"</f>
        <v>2026-07-29 14:20:20</v>
      </c>
      <c r="L820" s="1" t="str">
        <f>"2022-10-14 11:58:27"</f>
        <v>2022-10-14 11:58:27</v>
      </c>
      <c r="M820" s="1" t="s">
        <v>42</v>
      </c>
      <c r="N820" s="1" t="s">
        <v>38</v>
      </c>
      <c r="O820" s="1" t="s">
        <v>46</v>
      </c>
    </row>
    <row r="821" spans="2:15" x14ac:dyDescent="0.3">
      <c r="B821" s="1" t="s">
        <v>24</v>
      </c>
      <c r="C821" s="1" t="str">
        <f>"5-2차"</f>
        <v>5-2차</v>
      </c>
      <c r="D821" s="1" t="str">
        <f>"0326P9995M"</f>
        <v>0326P9995M</v>
      </c>
      <c r="E821" s="1" t="s">
        <v>10</v>
      </c>
      <c r="F821" s="1" t="str">
        <f>"fde1:103:4:5904:0:0:0:2"</f>
        <v>fde1:103:4:5904:0:0:0:2</v>
      </c>
      <c r="G821" s="1" t="str">
        <f>"0326P999"</f>
        <v>0326P999</v>
      </c>
      <c r="H821" s="1" t="str">
        <f>"배봉간 77R6"</f>
        <v>배봉간 77R6</v>
      </c>
      <c r="I821" s="1" t="s">
        <v>15</v>
      </c>
      <c r="J821" s="1" t="str">
        <f>"66/67"</f>
        <v>66/67</v>
      </c>
      <c r="K821" s="1" t="str">
        <f>"2026-07-29 14:20:21"</f>
        <v>2026-07-29 14:20:21</v>
      </c>
      <c r="L821" s="1" t="str">
        <f>"2023-09-18 10:13:49"</f>
        <v>2023-09-18 10:13:49</v>
      </c>
      <c r="M821" s="1" t="s">
        <v>4</v>
      </c>
      <c r="N821" s="1" t="s">
        <v>38</v>
      </c>
      <c r="O821" s="1" t="s">
        <v>46</v>
      </c>
    </row>
    <row r="822" spans="2:15" x14ac:dyDescent="0.3">
      <c r="B822" s="1" t="s">
        <v>24</v>
      </c>
      <c r="C822" s="1" t="str">
        <f>"5-2차"</f>
        <v>5-2차</v>
      </c>
      <c r="D822" s="1" t="str">
        <f>"0326Q0125M"</f>
        <v>0326Q0125M</v>
      </c>
      <c r="E822" s="1" t="s">
        <v>10</v>
      </c>
      <c r="F822" s="1" t="str">
        <f>"fde1:103:4:588e:0:0:0:2"</f>
        <v>fde1:103:4:588e:0:0:0:2</v>
      </c>
      <c r="G822" s="1" t="str">
        <f>"0326Q012"</f>
        <v>0326Q012</v>
      </c>
      <c r="H822" s="1" t="str">
        <f>"천한간 19R5R3"</f>
        <v>천한간 19R5R3</v>
      </c>
      <c r="I822" s="1" t="s">
        <v>15</v>
      </c>
      <c r="J822" s="1" t="str">
        <f>"48/48"</f>
        <v>48/48</v>
      </c>
      <c r="K822" s="1" t="str">
        <f>"2026-07-29 14:20:20"</f>
        <v>2026-07-29 14:20:20</v>
      </c>
      <c r="L822" s="1" t="str">
        <f>"2023-09-18 10:14:28"</f>
        <v>2023-09-18 10:14:28</v>
      </c>
      <c r="M822" s="1" t="s">
        <v>4</v>
      </c>
      <c r="N822" s="1" t="s">
        <v>38</v>
      </c>
      <c r="O822" s="1" t="s">
        <v>46</v>
      </c>
    </row>
    <row r="823" spans="2:15" x14ac:dyDescent="0.3">
      <c r="B823" s="1" t="s">
        <v>24</v>
      </c>
      <c r="C823" s="1" t="str">
        <f>"6차"</f>
        <v>6차</v>
      </c>
      <c r="D823" s="1" t="str">
        <f>"0326Q0136S"</f>
        <v>0326Q0136S</v>
      </c>
      <c r="E823" s="1" t="s">
        <v>10</v>
      </c>
      <c r="F823" s="1" t="str">
        <f>"fde1:103:4:9126:0:0:0:2"</f>
        <v>fde1:103:4:9126:0:0:0:2</v>
      </c>
      <c r="G823" s="1" t="str">
        <f>"0326Q013"</f>
        <v>0326Q013</v>
      </c>
      <c r="H823" s="1" t="str">
        <f>"천한간 19R5R3L1"</f>
        <v>천한간 19R5R3L1</v>
      </c>
      <c r="I823" s="1" t="s">
        <v>15</v>
      </c>
      <c r="J823" s="1" t="str">
        <f>"29/29"</f>
        <v>29/29</v>
      </c>
      <c r="K823" s="1" t="str">
        <f>"2026-07-29 14:20:54"</f>
        <v>2026-07-29 14:20:54</v>
      </c>
      <c r="L823" s="1" t="str">
        <f>"2025-02-18 15:48:50"</f>
        <v>2025-02-18 15:48:50</v>
      </c>
      <c r="M823" s="1" t="s">
        <v>4</v>
      </c>
      <c r="N823" s="1" t="s">
        <v>38</v>
      </c>
      <c r="O823" s="1" t="s">
        <v>46</v>
      </c>
    </row>
    <row r="824" spans="2:15" x14ac:dyDescent="0.3">
      <c r="B824" s="1" t="s">
        <v>24</v>
      </c>
      <c r="C824" s="1" t="str">
        <f>"5-1차"</f>
        <v>5-1차</v>
      </c>
      <c r="D824" s="1" t="str">
        <f>"0326Q0325M"</f>
        <v>0326Q0325M</v>
      </c>
      <c r="E824" s="1" t="s">
        <v>10</v>
      </c>
      <c r="F824" s="1" t="str">
        <f>"fde2:104:0:12a:0:0:0:2"</f>
        <v>fde2:104:0:12a:0:0:0:2</v>
      </c>
      <c r="G824" s="1" t="str">
        <f>"0326Q032"</f>
        <v>0326Q032</v>
      </c>
      <c r="H824" s="1" t="str">
        <f>"천한간 19R3"</f>
        <v>천한간 19R3</v>
      </c>
      <c r="I824" s="1" t="s">
        <v>15</v>
      </c>
      <c r="J824" s="1" t="str">
        <f>"113/113"</f>
        <v>113/113</v>
      </c>
      <c r="K824" s="1" t="str">
        <f>"2026-07-29 14:20:20"</f>
        <v>2026-07-29 14:20:20</v>
      </c>
      <c r="L824" s="1" t="str">
        <f>"2022-10-11 07:53:17"</f>
        <v>2022-10-11 07:53:17</v>
      </c>
      <c r="M824" s="1" t="s">
        <v>42</v>
      </c>
      <c r="N824" s="1" t="s">
        <v>38</v>
      </c>
      <c r="O824" s="1" t="s">
        <v>46</v>
      </c>
    </row>
    <row r="825" spans="2:15" x14ac:dyDescent="0.3">
      <c r="B825" s="1" t="s">
        <v>24</v>
      </c>
      <c r="C825" s="1" t="str">
        <f>"5-2차"</f>
        <v>5-2차</v>
      </c>
      <c r="D825" s="1" t="str">
        <f>"0326Q0345M"</f>
        <v>0326Q0345M</v>
      </c>
      <c r="E825" s="1" t="s">
        <v>10</v>
      </c>
      <c r="F825" s="1" t="str">
        <f>"fde1:103:4:5a31:0:0:0:2"</f>
        <v>fde1:103:4:5a31:0:0:0:2</v>
      </c>
      <c r="G825" s="1" t="str">
        <f>"0326Q034"</f>
        <v>0326Q034</v>
      </c>
      <c r="H825" s="1" t="str">
        <f>"천한간 19R3R1"</f>
        <v>천한간 19R3R1</v>
      </c>
      <c r="I825" s="1" t="s">
        <v>15</v>
      </c>
      <c r="J825" s="1" t="str">
        <f>"71/71"</f>
        <v>71/71</v>
      </c>
      <c r="K825" s="1" t="str">
        <f>"2026-07-29 14:20:20"</f>
        <v>2026-07-29 14:20:20</v>
      </c>
      <c r="L825" s="1" t="str">
        <f>"2023-09-18 10:29:45"</f>
        <v>2023-09-18 10:29:45</v>
      </c>
      <c r="M825" s="1" t="s">
        <v>4</v>
      </c>
      <c r="N825" s="1" t="s">
        <v>38</v>
      </c>
      <c r="O825" s="1" t="s">
        <v>46</v>
      </c>
    </row>
    <row r="826" spans="2:15" x14ac:dyDescent="0.3">
      <c r="B826" s="1" t="s">
        <v>24</v>
      </c>
      <c r="C826" s="1" t="str">
        <f>"5-2차"</f>
        <v>5-2차</v>
      </c>
      <c r="D826" s="1" t="str">
        <f>"0326Q0425M"</f>
        <v>0326Q0425M</v>
      </c>
      <c r="E826" s="1" t="s">
        <v>10</v>
      </c>
      <c r="F826" s="1" t="str">
        <f>"fde1:103:4:5844:0:0:0:2"</f>
        <v>fde1:103:4:5844:0:0:0:2</v>
      </c>
      <c r="G826" s="1" t="str">
        <f>"0326Q042"</f>
        <v>0326Q042</v>
      </c>
      <c r="H826" s="1" t="str">
        <f>"천한간 20"</f>
        <v>천한간 20</v>
      </c>
      <c r="I826" s="1" t="s">
        <v>15</v>
      </c>
      <c r="J826" s="1" t="str">
        <f>"28/28"</f>
        <v>28/28</v>
      </c>
      <c r="K826" s="1" t="str">
        <f>"2026-07-29 14:21:01"</f>
        <v>2026-07-29 14:21:01</v>
      </c>
      <c r="L826" s="1" t="str">
        <f>"2023-09-18 10:30:12"</f>
        <v>2023-09-18 10:30:12</v>
      </c>
      <c r="M826" s="1" t="s">
        <v>4</v>
      </c>
      <c r="N826" s="1" t="s">
        <v>38</v>
      </c>
      <c r="O826" s="1" t="s">
        <v>46</v>
      </c>
    </row>
    <row r="827" spans="2:15" x14ac:dyDescent="0.3">
      <c r="B827" s="1" t="s">
        <v>24</v>
      </c>
      <c r="C827" s="1" t="str">
        <f>"5-1차"</f>
        <v>5-1차</v>
      </c>
      <c r="D827" s="1" t="str">
        <f>"0326Q0435S"</f>
        <v>0326Q0435S</v>
      </c>
      <c r="E827" s="1" t="s">
        <v>10</v>
      </c>
      <c r="F827" s="1" t="str">
        <f>"fde2:104:0:125:0:0:0:2"</f>
        <v>fde2:104:0:125:0:0:0:2</v>
      </c>
      <c r="G827" s="1" t="str">
        <f>"0326Q043"</f>
        <v>0326Q043</v>
      </c>
      <c r="H827" s="1" t="str">
        <f>"천한간 21R2"</f>
        <v>천한간 21R2</v>
      </c>
      <c r="I827" s="1" t="s">
        <v>15</v>
      </c>
      <c r="J827" s="1" t="str">
        <f>"45/45"</f>
        <v>45/45</v>
      </c>
      <c r="K827" s="1" t="str">
        <f>"2026-07-29 14:20:21"</f>
        <v>2026-07-29 14:20:21</v>
      </c>
      <c r="L827" s="1" t="str">
        <f>"2022-10-11 08:54:33"</f>
        <v>2022-10-11 08:54:33</v>
      </c>
      <c r="M827" s="1" t="s">
        <v>42</v>
      </c>
      <c r="N827" s="1" t="s">
        <v>38</v>
      </c>
      <c r="O827" s="1" t="s">
        <v>46</v>
      </c>
    </row>
    <row r="828" spans="2:15" x14ac:dyDescent="0.3">
      <c r="B828" s="1" t="s">
        <v>24</v>
      </c>
      <c r="C828" s="1" t="str">
        <f>"5-1차"</f>
        <v>5-1차</v>
      </c>
      <c r="D828" s="1" t="str">
        <f>"0326Q1015M"</f>
        <v>0326Q1015M</v>
      </c>
      <c r="E828" s="1" t="s">
        <v>10</v>
      </c>
      <c r="F828" s="1" t="str">
        <f>"fde2:104:0:11e:0:0:0:2"</f>
        <v>fde2:104:0:11e:0:0:0:2</v>
      </c>
      <c r="G828" s="1" t="str">
        <f>"0326Q101"</f>
        <v>0326Q101</v>
      </c>
      <c r="H828" s="1" t="str">
        <f>"천한간 12R11L2L3"</f>
        <v>천한간 12R11L2L3</v>
      </c>
      <c r="I828" s="1" t="s">
        <v>15</v>
      </c>
      <c r="J828" s="1" t="str">
        <f>"124/124"</f>
        <v>124/124</v>
      </c>
      <c r="K828" s="1" t="str">
        <f>"2026-07-29 14:21:10"</f>
        <v>2026-07-29 14:21:10</v>
      </c>
      <c r="L828" s="1" t="str">
        <f>"2022-10-11 11:32:32"</f>
        <v>2022-10-11 11:32:32</v>
      </c>
      <c r="M828" s="1" t="s">
        <v>42</v>
      </c>
      <c r="N828" s="1" t="s">
        <v>38</v>
      </c>
      <c r="O828" s="1" t="s">
        <v>46</v>
      </c>
    </row>
    <row r="829" spans="2:15" x14ac:dyDescent="0.3">
      <c r="B829" s="1" t="s">
        <v>24</v>
      </c>
      <c r="C829" s="1" t="str">
        <f>"5-2차"</f>
        <v>5-2차</v>
      </c>
      <c r="D829" s="1" t="str">
        <f>"0326Q1115S"</f>
        <v>0326Q1115S</v>
      </c>
      <c r="E829" s="1" t="s">
        <v>10</v>
      </c>
      <c r="F829" s="1" t="str">
        <f>"fde1:103:4:575d:0:0:0:2"</f>
        <v>fde1:103:4:575d:0:0:0:2</v>
      </c>
      <c r="G829" s="1" t="str">
        <f>"0326Q111"</f>
        <v>0326Q111</v>
      </c>
      <c r="H829" s="1" t="str">
        <f>"천한간 19R5R1L2"</f>
        <v>천한간 19R5R1L2</v>
      </c>
      <c r="I829" s="1" t="s">
        <v>15</v>
      </c>
      <c r="J829" s="1" t="str">
        <f>"49/49"</f>
        <v>49/49</v>
      </c>
      <c r="K829" s="1" t="str">
        <f>"2026-07-29 14:20:20"</f>
        <v>2026-07-29 14:20:20</v>
      </c>
      <c r="L829" s="1" t="str">
        <f>"2023-09-19 09:24:55"</f>
        <v>2023-09-19 09:24:55</v>
      </c>
      <c r="M829" s="1" t="s">
        <v>4</v>
      </c>
      <c r="N829" s="1" t="s">
        <v>38</v>
      </c>
      <c r="O829" s="1" t="s">
        <v>46</v>
      </c>
    </row>
    <row r="830" spans="2:15" x14ac:dyDescent="0.3">
      <c r="B830" s="1" t="s">
        <v>24</v>
      </c>
      <c r="C830" s="1" t="str">
        <f>"5-2차"</f>
        <v>5-2차</v>
      </c>
      <c r="D830" s="1" t="str">
        <f>"0326Q1135S"</f>
        <v>0326Q1135S</v>
      </c>
      <c r="E830" s="1" t="s">
        <v>10</v>
      </c>
      <c r="F830" s="1" t="str">
        <f>"fde1:103:4:58e5:0:0:0:2"</f>
        <v>fde1:103:4:58e5:0:0:0:2</v>
      </c>
      <c r="G830" s="1" t="str">
        <f>"0326Q113"</f>
        <v>0326Q113</v>
      </c>
      <c r="H830" s="1" t="str">
        <f>"천한간 19R5R3L2"</f>
        <v>천한간 19R5R3L2</v>
      </c>
      <c r="I830" s="1" t="s">
        <v>15</v>
      </c>
      <c r="J830" s="1" t="str">
        <f>"48/48"</f>
        <v>48/48</v>
      </c>
      <c r="K830" s="1" t="str">
        <f>"2026-07-29 14:20:30"</f>
        <v>2026-07-29 14:20:30</v>
      </c>
      <c r="L830" s="1" t="str">
        <f>"2023-09-19 09:26:33"</f>
        <v>2023-09-19 09:26:33</v>
      </c>
      <c r="M830" s="1" t="s">
        <v>4</v>
      </c>
      <c r="N830" s="1" t="s">
        <v>38</v>
      </c>
      <c r="O830" s="1" t="s">
        <v>46</v>
      </c>
    </row>
    <row r="831" spans="2:15" x14ac:dyDescent="0.3">
      <c r="B831" s="1" t="s">
        <v>24</v>
      </c>
      <c r="C831" s="1" t="str">
        <f>"1차"</f>
        <v>1차</v>
      </c>
      <c r="D831" s="1" t="str">
        <f>"0326Q13300"</f>
        <v>0326Q13300</v>
      </c>
      <c r="E831" s="1" t="s">
        <v>10</v>
      </c>
      <c r="F831" s="1" t="str">
        <f>"10.89.128.124"</f>
        <v>10.89.128.124</v>
      </c>
      <c r="G831" s="1" t="str">
        <f>"0326Q133"</f>
        <v>0326Q133</v>
      </c>
      <c r="H831" s="1" t="str">
        <f>"천한간 19R4L1"</f>
        <v>천한간 19R4L1</v>
      </c>
      <c r="I831" s="1" t="s">
        <v>8</v>
      </c>
      <c r="J831" s="1" t="str">
        <f>"33/33"</f>
        <v>33/33</v>
      </c>
      <c r="K831" s="1" t="str">
        <f>"2026-07-29 13:18:02"</f>
        <v>2026-07-29 13:18:02</v>
      </c>
      <c r="L831" s="1" t="str">
        <f>"2015-08-05 11:44:46"</f>
        <v>2015-08-05 11:44:46</v>
      </c>
      <c r="M831" s="1" t="s">
        <v>45</v>
      </c>
      <c r="N831" s="1" t="s">
        <v>38</v>
      </c>
      <c r="O831" s="1" t="s">
        <v>46</v>
      </c>
    </row>
    <row r="832" spans="2:15" x14ac:dyDescent="0.3">
      <c r="B832" s="1" t="s">
        <v>24</v>
      </c>
      <c r="C832" s="1" t="str">
        <f>"5-2차"</f>
        <v>5-2차</v>
      </c>
      <c r="D832" s="1" t="str">
        <f>"0326Q1435S"</f>
        <v>0326Q1435S</v>
      </c>
      <c r="E832" s="1" t="s">
        <v>10</v>
      </c>
      <c r="F832" s="1" t="str">
        <f>"fde1:103:4:5968:0:0:0:2"</f>
        <v>fde1:103:4:5968:0:0:0:2</v>
      </c>
      <c r="G832" s="1" t="str">
        <f>"0326Q143"</f>
        <v>0326Q143</v>
      </c>
      <c r="H832" s="1" t="str">
        <f>"천한간 19R4L2"</f>
        <v>천한간 19R4L2</v>
      </c>
      <c r="I832" s="1" t="s">
        <v>15</v>
      </c>
      <c r="J832" s="1" t="str">
        <f>"84/84"</f>
        <v>84/84</v>
      </c>
      <c r="K832" s="1" t="str">
        <f>"2026-07-29 14:20:21"</f>
        <v>2026-07-29 14:20:21</v>
      </c>
      <c r="L832" s="1" t="str">
        <f>"2023-09-19 09:28:13"</f>
        <v>2023-09-19 09:28:13</v>
      </c>
      <c r="M832" s="1" t="s">
        <v>4</v>
      </c>
      <c r="N832" s="1" t="s">
        <v>38</v>
      </c>
      <c r="O832" s="1" t="s">
        <v>46</v>
      </c>
    </row>
    <row r="833" spans="2:15" x14ac:dyDescent="0.3">
      <c r="B833" s="1" t="s">
        <v>24</v>
      </c>
      <c r="C833" s="1" t="str">
        <f>"5-1차"</f>
        <v>5-1차</v>
      </c>
      <c r="D833" s="1" t="str">
        <f>"0326Q1615S"</f>
        <v>0326Q1615S</v>
      </c>
      <c r="E833" s="1" t="s">
        <v>10</v>
      </c>
      <c r="F833" s="1" t="str">
        <f>"fde2:104:0:12b:0:0:0:2"</f>
        <v>fde2:104:0:12b:0:0:0:2</v>
      </c>
      <c r="G833" s="1" t="str">
        <f>"0326Q161"</f>
        <v>0326Q161</v>
      </c>
      <c r="H833" s="1" t="str">
        <f>"천한간 26R2R1"</f>
        <v>천한간 26R2R1</v>
      </c>
      <c r="I833" s="1" t="s">
        <v>15</v>
      </c>
      <c r="J833" s="1" t="str">
        <f>"39/39"</f>
        <v>39/39</v>
      </c>
      <c r="K833" s="1" t="str">
        <f>"2026-07-29 14:20:23"</f>
        <v>2026-07-29 14:20:23</v>
      </c>
      <c r="L833" s="1" t="str">
        <f>"2022-10-11 09:35:43"</f>
        <v>2022-10-11 09:35:43</v>
      </c>
      <c r="M833" s="1" t="s">
        <v>42</v>
      </c>
      <c r="N833" s="1" t="s">
        <v>38</v>
      </c>
      <c r="O833" s="1" t="s">
        <v>46</v>
      </c>
    </row>
    <row r="834" spans="2:15" x14ac:dyDescent="0.3">
      <c r="B834" s="1" t="s">
        <v>24</v>
      </c>
      <c r="C834" s="1" t="str">
        <f>"5-1차"</f>
        <v>5-1차</v>
      </c>
      <c r="D834" s="1" t="str">
        <f>"0326Q2045M"</f>
        <v>0326Q2045M</v>
      </c>
      <c r="E834" s="1" t="s">
        <v>10</v>
      </c>
      <c r="F834" s="1" t="str">
        <f>"fde2:104:0:13a:0:0:0:2"</f>
        <v>fde2:104:0:13a:0:0:0:2</v>
      </c>
      <c r="G834" s="1" t="str">
        <f>"0326Q204"</f>
        <v>0326Q204</v>
      </c>
      <c r="H834" s="1" t="str">
        <f>"장수지 40L3"</f>
        <v>장수지 40L3</v>
      </c>
      <c r="I834" s="1" t="s">
        <v>15</v>
      </c>
      <c r="J834" s="1" t="str">
        <f>"68/68"</f>
        <v>68/68</v>
      </c>
      <c r="K834" s="1" t="str">
        <f>"2026-07-29 14:20:21"</f>
        <v>2026-07-29 14:20:21</v>
      </c>
      <c r="L834" s="1" t="str">
        <f>"2022-10-11 13:01:43"</f>
        <v>2022-10-11 13:01:43</v>
      </c>
      <c r="M834" s="1" t="s">
        <v>42</v>
      </c>
      <c r="N834" s="1" t="s">
        <v>38</v>
      </c>
      <c r="O834" s="1" t="s">
        <v>46</v>
      </c>
    </row>
    <row r="835" spans="2:15" x14ac:dyDescent="0.3">
      <c r="B835" s="1" t="s">
        <v>24</v>
      </c>
      <c r="C835" s="1" t="str">
        <f>"5-2차"</f>
        <v>5-2차</v>
      </c>
      <c r="D835" s="1" t="str">
        <f>"0326Q2315M"</f>
        <v>0326Q2315M</v>
      </c>
      <c r="E835" s="1" t="s">
        <v>10</v>
      </c>
      <c r="F835" s="1" t="str">
        <f>"fde1:103:4:5856:0:0:0:2"</f>
        <v>fde1:103:4:5856:0:0:0:2</v>
      </c>
      <c r="G835" s="1" t="str">
        <f>"0326Q231"</f>
        <v>0326Q231</v>
      </c>
      <c r="H835" s="1" t="str">
        <f>"천한간 19R7"</f>
        <v>천한간 19R7</v>
      </c>
      <c r="I835" s="1" t="s">
        <v>15</v>
      </c>
      <c r="J835" s="1" t="str">
        <f>"22/22"</f>
        <v>22/22</v>
      </c>
      <c r="K835" s="1" t="str">
        <f>"2026-07-29 14:20:21"</f>
        <v>2026-07-29 14:20:21</v>
      </c>
      <c r="L835" s="1" t="str">
        <f>"2023-09-19 09:42:16"</f>
        <v>2023-09-19 09:42:16</v>
      </c>
      <c r="M835" s="1" t="s">
        <v>4</v>
      </c>
      <c r="N835" s="1" t="s">
        <v>38</v>
      </c>
      <c r="O835" s="1" t="s">
        <v>46</v>
      </c>
    </row>
    <row r="836" spans="2:15" x14ac:dyDescent="0.3">
      <c r="B836" s="1" t="s">
        <v>24</v>
      </c>
      <c r="C836" s="1" t="str">
        <f>"5-1차"</f>
        <v>5-1차</v>
      </c>
      <c r="D836" s="1" t="str">
        <f>"0326Q2615M"</f>
        <v>0326Q2615M</v>
      </c>
      <c r="E836" s="1" t="s">
        <v>10</v>
      </c>
      <c r="F836" s="1" t="str">
        <f>"fde2:104:0:134:0:0:0:2"</f>
        <v>fde2:104:0:134:0:0:0:2</v>
      </c>
      <c r="G836" s="1" t="str">
        <f>"0326Q261"</f>
        <v>0326Q261</v>
      </c>
      <c r="H836" s="1" t="str">
        <f>"천한간 26R3"</f>
        <v>천한간 26R3</v>
      </c>
      <c r="I836" s="1" t="s">
        <v>15</v>
      </c>
      <c r="J836" s="1" t="str">
        <f>"137/137"</f>
        <v>137/137</v>
      </c>
      <c r="K836" s="1" t="str">
        <f>"2026-07-29 14:20:21"</f>
        <v>2026-07-29 14:20:21</v>
      </c>
      <c r="L836" s="1" t="str">
        <f>"2022-10-11 10:32:04"</f>
        <v>2022-10-11 10:32:04</v>
      </c>
      <c r="M836" s="1" t="s">
        <v>42</v>
      </c>
      <c r="N836" s="1" t="s">
        <v>38</v>
      </c>
      <c r="O836" s="1" t="s">
        <v>46</v>
      </c>
    </row>
    <row r="837" spans="2:15" x14ac:dyDescent="0.3">
      <c r="B837" s="1" t="s">
        <v>24</v>
      </c>
      <c r="C837" s="1" t="str">
        <f t="shared" ref="C837:C842" si="41">"5-2차"</f>
        <v>5-2차</v>
      </c>
      <c r="D837" s="1" t="str">
        <f>"0326Q2725M"</f>
        <v>0326Q2725M</v>
      </c>
      <c r="E837" s="1" t="s">
        <v>10</v>
      </c>
      <c r="F837" s="1" t="str">
        <f>"fde1:103:4:5885:0:0:0:2"</f>
        <v>fde1:103:4:5885:0:0:0:2</v>
      </c>
      <c r="G837" s="1" t="str">
        <f>"0326Q272"</f>
        <v>0326Q272</v>
      </c>
      <c r="H837" s="1" t="str">
        <f>"천한간 26R2L1"</f>
        <v>천한간 26R2L1</v>
      </c>
      <c r="I837" s="1" t="s">
        <v>15</v>
      </c>
      <c r="J837" s="1" t="str">
        <f>"73/73"</f>
        <v>73/73</v>
      </c>
      <c r="K837" s="1" t="str">
        <f>"2026-07-29 14:20:21"</f>
        <v>2026-07-29 14:20:21</v>
      </c>
      <c r="L837" s="1" t="str">
        <f>"2023-09-19 09:44:29"</f>
        <v>2023-09-19 09:44:29</v>
      </c>
      <c r="M837" s="1" t="s">
        <v>4</v>
      </c>
      <c r="N837" s="1" t="s">
        <v>38</v>
      </c>
      <c r="O837" s="1" t="s">
        <v>46</v>
      </c>
    </row>
    <row r="838" spans="2:15" x14ac:dyDescent="0.3">
      <c r="B838" s="1" t="s">
        <v>24</v>
      </c>
      <c r="C838" s="1" t="str">
        <f t="shared" si="41"/>
        <v>5-2차</v>
      </c>
      <c r="D838" s="1" t="str">
        <f>"0326Q2915M"</f>
        <v>0326Q2915M</v>
      </c>
      <c r="E838" s="1" t="s">
        <v>10</v>
      </c>
      <c r="F838" s="1" t="str">
        <f>"fde1:103:4:58b7:0:0:0:2"</f>
        <v>fde1:103:4:58b7:0:0:0:2</v>
      </c>
      <c r="G838" s="1" t="str">
        <f>"0326Q291"</f>
        <v>0326Q291</v>
      </c>
      <c r="H838" s="1" t="str">
        <f>"배봉간 75"</f>
        <v>배봉간 75</v>
      </c>
      <c r="I838" s="1" t="s">
        <v>15</v>
      </c>
      <c r="J838" s="1" t="str">
        <f>"43/43"</f>
        <v>43/43</v>
      </c>
      <c r="K838" s="1" t="str">
        <f>"2026-07-29 14:20:21"</f>
        <v>2026-07-29 14:20:21</v>
      </c>
      <c r="L838" s="1" t="str">
        <f>"2023-09-19 09:47:58"</f>
        <v>2023-09-19 09:47:58</v>
      </c>
      <c r="M838" s="1" t="s">
        <v>4</v>
      </c>
      <c r="N838" s="1" t="s">
        <v>38</v>
      </c>
      <c r="O838" s="1" t="s">
        <v>46</v>
      </c>
    </row>
    <row r="839" spans="2:15" x14ac:dyDescent="0.3">
      <c r="B839" s="1" t="s">
        <v>24</v>
      </c>
      <c r="C839" s="1" t="str">
        <f t="shared" si="41"/>
        <v>5-2차</v>
      </c>
      <c r="D839" s="1" t="str">
        <f>"0326Q3025M"</f>
        <v>0326Q3025M</v>
      </c>
      <c r="E839" s="1" t="s">
        <v>10</v>
      </c>
      <c r="F839" s="1" t="str">
        <f>"fde1:103:4:581e:0:0:0:2"</f>
        <v>fde1:103:4:581e:0:0:0:2</v>
      </c>
      <c r="G839" s="1" t="str">
        <f>"0326Q302"</f>
        <v>0326Q302</v>
      </c>
      <c r="H839" s="1" t="str">
        <f>"천한간 12R11L4"</f>
        <v>천한간 12R11L4</v>
      </c>
      <c r="I839" s="1" t="s">
        <v>15</v>
      </c>
      <c r="J839" s="1" t="str">
        <f>"62/62"</f>
        <v>62/62</v>
      </c>
      <c r="K839" s="1" t="str">
        <f>"2026-07-29 14:20:22"</f>
        <v>2026-07-29 14:20:22</v>
      </c>
      <c r="L839" s="1" t="str">
        <f>"2023-09-19 10:03:41"</f>
        <v>2023-09-19 10:03:41</v>
      </c>
      <c r="M839" s="1" t="s">
        <v>4</v>
      </c>
      <c r="N839" s="1" t="s">
        <v>38</v>
      </c>
      <c r="O839" s="1" t="s">
        <v>46</v>
      </c>
    </row>
    <row r="840" spans="2:15" x14ac:dyDescent="0.3">
      <c r="B840" s="1" t="s">
        <v>24</v>
      </c>
      <c r="C840" s="1" t="str">
        <f t="shared" si="41"/>
        <v>5-2차</v>
      </c>
      <c r="D840" s="1" t="str">
        <f>"0326Q3315M"</f>
        <v>0326Q3315M</v>
      </c>
      <c r="E840" s="1" t="s">
        <v>10</v>
      </c>
      <c r="F840" s="1" t="str">
        <f>"fde1:103:4:5735:0:0:0:2"</f>
        <v>fde1:103:4:5735:0:0:0:2</v>
      </c>
      <c r="G840" s="1" t="str">
        <f>"0326Q331"</f>
        <v>0326Q331</v>
      </c>
      <c r="H840" s="1" t="str">
        <f>"천한간 19R7L1"</f>
        <v>천한간 19R7L1</v>
      </c>
      <c r="I840" s="1" t="s">
        <v>15</v>
      </c>
      <c r="J840" s="1" t="str">
        <f>"128/128"</f>
        <v>128/128</v>
      </c>
      <c r="K840" s="1" t="str">
        <f>"2026-07-29 14:21:02"</f>
        <v>2026-07-29 14:21:02</v>
      </c>
      <c r="L840" s="1" t="str">
        <f>"2023-09-19 10:18:46"</f>
        <v>2023-09-19 10:18:46</v>
      </c>
      <c r="M840" s="1" t="s">
        <v>4</v>
      </c>
      <c r="N840" s="1" t="s">
        <v>38</v>
      </c>
      <c r="O840" s="1" t="s">
        <v>46</v>
      </c>
    </row>
    <row r="841" spans="2:15" x14ac:dyDescent="0.3">
      <c r="B841" s="1" t="s">
        <v>24</v>
      </c>
      <c r="C841" s="1" t="str">
        <f t="shared" si="41"/>
        <v>5-2차</v>
      </c>
      <c r="D841" s="1" t="str">
        <f>"0326Q3525M"</f>
        <v>0326Q3525M</v>
      </c>
      <c r="E841" s="1" t="s">
        <v>10</v>
      </c>
      <c r="F841" s="1" t="str">
        <f>"fde3:102:1430:3400:0:0:0:9"</f>
        <v>fde3:102:1430:3400:0:0:0:9</v>
      </c>
      <c r="G841" s="1" t="str">
        <f>"0326Q352"</f>
        <v>0326Q352</v>
      </c>
      <c r="H841" s="1" t="str">
        <f>"장평간 6R14R9L10"</f>
        <v>장평간 6R14R9L10</v>
      </c>
      <c r="I841" s="1" t="s">
        <v>15</v>
      </c>
      <c r="J841" s="1" t="str">
        <f>"47/47"</f>
        <v>47/47</v>
      </c>
      <c r="K841" s="1" t="str">
        <f>"2026-07-29 14:20:21"</f>
        <v>2026-07-29 14:20:21</v>
      </c>
      <c r="L841" s="1" t="str">
        <f>"2023-09-06 09:22:25"</f>
        <v>2023-09-06 09:22:25</v>
      </c>
      <c r="M841" s="1" t="s">
        <v>45</v>
      </c>
      <c r="N841" s="1" t="s">
        <v>38</v>
      </c>
      <c r="O841" s="1" t="s">
        <v>46</v>
      </c>
    </row>
    <row r="842" spans="2:15" x14ac:dyDescent="0.3">
      <c r="B842" s="1" t="s">
        <v>24</v>
      </c>
      <c r="C842" s="1" t="str">
        <f t="shared" si="41"/>
        <v>5-2차</v>
      </c>
      <c r="D842" s="1" t="str">
        <f>"0326Q3625M"</f>
        <v>0326Q3625M</v>
      </c>
      <c r="E842" s="1" t="s">
        <v>10</v>
      </c>
      <c r="F842" s="1" t="str">
        <f>"fde3:102:1430:3400:0:0:0:a"</f>
        <v>fde3:102:1430:3400:0:0:0:a</v>
      </c>
      <c r="G842" s="1" t="str">
        <f>"0326Q362"</f>
        <v>0326Q362</v>
      </c>
      <c r="H842" s="1" t="str">
        <f>"장평간 6R14R9L8"</f>
        <v>장평간 6R14R9L8</v>
      </c>
      <c r="I842" s="1" t="s">
        <v>15</v>
      </c>
      <c r="J842" s="1" t="str">
        <f>"49/49"</f>
        <v>49/49</v>
      </c>
      <c r="K842" s="1" t="str">
        <f>"2026-07-29 14:20:21"</f>
        <v>2026-07-29 14:20:21</v>
      </c>
      <c r="L842" s="1" t="str">
        <f>"2023-09-06 08:57:31"</f>
        <v>2023-09-06 08:57:31</v>
      </c>
      <c r="M842" s="1" t="s">
        <v>45</v>
      </c>
      <c r="N842" s="1" t="s">
        <v>38</v>
      </c>
      <c r="O842" s="1" t="s">
        <v>46</v>
      </c>
    </row>
    <row r="843" spans="2:15" x14ac:dyDescent="0.3">
      <c r="B843" s="1" t="s">
        <v>24</v>
      </c>
      <c r="C843" s="1" t="str">
        <f>"1차"</f>
        <v>1차</v>
      </c>
      <c r="D843" s="1" t="str">
        <f>"0326Q38100"</f>
        <v>0326Q38100</v>
      </c>
      <c r="E843" s="1" t="s">
        <v>10</v>
      </c>
      <c r="F843" s="1" t="str">
        <f>"10.125.119.194"</f>
        <v>10.125.119.194</v>
      </c>
      <c r="G843" s="1" t="str">
        <f>"0326Q381"</f>
        <v>0326Q381</v>
      </c>
      <c r="H843" s="1" t="str">
        <f>"천한간 26R2L2"</f>
        <v>천한간 26R2L2</v>
      </c>
      <c r="I843" s="1" t="s">
        <v>8</v>
      </c>
      <c r="J843" s="1" t="str">
        <f>"25/25"</f>
        <v>25/25</v>
      </c>
      <c r="K843" s="1" t="str">
        <f>"2026-07-29 13:18:03"</f>
        <v>2026-07-29 13:18:03</v>
      </c>
      <c r="L843" s="1" t="str">
        <f>"2015-08-05 12:59:12"</f>
        <v>2015-08-05 12:59:12</v>
      </c>
      <c r="M843" s="1" t="s">
        <v>45</v>
      </c>
      <c r="N843" s="1" t="s">
        <v>38</v>
      </c>
      <c r="O843" s="1" t="s">
        <v>46</v>
      </c>
    </row>
    <row r="844" spans="2:15" x14ac:dyDescent="0.3">
      <c r="B844" s="1" t="s">
        <v>24</v>
      </c>
      <c r="C844" s="1" t="str">
        <f>"5-2차"</f>
        <v>5-2차</v>
      </c>
      <c r="D844" s="1" t="str">
        <f>"0326Q3925M"</f>
        <v>0326Q3925M</v>
      </c>
      <c r="E844" s="1" t="s">
        <v>10</v>
      </c>
      <c r="F844" s="1" t="str">
        <f>"fde1:103:4:58e9:0:0:0:2"</f>
        <v>fde1:103:4:58e9:0:0:0:2</v>
      </c>
      <c r="G844" s="1" t="str">
        <f>"0326Q392"</f>
        <v>0326Q392</v>
      </c>
      <c r="H844" s="1" t="str">
        <f>"천한간 30R1"</f>
        <v>천한간 30R1</v>
      </c>
      <c r="I844" s="1" t="s">
        <v>15</v>
      </c>
      <c r="J844" s="1" t="str">
        <f>"74/74"</f>
        <v>74/74</v>
      </c>
      <c r="K844" s="1" t="str">
        <f>"2026-07-29 14:20:20"</f>
        <v>2026-07-29 14:20:20</v>
      </c>
      <c r="L844" s="1" t="str">
        <f>"2023-09-19 10:06:21"</f>
        <v>2023-09-19 10:06:21</v>
      </c>
      <c r="M844" s="1" t="s">
        <v>4</v>
      </c>
      <c r="N844" s="1" t="s">
        <v>38</v>
      </c>
      <c r="O844" s="1" t="s">
        <v>46</v>
      </c>
    </row>
    <row r="845" spans="2:15" x14ac:dyDescent="0.3">
      <c r="B845" s="1" t="s">
        <v>24</v>
      </c>
      <c r="C845" s="1" t="str">
        <f>"5-2차"</f>
        <v>5-2차</v>
      </c>
      <c r="D845" s="1" t="str">
        <f>"0326Q4615M"</f>
        <v>0326Q4615M</v>
      </c>
      <c r="E845" s="1" t="s">
        <v>10</v>
      </c>
      <c r="F845" s="1" t="str">
        <f>"fde3:102:1430:3400:0:0:0:b"</f>
        <v>fde3:102:1430:3400:0:0:0:b</v>
      </c>
      <c r="G845" s="1" t="str">
        <f>"0326Q461"</f>
        <v>0326Q461</v>
      </c>
      <c r="H845" s="1" t="str">
        <f>"장평간 6R14R9L6"</f>
        <v>장평간 6R14R9L6</v>
      </c>
      <c r="I845" s="1" t="s">
        <v>15</v>
      </c>
      <c r="J845" s="1" t="str">
        <f>"49/49"</f>
        <v>49/49</v>
      </c>
      <c r="K845" s="1" t="str">
        <f>"2026-07-29 14:20:22"</f>
        <v>2026-07-29 14:20:22</v>
      </c>
      <c r="L845" s="1" t="str">
        <f>"2023-09-06 10:53:59"</f>
        <v>2023-09-06 10:53:59</v>
      </c>
      <c r="M845" s="1" t="s">
        <v>45</v>
      </c>
      <c r="N845" s="1" t="s">
        <v>38</v>
      </c>
      <c r="O845" s="1" t="s">
        <v>46</v>
      </c>
    </row>
    <row r="846" spans="2:15" x14ac:dyDescent="0.3">
      <c r="B846" s="1" t="s">
        <v>24</v>
      </c>
      <c r="C846" s="1" t="str">
        <f>"5-1차"</f>
        <v>5-1차</v>
      </c>
      <c r="D846" s="1" t="str">
        <f>"0326Q4725S"</f>
        <v>0326Q4725S</v>
      </c>
      <c r="E846" s="1" t="s">
        <v>10</v>
      </c>
      <c r="F846" s="1" t="str">
        <f>"fde2:104:0:131:0:0:0:2"</f>
        <v>fde2:104:0:131:0:0:0:2</v>
      </c>
      <c r="G846" s="1" t="str">
        <f>"0326Q472"</f>
        <v>0326Q472</v>
      </c>
      <c r="H846" s="1" t="str">
        <f>"장평간 6R14R9L7R1"</f>
        <v>장평간 6R14R9L7R1</v>
      </c>
      <c r="I846" s="1" t="s">
        <v>15</v>
      </c>
      <c r="J846" s="1" t="str">
        <f>"40/40"</f>
        <v>40/40</v>
      </c>
      <c r="K846" s="1" t="str">
        <f>"2026-07-29 14:21:03"</f>
        <v>2026-07-29 14:21:03</v>
      </c>
      <c r="L846" s="1" t="str">
        <f>"2022-10-07 14:59:46"</f>
        <v>2022-10-07 14:59:46</v>
      </c>
      <c r="M846" s="1" t="s">
        <v>42</v>
      </c>
      <c r="N846" s="1" t="s">
        <v>38</v>
      </c>
      <c r="O846" s="1" t="s">
        <v>46</v>
      </c>
    </row>
    <row r="847" spans="2:15" x14ac:dyDescent="0.3">
      <c r="B847" s="1" t="s">
        <v>24</v>
      </c>
      <c r="C847" s="1" t="str">
        <f>"5-2차"</f>
        <v>5-2차</v>
      </c>
      <c r="D847" s="1" t="str">
        <f>"0326Q5055M"</f>
        <v>0326Q5055M</v>
      </c>
      <c r="E847" s="1" t="s">
        <v>10</v>
      </c>
      <c r="F847" s="1" t="str">
        <f>"fde1:103:4:573b:0:0:0:2"</f>
        <v>fde1:103:4:573b:0:0:0:2</v>
      </c>
      <c r="G847" s="1" t="str">
        <f>"0326Q505"</f>
        <v>0326Q505</v>
      </c>
      <c r="H847" s="1" t="str">
        <f>"신답지 18L5"</f>
        <v>신답지 18L5</v>
      </c>
      <c r="I847" s="1" t="s">
        <v>15</v>
      </c>
      <c r="J847" s="1" t="str">
        <f>"87/87"</f>
        <v>87/87</v>
      </c>
      <c r="K847" s="1" t="str">
        <f>"2026-07-29 14:21:02"</f>
        <v>2026-07-29 14:21:02</v>
      </c>
      <c r="L847" s="1" t="str">
        <f>"2023-09-19 10:27:55"</f>
        <v>2023-09-19 10:27:55</v>
      </c>
      <c r="M847" s="1" t="s">
        <v>4</v>
      </c>
      <c r="N847" s="1" t="s">
        <v>38</v>
      </c>
      <c r="O847" s="1" t="s">
        <v>46</v>
      </c>
    </row>
    <row r="848" spans="2:15" x14ac:dyDescent="0.3">
      <c r="B848" s="1" t="s">
        <v>24</v>
      </c>
      <c r="C848" s="1" t="str">
        <f>"5-2차"</f>
        <v>5-2차</v>
      </c>
      <c r="D848" s="1" t="str">
        <f>"0326Q5125M"</f>
        <v>0326Q5125M</v>
      </c>
      <c r="E848" s="1" t="s">
        <v>10</v>
      </c>
      <c r="F848" s="1" t="str">
        <f>"fde3:102:1430:3400:0:0:0:8"</f>
        <v>fde3:102:1430:3400:0:0:0:8</v>
      </c>
      <c r="G848" s="1" t="str">
        <f>"0326Q512"</f>
        <v>0326Q512</v>
      </c>
      <c r="H848" s="1" t="str">
        <f>"군동간 3"</f>
        <v>군동간 3</v>
      </c>
      <c r="I848" s="1" t="s">
        <v>15</v>
      </c>
      <c r="J848" s="1" t="str">
        <f>"30/30"</f>
        <v>30/30</v>
      </c>
      <c r="K848" s="1" t="str">
        <f>"2026-07-29 14:20:22"</f>
        <v>2026-07-29 14:20:22</v>
      </c>
      <c r="L848" s="1" t="str">
        <f>"2023-09-06 13:16:48"</f>
        <v>2023-09-06 13:16:48</v>
      </c>
      <c r="M848" s="1" t="s">
        <v>45</v>
      </c>
      <c r="N848" s="1" t="s">
        <v>38</v>
      </c>
      <c r="O848" s="1" t="s">
        <v>46</v>
      </c>
    </row>
    <row r="849" spans="2:15" x14ac:dyDescent="0.3">
      <c r="B849" s="1" t="s">
        <v>24</v>
      </c>
      <c r="C849" s="1" t="str">
        <f>"5-2차"</f>
        <v>5-2차</v>
      </c>
      <c r="D849" s="1" t="str">
        <f>"0326Q5355M"</f>
        <v>0326Q5355M</v>
      </c>
      <c r="E849" s="1" t="s">
        <v>10</v>
      </c>
      <c r="F849" s="1" t="str">
        <f>"fde3:102:1430:3400:0:0:0:6"</f>
        <v>fde3:102:1430:3400:0:0:0:6</v>
      </c>
      <c r="G849" s="1" t="str">
        <f>"0326Q535"</f>
        <v>0326Q535</v>
      </c>
      <c r="H849" s="1" t="str">
        <f>"신답지 25L10L1"</f>
        <v>신답지 25L10L1</v>
      </c>
      <c r="I849" s="1" t="s">
        <v>15</v>
      </c>
      <c r="J849" s="1" t="str">
        <f>"77/101"</f>
        <v>77/101</v>
      </c>
      <c r="K849" s="1" t="str">
        <f>"2026-07-29 14:20:53"</f>
        <v>2026-07-29 14:20:53</v>
      </c>
      <c r="L849" s="1" t="str">
        <f>"2023-09-17 12:58:43"</f>
        <v>2023-09-17 12:58:43</v>
      </c>
      <c r="M849" s="1" t="s">
        <v>45</v>
      </c>
      <c r="N849" s="1" t="s">
        <v>38</v>
      </c>
      <c r="O849" s="1" t="s">
        <v>46</v>
      </c>
    </row>
    <row r="850" spans="2:15" x14ac:dyDescent="0.3">
      <c r="B850" s="1" t="s">
        <v>24</v>
      </c>
      <c r="C850" s="1" t="str">
        <f>"5-1차"</f>
        <v>5-1차</v>
      </c>
      <c r="D850" s="1" t="str">
        <f>"0326Q5715M"</f>
        <v>0326Q5715M</v>
      </c>
      <c r="E850" s="1" t="s">
        <v>10</v>
      </c>
      <c r="F850" s="1" t="str">
        <f>"fde2:104:0:132:0:0:0:2"</f>
        <v>fde2:104:0:132:0:0:0:2</v>
      </c>
      <c r="G850" s="1" t="str">
        <f>"0326Q571"</f>
        <v>0326Q571</v>
      </c>
      <c r="H850" s="1" t="str">
        <f>"장평간 6R14R9"</f>
        <v>장평간 6R14R9</v>
      </c>
      <c r="I850" s="1" t="s">
        <v>15</v>
      </c>
      <c r="J850" s="1" t="str">
        <f>"71/71"</f>
        <v>71/71</v>
      </c>
      <c r="K850" s="1" t="str">
        <f>"2026-07-29 14:21:04"</f>
        <v>2026-07-29 14:21:04</v>
      </c>
      <c r="L850" s="1" t="str">
        <f>"2022-10-07 12:02:46"</f>
        <v>2022-10-07 12:02:46</v>
      </c>
      <c r="M850" s="1" t="s">
        <v>42</v>
      </c>
      <c r="N850" s="1" t="s">
        <v>38</v>
      </c>
      <c r="O850" s="1" t="s">
        <v>46</v>
      </c>
    </row>
    <row r="851" spans="2:15" x14ac:dyDescent="0.3">
      <c r="B851" s="1" t="s">
        <v>24</v>
      </c>
      <c r="C851" s="1" t="str">
        <f>"5-2차"</f>
        <v>5-2차</v>
      </c>
      <c r="D851" s="1" t="str">
        <f>"0326Q5935M"</f>
        <v>0326Q5935M</v>
      </c>
      <c r="E851" s="1" t="s">
        <v>10</v>
      </c>
      <c r="F851" s="1" t="str">
        <f>"fde3:102:1430:3400:0:0:0:10"</f>
        <v>fde3:102:1430:3400:0:0:0:10</v>
      </c>
      <c r="G851" s="1" t="str">
        <f>"0326Q593"</f>
        <v>0326Q593</v>
      </c>
      <c r="H851" s="1" t="str">
        <f>"장평간 6R10R2L2"</f>
        <v>장평간 6R10R2L2</v>
      </c>
      <c r="I851" s="1" t="s">
        <v>15</v>
      </c>
      <c r="J851" s="1" t="str">
        <f>"55/55"</f>
        <v>55/55</v>
      </c>
      <c r="K851" s="1" t="str">
        <f>"2026-07-29 14:20:22"</f>
        <v>2026-07-29 14:20:22</v>
      </c>
      <c r="L851" s="1" t="str">
        <f>"2023-10-02 09:24:29"</f>
        <v>2023-10-02 09:24:29</v>
      </c>
      <c r="M851" s="1" t="s">
        <v>45</v>
      </c>
      <c r="N851" s="1" t="s">
        <v>38</v>
      </c>
      <c r="O851" s="1" t="s">
        <v>46</v>
      </c>
    </row>
    <row r="852" spans="2:15" x14ac:dyDescent="0.3">
      <c r="B852" s="1" t="s">
        <v>24</v>
      </c>
      <c r="C852" s="1" t="str">
        <f>"5-2차"</f>
        <v>5-2차</v>
      </c>
      <c r="D852" s="1" t="str">
        <f>"0326Q6225M"</f>
        <v>0326Q6225M</v>
      </c>
      <c r="E852" s="1" t="s">
        <v>10</v>
      </c>
      <c r="F852" s="1" t="str">
        <f>"fde3:102:1430:3100:0:0:0:b"</f>
        <v>fde3:102:1430:3100:0:0:0:b</v>
      </c>
      <c r="G852" s="1" t="str">
        <f>"0326Q622"</f>
        <v>0326Q622</v>
      </c>
      <c r="H852" s="1" t="str">
        <f>"신답지 25L4"</f>
        <v>신답지 25L4</v>
      </c>
      <c r="I852" s="1" t="s">
        <v>15</v>
      </c>
      <c r="J852" s="1" t="str">
        <f>"46/46"</f>
        <v>46/46</v>
      </c>
      <c r="K852" s="1" t="str">
        <f>"2026-07-28 20:03:35"</f>
        <v>2026-07-28 20:03:35</v>
      </c>
      <c r="L852" s="1" t="str">
        <f>"2023-09-06 14:42:55"</f>
        <v>2023-09-06 14:42:55</v>
      </c>
      <c r="M852" s="1" t="s">
        <v>45</v>
      </c>
      <c r="N852" s="1" t="s">
        <v>38</v>
      </c>
      <c r="O852" s="1" t="s">
        <v>46</v>
      </c>
    </row>
    <row r="853" spans="2:15" x14ac:dyDescent="0.3">
      <c r="B853" s="1" t="s">
        <v>24</v>
      </c>
      <c r="C853" s="1" t="str">
        <f>"5-2차"</f>
        <v>5-2차</v>
      </c>
      <c r="D853" s="1" t="str">
        <f>"0326Q6335M"</f>
        <v>0326Q6335M</v>
      </c>
      <c r="E853" s="1" t="s">
        <v>10</v>
      </c>
      <c r="F853" s="1" t="str">
        <f>"fde3:102:1430:3400:0:0:0:7"</f>
        <v>fde3:102:1430:3400:0:0:0:7</v>
      </c>
      <c r="G853" s="1" t="str">
        <f>"0326Q633"</f>
        <v>0326Q633</v>
      </c>
      <c r="H853" s="1" t="str">
        <f>"신답지 25L5"</f>
        <v>신답지 25L5</v>
      </c>
      <c r="I853" s="1" t="s">
        <v>15</v>
      </c>
      <c r="J853" s="1" t="str">
        <f>"58/58"</f>
        <v>58/58</v>
      </c>
      <c r="K853" s="1" t="str">
        <f>"2026-07-29 14:20:22"</f>
        <v>2026-07-29 14:20:22</v>
      </c>
      <c r="L853" s="1" t="str">
        <f>"2023-09-28 09:40:09"</f>
        <v>2023-09-28 09:40:09</v>
      </c>
      <c r="M853" s="1" t="s">
        <v>45</v>
      </c>
      <c r="N853" s="1" t="s">
        <v>38</v>
      </c>
      <c r="O853" s="1" t="s">
        <v>46</v>
      </c>
    </row>
    <row r="854" spans="2:15" x14ac:dyDescent="0.3">
      <c r="B854" s="1" t="s">
        <v>24</v>
      </c>
      <c r="C854" s="1" t="str">
        <f>"5-2차"</f>
        <v>5-2차</v>
      </c>
      <c r="D854" s="1" t="str">
        <f>"0326Q6615M"</f>
        <v>0326Q6615M</v>
      </c>
      <c r="E854" s="1" t="s">
        <v>10</v>
      </c>
      <c r="F854" s="1" t="str">
        <f>"fde1:103:4:5732:0:0:0:2"</f>
        <v>fde1:103:4:5732:0:0:0:2</v>
      </c>
      <c r="G854" s="1" t="str">
        <f>"0326Q661"</f>
        <v>0326Q661</v>
      </c>
      <c r="H854" s="1" t="str">
        <f>"장평간 6R14R7"</f>
        <v>장평간 6R14R7</v>
      </c>
      <c r="I854" s="1" t="s">
        <v>15</v>
      </c>
      <c r="J854" s="1" t="str">
        <f>"58/58"</f>
        <v>58/58</v>
      </c>
      <c r="K854" s="1" t="str">
        <f>"2026-07-29 14:21:02"</f>
        <v>2026-07-29 14:21:02</v>
      </c>
      <c r="L854" s="1" t="str">
        <f>"2023-09-19 10:28:51"</f>
        <v>2023-09-19 10:28:51</v>
      </c>
      <c r="M854" s="1" t="s">
        <v>4</v>
      </c>
      <c r="N854" s="1" t="s">
        <v>38</v>
      </c>
      <c r="O854" s="1" t="s">
        <v>46</v>
      </c>
    </row>
    <row r="855" spans="2:15" x14ac:dyDescent="0.3">
      <c r="B855" s="1" t="s">
        <v>24</v>
      </c>
      <c r="C855" s="1" t="str">
        <f>"5-1차"</f>
        <v>5-1차</v>
      </c>
      <c r="D855" s="1" t="str">
        <f>"0326Q6625S"</f>
        <v>0326Q6625S</v>
      </c>
      <c r="E855" s="1" t="s">
        <v>10</v>
      </c>
      <c r="F855" s="1" t="str">
        <f>"fde2:104:0:12e:0:0:0:2"</f>
        <v>fde2:104:0:12e:0:0:0:2</v>
      </c>
      <c r="G855" s="1" t="str">
        <f>"0326Q662"</f>
        <v>0326Q662</v>
      </c>
      <c r="H855" s="1" t="str">
        <f>"장평간 6R14R6"</f>
        <v>장평간 6R14R6</v>
      </c>
      <c r="I855" s="1" t="s">
        <v>15</v>
      </c>
      <c r="J855" s="1" t="str">
        <f>"58/58"</f>
        <v>58/58</v>
      </c>
      <c r="K855" s="1" t="str">
        <f>"2026-07-29 14:20:17"</f>
        <v>2026-07-29 14:20:17</v>
      </c>
      <c r="L855" s="1" t="str">
        <f>"2022-10-07 13:26:24"</f>
        <v>2022-10-07 13:26:24</v>
      </c>
      <c r="M855" s="1" t="s">
        <v>42</v>
      </c>
      <c r="N855" s="1" t="s">
        <v>38</v>
      </c>
      <c r="O855" s="1" t="s">
        <v>46</v>
      </c>
    </row>
    <row r="856" spans="2:15" x14ac:dyDescent="0.3">
      <c r="B856" s="1" t="s">
        <v>24</v>
      </c>
      <c r="C856" s="1" t="str">
        <f>"5-2차"</f>
        <v>5-2차</v>
      </c>
      <c r="D856" s="1" t="str">
        <f>"0326Q6825S"</f>
        <v>0326Q6825S</v>
      </c>
      <c r="E856" s="1" t="s">
        <v>10</v>
      </c>
      <c r="F856" s="1" t="str">
        <f>"fde3:102:1430:3400:0:0:0:d"</f>
        <v>fde3:102:1430:3400:0:0:0:d</v>
      </c>
      <c r="G856" s="1" t="str">
        <f>"0326Q682"</f>
        <v>0326Q682</v>
      </c>
      <c r="H856" s="1" t="str">
        <f>"장평간 6R14R12L2"</f>
        <v>장평간 6R14R12L2</v>
      </c>
      <c r="I856" s="1" t="s">
        <v>15</v>
      </c>
      <c r="J856" s="1" t="str">
        <f>"95/95"</f>
        <v>95/95</v>
      </c>
      <c r="K856" s="1" t="str">
        <f>"2026-07-29 14:20:22"</f>
        <v>2026-07-29 14:20:22</v>
      </c>
      <c r="L856" s="1" t="str">
        <f>"2023-10-25 09:28:26"</f>
        <v>2023-10-25 09:28:26</v>
      </c>
      <c r="M856" s="1" t="s">
        <v>45</v>
      </c>
      <c r="N856" s="1" t="s">
        <v>38</v>
      </c>
      <c r="O856" s="1" t="s">
        <v>46</v>
      </c>
    </row>
    <row r="857" spans="2:15" x14ac:dyDescent="0.3">
      <c r="B857" s="1" t="s">
        <v>24</v>
      </c>
      <c r="C857" s="1" t="str">
        <f>"5-2차"</f>
        <v>5-2차</v>
      </c>
      <c r="D857" s="1" t="str">
        <f>"0326Q6845M"</f>
        <v>0326Q6845M</v>
      </c>
      <c r="E857" s="1" t="s">
        <v>10</v>
      </c>
      <c r="F857" s="1" t="str">
        <f>"fde3:102:1430:3400:0:0:0:e"</f>
        <v>fde3:102:1430:3400:0:0:0:e</v>
      </c>
      <c r="G857" s="1" t="str">
        <f>"0326Q684"</f>
        <v>0326Q684</v>
      </c>
      <c r="H857" s="1" t="str">
        <f>"장평간 6R14R13"</f>
        <v>장평간 6R14R13</v>
      </c>
      <c r="I857" s="1" t="s">
        <v>15</v>
      </c>
      <c r="J857" s="1" t="str">
        <f>"48/49"</f>
        <v>48/49</v>
      </c>
      <c r="K857" s="1" t="str">
        <f>"2026-07-29 14:21:11"</f>
        <v>2026-07-29 14:21:11</v>
      </c>
      <c r="L857" s="1" t="str">
        <f>"2023-10-02 09:38:11"</f>
        <v>2023-10-02 09:38:11</v>
      </c>
      <c r="M857" s="1" t="s">
        <v>45</v>
      </c>
      <c r="N857" s="1" t="s">
        <v>38</v>
      </c>
      <c r="O857" s="1" t="s">
        <v>46</v>
      </c>
    </row>
    <row r="858" spans="2:15" x14ac:dyDescent="0.3">
      <c r="B858" s="1" t="s">
        <v>24</v>
      </c>
      <c r="C858" s="1" t="str">
        <f>"5-2차"</f>
        <v>5-2차</v>
      </c>
      <c r="D858" s="1" t="str">
        <f>"0326Q6925M"</f>
        <v>0326Q6925M</v>
      </c>
      <c r="E858" s="1" t="s">
        <v>10</v>
      </c>
      <c r="F858" s="1" t="str">
        <f>"fde3:102:1430:3100:0:0:0:e"</f>
        <v>fde3:102:1430:3100:0:0:0:e</v>
      </c>
      <c r="G858" s="1" t="str">
        <f>"0326Q692"</f>
        <v>0326Q692</v>
      </c>
      <c r="H858" s="1" t="str">
        <f>"장평간 6R10R1"</f>
        <v>장평간 6R10R1</v>
      </c>
      <c r="I858" s="1" t="s">
        <v>15</v>
      </c>
      <c r="J858" s="1" t="str">
        <f>"62/62"</f>
        <v>62/62</v>
      </c>
      <c r="K858" s="1" t="str">
        <f>"2026-07-29 14:20:22"</f>
        <v>2026-07-29 14:20:22</v>
      </c>
      <c r="L858" s="1" t="str">
        <f>"2023-10-05 17:50:57"</f>
        <v>2023-10-05 17:50:57</v>
      </c>
      <c r="M858" s="1" t="s">
        <v>45</v>
      </c>
      <c r="N858" s="1" t="s">
        <v>38</v>
      </c>
      <c r="O858" s="1" t="s">
        <v>46</v>
      </c>
    </row>
    <row r="859" spans="2:15" x14ac:dyDescent="0.3">
      <c r="B859" s="1" t="s">
        <v>24</v>
      </c>
      <c r="C859" s="1" t="str">
        <f>"5-1차"</f>
        <v>5-1차</v>
      </c>
      <c r="D859" s="1" t="str">
        <f>"0326Q7335M"</f>
        <v>0326Q7335M</v>
      </c>
      <c r="E859" s="1" t="s">
        <v>10</v>
      </c>
      <c r="F859" s="1" t="str">
        <f>"fde3:102:1430:3400:0:0:0:2"</f>
        <v>fde3:102:1430:3400:0:0:0:2</v>
      </c>
      <c r="G859" s="1" t="str">
        <f>"0326Q733"</f>
        <v>0326Q733</v>
      </c>
      <c r="H859" s="1" t="str">
        <f>"신답지 29L6"</f>
        <v>신답지 29L6</v>
      </c>
      <c r="I859" s="1" t="s">
        <v>15</v>
      </c>
      <c r="J859" s="1" t="str">
        <f>"30/30"</f>
        <v>30/30</v>
      </c>
      <c r="K859" s="1" t="str">
        <f>"2026-07-29 14:20:23"</f>
        <v>2026-07-29 14:20:23</v>
      </c>
      <c r="L859" s="1" t="str">
        <f>"2022-11-14 13:22:53"</f>
        <v>2022-11-14 13:22:53</v>
      </c>
      <c r="M859" s="1" t="s">
        <v>45</v>
      </c>
      <c r="N859" s="1" t="s">
        <v>38</v>
      </c>
      <c r="O859" s="1" t="s">
        <v>46</v>
      </c>
    </row>
    <row r="860" spans="2:15" x14ac:dyDescent="0.3">
      <c r="B860" s="1" t="s">
        <v>24</v>
      </c>
      <c r="C860" s="1" t="str">
        <f>"5-1차"</f>
        <v>5-1차</v>
      </c>
      <c r="D860" s="1" t="str">
        <f>"0326Q7635M"</f>
        <v>0326Q7635M</v>
      </c>
      <c r="E860" s="1" t="s">
        <v>10</v>
      </c>
      <c r="F860" s="1" t="str">
        <f>"fde3:102:1430:3100:0:0:0:4"</f>
        <v>fde3:102:1430:3100:0:0:0:4</v>
      </c>
      <c r="G860" s="1" t="str">
        <f>"0326Q763"</f>
        <v>0326Q763</v>
      </c>
      <c r="H860" s="1" t="str">
        <f>"장평간 6R14R3"</f>
        <v>장평간 6R14R3</v>
      </c>
      <c r="I860" s="1" t="s">
        <v>15</v>
      </c>
      <c r="J860" s="1" t="str">
        <f>"54/54"</f>
        <v>54/54</v>
      </c>
      <c r="K860" s="1" t="str">
        <f>"2026-07-29 14:21:03"</f>
        <v>2026-07-29 14:21:03</v>
      </c>
      <c r="L860" s="1" t="str">
        <f>"2022-11-08 08:49:24"</f>
        <v>2022-11-08 08:49:24</v>
      </c>
      <c r="M860" s="1" t="s">
        <v>45</v>
      </c>
      <c r="N860" s="1" t="s">
        <v>38</v>
      </c>
      <c r="O860" s="1" t="s">
        <v>46</v>
      </c>
    </row>
    <row r="861" spans="2:15" x14ac:dyDescent="0.3">
      <c r="B861" s="1" t="s">
        <v>24</v>
      </c>
      <c r="C861" s="1" t="str">
        <f>"5-1차"</f>
        <v>5-1차</v>
      </c>
      <c r="D861" s="1" t="str">
        <f>"0326Q7715M"</f>
        <v>0326Q7715M</v>
      </c>
      <c r="E861" s="1" t="s">
        <v>10</v>
      </c>
      <c r="F861" s="1" t="str">
        <f>"fde2:104:0:148:0:0:0:2"</f>
        <v>fde2:104:0:148:0:0:0:2</v>
      </c>
      <c r="G861" s="1" t="str">
        <f>"0326Q771"</f>
        <v>0326Q771</v>
      </c>
      <c r="H861" s="1" t="str">
        <f>"장평간 6R14R12R2"</f>
        <v>장평간 6R14R12R2</v>
      </c>
      <c r="I861" s="1" t="s">
        <v>15</v>
      </c>
      <c r="J861" s="1" t="str">
        <f>"63/64"</f>
        <v>63/64</v>
      </c>
      <c r="K861" s="1" t="str">
        <f>"2026-07-29 14:20:55"</f>
        <v>2026-07-29 14:20:55</v>
      </c>
      <c r="L861" s="1" t="str">
        <f>"2022-10-07 10:45:05"</f>
        <v>2022-10-07 10:45:05</v>
      </c>
      <c r="M861" s="1" t="s">
        <v>42</v>
      </c>
      <c r="N861" s="1" t="s">
        <v>38</v>
      </c>
      <c r="O861" s="1" t="s">
        <v>46</v>
      </c>
    </row>
    <row r="862" spans="2:15" x14ac:dyDescent="0.3">
      <c r="B862" s="1" t="s">
        <v>24</v>
      </c>
      <c r="C862" s="1" t="str">
        <f>"5-2차"</f>
        <v>5-2차</v>
      </c>
      <c r="D862" s="1" t="str">
        <f>"0326Q7815M"</f>
        <v>0326Q7815M</v>
      </c>
      <c r="E862" s="1" t="s">
        <v>10</v>
      </c>
      <c r="F862" s="1" t="str">
        <f>"fde3:102:1430:3100:0:0:0:f"</f>
        <v>fde3:102:1430:3100:0:0:0:f</v>
      </c>
      <c r="G862" s="1" t="str">
        <f>"0326Q781"</f>
        <v>0326Q781</v>
      </c>
      <c r="H862" s="1" t="str">
        <f>"장평간 6R11"</f>
        <v>장평간 6R11</v>
      </c>
      <c r="I862" s="1" t="s">
        <v>15</v>
      </c>
      <c r="J862" s="1" t="str">
        <f>"100/101"</f>
        <v>100/101</v>
      </c>
      <c r="K862" s="1" t="str">
        <f>"2026-07-29 14:21:02"</f>
        <v>2026-07-29 14:21:02</v>
      </c>
      <c r="L862" s="1" t="str">
        <f>"2023-10-05 18:36:30"</f>
        <v>2023-10-05 18:36:30</v>
      </c>
      <c r="M862" s="1" t="s">
        <v>45</v>
      </c>
      <c r="N862" s="1" t="s">
        <v>38</v>
      </c>
      <c r="O862" s="1" t="s">
        <v>46</v>
      </c>
    </row>
    <row r="863" spans="2:15" x14ac:dyDescent="0.3">
      <c r="B863" s="1" t="s">
        <v>24</v>
      </c>
      <c r="C863" s="1" t="str">
        <f>"5-1차"</f>
        <v>5-1차</v>
      </c>
      <c r="D863" s="1" t="str">
        <f>"0326Q8715M"</f>
        <v>0326Q8715M</v>
      </c>
      <c r="E863" s="1" t="s">
        <v>10</v>
      </c>
      <c r="F863" s="1" t="str">
        <f>"fde3:102:1430:3400:0:0:0:3"</f>
        <v>fde3:102:1430:3400:0:0:0:3</v>
      </c>
      <c r="G863" s="1" t="str">
        <f>"0326Q871"</f>
        <v>0326Q871</v>
      </c>
      <c r="H863" s="1" t="str">
        <f>"장평간 6R14R2"</f>
        <v>장평간 6R14R2</v>
      </c>
      <c r="I863" s="1" t="s">
        <v>15</v>
      </c>
      <c r="J863" s="1" t="str">
        <f>"14/14"</f>
        <v>14/14</v>
      </c>
      <c r="K863" s="1" t="str">
        <f>"2026-07-29 14:20:32"</f>
        <v>2026-07-29 14:20:32</v>
      </c>
      <c r="L863" s="1" t="str">
        <f>"2022-10-27 10:35:35"</f>
        <v>2022-10-27 10:35:35</v>
      </c>
      <c r="M863" s="1" t="s">
        <v>45</v>
      </c>
      <c r="N863" s="1" t="s">
        <v>38</v>
      </c>
      <c r="O863" s="1" t="s">
        <v>46</v>
      </c>
    </row>
    <row r="864" spans="2:15" x14ac:dyDescent="0.3">
      <c r="B864" s="1" t="s">
        <v>24</v>
      </c>
      <c r="C864" s="1" t="str">
        <f>"4차"</f>
        <v>4차</v>
      </c>
      <c r="D864" s="1" t="str">
        <f>"0326Q87239"</f>
        <v>0326Q87239</v>
      </c>
      <c r="E864" s="1" t="s">
        <v>14</v>
      </c>
      <c r="F864" s="1" t="str">
        <f>"10.12.130.118"</f>
        <v>10.12.130.118</v>
      </c>
      <c r="G864" s="1" t="str">
        <f>"0326Q872"</f>
        <v>0326Q872</v>
      </c>
      <c r="H864" s="1" t="str">
        <f>"장평간 6R14R1T1"</f>
        <v>장평간 6R14R1T1</v>
      </c>
      <c r="I864" s="1" t="s">
        <v>17</v>
      </c>
      <c r="J864" s="1" t="str">
        <f>"0/0"</f>
        <v>0/0</v>
      </c>
      <c r="K864" s="1" t="str">
        <f>"2026-07-29 13:18:03"</f>
        <v>2026-07-29 13:18:03</v>
      </c>
      <c r="L864" s="1" t="str">
        <f>"2018-10-18 08:50:54"</f>
        <v>2018-10-18 08:50:54</v>
      </c>
      <c r="M864" s="1" t="s">
        <v>0</v>
      </c>
      <c r="N864" s="1" t="s">
        <v>38</v>
      </c>
      <c r="O864" s="1" t="s">
        <v>44</v>
      </c>
    </row>
    <row r="865" spans="2:15" x14ac:dyDescent="0.3">
      <c r="B865" s="1" t="s">
        <v>24</v>
      </c>
      <c r="C865" s="1" t="str">
        <f t="shared" ref="C865:C871" si="42">"5-2차"</f>
        <v>5-2차</v>
      </c>
      <c r="D865" s="1" t="str">
        <f>"0326Q9915M"</f>
        <v>0326Q9915M</v>
      </c>
      <c r="E865" s="1" t="s">
        <v>10</v>
      </c>
      <c r="F865" s="1" t="str">
        <f>"fde3:102:1430:3400:0:0:0:5"</f>
        <v>fde3:102:1430:3400:0:0:0:5</v>
      </c>
      <c r="G865" s="1" t="str">
        <f>"0326Q991"</f>
        <v>0326Q991</v>
      </c>
      <c r="H865" s="1" t="str">
        <f>"장평간 6R14L2"</f>
        <v>장평간 6R14L2</v>
      </c>
      <c r="I865" s="1" t="s">
        <v>15</v>
      </c>
      <c r="J865" s="1" t="str">
        <f>"63/63"</f>
        <v>63/63</v>
      </c>
      <c r="K865" s="1" t="str">
        <f>"2026-07-29 14:20:22"</f>
        <v>2026-07-29 14:20:22</v>
      </c>
      <c r="L865" s="1" t="str">
        <f>"2023-09-28 09:10:36"</f>
        <v>2023-09-28 09:10:36</v>
      </c>
      <c r="M865" s="1" t="s">
        <v>45</v>
      </c>
      <c r="N865" s="1" t="s">
        <v>38</v>
      </c>
      <c r="O865" s="1" t="s">
        <v>46</v>
      </c>
    </row>
    <row r="866" spans="2:15" x14ac:dyDescent="0.3">
      <c r="B866" s="1" t="s">
        <v>24</v>
      </c>
      <c r="C866" s="1" t="str">
        <f t="shared" si="42"/>
        <v>5-2차</v>
      </c>
      <c r="D866" s="1" t="str">
        <f>"0326R0725M"</f>
        <v>0326R0725M</v>
      </c>
      <c r="E866" s="1" t="s">
        <v>10</v>
      </c>
      <c r="F866" s="1" t="str">
        <f>"fde1:103:4:5818:0:0:0:2"</f>
        <v>fde1:103:4:5818:0:0:0:2</v>
      </c>
      <c r="G866" s="1" t="str">
        <f>"0326R072"</f>
        <v>0326R072</v>
      </c>
      <c r="H866" s="1" t="str">
        <f>"전우간 5L9R3"</f>
        <v>전우간 5L9R3</v>
      </c>
      <c r="I866" s="1" t="s">
        <v>15</v>
      </c>
      <c r="J866" s="1" t="str">
        <f>"34/34"</f>
        <v>34/34</v>
      </c>
      <c r="K866" s="1" t="str">
        <f>"2026-07-29 14:20:23"</f>
        <v>2026-07-29 14:20:23</v>
      </c>
      <c r="L866" s="1" t="str">
        <f>"2023-09-19 10:29:53"</f>
        <v>2023-09-19 10:29:53</v>
      </c>
      <c r="M866" s="1" t="s">
        <v>4</v>
      </c>
      <c r="N866" s="1" t="s">
        <v>38</v>
      </c>
      <c r="O866" s="1" t="s">
        <v>46</v>
      </c>
    </row>
    <row r="867" spans="2:15" x14ac:dyDescent="0.3">
      <c r="B867" s="1" t="s">
        <v>24</v>
      </c>
      <c r="C867" s="1" t="str">
        <f t="shared" si="42"/>
        <v>5-2차</v>
      </c>
      <c r="D867" s="1" t="str">
        <f>"0326R0945M"</f>
        <v>0326R0945M</v>
      </c>
      <c r="E867" s="1" t="s">
        <v>10</v>
      </c>
      <c r="F867" s="1" t="str">
        <f>"fde1:103:4:5827:0:0:0:2"</f>
        <v>fde1:103:4:5827:0:0:0:2</v>
      </c>
      <c r="G867" s="1" t="str">
        <f>"0326R094"</f>
        <v>0326R094</v>
      </c>
      <c r="H867" s="1" t="str">
        <f>"전우간 8L8"</f>
        <v>전우간 8L8</v>
      </c>
      <c r="I867" s="1" t="s">
        <v>15</v>
      </c>
      <c r="J867" s="1" t="str">
        <f>"46/46"</f>
        <v>46/46</v>
      </c>
      <c r="K867" s="1" t="str">
        <f>"2026-07-29 14:21:03"</f>
        <v>2026-07-29 14:21:03</v>
      </c>
      <c r="L867" s="1" t="str">
        <f>"2023-09-19 10:43:22"</f>
        <v>2023-09-19 10:43:22</v>
      </c>
      <c r="M867" s="1" t="s">
        <v>4</v>
      </c>
      <c r="N867" s="1" t="s">
        <v>38</v>
      </c>
      <c r="O867" s="1" t="s">
        <v>46</v>
      </c>
    </row>
    <row r="868" spans="2:15" x14ac:dyDescent="0.3">
      <c r="B868" s="1" t="s">
        <v>24</v>
      </c>
      <c r="C868" s="1" t="str">
        <f t="shared" si="42"/>
        <v>5-2차</v>
      </c>
      <c r="D868" s="1" t="str">
        <f>"0326R1815M"</f>
        <v>0326R1815M</v>
      </c>
      <c r="E868" s="1" t="s">
        <v>10</v>
      </c>
      <c r="F868" s="1" t="str">
        <f>"fde1:103:4:57a3:0:0:0:2"</f>
        <v>fde1:103:4:57a3:0:0:0:2</v>
      </c>
      <c r="G868" s="1" t="str">
        <f>"0326R181"</f>
        <v>0326R181</v>
      </c>
      <c r="H868" s="1" t="str">
        <f>"전우간 5L6R2"</f>
        <v>전우간 5L6R2</v>
      </c>
      <c r="I868" s="1" t="s">
        <v>15</v>
      </c>
      <c r="J868" s="1" t="str">
        <f>"74/74"</f>
        <v>74/74</v>
      </c>
      <c r="K868" s="1" t="str">
        <f>"2026-07-29 14:20:23"</f>
        <v>2026-07-29 14:20:23</v>
      </c>
      <c r="L868" s="1" t="str">
        <f>"2023-09-19 10:44:19"</f>
        <v>2023-09-19 10:44:19</v>
      </c>
      <c r="M868" s="1" t="s">
        <v>4</v>
      </c>
      <c r="N868" s="1" t="s">
        <v>38</v>
      </c>
      <c r="O868" s="1" t="s">
        <v>46</v>
      </c>
    </row>
    <row r="869" spans="2:15" x14ac:dyDescent="0.3">
      <c r="B869" s="1" t="s">
        <v>24</v>
      </c>
      <c r="C869" s="1" t="str">
        <f t="shared" si="42"/>
        <v>5-2차</v>
      </c>
      <c r="D869" s="1" t="str">
        <f>"0326R1835M"</f>
        <v>0326R1835M</v>
      </c>
      <c r="E869" s="1" t="s">
        <v>10</v>
      </c>
      <c r="F869" s="1" t="str">
        <f>"fde1:103:4:572d:0:0:0:2"</f>
        <v>fde1:103:4:572d:0:0:0:2</v>
      </c>
      <c r="G869" s="1" t="str">
        <f>"0326R183"</f>
        <v>0326R183</v>
      </c>
      <c r="H869" s="1" t="str">
        <f>"전우간 5L6R3"</f>
        <v>전우간 5L6R3</v>
      </c>
      <c r="I869" s="1" t="s">
        <v>15</v>
      </c>
      <c r="J869" s="1" t="str">
        <f>"32/32"</f>
        <v>32/32</v>
      </c>
      <c r="K869" s="1" t="str">
        <f>"2026-07-29 14:20:23"</f>
        <v>2026-07-29 14:20:23</v>
      </c>
      <c r="L869" s="1" t="str">
        <f>"2023-09-19 10:45:39"</f>
        <v>2023-09-19 10:45:39</v>
      </c>
      <c r="M869" s="1" t="s">
        <v>4</v>
      </c>
      <c r="N869" s="1" t="s">
        <v>38</v>
      </c>
      <c r="O869" s="1" t="s">
        <v>46</v>
      </c>
    </row>
    <row r="870" spans="2:15" x14ac:dyDescent="0.3">
      <c r="B870" s="1" t="s">
        <v>24</v>
      </c>
      <c r="C870" s="1" t="str">
        <f t="shared" si="42"/>
        <v>5-2차</v>
      </c>
      <c r="D870" s="1" t="str">
        <f>"0326R2715M"</f>
        <v>0326R2715M</v>
      </c>
      <c r="E870" s="1" t="s">
        <v>10</v>
      </c>
      <c r="F870" s="1" t="str">
        <f>"fde3:102:1430:3100:0:0:0:a"</f>
        <v>fde3:102:1430:3100:0:0:0:a</v>
      </c>
      <c r="G870" s="1" t="str">
        <f>"0326R271"</f>
        <v>0326R271</v>
      </c>
      <c r="H870" s="1" t="str">
        <f>"전우간 5L6"</f>
        <v>전우간 5L6</v>
      </c>
      <c r="I870" s="1" t="s">
        <v>15</v>
      </c>
      <c r="J870" s="1" t="str">
        <f>"36/36"</f>
        <v>36/36</v>
      </c>
      <c r="K870" s="1" t="str">
        <f>"2026-07-29 14:20:23"</f>
        <v>2026-07-29 14:20:23</v>
      </c>
      <c r="L870" s="1" t="str">
        <f>"2023-10-25 19:17:38"</f>
        <v>2023-10-25 19:17:38</v>
      </c>
      <c r="M870" s="1" t="s">
        <v>45</v>
      </c>
      <c r="N870" s="1" t="s">
        <v>38</v>
      </c>
      <c r="O870" s="1" t="s">
        <v>46</v>
      </c>
    </row>
    <row r="871" spans="2:15" x14ac:dyDescent="0.3">
      <c r="B871" s="1" t="s">
        <v>24</v>
      </c>
      <c r="C871" s="1" t="str">
        <f t="shared" si="42"/>
        <v>5-2차</v>
      </c>
      <c r="D871" s="1" t="str">
        <f>"0326R2845M"</f>
        <v>0326R2845M</v>
      </c>
      <c r="E871" s="1" t="s">
        <v>10</v>
      </c>
      <c r="F871" s="1" t="str">
        <f>"fde1:103:4:573d:0:0:0:2"</f>
        <v>fde1:103:4:573d:0:0:0:2</v>
      </c>
      <c r="G871" s="1" t="str">
        <f>"0326R284"</f>
        <v>0326R284</v>
      </c>
      <c r="H871" s="1" t="str">
        <f>"전우간 5L5R1H1"</f>
        <v>전우간 5L5R1H1</v>
      </c>
      <c r="I871" s="1" t="s">
        <v>15</v>
      </c>
      <c r="J871" s="1" t="str">
        <f>"80/80"</f>
        <v>80/80</v>
      </c>
      <c r="K871" s="1" t="str">
        <f>"2026-07-29 14:20:23"</f>
        <v>2026-07-29 14:20:23</v>
      </c>
      <c r="L871" s="1" t="str">
        <f>"2023-09-19 11:02:11"</f>
        <v>2023-09-19 11:02:11</v>
      </c>
      <c r="M871" s="1" t="s">
        <v>4</v>
      </c>
      <c r="N871" s="1" t="s">
        <v>38</v>
      </c>
      <c r="O871" s="1" t="s">
        <v>46</v>
      </c>
    </row>
    <row r="872" spans="2:15" x14ac:dyDescent="0.3">
      <c r="B872" s="1" t="s">
        <v>24</v>
      </c>
      <c r="C872" s="1" t="str">
        <f>"6차"</f>
        <v>6차</v>
      </c>
      <c r="D872" s="1" t="str">
        <f>"0326R2916S"</f>
        <v>0326R2916S</v>
      </c>
      <c r="E872" s="1" t="s">
        <v>10</v>
      </c>
      <c r="F872" s="1" t="str">
        <f>"fde1:103:4:c67f:0:0:0:2"</f>
        <v>fde1:103:4:c67f:0:0:0:2</v>
      </c>
      <c r="G872" s="1" t="str">
        <f>"0326R291"</f>
        <v>0326R291</v>
      </c>
      <c r="H872" s="1" t="str">
        <f>"전우간 8L5L2"</f>
        <v>전우간 8L5L2</v>
      </c>
      <c r="I872" s="1" t="s">
        <v>15</v>
      </c>
      <c r="J872" s="1" t="str">
        <f>"99/100"</f>
        <v>99/100</v>
      </c>
      <c r="K872" s="1" t="str">
        <f>"2026-07-29 14:20:53"</f>
        <v>2026-07-29 14:20:53</v>
      </c>
      <c r="L872" s="1" t="str">
        <f>"2024-11-01 18:13:20"</f>
        <v>2024-11-01 18:13:20</v>
      </c>
      <c r="M872" s="1" t="s">
        <v>4</v>
      </c>
      <c r="N872" s="1" t="s">
        <v>38</v>
      </c>
      <c r="O872" s="1" t="s">
        <v>46</v>
      </c>
    </row>
    <row r="873" spans="2:15" x14ac:dyDescent="0.3">
      <c r="B873" s="1" t="s">
        <v>24</v>
      </c>
      <c r="C873" s="1" t="str">
        <f>"4차"</f>
        <v>4차</v>
      </c>
      <c r="D873" s="1" t="str">
        <f>"0326R39244"</f>
        <v>0326R39244</v>
      </c>
      <c r="E873" s="1" t="s">
        <v>10</v>
      </c>
      <c r="F873" s="1" t="str">
        <f>"10.89.245.171"</f>
        <v>10.89.245.171</v>
      </c>
      <c r="G873" s="1" t="str">
        <f>"0326R392"</f>
        <v>0326R392</v>
      </c>
      <c r="H873" s="1" t="str">
        <f>"전우간 5L3"</f>
        <v>전우간 5L3</v>
      </c>
      <c r="I873" s="1" t="s">
        <v>8</v>
      </c>
      <c r="J873" s="1" t="str">
        <f>"39/41"</f>
        <v>39/41</v>
      </c>
      <c r="K873" s="1" t="str">
        <f>"2026-07-29 13:18:03"</f>
        <v>2026-07-29 13:18:03</v>
      </c>
      <c r="L873" s="1" t="str">
        <f>"2023-07-27 16:52:30"</f>
        <v>2023-07-27 16:52:30</v>
      </c>
      <c r="M873" s="1" t="s">
        <v>45</v>
      </c>
      <c r="N873" s="1" t="s">
        <v>38</v>
      </c>
      <c r="O873" s="1" t="s">
        <v>46</v>
      </c>
    </row>
    <row r="874" spans="2:15" x14ac:dyDescent="0.3">
      <c r="B874" s="1" t="s">
        <v>24</v>
      </c>
      <c r="C874" s="1" t="str">
        <f>"4차"</f>
        <v>4차</v>
      </c>
      <c r="D874" s="1" t="str">
        <f>"0326R55141"</f>
        <v>0326R55141</v>
      </c>
      <c r="E874" s="1" t="s">
        <v>10</v>
      </c>
      <c r="F874" s="1" t="str">
        <f>"10.12.131.252"</f>
        <v>10.12.131.252</v>
      </c>
      <c r="G874" s="1" t="str">
        <f>"0326R551"</f>
        <v>0326R551</v>
      </c>
      <c r="H874" s="1" t="str">
        <f>"천한간 11R14"</f>
        <v>천한간 11R14</v>
      </c>
      <c r="I874" s="1" t="s">
        <v>17</v>
      </c>
      <c r="J874" s="1" t="str">
        <f>"17/18"</f>
        <v>17/18</v>
      </c>
      <c r="K874" s="1" t="str">
        <f>"2026-07-29 13:18:02"</f>
        <v>2026-07-29 13:18:02</v>
      </c>
      <c r="L874" s="1" t="str">
        <f>"2021-10-25 11:37:14"</f>
        <v>2021-10-25 11:37:14</v>
      </c>
      <c r="M874" s="1" t="s">
        <v>0</v>
      </c>
      <c r="N874" s="1" t="s">
        <v>38</v>
      </c>
      <c r="O874" s="1" t="s">
        <v>46</v>
      </c>
    </row>
    <row r="875" spans="2:15" x14ac:dyDescent="0.3">
      <c r="B875" s="1" t="s">
        <v>24</v>
      </c>
      <c r="C875" s="1" t="str">
        <f>"5-2차"</f>
        <v>5-2차</v>
      </c>
      <c r="D875" s="1" t="str">
        <f>"0326R5615S"</f>
        <v>0326R5615S</v>
      </c>
      <c r="E875" s="1" t="s">
        <v>10</v>
      </c>
      <c r="F875" s="1" t="str">
        <f>"fde1:103:4:5a28:0:0:0:2"</f>
        <v>fde1:103:4:5a28:0:0:0:2</v>
      </c>
      <c r="G875" s="1" t="str">
        <f>"0326R561"</f>
        <v>0326R561</v>
      </c>
      <c r="H875" s="1" t="str">
        <f>"천한간 7R6"</f>
        <v>천한간 7R6</v>
      </c>
      <c r="I875" s="1" t="s">
        <v>15</v>
      </c>
      <c r="J875" s="1" t="str">
        <f>"65/65"</f>
        <v>65/65</v>
      </c>
      <c r="K875" s="1" t="str">
        <f>"2026-07-29 14:21:11"</f>
        <v>2026-07-29 14:21:11</v>
      </c>
      <c r="L875" s="1" t="str">
        <f>"2023-09-19 11:03:21"</f>
        <v>2023-09-19 11:03:21</v>
      </c>
      <c r="M875" s="1" t="s">
        <v>4</v>
      </c>
      <c r="N875" s="1" t="s">
        <v>38</v>
      </c>
      <c r="O875" s="1" t="s">
        <v>46</v>
      </c>
    </row>
    <row r="876" spans="2:15" x14ac:dyDescent="0.3">
      <c r="B876" s="1" t="s">
        <v>24</v>
      </c>
      <c r="C876" s="1" t="str">
        <f>"4차"</f>
        <v>4차</v>
      </c>
      <c r="D876" s="1" t="str">
        <f>"0326R64541"</f>
        <v>0326R64541</v>
      </c>
      <c r="E876" s="1" t="s">
        <v>10</v>
      </c>
      <c r="F876" s="1" t="str">
        <f>"10.14.6.113"</f>
        <v>10.14.6.113</v>
      </c>
      <c r="G876" s="1" t="str">
        <f>"0326R645"</f>
        <v>0326R645</v>
      </c>
      <c r="H876" s="1" t="str">
        <f>"천한간 11R11L1"</f>
        <v>천한간 11R11L1</v>
      </c>
      <c r="I876" s="1" t="s">
        <v>17</v>
      </c>
      <c r="J876" s="1" t="str">
        <f>"47/47"</f>
        <v>47/47</v>
      </c>
      <c r="K876" s="1" t="str">
        <f>"2026-07-29 13:18:02"</f>
        <v>2026-07-29 13:18:02</v>
      </c>
      <c r="L876" s="1" t="str">
        <f>"2021-10-25 11:05:54"</f>
        <v>2021-10-25 11:05:54</v>
      </c>
      <c r="M876" s="1" t="s">
        <v>3</v>
      </c>
      <c r="N876" s="1" t="s">
        <v>38</v>
      </c>
      <c r="O876" s="1" t="s">
        <v>46</v>
      </c>
    </row>
    <row r="877" spans="2:15" x14ac:dyDescent="0.3">
      <c r="B877" s="1" t="s">
        <v>24</v>
      </c>
      <c r="C877" s="1" t="str">
        <f>"4차"</f>
        <v>4차</v>
      </c>
      <c r="D877" s="1" t="str">
        <f>"0326R74241"</f>
        <v>0326R74241</v>
      </c>
      <c r="E877" s="1" t="s">
        <v>10</v>
      </c>
      <c r="F877" s="1" t="str">
        <f>"10.14.6.48"</f>
        <v>10.14.6.48</v>
      </c>
      <c r="G877" s="1" t="str">
        <f>"0326R742"</f>
        <v>0326R742</v>
      </c>
      <c r="H877" s="1" t="str">
        <f>"천한간 11R11A2"</f>
        <v>천한간 11R11A2</v>
      </c>
      <c r="I877" s="1" t="s">
        <v>17</v>
      </c>
      <c r="J877" s="1" t="str">
        <f>"14/20"</f>
        <v>14/20</v>
      </c>
      <c r="K877" s="1" t="str">
        <f>"2026-07-29 13:18:02"</f>
        <v>2026-07-29 13:18:02</v>
      </c>
      <c r="L877" s="1" t="str">
        <f>"2021-10-25 10:24:17"</f>
        <v>2021-10-25 10:24:17</v>
      </c>
      <c r="M877" s="1" t="s">
        <v>3</v>
      </c>
      <c r="N877" s="1" t="s">
        <v>38</v>
      </c>
      <c r="O877" s="1" t="s">
        <v>46</v>
      </c>
    </row>
    <row r="878" spans="2:15" x14ac:dyDescent="0.3">
      <c r="B878" s="1" t="s">
        <v>24</v>
      </c>
      <c r="C878" s="1" t="str">
        <f>"5-2차"</f>
        <v>5-2차</v>
      </c>
      <c r="D878" s="1" t="str">
        <f>"0326R7545M"</f>
        <v>0326R7545M</v>
      </c>
      <c r="E878" s="1" t="s">
        <v>10</v>
      </c>
      <c r="F878" s="1" t="str">
        <f>"fde1:103:4:59bc:0:0:0:2"</f>
        <v>fde1:103:4:59bc:0:0:0:2</v>
      </c>
      <c r="G878" s="1" t="str">
        <f>"0326R754"</f>
        <v>0326R754</v>
      </c>
      <c r="H878" s="1" t="str">
        <f>"천한간 11R8"</f>
        <v>천한간 11R8</v>
      </c>
      <c r="I878" s="1" t="s">
        <v>15</v>
      </c>
      <c r="J878" s="1" t="str">
        <f>"39/39"</f>
        <v>39/39</v>
      </c>
      <c r="K878" s="1" t="str">
        <f>"2026-07-29 14:20:23"</f>
        <v>2026-07-29 14:20:23</v>
      </c>
      <c r="L878" s="1" t="str">
        <f>"2024-04-11 16:27:12"</f>
        <v>2024-04-11 16:27:12</v>
      </c>
      <c r="M878" s="1" t="s">
        <v>4</v>
      </c>
      <c r="N878" s="1" t="s">
        <v>38</v>
      </c>
      <c r="O878" s="1" t="s">
        <v>46</v>
      </c>
    </row>
    <row r="879" spans="2:15" x14ac:dyDescent="0.3">
      <c r="B879" s="1" t="s">
        <v>24</v>
      </c>
      <c r="C879" s="1" t="str">
        <f>"5-2차"</f>
        <v>5-2차</v>
      </c>
      <c r="D879" s="1" t="str">
        <f>"0326R7825S"</f>
        <v>0326R7825S</v>
      </c>
      <c r="E879" s="1" t="s">
        <v>10</v>
      </c>
      <c r="F879" s="1" t="str">
        <f>"fde1:103:4:59a6:0:0:0:2"</f>
        <v>fde1:103:4:59a6:0:0:0:2</v>
      </c>
      <c r="G879" s="1" t="str">
        <f>"0326R782"</f>
        <v>0326R782</v>
      </c>
      <c r="H879" s="1" t="str">
        <f>"천한간 11R2L1"</f>
        <v>천한간 11R2L1</v>
      </c>
      <c r="I879" s="1" t="s">
        <v>15</v>
      </c>
      <c r="J879" s="1" t="str">
        <f>"48/48"</f>
        <v>48/48</v>
      </c>
      <c r="K879" s="1" t="str">
        <f>"2026-07-29 14:20:24"</f>
        <v>2026-07-29 14:20:24</v>
      </c>
      <c r="L879" s="1" t="str">
        <f>"2023-09-19 11:19:52"</f>
        <v>2023-09-19 11:19:52</v>
      </c>
      <c r="M879" s="1" t="s">
        <v>4</v>
      </c>
      <c r="N879" s="1" t="s">
        <v>38</v>
      </c>
      <c r="O879" s="1" t="s">
        <v>46</v>
      </c>
    </row>
    <row r="880" spans="2:15" x14ac:dyDescent="0.3">
      <c r="B880" s="1" t="s">
        <v>24</v>
      </c>
      <c r="C880" s="1" t="str">
        <f>"5-1차"</f>
        <v>5-1차</v>
      </c>
      <c r="D880" s="1" t="str">
        <f>"0326R8325M"</f>
        <v>0326R8325M</v>
      </c>
      <c r="E880" s="1" t="s">
        <v>10</v>
      </c>
      <c r="F880" s="1" t="str">
        <f>"fde2:104:0:144:0:0:0:2"</f>
        <v>fde2:104:0:144:0:0:0:2</v>
      </c>
      <c r="G880" s="1" t="str">
        <f>"0326R832"</f>
        <v>0326R832</v>
      </c>
      <c r="H880" s="1" t="str">
        <f>"천호로SW 11AR2L3"</f>
        <v>천호로SW 11AR2L3</v>
      </c>
      <c r="I880" s="1" t="s">
        <v>15</v>
      </c>
      <c r="J880" s="1" t="str">
        <f>"23/25"</f>
        <v>23/25</v>
      </c>
      <c r="K880" s="1" t="str">
        <f>"2026-07-29 14:21:10"</f>
        <v>2026-07-29 14:21:10</v>
      </c>
      <c r="L880" s="1" t="str">
        <f>"2022-10-13 07:55:13"</f>
        <v>2022-10-13 07:55:13</v>
      </c>
      <c r="M880" s="1" t="s">
        <v>42</v>
      </c>
      <c r="N880" s="1" t="s">
        <v>38</v>
      </c>
      <c r="O880" s="1" t="s">
        <v>46</v>
      </c>
    </row>
    <row r="881" spans="2:15" x14ac:dyDescent="0.3">
      <c r="B881" s="1" t="s">
        <v>24</v>
      </c>
      <c r="C881" s="1" t="str">
        <f>"5-2차"</f>
        <v>5-2차</v>
      </c>
      <c r="D881" s="1" t="str">
        <f>"0326R9435M"</f>
        <v>0326R9435M</v>
      </c>
      <c r="E881" s="1" t="s">
        <v>10</v>
      </c>
      <c r="F881" s="1" t="str">
        <f>"fde1:103:4:59e0:0:0:0:2"</f>
        <v>fde1:103:4:59e0:0:0:0:2</v>
      </c>
      <c r="G881" s="1" t="str">
        <f>"0326R943"</f>
        <v>0326R943</v>
      </c>
      <c r="H881" s="1" t="str">
        <f>"천한간 12R14R2R11"</f>
        <v>천한간 12R14R2R11</v>
      </c>
      <c r="I881" s="1" t="s">
        <v>15</v>
      </c>
      <c r="J881" s="1" t="str">
        <f>"57/57"</f>
        <v>57/57</v>
      </c>
      <c r="K881" s="1" t="str">
        <f>"2026-07-29 14:21:05"</f>
        <v>2026-07-29 14:21:05</v>
      </c>
      <c r="L881" s="1" t="str">
        <f>"2023-09-19 11:22:15"</f>
        <v>2023-09-19 11:22:15</v>
      </c>
      <c r="M881" s="1" t="s">
        <v>4</v>
      </c>
      <c r="N881" s="1" t="s">
        <v>38</v>
      </c>
      <c r="O881" s="1" t="s">
        <v>46</v>
      </c>
    </row>
    <row r="882" spans="2:15" x14ac:dyDescent="0.3">
      <c r="B882" s="1" t="s">
        <v>24</v>
      </c>
      <c r="C882" s="1" t="str">
        <f>"5-1차"</f>
        <v>5-1차</v>
      </c>
      <c r="D882" s="1" t="str">
        <f>"0326R9525M"</f>
        <v>0326R9525M</v>
      </c>
      <c r="E882" s="1" t="s">
        <v>10</v>
      </c>
      <c r="F882" s="1" t="str">
        <f>"fde2:104:0:13d:0:0:0:2"</f>
        <v>fde2:104:0:13d:0:0:0:2</v>
      </c>
      <c r="G882" s="1" t="str">
        <f>"0326R952"</f>
        <v>0326R952</v>
      </c>
      <c r="H882" s="1" t="str">
        <f>"천한간 12R14R2R9"</f>
        <v>천한간 12R14R2R9</v>
      </c>
      <c r="I882" s="1" t="s">
        <v>15</v>
      </c>
      <c r="J882" s="1" t="str">
        <f>"23/23"</f>
        <v>23/23</v>
      </c>
      <c r="K882" s="1" t="str">
        <f>"2026-07-29 14:21:06"</f>
        <v>2026-07-29 14:21:06</v>
      </c>
      <c r="L882" s="1" t="str">
        <f>"2022-10-12 09:28:51"</f>
        <v>2022-10-12 09:28:51</v>
      </c>
      <c r="M882" s="1" t="s">
        <v>42</v>
      </c>
      <c r="N882" s="1" t="s">
        <v>38</v>
      </c>
      <c r="O882" s="1" t="s">
        <v>46</v>
      </c>
    </row>
    <row r="883" spans="2:15" x14ac:dyDescent="0.3">
      <c r="B883" s="1" t="s">
        <v>24</v>
      </c>
      <c r="C883" s="1" t="str">
        <f>"5-1차"</f>
        <v>5-1차</v>
      </c>
      <c r="D883" s="1" t="str">
        <f>"0326R9615M"</f>
        <v>0326R9615M</v>
      </c>
      <c r="E883" s="1" t="s">
        <v>10</v>
      </c>
      <c r="F883" s="1" t="str">
        <f>"fde2:104:0:13e:0:0:0:2"</f>
        <v>fde2:104:0:13e:0:0:0:2</v>
      </c>
      <c r="G883" s="1" t="str">
        <f>"0326R961"</f>
        <v>0326R961</v>
      </c>
      <c r="H883" s="1" t="str">
        <f>"천한간 11R6L1"</f>
        <v>천한간 11R6L1</v>
      </c>
      <c r="I883" s="1" t="s">
        <v>15</v>
      </c>
      <c r="J883" s="1" t="str">
        <f>"46/46"</f>
        <v>46/46</v>
      </c>
      <c r="K883" s="1" t="str">
        <f>"2026-07-29 14:20:55"</f>
        <v>2026-07-29 14:20:55</v>
      </c>
      <c r="L883" s="1" t="str">
        <f>"2022-10-12 08:21:07"</f>
        <v>2022-10-12 08:21:07</v>
      </c>
      <c r="M883" s="1" t="s">
        <v>42</v>
      </c>
      <c r="N883" s="1" t="s">
        <v>38</v>
      </c>
      <c r="O883" s="1" t="s">
        <v>46</v>
      </c>
    </row>
    <row r="884" spans="2:15" x14ac:dyDescent="0.3">
      <c r="B884" s="1" t="s">
        <v>24</v>
      </c>
      <c r="C884" s="1" t="str">
        <f>"5-1차"</f>
        <v>5-1차</v>
      </c>
      <c r="D884" s="1" t="str">
        <f>"0326S0315M"</f>
        <v>0326S0315M</v>
      </c>
      <c r="E884" s="1" t="s">
        <v>10</v>
      </c>
      <c r="F884" s="1" t="str">
        <f>"fde2:104:0:136:0:0:0:2"</f>
        <v>fde2:104:0:136:0:0:0:2</v>
      </c>
      <c r="G884" s="1" t="str">
        <f>"0326S031"</f>
        <v>0326S031</v>
      </c>
      <c r="H884" s="1" t="str">
        <f>"천호로SW 11AR6L2"</f>
        <v>천호로SW 11AR6L2</v>
      </c>
      <c r="I884" s="1" t="s">
        <v>15</v>
      </c>
      <c r="J884" s="1" t="str">
        <f>"45/47"</f>
        <v>45/47</v>
      </c>
      <c r="K884" s="1" t="str">
        <f>"2026-07-29 14:21:07"</f>
        <v>2026-07-29 14:21:07</v>
      </c>
      <c r="L884" s="1" t="str">
        <f>"2022-10-13 09:01:12"</f>
        <v>2022-10-13 09:01:12</v>
      </c>
      <c r="M884" s="1" t="s">
        <v>42</v>
      </c>
      <c r="N884" s="1" t="s">
        <v>38</v>
      </c>
      <c r="O884" s="1" t="s">
        <v>46</v>
      </c>
    </row>
    <row r="885" spans="2:15" x14ac:dyDescent="0.3">
      <c r="B885" s="1" t="s">
        <v>24</v>
      </c>
      <c r="C885" s="1" t="str">
        <f>"4차"</f>
        <v>4차</v>
      </c>
      <c r="D885" s="1" t="str">
        <f>"0326S05441"</f>
        <v>0326S05441</v>
      </c>
      <c r="E885" s="1" t="s">
        <v>10</v>
      </c>
      <c r="F885" s="1" t="str">
        <f>"10.14.9.44"</f>
        <v>10.14.9.44</v>
      </c>
      <c r="G885" s="1" t="str">
        <f>"0326S054"</f>
        <v>0326S054</v>
      </c>
      <c r="H885" s="1" t="str">
        <f>"천한간 12R14R2R8L2"</f>
        <v>천한간 12R14R2R8L2</v>
      </c>
      <c r="I885" s="1" t="s">
        <v>17</v>
      </c>
      <c r="J885" s="1" t="str">
        <f>"23/24"</f>
        <v>23/24</v>
      </c>
      <c r="K885" s="1" t="str">
        <f>"2026-07-29 13:18:03"</f>
        <v>2026-07-29 13:18:03</v>
      </c>
      <c r="L885" s="1" t="str">
        <f>"2021-10-25 09:42:28"</f>
        <v>2021-10-25 09:42:28</v>
      </c>
      <c r="M885" s="1" t="s">
        <v>3</v>
      </c>
      <c r="N885" s="1" t="s">
        <v>38</v>
      </c>
      <c r="O885" s="1" t="s">
        <v>46</v>
      </c>
    </row>
    <row r="886" spans="2:15" x14ac:dyDescent="0.3">
      <c r="B886" s="1" t="s">
        <v>24</v>
      </c>
      <c r="C886" s="1" t="str">
        <f>"5-1차"</f>
        <v>5-1차</v>
      </c>
      <c r="D886" s="1" t="str">
        <f>"0326S0715M"</f>
        <v>0326S0715M</v>
      </c>
      <c r="E886" s="1" t="s">
        <v>10</v>
      </c>
      <c r="F886" s="1" t="str">
        <f>"fde2:104:0:156:0:0:0:2"</f>
        <v>fde2:104:0:156:0:0:0:2</v>
      </c>
      <c r="G886" s="1" t="str">
        <f>"0326S071"</f>
        <v>0326S071</v>
      </c>
      <c r="H886" s="1" t="str">
        <f>"천한간 11R6L3"</f>
        <v>천한간 11R6L3</v>
      </c>
      <c r="I886" s="1" t="s">
        <v>15</v>
      </c>
      <c r="J886" s="1" t="str">
        <f>"57/57"</f>
        <v>57/57</v>
      </c>
      <c r="K886" s="1" t="str">
        <f>"2026-07-29 14:21:07"</f>
        <v>2026-07-29 14:21:07</v>
      </c>
      <c r="L886" s="1" t="str">
        <f>"2022-10-12 10:04:13"</f>
        <v>2022-10-12 10:04:13</v>
      </c>
      <c r="M886" s="1" t="s">
        <v>42</v>
      </c>
      <c r="N886" s="1" t="s">
        <v>38</v>
      </c>
      <c r="O886" s="1" t="s">
        <v>46</v>
      </c>
    </row>
    <row r="887" spans="2:15" x14ac:dyDescent="0.3">
      <c r="B887" s="1" t="s">
        <v>24</v>
      </c>
      <c r="C887" s="1" t="str">
        <f>"5-1차"</f>
        <v>5-1차</v>
      </c>
      <c r="D887" s="1" t="str">
        <f>"0326S1415M"</f>
        <v>0326S1415M</v>
      </c>
      <c r="E887" s="1" t="s">
        <v>10</v>
      </c>
      <c r="F887" s="1" t="str">
        <f>"fde3:102:1430:3100:0:0:0:5"</f>
        <v>fde3:102:1430:3100:0:0:0:5</v>
      </c>
      <c r="G887" s="1" t="str">
        <f>"0326S141"</f>
        <v>0326S141</v>
      </c>
      <c r="H887" s="1" t="str">
        <f>"천호로SW 11AR7"</f>
        <v>천호로SW 11AR7</v>
      </c>
      <c r="I887" s="1" t="s">
        <v>15</v>
      </c>
      <c r="J887" s="1" t="str">
        <f>"44/44"</f>
        <v>44/44</v>
      </c>
      <c r="K887" s="1" t="str">
        <f>"2026-07-29 14:20:24"</f>
        <v>2026-07-29 14:20:24</v>
      </c>
      <c r="L887" s="1" t="str">
        <f>"2022-10-26 10:57:17"</f>
        <v>2022-10-26 10:57:17</v>
      </c>
      <c r="M887" s="1" t="s">
        <v>45</v>
      </c>
      <c r="N887" s="1" t="s">
        <v>38</v>
      </c>
      <c r="O887" s="1" t="s">
        <v>46</v>
      </c>
    </row>
    <row r="888" spans="2:15" x14ac:dyDescent="0.3">
      <c r="B888" s="1" t="s">
        <v>24</v>
      </c>
      <c r="C888" s="1" t="str">
        <f>"6차"</f>
        <v>6차</v>
      </c>
      <c r="D888" s="1" t="str">
        <f>"0326S1726S"</f>
        <v>0326S1726S</v>
      </c>
      <c r="E888" s="1" t="s">
        <v>10</v>
      </c>
      <c r="F888" s="1" t="str">
        <f>"fde1:103:4:c624:0:0:0:2"</f>
        <v>fde1:103:4:c624:0:0:0:2</v>
      </c>
      <c r="G888" s="1" t="str">
        <f>"0326S172"</f>
        <v>0326S172</v>
      </c>
      <c r="H888" s="1" t="str">
        <f>"천한간 12R14R2R4R1"</f>
        <v>천한간 12R14R2R4R1</v>
      </c>
      <c r="I888" s="1" t="s">
        <v>15</v>
      </c>
      <c r="J888" s="1" t="str">
        <f>"105/108"</f>
        <v>105/108</v>
      </c>
      <c r="K888" s="1" t="str">
        <f>"2026-07-29 14:21:06"</f>
        <v>2026-07-29 14:21:06</v>
      </c>
      <c r="L888" s="1" t="str">
        <f>"2024-11-11 17:08:00"</f>
        <v>2024-11-11 17:08:00</v>
      </c>
      <c r="M888" s="1" t="s">
        <v>4</v>
      </c>
      <c r="N888" s="1" t="s">
        <v>38</v>
      </c>
      <c r="O888" s="1" t="s">
        <v>46</v>
      </c>
    </row>
    <row r="889" spans="2:15" x14ac:dyDescent="0.3">
      <c r="B889" s="1" t="s">
        <v>24</v>
      </c>
      <c r="C889" s="1" t="str">
        <f>"5-2차"</f>
        <v>5-2차</v>
      </c>
      <c r="D889" s="1" t="str">
        <f>"0326S2325M"</f>
        <v>0326S2325M</v>
      </c>
      <c r="E889" s="1" t="s">
        <v>10</v>
      </c>
      <c r="F889" s="1" t="str">
        <f>"fde3:102:1430:3100:0:0:0:c"</f>
        <v>fde3:102:1430:3100:0:0:0:c</v>
      </c>
      <c r="G889" s="1" t="str">
        <f>"0326S232"</f>
        <v>0326S232</v>
      </c>
      <c r="H889" s="1" t="str">
        <f>"천한간 12R16R6"</f>
        <v>천한간 12R16R6</v>
      </c>
      <c r="I889" s="1" t="s">
        <v>15</v>
      </c>
      <c r="J889" s="1" t="str">
        <f>"48/48"</f>
        <v>48/48</v>
      </c>
      <c r="K889" s="1" t="str">
        <f>"2026-07-29 14:20:52"</f>
        <v>2026-07-29 14:20:52</v>
      </c>
      <c r="L889" s="1" t="str">
        <f>"2023-09-06 14:34:03"</f>
        <v>2023-09-06 14:34:03</v>
      </c>
      <c r="M889" s="1" t="s">
        <v>45</v>
      </c>
      <c r="N889" s="1" t="s">
        <v>38</v>
      </c>
      <c r="O889" s="1" t="s">
        <v>46</v>
      </c>
    </row>
    <row r="890" spans="2:15" x14ac:dyDescent="0.3">
      <c r="B890" s="1" t="s">
        <v>24</v>
      </c>
      <c r="C890" s="1" t="str">
        <f>"4차"</f>
        <v>4차</v>
      </c>
      <c r="D890" s="1" t="str">
        <f>"0326S23345"</f>
        <v>0326S23345</v>
      </c>
      <c r="E890" s="1" t="s">
        <v>10</v>
      </c>
      <c r="F890" s="1" t="str">
        <f>"10.12.130.119"</f>
        <v>10.12.130.119</v>
      </c>
      <c r="G890" s="1" t="str">
        <f>"0326S233"</f>
        <v>0326S233</v>
      </c>
      <c r="H890" s="1" t="str">
        <f>"천한간 12R16R7T1"</f>
        <v>천한간 12R16R7T1</v>
      </c>
      <c r="I890" s="1" t="s">
        <v>17</v>
      </c>
      <c r="J890" s="1" t="str">
        <f>"25/30"</f>
        <v>25/30</v>
      </c>
      <c r="K890" s="1" t="str">
        <f>"2026-07-29 13:18:03"</f>
        <v>2026-07-29 13:18:03</v>
      </c>
      <c r="L890" s="1" t="str">
        <f>"2024-10-25 17:32:14"</f>
        <v>2024-10-25 17:32:14</v>
      </c>
      <c r="M890" s="1" t="s">
        <v>0</v>
      </c>
      <c r="N890" s="1" t="s">
        <v>38</v>
      </c>
      <c r="O890" s="1" t="s">
        <v>46</v>
      </c>
    </row>
    <row r="891" spans="2:15" x14ac:dyDescent="0.3">
      <c r="B891" s="1" t="s">
        <v>24</v>
      </c>
      <c r="C891" s="1" t="str">
        <f>"5-1차"</f>
        <v>5-1차</v>
      </c>
      <c r="D891" s="1" t="str">
        <f>"0326S2365S"</f>
        <v>0326S2365S</v>
      </c>
      <c r="E891" s="1" t="s">
        <v>10</v>
      </c>
      <c r="F891" s="1" t="str">
        <f>"fde2:104:0:140:0:0:0:2"</f>
        <v>fde2:104:0:140:0:0:0:2</v>
      </c>
      <c r="G891" s="1" t="str">
        <f>"0326S236"</f>
        <v>0326S236</v>
      </c>
      <c r="H891" s="1" t="str">
        <f>"천한간 12R16R7L1"</f>
        <v>천한간 12R16R7L1</v>
      </c>
      <c r="I891" s="1" t="s">
        <v>15</v>
      </c>
      <c r="J891" s="1" t="str">
        <f>"104/108"</f>
        <v>104/108</v>
      </c>
      <c r="K891" s="1" t="str">
        <f>"2026-07-29 14:20:25"</f>
        <v>2026-07-29 14:20:25</v>
      </c>
      <c r="L891" s="1" t="str">
        <f>"2022-11-24 10:15:05"</f>
        <v>2022-11-24 10:15:05</v>
      </c>
      <c r="M891" s="1" t="s">
        <v>42</v>
      </c>
      <c r="N891" s="1" t="s">
        <v>38</v>
      </c>
      <c r="O891" s="1" t="s">
        <v>46</v>
      </c>
    </row>
    <row r="892" spans="2:15" x14ac:dyDescent="0.3">
      <c r="B892" s="1" t="s">
        <v>24</v>
      </c>
      <c r="C892" s="1" t="str">
        <f>"5-2차"</f>
        <v>5-2차</v>
      </c>
      <c r="D892" s="1" t="str">
        <f>"0326S2815M"</f>
        <v>0326S2815M</v>
      </c>
      <c r="E892" s="1" t="s">
        <v>10</v>
      </c>
      <c r="F892" s="1" t="str">
        <f>"fde1:103:4:59e7:0:0:0:2"</f>
        <v>fde1:103:4:59e7:0:0:0:2</v>
      </c>
      <c r="G892" s="1" t="str">
        <f>"0326S281"</f>
        <v>0326S281</v>
      </c>
      <c r="H892" s="1" t="str">
        <f>"천한간 12R11"</f>
        <v>천한간 12R11</v>
      </c>
      <c r="I892" s="1" t="s">
        <v>15</v>
      </c>
      <c r="J892" s="1" t="str">
        <f>"68/69"</f>
        <v>68/69</v>
      </c>
      <c r="K892" s="1" t="str">
        <f>"2026-07-29 14:20:54"</f>
        <v>2026-07-29 14:20:54</v>
      </c>
      <c r="L892" s="1" t="str">
        <f>"2023-09-19 11:23:14"</f>
        <v>2023-09-19 11:23:14</v>
      </c>
      <c r="M892" s="1" t="s">
        <v>4</v>
      </c>
      <c r="N892" s="1" t="s">
        <v>38</v>
      </c>
      <c r="O892" s="1" t="s">
        <v>46</v>
      </c>
    </row>
    <row r="893" spans="2:15" x14ac:dyDescent="0.3">
      <c r="B893" s="1" t="s">
        <v>24</v>
      </c>
      <c r="C893" s="1" t="str">
        <f>"4차"</f>
        <v>4차</v>
      </c>
      <c r="D893" s="1" t="str">
        <f>"0326S34141"</f>
        <v>0326S34141</v>
      </c>
      <c r="E893" s="1" t="s">
        <v>10</v>
      </c>
      <c r="F893" s="1" t="str">
        <f>"10.12.138.29"</f>
        <v>10.12.138.29</v>
      </c>
      <c r="G893" s="1" t="str">
        <f>"0326S341"</f>
        <v>0326S341</v>
      </c>
      <c r="H893" s="1" t="str">
        <f>"천한간 12R16R4"</f>
        <v>천한간 12R16R4</v>
      </c>
      <c r="I893" s="1" t="s">
        <v>17</v>
      </c>
      <c r="J893" s="1" t="str">
        <f>"53/53"</f>
        <v>53/53</v>
      </c>
      <c r="K893" s="1" t="str">
        <f>"2026-07-29 13:18:04"</f>
        <v>2026-07-29 13:18:04</v>
      </c>
      <c r="L893" s="1" t="str">
        <f>"2021-11-18 18:18:37"</f>
        <v>2021-11-18 18:18:37</v>
      </c>
      <c r="M893" s="1" t="s">
        <v>0</v>
      </c>
      <c r="N893" s="1" t="s">
        <v>38</v>
      </c>
      <c r="O893" s="1" t="s">
        <v>46</v>
      </c>
    </row>
    <row r="894" spans="2:15" x14ac:dyDescent="0.3">
      <c r="B894" s="1" t="s">
        <v>24</v>
      </c>
      <c r="C894" s="1" t="str">
        <f>"5-1차"</f>
        <v>5-1차</v>
      </c>
      <c r="D894" s="1" t="str">
        <f>"0326S3755M"</f>
        <v>0326S3755M</v>
      </c>
      <c r="E894" s="1" t="s">
        <v>10</v>
      </c>
      <c r="F894" s="1" t="str">
        <f>"fde3:102:1430:3100:0:0:0:6"</f>
        <v>fde3:102:1430:3100:0:0:0:6</v>
      </c>
      <c r="G894" s="1" t="str">
        <f>"0326S375"</f>
        <v>0326S375</v>
      </c>
      <c r="H894" s="1" t="str">
        <f>"천한간 12R13"</f>
        <v>천한간 12R13</v>
      </c>
      <c r="I894" s="1" t="s">
        <v>15</v>
      </c>
      <c r="J894" s="1" t="str">
        <f>"39/39"</f>
        <v>39/39</v>
      </c>
      <c r="K894" s="1" t="str">
        <f>"2026-07-29 14:21:08"</f>
        <v>2026-07-29 14:21:08</v>
      </c>
      <c r="L894" s="1" t="str">
        <f>"2022-11-08 09:29:21"</f>
        <v>2022-11-08 09:29:21</v>
      </c>
      <c r="M894" s="1" t="s">
        <v>45</v>
      </c>
      <c r="N894" s="1" t="s">
        <v>38</v>
      </c>
      <c r="O894" s="1" t="s">
        <v>46</v>
      </c>
    </row>
    <row r="895" spans="2:15" x14ac:dyDescent="0.3">
      <c r="B895" s="1" t="s">
        <v>24</v>
      </c>
      <c r="C895" s="1" t="str">
        <f>"4차"</f>
        <v>4차</v>
      </c>
      <c r="D895" s="1" t="str">
        <f>"0326S58141"</f>
        <v>0326S58141</v>
      </c>
      <c r="E895" s="1" t="s">
        <v>10</v>
      </c>
      <c r="F895" s="1" t="str">
        <f>"10.12.136.227"</f>
        <v>10.12.136.227</v>
      </c>
      <c r="G895" s="1" t="str">
        <f>"0326S581"</f>
        <v>0326S581</v>
      </c>
      <c r="H895" s="1" t="str">
        <f>"천한간 12R16L3"</f>
        <v>천한간 12R16L3</v>
      </c>
      <c r="I895" s="1" t="s">
        <v>17</v>
      </c>
      <c r="J895" s="1" t="str">
        <f>"63/63"</f>
        <v>63/63</v>
      </c>
      <c r="K895" s="1" t="str">
        <f>"2026-07-29 13:18:03"</f>
        <v>2026-07-29 13:18:03</v>
      </c>
      <c r="L895" s="1" t="str">
        <f>"2021-10-25 08:29:26"</f>
        <v>2021-10-25 08:29:26</v>
      </c>
      <c r="M895" s="1" t="s">
        <v>0</v>
      </c>
      <c r="N895" s="1" t="s">
        <v>38</v>
      </c>
      <c r="O895" s="1" t="s">
        <v>46</v>
      </c>
    </row>
    <row r="896" spans="2:15" x14ac:dyDescent="0.3">
      <c r="B896" s="1" t="s">
        <v>24</v>
      </c>
      <c r="C896" s="1" t="str">
        <f>"6차"</f>
        <v>6차</v>
      </c>
      <c r="D896" s="1" t="str">
        <f>"0326S6336S"</f>
        <v>0326S6336S</v>
      </c>
      <c r="E896" s="1" t="s">
        <v>10</v>
      </c>
      <c r="F896" s="1" t="str">
        <f>"fde1:103:4:c5c1:0:0:0:2"</f>
        <v>fde1:103:4:c5c1:0:0:0:2</v>
      </c>
      <c r="G896" s="1" t="str">
        <f>"0326S633"</f>
        <v>0326S633</v>
      </c>
      <c r="H896" s="1" t="str">
        <f>"신답지 2R6R1"</f>
        <v>신답지 2R6R1</v>
      </c>
      <c r="I896" s="1" t="s">
        <v>15</v>
      </c>
      <c r="J896" s="1" t="str">
        <f>"70/70"</f>
        <v>70/70</v>
      </c>
      <c r="K896" s="1" t="str">
        <f>"2026-07-29 14:20:24"</f>
        <v>2026-07-29 14:20:24</v>
      </c>
      <c r="L896" s="1" t="str">
        <f>"2024-09-26 19:43:33"</f>
        <v>2024-09-26 19:43:33</v>
      </c>
      <c r="M896" s="1" t="s">
        <v>4</v>
      </c>
      <c r="N896" s="1" t="s">
        <v>38</v>
      </c>
      <c r="O896" s="1" t="s">
        <v>46</v>
      </c>
    </row>
    <row r="897" spans="2:15" x14ac:dyDescent="0.3">
      <c r="B897" s="1" t="s">
        <v>24</v>
      </c>
      <c r="C897" s="1" t="str">
        <f>"5-2차"</f>
        <v>5-2차</v>
      </c>
      <c r="D897" s="1" t="str">
        <f>"0326S6925M"</f>
        <v>0326S6925M</v>
      </c>
      <c r="E897" s="1" t="s">
        <v>10</v>
      </c>
      <c r="F897" s="1" t="str">
        <f>"fde3:102:1430:3100:0:0:0:11"</f>
        <v>fde3:102:1430:3100:0:0:0:11</v>
      </c>
      <c r="G897" s="1" t="str">
        <f>"0326S692"</f>
        <v>0326S692</v>
      </c>
      <c r="H897" s="1" t="str">
        <f>"신답지 18L2"</f>
        <v>신답지 18L2</v>
      </c>
      <c r="I897" s="1" t="s">
        <v>15</v>
      </c>
      <c r="J897" s="1" t="str">
        <f>"46/46"</f>
        <v>46/46</v>
      </c>
      <c r="K897" s="1" t="str">
        <f>"2026-07-29 14:20:56"</f>
        <v>2026-07-29 14:20:56</v>
      </c>
      <c r="L897" s="1" t="str">
        <f>"2023-10-05 11:17:40"</f>
        <v>2023-10-05 11:17:40</v>
      </c>
      <c r="M897" s="1" t="s">
        <v>45</v>
      </c>
      <c r="N897" s="1" t="s">
        <v>38</v>
      </c>
      <c r="O897" s="1" t="s">
        <v>46</v>
      </c>
    </row>
    <row r="898" spans="2:15" x14ac:dyDescent="0.3">
      <c r="B898" s="1" t="s">
        <v>24</v>
      </c>
      <c r="C898" s="1" t="str">
        <f>"5-2차"</f>
        <v>5-2차</v>
      </c>
      <c r="D898" s="1" t="str">
        <f>"0326S7515M"</f>
        <v>0326S7515M</v>
      </c>
      <c r="E898" s="1" t="s">
        <v>10</v>
      </c>
      <c r="F898" s="1" t="str">
        <f>"fde1:103:4:5920:0:0:0:2"</f>
        <v>fde1:103:4:5920:0:0:0:2</v>
      </c>
      <c r="G898" s="1" t="str">
        <f>"0326S751"</f>
        <v>0326S751</v>
      </c>
      <c r="H898" s="1" t="str">
        <f>"장수지 8L15"</f>
        <v>장수지 8L15</v>
      </c>
      <c r="I898" s="1" t="s">
        <v>15</v>
      </c>
      <c r="J898" s="1" t="str">
        <f>"43/43"</f>
        <v>43/43</v>
      </c>
      <c r="K898" s="1" t="str">
        <f>"2026-07-29 14:21:09"</f>
        <v>2026-07-29 14:21:09</v>
      </c>
      <c r="L898" s="1" t="str">
        <f>"2023-09-19 13:03:08"</f>
        <v>2023-09-19 13:03:08</v>
      </c>
      <c r="M898" s="1" t="s">
        <v>4</v>
      </c>
      <c r="N898" s="1" t="s">
        <v>38</v>
      </c>
      <c r="O898" s="1" t="s">
        <v>46</v>
      </c>
    </row>
    <row r="899" spans="2:15" x14ac:dyDescent="0.3">
      <c r="B899" s="1" t="s">
        <v>24</v>
      </c>
      <c r="C899" s="1" t="str">
        <f>"5-2차"</f>
        <v>5-2차</v>
      </c>
      <c r="D899" s="1" t="str">
        <f>"0326S7635S"</f>
        <v>0326S7635S</v>
      </c>
      <c r="E899" s="1" t="s">
        <v>10</v>
      </c>
      <c r="F899" s="1" t="str">
        <f>"fde1:103:4:5878:0:0:0:2"</f>
        <v>fde1:103:4:5878:0:0:0:2</v>
      </c>
      <c r="G899" s="1" t="str">
        <f>"0326S763"</f>
        <v>0326S763</v>
      </c>
      <c r="H899" s="1" t="str">
        <f>"장수지 8L14"</f>
        <v>장수지 8L14</v>
      </c>
      <c r="I899" s="1" t="s">
        <v>15</v>
      </c>
      <c r="J899" s="1" t="str">
        <f>"39/39"</f>
        <v>39/39</v>
      </c>
      <c r="K899" s="1" t="str">
        <f>"2026-07-29 14:21:10"</f>
        <v>2026-07-29 14:21:10</v>
      </c>
      <c r="L899" s="1" t="str">
        <f>"2023-09-19 13:04:21"</f>
        <v>2023-09-19 13:04:21</v>
      </c>
      <c r="M899" s="1" t="s">
        <v>4</v>
      </c>
      <c r="N899" s="1" t="s">
        <v>38</v>
      </c>
      <c r="O899" s="1" t="s">
        <v>46</v>
      </c>
    </row>
    <row r="900" spans="2:15" x14ac:dyDescent="0.3">
      <c r="B900" s="1" t="s">
        <v>24</v>
      </c>
      <c r="C900" s="1" t="str">
        <f>"5-2차"</f>
        <v>5-2차</v>
      </c>
      <c r="D900" s="1" t="str">
        <f>"0326S8215M"</f>
        <v>0326S8215M</v>
      </c>
      <c r="E900" s="1" t="s">
        <v>10</v>
      </c>
      <c r="F900" s="1" t="str">
        <f>"fde3:102:1430:3100:0:0:0:d"</f>
        <v>fde3:102:1430:3100:0:0:0:d</v>
      </c>
      <c r="G900" s="1" t="str">
        <f>"0326S821"</f>
        <v>0326S821</v>
      </c>
      <c r="H900" s="1" t="str">
        <f>"장수지 1L8R1"</f>
        <v>장수지 1L8R1</v>
      </c>
      <c r="I900" s="1" t="s">
        <v>15</v>
      </c>
      <c r="J900" s="1" t="str">
        <f>"46/46"</f>
        <v>46/46</v>
      </c>
      <c r="K900" s="1" t="str">
        <f>"2026-07-29 14:21:11"</f>
        <v>2026-07-29 14:21:11</v>
      </c>
      <c r="L900" s="1" t="str">
        <f>"2023-10-25 10:03:32"</f>
        <v>2023-10-25 10:03:32</v>
      </c>
      <c r="M900" s="1" t="s">
        <v>45</v>
      </c>
      <c r="N900" s="1" t="s">
        <v>38</v>
      </c>
      <c r="O900" s="1" t="s">
        <v>46</v>
      </c>
    </row>
    <row r="901" spans="2:15" x14ac:dyDescent="0.3">
      <c r="B901" s="1" t="s">
        <v>24</v>
      </c>
      <c r="C901" s="1" t="str">
        <f>"4차"</f>
        <v>4차</v>
      </c>
      <c r="D901" s="1" t="str">
        <f>"0326S83141"</f>
        <v>0326S83141</v>
      </c>
      <c r="E901" s="1" t="s">
        <v>10</v>
      </c>
      <c r="F901" s="1" t="str">
        <f>"10.12.132.53"</f>
        <v>10.12.132.53</v>
      </c>
      <c r="G901" s="1" t="str">
        <f>"0326S831"</f>
        <v>0326S831</v>
      </c>
      <c r="H901" s="1" t="str">
        <f>"장수지 8L20R1"</f>
        <v>장수지 8L20R1</v>
      </c>
      <c r="I901" s="1" t="s">
        <v>17</v>
      </c>
      <c r="J901" s="1" t="str">
        <f>"22/22"</f>
        <v>22/22</v>
      </c>
      <c r="K901" s="1" t="str">
        <f>"2026-07-29 13:18:03"</f>
        <v>2026-07-29 13:18:03</v>
      </c>
      <c r="L901" s="1" t="str">
        <f>"2021-10-25 21:22:15"</f>
        <v>2021-10-25 21:22:15</v>
      </c>
      <c r="M901" s="1" t="s">
        <v>0</v>
      </c>
      <c r="N901" s="1" t="s">
        <v>38</v>
      </c>
      <c r="O901" s="1" t="s">
        <v>46</v>
      </c>
    </row>
    <row r="902" spans="2:15" x14ac:dyDescent="0.3">
      <c r="B902" s="1" t="s">
        <v>24</v>
      </c>
      <c r="C902" s="1" t="str">
        <f>"5-2차"</f>
        <v>5-2차</v>
      </c>
      <c r="D902" s="1" t="str">
        <f>"0326S8435M"</f>
        <v>0326S8435M</v>
      </c>
      <c r="E902" s="1" t="s">
        <v>10</v>
      </c>
      <c r="F902" s="1" t="str">
        <f>"fde1:103:4:58ff:0:0:0:2"</f>
        <v>fde1:103:4:58ff:0:0:0:2</v>
      </c>
      <c r="G902" s="1" t="str">
        <f>"0326S843"</f>
        <v>0326S843</v>
      </c>
      <c r="H902" s="1" t="str">
        <f>"장수지 8L19"</f>
        <v>장수지 8L19</v>
      </c>
      <c r="I902" s="1" t="s">
        <v>15</v>
      </c>
      <c r="J902" s="1" t="str">
        <f>"61/66"</f>
        <v>61/66</v>
      </c>
      <c r="K902" s="1" t="str">
        <f>"2026-07-29 14:21:11"</f>
        <v>2026-07-29 14:21:11</v>
      </c>
      <c r="L902" s="1" t="str">
        <f>"2023-09-19 13:05:57"</f>
        <v>2023-09-19 13:05:57</v>
      </c>
      <c r="M902" s="1" t="s">
        <v>4</v>
      </c>
      <c r="N902" s="1" t="s">
        <v>38</v>
      </c>
      <c r="O902" s="1" t="s">
        <v>46</v>
      </c>
    </row>
    <row r="903" spans="2:15" x14ac:dyDescent="0.3">
      <c r="B903" s="1" t="s">
        <v>24</v>
      </c>
      <c r="C903" s="1" t="str">
        <f>"5-2차"</f>
        <v>5-2차</v>
      </c>
      <c r="D903" s="1" t="str">
        <f>"0326S8725M"</f>
        <v>0326S8725M</v>
      </c>
      <c r="E903" s="1" t="s">
        <v>10</v>
      </c>
      <c r="F903" s="1" t="str">
        <f>"fde1:103:4:5a1d:0:0:0:2"</f>
        <v>fde1:103:4:5a1d:0:0:0:2</v>
      </c>
      <c r="G903" s="1" t="str">
        <f>"0326S872"</f>
        <v>0326S872</v>
      </c>
      <c r="H903" s="1" t="str">
        <f>"장수지 8L13R3"</f>
        <v>장수지 8L13R3</v>
      </c>
      <c r="I903" s="1" t="s">
        <v>15</v>
      </c>
      <c r="J903" s="1" t="str">
        <f>"60/60"</f>
        <v>60/60</v>
      </c>
      <c r="K903" s="1" t="str">
        <f>"2026-07-29 14:20:45"</f>
        <v>2026-07-29 14:20:45</v>
      </c>
      <c r="L903" s="1" t="str">
        <f>"2023-09-19 13:23:50"</f>
        <v>2023-09-19 13:23:50</v>
      </c>
      <c r="M903" s="1" t="s">
        <v>4</v>
      </c>
      <c r="N903" s="1" t="s">
        <v>38</v>
      </c>
      <c r="O903" s="1" t="s">
        <v>46</v>
      </c>
    </row>
    <row r="904" spans="2:15" x14ac:dyDescent="0.3">
      <c r="B904" s="1" t="s">
        <v>24</v>
      </c>
      <c r="C904" s="1" t="str">
        <f>"4차"</f>
        <v>4차</v>
      </c>
      <c r="D904" s="1" t="str">
        <f>"0326S95141"</f>
        <v>0326S95141</v>
      </c>
      <c r="E904" s="1" t="s">
        <v>10</v>
      </c>
      <c r="F904" s="1" t="str">
        <f>"10.14.14.39"</f>
        <v>10.14.14.39</v>
      </c>
      <c r="G904" s="1" t="str">
        <f>"0326S951"</f>
        <v>0326S951</v>
      </c>
      <c r="H904" s="1" t="str">
        <f>"장수지 8L9"</f>
        <v>장수지 8L9</v>
      </c>
      <c r="I904" s="1" t="s">
        <v>17</v>
      </c>
      <c r="J904" s="1" t="str">
        <f>"9/9"</f>
        <v>9/9</v>
      </c>
      <c r="K904" s="1" t="str">
        <f>"2026-07-29 13:18:03"</f>
        <v>2026-07-29 13:18:03</v>
      </c>
      <c r="L904" s="1" t="str">
        <f>"2022-01-06 09:57:05"</f>
        <v>2022-01-06 09:57:05</v>
      </c>
      <c r="M904" s="1" t="s">
        <v>3</v>
      </c>
      <c r="N904" s="1" t="s">
        <v>38</v>
      </c>
      <c r="O904" s="1" t="s">
        <v>46</v>
      </c>
    </row>
    <row r="905" spans="2:15" x14ac:dyDescent="0.3">
      <c r="B905" s="1" t="s">
        <v>24</v>
      </c>
      <c r="C905" s="1" t="str">
        <f>"4차"</f>
        <v>4차</v>
      </c>
      <c r="D905" s="1" t="str">
        <f>"0326W08539"</f>
        <v>0326W08539</v>
      </c>
      <c r="E905" s="1" t="s">
        <v>14</v>
      </c>
      <c r="F905" s="1" t="str">
        <f>"10.12.130.116"</f>
        <v>10.12.130.116</v>
      </c>
      <c r="G905" s="1" t="str">
        <f>"0326W085"</f>
        <v>0326W085</v>
      </c>
      <c r="H905" s="1" t="str">
        <f>"장평간 6R18T1"</f>
        <v>장평간 6R18T1</v>
      </c>
      <c r="I905" s="1" t="s">
        <v>17</v>
      </c>
      <c r="J905" s="1" t="str">
        <f>"0/0"</f>
        <v>0/0</v>
      </c>
      <c r="K905" s="1" t="str">
        <f>"2026-07-29 13:18:02"</f>
        <v>2026-07-29 13:18:02</v>
      </c>
      <c r="L905" s="1" t="str">
        <f>"2018-10-18 09:10:39"</f>
        <v>2018-10-18 09:10:39</v>
      </c>
      <c r="M905" s="1" t="s">
        <v>0</v>
      </c>
      <c r="N905" s="1" t="s">
        <v>38</v>
      </c>
      <c r="O905" s="1" t="s">
        <v>44</v>
      </c>
    </row>
    <row r="906" spans="2:15" x14ac:dyDescent="0.3">
      <c r="B906" s="1" t="s">
        <v>24</v>
      </c>
      <c r="C906" s="1" t="str">
        <f>"6차"</f>
        <v>6차</v>
      </c>
      <c r="D906" s="1" t="str">
        <f>"0326W0916S"</f>
        <v>0326W0916S</v>
      </c>
      <c r="E906" s="1" t="s">
        <v>10</v>
      </c>
      <c r="F906" s="1" t="str">
        <f>"fde1:103:4:c619:0:0:0:2"</f>
        <v>fde1:103:4:c619:0:0:0:2</v>
      </c>
      <c r="G906" s="1" t="str">
        <f>"0326W091"</f>
        <v>0326W091</v>
      </c>
      <c r="H906" s="1" t="str">
        <f>"장평간 14R11L2"</f>
        <v>장평간 14R11L2</v>
      </c>
      <c r="I906" s="1" t="s">
        <v>15</v>
      </c>
      <c r="J906" s="1" t="str">
        <f>"59/64"</f>
        <v>59/64</v>
      </c>
      <c r="K906" s="1" t="str">
        <f>"2026-07-29 14:20:24"</f>
        <v>2026-07-29 14:20:24</v>
      </c>
      <c r="L906" s="1" t="str">
        <f>"2024-09-26 19:40:26"</f>
        <v>2024-09-26 19:40:26</v>
      </c>
      <c r="M906" s="1" t="s">
        <v>4</v>
      </c>
      <c r="N906" s="1" t="s">
        <v>38</v>
      </c>
      <c r="O906" s="1" t="s">
        <v>46</v>
      </c>
    </row>
    <row r="907" spans="2:15" x14ac:dyDescent="0.3">
      <c r="B907" s="1" t="s">
        <v>24</v>
      </c>
      <c r="C907" s="1" t="str">
        <f>"4차"</f>
        <v>4차</v>
      </c>
      <c r="D907" s="1" t="str">
        <f>"0326W10141"</f>
        <v>0326W10141</v>
      </c>
      <c r="E907" s="1" t="s">
        <v>10</v>
      </c>
      <c r="F907" s="1" t="str">
        <f>"10.12.128.232"</f>
        <v>10.12.128.232</v>
      </c>
      <c r="G907" s="1" t="str">
        <f>"0326W101"</f>
        <v>0326W101</v>
      </c>
      <c r="H907" s="1" t="str">
        <f>"군동간 9R4"</f>
        <v>군동간 9R4</v>
      </c>
      <c r="I907" s="1" t="s">
        <v>17</v>
      </c>
      <c r="J907" s="1" t="str">
        <f>"21/39"</f>
        <v>21/39</v>
      </c>
      <c r="K907" s="1" t="str">
        <f>"2026-07-29 13:18:01"</f>
        <v>2026-07-29 13:18:01</v>
      </c>
      <c r="L907" s="1" t="str">
        <f>"2021-11-03 17:23:25"</f>
        <v>2021-11-03 17:23:25</v>
      </c>
      <c r="M907" s="1" t="s">
        <v>0</v>
      </c>
      <c r="N907" s="1" t="s">
        <v>38</v>
      </c>
      <c r="O907" s="1" t="s">
        <v>46</v>
      </c>
    </row>
    <row r="908" spans="2:15" x14ac:dyDescent="0.3">
      <c r="B908" s="1" t="s">
        <v>24</v>
      </c>
      <c r="C908" s="1" t="str">
        <f>"4차"</f>
        <v>4차</v>
      </c>
      <c r="D908" s="1" t="str">
        <f>"0326W13141"</f>
        <v>0326W13141</v>
      </c>
      <c r="E908" s="1" t="s">
        <v>10</v>
      </c>
      <c r="F908" s="1" t="str">
        <f>"10.14.4.186"</f>
        <v>10.14.4.186</v>
      </c>
      <c r="G908" s="1" t="str">
        <f>"0326W131"</f>
        <v>0326W131</v>
      </c>
      <c r="H908" s="1" t="str">
        <f>"군동간 11R5"</f>
        <v>군동간 11R5</v>
      </c>
      <c r="I908" s="1" t="s">
        <v>17</v>
      </c>
      <c r="J908" s="1" t="str">
        <f>"15/21"</f>
        <v>15/21</v>
      </c>
      <c r="K908" s="1" t="str">
        <f>"2026-07-29 13:18:03"</f>
        <v>2026-07-29 13:18:03</v>
      </c>
      <c r="L908" s="1" t="str">
        <f>"2021-10-22 09:10:12"</f>
        <v>2021-10-22 09:10:12</v>
      </c>
      <c r="M908" s="1" t="s">
        <v>3</v>
      </c>
      <c r="N908" s="1" t="s">
        <v>38</v>
      </c>
      <c r="O908" s="1" t="s">
        <v>46</v>
      </c>
    </row>
    <row r="909" spans="2:15" x14ac:dyDescent="0.3">
      <c r="B909" s="1" t="s">
        <v>24</v>
      </c>
      <c r="C909" s="1" t="str">
        <f>"4차"</f>
        <v>4차</v>
      </c>
      <c r="D909" s="1" t="str">
        <f>"0326W22241"</f>
        <v>0326W22241</v>
      </c>
      <c r="E909" s="1" t="s">
        <v>10</v>
      </c>
      <c r="F909" s="1" t="str">
        <f>"10.14.11.45"</f>
        <v>10.14.11.45</v>
      </c>
      <c r="G909" s="1" t="str">
        <f>"0326W222"</f>
        <v>0326W222</v>
      </c>
      <c r="H909" s="1" t="str">
        <f>"군동간 45L2"</f>
        <v>군동간 45L2</v>
      </c>
      <c r="I909" s="1" t="s">
        <v>17</v>
      </c>
      <c r="J909" s="1" t="str">
        <f>"47/49"</f>
        <v>47/49</v>
      </c>
      <c r="K909" s="1" t="str">
        <f>"2026-07-29 13:18:03"</f>
        <v>2026-07-29 13:18:03</v>
      </c>
      <c r="L909" s="1" t="str">
        <f>"2021-11-18 18:06:49"</f>
        <v>2021-11-18 18:06:49</v>
      </c>
      <c r="M909" s="1" t="s">
        <v>3</v>
      </c>
      <c r="N909" s="1" t="s">
        <v>38</v>
      </c>
      <c r="O909" s="1" t="s">
        <v>46</v>
      </c>
    </row>
    <row r="910" spans="2:15" x14ac:dyDescent="0.3">
      <c r="B910" s="1" t="s">
        <v>24</v>
      </c>
      <c r="C910" s="1" t="str">
        <f>"5-1차"</f>
        <v>5-1차</v>
      </c>
      <c r="D910" s="1" t="str">
        <f>"0326W2535M"</f>
        <v>0326W2535M</v>
      </c>
      <c r="E910" s="1" t="s">
        <v>10</v>
      </c>
      <c r="F910" s="1" t="str">
        <f>"fde2:104:0:14c:0:0:0:2"</f>
        <v>fde2:104:0:14c:0:0:0:2</v>
      </c>
      <c r="G910" s="1" t="str">
        <f>"0326W253"</f>
        <v>0326W253</v>
      </c>
      <c r="H910" s="1" t="str">
        <f>"군동간 11R8L1"</f>
        <v>군동간 11R8L1</v>
      </c>
      <c r="I910" s="1" t="s">
        <v>15</v>
      </c>
      <c r="J910" s="1" t="str">
        <f>"82/82"</f>
        <v>82/82</v>
      </c>
      <c r="K910" s="1" t="str">
        <f>"2026-07-29 14:20:26"</f>
        <v>2026-07-29 14:20:26</v>
      </c>
      <c r="L910" s="1" t="str">
        <f>"2022-10-12 13:37:58"</f>
        <v>2022-10-12 13:37:58</v>
      </c>
      <c r="M910" s="1" t="s">
        <v>42</v>
      </c>
      <c r="N910" s="1" t="s">
        <v>38</v>
      </c>
      <c r="O910" s="1" t="s">
        <v>46</v>
      </c>
    </row>
    <row r="911" spans="2:15" x14ac:dyDescent="0.3">
      <c r="B911" s="1" t="s">
        <v>24</v>
      </c>
      <c r="C911" s="1" t="str">
        <f>"5-1차"</f>
        <v>5-1차</v>
      </c>
      <c r="D911" s="1" t="str">
        <f>"0326W4225M"</f>
        <v>0326W4225M</v>
      </c>
      <c r="E911" s="1" t="s">
        <v>10</v>
      </c>
      <c r="F911" s="1" t="str">
        <f>"fde3:102:1430:3300:0:0:0:2"</f>
        <v>fde3:102:1430:3300:0:0:0:2</v>
      </c>
      <c r="G911" s="1" t="str">
        <f>"0326W422"</f>
        <v>0326W422</v>
      </c>
      <c r="H911" s="1" t="str">
        <f>"군동간 47"</f>
        <v>군동간 47</v>
      </c>
      <c r="I911" s="1" t="s">
        <v>15</v>
      </c>
      <c r="J911" s="1" t="str">
        <f>"74/74"</f>
        <v>74/74</v>
      </c>
      <c r="K911" s="1" t="str">
        <f>"2026-07-29 14:21:12"</f>
        <v>2026-07-29 14:21:12</v>
      </c>
      <c r="L911" s="1" t="str">
        <f>"2022-11-07 19:17:36"</f>
        <v>2022-11-07 19:17:36</v>
      </c>
      <c r="M911" s="1" t="s">
        <v>45</v>
      </c>
      <c r="N911" s="1" t="s">
        <v>38</v>
      </c>
      <c r="O911" s="1" t="s">
        <v>46</v>
      </c>
    </row>
    <row r="912" spans="2:15" x14ac:dyDescent="0.3">
      <c r="B912" s="1" t="s">
        <v>24</v>
      </c>
      <c r="C912" s="1" t="str">
        <f>"4차"</f>
        <v>4차</v>
      </c>
      <c r="D912" s="1" t="str">
        <f>"0326W43441"</f>
        <v>0326W43441</v>
      </c>
      <c r="E912" s="1" t="s">
        <v>10</v>
      </c>
      <c r="F912" s="1" t="str">
        <f>"10.14.12.42"</f>
        <v>10.14.12.42</v>
      </c>
      <c r="G912" s="1" t="str">
        <f>"0326W434"</f>
        <v>0326W434</v>
      </c>
      <c r="H912" s="1" t="str">
        <f>"군동간 48"</f>
        <v>군동간 48</v>
      </c>
      <c r="I912" s="1" t="s">
        <v>17</v>
      </c>
      <c r="J912" s="1" t="str">
        <f>"13/17"</f>
        <v>13/17</v>
      </c>
      <c r="K912" s="1" t="str">
        <f>"2026-07-29 13:18:03"</f>
        <v>2026-07-29 13:18:03</v>
      </c>
      <c r="L912" s="1" t="str">
        <f>"2021-10-22 09:55:02"</f>
        <v>2021-10-22 09:55:02</v>
      </c>
      <c r="M912" s="1" t="s">
        <v>3</v>
      </c>
      <c r="N912" s="1" t="s">
        <v>38</v>
      </c>
      <c r="O912" s="1" t="s">
        <v>46</v>
      </c>
    </row>
    <row r="913" spans="2:15" x14ac:dyDescent="0.3">
      <c r="B913" s="1" t="s">
        <v>24</v>
      </c>
      <c r="C913" s="1" t="str">
        <f>"5-2차"</f>
        <v>5-2차</v>
      </c>
      <c r="D913" s="1" t="str">
        <f>"0326W4525M"</f>
        <v>0326W4525M</v>
      </c>
      <c r="E913" s="1" t="s">
        <v>10</v>
      </c>
      <c r="F913" s="1" t="str">
        <f>"fde1:103:4:5889:0:0:0:2"</f>
        <v>fde1:103:4:5889:0:0:0:2</v>
      </c>
      <c r="G913" s="1" t="str">
        <f>"0326W452"</f>
        <v>0326W452</v>
      </c>
      <c r="H913" s="1" t="str">
        <f>"군동간 29L5"</f>
        <v>군동간 29L5</v>
      </c>
      <c r="I913" s="1" t="s">
        <v>15</v>
      </c>
      <c r="J913" s="1" t="str">
        <f>"43/43"</f>
        <v>43/43</v>
      </c>
      <c r="K913" s="1" t="str">
        <f>"2026-07-29 14:20:54"</f>
        <v>2026-07-29 14:20:54</v>
      </c>
      <c r="L913" s="1" t="str">
        <f>"2023-09-19 13:29:53"</f>
        <v>2023-09-19 13:29:53</v>
      </c>
      <c r="M913" s="1" t="s">
        <v>4</v>
      </c>
      <c r="N913" s="1" t="s">
        <v>38</v>
      </c>
      <c r="O913" s="1" t="s">
        <v>46</v>
      </c>
    </row>
    <row r="914" spans="2:15" x14ac:dyDescent="0.3">
      <c r="B914" s="1" t="s">
        <v>24</v>
      </c>
      <c r="C914" s="1" t="str">
        <f>"5-1차"</f>
        <v>5-1차</v>
      </c>
      <c r="D914" s="1" t="str">
        <f>"0326W4615M"</f>
        <v>0326W4615M</v>
      </c>
      <c r="E914" s="1" t="s">
        <v>10</v>
      </c>
      <c r="F914" s="1" t="str">
        <f>"fde3:102:1430:3100:0:0:0:7"</f>
        <v>fde3:102:1430:3100:0:0:0:7</v>
      </c>
      <c r="G914" s="1" t="str">
        <f>"0326W461"</f>
        <v>0326W461</v>
      </c>
      <c r="H914" s="1" t="str">
        <f>"군동간 29L3"</f>
        <v>군동간 29L3</v>
      </c>
      <c r="I914" s="1" t="s">
        <v>15</v>
      </c>
      <c r="J914" s="1" t="str">
        <f>"23/24"</f>
        <v>23/24</v>
      </c>
      <c r="K914" s="1" t="str">
        <f>"2026-07-29 14:20:25"</f>
        <v>2026-07-29 14:20:25</v>
      </c>
      <c r="L914" s="1" t="str">
        <f>"2022-11-03 12:33:53"</f>
        <v>2022-11-03 12:33:53</v>
      </c>
      <c r="M914" s="1" t="s">
        <v>45</v>
      </c>
      <c r="N914" s="1" t="s">
        <v>38</v>
      </c>
      <c r="O914" s="1" t="s">
        <v>46</v>
      </c>
    </row>
    <row r="915" spans="2:15" x14ac:dyDescent="0.3">
      <c r="B915" s="1" t="s">
        <v>24</v>
      </c>
      <c r="C915" s="1" t="str">
        <f>"4차"</f>
        <v>4차</v>
      </c>
      <c r="D915" s="1" t="str">
        <f>"0326W53141"</f>
        <v>0326W53141</v>
      </c>
      <c r="E915" s="1" t="s">
        <v>10</v>
      </c>
      <c r="F915" s="1" t="str">
        <f>"10.14.1.179"</f>
        <v>10.14.1.179</v>
      </c>
      <c r="G915" s="1" t="str">
        <f>"0326W531"</f>
        <v>0326W531</v>
      </c>
      <c r="H915" s="1" t="str">
        <f>"군동간 44R2"</f>
        <v>군동간 44R2</v>
      </c>
      <c r="I915" s="1" t="s">
        <v>17</v>
      </c>
      <c r="J915" s="1" t="str">
        <f>"29/29"</f>
        <v>29/29</v>
      </c>
      <c r="K915" s="1" t="str">
        <f>"2026-07-29 13:18:02"</f>
        <v>2026-07-29 13:18:02</v>
      </c>
      <c r="L915" s="1" t="str">
        <f>"2021-10-22 10:22:19"</f>
        <v>2021-10-22 10:22:19</v>
      </c>
      <c r="M915" s="1" t="s">
        <v>3</v>
      </c>
      <c r="N915" s="1" t="s">
        <v>38</v>
      </c>
      <c r="O915" s="1" t="s">
        <v>46</v>
      </c>
    </row>
    <row r="916" spans="2:15" x14ac:dyDescent="0.3">
      <c r="B916" s="1" t="s">
        <v>24</v>
      </c>
      <c r="C916" s="1" t="str">
        <f>"5-2차"</f>
        <v>5-2차</v>
      </c>
      <c r="D916" s="1" t="str">
        <f>"0326W5515M"</f>
        <v>0326W5515M</v>
      </c>
      <c r="E916" s="1" t="s">
        <v>10</v>
      </c>
      <c r="F916" s="1" t="str">
        <f>"fde3:102:1430:3300:0:0:0:3"</f>
        <v>fde3:102:1430:3300:0:0:0:3</v>
      </c>
      <c r="G916" s="1" t="str">
        <f>"0326W551"</f>
        <v>0326W551</v>
      </c>
      <c r="H916" s="1" t="str">
        <f>"군동간 53"</f>
        <v>군동간 53</v>
      </c>
      <c r="I916" s="1" t="s">
        <v>15</v>
      </c>
      <c r="J916" s="1" t="str">
        <f>"49/49"</f>
        <v>49/49</v>
      </c>
      <c r="K916" s="1" t="str">
        <f>"2026-07-29 14:21:11"</f>
        <v>2026-07-29 14:21:11</v>
      </c>
      <c r="L916" s="1" t="str">
        <f>"2023-10-05 08:27:42"</f>
        <v>2023-10-05 08:27:42</v>
      </c>
      <c r="M916" s="1" t="s">
        <v>45</v>
      </c>
      <c r="N916" s="1" t="s">
        <v>38</v>
      </c>
      <c r="O916" s="1" t="s">
        <v>46</v>
      </c>
    </row>
    <row r="917" spans="2:15" x14ac:dyDescent="0.3">
      <c r="B917" s="1" t="s">
        <v>24</v>
      </c>
      <c r="C917" s="1" t="str">
        <f>"6차"</f>
        <v>6차</v>
      </c>
      <c r="D917" s="1" t="str">
        <f>"0326W5616S"</f>
        <v>0326W5616S</v>
      </c>
      <c r="E917" s="1" t="s">
        <v>10</v>
      </c>
      <c r="F917" s="1" t="str">
        <f>"fde1:103:4:c62c:0:0:0:2"</f>
        <v>fde1:103:4:c62c:0:0:0:2</v>
      </c>
      <c r="G917" s="1" t="str">
        <f>"0326W561"</f>
        <v>0326W561</v>
      </c>
      <c r="H917" s="1" t="str">
        <f>"군동간 54"</f>
        <v>군동간 54</v>
      </c>
      <c r="I917" s="1" t="s">
        <v>15</v>
      </c>
      <c r="J917" s="1" t="str">
        <f>"34/34"</f>
        <v>34/34</v>
      </c>
      <c r="K917" s="1" t="str">
        <f>"2026-07-29 14:20:53"</f>
        <v>2026-07-29 14:20:53</v>
      </c>
      <c r="L917" s="1" t="str">
        <f>"2024-09-26 19:44:06"</f>
        <v>2024-09-26 19:44:06</v>
      </c>
      <c r="M917" s="1" t="s">
        <v>4</v>
      </c>
      <c r="N917" s="1" t="s">
        <v>38</v>
      </c>
      <c r="O917" s="1" t="s">
        <v>46</v>
      </c>
    </row>
    <row r="918" spans="2:15" x14ac:dyDescent="0.3">
      <c r="B918" s="1" t="s">
        <v>24</v>
      </c>
      <c r="C918" s="1" t="str">
        <f>"5-2차"</f>
        <v>5-2차</v>
      </c>
      <c r="D918" s="1" t="str">
        <f>"0326W5715M"</f>
        <v>0326W5715M</v>
      </c>
      <c r="E918" s="1" t="s">
        <v>10</v>
      </c>
      <c r="F918" s="1" t="str">
        <f>"fde1:103:4:58e1:0:0:0:2"</f>
        <v>fde1:103:4:58e1:0:0:0:2</v>
      </c>
      <c r="G918" s="1" t="str">
        <f>"0326W571"</f>
        <v>0326W571</v>
      </c>
      <c r="H918" s="1" t="str">
        <f>"군동간 29"</f>
        <v>군동간 29</v>
      </c>
      <c r="I918" s="1" t="s">
        <v>15</v>
      </c>
      <c r="J918" s="1" t="str">
        <f>"77/87"</f>
        <v>77/87</v>
      </c>
      <c r="K918" s="1" t="str">
        <f>"2026-07-29 14:21:12"</f>
        <v>2026-07-29 14:21:12</v>
      </c>
      <c r="L918" s="1" t="str">
        <f>"2023-09-19 13:32:02"</f>
        <v>2023-09-19 13:32:02</v>
      </c>
      <c r="M918" s="1" t="s">
        <v>4</v>
      </c>
      <c r="N918" s="1" t="s">
        <v>38</v>
      </c>
      <c r="O918" s="1" t="s">
        <v>46</v>
      </c>
    </row>
    <row r="919" spans="2:15" x14ac:dyDescent="0.3">
      <c r="B919" s="1" t="s">
        <v>24</v>
      </c>
      <c r="C919" s="1" t="str">
        <f>"6차"</f>
        <v>6차</v>
      </c>
      <c r="D919" s="1" t="str">
        <f>"0326W5836S"</f>
        <v>0326W5836S</v>
      </c>
      <c r="E919" s="1" t="s">
        <v>10</v>
      </c>
      <c r="F919" s="1" t="str">
        <f>"fde1:103:4:c633:0:0:0:2"</f>
        <v>fde1:103:4:c633:0:0:0:2</v>
      </c>
      <c r="G919" s="1" t="str">
        <f>"0326W583"</f>
        <v>0326W583</v>
      </c>
      <c r="H919" s="1" t="str">
        <f>"장평간 24R4"</f>
        <v>장평간 24R4</v>
      </c>
      <c r="I919" s="1" t="s">
        <v>15</v>
      </c>
      <c r="J919" s="1" t="str">
        <f>"40/40"</f>
        <v>40/40</v>
      </c>
      <c r="K919" s="1" t="str">
        <f>"2026-07-29 08:20:59"</f>
        <v>2026-07-29 08:20:59</v>
      </c>
      <c r="L919" s="1" t="str">
        <f>"2024-10-07 17:06:04"</f>
        <v>2024-10-07 17:06:04</v>
      </c>
      <c r="M919" s="1" t="s">
        <v>4</v>
      </c>
      <c r="N919" s="1" t="s">
        <v>38</v>
      </c>
      <c r="O919" s="1" t="s">
        <v>46</v>
      </c>
    </row>
    <row r="920" spans="2:15" x14ac:dyDescent="0.3">
      <c r="B920" s="1" t="s">
        <v>24</v>
      </c>
      <c r="C920" s="1" t="str">
        <f>"4차"</f>
        <v>4차</v>
      </c>
      <c r="D920" s="1" t="str">
        <f>"0326W59341"</f>
        <v>0326W59341</v>
      </c>
      <c r="E920" s="1" t="s">
        <v>10</v>
      </c>
      <c r="F920" s="1" t="str">
        <f>"10.12.133.85"</f>
        <v>10.12.133.85</v>
      </c>
      <c r="G920" s="1" t="str">
        <f>"0326W593"</f>
        <v>0326W593</v>
      </c>
      <c r="H920" s="1" t="str">
        <f>"장평간 24R2R1"</f>
        <v>장평간 24R2R1</v>
      </c>
      <c r="I920" s="1" t="s">
        <v>17</v>
      </c>
      <c r="J920" s="1" t="str">
        <f>"43/43"</f>
        <v>43/43</v>
      </c>
      <c r="K920" s="1" t="str">
        <f>"2026-07-29 13:18:03"</f>
        <v>2026-07-29 13:18:03</v>
      </c>
      <c r="L920" s="1" t="str">
        <f>"2021-10-22 09:50:18"</f>
        <v>2021-10-22 09:50:18</v>
      </c>
      <c r="M920" s="1" t="s">
        <v>0</v>
      </c>
      <c r="N920" s="1" t="s">
        <v>38</v>
      </c>
      <c r="O920" s="1" t="s">
        <v>46</v>
      </c>
    </row>
    <row r="921" spans="2:15" x14ac:dyDescent="0.3">
      <c r="B921" s="1" t="s">
        <v>24</v>
      </c>
      <c r="C921" s="1" t="s">
        <v>16</v>
      </c>
      <c r="D921" s="1" t="str">
        <f>"0326W63141"</f>
        <v>0326W63141</v>
      </c>
      <c r="E921" s="1" t="s">
        <v>10</v>
      </c>
      <c r="F921" s="1" t="str">
        <f>"10.14.12.201"</f>
        <v>10.14.12.201</v>
      </c>
      <c r="G921" s="1" t="str">
        <f>"0326W631"</f>
        <v>0326W631</v>
      </c>
      <c r="H921" s="1" t="str">
        <f>"군동간 39"</f>
        <v>군동간 39</v>
      </c>
      <c r="I921" s="1" t="s">
        <v>17</v>
      </c>
      <c r="J921" s="1" t="str">
        <f>"22/22"</f>
        <v>22/22</v>
      </c>
      <c r="K921" s="1" t="str">
        <f>"2026-07-29 13:18:02"</f>
        <v>2026-07-29 13:18:02</v>
      </c>
      <c r="L921" s="1" t="str">
        <f>"2022-11-10 08:03:53"</f>
        <v>2022-11-10 08:03:53</v>
      </c>
      <c r="M921" s="1" t="s">
        <v>3</v>
      </c>
      <c r="N921" s="1" t="s">
        <v>38</v>
      </c>
      <c r="O921" s="1" t="s">
        <v>46</v>
      </c>
    </row>
    <row r="922" spans="2:15" x14ac:dyDescent="0.3">
      <c r="B922" s="1" t="s">
        <v>24</v>
      </c>
      <c r="C922" s="1" t="str">
        <f>"4차"</f>
        <v>4차</v>
      </c>
      <c r="D922" s="1" t="str">
        <f>"0326W67241"</f>
        <v>0326W67241</v>
      </c>
      <c r="E922" s="1" t="s">
        <v>10</v>
      </c>
      <c r="F922" s="1" t="str">
        <f>"10.14.2.186"</f>
        <v>10.14.2.186</v>
      </c>
      <c r="G922" s="1" t="str">
        <f>"0326W672"</f>
        <v>0326W672</v>
      </c>
      <c r="H922" s="1" t="str">
        <f>"군동간 32"</f>
        <v>군동간 32</v>
      </c>
      <c r="I922" s="1" t="s">
        <v>17</v>
      </c>
      <c r="J922" s="1" t="str">
        <f>"14/14"</f>
        <v>14/14</v>
      </c>
      <c r="K922" s="1" t="str">
        <f>"2026-07-29 13:18:03"</f>
        <v>2026-07-29 13:18:03</v>
      </c>
      <c r="L922" s="1" t="str">
        <f>"2021-10-22 11:56:13"</f>
        <v>2021-10-22 11:56:13</v>
      </c>
      <c r="M922" s="1" t="s">
        <v>3</v>
      </c>
      <c r="N922" s="1" t="s">
        <v>38</v>
      </c>
      <c r="O922" s="1" t="s">
        <v>46</v>
      </c>
    </row>
    <row r="923" spans="2:15" x14ac:dyDescent="0.3">
      <c r="B923" s="1" t="s">
        <v>24</v>
      </c>
      <c r="C923" s="1" t="str">
        <f>"4차"</f>
        <v>4차</v>
      </c>
      <c r="D923" s="1" t="str">
        <f>"0326W68341"</f>
        <v>0326W68341</v>
      </c>
      <c r="E923" s="1" t="s">
        <v>10</v>
      </c>
      <c r="F923" s="1" t="str">
        <f>"10.14.6.44"</f>
        <v>10.14.6.44</v>
      </c>
      <c r="G923" s="1" t="str">
        <f>"0326W683"</f>
        <v>0326W683</v>
      </c>
      <c r="H923" s="1" t="str">
        <f>"장평간 27R4"</f>
        <v>장평간 27R4</v>
      </c>
      <c r="I923" s="1" t="s">
        <v>17</v>
      </c>
      <c r="J923" s="1" t="str">
        <f>"14/14"</f>
        <v>14/14</v>
      </c>
      <c r="K923" s="1" t="str">
        <f>"2026-07-29 13:18:03"</f>
        <v>2026-07-29 13:18:03</v>
      </c>
      <c r="L923" s="1" t="str">
        <f>"2021-10-22 09:08:33"</f>
        <v>2021-10-22 09:08:33</v>
      </c>
      <c r="M923" s="1" t="s">
        <v>3</v>
      </c>
      <c r="N923" s="1" t="s">
        <v>38</v>
      </c>
      <c r="O923" s="1" t="s">
        <v>46</v>
      </c>
    </row>
    <row r="924" spans="2:15" x14ac:dyDescent="0.3">
      <c r="B924" s="1" t="s">
        <v>24</v>
      </c>
      <c r="C924" s="1" t="str">
        <f>"6차"</f>
        <v>6차</v>
      </c>
      <c r="D924" s="1" t="str">
        <f>"0326W7736S"</f>
        <v>0326W7736S</v>
      </c>
      <c r="E924" s="1" t="s">
        <v>10</v>
      </c>
      <c r="F924" s="1" t="str">
        <f>"fde1:103:4:c687:0:0:0:2"</f>
        <v>fde1:103:4:c687:0:0:0:2</v>
      </c>
      <c r="G924" s="1" t="str">
        <f>"0326W773"</f>
        <v>0326W773</v>
      </c>
      <c r="H924" s="1" t="str">
        <f>"장평간 29R4"</f>
        <v>장평간 29R4</v>
      </c>
      <c r="I924" s="1" t="s">
        <v>15</v>
      </c>
      <c r="J924" s="1" t="str">
        <f>"25/25"</f>
        <v>25/25</v>
      </c>
      <c r="K924" s="1" t="str">
        <f>"2026-07-29 14:20:25"</f>
        <v>2026-07-29 14:20:25</v>
      </c>
      <c r="L924" s="1" t="str">
        <f>"2024-09-26 19:40:53"</f>
        <v>2024-09-26 19:40:53</v>
      </c>
      <c r="M924" s="1" t="s">
        <v>4</v>
      </c>
      <c r="N924" s="1" t="s">
        <v>38</v>
      </c>
      <c r="O924" s="1" t="s">
        <v>46</v>
      </c>
    </row>
    <row r="925" spans="2:15" x14ac:dyDescent="0.3">
      <c r="B925" s="1" t="s">
        <v>24</v>
      </c>
      <c r="C925" s="1" t="str">
        <f>"5-2차"</f>
        <v>5-2차</v>
      </c>
      <c r="D925" s="1" t="str">
        <f>"0326Y0115M"</f>
        <v>0326Y0115M</v>
      </c>
      <c r="E925" s="1" t="s">
        <v>10</v>
      </c>
      <c r="F925" s="1" t="str">
        <f>"fde1:103:4:58a7:0:0:0:2"</f>
        <v>fde1:103:4:58a7:0:0:0:2</v>
      </c>
      <c r="G925" s="1" t="str">
        <f>"0326Y011"</f>
        <v>0326Y011</v>
      </c>
      <c r="H925" s="1" t="str">
        <f>"장수지 1L5"</f>
        <v>장수지 1L5</v>
      </c>
      <c r="I925" s="1" t="s">
        <v>15</v>
      </c>
      <c r="J925" s="1" t="str">
        <f>"18/18"</f>
        <v>18/18</v>
      </c>
      <c r="K925" s="1" t="str">
        <f>"2026-07-29 14:21:28"</f>
        <v>2026-07-29 14:21:28</v>
      </c>
      <c r="L925" s="1" t="str">
        <f>"2023-09-19 13:47:39"</f>
        <v>2023-09-19 13:47:39</v>
      </c>
      <c r="M925" s="1" t="s">
        <v>4</v>
      </c>
      <c r="N925" s="1" t="s">
        <v>38</v>
      </c>
      <c r="O925" s="1" t="s">
        <v>46</v>
      </c>
    </row>
    <row r="926" spans="2:15" x14ac:dyDescent="0.3">
      <c r="B926" s="1" t="s">
        <v>24</v>
      </c>
      <c r="C926" s="1" t="str">
        <f>"4차"</f>
        <v>4차</v>
      </c>
      <c r="D926" s="1" t="str">
        <f>"0326Y05141"</f>
        <v>0326Y05141</v>
      </c>
      <c r="E926" s="1" t="s">
        <v>10</v>
      </c>
      <c r="F926" s="1" t="str">
        <f>"10.14.8.188"</f>
        <v>10.14.8.188</v>
      </c>
      <c r="G926" s="1" t="str">
        <f>"0326Y051"</f>
        <v>0326Y051</v>
      </c>
      <c r="H926" s="1" t="str">
        <f>"장수지 8L8"</f>
        <v>장수지 8L8</v>
      </c>
      <c r="I926" s="1" t="s">
        <v>17</v>
      </c>
      <c r="J926" s="1" t="str">
        <f>"51/51"</f>
        <v>51/51</v>
      </c>
      <c r="K926" s="1" t="str">
        <f>"2026-07-29 13:18:03"</f>
        <v>2026-07-29 13:18:03</v>
      </c>
      <c r="L926" s="1" t="str">
        <f>"2021-10-22 07:41:50"</f>
        <v>2021-10-22 07:41:50</v>
      </c>
      <c r="M926" s="1" t="s">
        <v>3</v>
      </c>
      <c r="N926" s="1" t="s">
        <v>38</v>
      </c>
      <c r="O926" s="1" t="s">
        <v>46</v>
      </c>
    </row>
    <row r="927" spans="2:15" x14ac:dyDescent="0.3">
      <c r="B927" s="1" t="s">
        <v>24</v>
      </c>
      <c r="C927" s="1" t="str">
        <f>"5-2차"</f>
        <v>5-2차</v>
      </c>
      <c r="D927" s="1" t="str">
        <f>"0326Y0755M"</f>
        <v>0326Y0755M</v>
      </c>
      <c r="E927" s="1" t="s">
        <v>10</v>
      </c>
      <c r="F927" s="1" t="str">
        <f>"fde1:103:4:59d4:0:0:0:2"</f>
        <v>fde1:103:4:59d4:0:0:0:2</v>
      </c>
      <c r="G927" s="1" t="str">
        <f>"0326Y075"</f>
        <v>0326Y075</v>
      </c>
      <c r="H927" s="1" t="str">
        <f>"장수지 11L9"</f>
        <v>장수지 11L9</v>
      </c>
      <c r="I927" s="1" t="s">
        <v>15</v>
      </c>
      <c r="J927" s="1" t="str">
        <f>"74/75"</f>
        <v>74/75</v>
      </c>
      <c r="K927" s="1" t="str">
        <f>"2026-07-29 14:20:26"</f>
        <v>2026-07-29 14:20:26</v>
      </c>
      <c r="L927" s="1" t="str">
        <f>"2023-09-19 13:48:53"</f>
        <v>2023-09-19 13:48:53</v>
      </c>
      <c r="M927" s="1" t="s">
        <v>4</v>
      </c>
      <c r="N927" s="1" t="s">
        <v>38</v>
      </c>
      <c r="O927" s="1" t="s">
        <v>46</v>
      </c>
    </row>
    <row r="928" spans="2:15" x14ac:dyDescent="0.3">
      <c r="B928" s="1" t="s">
        <v>24</v>
      </c>
      <c r="C928" s="1" t="str">
        <f>"1차"</f>
        <v>1차</v>
      </c>
      <c r="D928" s="1" t="str">
        <f>"0326Y11101"</f>
        <v>0326Y11101</v>
      </c>
      <c r="E928" s="1" t="s">
        <v>10</v>
      </c>
      <c r="F928" s="1" t="str">
        <f>"10.125.119.196"</f>
        <v>10.125.119.196</v>
      </c>
      <c r="G928" s="1" t="str">
        <f>"0326Y111"</f>
        <v>0326Y111</v>
      </c>
      <c r="H928" s="1" t="str">
        <f>"장수지 1C3"</f>
        <v>장수지 1C3</v>
      </c>
      <c r="I928" s="1" t="s">
        <v>8</v>
      </c>
      <c r="J928" s="1" t="str">
        <f>"9/16"</f>
        <v>9/16</v>
      </c>
      <c r="K928" s="1" t="str">
        <f>"2026-07-29 13:18:02"</f>
        <v>2026-07-29 13:18:02</v>
      </c>
      <c r="L928" s="1" t="str">
        <f>"2014-08-20 17:56:04"</f>
        <v>2014-08-20 17:56:04</v>
      </c>
      <c r="M928" s="1" t="s">
        <v>45</v>
      </c>
      <c r="N928" s="1" t="s">
        <v>38</v>
      </c>
      <c r="O928" s="1" t="s">
        <v>46</v>
      </c>
    </row>
    <row r="929" spans="2:15" x14ac:dyDescent="0.3">
      <c r="B929" s="1" t="s">
        <v>24</v>
      </c>
      <c r="C929" s="1" t="str">
        <f>"5-1차"</f>
        <v>5-1차</v>
      </c>
      <c r="D929" s="1" t="str">
        <f>"0326Y1225M"</f>
        <v>0326Y1225M</v>
      </c>
      <c r="E929" s="1" t="s">
        <v>10</v>
      </c>
      <c r="F929" s="1" t="str">
        <f>"fde2:104:0:57:0:0:0:2"</f>
        <v>fde2:104:0:57:0:0:0:2</v>
      </c>
      <c r="G929" s="1" t="str">
        <f>"0326Y122"</f>
        <v>0326Y122</v>
      </c>
      <c r="H929" s="1" t="str">
        <f>"장수지 8L5L4"</f>
        <v>장수지 8L5L4</v>
      </c>
      <c r="I929" s="1" t="s">
        <v>15</v>
      </c>
      <c r="J929" s="1" t="str">
        <f>"59/59"</f>
        <v>59/59</v>
      </c>
      <c r="K929" s="1" t="str">
        <f>"2026-07-29 14:20:34"</f>
        <v>2026-07-29 14:20:34</v>
      </c>
      <c r="L929" s="1" t="str">
        <f>"2022-07-06 16:34:54"</f>
        <v>2022-07-06 16:34:54</v>
      </c>
      <c r="M929" s="1" t="s">
        <v>42</v>
      </c>
      <c r="N929" s="1" t="s">
        <v>38</v>
      </c>
      <c r="O929" s="1" t="s">
        <v>46</v>
      </c>
    </row>
    <row r="930" spans="2:15" x14ac:dyDescent="0.3">
      <c r="B930" s="1" t="s">
        <v>24</v>
      </c>
      <c r="C930" s="1" t="str">
        <f>"5-2차"</f>
        <v>5-2차</v>
      </c>
      <c r="D930" s="1" t="str">
        <f>"0326Y1325M"</f>
        <v>0326Y1325M</v>
      </c>
      <c r="E930" s="1" t="s">
        <v>10</v>
      </c>
      <c r="F930" s="1" t="str">
        <f>"fde1:103:4:5a62:0:0:0:2"</f>
        <v>fde1:103:4:5a62:0:0:0:2</v>
      </c>
      <c r="G930" s="1" t="str">
        <f>"0326Y132"</f>
        <v>0326Y132</v>
      </c>
      <c r="H930" s="1" t="str">
        <f>"장수지 8L7L4"</f>
        <v>장수지 8L7L4</v>
      </c>
      <c r="I930" s="1" t="s">
        <v>15</v>
      </c>
      <c r="J930" s="1" t="str">
        <f>"84/84"</f>
        <v>84/84</v>
      </c>
      <c r="K930" s="1" t="str">
        <f>"2026-07-29 14:20:54"</f>
        <v>2026-07-29 14:20:54</v>
      </c>
      <c r="L930" s="1" t="str">
        <f>"2023-09-19 13:50:16"</f>
        <v>2023-09-19 13:50:16</v>
      </c>
      <c r="M930" s="1" t="s">
        <v>4</v>
      </c>
      <c r="N930" s="1" t="s">
        <v>38</v>
      </c>
      <c r="O930" s="1" t="s">
        <v>46</v>
      </c>
    </row>
    <row r="931" spans="2:15" x14ac:dyDescent="0.3">
      <c r="B931" s="1" t="s">
        <v>24</v>
      </c>
      <c r="C931" s="1" t="str">
        <f>"1차"</f>
        <v>1차</v>
      </c>
      <c r="D931" s="1" t="str">
        <f>"0326Y14101"</f>
        <v>0326Y14101</v>
      </c>
      <c r="E931" s="1" t="s">
        <v>10</v>
      </c>
      <c r="F931" s="1" t="str">
        <f>"10.89.246.66"</f>
        <v>10.89.246.66</v>
      </c>
      <c r="G931" s="1" t="str">
        <f>"0326Y141"</f>
        <v>0326Y141</v>
      </c>
      <c r="H931" s="1" t="str">
        <f>"장수지 8L6"</f>
        <v>장수지 8L6</v>
      </c>
      <c r="I931" s="1" t="s">
        <v>8</v>
      </c>
      <c r="J931" s="1" t="str">
        <f>"23/23"</f>
        <v>23/23</v>
      </c>
      <c r="K931" s="1" t="str">
        <f>"2026-07-29 13:18:03"</f>
        <v>2026-07-29 13:18:03</v>
      </c>
      <c r="L931" s="1" t="str">
        <f>"2014-11-17 18:02:44"</f>
        <v>2014-11-17 18:02:44</v>
      </c>
      <c r="M931" s="1" t="s">
        <v>45</v>
      </c>
      <c r="N931" s="1" t="s">
        <v>38</v>
      </c>
      <c r="O931" s="1" t="s">
        <v>46</v>
      </c>
    </row>
    <row r="932" spans="2:15" x14ac:dyDescent="0.3">
      <c r="B932" s="1" t="s">
        <v>24</v>
      </c>
      <c r="C932" s="1" t="str">
        <f>"6차"</f>
        <v>6차</v>
      </c>
      <c r="D932" s="1" t="str">
        <f>"0326Y1626S"</f>
        <v>0326Y1626S</v>
      </c>
      <c r="E932" s="1" t="s">
        <v>10</v>
      </c>
      <c r="F932" s="1" t="str">
        <f>"fde1:103:4:c6a8:0:0:0:2"</f>
        <v>fde1:103:4:c6a8:0:0:0:2</v>
      </c>
      <c r="G932" s="1" t="str">
        <f>"0326Y162"</f>
        <v>0326Y162</v>
      </c>
      <c r="H932" s="1" t="str">
        <f>"장수지 11L7L1"</f>
        <v>장수지 11L7L1</v>
      </c>
      <c r="I932" s="1" t="s">
        <v>15</v>
      </c>
      <c r="J932" s="1" t="str">
        <f>"50/50"</f>
        <v>50/50</v>
      </c>
      <c r="K932" s="1" t="str">
        <f>"2026-07-29 08:21:09"</f>
        <v>2026-07-29 08:21:09</v>
      </c>
      <c r="L932" s="1" t="str">
        <f>"2024-09-26 19:44:01"</f>
        <v>2024-09-26 19:44:01</v>
      </c>
      <c r="M932" s="1" t="s">
        <v>4</v>
      </c>
      <c r="N932" s="1" t="s">
        <v>38</v>
      </c>
      <c r="O932" s="1" t="s">
        <v>46</v>
      </c>
    </row>
    <row r="933" spans="2:15" x14ac:dyDescent="0.3">
      <c r="B933" s="1" t="s">
        <v>24</v>
      </c>
      <c r="C933" s="1" t="str">
        <f>"6차"</f>
        <v>6차</v>
      </c>
      <c r="D933" s="1" t="str">
        <f>"0326Y1736S"</f>
        <v>0326Y1736S</v>
      </c>
      <c r="E933" s="1" t="s">
        <v>10</v>
      </c>
      <c r="F933" s="1" t="str">
        <f>"fde1:103:4:c625:0:0:0:2"</f>
        <v>fde1:103:4:c625:0:0:0:2</v>
      </c>
      <c r="G933" s="1" t="str">
        <f>"0326Y173"</f>
        <v>0326Y173</v>
      </c>
      <c r="H933" s="1" t="str">
        <f>"장수지 11L8"</f>
        <v>장수지 11L8</v>
      </c>
      <c r="I933" s="1" t="s">
        <v>15</v>
      </c>
      <c r="J933" s="1" t="str">
        <f>"72/72"</f>
        <v>72/72</v>
      </c>
      <c r="K933" s="1" t="str">
        <f>"2026-07-29 14:20:26"</f>
        <v>2026-07-29 14:20:26</v>
      </c>
      <c r="L933" s="1" t="str">
        <f>"2024-11-11 17:07:41"</f>
        <v>2024-11-11 17:07:41</v>
      </c>
      <c r="M933" s="1" t="s">
        <v>4</v>
      </c>
      <c r="N933" s="1" t="s">
        <v>38</v>
      </c>
      <c r="O933" s="1" t="s">
        <v>46</v>
      </c>
    </row>
    <row r="934" spans="2:15" x14ac:dyDescent="0.3">
      <c r="B934" s="1" t="s">
        <v>24</v>
      </c>
      <c r="C934" s="1" t="str">
        <f>"1차"</f>
        <v>1차</v>
      </c>
      <c r="D934" s="1" t="str">
        <f>"0326Y21100"</f>
        <v>0326Y21100</v>
      </c>
      <c r="E934" s="1" t="s">
        <v>10</v>
      </c>
      <c r="F934" s="1" t="str">
        <f>"10.125.119.195"</f>
        <v>10.125.119.195</v>
      </c>
      <c r="G934" s="1" t="str">
        <f>"0326Y211"</f>
        <v>0326Y211</v>
      </c>
      <c r="H934" s="1" t="str">
        <f>"장수지 1C1"</f>
        <v>장수지 1C1</v>
      </c>
      <c r="I934" s="1" t="s">
        <v>8</v>
      </c>
      <c r="J934" s="1" t="str">
        <f>"18/18"</f>
        <v>18/18</v>
      </c>
      <c r="K934" s="1" t="str">
        <f>"2026-07-29 13:18:03"</f>
        <v>2026-07-29 13:18:03</v>
      </c>
      <c r="L934" s="1" t="str">
        <f>"2014-08-20 17:41:58"</f>
        <v>2014-08-20 17:41:58</v>
      </c>
      <c r="M934" s="1" t="s">
        <v>45</v>
      </c>
      <c r="N934" s="1" t="s">
        <v>38</v>
      </c>
      <c r="O934" s="1" t="s">
        <v>46</v>
      </c>
    </row>
    <row r="935" spans="2:15" x14ac:dyDescent="0.3">
      <c r="B935" s="1" t="s">
        <v>24</v>
      </c>
      <c r="C935" s="1" t="str">
        <f>"1차"</f>
        <v>1차</v>
      </c>
      <c r="D935" s="1" t="str">
        <f>"0326Y25200"</f>
        <v>0326Y25200</v>
      </c>
      <c r="E935" s="1" t="s">
        <v>10</v>
      </c>
      <c r="F935" s="1" t="str">
        <f>"10.125.119.197"</f>
        <v>10.125.119.197</v>
      </c>
      <c r="G935" s="1" t="str">
        <f>"0326Y252"</f>
        <v>0326Y252</v>
      </c>
      <c r="H935" s="1" t="str">
        <f>"장수지 8L5R3"</f>
        <v>장수지 8L5R3</v>
      </c>
      <c r="I935" s="1" t="s">
        <v>8</v>
      </c>
      <c r="J935" s="1" t="str">
        <f>"5/5"</f>
        <v>5/5</v>
      </c>
      <c r="K935" s="1" t="str">
        <f>"2026-07-29 13:18:03"</f>
        <v>2026-07-29 13:18:03</v>
      </c>
      <c r="L935" s="1" t="str">
        <f>"2015-09-09 11:23:57"</f>
        <v>2015-09-09 11:23:57</v>
      </c>
      <c r="M935" s="1" t="s">
        <v>45</v>
      </c>
      <c r="N935" s="1" t="s">
        <v>38</v>
      </c>
      <c r="O935" s="1" t="s">
        <v>46</v>
      </c>
    </row>
    <row r="936" spans="2:15" x14ac:dyDescent="0.3">
      <c r="B936" s="1" t="s">
        <v>24</v>
      </c>
      <c r="C936" s="1" t="str">
        <f>"6차"</f>
        <v>6차</v>
      </c>
      <c r="D936" s="1" t="str">
        <f>"0326Y2616S"</f>
        <v>0326Y2616S</v>
      </c>
      <c r="E936" s="1" t="s">
        <v>10</v>
      </c>
      <c r="F936" s="1" t="str">
        <f>"fde1:103:4:c67a:0:0:0:2"</f>
        <v>fde1:103:4:c67a:0:0:0:2</v>
      </c>
      <c r="G936" s="1" t="str">
        <f>"0326Y261"</f>
        <v>0326Y261</v>
      </c>
      <c r="H936" s="1" t="str">
        <f>"장수지 11L6L2"</f>
        <v>장수지 11L6L2</v>
      </c>
      <c r="I936" s="1" t="s">
        <v>15</v>
      </c>
      <c r="J936" s="1" t="str">
        <f>"88/89"</f>
        <v>88/89</v>
      </c>
      <c r="K936" s="1" t="str">
        <f>"2026-07-29 08:21:09"</f>
        <v>2026-07-29 08:21:09</v>
      </c>
      <c r="L936" s="1" t="str">
        <f>"2024-11-11 17:27:07"</f>
        <v>2024-11-11 17:27:07</v>
      </c>
      <c r="M936" s="1" t="s">
        <v>4</v>
      </c>
      <c r="N936" s="1" t="s">
        <v>38</v>
      </c>
      <c r="O936" s="1" t="s">
        <v>46</v>
      </c>
    </row>
    <row r="937" spans="2:15" x14ac:dyDescent="0.3">
      <c r="B937" s="1" t="s">
        <v>24</v>
      </c>
      <c r="C937" s="1" t="str">
        <f>"6차"</f>
        <v>6차</v>
      </c>
      <c r="D937" s="1" t="str">
        <f>"0326Y2626S"</f>
        <v>0326Y2626S</v>
      </c>
      <c r="E937" s="1" t="s">
        <v>10</v>
      </c>
      <c r="F937" s="1" t="str">
        <f>"fde1:103:4:c62e:0:0:0:2"</f>
        <v>fde1:103:4:c62e:0:0:0:2</v>
      </c>
      <c r="G937" s="1" t="str">
        <f>"0326Y262"</f>
        <v>0326Y262</v>
      </c>
      <c r="H937" s="1" t="str">
        <f>"장수지 11L6L1"</f>
        <v>장수지 11L6L1</v>
      </c>
      <c r="I937" s="1" t="s">
        <v>15</v>
      </c>
      <c r="J937" s="1" t="str">
        <f>"33/39"</f>
        <v>33/39</v>
      </c>
      <c r="K937" s="1" t="str">
        <f>"2026-07-29 02:21:09"</f>
        <v>2026-07-29 02:21:09</v>
      </c>
      <c r="L937" s="1" t="str">
        <f>"2024-11-11 17:15:47"</f>
        <v>2024-11-11 17:15:47</v>
      </c>
      <c r="M937" s="1" t="s">
        <v>4</v>
      </c>
      <c r="N937" s="1" t="s">
        <v>38</v>
      </c>
      <c r="O937" s="1" t="s">
        <v>46</v>
      </c>
    </row>
    <row r="938" spans="2:15" x14ac:dyDescent="0.3">
      <c r="B938" s="1" t="s">
        <v>24</v>
      </c>
      <c r="C938" s="1" t="str">
        <f>"1차"</f>
        <v>1차</v>
      </c>
      <c r="D938" s="1" t="str">
        <f>"0326Y32100"</f>
        <v>0326Y32100</v>
      </c>
      <c r="E938" s="1" t="s">
        <v>10</v>
      </c>
      <c r="F938" s="1" t="str">
        <f>"10.125.119.198"</f>
        <v>10.125.119.198</v>
      </c>
      <c r="G938" s="1" t="str">
        <f>"0326Y321"</f>
        <v>0326Y321</v>
      </c>
      <c r="H938" s="1" t="str">
        <f>"장수지 8L3L2"</f>
        <v>장수지 8L3L2</v>
      </c>
      <c r="I938" s="1" t="s">
        <v>8</v>
      </c>
      <c r="J938" s="1" t="str">
        <f>"31/31"</f>
        <v>31/31</v>
      </c>
      <c r="K938" s="1" t="str">
        <f>"2026-07-29 13:18:03"</f>
        <v>2026-07-29 13:18:03</v>
      </c>
      <c r="L938" s="1" t="str">
        <f>"2014-08-20 18:55:32"</f>
        <v>2014-08-20 18:55:32</v>
      </c>
      <c r="M938" s="1" t="s">
        <v>45</v>
      </c>
      <c r="N938" s="1" t="s">
        <v>38</v>
      </c>
      <c r="O938" s="1" t="s">
        <v>46</v>
      </c>
    </row>
    <row r="939" spans="2:15" x14ac:dyDescent="0.3">
      <c r="B939" s="1" t="s">
        <v>24</v>
      </c>
      <c r="C939" s="1" t="str">
        <f>"5-2차"</f>
        <v>5-2차</v>
      </c>
      <c r="D939" s="1" t="str">
        <f>"0326Y3945M"</f>
        <v>0326Y3945M</v>
      </c>
      <c r="E939" s="1" t="s">
        <v>10</v>
      </c>
      <c r="F939" s="1" t="str">
        <f>"fde1:103:4:58fb:0:0:0:2"</f>
        <v>fde1:103:4:58fb:0:0:0:2</v>
      </c>
      <c r="G939" s="1" t="str">
        <f>"0326Y394"</f>
        <v>0326Y394</v>
      </c>
      <c r="H939" s="1" t="str">
        <f>"군동간 42L4"</f>
        <v>군동간 42L4</v>
      </c>
      <c r="I939" s="1" t="s">
        <v>15</v>
      </c>
      <c r="J939" s="1" t="str">
        <f>"55/55"</f>
        <v>55/55</v>
      </c>
      <c r="K939" s="1" t="str">
        <f>"2026-07-29 14:20:27"</f>
        <v>2026-07-29 14:20:27</v>
      </c>
      <c r="L939" s="1" t="str">
        <f>"2023-09-19 14:04:14"</f>
        <v>2023-09-19 14:04:14</v>
      </c>
      <c r="M939" s="1" t="s">
        <v>4</v>
      </c>
      <c r="N939" s="1" t="s">
        <v>38</v>
      </c>
      <c r="O939" s="1" t="s">
        <v>46</v>
      </c>
    </row>
    <row r="940" spans="2:15" x14ac:dyDescent="0.3">
      <c r="B940" s="1" t="s">
        <v>24</v>
      </c>
      <c r="C940" s="1" t="str">
        <f>"6차"</f>
        <v>6차</v>
      </c>
      <c r="D940" s="1" t="str">
        <f>"0326Y4346S"</f>
        <v>0326Y4346S</v>
      </c>
      <c r="E940" s="1" t="s">
        <v>10</v>
      </c>
      <c r="F940" s="1" t="str">
        <f>"fde1:103:4:9133:0:0:0:2"</f>
        <v>fde1:103:4:9133:0:0:0:2</v>
      </c>
      <c r="G940" s="1" t="str">
        <f>"0326Y434"</f>
        <v>0326Y434</v>
      </c>
      <c r="H940" s="1" t="str">
        <f>"장수지 8L3"</f>
        <v>장수지 8L3</v>
      </c>
      <c r="I940" s="1" t="s">
        <v>15</v>
      </c>
      <c r="J940" s="1" t="str">
        <f>"44/44"</f>
        <v>44/44</v>
      </c>
      <c r="K940" s="1" t="str">
        <f>"2026-07-29 14:21:13"</f>
        <v>2026-07-29 14:21:13</v>
      </c>
      <c r="L940" s="1" t="str">
        <f>"2025-02-18 15:51:13"</f>
        <v>2025-02-18 15:51:13</v>
      </c>
      <c r="M940" s="1" t="s">
        <v>4</v>
      </c>
      <c r="N940" s="1" t="s">
        <v>38</v>
      </c>
      <c r="O940" s="1" t="s">
        <v>46</v>
      </c>
    </row>
    <row r="941" spans="2:15" x14ac:dyDescent="0.3">
      <c r="B941" s="1" t="s">
        <v>24</v>
      </c>
      <c r="C941" s="1" t="str">
        <f>"5-2차"</f>
        <v>5-2차</v>
      </c>
      <c r="D941" s="1" t="str">
        <f>"0326Y4615M"</f>
        <v>0326Y4615M</v>
      </c>
      <c r="E941" s="1" t="s">
        <v>10</v>
      </c>
      <c r="F941" s="1" t="str">
        <f>"fde1:103:4:598d:0:0:0:2"</f>
        <v>fde1:103:4:598d:0:0:0:2</v>
      </c>
      <c r="G941" s="1" t="str">
        <f>"0326Y461"</f>
        <v>0326Y461</v>
      </c>
      <c r="H941" s="1" t="str">
        <f>"장수지 11L3"</f>
        <v>장수지 11L3</v>
      </c>
      <c r="I941" s="1" t="s">
        <v>15</v>
      </c>
      <c r="J941" s="1" t="str">
        <f>"100/100"</f>
        <v>100/100</v>
      </c>
      <c r="K941" s="1" t="str">
        <f>"2026-07-29 14:20:27"</f>
        <v>2026-07-29 14:20:27</v>
      </c>
      <c r="L941" s="1" t="str">
        <f>"2023-09-19 14:06:31"</f>
        <v>2023-09-19 14:06:31</v>
      </c>
      <c r="M941" s="1" t="s">
        <v>4</v>
      </c>
      <c r="N941" s="1" t="s">
        <v>38</v>
      </c>
      <c r="O941" s="1" t="s">
        <v>46</v>
      </c>
    </row>
    <row r="942" spans="2:15" x14ac:dyDescent="0.3">
      <c r="B942" s="1" t="s">
        <v>24</v>
      </c>
      <c r="C942" s="1" t="str">
        <f>"6차"</f>
        <v>6차</v>
      </c>
      <c r="D942" s="1" t="str">
        <f>"0326Y4716S"</f>
        <v>0326Y4716S</v>
      </c>
      <c r="E942" s="1" t="s">
        <v>10</v>
      </c>
      <c r="F942" s="1" t="str">
        <f>"fde1:103:4:c6af:0:0:0:2"</f>
        <v>fde1:103:4:c6af:0:0:0:2</v>
      </c>
      <c r="G942" s="1" t="str">
        <f>"0326Y471"</f>
        <v>0326Y471</v>
      </c>
      <c r="H942" s="1" t="str">
        <f>"장수지 19"</f>
        <v>장수지 19</v>
      </c>
      <c r="I942" s="1" t="s">
        <v>15</v>
      </c>
      <c r="J942" s="1" t="str">
        <f>"41/41"</f>
        <v>41/41</v>
      </c>
      <c r="K942" s="1" t="str">
        <f>"2026-07-29 14:20:27"</f>
        <v>2026-07-29 14:20:27</v>
      </c>
      <c r="L942" s="1" t="str">
        <f>"2024-09-27 16:42:53"</f>
        <v>2024-09-27 16:42:53</v>
      </c>
      <c r="M942" s="1" t="s">
        <v>4</v>
      </c>
      <c r="N942" s="1" t="s">
        <v>38</v>
      </c>
      <c r="O942" s="1" t="s">
        <v>46</v>
      </c>
    </row>
    <row r="943" spans="2:15" x14ac:dyDescent="0.3">
      <c r="B943" s="1" t="s">
        <v>24</v>
      </c>
      <c r="C943" s="1" t="str">
        <f>"5-2차"</f>
        <v>5-2차</v>
      </c>
      <c r="D943" s="1" t="str">
        <f>"0326Y6515M"</f>
        <v>0326Y6515M</v>
      </c>
      <c r="E943" s="1" t="s">
        <v>10</v>
      </c>
      <c r="F943" s="1" t="str">
        <f>"fde1:103:4:58f0:0:0:0:2"</f>
        <v>fde1:103:4:58f0:0:0:0:2</v>
      </c>
      <c r="G943" s="1" t="str">
        <f>"0326Y651"</f>
        <v>0326Y651</v>
      </c>
      <c r="H943" s="1" t="str">
        <f>"장수지 12"</f>
        <v>장수지 12</v>
      </c>
      <c r="I943" s="1" t="s">
        <v>15</v>
      </c>
      <c r="J943" s="1" t="str">
        <f>"18/18"</f>
        <v>18/18</v>
      </c>
      <c r="K943" s="1" t="str">
        <f>"2026-07-29 14:20:27"</f>
        <v>2026-07-29 14:20:27</v>
      </c>
      <c r="L943" s="1" t="str">
        <f>"2023-09-19 14:08:46"</f>
        <v>2023-09-19 14:08:46</v>
      </c>
      <c r="M943" s="1" t="s">
        <v>4</v>
      </c>
      <c r="N943" s="1" t="s">
        <v>38</v>
      </c>
      <c r="O943" s="1" t="s">
        <v>46</v>
      </c>
    </row>
    <row r="944" spans="2:15" x14ac:dyDescent="0.3">
      <c r="B944" s="1" t="s">
        <v>24</v>
      </c>
      <c r="C944" s="1" t="str">
        <f>"5-2차"</f>
        <v>5-2차</v>
      </c>
      <c r="D944" s="1" t="str">
        <f>"0326Y6845M"</f>
        <v>0326Y6845M</v>
      </c>
      <c r="E944" s="1" t="s">
        <v>10</v>
      </c>
      <c r="F944" s="1" t="str">
        <f>"fde1:103:4:5a27:0:0:0:2"</f>
        <v>fde1:103:4:5a27:0:0:0:2</v>
      </c>
      <c r="G944" s="1" t="str">
        <f>"0326Y684"</f>
        <v>0326Y684</v>
      </c>
      <c r="H944" s="1" t="str">
        <f>"군동간 7R18L4R1"</f>
        <v>군동간 7R18L4R1</v>
      </c>
      <c r="I944" s="1" t="s">
        <v>15</v>
      </c>
      <c r="J944" s="1" t="str">
        <f>"68/68"</f>
        <v>68/68</v>
      </c>
      <c r="K944" s="1" t="str">
        <f>"2026-07-29 14:20:29"</f>
        <v>2026-07-29 14:20:29</v>
      </c>
      <c r="L944" s="1" t="str">
        <f>"2023-09-19 14:31:52"</f>
        <v>2023-09-19 14:31:52</v>
      </c>
      <c r="M944" s="1" t="s">
        <v>4</v>
      </c>
      <c r="N944" s="1" t="s">
        <v>38</v>
      </c>
      <c r="O944" s="1" t="s">
        <v>46</v>
      </c>
    </row>
    <row r="945" spans="2:15" x14ac:dyDescent="0.3">
      <c r="B945" s="1" t="s">
        <v>24</v>
      </c>
      <c r="C945" s="1" t="str">
        <f t="shared" ref="C945:C970" si="43">"4차"</f>
        <v>4차</v>
      </c>
      <c r="D945" s="1" t="str">
        <f>"0327A00344"</f>
        <v>0327A00344</v>
      </c>
      <c r="E945" s="1" t="s">
        <v>10</v>
      </c>
      <c r="F945" s="1" t="str">
        <f>"10.12.138.10"</f>
        <v>10.12.138.10</v>
      </c>
      <c r="G945" s="1" t="str">
        <f>"0327A003"</f>
        <v>0327A003</v>
      </c>
      <c r="H945" s="1" t="str">
        <f>"청용간 23"</f>
        <v>청용간 23</v>
      </c>
      <c r="I945" s="1" t="s">
        <v>8</v>
      </c>
      <c r="J945" s="1" t="str">
        <f>"43/44"</f>
        <v>43/44</v>
      </c>
      <c r="K945" s="1" t="str">
        <f>"2026-07-29 13:18:02"</f>
        <v>2026-07-29 13:18:02</v>
      </c>
      <c r="L945" s="1" t="str">
        <f>"2020-01-14 08:16:03"</f>
        <v>2020-01-14 08:16:03</v>
      </c>
      <c r="M945" s="1" t="s">
        <v>0</v>
      </c>
      <c r="N945" s="1" t="s">
        <v>38</v>
      </c>
      <c r="O945" s="1" t="s">
        <v>46</v>
      </c>
    </row>
    <row r="946" spans="2:15" x14ac:dyDescent="0.3">
      <c r="B946" s="1" t="s">
        <v>24</v>
      </c>
      <c r="C946" s="1" t="str">
        <f t="shared" si="43"/>
        <v>4차</v>
      </c>
      <c r="D946" s="1" t="str">
        <f>"0327A01144"</f>
        <v>0327A01144</v>
      </c>
      <c r="E946" s="1" t="s">
        <v>10</v>
      </c>
      <c r="F946" s="1" t="str">
        <f>"10.10.48.202"</f>
        <v>10.10.48.202</v>
      </c>
      <c r="G946" s="1" t="str">
        <f>"0327A011"</f>
        <v>0327A011</v>
      </c>
      <c r="H946" s="1" t="str">
        <f>"외대간 17L2L1"</f>
        <v>외대간 17L2L1</v>
      </c>
      <c r="I946" s="1" t="s">
        <v>8</v>
      </c>
      <c r="J946" s="1" t="str">
        <f>"44/44"</f>
        <v>44/44</v>
      </c>
      <c r="K946" s="1" t="str">
        <f>"2026-07-29 13:18:02"</f>
        <v>2026-07-29 13:18:02</v>
      </c>
      <c r="L946" s="1" t="str">
        <f>"2019-11-11 10:35:42"</f>
        <v>2019-11-11 10:35:42</v>
      </c>
      <c r="M946" s="1" t="s">
        <v>1</v>
      </c>
      <c r="N946" s="1" t="s">
        <v>38</v>
      </c>
      <c r="O946" s="1" t="s">
        <v>46</v>
      </c>
    </row>
    <row r="947" spans="2:15" x14ac:dyDescent="0.3">
      <c r="B947" s="1" t="s">
        <v>24</v>
      </c>
      <c r="C947" s="1" t="str">
        <f t="shared" si="43"/>
        <v>4차</v>
      </c>
      <c r="D947" s="1" t="str">
        <f>"0327A01244"</f>
        <v>0327A01244</v>
      </c>
      <c r="E947" s="1" t="s">
        <v>10</v>
      </c>
      <c r="F947" s="1" t="str">
        <f>"10.10.48.210"</f>
        <v>10.10.48.210</v>
      </c>
      <c r="G947" s="1" t="str">
        <f>"0327A012"</f>
        <v>0327A012</v>
      </c>
      <c r="H947" s="1" t="str">
        <f>"외대간 17L2L2"</f>
        <v>외대간 17L2L2</v>
      </c>
      <c r="I947" s="1" t="s">
        <v>8</v>
      </c>
      <c r="J947" s="1" t="str">
        <f>"56/56"</f>
        <v>56/56</v>
      </c>
      <c r="K947" s="1" t="str">
        <f>"2026-07-29 13:18:02"</f>
        <v>2026-07-29 13:18:02</v>
      </c>
      <c r="L947" s="1" t="str">
        <f>"2019-11-11 19:38:16"</f>
        <v>2019-11-11 19:38:16</v>
      </c>
      <c r="M947" s="1" t="s">
        <v>1</v>
      </c>
      <c r="N947" s="1" t="s">
        <v>38</v>
      </c>
      <c r="O947" s="1" t="s">
        <v>46</v>
      </c>
    </row>
    <row r="948" spans="2:15" x14ac:dyDescent="0.3">
      <c r="B948" s="1" t="s">
        <v>24</v>
      </c>
      <c r="C948" s="1" t="str">
        <f t="shared" si="43"/>
        <v>4차</v>
      </c>
      <c r="D948" s="1" t="str">
        <f>"0327A02144"</f>
        <v>0327A02144</v>
      </c>
      <c r="E948" s="1" t="s">
        <v>10</v>
      </c>
      <c r="F948" s="1" t="str">
        <f>"10.10.48.194"</f>
        <v>10.10.48.194</v>
      </c>
      <c r="G948" s="1" t="str">
        <f>"0327A021"</f>
        <v>0327A021</v>
      </c>
      <c r="H948" s="1" t="str">
        <f>"외대간 17L2"</f>
        <v>외대간 17L2</v>
      </c>
      <c r="I948" s="1" t="s">
        <v>8</v>
      </c>
      <c r="J948" s="1" t="str">
        <f>"103/103"</f>
        <v>103/103</v>
      </c>
      <c r="K948" s="1" t="str">
        <f>"2026-07-29 13:18:02"</f>
        <v>2026-07-29 13:18:02</v>
      </c>
      <c r="L948" s="1" t="str">
        <f>"2019-11-11 19:57:15"</f>
        <v>2019-11-11 19:57:15</v>
      </c>
      <c r="M948" s="1" t="s">
        <v>1</v>
      </c>
      <c r="N948" s="1" t="s">
        <v>38</v>
      </c>
      <c r="O948" s="1" t="s">
        <v>46</v>
      </c>
    </row>
    <row r="949" spans="2:15" x14ac:dyDescent="0.3">
      <c r="B949" s="1" t="s">
        <v>24</v>
      </c>
      <c r="C949" s="1" t="str">
        <f t="shared" si="43"/>
        <v>4차</v>
      </c>
      <c r="D949" s="1" t="str">
        <f>"0327A04244"</f>
        <v>0327A04244</v>
      </c>
      <c r="E949" s="1" t="s">
        <v>10</v>
      </c>
      <c r="F949" s="1" t="str">
        <f>"10.10.49.58"</f>
        <v>10.10.49.58</v>
      </c>
      <c r="G949" s="1" t="str">
        <f>"0327A042"</f>
        <v>0327A042</v>
      </c>
      <c r="H949" s="1" t="str">
        <f>"외대간 21L4"</f>
        <v>외대간 21L4</v>
      </c>
      <c r="I949" s="1" t="s">
        <v>8</v>
      </c>
      <c r="J949" s="1" t="str">
        <f>"33/33"</f>
        <v>33/33</v>
      </c>
      <c r="K949" s="1" t="str">
        <f>"2026-07-29 13:18:02"</f>
        <v>2026-07-29 13:18:02</v>
      </c>
      <c r="L949" s="1" t="str">
        <f>"2021-07-28 16:38:53"</f>
        <v>2021-07-28 16:38:53</v>
      </c>
      <c r="M949" s="1" t="s">
        <v>1</v>
      </c>
      <c r="N949" s="1" t="s">
        <v>38</v>
      </c>
      <c r="O949" s="1" t="s">
        <v>46</v>
      </c>
    </row>
    <row r="950" spans="2:15" x14ac:dyDescent="0.3">
      <c r="B950" s="1" t="s">
        <v>24</v>
      </c>
      <c r="C950" s="1" t="str">
        <f t="shared" si="43"/>
        <v>4차</v>
      </c>
      <c r="D950" s="1" t="str">
        <f>"0327A05244"</f>
        <v>0327A05244</v>
      </c>
      <c r="E950" s="1" t="s">
        <v>10</v>
      </c>
      <c r="F950" s="1" t="str">
        <f>"10.10.46.18"</f>
        <v>10.10.46.18</v>
      </c>
      <c r="G950" s="1" t="str">
        <f>"0327A052"</f>
        <v>0327A052</v>
      </c>
      <c r="H950" s="1" t="str">
        <f>"외대간 24L5"</f>
        <v>외대간 24L5</v>
      </c>
      <c r="I950" s="1" t="s">
        <v>8</v>
      </c>
      <c r="J950" s="1" t="str">
        <f>"45/45"</f>
        <v>45/45</v>
      </c>
      <c r="K950" s="1" t="str">
        <f>"2026-07-29 13:18:03"</f>
        <v>2026-07-29 13:18:03</v>
      </c>
      <c r="L950" s="1" t="str">
        <f>"2019-11-11 10:53:04"</f>
        <v>2019-11-11 10:53:04</v>
      </c>
      <c r="M950" s="1" t="s">
        <v>1</v>
      </c>
      <c r="N950" s="1" t="s">
        <v>38</v>
      </c>
      <c r="O950" s="1" t="s">
        <v>46</v>
      </c>
    </row>
    <row r="951" spans="2:15" x14ac:dyDescent="0.3">
      <c r="B951" s="1" t="s">
        <v>24</v>
      </c>
      <c r="C951" s="1" t="str">
        <f t="shared" si="43"/>
        <v>4차</v>
      </c>
      <c r="D951" s="1" t="str">
        <f>"0327A06144"</f>
        <v>0327A06144</v>
      </c>
      <c r="E951" s="1" t="s">
        <v>10</v>
      </c>
      <c r="F951" s="1" t="str">
        <f>"10.10.51.202"</f>
        <v>10.10.51.202</v>
      </c>
      <c r="G951" s="1" t="str">
        <f>"0327A061"</f>
        <v>0327A061</v>
      </c>
      <c r="H951" s="1" t="str">
        <f>"외대간 32L18H1L1"</f>
        <v>외대간 32L18H1L1</v>
      </c>
      <c r="I951" s="1" t="s">
        <v>8</v>
      </c>
      <c r="J951" s="1" t="str">
        <f>"56/56"</f>
        <v>56/56</v>
      </c>
      <c r="K951" s="1" t="str">
        <f>"2026-07-29 13:18:03"</f>
        <v>2026-07-29 13:18:03</v>
      </c>
      <c r="L951" s="1" t="str">
        <f>"2019-12-17 15:39:02"</f>
        <v>2019-12-17 15:39:02</v>
      </c>
      <c r="M951" s="1" t="s">
        <v>1</v>
      </c>
      <c r="N951" s="1" t="s">
        <v>38</v>
      </c>
      <c r="O951" s="1" t="s">
        <v>46</v>
      </c>
    </row>
    <row r="952" spans="2:15" x14ac:dyDescent="0.3">
      <c r="B952" s="1" t="s">
        <v>24</v>
      </c>
      <c r="C952" s="1" t="str">
        <f t="shared" si="43"/>
        <v>4차</v>
      </c>
      <c r="D952" s="1" t="str">
        <f>"0327A12344"</f>
        <v>0327A12344</v>
      </c>
      <c r="E952" s="1" t="s">
        <v>10</v>
      </c>
      <c r="F952" s="1" t="str">
        <f>"10.10.109.146"</f>
        <v>10.10.109.146</v>
      </c>
      <c r="G952" s="1" t="str">
        <f>"0327A123"</f>
        <v>0327A123</v>
      </c>
      <c r="H952" s="1" t="str">
        <f>"외대간 17"</f>
        <v>외대간 17</v>
      </c>
      <c r="I952" s="1" t="s">
        <v>8</v>
      </c>
      <c r="J952" s="1" t="str">
        <f>"27/27"</f>
        <v>27/27</v>
      </c>
      <c r="K952" s="1" t="str">
        <f t="shared" ref="K952:K970" si="44">"2026-07-29 13:18:02"</f>
        <v>2026-07-29 13:18:02</v>
      </c>
      <c r="L952" s="1" t="str">
        <f>"2019-11-11 12:03:04"</f>
        <v>2019-11-11 12:03:04</v>
      </c>
      <c r="M952" s="1" t="s">
        <v>1</v>
      </c>
      <c r="N952" s="1" t="s">
        <v>38</v>
      </c>
      <c r="O952" s="1" t="s">
        <v>46</v>
      </c>
    </row>
    <row r="953" spans="2:15" x14ac:dyDescent="0.3">
      <c r="B953" s="1" t="s">
        <v>24</v>
      </c>
      <c r="C953" s="1" t="str">
        <f t="shared" si="43"/>
        <v>4차</v>
      </c>
      <c r="D953" s="1" t="str">
        <f>"0327A14144"</f>
        <v>0327A14144</v>
      </c>
      <c r="E953" s="1" t="s">
        <v>10</v>
      </c>
      <c r="F953" s="1" t="str">
        <f>"10.10.49.74"</f>
        <v>10.10.49.74</v>
      </c>
      <c r="G953" s="1" t="str">
        <f>"0327A141"</f>
        <v>0327A141</v>
      </c>
      <c r="H953" s="1" t="str">
        <f>"외대간 22L2"</f>
        <v>외대간 22L2</v>
      </c>
      <c r="I953" s="1" t="s">
        <v>8</v>
      </c>
      <c r="J953" s="1" t="str">
        <f>"18/22"</f>
        <v>18/22</v>
      </c>
      <c r="K953" s="1" t="str">
        <f t="shared" si="44"/>
        <v>2026-07-29 13:18:02</v>
      </c>
      <c r="L953" s="1" t="str">
        <f>"2019-11-11 10:39:42"</f>
        <v>2019-11-11 10:39:42</v>
      </c>
      <c r="M953" s="1" t="s">
        <v>1</v>
      </c>
      <c r="N953" s="1" t="s">
        <v>38</v>
      </c>
      <c r="O953" s="1" t="s">
        <v>46</v>
      </c>
    </row>
    <row r="954" spans="2:15" x14ac:dyDescent="0.3">
      <c r="B954" s="1" t="s">
        <v>24</v>
      </c>
      <c r="C954" s="1" t="str">
        <f t="shared" si="43"/>
        <v>4차</v>
      </c>
      <c r="D954" s="1" t="str">
        <f>"0327A14244"</f>
        <v>0327A14244</v>
      </c>
      <c r="E954" s="1" t="s">
        <v>10</v>
      </c>
      <c r="F954" s="1" t="str">
        <f>"10.10.46.66"</f>
        <v>10.10.46.66</v>
      </c>
      <c r="G954" s="1" t="str">
        <f>"0327A142"</f>
        <v>0327A142</v>
      </c>
      <c r="H954" s="1" t="str">
        <f>"외대간 24L4L2"</f>
        <v>외대간 24L4L2</v>
      </c>
      <c r="I954" s="1" t="s">
        <v>8</v>
      </c>
      <c r="J954" s="1" t="str">
        <f>"85/86"</f>
        <v>85/86</v>
      </c>
      <c r="K954" s="1" t="str">
        <f t="shared" si="44"/>
        <v>2026-07-29 13:18:02</v>
      </c>
      <c r="L954" s="1" t="str">
        <f>"2019-11-11 10:41:41"</f>
        <v>2019-11-11 10:41:41</v>
      </c>
      <c r="M954" s="1" t="s">
        <v>1</v>
      </c>
      <c r="N954" s="1" t="s">
        <v>38</v>
      </c>
      <c r="O954" s="1" t="s">
        <v>46</v>
      </c>
    </row>
    <row r="955" spans="2:15" x14ac:dyDescent="0.3">
      <c r="B955" s="1" t="s">
        <v>24</v>
      </c>
      <c r="C955" s="1" t="str">
        <f t="shared" si="43"/>
        <v>4차</v>
      </c>
      <c r="D955" s="1" t="str">
        <f>"0327A14344"</f>
        <v>0327A14344</v>
      </c>
      <c r="E955" s="1" t="s">
        <v>10</v>
      </c>
      <c r="F955" s="1" t="str">
        <f>"10.10.49.50"</f>
        <v>10.10.49.50</v>
      </c>
      <c r="G955" s="1" t="str">
        <f>"0327A143"</f>
        <v>0327A143</v>
      </c>
      <c r="H955" s="1" t="str">
        <f>"외대간 21L2"</f>
        <v>외대간 21L2</v>
      </c>
      <c r="I955" s="1" t="s">
        <v>8</v>
      </c>
      <c r="J955" s="1" t="str">
        <f>"37/37"</f>
        <v>37/37</v>
      </c>
      <c r="K955" s="1" t="str">
        <f t="shared" si="44"/>
        <v>2026-07-29 13:18:02</v>
      </c>
      <c r="L955" s="1" t="str">
        <f>"2019-11-11 10:46:26"</f>
        <v>2019-11-11 10:46:26</v>
      </c>
      <c r="M955" s="1" t="s">
        <v>1</v>
      </c>
      <c r="N955" s="1" t="s">
        <v>38</v>
      </c>
      <c r="O955" s="1" t="s">
        <v>46</v>
      </c>
    </row>
    <row r="956" spans="2:15" x14ac:dyDescent="0.3">
      <c r="B956" s="1" t="s">
        <v>24</v>
      </c>
      <c r="C956" s="1" t="str">
        <f t="shared" si="43"/>
        <v>4차</v>
      </c>
      <c r="D956" s="1" t="str">
        <f>"0327A15244"</f>
        <v>0327A15244</v>
      </c>
      <c r="E956" s="1" t="s">
        <v>10</v>
      </c>
      <c r="F956" s="1" t="str">
        <f>"10.10.49.98"</f>
        <v>10.10.49.98</v>
      </c>
      <c r="G956" s="1" t="str">
        <f>"0327A152"</f>
        <v>0327A152</v>
      </c>
      <c r="H956" s="1" t="str">
        <f>"외대간 24L4L1"</f>
        <v>외대간 24L4L1</v>
      </c>
      <c r="I956" s="1" t="s">
        <v>8</v>
      </c>
      <c r="J956" s="1" t="str">
        <f>"89/89"</f>
        <v>89/89</v>
      </c>
      <c r="K956" s="1" t="str">
        <f t="shared" si="44"/>
        <v>2026-07-29 13:18:02</v>
      </c>
      <c r="L956" s="1" t="str">
        <f>"2019-11-11 19:44:43"</f>
        <v>2019-11-11 19:44:43</v>
      </c>
      <c r="M956" s="1" t="s">
        <v>1</v>
      </c>
      <c r="N956" s="1" t="s">
        <v>38</v>
      </c>
      <c r="O956" s="1" t="s">
        <v>46</v>
      </c>
    </row>
    <row r="957" spans="2:15" x14ac:dyDescent="0.3">
      <c r="B957" s="1" t="s">
        <v>24</v>
      </c>
      <c r="C957" s="1" t="str">
        <f t="shared" si="43"/>
        <v>4차</v>
      </c>
      <c r="D957" s="1" t="str">
        <f>"0327A21144"</f>
        <v>0327A21144</v>
      </c>
      <c r="E957" s="1" t="s">
        <v>10</v>
      </c>
      <c r="F957" s="1" t="str">
        <f>"10.10.61.226"</f>
        <v>10.10.61.226</v>
      </c>
      <c r="G957" s="1" t="str">
        <f>"0327A211"</f>
        <v>0327A211</v>
      </c>
      <c r="H957" s="1" t="str">
        <f>"청용간 22R3"</f>
        <v>청용간 22R3</v>
      </c>
      <c r="I957" s="1" t="s">
        <v>8</v>
      </c>
      <c r="J957" s="1" t="str">
        <f>"75/78"</f>
        <v>75/78</v>
      </c>
      <c r="K957" s="1" t="str">
        <f t="shared" si="44"/>
        <v>2026-07-29 13:18:02</v>
      </c>
      <c r="L957" s="1" t="str">
        <f>"2019-11-22 15:43:05"</f>
        <v>2019-11-22 15:43:05</v>
      </c>
      <c r="M957" s="1" t="s">
        <v>1</v>
      </c>
      <c r="N957" s="1" t="s">
        <v>38</v>
      </c>
      <c r="O957" s="1" t="s">
        <v>46</v>
      </c>
    </row>
    <row r="958" spans="2:15" x14ac:dyDescent="0.3">
      <c r="B958" s="1" t="s">
        <v>24</v>
      </c>
      <c r="C958" s="1" t="str">
        <f t="shared" si="43"/>
        <v>4차</v>
      </c>
      <c r="D958" s="1" t="str">
        <f>"0327A23244"</f>
        <v>0327A23244</v>
      </c>
      <c r="E958" s="1" t="s">
        <v>10</v>
      </c>
      <c r="F958" s="1" t="str">
        <f>"10.10.49.42"</f>
        <v>10.10.49.42</v>
      </c>
      <c r="G958" s="1" t="str">
        <f>"0327A232"</f>
        <v>0327A232</v>
      </c>
      <c r="H958" s="1" t="str">
        <f>"외대간 21"</f>
        <v>외대간 21</v>
      </c>
      <c r="I958" s="1" t="s">
        <v>8</v>
      </c>
      <c r="J958" s="1" t="str">
        <f>"13/25"</f>
        <v>13/25</v>
      </c>
      <c r="K958" s="1" t="str">
        <f t="shared" si="44"/>
        <v>2026-07-29 13:18:02</v>
      </c>
      <c r="L958" s="1" t="str">
        <f>"2019-11-11 10:38:36"</f>
        <v>2019-11-11 10:38:36</v>
      </c>
      <c r="M958" s="1" t="s">
        <v>1</v>
      </c>
      <c r="N958" s="1" t="s">
        <v>38</v>
      </c>
      <c r="O958" s="1" t="s">
        <v>46</v>
      </c>
    </row>
    <row r="959" spans="2:15" x14ac:dyDescent="0.3">
      <c r="B959" s="1" t="s">
        <v>24</v>
      </c>
      <c r="C959" s="1" t="str">
        <f t="shared" si="43"/>
        <v>4차</v>
      </c>
      <c r="D959" s="1" t="str">
        <f>"0327A26144"</f>
        <v>0327A26144</v>
      </c>
      <c r="E959" s="1" t="s">
        <v>10</v>
      </c>
      <c r="F959" s="1" t="str">
        <f>"10.10.49.90"</f>
        <v>10.10.49.90</v>
      </c>
      <c r="G959" s="1" t="str">
        <f>"0327A261"</f>
        <v>0327A261</v>
      </c>
      <c r="H959" s="1" t="str">
        <f>"외대간 24L3"</f>
        <v>외대간 24L3</v>
      </c>
      <c r="I959" s="1" t="s">
        <v>8</v>
      </c>
      <c r="J959" s="1" t="str">
        <f>"29/31"</f>
        <v>29/31</v>
      </c>
      <c r="K959" s="1" t="str">
        <f t="shared" si="44"/>
        <v>2026-07-29 13:18:02</v>
      </c>
      <c r="L959" s="1" t="str">
        <f>"2019-11-11 19:46:56"</f>
        <v>2019-11-11 19:46:56</v>
      </c>
      <c r="M959" s="1" t="s">
        <v>1</v>
      </c>
      <c r="N959" s="1" t="s">
        <v>38</v>
      </c>
      <c r="O959" s="1" t="s">
        <v>46</v>
      </c>
    </row>
    <row r="960" spans="2:15" x14ac:dyDescent="0.3">
      <c r="B960" s="1" t="s">
        <v>24</v>
      </c>
      <c r="C960" s="1" t="str">
        <f t="shared" si="43"/>
        <v>4차</v>
      </c>
      <c r="D960" s="1" t="str">
        <f>"0327A32444"</f>
        <v>0327A32444</v>
      </c>
      <c r="E960" s="1" t="s">
        <v>10</v>
      </c>
      <c r="F960" s="1" t="str">
        <f>"10.10.61.210"</f>
        <v>10.10.61.210</v>
      </c>
      <c r="G960" s="1" t="str">
        <f>"0327A324"</f>
        <v>0327A324</v>
      </c>
      <c r="H960" s="1" t="str">
        <f>"청용간 22R7"</f>
        <v>청용간 22R7</v>
      </c>
      <c r="I960" s="1" t="s">
        <v>8</v>
      </c>
      <c r="J960" s="1" t="str">
        <f>"59/59"</f>
        <v>59/59</v>
      </c>
      <c r="K960" s="1" t="str">
        <f t="shared" si="44"/>
        <v>2026-07-29 13:18:02</v>
      </c>
      <c r="L960" s="1" t="str">
        <f>"2019-11-22 16:01:15"</f>
        <v>2019-11-22 16:01:15</v>
      </c>
      <c r="M960" s="1" t="s">
        <v>1</v>
      </c>
      <c r="N960" s="1" t="s">
        <v>38</v>
      </c>
      <c r="O960" s="1" t="s">
        <v>46</v>
      </c>
    </row>
    <row r="961" spans="2:15" x14ac:dyDescent="0.3">
      <c r="B961" s="1" t="s">
        <v>24</v>
      </c>
      <c r="C961" s="1" t="str">
        <f t="shared" si="43"/>
        <v>4차</v>
      </c>
      <c r="D961" s="1" t="str">
        <f>"0327A34344"</f>
        <v>0327A34344</v>
      </c>
      <c r="E961" s="1" t="s">
        <v>10</v>
      </c>
      <c r="F961" s="1" t="str">
        <f>"10.10.117.98"</f>
        <v>10.10.117.98</v>
      </c>
      <c r="G961" s="1" t="str">
        <f>"0327A343"</f>
        <v>0327A343</v>
      </c>
      <c r="H961" s="1" t="str">
        <f>"청용간 32"</f>
        <v>청용간 32</v>
      </c>
      <c r="I961" s="1" t="s">
        <v>8</v>
      </c>
      <c r="J961" s="1" t="str">
        <f>"33/33"</f>
        <v>33/33</v>
      </c>
      <c r="K961" s="1" t="str">
        <f t="shared" si="44"/>
        <v>2026-07-29 13:18:02</v>
      </c>
      <c r="L961" s="1" t="str">
        <f>"2019-11-22 14:53:05"</f>
        <v>2019-11-22 14:53:05</v>
      </c>
      <c r="M961" s="1" t="s">
        <v>1</v>
      </c>
      <c r="N961" s="1" t="s">
        <v>38</v>
      </c>
      <c r="O961" s="1" t="s">
        <v>46</v>
      </c>
    </row>
    <row r="962" spans="2:15" x14ac:dyDescent="0.3">
      <c r="B962" s="1" t="s">
        <v>24</v>
      </c>
      <c r="C962" s="1" t="str">
        <f t="shared" si="43"/>
        <v>4차</v>
      </c>
      <c r="D962" s="1" t="str">
        <f>"0327A35144"</f>
        <v>0327A35144</v>
      </c>
      <c r="E962" s="1" t="s">
        <v>10</v>
      </c>
      <c r="F962" s="1" t="str">
        <f>"10.10.62.250"</f>
        <v>10.10.62.250</v>
      </c>
      <c r="G962" s="1" t="str">
        <f>"0327A351"</f>
        <v>0327A351</v>
      </c>
      <c r="H962" s="1" t="str">
        <f>"청용간 34"</f>
        <v>청용간 34</v>
      </c>
      <c r="I962" s="1" t="s">
        <v>8</v>
      </c>
      <c r="J962" s="1" t="str">
        <f>"46/46"</f>
        <v>46/46</v>
      </c>
      <c r="K962" s="1" t="str">
        <f t="shared" si="44"/>
        <v>2026-07-29 13:18:02</v>
      </c>
      <c r="L962" s="1" t="str">
        <f>"2019-11-22 13:53:04"</f>
        <v>2019-11-22 13:53:04</v>
      </c>
      <c r="M962" s="1" t="s">
        <v>1</v>
      </c>
      <c r="N962" s="1" t="s">
        <v>38</v>
      </c>
      <c r="O962" s="1" t="s">
        <v>46</v>
      </c>
    </row>
    <row r="963" spans="2:15" x14ac:dyDescent="0.3">
      <c r="B963" s="1" t="s">
        <v>24</v>
      </c>
      <c r="C963" s="1" t="str">
        <f t="shared" si="43"/>
        <v>4차</v>
      </c>
      <c r="D963" s="1" t="str">
        <f>"0327A35645"</f>
        <v>0327A35645</v>
      </c>
      <c r="E963" s="1" t="s">
        <v>10</v>
      </c>
      <c r="F963" s="1" t="str">
        <f>"10.12.131.100"</f>
        <v>10.12.131.100</v>
      </c>
      <c r="G963" s="1" t="str">
        <f>"0327A356"</f>
        <v>0327A356</v>
      </c>
      <c r="H963" s="1" t="str">
        <f>"외대간 23T1"</f>
        <v>외대간 23T1</v>
      </c>
      <c r="I963" s="1" t="s">
        <v>17</v>
      </c>
      <c r="J963" s="1" t="str">
        <f>"52/56"</f>
        <v>52/56</v>
      </c>
      <c r="K963" s="1" t="str">
        <f t="shared" si="44"/>
        <v>2026-07-29 13:18:02</v>
      </c>
      <c r="L963" s="1" t="str">
        <f>"2021-06-29 11:22:48"</f>
        <v>2021-06-29 11:22:48</v>
      </c>
      <c r="M963" s="1" t="s">
        <v>0</v>
      </c>
      <c r="N963" s="1" t="s">
        <v>38</v>
      </c>
      <c r="O963" s="1" t="s">
        <v>46</v>
      </c>
    </row>
    <row r="964" spans="2:15" x14ac:dyDescent="0.3">
      <c r="B964" s="1" t="s">
        <v>24</v>
      </c>
      <c r="C964" s="1" t="str">
        <f t="shared" si="43"/>
        <v>4차</v>
      </c>
      <c r="D964" s="1" t="str">
        <f>"0327A43344"</f>
        <v>0327A43344</v>
      </c>
      <c r="E964" s="1" t="s">
        <v>10</v>
      </c>
      <c r="F964" s="1" t="str">
        <f>"10.10.61.186"</f>
        <v>10.10.61.186</v>
      </c>
      <c r="G964" s="1" t="str">
        <f>"0327A433"</f>
        <v>0327A433</v>
      </c>
      <c r="H964" s="1" t="str">
        <f>"청용간 22R8"</f>
        <v>청용간 22R8</v>
      </c>
      <c r="I964" s="1" t="s">
        <v>8</v>
      </c>
      <c r="J964" s="1" t="str">
        <f>"56/56"</f>
        <v>56/56</v>
      </c>
      <c r="K964" s="1" t="str">
        <f t="shared" si="44"/>
        <v>2026-07-29 13:18:02</v>
      </c>
      <c r="L964" s="1" t="str">
        <f>"2019-12-17 15:38:23"</f>
        <v>2019-12-17 15:38:23</v>
      </c>
      <c r="M964" s="1" t="s">
        <v>1</v>
      </c>
      <c r="N964" s="1" t="s">
        <v>38</v>
      </c>
      <c r="O964" s="1" t="s">
        <v>46</v>
      </c>
    </row>
    <row r="965" spans="2:15" x14ac:dyDescent="0.3">
      <c r="B965" s="1" t="s">
        <v>24</v>
      </c>
      <c r="C965" s="1" t="str">
        <f t="shared" si="43"/>
        <v>4차</v>
      </c>
      <c r="D965" s="1" t="str">
        <f>"0327A44144"</f>
        <v>0327A44144</v>
      </c>
      <c r="E965" s="1" t="s">
        <v>10</v>
      </c>
      <c r="F965" s="1" t="str">
        <f>"10.10.61.170"</f>
        <v>10.10.61.170</v>
      </c>
      <c r="G965" s="1" t="str">
        <f>"0327A441"</f>
        <v>0327A441</v>
      </c>
      <c r="H965" s="1" t="str">
        <f>"청용간 32R2"</f>
        <v>청용간 32R2</v>
      </c>
      <c r="I965" s="1" t="s">
        <v>8</v>
      </c>
      <c r="J965" s="1" t="str">
        <f>"75/75"</f>
        <v>75/75</v>
      </c>
      <c r="K965" s="1" t="str">
        <f t="shared" si="44"/>
        <v>2026-07-29 13:18:02</v>
      </c>
      <c r="L965" s="1" t="str">
        <f>"2019-11-22 14:28:15"</f>
        <v>2019-11-22 14:28:15</v>
      </c>
      <c r="M965" s="1" t="s">
        <v>1</v>
      </c>
      <c r="N965" s="1" t="s">
        <v>38</v>
      </c>
      <c r="O965" s="1" t="s">
        <v>46</v>
      </c>
    </row>
    <row r="966" spans="2:15" x14ac:dyDescent="0.3">
      <c r="B966" s="1" t="s">
        <v>24</v>
      </c>
      <c r="C966" s="1" t="str">
        <f t="shared" si="43"/>
        <v>4차</v>
      </c>
      <c r="D966" s="1" t="str">
        <f>"0327A53144"</f>
        <v>0327A53144</v>
      </c>
      <c r="E966" s="1" t="s">
        <v>10</v>
      </c>
      <c r="F966" s="1" t="str">
        <f>"10.10.63.218"</f>
        <v>10.10.63.218</v>
      </c>
      <c r="G966" s="1" t="str">
        <f>"0327A531"</f>
        <v>0327A531</v>
      </c>
      <c r="H966" s="1" t="str">
        <f>"회기간 91"</f>
        <v>회기간 91</v>
      </c>
      <c r="I966" s="1" t="s">
        <v>8</v>
      </c>
      <c r="J966" s="1" t="str">
        <f>"55/55"</f>
        <v>55/55</v>
      </c>
      <c r="K966" s="1" t="str">
        <f t="shared" si="44"/>
        <v>2026-07-29 13:18:02</v>
      </c>
      <c r="L966" s="1" t="str">
        <f>"2019-12-17 15:37:37"</f>
        <v>2019-12-17 15:37:37</v>
      </c>
      <c r="M966" s="1" t="s">
        <v>1</v>
      </c>
      <c r="N966" s="1" t="s">
        <v>38</v>
      </c>
      <c r="O966" s="1" t="s">
        <v>46</v>
      </c>
    </row>
    <row r="967" spans="2:15" x14ac:dyDescent="0.3">
      <c r="B967" s="1" t="s">
        <v>24</v>
      </c>
      <c r="C967" s="1" t="str">
        <f t="shared" si="43"/>
        <v>4차</v>
      </c>
      <c r="D967" s="1" t="str">
        <f>"0327A53244"</f>
        <v>0327A53244</v>
      </c>
      <c r="E967" s="1" t="s">
        <v>10</v>
      </c>
      <c r="F967" s="1" t="str">
        <f>"10.10.63.226"</f>
        <v>10.10.63.226</v>
      </c>
      <c r="G967" s="1" t="str">
        <f>"0327A532"</f>
        <v>0327A532</v>
      </c>
      <c r="H967" s="1" t="str">
        <f>"회기간 92"</f>
        <v>회기간 92</v>
      </c>
      <c r="I967" s="1" t="s">
        <v>8</v>
      </c>
      <c r="J967" s="1" t="str">
        <f>"48/51"</f>
        <v>48/51</v>
      </c>
      <c r="K967" s="1" t="str">
        <f t="shared" si="44"/>
        <v>2026-07-29 13:18:02</v>
      </c>
      <c r="L967" s="1" t="str">
        <f>"2019-12-17 15:41:00"</f>
        <v>2019-12-17 15:41:00</v>
      </c>
      <c r="M967" s="1" t="s">
        <v>1</v>
      </c>
      <c r="N967" s="1" t="s">
        <v>38</v>
      </c>
      <c r="O967" s="1" t="s">
        <v>46</v>
      </c>
    </row>
    <row r="968" spans="2:15" x14ac:dyDescent="0.3">
      <c r="B968" s="1" t="s">
        <v>24</v>
      </c>
      <c r="C968" s="1" t="str">
        <f t="shared" si="43"/>
        <v>4차</v>
      </c>
      <c r="D968" s="1" t="str">
        <f>"0327A54344"</f>
        <v>0327A54344</v>
      </c>
      <c r="E968" s="1" t="s">
        <v>10</v>
      </c>
      <c r="F968" s="1" t="str">
        <f>"10.10.63.234"</f>
        <v>10.10.63.234</v>
      </c>
      <c r="G968" s="1" t="str">
        <f>"0327A543"</f>
        <v>0327A543</v>
      </c>
      <c r="H968" s="1" t="str">
        <f>"회기간 95"</f>
        <v>회기간 95</v>
      </c>
      <c r="I968" s="1" t="s">
        <v>8</v>
      </c>
      <c r="J968" s="1" t="str">
        <f>"43/46"</f>
        <v>43/46</v>
      </c>
      <c r="K968" s="1" t="str">
        <f t="shared" si="44"/>
        <v>2026-07-29 13:18:02</v>
      </c>
      <c r="L968" s="1" t="str">
        <f>"2020-01-10 16:58:50"</f>
        <v>2020-01-10 16:58:50</v>
      </c>
      <c r="M968" s="1" t="s">
        <v>1</v>
      </c>
      <c r="N968" s="1" t="s">
        <v>38</v>
      </c>
      <c r="O968" s="1" t="s">
        <v>46</v>
      </c>
    </row>
    <row r="969" spans="2:15" x14ac:dyDescent="0.3">
      <c r="B969" s="1" t="s">
        <v>24</v>
      </c>
      <c r="C969" s="1" t="str">
        <f t="shared" si="43"/>
        <v>4차</v>
      </c>
      <c r="D969" s="1" t="str">
        <f>"0327A55444"</f>
        <v>0327A55444</v>
      </c>
      <c r="E969" s="1" t="s">
        <v>10</v>
      </c>
      <c r="F969" s="1" t="str">
        <f>"10.10.64.114"</f>
        <v>10.10.64.114</v>
      </c>
      <c r="G969" s="1" t="str">
        <f>"0327A554"</f>
        <v>0327A554</v>
      </c>
      <c r="H969" s="1" t="str">
        <f>"회기간 96"</f>
        <v>회기간 96</v>
      </c>
      <c r="I969" s="1" t="s">
        <v>8</v>
      </c>
      <c r="J969" s="1" t="str">
        <f>"66/66"</f>
        <v>66/66</v>
      </c>
      <c r="K969" s="1" t="str">
        <f t="shared" si="44"/>
        <v>2026-07-29 13:18:02</v>
      </c>
      <c r="L969" s="1" t="str">
        <f>"2019-11-22 13:39:13"</f>
        <v>2019-11-22 13:39:13</v>
      </c>
      <c r="M969" s="1" t="s">
        <v>1</v>
      </c>
      <c r="N969" s="1" t="s">
        <v>38</v>
      </c>
      <c r="O969" s="1" t="s">
        <v>46</v>
      </c>
    </row>
    <row r="970" spans="2:15" x14ac:dyDescent="0.3">
      <c r="B970" s="1" t="s">
        <v>24</v>
      </c>
      <c r="C970" s="1" t="str">
        <f t="shared" si="43"/>
        <v>4차</v>
      </c>
      <c r="D970" s="1" t="str">
        <f>"0327A62144"</f>
        <v>0327A62144</v>
      </c>
      <c r="E970" s="1" t="s">
        <v>10</v>
      </c>
      <c r="F970" s="1" t="str">
        <f>"10.10.63.210"</f>
        <v>10.10.63.210</v>
      </c>
      <c r="G970" s="1" t="str">
        <f>"0327A621"</f>
        <v>0327A621</v>
      </c>
      <c r="H970" s="1" t="str">
        <f>"회기간 89"</f>
        <v>회기간 89</v>
      </c>
      <c r="I970" s="1" t="s">
        <v>8</v>
      </c>
      <c r="J970" s="1" t="str">
        <f>"29/29"</f>
        <v>29/29</v>
      </c>
      <c r="K970" s="1" t="str">
        <f t="shared" si="44"/>
        <v>2026-07-29 13:18:02</v>
      </c>
      <c r="L970" s="1" t="str">
        <f>"2019-12-17 15:37:58"</f>
        <v>2019-12-17 15:37:58</v>
      </c>
      <c r="M970" s="1" t="s">
        <v>1</v>
      </c>
      <c r="N970" s="1" t="s">
        <v>38</v>
      </c>
      <c r="O970" s="1" t="s">
        <v>46</v>
      </c>
    </row>
    <row r="971" spans="2:15" x14ac:dyDescent="0.3">
      <c r="B971" s="1" t="s">
        <v>24</v>
      </c>
      <c r="C971" s="1" t="str">
        <f>"3차"</f>
        <v>3차</v>
      </c>
      <c r="D971" s="1" t="str">
        <f>"0327A64139"</f>
        <v>0327A64139</v>
      </c>
      <c r="E971" s="1" t="s">
        <v>10</v>
      </c>
      <c r="F971" s="1" t="str">
        <f>"10.12.136.240"</f>
        <v>10.12.136.240</v>
      </c>
      <c r="G971" s="1" t="str">
        <f>"0327A641"</f>
        <v>0327A641</v>
      </c>
      <c r="H971" s="1" t="str">
        <f>"회기간 97R3"</f>
        <v>회기간 97R3</v>
      </c>
      <c r="I971" s="1" t="s">
        <v>8</v>
      </c>
      <c r="J971" s="1" t="str">
        <f>"123/123"</f>
        <v>123/123</v>
      </c>
      <c r="K971" s="1" t="str">
        <f>"2026-07-29 13:18:03"</f>
        <v>2026-07-29 13:18:03</v>
      </c>
      <c r="L971" s="1" t="str">
        <f>"2018-09-27 12:43:26"</f>
        <v>2018-09-27 12:43:26</v>
      </c>
      <c r="M971" s="1" t="s">
        <v>0</v>
      </c>
      <c r="N971" s="1" t="s">
        <v>38</v>
      </c>
      <c r="O971" s="1" t="s">
        <v>46</v>
      </c>
    </row>
    <row r="972" spans="2:15" x14ac:dyDescent="0.3">
      <c r="B972" s="1" t="s">
        <v>24</v>
      </c>
      <c r="C972" s="1" t="str">
        <f>"4차"</f>
        <v>4차</v>
      </c>
      <c r="D972" s="1" t="str">
        <f>"0327A71139"</f>
        <v>0327A71139</v>
      </c>
      <c r="E972" s="1" t="s">
        <v>10</v>
      </c>
      <c r="F972" s="1" t="str">
        <f>"10.12.130.34"</f>
        <v>10.12.130.34</v>
      </c>
      <c r="G972" s="1" t="str">
        <f>"0327A711"</f>
        <v>0327A711</v>
      </c>
      <c r="H972" s="1" t="str">
        <f>"회기간 87"</f>
        <v>회기간 87</v>
      </c>
      <c r="I972" s="1" t="s">
        <v>17</v>
      </c>
      <c r="J972" s="1" t="str">
        <f>"73/73"</f>
        <v>73/73</v>
      </c>
      <c r="K972" s="1" t="str">
        <f>"2026-07-29 13:18:04"</f>
        <v>2026-07-29 13:18:04</v>
      </c>
      <c r="L972" s="1" t="str">
        <f>"2020-11-17 11:15:45"</f>
        <v>2020-11-17 11:15:45</v>
      </c>
      <c r="M972" s="1" t="s">
        <v>0</v>
      </c>
      <c r="N972" s="1" t="s">
        <v>38</v>
      </c>
      <c r="O972" s="1" t="s">
        <v>46</v>
      </c>
    </row>
    <row r="973" spans="2:15" x14ac:dyDescent="0.3">
      <c r="B973" s="1" t="s">
        <v>24</v>
      </c>
      <c r="C973" s="1" t="str">
        <f>"4차"</f>
        <v>4차</v>
      </c>
      <c r="D973" s="1" t="str">
        <f>"0327A72144"</f>
        <v>0327A72144</v>
      </c>
      <c r="E973" s="1" t="s">
        <v>10</v>
      </c>
      <c r="F973" s="1" t="str">
        <f>"10.10.63.186"</f>
        <v>10.10.63.186</v>
      </c>
      <c r="G973" s="1" t="str">
        <f>"0327A721"</f>
        <v>0327A721</v>
      </c>
      <c r="H973" s="1" t="str">
        <f>"회기간 88"</f>
        <v>회기간 88</v>
      </c>
      <c r="I973" s="1" t="s">
        <v>8</v>
      </c>
      <c r="J973" s="1" t="str">
        <f>"17/17"</f>
        <v>17/17</v>
      </c>
      <c r="K973" s="1" t="str">
        <f>"2026-07-29 13:18:02"</f>
        <v>2026-07-29 13:18:02</v>
      </c>
      <c r="L973" s="1" t="str">
        <f>"2019-12-17 15:37:38"</f>
        <v>2019-12-17 15:37:38</v>
      </c>
      <c r="M973" s="1" t="s">
        <v>1</v>
      </c>
      <c r="N973" s="1" t="s">
        <v>38</v>
      </c>
      <c r="O973" s="1" t="s">
        <v>46</v>
      </c>
    </row>
    <row r="974" spans="2:15" x14ac:dyDescent="0.3">
      <c r="B974" s="1" t="s">
        <v>24</v>
      </c>
      <c r="C974" s="1" t="str">
        <f>"4차"</f>
        <v>4차</v>
      </c>
      <c r="D974" s="1" t="str">
        <f>"0327A73144"</f>
        <v>0327A73144</v>
      </c>
      <c r="E974" s="1" t="s">
        <v>10</v>
      </c>
      <c r="F974" s="1" t="str">
        <f>"10.10.63.194"</f>
        <v>10.10.63.194</v>
      </c>
      <c r="G974" s="1" t="str">
        <f>"0327A731"</f>
        <v>0327A731</v>
      </c>
      <c r="H974" s="1" t="str">
        <f>"회기간 88R1"</f>
        <v>회기간 88R1</v>
      </c>
      <c r="I974" s="1" t="s">
        <v>8</v>
      </c>
      <c r="J974" s="1" t="str">
        <f>"27/27"</f>
        <v>27/27</v>
      </c>
      <c r="K974" s="1" t="str">
        <f>"2026-07-29 13:18:02"</f>
        <v>2026-07-29 13:18:02</v>
      </c>
      <c r="L974" s="1" t="str">
        <f>"2019-12-17 15:37:36"</f>
        <v>2019-12-17 15:37:36</v>
      </c>
      <c r="M974" s="1" t="s">
        <v>1</v>
      </c>
      <c r="N974" s="1" t="s">
        <v>38</v>
      </c>
      <c r="O974" s="1" t="s">
        <v>46</v>
      </c>
    </row>
    <row r="975" spans="2:15" x14ac:dyDescent="0.3">
      <c r="B975" s="1" t="s">
        <v>24</v>
      </c>
      <c r="C975" s="1" t="str">
        <f>"4차"</f>
        <v>4차</v>
      </c>
      <c r="D975" s="1" t="str">
        <f>"0327A74144"</f>
        <v>0327A74144</v>
      </c>
      <c r="E975" s="1" t="s">
        <v>10</v>
      </c>
      <c r="F975" s="1" t="str">
        <f>"10.10.63.242"</f>
        <v>10.10.63.242</v>
      </c>
      <c r="G975" s="1" t="str">
        <f>"0327A741"</f>
        <v>0327A741</v>
      </c>
      <c r="H975" s="1" t="str">
        <f>"회기간 98R4"</f>
        <v>회기간 98R4</v>
      </c>
      <c r="I975" s="1" t="s">
        <v>8</v>
      </c>
      <c r="J975" s="1" t="str">
        <f>"53/53"</f>
        <v>53/53</v>
      </c>
      <c r="K975" s="1" t="str">
        <f>"2026-07-29 13:18:02"</f>
        <v>2026-07-29 13:18:02</v>
      </c>
      <c r="L975" s="1" t="str">
        <f>"2019-12-17 15:40:16"</f>
        <v>2019-12-17 15:40:16</v>
      </c>
      <c r="M975" s="1" t="s">
        <v>1</v>
      </c>
      <c r="N975" s="1" t="s">
        <v>38</v>
      </c>
      <c r="O975" s="1" t="s">
        <v>46</v>
      </c>
    </row>
    <row r="976" spans="2:15" x14ac:dyDescent="0.3">
      <c r="B976" s="1" t="s">
        <v>24</v>
      </c>
      <c r="C976" s="1" t="str">
        <f>"4차"</f>
        <v>4차</v>
      </c>
      <c r="D976" s="1" t="str">
        <f>"0327A83144"</f>
        <v>0327A83144</v>
      </c>
      <c r="E976" s="1" t="s">
        <v>10</v>
      </c>
      <c r="F976" s="1" t="str">
        <f>"10.10.63.202"</f>
        <v>10.10.63.202</v>
      </c>
      <c r="G976" s="1" t="str">
        <f>"0327A831"</f>
        <v>0327A831</v>
      </c>
      <c r="H976" s="1" t="str">
        <f>"회기간 88R2"</f>
        <v>회기간 88R2</v>
      </c>
      <c r="I976" s="1" t="s">
        <v>8</v>
      </c>
      <c r="J976" s="1" t="str">
        <f>"53/53"</f>
        <v>53/53</v>
      </c>
      <c r="K976" s="1" t="str">
        <f>"2026-07-29 13:18:02"</f>
        <v>2026-07-29 13:18:02</v>
      </c>
      <c r="L976" s="1" t="str">
        <f>"2020-01-10 17:18:09"</f>
        <v>2020-01-10 17:18:09</v>
      </c>
      <c r="M976" s="1" t="s">
        <v>1</v>
      </c>
      <c r="N976" s="1" t="s">
        <v>38</v>
      </c>
      <c r="O976" s="1" t="s">
        <v>46</v>
      </c>
    </row>
    <row r="977" spans="2:15" x14ac:dyDescent="0.3">
      <c r="B977" s="1" t="s">
        <v>24</v>
      </c>
      <c r="C977" s="1" t="str">
        <f>"5-2차"</f>
        <v>5-2차</v>
      </c>
      <c r="D977" s="1" t="str">
        <f>"0327A8535S"</f>
        <v>0327A8535S</v>
      </c>
      <c r="E977" s="1" t="s">
        <v>10</v>
      </c>
      <c r="F977" s="1" t="str">
        <f>"fde3:102:1430:1300:0:0:0:7"</f>
        <v>fde3:102:1430:1300:0:0:0:7</v>
      </c>
      <c r="G977" s="1" t="str">
        <f>"0327A853"</f>
        <v>0327A853</v>
      </c>
      <c r="H977" s="1" t="str">
        <f>"회기간 98R2L1"</f>
        <v>회기간 98R2L1</v>
      </c>
      <c r="I977" s="1" t="s">
        <v>15</v>
      </c>
      <c r="J977" s="1" t="str">
        <f>"44/44"</f>
        <v>44/44</v>
      </c>
      <c r="K977" s="1" t="str">
        <f>"2026-07-29 14:20:29"</f>
        <v>2026-07-29 14:20:29</v>
      </c>
      <c r="L977" s="1" t="str">
        <f>"2023-09-14 06:24:25"</f>
        <v>2023-09-14 06:24:25</v>
      </c>
      <c r="M977" s="1" t="s">
        <v>45</v>
      </c>
      <c r="N977" s="1" t="s">
        <v>38</v>
      </c>
      <c r="O977" s="1" t="s">
        <v>46</v>
      </c>
    </row>
    <row r="978" spans="2:15" x14ac:dyDescent="0.3">
      <c r="B978" s="1" t="s">
        <v>24</v>
      </c>
      <c r="C978" s="1" t="str">
        <f>"4차"</f>
        <v>4차</v>
      </c>
      <c r="D978" s="1" t="str">
        <f>"0327A95339"</f>
        <v>0327A95339</v>
      </c>
      <c r="E978" s="1" t="s">
        <v>10</v>
      </c>
      <c r="F978" s="1" t="str">
        <f>"10.12.136.216"</f>
        <v>10.12.136.216</v>
      </c>
      <c r="G978" s="1" t="str">
        <f>"0327A953"</f>
        <v>0327A953</v>
      </c>
      <c r="H978" s="1" t="str">
        <f>"휘경로 7"</f>
        <v>휘경로 7</v>
      </c>
      <c r="I978" s="1" t="s">
        <v>17</v>
      </c>
      <c r="J978" s="1" t="str">
        <f>"1/6"</f>
        <v>1/6</v>
      </c>
      <c r="K978" s="1" t="str">
        <f>"2026-07-29 13:18:02"</f>
        <v>2026-07-29 13:18:02</v>
      </c>
      <c r="L978" s="1" t="str">
        <f>"2018-10-18 12:30:12"</f>
        <v>2018-10-18 12:30:12</v>
      </c>
      <c r="M978" s="1" t="s">
        <v>0</v>
      </c>
      <c r="N978" s="1" t="s">
        <v>38</v>
      </c>
      <c r="O978" s="1" t="s">
        <v>46</v>
      </c>
    </row>
    <row r="979" spans="2:15" x14ac:dyDescent="0.3">
      <c r="B979" s="1" t="s">
        <v>24</v>
      </c>
      <c r="C979" s="1" t="str">
        <f>"4차"</f>
        <v>4차</v>
      </c>
      <c r="D979" s="1" t="str">
        <f>"0327B05139"</f>
        <v>0327B05139</v>
      </c>
      <c r="E979" s="1" t="s">
        <v>10</v>
      </c>
      <c r="F979" s="1" t="str">
        <f>"10.12.130.120"</f>
        <v>10.12.130.120</v>
      </c>
      <c r="G979" s="1" t="str">
        <f>"0327B051"</f>
        <v>0327B051</v>
      </c>
      <c r="H979" s="1" t="str">
        <f>"휘경로 12"</f>
        <v>휘경로 12</v>
      </c>
      <c r="I979" s="1" t="s">
        <v>17</v>
      </c>
      <c r="J979" s="1" t="str">
        <f>"1/1"</f>
        <v>1/1</v>
      </c>
      <c r="K979" s="1" t="str">
        <f>"2026-07-29 13:18:02"</f>
        <v>2026-07-29 13:18:02</v>
      </c>
      <c r="L979" s="1" t="str">
        <f>"2018-10-18 12:12:10"</f>
        <v>2018-10-18 12:12:10</v>
      </c>
      <c r="M979" s="1" t="s">
        <v>0</v>
      </c>
      <c r="N979" s="1" t="s">
        <v>38</v>
      </c>
      <c r="O979" s="1" t="s">
        <v>46</v>
      </c>
    </row>
    <row r="980" spans="2:15" x14ac:dyDescent="0.3">
      <c r="B980" s="1" t="s">
        <v>24</v>
      </c>
      <c r="C980" s="1" t="str">
        <f>"5-2차"</f>
        <v>5-2차</v>
      </c>
      <c r="D980" s="1" t="str">
        <f>"0327B8925S"</f>
        <v>0327B8925S</v>
      </c>
      <c r="E980" s="1" t="s">
        <v>14</v>
      </c>
      <c r="F980" s="1" t="str">
        <f>"fde1:103:4:58c4:0:0:0:2"</f>
        <v>fde1:103:4:58c4:0:0:0:2</v>
      </c>
      <c r="G980" s="1" t="str">
        <f>"0327B892"</f>
        <v>0327B892</v>
      </c>
      <c r="H980" s="1" t="str">
        <f>"신이문간 45"</f>
        <v>신이문간 45</v>
      </c>
      <c r="I980" s="1" t="s">
        <v>15</v>
      </c>
      <c r="J980" s="1" t="str">
        <f>"0/0"</f>
        <v>0/0</v>
      </c>
      <c r="K980" s="1" t="str">
        <f>"2026-02-25 08:21:00"</f>
        <v>2026-02-25 08:21:00</v>
      </c>
      <c r="L980" s="1" t="str">
        <f>"2023-09-19 14:34:47"</f>
        <v>2023-09-19 14:34:47</v>
      </c>
      <c r="M980" s="1" t="s">
        <v>4</v>
      </c>
      <c r="N980" s="1" t="s">
        <v>38</v>
      </c>
      <c r="O980" s="1" t="s">
        <v>44</v>
      </c>
    </row>
    <row r="981" spans="2:15" x14ac:dyDescent="0.3">
      <c r="B981" s="1" t="s">
        <v>24</v>
      </c>
      <c r="C981" s="1" t="str">
        <f>"5-1차"</f>
        <v>5-1차</v>
      </c>
      <c r="D981" s="1" t="str">
        <f>"0327C1055M"</f>
        <v>0327C1055M</v>
      </c>
      <c r="E981" s="1" t="s">
        <v>10</v>
      </c>
      <c r="F981" s="1" t="str">
        <f>"fde3:102:1430:5100:0:0:0:4"</f>
        <v>fde3:102:1430:5100:0:0:0:4</v>
      </c>
      <c r="G981" s="1" t="str">
        <f>"0327C105"</f>
        <v>0327C105</v>
      </c>
      <c r="H981" s="1" t="str">
        <f>"시립간 28L5"</f>
        <v>시립간 28L5</v>
      </c>
      <c r="I981" s="1" t="s">
        <v>15</v>
      </c>
      <c r="J981" s="1" t="str">
        <f>"50/51"</f>
        <v>50/51</v>
      </c>
      <c r="K981" s="1" t="str">
        <f>"2026-07-29 14:21:13"</f>
        <v>2026-07-29 14:21:13</v>
      </c>
      <c r="L981" s="1" t="str">
        <f>"2022-11-18 10:37:59"</f>
        <v>2022-11-18 10:37:59</v>
      </c>
      <c r="M981" s="1" t="s">
        <v>45</v>
      </c>
      <c r="N981" s="1" t="s">
        <v>38</v>
      </c>
      <c r="O981" s="1" t="s">
        <v>46</v>
      </c>
    </row>
    <row r="982" spans="2:15" x14ac:dyDescent="0.3">
      <c r="B982" s="1" t="s">
        <v>24</v>
      </c>
      <c r="C982" s="1" t="str">
        <f t="shared" ref="C982:C991" si="45">"4차"</f>
        <v>4차</v>
      </c>
      <c r="D982" s="1" t="str">
        <f>"0327C14341"</f>
        <v>0327C14341</v>
      </c>
      <c r="E982" s="1" t="s">
        <v>10</v>
      </c>
      <c r="F982" s="1" t="str">
        <f>"10.14.11.48"</f>
        <v>10.14.11.48</v>
      </c>
      <c r="G982" s="1" t="str">
        <f>"0327C143"</f>
        <v>0327C143</v>
      </c>
      <c r="H982" s="1" t="str">
        <f>"회기간 72L1"</f>
        <v>회기간 72L1</v>
      </c>
      <c r="I982" s="1" t="s">
        <v>17</v>
      </c>
      <c r="J982" s="1" t="str">
        <f>"22/34"</f>
        <v>22/34</v>
      </c>
      <c r="K982" s="1" t="str">
        <f>"2026-07-29 13:18:04"</f>
        <v>2026-07-29 13:18:04</v>
      </c>
      <c r="L982" s="1" t="str">
        <f>"2021-10-18 09:06:27"</f>
        <v>2021-10-18 09:06:27</v>
      </c>
      <c r="M982" s="1" t="s">
        <v>3</v>
      </c>
      <c r="N982" s="1" t="s">
        <v>38</v>
      </c>
      <c r="O982" s="1" t="s">
        <v>46</v>
      </c>
    </row>
    <row r="983" spans="2:15" x14ac:dyDescent="0.3">
      <c r="B983" s="1" t="s">
        <v>24</v>
      </c>
      <c r="C983" s="1" t="str">
        <f t="shared" si="45"/>
        <v>4차</v>
      </c>
      <c r="D983" s="1" t="str">
        <f>"0327C15239"</f>
        <v>0327C15239</v>
      </c>
      <c r="E983" s="1" t="s">
        <v>10</v>
      </c>
      <c r="F983" s="1" t="str">
        <f>"10.12.130.28"</f>
        <v>10.12.130.28</v>
      </c>
      <c r="G983" s="1" t="str">
        <f>"0327C152"</f>
        <v>0327C152</v>
      </c>
      <c r="H983" s="1" t="str">
        <f>"회기간 72L2R1"</f>
        <v>회기간 72L2R1</v>
      </c>
      <c r="I983" s="1" t="s">
        <v>17</v>
      </c>
      <c r="J983" s="1" t="str">
        <f>"30/30"</f>
        <v>30/30</v>
      </c>
      <c r="K983" s="1" t="str">
        <f>"2026-07-29 13:18:03"</f>
        <v>2026-07-29 13:18:03</v>
      </c>
      <c r="L983" s="1" t="str">
        <f>"2020-11-17 08:37:15"</f>
        <v>2020-11-17 08:37:15</v>
      </c>
      <c r="M983" s="1" t="s">
        <v>0</v>
      </c>
      <c r="N983" s="1" t="s">
        <v>38</v>
      </c>
      <c r="O983" s="1" t="s">
        <v>46</v>
      </c>
    </row>
    <row r="984" spans="2:15" x14ac:dyDescent="0.3">
      <c r="B984" s="1" t="s">
        <v>24</v>
      </c>
      <c r="C984" s="1" t="str">
        <f t="shared" si="45"/>
        <v>4차</v>
      </c>
      <c r="D984" s="1" t="str">
        <f>"0327C16139"</f>
        <v>0327C16139</v>
      </c>
      <c r="E984" s="1" t="s">
        <v>10</v>
      </c>
      <c r="F984" s="1" t="str">
        <f>"10.12.136.142"</f>
        <v>10.12.136.142</v>
      </c>
      <c r="G984" s="1" t="str">
        <f>"0327C161"</f>
        <v>0327C161</v>
      </c>
      <c r="H984" s="1" t="str">
        <f>"회기간 72L3R1"</f>
        <v>회기간 72L3R1</v>
      </c>
      <c r="I984" s="1" t="s">
        <v>8</v>
      </c>
      <c r="J984" s="1" t="str">
        <f>"208/208"</f>
        <v>208/208</v>
      </c>
      <c r="K984" s="1" t="str">
        <f>"2026-07-29 13:18:03"</f>
        <v>2026-07-29 13:18:03</v>
      </c>
      <c r="L984" s="1" t="str">
        <f>"2021-07-28 09:34:55"</f>
        <v>2021-07-28 09:34:55</v>
      </c>
      <c r="M984" s="1" t="s">
        <v>0</v>
      </c>
      <c r="N984" s="1" t="s">
        <v>38</v>
      </c>
      <c r="O984" s="1" t="s">
        <v>46</v>
      </c>
    </row>
    <row r="985" spans="2:15" x14ac:dyDescent="0.3">
      <c r="B985" s="1" t="s">
        <v>24</v>
      </c>
      <c r="C985" s="1" t="str">
        <f t="shared" si="45"/>
        <v>4차</v>
      </c>
      <c r="D985" s="1" t="str">
        <f>"0327C16244"</f>
        <v>0327C16244</v>
      </c>
      <c r="E985" s="1" t="s">
        <v>10</v>
      </c>
      <c r="F985" s="1" t="str">
        <f>"10.10.62.194"</f>
        <v>10.10.62.194</v>
      </c>
      <c r="G985" s="1" t="str">
        <f>"0327C162"</f>
        <v>0327C162</v>
      </c>
      <c r="H985" s="1" t="str">
        <f>"회기간 72L3"</f>
        <v>회기간 72L3</v>
      </c>
      <c r="I985" s="1" t="s">
        <v>8</v>
      </c>
      <c r="J985" s="1" t="str">
        <f>"68/68"</f>
        <v>68/68</v>
      </c>
      <c r="K985" s="1" t="str">
        <f>"2026-07-29 13:18:02"</f>
        <v>2026-07-29 13:18:02</v>
      </c>
      <c r="L985" s="1" t="str">
        <f>"2019-11-12 11:16:15"</f>
        <v>2019-11-12 11:16:15</v>
      </c>
      <c r="M985" s="1" t="s">
        <v>1</v>
      </c>
      <c r="N985" s="1" t="s">
        <v>38</v>
      </c>
      <c r="O985" s="1" t="s">
        <v>46</v>
      </c>
    </row>
    <row r="986" spans="2:15" x14ac:dyDescent="0.3">
      <c r="B986" s="1" t="s">
        <v>24</v>
      </c>
      <c r="C986" s="1" t="str">
        <f t="shared" si="45"/>
        <v>4차</v>
      </c>
      <c r="D986" s="1" t="str">
        <f>"0327C17144"</f>
        <v>0327C17144</v>
      </c>
      <c r="E986" s="1" t="s">
        <v>10</v>
      </c>
      <c r="F986" s="1" t="str">
        <f>"10.10.62.162"</f>
        <v>10.10.62.162</v>
      </c>
      <c r="G986" s="1" t="str">
        <f>"0327C171"</f>
        <v>0327C171</v>
      </c>
      <c r="H986" s="1" t="str">
        <f>"회기간 72L6"</f>
        <v>회기간 72L6</v>
      </c>
      <c r="I986" s="1" t="s">
        <v>8</v>
      </c>
      <c r="J986" s="1" t="str">
        <f>"117/123"</f>
        <v>117/123</v>
      </c>
      <c r="K986" s="1" t="str">
        <f>"2026-07-29 13:18:02"</f>
        <v>2026-07-29 13:18:02</v>
      </c>
      <c r="L986" s="1" t="str">
        <f>"2019-11-12 11:21:11"</f>
        <v>2019-11-12 11:21:11</v>
      </c>
      <c r="M986" s="1" t="s">
        <v>1</v>
      </c>
      <c r="N986" s="1" t="s">
        <v>38</v>
      </c>
      <c r="O986" s="1" t="s">
        <v>46</v>
      </c>
    </row>
    <row r="987" spans="2:15" x14ac:dyDescent="0.3">
      <c r="B987" s="1" t="s">
        <v>24</v>
      </c>
      <c r="C987" s="1" t="str">
        <f t="shared" si="45"/>
        <v>4차</v>
      </c>
      <c r="D987" s="1" t="str">
        <f>"0327C17239"</f>
        <v>0327C17239</v>
      </c>
      <c r="E987" s="1" t="s">
        <v>10</v>
      </c>
      <c r="F987" s="1" t="str">
        <f>"10.12.136.239"</f>
        <v>10.12.136.239</v>
      </c>
      <c r="G987" s="1" t="str">
        <f>"0327C172"</f>
        <v>0327C172</v>
      </c>
      <c r="H987" s="1" t="str">
        <f>"회기간 72L5"</f>
        <v>회기간 72L5</v>
      </c>
      <c r="I987" s="1" t="s">
        <v>8</v>
      </c>
      <c r="J987" s="1" t="str">
        <f>"138/156"</f>
        <v>138/156</v>
      </c>
      <c r="K987" s="1" t="str">
        <f>"2026-07-29 13:18:04"</f>
        <v>2026-07-29 13:18:04</v>
      </c>
      <c r="L987" s="1" t="str">
        <f>"2018-09-27 13:57:42"</f>
        <v>2018-09-27 13:57:42</v>
      </c>
      <c r="M987" s="1" t="s">
        <v>0</v>
      </c>
      <c r="N987" s="1" t="s">
        <v>38</v>
      </c>
      <c r="O987" s="1" t="s">
        <v>46</v>
      </c>
    </row>
    <row r="988" spans="2:15" x14ac:dyDescent="0.3">
      <c r="B988" s="1" t="s">
        <v>24</v>
      </c>
      <c r="C988" s="1" t="str">
        <f t="shared" si="45"/>
        <v>4차</v>
      </c>
      <c r="D988" s="1" t="str">
        <f>"0327C17344"</f>
        <v>0327C17344</v>
      </c>
      <c r="E988" s="1" t="s">
        <v>10</v>
      </c>
      <c r="F988" s="1" t="str">
        <f>"10.10.62.178"</f>
        <v>10.10.62.178</v>
      </c>
      <c r="G988" s="1" t="str">
        <f>"0327C173"</f>
        <v>0327C173</v>
      </c>
      <c r="H988" s="1" t="str">
        <f>"회기간 72L4"</f>
        <v>회기간 72L4</v>
      </c>
      <c r="I988" s="1" t="s">
        <v>8</v>
      </c>
      <c r="J988" s="1" t="str">
        <f>"22/22"</f>
        <v>22/22</v>
      </c>
      <c r="K988" s="1" t="str">
        <f>"2026-07-29 13:18:02"</f>
        <v>2026-07-29 13:18:02</v>
      </c>
      <c r="L988" s="1" t="str">
        <f>"2020-01-10 17:18:09"</f>
        <v>2020-01-10 17:18:09</v>
      </c>
      <c r="M988" s="1" t="s">
        <v>1</v>
      </c>
      <c r="N988" s="1" t="s">
        <v>38</v>
      </c>
      <c r="O988" s="1" t="s">
        <v>46</v>
      </c>
    </row>
    <row r="989" spans="2:15" x14ac:dyDescent="0.3">
      <c r="B989" s="1" t="s">
        <v>24</v>
      </c>
      <c r="C989" s="1" t="str">
        <f t="shared" si="45"/>
        <v>4차</v>
      </c>
      <c r="D989" s="1" t="str">
        <f>"0327C27144"</f>
        <v>0327C27144</v>
      </c>
      <c r="E989" s="1" t="s">
        <v>12</v>
      </c>
      <c r="F989" s="1" t="str">
        <f>"10.10.63.34"</f>
        <v>10.10.63.34</v>
      </c>
      <c r="G989" s="1" t="str">
        <f>"0327C271"</f>
        <v>0327C271</v>
      </c>
      <c r="H989" s="1" t="str">
        <f>"회기간 72L7"</f>
        <v>회기간 72L7</v>
      </c>
      <c r="I989" s="1" t="s">
        <v>8</v>
      </c>
      <c r="J989" s="1" t="str">
        <f>"0/58"</f>
        <v>0/58</v>
      </c>
      <c r="K989" s="1" t="str">
        <f>"2026-07-24 13:18:03"</f>
        <v>2026-07-24 13:18:03</v>
      </c>
      <c r="L989" s="1" t="str">
        <f>"2019-11-12 11:16:50"</f>
        <v>2019-11-12 11:16:50</v>
      </c>
      <c r="M989" s="1" t="s">
        <v>1</v>
      </c>
      <c r="N989" s="1" t="s">
        <v>38</v>
      </c>
      <c r="O989" s="1" t="s">
        <v>46</v>
      </c>
    </row>
    <row r="990" spans="2:15" x14ac:dyDescent="0.3">
      <c r="B990" s="1" t="s">
        <v>24</v>
      </c>
      <c r="C990" s="1" t="str">
        <f t="shared" si="45"/>
        <v>4차</v>
      </c>
      <c r="D990" s="1" t="str">
        <f>"0327C28244"</f>
        <v>0327C28244</v>
      </c>
      <c r="E990" s="1" t="s">
        <v>10</v>
      </c>
      <c r="F990" s="1" t="str">
        <f>"10.10.62.226"</f>
        <v>10.10.62.226</v>
      </c>
      <c r="G990" s="1" t="str">
        <f>"0327C282"</f>
        <v>0327C282</v>
      </c>
      <c r="H990" s="1" t="str">
        <f>"회기간 72L13"</f>
        <v>회기간 72L13</v>
      </c>
      <c r="I990" s="1" t="s">
        <v>8</v>
      </c>
      <c r="J990" s="1" t="str">
        <f>"79/79"</f>
        <v>79/79</v>
      </c>
      <c r="K990" s="1" t="str">
        <f>"2026-07-29 13:18:03"</f>
        <v>2026-07-29 13:18:03</v>
      </c>
      <c r="L990" s="1" t="str">
        <f>"2019-11-11 11:53:04"</f>
        <v>2019-11-11 11:53:04</v>
      </c>
      <c r="M990" s="1" t="s">
        <v>1</v>
      </c>
      <c r="N990" s="1" t="s">
        <v>38</v>
      </c>
      <c r="O990" s="1" t="s">
        <v>46</v>
      </c>
    </row>
    <row r="991" spans="2:15" x14ac:dyDescent="0.3">
      <c r="B991" s="1" t="s">
        <v>24</v>
      </c>
      <c r="C991" s="1" t="str">
        <f t="shared" si="45"/>
        <v>4차</v>
      </c>
      <c r="D991" s="1" t="str">
        <f>"0327C28544"</f>
        <v>0327C28544</v>
      </c>
      <c r="E991" s="1" t="s">
        <v>10</v>
      </c>
      <c r="F991" s="1" t="str">
        <f>"10.10.62.234"</f>
        <v>10.10.62.234</v>
      </c>
      <c r="G991" s="1" t="str">
        <f>"0327C285"</f>
        <v>0327C285</v>
      </c>
      <c r="H991" s="1" t="str">
        <f>"회기간 72L12"</f>
        <v>회기간 72L12</v>
      </c>
      <c r="I991" s="1" t="s">
        <v>8</v>
      </c>
      <c r="J991" s="1" t="str">
        <f>"64/66"</f>
        <v>64/66</v>
      </c>
      <c r="K991" s="1" t="str">
        <f>"2026-07-29 13:18:02"</f>
        <v>2026-07-29 13:18:02</v>
      </c>
      <c r="L991" s="1" t="str">
        <f>"2019-11-11 11:41:27"</f>
        <v>2019-11-11 11:41:27</v>
      </c>
      <c r="M991" s="1" t="s">
        <v>1</v>
      </c>
      <c r="N991" s="1" t="s">
        <v>38</v>
      </c>
      <c r="O991" s="1" t="s">
        <v>46</v>
      </c>
    </row>
    <row r="992" spans="2:15" x14ac:dyDescent="0.3">
      <c r="B992" s="1" t="s">
        <v>24</v>
      </c>
      <c r="C992" s="1" t="str">
        <f>"5-2차"</f>
        <v>5-2차</v>
      </c>
      <c r="D992" s="1" t="str">
        <f>"0327C3015M"</f>
        <v>0327C3015M</v>
      </c>
      <c r="E992" s="1" t="s">
        <v>10</v>
      </c>
      <c r="F992" s="1" t="str">
        <f>"fde3:102:1430:5100:0:0:0:26"</f>
        <v>fde3:102:1430:5100:0:0:0:26</v>
      </c>
      <c r="G992" s="1" t="str">
        <f>"0327C301"</f>
        <v>0327C301</v>
      </c>
      <c r="H992" s="1" t="str">
        <f>"시립간 28L2"</f>
        <v>시립간 28L2</v>
      </c>
      <c r="I992" s="1" t="s">
        <v>15</v>
      </c>
      <c r="J992" s="1" t="str">
        <f>"65/65"</f>
        <v>65/65</v>
      </c>
      <c r="K992" s="1" t="str">
        <f>"2026-07-29 14:20:29"</f>
        <v>2026-07-29 14:20:29</v>
      </c>
      <c r="L992" s="1" t="str">
        <f>"2023-09-12 09:28:33"</f>
        <v>2023-09-12 09:28:33</v>
      </c>
      <c r="M992" s="1" t="s">
        <v>45</v>
      </c>
      <c r="N992" s="1" t="s">
        <v>38</v>
      </c>
      <c r="O992" s="1" t="s">
        <v>46</v>
      </c>
    </row>
    <row r="993" spans="2:15" x14ac:dyDescent="0.3">
      <c r="B993" s="1" t="s">
        <v>24</v>
      </c>
      <c r="C993" s="1" t="str">
        <f>"4차"</f>
        <v>4차</v>
      </c>
      <c r="D993" s="1" t="str">
        <f>"0327C37144"</f>
        <v>0327C37144</v>
      </c>
      <c r="E993" s="1" t="s">
        <v>10</v>
      </c>
      <c r="F993" s="1" t="str">
        <f>"10.10.63.98"</f>
        <v>10.10.63.98</v>
      </c>
      <c r="G993" s="1" t="str">
        <f>"0327C371"</f>
        <v>0327C371</v>
      </c>
      <c r="H993" s="1" t="str">
        <f>"회기간 72L9"</f>
        <v>회기간 72L9</v>
      </c>
      <c r="I993" s="1" t="s">
        <v>8</v>
      </c>
      <c r="J993" s="1" t="str">
        <f>"66/66"</f>
        <v>66/66</v>
      </c>
      <c r="K993" s="1" t="str">
        <f>"2026-07-29 13:18:03"</f>
        <v>2026-07-29 13:18:03</v>
      </c>
      <c r="L993" s="1" t="str">
        <f>"2019-11-12 11:17:40"</f>
        <v>2019-11-12 11:17:40</v>
      </c>
      <c r="M993" s="1" t="s">
        <v>1</v>
      </c>
      <c r="N993" s="1" t="s">
        <v>38</v>
      </c>
      <c r="O993" s="1" t="s">
        <v>46</v>
      </c>
    </row>
    <row r="994" spans="2:15" x14ac:dyDescent="0.3">
      <c r="B994" s="1" t="s">
        <v>24</v>
      </c>
      <c r="C994" s="1" t="str">
        <f>"4차"</f>
        <v>4차</v>
      </c>
      <c r="D994" s="1" t="str">
        <f>"0327C38144"</f>
        <v>0327C38144</v>
      </c>
      <c r="E994" s="1" t="s">
        <v>10</v>
      </c>
      <c r="F994" s="1" t="str">
        <f>"10.10.63.66"</f>
        <v>10.10.63.66</v>
      </c>
      <c r="G994" s="1" t="str">
        <f>"0327C381"</f>
        <v>0327C381</v>
      </c>
      <c r="H994" s="1" t="str">
        <f>"회기간 72L11"</f>
        <v>회기간 72L11</v>
      </c>
      <c r="I994" s="1" t="s">
        <v>8</v>
      </c>
      <c r="J994" s="1" t="str">
        <f>"73/73"</f>
        <v>73/73</v>
      </c>
      <c r="K994" s="1" t="str">
        <f>"2026-07-29 13:18:03"</f>
        <v>2026-07-29 13:18:03</v>
      </c>
      <c r="L994" s="1" t="str">
        <f>"2019-11-11 11:49:26"</f>
        <v>2019-11-11 11:49:26</v>
      </c>
      <c r="M994" s="1" t="s">
        <v>1</v>
      </c>
      <c r="N994" s="1" t="s">
        <v>38</v>
      </c>
      <c r="O994" s="1" t="s">
        <v>46</v>
      </c>
    </row>
    <row r="995" spans="2:15" x14ac:dyDescent="0.3">
      <c r="B995" s="1" t="s">
        <v>24</v>
      </c>
      <c r="C995" s="1" t="str">
        <f>"4차"</f>
        <v>4차</v>
      </c>
      <c r="D995" s="1" t="str">
        <f>"0327C38344"</f>
        <v>0327C38344</v>
      </c>
      <c r="E995" s="1" t="s">
        <v>12</v>
      </c>
      <c r="F995" s="1" t="str">
        <f>"10.10.63.82"</f>
        <v>10.10.63.82</v>
      </c>
      <c r="G995" s="1" t="str">
        <f>"0327C383"</f>
        <v>0327C383</v>
      </c>
      <c r="H995" s="1" t="str">
        <f>"회기간 72L10"</f>
        <v>회기간 72L10</v>
      </c>
      <c r="I995" s="1" t="s">
        <v>8</v>
      </c>
      <c r="J995" s="1" t="str">
        <f>"0/77"</f>
        <v>0/77</v>
      </c>
      <c r="K995" s="1" t="str">
        <f>"2026-07-23 07:18:03"</f>
        <v>2026-07-23 07:18:03</v>
      </c>
      <c r="L995" s="1" t="str">
        <f>"2021-07-28 16:38:18"</f>
        <v>2021-07-28 16:38:18</v>
      </c>
      <c r="M995" s="1" t="s">
        <v>1</v>
      </c>
      <c r="N995" s="1" t="s">
        <v>38</v>
      </c>
      <c r="O995" s="1" t="s">
        <v>46</v>
      </c>
    </row>
    <row r="996" spans="2:15" x14ac:dyDescent="0.3">
      <c r="B996" s="1" t="s">
        <v>24</v>
      </c>
      <c r="C996" s="1" t="str">
        <f>"5-2차"</f>
        <v>5-2차</v>
      </c>
      <c r="D996" s="1" t="str">
        <f>"0327C4115M"</f>
        <v>0327C4115M</v>
      </c>
      <c r="E996" s="1" t="s">
        <v>10</v>
      </c>
      <c r="F996" s="1" t="str">
        <f>"fde1:103:4:5820:0:0:0:2"</f>
        <v>fde1:103:4:5820:0:0:0:2</v>
      </c>
      <c r="G996" s="1" t="str">
        <f>"0327C411"</f>
        <v>0327C411</v>
      </c>
      <c r="H996" s="1" t="str">
        <f>"시립간 28L2L2H1"</f>
        <v>시립간 28L2L2H1</v>
      </c>
      <c r="I996" s="1" t="s">
        <v>15</v>
      </c>
      <c r="J996" s="1" t="str">
        <f>"73/74"</f>
        <v>73/74</v>
      </c>
      <c r="K996" s="1" t="str">
        <f>"2026-07-29 08:20:14"</f>
        <v>2026-07-29 08:20:14</v>
      </c>
      <c r="L996" s="1" t="str">
        <f>"2023-09-14 09:29:50"</f>
        <v>2023-09-14 09:29:50</v>
      </c>
      <c r="M996" s="1" t="s">
        <v>4</v>
      </c>
      <c r="N996" s="1" t="s">
        <v>38</v>
      </c>
      <c r="O996" s="1" t="s">
        <v>46</v>
      </c>
    </row>
    <row r="997" spans="2:15" x14ac:dyDescent="0.3">
      <c r="B997" s="1" t="s">
        <v>24</v>
      </c>
      <c r="C997" s="1" t="str">
        <f>"5-1차"</f>
        <v>5-1차</v>
      </c>
      <c r="D997" s="1" t="str">
        <f>"0327C4125M"</f>
        <v>0327C4125M</v>
      </c>
      <c r="E997" s="1" t="s">
        <v>10</v>
      </c>
      <c r="F997" s="1" t="str">
        <f>"fde2:104:0:149:0:0:0:2"</f>
        <v>fde2:104:0:149:0:0:0:2</v>
      </c>
      <c r="G997" s="1" t="str">
        <f>"0327C412"</f>
        <v>0327C412</v>
      </c>
      <c r="H997" s="1" t="str">
        <f>"시립간 28L2L2"</f>
        <v>시립간 28L2L2</v>
      </c>
      <c r="I997" s="1" t="s">
        <v>15</v>
      </c>
      <c r="J997" s="1" t="str">
        <f>"92/93"</f>
        <v>92/93</v>
      </c>
      <c r="K997" s="1" t="str">
        <f>"2026-07-29 14:20:16"</f>
        <v>2026-07-29 14:20:16</v>
      </c>
      <c r="L997" s="1" t="str">
        <f>"2022-10-17 08:10:23"</f>
        <v>2022-10-17 08:10:23</v>
      </c>
      <c r="M997" s="1" t="s">
        <v>42</v>
      </c>
      <c r="N997" s="1" t="s">
        <v>38</v>
      </c>
      <c r="O997" s="1" t="s">
        <v>46</v>
      </c>
    </row>
    <row r="998" spans="2:15" x14ac:dyDescent="0.3">
      <c r="B998" s="1" t="s">
        <v>24</v>
      </c>
      <c r="C998" s="1" t="str">
        <f>"5-2차"</f>
        <v>5-2차</v>
      </c>
      <c r="D998" s="1" t="str">
        <f>"0327C4615M"</f>
        <v>0327C4615M</v>
      </c>
      <c r="E998" s="1" t="s">
        <v>10</v>
      </c>
      <c r="F998" s="1" t="str">
        <f>"fde1:103:4:59b2:0:0:0:2"</f>
        <v>fde1:103:4:59b2:0:0:0:2</v>
      </c>
      <c r="G998" s="1" t="str">
        <f>"0327C461"</f>
        <v>0327C461</v>
      </c>
      <c r="H998" s="1" t="str">
        <f>"회기간 78"</f>
        <v>회기간 78</v>
      </c>
      <c r="I998" s="1" t="s">
        <v>15</v>
      </c>
      <c r="J998" s="1" t="str">
        <f>"38/38"</f>
        <v>38/38</v>
      </c>
      <c r="K998" s="1" t="str">
        <f>"2026-07-29 14:20:30"</f>
        <v>2026-07-29 14:20:30</v>
      </c>
      <c r="L998" s="1" t="str">
        <f>"2023-09-14 09:30:59"</f>
        <v>2023-09-14 09:30:59</v>
      </c>
      <c r="M998" s="1" t="s">
        <v>4</v>
      </c>
      <c r="N998" s="1" t="s">
        <v>38</v>
      </c>
      <c r="O998" s="1" t="s">
        <v>46</v>
      </c>
    </row>
    <row r="999" spans="2:15" x14ac:dyDescent="0.3">
      <c r="B999" s="1" t="s">
        <v>24</v>
      </c>
      <c r="C999" s="1" t="s">
        <v>16</v>
      </c>
      <c r="D999" s="1" t="str">
        <f>"0327C47144"</f>
        <v>0327C47144</v>
      </c>
      <c r="E999" s="1" t="s">
        <v>10</v>
      </c>
      <c r="F999" s="1" t="str">
        <f>"10.10.63.178"</f>
        <v>10.10.63.178</v>
      </c>
      <c r="G999" s="1" t="str">
        <f>"0327C471"</f>
        <v>0327C471</v>
      </c>
      <c r="H999" s="1" t="str">
        <f>"회기간 80L1"</f>
        <v>회기간 80L1</v>
      </c>
      <c r="I999" s="1" t="s">
        <v>8</v>
      </c>
      <c r="J999" s="1" t="str">
        <f>"53/57"</f>
        <v>53/57</v>
      </c>
      <c r="K999" s="1" t="str">
        <f>"2026-07-29 13:18:02"</f>
        <v>2026-07-29 13:18:02</v>
      </c>
      <c r="L999" s="1" t="str">
        <f>"2024-04-03 17:05:27"</f>
        <v>2024-04-03 17:05:27</v>
      </c>
      <c r="M999" s="1" t="s">
        <v>1</v>
      </c>
      <c r="N999" s="1" t="s">
        <v>38</v>
      </c>
      <c r="O999" s="1" t="s">
        <v>46</v>
      </c>
    </row>
    <row r="1000" spans="2:15" x14ac:dyDescent="0.3">
      <c r="B1000" s="1" t="s">
        <v>24</v>
      </c>
      <c r="C1000" s="1" t="str">
        <f>"4차"</f>
        <v>4차</v>
      </c>
      <c r="D1000" s="1" t="str">
        <f>"0327C49144"</f>
        <v>0327C49144</v>
      </c>
      <c r="E1000" s="1" t="s">
        <v>10</v>
      </c>
      <c r="F1000" s="1" t="str">
        <f>"10.10.64.10"</f>
        <v>10.10.64.10</v>
      </c>
      <c r="G1000" s="1" t="str">
        <f>"0327C491"</f>
        <v>0327C491</v>
      </c>
      <c r="H1000" s="1" t="str">
        <f>"회기간 82L3"</f>
        <v>회기간 82L3</v>
      </c>
      <c r="I1000" s="1" t="s">
        <v>8</v>
      </c>
      <c r="J1000" s="1" t="str">
        <f>"106/106"</f>
        <v>106/106</v>
      </c>
      <c r="K1000" s="1" t="str">
        <f>"2026-07-29 13:18:02"</f>
        <v>2026-07-29 13:18:02</v>
      </c>
      <c r="L1000" s="1" t="str">
        <f>"2019-11-11 11:43:55"</f>
        <v>2019-11-11 11:43:55</v>
      </c>
      <c r="M1000" s="1" t="s">
        <v>1</v>
      </c>
      <c r="N1000" s="1" t="s">
        <v>38</v>
      </c>
      <c r="O1000" s="1" t="s">
        <v>46</v>
      </c>
    </row>
    <row r="1001" spans="2:15" x14ac:dyDescent="0.3">
      <c r="B1001" s="1" t="s">
        <v>24</v>
      </c>
      <c r="C1001" s="1" t="str">
        <f>"5-2차"</f>
        <v>5-2차</v>
      </c>
      <c r="D1001" s="1" t="str">
        <f>"0327C5255M"</f>
        <v>0327C5255M</v>
      </c>
      <c r="E1001" s="1" t="s">
        <v>10</v>
      </c>
      <c r="F1001" s="1" t="str">
        <f>"fde3:102:1430:5100:0:0:0:5"</f>
        <v>fde3:102:1430:5100:0:0:0:5</v>
      </c>
      <c r="G1001" s="1" t="str">
        <f>"0327C525"</f>
        <v>0327C525</v>
      </c>
      <c r="H1001" s="1" t="str">
        <f>"시립간 18L3R2"</f>
        <v>시립간 18L3R2</v>
      </c>
      <c r="I1001" s="1" t="s">
        <v>15</v>
      </c>
      <c r="J1001" s="1" t="str">
        <f>"38/38"</f>
        <v>38/38</v>
      </c>
      <c r="K1001" s="1" t="str">
        <f>"2026-07-29 14:20:37"</f>
        <v>2026-07-29 14:20:37</v>
      </c>
      <c r="L1001" s="1" t="str">
        <f>"2023-09-12 09:03:56"</f>
        <v>2023-09-12 09:03:56</v>
      </c>
      <c r="M1001" s="1" t="s">
        <v>45</v>
      </c>
      <c r="N1001" s="1" t="s">
        <v>38</v>
      </c>
      <c r="O1001" s="1" t="s">
        <v>46</v>
      </c>
    </row>
    <row r="1002" spans="2:15" x14ac:dyDescent="0.3">
      <c r="B1002" s="1" t="s">
        <v>24</v>
      </c>
      <c r="C1002" s="1" t="str">
        <f>"4차"</f>
        <v>4차</v>
      </c>
      <c r="D1002" s="1" t="str">
        <f>"0327C55241"</f>
        <v>0327C55241</v>
      </c>
      <c r="E1002" s="1" t="s">
        <v>10</v>
      </c>
      <c r="F1002" s="1" t="str">
        <f>"10.14.7.181"</f>
        <v>10.14.7.181</v>
      </c>
      <c r="G1002" s="1" t="str">
        <f>"0327C552"</f>
        <v>0327C552</v>
      </c>
      <c r="H1002" s="1" t="str">
        <f>"회기간 25R7R2"</f>
        <v>회기간 25R7R2</v>
      </c>
      <c r="I1002" s="1" t="s">
        <v>17</v>
      </c>
      <c r="J1002" s="1" t="str">
        <f>"42/42"</f>
        <v>42/42</v>
      </c>
      <c r="K1002" s="1" t="str">
        <f>"2026-07-29 13:18:03"</f>
        <v>2026-07-29 13:18:03</v>
      </c>
      <c r="L1002" s="1" t="str">
        <f>"2021-10-18 08:11:49"</f>
        <v>2021-10-18 08:11:49</v>
      </c>
      <c r="M1002" s="1" t="s">
        <v>3</v>
      </c>
      <c r="N1002" s="1" t="s">
        <v>38</v>
      </c>
      <c r="O1002" s="1" t="s">
        <v>46</v>
      </c>
    </row>
    <row r="1003" spans="2:15" x14ac:dyDescent="0.3">
      <c r="B1003" s="1" t="s">
        <v>24</v>
      </c>
      <c r="C1003" s="1" t="str">
        <f t="shared" ref="C1003:C1013" si="46">"5-2차"</f>
        <v>5-2차</v>
      </c>
      <c r="D1003" s="1" t="str">
        <f>"0327C6015M"</f>
        <v>0327C6015M</v>
      </c>
      <c r="E1003" s="1" t="s">
        <v>10</v>
      </c>
      <c r="F1003" s="1" t="str">
        <f>"fde3:102:1430:5100:0:0:0:9"</f>
        <v>fde3:102:1430:5100:0:0:0:9</v>
      </c>
      <c r="G1003" s="1" t="str">
        <f>"0327C601"</f>
        <v>0327C601</v>
      </c>
      <c r="H1003" s="1" t="str">
        <f>"시립간 18L5"</f>
        <v>시립간 18L5</v>
      </c>
      <c r="I1003" s="1" t="s">
        <v>15</v>
      </c>
      <c r="J1003" s="1" t="str">
        <f>"139/139"</f>
        <v>139/139</v>
      </c>
      <c r="K1003" s="1" t="str">
        <f>"2026-07-29 14:20:29"</f>
        <v>2026-07-29 14:20:29</v>
      </c>
      <c r="L1003" s="1" t="str">
        <f>"2023-10-20 08:49:56"</f>
        <v>2023-10-20 08:49:56</v>
      </c>
      <c r="M1003" s="1" t="s">
        <v>45</v>
      </c>
      <c r="N1003" s="1" t="s">
        <v>38</v>
      </c>
      <c r="O1003" s="1" t="s">
        <v>46</v>
      </c>
    </row>
    <row r="1004" spans="2:15" x14ac:dyDescent="0.3">
      <c r="B1004" s="1" t="s">
        <v>24</v>
      </c>
      <c r="C1004" s="1" t="str">
        <f t="shared" si="46"/>
        <v>5-2차</v>
      </c>
      <c r="D1004" s="1" t="str">
        <f>"0327C6115M"</f>
        <v>0327C6115M</v>
      </c>
      <c r="E1004" s="1" t="s">
        <v>10</v>
      </c>
      <c r="F1004" s="1" t="str">
        <f>"fde3:102:1430:5100:0:0:0:6"</f>
        <v>fde3:102:1430:5100:0:0:0:6</v>
      </c>
      <c r="G1004" s="1" t="str">
        <f>"0327C611"</f>
        <v>0327C611</v>
      </c>
      <c r="H1004" s="1" t="str">
        <f>"시립간 18L4"</f>
        <v>시립간 18L4</v>
      </c>
      <c r="I1004" s="1" t="s">
        <v>15</v>
      </c>
      <c r="J1004" s="1" t="str">
        <f>"118/119"</f>
        <v>118/119</v>
      </c>
      <c r="K1004" s="1" t="str">
        <f>"2026-07-29 14:20:35"</f>
        <v>2026-07-29 14:20:35</v>
      </c>
      <c r="L1004" s="1" t="str">
        <f>"2023-10-20 08:17:06"</f>
        <v>2023-10-20 08:17:06</v>
      </c>
      <c r="M1004" s="1" t="s">
        <v>45</v>
      </c>
      <c r="N1004" s="1" t="s">
        <v>38</v>
      </c>
      <c r="O1004" s="1" t="s">
        <v>46</v>
      </c>
    </row>
    <row r="1005" spans="2:15" x14ac:dyDescent="0.3">
      <c r="B1005" s="1" t="s">
        <v>24</v>
      </c>
      <c r="C1005" s="1" t="str">
        <f t="shared" si="46"/>
        <v>5-2차</v>
      </c>
      <c r="D1005" s="1" t="str">
        <f>"0327C7345M"</f>
        <v>0327C7345M</v>
      </c>
      <c r="E1005" s="1" t="s">
        <v>10</v>
      </c>
      <c r="F1005" s="1" t="str">
        <f>"fde1:103:4:597e:0:0:0:2"</f>
        <v>fde1:103:4:597e:0:0:0:2</v>
      </c>
      <c r="G1005" s="1" t="str">
        <f>"0327C734"</f>
        <v>0327C734</v>
      </c>
      <c r="H1005" s="1" t="str">
        <f>"시립간 18L1"</f>
        <v>시립간 18L1</v>
      </c>
      <c r="I1005" s="1" t="s">
        <v>15</v>
      </c>
      <c r="J1005" s="1" t="str">
        <f>"42/43"</f>
        <v>42/43</v>
      </c>
      <c r="K1005" s="1" t="str">
        <f>"2026-07-29 14:20:24"</f>
        <v>2026-07-29 14:20:24</v>
      </c>
      <c r="L1005" s="1" t="str">
        <f>"2023-09-14 09:43:25"</f>
        <v>2023-09-14 09:43:25</v>
      </c>
      <c r="M1005" s="1" t="s">
        <v>4</v>
      </c>
      <c r="N1005" s="1" t="s">
        <v>38</v>
      </c>
      <c r="O1005" s="1" t="s">
        <v>46</v>
      </c>
    </row>
    <row r="1006" spans="2:15" x14ac:dyDescent="0.3">
      <c r="B1006" s="1" t="s">
        <v>24</v>
      </c>
      <c r="C1006" s="1" t="str">
        <f t="shared" si="46"/>
        <v>5-2차</v>
      </c>
      <c r="D1006" s="1" t="str">
        <f>"0327C8225M"</f>
        <v>0327C8225M</v>
      </c>
      <c r="E1006" s="1" t="s">
        <v>10</v>
      </c>
      <c r="F1006" s="1" t="str">
        <f>"fde3:102:1430:5100:0:0:0:7"</f>
        <v>fde3:102:1430:5100:0:0:0:7</v>
      </c>
      <c r="G1006" s="1" t="str">
        <f>"0327C822"</f>
        <v>0327C822</v>
      </c>
      <c r="H1006" s="1" t="str">
        <f>"시립간 17L2R1"</f>
        <v>시립간 17L2R1</v>
      </c>
      <c r="I1006" s="1" t="s">
        <v>15</v>
      </c>
      <c r="J1006" s="1" t="str">
        <f>"150/150"</f>
        <v>150/150</v>
      </c>
      <c r="K1006" s="1" t="str">
        <f>"2026-07-29 14:20:30"</f>
        <v>2026-07-29 14:20:30</v>
      </c>
      <c r="L1006" s="1" t="str">
        <f>"2023-10-20 07:45:03"</f>
        <v>2023-10-20 07:45:03</v>
      </c>
      <c r="M1006" s="1" t="s">
        <v>45</v>
      </c>
      <c r="N1006" s="1" t="s">
        <v>38</v>
      </c>
      <c r="O1006" s="1" t="s">
        <v>46</v>
      </c>
    </row>
    <row r="1007" spans="2:15" x14ac:dyDescent="0.3">
      <c r="B1007" s="1" t="s">
        <v>24</v>
      </c>
      <c r="C1007" s="1" t="str">
        <f t="shared" si="46"/>
        <v>5-2차</v>
      </c>
      <c r="D1007" s="1" t="str">
        <f>"0327C9025S"</f>
        <v>0327C9025S</v>
      </c>
      <c r="E1007" s="1" t="s">
        <v>10</v>
      </c>
      <c r="F1007" s="1" t="str">
        <f>"fde3:102:1430:5100:0:0:0:12"</f>
        <v>fde3:102:1430:5100:0:0:0:12</v>
      </c>
      <c r="G1007" s="1" t="str">
        <f>"0327C902"</f>
        <v>0327C902</v>
      </c>
      <c r="H1007" s="1" t="str">
        <f>"시립간 18L8L6"</f>
        <v>시립간 18L8L6</v>
      </c>
      <c r="I1007" s="1" t="s">
        <v>15</v>
      </c>
      <c r="J1007" s="1" t="str">
        <f>"73/73"</f>
        <v>73/73</v>
      </c>
      <c r="K1007" s="1" t="str">
        <f>"2026-07-29 14:20:35"</f>
        <v>2026-07-29 14:20:35</v>
      </c>
      <c r="L1007" s="1" t="str">
        <f>"2023-09-12 08:27:26"</f>
        <v>2023-09-12 08:27:26</v>
      </c>
      <c r="M1007" s="1" t="s">
        <v>45</v>
      </c>
      <c r="N1007" s="1" t="s">
        <v>38</v>
      </c>
      <c r="O1007" s="1" t="s">
        <v>46</v>
      </c>
    </row>
    <row r="1008" spans="2:15" x14ac:dyDescent="0.3">
      <c r="B1008" s="1" t="s">
        <v>24</v>
      </c>
      <c r="C1008" s="1" t="str">
        <f t="shared" si="46"/>
        <v>5-2차</v>
      </c>
      <c r="D1008" s="1" t="str">
        <f>"0327D0325M"</f>
        <v>0327D0325M</v>
      </c>
      <c r="E1008" s="1" t="s">
        <v>10</v>
      </c>
      <c r="F1008" s="1" t="str">
        <f>"fde1:103:4:5875:0:0:0:2"</f>
        <v>fde1:103:4:5875:0:0:0:2</v>
      </c>
      <c r="G1008" s="1" t="str">
        <f>"0327D032"</f>
        <v>0327D032</v>
      </c>
      <c r="H1008" s="1" t="str">
        <f>"시립간 12L1R4"</f>
        <v>시립간 12L1R4</v>
      </c>
      <c r="I1008" s="1" t="s">
        <v>15</v>
      </c>
      <c r="J1008" s="1" t="str">
        <f>"65/77"</f>
        <v>65/77</v>
      </c>
      <c r="K1008" s="1" t="str">
        <f>"2026-07-29 14:20:31"</f>
        <v>2026-07-29 14:20:31</v>
      </c>
      <c r="L1008" s="1" t="str">
        <f>"2023-09-14 09:44:18"</f>
        <v>2023-09-14 09:44:18</v>
      </c>
      <c r="M1008" s="1" t="s">
        <v>4</v>
      </c>
      <c r="N1008" s="1" t="s">
        <v>38</v>
      </c>
      <c r="O1008" s="1" t="s">
        <v>46</v>
      </c>
    </row>
    <row r="1009" spans="2:15" x14ac:dyDescent="0.3">
      <c r="B1009" s="1" t="s">
        <v>24</v>
      </c>
      <c r="C1009" s="1" t="str">
        <f t="shared" si="46"/>
        <v>5-2차</v>
      </c>
      <c r="D1009" s="1" t="str">
        <f>"0327D0515M"</f>
        <v>0327D0515M</v>
      </c>
      <c r="E1009" s="1" t="s">
        <v>10</v>
      </c>
      <c r="F1009" s="1" t="str">
        <f>"fde1:103:4:59a3:0:0:0:2"</f>
        <v>fde1:103:4:59a3:0:0:0:2</v>
      </c>
      <c r="G1009" s="1" t="str">
        <f>"0327D051"</f>
        <v>0327D051</v>
      </c>
      <c r="H1009" s="1" t="str">
        <f>"회기간 21H1"</f>
        <v>회기간 21H1</v>
      </c>
      <c r="I1009" s="1" t="s">
        <v>15</v>
      </c>
      <c r="J1009" s="1" t="str">
        <f>"43/45"</f>
        <v>43/45</v>
      </c>
      <c r="K1009" s="1" t="str">
        <f>"2026-07-29 14:20:55"</f>
        <v>2026-07-29 14:20:55</v>
      </c>
      <c r="L1009" s="1" t="str">
        <f>"2023-09-14 09:46:02"</f>
        <v>2023-09-14 09:46:02</v>
      </c>
      <c r="M1009" s="1" t="s">
        <v>4</v>
      </c>
      <c r="N1009" s="1" t="s">
        <v>38</v>
      </c>
      <c r="O1009" s="1" t="s">
        <v>46</v>
      </c>
    </row>
    <row r="1010" spans="2:15" x14ac:dyDescent="0.3">
      <c r="B1010" s="1" t="s">
        <v>24</v>
      </c>
      <c r="C1010" s="1" t="str">
        <f t="shared" si="46"/>
        <v>5-2차</v>
      </c>
      <c r="D1010" s="1" t="str">
        <f>"0327D2415M"</f>
        <v>0327D2415M</v>
      </c>
      <c r="E1010" s="1" t="s">
        <v>10</v>
      </c>
      <c r="F1010" s="1" t="str">
        <f>"fde1:103:4:5a67:0:0:0:2"</f>
        <v>fde1:103:4:5a67:0:0:0:2</v>
      </c>
      <c r="G1010" s="1" t="str">
        <f>"0327D241"</f>
        <v>0327D241</v>
      </c>
      <c r="H1010" s="1" t="str">
        <f>"시립간 12L1R1"</f>
        <v>시립간 12L1R1</v>
      </c>
      <c r="I1010" s="1" t="s">
        <v>15</v>
      </c>
      <c r="J1010" s="1" t="str">
        <f>"158/158"</f>
        <v>158/158</v>
      </c>
      <c r="K1010" s="1" t="str">
        <f>"2026-07-29 14:20:54"</f>
        <v>2026-07-29 14:20:54</v>
      </c>
      <c r="L1010" s="1" t="str">
        <f>"2023-09-14 10:22:52"</f>
        <v>2023-09-14 10:22:52</v>
      </c>
      <c r="M1010" s="1" t="s">
        <v>4</v>
      </c>
      <c r="N1010" s="1" t="s">
        <v>38</v>
      </c>
      <c r="O1010" s="1" t="s">
        <v>46</v>
      </c>
    </row>
    <row r="1011" spans="2:15" x14ac:dyDescent="0.3">
      <c r="B1011" s="1" t="s">
        <v>24</v>
      </c>
      <c r="C1011" s="1" t="str">
        <f t="shared" si="46"/>
        <v>5-2차</v>
      </c>
      <c r="D1011" s="1" t="str">
        <f>"0327D3415M"</f>
        <v>0327D3415M</v>
      </c>
      <c r="E1011" s="1" t="s">
        <v>10</v>
      </c>
      <c r="F1011" s="1" t="str">
        <f>"fde3:102:1430:5100:0:0:0:8"</f>
        <v>fde3:102:1430:5100:0:0:0:8</v>
      </c>
      <c r="G1011" s="1" t="str">
        <f>"0327D341"</f>
        <v>0327D341</v>
      </c>
      <c r="H1011" s="1" t="str">
        <f>"시립간 12L1"</f>
        <v>시립간 12L1</v>
      </c>
      <c r="I1011" s="1" t="s">
        <v>15</v>
      </c>
      <c r="J1011" s="1" t="str">
        <f>"64/64"</f>
        <v>64/64</v>
      </c>
      <c r="K1011" s="1" t="str">
        <f>"2026-07-29 14:20:53"</f>
        <v>2026-07-29 14:20:53</v>
      </c>
      <c r="L1011" s="1" t="str">
        <f>"2023-10-05 17:08:25"</f>
        <v>2023-10-05 17:08:25</v>
      </c>
      <c r="M1011" s="1" t="s">
        <v>45</v>
      </c>
      <c r="N1011" s="1" t="s">
        <v>38</v>
      </c>
      <c r="O1011" s="1" t="s">
        <v>46</v>
      </c>
    </row>
    <row r="1012" spans="2:15" x14ac:dyDescent="0.3">
      <c r="B1012" s="1" t="s">
        <v>24</v>
      </c>
      <c r="C1012" s="1" t="str">
        <f t="shared" si="46"/>
        <v>5-2차</v>
      </c>
      <c r="D1012" s="1" t="str">
        <f>"0327D5535M"</f>
        <v>0327D5535M</v>
      </c>
      <c r="E1012" s="1" t="s">
        <v>10</v>
      </c>
      <c r="F1012" s="1" t="str">
        <f>"fde1:103:4:5979:0:0:0:2"</f>
        <v>fde1:103:4:5979:0:0:0:2</v>
      </c>
      <c r="G1012" s="1" t="str">
        <f>"0327D553"</f>
        <v>0327D553</v>
      </c>
      <c r="H1012" s="1" t="str">
        <f>"시립간 12L1L4"</f>
        <v>시립간 12L1L4</v>
      </c>
      <c r="I1012" s="1" t="s">
        <v>15</v>
      </c>
      <c r="J1012" s="1" t="str">
        <f>"81/81"</f>
        <v>81/81</v>
      </c>
      <c r="K1012" s="1" t="str">
        <f>"2026-07-29 14:20:55"</f>
        <v>2026-07-29 14:20:55</v>
      </c>
      <c r="L1012" s="1" t="str">
        <f>"2023-09-14 10:24:40"</f>
        <v>2023-09-14 10:24:40</v>
      </c>
      <c r="M1012" s="1" t="s">
        <v>4</v>
      </c>
      <c r="N1012" s="1" t="s">
        <v>38</v>
      </c>
      <c r="O1012" s="1" t="s">
        <v>46</v>
      </c>
    </row>
    <row r="1013" spans="2:15" x14ac:dyDescent="0.3">
      <c r="B1013" s="1" t="s">
        <v>24</v>
      </c>
      <c r="C1013" s="1" t="str">
        <f t="shared" si="46"/>
        <v>5-2차</v>
      </c>
      <c r="D1013" s="1" t="str">
        <f>"0327D5725M"</f>
        <v>0327D5725M</v>
      </c>
      <c r="E1013" s="1" t="s">
        <v>10</v>
      </c>
      <c r="F1013" s="1" t="str">
        <f>"fde1:103:4:59af:0:0:0:2"</f>
        <v>fde1:103:4:59af:0:0:0:2</v>
      </c>
      <c r="G1013" s="1" t="str">
        <f>"0327D572"</f>
        <v>0327D572</v>
      </c>
      <c r="H1013" s="1" t="str">
        <f>"회기간 10"</f>
        <v>회기간 10</v>
      </c>
      <c r="I1013" s="1" t="s">
        <v>15</v>
      </c>
      <c r="J1013" s="1" t="str">
        <f>"11/12"</f>
        <v>11/12</v>
      </c>
      <c r="K1013" s="1" t="str">
        <f>"2026-07-29 14:20:31"</f>
        <v>2026-07-29 14:20:31</v>
      </c>
      <c r="L1013" s="1" t="str">
        <f>"2023-09-14 10:48:23"</f>
        <v>2023-09-14 10:48:23</v>
      </c>
      <c r="M1013" s="1" t="s">
        <v>4</v>
      </c>
      <c r="N1013" s="1" t="s">
        <v>38</v>
      </c>
      <c r="O1013" s="1" t="s">
        <v>46</v>
      </c>
    </row>
    <row r="1014" spans="2:15" x14ac:dyDescent="0.3">
      <c r="B1014" s="1" t="s">
        <v>24</v>
      </c>
      <c r="C1014" s="1" t="str">
        <f>"5-1차"</f>
        <v>5-1차</v>
      </c>
      <c r="D1014" s="1" t="str">
        <f>"0327D7745M"</f>
        <v>0327D7745M</v>
      </c>
      <c r="E1014" s="1" t="s">
        <v>10</v>
      </c>
      <c r="F1014" s="1" t="str">
        <f>"fde3:102:1430:5100:0:0:0:2"</f>
        <v>fde3:102:1430:5100:0:0:0:2</v>
      </c>
      <c r="G1014" s="1" t="str">
        <f>"0327D774"</f>
        <v>0327D774</v>
      </c>
      <c r="H1014" s="1" t="str">
        <f>"회기간 7R1"</f>
        <v>회기간 7R1</v>
      </c>
      <c r="I1014" s="1" t="s">
        <v>15</v>
      </c>
      <c r="J1014" s="1" t="str">
        <f>"32/32"</f>
        <v>32/32</v>
      </c>
      <c r="K1014" s="1" t="str">
        <f>"2026-07-29 14:21:03"</f>
        <v>2026-07-29 14:21:03</v>
      </c>
      <c r="L1014" s="1" t="str">
        <f>"2022-11-18 12:04:42"</f>
        <v>2022-11-18 12:04:42</v>
      </c>
      <c r="M1014" s="1" t="s">
        <v>45</v>
      </c>
      <c r="N1014" s="1" t="s">
        <v>38</v>
      </c>
      <c r="O1014" s="1" t="s">
        <v>46</v>
      </c>
    </row>
    <row r="1015" spans="2:15" x14ac:dyDescent="0.3">
      <c r="B1015" s="1" t="s">
        <v>24</v>
      </c>
      <c r="C1015" s="1" t="str">
        <f>"4차"</f>
        <v>4차</v>
      </c>
      <c r="D1015" s="1" t="str">
        <f>"0327E35244"</f>
        <v>0327E35244</v>
      </c>
      <c r="E1015" s="1" t="s">
        <v>10</v>
      </c>
      <c r="F1015" s="1" t="str">
        <f>"10.10.61.74"</f>
        <v>10.10.61.74</v>
      </c>
      <c r="G1015" s="1" t="str">
        <f>"0327E352"</f>
        <v>0327E352</v>
      </c>
      <c r="H1015" s="1" t="str">
        <f>"동이간 17L5"</f>
        <v>동이간 17L5</v>
      </c>
      <c r="I1015" s="1" t="s">
        <v>8</v>
      </c>
      <c r="J1015" s="1" t="str">
        <f>"16/17"</f>
        <v>16/17</v>
      </c>
      <c r="K1015" s="1" t="str">
        <f>"2026-07-29 13:18:02"</f>
        <v>2026-07-29 13:18:02</v>
      </c>
      <c r="L1015" s="1" t="str">
        <f>"2019-10-07 09:35:12"</f>
        <v>2019-10-07 09:35:12</v>
      </c>
      <c r="M1015" s="1" t="s">
        <v>1</v>
      </c>
      <c r="N1015" s="1" t="s">
        <v>38</v>
      </c>
      <c r="O1015" s="1" t="s">
        <v>46</v>
      </c>
    </row>
    <row r="1016" spans="2:15" x14ac:dyDescent="0.3">
      <c r="B1016" s="1" t="s">
        <v>24</v>
      </c>
      <c r="C1016" s="1" t="str">
        <f>"4차"</f>
        <v>4차</v>
      </c>
      <c r="D1016" s="1" t="str">
        <f>"0327E36144"</f>
        <v>0327E36144</v>
      </c>
      <c r="E1016" s="1" t="s">
        <v>10</v>
      </c>
      <c r="F1016" s="1" t="str">
        <f>"10.10.116.26"</f>
        <v>10.10.116.26</v>
      </c>
      <c r="G1016" s="1" t="str">
        <f>"0327E361"</f>
        <v>0327E361</v>
      </c>
      <c r="H1016" s="1" t="str">
        <f>"동이간 17L3"</f>
        <v>동이간 17L3</v>
      </c>
      <c r="I1016" s="1" t="s">
        <v>8</v>
      </c>
      <c r="J1016" s="1" t="str">
        <f>"6/6"</f>
        <v>6/6</v>
      </c>
      <c r="K1016" s="1" t="str">
        <f>"2026-07-29 13:18:02"</f>
        <v>2026-07-29 13:18:02</v>
      </c>
      <c r="L1016" s="1" t="str">
        <f>"2019-12-17 15:37:38"</f>
        <v>2019-12-17 15:37:38</v>
      </c>
      <c r="M1016" s="1" t="s">
        <v>1</v>
      </c>
      <c r="N1016" s="1" t="s">
        <v>38</v>
      </c>
      <c r="O1016" s="1" t="s">
        <v>46</v>
      </c>
    </row>
    <row r="1017" spans="2:15" x14ac:dyDescent="0.3">
      <c r="B1017" s="1" t="s">
        <v>24</v>
      </c>
      <c r="C1017" s="1" t="str">
        <f>"4차"</f>
        <v>4차</v>
      </c>
      <c r="D1017" s="1" t="str">
        <f>"0327E37244"</f>
        <v>0327E37244</v>
      </c>
      <c r="E1017" s="1" t="str">
        <f>"검침실패(3시간 이상)"</f>
        <v>검침실패(3시간 이상)</v>
      </c>
      <c r="F1017" s="1" t="str">
        <f>"10.10.60.90"</f>
        <v>10.10.60.90</v>
      </c>
      <c r="G1017" s="1" t="str">
        <f>"0327E372"</f>
        <v>0327E372</v>
      </c>
      <c r="H1017" s="1" t="str">
        <f>"동이간 17L3R2"</f>
        <v>동이간 17L3R2</v>
      </c>
      <c r="I1017" s="1" t="s">
        <v>8</v>
      </c>
      <c r="J1017" s="1" t="str">
        <f>"0/59"</f>
        <v>0/59</v>
      </c>
      <c r="K1017" s="1" t="str">
        <f>"2026-07-29 13:18:01"</f>
        <v>2026-07-29 13:18:01</v>
      </c>
      <c r="L1017" s="1" t="str">
        <f>"2019-10-07 09:35:44"</f>
        <v>2019-10-07 09:35:44</v>
      </c>
      <c r="M1017" s="1" t="s">
        <v>1</v>
      </c>
      <c r="N1017" s="1" t="s">
        <v>38</v>
      </c>
      <c r="O1017" s="1" t="s">
        <v>46</v>
      </c>
    </row>
    <row r="1018" spans="2:15" x14ac:dyDescent="0.3">
      <c r="B1018" s="1" t="s">
        <v>24</v>
      </c>
      <c r="C1018" s="1" t="str">
        <f>"4차"</f>
        <v>4차</v>
      </c>
      <c r="D1018" s="1" t="str">
        <f>"0327E38144"</f>
        <v>0327E38144</v>
      </c>
      <c r="E1018" s="1" t="s">
        <v>10</v>
      </c>
      <c r="F1018" s="1" t="str">
        <f>"10.10.61.82"</f>
        <v>10.10.61.82</v>
      </c>
      <c r="G1018" s="1" t="str">
        <f>"0327E381"</f>
        <v>0327E381</v>
      </c>
      <c r="H1018" s="1" t="str">
        <f>"동이간 17L3R3"</f>
        <v>동이간 17L3R3</v>
      </c>
      <c r="I1018" s="1" t="s">
        <v>8</v>
      </c>
      <c r="J1018" s="1" t="str">
        <f>"51/51"</f>
        <v>51/51</v>
      </c>
      <c r="K1018" s="1" t="str">
        <f>"2026-07-29 13:18:03"</f>
        <v>2026-07-29 13:18:03</v>
      </c>
      <c r="L1018" s="1" t="str">
        <f>"2019-10-30 14:48:00"</f>
        <v>2019-10-30 14:48:00</v>
      </c>
      <c r="M1018" s="1" t="s">
        <v>1</v>
      </c>
      <c r="N1018" s="1" t="s">
        <v>38</v>
      </c>
      <c r="O1018" s="1" t="s">
        <v>46</v>
      </c>
    </row>
    <row r="1019" spans="2:15" x14ac:dyDescent="0.3">
      <c r="B1019" s="1" t="s">
        <v>24</v>
      </c>
      <c r="C1019" s="1" t="str">
        <f>"4차"</f>
        <v>4차</v>
      </c>
      <c r="D1019" s="1" t="str">
        <f>"0327E43144"</f>
        <v>0327E43144</v>
      </c>
      <c r="E1019" s="1" t="s">
        <v>10</v>
      </c>
      <c r="F1019" s="1" t="str">
        <f>"10.10.60.114"</f>
        <v>10.10.60.114</v>
      </c>
      <c r="G1019" s="1" t="str">
        <f>"0327E431"</f>
        <v>0327E431</v>
      </c>
      <c r="H1019" s="1" t="str">
        <f>"동이간 17L7"</f>
        <v>동이간 17L7</v>
      </c>
      <c r="I1019" s="1" t="s">
        <v>8</v>
      </c>
      <c r="J1019" s="1" t="str">
        <f>"36/36"</f>
        <v>36/36</v>
      </c>
      <c r="K1019" s="1" t="str">
        <f>"2026-07-29 13:18:01"</f>
        <v>2026-07-29 13:18:01</v>
      </c>
      <c r="L1019" s="1" t="str">
        <f>"2021-07-27 17:01:41"</f>
        <v>2021-07-27 17:01:41</v>
      </c>
      <c r="M1019" s="1" t="s">
        <v>1</v>
      </c>
      <c r="N1019" s="1" t="s">
        <v>38</v>
      </c>
      <c r="O1019" s="1" t="s">
        <v>46</v>
      </c>
    </row>
    <row r="1020" spans="2:15" x14ac:dyDescent="0.3">
      <c r="B1020" s="1" t="s">
        <v>24</v>
      </c>
      <c r="C1020" s="1" t="str">
        <f>"5-1차"</f>
        <v>5-1차</v>
      </c>
      <c r="D1020" s="1" t="str">
        <f>"0327E4535S"</f>
        <v>0327E4535S</v>
      </c>
      <c r="E1020" s="1" t="s">
        <v>10</v>
      </c>
      <c r="F1020" s="1" t="str">
        <f>"fde2:104:0:195:0:0:0:2"</f>
        <v>fde2:104:0:195:0:0:0:2</v>
      </c>
      <c r="G1020" s="1" t="str">
        <f>"0327E453"</f>
        <v>0327E453</v>
      </c>
      <c r="H1020" s="1" t="str">
        <f>"동이간 17L5L2"</f>
        <v>동이간 17L5L2</v>
      </c>
      <c r="I1020" s="1" t="s">
        <v>15</v>
      </c>
      <c r="J1020" s="1" t="str">
        <f>"90/90"</f>
        <v>90/90</v>
      </c>
      <c r="K1020" s="1" t="str">
        <f>"2026-07-29 14:20:31"</f>
        <v>2026-07-29 14:20:31</v>
      </c>
      <c r="L1020" s="1" t="str">
        <f>"2022-11-16 17:36:09"</f>
        <v>2022-11-16 17:36:09</v>
      </c>
      <c r="M1020" s="1" t="s">
        <v>42</v>
      </c>
      <c r="N1020" s="1" t="s">
        <v>38</v>
      </c>
      <c r="O1020" s="1" t="s">
        <v>46</v>
      </c>
    </row>
    <row r="1021" spans="2:15" x14ac:dyDescent="0.3">
      <c r="B1021" s="1" t="s">
        <v>24</v>
      </c>
      <c r="C1021" s="1" t="str">
        <f t="shared" ref="C1021:C1032" si="47">"4차"</f>
        <v>4차</v>
      </c>
      <c r="D1021" s="1" t="str">
        <f>"0327E46144"</f>
        <v>0327E46144</v>
      </c>
      <c r="E1021" s="1" t="s">
        <v>10</v>
      </c>
      <c r="F1021" s="1" t="str">
        <f>"10.10.60.106"</f>
        <v>10.10.60.106</v>
      </c>
      <c r="G1021" s="1" t="str">
        <f>"0327E461"</f>
        <v>0327E461</v>
      </c>
      <c r="H1021" s="1" t="str">
        <f>"동이간 17L2"</f>
        <v>동이간 17L2</v>
      </c>
      <c r="I1021" s="1" t="s">
        <v>8</v>
      </c>
      <c r="J1021" s="1" t="str">
        <f>"22/22"</f>
        <v>22/22</v>
      </c>
      <c r="K1021" s="1" t="str">
        <f>"2026-07-29 13:18:01"</f>
        <v>2026-07-29 13:18:01</v>
      </c>
      <c r="L1021" s="1" t="str">
        <f>"2019-10-07 09:31:57"</f>
        <v>2019-10-07 09:31:57</v>
      </c>
      <c r="M1021" s="1" t="s">
        <v>1</v>
      </c>
      <c r="N1021" s="1" t="s">
        <v>38</v>
      </c>
      <c r="O1021" s="1" t="s">
        <v>46</v>
      </c>
    </row>
    <row r="1022" spans="2:15" x14ac:dyDescent="0.3">
      <c r="B1022" s="1" t="s">
        <v>24</v>
      </c>
      <c r="C1022" s="1" t="str">
        <f t="shared" si="47"/>
        <v>4차</v>
      </c>
      <c r="D1022" s="1" t="str">
        <f>"0327E52244"</f>
        <v>0327E52244</v>
      </c>
      <c r="E1022" s="1" t="s">
        <v>10</v>
      </c>
      <c r="F1022" s="1" t="str">
        <f>"10.10.60.130"</f>
        <v>10.10.60.130</v>
      </c>
      <c r="G1022" s="1" t="str">
        <f>"0327E522"</f>
        <v>0327E522</v>
      </c>
      <c r="H1022" s="1" t="str">
        <f>"동이간 17L10"</f>
        <v>동이간 17L10</v>
      </c>
      <c r="I1022" s="1" t="s">
        <v>8</v>
      </c>
      <c r="J1022" s="1" t="str">
        <f>"22/22"</f>
        <v>22/22</v>
      </c>
      <c r="K1022" s="1" t="str">
        <f t="shared" ref="K1022:K1027" si="48">"2026-07-29 13:18:03"</f>
        <v>2026-07-29 13:18:03</v>
      </c>
      <c r="L1022" s="1" t="str">
        <f>"2019-10-30 17:33:04"</f>
        <v>2019-10-30 17:33:04</v>
      </c>
      <c r="M1022" s="1" t="s">
        <v>1</v>
      </c>
      <c r="N1022" s="1" t="s">
        <v>38</v>
      </c>
      <c r="O1022" s="1" t="s">
        <v>46</v>
      </c>
    </row>
    <row r="1023" spans="2:15" x14ac:dyDescent="0.3">
      <c r="B1023" s="1" t="s">
        <v>24</v>
      </c>
      <c r="C1023" s="1" t="str">
        <f t="shared" si="47"/>
        <v>4차</v>
      </c>
      <c r="D1023" s="1" t="str">
        <f>"0327E54144"</f>
        <v>0327E54144</v>
      </c>
      <c r="E1023" s="1" t="s">
        <v>10</v>
      </c>
      <c r="F1023" s="1" t="str">
        <f>"10.10.61.66"</f>
        <v>10.10.61.66</v>
      </c>
      <c r="G1023" s="1" t="str">
        <f>"0327E541"</f>
        <v>0327E541</v>
      </c>
      <c r="H1023" s="1" t="str">
        <f>"동이간 17L5L4"</f>
        <v>동이간 17L5L4</v>
      </c>
      <c r="I1023" s="1" t="s">
        <v>8</v>
      </c>
      <c r="J1023" s="1" t="str">
        <f>"23/23"</f>
        <v>23/23</v>
      </c>
      <c r="K1023" s="1" t="str">
        <f t="shared" si="48"/>
        <v>2026-07-29 13:18:03</v>
      </c>
      <c r="L1023" s="1" t="str">
        <f>"2019-10-07 09:42:57"</f>
        <v>2019-10-07 09:42:57</v>
      </c>
      <c r="M1023" s="1" t="s">
        <v>1</v>
      </c>
      <c r="N1023" s="1" t="s">
        <v>38</v>
      </c>
      <c r="O1023" s="1" t="s">
        <v>46</v>
      </c>
    </row>
    <row r="1024" spans="2:15" x14ac:dyDescent="0.3">
      <c r="B1024" s="1" t="s">
        <v>24</v>
      </c>
      <c r="C1024" s="1" t="str">
        <f t="shared" si="47"/>
        <v>4차</v>
      </c>
      <c r="D1024" s="1" t="str">
        <f>"0327E56244"</f>
        <v>0327E56244</v>
      </c>
      <c r="E1024" s="1" t="s">
        <v>10</v>
      </c>
      <c r="F1024" s="1" t="str">
        <f>"10.10.60.146"</f>
        <v>10.10.60.146</v>
      </c>
      <c r="G1024" s="1" t="str">
        <f>"0327E562"</f>
        <v>0327E562</v>
      </c>
      <c r="H1024" s="1" t="str">
        <f>"동이간 17L1"</f>
        <v>동이간 17L1</v>
      </c>
      <c r="I1024" s="1" t="s">
        <v>8</v>
      </c>
      <c r="J1024" s="1" t="str">
        <f>"30/40"</f>
        <v>30/40</v>
      </c>
      <c r="K1024" s="1" t="str">
        <f t="shared" si="48"/>
        <v>2026-07-29 13:18:03</v>
      </c>
      <c r="L1024" s="1" t="str">
        <f>"2019-10-07 09:33:58"</f>
        <v>2019-10-07 09:33:58</v>
      </c>
      <c r="M1024" s="1" t="s">
        <v>1</v>
      </c>
      <c r="N1024" s="1" t="s">
        <v>38</v>
      </c>
      <c r="O1024" s="1" t="s">
        <v>46</v>
      </c>
    </row>
    <row r="1025" spans="2:15" x14ac:dyDescent="0.3">
      <c r="B1025" s="1" t="s">
        <v>24</v>
      </c>
      <c r="C1025" s="1" t="str">
        <f t="shared" si="47"/>
        <v>4차</v>
      </c>
      <c r="D1025" s="1" t="str">
        <f>"0327E58244"</f>
        <v>0327E58244</v>
      </c>
      <c r="E1025" s="1" t="s">
        <v>10</v>
      </c>
      <c r="F1025" s="1" t="str">
        <f>"10.10.62.26"</f>
        <v>10.10.62.26</v>
      </c>
      <c r="G1025" s="1" t="str">
        <f>"0327E582"</f>
        <v>0327E582</v>
      </c>
      <c r="H1025" s="1" t="str">
        <f>"동이간 20"</f>
        <v>동이간 20</v>
      </c>
      <c r="I1025" s="1" t="s">
        <v>8</v>
      </c>
      <c r="J1025" s="1" t="str">
        <f>"34/34"</f>
        <v>34/34</v>
      </c>
      <c r="K1025" s="1" t="str">
        <f t="shared" si="48"/>
        <v>2026-07-29 13:18:03</v>
      </c>
      <c r="L1025" s="1" t="str">
        <f>"2019-10-07 09:43:04"</f>
        <v>2019-10-07 09:43:04</v>
      </c>
      <c r="M1025" s="1" t="s">
        <v>1</v>
      </c>
      <c r="N1025" s="1" t="s">
        <v>38</v>
      </c>
      <c r="O1025" s="1" t="s">
        <v>46</v>
      </c>
    </row>
    <row r="1026" spans="2:15" x14ac:dyDescent="0.3">
      <c r="B1026" s="1" t="s">
        <v>24</v>
      </c>
      <c r="C1026" s="1" t="str">
        <f t="shared" si="47"/>
        <v>4차</v>
      </c>
      <c r="D1026" s="1" t="str">
        <f>"0327E59144"</f>
        <v>0327E59144</v>
      </c>
      <c r="E1026" s="1" t="s">
        <v>10</v>
      </c>
      <c r="F1026" s="1" t="str">
        <f>"10.10.115.194"</f>
        <v>10.10.115.194</v>
      </c>
      <c r="G1026" s="1" t="str">
        <f>"0327E591"</f>
        <v>0327E591</v>
      </c>
      <c r="H1026" s="1" t="str">
        <f>"동이간 21"</f>
        <v>동이간 21</v>
      </c>
      <c r="I1026" s="1" t="s">
        <v>8</v>
      </c>
      <c r="J1026" s="1" t="str">
        <f>"11/11"</f>
        <v>11/11</v>
      </c>
      <c r="K1026" s="1" t="str">
        <f t="shared" si="48"/>
        <v>2026-07-29 13:18:03</v>
      </c>
      <c r="L1026" s="1" t="str">
        <f>"2019-10-09 02:17:40"</f>
        <v>2019-10-09 02:17:40</v>
      </c>
      <c r="M1026" s="1" t="s">
        <v>1</v>
      </c>
      <c r="N1026" s="1" t="s">
        <v>38</v>
      </c>
      <c r="O1026" s="1" t="s">
        <v>46</v>
      </c>
    </row>
    <row r="1027" spans="2:15" x14ac:dyDescent="0.3">
      <c r="B1027" s="1" t="s">
        <v>24</v>
      </c>
      <c r="C1027" s="1" t="str">
        <f t="shared" si="47"/>
        <v>4차</v>
      </c>
      <c r="D1027" s="1" t="str">
        <f>"0327E59544"</f>
        <v>0327E59544</v>
      </c>
      <c r="E1027" s="1" t="s">
        <v>10</v>
      </c>
      <c r="F1027" s="1" t="str">
        <f>"10.10.136.34"</f>
        <v>10.10.136.34</v>
      </c>
      <c r="G1027" s="1" t="str">
        <f>"0327E595"</f>
        <v>0327E595</v>
      </c>
      <c r="H1027" s="1" t="str">
        <f>"동이간 19H1L1"</f>
        <v>동이간 19H1L1</v>
      </c>
      <c r="I1027" s="1" t="s">
        <v>8</v>
      </c>
      <c r="J1027" s="1" t="str">
        <f>"24/24"</f>
        <v>24/24</v>
      </c>
      <c r="K1027" s="1" t="str">
        <f t="shared" si="48"/>
        <v>2026-07-29 13:18:03</v>
      </c>
      <c r="L1027" s="1" t="str">
        <f>"2023-03-22 10:06:35"</f>
        <v>2023-03-22 10:06:35</v>
      </c>
      <c r="M1027" s="1" t="s">
        <v>1</v>
      </c>
      <c r="N1027" s="1" t="s">
        <v>38</v>
      </c>
      <c r="O1027" s="1" t="s">
        <v>46</v>
      </c>
    </row>
    <row r="1028" spans="2:15" x14ac:dyDescent="0.3">
      <c r="B1028" s="1" t="s">
        <v>24</v>
      </c>
      <c r="C1028" s="1" t="str">
        <f t="shared" si="47"/>
        <v>4차</v>
      </c>
      <c r="D1028" s="1" t="str">
        <f>"0327E63244"</f>
        <v>0327E63244</v>
      </c>
      <c r="E1028" s="1" t="s">
        <v>10</v>
      </c>
      <c r="F1028" s="1" t="str">
        <f>"10.10.61.42"</f>
        <v>10.10.61.42</v>
      </c>
      <c r="G1028" s="1" t="str">
        <f>"0327E632"</f>
        <v>0327E632</v>
      </c>
      <c r="H1028" s="1" t="str">
        <f>"동이간 18B5"</f>
        <v>동이간 18B5</v>
      </c>
      <c r="I1028" s="1" t="s">
        <v>8</v>
      </c>
      <c r="J1028" s="1" t="str">
        <f>"35/43"</f>
        <v>35/43</v>
      </c>
      <c r="K1028" s="1" t="str">
        <f>"2026-07-29 13:18:01"</f>
        <v>2026-07-29 13:18:01</v>
      </c>
      <c r="L1028" s="1" t="str">
        <f>"2019-10-30 17:33:04"</f>
        <v>2019-10-30 17:33:04</v>
      </c>
      <c r="M1028" s="1" t="s">
        <v>1</v>
      </c>
      <c r="N1028" s="1" t="s">
        <v>38</v>
      </c>
      <c r="O1028" s="1" t="s">
        <v>46</v>
      </c>
    </row>
    <row r="1029" spans="2:15" x14ac:dyDescent="0.3">
      <c r="B1029" s="1" t="s">
        <v>24</v>
      </c>
      <c r="C1029" s="1" t="str">
        <f t="shared" si="47"/>
        <v>4차</v>
      </c>
      <c r="D1029" s="1" t="str">
        <f>"0327E65144"</f>
        <v>0327E65144</v>
      </c>
      <c r="E1029" s="1" t="s">
        <v>10</v>
      </c>
      <c r="F1029" s="1" t="str">
        <f>"10.10.60.170"</f>
        <v>10.10.60.170</v>
      </c>
      <c r="G1029" s="1" t="str">
        <f>"0327E651"</f>
        <v>0327E651</v>
      </c>
      <c r="H1029" s="1" t="str">
        <f>"동이간 15"</f>
        <v>동이간 15</v>
      </c>
      <c r="I1029" s="1" t="s">
        <v>8</v>
      </c>
      <c r="J1029" s="1" t="str">
        <f>"52/52"</f>
        <v>52/52</v>
      </c>
      <c r="K1029" s="1" t="str">
        <f>"2026-07-29 13:18:01"</f>
        <v>2026-07-29 13:18:01</v>
      </c>
      <c r="L1029" s="1" t="str">
        <f>"2019-10-07 09:29:12"</f>
        <v>2019-10-07 09:29:12</v>
      </c>
      <c r="M1029" s="1" t="s">
        <v>1</v>
      </c>
      <c r="N1029" s="1" t="s">
        <v>38</v>
      </c>
      <c r="O1029" s="1" t="s">
        <v>46</v>
      </c>
    </row>
    <row r="1030" spans="2:15" x14ac:dyDescent="0.3">
      <c r="B1030" s="1" t="s">
        <v>24</v>
      </c>
      <c r="C1030" s="1" t="str">
        <f t="shared" si="47"/>
        <v>4차</v>
      </c>
      <c r="D1030" s="1" t="str">
        <f>"0327E65444"</f>
        <v>0327E65444</v>
      </c>
      <c r="E1030" s="1" t="s">
        <v>10</v>
      </c>
      <c r="F1030" s="1" t="str">
        <f>"10.10.61.50"</f>
        <v>10.10.61.50</v>
      </c>
      <c r="G1030" s="1" t="str">
        <f>"0327E654"</f>
        <v>0327E654</v>
      </c>
      <c r="H1030" s="1" t="str">
        <f>"동이간 18B2"</f>
        <v>동이간 18B2</v>
      </c>
      <c r="I1030" s="1" t="s">
        <v>8</v>
      </c>
      <c r="J1030" s="1" t="str">
        <f>"9/9"</f>
        <v>9/9</v>
      </c>
      <c r="K1030" s="1" t="str">
        <f t="shared" ref="K1030:K1035" si="49">"2026-07-29 13:18:03"</f>
        <v>2026-07-29 13:18:03</v>
      </c>
      <c r="L1030" s="1" t="str">
        <f>"2019-10-07 09:43:04"</f>
        <v>2019-10-07 09:43:04</v>
      </c>
      <c r="M1030" s="1" t="s">
        <v>1</v>
      </c>
      <c r="N1030" s="1" t="s">
        <v>38</v>
      </c>
      <c r="O1030" s="1" t="s">
        <v>46</v>
      </c>
    </row>
    <row r="1031" spans="2:15" x14ac:dyDescent="0.3">
      <c r="B1031" s="1" t="s">
        <v>24</v>
      </c>
      <c r="C1031" s="1" t="str">
        <f t="shared" si="47"/>
        <v>4차</v>
      </c>
      <c r="D1031" s="1" t="str">
        <f>"0327E67544"</f>
        <v>0327E67544</v>
      </c>
      <c r="E1031" s="1" t="s">
        <v>10</v>
      </c>
      <c r="F1031" s="1" t="str">
        <f>"10.89.247.99"</f>
        <v>10.89.247.99</v>
      </c>
      <c r="G1031" s="1" t="str">
        <f>"0327E675"</f>
        <v>0327E675</v>
      </c>
      <c r="H1031" s="1" t="str">
        <f>"동이간 18R2B1"</f>
        <v>동이간 18R2B1</v>
      </c>
      <c r="I1031" s="1" t="s">
        <v>8</v>
      </c>
      <c r="J1031" s="1" t="str">
        <f>"30/30"</f>
        <v>30/30</v>
      </c>
      <c r="K1031" s="1" t="str">
        <f t="shared" si="49"/>
        <v>2026-07-29 13:18:03</v>
      </c>
      <c r="L1031" s="1" t="str">
        <f>"2020-01-13 15:08:23"</f>
        <v>2020-01-13 15:08:23</v>
      </c>
      <c r="M1031" s="1" t="s">
        <v>45</v>
      </c>
      <c r="N1031" s="1" t="s">
        <v>38</v>
      </c>
      <c r="O1031" s="1" t="s">
        <v>46</v>
      </c>
    </row>
    <row r="1032" spans="2:15" x14ac:dyDescent="0.3">
      <c r="B1032" s="1" t="s">
        <v>24</v>
      </c>
      <c r="C1032" s="1" t="str">
        <f t="shared" si="47"/>
        <v>4차</v>
      </c>
      <c r="D1032" s="1" t="str">
        <f>"0327E73144"</f>
        <v>0327E73144</v>
      </c>
      <c r="E1032" s="1" t="s">
        <v>10</v>
      </c>
      <c r="F1032" s="1" t="str">
        <f>"10.10.61.34"</f>
        <v>10.10.61.34</v>
      </c>
      <c r="G1032" s="1" t="str">
        <f>"0327E731"</f>
        <v>0327E731</v>
      </c>
      <c r="H1032" s="1" t="str">
        <f>"동이간 18B8"</f>
        <v>동이간 18B8</v>
      </c>
      <c r="I1032" s="1" t="s">
        <v>8</v>
      </c>
      <c r="J1032" s="1" t="str">
        <f>"70/70"</f>
        <v>70/70</v>
      </c>
      <c r="K1032" s="1" t="str">
        <f t="shared" si="49"/>
        <v>2026-07-29 13:18:03</v>
      </c>
      <c r="L1032" s="1" t="str">
        <f>"2019-10-30 16:53:04"</f>
        <v>2019-10-30 16:53:04</v>
      </c>
      <c r="M1032" s="1" t="s">
        <v>1</v>
      </c>
      <c r="N1032" s="1" t="s">
        <v>38</v>
      </c>
      <c r="O1032" s="1" t="s">
        <v>46</v>
      </c>
    </row>
    <row r="1033" spans="2:15" x14ac:dyDescent="0.3">
      <c r="B1033" s="1" t="s">
        <v>24</v>
      </c>
      <c r="C1033" s="1" t="str">
        <f>"3차"</f>
        <v>3차</v>
      </c>
      <c r="D1033" s="1" t="str">
        <f>"0327E75339"</f>
        <v>0327E75339</v>
      </c>
      <c r="E1033" s="1" t="s">
        <v>10</v>
      </c>
      <c r="F1033" s="1" t="str">
        <f>"10.89.247.98"</f>
        <v>10.89.247.98</v>
      </c>
      <c r="G1033" s="1" t="str">
        <f>"0327E753"</f>
        <v>0327E753</v>
      </c>
      <c r="H1033" s="1" t="str">
        <f>"동이간 18B2L2"</f>
        <v>동이간 18B2L2</v>
      </c>
      <c r="I1033" s="1" t="s">
        <v>8</v>
      </c>
      <c r="J1033" s="1" t="str">
        <f>"95/95"</f>
        <v>95/95</v>
      </c>
      <c r="K1033" s="1" t="str">
        <f t="shared" si="49"/>
        <v>2026-07-29 13:18:03</v>
      </c>
      <c r="L1033" s="1" t="str">
        <f>"2018-04-18 08:02:38"</f>
        <v>2018-04-18 08:02:38</v>
      </c>
      <c r="M1033" s="1" t="s">
        <v>45</v>
      </c>
      <c r="N1033" s="1" t="s">
        <v>38</v>
      </c>
      <c r="O1033" s="1" t="s">
        <v>46</v>
      </c>
    </row>
    <row r="1034" spans="2:15" x14ac:dyDescent="0.3">
      <c r="B1034" s="1" t="s">
        <v>24</v>
      </c>
      <c r="C1034" s="1" t="str">
        <f>"4차"</f>
        <v>4차</v>
      </c>
      <c r="D1034" s="1" t="str">
        <f>"0327E77244"</f>
        <v>0327E77244</v>
      </c>
      <c r="E1034" s="1" t="s">
        <v>10</v>
      </c>
      <c r="F1034" s="1" t="str">
        <f>"10.10.61.106"</f>
        <v>10.10.61.106</v>
      </c>
      <c r="G1034" s="1" t="str">
        <f>"0327E772"</f>
        <v>0327E772</v>
      </c>
      <c r="H1034" s="1" t="str">
        <f>"동이간 18R3R4"</f>
        <v>동이간 18R3R4</v>
      </c>
      <c r="I1034" s="1" t="s">
        <v>8</v>
      </c>
      <c r="J1034" s="1" t="str">
        <f>"38/38"</f>
        <v>38/38</v>
      </c>
      <c r="K1034" s="1" t="str">
        <f t="shared" si="49"/>
        <v>2026-07-29 13:18:03</v>
      </c>
      <c r="L1034" s="1" t="str">
        <f>"2019-10-07 09:34:12"</f>
        <v>2019-10-07 09:34:12</v>
      </c>
      <c r="M1034" s="1" t="s">
        <v>1</v>
      </c>
      <c r="N1034" s="1" t="s">
        <v>38</v>
      </c>
      <c r="O1034" s="1" t="s">
        <v>46</v>
      </c>
    </row>
    <row r="1035" spans="2:15" x14ac:dyDescent="0.3">
      <c r="B1035" s="1" t="s">
        <v>24</v>
      </c>
      <c r="C1035" s="1" t="str">
        <f>"4차"</f>
        <v>4차</v>
      </c>
      <c r="D1035" s="1" t="str">
        <f>"0327E77444"</f>
        <v>0327E77444</v>
      </c>
      <c r="E1035" s="1" t="s">
        <v>10</v>
      </c>
      <c r="F1035" s="1" t="str">
        <f>"10.10.115.218"</f>
        <v>10.10.115.218</v>
      </c>
      <c r="G1035" s="1" t="str">
        <f>"0327E774"</f>
        <v>0327E774</v>
      </c>
      <c r="H1035" s="1" t="str">
        <f>"동이간 18R3R1"</f>
        <v>동이간 18R3R1</v>
      </c>
      <c r="I1035" s="1" t="s">
        <v>8</v>
      </c>
      <c r="J1035" s="1" t="str">
        <f>"27/27"</f>
        <v>27/27</v>
      </c>
      <c r="K1035" s="1" t="str">
        <f t="shared" si="49"/>
        <v>2026-07-29 13:18:03</v>
      </c>
      <c r="L1035" s="1" t="str">
        <f>"2019-10-07 09:53:13"</f>
        <v>2019-10-07 09:53:13</v>
      </c>
      <c r="M1035" s="1" t="s">
        <v>1</v>
      </c>
      <c r="N1035" s="1" t="s">
        <v>38</v>
      </c>
      <c r="O1035" s="1" t="s">
        <v>46</v>
      </c>
    </row>
    <row r="1036" spans="2:15" x14ac:dyDescent="0.3">
      <c r="B1036" s="1" t="s">
        <v>24</v>
      </c>
      <c r="C1036" s="1" t="str">
        <f>"3차"</f>
        <v>3차</v>
      </c>
      <c r="D1036" s="1" t="str">
        <f>"0327E78139"</f>
        <v>0327E78139</v>
      </c>
      <c r="E1036" s="1" t="s">
        <v>10</v>
      </c>
      <c r="F1036" s="1" t="str">
        <f>"10.89.247.100"</f>
        <v>10.89.247.100</v>
      </c>
      <c r="G1036" s="1" t="str">
        <f>"0327E781"</f>
        <v>0327E781</v>
      </c>
      <c r="H1036" s="1" t="str">
        <f>"동이간 18R3"</f>
        <v>동이간 18R3</v>
      </c>
      <c r="I1036" s="1" t="s">
        <v>8</v>
      </c>
      <c r="J1036" s="1" t="str">
        <f>"50/50"</f>
        <v>50/50</v>
      </c>
      <c r="K1036" s="1" t="str">
        <f>"2026-07-29 13:18:01"</f>
        <v>2026-07-29 13:18:01</v>
      </c>
      <c r="L1036" s="1" t="str">
        <f>"2018-04-18 08:50:38"</f>
        <v>2018-04-18 08:50:38</v>
      </c>
      <c r="M1036" s="1" t="s">
        <v>45</v>
      </c>
      <c r="N1036" s="1" t="s">
        <v>38</v>
      </c>
      <c r="O1036" s="1" t="s">
        <v>46</v>
      </c>
    </row>
    <row r="1037" spans="2:15" x14ac:dyDescent="0.3">
      <c r="B1037" s="1" t="s">
        <v>24</v>
      </c>
      <c r="C1037" s="1" t="str">
        <f t="shared" ref="C1037:C1045" si="50">"4차"</f>
        <v>4차</v>
      </c>
      <c r="D1037" s="1" t="str">
        <f>"0327E78344"</f>
        <v>0327E78344</v>
      </c>
      <c r="E1037" s="1" t="s">
        <v>10</v>
      </c>
      <c r="F1037" s="1" t="str">
        <f>"10.10.61.146"</f>
        <v>10.10.61.146</v>
      </c>
      <c r="G1037" s="1" t="str">
        <f>"0327E783"</f>
        <v>0327E783</v>
      </c>
      <c r="H1037" s="1" t="str">
        <f>"동이간 18R4"</f>
        <v>동이간 18R4</v>
      </c>
      <c r="I1037" s="1" t="s">
        <v>8</v>
      </c>
      <c r="J1037" s="1" t="str">
        <f>"23/24"</f>
        <v>23/24</v>
      </c>
      <c r="K1037" s="1" t="str">
        <f>"2026-07-29 13:18:03"</f>
        <v>2026-07-29 13:18:03</v>
      </c>
      <c r="L1037" s="1" t="str">
        <f>"2019-10-07 09:37:57"</f>
        <v>2019-10-07 09:37:57</v>
      </c>
      <c r="M1037" s="1" t="s">
        <v>1</v>
      </c>
      <c r="N1037" s="1" t="s">
        <v>38</v>
      </c>
      <c r="O1037" s="1" t="s">
        <v>46</v>
      </c>
    </row>
    <row r="1038" spans="2:15" x14ac:dyDescent="0.3">
      <c r="B1038" s="1" t="s">
        <v>24</v>
      </c>
      <c r="C1038" s="1" t="str">
        <f t="shared" si="50"/>
        <v>4차</v>
      </c>
      <c r="D1038" s="1" t="str">
        <f>"0327E79144"</f>
        <v>0327E79144</v>
      </c>
      <c r="E1038" s="1" t="s">
        <v>10</v>
      </c>
      <c r="F1038" s="1" t="str">
        <f>"10.10.115.210"</f>
        <v>10.10.115.210</v>
      </c>
      <c r="G1038" s="1" t="str">
        <f>"0327E791"</f>
        <v>0327E791</v>
      </c>
      <c r="H1038" s="1" t="str">
        <f>"동이간 18R5"</f>
        <v>동이간 18R5</v>
      </c>
      <c r="I1038" s="1" t="s">
        <v>8</v>
      </c>
      <c r="J1038" s="1" t="str">
        <f>"14/14"</f>
        <v>14/14</v>
      </c>
      <c r="K1038" s="1" t="str">
        <f>"2026-07-29 13:18:03"</f>
        <v>2026-07-29 13:18:03</v>
      </c>
      <c r="L1038" s="1" t="str">
        <f>"2019-10-07 09:42:44"</f>
        <v>2019-10-07 09:42:44</v>
      </c>
      <c r="M1038" s="1" t="s">
        <v>1</v>
      </c>
      <c r="N1038" s="1" t="s">
        <v>38</v>
      </c>
      <c r="O1038" s="1" t="s">
        <v>46</v>
      </c>
    </row>
    <row r="1039" spans="2:15" x14ac:dyDescent="0.3">
      <c r="B1039" s="1" t="s">
        <v>24</v>
      </c>
      <c r="C1039" s="1" t="str">
        <f t="shared" si="50"/>
        <v>4차</v>
      </c>
      <c r="D1039" s="1" t="str">
        <f>"0327E83144"</f>
        <v>0327E83144</v>
      </c>
      <c r="E1039" s="1" t="s">
        <v>10</v>
      </c>
      <c r="F1039" s="1" t="str">
        <f>"10.10.61.122"</f>
        <v>10.10.61.122</v>
      </c>
      <c r="G1039" s="1" t="str">
        <f>"0327E831"</f>
        <v>0327E831</v>
      </c>
      <c r="H1039" s="1" t="str">
        <f>"동이간 18B9"</f>
        <v>동이간 18B9</v>
      </c>
      <c r="I1039" s="1" t="s">
        <v>8</v>
      </c>
      <c r="J1039" s="1" t="str">
        <f>"44/44"</f>
        <v>44/44</v>
      </c>
      <c r="K1039" s="1" t="str">
        <f>"2026-07-29 13:18:01"</f>
        <v>2026-07-29 13:18:01</v>
      </c>
      <c r="L1039" s="1" t="str">
        <f>"2019-10-30 16:34:43"</f>
        <v>2019-10-30 16:34:43</v>
      </c>
      <c r="M1039" s="1" t="s">
        <v>1</v>
      </c>
      <c r="N1039" s="1" t="s">
        <v>38</v>
      </c>
      <c r="O1039" s="1" t="s">
        <v>46</v>
      </c>
    </row>
    <row r="1040" spans="2:15" x14ac:dyDescent="0.3">
      <c r="B1040" s="1" t="s">
        <v>24</v>
      </c>
      <c r="C1040" s="1" t="str">
        <f t="shared" si="50"/>
        <v>4차</v>
      </c>
      <c r="D1040" s="1" t="str">
        <f>"0327E84344"</f>
        <v>0327E84344</v>
      </c>
      <c r="E1040" s="1" t="s">
        <v>10</v>
      </c>
      <c r="F1040" s="1" t="str">
        <f>"10.10.61.90"</f>
        <v>10.10.61.90</v>
      </c>
      <c r="G1040" s="1" t="str">
        <f>"0327E843"</f>
        <v>0327E843</v>
      </c>
      <c r="H1040" s="1" t="str">
        <f>"동이간 18B9L2"</f>
        <v>동이간 18B9L2</v>
      </c>
      <c r="I1040" s="1" t="s">
        <v>8</v>
      </c>
      <c r="J1040" s="1" t="str">
        <f>"53/53"</f>
        <v>53/53</v>
      </c>
      <c r="K1040" s="1" t="str">
        <f>"2026-07-29 13:18:03"</f>
        <v>2026-07-29 13:18:03</v>
      </c>
      <c r="L1040" s="1" t="str">
        <f>"2019-10-30 16:39:15"</f>
        <v>2019-10-30 16:39:15</v>
      </c>
      <c r="M1040" s="1" t="s">
        <v>1</v>
      </c>
      <c r="N1040" s="1" t="s">
        <v>38</v>
      </c>
      <c r="O1040" s="1" t="s">
        <v>46</v>
      </c>
    </row>
    <row r="1041" spans="2:15" x14ac:dyDescent="0.3">
      <c r="B1041" s="1" t="s">
        <v>24</v>
      </c>
      <c r="C1041" s="1" t="str">
        <f t="shared" si="50"/>
        <v>4차</v>
      </c>
      <c r="D1041" s="1" t="str">
        <f>"0327E87244"</f>
        <v>0327E87244</v>
      </c>
      <c r="E1041" s="1" t="s">
        <v>10</v>
      </c>
      <c r="F1041" s="1" t="str">
        <f>"10.10.61.114"</f>
        <v>10.10.61.114</v>
      </c>
      <c r="G1041" s="1" t="str">
        <f>"0327E872"</f>
        <v>0327E872</v>
      </c>
      <c r="H1041" s="1" t="str">
        <f>"동이간 18R3R2"</f>
        <v>동이간 18R3R2</v>
      </c>
      <c r="I1041" s="1" t="s">
        <v>8</v>
      </c>
      <c r="J1041" s="1" t="str">
        <f>"44/44"</f>
        <v>44/44</v>
      </c>
      <c r="K1041" s="1" t="str">
        <f t="shared" ref="K1041:K1047" si="51">"2026-07-29 13:18:01"</f>
        <v>2026-07-29 13:18:01</v>
      </c>
      <c r="L1041" s="1" t="str">
        <f>"2019-10-30 15:56:58"</f>
        <v>2019-10-30 15:56:58</v>
      </c>
      <c r="M1041" s="1" t="s">
        <v>1</v>
      </c>
      <c r="N1041" s="1" t="s">
        <v>38</v>
      </c>
      <c r="O1041" s="1" t="s">
        <v>46</v>
      </c>
    </row>
    <row r="1042" spans="2:15" x14ac:dyDescent="0.3">
      <c r="B1042" s="1" t="s">
        <v>24</v>
      </c>
      <c r="C1042" s="1" t="str">
        <f t="shared" si="50"/>
        <v>4차</v>
      </c>
      <c r="D1042" s="1" t="str">
        <f>"0327E88144"</f>
        <v>0327E88144</v>
      </c>
      <c r="E1042" s="1" t="s">
        <v>10</v>
      </c>
      <c r="F1042" s="1" t="str">
        <f>"10.10.61.154"</f>
        <v>10.10.61.154</v>
      </c>
      <c r="G1042" s="1" t="str">
        <f>"0327E881"</f>
        <v>0327E881</v>
      </c>
      <c r="H1042" s="1" t="str">
        <f>"동이간 18R4R1"</f>
        <v>동이간 18R4R1</v>
      </c>
      <c r="I1042" s="1" t="s">
        <v>8</v>
      </c>
      <c r="J1042" s="1" t="str">
        <f>"6/13"</f>
        <v>6/13</v>
      </c>
      <c r="K1042" s="1" t="str">
        <f t="shared" si="51"/>
        <v>2026-07-29 13:18:01</v>
      </c>
      <c r="L1042" s="1" t="str">
        <f>"2019-10-31 11:29:29"</f>
        <v>2019-10-31 11:29:29</v>
      </c>
      <c r="M1042" s="1" t="s">
        <v>1</v>
      </c>
      <c r="N1042" s="1" t="s">
        <v>38</v>
      </c>
      <c r="O1042" s="1" t="s">
        <v>46</v>
      </c>
    </row>
    <row r="1043" spans="2:15" x14ac:dyDescent="0.3">
      <c r="B1043" s="1" t="s">
        <v>24</v>
      </c>
      <c r="C1043" s="1" t="str">
        <f t="shared" si="50"/>
        <v>4차</v>
      </c>
      <c r="D1043" s="1" t="str">
        <f>"0327E88344"</f>
        <v>0327E88344</v>
      </c>
      <c r="E1043" s="1" t="s">
        <v>10</v>
      </c>
      <c r="F1043" s="1" t="str">
        <f>"10.10.62.18"</f>
        <v>10.10.62.18</v>
      </c>
      <c r="G1043" s="1" t="str">
        <f>"0327E883"</f>
        <v>0327E883</v>
      </c>
      <c r="H1043" s="1" t="str">
        <f>"동이간 18R4R2"</f>
        <v>동이간 18R4R2</v>
      </c>
      <c r="I1043" s="1" t="s">
        <v>8</v>
      </c>
      <c r="J1043" s="1" t="str">
        <f>"67/67"</f>
        <v>67/67</v>
      </c>
      <c r="K1043" s="1" t="str">
        <f t="shared" si="51"/>
        <v>2026-07-29 13:18:01</v>
      </c>
      <c r="L1043" s="1" t="str">
        <f>"2019-10-07 09:43:13"</f>
        <v>2019-10-07 09:43:13</v>
      </c>
      <c r="M1043" s="1" t="s">
        <v>1</v>
      </c>
      <c r="N1043" s="1" t="s">
        <v>38</v>
      </c>
      <c r="O1043" s="1" t="s">
        <v>46</v>
      </c>
    </row>
    <row r="1044" spans="2:15" x14ac:dyDescent="0.3">
      <c r="B1044" s="1" t="s">
        <v>24</v>
      </c>
      <c r="C1044" s="1" t="str">
        <f t="shared" si="50"/>
        <v>4차</v>
      </c>
      <c r="D1044" s="1" t="str">
        <f>"0327E89244"</f>
        <v>0327E89244</v>
      </c>
      <c r="E1044" s="1" t="s">
        <v>10</v>
      </c>
      <c r="F1044" s="1" t="str">
        <f>"10.10.62.10"</f>
        <v>10.10.62.10</v>
      </c>
      <c r="G1044" s="1" t="str">
        <f>"0327E892"</f>
        <v>0327E892</v>
      </c>
      <c r="H1044" s="1" t="str">
        <f>"동이간 18R4R1L2"</f>
        <v>동이간 18R4R1L2</v>
      </c>
      <c r="I1044" s="1" t="s">
        <v>8</v>
      </c>
      <c r="J1044" s="1" t="str">
        <f>"37/38"</f>
        <v>37/38</v>
      </c>
      <c r="K1044" s="1" t="str">
        <f t="shared" si="51"/>
        <v>2026-07-29 13:18:01</v>
      </c>
      <c r="L1044" s="1" t="str">
        <f>"2019-10-07 09:43:04"</f>
        <v>2019-10-07 09:43:04</v>
      </c>
      <c r="M1044" s="1" t="s">
        <v>1</v>
      </c>
      <c r="N1044" s="1" t="s">
        <v>38</v>
      </c>
      <c r="O1044" s="1" t="s">
        <v>46</v>
      </c>
    </row>
    <row r="1045" spans="2:15" x14ac:dyDescent="0.3">
      <c r="B1045" s="1" t="s">
        <v>24</v>
      </c>
      <c r="C1045" s="1" t="str">
        <f t="shared" si="50"/>
        <v>4차</v>
      </c>
      <c r="D1045" s="1" t="str">
        <f>"0327E94144"</f>
        <v>0327E94144</v>
      </c>
      <c r="E1045" s="1" t="s">
        <v>10</v>
      </c>
      <c r="F1045" s="1" t="str">
        <f>"10.10.61.58"</f>
        <v>10.10.61.58</v>
      </c>
      <c r="G1045" s="1" t="str">
        <f>"0327E941"</f>
        <v>0327E941</v>
      </c>
      <c r="H1045" s="1" t="str">
        <f>"동이간 18B11"</f>
        <v>동이간 18B11</v>
      </c>
      <c r="I1045" s="1" t="s">
        <v>8</v>
      </c>
      <c r="J1045" s="1" t="str">
        <f>"56/64"</f>
        <v>56/64</v>
      </c>
      <c r="K1045" s="1" t="str">
        <f t="shared" si="51"/>
        <v>2026-07-29 13:18:01</v>
      </c>
      <c r="L1045" s="1" t="str">
        <f>"2019-10-30 16:13:07"</f>
        <v>2019-10-30 16:13:07</v>
      </c>
      <c r="M1045" s="1" t="s">
        <v>1</v>
      </c>
      <c r="N1045" s="1" t="s">
        <v>38</v>
      </c>
      <c r="O1045" s="1" t="s">
        <v>46</v>
      </c>
    </row>
    <row r="1046" spans="2:15" x14ac:dyDescent="0.3">
      <c r="B1046" s="1" t="s">
        <v>24</v>
      </c>
      <c r="C1046" s="1" t="str">
        <f t="shared" ref="C1046:C1052" si="52">"3차"</f>
        <v>3차</v>
      </c>
      <c r="D1046" s="1" t="str">
        <f>"0327E95139"</f>
        <v>0327E95139</v>
      </c>
      <c r="E1046" s="1" t="s">
        <v>10</v>
      </c>
      <c r="F1046" s="1" t="str">
        <f>"10.10.4.226"</f>
        <v>10.10.4.226</v>
      </c>
      <c r="G1046" s="1" t="str">
        <f>"0327E951"</f>
        <v>0327E951</v>
      </c>
      <c r="H1046" s="1" t="str">
        <f>"동이간 18R4R6"</f>
        <v>동이간 18R4R6</v>
      </c>
      <c r="I1046" s="1" t="s">
        <v>8</v>
      </c>
      <c r="J1046" s="1" t="str">
        <f>"85/85"</f>
        <v>85/85</v>
      </c>
      <c r="K1046" s="1" t="str">
        <f t="shared" si="51"/>
        <v>2026-07-29 13:18:01</v>
      </c>
      <c r="L1046" s="1" t="str">
        <f>"2018-05-11 17:05:46"</f>
        <v>2018-05-11 17:05:46</v>
      </c>
      <c r="M1046" s="1" t="s">
        <v>1</v>
      </c>
      <c r="N1046" s="1" t="s">
        <v>38</v>
      </c>
      <c r="O1046" s="1" t="s">
        <v>46</v>
      </c>
    </row>
    <row r="1047" spans="2:15" x14ac:dyDescent="0.3">
      <c r="B1047" s="1" t="s">
        <v>24</v>
      </c>
      <c r="C1047" s="1" t="str">
        <f t="shared" si="52"/>
        <v>3차</v>
      </c>
      <c r="D1047" s="1" t="str">
        <f>"0327E95239"</f>
        <v>0327E95239</v>
      </c>
      <c r="E1047" s="1" t="s">
        <v>10</v>
      </c>
      <c r="F1047" s="1" t="str">
        <f>"10.10.7.106"</f>
        <v>10.10.7.106</v>
      </c>
      <c r="G1047" s="1" t="str">
        <f>"0327E952"</f>
        <v>0327E952</v>
      </c>
      <c r="H1047" s="1" t="str">
        <f>"동이간 18R4R6R1"</f>
        <v>동이간 18R4R6R1</v>
      </c>
      <c r="I1047" s="1" t="s">
        <v>8</v>
      </c>
      <c r="J1047" s="1" t="str">
        <f>"44/44"</f>
        <v>44/44</v>
      </c>
      <c r="K1047" s="1" t="str">
        <f t="shared" si="51"/>
        <v>2026-07-29 13:18:01</v>
      </c>
      <c r="L1047" s="1" t="str">
        <f>"2018-05-11 17:02:01"</f>
        <v>2018-05-11 17:02:01</v>
      </c>
      <c r="M1047" s="1" t="s">
        <v>1</v>
      </c>
      <c r="N1047" s="1" t="s">
        <v>38</v>
      </c>
      <c r="O1047" s="1" t="s">
        <v>46</v>
      </c>
    </row>
    <row r="1048" spans="2:15" x14ac:dyDescent="0.3">
      <c r="B1048" s="1" t="s">
        <v>24</v>
      </c>
      <c r="C1048" s="1" t="str">
        <f t="shared" si="52"/>
        <v>3차</v>
      </c>
      <c r="D1048" s="1" t="str">
        <f>"0327E96131"</f>
        <v>0327E96131</v>
      </c>
      <c r="E1048" s="1" t="s">
        <v>10</v>
      </c>
      <c r="F1048" s="1" t="str">
        <f>"10.10.8.107"</f>
        <v>10.10.8.107</v>
      </c>
      <c r="G1048" s="1" t="str">
        <f>"0327E961"</f>
        <v>0327E961</v>
      </c>
      <c r="H1048" s="1" t="str">
        <f>"동이간 18R4R5"</f>
        <v>동이간 18R4R5</v>
      </c>
      <c r="I1048" s="1" t="s">
        <v>8</v>
      </c>
      <c r="J1048" s="1" t="str">
        <f>"29/29"</f>
        <v>29/29</v>
      </c>
      <c r="K1048" s="1" t="str">
        <f>"2026-07-29 13:18:02"</f>
        <v>2026-07-29 13:18:02</v>
      </c>
      <c r="L1048" s="1" t="str">
        <f>"2018-02-07 09:55:58"</f>
        <v>2018-02-07 09:55:58</v>
      </c>
      <c r="M1048" s="1" t="s">
        <v>1</v>
      </c>
      <c r="N1048" s="1" t="s">
        <v>38</v>
      </c>
      <c r="O1048" s="1" t="s">
        <v>46</v>
      </c>
    </row>
    <row r="1049" spans="2:15" x14ac:dyDescent="0.3">
      <c r="B1049" s="1" t="s">
        <v>24</v>
      </c>
      <c r="C1049" s="1" t="str">
        <f t="shared" si="52"/>
        <v>3차</v>
      </c>
      <c r="D1049" s="1" t="str">
        <f>"0327E97330"</f>
        <v>0327E97330</v>
      </c>
      <c r="E1049" s="1" t="s">
        <v>10</v>
      </c>
      <c r="F1049" s="1" t="str">
        <f>"10.10.8.106"</f>
        <v>10.10.8.106</v>
      </c>
      <c r="G1049" s="1" t="str">
        <f>"0327E973"</f>
        <v>0327E973</v>
      </c>
      <c r="H1049" s="1" t="str">
        <f>"동이간 18R4R4"</f>
        <v>동이간 18R4R4</v>
      </c>
      <c r="I1049" s="1" t="s">
        <v>8</v>
      </c>
      <c r="J1049" s="1" t="str">
        <f>"66/66"</f>
        <v>66/66</v>
      </c>
      <c r="K1049" s="1" t="str">
        <f>"2026-07-29 13:18:02"</f>
        <v>2026-07-29 13:18:02</v>
      </c>
      <c r="L1049" s="1" t="str">
        <f>"2018-01-09 10:33:10"</f>
        <v>2018-01-09 10:33:10</v>
      </c>
      <c r="M1049" s="1" t="s">
        <v>1</v>
      </c>
      <c r="N1049" s="1" t="s">
        <v>38</v>
      </c>
      <c r="O1049" s="1" t="s">
        <v>46</v>
      </c>
    </row>
    <row r="1050" spans="2:15" x14ac:dyDescent="0.3">
      <c r="B1050" s="1" t="s">
        <v>24</v>
      </c>
      <c r="C1050" s="1" t="str">
        <f t="shared" si="52"/>
        <v>3차</v>
      </c>
      <c r="D1050" s="1" t="str">
        <f>"0327F05139"</f>
        <v>0327F05139</v>
      </c>
      <c r="E1050" s="1" t="s">
        <v>10</v>
      </c>
      <c r="F1050" s="1" t="str">
        <f>"10.10.3.202"</f>
        <v>10.10.3.202</v>
      </c>
      <c r="G1050" s="1" t="str">
        <f>"0327F051"</f>
        <v>0327F051</v>
      </c>
      <c r="H1050" s="1" t="str">
        <f>"동이간 18R4R8"</f>
        <v>동이간 18R4R8</v>
      </c>
      <c r="I1050" s="1" t="s">
        <v>8</v>
      </c>
      <c r="J1050" s="1" t="str">
        <f>"78/78"</f>
        <v>78/78</v>
      </c>
      <c r="K1050" s="1" t="str">
        <f>"2026-07-29 13:18:02"</f>
        <v>2026-07-29 13:18:02</v>
      </c>
      <c r="L1050" s="1" t="str">
        <f>"2021-07-28 16:03:59"</f>
        <v>2021-07-28 16:03:59</v>
      </c>
      <c r="M1050" s="1" t="s">
        <v>1</v>
      </c>
      <c r="N1050" s="1" t="s">
        <v>38</v>
      </c>
      <c r="O1050" s="1" t="s">
        <v>46</v>
      </c>
    </row>
    <row r="1051" spans="2:15" x14ac:dyDescent="0.3">
      <c r="B1051" s="1" t="s">
        <v>24</v>
      </c>
      <c r="C1051" s="1" t="str">
        <f t="shared" si="52"/>
        <v>3차</v>
      </c>
      <c r="D1051" s="1" t="str">
        <f>"0327F05239"</f>
        <v>0327F05239</v>
      </c>
      <c r="E1051" s="1" t="s">
        <v>10</v>
      </c>
      <c r="F1051" s="1" t="str">
        <f>"10.10.7.114"</f>
        <v>10.10.7.114</v>
      </c>
      <c r="G1051" s="1" t="str">
        <f>"0327F052"</f>
        <v>0327F052</v>
      </c>
      <c r="H1051" s="1" t="str">
        <f>"동이간 18R4R7"</f>
        <v>동이간 18R4R7</v>
      </c>
      <c r="I1051" s="1" t="s">
        <v>8</v>
      </c>
      <c r="J1051" s="1" t="str">
        <f>"73/73"</f>
        <v>73/73</v>
      </c>
      <c r="K1051" s="1" t="str">
        <f>"2026-07-29 13:18:02"</f>
        <v>2026-07-29 13:18:02</v>
      </c>
      <c r="L1051" s="1" t="str">
        <f>"2018-02-19 11:42:55"</f>
        <v>2018-02-19 11:42:55</v>
      </c>
      <c r="M1051" s="1" t="s">
        <v>1</v>
      </c>
      <c r="N1051" s="1" t="s">
        <v>38</v>
      </c>
      <c r="O1051" s="1" t="s">
        <v>46</v>
      </c>
    </row>
    <row r="1052" spans="2:15" x14ac:dyDescent="0.3">
      <c r="B1052" s="1" t="s">
        <v>24</v>
      </c>
      <c r="C1052" s="1" t="str">
        <f t="shared" si="52"/>
        <v>3차</v>
      </c>
      <c r="D1052" s="1" t="str">
        <f>"0327F08132"</f>
        <v>0327F08132</v>
      </c>
      <c r="E1052" s="1" t="s">
        <v>10</v>
      </c>
      <c r="F1052" s="1" t="str">
        <f>"10.10.17.140"</f>
        <v>10.10.17.140</v>
      </c>
      <c r="G1052" s="1" t="str">
        <f>"0327F081"</f>
        <v>0327F081</v>
      </c>
      <c r="H1052" s="1" t="str">
        <f>"신배간 14R3L1"</f>
        <v>신배간 14R3L1</v>
      </c>
      <c r="I1052" s="1" t="s">
        <v>8</v>
      </c>
      <c r="J1052" s="1" t="str">
        <f>"39/39"</f>
        <v>39/39</v>
      </c>
      <c r="K1052" s="1" t="str">
        <f>"2026-07-29 13:18:03"</f>
        <v>2026-07-29 13:18:03</v>
      </c>
      <c r="L1052" s="1" t="str">
        <f>"2018-05-11 17:40:32"</f>
        <v>2018-05-11 17:40:32</v>
      </c>
      <c r="M1052" s="1" t="s">
        <v>1</v>
      </c>
      <c r="N1052" s="1" t="s">
        <v>38</v>
      </c>
      <c r="O1052" s="1" t="s">
        <v>46</v>
      </c>
    </row>
    <row r="1053" spans="2:15" x14ac:dyDescent="0.3">
      <c r="B1053" s="1" t="s">
        <v>24</v>
      </c>
      <c r="C1053" s="1" t="str">
        <f>"4차"</f>
        <v>4차</v>
      </c>
      <c r="D1053" s="1" t="str">
        <f>"0327F08231"</f>
        <v>0327F08231</v>
      </c>
      <c r="E1053" s="1" t="s">
        <v>10</v>
      </c>
      <c r="F1053" s="1" t="str">
        <f>"10.10.17.139"</f>
        <v>10.10.17.139</v>
      </c>
      <c r="G1053" s="1" t="str">
        <f>"0327F082"</f>
        <v>0327F082</v>
      </c>
      <c r="H1053" s="1" t="str">
        <f>"신배간 14R2"</f>
        <v>신배간 14R2</v>
      </c>
      <c r="I1053" s="1" t="s">
        <v>8</v>
      </c>
      <c r="J1053" s="1" t="str">
        <f>"89/89"</f>
        <v>89/89</v>
      </c>
      <c r="K1053" s="1" t="str">
        <f>"2026-07-29 13:18:03"</f>
        <v>2026-07-29 13:18:03</v>
      </c>
      <c r="L1053" s="1" t="str">
        <f>"2018-05-11 17:36:30"</f>
        <v>2018-05-11 17:36:30</v>
      </c>
      <c r="M1053" s="1" t="s">
        <v>1</v>
      </c>
      <c r="N1053" s="1" t="s">
        <v>38</v>
      </c>
      <c r="O1053" s="1" t="s">
        <v>46</v>
      </c>
    </row>
    <row r="1054" spans="2:15" x14ac:dyDescent="0.3">
      <c r="B1054" s="1" t="s">
        <v>24</v>
      </c>
      <c r="C1054" s="1" t="str">
        <f>"4차"</f>
        <v>4차</v>
      </c>
      <c r="D1054" s="1" t="str">
        <f>"0327F08330"</f>
        <v>0327F08330</v>
      </c>
      <c r="E1054" s="1" t="s">
        <v>10</v>
      </c>
      <c r="F1054" s="1" t="str">
        <f>"10.10.17.138"</f>
        <v>10.10.17.138</v>
      </c>
      <c r="G1054" s="1" t="str">
        <f>"0327F083"</f>
        <v>0327F083</v>
      </c>
      <c r="H1054" s="1" t="str">
        <f>"신배간 14R3"</f>
        <v>신배간 14R3</v>
      </c>
      <c r="I1054" s="1" t="s">
        <v>8</v>
      </c>
      <c r="J1054" s="1" t="str">
        <f>"96/96"</f>
        <v>96/96</v>
      </c>
      <c r="K1054" s="1" t="str">
        <f>"2026-07-29 13:18:03"</f>
        <v>2026-07-29 13:18:03</v>
      </c>
      <c r="L1054" s="1" t="str">
        <f>"2018-01-31 11:32:40"</f>
        <v>2018-01-31 11:32:40</v>
      </c>
      <c r="M1054" s="1" t="s">
        <v>1</v>
      </c>
      <c r="N1054" s="1" t="s">
        <v>38</v>
      </c>
      <c r="O1054" s="1" t="s">
        <v>46</v>
      </c>
    </row>
    <row r="1055" spans="2:15" x14ac:dyDescent="0.3">
      <c r="B1055" s="1" t="s">
        <v>24</v>
      </c>
      <c r="C1055" s="1" t="str">
        <f>"4차"</f>
        <v>4차</v>
      </c>
      <c r="D1055" s="1" t="str">
        <f>"0327F10242"</f>
        <v>0327F10242</v>
      </c>
      <c r="E1055" s="1" t="s">
        <v>10</v>
      </c>
      <c r="F1055" s="1" t="str">
        <f>"10.89.247.39"</f>
        <v>10.89.247.39</v>
      </c>
      <c r="G1055" s="1" t="str">
        <f>"0327F102"</f>
        <v>0327F102</v>
      </c>
      <c r="H1055" s="1" t="str">
        <f>"동부간 15R2R1L2"</f>
        <v>동부간 15R2R1L2</v>
      </c>
      <c r="I1055" s="1" t="s">
        <v>8</v>
      </c>
      <c r="J1055" s="1" t="str">
        <f>"138/142"</f>
        <v>138/142</v>
      </c>
      <c r="K1055" s="1" t="str">
        <f>"2026-07-29 13:18:02"</f>
        <v>2026-07-29 13:18:02</v>
      </c>
      <c r="L1055" s="1" t="str">
        <f>"2024-04-17 13:48:09"</f>
        <v>2024-04-17 13:48:09</v>
      </c>
      <c r="M1055" s="1" t="s">
        <v>45</v>
      </c>
      <c r="N1055" s="1" t="s">
        <v>38</v>
      </c>
      <c r="O1055" s="1" t="s">
        <v>46</v>
      </c>
    </row>
    <row r="1056" spans="2:15" x14ac:dyDescent="0.3">
      <c r="B1056" s="1" t="s">
        <v>24</v>
      </c>
      <c r="C1056" s="1" t="str">
        <f>"4차"</f>
        <v>4차</v>
      </c>
      <c r="D1056" s="1" t="str">
        <f>"0327F14139"</f>
        <v>0327F14139</v>
      </c>
      <c r="E1056" s="1" t="s">
        <v>10</v>
      </c>
      <c r="F1056" s="1" t="str">
        <f>"10.10.2.82"</f>
        <v>10.10.2.82</v>
      </c>
      <c r="G1056" s="1" t="str">
        <f>"0327F141"</f>
        <v>0327F141</v>
      </c>
      <c r="H1056" s="1" t="str">
        <f>"신배간 21R4"</f>
        <v>신배간 21R4</v>
      </c>
      <c r="I1056" s="1" t="s">
        <v>8</v>
      </c>
      <c r="J1056" s="1" t="str">
        <f>"123/135"</f>
        <v>123/135</v>
      </c>
      <c r="K1056" s="1" t="str">
        <f>"2026-07-29 13:18:03"</f>
        <v>2026-07-29 13:18:03</v>
      </c>
      <c r="L1056" s="1" t="str">
        <f>"2018-02-26 12:00:55"</f>
        <v>2018-02-26 12:00:55</v>
      </c>
      <c r="M1056" s="1" t="s">
        <v>1</v>
      </c>
      <c r="N1056" s="1" t="s">
        <v>38</v>
      </c>
      <c r="O1056" s="1" t="s">
        <v>46</v>
      </c>
    </row>
    <row r="1057" spans="2:15" x14ac:dyDescent="0.3">
      <c r="B1057" s="1" t="s">
        <v>24</v>
      </c>
      <c r="C1057" s="1" t="str">
        <f>"3차"</f>
        <v>3차</v>
      </c>
      <c r="D1057" s="1" t="str">
        <f>"0327F15231"</f>
        <v>0327F15231</v>
      </c>
      <c r="E1057" s="1" t="s">
        <v>10</v>
      </c>
      <c r="F1057" s="1" t="str">
        <f>"10.10.17.179"</f>
        <v>10.10.17.179</v>
      </c>
      <c r="G1057" s="1" t="str">
        <f>"0327F152"</f>
        <v>0327F152</v>
      </c>
      <c r="H1057" s="1" t="str">
        <f>"신배간 21R3R1"</f>
        <v>신배간 21R3R1</v>
      </c>
      <c r="I1057" s="1" t="s">
        <v>8</v>
      </c>
      <c r="J1057" s="1" t="str">
        <f>"12/12"</f>
        <v>12/12</v>
      </c>
      <c r="K1057" s="1" t="str">
        <f>"2026-07-29 13:18:01"</f>
        <v>2026-07-29 13:18:01</v>
      </c>
      <c r="L1057" s="1" t="str">
        <f>"2018-03-12 09:43:40"</f>
        <v>2018-03-12 09:43:40</v>
      </c>
      <c r="M1057" s="1" t="s">
        <v>1</v>
      </c>
      <c r="N1057" s="1" t="s">
        <v>38</v>
      </c>
      <c r="O1057" s="1" t="s">
        <v>46</v>
      </c>
    </row>
    <row r="1058" spans="2:15" x14ac:dyDescent="0.3">
      <c r="B1058" s="1" t="s">
        <v>24</v>
      </c>
      <c r="C1058" s="1" t="str">
        <f>"3차"</f>
        <v>3차</v>
      </c>
      <c r="D1058" s="1" t="str">
        <f>"0327F16139"</f>
        <v>0327F16139</v>
      </c>
      <c r="E1058" s="1" t="s">
        <v>10</v>
      </c>
      <c r="F1058" s="1" t="str">
        <f>"10.10.22.66"</f>
        <v>10.10.22.66</v>
      </c>
      <c r="G1058" s="1" t="str">
        <f>"0327F161"</f>
        <v>0327F161</v>
      </c>
      <c r="H1058" s="1" t="str">
        <f>"신배간 21R3R3"</f>
        <v>신배간 21R3R3</v>
      </c>
      <c r="I1058" s="1" t="s">
        <v>8</v>
      </c>
      <c r="J1058" s="1" t="str">
        <f>"52/53"</f>
        <v>52/53</v>
      </c>
      <c r="K1058" s="1" t="str">
        <f t="shared" ref="K1058:K1063" si="53">"2026-07-29 13:18:03"</f>
        <v>2026-07-29 13:18:03</v>
      </c>
      <c r="L1058" s="1" t="str">
        <f>"2018-01-31 14:21:11"</f>
        <v>2018-01-31 14:21:11</v>
      </c>
      <c r="M1058" s="1" t="s">
        <v>1</v>
      </c>
      <c r="N1058" s="1" t="s">
        <v>38</v>
      </c>
      <c r="O1058" s="1" t="s">
        <v>46</v>
      </c>
    </row>
    <row r="1059" spans="2:15" x14ac:dyDescent="0.3">
      <c r="B1059" s="1" t="s">
        <v>24</v>
      </c>
      <c r="C1059" s="1" t="str">
        <f>"3차"</f>
        <v>3차</v>
      </c>
      <c r="D1059" s="1" t="str">
        <f>"0327F16430"</f>
        <v>0327F16430</v>
      </c>
      <c r="E1059" s="1" t="s">
        <v>10</v>
      </c>
      <c r="F1059" s="1" t="str">
        <f>"10.10.17.178"</f>
        <v>10.10.17.178</v>
      </c>
      <c r="G1059" s="1" t="str">
        <f>"0327F164"</f>
        <v>0327F164</v>
      </c>
      <c r="H1059" s="1" t="str">
        <f>"신배간 21R3R2"</f>
        <v>신배간 21R3R2</v>
      </c>
      <c r="I1059" s="1" t="s">
        <v>8</v>
      </c>
      <c r="J1059" s="1" t="str">
        <f>"40/40"</f>
        <v>40/40</v>
      </c>
      <c r="K1059" s="1" t="str">
        <f t="shared" si="53"/>
        <v>2026-07-29 13:18:03</v>
      </c>
      <c r="L1059" s="1" t="str">
        <f>"2018-03-12 09:42:10"</f>
        <v>2018-03-12 09:42:10</v>
      </c>
      <c r="M1059" s="1" t="s">
        <v>1</v>
      </c>
      <c r="N1059" s="1" t="s">
        <v>38</v>
      </c>
      <c r="O1059" s="1" t="s">
        <v>46</v>
      </c>
    </row>
    <row r="1060" spans="2:15" x14ac:dyDescent="0.3">
      <c r="B1060" s="1" t="s">
        <v>24</v>
      </c>
      <c r="C1060" s="1" t="str">
        <f>"1차"</f>
        <v>1차</v>
      </c>
      <c r="D1060" s="1" t="str">
        <f>"0327F20200"</f>
        <v>0327F20200</v>
      </c>
      <c r="E1060" s="1" t="s">
        <v>10</v>
      </c>
      <c r="F1060" s="1" t="str">
        <f>"10.89.247.38"</f>
        <v>10.89.247.38</v>
      </c>
      <c r="G1060" s="1" t="str">
        <f>"0327F202"</f>
        <v>0327F202</v>
      </c>
      <c r="H1060" s="1" t="str">
        <f>"동부간 15R2R1L4"</f>
        <v>동부간 15R2R1L4</v>
      </c>
      <c r="I1060" s="1" t="s">
        <v>8</v>
      </c>
      <c r="J1060" s="1" t="str">
        <f>"105/105"</f>
        <v>105/105</v>
      </c>
      <c r="K1060" s="1" t="str">
        <f t="shared" si="53"/>
        <v>2026-07-29 13:18:03</v>
      </c>
      <c r="L1060" s="1" t="str">
        <f>"2014-10-22 16:14:30"</f>
        <v>2014-10-22 16:14:30</v>
      </c>
      <c r="M1060" s="1" t="s">
        <v>45</v>
      </c>
      <c r="N1060" s="1" t="s">
        <v>38</v>
      </c>
      <c r="O1060" s="1" t="s">
        <v>46</v>
      </c>
    </row>
    <row r="1061" spans="2:15" x14ac:dyDescent="0.3">
      <c r="B1061" s="1" t="s">
        <v>24</v>
      </c>
      <c r="C1061" s="1" t="str">
        <f>"3차"</f>
        <v>3차</v>
      </c>
      <c r="D1061" s="1" t="str">
        <f>"0327F24139"</f>
        <v>0327F24139</v>
      </c>
      <c r="E1061" s="1" t="s">
        <v>10</v>
      </c>
      <c r="F1061" s="1" t="str">
        <f>"10.10.17.162"</f>
        <v>10.10.17.162</v>
      </c>
      <c r="G1061" s="1" t="str">
        <f>"0327F241"</f>
        <v>0327F241</v>
      </c>
      <c r="H1061" s="1" t="str">
        <f>"신배간 21R3"</f>
        <v>신배간 21R3</v>
      </c>
      <c r="I1061" s="1" t="s">
        <v>8</v>
      </c>
      <c r="J1061" s="1" t="str">
        <f>"4/4"</f>
        <v>4/4</v>
      </c>
      <c r="K1061" s="1" t="str">
        <f t="shared" si="53"/>
        <v>2026-07-29 13:18:03</v>
      </c>
      <c r="L1061" s="1" t="str">
        <f>"2018-01-31 14:30:27"</f>
        <v>2018-01-31 14:30:27</v>
      </c>
      <c r="M1061" s="1" t="s">
        <v>1</v>
      </c>
      <c r="N1061" s="1" t="s">
        <v>38</v>
      </c>
      <c r="O1061" s="1" t="s">
        <v>46</v>
      </c>
    </row>
    <row r="1062" spans="2:15" x14ac:dyDescent="0.3">
      <c r="B1062" s="1" t="s">
        <v>24</v>
      </c>
      <c r="C1062" s="1" t="str">
        <f>"4차"</f>
        <v>4차</v>
      </c>
      <c r="D1062" s="1" t="str">
        <f>"0327F25339"</f>
        <v>0327F25339</v>
      </c>
      <c r="E1062" s="1" t="s">
        <v>10</v>
      </c>
      <c r="F1062" s="1" t="str">
        <f>"10.10.17.154"</f>
        <v>10.10.17.154</v>
      </c>
      <c r="G1062" s="1" t="str">
        <f>"0327F253"</f>
        <v>0327F253</v>
      </c>
      <c r="H1062" s="1" t="str">
        <f>"신배간 21R2"</f>
        <v>신배간 21R2</v>
      </c>
      <c r="I1062" s="1" t="s">
        <v>8</v>
      </c>
      <c r="J1062" s="1" t="str">
        <f>"63/63"</f>
        <v>63/63</v>
      </c>
      <c r="K1062" s="1" t="str">
        <f t="shared" si="53"/>
        <v>2026-07-29 13:18:03</v>
      </c>
      <c r="L1062" s="1" t="str">
        <f>"2018-01-31 13:51:56"</f>
        <v>2018-01-31 13:51:56</v>
      </c>
      <c r="M1062" s="1" t="s">
        <v>1</v>
      </c>
      <c r="N1062" s="1" t="s">
        <v>38</v>
      </c>
      <c r="O1062" s="1" t="s">
        <v>46</v>
      </c>
    </row>
    <row r="1063" spans="2:15" x14ac:dyDescent="0.3">
      <c r="B1063" s="1" t="s">
        <v>24</v>
      </c>
      <c r="C1063" s="1" t="str">
        <f>"3차"</f>
        <v>3차</v>
      </c>
      <c r="D1063" s="1" t="str">
        <f>"0327F26139"</f>
        <v>0327F26139</v>
      </c>
      <c r="E1063" s="1" t="s">
        <v>10</v>
      </c>
      <c r="F1063" s="1" t="str">
        <f>"10.10.15.74"</f>
        <v>10.10.15.74</v>
      </c>
      <c r="G1063" s="1" t="str">
        <f>"0327F261"</f>
        <v>0327F261</v>
      </c>
      <c r="H1063" s="1" t="str">
        <f>"신배간 19R1"</f>
        <v>신배간 19R1</v>
      </c>
      <c r="I1063" s="1" t="s">
        <v>8</v>
      </c>
      <c r="J1063" s="1" t="str">
        <f>"29/29"</f>
        <v>29/29</v>
      </c>
      <c r="K1063" s="1" t="str">
        <f t="shared" si="53"/>
        <v>2026-07-29 13:18:03</v>
      </c>
      <c r="L1063" s="1" t="str">
        <f>"2018-02-26 11:53:55"</f>
        <v>2018-02-26 11:53:55</v>
      </c>
      <c r="M1063" s="1" t="s">
        <v>1</v>
      </c>
      <c r="N1063" s="1" t="s">
        <v>38</v>
      </c>
      <c r="O1063" s="1" t="s">
        <v>46</v>
      </c>
    </row>
    <row r="1064" spans="2:15" x14ac:dyDescent="0.3">
      <c r="B1064" s="1" t="s">
        <v>24</v>
      </c>
      <c r="C1064" s="1" t="str">
        <f>"3차"</f>
        <v>3차</v>
      </c>
      <c r="D1064" s="1" t="str">
        <f>"0327F27139"</f>
        <v>0327F27139</v>
      </c>
      <c r="E1064" s="1" t="s">
        <v>10</v>
      </c>
      <c r="F1064" s="1" t="str">
        <f>"10.10.17.26"</f>
        <v>10.10.17.26</v>
      </c>
      <c r="G1064" s="1" t="str">
        <f>"0327F271"</f>
        <v>0327F271</v>
      </c>
      <c r="H1064" s="1" t="str">
        <f>"신배간 18"</f>
        <v>신배간 18</v>
      </c>
      <c r="I1064" s="1" t="s">
        <v>8</v>
      </c>
      <c r="J1064" s="1" t="str">
        <f>"69/69"</f>
        <v>69/69</v>
      </c>
      <c r="K1064" s="1" t="str">
        <f>"2026-07-29 13:18:02"</f>
        <v>2026-07-29 13:18:02</v>
      </c>
      <c r="L1064" s="1" t="str">
        <f>"2018-01-31 13:16:25"</f>
        <v>2018-01-31 13:16:25</v>
      </c>
      <c r="M1064" s="1" t="s">
        <v>1</v>
      </c>
      <c r="N1064" s="1" t="s">
        <v>38</v>
      </c>
      <c r="O1064" s="1" t="s">
        <v>46</v>
      </c>
    </row>
    <row r="1065" spans="2:15" x14ac:dyDescent="0.3">
      <c r="B1065" s="1" t="s">
        <v>24</v>
      </c>
      <c r="C1065" s="1" t="str">
        <f>"3차"</f>
        <v>3차</v>
      </c>
      <c r="D1065" s="1" t="str">
        <f>"0327F28139"</f>
        <v>0327F28139</v>
      </c>
      <c r="E1065" s="1" t="s">
        <v>10</v>
      </c>
      <c r="F1065" s="1" t="str">
        <f>"10.10.17.18"</f>
        <v>10.10.17.18</v>
      </c>
      <c r="G1065" s="1" t="str">
        <f>"0327F281"</f>
        <v>0327F281</v>
      </c>
      <c r="H1065" s="1" t="str">
        <f>"신배간 16"</f>
        <v>신배간 16</v>
      </c>
      <c r="I1065" s="1" t="s">
        <v>8</v>
      </c>
      <c r="J1065" s="1" t="str">
        <f>"43/43"</f>
        <v>43/43</v>
      </c>
      <c r="K1065" s="1" t="str">
        <f>"2026-07-29 13:18:02"</f>
        <v>2026-07-29 13:18:02</v>
      </c>
      <c r="L1065" s="1" t="str">
        <f>"2018-01-24 13:19:27"</f>
        <v>2018-01-24 13:19:27</v>
      </c>
      <c r="M1065" s="1" t="s">
        <v>1</v>
      </c>
      <c r="N1065" s="1" t="s">
        <v>38</v>
      </c>
      <c r="O1065" s="1" t="s">
        <v>46</v>
      </c>
    </row>
    <row r="1066" spans="2:15" x14ac:dyDescent="0.3">
      <c r="B1066" s="1" t="s">
        <v>24</v>
      </c>
      <c r="C1066" s="1" t="str">
        <f>"4차"</f>
        <v>4차</v>
      </c>
      <c r="D1066" s="1" t="str">
        <f>"0327F28444"</f>
        <v>0327F28444</v>
      </c>
      <c r="E1066" s="1" t="s">
        <v>10</v>
      </c>
      <c r="F1066" s="1" t="str">
        <f>"10.89.247.103"</f>
        <v>10.89.247.103</v>
      </c>
      <c r="G1066" s="1" t="str">
        <f>"0327F284"</f>
        <v>0327F284</v>
      </c>
      <c r="H1066" s="1" t="str">
        <f>"신배간 15"</f>
        <v>신배간 15</v>
      </c>
      <c r="I1066" s="1" t="s">
        <v>8</v>
      </c>
      <c r="J1066" s="1" t="str">
        <f>"26/26"</f>
        <v>26/26</v>
      </c>
      <c r="K1066" s="1" t="str">
        <f>"2026-07-29 13:18:03"</f>
        <v>2026-07-29 13:18:03</v>
      </c>
      <c r="L1066" s="1" t="str">
        <f>"2020-01-10 16:43:30"</f>
        <v>2020-01-10 16:43:30</v>
      </c>
      <c r="M1066" s="1" t="s">
        <v>45</v>
      </c>
      <c r="N1066" s="1" t="s">
        <v>38</v>
      </c>
      <c r="O1066" s="1" t="s">
        <v>46</v>
      </c>
    </row>
    <row r="1067" spans="2:15" x14ac:dyDescent="0.3">
      <c r="B1067" s="1" t="s">
        <v>24</v>
      </c>
      <c r="C1067" s="1" t="str">
        <f>"3차"</f>
        <v>3차</v>
      </c>
      <c r="D1067" s="1" t="str">
        <f>"0327F35139"</f>
        <v>0327F35139</v>
      </c>
      <c r="E1067" s="1" t="s">
        <v>10</v>
      </c>
      <c r="F1067" s="1" t="str">
        <f>"10.10.17.58"</f>
        <v>10.10.17.58</v>
      </c>
      <c r="G1067" s="1" t="str">
        <f>"0327F351"</f>
        <v>0327F351</v>
      </c>
      <c r="H1067" s="1" t="str">
        <f>"신배간 20"</f>
        <v>신배간 20</v>
      </c>
      <c r="I1067" s="1" t="s">
        <v>8</v>
      </c>
      <c r="J1067" s="1" t="str">
        <f>"3/3"</f>
        <v>3/3</v>
      </c>
      <c r="K1067" s="1" t="str">
        <f>"2026-07-29 13:18:02"</f>
        <v>2026-07-29 13:18:02</v>
      </c>
      <c r="L1067" s="1" t="str">
        <f>"2018-01-31 13:41:57"</f>
        <v>2018-01-31 13:41:57</v>
      </c>
      <c r="M1067" s="1" t="s">
        <v>1</v>
      </c>
      <c r="N1067" s="1" t="s">
        <v>38</v>
      </c>
      <c r="O1067" s="1" t="s">
        <v>46</v>
      </c>
    </row>
    <row r="1068" spans="2:15" x14ac:dyDescent="0.3">
      <c r="B1068" s="1" t="s">
        <v>24</v>
      </c>
      <c r="C1068" s="1" t="str">
        <f>"4차"</f>
        <v>4차</v>
      </c>
      <c r="D1068" s="1" t="str">
        <f>"0327F35231"</f>
        <v>0327F35231</v>
      </c>
      <c r="E1068" s="1" t="s">
        <v>14</v>
      </c>
      <c r="F1068" s="1" t="str">
        <f>"10.10.17.147"</f>
        <v>10.10.17.147</v>
      </c>
      <c r="G1068" s="1" t="str">
        <f>"0327F352"</f>
        <v>0327F352</v>
      </c>
      <c r="H1068" s="1" t="str">
        <f>"신배간 18L3"</f>
        <v>신배간 18L3</v>
      </c>
      <c r="I1068" s="1" t="s">
        <v>8</v>
      </c>
      <c r="J1068" s="1" t="str">
        <f>"0/0"</f>
        <v>0/0</v>
      </c>
      <c r="K1068" s="1" t="str">
        <f>"2026-07-29 13:18:01"</f>
        <v>2026-07-29 13:18:01</v>
      </c>
      <c r="L1068" s="1" t="str">
        <f>"2018-02-07 08:42:24"</f>
        <v>2018-02-07 08:42:24</v>
      </c>
      <c r="M1068" s="1" t="s">
        <v>1</v>
      </c>
      <c r="N1068" s="1" t="s">
        <v>38</v>
      </c>
      <c r="O1068" s="1" t="s">
        <v>44</v>
      </c>
    </row>
    <row r="1069" spans="2:15" x14ac:dyDescent="0.3">
      <c r="B1069" s="1" t="s">
        <v>24</v>
      </c>
      <c r="C1069" s="1" t="str">
        <f>"4차"</f>
        <v>4차</v>
      </c>
      <c r="D1069" s="1" t="str">
        <f>"0327F36130"</f>
        <v>0327F36130</v>
      </c>
      <c r="E1069" s="1" t="s">
        <v>10</v>
      </c>
      <c r="F1069" s="1" t="str">
        <f>"10.10.17.146"</f>
        <v>10.10.17.146</v>
      </c>
      <c r="G1069" s="1" t="str">
        <f>"0327F361"</f>
        <v>0327F361</v>
      </c>
      <c r="H1069" s="1" t="str">
        <f>"신배간 18L2"</f>
        <v>신배간 18L2</v>
      </c>
      <c r="I1069" s="1" t="s">
        <v>8</v>
      </c>
      <c r="J1069" s="1" t="str">
        <f>"79/80"</f>
        <v>79/80</v>
      </c>
      <c r="K1069" s="1" t="str">
        <f>"2026-07-29 13:18:02"</f>
        <v>2026-07-29 13:18:02</v>
      </c>
      <c r="L1069" s="1" t="str">
        <f>"2018-01-31 13:39:27"</f>
        <v>2018-01-31 13:39:27</v>
      </c>
      <c r="M1069" s="1" t="s">
        <v>1</v>
      </c>
      <c r="N1069" s="1" t="s">
        <v>38</v>
      </c>
      <c r="O1069" s="1" t="s">
        <v>46</v>
      </c>
    </row>
    <row r="1070" spans="2:15" x14ac:dyDescent="0.3">
      <c r="B1070" s="1" t="s">
        <v>24</v>
      </c>
      <c r="C1070" s="1" t="str">
        <f>"3차"</f>
        <v>3차</v>
      </c>
      <c r="D1070" s="1" t="str">
        <f>"0327F36239"</f>
        <v>0327F36239</v>
      </c>
      <c r="E1070" s="1" t="s">
        <v>10</v>
      </c>
      <c r="F1070" s="1" t="str">
        <f>"10.10.15.66"</f>
        <v>10.10.15.66</v>
      </c>
      <c r="G1070" s="1" t="str">
        <f>"0327F362"</f>
        <v>0327F362</v>
      </c>
      <c r="H1070" s="1" t="str">
        <f>"신배간 19"</f>
        <v>신배간 19</v>
      </c>
      <c r="I1070" s="1" t="s">
        <v>8</v>
      </c>
      <c r="J1070" s="1" t="str">
        <f>"28/28"</f>
        <v>28/28</v>
      </c>
      <c r="K1070" s="1" t="str">
        <f>"2026-07-29 13:18:02"</f>
        <v>2026-07-29 13:18:02</v>
      </c>
      <c r="L1070" s="1" t="str">
        <f>"2018-01-31 13:23:41"</f>
        <v>2018-01-31 13:23:41</v>
      </c>
      <c r="M1070" s="1" t="s">
        <v>1</v>
      </c>
      <c r="N1070" s="1" t="s">
        <v>38</v>
      </c>
      <c r="O1070" s="1" t="s">
        <v>46</v>
      </c>
    </row>
    <row r="1071" spans="2:15" x14ac:dyDescent="0.3">
      <c r="B1071" s="1" t="s">
        <v>24</v>
      </c>
      <c r="C1071" s="1" t="str">
        <f>"3차"</f>
        <v>3차</v>
      </c>
      <c r="D1071" s="1" t="str">
        <f>"0327F38339"</f>
        <v>0327F38339</v>
      </c>
      <c r="E1071" s="1" t="s">
        <v>10</v>
      </c>
      <c r="F1071" s="1" t="str">
        <f>"10.14.9.200"</f>
        <v>10.14.9.200</v>
      </c>
      <c r="G1071" s="1" t="str">
        <f>"0327F383"</f>
        <v>0327F383</v>
      </c>
      <c r="H1071" s="1" t="str">
        <f>"신배간 14L3"</f>
        <v>신배간 14L3</v>
      </c>
      <c r="I1071" s="1" t="s">
        <v>8</v>
      </c>
      <c r="J1071" s="1" t="str">
        <f>"45/45"</f>
        <v>45/45</v>
      </c>
      <c r="K1071" s="1" t="str">
        <f>"2026-07-29 13:18:03"</f>
        <v>2026-07-29 13:18:03</v>
      </c>
      <c r="L1071" s="1" t="str">
        <f>"2018-03-24 14:28:58"</f>
        <v>2018-03-24 14:28:58</v>
      </c>
      <c r="M1071" s="1" t="s">
        <v>3</v>
      </c>
      <c r="N1071" s="1" t="s">
        <v>38</v>
      </c>
      <c r="O1071" s="1" t="s">
        <v>46</v>
      </c>
    </row>
    <row r="1072" spans="2:15" x14ac:dyDescent="0.3">
      <c r="B1072" s="1" t="s">
        <v>24</v>
      </c>
      <c r="C1072" s="1" t="str">
        <f>"4차"</f>
        <v>4차</v>
      </c>
      <c r="D1072" s="1" t="str">
        <f>"0327F38439"</f>
        <v>0327F38439</v>
      </c>
      <c r="E1072" s="1" t="s">
        <v>10</v>
      </c>
      <c r="F1072" s="1" t="str">
        <f>"10.10.5.146"</f>
        <v>10.10.5.146</v>
      </c>
      <c r="G1072" s="1" t="str">
        <f>"0327F384"</f>
        <v>0327F384</v>
      </c>
      <c r="H1072" s="1" t="str">
        <f>"한독간 26R15"</f>
        <v>한독간 26R15</v>
      </c>
      <c r="I1072" s="1" t="s">
        <v>8</v>
      </c>
      <c r="J1072" s="1" t="str">
        <f>"34/34"</f>
        <v>34/34</v>
      </c>
      <c r="K1072" s="1" t="str">
        <f>"2026-07-29 13:18:02"</f>
        <v>2026-07-29 13:18:02</v>
      </c>
      <c r="L1072" s="1" t="str">
        <f>"2018-02-01 17:17:44"</f>
        <v>2018-02-01 17:17:44</v>
      </c>
      <c r="M1072" s="1" t="s">
        <v>1</v>
      </c>
      <c r="N1072" s="1" t="s">
        <v>38</v>
      </c>
      <c r="O1072" s="1" t="s">
        <v>46</v>
      </c>
    </row>
    <row r="1073" spans="2:15" x14ac:dyDescent="0.3">
      <c r="B1073" s="1" t="s">
        <v>24</v>
      </c>
      <c r="C1073" s="1" t="str">
        <f>"4차"</f>
        <v>4차</v>
      </c>
      <c r="D1073" s="1" t="str">
        <f>"0327F38539"</f>
        <v>0327F38539</v>
      </c>
      <c r="E1073" s="1" t="s">
        <v>10</v>
      </c>
      <c r="F1073" s="1" t="str">
        <f>"10.10.5.154"</f>
        <v>10.10.5.154</v>
      </c>
      <c r="G1073" s="1" t="str">
        <f>"0327F385"</f>
        <v>0327F385</v>
      </c>
      <c r="H1073" s="1" t="str">
        <f>"한독간 26R16"</f>
        <v>한독간 26R16</v>
      </c>
      <c r="I1073" s="1" t="s">
        <v>8</v>
      </c>
      <c r="J1073" s="1" t="str">
        <f>"26/26"</f>
        <v>26/26</v>
      </c>
      <c r="K1073" s="1" t="str">
        <f>"2026-07-29 13:18:02"</f>
        <v>2026-07-29 13:18:02</v>
      </c>
      <c r="L1073" s="1" t="str">
        <f>"2018-02-19 13:06:10"</f>
        <v>2018-02-19 13:06:10</v>
      </c>
      <c r="M1073" s="1" t="s">
        <v>1</v>
      </c>
      <c r="N1073" s="1" t="s">
        <v>38</v>
      </c>
      <c r="O1073" s="1" t="s">
        <v>46</v>
      </c>
    </row>
    <row r="1074" spans="2:15" x14ac:dyDescent="0.3">
      <c r="B1074" s="1" t="s">
        <v>24</v>
      </c>
      <c r="C1074" s="1" t="str">
        <f>"4차"</f>
        <v>4차</v>
      </c>
      <c r="D1074" s="1" t="str">
        <f>"0327F41241"</f>
        <v>0327F41241</v>
      </c>
      <c r="E1074" s="1" t="s">
        <v>10</v>
      </c>
      <c r="F1074" s="1" t="str">
        <f>"10.14.6.110"</f>
        <v>10.14.6.110</v>
      </c>
      <c r="G1074" s="1" t="str">
        <f>"0327F412"</f>
        <v>0327F412</v>
      </c>
      <c r="H1074" s="1" t="str">
        <f>"화목간 5R3"</f>
        <v>화목간 5R3</v>
      </c>
      <c r="I1074" s="1" t="s">
        <v>17</v>
      </c>
      <c r="J1074" s="1" t="str">
        <f>"18/18"</f>
        <v>18/18</v>
      </c>
      <c r="K1074" s="1" t="str">
        <f>"2026-07-29 13:18:03"</f>
        <v>2026-07-29 13:18:03</v>
      </c>
      <c r="L1074" s="1" t="str">
        <f>"2021-10-19 11:50:14"</f>
        <v>2021-10-19 11:50:14</v>
      </c>
      <c r="M1074" s="1" t="s">
        <v>3</v>
      </c>
      <c r="N1074" s="1" t="s">
        <v>38</v>
      </c>
      <c r="O1074" s="1" t="s">
        <v>46</v>
      </c>
    </row>
    <row r="1075" spans="2:15" x14ac:dyDescent="0.3">
      <c r="B1075" s="1" t="s">
        <v>24</v>
      </c>
      <c r="C1075" s="1" t="str">
        <f>"4차"</f>
        <v>4차</v>
      </c>
      <c r="D1075" s="1" t="str">
        <f>"0327F42845"</f>
        <v>0327F42845</v>
      </c>
      <c r="E1075" s="1" t="s">
        <v>10</v>
      </c>
      <c r="F1075" s="1" t="str">
        <f>"10.14.7.29"</f>
        <v>10.14.7.29</v>
      </c>
      <c r="G1075" s="1" t="str">
        <f>"0327F428"</f>
        <v>0327F428</v>
      </c>
      <c r="H1075" s="1" t="str">
        <f>"동부시장 2"</f>
        <v>동부시장 2</v>
      </c>
      <c r="I1075" s="1" t="s">
        <v>17</v>
      </c>
      <c r="J1075" s="1" t="str">
        <f>"4/4"</f>
        <v>4/4</v>
      </c>
      <c r="K1075" s="1" t="str">
        <f>"2026-07-29 13:18:03"</f>
        <v>2026-07-29 13:18:03</v>
      </c>
      <c r="L1075" s="1" t="str">
        <f>"2021-06-29 09:44:47"</f>
        <v>2021-06-29 09:44:47</v>
      </c>
      <c r="M1075" s="1" t="s">
        <v>3</v>
      </c>
      <c r="N1075" s="1" t="s">
        <v>38</v>
      </c>
      <c r="O1075" s="1" t="s">
        <v>46</v>
      </c>
    </row>
    <row r="1076" spans="2:15" x14ac:dyDescent="0.3">
      <c r="B1076" s="1" t="s">
        <v>24</v>
      </c>
      <c r="C1076" s="1" t="str">
        <f>"4차"</f>
        <v>4차</v>
      </c>
      <c r="D1076" s="1" t="str">
        <f>"0327F42945"</f>
        <v>0327F42945</v>
      </c>
      <c r="E1076" s="1" t="s">
        <v>10</v>
      </c>
      <c r="F1076" s="1" t="str">
        <f>"10.14.13.5"</f>
        <v>10.14.13.5</v>
      </c>
      <c r="G1076" s="1" t="str">
        <f>"0327F429"</f>
        <v>0327F429</v>
      </c>
      <c r="H1076" s="1" t="str">
        <f>"동부시장 1"</f>
        <v>동부시장 1</v>
      </c>
      <c r="I1076" s="1" t="s">
        <v>17</v>
      </c>
      <c r="J1076" s="1" t="str">
        <f>"4/4"</f>
        <v>4/4</v>
      </c>
      <c r="K1076" s="1" t="str">
        <f>"2026-07-29 13:18:03"</f>
        <v>2026-07-29 13:18:03</v>
      </c>
      <c r="L1076" s="1" t="str">
        <f>"2021-06-29 10:05:00"</f>
        <v>2021-06-29 10:05:00</v>
      </c>
      <c r="M1076" s="1" t="s">
        <v>3</v>
      </c>
      <c r="N1076" s="1" t="s">
        <v>38</v>
      </c>
      <c r="O1076" s="1" t="s">
        <v>46</v>
      </c>
    </row>
    <row r="1077" spans="2:15" x14ac:dyDescent="0.3">
      <c r="B1077" s="1" t="s">
        <v>24</v>
      </c>
      <c r="C1077" s="1" t="str">
        <f>"3차"</f>
        <v>3차</v>
      </c>
      <c r="D1077" s="1" t="str">
        <f>"0327F47639"</f>
        <v>0327F47639</v>
      </c>
      <c r="E1077" s="1" t="s">
        <v>10</v>
      </c>
      <c r="F1077" s="1" t="str">
        <f>"10.12.128.53"</f>
        <v>10.12.128.53</v>
      </c>
      <c r="G1077" s="1" t="str">
        <f>"0327F476"</f>
        <v>0327F476</v>
      </c>
      <c r="H1077" s="1" t="str">
        <f>"신배간 14L5"</f>
        <v>신배간 14L5</v>
      </c>
      <c r="I1077" s="1" t="s">
        <v>8</v>
      </c>
      <c r="J1077" s="1" t="str">
        <f>"97/97"</f>
        <v>97/97</v>
      </c>
      <c r="K1077" s="1" t="str">
        <f>"2026-07-29 13:18:03"</f>
        <v>2026-07-29 13:18:03</v>
      </c>
      <c r="L1077" s="1" t="str">
        <f>"2018-03-24 15:05:29"</f>
        <v>2018-03-24 15:05:29</v>
      </c>
      <c r="M1077" s="1" t="s">
        <v>0</v>
      </c>
      <c r="N1077" s="1" t="s">
        <v>38</v>
      </c>
      <c r="O1077" s="1" t="s">
        <v>46</v>
      </c>
    </row>
    <row r="1078" spans="2:15" x14ac:dyDescent="0.3">
      <c r="B1078" s="1" t="s">
        <v>24</v>
      </c>
      <c r="C1078" s="1" t="str">
        <f>"4차"</f>
        <v>4차</v>
      </c>
      <c r="D1078" s="1" t="str">
        <f>"0327F48239"</f>
        <v>0327F48239</v>
      </c>
      <c r="E1078" s="1" t="s">
        <v>10</v>
      </c>
      <c r="F1078" s="1" t="str">
        <f>"10.10.5.162"</f>
        <v>10.10.5.162</v>
      </c>
      <c r="G1078" s="1" t="str">
        <f>"0327F482"</f>
        <v>0327F482</v>
      </c>
      <c r="H1078" s="1" t="str">
        <f>"한독간 26R18"</f>
        <v>한독간 26R18</v>
      </c>
      <c r="I1078" s="1" t="s">
        <v>8</v>
      </c>
      <c r="J1078" s="1" t="str">
        <f>"61/68"</f>
        <v>61/68</v>
      </c>
      <c r="K1078" s="1" t="str">
        <f>"2026-07-29 13:18:02"</f>
        <v>2026-07-29 13:18:02</v>
      </c>
      <c r="L1078" s="1" t="str">
        <f>"2018-02-19 14:00:26"</f>
        <v>2018-02-19 14:00:26</v>
      </c>
      <c r="M1078" s="1" t="s">
        <v>1</v>
      </c>
      <c r="N1078" s="1" t="s">
        <v>38</v>
      </c>
      <c r="O1078" s="1" t="s">
        <v>46</v>
      </c>
    </row>
    <row r="1079" spans="2:15" x14ac:dyDescent="0.3">
      <c r="B1079" s="1" t="s">
        <v>24</v>
      </c>
      <c r="C1079" s="1" t="str">
        <f>"4차"</f>
        <v>4차</v>
      </c>
      <c r="D1079" s="1" t="str">
        <f>"0327F49139"</f>
        <v>0327F49139</v>
      </c>
      <c r="E1079" s="1" t="s">
        <v>10</v>
      </c>
      <c r="F1079" s="1" t="str">
        <f>"10.10.7.234"</f>
        <v>10.10.7.234</v>
      </c>
      <c r="G1079" s="1" t="str">
        <f>"0327F491"</f>
        <v>0327F491</v>
      </c>
      <c r="H1079" s="1" t="str">
        <f>"한독간 26R11L1R1"</f>
        <v>한독간 26R11L1R1</v>
      </c>
      <c r="I1079" s="1" t="s">
        <v>8</v>
      </c>
      <c r="J1079" s="1" t="str">
        <f>"35/35"</f>
        <v>35/35</v>
      </c>
      <c r="K1079" s="1" t="str">
        <f>"2026-07-29 13:18:02"</f>
        <v>2026-07-29 13:18:02</v>
      </c>
      <c r="L1079" s="1" t="str">
        <f>"2018-02-22 13:52:15"</f>
        <v>2018-02-22 13:52:15</v>
      </c>
      <c r="M1079" s="1" t="s">
        <v>1</v>
      </c>
      <c r="N1079" s="1" t="s">
        <v>38</v>
      </c>
      <c r="O1079" s="1" t="s">
        <v>46</v>
      </c>
    </row>
    <row r="1080" spans="2:15" x14ac:dyDescent="0.3">
      <c r="B1080" s="1" t="s">
        <v>24</v>
      </c>
      <c r="C1080" s="1" t="str">
        <f>"4차"</f>
        <v>4차</v>
      </c>
      <c r="D1080" s="1" t="str">
        <f>"0327F51141"</f>
        <v>0327F51141</v>
      </c>
      <c r="E1080" s="1" t="s">
        <v>10</v>
      </c>
      <c r="F1080" s="1" t="str">
        <f>"10.12.133.121"</f>
        <v>10.12.133.121</v>
      </c>
      <c r="G1080" s="1" t="str">
        <f>"0327F511"</f>
        <v>0327F511</v>
      </c>
      <c r="H1080" s="1" t="str">
        <f>"화목간 5R1"</f>
        <v>화목간 5R1</v>
      </c>
      <c r="I1080" s="1" t="s">
        <v>17</v>
      </c>
      <c r="J1080" s="1" t="str">
        <f>"147/147"</f>
        <v>147/147</v>
      </c>
      <c r="K1080" s="1" t="str">
        <f>"2026-07-29 13:18:02"</f>
        <v>2026-07-29 13:18:02</v>
      </c>
      <c r="L1080" s="1" t="str">
        <f>"2025-05-21 14:15:32"</f>
        <v>2025-05-21 14:15:32</v>
      </c>
      <c r="M1080" s="1" t="s">
        <v>0</v>
      </c>
      <c r="N1080" s="1" t="s">
        <v>38</v>
      </c>
      <c r="O1080" s="1" t="s">
        <v>46</v>
      </c>
    </row>
    <row r="1081" spans="2:15" x14ac:dyDescent="0.3">
      <c r="B1081" s="1" t="s">
        <v>24</v>
      </c>
      <c r="C1081" s="1" t="str">
        <f>"3차"</f>
        <v>3차</v>
      </c>
      <c r="D1081" s="1" t="str">
        <f>"0327F56139"</f>
        <v>0327F56139</v>
      </c>
      <c r="E1081" s="1" t="s">
        <v>10</v>
      </c>
      <c r="F1081" s="1" t="str">
        <f>"10.10.17.122"</f>
        <v>10.10.17.122</v>
      </c>
      <c r="G1081" s="1" t="str">
        <f>"0327F561"</f>
        <v>0327F561</v>
      </c>
      <c r="H1081" s="1" t="str">
        <f>"신배간 14L7"</f>
        <v>신배간 14L7</v>
      </c>
      <c r="I1081" s="1" t="s">
        <v>8</v>
      </c>
      <c r="J1081" s="1" t="str">
        <f>"108/108"</f>
        <v>108/108</v>
      </c>
      <c r="K1081" s="1" t="str">
        <f>"2026-07-29 13:18:02"</f>
        <v>2026-07-29 13:18:02</v>
      </c>
      <c r="L1081" s="1" t="str">
        <f>"2018-01-31 11:55:56"</f>
        <v>2018-01-31 11:55:56</v>
      </c>
      <c r="M1081" s="1" t="s">
        <v>1</v>
      </c>
      <c r="N1081" s="1" t="s">
        <v>38</v>
      </c>
      <c r="O1081" s="1" t="s">
        <v>46</v>
      </c>
    </row>
    <row r="1082" spans="2:15" x14ac:dyDescent="0.3">
      <c r="B1082" s="1" t="s">
        <v>24</v>
      </c>
      <c r="C1082" s="1" t="str">
        <f>"3차"</f>
        <v>3차</v>
      </c>
      <c r="D1082" s="1" t="str">
        <f>"0327F57339"</f>
        <v>0327F57339</v>
      </c>
      <c r="E1082" s="1" t="s">
        <v>10</v>
      </c>
      <c r="F1082" s="1" t="str">
        <f>"10.14.5.191"</f>
        <v>10.14.5.191</v>
      </c>
      <c r="G1082" s="1" t="str">
        <f>"0327F573"</f>
        <v>0327F573</v>
      </c>
      <c r="H1082" s="1" t="str">
        <f>"신배간 14L6"</f>
        <v>신배간 14L6</v>
      </c>
      <c r="I1082" s="1" t="s">
        <v>8</v>
      </c>
      <c r="J1082" s="1" t="str">
        <f>"68/74"</f>
        <v>68/74</v>
      </c>
      <c r="K1082" s="1" t="str">
        <f>"2026-07-29 13:18:03"</f>
        <v>2026-07-29 13:18:03</v>
      </c>
      <c r="L1082" s="1" t="str">
        <f>"2018-03-24 15:44:13"</f>
        <v>2018-03-24 15:44:13</v>
      </c>
      <c r="M1082" s="1" t="s">
        <v>3</v>
      </c>
      <c r="N1082" s="1" t="s">
        <v>38</v>
      </c>
      <c r="O1082" s="1" t="s">
        <v>46</v>
      </c>
    </row>
    <row r="1083" spans="2:15" x14ac:dyDescent="0.3">
      <c r="B1083" s="1" t="s">
        <v>24</v>
      </c>
      <c r="C1083" s="1" t="str">
        <f>"4차"</f>
        <v>4차</v>
      </c>
      <c r="D1083" s="1" t="str">
        <f>"0327F57439"</f>
        <v>0327F57439</v>
      </c>
      <c r="E1083" s="1" t="s">
        <v>10</v>
      </c>
      <c r="F1083" s="1" t="str">
        <f>"10.10.5.170"</f>
        <v>10.10.5.170</v>
      </c>
      <c r="G1083" s="1" t="str">
        <f>"0327F574"</f>
        <v>0327F574</v>
      </c>
      <c r="H1083" s="1" t="str">
        <f>"한독간 26R19"</f>
        <v>한독간 26R19</v>
      </c>
      <c r="I1083" s="1" t="s">
        <v>8</v>
      </c>
      <c r="J1083" s="1" t="str">
        <f>"103/104"</f>
        <v>103/104</v>
      </c>
      <c r="K1083" s="1" t="str">
        <f>"2026-07-29 13:18:02"</f>
        <v>2026-07-29 13:18:02</v>
      </c>
      <c r="L1083" s="1" t="str">
        <f>"2018-02-19 11:08:56"</f>
        <v>2018-02-19 11:08:56</v>
      </c>
      <c r="M1083" s="1" t="s">
        <v>1</v>
      </c>
      <c r="N1083" s="1" t="s">
        <v>38</v>
      </c>
      <c r="O1083" s="1" t="s">
        <v>46</v>
      </c>
    </row>
    <row r="1084" spans="2:15" x14ac:dyDescent="0.3">
      <c r="B1084" s="1" t="s">
        <v>24</v>
      </c>
      <c r="C1084" s="1" t="str">
        <f>"1차"</f>
        <v>1차</v>
      </c>
      <c r="D1084" s="1" t="str">
        <f>"0327F60100"</f>
        <v>0327F60100</v>
      </c>
      <c r="E1084" s="1" t="s">
        <v>10</v>
      </c>
      <c r="F1084" s="1" t="str">
        <f>"10.89.248.74"</f>
        <v>10.89.248.74</v>
      </c>
      <c r="G1084" s="1" t="str">
        <f>"0327F601"</f>
        <v>0327F601</v>
      </c>
      <c r="H1084" s="1" t="str">
        <f>"동부시장SW 3L3"</f>
        <v>동부시장SW 3L3</v>
      </c>
      <c r="I1084" s="1" t="s">
        <v>8</v>
      </c>
      <c r="J1084" s="1" t="str">
        <f>"18/18"</f>
        <v>18/18</v>
      </c>
      <c r="K1084" s="1" t="str">
        <f>"2026-07-29 13:18:02"</f>
        <v>2026-07-29 13:18:02</v>
      </c>
      <c r="L1084" s="1" t="str">
        <f>"2014-10-03 23:12:52"</f>
        <v>2014-10-03 23:12:52</v>
      </c>
      <c r="M1084" s="1" t="s">
        <v>45</v>
      </c>
      <c r="N1084" s="1" t="s">
        <v>38</v>
      </c>
      <c r="O1084" s="1" t="s">
        <v>46</v>
      </c>
    </row>
    <row r="1085" spans="2:15" x14ac:dyDescent="0.3">
      <c r="B1085" s="1" t="s">
        <v>24</v>
      </c>
      <c r="C1085" s="1" t="str">
        <f>"4차"</f>
        <v>4차</v>
      </c>
      <c r="D1085" s="1" t="str">
        <f>"0327F60241"</f>
        <v>0327F60241</v>
      </c>
      <c r="E1085" s="1" t="s">
        <v>10</v>
      </c>
      <c r="F1085" s="1" t="str">
        <f>"10.14.9.40"</f>
        <v>10.14.9.40</v>
      </c>
      <c r="G1085" s="1" t="str">
        <f>"0327F602"</f>
        <v>0327F602</v>
      </c>
      <c r="H1085" s="1" t="str">
        <f>"동부시장SW 3L4"</f>
        <v>동부시장SW 3L4</v>
      </c>
      <c r="I1085" s="1" t="s">
        <v>17</v>
      </c>
      <c r="J1085" s="1" t="str">
        <f>"115/115"</f>
        <v>115/115</v>
      </c>
      <c r="K1085" s="1" t="str">
        <f>"2026-07-29 13:18:03"</f>
        <v>2026-07-29 13:18:03</v>
      </c>
      <c r="L1085" s="1" t="str">
        <f>"2021-10-19 13:22:41"</f>
        <v>2021-10-19 13:22:41</v>
      </c>
      <c r="M1085" s="1" t="s">
        <v>3</v>
      </c>
      <c r="N1085" s="1" t="s">
        <v>38</v>
      </c>
      <c r="O1085" s="1" t="s">
        <v>46</v>
      </c>
    </row>
    <row r="1086" spans="2:15" x14ac:dyDescent="0.3">
      <c r="B1086" s="1" t="s">
        <v>24</v>
      </c>
      <c r="C1086" s="1" t="str">
        <f>"4차"</f>
        <v>4차</v>
      </c>
      <c r="D1086" s="1" t="str">
        <f>"0327F62141"</f>
        <v>0327F62141</v>
      </c>
      <c r="E1086" s="1" t="s">
        <v>10</v>
      </c>
      <c r="F1086" s="1" t="str">
        <f>"10.14.14.177"</f>
        <v>10.14.14.177</v>
      </c>
      <c r="G1086" s="1" t="str">
        <f>"0327F621"</f>
        <v>0327F621</v>
      </c>
      <c r="H1086" s="1" t="str">
        <f>"화목간 3L1"</f>
        <v>화목간 3L1</v>
      </c>
      <c r="I1086" s="1" t="s">
        <v>17</v>
      </c>
      <c r="J1086" s="1" t="str">
        <f>"24/24"</f>
        <v>24/24</v>
      </c>
      <c r="K1086" s="1" t="str">
        <f>"2026-07-29 13:18:03"</f>
        <v>2026-07-29 13:18:03</v>
      </c>
      <c r="L1086" s="1" t="str">
        <f>"2021-10-19 11:13:44"</f>
        <v>2021-10-19 11:13:44</v>
      </c>
      <c r="M1086" s="1" t="s">
        <v>3</v>
      </c>
      <c r="N1086" s="1" t="s">
        <v>38</v>
      </c>
      <c r="O1086" s="1" t="s">
        <v>46</v>
      </c>
    </row>
    <row r="1087" spans="2:15" x14ac:dyDescent="0.3">
      <c r="B1087" s="1" t="s">
        <v>24</v>
      </c>
      <c r="C1087" s="1" t="str">
        <f>"3차"</f>
        <v>3차</v>
      </c>
      <c r="D1087" s="1" t="str">
        <f>"0327F67439"</f>
        <v>0327F67439</v>
      </c>
      <c r="E1087" s="1" t="s">
        <v>10</v>
      </c>
      <c r="F1087" s="1" t="str">
        <f>"10.12.128.54"</f>
        <v>10.12.128.54</v>
      </c>
      <c r="G1087" s="1" t="str">
        <f>"0327F674"</f>
        <v>0327F674</v>
      </c>
      <c r="H1087" s="1" t="str">
        <f>"신배간 14L6L1"</f>
        <v>신배간 14L6L1</v>
      </c>
      <c r="I1087" s="1" t="s">
        <v>8</v>
      </c>
      <c r="J1087" s="1" t="str">
        <f>"25/25"</f>
        <v>25/25</v>
      </c>
      <c r="K1087" s="1" t="str">
        <f>"2026-07-29 13:18:01"</f>
        <v>2026-07-29 13:18:01</v>
      </c>
      <c r="L1087" s="1" t="str">
        <f>"2018-03-24 16:19:31"</f>
        <v>2018-03-24 16:19:31</v>
      </c>
      <c r="M1087" s="1" t="s">
        <v>0</v>
      </c>
      <c r="N1087" s="1" t="s">
        <v>38</v>
      </c>
      <c r="O1087" s="1" t="s">
        <v>46</v>
      </c>
    </row>
    <row r="1088" spans="2:15" x14ac:dyDescent="0.3">
      <c r="B1088" s="1" t="s">
        <v>24</v>
      </c>
      <c r="C1088" s="1" t="str">
        <f>"5-2차"</f>
        <v>5-2차</v>
      </c>
      <c r="D1088" s="1" t="str">
        <f>"0327F7115M"</f>
        <v>0327F7115M</v>
      </c>
      <c r="E1088" s="1" t="s">
        <v>10</v>
      </c>
      <c r="F1088" s="1" t="str">
        <f>"fde1:103:4:91a7:0:0:0:2"</f>
        <v>fde1:103:4:91a7:0:0:0:2</v>
      </c>
      <c r="G1088" s="1" t="str">
        <f>"0327F711"</f>
        <v>0327F711</v>
      </c>
      <c r="H1088" s="1" t="str">
        <f>"화목간 9L2"</f>
        <v>화목간 9L2</v>
      </c>
      <c r="I1088" s="1" t="s">
        <v>15</v>
      </c>
      <c r="J1088" s="1" t="str">
        <f>"48/48"</f>
        <v>48/48</v>
      </c>
      <c r="K1088" s="1" t="str">
        <f>"2026-07-29 14:20:55"</f>
        <v>2026-07-29 14:20:55</v>
      </c>
      <c r="L1088" s="1" t="str">
        <f>"2024-01-22 17:09:26"</f>
        <v>2024-01-22 17:09:26</v>
      </c>
      <c r="M1088" s="1" t="s">
        <v>4</v>
      </c>
      <c r="N1088" s="1" t="s">
        <v>38</v>
      </c>
      <c r="O1088" s="1" t="s">
        <v>46</v>
      </c>
    </row>
    <row r="1089" spans="2:15" x14ac:dyDescent="0.3">
      <c r="B1089" s="1" t="s">
        <v>24</v>
      </c>
      <c r="C1089" s="1" t="str">
        <f>"4차"</f>
        <v>4차</v>
      </c>
      <c r="D1089" s="1" t="str">
        <f>"0327F71241"</f>
        <v>0327F71241</v>
      </c>
      <c r="E1089" s="1" t="s">
        <v>10</v>
      </c>
      <c r="F1089" s="1" t="str">
        <f>"10.14.15.114"</f>
        <v>10.14.15.114</v>
      </c>
      <c r="G1089" s="1" t="str">
        <f>"0327F712"</f>
        <v>0327F712</v>
      </c>
      <c r="H1089" s="1" t="str">
        <f>"화목간 8"</f>
        <v>화목간 8</v>
      </c>
      <c r="I1089" s="1" t="s">
        <v>17</v>
      </c>
      <c r="J1089" s="1" t="str">
        <f>"7/7"</f>
        <v>7/7</v>
      </c>
      <c r="K1089" s="1" t="str">
        <f>"2026-07-29 13:18:04"</f>
        <v>2026-07-29 13:18:04</v>
      </c>
      <c r="L1089" s="1" t="str">
        <f>"2021-10-19 09:55:24"</f>
        <v>2021-10-19 09:55:24</v>
      </c>
      <c r="M1089" s="1" t="s">
        <v>3</v>
      </c>
      <c r="N1089" s="1" t="s">
        <v>38</v>
      </c>
      <c r="O1089" s="1" t="s">
        <v>46</v>
      </c>
    </row>
    <row r="1090" spans="2:15" x14ac:dyDescent="0.3">
      <c r="B1090" s="1" t="s">
        <v>24</v>
      </c>
      <c r="C1090" s="1" t="str">
        <f>"3차"</f>
        <v>3차</v>
      </c>
      <c r="D1090" s="1" t="str">
        <f>"0327F76139"</f>
        <v>0327F76139</v>
      </c>
      <c r="E1090" s="1" t="s">
        <v>10</v>
      </c>
      <c r="F1090" s="1" t="str">
        <f>"10.10.15.82"</f>
        <v>10.10.15.82</v>
      </c>
      <c r="G1090" s="1" t="str">
        <f>"0327F761"</f>
        <v>0327F761</v>
      </c>
      <c r="H1090" s="1" t="str">
        <f>"신배간 14L10"</f>
        <v>신배간 14L10</v>
      </c>
      <c r="I1090" s="1" t="s">
        <v>8</v>
      </c>
      <c r="J1090" s="1" t="str">
        <f>"28/28"</f>
        <v>28/28</v>
      </c>
      <c r="K1090" s="1" t="str">
        <f>"2026-07-29 13:18:03"</f>
        <v>2026-07-29 13:18:03</v>
      </c>
      <c r="L1090" s="1" t="str">
        <f>"2018-02-26 09:33:54"</f>
        <v>2018-02-26 09:33:54</v>
      </c>
      <c r="M1090" s="1" t="s">
        <v>1</v>
      </c>
      <c r="N1090" s="1" t="s">
        <v>38</v>
      </c>
      <c r="O1090" s="1" t="s">
        <v>46</v>
      </c>
    </row>
    <row r="1091" spans="2:15" x14ac:dyDescent="0.3">
      <c r="B1091" s="1" t="s">
        <v>24</v>
      </c>
      <c r="C1091" s="1" t="str">
        <f>"3차"</f>
        <v>3차</v>
      </c>
      <c r="D1091" s="1" t="str">
        <f>"0327F77239"</f>
        <v>0327F77239</v>
      </c>
      <c r="E1091" s="1" t="s">
        <v>10</v>
      </c>
      <c r="F1091" s="1" t="str">
        <f>"10.10.6.202"</f>
        <v>10.10.6.202</v>
      </c>
      <c r="G1091" s="1" t="str">
        <f>"0327F772"</f>
        <v>0327F772</v>
      </c>
      <c r="H1091" s="1" t="str">
        <f>"한독간 45L1"</f>
        <v>한독간 45L1</v>
      </c>
      <c r="I1091" s="1" t="s">
        <v>8</v>
      </c>
      <c r="J1091" s="1" t="str">
        <f>"23/23"</f>
        <v>23/23</v>
      </c>
      <c r="K1091" s="1" t="str">
        <f>"2026-07-29 13:18:02"</f>
        <v>2026-07-29 13:18:02</v>
      </c>
      <c r="L1091" s="1" t="str">
        <f>"2021-07-27 09:41:07"</f>
        <v>2021-07-27 09:41:07</v>
      </c>
      <c r="M1091" s="1" t="s">
        <v>1</v>
      </c>
      <c r="N1091" s="1" t="s">
        <v>38</v>
      </c>
      <c r="O1091" s="1" t="s">
        <v>46</v>
      </c>
    </row>
    <row r="1092" spans="2:15" x14ac:dyDescent="0.3">
      <c r="B1092" s="1" t="s">
        <v>24</v>
      </c>
      <c r="C1092" s="1" t="str">
        <f>"3차"</f>
        <v>3차</v>
      </c>
      <c r="D1092" s="1" t="str">
        <f>"0327F78439"</f>
        <v>0327F78439</v>
      </c>
      <c r="E1092" s="1" t="s">
        <v>10</v>
      </c>
      <c r="F1092" s="1" t="str">
        <f>"10.10.6.194"</f>
        <v>10.10.6.194</v>
      </c>
      <c r="G1092" s="1" t="str">
        <f>"0327F784"</f>
        <v>0327F784</v>
      </c>
      <c r="H1092" s="1" t="str">
        <f>"한독간 45"</f>
        <v>한독간 45</v>
      </c>
      <c r="I1092" s="1" t="s">
        <v>8</v>
      </c>
      <c r="J1092" s="1" t="str">
        <f>"89/89"</f>
        <v>89/89</v>
      </c>
      <c r="K1092" s="1" t="str">
        <f>"2026-07-29 13:18:01"</f>
        <v>2026-07-29 13:18:01</v>
      </c>
      <c r="L1092" s="1" t="str">
        <f>"2018-03-14 11:49:41"</f>
        <v>2018-03-14 11:49:41</v>
      </c>
      <c r="M1092" s="1" t="s">
        <v>1</v>
      </c>
      <c r="N1092" s="1" t="s">
        <v>38</v>
      </c>
      <c r="O1092" s="1" t="s">
        <v>46</v>
      </c>
    </row>
    <row r="1093" spans="2:15" x14ac:dyDescent="0.3">
      <c r="B1093" s="1" t="s">
        <v>24</v>
      </c>
      <c r="C1093" s="1" t="str">
        <f>"1차"</f>
        <v>1차</v>
      </c>
      <c r="D1093" s="1" t="str">
        <f>"0327F79100"</f>
        <v>0327F79100</v>
      </c>
      <c r="E1093" s="1" t="s">
        <v>10</v>
      </c>
      <c r="F1093" s="1" t="str">
        <f>"10.89.247.8"</f>
        <v>10.89.247.8</v>
      </c>
      <c r="G1093" s="1" t="str">
        <f>"0327F791"</f>
        <v>0327F791</v>
      </c>
      <c r="H1093" s="1" t="str">
        <f>"한독간 48"</f>
        <v>한독간 48</v>
      </c>
      <c r="I1093" s="1" t="s">
        <v>8</v>
      </c>
      <c r="J1093" s="1" t="str">
        <f>"114/127"</f>
        <v>114/127</v>
      </c>
      <c r="K1093" s="1" t="str">
        <f>"2026-07-29 13:18:03"</f>
        <v>2026-07-29 13:18:03</v>
      </c>
      <c r="L1093" s="1" t="str">
        <f>"2014-10-15 14:44:17"</f>
        <v>2014-10-15 14:44:17</v>
      </c>
      <c r="M1093" s="1" t="s">
        <v>45</v>
      </c>
      <c r="N1093" s="1" t="s">
        <v>38</v>
      </c>
      <c r="O1093" s="1" t="s">
        <v>46</v>
      </c>
    </row>
    <row r="1094" spans="2:15" x14ac:dyDescent="0.3">
      <c r="B1094" s="1" t="s">
        <v>24</v>
      </c>
      <c r="C1094" s="1" t="str">
        <f>"1차"</f>
        <v>1차</v>
      </c>
      <c r="D1094" s="1" t="str">
        <f>"0327F80400"</f>
        <v>0327F80400</v>
      </c>
      <c r="E1094" s="1" t="s">
        <v>10</v>
      </c>
      <c r="F1094" s="1" t="str">
        <f>"10.89.249.66"</f>
        <v>10.89.249.66</v>
      </c>
      <c r="G1094" s="1" t="str">
        <f>"0327F804"</f>
        <v>0327F804</v>
      </c>
      <c r="H1094" s="1" t="str">
        <f>"화목간 14R3"</f>
        <v>화목간 14R3</v>
      </c>
      <c r="I1094" s="1" t="s">
        <v>8</v>
      </c>
      <c r="J1094" s="1" t="str">
        <f>"98/98"</f>
        <v>98/98</v>
      </c>
      <c r="K1094" s="1" t="str">
        <f>"2026-07-29 13:18:03"</f>
        <v>2026-07-29 13:18:03</v>
      </c>
      <c r="L1094" s="1" t="str">
        <f>"2023-01-04 14:51:20"</f>
        <v>2023-01-04 14:51:20</v>
      </c>
      <c r="M1094" s="1" t="s">
        <v>45</v>
      </c>
      <c r="N1094" s="1" t="s">
        <v>38</v>
      </c>
      <c r="O1094" s="1" t="s">
        <v>46</v>
      </c>
    </row>
    <row r="1095" spans="2:15" x14ac:dyDescent="0.3">
      <c r="B1095" s="1" t="s">
        <v>24</v>
      </c>
      <c r="C1095" s="1" t="str">
        <f>"4차"</f>
        <v>4차</v>
      </c>
      <c r="D1095" s="1" t="str">
        <f>"0327F90341"</f>
        <v>0327F90341</v>
      </c>
      <c r="E1095" s="1" t="s">
        <v>10</v>
      </c>
      <c r="F1095" s="1" t="str">
        <f>"10.12.138.78"</f>
        <v>10.12.138.78</v>
      </c>
      <c r="G1095" s="1" t="str">
        <f>"0327F903"</f>
        <v>0327F903</v>
      </c>
      <c r="H1095" s="1" t="str">
        <f>"화목간 11"</f>
        <v>화목간 11</v>
      </c>
      <c r="I1095" s="1" t="s">
        <v>17</v>
      </c>
      <c r="J1095" s="1" t="str">
        <f>"19/20"</f>
        <v>19/20</v>
      </c>
      <c r="K1095" s="1" t="str">
        <f>"2026-07-29 13:18:02"</f>
        <v>2026-07-29 13:18:02</v>
      </c>
      <c r="L1095" s="1" t="str">
        <f>"2021-10-19 10:32:05"</f>
        <v>2021-10-19 10:32:05</v>
      </c>
      <c r="M1095" s="1" t="s">
        <v>0</v>
      </c>
      <c r="N1095" s="1" t="s">
        <v>38</v>
      </c>
      <c r="O1095" s="1" t="s">
        <v>46</v>
      </c>
    </row>
    <row r="1096" spans="2:15" x14ac:dyDescent="0.3">
      <c r="B1096" s="1" t="s">
        <v>24</v>
      </c>
      <c r="C1096" s="1" t="str">
        <f>"3차"</f>
        <v>3차</v>
      </c>
      <c r="D1096" s="1" t="str">
        <f>"0327F92739"</f>
        <v>0327F92739</v>
      </c>
      <c r="E1096" s="1" t="s">
        <v>10</v>
      </c>
      <c r="F1096" s="1" t="str">
        <f>"10.14.6.125"</f>
        <v>10.14.6.125</v>
      </c>
      <c r="G1096" s="1" t="str">
        <f>"0327F927"</f>
        <v>0327F927</v>
      </c>
      <c r="H1096" s="1" t="str">
        <f>"화목간 1L9R5R3"</f>
        <v>화목간 1L9R5R3</v>
      </c>
      <c r="I1096" s="1" t="s">
        <v>8</v>
      </c>
      <c r="J1096" s="1" t="str">
        <f>"86/86"</f>
        <v>86/86</v>
      </c>
      <c r="K1096" s="1" t="str">
        <f t="shared" ref="K1096:K1102" si="54">"2026-07-29 13:18:03"</f>
        <v>2026-07-29 13:18:03</v>
      </c>
      <c r="L1096" s="1" t="str">
        <f>"2018-04-28 14:34:30"</f>
        <v>2018-04-28 14:34:30</v>
      </c>
      <c r="M1096" s="1" t="s">
        <v>3</v>
      </c>
      <c r="N1096" s="1" t="s">
        <v>38</v>
      </c>
      <c r="O1096" s="1" t="s">
        <v>46</v>
      </c>
    </row>
    <row r="1097" spans="2:15" x14ac:dyDescent="0.3">
      <c r="B1097" s="1" t="s">
        <v>24</v>
      </c>
      <c r="C1097" s="1" t="str">
        <f>"3차"</f>
        <v>3차</v>
      </c>
      <c r="D1097" s="1" t="str">
        <f>"0327F93139"</f>
        <v>0327F93139</v>
      </c>
      <c r="E1097" s="1" t="s">
        <v>10</v>
      </c>
      <c r="F1097" s="1" t="str">
        <f>"10.10.18.146"</f>
        <v>10.10.18.146</v>
      </c>
      <c r="G1097" s="1" t="str">
        <f>"0327F931"</f>
        <v>0327F931</v>
      </c>
      <c r="H1097" s="1" t="str">
        <f>"화목간 1L9R5R4"</f>
        <v>화목간 1L9R5R4</v>
      </c>
      <c r="I1097" s="1" t="s">
        <v>8</v>
      </c>
      <c r="J1097" s="1" t="str">
        <f>"9/9"</f>
        <v>9/9</v>
      </c>
      <c r="K1097" s="1" t="str">
        <f t="shared" si="54"/>
        <v>2026-07-29 13:18:03</v>
      </c>
      <c r="L1097" s="1" t="str">
        <f>"2018-02-26 14:00:11"</f>
        <v>2018-02-26 14:00:11</v>
      </c>
      <c r="M1097" s="1" t="s">
        <v>1</v>
      </c>
      <c r="N1097" s="1" t="s">
        <v>38</v>
      </c>
      <c r="O1097" s="1" t="s">
        <v>46</v>
      </c>
    </row>
    <row r="1098" spans="2:15" x14ac:dyDescent="0.3">
      <c r="B1098" s="1" t="s">
        <v>24</v>
      </c>
      <c r="C1098" s="1" t="str">
        <f t="shared" ref="C1098:C1104" si="55">"4차"</f>
        <v>4차</v>
      </c>
      <c r="D1098" s="1" t="str">
        <f>"0327G62344"</f>
        <v>0327G62344</v>
      </c>
      <c r="E1098" s="1" t="s">
        <v>10</v>
      </c>
      <c r="F1098" s="1" t="str">
        <f>"10.10.56.154"</f>
        <v>10.10.56.154</v>
      </c>
      <c r="G1098" s="1" t="str">
        <f>"0327G623"</f>
        <v>0327G623</v>
      </c>
      <c r="H1098" s="1" t="str">
        <f>"금성간 8"</f>
        <v>금성간 8</v>
      </c>
      <c r="I1098" s="1" t="s">
        <v>8</v>
      </c>
      <c r="J1098" s="1" t="str">
        <f>"47/47"</f>
        <v>47/47</v>
      </c>
      <c r="K1098" s="1" t="str">
        <f t="shared" si="54"/>
        <v>2026-07-29 13:18:03</v>
      </c>
      <c r="L1098" s="1" t="str">
        <f>"2019-09-25 13:33:05"</f>
        <v>2019-09-25 13:33:05</v>
      </c>
      <c r="M1098" s="1" t="s">
        <v>1</v>
      </c>
      <c r="N1098" s="1" t="s">
        <v>38</v>
      </c>
      <c r="O1098" s="1" t="s">
        <v>46</v>
      </c>
    </row>
    <row r="1099" spans="2:15" x14ac:dyDescent="0.3">
      <c r="B1099" s="1" t="s">
        <v>24</v>
      </c>
      <c r="C1099" s="1" t="str">
        <f t="shared" si="55"/>
        <v>4차</v>
      </c>
      <c r="D1099" s="1" t="str">
        <f>"0327G74444"</f>
        <v>0327G74444</v>
      </c>
      <c r="E1099" s="1" t="s">
        <v>10</v>
      </c>
      <c r="F1099" s="1" t="str">
        <f>"10.10.60.242"</f>
        <v>10.10.60.242</v>
      </c>
      <c r="G1099" s="1" t="str">
        <f>"0327G744"</f>
        <v>0327G744</v>
      </c>
      <c r="H1099" s="1" t="str">
        <f>"동부간 9R10R1"</f>
        <v>동부간 9R10R1</v>
      </c>
      <c r="I1099" s="1" t="s">
        <v>8</v>
      </c>
      <c r="J1099" s="1" t="str">
        <f>"18/18"</f>
        <v>18/18</v>
      </c>
      <c r="K1099" s="1" t="str">
        <f t="shared" si="54"/>
        <v>2026-07-29 13:18:03</v>
      </c>
      <c r="L1099" s="1" t="str">
        <f>"2019-10-04 10:53:04"</f>
        <v>2019-10-04 10:53:04</v>
      </c>
      <c r="M1099" s="1" t="s">
        <v>1</v>
      </c>
      <c r="N1099" s="1" t="s">
        <v>38</v>
      </c>
      <c r="O1099" s="1" t="s">
        <v>46</v>
      </c>
    </row>
    <row r="1100" spans="2:15" x14ac:dyDescent="0.3">
      <c r="B1100" s="1" t="s">
        <v>24</v>
      </c>
      <c r="C1100" s="1" t="str">
        <f t="shared" si="55"/>
        <v>4차</v>
      </c>
      <c r="D1100" s="1" t="str">
        <f>"0327G74544"</f>
        <v>0327G74544</v>
      </c>
      <c r="E1100" s="1" t="s">
        <v>10</v>
      </c>
      <c r="F1100" s="1" t="str">
        <f>"10.10.60.234"</f>
        <v>10.10.60.234</v>
      </c>
      <c r="G1100" s="1" t="str">
        <f>"0327G745"</f>
        <v>0327G745</v>
      </c>
      <c r="H1100" s="1" t="str">
        <f>"동부간 9R10"</f>
        <v>동부간 9R10</v>
      </c>
      <c r="I1100" s="1" t="s">
        <v>8</v>
      </c>
      <c r="J1100" s="1" t="str">
        <f>"23/23"</f>
        <v>23/23</v>
      </c>
      <c r="K1100" s="1" t="str">
        <f t="shared" si="54"/>
        <v>2026-07-29 13:18:03</v>
      </c>
      <c r="L1100" s="1" t="str">
        <f>"2019-10-04 10:53:04"</f>
        <v>2019-10-04 10:53:04</v>
      </c>
      <c r="M1100" s="1" t="s">
        <v>1</v>
      </c>
      <c r="N1100" s="1" t="s">
        <v>38</v>
      </c>
      <c r="O1100" s="1" t="s">
        <v>46</v>
      </c>
    </row>
    <row r="1101" spans="2:15" x14ac:dyDescent="0.3">
      <c r="B1101" s="1" t="s">
        <v>24</v>
      </c>
      <c r="C1101" s="1" t="str">
        <f t="shared" si="55"/>
        <v>4차</v>
      </c>
      <c r="D1101" s="1" t="str">
        <f>"0327G75244"</f>
        <v>0327G75244</v>
      </c>
      <c r="E1101" s="1" t="s">
        <v>10</v>
      </c>
      <c r="F1101" s="1" t="str">
        <f>"10.10.61.18"</f>
        <v>10.10.61.18</v>
      </c>
      <c r="G1101" s="1" t="str">
        <f>"0327G752"</f>
        <v>0327G752</v>
      </c>
      <c r="H1101" s="1" t="str">
        <f>"동부간 9R8"</f>
        <v>동부간 9R8</v>
      </c>
      <c r="I1101" s="1" t="s">
        <v>8</v>
      </c>
      <c r="J1101" s="1" t="str">
        <f>"12/12"</f>
        <v>12/12</v>
      </c>
      <c r="K1101" s="1" t="str">
        <f t="shared" si="54"/>
        <v>2026-07-29 13:18:03</v>
      </c>
      <c r="L1101" s="1" t="str">
        <f>"2019-10-04 10:55:41"</f>
        <v>2019-10-04 10:55:41</v>
      </c>
      <c r="M1101" s="1" t="s">
        <v>1</v>
      </c>
      <c r="N1101" s="1" t="s">
        <v>38</v>
      </c>
      <c r="O1101" s="1" t="s">
        <v>46</v>
      </c>
    </row>
    <row r="1102" spans="2:15" x14ac:dyDescent="0.3">
      <c r="B1102" s="1" t="s">
        <v>24</v>
      </c>
      <c r="C1102" s="1" t="str">
        <f t="shared" si="55"/>
        <v>4차</v>
      </c>
      <c r="D1102" s="1" t="str">
        <f>"0327G76544"</f>
        <v>0327G76544</v>
      </c>
      <c r="E1102" s="1" t="s">
        <v>10</v>
      </c>
      <c r="F1102" s="1" t="str">
        <f>"10.10.61.2"</f>
        <v>10.10.61.2</v>
      </c>
      <c r="G1102" s="1" t="str">
        <f>"0327G765"</f>
        <v>0327G765</v>
      </c>
      <c r="H1102" s="1" t="str">
        <f>"동부간 9R6"</f>
        <v>동부간 9R6</v>
      </c>
      <c r="I1102" s="1" t="s">
        <v>8</v>
      </c>
      <c r="J1102" s="1" t="str">
        <f>"31/31"</f>
        <v>31/31</v>
      </c>
      <c r="K1102" s="1" t="str">
        <f t="shared" si="54"/>
        <v>2026-07-29 13:18:03</v>
      </c>
      <c r="L1102" s="1" t="str">
        <f>"2019-10-04 10:53:12"</f>
        <v>2019-10-04 10:53:12</v>
      </c>
      <c r="M1102" s="1" t="s">
        <v>1</v>
      </c>
      <c r="N1102" s="1" t="s">
        <v>38</v>
      </c>
      <c r="O1102" s="1" t="s">
        <v>46</v>
      </c>
    </row>
    <row r="1103" spans="2:15" x14ac:dyDescent="0.3">
      <c r="B1103" s="1" t="s">
        <v>24</v>
      </c>
      <c r="C1103" s="1" t="str">
        <f t="shared" si="55"/>
        <v>4차</v>
      </c>
      <c r="D1103" s="1" t="str">
        <f>"0327G77344"</f>
        <v>0327G77344</v>
      </c>
      <c r="E1103" s="1" t="s">
        <v>10</v>
      </c>
      <c r="F1103" s="1" t="str">
        <f>"10.10.60.26"</f>
        <v>10.10.60.26</v>
      </c>
      <c r="G1103" s="1" t="str">
        <f>"0327G773"</f>
        <v>0327G773</v>
      </c>
      <c r="H1103" s="1" t="str">
        <f>"동부간 10R6"</f>
        <v>동부간 10R6</v>
      </c>
      <c r="I1103" s="1" t="s">
        <v>8</v>
      </c>
      <c r="J1103" s="1" t="str">
        <f>"32/32"</f>
        <v>32/32</v>
      </c>
      <c r="K1103" s="1" t="str">
        <f>"2026-07-29 13:18:01"</f>
        <v>2026-07-29 13:18:01</v>
      </c>
      <c r="L1103" s="1" t="str">
        <f>"2019-10-07 09:43:04"</f>
        <v>2019-10-07 09:43:04</v>
      </c>
      <c r="M1103" s="1" t="s">
        <v>1</v>
      </c>
      <c r="N1103" s="1" t="s">
        <v>38</v>
      </c>
      <c r="O1103" s="1" t="s">
        <v>46</v>
      </c>
    </row>
    <row r="1104" spans="2:15" x14ac:dyDescent="0.3">
      <c r="B1104" s="1" t="s">
        <v>24</v>
      </c>
      <c r="C1104" s="1" t="str">
        <f t="shared" si="55"/>
        <v>4차</v>
      </c>
      <c r="D1104" s="1" t="str">
        <f>"0327G80244"</f>
        <v>0327G80244</v>
      </c>
      <c r="E1104" s="1" t="s">
        <v>10</v>
      </c>
      <c r="F1104" s="1" t="str">
        <f>"10.10.60.10"</f>
        <v>10.10.60.10</v>
      </c>
      <c r="G1104" s="1" t="str">
        <f>"0327G802"</f>
        <v>0327G802</v>
      </c>
      <c r="H1104" s="1" t="str">
        <f>"동부간 10R17"</f>
        <v>동부간 10R17</v>
      </c>
      <c r="I1104" s="1" t="s">
        <v>8</v>
      </c>
      <c r="J1104" s="1" t="str">
        <f>"18/18"</f>
        <v>18/18</v>
      </c>
      <c r="K1104" s="1" t="str">
        <f>"2026-07-29 13:18:03"</f>
        <v>2026-07-29 13:18:03</v>
      </c>
      <c r="L1104" s="1" t="str">
        <f>"2019-10-04 16:26:04"</f>
        <v>2019-10-04 16:26:04</v>
      </c>
      <c r="M1104" s="1" t="s">
        <v>1</v>
      </c>
      <c r="N1104" s="1" t="s">
        <v>38</v>
      </c>
      <c r="O1104" s="1" t="s">
        <v>46</v>
      </c>
    </row>
    <row r="1105" spans="2:15" x14ac:dyDescent="0.3">
      <c r="B1105" s="1" t="s">
        <v>24</v>
      </c>
      <c r="C1105" s="1" t="str">
        <f>"3차"</f>
        <v>3차</v>
      </c>
      <c r="D1105" s="1" t="str">
        <f>"0327G84239"</f>
        <v>0327G84239</v>
      </c>
      <c r="E1105" s="1" t="s">
        <v>10</v>
      </c>
      <c r="F1105" s="1" t="str">
        <f>"10.89.249.73"</f>
        <v>10.89.249.73</v>
      </c>
      <c r="G1105" s="1" t="str">
        <f>"0327G842"</f>
        <v>0327G842</v>
      </c>
      <c r="H1105" s="1" t="str">
        <f>"동부간 15R8R5"</f>
        <v>동부간 15R8R5</v>
      </c>
      <c r="I1105" s="1" t="s">
        <v>8</v>
      </c>
      <c r="J1105" s="1" t="str">
        <f>"42/42"</f>
        <v>42/42</v>
      </c>
      <c r="K1105" s="1" t="str">
        <f>"2026-07-29 13:18:03"</f>
        <v>2026-07-29 13:18:03</v>
      </c>
      <c r="L1105" s="1" t="str">
        <f>"2018-04-17 18:48:47"</f>
        <v>2018-04-17 18:48:47</v>
      </c>
      <c r="M1105" s="1" t="s">
        <v>45</v>
      </c>
      <c r="N1105" s="1" t="s">
        <v>38</v>
      </c>
      <c r="O1105" s="1" t="s">
        <v>46</v>
      </c>
    </row>
    <row r="1106" spans="2:15" x14ac:dyDescent="0.3">
      <c r="B1106" s="1" t="s">
        <v>24</v>
      </c>
      <c r="C1106" s="1" t="str">
        <f>"4차"</f>
        <v>4차</v>
      </c>
      <c r="D1106" s="1" t="str">
        <f>"0327G85244"</f>
        <v>0327G85244</v>
      </c>
      <c r="E1106" s="1" t="s">
        <v>10</v>
      </c>
      <c r="F1106" s="1" t="str">
        <f>"10.10.117.18"</f>
        <v>10.10.117.18</v>
      </c>
      <c r="G1106" s="1" t="str">
        <f>"0327G852"</f>
        <v>0327G852</v>
      </c>
      <c r="H1106" s="1" t="str">
        <f>"동부간 10R10L1"</f>
        <v>동부간 10R10L1</v>
      </c>
      <c r="I1106" s="1" t="s">
        <v>8</v>
      </c>
      <c r="J1106" s="1" t="str">
        <f>"25/25"</f>
        <v>25/25</v>
      </c>
      <c r="K1106" s="1" t="str">
        <f>"2026-07-29 13:18:03"</f>
        <v>2026-07-29 13:18:03</v>
      </c>
      <c r="L1106" s="1" t="str">
        <f>"2019-10-04 13:49:30"</f>
        <v>2019-10-04 13:49:30</v>
      </c>
      <c r="M1106" s="1" t="s">
        <v>1</v>
      </c>
      <c r="N1106" s="1" t="s">
        <v>38</v>
      </c>
      <c r="O1106" s="1" t="s">
        <v>46</v>
      </c>
    </row>
    <row r="1107" spans="2:15" x14ac:dyDescent="0.3">
      <c r="B1107" s="1" t="s">
        <v>24</v>
      </c>
      <c r="C1107" s="1" t="str">
        <f>"4차"</f>
        <v>4차</v>
      </c>
      <c r="D1107" s="1" t="str">
        <f>"0327G85344"</f>
        <v>0327G85344</v>
      </c>
      <c r="E1107" s="1" t="s">
        <v>10</v>
      </c>
      <c r="F1107" s="1" t="str">
        <f>"10.10.59.130"</f>
        <v>10.10.59.130</v>
      </c>
      <c r="G1107" s="1" t="str">
        <f>"0327G853"</f>
        <v>0327G853</v>
      </c>
      <c r="H1107" s="1" t="str">
        <f>"동부간 10R10L2"</f>
        <v>동부간 10R10L2</v>
      </c>
      <c r="I1107" s="1" t="s">
        <v>8</v>
      </c>
      <c r="J1107" s="1" t="str">
        <f>"15/15"</f>
        <v>15/15</v>
      </c>
      <c r="K1107" s="1" t="str">
        <f>"2026-07-29 13:18:03"</f>
        <v>2026-07-29 13:18:03</v>
      </c>
      <c r="L1107" s="1" t="str">
        <f>"2019-10-04 17:39:45"</f>
        <v>2019-10-04 17:39:45</v>
      </c>
      <c r="M1107" s="1" t="s">
        <v>1</v>
      </c>
      <c r="N1107" s="1" t="s">
        <v>38</v>
      </c>
      <c r="O1107" s="1" t="s">
        <v>46</v>
      </c>
    </row>
    <row r="1108" spans="2:15" x14ac:dyDescent="0.3">
      <c r="B1108" s="1" t="s">
        <v>24</v>
      </c>
      <c r="C1108" s="1" t="str">
        <f>"4차"</f>
        <v>4차</v>
      </c>
      <c r="D1108" s="1" t="str">
        <f>"0327G87144"</f>
        <v>0327G87144</v>
      </c>
      <c r="E1108" s="1" t="s">
        <v>10</v>
      </c>
      <c r="F1108" s="1" t="str">
        <f>"10.10.60.58"</f>
        <v>10.10.60.58</v>
      </c>
      <c r="G1108" s="1" t="str">
        <f>"0327G871"</f>
        <v>0327G871</v>
      </c>
      <c r="H1108" s="1" t="str">
        <f>"동부간 10R7L1"</f>
        <v>동부간 10R7L1</v>
      </c>
      <c r="I1108" s="1" t="s">
        <v>8</v>
      </c>
      <c r="J1108" s="1" t="str">
        <f>"21/21"</f>
        <v>21/21</v>
      </c>
      <c r="K1108" s="1" t="str">
        <f>"2026-07-29 13:18:01"</f>
        <v>2026-07-29 13:18:01</v>
      </c>
      <c r="L1108" s="1" t="str">
        <f>"2019-10-07 09:58:12"</f>
        <v>2019-10-07 09:58:12</v>
      </c>
      <c r="M1108" s="1" t="s">
        <v>1</v>
      </c>
      <c r="N1108" s="1" t="s">
        <v>38</v>
      </c>
      <c r="O1108" s="1" t="s">
        <v>46</v>
      </c>
    </row>
    <row r="1109" spans="2:15" x14ac:dyDescent="0.3">
      <c r="B1109" s="1" t="s">
        <v>24</v>
      </c>
      <c r="C1109" s="1" t="str">
        <f>"1차"</f>
        <v>1차</v>
      </c>
      <c r="D1109" s="1" t="str">
        <f>"0327G87400"</f>
        <v>0327G87400</v>
      </c>
      <c r="E1109" s="1" t="s">
        <v>10</v>
      </c>
      <c r="F1109" s="1" t="str">
        <f>"10.89.247.171"</f>
        <v>10.89.247.171</v>
      </c>
      <c r="G1109" s="1" t="str">
        <f>"0327G874"</f>
        <v>0327G874</v>
      </c>
      <c r="H1109" s="1" t="str">
        <f>"동부간 10R7L1L1"</f>
        <v>동부간 10R7L1L1</v>
      </c>
      <c r="I1109" s="1" t="s">
        <v>8</v>
      </c>
      <c r="J1109" s="1" t="str">
        <f>"16/20"</f>
        <v>16/20</v>
      </c>
      <c r="K1109" s="1" t="str">
        <f>"2026-07-29 13:18:03"</f>
        <v>2026-07-29 13:18:03</v>
      </c>
      <c r="L1109" s="1" t="str">
        <f>"2014-10-22 16:17:09"</f>
        <v>2014-10-22 16:17:09</v>
      </c>
      <c r="M1109" s="1" t="s">
        <v>45</v>
      </c>
      <c r="N1109" s="1" t="s">
        <v>38</v>
      </c>
      <c r="O1109" s="1" t="s">
        <v>46</v>
      </c>
    </row>
    <row r="1110" spans="2:15" x14ac:dyDescent="0.3">
      <c r="B1110" s="1" t="s">
        <v>24</v>
      </c>
      <c r="C1110" s="1" t="str">
        <f>"4차"</f>
        <v>4차</v>
      </c>
      <c r="D1110" s="1" t="str">
        <f>"0327G88142"</f>
        <v>0327G88142</v>
      </c>
      <c r="E1110" s="1" t="s">
        <v>10</v>
      </c>
      <c r="F1110" s="1" t="str">
        <f>"10.89.247.41"</f>
        <v>10.89.247.41</v>
      </c>
      <c r="G1110" s="1" t="str">
        <f>"0327G881"</f>
        <v>0327G881</v>
      </c>
      <c r="H1110" s="1" t="str">
        <f>"동부간 15R2R5"</f>
        <v>동부간 15R2R5</v>
      </c>
      <c r="I1110" s="1" t="s">
        <v>8</v>
      </c>
      <c r="J1110" s="1" t="str">
        <f>"50/57"</f>
        <v>50/57</v>
      </c>
      <c r="K1110" s="1" t="str">
        <f>"2026-07-29 13:18:03"</f>
        <v>2026-07-29 13:18:03</v>
      </c>
      <c r="L1110" s="1" t="str">
        <f>"2025-01-14 13:55:36"</f>
        <v>2025-01-14 13:55:36</v>
      </c>
      <c r="M1110" s="1" t="s">
        <v>45</v>
      </c>
      <c r="N1110" s="1" t="s">
        <v>38</v>
      </c>
      <c r="O1110" s="1" t="s">
        <v>46</v>
      </c>
    </row>
    <row r="1111" spans="2:15" x14ac:dyDescent="0.3">
      <c r="B1111" s="1" t="s">
        <v>24</v>
      </c>
      <c r="C1111" s="1" t="str">
        <f>"4차"</f>
        <v>4차</v>
      </c>
      <c r="D1111" s="1" t="str">
        <f>"0327G91244"</f>
        <v>0327G91244</v>
      </c>
      <c r="E1111" s="1" t="s">
        <v>10</v>
      </c>
      <c r="F1111" s="1" t="str">
        <f>"10.10.59.242"</f>
        <v>10.10.59.242</v>
      </c>
      <c r="G1111" s="1" t="str">
        <f>"0327G912"</f>
        <v>0327G912</v>
      </c>
      <c r="H1111" s="1" t="str">
        <f>"동부간 10R16L3R1"</f>
        <v>동부간 10R16L3R1</v>
      </c>
      <c r="I1111" s="1" t="s">
        <v>8</v>
      </c>
      <c r="J1111" s="1" t="str">
        <f>"18/18"</f>
        <v>18/18</v>
      </c>
      <c r="K1111" s="1" t="str">
        <f>"2026-07-29 13:18:02"</f>
        <v>2026-07-29 13:18:02</v>
      </c>
      <c r="L1111" s="1" t="str">
        <f>"2019-10-04 16:19:00"</f>
        <v>2019-10-04 16:19:00</v>
      </c>
      <c r="M1111" s="1" t="s">
        <v>1</v>
      </c>
      <c r="N1111" s="1" t="s">
        <v>38</v>
      </c>
      <c r="O1111" s="1" t="s">
        <v>46</v>
      </c>
    </row>
    <row r="1112" spans="2:15" x14ac:dyDescent="0.3">
      <c r="B1112" s="1" t="s">
        <v>24</v>
      </c>
      <c r="C1112" s="1" t="str">
        <f>"3차"</f>
        <v>3차</v>
      </c>
      <c r="D1112" s="1" t="str">
        <f>"0327G93339"</f>
        <v>0327G93339</v>
      </c>
      <c r="E1112" s="1" t="s">
        <v>10</v>
      </c>
      <c r="F1112" s="1" t="str">
        <f>"10.12.128.135"</f>
        <v>10.12.128.135</v>
      </c>
      <c r="G1112" s="1" t="str">
        <f>"0327G933"</f>
        <v>0327G933</v>
      </c>
      <c r="H1112" s="1" t="str">
        <f>"동부간 10R15L3L1"</f>
        <v>동부간 10R15L3L1</v>
      </c>
      <c r="I1112" s="1" t="s">
        <v>8</v>
      </c>
      <c r="J1112" s="1" t="str">
        <f>"51/51"</f>
        <v>51/51</v>
      </c>
      <c r="K1112" s="1" t="str">
        <f>"2026-07-29 13:18:03"</f>
        <v>2026-07-29 13:18:03</v>
      </c>
      <c r="L1112" s="1" t="str">
        <f>"2018-04-17 18:16:15"</f>
        <v>2018-04-17 18:16:15</v>
      </c>
      <c r="M1112" s="1" t="s">
        <v>0</v>
      </c>
      <c r="N1112" s="1" t="s">
        <v>38</v>
      </c>
      <c r="O1112" s="1" t="s">
        <v>46</v>
      </c>
    </row>
    <row r="1113" spans="2:15" x14ac:dyDescent="0.3">
      <c r="B1113" s="1" t="s">
        <v>24</v>
      </c>
      <c r="C1113" s="1" t="str">
        <f>"4차"</f>
        <v>4차</v>
      </c>
      <c r="D1113" s="1" t="str">
        <f>"0327G94444"</f>
        <v>0327G94444</v>
      </c>
      <c r="E1113" s="1" t="s">
        <v>10</v>
      </c>
      <c r="F1113" s="1" t="str">
        <f>"10.10.59.170"</f>
        <v>10.10.59.170</v>
      </c>
      <c r="G1113" s="1" t="str">
        <f>"0327G944"</f>
        <v>0327G944</v>
      </c>
      <c r="H1113" s="1" t="str">
        <f>"동부간 10R15L3L2L1"</f>
        <v>동부간 10R15L3L2L1</v>
      </c>
      <c r="I1113" s="1" t="s">
        <v>8</v>
      </c>
      <c r="J1113" s="1" t="str">
        <f>"16/16"</f>
        <v>16/16</v>
      </c>
      <c r="K1113" s="1" t="str">
        <f>"2026-07-29 13:18:02"</f>
        <v>2026-07-29 13:18:02</v>
      </c>
      <c r="L1113" s="1" t="str">
        <f>"2019-10-04 18:04:30"</f>
        <v>2019-10-04 18:04:30</v>
      </c>
      <c r="M1113" s="1" t="s">
        <v>1</v>
      </c>
      <c r="N1113" s="1" t="s">
        <v>38</v>
      </c>
      <c r="O1113" s="1" t="s">
        <v>46</v>
      </c>
    </row>
    <row r="1114" spans="2:15" x14ac:dyDescent="0.3">
      <c r="B1114" s="1" t="s">
        <v>24</v>
      </c>
      <c r="C1114" s="1" t="str">
        <f>"4차"</f>
        <v>4차</v>
      </c>
      <c r="D1114" s="1" t="str">
        <f>"0327G95144"</f>
        <v>0327G95144</v>
      </c>
      <c r="E1114" s="1" t="s">
        <v>10</v>
      </c>
      <c r="F1114" s="1" t="str">
        <f>"10.10.59.154"</f>
        <v>10.10.59.154</v>
      </c>
      <c r="G1114" s="1" t="str">
        <f>"0327G951"</f>
        <v>0327G951</v>
      </c>
      <c r="H1114" s="1" t="str">
        <f>"동부간 10R10L3"</f>
        <v>동부간 10R10L3</v>
      </c>
      <c r="I1114" s="1" t="s">
        <v>8</v>
      </c>
      <c r="J1114" s="1" t="str">
        <f>"41/41"</f>
        <v>41/41</v>
      </c>
      <c r="K1114" s="1" t="str">
        <f>"2026-07-29 13:18:02"</f>
        <v>2026-07-29 13:18:02</v>
      </c>
      <c r="L1114" s="1" t="str">
        <f>"2019-10-04 13:34:29"</f>
        <v>2019-10-04 13:34:29</v>
      </c>
      <c r="M1114" s="1" t="s">
        <v>1</v>
      </c>
      <c r="N1114" s="1" t="s">
        <v>38</v>
      </c>
      <c r="O1114" s="1" t="s">
        <v>46</v>
      </c>
    </row>
    <row r="1115" spans="2:15" x14ac:dyDescent="0.3">
      <c r="B1115" s="1" t="s">
        <v>24</v>
      </c>
      <c r="C1115" s="1" t="str">
        <f>"3차"</f>
        <v>3차</v>
      </c>
      <c r="D1115" s="1" t="str">
        <f>"0327G95239"</f>
        <v>0327G95239</v>
      </c>
      <c r="E1115" s="1" t="s">
        <v>10</v>
      </c>
      <c r="F1115" s="1" t="str">
        <f>"10.89.247.164"</f>
        <v>10.89.247.164</v>
      </c>
      <c r="G1115" s="1" t="str">
        <f>"0327G952"</f>
        <v>0327G952</v>
      </c>
      <c r="H1115" s="1" t="str">
        <f>"동부간 15R8R3"</f>
        <v>동부간 15R8R3</v>
      </c>
      <c r="I1115" s="1" t="s">
        <v>8</v>
      </c>
      <c r="J1115" s="1" t="str">
        <f>"39/39"</f>
        <v>39/39</v>
      </c>
      <c r="K1115" s="1" t="str">
        <f>"2026-07-29 13:18:03"</f>
        <v>2026-07-29 13:18:03</v>
      </c>
      <c r="L1115" s="1" t="str">
        <f>"2018-04-17 18:20:45"</f>
        <v>2018-04-17 18:20:45</v>
      </c>
      <c r="M1115" s="1" t="s">
        <v>45</v>
      </c>
      <c r="N1115" s="1" t="s">
        <v>38</v>
      </c>
      <c r="O1115" s="1" t="s">
        <v>46</v>
      </c>
    </row>
    <row r="1116" spans="2:15" x14ac:dyDescent="0.3">
      <c r="B1116" s="1" t="s">
        <v>24</v>
      </c>
      <c r="C1116" s="1" t="str">
        <f>"3차"</f>
        <v>3차</v>
      </c>
      <c r="D1116" s="1" t="str">
        <f>"0327G97439"</f>
        <v>0327G97439</v>
      </c>
      <c r="E1116" s="1" t="s">
        <v>10</v>
      </c>
      <c r="F1116" s="1" t="str">
        <f>"10.89.247.163"</f>
        <v>10.89.247.163</v>
      </c>
      <c r="G1116" s="1" t="str">
        <f>"0327G974"</f>
        <v>0327G974</v>
      </c>
      <c r="H1116" s="1" t="str">
        <f>"동부간 10R7L3"</f>
        <v>동부간 10R7L3</v>
      </c>
      <c r="I1116" s="1" t="s">
        <v>8</v>
      </c>
      <c r="J1116" s="1" t="str">
        <f>"32/32"</f>
        <v>32/32</v>
      </c>
      <c r="K1116" s="1" t="str">
        <f>"2026-07-29 13:18:03"</f>
        <v>2026-07-29 13:18:03</v>
      </c>
      <c r="L1116" s="1" t="str">
        <f>"2018-04-17 18:20:01"</f>
        <v>2018-04-17 18:20:01</v>
      </c>
      <c r="M1116" s="1" t="s">
        <v>45</v>
      </c>
      <c r="N1116" s="1" t="s">
        <v>38</v>
      </c>
      <c r="O1116" s="1" t="s">
        <v>46</v>
      </c>
    </row>
    <row r="1117" spans="2:15" x14ac:dyDescent="0.3">
      <c r="B1117" s="1" t="s">
        <v>24</v>
      </c>
      <c r="C1117" s="1" t="str">
        <f>"4차"</f>
        <v>4차</v>
      </c>
      <c r="D1117" s="1" t="str">
        <f>"0327G98144"</f>
        <v>0327G98144</v>
      </c>
      <c r="E1117" s="1" t="s">
        <v>10</v>
      </c>
      <c r="F1117" s="1" t="str">
        <f>"10.10.59.138"</f>
        <v>10.10.59.138</v>
      </c>
      <c r="G1117" s="1" t="str">
        <f>"0327G981"</f>
        <v>0327G981</v>
      </c>
      <c r="H1117" s="1" t="str">
        <f>"동부간 10R7L5"</f>
        <v>동부간 10R7L5</v>
      </c>
      <c r="I1117" s="1" t="s">
        <v>8</v>
      </c>
      <c r="J1117" s="1" t="str">
        <f>"33/33"</f>
        <v>33/33</v>
      </c>
      <c r="K1117" s="1" t="str">
        <f>"2026-07-29 13:18:02"</f>
        <v>2026-07-29 13:18:02</v>
      </c>
      <c r="L1117" s="1" t="str">
        <f>"2019-10-07 09:33:04"</f>
        <v>2019-10-07 09:33:04</v>
      </c>
      <c r="M1117" s="1" t="s">
        <v>1</v>
      </c>
      <c r="N1117" s="1" t="s">
        <v>38</v>
      </c>
      <c r="O1117" s="1" t="s">
        <v>46</v>
      </c>
    </row>
    <row r="1118" spans="2:15" x14ac:dyDescent="0.3">
      <c r="B1118" s="1" t="s">
        <v>24</v>
      </c>
      <c r="C1118" s="1" t="str">
        <f>"6차"</f>
        <v>6차</v>
      </c>
      <c r="D1118" s="1" t="str">
        <f>"0327G9926S"</f>
        <v>0327G9926S</v>
      </c>
      <c r="E1118" s="1" t="s">
        <v>10</v>
      </c>
      <c r="F1118" s="1" t="str">
        <f>"fde1:103:4:91a6:0:0:0:2"</f>
        <v>fde1:103:4:91a6:0:0:0:2</v>
      </c>
      <c r="G1118" s="1" t="str">
        <f>"0327G992"</f>
        <v>0327G992</v>
      </c>
      <c r="H1118" s="1" t="str">
        <f>"동부간 15R2R2"</f>
        <v>동부간 15R2R2</v>
      </c>
      <c r="I1118" s="1" t="s">
        <v>15</v>
      </c>
      <c r="J1118" s="1" t="str">
        <f>"28/28"</f>
        <v>28/28</v>
      </c>
      <c r="K1118" s="1" t="str">
        <f>"2026-07-29 08:20:31"</f>
        <v>2026-07-29 08:20:31</v>
      </c>
      <c r="L1118" s="1" t="str">
        <f>"2025-02-20 17:41:35"</f>
        <v>2025-02-20 17:41:35</v>
      </c>
      <c r="M1118" s="1" t="s">
        <v>4</v>
      </c>
      <c r="N1118" s="1" t="s">
        <v>38</v>
      </c>
      <c r="O1118" s="1" t="s">
        <v>46</v>
      </c>
    </row>
    <row r="1119" spans="2:15" x14ac:dyDescent="0.3">
      <c r="B1119" s="1" t="s">
        <v>24</v>
      </c>
      <c r="C1119" s="1" t="str">
        <f>"4차"</f>
        <v>4차</v>
      </c>
      <c r="D1119" s="1" t="str">
        <f>"0327H01244"</f>
        <v>0327H01244</v>
      </c>
      <c r="E1119" s="1" t="s">
        <v>10</v>
      </c>
      <c r="F1119" s="1" t="str">
        <f>"10.10.55.162"</f>
        <v>10.10.55.162</v>
      </c>
      <c r="G1119" s="1" t="str">
        <f>"0327H012"</f>
        <v>0327H012</v>
      </c>
      <c r="H1119" s="1" t="str">
        <f>"금성간 23L38L2"</f>
        <v>금성간 23L38L2</v>
      </c>
      <c r="I1119" s="1" t="s">
        <v>8</v>
      </c>
      <c r="J1119" s="1" t="str">
        <f>"42/42"</f>
        <v>42/42</v>
      </c>
      <c r="K1119" s="1" t="str">
        <f t="shared" ref="K1119:K1124" si="56">"2026-07-29 13:18:02"</f>
        <v>2026-07-29 13:18:02</v>
      </c>
      <c r="L1119" s="1" t="str">
        <f>"2019-09-19 16:42:00"</f>
        <v>2019-09-19 16:42:00</v>
      </c>
      <c r="M1119" s="1" t="s">
        <v>1</v>
      </c>
      <c r="N1119" s="1" t="s">
        <v>38</v>
      </c>
      <c r="O1119" s="1" t="s">
        <v>46</v>
      </c>
    </row>
    <row r="1120" spans="2:15" x14ac:dyDescent="0.3">
      <c r="B1120" s="1" t="s">
        <v>24</v>
      </c>
      <c r="C1120" s="1" t="str">
        <f>"4차"</f>
        <v>4차</v>
      </c>
      <c r="D1120" s="1" t="str">
        <f>"0327H01344"</f>
        <v>0327H01344</v>
      </c>
      <c r="E1120" s="1" t="s">
        <v>10</v>
      </c>
      <c r="F1120" s="1" t="str">
        <f>"10.10.55.178"</f>
        <v>10.10.55.178</v>
      </c>
      <c r="G1120" s="1" t="str">
        <f>"0327H013"</f>
        <v>0327H013</v>
      </c>
      <c r="H1120" s="1" t="str">
        <f>"금성간 23L38L3"</f>
        <v>금성간 23L38L3</v>
      </c>
      <c r="I1120" s="1" t="s">
        <v>8</v>
      </c>
      <c r="J1120" s="1" t="str">
        <f>"19/19"</f>
        <v>19/19</v>
      </c>
      <c r="K1120" s="1" t="str">
        <f t="shared" si="56"/>
        <v>2026-07-29 13:18:02</v>
      </c>
      <c r="L1120" s="1" t="str">
        <f>"2019-09-19 16:23:04"</f>
        <v>2019-09-19 16:23:04</v>
      </c>
      <c r="M1120" s="1" t="s">
        <v>1</v>
      </c>
      <c r="N1120" s="1" t="s">
        <v>38</v>
      </c>
      <c r="O1120" s="1" t="s">
        <v>46</v>
      </c>
    </row>
    <row r="1121" spans="2:15" x14ac:dyDescent="0.3">
      <c r="B1121" s="1" t="s">
        <v>24</v>
      </c>
      <c r="C1121" s="1" t="str">
        <f>"4차"</f>
        <v>4차</v>
      </c>
      <c r="D1121" s="1" t="str">
        <f>"0327H04244"</f>
        <v>0327H04244</v>
      </c>
      <c r="E1121" s="1" t="s">
        <v>10</v>
      </c>
      <c r="F1121" s="1" t="str">
        <f>"10.10.59.186"</f>
        <v>10.10.59.186</v>
      </c>
      <c r="G1121" s="1" t="str">
        <f>"0327H042"</f>
        <v>0327H042</v>
      </c>
      <c r="H1121" s="1" t="str">
        <f>"동부간 10R15L3L3"</f>
        <v>동부간 10R15L3L3</v>
      </c>
      <c r="I1121" s="1" t="s">
        <v>8</v>
      </c>
      <c r="J1121" s="1" t="str">
        <f>"29/29"</f>
        <v>29/29</v>
      </c>
      <c r="K1121" s="1" t="str">
        <f t="shared" si="56"/>
        <v>2026-07-29 13:18:02</v>
      </c>
      <c r="L1121" s="1" t="str">
        <f>"2019-10-04 13:32:13"</f>
        <v>2019-10-04 13:32:13</v>
      </c>
      <c r="M1121" s="1" t="s">
        <v>1</v>
      </c>
      <c r="N1121" s="1" t="s">
        <v>38</v>
      </c>
      <c r="O1121" s="1" t="s">
        <v>46</v>
      </c>
    </row>
    <row r="1122" spans="2:15" x14ac:dyDescent="0.3">
      <c r="B1122" s="1" t="s">
        <v>24</v>
      </c>
      <c r="C1122" s="1" t="str">
        <f>"3차"</f>
        <v>3차</v>
      </c>
      <c r="D1122" s="1" t="str">
        <f>"0327H04344"</f>
        <v>0327H04344</v>
      </c>
      <c r="E1122" s="1" t="s">
        <v>10</v>
      </c>
      <c r="F1122" s="1" t="str">
        <f>"10.10.59.194"</f>
        <v>10.10.59.194</v>
      </c>
      <c r="G1122" s="1" t="str">
        <f>"0327H043"</f>
        <v>0327H043</v>
      </c>
      <c r="H1122" s="1" t="str">
        <f>"동부간 10R15L3L4"</f>
        <v>동부간 10R15L3L4</v>
      </c>
      <c r="I1122" s="1" t="s">
        <v>8</v>
      </c>
      <c r="J1122" s="1" t="str">
        <f>"43/47"</f>
        <v>43/47</v>
      </c>
      <c r="K1122" s="1" t="str">
        <f t="shared" si="56"/>
        <v>2026-07-29 13:18:02</v>
      </c>
      <c r="L1122" s="1" t="str">
        <f>"2025-10-28 09:19:46"</f>
        <v>2025-10-28 09:19:46</v>
      </c>
      <c r="M1122" s="1" t="s">
        <v>1</v>
      </c>
      <c r="N1122" s="1" t="s">
        <v>38</v>
      </c>
      <c r="O1122" s="1" t="s">
        <v>46</v>
      </c>
    </row>
    <row r="1123" spans="2:15" x14ac:dyDescent="0.3">
      <c r="B1123" s="1" t="s">
        <v>24</v>
      </c>
      <c r="C1123" s="1" t="str">
        <f>"4차"</f>
        <v>4차</v>
      </c>
      <c r="D1123" s="1" t="str">
        <f>"0327H05144"</f>
        <v>0327H05144</v>
      </c>
      <c r="E1123" s="1" t="s">
        <v>10</v>
      </c>
      <c r="F1123" s="1" t="str">
        <f>"10.10.58.130"</f>
        <v>10.10.58.130</v>
      </c>
      <c r="G1123" s="1" t="str">
        <f>"0327H051"</f>
        <v>0327H051</v>
      </c>
      <c r="H1123" s="1" t="str">
        <f>"동부간 15R8R2"</f>
        <v>동부간 15R8R2</v>
      </c>
      <c r="I1123" s="1" t="s">
        <v>8</v>
      </c>
      <c r="J1123" s="1" t="str">
        <f>"47/47"</f>
        <v>47/47</v>
      </c>
      <c r="K1123" s="1" t="str">
        <f t="shared" si="56"/>
        <v>2026-07-29 13:18:02</v>
      </c>
      <c r="L1123" s="1" t="str">
        <f>"2019-10-04 13:48:28"</f>
        <v>2019-10-04 13:48:28</v>
      </c>
      <c r="M1123" s="1" t="s">
        <v>1</v>
      </c>
      <c r="N1123" s="1" t="s">
        <v>38</v>
      </c>
      <c r="O1123" s="1" t="s">
        <v>46</v>
      </c>
    </row>
    <row r="1124" spans="2:15" x14ac:dyDescent="0.3">
      <c r="B1124" s="1" t="s">
        <v>24</v>
      </c>
      <c r="C1124" s="1" t="str">
        <f>"4차"</f>
        <v>4차</v>
      </c>
      <c r="D1124" s="1" t="str">
        <f>"0327H06144"</f>
        <v>0327H06144</v>
      </c>
      <c r="E1124" s="1" t="s">
        <v>10</v>
      </c>
      <c r="F1124" s="1" t="str">
        <f>"10.10.58.146"</f>
        <v>10.10.58.146</v>
      </c>
      <c r="G1124" s="1" t="str">
        <f>"0327H061"</f>
        <v>0327H061</v>
      </c>
      <c r="H1124" s="1" t="str">
        <f>"동부간 15R6R1"</f>
        <v>동부간 15R6R1</v>
      </c>
      <c r="I1124" s="1" t="s">
        <v>8</v>
      </c>
      <c r="J1124" s="1" t="str">
        <f>"69/75"</f>
        <v>69/75</v>
      </c>
      <c r="K1124" s="1" t="str">
        <f t="shared" si="56"/>
        <v>2026-07-29 13:18:02</v>
      </c>
      <c r="L1124" s="1" t="str">
        <f>"2021-07-28 16:33:55"</f>
        <v>2021-07-28 16:33:55</v>
      </c>
      <c r="M1124" s="1" t="s">
        <v>1</v>
      </c>
      <c r="N1124" s="1" t="s">
        <v>38</v>
      </c>
      <c r="O1124" s="1" t="s">
        <v>46</v>
      </c>
    </row>
    <row r="1125" spans="2:15" x14ac:dyDescent="0.3">
      <c r="B1125" s="1" t="s">
        <v>24</v>
      </c>
      <c r="C1125" s="1" t="str">
        <f>"6차"</f>
        <v>6차</v>
      </c>
      <c r="D1125" s="1" t="str">
        <f>"0327H0816S"</f>
        <v>0327H0816S</v>
      </c>
      <c r="E1125" s="1" t="s">
        <v>10</v>
      </c>
      <c r="F1125" s="1" t="str">
        <f>"fde1:103:4:9241:0:0:0:2"</f>
        <v>fde1:103:4:9241:0:0:0:2</v>
      </c>
      <c r="G1125" s="1" t="str">
        <f>"0327H081"</f>
        <v>0327H081</v>
      </c>
      <c r="H1125" s="1" t="str">
        <f>"동부간 15R3"</f>
        <v>동부간 15R3</v>
      </c>
      <c r="I1125" s="1" t="s">
        <v>15</v>
      </c>
      <c r="J1125" s="1" t="str">
        <f>"20/20"</f>
        <v>20/20</v>
      </c>
      <c r="K1125" s="1" t="str">
        <f>"2026-07-29 14:21:14"</f>
        <v>2026-07-29 14:21:14</v>
      </c>
      <c r="L1125" s="1" t="str">
        <f>"2025-02-20 17:34:08"</f>
        <v>2025-02-20 17:34:08</v>
      </c>
      <c r="M1125" s="1" t="s">
        <v>4</v>
      </c>
      <c r="N1125" s="1" t="s">
        <v>38</v>
      </c>
      <c r="O1125" s="1" t="s">
        <v>46</v>
      </c>
    </row>
    <row r="1126" spans="2:15" x14ac:dyDescent="0.3">
      <c r="B1126" s="1" t="s">
        <v>24</v>
      </c>
      <c r="C1126" s="1" t="str">
        <f>"6차"</f>
        <v>6차</v>
      </c>
      <c r="D1126" s="1" t="str">
        <f>"0327H0826S"</f>
        <v>0327H0826S</v>
      </c>
      <c r="E1126" s="1" t="s">
        <v>10</v>
      </c>
      <c r="F1126" s="1" t="str">
        <f>"fde1:103:4:91ad:0:0:0:2"</f>
        <v>fde1:103:4:91ad:0:0:0:2</v>
      </c>
      <c r="G1126" s="1" t="str">
        <f>"0327H082"</f>
        <v>0327H082</v>
      </c>
      <c r="H1126" s="1" t="str">
        <f>"동부간 10R7L7"</f>
        <v>동부간 10R7L7</v>
      </c>
      <c r="I1126" s="1" t="s">
        <v>15</v>
      </c>
      <c r="J1126" s="1" t="str">
        <f>"29/30"</f>
        <v>29/30</v>
      </c>
      <c r="K1126" s="1" t="str">
        <f>"2026-07-29 02:20:45"</f>
        <v>2026-07-29 02:20:45</v>
      </c>
      <c r="L1126" s="1" t="str">
        <f>"2025-02-20 17:32:17"</f>
        <v>2025-02-20 17:32:17</v>
      </c>
      <c r="M1126" s="1" t="s">
        <v>4</v>
      </c>
      <c r="N1126" s="1" t="s">
        <v>38</v>
      </c>
      <c r="O1126" s="1" t="s">
        <v>46</v>
      </c>
    </row>
    <row r="1127" spans="2:15" x14ac:dyDescent="0.3">
      <c r="B1127" s="1" t="s">
        <v>24</v>
      </c>
      <c r="C1127" s="1" t="str">
        <f>"1차"</f>
        <v>1차</v>
      </c>
      <c r="D1127" s="1" t="str">
        <f>"0327H08300"</f>
        <v>0327H08300</v>
      </c>
      <c r="E1127" s="1" t="s">
        <v>10</v>
      </c>
      <c r="F1127" s="1" t="str">
        <f>"10.89.247.173"</f>
        <v>10.89.247.173</v>
      </c>
      <c r="G1127" s="1" t="str">
        <f>"0327H083"</f>
        <v>0327H083</v>
      </c>
      <c r="H1127" s="1" t="str">
        <f>"동부간 10R7L6"</f>
        <v>동부간 10R7L6</v>
      </c>
      <c r="I1127" s="1" t="s">
        <v>8</v>
      </c>
      <c r="J1127" s="1" t="str">
        <f>"43/43"</f>
        <v>43/43</v>
      </c>
      <c r="K1127" s="1" t="str">
        <f>"2026-07-29 13:18:02"</f>
        <v>2026-07-29 13:18:02</v>
      </c>
      <c r="L1127" s="1" t="str">
        <f>"2014-10-27 15:35:29"</f>
        <v>2014-10-27 15:35:29</v>
      </c>
      <c r="M1127" s="1" t="s">
        <v>45</v>
      </c>
      <c r="N1127" s="1" t="s">
        <v>38</v>
      </c>
      <c r="O1127" s="1" t="s">
        <v>46</v>
      </c>
    </row>
    <row r="1128" spans="2:15" x14ac:dyDescent="0.3">
      <c r="B1128" s="1" t="s">
        <v>24</v>
      </c>
      <c r="C1128" s="1" t="str">
        <f>"1차"</f>
        <v>1차</v>
      </c>
      <c r="D1128" s="1" t="str">
        <f>"0327H09200"</f>
        <v>0327H09200</v>
      </c>
      <c r="E1128" s="1" t="s">
        <v>10</v>
      </c>
      <c r="F1128" s="1" t="str">
        <f>"10.89.247.35"</f>
        <v>10.89.247.35</v>
      </c>
      <c r="G1128" s="1" t="str">
        <f>"0327H092"</f>
        <v>0327H092</v>
      </c>
      <c r="H1128" s="1" t="str">
        <f>"동부간 15R2R1"</f>
        <v>동부간 15R2R1</v>
      </c>
      <c r="I1128" s="1" t="s">
        <v>8</v>
      </c>
      <c r="J1128" s="1" t="str">
        <f>"19/19"</f>
        <v>19/19</v>
      </c>
      <c r="K1128" s="1" t="str">
        <f>"2026-07-29 13:18:02"</f>
        <v>2026-07-29 13:18:02</v>
      </c>
      <c r="L1128" s="1" t="str">
        <f>"2014-10-27 15:36:56"</f>
        <v>2014-10-27 15:36:56</v>
      </c>
      <c r="M1128" s="1" t="s">
        <v>45</v>
      </c>
      <c r="N1128" s="1" t="s">
        <v>38</v>
      </c>
      <c r="O1128" s="1" t="s">
        <v>46</v>
      </c>
    </row>
    <row r="1129" spans="2:15" x14ac:dyDescent="0.3">
      <c r="B1129" s="1" t="s">
        <v>24</v>
      </c>
      <c r="C1129" s="1" t="str">
        <f>"4차"</f>
        <v>4차</v>
      </c>
      <c r="D1129" s="1" t="str">
        <f>"0327H10144"</f>
        <v>0327H10144</v>
      </c>
      <c r="E1129" s="1" t="s">
        <v>10</v>
      </c>
      <c r="F1129" s="1" t="str">
        <f>"10.10.114.18"</f>
        <v>10.10.114.18</v>
      </c>
      <c r="G1129" s="1" t="str">
        <f>"0327H101"</f>
        <v>0327H101</v>
      </c>
      <c r="H1129" s="1" t="str">
        <f>"금성간 23L38"</f>
        <v>금성간 23L38</v>
      </c>
      <c r="I1129" s="1" t="s">
        <v>8</v>
      </c>
      <c r="J1129" s="1" t="str">
        <f>"13/13"</f>
        <v>13/13</v>
      </c>
      <c r="K1129" s="1" t="str">
        <f>"2026-07-29 13:18:03"</f>
        <v>2026-07-29 13:18:03</v>
      </c>
      <c r="L1129" s="1" t="str">
        <f>"2019-09-26 12:53:05"</f>
        <v>2019-09-26 12:53:05</v>
      </c>
      <c r="M1129" s="1" t="s">
        <v>1</v>
      </c>
      <c r="N1129" s="1" t="s">
        <v>38</v>
      </c>
      <c r="O1129" s="1" t="s">
        <v>46</v>
      </c>
    </row>
    <row r="1130" spans="2:15" x14ac:dyDescent="0.3">
      <c r="B1130" s="1" t="s">
        <v>24</v>
      </c>
      <c r="C1130" s="1" t="str">
        <f>"4차"</f>
        <v>4차</v>
      </c>
      <c r="D1130" s="1" t="str">
        <f>"0327H10244"</f>
        <v>0327H10244</v>
      </c>
      <c r="E1130" s="1" t="s">
        <v>10</v>
      </c>
      <c r="F1130" s="1" t="str">
        <f>"10.10.55.154"</f>
        <v>10.10.55.154</v>
      </c>
      <c r="G1130" s="1" t="str">
        <f>"0327H102"</f>
        <v>0327H102</v>
      </c>
      <c r="H1130" s="1" t="str">
        <f>"금성간 23L38L1"</f>
        <v>금성간 23L38L1</v>
      </c>
      <c r="I1130" s="1" t="s">
        <v>8</v>
      </c>
      <c r="J1130" s="1" t="str">
        <f>"16/16"</f>
        <v>16/16</v>
      </c>
      <c r="K1130" s="1" t="str">
        <f>"2026-07-29 13:18:03"</f>
        <v>2026-07-29 13:18:03</v>
      </c>
      <c r="L1130" s="1" t="str">
        <f>"2019-09-19 16:48:59"</f>
        <v>2019-09-19 16:48:59</v>
      </c>
      <c r="M1130" s="1" t="s">
        <v>1</v>
      </c>
      <c r="N1130" s="1" t="s">
        <v>38</v>
      </c>
      <c r="O1130" s="1" t="s">
        <v>46</v>
      </c>
    </row>
    <row r="1131" spans="2:15" x14ac:dyDescent="0.3">
      <c r="B1131" s="1" t="s">
        <v>24</v>
      </c>
      <c r="C1131" s="1" t="str">
        <f>"4차"</f>
        <v>4차</v>
      </c>
      <c r="D1131" s="1" t="str">
        <f>"0327H11144"</f>
        <v>0327H11144</v>
      </c>
      <c r="E1131" s="1" t="s">
        <v>10</v>
      </c>
      <c r="F1131" s="1" t="str">
        <f>"10.10.55.170"</f>
        <v>10.10.55.170</v>
      </c>
      <c r="G1131" s="1" t="str">
        <f>"0327H111"</f>
        <v>0327H111</v>
      </c>
      <c r="H1131" s="1" t="str">
        <f>"금성간 23L38L2R1"</f>
        <v>금성간 23L38L2R1</v>
      </c>
      <c r="I1131" s="1" t="s">
        <v>8</v>
      </c>
      <c r="J1131" s="1" t="str">
        <f>"19/20"</f>
        <v>19/20</v>
      </c>
      <c r="K1131" s="1" t="str">
        <f>"2026-07-29 13:18:02"</f>
        <v>2026-07-29 13:18:02</v>
      </c>
      <c r="L1131" s="1" t="str">
        <f>"2019-09-19 17:20:29"</f>
        <v>2019-09-19 17:20:29</v>
      </c>
      <c r="M1131" s="1" t="s">
        <v>1</v>
      </c>
      <c r="N1131" s="1" t="s">
        <v>38</v>
      </c>
      <c r="O1131" s="1" t="s">
        <v>46</v>
      </c>
    </row>
    <row r="1132" spans="2:15" x14ac:dyDescent="0.3">
      <c r="B1132" s="1" t="s">
        <v>24</v>
      </c>
      <c r="C1132" s="1" t="str">
        <f>"4차"</f>
        <v>4차</v>
      </c>
      <c r="D1132" s="1" t="str">
        <f>"0327H13144"</f>
        <v>0327H13144</v>
      </c>
      <c r="E1132" s="1" t="s">
        <v>10</v>
      </c>
      <c r="F1132" s="1" t="str">
        <f>"10.10.59.210"</f>
        <v>10.10.59.210</v>
      </c>
      <c r="G1132" s="1" t="str">
        <f>"0327H131"</f>
        <v>0327H131</v>
      </c>
      <c r="H1132" s="1" t="str">
        <f>"동부간 10R15L7"</f>
        <v>동부간 10R15L7</v>
      </c>
      <c r="I1132" s="1" t="s">
        <v>8</v>
      </c>
      <c r="J1132" s="1" t="str">
        <f>"25/25"</f>
        <v>25/25</v>
      </c>
      <c r="K1132" s="1" t="str">
        <f>"2026-07-29 13:18:03"</f>
        <v>2026-07-29 13:18:03</v>
      </c>
      <c r="L1132" s="1" t="str">
        <f>"2019-10-04 13:35:29"</f>
        <v>2019-10-04 13:35:29</v>
      </c>
      <c r="M1132" s="1" t="s">
        <v>1</v>
      </c>
      <c r="N1132" s="1" t="s">
        <v>38</v>
      </c>
      <c r="O1132" s="1" t="s">
        <v>46</v>
      </c>
    </row>
    <row r="1133" spans="2:15" x14ac:dyDescent="0.3">
      <c r="B1133" s="1" t="s">
        <v>24</v>
      </c>
      <c r="C1133" s="1" t="str">
        <f>"6차"</f>
        <v>6차</v>
      </c>
      <c r="D1133" s="1" t="str">
        <f>"0327H1516S"</f>
        <v>0327H1516S</v>
      </c>
      <c r="E1133" s="1" t="s">
        <v>10</v>
      </c>
      <c r="F1133" s="1" t="str">
        <f>"fde3:102:1430:9200:0:0:0:2"</f>
        <v>fde3:102:1430:9200:0:0:0:2</v>
      </c>
      <c r="G1133" s="1" t="str">
        <f>"0327H151"</f>
        <v>0327H151</v>
      </c>
      <c r="H1133" s="1" t="str">
        <f>"동부간 15R8"</f>
        <v>동부간 15R8</v>
      </c>
      <c r="I1133" s="1" t="s">
        <v>15</v>
      </c>
      <c r="J1133" s="1" t="str">
        <f>"54/55"</f>
        <v>54/55</v>
      </c>
      <c r="K1133" s="1" t="str">
        <f>"2026-07-29 14:20:30"</f>
        <v>2026-07-29 14:20:30</v>
      </c>
      <c r="L1133" s="1" t="str">
        <f>"2024-10-10 10:24:19"</f>
        <v>2024-10-10 10:24:19</v>
      </c>
      <c r="M1133" s="1" t="s">
        <v>45</v>
      </c>
      <c r="N1133" s="1" t="s">
        <v>38</v>
      </c>
      <c r="O1133" s="1" t="s">
        <v>46</v>
      </c>
    </row>
    <row r="1134" spans="2:15" x14ac:dyDescent="0.3">
      <c r="B1134" s="1" t="s">
        <v>24</v>
      </c>
      <c r="C1134" s="1" t="str">
        <f t="shared" ref="C1134:C1139" si="57">"4차"</f>
        <v>4차</v>
      </c>
      <c r="D1134" s="1" t="str">
        <f>"0327H15244"</f>
        <v>0327H15244</v>
      </c>
      <c r="E1134" s="1" t="s">
        <v>10</v>
      </c>
      <c r="F1134" s="1" t="str">
        <f>"10.10.58.138"</f>
        <v>10.10.58.138</v>
      </c>
      <c r="G1134" s="1" t="str">
        <f>"0327H152"</f>
        <v>0327H152</v>
      </c>
      <c r="H1134" s="1" t="str">
        <f>"동부간 15R8R1"</f>
        <v>동부간 15R8R1</v>
      </c>
      <c r="I1134" s="1" t="s">
        <v>8</v>
      </c>
      <c r="J1134" s="1" t="str">
        <f>"21/21"</f>
        <v>21/21</v>
      </c>
      <c r="K1134" s="1" t="str">
        <f>"2026-07-29 13:18:03"</f>
        <v>2026-07-29 13:18:03</v>
      </c>
      <c r="L1134" s="1" t="str">
        <f>"2019-10-04 13:38:59"</f>
        <v>2019-10-04 13:38:59</v>
      </c>
      <c r="M1134" s="1" t="s">
        <v>1</v>
      </c>
      <c r="N1134" s="1" t="s">
        <v>38</v>
      </c>
      <c r="O1134" s="1" t="s">
        <v>46</v>
      </c>
    </row>
    <row r="1135" spans="2:15" x14ac:dyDescent="0.3">
      <c r="B1135" s="1" t="s">
        <v>24</v>
      </c>
      <c r="C1135" s="1" t="str">
        <f t="shared" si="57"/>
        <v>4차</v>
      </c>
      <c r="D1135" s="1" t="str">
        <f>"0327H17144"</f>
        <v>0327H17144</v>
      </c>
      <c r="E1135" s="1" t="s">
        <v>10</v>
      </c>
      <c r="F1135" s="1" t="str">
        <f>"10.10.58.154"</f>
        <v>10.10.58.154</v>
      </c>
      <c r="G1135" s="1" t="str">
        <f>"0327H171"</f>
        <v>0327H171</v>
      </c>
      <c r="H1135" s="1" t="str">
        <f>"동부간 15R5"</f>
        <v>동부간 15R5</v>
      </c>
      <c r="I1135" s="1" t="s">
        <v>8</v>
      </c>
      <c r="J1135" s="1" t="str">
        <f>"46/46"</f>
        <v>46/46</v>
      </c>
      <c r="K1135" s="1" t="str">
        <f>"2026-07-29 13:18:03"</f>
        <v>2026-07-29 13:18:03</v>
      </c>
      <c r="L1135" s="1" t="str">
        <f>"2019-10-04 13:35:43"</f>
        <v>2019-10-04 13:35:43</v>
      </c>
      <c r="M1135" s="1" t="s">
        <v>1</v>
      </c>
      <c r="N1135" s="1" t="s">
        <v>38</v>
      </c>
      <c r="O1135" s="1" t="s">
        <v>46</v>
      </c>
    </row>
    <row r="1136" spans="2:15" x14ac:dyDescent="0.3">
      <c r="B1136" s="1" t="s">
        <v>24</v>
      </c>
      <c r="C1136" s="1" t="str">
        <f t="shared" si="57"/>
        <v>4차</v>
      </c>
      <c r="D1136" s="1" t="str">
        <f>"0327H18144"</f>
        <v>0327H18144</v>
      </c>
      <c r="E1136" s="1" t="s">
        <v>10</v>
      </c>
      <c r="F1136" s="1" t="str">
        <f>"10.10.58.162"</f>
        <v>10.10.58.162</v>
      </c>
      <c r="G1136" s="1" t="str">
        <f>"0327H181"</f>
        <v>0327H181</v>
      </c>
      <c r="H1136" s="1" t="str">
        <f>"동부간 15R4"</f>
        <v>동부간 15R4</v>
      </c>
      <c r="I1136" s="1" t="s">
        <v>8</v>
      </c>
      <c r="J1136" s="1" t="str">
        <f>"19/20"</f>
        <v>19/20</v>
      </c>
      <c r="K1136" s="1" t="str">
        <f>"2026-07-29 13:18:02"</f>
        <v>2026-07-29 13:18:02</v>
      </c>
      <c r="L1136" s="1" t="str">
        <f>"2019-10-04 15:44:45"</f>
        <v>2019-10-04 15:44:45</v>
      </c>
      <c r="M1136" s="1" t="s">
        <v>1</v>
      </c>
      <c r="N1136" s="1" t="s">
        <v>38</v>
      </c>
      <c r="O1136" s="1" t="s">
        <v>46</v>
      </c>
    </row>
    <row r="1137" spans="2:15" x14ac:dyDescent="0.3">
      <c r="B1137" s="1" t="s">
        <v>24</v>
      </c>
      <c r="C1137" s="1" t="str">
        <f t="shared" si="57"/>
        <v>4차</v>
      </c>
      <c r="D1137" s="1" t="str">
        <f>"0327H23344"</f>
        <v>0327H23344</v>
      </c>
      <c r="E1137" s="1" t="s">
        <v>10</v>
      </c>
      <c r="F1137" s="1" t="str">
        <f>"10.10.117.42"</f>
        <v>10.10.117.42</v>
      </c>
      <c r="G1137" s="1" t="str">
        <f>"0327H233"</f>
        <v>0327H233</v>
      </c>
      <c r="H1137" s="1" t="str">
        <f>"동부간 10R15L9"</f>
        <v>동부간 10R15L9</v>
      </c>
      <c r="I1137" s="1" t="s">
        <v>8</v>
      </c>
      <c r="J1137" s="1" t="str">
        <f>"13/13"</f>
        <v>13/13</v>
      </c>
      <c r="K1137" s="1" t="str">
        <f>"2026-07-29 13:18:03"</f>
        <v>2026-07-29 13:18:03</v>
      </c>
      <c r="L1137" s="1" t="str">
        <f>"2019-10-04 17:45:46"</f>
        <v>2019-10-04 17:45:46</v>
      </c>
      <c r="M1137" s="1" t="s">
        <v>1</v>
      </c>
      <c r="N1137" s="1" t="s">
        <v>38</v>
      </c>
      <c r="O1137" s="1" t="s">
        <v>46</v>
      </c>
    </row>
    <row r="1138" spans="2:15" x14ac:dyDescent="0.3">
      <c r="B1138" s="1" t="s">
        <v>24</v>
      </c>
      <c r="C1138" s="1" t="str">
        <f t="shared" si="57"/>
        <v>4차</v>
      </c>
      <c r="D1138" s="1" t="str">
        <f>"0327H25544"</f>
        <v>0327H25544</v>
      </c>
      <c r="E1138" s="1" t="s">
        <v>10</v>
      </c>
      <c r="F1138" s="1" t="str">
        <f>"10.10.58.114"</f>
        <v>10.10.58.114</v>
      </c>
      <c r="G1138" s="1" t="str">
        <f>"0327H255"</f>
        <v>0327H255</v>
      </c>
      <c r="H1138" s="1" t="str">
        <f>"동부간 15R9"</f>
        <v>동부간 15R9</v>
      </c>
      <c r="I1138" s="1" t="s">
        <v>8</v>
      </c>
      <c r="J1138" s="1" t="str">
        <f>"44/47"</f>
        <v>44/47</v>
      </c>
      <c r="K1138" s="1" t="str">
        <f>"2026-07-29 13:18:03"</f>
        <v>2026-07-29 13:18:03</v>
      </c>
      <c r="L1138" s="1" t="str">
        <f>"2019-10-04 13:54:43"</f>
        <v>2019-10-04 13:54:43</v>
      </c>
      <c r="M1138" s="1" t="s">
        <v>1</v>
      </c>
      <c r="N1138" s="1" t="s">
        <v>38</v>
      </c>
      <c r="O1138" s="1" t="s">
        <v>46</v>
      </c>
    </row>
    <row r="1139" spans="2:15" x14ac:dyDescent="0.3">
      <c r="B1139" s="1" t="s">
        <v>24</v>
      </c>
      <c r="C1139" s="1" t="str">
        <f t="shared" si="57"/>
        <v>4차</v>
      </c>
      <c r="D1139" s="1" t="str">
        <f>"0327H26144"</f>
        <v>0327H26144</v>
      </c>
      <c r="E1139" s="1" t="s">
        <v>10</v>
      </c>
      <c r="F1139" s="1" t="str">
        <f>"10.10.58.194"</f>
        <v>10.10.58.194</v>
      </c>
      <c r="G1139" s="1" t="str">
        <f>"0327H261"</f>
        <v>0327H261</v>
      </c>
      <c r="H1139" s="1" t="str">
        <f>"동부간 15R10"</f>
        <v>동부간 15R10</v>
      </c>
      <c r="I1139" s="1" t="s">
        <v>8</v>
      </c>
      <c r="J1139" s="1" t="str">
        <f>"81/92"</f>
        <v>81/92</v>
      </c>
      <c r="K1139" s="1" t="str">
        <f>"2026-07-29 13:18:03"</f>
        <v>2026-07-29 13:18:03</v>
      </c>
      <c r="L1139" s="1" t="str">
        <f>"2019-10-04 15:43:05"</f>
        <v>2019-10-04 15:43:05</v>
      </c>
      <c r="M1139" s="1" t="s">
        <v>1</v>
      </c>
      <c r="N1139" s="1" t="s">
        <v>38</v>
      </c>
      <c r="O1139" s="1" t="s">
        <v>46</v>
      </c>
    </row>
    <row r="1140" spans="2:15" x14ac:dyDescent="0.3">
      <c r="B1140" s="1" t="s">
        <v>24</v>
      </c>
      <c r="C1140" s="1" t="str">
        <f>"1차"</f>
        <v>1차</v>
      </c>
      <c r="D1140" s="1" t="str">
        <f>"0327H28100"</f>
        <v>0327H28100</v>
      </c>
      <c r="E1140" s="1" t="str">
        <f>"검침실패(3시간 이상)"</f>
        <v>검침실패(3시간 이상)</v>
      </c>
      <c r="F1140" s="1" t="str">
        <f>"10.89.248.66"</f>
        <v>10.89.248.66</v>
      </c>
      <c r="G1140" s="1" t="str">
        <f>"0327H281"</f>
        <v>0327H281</v>
      </c>
      <c r="H1140" s="1" t="str">
        <f>"동부간 15R4L3"</f>
        <v>동부간 15R4L3</v>
      </c>
      <c r="I1140" s="1" t="s">
        <v>8</v>
      </c>
      <c r="J1140" s="1" t="str">
        <f>"0/89"</f>
        <v>0/89</v>
      </c>
      <c r="K1140" s="1" t="str">
        <f>"2026-07-29 13:18:01"</f>
        <v>2026-07-29 13:18:01</v>
      </c>
      <c r="L1140" s="1" t="str">
        <f>"2014-10-14 13:08:01"</f>
        <v>2014-10-14 13:08:01</v>
      </c>
      <c r="M1140" s="1" t="s">
        <v>45</v>
      </c>
      <c r="N1140" s="1" t="s">
        <v>38</v>
      </c>
      <c r="O1140" s="1" t="s">
        <v>46</v>
      </c>
    </row>
    <row r="1141" spans="2:15" x14ac:dyDescent="0.3">
      <c r="B1141" s="1" t="s">
        <v>24</v>
      </c>
      <c r="C1141" s="1" t="str">
        <f>"3차"</f>
        <v>3차</v>
      </c>
      <c r="D1141" s="1" t="str">
        <f>"0327H31439"</f>
        <v>0327H31439</v>
      </c>
      <c r="E1141" s="1" t="s">
        <v>10</v>
      </c>
      <c r="F1141" s="1" t="str">
        <f>"10.89.247.162"</f>
        <v>10.89.247.162</v>
      </c>
      <c r="G1141" s="1" t="str">
        <f>"0327H314"</f>
        <v>0327H314</v>
      </c>
      <c r="H1141" s="1" t="str">
        <f>"금성간 23L42"</f>
        <v>금성간 23L42</v>
      </c>
      <c r="I1141" s="1" t="s">
        <v>8</v>
      </c>
      <c r="J1141" s="1" t="str">
        <f>"43/43"</f>
        <v>43/43</v>
      </c>
      <c r="K1141" s="1" t="str">
        <f>"2026-07-29 13:18:01"</f>
        <v>2026-07-29 13:18:01</v>
      </c>
      <c r="L1141" s="1" t="str">
        <f>"2018-04-17 18:18:59"</f>
        <v>2018-04-17 18:18:59</v>
      </c>
      <c r="M1141" s="1" t="s">
        <v>45</v>
      </c>
      <c r="N1141" s="1" t="s">
        <v>38</v>
      </c>
      <c r="O1141" s="1" t="s">
        <v>46</v>
      </c>
    </row>
    <row r="1142" spans="2:15" x14ac:dyDescent="0.3">
      <c r="B1142" s="1" t="s">
        <v>24</v>
      </c>
      <c r="C1142" s="1" t="str">
        <f>"4차"</f>
        <v>4차</v>
      </c>
      <c r="D1142" s="1" t="str">
        <f>"0327H32344"</f>
        <v>0327H32344</v>
      </c>
      <c r="E1142" s="1" t="s">
        <v>10</v>
      </c>
      <c r="F1142" s="1" t="str">
        <f>"10.10.60.2"</f>
        <v>10.10.60.2</v>
      </c>
      <c r="G1142" s="1" t="str">
        <f>"0327H323"</f>
        <v>0327H323</v>
      </c>
      <c r="H1142" s="1" t="str">
        <f>"동부간 10R16L8R3"</f>
        <v>동부간 10R16L8R3</v>
      </c>
      <c r="I1142" s="1" t="s">
        <v>8</v>
      </c>
      <c r="J1142" s="1" t="str">
        <f>"66/73"</f>
        <v>66/73</v>
      </c>
      <c r="K1142" s="1" t="str">
        <f>"2026-07-29 13:18:01"</f>
        <v>2026-07-29 13:18:01</v>
      </c>
      <c r="L1142" s="1" t="str">
        <f>"2019-10-04 16:33:04"</f>
        <v>2019-10-04 16:33:04</v>
      </c>
      <c r="M1142" s="1" t="s">
        <v>1</v>
      </c>
      <c r="N1142" s="1" t="s">
        <v>38</v>
      </c>
      <c r="O1142" s="1" t="s">
        <v>46</v>
      </c>
    </row>
    <row r="1143" spans="2:15" x14ac:dyDescent="0.3">
      <c r="B1143" s="1" t="s">
        <v>24</v>
      </c>
      <c r="C1143" s="1" t="str">
        <f>"4차"</f>
        <v>4차</v>
      </c>
      <c r="D1143" s="1" t="str">
        <f>"0327H33144"</f>
        <v>0327H33144</v>
      </c>
      <c r="E1143" s="1" t="s">
        <v>10</v>
      </c>
      <c r="F1143" s="1" t="str">
        <f>"10.10.59.250"</f>
        <v>10.10.59.250</v>
      </c>
      <c r="G1143" s="1" t="str">
        <f>"0327H331"</f>
        <v>0327H331</v>
      </c>
      <c r="H1143" s="1" t="str">
        <f>"동부간 10R16L8"</f>
        <v>동부간 10R16L8</v>
      </c>
      <c r="I1143" s="1" t="s">
        <v>8</v>
      </c>
      <c r="J1143" s="1" t="str">
        <f>"36/36"</f>
        <v>36/36</v>
      </c>
      <c r="K1143" s="1" t="str">
        <f>"2026-07-29 13:18:01"</f>
        <v>2026-07-29 13:18:01</v>
      </c>
      <c r="L1143" s="1" t="str">
        <f>"2019-10-04 16:27:29"</f>
        <v>2019-10-04 16:27:29</v>
      </c>
      <c r="M1143" s="1" t="s">
        <v>1</v>
      </c>
      <c r="N1143" s="1" t="s">
        <v>38</v>
      </c>
      <c r="O1143" s="1" t="s">
        <v>46</v>
      </c>
    </row>
    <row r="1144" spans="2:15" x14ac:dyDescent="0.3">
      <c r="B1144" s="1" t="s">
        <v>24</v>
      </c>
      <c r="C1144" s="1" t="str">
        <f>"1차"</f>
        <v>1차</v>
      </c>
      <c r="D1144" s="1" t="str">
        <f>"0327H34101"</f>
        <v>0327H34101</v>
      </c>
      <c r="E1144" s="1" t="s">
        <v>10</v>
      </c>
      <c r="F1144" s="1" t="str">
        <f>"10.89.249.76"</f>
        <v>10.89.249.76</v>
      </c>
      <c r="G1144" s="1" t="str">
        <f>"0327H341"</f>
        <v>0327H341</v>
      </c>
      <c r="H1144" s="1" t="str">
        <f>"동부간 10R15L10"</f>
        <v>동부간 10R15L10</v>
      </c>
      <c r="I1144" s="1" t="s">
        <v>8</v>
      </c>
      <c r="J1144" s="1" t="str">
        <f>"43/43"</f>
        <v>43/43</v>
      </c>
      <c r="K1144" s="1" t="str">
        <f>"2026-07-29 13:18:00"</f>
        <v>2026-07-29 13:18:00</v>
      </c>
      <c r="L1144" s="1" t="str">
        <f>"2014-10-27 15:39:37"</f>
        <v>2014-10-27 15:39:37</v>
      </c>
      <c r="M1144" s="1" t="s">
        <v>45</v>
      </c>
      <c r="N1144" s="1" t="s">
        <v>38</v>
      </c>
      <c r="O1144" s="1" t="s">
        <v>46</v>
      </c>
    </row>
    <row r="1145" spans="2:15" x14ac:dyDescent="0.3">
      <c r="B1145" s="1" t="s">
        <v>24</v>
      </c>
      <c r="C1145" s="1" t="str">
        <f>"4차"</f>
        <v>4차</v>
      </c>
      <c r="D1145" s="1" t="str">
        <f>"0327H36144"</f>
        <v>0327H36144</v>
      </c>
      <c r="E1145" s="1" t="s">
        <v>10</v>
      </c>
      <c r="F1145" s="1" t="str">
        <f>"10.10.116.82"</f>
        <v>10.10.116.82</v>
      </c>
      <c r="G1145" s="1" t="str">
        <f>"0327H361"</f>
        <v>0327H361</v>
      </c>
      <c r="H1145" s="1" t="str">
        <f>"동부간 15R12"</f>
        <v>동부간 15R12</v>
      </c>
      <c r="I1145" s="1" t="s">
        <v>8</v>
      </c>
      <c r="J1145" s="1" t="str">
        <f>"34/34"</f>
        <v>34/34</v>
      </c>
      <c r="K1145" s="1" t="str">
        <f>"2026-07-29 13:18:01"</f>
        <v>2026-07-29 13:18:01</v>
      </c>
      <c r="L1145" s="1" t="str">
        <f>"2019-10-04 18:46:39"</f>
        <v>2019-10-04 18:46:39</v>
      </c>
      <c r="M1145" s="1" t="s">
        <v>1</v>
      </c>
      <c r="N1145" s="1" t="s">
        <v>38</v>
      </c>
      <c r="O1145" s="1" t="s">
        <v>46</v>
      </c>
    </row>
    <row r="1146" spans="2:15" x14ac:dyDescent="0.3">
      <c r="B1146" s="1" t="s">
        <v>24</v>
      </c>
      <c r="C1146" s="1" t="str">
        <f>"4차"</f>
        <v>4차</v>
      </c>
      <c r="D1146" s="1" t="str">
        <f>"0327H36244"</f>
        <v>0327H36244</v>
      </c>
      <c r="E1146" s="1" t="s">
        <v>12</v>
      </c>
      <c r="F1146" s="1" t="str">
        <f>"10.10.58.170"</f>
        <v>10.10.58.170</v>
      </c>
      <c r="G1146" s="1" t="str">
        <f>"0327H362"</f>
        <v>0327H362</v>
      </c>
      <c r="H1146" s="1" t="str">
        <f>"동부간 15R12L1"</f>
        <v>동부간 15R12L1</v>
      </c>
      <c r="I1146" s="1" t="s">
        <v>8</v>
      </c>
      <c r="J1146" s="1" t="str">
        <f>"0/65"</f>
        <v>0/65</v>
      </c>
      <c r="K1146" s="1" t="str">
        <f>"2026-07-16 07:18:02"</f>
        <v>2026-07-16 07:18:02</v>
      </c>
      <c r="L1146" s="1" t="str">
        <f>"2019-10-04 18:19:16"</f>
        <v>2019-10-04 18:19:16</v>
      </c>
      <c r="M1146" s="1" t="s">
        <v>1</v>
      </c>
      <c r="N1146" s="1" t="s">
        <v>38</v>
      </c>
      <c r="O1146" s="1" t="s">
        <v>46</v>
      </c>
    </row>
    <row r="1147" spans="2:15" x14ac:dyDescent="0.3">
      <c r="B1147" s="1" t="s">
        <v>24</v>
      </c>
      <c r="C1147" s="1" t="str">
        <f>"4차"</f>
        <v>4차</v>
      </c>
      <c r="D1147" s="1" t="str">
        <f>"0327H36444"</f>
        <v>0327H36444</v>
      </c>
      <c r="E1147" s="1" t="s">
        <v>10</v>
      </c>
      <c r="F1147" s="1" t="str">
        <f>"10.10.58.178"</f>
        <v>10.10.58.178</v>
      </c>
      <c r="G1147" s="1" t="str">
        <f>"0327H364"</f>
        <v>0327H364</v>
      </c>
      <c r="H1147" s="1" t="str">
        <f>"동부간 15R11L1"</f>
        <v>동부간 15R11L1</v>
      </c>
      <c r="I1147" s="1" t="s">
        <v>8</v>
      </c>
      <c r="J1147" s="1" t="str">
        <f>"56/56"</f>
        <v>56/56</v>
      </c>
      <c r="K1147" s="1" t="str">
        <f>"2026-07-29 13:18:01"</f>
        <v>2026-07-29 13:18:01</v>
      </c>
      <c r="L1147" s="1" t="str">
        <f>"2023-03-17 15:03:36"</f>
        <v>2023-03-17 15:03:36</v>
      </c>
      <c r="M1147" s="1" t="s">
        <v>1</v>
      </c>
      <c r="N1147" s="1" t="s">
        <v>38</v>
      </c>
      <c r="O1147" s="1" t="s">
        <v>46</v>
      </c>
    </row>
    <row r="1148" spans="2:15" x14ac:dyDescent="0.3">
      <c r="B1148" s="1" t="s">
        <v>24</v>
      </c>
      <c r="C1148" s="1" t="str">
        <f>"6차"</f>
        <v>6차</v>
      </c>
      <c r="D1148" s="1" t="str">
        <f>"0327H3916S"</f>
        <v>0327H3916S</v>
      </c>
      <c r="E1148" s="1" t="s">
        <v>10</v>
      </c>
      <c r="F1148" s="1" t="str">
        <f>"fde1:103:4:c6df:0:0:0:2"</f>
        <v>fde1:103:4:c6df:0:0:0:2</v>
      </c>
      <c r="G1148" s="1" t="str">
        <f>"0327H391"</f>
        <v>0327H391</v>
      </c>
      <c r="H1148" s="1" t="str">
        <f>"동부간 15R4L5"</f>
        <v>동부간 15R4L5</v>
      </c>
      <c r="I1148" s="1" t="s">
        <v>15</v>
      </c>
      <c r="J1148" s="1" t="str">
        <f>"32/35"</f>
        <v>32/35</v>
      </c>
      <c r="K1148" s="1" t="str">
        <f>"2026-07-29 08:20:31"</f>
        <v>2026-07-29 08:20:31</v>
      </c>
      <c r="L1148" s="1" t="str">
        <f>"2024-11-08 14:04:07"</f>
        <v>2024-11-08 14:04:07</v>
      </c>
      <c r="M1148" s="1" t="s">
        <v>4</v>
      </c>
      <c r="N1148" s="1" t="s">
        <v>38</v>
      </c>
      <c r="O1148" s="1" t="s">
        <v>46</v>
      </c>
    </row>
    <row r="1149" spans="2:15" x14ac:dyDescent="0.3">
      <c r="B1149" s="1" t="s">
        <v>24</v>
      </c>
      <c r="C1149" s="1" t="str">
        <f>"1차"</f>
        <v>1차</v>
      </c>
      <c r="D1149" s="1" t="str">
        <f>"0327H44100"</f>
        <v>0327H44100</v>
      </c>
      <c r="E1149" s="1" t="s">
        <v>10</v>
      </c>
      <c r="F1149" s="1" t="str">
        <f>"10.89.249.75"</f>
        <v>10.89.249.75</v>
      </c>
      <c r="G1149" s="1" t="str">
        <f>"0327H441"</f>
        <v>0327H441</v>
      </c>
      <c r="H1149" s="1" t="str">
        <f>"동부간 10R15L11"</f>
        <v>동부간 10R15L11</v>
      </c>
      <c r="I1149" s="1" t="s">
        <v>8</v>
      </c>
      <c r="J1149" s="1" t="str">
        <f>"22/22"</f>
        <v>22/22</v>
      </c>
      <c r="K1149" s="1" t="str">
        <f>"2026-07-29 13:18:01"</f>
        <v>2026-07-29 13:18:01</v>
      </c>
      <c r="L1149" s="1" t="str">
        <f>"2014-10-27 15:41:41"</f>
        <v>2014-10-27 15:41:41</v>
      </c>
      <c r="M1149" s="1" t="s">
        <v>45</v>
      </c>
      <c r="N1149" s="1" t="s">
        <v>38</v>
      </c>
      <c r="O1149" s="1" t="s">
        <v>46</v>
      </c>
    </row>
    <row r="1150" spans="2:15" x14ac:dyDescent="0.3">
      <c r="B1150" s="1" t="s">
        <v>24</v>
      </c>
      <c r="C1150" s="1" t="str">
        <f>"4차"</f>
        <v>4차</v>
      </c>
      <c r="D1150" s="1" t="str">
        <f>"0327H44344"</f>
        <v>0327H44344</v>
      </c>
      <c r="E1150" s="1" t="s">
        <v>10</v>
      </c>
      <c r="F1150" s="1" t="str">
        <f>"10.10.117.26"</f>
        <v>10.10.117.26</v>
      </c>
      <c r="G1150" s="1" t="str">
        <f>"0327H443"</f>
        <v>0327H443</v>
      </c>
      <c r="H1150" s="1" t="str">
        <f>"동부간 10R15L12"</f>
        <v>동부간 10R15L12</v>
      </c>
      <c r="I1150" s="1" t="s">
        <v>8</v>
      </c>
      <c r="J1150" s="1" t="str">
        <f>"20/20"</f>
        <v>20/20</v>
      </c>
      <c r="K1150" s="1" t="str">
        <f>"2026-07-29 13:18:02"</f>
        <v>2026-07-29 13:18:02</v>
      </c>
      <c r="L1150" s="1" t="str">
        <f>"2019-10-07 09:46:28"</f>
        <v>2019-10-07 09:46:28</v>
      </c>
      <c r="M1150" s="1" t="s">
        <v>1</v>
      </c>
      <c r="N1150" s="1" t="s">
        <v>38</v>
      </c>
      <c r="O1150" s="1" t="s">
        <v>46</v>
      </c>
    </row>
    <row r="1151" spans="2:15" x14ac:dyDescent="0.3">
      <c r="B1151" s="1" t="s">
        <v>24</v>
      </c>
      <c r="C1151" s="1" t="str">
        <f>"1차"</f>
        <v>1차</v>
      </c>
      <c r="D1151" s="1" t="str">
        <f>"0327H44401"</f>
        <v>0327H44401</v>
      </c>
      <c r="E1151" s="1" t="s">
        <v>10</v>
      </c>
      <c r="F1151" s="1" t="str">
        <f>"10.14.7.118"</f>
        <v>10.14.7.118</v>
      </c>
      <c r="G1151" s="1" t="str">
        <f>"0327H444"</f>
        <v>0327H444</v>
      </c>
      <c r="H1151" s="1" t="str">
        <f>"동부간 10R15L13"</f>
        <v>동부간 10R15L13</v>
      </c>
      <c r="I1151" s="1" t="s">
        <v>8</v>
      </c>
      <c r="J1151" s="1" t="str">
        <f>"18/18"</f>
        <v>18/18</v>
      </c>
      <c r="K1151" s="1" t="str">
        <f>"2026-07-29 13:18:03"</f>
        <v>2026-07-29 13:18:03</v>
      </c>
      <c r="L1151" s="1" t="str">
        <f>"2014-10-27 15:43:10"</f>
        <v>2014-10-27 15:43:10</v>
      </c>
      <c r="M1151" s="1" t="s">
        <v>3</v>
      </c>
      <c r="N1151" s="1" t="s">
        <v>38</v>
      </c>
      <c r="O1151" s="1" t="s">
        <v>46</v>
      </c>
    </row>
    <row r="1152" spans="2:15" x14ac:dyDescent="0.3">
      <c r="B1152" s="1" t="s">
        <v>24</v>
      </c>
      <c r="C1152" s="1" t="str">
        <f>"4차"</f>
        <v>4차</v>
      </c>
      <c r="D1152" s="1" t="str">
        <f>"0327H46341"</f>
        <v>0327H46341</v>
      </c>
      <c r="E1152" s="1" t="s">
        <v>10</v>
      </c>
      <c r="F1152" s="1" t="str">
        <f>"10.89.249.139"</f>
        <v>10.89.249.139</v>
      </c>
      <c r="G1152" s="1" t="str">
        <f>"0327H463"</f>
        <v>0327H463</v>
      </c>
      <c r="H1152" s="1" t="str">
        <f>"동부간 15R13"</f>
        <v>동부간 15R13</v>
      </c>
      <c r="I1152" s="1" t="s">
        <v>17</v>
      </c>
      <c r="J1152" s="1" t="str">
        <f>"113/113"</f>
        <v>113/113</v>
      </c>
      <c r="K1152" s="1" t="str">
        <f>"2026-07-29 13:18:02"</f>
        <v>2026-07-29 13:18:02</v>
      </c>
      <c r="L1152" s="1" t="str">
        <f>"2025-06-18 17:59:09"</f>
        <v>2025-06-18 17:59:09</v>
      </c>
      <c r="M1152" s="1" t="s">
        <v>45</v>
      </c>
      <c r="N1152" s="1" t="s">
        <v>38</v>
      </c>
      <c r="O1152" s="1" t="s">
        <v>46</v>
      </c>
    </row>
    <row r="1153" spans="2:15" x14ac:dyDescent="0.3">
      <c r="B1153" s="1" t="s">
        <v>24</v>
      </c>
      <c r="C1153" s="1" t="str">
        <f>"4차"</f>
        <v>4차</v>
      </c>
      <c r="D1153" s="1" t="str">
        <f>"0327H49645"</f>
        <v>0327H49645</v>
      </c>
      <c r="E1153" s="1" t="s">
        <v>10</v>
      </c>
      <c r="F1153" s="1" t="str">
        <f>"10.14.4.66"</f>
        <v>10.14.4.66</v>
      </c>
      <c r="G1153" s="1" t="str">
        <f>"0327H496"</f>
        <v>0327H496</v>
      </c>
      <c r="H1153" s="1" t="str">
        <f>"동부시장 5"</f>
        <v>동부시장 5</v>
      </c>
      <c r="I1153" s="1" t="s">
        <v>17</v>
      </c>
      <c r="J1153" s="1" t="str">
        <f>"8/13"</f>
        <v>8/13</v>
      </c>
      <c r="K1153" s="1" t="str">
        <f>"2026-07-29 13:18:03"</f>
        <v>2026-07-29 13:18:03</v>
      </c>
      <c r="L1153" s="1" t="str">
        <f>"2021-06-29 09:15:12"</f>
        <v>2021-06-29 09:15:12</v>
      </c>
      <c r="M1153" s="1" t="s">
        <v>3</v>
      </c>
      <c r="N1153" s="1" t="s">
        <v>38</v>
      </c>
      <c r="O1153" s="1" t="s">
        <v>46</v>
      </c>
    </row>
    <row r="1154" spans="2:15" x14ac:dyDescent="0.3">
      <c r="B1154" s="1" t="s">
        <v>24</v>
      </c>
      <c r="C1154" s="1" t="str">
        <f>"4차"</f>
        <v>4차</v>
      </c>
      <c r="D1154" s="1" t="str">
        <f>"0327H50244"</f>
        <v>0327H50244</v>
      </c>
      <c r="E1154" s="1" t="s">
        <v>10</v>
      </c>
      <c r="F1154" s="1" t="str">
        <f>"10.10.55.202"</f>
        <v>10.10.55.202</v>
      </c>
      <c r="G1154" s="1" t="str">
        <f>"0327H502"</f>
        <v>0327H502</v>
      </c>
      <c r="H1154" s="1" t="str">
        <f>"금성간 23L43R3"</f>
        <v>금성간 23L43R3</v>
      </c>
      <c r="I1154" s="1" t="s">
        <v>8</v>
      </c>
      <c r="J1154" s="1" t="str">
        <f>"39/39"</f>
        <v>39/39</v>
      </c>
      <c r="K1154" s="1" t="str">
        <f>"2026-07-29 13:18:03"</f>
        <v>2026-07-29 13:18:03</v>
      </c>
      <c r="L1154" s="1" t="str">
        <f>"2019-09-19 13:34:42"</f>
        <v>2019-09-19 13:34:42</v>
      </c>
      <c r="M1154" s="1" t="s">
        <v>1</v>
      </c>
      <c r="N1154" s="1" t="s">
        <v>38</v>
      </c>
      <c r="O1154" s="1" t="s">
        <v>46</v>
      </c>
    </row>
    <row r="1155" spans="2:15" x14ac:dyDescent="0.3">
      <c r="B1155" s="1" t="s">
        <v>24</v>
      </c>
      <c r="C1155" s="1" t="str">
        <f>"4차"</f>
        <v>4차</v>
      </c>
      <c r="D1155" s="1" t="str">
        <f>"0327H51144"</f>
        <v>0327H51144</v>
      </c>
      <c r="E1155" s="1" t="s">
        <v>10</v>
      </c>
      <c r="F1155" s="1" t="str">
        <f>"10.10.55.186"</f>
        <v>10.10.55.186</v>
      </c>
      <c r="G1155" s="1" t="str">
        <f>"0327H511"</f>
        <v>0327H511</v>
      </c>
      <c r="H1155" s="1" t="str">
        <f>"금성간 23L43"</f>
        <v>금성간 23L43</v>
      </c>
      <c r="I1155" s="1" t="s">
        <v>8</v>
      </c>
      <c r="J1155" s="1" t="str">
        <f>"28/28"</f>
        <v>28/28</v>
      </c>
      <c r="K1155" s="1" t="str">
        <f>"2026-07-29 13:18:03"</f>
        <v>2026-07-29 13:18:03</v>
      </c>
      <c r="L1155" s="1" t="str">
        <f>"2019-09-19 13:43:04"</f>
        <v>2019-09-19 13:43:04</v>
      </c>
      <c r="M1155" s="1" t="s">
        <v>1</v>
      </c>
      <c r="N1155" s="1" t="s">
        <v>38</v>
      </c>
      <c r="O1155" s="1" t="s">
        <v>46</v>
      </c>
    </row>
    <row r="1156" spans="2:15" x14ac:dyDescent="0.3">
      <c r="B1156" s="1" t="s">
        <v>24</v>
      </c>
      <c r="C1156" s="1" t="str">
        <f>"4차"</f>
        <v>4차</v>
      </c>
      <c r="D1156" s="1" t="str">
        <f>"0327H51244"</f>
        <v>0327H51244</v>
      </c>
      <c r="E1156" s="1" t="s">
        <v>10</v>
      </c>
      <c r="F1156" s="1" t="str">
        <f>"10.10.55.194"</f>
        <v>10.10.55.194</v>
      </c>
      <c r="G1156" s="1" t="str">
        <f>"0327H512"</f>
        <v>0327H512</v>
      </c>
      <c r="H1156" s="1" t="str">
        <f>"금성간 23L43R1"</f>
        <v>금성간 23L43R1</v>
      </c>
      <c r="I1156" s="1" t="s">
        <v>8</v>
      </c>
      <c r="J1156" s="1" t="str">
        <f>"32/32"</f>
        <v>32/32</v>
      </c>
      <c r="K1156" s="1" t="str">
        <f>"2026-07-29 13:18:02"</f>
        <v>2026-07-29 13:18:02</v>
      </c>
      <c r="L1156" s="1" t="str">
        <f>"2020-02-10 18:44:36"</f>
        <v>2020-02-10 18:44:36</v>
      </c>
      <c r="M1156" s="1" t="s">
        <v>1</v>
      </c>
      <c r="N1156" s="1" t="s">
        <v>38</v>
      </c>
      <c r="O1156" s="1" t="s">
        <v>46</v>
      </c>
    </row>
    <row r="1157" spans="2:15" x14ac:dyDescent="0.3">
      <c r="B1157" s="1" t="s">
        <v>24</v>
      </c>
      <c r="C1157" s="1" t="str">
        <f>"3차"</f>
        <v>3차</v>
      </c>
      <c r="D1157" s="1" t="str">
        <f>"0327H52139"</f>
        <v>0327H52139</v>
      </c>
      <c r="E1157" s="1" t="s">
        <v>10</v>
      </c>
      <c r="F1157" s="1" t="str">
        <f>"10.14.13.184"</f>
        <v>10.14.13.184</v>
      </c>
      <c r="G1157" s="1" t="str">
        <f>"0327H521"</f>
        <v>0327H521</v>
      </c>
      <c r="H1157" s="1" t="str">
        <f>"화목간 27R5R1L3"</f>
        <v>화목간 27R5R1L3</v>
      </c>
      <c r="I1157" s="1" t="s">
        <v>8</v>
      </c>
      <c r="J1157" s="1" t="str">
        <f>"58/58"</f>
        <v>58/58</v>
      </c>
      <c r="K1157" s="1" t="str">
        <f>"2026-07-29 13:18:03"</f>
        <v>2026-07-29 13:18:03</v>
      </c>
      <c r="L1157" s="1" t="str">
        <f>"2018-04-17 18:20:16"</f>
        <v>2018-04-17 18:20:16</v>
      </c>
      <c r="M1157" s="1" t="s">
        <v>3</v>
      </c>
      <c r="N1157" s="1" t="s">
        <v>38</v>
      </c>
      <c r="O1157" s="1" t="s">
        <v>46</v>
      </c>
    </row>
    <row r="1158" spans="2:15" x14ac:dyDescent="0.3">
      <c r="B1158" s="1" t="s">
        <v>24</v>
      </c>
      <c r="C1158" s="1" t="str">
        <f>"4차"</f>
        <v>4차</v>
      </c>
      <c r="D1158" s="1" t="str">
        <f>"0327H52344"</f>
        <v>0327H52344</v>
      </c>
      <c r="E1158" s="1" t="s">
        <v>10</v>
      </c>
      <c r="F1158" s="1" t="str">
        <f>"10.10.117.202"</f>
        <v>10.10.117.202</v>
      </c>
      <c r="G1158" s="1" t="str">
        <f>"0327H523"</f>
        <v>0327H523</v>
      </c>
      <c r="H1158" s="1" t="str">
        <f>"화목간 27R5R1L5"</f>
        <v>화목간 27R5R1L5</v>
      </c>
      <c r="I1158" s="1" t="s">
        <v>8</v>
      </c>
      <c r="J1158" s="1" t="str">
        <f>"21/21"</f>
        <v>21/21</v>
      </c>
      <c r="K1158" s="1" t="str">
        <f>"2026-07-29 13:18:02"</f>
        <v>2026-07-29 13:18:02</v>
      </c>
      <c r="L1158" s="1" t="str">
        <f>"2019-11-22 15:33:05"</f>
        <v>2019-11-22 15:33:05</v>
      </c>
      <c r="M1158" s="1" t="s">
        <v>1</v>
      </c>
      <c r="N1158" s="1" t="s">
        <v>38</v>
      </c>
      <c r="O1158" s="1" t="s">
        <v>46</v>
      </c>
    </row>
    <row r="1159" spans="2:15" x14ac:dyDescent="0.3">
      <c r="B1159" s="1" t="s">
        <v>24</v>
      </c>
      <c r="C1159" s="1" t="str">
        <f>"3차"</f>
        <v>3차</v>
      </c>
      <c r="D1159" s="1" t="str">
        <f>"0327H53444"</f>
        <v>0327H53444</v>
      </c>
      <c r="E1159" s="1" t="s">
        <v>10</v>
      </c>
      <c r="F1159" s="1" t="str">
        <f>"10.89.247.131"</f>
        <v>10.89.247.131</v>
      </c>
      <c r="G1159" s="1" t="str">
        <f>"0327H534"</f>
        <v>0327H534</v>
      </c>
      <c r="H1159" s="1" t="str">
        <f>"화목간 27R5R1L6"</f>
        <v>화목간 27R5R1L6</v>
      </c>
      <c r="I1159" s="1" t="s">
        <v>8</v>
      </c>
      <c r="J1159" s="1" t="str">
        <f>"82/83"</f>
        <v>82/83</v>
      </c>
      <c r="K1159" s="1" t="str">
        <f>"2026-07-29 13:18:01"</f>
        <v>2026-07-29 13:18:01</v>
      </c>
      <c r="L1159" s="1" t="str">
        <f>"2024-08-01 16:05:57"</f>
        <v>2024-08-01 16:05:57</v>
      </c>
      <c r="M1159" s="1" t="s">
        <v>45</v>
      </c>
      <c r="N1159" s="1" t="s">
        <v>38</v>
      </c>
      <c r="O1159" s="1" t="s">
        <v>46</v>
      </c>
    </row>
    <row r="1160" spans="2:15" x14ac:dyDescent="0.3">
      <c r="B1160" s="1" t="s">
        <v>24</v>
      </c>
      <c r="C1160" s="1" t="str">
        <f>"4차"</f>
        <v>4차</v>
      </c>
      <c r="D1160" s="1" t="str">
        <f>"0327H57145"</f>
        <v>0327H57145</v>
      </c>
      <c r="E1160" s="1" t="s">
        <v>10</v>
      </c>
      <c r="F1160" s="1" t="str">
        <f>"10.14.15.3"</f>
        <v>10.14.15.3</v>
      </c>
      <c r="G1160" s="1" t="str">
        <f>"0327H571"</f>
        <v>0327H571</v>
      </c>
      <c r="H1160" s="1" t="str">
        <f>"동부시장 6"</f>
        <v>동부시장 6</v>
      </c>
      <c r="I1160" s="1" t="s">
        <v>17</v>
      </c>
      <c r="J1160" s="1" t="str">
        <f>"9/9"</f>
        <v>9/9</v>
      </c>
      <c r="K1160" s="1" t="str">
        <f>"2026-07-29 13:18:03"</f>
        <v>2026-07-29 13:18:03</v>
      </c>
      <c r="L1160" s="1" t="str">
        <f>"2021-06-29 08:54:09"</f>
        <v>2021-06-29 08:54:09</v>
      </c>
      <c r="M1160" s="1" t="s">
        <v>3</v>
      </c>
      <c r="N1160" s="1" t="s">
        <v>38</v>
      </c>
      <c r="O1160" s="1" t="s">
        <v>46</v>
      </c>
    </row>
    <row r="1161" spans="2:15" x14ac:dyDescent="0.3">
      <c r="B1161" s="1" t="s">
        <v>24</v>
      </c>
      <c r="C1161" s="1" t="str">
        <f>"3차"</f>
        <v>3차</v>
      </c>
      <c r="D1161" s="1" t="str">
        <f>"0327H59139"</f>
        <v>0327H59139</v>
      </c>
      <c r="E1161" s="1" t="s">
        <v>10</v>
      </c>
      <c r="F1161" s="1" t="str">
        <f>"10.12.133.97"</f>
        <v>10.12.133.97</v>
      </c>
      <c r="G1161" s="1" t="str">
        <f>"0327H591"</f>
        <v>0327H591</v>
      </c>
      <c r="H1161" s="1" t="str">
        <f>"동부시장SW 3L2"</f>
        <v>동부시장SW 3L2</v>
      </c>
      <c r="I1161" s="1" t="s">
        <v>17</v>
      </c>
      <c r="J1161" s="1" t="str">
        <f>"41/41"</f>
        <v>41/41</v>
      </c>
      <c r="K1161" s="1" t="str">
        <f>"2026-07-29 13:18:03"</f>
        <v>2026-07-29 13:18:03</v>
      </c>
      <c r="L1161" s="1" t="str">
        <f>"2018-09-20 12:33:11"</f>
        <v>2018-09-20 12:33:11</v>
      </c>
      <c r="M1161" s="1" t="s">
        <v>0</v>
      </c>
      <c r="N1161" s="1" t="s">
        <v>38</v>
      </c>
      <c r="O1161" s="1" t="s">
        <v>46</v>
      </c>
    </row>
    <row r="1162" spans="2:15" x14ac:dyDescent="0.3">
      <c r="B1162" s="1" t="s">
        <v>24</v>
      </c>
      <c r="C1162" s="1" t="str">
        <f>"3차"</f>
        <v>3차</v>
      </c>
      <c r="D1162" s="1" t="str">
        <f>"0327H60339"</f>
        <v>0327H60339</v>
      </c>
      <c r="E1162" s="1" t="s">
        <v>10</v>
      </c>
      <c r="F1162" s="1" t="str">
        <f>"10.89.247.132"</f>
        <v>10.89.247.132</v>
      </c>
      <c r="G1162" s="1" t="str">
        <f>"0327H603"</f>
        <v>0327H603</v>
      </c>
      <c r="H1162" s="1" t="str">
        <f>"화목간 27R6"</f>
        <v>화목간 27R6</v>
      </c>
      <c r="I1162" s="1" t="s">
        <v>8</v>
      </c>
      <c r="J1162" s="1" t="str">
        <f>"33/34"</f>
        <v>33/34</v>
      </c>
      <c r="K1162" s="1" t="str">
        <f>"2026-07-29 13:18:01"</f>
        <v>2026-07-29 13:18:01</v>
      </c>
      <c r="L1162" s="1" t="str">
        <f>"2018-06-04 17:08:11"</f>
        <v>2018-06-04 17:08:11</v>
      </c>
      <c r="M1162" s="1" t="s">
        <v>45</v>
      </c>
      <c r="N1162" s="1" t="s">
        <v>38</v>
      </c>
      <c r="O1162" s="1" t="s">
        <v>46</v>
      </c>
    </row>
    <row r="1163" spans="2:15" x14ac:dyDescent="0.3">
      <c r="B1163" s="1" t="s">
        <v>24</v>
      </c>
      <c r="C1163" s="1" t="str">
        <f>"4차"</f>
        <v>4차</v>
      </c>
      <c r="D1163" s="1" t="str">
        <f>"0327H61144"</f>
        <v>0327H61144</v>
      </c>
      <c r="E1163" s="1" t="s">
        <v>10</v>
      </c>
      <c r="F1163" s="1" t="str">
        <f>"10.10.50.226"</f>
        <v>10.10.50.226</v>
      </c>
      <c r="G1163" s="1" t="str">
        <f>"0327H611"</f>
        <v>0327H611</v>
      </c>
      <c r="H1163" s="1" t="str">
        <f>"화목간 27R5"</f>
        <v>화목간 27R5</v>
      </c>
      <c r="I1163" s="1" t="s">
        <v>8</v>
      </c>
      <c r="J1163" s="1" t="str">
        <f>"9/9"</f>
        <v>9/9</v>
      </c>
      <c r="K1163" s="1" t="str">
        <f>"2026-07-29 13:18:02"</f>
        <v>2026-07-29 13:18:02</v>
      </c>
      <c r="L1163" s="1" t="str">
        <f>"2019-11-22 14:41:01"</f>
        <v>2019-11-22 14:41:01</v>
      </c>
      <c r="M1163" s="1" t="s">
        <v>1</v>
      </c>
      <c r="N1163" s="1" t="s">
        <v>38</v>
      </c>
      <c r="O1163" s="1" t="s">
        <v>46</v>
      </c>
    </row>
    <row r="1164" spans="2:15" x14ac:dyDescent="0.3">
      <c r="B1164" s="1" t="s">
        <v>24</v>
      </c>
      <c r="C1164" s="1" t="str">
        <f>"4차"</f>
        <v>4차</v>
      </c>
      <c r="D1164" s="1" t="str">
        <f>"0327H62144"</f>
        <v>0327H62144</v>
      </c>
      <c r="E1164" s="1" t="s">
        <v>10</v>
      </c>
      <c r="F1164" s="1" t="str">
        <f>"10.10.50.234"</f>
        <v>10.10.50.234</v>
      </c>
      <c r="G1164" s="1" t="str">
        <f>"0327H621"</f>
        <v>0327H621</v>
      </c>
      <c r="H1164" s="1" t="str">
        <f>"화목간 27R5R2"</f>
        <v>화목간 27R5R2</v>
      </c>
      <c r="I1164" s="1" t="s">
        <v>8</v>
      </c>
      <c r="J1164" s="1" t="str">
        <f>"42/42"</f>
        <v>42/42</v>
      </c>
      <c r="K1164" s="1" t="str">
        <f>"2026-07-29 13:18:02"</f>
        <v>2026-07-29 13:18:02</v>
      </c>
      <c r="L1164" s="1" t="str">
        <f>"2019-11-22 15:24:01"</f>
        <v>2019-11-22 15:24:01</v>
      </c>
      <c r="M1164" s="1" t="s">
        <v>1</v>
      </c>
      <c r="N1164" s="1" t="s">
        <v>38</v>
      </c>
      <c r="O1164" s="1" t="s">
        <v>46</v>
      </c>
    </row>
    <row r="1165" spans="2:15" x14ac:dyDescent="0.3">
      <c r="B1165" s="1" t="s">
        <v>24</v>
      </c>
      <c r="C1165" s="1" t="str">
        <f>"4차"</f>
        <v>4차</v>
      </c>
      <c r="D1165" s="1" t="str">
        <f>"0327H65244"</f>
        <v>0327H65244</v>
      </c>
      <c r="E1165" s="1" t="s">
        <v>10</v>
      </c>
      <c r="F1165" s="1" t="str">
        <f>"10.10.117.138"</f>
        <v>10.10.117.138</v>
      </c>
      <c r="G1165" s="1" t="str">
        <f>"0327H652"</f>
        <v>0327H652</v>
      </c>
      <c r="H1165" s="1" t="str">
        <f>"화목간 20R6"</f>
        <v>화목간 20R6</v>
      </c>
      <c r="I1165" s="1" t="s">
        <v>8</v>
      </c>
      <c r="J1165" s="1" t="str">
        <f>"26/26"</f>
        <v>26/26</v>
      </c>
      <c r="K1165" s="1" t="str">
        <f>"2026-07-29 13:18:02"</f>
        <v>2026-07-29 13:18:02</v>
      </c>
      <c r="L1165" s="1" t="str">
        <f>"2019-12-11 17:45:27"</f>
        <v>2019-12-11 17:45:27</v>
      </c>
      <c r="M1165" s="1" t="s">
        <v>1</v>
      </c>
      <c r="N1165" s="1" t="s">
        <v>38</v>
      </c>
      <c r="O1165" s="1" t="s">
        <v>46</v>
      </c>
    </row>
    <row r="1166" spans="2:15" x14ac:dyDescent="0.3">
      <c r="B1166" s="1" t="s">
        <v>24</v>
      </c>
      <c r="C1166" s="1" t="str">
        <f>"4차"</f>
        <v>4차</v>
      </c>
      <c r="D1166" s="1" t="str">
        <f>"0327H65341"</f>
        <v>0327H65341</v>
      </c>
      <c r="E1166" s="1" t="s">
        <v>10</v>
      </c>
      <c r="F1166" s="1" t="str">
        <f>"10.14.10.177"</f>
        <v>10.14.10.177</v>
      </c>
      <c r="G1166" s="1" t="str">
        <f>"0327H653"</f>
        <v>0327H653</v>
      </c>
      <c r="H1166" s="1" t="str">
        <f>"화목간 20R7"</f>
        <v>화목간 20R7</v>
      </c>
      <c r="I1166" s="1" t="s">
        <v>17</v>
      </c>
      <c r="J1166" s="1" t="str">
        <f>"16/16"</f>
        <v>16/16</v>
      </c>
      <c r="K1166" s="1" t="str">
        <f>"2026-07-29 13:18:03"</f>
        <v>2026-07-29 13:18:03</v>
      </c>
      <c r="L1166" s="1" t="str">
        <f>"2021-10-19 07:50:11"</f>
        <v>2021-10-19 07:50:11</v>
      </c>
      <c r="M1166" s="1" t="s">
        <v>3</v>
      </c>
      <c r="N1166" s="1" t="s">
        <v>38</v>
      </c>
      <c r="O1166" s="1" t="s">
        <v>46</v>
      </c>
    </row>
    <row r="1167" spans="2:15" x14ac:dyDescent="0.3">
      <c r="B1167" s="1" t="s">
        <v>24</v>
      </c>
      <c r="C1167" s="1" t="str">
        <f>"1차"</f>
        <v>1차</v>
      </c>
      <c r="D1167" s="1" t="str">
        <f>"0327H67101"</f>
        <v>0327H67101</v>
      </c>
      <c r="E1167" s="1" t="s">
        <v>10</v>
      </c>
      <c r="F1167" s="1" t="str">
        <f>"10.12.129.106"</f>
        <v>10.12.129.106</v>
      </c>
      <c r="G1167" s="1" t="str">
        <f>"0327H671"</f>
        <v>0327H671</v>
      </c>
      <c r="H1167" s="1" t="str">
        <f>"화목간 16R6"</f>
        <v>화목간 16R6</v>
      </c>
      <c r="I1167" s="1" t="s">
        <v>8</v>
      </c>
      <c r="J1167" s="1" t="str">
        <f>"57/57"</f>
        <v>57/57</v>
      </c>
      <c r="K1167" s="1" t="str">
        <f>"2026-07-29 13:18:02"</f>
        <v>2026-07-29 13:18:02</v>
      </c>
      <c r="L1167" s="1" t="str">
        <f>"2014-10-27 15:44:14"</f>
        <v>2014-10-27 15:44:14</v>
      </c>
      <c r="M1167" s="1" t="s">
        <v>0</v>
      </c>
      <c r="N1167" s="1" t="s">
        <v>38</v>
      </c>
      <c r="O1167" s="1" t="s">
        <v>46</v>
      </c>
    </row>
    <row r="1168" spans="2:15" x14ac:dyDescent="0.3">
      <c r="B1168" s="1" t="s">
        <v>24</v>
      </c>
      <c r="C1168" s="1" t="str">
        <f>"1차"</f>
        <v>1차</v>
      </c>
      <c r="D1168" s="1" t="str">
        <f>"0327H68100"</f>
        <v>0327H68100</v>
      </c>
      <c r="E1168" s="1" t="s">
        <v>10</v>
      </c>
      <c r="F1168" s="1" t="str">
        <f>"10.89.248.72"</f>
        <v>10.89.248.72</v>
      </c>
      <c r="G1168" s="1" t="str">
        <f>"0327H681"</f>
        <v>0327H681</v>
      </c>
      <c r="H1168" s="1" t="str">
        <f>"동부시장SW 3A3"</f>
        <v>동부시장SW 3A3</v>
      </c>
      <c r="I1168" s="1" t="s">
        <v>8</v>
      </c>
      <c r="J1168" s="1" t="str">
        <f>"15/15"</f>
        <v>15/15</v>
      </c>
      <c r="K1168" s="1" t="str">
        <f>"2026-07-29 13:18:02"</f>
        <v>2026-07-29 13:18:02</v>
      </c>
      <c r="L1168" s="1" t="str">
        <f>"2014-10-15 15:42:56"</f>
        <v>2014-10-15 15:42:56</v>
      </c>
      <c r="M1168" s="1" t="s">
        <v>45</v>
      </c>
      <c r="N1168" s="1" t="s">
        <v>38</v>
      </c>
      <c r="O1168" s="1" t="s">
        <v>46</v>
      </c>
    </row>
    <row r="1169" spans="2:15" x14ac:dyDescent="0.3">
      <c r="B1169" s="1" t="s">
        <v>24</v>
      </c>
      <c r="C1169" s="1" t="str">
        <f>"1차"</f>
        <v>1차</v>
      </c>
      <c r="D1169" s="1" t="str">
        <f>"0327H71100"</f>
        <v>0327H71100</v>
      </c>
      <c r="E1169" s="1" t="s">
        <v>10</v>
      </c>
      <c r="F1169" s="1" t="str">
        <f>"10.89.247.149"</f>
        <v>10.89.247.149</v>
      </c>
      <c r="G1169" s="1" t="str">
        <f>"0327H711"</f>
        <v>0327H711</v>
      </c>
      <c r="H1169" s="1" t="str">
        <f>"화목간 27R4"</f>
        <v>화목간 27R4</v>
      </c>
      <c r="I1169" s="1" t="s">
        <v>8</v>
      </c>
      <c r="J1169" s="1" t="str">
        <f>"62/63"</f>
        <v>62/63</v>
      </c>
      <c r="K1169" s="1" t="str">
        <f>"2026-07-29 13:18:02"</f>
        <v>2026-07-29 13:18:02</v>
      </c>
      <c r="L1169" s="1" t="str">
        <f>"2014-10-14 13:19:50"</f>
        <v>2014-10-14 13:19:50</v>
      </c>
      <c r="M1169" s="1" t="s">
        <v>45</v>
      </c>
      <c r="N1169" s="1" t="s">
        <v>38</v>
      </c>
      <c r="O1169" s="1" t="s">
        <v>46</v>
      </c>
    </row>
    <row r="1170" spans="2:15" x14ac:dyDescent="0.3">
      <c r="B1170" s="1" t="s">
        <v>24</v>
      </c>
      <c r="C1170" s="1" t="str">
        <f>"4차"</f>
        <v>4차</v>
      </c>
      <c r="D1170" s="1" t="str">
        <f>"0327H74144"</f>
        <v>0327H74144</v>
      </c>
      <c r="E1170" s="1" t="s">
        <v>10</v>
      </c>
      <c r="F1170" s="1" t="str">
        <f>"10.10.59.226"</f>
        <v>10.10.59.226</v>
      </c>
      <c r="G1170" s="1" t="str">
        <f>"0327H741"</f>
        <v>0327H741</v>
      </c>
      <c r="H1170" s="1" t="str">
        <f>"동부간 10R16L14R2"</f>
        <v>동부간 10R16L14R2</v>
      </c>
      <c r="I1170" s="1" t="s">
        <v>8</v>
      </c>
      <c r="J1170" s="1" t="str">
        <f>"52/52"</f>
        <v>52/52</v>
      </c>
      <c r="K1170" s="1" t="str">
        <f>"2026-07-29 13:18:02"</f>
        <v>2026-07-29 13:18:02</v>
      </c>
      <c r="L1170" s="1" t="str">
        <f>"2019-10-04 13:45:29"</f>
        <v>2019-10-04 13:45:29</v>
      </c>
      <c r="M1170" s="1" t="s">
        <v>1</v>
      </c>
      <c r="N1170" s="1" t="s">
        <v>38</v>
      </c>
      <c r="O1170" s="1" t="s">
        <v>46</v>
      </c>
    </row>
    <row r="1171" spans="2:15" x14ac:dyDescent="0.3">
      <c r="B1171" s="1" t="s">
        <v>24</v>
      </c>
      <c r="C1171" s="1" t="str">
        <f>"5-2차"</f>
        <v>5-2차</v>
      </c>
      <c r="D1171" s="1" t="str">
        <f>"0327H7565M"</f>
        <v>0327H7565M</v>
      </c>
      <c r="E1171" s="1" t="s">
        <v>10</v>
      </c>
      <c r="F1171" s="1" t="str">
        <f>"fde1:103:4:5828:0:0:0:2"</f>
        <v>fde1:103:4:5828:0:0:0:2</v>
      </c>
      <c r="G1171" s="1" t="str">
        <f>"0327H756"</f>
        <v>0327H756</v>
      </c>
      <c r="H1171" s="1" t="str">
        <f>"동부간 10R16L15H1"</f>
        <v>동부간 10R16L15H1</v>
      </c>
      <c r="I1171" s="1" t="s">
        <v>15</v>
      </c>
      <c r="J1171" s="1" t="str">
        <f>"43/43"</f>
        <v>43/43</v>
      </c>
      <c r="K1171" s="1" t="str">
        <f>"2026-07-29 14:20:31"</f>
        <v>2026-07-29 14:20:31</v>
      </c>
      <c r="L1171" s="1" t="str">
        <f>"2023-09-19 15:00:41"</f>
        <v>2023-09-19 15:00:41</v>
      </c>
      <c r="M1171" s="1" t="s">
        <v>4</v>
      </c>
      <c r="N1171" s="1" t="s">
        <v>38</v>
      </c>
      <c r="O1171" s="1" t="s">
        <v>46</v>
      </c>
    </row>
    <row r="1172" spans="2:15" x14ac:dyDescent="0.3">
      <c r="B1172" s="1" t="s">
        <v>24</v>
      </c>
      <c r="C1172" s="1" t="str">
        <f>"4차"</f>
        <v>4차</v>
      </c>
      <c r="D1172" s="1" t="str">
        <f>"0327H76344"</f>
        <v>0327H76344</v>
      </c>
      <c r="E1172" s="1" t="s">
        <v>10</v>
      </c>
      <c r="F1172" s="1" t="str">
        <f>"10.10.43.18"</f>
        <v>10.10.43.18</v>
      </c>
      <c r="G1172" s="1" t="str">
        <f>"0327H763"</f>
        <v>0327H763</v>
      </c>
      <c r="H1172" s="1" t="str">
        <f>"화목간 17R4"</f>
        <v>화목간 17R4</v>
      </c>
      <c r="I1172" s="1" t="s">
        <v>8</v>
      </c>
      <c r="J1172" s="1" t="str">
        <f>"52/52"</f>
        <v>52/52</v>
      </c>
      <c r="K1172" s="1" t="str">
        <f>"2026-07-29 13:18:02"</f>
        <v>2026-07-29 13:18:02</v>
      </c>
      <c r="L1172" s="1" t="str">
        <f>"2021-07-28 16:41:15"</f>
        <v>2021-07-28 16:41:15</v>
      </c>
      <c r="M1172" s="1" t="s">
        <v>1</v>
      </c>
      <c r="N1172" s="1" t="s">
        <v>38</v>
      </c>
      <c r="O1172" s="1" t="s">
        <v>46</v>
      </c>
    </row>
    <row r="1173" spans="2:15" x14ac:dyDescent="0.3">
      <c r="B1173" s="1" t="s">
        <v>24</v>
      </c>
      <c r="C1173" s="1" t="str">
        <f>"1차"</f>
        <v>1차</v>
      </c>
      <c r="D1173" s="1" t="str">
        <f>"0327H78100"</f>
        <v>0327H78100</v>
      </c>
      <c r="E1173" s="1" t="s">
        <v>10</v>
      </c>
      <c r="F1173" s="1" t="str">
        <f>"10.89.248.70"</f>
        <v>10.89.248.70</v>
      </c>
      <c r="G1173" s="1" t="str">
        <f>"0327H781"</f>
        <v>0327H781</v>
      </c>
      <c r="H1173" s="1" t="str">
        <f>"화목간 16R4"</f>
        <v>화목간 16R4</v>
      </c>
      <c r="I1173" s="1" t="s">
        <v>8</v>
      </c>
      <c r="J1173" s="1" t="str">
        <f>"64/64"</f>
        <v>64/64</v>
      </c>
      <c r="K1173" s="1" t="str">
        <f>"2026-07-29 13:18:02"</f>
        <v>2026-07-29 13:18:02</v>
      </c>
      <c r="L1173" s="1" t="str">
        <f>"2014-10-14 13:21:25"</f>
        <v>2014-10-14 13:21:25</v>
      </c>
      <c r="M1173" s="1" t="s">
        <v>45</v>
      </c>
      <c r="N1173" s="1" t="s">
        <v>38</v>
      </c>
      <c r="O1173" s="1" t="s">
        <v>46</v>
      </c>
    </row>
    <row r="1174" spans="2:15" x14ac:dyDescent="0.3">
      <c r="B1174" s="1" t="s">
        <v>24</v>
      </c>
      <c r="C1174" s="1" t="str">
        <f>"1차"</f>
        <v>1차</v>
      </c>
      <c r="D1174" s="1" t="str">
        <f>"0327H79100"</f>
        <v>0327H79100</v>
      </c>
      <c r="E1174" s="1" t="s">
        <v>10</v>
      </c>
      <c r="F1174" s="1" t="str">
        <f>"10.89.248.73"</f>
        <v>10.89.248.73</v>
      </c>
      <c r="G1174" s="1" t="str">
        <f>"0327H791"</f>
        <v>0327H791</v>
      </c>
      <c r="H1174" s="1" t="str">
        <f>"화목간 16R3R3"</f>
        <v>화목간 16R3R3</v>
      </c>
      <c r="I1174" s="1" t="s">
        <v>8</v>
      </c>
      <c r="J1174" s="1" t="str">
        <f>"89/89"</f>
        <v>89/89</v>
      </c>
      <c r="K1174" s="1" t="str">
        <f>"2026-07-29 13:18:02"</f>
        <v>2026-07-29 13:18:02</v>
      </c>
      <c r="L1174" s="1" t="str">
        <f>"2014-10-14 13:23:08"</f>
        <v>2014-10-14 13:23:08</v>
      </c>
      <c r="M1174" s="1" t="s">
        <v>45</v>
      </c>
      <c r="N1174" s="1" t="s">
        <v>38</v>
      </c>
      <c r="O1174" s="1" t="s">
        <v>46</v>
      </c>
    </row>
    <row r="1175" spans="2:15" x14ac:dyDescent="0.3">
      <c r="B1175" s="1" t="s">
        <v>24</v>
      </c>
      <c r="C1175" s="1" t="str">
        <f>"4차"</f>
        <v>4차</v>
      </c>
      <c r="D1175" s="1" t="str">
        <f>"0327H80144"</f>
        <v>0327H80144</v>
      </c>
      <c r="E1175" s="1" t="s">
        <v>10</v>
      </c>
      <c r="F1175" s="1" t="str">
        <f>"10.10.50.186"</f>
        <v>10.10.50.186</v>
      </c>
      <c r="G1175" s="1" t="str">
        <f>"0327H801"</f>
        <v>0327H801</v>
      </c>
      <c r="H1175" s="1" t="str">
        <f>"화목간 27R3L3"</f>
        <v>화목간 27R3L3</v>
      </c>
      <c r="I1175" s="1" t="s">
        <v>8</v>
      </c>
      <c r="J1175" s="1" t="str">
        <f>"56/56"</f>
        <v>56/56</v>
      </c>
      <c r="K1175" s="1" t="str">
        <f>"2026-07-29 13:18:02"</f>
        <v>2026-07-29 13:18:02</v>
      </c>
      <c r="L1175" s="1" t="str">
        <f>"2021-07-28 16:37:41"</f>
        <v>2021-07-28 16:37:41</v>
      </c>
      <c r="M1175" s="1" t="s">
        <v>1</v>
      </c>
      <c r="N1175" s="1" t="s">
        <v>38</v>
      </c>
      <c r="O1175" s="1" t="s">
        <v>46</v>
      </c>
    </row>
    <row r="1176" spans="2:15" x14ac:dyDescent="0.3">
      <c r="B1176" s="1" t="s">
        <v>24</v>
      </c>
      <c r="C1176" s="1" t="str">
        <f>"6차"</f>
        <v>6차</v>
      </c>
      <c r="D1176" s="1" t="str">
        <f>"0327H8116S"</f>
        <v>0327H8116S</v>
      </c>
      <c r="E1176" s="1" t="s">
        <v>10</v>
      </c>
      <c r="F1176" s="1" t="str">
        <f>"fde1:103:4:9120:0:0:0:2"</f>
        <v>fde1:103:4:9120:0:0:0:2</v>
      </c>
      <c r="G1176" s="1" t="str">
        <f>"0327H811"</f>
        <v>0327H811</v>
      </c>
      <c r="H1176" s="1" t="str">
        <f>"화목간 27R2"</f>
        <v>화목간 27R2</v>
      </c>
      <c r="I1176" s="1" t="s">
        <v>15</v>
      </c>
      <c r="J1176" s="1" t="str">
        <f>"45/45"</f>
        <v>45/45</v>
      </c>
      <c r="K1176" s="1" t="str">
        <f>"2026-07-29 14:20:38"</f>
        <v>2026-07-29 14:20:38</v>
      </c>
      <c r="L1176" s="1" t="str">
        <f>"2025-02-20 17:34:01"</f>
        <v>2025-02-20 17:34:01</v>
      </c>
      <c r="M1176" s="1" t="s">
        <v>4</v>
      </c>
      <c r="N1176" s="1" t="s">
        <v>38</v>
      </c>
      <c r="O1176" s="1" t="s">
        <v>46</v>
      </c>
    </row>
    <row r="1177" spans="2:15" x14ac:dyDescent="0.3">
      <c r="B1177" s="1" t="s">
        <v>24</v>
      </c>
      <c r="C1177" s="1" t="str">
        <f>"6차"</f>
        <v>6차</v>
      </c>
      <c r="D1177" s="1" t="str">
        <f>"0327H8156S"</f>
        <v>0327H8156S</v>
      </c>
      <c r="E1177" s="1" t="s">
        <v>10</v>
      </c>
      <c r="F1177" s="1" t="str">
        <f>"fde1:103:4:91c0:0:0:0:2"</f>
        <v>fde1:103:4:91c0:0:0:0:2</v>
      </c>
      <c r="G1177" s="1" t="str">
        <f>"0327H815"</f>
        <v>0327H815</v>
      </c>
      <c r="H1177" s="1" t="str">
        <f>"화목간 27R3L2"</f>
        <v>화목간 27R3L2</v>
      </c>
      <c r="I1177" s="1" t="s">
        <v>15</v>
      </c>
      <c r="J1177" s="1" t="str">
        <f>"24/29"</f>
        <v>24/29</v>
      </c>
      <c r="K1177" s="1" t="str">
        <f>"2026-07-29 14:20:54"</f>
        <v>2026-07-29 14:20:54</v>
      </c>
      <c r="L1177" s="1" t="str">
        <f>"2025-02-20 17:40:51"</f>
        <v>2025-02-20 17:40:51</v>
      </c>
      <c r="M1177" s="1" t="s">
        <v>4</v>
      </c>
      <c r="N1177" s="1" t="s">
        <v>38</v>
      </c>
      <c r="O1177" s="1" t="s">
        <v>46</v>
      </c>
    </row>
    <row r="1178" spans="2:15" x14ac:dyDescent="0.3">
      <c r="B1178" s="1" t="s">
        <v>24</v>
      </c>
      <c r="C1178" s="1" t="str">
        <f>"4차"</f>
        <v>4차</v>
      </c>
      <c r="D1178" s="1" t="str">
        <f>"0327H82144"</f>
        <v>0327H82144</v>
      </c>
      <c r="E1178" s="1" t="s">
        <v>10</v>
      </c>
      <c r="F1178" s="1" t="str">
        <f>"10.10.51.74"</f>
        <v>10.10.51.74</v>
      </c>
      <c r="G1178" s="1" t="str">
        <f>"0327H821"</f>
        <v>0327H821</v>
      </c>
      <c r="H1178" s="1" t="str">
        <f>"화목간 27R3R1"</f>
        <v>화목간 27R3R1</v>
      </c>
      <c r="I1178" s="1" t="s">
        <v>8</v>
      </c>
      <c r="J1178" s="1" t="str">
        <f>"61/61"</f>
        <v>61/61</v>
      </c>
      <c r="K1178" s="1" t="str">
        <f>"2026-07-29 13:18:01"</f>
        <v>2026-07-29 13:18:01</v>
      </c>
      <c r="L1178" s="1" t="str">
        <f>"2019-11-22 17:43:04"</f>
        <v>2019-11-22 17:43:04</v>
      </c>
      <c r="M1178" s="1" t="s">
        <v>1</v>
      </c>
      <c r="N1178" s="1" t="s">
        <v>38</v>
      </c>
      <c r="O1178" s="1" t="s">
        <v>46</v>
      </c>
    </row>
    <row r="1179" spans="2:15" x14ac:dyDescent="0.3">
      <c r="B1179" s="1" t="s">
        <v>24</v>
      </c>
      <c r="C1179" s="1" t="str">
        <f>"4차"</f>
        <v>4차</v>
      </c>
      <c r="D1179" s="1" t="str">
        <f>"0327H82244"</f>
        <v>0327H82244</v>
      </c>
      <c r="E1179" s="1" t="s">
        <v>10</v>
      </c>
      <c r="F1179" s="1" t="str">
        <f>"10.10.117.194"</f>
        <v>10.10.117.194</v>
      </c>
      <c r="G1179" s="1" t="str">
        <f>"0327H822"</f>
        <v>0327H822</v>
      </c>
      <c r="H1179" s="1" t="str">
        <f>"화목간 27R3R2"</f>
        <v>화목간 27R3R2</v>
      </c>
      <c r="I1179" s="1" t="s">
        <v>8</v>
      </c>
      <c r="J1179" s="1" t="str">
        <f>"17/17"</f>
        <v>17/17</v>
      </c>
      <c r="K1179" s="1" t="str">
        <f>"2026-07-29 13:18:02"</f>
        <v>2026-07-29 13:18:02</v>
      </c>
      <c r="L1179" s="1" t="str">
        <f>"2019-11-22 18:03:05"</f>
        <v>2019-11-22 18:03:05</v>
      </c>
      <c r="M1179" s="1" t="s">
        <v>1</v>
      </c>
      <c r="N1179" s="1" t="s">
        <v>38</v>
      </c>
      <c r="O1179" s="1" t="s">
        <v>46</v>
      </c>
    </row>
    <row r="1180" spans="2:15" x14ac:dyDescent="0.3">
      <c r="B1180" s="1" t="s">
        <v>24</v>
      </c>
      <c r="C1180" s="1" t="str">
        <f>"3차"</f>
        <v>3차</v>
      </c>
      <c r="D1180" s="1" t="str">
        <f>"0327H86339"</f>
        <v>0327H86339</v>
      </c>
      <c r="E1180" s="1" t="s">
        <v>10</v>
      </c>
      <c r="F1180" s="1" t="str">
        <f>"10.89.247.42"</f>
        <v>10.89.247.42</v>
      </c>
      <c r="G1180" s="1" t="str">
        <f>"0327H863"</f>
        <v>0327H863</v>
      </c>
      <c r="H1180" s="1" t="str">
        <f>"화목간 20R3"</f>
        <v>화목간 20R3</v>
      </c>
      <c r="I1180" s="1" t="s">
        <v>8</v>
      </c>
      <c r="J1180" s="1" t="str">
        <f>"28/28"</f>
        <v>28/28</v>
      </c>
      <c r="K1180" s="1" t="str">
        <f>"2026-07-29 13:18:02"</f>
        <v>2026-07-29 13:18:02</v>
      </c>
      <c r="L1180" s="1" t="str">
        <f>"2018-04-17 18:20:16"</f>
        <v>2018-04-17 18:20:16</v>
      </c>
      <c r="M1180" s="1" t="s">
        <v>45</v>
      </c>
      <c r="N1180" s="1" t="s">
        <v>38</v>
      </c>
      <c r="O1180" s="1" t="s">
        <v>46</v>
      </c>
    </row>
    <row r="1181" spans="2:15" x14ac:dyDescent="0.3">
      <c r="B1181" s="1" t="s">
        <v>24</v>
      </c>
      <c r="C1181" s="1" t="str">
        <f>"4차"</f>
        <v>4차</v>
      </c>
      <c r="D1181" s="1" t="str">
        <f>"0327H87144"</f>
        <v>0327H87144</v>
      </c>
      <c r="E1181" s="1" t="s">
        <v>10</v>
      </c>
      <c r="F1181" s="1" t="str">
        <f>"10.10.50.162"</f>
        <v>10.10.50.162</v>
      </c>
      <c r="G1181" s="1" t="str">
        <f>"0327H871"</f>
        <v>0327H871</v>
      </c>
      <c r="H1181" s="1" t="str">
        <f>"화목간 17R2"</f>
        <v>화목간 17R2</v>
      </c>
      <c r="I1181" s="1" t="s">
        <v>8</v>
      </c>
      <c r="J1181" s="1" t="str">
        <f>"34/34"</f>
        <v>34/34</v>
      </c>
      <c r="K1181" s="1" t="str">
        <f>"2026-07-29 13:18:01"</f>
        <v>2026-07-29 13:18:01</v>
      </c>
      <c r="L1181" s="1" t="str">
        <f>"2019-11-25 09:53:05"</f>
        <v>2019-11-25 09:53:05</v>
      </c>
      <c r="M1181" s="1" t="s">
        <v>1</v>
      </c>
      <c r="N1181" s="1" t="s">
        <v>38</v>
      </c>
      <c r="O1181" s="1" t="s">
        <v>46</v>
      </c>
    </row>
    <row r="1182" spans="2:15" x14ac:dyDescent="0.3">
      <c r="B1182" s="1" t="s">
        <v>24</v>
      </c>
      <c r="C1182" s="1" t="str">
        <f>"4차"</f>
        <v>4차</v>
      </c>
      <c r="D1182" s="1" t="str">
        <f>"0327H88244"</f>
        <v>0327H88244</v>
      </c>
      <c r="E1182" s="1" t="s">
        <v>10</v>
      </c>
      <c r="F1182" s="1" t="str">
        <f>"10.10.50.146"</f>
        <v>10.10.50.146</v>
      </c>
      <c r="G1182" s="1" t="str">
        <f>"0327H882"</f>
        <v>0327H882</v>
      </c>
      <c r="H1182" s="1" t="str">
        <f>"화목간 16R2"</f>
        <v>화목간 16R2</v>
      </c>
      <c r="I1182" s="1" t="s">
        <v>8</v>
      </c>
      <c r="J1182" s="1" t="str">
        <f>"21/21"</f>
        <v>21/21</v>
      </c>
      <c r="K1182" s="1" t="str">
        <f>"2026-07-29 13:18:01"</f>
        <v>2026-07-29 13:18:01</v>
      </c>
      <c r="L1182" s="1" t="str">
        <f>"2019-11-18 09:53:24"</f>
        <v>2019-11-18 09:53:24</v>
      </c>
      <c r="M1182" s="1" t="s">
        <v>1</v>
      </c>
      <c r="N1182" s="1" t="s">
        <v>38</v>
      </c>
      <c r="O1182" s="1" t="s">
        <v>46</v>
      </c>
    </row>
    <row r="1183" spans="2:15" x14ac:dyDescent="0.3">
      <c r="B1183" s="1" t="s">
        <v>24</v>
      </c>
      <c r="C1183" s="1" t="str">
        <f>"4차"</f>
        <v>4차</v>
      </c>
      <c r="D1183" s="1" t="str">
        <f>"0327H92144"</f>
        <v>0327H92144</v>
      </c>
      <c r="E1183" s="1" t="s">
        <v>10</v>
      </c>
      <c r="F1183" s="1" t="str">
        <f>"10.10.117.178"</f>
        <v>10.10.117.178</v>
      </c>
      <c r="G1183" s="1" t="str">
        <f>"0327H921"</f>
        <v>0327H921</v>
      </c>
      <c r="H1183" s="1" t="str">
        <f>"화목간 27"</f>
        <v>화목간 27</v>
      </c>
      <c r="I1183" s="1" t="s">
        <v>8</v>
      </c>
      <c r="J1183" s="1" t="str">
        <f>"23/23"</f>
        <v>23/23</v>
      </c>
      <c r="K1183" s="1" t="str">
        <f>"2026-07-29 13:18:01"</f>
        <v>2026-07-29 13:18:01</v>
      </c>
      <c r="L1183" s="1" t="str">
        <f>"2019-11-22 17:45:03"</f>
        <v>2019-11-22 17:45:03</v>
      </c>
      <c r="M1183" s="1" t="s">
        <v>1</v>
      </c>
      <c r="N1183" s="1" t="s">
        <v>38</v>
      </c>
      <c r="O1183" s="1" t="s">
        <v>46</v>
      </c>
    </row>
    <row r="1184" spans="2:15" x14ac:dyDescent="0.3">
      <c r="B1184" s="1" t="s">
        <v>24</v>
      </c>
      <c r="C1184" s="1" t="str">
        <f>"4차"</f>
        <v>4차</v>
      </c>
      <c r="D1184" s="1" t="str">
        <f>"0327H97244"</f>
        <v>0327H97244</v>
      </c>
      <c r="E1184" s="1" t="s">
        <v>10</v>
      </c>
      <c r="F1184" s="1" t="str">
        <f>"10.10.117.146"</f>
        <v>10.10.117.146</v>
      </c>
      <c r="G1184" s="1" t="str">
        <f>"0327H972"</f>
        <v>0327H972</v>
      </c>
      <c r="H1184" s="1" t="str">
        <f>"화목간 19R1"</f>
        <v>화목간 19R1</v>
      </c>
      <c r="I1184" s="1" t="s">
        <v>8</v>
      </c>
      <c r="J1184" s="1" t="str">
        <f>"22/25"</f>
        <v>22/25</v>
      </c>
      <c r="K1184" s="1" t="str">
        <f>"2026-07-29 13:18:02"</f>
        <v>2026-07-29 13:18:02</v>
      </c>
      <c r="L1184" s="1" t="str">
        <f>"2019-12-11 17:49:44"</f>
        <v>2019-12-11 17:49:44</v>
      </c>
      <c r="M1184" s="1" t="s">
        <v>1</v>
      </c>
      <c r="N1184" s="1" t="s">
        <v>38</v>
      </c>
      <c r="O1184" s="1" t="s">
        <v>46</v>
      </c>
    </row>
    <row r="1185" spans="2:15" x14ac:dyDescent="0.3">
      <c r="B1185" s="1" t="s">
        <v>24</v>
      </c>
      <c r="C1185" s="1" t="str">
        <f>"4차"</f>
        <v>4차</v>
      </c>
      <c r="D1185" s="1" t="str">
        <f>"0327H99442"</f>
        <v>0327H99442</v>
      </c>
      <c r="E1185" s="1" t="s">
        <v>10</v>
      </c>
      <c r="F1185" s="1" t="str">
        <f>"10.12.132.22"</f>
        <v>10.12.132.22</v>
      </c>
      <c r="G1185" s="1" t="str">
        <f>"0327H994"</f>
        <v>0327H994</v>
      </c>
      <c r="H1185" s="1" t="str">
        <f>"화목간 14R1"</f>
        <v>화목간 14R1</v>
      </c>
      <c r="I1185" s="1" t="s">
        <v>8</v>
      </c>
      <c r="J1185" s="1" t="str">
        <f>"1/1"</f>
        <v>1/1</v>
      </c>
      <c r="K1185" s="1" t="str">
        <f>"2026-07-29 13:18:04"</f>
        <v>2026-07-29 13:18:04</v>
      </c>
      <c r="L1185" s="1" t="str">
        <f>"2026-06-09 14:34:41"</f>
        <v>2026-06-09 14:34:41</v>
      </c>
      <c r="M1185" s="1" t="s">
        <v>0</v>
      </c>
      <c r="N1185" s="1" t="s">
        <v>38</v>
      </c>
      <c r="O1185" s="1" t="s">
        <v>46</v>
      </c>
    </row>
    <row r="1186" spans="2:15" x14ac:dyDescent="0.3">
      <c r="B1186" s="1" t="s">
        <v>24</v>
      </c>
      <c r="C1186" s="1" t="str">
        <f t="shared" ref="C1186:C1225" si="58">"5-2차"</f>
        <v>5-2차</v>
      </c>
      <c r="D1186" s="1" t="str">
        <f>"0327P0715S"</f>
        <v>0327P0715S</v>
      </c>
      <c r="E1186" s="1" t="s">
        <v>10</v>
      </c>
      <c r="F1186" s="1" t="str">
        <f>"fde3:102:1430:5200:0:0:0:d"</f>
        <v>fde3:102:1430:5200:0:0:0:d</v>
      </c>
      <c r="G1186" s="1" t="str">
        <f>"0327P071"</f>
        <v>0327P071</v>
      </c>
      <c r="H1186" s="1" t="str">
        <f>"시립간 28L13"</f>
        <v>시립간 28L13</v>
      </c>
      <c r="I1186" s="1" t="s">
        <v>15</v>
      </c>
      <c r="J1186" s="1" t="str">
        <f>"101/102"</f>
        <v>101/102</v>
      </c>
      <c r="K1186" s="1" t="str">
        <f>"2026-07-29 14:20:31"</f>
        <v>2026-07-29 14:20:31</v>
      </c>
      <c r="L1186" s="1" t="str">
        <f>"2023-09-27 13:23:19"</f>
        <v>2023-09-27 13:23:19</v>
      </c>
      <c r="M1186" s="1" t="s">
        <v>45</v>
      </c>
      <c r="N1186" s="1" t="s">
        <v>38</v>
      </c>
      <c r="O1186" s="1" t="s">
        <v>46</v>
      </c>
    </row>
    <row r="1187" spans="2:15" x14ac:dyDescent="0.3">
      <c r="B1187" s="1" t="s">
        <v>24</v>
      </c>
      <c r="C1187" s="1" t="str">
        <f t="shared" si="58"/>
        <v>5-2차</v>
      </c>
      <c r="D1187" s="1" t="str">
        <f>"0327P0945M"</f>
        <v>0327P0945M</v>
      </c>
      <c r="E1187" s="1" t="s">
        <v>10</v>
      </c>
      <c r="F1187" s="1" t="str">
        <f>"fde1:103:4:58b3:0:0:0:2"</f>
        <v>fde1:103:4:58b3:0:0:0:2</v>
      </c>
      <c r="G1187" s="1" t="str">
        <f>"0327P094"</f>
        <v>0327P094</v>
      </c>
      <c r="H1187" s="1" t="str">
        <f>"시립간 28L5R3H1"</f>
        <v>시립간 28L5R3H1</v>
      </c>
      <c r="I1187" s="1" t="s">
        <v>15</v>
      </c>
      <c r="J1187" s="1" t="str">
        <f>"86/86"</f>
        <v>86/86</v>
      </c>
      <c r="K1187" s="1" t="str">
        <f>"2026-07-29 14:20:15"</f>
        <v>2026-07-29 14:20:15</v>
      </c>
      <c r="L1187" s="1" t="str">
        <f>"2023-09-14 10:55:52"</f>
        <v>2023-09-14 10:55:52</v>
      </c>
      <c r="M1187" s="1" t="s">
        <v>4</v>
      </c>
      <c r="N1187" s="1" t="s">
        <v>38</v>
      </c>
      <c r="O1187" s="1" t="s">
        <v>46</v>
      </c>
    </row>
    <row r="1188" spans="2:15" x14ac:dyDescent="0.3">
      <c r="B1188" s="1" t="s">
        <v>24</v>
      </c>
      <c r="C1188" s="1" t="str">
        <f t="shared" si="58"/>
        <v>5-2차</v>
      </c>
      <c r="D1188" s="1" t="str">
        <f>"0327P0975S"</f>
        <v>0327P0975S</v>
      </c>
      <c r="E1188" s="1" t="s">
        <v>10</v>
      </c>
      <c r="F1188" s="1" t="str">
        <f>"fde1:103:4:59db:0:0:0:2"</f>
        <v>fde1:103:4:59db:0:0:0:2</v>
      </c>
      <c r="G1188" s="1" t="str">
        <f>"0327P097"</f>
        <v>0327P097</v>
      </c>
      <c r="H1188" s="1" t="str">
        <f>"시립간 28L5R3"</f>
        <v>시립간 28L5R3</v>
      </c>
      <c r="I1188" s="1" t="s">
        <v>15</v>
      </c>
      <c r="J1188" s="1" t="str">
        <f>"128/128"</f>
        <v>128/128</v>
      </c>
      <c r="K1188" s="1" t="str">
        <f>"2026-07-29 14:20:35"</f>
        <v>2026-07-29 14:20:35</v>
      </c>
      <c r="L1188" s="1" t="str">
        <f>"2023-09-14 11:11:43"</f>
        <v>2023-09-14 11:11:43</v>
      </c>
      <c r="M1188" s="1" t="s">
        <v>4</v>
      </c>
      <c r="N1188" s="1" t="s">
        <v>38</v>
      </c>
      <c r="O1188" s="1" t="s">
        <v>46</v>
      </c>
    </row>
    <row r="1189" spans="2:15" x14ac:dyDescent="0.3">
      <c r="B1189" s="1" t="s">
        <v>24</v>
      </c>
      <c r="C1189" s="1" t="str">
        <f t="shared" si="58"/>
        <v>5-2차</v>
      </c>
      <c r="D1189" s="1" t="str">
        <f>"0327P1625S"</f>
        <v>0327P1625S</v>
      </c>
      <c r="E1189" s="1" t="s">
        <v>10</v>
      </c>
      <c r="F1189" s="1" t="str">
        <f>"fde1:103:4:58ba:0:0:0:2"</f>
        <v>fde1:103:4:58ba:0:0:0:2</v>
      </c>
      <c r="G1189" s="1" t="str">
        <f>"0327P162"</f>
        <v>0327P162</v>
      </c>
      <c r="H1189" s="1" t="str">
        <f>"시립간 28L11"</f>
        <v>시립간 28L11</v>
      </c>
      <c r="I1189" s="1" t="s">
        <v>15</v>
      </c>
      <c r="J1189" s="1" t="str">
        <f>"48/48"</f>
        <v>48/48</v>
      </c>
      <c r="K1189" s="1" t="str">
        <f>"2026-07-29 08:20:32"</f>
        <v>2026-07-29 08:20:32</v>
      </c>
      <c r="L1189" s="1" t="str">
        <f>"2023-09-14 11:23:44"</f>
        <v>2023-09-14 11:23:44</v>
      </c>
      <c r="M1189" s="1" t="s">
        <v>4</v>
      </c>
      <c r="N1189" s="1" t="s">
        <v>38</v>
      </c>
      <c r="O1189" s="1" t="s">
        <v>46</v>
      </c>
    </row>
    <row r="1190" spans="2:15" x14ac:dyDescent="0.3">
      <c r="B1190" s="1" t="s">
        <v>24</v>
      </c>
      <c r="C1190" s="1" t="str">
        <f t="shared" si="58"/>
        <v>5-2차</v>
      </c>
      <c r="D1190" s="1" t="str">
        <f>"0327P1645S"</f>
        <v>0327P1645S</v>
      </c>
      <c r="E1190" s="1" t="s">
        <v>10</v>
      </c>
      <c r="F1190" s="1" t="str">
        <f>"fde3:102:1430:5200:0:0:0:c"</f>
        <v>fde3:102:1430:5200:0:0:0:c</v>
      </c>
      <c r="G1190" s="1" t="str">
        <f>"0327P164"</f>
        <v>0327P164</v>
      </c>
      <c r="H1190" s="1" t="str">
        <f>"시립간 28L12"</f>
        <v>시립간 28L12</v>
      </c>
      <c r="I1190" s="1" t="s">
        <v>15</v>
      </c>
      <c r="J1190" s="1" t="str">
        <f>"78/78"</f>
        <v>78/78</v>
      </c>
      <c r="K1190" s="1" t="str">
        <f>"2026-07-29 14:20:31"</f>
        <v>2026-07-29 14:20:31</v>
      </c>
      <c r="L1190" s="1" t="str">
        <f>"2023-09-27 11:13:31"</f>
        <v>2023-09-27 11:13:31</v>
      </c>
      <c r="M1190" s="1" t="s">
        <v>45</v>
      </c>
      <c r="N1190" s="1" t="s">
        <v>38</v>
      </c>
      <c r="O1190" s="1" t="s">
        <v>46</v>
      </c>
    </row>
    <row r="1191" spans="2:15" x14ac:dyDescent="0.3">
      <c r="B1191" s="1" t="s">
        <v>24</v>
      </c>
      <c r="C1191" s="1" t="str">
        <f t="shared" si="58"/>
        <v>5-2차</v>
      </c>
      <c r="D1191" s="1" t="str">
        <f>"0327P1715S"</f>
        <v>0327P1715S</v>
      </c>
      <c r="E1191" s="1" t="s">
        <v>10</v>
      </c>
      <c r="F1191" s="1" t="str">
        <f>"fde3:102:1430:5200:0:0:0:a"</f>
        <v>fde3:102:1430:5200:0:0:0:a</v>
      </c>
      <c r="G1191" s="1" t="str">
        <f>"0327P171"</f>
        <v>0327P171</v>
      </c>
      <c r="H1191" s="1" t="str">
        <f>"시립간 28L9"</f>
        <v>시립간 28L9</v>
      </c>
      <c r="I1191" s="1" t="s">
        <v>15</v>
      </c>
      <c r="J1191" s="1" t="str">
        <f>"45/45"</f>
        <v>45/45</v>
      </c>
      <c r="K1191" s="1" t="str">
        <f>"2026-07-29 14:20:54"</f>
        <v>2026-07-29 14:20:54</v>
      </c>
      <c r="L1191" s="1" t="str">
        <f>"2023-09-27 10:45:16"</f>
        <v>2023-09-27 10:45:16</v>
      </c>
      <c r="M1191" s="1" t="s">
        <v>45</v>
      </c>
      <c r="N1191" s="1" t="s">
        <v>38</v>
      </c>
      <c r="O1191" s="1" t="s">
        <v>46</v>
      </c>
    </row>
    <row r="1192" spans="2:15" x14ac:dyDescent="0.3">
      <c r="B1192" s="1" t="s">
        <v>24</v>
      </c>
      <c r="C1192" s="1" t="str">
        <f t="shared" si="58"/>
        <v>5-2차</v>
      </c>
      <c r="D1192" s="1" t="str">
        <f>"0327P2615M"</f>
        <v>0327P2615M</v>
      </c>
      <c r="E1192" s="1" t="s">
        <v>10</v>
      </c>
      <c r="F1192" s="1" t="str">
        <f>"fde3:102:1430:5200:0:0:0:b"</f>
        <v>fde3:102:1430:5200:0:0:0:b</v>
      </c>
      <c r="G1192" s="1" t="str">
        <f>"0327P261"</f>
        <v>0327P261</v>
      </c>
      <c r="H1192" s="1" t="str">
        <f>"시립간 28L10L1"</f>
        <v>시립간 28L10L1</v>
      </c>
      <c r="I1192" s="1" t="s">
        <v>15</v>
      </c>
      <c r="J1192" s="1" t="str">
        <f>"39/40"</f>
        <v>39/40</v>
      </c>
      <c r="K1192" s="1" t="str">
        <f>"2026-07-29 14:20:54"</f>
        <v>2026-07-29 14:20:54</v>
      </c>
      <c r="L1192" s="1" t="str">
        <f>"2023-09-27 11:01:41"</f>
        <v>2023-09-27 11:01:41</v>
      </c>
      <c r="M1192" s="1" t="s">
        <v>45</v>
      </c>
      <c r="N1192" s="1" t="s">
        <v>38</v>
      </c>
      <c r="O1192" s="1" t="s">
        <v>46</v>
      </c>
    </row>
    <row r="1193" spans="2:15" x14ac:dyDescent="0.3">
      <c r="B1193" s="1" t="s">
        <v>24</v>
      </c>
      <c r="C1193" s="1" t="str">
        <f t="shared" si="58"/>
        <v>5-2차</v>
      </c>
      <c r="D1193" s="1" t="str">
        <f>"0327P2815S"</f>
        <v>0327P2815S</v>
      </c>
      <c r="E1193" s="1" t="s">
        <v>10</v>
      </c>
      <c r="F1193" s="1" t="str">
        <f>"fde3:102:1430:5200:0:0:0:f"</f>
        <v>fde3:102:1430:5200:0:0:0:f</v>
      </c>
      <c r="G1193" s="1" t="str">
        <f>"0327P281"</f>
        <v>0327P281</v>
      </c>
      <c r="H1193" s="1" t="str">
        <f>"시립간 28L7L4R1"</f>
        <v>시립간 28L7L4R1</v>
      </c>
      <c r="I1193" s="1" t="s">
        <v>15</v>
      </c>
      <c r="J1193" s="1" t="str">
        <f>"73/77"</f>
        <v>73/77</v>
      </c>
      <c r="K1193" s="1" t="str">
        <f>"2026-07-29 14:21:04"</f>
        <v>2026-07-29 14:21:04</v>
      </c>
      <c r="L1193" s="1" t="str">
        <f>"2023-09-28 08:35:37"</f>
        <v>2023-09-28 08:35:37</v>
      </c>
      <c r="M1193" s="1" t="s">
        <v>45</v>
      </c>
      <c r="N1193" s="1" t="s">
        <v>38</v>
      </c>
      <c r="O1193" s="1" t="s">
        <v>46</v>
      </c>
    </row>
    <row r="1194" spans="2:15" x14ac:dyDescent="0.3">
      <c r="B1194" s="1" t="s">
        <v>24</v>
      </c>
      <c r="C1194" s="1" t="str">
        <f t="shared" si="58"/>
        <v>5-2차</v>
      </c>
      <c r="D1194" s="1" t="str">
        <f>"0327P2825M"</f>
        <v>0327P2825M</v>
      </c>
      <c r="E1194" s="1" t="s">
        <v>10</v>
      </c>
      <c r="F1194" s="1" t="str">
        <f>"fde3:102:1430:5200:0:0:0:9"</f>
        <v>fde3:102:1430:5200:0:0:0:9</v>
      </c>
      <c r="G1194" s="1" t="str">
        <f>"0327P282"</f>
        <v>0327P282</v>
      </c>
      <c r="H1194" s="1" t="str">
        <f>"시립간 28L8"</f>
        <v>시립간 28L8</v>
      </c>
      <c r="I1194" s="1" t="s">
        <v>15</v>
      </c>
      <c r="J1194" s="1" t="str">
        <f>"47/47"</f>
        <v>47/47</v>
      </c>
      <c r="K1194" s="1" t="str">
        <f>"2026-07-29 14:20:31"</f>
        <v>2026-07-29 14:20:31</v>
      </c>
      <c r="L1194" s="1" t="str">
        <f>"2023-09-27 10:34:06"</f>
        <v>2023-09-27 10:34:06</v>
      </c>
      <c r="M1194" s="1" t="s">
        <v>45</v>
      </c>
      <c r="N1194" s="1" t="s">
        <v>38</v>
      </c>
      <c r="O1194" s="1" t="s">
        <v>46</v>
      </c>
    </row>
    <row r="1195" spans="2:15" x14ac:dyDescent="0.3">
      <c r="B1195" s="1" t="s">
        <v>24</v>
      </c>
      <c r="C1195" s="1" t="str">
        <f t="shared" si="58"/>
        <v>5-2차</v>
      </c>
      <c r="D1195" s="1" t="str">
        <f>"0327P3315S"</f>
        <v>0327P3315S</v>
      </c>
      <c r="E1195" s="1" t="s">
        <v>10</v>
      </c>
      <c r="F1195" s="1" t="str">
        <f>"fde3:102:1430:5100:0:0:0:24"</f>
        <v>fde3:102:1430:5100:0:0:0:24</v>
      </c>
      <c r="G1195" s="1" t="str">
        <f>"0327P331"</f>
        <v>0327P331</v>
      </c>
      <c r="H1195" s="1" t="str">
        <f>"시립간 18L17"</f>
        <v>시립간 18L17</v>
      </c>
      <c r="I1195" s="1" t="s">
        <v>15</v>
      </c>
      <c r="J1195" s="1" t="str">
        <f>"65/65"</f>
        <v>65/65</v>
      </c>
      <c r="K1195" s="1" t="str">
        <f>"2026-07-29 14:20:32"</f>
        <v>2026-07-29 14:20:32</v>
      </c>
      <c r="L1195" s="1" t="str">
        <f>"2023-10-24 16:08:04"</f>
        <v>2023-10-24 16:08:04</v>
      </c>
      <c r="M1195" s="1" t="s">
        <v>45</v>
      </c>
      <c r="N1195" s="1" t="s">
        <v>38</v>
      </c>
      <c r="O1195" s="1" t="s">
        <v>46</v>
      </c>
    </row>
    <row r="1196" spans="2:15" x14ac:dyDescent="0.3">
      <c r="B1196" s="1" t="s">
        <v>24</v>
      </c>
      <c r="C1196" s="1" t="str">
        <f t="shared" si="58"/>
        <v>5-2차</v>
      </c>
      <c r="D1196" s="1" t="str">
        <f>"0327P3415S"</f>
        <v>0327P3415S</v>
      </c>
      <c r="E1196" s="1" t="s">
        <v>10</v>
      </c>
      <c r="F1196" s="1" t="str">
        <f>"fde3:102:1430:5100:0:0:0:23"</f>
        <v>fde3:102:1430:5100:0:0:0:23</v>
      </c>
      <c r="G1196" s="1" t="str">
        <f>"0327P341"</f>
        <v>0327P341</v>
      </c>
      <c r="H1196" s="1" t="str">
        <f>"시립간 18L16"</f>
        <v>시립간 18L16</v>
      </c>
      <c r="I1196" s="1" t="s">
        <v>15</v>
      </c>
      <c r="J1196" s="1" t="str">
        <f>"73/73"</f>
        <v>73/73</v>
      </c>
      <c r="K1196" s="1" t="str">
        <f>"2026-07-29 14:20:32"</f>
        <v>2026-07-29 14:20:32</v>
      </c>
      <c r="L1196" s="1" t="str">
        <f>"2023-10-24 15:36:07"</f>
        <v>2023-10-24 15:36:07</v>
      </c>
      <c r="M1196" s="1" t="s">
        <v>45</v>
      </c>
      <c r="N1196" s="1" t="s">
        <v>38</v>
      </c>
      <c r="O1196" s="1" t="s">
        <v>46</v>
      </c>
    </row>
    <row r="1197" spans="2:15" x14ac:dyDescent="0.3">
      <c r="B1197" s="1" t="s">
        <v>24</v>
      </c>
      <c r="C1197" s="1" t="str">
        <f t="shared" si="58"/>
        <v>5-2차</v>
      </c>
      <c r="D1197" s="1" t="str">
        <f>"0327P3525S"</f>
        <v>0327P3525S</v>
      </c>
      <c r="E1197" s="1" t="s">
        <v>10</v>
      </c>
      <c r="F1197" s="1" t="str">
        <f>"fde3:102:1430:5100:0:0:0:25"</f>
        <v>fde3:102:1430:5100:0:0:0:25</v>
      </c>
      <c r="G1197" s="1" t="str">
        <f>"0327P352"</f>
        <v>0327P352</v>
      </c>
      <c r="H1197" s="1" t="str">
        <f>"시립간 18L16R1"</f>
        <v>시립간 18L16R1</v>
      </c>
      <c r="I1197" s="1" t="s">
        <v>15</v>
      </c>
      <c r="J1197" s="1" t="str">
        <f>"66/66"</f>
        <v>66/66</v>
      </c>
      <c r="K1197" s="1" t="str">
        <f>"2026-07-29 14:20:32"</f>
        <v>2026-07-29 14:20:32</v>
      </c>
      <c r="L1197" s="1" t="str">
        <f>"2023-10-13 16:34:32"</f>
        <v>2023-10-13 16:34:32</v>
      </c>
      <c r="M1197" s="1" t="s">
        <v>45</v>
      </c>
      <c r="N1197" s="1" t="s">
        <v>38</v>
      </c>
      <c r="O1197" s="1" t="s">
        <v>46</v>
      </c>
    </row>
    <row r="1198" spans="2:15" x14ac:dyDescent="0.3">
      <c r="B1198" s="1" t="s">
        <v>24</v>
      </c>
      <c r="C1198" s="1" t="str">
        <f t="shared" si="58"/>
        <v>5-2차</v>
      </c>
      <c r="D1198" s="1" t="str">
        <f>"0327P3835S"</f>
        <v>0327P3835S</v>
      </c>
      <c r="E1198" s="1" t="s">
        <v>10</v>
      </c>
      <c r="F1198" s="1" t="str">
        <f>"fde3:102:1430:5200:0:0:0:10"</f>
        <v>fde3:102:1430:5200:0:0:0:10</v>
      </c>
      <c r="G1198" s="1" t="str">
        <f>"0327P383"</f>
        <v>0327P383</v>
      </c>
      <c r="H1198" s="1" t="str">
        <f>"시립간 28L7L5R1"</f>
        <v>시립간 28L7L5R1</v>
      </c>
      <c r="I1198" s="1" t="s">
        <v>15</v>
      </c>
      <c r="J1198" s="1" t="str">
        <f>"68/68"</f>
        <v>68/68</v>
      </c>
      <c r="K1198" s="1" t="str">
        <f>"2026-07-29 14:20:32"</f>
        <v>2026-07-29 14:20:32</v>
      </c>
      <c r="L1198" s="1" t="str">
        <f>"2023-09-27 12:56:14"</f>
        <v>2023-09-27 12:56:14</v>
      </c>
      <c r="M1198" s="1" t="s">
        <v>45</v>
      </c>
      <c r="N1198" s="1" t="s">
        <v>38</v>
      </c>
      <c r="O1198" s="1" t="s">
        <v>46</v>
      </c>
    </row>
    <row r="1199" spans="2:15" x14ac:dyDescent="0.3">
      <c r="B1199" s="1" t="s">
        <v>24</v>
      </c>
      <c r="C1199" s="1" t="str">
        <f t="shared" si="58"/>
        <v>5-2차</v>
      </c>
      <c r="D1199" s="1" t="str">
        <f>"0327P3845S"</f>
        <v>0327P3845S</v>
      </c>
      <c r="E1199" s="1" t="s">
        <v>10</v>
      </c>
      <c r="F1199" s="1" t="str">
        <f>"fde3:102:1430:5200:0:0:0:e"</f>
        <v>fde3:102:1430:5200:0:0:0:e</v>
      </c>
      <c r="G1199" s="1" t="str">
        <f>"0327P384"</f>
        <v>0327P384</v>
      </c>
      <c r="H1199" s="1" t="str">
        <f>"시립간 28L7L4R1H1"</f>
        <v>시립간 28L7L4R1H1</v>
      </c>
      <c r="I1199" s="1" t="s">
        <v>15</v>
      </c>
      <c r="J1199" s="1" t="str">
        <f>"33/33"</f>
        <v>33/33</v>
      </c>
      <c r="K1199" s="1" t="str">
        <f>"2026-07-29 14:20:33"</f>
        <v>2026-07-29 14:20:33</v>
      </c>
      <c r="L1199" s="1" t="str">
        <f>"2023-09-27 12:26:36"</f>
        <v>2023-09-27 12:26:36</v>
      </c>
      <c r="M1199" s="1" t="s">
        <v>45</v>
      </c>
      <c r="N1199" s="1" t="s">
        <v>38</v>
      </c>
      <c r="O1199" s="1" t="s">
        <v>46</v>
      </c>
    </row>
    <row r="1200" spans="2:15" x14ac:dyDescent="0.3">
      <c r="B1200" s="1" t="s">
        <v>24</v>
      </c>
      <c r="C1200" s="1" t="str">
        <f t="shared" si="58"/>
        <v>5-2차</v>
      </c>
      <c r="D1200" s="1" t="str">
        <f>"0327P4335M"</f>
        <v>0327P4335M</v>
      </c>
      <c r="E1200" s="1" t="s">
        <v>10</v>
      </c>
      <c r="F1200" s="1" t="str">
        <f>"fde3:102:1430:5100:0:0:0:22"</f>
        <v>fde3:102:1430:5100:0:0:0:22</v>
      </c>
      <c r="G1200" s="1" t="str">
        <f>"0327P433"</f>
        <v>0327P433</v>
      </c>
      <c r="H1200" s="1" t="str">
        <f>"시립간 18L15L1"</f>
        <v>시립간 18L15L1</v>
      </c>
      <c r="I1200" s="1" t="s">
        <v>15</v>
      </c>
      <c r="J1200" s="1" t="str">
        <f>"39/39"</f>
        <v>39/39</v>
      </c>
      <c r="K1200" s="1" t="str">
        <f>"2026-07-29 14:20:33"</f>
        <v>2026-07-29 14:20:33</v>
      </c>
      <c r="L1200" s="1" t="str">
        <f>"2023-10-16 10:22:40"</f>
        <v>2023-10-16 10:22:40</v>
      </c>
      <c r="M1200" s="1" t="s">
        <v>45</v>
      </c>
      <c r="N1200" s="1" t="s">
        <v>38</v>
      </c>
      <c r="O1200" s="1" t="s">
        <v>46</v>
      </c>
    </row>
    <row r="1201" spans="2:15" x14ac:dyDescent="0.3">
      <c r="B1201" s="1" t="s">
        <v>24</v>
      </c>
      <c r="C1201" s="1" t="str">
        <f t="shared" si="58"/>
        <v>5-2차</v>
      </c>
      <c r="D1201" s="1" t="str">
        <f>"0327P4425M"</f>
        <v>0327P4425M</v>
      </c>
      <c r="E1201" s="1" t="s">
        <v>10</v>
      </c>
      <c r="F1201" s="1" t="str">
        <f>"fde3:102:1430:5100:0:0:0:21"</f>
        <v>fde3:102:1430:5100:0:0:0:21</v>
      </c>
      <c r="G1201" s="1" t="str">
        <f>"0327P442"</f>
        <v>0327P442</v>
      </c>
      <c r="H1201" s="1" t="str">
        <f>"시립간 18L15"</f>
        <v>시립간 18L15</v>
      </c>
      <c r="I1201" s="1" t="s">
        <v>15</v>
      </c>
      <c r="J1201" s="1" t="str">
        <f>"101/101"</f>
        <v>101/101</v>
      </c>
      <c r="K1201" s="1" t="str">
        <f>"2026-07-29 14:20:36"</f>
        <v>2026-07-29 14:20:36</v>
      </c>
      <c r="L1201" s="1" t="str">
        <f>"2024-01-08 11:20:01"</f>
        <v>2024-01-08 11:20:01</v>
      </c>
      <c r="M1201" s="1" t="s">
        <v>45</v>
      </c>
      <c r="N1201" s="1" t="s">
        <v>38</v>
      </c>
      <c r="O1201" s="1" t="s">
        <v>46</v>
      </c>
    </row>
    <row r="1202" spans="2:15" x14ac:dyDescent="0.3">
      <c r="B1202" s="1" t="s">
        <v>24</v>
      </c>
      <c r="C1202" s="1" t="str">
        <f t="shared" si="58"/>
        <v>5-2차</v>
      </c>
      <c r="D1202" s="1" t="str">
        <f>"0327P4615S"</f>
        <v>0327P4615S</v>
      </c>
      <c r="E1202" s="1" t="s">
        <v>10</v>
      </c>
      <c r="F1202" s="1" t="str">
        <f>"fde3:102:1430:5100:0:0:0:1f"</f>
        <v>fde3:102:1430:5100:0:0:0:1f</v>
      </c>
      <c r="G1202" s="1" t="str">
        <f>"0327P461"</f>
        <v>0327P461</v>
      </c>
      <c r="H1202" s="1" t="str">
        <f>"시립간 18L14R1"</f>
        <v>시립간 18L14R1</v>
      </c>
      <c r="I1202" s="1" t="s">
        <v>15</v>
      </c>
      <c r="J1202" s="1" t="str">
        <f>"147/147"</f>
        <v>147/147</v>
      </c>
      <c r="K1202" s="1" t="str">
        <f>"2026-07-29 14:20:33"</f>
        <v>2026-07-29 14:20:33</v>
      </c>
      <c r="L1202" s="1" t="str">
        <f>"2023-10-16 10:59:04"</f>
        <v>2023-10-16 10:59:04</v>
      </c>
      <c r="M1202" s="1" t="s">
        <v>45</v>
      </c>
      <c r="N1202" s="1" t="s">
        <v>38</v>
      </c>
      <c r="O1202" s="1" t="s">
        <v>46</v>
      </c>
    </row>
    <row r="1203" spans="2:15" x14ac:dyDescent="0.3">
      <c r="B1203" s="1" t="s">
        <v>24</v>
      </c>
      <c r="C1203" s="1" t="str">
        <f t="shared" si="58"/>
        <v>5-2차</v>
      </c>
      <c r="D1203" s="1" t="str">
        <f>"0327P4635M"</f>
        <v>0327P4635M</v>
      </c>
      <c r="E1203" s="1" t="s">
        <v>10</v>
      </c>
      <c r="F1203" s="1" t="str">
        <f>"fde3:102:1430:5100:0:0:0:20"</f>
        <v>fde3:102:1430:5100:0:0:0:20</v>
      </c>
      <c r="G1203" s="1" t="str">
        <f>"0327P463"</f>
        <v>0327P463</v>
      </c>
      <c r="H1203" s="1" t="str">
        <f>"시립간 18L14R2"</f>
        <v>시립간 18L14R2</v>
      </c>
      <c r="I1203" s="1" t="s">
        <v>15</v>
      </c>
      <c r="J1203" s="1" t="str">
        <f>"109/109"</f>
        <v>109/109</v>
      </c>
      <c r="K1203" s="1" t="str">
        <f>"2026-07-29 14:20:33"</f>
        <v>2026-07-29 14:20:33</v>
      </c>
      <c r="L1203" s="1" t="str">
        <f>"2023-09-27 16:08:48"</f>
        <v>2023-09-27 16:08:48</v>
      </c>
      <c r="M1203" s="1" t="s">
        <v>45</v>
      </c>
      <c r="N1203" s="1" t="s">
        <v>38</v>
      </c>
      <c r="O1203" s="1" t="s">
        <v>46</v>
      </c>
    </row>
    <row r="1204" spans="2:15" x14ac:dyDescent="0.3">
      <c r="B1204" s="1" t="s">
        <v>24</v>
      </c>
      <c r="C1204" s="1" t="str">
        <f t="shared" si="58"/>
        <v>5-2차</v>
      </c>
      <c r="D1204" s="1" t="str">
        <f>"0327P4815S"</f>
        <v>0327P4815S</v>
      </c>
      <c r="E1204" s="1" t="s">
        <v>10</v>
      </c>
      <c r="F1204" s="1" t="str">
        <f>"fde3:102:1430:5200:0:0:0:12"</f>
        <v>fde3:102:1430:5200:0:0:0:12</v>
      </c>
      <c r="G1204" s="1" t="str">
        <f>"0327P481"</f>
        <v>0327P481</v>
      </c>
      <c r="H1204" s="1" t="str">
        <f>"시립간 28L7L6"</f>
        <v>시립간 28L7L6</v>
      </c>
      <c r="I1204" s="1" t="s">
        <v>15</v>
      </c>
      <c r="J1204" s="1" t="str">
        <f>"76/76"</f>
        <v>76/76</v>
      </c>
      <c r="K1204" s="1" t="str">
        <f>"2026-07-29 14:20:34"</f>
        <v>2026-07-29 14:20:34</v>
      </c>
      <c r="L1204" s="1" t="str">
        <f>"2023-10-27 15:12:52"</f>
        <v>2023-10-27 15:12:52</v>
      </c>
      <c r="M1204" s="1" t="s">
        <v>45</v>
      </c>
      <c r="N1204" s="1" t="s">
        <v>38</v>
      </c>
      <c r="O1204" s="1" t="s">
        <v>46</v>
      </c>
    </row>
    <row r="1205" spans="2:15" x14ac:dyDescent="0.3">
      <c r="B1205" s="1" t="s">
        <v>24</v>
      </c>
      <c r="C1205" s="1" t="str">
        <f t="shared" si="58"/>
        <v>5-2차</v>
      </c>
      <c r="D1205" s="1" t="str">
        <f>"0327P4825S"</f>
        <v>0327P4825S</v>
      </c>
      <c r="E1205" s="1" t="s">
        <v>10</v>
      </c>
      <c r="F1205" s="1" t="str">
        <f>"fde3:102:1430:5200:0:0:0:13"</f>
        <v>fde3:102:1430:5200:0:0:0:13</v>
      </c>
      <c r="G1205" s="1" t="str">
        <f>"0327P482"</f>
        <v>0327P482</v>
      </c>
      <c r="H1205" s="1" t="str">
        <f>"시립간 28L7L7"</f>
        <v>시립간 28L7L7</v>
      </c>
      <c r="I1205" s="1" t="s">
        <v>15</v>
      </c>
      <c r="J1205" s="1" t="str">
        <f>"82/82"</f>
        <v>82/82</v>
      </c>
      <c r="K1205" s="1" t="str">
        <f>"2026-07-29 14:21:13"</f>
        <v>2026-07-29 14:21:13</v>
      </c>
      <c r="L1205" s="1" t="str">
        <f>"2023-09-27 09:46:46"</f>
        <v>2023-09-27 09:46:46</v>
      </c>
      <c r="M1205" s="1" t="s">
        <v>45</v>
      </c>
      <c r="N1205" s="1" t="s">
        <v>38</v>
      </c>
      <c r="O1205" s="1" t="s">
        <v>46</v>
      </c>
    </row>
    <row r="1206" spans="2:15" x14ac:dyDescent="0.3">
      <c r="B1206" s="1" t="s">
        <v>24</v>
      </c>
      <c r="C1206" s="1" t="str">
        <f t="shared" si="58"/>
        <v>5-2차</v>
      </c>
      <c r="D1206" s="1" t="str">
        <f>"0327P4915S"</f>
        <v>0327P4915S</v>
      </c>
      <c r="E1206" s="1" t="s">
        <v>10</v>
      </c>
      <c r="F1206" s="1" t="str">
        <f>"fde3:102:1430:5200:0:0:0:11"</f>
        <v>fde3:102:1430:5200:0:0:0:11</v>
      </c>
      <c r="G1206" s="1" t="str">
        <f>"0327P491"</f>
        <v>0327P491</v>
      </c>
      <c r="H1206" s="1" t="str">
        <f>"시립간 28L7L5L2"</f>
        <v>시립간 28L7L5L2</v>
      </c>
      <c r="I1206" s="1" t="s">
        <v>15</v>
      </c>
      <c r="J1206" s="1" t="str">
        <f>"64/64"</f>
        <v>64/64</v>
      </c>
      <c r="K1206" s="1" t="str">
        <f>"2026-07-29 14:20:34"</f>
        <v>2026-07-29 14:20:34</v>
      </c>
      <c r="L1206" s="1" t="str">
        <f>"2023-09-27 12:41:13"</f>
        <v>2023-09-27 12:41:13</v>
      </c>
      <c r="M1206" s="1" t="s">
        <v>45</v>
      </c>
      <c r="N1206" s="1" t="s">
        <v>38</v>
      </c>
      <c r="O1206" s="1" t="s">
        <v>46</v>
      </c>
    </row>
    <row r="1207" spans="2:15" x14ac:dyDescent="0.3">
      <c r="B1207" s="1" t="s">
        <v>24</v>
      </c>
      <c r="C1207" s="1" t="str">
        <f t="shared" si="58"/>
        <v>5-2차</v>
      </c>
      <c r="D1207" s="1" t="str">
        <f>"0327P5515S"</f>
        <v>0327P5515S</v>
      </c>
      <c r="E1207" s="1" t="s">
        <v>10</v>
      </c>
      <c r="F1207" s="1" t="str">
        <f>"fde3:102:1430:5100:0:0:0:1e"</f>
        <v>fde3:102:1430:5100:0:0:0:1e</v>
      </c>
      <c r="G1207" s="1" t="str">
        <f>"0327P551"</f>
        <v>0327P551</v>
      </c>
      <c r="H1207" s="1" t="str">
        <f>"시립간 18L13"</f>
        <v>시립간 18L13</v>
      </c>
      <c r="I1207" s="1" t="s">
        <v>15</v>
      </c>
      <c r="J1207" s="1" t="str">
        <f>"82/83"</f>
        <v>82/83</v>
      </c>
      <c r="K1207" s="1" t="str">
        <f>"2026-07-29 14:20:34"</f>
        <v>2026-07-29 14:20:34</v>
      </c>
      <c r="L1207" s="1" t="str">
        <f>"2023-10-16 12:06:53"</f>
        <v>2023-10-16 12:06:53</v>
      </c>
      <c r="M1207" s="1" t="s">
        <v>45</v>
      </c>
      <c r="N1207" s="1" t="s">
        <v>38</v>
      </c>
      <c r="O1207" s="1" t="s">
        <v>46</v>
      </c>
    </row>
    <row r="1208" spans="2:15" x14ac:dyDescent="0.3">
      <c r="B1208" s="1" t="s">
        <v>24</v>
      </c>
      <c r="C1208" s="1" t="str">
        <f t="shared" si="58"/>
        <v>5-2차</v>
      </c>
      <c r="D1208" s="1" t="str">
        <f>"0327P5525M"</f>
        <v>0327P5525M</v>
      </c>
      <c r="E1208" s="1" t="s">
        <v>10</v>
      </c>
      <c r="F1208" s="1" t="str">
        <f>"fde3:102:1430:5100:0:0:0:18"</f>
        <v>fde3:102:1430:5100:0:0:0:18</v>
      </c>
      <c r="G1208" s="1" t="str">
        <f>"0327P552"</f>
        <v>0327P552</v>
      </c>
      <c r="H1208" s="1" t="str">
        <f>"시립간 18L12"</f>
        <v>시립간 18L12</v>
      </c>
      <c r="I1208" s="1" t="s">
        <v>15</v>
      </c>
      <c r="J1208" s="1" t="str">
        <f>"87/87"</f>
        <v>87/87</v>
      </c>
      <c r="K1208" s="1" t="str">
        <f>"2026-07-29 14:20:35"</f>
        <v>2026-07-29 14:20:35</v>
      </c>
      <c r="L1208" s="1" t="str">
        <f>"2023-10-24 11:05:22"</f>
        <v>2023-10-24 11:05:22</v>
      </c>
      <c r="M1208" s="1" t="s">
        <v>45</v>
      </c>
      <c r="N1208" s="1" t="s">
        <v>38</v>
      </c>
      <c r="O1208" s="1" t="s">
        <v>46</v>
      </c>
    </row>
    <row r="1209" spans="2:15" x14ac:dyDescent="0.3">
      <c r="B1209" s="1" t="s">
        <v>24</v>
      </c>
      <c r="C1209" s="1" t="str">
        <f t="shared" si="58"/>
        <v>5-2차</v>
      </c>
      <c r="D1209" s="1" t="str">
        <f>"0327P5615M"</f>
        <v>0327P5615M</v>
      </c>
      <c r="E1209" s="1" t="s">
        <v>10</v>
      </c>
      <c r="F1209" s="1" t="str">
        <f>"fde3:102:1430:5100:0:0:0:1c"</f>
        <v>fde3:102:1430:5100:0:0:0:1c</v>
      </c>
      <c r="G1209" s="1" t="str">
        <f>"0327P561"</f>
        <v>0327P561</v>
      </c>
      <c r="H1209" s="1" t="str">
        <f>"시립간 18L12R1"</f>
        <v>시립간 18L12R1</v>
      </c>
      <c r="I1209" s="1" t="s">
        <v>15</v>
      </c>
      <c r="J1209" s="1" t="str">
        <f>"115/115"</f>
        <v>115/115</v>
      </c>
      <c r="K1209" s="1" t="str">
        <f>"2026-07-29 14:20:35"</f>
        <v>2026-07-29 14:20:35</v>
      </c>
      <c r="L1209" s="1" t="str">
        <f>"2023-10-24 14:03:55"</f>
        <v>2023-10-24 14:03:55</v>
      </c>
      <c r="M1209" s="1" t="s">
        <v>45</v>
      </c>
      <c r="N1209" s="1" t="s">
        <v>38</v>
      </c>
      <c r="O1209" s="1" t="s">
        <v>46</v>
      </c>
    </row>
    <row r="1210" spans="2:15" x14ac:dyDescent="0.3">
      <c r="B1210" s="1" t="s">
        <v>24</v>
      </c>
      <c r="C1210" s="1" t="str">
        <f t="shared" si="58"/>
        <v>5-2차</v>
      </c>
      <c r="D1210" s="1" t="str">
        <f>"0327P5625S"</f>
        <v>0327P5625S</v>
      </c>
      <c r="E1210" s="1" t="s">
        <v>10</v>
      </c>
      <c r="F1210" s="1" t="str">
        <f>"fde3:102:1430:5100:0:0:0:1d"</f>
        <v>fde3:102:1430:5100:0:0:0:1d</v>
      </c>
      <c r="G1210" s="1" t="str">
        <f>"0327P562"</f>
        <v>0327P562</v>
      </c>
      <c r="H1210" s="1" t="str">
        <f>"시립간 18L12R2"</f>
        <v>시립간 18L12R2</v>
      </c>
      <c r="I1210" s="1" t="s">
        <v>15</v>
      </c>
      <c r="J1210" s="1" t="str">
        <f>"69/69"</f>
        <v>69/69</v>
      </c>
      <c r="K1210" s="1" t="str">
        <f>"2026-07-29 14:20:54"</f>
        <v>2026-07-29 14:20:54</v>
      </c>
      <c r="L1210" s="1" t="str">
        <f>"2023-10-20 12:41:52"</f>
        <v>2023-10-20 12:41:52</v>
      </c>
      <c r="M1210" s="1" t="s">
        <v>45</v>
      </c>
      <c r="N1210" s="1" t="s">
        <v>38</v>
      </c>
      <c r="O1210" s="1" t="s">
        <v>46</v>
      </c>
    </row>
    <row r="1211" spans="2:15" x14ac:dyDescent="0.3">
      <c r="B1211" s="1" t="s">
        <v>24</v>
      </c>
      <c r="C1211" s="1" t="str">
        <f t="shared" si="58"/>
        <v>5-2차</v>
      </c>
      <c r="D1211" s="1" t="str">
        <f>"0327P5825M"</f>
        <v>0327P5825M</v>
      </c>
      <c r="E1211" s="1" t="s">
        <v>10</v>
      </c>
      <c r="F1211" s="1" t="str">
        <f>"fde3:102:1430:5100:0:0:0:e"</f>
        <v>fde3:102:1430:5100:0:0:0:e</v>
      </c>
      <c r="G1211" s="1" t="str">
        <f>"0327P582"</f>
        <v>0327P582</v>
      </c>
      <c r="H1211" s="1" t="str">
        <f>"시립간 18L6R4"</f>
        <v>시립간 18L6R4</v>
      </c>
      <c r="I1211" s="1" t="s">
        <v>15</v>
      </c>
      <c r="J1211" s="1" t="str">
        <f>"46/46"</f>
        <v>46/46</v>
      </c>
      <c r="K1211" s="1" t="str">
        <f>"2026-07-29 14:20:15"</f>
        <v>2026-07-29 14:20:15</v>
      </c>
      <c r="L1211" s="1" t="str">
        <f>"2023-09-12 08:42:58"</f>
        <v>2023-09-12 08:42:58</v>
      </c>
      <c r="M1211" s="1" t="s">
        <v>45</v>
      </c>
      <c r="N1211" s="1" t="s">
        <v>38</v>
      </c>
      <c r="O1211" s="1" t="s">
        <v>46</v>
      </c>
    </row>
    <row r="1212" spans="2:15" x14ac:dyDescent="0.3">
      <c r="B1212" s="1" t="s">
        <v>24</v>
      </c>
      <c r="C1212" s="1" t="str">
        <f t="shared" si="58"/>
        <v>5-2차</v>
      </c>
      <c r="D1212" s="1" t="str">
        <f>"0327P5915M"</f>
        <v>0327P5915M</v>
      </c>
      <c r="E1212" s="1" t="s">
        <v>10</v>
      </c>
      <c r="F1212" s="1" t="str">
        <f>"fde3:102:1430:5100:0:0:0:d"</f>
        <v>fde3:102:1430:5100:0:0:0:d</v>
      </c>
      <c r="G1212" s="1" t="str">
        <f>"0327P591"</f>
        <v>0327P591</v>
      </c>
      <c r="H1212" s="1" t="str">
        <f>"시립간 18L6R3"</f>
        <v>시립간 18L6R3</v>
      </c>
      <c r="I1212" s="1" t="s">
        <v>15</v>
      </c>
      <c r="J1212" s="1" t="str">
        <f>"96/96"</f>
        <v>96/96</v>
      </c>
      <c r="K1212" s="1" t="str">
        <f>"2026-07-29 14:20:36"</f>
        <v>2026-07-29 14:20:36</v>
      </c>
      <c r="L1212" s="1" t="str">
        <f>"2023-10-13 17:20:25"</f>
        <v>2023-10-13 17:20:25</v>
      </c>
      <c r="M1212" s="1" t="s">
        <v>45</v>
      </c>
      <c r="N1212" s="1" t="s">
        <v>38</v>
      </c>
      <c r="O1212" s="1" t="s">
        <v>46</v>
      </c>
    </row>
    <row r="1213" spans="2:15" x14ac:dyDescent="0.3">
      <c r="B1213" s="1" t="s">
        <v>24</v>
      </c>
      <c r="C1213" s="1" t="str">
        <f t="shared" si="58"/>
        <v>5-2차</v>
      </c>
      <c r="D1213" s="1" t="str">
        <f>"0327P6315S"</f>
        <v>0327P6315S</v>
      </c>
      <c r="E1213" s="1" t="s">
        <v>10</v>
      </c>
      <c r="F1213" s="1" t="str">
        <f>"fde3:102:1430:5100:0:0:0:1b"</f>
        <v>fde3:102:1430:5100:0:0:0:1b</v>
      </c>
      <c r="G1213" s="1" t="str">
        <f>"0327P631"</f>
        <v>0327P631</v>
      </c>
      <c r="H1213" s="1" t="str">
        <f>"시립간 18L12L5"</f>
        <v>시립간 18L12L5</v>
      </c>
      <c r="I1213" s="1" t="s">
        <v>15</v>
      </c>
      <c r="J1213" s="1" t="str">
        <f>"74/74"</f>
        <v>74/74</v>
      </c>
      <c r="K1213" s="1" t="str">
        <f>"2026-07-29 14:20:36"</f>
        <v>2026-07-29 14:20:36</v>
      </c>
      <c r="L1213" s="1" t="str">
        <f>"2023-10-24 11:50:57"</f>
        <v>2023-10-24 11:50:57</v>
      </c>
      <c r="M1213" s="1" t="s">
        <v>45</v>
      </c>
      <c r="N1213" s="1" t="s">
        <v>38</v>
      </c>
      <c r="O1213" s="1" t="s">
        <v>46</v>
      </c>
    </row>
    <row r="1214" spans="2:15" x14ac:dyDescent="0.3">
      <c r="B1214" s="1" t="s">
        <v>24</v>
      </c>
      <c r="C1214" s="1" t="str">
        <f t="shared" si="58"/>
        <v>5-2차</v>
      </c>
      <c r="D1214" s="1" t="str">
        <f>"0327P6325S"</f>
        <v>0327P6325S</v>
      </c>
      <c r="E1214" s="1" t="s">
        <v>10</v>
      </c>
      <c r="F1214" s="1" t="str">
        <f>"fde1:103:4:59cb:0:0:0:2"</f>
        <v>fde1:103:4:59cb:0:0:0:2</v>
      </c>
      <c r="G1214" s="1" t="str">
        <f>"0327P632"</f>
        <v>0327P632</v>
      </c>
      <c r="H1214" s="1" t="str">
        <f>"시립간 18L12L6"</f>
        <v>시립간 18L12L6</v>
      </c>
      <c r="I1214" s="1" t="s">
        <v>15</v>
      </c>
      <c r="J1214" s="1" t="str">
        <f>"39/39"</f>
        <v>39/39</v>
      </c>
      <c r="K1214" s="1" t="str">
        <f>"2026-07-29 14:20:54"</f>
        <v>2026-07-29 14:20:54</v>
      </c>
      <c r="L1214" s="1" t="str">
        <f>"2023-09-14 11:34:03"</f>
        <v>2023-09-14 11:34:03</v>
      </c>
      <c r="M1214" s="1" t="s">
        <v>4</v>
      </c>
      <c r="N1214" s="1" t="s">
        <v>38</v>
      </c>
      <c r="O1214" s="1" t="s">
        <v>46</v>
      </c>
    </row>
    <row r="1215" spans="2:15" x14ac:dyDescent="0.3">
      <c r="B1215" s="1" t="s">
        <v>24</v>
      </c>
      <c r="C1215" s="1" t="str">
        <f t="shared" si="58"/>
        <v>5-2차</v>
      </c>
      <c r="D1215" s="1" t="str">
        <f>"0327P6415M"</f>
        <v>0327P6415M</v>
      </c>
      <c r="E1215" s="1" t="s">
        <v>10</v>
      </c>
      <c r="F1215" s="1" t="str">
        <f>"fde3:102:1430:5100:0:0:0:19"</f>
        <v>fde3:102:1430:5100:0:0:0:19</v>
      </c>
      <c r="G1215" s="1" t="str">
        <f>"0327P641"</f>
        <v>0327P641</v>
      </c>
      <c r="H1215" s="1" t="str">
        <f>"시립간 18L12L3"</f>
        <v>시립간 18L12L3</v>
      </c>
      <c r="I1215" s="1" t="s">
        <v>15</v>
      </c>
      <c r="J1215" s="1" t="str">
        <f>"92/92"</f>
        <v>92/92</v>
      </c>
      <c r="K1215" s="1" t="str">
        <f>"2026-07-29 14:20:54"</f>
        <v>2026-07-29 14:20:54</v>
      </c>
      <c r="L1215" s="1" t="str">
        <f>"2023-10-24 12:34:54"</f>
        <v>2023-10-24 12:34:54</v>
      </c>
      <c r="M1215" s="1" t="s">
        <v>45</v>
      </c>
      <c r="N1215" s="1" t="s">
        <v>38</v>
      </c>
      <c r="O1215" s="1" t="s">
        <v>46</v>
      </c>
    </row>
    <row r="1216" spans="2:15" x14ac:dyDescent="0.3">
      <c r="B1216" s="1" t="s">
        <v>24</v>
      </c>
      <c r="C1216" s="1" t="str">
        <f t="shared" si="58"/>
        <v>5-2차</v>
      </c>
      <c r="D1216" s="1" t="str">
        <f>"0327P6425M"</f>
        <v>0327P6425M</v>
      </c>
      <c r="E1216" s="1" t="s">
        <v>10</v>
      </c>
      <c r="F1216" s="1" t="str">
        <f>"fde3:102:1430:5100:0:0:0:1a"</f>
        <v>fde3:102:1430:5100:0:0:0:1a</v>
      </c>
      <c r="G1216" s="1" t="str">
        <f>"0327P642"</f>
        <v>0327P642</v>
      </c>
      <c r="H1216" s="1" t="str">
        <f>"시립간 18L12L4"</f>
        <v>시립간 18L12L4</v>
      </c>
      <c r="I1216" s="1" t="s">
        <v>15</v>
      </c>
      <c r="J1216" s="1" t="str">
        <f>"43/43"</f>
        <v>43/43</v>
      </c>
      <c r="K1216" s="1" t="str">
        <f>"2026-07-29 14:21:21"</f>
        <v>2026-07-29 14:21:21</v>
      </c>
      <c r="L1216" s="1" t="str">
        <f>"2023-10-17 15:25:07"</f>
        <v>2023-10-17 15:25:07</v>
      </c>
      <c r="M1216" s="1" t="s">
        <v>45</v>
      </c>
      <c r="N1216" s="1" t="s">
        <v>38</v>
      </c>
      <c r="O1216" s="1" t="s">
        <v>46</v>
      </c>
    </row>
    <row r="1217" spans="2:15" x14ac:dyDescent="0.3">
      <c r="B1217" s="1" t="s">
        <v>24</v>
      </c>
      <c r="C1217" s="1" t="str">
        <f t="shared" si="58"/>
        <v>5-2차</v>
      </c>
      <c r="D1217" s="1" t="str">
        <f>"0327P6725S"</f>
        <v>0327P6725S</v>
      </c>
      <c r="E1217" s="1" t="s">
        <v>10</v>
      </c>
      <c r="F1217" s="1" t="str">
        <f>"fde3:102:1430:5100:0:0:0:13"</f>
        <v>fde3:102:1430:5100:0:0:0:13</v>
      </c>
      <c r="G1217" s="1" t="str">
        <f>"0327P672"</f>
        <v>0327P672</v>
      </c>
      <c r="H1217" s="1" t="str">
        <f>"시립간 18L9"</f>
        <v>시립간 18L9</v>
      </c>
      <c r="I1217" s="1" t="s">
        <v>15</v>
      </c>
      <c r="J1217" s="1" t="str">
        <f>"80/80"</f>
        <v>80/80</v>
      </c>
      <c r="K1217" s="1" t="str">
        <f>"2026-07-29 14:20:26"</f>
        <v>2026-07-29 14:20:26</v>
      </c>
      <c r="L1217" s="1" t="str">
        <f>"2023-10-13 17:51:40"</f>
        <v>2023-10-13 17:51:40</v>
      </c>
      <c r="M1217" s="1" t="s">
        <v>45</v>
      </c>
      <c r="N1217" s="1" t="s">
        <v>38</v>
      </c>
      <c r="O1217" s="1" t="s">
        <v>46</v>
      </c>
    </row>
    <row r="1218" spans="2:15" x14ac:dyDescent="0.3">
      <c r="B1218" s="1" t="s">
        <v>24</v>
      </c>
      <c r="C1218" s="1" t="str">
        <f t="shared" si="58"/>
        <v>5-2차</v>
      </c>
      <c r="D1218" s="1" t="str">
        <f>"0327P6915S"</f>
        <v>0327P6915S</v>
      </c>
      <c r="E1218" s="1" t="s">
        <v>10</v>
      </c>
      <c r="F1218" s="1" t="str">
        <f>"fde3:102:1430:5100:0:0:0:c"</f>
        <v>fde3:102:1430:5100:0:0:0:c</v>
      </c>
      <c r="G1218" s="1" t="str">
        <f>"0327P691"</f>
        <v>0327P691</v>
      </c>
      <c r="H1218" s="1" t="str">
        <f>"시립간 18L6R1"</f>
        <v>시립간 18L6R1</v>
      </c>
      <c r="I1218" s="1" t="s">
        <v>15</v>
      </c>
      <c r="J1218" s="1" t="str">
        <f>"20/20"</f>
        <v>20/20</v>
      </c>
      <c r="K1218" s="1" t="str">
        <f>"2026-07-29 14:20:36"</f>
        <v>2026-07-29 14:20:36</v>
      </c>
      <c r="L1218" s="1" t="str">
        <f>"2023-10-20 09:53:46"</f>
        <v>2023-10-20 09:53:46</v>
      </c>
      <c r="M1218" s="1" t="s">
        <v>45</v>
      </c>
      <c r="N1218" s="1" t="s">
        <v>38</v>
      </c>
      <c r="O1218" s="1" t="s">
        <v>46</v>
      </c>
    </row>
    <row r="1219" spans="2:15" x14ac:dyDescent="0.3">
      <c r="B1219" s="1" t="s">
        <v>24</v>
      </c>
      <c r="C1219" s="1" t="str">
        <f t="shared" si="58"/>
        <v>5-2차</v>
      </c>
      <c r="D1219" s="1" t="str">
        <f>"0327P7535M"</f>
        <v>0327P7535M</v>
      </c>
      <c r="E1219" s="1" t="s">
        <v>10</v>
      </c>
      <c r="F1219" s="1" t="str">
        <f>"fde3:102:1430:5100:0:0:0:14"</f>
        <v>fde3:102:1430:5100:0:0:0:14</v>
      </c>
      <c r="G1219" s="1" t="str">
        <f>"0327P753"</f>
        <v>0327P753</v>
      </c>
      <c r="H1219" s="1" t="str">
        <f>"시립간 18L11L1"</f>
        <v>시립간 18L11L1</v>
      </c>
      <c r="I1219" s="1" t="s">
        <v>15</v>
      </c>
      <c r="J1219" s="1" t="str">
        <f>"165/165"</f>
        <v>165/165</v>
      </c>
      <c r="K1219" s="1" t="str">
        <f>"2026-07-29 14:20:36"</f>
        <v>2026-07-29 14:20:36</v>
      </c>
      <c r="L1219" s="1" t="str">
        <f>"2023-10-20 13:24:34"</f>
        <v>2023-10-20 13:24:34</v>
      </c>
      <c r="M1219" s="1" t="s">
        <v>45</v>
      </c>
      <c r="N1219" s="1" t="s">
        <v>38</v>
      </c>
      <c r="O1219" s="1" t="s">
        <v>46</v>
      </c>
    </row>
    <row r="1220" spans="2:15" x14ac:dyDescent="0.3">
      <c r="B1220" s="1" t="s">
        <v>24</v>
      </c>
      <c r="C1220" s="1" t="str">
        <f t="shared" si="58"/>
        <v>5-2차</v>
      </c>
      <c r="D1220" s="1" t="str">
        <f>"0327P7615M"</f>
        <v>0327P7615M</v>
      </c>
      <c r="E1220" s="1" t="s">
        <v>10</v>
      </c>
      <c r="F1220" s="1" t="str">
        <f>"fde3:102:1430:5100:0:0:0:27"</f>
        <v>fde3:102:1430:5100:0:0:0:27</v>
      </c>
      <c r="G1220" s="1" t="str">
        <f>"0327P761"</f>
        <v>0327P761</v>
      </c>
      <c r="H1220" s="1" t="str">
        <f>"시립간 18L11"</f>
        <v>시립간 18L11</v>
      </c>
      <c r="I1220" s="1" t="s">
        <v>15</v>
      </c>
      <c r="J1220" s="1" t="str">
        <f>"40/40"</f>
        <v>40/40</v>
      </c>
      <c r="K1220" s="1" t="str">
        <f>"2026-07-29 14:20:15"</f>
        <v>2026-07-29 14:20:15</v>
      </c>
      <c r="L1220" s="1" t="str">
        <f>"2023-09-27 09:46:17"</f>
        <v>2023-09-27 09:46:17</v>
      </c>
      <c r="M1220" s="1" t="s">
        <v>45</v>
      </c>
      <c r="N1220" s="1" t="s">
        <v>38</v>
      </c>
      <c r="O1220" s="1" t="s">
        <v>46</v>
      </c>
    </row>
    <row r="1221" spans="2:15" x14ac:dyDescent="0.3">
      <c r="B1221" s="1" t="s">
        <v>24</v>
      </c>
      <c r="C1221" s="1" t="str">
        <f t="shared" si="58"/>
        <v>5-2차</v>
      </c>
      <c r="D1221" s="1" t="str">
        <f>"0327P7815S"</f>
        <v>0327P7815S</v>
      </c>
      <c r="E1221" s="1" t="s">
        <v>10</v>
      </c>
      <c r="F1221" s="1" t="str">
        <f>"fde3:102:1430:5100:0:0:0:f"</f>
        <v>fde3:102:1430:5100:0:0:0:f</v>
      </c>
      <c r="G1221" s="1" t="str">
        <f>"0327P781"</f>
        <v>0327P781</v>
      </c>
      <c r="H1221" s="1" t="str">
        <f>"시립간 18L8H1"</f>
        <v>시립간 18L8H1</v>
      </c>
      <c r="I1221" s="1" t="s">
        <v>15</v>
      </c>
      <c r="J1221" s="1" t="str">
        <f>"136/136"</f>
        <v>136/136</v>
      </c>
      <c r="K1221" s="1" t="str">
        <f>"2026-07-29 14:20:54"</f>
        <v>2026-07-29 14:20:54</v>
      </c>
      <c r="L1221" s="1" t="str">
        <f>"2023-10-20 10:39:01"</f>
        <v>2023-10-20 10:39:01</v>
      </c>
      <c r="M1221" s="1" t="s">
        <v>45</v>
      </c>
      <c r="N1221" s="1" t="s">
        <v>38</v>
      </c>
      <c r="O1221" s="1" t="s">
        <v>46</v>
      </c>
    </row>
    <row r="1222" spans="2:15" x14ac:dyDescent="0.3">
      <c r="B1222" s="1" t="s">
        <v>24</v>
      </c>
      <c r="C1222" s="1" t="str">
        <f t="shared" si="58"/>
        <v>5-2차</v>
      </c>
      <c r="D1222" s="1" t="str">
        <f>"0327P7925S"</f>
        <v>0327P7925S</v>
      </c>
      <c r="E1222" s="1" t="s">
        <v>10</v>
      </c>
      <c r="F1222" s="1" t="str">
        <f>"fde3:102:1430:5100:0:0:0:a"</f>
        <v>fde3:102:1430:5100:0:0:0:a</v>
      </c>
      <c r="G1222" s="1" t="str">
        <f>"0327P792"</f>
        <v>0327P792</v>
      </c>
      <c r="H1222" s="1" t="str">
        <f>"시립간 18L6"</f>
        <v>시립간 18L6</v>
      </c>
      <c r="I1222" s="1" t="s">
        <v>15</v>
      </c>
      <c r="J1222" s="1" t="str">
        <f>"38/38"</f>
        <v>38/38</v>
      </c>
      <c r="K1222" s="1" t="str">
        <f>"2026-07-29 14:20:36"</f>
        <v>2026-07-29 14:20:36</v>
      </c>
      <c r="L1222" s="1" t="str">
        <f>"2023-10-20 09:18:39"</f>
        <v>2023-10-20 09:18:39</v>
      </c>
      <c r="M1222" s="1" t="s">
        <v>45</v>
      </c>
      <c r="N1222" s="1" t="s">
        <v>38</v>
      </c>
      <c r="O1222" s="1" t="s">
        <v>46</v>
      </c>
    </row>
    <row r="1223" spans="2:15" x14ac:dyDescent="0.3">
      <c r="B1223" s="1" t="s">
        <v>24</v>
      </c>
      <c r="C1223" s="1" t="str">
        <f t="shared" si="58"/>
        <v>5-2차</v>
      </c>
      <c r="D1223" s="1" t="str">
        <f>"0327P7935M"</f>
        <v>0327P7935M</v>
      </c>
      <c r="E1223" s="1" t="s">
        <v>10</v>
      </c>
      <c r="F1223" s="1" t="str">
        <f>"fde3:102:1430:5100:0:0:0:10"</f>
        <v>fde3:102:1430:5100:0:0:0:10</v>
      </c>
      <c r="G1223" s="1" t="str">
        <f>"0327P793"</f>
        <v>0327P793</v>
      </c>
      <c r="H1223" s="1" t="str">
        <f>"시립간 18L7"</f>
        <v>시립간 18L7</v>
      </c>
      <c r="I1223" s="1" t="s">
        <v>15</v>
      </c>
      <c r="J1223" s="1" t="str">
        <f>"149/149"</f>
        <v>149/149</v>
      </c>
      <c r="K1223" s="1" t="str">
        <f>"2026-07-29 14:20:36"</f>
        <v>2026-07-29 14:20:36</v>
      </c>
      <c r="L1223" s="1" t="str">
        <f>"2023-10-13 18:27:47"</f>
        <v>2023-10-13 18:27:47</v>
      </c>
      <c r="M1223" s="1" t="s">
        <v>45</v>
      </c>
      <c r="N1223" s="1" t="s">
        <v>38</v>
      </c>
      <c r="O1223" s="1" t="s">
        <v>46</v>
      </c>
    </row>
    <row r="1224" spans="2:15" x14ac:dyDescent="0.3">
      <c r="B1224" s="1" t="s">
        <v>24</v>
      </c>
      <c r="C1224" s="1" t="str">
        <f t="shared" si="58"/>
        <v>5-2차</v>
      </c>
      <c r="D1224" s="1" t="str">
        <f>"0327P7955S"</f>
        <v>0327P7955S</v>
      </c>
      <c r="E1224" s="1" t="s">
        <v>10</v>
      </c>
      <c r="F1224" s="1" t="str">
        <f>"fde3:102:1430:5100:0:0:0:b"</f>
        <v>fde3:102:1430:5100:0:0:0:b</v>
      </c>
      <c r="G1224" s="1" t="str">
        <f>"0327P795"</f>
        <v>0327P795</v>
      </c>
      <c r="H1224" s="1" t="str">
        <f>"시립간 18L6L1"</f>
        <v>시립간 18L6L1</v>
      </c>
      <c r="I1224" s="1" t="s">
        <v>15</v>
      </c>
      <c r="J1224" s="1" t="str">
        <f>"42/42"</f>
        <v>42/42</v>
      </c>
      <c r="K1224" s="1" t="str">
        <f>"2026-07-29 14:20:36"</f>
        <v>2026-07-29 14:20:36</v>
      </c>
      <c r="L1224" s="1" t="str">
        <f>"2023-10-20 09:30:43"</f>
        <v>2023-10-20 09:30:43</v>
      </c>
      <c r="M1224" s="1" t="s">
        <v>45</v>
      </c>
      <c r="N1224" s="1" t="s">
        <v>38</v>
      </c>
      <c r="O1224" s="1" t="s">
        <v>46</v>
      </c>
    </row>
    <row r="1225" spans="2:15" x14ac:dyDescent="0.3">
      <c r="B1225" s="1" t="s">
        <v>24</v>
      </c>
      <c r="C1225" s="1" t="str">
        <f t="shared" si="58"/>
        <v>5-2차</v>
      </c>
      <c r="D1225" s="1" t="str">
        <f>"0327P8545S"</f>
        <v>0327P8545S</v>
      </c>
      <c r="E1225" s="1" t="s">
        <v>10</v>
      </c>
      <c r="F1225" s="1" t="str">
        <f>"fde3:102:1430:5100:0:0:0:15"</f>
        <v>fde3:102:1430:5100:0:0:0:15</v>
      </c>
      <c r="G1225" s="1" t="str">
        <f>"0327P854"</f>
        <v>0327P854</v>
      </c>
      <c r="H1225" s="1" t="str">
        <f>"시립간 18L11L4"</f>
        <v>시립간 18L11L4</v>
      </c>
      <c r="I1225" s="1" t="s">
        <v>15</v>
      </c>
      <c r="J1225" s="1" t="str">
        <f>"123/123"</f>
        <v>123/123</v>
      </c>
      <c r="K1225" s="1" t="str">
        <f>"2026-07-29 14:21:12"</f>
        <v>2026-07-29 14:21:12</v>
      </c>
      <c r="L1225" s="1" t="str">
        <f>"2023-11-05 08:37:03"</f>
        <v>2023-11-05 08:37:03</v>
      </c>
      <c r="M1225" s="1" t="s">
        <v>45</v>
      </c>
      <c r="N1225" s="1" t="s">
        <v>38</v>
      </c>
      <c r="O1225" s="1" t="s">
        <v>46</v>
      </c>
    </row>
    <row r="1226" spans="2:15" x14ac:dyDescent="0.3">
      <c r="B1226" s="1" t="s">
        <v>24</v>
      </c>
      <c r="C1226" s="1" t="str">
        <f>"5-1차"</f>
        <v>5-1차</v>
      </c>
      <c r="D1226" s="1" t="str">
        <f>"0327P8815S"</f>
        <v>0327P8815S</v>
      </c>
      <c r="E1226" s="1" t="s">
        <v>10</v>
      </c>
      <c r="F1226" s="1" t="str">
        <f>"fde3:102:1430:5100:0:0:0:3"</f>
        <v>fde3:102:1430:5100:0:0:0:3</v>
      </c>
      <c r="G1226" s="1" t="str">
        <f>"0327P881"</f>
        <v>0327P881</v>
      </c>
      <c r="H1226" s="1" t="str">
        <f>"시립간 18L8L1"</f>
        <v>시립간 18L8L1</v>
      </c>
      <c r="I1226" s="1" t="s">
        <v>15</v>
      </c>
      <c r="J1226" s="1" t="str">
        <f>"43/43"</f>
        <v>43/43</v>
      </c>
      <c r="K1226" s="1" t="str">
        <f>"2026-07-29 14:20:55"</f>
        <v>2026-07-29 14:20:55</v>
      </c>
      <c r="L1226" s="1" t="str">
        <f>"2022-11-08 09:27:55"</f>
        <v>2022-11-08 09:27:55</v>
      </c>
      <c r="M1226" s="1" t="s">
        <v>45</v>
      </c>
      <c r="N1226" s="1" t="s">
        <v>38</v>
      </c>
      <c r="O1226" s="1" t="s">
        <v>46</v>
      </c>
    </row>
    <row r="1227" spans="2:15" x14ac:dyDescent="0.3">
      <c r="B1227" s="1" t="s">
        <v>24</v>
      </c>
      <c r="C1227" s="1" t="str">
        <f>"5-2차"</f>
        <v>5-2차</v>
      </c>
      <c r="D1227" s="1" t="str">
        <f>"0327P9515S"</f>
        <v>0327P9515S</v>
      </c>
      <c r="E1227" s="1" t="s">
        <v>10</v>
      </c>
      <c r="F1227" s="1" t="str">
        <f>"fde3:102:1430:5100:0:0:0:17"</f>
        <v>fde3:102:1430:5100:0:0:0:17</v>
      </c>
      <c r="G1227" s="1" t="str">
        <f>"0327P951"</f>
        <v>0327P951</v>
      </c>
      <c r="H1227" s="1" t="str">
        <f>"시립간 18L11L5"</f>
        <v>시립간 18L11L5</v>
      </c>
      <c r="I1227" s="1" t="s">
        <v>15</v>
      </c>
      <c r="J1227" s="1" t="str">
        <f>"84/84"</f>
        <v>84/84</v>
      </c>
      <c r="K1227" s="1" t="str">
        <f>"2026-07-29 14:20:37"</f>
        <v>2026-07-29 14:20:37</v>
      </c>
      <c r="L1227" s="1" t="str">
        <f>"2023-10-24 10:22:05"</f>
        <v>2023-10-24 10:22:05</v>
      </c>
      <c r="M1227" s="1" t="s">
        <v>45</v>
      </c>
      <c r="N1227" s="1" t="s">
        <v>38</v>
      </c>
      <c r="O1227" s="1" t="s">
        <v>46</v>
      </c>
    </row>
    <row r="1228" spans="2:15" x14ac:dyDescent="0.3">
      <c r="B1228" s="1" t="s">
        <v>24</v>
      </c>
      <c r="C1228" s="1" t="str">
        <f>"5-2차"</f>
        <v>5-2차</v>
      </c>
      <c r="D1228" s="1" t="str">
        <f>"0327P9525S"</f>
        <v>0327P9525S</v>
      </c>
      <c r="E1228" s="1" t="s">
        <v>10</v>
      </c>
      <c r="F1228" s="1" t="str">
        <f>"fde3:102:1430:5100:0:0:0:16"</f>
        <v>fde3:102:1430:5100:0:0:0:16</v>
      </c>
      <c r="G1228" s="1" t="str">
        <f>"0327P952"</f>
        <v>0327P952</v>
      </c>
      <c r="H1228" s="1" t="str">
        <f>"시립간 18L11L6"</f>
        <v>시립간 18L11L6</v>
      </c>
      <c r="I1228" s="1" t="s">
        <v>15</v>
      </c>
      <c r="J1228" s="1" t="str">
        <f>"115/115"</f>
        <v>115/115</v>
      </c>
      <c r="K1228" s="1" t="str">
        <f>"2026-07-29 14:21:13"</f>
        <v>2026-07-29 14:21:13</v>
      </c>
      <c r="L1228" s="1" t="str">
        <f>"2023-10-24 10:00:49"</f>
        <v>2023-10-24 10:00:49</v>
      </c>
      <c r="M1228" s="1" t="s">
        <v>45</v>
      </c>
      <c r="N1228" s="1" t="s">
        <v>38</v>
      </c>
      <c r="O1228" s="1" t="s">
        <v>46</v>
      </c>
    </row>
    <row r="1229" spans="2:15" x14ac:dyDescent="0.3">
      <c r="B1229" s="1" t="s">
        <v>24</v>
      </c>
      <c r="C1229" s="1" t="str">
        <f>"5-2차"</f>
        <v>5-2차</v>
      </c>
      <c r="D1229" s="1" t="str">
        <f>"0327P9745M"</f>
        <v>0327P9745M</v>
      </c>
      <c r="E1229" s="1" t="s">
        <v>10</v>
      </c>
      <c r="F1229" s="1" t="str">
        <f>"fde1:103:4:58df:0:0:0:2"</f>
        <v>fde1:103:4:58df:0:0:0:2</v>
      </c>
      <c r="G1229" s="1" t="str">
        <f>"0327P974"</f>
        <v>0327P974</v>
      </c>
      <c r="H1229" s="1" t="str">
        <f>"시립간 18L8L3R2"</f>
        <v>시립간 18L8L3R2</v>
      </c>
      <c r="I1229" s="1" t="s">
        <v>15</v>
      </c>
      <c r="J1229" s="1" t="str">
        <f>"68/68"</f>
        <v>68/68</v>
      </c>
      <c r="K1229" s="1" t="str">
        <f>"2026-07-29 14:20:38"</f>
        <v>2026-07-29 14:20:38</v>
      </c>
      <c r="L1229" s="1" t="str">
        <f>"2023-09-14 11:35:34"</f>
        <v>2023-09-14 11:35:34</v>
      </c>
      <c r="M1229" s="1" t="s">
        <v>4</v>
      </c>
      <c r="N1229" s="1" t="s">
        <v>38</v>
      </c>
      <c r="O1229" s="1" t="s">
        <v>46</v>
      </c>
    </row>
    <row r="1230" spans="2:15" x14ac:dyDescent="0.3">
      <c r="B1230" s="1" t="s">
        <v>24</v>
      </c>
      <c r="C1230" s="1" t="str">
        <f>"5-2차"</f>
        <v>5-2차</v>
      </c>
      <c r="D1230" s="1" t="str">
        <f>"0327P9835S"</f>
        <v>0327P9835S</v>
      </c>
      <c r="E1230" s="1" t="s">
        <v>10</v>
      </c>
      <c r="F1230" s="1" t="str">
        <f>"fde3:102:1430:5100:0:0:0:11"</f>
        <v>fde3:102:1430:5100:0:0:0:11</v>
      </c>
      <c r="G1230" s="1" t="str">
        <f>"0327P983"</f>
        <v>0327P983</v>
      </c>
      <c r="H1230" s="1" t="str">
        <f>"시립간 18L8L4"</f>
        <v>시립간 18L8L4</v>
      </c>
      <c r="I1230" s="1" t="s">
        <v>15</v>
      </c>
      <c r="J1230" s="1" t="str">
        <f>"117/117"</f>
        <v>117/117</v>
      </c>
      <c r="K1230" s="1" t="str">
        <f>"2026-07-29 14:20:37"</f>
        <v>2026-07-29 14:20:37</v>
      </c>
      <c r="L1230" s="1" t="str">
        <f>"2023-10-24 09:22:16"</f>
        <v>2023-10-24 09:22:16</v>
      </c>
      <c r="M1230" s="1" t="s">
        <v>45</v>
      </c>
      <c r="N1230" s="1" t="s">
        <v>38</v>
      </c>
      <c r="O1230" s="1" t="s">
        <v>46</v>
      </c>
    </row>
    <row r="1231" spans="2:15" x14ac:dyDescent="0.3">
      <c r="B1231" s="1" t="s">
        <v>24</v>
      </c>
      <c r="C1231" s="1" t="str">
        <f>"4차"</f>
        <v>4차</v>
      </c>
      <c r="D1231" s="1" t="str">
        <f>"0327Q52244"</f>
        <v>0327Q52244</v>
      </c>
      <c r="E1231" s="1" t="s">
        <v>10</v>
      </c>
      <c r="F1231" s="1" t="str">
        <f>"10.10.42.250"</f>
        <v>10.10.42.250</v>
      </c>
      <c r="G1231" s="1" t="str">
        <f>"0327Q522"</f>
        <v>0327Q522</v>
      </c>
      <c r="H1231" s="1" t="str">
        <f>"배봉간 24R6"</f>
        <v>배봉간 24R6</v>
      </c>
      <c r="I1231" s="1" t="s">
        <v>8</v>
      </c>
      <c r="J1231" s="1" t="str">
        <f>"16/22"</f>
        <v>16/22</v>
      </c>
      <c r="K1231" s="1" t="str">
        <f>"2026-07-29 13:18:02"</f>
        <v>2026-07-29 13:18:02</v>
      </c>
      <c r="L1231" s="1" t="str">
        <f>"2019-10-28 16:53:05"</f>
        <v>2019-10-28 16:53:05</v>
      </c>
      <c r="M1231" s="1" t="s">
        <v>1</v>
      </c>
      <c r="N1231" s="1" t="s">
        <v>38</v>
      </c>
      <c r="O1231" s="1" t="s">
        <v>46</v>
      </c>
    </row>
    <row r="1232" spans="2:15" x14ac:dyDescent="0.3">
      <c r="B1232" s="1" t="s">
        <v>24</v>
      </c>
      <c r="C1232" s="1" t="str">
        <f>"4차"</f>
        <v>4차</v>
      </c>
      <c r="D1232" s="1" t="str">
        <f>"0327Q53144"</f>
        <v>0327Q53144</v>
      </c>
      <c r="E1232" s="1" t="s">
        <v>10</v>
      </c>
      <c r="F1232" s="1" t="str">
        <f>"10.10.113.74"</f>
        <v>10.10.113.74</v>
      </c>
      <c r="G1232" s="1" t="str">
        <f>"0327Q531"</f>
        <v>0327Q531</v>
      </c>
      <c r="H1232" s="1" t="str">
        <f>"배봉간 24R5"</f>
        <v>배봉간 24R5</v>
      </c>
      <c r="I1232" s="1" t="s">
        <v>8</v>
      </c>
      <c r="J1232" s="1" t="str">
        <f>"24/24"</f>
        <v>24/24</v>
      </c>
      <c r="K1232" s="1" t="str">
        <f>"2026-07-29 13:18:02"</f>
        <v>2026-07-29 13:18:02</v>
      </c>
      <c r="L1232" s="1" t="str">
        <f>"2024-05-28 18:00:24"</f>
        <v>2024-05-28 18:00:24</v>
      </c>
      <c r="M1232" s="1" t="s">
        <v>1</v>
      </c>
      <c r="N1232" s="1" t="s">
        <v>38</v>
      </c>
      <c r="O1232" s="1" t="s">
        <v>46</v>
      </c>
    </row>
    <row r="1233" spans="2:15" x14ac:dyDescent="0.3">
      <c r="B1233" s="1" t="s">
        <v>24</v>
      </c>
      <c r="C1233" s="1" t="str">
        <f>"3차"</f>
        <v>3차</v>
      </c>
      <c r="D1233" s="1" t="str">
        <f>"0327Q54139"</f>
        <v>0327Q54139</v>
      </c>
      <c r="E1233" s="1" t="s">
        <v>10</v>
      </c>
      <c r="F1233" s="1" t="str">
        <f>"10.89.247.194"</f>
        <v>10.89.247.194</v>
      </c>
      <c r="G1233" s="1" t="str">
        <f>"0327Q541"</f>
        <v>0327Q541</v>
      </c>
      <c r="H1233" s="1" t="str">
        <f>"배봉간 24R4"</f>
        <v>배봉간 24R4</v>
      </c>
      <c r="I1233" s="1" t="s">
        <v>8</v>
      </c>
      <c r="J1233" s="1" t="str">
        <f>"41/41"</f>
        <v>41/41</v>
      </c>
      <c r="K1233" s="1" t="str">
        <f>"2026-07-29 13:18:01"</f>
        <v>2026-07-29 13:18:01</v>
      </c>
      <c r="L1233" s="1" t="str">
        <f>"2018-04-11 11:51:58"</f>
        <v>2018-04-11 11:51:58</v>
      </c>
      <c r="M1233" s="1" t="s">
        <v>45</v>
      </c>
      <c r="N1233" s="1" t="s">
        <v>38</v>
      </c>
      <c r="O1233" s="1" t="s">
        <v>46</v>
      </c>
    </row>
    <row r="1234" spans="2:15" x14ac:dyDescent="0.3">
      <c r="B1234" s="1" t="s">
        <v>24</v>
      </c>
      <c r="C1234" s="1" t="str">
        <f t="shared" ref="C1234:C1239" si="59">"4차"</f>
        <v>4차</v>
      </c>
      <c r="D1234" s="1" t="str">
        <f>"0327Q61244"</f>
        <v>0327Q61244</v>
      </c>
      <c r="E1234" s="1" t="s">
        <v>10</v>
      </c>
      <c r="F1234" s="1" t="str">
        <f>"10.10.52.26"</f>
        <v>10.10.52.26</v>
      </c>
      <c r="G1234" s="1" t="str">
        <f>"0327Q612"</f>
        <v>0327Q612</v>
      </c>
      <c r="H1234" s="1" t="str">
        <f>"배봉간 29H1R3"</f>
        <v>배봉간 29H1R3</v>
      </c>
      <c r="I1234" s="1" t="s">
        <v>8</v>
      </c>
      <c r="J1234" s="1" t="str">
        <f>"31/38"</f>
        <v>31/38</v>
      </c>
      <c r="K1234" s="1" t="str">
        <f>"2026-07-29 13:18:02"</f>
        <v>2026-07-29 13:18:02</v>
      </c>
      <c r="L1234" s="1" t="str">
        <f>"2019-10-28 15:22:21"</f>
        <v>2019-10-28 15:22:21</v>
      </c>
      <c r="M1234" s="1" t="s">
        <v>1</v>
      </c>
      <c r="N1234" s="1" t="s">
        <v>38</v>
      </c>
      <c r="O1234" s="1" t="s">
        <v>46</v>
      </c>
    </row>
    <row r="1235" spans="2:15" x14ac:dyDescent="0.3">
      <c r="B1235" s="1" t="s">
        <v>24</v>
      </c>
      <c r="C1235" s="1" t="str">
        <f t="shared" si="59"/>
        <v>4차</v>
      </c>
      <c r="D1235" s="1" t="str">
        <f>"0327Q64144"</f>
        <v>0327Q64144</v>
      </c>
      <c r="E1235" s="1" t="s">
        <v>10</v>
      </c>
      <c r="F1235" s="1" t="str">
        <f>"10.10.42.242"</f>
        <v>10.10.42.242</v>
      </c>
      <c r="G1235" s="1" t="str">
        <f>"0327Q641"</f>
        <v>0327Q641</v>
      </c>
      <c r="H1235" s="1" t="str">
        <f>"배봉간 24R3"</f>
        <v>배봉간 24R3</v>
      </c>
      <c r="I1235" s="1" t="s">
        <v>8</v>
      </c>
      <c r="J1235" s="1" t="str">
        <f>"18/18"</f>
        <v>18/18</v>
      </c>
      <c r="K1235" s="1" t="str">
        <f>"2026-07-29 13:18:02"</f>
        <v>2026-07-29 13:18:02</v>
      </c>
      <c r="L1235" s="1" t="str">
        <f>"2019-10-28 16:53:05"</f>
        <v>2019-10-28 16:53:05</v>
      </c>
      <c r="M1235" s="1" t="s">
        <v>1</v>
      </c>
      <c r="N1235" s="1" t="s">
        <v>38</v>
      </c>
      <c r="O1235" s="1" t="s">
        <v>46</v>
      </c>
    </row>
    <row r="1236" spans="2:15" x14ac:dyDescent="0.3">
      <c r="B1236" s="1" t="s">
        <v>24</v>
      </c>
      <c r="C1236" s="1" t="str">
        <f t="shared" si="59"/>
        <v>4차</v>
      </c>
      <c r="D1236" s="1" t="str">
        <f>"0327Q65144"</f>
        <v>0327Q65144</v>
      </c>
      <c r="E1236" s="1" t="s">
        <v>10</v>
      </c>
      <c r="F1236" s="1" t="str">
        <f>"10.10.42.234"</f>
        <v>10.10.42.234</v>
      </c>
      <c r="G1236" s="1" t="str">
        <f>"0327Q651"</f>
        <v>0327Q651</v>
      </c>
      <c r="H1236" s="1" t="str">
        <f>"배봉간 24R2R1"</f>
        <v>배봉간 24R2R1</v>
      </c>
      <c r="I1236" s="1" t="s">
        <v>8</v>
      </c>
      <c r="J1236" s="1" t="str">
        <f>"33/33"</f>
        <v>33/33</v>
      </c>
      <c r="K1236" s="1" t="str">
        <f>"2026-07-29 13:18:02"</f>
        <v>2026-07-29 13:18:02</v>
      </c>
      <c r="L1236" s="1" t="str">
        <f>"2019-10-28 16:47:55"</f>
        <v>2019-10-28 16:47:55</v>
      </c>
      <c r="M1236" s="1" t="s">
        <v>1</v>
      </c>
      <c r="N1236" s="1" t="s">
        <v>38</v>
      </c>
      <c r="O1236" s="1" t="s">
        <v>46</v>
      </c>
    </row>
    <row r="1237" spans="2:15" x14ac:dyDescent="0.3">
      <c r="B1237" s="1" t="s">
        <v>24</v>
      </c>
      <c r="C1237" s="1" t="str">
        <f t="shared" si="59"/>
        <v>4차</v>
      </c>
      <c r="D1237" s="1" t="str">
        <f>"0327Q66141"</f>
        <v>0327Q66141</v>
      </c>
      <c r="E1237" s="1" t="s">
        <v>10</v>
      </c>
      <c r="F1237" s="1" t="str">
        <f>"10.14.5.115"</f>
        <v>10.14.5.115</v>
      </c>
      <c r="G1237" s="1" t="str">
        <f>"0327Q661"</f>
        <v>0327Q661</v>
      </c>
      <c r="H1237" s="1" t="str">
        <f>"배봉간 24R2R2"</f>
        <v>배봉간 24R2R2</v>
      </c>
      <c r="I1237" s="1" t="s">
        <v>17</v>
      </c>
      <c r="J1237" s="1" t="str">
        <f>"3/3"</f>
        <v>3/3</v>
      </c>
      <c r="K1237" s="1" t="str">
        <f>"2026-07-29 13:18:03"</f>
        <v>2026-07-29 13:18:03</v>
      </c>
      <c r="L1237" s="1" t="str">
        <f>"2021-07-15 16:43:59"</f>
        <v>2021-07-15 16:43:59</v>
      </c>
      <c r="M1237" s="1" t="s">
        <v>3</v>
      </c>
      <c r="N1237" s="1" t="s">
        <v>38</v>
      </c>
      <c r="O1237" s="1" t="s">
        <v>46</v>
      </c>
    </row>
    <row r="1238" spans="2:15" x14ac:dyDescent="0.3">
      <c r="B1238" s="1" t="s">
        <v>24</v>
      </c>
      <c r="C1238" s="1" t="str">
        <f t="shared" si="59"/>
        <v>4차</v>
      </c>
      <c r="D1238" s="1" t="str">
        <f>"0327Q72544"</f>
        <v>0327Q72544</v>
      </c>
      <c r="E1238" s="1" t="s">
        <v>10</v>
      </c>
      <c r="F1238" s="1" t="str">
        <f>"10.10.52.18"</f>
        <v>10.10.52.18</v>
      </c>
      <c r="G1238" s="1" t="str">
        <f>"0327Q725"</f>
        <v>0327Q725</v>
      </c>
      <c r="H1238" s="1" t="str">
        <f>"배봉간 29H1R1"</f>
        <v>배봉간 29H1R1</v>
      </c>
      <c r="I1238" s="1" t="s">
        <v>8</v>
      </c>
      <c r="J1238" s="1" t="str">
        <f>"28/28"</f>
        <v>28/28</v>
      </c>
      <c r="K1238" s="1" t="str">
        <f>"2026-07-29 13:18:02"</f>
        <v>2026-07-29 13:18:02</v>
      </c>
      <c r="L1238" s="1" t="str">
        <f>"2019-10-28 15:47:50"</f>
        <v>2019-10-28 15:47:50</v>
      </c>
      <c r="M1238" s="1" t="s">
        <v>1</v>
      </c>
      <c r="N1238" s="1" t="s">
        <v>38</v>
      </c>
      <c r="O1238" s="1" t="s">
        <v>46</v>
      </c>
    </row>
    <row r="1239" spans="2:15" x14ac:dyDescent="0.3">
      <c r="B1239" s="1" t="s">
        <v>24</v>
      </c>
      <c r="C1239" s="1" t="str">
        <f t="shared" si="59"/>
        <v>4차</v>
      </c>
      <c r="D1239" s="1" t="str">
        <f>"0327Q73241"</f>
        <v>0327Q73241</v>
      </c>
      <c r="E1239" s="1" t="s">
        <v>10</v>
      </c>
      <c r="F1239" s="1" t="str">
        <f>"10.14.9.48"</f>
        <v>10.14.9.48</v>
      </c>
      <c r="G1239" s="1" t="str">
        <f>"0327Q732"</f>
        <v>0327Q732</v>
      </c>
      <c r="H1239" s="1" t="str">
        <f>"배봉간 24R2L2"</f>
        <v>배봉간 24R2L2</v>
      </c>
      <c r="I1239" s="1" t="s">
        <v>17</v>
      </c>
      <c r="J1239" s="1" t="str">
        <f>"8/17"</f>
        <v>8/17</v>
      </c>
      <c r="K1239" s="1" t="str">
        <f>"2026-07-29 13:18:03"</f>
        <v>2026-07-29 13:18:03</v>
      </c>
      <c r="L1239" s="1" t="str">
        <f>"2021-07-15 16:42:20"</f>
        <v>2021-07-15 16:42:20</v>
      </c>
      <c r="M1239" s="1" t="s">
        <v>3</v>
      </c>
      <c r="N1239" s="1" t="s">
        <v>38</v>
      </c>
      <c r="O1239" s="1" t="s">
        <v>46</v>
      </c>
    </row>
    <row r="1240" spans="2:15" x14ac:dyDescent="0.3">
      <c r="B1240" s="1" t="s">
        <v>24</v>
      </c>
      <c r="C1240" s="1" t="str">
        <f>"5-2차"</f>
        <v>5-2차</v>
      </c>
      <c r="D1240" s="1" t="str">
        <f>"0327R0125S"</f>
        <v>0327R0125S</v>
      </c>
      <c r="E1240" s="1" t="s">
        <v>10</v>
      </c>
      <c r="F1240" s="1" t="str">
        <f>"fde1:103:4:58c3:0:0:0:2"</f>
        <v>fde1:103:4:58c3:0:0:0:2</v>
      </c>
      <c r="G1240" s="1" t="str">
        <f>"0327R012"</f>
        <v>0327R012</v>
      </c>
      <c r="H1240" s="1" t="str">
        <f>"전농간 20L3L8L4"</f>
        <v>전농간 20L3L8L4</v>
      </c>
      <c r="I1240" s="1" t="s">
        <v>15</v>
      </c>
      <c r="J1240" s="1" t="str">
        <f>"33/33"</f>
        <v>33/33</v>
      </c>
      <c r="K1240" s="1" t="str">
        <f>"2026-07-29 14:20:27"</f>
        <v>2026-07-29 14:20:27</v>
      </c>
      <c r="L1240" s="1" t="str">
        <f>"2023-09-19 15:09:16"</f>
        <v>2023-09-19 15:09:16</v>
      </c>
      <c r="M1240" s="1" t="s">
        <v>4</v>
      </c>
      <c r="N1240" s="1" t="s">
        <v>38</v>
      </c>
      <c r="O1240" s="1" t="s">
        <v>46</v>
      </c>
    </row>
    <row r="1241" spans="2:15" x14ac:dyDescent="0.3">
      <c r="B1241" s="1" t="s">
        <v>24</v>
      </c>
      <c r="C1241" s="1" t="str">
        <f>"1차"</f>
        <v>1차</v>
      </c>
      <c r="D1241" s="1" t="str">
        <f>"0327R01400"</f>
        <v>0327R01400</v>
      </c>
      <c r="E1241" s="1" t="s">
        <v>10</v>
      </c>
      <c r="F1241" s="1" t="str">
        <f>"10.89.245.163"</f>
        <v>10.89.245.163</v>
      </c>
      <c r="G1241" s="1" t="str">
        <f>"0327R014"</f>
        <v>0327R014</v>
      </c>
      <c r="H1241" s="1" t="str">
        <f>"전농간 18L4R1"</f>
        <v>전농간 18L4R1</v>
      </c>
      <c r="I1241" s="1" t="s">
        <v>8</v>
      </c>
      <c r="J1241" s="1" t="str">
        <f>"30/30"</f>
        <v>30/30</v>
      </c>
      <c r="K1241" s="1" t="str">
        <f>"2026-07-29 13:18:02"</f>
        <v>2026-07-29 13:18:02</v>
      </c>
      <c r="L1241" s="1" t="str">
        <f>"2014-10-01 10:40:32"</f>
        <v>2014-10-01 10:40:32</v>
      </c>
      <c r="M1241" s="1" t="s">
        <v>45</v>
      </c>
      <c r="N1241" s="1" t="s">
        <v>38</v>
      </c>
      <c r="O1241" s="1" t="s">
        <v>46</v>
      </c>
    </row>
    <row r="1242" spans="2:15" x14ac:dyDescent="0.3">
      <c r="B1242" s="1" t="s">
        <v>24</v>
      </c>
      <c r="C1242" s="1" t="str">
        <f>"4차"</f>
        <v>4차</v>
      </c>
      <c r="D1242" s="1" t="str">
        <f>"0327R11244"</f>
        <v>0327R11244</v>
      </c>
      <c r="E1242" s="1" t="s">
        <v>10</v>
      </c>
      <c r="F1242" s="1" t="str">
        <f>"10.89.245.162"</f>
        <v>10.89.245.162</v>
      </c>
      <c r="G1242" s="1" t="str">
        <f>"0327R112"</f>
        <v>0327R112</v>
      </c>
      <c r="H1242" s="1" t="str">
        <f>"전농간 20L3L8L3"</f>
        <v>전농간 20L3L8L3</v>
      </c>
      <c r="I1242" s="1" t="s">
        <v>8</v>
      </c>
      <c r="J1242" s="1" t="str">
        <f>"58/58"</f>
        <v>58/58</v>
      </c>
      <c r="K1242" s="1" t="str">
        <f>"2026-07-29 13:18:02"</f>
        <v>2026-07-29 13:18:02</v>
      </c>
      <c r="L1242" s="1" t="str">
        <f>"2023-09-12 17:37:02"</f>
        <v>2023-09-12 17:37:02</v>
      </c>
      <c r="M1242" s="1" t="s">
        <v>45</v>
      </c>
      <c r="N1242" s="1" t="s">
        <v>38</v>
      </c>
      <c r="O1242" s="1" t="s">
        <v>46</v>
      </c>
    </row>
    <row r="1243" spans="2:15" x14ac:dyDescent="0.3">
      <c r="B1243" s="1" t="s">
        <v>24</v>
      </c>
      <c r="C1243" s="1" t="str">
        <f>"5-2차"</f>
        <v>5-2차</v>
      </c>
      <c r="D1243" s="1" t="str">
        <f>"0327R2125S"</f>
        <v>0327R2125S</v>
      </c>
      <c r="E1243" s="1" t="s">
        <v>10</v>
      </c>
      <c r="F1243" s="1" t="str">
        <f>"fde1:103:4:58a8:0:0:0:2"</f>
        <v>fde1:103:4:58a8:0:0:0:2</v>
      </c>
      <c r="G1243" s="1" t="str">
        <f>"0327R212"</f>
        <v>0327R212</v>
      </c>
      <c r="H1243" s="1" t="str">
        <f>"전농간 20L3L7"</f>
        <v>전농간 20L3L7</v>
      </c>
      <c r="I1243" s="1" t="s">
        <v>15</v>
      </c>
      <c r="J1243" s="1" t="str">
        <f>"36/36"</f>
        <v>36/36</v>
      </c>
      <c r="K1243" s="1" t="str">
        <f>"2026-07-29 14:20:44"</f>
        <v>2026-07-29 14:20:44</v>
      </c>
      <c r="L1243" s="1" t="str">
        <f>"2023-09-20 09:30:58"</f>
        <v>2023-09-20 09:30:58</v>
      </c>
      <c r="M1243" s="1" t="s">
        <v>4</v>
      </c>
      <c r="N1243" s="1" t="s">
        <v>38</v>
      </c>
      <c r="O1243" s="1" t="s">
        <v>46</v>
      </c>
    </row>
    <row r="1244" spans="2:15" x14ac:dyDescent="0.3">
      <c r="B1244" s="1" t="s">
        <v>24</v>
      </c>
      <c r="C1244" s="1" t="str">
        <f>"1차"</f>
        <v>1차</v>
      </c>
      <c r="D1244" s="1" t="str">
        <f>"0327R22101"</f>
        <v>0327R22101</v>
      </c>
      <c r="E1244" s="1" t="s">
        <v>12</v>
      </c>
      <c r="F1244" s="1" t="str">
        <f>"10.12.132.81"</f>
        <v>10.12.132.81</v>
      </c>
      <c r="G1244" s="1" t="str">
        <f>"0327R221"</f>
        <v>0327R221</v>
      </c>
      <c r="H1244" s="1" t="str">
        <f>"전농간 20L3L9"</f>
        <v>전농간 20L3L9</v>
      </c>
      <c r="I1244" s="1" t="s">
        <v>8</v>
      </c>
      <c r="J1244" s="1" t="str">
        <f>"0/22"</f>
        <v>0/22</v>
      </c>
      <c r="K1244" s="1" t="str">
        <f>"2026-07-18 01:18:03"</f>
        <v>2026-07-18 01:18:03</v>
      </c>
      <c r="L1244" s="1" t="str">
        <f>"2014-09-18 16:26:18"</f>
        <v>2014-09-18 16:26:18</v>
      </c>
      <c r="M1244" s="1" t="s">
        <v>0</v>
      </c>
      <c r="N1244" s="1" t="s">
        <v>38</v>
      </c>
      <c r="O1244" s="1" t="s">
        <v>46</v>
      </c>
    </row>
    <row r="1245" spans="2:15" x14ac:dyDescent="0.3">
      <c r="B1245" s="1" t="s">
        <v>24</v>
      </c>
      <c r="C1245" s="1" t="str">
        <f>"5-2차"</f>
        <v>5-2차</v>
      </c>
      <c r="D1245" s="1" t="str">
        <f>"0327R3015M"</f>
        <v>0327R3015M</v>
      </c>
      <c r="E1245" s="1" t="s">
        <v>10</v>
      </c>
      <c r="F1245" s="1" t="str">
        <f>"fde1:103:4:57d1:0:0:0:2"</f>
        <v>fde1:103:4:57d1:0:0:0:2</v>
      </c>
      <c r="G1245" s="1" t="str">
        <f>"0327R301"</f>
        <v>0327R301</v>
      </c>
      <c r="H1245" s="1" t="str">
        <f>"전농간 20L7L3L1"</f>
        <v>전농간 20L7L3L1</v>
      </c>
      <c r="I1245" s="1" t="s">
        <v>15</v>
      </c>
      <c r="J1245" s="1" t="str">
        <f>"58/58"</f>
        <v>58/58</v>
      </c>
      <c r="K1245" s="1" t="str">
        <f>"2026-07-29 14:21:00"</f>
        <v>2026-07-29 14:21:00</v>
      </c>
      <c r="L1245" s="1" t="str">
        <f>"2023-09-20 09:34:15"</f>
        <v>2023-09-20 09:34:15</v>
      </c>
      <c r="M1245" s="1" t="s">
        <v>4</v>
      </c>
      <c r="N1245" s="1" t="s">
        <v>38</v>
      </c>
      <c r="O1245" s="1" t="s">
        <v>46</v>
      </c>
    </row>
    <row r="1246" spans="2:15" x14ac:dyDescent="0.3">
      <c r="B1246" s="1" t="s">
        <v>24</v>
      </c>
      <c r="C1246" s="1" t="str">
        <f>"5-2차"</f>
        <v>5-2차</v>
      </c>
      <c r="D1246" s="1" t="str">
        <f>"0327S7225M"</f>
        <v>0327S7225M</v>
      </c>
      <c r="E1246" s="1" t="s">
        <v>10</v>
      </c>
      <c r="F1246" s="1" t="str">
        <f>"fde1:103:4:5928:0:0:0:2"</f>
        <v>fde1:103:4:5928:0:0:0:2</v>
      </c>
      <c r="G1246" s="1" t="str">
        <f>"0327S722"</f>
        <v>0327S722</v>
      </c>
      <c r="H1246" s="1" t="str">
        <f>"배봉간 41R2"</f>
        <v>배봉간 41R2</v>
      </c>
      <c r="I1246" s="1" t="s">
        <v>15</v>
      </c>
      <c r="J1246" s="1" t="str">
        <f>"97/97"</f>
        <v>97/97</v>
      </c>
      <c r="K1246" s="1" t="str">
        <f>"2026-07-29 14:20:55"</f>
        <v>2026-07-29 14:20:55</v>
      </c>
      <c r="L1246" s="1" t="str">
        <f>"2023-09-20 09:34:40"</f>
        <v>2023-09-20 09:34:40</v>
      </c>
      <c r="M1246" s="1" t="s">
        <v>4</v>
      </c>
      <c r="N1246" s="1" t="s">
        <v>38</v>
      </c>
      <c r="O1246" s="1" t="s">
        <v>46</v>
      </c>
    </row>
    <row r="1247" spans="2:15" x14ac:dyDescent="0.3">
      <c r="B1247" s="1" t="s">
        <v>24</v>
      </c>
      <c r="C1247" s="1" t="str">
        <f>"5-2차"</f>
        <v>5-2차</v>
      </c>
      <c r="D1247" s="1" t="str">
        <f>"0327S8025M"</f>
        <v>0327S8025M</v>
      </c>
      <c r="E1247" s="1" t="s">
        <v>10</v>
      </c>
      <c r="F1247" s="1" t="str">
        <f>"fde1:103:4:581a:0:0:0:2"</f>
        <v>fde1:103:4:581a:0:0:0:2</v>
      </c>
      <c r="G1247" s="1" t="str">
        <f>"0327S802"</f>
        <v>0327S802</v>
      </c>
      <c r="H1247" s="1" t="str">
        <f>"배봉간 43R2"</f>
        <v>배봉간 43R2</v>
      </c>
      <c r="I1247" s="1" t="s">
        <v>15</v>
      </c>
      <c r="J1247" s="1" t="str">
        <f>"68/68"</f>
        <v>68/68</v>
      </c>
      <c r="K1247" s="1" t="str">
        <f>"2026-07-29 14:20:38"</f>
        <v>2026-07-29 14:20:38</v>
      </c>
      <c r="L1247" s="1" t="str">
        <f>"2023-09-20 09:52:27"</f>
        <v>2023-09-20 09:52:27</v>
      </c>
      <c r="M1247" s="1" t="s">
        <v>4</v>
      </c>
      <c r="N1247" s="1" t="s">
        <v>38</v>
      </c>
      <c r="O1247" s="1" t="s">
        <v>46</v>
      </c>
    </row>
    <row r="1248" spans="2:15" x14ac:dyDescent="0.3">
      <c r="B1248" s="1" t="s">
        <v>24</v>
      </c>
      <c r="C1248" s="1" t="str">
        <f>"5-1차"</f>
        <v>5-1차</v>
      </c>
      <c r="D1248" s="1" t="str">
        <f>"0327S8215S"</f>
        <v>0327S8215S</v>
      </c>
      <c r="E1248" s="1" t="s">
        <v>10</v>
      </c>
      <c r="F1248" s="1" t="str">
        <f>"fde2:104:0:141:0:0:0:2"</f>
        <v>fde2:104:0:141:0:0:0:2</v>
      </c>
      <c r="G1248" s="1" t="str">
        <f>"0327S821"</f>
        <v>0327S821</v>
      </c>
      <c r="H1248" s="1" t="str">
        <f>"배봉간 41R1"</f>
        <v>배봉간 41R1</v>
      </c>
      <c r="I1248" s="1" t="s">
        <v>15</v>
      </c>
      <c r="J1248" s="1" t="str">
        <f>"58/58"</f>
        <v>58/58</v>
      </c>
      <c r="K1248" s="1" t="str">
        <f>"2026-07-29 14:21:14"</f>
        <v>2026-07-29 14:21:14</v>
      </c>
      <c r="L1248" s="1" t="str">
        <f>"2022-10-14 14:08:42"</f>
        <v>2022-10-14 14:08:42</v>
      </c>
      <c r="M1248" s="1" t="s">
        <v>42</v>
      </c>
      <c r="N1248" s="1" t="s">
        <v>38</v>
      </c>
      <c r="O1248" s="1" t="s">
        <v>46</v>
      </c>
    </row>
    <row r="1249" spans="2:15" x14ac:dyDescent="0.3">
      <c r="B1249" s="1" t="s">
        <v>24</v>
      </c>
      <c r="C1249" s="1" t="str">
        <f>"5-2차"</f>
        <v>5-2차</v>
      </c>
      <c r="D1249" s="1" t="str">
        <f>"0327S8315M"</f>
        <v>0327S8315M</v>
      </c>
      <c r="E1249" s="1" t="s">
        <v>10</v>
      </c>
      <c r="F1249" s="1" t="str">
        <f>"fde1:103:4:5819:0:0:0:2"</f>
        <v>fde1:103:4:5819:0:0:0:2</v>
      </c>
      <c r="G1249" s="1" t="str">
        <f>"0327S831"</f>
        <v>0327S831</v>
      </c>
      <c r="H1249" s="1" t="str">
        <f>"배봉간 41R1R1"</f>
        <v>배봉간 41R1R1</v>
      </c>
      <c r="I1249" s="1" t="s">
        <v>15</v>
      </c>
      <c r="J1249" s="1" t="str">
        <f>"43/43"</f>
        <v>43/43</v>
      </c>
      <c r="K1249" s="1" t="str">
        <f>"2026-07-29 14:20:55"</f>
        <v>2026-07-29 14:20:55</v>
      </c>
      <c r="L1249" s="1" t="str">
        <f>"2023-09-20 09:53:39"</f>
        <v>2023-09-20 09:53:39</v>
      </c>
      <c r="M1249" s="1" t="s">
        <v>4</v>
      </c>
      <c r="N1249" s="1" t="s">
        <v>38</v>
      </c>
      <c r="O1249" s="1" t="s">
        <v>46</v>
      </c>
    </row>
    <row r="1250" spans="2:15" x14ac:dyDescent="0.3">
      <c r="B1250" s="1" t="s">
        <v>24</v>
      </c>
      <c r="C1250" s="1" t="str">
        <f>"4차"</f>
        <v>4차</v>
      </c>
      <c r="D1250" s="1" t="str">
        <f>"0327W99144"</f>
        <v>0327W99144</v>
      </c>
      <c r="E1250" s="1" t="s">
        <v>10</v>
      </c>
      <c r="F1250" s="1" t="str">
        <f>"10.10.55.138"</f>
        <v>10.10.55.138</v>
      </c>
      <c r="G1250" s="1" t="str">
        <f>"0327W991"</f>
        <v>0327W991</v>
      </c>
      <c r="H1250" s="1" t="str">
        <f>"금성간 23L35"</f>
        <v>금성간 23L35</v>
      </c>
      <c r="I1250" s="1" t="s">
        <v>8</v>
      </c>
      <c r="J1250" s="1" t="str">
        <f>"27/27"</f>
        <v>27/27</v>
      </c>
      <c r="K1250" s="1" t="str">
        <f t="shared" ref="K1250:K1256" si="60">"2026-07-29 13:18:02"</f>
        <v>2026-07-29 13:18:02</v>
      </c>
      <c r="L1250" s="1" t="str">
        <f>"2019-09-19 15:16:57"</f>
        <v>2019-09-19 15:16:57</v>
      </c>
      <c r="M1250" s="1" t="s">
        <v>1</v>
      </c>
      <c r="N1250" s="1" t="s">
        <v>38</v>
      </c>
      <c r="O1250" s="1" t="s">
        <v>46</v>
      </c>
    </row>
    <row r="1251" spans="2:15" x14ac:dyDescent="0.3">
      <c r="B1251" s="1" t="s">
        <v>24</v>
      </c>
      <c r="C1251" s="1" t="str">
        <f>"4차"</f>
        <v>4차</v>
      </c>
      <c r="D1251" s="1" t="str">
        <f>"0327X09144"</f>
        <v>0327X09144</v>
      </c>
      <c r="E1251" s="1" t="s">
        <v>10</v>
      </c>
      <c r="F1251" s="1" t="str">
        <f>"10.10.53.170"</f>
        <v>10.10.53.170</v>
      </c>
      <c r="G1251" s="1" t="str">
        <f>"0327X091"</f>
        <v>0327X091</v>
      </c>
      <c r="H1251" s="1" t="str">
        <f>"금성간 23L36"</f>
        <v>금성간 23L36</v>
      </c>
      <c r="I1251" s="1" t="s">
        <v>8</v>
      </c>
      <c r="J1251" s="1" t="str">
        <f>"33/33"</f>
        <v>33/33</v>
      </c>
      <c r="K1251" s="1" t="str">
        <f t="shared" si="60"/>
        <v>2026-07-29 13:18:02</v>
      </c>
      <c r="L1251" s="1" t="str">
        <f>"2019-09-19 15:23:13"</f>
        <v>2019-09-19 15:23:13</v>
      </c>
      <c r="M1251" s="1" t="s">
        <v>1</v>
      </c>
      <c r="N1251" s="1" t="s">
        <v>38</v>
      </c>
      <c r="O1251" s="1" t="s">
        <v>46</v>
      </c>
    </row>
    <row r="1252" spans="2:15" x14ac:dyDescent="0.3">
      <c r="B1252" s="1" t="s">
        <v>24</v>
      </c>
      <c r="C1252" s="1" t="str">
        <f>"3차"</f>
        <v>3차</v>
      </c>
      <c r="D1252" s="1" t="str">
        <f>"0327X15339"</f>
        <v>0327X15339</v>
      </c>
      <c r="E1252" s="1" t="s">
        <v>10</v>
      </c>
      <c r="F1252" s="1" t="str">
        <f>"10.89.248.43"</f>
        <v>10.89.248.43</v>
      </c>
      <c r="G1252" s="1" t="str">
        <f>"0327X153"</f>
        <v>0327X153</v>
      </c>
      <c r="H1252" s="1" t="str">
        <f>"금성간 23L26R1"</f>
        <v>금성간 23L26R1</v>
      </c>
      <c r="I1252" s="1" t="s">
        <v>8</v>
      </c>
      <c r="J1252" s="1" t="str">
        <f>"84/84"</f>
        <v>84/84</v>
      </c>
      <c r="K1252" s="1" t="str">
        <f t="shared" si="60"/>
        <v>2026-07-29 13:18:02</v>
      </c>
      <c r="L1252" s="1" t="str">
        <f>"2018-09-28 15:58:13"</f>
        <v>2018-09-28 15:58:13</v>
      </c>
      <c r="M1252" s="1" t="s">
        <v>45</v>
      </c>
      <c r="N1252" s="1" t="s">
        <v>38</v>
      </c>
      <c r="O1252" s="1" t="s">
        <v>46</v>
      </c>
    </row>
    <row r="1253" spans="2:15" x14ac:dyDescent="0.3">
      <c r="B1253" s="1" t="s">
        <v>24</v>
      </c>
      <c r="C1253" s="1" t="str">
        <f>"4차"</f>
        <v>4차</v>
      </c>
      <c r="D1253" s="1" t="str">
        <f>"0327X25244"</f>
        <v>0327X25244</v>
      </c>
      <c r="E1253" s="1" t="s">
        <v>10</v>
      </c>
      <c r="F1253" s="1" t="str">
        <f>"10.10.55.130"</f>
        <v>10.10.55.130</v>
      </c>
      <c r="G1253" s="1" t="str">
        <f>"0327X252"</f>
        <v>0327X252</v>
      </c>
      <c r="H1253" s="1" t="str">
        <f>"금성간 23L26R4"</f>
        <v>금성간 23L26R4</v>
      </c>
      <c r="I1253" s="1" t="s">
        <v>8</v>
      </c>
      <c r="J1253" s="1" t="str">
        <f>"49/49"</f>
        <v>49/49</v>
      </c>
      <c r="K1253" s="1" t="str">
        <f t="shared" si="60"/>
        <v>2026-07-29 13:18:02</v>
      </c>
      <c r="L1253" s="1" t="str">
        <f>"2019-09-19 15:12:58"</f>
        <v>2019-09-19 15:12:58</v>
      </c>
      <c r="M1253" s="1" t="s">
        <v>1</v>
      </c>
      <c r="N1253" s="1" t="s">
        <v>38</v>
      </c>
      <c r="O1253" s="1" t="s">
        <v>46</v>
      </c>
    </row>
    <row r="1254" spans="2:15" x14ac:dyDescent="0.3">
      <c r="B1254" s="1" t="s">
        <v>24</v>
      </c>
      <c r="C1254" s="1" t="str">
        <f>"4차"</f>
        <v>4차</v>
      </c>
      <c r="D1254" s="1" t="str">
        <f>"0327X30144"</f>
        <v>0327X30144</v>
      </c>
      <c r="E1254" s="1" t="s">
        <v>10</v>
      </c>
      <c r="F1254" s="1" t="str">
        <f>"10.10.56.106"</f>
        <v>10.10.56.106</v>
      </c>
      <c r="G1254" s="1" t="str">
        <f>"0327X301"</f>
        <v>0327X301</v>
      </c>
      <c r="H1254" s="1" t="str">
        <f>"면오간 1R7"</f>
        <v>면오간 1R7</v>
      </c>
      <c r="I1254" s="1" t="s">
        <v>8</v>
      </c>
      <c r="J1254" s="1" t="str">
        <f>"67/67"</f>
        <v>67/67</v>
      </c>
      <c r="K1254" s="1" t="str">
        <f t="shared" si="60"/>
        <v>2026-07-29 13:18:02</v>
      </c>
      <c r="L1254" s="1" t="str">
        <f>"2021-07-28 16:33:20"</f>
        <v>2021-07-28 16:33:20</v>
      </c>
      <c r="M1254" s="1" t="s">
        <v>1</v>
      </c>
      <c r="N1254" s="1" t="s">
        <v>38</v>
      </c>
      <c r="O1254" s="1" t="s">
        <v>46</v>
      </c>
    </row>
    <row r="1255" spans="2:15" x14ac:dyDescent="0.3">
      <c r="B1255" s="1" t="s">
        <v>24</v>
      </c>
      <c r="C1255" s="1" t="str">
        <f>"4차"</f>
        <v>4차</v>
      </c>
      <c r="D1255" s="1" t="str">
        <f>"0327X31144"</f>
        <v>0327X31144</v>
      </c>
      <c r="E1255" s="1" t="s">
        <v>10</v>
      </c>
      <c r="F1255" s="1" t="str">
        <f>"10.10.114.90"</f>
        <v>10.10.114.90</v>
      </c>
      <c r="G1255" s="1" t="str">
        <f>"0327X311"</f>
        <v>0327X311</v>
      </c>
      <c r="H1255" s="1" t="str">
        <f>"면오간 1R6"</f>
        <v>면오간 1R6</v>
      </c>
      <c r="I1255" s="1" t="s">
        <v>8</v>
      </c>
      <c r="J1255" s="1" t="str">
        <f>"14/14"</f>
        <v>14/14</v>
      </c>
      <c r="K1255" s="1" t="str">
        <f t="shared" si="60"/>
        <v>2026-07-29 13:18:02</v>
      </c>
      <c r="L1255" s="1" t="str">
        <f>"2019-09-23 10:18:42"</f>
        <v>2019-09-23 10:18:42</v>
      </c>
      <c r="M1255" s="1" t="s">
        <v>1</v>
      </c>
      <c r="N1255" s="1" t="s">
        <v>38</v>
      </c>
      <c r="O1255" s="1" t="s">
        <v>46</v>
      </c>
    </row>
    <row r="1256" spans="2:15" x14ac:dyDescent="0.3">
      <c r="B1256" s="1" t="s">
        <v>24</v>
      </c>
      <c r="C1256" s="1" t="str">
        <f>"4차"</f>
        <v>4차</v>
      </c>
      <c r="D1256" s="1" t="str">
        <f>"0327X32244"</f>
        <v>0327X32244</v>
      </c>
      <c r="E1256" s="1" t="s">
        <v>10</v>
      </c>
      <c r="F1256" s="1" t="str">
        <f>"10.10.114.122"</f>
        <v>10.10.114.122</v>
      </c>
      <c r="G1256" s="1" t="str">
        <f>"0327X322"</f>
        <v>0327X322</v>
      </c>
      <c r="H1256" s="1" t="str">
        <f>"면오간 22R12"</f>
        <v>면오간 22R12</v>
      </c>
      <c r="I1256" s="1" t="s">
        <v>8</v>
      </c>
      <c r="J1256" s="1" t="str">
        <f>"18/18"</f>
        <v>18/18</v>
      </c>
      <c r="K1256" s="1" t="str">
        <f t="shared" si="60"/>
        <v>2026-07-29 13:18:02</v>
      </c>
      <c r="L1256" s="1" t="str">
        <f>"2019-09-25 13:36:43"</f>
        <v>2019-09-25 13:36:43</v>
      </c>
      <c r="M1256" s="1" t="s">
        <v>1</v>
      </c>
      <c r="N1256" s="1" t="s">
        <v>38</v>
      </c>
      <c r="O1256" s="1" t="s">
        <v>46</v>
      </c>
    </row>
    <row r="1257" spans="2:15" x14ac:dyDescent="0.3">
      <c r="B1257" s="1" t="s">
        <v>24</v>
      </c>
      <c r="C1257" s="1" t="str">
        <f>"1차"</f>
        <v>1차</v>
      </c>
      <c r="D1257" s="1" t="str">
        <f>"0327X33101"</f>
        <v>0327X33101</v>
      </c>
      <c r="E1257" s="1" t="s">
        <v>10</v>
      </c>
      <c r="F1257" s="1" t="str">
        <f>"10.12.129.38"</f>
        <v>10.12.129.38</v>
      </c>
      <c r="G1257" s="1" t="str">
        <f>"0327X331"</f>
        <v>0327X331</v>
      </c>
      <c r="H1257" s="1" t="str">
        <f>"면오간 22R10R2"</f>
        <v>면오간 22R10R2</v>
      </c>
      <c r="I1257" s="1" t="s">
        <v>8</v>
      </c>
      <c r="J1257" s="1" t="str">
        <f>"48/48"</f>
        <v>48/48</v>
      </c>
      <c r="K1257" s="1" t="str">
        <f>"2026-07-29 13:18:03"</f>
        <v>2026-07-29 13:18:03</v>
      </c>
      <c r="L1257" s="1" t="str">
        <f>"2014-10-15 14:17:10"</f>
        <v>2014-10-15 14:17:10</v>
      </c>
      <c r="M1257" s="1" t="s">
        <v>0</v>
      </c>
      <c r="N1257" s="1" t="s">
        <v>38</v>
      </c>
      <c r="O1257" s="1" t="s">
        <v>46</v>
      </c>
    </row>
    <row r="1258" spans="2:15" x14ac:dyDescent="0.3">
      <c r="B1258" s="1" t="s">
        <v>24</v>
      </c>
      <c r="C1258" s="1" t="str">
        <f>"4차"</f>
        <v>4차</v>
      </c>
      <c r="D1258" s="1" t="str">
        <f>"0327X37144"</f>
        <v>0327X37144</v>
      </c>
      <c r="E1258" s="1" t="s">
        <v>10</v>
      </c>
      <c r="F1258" s="1" t="str">
        <f>"10.10.113.210"</f>
        <v>10.10.113.210</v>
      </c>
      <c r="G1258" s="1" t="str">
        <f>"0327X371"</f>
        <v>0327X371</v>
      </c>
      <c r="H1258" s="1" t="str">
        <f>"금성간 23L20R3"</f>
        <v>금성간 23L20R3</v>
      </c>
      <c r="I1258" s="1" t="s">
        <v>8</v>
      </c>
      <c r="J1258" s="1" t="str">
        <f>"14/14"</f>
        <v>14/14</v>
      </c>
      <c r="K1258" s="1" t="str">
        <f t="shared" ref="K1258:K1263" si="61">"2026-07-29 13:18:02"</f>
        <v>2026-07-29 13:18:02</v>
      </c>
      <c r="L1258" s="1" t="str">
        <f>"2019-10-31 14:23:04"</f>
        <v>2019-10-31 14:23:04</v>
      </c>
      <c r="M1258" s="1" t="s">
        <v>1</v>
      </c>
      <c r="N1258" s="1" t="s">
        <v>38</v>
      </c>
      <c r="O1258" s="1" t="s">
        <v>46</v>
      </c>
    </row>
    <row r="1259" spans="2:15" x14ac:dyDescent="0.3">
      <c r="B1259" s="1" t="s">
        <v>24</v>
      </c>
      <c r="C1259" s="1" t="str">
        <f>"4차"</f>
        <v>4차</v>
      </c>
      <c r="D1259" s="1" t="str">
        <f>"0327X39144"</f>
        <v>0327X39144</v>
      </c>
      <c r="E1259" s="1" t="s">
        <v>10</v>
      </c>
      <c r="F1259" s="1" t="str">
        <f>"10.10.113.226"</f>
        <v>10.10.113.226</v>
      </c>
      <c r="G1259" s="1" t="str">
        <f>"0327X391"</f>
        <v>0327X391</v>
      </c>
      <c r="H1259" s="1" t="str">
        <f>"금성간 23L20R6"</f>
        <v>금성간 23L20R6</v>
      </c>
      <c r="I1259" s="1" t="s">
        <v>8</v>
      </c>
      <c r="J1259" s="1" t="str">
        <f>"26/26"</f>
        <v>26/26</v>
      </c>
      <c r="K1259" s="1" t="str">
        <f t="shared" si="61"/>
        <v>2026-07-29 13:18:02</v>
      </c>
      <c r="L1259" s="1" t="str">
        <f>"2019-09-19 13:43:42"</f>
        <v>2019-09-19 13:43:42</v>
      </c>
      <c r="M1259" s="1" t="s">
        <v>1</v>
      </c>
      <c r="N1259" s="1" t="s">
        <v>38</v>
      </c>
      <c r="O1259" s="1" t="s">
        <v>46</v>
      </c>
    </row>
    <row r="1260" spans="2:15" x14ac:dyDescent="0.3">
      <c r="B1260" s="1" t="s">
        <v>24</v>
      </c>
      <c r="C1260" s="1" t="str">
        <f>"4차"</f>
        <v>4차</v>
      </c>
      <c r="D1260" s="1" t="str">
        <f>"0327X42344"</f>
        <v>0327X42344</v>
      </c>
      <c r="E1260" s="1" t="s">
        <v>10</v>
      </c>
      <c r="F1260" s="1" t="str">
        <f>"10.10.56.34"</f>
        <v>10.10.56.34</v>
      </c>
      <c r="G1260" s="1" t="str">
        <f>"0327X423"</f>
        <v>0327X423</v>
      </c>
      <c r="H1260" s="1" t="str">
        <f>"면오간 22R10"</f>
        <v>면오간 22R10</v>
      </c>
      <c r="I1260" s="1" t="s">
        <v>8</v>
      </c>
      <c r="J1260" s="1" t="str">
        <f>"5/5"</f>
        <v>5/5</v>
      </c>
      <c r="K1260" s="1" t="str">
        <f t="shared" si="61"/>
        <v>2026-07-29 13:18:02</v>
      </c>
      <c r="L1260" s="1" t="str">
        <f>"2019-09-20 09:23:05"</f>
        <v>2019-09-20 09:23:05</v>
      </c>
      <c r="M1260" s="1" t="s">
        <v>1</v>
      </c>
      <c r="N1260" s="1" t="s">
        <v>38</v>
      </c>
      <c r="O1260" s="1" t="s">
        <v>46</v>
      </c>
    </row>
    <row r="1261" spans="2:15" x14ac:dyDescent="0.3">
      <c r="B1261" s="1" t="s">
        <v>24</v>
      </c>
      <c r="C1261" s="1" t="str">
        <f>"4차"</f>
        <v>4차</v>
      </c>
      <c r="D1261" s="1" t="str">
        <f>"0327X43244"</f>
        <v>0327X43244</v>
      </c>
      <c r="E1261" s="1" t="s">
        <v>14</v>
      </c>
      <c r="F1261" s="1" t="str">
        <f>"10.10.56.42"</f>
        <v>10.10.56.42</v>
      </c>
      <c r="G1261" s="1" t="str">
        <f>"0327X432"</f>
        <v>0327X432</v>
      </c>
      <c r="H1261" s="1" t="str">
        <f>"면오간 22R10R1"</f>
        <v>면오간 22R10R1</v>
      </c>
      <c r="I1261" s="1" t="s">
        <v>8</v>
      </c>
      <c r="J1261" s="1" t="str">
        <f>"0/0"</f>
        <v>0/0</v>
      </c>
      <c r="K1261" s="1" t="str">
        <f t="shared" si="61"/>
        <v>2026-07-29 13:18:02</v>
      </c>
      <c r="L1261" s="1" t="str">
        <f>"2019-09-20 09:19:26"</f>
        <v>2019-09-20 09:19:26</v>
      </c>
      <c r="M1261" s="1" t="s">
        <v>1</v>
      </c>
      <c r="N1261" s="1" t="s">
        <v>38</v>
      </c>
      <c r="O1261" s="1" t="s">
        <v>797</v>
      </c>
    </row>
    <row r="1262" spans="2:15" x14ac:dyDescent="0.3">
      <c r="B1262" s="1" t="s">
        <v>24</v>
      </c>
      <c r="C1262" s="1" t="str">
        <f>"1차"</f>
        <v>1차</v>
      </c>
      <c r="D1262" s="1" t="str">
        <f>"0327X43300"</f>
        <v>0327X43300</v>
      </c>
      <c r="E1262" s="1" t="s">
        <v>10</v>
      </c>
      <c r="F1262" s="1" t="str">
        <f>"10.89.249.130"</f>
        <v>10.89.249.130</v>
      </c>
      <c r="G1262" s="1" t="str">
        <f>"0327X433"</f>
        <v>0327X433</v>
      </c>
      <c r="H1262" s="1" t="str">
        <f>"면오간 22R10R4"</f>
        <v>면오간 22R10R4</v>
      </c>
      <c r="I1262" s="1" t="s">
        <v>8</v>
      </c>
      <c r="J1262" s="1" t="str">
        <f>"12/16"</f>
        <v>12/16</v>
      </c>
      <c r="K1262" s="1" t="str">
        <f t="shared" si="61"/>
        <v>2026-07-29 13:18:02</v>
      </c>
      <c r="L1262" s="1" t="str">
        <f>"2014-10-14 14:13:29"</f>
        <v>2014-10-14 14:13:29</v>
      </c>
      <c r="M1262" s="1" t="s">
        <v>45</v>
      </c>
      <c r="N1262" s="1" t="s">
        <v>38</v>
      </c>
      <c r="O1262" s="1" t="s">
        <v>46</v>
      </c>
    </row>
    <row r="1263" spans="2:15" x14ac:dyDescent="0.3">
      <c r="B1263" s="1" t="s">
        <v>24</v>
      </c>
      <c r="C1263" s="1" t="str">
        <f t="shared" ref="C1263:C1268" si="62">"4차"</f>
        <v>4차</v>
      </c>
      <c r="D1263" s="1" t="str">
        <f>"0327X46444"</f>
        <v>0327X46444</v>
      </c>
      <c r="E1263" s="1" t="s">
        <v>10</v>
      </c>
      <c r="F1263" s="1" t="str">
        <f>"10.10.55.82"</f>
        <v>10.10.55.82</v>
      </c>
      <c r="G1263" s="1" t="str">
        <f>"0327X464"</f>
        <v>0327X464</v>
      </c>
      <c r="H1263" s="1" t="str">
        <f>"금성간 23L20R2R1"</f>
        <v>금성간 23L20R2R1</v>
      </c>
      <c r="I1263" s="1" t="s">
        <v>8</v>
      </c>
      <c r="J1263" s="1" t="str">
        <f>"42/44"</f>
        <v>42/44</v>
      </c>
      <c r="K1263" s="1" t="str">
        <f t="shared" si="61"/>
        <v>2026-07-29 13:18:02</v>
      </c>
      <c r="L1263" s="1" t="str">
        <f>"2019-09-19 16:22:30"</f>
        <v>2019-09-19 16:22:30</v>
      </c>
      <c r="M1263" s="1" t="s">
        <v>1</v>
      </c>
      <c r="N1263" s="1" t="s">
        <v>38</v>
      </c>
      <c r="O1263" s="1" t="s">
        <v>46</v>
      </c>
    </row>
    <row r="1264" spans="2:15" x14ac:dyDescent="0.3">
      <c r="B1264" s="1" t="s">
        <v>24</v>
      </c>
      <c r="C1264" s="1" t="str">
        <f t="shared" si="62"/>
        <v>4차</v>
      </c>
      <c r="D1264" s="1" t="str">
        <f>"0327X48144"</f>
        <v>0327X48144</v>
      </c>
      <c r="E1264" s="1" t="s">
        <v>10</v>
      </c>
      <c r="F1264" s="1" t="str">
        <f>"10.10.55.106"</f>
        <v>10.10.55.106</v>
      </c>
      <c r="G1264" s="1" t="str">
        <f>"0327X481"</f>
        <v>0327X481</v>
      </c>
      <c r="H1264" s="1" t="str">
        <f>"금성간 23L20R8"</f>
        <v>금성간 23L20R8</v>
      </c>
      <c r="I1264" s="1" t="s">
        <v>8</v>
      </c>
      <c r="J1264" s="1" t="str">
        <f>"27/27"</f>
        <v>27/27</v>
      </c>
      <c r="K1264" s="1" t="str">
        <f>"2026-07-29 13:18:03"</f>
        <v>2026-07-29 13:18:03</v>
      </c>
      <c r="L1264" s="1" t="str">
        <f>"2019-09-19 13:31:42"</f>
        <v>2019-09-19 13:31:42</v>
      </c>
      <c r="M1264" s="1" t="s">
        <v>1</v>
      </c>
      <c r="N1264" s="1" t="s">
        <v>38</v>
      </c>
      <c r="O1264" s="1" t="s">
        <v>46</v>
      </c>
    </row>
    <row r="1265" spans="2:15" x14ac:dyDescent="0.3">
      <c r="B1265" s="1" t="s">
        <v>24</v>
      </c>
      <c r="C1265" s="1" t="str">
        <f t="shared" si="62"/>
        <v>4차</v>
      </c>
      <c r="D1265" s="1" t="str">
        <f>"0327X49144"</f>
        <v>0327X49144</v>
      </c>
      <c r="E1265" s="1" t="s">
        <v>10</v>
      </c>
      <c r="F1265" s="1" t="str">
        <f>"10.12.136.238"</f>
        <v>10.12.136.238</v>
      </c>
      <c r="G1265" s="1" t="str">
        <f>"0327X491"</f>
        <v>0327X491</v>
      </c>
      <c r="H1265" s="1" t="str">
        <f>"금성간 23L20R7"</f>
        <v>금성간 23L20R7</v>
      </c>
      <c r="I1265" s="1" t="s">
        <v>8</v>
      </c>
      <c r="J1265" s="1" t="str">
        <f>"5/5"</f>
        <v>5/5</v>
      </c>
      <c r="K1265" s="1" t="str">
        <f>"2026-07-29 13:18:03"</f>
        <v>2026-07-29 13:18:03</v>
      </c>
      <c r="L1265" s="1" t="str">
        <f>"2019-09-19 13:38:12"</f>
        <v>2019-09-19 13:38:12</v>
      </c>
      <c r="M1265" s="1" t="s">
        <v>0</v>
      </c>
      <c r="N1265" s="1" t="s">
        <v>38</v>
      </c>
      <c r="O1265" s="1" t="s">
        <v>46</v>
      </c>
    </row>
    <row r="1266" spans="2:15" x14ac:dyDescent="0.3">
      <c r="B1266" s="1" t="s">
        <v>24</v>
      </c>
      <c r="C1266" s="1" t="str">
        <f t="shared" si="62"/>
        <v>4차</v>
      </c>
      <c r="D1266" s="1" t="str">
        <f>"0327X50244"</f>
        <v>0327X50244</v>
      </c>
      <c r="E1266" s="1" t="s">
        <v>10</v>
      </c>
      <c r="F1266" s="1" t="str">
        <f>"10.10.56.66"</f>
        <v>10.10.56.66</v>
      </c>
      <c r="G1266" s="1" t="str">
        <f>"0327X502"</f>
        <v>0327X502</v>
      </c>
      <c r="H1266" s="1" t="str">
        <f>"면오간 22R7L3"</f>
        <v>면오간 22R7L3</v>
      </c>
      <c r="I1266" s="1" t="s">
        <v>8</v>
      </c>
      <c r="J1266" s="1" t="str">
        <f>"104/104"</f>
        <v>104/104</v>
      </c>
      <c r="K1266" s="1" t="str">
        <f>"2026-07-29 13:18:02"</f>
        <v>2026-07-29 13:18:02</v>
      </c>
      <c r="L1266" s="1" t="str">
        <f>"2020-02-10 18:43:06"</f>
        <v>2020-02-10 18:43:06</v>
      </c>
      <c r="M1266" s="1" t="s">
        <v>1</v>
      </c>
      <c r="N1266" s="1" t="s">
        <v>38</v>
      </c>
      <c r="O1266" s="1" t="s">
        <v>46</v>
      </c>
    </row>
    <row r="1267" spans="2:15" x14ac:dyDescent="0.3">
      <c r="B1267" s="1" t="s">
        <v>24</v>
      </c>
      <c r="C1267" s="1" t="str">
        <f t="shared" si="62"/>
        <v>4차</v>
      </c>
      <c r="D1267" s="1" t="str">
        <f>"0327X51344"</f>
        <v>0327X51344</v>
      </c>
      <c r="E1267" s="1" t="s">
        <v>10</v>
      </c>
      <c r="F1267" s="1" t="str">
        <f>"10.10.56.58"</f>
        <v>10.10.56.58</v>
      </c>
      <c r="G1267" s="1" t="str">
        <f>"0327X513"</f>
        <v>0327X513</v>
      </c>
      <c r="H1267" s="1" t="str">
        <f>"면오간 22R7L1"</f>
        <v>면오간 22R7L1</v>
      </c>
      <c r="I1267" s="1" t="s">
        <v>8</v>
      </c>
      <c r="J1267" s="1" t="str">
        <f>"35/35"</f>
        <v>35/35</v>
      </c>
      <c r="K1267" s="1" t="str">
        <f>"2026-07-29 13:18:02"</f>
        <v>2026-07-29 13:18:02</v>
      </c>
      <c r="L1267" s="1" t="str">
        <f>"2019-09-20 09:26:27"</f>
        <v>2019-09-20 09:26:27</v>
      </c>
      <c r="M1267" s="1" t="s">
        <v>1</v>
      </c>
      <c r="N1267" s="1" t="s">
        <v>38</v>
      </c>
      <c r="O1267" s="1" t="s">
        <v>46</v>
      </c>
    </row>
    <row r="1268" spans="2:15" x14ac:dyDescent="0.3">
      <c r="B1268" s="1" t="s">
        <v>24</v>
      </c>
      <c r="C1268" s="1" t="str">
        <f t="shared" si="62"/>
        <v>4차</v>
      </c>
      <c r="D1268" s="1" t="str">
        <f>"0327X52144"</f>
        <v>0327X52144</v>
      </c>
      <c r="E1268" s="1" t="s">
        <v>10</v>
      </c>
      <c r="F1268" s="1" t="str">
        <f>"10.10.56.50"</f>
        <v>10.10.56.50</v>
      </c>
      <c r="G1268" s="1" t="str">
        <f>"0327X521"</f>
        <v>0327X521</v>
      </c>
      <c r="H1268" s="1" t="str">
        <f>"면오간 22R8"</f>
        <v>면오간 22R8</v>
      </c>
      <c r="I1268" s="1" t="s">
        <v>8</v>
      </c>
      <c r="J1268" s="1" t="str">
        <f>"38/38"</f>
        <v>38/38</v>
      </c>
      <c r="K1268" s="1" t="str">
        <f>"2026-07-29 13:18:02"</f>
        <v>2026-07-29 13:18:02</v>
      </c>
      <c r="L1268" s="1" t="str">
        <f>"2021-07-28 16:42:30"</f>
        <v>2021-07-28 16:42:30</v>
      </c>
      <c r="M1268" s="1" t="s">
        <v>1</v>
      </c>
      <c r="N1268" s="1" t="s">
        <v>38</v>
      </c>
      <c r="O1268" s="1" t="s">
        <v>46</v>
      </c>
    </row>
    <row r="1269" spans="2:15" x14ac:dyDescent="0.3">
      <c r="B1269" s="1" t="s">
        <v>24</v>
      </c>
      <c r="C1269" s="1" t="str">
        <f>"1차"</f>
        <v>1차</v>
      </c>
      <c r="D1269" s="1" t="str">
        <f>"0327X54100"</f>
        <v>0327X54100</v>
      </c>
      <c r="E1269" s="1" t="s">
        <v>10</v>
      </c>
      <c r="F1269" s="1" t="str">
        <f>"10.89.249.133"</f>
        <v>10.89.249.133</v>
      </c>
      <c r="G1269" s="1" t="str">
        <f>"0327X541"</f>
        <v>0327X541</v>
      </c>
      <c r="H1269" s="1" t="str">
        <f>"면오간 6"</f>
        <v>면오간 6</v>
      </c>
      <c r="I1269" s="1" t="s">
        <v>8</v>
      </c>
      <c r="J1269" s="1" t="str">
        <f>"10/10"</f>
        <v>10/10</v>
      </c>
      <c r="K1269" s="1" t="str">
        <f>"2026-07-29 13:18:02"</f>
        <v>2026-07-29 13:18:02</v>
      </c>
      <c r="L1269" s="1" t="str">
        <f>"2014-10-14 14:15:15"</f>
        <v>2014-10-14 14:15:15</v>
      </c>
      <c r="M1269" s="1" t="s">
        <v>45</v>
      </c>
      <c r="N1269" s="1" t="s">
        <v>38</v>
      </c>
      <c r="O1269" s="1" t="s">
        <v>46</v>
      </c>
    </row>
    <row r="1270" spans="2:15" x14ac:dyDescent="0.3">
      <c r="B1270" s="1" t="s">
        <v>24</v>
      </c>
      <c r="C1270" s="1" t="str">
        <f t="shared" ref="C1270:C1275" si="63">"4차"</f>
        <v>4차</v>
      </c>
      <c r="D1270" s="1" t="str">
        <f>"0327X56344"</f>
        <v>0327X56344</v>
      </c>
      <c r="E1270" s="1" t="s">
        <v>10</v>
      </c>
      <c r="F1270" s="1" t="str">
        <f>"10.10.55.90"</f>
        <v>10.10.55.90</v>
      </c>
      <c r="G1270" s="1" t="str">
        <f>"0327X563"</f>
        <v>0327X563</v>
      </c>
      <c r="H1270" s="1" t="str">
        <f>"금성간 23L20R2R3"</f>
        <v>금성간 23L20R2R3</v>
      </c>
      <c r="I1270" s="1" t="s">
        <v>8</v>
      </c>
      <c r="J1270" s="1" t="str">
        <f>"85/86"</f>
        <v>85/86</v>
      </c>
      <c r="K1270" s="1" t="str">
        <f>"2026-07-29 13:18:03"</f>
        <v>2026-07-29 13:18:03</v>
      </c>
      <c r="L1270" s="1" t="str">
        <f>"2019-10-31 14:00:53"</f>
        <v>2019-10-31 14:00:53</v>
      </c>
      <c r="M1270" s="1" t="s">
        <v>1</v>
      </c>
      <c r="N1270" s="1" t="s">
        <v>38</v>
      </c>
      <c r="O1270" s="1" t="s">
        <v>46</v>
      </c>
    </row>
    <row r="1271" spans="2:15" x14ac:dyDescent="0.3">
      <c r="B1271" s="1" t="s">
        <v>24</v>
      </c>
      <c r="C1271" s="1" t="str">
        <f t="shared" si="63"/>
        <v>4차</v>
      </c>
      <c r="D1271" s="1" t="str">
        <f>"0327X59144"</f>
        <v>0327X59144</v>
      </c>
      <c r="E1271" s="1" t="s">
        <v>10</v>
      </c>
      <c r="F1271" s="1" t="str">
        <f>"10.10.114.26"</f>
        <v>10.10.114.26</v>
      </c>
      <c r="G1271" s="1" t="str">
        <f>"0327X591"</f>
        <v>0327X591</v>
      </c>
      <c r="H1271" s="1" t="str">
        <f>"금성간 23L43R4"</f>
        <v>금성간 23L43R4</v>
      </c>
      <c r="I1271" s="1" t="s">
        <v>8</v>
      </c>
      <c r="J1271" s="1" t="str">
        <f>"50/50"</f>
        <v>50/50</v>
      </c>
      <c r="K1271" s="1" t="str">
        <f t="shared" ref="K1271:K1281" si="64">"2026-07-29 13:18:02"</f>
        <v>2026-07-29 13:18:02</v>
      </c>
      <c r="L1271" s="1" t="str">
        <f>"2019-09-19 13:36:42"</f>
        <v>2019-09-19 13:36:42</v>
      </c>
      <c r="M1271" s="1" t="s">
        <v>1</v>
      </c>
      <c r="N1271" s="1" t="s">
        <v>38</v>
      </c>
      <c r="O1271" s="1" t="s">
        <v>46</v>
      </c>
    </row>
    <row r="1272" spans="2:15" x14ac:dyDescent="0.3">
      <c r="B1272" s="1" t="s">
        <v>24</v>
      </c>
      <c r="C1272" s="1" t="str">
        <f t="shared" si="63"/>
        <v>4차</v>
      </c>
      <c r="D1272" s="1" t="str">
        <f>"0327X59244"</f>
        <v>0327X59244</v>
      </c>
      <c r="E1272" s="1" t="s">
        <v>10</v>
      </c>
      <c r="F1272" s="1" t="str">
        <f>"10.10.51.10"</f>
        <v>10.10.51.10</v>
      </c>
      <c r="G1272" s="1" t="str">
        <f>"0327X592"</f>
        <v>0327X592</v>
      </c>
      <c r="H1272" s="1" t="str">
        <f>"화목간 27R9R2"</f>
        <v>화목간 27R9R2</v>
      </c>
      <c r="I1272" s="1" t="s">
        <v>8</v>
      </c>
      <c r="J1272" s="1" t="str">
        <f>"46/46"</f>
        <v>46/46</v>
      </c>
      <c r="K1272" s="1" t="str">
        <f t="shared" si="64"/>
        <v>2026-07-29 13:18:02</v>
      </c>
      <c r="L1272" s="1" t="str">
        <f>"2020-02-10 18:35:33"</f>
        <v>2020-02-10 18:35:33</v>
      </c>
      <c r="M1272" s="1" t="s">
        <v>1</v>
      </c>
      <c r="N1272" s="1" t="s">
        <v>38</v>
      </c>
      <c r="O1272" s="1" t="s">
        <v>46</v>
      </c>
    </row>
    <row r="1273" spans="2:15" x14ac:dyDescent="0.3">
      <c r="B1273" s="1" t="s">
        <v>24</v>
      </c>
      <c r="C1273" s="1" t="str">
        <f t="shared" si="63"/>
        <v>4차</v>
      </c>
      <c r="D1273" s="1" t="str">
        <f>"0327X60244"</f>
        <v>0327X60244</v>
      </c>
      <c r="E1273" s="1" t="s">
        <v>10</v>
      </c>
      <c r="F1273" s="1" t="str">
        <f>"10.10.114.138"</f>
        <v>10.10.114.138</v>
      </c>
      <c r="G1273" s="1" t="str">
        <f>"0327X602"</f>
        <v>0327X602</v>
      </c>
      <c r="H1273" s="1" t="str">
        <f>"면오간 22R5L5"</f>
        <v>면오간 22R5L5</v>
      </c>
      <c r="I1273" s="1" t="s">
        <v>8</v>
      </c>
      <c r="J1273" s="1" t="str">
        <f>"28/28"</f>
        <v>28/28</v>
      </c>
      <c r="K1273" s="1" t="str">
        <f t="shared" si="64"/>
        <v>2026-07-29 13:18:02</v>
      </c>
      <c r="L1273" s="1" t="str">
        <f>"2019-09-23 10:21:28"</f>
        <v>2019-09-23 10:21:28</v>
      </c>
      <c r="M1273" s="1" t="s">
        <v>1</v>
      </c>
      <c r="N1273" s="1" t="s">
        <v>38</v>
      </c>
      <c r="O1273" s="1" t="s">
        <v>46</v>
      </c>
    </row>
    <row r="1274" spans="2:15" x14ac:dyDescent="0.3">
      <c r="B1274" s="1" t="s">
        <v>24</v>
      </c>
      <c r="C1274" s="1" t="str">
        <f t="shared" si="63"/>
        <v>4차</v>
      </c>
      <c r="D1274" s="1" t="str">
        <f>"0327X61144"</f>
        <v>0327X61144</v>
      </c>
      <c r="E1274" s="1" t="s">
        <v>10</v>
      </c>
      <c r="F1274" s="1" t="str">
        <f>"10.10.56.90"</f>
        <v>10.10.56.90</v>
      </c>
      <c r="G1274" s="1" t="str">
        <f>"0327X611"</f>
        <v>0327X611</v>
      </c>
      <c r="H1274" s="1" t="str">
        <f>"면오간 22R5L2"</f>
        <v>면오간 22R5L2</v>
      </c>
      <c r="I1274" s="1" t="s">
        <v>8</v>
      </c>
      <c r="J1274" s="1" t="str">
        <f>"10/10"</f>
        <v>10/10</v>
      </c>
      <c r="K1274" s="1" t="str">
        <f t="shared" si="64"/>
        <v>2026-07-29 13:18:02</v>
      </c>
      <c r="L1274" s="1" t="str">
        <f>"2019-09-23 10:14:44"</f>
        <v>2019-09-23 10:14:44</v>
      </c>
      <c r="M1274" s="1" t="s">
        <v>1</v>
      </c>
      <c r="N1274" s="1" t="s">
        <v>38</v>
      </c>
      <c r="O1274" s="1" t="s">
        <v>46</v>
      </c>
    </row>
    <row r="1275" spans="2:15" x14ac:dyDescent="0.3">
      <c r="B1275" s="1" t="s">
        <v>24</v>
      </c>
      <c r="C1275" s="1" t="str">
        <f t="shared" si="63"/>
        <v>4차</v>
      </c>
      <c r="D1275" s="1" t="str">
        <f>"0327X62244"</f>
        <v>0327X62244</v>
      </c>
      <c r="E1275" s="1" t="s">
        <v>10</v>
      </c>
      <c r="F1275" s="1" t="str">
        <f>"10.10.114.130"</f>
        <v>10.10.114.130</v>
      </c>
      <c r="G1275" s="1" t="str">
        <f>"0327X622"</f>
        <v>0327X622</v>
      </c>
      <c r="H1275" s="1" t="str">
        <f>"면오간 22R6"</f>
        <v>면오간 22R6</v>
      </c>
      <c r="I1275" s="1" t="s">
        <v>8</v>
      </c>
      <c r="J1275" s="1" t="str">
        <f>"49/49"</f>
        <v>49/49</v>
      </c>
      <c r="K1275" s="1" t="str">
        <f t="shared" si="64"/>
        <v>2026-07-29 13:18:02</v>
      </c>
      <c r="L1275" s="1" t="str">
        <f>"2019-09-20 09:28:11"</f>
        <v>2019-09-20 09:28:11</v>
      </c>
      <c r="M1275" s="1" t="s">
        <v>1</v>
      </c>
      <c r="N1275" s="1" t="s">
        <v>38</v>
      </c>
      <c r="O1275" s="1" t="s">
        <v>46</v>
      </c>
    </row>
    <row r="1276" spans="2:15" x14ac:dyDescent="0.3">
      <c r="B1276" s="1" t="s">
        <v>24</v>
      </c>
      <c r="C1276" s="1" t="str">
        <f>"1차"</f>
        <v>1차</v>
      </c>
      <c r="D1276" s="1" t="str">
        <f>"0327X63100"</f>
        <v>0327X63100</v>
      </c>
      <c r="E1276" s="1" t="s">
        <v>10</v>
      </c>
      <c r="F1276" s="1" t="str">
        <f>"10.89.249.136"</f>
        <v>10.89.249.136</v>
      </c>
      <c r="G1276" s="1" t="str">
        <f>"0327X631"</f>
        <v>0327X631</v>
      </c>
      <c r="H1276" s="1" t="str">
        <f>"면오간 9R3R2"</f>
        <v>면오간 9R3R2</v>
      </c>
      <c r="I1276" s="1" t="s">
        <v>8</v>
      </c>
      <c r="J1276" s="1" t="str">
        <f>"90/90"</f>
        <v>90/90</v>
      </c>
      <c r="K1276" s="1" t="str">
        <f t="shared" si="64"/>
        <v>2026-07-29 13:18:02</v>
      </c>
      <c r="L1276" s="1" t="str">
        <f>"2014-10-14 14:17:29"</f>
        <v>2014-10-14 14:17:29</v>
      </c>
      <c r="M1276" s="1" t="s">
        <v>45</v>
      </c>
      <c r="N1276" s="1" t="s">
        <v>38</v>
      </c>
      <c r="O1276" s="1" t="s">
        <v>46</v>
      </c>
    </row>
    <row r="1277" spans="2:15" x14ac:dyDescent="0.3">
      <c r="B1277" s="1" t="s">
        <v>24</v>
      </c>
      <c r="C1277" s="1" t="str">
        <f t="shared" ref="C1277:C1293" si="65">"4차"</f>
        <v>4차</v>
      </c>
      <c r="D1277" s="1" t="str">
        <f>"0327X63244"</f>
        <v>0327X63244</v>
      </c>
      <c r="E1277" s="1" t="s">
        <v>10</v>
      </c>
      <c r="F1277" s="1" t="str">
        <f>"10.10.114.74"</f>
        <v>10.10.114.74</v>
      </c>
      <c r="G1277" s="1" t="str">
        <f>"0327X632"</f>
        <v>0327X632</v>
      </c>
      <c r="H1277" s="1" t="str">
        <f>"면오간 9R4"</f>
        <v>면오간 9R4</v>
      </c>
      <c r="I1277" s="1" t="s">
        <v>8</v>
      </c>
      <c r="J1277" s="1" t="str">
        <f>"22/22"</f>
        <v>22/22</v>
      </c>
      <c r="K1277" s="1" t="str">
        <f t="shared" si="64"/>
        <v>2026-07-29 13:18:02</v>
      </c>
      <c r="L1277" s="1" t="str">
        <f>"2019-09-23 10:22:42"</f>
        <v>2019-09-23 10:22:42</v>
      </c>
      <c r="M1277" s="1" t="s">
        <v>1</v>
      </c>
      <c r="N1277" s="1" t="s">
        <v>38</v>
      </c>
      <c r="O1277" s="1" t="s">
        <v>46</v>
      </c>
    </row>
    <row r="1278" spans="2:15" x14ac:dyDescent="0.3">
      <c r="B1278" s="1" t="s">
        <v>24</v>
      </c>
      <c r="C1278" s="1" t="str">
        <f t="shared" si="65"/>
        <v>4차</v>
      </c>
      <c r="D1278" s="1" t="str">
        <f>"0327X67144"</f>
        <v>0327X67144</v>
      </c>
      <c r="E1278" s="1" t="s">
        <v>10</v>
      </c>
      <c r="F1278" s="1" t="str">
        <f>"10.10.50.178"</f>
        <v>10.10.50.178</v>
      </c>
      <c r="G1278" s="1" t="str">
        <f>"0327X671"</f>
        <v>0327X671</v>
      </c>
      <c r="H1278" s="1" t="str">
        <f>"화목간 27R11"</f>
        <v>화목간 27R11</v>
      </c>
      <c r="I1278" s="1" t="s">
        <v>8</v>
      </c>
      <c r="J1278" s="1" t="str">
        <f>"29/29"</f>
        <v>29/29</v>
      </c>
      <c r="K1278" s="1" t="str">
        <f t="shared" si="64"/>
        <v>2026-07-29 13:18:02</v>
      </c>
      <c r="L1278" s="1" t="str">
        <f>"2019-11-22 13:33:03"</f>
        <v>2019-11-22 13:33:03</v>
      </c>
      <c r="M1278" s="1" t="s">
        <v>1</v>
      </c>
      <c r="N1278" s="1" t="s">
        <v>38</v>
      </c>
      <c r="O1278" s="1" t="s">
        <v>46</v>
      </c>
    </row>
    <row r="1279" spans="2:15" x14ac:dyDescent="0.3">
      <c r="B1279" s="1" t="s">
        <v>24</v>
      </c>
      <c r="C1279" s="1" t="str">
        <f t="shared" si="65"/>
        <v>4차</v>
      </c>
      <c r="D1279" s="1" t="str">
        <f>"0327X69144"</f>
        <v>0327X69144</v>
      </c>
      <c r="E1279" s="1" t="s">
        <v>10</v>
      </c>
      <c r="F1279" s="1" t="str">
        <f>"10.10.50.250"</f>
        <v>10.10.50.250</v>
      </c>
      <c r="G1279" s="1" t="str">
        <f>"0327X691"</f>
        <v>0327X691</v>
      </c>
      <c r="H1279" s="1" t="str">
        <f>"화목간 27R9"</f>
        <v>화목간 27R9</v>
      </c>
      <c r="I1279" s="1" t="s">
        <v>8</v>
      </c>
      <c r="J1279" s="1" t="str">
        <f>"19/20"</f>
        <v>19/20</v>
      </c>
      <c r="K1279" s="1" t="str">
        <f t="shared" si="64"/>
        <v>2026-07-29 13:18:02</v>
      </c>
      <c r="L1279" s="1" t="str">
        <f>"2019-11-22 13:25:29"</f>
        <v>2019-11-22 13:25:29</v>
      </c>
      <c r="M1279" s="1" t="s">
        <v>1</v>
      </c>
      <c r="N1279" s="1" t="s">
        <v>38</v>
      </c>
      <c r="O1279" s="1" t="s">
        <v>46</v>
      </c>
    </row>
    <row r="1280" spans="2:15" x14ac:dyDescent="0.3">
      <c r="B1280" s="1" t="s">
        <v>24</v>
      </c>
      <c r="C1280" s="1" t="str">
        <f t="shared" si="65"/>
        <v>4차</v>
      </c>
      <c r="D1280" s="1" t="str">
        <f>"0327X69244"</f>
        <v>0327X69244</v>
      </c>
      <c r="E1280" s="1" t="s">
        <v>10</v>
      </c>
      <c r="F1280" s="1" t="str">
        <f>"10.10.50.242"</f>
        <v>10.10.50.242</v>
      </c>
      <c r="G1280" s="1" t="str">
        <f>"0327X692"</f>
        <v>0327X692</v>
      </c>
      <c r="H1280" s="1" t="str">
        <f>"화목간 27R8"</f>
        <v>화목간 27R8</v>
      </c>
      <c r="I1280" s="1" t="s">
        <v>8</v>
      </c>
      <c r="J1280" s="1" t="str">
        <f>"50/50"</f>
        <v>50/50</v>
      </c>
      <c r="K1280" s="1" t="str">
        <f t="shared" si="64"/>
        <v>2026-07-29 13:18:02</v>
      </c>
      <c r="L1280" s="1" t="str">
        <f>"2021-07-28 16:35:25"</f>
        <v>2021-07-28 16:35:25</v>
      </c>
      <c r="M1280" s="1" t="s">
        <v>1</v>
      </c>
      <c r="N1280" s="1" t="s">
        <v>38</v>
      </c>
      <c r="O1280" s="1" t="s">
        <v>46</v>
      </c>
    </row>
    <row r="1281" spans="2:15" x14ac:dyDescent="0.3">
      <c r="B1281" s="1" t="s">
        <v>24</v>
      </c>
      <c r="C1281" s="1" t="str">
        <f t="shared" si="65"/>
        <v>4차</v>
      </c>
      <c r="D1281" s="1" t="str">
        <f>"0327X69444"</f>
        <v>0327X69444</v>
      </c>
      <c r="E1281" s="1" t="s">
        <v>10</v>
      </c>
      <c r="F1281" s="1" t="str">
        <f>"10.10.51.2"</f>
        <v>10.10.51.2</v>
      </c>
      <c r="G1281" s="1" t="str">
        <f>"0327X694"</f>
        <v>0327X694</v>
      </c>
      <c r="H1281" s="1" t="str">
        <f>"화목간 27R9R1"</f>
        <v>화목간 27R9R1</v>
      </c>
      <c r="I1281" s="1" t="s">
        <v>8</v>
      </c>
      <c r="J1281" s="1" t="str">
        <f>"51/51"</f>
        <v>51/51</v>
      </c>
      <c r="K1281" s="1" t="str">
        <f t="shared" si="64"/>
        <v>2026-07-29 13:18:02</v>
      </c>
      <c r="L1281" s="1" t="str">
        <f>"2019-11-22 13:35:44"</f>
        <v>2019-11-22 13:35:44</v>
      </c>
      <c r="M1281" s="1" t="s">
        <v>1</v>
      </c>
      <c r="N1281" s="1" t="s">
        <v>38</v>
      </c>
      <c r="O1281" s="1" t="s">
        <v>46</v>
      </c>
    </row>
    <row r="1282" spans="2:15" x14ac:dyDescent="0.3">
      <c r="B1282" s="1" t="s">
        <v>24</v>
      </c>
      <c r="C1282" s="1" t="str">
        <f t="shared" si="65"/>
        <v>4차</v>
      </c>
      <c r="D1282" s="1" t="str">
        <f>"0327X70144"</f>
        <v>0327X70144</v>
      </c>
      <c r="E1282" s="1" t="s">
        <v>10</v>
      </c>
      <c r="F1282" s="1" t="str">
        <f>"10.10.56.10"</f>
        <v>10.10.56.10</v>
      </c>
      <c r="G1282" s="1" t="str">
        <f>"0327X701"</f>
        <v>0327X701</v>
      </c>
      <c r="H1282" s="1" t="str">
        <f>"면오간 22R3R1L3"</f>
        <v>면오간 22R3R1L3</v>
      </c>
      <c r="I1282" s="1" t="s">
        <v>8</v>
      </c>
      <c r="J1282" s="1" t="str">
        <f>"68/68"</f>
        <v>68/68</v>
      </c>
      <c r="K1282" s="1" t="str">
        <f>"2026-07-29 13:18:03"</f>
        <v>2026-07-29 13:18:03</v>
      </c>
      <c r="L1282" s="1" t="str">
        <f>"2019-09-23 10:15:27"</f>
        <v>2019-09-23 10:15:27</v>
      </c>
      <c r="M1282" s="1" t="s">
        <v>1</v>
      </c>
      <c r="N1282" s="1" t="s">
        <v>38</v>
      </c>
      <c r="O1282" s="1" t="s">
        <v>46</v>
      </c>
    </row>
    <row r="1283" spans="2:15" x14ac:dyDescent="0.3">
      <c r="B1283" s="1" t="s">
        <v>24</v>
      </c>
      <c r="C1283" s="1" t="str">
        <f t="shared" si="65"/>
        <v>4차</v>
      </c>
      <c r="D1283" s="1" t="str">
        <f>"0327X71144"</f>
        <v>0327X71144</v>
      </c>
      <c r="E1283" s="1" t="s">
        <v>10</v>
      </c>
      <c r="F1283" s="1" t="str">
        <f>"10.10.55.250"</f>
        <v>10.10.55.250</v>
      </c>
      <c r="G1283" s="1" t="str">
        <f>"0327X711"</f>
        <v>0327X711</v>
      </c>
      <c r="H1283" s="1" t="str">
        <f>"면오간 22R3R1L1"</f>
        <v>면오간 22R3R1L1</v>
      </c>
      <c r="I1283" s="1" t="s">
        <v>8</v>
      </c>
      <c r="J1283" s="1" t="str">
        <f>"17/17"</f>
        <v>17/17</v>
      </c>
      <c r="K1283" s="1" t="str">
        <f>"2026-07-29 13:18:03"</f>
        <v>2026-07-29 13:18:03</v>
      </c>
      <c r="L1283" s="1" t="str">
        <f>"2019-09-23 10:13:27"</f>
        <v>2019-09-23 10:13:27</v>
      </c>
      <c r="M1283" s="1" t="s">
        <v>1</v>
      </c>
      <c r="N1283" s="1" t="s">
        <v>38</v>
      </c>
      <c r="O1283" s="1" t="s">
        <v>46</v>
      </c>
    </row>
    <row r="1284" spans="2:15" x14ac:dyDescent="0.3">
      <c r="B1284" s="1" t="s">
        <v>24</v>
      </c>
      <c r="C1284" s="1" t="str">
        <f t="shared" si="65"/>
        <v>4차</v>
      </c>
      <c r="D1284" s="1" t="str">
        <f>"0327X71344"</f>
        <v>0327X71344</v>
      </c>
      <c r="E1284" s="1" t="s">
        <v>10</v>
      </c>
      <c r="F1284" s="1" t="str">
        <f>"10.10.56.2"</f>
        <v>10.10.56.2</v>
      </c>
      <c r="G1284" s="1" t="str">
        <f>"0327X713"</f>
        <v>0327X713</v>
      </c>
      <c r="H1284" s="1" t="str">
        <f>"면오간 22R3R1L2"</f>
        <v>면오간 22R3R1L2</v>
      </c>
      <c r="I1284" s="1" t="s">
        <v>8</v>
      </c>
      <c r="J1284" s="1" t="str">
        <f>"42/42"</f>
        <v>42/42</v>
      </c>
      <c r="K1284" s="1" t="str">
        <f>"2026-07-29 13:18:03"</f>
        <v>2026-07-29 13:18:03</v>
      </c>
      <c r="L1284" s="1" t="str">
        <f>"2019-09-23 10:07:57"</f>
        <v>2019-09-23 10:07:57</v>
      </c>
      <c r="M1284" s="1" t="s">
        <v>1</v>
      </c>
      <c r="N1284" s="1" t="s">
        <v>38</v>
      </c>
      <c r="O1284" s="1" t="s">
        <v>46</v>
      </c>
    </row>
    <row r="1285" spans="2:15" x14ac:dyDescent="0.3">
      <c r="B1285" s="1" t="s">
        <v>24</v>
      </c>
      <c r="C1285" s="1" t="str">
        <f t="shared" si="65"/>
        <v>4차</v>
      </c>
      <c r="D1285" s="1" t="str">
        <f>"0327X72144"</f>
        <v>0327X72144</v>
      </c>
      <c r="E1285" s="1" t="s">
        <v>10</v>
      </c>
      <c r="F1285" s="1" t="str">
        <f>"10.10.114.106"</f>
        <v>10.10.114.106</v>
      </c>
      <c r="G1285" s="1" t="str">
        <f>"0327X721"</f>
        <v>0327X721</v>
      </c>
      <c r="H1285" s="1" t="str">
        <f>"면오간 22R4"</f>
        <v>면오간 22R4</v>
      </c>
      <c r="I1285" s="1" t="s">
        <v>8</v>
      </c>
      <c r="J1285" s="1" t="str">
        <f>"21/21"</f>
        <v>21/21</v>
      </c>
      <c r="K1285" s="1" t="str">
        <f>"2026-07-29 13:18:02"</f>
        <v>2026-07-29 13:18:02</v>
      </c>
      <c r="L1285" s="1" t="str">
        <f>"2019-09-23 10:23:04"</f>
        <v>2019-09-23 10:23:04</v>
      </c>
      <c r="M1285" s="1" t="s">
        <v>1</v>
      </c>
      <c r="N1285" s="1" t="s">
        <v>38</v>
      </c>
      <c r="O1285" s="1" t="s">
        <v>46</v>
      </c>
    </row>
    <row r="1286" spans="2:15" x14ac:dyDescent="0.3">
      <c r="B1286" s="1" t="s">
        <v>24</v>
      </c>
      <c r="C1286" s="1" t="str">
        <f t="shared" si="65"/>
        <v>4차</v>
      </c>
      <c r="D1286" s="1" t="str">
        <f>"0327X72244"</f>
        <v>0327X72244</v>
      </c>
      <c r="E1286" s="1" t="s">
        <v>10</v>
      </c>
      <c r="F1286" s="1" t="str">
        <f>"10.10.56.82"</f>
        <v>10.10.56.82</v>
      </c>
      <c r="G1286" s="1" t="str">
        <f>"0327X722"</f>
        <v>0327X722</v>
      </c>
      <c r="H1286" s="1" t="str">
        <f>"면오간 22R5"</f>
        <v>면오간 22R5</v>
      </c>
      <c r="I1286" s="1" t="s">
        <v>8</v>
      </c>
      <c r="J1286" s="1" t="str">
        <f>"19/19"</f>
        <v>19/19</v>
      </c>
      <c r="K1286" s="1" t="str">
        <f>"2026-07-29 13:18:03"</f>
        <v>2026-07-29 13:18:03</v>
      </c>
      <c r="L1286" s="1" t="str">
        <f>"2019-10-11 15:03:04"</f>
        <v>2019-10-11 15:03:04</v>
      </c>
      <c r="M1286" s="1" t="s">
        <v>1</v>
      </c>
      <c r="N1286" s="1" t="s">
        <v>38</v>
      </c>
      <c r="O1286" s="1" t="s">
        <v>46</v>
      </c>
    </row>
    <row r="1287" spans="2:15" x14ac:dyDescent="0.3">
      <c r="B1287" s="1" t="s">
        <v>24</v>
      </c>
      <c r="C1287" s="1" t="str">
        <f t="shared" si="65"/>
        <v>4차</v>
      </c>
      <c r="D1287" s="1" t="str">
        <f>"0327X74244"</f>
        <v>0327X74244</v>
      </c>
      <c r="E1287" s="1" t="s">
        <v>10</v>
      </c>
      <c r="F1287" s="1" t="str">
        <f>"10.10.55.226"</f>
        <v>10.10.55.226</v>
      </c>
      <c r="G1287" s="1" t="str">
        <f>"0327X742"</f>
        <v>0327X742</v>
      </c>
      <c r="H1287" s="1" t="str">
        <f>"면오간 9R3L1"</f>
        <v>면오간 9R3L1</v>
      </c>
      <c r="I1287" s="1" t="s">
        <v>8</v>
      </c>
      <c r="J1287" s="1" t="str">
        <f>"91/91"</f>
        <v>91/91</v>
      </c>
      <c r="K1287" s="1" t="str">
        <f>"2026-07-29 13:18:02"</f>
        <v>2026-07-29 13:18:02</v>
      </c>
      <c r="L1287" s="1" t="str">
        <f>"2019-09-23 10:12:27"</f>
        <v>2019-09-23 10:12:27</v>
      </c>
      <c r="M1287" s="1" t="s">
        <v>1</v>
      </c>
      <c r="N1287" s="1" t="s">
        <v>38</v>
      </c>
      <c r="O1287" s="1" t="s">
        <v>46</v>
      </c>
    </row>
    <row r="1288" spans="2:15" x14ac:dyDescent="0.3">
      <c r="B1288" s="1" t="s">
        <v>24</v>
      </c>
      <c r="C1288" s="1" t="str">
        <f t="shared" si="65"/>
        <v>4차</v>
      </c>
      <c r="D1288" s="1" t="str">
        <f>"0327X76144"</f>
        <v>0327X76144</v>
      </c>
      <c r="E1288" s="1" t="s">
        <v>10</v>
      </c>
      <c r="F1288" s="1" t="str">
        <f>"10.10.55.66"</f>
        <v>10.10.55.66</v>
      </c>
      <c r="G1288" s="1" t="str">
        <f>"0327X761"</f>
        <v>0327X761</v>
      </c>
      <c r="H1288" s="1" t="str">
        <f>"금성간 23L15R1"</f>
        <v>금성간 23L15R1</v>
      </c>
      <c r="I1288" s="1" t="s">
        <v>8</v>
      </c>
      <c r="J1288" s="1" t="str">
        <f>"19/19"</f>
        <v>19/19</v>
      </c>
      <c r="K1288" s="1" t="str">
        <f>"2026-07-29 13:18:02"</f>
        <v>2026-07-29 13:18:02</v>
      </c>
      <c r="L1288" s="1" t="str">
        <f>"2019-11-05 08:09:17"</f>
        <v>2019-11-05 08:09:17</v>
      </c>
      <c r="M1288" s="1" t="s">
        <v>1</v>
      </c>
      <c r="N1288" s="1" t="s">
        <v>38</v>
      </c>
      <c r="O1288" s="1" t="s">
        <v>46</v>
      </c>
    </row>
    <row r="1289" spans="2:15" x14ac:dyDescent="0.3">
      <c r="B1289" s="1" t="s">
        <v>24</v>
      </c>
      <c r="C1289" s="1" t="str">
        <f t="shared" si="65"/>
        <v>4차</v>
      </c>
      <c r="D1289" s="1" t="str">
        <f>"0327X77144"</f>
        <v>0327X77144</v>
      </c>
      <c r="E1289" s="1" t="s">
        <v>10</v>
      </c>
      <c r="F1289" s="1" t="str">
        <f>"10.10.55.74"</f>
        <v>10.10.55.74</v>
      </c>
      <c r="G1289" s="1" t="str">
        <f>"0327X771"</f>
        <v>0327X771</v>
      </c>
      <c r="H1289" s="1" t="str">
        <f>"금성간 23L15R2"</f>
        <v>금성간 23L15R2</v>
      </c>
      <c r="I1289" s="1" t="s">
        <v>8</v>
      </c>
      <c r="J1289" s="1" t="str">
        <f>"63/63"</f>
        <v>63/63</v>
      </c>
      <c r="K1289" s="1" t="str">
        <f>"2026-07-29 13:18:02"</f>
        <v>2026-07-29 13:18:02</v>
      </c>
      <c r="L1289" s="1" t="str">
        <f>"2021-07-28 16:40:38"</f>
        <v>2021-07-28 16:40:38</v>
      </c>
      <c r="M1289" s="1" t="s">
        <v>1</v>
      </c>
      <c r="N1289" s="1" t="s">
        <v>38</v>
      </c>
      <c r="O1289" s="1" t="s">
        <v>46</v>
      </c>
    </row>
    <row r="1290" spans="2:15" x14ac:dyDescent="0.3">
      <c r="B1290" s="1" t="s">
        <v>24</v>
      </c>
      <c r="C1290" s="1" t="str">
        <f t="shared" si="65"/>
        <v>4차</v>
      </c>
      <c r="D1290" s="1" t="str">
        <f>"0327X82144"</f>
        <v>0327X82144</v>
      </c>
      <c r="E1290" s="1" t="s">
        <v>10</v>
      </c>
      <c r="F1290" s="1" t="str">
        <f>"10.10.114.114"</f>
        <v>10.10.114.114</v>
      </c>
      <c r="G1290" s="1" t="str">
        <f>"0327X821"</f>
        <v>0327X821</v>
      </c>
      <c r="H1290" s="1" t="str">
        <f>"면오간 22R2"</f>
        <v>면오간 22R2</v>
      </c>
      <c r="I1290" s="1" t="s">
        <v>8</v>
      </c>
      <c r="J1290" s="1" t="str">
        <f>"22/22"</f>
        <v>22/22</v>
      </c>
      <c r="K1290" s="1" t="str">
        <f>"2026-07-29 13:18:02"</f>
        <v>2026-07-29 13:18:02</v>
      </c>
      <c r="L1290" s="1" t="str">
        <f>"2019-09-23 10:23:28"</f>
        <v>2019-09-23 10:23:28</v>
      </c>
      <c r="M1290" s="1" t="s">
        <v>1</v>
      </c>
      <c r="N1290" s="1" t="s">
        <v>38</v>
      </c>
      <c r="O1290" s="1" t="s">
        <v>46</v>
      </c>
    </row>
    <row r="1291" spans="2:15" x14ac:dyDescent="0.3">
      <c r="B1291" s="1" t="s">
        <v>24</v>
      </c>
      <c r="C1291" s="1" t="str">
        <f t="shared" si="65"/>
        <v>4차</v>
      </c>
      <c r="D1291" s="1" t="str">
        <f>"0327X82244"</f>
        <v>0327X82244</v>
      </c>
      <c r="E1291" s="1" t="s">
        <v>10</v>
      </c>
      <c r="F1291" s="1" t="str">
        <f>"10.10.55.242"</f>
        <v>10.10.55.242</v>
      </c>
      <c r="G1291" s="1" t="str">
        <f>"0327X822"</f>
        <v>0327X822</v>
      </c>
      <c r="H1291" s="1" t="str">
        <f>"면오간 22R3"</f>
        <v>면오간 22R3</v>
      </c>
      <c r="I1291" s="1" t="s">
        <v>8</v>
      </c>
      <c r="J1291" s="1" t="str">
        <f>"31/31"</f>
        <v>31/31</v>
      </c>
      <c r="K1291" s="1" t="str">
        <f>"2026-07-29 13:18:02"</f>
        <v>2026-07-29 13:18:02</v>
      </c>
      <c r="L1291" s="1" t="str">
        <f>"2019-09-23 10:13:04"</f>
        <v>2019-09-23 10:13:04</v>
      </c>
      <c r="M1291" s="1" t="s">
        <v>1</v>
      </c>
      <c r="N1291" s="1" t="s">
        <v>38</v>
      </c>
      <c r="O1291" s="1" t="s">
        <v>46</v>
      </c>
    </row>
    <row r="1292" spans="2:15" x14ac:dyDescent="0.3">
      <c r="B1292" s="1" t="s">
        <v>24</v>
      </c>
      <c r="C1292" s="1" t="str">
        <f t="shared" si="65"/>
        <v>4차</v>
      </c>
      <c r="D1292" s="1" t="str">
        <f>"0327X82544"</f>
        <v>0327X82544</v>
      </c>
      <c r="E1292" s="1" t="s">
        <v>10</v>
      </c>
      <c r="F1292" s="1" t="str">
        <f>"10.10.56.26"</f>
        <v>10.10.56.26</v>
      </c>
      <c r="G1292" s="1" t="str">
        <f>"0327X825"</f>
        <v>0327X825</v>
      </c>
      <c r="H1292" s="1" t="str">
        <f>"면오간 22R2L1"</f>
        <v>면오간 22R2L1</v>
      </c>
      <c r="I1292" s="1" t="s">
        <v>8</v>
      </c>
      <c r="J1292" s="1" t="str">
        <f>"26/26"</f>
        <v>26/26</v>
      </c>
      <c r="K1292" s="1" t="str">
        <f>"2026-07-29 13:18:03"</f>
        <v>2026-07-29 13:18:03</v>
      </c>
      <c r="L1292" s="1" t="str">
        <f>"2019-10-27 06:23:05"</f>
        <v>2019-10-27 06:23:05</v>
      </c>
      <c r="M1292" s="1" t="s">
        <v>1</v>
      </c>
      <c r="N1292" s="1" t="s">
        <v>38</v>
      </c>
      <c r="O1292" s="1" t="s">
        <v>46</v>
      </c>
    </row>
    <row r="1293" spans="2:15" x14ac:dyDescent="0.3">
      <c r="B1293" s="1" t="s">
        <v>24</v>
      </c>
      <c r="C1293" s="1" t="str">
        <f t="shared" si="65"/>
        <v>4차</v>
      </c>
      <c r="D1293" s="1" t="str">
        <f>"0327X83144"</f>
        <v>0327X83144</v>
      </c>
      <c r="E1293" s="1" t="s">
        <v>10</v>
      </c>
      <c r="F1293" s="1" t="str">
        <f>"10.10.56.18"</f>
        <v>10.10.56.18</v>
      </c>
      <c r="G1293" s="1" t="str">
        <f>"0327X831"</f>
        <v>0327X831</v>
      </c>
      <c r="H1293" s="1" t="str">
        <f>"면오간 22R3R2"</f>
        <v>면오간 22R3R2</v>
      </c>
      <c r="I1293" s="1" t="s">
        <v>8</v>
      </c>
      <c r="J1293" s="1" t="str">
        <f>"29/29"</f>
        <v>29/29</v>
      </c>
      <c r="K1293" s="1" t="str">
        <f>"2026-07-29 13:18:02"</f>
        <v>2026-07-29 13:18:02</v>
      </c>
      <c r="L1293" s="1" t="str">
        <f>"2019-09-23 10:15:43"</f>
        <v>2019-09-23 10:15:43</v>
      </c>
      <c r="M1293" s="1" t="s">
        <v>1</v>
      </c>
      <c r="N1293" s="1" t="s">
        <v>38</v>
      </c>
      <c r="O1293" s="1" t="s">
        <v>46</v>
      </c>
    </row>
    <row r="1294" spans="2:15" x14ac:dyDescent="0.3">
      <c r="B1294" s="1" t="s">
        <v>24</v>
      </c>
      <c r="C1294" s="1" t="str">
        <f>"3차"</f>
        <v>3차</v>
      </c>
      <c r="D1294" s="1" t="str">
        <f>"0327X84139"</f>
        <v>0327X84139</v>
      </c>
      <c r="E1294" s="1" t="s">
        <v>10</v>
      </c>
      <c r="F1294" s="1" t="str">
        <f>"10.14.15.10"</f>
        <v>10.14.15.10</v>
      </c>
      <c r="G1294" s="1" t="str">
        <f>"0327X841"</f>
        <v>0327X841</v>
      </c>
      <c r="H1294" s="1" t="str">
        <f>"면오간 13R2"</f>
        <v>면오간 13R2</v>
      </c>
      <c r="I1294" s="1" t="s">
        <v>8</v>
      </c>
      <c r="J1294" s="1" t="str">
        <f>"47/47"</f>
        <v>47/47</v>
      </c>
      <c r="K1294" s="1" t="str">
        <f>"2026-07-29 13:18:03"</f>
        <v>2026-07-29 13:18:03</v>
      </c>
      <c r="L1294" s="1" t="str">
        <f>"2018-04-17 18:18:16"</f>
        <v>2018-04-17 18:18:16</v>
      </c>
      <c r="M1294" s="1" t="s">
        <v>3</v>
      </c>
      <c r="N1294" s="1" t="s">
        <v>38</v>
      </c>
      <c r="O1294" s="1" t="s">
        <v>46</v>
      </c>
    </row>
    <row r="1295" spans="2:15" x14ac:dyDescent="0.3">
      <c r="B1295" s="1" t="s">
        <v>24</v>
      </c>
      <c r="C1295" s="1" t="str">
        <f>"3차"</f>
        <v>3차</v>
      </c>
      <c r="D1295" s="1" t="str">
        <f>"0327X86539"</f>
        <v>0327X86539</v>
      </c>
      <c r="E1295" s="1" t="s">
        <v>10</v>
      </c>
      <c r="F1295" s="1" t="str">
        <f>"10.12.130.178"</f>
        <v>10.12.130.178</v>
      </c>
      <c r="G1295" s="1" t="str">
        <f>"0327X865"</f>
        <v>0327X865</v>
      </c>
      <c r="H1295" s="1" t="str">
        <f>"금성간 23L14"</f>
        <v>금성간 23L14</v>
      </c>
      <c r="I1295" s="1" t="s">
        <v>8</v>
      </c>
      <c r="J1295" s="1" t="str">
        <f>"43/43"</f>
        <v>43/43</v>
      </c>
      <c r="K1295" s="1" t="str">
        <f t="shared" ref="K1295:K1301" si="66">"2026-07-29 13:18:02"</f>
        <v>2026-07-29 13:18:02</v>
      </c>
      <c r="L1295" s="1" t="str">
        <f>"2018-04-17 18:18:15"</f>
        <v>2018-04-17 18:18:15</v>
      </c>
      <c r="M1295" s="1" t="s">
        <v>0</v>
      </c>
      <c r="N1295" s="1" t="s">
        <v>38</v>
      </c>
      <c r="O1295" s="1" t="s">
        <v>46</v>
      </c>
    </row>
    <row r="1296" spans="2:15" x14ac:dyDescent="0.3">
      <c r="B1296" s="1" t="s">
        <v>24</v>
      </c>
      <c r="C1296" s="1" t="str">
        <f t="shared" ref="C1296:C1302" si="67">"4차"</f>
        <v>4차</v>
      </c>
      <c r="D1296" s="1" t="str">
        <f>"0327X87144"</f>
        <v>0327X87144</v>
      </c>
      <c r="E1296" s="1" t="s">
        <v>10</v>
      </c>
      <c r="F1296" s="1" t="str">
        <f>"10.10.50.210"</f>
        <v>10.10.50.210</v>
      </c>
      <c r="G1296" s="1" t="str">
        <f>"0327X871"</f>
        <v>0327X871</v>
      </c>
      <c r="H1296" s="1" t="str">
        <f>"화목간 27R3L6"</f>
        <v>화목간 27R3L6</v>
      </c>
      <c r="I1296" s="1" t="s">
        <v>8</v>
      </c>
      <c r="J1296" s="1" t="str">
        <f>"34/34"</f>
        <v>34/34</v>
      </c>
      <c r="K1296" s="1" t="str">
        <f t="shared" si="66"/>
        <v>2026-07-29 13:18:02</v>
      </c>
      <c r="L1296" s="1" t="str">
        <f>"2019-11-22 16:02:44"</f>
        <v>2019-11-22 16:02:44</v>
      </c>
      <c r="M1296" s="1" t="s">
        <v>1</v>
      </c>
      <c r="N1296" s="1" t="s">
        <v>38</v>
      </c>
      <c r="O1296" s="1" t="s">
        <v>46</v>
      </c>
    </row>
    <row r="1297" spans="2:15" x14ac:dyDescent="0.3">
      <c r="B1297" s="1" t="s">
        <v>24</v>
      </c>
      <c r="C1297" s="1" t="str">
        <f t="shared" si="67"/>
        <v>4차</v>
      </c>
      <c r="D1297" s="1" t="str">
        <f>"0327X88144"</f>
        <v>0327X88144</v>
      </c>
      <c r="E1297" s="1" t="s">
        <v>10</v>
      </c>
      <c r="F1297" s="1" t="str">
        <f>"10.10.50.202"</f>
        <v>10.10.50.202</v>
      </c>
      <c r="G1297" s="1" t="str">
        <f>"0327X881"</f>
        <v>0327X881</v>
      </c>
      <c r="H1297" s="1" t="str">
        <f>"화목간 27R3L5"</f>
        <v>화목간 27R3L5</v>
      </c>
      <c r="I1297" s="1" t="s">
        <v>8</v>
      </c>
      <c r="J1297" s="1" t="str">
        <f>"57/57"</f>
        <v>57/57</v>
      </c>
      <c r="K1297" s="1" t="str">
        <f t="shared" si="66"/>
        <v>2026-07-29 13:18:02</v>
      </c>
      <c r="L1297" s="1" t="str">
        <f>"2019-11-22 16:12:15"</f>
        <v>2019-11-22 16:12:15</v>
      </c>
      <c r="M1297" s="1" t="s">
        <v>1</v>
      </c>
      <c r="N1297" s="1" t="s">
        <v>38</v>
      </c>
      <c r="O1297" s="1" t="s">
        <v>46</v>
      </c>
    </row>
    <row r="1298" spans="2:15" x14ac:dyDescent="0.3">
      <c r="B1298" s="1" t="s">
        <v>24</v>
      </c>
      <c r="C1298" s="1" t="str">
        <f t="shared" si="67"/>
        <v>4차</v>
      </c>
      <c r="D1298" s="1" t="str">
        <f>"0327X88244"</f>
        <v>0327X88244</v>
      </c>
      <c r="E1298" s="1" t="s">
        <v>10</v>
      </c>
      <c r="F1298" s="1" t="str">
        <f>"10.10.63.250"</f>
        <v>10.10.63.250</v>
      </c>
      <c r="G1298" s="1" t="str">
        <f>"0327X882"</f>
        <v>0327X882</v>
      </c>
      <c r="H1298" s="1" t="str">
        <f>"화목간 30R2"</f>
        <v>화목간 30R2</v>
      </c>
      <c r="I1298" s="1" t="s">
        <v>8</v>
      </c>
      <c r="J1298" s="1" t="str">
        <f>"10/10"</f>
        <v>10/10</v>
      </c>
      <c r="K1298" s="1" t="str">
        <f t="shared" si="66"/>
        <v>2026-07-29 13:18:02</v>
      </c>
      <c r="L1298" s="1" t="str">
        <f>"2019-11-22 16:37:01"</f>
        <v>2019-11-22 16:37:01</v>
      </c>
      <c r="M1298" s="1" t="s">
        <v>1</v>
      </c>
      <c r="N1298" s="1" t="s">
        <v>38</v>
      </c>
      <c r="O1298" s="1" t="s">
        <v>46</v>
      </c>
    </row>
    <row r="1299" spans="2:15" x14ac:dyDescent="0.3">
      <c r="B1299" s="1" t="s">
        <v>24</v>
      </c>
      <c r="C1299" s="1" t="str">
        <f t="shared" si="67"/>
        <v>4차</v>
      </c>
      <c r="D1299" s="1" t="str">
        <f>"0327X89144"</f>
        <v>0327X89144</v>
      </c>
      <c r="E1299" s="1" t="s">
        <v>10</v>
      </c>
      <c r="F1299" s="1" t="str">
        <f>"10.10.50.194"</f>
        <v>10.10.50.194</v>
      </c>
      <c r="G1299" s="1" t="str">
        <f>"0327X891"</f>
        <v>0327X891</v>
      </c>
      <c r="H1299" s="1" t="str">
        <f>"화목간 27R3L4"</f>
        <v>화목간 27R3L4</v>
      </c>
      <c r="I1299" s="1" t="s">
        <v>8</v>
      </c>
      <c r="J1299" s="1" t="str">
        <f>"53/53"</f>
        <v>53/53</v>
      </c>
      <c r="K1299" s="1" t="str">
        <f t="shared" si="66"/>
        <v>2026-07-29 13:18:02</v>
      </c>
      <c r="L1299" s="1" t="str">
        <f>"2019-11-22 16:45:31"</f>
        <v>2019-11-22 16:45:31</v>
      </c>
      <c r="M1299" s="1" t="s">
        <v>1</v>
      </c>
      <c r="N1299" s="1" t="s">
        <v>38</v>
      </c>
      <c r="O1299" s="1" t="s">
        <v>46</v>
      </c>
    </row>
    <row r="1300" spans="2:15" x14ac:dyDescent="0.3">
      <c r="B1300" s="1" t="s">
        <v>24</v>
      </c>
      <c r="C1300" s="1" t="str">
        <f t="shared" si="67"/>
        <v>4차</v>
      </c>
      <c r="D1300" s="1" t="str">
        <f>"0327X90144"</f>
        <v>0327X90144</v>
      </c>
      <c r="E1300" s="1" t="s">
        <v>10</v>
      </c>
      <c r="F1300" s="1" t="str">
        <f>"10.10.56.138"</f>
        <v>10.10.56.138</v>
      </c>
      <c r="G1300" s="1" t="str">
        <f>"0327X901"</f>
        <v>0327X901</v>
      </c>
      <c r="H1300" s="1" t="str">
        <f>"면오간 25"</f>
        <v>면오간 25</v>
      </c>
      <c r="I1300" s="1" t="s">
        <v>8</v>
      </c>
      <c r="J1300" s="1" t="str">
        <f>"8/8"</f>
        <v>8/8</v>
      </c>
      <c r="K1300" s="1" t="str">
        <f t="shared" si="66"/>
        <v>2026-07-29 13:18:02</v>
      </c>
      <c r="L1300" s="1" t="str">
        <f>"2019-09-23 16:42:28"</f>
        <v>2019-09-23 16:42:28</v>
      </c>
      <c r="M1300" s="1" t="s">
        <v>1</v>
      </c>
      <c r="N1300" s="1" t="s">
        <v>38</v>
      </c>
      <c r="O1300" s="1" t="s">
        <v>46</v>
      </c>
    </row>
    <row r="1301" spans="2:15" x14ac:dyDescent="0.3">
      <c r="B1301" s="1" t="s">
        <v>24</v>
      </c>
      <c r="C1301" s="1" t="str">
        <f t="shared" si="67"/>
        <v>4차</v>
      </c>
      <c r="D1301" s="1" t="str">
        <f>"0327X94344"</f>
        <v>0327X94344</v>
      </c>
      <c r="E1301" s="1" t="s">
        <v>10</v>
      </c>
      <c r="F1301" s="1" t="str">
        <f>"10.10.58.34"</f>
        <v>10.10.58.34</v>
      </c>
      <c r="G1301" s="1" t="str">
        <f>"0327X943"</f>
        <v>0327X943</v>
      </c>
      <c r="H1301" s="1" t="str">
        <f>"대주간 22"</f>
        <v>대주간 22</v>
      </c>
      <c r="I1301" s="1" t="s">
        <v>8</v>
      </c>
      <c r="J1301" s="1" t="str">
        <f>"26/26"</f>
        <v>26/26</v>
      </c>
      <c r="K1301" s="1" t="str">
        <f t="shared" si="66"/>
        <v>2026-07-29 13:18:02</v>
      </c>
      <c r="L1301" s="1" t="str">
        <f>"2019-12-11 17:36:53"</f>
        <v>2019-12-11 17:36:53</v>
      </c>
      <c r="M1301" s="1" t="s">
        <v>1</v>
      </c>
      <c r="N1301" s="1" t="s">
        <v>38</v>
      </c>
      <c r="O1301" s="1" t="s">
        <v>46</v>
      </c>
    </row>
    <row r="1302" spans="2:15" x14ac:dyDescent="0.3">
      <c r="B1302" s="1" t="s">
        <v>24</v>
      </c>
      <c r="C1302" s="1" t="str">
        <f t="shared" si="67"/>
        <v>4차</v>
      </c>
      <c r="D1302" s="1" t="str">
        <f>"0327X97144"</f>
        <v>0327X97144</v>
      </c>
      <c r="E1302" s="1" t="s">
        <v>10</v>
      </c>
      <c r="F1302" s="1" t="str">
        <f>"10.10.63.170"</f>
        <v>10.10.63.170</v>
      </c>
      <c r="G1302" s="1" t="str">
        <f>"0327X971"</f>
        <v>0327X971</v>
      </c>
      <c r="H1302" s="1" t="str">
        <f>"화목간 32"</f>
        <v>화목간 32</v>
      </c>
      <c r="I1302" s="1" t="s">
        <v>8</v>
      </c>
      <c r="J1302" s="1" t="str">
        <f>"16/18"</f>
        <v>16/18</v>
      </c>
      <c r="K1302" s="1" t="str">
        <f>"2026-07-29 13:18:03"</f>
        <v>2026-07-29 13:18:03</v>
      </c>
      <c r="L1302" s="1" t="str">
        <f>"2019-08-23 00:14:03"</f>
        <v>2019-08-23 00:14:03</v>
      </c>
      <c r="M1302" s="1" t="s">
        <v>1</v>
      </c>
      <c r="N1302" s="1" t="s">
        <v>38</v>
      </c>
      <c r="O1302" s="1" t="s">
        <v>46</v>
      </c>
    </row>
    <row r="1303" spans="2:15" x14ac:dyDescent="0.3">
      <c r="B1303" s="1" t="s">
        <v>24</v>
      </c>
      <c r="C1303" s="1" t="str">
        <f>"5-2차"</f>
        <v>5-2차</v>
      </c>
      <c r="D1303" s="1" t="str">
        <f>"0327Y1045M"</f>
        <v>0327Y1045M</v>
      </c>
      <c r="E1303" s="1" t="s">
        <v>10</v>
      </c>
      <c r="F1303" s="1" t="str">
        <f>"fde3:102:1430:3200:0:0:0:d"</f>
        <v>fde3:102:1430:3200:0:0:0:d</v>
      </c>
      <c r="G1303" s="1" t="str">
        <f>"0327Y104"</f>
        <v>0327Y104</v>
      </c>
      <c r="H1303" s="1" t="str">
        <f>"휘주간 36L6R10"</f>
        <v>휘주간 36L6R10</v>
      </c>
      <c r="I1303" s="1" t="s">
        <v>15</v>
      </c>
      <c r="J1303" s="1" t="str">
        <f>"59/59"</f>
        <v>59/59</v>
      </c>
      <c r="K1303" s="1" t="str">
        <f>"2026-07-29 14:20:54"</f>
        <v>2026-07-29 14:20:54</v>
      </c>
      <c r="L1303" s="1" t="str">
        <f>"2023-09-27 13:33:50"</f>
        <v>2023-09-27 13:33:50</v>
      </c>
      <c r="M1303" s="1" t="s">
        <v>45</v>
      </c>
      <c r="N1303" s="1" t="s">
        <v>38</v>
      </c>
      <c r="O1303" s="1" t="s">
        <v>46</v>
      </c>
    </row>
    <row r="1304" spans="2:15" x14ac:dyDescent="0.3">
      <c r="B1304" s="1" t="s">
        <v>24</v>
      </c>
      <c r="C1304" s="1" t="str">
        <f>"4차"</f>
        <v>4차</v>
      </c>
      <c r="D1304" s="1" t="str">
        <f>"0327Y12139"</f>
        <v>0327Y12139</v>
      </c>
      <c r="E1304" s="1" t="s">
        <v>10</v>
      </c>
      <c r="F1304" s="1" t="str">
        <f>"10.12.130.26"</f>
        <v>10.12.130.26</v>
      </c>
      <c r="G1304" s="1" t="str">
        <f>"0327Y121"</f>
        <v>0327Y121</v>
      </c>
      <c r="H1304" s="1" t="str">
        <f>"휘주간 36L6R6"</f>
        <v>휘주간 36L6R6</v>
      </c>
      <c r="I1304" s="1" t="s">
        <v>17</v>
      </c>
      <c r="J1304" s="1" t="str">
        <f>"18/30"</f>
        <v>18/30</v>
      </c>
      <c r="K1304" s="1" t="str">
        <f>"2026-07-29 13:18:02"</f>
        <v>2026-07-29 13:18:02</v>
      </c>
      <c r="L1304" s="1" t="str">
        <f>"2020-11-17 12:18:57"</f>
        <v>2020-11-17 12:18:57</v>
      </c>
      <c r="M1304" s="1" t="s">
        <v>0</v>
      </c>
      <c r="N1304" s="1" t="s">
        <v>38</v>
      </c>
      <c r="O1304" s="1" t="s">
        <v>46</v>
      </c>
    </row>
    <row r="1305" spans="2:15" x14ac:dyDescent="0.3">
      <c r="B1305" s="1" t="s">
        <v>24</v>
      </c>
      <c r="C1305" s="1" t="str">
        <f>"5-2차"</f>
        <v>5-2차</v>
      </c>
      <c r="D1305" s="1" t="str">
        <f>"0327Y3015M"</f>
        <v>0327Y3015M</v>
      </c>
      <c r="E1305" s="1" t="s">
        <v>10</v>
      </c>
      <c r="F1305" s="1" t="str">
        <f>"fde3:102:1430:3200:0:0:0:e"</f>
        <v>fde3:102:1430:3200:0:0:0:e</v>
      </c>
      <c r="G1305" s="1" t="str">
        <f>"0327Y301"</f>
        <v>0327Y301</v>
      </c>
      <c r="H1305" s="1" t="str">
        <f>"뚝방지 42R3"</f>
        <v>뚝방지 42R3</v>
      </c>
      <c r="I1305" s="1" t="s">
        <v>15</v>
      </c>
      <c r="J1305" s="1" t="str">
        <f>"56/56"</f>
        <v>56/56</v>
      </c>
      <c r="K1305" s="1" t="str">
        <f>"2026-07-29 14:20:55"</f>
        <v>2026-07-29 14:20:55</v>
      </c>
      <c r="L1305" s="1" t="str">
        <f>"2023-09-27 13:13:52"</f>
        <v>2023-09-27 13:13:52</v>
      </c>
      <c r="M1305" s="1" t="s">
        <v>45</v>
      </c>
      <c r="N1305" s="1" t="s">
        <v>38</v>
      </c>
      <c r="O1305" s="1" t="s">
        <v>46</v>
      </c>
    </row>
    <row r="1306" spans="2:15" x14ac:dyDescent="0.3">
      <c r="B1306" s="1" t="s">
        <v>24</v>
      </c>
      <c r="C1306" s="1" t="s">
        <v>16</v>
      </c>
      <c r="D1306" s="1" t="str">
        <f>"0327Y31141"</f>
        <v>0327Y31141</v>
      </c>
      <c r="E1306" s="1" t="s">
        <v>10</v>
      </c>
      <c r="F1306" s="1" t="str">
        <f>"10.14.14.202"</f>
        <v>10.14.14.202</v>
      </c>
      <c r="G1306" s="1" t="str">
        <f>"0327Y311"</f>
        <v>0327Y311</v>
      </c>
      <c r="H1306" s="1" t="str">
        <f>"뚝방지 42R4"</f>
        <v>뚝방지 42R4</v>
      </c>
      <c r="I1306" s="1" t="s">
        <v>17</v>
      </c>
      <c r="J1306" s="1" t="str">
        <f>"27/28"</f>
        <v>27/28</v>
      </c>
      <c r="K1306" s="1" t="str">
        <f>"2026-07-29 13:18:03"</f>
        <v>2026-07-29 13:18:03</v>
      </c>
      <c r="L1306" s="1" t="str">
        <f>"2022-11-24 17:17:28"</f>
        <v>2022-11-24 17:17:28</v>
      </c>
      <c r="M1306" s="1" t="s">
        <v>3</v>
      </c>
      <c r="N1306" s="1" t="s">
        <v>38</v>
      </c>
      <c r="O1306" s="1" t="s">
        <v>46</v>
      </c>
    </row>
    <row r="1307" spans="2:15" x14ac:dyDescent="0.3">
      <c r="B1307" s="1" t="s">
        <v>24</v>
      </c>
      <c r="C1307" s="1" t="str">
        <f t="shared" ref="C1307:C1313" si="68">"5-2차"</f>
        <v>5-2차</v>
      </c>
      <c r="D1307" s="1" t="str">
        <f>"0327Y5225M"</f>
        <v>0327Y5225M</v>
      </c>
      <c r="E1307" s="1" t="s">
        <v>10</v>
      </c>
      <c r="F1307" s="1" t="str">
        <f>"fde3:102:1430:3200:0:0:0:f"</f>
        <v>fde3:102:1430:3200:0:0:0:f</v>
      </c>
      <c r="G1307" s="1" t="str">
        <f>"0327Y522"</f>
        <v>0327Y522</v>
      </c>
      <c r="H1307" s="1" t="str">
        <f>"뚝방지 42R6R5"</f>
        <v>뚝방지 42R6R5</v>
      </c>
      <c r="I1307" s="1" t="s">
        <v>15</v>
      </c>
      <c r="J1307" s="1" t="str">
        <f>"142/142"</f>
        <v>142/142</v>
      </c>
      <c r="K1307" s="1" t="str">
        <f>"2026-07-29 14:20:37"</f>
        <v>2026-07-29 14:20:37</v>
      </c>
      <c r="L1307" s="1" t="str">
        <f>"2023-09-27 12:51:37"</f>
        <v>2023-09-27 12:51:37</v>
      </c>
      <c r="M1307" s="1" t="s">
        <v>45</v>
      </c>
      <c r="N1307" s="1" t="s">
        <v>38</v>
      </c>
      <c r="O1307" s="1" t="s">
        <v>46</v>
      </c>
    </row>
    <row r="1308" spans="2:15" x14ac:dyDescent="0.3">
      <c r="B1308" s="1" t="s">
        <v>24</v>
      </c>
      <c r="C1308" s="1" t="str">
        <f t="shared" si="68"/>
        <v>5-2차</v>
      </c>
      <c r="D1308" s="1" t="str">
        <f>"0327Y5535M"</f>
        <v>0327Y5535M</v>
      </c>
      <c r="E1308" s="1" t="s">
        <v>10</v>
      </c>
      <c r="F1308" s="1" t="str">
        <f>"fde3:102:1430:5300:0:0:0:3"</f>
        <v>fde3:102:1430:5300:0:0:0:3</v>
      </c>
      <c r="G1308" s="1" t="str">
        <f>"0327Y553"</f>
        <v>0327Y553</v>
      </c>
      <c r="H1308" s="1" t="str">
        <f>"휘주간 36L10"</f>
        <v>휘주간 36L10</v>
      </c>
      <c r="I1308" s="1" t="s">
        <v>15</v>
      </c>
      <c r="J1308" s="1" t="str">
        <f>"44/44"</f>
        <v>44/44</v>
      </c>
      <c r="K1308" s="1" t="str">
        <f>"2026-07-29 14:20:55"</f>
        <v>2026-07-29 14:20:55</v>
      </c>
      <c r="L1308" s="1" t="str">
        <f>"2024-01-30 15:42:54"</f>
        <v>2024-01-30 15:42:54</v>
      </c>
      <c r="M1308" s="1" t="s">
        <v>45</v>
      </c>
      <c r="N1308" s="1" t="s">
        <v>38</v>
      </c>
      <c r="O1308" s="1" t="s">
        <v>46</v>
      </c>
    </row>
    <row r="1309" spans="2:15" x14ac:dyDescent="0.3">
      <c r="B1309" s="1" t="s">
        <v>24</v>
      </c>
      <c r="C1309" s="1" t="str">
        <f t="shared" si="68"/>
        <v>5-2차</v>
      </c>
      <c r="D1309" s="1" t="str">
        <f>"0327Y6235M"</f>
        <v>0327Y6235M</v>
      </c>
      <c r="E1309" s="1" t="s">
        <v>10</v>
      </c>
      <c r="F1309" s="1" t="str">
        <f>"fde1:103:4:57f7:0:0:0:2"</f>
        <v>fde1:103:4:57f7:0:0:0:2</v>
      </c>
      <c r="G1309" s="1" t="str">
        <f>"0327Y623"</f>
        <v>0327Y623</v>
      </c>
      <c r="H1309" s="1" t="str">
        <f>"뚝방지 42R6R7"</f>
        <v>뚝방지 42R6R7</v>
      </c>
      <c r="I1309" s="1" t="s">
        <v>15</v>
      </c>
      <c r="J1309" s="1" t="str">
        <f>"113/113"</f>
        <v>113/113</v>
      </c>
      <c r="K1309" s="1" t="str">
        <f>"2026-07-29 14:20:27"</f>
        <v>2026-07-29 14:20:27</v>
      </c>
      <c r="L1309" s="1" t="str">
        <f>"2023-09-20 09:55:32"</f>
        <v>2023-09-20 09:55:32</v>
      </c>
      <c r="M1309" s="1" t="s">
        <v>4</v>
      </c>
      <c r="N1309" s="1" t="s">
        <v>38</v>
      </c>
      <c r="O1309" s="1" t="s">
        <v>46</v>
      </c>
    </row>
    <row r="1310" spans="2:15" x14ac:dyDescent="0.3">
      <c r="B1310" s="1" t="s">
        <v>24</v>
      </c>
      <c r="C1310" s="1" t="str">
        <f t="shared" si="68"/>
        <v>5-2차</v>
      </c>
      <c r="D1310" s="1" t="str">
        <f>"0327Y6535M"</f>
        <v>0327Y6535M</v>
      </c>
      <c r="E1310" s="1" t="s">
        <v>10</v>
      </c>
      <c r="F1310" s="1" t="str">
        <f>"fde3:102:1430:5300:0:0:0:4"</f>
        <v>fde3:102:1430:5300:0:0:0:4</v>
      </c>
      <c r="G1310" s="1" t="str">
        <f>"0327Y653"</f>
        <v>0327Y653</v>
      </c>
      <c r="H1310" s="1" t="str">
        <f>"휘주간 36L11"</f>
        <v>휘주간 36L11</v>
      </c>
      <c r="I1310" s="1" t="s">
        <v>15</v>
      </c>
      <c r="J1310" s="1" t="str">
        <f>"43/43"</f>
        <v>43/43</v>
      </c>
      <c r="K1310" s="1" t="str">
        <f>"2026-07-29 14:20:55"</f>
        <v>2026-07-29 14:20:55</v>
      </c>
      <c r="L1310" s="1" t="str">
        <f>"2024-01-30 15:24:02"</f>
        <v>2024-01-30 15:24:02</v>
      </c>
      <c r="M1310" s="1" t="s">
        <v>45</v>
      </c>
      <c r="N1310" s="1" t="s">
        <v>38</v>
      </c>
      <c r="O1310" s="1" t="s">
        <v>46</v>
      </c>
    </row>
    <row r="1311" spans="2:15" x14ac:dyDescent="0.3">
      <c r="B1311" s="1" t="s">
        <v>24</v>
      </c>
      <c r="C1311" s="1" t="str">
        <f t="shared" si="68"/>
        <v>5-2차</v>
      </c>
      <c r="D1311" s="1" t="str">
        <f>"0327Y7215M"</f>
        <v>0327Y7215M</v>
      </c>
      <c r="E1311" s="1" t="s">
        <v>10</v>
      </c>
      <c r="F1311" s="1" t="str">
        <f>"fde1:103:4:58d1:0:0:0:2"</f>
        <v>fde1:103:4:58d1:0:0:0:2</v>
      </c>
      <c r="G1311" s="1" t="str">
        <f>"0327Y721"</f>
        <v>0327Y721</v>
      </c>
      <c r="H1311" s="1" t="str">
        <f>"뚝방지 35R4L1"</f>
        <v>뚝방지 35R4L1</v>
      </c>
      <c r="I1311" s="1" t="s">
        <v>15</v>
      </c>
      <c r="J1311" s="1" t="str">
        <f>"26/26"</f>
        <v>26/26</v>
      </c>
      <c r="K1311" s="1" t="str">
        <f>"2026-07-29 02:20:56"</f>
        <v>2026-07-29 02:20:56</v>
      </c>
      <c r="L1311" s="1" t="str">
        <f>"2023-09-20 10:07:46"</f>
        <v>2023-09-20 10:07:46</v>
      </c>
      <c r="M1311" s="1" t="s">
        <v>4</v>
      </c>
      <c r="N1311" s="1" t="s">
        <v>38</v>
      </c>
      <c r="O1311" s="1" t="s">
        <v>46</v>
      </c>
    </row>
    <row r="1312" spans="2:15" x14ac:dyDescent="0.3">
      <c r="B1312" s="1" t="s">
        <v>24</v>
      </c>
      <c r="C1312" s="1" t="str">
        <f t="shared" si="68"/>
        <v>5-2차</v>
      </c>
      <c r="D1312" s="1" t="str">
        <f>"0327Y7435M"</f>
        <v>0327Y7435M</v>
      </c>
      <c r="E1312" s="1" t="s">
        <v>10</v>
      </c>
      <c r="F1312" s="1" t="str">
        <f>"fde1:103:4:57d7:0:0:0:2"</f>
        <v>fde1:103:4:57d7:0:0:0:2</v>
      </c>
      <c r="G1312" s="1" t="str">
        <f>"0327Y743"</f>
        <v>0327Y743</v>
      </c>
      <c r="H1312" s="1" t="str">
        <f>"휘주간 36L13"</f>
        <v>휘주간 36L13</v>
      </c>
      <c r="I1312" s="1" t="s">
        <v>15</v>
      </c>
      <c r="J1312" s="1" t="str">
        <f>"122/123"</f>
        <v>122/123</v>
      </c>
      <c r="K1312" s="1" t="str">
        <f>"2026-07-29 14:20:38"</f>
        <v>2026-07-29 14:20:38</v>
      </c>
      <c r="L1312" s="1" t="str">
        <f>"2023-09-20 10:09:11"</f>
        <v>2023-09-20 10:09:11</v>
      </c>
      <c r="M1312" s="1" t="s">
        <v>4</v>
      </c>
      <c r="N1312" s="1" t="s">
        <v>38</v>
      </c>
      <c r="O1312" s="1" t="s">
        <v>46</v>
      </c>
    </row>
    <row r="1313" spans="2:15" x14ac:dyDescent="0.3">
      <c r="B1313" s="1" t="s">
        <v>24</v>
      </c>
      <c r="C1313" s="1" t="str">
        <f t="shared" si="68"/>
        <v>5-2차</v>
      </c>
      <c r="D1313" s="1" t="str">
        <f>"0327Y7815M"</f>
        <v>0327Y7815M</v>
      </c>
      <c r="E1313" s="1" t="s">
        <v>10</v>
      </c>
      <c r="F1313" s="1" t="str">
        <f>"fde3:102:1430:5300:0:0:0:5"</f>
        <v>fde3:102:1430:5300:0:0:0:5</v>
      </c>
      <c r="G1313" s="1" t="str">
        <f>"0327Y781"</f>
        <v>0327Y781</v>
      </c>
      <c r="H1313" s="1" t="str">
        <f>"휘주간 36L12L4"</f>
        <v>휘주간 36L12L4</v>
      </c>
      <c r="I1313" s="1" t="s">
        <v>15</v>
      </c>
      <c r="J1313" s="1" t="str">
        <f>"39/39"</f>
        <v>39/39</v>
      </c>
      <c r="K1313" s="1" t="str">
        <f>"2026-07-29 14:20:38"</f>
        <v>2026-07-29 14:20:38</v>
      </c>
      <c r="L1313" s="1" t="str">
        <f>"2024-01-31 10:46:54"</f>
        <v>2024-01-31 10:46:54</v>
      </c>
      <c r="M1313" s="1" t="s">
        <v>45</v>
      </c>
      <c r="N1313" s="1" t="s">
        <v>38</v>
      </c>
      <c r="O1313" s="1" t="s">
        <v>46</v>
      </c>
    </row>
    <row r="1314" spans="2:15" x14ac:dyDescent="0.3">
      <c r="B1314" s="1" t="s">
        <v>24</v>
      </c>
      <c r="C1314" s="1" t="str">
        <f>"4차"</f>
        <v>4차</v>
      </c>
      <c r="D1314" s="1" t="str">
        <f>"0327Y79241"</f>
        <v>0327Y79241</v>
      </c>
      <c r="E1314" s="1" t="s">
        <v>10</v>
      </c>
      <c r="F1314" s="1" t="str">
        <f>"10.14.7.190"</f>
        <v>10.14.7.190</v>
      </c>
      <c r="G1314" s="1" t="str">
        <f>"0327Y792"</f>
        <v>0327Y792</v>
      </c>
      <c r="H1314" s="1" t="str">
        <f>"뚝방지 17"</f>
        <v>뚝방지 17</v>
      </c>
      <c r="I1314" s="1" t="s">
        <v>17</v>
      </c>
      <c r="J1314" s="1" t="str">
        <f>"5/5"</f>
        <v>5/5</v>
      </c>
      <c r="K1314" s="1" t="str">
        <f>"2026-07-29 13:18:03"</f>
        <v>2026-07-29 13:18:03</v>
      </c>
      <c r="L1314" s="1" t="str">
        <f>"2021-11-18 16:55:48"</f>
        <v>2021-11-18 16:55:48</v>
      </c>
      <c r="M1314" s="1" t="s">
        <v>3</v>
      </c>
      <c r="N1314" s="1" t="s">
        <v>38</v>
      </c>
      <c r="O1314" s="1" t="s">
        <v>46</v>
      </c>
    </row>
    <row r="1315" spans="2:15" x14ac:dyDescent="0.3">
      <c r="B1315" s="1" t="s">
        <v>24</v>
      </c>
      <c r="C1315" s="1" t="str">
        <f>"5-2차"</f>
        <v>5-2차</v>
      </c>
      <c r="D1315" s="1" t="str">
        <f>"0327Y8335M"</f>
        <v>0327Y8335M</v>
      </c>
      <c r="E1315" s="1" t="s">
        <v>10</v>
      </c>
      <c r="F1315" s="1" t="str">
        <f>"fde3:102:1430:3200:0:0:0:10"</f>
        <v>fde3:102:1430:3200:0:0:0:10</v>
      </c>
      <c r="G1315" s="1" t="str">
        <f>"0327Y833"</f>
        <v>0327Y833</v>
      </c>
      <c r="H1315" s="1" t="str">
        <f>"뚝방지 35R4L3"</f>
        <v>뚝방지 35R4L3</v>
      </c>
      <c r="I1315" s="1" t="s">
        <v>15</v>
      </c>
      <c r="J1315" s="1" t="str">
        <f>"66/66"</f>
        <v>66/66</v>
      </c>
      <c r="K1315" s="1" t="str">
        <f>"2026-07-29 14:21:13"</f>
        <v>2026-07-29 14:21:13</v>
      </c>
      <c r="L1315" s="1" t="str">
        <f>"2023-09-27 14:57:18"</f>
        <v>2023-09-27 14:57:18</v>
      </c>
      <c r="M1315" s="1" t="s">
        <v>45</v>
      </c>
      <c r="N1315" s="1" t="s">
        <v>38</v>
      </c>
      <c r="O1315" s="1" t="s">
        <v>46</v>
      </c>
    </row>
    <row r="1316" spans="2:15" x14ac:dyDescent="0.3">
      <c r="B1316" s="1" t="s">
        <v>24</v>
      </c>
      <c r="C1316" s="1" t="str">
        <f>"5-2차"</f>
        <v>5-2차</v>
      </c>
      <c r="D1316" s="1" t="str">
        <f>"0327Y8415S"</f>
        <v>0327Y8415S</v>
      </c>
      <c r="E1316" s="1" t="s">
        <v>10</v>
      </c>
      <c r="F1316" s="1" t="str">
        <f>"fde1:103:4:59f0:0:0:0:2"</f>
        <v>fde1:103:4:59f0:0:0:0:2</v>
      </c>
      <c r="G1316" s="1" t="str">
        <f>"0327Y841"</f>
        <v>0327Y841</v>
      </c>
      <c r="H1316" s="1" t="str">
        <f>"휘주간 36L15"</f>
        <v>휘주간 36L15</v>
      </c>
      <c r="I1316" s="1" t="s">
        <v>15</v>
      </c>
      <c r="J1316" s="1" t="str">
        <f>"64/64"</f>
        <v>64/64</v>
      </c>
      <c r="K1316" s="1" t="str">
        <f>"2026-07-29 14:20:39"</f>
        <v>2026-07-29 14:20:39</v>
      </c>
      <c r="L1316" s="1" t="str">
        <f>"2023-09-14 13:01:58"</f>
        <v>2023-09-14 13:01:58</v>
      </c>
      <c r="M1316" s="1" t="s">
        <v>4</v>
      </c>
      <c r="N1316" s="1" t="s">
        <v>38</v>
      </c>
      <c r="O1316" s="1" t="s">
        <v>46</v>
      </c>
    </row>
    <row r="1317" spans="2:15" x14ac:dyDescent="0.3">
      <c r="B1317" s="1" t="s">
        <v>24</v>
      </c>
      <c r="C1317" s="1" t="str">
        <f>"5-1차"</f>
        <v>5-1차</v>
      </c>
      <c r="D1317" s="1" t="str">
        <f>"0327Z0425M"</f>
        <v>0327Z0425M</v>
      </c>
      <c r="E1317" s="1" t="s">
        <v>10</v>
      </c>
      <c r="F1317" s="1" t="str">
        <f>"fde2:104:0:15f:0:0:0:2"</f>
        <v>fde2:104:0:15f:0:0:0:2</v>
      </c>
      <c r="G1317" s="1" t="str">
        <f>"0327Z042"</f>
        <v>0327Z042</v>
      </c>
      <c r="H1317" s="1" t="str">
        <f>"뚝방지 25R1"</f>
        <v>뚝방지 25R1</v>
      </c>
      <c r="I1317" s="1" t="s">
        <v>15</v>
      </c>
      <c r="J1317" s="1" t="str">
        <f>"38/38"</f>
        <v>38/38</v>
      </c>
      <c r="K1317" s="1" t="str">
        <f>"2026-07-29 14:21:16"</f>
        <v>2026-07-29 14:21:16</v>
      </c>
      <c r="L1317" s="1" t="str">
        <f>"2022-10-14 13:22:51"</f>
        <v>2022-10-14 13:22:51</v>
      </c>
      <c r="M1317" s="1" t="s">
        <v>42</v>
      </c>
      <c r="N1317" s="1" t="s">
        <v>38</v>
      </c>
      <c r="O1317" s="1" t="s">
        <v>46</v>
      </c>
    </row>
    <row r="1318" spans="2:15" x14ac:dyDescent="0.3">
      <c r="B1318" s="1" t="s">
        <v>24</v>
      </c>
      <c r="C1318" s="1" t="str">
        <f>"1차"</f>
        <v>1차</v>
      </c>
      <c r="D1318" s="1" t="str">
        <f>"0327Z20100"</f>
        <v>0327Z20100</v>
      </c>
      <c r="E1318" s="1" t="s">
        <v>10</v>
      </c>
      <c r="F1318" s="1" t="str">
        <f>"10.89.247.232"</f>
        <v>10.89.247.232</v>
      </c>
      <c r="G1318" s="1" t="str">
        <f>"0327Z201"</f>
        <v>0327Z201</v>
      </c>
      <c r="H1318" s="1" t="str">
        <f>"장안지 46R2"</f>
        <v>장안지 46R2</v>
      </c>
      <c r="I1318" s="1" t="s">
        <v>8</v>
      </c>
      <c r="J1318" s="1" t="str">
        <f>"90/90"</f>
        <v>90/90</v>
      </c>
      <c r="K1318" s="1" t="str">
        <f>"2026-07-29 13:18:02"</f>
        <v>2026-07-29 13:18:02</v>
      </c>
      <c r="L1318" s="1" t="str">
        <f>"2014-11-04 00:12:39"</f>
        <v>2014-11-04 00:12:39</v>
      </c>
      <c r="M1318" s="1" t="s">
        <v>45</v>
      </c>
      <c r="N1318" s="1" t="s">
        <v>38</v>
      </c>
      <c r="O1318" s="1" t="s">
        <v>46</v>
      </c>
    </row>
    <row r="1319" spans="2:15" x14ac:dyDescent="0.3">
      <c r="B1319" s="1" t="s">
        <v>24</v>
      </c>
      <c r="C1319" s="1" t="str">
        <f>"4차"</f>
        <v>4차</v>
      </c>
      <c r="D1319" s="1" t="str">
        <f>"0327Z49144"</f>
        <v>0327Z49144</v>
      </c>
      <c r="E1319" s="1" t="s">
        <v>10</v>
      </c>
      <c r="F1319" s="1" t="str">
        <f>"10.10.56.114"</f>
        <v>10.10.56.114</v>
      </c>
      <c r="G1319" s="1" t="str">
        <f>"0327Z491"</f>
        <v>0327Z491</v>
      </c>
      <c r="H1319" s="1" t="str">
        <f>"면오간 1R9"</f>
        <v>면오간 1R9</v>
      </c>
      <c r="I1319" s="1" t="s">
        <v>8</v>
      </c>
      <c r="J1319" s="1" t="str">
        <f>"28/29"</f>
        <v>28/29</v>
      </c>
      <c r="K1319" s="1" t="str">
        <f>"2026-07-29 13:18:02"</f>
        <v>2026-07-29 13:18:02</v>
      </c>
      <c r="L1319" s="1" t="str">
        <f>"2019-09-23 10:23:04"</f>
        <v>2019-09-23 10:23:04</v>
      </c>
      <c r="M1319" s="1" t="s">
        <v>1</v>
      </c>
      <c r="N1319" s="1" t="s">
        <v>38</v>
      </c>
      <c r="O1319" s="1" t="s">
        <v>46</v>
      </c>
    </row>
    <row r="1320" spans="2:15" x14ac:dyDescent="0.3">
      <c r="B1320" s="1" t="s">
        <v>24</v>
      </c>
      <c r="C1320" s="1" t="str">
        <f>"4차"</f>
        <v>4차</v>
      </c>
      <c r="D1320" s="1" t="str">
        <f>"0327Z58144"</f>
        <v>0327Z58144</v>
      </c>
      <c r="E1320" s="1" t="s">
        <v>10</v>
      </c>
      <c r="F1320" s="1" t="str">
        <f>"10.10.56.122"</f>
        <v>10.10.56.122</v>
      </c>
      <c r="G1320" s="1" t="str">
        <f>"0327Z581"</f>
        <v>0327Z581</v>
      </c>
      <c r="H1320" s="1" t="str">
        <f>"면오간 1R10"</f>
        <v>면오간 1R10</v>
      </c>
      <c r="I1320" s="1" t="s">
        <v>8</v>
      </c>
      <c r="J1320" s="1" t="str">
        <f>"57/57"</f>
        <v>57/57</v>
      </c>
      <c r="K1320" s="1" t="str">
        <f>"2026-07-29 13:18:02"</f>
        <v>2026-07-29 13:18:02</v>
      </c>
      <c r="L1320" s="1" t="str">
        <f>"2019-10-11 11:13:04"</f>
        <v>2019-10-11 11:13:04</v>
      </c>
      <c r="M1320" s="1" t="s">
        <v>1</v>
      </c>
      <c r="N1320" s="1" t="s">
        <v>38</v>
      </c>
      <c r="O1320" s="1" t="s">
        <v>46</v>
      </c>
    </row>
    <row r="1321" spans="2:15" x14ac:dyDescent="0.3">
      <c r="B1321" s="1" t="s">
        <v>24</v>
      </c>
      <c r="C1321" s="1" t="str">
        <f>"4차"</f>
        <v>4차</v>
      </c>
      <c r="D1321" s="1" t="str">
        <f>"0327Z59344"</f>
        <v>0327Z59344</v>
      </c>
      <c r="E1321" s="1" t="s">
        <v>10</v>
      </c>
      <c r="F1321" s="1" t="str">
        <f>"10.10.56.74"</f>
        <v>10.10.56.74</v>
      </c>
      <c r="G1321" s="1" t="str">
        <f>"0327Z593"</f>
        <v>0327Z593</v>
      </c>
      <c r="H1321" s="1" t="str">
        <f>"면오간 22R7L4"</f>
        <v>면오간 22R7L4</v>
      </c>
      <c r="I1321" s="1" t="s">
        <v>8</v>
      </c>
      <c r="J1321" s="1" t="str">
        <f>"73/78"</f>
        <v>73/78</v>
      </c>
      <c r="K1321" s="1" t="str">
        <f>"2026-07-29 13:18:02"</f>
        <v>2026-07-29 13:18:02</v>
      </c>
      <c r="L1321" s="1" t="str">
        <f>"2019-10-11 11:13:04"</f>
        <v>2019-10-11 11:13:04</v>
      </c>
      <c r="M1321" s="1" t="s">
        <v>1</v>
      </c>
      <c r="N1321" s="1" t="s">
        <v>38</v>
      </c>
      <c r="O1321" s="1" t="s">
        <v>46</v>
      </c>
    </row>
    <row r="1322" spans="2:15" x14ac:dyDescent="0.3">
      <c r="B1322" s="1" t="s">
        <v>24</v>
      </c>
      <c r="C1322" s="1" t="str">
        <f>"4차"</f>
        <v>4차</v>
      </c>
      <c r="D1322" s="1" t="str">
        <f>"0327Z69444"</f>
        <v>0327Z69444</v>
      </c>
      <c r="E1322" s="1" t="s">
        <v>10</v>
      </c>
      <c r="F1322" s="1" t="str">
        <f>"10.10.56.98"</f>
        <v>10.10.56.98</v>
      </c>
      <c r="G1322" s="1" t="str">
        <f>"0327Z694"</f>
        <v>0327Z694</v>
      </c>
      <c r="H1322" s="1" t="str">
        <f>"면오간 22R5L6"</f>
        <v>면오간 22R5L6</v>
      </c>
      <c r="I1322" s="1" t="s">
        <v>8</v>
      </c>
      <c r="J1322" s="1" t="str">
        <f>"58/58"</f>
        <v>58/58</v>
      </c>
      <c r="K1322" s="1" t="str">
        <f>"2026-07-29 13:18:02"</f>
        <v>2026-07-29 13:18:02</v>
      </c>
      <c r="L1322" s="1" t="str">
        <f>"2021-07-27 12:21:51"</f>
        <v>2021-07-27 12:21:51</v>
      </c>
      <c r="M1322" s="1" t="s">
        <v>1</v>
      </c>
      <c r="N1322" s="1" t="s">
        <v>38</v>
      </c>
      <c r="O1322" s="1" t="s">
        <v>46</v>
      </c>
    </row>
    <row r="1323" spans="2:15" x14ac:dyDescent="0.3">
      <c r="B1323" s="1" t="s">
        <v>24</v>
      </c>
      <c r="C1323" s="1" t="str">
        <f>"5-2차"</f>
        <v>5-2차</v>
      </c>
      <c r="D1323" s="1" t="str">
        <f>"0327Z7825M"</f>
        <v>0327Z7825M</v>
      </c>
      <c r="E1323" s="1" t="s">
        <v>10</v>
      </c>
      <c r="F1323" s="1" t="str">
        <f>"fde3:102:1430:6100:0:0:0:17"</f>
        <v>fde3:102:1430:6100:0:0:0:17</v>
      </c>
      <c r="G1323" s="1" t="str">
        <f>"0327Z782"</f>
        <v>0327Z782</v>
      </c>
      <c r="H1323" s="1" t="str">
        <f>"면오간 1R15L1"</f>
        <v>면오간 1R15L1</v>
      </c>
      <c r="I1323" s="1" t="s">
        <v>15</v>
      </c>
      <c r="J1323" s="1" t="str">
        <f>"35/35"</f>
        <v>35/35</v>
      </c>
      <c r="K1323" s="1" t="str">
        <f>"2026-07-29 14:20:55"</f>
        <v>2026-07-29 14:20:55</v>
      </c>
      <c r="L1323" s="1" t="str">
        <f>"2023-10-04 15:09:43"</f>
        <v>2023-10-04 15:09:43</v>
      </c>
      <c r="M1323" s="1" t="s">
        <v>45</v>
      </c>
      <c r="N1323" s="1" t="s">
        <v>38</v>
      </c>
      <c r="O1323" s="1" t="s">
        <v>46</v>
      </c>
    </row>
    <row r="1324" spans="2:15" x14ac:dyDescent="0.3">
      <c r="B1324" s="1" t="s">
        <v>24</v>
      </c>
      <c r="C1324" s="1" t="str">
        <f t="shared" ref="C1324:C1340" si="69">"4차"</f>
        <v>4차</v>
      </c>
      <c r="D1324" s="1" t="str">
        <f>"0328E72144"</f>
        <v>0328E72144</v>
      </c>
      <c r="E1324" s="1" t="s">
        <v>10</v>
      </c>
      <c r="F1324" s="1" t="str">
        <f>"10.10.45.74"</f>
        <v>10.10.45.74</v>
      </c>
      <c r="G1324" s="1" t="str">
        <f>"0328E721"</f>
        <v>0328E721</v>
      </c>
      <c r="H1324" s="1" t="str">
        <f>"신중간 48"</f>
        <v>신중간 48</v>
      </c>
      <c r="I1324" s="1" t="s">
        <v>8</v>
      </c>
      <c r="J1324" s="1" t="str">
        <f>"24/24"</f>
        <v>24/24</v>
      </c>
      <c r="K1324" s="1" t="str">
        <f>"2026-07-29 13:18:04"</f>
        <v>2026-07-29 13:18:04</v>
      </c>
      <c r="L1324" s="1" t="str">
        <f>"2019-10-30 16:07:21"</f>
        <v>2019-10-30 16:07:21</v>
      </c>
      <c r="M1324" s="1" t="s">
        <v>1</v>
      </c>
      <c r="N1324" s="1" t="s">
        <v>38</v>
      </c>
      <c r="O1324" s="1" t="s">
        <v>46</v>
      </c>
    </row>
    <row r="1325" spans="2:15" x14ac:dyDescent="0.3">
      <c r="B1325" s="1" t="s">
        <v>24</v>
      </c>
      <c r="C1325" s="1" t="str">
        <f t="shared" si="69"/>
        <v>4차</v>
      </c>
      <c r="D1325" s="1" t="str">
        <f>"0328E73144"</f>
        <v>0328E73144</v>
      </c>
      <c r="E1325" s="1" t="s">
        <v>10</v>
      </c>
      <c r="F1325" s="1" t="str">
        <f>"10.10.45.82"</f>
        <v>10.10.45.82</v>
      </c>
      <c r="G1325" s="1" t="str">
        <f>"0328E731"</f>
        <v>0328E731</v>
      </c>
      <c r="H1325" s="1" t="str">
        <f>"신중간 50"</f>
        <v>신중간 50</v>
      </c>
      <c r="I1325" s="1" t="s">
        <v>8</v>
      </c>
      <c r="J1325" s="1" t="str">
        <f>"50/50"</f>
        <v>50/50</v>
      </c>
      <c r="K1325" s="1" t="str">
        <f>"2026-07-29 13:18:04"</f>
        <v>2026-07-29 13:18:04</v>
      </c>
      <c r="L1325" s="1" t="str">
        <f>"2019-10-30 16:32:51"</f>
        <v>2019-10-30 16:32:51</v>
      </c>
      <c r="M1325" s="1" t="s">
        <v>1</v>
      </c>
      <c r="N1325" s="1" t="s">
        <v>38</v>
      </c>
      <c r="O1325" s="1" t="s">
        <v>46</v>
      </c>
    </row>
    <row r="1326" spans="2:15" x14ac:dyDescent="0.3">
      <c r="B1326" s="1" t="s">
        <v>24</v>
      </c>
      <c r="C1326" s="1" t="str">
        <f t="shared" si="69"/>
        <v>4차</v>
      </c>
      <c r="D1326" s="1" t="str">
        <f>"0328E84144"</f>
        <v>0328E84144</v>
      </c>
      <c r="E1326" s="1" t="s">
        <v>10</v>
      </c>
      <c r="F1326" s="1" t="str">
        <f>"10.10.44.242"</f>
        <v>10.10.44.242</v>
      </c>
      <c r="G1326" s="1" t="str">
        <f>"0328E841"</f>
        <v>0328E841</v>
      </c>
      <c r="H1326" s="1" t="str">
        <f>"신묵간 18R2"</f>
        <v>신묵간 18R2</v>
      </c>
      <c r="I1326" s="1" t="s">
        <v>8</v>
      </c>
      <c r="J1326" s="1" t="str">
        <f>"36/39"</f>
        <v>36/39</v>
      </c>
      <c r="K1326" s="1" t="str">
        <f>"2026-07-29 13:18:04"</f>
        <v>2026-07-29 13:18:04</v>
      </c>
      <c r="L1326" s="1" t="str">
        <f>"2019-10-30 16:23:03"</f>
        <v>2019-10-30 16:23:03</v>
      </c>
      <c r="M1326" s="1" t="s">
        <v>1</v>
      </c>
      <c r="N1326" s="1" t="s">
        <v>38</v>
      </c>
      <c r="O1326" s="1" t="s">
        <v>46</v>
      </c>
    </row>
    <row r="1327" spans="2:15" x14ac:dyDescent="0.3">
      <c r="B1327" s="1" t="s">
        <v>24</v>
      </c>
      <c r="C1327" s="1" t="str">
        <f t="shared" si="69"/>
        <v>4차</v>
      </c>
      <c r="D1327" s="1" t="str">
        <f>"0328E85444"</f>
        <v>0328E85444</v>
      </c>
      <c r="E1327" s="1" t="s">
        <v>10</v>
      </c>
      <c r="F1327" s="1" t="str">
        <f>"10.14.11.126"</f>
        <v>10.14.11.126</v>
      </c>
      <c r="G1327" s="1" t="str">
        <f>"0328E854"</f>
        <v>0328E854</v>
      </c>
      <c r="H1327" s="1" t="str">
        <f>"신묵간 17"</f>
        <v>신묵간 17</v>
      </c>
      <c r="I1327" s="1" t="s">
        <v>8</v>
      </c>
      <c r="J1327" s="1" t="str">
        <f>"76/98"</f>
        <v>76/98</v>
      </c>
      <c r="K1327" s="1" t="str">
        <f>"2026-07-29 13:18:03"</f>
        <v>2026-07-29 13:18:03</v>
      </c>
      <c r="L1327" s="1" t="str">
        <f>"2020-01-10 17:17:27"</f>
        <v>2020-01-10 17:17:27</v>
      </c>
      <c r="M1327" s="1" t="s">
        <v>3</v>
      </c>
      <c r="N1327" s="1" t="s">
        <v>38</v>
      </c>
      <c r="O1327" s="1" t="s">
        <v>46</v>
      </c>
    </row>
    <row r="1328" spans="2:15" x14ac:dyDescent="0.3">
      <c r="B1328" s="1" t="s">
        <v>24</v>
      </c>
      <c r="C1328" s="1" t="str">
        <f t="shared" si="69"/>
        <v>4차</v>
      </c>
      <c r="D1328" s="1" t="str">
        <f>"0328E89144"</f>
        <v>0328E89144</v>
      </c>
      <c r="E1328" s="1" t="s">
        <v>14</v>
      </c>
      <c r="F1328" s="1" t="str">
        <f>"10.10.44.218"</f>
        <v>10.10.44.218</v>
      </c>
      <c r="G1328" s="1" t="str">
        <f>"0328E891"</f>
        <v>0328E891</v>
      </c>
      <c r="H1328" s="1" t="str">
        <f>"신묵간 11"</f>
        <v>신묵간 11</v>
      </c>
      <c r="I1328" s="1" t="s">
        <v>8</v>
      </c>
      <c r="J1328" s="1" t="str">
        <f>"0/0"</f>
        <v>0/0</v>
      </c>
      <c r="K1328" s="1" t="str">
        <f>"2026-07-29 13:18:04"</f>
        <v>2026-07-29 13:18:04</v>
      </c>
      <c r="L1328" s="1" t="str">
        <f>"2019-10-30 16:13:07"</f>
        <v>2019-10-30 16:13:07</v>
      </c>
      <c r="M1328" s="1" t="s">
        <v>1</v>
      </c>
      <c r="N1328" s="1" t="s">
        <v>38</v>
      </c>
      <c r="O1328" s="1" t="s">
        <v>44</v>
      </c>
    </row>
    <row r="1329" spans="2:15" x14ac:dyDescent="0.3">
      <c r="B1329" s="1" t="s">
        <v>24</v>
      </c>
      <c r="C1329" s="1" t="str">
        <f t="shared" si="69"/>
        <v>4차</v>
      </c>
      <c r="D1329" s="1" t="str">
        <f>"0328E90244"</f>
        <v>0328E90244</v>
      </c>
      <c r="E1329" s="1" t="s">
        <v>10</v>
      </c>
      <c r="F1329" s="1" t="str">
        <f>"10.10.45.18"</f>
        <v>10.10.45.18</v>
      </c>
      <c r="G1329" s="1" t="str">
        <f>"0328E902"</f>
        <v>0328E902</v>
      </c>
      <c r="H1329" s="1" t="str">
        <f>"신중간 42R9"</f>
        <v>신중간 42R9</v>
      </c>
      <c r="I1329" s="1" t="s">
        <v>8</v>
      </c>
      <c r="J1329" s="1" t="str">
        <f>"50/56"</f>
        <v>50/56</v>
      </c>
      <c r="K1329" s="1" t="str">
        <f>"2026-07-29 13:18:04"</f>
        <v>2026-07-29 13:18:04</v>
      </c>
      <c r="L1329" s="1" t="str">
        <f>"2019-10-30 16:23:03"</f>
        <v>2019-10-30 16:23:03</v>
      </c>
      <c r="M1329" s="1" t="s">
        <v>1</v>
      </c>
      <c r="N1329" s="1" t="s">
        <v>38</v>
      </c>
      <c r="O1329" s="1" t="s">
        <v>46</v>
      </c>
    </row>
    <row r="1330" spans="2:15" x14ac:dyDescent="0.3">
      <c r="B1330" s="1" t="s">
        <v>24</v>
      </c>
      <c r="C1330" s="1" t="str">
        <f t="shared" si="69"/>
        <v>4차</v>
      </c>
      <c r="D1330" s="1" t="str">
        <f>"0328E91144"</f>
        <v>0328E91144</v>
      </c>
      <c r="E1330" s="1" t="s">
        <v>10</v>
      </c>
      <c r="F1330" s="1" t="str">
        <f>"10.10.45.10"</f>
        <v>10.10.45.10</v>
      </c>
      <c r="G1330" s="1" t="str">
        <f>"0328E911"</f>
        <v>0328E911</v>
      </c>
      <c r="H1330" s="1" t="str">
        <f>"신중간 42R11"</f>
        <v>신중간 42R11</v>
      </c>
      <c r="I1330" s="1" t="s">
        <v>8</v>
      </c>
      <c r="J1330" s="1" t="str">
        <f>"33/33"</f>
        <v>33/33</v>
      </c>
      <c r="K1330" s="1" t="str">
        <f t="shared" ref="K1330:K1346" si="70">"2026-07-29 13:18:03"</f>
        <v>2026-07-29 13:18:03</v>
      </c>
      <c r="L1330" s="1" t="str">
        <f>"2020-01-10 17:00:01"</f>
        <v>2020-01-10 17:00:01</v>
      </c>
      <c r="M1330" s="1" t="s">
        <v>1</v>
      </c>
      <c r="N1330" s="1" t="s">
        <v>38</v>
      </c>
      <c r="O1330" s="1" t="s">
        <v>46</v>
      </c>
    </row>
    <row r="1331" spans="2:15" x14ac:dyDescent="0.3">
      <c r="B1331" s="1" t="s">
        <v>24</v>
      </c>
      <c r="C1331" s="1" t="str">
        <f t="shared" si="69"/>
        <v>4차</v>
      </c>
      <c r="D1331" s="1" t="str">
        <f>"0328E92444"</f>
        <v>0328E92444</v>
      </c>
      <c r="E1331" s="1" t="s">
        <v>10</v>
      </c>
      <c r="F1331" s="1" t="str">
        <f>"10.10.45.2"</f>
        <v>10.10.45.2</v>
      </c>
      <c r="G1331" s="1" t="str">
        <f>"0328E924"</f>
        <v>0328E924</v>
      </c>
      <c r="H1331" s="1" t="str">
        <f>"신묵간 18R4"</f>
        <v>신묵간 18R4</v>
      </c>
      <c r="I1331" s="1" t="s">
        <v>8</v>
      </c>
      <c r="J1331" s="1" t="str">
        <f>"34/35"</f>
        <v>34/35</v>
      </c>
      <c r="K1331" s="1" t="str">
        <f t="shared" si="70"/>
        <v>2026-07-29 13:18:03</v>
      </c>
      <c r="L1331" s="1" t="str">
        <f>"2019-11-06 11:00:26"</f>
        <v>2019-11-06 11:00:26</v>
      </c>
      <c r="M1331" s="1" t="s">
        <v>1</v>
      </c>
      <c r="N1331" s="1" t="s">
        <v>38</v>
      </c>
      <c r="O1331" s="1" t="s">
        <v>46</v>
      </c>
    </row>
    <row r="1332" spans="2:15" x14ac:dyDescent="0.3">
      <c r="B1332" s="1" t="s">
        <v>24</v>
      </c>
      <c r="C1332" s="1" t="str">
        <f t="shared" si="69"/>
        <v>4차</v>
      </c>
      <c r="D1332" s="1" t="str">
        <f>"0328E93144"</f>
        <v>0328E93144</v>
      </c>
      <c r="E1332" s="1" t="s">
        <v>10</v>
      </c>
      <c r="F1332" s="1" t="str">
        <f>"10.10.44.250"</f>
        <v>10.10.44.250</v>
      </c>
      <c r="G1332" s="1" t="str">
        <f>"0328E931"</f>
        <v>0328E931</v>
      </c>
      <c r="H1332" s="1" t="str">
        <f>"신묵간 18R3"</f>
        <v>신묵간 18R3</v>
      </c>
      <c r="I1332" s="1" t="s">
        <v>8</v>
      </c>
      <c r="J1332" s="1" t="str">
        <f>"31/31"</f>
        <v>31/31</v>
      </c>
      <c r="K1332" s="1" t="str">
        <f t="shared" si="70"/>
        <v>2026-07-29 13:18:03</v>
      </c>
      <c r="L1332" s="1" t="str">
        <f>"2019-10-30 16:53:04"</f>
        <v>2019-10-30 16:53:04</v>
      </c>
      <c r="M1332" s="1" t="s">
        <v>1</v>
      </c>
      <c r="N1332" s="1" t="s">
        <v>38</v>
      </c>
      <c r="O1332" s="1" t="s">
        <v>46</v>
      </c>
    </row>
    <row r="1333" spans="2:15" x14ac:dyDescent="0.3">
      <c r="B1333" s="1" t="s">
        <v>24</v>
      </c>
      <c r="C1333" s="1" t="str">
        <f t="shared" si="69"/>
        <v>4차</v>
      </c>
      <c r="D1333" s="1" t="str">
        <f>"0328E97344"</f>
        <v>0328E97344</v>
      </c>
      <c r="E1333" s="1" t="s">
        <v>10</v>
      </c>
      <c r="F1333" s="1" t="str">
        <f>"10.10.45.26"</f>
        <v>10.10.45.26</v>
      </c>
      <c r="G1333" s="1" t="str">
        <f>"0328E973"</f>
        <v>0328E973</v>
      </c>
      <c r="H1333" s="1" t="str">
        <f>"신묵간 24L6L4"</f>
        <v>신묵간 24L6L4</v>
      </c>
      <c r="I1333" s="1" t="s">
        <v>8</v>
      </c>
      <c r="J1333" s="1" t="str">
        <f>"48/48"</f>
        <v>48/48</v>
      </c>
      <c r="K1333" s="1" t="str">
        <f t="shared" si="70"/>
        <v>2026-07-29 13:18:03</v>
      </c>
      <c r="L1333" s="1" t="str">
        <f>"2019-10-30 16:31:22"</f>
        <v>2019-10-30 16:31:22</v>
      </c>
      <c r="M1333" s="1" t="s">
        <v>1</v>
      </c>
      <c r="N1333" s="1" t="s">
        <v>38</v>
      </c>
      <c r="O1333" s="1" t="s">
        <v>46</v>
      </c>
    </row>
    <row r="1334" spans="2:15" x14ac:dyDescent="0.3">
      <c r="B1334" s="1" t="s">
        <v>24</v>
      </c>
      <c r="C1334" s="1" t="str">
        <f t="shared" si="69"/>
        <v>4차</v>
      </c>
      <c r="D1334" s="1" t="str">
        <f>"0328E99144"</f>
        <v>0328E99144</v>
      </c>
      <c r="E1334" s="1" t="s">
        <v>10</v>
      </c>
      <c r="F1334" s="1" t="str">
        <f>"10.10.45.50"</f>
        <v>10.10.45.50</v>
      </c>
      <c r="G1334" s="1" t="str">
        <f>"0328E991"</f>
        <v>0328E991</v>
      </c>
      <c r="H1334" s="1" t="str">
        <f>"신묵간 24L7"</f>
        <v>신묵간 24L7</v>
      </c>
      <c r="I1334" s="1" t="s">
        <v>8</v>
      </c>
      <c r="J1334" s="1" t="str">
        <f>"78/98"</f>
        <v>78/98</v>
      </c>
      <c r="K1334" s="1" t="str">
        <f t="shared" si="70"/>
        <v>2026-07-29 13:18:03</v>
      </c>
      <c r="L1334" s="1" t="str">
        <f>"2019-10-30 16:08:27"</f>
        <v>2019-10-30 16:08:27</v>
      </c>
      <c r="M1334" s="1" t="s">
        <v>1</v>
      </c>
      <c r="N1334" s="1" t="s">
        <v>38</v>
      </c>
      <c r="O1334" s="1" t="s">
        <v>46</v>
      </c>
    </row>
    <row r="1335" spans="2:15" x14ac:dyDescent="0.3">
      <c r="B1335" s="1" t="s">
        <v>24</v>
      </c>
      <c r="C1335" s="1" t="str">
        <f t="shared" si="69"/>
        <v>4차</v>
      </c>
      <c r="D1335" s="1" t="str">
        <f>"0328F02144"</f>
        <v>0328F02144</v>
      </c>
      <c r="E1335" s="1" t="s">
        <v>10</v>
      </c>
      <c r="F1335" s="1" t="str">
        <f>"10.10.45.58"</f>
        <v>10.10.45.58</v>
      </c>
      <c r="G1335" s="1" t="str">
        <f>"0328F021"</f>
        <v>0328F021</v>
      </c>
      <c r="H1335" s="1" t="str">
        <f>"신묵간 24R8R4"</f>
        <v>신묵간 24R8R4</v>
      </c>
      <c r="I1335" s="1" t="s">
        <v>8</v>
      </c>
      <c r="J1335" s="1" t="str">
        <f>"45/48"</f>
        <v>45/48</v>
      </c>
      <c r="K1335" s="1" t="str">
        <f t="shared" si="70"/>
        <v>2026-07-29 13:18:03</v>
      </c>
      <c r="L1335" s="1" t="str">
        <f>"2020-01-10 17:12:02"</f>
        <v>2020-01-10 17:12:02</v>
      </c>
      <c r="M1335" s="1" t="s">
        <v>1</v>
      </c>
      <c r="N1335" s="1" t="s">
        <v>38</v>
      </c>
      <c r="O1335" s="1" t="s">
        <v>46</v>
      </c>
    </row>
    <row r="1336" spans="2:15" x14ac:dyDescent="0.3">
      <c r="B1336" s="1" t="s">
        <v>24</v>
      </c>
      <c r="C1336" s="1" t="str">
        <f t="shared" si="69"/>
        <v>4차</v>
      </c>
      <c r="D1336" s="1" t="str">
        <f>"0328F02244"</f>
        <v>0328F02244</v>
      </c>
      <c r="E1336" s="1" t="s">
        <v>10</v>
      </c>
      <c r="F1336" s="1" t="str">
        <f>"10.10.107.114"</f>
        <v>10.10.107.114</v>
      </c>
      <c r="G1336" s="1" t="str">
        <f>"0328F022"</f>
        <v>0328F022</v>
      </c>
      <c r="H1336" s="1" t="str">
        <f>"신묵간 24R8R3"</f>
        <v>신묵간 24R8R3</v>
      </c>
      <c r="I1336" s="1" t="s">
        <v>8</v>
      </c>
      <c r="J1336" s="1" t="str">
        <f>"20/23"</f>
        <v>20/23</v>
      </c>
      <c r="K1336" s="1" t="str">
        <f t="shared" si="70"/>
        <v>2026-07-29 13:18:03</v>
      </c>
      <c r="L1336" s="1" t="str">
        <f>"2020-01-10 17:16:46"</f>
        <v>2020-01-10 17:16:46</v>
      </c>
      <c r="M1336" s="1" t="s">
        <v>1</v>
      </c>
      <c r="N1336" s="1" t="s">
        <v>38</v>
      </c>
      <c r="O1336" s="1" t="s">
        <v>46</v>
      </c>
    </row>
    <row r="1337" spans="2:15" x14ac:dyDescent="0.3">
      <c r="B1337" s="1" t="s">
        <v>24</v>
      </c>
      <c r="C1337" s="1" t="str">
        <f t="shared" si="69"/>
        <v>4차</v>
      </c>
      <c r="D1337" s="1" t="str">
        <f>"0328F06144"</f>
        <v>0328F06144</v>
      </c>
      <c r="E1337" s="1" t="s">
        <v>10</v>
      </c>
      <c r="F1337" s="1" t="str">
        <f>"10.10.45.34"</f>
        <v>10.10.45.34</v>
      </c>
      <c r="G1337" s="1" t="str">
        <f>"0328F061"</f>
        <v>0328F061</v>
      </c>
      <c r="H1337" s="1" t="str">
        <f>"신묵간 22"</f>
        <v>신묵간 22</v>
      </c>
      <c r="I1337" s="1" t="s">
        <v>8</v>
      </c>
      <c r="J1337" s="1" t="str">
        <f>"68/70"</f>
        <v>68/70</v>
      </c>
      <c r="K1337" s="1" t="str">
        <f t="shared" si="70"/>
        <v>2026-07-29 13:18:03</v>
      </c>
      <c r="L1337" s="1" t="str">
        <f>"2020-01-10 17:17:27"</f>
        <v>2020-01-10 17:17:27</v>
      </c>
      <c r="M1337" s="1" t="s">
        <v>1</v>
      </c>
      <c r="N1337" s="1" t="s">
        <v>38</v>
      </c>
      <c r="O1337" s="1" t="s">
        <v>46</v>
      </c>
    </row>
    <row r="1338" spans="2:15" x14ac:dyDescent="0.3">
      <c r="B1338" s="1" t="s">
        <v>24</v>
      </c>
      <c r="C1338" s="1" t="str">
        <f t="shared" si="69"/>
        <v>4차</v>
      </c>
      <c r="D1338" s="1" t="str">
        <f>"0328F09144"</f>
        <v>0328F09144</v>
      </c>
      <c r="E1338" s="1" t="s">
        <v>10</v>
      </c>
      <c r="F1338" s="1" t="str">
        <f>"10.10.45.42"</f>
        <v>10.10.45.42</v>
      </c>
      <c r="G1338" s="1" t="str">
        <f>"0328F091"</f>
        <v>0328F091</v>
      </c>
      <c r="H1338" s="1" t="str">
        <f>"신묵간 24L6"</f>
        <v>신묵간 24L6</v>
      </c>
      <c r="I1338" s="1" t="s">
        <v>8</v>
      </c>
      <c r="J1338" s="1" t="str">
        <f>"21/35"</f>
        <v>21/35</v>
      </c>
      <c r="K1338" s="1" t="str">
        <f t="shared" si="70"/>
        <v>2026-07-29 13:18:03</v>
      </c>
      <c r="L1338" s="1" t="str">
        <f>"2019-10-30 16:13:07"</f>
        <v>2019-10-30 16:13:07</v>
      </c>
      <c r="M1338" s="1" t="s">
        <v>1</v>
      </c>
      <c r="N1338" s="1" t="s">
        <v>38</v>
      </c>
      <c r="O1338" s="1" t="s">
        <v>46</v>
      </c>
    </row>
    <row r="1339" spans="2:15" x14ac:dyDescent="0.3">
      <c r="B1339" s="1" t="s">
        <v>24</v>
      </c>
      <c r="C1339" s="1" t="str">
        <f t="shared" si="69"/>
        <v>4차</v>
      </c>
      <c r="D1339" s="1" t="str">
        <f>"0328F10144"</f>
        <v>0328F10144</v>
      </c>
      <c r="E1339" s="1" t="s">
        <v>10</v>
      </c>
      <c r="F1339" s="1" t="str">
        <f>"10.10.45.66"</f>
        <v>10.10.45.66</v>
      </c>
      <c r="G1339" s="1" t="str">
        <f>"0328F101"</f>
        <v>0328F101</v>
      </c>
      <c r="H1339" s="1" t="str">
        <f>"신묵간 46R7R5"</f>
        <v>신묵간 46R7R5</v>
      </c>
      <c r="I1339" s="1" t="s">
        <v>8</v>
      </c>
      <c r="J1339" s="1" t="str">
        <f>"13/13"</f>
        <v>13/13</v>
      </c>
      <c r="K1339" s="1" t="str">
        <f t="shared" si="70"/>
        <v>2026-07-29 13:18:03</v>
      </c>
      <c r="L1339" s="1" t="str">
        <f>"2019-10-30 16:43:03"</f>
        <v>2019-10-30 16:43:03</v>
      </c>
      <c r="M1339" s="1" t="s">
        <v>1</v>
      </c>
      <c r="N1339" s="1" t="s">
        <v>38</v>
      </c>
      <c r="O1339" s="1" t="s">
        <v>46</v>
      </c>
    </row>
    <row r="1340" spans="2:15" x14ac:dyDescent="0.3">
      <c r="B1340" s="1" t="s">
        <v>24</v>
      </c>
      <c r="C1340" s="1" t="str">
        <f t="shared" si="69"/>
        <v>4차</v>
      </c>
      <c r="D1340" s="1" t="str">
        <f>"0328F12139"</f>
        <v>0328F12139</v>
      </c>
      <c r="E1340" s="1" t="s">
        <v>10</v>
      </c>
      <c r="F1340" s="1" t="str">
        <f>"10.10.15.146"</f>
        <v>10.10.15.146</v>
      </c>
      <c r="G1340" s="1" t="str">
        <f>"0328F121"</f>
        <v>0328F121</v>
      </c>
      <c r="H1340" s="1" t="str">
        <f>"신묵간 24R8R2"</f>
        <v>신묵간 24R8R2</v>
      </c>
      <c r="I1340" s="1" t="s">
        <v>8</v>
      </c>
      <c r="J1340" s="1" t="str">
        <f>"43/50"</f>
        <v>43/50</v>
      </c>
      <c r="K1340" s="1" t="str">
        <f t="shared" si="70"/>
        <v>2026-07-29 13:18:03</v>
      </c>
      <c r="L1340" s="1" t="str">
        <f>"2018-02-21 15:50:12"</f>
        <v>2018-02-21 15:50:12</v>
      </c>
      <c r="M1340" s="1" t="s">
        <v>1</v>
      </c>
      <c r="N1340" s="1" t="s">
        <v>38</v>
      </c>
      <c r="O1340" s="1" t="s">
        <v>46</v>
      </c>
    </row>
    <row r="1341" spans="2:15" x14ac:dyDescent="0.3">
      <c r="B1341" s="1" t="s">
        <v>24</v>
      </c>
      <c r="C1341" s="1" t="str">
        <f t="shared" ref="C1341:C1347" si="71">"3차"</f>
        <v>3차</v>
      </c>
      <c r="D1341" s="1" t="str">
        <f>"0328F15339"</f>
        <v>0328F15339</v>
      </c>
      <c r="E1341" s="1" t="s">
        <v>10</v>
      </c>
      <c r="F1341" s="1" t="str">
        <f>"10.10.15.178"</f>
        <v>10.10.15.178</v>
      </c>
      <c r="G1341" s="1" t="str">
        <f>"0328F153"</f>
        <v>0328F153</v>
      </c>
      <c r="H1341" s="1" t="str">
        <f>"신묵간 24R1"</f>
        <v>신묵간 24R1</v>
      </c>
      <c r="I1341" s="1" t="s">
        <v>8</v>
      </c>
      <c r="J1341" s="1" t="str">
        <f>"85/85"</f>
        <v>85/85</v>
      </c>
      <c r="K1341" s="1" t="str">
        <f t="shared" si="70"/>
        <v>2026-07-29 13:18:03</v>
      </c>
      <c r="L1341" s="1" t="str">
        <f>"2018-02-08 17:25:56"</f>
        <v>2018-02-08 17:25:56</v>
      </c>
      <c r="M1341" s="1" t="s">
        <v>1</v>
      </c>
      <c r="N1341" s="1" t="s">
        <v>38</v>
      </c>
      <c r="O1341" s="1" t="s">
        <v>46</v>
      </c>
    </row>
    <row r="1342" spans="2:15" x14ac:dyDescent="0.3">
      <c r="B1342" s="1" t="s">
        <v>24</v>
      </c>
      <c r="C1342" s="1" t="str">
        <f t="shared" si="71"/>
        <v>3차</v>
      </c>
      <c r="D1342" s="1" t="str">
        <f>"0328F17130"</f>
        <v>0328F17130</v>
      </c>
      <c r="E1342" s="1" t="s">
        <v>10</v>
      </c>
      <c r="F1342" s="1" t="str">
        <f>"10.12.128.42"</f>
        <v>10.12.128.42</v>
      </c>
      <c r="G1342" s="1" t="str">
        <f>"0328F171"</f>
        <v>0328F171</v>
      </c>
      <c r="H1342" s="1" t="str">
        <f>"신묵간 24L1"</f>
        <v>신묵간 24L1</v>
      </c>
      <c r="I1342" s="1" t="s">
        <v>8</v>
      </c>
      <c r="J1342" s="1" t="str">
        <f>"1/1"</f>
        <v>1/1</v>
      </c>
      <c r="K1342" s="1" t="str">
        <f t="shared" si="70"/>
        <v>2026-07-29 13:18:03</v>
      </c>
      <c r="L1342" s="1" t="str">
        <f>"2018-02-08 16:34:25"</f>
        <v>2018-02-08 16:34:25</v>
      </c>
      <c r="M1342" s="1" t="s">
        <v>0</v>
      </c>
      <c r="N1342" s="1" t="s">
        <v>38</v>
      </c>
      <c r="O1342" s="1" t="s">
        <v>46</v>
      </c>
    </row>
    <row r="1343" spans="2:15" x14ac:dyDescent="0.3">
      <c r="B1343" s="1" t="s">
        <v>24</v>
      </c>
      <c r="C1343" s="1" t="str">
        <f t="shared" si="71"/>
        <v>3차</v>
      </c>
      <c r="D1343" s="1" t="str">
        <f>"0328F17231"</f>
        <v>0328F17231</v>
      </c>
      <c r="E1343" s="1" t="s">
        <v>10</v>
      </c>
      <c r="F1343" s="1" t="str">
        <f>"10.10.12.11"</f>
        <v>10.10.12.11</v>
      </c>
      <c r="G1343" s="1" t="str">
        <f>"0328F172"</f>
        <v>0328F172</v>
      </c>
      <c r="H1343" s="1" t="str">
        <f>"신묵간 24L2"</f>
        <v>신묵간 24L2</v>
      </c>
      <c r="I1343" s="1" t="s">
        <v>8</v>
      </c>
      <c r="J1343" s="1" t="str">
        <f>"53/59"</f>
        <v>53/59</v>
      </c>
      <c r="K1343" s="1" t="str">
        <f t="shared" si="70"/>
        <v>2026-07-29 13:18:03</v>
      </c>
      <c r="L1343" s="1" t="str">
        <f>"2018-01-23 16:45:56"</f>
        <v>2018-01-23 16:45:56</v>
      </c>
      <c r="M1343" s="1" t="s">
        <v>1</v>
      </c>
      <c r="N1343" s="1" t="s">
        <v>44</v>
      </c>
      <c r="O1343" s="1" t="s">
        <v>44</v>
      </c>
    </row>
    <row r="1344" spans="2:15" x14ac:dyDescent="0.3">
      <c r="B1344" s="1" t="s">
        <v>24</v>
      </c>
      <c r="C1344" s="1" t="str">
        <f t="shared" si="71"/>
        <v>3차</v>
      </c>
      <c r="D1344" s="1" t="str">
        <f>"0328F17330"</f>
        <v>0328F17330</v>
      </c>
      <c r="E1344" s="1" t="s">
        <v>10</v>
      </c>
      <c r="F1344" s="1" t="str">
        <f>"10.10.11.234"</f>
        <v>10.10.11.234</v>
      </c>
      <c r="G1344" s="1" t="str">
        <f>"0328F173"</f>
        <v>0328F173</v>
      </c>
      <c r="H1344" s="1" t="str">
        <f>"신묵간 25L3"</f>
        <v>신묵간 25L3</v>
      </c>
      <c r="I1344" s="1" t="s">
        <v>8</v>
      </c>
      <c r="J1344" s="1" t="str">
        <f>"63/65"</f>
        <v>63/65</v>
      </c>
      <c r="K1344" s="1" t="str">
        <f t="shared" si="70"/>
        <v>2026-07-29 13:18:03</v>
      </c>
      <c r="L1344" s="1" t="str">
        <f>"2018-01-18 13:19:11"</f>
        <v>2018-01-18 13:19:11</v>
      </c>
      <c r="M1344" s="1" t="s">
        <v>1</v>
      </c>
      <c r="N1344" s="1" t="s">
        <v>38</v>
      </c>
      <c r="O1344" s="1" t="s">
        <v>46</v>
      </c>
    </row>
    <row r="1345" spans="2:15" x14ac:dyDescent="0.3">
      <c r="B1345" s="1" t="s">
        <v>24</v>
      </c>
      <c r="C1345" s="1" t="str">
        <f t="shared" si="71"/>
        <v>3차</v>
      </c>
      <c r="D1345" s="1" t="str">
        <f>"0328F17439"</f>
        <v>0328F17439</v>
      </c>
      <c r="E1345" s="1" t="s">
        <v>10</v>
      </c>
      <c r="F1345" s="1" t="str">
        <f>"10.10.11.242"</f>
        <v>10.10.11.242</v>
      </c>
      <c r="G1345" s="1" t="str">
        <f>"0328F174"</f>
        <v>0328F174</v>
      </c>
      <c r="H1345" s="1" t="str">
        <f>"신묵간 25L2"</f>
        <v>신묵간 25L2</v>
      </c>
      <c r="I1345" s="1" t="s">
        <v>8</v>
      </c>
      <c r="J1345" s="1" t="str">
        <f>"38/39"</f>
        <v>38/39</v>
      </c>
      <c r="K1345" s="1" t="str">
        <f t="shared" si="70"/>
        <v>2026-07-29 13:18:03</v>
      </c>
      <c r="L1345" s="1" t="str">
        <f>"2021-07-28 16:04:50"</f>
        <v>2021-07-28 16:04:50</v>
      </c>
      <c r="M1345" s="1" t="s">
        <v>1</v>
      </c>
      <c r="N1345" s="1" t="s">
        <v>38</v>
      </c>
      <c r="O1345" s="1" t="s">
        <v>46</v>
      </c>
    </row>
    <row r="1346" spans="2:15" x14ac:dyDescent="0.3">
      <c r="B1346" s="1" t="s">
        <v>24</v>
      </c>
      <c r="C1346" s="1" t="str">
        <f t="shared" si="71"/>
        <v>3차</v>
      </c>
      <c r="D1346" s="1" t="str">
        <f>"0328F18139"</f>
        <v>0328F18139</v>
      </c>
      <c r="E1346" s="1" t="s">
        <v>10</v>
      </c>
      <c r="F1346" s="1" t="str">
        <f>"10.10.12.2"</f>
        <v>10.10.12.2</v>
      </c>
      <c r="G1346" s="1" t="str">
        <f>"0328F181"</f>
        <v>0328F181</v>
      </c>
      <c r="H1346" s="1" t="str">
        <f>"신묵간 24L3"</f>
        <v>신묵간 24L3</v>
      </c>
      <c r="I1346" s="1" t="s">
        <v>8</v>
      </c>
      <c r="J1346" s="1" t="str">
        <f>"69/69"</f>
        <v>69/69</v>
      </c>
      <c r="K1346" s="1" t="str">
        <f t="shared" si="70"/>
        <v>2026-07-29 13:18:03</v>
      </c>
      <c r="L1346" s="1" t="str">
        <f>"2018-03-15 05:44:53"</f>
        <v>2018-03-15 05:44:53</v>
      </c>
      <c r="M1346" s="1" t="s">
        <v>1</v>
      </c>
      <c r="N1346" s="1" t="s">
        <v>38</v>
      </c>
      <c r="O1346" s="1" t="s">
        <v>46</v>
      </c>
    </row>
    <row r="1347" spans="2:15" x14ac:dyDescent="0.3">
      <c r="B1347" s="1" t="s">
        <v>24</v>
      </c>
      <c r="C1347" s="1" t="str">
        <f t="shared" si="71"/>
        <v>3차</v>
      </c>
      <c r="D1347" s="1" t="str">
        <f>"0328F19239"</f>
        <v>0328F19239</v>
      </c>
      <c r="E1347" s="1" t="s">
        <v>10</v>
      </c>
      <c r="F1347" s="1" t="str">
        <f>"10.10.11.250"</f>
        <v>10.10.11.250</v>
      </c>
      <c r="G1347" s="1" t="str">
        <f>"0328F192"</f>
        <v>0328F192</v>
      </c>
      <c r="H1347" s="1" t="str">
        <f>"신묵간 24L4"</f>
        <v>신묵간 24L4</v>
      </c>
      <c r="I1347" s="1" t="s">
        <v>8</v>
      </c>
      <c r="J1347" s="1" t="str">
        <f>"48/51"</f>
        <v>48/51</v>
      </c>
      <c r="K1347" s="1" t="str">
        <f t="shared" ref="K1347:K1353" si="72">"2026-07-29 13:18:04"</f>
        <v>2026-07-29 13:18:04</v>
      </c>
      <c r="L1347" s="1" t="str">
        <f>"2018-05-11 17:32:44"</f>
        <v>2018-05-11 17:32:44</v>
      </c>
      <c r="M1347" s="1" t="s">
        <v>1</v>
      </c>
      <c r="N1347" s="1" t="s">
        <v>38</v>
      </c>
      <c r="O1347" s="1" t="s">
        <v>46</v>
      </c>
    </row>
    <row r="1348" spans="2:15" x14ac:dyDescent="0.3">
      <c r="B1348" s="1" t="s">
        <v>24</v>
      </c>
      <c r="C1348" s="1" t="str">
        <f>"4차"</f>
        <v>4차</v>
      </c>
      <c r="D1348" s="1" t="str">
        <f>"0328F20130"</f>
        <v>0328F20130</v>
      </c>
      <c r="E1348" s="1" t="s">
        <v>10</v>
      </c>
      <c r="F1348" s="1" t="str">
        <f>"10.10.11.42"</f>
        <v>10.10.11.42</v>
      </c>
      <c r="G1348" s="1" t="str">
        <f>"0328F201"</f>
        <v>0328F201</v>
      </c>
      <c r="H1348" s="1" t="str">
        <f>"신묵간 24R12"</f>
        <v>신묵간 24R12</v>
      </c>
      <c r="I1348" s="1" t="s">
        <v>8</v>
      </c>
      <c r="J1348" s="1" t="str">
        <f>"73/81"</f>
        <v>73/81</v>
      </c>
      <c r="K1348" s="1" t="str">
        <f t="shared" si="72"/>
        <v>2026-07-29 13:18:04</v>
      </c>
      <c r="L1348" s="1" t="str">
        <f>"2018-01-30 15:19:57"</f>
        <v>2018-01-30 15:19:57</v>
      </c>
      <c r="M1348" s="1" t="s">
        <v>1</v>
      </c>
      <c r="N1348" s="1" t="s">
        <v>38</v>
      </c>
      <c r="O1348" s="1" t="s">
        <v>46</v>
      </c>
    </row>
    <row r="1349" spans="2:15" x14ac:dyDescent="0.3">
      <c r="B1349" s="1" t="s">
        <v>24</v>
      </c>
      <c r="C1349" s="1" t="str">
        <f>"3차"</f>
        <v>3차</v>
      </c>
      <c r="D1349" s="1" t="str">
        <f>"0328F21239"</f>
        <v>0328F21239</v>
      </c>
      <c r="E1349" s="1" t="s">
        <v>10</v>
      </c>
      <c r="F1349" s="1" t="str">
        <f>"10.10.13.154"</f>
        <v>10.10.13.154</v>
      </c>
      <c r="G1349" s="1" t="str">
        <f>"0328F212"</f>
        <v>0328F212</v>
      </c>
      <c r="H1349" s="1" t="str">
        <f>"신묵간 24R9"</f>
        <v>신묵간 24R9</v>
      </c>
      <c r="I1349" s="1" t="s">
        <v>8</v>
      </c>
      <c r="J1349" s="1" t="str">
        <f>"6/7"</f>
        <v>6/7</v>
      </c>
      <c r="K1349" s="1" t="str">
        <f t="shared" si="72"/>
        <v>2026-07-29 13:18:04</v>
      </c>
      <c r="L1349" s="1" t="str">
        <f>"2018-01-30 14:00:25"</f>
        <v>2018-01-30 14:00:25</v>
      </c>
      <c r="M1349" s="1" t="s">
        <v>1</v>
      </c>
      <c r="N1349" s="1" t="s">
        <v>38</v>
      </c>
      <c r="O1349" s="1" t="s">
        <v>46</v>
      </c>
    </row>
    <row r="1350" spans="2:15" x14ac:dyDescent="0.3">
      <c r="B1350" s="1" t="s">
        <v>24</v>
      </c>
      <c r="C1350" s="1" t="str">
        <f>"4차"</f>
        <v>4차</v>
      </c>
      <c r="D1350" s="1" t="str">
        <f>"0328F23139"</f>
        <v>0328F23139</v>
      </c>
      <c r="E1350" s="1" t="s">
        <v>10</v>
      </c>
      <c r="F1350" s="1" t="str">
        <f>"10.10.13.138"</f>
        <v>10.10.13.138</v>
      </c>
      <c r="G1350" s="1" t="str">
        <f>"0328F231"</f>
        <v>0328F231</v>
      </c>
      <c r="H1350" s="1" t="str">
        <f>"신묵간 25R7"</f>
        <v>신묵간 25R7</v>
      </c>
      <c r="I1350" s="1" t="s">
        <v>8</v>
      </c>
      <c r="J1350" s="1" t="str">
        <f>"41/41"</f>
        <v>41/41</v>
      </c>
      <c r="K1350" s="1" t="str">
        <f t="shared" si="72"/>
        <v>2026-07-29 13:18:04</v>
      </c>
      <c r="L1350" s="1" t="str">
        <f>"2018-01-30 13:42:11"</f>
        <v>2018-01-30 13:42:11</v>
      </c>
      <c r="M1350" s="1" t="s">
        <v>1</v>
      </c>
      <c r="N1350" s="1" t="s">
        <v>38</v>
      </c>
      <c r="O1350" s="1" t="s">
        <v>46</v>
      </c>
    </row>
    <row r="1351" spans="2:15" x14ac:dyDescent="0.3">
      <c r="B1351" s="1" t="s">
        <v>24</v>
      </c>
      <c r="C1351" s="1" t="str">
        <f>"3차"</f>
        <v>3차</v>
      </c>
      <c r="D1351" s="1" t="str">
        <f>"0328F23339"</f>
        <v>0328F23339</v>
      </c>
      <c r="E1351" s="1" t="s">
        <v>10</v>
      </c>
      <c r="F1351" s="1" t="str">
        <f>"10.10.15.170"</f>
        <v>10.10.15.170</v>
      </c>
      <c r="G1351" s="1" t="str">
        <f>"0328F233"</f>
        <v>0328F233</v>
      </c>
      <c r="H1351" s="1" t="str">
        <f>"신묵간 25R5"</f>
        <v>신묵간 25R5</v>
      </c>
      <c r="I1351" s="1" t="s">
        <v>8</v>
      </c>
      <c r="J1351" s="1" t="str">
        <f>"45/45"</f>
        <v>45/45</v>
      </c>
      <c r="K1351" s="1" t="str">
        <f t="shared" si="72"/>
        <v>2026-07-29 13:18:04</v>
      </c>
      <c r="L1351" s="1" t="str">
        <f>"2022-06-21 17:43:56"</f>
        <v>2022-06-21 17:43:56</v>
      </c>
      <c r="M1351" s="1" t="s">
        <v>1</v>
      </c>
      <c r="N1351" s="1" t="s">
        <v>38</v>
      </c>
      <c r="O1351" s="1" t="s">
        <v>46</v>
      </c>
    </row>
    <row r="1352" spans="2:15" x14ac:dyDescent="0.3">
      <c r="B1352" s="1" t="s">
        <v>24</v>
      </c>
      <c r="C1352" s="1" t="str">
        <f>"4차"</f>
        <v>4차</v>
      </c>
      <c r="D1352" s="1" t="str">
        <f>"0328F24139"</f>
        <v>0328F24139</v>
      </c>
      <c r="E1352" s="1" t="s">
        <v>10</v>
      </c>
      <c r="F1352" s="1" t="str">
        <f>"10.10.13.146"</f>
        <v>10.10.13.146</v>
      </c>
      <c r="G1352" s="1" t="str">
        <f>"0328F241"</f>
        <v>0328F241</v>
      </c>
      <c r="H1352" s="1" t="str">
        <f>"신묵간 24R4"</f>
        <v>신묵간 24R4</v>
      </c>
      <c r="I1352" s="1" t="s">
        <v>8</v>
      </c>
      <c r="J1352" s="1" t="str">
        <f>"49/56"</f>
        <v>49/56</v>
      </c>
      <c r="K1352" s="1" t="str">
        <f t="shared" si="72"/>
        <v>2026-07-29 13:18:04</v>
      </c>
      <c r="L1352" s="1" t="str">
        <f>"2018-01-29 13:56:25"</f>
        <v>2018-01-29 13:56:25</v>
      </c>
      <c r="M1352" s="1" t="s">
        <v>1</v>
      </c>
      <c r="N1352" s="1" t="s">
        <v>38</v>
      </c>
      <c r="O1352" s="1" t="s">
        <v>46</v>
      </c>
    </row>
    <row r="1353" spans="2:15" x14ac:dyDescent="0.3">
      <c r="B1353" s="1" t="s">
        <v>24</v>
      </c>
      <c r="C1353" s="1" t="str">
        <f t="shared" ref="C1353:C1366" si="73">"3차"</f>
        <v>3차</v>
      </c>
      <c r="D1353" s="1" t="str">
        <f>"0328F24431"</f>
        <v>0328F24431</v>
      </c>
      <c r="E1353" s="1" t="s">
        <v>10</v>
      </c>
      <c r="F1353" s="1" t="str">
        <f>"10.89.248.137"</f>
        <v>10.89.248.137</v>
      </c>
      <c r="G1353" s="1" t="str">
        <f>"0328F244"</f>
        <v>0328F244</v>
      </c>
      <c r="H1353" s="1" t="str">
        <f>"신묵간 25R3"</f>
        <v>신묵간 25R3</v>
      </c>
      <c r="I1353" s="1" t="s">
        <v>8</v>
      </c>
      <c r="J1353" s="1" t="str">
        <f>"22/24"</f>
        <v>22/24</v>
      </c>
      <c r="K1353" s="1" t="str">
        <f t="shared" si="72"/>
        <v>2026-07-29 13:18:04</v>
      </c>
      <c r="L1353" s="1" t="str">
        <f>"2018-07-26 10:22:45"</f>
        <v>2018-07-26 10:22:45</v>
      </c>
      <c r="M1353" s="1" t="s">
        <v>45</v>
      </c>
      <c r="N1353" s="1" t="s">
        <v>38</v>
      </c>
      <c r="O1353" s="1" t="s">
        <v>46</v>
      </c>
    </row>
    <row r="1354" spans="2:15" x14ac:dyDescent="0.3">
      <c r="B1354" s="1" t="s">
        <v>24</v>
      </c>
      <c r="C1354" s="1" t="str">
        <f t="shared" si="73"/>
        <v>3차</v>
      </c>
      <c r="D1354" s="1" t="str">
        <f>"0328F26139"</f>
        <v>0328F26139</v>
      </c>
      <c r="E1354" s="1" t="s">
        <v>10</v>
      </c>
      <c r="F1354" s="1" t="str">
        <f>"10.12.132.37"</f>
        <v>10.12.132.37</v>
      </c>
      <c r="G1354" s="1" t="str">
        <f>"0328F261"</f>
        <v>0328F261</v>
      </c>
      <c r="H1354" s="1" t="str">
        <f>"신묵간 25"</f>
        <v>신묵간 25</v>
      </c>
      <c r="I1354" s="1" t="s">
        <v>8</v>
      </c>
      <c r="J1354" s="1" t="str">
        <f>"72/73"</f>
        <v>72/73</v>
      </c>
      <c r="K1354" s="1" t="str">
        <f>"2026-07-29 13:18:03"</f>
        <v>2026-07-29 13:18:03</v>
      </c>
      <c r="L1354" s="1" t="str">
        <f>"2021-07-28 16:16:08"</f>
        <v>2021-07-28 16:16:08</v>
      </c>
      <c r="M1354" s="1" t="s">
        <v>0</v>
      </c>
      <c r="N1354" s="1" t="s">
        <v>38</v>
      </c>
      <c r="O1354" s="1" t="s">
        <v>46</v>
      </c>
    </row>
    <row r="1355" spans="2:15" x14ac:dyDescent="0.3">
      <c r="B1355" s="1" t="s">
        <v>24</v>
      </c>
      <c r="C1355" s="1" t="str">
        <f t="shared" si="73"/>
        <v>3차</v>
      </c>
      <c r="D1355" s="1" t="str">
        <f>"0328F29139"</f>
        <v>0328F29139</v>
      </c>
      <c r="E1355" s="1" t="s">
        <v>10</v>
      </c>
      <c r="F1355" s="1" t="str">
        <f>"10.10.15.162"</f>
        <v>10.10.15.162</v>
      </c>
      <c r="G1355" s="1" t="str">
        <f>"0328F291"</f>
        <v>0328F291</v>
      </c>
      <c r="H1355" s="1" t="str">
        <f>"신묵간 30L6L2"</f>
        <v>신묵간 30L6L2</v>
      </c>
      <c r="I1355" s="1" t="s">
        <v>8</v>
      </c>
      <c r="J1355" s="1" t="str">
        <f>"33/33"</f>
        <v>33/33</v>
      </c>
      <c r="K1355" s="1" t="str">
        <f t="shared" ref="K1355:K1361" si="74">"2026-07-29 13:18:04"</f>
        <v>2026-07-29 13:18:04</v>
      </c>
      <c r="L1355" s="1" t="str">
        <f>"2018-02-21 15:44:27"</f>
        <v>2018-02-21 15:44:27</v>
      </c>
      <c r="M1355" s="1" t="s">
        <v>1</v>
      </c>
      <c r="N1355" s="1" t="s">
        <v>38</v>
      </c>
      <c r="O1355" s="1" t="s">
        <v>46</v>
      </c>
    </row>
    <row r="1356" spans="2:15" x14ac:dyDescent="0.3">
      <c r="B1356" s="1" t="s">
        <v>24</v>
      </c>
      <c r="C1356" s="1" t="str">
        <f t="shared" si="73"/>
        <v>3차</v>
      </c>
      <c r="D1356" s="1" t="str">
        <f>"0328F30139"</f>
        <v>0328F30139</v>
      </c>
      <c r="E1356" s="1" t="s">
        <v>10</v>
      </c>
      <c r="F1356" s="1" t="str">
        <f>"10.10.13.202"</f>
        <v>10.10.13.202</v>
      </c>
      <c r="G1356" s="1" t="str">
        <f>"0328F301"</f>
        <v>0328F301</v>
      </c>
      <c r="H1356" s="1" t="str">
        <f>"신묵간 41R3"</f>
        <v>신묵간 41R3</v>
      </c>
      <c r="I1356" s="1" t="s">
        <v>8</v>
      </c>
      <c r="J1356" s="1" t="str">
        <f>"95/95"</f>
        <v>95/95</v>
      </c>
      <c r="K1356" s="1" t="str">
        <f t="shared" si="74"/>
        <v>2026-07-29 13:18:04</v>
      </c>
      <c r="L1356" s="1" t="str">
        <f>"2018-01-31 14:55:41"</f>
        <v>2018-01-31 14:55:41</v>
      </c>
      <c r="M1356" s="1" t="s">
        <v>1</v>
      </c>
      <c r="N1356" s="1" t="s">
        <v>38</v>
      </c>
      <c r="O1356" s="1" t="s">
        <v>46</v>
      </c>
    </row>
    <row r="1357" spans="2:15" x14ac:dyDescent="0.3">
      <c r="B1357" s="1" t="s">
        <v>24</v>
      </c>
      <c r="C1357" s="1" t="str">
        <f t="shared" si="73"/>
        <v>3차</v>
      </c>
      <c r="D1357" s="1" t="str">
        <f>"0328F34239"</f>
        <v>0328F34239</v>
      </c>
      <c r="E1357" s="1" t="s">
        <v>10</v>
      </c>
      <c r="F1357" s="1" t="str">
        <f>"10.10.11.58"</f>
        <v>10.10.11.58</v>
      </c>
      <c r="G1357" s="1" t="str">
        <f>"0328F342"</f>
        <v>0328F342</v>
      </c>
      <c r="H1357" s="1" t="str">
        <f>"신묵간 33R2"</f>
        <v>신묵간 33R2</v>
      </c>
      <c r="I1357" s="1" t="s">
        <v>8</v>
      </c>
      <c r="J1357" s="1" t="str">
        <f>"136/137"</f>
        <v>136/137</v>
      </c>
      <c r="K1357" s="1" t="str">
        <f t="shared" si="74"/>
        <v>2026-07-29 13:18:04</v>
      </c>
      <c r="L1357" s="1" t="str">
        <f>"2018-01-24 14:25:27"</f>
        <v>2018-01-24 14:25:27</v>
      </c>
      <c r="M1357" s="1" t="s">
        <v>1</v>
      </c>
      <c r="N1357" s="1" t="s">
        <v>38</v>
      </c>
      <c r="O1357" s="1" t="s">
        <v>46</v>
      </c>
    </row>
    <row r="1358" spans="2:15" x14ac:dyDescent="0.3">
      <c r="B1358" s="1" t="s">
        <v>24</v>
      </c>
      <c r="C1358" s="1" t="str">
        <f t="shared" si="73"/>
        <v>3차</v>
      </c>
      <c r="D1358" s="1" t="str">
        <f>"0328F36139"</f>
        <v>0328F36139</v>
      </c>
      <c r="E1358" s="1" t="s">
        <v>10</v>
      </c>
      <c r="F1358" s="1" t="str">
        <f>"10.10.11.226"</f>
        <v>10.10.11.226</v>
      </c>
      <c r="G1358" s="1" t="str">
        <f>"0328F361"</f>
        <v>0328F361</v>
      </c>
      <c r="H1358" s="1" t="str">
        <f>"신묵간 27"</f>
        <v>신묵간 27</v>
      </c>
      <c r="I1358" s="1" t="s">
        <v>8</v>
      </c>
      <c r="J1358" s="1" t="str">
        <f>"46/46"</f>
        <v>46/46</v>
      </c>
      <c r="K1358" s="1" t="str">
        <f t="shared" si="74"/>
        <v>2026-07-29 13:18:04</v>
      </c>
      <c r="L1358" s="1" t="str">
        <f>"2018-02-02 15:43:57"</f>
        <v>2018-02-02 15:43:57</v>
      </c>
      <c r="M1358" s="1" t="s">
        <v>1</v>
      </c>
      <c r="N1358" s="1" t="s">
        <v>38</v>
      </c>
      <c r="O1358" s="1" t="s">
        <v>46</v>
      </c>
    </row>
    <row r="1359" spans="2:15" x14ac:dyDescent="0.3">
      <c r="B1359" s="1" t="s">
        <v>24</v>
      </c>
      <c r="C1359" s="1" t="str">
        <f t="shared" si="73"/>
        <v>3차</v>
      </c>
      <c r="D1359" s="1" t="str">
        <f>"0328F37239"</f>
        <v>0328F37239</v>
      </c>
      <c r="E1359" s="1" t="s">
        <v>10</v>
      </c>
      <c r="F1359" s="1" t="str">
        <f>"10.10.18.130"</f>
        <v>10.10.18.130</v>
      </c>
      <c r="G1359" s="1" t="str">
        <f>"0328F372"</f>
        <v>0328F372</v>
      </c>
      <c r="H1359" s="1" t="str">
        <f>"신묵간 30L1"</f>
        <v>신묵간 30L1</v>
      </c>
      <c r="I1359" s="1" t="s">
        <v>8</v>
      </c>
      <c r="J1359" s="1" t="str">
        <f>"3/3"</f>
        <v>3/3</v>
      </c>
      <c r="K1359" s="1" t="str">
        <f t="shared" si="74"/>
        <v>2026-07-29 13:18:04</v>
      </c>
      <c r="L1359" s="1" t="str">
        <f>"2018-02-21 15:45:11"</f>
        <v>2018-02-21 15:45:11</v>
      </c>
      <c r="M1359" s="1" t="s">
        <v>1</v>
      </c>
      <c r="N1359" s="1" t="s">
        <v>38</v>
      </c>
      <c r="O1359" s="1" t="s">
        <v>46</v>
      </c>
    </row>
    <row r="1360" spans="2:15" x14ac:dyDescent="0.3">
      <c r="B1360" s="1" t="s">
        <v>24</v>
      </c>
      <c r="C1360" s="1" t="str">
        <f t="shared" si="73"/>
        <v>3차</v>
      </c>
      <c r="D1360" s="1" t="str">
        <f>"0328F40139"</f>
        <v>0328F40139</v>
      </c>
      <c r="E1360" s="1" t="s">
        <v>10</v>
      </c>
      <c r="F1360" s="1" t="str">
        <f>"10.10.13.186"</f>
        <v>10.10.13.186</v>
      </c>
      <c r="G1360" s="1" t="str">
        <f>"0328F401"</f>
        <v>0328F401</v>
      </c>
      <c r="H1360" s="1" t="str">
        <f>"신묵간 41R1"</f>
        <v>신묵간 41R1</v>
      </c>
      <c r="I1360" s="1" t="s">
        <v>8</v>
      </c>
      <c r="J1360" s="1" t="str">
        <f>"62/62"</f>
        <v>62/62</v>
      </c>
      <c r="K1360" s="1" t="str">
        <f t="shared" si="74"/>
        <v>2026-07-29 13:18:04</v>
      </c>
      <c r="L1360" s="1" t="str">
        <f>"2018-01-31 14:26:27"</f>
        <v>2018-01-31 14:26:27</v>
      </c>
      <c r="M1360" s="1" t="s">
        <v>1</v>
      </c>
      <c r="N1360" s="1" t="s">
        <v>38</v>
      </c>
      <c r="O1360" s="1" t="s">
        <v>46</v>
      </c>
    </row>
    <row r="1361" spans="2:15" x14ac:dyDescent="0.3">
      <c r="B1361" s="1" t="s">
        <v>24</v>
      </c>
      <c r="C1361" s="1" t="str">
        <f t="shared" si="73"/>
        <v>3차</v>
      </c>
      <c r="D1361" s="1" t="str">
        <f>"0328F40239"</f>
        <v>0328F40239</v>
      </c>
      <c r="E1361" s="1" t="s">
        <v>10</v>
      </c>
      <c r="F1361" s="1" t="str">
        <f>"10.10.13.194"</f>
        <v>10.10.13.194</v>
      </c>
      <c r="G1361" s="1" t="str">
        <f>"0328F402"</f>
        <v>0328F402</v>
      </c>
      <c r="H1361" s="1" t="str">
        <f>"신묵간 41R2"</f>
        <v>신묵간 41R2</v>
      </c>
      <c r="I1361" s="1" t="s">
        <v>8</v>
      </c>
      <c r="J1361" s="1" t="str">
        <f>"26/26"</f>
        <v>26/26</v>
      </c>
      <c r="K1361" s="1" t="str">
        <f t="shared" si="74"/>
        <v>2026-07-29 13:18:04</v>
      </c>
      <c r="L1361" s="1" t="str">
        <f>"2018-01-31 14:57:57"</f>
        <v>2018-01-31 14:57:57</v>
      </c>
      <c r="M1361" s="1" t="s">
        <v>1</v>
      </c>
      <c r="N1361" s="1" t="s">
        <v>38</v>
      </c>
      <c r="O1361" s="1" t="s">
        <v>46</v>
      </c>
    </row>
    <row r="1362" spans="2:15" x14ac:dyDescent="0.3">
      <c r="B1362" s="1" t="s">
        <v>24</v>
      </c>
      <c r="C1362" s="1" t="str">
        <f t="shared" si="73"/>
        <v>3차</v>
      </c>
      <c r="D1362" s="1" t="str">
        <f>"0328F43131"</f>
        <v>0328F43131</v>
      </c>
      <c r="E1362" s="1" t="s">
        <v>10</v>
      </c>
      <c r="F1362" s="1" t="str">
        <f>"10.12.138.98"</f>
        <v>10.12.138.98</v>
      </c>
      <c r="G1362" s="1" t="str">
        <f>"0328F431"</f>
        <v>0328F431</v>
      </c>
      <c r="H1362" s="1" t="str">
        <f>"신묵간 36"</f>
        <v>신묵간 36</v>
      </c>
      <c r="I1362" s="1" t="s">
        <v>8</v>
      </c>
      <c r="J1362" s="1" t="str">
        <f>"7/7"</f>
        <v>7/7</v>
      </c>
      <c r="K1362" s="1" t="str">
        <f>"2026-07-29 13:18:03"</f>
        <v>2026-07-29 13:18:03</v>
      </c>
      <c r="L1362" s="1" t="str">
        <f>"2018-02-09 16:40:57"</f>
        <v>2018-02-09 16:40:57</v>
      </c>
      <c r="M1362" s="1" t="s">
        <v>0</v>
      </c>
      <c r="N1362" s="1" t="s">
        <v>38</v>
      </c>
      <c r="O1362" s="1" t="s">
        <v>46</v>
      </c>
    </row>
    <row r="1363" spans="2:15" x14ac:dyDescent="0.3">
      <c r="B1363" s="1" t="s">
        <v>24</v>
      </c>
      <c r="C1363" s="1" t="str">
        <f t="shared" si="73"/>
        <v>3차</v>
      </c>
      <c r="D1363" s="1" t="str">
        <f>"0328F45339"</f>
        <v>0328F45339</v>
      </c>
      <c r="E1363" s="1" t="s">
        <v>10</v>
      </c>
      <c r="F1363" s="1" t="str">
        <f>"10.14.12.117"</f>
        <v>10.14.12.117</v>
      </c>
      <c r="G1363" s="1" t="str">
        <f>"0328F453"</f>
        <v>0328F453</v>
      </c>
      <c r="H1363" s="1" t="str">
        <f>"신묵간 33"</f>
        <v>신묵간 33</v>
      </c>
      <c r="I1363" s="1" t="s">
        <v>8</v>
      </c>
      <c r="J1363" s="1" t="str">
        <f>"2/2"</f>
        <v>2/2</v>
      </c>
      <c r="K1363" s="1" t="str">
        <f>"2026-07-29 13:18:03"</f>
        <v>2026-07-29 13:18:03</v>
      </c>
      <c r="L1363" s="1" t="str">
        <f>"2022-12-27 15:54:26"</f>
        <v>2022-12-27 15:54:26</v>
      </c>
      <c r="M1363" s="1" t="s">
        <v>3</v>
      </c>
      <c r="N1363" s="1" t="s">
        <v>38</v>
      </c>
      <c r="O1363" s="1" t="s">
        <v>46</v>
      </c>
    </row>
    <row r="1364" spans="2:15" x14ac:dyDescent="0.3">
      <c r="B1364" s="1" t="s">
        <v>24</v>
      </c>
      <c r="C1364" s="1" t="str">
        <f t="shared" si="73"/>
        <v>3차</v>
      </c>
      <c r="D1364" s="1" t="str">
        <f>"0328F45439"</f>
        <v>0328F45439</v>
      </c>
      <c r="E1364" s="1" t="s">
        <v>10</v>
      </c>
      <c r="F1364" s="1" t="str">
        <f>"10.10.11.218"</f>
        <v>10.10.11.218</v>
      </c>
      <c r="G1364" s="1" t="str">
        <f>"0328F454"</f>
        <v>0328F454</v>
      </c>
      <c r="H1364" s="1" t="str">
        <f>"신묵간 32"</f>
        <v>신묵간 32</v>
      </c>
      <c r="I1364" s="1" t="s">
        <v>8</v>
      </c>
      <c r="J1364" s="1" t="str">
        <f>"9/9"</f>
        <v>9/9</v>
      </c>
      <c r="K1364" s="1" t="str">
        <f>"2026-07-29 13:18:04"</f>
        <v>2026-07-29 13:18:04</v>
      </c>
      <c r="L1364" s="1" t="str">
        <f>"2018-01-24 15:05:42"</f>
        <v>2018-01-24 15:05:42</v>
      </c>
      <c r="M1364" s="1" t="s">
        <v>1</v>
      </c>
      <c r="N1364" s="1" t="s">
        <v>38</v>
      </c>
      <c r="O1364" s="1" t="s">
        <v>46</v>
      </c>
    </row>
    <row r="1365" spans="2:15" x14ac:dyDescent="0.3">
      <c r="B1365" s="1" t="s">
        <v>24</v>
      </c>
      <c r="C1365" s="1" t="str">
        <f t="shared" si="73"/>
        <v>3차</v>
      </c>
      <c r="D1365" s="1" t="str">
        <f>"0328F51239"</f>
        <v>0328F51239</v>
      </c>
      <c r="E1365" s="1" t="s">
        <v>10</v>
      </c>
      <c r="F1365" s="1" t="str">
        <f>"10.10.13.178"</f>
        <v>10.10.13.178</v>
      </c>
      <c r="G1365" s="1" t="str">
        <f>"0328F512"</f>
        <v>0328F512</v>
      </c>
      <c r="H1365" s="1" t="str">
        <f>"신묵간 41"</f>
        <v>신묵간 41</v>
      </c>
      <c r="I1365" s="1" t="s">
        <v>8</v>
      </c>
      <c r="J1365" s="1" t="str">
        <f>"7/7"</f>
        <v>7/7</v>
      </c>
      <c r="K1365" s="1" t="str">
        <f>"2026-07-29 13:18:04"</f>
        <v>2026-07-29 13:18:04</v>
      </c>
      <c r="L1365" s="1" t="str">
        <f>"2018-01-31 14:13:26"</f>
        <v>2018-01-31 14:13:26</v>
      </c>
      <c r="M1365" s="1" t="s">
        <v>1</v>
      </c>
      <c r="N1365" s="1" t="s">
        <v>38</v>
      </c>
      <c r="O1365" s="1" t="s">
        <v>46</v>
      </c>
    </row>
    <row r="1366" spans="2:15" x14ac:dyDescent="0.3">
      <c r="B1366" s="1" t="s">
        <v>24</v>
      </c>
      <c r="C1366" s="1" t="str">
        <f t="shared" si="73"/>
        <v>3차</v>
      </c>
      <c r="D1366" s="1" t="str">
        <f>"0328F54239"</f>
        <v>0328F54239</v>
      </c>
      <c r="E1366" s="1" t="s">
        <v>14</v>
      </c>
      <c r="F1366" s="1" t="str">
        <f>"10.10.8.42"</f>
        <v>10.10.8.42</v>
      </c>
      <c r="G1366" s="1" t="str">
        <f>"0328F542"</f>
        <v>0328F542</v>
      </c>
      <c r="H1366" s="1" t="str">
        <f>"묵동지 16L2"</f>
        <v>묵동지 16L2</v>
      </c>
      <c r="I1366" s="1" t="s">
        <v>8</v>
      </c>
      <c r="J1366" s="1" t="str">
        <f>"0/0"</f>
        <v>0/0</v>
      </c>
      <c r="K1366" s="1" t="str">
        <f>"2026-07-29 13:18:04"</f>
        <v>2026-07-29 13:18:04</v>
      </c>
      <c r="L1366" s="1" t="str">
        <f>"2018-02-06 13:50:42"</f>
        <v>2018-02-06 13:50:42</v>
      </c>
      <c r="M1366" s="1" t="s">
        <v>1</v>
      </c>
      <c r="N1366" s="1" t="s">
        <v>38</v>
      </c>
      <c r="O1366" s="1" t="s">
        <v>44</v>
      </c>
    </row>
    <row r="1367" spans="2:15" x14ac:dyDescent="0.3">
      <c r="B1367" s="1" t="s">
        <v>24</v>
      </c>
      <c r="C1367" s="1" t="str">
        <f>"4차"</f>
        <v>4차</v>
      </c>
      <c r="D1367" s="1" t="str">
        <f>"0328F61230"</f>
        <v>0328F61230</v>
      </c>
      <c r="E1367" s="1" t="s">
        <v>10</v>
      </c>
      <c r="F1367" s="1" t="str">
        <f>"10.10.12.234"</f>
        <v>10.10.12.234</v>
      </c>
      <c r="G1367" s="1" t="str">
        <f>"0328F612"</f>
        <v>0328F612</v>
      </c>
      <c r="H1367" s="1" t="str">
        <f>"묵동지 14"</f>
        <v>묵동지 14</v>
      </c>
      <c r="I1367" s="1" t="s">
        <v>8</v>
      </c>
      <c r="J1367" s="1" t="str">
        <f>"3/3"</f>
        <v>3/3</v>
      </c>
      <c r="K1367" s="1" t="str">
        <f>"2026-07-29 13:18:03"</f>
        <v>2026-07-29 13:18:03</v>
      </c>
      <c r="L1367" s="1" t="str">
        <f>"2018-01-17 21:29:30"</f>
        <v>2018-01-17 21:29:30</v>
      </c>
      <c r="M1367" s="1" t="s">
        <v>1</v>
      </c>
      <c r="N1367" s="1" t="s">
        <v>38</v>
      </c>
      <c r="O1367" s="1" t="s">
        <v>46</v>
      </c>
    </row>
    <row r="1368" spans="2:15" x14ac:dyDescent="0.3">
      <c r="B1368" s="1" t="s">
        <v>24</v>
      </c>
      <c r="C1368" s="1" t="str">
        <f>"1차"</f>
        <v>1차</v>
      </c>
      <c r="D1368" s="1" t="str">
        <f>"0328F64300"</f>
        <v>0328F64300</v>
      </c>
      <c r="E1368" s="1" t="s">
        <v>10</v>
      </c>
      <c r="F1368" s="1" t="str">
        <f>"10.89.248.132"</f>
        <v>10.89.248.132</v>
      </c>
      <c r="G1368" s="1" t="str">
        <f>"0328F643"</f>
        <v>0328F643</v>
      </c>
      <c r="H1368" s="1" t="str">
        <f>"묵동지 18"</f>
        <v>묵동지 18</v>
      </c>
      <c r="I1368" s="1" t="s">
        <v>8</v>
      </c>
      <c r="J1368" s="1" t="str">
        <f>"2/6"</f>
        <v>2/6</v>
      </c>
      <c r="K1368" s="1" t="str">
        <f>"2026-07-29 13:18:04"</f>
        <v>2026-07-29 13:18:04</v>
      </c>
      <c r="L1368" s="1" t="str">
        <f>"2014-10-14 14:19:01"</f>
        <v>2014-10-14 14:19:01</v>
      </c>
      <c r="M1368" s="1" t="s">
        <v>45</v>
      </c>
      <c r="N1368" s="1" t="s">
        <v>38</v>
      </c>
      <c r="O1368" s="1" t="s">
        <v>46</v>
      </c>
    </row>
    <row r="1369" spans="2:15" x14ac:dyDescent="0.3">
      <c r="B1369" s="1" t="s">
        <v>24</v>
      </c>
      <c r="C1369" s="1" t="str">
        <f>"3차"</f>
        <v>3차</v>
      </c>
      <c r="D1369" s="1" t="str">
        <f>"0328F70139"</f>
        <v>0328F70139</v>
      </c>
      <c r="E1369" s="1" t="s">
        <v>10</v>
      </c>
      <c r="F1369" s="1" t="str">
        <f>"10.10.12.210"</f>
        <v>10.10.12.210</v>
      </c>
      <c r="G1369" s="1" t="str">
        <f>"0328F701"</f>
        <v>0328F701</v>
      </c>
      <c r="H1369" s="1" t="str">
        <f>"묵동지 12R2L1"</f>
        <v>묵동지 12R2L1</v>
      </c>
      <c r="I1369" s="1" t="s">
        <v>8</v>
      </c>
      <c r="J1369" s="1" t="str">
        <f>"116/117"</f>
        <v>116/117</v>
      </c>
      <c r="K1369" s="1" t="str">
        <f>"2026-07-29 13:18:03"</f>
        <v>2026-07-29 13:18:03</v>
      </c>
      <c r="L1369" s="1" t="str">
        <f>"2018-01-17 14:11:12"</f>
        <v>2018-01-17 14:11:12</v>
      </c>
      <c r="M1369" s="1" t="s">
        <v>1</v>
      </c>
      <c r="N1369" s="1" t="s">
        <v>38</v>
      </c>
      <c r="O1369" s="1" t="s">
        <v>46</v>
      </c>
    </row>
    <row r="1370" spans="2:15" x14ac:dyDescent="0.3">
      <c r="B1370" s="1" t="s">
        <v>24</v>
      </c>
      <c r="C1370" s="1" t="str">
        <f>"3차"</f>
        <v>3차</v>
      </c>
      <c r="D1370" s="1" t="str">
        <f>"0328F71139"</f>
        <v>0328F71139</v>
      </c>
      <c r="E1370" s="1" t="s">
        <v>10</v>
      </c>
      <c r="F1370" s="1" t="str">
        <f>"10.10.12.226"</f>
        <v>10.10.12.226</v>
      </c>
      <c r="G1370" s="1" t="str">
        <f>"0328F711"</f>
        <v>0328F711</v>
      </c>
      <c r="H1370" s="1" t="str">
        <f>"묵동지 12R2L3"</f>
        <v>묵동지 12R2L3</v>
      </c>
      <c r="I1370" s="1" t="s">
        <v>8</v>
      </c>
      <c r="J1370" s="1" t="str">
        <f>"45/45"</f>
        <v>45/45</v>
      </c>
      <c r="K1370" s="1" t="str">
        <f>"2026-07-29 13:18:03"</f>
        <v>2026-07-29 13:18:03</v>
      </c>
      <c r="L1370" s="1" t="str">
        <f>"2018-01-17 14:18:56"</f>
        <v>2018-01-17 14:18:56</v>
      </c>
      <c r="M1370" s="1" t="s">
        <v>1</v>
      </c>
      <c r="N1370" s="1" t="s">
        <v>38</v>
      </c>
      <c r="O1370" s="1" t="s">
        <v>46</v>
      </c>
    </row>
    <row r="1371" spans="2:15" x14ac:dyDescent="0.3">
      <c r="B1371" s="1" t="s">
        <v>24</v>
      </c>
      <c r="C1371" s="1" t="str">
        <f t="shared" ref="C1371:C1377" si="75">"1차"</f>
        <v>1차</v>
      </c>
      <c r="D1371" s="1" t="str">
        <f>"0328F72419"</f>
        <v>0328F72419</v>
      </c>
      <c r="E1371" s="1" t="s">
        <v>10</v>
      </c>
      <c r="F1371" s="1" t="str">
        <f>"10.89.248.133"</f>
        <v>10.89.248.133</v>
      </c>
      <c r="G1371" s="1" t="str">
        <f>"0328F724"</f>
        <v>0328F724</v>
      </c>
      <c r="H1371" s="1" t="str">
        <f>"묵동지 16R3"</f>
        <v>묵동지 16R3</v>
      </c>
      <c r="I1371" s="1" t="s">
        <v>8</v>
      </c>
      <c r="J1371" s="1" t="str">
        <f>"14/14"</f>
        <v>14/14</v>
      </c>
      <c r="K1371" s="1" t="str">
        <f>"2026-07-29 13:18:03"</f>
        <v>2026-07-29 13:18:03</v>
      </c>
      <c r="L1371" s="1" t="str">
        <f>"2017-03-03 10:31:17"</f>
        <v>2017-03-03 10:31:17</v>
      </c>
      <c r="M1371" s="1" t="s">
        <v>45</v>
      </c>
      <c r="N1371" s="1" t="s">
        <v>38</v>
      </c>
      <c r="O1371" s="1" t="s">
        <v>46</v>
      </c>
    </row>
    <row r="1372" spans="2:15" x14ac:dyDescent="0.3">
      <c r="B1372" s="1" t="s">
        <v>24</v>
      </c>
      <c r="C1372" s="1" t="str">
        <f t="shared" si="75"/>
        <v>1차</v>
      </c>
      <c r="D1372" s="1" t="str">
        <f>"0328F73100"</f>
        <v>0328F73100</v>
      </c>
      <c r="E1372" s="1" t="s">
        <v>10</v>
      </c>
      <c r="F1372" s="1" t="str">
        <f>"10.89.248.134"</f>
        <v>10.89.248.134</v>
      </c>
      <c r="G1372" s="1" t="str">
        <f>"0328F731"</f>
        <v>0328F731</v>
      </c>
      <c r="H1372" s="1" t="str">
        <f>"묵동지 16R2L3"</f>
        <v>묵동지 16R2L3</v>
      </c>
      <c r="I1372" s="1" t="s">
        <v>8</v>
      </c>
      <c r="J1372" s="1" t="str">
        <f>"42/42"</f>
        <v>42/42</v>
      </c>
      <c r="K1372" s="1" t="str">
        <f>"2026-07-29 13:18:03"</f>
        <v>2026-07-29 13:18:03</v>
      </c>
      <c r="L1372" s="1" t="str">
        <f>"2014-10-14 14:27:57"</f>
        <v>2014-10-14 14:27:57</v>
      </c>
      <c r="M1372" s="1" t="s">
        <v>45</v>
      </c>
      <c r="N1372" s="1" t="s">
        <v>38</v>
      </c>
      <c r="O1372" s="1" t="s">
        <v>46</v>
      </c>
    </row>
    <row r="1373" spans="2:15" x14ac:dyDescent="0.3">
      <c r="B1373" s="1" t="s">
        <v>24</v>
      </c>
      <c r="C1373" s="1" t="str">
        <f t="shared" si="75"/>
        <v>1차</v>
      </c>
      <c r="D1373" s="1" t="str">
        <f>"0328F75101"</f>
        <v>0328F75101</v>
      </c>
      <c r="E1373" s="1" t="s">
        <v>10</v>
      </c>
      <c r="F1373" s="1" t="str">
        <f>"10.89.247.4"</f>
        <v>10.89.247.4</v>
      </c>
      <c r="G1373" s="1" t="str">
        <f>"0328F751"</f>
        <v>0328F751</v>
      </c>
      <c r="H1373" s="1" t="str">
        <f>"묵동지 21R3"</f>
        <v>묵동지 21R3</v>
      </c>
      <c r="I1373" s="1" t="s">
        <v>8</v>
      </c>
      <c r="J1373" s="1" t="str">
        <f>"69/69"</f>
        <v>69/69</v>
      </c>
      <c r="K1373" s="1" t="str">
        <f>"2026-07-29 13:18:02"</f>
        <v>2026-07-29 13:18:02</v>
      </c>
      <c r="L1373" s="1" t="str">
        <f>"2014-10-27 15:48:13"</f>
        <v>2014-10-27 15:48:13</v>
      </c>
      <c r="M1373" s="1" t="s">
        <v>45</v>
      </c>
      <c r="N1373" s="1" t="s">
        <v>38</v>
      </c>
      <c r="O1373" s="1" t="s">
        <v>46</v>
      </c>
    </row>
    <row r="1374" spans="2:15" x14ac:dyDescent="0.3">
      <c r="B1374" s="1" t="s">
        <v>24</v>
      </c>
      <c r="C1374" s="1" t="str">
        <f t="shared" si="75"/>
        <v>1차</v>
      </c>
      <c r="D1374" s="1" t="str">
        <f>"0328F76100"</f>
        <v>0328F76100</v>
      </c>
      <c r="E1374" s="1" t="s">
        <v>10</v>
      </c>
      <c r="F1374" s="1" t="str">
        <f>"10.89.247.3"</f>
        <v>10.89.247.3</v>
      </c>
      <c r="G1374" s="1" t="str">
        <f>"0328F761"</f>
        <v>0328F761</v>
      </c>
      <c r="H1374" s="1" t="str">
        <f>"묵동지 21R5"</f>
        <v>묵동지 21R5</v>
      </c>
      <c r="I1374" s="1" t="s">
        <v>8</v>
      </c>
      <c r="J1374" s="1" t="str">
        <f>"79/80"</f>
        <v>79/80</v>
      </c>
      <c r="K1374" s="1" t="str">
        <f>"2026-07-29 13:18:03"</f>
        <v>2026-07-29 13:18:03</v>
      </c>
      <c r="L1374" s="1" t="str">
        <f>"2014-10-14 14:29:15"</f>
        <v>2014-10-14 14:29:15</v>
      </c>
      <c r="M1374" s="1" t="s">
        <v>45</v>
      </c>
      <c r="N1374" s="1" t="s">
        <v>38</v>
      </c>
      <c r="O1374" s="1" t="s">
        <v>46</v>
      </c>
    </row>
    <row r="1375" spans="2:15" x14ac:dyDescent="0.3">
      <c r="B1375" s="1" t="s">
        <v>24</v>
      </c>
      <c r="C1375" s="1" t="str">
        <f t="shared" si="75"/>
        <v>1차</v>
      </c>
      <c r="D1375" s="1" t="str">
        <f>"0328F76501"</f>
        <v>0328F76501</v>
      </c>
      <c r="E1375" s="1" t="s">
        <v>10</v>
      </c>
      <c r="F1375" s="1" t="str">
        <f>"10.89.247.5"</f>
        <v>10.89.247.5</v>
      </c>
      <c r="G1375" s="1" t="str">
        <f>"0328F765"</f>
        <v>0328F765</v>
      </c>
      <c r="H1375" s="1" t="str">
        <f>"묵동지 21R6"</f>
        <v>묵동지 21R6</v>
      </c>
      <c r="I1375" s="1" t="s">
        <v>8</v>
      </c>
      <c r="J1375" s="1" t="str">
        <f>"14/14"</f>
        <v>14/14</v>
      </c>
      <c r="K1375" s="1" t="str">
        <f>"2026-07-29 13:18:00"</f>
        <v>2026-07-29 13:18:00</v>
      </c>
      <c r="L1375" s="1" t="str">
        <f>"2014-11-04 00:11:35"</f>
        <v>2014-11-04 00:11:35</v>
      </c>
      <c r="M1375" s="1" t="s">
        <v>45</v>
      </c>
      <c r="N1375" s="1" t="s">
        <v>38</v>
      </c>
      <c r="O1375" s="1" t="s">
        <v>46</v>
      </c>
    </row>
    <row r="1376" spans="2:15" x14ac:dyDescent="0.3">
      <c r="B1376" s="1" t="s">
        <v>24</v>
      </c>
      <c r="C1376" s="1" t="str">
        <f t="shared" si="75"/>
        <v>1차</v>
      </c>
      <c r="D1376" s="1" t="str">
        <f>"0328F77100"</f>
        <v>0328F77100</v>
      </c>
      <c r="E1376" s="1" t="s">
        <v>10</v>
      </c>
      <c r="F1376" s="1" t="str">
        <f>"10.89.247.7"</f>
        <v>10.89.247.7</v>
      </c>
      <c r="G1376" s="1" t="str">
        <f>"0328F771"</f>
        <v>0328F771</v>
      </c>
      <c r="H1376" s="1" t="str">
        <f>"묵동지 21R7"</f>
        <v>묵동지 21R7</v>
      </c>
      <c r="I1376" s="1" t="s">
        <v>8</v>
      </c>
      <c r="J1376" s="1" t="str">
        <f>"16/16"</f>
        <v>16/16</v>
      </c>
      <c r="K1376" s="1" t="str">
        <f>"2026-07-29 13:18:03"</f>
        <v>2026-07-29 13:18:03</v>
      </c>
      <c r="L1376" s="1" t="str">
        <f>"2015-01-15 12:01:46"</f>
        <v>2015-01-15 12:01:46</v>
      </c>
      <c r="M1376" s="1" t="s">
        <v>45</v>
      </c>
      <c r="N1376" s="1" t="s">
        <v>38</v>
      </c>
      <c r="O1376" s="1" t="s">
        <v>46</v>
      </c>
    </row>
    <row r="1377" spans="2:15" x14ac:dyDescent="0.3">
      <c r="B1377" s="1" t="s">
        <v>24</v>
      </c>
      <c r="C1377" s="1" t="str">
        <f t="shared" si="75"/>
        <v>1차</v>
      </c>
      <c r="D1377" s="1" t="str">
        <f>"0328F78301"</f>
        <v>0328F78301</v>
      </c>
      <c r="E1377" s="1" t="s">
        <v>10</v>
      </c>
      <c r="F1377" s="1" t="str">
        <f>"10.14.2.119"</f>
        <v>10.14.2.119</v>
      </c>
      <c r="G1377" s="1" t="str">
        <f>"0328F783"</f>
        <v>0328F783</v>
      </c>
      <c r="H1377" s="1" t="str">
        <f>"묵동지 27R1"</f>
        <v>묵동지 27R1</v>
      </c>
      <c r="I1377" s="1" t="s">
        <v>8</v>
      </c>
      <c r="J1377" s="1" t="str">
        <f>"76/78"</f>
        <v>76/78</v>
      </c>
      <c r="K1377" s="1" t="str">
        <f>"2026-07-29 13:18:03"</f>
        <v>2026-07-29 13:18:03</v>
      </c>
      <c r="L1377" s="1" t="str">
        <f>"2014-10-27 15:49:24"</f>
        <v>2014-10-27 15:49:24</v>
      </c>
      <c r="M1377" s="1" t="s">
        <v>3</v>
      </c>
      <c r="N1377" s="1" t="s">
        <v>38</v>
      </c>
      <c r="O1377" s="1" t="s">
        <v>46</v>
      </c>
    </row>
    <row r="1378" spans="2:15" x14ac:dyDescent="0.3">
      <c r="B1378" s="1" t="s">
        <v>24</v>
      </c>
      <c r="C1378" s="1" t="str">
        <f>"4차"</f>
        <v>4차</v>
      </c>
      <c r="D1378" s="1" t="str">
        <f>"0328F78541"</f>
        <v>0328F78541</v>
      </c>
      <c r="E1378" s="1" t="s">
        <v>10</v>
      </c>
      <c r="F1378" s="1" t="str">
        <f>"10.14.11.42"</f>
        <v>10.14.11.42</v>
      </c>
      <c r="G1378" s="1" t="str">
        <f>"0328F785"</f>
        <v>0328F785</v>
      </c>
      <c r="H1378" s="1" t="str">
        <f>"묵동지 21R8L1"</f>
        <v>묵동지 21R8L1</v>
      </c>
      <c r="I1378" s="1" t="s">
        <v>17</v>
      </c>
      <c r="J1378" s="1" t="str">
        <f>"15/15"</f>
        <v>15/15</v>
      </c>
      <c r="K1378" s="1" t="str">
        <f>"2026-07-29 13:18:03"</f>
        <v>2026-07-29 13:18:03</v>
      </c>
      <c r="L1378" s="1" t="str">
        <f>"2021-10-20 09:05:42"</f>
        <v>2021-10-20 09:05:42</v>
      </c>
      <c r="M1378" s="1" t="s">
        <v>3</v>
      </c>
      <c r="N1378" s="1" t="s">
        <v>38</v>
      </c>
      <c r="O1378" s="1" t="s">
        <v>46</v>
      </c>
    </row>
    <row r="1379" spans="2:15" x14ac:dyDescent="0.3">
      <c r="B1379" s="1" t="s">
        <v>24</v>
      </c>
      <c r="C1379" s="1" t="str">
        <f>"3차"</f>
        <v>3차</v>
      </c>
      <c r="D1379" s="1" t="str">
        <f>"0328F81239"</f>
        <v>0328F81239</v>
      </c>
      <c r="E1379" s="1" t="s">
        <v>10</v>
      </c>
      <c r="F1379" s="1" t="str">
        <f>"10.10.16.98"</f>
        <v>10.10.16.98</v>
      </c>
      <c r="G1379" s="1" t="str">
        <f>"0328F812"</f>
        <v>0328F812</v>
      </c>
      <c r="H1379" s="1" t="str">
        <f>"묵동지 16R4R1"</f>
        <v>묵동지 16R4R1</v>
      </c>
      <c r="I1379" s="1" t="s">
        <v>8</v>
      </c>
      <c r="J1379" s="1" t="str">
        <f>"47/47"</f>
        <v>47/47</v>
      </c>
      <c r="K1379" s="1" t="str">
        <f>"2026-07-29 13:18:03"</f>
        <v>2026-07-29 13:18:03</v>
      </c>
      <c r="L1379" s="1" t="str">
        <f>"2018-03-07 10:55:25"</f>
        <v>2018-03-07 10:55:25</v>
      </c>
      <c r="M1379" s="1" t="s">
        <v>1</v>
      </c>
      <c r="N1379" s="1" t="s">
        <v>38</v>
      </c>
      <c r="O1379" s="1" t="s">
        <v>46</v>
      </c>
    </row>
    <row r="1380" spans="2:15" x14ac:dyDescent="0.3">
      <c r="B1380" s="1" t="s">
        <v>24</v>
      </c>
      <c r="C1380" s="1" t="str">
        <f>"1차"</f>
        <v>1차</v>
      </c>
      <c r="D1380" s="1" t="str">
        <f>"0328F84301"</f>
        <v>0328F84301</v>
      </c>
      <c r="E1380" s="1" t="s">
        <v>10</v>
      </c>
      <c r="F1380" s="1" t="str">
        <f>"10.89.248.131"</f>
        <v>10.89.248.131</v>
      </c>
      <c r="G1380" s="1" t="str">
        <f>"0328F843"</f>
        <v>0328F843</v>
      </c>
      <c r="H1380" s="1" t="str">
        <f>"묵동지 21R3R1R1"</f>
        <v>묵동지 21R3R1R1</v>
      </c>
      <c r="I1380" s="1" t="s">
        <v>8</v>
      </c>
      <c r="J1380" s="1" t="str">
        <f>"34/34"</f>
        <v>34/34</v>
      </c>
      <c r="K1380" s="1" t="str">
        <f>"2026-07-29 13:18:03"</f>
        <v>2026-07-29 13:18:03</v>
      </c>
      <c r="L1380" s="1" t="str">
        <f>"2014-10-27 15:50:35"</f>
        <v>2014-10-27 15:50:35</v>
      </c>
      <c r="M1380" s="1" t="s">
        <v>45</v>
      </c>
      <c r="N1380" s="1" t="s">
        <v>38</v>
      </c>
      <c r="O1380" s="1" t="s">
        <v>46</v>
      </c>
    </row>
    <row r="1381" spans="2:15" x14ac:dyDescent="0.3">
      <c r="B1381" s="1" t="s">
        <v>24</v>
      </c>
      <c r="C1381" s="1" t="str">
        <f>"4차"</f>
        <v>4차</v>
      </c>
      <c r="D1381" s="1" t="str">
        <f>"0328F87339"</f>
        <v>0328F87339</v>
      </c>
      <c r="E1381" s="1" t="s">
        <v>10</v>
      </c>
      <c r="F1381" s="1" t="str">
        <f>"10.89.247.2"</f>
        <v>10.89.247.2</v>
      </c>
      <c r="G1381" s="1" t="str">
        <f>"0328F873"</f>
        <v>0328F873</v>
      </c>
      <c r="H1381" s="1" t="str">
        <f>"묵동지 21R8R1"</f>
        <v>묵동지 21R8R1</v>
      </c>
      <c r="I1381" s="1" t="s">
        <v>17</v>
      </c>
      <c r="J1381" s="1" t="str">
        <f>"6/8"</f>
        <v>6/8</v>
      </c>
      <c r="K1381" s="1" t="str">
        <f>"2026-07-29 13:18:02"</f>
        <v>2026-07-29 13:18:02</v>
      </c>
      <c r="L1381" s="1" t="str">
        <f>"2020-11-24 17:56:11"</f>
        <v>2020-11-24 17:56:11</v>
      </c>
      <c r="M1381" s="1" t="s">
        <v>45</v>
      </c>
      <c r="N1381" s="1" t="s">
        <v>38</v>
      </c>
      <c r="O1381" s="1" t="s">
        <v>46</v>
      </c>
    </row>
    <row r="1382" spans="2:15" x14ac:dyDescent="0.3">
      <c r="B1382" s="1" t="s">
        <v>24</v>
      </c>
      <c r="C1382" s="1" t="str">
        <f>"4차"</f>
        <v>4차</v>
      </c>
      <c r="D1382" s="1" t="str">
        <f>"0328F89241"</f>
        <v>0328F89241</v>
      </c>
      <c r="E1382" s="1" t="s">
        <v>10</v>
      </c>
      <c r="F1382" s="1" t="str">
        <f>"10.14.5.112"</f>
        <v>10.14.5.112</v>
      </c>
      <c r="G1382" s="1" t="str">
        <f>"0328F892"</f>
        <v>0328F892</v>
      </c>
      <c r="H1382" s="1" t="str">
        <f>"묵동지 34R6"</f>
        <v>묵동지 34R6</v>
      </c>
      <c r="I1382" s="1" t="s">
        <v>17</v>
      </c>
      <c r="J1382" s="1" t="str">
        <f>"36/36"</f>
        <v>36/36</v>
      </c>
      <c r="K1382" s="1" t="str">
        <f>"2026-07-29 13:18:03"</f>
        <v>2026-07-29 13:18:03</v>
      </c>
      <c r="L1382" s="1" t="str">
        <f>"2021-10-20 07:46:44"</f>
        <v>2021-10-20 07:46:44</v>
      </c>
      <c r="M1382" s="1" t="s">
        <v>3</v>
      </c>
      <c r="N1382" s="1" t="s">
        <v>38</v>
      </c>
      <c r="O1382" s="1" t="s">
        <v>46</v>
      </c>
    </row>
    <row r="1383" spans="2:15" x14ac:dyDescent="0.3">
      <c r="B1383" s="1" t="s">
        <v>24</v>
      </c>
      <c r="C1383" s="1" t="str">
        <f>"3차"</f>
        <v>3차</v>
      </c>
      <c r="D1383" s="1" t="str">
        <f>"0328F90239"</f>
        <v>0328F90239</v>
      </c>
      <c r="E1383" s="1" t="s">
        <v>10</v>
      </c>
      <c r="F1383" s="1" t="str">
        <f>"10.10.13.210"</f>
        <v>10.10.13.210</v>
      </c>
      <c r="G1383" s="1" t="str">
        <f>"0328F902"</f>
        <v>0328F902</v>
      </c>
      <c r="H1383" s="1" t="str">
        <f>"묵동지 12R7"</f>
        <v>묵동지 12R7</v>
      </c>
      <c r="I1383" s="1" t="s">
        <v>8</v>
      </c>
      <c r="J1383" s="1" t="str">
        <f>"85/85"</f>
        <v>85/85</v>
      </c>
      <c r="K1383" s="1" t="str">
        <f>"2026-07-29 13:18:03"</f>
        <v>2026-07-29 13:18:03</v>
      </c>
      <c r="L1383" s="1" t="str">
        <f>"2018-01-17 14:39:27"</f>
        <v>2018-01-17 14:39:27</v>
      </c>
      <c r="M1383" s="1" t="s">
        <v>1</v>
      </c>
      <c r="N1383" s="1" t="s">
        <v>38</v>
      </c>
      <c r="O1383" s="1" t="s">
        <v>46</v>
      </c>
    </row>
    <row r="1384" spans="2:15" x14ac:dyDescent="0.3">
      <c r="B1384" s="1" t="s">
        <v>24</v>
      </c>
      <c r="C1384" s="1" t="str">
        <f>"5-2차"</f>
        <v>5-2차</v>
      </c>
      <c r="D1384" s="1" t="str">
        <f>"0328F9225M"</f>
        <v>0328F9225M</v>
      </c>
      <c r="E1384" s="1" t="s">
        <v>10</v>
      </c>
      <c r="F1384" s="1" t="str">
        <f>"fde1:103:4:5742:0:0:0:2"</f>
        <v>fde1:103:4:5742:0:0:0:2</v>
      </c>
      <c r="G1384" s="1" t="str">
        <f>"0328F922"</f>
        <v>0328F922</v>
      </c>
      <c r="H1384" s="1" t="str">
        <f>"묵동지 16R5"</f>
        <v>묵동지 16R5</v>
      </c>
      <c r="I1384" s="1" t="s">
        <v>15</v>
      </c>
      <c r="J1384" s="1" t="str">
        <f>"56/65"</f>
        <v>56/65</v>
      </c>
      <c r="K1384" s="1" t="str">
        <f>"2026-07-29 14:20:16"</f>
        <v>2026-07-29 14:20:16</v>
      </c>
      <c r="L1384" s="1" t="str">
        <f>"2023-09-20 10:12:03"</f>
        <v>2023-09-20 10:12:03</v>
      </c>
      <c r="M1384" s="1" t="s">
        <v>4</v>
      </c>
      <c r="N1384" s="1" t="s">
        <v>38</v>
      </c>
      <c r="O1384" s="1" t="s">
        <v>46</v>
      </c>
    </row>
    <row r="1385" spans="2:15" x14ac:dyDescent="0.3">
      <c r="B1385" s="1" t="s">
        <v>24</v>
      </c>
      <c r="C1385" s="1" t="str">
        <f>"1차"</f>
        <v>1차</v>
      </c>
      <c r="D1385" s="1" t="str">
        <f>"0328F95100"</f>
        <v>0328F95100</v>
      </c>
      <c r="E1385" s="1" t="s">
        <v>10</v>
      </c>
      <c r="F1385" s="1" t="str">
        <f>"10.89.248.130"</f>
        <v>10.89.248.130</v>
      </c>
      <c r="G1385" s="1" t="str">
        <f>"0328F951"</f>
        <v>0328F951</v>
      </c>
      <c r="H1385" s="1" t="str">
        <f>"묵동지 21R3R2"</f>
        <v>묵동지 21R3R2</v>
      </c>
      <c r="I1385" s="1" t="s">
        <v>8</v>
      </c>
      <c r="J1385" s="1" t="str">
        <f>"7/44"</f>
        <v>7/44</v>
      </c>
      <c r="K1385" s="1" t="str">
        <f>"2026-07-29 13:18:03"</f>
        <v>2026-07-29 13:18:03</v>
      </c>
      <c r="L1385" s="1" t="str">
        <f>"2014-10-14 14:31:44"</f>
        <v>2014-10-14 14:31:44</v>
      </c>
      <c r="M1385" s="1" t="s">
        <v>45</v>
      </c>
      <c r="N1385" s="1" t="s">
        <v>38</v>
      </c>
      <c r="O1385" s="1" t="s">
        <v>46</v>
      </c>
    </row>
    <row r="1386" spans="2:15" x14ac:dyDescent="0.3">
      <c r="B1386" s="1" t="s">
        <v>24</v>
      </c>
      <c r="C1386" s="1" t="str">
        <f t="shared" ref="C1386:C1391" si="76">"3차"</f>
        <v>3차</v>
      </c>
      <c r="D1386" s="1" t="str">
        <f>"0328F98139"</f>
        <v>0328F98139</v>
      </c>
      <c r="E1386" s="1" t="s">
        <v>10</v>
      </c>
      <c r="F1386" s="1" t="str">
        <f>"10.10.16.122"</f>
        <v>10.10.16.122</v>
      </c>
      <c r="G1386" s="1" t="str">
        <f>"0328F981"</f>
        <v>0328F981</v>
      </c>
      <c r="H1386" s="1" t="str">
        <f>"묵동지 21R10"</f>
        <v>묵동지 21R10</v>
      </c>
      <c r="I1386" s="1" t="s">
        <v>8</v>
      </c>
      <c r="J1386" s="1" t="str">
        <f>"12/12"</f>
        <v>12/12</v>
      </c>
      <c r="K1386" s="1" t="str">
        <f>"2026-07-29 13:18:03"</f>
        <v>2026-07-29 13:18:03</v>
      </c>
      <c r="L1386" s="1" t="str">
        <f>"2018-03-29 10:53:11"</f>
        <v>2018-03-29 10:53:11</v>
      </c>
      <c r="M1386" s="1" t="s">
        <v>1</v>
      </c>
      <c r="N1386" s="1" t="s">
        <v>38</v>
      </c>
      <c r="O1386" s="1" t="s">
        <v>46</v>
      </c>
    </row>
    <row r="1387" spans="2:15" x14ac:dyDescent="0.3">
      <c r="B1387" s="1" t="s">
        <v>24</v>
      </c>
      <c r="C1387" s="1" t="str">
        <f t="shared" si="76"/>
        <v>3차</v>
      </c>
      <c r="D1387" s="1" t="str">
        <f>"0328G73139"</f>
        <v>0328G73139</v>
      </c>
      <c r="E1387" s="1" t="s">
        <v>10</v>
      </c>
      <c r="F1387" s="1" t="str">
        <f>"10.10.23.10"</f>
        <v>10.10.23.10</v>
      </c>
      <c r="G1387" s="1" t="str">
        <f>"0328G731"</f>
        <v>0328G731</v>
      </c>
      <c r="H1387" s="1" t="str">
        <f>"신중간 38"</f>
        <v>신중간 38</v>
      </c>
      <c r="I1387" s="1" t="s">
        <v>8</v>
      </c>
      <c r="J1387" s="1" t="str">
        <f>"14/14"</f>
        <v>14/14</v>
      </c>
      <c r="K1387" s="1" t="str">
        <f>"2026-07-29 13:18:03"</f>
        <v>2026-07-29 13:18:03</v>
      </c>
      <c r="L1387" s="1" t="str">
        <f>"2018-02-06 11:39:11"</f>
        <v>2018-02-06 11:39:11</v>
      </c>
      <c r="M1387" s="1" t="s">
        <v>1</v>
      </c>
      <c r="N1387" s="1" t="s">
        <v>38</v>
      </c>
      <c r="O1387" s="1" t="s">
        <v>46</v>
      </c>
    </row>
    <row r="1388" spans="2:15" x14ac:dyDescent="0.3">
      <c r="B1388" s="1" t="s">
        <v>24</v>
      </c>
      <c r="C1388" s="1" t="str">
        <f t="shared" si="76"/>
        <v>3차</v>
      </c>
      <c r="D1388" s="1" t="str">
        <f>"0328G74139"</f>
        <v>0328G74139</v>
      </c>
      <c r="E1388" s="1" t="s">
        <v>10</v>
      </c>
      <c r="F1388" s="1" t="str">
        <f>"10.10.3.162"</f>
        <v>10.10.3.162</v>
      </c>
      <c r="G1388" s="1" t="str">
        <f>"0328G741"</f>
        <v>0328G741</v>
      </c>
      <c r="H1388" s="1" t="str">
        <f>"신중간 39"</f>
        <v>신중간 39</v>
      </c>
      <c r="I1388" s="1" t="s">
        <v>8</v>
      </c>
      <c r="J1388" s="1" t="str">
        <f>"12/12"</f>
        <v>12/12</v>
      </c>
      <c r="K1388" s="1" t="str">
        <f>"2026-07-29 13:18:03"</f>
        <v>2026-07-29 13:18:03</v>
      </c>
      <c r="L1388" s="1" t="str">
        <f>"2018-02-06 11:38:41"</f>
        <v>2018-02-06 11:38:41</v>
      </c>
      <c r="M1388" s="1" t="s">
        <v>1</v>
      </c>
      <c r="N1388" s="1" t="s">
        <v>38</v>
      </c>
      <c r="O1388" s="1" t="s">
        <v>46</v>
      </c>
    </row>
    <row r="1389" spans="2:15" x14ac:dyDescent="0.3">
      <c r="B1389" s="1" t="s">
        <v>24</v>
      </c>
      <c r="C1389" s="1" t="str">
        <f t="shared" si="76"/>
        <v>3차</v>
      </c>
      <c r="D1389" s="1" t="str">
        <f>"0328G81139"</f>
        <v>0328G81139</v>
      </c>
      <c r="E1389" s="1" t="s">
        <v>10</v>
      </c>
      <c r="F1389" s="1" t="str">
        <f>"10.10.22.250"</f>
        <v>10.10.22.250</v>
      </c>
      <c r="G1389" s="1" t="str">
        <f>"0328G811"</f>
        <v>0328G811</v>
      </c>
      <c r="H1389" s="1" t="str">
        <f>"신중간 35"</f>
        <v>신중간 35</v>
      </c>
      <c r="I1389" s="1" t="s">
        <v>8</v>
      </c>
      <c r="J1389" s="1" t="str">
        <f>"67/67"</f>
        <v>67/67</v>
      </c>
      <c r="K1389" s="1" t="str">
        <f>"2026-07-29 13:18:04"</f>
        <v>2026-07-29 13:18:04</v>
      </c>
      <c r="L1389" s="1" t="str">
        <f>"2018-05-11 17:44:00"</f>
        <v>2018-05-11 17:44:00</v>
      </c>
      <c r="M1389" s="1" t="s">
        <v>1</v>
      </c>
      <c r="N1389" s="1" t="s">
        <v>38</v>
      </c>
      <c r="O1389" s="1" t="s">
        <v>46</v>
      </c>
    </row>
    <row r="1390" spans="2:15" x14ac:dyDescent="0.3">
      <c r="B1390" s="1" t="s">
        <v>24</v>
      </c>
      <c r="C1390" s="1" t="str">
        <f t="shared" si="76"/>
        <v>3차</v>
      </c>
      <c r="D1390" s="1" t="str">
        <f>"0328G82139"</f>
        <v>0328G82139</v>
      </c>
      <c r="E1390" s="1" t="s">
        <v>10</v>
      </c>
      <c r="F1390" s="1" t="str">
        <f>"10.14.3.128"</f>
        <v>10.14.3.128</v>
      </c>
      <c r="G1390" s="1" t="str">
        <f>"0328G821"</f>
        <v>0328G821</v>
      </c>
      <c r="H1390" s="1" t="str">
        <f>"신중간 37"</f>
        <v>신중간 37</v>
      </c>
      <c r="I1390" s="1" t="s">
        <v>8</v>
      </c>
      <c r="J1390" s="1" t="str">
        <f>"27/27"</f>
        <v>27/27</v>
      </c>
      <c r="K1390" s="1" t="str">
        <f>"2026-07-29 13:18:03"</f>
        <v>2026-07-29 13:18:03</v>
      </c>
      <c r="L1390" s="1" t="str">
        <f>"2018-02-12 13:56:10"</f>
        <v>2018-02-12 13:56:10</v>
      </c>
      <c r="M1390" s="1" t="s">
        <v>3</v>
      </c>
      <c r="N1390" s="1" t="s">
        <v>38</v>
      </c>
      <c r="O1390" s="1" t="s">
        <v>46</v>
      </c>
    </row>
    <row r="1391" spans="2:15" x14ac:dyDescent="0.3">
      <c r="B1391" s="1" t="s">
        <v>24</v>
      </c>
      <c r="C1391" s="1" t="str">
        <f t="shared" si="76"/>
        <v>3차</v>
      </c>
      <c r="D1391" s="1" t="str">
        <f>"0328G84130"</f>
        <v>0328G84130</v>
      </c>
      <c r="E1391" s="1" t="s">
        <v>10</v>
      </c>
      <c r="F1391" s="1" t="str">
        <f>"10.10.18.154"</f>
        <v>10.10.18.154</v>
      </c>
      <c r="G1391" s="1" t="str">
        <f>"0328G841"</f>
        <v>0328G841</v>
      </c>
      <c r="H1391" s="1" t="str">
        <f>"신중간 39H1R1"</f>
        <v>신중간 39H1R1</v>
      </c>
      <c r="I1391" s="1" t="s">
        <v>8</v>
      </c>
      <c r="J1391" s="1" t="str">
        <f>"18/18"</f>
        <v>18/18</v>
      </c>
      <c r="K1391" s="1" t="str">
        <f>"2026-07-29 13:18:03"</f>
        <v>2026-07-29 13:18:03</v>
      </c>
      <c r="L1391" s="1" t="str">
        <f>"2018-02-12 16:59:40"</f>
        <v>2018-02-12 16:59:40</v>
      </c>
      <c r="M1391" s="1" t="s">
        <v>1</v>
      </c>
      <c r="N1391" s="1" t="s">
        <v>38</v>
      </c>
      <c r="O1391" s="1" t="s">
        <v>46</v>
      </c>
    </row>
    <row r="1392" spans="2:15" x14ac:dyDescent="0.3">
      <c r="B1392" s="1" t="s">
        <v>24</v>
      </c>
      <c r="C1392" s="1" t="str">
        <f>"4차"</f>
        <v>4차</v>
      </c>
      <c r="D1392" s="1" t="str">
        <f>"0328G90139"</f>
        <v>0328G90139</v>
      </c>
      <c r="E1392" s="1" t="s">
        <v>10</v>
      </c>
      <c r="F1392" s="1" t="str">
        <f>"10.10.18.106"</f>
        <v>10.10.18.106</v>
      </c>
      <c r="G1392" s="1" t="str">
        <f>"0328G901"</f>
        <v>0328G901</v>
      </c>
      <c r="H1392" s="1" t="str">
        <f>"신중간 33R2L1"</f>
        <v>신중간 33R2L1</v>
      </c>
      <c r="I1392" s="1" t="s">
        <v>8</v>
      </c>
      <c r="J1392" s="1" t="str">
        <f>"40/40"</f>
        <v>40/40</v>
      </c>
      <c r="K1392" s="1" t="str">
        <f>"2026-07-29 13:18:03"</f>
        <v>2026-07-29 13:18:03</v>
      </c>
      <c r="L1392" s="1" t="str">
        <f>"2018-02-26 14:27:41"</f>
        <v>2018-02-26 14:27:41</v>
      </c>
      <c r="M1392" s="1" t="s">
        <v>1</v>
      </c>
      <c r="N1392" s="1" t="s">
        <v>38</v>
      </c>
      <c r="O1392" s="1" t="s">
        <v>46</v>
      </c>
    </row>
    <row r="1393" spans="2:15" x14ac:dyDescent="0.3">
      <c r="B1393" s="1" t="s">
        <v>24</v>
      </c>
      <c r="C1393" s="1" t="str">
        <f>"3차"</f>
        <v>3차</v>
      </c>
      <c r="D1393" s="1" t="str">
        <f>"0328G93139"</f>
        <v>0328G93139</v>
      </c>
      <c r="E1393" s="1" t="s">
        <v>10</v>
      </c>
      <c r="F1393" s="1" t="str">
        <f>"10.10.18.90"</f>
        <v>10.10.18.90</v>
      </c>
      <c r="G1393" s="1" t="str">
        <f>"0328G931"</f>
        <v>0328G931</v>
      </c>
      <c r="H1393" s="1" t="str">
        <f>"신중간 37R2"</f>
        <v>신중간 37R2</v>
      </c>
      <c r="I1393" s="1" t="s">
        <v>8</v>
      </c>
      <c r="J1393" s="1" t="str">
        <f>"49/49"</f>
        <v>49/49</v>
      </c>
      <c r="K1393" s="1" t="str">
        <f>"2026-07-29 13:18:03"</f>
        <v>2026-07-29 13:18:03</v>
      </c>
      <c r="L1393" s="1" t="str">
        <f>"2018-02-21 15:45:11"</f>
        <v>2018-02-21 15:45:11</v>
      </c>
      <c r="M1393" s="1" t="s">
        <v>1</v>
      </c>
      <c r="N1393" s="1" t="s">
        <v>38</v>
      </c>
      <c r="O1393" s="1" t="s">
        <v>46</v>
      </c>
    </row>
    <row r="1394" spans="2:15" x14ac:dyDescent="0.3">
      <c r="B1394" s="1" t="s">
        <v>24</v>
      </c>
      <c r="C1394" s="1" t="str">
        <f>"3차"</f>
        <v>3차</v>
      </c>
      <c r="D1394" s="1" t="str">
        <f>"0328G93239"</f>
        <v>0328G93239</v>
      </c>
      <c r="E1394" s="1" t="s">
        <v>10</v>
      </c>
      <c r="F1394" s="1" t="str">
        <f>"10.10.18.82"</f>
        <v>10.10.18.82</v>
      </c>
      <c r="G1394" s="1" t="str">
        <f>"0328G932"</f>
        <v>0328G932</v>
      </c>
      <c r="H1394" s="1" t="str">
        <f>"신중간 37R3"</f>
        <v>신중간 37R3</v>
      </c>
      <c r="I1394" s="1" t="s">
        <v>8</v>
      </c>
      <c r="J1394" s="1" t="str">
        <f>"56/56"</f>
        <v>56/56</v>
      </c>
      <c r="K1394" s="1" t="str">
        <f>"2026-07-29 13:18:03"</f>
        <v>2026-07-29 13:18:03</v>
      </c>
      <c r="L1394" s="1" t="str">
        <f>"2018-02-12 13:52:10"</f>
        <v>2018-02-12 13:52:10</v>
      </c>
      <c r="M1394" s="1" t="s">
        <v>1</v>
      </c>
      <c r="N1394" s="1" t="s">
        <v>38</v>
      </c>
      <c r="O1394" s="1" t="s">
        <v>46</v>
      </c>
    </row>
    <row r="1395" spans="2:15" x14ac:dyDescent="0.3">
      <c r="B1395" s="1" t="s">
        <v>24</v>
      </c>
      <c r="C1395" s="1" t="str">
        <f>"3차"</f>
        <v>3차</v>
      </c>
      <c r="D1395" s="1" t="str">
        <f>"0328G94131"</f>
        <v>0328G94131</v>
      </c>
      <c r="E1395" s="1" t="s">
        <v>10</v>
      </c>
      <c r="F1395" s="1" t="str">
        <f>"10.10.18.155"</f>
        <v>10.10.18.155</v>
      </c>
      <c r="G1395" s="1" t="str">
        <f>"0328G941"</f>
        <v>0328G941</v>
      </c>
      <c r="H1395" s="1" t="str">
        <f>"신중간 39H1R2"</f>
        <v>신중간 39H1R2</v>
      </c>
      <c r="I1395" s="1" t="s">
        <v>8</v>
      </c>
      <c r="J1395" s="1" t="str">
        <f>"19/19"</f>
        <v>19/19</v>
      </c>
      <c r="K1395" s="1" t="str">
        <f>"2026-07-29 13:18:02"</f>
        <v>2026-07-29 13:18:02</v>
      </c>
      <c r="L1395" s="1" t="str">
        <f>"2018-02-12 17:01:41"</f>
        <v>2018-02-12 17:01:41</v>
      </c>
      <c r="M1395" s="1" t="s">
        <v>1</v>
      </c>
      <c r="N1395" s="1" t="s">
        <v>38</v>
      </c>
      <c r="O1395" s="1" t="s">
        <v>46</v>
      </c>
    </row>
    <row r="1396" spans="2:15" x14ac:dyDescent="0.3">
      <c r="B1396" s="1" t="s">
        <v>24</v>
      </c>
      <c r="C1396" s="1" t="str">
        <f>"3차"</f>
        <v>3차</v>
      </c>
      <c r="D1396" s="1" t="str">
        <f>"0328G94239"</f>
        <v>0328G94239</v>
      </c>
      <c r="E1396" s="1" t="s">
        <v>10</v>
      </c>
      <c r="F1396" s="1" t="str">
        <f>"10.10.18.202"</f>
        <v>10.10.18.202</v>
      </c>
      <c r="G1396" s="1" t="str">
        <f>"0328G942"</f>
        <v>0328G942</v>
      </c>
      <c r="H1396" s="1" t="str">
        <f>"신중간 39H1R3"</f>
        <v>신중간 39H1R3</v>
      </c>
      <c r="I1396" s="1" t="s">
        <v>8</v>
      </c>
      <c r="J1396" s="1" t="str">
        <f>"37/50"</f>
        <v>37/50</v>
      </c>
      <c r="K1396" s="1" t="str">
        <f>"2026-07-29 13:18:03"</f>
        <v>2026-07-29 13:18:03</v>
      </c>
      <c r="L1396" s="1" t="str">
        <f>"2018-02-12 16:57:41"</f>
        <v>2018-02-12 16:57:41</v>
      </c>
      <c r="M1396" s="1" t="s">
        <v>1</v>
      </c>
      <c r="N1396" s="1" t="s">
        <v>38</v>
      </c>
      <c r="O1396" s="1" t="s">
        <v>46</v>
      </c>
    </row>
    <row r="1397" spans="2:15" x14ac:dyDescent="0.3">
      <c r="B1397" s="1" t="s">
        <v>24</v>
      </c>
      <c r="C1397" s="1" t="str">
        <f>"3차"</f>
        <v>3차</v>
      </c>
      <c r="D1397" s="1" t="str">
        <f>"0328G97139"</f>
        <v>0328G97139</v>
      </c>
      <c r="E1397" s="1" t="s">
        <v>10</v>
      </c>
      <c r="F1397" s="1" t="str">
        <f>"10.10.39.162"</f>
        <v>10.10.39.162</v>
      </c>
      <c r="G1397" s="1" t="str">
        <f>"0328G971"</f>
        <v>0328G971</v>
      </c>
      <c r="H1397" s="1" t="str">
        <f>"신중간 42R2"</f>
        <v>신중간 42R2</v>
      </c>
      <c r="I1397" s="1" t="s">
        <v>8</v>
      </c>
      <c r="J1397" s="1" t="str">
        <f>"4/5"</f>
        <v>4/5</v>
      </c>
      <c r="K1397" s="1" t="str">
        <f>"2026-07-29 13:18:03"</f>
        <v>2026-07-29 13:18:03</v>
      </c>
      <c r="L1397" s="1" t="str">
        <f>"2018-03-24 14:49:31"</f>
        <v>2018-03-24 14:49:31</v>
      </c>
      <c r="M1397" s="1" t="s">
        <v>1</v>
      </c>
      <c r="N1397" s="1" t="s">
        <v>38</v>
      </c>
      <c r="O1397" s="1" t="s">
        <v>46</v>
      </c>
    </row>
    <row r="1398" spans="2:15" x14ac:dyDescent="0.3">
      <c r="B1398" s="1" t="s">
        <v>24</v>
      </c>
      <c r="C1398" s="1" t="str">
        <f>"4차"</f>
        <v>4차</v>
      </c>
      <c r="D1398" s="1" t="str">
        <f>"0328G99144"</f>
        <v>0328G99144</v>
      </c>
      <c r="E1398" s="1" t="s">
        <v>10</v>
      </c>
      <c r="F1398" s="1" t="str">
        <f>"10.10.44.234"</f>
        <v>10.10.44.234</v>
      </c>
      <c r="G1398" s="1" t="str">
        <f>"0328G991"</f>
        <v>0328G991</v>
      </c>
      <c r="H1398" s="1" t="str">
        <f>"신중간 42R7"</f>
        <v>신중간 42R7</v>
      </c>
      <c r="I1398" s="1" t="s">
        <v>8</v>
      </c>
      <c r="J1398" s="1" t="str">
        <f>"40/50"</f>
        <v>40/50</v>
      </c>
      <c r="K1398" s="1" t="str">
        <f>"2026-07-29 13:18:03"</f>
        <v>2026-07-29 13:18:03</v>
      </c>
      <c r="L1398" s="1" t="str">
        <f>"2020-01-10 17:00:29"</f>
        <v>2020-01-10 17:00:29</v>
      </c>
      <c r="M1398" s="1" t="s">
        <v>1</v>
      </c>
      <c r="N1398" s="1" t="s">
        <v>38</v>
      </c>
      <c r="O1398" s="1" t="s">
        <v>46</v>
      </c>
    </row>
    <row r="1399" spans="2:15" x14ac:dyDescent="0.3">
      <c r="B1399" s="1" t="s">
        <v>24</v>
      </c>
      <c r="C1399" s="1" t="str">
        <f>"4차"</f>
        <v>4차</v>
      </c>
      <c r="D1399" s="1" t="str">
        <f>"0328H00230"</f>
        <v>0328H00230</v>
      </c>
      <c r="E1399" s="1" t="s">
        <v>10</v>
      </c>
      <c r="F1399" s="1" t="str">
        <f>"10.10.18.98"</f>
        <v>10.10.18.98</v>
      </c>
      <c r="G1399" s="1" t="str">
        <f>"0328H002"</f>
        <v>0328H002</v>
      </c>
      <c r="H1399" s="1" t="str">
        <f>"신중간 33R3"</f>
        <v>신중간 33R3</v>
      </c>
      <c r="I1399" s="1" t="s">
        <v>8</v>
      </c>
      <c r="J1399" s="1" t="str">
        <f>"109/113"</f>
        <v>109/113</v>
      </c>
      <c r="K1399" s="1" t="str">
        <f>"2026-07-29 13:18:03"</f>
        <v>2026-07-29 13:18:03</v>
      </c>
      <c r="L1399" s="1" t="str">
        <f>"2018-02-26 14:33:12"</f>
        <v>2018-02-26 14:33:12</v>
      </c>
      <c r="M1399" s="1" t="s">
        <v>1</v>
      </c>
      <c r="N1399" s="1" t="s">
        <v>38</v>
      </c>
      <c r="O1399" s="1" t="s">
        <v>46</v>
      </c>
    </row>
    <row r="1400" spans="2:15" x14ac:dyDescent="0.3">
      <c r="B1400" s="1" t="s">
        <v>24</v>
      </c>
      <c r="C1400" s="1" t="str">
        <f t="shared" ref="C1400:C1406" si="77">"3차"</f>
        <v>3차</v>
      </c>
      <c r="D1400" s="1" t="str">
        <f>"0328H00331"</f>
        <v>0328H00331</v>
      </c>
      <c r="E1400" s="1" t="s">
        <v>10</v>
      </c>
      <c r="F1400" s="1" t="str">
        <f>"10.10.18.99"</f>
        <v>10.10.18.99</v>
      </c>
      <c r="G1400" s="1" t="str">
        <f>"0328H003"</f>
        <v>0328H003</v>
      </c>
      <c r="H1400" s="1" t="str">
        <f>"신중간 33R4"</f>
        <v>신중간 33R4</v>
      </c>
      <c r="I1400" s="1" t="s">
        <v>8</v>
      </c>
      <c r="J1400" s="1" t="str">
        <f>"21/21"</f>
        <v>21/21</v>
      </c>
      <c r="K1400" s="1" t="str">
        <f>"2026-07-29 13:18:02"</f>
        <v>2026-07-29 13:18:02</v>
      </c>
      <c r="L1400" s="1" t="str">
        <f>"2018-02-26 14:28:56"</f>
        <v>2018-02-26 14:28:56</v>
      </c>
      <c r="M1400" s="1" t="s">
        <v>1</v>
      </c>
      <c r="N1400" s="1" t="s">
        <v>38</v>
      </c>
      <c r="O1400" s="1" t="s">
        <v>46</v>
      </c>
    </row>
    <row r="1401" spans="2:15" x14ac:dyDescent="0.3">
      <c r="B1401" s="1" t="s">
        <v>24</v>
      </c>
      <c r="C1401" s="1" t="str">
        <f t="shared" si="77"/>
        <v>3차</v>
      </c>
      <c r="D1401" s="1" t="str">
        <f>"0328H02139"</f>
        <v>0328H02139</v>
      </c>
      <c r="E1401" s="1" t="s">
        <v>10</v>
      </c>
      <c r="F1401" s="1" t="str">
        <f>"10.10.18.210"</f>
        <v>10.10.18.210</v>
      </c>
      <c r="G1401" s="1" t="str">
        <f>"0328H021"</f>
        <v>0328H021</v>
      </c>
      <c r="H1401" s="1" t="str">
        <f>"신중간 37R7"</f>
        <v>신중간 37R7</v>
      </c>
      <c r="I1401" s="1" t="s">
        <v>8</v>
      </c>
      <c r="J1401" s="1" t="str">
        <f>"25/34"</f>
        <v>25/34</v>
      </c>
      <c r="K1401" s="1" t="str">
        <f>"2026-07-29 13:18:03"</f>
        <v>2026-07-29 13:18:03</v>
      </c>
      <c r="L1401" s="1" t="str">
        <f>"2018-02-12 16:05:10"</f>
        <v>2018-02-12 16:05:10</v>
      </c>
      <c r="M1401" s="1" t="s">
        <v>1</v>
      </c>
      <c r="N1401" s="1" t="s">
        <v>38</v>
      </c>
      <c r="O1401" s="1" t="s">
        <v>46</v>
      </c>
    </row>
    <row r="1402" spans="2:15" x14ac:dyDescent="0.3">
      <c r="B1402" s="1" t="s">
        <v>24</v>
      </c>
      <c r="C1402" s="1" t="str">
        <f t="shared" si="77"/>
        <v>3차</v>
      </c>
      <c r="D1402" s="1" t="str">
        <f>"0328H02239"</f>
        <v>0328H02239</v>
      </c>
      <c r="E1402" s="1" t="s">
        <v>10</v>
      </c>
      <c r="F1402" s="1" t="str">
        <f>"10.10.18.194"</f>
        <v>10.10.18.194</v>
      </c>
      <c r="G1402" s="1" t="str">
        <f>"0328H022"</f>
        <v>0328H022</v>
      </c>
      <c r="H1402" s="1" t="str">
        <f>"신중간 37R8"</f>
        <v>신중간 37R8</v>
      </c>
      <c r="I1402" s="1" t="s">
        <v>8</v>
      </c>
      <c r="J1402" s="1" t="str">
        <f>"58/58"</f>
        <v>58/58</v>
      </c>
      <c r="K1402" s="1" t="str">
        <f>"2026-07-29 13:18:03"</f>
        <v>2026-07-29 13:18:03</v>
      </c>
      <c r="L1402" s="1" t="str">
        <f>"2018-02-12 16:15:40"</f>
        <v>2018-02-12 16:15:40</v>
      </c>
      <c r="M1402" s="1" t="s">
        <v>1</v>
      </c>
      <c r="N1402" s="1" t="s">
        <v>38</v>
      </c>
      <c r="O1402" s="1" t="s">
        <v>46</v>
      </c>
    </row>
    <row r="1403" spans="2:15" x14ac:dyDescent="0.3">
      <c r="B1403" s="1" t="s">
        <v>24</v>
      </c>
      <c r="C1403" s="1" t="str">
        <f t="shared" si="77"/>
        <v>3차</v>
      </c>
      <c r="D1403" s="1" t="str">
        <f>"0328H03339"</f>
        <v>0328H03339</v>
      </c>
      <c r="E1403" s="1" t="s">
        <v>10</v>
      </c>
      <c r="F1403" s="1" t="str">
        <f>"10.10.18.178"</f>
        <v>10.10.18.178</v>
      </c>
      <c r="G1403" s="1" t="str">
        <f>"0328H033"</f>
        <v>0328H033</v>
      </c>
      <c r="H1403" s="1" t="str">
        <f>"신중간 37R6"</f>
        <v>신중간 37R6</v>
      </c>
      <c r="I1403" s="1" t="s">
        <v>8</v>
      </c>
      <c r="J1403" s="1" t="str">
        <f>"15/15"</f>
        <v>15/15</v>
      </c>
      <c r="K1403" s="1" t="str">
        <f>"2026-07-29 13:18:03"</f>
        <v>2026-07-29 13:18:03</v>
      </c>
      <c r="L1403" s="1" t="str">
        <f>"2018-02-12 15:03:55"</f>
        <v>2018-02-12 15:03:55</v>
      </c>
      <c r="M1403" s="1" t="s">
        <v>1</v>
      </c>
      <c r="N1403" s="1" t="s">
        <v>38</v>
      </c>
      <c r="O1403" s="1" t="s">
        <v>46</v>
      </c>
    </row>
    <row r="1404" spans="2:15" x14ac:dyDescent="0.3">
      <c r="B1404" s="1" t="s">
        <v>24</v>
      </c>
      <c r="C1404" s="1" t="str">
        <f t="shared" si="77"/>
        <v>3차</v>
      </c>
      <c r="D1404" s="1" t="str">
        <f>"0328H03739"</f>
        <v>0328H03739</v>
      </c>
      <c r="E1404" s="1" t="s">
        <v>10</v>
      </c>
      <c r="F1404" s="1" t="str">
        <f>"10.10.18.74"</f>
        <v>10.10.18.74</v>
      </c>
      <c r="G1404" s="1" t="str">
        <f>"0328H037"</f>
        <v>0328H037</v>
      </c>
      <c r="H1404" s="1" t="str">
        <f>"신중간 37R4"</f>
        <v>신중간 37R4</v>
      </c>
      <c r="I1404" s="1" t="s">
        <v>8</v>
      </c>
      <c r="J1404" s="1" t="str">
        <f>"47/47"</f>
        <v>47/47</v>
      </c>
      <c r="K1404" s="1" t="str">
        <f>"2026-07-29 13:18:02"</f>
        <v>2026-07-29 13:18:02</v>
      </c>
      <c r="L1404" s="1" t="str">
        <f>"2018-02-12 13:55:25"</f>
        <v>2018-02-12 13:55:25</v>
      </c>
      <c r="M1404" s="1" t="s">
        <v>1</v>
      </c>
      <c r="N1404" s="1" t="s">
        <v>38</v>
      </c>
      <c r="O1404" s="1" t="s">
        <v>46</v>
      </c>
    </row>
    <row r="1405" spans="2:15" x14ac:dyDescent="0.3">
      <c r="B1405" s="1" t="s">
        <v>24</v>
      </c>
      <c r="C1405" s="1" t="str">
        <f t="shared" si="77"/>
        <v>3차</v>
      </c>
      <c r="D1405" s="1" t="str">
        <f>"0328H04239"</f>
        <v>0328H04239</v>
      </c>
      <c r="E1405" s="1" t="s">
        <v>10</v>
      </c>
      <c r="F1405" s="1" t="str">
        <f>"10.10.18.162"</f>
        <v>10.10.18.162</v>
      </c>
      <c r="G1405" s="1" t="str">
        <f>"0328H042"</f>
        <v>0328H042</v>
      </c>
      <c r="H1405" s="1" t="str">
        <f>"신중간 39H1R4"</f>
        <v>신중간 39H1R4</v>
      </c>
      <c r="I1405" s="1" t="s">
        <v>8</v>
      </c>
      <c r="J1405" s="1" t="str">
        <f>"18/18"</f>
        <v>18/18</v>
      </c>
      <c r="K1405" s="1" t="str">
        <f>"2026-07-29 13:18:04"</f>
        <v>2026-07-29 13:18:04</v>
      </c>
      <c r="L1405" s="1" t="str">
        <f>"2018-02-12 16:59:57"</f>
        <v>2018-02-12 16:59:57</v>
      </c>
      <c r="M1405" s="1" t="s">
        <v>1</v>
      </c>
      <c r="N1405" s="1" t="s">
        <v>38</v>
      </c>
      <c r="O1405" s="1" t="s">
        <v>46</v>
      </c>
    </row>
    <row r="1406" spans="2:15" x14ac:dyDescent="0.3">
      <c r="B1406" s="1" t="s">
        <v>24</v>
      </c>
      <c r="C1406" s="1" t="str">
        <f t="shared" si="77"/>
        <v>3차</v>
      </c>
      <c r="D1406" s="1" t="str">
        <f>"0328H04339"</f>
        <v>0328H04339</v>
      </c>
      <c r="E1406" s="1" t="s">
        <v>10</v>
      </c>
      <c r="F1406" s="1" t="str">
        <f>"10.10.18.170"</f>
        <v>10.10.18.170</v>
      </c>
      <c r="G1406" s="1" t="str">
        <f>"0328H043"</f>
        <v>0328H043</v>
      </c>
      <c r="H1406" s="1" t="str">
        <f>"신중간 37R6L1"</f>
        <v>신중간 37R6L1</v>
      </c>
      <c r="I1406" s="1" t="s">
        <v>8</v>
      </c>
      <c r="J1406" s="1" t="str">
        <f>"46/47"</f>
        <v>46/47</v>
      </c>
      <c r="K1406" s="1" t="str">
        <f>"2026-07-29 13:18:02"</f>
        <v>2026-07-29 13:18:02</v>
      </c>
      <c r="L1406" s="1" t="str">
        <f>"2018-02-12 15:38:12"</f>
        <v>2018-02-12 15:38:12</v>
      </c>
      <c r="M1406" s="1" t="s">
        <v>1</v>
      </c>
      <c r="N1406" s="1" t="s">
        <v>38</v>
      </c>
      <c r="O1406" s="1" t="s">
        <v>46</v>
      </c>
    </row>
    <row r="1407" spans="2:15" x14ac:dyDescent="0.3">
      <c r="B1407" s="1" t="s">
        <v>24</v>
      </c>
      <c r="C1407" s="1" t="str">
        <f>"4차"</f>
        <v>4차</v>
      </c>
      <c r="D1407" s="1" t="str">
        <f>"0328H06139"</f>
        <v>0328H06139</v>
      </c>
      <c r="E1407" s="1" t="s">
        <v>10</v>
      </c>
      <c r="F1407" s="1" t="str">
        <f>"10.10.4.154"</f>
        <v>10.10.4.154</v>
      </c>
      <c r="G1407" s="1" t="str">
        <f>"0328H061"</f>
        <v>0328H061</v>
      </c>
      <c r="H1407" s="1" t="str">
        <f>"신중간 42R4R1"</f>
        <v>신중간 42R4R1</v>
      </c>
      <c r="I1407" s="1" t="s">
        <v>8</v>
      </c>
      <c r="J1407" s="1" t="str">
        <f>"56/56"</f>
        <v>56/56</v>
      </c>
      <c r="K1407" s="1" t="str">
        <f>"2026-07-29 13:18:04"</f>
        <v>2026-07-29 13:18:04</v>
      </c>
      <c r="L1407" s="1" t="str">
        <f>"2025-05-26 17:30:57"</f>
        <v>2025-05-26 17:30:57</v>
      </c>
      <c r="M1407" s="1" t="s">
        <v>1</v>
      </c>
      <c r="N1407" s="1" t="s">
        <v>38</v>
      </c>
      <c r="O1407" s="1" t="s">
        <v>46</v>
      </c>
    </row>
    <row r="1408" spans="2:15" x14ac:dyDescent="0.3">
      <c r="B1408" s="1" t="s">
        <v>24</v>
      </c>
      <c r="C1408" s="1" t="str">
        <f t="shared" ref="C1408:C1414" si="78">"3차"</f>
        <v>3차</v>
      </c>
      <c r="D1408" s="1" t="str">
        <f>"0328H07139"</f>
        <v>0328H07139</v>
      </c>
      <c r="E1408" s="1" t="s">
        <v>10</v>
      </c>
      <c r="F1408" s="1" t="str">
        <f>"10.10.39.154"</f>
        <v>10.10.39.154</v>
      </c>
      <c r="G1408" s="1" t="str">
        <f>"0328H071"</f>
        <v>0328H071</v>
      </c>
      <c r="H1408" s="1" t="str">
        <f>"신중간 42R3"</f>
        <v>신중간 42R3</v>
      </c>
      <c r="I1408" s="1" t="s">
        <v>8</v>
      </c>
      <c r="J1408" s="1" t="str">
        <f>"40/40"</f>
        <v>40/40</v>
      </c>
      <c r="K1408" s="1" t="str">
        <f>"2026-07-29 13:18:04"</f>
        <v>2026-07-29 13:18:04</v>
      </c>
      <c r="L1408" s="1" t="str">
        <f>"2018-03-24 14:51:56"</f>
        <v>2018-03-24 14:51:56</v>
      </c>
      <c r="M1408" s="1" t="s">
        <v>1</v>
      </c>
      <c r="N1408" s="1" t="s">
        <v>38</v>
      </c>
      <c r="O1408" s="1" t="s">
        <v>46</v>
      </c>
    </row>
    <row r="1409" spans="2:15" x14ac:dyDescent="0.3">
      <c r="B1409" s="1" t="s">
        <v>24</v>
      </c>
      <c r="C1409" s="1" t="str">
        <f t="shared" si="78"/>
        <v>3차</v>
      </c>
      <c r="D1409" s="1" t="str">
        <f>"0328H07339"</f>
        <v>0328H07339</v>
      </c>
      <c r="E1409" s="1" t="s">
        <v>10</v>
      </c>
      <c r="F1409" s="1" t="str">
        <f>"10.10.2.130"</f>
        <v>10.10.2.130</v>
      </c>
      <c r="G1409" s="1" t="str">
        <f>"0328H073"</f>
        <v>0328H073</v>
      </c>
      <c r="H1409" s="1" t="str">
        <f>"신중간 42R5"</f>
        <v>신중간 42R5</v>
      </c>
      <c r="I1409" s="1" t="s">
        <v>8</v>
      </c>
      <c r="J1409" s="1" t="str">
        <f>"10/19"</f>
        <v>10/19</v>
      </c>
      <c r="K1409" s="1" t="str">
        <f>"2026-07-29 13:18:04"</f>
        <v>2026-07-29 13:18:04</v>
      </c>
      <c r="L1409" s="1" t="str">
        <f>"2018-03-09 16:51:56"</f>
        <v>2018-03-09 16:51:56</v>
      </c>
      <c r="M1409" s="1" t="s">
        <v>1</v>
      </c>
      <c r="N1409" s="1" t="s">
        <v>38</v>
      </c>
      <c r="O1409" s="1" t="s">
        <v>46</v>
      </c>
    </row>
    <row r="1410" spans="2:15" x14ac:dyDescent="0.3">
      <c r="B1410" s="1" t="s">
        <v>24</v>
      </c>
      <c r="C1410" s="1" t="str">
        <f t="shared" si="78"/>
        <v>3차</v>
      </c>
      <c r="D1410" s="1" t="str">
        <f>"0328H10131"</f>
        <v>0328H10131</v>
      </c>
      <c r="E1410" s="1" t="s">
        <v>10</v>
      </c>
      <c r="F1410" s="1" t="str">
        <f>"10.10.16.59"</f>
        <v>10.10.16.59</v>
      </c>
      <c r="G1410" s="1" t="str">
        <f>"0328H101"</f>
        <v>0328H101</v>
      </c>
      <c r="H1410" s="1" t="str">
        <f>"신묵간 59L10"</f>
        <v>신묵간 59L10</v>
      </c>
      <c r="I1410" s="1" t="s">
        <v>8</v>
      </c>
      <c r="J1410" s="1" t="str">
        <f>"67/68"</f>
        <v>67/68</v>
      </c>
      <c r="K1410" s="1" t="str">
        <f>"2026-07-29 13:18:02"</f>
        <v>2026-07-29 13:18:02</v>
      </c>
      <c r="L1410" s="1" t="str">
        <f>"2018-04-18 16:32:11"</f>
        <v>2018-04-18 16:32:11</v>
      </c>
      <c r="M1410" s="1" t="s">
        <v>1</v>
      </c>
      <c r="N1410" s="1" t="s">
        <v>38</v>
      </c>
      <c r="O1410" s="1" t="s">
        <v>46</v>
      </c>
    </row>
    <row r="1411" spans="2:15" x14ac:dyDescent="0.3">
      <c r="B1411" s="1" t="s">
        <v>24</v>
      </c>
      <c r="C1411" s="1" t="str">
        <f t="shared" si="78"/>
        <v>3차</v>
      </c>
      <c r="D1411" s="1" t="str">
        <f>"0328H13339"</f>
        <v>0328H13339</v>
      </c>
      <c r="E1411" s="1" t="s">
        <v>10</v>
      </c>
      <c r="F1411" s="1" t="str">
        <f>"10.10.18.186"</f>
        <v>10.10.18.186</v>
      </c>
      <c r="G1411" s="1" t="str">
        <f>"0328H133"</f>
        <v>0328H133</v>
      </c>
      <c r="H1411" s="1" t="str">
        <f>"신중간 37R5L1"</f>
        <v>신중간 37R5L1</v>
      </c>
      <c r="I1411" s="1" t="s">
        <v>8</v>
      </c>
      <c r="J1411" s="1" t="str">
        <f>"78/79"</f>
        <v>78/79</v>
      </c>
      <c r="K1411" s="1" t="str">
        <f>"2026-07-29 13:18:04"</f>
        <v>2026-07-29 13:18:04</v>
      </c>
      <c r="L1411" s="1" t="str">
        <f>"2021-07-27 16:59:07"</f>
        <v>2021-07-27 16:59:07</v>
      </c>
      <c r="M1411" s="1" t="s">
        <v>1</v>
      </c>
      <c r="N1411" s="1" t="s">
        <v>38</v>
      </c>
      <c r="O1411" s="1" t="s">
        <v>46</v>
      </c>
    </row>
    <row r="1412" spans="2:15" x14ac:dyDescent="0.3">
      <c r="B1412" s="1" t="s">
        <v>24</v>
      </c>
      <c r="C1412" s="1" t="str">
        <f t="shared" si="78"/>
        <v>3차</v>
      </c>
      <c r="D1412" s="1" t="str">
        <f>"0328H15439"</f>
        <v>0328H15439</v>
      </c>
      <c r="E1412" s="1" t="s">
        <v>10</v>
      </c>
      <c r="F1412" s="1" t="str">
        <f>"10.10.16.26"</f>
        <v>10.10.16.26</v>
      </c>
      <c r="G1412" s="1" t="str">
        <f>"0328H154"</f>
        <v>0328H154</v>
      </c>
      <c r="H1412" s="1" t="str">
        <f>"신묵간 46R7L2"</f>
        <v>신묵간 46R7L2</v>
      </c>
      <c r="I1412" s="1" t="s">
        <v>8</v>
      </c>
      <c r="J1412" s="1" t="str">
        <f>"68/73"</f>
        <v>68/73</v>
      </c>
      <c r="K1412" s="1" t="str">
        <f>"2026-07-29 13:18:04"</f>
        <v>2026-07-29 13:18:04</v>
      </c>
      <c r="L1412" s="1" t="str">
        <f>"2018-02-02 14:48:27"</f>
        <v>2018-02-02 14:48:27</v>
      </c>
      <c r="M1412" s="1" t="s">
        <v>1</v>
      </c>
      <c r="N1412" s="1" t="s">
        <v>38</v>
      </c>
      <c r="O1412" s="1" t="s">
        <v>46</v>
      </c>
    </row>
    <row r="1413" spans="2:15" x14ac:dyDescent="0.3">
      <c r="B1413" s="1" t="s">
        <v>24</v>
      </c>
      <c r="C1413" s="1" t="str">
        <f t="shared" si="78"/>
        <v>3차</v>
      </c>
      <c r="D1413" s="1" t="str">
        <f>"0328H16139"</f>
        <v>0328H16139</v>
      </c>
      <c r="E1413" s="1" t="s">
        <v>10</v>
      </c>
      <c r="F1413" s="1" t="str">
        <f>"10.10.16.18"</f>
        <v>10.10.16.18</v>
      </c>
      <c r="G1413" s="1" t="str">
        <f>"0328H161"</f>
        <v>0328H161</v>
      </c>
      <c r="H1413" s="1" t="str">
        <f>"신묵간 46R7L1"</f>
        <v>신묵간 46R7L1</v>
      </c>
      <c r="I1413" s="1" t="s">
        <v>8</v>
      </c>
      <c r="J1413" s="1" t="str">
        <f>"60/60"</f>
        <v>60/60</v>
      </c>
      <c r="K1413" s="1" t="str">
        <f>"2026-07-29 13:18:03"</f>
        <v>2026-07-29 13:18:03</v>
      </c>
      <c r="L1413" s="1" t="str">
        <f>"2018-02-02 14:49:57"</f>
        <v>2018-02-02 14:49:57</v>
      </c>
      <c r="M1413" s="1" t="s">
        <v>1</v>
      </c>
      <c r="N1413" s="1" t="s">
        <v>38</v>
      </c>
      <c r="O1413" s="1" t="s">
        <v>46</v>
      </c>
    </row>
    <row r="1414" spans="2:15" x14ac:dyDescent="0.3">
      <c r="B1414" s="1" t="s">
        <v>24</v>
      </c>
      <c r="C1414" s="1" t="str">
        <f t="shared" si="78"/>
        <v>3차</v>
      </c>
      <c r="D1414" s="1" t="str">
        <f>"0328H17139"</f>
        <v>0328H17139</v>
      </c>
      <c r="E1414" s="1" t="s">
        <v>10</v>
      </c>
      <c r="F1414" s="1" t="str">
        <f>"10.10.24.194"</f>
        <v>10.10.24.194</v>
      </c>
      <c r="G1414" s="1" t="str">
        <f>"0328H171"</f>
        <v>0328H171</v>
      </c>
      <c r="H1414" s="1" t="str">
        <f>"신묵간 46R8"</f>
        <v>신묵간 46R8</v>
      </c>
      <c r="I1414" s="1" t="s">
        <v>8</v>
      </c>
      <c r="J1414" s="1" t="str">
        <f>"59/60"</f>
        <v>59/60</v>
      </c>
      <c r="K1414" s="1" t="str">
        <f>"2026-07-29 13:18:04"</f>
        <v>2026-07-29 13:18:04</v>
      </c>
      <c r="L1414" s="1" t="str">
        <f>"2018-03-24 14:54:42"</f>
        <v>2018-03-24 14:54:42</v>
      </c>
      <c r="M1414" s="1" t="s">
        <v>1</v>
      </c>
      <c r="N1414" s="1" t="s">
        <v>38</v>
      </c>
      <c r="O1414" s="1" t="s">
        <v>46</v>
      </c>
    </row>
    <row r="1415" spans="2:15" x14ac:dyDescent="0.3">
      <c r="B1415" s="1" t="s">
        <v>24</v>
      </c>
      <c r="C1415" s="1" t="str">
        <f>"4차"</f>
        <v>4차</v>
      </c>
      <c r="D1415" s="1" t="str">
        <f>"0328H17545"</f>
        <v>0328H17545</v>
      </c>
      <c r="E1415" s="1" t="s">
        <v>10</v>
      </c>
      <c r="F1415" s="1" t="str">
        <f>"10.12.132.99"</f>
        <v>10.12.132.99</v>
      </c>
      <c r="G1415" s="1" t="str">
        <f>"0328H175"</f>
        <v>0328H175</v>
      </c>
      <c r="H1415" s="1" t="str">
        <f>"신묵간 46R7T1"</f>
        <v>신묵간 46R7T1</v>
      </c>
      <c r="I1415" s="1" t="s">
        <v>17</v>
      </c>
      <c r="J1415" s="1" t="str">
        <f>"41/64"</f>
        <v>41/64</v>
      </c>
      <c r="K1415" s="1" t="str">
        <f>"2026-07-29 13:18:03"</f>
        <v>2026-07-29 13:18:03</v>
      </c>
      <c r="L1415" s="1" t="str">
        <f>"2024-04-09 17:25:13"</f>
        <v>2024-04-09 17:25:13</v>
      </c>
      <c r="M1415" s="1" t="s">
        <v>0</v>
      </c>
      <c r="N1415" s="1" t="s">
        <v>38</v>
      </c>
      <c r="O1415" s="1" t="s">
        <v>46</v>
      </c>
    </row>
    <row r="1416" spans="2:15" x14ac:dyDescent="0.3">
      <c r="B1416" s="1" t="s">
        <v>24</v>
      </c>
      <c r="C1416" s="1" t="str">
        <f>"3차"</f>
        <v>3차</v>
      </c>
      <c r="D1416" s="1" t="str">
        <f>"0328H18239"</f>
        <v>0328H18239</v>
      </c>
      <c r="E1416" s="1" t="s">
        <v>10</v>
      </c>
      <c r="F1416" s="1" t="str">
        <f>"10.10.16.42"</f>
        <v>10.10.16.42</v>
      </c>
      <c r="G1416" s="1" t="str">
        <f>"0328H182"</f>
        <v>0328H182</v>
      </c>
      <c r="H1416" s="1" t="str">
        <f>"신묵간 46R7R2"</f>
        <v>신묵간 46R7R2</v>
      </c>
      <c r="I1416" s="1" t="s">
        <v>8</v>
      </c>
      <c r="J1416" s="1" t="str">
        <f>"44/52"</f>
        <v>44/52</v>
      </c>
      <c r="K1416" s="1" t="str">
        <f t="shared" ref="K1416:K1426" si="79">"2026-07-29 13:18:02"</f>
        <v>2026-07-29 13:18:02</v>
      </c>
      <c r="L1416" s="1" t="str">
        <f>"2018-02-01 17:00:59"</f>
        <v>2018-02-01 17:00:59</v>
      </c>
      <c r="M1416" s="1" t="s">
        <v>1</v>
      </c>
      <c r="N1416" s="1" t="s">
        <v>38</v>
      </c>
      <c r="O1416" s="1" t="s">
        <v>46</v>
      </c>
    </row>
    <row r="1417" spans="2:15" x14ac:dyDescent="0.3">
      <c r="B1417" s="1" t="s">
        <v>24</v>
      </c>
      <c r="C1417" s="1" t="str">
        <f>"3차"</f>
        <v>3차</v>
      </c>
      <c r="D1417" s="1" t="str">
        <f>"0328H18439"</f>
        <v>0328H18439</v>
      </c>
      <c r="E1417" s="1" t="s">
        <v>10</v>
      </c>
      <c r="F1417" s="1" t="str">
        <f>"10.10.16.34"</f>
        <v>10.10.16.34</v>
      </c>
      <c r="G1417" s="1" t="str">
        <f>"0328H184"</f>
        <v>0328H184</v>
      </c>
      <c r="H1417" s="1" t="str">
        <f>"신묵간 46R7R1"</f>
        <v>신묵간 46R7R1</v>
      </c>
      <c r="I1417" s="1" t="s">
        <v>8</v>
      </c>
      <c r="J1417" s="1" t="str">
        <f>"23/23"</f>
        <v>23/23</v>
      </c>
      <c r="K1417" s="1" t="str">
        <f t="shared" si="79"/>
        <v>2026-07-29 13:18:02</v>
      </c>
      <c r="L1417" s="1" t="str">
        <f>"2021-07-27 09:56:08"</f>
        <v>2021-07-27 09:56:08</v>
      </c>
      <c r="M1417" s="1" t="s">
        <v>1</v>
      </c>
      <c r="N1417" s="1" t="s">
        <v>38</v>
      </c>
      <c r="O1417" s="1" t="s">
        <v>46</v>
      </c>
    </row>
    <row r="1418" spans="2:15" x14ac:dyDescent="0.3">
      <c r="B1418" s="1" t="s">
        <v>24</v>
      </c>
      <c r="C1418" s="1" t="str">
        <f>"4차"</f>
        <v>4차</v>
      </c>
      <c r="D1418" s="1" t="str">
        <f>"0328H19130"</f>
        <v>0328H19130</v>
      </c>
      <c r="E1418" s="1" t="s">
        <v>10</v>
      </c>
      <c r="F1418" s="1" t="str">
        <f>"10.10.15.210"</f>
        <v>10.10.15.210</v>
      </c>
      <c r="G1418" s="1" t="str">
        <f>"0328H191"</f>
        <v>0328H191</v>
      </c>
      <c r="H1418" s="1" t="str">
        <f>"신묵간 46R7R3"</f>
        <v>신묵간 46R7R3</v>
      </c>
      <c r="I1418" s="1" t="s">
        <v>8</v>
      </c>
      <c r="J1418" s="1" t="str">
        <f>"37/37"</f>
        <v>37/37</v>
      </c>
      <c r="K1418" s="1" t="str">
        <f t="shared" si="79"/>
        <v>2026-07-29 13:18:02</v>
      </c>
      <c r="L1418" s="1" t="str">
        <f>"2018-02-01 16:53:13"</f>
        <v>2018-02-01 16:53:13</v>
      </c>
      <c r="M1418" s="1" t="s">
        <v>1</v>
      </c>
      <c r="N1418" s="1" t="s">
        <v>38</v>
      </c>
      <c r="O1418" s="1" t="s">
        <v>46</v>
      </c>
    </row>
    <row r="1419" spans="2:15" x14ac:dyDescent="0.3">
      <c r="B1419" s="1" t="s">
        <v>24</v>
      </c>
      <c r="C1419" s="1" t="str">
        <f t="shared" ref="C1419:C1424" si="80">"3차"</f>
        <v>3차</v>
      </c>
      <c r="D1419" s="1" t="str">
        <f>"0328H19231"</f>
        <v>0328H19231</v>
      </c>
      <c r="E1419" s="1" t="s">
        <v>10</v>
      </c>
      <c r="F1419" s="1" t="str">
        <f>"10.14.1.128"</f>
        <v>10.14.1.128</v>
      </c>
      <c r="G1419" s="1" t="str">
        <f>"0328H192"</f>
        <v>0328H192</v>
      </c>
      <c r="H1419" s="1" t="str">
        <f>"신묵간 46R7R4"</f>
        <v>신묵간 46R7R4</v>
      </c>
      <c r="I1419" s="1" t="s">
        <v>8</v>
      </c>
      <c r="J1419" s="1" t="str">
        <f>"15/16"</f>
        <v>15/16</v>
      </c>
      <c r="K1419" s="1" t="str">
        <f t="shared" si="79"/>
        <v>2026-07-29 13:18:02</v>
      </c>
      <c r="L1419" s="1" t="str">
        <f>"2018-06-12 08:47:53"</f>
        <v>2018-06-12 08:47:53</v>
      </c>
      <c r="M1419" s="1" t="s">
        <v>3</v>
      </c>
      <c r="N1419" s="1" t="s">
        <v>38</v>
      </c>
      <c r="O1419" s="1" t="s">
        <v>46</v>
      </c>
    </row>
    <row r="1420" spans="2:15" x14ac:dyDescent="0.3">
      <c r="B1420" s="1" t="s">
        <v>24</v>
      </c>
      <c r="C1420" s="1" t="str">
        <f t="shared" si="80"/>
        <v>3차</v>
      </c>
      <c r="D1420" s="1" t="str">
        <f>"0328H20130"</f>
        <v>0328H20130</v>
      </c>
      <c r="E1420" s="1" t="s">
        <v>10</v>
      </c>
      <c r="F1420" s="1" t="str">
        <f>"10.10.16.58"</f>
        <v>10.10.16.58</v>
      </c>
      <c r="G1420" s="1" t="str">
        <f>"0328H201"</f>
        <v>0328H201</v>
      </c>
      <c r="H1420" s="1" t="str">
        <f>"신묵간 59L9"</f>
        <v>신묵간 59L9</v>
      </c>
      <c r="I1420" s="1" t="s">
        <v>8</v>
      </c>
      <c r="J1420" s="1" t="str">
        <f>"82/84"</f>
        <v>82/84</v>
      </c>
      <c r="K1420" s="1" t="str">
        <f t="shared" si="79"/>
        <v>2026-07-29 13:18:02</v>
      </c>
      <c r="L1420" s="1" t="str">
        <f>"2018-03-07 16:35:12"</f>
        <v>2018-03-07 16:35:12</v>
      </c>
      <c r="M1420" s="1" t="s">
        <v>1</v>
      </c>
      <c r="N1420" s="1" t="s">
        <v>38</v>
      </c>
      <c r="O1420" s="1" t="s">
        <v>46</v>
      </c>
    </row>
    <row r="1421" spans="2:15" x14ac:dyDescent="0.3">
      <c r="B1421" s="1" t="s">
        <v>24</v>
      </c>
      <c r="C1421" s="1" t="str">
        <f t="shared" si="80"/>
        <v>3차</v>
      </c>
      <c r="D1421" s="1" t="str">
        <f>"0328H23139"</f>
        <v>0328H23139</v>
      </c>
      <c r="E1421" s="1" t="s">
        <v>10</v>
      </c>
      <c r="F1421" s="1" t="str">
        <f>"10.10.15.98"</f>
        <v>10.10.15.98</v>
      </c>
      <c r="G1421" s="1" t="str">
        <f>"0328H231"</f>
        <v>0328H231</v>
      </c>
      <c r="H1421" s="1" t="str">
        <f>"신중간 37R5L4"</f>
        <v>신중간 37R5L4</v>
      </c>
      <c r="I1421" s="1" t="s">
        <v>8</v>
      </c>
      <c r="J1421" s="1" t="str">
        <f>"60/60"</f>
        <v>60/60</v>
      </c>
      <c r="K1421" s="1" t="str">
        <f t="shared" si="79"/>
        <v>2026-07-29 13:18:02</v>
      </c>
      <c r="L1421" s="1" t="str">
        <f>"2018-04-17 18:16:13"</f>
        <v>2018-04-17 18:16:13</v>
      </c>
      <c r="M1421" s="1" t="s">
        <v>1</v>
      </c>
      <c r="N1421" s="1" t="s">
        <v>38</v>
      </c>
      <c r="O1421" s="1" t="s">
        <v>46</v>
      </c>
    </row>
    <row r="1422" spans="2:15" x14ac:dyDescent="0.3">
      <c r="B1422" s="1" t="s">
        <v>24</v>
      </c>
      <c r="C1422" s="1" t="str">
        <f t="shared" si="80"/>
        <v>3차</v>
      </c>
      <c r="D1422" s="1" t="str">
        <f>"0328H24139"</f>
        <v>0328H24139</v>
      </c>
      <c r="E1422" s="1" t="s">
        <v>10</v>
      </c>
      <c r="F1422" s="1" t="str">
        <f>"10.10.15.90"</f>
        <v>10.10.15.90</v>
      </c>
      <c r="G1422" s="1" t="str">
        <f>"0328H241"</f>
        <v>0328H241</v>
      </c>
      <c r="H1422" s="1" t="str">
        <f>"신중간 37R5L3L2"</f>
        <v>신중간 37R5L3L2</v>
      </c>
      <c r="I1422" s="1" t="s">
        <v>8</v>
      </c>
      <c r="J1422" s="1" t="str">
        <f>"83/88"</f>
        <v>83/88</v>
      </c>
      <c r="K1422" s="1" t="str">
        <f t="shared" si="79"/>
        <v>2026-07-29 13:18:02</v>
      </c>
      <c r="L1422" s="1" t="str">
        <f>"2018-03-20 15:38:26"</f>
        <v>2018-03-20 15:38:26</v>
      </c>
      <c r="M1422" s="1" t="s">
        <v>1</v>
      </c>
      <c r="N1422" s="1" t="s">
        <v>38</v>
      </c>
      <c r="O1422" s="1" t="s">
        <v>46</v>
      </c>
    </row>
    <row r="1423" spans="2:15" x14ac:dyDescent="0.3">
      <c r="B1423" s="1" t="s">
        <v>24</v>
      </c>
      <c r="C1423" s="1" t="str">
        <f t="shared" si="80"/>
        <v>3차</v>
      </c>
      <c r="D1423" s="1" t="str">
        <f>"0328H27139"</f>
        <v>0328H27139</v>
      </c>
      <c r="E1423" s="1" t="s">
        <v>10</v>
      </c>
      <c r="F1423" s="1" t="str">
        <f>"10.10.16.10"</f>
        <v>10.10.16.10</v>
      </c>
      <c r="G1423" s="1" t="str">
        <f>"0328H271"</f>
        <v>0328H271</v>
      </c>
      <c r="H1423" s="1" t="str">
        <f>"신묵간 46R6"</f>
        <v>신묵간 46R6</v>
      </c>
      <c r="I1423" s="1" t="s">
        <v>8</v>
      </c>
      <c r="J1423" s="1" t="str">
        <f>"39/41"</f>
        <v>39/41</v>
      </c>
      <c r="K1423" s="1" t="str">
        <f t="shared" si="79"/>
        <v>2026-07-29 13:18:02</v>
      </c>
      <c r="L1423" s="1" t="str">
        <f>"2018-03-07 14:50:26"</f>
        <v>2018-03-07 14:50:26</v>
      </c>
      <c r="M1423" s="1" t="s">
        <v>1</v>
      </c>
      <c r="N1423" s="1" t="s">
        <v>38</v>
      </c>
      <c r="O1423" s="1" t="s">
        <v>46</v>
      </c>
    </row>
    <row r="1424" spans="2:15" x14ac:dyDescent="0.3">
      <c r="B1424" s="1" t="s">
        <v>24</v>
      </c>
      <c r="C1424" s="1" t="str">
        <f t="shared" si="80"/>
        <v>3차</v>
      </c>
      <c r="D1424" s="1" t="str">
        <f>"0328H27239"</f>
        <v>0328H27239</v>
      </c>
      <c r="E1424" s="1" t="s">
        <v>10</v>
      </c>
      <c r="F1424" s="1" t="str">
        <f>"10.10.16.2"</f>
        <v>10.10.16.2</v>
      </c>
      <c r="G1424" s="1" t="str">
        <f>"0328H272"</f>
        <v>0328H272</v>
      </c>
      <c r="H1424" s="1" t="str">
        <f>"신묵간 46R5"</f>
        <v>신묵간 46R5</v>
      </c>
      <c r="I1424" s="1" t="s">
        <v>8</v>
      </c>
      <c r="J1424" s="1" t="str">
        <f>"10/10"</f>
        <v>10/10</v>
      </c>
      <c r="K1424" s="1" t="str">
        <f t="shared" si="79"/>
        <v>2026-07-29 13:18:02</v>
      </c>
      <c r="L1424" s="1" t="str">
        <f>"2018-03-07 14:48:11"</f>
        <v>2018-03-07 14:48:11</v>
      </c>
      <c r="M1424" s="1" t="s">
        <v>1</v>
      </c>
      <c r="N1424" s="1" t="s">
        <v>38</v>
      </c>
      <c r="O1424" s="1" t="s">
        <v>46</v>
      </c>
    </row>
    <row r="1425" spans="2:15" x14ac:dyDescent="0.3">
      <c r="B1425" s="1" t="s">
        <v>24</v>
      </c>
      <c r="C1425" s="1" t="str">
        <f>"4차"</f>
        <v>4차</v>
      </c>
      <c r="D1425" s="1" t="str">
        <f>"0328H28231"</f>
        <v>0328H28231</v>
      </c>
      <c r="E1425" s="1" t="s">
        <v>10</v>
      </c>
      <c r="F1425" s="1" t="str">
        <f>"10.10.11.43"</f>
        <v>10.10.11.43</v>
      </c>
      <c r="G1425" s="1" t="str">
        <f>"0328H282"</f>
        <v>0328H282</v>
      </c>
      <c r="H1425" s="1" t="str">
        <f>"신묵간 24R14"</f>
        <v>신묵간 24R14</v>
      </c>
      <c r="I1425" s="1" t="s">
        <v>8</v>
      </c>
      <c r="J1425" s="1" t="str">
        <f>"40/40"</f>
        <v>40/40</v>
      </c>
      <c r="K1425" s="1" t="str">
        <f t="shared" si="79"/>
        <v>2026-07-29 13:18:02</v>
      </c>
      <c r="L1425" s="1" t="str">
        <f>"2018-02-09 15:48:42"</f>
        <v>2018-02-09 15:48:42</v>
      </c>
      <c r="M1425" s="1" t="s">
        <v>1</v>
      </c>
      <c r="N1425" s="1" t="s">
        <v>38</v>
      </c>
      <c r="O1425" s="1" t="s">
        <v>46</v>
      </c>
    </row>
    <row r="1426" spans="2:15" x14ac:dyDescent="0.3">
      <c r="B1426" s="1" t="s">
        <v>24</v>
      </c>
      <c r="C1426" s="1" t="str">
        <f>"3차"</f>
        <v>3차</v>
      </c>
      <c r="D1426" s="1" t="str">
        <f>"0328H29339"</f>
        <v>0328H29339</v>
      </c>
      <c r="E1426" s="1" t="s">
        <v>10</v>
      </c>
      <c r="F1426" s="1" t="str">
        <f>"10.10.12.74"</f>
        <v>10.10.12.74</v>
      </c>
      <c r="G1426" s="1" t="str">
        <f>"0328H293"</f>
        <v>0328H293</v>
      </c>
      <c r="H1426" s="1" t="str">
        <f>"신묵간 24R10L4"</f>
        <v>신묵간 24R10L4</v>
      </c>
      <c r="I1426" s="1" t="s">
        <v>8</v>
      </c>
      <c r="J1426" s="1" t="str">
        <f>"14/14"</f>
        <v>14/14</v>
      </c>
      <c r="K1426" s="1" t="str">
        <f t="shared" si="79"/>
        <v>2026-07-29 13:18:02</v>
      </c>
      <c r="L1426" s="1" t="str">
        <f>"2018-01-29 13:49:54"</f>
        <v>2018-01-29 13:49:54</v>
      </c>
      <c r="M1426" s="1" t="s">
        <v>1</v>
      </c>
      <c r="N1426" s="1" t="s">
        <v>38</v>
      </c>
      <c r="O1426" s="1" t="s">
        <v>46</v>
      </c>
    </row>
    <row r="1427" spans="2:15" x14ac:dyDescent="0.3">
      <c r="B1427" s="1" t="s">
        <v>24</v>
      </c>
      <c r="C1427" s="1" t="str">
        <f>"4차"</f>
        <v>4차</v>
      </c>
      <c r="D1427" s="1" t="str">
        <f>"0328H30139"</f>
        <v>0328H30139</v>
      </c>
      <c r="E1427" s="1" t="s">
        <v>10</v>
      </c>
      <c r="F1427" s="1" t="str">
        <f>"10.10.15.122"</f>
        <v>10.10.15.122</v>
      </c>
      <c r="G1427" s="1" t="str">
        <f>"0328H301"</f>
        <v>0328H301</v>
      </c>
      <c r="H1427" s="1" t="str">
        <f>"신묵간 59L8"</f>
        <v>신묵간 59L8</v>
      </c>
      <c r="I1427" s="1" t="s">
        <v>8</v>
      </c>
      <c r="J1427" s="1" t="str">
        <f>"78/80"</f>
        <v>78/80</v>
      </c>
      <c r="K1427" s="1" t="str">
        <f>"2026-07-29 13:18:03"</f>
        <v>2026-07-29 13:18:03</v>
      </c>
      <c r="L1427" s="1" t="str">
        <f>"2018-03-07 16:38:42"</f>
        <v>2018-03-07 16:38:42</v>
      </c>
      <c r="M1427" s="1" t="s">
        <v>1</v>
      </c>
      <c r="N1427" s="1" t="s">
        <v>38</v>
      </c>
      <c r="O1427" s="1" t="s">
        <v>46</v>
      </c>
    </row>
    <row r="1428" spans="2:15" x14ac:dyDescent="0.3">
      <c r="B1428" s="1" t="s">
        <v>24</v>
      </c>
      <c r="C1428" s="1" t="str">
        <f t="shared" ref="C1428:C1435" si="81">"3차"</f>
        <v>3차</v>
      </c>
      <c r="D1428" s="1" t="str">
        <f>"0328H32139"</f>
        <v>0328H32139</v>
      </c>
      <c r="E1428" s="1" t="s">
        <v>10</v>
      </c>
      <c r="F1428" s="1" t="str">
        <f>"10.10.16.170"</f>
        <v>10.10.16.170</v>
      </c>
      <c r="G1428" s="1" t="str">
        <f>"0328H321"</f>
        <v>0328H321</v>
      </c>
      <c r="H1428" s="1" t="str">
        <f>"신묵간 60L2"</f>
        <v>신묵간 60L2</v>
      </c>
      <c r="I1428" s="1" t="s">
        <v>8</v>
      </c>
      <c r="J1428" s="1" t="str">
        <f>"35/35"</f>
        <v>35/35</v>
      </c>
      <c r="K1428" s="1" t="str">
        <f>"2026-07-29 13:18:02"</f>
        <v>2026-07-29 13:18:02</v>
      </c>
      <c r="L1428" s="1" t="str">
        <f>"2018-02-26 19:33:21"</f>
        <v>2018-02-26 19:33:21</v>
      </c>
      <c r="M1428" s="1" t="s">
        <v>1</v>
      </c>
      <c r="N1428" s="1" t="s">
        <v>38</v>
      </c>
      <c r="O1428" s="1" t="s">
        <v>46</v>
      </c>
    </row>
    <row r="1429" spans="2:15" x14ac:dyDescent="0.3">
      <c r="B1429" s="1" t="s">
        <v>24</v>
      </c>
      <c r="C1429" s="1" t="str">
        <f t="shared" si="81"/>
        <v>3차</v>
      </c>
      <c r="D1429" s="1" t="str">
        <f>"0328H33230"</f>
        <v>0328H33230</v>
      </c>
      <c r="E1429" s="1" t="s">
        <v>10</v>
      </c>
      <c r="F1429" s="1" t="str">
        <f>"10.10.16.50"</f>
        <v>10.10.16.50</v>
      </c>
      <c r="G1429" s="1" t="str">
        <f>"0328H332"</f>
        <v>0328H332</v>
      </c>
      <c r="H1429" s="1" t="str">
        <f>"신묵간 59L1"</f>
        <v>신묵간 59L1</v>
      </c>
      <c r="I1429" s="1" t="s">
        <v>8</v>
      </c>
      <c r="J1429" s="1" t="str">
        <f>"8/8"</f>
        <v>8/8</v>
      </c>
      <c r="K1429" s="1" t="str">
        <f>"2026-07-29 13:18:02"</f>
        <v>2026-07-29 13:18:02</v>
      </c>
      <c r="L1429" s="1" t="str">
        <f>"2018-03-07 14:49:42"</f>
        <v>2018-03-07 14:49:42</v>
      </c>
      <c r="M1429" s="1" t="s">
        <v>1</v>
      </c>
      <c r="N1429" s="1" t="s">
        <v>38</v>
      </c>
      <c r="O1429" s="1" t="s">
        <v>46</v>
      </c>
    </row>
    <row r="1430" spans="2:15" x14ac:dyDescent="0.3">
      <c r="B1430" s="1" t="s">
        <v>24</v>
      </c>
      <c r="C1430" s="1" t="str">
        <f t="shared" si="81"/>
        <v>3차</v>
      </c>
      <c r="D1430" s="1" t="str">
        <f>"0328H33331"</f>
        <v>0328H33331</v>
      </c>
      <c r="E1430" s="1" t="s">
        <v>10</v>
      </c>
      <c r="F1430" s="1" t="str">
        <f>"10.10.16.51"</f>
        <v>10.10.16.51</v>
      </c>
      <c r="G1430" s="1" t="str">
        <f>"0328H333"</f>
        <v>0328H333</v>
      </c>
      <c r="H1430" s="1" t="str">
        <f>"신묵간 59L2"</f>
        <v>신묵간 59L2</v>
      </c>
      <c r="I1430" s="1" t="s">
        <v>8</v>
      </c>
      <c r="J1430" s="1" t="str">
        <f>"30/31"</f>
        <v>30/31</v>
      </c>
      <c r="K1430" s="1" t="str">
        <f>"2026-07-29 13:18:03"</f>
        <v>2026-07-29 13:18:03</v>
      </c>
      <c r="L1430" s="1" t="str">
        <f>"2018-03-07 14:50:42"</f>
        <v>2018-03-07 14:50:42</v>
      </c>
      <c r="M1430" s="1" t="s">
        <v>1</v>
      </c>
      <c r="N1430" s="1" t="s">
        <v>38</v>
      </c>
      <c r="O1430" s="1" t="s">
        <v>46</v>
      </c>
    </row>
    <row r="1431" spans="2:15" x14ac:dyDescent="0.3">
      <c r="B1431" s="1" t="s">
        <v>24</v>
      </c>
      <c r="C1431" s="1" t="str">
        <f t="shared" si="81"/>
        <v>3차</v>
      </c>
      <c r="D1431" s="1" t="str">
        <f>"0328H34139"</f>
        <v>0328H34139</v>
      </c>
      <c r="E1431" s="1" t="s">
        <v>10</v>
      </c>
      <c r="F1431" s="1" t="str">
        <f>"10.10.39.210"</f>
        <v>10.10.39.210</v>
      </c>
      <c r="G1431" s="1" t="str">
        <f>"0328H341"</f>
        <v>0328H341</v>
      </c>
      <c r="H1431" s="1" t="str">
        <f>"신묵간 60R2"</f>
        <v>신묵간 60R2</v>
      </c>
      <c r="I1431" s="1" t="s">
        <v>8</v>
      </c>
      <c r="J1431" s="1" t="str">
        <f>"37/37"</f>
        <v>37/37</v>
      </c>
      <c r="K1431" s="1" t="str">
        <f>"2026-07-29 13:18:02"</f>
        <v>2026-07-29 13:18:02</v>
      </c>
      <c r="L1431" s="1" t="str">
        <f>"2018-05-11 17:37:44"</f>
        <v>2018-05-11 17:37:44</v>
      </c>
      <c r="M1431" s="1" t="s">
        <v>1</v>
      </c>
      <c r="N1431" s="1" t="s">
        <v>38</v>
      </c>
      <c r="O1431" s="1" t="s">
        <v>46</v>
      </c>
    </row>
    <row r="1432" spans="2:15" x14ac:dyDescent="0.3">
      <c r="B1432" s="1" t="s">
        <v>24</v>
      </c>
      <c r="C1432" s="1" t="str">
        <f t="shared" si="81"/>
        <v>3차</v>
      </c>
      <c r="D1432" s="1" t="str">
        <f>"0328H34339"</f>
        <v>0328H34339</v>
      </c>
      <c r="E1432" s="1" t="s">
        <v>10</v>
      </c>
      <c r="F1432" s="1" t="str">
        <f>"10.10.16.90"</f>
        <v>10.10.16.90</v>
      </c>
      <c r="G1432" s="1" t="str">
        <f>"0328H343"</f>
        <v>0328H343</v>
      </c>
      <c r="H1432" s="1" t="str">
        <f>"신묵간 59R1"</f>
        <v>신묵간 59R1</v>
      </c>
      <c r="I1432" s="1" t="s">
        <v>8</v>
      </c>
      <c r="J1432" s="1" t="str">
        <f>"15/15"</f>
        <v>15/15</v>
      </c>
      <c r="K1432" s="1" t="str">
        <f>"2026-07-29 13:18:02"</f>
        <v>2026-07-29 13:18:02</v>
      </c>
      <c r="L1432" s="1" t="str">
        <f>"2018-02-02 16:45:28"</f>
        <v>2018-02-02 16:45:28</v>
      </c>
      <c r="M1432" s="1" t="s">
        <v>1</v>
      </c>
      <c r="N1432" s="1" t="s">
        <v>38</v>
      </c>
      <c r="O1432" s="1" t="s">
        <v>46</v>
      </c>
    </row>
    <row r="1433" spans="2:15" x14ac:dyDescent="0.3">
      <c r="B1433" s="1" t="s">
        <v>24</v>
      </c>
      <c r="C1433" s="1" t="str">
        <f t="shared" si="81"/>
        <v>3차</v>
      </c>
      <c r="D1433" s="1" t="str">
        <f>"0328H35131"</f>
        <v>0328H35131</v>
      </c>
      <c r="E1433" s="1" t="s">
        <v>10</v>
      </c>
      <c r="F1433" s="1" t="str">
        <f>"10.10.16.115"</f>
        <v>10.10.16.115</v>
      </c>
      <c r="G1433" s="1" t="str">
        <f>"0328H351"</f>
        <v>0328H351</v>
      </c>
      <c r="H1433" s="1" t="str">
        <f>"신묵간 59R3"</f>
        <v>신묵간 59R3</v>
      </c>
      <c r="I1433" s="1" t="s">
        <v>8</v>
      </c>
      <c r="J1433" s="1" t="str">
        <f>"44/52"</f>
        <v>44/52</v>
      </c>
      <c r="K1433" s="1" t="str">
        <f>"2026-07-29 13:18:02"</f>
        <v>2026-07-29 13:18:02</v>
      </c>
      <c r="L1433" s="1" t="str">
        <f>"2018-02-05 17:27:57"</f>
        <v>2018-02-05 17:27:57</v>
      </c>
      <c r="M1433" s="1" t="s">
        <v>1</v>
      </c>
      <c r="N1433" s="1" t="s">
        <v>38</v>
      </c>
      <c r="O1433" s="1" t="s">
        <v>46</v>
      </c>
    </row>
    <row r="1434" spans="2:15" x14ac:dyDescent="0.3">
      <c r="B1434" s="1" t="s">
        <v>24</v>
      </c>
      <c r="C1434" s="1" t="str">
        <f t="shared" si="81"/>
        <v>3차</v>
      </c>
      <c r="D1434" s="1" t="str">
        <f>"0328H35239"</f>
        <v>0328H35239</v>
      </c>
      <c r="E1434" s="1" t="s">
        <v>10</v>
      </c>
      <c r="F1434" s="1" t="str">
        <f>"10.10.16.194"</f>
        <v>10.10.16.194</v>
      </c>
      <c r="G1434" s="1" t="str">
        <f>"0328H352"</f>
        <v>0328H352</v>
      </c>
      <c r="H1434" s="1" t="str">
        <f>"신묵간 60R3"</f>
        <v>신묵간 60R3</v>
      </c>
      <c r="I1434" s="1" t="s">
        <v>8</v>
      </c>
      <c r="J1434" s="1" t="str">
        <f>"8/8"</f>
        <v>8/8</v>
      </c>
      <c r="K1434" s="1" t="str">
        <f>"2026-07-29 13:18:02"</f>
        <v>2026-07-29 13:18:02</v>
      </c>
      <c r="L1434" s="1" t="str">
        <f>"2018-02-05 17:26:12"</f>
        <v>2018-02-05 17:26:12</v>
      </c>
      <c r="M1434" s="1" t="s">
        <v>1</v>
      </c>
      <c r="N1434" s="1" t="s">
        <v>38</v>
      </c>
      <c r="O1434" s="1" t="s">
        <v>46</v>
      </c>
    </row>
    <row r="1435" spans="2:15" x14ac:dyDescent="0.3">
      <c r="B1435" s="1" t="s">
        <v>24</v>
      </c>
      <c r="C1435" s="1" t="str">
        <f t="shared" si="81"/>
        <v>3차</v>
      </c>
      <c r="D1435" s="1" t="str">
        <f>"0328H36130"</f>
        <v>0328H36130</v>
      </c>
      <c r="E1435" s="1" t="s">
        <v>10</v>
      </c>
      <c r="F1435" s="1" t="str">
        <f>"10.10.16.114"</f>
        <v>10.10.16.114</v>
      </c>
      <c r="G1435" s="1" t="str">
        <f>"0328H361"</f>
        <v>0328H361</v>
      </c>
      <c r="H1435" s="1" t="str">
        <f>"신묵간 59R4"</f>
        <v>신묵간 59R4</v>
      </c>
      <c r="I1435" s="1" t="s">
        <v>8</v>
      </c>
      <c r="J1435" s="1" t="str">
        <f>"20/20"</f>
        <v>20/20</v>
      </c>
      <c r="K1435" s="1" t="str">
        <f>"2026-07-29 13:18:03"</f>
        <v>2026-07-29 13:18:03</v>
      </c>
      <c r="L1435" s="1" t="str">
        <f>"2018-02-09 11:24:09"</f>
        <v>2018-02-09 11:24:09</v>
      </c>
      <c r="M1435" s="1" t="s">
        <v>1</v>
      </c>
      <c r="N1435" s="1" t="s">
        <v>38</v>
      </c>
      <c r="O1435" s="1" t="s">
        <v>46</v>
      </c>
    </row>
    <row r="1436" spans="2:15" x14ac:dyDescent="0.3">
      <c r="B1436" s="1" t="s">
        <v>24</v>
      </c>
      <c r="C1436" s="1" t="str">
        <f>"4차"</f>
        <v>4차</v>
      </c>
      <c r="D1436" s="1" t="str">
        <f>"0328H36339"</f>
        <v>0328H36339</v>
      </c>
      <c r="E1436" s="1" t="s">
        <v>10</v>
      </c>
      <c r="F1436" s="1" t="str">
        <f>"10.10.15.250"</f>
        <v>10.10.15.250</v>
      </c>
      <c r="G1436" s="1" t="str">
        <f>"0328H363"</f>
        <v>0328H363</v>
      </c>
      <c r="H1436" s="1" t="str">
        <f>"신묵간 46R4L1"</f>
        <v>신묵간 46R4L1</v>
      </c>
      <c r="I1436" s="1" t="s">
        <v>8</v>
      </c>
      <c r="J1436" s="1" t="str">
        <f>"58/58"</f>
        <v>58/58</v>
      </c>
      <c r="K1436" s="1" t="str">
        <f>"2026-07-29 13:18:03"</f>
        <v>2026-07-29 13:18:03</v>
      </c>
      <c r="L1436" s="1" t="str">
        <f>"2018-02-01 16:55:58"</f>
        <v>2018-02-01 16:55:58</v>
      </c>
      <c r="M1436" s="1" t="s">
        <v>1</v>
      </c>
      <c r="N1436" s="1" t="s">
        <v>38</v>
      </c>
      <c r="O1436" s="1" t="s">
        <v>46</v>
      </c>
    </row>
    <row r="1437" spans="2:15" x14ac:dyDescent="0.3">
      <c r="B1437" s="1" t="s">
        <v>24</v>
      </c>
      <c r="C1437" s="1" t="str">
        <f>"4차"</f>
        <v>4차</v>
      </c>
      <c r="D1437" s="1" t="str">
        <f>"0328H36539"</f>
        <v>0328H36539</v>
      </c>
      <c r="E1437" s="1" t="str">
        <f>"검침실패(3시간 이상)"</f>
        <v>검침실패(3시간 이상)</v>
      </c>
      <c r="F1437" s="1" t="str">
        <f>"10.10.16.202"</f>
        <v>10.10.16.202</v>
      </c>
      <c r="G1437" s="1" t="str">
        <f>"0328H365"</f>
        <v>0328H365</v>
      </c>
      <c r="H1437" s="1" t="str">
        <f>"신묵간 60R5"</f>
        <v>신묵간 60R5</v>
      </c>
      <c r="I1437" s="1" t="s">
        <v>8</v>
      </c>
      <c r="J1437" s="1" t="str">
        <f>"0/84"</f>
        <v>0/84</v>
      </c>
      <c r="K1437" s="1" t="str">
        <f>"2026-07-25 07:18:04"</f>
        <v>2026-07-25 07:18:04</v>
      </c>
      <c r="L1437" s="1" t="str">
        <f>"2018-02-05 17:32:27"</f>
        <v>2018-02-05 17:32:27</v>
      </c>
      <c r="M1437" s="1" t="s">
        <v>1</v>
      </c>
      <c r="N1437" s="1" t="s">
        <v>38</v>
      </c>
      <c r="O1437" s="1" t="s">
        <v>46</v>
      </c>
    </row>
    <row r="1438" spans="2:15" x14ac:dyDescent="0.3">
      <c r="B1438" s="1" t="s">
        <v>24</v>
      </c>
      <c r="C1438" s="1" t="str">
        <f t="shared" ref="C1438:C1452" si="82">"3차"</f>
        <v>3차</v>
      </c>
      <c r="D1438" s="1" t="str">
        <f>"0328H37239"</f>
        <v>0328H37239</v>
      </c>
      <c r="E1438" s="1" t="s">
        <v>10</v>
      </c>
      <c r="F1438" s="1" t="str">
        <f>"10.10.15.242"</f>
        <v>10.10.15.242</v>
      </c>
      <c r="G1438" s="1" t="str">
        <f>"0328H372"</f>
        <v>0328H372</v>
      </c>
      <c r="H1438" s="1" t="str">
        <f>"신묵간 46R4"</f>
        <v>신묵간 46R4</v>
      </c>
      <c r="I1438" s="1" t="s">
        <v>8</v>
      </c>
      <c r="J1438" s="1" t="str">
        <f>"54/61"</f>
        <v>54/61</v>
      </c>
      <c r="K1438" s="1" t="str">
        <f>"2026-07-29 13:18:02"</f>
        <v>2026-07-29 13:18:02</v>
      </c>
      <c r="L1438" s="1" t="str">
        <f>"2018-02-01 16:58:13"</f>
        <v>2018-02-01 16:58:13</v>
      </c>
      <c r="M1438" s="1" t="s">
        <v>1</v>
      </c>
      <c r="N1438" s="1" t="s">
        <v>38</v>
      </c>
      <c r="O1438" s="1" t="s">
        <v>46</v>
      </c>
    </row>
    <row r="1439" spans="2:15" x14ac:dyDescent="0.3">
      <c r="B1439" s="1" t="s">
        <v>24</v>
      </c>
      <c r="C1439" s="1" t="str">
        <f t="shared" si="82"/>
        <v>3차</v>
      </c>
      <c r="D1439" s="1" t="str">
        <f>"0328H37639"</f>
        <v>0328H37639</v>
      </c>
      <c r="E1439" s="1" t="s">
        <v>10</v>
      </c>
      <c r="F1439" s="1" t="str">
        <f>"10.10.16.138"</f>
        <v>10.10.16.138</v>
      </c>
      <c r="G1439" s="1" t="str">
        <f>"0328H376"</f>
        <v>0328H376</v>
      </c>
      <c r="H1439" s="1" t="str">
        <f>"신묵간 59R6"</f>
        <v>신묵간 59R6</v>
      </c>
      <c r="I1439" s="1" t="s">
        <v>8</v>
      </c>
      <c r="J1439" s="1" t="str">
        <f>"10/10"</f>
        <v>10/10</v>
      </c>
      <c r="K1439" s="1" t="str">
        <f>"2026-07-29 13:18:02"</f>
        <v>2026-07-29 13:18:02</v>
      </c>
      <c r="L1439" s="1" t="str">
        <f>"2018-05-25 14:01:26"</f>
        <v>2018-05-25 14:01:26</v>
      </c>
      <c r="M1439" s="1" t="s">
        <v>1</v>
      </c>
      <c r="N1439" s="1" t="s">
        <v>38</v>
      </c>
      <c r="O1439" s="1" t="s">
        <v>46</v>
      </c>
    </row>
    <row r="1440" spans="2:15" x14ac:dyDescent="0.3">
      <c r="B1440" s="1" t="s">
        <v>24</v>
      </c>
      <c r="C1440" s="1" t="str">
        <f t="shared" si="82"/>
        <v>3차</v>
      </c>
      <c r="D1440" s="1" t="str">
        <f>"0328H38239"</f>
        <v>0328H38239</v>
      </c>
      <c r="E1440" s="1" t="s">
        <v>10</v>
      </c>
      <c r="F1440" s="1" t="str">
        <f>"10.10.13.130"</f>
        <v>10.10.13.130</v>
      </c>
      <c r="G1440" s="1" t="str">
        <f>"0328H382"</f>
        <v>0328H382</v>
      </c>
      <c r="H1440" s="1" t="str">
        <f>"신묵간 24R10L5"</f>
        <v>신묵간 24R10L5</v>
      </c>
      <c r="I1440" s="1" t="s">
        <v>8</v>
      </c>
      <c r="J1440" s="1" t="str">
        <f>"14/16"</f>
        <v>14/16</v>
      </c>
      <c r="K1440" s="1" t="str">
        <f>"2026-07-29 13:18:03"</f>
        <v>2026-07-29 13:18:03</v>
      </c>
      <c r="L1440" s="1" t="str">
        <f>"2018-01-29 13:56:24"</f>
        <v>2018-01-29 13:56:24</v>
      </c>
      <c r="M1440" s="1" t="s">
        <v>1</v>
      </c>
      <c r="N1440" s="1" t="s">
        <v>38</v>
      </c>
      <c r="O1440" s="1" t="s">
        <v>46</v>
      </c>
    </row>
    <row r="1441" spans="2:15" x14ac:dyDescent="0.3">
      <c r="B1441" s="1" t="s">
        <v>24</v>
      </c>
      <c r="C1441" s="1" t="str">
        <f t="shared" si="82"/>
        <v>3차</v>
      </c>
      <c r="D1441" s="1" t="str">
        <f>"0328H40130"</f>
        <v>0328H40130</v>
      </c>
      <c r="E1441" s="1" t="s">
        <v>10</v>
      </c>
      <c r="F1441" s="1" t="str">
        <f>"10.10.16.82"</f>
        <v>10.10.16.82</v>
      </c>
      <c r="G1441" s="1" t="str">
        <f>"0328H401"</f>
        <v>0328H401</v>
      </c>
      <c r="H1441" s="1" t="str">
        <f>"신묵간 59L7"</f>
        <v>신묵간 59L7</v>
      </c>
      <c r="I1441" s="1" t="s">
        <v>8</v>
      </c>
      <c r="J1441" s="1" t="str">
        <f>"15/16"</f>
        <v>15/16</v>
      </c>
      <c r="K1441" s="1" t="str">
        <f>"2026-07-29 13:18:02"</f>
        <v>2026-07-29 13:18:02</v>
      </c>
      <c r="L1441" s="1" t="str">
        <f>"2018-03-24 14:50:27"</f>
        <v>2018-03-24 14:50:27</v>
      </c>
      <c r="M1441" s="1" t="s">
        <v>1</v>
      </c>
      <c r="N1441" s="1" t="s">
        <v>38</v>
      </c>
      <c r="O1441" s="1" t="s">
        <v>46</v>
      </c>
    </row>
    <row r="1442" spans="2:15" x14ac:dyDescent="0.3">
      <c r="B1442" s="1" t="s">
        <v>24</v>
      </c>
      <c r="C1442" s="1" t="str">
        <f t="shared" si="82"/>
        <v>3차</v>
      </c>
      <c r="D1442" s="1" t="str">
        <f>"0328H40431"</f>
        <v>0328H40431</v>
      </c>
      <c r="E1442" s="1" t="s">
        <v>10</v>
      </c>
      <c r="F1442" s="1" t="str">
        <f>"10.10.16.83"</f>
        <v>10.10.16.83</v>
      </c>
      <c r="G1442" s="1" t="str">
        <f>"0328H404"</f>
        <v>0328H404</v>
      </c>
      <c r="H1442" s="1" t="str">
        <f>"신묵간 59L6"</f>
        <v>신묵간 59L6</v>
      </c>
      <c r="I1442" s="1" t="s">
        <v>8</v>
      </c>
      <c r="J1442" s="1" t="str">
        <f>"11/13"</f>
        <v>11/13</v>
      </c>
      <c r="K1442" s="1" t="str">
        <f>"2026-07-29 13:18:02"</f>
        <v>2026-07-29 13:18:02</v>
      </c>
      <c r="L1442" s="1" t="str">
        <f>"2018-04-18 17:34:13"</f>
        <v>2018-04-18 17:34:13</v>
      </c>
      <c r="M1442" s="1" t="s">
        <v>1</v>
      </c>
      <c r="N1442" s="1" t="s">
        <v>38</v>
      </c>
      <c r="O1442" s="1" t="s">
        <v>46</v>
      </c>
    </row>
    <row r="1443" spans="2:15" x14ac:dyDescent="0.3">
      <c r="B1443" s="1" t="s">
        <v>24</v>
      </c>
      <c r="C1443" s="1" t="str">
        <f t="shared" si="82"/>
        <v>3차</v>
      </c>
      <c r="D1443" s="1" t="str">
        <f>"0328H41131"</f>
        <v>0328H41131</v>
      </c>
      <c r="E1443" s="1" t="s">
        <v>10</v>
      </c>
      <c r="F1443" s="1" t="str">
        <f>"10.10.16.75"</f>
        <v>10.10.16.75</v>
      </c>
      <c r="G1443" s="1" t="str">
        <f>"0328H411"</f>
        <v>0328H411</v>
      </c>
      <c r="H1443" s="1" t="str">
        <f>"신묵간 59L5"</f>
        <v>신묵간 59L5</v>
      </c>
      <c r="I1443" s="1" t="s">
        <v>8</v>
      </c>
      <c r="J1443" s="1" t="str">
        <f>"17/17"</f>
        <v>17/17</v>
      </c>
      <c r="K1443" s="1" t="str">
        <f>"2026-07-29 13:18:03"</f>
        <v>2026-07-29 13:18:03</v>
      </c>
      <c r="L1443" s="1" t="str">
        <f>"2018-03-19 18:01:06"</f>
        <v>2018-03-19 18:01:06</v>
      </c>
      <c r="M1443" s="1" t="s">
        <v>1</v>
      </c>
      <c r="N1443" s="1" t="s">
        <v>38</v>
      </c>
      <c r="O1443" s="1" t="s">
        <v>46</v>
      </c>
    </row>
    <row r="1444" spans="2:15" x14ac:dyDescent="0.3">
      <c r="B1444" s="1" t="s">
        <v>24</v>
      </c>
      <c r="C1444" s="1" t="str">
        <f t="shared" si="82"/>
        <v>3차</v>
      </c>
      <c r="D1444" s="1" t="str">
        <f>"0328H42230"</f>
        <v>0328H42230</v>
      </c>
      <c r="E1444" s="1" t="s">
        <v>10</v>
      </c>
      <c r="F1444" s="1" t="str">
        <f>"10.10.16.74"</f>
        <v>10.10.16.74</v>
      </c>
      <c r="G1444" s="1" t="str">
        <f>"0328H422"</f>
        <v>0328H422</v>
      </c>
      <c r="H1444" s="1" t="str">
        <f>"신묵간 59L4"</f>
        <v>신묵간 59L4</v>
      </c>
      <c r="I1444" s="1" t="s">
        <v>8</v>
      </c>
      <c r="J1444" s="1" t="str">
        <f>"18/18"</f>
        <v>18/18</v>
      </c>
      <c r="K1444" s="1" t="str">
        <f>"2026-07-29 13:18:02"</f>
        <v>2026-07-29 13:18:02</v>
      </c>
      <c r="L1444" s="1" t="str">
        <f>"2018-02-07 16:38:11"</f>
        <v>2018-02-07 16:38:11</v>
      </c>
      <c r="M1444" s="1" t="s">
        <v>1</v>
      </c>
      <c r="N1444" s="1" t="s">
        <v>38</v>
      </c>
      <c r="O1444" s="1" t="s">
        <v>46</v>
      </c>
    </row>
    <row r="1445" spans="2:15" x14ac:dyDescent="0.3">
      <c r="B1445" s="1" t="s">
        <v>24</v>
      </c>
      <c r="C1445" s="1" t="str">
        <f t="shared" si="82"/>
        <v>3차</v>
      </c>
      <c r="D1445" s="1" t="str">
        <f>"0328H43131"</f>
        <v>0328H43131</v>
      </c>
      <c r="E1445" s="1" t="s">
        <v>10</v>
      </c>
      <c r="F1445" s="1" t="str">
        <f>"10.10.40.123"</f>
        <v>10.10.40.123</v>
      </c>
      <c r="G1445" s="1" t="str">
        <f>"0328H431"</f>
        <v>0328H431</v>
      </c>
      <c r="H1445" s="1" t="str">
        <f>"신묵간 57"</f>
        <v>신묵간 57</v>
      </c>
      <c r="I1445" s="1" t="s">
        <v>8</v>
      </c>
      <c r="J1445" s="1" t="str">
        <f>"32/32"</f>
        <v>32/32</v>
      </c>
      <c r="K1445" s="1" t="str">
        <f>"2026-07-29 13:18:02"</f>
        <v>2026-07-29 13:18:02</v>
      </c>
      <c r="L1445" s="1" t="str">
        <f>"2018-03-19 14:12:40"</f>
        <v>2018-03-19 14:12:40</v>
      </c>
      <c r="M1445" s="1" t="s">
        <v>1</v>
      </c>
      <c r="N1445" s="1" t="s">
        <v>38</v>
      </c>
      <c r="O1445" s="1" t="s">
        <v>46</v>
      </c>
    </row>
    <row r="1446" spans="2:15" x14ac:dyDescent="0.3">
      <c r="B1446" s="1" t="s">
        <v>24</v>
      </c>
      <c r="C1446" s="1" t="str">
        <f t="shared" si="82"/>
        <v>3차</v>
      </c>
      <c r="D1446" s="1" t="str">
        <f>"0328H44130"</f>
        <v>0328H44130</v>
      </c>
      <c r="E1446" s="1" t="s">
        <v>10</v>
      </c>
      <c r="F1446" s="1" t="str">
        <f>"10.10.16.106"</f>
        <v>10.10.16.106</v>
      </c>
      <c r="G1446" s="1" t="str">
        <f>"0328H441"</f>
        <v>0328H441</v>
      </c>
      <c r="H1446" s="1" t="str">
        <f>"신묵간 59R1R1"</f>
        <v>신묵간 59R1R1</v>
      </c>
      <c r="I1446" s="1" t="s">
        <v>8</v>
      </c>
      <c r="J1446" s="1" t="str">
        <f>"28/30"</f>
        <v>28/30</v>
      </c>
      <c r="K1446" s="1" t="str">
        <f>"2026-07-29 13:18:02"</f>
        <v>2026-07-29 13:18:02</v>
      </c>
      <c r="L1446" s="1" t="str">
        <f>"2018-05-15 16:10:58"</f>
        <v>2018-05-15 16:10:58</v>
      </c>
      <c r="M1446" s="1" t="s">
        <v>1</v>
      </c>
      <c r="N1446" s="1" t="s">
        <v>38</v>
      </c>
      <c r="O1446" s="1" t="s">
        <v>46</v>
      </c>
    </row>
    <row r="1447" spans="2:15" x14ac:dyDescent="0.3">
      <c r="B1447" s="1" t="s">
        <v>24</v>
      </c>
      <c r="C1447" s="1" t="str">
        <f t="shared" si="82"/>
        <v>3차</v>
      </c>
      <c r="D1447" s="1" t="str">
        <f>"0328H45139"</f>
        <v>0328H45139</v>
      </c>
      <c r="E1447" s="1" t="s">
        <v>10</v>
      </c>
      <c r="F1447" s="1" t="str">
        <f>"10.10.15.234"</f>
        <v>10.10.15.234</v>
      </c>
      <c r="G1447" s="1" t="str">
        <f>"0328H451"</f>
        <v>0328H451</v>
      </c>
      <c r="H1447" s="1" t="str">
        <f>"신묵간 46R3L4"</f>
        <v>신묵간 46R3L4</v>
      </c>
      <c r="I1447" s="1" t="s">
        <v>8</v>
      </c>
      <c r="J1447" s="1" t="str">
        <f>"71/71"</f>
        <v>71/71</v>
      </c>
      <c r="K1447" s="1" t="str">
        <f>"2026-07-29 13:18:02"</f>
        <v>2026-07-29 13:18:02</v>
      </c>
      <c r="L1447" s="1" t="str">
        <f>"2018-02-01 17:00:14"</f>
        <v>2018-02-01 17:00:14</v>
      </c>
      <c r="M1447" s="1" t="s">
        <v>1</v>
      </c>
      <c r="N1447" s="1" t="s">
        <v>38</v>
      </c>
      <c r="O1447" s="1" t="s">
        <v>46</v>
      </c>
    </row>
    <row r="1448" spans="2:15" x14ac:dyDescent="0.3">
      <c r="B1448" s="1" t="s">
        <v>24</v>
      </c>
      <c r="C1448" s="1" t="str">
        <f t="shared" si="82"/>
        <v>3차</v>
      </c>
      <c r="D1448" s="1" t="str">
        <f>"0328H46131"</f>
        <v>0328H46131</v>
      </c>
      <c r="E1448" s="1" t="s">
        <v>10</v>
      </c>
      <c r="F1448" s="1" t="str">
        <f>"10.14.14.119"</f>
        <v>10.14.14.119</v>
      </c>
      <c r="G1448" s="1" t="str">
        <f>"0328H461"</f>
        <v>0328H461</v>
      </c>
      <c r="H1448" s="1" t="str">
        <f>"신묵간 46R3L2"</f>
        <v>신묵간 46R3L2</v>
      </c>
      <c r="I1448" s="1" t="s">
        <v>8</v>
      </c>
      <c r="J1448" s="1" t="str">
        <f>"68/68"</f>
        <v>68/68</v>
      </c>
      <c r="K1448" s="1" t="str">
        <f>"2026-07-29 13:18:03"</f>
        <v>2026-07-29 13:18:03</v>
      </c>
      <c r="L1448" s="1" t="str">
        <f>"2018-03-16 15:36:12"</f>
        <v>2018-03-16 15:36:12</v>
      </c>
      <c r="M1448" s="1" t="s">
        <v>3</v>
      </c>
      <c r="N1448" s="1" t="s">
        <v>38</v>
      </c>
      <c r="O1448" s="1" t="s">
        <v>46</v>
      </c>
    </row>
    <row r="1449" spans="2:15" x14ac:dyDescent="0.3">
      <c r="B1449" s="1" t="s">
        <v>24</v>
      </c>
      <c r="C1449" s="1" t="str">
        <f t="shared" si="82"/>
        <v>3차</v>
      </c>
      <c r="D1449" s="1" t="str">
        <f>"0328H46239"</f>
        <v>0328H46239</v>
      </c>
      <c r="E1449" s="1" t="s">
        <v>10</v>
      </c>
      <c r="F1449" s="1" t="str">
        <f>"10.10.15.226"</f>
        <v>10.10.15.226</v>
      </c>
      <c r="G1449" s="1" t="str">
        <f>"0328H462"</f>
        <v>0328H462</v>
      </c>
      <c r="H1449" s="1" t="str">
        <f>"신묵간 46R3L3"</f>
        <v>신묵간 46R3L3</v>
      </c>
      <c r="I1449" s="1" t="s">
        <v>8</v>
      </c>
      <c r="J1449" s="1" t="str">
        <f>"40/41"</f>
        <v>40/41</v>
      </c>
      <c r="K1449" s="1" t="str">
        <f>"2026-07-29 13:18:02"</f>
        <v>2026-07-29 13:18:02</v>
      </c>
      <c r="L1449" s="1" t="str">
        <f>"2018-02-01 16:57:44"</f>
        <v>2018-02-01 16:57:44</v>
      </c>
      <c r="M1449" s="1" t="s">
        <v>1</v>
      </c>
      <c r="N1449" s="1" t="s">
        <v>38</v>
      </c>
      <c r="O1449" s="1" t="s">
        <v>46</v>
      </c>
    </row>
    <row r="1450" spans="2:15" x14ac:dyDescent="0.3">
      <c r="B1450" s="1" t="s">
        <v>24</v>
      </c>
      <c r="C1450" s="1" t="str">
        <f t="shared" si="82"/>
        <v>3차</v>
      </c>
      <c r="D1450" s="1" t="str">
        <f>"0328H47230"</f>
        <v>0328H47230</v>
      </c>
      <c r="E1450" s="1" t="s">
        <v>10</v>
      </c>
      <c r="F1450" s="1" t="str">
        <f>"10.10.15.218"</f>
        <v>10.10.15.218</v>
      </c>
      <c r="G1450" s="1" t="str">
        <f>"0328H472"</f>
        <v>0328H472</v>
      </c>
      <c r="H1450" s="1" t="str">
        <f>"신묵간 46R3"</f>
        <v>신묵간 46R3</v>
      </c>
      <c r="I1450" s="1" t="s">
        <v>8</v>
      </c>
      <c r="J1450" s="1" t="str">
        <f>"32/45"</f>
        <v>32/45</v>
      </c>
      <c r="K1450" s="1" t="str">
        <f t="shared" ref="K1450:K1467" si="83">"2026-07-29 13:18:03"</f>
        <v>2026-07-29 13:18:03</v>
      </c>
      <c r="L1450" s="1" t="str">
        <f>"2021-07-28 15:49:44"</f>
        <v>2021-07-28 15:49:44</v>
      </c>
      <c r="M1450" s="1" t="s">
        <v>1</v>
      </c>
      <c r="N1450" s="1" t="s">
        <v>38</v>
      </c>
      <c r="O1450" s="1" t="s">
        <v>46</v>
      </c>
    </row>
    <row r="1451" spans="2:15" x14ac:dyDescent="0.3">
      <c r="B1451" s="1" t="s">
        <v>24</v>
      </c>
      <c r="C1451" s="1" t="str">
        <f t="shared" si="82"/>
        <v>3차</v>
      </c>
      <c r="D1451" s="1" t="str">
        <f>"0328H50239"</f>
        <v>0328H50239</v>
      </c>
      <c r="E1451" s="1" t="s">
        <v>10</v>
      </c>
      <c r="F1451" s="1" t="str">
        <f>"10.10.15.106"</f>
        <v>10.10.15.106</v>
      </c>
      <c r="G1451" s="1" t="str">
        <f>"0328H502"</f>
        <v>0328H502</v>
      </c>
      <c r="H1451" s="1" t="str">
        <f>"신중간 15R6L3"</f>
        <v>신중간 15R6L3</v>
      </c>
      <c r="I1451" s="1" t="s">
        <v>8</v>
      </c>
      <c r="J1451" s="1" t="str">
        <f>"26/28"</f>
        <v>26/28</v>
      </c>
      <c r="K1451" s="1" t="str">
        <f t="shared" si="83"/>
        <v>2026-07-29 13:18:03</v>
      </c>
      <c r="L1451" s="1" t="str">
        <f>"2018-05-11 18:49:30"</f>
        <v>2018-05-11 18:49:30</v>
      </c>
      <c r="M1451" s="1" t="s">
        <v>1</v>
      </c>
      <c r="N1451" s="1" t="s">
        <v>38</v>
      </c>
      <c r="O1451" s="1" t="s">
        <v>46</v>
      </c>
    </row>
    <row r="1452" spans="2:15" x14ac:dyDescent="0.3">
      <c r="B1452" s="1" t="s">
        <v>24</v>
      </c>
      <c r="C1452" s="1" t="str">
        <f t="shared" si="82"/>
        <v>3차</v>
      </c>
      <c r="D1452" s="1" t="str">
        <f>"0328H50439"</f>
        <v>0328H50439</v>
      </c>
      <c r="E1452" s="1" t="s">
        <v>10</v>
      </c>
      <c r="F1452" s="1" t="str">
        <f>"10.10.2.242"</f>
        <v>10.10.2.242</v>
      </c>
      <c r="G1452" s="1" t="str">
        <f>"0328H504"</f>
        <v>0328H504</v>
      </c>
      <c r="H1452" s="1" t="str">
        <f>"신중간 15R6L4R1"</f>
        <v>신중간 15R6L4R1</v>
      </c>
      <c r="I1452" s="1" t="s">
        <v>8</v>
      </c>
      <c r="J1452" s="1" t="str">
        <f>"141/159"</f>
        <v>141/159</v>
      </c>
      <c r="K1452" s="1" t="str">
        <f t="shared" si="83"/>
        <v>2026-07-29 13:18:03</v>
      </c>
      <c r="L1452" s="1" t="str">
        <f>"2018-03-24 14:50:42"</f>
        <v>2018-03-24 14:50:42</v>
      </c>
      <c r="M1452" s="1" t="s">
        <v>1</v>
      </c>
      <c r="N1452" s="1" t="s">
        <v>38</v>
      </c>
      <c r="O1452" s="1" t="s">
        <v>46</v>
      </c>
    </row>
    <row r="1453" spans="2:15" x14ac:dyDescent="0.3">
      <c r="B1453" s="1" t="s">
        <v>24</v>
      </c>
      <c r="C1453" s="1" t="str">
        <f>"4차"</f>
        <v>4차</v>
      </c>
      <c r="D1453" s="1" t="str">
        <f>"0328H54230"</f>
        <v>0328H54230</v>
      </c>
      <c r="E1453" s="1" t="s">
        <v>10</v>
      </c>
      <c r="F1453" s="1" t="str">
        <f>"10.10.40.122"</f>
        <v>10.10.40.122</v>
      </c>
      <c r="G1453" s="1" t="str">
        <f>"0328H542"</f>
        <v>0328H542</v>
      </c>
      <c r="H1453" s="1" t="str">
        <f>"신묵간 55"</f>
        <v>신묵간 55</v>
      </c>
      <c r="I1453" s="1" t="s">
        <v>8</v>
      </c>
      <c r="J1453" s="1" t="str">
        <f>"66/66"</f>
        <v>66/66</v>
      </c>
      <c r="K1453" s="1" t="str">
        <f t="shared" si="83"/>
        <v>2026-07-29 13:18:03</v>
      </c>
      <c r="L1453" s="1" t="str">
        <f>"2018-02-01 17:00:45"</f>
        <v>2018-02-01 17:00:45</v>
      </c>
      <c r="M1453" s="1" t="s">
        <v>1</v>
      </c>
      <c r="N1453" s="1" t="s">
        <v>38</v>
      </c>
      <c r="O1453" s="1" t="s">
        <v>46</v>
      </c>
    </row>
    <row r="1454" spans="2:15" x14ac:dyDescent="0.3">
      <c r="B1454" s="1" t="s">
        <v>24</v>
      </c>
      <c r="C1454" s="1" t="str">
        <f t="shared" ref="C1454:C1467" si="84">"3차"</f>
        <v>3차</v>
      </c>
      <c r="D1454" s="1" t="str">
        <f>"0328H55131"</f>
        <v>0328H55131</v>
      </c>
      <c r="E1454" s="1" t="s">
        <v>10</v>
      </c>
      <c r="F1454" s="1" t="str">
        <f>"10.10.16.107"</f>
        <v>10.10.16.107</v>
      </c>
      <c r="G1454" s="1" t="str">
        <f>"0328H551"</f>
        <v>0328H551</v>
      </c>
      <c r="H1454" s="1" t="str">
        <f>"신묵간 59R1R3"</f>
        <v>신묵간 59R1R3</v>
      </c>
      <c r="I1454" s="1" t="s">
        <v>8</v>
      </c>
      <c r="J1454" s="1" t="str">
        <f>"93/94"</f>
        <v>93/94</v>
      </c>
      <c r="K1454" s="1" t="str">
        <f t="shared" si="83"/>
        <v>2026-07-29 13:18:03</v>
      </c>
      <c r="L1454" s="1" t="str">
        <f>"2018-03-09 10:40:09"</f>
        <v>2018-03-09 10:40:09</v>
      </c>
      <c r="M1454" s="1" t="s">
        <v>1</v>
      </c>
      <c r="N1454" s="1" t="s">
        <v>38</v>
      </c>
      <c r="O1454" s="1" t="s">
        <v>46</v>
      </c>
    </row>
    <row r="1455" spans="2:15" x14ac:dyDescent="0.3">
      <c r="B1455" s="1" t="s">
        <v>24</v>
      </c>
      <c r="C1455" s="1" t="str">
        <f t="shared" si="84"/>
        <v>3차</v>
      </c>
      <c r="D1455" s="1" t="str">
        <f>"0328H59339"</f>
        <v>0328H59339</v>
      </c>
      <c r="E1455" s="1" t="s">
        <v>10</v>
      </c>
      <c r="F1455" s="1" t="str">
        <f>"10.10.15.138"</f>
        <v>10.10.15.138</v>
      </c>
      <c r="G1455" s="1" t="str">
        <f>"0328H593"</f>
        <v>0328H593</v>
      </c>
      <c r="H1455" s="1" t="str">
        <f>"신묵간 43"</f>
        <v>신묵간 43</v>
      </c>
      <c r="I1455" s="1" t="s">
        <v>8</v>
      </c>
      <c r="J1455" s="1" t="str">
        <f>"22/22"</f>
        <v>22/22</v>
      </c>
      <c r="K1455" s="1" t="str">
        <f t="shared" si="83"/>
        <v>2026-07-29 13:18:03</v>
      </c>
      <c r="L1455" s="1" t="str">
        <f>"2018-03-28 14:10:13"</f>
        <v>2018-03-28 14:10:13</v>
      </c>
      <c r="M1455" s="1" t="s">
        <v>1</v>
      </c>
      <c r="N1455" s="1" t="s">
        <v>38</v>
      </c>
      <c r="O1455" s="1" t="s">
        <v>46</v>
      </c>
    </row>
    <row r="1456" spans="2:15" x14ac:dyDescent="0.3">
      <c r="B1456" s="1" t="s">
        <v>24</v>
      </c>
      <c r="C1456" s="1" t="str">
        <f t="shared" si="84"/>
        <v>3차</v>
      </c>
      <c r="D1456" s="1" t="str">
        <f>"0328H60339"</f>
        <v>0328H60339</v>
      </c>
      <c r="E1456" s="1" t="s">
        <v>10</v>
      </c>
      <c r="F1456" s="1" t="str">
        <f>"10.10.3.66"</f>
        <v>10.10.3.66</v>
      </c>
      <c r="G1456" s="1" t="str">
        <f>"0328H603"</f>
        <v>0328H603</v>
      </c>
      <c r="H1456" s="1" t="str">
        <f>"신중간 15R6"</f>
        <v>신중간 15R6</v>
      </c>
      <c r="I1456" s="1" t="s">
        <v>8</v>
      </c>
      <c r="J1456" s="1" t="str">
        <f>"3/3"</f>
        <v>3/3</v>
      </c>
      <c r="K1456" s="1" t="str">
        <f t="shared" si="83"/>
        <v>2026-07-29 13:18:03</v>
      </c>
      <c r="L1456" s="1" t="str">
        <f>"2018-03-24 14:54:27"</f>
        <v>2018-03-24 14:54:27</v>
      </c>
      <c r="M1456" s="1" t="s">
        <v>1</v>
      </c>
      <c r="N1456" s="1" t="s">
        <v>38</v>
      </c>
      <c r="O1456" s="1" t="s">
        <v>46</v>
      </c>
    </row>
    <row r="1457" spans="2:15" x14ac:dyDescent="0.3">
      <c r="B1457" s="1" t="s">
        <v>24</v>
      </c>
      <c r="C1457" s="1" t="str">
        <f t="shared" si="84"/>
        <v>3차</v>
      </c>
      <c r="D1457" s="1" t="str">
        <f>"0328H60439"</f>
        <v>0328H60439</v>
      </c>
      <c r="E1457" s="1" t="s">
        <v>10</v>
      </c>
      <c r="F1457" s="1" t="str">
        <f>"10.10.2.90"</f>
        <v>10.10.2.90</v>
      </c>
      <c r="G1457" s="1" t="str">
        <f>"0328H604"</f>
        <v>0328H604</v>
      </c>
      <c r="H1457" s="1" t="str">
        <f>"신중간 15R6L2"</f>
        <v>신중간 15R6L2</v>
      </c>
      <c r="I1457" s="1" t="s">
        <v>8</v>
      </c>
      <c r="J1457" s="1" t="str">
        <f>"14/14"</f>
        <v>14/14</v>
      </c>
      <c r="K1457" s="1" t="str">
        <f t="shared" si="83"/>
        <v>2026-07-29 13:18:03</v>
      </c>
      <c r="L1457" s="1" t="str">
        <f>"2021-07-28 15:54:31"</f>
        <v>2021-07-28 15:54:31</v>
      </c>
      <c r="M1457" s="1" t="s">
        <v>1</v>
      </c>
      <c r="N1457" s="1" t="s">
        <v>38</v>
      </c>
      <c r="O1457" s="1" t="s">
        <v>46</v>
      </c>
    </row>
    <row r="1458" spans="2:15" x14ac:dyDescent="0.3">
      <c r="B1458" s="1" t="s">
        <v>24</v>
      </c>
      <c r="C1458" s="1" t="str">
        <f t="shared" si="84"/>
        <v>3차</v>
      </c>
      <c r="D1458" s="1" t="str">
        <f>"0328H61139"</f>
        <v>0328H61139</v>
      </c>
      <c r="E1458" s="1" t="s">
        <v>10</v>
      </c>
      <c r="F1458" s="1" t="str">
        <f>"10.10.13.26"</f>
        <v>10.10.13.26</v>
      </c>
      <c r="G1458" s="1" t="str">
        <f>"0328H611"</f>
        <v>0328H611</v>
      </c>
      <c r="H1458" s="1" t="str">
        <f>"신중간 15R7"</f>
        <v>신중간 15R7</v>
      </c>
      <c r="I1458" s="1" t="s">
        <v>8</v>
      </c>
      <c r="J1458" s="1" t="str">
        <f>"14/14"</f>
        <v>14/14</v>
      </c>
      <c r="K1458" s="1" t="str">
        <f t="shared" si="83"/>
        <v>2026-07-29 13:18:03</v>
      </c>
      <c r="L1458" s="1" t="str">
        <f>"2018-02-08 17:52:12"</f>
        <v>2018-02-08 17:52:12</v>
      </c>
      <c r="M1458" s="1" t="s">
        <v>1</v>
      </c>
      <c r="N1458" s="1" t="s">
        <v>38</v>
      </c>
      <c r="O1458" s="1" t="s">
        <v>46</v>
      </c>
    </row>
    <row r="1459" spans="2:15" x14ac:dyDescent="0.3">
      <c r="B1459" s="1" t="s">
        <v>24</v>
      </c>
      <c r="C1459" s="1" t="str">
        <f t="shared" si="84"/>
        <v>3차</v>
      </c>
      <c r="D1459" s="1" t="str">
        <f>"0328H64139"</f>
        <v>0328H64139</v>
      </c>
      <c r="E1459" s="1" t="s">
        <v>10</v>
      </c>
      <c r="F1459" s="1" t="str">
        <f>"10.10.15.130"</f>
        <v>10.10.15.130</v>
      </c>
      <c r="G1459" s="1" t="str">
        <f>"0328H641"</f>
        <v>0328H641</v>
      </c>
      <c r="H1459" s="1" t="str">
        <f>"신묵간 52"</f>
        <v>신묵간 52</v>
      </c>
      <c r="I1459" s="1" t="s">
        <v>8</v>
      </c>
      <c r="J1459" s="1" t="str">
        <f>"14/14"</f>
        <v>14/14</v>
      </c>
      <c r="K1459" s="1" t="str">
        <f t="shared" si="83"/>
        <v>2026-07-29 13:18:03</v>
      </c>
      <c r="L1459" s="1" t="str">
        <f>"2018-03-07 14:46:42"</f>
        <v>2018-03-07 14:46:42</v>
      </c>
      <c r="M1459" s="1" t="s">
        <v>1</v>
      </c>
      <c r="N1459" s="1" t="s">
        <v>38</v>
      </c>
      <c r="O1459" s="1" t="s">
        <v>46</v>
      </c>
    </row>
    <row r="1460" spans="2:15" x14ac:dyDescent="0.3">
      <c r="B1460" s="1" t="s">
        <v>24</v>
      </c>
      <c r="C1460" s="1" t="str">
        <f t="shared" si="84"/>
        <v>3차</v>
      </c>
      <c r="D1460" s="1" t="str">
        <f>"0328H66230"</f>
        <v>0328H66230</v>
      </c>
      <c r="E1460" s="1" t="str">
        <f>"검침실패(3시간 이상)"</f>
        <v>검침실패(3시간 이상)</v>
      </c>
      <c r="F1460" s="1" t="str">
        <f>"10.10.5.242"</f>
        <v>10.10.5.242</v>
      </c>
      <c r="G1460" s="1" t="str">
        <f>"0328H662"</f>
        <v>0328H662</v>
      </c>
      <c r="H1460" s="1" t="str">
        <f>"묵동지 7"</f>
        <v>묵동지 7</v>
      </c>
      <c r="I1460" s="1" t="s">
        <v>8</v>
      </c>
      <c r="J1460" s="1" t="str">
        <f>"0/3"</f>
        <v>0/3</v>
      </c>
      <c r="K1460" s="1" t="str">
        <f t="shared" si="83"/>
        <v>2026-07-29 13:18:03</v>
      </c>
      <c r="L1460" s="1" t="str">
        <f>"2018-01-17 12:13:40"</f>
        <v>2018-01-17 12:13:40</v>
      </c>
      <c r="M1460" s="1" t="s">
        <v>1</v>
      </c>
      <c r="N1460" s="1" t="s">
        <v>38</v>
      </c>
      <c r="O1460" s="1" t="s">
        <v>46</v>
      </c>
    </row>
    <row r="1461" spans="2:15" x14ac:dyDescent="0.3">
      <c r="B1461" s="1" t="s">
        <v>24</v>
      </c>
      <c r="C1461" s="1" t="str">
        <f t="shared" si="84"/>
        <v>3차</v>
      </c>
      <c r="D1461" s="1" t="str">
        <f>"0328H69230"</f>
        <v>0328H69230</v>
      </c>
      <c r="E1461" s="1" t="s">
        <v>10</v>
      </c>
      <c r="F1461" s="1" t="str">
        <f>"10.10.20.250"</f>
        <v>10.10.20.250</v>
      </c>
      <c r="G1461" s="1" t="str">
        <f>"0328H692"</f>
        <v>0328H692</v>
      </c>
      <c r="H1461" s="1" t="str">
        <f>"묵동지 12R1"</f>
        <v>묵동지 12R1</v>
      </c>
      <c r="I1461" s="1" t="s">
        <v>8</v>
      </c>
      <c r="J1461" s="1" t="str">
        <f>"133/133"</f>
        <v>133/133</v>
      </c>
      <c r="K1461" s="1" t="str">
        <f t="shared" si="83"/>
        <v>2026-07-29 13:18:03</v>
      </c>
      <c r="L1461" s="1" t="str">
        <f>"2018-01-17 14:12:12"</f>
        <v>2018-01-17 14:12:12</v>
      </c>
      <c r="M1461" s="1" t="s">
        <v>1</v>
      </c>
      <c r="N1461" s="1" t="s">
        <v>38</v>
      </c>
      <c r="O1461" s="1" t="s">
        <v>46</v>
      </c>
    </row>
    <row r="1462" spans="2:15" x14ac:dyDescent="0.3">
      <c r="B1462" s="1" t="s">
        <v>24</v>
      </c>
      <c r="C1462" s="1" t="str">
        <f t="shared" si="84"/>
        <v>3차</v>
      </c>
      <c r="D1462" s="1" t="str">
        <f>"0328H70430"</f>
        <v>0328H70430</v>
      </c>
      <c r="E1462" s="1" t="s">
        <v>10</v>
      </c>
      <c r="F1462" s="1" t="str">
        <f>"10.10.8.82"</f>
        <v>10.10.8.82</v>
      </c>
      <c r="G1462" s="1" t="str">
        <f>"0328H704"</f>
        <v>0328H704</v>
      </c>
      <c r="H1462" s="1" t="str">
        <f>"봉화간 44"</f>
        <v>봉화간 44</v>
      </c>
      <c r="I1462" s="1" t="s">
        <v>8</v>
      </c>
      <c r="J1462" s="1" t="str">
        <f>"16/16"</f>
        <v>16/16</v>
      </c>
      <c r="K1462" s="1" t="str">
        <f t="shared" si="83"/>
        <v>2026-07-29 13:18:03</v>
      </c>
      <c r="L1462" s="1" t="str">
        <f>"2018-01-17 13:50:41"</f>
        <v>2018-01-17 13:50:41</v>
      </c>
      <c r="M1462" s="1" t="s">
        <v>1</v>
      </c>
      <c r="N1462" s="1" t="s">
        <v>38</v>
      </c>
      <c r="O1462" s="1" t="s">
        <v>46</v>
      </c>
    </row>
    <row r="1463" spans="2:15" x14ac:dyDescent="0.3">
      <c r="B1463" s="1" t="s">
        <v>24</v>
      </c>
      <c r="C1463" s="1" t="str">
        <f t="shared" si="84"/>
        <v>3차</v>
      </c>
      <c r="D1463" s="1" t="str">
        <f>"0328H74539"</f>
        <v>0328H74539</v>
      </c>
      <c r="E1463" s="1" t="s">
        <v>10</v>
      </c>
      <c r="F1463" s="1" t="str">
        <f>"10.10.18.66"</f>
        <v>10.10.18.66</v>
      </c>
      <c r="G1463" s="1" t="str">
        <f>"0328H745"</f>
        <v>0328H745</v>
      </c>
      <c r="H1463" s="1" t="str">
        <f>"묵동지 2R1"</f>
        <v>묵동지 2R1</v>
      </c>
      <c r="I1463" s="1" t="s">
        <v>8</v>
      </c>
      <c r="J1463" s="1" t="str">
        <f>"54/56"</f>
        <v>54/56</v>
      </c>
      <c r="K1463" s="1" t="str">
        <f t="shared" si="83"/>
        <v>2026-07-29 13:18:03</v>
      </c>
      <c r="L1463" s="1" t="str">
        <f>"2021-07-27 09:52:21"</f>
        <v>2021-07-27 09:52:21</v>
      </c>
      <c r="M1463" s="1" t="s">
        <v>1</v>
      </c>
      <c r="N1463" s="1" t="s">
        <v>38</v>
      </c>
      <c r="O1463" s="1" t="s">
        <v>46</v>
      </c>
    </row>
    <row r="1464" spans="2:15" x14ac:dyDescent="0.3">
      <c r="B1464" s="1" t="s">
        <v>24</v>
      </c>
      <c r="C1464" s="1" t="str">
        <f t="shared" si="84"/>
        <v>3차</v>
      </c>
      <c r="D1464" s="1" t="str">
        <f>"0328H75330"</f>
        <v>0328H75330</v>
      </c>
      <c r="E1464" s="1" t="s">
        <v>10</v>
      </c>
      <c r="F1464" s="1" t="str">
        <f>"10.10.13.98"</f>
        <v>10.10.13.98</v>
      </c>
      <c r="G1464" s="1" t="str">
        <f>"0328H753"</f>
        <v>0328H753</v>
      </c>
      <c r="H1464" s="1" t="str">
        <f>"묵동지 5R2"</f>
        <v>묵동지 5R2</v>
      </c>
      <c r="I1464" s="1" t="s">
        <v>8</v>
      </c>
      <c r="J1464" s="1" t="str">
        <f>"92/93"</f>
        <v>92/93</v>
      </c>
      <c r="K1464" s="1" t="str">
        <f t="shared" si="83"/>
        <v>2026-07-29 13:18:03</v>
      </c>
      <c r="L1464" s="1" t="str">
        <f>"2018-01-17 10:32:39"</f>
        <v>2018-01-17 10:32:39</v>
      </c>
      <c r="M1464" s="1" t="s">
        <v>1</v>
      </c>
      <c r="N1464" s="1" t="s">
        <v>38</v>
      </c>
      <c r="O1464" s="1" t="s">
        <v>46</v>
      </c>
    </row>
    <row r="1465" spans="2:15" x14ac:dyDescent="0.3">
      <c r="B1465" s="1" t="s">
        <v>24</v>
      </c>
      <c r="C1465" s="1" t="str">
        <f t="shared" si="84"/>
        <v>3차</v>
      </c>
      <c r="D1465" s="1" t="str">
        <f>"0328H77439"</f>
        <v>0328H77439</v>
      </c>
      <c r="E1465" s="1" t="s">
        <v>10</v>
      </c>
      <c r="F1465" s="1" t="str">
        <f>"10.10.16.234"</f>
        <v>10.10.16.234</v>
      </c>
      <c r="G1465" s="1" t="str">
        <f>"0328H774"</f>
        <v>0328H774</v>
      </c>
      <c r="H1465" s="1" t="str">
        <f>"묵동지 5R4L5"</f>
        <v>묵동지 5R4L5</v>
      </c>
      <c r="I1465" s="1" t="s">
        <v>8</v>
      </c>
      <c r="J1465" s="1" t="str">
        <f>"65/65"</f>
        <v>65/65</v>
      </c>
      <c r="K1465" s="1" t="str">
        <f t="shared" si="83"/>
        <v>2026-07-29 13:18:03</v>
      </c>
      <c r="L1465" s="1" t="str">
        <f>"2021-07-29 16:53:29"</f>
        <v>2021-07-29 16:53:29</v>
      </c>
      <c r="M1465" s="1" t="s">
        <v>1</v>
      </c>
      <c r="N1465" s="1" t="s">
        <v>38</v>
      </c>
      <c r="O1465" s="1" t="s">
        <v>46</v>
      </c>
    </row>
    <row r="1466" spans="2:15" x14ac:dyDescent="0.3">
      <c r="B1466" s="1" t="s">
        <v>24</v>
      </c>
      <c r="C1466" s="1" t="str">
        <f t="shared" si="84"/>
        <v>3차</v>
      </c>
      <c r="D1466" s="1" t="str">
        <f>"0328H79131"</f>
        <v>0328H79131</v>
      </c>
      <c r="E1466" s="1" t="s">
        <v>10</v>
      </c>
      <c r="F1466" s="1" t="str">
        <f>"10.89.247.67"</f>
        <v>10.89.247.67</v>
      </c>
      <c r="G1466" s="1" t="str">
        <f>"0328H791"</f>
        <v>0328H791</v>
      </c>
      <c r="H1466" s="1" t="str">
        <f>"묵동지 12R2"</f>
        <v>묵동지 12R2</v>
      </c>
      <c r="I1466" s="1" t="s">
        <v>8</v>
      </c>
      <c r="J1466" s="1" t="str">
        <f>"129/130"</f>
        <v>129/130</v>
      </c>
      <c r="K1466" s="1" t="str">
        <f t="shared" si="83"/>
        <v>2026-07-29 13:18:03</v>
      </c>
      <c r="L1466" s="1" t="str">
        <f>"2018-06-12 10:44:55"</f>
        <v>2018-06-12 10:44:55</v>
      </c>
      <c r="M1466" s="1" t="s">
        <v>45</v>
      </c>
      <c r="N1466" s="1" t="s">
        <v>38</v>
      </c>
      <c r="O1466" s="1" t="s">
        <v>46</v>
      </c>
    </row>
    <row r="1467" spans="2:15" x14ac:dyDescent="0.3">
      <c r="B1467" s="1" t="s">
        <v>24</v>
      </c>
      <c r="C1467" s="1" t="str">
        <f t="shared" si="84"/>
        <v>3차</v>
      </c>
      <c r="D1467" s="1" t="str">
        <f>"0328H80131"</f>
        <v>0328H80131</v>
      </c>
      <c r="E1467" s="1" t="s">
        <v>10</v>
      </c>
      <c r="F1467" s="1" t="str">
        <f>"10.14.1.125"</f>
        <v>10.14.1.125</v>
      </c>
      <c r="G1467" s="1" t="str">
        <f>"0328H801"</f>
        <v>0328H801</v>
      </c>
      <c r="H1467" s="1" t="str">
        <f>"봉화간 44R1"</f>
        <v>봉화간 44R1</v>
      </c>
      <c r="I1467" s="1" t="s">
        <v>8</v>
      </c>
      <c r="J1467" s="1" t="str">
        <f>"14/14"</f>
        <v>14/14</v>
      </c>
      <c r="K1467" s="1" t="str">
        <f t="shared" si="83"/>
        <v>2026-07-29 13:18:03</v>
      </c>
      <c r="L1467" s="1" t="str">
        <f>"2018-04-29 09:58:11"</f>
        <v>2018-04-29 09:58:11</v>
      </c>
      <c r="M1467" s="1" t="s">
        <v>3</v>
      </c>
      <c r="N1467" s="1" t="s">
        <v>38</v>
      </c>
      <c r="O1467" s="1" t="s">
        <v>46</v>
      </c>
    </row>
    <row r="1468" spans="2:15" x14ac:dyDescent="0.3">
      <c r="B1468" s="1" t="s">
        <v>24</v>
      </c>
      <c r="C1468" s="1" t="str">
        <f>"4차"</f>
        <v>4차</v>
      </c>
      <c r="D1468" s="1" t="str">
        <f>"0328H82139"</f>
        <v>0328H82139</v>
      </c>
      <c r="E1468" s="1" t="s">
        <v>10</v>
      </c>
      <c r="F1468" s="1" t="str">
        <f>"10.11.120.26"</f>
        <v>10.11.120.26</v>
      </c>
      <c r="G1468" s="1" t="str">
        <f>"0328H821"</f>
        <v>0328H821</v>
      </c>
      <c r="H1468" s="1" t="str">
        <f>"봉화간 46R3"</f>
        <v>봉화간 46R3</v>
      </c>
      <c r="I1468" s="1" t="s">
        <v>8</v>
      </c>
      <c r="J1468" s="1" t="str">
        <f>"31/31"</f>
        <v>31/31</v>
      </c>
      <c r="K1468" s="1" t="str">
        <f>"2026-07-29 13:18:02"</f>
        <v>2026-07-29 13:18:02</v>
      </c>
      <c r="L1468" s="1" t="str">
        <f>"2018-03-24 10:11:12"</f>
        <v>2018-03-24 10:11:12</v>
      </c>
      <c r="M1468" s="1" t="s">
        <v>2</v>
      </c>
      <c r="N1468" s="1" t="s">
        <v>38</v>
      </c>
      <c r="O1468" s="1" t="s">
        <v>46</v>
      </c>
    </row>
    <row r="1469" spans="2:15" x14ac:dyDescent="0.3">
      <c r="B1469" s="1" t="s">
        <v>24</v>
      </c>
      <c r="C1469" s="1" t="str">
        <f>"3차"</f>
        <v>3차</v>
      </c>
      <c r="D1469" s="1" t="str">
        <f>"0328H84439"</f>
        <v>0328H84439</v>
      </c>
      <c r="E1469" s="1" t="s">
        <v>10</v>
      </c>
      <c r="F1469" s="1" t="str">
        <f>"10.10.14.2"</f>
        <v>10.10.14.2</v>
      </c>
      <c r="G1469" s="1" t="str">
        <f>"0328H844"</f>
        <v>0328H844</v>
      </c>
      <c r="H1469" s="1" t="str">
        <f>"묵동지 2R2R1"</f>
        <v>묵동지 2R2R1</v>
      </c>
      <c r="I1469" s="1" t="s">
        <v>8</v>
      </c>
      <c r="J1469" s="1" t="str">
        <f>"43/43"</f>
        <v>43/43</v>
      </c>
      <c r="K1469" s="1" t="str">
        <f>"2026-07-29 13:18:03"</f>
        <v>2026-07-29 13:18:03</v>
      </c>
      <c r="L1469" s="1" t="str">
        <f>"2018-01-17 09:47:54"</f>
        <v>2018-01-17 09:47:54</v>
      </c>
      <c r="M1469" s="1" t="s">
        <v>1</v>
      </c>
      <c r="N1469" s="1" t="s">
        <v>38</v>
      </c>
      <c r="O1469" s="1" t="s">
        <v>46</v>
      </c>
    </row>
    <row r="1470" spans="2:15" x14ac:dyDescent="0.3">
      <c r="B1470" s="1" t="s">
        <v>24</v>
      </c>
      <c r="C1470" s="1" t="str">
        <f>"4차"</f>
        <v>4차</v>
      </c>
      <c r="D1470" s="1" t="str">
        <f>"0328H85139"</f>
        <v>0328H85139</v>
      </c>
      <c r="E1470" s="1" t="s">
        <v>10</v>
      </c>
      <c r="F1470" s="1" t="str">
        <f>"10.10.14.18"</f>
        <v>10.10.14.18</v>
      </c>
      <c r="G1470" s="1" t="str">
        <f>"0328H851"</f>
        <v>0328H851</v>
      </c>
      <c r="H1470" s="1" t="str">
        <f>"묵동지 2R3"</f>
        <v>묵동지 2R3</v>
      </c>
      <c r="I1470" s="1" t="s">
        <v>8</v>
      </c>
      <c r="J1470" s="1" t="str">
        <f>"29/30"</f>
        <v>29/30</v>
      </c>
      <c r="K1470" s="1" t="str">
        <f>"2026-07-29 13:18:03"</f>
        <v>2026-07-29 13:18:03</v>
      </c>
      <c r="L1470" s="1" t="str">
        <f>"2026-01-13 16:49:58"</f>
        <v>2026-01-13 16:49:58</v>
      </c>
      <c r="M1470" s="1" t="s">
        <v>1</v>
      </c>
      <c r="N1470" s="1" t="s">
        <v>38</v>
      </c>
      <c r="O1470" s="1" t="s">
        <v>46</v>
      </c>
    </row>
    <row r="1471" spans="2:15" x14ac:dyDescent="0.3">
      <c r="B1471" s="1" t="s">
        <v>24</v>
      </c>
      <c r="C1471" s="1" t="str">
        <f t="shared" ref="C1471:C1476" si="85">"3차"</f>
        <v>3차</v>
      </c>
      <c r="D1471" s="1" t="str">
        <f>"0328H88239"</f>
        <v>0328H88239</v>
      </c>
      <c r="E1471" s="1" t="s">
        <v>10</v>
      </c>
      <c r="F1471" s="1" t="str">
        <f>"10.10.13.50"</f>
        <v>10.10.13.50</v>
      </c>
      <c r="G1471" s="1" t="str">
        <f>"0328H882"</f>
        <v>0328H882</v>
      </c>
      <c r="H1471" s="1" t="str">
        <f>"묵동지 5R4L3"</f>
        <v>묵동지 5R4L3</v>
      </c>
      <c r="I1471" s="1" t="s">
        <v>8</v>
      </c>
      <c r="J1471" s="1" t="str">
        <f>"22/23"</f>
        <v>22/23</v>
      </c>
      <c r="K1471" s="1" t="str">
        <f>"2026-07-29 13:18:03"</f>
        <v>2026-07-29 13:18:03</v>
      </c>
      <c r="L1471" s="1" t="str">
        <f>"2018-01-17 11:12:25"</f>
        <v>2018-01-17 11:12:25</v>
      </c>
      <c r="M1471" s="1" t="s">
        <v>1</v>
      </c>
      <c r="N1471" s="1" t="s">
        <v>38</v>
      </c>
      <c r="O1471" s="1" t="s">
        <v>46</v>
      </c>
    </row>
    <row r="1472" spans="2:15" x14ac:dyDescent="0.3">
      <c r="B1472" s="1" t="s">
        <v>24</v>
      </c>
      <c r="C1472" s="1" t="str">
        <f t="shared" si="85"/>
        <v>3차</v>
      </c>
      <c r="D1472" s="1" t="str">
        <f>"0328H88339"</f>
        <v>0328H88339</v>
      </c>
      <c r="E1472" s="1" t="s">
        <v>10</v>
      </c>
      <c r="F1472" s="1" t="str">
        <f>"10.10.13.42"</f>
        <v>10.10.13.42</v>
      </c>
      <c r="G1472" s="1" t="str">
        <f>"0328H883"</f>
        <v>0328H883</v>
      </c>
      <c r="H1472" s="1" t="str">
        <f>"묵동지 5R4L4"</f>
        <v>묵동지 5R4L4</v>
      </c>
      <c r="I1472" s="1" t="s">
        <v>8</v>
      </c>
      <c r="J1472" s="1" t="str">
        <f>"118/118"</f>
        <v>118/118</v>
      </c>
      <c r="K1472" s="1" t="str">
        <f>"2026-07-29 13:18:03"</f>
        <v>2026-07-29 13:18:03</v>
      </c>
      <c r="L1472" s="1" t="str">
        <f>"2018-02-26 09:19:54"</f>
        <v>2018-02-26 09:19:54</v>
      </c>
      <c r="M1472" s="1" t="s">
        <v>1</v>
      </c>
      <c r="N1472" s="1" t="s">
        <v>38</v>
      </c>
      <c r="O1472" s="1" t="s">
        <v>46</v>
      </c>
    </row>
    <row r="1473" spans="2:15" x14ac:dyDescent="0.3">
      <c r="B1473" s="1" t="s">
        <v>24</v>
      </c>
      <c r="C1473" s="1" t="str">
        <f t="shared" si="85"/>
        <v>3차</v>
      </c>
      <c r="D1473" s="1" t="str">
        <f>"0328H89139"</f>
        <v>0328H89139</v>
      </c>
      <c r="E1473" s="1" t="s">
        <v>10</v>
      </c>
      <c r="F1473" s="1" t="str">
        <f>"10.10.8.34"</f>
        <v>10.10.8.34</v>
      </c>
      <c r="G1473" s="1" t="str">
        <f>"0328H891"</f>
        <v>0328H891</v>
      </c>
      <c r="H1473" s="1" t="str">
        <f>"묵동지 12R4R1"</f>
        <v>묵동지 12R4R1</v>
      </c>
      <c r="I1473" s="1" t="s">
        <v>8</v>
      </c>
      <c r="J1473" s="1" t="str">
        <f>"82/82"</f>
        <v>82/82</v>
      </c>
      <c r="K1473" s="1" t="str">
        <f>"2026-07-29 13:18:02"</f>
        <v>2026-07-29 13:18:02</v>
      </c>
      <c r="L1473" s="1" t="str">
        <f>"2018-02-06 13:50:12"</f>
        <v>2018-02-06 13:50:12</v>
      </c>
      <c r="M1473" s="1" t="s">
        <v>1</v>
      </c>
      <c r="N1473" s="1" t="s">
        <v>38</v>
      </c>
      <c r="O1473" s="1" t="s">
        <v>46</v>
      </c>
    </row>
    <row r="1474" spans="2:15" x14ac:dyDescent="0.3">
      <c r="B1474" s="1" t="s">
        <v>24</v>
      </c>
      <c r="C1474" s="1" t="str">
        <f t="shared" si="85"/>
        <v>3차</v>
      </c>
      <c r="D1474" s="1" t="str">
        <f>"0328H90139"</f>
        <v>0328H90139</v>
      </c>
      <c r="E1474" s="1" t="s">
        <v>10</v>
      </c>
      <c r="F1474" s="1" t="str">
        <f>"10.10.18.10"</f>
        <v>10.10.18.10</v>
      </c>
      <c r="G1474" s="1" t="str">
        <f>"0328H901"</f>
        <v>0328H901</v>
      </c>
      <c r="H1474" s="1" t="str">
        <f>"봉화간 40R3A3"</f>
        <v>봉화간 40R3A3</v>
      </c>
      <c r="I1474" s="1" t="s">
        <v>8</v>
      </c>
      <c r="J1474" s="1" t="str">
        <f>"43/43"</f>
        <v>43/43</v>
      </c>
      <c r="K1474" s="1" t="str">
        <f>"2026-07-29 13:18:03"</f>
        <v>2026-07-29 13:18:03</v>
      </c>
      <c r="L1474" s="1" t="str">
        <f>"2021-07-28 16:01:33"</f>
        <v>2021-07-28 16:01:33</v>
      </c>
      <c r="M1474" s="1" t="s">
        <v>1</v>
      </c>
      <c r="N1474" s="1" t="s">
        <v>38</v>
      </c>
      <c r="O1474" s="1" t="s">
        <v>46</v>
      </c>
    </row>
    <row r="1475" spans="2:15" x14ac:dyDescent="0.3">
      <c r="B1475" s="1" t="s">
        <v>24</v>
      </c>
      <c r="C1475" s="1" t="str">
        <f t="shared" si="85"/>
        <v>3차</v>
      </c>
      <c r="D1475" s="1" t="str">
        <f>"0328H91139"</f>
        <v>0328H91139</v>
      </c>
      <c r="E1475" s="1" t="s">
        <v>10</v>
      </c>
      <c r="F1475" s="1" t="str">
        <f>"10.14.9.117"</f>
        <v>10.14.9.117</v>
      </c>
      <c r="G1475" s="1" t="str">
        <f>"0328H911"</f>
        <v>0328H911</v>
      </c>
      <c r="H1475" s="1" t="str">
        <f>"봉화간 40R3A4"</f>
        <v>봉화간 40R3A4</v>
      </c>
      <c r="I1475" s="1" t="s">
        <v>8</v>
      </c>
      <c r="J1475" s="1" t="str">
        <f>"38/38"</f>
        <v>38/38</v>
      </c>
      <c r="K1475" s="1" t="str">
        <f>"2026-07-29 13:18:04"</f>
        <v>2026-07-29 13:18:04</v>
      </c>
      <c r="L1475" s="1" t="str">
        <f>"2018-03-24 09:03:41"</f>
        <v>2018-03-24 09:03:41</v>
      </c>
      <c r="M1475" s="1" t="s">
        <v>3</v>
      </c>
      <c r="N1475" s="1" t="s">
        <v>38</v>
      </c>
      <c r="O1475" s="1" t="s">
        <v>46</v>
      </c>
    </row>
    <row r="1476" spans="2:15" x14ac:dyDescent="0.3">
      <c r="B1476" s="1" t="s">
        <v>24</v>
      </c>
      <c r="C1476" s="1" t="str">
        <f t="shared" si="85"/>
        <v>3차</v>
      </c>
      <c r="D1476" s="1" t="str">
        <f>"0328H92239"</f>
        <v>0328H92239</v>
      </c>
      <c r="E1476" s="1" t="s">
        <v>10</v>
      </c>
      <c r="F1476" s="1" t="str">
        <f>"10.10.18.26"</f>
        <v>10.10.18.26</v>
      </c>
      <c r="G1476" s="1" t="str">
        <f>"0328H922"</f>
        <v>0328H922</v>
      </c>
      <c r="H1476" s="1" t="str">
        <f>"봉화간 40R3L12"</f>
        <v>봉화간 40R3L12</v>
      </c>
      <c r="I1476" s="1" t="s">
        <v>8</v>
      </c>
      <c r="J1476" s="1" t="str">
        <f>"31/31"</f>
        <v>31/31</v>
      </c>
      <c r="K1476" s="1" t="str">
        <f>"2026-07-29 13:18:03"</f>
        <v>2026-07-29 13:18:03</v>
      </c>
      <c r="L1476" s="1" t="str">
        <f>"2018-03-26 09:13:55"</f>
        <v>2018-03-26 09:13:55</v>
      </c>
      <c r="M1476" s="1" t="s">
        <v>1</v>
      </c>
      <c r="N1476" s="1" t="s">
        <v>38</v>
      </c>
      <c r="O1476" s="1" t="s">
        <v>46</v>
      </c>
    </row>
    <row r="1477" spans="2:15" x14ac:dyDescent="0.3">
      <c r="B1477" s="1" t="s">
        <v>24</v>
      </c>
      <c r="C1477" s="1" t="str">
        <f>"4차"</f>
        <v>4차</v>
      </c>
      <c r="D1477" s="1" t="str">
        <f>"0328H95144"</f>
        <v>0328H95144</v>
      </c>
      <c r="E1477" s="1" t="s">
        <v>10</v>
      </c>
      <c r="F1477" s="1" t="str">
        <f>"10.10.61.194"</f>
        <v>10.10.61.194</v>
      </c>
      <c r="G1477" s="1" t="str">
        <f>"0328H951"</f>
        <v>0328H951</v>
      </c>
      <c r="H1477" s="1" t="str">
        <f>"묵동지 2R4"</f>
        <v>묵동지 2R4</v>
      </c>
      <c r="I1477" s="1" t="s">
        <v>8</v>
      </c>
      <c r="J1477" s="1" t="str">
        <f>"42/48"</f>
        <v>42/48</v>
      </c>
      <c r="K1477" s="1" t="str">
        <f>"2026-07-29 13:18:02"</f>
        <v>2026-07-29 13:18:02</v>
      </c>
      <c r="L1477" s="1" t="str">
        <f>"2019-10-17 11:34:49"</f>
        <v>2019-10-17 11:34:49</v>
      </c>
      <c r="M1477" s="1" t="s">
        <v>1</v>
      </c>
      <c r="N1477" s="1" t="s">
        <v>38</v>
      </c>
      <c r="O1477" s="1" t="s">
        <v>46</v>
      </c>
    </row>
    <row r="1478" spans="2:15" x14ac:dyDescent="0.3">
      <c r="B1478" s="1" t="s">
        <v>24</v>
      </c>
      <c r="C1478" s="1" t="str">
        <f>"4차"</f>
        <v>4차</v>
      </c>
      <c r="D1478" s="1" t="str">
        <f>"0328H96131"</f>
        <v>0328H96131</v>
      </c>
      <c r="E1478" s="1" t="s">
        <v>10</v>
      </c>
      <c r="F1478" s="1" t="str">
        <f>"10.10.13.99"</f>
        <v>10.10.13.99</v>
      </c>
      <c r="G1478" s="1" t="str">
        <f>"0328H961"</f>
        <v>0328H961</v>
      </c>
      <c r="H1478" s="1" t="str">
        <f>"묵동지 5R4"</f>
        <v>묵동지 5R4</v>
      </c>
      <c r="I1478" s="1" t="s">
        <v>8</v>
      </c>
      <c r="J1478" s="1" t="str">
        <f>"94/100"</f>
        <v>94/100</v>
      </c>
      <c r="K1478" s="1" t="str">
        <f>"2026-07-29 13:18:03"</f>
        <v>2026-07-29 13:18:03</v>
      </c>
      <c r="L1478" s="1" t="str">
        <f>"2018-02-10 09:57:41"</f>
        <v>2018-02-10 09:57:41</v>
      </c>
      <c r="M1478" s="1" t="s">
        <v>1</v>
      </c>
      <c r="N1478" s="1" t="s">
        <v>38</v>
      </c>
      <c r="O1478" s="1" t="s">
        <v>46</v>
      </c>
    </row>
    <row r="1479" spans="2:15" x14ac:dyDescent="0.3">
      <c r="B1479" s="1" t="s">
        <v>24</v>
      </c>
      <c r="C1479" s="1" t="str">
        <f>"4차"</f>
        <v>4차</v>
      </c>
      <c r="D1479" s="1" t="str">
        <f>"0328H96244"</f>
        <v>0328H96244</v>
      </c>
      <c r="E1479" s="1" t="s">
        <v>10</v>
      </c>
      <c r="F1479" s="1" t="str">
        <f>"10.10.42.98"</f>
        <v>10.10.42.98</v>
      </c>
      <c r="G1479" s="1" t="str">
        <f>"0328H962"</f>
        <v>0328H962</v>
      </c>
      <c r="H1479" s="1" t="str">
        <f>"묵동지 5R5"</f>
        <v>묵동지 5R5</v>
      </c>
      <c r="I1479" s="1" t="s">
        <v>8</v>
      </c>
      <c r="J1479" s="1" t="str">
        <f>"75/83"</f>
        <v>75/83</v>
      </c>
      <c r="K1479" s="1" t="str">
        <f>"2026-07-29 13:18:02"</f>
        <v>2026-07-29 13:18:02</v>
      </c>
      <c r="L1479" s="1" t="str">
        <f>"2019-10-16 18:05:39"</f>
        <v>2019-10-16 18:05:39</v>
      </c>
      <c r="M1479" s="1" t="s">
        <v>1</v>
      </c>
      <c r="N1479" s="1" t="s">
        <v>38</v>
      </c>
      <c r="O1479" s="1" t="s">
        <v>46</v>
      </c>
    </row>
    <row r="1480" spans="2:15" x14ac:dyDescent="0.3">
      <c r="B1480" s="1" t="s">
        <v>24</v>
      </c>
      <c r="C1480" s="1" t="str">
        <f>"3차"</f>
        <v>3차</v>
      </c>
      <c r="D1480" s="1" t="str">
        <f>"0328H97239"</f>
        <v>0328H97239</v>
      </c>
      <c r="E1480" s="1" t="s">
        <v>10</v>
      </c>
      <c r="F1480" s="1" t="str">
        <f>"10.10.13.58"</f>
        <v>10.10.13.58</v>
      </c>
      <c r="G1480" s="1" t="str">
        <f>"0328H972"</f>
        <v>0328H972</v>
      </c>
      <c r="H1480" s="1" t="str">
        <f>"묵동지 5R4L1"</f>
        <v>묵동지 5R4L1</v>
      </c>
      <c r="I1480" s="1" t="s">
        <v>8</v>
      </c>
      <c r="J1480" s="1" t="str">
        <f>"46/46"</f>
        <v>46/46</v>
      </c>
      <c r="K1480" s="1" t="str">
        <f>"2026-07-29 13:18:03"</f>
        <v>2026-07-29 13:18:03</v>
      </c>
      <c r="L1480" s="1" t="str">
        <f>"2018-01-17 10:46:55"</f>
        <v>2018-01-17 10:46:55</v>
      </c>
      <c r="M1480" s="1" t="s">
        <v>1</v>
      </c>
      <c r="N1480" s="1" t="s">
        <v>38</v>
      </c>
      <c r="O1480" s="1" t="s">
        <v>46</v>
      </c>
    </row>
    <row r="1481" spans="2:15" x14ac:dyDescent="0.3">
      <c r="B1481" s="1" t="s">
        <v>24</v>
      </c>
      <c r="C1481" s="1" t="str">
        <f>"4차"</f>
        <v>4차</v>
      </c>
      <c r="D1481" s="1" t="str">
        <f>"0328H98144"</f>
        <v>0328H98144</v>
      </c>
      <c r="E1481" s="1" t="s">
        <v>10</v>
      </c>
      <c r="F1481" s="1" t="str">
        <f>"10.10.42.226"</f>
        <v>10.10.42.226</v>
      </c>
      <c r="G1481" s="1" t="str">
        <f>"0328H981"</f>
        <v>0328H981</v>
      </c>
      <c r="H1481" s="1" t="str">
        <f>"묵동지 5R9L1"</f>
        <v>묵동지 5R9L1</v>
      </c>
      <c r="I1481" s="1" t="s">
        <v>8</v>
      </c>
      <c r="J1481" s="1" t="str">
        <f>"82/86"</f>
        <v>82/86</v>
      </c>
      <c r="K1481" s="1" t="str">
        <f>"2026-07-29 13:18:03"</f>
        <v>2026-07-29 13:18:03</v>
      </c>
      <c r="L1481" s="1" t="str">
        <f>"2019-10-16 16:13:04"</f>
        <v>2019-10-16 16:13:04</v>
      </c>
      <c r="M1481" s="1" t="s">
        <v>1</v>
      </c>
      <c r="N1481" s="1" t="s">
        <v>38</v>
      </c>
      <c r="O1481" s="1" t="s">
        <v>46</v>
      </c>
    </row>
    <row r="1482" spans="2:15" x14ac:dyDescent="0.3">
      <c r="B1482" s="1" t="s">
        <v>24</v>
      </c>
      <c r="C1482" s="1" t="str">
        <f>"5-2차"</f>
        <v>5-2차</v>
      </c>
      <c r="D1482" s="1" t="str">
        <f>"0328P6425M"</f>
        <v>0328P6425M</v>
      </c>
      <c r="E1482" s="1" t="s">
        <v>10</v>
      </c>
      <c r="F1482" s="1" t="str">
        <f>"fde3:102:1430:1300:0:0:0:5"</f>
        <v>fde3:102:1430:1300:0:0:0:5</v>
      </c>
      <c r="G1482" s="1" t="str">
        <f>"0328P642"</f>
        <v>0328P642</v>
      </c>
      <c r="H1482" s="1" t="str">
        <f>"외대간 49L5R2"</f>
        <v>외대간 49L5R2</v>
      </c>
      <c r="I1482" s="1" t="s">
        <v>15</v>
      </c>
      <c r="J1482" s="1" t="str">
        <f>"81/81"</f>
        <v>81/81</v>
      </c>
      <c r="K1482" s="1" t="str">
        <f>"2026-07-29 14:20:42"</f>
        <v>2026-07-29 14:20:42</v>
      </c>
      <c r="L1482" s="1" t="str">
        <f>"2023-10-25 08:29:06"</f>
        <v>2023-10-25 08:29:06</v>
      </c>
      <c r="M1482" s="1" t="s">
        <v>45</v>
      </c>
      <c r="N1482" s="1" t="s">
        <v>38</v>
      </c>
      <c r="O1482" s="1" t="s">
        <v>46</v>
      </c>
    </row>
    <row r="1483" spans="2:15" x14ac:dyDescent="0.3">
      <c r="B1483" s="1" t="s">
        <v>24</v>
      </c>
      <c r="C1483" s="1" t="str">
        <f>"4차"</f>
        <v>4차</v>
      </c>
      <c r="D1483" s="1" t="str">
        <f>"0328Q34141"</f>
        <v>0328Q34141</v>
      </c>
      <c r="E1483" s="1" t="s">
        <v>10</v>
      </c>
      <c r="F1483" s="1" t="str">
        <f>"10.12.132.239"</f>
        <v>10.12.132.239</v>
      </c>
      <c r="G1483" s="1" t="str">
        <f>"0328Q341"</f>
        <v>0328Q341</v>
      </c>
      <c r="H1483" s="1" t="str">
        <f>"대동간 30R14"</f>
        <v>대동간 30R14</v>
      </c>
      <c r="I1483" s="1" t="s">
        <v>17</v>
      </c>
      <c r="J1483" s="1" t="str">
        <f>"85/97"</f>
        <v>85/97</v>
      </c>
      <c r="K1483" s="1" t="str">
        <f>"2026-07-29 13:18:04"</f>
        <v>2026-07-29 13:18:04</v>
      </c>
      <c r="L1483" s="1" t="str">
        <f>"2021-10-18 13:07:00"</f>
        <v>2021-10-18 13:07:00</v>
      </c>
      <c r="M1483" s="1" t="s">
        <v>0</v>
      </c>
      <c r="N1483" s="1" t="s">
        <v>38</v>
      </c>
      <c r="O1483" s="1" t="s">
        <v>46</v>
      </c>
    </row>
    <row r="1484" spans="2:15" x14ac:dyDescent="0.3">
      <c r="B1484" s="1" t="s">
        <v>24</v>
      </c>
      <c r="C1484" s="1" t="str">
        <f>"5-1차"</f>
        <v>5-1차</v>
      </c>
      <c r="D1484" s="1" t="str">
        <f>"0328Q6835M"</f>
        <v>0328Q6835M</v>
      </c>
      <c r="E1484" s="1" t="s">
        <v>10</v>
      </c>
      <c r="F1484" s="1" t="str">
        <f>"fde2:104:0:160:0:0:0:2"</f>
        <v>fde2:104:0:160:0:0:0:2</v>
      </c>
      <c r="G1484" s="1" t="str">
        <f>"0328Q683"</f>
        <v>0328Q683</v>
      </c>
      <c r="H1484" s="1" t="str">
        <f>"대동간 2"</f>
        <v>대동간 2</v>
      </c>
      <c r="I1484" s="1" t="s">
        <v>15</v>
      </c>
      <c r="J1484" s="1" t="str">
        <f>"57/58"</f>
        <v>57/58</v>
      </c>
      <c r="K1484" s="1" t="str">
        <f>"2026-07-29 14:20:57"</f>
        <v>2026-07-29 14:20:57</v>
      </c>
      <c r="L1484" s="1" t="str">
        <f>"2022-10-17 11:27:26"</f>
        <v>2022-10-17 11:27:26</v>
      </c>
      <c r="M1484" s="1" t="s">
        <v>42</v>
      </c>
      <c r="N1484" s="1" t="s">
        <v>38</v>
      </c>
      <c r="O1484" s="1" t="s">
        <v>46</v>
      </c>
    </row>
    <row r="1485" spans="2:15" x14ac:dyDescent="0.3">
      <c r="B1485" s="1" t="s">
        <v>24</v>
      </c>
      <c r="C1485" s="1" t="str">
        <f>"4차"</f>
        <v>4차</v>
      </c>
      <c r="D1485" s="1" t="str">
        <f>"0328R02244"</f>
        <v>0328R02244</v>
      </c>
      <c r="E1485" s="1" t="s">
        <v>10</v>
      </c>
      <c r="F1485" s="1" t="str">
        <f>"10.10.45.242"</f>
        <v>10.10.45.242</v>
      </c>
      <c r="G1485" s="1" t="str">
        <f>"0328R022"</f>
        <v>0328R022</v>
      </c>
      <c r="H1485" s="1" t="str">
        <f>"외대간 32L10H1"</f>
        <v>외대간 32L10H1</v>
      </c>
      <c r="I1485" s="1" t="s">
        <v>8</v>
      </c>
      <c r="J1485" s="1" t="str">
        <f>"24/24"</f>
        <v>24/24</v>
      </c>
      <c r="K1485" s="1" t="str">
        <f>"2026-07-29 13:18:03"</f>
        <v>2026-07-29 13:18:03</v>
      </c>
      <c r="L1485" s="1" t="str">
        <f>"2019-11-11 10:50:12"</f>
        <v>2019-11-11 10:50:12</v>
      </c>
      <c r="M1485" s="1" t="s">
        <v>1</v>
      </c>
      <c r="N1485" s="1" t="s">
        <v>38</v>
      </c>
      <c r="O1485" s="1" t="s">
        <v>46</v>
      </c>
    </row>
    <row r="1486" spans="2:15" x14ac:dyDescent="0.3">
      <c r="B1486" s="1" t="s">
        <v>24</v>
      </c>
      <c r="C1486" s="1" t="str">
        <f>"3차"</f>
        <v>3차</v>
      </c>
      <c r="D1486" s="1" t="str">
        <f>"0328R03239"</f>
        <v>0328R03239</v>
      </c>
      <c r="E1486" s="1" t="s">
        <v>10</v>
      </c>
      <c r="F1486" s="1" t="str">
        <f>"10.12.130.163"</f>
        <v>10.12.130.163</v>
      </c>
      <c r="G1486" s="1" t="str">
        <f>"0328R032"</f>
        <v>0328R032</v>
      </c>
      <c r="H1486" s="1" t="str">
        <f>"외대간 32L9R1"</f>
        <v>외대간 32L9R1</v>
      </c>
      <c r="I1486" s="1" t="s">
        <v>8</v>
      </c>
      <c r="J1486" s="1" t="str">
        <f>"87/87"</f>
        <v>87/87</v>
      </c>
      <c r="K1486" s="1" t="str">
        <f>"2026-07-29 07:18:04"</f>
        <v>2026-07-29 07:18:04</v>
      </c>
      <c r="L1486" s="1" t="str">
        <f>"2018-09-27 09:56:55"</f>
        <v>2018-09-27 09:56:55</v>
      </c>
      <c r="M1486" s="1" t="s">
        <v>0</v>
      </c>
      <c r="N1486" s="1" t="s">
        <v>38</v>
      </c>
      <c r="O1486" s="1" t="s">
        <v>46</v>
      </c>
    </row>
    <row r="1487" spans="2:15" x14ac:dyDescent="0.3">
      <c r="B1487" s="1" t="s">
        <v>24</v>
      </c>
      <c r="C1487" s="1" t="str">
        <f>"3차"</f>
        <v>3차</v>
      </c>
      <c r="D1487" s="1" t="str">
        <f>"0328R04239"</f>
        <v>0328R04239</v>
      </c>
      <c r="E1487" s="1" t="s">
        <v>10</v>
      </c>
      <c r="F1487" s="1" t="str">
        <f>"10.12.130.157"</f>
        <v>10.12.130.157</v>
      </c>
      <c r="G1487" s="1" t="str">
        <f>"0328R042"</f>
        <v>0328R042</v>
      </c>
      <c r="H1487" s="1" t="str">
        <f>"외대간 32L9R2"</f>
        <v>외대간 32L9R2</v>
      </c>
      <c r="I1487" s="1" t="s">
        <v>8</v>
      </c>
      <c r="J1487" s="1" t="str">
        <f>"52/87"</f>
        <v>52/87</v>
      </c>
      <c r="K1487" s="1" t="str">
        <f>"2026-07-29 07:18:04"</f>
        <v>2026-07-29 07:18:04</v>
      </c>
      <c r="L1487" s="1" t="str">
        <f>"2018-09-27 11:21:41"</f>
        <v>2018-09-27 11:21:41</v>
      </c>
      <c r="M1487" s="1" t="s">
        <v>0</v>
      </c>
      <c r="N1487" s="1" t="s">
        <v>38</v>
      </c>
      <c r="O1487" s="1" t="s">
        <v>46</v>
      </c>
    </row>
    <row r="1488" spans="2:15" x14ac:dyDescent="0.3">
      <c r="B1488" s="1" t="s">
        <v>24</v>
      </c>
      <c r="C1488" s="1" t="str">
        <f>"4차"</f>
        <v>4차</v>
      </c>
      <c r="D1488" s="1" t="str">
        <f>"0328R13144"</f>
        <v>0328R13144</v>
      </c>
      <c r="E1488" s="1" t="s">
        <v>10</v>
      </c>
      <c r="F1488" s="1" t="str">
        <f>"10.10.52.10"</f>
        <v>10.10.52.10</v>
      </c>
      <c r="G1488" s="1" t="str">
        <f>"0328R131"</f>
        <v>0328R131</v>
      </c>
      <c r="H1488" s="1" t="str">
        <f>"외대간 32L9R1R1"</f>
        <v>외대간 32L9R1R1</v>
      </c>
      <c r="I1488" s="1" t="s">
        <v>8</v>
      </c>
      <c r="J1488" s="1" t="str">
        <f>"26/30"</f>
        <v>26/30</v>
      </c>
      <c r="K1488" s="1" t="str">
        <f>"2026-07-29 13:18:03"</f>
        <v>2026-07-29 13:18:03</v>
      </c>
      <c r="L1488" s="1" t="str">
        <f>"2019-11-22 13:15:58"</f>
        <v>2019-11-22 13:15:58</v>
      </c>
      <c r="M1488" s="1" t="s">
        <v>1</v>
      </c>
      <c r="N1488" s="1" t="s">
        <v>38</v>
      </c>
      <c r="O1488" s="1" t="s">
        <v>46</v>
      </c>
    </row>
    <row r="1489" spans="2:15" x14ac:dyDescent="0.3">
      <c r="B1489" s="1" t="s">
        <v>24</v>
      </c>
      <c r="C1489" s="1" t="str">
        <f>"3차"</f>
        <v>3차</v>
      </c>
      <c r="D1489" s="1" t="str">
        <f>"0328R13239"</f>
        <v>0328R13239</v>
      </c>
      <c r="E1489" s="1" t="s">
        <v>10</v>
      </c>
      <c r="F1489" s="1" t="str">
        <f>"10.89.129.242"</f>
        <v>10.89.129.242</v>
      </c>
      <c r="G1489" s="1" t="str">
        <f>"0328R132"</f>
        <v>0328R132</v>
      </c>
      <c r="H1489" s="1" t="str">
        <f>"외대간 32L9R1R2"</f>
        <v>외대간 32L9R1R2</v>
      </c>
      <c r="I1489" s="1" t="s">
        <v>8</v>
      </c>
      <c r="J1489" s="1" t="str">
        <f>"86/86"</f>
        <v>86/86</v>
      </c>
      <c r="K1489" s="1" t="str">
        <f>"2026-07-29 13:18:03"</f>
        <v>2026-07-29 13:18:03</v>
      </c>
      <c r="L1489" s="1" t="str">
        <f>"2018-09-27 11:58:11"</f>
        <v>2018-09-27 11:58:11</v>
      </c>
      <c r="M1489" s="1" t="s">
        <v>45</v>
      </c>
      <c r="N1489" s="1" t="s">
        <v>38</v>
      </c>
      <c r="O1489" s="1" t="s">
        <v>46</v>
      </c>
    </row>
    <row r="1490" spans="2:15" x14ac:dyDescent="0.3">
      <c r="B1490" s="1" t="s">
        <v>24</v>
      </c>
      <c r="C1490" s="1" t="str">
        <f>"4차"</f>
        <v>4차</v>
      </c>
      <c r="D1490" s="1" t="str">
        <f>"0328R14144"</f>
        <v>0328R14144</v>
      </c>
      <c r="E1490" s="1" t="s">
        <v>10</v>
      </c>
      <c r="F1490" s="1" t="str">
        <f>"10.10.51.210"</f>
        <v>10.10.51.210</v>
      </c>
      <c r="G1490" s="1" t="str">
        <f>"0328R141"</f>
        <v>0328R141</v>
      </c>
      <c r="H1490" s="1" t="str">
        <f>"외대간 32L9R1R3"</f>
        <v>외대간 32L9R1R3</v>
      </c>
      <c r="I1490" s="1" t="s">
        <v>8</v>
      </c>
      <c r="J1490" s="1" t="str">
        <f>"101/101"</f>
        <v>101/101</v>
      </c>
      <c r="K1490" s="1" t="str">
        <f>"2026-07-29 13:18:03"</f>
        <v>2026-07-29 13:18:03</v>
      </c>
      <c r="L1490" s="1" t="str">
        <f>"2019-11-11 11:04:04"</f>
        <v>2019-11-11 11:04:04</v>
      </c>
      <c r="M1490" s="1" t="s">
        <v>1</v>
      </c>
      <c r="N1490" s="1" t="s">
        <v>38</v>
      </c>
      <c r="O1490" s="1" t="s">
        <v>46</v>
      </c>
    </row>
    <row r="1491" spans="2:15" x14ac:dyDescent="0.3">
      <c r="B1491" s="1" t="s">
        <v>24</v>
      </c>
      <c r="C1491" s="1" t="str">
        <f>"4차"</f>
        <v>4차</v>
      </c>
      <c r="D1491" s="1" t="str">
        <f>"0328R15144"</f>
        <v>0328R15144</v>
      </c>
      <c r="E1491" s="1" t="s">
        <v>10</v>
      </c>
      <c r="F1491" s="1" t="str">
        <f>"10.10.51.218"</f>
        <v>10.10.51.218</v>
      </c>
      <c r="G1491" s="1" t="str">
        <f>"0328R151"</f>
        <v>0328R151</v>
      </c>
      <c r="H1491" s="1" t="str">
        <f>"외대간 32L9R1R4"</f>
        <v>외대간 32L9R1R4</v>
      </c>
      <c r="I1491" s="1" t="s">
        <v>8</v>
      </c>
      <c r="J1491" s="1" t="str">
        <f>"64/72"</f>
        <v>64/72</v>
      </c>
      <c r="K1491" s="1" t="str">
        <f>"2026-07-29 13:18:03"</f>
        <v>2026-07-29 13:18:03</v>
      </c>
      <c r="L1491" s="1" t="str">
        <f>"2019-11-11 11:07:41"</f>
        <v>2019-11-11 11:07:41</v>
      </c>
      <c r="M1491" s="1" t="s">
        <v>1</v>
      </c>
      <c r="N1491" s="1" t="s">
        <v>38</v>
      </c>
      <c r="O1491" s="1" t="s">
        <v>46</v>
      </c>
    </row>
    <row r="1492" spans="2:15" x14ac:dyDescent="0.3">
      <c r="B1492" s="1" t="s">
        <v>24</v>
      </c>
      <c r="C1492" s="1" t="str">
        <f>"4차"</f>
        <v>4차</v>
      </c>
      <c r="D1492" s="1" t="str">
        <f>"0328R61341"</f>
        <v>0328R61341</v>
      </c>
      <c r="E1492" s="1" t="s">
        <v>10</v>
      </c>
      <c r="F1492" s="1" t="str">
        <f>"10.14.3.114"</f>
        <v>10.14.3.114</v>
      </c>
      <c r="G1492" s="1" t="str">
        <f>"0328R613"</f>
        <v>0328R613</v>
      </c>
      <c r="H1492" s="1" t="str">
        <f>"외대간 34H1"</f>
        <v>외대간 34H1</v>
      </c>
      <c r="I1492" s="1" t="s">
        <v>17</v>
      </c>
      <c r="J1492" s="1" t="str">
        <f>"20/20"</f>
        <v>20/20</v>
      </c>
      <c r="K1492" s="1" t="str">
        <f>"2026-07-29 13:18:03"</f>
        <v>2026-07-29 13:18:03</v>
      </c>
      <c r="L1492" s="1" t="str">
        <f>"2021-10-18 11:50:27"</f>
        <v>2021-10-18 11:50:27</v>
      </c>
      <c r="M1492" s="1" t="s">
        <v>3</v>
      </c>
      <c r="N1492" s="1" t="s">
        <v>38</v>
      </c>
      <c r="O1492" s="1" t="s">
        <v>46</v>
      </c>
    </row>
    <row r="1493" spans="2:15" x14ac:dyDescent="0.3">
      <c r="B1493" s="1" t="s">
        <v>24</v>
      </c>
      <c r="C1493" s="1" t="str">
        <f>"5-1차"</f>
        <v>5-1차</v>
      </c>
      <c r="D1493" s="1" t="str">
        <f>"0328R9915M"</f>
        <v>0328R9915M</v>
      </c>
      <c r="E1493" s="1" t="s">
        <v>10</v>
      </c>
      <c r="F1493" s="1" t="str">
        <f>"fde2:104:0:159:0:0:0:2"</f>
        <v>fde2:104:0:159:0:0:0:2</v>
      </c>
      <c r="G1493" s="1" t="str">
        <f>"0328R991"</f>
        <v>0328R991</v>
      </c>
      <c r="H1493" s="1" t="str">
        <f>"대동간 28L7"</f>
        <v>대동간 28L7</v>
      </c>
      <c r="I1493" s="1" t="s">
        <v>15</v>
      </c>
      <c r="J1493" s="1" t="str">
        <f>"79/79"</f>
        <v>79/79</v>
      </c>
      <c r="K1493" s="1" t="str">
        <f>"2026-07-29 14:20:18"</f>
        <v>2026-07-29 14:20:18</v>
      </c>
      <c r="L1493" s="1" t="str">
        <f>"2022-10-17 12:30:02"</f>
        <v>2022-10-17 12:30:02</v>
      </c>
      <c r="M1493" s="1" t="s">
        <v>42</v>
      </c>
      <c r="N1493" s="1" t="s">
        <v>38</v>
      </c>
      <c r="O1493" s="1" t="s">
        <v>46</v>
      </c>
    </row>
    <row r="1494" spans="2:15" x14ac:dyDescent="0.3">
      <c r="B1494" s="1" t="s">
        <v>24</v>
      </c>
      <c r="C1494" s="1" t="str">
        <f>"3차"</f>
        <v>3차</v>
      </c>
      <c r="D1494" s="1" t="str">
        <f>"0328W88239"</f>
        <v>0328W88239</v>
      </c>
      <c r="E1494" s="1" t="s">
        <v>10</v>
      </c>
      <c r="F1494" s="1" t="str">
        <f>"10.10.3.18"</f>
        <v>10.10.3.18</v>
      </c>
      <c r="G1494" s="1" t="str">
        <f>"0328W882"</f>
        <v>0328W882</v>
      </c>
      <c r="H1494" s="1" t="str">
        <f>"신중간 31"</f>
        <v>신중간 31</v>
      </c>
      <c r="I1494" s="1" t="s">
        <v>8</v>
      </c>
      <c r="J1494" s="1" t="str">
        <f>"63/65"</f>
        <v>63/65</v>
      </c>
      <c r="K1494" s="1" t="str">
        <f t="shared" ref="K1494:K1499" si="86">"2026-07-29 13:18:03"</f>
        <v>2026-07-29 13:18:03</v>
      </c>
      <c r="L1494" s="1" t="str">
        <f>"2018-03-09 16:49:58"</f>
        <v>2018-03-09 16:49:58</v>
      </c>
      <c r="M1494" s="1" t="s">
        <v>1</v>
      </c>
      <c r="N1494" s="1" t="s">
        <v>38</v>
      </c>
      <c r="O1494" s="1" t="s">
        <v>46</v>
      </c>
    </row>
    <row r="1495" spans="2:15" x14ac:dyDescent="0.3">
      <c r="B1495" s="1" t="s">
        <v>24</v>
      </c>
      <c r="C1495" s="1" t="str">
        <f>"3차"</f>
        <v>3차</v>
      </c>
      <c r="D1495" s="1" t="str">
        <f>"0328W89239"</f>
        <v>0328W89239</v>
      </c>
      <c r="E1495" s="1" t="s">
        <v>10</v>
      </c>
      <c r="F1495" s="1" t="str">
        <f>"10.10.21.42"</f>
        <v>10.10.21.42</v>
      </c>
      <c r="G1495" s="1" t="str">
        <f>"0328W892"</f>
        <v>0328W892</v>
      </c>
      <c r="H1495" s="1" t="str">
        <f>"신중간 32"</f>
        <v>신중간 32</v>
      </c>
      <c r="I1495" s="1" t="s">
        <v>8</v>
      </c>
      <c r="J1495" s="1" t="str">
        <f>"33/33"</f>
        <v>33/33</v>
      </c>
      <c r="K1495" s="1" t="str">
        <f t="shared" si="86"/>
        <v>2026-07-29 13:18:03</v>
      </c>
      <c r="L1495" s="1" t="str">
        <f>"2018-03-09 17:19:28"</f>
        <v>2018-03-09 17:19:28</v>
      </c>
      <c r="M1495" s="1" t="s">
        <v>1</v>
      </c>
      <c r="N1495" s="1" t="s">
        <v>38</v>
      </c>
      <c r="O1495" s="1" t="s">
        <v>46</v>
      </c>
    </row>
    <row r="1496" spans="2:15" x14ac:dyDescent="0.3">
      <c r="B1496" s="1" t="s">
        <v>24</v>
      </c>
      <c r="C1496" s="1" t="str">
        <f>"4차"</f>
        <v>4차</v>
      </c>
      <c r="D1496" s="1" t="str">
        <f>"0328W93239"</f>
        <v>0328W93239</v>
      </c>
      <c r="E1496" s="1" t="s">
        <v>10</v>
      </c>
      <c r="F1496" s="1" t="str">
        <f>"10.12.130.176"</f>
        <v>10.12.130.176</v>
      </c>
      <c r="G1496" s="1" t="str">
        <f>"0328W932"</f>
        <v>0328W932</v>
      </c>
      <c r="H1496" s="1" t="str">
        <f>"신중간 29L6"</f>
        <v>신중간 29L6</v>
      </c>
      <c r="I1496" s="1" t="s">
        <v>8</v>
      </c>
      <c r="J1496" s="1" t="str">
        <f>"11/13"</f>
        <v>11/13</v>
      </c>
      <c r="K1496" s="1" t="str">
        <f t="shared" si="86"/>
        <v>2026-07-29 13:18:03</v>
      </c>
      <c r="L1496" s="1" t="str">
        <f>"2025-07-28 16:04:36"</f>
        <v>2025-07-28 16:04:36</v>
      </c>
      <c r="M1496" s="1" t="s">
        <v>0</v>
      </c>
      <c r="N1496" s="1" t="s">
        <v>38</v>
      </c>
      <c r="O1496" s="1" t="s">
        <v>46</v>
      </c>
    </row>
    <row r="1497" spans="2:15" x14ac:dyDescent="0.3">
      <c r="B1497" s="1" t="s">
        <v>24</v>
      </c>
      <c r="C1497" s="1" t="str">
        <f>"3차"</f>
        <v>3차</v>
      </c>
      <c r="D1497" s="1" t="str">
        <f>"0328W94239"</f>
        <v>0328W94239</v>
      </c>
      <c r="E1497" s="1" t="s">
        <v>10</v>
      </c>
      <c r="F1497" s="1" t="str">
        <f>"10.10.5.42"</f>
        <v>10.10.5.42</v>
      </c>
      <c r="G1497" s="1" t="str">
        <f>"0328W942"</f>
        <v>0328W942</v>
      </c>
      <c r="H1497" s="1" t="str">
        <f>"신중간 29L4"</f>
        <v>신중간 29L4</v>
      </c>
      <c r="I1497" s="1" t="s">
        <v>8</v>
      </c>
      <c r="J1497" s="1" t="str">
        <f>"16/16"</f>
        <v>16/16</v>
      </c>
      <c r="K1497" s="1" t="str">
        <f t="shared" si="86"/>
        <v>2026-07-29 13:18:03</v>
      </c>
      <c r="L1497" s="1" t="str">
        <f>"2018-02-09 11:54:54"</f>
        <v>2018-02-09 11:54:54</v>
      </c>
      <c r="M1497" s="1" t="s">
        <v>1</v>
      </c>
      <c r="N1497" s="1" t="s">
        <v>38</v>
      </c>
      <c r="O1497" s="1" t="s">
        <v>46</v>
      </c>
    </row>
    <row r="1498" spans="2:15" x14ac:dyDescent="0.3">
      <c r="B1498" s="1" t="s">
        <v>24</v>
      </c>
      <c r="C1498" s="1" t="str">
        <f>"3차"</f>
        <v>3차</v>
      </c>
      <c r="D1498" s="1" t="str">
        <f>"0328W94339"</f>
        <v>0328W94339</v>
      </c>
      <c r="E1498" s="1" t="s">
        <v>10</v>
      </c>
      <c r="F1498" s="1" t="str">
        <f>"10.10.7.170"</f>
        <v>10.10.7.170</v>
      </c>
      <c r="G1498" s="1" t="str">
        <f>"0328W943"</f>
        <v>0328W943</v>
      </c>
      <c r="H1498" s="1" t="str">
        <f>"신중간 29L5"</f>
        <v>신중간 29L5</v>
      </c>
      <c r="I1498" s="1" t="s">
        <v>8</v>
      </c>
      <c r="J1498" s="1" t="str">
        <f>"35/35"</f>
        <v>35/35</v>
      </c>
      <c r="K1498" s="1" t="str">
        <f t="shared" si="86"/>
        <v>2026-07-29 13:18:03</v>
      </c>
      <c r="L1498" s="1" t="str">
        <f>"2018-02-09 11:50:40"</f>
        <v>2018-02-09 11:50:40</v>
      </c>
      <c r="M1498" s="1" t="s">
        <v>1</v>
      </c>
      <c r="N1498" s="1" t="s">
        <v>38</v>
      </c>
      <c r="O1498" s="1" t="s">
        <v>46</v>
      </c>
    </row>
    <row r="1499" spans="2:15" x14ac:dyDescent="0.3">
      <c r="B1499" s="1" t="s">
        <v>24</v>
      </c>
      <c r="C1499" s="1" t="str">
        <f>"3차"</f>
        <v>3차</v>
      </c>
      <c r="D1499" s="1" t="str">
        <f>"0328W95139"</f>
        <v>0328W95139</v>
      </c>
      <c r="E1499" s="1" t="s">
        <v>10</v>
      </c>
      <c r="F1499" s="1" t="str">
        <f>"10.10.7.194"</f>
        <v>10.10.7.194</v>
      </c>
      <c r="G1499" s="1" t="str">
        <f>"0328W951"</f>
        <v>0328W951</v>
      </c>
      <c r="H1499" s="1" t="str">
        <f>"신중간 29L1"</f>
        <v>신중간 29L1</v>
      </c>
      <c r="I1499" s="1" t="s">
        <v>8</v>
      </c>
      <c r="J1499" s="1" t="str">
        <f>"38/38"</f>
        <v>38/38</v>
      </c>
      <c r="K1499" s="1" t="str">
        <f t="shared" si="86"/>
        <v>2026-07-29 13:18:03</v>
      </c>
      <c r="L1499" s="1" t="str">
        <f>"2018-05-11 18:10:17"</f>
        <v>2018-05-11 18:10:17</v>
      </c>
      <c r="M1499" s="1" t="s">
        <v>1</v>
      </c>
      <c r="N1499" s="1" t="s">
        <v>38</v>
      </c>
      <c r="O1499" s="1" t="s">
        <v>46</v>
      </c>
    </row>
    <row r="1500" spans="2:15" x14ac:dyDescent="0.3">
      <c r="B1500" s="1" t="s">
        <v>24</v>
      </c>
      <c r="C1500" s="1" t="str">
        <f>"4차"</f>
        <v>4차</v>
      </c>
      <c r="D1500" s="1" t="str">
        <f>"0328W95239"</f>
        <v>0328W95239</v>
      </c>
      <c r="E1500" s="1" t="s">
        <v>14</v>
      </c>
      <c r="F1500" s="1" t="str">
        <f>"10.10.7.186"</f>
        <v>10.10.7.186</v>
      </c>
      <c r="G1500" s="1" t="str">
        <f>"0328W952"</f>
        <v>0328W952</v>
      </c>
      <c r="H1500" s="1" t="str">
        <f>"신중간 29L2"</f>
        <v>신중간 29L2</v>
      </c>
      <c r="I1500" s="1" t="s">
        <v>8</v>
      </c>
      <c r="J1500" s="1" t="str">
        <f>"0/0"</f>
        <v>0/0</v>
      </c>
      <c r="K1500" s="1" t="str">
        <f>"2026-07-29 13:18:02"</f>
        <v>2026-07-29 13:18:02</v>
      </c>
      <c r="L1500" s="1" t="str">
        <f>"2018-02-08 16:19:41"</f>
        <v>2018-02-08 16:19:41</v>
      </c>
      <c r="M1500" s="1" t="s">
        <v>1</v>
      </c>
      <c r="N1500" s="1" t="s">
        <v>38</v>
      </c>
      <c r="O1500" s="1" t="s">
        <v>44</v>
      </c>
    </row>
    <row r="1501" spans="2:15" x14ac:dyDescent="0.3">
      <c r="B1501" s="1" t="s">
        <v>24</v>
      </c>
      <c r="C1501" s="1" t="str">
        <f>"3차"</f>
        <v>3차</v>
      </c>
      <c r="D1501" s="1" t="str">
        <f>"0328W95339"</f>
        <v>0328W95339</v>
      </c>
      <c r="E1501" s="1" t="s">
        <v>10</v>
      </c>
      <c r="F1501" s="1" t="str">
        <f>"10.10.7.178"</f>
        <v>10.10.7.178</v>
      </c>
      <c r="G1501" s="1" t="str">
        <f>"0328W953"</f>
        <v>0328W953</v>
      </c>
      <c r="H1501" s="1" t="str">
        <f>"신중간 29L3"</f>
        <v>신중간 29L3</v>
      </c>
      <c r="I1501" s="1" t="s">
        <v>8</v>
      </c>
      <c r="J1501" s="1" t="str">
        <f>"26/26"</f>
        <v>26/26</v>
      </c>
      <c r="K1501" s="1" t="str">
        <f>"2026-07-29 13:18:03"</f>
        <v>2026-07-29 13:18:03</v>
      </c>
      <c r="L1501" s="1" t="str">
        <f>"2018-02-08 16:17:11"</f>
        <v>2018-02-08 16:17:11</v>
      </c>
      <c r="M1501" s="1" t="s">
        <v>1</v>
      </c>
      <c r="N1501" s="1" t="s">
        <v>38</v>
      </c>
      <c r="O1501" s="1" t="s">
        <v>46</v>
      </c>
    </row>
    <row r="1502" spans="2:15" x14ac:dyDescent="0.3">
      <c r="B1502" s="1" t="s">
        <v>24</v>
      </c>
      <c r="C1502" s="1" t="str">
        <f>"4차"</f>
        <v>4차</v>
      </c>
      <c r="D1502" s="1" t="str">
        <f>"0328W96144"</f>
        <v>0328W96144</v>
      </c>
      <c r="E1502" s="1" t="s">
        <v>10</v>
      </c>
      <c r="F1502" s="1" t="str">
        <f>"10.10.50.58"</f>
        <v>10.10.50.58</v>
      </c>
      <c r="G1502" s="1" t="str">
        <f>"0328W961"</f>
        <v>0328W961</v>
      </c>
      <c r="H1502" s="1" t="str">
        <f>"신중간 28"</f>
        <v>신중간 28</v>
      </c>
      <c r="I1502" s="1" t="s">
        <v>8</v>
      </c>
      <c r="J1502" s="1" t="str">
        <f>"11/13"</f>
        <v>11/13</v>
      </c>
      <c r="K1502" s="1" t="str">
        <f>"2026-07-29 13:18:03"</f>
        <v>2026-07-29 13:18:03</v>
      </c>
      <c r="L1502" s="1" t="str">
        <f>"2019-12-17 15:37:23"</f>
        <v>2019-12-17 15:37:23</v>
      </c>
      <c r="M1502" s="1" t="s">
        <v>1</v>
      </c>
      <c r="N1502" s="1" t="s">
        <v>38</v>
      </c>
      <c r="O1502" s="1" t="s">
        <v>46</v>
      </c>
    </row>
    <row r="1503" spans="2:15" x14ac:dyDescent="0.3">
      <c r="B1503" s="1" t="s">
        <v>24</v>
      </c>
      <c r="C1503" s="1" t="str">
        <f>"3차"</f>
        <v>3차</v>
      </c>
      <c r="D1503" s="1" t="str">
        <f>"0328W99239"</f>
        <v>0328W99239</v>
      </c>
      <c r="E1503" s="1" t="s">
        <v>10</v>
      </c>
      <c r="F1503" s="1" t="str">
        <f>"10.10.7.130"</f>
        <v>10.10.7.130</v>
      </c>
      <c r="G1503" s="1" t="str">
        <f>"0328W992"</f>
        <v>0328W992</v>
      </c>
      <c r="H1503" s="1" t="str">
        <f>"신중간 33R1"</f>
        <v>신중간 33R1</v>
      </c>
      <c r="I1503" s="1" t="s">
        <v>8</v>
      </c>
      <c r="J1503" s="1" t="str">
        <f>"48/48"</f>
        <v>48/48</v>
      </c>
      <c r="K1503" s="1" t="str">
        <f>"2026-07-29 13:18:03"</f>
        <v>2026-07-29 13:18:03</v>
      </c>
      <c r="L1503" s="1" t="str">
        <f>"2018-03-09 17:15:57"</f>
        <v>2018-03-09 17:15:57</v>
      </c>
      <c r="M1503" s="1" t="s">
        <v>1</v>
      </c>
      <c r="N1503" s="1" t="s">
        <v>38</v>
      </c>
      <c r="O1503" s="1" t="s">
        <v>46</v>
      </c>
    </row>
    <row r="1504" spans="2:15" x14ac:dyDescent="0.3">
      <c r="B1504" s="1" t="s">
        <v>24</v>
      </c>
      <c r="C1504" s="1" t="str">
        <f>"3차"</f>
        <v>3차</v>
      </c>
      <c r="D1504" s="1" t="str">
        <f>"0328X03139"</f>
        <v>0328X03139</v>
      </c>
      <c r="E1504" s="1" t="s">
        <v>10</v>
      </c>
      <c r="F1504" s="1" t="str">
        <f>"10.10.5.58"</f>
        <v>10.10.5.58</v>
      </c>
      <c r="G1504" s="1" t="str">
        <f>"0328X031"</f>
        <v>0328X031</v>
      </c>
      <c r="H1504" s="1" t="str">
        <f>"신중간 29L3L3R1"</f>
        <v>신중간 29L3L3R1</v>
      </c>
      <c r="I1504" s="1" t="s">
        <v>8</v>
      </c>
      <c r="J1504" s="1" t="str">
        <f>"20/20"</f>
        <v>20/20</v>
      </c>
      <c r="K1504" s="1" t="str">
        <f>"2026-07-29 13:18:03"</f>
        <v>2026-07-29 13:18:03</v>
      </c>
      <c r="L1504" s="1" t="str">
        <f>"2018-02-09 11:33:40"</f>
        <v>2018-02-09 11:33:40</v>
      </c>
      <c r="M1504" s="1" t="s">
        <v>1</v>
      </c>
      <c r="N1504" s="1" t="s">
        <v>38</v>
      </c>
      <c r="O1504" s="1" t="s">
        <v>46</v>
      </c>
    </row>
    <row r="1505" spans="2:15" x14ac:dyDescent="0.3">
      <c r="B1505" s="1" t="s">
        <v>24</v>
      </c>
      <c r="C1505" s="1" t="str">
        <f>"3차"</f>
        <v>3차</v>
      </c>
      <c r="D1505" s="1" t="str">
        <f>"0328X04139"</f>
        <v>0328X04139</v>
      </c>
      <c r="E1505" s="1" t="s">
        <v>10</v>
      </c>
      <c r="F1505" s="1" t="str">
        <f>"10.10.5.74"</f>
        <v>10.10.5.74</v>
      </c>
      <c r="G1505" s="1" t="str">
        <f>"0328X041"</f>
        <v>0328X041</v>
      </c>
      <c r="H1505" s="1" t="str">
        <f>"신중간 29L3L3"</f>
        <v>신중간 29L3L3</v>
      </c>
      <c r="I1505" s="1" t="s">
        <v>8</v>
      </c>
      <c r="J1505" s="1" t="str">
        <f>"13/13"</f>
        <v>13/13</v>
      </c>
      <c r="K1505" s="1" t="str">
        <f>"2026-07-29 13:18:03"</f>
        <v>2026-07-29 13:18:03</v>
      </c>
      <c r="L1505" s="1" t="str">
        <f>"2018-02-09 11:31:25"</f>
        <v>2018-02-09 11:31:25</v>
      </c>
      <c r="M1505" s="1" t="s">
        <v>1</v>
      </c>
      <c r="N1505" s="1" t="s">
        <v>38</v>
      </c>
      <c r="O1505" s="1" t="s">
        <v>46</v>
      </c>
    </row>
    <row r="1506" spans="2:15" x14ac:dyDescent="0.3">
      <c r="B1506" s="1" t="s">
        <v>24</v>
      </c>
      <c r="C1506" s="1" t="str">
        <f>"3차"</f>
        <v>3차</v>
      </c>
      <c r="D1506" s="1" t="str">
        <f>"0328X05139"</f>
        <v>0328X05139</v>
      </c>
      <c r="E1506" s="1" t="s">
        <v>10</v>
      </c>
      <c r="F1506" s="1" t="str">
        <f>"10.10.6.234"</f>
        <v>10.10.6.234</v>
      </c>
      <c r="G1506" s="1" t="str">
        <f>"0328X051"</f>
        <v>0328X051</v>
      </c>
      <c r="H1506" s="1" t="str">
        <f>"신중간 29L3L2"</f>
        <v>신중간 29L3L2</v>
      </c>
      <c r="I1506" s="1" t="s">
        <v>8</v>
      </c>
      <c r="J1506" s="1" t="str">
        <f>"35/37"</f>
        <v>35/37</v>
      </c>
      <c r="K1506" s="1" t="str">
        <f>"2026-07-29 13:18:02"</f>
        <v>2026-07-29 13:18:02</v>
      </c>
      <c r="L1506" s="1" t="str">
        <f>"2018-02-09 10:57:24"</f>
        <v>2018-02-09 10:57:24</v>
      </c>
      <c r="M1506" s="1" t="s">
        <v>1</v>
      </c>
      <c r="N1506" s="1" t="s">
        <v>38</v>
      </c>
      <c r="O1506" s="1" t="s">
        <v>46</v>
      </c>
    </row>
    <row r="1507" spans="2:15" x14ac:dyDescent="0.3">
      <c r="B1507" s="1" t="s">
        <v>24</v>
      </c>
      <c r="C1507" s="1" t="str">
        <f>"4차"</f>
        <v>4차</v>
      </c>
      <c r="D1507" s="1" t="str">
        <f>"0328X06139"</f>
        <v>0328X06139</v>
      </c>
      <c r="E1507" s="1" t="s">
        <v>10</v>
      </c>
      <c r="F1507" s="1" t="str">
        <f>"10.10.22.226"</f>
        <v>10.10.22.226</v>
      </c>
      <c r="G1507" s="1" t="str">
        <f>"0328X061"</f>
        <v>0328X061</v>
      </c>
      <c r="H1507" s="1" t="str">
        <f>"신중간 27"</f>
        <v>신중간 27</v>
      </c>
      <c r="I1507" s="1" t="s">
        <v>8</v>
      </c>
      <c r="J1507" s="1" t="str">
        <f>"36/37"</f>
        <v>36/37</v>
      </c>
      <c r="K1507" s="1" t="str">
        <f>"2026-07-29 13:18:02"</f>
        <v>2026-07-29 13:18:02</v>
      </c>
      <c r="L1507" s="1" t="str">
        <f>"2018-01-31 15:00:11"</f>
        <v>2018-01-31 15:00:11</v>
      </c>
      <c r="M1507" s="1" t="s">
        <v>1</v>
      </c>
      <c r="N1507" s="1" t="s">
        <v>38</v>
      </c>
      <c r="O1507" s="1" t="s">
        <v>46</v>
      </c>
    </row>
    <row r="1508" spans="2:15" x14ac:dyDescent="0.3">
      <c r="B1508" s="1" t="s">
        <v>24</v>
      </c>
      <c r="C1508" s="1" t="str">
        <f>"4차"</f>
        <v>4차</v>
      </c>
      <c r="D1508" s="1" t="str">
        <f>"0328X14339"</f>
        <v>0328X14339</v>
      </c>
      <c r="E1508" s="1" t="s">
        <v>10</v>
      </c>
      <c r="F1508" s="1" t="str">
        <f>"10.10.4.82"</f>
        <v>10.10.4.82</v>
      </c>
      <c r="G1508" s="1" t="str">
        <f>"0328X143"</f>
        <v>0328X143</v>
      </c>
      <c r="H1508" s="1" t="str">
        <f>"신중간 29L3L5"</f>
        <v>신중간 29L3L5</v>
      </c>
      <c r="I1508" s="1" t="s">
        <v>8</v>
      </c>
      <c r="J1508" s="1" t="str">
        <f>"17/17"</f>
        <v>17/17</v>
      </c>
      <c r="K1508" s="1" t="str">
        <f>"2026-07-29 13:18:03"</f>
        <v>2026-07-29 13:18:03</v>
      </c>
      <c r="L1508" s="1" t="str">
        <f>"2018-02-26 09:54:24"</f>
        <v>2018-02-26 09:54:24</v>
      </c>
      <c r="M1508" s="1" t="s">
        <v>1</v>
      </c>
      <c r="N1508" s="1" t="s">
        <v>38</v>
      </c>
      <c r="O1508" s="1" t="s">
        <v>46</v>
      </c>
    </row>
    <row r="1509" spans="2:15" x14ac:dyDescent="0.3">
      <c r="B1509" s="1" t="s">
        <v>24</v>
      </c>
      <c r="C1509" s="1" t="str">
        <f>"3차"</f>
        <v>3차</v>
      </c>
      <c r="D1509" s="1" t="str">
        <f>"0328X15239"</f>
        <v>0328X15239</v>
      </c>
      <c r="E1509" s="1" t="s">
        <v>10</v>
      </c>
      <c r="F1509" s="1" t="str">
        <f>"10.10.21.202"</f>
        <v>10.10.21.202</v>
      </c>
      <c r="G1509" s="1" t="str">
        <f>"0328X152"</f>
        <v>0328X152</v>
      </c>
      <c r="H1509" s="1" t="str">
        <f>"중화간 4R4L4"</f>
        <v>중화간 4R4L4</v>
      </c>
      <c r="I1509" s="1" t="s">
        <v>8</v>
      </c>
      <c r="J1509" s="1" t="str">
        <f>"80/85"</f>
        <v>80/85</v>
      </c>
      <c r="K1509" s="1" t="str">
        <f>"2026-07-29 13:18:02"</f>
        <v>2026-07-29 13:18:02</v>
      </c>
      <c r="L1509" s="1" t="str">
        <f>"2018-01-24 13:36:11"</f>
        <v>2018-01-24 13:36:11</v>
      </c>
      <c r="M1509" s="1" t="s">
        <v>1</v>
      </c>
      <c r="N1509" s="1" t="s">
        <v>38</v>
      </c>
      <c r="O1509" s="1" t="s">
        <v>46</v>
      </c>
    </row>
    <row r="1510" spans="2:15" x14ac:dyDescent="0.3">
      <c r="B1510" s="1" t="s">
        <v>24</v>
      </c>
      <c r="C1510" s="1" t="str">
        <f>"3차"</f>
        <v>3차</v>
      </c>
      <c r="D1510" s="1" t="str">
        <f>"0328X16139"</f>
        <v>0328X16139</v>
      </c>
      <c r="E1510" s="1" t="s">
        <v>10</v>
      </c>
      <c r="F1510" s="1" t="str">
        <f>"10.10.22.218"</f>
        <v>10.10.22.218</v>
      </c>
      <c r="G1510" s="1" t="str">
        <f>"0328X161"</f>
        <v>0328X161</v>
      </c>
      <c r="H1510" s="1" t="str">
        <f>"신중간 26"</f>
        <v>신중간 26</v>
      </c>
      <c r="I1510" s="1" t="s">
        <v>8</v>
      </c>
      <c r="J1510" s="1" t="str">
        <f>"32/33"</f>
        <v>32/33</v>
      </c>
      <c r="K1510" s="1" t="str">
        <f>"2026-07-29 13:18:03"</f>
        <v>2026-07-29 13:18:03</v>
      </c>
      <c r="L1510" s="1" t="str">
        <f>"2018-03-27 16:21:28"</f>
        <v>2018-03-27 16:21:28</v>
      </c>
      <c r="M1510" s="1" t="s">
        <v>1</v>
      </c>
      <c r="N1510" s="1" t="s">
        <v>38</v>
      </c>
      <c r="O1510" s="1" t="s">
        <v>46</v>
      </c>
    </row>
    <row r="1511" spans="2:15" x14ac:dyDescent="0.3">
      <c r="B1511" s="1" t="s">
        <v>24</v>
      </c>
      <c r="C1511" s="1" t="str">
        <f>"3차"</f>
        <v>3차</v>
      </c>
      <c r="D1511" s="1" t="str">
        <f>"0328X16239"</f>
        <v>0328X16239</v>
      </c>
      <c r="E1511" s="1" t="s">
        <v>10</v>
      </c>
      <c r="F1511" s="1" t="str">
        <f>"10.10.22.146"</f>
        <v>10.10.22.146</v>
      </c>
      <c r="G1511" s="1" t="str">
        <f>"0328X162"</f>
        <v>0328X162</v>
      </c>
      <c r="H1511" s="1" t="str">
        <f>"신중간 25"</f>
        <v>신중간 25</v>
      </c>
      <c r="I1511" s="1" t="s">
        <v>8</v>
      </c>
      <c r="J1511" s="1" t="str">
        <f>"46/46"</f>
        <v>46/46</v>
      </c>
      <c r="K1511" s="1" t="str">
        <f>"2026-07-29 13:18:02"</f>
        <v>2026-07-29 13:18:02</v>
      </c>
      <c r="L1511" s="1" t="str">
        <f>"2018-01-31 15:41:43"</f>
        <v>2018-01-31 15:41:43</v>
      </c>
      <c r="M1511" s="1" t="s">
        <v>1</v>
      </c>
      <c r="N1511" s="1" t="s">
        <v>38</v>
      </c>
      <c r="O1511" s="1" t="s">
        <v>46</v>
      </c>
    </row>
    <row r="1512" spans="2:15" x14ac:dyDescent="0.3">
      <c r="B1512" s="1" t="s">
        <v>24</v>
      </c>
      <c r="C1512" s="1" t="str">
        <f>"3차"</f>
        <v>3차</v>
      </c>
      <c r="D1512" s="1" t="str">
        <f>"0328X16539"</f>
        <v>0328X16539</v>
      </c>
      <c r="E1512" s="1" t="s">
        <v>10</v>
      </c>
      <c r="F1512" s="1" t="str">
        <f>"10.12.128.67"</f>
        <v>10.12.128.67</v>
      </c>
      <c r="G1512" s="1" t="str">
        <f>"0328X165"</f>
        <v>0328X165</v>
      </c>
      <c r="H1512" s="1" t="str">
        <f>"중화간 4R4L5"</f>
        <v>중화간 4R4L5</v>
      </c>
      <c r="I1512" s="1" t="s">
        <v>8</v>
      </c>
      <c r="J1512" s="1" t="str">
        <f>"13/24"</f>
        <v>13/24</v>
      </c>
      <c r="K1512" s="1" t="str">
        <f>"2026-07-29 13:18:03"</f>
        <v>2026-07-29 13:18:03</v>
      </c>
      <c r="L1512" s="1" t="str">
        <f>"2018-03-25 08:11:54"</f>
        <v>2018-03-25 08:11:54</v>
      </c>
      <c r="M1512" s="1" t="s">
        <v>0</v>
      </c>
      <c r="N1512" s="1" t="s">
        <v>38</v>
      </c>
      <c r="O1512" s="1" t="s">
        <v>46</v>
      </c>
    </row>
    <row r="1513" spans="2:15" x14ac:dyDescent="0.3">
      <c r="B1513" s="1" t="s">
        <v>24</v>
      </c>
      <c r="C1513" s="1" t="str">
        <f>"3차"</f>
        <v>3차</v>
      </c>
      <c r="D1513" s="1" t="str">
        <f>"0328X17239"</f>
        <v>0328X17239</v>
      </c>
      <c r="E1513" s="1" t="s">
        <v>10</v>
      </c>
      <c r="F1513" s="1" t="str">
        <f>"10.10.22.138"</f>
        <v>10.10.22.138</v>
      </c>
      <c r="G1513" s="1" t="str">
        <f>"0328X172"</f>
        <v>0328X172</v>
      </c>
      <c r="H1513" s="1" t="str">
        <f>"신중간 24"</f>
        <v>신중간 24</v>
      </c>
      <c r="I1513" s="1" t="s">
        <v>8</v>
      </c>
      <c r="J1513" s="1" t="str">
        <f>"11/11"</f>
        <v>11/11</v>
      </c>
      <c r="K1513" s="1" t="str">
        <f>"2026-07-29 13:18:03"</f>
        <v>2026-07-29 13:18:03</v>
      </c>
      <c r="L1513" s="1" t="str">
        <f>"2018-01-31 15:35:27"</f>
        <v>2018-01-31 15:35:27</v>
      </c>
      <c r="M1513" s="1" t="s">
        <v>1</v>
      </c>
      <c r="N1513" s="1" t="s">
        <v>38</v>
      </c>
      <c r="O1513" s="1" t="s">
        <v>46</v>
      </c>
    </row>
    <row r="1514" spans="2:15" x14ac:dyDescent="0.3">
      <c r="B1514" s="1" t="s">
        <v>24</v>
      </c>
      <c r="C1514" s="1" t="str">
        <f>"4차"</f>
        <v>4차</v>
      </c>
      <c r="D1514" s="1" t="str">
        <f>"0328X18139"</f>
        <v>0328X18139</v>
      </c>
      <c r="E1514" s="1" t="s">
        <v>10</v>
      </c>
      <c r="F1514" s="1" t="str">
        <f>"10.10.6.98"</f>
        <v>10.10.6.98</v>
      </c>
      <c r="G1514" s="1" t="str">
        <f>"0328X181"</f>
        <v>0328X181</v>
      </c>
      <c r="H1514" s="1" t="str">
        <f>"신중간 24R3"</f>
        <v>신중간 24R3</v>
      </c>
      <c r="I1514" s="1" t="s">
        <v>8</v>
      </c>
      <c r="J1514" s="1" t="str">
        <f>"80/84"</f>
        <v>80/84</v>
      </c>
      <c r="K1514" s="1" t="str">
        <f>"2026-07-29 13:18:02"</f>
        <v>2026-07-29 13:18:02</v>
      </c>
      <c r="L1514" s="1" t="str">
        <f>"2018-02-26 14:18:11"</f>
        <v>2018-02-26 14:18:11</v>
      </c>
      <c r="M1514" s="1" t="s">
        <v>1</v>
      </c>
      <c r="N1514" s="1" t="s">
        <v>38</v>
      </c>
      <c r="O1514" s="1" t="s">
        <v>46</v>
      </c>
    </row>
    <row r="1515" spans="2:15" x14ac:dyDescent="0.3">
      <c r="B1515" s="1" t="s">
        <v>24</v>
      </c>
      <c r="C1515" s="1" t="str">
        <f>"3차"</f>
        <v>3차</v>
      </c>
      <c r="D1515" s="1" t="str">
        <f>"0328X19239"</f>
        <v>0328X19239</v>
      </c>
      <c r="E1515" s="1" t="s">
        <v>10</v>
      </c>
      <c r="F1515" s="1" t="str">
        <f>"10.10.8.26"</f>
        <v>10.10.8.26</v>
      </c>
      <c r="G1515" s="1" t="str">
        <f>"0328X192"</f>
        <v>0328X192</v>
      </c>
      <c r="H1515" s="1" t="str">
        <f>"신중간 24R4"</f>
        <v>신중간 24R4</v>
      </c>
      <c r="I1515" s="1" t="s">
        <v>8</v>
      </c>
      <c r="J1515" s="1" t="str">
        <f>"55/55"</f>
        <v>55/55</v>
      </c>
      <c r="K1515" s="1" t="str">
        <f>"2026-07-29 13:18:02"</f>
        <v>2026-07-29 13:18:02</v>
      </c>
      <c r="L1515" s="1" t="str">
        <f>"2018-02-23 11:59:10"</f>
        <v>2018-02-23 11:59:10</v>
      </c>
      <c r="M1515" s="1" t="s">
        <v>1</v>
      </c>
      <c r="N1515" s="1" t="s">
        <v>38</v>
      </c>
      <c r="O1515" s="1" t="s">
        <v>46</v>
      </c>
    </row>
    <row r="1516" spans="2:15" x14ac:dyDescent="0.3">
      <c r="B1516" s="1" t="s">
        <v>24</v>
      </c>
      <c r="C1516" s="1" t="str">
        <f>"3차"</f>
        <v>3차</v>
      </c>
      <c r="D1516" s="1" t="str">
        <f>"0328X23130"</f>
        <v>0328X23130</v>
      </c>
      <c r="E1516" s="1" t="s">
        <v>10</v>
      </c>
      <c r="F1516" s="1" t="str">
        <f>"10.10.21.130"</f>
        <v>10.10.21.130</v>
      </c>
      <c r="G1516" s="1" t="str">
        <f>"0328X231"</f>
        <v>0328X231</v>
      </c>
      <c r="H1516" s="1" t="str">
        <f>"중화간 4R4L1"</f>
        <v>중화간 4R4L1</v>
      </c>
      <c r="I1516" s="1" t="s">
        <v>8</v>
      </c>
      <c r="J1516" s="1" t="str">
        <f>"41/41"</f>
        <v>41/41</v>
      </c>
      <c r="K1516" s="1" t="str">
        <f>"2026-07-29 13:18:03"</f>
        <v>2026-07-29 13:18:03</v>
      </c>
      <c r="L1516" s="1" t="str">
        <f>"2018-01-24 13:33:27"</f>
        <v>2018-01-24 13:33:27</v>
      </c>
      <c r="M1516" s="1" t="s">
        <v>1</v>
      </c>
      <c r="N1516" s="1" t="s">
        <v>38</v>
      </c>
      <c r="O1516" s="1" t="s">
        <v>46</v>
      </c>
    </row>
    <row r="1517" spans="2:15" x14ac:dyDescent="0.3">
      <c r="B1517" s="1" t="s">
        <v>24</v>
      </c>
      <c r="C1517" s="1" t="str">
        <f>"3차"</f>
        <v>3차</v>
      </c>
      <c r="D1517" s="1" t="str">
        <f>"0328X24131"</f>
        <v>0328X24131</v>
      </c>
      <c r="E1517" s="1" t="s">
        <v>10</v>
      </c>
      <c r="F1517" s="1" t="str">
        <f>"10.10.21.131"</f>
        <v>10.10.21.131</v>
      </c>
      <c r="G1517" s="1" t="str">
        <f>"0328X241"</f>
        <v>0328X241</v>
      </c>
      <c r="H1517" s="1" t="str">
        <f>"중화간 4R4L2"</f>
        <v>중화간 4R4L2</v>
      </c>
      <c r="I1517" s="1" t="s">
        <v>8</v>
      </c>
      <c r="J1517" s="1" t="str">
        <f>"68/68"</f>
        <v>68/68</v>
      </c>
      <c r="K1517" s="1" t="str">
        <f>"2026-07-29 13:18:02"</f>
        <v>2026-07-29 13:18:02</v>
      </c>
      <c r="L1517" s="1" t="str">
        <f>"2018-02-08 15:47:15"</f>
        <v>2018-02-08 15:47:15</v>
      </c>
      <c r="M1517" s="1" t="s">
        <v>1</v>
      </c>
      <c r="N1517" s="1" t="s">
        <v>38</v>
      </c>
      <c r="O1517" s="1" t="s">
        <v>46</v>
      </c>
    </row>
    <row r="1518" spans="2:15" x14ac:dyDescent="0.3">
      <c r="B1518" s="1" t="s">
        <v>24</v>
      </c>
      <c r="C1518" s="1" t="str">
        <f>"3차"</f>
        <v>3차</v>
      </c>
      <c r="D1518" s="1" t="str">
        <f>"0328X25139"</f>
        <v>0328X25139</v>
      </c>
      <c r="E1518" s="1" t="s">
        <v>10</v>
      </c>
      <c r="F1518" s="1" t="str">
        <f>"10.10.39.242"</f>
        <v>10.10.39.242</v>
      </c>
      <c r="G1518" s="1" t="str">
        <f>"0328X251"</f>
        <v>0328X251</v>
      </c>
      <c r="H1518" s="1" t="str">
        <f>"중화간 4R4L3"</f>
        <v>중화간 4R4L3</v>
      </c>
      <c r="I1518" s="1" t="s">
        <v>8</v>
      </c>
      <c r="J1518" s="1" t="str">
        <f>"83/83"</f>
        <v>83/83</v>
      </c>
      <c r="K1518" s="1" t="str">
        <f>"2026-07-29 13:18:02"</f>
        <v>2026-07-29 13:18:02</v>
      </c>
      <c r="L1518" s="1" t="str">
        <f>"2021-07-28 16:02:18"</f>
        <v>2021-07-28 16:02:18</v>
      </c>
      <c r="M1518" s="1" t="s">
        <v>1</v>
      </c>
      <c r="N1518" s="1" t="s">
        <v>38</v>
      </c>
      <c r="O1518" s="1" t="s">
        <v>46</v>
      </c>
    </row>
    <row r="1519" spans="2:15" x14ac:dyDescent="0.3">
      <c r="B1519" s="1" t="s">
        <v>24</v>
      </c>
      <c r="C1519" s="1" t="str">
        <f>"4차"</f>
        <v>4차</v>
      </c>
      <c r="D1519" s="1" t="str">
        <f>"0328X27131"</f>
        <v>0328X27131</v>
      </c>
      <c r="E1519" s="1" t="s">
        <v>10</v>
      </c>
      <c r="F1519" s="1" t="str">
        <f>"10.10.22.123"</f>
        <v>10.10.22.123</v>
      </c>
      <c r="G1519" s="1" t="str">
        <f>"0328X271"</f>
        <v>0328X271</v>
      </c>
      <c r="H1519" s="1" t="str">
        <f>"신중간 23"</f>
        <v>신중간 23</v>
      </c>
      <c r="I1519" s="1" t="s">
        <v>8</v>
      </c>
      <c r="J1519" s="1" t="str">
        <f>"64/64"</f>
        <v>64/64</v>
      </c>
      <c r="K1519" s="1" t="str">
        <f>"2026-07-29 13:18:02"</f>
        <v>2026-07-29 13:18:02</v>
      </c>
      <c r="L1519" s="1" t="str">
        <f>"2018-02-09 07:49:24"</f>
        <v>2018-02-09 07:49:24</v>
      </c>
      <c r="M1519" s="1" t="s">
        <v>1</v>
      </c>
      <c r="N1519" s="1" t="s">
        <v>38</v>
      </c>
      <c r="O1519" s="1" t="s">
        <v>46</v>
      </c>
    </row>
    <row r="1520" spans="2:15" x14ac:dyDescent="0.3">
      <c r="B1520" s="1" t="s">
        <v>24</v>
      </c>
      <c r="C1520" s="1" t="str">
        <f>"3차"</f>
        <v>3차</v>
      </c>
      <c r="D1520" s="1" t="str">
        <f>"0328X28139"</f>
        <v>0328X28139</v>
      </c>
      <c r="E1520" s="1" t="s">
        <v>10</v>
      </c>
      <c r="F1520" s="1" t="str">
        <f>"10.10.6.162"</f>
        <v>10.10.6.162</v>
      </c>
      <c r="G1520" s="1" t="str">
        <f>"0328X281"</f>
        <v>0328X281</v>
      </c>
      <c r="H1520" s="1" t="str">
        <f>"신중간 24R3R2"</f>
        <v>신중간 24R3R2</v>
      </c>
      <c r="I1520" s="1" t="s">
        <v>8</v>
      </c>
      <c r="J1520" s="1" t="str">
        <f>"41/42"</f>
        <v>41/42</v>
      </c>
      <c r="K1520" s="1" t="str">
        <f>"2026-07-29 13:18:02"</f>
        <v>2026-07-29 13:18:02</v>
      </c>
      <c r="L1520" s="1" t="str">
        <f>"2018-02-26 14:29:41"</f>
        <v>2018-02-26 14:29:41</v>
      </c>
      <c r="M1520" s="1" t="s">
        <v>1</v>
      </c>
      <c r="N1520" s="1" t="s">
        <v>38</v>
      </c>
      <c r="O1520" s="1" t="s">
        <v>46</v>
      </c>
    </row>
    <row r="1521" spans="2:15" x14ac:dyDescent="0.3">
      <c r="B1521" s="1" t="s">
        <v>24</v>
      </c>
      <c r="C1521" s="1" t="str">
        <f>"3차"</f>
        <v>3차</v>
      </c>
      <c r="D1521" s="1" t="str">
        <f>"0328X35139"</f>
        <v>0328X35139</v>
      </c>
      <c r="E1521" s="1" t="s">
        <v>10</v>
      </c>
      <c r="F1521" s="1" t="str">
        <f>"10.10.6.10"</f>
        <v>10.10.6.10</v>
      </c>
      <c r="G1521" s="1" t="str">
        <f>"0328X351"</f>
        <v>0328X351</v>
      </c>
      <c r="H1521" s="1" t="str">
        <f>"신중간 22L2"</f>
        <v>신중간 22L2</v>
      </c>
      <c r="I1521" s="1" t="s">
        <v>8</v>
      </c>
      <c r="J1521" s="1" t="str">
        <f>"77/77"</f>
        <v>77/77</v>
      </c>
      <c r="K1521" s="1" t="str">
        <f>"2026-07-29 13:18:02"</f>
        <v>2026-07-29 13:18:02</v>
      </c>
      <c r="L1521" s="1" t="str">
        <f>"2018-02-08 15:32:40"</f>
        <v>2018-02-08 15:32:40</v>
      </c>
      <c r="M1521" s="1" t="s">
        <v>1</v>
      </c>
      <c r="N1521" s="1" t="s">
        <v>38</v>
      </c>
      <c r="O1521" s="1" t="s">
        <v>46</v>
      </c>
    </row>
    <row r="1522" spans="2:15" x14ac:dyDescent="0.3">
      <c r="B1522" s="1" t="s">
        <v>24</v>
      </c>
      <c r="C1522" s="1" t="str">
        <f>"4차"</f>
        <v>4차</v>
      </c>
      <c r="D1522" s="1" t="str">
        <f>"0328X35444"</f>
        <v>0328X35444</v>
      </c>
      <c r="E1522" s="1" t="s">
        <v>10</v>
      </c>
      <c r="F1522" s="1" t="str">
        <f>"10.14.4.190"</f>
        <v>10.14.4.190</v>
      </c>
      <c r="G1522" s="1" t="str">
        <f>"0328X354"</f>
        <v>0328X354</v>
      </c>
      <c r="H1522" s="1" t="str">
        <f>"신중간 22L3"</f>
        <v>신중간 22L3</v>
      </c>
      <c r="I1522" s="1" t="s">
        <v>8</v>
      </c>
      <c r="J1522" s="1" t="str">
        <f>"8/13"</f>
        <v>8/13</v>
      </c>
      <c r="K1522" s="1" t="str">
        <f>"2026-07-29 13:18:03"</f>
        <v>2026-07-29 13:18:03</v>
      </c>
      <c r="L1522" s="1" t="str">
        <f>"2019-11-11 19:49:39"</f>
        <v>2019-11-11 19:49:39</v>
      </c>
      <c r="M1522" s="1" t="s">
        <v>3</v>
      </c>
      <c r="N1522" s="1" t="s">
        <v>38</v>
      </c>
      <c r="O1522" s="1" t="s">
        <v>46</v>
      </c>
    </row>
    <row r="1523" spans="2:15" x14ac:dyDescent="0.3">
      <c r="B1523" s="1" t="s">
        <v>24</v>
      </c>
      <c r="C1523" s="1" t="str">
        <f>"3차"</f>
        <v>3차</v>
      </c>
      <c r="D1523" s="1" t="str">
        <f>"0328X37130"</f>
        <v>0328X37130</v>
      </c>
      <c r="E1523" s="1" t="s">
        <v>10</v>
      </c>
      <c r="F1523" s="1" t="str">
        <f>"10.10.22.122"</f>
        <v>10.10.22.122</v>
      </c>
      <c r="G1523" s="1" t="str">
        <f>"0328X371"</f>
        <v>0328X371</v>
      </c>
      <c r="H1523" s="1" t="str">
        <f>"신중간 22"</f>
        <v>신중간 22</v>
      </c>
      <c r="I1523" s="1" t="s">
        <v>8</v>
      </c>
      <c r="J1523" s="1" t="str">
        <f>"52/52"</f>
        <v>52/52</v>
      </c>
      <c r="K1523" s="1" t="str">
        <f>"2026-07-29 13:18:02"</f>
        <v>2026-07-29 13:18:02</v>
      </c>
      <c r="L1523" s="1" t="str">
        <f>"2018-02-05 09:40:54"</f>
        <v>2018-02-05 09:40:54</v>
      </c>
      <c r="M1523" s="1" t="s">
        <v>1</v>
      </c>
      <c r="N1523" s="1" t="s">
        <v>38</v>
      </c>
      <c r="O1523" s="1" t="s">
        <v>46</v>
      </c>
    </row>
    <row r="1524" spans="2:15" x14ac:dyDescent="0.3">
      <c r="B1524" s="1" t="s">
        <v>24</v>
      </c>
      <c r="C1524" s="1" t="str">
        <f>"4차"</f>
        <v>4차</v>
      </c>
      <c r="D1524" s="1" t="str">
        <f>"0328X37239"</f>
        <v>0328X37239</v>
      </c>
      <c r="E1524" s="1" t="s">
        <v>10</v>
      </c>
      <c r="F1524" s="1" t="str">
        <f>"10.10.22.114"</f>
        <v>10.10.22.114</v>
      </c>
      <c r="G1524" s="1" t="str">
        <f>"0328X372"</f>
        <v>0328X372</v>
      </c>
      <c r="H1524" s="1" t="str">
        <f>"신중간 21"</f>
        <v>신중간 21</v>
      </c>
      <c r="I1524" s="1" t="s">
        <v>8</v>
      </c>
      <c r="J1524" s="1" t="str">
        <f>"51/56"</f>
        <v>51/56</v>
      </c>
      <c r="K1524" s="1" t="str">
        <f>"2026-07-29 13:18:02"</f>
        <v>2026-07-29 13:18:02</v>
      </c>
      <c r="L1524" s="1" t="str">
        <f>"2018-04-17 18:21:17"</f>
        <v>2018-04-17 18:21:17</v>
      </c>
      <c r="M1524" s="1" t="s">
        <v>1</v>
      </c>
      <c r="N1524" s="1" t="s">
        <v>38</v>
      </c>
      <c r="O1524" s="1" t="s">
        <v>46</v>
      </c>
    </row>
    <row r="1525" spans="2:15" x14ac:dyDescent="0.3">
      <c r="B1525" s="1" t="s">
        <v>24</v>
      </c>
      <c r="C1525" s="1" t="str">
        <f>"3차"</f>
        <v>3차</v>
      </c>
      <c r="D1525" s="1" t="str">
        <f>"0328X44130"</f>
        <v>0328X44130</v>
      </c>
      <c r="E1525" s="1" t="s">
        <v>10</v>
      </c>
      <c r="F1525" s="1" t="str">
        <f>"10.10.22.234"</f>
        <v>10.10.22.234</v>
      </c>
      <c r="G1525" s="1" t="str">
        <f>"0328X441"</f>
        <v>0328X441</v>
      </c>
      <c r="H1525" s="1" t="str">
        <f>"중화간 4R8L2"</f>
        <v>중화간 4R8L2</v>
      </c>
      <c r="I1525" s="1" t="s">
        <v>8</v>
      </c>
      <c r="J1525" s="1" t="str">
        <f>"27/27"</f>
        <v>27/27</v>
      </c>
      <c r="K1525" s="1" t="str">
        <f>"2026-07-29 13:18:02"</f>
        <v>2026-07-29 13:18:02</v>
      </c>
      <c r="L1525" s="1" t="str">
        <f>"2018-01-24 14:24:27"</f>
        <v>2018-01-24 14:24:27</v>
      </c>
      <c r="M1525" s="1" t="s">
        <v>1</v>
      </c>
      <c r="N1525" s="1" t="s">
        <v>38</v>
      </c>
      <c r="O1525" s="1" t="s">
        <v>46</v>
      </c>
    </row>
    <row r="1526" spans="2:15" x14ac:dyDescent="0.3">
      <c r="B1526" s="1" t="s">
        <v>24</v>
      </c>
      <c r="C1526" s="1" t="str">
        <f>"4차"</f>
        <v>4차</v>
      </c>
      <c r="D1526" s="1" t="str">
        <f>"0328X45230"</f>
        <v>0328X45230</v>
      </c>
      <c r="E1526" s="1" t="s">
        <v>10</v>
      </c>
      <c r="F1526" s="1" t="str">
        <f>"10.10.23.34"</f>
        <v>10.10.23.34</v>
      </c>
      <c r="G1526" s="1" t="str">
        <f>"0328X452"</f>
        <v>0328X452</v>
      </c>
      <c r="H1526" s="1" t="str">
        <f>"중화간 4R9L4"</f>
        <v>중화간 4R9L4</v>
      </c>
      <c r="I1526" s="1" t="s">
        <v>8</v>
      </c>
      <c r="J1526" s="1" t="str">
        <f>"22/22"</f>
        <v>22/22</v>
      </c>
      <c r="K1526" s="1" t="str">
        <f>"2026-07-29 13:18:03"</f>
        <v>2026-07-29 13:18:03</v>
      </c>
      <c r="L1526" s="1" t="str">
        <f>"2018-01-24 14:39:42"</f>
        <v>2018-01-24 14:39:42</v>
      </c>
      <c r="M1526" s="1" t="s">
        <v>1</v>
      </c>
      <c r="N1526" s="1" t="s">
        <v>38</v>
      </c>
      <c r="O1526" s="1" t="s">
        <v>46</v>
      </c>
    </row>
    <row r="1527" spans="2:15" x14ac:dyDescent="0.3">
      <c r="B1527" s="1" t="s">
        <v>24</v>
      </c>
      <c r="C1527" s="1" t="str">
        <f t="shared" ref="C1527:C1533" si="87">"3차"</f>
        <v>3차</v>
      </c>
      <c r="D1527" s="1" t="str">
        <f>"0328X45331"</f>
        <v>0328X45331</v>
      </c>
      <c r="E1527" s="1" t="s">
        <v>10</v>
      </c>
      <c r="F1527" s="1" t="str">
        <f>"10.14.7.119"</f>
        <v>10.14.7.119</v>
      </c>
      <c r="G1527" s="1" t="str">
        <f>"0328X453"</f>
        <v>0328X453</v>
      </c>
      <c r="H1527" s="1" t="str">
        <f>"중화간 4R8L3"</f>
        <v>중화간 4R8L3</v>
      </c>
      <c r="I1527" s="1" t="s">
        <v>8</v>
      </c>
      <c r="J1527" s="1" t="str">
        <f>"53/55"</f>
        <v>53/55</v>
      </c>
      <c r="K1527" s="1" t="str">
        <f>"2026-07-29 13:18:03"</f>
        <v>2026-07-29 13:18:03</v>
      </c>
      <c r="L1527" s="1" t="str">
        <f>"2018-02-08 15:14:34"</f>
        <v>2018-02-08 15:14:34</v>
      </c>
      <c r="M1527" s="1" t="s">
        <v>3</v>
      </c>
      <c r="N1527" s="1" t="s">
        <v>38</v>
      </c>
      <c r="O1527" s="1" t="s">
        <v>46</v>
      </c>
    </row>
    <row r="1528" spans="2:15" x14ac:dyDescent="0.3">
      <c r="B1528" s="1" t="s">
        <v>24</v>
      </c>
      <c r="C1528" s="1" t="str">
        <f t="shared" si="87"/>
        <v>3차</v>
      </c>
      <c r="D1528" s="1" t="str">
        <f>"0328X46231"</f>
        <v>0328X46231</v>
      </c>
      <c r="E1528" s="1" t="s">
        <v>10</v>
      </c>
      <c r="F1528" s="1" t="str">
        <f>"10.10.23.35"</f>
        <v>10.10.23.35</v>
      </c>
      <c r="G1528" s="1" t="str">
        <f>"0328X462"</f>
        <v>0328X462</v>
      </c>
      <c r="H1528" s="1" t="str">
        <f>"중화간 4R9L5"</f>
        <v>중화간 4R9L5</v>
      </c>
      <c r="I1528" s="1" t="s">
        <v>8</v>
      </c>
      <c r="J1528" s="1" t="str">
        <f>"27/27"</f>
        <v>27/27</v>
      </c>
      <c r="K1528" s="1" t="str">
        <f>"2026-07-29 13:18:03"</f>
        <v>2026-07-29 13:18:03</v>
      </c>
      <c r="L1528" s="1" t="str">
        <f>"2018-03-14 16:38:46"</f>
        <v>2018-03-14 16:38:46</v>
      </c>
      <c r="M1528" s="1" t="s">
        <v>1</v>
      </c>
      <c r="N1528" s="1" t="s">
        <v>38</v>
      </c>
      <c r="O1528" s="1" t="s">
        <v>46</v>
      </c>
    </row>
    <row r="1529" spans="2:15" x14ac:dyDescent="0.3">
      <c r="B1529" s="1" t="s">
        <v>24</v>
      </c>
      <c r="C1529" s="1" t="str">
        <f t="shared" si="87"/>
        <v>3차</v>
      </c>
      <c r="D1529" s="1" t="str">
        <f>"0328X47139"</f>
        <v>0328X47139</v>
      </c>
      <c r="E1529" s="1" t="s">
        <v>10</v>
      </c>
      <c r="F1529" s="1" t="str">
        <f>"10.10.22.106"</f>
        <v>10.10.22.106</v>
      </c>
      <c r="G1529" s="1" t="str">
        <f>"0328X471"</f>
        <v>0328X471</v>
      </c>
      <c r="H1529" s="1" t="str">
        <f>"신중간 20"</f>
        <v>신중간 20</v>
      </c>
      <c r="I1529" s="1" t="s">
        <v>8</v>
      </c>
      <c r="J1529" s="1" t="str">
        <f>"11/17"</f>
        <v>11/17</v>
      </c>
      <c r="K1529" s="1" t="str">
        <f>"2026-07-29 13:18:02"</f>
        <v>2026-07-29 13:18:02</v>
      </c>
      <c r="L1529" s="1" t="str">
        <f>"2018-03-09 14:29:26"</f>
        <v>2018-03-09 14:29:26</v>
      </c>
      <c r="M1529" s="1" t="s">
        <v>1</v>
      </c>
      <c r="N1529" s="1" t="s">
        <v>38</v>
      </c>
      <c r="O1529" s="1" t="s">
        <v>46</v>
      </c>
    </row>
    <row r="1530" spans="2:15" x14ac:dyDescent="0.3">
      <c r="B1530" s="1" t="s">
        <v>24</v>
      </c>
      <c r="C1530" s="1" t="str">
        <f t="shared" si="87"/>
        <v>3차</v>
      </c>
      <c r="D1530" s="1" t="str">
        <f>"0328X47339"</f>
        <v>0328X47339</v>
      </c>
      <c r="E1530" s="1" t="s">
        <v>10</v>
      </c>
      <c r="F1530" s="1" t="str">
        <f>"10.10.4.66"</f>
        <v>10.10.4.66</v>
      </c>
      <c r="G1530" s="1" t="str">
        <f>"0328X473"</f>
        <v>0328X473</v>
      </c>
      <c r="H1530" s="1" t="str">
        <f>"신중간 20R1"</f>
        <v>신중간 20R1</v>
      </c>
      <c r="I1530" s="1" t="s">
        <v>8</v>
      </c>
      <c r="J1530" s="1" t="str">
        <f>"16/16"</f>
        <v>16/16</v>
      </c>
      <c r="K1530" s="1" t="str">
        <f>"2026-07-29 13:18:02"</f>
        <v>2026-07-29 13:18:02</v>
      </c>
      <c r="L1530" s="1" t="str">
        <f>"2018-03-09 17:19:57"</f>
        <v>2018-03-09 17:19:57</v>
      </c>
      <c r="M1530" s="1" t="s">
        <v>1</v>
      </c>
      <c r="N1530" s="1" t="s">
        <v>38</v>
      </c>
      <c r="O1530" s="1" t="s">
        <v>46</v>
      </c>
    </row>
    <row r="1531" spans="2:15" x14ac:dyDescent="0.3">
      <c r="B1531" s="1" t="s">
        <v>24</v>
      </c>
      <c r="C1531" s="1" t="str">
        <f t="shared" si="87"/>
        <v>3차</v>
      </c>
      <c r="D1531" s="1" t="str">
        <f>"0328X49239"</f>
        <v>0328X49239</v>
      </c>
      <c r="E1531" s="1" t="s">
        <v>10</v>
      </c>
      <c r="F1531" s="1" t="str">
        <f>"10.10.39.178"</f>
        <v>10.10.39.178</v>
      </c>
      <c r="G1531" s="1" t="str">
        <f>"0328X492"</f>
        <v>0328X492</v>
      </c>
      <c r="H1531" s="1" t="str">
        <f>"신중간 19R3"</f>
        <v>신중간 19R3</v>
      </c>
      <c r="I1531" s="1" t="s">
        <v>8</v>
      </c>
      <c r="J1531" s="1" t="str">
        <f>"50/52"</f>
        <v>50/52</v>
      </c>
      <c r="K1531" s="1" t="str">
        <f>"2026-07-29 13:18:03"</f>
        <v>2026-07-29 13:18:03</v>
      </c>
      <c r="L1531" s="1" t="str">
        <f>"2018-02-12 13:58:25"</f>
        <v>2018-02-12 13:58:25</v>
      </c>
      <c r="M1531" s="1" t="s">
        <v>1</v>
      </c>
      <c r="N1531" s="1" t="s">
        <v>38</v>
      </c>
      <c r="O1531" s="1" t="s">
        <v>46</v>
      </c>
    </row>
    <row r="1532" spans="2:15" x14ac:dyDescent="0.3">
      <c r="B1532" s="1" t="s">
        <v>24</v>
      </c>
      <c r="C1532" s="1" t="str">
        <f t="shared" si="87"/>
        <v>3차</v>
      </c>
      <c r="D1532" s="1" t="str">
        <f>"0328X49432"</f>
        <v>0328X49432</v>
      </c>
      <c r="E1532" s="1" t="s">
        <v>10</v>
      </c>
      <c r="F1532" s="1" t="str">
        <f>"10.10.16.84"</f>
        <v>10.10.16.84</v>
      </c>
      <c r="G1532" s="1" t="str">
        <f>"0328X494"</f>
        <v>0328X494</v>
      </c>
      <c r="H1532" s="1" t="str">
        <f>"신묵간 59L7L1"</f>
        <v>신묵간 59L7L1</v>
      </c>
      <c r="I1532" s="1" t="s">
        <v>8</v>
      </c>
      <c r="J1532" s="1" t="str">
        <f>"11/11"</f>
        <v>11/11</v>
      </c>
      <c r="K1532" s="1" t="str">
        <f>"2026-07-29 13:18:03"</f>
        <v>2026-07-29 13:18:03</v>
      </c>
      <c r="L1532" s="1" t="str">
        <f>"2018-04-19 11:12:39"</f>
        <v>2018-04-19 11:12:39</v>
      </c>
      <c r="M1532" s="1" t="s">
        <v>1</v>
      </c>
      <c r="N1532" s="1" t="s">
        <v>38</v>
      </c>
      <c r="O1532" s="1" t="s">
        <v>46</v>
      </c>
    </row>
    <row r="1533" spans="2:15" x14ac:dyDescent="0.3">
      <c r="B1533" s="1" t="s">
        <v>24</v>
      </c>
      <c r="C1533" s="1" t="str">
        <f t="shared" si="87"/>
        <v>3차</v>
      </c>
      <c r="D1533" s="1" t="str">
        <f>"0328X51330"</f>
        <v>0328X51330</v>
      </c>
      <c r="E1533" s="1" t="s">
        <v>10</v>
      </c>
      <c r="F1533" s="1" t="str">
        <f>"10.10.20.42"</f>
        <v>10.10.20.42</v>
      </c>
      <c r="G1533" s="1" t="str">
        <f>"0328X513"</f>
        <v>0328X513</v>
      </c>
      <c r="H1533" s="1" t="str">
        <f>"중화간 4R12L1R1"</f>
        <v>중화간 4R12L1R1</v>
      </c>
      <c r="I1533" s="1" t="s">
        <v>8</v>
      </c>
      <c r="J1533" s="1" t="str">
        <f>"24/24"</f>
        <v>24/24</v>
      </c>
      <c r="K1533" s="1" t="str">
        <f t="shared" ref="K1533:K1538" si="88">"2026-07-29 13:18:02"</f>
        <v>2026-07-29 13:18:02</v>
      </c>
      <c r="L1533" s="1" t="str">
        <f>"2023-12-05 14:42:08"</f>
        <v>2023-12-05 14:42:08</v>
      </c>
      <c r="M1533" s="1" t="s">
        <v>1</v>
      </c>
      <c r="N1533" s="1" t="s">
        <v>38</v>
      </c>
      <c r="O1533" s="1" t="s">
        <v>46</v>
      </c>
    </row>
    <row r="1534" spans="2:15" x14ac:dyDescent="0.3">
      <c r="B1534" s="1" t="s">
        <v>24</v>
      </c>
      <c r="C1534" s="1" t="str">
        <f>"4차"</f>
        <v>4차</v>
      </c>
      <c r="D1534" s="1" t="str">
        <f>"0328X52339"</f>
        <v>0328X52339</v>
      </c>
      <c r="E1534" s="1" t="s">
        <v>10</v>
      </c>
      <c r="F1534" s="1" t="str">
        <f>"10.10.24.210"</f>
        <v>10.10.24.210</v>
      </c>
      <c r="G1534" s="1" t="str">
        <f>"0328X523"</f>
        <v>0328X523</v>
      </c>
      <c r="H1534" s="1" t="str">
        <f>"중화간 4R12L1L1"</f>
        <v>중화간 4R12L1L1</v>
      </c>
      <c r="I1534" s="1" t="s">
        <v>8</v>
      </c>
      <c r="J1534" s="1" t="str">
        <f>"24/24"</f>
        <v>24/24</v>
      </c>
      <c r="K1534" s="1" t="str">
        <f t="shared" si="88"/>
        <v>2026-07-29 13:18:02</v>
      </c>
      <c r="L1534" s="1" t="str">
        <f>"2018-02-21 15:13:10"</f>
        <v>2018-02-21 15:13:10</v>
      </c>
      <c r="M1534" s="1" t="s">
        <v>1</v>
      </c>
      <c r="N1534" s="1" t="s">
        <v>38</v>
      </c>
      <c r="O1534" s="1" t="s">
        <v>46</v>
      </c>
    </row>
    <row r="1535" spans="2:15" x14ac:dyDescent="0.3">
      <c r="B1535" s="1" t="s">
        <v>24</v>
      </c>
      <c r="C1535" s="1" t="str">
        <f t="shared" ref="C1535:C1540" si="89">"3차"</f>
        <v>3차</v>
      </c>
      <c r="D1535" s="1" t="str">
        <f>"0328X54139"</f>
        <v>0328X54139</v>
      </c>
      <c r="E1535" s="1" t="s">
        <v>10</v>
      </c>
      <c r="F1535" s="1" t="str">
        <f>"10.10.23.26"</f>
        <v>10.10.23.26</v>
      </c>
      <c r="G1535" s="1" t="str">
        <f>"0328X541"</f>
        <v>0328X541</v>
      </c>
      <c r="H1535" s="1" t="str">
        <f>"중화간 4R9L2"</f>
        <v>중화간 4R9L2</v>
      </c>
      <c r="I1535" s="1" t="s">
        <v>8</v>
      </c>
      <c r="J1535" s="1" t="str">
        <f>"24/25"</f>
        <v>24/25</v>
      </c>
      <c r="K1535" s="1" t="str">
        <f t="shared" si="88"/>
        <v>2026-07-29 13:18:02</v>
      </c>
      <c r="L1535" s="1" t="str">
        <f>"2018-01-24 15:02:42"</f>
        <v>2018-01-24 15:02:42</v>
      </c>
      <c r="M1535" s="1" t="s">
        <v>1</v>
      </c>
      <c r="N1535" s="1" t="s">
        <v>38</v>
      </c>
      <c r="O1535" s="1" t="s">
        <v>46</v>
      </c>
    </row>
    <row r="1536" spans="2:15" x14ac:dyDescent="0.3">
      <c r="B1536" s="1" t="s">
        <v>24</v>
      </c>
      <c r="C1536" s="1" t="str">
        <f t="shared" si="89"/>
        <v>3차</v>
      </c>
      <c r="D1536" s="1" t="str">
        <f>"0328X54339"</f>
        <v>0328X54339</v>
      </c>
      <c r="E1536" s="1" t="s">
        <v>10</v>
      </c>
      <c r="F1536" s="1" t="str">
        <f>"10.10.3.242"</f>
        <v>10.10.3.242</v>
      </c>
      <c r="G1536" s="1" t="str">
        <f>"0328X543"</f>
        <v>0328X543</v>
      </c>
      <c r="H1536" s="1" t="str">
        <f>"신중간 19L5"</f>
        <v>신중간 19L5</v>
      </c>
      <c r="I1536" s="1" t="s">
        <v>8</v>
      </c>
      <c r="J1536" s="1" t="str">
        <f>"18/18"</f>
        <v>18/18</v>
      </c>
      <c r="K1536" s="1" t="str">
        <f t="shared" si="88"/>
        <v>2026-07-29 13:18:02</v>
      </c>
      <c r="L1536" s="1" t="str">
        <f>"2018-02-23 10:47:09"</f>
        <v>2018-02-23 10:47:09</v>
      </c>
      <c r="M1536" s="1" t="s">
        <v>1</v>
      </c>
      <c r="N1536" s="1" t="s">
        <v>38</v>
      </c>
      <c r="O1536" s="1" t="s">
        <v>46</v>
      </c>
    </row>
    <row r="1537" spans="2:15" x14ac:dyDescent="0.3">
      <c r="B1537" s="1" t="s">
        <v>24</v>
      </c>
      <c r="C1537" s="1" t="str">
        <f t="shared" si="89"/>
        <v>3차</v>
      </c>
      <c r="D1537" s="1" t="str">
        <f>"0328X54432"</f>
        <v>0328X54432</v>
      </c>
      <c r="E1537" s="1" t="s">
        <v>10</v>
      </c>
      <c r="F1537" s="1" t="str">
        <f>"10.10.23.36"</f>
        <v>10.10.23.36</v>
      </c>
      <c r="G1537" s="1" t="str">
        <f>"0328X544"</f>
        <v>0328X544</v>
      </c>
      <c r="H1537" s="1" t="str">
        <f>"중화간 4R9L3"</f>
        <v>중화간 4R9L3</v>
      </c>
      <c r="I1537" s="1" t="s">
        <v>8</v>
      </c>
      <c r="J1537" s="1" t="str">
        <f>"29/29"</f>
        <v>29/29</v>
      </c>
      <c r="K1537" s="1" t="str">
        <f t="shared" si="88"/>
        <v>2026-07-29 13:18:02</v>
      </c>
      <c r="L1537" s="1" t="str">
        <f>"2018-03-14 16:49:27"</f>
        <v>2018-03-14 16:49:27</v>
      </c>
      <c r="M1537" s="1" t="s">
        <v>1</v>
      </c>
      <c r="N1537" s="1" t="s">
        <v>38</v>
      </c>
      <c r="O1537" s="1" t="s">
        <v>46</v>
      </c>
    </row>
    <row r="1538" spans="2:15" x14ac:dyDescent="0.3">
      <c r="B1538" s="1" t="s">
        <v>24</v>
      </c>
      <c r="C1538" s="1" t="str">
        <f t="shared" si="89"/>
        <v>3차</v>
      </c>
      <c r="D1538" s="1" t="str">
        <f>"0328X55139"</f>
        <v>0328X55139</v>
      </c>
      <c r="E1538" s="1" t="s">
        <v>10</v>
      </c>
      <c r="F1538" s="1" t="str">
        <f>"10.10.2.250"</f>
        <v>10.10.2.250</v>
      </c>
      <c r="G1538" s="1" t="str">
        <f>"0328X551"</f>
        <v>0328X551</v>
      </c>
      <c r="H1538" s="1" t="str">
        <f>"신중간 19L3"</f>
        <v>신중간 19L3</v>
      </c>
      <c r="I1538" s="1" t="s">
        <v>8</v>
      </c>
      <c r="J1538" s="1" t="str">
        <f>"19/27"</f>
        <v>19/27</v>
      </c>
      <c r="K1538" s="1" t="str">
        <f t="shared" si="88"/>
        <v>2026-07-29 13:18:02</v>
      </c>
      <c r="L1538" s="1" t="str">
        <f>"2018-01-31 15:43:57"</f>
        <v>2018-01-31 15:43:57</v>
      </c>
      <c r="M1538" s="1" t="s">
        <v>1</v>
      </c>
      <c r="N1538" s="1" t="s">
        <v>38</v>
      </c>
      <c r="O1538" s="1" t="s">
        <v>46</v>
      </c>
    </row>
    <row r="1539" spans="2:15" x14ac:dyDescent="0.3">
      <c r="B1539" s="1" t="s">
        <v>24</v>
      </c>
      <c r="C1539" s="1" t="str">
        <f t="shared" si="89"/>
        <v>3차</v>
      </c>
      <c r="D1539" s="1" t="str">
        <f>"0328X56131"</f>
        <v>0328X56131</v>
      </c>
      <c r="E1539" s="1" t="s">
        <v>10</v>
      </c>
      <c r="F1539" s="1" t="str">
        <f>"10.89.247.104"</f>
        <v>10.89.247.104</v>
      </c>
      <c r="G1539" s="1" t="str">
        <f>"0328X561"</f>
        <v>0328X561</v>
      </c>
      <c r="H1539" s="1" t="str">
        <f>"신중간 19L1"</f>
        <v>신중간 19L1</v>
      </c>
      <c r="I1539" s="1" t="s">
        <v>8</v>
      </c>
      <c r="J1539" s="1" t="str">
        <f>"4/4"</f>
        <v>4/4</v>
      </c>
      <c r="K1539" s="1" t="str">
        <f>"2026-07-29 13:18:04"</f>
        <v>2026-07-29 13:18:04</v>
      </c>
      <c r="L1539" s="1" t="str">
        <f>"2018-03-09 14:26:42"</f>
        <v>2018-03-09 14:26:42</v>
      </c>
      <c r="M1539" s="1" t="s">
        <v>45</v>
      </c>
      <c r="N1539" s="1" t="s">
        <v>38</v>
      </c>
      <c r="O1539" s="1" t="s">
        <v>46</v>
      </c>
    </row>
    <row r="1540" spans="2:15" x14ac:dyDescent="0.3">
      <c r="B1540" s="1" t="s">
        <v>24</v>
      </c>
      <c r="C1540" s="1" t="str">
        <f t="shared" si="89"/>
        <v>3차</v>
      </c>
      <c r="D1540" s="1" t="str">
        <f>"0328X57239"</f>
        <v>0328X57239</v>
      </c>
      <c r="E1540" s="1" t="s">
        <v>10</v>
      </c>
      <c r="F1540" s="1" t="str">
        <f>"10.10.3.130"</f>
        <v>10.10.3.130</v>
      </c>
      <c r="G1540" s="1" t="str">
        <f>"0328X572"</f>
        <v>0328X572</v>
      </c>
      <c r="H1540" s="1" t="str">
        <f>"신중간 15R1L3"</f>
        <v>신중간 15R1L3</v>
      </c>
      <c r="I1540" s="1" t="s">
        <v>8</v>
      </c>
      <c r="J1540" s="1" t="str">
        <f>"34/34"</f>
        <v>34/34</v>
      </c>
      <c r="K1540" s="1" t="str">
        <f>"2026-07-29 13:18:02"</f>
        <v>2026-07-29 13:18:02</v>
      </c>
      <c r="L1540" s="1" t="str">
        <f>"2018-03-24 14:56:56"</f>
        <v>2018-03-24 14:56:56</v>
      </c>
      <c r="M1540" s="1" t="s">
        <v>1</v>
      </c>
      <c r="N1540" s="1" t="s">
        <v>38</v>
      </c>
      <c r="O1540" s="1" t="s">
        <v>46</v>
      </c>
    </row>
    <row r="1541" spans="2:15" x14ac:dyDescent="0.3">
      <c r="B1541" s="1" t="s">
        <v>24</v>
      </c>
      <c r="C1541" s="1" t="str">
        <f>"4차"</f>
        <v>4차</v>
      </c>
      <c r="D1541" s="1" t="str">
        <f>"0328X60331"</f>
        <v>0328X60331</v>
      </c>
      <c r="E1541" s="1" t="s">
        <v>14</v>
      </c>
      <c r="F1541" s="1" t="str">
        <f>"10.12.129.21"</f>
        <v>10.12.129.21</v>
      </c>
      <c r="G1541" s="1" t="str">
        <f>"0328X603"</f>
        <v>0328X603</v>
      </c>
      <c r="H1541" s="1" t="str">
        <f>"중화간 4R12L1R2"</f>
        <v>중화간 4R12L1R2</v>
      </c>
      <c r="I1541" s="1" t="s">
        <v>8</v>
      </c>
      <c r="J1541" s="1" t="str">
        <f>"0/0"</f>
        <v>0/0</v>
      </c>
      <c r="K1541" s="1" t="str">
        <f>"2026-06-10 07:18:02"</f>
        <v>2026-06-10 07:18:02</v>
      </c>
      <c r="L1541" s="1" t="str">
        <f>"2025-05-22 09:03:45"</f>
        <v>2025-05-22 09:03:45</v>
      </c>
      <c r="M1541" s="1" t="s">
        <v>0</v>
      </c>
      <c r="N1541" s="1" t="s">
        <v>39</v>
      </c>
      <c r="O1541" s="1" t="s">
        <v>46</v>
      </c>
    </row>
    <row r="1542" spans="2:15" x14ac:dyDescent="0.3">
      <c r="B1542" s="1" t="s">
        <v>24</v>
      </c>
      <c r="C1542" s="1" t="str">
        <f>"4차"</f>
        <v>4차</v>
      </c>
      <c r="D1542" s="1" t="str">
        <f>"0328X63244"</f>
        <v>0328X63244</v>
      </c>
      <c r="E1542" s="1" t="s">
        <v>10</v>
      </c>
      <c r="F1542" s="1" t="str">
        <f>"10.10.50.74"</f>
        <v>10.10.50.74</v>
      </c>
      <c r="G1542" s="1" t="str">
        <f>"0328X632"</f>
        <v>0328X632</v>
      </c>
      <c r="H1542" s="1" t="str">
        <f>"신중간 8L3"</f>
        <v>신중간 8L3</v>
      </c>
      <c r="I1542" s="1" t="s">
        <v>8</v>
      </c>
      <c r="J1542" s="1" t="str">
        <f>"46/47"</f>
        <v>46/47</v>
      </c>
      <c r="K1542" s="1" t="str">
        <f>"2026-07-29 13:18:02"</f>
        <v>2026-07-29 13:18:02</v>
      </c>
      <c r="L1542" s="1" t="str">
        <f>"2020-01-10 17:18:29"</f>
        <v>2020-01-10 17:18:29</v>
      </c>
      <c r="M1542" s="1" t="s">
        <v>1</v>
      </c>
      <c r="N1542" s="1" t="s">
        <v>38</v>
      </c>
      <c r="O1542" s="1" t="s">
        <v>46</v>
      </c>
    </row>
    <row r="1543" spans="2:15" x14ac:dyDescent="0.3">
      <c r="B1543" s="1" t="s">
        <v>24</v>
      </c>
      <c r="C1543" s="1" t="str">
        <f t="shared" ref="C1543:C1552" si="90">"3차"</f>
        <v>3차</v>
      </c>
      <c r="D1543" s="1" t="str">
        <f>"0328X64139"</f>
        <v>0328X64139</v>
      </c>
      <c r="E1543" s="1" t="s">
        <v>10</v>
      </c>
      <c r="F1543" s="1" t="str">
        <f>"10.89.247.68"</f>
        <v>10.89.247.68</v>
      </c>
      <c r="G1543" s="1" t="str">
        <f>"0328X641"</f>
        <v>0328X641</v>
      </c>
      <c r="H1543" s="1" t="str">
        <f>"신중간 8L3R3"</f>
        <v>신중간 8L3R3</v>
      </c>
      <c r="I1543" s="1" t="s">
        <v>8</v>
      </c>
      <c r="J1543" s="1" t="str">
        <f>"33/33"</f>
        <v>33/33</v>
      </c>
      <c r="K1543" s="1" t="str">
        <f>"2026-07-29 13:18:02"</f>
        <v>2026-07-29 13:18:02</v>
      </c>
      <c r="L1543" s="1" t="str">
        <f>"2018-04-18 09:36:55"</f>
        <v>2018-04-18 09:36:55</v>
      </c>
      <c r="M1543" s="1" t="s">
        <v>45</v>
      </c>
      <c r="N1543" s="1" t="s">
        <v>38</v>
      </c>
      <c r="O1543" s="1" t="s">
        <v>46</v>
      </c>
    </row>
    <row r="1544" spans="2:15" x14ac:dyDescent="0.3">
      <c r="B1544" s="1" t="s">
        <v>24</v>
      </c>
      <c r="C1544" s="1" t="str">
        <f t="shared" si="90"/>
        <v>3차</v>
      </c>
      <c r="D1544" s="1" t="str">
        <f>"0328X66139"</f>
        <v>0328X66139</v>
      </c>
      <c r="E1544" s="1" t="s">
        <v>10</v>
      </c>
      <c r="F1544" s="1" t="str">
        <f>"10.10.24.202"</f>
        <v>10.10.24.202</v>
      </c>
      <c r="G1544" s="1" t="str">
        <f>"0328X661"</f>
        <v>0328X661</v>
      </c>
      <c r="H1544" s="1" t="str">
        <f>"신중간 17L1"</f>
        <v>신중간 17L1</v>
      </c>
      <c r="I1544" s="1" t="s">
        <v>8</v>
      </c>
      <c r="J1544" s="1" t="str">
        <f>"12/13"</f>
        <v>12/13</v>
      </c>
      <c r="K1544" s="1" t="str">
        <f>"2026-07-29 13:18:02"</f>
        <v>2026-07-29 13:18:02</v>
      </c>
      <c r="L1544" s="1" t="str">
        <f>"2018-03-09 14:39:12"</f>
        <v>2018-03-09 14:39:12</v>
      </c>
      <c r="M1544" s="1" t="s">
        <v>1</v>
      </c>
      <c r="N1544" s="1" t="s">
        <v>38</v>
      </c>
      <c r="O1544" s="1" t="s">
        <v>46</v>
      </c>
    </row>
    <row r="1545" spans="2:15" x14ac:dyDescent="0.3">
      <c r="B1545" s="1" t="s">
        <v>24</v>
      </c>
      <c r="C1545" s="1" t="str">
        <f t="shared" si="90"/>
        <v>3차</v>
      </c>
      <c r="D1545" s="1" t="str">
        <f>"0328X67239"</f>
        <v>0328X67239</v>
      </c>
      <c r="E1545" s="1" t="s">
        <v>10</v>
      </c>
      <c r="F1545" s="1" t="str">
        <f>"10.10.3.26"</f>
        <v>10.10.3.26</v>
      </c>
      <c r="G1545" s="1" t="str">
        <f>"0328X672"</f>
        <v>0328X672</v>
      </c>
      <c r="H1545" s="1" t="str">
        <f>"신중간 15R1L2"</f>
        <v>신중간 15R1L2</v>
      </c>
      <c r="I1545" s="1" t="s">
        <v>8</v>
      </c>
      <c r="J1545" s="1" t="str">
        <f>"59/59"</f>
        <v>59/59</v>
      </c>
      <c r="K1545" s="1" t="str">
        <f>"2026-07-29 13:18:02"</f>
        <v>2026-07-29 13:18:02</v>
      </c>
      <c r="L1545" s="1" t="str">
        <f>"2018-03-24 14:54:12"</f>
        <v>2018-03-24 14:54:12</v>
      </c>
      <c r="M1545" s="1" t="s">
        <v>1</v>
      </c>
      <c r="N1545" s="1" t="s">
        <v>38</v>
      </c>
      <c r="O1545" s="1" t="s">
        <v>46</v>
      </c>
    </row>
    <row r="1546" spans="2:15" x14ac:dyDescent="0.3">
      <c r="B1546" s="1" t="s">
        <v>24</v>
      </c>
      <c r="C1546" s="1" t="str">
        <f t="shared" si="90"/>
        <v>3차</v>
      </c>
      <c r="D1546" s="1" t="str">
        <f>"0328X67439"</f>
        <v>0328X67439</v>
      </c>
      <c r="E1546" s="1" t="s">
        <v>10</v>
      </c>
      <c r="F1546" s="1" t="str">
        <f>"10.10.3.146"</f>
        <v>10.10.3.146</v>
      </c>
      <c r="G1546" s="1" t="str">
        <f>"0328X674"</f>
        <v>0328X674</v>
      </c>
      <c r="H1546" s="1" t="str">
        <f>"신중간 15R1L1"</f>
        <v>신중간 15R1L1</v>
      </c>
      <c r="I1546" s="1" t="s">
        <v>8</v>
      </c>
      <c r="J1546" s="1" t="str">
        <f>"7/7"</f>
        <v>7/7</v>
      </c>
      <c r="K1546" s="1" t="str">
        <f>"2026-07-29 13:18:02"</f>
        <v>2026-07-29 13:18:02</v>
      </c>
      <c r="L1546" s="1" t="str">
        <f>"2018-03-24 14:51:41"</f>
        <v>2018-03-24 14:51:41</v>
      </c>
      <c r="M1546" s="1" t="s">
        <v>1</v>
      </c>
      <c r="N1546" s="1" t="s">
        <v>38</v>
      </c>
      <c r="O1546" s="1" t="s">
        <v>46</v>
      </c>
    </row>
    <row r="1547" spans="2:15" x14ac:dyDescent="0.3">
      <c r="B1547" s="1" t="s">
        <v>24</v>
      </c>
      <c r="C1547" s="1" t="str">
        <f t="shared" si="90"/>
        <v>3차</v>
      </c>
      <c r="D1547" s="1" t="str">
        <f>"0328X73139"</f>
        <v>0328X73139</v>
      </c>
      <c r="E1547" s="1" t="s">
        <v>10</v>
      </c>
      <c r="F1547" s="1" t="str">
        <f>"10.14.9.31"</f>
        <v>10.14.9.31</v>
      </c>
      <c r="G1547" s="1" t="str">
        <f>"0328X731"</f>
        <v>0328X731</v>
      </c>
      <c r="H1547" s="1" t="str">
        <f>"신중간 8L2"</f>
        <v>신중간 8L2</v>
      </c>
      <c r="I1547" s="1" t="s">
        <v>8</v>
      </c>
      <c r="J1547" s="1" t="str">
        <f>"73/73"</f>
        <v>73/73</v>
      </c>
      <c r="K1547" s="1" t="str">
        <f>"2026-07-29 13:18:04"</f>
        <v>2026-07-29 13:18:04</v>
      </c>
      <c r="L1547" s="1" t="str">
        <f>"2018-04-18 10:31:11"</f>
        <v>2018-04-18 10:31:11</v>
      </c>
      <c r="M1547" s="1" t="s">
        <v>3</v>
      </c>
      <c r="N1547" s="1" t="s">
        <v>38</v>
      </c>
      <c r="O1547" s="1" t="s">
        <v>46</v>
      </c>
    </row>
    <row r="1548" spans="2:15" x14ac:dyDescent="0.3">
      <c r="B1548" s="1" t="s">
        <v>24</v>
      </c>
      <c r="C1548" s="1" t="str">
        <f t="shared" si="90"/>
        <v>3차</v>
      </c>
      <c r="D1548" s="1" t="str">
        <f>"0328X75139"</f>
        <v>0328X75139</v>
      </c>
      <c r="E1548" s="1" t="s">
        <v>10</v>
      </c>
      <c r="F1548" s="1" t="str">
        <f>"10.10.22.90"</f>
        <v>10.10.22.90</v>
      </c>
      <c r="G1548" s="1" t="str">
        <f>"0328X751"</f>
        <v>0328X751</v>
      </c>
      <c r="H1548" s="1" t="str">
        <f>"신중간 11"</f>
        <v>신중간 11</v>
      </c>
      <c r="I1548" s="1" t="s">
        <v>8</v>
      </c>
      <c r="J1548" s="1" t="str">
        <f>"49/56"</f>
        <v>49/56</v>
      </c>
      <c r="K1548" s="1" t="str">
        <f>"2026-07-29 13:18:02"</f>
        <v>2026-07-29 13:18:02</v>
      </c>
      <c r="L1548" s="1" t="str">
        <f>"2018-01-31 17:09:58"</f>
        <v>2018-01-31 17:09:58</v>
      </c>
      <c r="M1548" s="1" t="s">
        <v>1</v>
      </c>
      <c r="N1548" s="1" t="s">
        <v>38</v>
      </c>
      <c r="O1548" s="1" t="s">
        <v>46</v>
      </c>
    </row>
    <row r="1549" spans="2:15" x14ac:dyDescent="0.3">
      <c r="B1549" s="1" t="s">
        <v>24</v>
      </c>
      <c r="C1549" s="1" t="str">
        <f t="shared" si="90"/>
        <v>3차</v>
      </c>
      <c r="D1549" s="1" t="str">
        <f>"0328X76239"</f>
        <v>0328X76239</v>
      </c>
      <c r="E1549" s="1" t="s">
        <v>10</v>
      </c>
      <c r="F1549" s="1" t="str">
        <f>"10.10.22.98"</f>
        <v>10.10.22.98</v>
      </c>
      <c r="G1549" s="1" t="str">
        <f>"0328X762"</f>
        <v>0328X762</v>
      </c>
      <c r="H1549" s="1" t="str">
        <f>"신중간 12"</f>
        <v>신중간 12</v>
      </c>
      <c r="I1549" s="1" t="s">
        <v>8</v>
      </c>
      <c r="J1549" s="1" t="str">
        <f>"29/29"</f>
        <v>29/29</v>
      </c>
      <c r="K1549" s="1" t="str">
        <f>"2026-07-29 13:18:02"</f>
        <v>2026-07-29 13:18:02</v>
      </c>
      <c r="L1549" s="1" t="str">
        <f>"2018-01-31 16:10:27"</f>
        <v>2018-01-31 16:10:27</v>
      </c>
      <c r="M1549" s="1" t="s">
        <v>1</v>
      </c>
      <c r="N1549" s="1" t="s">
        <v>38</v>
      </c>
      <c r="O1549" s="1" t="s">
        <v>46</v>
      </c>
    </row>
    <row r="1550" spans="2:15" x14ac:dyDescent="0.3">
      <c r="B1550" s="1" t="s">
        <v>24</v>
      </c>
      <c r="C1550" s="1" t="str">
        <f t="shared" si="90"/>
        <v>3차</v>
      </c>
      <c r="D1550" s="1" t="str">
        <f>"0328X79239"</f>
        <v>0328X79239</v>
      </c>
      <c r="E1550" s="1" t="s">
        <v>10</v>
      </c>
      <c r="F1550" s="1" t="str">
        <f>"10.10.2.178"</f>
        <v>10.10.2.178</v>
      </c>
      <c r="G1550" s="1" t="str">
        <f>"0328X792"</f>
        <v>0328X792</v>
      </c>
      <c r="H1550" s="1" t="str">
        <f>"신중간 15R3"</f>
        <v>신중간 15R3</v>
      </c>
      <c r="I1550" s="1" t="s">
        <v>8</v>
      </c>
      <c r="J1550" s="1" t="str">
        <f>"21/21"</f>
        <v>21/21</v>
      </c>
      <c r="K1550" s="1" t="str">
        <f>"2026-07-29 13:18:02"</f>
        <v>2026-07-29 13:18:02</v>
      </c>
      <c r="L1550" s="1" t="str">
        <f>"2018-03-09 16:56:57"</f>
        <v>2018-03-09 16:56:57</v>
      </c>
      <c r="M1550" s="1" t="s">
        <v>1</v>
      </c>
      <c r="N1550" s="1" t="s">
        <v>38</v>
      </c>
      <c r="O1550" s="1" t="s">
        <v>46</v>
      </c>
    </row>
    <row r="1551" spans="2:15" x14ac:dyDescent="0.3">
      <c r="B1551" s="1" t="s">
        <v>24</v>
      </c>
      <c r="C1551" s="1" t="str">
        <f t="shared" si="90"/>
        <v>3차</v>
      </c>
      <c r="D1551" s="1" t="str">
        <f>"0328X80239"</f>
        <v>0328X80239</v>
      </c>
      <c r="E1551" s="1" t="s">
        <v>10</v>
      </c>
      <c r="F1551" s="1" t="str">
        <f>"10.12.132.31"</f>
        <v>10.12.132.31</v>
      </c>
      <c r="G1551" s="1" t="str">
        <f>"0328X802"</f>
        <v>0328X802</v>
      </c>
      <c r="H1551" s="1" t="str">
        <f>"신중간 5"</f>
        <v>신중간 5</v>
      </c>
      <c r="I1551" s="1" t="s">
        <v>8</v>
      </c>
      <c r="J1551" s="1" t="str">
        <f>"18/18"</f>
        <v>18/18</v>
      </c>
      <c r="K1551" s="1" t="str">
        <f>"2026-07-29 13:18:03"</f>
        <v>2026-07-29 13:18:03</v>
      </c>
      <c r="L1551" s="1" t="str">
        <f>"2018-07-27 19:20:07"</f>
        <v>2018-07-27 19:20:07</v>
      </c>
      <c r="M1551" s="1" t="s">
        <v>0</v>
      </c>
      <c r="N1551" s="1" t="s">
        <v>38</v>
      </c>
      <c r="O1551" s="1" t="s">
        <v>46</v>
      </c>
    </row>
    <row r="1552" spans="2:15" x14ac:dyDescent="0.3">
      <c r="B1552" s="1" t="s">
        <v>24</v>
      </c>
      <c r="C1552" s="1" t="str">
        <f t="shared" si="90"/>
        <v>3차</v>
      </c>
      <c r="D1552" s="1" t="str">
        <f>"0328X81239"</f>
        <v>0328X81239</v>
      </c>
      <c r="E1552" s="1" t="s">
        <v>10</v>
      </c>
      <c r="F1552" s="1" t="str">
        <f>"10.12.130.50"</f>
        <v>10.12.130.50</v>
      </c>
      <c r="G1552" s="1" t="str">
        <f>"0328X812"</f>
        <v>0328X812</v>
      </c>
      <c r="H1552" s="1" t="str">
        <f>"봉화간 30"</f>
        <v>봉화간 30</v>
      </c>
      <c r="I1552" s="1" t="s">
        <v>8</v>
      </c>
      <c r="J1552" s="1" t="str">
        <f>"5/5"</f>
        <v>5/5</v>
      </c>
      <c r="K1552" s="1" t="str">
        <f>"2026-07-29 13:18:03"</f>
        <v>2026-07-29 13:18:03</v>
      </c>
      <c r="L1552" s="1" t="str">
        <f>"2018-02-14 10:54:39"</f>
        <v>2018-02-14 10:54:39</v>
      </c>
      <c r="M1552" s="1" t="s">
        <v>0</v>
      </c>
      <c r="N1552" s="1" t="s">
        <v>38</v>
      </c>
      <c r="O1552" s="1" t="s">
        <v>46</v>
      </c>
    </row>
    <row r="1553" spans="2:15" x14ac:dyDescent="0.3">
      <c r="B1553" s="1" t="s">
        <v>24</v>
      </c>
      <c r="C1553" s="1" t="str">
        <f>"5-2차"</f>
        <v>5-2차</v>
      </c>
      <c r="D1553" s="1" t="str">
        <f>"0328X8235M"</f>
        <v>0328X8235M</v>
      </c>
      <c r="E1553" s="1" t="s">
        <v>10</v>
      </c>
      <c r="F1553" s="1" t="str">
        <f>"fde1:103:4:5891:0:0:0:2"</f>
        <v>fde1:103:4:5891:0:0:0:2</v>
      </c>
      <c r="G1553" s="1" t="str">
        <f>"0328X823"</f>
        <v>0328X823</v>
      </c>
      <c r="H1553" s="1" t="str">
        <f>"신중간 7"</f>
        <v>신중간 7</v>
      </c>
      <c r="I1553" s="1" t="s">
        <v>15</v>
      </c>
      <c r="J1553" s="1" t="str">
        <f>"38/38"</f>
        <v>38/38</v>
      </c>
      <c r="K1553" s="1" t="str">
        <f>"2026-07-29 14:20:19"</f>
        <v>2026-07-29 14:20:19</v>
      </c>
      <c r="L1553" s="1" t="str">
        <f>"2023-09-20 10:31:41"</f>
        <v>2023-09-20 10:31:41</v>
      </c>
      <c r="M1553" s="1" t="s">
        <v>4</v>
      </c>
      <c r="N1553" s="1" t="s">
        <v>38</v>
      </c>
      <c r="O1553" s="1" t="s">
        <v>46</v>
      </c>
    </row>
    <row r="1554" spans="2:15" x14ac:dyDescent="0.3">
      <c r="B1554" s="1" t="s">
        <v>24</v>
      </c>
      <c r="C1554" s="1" t="str">
        <f>"3차"</f>
        <v>3차</v>
      </c>
      <c r="D1554" s="1" t="str">
        <f>"0328X85130"</f>
        <v>0328X85130</v>
      </c>
      <c r="E1554" s="1" t="s">
        <v>10</v>
      </c>
      <c r="F1554" s="1" t="str">
        <f>"10.10.20.146"</f>
        <v>10.10.20.146</v>
      </c>
      <c r="G1554" s="1" t="str">
        <f>"0328X851"</f>
        <v>0328X851</v>
      </c>
      <c r="H1554" s="1" t="str">
        <f>"봉화간 37"</f>
        <v>봉화간 37</v>
      </c>
      <c r="I1554" s="1" t="s">
        <v>8</v>
      </c>
      <c r="J1554" s="1" t="str">
        <f>"15/15"</f>
        <v>15/15</v>
      </c>
      <c r="K1554" s="1" t="str">
        <f>"2026-07-29 13:18:02"</f>
        <v>2026-07-29 13:18:02</v>
      </c>
      <c r="L1554" s="1" t="str">
        <f>"2018-01-10 13:38:10"</f>
        <v>2018-01-10 13:38:10</v>
      </c>
      <c r="M1554" s="1" t="s">
        <v>1</v>
      </c>
      <c r="N1554" s="1" t="s">
        <v>38</v>
      </c>
      <c r="O1554" s="1" t="s">
        <v>46</v>
      </c>
    </row>
    <row r="1555" spans="2:15" x14ac:dyDescent="0.3">
      <c r="B1555" s="1" t="s">
        <v>24</v>
      </c>
      <c r="C1555" s="1" t="str">
        <f>"3차"</f>
        <v>3차</v>
      </c>
      <c r="D1555" s="1" t="str">
        <f>"0328X86131"</f>
        <v>0328X86131</v>
      </c>
      <c r="E1555" s="1" t="s">
        <v>10</v>
      </c>
      <c r="F1555" s="1" t="str">
        <f>"10.10.20.147"</f>
        <v>10.10.20.147</v>
      </c>
      <c r="G1555" s="1" t="str">
        <f>"0328X861"</f>
        <v>0328X861</v>
      </c>
      <c r="H1555" s="1" t="str">
        <f>"봉화간 39"</f>
        <v>봉화간 39</v>
      </c>
      <c r="I1555" s="1" t="s">
        <v>8</v>
      </c>
      <c r="J1555" s="1" t="str">
        <f>"1/3"</f>
        <v>1/3</v>
      </c>
      <c r="K1555" s="1" t="str">
        <f>"2026-07-29 13:18:02"</f>
        <v>2026-07-29 13:18:02</v>
      </c>
      <c r="L1555" s="1" t="str">
        <f>"2018-01-23 09:53:39"</f>
        <v>2018-01-23 09:53:39</v>
      </c>
      <c r="M1555" s="1" t="s">
        <v>1</v>
      </c>
      <c r="N1555" s="1" t="s">
        <v>38</v>
      </c>
      <c r="O1555" s="1" t="s">
        <v>46</v>
      </c>
    </row>
    <row r="1556" spans="2:15" x14ac:dyDescent="0.3">
      <c r="B1556" s="1" t="s">
        <v>24</v>
      </c>
      <c r="C1556" s="1" t="str">
        <f>"4차"</f>
        <v>4차</v>
      </c>
      <c r="D1556" s="1" t="str">
        <f>"0328X93144"</f>
        <v>0328X93144</v>
      </c>
      <c r="E1556" s="1" t="s">
        <v>10</v>
      </c>
      <c r="F1556" s="1" t="str">
        <f>"10.10.42.162"</f>
        <v>10.10.42.162</v>
      </c>
      <c r="G1556" s="1" t="str">
        <f>"0328X931"</f>
        <v>0328X931</v>
      </c>
      <c r="H1556" s="1" t="str">
        <f>"봉화간 40R7R6"</f>
        <v>봉화간 40R7R6</v>
      </c>
      <c r="I1556" s="1" t="s">
        <v>8</v>
      </c>
      <c r="J1556" s="1" t="str">
        <f>"98/98"</f>
        <v>98/98</v>
      </c>
      <c r="K1556" s="1" t="str">
        <f>"2026-07-29 13:18:02"</f>
        <v>2026-07-29 13:18:02</v>
      </c>
      <c r="L1556" s="1" t="str">
        <f>"2020-01-10 16:58:00"</f>
        <v>2020-01-10 16:58:00</v>
      </c>
      <c r="M1556" s="1" t="s">
        <v>1</v>
      </c>
      <c r="N1556" s="1" t="s">
        <v>38</v>
      </c>
      <c r="O1556" s="1" t="s">
        <v>46</v>
      </c>
    </row>
    <row r="1557" spans="2:15" x14ac:dyDescent="0.3">
      <c r="B1557" s="1" t="s">
        <v>24</v>
      </c>
      <c r="C1557" s="1" t="str">
        <f>"3차"</f>
        <v>3차</v>
      </c>
      <c r="D1557" s="1" t="str">
        <f>"0328X95139"</f>
        <v>0328X95139</v>
      </c>
      <c r="E1557" s="1" t="s">
        <v>10</v>
      </c>
      <c r="F1557" s="1" t="str">
        <f>"10.10.17.114"</f>
        <v>10.10.17.114</v>
      </c>
      <c r="G1557" s="1" t="str">
        <f>"0328X951"</f>
        <v>0328X951</v>
      </c>
      <c r="H1557" s="1" t="str">
        <f>"봉화간 40R8R1"</f>
        <v>봉화간 40R8R1</v>
      </c>
      <c r="I1557" s="1" t="s">
        <v>8</v>
      </c>
      <c r="J1557" s="1" t="str">
        <f>"37/46"</f>
        <v>37/46</v>
      </c>
      <c r="K1557" s="1" t="str">
        <f t="shared" ref="K1557:K1562" si="91">"2026-07-29 13:18:03"</f>
        <v>2026-07-29 13:18:03</v>
      </c>
      <c r="L1557" s="1" t="str">
        <f>"2018-02-14 13:18:26"</f>
        <v>2018-02-14 13:18:26</v>
      </c>
      <c r="M1557" s="1" t="s">
        <v>1</v>
      </c>
      <c r="N1557" s="1" t="s">
        <v>38</v>
      </c>
      <c r="O1557" s="1" t="s">
        <v>46</v>
      </c>
    </row>
    <row r="1558" spans="2:15" x14ac:dyDescent="0.3">
      <c r="B1558" s="1" t="s">
        <v>24</v>
      </c>
      <c r="C1558" s="1" t="str">
        <f>"3차"</f>
        <v>3차</v>
      </c>
      <c r="D1558" s="1" t="str">
        <f>"0328X96239"</f>
        <v>0328X96239</v>
      </c>
      <c r="E1558" s="1" t="s">
        <v>10</v>
      </c>
      <c r="F1558" s="1" t="str">
        <f>"10.10.17.42"</f>
        <v>10.10.17.42</v>
      </c>
      <c r="G1558" s="1" t="str">
        <f>"0328X962"</f>
        <v>0328X962</v>
      </c>
      <c r="H1558" s="1" t="str">
        <f>"봉화간 40R8R3"</f>
        <v>봉화간 40R8R3</v>
      </c>
      <c r="I1558" s="1" t="s">
        <v>8</v>
      </c>
      <c r="J1558" s="1" t="str">
        <f>"11/17"</f>
        <v>11/17</v>
      </c>
      <c r="K1558" s="1" t="str">
        <f t="shared" si="91"/>
        <v>2026-07-29 13:18:03</v>
      </c>
      <c r="L1558" s="1" t="str">
        <f>"2018-02-14 13:12:26"</f>
        <v>2018-02-14 13:12:26</v>
      </c>
      <c r="M1558" s="1" t="s">
        <v>1</v>
      </c>
      <c r="N1558" s="1" t="s">
        <v>38</v>
      </c>
      <c r="O1558" s="1" t="s">
        <v>46</v>
      </c>
    </row>
    <row r="1559" spans="2:15" x14ac:dyDescent="0.3">
      <c r="B1559" s="1" t="s">
        <v>24</v>
      </c>
      <c r="C1559" s="1" t="str">
        <f>"3차"</f>
        <v>3차</v>
      </c>
      <c r="D1559" s="1" t="str">
        <f>"0328X98230"</f>
        <v>0328X98230</v>
      </c>
      <c r="E1559" s="1" t="s">
        <v>10</v>
      </c>
      <c r="F1559" s="1" t="str">
        <f>"10.10.20.50"</f>
        <v>10.10.20.50</v>
      </c>
      <c r="G1559" s="1" t="str">
        <f>"0328X982"</f>
        <v>0328X982</v>
      </c>
      <c r="H1559" s="1" t="str">
        <f>"봉화간 40R2"</f>
        <v>봉화간 40R2</v>
      </c>
      <c r="I1559" s="1" t="s">
        <v>8</v>
      </c>
      <c r="J1559" s="1" t="str">
        <f>"28/28"</f>
        <v>28/28</v>
      </c>
      <c r="K1559" s="1" t="str">
        <f t="shared" si="91"/>
        <v>2026-07-29 13:18:03</v>
      </c>
      <c r="L1559" s="1" t="str">
        <f>"2018-01-10 09:05:53"</f>
        <v>2018-01-10 09:05:53</v>
      </c>
      <c r="M1559" s="1" t="s">
        <v>1</v>
      </c>
      <c r="N1559" s="1" t="s">
        <v>38</v>
      </c>
      <c r="O1559" s="1" t="s">
        <v>46</v>
      </c>
    </row>
    <row r="1560" spans="2:15" x14ac:dyDescent="0.3">
      <c r="B1560" s="1" t="s">
        <v>24</v>
      </c>
      <c r="C1560" s="1" t="str">
        <f>"3차"</f>
        <v>3차</v>
      </c>
      <c r="D1560" s="1" t="str">
        <f>"0328X98330"</f>
        <v>0328X98330</v>
      </c>
      <c r="E1560" s="1" t="s">
        <v>10</v>
      </c>
      <c r="F1560" s="1" t="str">
        <f>"10.10.40.106"</f>
        <v>10.10.40.106</v>
      </c>
      <c r="G1560" s="1" t="str">
        <f>"0328X983"</f>
        <v>0328X983</v>
      </c>
      <c r="H1560" s="1" t="str">
        <f>"봉화간 40R3A1"</f>
        <v>봉화간 40R3A1</v>
      </c>
      <c r="I1560" s="1" t="s">
        <v>8</v>
      </c>
      <c r="J1560" s="1" t="str">
        <f>"7/31"</f>
        <v>7/31</v>
      </c>
      <c r="K1560" s="1" t="str">
        <f t="shared" si="91"/>
        <v>2026-07-29 13:18:03</v>
      </c>
      <c r="L1560" s="1" t="str">
        <f>"2018-03-07 14:00:27"</f>
        <v>2018-03-07 14:00:27</v>
      </c>
      <c r="M1560" s="1" t="s">
        <v>1</v>
      </c>
      <c r="N1560" s="1" t="s">
        <v>38</v>
      </c>
      <c r="O1560" s="1" t="s">
        <v>46</v>
      </c>
    </row>
    <row r="1561" spans="2:15" x14ac:dyDescent="0.3">
      <c r="B1561" s="1" t="s">
        <v>24</v>
      </c>
      <c r="C1561" s="1" t="str">
        <f>"3차"</f>
        <v>3차</v>
      </c>
      <c r="D1561" s="1" t="str">
        <f>"0328X99131"</f>
        <v>0328X99131</v>
      </c>
      <c r="E1561" s="1" t="s">
        <v>10</v>
      </c>
      <c r="F1561" s="1" t="str">
        <f>"10.14.4.117"</f>
        <v>10.14.4.117</v>
      </c>
      <c r="G1561" s="1" t="str">
        <f>"0328X991"</f>
        <v>0328X991</v>
      </c>
      <c r="H1561" s="1" t="str">
        <f>"봉화간 40R3A2"</f>
        <v>봉화간 40R3A2</v>
      </c>
      <c r="I1561" s="1" t="s">
        <v>8</v>
      </c>
      <c r="J1561" s="1" t="str">
        <f>"27/27"</f>
        <v>27/27</v>
      </c>
      <c r="K1561" s="1" t="str">
        <f t="shared" si="91"/>
        <v>2026-07-29 13:18:03</v>
      </c>
      <c r="L1561" s="1" t="str">
        <f>"2018-03-07 13:59:41"</f>
        <v>2018-03-07 13:59:41</v>
      </c>
      <c r="M1561" s="1" t="s">
        <v>3</v>
      </c>
      <c r="N1561" s="1" t="s">
        <v>38</v>
      </c>
      <c r="O1561" s="1" t="s">
        <v>46</v>
      </c>
    </row>
    <row r="1562" spans="2:15" x14ac:dyDescent="0.3">
      <c r="B1562" s="1" t="s">
        <v>24</v>
      </c>
      <c r="C1562" s="1" t="str">
        <f>"4차"</f>
        <v>4차</v>
      </c>
      <c r="D1562" s="1" t="str">
        <f>"0328Y16141"</f>
        <v>0328Y16141</v>
      </c>
      <c r="E1562" s="1" t="s">
        <v>10</v>
      </c>
      <c r="F1562" s="1" t="str">
        <f>"10.14.2.115"</f>
        <v>10.14.2.115</v>
      </c>
      <c r="G1562" s="1" t="str">
        <f>"0328Y161"</f>
        <v>0328Y161</v>
      </c>
      <c r="H1562" s="1" t="str">
        <f>"신이문간 41L19"</f>
        <v>신이문간 41L19</v>
      </c>
      <c r="I1562" s="1" t="s">
        <v>17</v>
      </c>
      <c r="J1562" s="1" t="str">
        <f>"11/17"</f>
        <v>11/17</v>
      </c>
      <c r="K1562" s="1" t="str">
        <f t="shared" si="91"/>
        <v>2026-07-29 13:18:03</v>
      </c>
      <c r="L1562" s="1" t="str">
        <f>"2021-11-18 17:35:47"</f>
        <v>2021-11-18 17:35:47</v>
      </c>
      <c r="M1562" s="1" t="s">
        <v>3</v>
      </c>
      <c r="N1562" s="1" t="s">
        <v>38</v>
      </c>
      <c r="O1562" s="1" t="s">
        <v>46</v>
      </c>
    </row>
    <row r="1563" spans="2:15" x14ac:dyDescent="0.3">
      <c r="B1563" s="1" t="s">
        <v>24</v>
      </c>
      <c r="C1563" s="1" t="str">
        <f>"4차"</f>
        <v>4차</v>
      </c>
      <c r="D1563" s="1" t="str">
        <f>"0328Y40139"</f>
        <v>0328Y40139</v>
      </c>
      <c r="E1563" s="1" t="s">
        <v>10</v>
      </c>
      <c r="F1563" s="1" t="str">
        <f>"10.10.40.2"</f>
        <v>10.10.40.2</v>
      </c>
      <c r="G1563" s="1" t="str">
        <f>"0328Y401"</f>
        <v>0328Y401</v>
      </c>
      <c r="H1563" s="1" t="str">
        <f>"동이간 17L3R6"</f>
        <v>동이간 17L3R6</v>
      </c>
      <c r="I1563" s="1" t="s">
        <v>8</v>
      </c>
      <c r="J1563" s="1" t="str">
        <f>"7/13"</f>
        <v>7/13</v>
      </c>
      <c r="K1563" s="1" t="str">
        <f>"2026-07-29 13:18:02"</f>
        <v>2026-07-29 13:18:02</v>
      </c>
      <c r="L1563" s="1" t="str">
        <f>"2018-01-30 13:30:10"</f>
        <v>2018-01-30 13:30:10</v>
      </c>
      <c r="M1563" s="1" t="s">
        <v>1</v>
      </c>
      <c r="N1563" s="1" t="s">
        <v>38</v>
      </c>
      <c r="O1563" s="1" t="s">
        <v>46</v>
      </c>
    </row>
    <row r="1564" spans="2:15" x14ac:dyDescent="0.3">
      <c r="B1564" s="1" t="s">
        <v>24</v>
      </c>
      <c r="C1564" s="1" t="str">
        <f>"4차"</f>
        <v>4차</v>
      </c>
      <c r="D1564" s="1" t="str">
        <f>"0328Y50139"</f>
        <v>0328Y50139</v>
      </c>
      <c r="E1564" s="1" t="s">
        <v>10</v>
      </c>
      <c r="F1564" s="1" t="str">
        <f>"10.10.15.58"</f>
        <v>10.10.15.58</v>
      </c>
      <c r="G1564" s="1" t="str">
        <f>"0328Y501"</f>
        <v>0328Y501</v>
      </c>
      <c r="H1564" s="1" t="str">
        <f>"동이간 23"</f>
        <v>동이간 23</v>
      </c>
      <c r="I1564" s="1" t="s">
        <v>8</v>
      </c>
      <c r="J1564" s="1" t="str">
        <f>"21/21"</f>
        <v>21/21</v>
      </c>
      <c r="K1564" s="1" t="str">
        <f>"2026-07-29 13:18:02"</f>
        <v>2026-07-29 13:18:02</v>
      </c>
      <c r="L1564" s="1" t="str">
        <f>"2018-01-09 11:59:42"</f>
        <v>2018-01-09 11:59:42</v>
      </c>
      <c r="M1564" s="1" t="s">
        <v>1</v>
      </c>
      <c r="N1564" s="1" t="s">
        <v>38</v>
      </c>
      <c r="O1564" s="1" t="s">
        <v>46</v>
      </c>
    </row>
    <row r="1565" spans="2:15" x14ac:dyDescent="0.3">
      <c r="B1565" s="1" t="s">
        <v>24</v>
      </c>
      <c r="C1565" s="1" t="str">
        <f>"4차"</f>
        <v>4차</v>
      </c>
      <c r="D1565" s="1" t="str">
        <f>"0328Y50239"</f>
        <v>0328Y50239</v>
      </c>
      <c r="E1565" s="1" t="s">
        <v>10</v>
      </c>
      <c r="F1565" s="1" t="str">
        <f>"10.10.8.10"</f>
        <v>10.10.8.10</v>
      </c>
      <c r="G1565" s="1" t="str">
        <f>"0328Y502"</f>
        <v>0328Y502</v>
      </c>
      <c r="H1565" s="1" t="str">
        <f>"동이간 24"</f>
        <v>동이간 24</v>
      </c>
      <c r="I1565" s="1" t="s">
        <v>8</v>
      </c>
      <c r="J1565" s="1" t="str">
        <f>"31/31"</f>
        <v>31/31</v>
      </c>
      <c r="K1565" s="1" t="str">
        <f>"2026-07-29 13:18:02"</f>
        <v>2026-07-29 13:18:02</v>
      </c>
      <c r="L1565" s="1" t="str">
        <f>"2018-01-09 13:38:13"</f>
        <v>2018-01-09 13:38:13</v>
      </c>
      <c r="M1565" s="1" t="s">
        <v>1</v>
      </c>
      <c r="N1565" s="1" t="s">
        <v>38</v>
      </c>
      <c r="O1565" s="1" t="s">
        <v>46</v>
      </c>
    </row>
    <row r="1566" spans="2:15" x14ac:dyDescent="0.3">
      <c r="B1566" s="1" t="s">
        <v>24</v>
      </c>
      <c r="C1566" s="1" t="str">
        <f>"3차"</f>
        <v>3차</v>
      </c>
      <c r="D1566" s="1" t="str">
        <f>"0328Y51439"</f>
        <v>0328Y51439</v>
      </c>
      <c r="E1566" s="1" t="s">
        <v>14</v>
      </c>
      <c r="F1566" s="1" t="str">
        <f>"10.10.40.26"</f>
        <v>10.10.40.26</v>
      </c>
      <c r="G1566" s="1" t="str">
        <f>"0328Y514"</f>
        <v>0328Y514</v>
      </c>
      <c r="H1566" s="1" t="str">
        <f>"동이간 26"</f>
        <v>동이간 26</v>
      </c>
      <c r="I1566" s="1" t="s">
        <v>8</v>
      </c>
      <c r="J1566" s="1" t="str">
        <f>"0/0"</f>
        <v>0/0</v>
      </c>
      <c r="K1566" s="1" t="str">
        <f>"2026-07-29 13:18:03"</f>
        <v>2026-07-29 13:18:03</v>
      </c>
      <c r="L1566" s="1" t="str">
        <f>"2018-03-29 13:03:28"</f>
        <v>2018-03-29 13:03:28</v>
      </c>
      <c r="M1566" s="1" t="s">
        <v>1</v>
      </c>
      <c r="N1566" s="1" t="s">
        <v>38</v>
      </c>
      <c r="O1566" s="1" t="s">
        <v>44</v>
      </c>
    </row>
    <row r="1567" spans="2:15" x14ac:dyDescent="0.3">
      <c r="B1567" s="1" t="s">
        <v>24</v>
      </c>
      <c r="C1567" s="1" t="str">
        <f>"3차"</f>
        <v>3차</v>
      </c>
      <c r="D1567" s="1" t="str">
        <f>"0328Y60239"</f>
        <v>0328Y60239</v>
      </c>
      <c r="E1567" s="1" t="s">
        <v>10</v>
      </c>
      <c r="F1567" s="1" t="str">
        <f>"10.10.22.82"</f>
        <v>10.10.22.82</v>
      </c>
      <c r="G1567" s="1" t="str">
        <f>"0328Y602"</f>
        <v>0328Y602</v>
      </c>
      <c r="H1567" s="1" t="str">
        <f>"신배간 6R3"</f>
        <v>신배간 6R3</v>
      </c>
      <c r="I1567" s="1" t="s">
        <v>8</v>
      </c>
      <c r="J1567" s="1" t="str">
        <f>"16/16"</f>
        <v>16/16</v>
      </c>
      <c r="K1567" s="1" t="str">
        <f>"2026-07-29 13:18:03"</f>
        <v>2026-07-29 13:18:03</v>
      </c>
      <c r="L1567" s="1" t="str">
        <f>"2018-03-12 09:58:25"</f>
        <v>2018-03-12 09:58:25</v>
      </c>
      <c r="M1567" s="1" t="s">
        <v>1</v>
      </c>
      <c r="N1567" s="1" t="s">
        <v>38</v>
      </c>
      <c r="O1567" s="1" t="s">
        <v>46</v>
      </c>
    </row>
    <row r="1568" spans="2:15" x14ac:dyDescent="0.3">
      <c r="B1568" s="1" t="s">
        <v>24</v>
      </c>
      <c r="C1568" s="1" t="str">
        <f>"4차"</f>
        <v>4차</v>
      </c>
      <c r="D1568" s="1" t="str">
        <f>"0328Y60339"</f>
        <v>0328Y60339</v>
      </c>
      <c r="E1568" s="1" t="s">
        <v>10</v>
      </c>
      <c r="F1568" s="1" t="str">
        <f>"10.14.1.194"</f>
        <v>10.14.1.194</v>
      </c>
      <c r="G1568" s="1" t="str">
        <f>"0328Y603"</f>
        <v>0328Y603</v>
      </c>
      <c r="H1568" s="1" t="str">
        <f>"신배간 6R4"</f>
        <v>신배간 6R4</v>
      </c>
      <c r="I1568" s="1" t="s">
        <v>8</v>
      </c>
      <c r="J1568" s="1" t="str">
        <f>"33/33"</f>
        <v>33/33</v>
      </c>
      <c r="K1568" s="1" t="str">
        <f>"2026-07-29 13:18:03"</f>
        <v>2026-07-29 13:18:03</v>
      </c>
      <c r="L1568" s="1" t="str">
        <f>"2018-05-21 11:22:05"</f>
        <v>2018-05-21 11:22:05</v>
      </c>
      <c r="M1568" s="1" t="s">
        <v>3</v>
      </c>
      <c r="N1568" s="1" t="s">
        <v>38</v>
      </c>
      <c r="O1568" s="1" t="s">
        <v>46</v>
      </c>
    </row>
    <row r="1569" spans="2:15" x14ac:dyDescent="0.3">
      <c r="B1569" s="1" t="s">
        <v>24</v>
      </c>
      <c r="C1569" s="1" t="str">
        <f>"3차"</f>
        <v>3차</v>
      </c>
      <c r="D1569" s="1" t="str">
        <f>"0328Y70131"</f>
        <v>0328Y70131</v>
      </c>
      <c r="E1569" s="1" t="s">
        <v>10</v>
      </c>
      <c r="F1569" s="1" t="str">
        <f>"10.10.22.75"</f>
        <v>10.10.22.75</v>
      </c>
      <c r="G1569" s="1" t="str">
        <f>"0328Y701"</f>
        <v>0328Y701</v>
      </c>
      <c r="H1569" s="1" t="str">
        <f>"신배간 6R2"</f>
        <v>신배간 6R2</v>
      </c>
      <c r="I1569" s="1" t="s">
        <v>8</v>
      </c>
      <c r="J1569" s="1" t="str">
        <f>"5/5"</f>
        <v>5/5</v>
      </c>
      <c r="K1569" s="1" t="str">
        <f>"2026-07-29 13:18:02"</f>
        <v>2026-07-29 13:18:02</v>
      </c>
      <c r="L1569" s="1" t="str">
        <f>"2018-02-07 10:23:55"</f>
        <v>2018-02-07 10:23:55</v>
      </c>
      <c r="M1569" s="1" t="s">
        <v>1</v>
      </c>
      <c r="N1569" s="1" t="s">
        <v>38</v>
      </c>
      <c r="O1569" s="1" t="s">
        <v>46</v>
      </c>
    </row>
    <row r="1570" spans="2:15" x14ac:dyDescent="0.3">
      <c r="B1570" s="1" t="s">
        <v>24</v>
      </c>
      <c r="C1570" s="1" t="str">
        <f>"3차"</f>
        <v>3차</v>
      </c>
      <c r="D1570" s="1" t="str">
        <f>"0328Y71130"</f>
        <v>0328Y71130</v>
      </c>
      <c r="E1570" s="1" t="s">
        <v>10</v>
      </c>
      <c r="F1570" s="1" t="str">
        <f>"10.10.22.74"</f>
        <v>10.10.22.74</v>
      </c>
      <c r="G1570" s="1" t="str">
        <f>"0328Y711"</f>
        <v>0328Y711</v>
      </c>
      <c r="H1570" s="1" t="str">
        <f>"신배간 6R1"</f>
        <v>신배간 6R1</v>
      </c>
      <c r="I1570" s="1" t="s">
        <v>8</v>
      </c>
      <c r="J1570" s="1" t="str">
        <f>"34/34"</f>
        <v>34/34</v>
      </c>
      <c r="K1570" s="1" t="str">
        <f>"2026-07-29 13:18:03"</f>
        <v>2026-07-29 13:18:03</v>
      </c>
      <c r="L1570" s="1" t="str">
        <f>"2018-01-31 10:56:55"</f>
        <v>2018-01-31 10:56:55</v>
      </c>
      <c r="M1570" s="1" t="s">
        <v>1</v>
      </c>
      <c r="N1570" s="1" t="s">
        <v>38</v>
      </c>
      <c r="O1570" s="1" t="s">
        <v>46</v>
      </c>
    </row>
    <row r="1571" spans="2:15" x14ac:dyDescent="0.3">
      <c r="B1571" s="1" t="s">
        <v>24</v>
      </c>
      <c r="C1571" s="1" t="str">
        <f>"3차"</f>
        <v>3차</v>
      </c>
      <c r="D1571" s="1" t="str">
        <f>"0328Y72439"</f>
        <v>0328Y72439</v>
      </c>
      <c r="E1571" s="1" t="s">
        <v>10</v>
      </c>
      <c r="F1571" s="1" t="str">
        <f>"10.14.4.121"</f>
        <v>10.14.4.121</v>
      </c>
      <c r="G1571" s="1" t="str">
        <f>"0328Y724"</f>
        <v>0328Y724</v>
      </c>
      <c r="H1571" s="1" t="str">
        <f>"신배간 5"</f>
        <v>신배간 5</v>
      </c>
      <c r="I1571" s="1" t="s">
        <v>8</v>
      </c>
      <c r="J1571" s="1" t="str">
        <f>"32/32"</f>
        <v>32/32</v>
      </c>
      <c r="K1571" s="1" t="str">
        <f>"2026-07-29 13:18:03"</f>
        <v>2026-07-29 13:18:03</v>
      </c>
      <c r="L1571" s="1" t="str">
        <f>"2018-03-24 13:06:57"</f>
        <v>2018-03-24 13:06:57</v>
      </c>
      <c r="M1571" s="1" t="s">
        <v>3</v>
      </c>
      <c r="N1571" s="1" t="s">
        <v>38</v>
      </c>
      <c r="O1571" s="1" t="s">
        <v>46</v>
      </c>
    </row>
    <row r="1572" spans="2:15" x14ac:dyDescent="0.3">
      <c r="B1572" s="1" t="s">
        <v>24</v>
      </c>
      <c r="C1572" s="1" t="str">
        <f>"3차"</f>
        <v>3차</v>
      </c>
      <c r="D1572" s="1" t="str">
        <f>"0328Y73331"</f>
        <v>0328Y73331</v>
      </c>
      <c r="E1572" s="1" t="s">
        <v>10</v>
      </c>
      <c r="F1572" s="1" t="str">
        <f>"10.10.40.163"</f>
        <v>10.10.40.163</v>
      </c>
      <c r="G1572" s="1" t="str">
        <f>"0328Y733"</f>
        <v>0328Y733</v>
      </c>
      <c r="H1572" s="1" t="str">
        <f>"한독간 8R30"</f>
        <v>한독간 8R30</v>
      </c>
      <c r="I1572" s="1" t="s">
        <v>8</v>
      </c>
      <c r="J1572" s="1" t="str">
        <f>"30/30"</f>
        <v>30/30</v>
      </c>
      <c r="K1572" s="1" t="str">
        <f>"2026-07-29 13:18:03"</f>
        <v>2026-07-29 13:18:03</v>
      </c>
      <c r="L1572" s="1" t="str">
        <f>"2018-03-02 16:05:28"</f>
        <v>2018-03-02 16:05:28</v>
      </c>
      <c r="M1572" s="1" t="s">
        <v>1</v>
      </c>
      <c r="N1572" s="1" t="s">
        <v>38</v>
      </c>
      <c r="O1572" s="1" t="s">
        <v>46</v>
      </c>
    </row>
    <row r="1573" spans="2:15" x14ac:dyDescent="0.3">
      <c r="B1573" s="1" t="s">
        <v>24</v>
      </c>
      <c r="C1573" s="1" t="str">
        <f>"3차"</f>
        <v>3차</v>
      </c>
      <c r="D1573" s="1" t="str">
        <f>"0328Y80139"</f>
        <v>0328Y80139</v>
      </c>
      <c r="E1573" s="1" t="s">
        <v>10</v>
      </c>
      <c r="F1573" s="1" t="str">
        <f>"10.10.16.178"</f>
        <v>10.10.16.178</v>
      </c>
      <c r="G1573" s="1" t="str">
        <f>"0328Y801"</f>
        <v>0328Y801</v>
      </c>
      <c r="H1573" s="1" t="str">
        <f>"동이간 18R7"</f>
        <v>동이간 18R7</v>
      </c>
      <c r="I1573" s="1" t="s">
        <v>8</v>
      </c>
      <c r="J1573" s="1" t="str">
        <f>"24/24"</f>
        <v>24/24</v>
      </c>
      <c r="K1573" s="1" t="str">
        <f>"2026-07-29 13:18:02"</f>
        <v>2026-07-29 13:18:02</v>
      </c>
      <c r="L1573" s="1" t="str">
        <f>"2018-01-30 13:25:40"</f>
        <v>2018-01-30 13:25:40</v>
      </c>
      <c r="M1573" s="1" t="s">
        <v>1</v>
      </c>
      <c r="N1573" s="1" t="s">
        <v>38</v>
      </c>
      <c r="O1573" s="1" t="s">
        <v>46</v>
      </c>
    </row>
    <row r="1574" spans="2:15" x14ac:dyDescent="0.3">
      <c r="B1574" s="1" t="s">
        <v>24</v>
      </c>
      <c r="C1574" s="1" t="str">
        <f>"4차"</f>
        <v>4차</v>
      </c>
      <c r="D1574" s="1" t="str">
        <f>"0328Y81139"</f>
        <v>0328Y81139</v>
      </c>
      <c r="E1574" s="1" t="s">
        <v>10</v>
      </c>
      <c r="F1574" s="1" t="str">
        <f>"10.10.16.218"</f>
        <v>10.10.16.218</v>
      </c>
      <c r="G1574" s="1" t="str">
        <f>"0328Y811"</f>
        <v>0328Y811</v>
      </c>
      <c r="H1574" s="1" t="str">
        <f>"신배간 7"</f>
        <v>신배간 7</v>
      </c>
      <c r="I1574" s="1" t="s">
        <v>8</v>
      </c>
      <c r="J1574" s="1" t="str">
        <f>"44/54"</f>
        <v>44/54</v>
      </c>
      <c r="K1574" s="1" t="str">
        <f>"2026-07-29 13:18:02"</f>
        <v>2026-07-29 13:18:02</v>
      </c>
      <c r="L1574" s="1" t="str">
        <f>"2021-07-28 16:03:09"</f>
        <v>2021-07-28 16:03:09</v>
      </c>
      <c r="M1574" s="1" t="s">
        <v>1</v>
      </c>
      <c r="N1574" s="1" t="s">
        <v>38</v>
      </c>
      <c r="O1574" s="1" t="s">
        <v>46</v>
      </c>
    </row>
    <row r="1575" spans="2:15" x14ac:dyDescent="0.3">
      <c r="B1575" s="1" t="s">
        <v>24</v>
      </c>
      <c r="C1575" s="1" t="str">
        <f>"3차"</f>
        <v>3차</v>
      </c>
      <c r="D1575" s="1" t="str">
        <f>"0328Y82639"</f>
        <v>0328Y82639</v>
      </c>
      <c r="E1575" s="1" t="s">
        <v>10</v>
      </c>
      <c r="F1575" s="1" t="str">
        <f>"10.12.128.73"</f>
        <v>10.12.128.73</v>
      </c>
      <c r="G1575" s="1" t="str">
        <f>"0328Y826"</f>
        <v>0328Y826</v>
      </c>
      <c r="H1575" s="1" t="str">
        <f>"한독간 8R26"</f>
        <v>한독간 8R26</v>
      </c>
      <c r="I1575" s="1" t="s">
        <v>8</v>
      </c>
      <c r="J1575" s="1" t="str">
        <f>"55/57"</f>
        <v>55/57</v>
      </c>
      <c r="K1575" s="1" t="str">
        <f>"2026-07-29 13:18:03"</f>
        <v>2026-07-29 13:18:03</v>
      </c>
      <c r="L1575" s="1" t="str">
        <f>"2018-03-25 09:07:55"</f>
        <v>2018-03-25 09:07:55</v>
      </c>
      <c r="M1575" s="1" t="s">
        <v>0</v>
      </c>
      <c r="N1575" s="1" t="s">
        <v>38</v>
      </c>
      <c r="O1575" s="1" t="s">
        <v>46</v>
      </c>
    </row>
    <row r="1576" spans="2:15" x14ac:dyDescent="0.3">
      <c r="B1576" s="1" t="s">
        <v>24</v>
      </c>
      <c r="C1576" s="1" t="str">
        <f>"4차"</f>
        <v>4차</v>
      </c>
      <c r="D1576" s="1" t="str">
        <f>"0328Y83144"</f>
        <v>0328Y83144</v>
      </c>
      <c r="E1576" s="1" t="s">
        <v>10</v>
      </c>
      <c r="F1576" s="1" t="str">
        <f>"10.10.50.138"</f>
        <v>10.10.50.138</v>
      </c>
      <c r="G1576" s="1" t="str">
        <f>"0328Y831"</f>
        <v>0328Y831</v>
      </c>
      <c r="H1576" s="1" t="str">
        <f>"한독간 8R27R2"</f>
        <v>한독간 8R27R2</v>
      </c>
      <c r="I1576" s="1" t="s">
        <v>8</v>
      </c>
      <c r="J1576" s="1" t="str">
        <f>"20/20"</f>
        <v>20/20</v>
      </c>
      <c r="K1576" s="1" t="str">
        <f>"2026-07-29 13:18:02"</f>
        <v>2026-07-29 13:18:02</v>
      </c>
      <c r="L1576" s="1" t="str">
        <f>"2020-01-10 17:25:13"</f>
        <v>2020-01-10 17:25:13</v>
      </c>
      <c r="M1576" s="1" t="s">
        <v>1</v>
      </c>
      <c r="N1576" s="1" t="s">
        <v>38</v>
      </c>
      <c r="O1576" s="1" t="s">
        <v>46</v>
      </c>
    </row>
    <row r="1577" spans="2:15" x14ac:dyDescent="0.3">
      <c r="B1577" s="1" t="s">
        <v>24</v>
      </c>
      <c r="C1577" s="1" t="str">
        <f>"4차"</f>
        <v>4차</v>
      </c>
      <c r="D1577" s="1" t="str">
        <f>"0328Y84130"</f>
        <v>0328Y84130</v>
      </c>
      <c r="E1577" s="1" t="s">
        <v>10</v>
      </c>
      <c r="F1577" s="1" t="str">
        <f>"10.10.40.162"</f>
        <v>10.10.40.162</v>
      </c>
      <c r="G1577" s="1" t="str">
        <f>"0328Y841"</f>
        <v>0328Y841</v>
      </c>
      <c r="H1577" s="1" t="str">
        <f>"한독간 8R32"</f>
        <v>한독간 8R32</v>
      </c>
      <c r="I1577" s="1" t="s">
        <v>8</v>
      </c>
      <c r="J1577" s="1" t="str">
        <f>"1/1"</f>
        <v>1/1</v>
      </c>
      <c r="K1577" s="1" t="str">
        <f>"2026-07-29 13:18:02"</f>
        <v>2026-07-29 13:18:02</v>
      </c>
      <c r="L1577" s="1" t="str">
        <f>"2018-02-22 13:53:45"</f>
        <v>2018-02-22 13:53:45</v>
      </c>
      <c r="M1577" s="1" t="s">
        <v>1</v>
      </c>
      <c r="N1577" s="1" t="s">
        <v>38</v>
      </c>
      <c r="O1577" s="1" t="s">
        <v>46</v>
      </c>
    </row>
    <row r="1578" spans="2:15" x14ac:dyDescent="0.3">
      <c r="B1578" s="1" t="s">
        <v>24</v>
      </c>
      <c r="C1578" s="1" t="str">
        <f t="shared" ref="C1578:C1584" si="92">"3차"</f>
        <v>3차</v>
      </c>
      <c r="D1578" s="1" t="str">
        <f>"0328Y85339"</f>
        <v>0328Y85339</v>
      </c>
      <c r="E1578" s="1" t="s">
        <v>10</v>
      </c>
      <c r="F1578" s="1" t="str">
        <f>"10.10.19.250"</f>
        <v>10.10.19.250</v>
      </c>
      <c r="G1578" s="1" t="str">
        <f>"0328Y853"</f>
        <v>0328Y853</v>
      </c>
      <c r="H1578" s="1" t="str">
        <f>"한독간 8R33"</f>
        <v>한독간 8R33</v>
      </c>
      <c r="I1578" s="1" t="s">
        <v>8</v>
      </c>
      <c r="J1578" s="1" t="str">
        <f>"6/6"</f>
        <v>6/6</v>
      </c>
      <c r="K1578" s="1" t="str">
        <f>"2026-07-29 13:18:03"</f>
        <v>2026-07-29 13:18:03</v>
      </c>
      <c r="L1578" s="1" t="str">
        <f>"2018-02-22 13:59:46"</f>
        <v>2018-02-22 13:59:46</v>
      </c>
      <c r="M1578" s="1" t="s">
        <v>1</v>
      </c>
      <c r="N1578" s="1" t="s">
        <v>38</v>
      </c>
      <c r="O1578" s="1" t="s">
        <v>46</v>
      </c>
    </row>
    <row r="1579" spans="2:15" x14ac:dyDescent="0.3">
      <c r="B1579" s="1" t="s">
        <v>24</v>
      </c>
      <c r="C1579" s="1" t="str">
        <f t="shared" si="92"/>
        <v>3차</v>
      </c>
      <c r="D1579" s="1" t="str">
        <f>"0328Y91639"</f>
        <v>0328Y91639</v>
      </c>
      <c r="E1579" s="1" t="s">
        <v>10</v>
      </c>
      <c r="F1579" s="1" t="str">
        <f>"10.10.5.114"</f>
        <v>10.10.5.114</v>
      </c>
      <c r="G1579" s="1" t="str">
        <f>"0328Y916"</f>
        <v>0328Y916</v>
      </c>
      <c r="H1579" s="1" t="str">
        <f>"한독간 8R24"</f>
        <v>한독간 8R24</v>
      </c>
      <c r="I1579" s="1" t="s">
        <v>8</v>
      </c>
      <c r="J1579" s="1" t="str">
        <f>"28/28"</f>
        <v>28/28</v>
      </c>
      <c r="K1579" s="1" t="str">
        <f>"2026-07-29 13:18:02"</f>
        <v>2026-07-29 13:18:02</v>
      </c>
      <c r="L1579" s="1" t="str">
        <f>"2018-02-26 19:36:37"</f>
        <v>2018-02-26 19:36:37</v>
      </c>
      <c r="M1579" s="1" t="s">
        <v>1</v>
      </c>
      <c r="N1579" s="1" t="s">
        <v>38</v>
      </c>
      <c r="O1579" s="1" t="s">
        <v>46</v>
      </c>
    </row>
    <row r="1580" spans="2:15" x14ac:dyDescent="0.3">
      <c r="B1580" s="1" t="s">
        <v>24</v>
      </c>
      <c r="C1580" s="1" t="str">
        <f t="shared" si="92"/>
        <v>3차</v>
      </c>
      <c r="D1580" s="1" t="str">
        <f>"0328Y96139"</f>
        <v>0328Y96139</v>
      </c>
      <c r="E1580" s="1" t="s">
        <v>10</v>
      </c>
      <c r="F1580" s="1" t="str">
        <f>"10.10.20.2"</f>
        <v>10.10.20.2</v>
      </c>
      <c r="G1580" s="1" t="str">
        <f>"0328Y961"</f>
        <v>0328Y961</v>
      </c>
      <c r="H1580" s="1" t="str">
        <f>"한독간 8R35"</f>
        <v>한독간 8R35</v>
      </c>
      <c r="I1580" s="1" t="s">
        <v>8</v>
      </c>
      <c r="J1580" s="1" t="str">
        <f>"4/4"</f>
        <v>4/4</v>
      </c>
      <c r="K1580" s="1" t="str">
        <f>"2026-07-29 13:18:02"</f>
        <v>2026-07-29 13:18:02</v>
      </c>
      <c r="L1580" s="1" t="str">
        <f>"2018-05-11 18:17:30"</f>
        <v>2018-05-11 18:17:30</v>
      </c>
      <c r="M1580" s="1" t="s">
        <v>1</v>
      </c>
      <c r="N1580" s="1" t="s">
        <v>38</v>
      </c>
      <c r="O1580" s="1" t="s">
        <v>46</v>
      </c>
    </row>
    <row r="1581" spans="2:15" x14ac:dyDescent="0.3">
      <c r="B1581" s="1" t="s">
        <v>24</v>
      </c>
      <c r="C1581" s="1" t="str">
        <f t="shared" si="92"/>
        <v>3차</v>
      </c>
      <c r="D1581" s="1" t="str">
        <f>"0328Y97130"</f>
        <v>0328Y97130</v>
      </c>
      <c r="E1581" s="1" t="s">
        <v>10</v>
      </c>
      <c r="F1581" s="1" t="str">
        <f>"10.10.20.10"</f>
        <v>10.10.20.10</v>
      </c>
      <c r="G1581" s="1" t="str">
        <f>"0328Y971"</f>
        <v>0328Y971</v>
      </c>
      <c r="H1581" s="1" t="str">
        <f>"한독간 8R37"</f>
        <v>한독간 8R37</v>
      </c>
      <c r="I1581" s="1" t="s">
        <v>8</v>
      </c>
      <c r="J1581" s="1" t="str">
        <f>"34/34"</f>
        <v>34/34</v>
      </c>
      <c r="K1581" s="1" t="str">
        <f>"2026-07-29 13:18:02"</f>
        <v>2026-07-29 13:18:02</v>
      </c>
      <c r="L1581" s="1" t="str">
        <f>"2018-05-11 18:16:01"</f>
        <v>2018-05-11 18:16:01</v>
      </c>
      <c r="M1581" s="1" t="s">
        <v>1</v>
      </c>
      <c r="N1581" s="1" t="s">
        <v>38</v>
      </c>
      <c r="O1581" s="1" t="s">
        <v>46</v>
      </c>
    </row>
    <row r="1582" spans="2:15" x14ac:dyDescent="0.3">
      <c r="B1582" s="1" t="s">
        <v>24</v>
      </c>
      <c r="C1582" s="1" t="str">
        <f t="shared" si="92"/>
        <v>3차</v>
      </c>
      <c r="D1582" s="1" t="str">
        <f>"0328Y97231"</f>
        <v>0328Y97231</v>
      </c>
      <c r="E1582" s="1" t="s">
        <v>10</v>
      </c>
      <c r="F1582" s="1" t="str">
        <f>"10.10.20.11"</f>
        <v>10.10.20.11</v>
      </c>
      <c r="G1582" s="1" t="str">
        <f>"0328Y972"</f>
        <v>0328Y972</v>
      </c>
      <c r="H1582" s="1" t="str">
        <f>"한독간 8R36"</f>
        <v>한독간 8R36</v>
      </c>
      <c r="I1582" s="1" t="s">
        <v>8</v>
      </c>
      <c r="J1582" s="1" t="str">
        <f>"48/48"</f>
        <v>48/48</v>
      </c>
      <c r="K1582" s="1" t="str">
        <f>"2026-07-29 13:18:02"</f>
        <v>2026-07-29 13:18:02</v>
      </c>
      <c r="L1582" s="1" t="str">
        <f>"2021-07-28 09:35:26"</f>
        <v>2021-07-28 09:35:26</v>
      </c>
      <c r="M1582" s="1" t="s">
        <v>1</v>
      </c>
      <c r="N1582" s="1" t="s">
        <v>38</v>
      </c>
      <c r="O1582" s="1" t="s">
        <v>46</v>
      </c>
    </row>
    <row r="1583" spans="2:15" x14ac:dyDescent="0.3">
      <c r="B1583" s="1" t="s">
        <v>24</v>
      </c>
      <c r="C1583" s="1" t="str">
        <f t="shared" si="92"/>
        <v>3차</v>
      </c>
      <c r="D1583" s="1" t="str">
        <f>"0328Z00439"</f>
        <v>0328Z00439</v>
      </c>
      <c r="E1583" s="1" t="s">
        <v>10</v>
      </c>
      <c r="F1583" s="1" t="str">
        <f>"10.10.16.242"</f>
        <v>10.10.16.242</v>
      </c>
      <c r="G1583" s="1" t="str">
        <f>"0328Z004"</f>
        <v>0328Z004</v>
      </c>
      <c r="H1583" s="1" t="str">
        <f>"신배간 9"</f>
        <v>신배간 9</v>
      </c>
      <c r="I1583" s="1" t="s">
        <v>8</v>
      </c>
      <c r="J1583" s="1" t="str">
        <f>"63/64"</f>
        <v>63/64</v>
      </c>
      <c r="K1583" s="1" t="str">
        <f>"2026-07-29 13:18:03"</f>
        <v>2026-07-29 13:18:03</v>
      </c>
      <c r="L1583" s="1" t="str">
        <f>"2018-01-24 11:54:41"</f>
        <v>2018-01-24 11:54:41</v>
      </c>
      <c r="M1583" s="1" t="s">
        <v>1</v>
      </c>
      <c r="N1583" s="1" t="s">
        <v>38</v>
      </c>
      <c r="O1583" s="1" t="s">
        <v>46</v>
      </c>
    </row>
    <row r="1584" spans="2:15" x14ac:dyDescent="0.3">
      <c r="B1584" s="1" t="s">
        <v>24</v>
      </c>
      <c r="C1584" s="1" t="str">
        <f t="shared" si="92"/>
        <v>3차</v>
      </c>
      <c r="D1584" s="1" t="str">
        <f>"0328Z00539"</f>
        <v>0328Z00539</v>
      </c>
      <c r="E1584" s="1" t="s">
        <v>10</v>
      </c>
      <c r="F1584" s="1" t="str">
        <f>"10.10.17.2"</f>
        <v>10.10.17.2</v>
      </c>
      <c r="G1584" s="1" t="str">
        <f>"0328Z005"</f>
        <v>0328Z005</v>
      </c>
      <c r="H1584" s="1" t="str">
        <f>"신배간 10"</f>
        <v>신배간 10</v>
      </c>
      <c r="I1584" s="1" t="s">
        <v>8</v>
      </c>
      <c r="J1584" s="1" t="str">
        <f>"107/107"</f>
        <v>107/107</v>
      </c>
      <c r="K1584" s="1" t="str">
        <f>"2026-07-29 13:18:03"</f>
        <v>2026-07-29 13:18:03</v>
      </c>
      <c r="L1584" s="1" t="str">
        <f>"2018-01-24 12:05:56"</f>
        <v>2018-01-24 12:05:56</v>
      </c>
      <c r="M1584" s="1" t="s">
        <v>1</v>
      </c>
      <c r="N1584" s="1" t="s">
        <v>38</v>
      </c>
      <c r="O1584" s="1" t="s">
        <v>46</v>
      </c>
    </row>
    <row r="1585" spans="2:15" x14ac:dyDescent="0.3">
      <c r="B1585" s="1" t="s">
        <v>24</v>
      </c>
      <c r="C1585" s="1" t="str">
        <f>"6차"</f>
        <v>6차</v>
      </c>
      <c r="D1585" s="1" t="str">
        <f>"0328Z0066S"</f>
        <v>0328Z0066S</v>
      </c>
      <c r="E1585" s="1" t="s">
        <v>10</v>
      </c>
      <c r="F1585" s="1" t="str">
        <f>"fde1:103:4:c6d2:0:0:0:2"</f>
        <v>fde1:103:4:c6d2:0:0:0:2</v>
      </c>
      <c r="G1585" s="1" t="str">
        <f>"0328Z006"</f>
        <v>0328Z006</v>
      </c>
      <c r="H1585" s="1" t="str">
        <f>"한독간 8R22"</f>
        <v>한독간 8R22</v>
      </c>
      <c r="I1585" s="1" t="s">
        <v>15</v>
      </c>
      <c r="J1585" s="1" t="str">
        <f>"46/46"</f>
        <v>46/46</v>
      </c>
      <c r="K1585" s="1" t="str">
        <f>"2026-07-29 08:20:19"</f>
        <v>2026-07-29 08:20:19</v>
      </c>
      <c r="L1585" s="1" t="str">
        <f>"2024-09-30 11:18:59"</f>
        <v>2024-09-30 11:18:59</v>
      </c>
      <c r="M1585" s="1" t="s">
        <v>4</v>
      </c>
      <c r="N1585" s="1" t="s">
        <v>38</v>
      </c>
      <c r="O1585" s="1" t="s">
        <v>46</v>
      </c>
    </row>
    <row r="1586" spans="2:15" x14ac:dyDescent="0.3">
      <c r="B1586" s="1" t="s">
        <v>24</v>
      </c>
      <c r="C1586" s="1" t="str">
        <f>"4차"</f>
        <v>4차</v>
      </c>
      <c r="D1586" s="1" t="str">
        <f>"0328Z01344"</f>
        <v>0328Z01344</v>
      </c>
      <c r="E1586" s="1" t="s">
        <v>10</v>
      </c>
      <c r="F1586" s="1" t="str">
        <f>"10.10.50.130"</f>
        <v>10.10.50.130</v>
      </c>
      <c r="G1586" s="1" t="str">
        <f>"0328Z013"</f>
        <v>0328Z013</v>
      </c>
      <c r="H1586" s="1" t="str">
        <f>"한독간 8R23"</f>
        <v>한독간 8R23</v>
      </c>
      <c r="I1586" s="1" t="s">
        <v>8</v>
      </c>
      <c r="J1586" s="1" t="str">
        <f>"20/28"</f>
        <v>20/28</v>
      </c>
      <c r="K1586" s="1" t="str">
        <f>"2026-07-29 13:18:02"</f>
        <v>2026-07-29 13:18:02</v>
      </c>
      <c r="L1586" s="1" t="str">
        <f>"2019-12-24 16:41:55"</f>
        <v>2019-12-24 16:41:55</v>
      </c>
      <c r="M1586" s="1" t="s">
        <v>1</v>
      </c>
      <c r="N1586" s="1" t="s">
        <v>38</v>
      </c>
      <c r="O1586" s="1" t="s">
        <v>46</v>
      </c>
    </row>
    <row r="1587" spans="2:15" x14ac:dyDescent="0.3">
      <c r="B1587" s="1" t="s">
        <v>24</v>
      </c>
      <c r="C1587" s="1" t="str">
        <f>"3차"</f>
        <v>3차</v>
      </c>
      <c r="D1587" s="1" t="str">
        <f>"0328Z02232"</f>
        <v>0328Z02232</v>
      </c>
      <c r="E1587" s="1" t="s">
        <v>10</v>
      </c>
      <c r="F1587" s="1" t="str">
        <f>"10.10.5.124"</f>
        <v>10.10.5.124</v>
      </c>
      <c r="G1587" s="1" t="str">
        <f>"0328Z022"</f>
        <v>0328Z022</v>
      </c>
      <c r="H1587" s="1" t="str">
        <f>"한독간 8R24R2"</f>
        <v>한독간 8R24R2</v>
      </c>
      <c r="I1587" s="1" t="s">
        <v>8</v>
      </c>
      <c r="J1587" s="1" t="str">
        <f>"51/51"</f>
        <v>51/51</v>
      </c>
      <c r="K1587" s="1" t="str">
        <f>"2026-07-29 13:18:02"</f>
        <v>2026-07-29 13:18:02</v>
      </c>
      <c r="L1587" s="1" t="str">
        <f>"2018-02-08 10:25:45"</f>
        <v>2018-02-08 10:25:45</v>
      </c>
      <c r="M1587" s="1" t="s">
        <v>1</v>
      </c>
      <c r="N1587" s="1" t="s">
        <v>38</v>
      </c>
      <c r="O1587" s="1" t="s">
        <v>46</v>
      </c>
    </row>
    <row r="1588" spans="2:15" x14ac:dyDescent="0.3">
      <c r="B1588" s="1" t="s">
        <v>24</v>
      </c>
      <c r="C1588" s="1" t="str">
        <f>"3차"</f>
        <v>3차</v>
      </c>
      <c r="D1588" s="1" t="str">
        <f>"0328Z03130"</f>
        <v>0328Z03130</v>
      </c>
      <c r="E1588" s="1" t="s">
        <v>10</v>
      </c>
      <c r="F1588" s="1" t="str">
        <f>"10.10.5.122"</f>
        <v>10.10.5.122</v>
      </c>
      <c r="G1588" s="1" t="str">
        <f>"0328Z031"</f>
        <v>0328Z031</v>
      </c>
      <c r="H1588" s="1" t="str">
        <f>"한독간 8R24R3"</f>
        <v>한독간 8R24R3</v>
      </c>
      <c r="I1588" s="1" t="s">
        <v>8</v>
      </c>
      <c r="J1588" s="1" t="str">
        <f>"33/33"</f>
        <v>33/33</v>
      </c>
      <c r="K1588" s="1" t="str">
        <f>"2026-07-29 13:18:02"</f>
        <v>2026-07-29 13:18:02</v>
      </c>
      <c r="L1588" s="1" t="str">
        <f>"2018-05-11 19:00:31"</f>
        <v>2018-05-11 19:00:31</v>
      </c>
      <c r="M1588" s="1" t="s">
        <v>1</v>
      </c>
      <c r="N1588" s="1" t="s">
        <v>38</v>
      </c>
      <c r="O1588" s="1" t="s">
        <v>46</v>
      </c>
    </row>
    <row r="1589" spans="2:15" x14ac:dyDescent="0.3">
      <c r="B1589" s="1" t="s">
        <v>24</v>
      </c>
      <c r="C1589" s="1" t="str">
        <f>"3차"</f>
        <v>3차</v>
      </c>
      <c r="D1589" s="1" t="str">
        <f>"0328Z04139"</f>
        <v>0328Z04139</v>
      </c>
      <c r="E1589" s="1" t="s">
        <v>10</v>
      </c>
      <c r="F1589" s="1" t="str">
        <f>"10.10.23.218"</f>
        <v>10.10.23.218</v>
      </c>
      <c r="G1589" s="1" t="str">
        <f>"0328Z041"</f>
        <v>0328Z041</v>
      </c>
      <c r="H1589" s="1" t="str">
        <f>"한독간 8R24R5L3"</f>
        <v>한독간 8R24R5L3</v>
      </c>
      <c r="I1589" s="1" t="s">
        <v>8</v>
      </c>
      <c r="J1589" s="1" t="str">
        <f>"74/74"</f>
        <v>74/74</v>
      </c>
      <c r="K1589" s="1" t="str">
        <f>"2026-07-29 13:18:02"</f>
        <v>2026-07-29 13:18:02</v>
      </c>
      <c r="L1589" s="1" t="str">
        <f>"2018-05-11 18:58:16"</f>
        <v>2018-05-11 18:58:16</v>
      </c>
      <c r="M1589" s="1" t="s">
        <v>1</v>
      </c>
      <c r="N1589" s="1" t="s">
        <v>38</v>
      </c>
      <c r="O1589" s="1" t="s">
        <v>46</v>
      </c>
    </row>
    <row r="1590" spans="2:15" x14ac:dyDescent="0.3">
      <c r="B1590" s="1" t="s">
        <v>24</v>
      </c>
      <c r="C1590" s="1" t="str">
        <f>"4차"</f>
        <v>4차</v>
      </c>
      <c r="D1590" s="1" t="str">
        <f>"0328Z05139"</f>
        <v>0328Z05139</v>
      </c>
      <c r="E1590" s="1" t="s">
        <v>10</v>
      </c>
      <c r="F1590" s="1" t="str">
        <f>"10.10.24.114"</f>
        <v>10.10.24.114</v>
      </c>
      <c r="G1590" s="1" t="str">
        <f>"0328Z051"</f>
        <v>0328Z051</v>
      </c>
      <c r="H1590" s="1" t="str">
        <f>"한독간 8R24R5L4"</f>
        <v>한독간 8R24R5L4</v>
      </c>
      <c r="I1590" s="1" t="s">
        <v>8</v>
      </c>
      <c r="J1590" s="1" t="str">
        <f>"81/81"</f>
        <v>81/81</v>
      </c>
      <c r="K1590" s="1" t="str">
        <f>"2026-07-29 13:18:03"</f>
        <v>2026-07-29 13:18:03</v>
      </c>
      <c r="L1590" s="1" t="str">
        <f>"2018-01-25 16:17:57"</f>
        <v>2018-01-25 16:17:57</v>
      </c>
      <c r="M1590" s="1" t="s">
        <v>1</v>
      </c>
      <c r="N1590" s="1" t="s">
        <v>38</v>
      </c>
      <c r="O1590" s="1" t="s">
        <v>46</v>
      </c>
    </row>
    <row r="1591" spans="2:15" x14ac:dyDescent="0.3">
      <c r="B1591" s="1" t="s">
        <v>24</v>
      </c>
      <c r="C1591" s="1" t="str">
        <f>"3차"</f>
        <v>3차</v>
      </c>
      <c r="D1591" s="1" t="str">
        <f>"0328Z06139"</f>
        <v>0328Z06139</v>
      </c>
      <c r="E1591" s="1" t="s">
        <v>10</v>
      </c>
      <c r="F1591" s="1" t="str">
        <f>"10.10.24.90"</f>
        <v>10.10.24.90</v>
      </c>
      <c r="G1591" s="1" t="str">
        <f>"0328Z061"</f>
        <v>0328Z061</v>
      </c>
      <c r="H1591" s="1" t="str">
        <f>"한독간 8R24R5L5"</f>
        <v>한독간 8R24R5L5</v>
      </c>
      <c r="I1591" s="1" t="s">
        <v>8</v>
      </c>
      <c r="J1591" s="1" t="str">
        <f>"18/18"</f>
        <v>18/18</v>
      </c>
      <c r="K1591" s="1" t="str">
        <f>"2026-07-29 13:18:02"</f>
        <v>2026-07-29 13:18:02</v>
      </c>
      <c r="L1591" s="1" t="str">
        <f>"2018-01-25 19:46:43"</f>
        <v>2018-01-25 19:46:43</v>
      </c>
      <c r="M1591" s="1" t="s">
        <v>1</v>
      </c>
      <c r="N1591" s="1" t="s">
        <v>38</v>
      </c>
      <c r="O1591" s="1" t="s">
        <v>46</v>
      </c>
    </row>
    <row r="1592" spans="2:15" x14ac:dyDescent="0.3">
      <c r="B1592" s="1" t="s">
        <v>24</v>
      </c>
      <c r="C1592" s="1" t="str">
        <f>"4차"</f>
        <v>4차</v>
      </c>
      <c r="D1592" s="1" t="str">
        <f>"0328Z07139"</f>
        <v>0328Z07139</v>
      </c>
      <c r="E1592" s="1" t="s">
        <v>10</v>
      </c>
      <c r="F1592" s="1" t="str">
        <f>"10.10.6.114"</f>
        <v>10.10.6.114</v>
      </c>
      <c r="G1592" s="1" t="str">
        <f>"0328Z071"</f>
        <v>0328Z071</v>
      </c>
      <c r="H1592" s="1" t="str">
        <f>"한독간 8R37R1"</f>
        <v>한독간 8R37R1</v>
      </c>
      <c r="I1592" s="1" t="s">
        <v>8</v>
      </c>
      <c r="J1592" s="1" t="str">
        <f>"36/39"</f>
        <v>36/39</v>
      </c>
      <c r="K1592" s="1" t="str">
        <f t="shared" ref="K1592:K1607" si="93">"2026-07-29 13:18:03"</f>
        <v>2026-07-29 13:18:03</v>
      </c>
      <c r="L1592" s="1" t="str">
        <f>"2018-02-22 13:51:00"</f>
        <v>2018-02-22 13:51:00</v>
      </c>
      <c r="M1592" s="1" t="s">
        <v>1</v>
      </c>
      <c r="N1592" s="1" t="s">
        <v>38</v>
      </c>
      <c r="O1592" s="1" t="s">
        <v>46</v>
      </c>
    </row>
    <row r="1593" spans="2:15" x14ac:dyDescent="0.3">
      <c r="B1593" s="1" t="s">
        <v>24</v>
      </c>
      <c r="C1593" s="1" t="str">
        <f>"3차"</f>
        <v>3차</v>
      </c>
      <c r="D1593" s="1" t="str">
        <f>"0328Z10339"</f>
        <v>0328Z10339</v>
      </c>
      <c r="E1593" s="1" t="s">
        <v>10</v>
      </c>
      <c r="F1593" s="1" t="str">
        <f>"10.10.2.186"</f>
        <v>10.10.2.186</v>
      </c>
      <c r="G1593" s="1" t="str">
        <f>"0328Z103"</f>
        <v>0328Z103</v>
      </c>
      <c r="H1593" s="1" t="str">
        <f>"한독간 8R21"</f>
        <v>한독간 8R21</v>
      </c>
      <c r="I1593" s="1" t="s">
        <v>8</v>
      </c>
      <c r="J1593" s="1" t="str">
        <f>"40/55"</f>
        <v>40/55</v>
      </c>
      <c r="K1593" s="1" t="str">
        <f t="shared" si="93"/>
        <v>2026-07-29 13:18:03</v>
      </c>
      <c r="L1593" s="1" t="str">
        <f>"2018-01-29 09:23:39"</f>
        <v>2018-01-29 09:23:39</v>
      </c>
      <c r="M1593" s="1" t="s">
        <v>1</v>
      </c>
      <c r="N1593" s="1" t="s">
        <v>38</v>
      </c>
      <c r="O1593" s="1" t="s">
        <v>46</v>
      </c>
    </row>
    <row r="1594" spans="2:15" x14ac:dyDescent="0.3">
      <c r="B1594" s="1" t="s">
        <v>24</v>
      </c>
      <c r="C1594" s="1" t="str">
        <f>"3차"</f>
        <v>3차</v>
      </c>
      <c r="D1594" s="1" t="str">
        <f>"0328Z11239"</f>
        <v>0328Z11239</v>
      </c>
      <c r="E1594" s="1" t="s">
        <v>10</v>
      </c>
      <c r="F1594" s="1" t="str">
        <f>"10.10.3.10"</f>
        <v>10.10.3.10</v>
      </c>
      <c r="G1594" s="1" t="str">
        <f>"0328Z112"</f>
        <v>0328Z112</v>
      </c>
      <c r="H1594" s="1" t="str">
        <f>"한독간 8R21R1"</f>
        <v>한독간 8R21R1</v>
      </c>
      <c r="I1594" s="1" t="s">
        <v>8</v>
      </c>
      <c r="J1594" s="1" t="str">
        <f>"20/21"</f>
        <v>20/21</v>
      </c>
      <c r="K1594" s="1" t="str">
        <f t="shared" si="93"/>
        <v>2026-07-29 13:18:03</v>
      </c>
      <c r="L1594" s="1" t="str">
        <f>"2018-02-01 15:02:14"</f>
        <v>2018-02-01 15:02:14</v>
      </c>
      <c r="M1594" s="1" t="s">
        <v>1</v>
      </c>
      <c r="N1594" s="1" t="s">
        <v>38</v>
      </c>
      <c r="O1594" s="1" t="s">
        <v>46</v>
      </c>
    </row>
    <row r="1595" spans="2:15" x14ac:dyDescent="0.3">
      <c r="B1595" s="1" t="s">
        <v>24</v>
      </c>
      <c r="C1595" s="1" t="str">
        <f>"3차"</f>
        <v>3차</v>
      </c>
      <c r="D1595" s="1" t="str">
        <f>"0328Z13131"</f>
        <v>0328Z13131</v>
      </c>
      <c r="E1595" s="1" t="s">
        <v>10</v>
      </c>
      <c r="F1595" s="1" t="str">
        <f>"10.10.5.123"</f>
        <v>10.10.5.123</v>
      </c>
      <c r="G1595" s="1" t="str">
        <f>"0328Z131"</f>
        <v>0328Z131</v>
      </c>
      <c r="H1595" s="1" t="str">
        <f>"한독간 8R24R4"</f>
        <v>한독간 8R24R4</v>
      </c>
      <c r="I1595" s="1" t="s">
        <v>8</v>
      </c>
      <c r="J1595" s="1" t="str">
        <f>"19/19"</f>
        <v>19/19</v>
      </c>
      <c r="K1595" s="1" t="str">
        <f t="shared" si="93"/>
        <v>2026-07-29 13:18:03</v>
      </c>
      <c r="L1595" s="1" t="str">
        <f>"2018-02-08 10:18:42"</f>
        <v>2018-02-08 10:18:42</v>
      </c>
      <c r="M1595" s="1" t="s">
        <v>1</v>
      </c>
      <c r="N1595" s="1" t="s">
        <v>38</v>
      </c>
      <c r="O1595" s="1" t="s">
        <v>46</v>
      </c>
    </row>
    <row r="1596" spans="2:15" x14ac:dyDescent="0.3">
      <c r="B1596" s="1" t="s">
        <v>24</v>
      </c>
      <c r="C1596" s="1" t="str">
        <f>"4차"</f>
        <v>4차</v>
      </c>
      <c r="D1596" s="1" t="str">
        <f>"0328Z14130"</f>
        <v>0328Z14130</v>
      </c>
      <c r="E1596" s="1" t="s">
        <v>10</v>
      </c>
      <c r="F1596" s="1" t="str">
        <f>"10.10.24.34"</f>
        <v>10.10.24.34</v>
      </c>
      <c r="G1596" s="1" t="str">
        <f>"0328Z141"</f>
        <v>0328Z141</v>
      </c>
      <c r="H1596" s="1" t="str">
        <f>"한독간 8R24R5L2"</f>
        <v>한독간 8R24R5L2</v>
      </c>
      <c r="I1596" s="1" t="s">
        <v>8</v>
      </c>
      <c r="J1596" s="1" t="str">
        <f>"20/27"</f>
        <v>20/27</v>
      </c>
      <c r="K1596" s="1" t="str">
        <f t="shared" si="93"/>
        <v>2026-07-29 13:18:03</v>
      </c>
      <c r="L1596" s="1" t="str">
        <f>"2018-01-29 09:16:09"</f>
        <v>2018-01-29 09:16:09</v>
      </c>
      <c r="M1596" s="1" t="s">
        <v>1</v>
      </c>
      <c r="N1596" s="1" t="s">
        <v>38</v>
      </c>
      <c r="O1596" s="1" t="s">
        <v>46</v>
      </c>
    </row>
    <row r="1597" spans="2:15" x14ac:dyDescent="0.3">
      <c r="B1597" s="1" t="s">
        <v>24</v>
      </c>
      <c r="C1597" s="1" t="str">
        <f>"3차"</f>
        <v>3차</v>
      </c>
      <c r="D1597" s="1" t="str">
        <f>"0328Z14531"</f>
        <v>0328Z14531</v>
      </c>
      <c r="E1597" s="1" t="s">
        <v>10</v>
      </c>
      <c r="F1597" s="1" t="str">
        <f>"10.10.24.35"</f>
        <v>10.10.24.35</v>
      </c>
      <c r="G1597" s="1" t="str">
        <f>"0328Z145"</f>
        <v>0328Z145</v>
      </c>
      <c r="H1597" s="1" t="str">
        <f>"한독간 8R24R5L2R1"</f>
        <v>한독간 8R24R5L2R1</v>
      </c>
      <c r="I1597" s="1" t="s">
        <v>8</v>
      </c>
      <c r="J1597" s="1" t="str">
        <f>"12/12"</f>
        <v>12/12</v>
      </c>
      <c r="K1597" s="1" t="str">
        <f t="shared" si="93"/>
        <v>2026-07-29 13:18:03</v>
      </c>
      <c r="L1597" s="1" t="str">
        <f>"2018-02-08 09:54:26"</f>
        <v>2018-02-08 09:54:26</v>
      </c>
      <c r="M1597" s="1" t="s">
        <v>1</v>
      </c>
      <c r="N1597" s="1" t="s">
        <v>38</v>
      </c>
      <c r="O1597" s="1" t="s">
        <v>46</v>
      </c>
    </row>
    <row r="1598" spans="2:15" x14ac:dyDescent="0.3">
      <c r="B1598" s="1" t="s">
        <v>24</v>
      </c>
      <c r="C1598" s="1" t="str">
        <f>"4차"</f>
        <v>4차</v>
      </c>
      <c r="D1598" s="1" t="str">
        <f>"0328Z16339"</f>
        <v>0328Z16339</v>
      </c>
      <c r="E1598" s="1" t="s">
        <v>10</v>
      </c>
      <c r="F1598" s="1" t="str">
        <f>"10.10.21.90"</f>
        <v>10.10.21.90</v>
      </c>
      <c r="G1598" s="1" t="str">
        <f>"0328Z163"</f>
        <v>0328Z163</v>
      </c>
      <c r="H1598" s="1" t="str">
        <f>"한독간 8R24R5L7"</f>
        <v>한독간 8R24R5L7</v>
      </c>
      <c r="I1598" s="1" t="s">
        <v>8</v>
      </c>
      <c r="J1598" s="1" t="str">
        <f>"45/46"</f>
        <v>45/46</v>
      </c>
      <c r="K1598" s="1" t="str">
        <f t="shared" si="93"/>
        <v>2026-07-29 13:18:03</v>
      </c>
      <c r="L1598" s="1" t="str">
        <f>"2018-01-25 16:48:57"</f>
        <v>2018-01-25 16:48:57</v>
      </c>
      <c r="M1598" s="1" t="s">
        <v>1</v>
      </c>
      <c r="N1598" s="1" t="s">
        <v>38</v>
      </c>
      <c r="O1598" s="1" t="s">
        <v>46</v>
      </c>
    </row>
    <row r="1599" spans="2:15" x14ac:dyDescent="0.3">
      <c r="B1599" s="1" t="s">
        <v>24</v>
      </c>
      <c r="C1599" s="1" t="str">
        <f>"4차"</f>
        <v>4차</v>
      </c>
      <c r="D1599" s="1" t="str">
        <f>"0328Z17139"</f>
        <v>0328Z17139</v>
      </c>
      <c r="E1599" s="1" t="s">
        <v>10</v>
      </c>
      <c r="F1599" s="1" t="str">
        <f>"10.10.7.58"</f>
        <v>10.10.7.58</v>
      </c>
      <c r="G1599" s="1" t="str">
        <f>"0328Z171"</f>
        <v>0328Z171</v>
      </c>
      <c r="H1599" s="1" t="str">
        <f>"한독간 8R24R5L9"</f>
        <v>한독간 8R24R5L9</v>
      </c>
      <c r="I1599" s="1" t="s">
        <v>8</v>
      </c>
      <c r="J1599" s="1" t="str">
        <f>"35/35"</f>
        <v>35/35</v>
      </c>
      <c r="K1599" s="1" t="str">
        <f t="shared" si="93"/>
        <v>2026-07-29 13:18:03</v>
      </c>
      <c r="L1599" s="1" t="str">
        <f>"2018-02-22 12:09:00"</f>
        <v>2018-02-22 12:09:00</v>
      </c>
      <c r="M1599" s="1" t="s">
        <v>1</v>
      </c>
      <c r="N1599" s="1" t="s">
        <v>38</v>
      </c>
      <c r="O1599" s="1" t="s">
        <v>46</v>
      </c>
    </row>
    <row r="1600" spans="2:15" x14ac:dyDescent="0.3">
      <c r="B1600" s="1" t="s">
        <v>24</v>
      </c>
      <c r="C1600" s="1" t="str">
        <f>"3차"</f>
        <v>3차</v>
      </c>
      <c r="D1600" s="1" t="str">
        <f>"0328Z17239"</f>
        <v>0328Z17239</v>
      </c>
      <c r="E1600" s="1" t="s">
        <v>10</v>
      </c>
      <c r="F1600" s="1" t="str">
        <f>"10.10.7.82"</f>
        <v>10.10.7.82</v>
      </c>
      <c r="G1600" s="1" t="str">
        <f>"0328Z172"</f>
        <v>0328Z172</v>
      </c>
      <c r="H1600" s="1" t="str">
        <f>"한독간 8R24R5L8"</f>
        <v>한독간 8R24R5L8</v>
      </c>
      <c r="I1600" s="1" t="s">
        <v>8</v>
      </c>
      <c r="J1600" s="1" t="str">
        <f>"66/66"</f>
        <v>66/66</v>
      </c>
      <c r="K1600" s="1" t="str">
        <f t="shared" si="93"/>
        <v>2026-07-29 13:18:03</v>
      </c>
      <c r="L1600" s="1" t="str">
        <f>"2018-02-22 12:04:44"</f>
        <v>2018-02-22 12:04:44</v>
      </c>
      <c r="M1600" s="1" t="s">
        <v>1</v>
      </c>
      <c r="N1600" s="1" t="s">
        <v>38</v>
      </c>
      <c r="O1600" s="1" t="s">
        <v>46</v>
      </c>
    </row>
    <row r="1601" spans="2:15" x14ac:dyDescent="0.3">
      <c r="B1601" s="1" t="s">
        <v>24</v>
      </c>
      <c r="C1601" s="1" t="str">
        <f>"3차"</f>
        <v>3차</v>
      </c>
      <c r="D1601" s="1" t="str">
        <f>"0328Z21139"</f>
        <v>0328Z21139</v>
      </c>
      <c r="E1601" s="1" t="s">
        <v>10</v>
      </c>
      <c r="F1601" s="1" t="str">
        <f>"10.10.3.82"</f>
        <v>10.10.3.82</v>
      </c>
      <c r="G1601" s="1" t="str">
        <f>"0328Z211"</f>
        <v>0328Z211</v>
      </c>
      <c r="H1601" s="1" t="str">
        <f>"한독간 8R21R2"</f>
        <v>한독간 8R21R2</v>
      </c>
      <c r="I1601" s="1" t="s">
        <v>8</v>
      </c>
      <c r="J1601" s="1" t="str">
        <f>"11/11"</f>
        <v>11/11</v>
      </c>
      <c r="K1601" s="1" t="str">
        <f t="shared" si="93"/>
        <v>2026-07-29 13:18:03</v>
      </c>
      <c r="L1601" s="1" t="str">
        <f>"2018-02-01 15:22:13"</f>
        <v>2018-02-01 15:22:13</v>
      </c>
      <c r="M1601" s="1" t="s">
        <v>1</v>
      </c>
      <c r="N1601" s="1" t="s">
        <v>38</v>
      </c>
      <c r="O1601" s="1" t="s">
        <v>46</v>
      </c>
    </row>
    <row r="1602" spans="2:15" x14ac:dyDescent="0.3">
      <c r="B1602" s="1" t="s">
        <v>24</v>
      </c>
      <c r="C1602" s="1" t="str">
        <f>"3차"</f>
        <v>3차</v>
      </c>
      <c r="D1602" s="1" t="str">
        <f>"0328Z22139"</f>
        <v>0328Z22139</v>
      </c>
      <c r="E1602" s="1" t="s">
        <v>10</v>
      </c>
      <c r="F1602" s="1" t="str">
        <f>"10.10.3.226"</f>
        <v>10.10.3.226</v>
      </c>
      <c r="G1602" s="1" t="str">
        <f>"0328Z221"</f>
        <v>0328Z221</v>
      </c>
      <c r="H1602" s="1" t="str">
        <f>"한독간 8R21R3"</f>
        <v>한독간 8R21R3</v>
      </c>
      <c r="I1602" s="1" t="s">
        <v>8</v>
      </c>
      <c r="J1602" s="1" t="str">
        <f>"40/45"</f>
        <v>40/45</v>
      </c>
      <c r="K1602" s="1" t="str">
        <f t="shared" si="93"/>
        <v>2026-07-29 13:18:03</v>
      </c>
      <c r="L1602" s="1" t="str">
        <f>"2018-02-01 16:25:58"</f>
        <v>2018-02-01 16:25:58</v>
      </c>
      <c r="M1602" s="1" t="s">
        <v>1</v>
      </c>
      <c r="N1602" s="1" t="s">
        <v>38</v>
      </c>
      <c r="O1602" s="1" t="s">
        <v>46</v>
      </c>
    </row>
    <row r="1603" spans="2:15" x14ac:dyDescent="0.3">
      <c r="B1603" s="1" t="s">
        <v>24</v>
      </c>
      <c r="C1603" s="1" t="str">
        <f>"3차"</f>
        <v>3차</v>
      </c>
      <c r="D1603" s="1" t="str">
        <f>"0328Z23139"</f>
        <v>0328Z23139</v>
      </c>
      <c r="E1603" s="1" t="s">
        <v>10</v>
      </c>
      <c r="F1603" s="1" t="str">
        <f>"10.10.23.82"</f>
        <v>10.10.23.82</v>
      </c>
      <c r="G1603" s="1" t="str">
        <f>"0328Z231"</f>
        <v>0328Z231</v>
      </c>
      <c r="H1603" s="1" t="str">
        <f>"한독간 8R24R5L1L2"</f>
        <v>한독간 8R24R5L1L2</v>
      </c>
      <c r="I1603" s="1" t="s">
        <v>8</v>
      </c>
      <c r="J1603" s="1" t="str">
        <f>"12/12"</f>
        <v>12/12</v>
      </c>
      <c r="K1603" s="1" t="str">
        <f t="shared" si="93"/>
        <v>2026-07-29 13:18:03</v>
      </c>
      <c r="L1603" s="1" t="str">
        <f>"2018-01-25 14:22:42"</f>
        <v>2018-01-25 14:22:42</v>
      </c>
      <c r="M1603" s="1" t="s">
        <v>1</v>
      </c>
      <c r="N1603" s="1" t="s">
        <v>38</v>
      </c>
      <c r="O1603" s="1" t="s">
        <v>46</v>
      </c>
    </row>
    <row r="1604" spans="2:15" x14ac:dyDescent="0.3">
      <c r="B1604" s="1" t="s">
        <v>24</v>
      </c>
      <c r="C1604" s="1" t="str">
        <f>"3차"</f>
        <v>3차</v>
      </c>
      <c r="D1604" s="1" t="str">
        <f>"0328Z23239"</f>
        <v>0328Z23239</v>
      </c>
      <c r="E1604" s="1" t="s">
        <v>10</v>
      </c>
      <c r="F1604" s="1" t="str">
        <f>"10.10.23.74"</f>
        <v>10.10.23.74</v>
      </c>
      <c r="G1604" s="1" t="str">
        <f>"0328Z232"</f>
        <v>0328Z232</v>
      </c>
      <c r="H1604" s="1" t="str">
        <f>"한독간 8R24R5L1L1"</f>
        <v>한독간 8R24R5L1L1</v>
      </c>
      <c r="I1604" s="1" t="s">
        <v>8</v>
      </c>
      <c r="J1604" s="1" t="str">
        <f>"55/55"</f>
        <v>55/55</v>
      </c>
      <c r="K1604" s="1" t="str">
        <f t="shared" si="93"/>
        <v>2026-07-29 13:18:03</v>
      </c>
      <c r="L1604" s="1" t="str">
        <f>"2018-01-25 14:21:27"</f>
        <v>2018-01-25 14:21:27</v>
      </c>
      <c r="M1604" s="1" t="s">
        <v>1</v>
      </c>
      <c r="N1604" s="1" t="s">
        <v>38</v>
      </c>
      <c r="O1604" s="1" t="s">
        <v>46</v>
      </c>
    </row>
    <row r="1605" spans="2:15" x14ac:dyDescent="0.3">
      <c r="B1605" s="1" t="s">
        <v>24</v>
      </c>
      <c r="C1605" s="1" t="str">
        <f>"4차"</f>
        <v>4차</v>
      </c>
      <c r="D1605" s="1" t="str">
        <f>"0328Z23339"</f>
        <v>0328Z23339</v>
      </c>
      <c r="E1605" s="1" t="s">
        <v>10</v>
      </c>
      <c r="F1605" s="1" t="str">
        <f>"10.10.1.2"</f>
        <v>10.10.1.2</v>
      </c>
      <c r="G1605" s="1" t="str">
        <f>"0328Z233"</f>
        <v>0328Z233</v>
      </c>
      <c r="H1605" s="1" t="str">
        <f>"한독간 8R24R5L1L3"</f>
        <v>한독간 8R24R5L1L3</v>
      </c>
      <c r="I1605" s="1" t="s">
        <v>8</v>
      </c>
      <c r="J1605" s="1" t="str">
        <f>"68/68"</f>
        <v>68/68</v>
      </c>
      <c r="K1605" s="1" t="str">
        <f t="shared" si="93"/>
        <v>2026-07-29 13:18:03</v>
      </c>
      <c r="L1605" s="1" t="str">
        <f>"2018-01-25 14:22:57"</f>
        <v>2018-01-25 14:22:57</v>
      </c>
      <c r="M1605" s="1" t="s">
        <v>1</v>
      </c>
      <c r="N1605" s="1" t="s">
        <v>38</v>
      </c>
      <c r="O1605" s="1" t="s">
        <v>46</v>
      </c>
    </row>
    <row r="1606" spans="2:15" x14ac:dyDescent="0.3">
      <c r="B1606" s="1" t="s">
        <v>24</v>
      </c>
      <c r="C1606" s="1" t="str">
        <f>"3차"</f>
        <v>3차</v>
      </c>
      <c r="D1606" s="1" t="str">
        <f>"0328Z25139"</f>
        <v>0328Z25139</v>
      </c>
      <c r="E1606" s="1" t="s">
        <v>10</v>
      </c>
      <c r="F1606" s="1" t="str">
        <f>"10.10.7.98"</f>
        <v>10.10.7.98</v>
      </c>
      <c r="G1606" s="1" t="str">
        <f>"0328Z251"</f>
        <v>0328Z251</v>
      </c>
      <c r="H1606" s="1" t="str">
        <f>"한독간 8R24R6"</f>
        <v>한독간 8R24R6</v>
      </c>
      <c r="I1606" s="1" t="s">
        <v>8</v>
      </c>
      <c r="J1606" s="1" t="str">
        <f>"21/21"</f>
        <v>21/21</v>
      </c>
      <c r="K1606" s="1" t="str">
        <f t="shared" si="93"/>
        <v>2026-07-29 13:18:03</v>
      </c>
      <c r="L1606" s="1" t="str">
        <f>"2018-02-22 11:13:44"</f>
        <v>2018-02-22 11:13:44</v>
      </c>
      <c r="M1606" s="1" t="s">
        <v>1</v>
      </c>
      <c r="N1606" s="1" t="s">
        <v>38</v>
      </c>
      <c r="O1606" s="1" t="s">
        <v>46</v>
      </c>
    </row>
    <row r="1607" spans="2:15" x14ac:dyDescent="0.3">
      <c r="B1607" s="1" t="s">
        <v>24</v>
      </c>
      <c r="C1607" s="1" t="str">
        <f>"4차"</f>
        <v>4차</v>
      </c>
      <c r="D1607" s="1" t="str">
        <f>"0328Z25339"</f>
        <v>0328Z25339</v>
      </c>
      <c r="E1607" s="1" t="s">
        <v>10</v>
      </c>
      <c r="F1607" s="1" t="str">
        <f>"10.10.22.178"</f>
        <v>10.10.22.178</v>
      </c>
      <c r="G1607" s="1" t="str">
        <f>"0328Z253"</f>
        <v>0328Z253</v>
      </c>
      <c r="H1607" s="1" t="str">
        <f>"한독간 8R24R8"</f>
        <v>한독간 8R24R8</v>
      </c>
      <c r="I1607" s="1" t="s">
        <v>8</v>
      </c>
      <c r="J1607" s="1" t="str">
        <f>"12/23"</f>
        <v>12/23</v>
      </c>
      <c r="K1607" s="1" t="str">
        <f t="shared" si="93"/>
        <v>2026-07-29 13:18:03</v>
      </c>
      <c r="L1607" s="1" t="str">
        <f>"2018-05-11 19:04:16"</f>
        <v>2018-05-11 19:04:16</v>
      </c>
      <c r="M1607" s="1" t="s">
        <v>1</v>
      </c>
      <c r="N1607" s="1" t="s">
        <v>38</v>
      </c>
      <c r="O1607" s="1" t="s">
        <v>46</v>
      </c>
    </row>
    <row r="1608" spans="2:15" x14ac:dyDescent="0.3">
      <c r="B1608" s="1" t="s">
        <v>24</v>
      </c>
      <c r="C1608" s="1" t="str">
        <f>"3차"</f>
        <v>3차</v>
      </c>
      <c r="D1608" s="1" t="str">
        <f>"0328Z26239"</f>
        <v>0328Z26239</v>
      </c>
      <c r="E1608" s="1" t="s">
        <v>10</v>
      </c>
      <c r="F1608" s="1" t="str">
        <f>"10.10.22.210"</f>
        <v>10.10.22.210</v>
      </c>
      <c r="G1608" s="1" t="str">
        <f>"0328Z262"</f>
        <v>0328Z262</v>
      </c>
      <c r="H1608" s="1" t="str">
        <f>"한독간 8R24R5L7R2"</f>
        <v>한독간 8R24R5L7R2</v>
      </c>
      <c r="I1608" s="1" t="s">
        <v>8</v>
      </c>
      <c r="J1608" s="1" t="str">
        <f>"12/12"</f>
        <v>12/12</v>
      </c>
      <c r="K1608" s="1" t="str">
        <f t="shared" ref="K1608:K1624" si="94">"2026-07-29 13:18:02"</f>
        <v>2026-07-29 13:18:02</v>
      </c>
      <c r="L1608" s="1" t="str">
        <f>"2018-01-25 17:09:42"</f>
        <v>2018-01-25 17:09:42</v>
      </c>
      <c r="M1608" s="1" t="s">
        <v>1</v>
      </c>
      <c r="N1608" s="1" t="s">
        <v>38</v>
      </c>
      <c r="O1608" s="1" t="s">
        <v>46</v>
      </c>
    </row>
    <row r="1609" spans="2:15" x14ac:dyDescent="0.3">
      <c r="B1609" s="1" t="s">
        <v>24</v>
      </c>
      <c r="C1609" s="1" t="str">
        <f>"3차"</f>
        <v>3차</v>
      </c>
      <c r="D1609" s="1" t="str">
        <f>"0328Z32139"</f>
        <v>0328Z32139</v>
      </c>
      <c r="E1609" s="1" t="s">
        <v>10</v>
      </c>
      <c r="F1609" s="1" t="str">
        <f>"10.10.1.10"</f>
        <v>10.10.1.10</v>
      </c>
      <c r="G1609" s="1" t="str">
        <f>"0328Z321"</f>
        <v>0328Z321</v>
      </c>
      <c r="H1609" s="1" t="str">
        <f>"한독간 8R24R5L1L4"</f>
        <v>한독간 8R24R5L1L4</v>
      </c>
      <c r="I1609" s="1" t="s">
        <v>8</v>
      </c>
      <c r="J1609" s="1" t="str">
        <f>"46/52"</f>
        <v>46/52</v>
      </c>
      <c r="K1609" s="1" t="str">
        <f t="shared" si="94"/>
        <v>2026-07-29 13:18:02</v>
      </c>
      <c r="L1609" s="1" t="str">
        <f>"2018-05-11 18:57:45"</f>
        <v>2018-05-11 18:57:45</v>
      </c>
      <c r="M1609" s="1" t="s">
        <v>1</v>
      </c>
      <c r="N1609" s="1" t="s">
        <v>38</v>
      </c>
      <c r="O1609" s="1" t="s">
        <v>46</v>
      </c>
    </row>
    <row r="1610" spans="2:15" x14ac:dyDescent="0.3">
      <c r="B1610" s="1" t="s">
        <v>24</v>
      </c>
      <c r="C1610" s="1" t="str">
        <f>"3차"</f>
        <v>3차</v>
      </c>
      <c r="D1610" s="1" t="str">
        <f>"0328Z32239"</f>
        <v>0328Z32239</v>
      </c>
      <c r="E1610" s="1" t="s">
        <v>10</v>
      </c>
      <c r="F1610" s="1" t="str">
        <f>"10.10.23.114"</f>
        <v>10.10.23.114</v>
      </c>
      <c r="G1610" s="1" t="str">
        <f>"0328Z322"</f>
        <v>0328Z322</v>
      </c>
      <c r="H1610" s="1" t="str">
        <f>"한독간 8R24R5L1L6"</f>
        <v>한독간 8R24R5L1L6</v>
      </c>
      <c r="I1610" s="1" t="s">
        <v>8</v>
      </c>
      <c r="J1610" s="1" t="str">
        <f>"78/78"</f>
        <v>78/78</v>
      </c>
      <c r="K1610" s="1" t="str">
        <f t="shared" si="94"/>
        <v>2026-07-29 13:18:02</v>
      </c>
      <c r="L1610" s="1" t="str">
        <f>"2018-05-11 19:02:01"</f>
        <v>2018-05-11 19:02:01</v>
      </c>
      <c r="M1610" s="1" t="s">
        <v>1</v>
      </c>
      <c r="N1610" s="1" t="s">
        <v>38</v>
      </c>
      <c r="O1610" s="1" t="s">
        <v>46</v>
      </c>
    </row>
    <row r="1611" spans="2:15" x14ac:dyDescent="0.3">
      <c r="B1611" s="1" t="s">
        <v>24</v>
      </c>
      <c r="C1611" s="1" t="str">
        <f>"4차"</f>
        <v>4차</v>
      </c>
      <c r="D1611" s="1" t="str">
        <f>"0328Z34239"</f>
        <v>0328Z34239</v>
      </c>
      <c r="E1611" s="1" t="s">
        <v>10</v>
      </c>
      <c r="F1611" s="1" t="str">
        <f>"10.10.22.194"</f>
        <v>10.10.22.194</v>
      </c>
      <c r="G1611" s="1" t="str">
        <f>"0328Z342"</f>
        <v>0328Z342</v>
      </c>
      <c r="H1611" s="1" t="str">
        <f>"한독간 8R24R7R4"</f>
        <v>한독간 8R24R7R4</v>
      </c>
      <c r="I1611" s="1" t="s">
        <v>8</v>
      </c>
      <c r="J1611" s="1" t="str">
        <f>"39/39"</f>
        <v>39/39</v>
      </c>
      <c r="K1611" s="1" t="str">
        <f t="shared" si="94"/>
        <v>2026-07-29 13:18:02</v>
      </c>
      <c r="L1611" s="1" t="str">
        <f>"2018-01-29 09:29:53"</f>
        <v>2018-01-29 09:29:53</v>
      </c>
      <c r="M1611" s="1" t="s">
        <v>1</v>
      </c>
      <c r="N1611" s="1" t="s">
        <v>38</v>
      </c>
      <c r="O1611" s="1" t="s">
        <v>46</v>
      </c>
    </row>
    <row r="1612" spans="2:15" x14ac:dyDescent="0.3">
      <c r="B1612" s="1" t="s">
        <v>24</v>
      </c>
      <c r="C1612" s="1" t="str">
        <f t="shared" ref="C1612:C1619" si="95">"3차"</f>
        <v>3차</v>
      </c>
      <c r="D1612" s="1" t="str">
        <f>"0328Z36139"</f>
        <v>0328Z36139</v>
      </c>
      <c r="E1612" s="1" t="s">
        <v>10</v>
      </c>
      <c r="F1612" s="1" t="str">
        <f>"10.10.2.106"</f>
        <v>10.10.2.106</v>
      </c>
      <c r="G1612" s="1" t="str">
        <f>"0328Z361"</f>
        <v>0328Z361</v>
      </c>
      <c r="H1612" s="1" t="str">
        <f>"한독간 8R24R9"</f>
        <v>한독간 8R24R9</v>
      </c>
      <c r="I1612" s="1" t="s">
        <v>8</v>
      </c>
      <c r="J1612" s="1" t="str">
        <f>"18/18"</f>
        <v>18/18</v>
      </c>
      <c r="K1612" s="1" t="str">
        <f t="shared" si="94"/>
        <v>2026-07-29 13:18:02</v>
      </c>
      <c r="L1612" s="1" t="str">
        <f>"2018-01-29 09:28:53"</f>
        <v>2018-01-29 09:28:53</v>
      </c>
      <c r="M1612" s="1" t="s">
        <v>1</v>
      </c>
      <c r="N1612" s="1" t="s">
        <v>38</v>
      </c>
      <c r="O1612" s="1" t="s">
        <v>46</v>
      </c>
    </row>
    <row r="1613" spans="2:15" x14ac:dyDescent="0.3">
      <c r="B1613" s="1" t="s">
        <v>24</v>
      </c>
      <c r="C1613" s="1" t="str">
        <f t="shared" si="95"/>
        <v>3차</v>
      </c>
      <c r="D1613" s="1" t="str">
        <f>"0328Z37130"</f>
        <v>0328Z37130</v>
      </c>
      <c r="E1613" s="1" t="s">
        <v>10</v>
      </c>
      <c r="F1613" s="1" t="str">
        <f>"10.10.2.234"</f>
        <v>10.10.2.234</v>
      </c>
      <c r="G1613" s="1" t="str">
        <f>"0328Z371"</f>
        <v>0328Z371</v>
      </c>
      <c r="H1613" s="1" t="str">
        <f>"한독간 8R24R10"</f>
        <v>한독간 8R24R10</v>
      </c>
      <c r="I1613" s="1" t="s">
        <v>8</v>
      </c>
      <c r="J1613" s="1" t="str">
        <f>"4/4"</f>
        <v>4/4</v>
      </c>
      <c r="K1613" s="1" t="str">
        <f t="shared" si="94"/>
        <v>2026-07-29 13:18:02</v>
      </c>
      <c r="L1613" s="1" t="str">
        <f>"2018-01-29 09:30:38"</f>
        <v>2018-01-29 09:30:38</v>
      </c>
      <c r="M1613" s="1" t="s">
        <v>1</v>
      </c>
      <c r="N1613" s="1" t="s">
        <v>38</v>
      </c>
      <c r="O1613" s="1" t="s">
        <v>46</v>
      </c>
    </row>
    <row r="1614" spans="2:15" x14ac:dyDescent="0.3">
      <c r="B1614" s="1" t="s">
        <v>24</v>
      </c>
      <c r="C1614" s="1" t="str">
        <f t="shared" si="95"/>
        <v>3차</v>
      </c>
      <c r="D1614" s="1" t="str">
        <f>"0328Z37331"</f>
        <v>0328Z37331</v>
      </c>
      <c r="E1614" s="1" t="s">
        <v>10</v>
      </c>
      <c r="F1614" s="1" t="str">
        <f>"10.10.2.235"</f>
        <v>10.10.2.235</v>
      </c>
      <c r="G1614" s="1" t="str">
        <f>"0328Z373"</f>
        <v>0328Z373</v>
      </c>
      <c r="H1614" s="1" t="str">
        <f>"한독간 8R24R11"</f>
        <v>한독간 8R24R11</v>
      </c>
      <c r="I1614" s="1" t="s">
        <v>8</v>
      </c>
      <c r="J1614" s="1" t="str">
        <f>"88/95"</f>
        <v>88/95</v>
      </c>
      <c r="K1614" s="1" t="str">
        <f t="shared" si="94"/>
        <v>2026-07-29 13:18:02</v>
      </c>
      <c r="L1614" s="1" t="str">
        <f>"2018-06-05 12:22:27"</f>
        <v>2018-06-05 12:22:27</v>
      </c>
      <c r="M1614" s="1" t="s">
        <v>1</v>
      </c>
      <c r="N1614" s="1" t="s">
        <v>38</v>
      </c>
      <c r="O1614" s="1" t="s">
        <v>46</v>
      </c>
    </row>
    <row r="1615" spans="2:15" x14ac:dyDescent="0.3">
      <c r="B1615" s="1" t="s">
        <v>24</v>
      </c>
      <c r="C1615" s="1" t="str">
        <f t="shared" si="95"/>
        <v>3차</v>
      </c>
      <c r="D1615" s="1" t="str">
        <f>"0328Z39239"</f>
        <v>0328Z39239</v>
      </c>
      <c r="E1615" s="1" t="s">
        <v>10</v>
      </c>
      <c r="F1615" s="1" t="str">
        <f>"10.10.7.42"</f>
        <v>10.10.7.42</v>
      </c>
      <c r="G1615" s="1" t="str">
        <f>"0328Z392"</f>
        <v>0328Z392</v>
      </c>
      <c r="H1615" s="1" t="str">
        <f>"한독간 2"</f>
        <v>한독간 2</v>
      </c>
      <c r="I1615" s="1" t="s">
        <v>8</v>
      </c>
      <c r="J1615" s="1" t="str">
        <f>"108/108"</f>
        <v>108/108</v>
      </c>
      <c r="K1615" s="1" t="str">
        <f t="shared" si="94"/>
        <v>2026-07-29 13:18:02</v>
      </c>
      <c r="L1615" s="1" t="str">
        <f>"2018-02-21 15:08:26"</f>
        <v>2018-02-21 15:08:26</v>
      </c>
      <c r="M1615" s="1" t="s">
        <v>1</v>
      </c>
      <c r="N1615" s="1" t="s">
        <v>38</v>
      </c>
      <c r="O1615" s="1" t="s">
        <v>46</v>
      </c>
    </row>
    <row r="1616" spans="2:15" x14ac:dyDescent="0.3">
      <c r="B1616" s="1" t="s">
        <v>24</v>
      </c>
      <c r="C1616" s="1" t="str">
        <f t="shared" si="95"/>
        <v>3차</v>
      </c>
      <c r="D1616" s="1" t="str">
        <f>"0328Z42339"</f>
        <v>0328Z42339</v>
      </c>
      <c r="E1616" s="1" t="s">
        <v>10</v>
      </c>
      <c r="F1616" s="1" t="str">
        <f>"10.10.23.202"</f>
        <v>10.10.23.202</v>
      </c>
      <c r="G1616" s="1" t="str">
        <f>"0328Z423"</f>
        <v>0328Z423</v>
      </c>
      <c r="H1616" s="1" t="str">
        <f>"한독간 8R24R5L1L7"</f>
        <v>한독간 8R24R5L1L7</v>
      </c>
      <c r="I1616" s="1" t="s">
        <v>8</v>
      </c>
      <c r="J1616" s="1" t="str">
        <f>"20/20"</f>
        <v>20/20</v>
      </c>
      <c r="K1616" s="1" t="str">
        <f t="shared" si="94"/>
        <v>2026-07-29 13:18:02</v>
      </c>
      <c r="L1616" s="1" t="str">
        <f>"2018-01-25 14:26:41"</f>
        <v>2018-01-25 14:26:41</v>
      </c>
      <c r="M1616" s="1" t="s">
        <v>1</v>
      </c>
      <c r="N1616" s="1" t="s">
        <v>38</v>
      </c>
      <c r="O1616" s="1" t="s">
        <v>46</v>
      </c>
    </row>
    <row r="1617" spans="2:15" x14ac:dyDescent="0.3">
      <c r="B1617" s="1" t="s">
        <v>24</v>
      </c>
      <c r="C1617" s="1" t="str">
        <f t="shared" si="95"/>
        <v>3차</v>
      </c>
      <c r="D1617" s="1" t="str">
        <f>"0328Z43139"</f>
        <v>0328Z43139</v>
      </c>
      <c r="E1617" s="1" t="s">
        <v>10</v>
      </c>
      <c r="F1617" s="1" t="str">
        <f>"10.10.22.186"</f>
        <v>10.10.22.186</v>
      </c>
      <c r="G1617" s="1" t="str">
        <f>"0328Z431"</f>
        <v>0328Z431</v>
      </c>
      <c r="H1617" s="1" t="str">
        <f>"한독간 8R24R7R5"</f>
        <v>한독간 8R24R7R5</v>
      </c>
      <c r="I1617" s="1" t="s">
        <v>8</v>
      </c>
      <c r="J1617" s="1" t="str">
        <f>"62/62"</f>
        <v>62/62</v>
      </c>
      <c r="K1617" s="1" t="str">
        <f t="shared" si="94"/>
        <v>2026-07-29 13:18:02</v>
      </c>
      <c r="L1617" s="1" t="str">
        <f>"2018-01-29 09:19:52"</f>
        <v>2018-01-29 09:19:52</v>
      </c>
      <c r="M1617" s="1" t="s">
        <v>1</v>
      </c>
      <c r="N1617" s="1" t="s">
        <v>38</v>
      </c>
      <c r="O1617" s="1" t="s">
        <v>46</v>
      </c>
    </row>
    <row r="1618" spans="2:15" x14ac:dyDescent="0.3">
      <c r="B1618" s="1" t="s">
        <v>24</v>
      </c>
      <c r="C1618" s="1" t="str">
        <f t="shared" si="95"/>
        <v>3차</v>
      </c>
      <c r="D1618" s="1" t="str">
        <f>"0328Z45139"</f>
        <v>0328Z45139</v>
      </c>
      <c r="E1618" s="1" t="s">
        <v>10</v>
      </c>
      <c r="F1618" s="1" t="str">
        <f>"10.10.39.250"</f>
        <v>10.10.39.250</v>
      </c>
      <c r="G1618" s="1" t="str">
        <f>"0328Z451"</f>
        <v>0328Z451</v>
      </c>
      <c r="H1618" s="1" t="str">
        <f>"한독간 8R24R9R2"</f>
        <v>한독간 8R24R9R2</v>
      </c>
      <c r="I1618" s="1" t="s">
        <v>8</v>
      </c>
      <c r="J1618" s="1" t="str">
        <f>"30/30"</f>
        <v>30/30</v>
      </c>
      <c r="K1618" s="1" t="str">
        <f t="shared" si="94"/>
        <v>2026-07-29 13:18:02</v>
      </c>
      <c r="L1618" s="1" t="str">
        <f>"2018-01-29 09:24:38"</f>
        <v>2018-01-29 09:24:38</v>
      </c>
      <c r="M1618" s="1" t="s">
        <v>1</v>
      </c>
      <c r="N1618" s="1" t="s">
        <v>38</v>
      </c>
      <c r="O1618" s="1" t="s">
        <v>46</v>
      </c>
    </row>
    <row r="1619" spans="2:15" x14ac:dyDescent="0.3">
      <c r="B1619" s="1" t="s">
        <v>24</v>
      </c>
      <c r="C1619" s="1" t="str">
        <f t="shared" si="95"/>
        <v>3차</v>
      </c>
      <c r="D1619" s="1" t="str">
        <f>"0328Z46139"</f>
        <v>0328Z46139</v>
      </c>
      <c r="E1619" s="1" t="s">
        <v>10</v>
      </c>
      <c r="F1619" s="1" t="str">
        <f>"10.10.2.138"</f>
        <v>10.10.2.138</v>
      </c>
      <c r="G1619" s="1" t="str">
        <f>"0328Z461"</f>
        <v>0328Z461</v>
      </c>
      <c r="H1619" s="1" t="str">
        <f>"한독간 8R24R9R1"</f>
        <v>한독간 8R24R9R1</v>
      </c>
      <c r="I1619" s="1" t="s">
        <v>8</v>
      </c>
      <c r="J1619" s="1" t="str">
        <f>"30/33"</f>
        <v>30/33</v>
      </c>
      <c r="K1619" s="1" t="str">
        <f t="shared" si="94"/>
        <v>2026-07-29 13:18:02</v>
      </c>
      <c r="L1619" s="1" t="str">
        <f>"2018-01-29 09:22:38"</f>
        <v>2018-01-29 09:22:38</v>
      </c>
      <c r="M1619" s="1" t="s">
        <v>1</v>
      </c>
      <c r="N1619" s="1" t="s">
        <v>38</v>
      </c>
      <c r="O1619" s="1" t="s">
        <v>46</v>
      </c>
    </row>
    <row r="1620" spans="2:15" x14ac:dyDescent="0.3">
      <c r="B1620" s="1" t="s">
        <v>24</v>
      </c>
      <c r="C1620" s="1" t="str">
        <f>"4차"</f>
        <v>4차</v>
      </c>
      <c r="D1620" s="1" t="str">
        <f>"0328Z49439"</f>
        <v>0328Z49439</v>
      </c>
      <c r="E1620" s="1" t="s">
        <v>10</v>
      </c>
      <c r="F1620" s="1" t="str">
        <f>"10.10.7.226"</f>
        <v>10.10.7.226</v>
      </c>
      <c r="G1620" s="1" t="str">
        <f>"0328Z494"</f>
        <v>0328Z494</v>
      </c>
      <c r="H1620" s="1" t="str">
        <f>"한독간 5"</f>
        <v>한독간 5</v>
      </c>
      <c r="I1620" s="1" t="s">
        <v>8</v>
      </c>
      <c r="J1620" s="1" t="str">
        <f>"37/42"</f>
        <v>37/42</v>
      </c>
      <c r="K1620" s="1" t="str">
        <f t="shared" si="94"/>
        <v>2026-07-29 13:18:02</v>
      </c>
      <c r="L1620" s="1" t="str">
        <f>"2018-02-21 15:04:11"</f>
        <v>2018-02-21 15:04:11</v>
      </c>
      <c r="M1620" s="1" t="s">
        <v>1</v>
      </c>
      <c r="N1620" s="1" t="s">
        <v>38</v>
      </c>
      <c r="O1620" s="1" t="s">
        <v>46</v>
      </c>
    </row>
    <row r="1621" spans="2:15" x14ac:dyDescent="0.3">
      <c r="B1621" s="1" t="s">
        <v>24</v>
      </c>
      <c r="C1621" s="1" t="str">
        <f>"1차"</f>
        <v>1차</v>
      </c>
      <c r="D1621" s="1" t="str">
        <f>"0328Z50100"</f>
        <v>0328Z50100</v>
      </c>
      <c r="E1621" s="1" t="s">
        <v>10</v>
      </c>
      <c r="F1621" s="1" t="str">
        <f>"10.89.252.208"</f>
        <v>10.89.252.208</v>
      </c>
      <c r="G1621" s="1" t="str">
        <f>"0328Z501"</f>
        <v>0328Z501</v>
      </c>
      <c r="H1621" s="1" t="str">
        <f>"한독간 26R8L2R2"</f>
        <v>한독간 26R8L2R2</v>
      </c>
      <c r="I1621" s="1" t="s">
        <v>8</v>
      </c>
      <c r="J1621" s="1" t="str">
        <f>"81/81"</f>
        <v>81/81</v>
      </c>
      <c r="K1621" s="1" t="str">
        <f t="shared" si="94"/>
        <v>2026-07-29 13:18:02</v>
      </c>
      <c r="L1621" s="1" t="str">
        <f>"2014-10-27 15:52:35"</f>
        <v>2014-10-27 15:52:35</v>
      </c>
      <c r="M1621" s="1" t="s">
        <v>45</v>
      </c>
      <c r="N1621" s="1" t="s">
        <v>38</v>
      </c>
      <c r="O1621" s="1" t="s">
        <v>46</v>
      </c>
    </row>
    <row r="1622" spans="2:15" x14ac:dyDescent="0.3">
      <c r="B1622" s="1" t="s">
        <v>24</v>
      </c>
      <c r="C1622" s="1" t="str">
        <f>"1차"</f>
        <v>1차</v>
      </c>
      <c r="D1622" s="1" t="str">
        <f>"0328Z51101"</f>
        <v>0328Z51101</v>
      </c>
      <c r="E1622" s="1" t="s">
        <v>10</v>
      </c>
      <c r="F1622" s="1" t="str">
        <f>"10.89.252.205"</f>
        <v>10.89.252.205</v>
      </c>
      <c r="G1622" s="1" t="str">
        <f>"0328Z511"</f>
        <v>0328Z511</v>
      </c>
      <c r="H1622" s="1" t="str">
        <f>"한독간 26R8L2"</f>
        <v>한독간 26R8L2</v>
      </c>
      <c r="I1622" s="1" t="s">
        <v>8</v>
      </c>
      <c r="J1622" s="1" t="str">
        <f>"23/23"</f>
        <v>23/23</v>
      </c>
      <c r="K1622" s="1" t="str">
        <f t="shared" si="94"/>
        <v>2026-07-29 13:18:02</v>
      </c>
      <c r="L1622" s="1" t="str">
        <f>"2014-10-15 14:46:28"</f>
        <v>2014-10-15 14:46:28</v>
      </c>
      <c r="M1622" s="1" t="s">
        <v>45</v>
      </c>
      <c r="N1622" s="1" t="s">
        <v>38</v>
      </c>
      <c r="O1622" s="1" t="s">
        <v>46</v>
      </c>
    </row>
    <row r="1623" spans="2:15" x14ac:dyDescent="0.3">
      <c r="B1623" s="1" t="s">
        <v>24</v>
      </c>
      <c r="C1623" s="1" t="str">
        <f>"3차"</f>
        <v>3차</v>
      </c>
      <c r="D1623" s="1" t="str">
        <f>"0328Z59239"</f>
        <v>0328Z59239</v>
      </c>
      <c r="E1623" s="1" t="s">
        <v>10</v>
      </c>
      <c r="F1623" s="1" t="str">
        <f>"10.10.7.202"</f>
        <v>10.10.7.202</v>
      </c>
      <c r="G1623" s="1" t="str">
        <f>"0328Z592"</f>
        <v>0328Z592</v>
      </c>
      <c r="H1623" s="1" t="str">
        <f>"한독간 8"</f>
        <v>한독간 8</v>
      </c>
      <c r="I1623" s="1" t="s">
        <v>8</v>
      </c>
      <c r="J1623" s="1" t="str">
        <f>"55/60"</f>
        <v>55/60</v>
      </c>
      <c r="K1623" s="1" t="str">
        <f t="shared" si="94"/>
        <v>2026-07-29 13:18:02</v>
      </c>
      <c r="L1623" s="1" t="str">
        <f>"2018-02-21 15:03:11"</f>
        <v>2018-02-21 15:03:11</v>
      </c>
      <c r="M1623" s="1" t="s">
        <v>1</v>
      </c>
      <c r="N1623" s="1" t="s">
        <v>38</v>
      </c>
      <c r="O1623" s="1" t="s">
        <v>46</v>
      </c>
    </row>
    <row r="1624" spans="2:15" x14ac:dyDescent="0.3">
      <c r="B1624" s="1" t="s">
        <v>24</v>
      </c>
      <c r="C1624" s="1" t="str">
        <f>"1차"</f>
        <v>1차</v>
      </c>
      <c r="D1624" s="1" t="str">
        <f>"0328Z61100"</f>
        <v>0328Z61100</v>
      </c>
      <c r="E1624" s="1" t="s">
        <v>10</v>
      </c>
      <c r="F1624" s="1" t="str">
        <f>"10.89.252.204"</f>
        <v>10.89.252.204</v>
      </c>
      <c r="G1624" s="1" t="str">
        <f>"0328Z611"</f>
        <v>0328Z611</v>
      </c>
      <c r="H1624" s="1" t="str">
        <f>"한독간 26R8L3"</f>
        <v>한독간 26R8L3</v>
      </c>
      <c r="I1624" s="1" t="s">
        <v>8</v>
      </c>
      <c r="J1624" s="1" t="str">
        <f>"123/123"</f>
        <v>123/123</v>
      </c>
      <c r="K1624" s="1" t="str">
        <f t="shared" si="94"/>
        <v>2026-07-29 13:18:02</v>
      </c>
      <c r="L1624" s="1" t="str">
        <f>"2014-10-14 14:33:56"</f>
        <v>2014-10-14 14:33:56</v>
      </c>
      <c r="M1624" s="1" t="s">
        <v>45</v>
      </c>
      <c r="N1624" s="1" t="s">
        <v>38</v>
      </c>
      <c r="O1624" s="1" t="s">
        <v>46</v>
      </c>
    </row>
    <row r="1625" spans="2:15" x14ac:dyDescent="0.3">
      <c r="B1625" s="1" t="s">
        <v>24</v>
      </c>
      <c r="C1625" s="1" t="str">
        <f>"4차"</f>
        <v>4차</v>
      </c>
      <c r="D1625" s="1" t="str">
        <f>"0328Z61242"</f>
        <v>0328Z61242</v>
      </c>
      <c r="E1625" s="1" t="s">
        <v>10</v>
      </c>
      <c r="F1625" s="1" t="str">
        <f>"10.12.129.234"</f>
        <v>10.12.129.234</v>
      </c>
      <c r="G1625" s="1" t="str">
        <f>"0328Z612"</f>
        <v>0328Z612</v>
      </c>
      <c r="H1625" s="1" t="str">
        <f>"한독간 26R8L4"</f>
        <v>한독간 26R8L4</v>
      </c>
      <c r="I1625" s="1" t="s">
        <v>8</v>
      </c>
      <c r="J1625" s="1" t="str">
        <f>"70/70"</f>
        <v>70/70</v>
      </c>
      <c r="K1625" s="1" t="str">
        <f>"2026-07-29 13:18:03"</f>
        <v>2026-07-29 13:18:03</v>
      </c>
      <c r="L1625" s="1" t="str">
        <f>"2025-03-18 08:56:58"</f>
        <v>2025-03-18 08:56:58</v>
      </c>
      <c r="M1625" s="1" t="s">
        <v>0</v>
      </c>
      <c r="N1625" s="1" t="s">
        <v>38</v>
      </c>
      <c r="O1625" s="1" t="s">
        <v>46</v>
      </c>
    </row>
    <row r="1626" spans="2:15" x14ac:dyDescent="0.3">
      <c r="B1626" s="1" t="s">
        <v>24</v>
      </c>
      <c r="C1626" s="1" t="str">
        <f t="shared" ref="C1626:C1635" si="96">"3차"</f>
        <v>3차</v>
      </c>
      <c r="D1626" s="1" t="str">
        <f>"0328Z64339"</f>
        <v>0328Z64339</v>
      </c>
      <c r="E1626" s="1" t="s">
        <v>10</v>
      </c>
      <c r="F1626" s="1" t="str">
        <f>"10.12.137.184"</f>
        <v>10.12.137.184</v>
      </c>
      <c r="G1626" s="1" t="str">
        <f>"0328Z643"</f>
        <v>0328Z643</v>
      </c>
      <c r="H1626" s="1" t="str">
        <f>"한독간 26R4"</f>
        <v>한독간 26R4</v>
      </c>
      <c r="I1626" s="1" t="s">
        <v>8</v>
      </c>
      <c r="J1626" s="1" t="str">
        <f>"8/8"</f>
        <v>8/8</v>
      </c>
      <c r="K1626" s="1" t="str">
        <f>"2026-07-29 13:18:03"</f>
        <v>2026-07-29 13:18:03</v>
      </c>
      <c r="L1626" s="1" t="str">
        <f>"2021-03-05 16:57:18"</f>
        <v>2021-03-05 16:57:18</v>
      </c>
      <c r="M1626" s="1" t="s">
        <v>0</v>
      </c>
      <c r="N1626" s="1" t="s">
        <v>38</v>
      </c>
      <c r="O1626" s="1" t="s">
        <v>46</v>
      </c>
    </row>
    <row r="1627" spans="2:15" x14ac:dyDescent="0.3">
      <c r="B1627" s="1" t="s">
        <v>24</v>
      </c>
      <c r="C1627" s="1" t="str">
        <f t="shared" si="96"/>
        <v>3차</v>
      </c>
      <c r="D1627" s="1" t="str">
        <f>"0328Z65131"</f>
        <v>0328Z65131</v>
      </c>
      <c r="E1627" s="1" t="s">
        <v>10</v>
      </c>
      <c r="F1627" s="1" t="str">
        <f>"10.10.23.51"</f>
        <v>10.10.23.51</v>
      </c>
      <c r="G1627" s="1" t="str">
        <f>"0328Z651"</f>
        <v>0328Z651</v>
      </c>
      <c r="H1627" s="1" t="str">
        <f>"한독간 8R6"</f>
        <v>한독간 8R6</v>
      </c>
      <c r="I1627" s="1" t="s">
        <v>8</v>
      </c>
      <c r="J1627" s="1" t="str">
        <f>"17/17"</f>
        <v>17/17</v>
      </c>
      <c r="K1627" s="1" t="str">
        <f t="shared" ref="K1627:K1633" si="97">"2026-07-29 13:18:02"</f>
        <v>2026-07-29 13:18:02</v>
      </c>
      <c r="L1627" s="1" t="str">
        <f>"2018-04-19 12:12:58"</f>
        <v>2018-04-19 12:12:58</v>
      </c>
      <c r="M1627" s="1" t="s">
        <v>1</v>
      </c>
      <c r="N1627" s="1" t="s">
        <v>38</v>
      </c>
      <c r="O1627" s="1" t="s">
        <v>46</v>
      </c>
    </row>
    <row r="1628" spans="2:15" x14ac:dyDescent="0.3">
      <c r="B1628" s="1" t="s">
        <v>24</v>
      </c>
      <c r="C1628" s="1" t="str">
        <f t="shared" si="96"/>
        <v>3차</v>
      </c>
      <c r="D1628" s="1" t="str">
        <f>"0328Z66130"</f>
        <v>0328Z66130</v>
      </c>
      <c r="E1628" s="1" t="s">
        <v>10</v>
      </c>
      <c r="F1628" s="1" t="str">
        <f>"10.10.23.50"</f>
        <v>10.10.23.50</v>
      </c>
      <c r="G1628" s="1" t="str">
        <f>"0328Z661"</f>
        <v>0328Z661</v>
      </c>
      <c r="H1628" s="1" t="str">
        <f>"한독간 8R5"</f>
        <v>한독간 8R5</v>
      </c>
      <c r="I1628" s="1" t="s">
        <v>8</v>
      </c>
      <c r="J1628" s="1" t="str">
        <f>"23/23"</f>
        <v>23/23</v>
      </c>
      <c r="K1628" s="1" t="str">
        <f t="shared" si="97"/>
        <v>2026-07-29 13:18:02</v>
      </c>
      <c r="L1628" s="1" t="str">
        <f>"2018-03-14 14:52:28"</f>
        <v>2018-03-14 14:52:28</v>
      </c>
      <c r="M1628" s="1" t="s">
        <v>1</v>
      </c>
      <c r="N1628" s="1" t="s">
        <v>38</v>
      </c>
      <c r="O1628" s="1" t="s">
        <v>46</v>
      </c>
    </row>
    <row r="1629" spans="2:15" x14ac:dyDescent="0.3">
      <c r="B1629" s="1" t="s">
        <v>24</v>
      </c>
      <c r="C1629" s="1" t="str">
        <f t="shared" si="96"/>
        <v>3차</v>
      </c>
      <c r="D1629" s="1" t="str">
        <f>"0328Z66339"</f>
        <v>0328Z66339</v>
      </c>
      <c r="E1629" s="1" t="s">
        <v>10</v>
      </c>
      <c r="F1629" s="1" t="str">
        <f>"10.10.6.242"</f>
        <v>10.10.6.242</v>
      </c>
      <c r="G1629" s="1" t="str">
        <f>"0328Z663"</f>
        <v>0328Z663</v>
      </c>
      <c r="H1629" s="1" t="str">
        <f>"한독간 9R5"</f>
        <v>한독간 9R5</v>
      </c>
      <c r="I1629" s="1" t="s">
        <v>8</v>
      </c>
      <c r="J1629" s="1" t="str">
        <f>"36/41"</f>
        <v>36/41</v>
      </c>
      <c r="K1629" s="1" t="str">
        <f t="shared" si="97"/>
        <v>2026-07-29 13:18:02</v>
      </c>
      <c r="L1629" s="1" t="str">
        <f>"2018-02-01 13:54:12"</f>
        <v>2018-02-01 13:54:12</v>
      </c>
      <c r="M1629" s="1" t="s">
        <v>1</v>
      </c>
      <c r="N1629" s="1" t="s">
        <v>38</v>
      </c>
      <c r="O1629" s="1" t="s">
        <v>46</v>
      </c>
    </row>
    <row r="1630" spans="2:15" x14ac:dyDescent="0.3">
      <c r="B1630" s="1" t="s">
        <v>24</v>
      </c>
      <c r="C1630" s="1" t="str">
        <f t="shared" si="96"/>
        <v>3차</v>
      </c>
      <c r="D1630" s="1" t="str">
        <f>"0328Z66539"</f>
        <v>0328Z66539</v>
      </c>
      <c r="E1630" s="1" t="s">
        <v>10</v>
      </c>
      <c r="F1630" s="1" t="str">
        <f>"10.10.23.42"</f>
        <v>10.10.23.42</v>
      </c>
      <c r="G1630" s="1" t="str">
        <f>"0328Z665"</f>
        <v>0328Z665</v>
      </c>
      <c r="H1630" s="1" t="str">
        <f>"한독간 8R4"</f>
        <v>한독간 8R4</v>
      </c>
      <c r="I1630" s="1" t="s">
        <v>8</v>
      </c>
      <c r="J1630" s="1" t="str">
        <f>"43/45"</f>
        <v>43/45</v>
      </c>
      <c r="K1630" s="1" t="str">
        <f t="shared" si="97"/>
        <v>2026-07-29 13:18:02</v>
      </c>
      <c r="L1630" s="1" t="str">
        <f>"2018-05-11 18:20:30"</f>
        <v>2018-05-11 18:20:30</v>
      </c>
      <c r="M1630" s="1" t="s">
        <v>1</v>
      </c>
      <c r="N1630" s="1" t="s">
        <v>38</v>
      </c>
      <c r="O1630" s="1" t="s">
        <v>46</v>
      </c>
    </row>
    <row r="1631" spans="2:15" x14ac:dyDescent="0.3">
      <c r="B1631" s="1" t="s">
        <v>24</v>
      </c>
      <c r="C1631" s="1" t="str">
        <f t="shared" si="96"/>
        <v>3차</v>
      </c>
      <c r="D1631" s="1" t="str">
        <f>"0328Z67139"</f>
        <v>0328Z67139</v>
      </c>
      <c r="E1631" s="1" t="s">
        <v>10</v>
      </c>
      <c r="F1631" s="1" t="str">
        <f>"10.10.7.2"</f>
        <v>10.10.7.2</v>
      </c>
      <c r="G1631" s="1" t="str">
        <f>"0328Z671"</f>
        <v>0328Z671</v>
      </c>
      <c r="H1631" s="1" t="str">
        <f>"한독간 8R2"</f>
        <v>한독간 8R2</v>
      </c>
      <c r="I1631" s="1" t="s">
        <v>8</v>
      </c>
      <c r="J1631" s="1" t="str">
        <f>"48/48"</f>
        <v>48/48</v>
      </c>
      <c r="K1631" s="1" t="str">
        <f t="shared" si="97"/>
        <v>2026-07-29 13:18:02</v>
      </c>
      <c r="L1631" s="1" t="str">
        <f>"2018-02-01 15:00:44"</f>
        <v>2018-02-01 15:00:44</v>
      </c>
      <c r="M1631" s="1" t="s">
        <v>1</v>
      </c>
      <c r="N1631" s="1" t="s">
        <v>38</v>
      </c>
      <c r="O1631" s="1" t="s">
        <v>46</v>
      </c>
    </row>
    <row r="1632" spans="2:15" x14ac:dyDescent="0.3">
      <c r="B1632" s="1" t="s">
        <v>24</v>
      </c>
      <c r="C1632" s="1" t="str">
        <f t="shared" si="96"/>
        <v>3차</v>
      </c>
      <c r="D1632" s="1" t="str">
        <f>"0328Z68131"</f>
        <v>0328Z68131</v>
      </c>
      <c r="E1632" s="1" t="s">
        <v>10</v>
      </c>
      <c r="F1632" s="1" t="str">
        <f>"10.10.6.227"</f>
        <v>10.10.6.227</v>
      </c>
      <c r="G1632" s="1" t="str">
        <f>"0328Z681"</f>
        <v>0328Z681</v>
      </c>
      <c r="H1632" s="1" t="str">
        <f>"한독간 9R3"</f>
        <v>한독간 9R3</v>
      </c>
      <c r="I1632" s="1" t="s">
        <v>8</v>
      </c>
      <c r="J1632" s="1" t="str">
        <f>"26/26"</f>
        <v>26/26</v>
      </c>
      <c r="K1632" s="1" t="str">
        <f t="shared" si="97"/>
        <v>2026-07-29 13:18:02</v>
      </c>
      <c r="L1632" s="1" t="str">
        <f>"2018-03-14 15:02:43"</f>
        <v>2018-03-14 15:02:43</v>
      </c>
      <c r="M1632" s="1" t="s">
        <v>1</v>
      </c>
      <c r="N1632" s="1" t="s">
        <v>38</v>
      </c>
      <c r="O1632" s="1" t="s">
        <v>46</v>
      </c>
    </row>
    <row r="1633" spans="2:15" x14ac:dyDescent="0.3">
      <c r="B1633" s="1" t="s">
        <v>24</v>
      </c>
      <c r="C1633" s="1" t="str">
        <f t="shared" si="96"/>
        <v>3차</v>
      </c>
      <c r="D1633" s="1" t="str">
        <f>"0328Z68230"</f>
        <v>0328Z68230</v>
      </c>
      <c r="E1633" s="1" t="s">
        <v>10</v>
      </c>
      <c r="F1633" s="1" t="str">
        <f>"10.10.6.226"</f>
        <v>10.10.6.226</v>
      </c>
      <c r="G1633" s="1" t="str">
        <f>"0328Z682"</f>
        <v>0328Z682</v>
      </c>
      <c r="H1633" s="1" t="str">
        <f>"한독간 9R2"</f>
        <v>한독간 9R2</v>
      </c>
      <c r="I1633" s="1" t="s">
        <v>8</v>
      </c>
      <c r="J1633" s="1" t="str">
        <f>"13/13"</f>
        <v>13/13</v>
      </c>
      <c r="K1633" s="1" t="str">
        <f t="shared" si="97"/>
        <v>2026-07-29 13:18:02</v>
      </c>
      <c r="L1633" s="1" t="str">
        <f>"2018-02-01 14:50:43"</f>
        <v>2018-02-01 14:50:43</v>
      </c>
      <c r="M1633" s="1" t="s">
        <v>1</v>
      </c>
      <c r="N1633" s="1" t="s">
        <v>38</v>
      </c>
      <c r="O1633" s="1" t="s">
        <v>46</v>
      </c>
    </row>
    <row r="1634" spans="2:15" x14ac:dyDescent="0.3">
      <c r="B1634" s="1" t="s">
        <v>24</v>
      </c>
      <c r="C1634" s="1" t="str">
        <f t="shared" si="96"/>
        <v>3차</v>
      </c>
      <c r="D1634" s="1" t="str">
        <f>"0328Z69339"</f>
        <v>0328Z69339</v>
      </c>
      <c r="E1634" s="1" t="s">
        <v>10</v>
      </c>
      <c r="F1634" s="1" t="str">
        <f>"10.12.132.61"</f>
        <v>10.12.132.61</v>
      </c>
      <c r="G1634" s="1" t="str">
        <f>"0328Z693"</f>
        <v>0328Z693</v>
      </c>
      <c r="H1634" s="1" t="str">
        <f>"한독간 9R1"</f>
        <v>한독간 9R1</v>
      </c>
      <c r="I1634" s="1" t="s">
        <v>8</v>
      </c>
      <c r="J1634" s="1" t="str">
        <f>"9/9"</f>
        <v>9/9</v>
      </c>
      <c r="K1634" s="1" t="str">
        <f>"2026-07-29 13:18:03"</f>
        <v>2026-07-29 13:18:03</v>
      </c>
      <c r="L1634" s="1" t="str">
        <f>"2021-03-05 16:30:47"</f>
        <v>2021-03-05 16:30:47</v>
      </c>
      <c r="M1634" s="1" t="s">
        <v>0</v>
      </c>
      <c r="N1634" s="1" t="s">
        <v>38</v>
      </c>
      <c r="O1634" s="1" t="s">
        <v>46</v>
      </c>
    </row>
    <row r="1635" spans="2:15" x14ac:dyDescent="0.3">
      <c r="B1635" s="1" t="s">
        <v>24</v>
      </c>
      <c r="C1635" s="1" t="str">
        <f t="shared" si="96"/>
        <v>3차</v>
      </c>
      <c r="D1635" s="1" t="str">
        <f>"0328Z69830"</f>
        <v>0328Z69830</v>
      </c>
      <c r="E1635" s="1" t="s">
        <v>10</v>
      </c>
      <c r="F1635" s="1" t="str">
        <f>"10.10.20.218"</f>
        <v>10.10.20.218</v>
      </c>
      <c r="G1635" s="1" t="str">
        <f>"0328Z698"</f>
        <v>0328Z698</v>
      </c>
      <c r="H1635" s="1" t="str">
        <f>"중화간 4R17"</f>
        <v>중화간 4R17</v>
      </c>
      <c r="I1635" s="1" t="s">
        <v>8</v>
      </c>
      <c r="J1635" s="1" t="str">
        <f>"21/21"</f>
        <v>21/21</v>
      </c>
      <c r="K1635" s="1" t="str">
        <f>"2026-07-29 13:18:02"</f>
        <v>2026-07-29 13:18:02</v>
      </c>
      <c r="L1635" s="1" t="str">
        <f>"2021-07-27 10:07:05"</f>
        <v>2021-07-27 10:07:05</v>
      </c>
      <c r="M1635" s="1" t="s">
        <v>1</v>
      </c>
      <c r="N1635" s="1" t="s">
        <v>38</v>
      </c>
      <c r="O1635" s="1" t="s">
        <v>46</v>
      </c>
    </row>
    <row r="1636" spans="2:15" x14ac:dyDescent="0.3">
      <c r="B1636" s="1" t="s">
        <v>24</v>
      </c>
      <c r="C1636" s="1" t="str">
        <f>"6차"</f>
        <v>6차</v>
      </c>
      <c r="D1636" s="1" t="str">
        <f>"0328Z7026S"</f>
        <v>0328Z7026S</v>
      </c>
      <c r="E1636" s="1" t="s">
        <v>10</v>
      </c>
      <c r="F1636" s="1" t="str">
        <f>"fde1:103:4:923f:0:0:0:2"</f>
        <v>fde1:103:4:923f:0:0:0:2</v>
      </c>
      <c r="G1636" s="1" t="str">
        <f>"0328Z702"</f>
        <v>0328Z702</v>
      </c>
      <c r="H1636" s="1" t="str">
        <f>"한독간 49"</f>
        <v>한독간 49</v>
      </c>
      <c r="I1636" s="1" t="s">
        <v>15</v>
      </c>
      <c r="J1636" s="1" t="str">
        <f>"62/62"</f>
        <v>62/62</v>
      </c>
      <c r="K1636" s="1" t="str">
        <f>"2026-07-29 14:21:15"</f>
        <v>2026-07-29 14:21:15</v>
      </c>
      <c r="L1636" s="1" t="str">
        <f>"2025-02-20 17:34:41"</f>
        <v>2025-02-20 17:34:41</v>
      </c>
      <c r="M1636" s="1" t="s">
        <v>4</v>
      </c>
      <c r="N1636" s="1" t="s">
        <v>38</v>
      </c>
      <c r="O1636" s="1" t="s">
        <v>46</v>
      </c>
    </row>
    <row r="1637" spans="2:15" x14ac:dyDescent="0.3">
      <c r="B1637" s="1" t="s">
        <v>24</v>
      </c>
      <c r="C1637" s="1" t="str">
        <f>"1차"</f>
        <v>1차</v>
      </c>
      <c r="D1637" s="1" t="str">
        <f>"0328Z71100"</f>
        <v>0328Z71100</v>
      </c>
      <c r="E1637" s="1" t="s">
        <v>10</v>
      </c>
      <c r="F1637" s="1" t="str">
        <f>"10.89.252.207"</f>
        <v>10.89.252.207</v>
      </c>
      <c r="G1637" s="1" t="str">
        <f>"0328Z711"</f>
        <v>0328Z711</v>
      </c>
      <c r="H1637" s="1" t="str">
        <f>"한독간 51"</f>
        <v>한독간 51</v>
      </c>
      <c r="I1637" s="1" t="s">
        <v>8</v>
      </c>
      <c r="J1637" s="1" t="str">
        <f>"36/36"</f>
        <v>36/36</v>
      </c>
      <c r="K1637" s="1" t="str">
        <f>"2026-07-29 13:18:02"</f>
        <v>2026-07-29 13:18:02</v>
      </c>
      <c r="L1637" s="1" t="str">
        <f>"2014-10-15 14:47:50"</f>
        <v>2014-10-15 14:47:50</v>
      </c>
      <c r="M1637" s="1" t="s">
        <v>45</v>
      </c>
      <c r="N1637" s="1" t="s">
        <v>38</v>
      </c>
      <c r="O1637" s="1" t="s">
        <v>46</v>
      </c>
    </row>
    <row r="1638" spans="2:15" x14ac:dyDescent="0.3">
      <c r="B1638" s="1" t="s">
        <v>24</v>
      </c>
      <c r="C1638" s="1" t="str">
        <f>"1차"</f>
        <v>1차</v>
      </c>
      <c r="D1638" s="1" t="str">
        <f>"0328Z72100"</f>
        <v>0328Z72100</v>
      </c>
      <c r="E1638" s="1" t="s">
        <v>10</v>
      </c>
      <c r="F1638" s="1" t="str">
        <f>"10.89.252.206"</f>
        <v>10.89.252.206</v>
      </c>
      <c r="G1638" s="1" t="str">
        <f>"0328Z721"</f>
        <v>0328Z721</v>
      </c>
      <c r="H1638" s="1" t="str">
        <f>"한독간 52"</f>
        <v>한독간 52</v>
      </c>
      <c r="I1638" s="1" t="s">
        <v>8</v>
      </c>
      <c r="J1638" s="1" t="str">
        <f>"81/81"</f>
        <v>81/81</v>
      </c>
      <c r="K1638" s="1" t="str">
        <f>"2026-07-29 13:18:02"</f>
        <v>2026-07-29 13:18:02</v>
      </c>
      <c r="L1638" s="1" t="str">
        <f>"2014-10-14 14:34:55"</f>
        <v>2014-10-14 14:34:55</v>
      </c>
      <c r="M1638" s="1" t="s">
        <v>45</v>
      </c>
      <c r="N1638" s="1" t="s">
        <v>38</v>
      </c>
      <c r="O1638" s="1" t="s">
        <v>46</v>
      </c>
    </row>
    <row r="1639" spans="2:15" x14ac:dyDescent="0.3">
      <c r="B1639" s="1" t="s">
        <v>24</v>
      </c>
      <c r="C1639" s="1" t="str">
        <f>"1차"</f>
        <v>1차</v>
      </c>
      <c r="D1639" s="1" t="str">
        <f>"0328Z73101"</f>
        <v>0328Z73101</v>
      </c>
      <c r="E1639" s="1" t="s">
        <v>10</v>
      </c>
      <c r="F1639" s="1" t="str">
        <f>"10.12.135.78"</f>
        <v>10.12.135.78</v>
      </c>
      <c r="G1639" s="1" t="str">
        <f>"0328Z731"</f>
        <v>0328Z731</v>
      </c>
      <c r="H1639" s="1" t="str">
        <f>"한독간 53"</f>
        <v>한독간 53</v>
      </c>
      <c r="I1639" s="1" t="s">
        <v>8</v>
      </c>
      <c r="J1639" s="1" t="str">
        <f>"59/61"</f>
        <v>59/61</v>
      </c>
      <c r="K1639" s="1" t="str">
        <f>"2026-07-29 13:18:03"</f>
        <v>2026-07-29 13:18:03</v>
      </c>
      <c r="L1639" s="1" t="str">
        <f>"2014-10-15 15:08:13"</f>
        <v>2014-10-15 15:08:13</v>
      </c>
      <c r="M1639" s="1" t="s">
        <v>0</v>
      </c>
      <c r="N1639" s="1" t="s">
        <v>38</v>
      </c>
      <c r="O1639" s="1" t="s">
        <v>46</v>
      </c>
    </row>
    <row r="1640" spans="2:15" x14ac:dyDescent="0.3">
      <c r="B1640" s="1" t="s">
        <v>24</v>
      </c>
      <c r="C1640" s="1" t="str">
        <f>"3차"</f>
        <v>3차</v>
      </c>
      <c r="D1640" s="1" t="str">
        <f>"0328Z74239"</f>
        <v>0328Z74239</v>
      </c>
      <c r="E1640" s="1" t="s">
        <v>10</v>
      </c>
      <c r="F1640" s="1" t="str">
        <f>"10.10.18.122"</f>
        <v>10.10.18.122</v>
      </c>
      <c r="G1640" s="1" t="str">
        <f>"0328Z742"</f>
        <v>0328Z742</v>
      </c>
      <c r="H1640" s="1" t="str">
        <f>"한독간 54"</f>
        <v>한독간 54</v>
      </c>
      <c r="I1640" s="1" t="s">
        <v>8</v>
      </c>
      <c r="J1640" s="1" t="str">
        <f>"14/14"</f>
        <v>14/14</v>
      </c>
      <c r="K1640" s="1" t="str">
        <f>"2026-07-29 13:18:02"</f>
        <v>2026-07-29 13:18:02</v>
      </c>
      <c r="L1640" s="1" t="str">
        <f>"2018-02-22 15:42:16"</f>
        <v>2018-02-22 15:42:16</v>
      </c>
      <c r="M1640" s="1" t="s">
        <v>1</v>
      </c>
      <c r="N1640" s="1" t="s">
        <v>38</v>
      </c>
      <c r="O1640" s="1" t="s">
        <v>46</v>
      </c>
    </row>
    <row r="1641" spans="2:15" x14ac:dyDescent="0.3">
      <c r="B1641" s="1" t="s">
        <v>24</v>
      </c>
      <c r="C1641" s="1" t="str">
        <f>"4차"</f>
        <v>4차</v>
      </c>
      <c r="D1641" s="1" t="str">
        <f>"0328Z79339"</f>
        <v>0328Z79339</v>
      </c>
      <c r="E1641" s="1" t="s">
        <v>10</v>
      </c>
      <c r="F1641" s="1" t="str">
        <f>"10.10.7.138"</f>
        <v>10.10.7.138</v>
      </c>
      <c r="G1641" s="1" t="str">
        <f>"0328Z793"</f>
        <v>0328Z793</v>
      </c>
      <c r="H1641" s="1" t="str">
        <f>"한독간 12"</f>
        <v>한독간 12</v>
      </c>
      <c r="I1641" s="1" t="s">
        <v>8</v>
      </c>
      <c r="J1641" s="1" t="str">
        <f>"7/70"</f>
        <v>7/70</v>
      </c>
      <c r="K1641" s="1" t="str">
        <f>"2026-07-29 13:18:02"</f>
        <v>2026-07-29 13:18:02</v>
      </c>
      <c r="L1641" s="1" t="str">
        <f>"2018-02-08 13:51:11"</f>
        <v>2018-02-08 13:51:11</v>
      </c>
      <c r="M1641" s="1" t="s">
        <v>1</v>
      </c>
      <c r="N1641" s="1" t="s">
        <v>38</v>
      </c>
      <c r="O1641" s="1" t="s">
        <v>46</v>
      </c>
    </row>
    <row r="1642" spans="2:15" x14ac:dyDescent="0.3">
      <c r="B1642" s="1" t="s">
        <v>24</v>
      </c>
      <c r="C1642" s="1" t="str">
        <f>"4차"</f>
        <v>4차</v>
      </c>
      <c r="D1642" s="1" t="str">
        <f>"0328Z80144"</f>
        <v>0328Z80144</v>
      </c>
      <c r="E1642" s="1" t="s">
        <v>10</v>
      </c>
      <c r="F1642" s="1" t="str">
        <f>"10.89.248.75"</f>
        <v>10.89.248.75</v>
      </c>
      <c r="G1642" s="1" t="str">
        <f>"0328Z801"</f>
        <v>0328Z801</v>
      </c>
      <c r="H1642" s="1" t="str">
        <f>"한독간 35R2"</f>
        <v>한독간 35R2</v>
      </c>
      <c r="I1642" s="1" t="s">
        <v>8</v>
      </c>
      <c r="J1642" s="1" t="str">
        <f>"74/74"</f>
        <v>74/74</v>
      </c>
      <c r="K1642" s="1" t="str">
        <f>"2026-07-29 13:18:02"</f>
        <v>2026-07-29 13:18:02</v>
      </c>
      <c r="L1642" s="1" t="str">
        <f>"2023-11-30 09:43:47"</f>
        <v>2023-11-30 09:43:47</v>
      </c>
      <c r="M1642" s="1" t="s">
        <v>45</v>
      </c>
      <c r="N1642" s="1" t="s">
        <v>38</v>
      </c>
      <c r="O1642" s="1" t="s">
        <v>46</v>
      </c>
    </row>
    <row r="1643" spans="2:15" x14ac:dyDescent="0.3">
      <c r="B1643" s="1" t="s">
        <v>24</v>
      </c>
      <c r="C1643" s="1" t="str">
        <f>"1차"</f>
        <v>1차</v>
      </c>
      <c r="D1643" s="1" t="str">
        <f>"0328Z81101"</f>
        <v>0328Z81101</v>
      </c>
      <c r="E1643" s="1" t="s">
        <v>10</v>
      </c>
      <c r="F1643" s="1" t="str">
        <f>"10.89.252.203"</f>
        <v>10.89.252.203</v>
      </c>
      <c r="G1643" s="1" t="str">
        <f>"0328Z811"</f>
        <v>0328Z811</v>
      </c>
      <c r="H1643" s="1" t="str">
        <f>"한독간 31R2"</f>
        <v>한독간 31R2</v>
      </c>
      <c r="I1643" s="1" t="s">
        <v>8</v>
      </c>
      <c r="J1643" s="1" t="str">
        <f>"45/45"</f>
        <v>45/45</v>
      </c>
      <c r="K1643" s="1" t="str">
        <f>"2026-07-29 13:18:02"</f>
        <v>2026-07-29 13:18:02</v>
      </c>
      <c r="L1643" s="1" t="str">
        <f>"2014-10-14 14:36:13"</f>
        <v>2014-10-14 14:36:13</v>
      </c>
      <c r="M1643" s="1" t="s">
        <v>45</v>
      </c>
      <c r="N1643" s="1" t="s">
        <v>38</v>
      </c>
      <c r="O1643" s="1" t="s">
        <v>46</v>
      </c>
    </row>
    <row r="1644" spans="2:15" x14ac:dyDescent="0.3">
      <c r="B1644" s="1" t="s">
        <v>24</v>
      </c>
      <c r="C1644" s="1" t="str">
        <f>"6차"</f>
        <v>6차</v>
      </c>
      <c r="D1644" s="1" t="str">
        <f>"0328Z8126S"</f>
        <v>0328Z8126S</v>
      </c>
      <c r="E1644" s="1" t="s">
        <v>10</v>
      </c>
      <c r="F1644" s="1" t="str">
        <f>"fde1:103:4:9267:0:0:0:2"</f>
        <v>fde1:103:4:9267:0:0:0:2</v>
      </c>
      <c r="G1644" s="1" t="str">
        <f>"0328Z812"</f>
        <v>0328Z812</v>
      </c>
      <c r="H1644" s="1" t="str">
        <f>"한독간 51R1"</f>
        <v>한독간 51R1</v>
      </c>
      <c r="I1644" s="1" t="s">
        <v>15</v>
      </c>
      <c r="J1644" s="1" t="str">
        <f>"38/38"</f>
        <v>38/38</v>
      </c>
      <c r="K1644" s="1" t="str">
        <f>"2026-07-29 14:20:18"</f>
        <v>2026-07-29 14:20:18</v>
      </c>
      <c r="L1644" s="1" t="str">
        <f>"2025-02-20 17:32:05"</f>
        <v>2025-02-20 17:32:05</v>
      </c>
      <c r="M1644" s="1" t="s">
        <v>4</v>
      </c>
      <c r="N1644" s="1" t="s">
        <v>38</v>
      </c>
      <c r="O1644" s="1" t="s">
        <v>46</v>
      </c>
    </row>
    <row r="1645" spans="2:15" x14ac:dyDescent="0.3">
      <c r="B1645" s="1" t="s">
        <v>24</v>
      </c>
      <c r="C1645" s="1" t="str">
        <f>"1차"</f>
        <v>1차</v>
      </c>
      <c r="D1645" s="1" t="str">
        <f>"0328Z84100"</f>
        <v>0328Z84100</v>
      </c>
      <c r="E1645" s="1" t="s">
        <v>10</v>
      </c>
      <c r="F1645" s="1" t="str">
        <f>"10.89.249.74"</f>
        <v>10.89.249.74</v>
      </c>
      <c r="G1645" s="1" t="str">
        <f>"0328Z841"</f>
        <v>0328Z841</v>
      </c>
      <c r="H1645" s="1" t="str">
        <f>"한독간 26R1"</f>
        <v>한독간 26R1</v>
      </c>
      <c r="I1645" s="1" t="s">
        <v>8</v>
      </c>
      <c r="J1645" s="1" t="str">
        <f>"45/45"</f>
        <v>45/45</v>
      </c>
      <c r="K1645" s="1" t="str">
        <f>"2026-07-29 13:18:02"</f>
        <v>2026-07-29 13:18:02</v>
      </c>
      <c r="L1645" s="1" t="str">
        <f>"2014-10-29 13:24:38"</f>
        <v>2014-10-29 13:24:38</v>
      </c>
      <c r="M1645" s="1" t="s">
        <v>45</v>
      </c>
      <c r="N1645" s="1" t="s">
        <v>38</v>
      </c>
      <c r="O1645" s="1" t="s">
        <v>46</v>
      </c>
    </row>
    <row r="1646" spans="2:15" x14ac:dyDescent="0.3">
      <c r="B1646" s="1" t="s">
        <v>24</v>
      </c>
      <c r="C1646" s="1" t="str">
        <f>"4차"</f>
        <v>4차</v>
      </c>
      <c r="D1646" s="1" t="str">
        <f>"0328Z90239"</f>
        <v>0328Z90239</v>
      </c>
      <c r="E1646" s="1" t="s">
        <v>10</v>
      </c>
      <c r="F1646" s="1" t="str">
        <f>"10.12.132.29"</f>
        <v>10.12.132.29</v>
      </c>
      <c r="G1646" s="1" t="str">
        <f>"0328Z902"</f>
        <v>0328Z902</v>
      </c>
      <c r="H1646" s="1" t="str">
        <f>"한독간 35R1"</f>
        <v>한독간 35R1</v>
      </c>
      <c r="I1646" s="1" t="s">
        <v>8</v>
      </c>
      <c r="J1646" s="1" t="str">
        <f>"39/39"</f>
        <v>39/39</v>
      </c>
      <c r="K1646" s="1" t="str">
        <f>"2026-07-29 13:18:03"</f>
        <v>2026-07-29 13:18:03</v>
      </c>
      <c r="L1646" s="1" t="str">
        <f>"2021-07-28 09:36:06"</f>
        <v>2021-07-28 09:36:06</v>
      </c>
      <c r="M1646" s="1" t="s">
        <v>0</v>
      </c>
      <c r="N1646" s="1" t="s">
        <v>38</v>
      </c>
      <c r="O1646" s="1" t="s">
        <v>46</v>
      </c>
    </row>
    <row r="1647" spans="2:15" x14ac:dyDescent="0.3">
      <c r="B1647" s="1" t="s">
        <v>24</v>
      </c>
      <c r="C1647" s="1" t="str">
        <f>"3차"</f>
        <v>3차</v>
      </c>
      <c r="D1647" s="1" t="str">
        <f>"0328Z92139"</f>
        <v>0328Z92139</v>
      </c>
      <c r="E1647" s="1" t="s">
        <v>10</v>
      </c>
      <c r="F1647" s="1" t="str">
        <f>"10.10.6.2"</f>
        <v>10.10.6.2</v>
      </c>
      <c r="G1647" s="1" t="str">
        <f>"0328Z921"</f>
        <v>0328Z921</v>
      </c>
      <c r="H1647" s="1" t="str">
        <f>"한독간 30"</f>
        <v>한독간 30</v>
      </c>
      <c r="I1647" s="1" t="s">
        <v>8</v>
      </c>
      <c r="J1647" s="1" t="str">
        <f>"8/8"</f>
        <v>8/8</v>
      </c>
      <c r="K1647" s="1" t="str">
        <f>"2026-07-29 13:18:02"</f>
        <v>2026-07-29 13:18:02</v>
      </c>
      <c r="L1647" s="1" t="str">
        <f>"2018-01-23 11:50:24"</f>
        <v>2018-01-23 11:50:24</v>
      </c>
      <c r="M1647" s="1" t="s">
        <v>1</v>
      </c>
      <c r="N1647" s="1" t="s">
        <v>38</v>
      </c>
      <c r="O1647" s="1" t="s">
        <v>46</v>
      </c>
    </row>
    <row r="1648" spans="2:15" x14ac:dyDescent="0.3">
      <c r="B1648" s="1" t="s">
        <v>24</v>
      </c>
      <c r="C1648" s="1" t="str">
        <f>"3차"</f>
        <v>3차</v>
      </c>
      <c r="D1648" s="1" t="str">
        <f>"0328Z92239"</f>
        <v>0328Z92239</v>
      </c>
      <c r="E1648" s="1" t="s">
        <v>10</v>
      </c>
      <c r="F1648" s="1" t="str">
        <f>"10.10.6.26"</f>
        <v>10.10.6.26</v>
      </c>
      <c r="G1648" s="1" t="str">
        <f>"0328Z922"</f>
        <v>0328Z922</v>
      </c>
      <c r="H1648" s="1" t="str">
        <f>"한독간 31"</f>
        <v>한독간 31</v>
      </c>
      <c r="I1648" s="1" t="s">
        <v>8</v>
      </c>
      <c r="J1648" s="1" t="str">
        <f>"9/9"</f>
        <v>9/9</v>
      </c>
      <c r="K1648" s="1" t="str">
        <f>"2026-07-29 13:18:02"</f>
        <v>2026-07-29 13:18:02</v>
      </c>
      <c r="L1648" s="1" t="str">
        <f>"2018-01-23 12:11:54"</f>
        <v>2018-01-23 12:11:54</v>
      </c>
      <c r="M1648" s="1" t="s">
        <v>1</v>
      </c>
      <c r="N1648" s="1" t="s">
        <v>38</v>
      </c>
      <c r="O1648" s="1" t="s">
        <v>46</v>
      </c>
    </row>
    <row r="1649" spans="2:15" x14ac:dyDescent="0.3">
      <c r="B1649" s="1" t="s">
        <v>24</v>
      </c>
      <c r="C1649" s="1" t="str">
        <f>"6차"</f>
        <v>6차</v>
      </c>
      <c r="D1649" s="1" t="str">
        <f>"0328Z9316S"</f>
        <v>0328Z9316S</v>
      </c>
      <c r="E1649" s="1" t="s">
        <v>10</v>
      </c>
      <c r="F1649" s="1" t="str">
        <f>"fde1:103:4:c6e7:0:0:0:2"</f>
        <v>fde1:103:4:c6e7:0:0:0:2</v>
      </c>
      <c r="G1649" s="1" t="str">
        <f>"0328Z931"</f>
        <v>0328Z931</v>
      </c>
      <c r="H1649" s="1" t="str">
        <f>"한독간 28"</f>
        <v>한독간 28</v>
      </c>
      <c r="I1649" s="1" t="s">
        <v>15</v>
      </c>
      <c r="J1649" s="1" t="str">
        <f>"59/59"</f>
        <v>59/59</v>
      </c>
      <c r="K1649" s="1" t="str">
        <f>"2026-07-29 14:20:18"</f>
        <v>2026-07-29 14:20:18</v>
      </c>
      <c r="L1649" s="1" t="str">
        <f>"2024-11-08 14:14:32"</f>
        <v>2024-11-08 14:14:32</v>
      </c>
      <c r="M1649" s="1" t="s">
        <v>4</v>
      </c>
      <c r="N1649" s="1" t="s">
        <v>38</v>
      </c>
      <c r="O1649" s="1" t="s">
        <v>46</v>
      </c>
    </row>
    <row r="1650" spans="2:15" x14ac:dyDescent="0.3">
      <c r="B1650" s="1" t="s">
        <v>24</v>
      </c>
      <c r="C1650" s="1" t="str">
        <f t="shared" ref="C1650:C1665" si="98">"3차"</f>
        <v>3차</v>
      </c>
      <c r="D1650" s="1" t="str">
        <f>"0328Z95139"</f>
        <v>0328Z95139</v>
      </c>
      <c r="E1650" s="1" t="s">
        <v>14</v>
      </c>
      <c r="F1650" s="1" t="str">
        <f>"10.10.7.218"</f>
        <v>10.10.7.218</v>
      </c>
      <c r="G1650" s="1" t="str">
        <f>"0328Z951"</f>
        <v>0328Z951</v>
      </c>
      <c r="H1650" s="1" t="str">
        <f>"한독간 25"</f>
        <v>한독간 25</v>
      </c>
      <c r="I1650" s="1" t="s">
        <v>8</v>
      </c>
      <c r="J1650" s="1" t="str">
        <f>"0/0"</f>
        <v>0/0</v>
      </c>
      <c r="K1650" s="1" t="str">
        <f>"2026-07-29 13:18:02"</f>
        <v>2026-07-29 13:18:02</v>
      </c>
      <c r="L1650" s="1" t="str">
        <f>"2018-02-22 14:28:45"</f>
        <v>2018-02-22 14:28:45</v>
      </c>
      <c r="M1650" s="1" t="s">
        <v>1</v>
      </c>
      <c r="N1650" s="1" t="s">
        <v>38</v>
      </c>
      <c r="O1650" s="1" t="s">
        <v>44</v>
      </c>
    </row>
    <row r="1651" spans="2:15" x14ac:dyDescent="0.3">
      <c r="B1651" s="1" t="s">
        <v>24</v>
      </c>
      <c r="C1651" s="1" t="str">
        <f t="shared" si="98"/>
        <v>3차</v>
      </c>
      <c r="D1651" s="1" t="str">
        <f>"0328Z97130"</f>
        <v>0328Z97130</v>
      </c>
      <c r="E1651" s="1" t="s">
        <v>14</v>
      </c>
      <c r="F1651" s="1" t="str">
        <f>"10.10.4.130"</f>
        <v>10.10.4.130</v>
      </c>
      <c r="G1651" s="1" t="str">
        <f>"0328Z971"</f>
        <v>0328Z971</v>
      </c>
      <c r="H1651" s="1" t="str">
        <f>"한독간 20"</f>
        <v>한독간 20</v>
      </c>
      <c r="I1651" s="1" t="s">
        <v>8</v>
      </c>
      <c r="J1651" s="1" t="str">
        <f>"0/0"</f>
        <v>0/0</v>
      </c>
      <c r="K1651" s="1" t="str">
        <f>"2026-07-29 13:18:02"</f>
        <v>2026-07-29 13:18:02</v>
      </c>
      <c r="L1651" s="1" t="str">
        <f>"2018-02-08 14:00:10"</f>
        <v>2018-02-08 14:00:10</v>
      </c>
      <c r="M1651" s="1" t="s">
        <v>1</v>
      </c>
      <c r="N1651" s="1" t="s">
        <v>38</v>
      </c>
      <c r="O1651" s="1" t="s">
        <v>44</v>
      </c>
    </row>
    <row r="1652" spans="2:15" x14ac:dyDescent="0.3">
      <c r="B1652" s="1" t="s">
        <v>24</v>
      </c>
      <c r="C1652" s="1" t="str">
        <f t="shared" si="98"/>
        <v>3차</v>
      </c>
      <c r="D1652" s="1" t="str">
        <f>"0329Y90131"</f>
        <v>0329Y90131</v>
      </c>
      <c r="E1652" s="1" t="s">
        <v>10</v>
      </c>
      <c r="F1652" s="1" t="str">
        <f>"10.10.12.19"</f>
        <v>10.10.12.19</v>
      </c>
      <c r="G1652" s="1" t="str">
        <f>"0329Y901"</f>
        <v>0329Y901</v>
      </c>
      <c r="H1652" s="1" t="str">
        <f>"신묵간 8"</f>
        <v>신묵간 8</v>
      </c>
      <c r="I1652" s="1" t="s">
        <v>8</v>
      </c>
      <c r="J1652" s="1" t="str">
        <f>"10/11"</f>
        <v>10/11</v>
      </c>
      <c r="K1652" s="1" t="str">
        <f>"2026-07-29 13:18:03"</f>
        <v>2026-07-29 13:18:03</v>
      </c>
      <c r="L1652" s="1" t="str">
        <f>"2018-03-16 16:25:13"</f>
        <v>2018-03-16 16:25:13</v>
      </c>
      <c r="M1652" s="1" t="s">
        <v>1</v>
      </c>
      <c r="N1652" s="1" t="s">
        <v>38</v>
      </c>
      <c r="O1652" s="1" t="s">
        <v>46</v>
      </c>
    </row>
    <row r="1653" spans="2:15" x14ac:dyDescent="0.3">
      <c r="B1653" s="1" t="s">
        <v>24</v>
      </c>
      <c r="C1653" s="1" t="str">
        <f t="shared" si="98"/>
        <v>3차</v>
      </c>
      <c r="D1653" s="1" t="str">
        <f>"0329Y91130"</f>
        <v>0329Y91130</v>
      </c>
      <c r="E1653" s="1" t="s">
        <v>10</v>
      </c>
      <c r="F1653" s="1" t="str">
        <f>"10.10.12.18"</f>
        <v>10.10.12.18</v>
      </c>
      <c r="G1653" s="1" t="str">
        <f>"0329Y911"</f>
        <v>0329Y911</v>
      </c>
      <c r="H1653" s="1" t="str">
        <f>"신묵간 7"</f>
        <v>신묵간 7</v>
      </c>
      <c r="I1653" s="1" t="s">
        <v>8</v>
      </c>
      <c r="J1653" s="1" t="str">
        <f>"6/6"</f>
        <v>6/6</v>
      </c>
      <c r="K1653" s="1" t="str">
        <f>"2026-07-29 13:18:03"</f>
        <v>2026-07-29 13:18:03</v>
      </c>
      <c r="L1653" s="1" t="str">
        <f>"2018-01-18 13:14:25"</f>
        <v>2018-01-18 13:14:25</v>
      </c>
      <c r="M1653" s="1" t="s">
        <v>1</v>
      </c>
      <c r="N1653" s="1" t="s">
        <v>38</v>
      </c>
      <c r="O1653" s="1" t="s">
        <v>46</v>
      </c>
    </row>
    <row r="1654" spans="2:15" x14ac:dyDescent="0.3">
      <c r="B1654" s="1" t="s">
        <v>24</v>
      </c>
      <c r="C1654" s="1" t="str">
        <f t="shared" si="98"/>
        <v>3차</v>
      </c>
      <c r="D1654" s="1" t="str">
        <f>"0329Z01230"</f>
        <v>0329Z01230</v>
      </c>
      <c r="E1654" s="1" t="s">
        <v>10</v>
      </c>
      <c r="F1654" s="1" t="str">
        <f>"10.10.8.66"</f>
        <v>10.10.8.66</v>
      </c>
      <c r="G1654" s="1" t="str">
        <f>"0329Z012"</f>
        <v>0329Z012</v>
      </c>
      <c r="H1654" s="1" t="str">
        <f>"신묵간 6"</f>
        <v>신묵간 6</v>
      </c>
      <c r="I1654" s="1" t="s">
        <v>8</v>
      </c>
      <c r="J1654" s="1" t="str">
        <f>"51/52"</f>
        <v>51/52</v>
      </c>
      <c r="K1654" s="1" t="str">
        <f>"2026-07-29 13:18:03"</f>
        <v>2026-07-29 13:18:03</v>
      </c>
      <c r="L1654" s="1" t="str">
        <f>"2018-01-18 13:15:11"</f>
        <v>2018-01-18 13:15:11</v>
      </c>
      <c r="M1654" s="1" t="s">
        <v>1</v>
      </c>
      <c r="N1654" s="1" t="s">
        <v>38</v>
      </c>
      <c r="O1654" s="1" t="s">
        <v>46</v>
      </c>
    </row>
    <row r="1655" spans="2:15" x14ac:dyDescent="0.3">
      <c r="B1655" s="1" t="s">
        <v>24</v>
      </c>
      <c r="C1655" s="1" t="str">
        <f t="shared" si="98"/>
        <v>3차</v>
      </c>
      <c r="D1655" s="1" t="str">
        <f>"0329Z11131"</f>
        <v>0329Z11131</v>
      </c>
      <c r="E1655" s="1" t="s">
        <v>10</v>
      </c>
      <c r="F1655" s="1" t="str">
        <f>"10.10.40.115"</f>
        <v>10.10.40.115</v>
      </c>
      <c r="G1655" s="1" t="str">
        <f>"0329Z111"</f>
        <v>0329Z111</v>
      </c>
      <c r="H1655" s="1" t="str">
        <f>"신묵간 4"</f>
        <v>신묵간 4</v>
      </c>
      <c r="I1655" s="1" t="s">
        <v>8</v>
      </c>
      <c r="J1655" s="1" t="str">
        <f>"29/31"</f>
        <v>29/31</v>
      </c>
      <c r="K1655" s="1" t="str">
        <f>"2026-07-29 13:18:03"</f>
        <v>2026-07-29 13:18:03</v>
      </c>
      <c r="L1655" s="1" t="str">
        <f>"2018-03-12 11:10:27"</f>
        <v>2018-03-12 11:10:27</v>
      </c>
      <c r="M1655" s="1" t="s">
        <v>1</v>
      </c>
      <c r="N1655" s="1" t="s">
        <v>38</v>
      </c>
      <c r="O1655" s="1" t="s">
        <v>46</v>
      </c>
    </row>
    <row r="1656" spans="2:15" x14ac:dyDescent="0.3">
      <c r="B1656" s="1" t="s">
        <v>24</v>
      </c>
      <c r="C1656" s="1" t="str">
        <f t="shared" si="98"/>
        <v>3차</v>
      </c>
      <c r="D1656" s="1" t="str">
        <f>"0329Z21139"</f>
        <v>0329Z21139</v>
      </c>
      <c r="E1656" s="1" t="s">
        <v>10</v>
      </c>
      <c r="F1656" s="1" t="str">
        <f>"10.10.15.154"</f>
        <v>10.10.15.154</v>
      </c>
      <c r="G1656" s="1" t="str">
        <f>"0329Z211"</f>
        <v>0329Z211</v>
      </c>
      <c r="H1656" s="1" t="str">
        <f>"신묵간 30L8"</f>
        <v>신묵간 30L8</v>
      </c>
      <c r="I1656" s="1" t="s">
        <v>8</v>
      </c>
      <c r="J1656" s="1" t="str">
        <f>"32/56"</f>
        <v>32/56</v>
      </c>
      <c r="K1656" s="1" t="str">
        <f>"2026-07-29 13:18:03"</f>
        <v>2026-07-29 13:18:03</v>
      </c>
      <c r="L1656" s="1" t="str">
        <f>"2018-02-21 15:46:56"</f>
        <v>2018-02-21 15:46:56</v>
      </c>
      <c r="M1656" s="1" t="s">
        <v>1</v>
      </c>
      <c r="N1656" s="1" t="s">
        <v>38</v>
      </c>
      <c r="O1656" s="1" t="s">
        <v>46</v>
      </c>
    </row>
    <row r="1657" spans="2:15" x14ac:dyDescent="0.3">
      <c r="B1657" s="1" t="s">
        <v>24</v>
      </c>
      <c r="C1657" s="1" t="str">
        <f t="shared" si="98"/>
        <v>3차</v>
      </c>
      <c r="D1657" s="1" t="str">
        <f>"0329Z22330"</f>
        <v>0329Z22330</v>
      </c>
      <c r="E1657" s="1" t="s">
        <v>10</v>
      </c>
      <c r="F1657" s="1" t="str">
        <f>"10.10.40.114"</f>
        <v>10.10.40.114</v>
      </c>
      <c r="G1657" s="1" t="str">
        <f>"0329Z223"</f>
        <v>0329Z223</v>
      </c>
      <c r="H1657" s="1" t="str">
        <f>"신묵간 3"</f>
        <v>신묵간 3</v>
      </c>
      <c r="I1657" s="1" t="s">
        <v>8</v>
      </c>
      <c r="J1657" s="1" t="str">
        <f>"6/6"</f>
        <v>6/6</v>
      </c>
      <c r="K1657" s="1" t="str">
        <f>"2026-07-29 13:18:02"</f>
        <v>2026-07-29 13:18:02</v>
      </c>
      <c r="L1657" s="1" t="str">
        <f>"2018-03-12 11:10:55"</f>
        <v>2018-03-12 11:10:55</v>
      </c>
      <c r="M1657" s="1" t="s">
        <v>1</v>
      </c>
      <c r="N1657" s="1" t="s">
        <v>38</v>
      </c>
      <c r="O1657" s="1" t="s">
        <v>46</v>
      </c>
    </row>
    <row r="1658" spans="2:15" x14ac:dyDescent="0.3">
      <c r="B1658" s="1" t="s">
        <v>24</v>
      </c>
      <c r="C1658" s="1" t="str">
        <f t="shared" si="98"/>
        <v>3차</v>
      </c>
      <c r="D1658" s="1" t="str">
        <f>"0329Z30239"</f>
        <v>0329Z30239</v>
      </c>
      <c r="E1658" s="1" t="s">
        <v>10</v>
      </c>
      <c r="F1658" s="1" t="str">
        <f>"10.10.20.18"</f>
        <v>10.10.20.18</v>
      </c>
      <c r="G1658" s="1" t="str">
        <f>"0329Z302"</f>
        <v>0329Z302</v>
      </c>
      <c r="H1658" s="1" t="str">
        <f>"묵동지 16L13"</f>
        <v>묵동지 16L13</v>
      </c>
      <c r="I1658" s="1" t="s">
        <v>8</v>
      </c>
      <c r="J1658" s="1" t="str">
        <f>"6/6"</f>
        <v>6/6</v>
      </c>
      <c r="K1658" s="1" t="str">
        <f>"2026-07-29 13:18:03"</f>
        <v>2026-07-29 13:18:03</v>
      </c>
      <c r="L1658" s="1" t="str">
        <f>"2022-08-23 14:52:24"</f>
        <v>2022-08-23 14:52:24</v>
      </c>
      <c r="M1658" s="1" t="s">
        <v>1</v>
      </c>
      <c r="N1658" s="1" t="s">
        <v>38</v>
      </c>
      <c r="O1658" s="1" t="s">
        <v>46</v>
      </c>
    </row>
    <row r="1659" spans="2:15" x14ac:dyDescent="0.3">
      <c r="B1659" s="1" t="s">
        <v>24</v>
      </c>
      <c r="C1659" s="1" t="str">
        <f t="shared" si="98"/>
        <v>3차</v>
      </c>
      <c r="D1659" s="1" t="str">
        <f>"0329Z31230"</f>
        <v>0329Z31230</v>
      </c>
      <c r="E1659" s="1" t="str">
        <f>"검침실패(3시간 이상)"</f>
        <v>검침실패(3시간 이상)</v>
      </c>
      <c r="F1659" s="1" t="str">
        <f>"10.10.19.82"</f>
        <v>10.10.19.82</v>
      </c>
      <c r="G1659" s="1" t="str">
        <f>"0329Z312"</f>
        <v>0329Z312</v>
      </c>
      <c r="H1659" s="1" t="str">
        <f>"묵동지 16L15"</f>
        <v>묵동지 16L15</v>
      </c>
      <c r="I1659" s="1" t="s">
        <v>8</v>
      </c>
      <c r="J1659" s="1" t="str">
        <f>"0/34"</f>
        <v>0/34</v>
      </c>
      <c r="K1659" s="1" t="str">
        <f>"2026-07-29 13:18:03"</f>
        <v>2026-07-29 13:18:03</v>
      </c>
      <c r="L1659" s="1" t="str">
        <f>"2018-01-17 15:57:12"</f>
        <v>2018-01-17 15:57:12</v>
      </c>
      <c r="M1659" s="1" t="s">
        <v>1</v>
      </c>
      <c r="N1659" s="1" t="s">
        <v>38</v>
      </c>
      <c r="O1659" s="1" t="s">
        <v>46</v>
      </c>
    </row>
    <row r="1660" spans="2:15" x14ac:dyDescent="0.3">
      <c r="B1660" s="1" t="s">
        <v>24</v>
      </c>
      <c r="C1660" s="1" t="str">
        <f t="shared" si="98"/>
        <v>3차</v>
      </c>
      <c r="D1660" s="1" t="str">
        <f>"0329Z32331"</f>
        <v>0329Z32331</v>
      </c>
      <c r="E1660" s="1" t="s">
        <v>10</v>
      </c>
      <c r="F1660" s="1" t="str">
        <f>"10.10.19.83"</f>
        <v>10.10.19.83</v>
      </c>
      <c r="G1660" s="1" t="str">
        <f>"0329Z323"</f>
        <v>0329Z323</v>
      </c>
      <c r="H1660" s="1" t="str">
        <f>"묵동지 16L16"</f>
        <v>묵동지 16L16</v>
      </c>
      <c r="I1660" s="1" t="s">
        <v>8</v>
      </c>
      <c r="J1660" s="1" t="str">
        <f>"23/23"</f>
        <v>23/23</v>
      </c>
      <c r="K1660" s="1" t="str">
        <f>"2026-07-29 13:18:03"</f>
        <v>2026-07-29 13:18:03</v>
      </c>
      <c r="L1660" s="1" t="str">
        <f>"2018-02-08 13:56:57"</f>
        <v>2018-02-08 13:56:57</v>
      </c>
      <c r="M1660" s="1" t="s">
        <v>1</v>
      </c>
      <c r="N1660" s="1" t="s">
        <v>38</v>
      </c>
      <c r="O1660" s="1" t="s">
        <v>46</v>
      </c>
    </row>
    <row r="1661" spans="2:15" x14ac:dyDescent="0.3">
      <c r="B1661" s="1" t="s">
        <v>24</v>
      </c>
      <c r="C1661" s="1" t="str">
        <f t="shared" si="98"/>
        <v>3차</v>
      </c>
      <c r="D1661" s="1" t="str">
        <f>"0329Z42231"</f>
        <v>0329Z42231</v>
      </c>
      <c r="E1661" s="1" t="s">
        <v>10</v>
      </c>
      <c r="F1661" s="1" t="str">
        <f>"10.12.137.106"</f>
        <v>10.12.137.106</v>
      </c>
      <c r="G1661" s="1" t="str">
        <f>"0329Z422"</f>
        <v>0329Z422</v>
      </c>
      <c r="H1661" s="1" t="str">
        <f>"묵동지 33A1R3L6"</f>
        <v>묵동지 33A1R3L6</v>
      </c>
      <c r="I1661" s="1" t="s">
        <v>8</v>
      </c>
      <c r="J1661" s="1" t="str">
        <f>"25/25"</f>
        <v>25/25</v>
      </c>
      <c r="K1661" s="1" t="str">
        <f>"2026-07-29 13:18:04"</f>
        <v>2026-07-29 13:18:04</v>
      </c>
      <c r="L1661" s="1" t="str">
        <f>"2018-03-15 17:29:28"</f>
        <v>2018-03-15 17:29:28</v>
      </c>
      <c r="M1661" s="1" t="s">
        <v>0</v>
      </c>
      <c r="N1661" s="1" t="s">
        <v>38</v>
      </c>
      <c r="O1661" s="1" t="s">
        <v>46</v>
      </c>
    </row>
    <row r="1662" spans="2:15" x14ac:dyDescent="0.3">
      <c r="B1662" s="1" t="s">
        <v>24</v>
      </c>
      <c r="C1662" s="1" t="str">
        <f t="shared" si="98"/>
        <v>3차</v>
      </c>
      <c r="D1662" s="1" t="str">
        <f>"0329Z51139"</f>
        <v>0329Z51139</v>
      </c>
      <c r="E1662" s="1" t="s">
        <v>10</v>
      </c>
      <c r="F1662" s="1" t="str">
        <f>"10.10.14.90"</f>
        <v>10.10.14.90</v>
      </c>
      <c r="G1662" s="1" t="str">
        <f>"0329Z511"</f>
        <v>0329Z511</v>
      </c>
      <c r="H1662" s="1" t="str">
        <f>"묵동지 33A7"</f>
        <v>묵동지 33A7</v>
      </c>
      <c r="I1662" s="1" t="s">
        <v>8</v>
      </c>
      <c r="J1662" s="1" t="str">
        <f>"51/51"</f>
        <v>51/51</v>
      </c>
      <c r="K1662" s="1" t="str">
        <f>"2026-07-29 13:18:03"</f>
        <v>2026-07-29 13:18:03</v>
      </c>
      <c r="L1662" s="1" t="str">
        <f>"2018-01-18 11:40:10"</f>
        <v>2018-01-18 11:40:10</v>
      </c>
      <c r="M1662" s="1" t="s">
        <v>1</v>
      </c>
      <c r="N1662" s="1" t="s">
        <v>38</v>
      </c>
      <c r="O1662" s="1" t="s">
        <v>46</v>
      </c>
    </row>
    <row r="1663" spans="2:15" x14ac:dyDescent="0.3">
      <c r="B1663" s="1" t="s">
        <v>24</v>
      </c>
      <c r="C1663" s="1" t="str">
        <f t="shared" si="98"/>
        <v>3차</v>
      </c>
      <c r="D1663" s="1" t="str">
        <f>"0329Z60231"</f>
        <v>0329Z60231</v>
      </c>
      <c r="E1663" s="1" t="s">
        <v>10</v>
      </c>
      <c r="F1663" s="1" t="str">
        <f>"10.10.14.59"</f>
        <v>10.10.14.59</v>
      </c>
      <c r="G1663" s="1" t="str">
        <f>"0329Z602"</f>
        <v>0329Z602</v>
      </c>
      <c r="H1663" s="1" t="str">
        <f>"묵동지 33A1L7"</f>
        <v>묵동지 33A1L7</v>
      </c>
      <c r="I1663" s="1" t="s">
        <v>8</v>
      </c>
      <c r="J1663" s="1" t="str">
        <f>"38/53"</f>
        <v>38/53</v>
      </c>
      <c r="K1663" s="1" t="str">
        <f>"2026-07-29 13:18:02"</f>
        <v>2026-07-29 13:18:02</v>
      </c>
      <c r="L1663" s="1" t="str">
        <f>"2018-02-08 10:57:55"</f>
        <v>2018-02-08 10:57:55</v>
      </c>
      <c r="M1663" s="1" t="s">
        <v>1</v>
      </c>
      <c r="N1663" s="1" t="s">
        <v>38</v>
      </c>
      <c r="O1663" s="1" t="s">
        <v>46</v>
      </c>
    </row>
    <row r="1664" spans="2:15" x14ac:dyDescent="0.3">
      <c r="B1664" s="1" t="s">
        <v>24</v>
      </c>
      <c r="C1664" s="1" t="str">
        <f t="shared" si="98"/>
        <v>3차</v>
      </c>
      <c r="D1664" s="1" t="str">
        <f>"0329Z61131"</f>
        <v>0329Z61131</v>
      </c>
      <c r="E1664" s="1" t="s">
        <v>10</v>
      </c>
      <c r="F1664" s="1" t="str">
        <f>"10.14.4.119"</f>
        <v>10.14.4.119</v>
      </c>
      <c r="G1664" s="1" t="str">
        <f>"0329Z611"</f>
        <v>0329Z611</v>
      </c>
      <c r="H1664" s="1" t="str">
        <f>"묵동지 33A6"</f>
        <v>묵동지 33A6</v>
      </c>
      <c r="I1664" s="1" t="s">
        <v>8</v>
      </c>
      <c r="J1664" s="1" t="str">
        <f>"49/49"</f>
        <v>49/49</v>
      </c>
      <c r="K1664" s="1" t="str">
        <f>"2026-07-29 13:18:03"</f>
        <v>2026-07-29 13:18:03</v>
      </c>
      <c r="L1664" s="1" t="str">
        <f>"2018-03-24 18:07:28"</f>
        <v>2018-03-24 18:07:28</v>
      </c>
      <c r="M1664" s="1" t="s">
        <v>3</v>
      </c>
      <c r="N1664" s="1" t="s">
        <v>38</v>
      </c>
      <c r="O1664" s="1" t="s">
        <v>46</v>
      </c>
    </row>
    <row r="1665" spans="2:15" x14ac:dyDescent="0.3">
      <c r="B1665" s="1" t="s">
        <v>24</v>
      </c>
      <c r="C1665" s="1" t="str">
        <f t="shared" si="98"/>
        <v>3차</v>
      </c>
      <c r="D1665" s="1" t="str">
        <f>"0329Z63239"</f>
        <v>0329Z63239</v>
      </c>
      <c r="E1665" s="1" t="s">
        <v>10</v>
      </c>
      <c r="F1665" s="1" t="str">
        <f>"10.10.14.66"</f>
        <v>10.10.14.66</v>
      </c>
      <c r="G1665" s="1" t="str">
        <f>"0329Z632"</f>
        <v>0329Z632</v>
      </c>
      <c r="H1665" s="1" t="str">
        <f>"묵동지 33A1R3L4"</f>
        <v>묵동지 33A1R3L4</v>
      </c>
      <c r="I1665" s="1" t="s">
        <v>8</v>
      </c>
      <c r="J1665" s="1" t="str">
        <f>"39/39"</f>
        <v>39/39</v>
      </c>
      <c r="K1665" s="1" t="str">
        <f>"2026-07-29 13:18:03"</f>
        <v>2026-07-29 13:18:03</v>
      </c>
      <c r="L1665" s="1" t="str">
        <f>"2018-01-18 13:54:11"</f>
        <v>2018-01-18 13:54:11</v>
      </c>
      <c r="M1665" s="1" t="s">
        <v>1</v>
      </c>
      <c r="N1665" s="1" t="s">
        <v>38</v>
      </c>
      <c r="O1665" s="1" t="s">
        <v>46</v>
      </c>
    </row>
    <row r="1666" spans="2:15" x14ac:dyDescent="0.3">
      <c r="B1666" s="1" t="s">
        <v>24</v>
      </c>
      <c r="C1666" s="1" t="str">
        <f>"4차"</f>
        <v>4차</v>
      </c>
      <c r="D1666" s="1" t="str">
        <f>"0329Z64344"</f>
        <v>0329Z64344</v>
      </c>
      <c r="E1666" s="1" t="s">
        <v>10</v>
      </c>
      <c r="F1666" s="1" t="str">
        <f>"10.10.61.178"</f>
        <v>10.10.61.178</v>
      </c>
      <c r="G1666" s="1" t="str">
        <f>"0329Z643"</f>
        <v>0329Z643</v>
      </c>
      <c r="H1666" s="1" t="str">
        <f>"묵동지 33A1R3L3R2"</f>
        <v>묵동지 33A1R3L3R2</v>
      </c>
      <c r="I1666" s="1" t="s">
        <v>8</v>
      </c>
      <c r="J1666" s="1" t="str">
        <f>"49/49"</f>
        <v>49/49</v>
      </c>
      <c r="K1666" s="1" t="str">
        <f>"2026-07-29 13:18:02"</f>
        <v>2026-07-29 13:18:02</v>
      </c>
      <c r="L1666" s="1" t="str">
        <f>"2019-10-17 16:04:20"</f>
        <v>2019-10-17 16:04:20</v>
      </c>
      <c r="M1666" s="1" t="s">
        <v>1</v>
      </c>
      <c r="N1666" s="1" t="s">
        <v>38</v>
      </c>
      <c r="O1666" s="1" t="s">
        <v>46</v>
      </c>
    </row>
    <row r="1667" spans="2:15" x14ac:dyDescent="0.3">
      <c r="B1667" s="1" t="s">
        <v>24</v>
      </c>
      <c r="C1667" s="1" t="str">
        <f>"3차"</f>
        <v>3차</v>
      </c>
      <c r="D1667" s="1" t="str">
        <f>"0329Z70239"</f>
        <v>0329Z70239</v>
      </c>
      <c r="E1667" s="1" t="s">
        <v>10</v>
      </c>
      <c r="F1667" s="1" t="str">
        <f>"10.10.39.186"</f>
        <v>10.10.39.186</v>
      </c>
      <c r="G1667" s="1" t="str">
        <f>"0329Z702"</f>
        <v>0329Z702</v>
      </c>
      <c r="H1667" s="1" t="str">
        <f>"묵동지 29"</f>
        <v>묵동지 29</v>
      </c>
      <c r="I1667" s="1" t="s">
        <v>8</v>
      </c>
      <c r="J1667" s="1" t="str">
        <f>"8/8"</f>
        <v>8/8</v>
      </c>
      <c r="K1667" s="1" t="str">
        <f>"2026-07-29 13:18:02"</f>
        <v>2026-07-29 13:18:02</v>
      </c>
      <c r="L1667" s="1" t="str">
        <f>"2018-03-12 17:28:45"</f>
        <v>2018-03-12 17:28:45</v>
      </c>
      <c r="M1667" s="1" t="s">
        <v>1</v>
      </c>
      <c r="N1667" s="1" t="s">
        <v>38</v>
      </c>
      <c r="O1667" s="1" t="s">
        <v>46</v>
      </c>
    </row>
    <row r="1668" spans="2:15" x14ac:dyDescent="0.3">
      <c r="B1668" s="1" t="s">
        <v>24</v>
      </c>
      <c r="C1668" s="1" t="str">
        <f>"3차"</f>
        <v>3차</v>
      </c>
      <c r="D1668" s="1" t="str">
        <f>"0329Z70330"</f>
        <v>0329Z70330</v>
      </c>
      <c r="E1668" s="1" t="s">
        <v>10</v>
      </c>
      <c r="F1668" s="1" t="str">
        <f>"10.10.14.58"</f>
        <v>10.10.14.58</v>
      </c>
      <c r="G1668" s="1" t="str">
        <f>"0329Z703"</f>
        <v>0329Z703</v>
      </c>
      <c r="H1668" s="1" t="str">
        <f>"묵동지 33A1L5"</f>
        <v>묵동지 33A1L5</v>
      </c>
      <c r="I1668" s="1" t="s">
        <v>8</v>
      </c>
      <c r="J1668" s="1" t="str">
        <f>"11/11"</f>
        <v>11/11</v>
      </c>
      <c r="K1668" s="1" t="str">
        <f>"2026-07-29 13:18:02"</f>
        <v>2026-07-29 13:18:02</v>
      </c>
      <c r="L1668" s="1" t="str">
        <f>"2018-01-18 10:45:09"</f>
        <v>2018-01-18 10:45:09</v>
      </c>
      <c r="M1668" s="1" t="s">
        <v>1</v>
      </c>
      <c r="N1668" s="1" t="s">
        <v>38</v>
      </c>
      <c r="O1668" s="1" t="s">
        <v>46</v>
      </c>
    </row>
    <row r="1669" spans="2:15" x14ac:dyDescent="0.3">
      <c r="B1669" s="1" t="s">
        <v>24</v>
      </c>
      <c r="C1669" s="1" t="str">
        <f>"4차"</f>
        <v>4차</v>
      </c>
      <c r="D1669" s="1" t="str">
        <f>"0329Z72130"</f>
        <v>0329Z72130</v>
      </c>
      <c r="E1669" s="1" t="s">
        <v>10</v>
      </c>
      <c r="F1669" s="1" t="str">
        <f>"10.10.14.82"</f>
        <v>10.10.14.82</v>
      </c>
      <c r="G1669" s="1" t="str">
        <f>"0329Z721"</f>
        <v>0329Z721</v>
      </c>
      <c r="H1669" s="1" t="str">
        <f>"묵동지 33A5R1"</f>
        <v>묵동지 33A5R1</v>
      </c>
      <c r="I1669" s="1" t="s">
        <v>8</v>
      </c>
      <c r="J1669" s="1" t="str">
        <f>"4/4"</f>
        <v>4/4</v>
      </c>
      <c r="K1669" s="1" t="str">
        <f t="shared" ref="K1669:K1677" si="99">"2026-07-29 13:18:03"</f>
        <v>2026-07-29 13:18:03</v>
      </c>
      <c r="L1669" s="1" t="str">
        <f>"2018-01-18 11:36:54"</f>
        <v>2018-01-18 11:36:54</v>
      </c>
      <c r="M1669" s="1" t="s">
        <v>1</v>
      </c>
      <c r="N1669" s="1" t="s">
        <v>38</v>
      </c>
      <c r="O1669" s="1" t="s">
        <v>46</v>
      </c>
    </row>
    <row r="1670" spans="2:15" x14ac:dyDescent="0.3">
      <c r="B1670" s="1" t="s">
        <v>24</v>
      </c>
      <c r="C1670" s="1" t="str">
        <f>"3차"</f>
        <v>3차</v>
      </c>
      <c r="D1670" s="1" t="str">
        <f>"0329Z72339"</f>
        <v>0329Z72339</v>
      </c>
      <c r="E1670" s="1" t="s">
        <v>10</v>
      </c>
      <c r="F1670" s="1" t="str">
        <f>"10.10.18.2"</f>
        <v>10.10.18.2</v>
      </c>
      <c r="G1670" s="1" t="str">
        <f>"0329Z723"</f>
        <v>0329Z723</v>
      </c>
      <c r="H1670" s="1" t="str">
        <f>"묵동지 33A3"</f>
        <v>묵동지 33A3</v>
      </c>
      <c r="I1670" s="1" t="s">
        <v>8</v>
      </c>
      <c r="J1670" s="1" t="str">
        <f>"57/58"</f>
        <v>57/58</v>
      </c>
      <c r="K1670" s="1" t="str">
        <f t="shared" si="99"/>
        <v>2026-07-29 13:18:03</v>
      </c>
      <c r="L1670" s="1" t="str">
        <f>"2018-05-11 19:15:17"</f>
        <v>2018-05-11 19:15:17</v>
      </c>
      <c r="M1670" s="1" t="s">
        <v>1</v>
      </c>
      <c r="N1670" s="1" t="s">
        <v>38</v>
      </c>
      <c r="O1670" s="1" t="s">
        <v>46</v>
      </c>
    </row>
    <row r="1671" spans="2:15" x14ac:dyDescent="0.3">
      <c r="B1671" s="1" t="s">
        <v>24</v>
      </c>
      <c r="C1671" s="1" t="str">
        <f>"3차"</f>
        <v>3차</v>
      </c>
      <c r="D1671" s="1" t="str">
        <f>"0329Z73139"</f>
        <v>0329Z73139</v>
      </c>
      <c r="E1671" s="1" t="s">
        <v>10</v>
      </c>
      <c r="F1671" s="1" t="str">
        <f>"10.10.16.130"</f>
        <v>10.10.16.130</v>
      </c>
      <c r="G1671" s="1" t="str">
        <f>"0329Z731"</f>
        <v>0329Z731</v>
      </c>
      <c r="H1671" s="1" t="str">
        <f>"묵동지 33A1R3L2"</f>
        <v>묵동지 33A1R3L2</v>
      </c>
      <c r="I1671" s="1" t="s">
        <v>8</v>
      </c>
      <c r="J1671" s="1" t="str">
        <f>"83/83"</f>
        <v>83/83</v>
      </c>
      <c r="K1671" s="1" t="str">
        <f t="shared" si="99"/>
        <v>2026-07-29 13:18:03</v>
      </c>
      <c r="L1671" s="1" t="str">
        <f>"2018-01-18 14:00:12"</f>
        <v>2018-01-18 14:00:12</v>
      </c>
      <c r="M1671" s="1" t="s">
        <v>1</v>
      </c>
      <c r="N1671" s="1" t="s">
        <v>38</v>
      </c>
      <c r="O1671" s="1" t="s">
        <v>46</v>
      </c>
    </row>
    <row r="1672" spans="2:15" x14ac:dyDescent="0.3">
      <c r="B1672" s="1" t="s">
        <v>24</v>
      </c>
      <c r="C1672" s="1" t="str">
        <f>"3차"</f>
        <v>3차</v>
      </c>
      <c r="D1672" s="1" t="str">
        <f>"0329Z75239"</f>
        <v>0329Z75239</v>
      </c>
      <c r="E1672" s="1" t="s">
        <v>10</v>
      </c>
      <c r="F1672" s="1" t="str">
        <f>"10.12.129.178"</f>
        <v>10.12.129.178</v>
      </c>
      <c r="G1672" s="1" t="str">
        <f>"0329Z752"</f>
        <v>0329Z752</v>
      </c>
      <c r="H1672" s="1" t="str">
        <f>"묵동지 43L12"</f>
        <v>묵동지 43L12</v>
      </c>
      <c r="I1672" s="1" t="s">
        <v>8</v>
      </c>
      <c r="J1672" s="1" t="str">
        <f>"40/42"</f>
        <v>40/42</v>
      </c>
      <c r="K1672" s="1" t="str">
        <f t="shared" si="99"/>
        <v>2026-07-29 13:18:03</v>
      </c>
      <c r="L1672" s="1" t="str">
        <f>"2018-04-18 13:15:11"</f>
        <v>2018-04-18 13:15:11</v>
      </c>
      <c r="M1672" s="1" t="s">
        <v>0</v>
      </c>
      <c r="N1672" s="1" t="s">
        <v>38</v>
      </c>
      <c r="O1672" s="1" t="s">
        <v>46</v>
      </c>
    </row>
    <row r="1673" spans="2:15" x14ac:dyDescent="0.3">
      <c r="B1673" s="1" t="s">
        <v>24</v>
      </c>
      <c r="C1673" s="1" t="str">
        <f>"4차"</f>
        <v>4차</v>
      </c>
      <c r="D1673" s="1" t="str">
        <f>"0329Z80130"</f>
        <v>0329Z80130</v>
      </c>
      <c r="E1673" s="1" t="str">
        <f>"검침실패(3시간 이상)"</f>
        <v>검침실패(3시간 이상)</v>
      </c>
      <c r="F1673" s="1" t="str">
        <f>"10.10.13.114"</f>
        <v>10.10.13.114</v>
      </c>
      <c r="G1673" s="1" t="str">
        <f>"0329Z801"</f>
        <v>0329Z801</v>
      </c>
      <c r="H1673" s="1" t="str">
        <f>"묵동지 34R4"</f>
        <v>묵동지 34R4</v>
      </c>
      <c r="I1673" s="1" t="s">
        <v>8</v>
      </c>
      <c r="J1673" s="1" t="str">
        <f>"0/8"</f>
        <v>0/8</v>
      </c>
      <c r="K1673" s="1" t="str">
        <f t="shared" si="99"/>
        <v>2026-07-29 13:18:03</v>
      </c>
      <c r="L1673" s="1" t="str">
        <f>"2018-01-18 14:17:11"</f>
        <v>2018-01-18 14:17:11</v>
      </c>
      <c r="M1673" s="1" t="s">
        <v>1</v>
      </c>
      <c r="N1673" s="1" t="s">
        <v>38</v>
      </c>
      <c r="O1673" s="1" t="s">
        <v>46</v>
      </c>
    </row>
    <row r="1674" spans="2:15" x14ac:dyDescent="0.3">
      <c r="B1674" s="1" t="s">
        <v>24</v>
      </c>
      <c r="C1674" s="1" t="str">
        <f>"3차"</f>
        <v>3차</v>
      </c>
      <c r="D1674" s="1" t="str">
        <f>"0329Z80231"</f>
        <v>0329Z80231</v>
      </c>
      <c r="E1674" s="1" t="s">
        <v>10</v>
      </c>
      <c r="F1674" s="1" t="str">
        <f>"10.10.13.115"</f>
        <v>10.10.13.115</v>
      </c>
      <c r="G1674" s="1" t="str">
        <f>"0329Z802"</f>
        <v>0329Z802</v>
      </c>
      <c r="H1674" s="1" t="str">
        <f>"묵동지 34R5"</f>
        <v>묵동지 34R5</v>
      </c>
      <c r="I1674" s="1" t="s">
        <v>8</v>
      </c>
      <c r="J1674" s="1" t="str">
        <f>"17/17"</f>
        <v>17/17</v>
      </c>
      <c r="K1674" s="1" t="str">
        <f t="shared" si="99"/>
        <v>2026-07-29 13:18:03</v>
      </c>
      <c r="L1674" s="1" t="str">
        <f>"2018-02-08 10:08:23"</f>
        <v>2018-02-08 10:08:23</v>
      </c>
      <c r="M1674" s="1" t="s">
        <v>1</v>
      </c>
      <c r="N1674" s="1" t="s">
        <v>38</v>
      </c>
      <c r="O1674" s="1" t="s">
        <v>46</v>
      </c>
    </row>
    <row r="1675" spans="2:15" x14ac:dyDescent="0.3">
      <c r="B1675" s="1" t="s">
        <v>24</v>
      </c>
      <c r="C1675" s="1" t="str">
        <f>"4차"</f>
        <v>4차</v>
      </c>
      <c r="D1675" s="1" t="str">
        <f>"0329Z80344"</f>
        <v>0329Z80344</v>
      </c>
      <c r="E1675" s="1" t="s">
        <v>10</v>
      </c>
      <c r="F1675" s="1" t="str">
        <f>"10.10.14.50"</f>
        <v>10.10.14.50</v>
      </c>
      <c r="G1675" s="1" t="str">
        <f>"0329Z803"</f>
        <v>0329Z803</v>
      </c>
      <c r="H1675" s="1" t="str">
        <f>"묵동지 33A1L4"</f>
        <v>묵동지 33A1L4</v>
      </c>
      <c r="I1675" s="1" t="s">
        <v>8</v>
      </c>
      <c r="J1675" s="1" t="str">
        <f>"38/38"</f>
        <v>38/38</v>
      </c>
      <c r="K1675" s="1" t="str">
        <f t="shared" si="99"/>
        <v>2026-07-29 13:18:03</v>
      </c>
      <c r="L1675" s="1" t="str">
        <f>"2023-06-15 17:22:42"</f>
        <v>2023-06-15 17:22:42</v>
      </c>
      <c r="M1675" s="1" t="s">
        <v>1</v>
      </c>
      <c r="N1675" s="1" t="s">
        <v>38</v>
      </c>
      <c r="O1675" s="1" t="s">
        <v>46</v>
      </c>
    </row>
    <row r="1676" spans="2:15" x14ac:dyDescent="0.3">
      <c r="B1676" s="1" t="s">
        <v>24</v>
      </c>
      <c r="C1676" s="1" t="str">
        <f>"3차"</f>
        <v>3차</v>
      </c>
      <c r="D1676" s="1" t="str">
        <f>"0329Z81439"</f>
        <v>0329Z81439</v>
      </c>
      <c r="E1676" s="1" t="s">
        <v>10</v>
      </c>
      <c r="F1676" s="1" t="str">
        <f>"10.10.14.42"</f>
        <v>10.10.14.42</v>
      </c>
      <c r="G1676" s="1" t="str">
        <f>"0329Z814"</f>
        <v>0329Z814</v>
      </c>
      <c r="H1676" s="1" t="str">
        <f>"묵동지 33A1L3"</f>
        <v>묵동지 33A1L3</v>
      </c>
      <c r="I1676" s="1" t="s">
        <v>8</v>
      </c>
      <c r="J1676" s="1" t="str">
        <f>"9/9"</f>
        <v>9/9</v>
      </c>
      <c r="K1676" s="1" t="str">
        <f t="shared" si="99"/>
        <v>2026-07-29 13:18:03</v>
      </c>
      <c r="L1676" s="1" t="str">
        <f>"2018-06-04 15:51:39"</f>
        <v>2018-06-04 15:51:39</v>
      </c>
      <c r="M1676" s="1" t="s">
        <v>1</v>
      </c>
      <c r="N1676" s="1" t="s">
        <v>38</v>
      </c>
      <c r="O1676" s="1" t="s">
        <v>46</v>
      </c>
    </row>
    <row r="1677" spans="2:15" x14ac:dyDescent="0.3">
      <c r="B1677" s="1" t="s">
        <v>24</v>
      </c>
      <c r="C1677" s="1" t="str">
        <f>"3차"</f>
        <v>3차</v>
      </c>
      <c r="D1677" s="1" t="str">
        <f>"0329Z82239"</f>
        <v>0329Z82239</v>
      </c>
      <c r="E1677" s="1" t="s">
        <v>10</v>
      </c>
      <c r="F1677" s="1" t="str">
        <f>"10.10.13.242"</f>
        <v>10.10.13.242</v>
      </c>
      <c r="G1677" s="1" t="str">
        <f>"0329Z822"</f>
        <v>0329Z822</v>
      </c>
      <c r="H1677" s="1" t="str">
        <f>"묵동지 33A1"</f>
        <v>묵동지 33A1</v>
      </c>
      <c r="I1677" s="1" t="s">
        <v>8</v>
      </c>
      <c r="J1677" s="1" t="str">
        <f>"8/8"</f>
        <v>8/8</v>
      </c>
      <c r="K1677" s="1" t="str">
        <f t="shared" si="99"/>
        <v>2026-07-29 13:18:03</v>
      </c>
      <c r="L1677" s="1" t="str">
        <f>"2018-01-17 17:23:57"</f>
        <v>2018-01-17 17:23:57</v>
      </c>
      <c r="M1677" s="1" t="s">
        <v>1</v>
      </c>
      <c r="N1677" s="1" t="s">
        <v>38</v>
      </c>
      <c r="O1677" s="1" t="s">
        <v>46</v>
      </c>
    </row>
    <row r="1678" spans="2:15" x14ac:dyDescent="0.3">
      <c r="B1678" s="1" t="s">
        <v>24</v>
      </c>
      <c r="C1678" s="1" t="str">
        <f>"6차"</f>
        <v>6차</v>
      </c>
      <c r="D1678" s="1" t="str">
        <f>"0329Z8436S"</f>
        <v>0329Z8436S</v>
      </c>
      <c r="E1678" s="1" t="s">
        <v>10</v>
      </c>
      <c r="F1678" s="1" t="str">
        <f>"fde1:103:4:c6fb:0:0:0:2"</f>
        <v>fde1:103:4:c6fb:0:0:0:2</v>
      </c>
      <c r="G1678" s="1" t="str">
        <f>"0329Z843"</f>
        <v>0329Z843</v>
      </c>
      <c r="H1678" s="1" t="str">
        <f>"묵동지 33A1R3"</f>
        <v>묵동지 33A1R3</v>
      </c>
      <c r="I1678" s="1" t="s">
        <v>15</v>
      </c>
      <c r="J1678" s="1" t="str">
        <f>"56/56"</f>
        <v>56/56</v>
      </c>
      <c r="K1678" s="1" t="str">
        <f>"2026-07-29 14:20:20"</f>
        <v>2026-07-29 14:20:20</v>
      </c>
      <c r="L1678" s="1" t="str">
        <f>"2024-09-27 16:44:16"</f>
        <v>2024-09-27 16:44:16</v>
      </c>
      <c r="M1678" s="1" t="s">
        <v>4</v>
      </c>
      <c r="N1678" s="1" t="s">
        <v>38</v>
      </c>
      <c r="O1678" s="1" t="s">
        <v>46</v>
      </c>
    </row>
    <row r="1679" spans="2:15" x14ac:dyDescent="0.3">
      <c r="B1679" s="1" t="s">
        <v>24</v>
      </c>
      <c r="C1679" s="1" t="str">
        <f>"3차"</f>
        <v>3차</v>
      </c>
      <c r="D1679" s="1" t="str">
        <f>"0329Z91139"</f>
        <v>0329Z91139</v>
      </c>
      <c r="E1679" s="1" t="s">
        <v>10</v>
      </c>
      <c r="F1679" s="1" t="str">
        <f>"10.12.133.46"</f>
        <v>10.12.133.46</v>
      </c>
      <c r="G1679" s="1" t="str">
        <f>"0329Z911"</f>
        <v>0329Z911</v>
      </c>
      <c r="H1679" s="1" t="str">
        <f>"묵동지 34R3"</f>
        <v>묵동지 34R3</v>
      </c>
      <c r="I1679" s="1" t="s">
        <v>8</v>
      </c>
      <c r="J1679" s="1" t="str">
        <f>"12/14"</f>
        <v>12/14</v>
      </c>
      <c r="K1679" s="1" t="str">
        <f t="shared" ref="K1679:K1684" si="100">"2026-07-29 13:18:03"</f>
        <v>2026-07-29 13:18:03</v>
      </c>
      <c r="L1679" s="1" t="str">
        <f>"2018-03-24 08:10:54"</f>
        <v>2018-03-24 08:10:54</v>
      </c>
      <c r="M1679" s="1" t="s">
        <v>0</v>
      </c>
      <c r="N1679" s="1" t="s">
        <v>38</v>
      </c>
      <c r="O1679" s="1" t="s">
        <v>46</v>
      </c>
    </row>
    <row r="1680" spans="2:15" x14ac:dyDescent="0.3">
      <c r="B1680" s="1" t="s">
        <v>24</v>
      </c>
      <c r="C1680" s="1" t="str">
        <f>"3차"</f>
        <v>3차</v>
      </c>
      <c r="D1680" s="1" t="str">
        <f>"0329Z91239"</f>
        <v>0329Z91239</v>
      </c>
      <c r="E1680" s="1" t="s">
        <v>10</v>
      </c>
      <c r="F1680" s="1" t="str">
        <f>"10.10.14.106"</f>
        <v>10.10.14.106</v>
      </c>
      <c r="G1680" s="1" t="str">
        <f>"0329Z912"</f>
        <v>0329Z912</v>
      </c>
      <c r="H1680" s="1" t="str">
        <f>"묵동지 34R1L1"</f>
        <v>묵동지 34R1L1</v>
      </c>
      <c r="I1680" s="1" t="s">
        <v>8</v>
      </c>
      <c r="J1680" s="1" t="str">
        <f>"16/20"</f>
        <v>16/20</v>
      </c>
      <c r="K1680" s="1" t="str">
        <f t="shared" si="100"/>
        <v>2026-07-29 13:18:03</v>
      </c>
      <c r="L1680" s="1" t="str">
        <f>"2018-01-18 14:04:26"</f>
        <v>2018-01-18 14:04:26</v>
      </c>
      <c r="M1680" s="1" t="s">
        <v>1</v>
      </c>
      <c r="N1680" s="1" t="s">
        <v>38</v>
      </c>
      <c r="O1680" s="1" t="s">
        <v>46</v>
      </c>
    </row>
    <row r="1681" spans="2:15" x14ac:dyDescent="0.3">
      <c r="B1681" s="1" t="s">
        <v>24</v>
      </c>
      <c r="C1681" s="1" t="str">
        <f>"3차"</f>
        <v>3차</v>
      </c>
      <c r="D1681" s="1" t="str">
        <f>"0329Z91339"</f>
        <v>0329Z91339</v>
      </c>
      <c r="E1681" s="1" t="s">
        <v>10</v>
      </c>
      <c r="F1681" s="1" t="str">
        <f>"10.10.14.114"</f>
        <v>10.10.14.114</v>
      </c>
      <c r="G1681" s="1" t="str">
        <f>"0329Z913"</f>
        <v>0329Z913</v>
      </c>
      <c r="H1681" s="1" t="str">
        <f>"묵동지 34R1L1R1"</f>
        <v>묵동지 34R1L1R1</v>
      </c>
      <c r="I1681" s="1" t="s">
        <v>8</v>
      </c>
      <c r="J1681" s="1" t="str">
        <f>"47/56"</f>
        <v>47/56</v>
      </c>
      <c r="K1681" s="1" t="str">
        <f t="shared" si="100"/>
        <v>2026-07-29 13:18:03</v>
      </c>
      <c r="L1681" s="1" t="str">
        <f>"2021-07-29 16:53:05"</f>
        <v>2021-07-29 16:53:05</v>
      </c>
      <c r="M1681" s="1" t="s">
        <v>1</v>
      </c>
      <c r="N1681" s="1" t="s">
        <v>38</v>
      </c>
      <c r="O1681" s="1" t="s">
        <v>46</v>
      </c>
    </row>
    <row r="1682" spans="2:15" x14ac:dyDescent="0.3">
      <c r="B1682" s="1" t="s">
        <v>24</v>
      </c>
      <c r="C1682" s="1" t="str">
        <f>"3차"</f>
        <v>3차</v>
      </c>
      <c r="D1682" s="1" t="str">
        <f>"0329Z92439"</f>
        <v>0329Z92439</v>
      </c>
      <c r="E1682" s="1" t="s">
        <v>10</v>
      </c>
      <c r="F1682" s="1" t="str">
        <f>"10.10.16.210"</f>
        <v>10.10.16.210</v>
      </c>
      <c r="G1682" s="1" t="str">
        <f>"0329Z924"</f>
        <v>0329Z924</v>
      </c>
      <c r="H1682" s="1" t="str">
        <f>"묵동지 34R1"</f>
        <v>묵동지 34R1</v>
      </c>
      <c r="I1682" s="1" t="s">
        <v>8</v>
      </c>
      <c r="J1682" s="1" t="str">
        <f>"13/13"</f>
        <v>13/13</v>
      </c>
      <c r="K1682" s="1" t="str">
        <f t="shared" si="100"/>
        <v>2026-07-29 13:18:03</v>
      </c>
      <c r="L1682" s="1" t="str">
        <f>"2018-02-08 16:18:56"</f>
        <v>2018-02-08 16:18:56</v>
      </c>
      <c r="M1682" s="1" t="s">
        <v>1</v>
      </c>
      <c r="N1682" s="1" t="s">
        <v>38</v>
      </c>
      <c r="O1682" s="1" t="s">
        <v>46</v>
      </c>
    </row>
    <row r="1683" spans="2:15" x14ac:dyDescent="0.3">
      <c r="B1683" s="1" t="s">
        <v>24</v>
      </c>
      <c r="C1683" s="1" t="str">
        <f>"3차"</f>
        <v>3차</v>
      </c>
      <c r="D1683" s="1" t="str">
        <f>"0329Z92539"</f>
        <v>0329Z92539</v>
      </c>
      <c r="E1683" s="1" t="s">
        <v>10</v>
      </c>
      <c r="F1683" s="1" t="str">
        <f>"10.10.16.162"</f>
        <v>10.10.16.162</v>
      </c>
      <c r="G1683" s="1" t="str">
        <f>"0329Z925"</f>
        <v>0329Z925</v>
      </c>
      <c r="H1683" s="1" t="str">
        <f>"묵동지 32"</f>
        <v>묵동지 32</v>
      </c>
      <c r="I1683" s="1" t="s">
        <v>8</v>
      </c>
      <c r="J1683" s="1" t="str">
        <f>"10/10"</f>
        <v>10/10</v>
      </c>
      <c r="K1683" s="1" t="str">
        <f t="shared" si="100"/>
        <v>2026-07-29 13:18:03</v>
      </c>
      <c r="L1683" s="1" t="str">
        <f>"2018-02-26 09:33:54"</f>
        <v>2018-02-26 09:33:54</v>
      </c>
      <c r="M1683" s="1" t="s">
        <v>1</v>
      </c>
      <c r="N1683" s="1" t="s">
        <v>38</v>
      </c>
      <c r="O1683" s="1" t="s">
        <v>46</v>
      </c>
    </row>
    <row r="1684" spans="2:15" x14ac:dyDescent="0.3">
      <c r="B1684" s="1" t="s">
        <v>24</v>
      </c>
      <c r="C1684" s="1" t="str">
        <f>"4차"</f>
        <v>4차</v>
      </c>
      <c r="D1684" s="1" t="str">
        <f>"0329Z93244"</f>
        <v>0329Z93244</v>
      </c>
      <c r="E1684" s="1" t="s">
        <v>10</v>
      </c>
      <c r="F1684" s="1" t="str">
        <f>"10.10.63.2"</f>
        <v>10.10.63.2</v>
      </c>
      <c r="G1684" s="1" t="str">
        <f>"0329Z932"</f>
        <v>0329Z932</v>
      </c>
      <c r="H1684" s="1" t="str">
        <f>"묵동지 35L2"</f>
        <v>묵동지 35L2</v>
      </c>
      <c r="I1684" s="1" t="s">
        <v>8</v>
      </c>
      <c r="J1684" s="1" t="str">
        <f>"87/87"</f>
        <v>87/87</v>
      </c>
      <c r="K1684" s="1" t="str">
        <f t="shared" si="100"/>
        <v>2026-07-29 13:18:03</v>
      </c>
      <c r="L1684" s="1" t="str">
        <f>"2019-10-17 15:45:05"</f>
        <v>2019-10-17 15:45:05</v>
      </c>
      <c r="M1684" s="1" t="s">
        <v>1</v>
      </c>
      <c r="N1684" s="1" t="s">
        <v>38</v>
      </c>
      <c r="O1684" s="1" t="s">
        <v>46</v>
      </c>
    </row>
    <row r="1685" spans="2:15" x14ac:dyDescent="0.3">
      <c r="B1685" s="1" t="s">
        <v>24</v>
      </c>
      <c r="C1685" s="1" t="str">
        <f>"5-2차"</f>
        <v>5-2차</v>
      </c>
      <c r="D1685" s="1" t="str">
        <f>"0426A1125M"</f>
        <v>0426A1125M</v>
      </c>
      <c r="E1685" s="1" t="s">
        <v>10</v>
      </c>
      <c r="F1685" s="1" t="str">
        <f>"fde1:103:4:5822:0:0:0:2"</f>
        <v>fde1:103:4:5822:0:0:0:2</v>
      </c>
      <c r="G1685" s="1" t="str">
        <f>"0426A112"</f>
        <v>0426A112</v>
      </c>
      <c r="H1685" s="1" t="str">
        <f>"덕수간 31"</f>
        <v>덕수간 31</v>
      </c>
      <c r="I1685" s="1" t="s">
        <v>15</v>
      </c>
      <c r="J1685" s="1" t="str">
        <f>"42/42"</f>
        <v>42/42</v>
      </c>
      <c r="K1685" s="1" t="str">
        <f>"2026-07-29 14:20:30"</f>
        <v>2026-07-29 14:20:30</v>
      </c>
      <c r="L1685" s="1" t="str">
        <f>"2023-09-20 10:45:04"</f>
        <v>2023-09-20 10:45:04</v>
      </c>
      <c r="M1685" s="1" t="s">
        <v>4</v>
      </c>
      <c r="N1685" s="1" t="s">
        <v>38</v>
      </c>
      <c r="O1685" s="1" t="s">
        <v>46</v>
      </c>
    </row>
    <row r="1686" spans="2:15" x14ac:dyDescent="0.3">
      <c r="B1686" s="1" t="s">
        <v>24</v>
      </c>
      <c r="C1686" s="1" t="str">
        <f>"2차"</f>
        <v>2차</v>
      </c>
      <c r="D1686" s="1" t="str">
        <f>"0426A13329"</f>
        <v>0426A13329</v>
      </c>
      <c r="E1686" s="1" t="s">
        <v>10</v>
      </c>
      <c r="F1686" s="1" t="str">
        <f>"10.89.246.37"</f>
        <v>10.89.246.37</v>
      </c>
      <c r="G1686" s="1" t="str">
        <f>"0426A133"</f>
        <v>0426A133</v>
      </c>
      <c r="H1686" s="1" t="str">
        <f>"덕수간 34H1R2"</f>
        <v>덕수간 34H1R2</v>
      </c>
      <c r="I1686" s="1" t="s">
        <v>8</v>
      </c>
      <c r="J1686" s="1" t="str">
        <f>"32/32"</f>
        <v>32/32</v>
      </c>
      <c r="K1686" s="1" t="str">
        <f>"2026-07-29 13:18:03"</f>
        <v>2026-07-29 13:18:03</v>
      </c>
      <c r="L1686" s="1" t="str">
        <f>"2017-08-17 14:51:03"</f>
        <v>2017-08-17 14:51:03</v>
      </c>
      <c r="M1686" s="1" t="s">
        <v>45</v>
      </c>
      <c r="N1686" s="1" t="s">
        <v>38</v>
      </c>
      <c r="O1686" s="1" t="s">
        <v>46</v>
      </c>
    </row>
    <row r="1687" spans="2:15" x14ac:dyDescent="0.3">
      <c r="B1687" s="1" t="s">
        <v>24</v>
      </c>
      <c r="C1687" s="1" t="str">
        <f t="shared" ref="C1687:C1694" si="101">"5-2차"</f>
        <v>5-2차</v>
      </c>
      <c r="D1687" s="1" t="str">
        <f>"0426A2115M"</f>
        <v>0426A2115M</v>
      </c>
      <c r="E1687" s="1" t="s">
        <v>10</v>
      </c>
      <c r="F1687" s="1" t="str">
        <f>"fde1:103:4:5836:0:0:0:2"</f>
        <v>fde1:103:4:5836:0:0:0:2</v>
      </c>
      <c r="G1687" s="1" t="str">
        <f>"0426A211"</f>
        <v>0426A211</v>
      </c>
      <c r="H1687" s="1" t="str">
        <f>"면목간 30"</f>
        <v>면목간 30</v>
      </c>
      <c r="I1687" s="1" t="s">
        <v>15</v>
      </c>
      <c r="J1687" s="1" t="str">
        <f>"77/77"</f>
        <v>77/77</v>
      </c>
      <c r="K1687" s="1" t="str">
        <f>"2026-07-29 14:20:30"</f>
        <v>2026-07-29 14:20:30</v>
      </c>
      <c r="L1687" s="1" t="str">
        <f>"2023-09-20 10:46:16"</f>
        <v>2023-09-20 10:46:16</v>
      </c>
      <c r="M1687" s="1" t="s">
        <v>4</v>
      </c>
      <c r="N1687" s="1" t="s">
        <v>38</v>
      </c>
      <c r="O1687" s="1" t="s">
        <v>46</v>
      </c>
    </row>
    <row r="1688" spans="2:15" x14ac:dyDescent="0.3">
      <c r="B1688" s="1" t="s">
        <v>24</v>
      </c>
      <c r="C1688" s="1" t="str">
        <f t="shared" si="101"/>
        <v>5-2차</v>
      </c>
      <c r="D1688" s="1" t="str">
        <f>"0426A2215S"</f>
        <v>0426A2215S</v>
      </c>
      <c r="E1688" s="1" t="s">
        <v>10</v>
      </c>
      <c r="F1688" s="1" t="str">
        <f>"fde3:102:1430:6200:0:0:0:2"</f>
        <v>fde3:102:1430:6200:0:0:0:2</v>
      </c>
      <c r="G1688" s="1" t="str">
        <f>"0426A221"</f>
        <v>0426A221</v>
      </c>
      <c r="H1688" s="1" t="str">
        <f>"면목간 33"</f>
        <v>면목간 33</v>
      </c>
      <c r="I1688" s="1" t="s">
        <v>15</v>
      </c>
      <c r="J1688" s="1" t="str">
        <f>"42/43"</f>
        <v>42/43</v>
      </c>
      <c r="K1688" s="1" t="str">
        <f>"2026-07-29 14:20:29"</f>
        <v>2026-07-29 14:20:29</v>
      </c>
      <c r="L1688" s="1" t="str">
        <f>"2023-09-05 13:13:31"</f>
        <v>2023-09-05 13:13:31</v>
      </c>
      <c r="M1688" s="1" t="s">
        <v>45</v>
      </c>
      <c r="N1688" s="1" t="s">
        <v>38</v>
      </c>
      <c r="O1688" s="1" t="s">
        <v>46</v>
      </c>
    </row>
    <row r="1689" spans="2:15" x14ac:dyDescent="0.3">
      <c r="B1689" s="1" t="s">
        <v>24</v>
      </c>
      <c r="C1689" s="1" t="str">
        <f t="shared" si="101"/>
        <v>5-2차</v>
      </c>
      <c r="D1689" s="1" t="str">
        <f>"0426A2225M"</f>
        <v>0426A2225M</v>
      </c>
      <c r="E1689" s="1" t="s">
        <v>10</v>
      </c>
      <c r="F1689" s="1" t="str">
        <f>"fde3:102:1430:6100:0:0:0:10"</f>
        <v>fde3:102:1430:6100:0:0:0:10</v>
      </c>
      <c r="G1689" s="1" t="str">
        <f>"0426A222"</f>
        <v>0426A222</v>
      </c>
      <c r="H1689" s="1" t="str">
        <f>"상면간 16R15"</f>
        <v>상면간 16R15</v>
      </c>
      <c r="I1689" s="1" t="s">
        <v>15</v>
      </c>
      <c r="J1689" s="1" t="str">
        <f>"67/67"</f>
        <v>67/67</v>
      </c>
      <c r="K1689" s="1" t="str">
        <f>"2026-07-29 14:20:29"</f>
        <v>2026-07-29 14:20:29</v>
      </c>
      <c r="L1689" s="1" t="str">
        <f>"2023-09-21 15:36:57"</f>
        <v>2023-09-21 15:36:57</v>
      </c>
      <c r="M1689" s="1" t="s">
        <v>45</v>
      </c>
      <c r="N1689" s="1" t="s">
        <v>38</v>
      </c>
      <c r="O1689" s="1" t="s">
        <v>46</v>
      </c>
    </row>
    <row r="1690" spans="2:15" x14ac:dyDescent="0.3">
      <c r="B1690" s="1" t="s">
        <v>24</v>
      </c>
      <c r="C1690" s="1" t="str">
        <f t="shared" si="101"/>
        <v>5-2차</v>
      </c>
      <c r="D1690" s="1" t="str">
        <f>"0426A2515M"</f>
        <v>0426A2515M</v>
      </c>
      <c r="E1690" s="1" t="s">
        <v>10</v>
      </c>
      <c r="F1690" s="1" t="str">
        <f>"fde1:103:4:5779:0:0:0:2"</f>
        <v>fde1:103:4:5779:0:0:0:2</v>
      </c>
      <c r="G1690" s="1" t="str">
        <f>"0426A251"</f>
        <v>0426A251</v>
      </c>
      <c r="H1690" s="1" t="str">
        <f>"면목간 37"</f>
        <v>면목간 37</v>
      </c>
      <c r="I1690" s="1" t="s">
        <v>15</v>
      </c>
      <c r="J1690" s="1" t="str">
        <f>"42/42"</f>
        <v>42/42</v>
      </c>
      <c r="K1690" s="1" t="str">
        <f>"2026-07-29 14:21:01"</f>
        <v>2026-07-29 14:21:01</v>
      </c>
      <c r="L1690" s="1" t="str">
        <f>"2023-09-20 10:47:49"</f>
        <v>2023-09-20 10:47:49</v>
      </c>
      <c r="M1690" s="1" t="s">
        <v>4</v>
      </c>
      <c r="N1690" s="1" t="s">
        <v>38</v>
      </c>
      <c r="O1690" s="1" t="s">
        <v>46</v>
      </c>
    </row>
    <row r="1691" spans="2:15" x14ac:dyDescent="0.3">
      <c r="B1691" s="1" t="s">
        <v>24</v>
      </c>
      <c r="C1691" s="1" t="str">
        <f t="shared" si="101"/>
        <v>5-2차</v>
      </c>
      <c r="D1691" s="1" t="str">
        <f>"0426A3135S"</f>
        <v>0426A3135S</v>
      </c>
      <c r="E1691" s="1" t="s">
        <v>10</v>
      </c>
      <c r="F1691" s="1" t="str">
        <f>"fde3:102:1430:6100:0:0:0:11"</f>
        <v>fde3:102:1430:6100:0:0:0:11</v>
      </c>
      <c r="G1691" s="1" t="str">
        <f>"0426A313"</f>
        <v>0426A313</v>
      </c>
      <c r="H1691" s="1" t="str">
        <f>"상면간 19R10"</f>
        <v>상면간 19R10</v>
      </c>
      <c r="I1691" s="1" t="s">
        <v>15</v>
      </c>
      <c r="J1691" s="1" t="str">
        <f>"69/69"</f>
        <v>69/69</v>
      </c>
      <c r="K1691" s="1" t="str">
        <f>"2026-07-29 14:21:01"</f>
        <v>2026-07-29 14:21:01</v>
      </c>
      <c r="L1691" s="1" t="str">
        <f>"2023-09-21 18:04:51"</f>
        <v>2023-09-21 18:04:51</v>
      </c>
      <c r="M1691" s="1" t="s">
        <v>45</v>
      </c>
      <c r="N1691" s="1" t="s">
        <v>38</v>
      </c>
      <c r="O1691" s="1" t="s">
        <v>46</v>
      </c>
    </row>
    <row r="1692" spans="2:15" x14ac:dyDescent="0.3">
      <c r="B1692" s="1" t="s">
        <v>24</v>
      </c>
      <c r="C1692" s="1" t="str">
        <f t="shared" si="101"/>
        <v>5-2차</v>
      </c>
      <c r="D1692" s="1" t="str">
        <f>"0426A3215S"</f>
        <v>0426A3215S</v>
      </c>
      <c r="E1692" s="1" t="s">
        <v>10</v>
      </c>
      <c r="F1692" s="1" t="str">
        <f>"fde3:102:1430:6100:0:0:0:f"</f>
        <v>fde3:102:1430:6100:0:0:0:f</v>
      </c>
      <c r="G1692" s="1" t="str">
        <f>"0426A321"</f>
        <v>0426A321</v>
      </c>
      <c r="H1692" s="1" t="str">
        <f>"상면간 16R13"</f>
        <v>상면간 16R13</v>
      </c>
      <c r="I1692" s="1" t="s">
        <v>15</v>
      </c>
      <c r="J1692" s="1" t="str">
        <f>"38/38"</f>
        <v>38/38</v>
      </c>
      <c r="K1692" s="1" t="str">
        <f>"2026-07-29 14:20:29"</f>
        <v>2026-07-29 14:20:29</v>
      </c>
      <c r="L1692" s="1" t="str">
        <f>"2023-10-25 11:30:53"</f>
        <v>2023-10-25 11:30:53</v>
      </c>
      <c r="M1692" s="1" t="s">
        <v>45</v>
      </c>
      <c r="N1692" s="1" t="s">
        <v>38</v>
      </c>
      <c r="O1692" s="1" t="s">
        <v>46</v>
      </c>
    </row>
    <row r="1693" spans="2:15" x14ac:dyDescent="0.3">
      <c r="B1693" s="1" t="s">
        <v>24</v>
      </c>
      <c r="C1693" s="1" t="str">
        <f t="shared" si="101"/>
        <v>5-2차</v>
      </c>
      <c r="D1693" s="1" t="str">
        <f>"0426A3315S"</f>
        <v>0426A3315S</v>
      </c>
      <c r="E1693" s="1" t="s">
        <v>10</v>
      </c>
      <c r="F1693" s="1" t="str">
        <f>"fde3:102:1430:6200:0:0:0:3"</f>
        <v>fde3:102:1430:6200:0:0:0:3</v>
      </c>
      <c r="G1693" s="1" t="str">
        <f>"0426A331"</f>
        <v>0426A331</v>
      </c>
      <c r="H1693" s="1" t="str">
        <f>"면목간 34R3"</f>
        <v>면목간 34R3</v>
      </c>
      <c r="I1693" s="1" t="s">
        <v>15</v>
      </c>
      <c r="J1693" s="1" t="str">
        <f>"81/81"</f>
        <v>81/81</v>
      </c>
      <c r="K1693" s="1" t="str">
        <f>"2026-07-29 14:20:30"</f>
        <v>2026-07-29 14:20:30</v>
      </c>
      <c r="L1693" s="1" t="str">
        <f>"2023-09-21 14:48:56"</f>
        <v>2023-09-21 14:48:56</v>
      </c>
      <c r="M1693" s="1" t="s">
        <v>45</v>
      </c>
      <c r="N1693" s="1" t="s">
        <v>38</v>
      </c>
      <c r="O1693" s="1" t="s">
        <v>46</v>
      </c>
    </row>
    <row r="1694" spans="2:15" x14ac:dyDescent="0.3">
      <c r="B1694" s="1" t="s">
        <v>24</v>
      </c>
      <c r="C1694" s="1" t="str">
        <f t="shared" si="101"/>
        <v>5-2차</v>
      </c>
      <c r="D1694" s="1" t="str">
        <f>"0426A3335M"</f>
        <v>0426A3335M</v>
      </c>
      <c r="E1694" s="1" t="s">
        <v>10</v>
      </c>
      <c r="F1694" s="1" t="str">
        <f>"fde3:102:1430:6200:0:0:0:4"</f>
        <v>fde3:102:1430:6200:0:0:0:4</v>
      </c>
      <c r="G1694" s="1" t="str">
        <f>"0426A333"</f>
        <v>0426A333</v>
      </c>
      <c r="H1694" s="1" t="str">
        <f>"면목간 34R4"</f>
        <v>면목간 34R4</v>
      </c>
      <c r="I1694" s="1" t="s">
        <v>15</v>
      </c>
      <c r="J1694" s="1" t="str">
        <f>"68/69"</f>
        <v>68/69</v>
      </c>
      <c r="K1694" s="1" t="str">
        <f>"2026-07-29 14:21:01"</f>
        <v>2026-07-29 14:21:01</v>
      </c>
      <c r="L1694" s="1" t="str">
        <f>"2023-09-21 15:13:45"</f>
        <v>2023-09-21 15:13:45</v>
      </c>
      <c r="M1694" s="1" t="s">
        <v>45</v>
      </c>
      <c r="N1694" s="1" t="s">
        <v>38</v>
      </c>
      <c r="O1694" s="1" t="s">
        <v>46</v>
      </c>
    </row>
    <row r="1695" spans="2:15" x14ac:dyDescent="0.3">
      <c r="B1695" s="1" t="s">
        <v>24</v>
      </c>
      <c r="C1695" s="1" t="str">
        <f>"6차"</f>
        <v>6차</v>
      </c>
      <c r="D1695" s="1" t="str">
        <f>"0426A3416S"</f>
        <v>0426A3416S</v>
      </c>
      <c r="E1695" s="1" t="s">
        <v>10</v>
      </c>
      <c r="F1695" s="1" t="str">
        <f>"fde1:103:4:c5a5:0:0:0:2"</f>
        <v>fde1:103:4:c5a5:0:0:0:2</v>
      </c>
      <c r="G1695" s="1" t="str">
        <f>"0426A341"</f>
        <v>0426A341</v>
      </c>
      <c r="H1695" s="1" t="str">
        <f>"면목간 36R6R6"</f>
        <v>면목간 36R6R6</v>
      </c>
      <c r="I1695" s="1" t="s">
        <v>15</v>
      </c>
      <c r="J1695" s="1" t="str">
        <f>"32/33"</f>
        <v>32/33</v>
      </c>
      <c r="K1695" s="1" t="str">
        <f>"2026-07-29 14:20:30"</f>
        <v>2026-07-29 14:20:30</v>
      </c>
      <c r="L1695" s="1" t="str">
        <f>"2024-11-20 10:33:12"</f>
        <v>2024-11-20 10:33:12</v>
      </c>
      <c r="M1695" s="1" t="s">
        <v>4</v>
      </c>
      <c r="N1695" s="1" t="s">
        <v>38</v>
      </c>
      <c r="O1695" s="1" t="s">
        <v>46</v>
      </c>
    </row>
    <row r="1696" spans="2:15" x14ac:dyDescent="0.3">
      <c r="B1696" s="1" t="s">
        <v>24</v>
      </c>
      <c r="C1696" s="1" t="str">
        <f>"5-2차"</f>
        <v>5-2차</v>
      </c>
      <c r="D1696" s="1" t="str">
        <f>"0426A3735M"</f>
        <v>0426A3735M</v>
      </c>
      <c r="E1696" s="1" t="s">
        <v>10</v>
      </c>
      <c r="F1696" s="1" t="str">
        <f>"fde1:103:4:590a:0:0:0:2"</f>
        <v>fde1:103:4:590a:0:0:0:2</v>
      </c>
      <c r="G1696" s="1" t="str">
        <f>"0426A373"</f>
        <v>0426A373</v>
      </c>
      <c r="H1696" s="1" t="str">
        <f>"면목간 42"</f>
        <v>면목간 42</v>
      </c>
      <c r="I1696" s="1" t="s">
        <v>15</v>
      </c>
      <c r="J1696" s="1" t="str">
        <f>"64/64"</f>
        <v>64/64</v>
      </c>
      <c r="K1696" s="1" t="str">
        <f>"2026-07-29 14:20:31"</f>
        <v>2026-07-29 14:20:31</v>
      </c>
      <c r="L1696" s="1" t="str">
        <f>"2023-09-20 15:50:53"</f>
        <v>2023-09-20 15:50:53</v>
      </c>
      <c r="M1696" s="1" t="s">
        <v>4</v>
      </c>
      <c r="N1696" s="1" t="s">
        <v>38</v>
      </c>
      <c r="O1696" s="1" t="s">
        <v>46</v>
      </c>
    </row>
    <row r="1697" spans="2:15" x14ac:dyDescent="0.3">
      <c r="B1697" s="1" t="s">
        <v>24</v>
      </c>
      <c r="C1697" s="1" t="str">
        <f>"5-2차"</f>
        <v>5-2차</v>
      </c>
      <c r="D1697" s="1" t="str">
        <f>"0426A4125M"</f>
        <v>0426A4125M</v>
      </c>
      <c r="E1697" s="1" t="s">
        <v>10</v>
      </c>
      <c r="F1697" s="1" t="str">
        <f>"fde3:102:1430:6100:0:0:0:13"</f>
        <v>fde3:102:1430:6100:0:0:0:13</v>
      </c>
      <c r="G1697" s="1" t="str">
        <f>"0426A412"</f>
        <v>0426A412</v>
      </c>
      <c r="H1697" s="1" t="str">
        <f>"상면간 22R8R2"</f>
        <v>상면간 22R8R2</v>
      </c>
      <c r="I1697" s="1" t="s">
        <v>15</v>
      </c>
      <c r="J1697" s="1" t="str">
        <f>"97/97"</f>
        <v>97/97</v>
      </c>
      <c r="K1697" s="1" t="str">
        <f>"2026-07-29 14:20:30"</f>
        <v>2026-07-29 14:20:30</v>
      </c>
      <c r="L1697" s="1" t="str">
        <f>"2023-12-01 09:00:20"</f>
        <v>2023-12-01 09:00:20</v>
      </c>
      <c r="M1697" s="1" t="s">
        <v>45</v>
      </c>
      <c r="N1697" s="1" t="s">
        <v>38</v>
      </c>
      <c r="O1697" s="1" t="s">
        <v>46</v>
      </c>
    </row>
    <row r="1698" spans="2:15" x14ac:dyDescent="0.3">
      <c r="B1698" s="1" t="s">
        <v>24</v>
      </c>
      <c r="C1698" s="1" t="str">
        <f>"5-2차"</f>
        <v>5-2차</v>
      </c>
      <c r="D1698" s="1" t="str">
        <f>"0426A4225M"</f>
        <v>0426A4225M</v>
      </c>
      <c r="E1698" s="1" t="s">
        <v>10</v>
      </c>
      <c r="F1698" s="1" t="str">
        <f>"fde3:102:1430:6100:0:0:0:e"</f>
        <v>fde3:102:1430:6100:0:0:0:e</v>
      </c>
      <c r="G1698" s="1" t="str">
        <f>"0426A422"</f>
        <v>0426A422</v>
      </c>
      <c r="H1698" s="1" t="str">
        <f>"상면간 16R12"</f>
        <v>상면간 16R12</v>
      </c>
      <c r="I1698" s="1" t="s">
        <v>15</v>
      </c>
      <c r="J1698" s="1" t="str">
        <f>"104/104"</f>
        <v>104/104</v>
      </c>
      <c r="K1698" s="1" t="str">
        <f>"2026-07-29 14:20:30"</f>
        <v>2026-07-29 14:20:30</v>
      </c>
      <c r="L1698" s="1" t="str">
        <f>"2023-09-16 14:14:19"</f>
        <v>2023-09-16 14:14:19</v>
      </c>
      <c r="M1698" s="1" t="s">
        <v>45</v>
      </c>
      <c r="N1698" s="1" t="s">
        <v>38</v>
      </c>
      <c r="O1698" s="1" t="s">
        <v>46</v>
      </c>
    </row>
    <row r="1699" spans="2:15" x14ac:dyDescent="0.3">
      <c r="B1699" s="1" t="s">
        <v>24</v>
      </c>
      <c r="C1699" s="1" t="str">
        <f>"5-2차"</f>
        <v>5-2차</v>
      </c>
      <c r="D1699" s="1" t="str">
        <f>"0426A4415M"</f>
        <v>0426A4415M</v>
      </c>
      <c r="E1699" s="1" t="s">
        <v>10</v>
      </c>
      <c r="F1699" s="1" t="str">
        <f>"fde3:102:1430:6200:0:0:0:9"</f>
        <v>fde3:102:1430:6200:0:0:0:9</v>
      </c>
      <c r="G1699" s="1" t="str">
        <f>"0426A441"</f>
        <v>0426A441</v>
      </c>
      <c r="H1699" s="1" t="str">
        <f>"면목간 36R6R4"</f>
        <v>면목간 36R6R4</v>
      </c>
      <c r="I1699" s="1" t="s">
        <v>15</v>
      </c>
      <c r="J1699" s="1" t="str">
        <f>"63/63"</f>
        <v>63/63</v>
      </c>
      <c r="K1699" s="1" t="str">
        <f>"2026-07-29 14:21:02"</f>
        <v>2026-07-29 14:21:02</v>
      </c>
      <c r="L1699" s="1" t="str">
        <f>"2023-09-05 13:12:53"</f>
        <v>2023-09-05 13:12:53</v>
      </c>
      <c r="M1699" s="1" t="s">
        <v>45</v>
      </c>
      <c r="N1699" s="1" t="s">
        <v>38</v>
      </c>
      <c r="O1699" s="1" t="s">
        <v>46</v>
      </c>
    </row>
    <row r="1700" spans="2:15" x14ac:dyDescent="0.3">
      <c r="B1700" s="1" t="s">
        <v>24</v>
      </c>
      <c r="C1700" s="1" t="str">
        <f>"5-2차"</f>
        <v>5-2차</v>
      </c>
      <c r="D1700" s="1" t="str">
        <f>"0426A4515M"</f>
        <v>0426A4515M</v>
      </c>
      <c r="E1700" s="1" t="s">
        <v>10</v>
      </c>
      <c r="F1700" s="1" t="str">
        <f>"fde1:103:4:583f:0:0:0:2"</f>
        <v>fde1:103:4:583f:0:0:0:2</v>
      </c>
      <c r="G1700" s="1" t="str">
        <f>"0426A451"</f>
        <v>0426A451</v>
      </c>
      <c r="H1700" s="1" t="str">
        <f>"면목간 36R6R2"</f>
        <v>면목간 36R6R2</v>
      </c>
      <c r="I1700" s="1" t="s">
        <v>15</v>
      </c>
      <c r="J1700" s="1" t="str">
        <f>"88/90"</f>
        <v>88/90</v>
      </c>
      <c r="K1700" s="1" t="str">
        <f>"2026-07-29 14:20:37"</f>
        <v>2026-07-29 14:20:37</v>
      </c>
      <c r="L1700" s="1" t="str">
        <f>"2023-09-20 15:48:56"</f>
        <v>2023-09-20 15:48:56</v>
      </c>
      <c r="M1700" s="1" t="s">
        <v>4</v>
      </c>
      <c r="N1700" s="1" t="s">
        <v>38</v>
      </c>
      <c r="O1700" s="1" t="s">
        <v>46</v>
      </c>
    </row>
    <row r="1701" spans="2:15" x14ac:dyDescent="0.3">
      <c r="B1701" s="1" t="s">
        <v>24</v>
      </c>
      <c r="C1701" s="1" t="str">
        <f>"6차"</f>
        <v>6차</v>
      </c>
      <c r="D1701" s="1" t="str">
        <f>"0426A4616S"</f>
        <v>0426A4616S</v>
      </c>
      <c r="E1701" s="1" t="s">
        <v>10</v>
      </c>
      <c r="F1701" s="1" t="str">
        <f>"fde1:103:4:c5aa:0:0:0:2"</f>
        <v>fde1:103:4:c5aa:0:0:0:2</v>
      </c>
      <c r="G1701" s="1" t="str">
        <f>"0426A461"</f>
        <v>0426A461</v>
      </c>
      <c r="H1701" s="1" t="str">
        <f>"면목간 34R12"</f>
        <v>면목간 34R12</v>
      </c>
      <c r="I1701" s="1" t="s">
        <v>15</v>
      </c>
      <c r="J1701" s="1" t="str">
        <f>"51/51"</f>
        <v>51/51</v>
      </c>
      <c r="K1701" s="1" t="str">
        <f>"2026-07-29 14:20:31"</f>
        <v>2026-07-29 14:20:31</v>
      </c>
      <c r="L1701" s="1" t="str">
        <f>"2024-09-26 19:43:26"</f>
        <v>2024-09-26 19:43:26</v>
      </c>
      <c r="M1701" s="1" t="s">
        <v>4</v>
      </c>
      <c r="N1701" s="1" t="s">
        <v>38</v>
      </c>
      <c r="O1701" s="1" t="s">
        <v>46</v>
      </c>
    </row>
    <row r="1702" spans="2:15" x14ac:dyDescent="0.3">
      <c r="B1702" s="1" t="s">
        <v>24</v>
      </c>
      <c r="C1702" s="1" t="str">
        <f>"5-2차"</f>
        <v>5-2차</v>
      </c>
      <c r="D1702" s="1" t="str">
        <f>"0426A4645M"</f>
        <v>0426A4645M</v>
      </c>
      <c r="E1702" s="1" t="s">
        <v>10</v>
      </c>
      <c r="F1702" s="1" t="str">
        <f>"fde1:103:4:5995:0:0:0:2"</f>
        <v>fde1:103:4:5995:0:0:0:2</v>
      </c>
      <c r="G1702" s="1" t="str">
        <f>"0426A464"</f>
        <v>0426A464</v>
      </c>
      <c r="H1702" s="1" t="str">
        <f>"면목간 36R6"</f>
        <v>면목간 36R6</v>
      </c>
      <c r="I1702" s="1" t="s">
        <v>15</v>
      </c>
      <c r="J1702" s="1" t="str">
        <f>"48/48"</f>
        <v>48/48</v>
      </c>
      <c r="K1702" s="1" t="str">
        <f>"2026-07-29 14:20:31"</f>
        <v>2026-07-29 14:20:31</v>
      </c>
      <c r="L1702" s="1" t="str">
        <f>"2023-09-20 16:11:47"</f>
        <v>2023-09-20 16:11:47</v>
      </c>
      <c r="M1702" s="1" t="s">
        <v>4</v>
      </c>
      <c r="N1702" s="1" t="s">
        <v>38</v>
      </c>
      <c r="O1702" s="1" t="s">
        <v>46</v>
      </c>
    </row>
    <row r="1703" spans="2:15" x14ac:dyDescent="0.3">
      <c r="B1703" s="1" t="s">
        <v>24</v>
      </c>
      <c r="C1703" s="1" t="str">
        <f>"5-2차"</f>
        <v>5-2차</v>
      </c>
      <c r="D1703" s="1" t="str">
        <f>"0426A5015M"</f>
        <v>0426A5015M</v>
      </c>
      <c r="E1703" s="1" t="s">
        <v>10</v>
      </c>
      <c r="F1703" s="1" t="str">
        <f>"fde3:102:1430:6100:0:0:0:12"</f>
        <v>fde3:102:1430:6100:0:0:0:12</v>
      </c>
      <c r="G1703" s="1" t="str">
        <f>"0426A501"</f>
        <v>0426A501</v>
      </c>
      <c r="H1703" s="1" t="str">
        <f>"상면간 22R7"</f>
        <v>상면간 22R7</v>
      </c>
      <c r="I1703" s="1" t="s">
        <v>15</v>
      </c>
      <c r="J1703" s="1" t="str">
        <f>"51/51"</f>
        <v>51/51</v>
      </c>
      <c r="K1703" s="1" t="str">
        <f>"2026-07-29 14:21:02"</f>
        <v>2026-07-29 14:21:02</v>
      </c>
      <c r="L1703" s="1" t="str">
        <f>"2023-09-21 17:11:58"</f>
        <v>2023-09-21 17:11:58</v>
      </c>
      <c r="M1703" s="1" t="s">
        <v>45</v>
      </c>
      <c r="N1703" s="1" t="s">
        <v>38</v>
      </c>
      <c r="O1703" s="1" t="s">
        <v>46</v>
      </c>
    </row>
    <row r="1704" spans="2:15" x14ac:dyDescent="0.3">
      <c r="B1704" s="1" t="s">
        <v>24</v>
      </c>
      <c r="C1704" s="1" t="str">
        <f>"2차"</f>
        <v>2차</v>
      </c>
      <c r="D1704" s="1" t="str">
        <f>"0426A52129"</f>
        <v>0426A52129</v>
      </c>
      <c r="E1704" s="1" t="s">
        <v>10</v>
      </c>
      <c r="F1704" s="1" t="str">
        <f>"10.89.246.2"</f>
        <v>10.89.246.2</v>
      </c>
      <c r="G1704" s="1" t="str">
        <f>"0426A521"</f>
        <v>0426A521</v>
      </c>
      <c r="H1704" s="1" t="str">
        <f>"상면간 19R6"</f>
        <v>상면간 19R6</v>
      </c>
      <c r="I1704" s="1" t="s">
        <v>8</v>
      </c>
      <c r="J1704" s="1" t="str">
        <f>"90/90"</f>
        <v>90/90</v>
      </c>
      <c r="K1704" s="1" t="str">
        <f>"2026-07-29 13:18:03"</f>
        <v>2026-07-29 13:18:03</v>
      </c>
      <c r="L1704" s="1" t="str">
        <f>"2017-08-17 16:31:03"</f>
        <v>2017-08-17 16:31:03</v>
      </c>
      <c r="M1704" s="1" t="s">
        <v>45</v>
      </c>
      <c r="N1704" s="1" t="s">
        <v>38</v>
      </c>
      <c r="O1704" s="1" t="s">
        <v>46</v>
      </c>
    </row>
    <row r="1705" spans="2:15" x14ac:dyDescent="0.3">
      <c r="B1705" s="1" t="s">
        <v>24</v>
      </c>
      <c r="C1705" s="1" t="str">
        <f>"5-2차"</f>
        <v>5-2차</v>
      </c>
      <c r="D1705" s="1" t="str">
        <f>"0426A5225S"</f>
        <v>0426A5225S</v>
      </c>
      <c r="E1705" s="1" t="s">
        <v>10</v>
      </c>
      <c r="F1705" s="1" t="str">
        <f>"fde1:103:4:5980:0:0:0:2"</f>
        <v>fde1:103:4:5980:0:0:0:2</v>
      </c>
      <c r="G1705" s="1" t="str">
        <f>"0426A522"</f>
        <v>0426A522</v>
      </c>
      <c r="H1705" s="1" t="str">
        <f>"상면간 16R10"</f>
        <v>상면간 16R10</v>
      </c>
      <c r="I1705" s="1" t="s">
        <v>15</v>
      </c>
      <c r="J1705" s="1" t="str">
        <f>"44/44"</f>
        <v>44/44</v>
      </c>
      <c r="K1705" s="1" t="str">
        <f>"2026-07-29 14:20:31"</f>
        <v>2026-07-29 14:20:31</v>
      </c>
      <c r="L1705" s="1" t="str">
        <f>"2023-09-20 16:12:25"</f>
        <v>2023-09-20 16:12:25</v>
      </c>
      <c r="M1705" s="1" t="s">
        <v>4</v>
      </c>
      <c r="N1705" s="1" t="s">
        <v>38</v>
      </c>
      <c r="O1705" s="1" t="s">
        <v>46</v>
      </c>
    </row>
    <row r="1706" spans="2:15" x14ac:dyDescent="0.3">
      <c r="B1706" s="1" t="s">
        <v>24</v>
      </c>
      <c r="C1706" s="1" t="str">
        <f>"5-2차"</f>
        <v>5-2차</v>
      </c>
      <c r="D1706" s="1" t="str">
        <f>"0426A5425M"</f>
        <v>0426A5425M</v>
      </c>
      <c r="E1706" s="1" t="s">
        <v>10</v>
      </c>
      <c r="F1706" s="1" t="str">
        <f>"fde1:103:4:5768:0:0:0:2"</f>
        <v>fde1:103:4:5768:0:0:0:2</v>
      </c>
      <c r="G1706" s="1" t="str">
        <f>"0426A542"</f>
        <v>0426A542</v>
      </c>
      <c r="H1706" s="1" t="str">
        <f>"면목간 34R6"</f>
        <v>면목간 34R6</v>
      </c>
      <c r="I1706" s="1" t="s">
        <v>15</v>
      </c>
      <c r="J1706" s="1" t="str">
        <f>"49/49"</f>
        <v>49/49</v>
      </c>
      <c r="K1706" s="1" t="str">
        <f>"2026-07-29 14:20:31"</f>
        <v>2026-07-29 14:20:31</v>
      </c>
      <c r="L1706" s="1" t="str">
        <f>"2023-09-20 16:14:43"</f>
        <v>2023-09-20 16:14:43</v>
      </c>
      <c r="M1706" s="1" t="s">
        <v>4</v>
      </c>
      <c r="N1706" s="1" t="s">
        <v>38</v>
      </c>
      <c r="O1706" s="1" t="s">
        <v>46</v>
      </c>
    </row>
    <row r="1707" spans="2:15" x14ac:dyDescent="0.3">
      <c r="B1707" s="1" t="s">
        <v>24</v>
      </c>
      <c r="C1707" s="1" t="str">
        <f>"6차"</f>
        <v>6차</v>
      </c>
      <c r="D1707" s="1" t="str">
        <f>"0426A5516S"</f>
        <v>0426A5516S</v>
      </c>
      <c r="E1707" s="1" t="s">
        <v>10</v>
      </c>
      <c r="F1707" s="1" t="str">
        <f>"fde1:103:4:c5b7:0:0:0:2"</f>
        <v>fde1:103:4:c5b7:0:0:0:2</v>
      </c>
      <c r="G1707" s="1" t="str">
        <f>"0426A551"</f>
        <v>0426A551</v>
      </c>
      <c r="H1707" s="1" t="str">
        <f>"면목간 34R11"</f>
        <v>면목간 34R11</v>
      </c>
      <c r="I1707" s="1" t="s">
        <v>15</v>
      </c>
      <c r="J1707" s="1" t="str">
        <f>"61/61"</f>
        <v>61/61</v>
      </c>
      <c r="K1707" s="1" t="str">
        <f>"2026-07-29 14:20:32"</f>
        <v>2026-07-29 14:20:32</v>
      </c>
      <c r="L1707" s="1" t="str">
        <f>"2024-09-26 19:44:05"</f>
        <v>2024-09-26 19:44:05</v>
      </c>
      <c r="M1707" s="1" t="s">
        <v>4</v>
      </c>
      <c r="N1707" s="1" t="s">
        <v>38</v>
      </c>
      <c r="O1707" s="1" t="s">
        <v>46</v>
      </c>
    </row>
    <row r="1708" spans="2:15" x14ac:dyDescent="0.3">
      <c r="B1708" s="1" t="s">
        <v>24</v>
      </c>
      <c r="C1708" s="1" t="str">
        <f>"5-2차"</f>
        <v>5-2차</v>
      </c>
      <c r="D1708" s="1" t="str">
        <f>"0426A5615S"</f>
        <v>0426A5615S</v>
      </c>
      <c r="E1708" s="1" t="s">
        <v>10</v>
      </c>
      <c r="F1708" s="1" t="str">
        <f>"fde1:103:4:5832:0:0:0:2"</f>
        <v>fde1:103:4:5832:0:0:0:2</v>
      </c>
      <c r="G1708" s="1" t="str">
        <f>"0426A561"</f>
        <v>0426A561</v>
      </c>
      <c r="H1708" s="1" t="str">
        <f>"면목간 36R8R2"</f>
        <v>면목간 36R8R2</v>
      </c>
      <c r="I1708" s="1" t="s">
        <v>15</v>
      </c>
      <c r="J1708" s="1" t="str">
        <f>"47/47"</f>
        <v>47/47</v>
      </c>
      <c r="K1708" s="1" t="str">
        <f>"2026-07-29 14:21:21"</f>
        <v>2026-07-29 14:21:21</v>
      </c>
      <c r="L1708" s="1" t="str">
        <f>"2023-09-20 16:43:02"</f>
        <v>2023-09-20 16:43:02</v>
      </c>
      <c r="M1708" s="1" t="s">
        <v>4</v>
      </c>
      <c r="N1708" s="1" t="s">
        <v>38</v>
      </c>
      <c r="O1708" s="1" t="s">
        <v>46</v>
      </c>
    </row>
    <row r="1709" spans="2:15" x14ac:dyDescent="0.3">
      <c r="B1709" s="1" t="s">
        <v>24</v>
      </c>
      <c r="C1709" s="1" t="str">
        <f>"5-2차"</f>
        <v>5-2차</v>
      </c>
      <c r="D1709" s="1" t="str">
        <f>"0426A5715M"</f>
        <v>0426A5715M</v>
      </c>
      <c r="E1709" s="1" t="s">
        <v>10</v>
      </c>
      <c r="F1709" s="1" t="str">
        <f>"fde1:103:4:585d:0:0:0:2"</f>
        <v>fde1:103:4:585d:0:0:0:2</v>
      </c>
      <c r="G1709" s="1" t="str">
        <f>"0426A571"</f>
        <v>0426A571</v>
      </c>
      <c r="H1709" s="1" t="str">
        <f>"면목간 36R9"</f>
        <v>면목간 36R9</v>
      </c>
      <c r="I1709" s="1" t="s">
        <v>15</v>
      </c>
      <c r="J1709" s="1" t="str">
        <f>"45/45"</f>
        <v>45/45</v>
      </c>
      <c r="K1709" s="1" t="str">
        <f>"2026-07-29 14:20:32"</f>
        <v>2026-07-29 14:20:32</v>
      </c>
      <c r="L1709" s="1" t="str">
        <f>"2023-09-20 16:32:13"</f>
        <v>2023-09-20 16:32:13</v>
      </c>
      <c r="M1709" s="1" t="s">
        <v>4</v>
      </c>
      <c r="N1709" s="1" t="s">
        <v>38</v>
      </c>
      <c r="O1709" s="1" t="s">
        <v>46</v>
      </c>
    </row>
    <row r="1710" spans="2:15" x14ac:dyDescent="0.3">
      <c r="B1710" s="1" t="s">
        <v>24</v>
      </c>
      <c r="C1710" s="1" t="str">
        <f>"2차"</f>
        <v>2차</v>
      </c>
      <c r="D1710" s="1" t="str">
        <f>"0426A62229"</f>
        <v>0426A62229</v>
      </c>
      <c r="E1710" s="1" t="s">
        <v>10</v>
      </c>
      <c r="F1710" s="1" t="str">
        <f>"10.89.246.3"</f>
        <v>10.89.246.3</v>
      </c>
      <c r="G1710" s="1" t="str">
        <f>"0426A622"</f>
        <v>0426A622</v>
      </c>
      <c r="H1710" s="1" t="str">
        <f>"상면간 19R5"</f>
        <v>상면간 19R5</v>
      </c>
      <c r="I1710" s="1" t="s">
        <v>8</v>
      </c>
      <c r="J1710" s="1" t="str">
        <f>"72/72"</f>
        <v>72/72</v>
      </c>
      <c r="K1710" s="1" t="str">
        <f>"2026-07-29 13:18:03"</f>
        <v>2026-07-29 13:18:03</v>
      </c>
      <c r="L1710" s="1" t="str">
        <f>"2017-08-17 16:41:03"</f>
        <v>2017-08-17 16:41:03</v>
      </c>
      <c r="M1710" s="1" t="s">
        <v>45</v>
      </c>
      <c r="N1710" s="1" t="s">
        <v>38</v>
      </c>
      <c r="O1710" s="1" t="s">
        <v>46</v>
      </c>
    </row>
    <row r="1711" spans="2:15" x14ac:dyDescent="0.3">
      <c r="B1711" s="1" t="s">
        <v>24</v>
      </c>
      <c r="C1711" s="1" t="str">
        <f>"5-2차"</f>
        <v>5-2차</v>
      </c>
      <c r="D1711" s="1" t="str">
        <f>"0426A6325M"</f>
        <v>0426A6325M</v>
      </c>
      <c r="E1711" s="1" t="s">
        <v>10</v>
      </c>
      <c r="F1711" s="1" t="str">
        <f>"fde3:102:1430:6200:0:0:0:7"</f>
        <v>fde3:102:1430:6200:0:0:0:7</v>
      </c>
      <c r="G1711" s="1" t="str">
        <f>"0426A632"</f>
        <v>0426A632</v>
      </c>
      <c r="H1711" s="1" t="str">
        <f>"상면간 16R9"</f>
        <v>상면간 16R9</v>
      </c>
      <c r="I1711" s="1" t="s">
        <v>15</v>
      </c>
      <c r="J1711" s="1" t="str">
        <f>"48/48"</f>
        <v>48/48</v>
      </c>
      <c r="K1711" s="1" t="str">
        <f>"2026-07-29 14:20:31"</f>
        <v>2026-07-29 14:20:31</v>
      </c>
      <c r="L1711" s="1" t="str">
        <f>"2023-09-21 15:59:21"</f>
        <v>2023-09-21 15:59:21</v>
      </c>
      <c r="M1711" s="1" t="s">
        <v>45</v>
      </c>
      <c r="N1711" s="1" t="s">
        <v>38</v>
      </c>
      <c r="O1711" s="1" t="s">
        <v>46</v>
      </c>
    </row>
    <row r="1712" spans="2:15" x14ac:dyDescent="0.3">
      <c r="B1712" s="1" t="s">
        <v>24</v>
      </c>
      <c r="C1712" s="1" t="str">
        <f>"6차"</f>
        <v>6차</v>
      </c>
      <c r="D1712" s="1" t="str">
        <f>"0426A6416S"</f>
        <v>0426A6416S</v>
      </c>
      <c r="E1712" s="1" t="s">
        <v>10</v>
      </c>
      <c r="F1712" s="1" t="str">
        <f>"fde1:103:4:c69c:0:0:0:2"</f>
        <v>fde1:103:4:c69c:0:0:0:2</v>
      </c>
      <c r="G1712" s="1" t="str">
        <f>"0426A641"</f>
        <v>0426A641</v>
      </c>
      <c r="H1712" s="1" t="str">
        <f>"면목간 34R9"</f>
        <v>면목간 34R9</v>
      </c>
      <c r="I1712" s="1" t="s">
        <v>15</v>
      </c>
      <c r="J1712" s="1" t="str">
        <f>"38/38"</f>
        <v>38/38</v>
      </c>
      <c r="K1712" s="1" t="str">
        <f>"2026-07-29 08:20:32"</f>
        <v>2026-07-29 08:20:32</v>
      </c>
      <c r="L1712" s="1" t="str">
        <f>"2024-11-21 11:23:22"</f>
        <v>2024-11-21 11:23:22</v>
      </c>
      <c r="M1712" s="1" t="s">
        <v>4</v>
      </c>
      <c r="N1712" s="1" t="s">
        <v>38</v>
      </c>
      <c r="O1712" s="1" t="s">
        <v>46</v>
      </c>
    </row>
    <row r="1713" spans="2:15" x14ac:dyDescent="0.3">
      <c r="B1713" s="1" t="s">
        <v>24</v>
      </c>
      <c r="C1713" s="1" t="str">
        <f>"6차"</f>
        <v>6차</v>
      </c>
      <c r="D1713" s="1" t="str">
        <f>"0426A6426S"</f>
        <v>0426A6426S</v>
      </c>
      <c r="E1713" s="1" t="s">
        <v>10</v>
      </c>
      <c r="F1713" s="1" t="str">
        <f>"fde1:103:4:c680:0:0:0:2"</f>
        <v>fde1:103:4:c680:0:0:0:2</v>
      </c>
      <c r="G1713" s="1" t="str">
        <f>"0426A642"</f>
        <v>0426A642</v>
      </c>
      <c r="H1713" s="1" t="str">
        <f>"면목간 34R8"</f>
        <v>면목간 34R8</v>
      </c>
      <c r="I1713" s="1" t="s">
        <v>15</v>
      </c>
      <c r="J1713" s="1" t="str">
        <f>"38/38"</f>
        <v>38/38</v>
      </c>
      <c r="K1713" s="1" t="str">
        <f>"2026-07-29 14:21:18"</f>
        <v>2026-07-29 14:21:18</v>
      </c>
      <c r="L1713" s="1" t="str">
        <f>"2024-11-21 11:33:33"</f>
        <v>2024-11-21 11:33:33</v>
      </c>
      <c r="M1713" s="1" t="s">
        <v>4</v>
      </c>
      <c r="N1713" s="1" t="s">
        <v>38</v>
      </c>
      <c r="O1713" s="1" t="s">
        <v>46</v>
      </c>
    </row>
    <row r="1714" spans="2:15" x14ac:dyDescent="0.3">
      <c r="B1714" s="1" t="s">
        <v>24</v>
      </c>
      <c r="C1714" s="1" t="str">
        <f>"5-2차"</f>
        <v>5-2차</v>
      </c>
      <c r="D1714" s="1" t="str">
        <f>"0426A6435S"</f>
        <v>0426A6435S</v>
      </c>
      <c r="E1714" s="1" t="s">
        <v>10</v>
      </c>
      <c r="F1714" s="1" t="str">
        <f>"fde3:102:1430:6200:0:0:0:8"</f>
        <v>fde3:102:1430:6200:0:0:0:8</v>
      </c>
      <c r="G1714" s="1" t="str">
        <f>"0426A643"</f>
        <v>0426A643</v>
      </c>
      <c r="H1714" s="1" t="str">
        <f>"면목간 34R10"</f>
        <v>면목간 34R10</v>
      </c>
      <c r="I1714" s="1" t="s">
        <v>15</v>
      </c>
      <c r="J1714" s="1" t="str">
        <f>"52/52"</f>
        <v>52/52</v>
      </c>
      <c r="K1714" s="1" t="str">
        <f>"2026-07-29 14:20:31"</f>
        <v>2026-07-29 14:20:31</v>
      </c>
      <c r="L1714" s="1" t="str">
        <f>"2023-09-05 13:10:18"</f>
        <v>2023-09-05 13:10:18</v>
      </c>
      <c r="M1714" s="1" t="s">
        <v>45</v>
      </c>
      <c r="N1714" s="1" t="s">
        <v>38</v>
      </c>
      <c r="O1714" s="1" t="s">
        <v>46</v>
      </c>
    </row>
    <row r="1715" spans="2:15" x14ac:dyDescent="0.3">
      <c r="B1715" s="1" t="s">
        <v>24</v>
      </c>
      <c r="C1715" s="1" t="str">
        <f>"5-2차"</f>
        <v>5-2차</v>
      </c>
      <c r="D1715" s="1" t="str">
        <f>"0426A6515S"</f>
        <v>0426A6515S</v>
      </c>
      <c r="E1715" s="1" t="s">
        <v>10</v>
      </c>
      <c r="F1715" s="1" t="str">
        <f>"fde1:103:4:5852:0:0:0:2"</f>
        <v>fde1:103:4:5852:0:0:0:2</v>
      </c>
      <c r="G1715" s="1" t="str">
        <f>"0426A651"</f>
        <v>0426A651</v>
      </c>
      <c r="H1715" s="1" t="str">
        <f>"면목간 36R8R4"</f>
        <v>면목간 36R8R4</v>
      </c>
      <c r="I1715" s="1" t="s">
        <v>15</v>
      </c>
      <c r="J1715" s="1" t="str">
        <f>"41/41"</f>
        <v>41/41</v>
      </c>
      <c r="K1715" s="1" t="str">
        <f>"2026-07-29 14:20:34"</f>
        <v>2026-07-29 14:20:34</v>
      </c>
      <c r="L1715" s="1" t="str">
        <f>"2023-09-22 15:40:12"</f>
        <v>2023-09-22 15:40:12</v>
      </c>
      <c r="M1715" s="1" t="s">
        <v>4</v>
      </c>
      <c r="N1715" s="1" t="s">
        <v>38</v>
      </c>
      <c r="O1715" s="1" t="s">
        <v>46</v>
      </c>
    </row>
    <row r="1716" spans="2:15" x14ac:dyDescent="0.3">
      <c r="B1716" s="1" t="s">
        <v>24</v>
      </c>
      <c r="C1716" s="1" t="str">
        <f>"5-2차"</f>
        <v>5-2차</v>
      </c>
      <c r="D1716" s="1" t="str">
        <f>"0426A6525S"</f>
        <v>0426A6525S</v>
      </c>
      <c r="E1716" s="1" t="s">
        <v>10</v>
      </c>
      <c r="F1716" s="1" t="str">
        <f>"fde1:103:4:5752:0:0:0:2"</f>
        <v>fde1:103:4:5752:0:0:0:2</v>
      </c>
      <c r="G1716" s="1" t="str">
        <f>"0426A652"</f>
        <v>0426A652</v>
      </c>
      <c r="H1716" s="1" t="str">
        <f>"면목간 36R8R3"</f>
        <v>면목간 36R8R3</v>
      </c>
      <c r="I1716" s="1" t="s">
        <v>15</v>
      </c>
      <c r="J1716" s="1" t="str">
        <f>"42/42"</f>
        <v>42/42</v>
      </c>
      <c r="K1716" s="1" t="str">
        <f>"2026-07-29 08:21:03"</f>
        <v>2026-07-29 08:21:03</v>
      </c>
      <c r="L1716" s="1" t="str">
        <f>"2023-09-22 15:41:22"</f>
        <v>2023-09-22 15:41:22</v>
      </c>
      <c r="M1716" s="1" t="s">
        <v>4</v>
      </c>
      <c r="N1716" s="1" t="s">
        <v>38</v>
      </c>
      <c r="O1716" s="1" t="s">
        <v>46</v>
      </c>
    </row>
    <row r="1717" spans="2:15" x14ac:dyDescent="0.3">
      <c r="B1717" s="1" t="s">
        <v>24</v>
      </c>
      <c r="C1717" s="1" t="str">
        <f>"6차"</f>
        <v>6차</v>
      </c>
      <c r="D1717" s="1" t="str">
        <f>"0426A6616S"</f>
        <v>0426A6616S</v>
      </c>
      <c r="E1717" s="1" t="s">
        <v>10</v>
      </c>
      <c r="F1717" s="1" t="str">
        <f>"fde1:103:4:c69f:0:0:0:2"</f>
        <v>fde1:103:4:c69f:0:0:0:2</v>
      </c>
      <c r="G1717" s="1" t="str">
        <f>"0426A661"</f>
        <v>0426A661</v>
      </c>
      <c r="H1717" s="1" t="str">
        <f>"상면간 8R6"</f>
        <v>상면간 8R6</v>
      </c>
      <c r="I1717" s="1" t="s">
        <v>15</v>
      </c>
      <c r="J1717" s="1" t="str">
        <f>"52/57"</f>
        <v>52/57</v>
      </c>
      <c r="K1717" s="1" t="str">
        <f>"2026-07-29 14:21:18"</f>
        <v>2026-07-29 14:21:18</v>
      </c>
      <c r="L1717" s="1" t="str">
        <f>"2024-11-20 10:33:27"</f>
        <v>2024-11-20 10:33:27</v>
      </c>
      <c r="M1717" s="1" t="s">
        <v>4</v>
      </c>
      <c r="N1717" s="1" t="s">
        <v>38</v>
      </c>
      <c r="O1717" s="1" t="s">
        <v>46</v>
      </c>
    </row>
    <row r="1718" spans="2:15" x14ac:dyDescent="0.3">
      <c r="B1718" s="1" t="s">
        <v>24</v>
      </c>
      <c r="C1718" s="1" t="str">
        <f>"5-2차"</f>
        <v>5-2차</v>
      </c>
      <c r="D1718" s="1" t="str">
        <f>"0426A6715M"</f>
        <v>0426A6715M</v>
      </c>
      <c r="E1718" s="1" t="s">
        <v>10</v>
      </c>
      <c r="F1718" s="1" t="str">
        <f>"fde1:103:4:587b:0:0:0:2"</f>
        <v>fde1:103:4:587b:0:0:0:2</v>
      </c>
      <c r="G1718" s="1" t="str">
        <f>"0426A671"</f>
        <v>0426A671</v>
      </c>
      <c r="H1718" s="1" t="str">
        <f>"상면간 8R7"</f>
        <v>상면간 8R7</v>
      </c>
      <c r="I1718" s="1" t="s">
        <v>15</v>
      </c>
      <c r="J1718" s="1" t="str">
        <f>"93/93"</f>
        <v>93/93</v>
      </c>
      <c r="K1718" s="1" t="str">
        <f>"2026-07-29 14:20:32"</f>
        <v>2026-07-29 14:20:32</v>
      </c>
      <c r="L1718" s="1" t="str">
        <f>"2023-09-22 15:48:25"</f>
        <v>2023-09-22 15:48:25</v>
      </c>
      <c r="M1718" s="1" t="s">
        <v>4</v>
      </c>
      <c r="N1718" s="1" t="s">
        <v>38</v>
      </c>
      <c r="O1718" s="1" t="s">
        <v>46</v>
      </c>
    </row>
    <row r="1719" spans="2:15" x14ac:dyDescent="0.3">
      <c r="B1719" s="1" t="s">
        <v>24</v>
      </c>
      <c r="C1719" s="1" t="str">
        <f>"5-2차"</f>
        <v>5-2차</v>
      </c>
      <c r="D1719" s="1" t="str">
        <f>"0426A6815M"</f>
        <v>0426A6815M</v>
      </c>
      <c r="E1719" s="1" t="s">
        <v>10</v>
      </c>
      <c r="F1719" s="1" t="str">
        <f>"fde1:103:4:59ab:0:0:0:2"</f>
        <v>fde1:103:4:59ab:0:0:0:2</v>
      </c>
      <c r="G1719" s="1" t="str">
        <f>"0426A681"</f>
        <v>0426A681</v>
      </c>
      <c r="H1719" s="1" t="str">
        <f>"면목간 36R11R1"</f>
        <v>면목간 36R11R1</v>
      </c>
      <c r="I1719" s="1" t="s">
        <v>15</v>
      </c>
      <c r="J1719" s="1" t="str">
        <f>"52/52"</f>
        <v>52/52</v>
      </c>
      <c r="K1719" s="1" t="str">
        <f>"2026-07-29 08:20:33"</f>
        <v>2026-07-29 08:20:33</v>
      </c>
      <c r="L1719" s="1" t="str">
        <f>"2023-09-22 15:49:43"</f>
        <v>2023-09-22 15:49:43</v>
      </c>
      <c r="M1719" s="1" t="s">
        <v>4</v>
      </c>
      <c r="N1719" s="1" t="s">
        <v>38</v>
      </c>
      <c r="O1719" s="1" t="s">
        <v>46</v>
      </c>
    </row>
    <row r="1720" spans="2:15" x14ac:dyDescent="0.3">
      <c r="B1720" s="1" t="s">
        <v>24</v>
      </c>
      <c r="C1720" s="1" t="str">
        <f>"5-2차"</f>
        <v>5-2차</v>
      </c>
      <c r="D1720" s="1" t="str">
        <f>"0426A6915M"</f>
        <v>0426A6915M</v>
      </c>
      <c r="E1720" s="1" t="s">
        <v>10</v>
      </c>
      <c r="F1720" s="1" t="str">
        <f>"fde1:103:4:58d9:0:0:0:2"</f>
        <v>fde1:103:4:58d9:0:0:0:2</v>
      </c>
      <c r="G1720" s="1" t="str">
        <f>"0426A691"</f>
        <v>0426A691</v>
      </c>
      <c r="H1720" s="1" t="str">
        <f>"상면간 2"</f>
        <v>상면간 2</v>
      </c>
      <c r="I1720" s="1" t="s">
        <v>15</v>
      </c>
      <c r="J1720" s="1" t="str">
        <f>"43/43"</f>
        <v>43/43</v>
      </c>
      <c r="K1720" s="1" t="str">
        <f>"2026-07-29 14:20:33"</f>
        <v>2026-07-29 14:20:33</v>
      </c>
      <c r="L1720" s="1" t="str">
        <f>"2023-09-22 16:01:37"</f>
        <v>2023-09-22 16:01:37</v>
      </c>
      <c r="M1720" s="1" t="s">
        <v>4</v>
      </c>
      <c r="N1720" s="1" t="s">
        <v>38</v>
      </c>
      <c r="O1720" s="1" t="s">
        <v>46</v>
      </c>
    </row>
    <row r="1721" spans="2:15" x14ac:dyDescent="0.3">
      <c r="B1721" s="1" t="s">
        <v>24</v>
      </c>
      <c r="C1721" s="1" t="str">
        <f>"6차"</f>
        <v>6차</v>
      </c>
      <c r="D1721" s="1" t="str">
        <f>"0426A7216S"</f>
        <v>0426A7216S</v>
      </c>
      <c r="E1721" s="1" t="s">
        <v>10</v>
      </c>
      <c r="F1721" s="1" t="str">
        <f>"fde1:103:4:c5d9:0:0:0:2"</f>
        <v>fde1:103:4:c5d9:0:0:0:2</v>
      </c>
      <c r="G1721" s="1" t="str">
        <f>"0426A721"</f>
        <v>0426A721</v>
      </c>
      <c r="H1721" s="1" t="str">
        <f>"상면간 19R3"</f>
        <v>상면간 19R3</v>
      </c>
      <c r="I1721" s="1" t="s">
        <v>15</v>
      </c>
      <c r="J1721" s="1" t="str">
        <f>"54/54"</f>
        <v>54/54</v>
      </c>
      <c r="K1721" s="1" t="str">
        <f>"2026-07-29 14:20:33"</f>
        <v>2026-07-29 14:20:33</v>
      </c>
      <c r="L1721" s="1" t="str">
        <f>"2024-11-20 10:33:34"</f>
        <v>2024-11-20 10:33:34</v>
      </c>
      <c r="M1721" s="1" t="s">
        <v>4</v>
      </c>
      <c r="N1721" s="1" t="s">
        <v>38</v>
      </c>
      <c r="O1721" s="1" t="s">
        <v>46</v>
      </c>
    </row>
    <row r="1722" spans="2:15" x14ac:dyDescent="0.3">
      <c r="B1722" s="1" t="s">
        <v>24</v>
      </c>
      <c r="C1722" s="1" t="str">
        <f t="shared" ref="C1722:C1729" si="102">"5-2차"</f>
        <v>5-2차</v>
      </c>
      <c r="D1722" s="1" t="str">
        <f>"0426A7315M"</f>
        <v>0426A7315M</v>
      </c>
      <c r="E1722" s="1" t="s">
        <v>10</v>
      </c>
      <c r="F1722" s="1" t="str">
        <f>"fde1:103:4:5860:0:0:0:2"</f>
        <v>fde1:103:4:5860:0:0:0:2</v>
      </c>
      <c r="G1722" s="1" t="str">
        <f>"0426A731"</f>
        <v>0426A731</v>
      </c>
      <c r="H1722" s="1" t="str">
        <f>"상면간 16R7"</f>
        <v>상면간 16R7</v>
      </c>
      <c r="I1722" s="1" t="s">
        <v>15</v>
      </c>
      <c r="J1722" s="1" t="str">
        <f>"125/125"</f>
        <v>125/125</v>
      </c>
      <c r="K1722" s="1" t="str">
        <f>"2026-07-29 14:20:33"</f>
        <v>2026-07-29 14:20:33</v>
      </c>
      <c r="L1722" s="1" t="str">
        <f>"2023-09-22 16:02:46"</f>
        <v>2023-09-22 16:02:46</v>
      </c>
      <c r="M1722" s="1" t="s">
        <v>4</v>
      </c>
      <c r="N1722" s="1" t="s">
        <v>38</v>
      </c>
      <c r="O1722" s="1" t="s">
        <v>46</v>
      </c>
    </row>
    <row r="1723" spans="2:15" x14ac:dyDescent="0.3">
      <c r="B1723" s="1" t="s">
        <v>24</v>
      </c>
      <c r="C1723" s="1" t="str">
        <f t="shared" si="102"/>
        <v>5-2차</v>
      </c>
      <c r="D1723" s="1" t="str">
        <f>"0426A7545S"</f>
        <v>0426A7545S</v>
      </c>
      <c r="E1723" s="1" t="s">
        <v>10</v>
      </c>
      <c r="F1723" s="1" t="str">
        <f>"fde1:103:4:58f8:0:0:0:2"</f>
        <v>fde1:103:4:58f8:0:0:0:2</v>
      </c>
      <c r="G1723" s="1" t="str">
        <f>"0426A754"</f>
        <v>0426A754</v>
      </c>
      <c r="H1723" s="1" t="str">
        <f>"면목간 36R8R5"</f>
        <v>면목간 36R8R5</v>
      </c>
      <c r="I1723" s="1" t="s">
        <v>15</v>
      </c>
      <c r="J1723" s="1" t="str">
        <f>"44/44"</f>
        <v>44/44</v>
      </c>
      <c r="K1723" s="1" t="str">
        <f>"2026-07-29 14:21:18"</f>
        <v>2026-07-29 14:21:18</v>
      </c>
      <c r="L1723" s="1" t="str">
        <f>"2023-09-22 16:05:23"</f>
        <v>2023-09-22 16:05:23</v>
      </c>
      <c r="M1723" s="1" t="s">
        <v>4</v>
      </c>
      <c r="N1723" s="1" t="s">
        <v>38</v>
      </c>
      <c r="O1723" s="1" t="s">
        <v>46</v>
      </c>
    </row>
    <row r="1724" spans="2:15" x14ac:dyDescent="0.3">
      <c r="B1724" s="1" t="s">
        <v>24</v>
      </c>
      <c r="C1724" s="1" t="str">
        <f t="shared" si="102"/>
        <v>5-2차</v>
      </c>
      <c r="D1724" s="1" t="str">
        <f>"0426A7625S"</f>
        <v>0426A7625S</v>
      </c>
      <c r="E1724" s="1" t="s">
        <v>10</v>
      </c>
      <c r="F1724" s="1" t="str">
        <f>"fde1:103:4:59ed:0:0:0:2"</f>
        <v>fde1:103:4:59ed:0:0:0:2</v>
      </c>
      <c r="G1724" s="1" t="str">
        <f>"0426A762"</f>
        <v>0426A762</v>
      </c>
      <c r="H1724" s="1" t="str">
        <f>"상면간 8R4"</f>
        <v>상면간 8R4</v>
      </c>
      <c r="I1724" s="1" t="s">
        <v>15</v>
      </c>
      <c r="J1724" s="1" t="str">
        <f>"67/67"</f>
        <v>67/67</v>
      </c>
      <c r="K1724" s="1" t="str">
        <f>"2026-07-29 14:21:18"</f>
        <v>2026-07-29 14:21:18</v>
      </c>
      <c r="L1724" s="1" t="str">
        <f>"2023-09-22 16:17:37"</f>
        <v>2023-09-22 16:17:37</v>
      </c>
      <c r="M1724" s="1" t="s">
        <v>4</v>
      </c>
      <c r="N1724" s="1" t="s">
        <v>38</v>
      </c>
      <c r="O1724" s="1" t="s">
        <v>46</v>
      </c>
    </row>
    <row r="1725" spans="2:15" x14ac:dyDescent="0.3">
      <c r="B1725" s="1" t="s">
        <v>24</v>
      </c>
      <c r="C1725" s="1" t="str">
        <f t="shared" si="102"/>
        <v>5-2차</v>
      </c>
      <c r="D1725" s="1" t="str">
        <f>"0426A7725S"</f>
        <v>0426A7725S</v>
      </c>
      <c r="E1725" s="1" t="s">
        <v>10</v>
      </c>
      <c r="F1725" s="1" t="str">
        <f>"fde1:103:4:59d1:0:0:0:2"</f>
        <v>fde1:103:4:59d1:0:0:0:2</v>
      </c>
      <c r="G1725" s="1" t="str">
        <f>"0426A772"</f>
        <v>0426A772</v>
      </c>
      <c r="H1725" s="1" t="str">
        <f>"면목간 36R11R2"</f>
        <v>면목간 36R11R2</v>
      </c>
      <c r="I1725" s="1" t="s">
        <v>15</v>
      </c>
      <c r="J1725" s="1" t="str">
        <f>"65/66"</f>
        <v>65/66</v>
      </c>
      <c r="K1725" s="1" t="str">
        <f>"2026-07-29 14:21:03"</f>
        <v>2026-07-29 14:21:03</v>
      </c>
      <c r="L1725" s="1" t="str">
        <f>"2023-09-22 16:18:33"</f>
        <v>2023-09-22 16:18:33</v>
      </c>
      <c r="M1725" s="1" t="s">
        <v>4</v>
      </c>
      <c r="N1725" s="1" t="s">
        <v>38</v>
      </c>
      <c r="O1725" s="1" t="s">
        <v>46</v>
      </c>
    </row>
    <row r="1726" spans="2:15" x14ac:dyDescent="0.3">
      <c r="B1726" s="1" t="s">
        <v>24</v>
      </c>
      <c r="C1726" s="1" t="str">
        <f t="shared" si="102"/>
        <v>5-2차</v>
      </c>
      <c r="D1726" s="1" t="str">
        <f>"0426A7915S"</f>
        <v>0426A7915S</v>
      </c>
      <c r="E1726" s="1" t="s">
        <v>10</v>
      </c>
      <c r="F1726" s="1" t="str">
        <f>"fde1:103:4:5718:0:0:0:2"</f>
        <v>fde1:103:4:5718:0:0:0:2</v>
      </c>
      <c r="G1726" s="1" t="str">
        <f>"0426A791"</f>
        <v>0426A791</v>
      </c>
      <c r="H1726" s="1" t="str">
        <f>"상면간 4L1"</f>
        <v>상면간 4L1</v>
      </c>
      <c r="I1726" s="1" t="s">
        <v>15</v>
      </c>
      <c r="J1726" s="1" t="str">
        <f>"43/43"</f>
        <v>43/43</v>
      </c>
      <c r="K1726" s="1" t="str">
        <f>"2026-07-29 14:20:33"</f>
        <v>2026-07-29 14:20:33</v>
      </c>
      <c r="L1726" s="1" t="str">
        <f>"2023-09-22 16:20:00"</f>
        <v>2023-09-22 16:20:00</v>
      </c>
      <c r="M1726" s="1" t="s">
        <v>4</v>
      </c>
      <c r="N1726" s="1" t="s">
        <v>38</v>
      </c>
      <c r="O1726" s="1" t="s">
        <v>46</v>
      </c>
    </row>
    <row r="1727" spans="2:15" x14ac:dyDescent="0.3">
      <c r="B1727" s="1" t="s">
        <v>24</v>
      </c>
      <c r="C1727" s="1" t="str">
        <f t="shared" si="102"/>
        <v>5-2차</v>
      </c>
      <c r="D1727" s="1" t="str">
        <f>"0426A8015M"</f>
        <v>0426A8015M</v>
      </c>
      <c r="E1727" s="1" t="s">
        <v>10</v>
      </c>
      <c r="F1727" s="1" t="str">
        <f>"fde1:103:4:59b6:0:0:0:2"</f>
        <v>fde1:103:4:59b6:0:0:0:2</v>
      </c>
      <c r="G1727" s="1" t="str">
        <f>"0426A801"</f>
        <v>0426A801</v>
      </c>
      <c r="H1727" s="1" t="str">
        <f>"상면간 22R2"</f>
        <v>상면간 22R2</v>
      </c>
      <c r="I1727" s="1" t="s">
        <v>15</v>
      </c>
      <c r="J1727" s="1" t="str">
        <f>"46/47"</f>
        <v>46/47</v>
      </c>
      <c r="K1727" s="1" t="str">
        <f>"2026-07-29 14:21:18"</f>
        <v>2026-07-29 14:21:18</v>
      </c>
      <c r="L1727" s="1" t="str">
        <f>"2023-09-22 16:30:56"</f>
        <v>2023-09-22 16:30:56</v>
      </c>
      <c r="M1727" s="1" t="s">
        <v>4</v>
      </c>
      <c r="N1727" s="1" t="s">
        <v>38</v>
      </c>
      <c r="O1727" s="1" t="s">
        <v>46</v>
      </c>
    </row>
    <row r="1728" spans="2:15" x14ac:dyDescent="0.3">
      <c r="B1728" s="1" t="s">
        <v>24</v>
      </c>
      <c r="C1728" s="1" t="str">
        <f t="shared" si="102"/>
        <v>5-2차</v>
      </c>
      <c r="D1728" s="1" t="str">
        <f>"0426A8125M"</f>
        <v>0426A8125M</v>
      </c>
      <c r="E1728" s="1" t="s">
        <v>10</v>
      </c>
      <c r="F1728" s="1" t="str">
        <f>"fde1:103:4:59d8:0:0:0:2"</f>
        <v>fde1:103:4:59d8:0:0:0:2</v>
      </c>
      <c r="G1728" s="1" t="str">
        <f>"0426A812"</f>
        <v>0426A812</v>
      </c>
      <c r="H1728" s="1" t="str">
        <f>"상면간 22R3"</f>
        <v>상면간 22R3</v>
      </c>
      <c r="I1728" s="1" t="s">
        <v>15</v>
      </c>
      <c r="J1728" s="1" t="str">
        <f>"71/71"</f>
        <v>71/71</v>
      </c>
      <c r="K1728" s="1" t="str">
        <f>"2026-07-29 14:20:33"</f>
        <v>2026-07-29 14:20:33</v>
      </c>
      <c r="L1728" s="1" t="str">
        <f>"2023-09-22 16:32:35"</f>
        <v>2023-09-22 16:32:35</v>
      </c>
      <c r="M1728" s="1" t="s">
        <v>4</v>
      </c>
      <c r="N1728" s="1" t="s">
        <v>38</v>
      </c>
      <c r="O1728" s="1" t="s">
        <v>46</v>
      </c>
    </row>
    <row r="1729" spans="2:15" x14ac:dyDescent="0.3">
      <c r="B1729" s="1" t="s">
        <v>24</v>
      </c>
      <c r="C1729" s="1" t="str">
        <f t="shared" si="102"/>
        <v>5-2차</v>
      </c>
      <c r="D1729" s="1" t="str">
        <f>"0426A8215S"</f>
        <v>0426A8215S</v>
      </c>
      <c r="E1729" s="1" t="s">
        <v>10</v>
      </c>
      <c r="F1729" s="1" t="str">
        <f>"fde1:103:4:5895:0:0:0:2"</f>
        <v>fde1:103:4:5895:0:0:0:2</v>
      </c>
      <c r="G1729" s="1" t="str">
        <f>"0426A821"</f>
        <v>0426A821</v>
      </c>
      <c r="H1729" s="1" t="str">
        <f>"상면간 19R2"</f>
        <v>상면간 19R2</v>
      </c>
      <c r="I1729" s="1" t="s">
        <v>15</v>
      </c>
      <c r="J1729" s="1" t="str">
        <f>"59/59"</f>
        <v>59/59</v>
      </c>
      <c r="K1729" s="1" t="str">
        <f>"2026-07-29 14:20:26"</f>
        <v>2026-07-29 14:20:26</v>
      </c>
      <c r="L1729" s="1" t="str">
        <f>"2023-09-22 16:34:28"</f>
        <v>2023-09-22 16:34:28</v>
      </c>
      <c r="M1729" s="1" t="s">
        <v>4</v>
      </c>
      <c r="N1729" s="1" t="s">
        <v>38</v>
      </c>
      <c r="O1729" s="1" t="s">
        <v>46</v>
      </c>
    </row>
    <row r="1730" spans="2:15" x14ac:dyDescent="0.3">
      <c r="B1730" s="1" t="s">
        <v>24</v>
      </c>
      <c r="C1730" s="1" t="str">
        <f>"6차"</f>
        <v>6차</v>
      </c>
      <c r="D1730" s="1" t="str">
        <f>"0426A8656S"</f>
        <v>0426A8656S</v>
      </c>
      <c r="E1730" s="1" t="s">
        <v>10</v>
      </c>
      <c r="F1730" s="1" t="str">
        <f>"fde1:103:4:c694:0:0:0:2"</f>
        <v>fde1:103:4:c694:0:0:0:2</v>
      </c>
      <c r="G1730" s="1" t="str">
        <f>"0426A865"</f>
        <v>0426A865</v>
      </c>
      <c r="H1730" s="1" t="str">
        <f>"상면간 16R2R3"</f>
        <v>상면간 16R2R3</v>
      </c>
      <c r="I1730" s="1" t="s">
        <v>15</v>
      </c>
      <c r="J1730" s="1" t="str">
        <f>"80/82"</f>
        <v>80/82</v>
      </c>
      <c r="K1730" s="1" t="str">
        <f>"2026-07-29 14:21:19"</f>
        <v>2026-07-29 14:21:19</v>
      </c>
      <c r="L1730" s="1" t="str">
        <f>"2024-11-20 10:33:20"</f>
        <v>2024-11-20 10:33:20</v>
      </c>
      <c r="M1730" s="1" t="s">
        <v>4</v>
      </c>
      <c r="N1730" s="1" t="s">
        <v>38</v>
      </c>
      <c r="O1730" s="1" t="s">
        <v>46</v>
      </c>
    </row>
    <row r="1731" spans="2:15" x14ac:dyDescent="0.3">
      <c r="B1731" s="1" t="s">
        <v>24</v>
      </c>
      <c r="C1731" s="1" t="str">
        <f>"5-1차"</f>
        <v>5-1차</v>
      </c>
      <c r="D1731" s="1" t="str">
        <f>"0426A8715M"</f>
        <v>0426A8715M</v>
      </c>
      <c r="E1731" s="1" t="s">
        <v>10</v>
      </c>
      <c r="F1731" s="1" t="str">
        <f>"fde3:102:1430:9500:0:0:0:2"</f>
        <v>fde3:102:1430:9500:0:0:0:2</v>
      </c>
      <c r="G1731" s="1" t="str">
        <f>"0426A871"</f>
        <v>0426A871</v>
      </c>
      <c r="H1731" s="1" t="str">
        <f>"상면간 8H1"</f>
        <v>상면간 8H1</v>
      </c>
      <c r="I1731" s="1" t="s">
        <v>15</v>
      </c>
      <c r="J1731" s="1" t="str">
        <f>"27/27"</f>
        <v>27/27</v>
      </c>
      <c r="K1731" s="1" t="str">
        <f>"2026-07-29 14:21:20"</f>
        <v>2026-07-29 14:21:20</v>
      </c>
      <c r="L1731" s="1" t="str">
        <f>"2022-11-03 16:36:10"</f>
        <v>2022-11-03 16:36:10</v>
      </c>
      <c r="M1731" s="1" t="s">
        <v>45</v>
      </c>
      <c r="N1731" s="1" t="s">
        <v>38</v>
      </c>
      <c r="O1731" s="1" t="s">
        <v>46</v>
      </c>
    </row>
    <row r="1732" spans="2:15" x14ac:dyDescent="0.3">
      <c r="B1732" s="1" t="s">
        <v>24</v>
      </c>
      <c r="C1732" s="1" t="str">
        <f>"6차"</f>
        <v>6차</v>
      </c>
      <c r="D1732" s="1" t="str">
        <f>"0426A8816S"</f>
        <v>0426A8816S</v>
      </c>
      <c r="E1732" s="1" t="s">
        <v>10</v>
      </c>
      <c r="F1732" s="1" t="str">
        <f>"fde1:103:4:c5d0:0:0:0:2"</f>
        <v>fde1:103:4:c5d0:0:0:0:2</v>
      </c>
      <c r="G1732" s="1" t="str">
        <f>"0426A881"</f>
        <v>0426A881</v>
      </c>
      <c r="H1732" s="1" t="str">
        <f>"상면간 7"</f>
        <v>상면간 7</v>
      </c>
      <c r="I1732" s="1" t="s">
        <v>15</v>
      </c>
      <c r="J1732" s="1" t="str">
        <f>"28/28"</f>
        <v>28/28</v>
      </c>
      <c r="K1732" s="1" t="str">
        <f>"2026-07-29 14:21:20"</f>
        <v>2026-07-29 14:21:20</v>
      </c>
      <c r="L1732" s="1" t="str">
        <f>"2024-11-11 17:13:29"</f>
        <v>2024-11-11 17:13:29</v>
      </c>
      <c r="M1732" s="1" t="s">
        <v>4</v>
      </c>
      <c r="N1732" s="1" t="s">
        <v>38</v>
      </c>
      <c r="O1732" s="1" t="s">
        <v>46</v>
      </c>
    </row>
    <row r="1733" spans="2:15" x14ac:dyDescent="0.3">
      <c r="B1733" s="1" t="s">
        <v>24</v>
      </c>
      <c r="C1733" s="1" t="str">
        <f>"6차"</f>
        <v>6차</v>
      </c>
      <c r="D1733" s="1" t="str">
        <f>"0426A8826S"</f>
        <v>0426A8826S</v>
      </c>
      <c r="E1733" s="1" t="s">
        <v>10</v>
      </c>
      <c r="F1733" s="1" t="str">
        <f>"fde1:103:4:c5c8:0:0:0:2"</f>
        <v>fde1:103:4:c5c8:0:0:0:2</v>
      </c>
      <c r="G1733" s="1" t="str">
        <f>"0426A882"</f>
        <v>0426A882</v>
      </c>
      <c r="H1733" s="1" t="str">
        <f>"상면간 4L2"</f>
        <v>상면간 4L2</v>
      </c>
      <c r="I1733" s="1" t="s">
        <v>15</v>
      </c>
      <c r="J1733" s="1" t="str">
        <f>"32/32"</f>
        <v>32/32</v>
      </c>
      <c r="K1733" s="1" t="str">
        <f>"2026-07-29 14:20:33"</f>
        <v>2026-07-29 14:20:33</v>
      </c>
      <c r="L1733" s="1" t="str">
        <f>"2024-11-20 10:33:26"</f>
        <v>2024-11-20 10:33:26</v>
      </c>
      <c r="M1733" s="1" t="s">
        <v>4</v>
      </c>
      <c r="N1733" s="1" t="s">
        <v>38</v>
      </c>
      <c r="O1733" s="1" t="s">
        <v>46</v>
      </c>
    </row>
    <row r="1734" spans="2:15" x14ac:dyDescent="0.3">
      <c r="B1734" s="1" t="s">
        <v>24</v>
      </c>
      <c r="C1734" s="1" t="str">
        <f>"6차"</f>
        <v>6차</v>
      </c>
      <c r="D1734" s="1" t="str">
        <f>"0426A8936S"</f>
        <v>0426A8936S</v>
      </c>
      <c r="E1734" s="1" t="s">
        <v>10</v>
      </c>
      <c r="F1734" s="1" t="str">
        <f>"fde1:103:4:c5be:0:0:0:2"</f>
        <v>fde1:103:4:c5be:0:0:0:2</v>
      </c>
      <c r="G1734" s="1" t="str">
        <f>"0426A893"</f>
        <v>0426A893</v>
      </c>
      <c r="H1734" s="1" t="str">
        <f>"사가정지 3R8"</f>
        <v>사가정지 3R8</v>
      </c>
      <c r="I1734" s="1" t="s">
        <v>15</v>
      </c>
      <c r="J1734" s="1" t="str">
        <f>"56/56"</f>
        <v>56/56</v>
      </c>
      <c r="K1734" s="1" t="str">
        <f>"2026-07-29 14:21:22"</f>
        <v>2026-07-29 14:21:22</v>
      </c>
      <c r="L1734" s="1" t="str">
        <f>"2024-09-25 19:43:33"</f>
        <v>2024-09-25 19:43:33</v>
      </c>
      <c r="M1734" s="1" t="s">
        <v>4</v>
      </c>
      <c r="N1734" s="1" t="s">
        <v>38</v>
      </c>
      <c r="O1734" s="1" t="s">
        <v>46</v>
      </c>
    </row>
    <row r="1735" spans="2:15" x14ac:dyDescent="0.3">
      <c r="B1735" s="1" t="s">
        <v>24</v>
      </c>
      <c r="C1735" s="1" t="str">
        <f>"5-2차"</f>
        <v>5-2차</v>
      </c>
      <c r="D1735" s="1" t="str">
        <f>"0426A9115M"</f>
        <v>0426A9115M</v>
      </c>
      <c r="E1735" s="1" t="s">
        <v>10</v>
      </c>
      <c r="F1735" s="1" t="str">
        <f>"fde1:103:4:5719:0:0:0:2"</f>
        <v>fde1:103:4:5719:0:0:0:2</v>
      </c>
      <c r="G1735" s="1" t="str">
        <f>"0426A911"</f>
        <v>0426A911</v>
      </c>
      <c r="H1735" s="1" t="str">
        <f>"상면간 21"</f>
        <v>상면간 21</v>
      </c>
      <c r="I1735" s="1" t="s">
        <v>15</v>
      </c>
      <c r="J1735" s="1" t="str">
        <f>"41/41"</f>
        <v>41/41</v>
      </c>
      <c r="K1735" s="1" t="str">
        <f>"2026-07-29 14:21:22"</f>
        <v>2026-07-29 14:21:22</v>
      </c>
      <c r="L1735" s="1" t="str">
        <f>"2023-09-22 17:26:34"</f>
        <v>2023-09-22 17:26:34</v>
      </c>
      <c r="M1735" s="1" t="s">
        <v>4</v>
      </c>
      <c r="N1735" s="1" t="s">
        <v>38</v>
      </c>
      <c r="O1735" s="1" t="s">
        <v>46</v>
      </c>
    </row>
    <row r="1736" spans="2:15" x14ac:dyDescent="0.3">
      <c r="B1736" s="1" t="s">
        <v>24</v>
      </c>
      <c r="C1736" s="1" t="str">
        <f>"5-2차"</f>
        <v>5-2차</v>
      </c>
      <c r="D1736" s="1" t="str">
        <f>"0426A9215M"</f>
        <v>0426A9215M</v>
      </c>
      <c r="E1736" s="1" t="s">
        <v>10</v>
      </c>
      <c r="F1736" s="1" t="str">
        <f>"fde1:103:4:5705:0:0:0:2"</f>
        <v>fde1:103:4:5705:0:0:0:2</v>
      </c>
      <c r="G1736" s="1" t="str">
        <f>"0426A921"</f>
        <v>0426A921</v>
      </c>
      <c r="H1736" s="1" t="str">
        <f>"상면간 19R1"</f>
        <v>상면간 19R1</v>
      </c>
      <c r="I1736" s="1" t="s">
        <v>15</v>
      </c>
      <c r="J1736" s="1" t="str">
        <f>"40/40"</f>
        <v>40/40</v>
      </c>
      <c r="K1736" s="1" t="str">
        <f>"2026-07-29 14:21:23"</f>
        <v>2026-07-29 14:21:23</v>
      </c>
      <c r="L1736" s="1" t="str">
        <f>"2023-09-22 17:27:14"</f>
        <v>2023-09-22 17:27:14</v>
      </c>
      <c r="M1736" s="1" t="s">
        <v>4</v>
      </c>
      <c r="N1736" s="1" t="s">
        <v>38</v>
      </c>
      <c r="O1736" s="1" t="s">
        <v>46</v>
      </c>
    </row>
    <row r="1737" spans="2:15" x14ac:dyDescent="0.3">
      <c r="B1737" s="1" t="s">
        <v>24</v>
      </c>
      <c r="C1737" s="1" t="str">
        <f>"6차"</f>
        <v>6차</v>
      </c>
      <c r="D1737" s="1" t="str">
        <f>"0426A9336S"</f>
        <v>0426A9336S</v>
      </c>
      <c r="E1737" s="1" t="s">
        <v>12</v>
      </c>
      <c r="F1737" s="1" t="str">
        <f>"fde1:103:4:c629:0:0:0:2"</f>
        <v>fde1:103:4:c629:0:0:0:2</v>
      </c>
      <c r="G1737" s="1" t="str">
        <f>"0426A933"</f>
        <v>0426A933</v>
      </c>
      <c r="H1737" s="1" t="str">
        <f>"상면간 16R4"</f>
        <v>상면간 16R4</v>
      </c>
      <c r="I1737" s="1" t="s">
        <v>15</v>
      </c>
      <c r="J1737" s="1" t="str">
        <f>"0/67"</f>
        <v>0/67</v>
      </c>
      <c r="K1737" s="1" t="str">
        <f>"2025-12-18 20:21:05"</f>
        <v>2025-12-18 20:21:05</v>
      </c>
      <c r="L1737" s="1" t="str">
        <f>"2024-12-10 16:49:20"</f>
        <v>2024-12-10 16:49:20</v>
      </c>
      <c r="M1737" s="1" t="s">
        <v>4</v>
      </c>
      <c r="N1737" s="1" t="s">
        <v>38</v>
      </c>
      <c r="O1737" s="1" t="s">
        <v>46</v>
      </c>
    </row>
    <row r="1738" spans="2:15" x14ac:dyDescent="0.3">
      <c r="B1738" s="1" t="s">
        <v>24</v>
      </c>
      <c r="C1738" s="1" t="str">
        <f>"5-2차"</f>
        <v>5-2차</v>
      </c>
      <c r="D1738" s="1" t="str">
        <f>"0426A9415M"</f>
        <v>0426A9415M</v>
      </c>
      <c r="E1738" s="1" t="s">
        <v>10</v>
      </c>
      <c r="F1738" s="1" t="str">
        <f>"fde1:103:4:5702:0:0:0:2"</f>
        <v>fde1:103:4:5702:0:0:0:2</v>
      </c>
      <c r="G1738" s="1" t="str">
        <f>"0426A941"</f>
        <v>0426A941</v>
      </c>
      <c r="H1738" s="1" t="str">
        <f>"상면간 16R1"</f>
        <v>상면간 16R1</v>
      </c>
      <c r="I1738" s="1" t="s">
        <v>15</v>
      </c>
      <c r="J1738" s="1" t="str">
        <f>"67/67"</f>
        <v>67/67</v>
      </c>
      <c r="K1738" s="1" t="str">
        <f>"2026-07-29 14:20:33"</f>
        <v>2026-07-29 14:20:33</v>
      </c>
      <c r="L1738" s="1" t="str">
        <f>"2023-09-26 15:37:55"</f>
        <v>2023-09-26 15:37:55</v>
      </c>
      <c r="M1738" s="1" t="s">
        <v>4</v>
      </c>
      <c r="N1738" s="1" t="s">
        <v>38</v>
      </c>
      <c r="O1738" s="1" t="s">
        <v>46</v>
      </c>
    </row>
    <row r="1739" spans="2:15" x14ac:dyDescent="0.3">
      <c r="B1739" s="1" t="s">
        <v>24</v>
      </c>
      <c r="C1739" s="1" t="str">
        <f>"6차"</f>
        <v>6차</v>
      </c>
      <c r="D1739" s="1" t="str">
        <f>"0426A9526S"</f>
        <v>0426A9526S</v>
      </c>
      <c r="E1739" s="1" t="s">
        <v>10</v>
      </c>
      <c r="F1739" s="1" t="str">
        <f>"fde1:103:4:c6f7:0:0:0:2"</f>
        <v>fde1:103:4:c6f7:0:0:0:2</v>
      </c>
      <c r="G1739" s="1" t="str">
        <f>"0426A952"</f>
        <v>0426A952</v>
      </c>
      <c r="H1739" s="1" t="str">
        <f>"상면간 16R2R2"</f>
        <v>상면간 16R2R2</v>
      </c>
      <c r="I1739" s="1" t="s">
        <v>15</v>
      </c>
      <c r="J1739" s="1" t="str">
        <f>"70/73"</f>
        <v>70/73</v>
      </c>
      <c r="K1739" s="1" t="str">
        <f>"2026-07-29 14:20:43"</f>
        <v>2026-07-29 14:20:43</v>
      </c>
      <c r="L1739" s="1" t="str">
        <f>"2024-11-11 17:13:18"</f>
        <v>2024-11-11 17:13:18</v>
      </c>
      <c r="M1739" s="1" t="s">
        <v>4</v>
      </c>
      <c r="N1739" s="1" t="s">
        <v>38</v>
      </c>
      <c r="O1739" s="1" t="s">
        <v>46</v>
      </c>
    </row>
    <row r="1740" spans="2:15" x14ac:dyDescent="0.3">
      <c r="B1740" s="1" t="s">
        <v>24</v>
      </c>
      <c r="C1740" s="1" t="str">
        <f>"5-2차"</f>
        <v>5-2차</v>
      </c>
      <c r="D1740" s="1" t="str">
        <f>"0426A9925M"</f>
        <v>0426A9925M</v>
      </c>
      <c r="E1740" s="1" t="s">
        <v>10</v>
      </c>
      <c r="F1740" s="1" t="str">
        <f>"fde1:103:4:5765:0:0:0:2"</f>
        <v>fde1:103:4:5765:0:0:0:2</v>
      </c>
      <c r="G1740" s="1" t="str">
        <f>"0426A992"</f>
        <v>0426A992</v>
      </c>
      <c r="H1740" s="1" t="str">
        <f>"상면간 11L3L3"</f>
        <v>상면간 11L3L3</v>
      </c>
      <c r="I1740" s="1" t="s">
        <v>15</v>
      </c>
      <c r="J1740" s="1" t="str">
        <f>"59/59"</f>
        <v>59/59</v>
      </c>
      <c r="K1740" s="1" t="str">
        <f>"2026-07-29 14:21:23"</f>
        <v>2026-07-29 14:21:23</v>
      </c>
      <c r="L1740" s="1" t="str">
        <f>"2023-09-26 15:39:16"</f>
        <v>2023-09-26 15:39:16</v>
      </c>
      <c r="M1740" s="1" t="s">
        <v>4</v>
      </c>
      <c r="N1740" s="1" t="s">
        <v>38</v>
      </c>
      <c r="O1740" s="1" t="s">
        <v>46</v>
      </c>
    </row>
    <row r="1741" spans="2:15" x14ac:dyDescent="0.3">
      <c r="B1741" s="1" t="s">
        <v>24</v>
      </c>
      <c r="C1741" s="1" t="str">
        <f>"5-2차"</f>
        <v>5-2차</v>
      </c>
      <c r="D1741" s="1" t="str">
        <f>"0426B0035M"</f>
        <v>0426B0035M</v>
      </c>
      <c r="E1741" s="1" t="s">
        <v>10</v>
      </c>
      <c r="F1741" s="1" t="str">
        <f>"fde1:103:4:5724:0:0:0:2"</f>
        <v>fde1:103:4:5724:0:0:0:2</v>
      </c>
      <c r="G1741" s="1" t="str">
        <f>"0426B003"</f>
        <v>0426B003</v>
      </c>
      <c r="H1741" s="1" t="str">
        <f>"상면간 22L2"</f>
        <v>상면간 22L2</v>
      </c>
      <c r="I1741" s="1" t="s">
        <v>15</v>
      </c>
      <c r="J1741" s="1" t="str">
        <f>"80/80"</f>
        <v>80/80</v>
      </c>
      <c r="K1741" s="1" t="str">
        <f>"2026-07-29 14:20:33"</f>
        <v>2026-07-29 14:20:33</v>
      </c>
      <c r="L1741" s="1" t="str">
        <f>"2023-09-26 15:40:38"</f>
        <v>2023-09-26 15:40:38</v>
      </c>
      <c r="M1741" s="1" t="s">
        <v>4</v>
      </c>
      <c r="N1741" s="1" t="s">
        <v>38</v>
      </c>
      <c r="O1741" s="1" t="s">
        <v>46</v>
      </c>
    </row>
    <row r="1742" spans="2:15" x14ac:dyDescent="0.3">
      <c r="B1742" s="1" t="s">
        <v>24</v>
      </c>
      <c r="C1742" s="1" t="str">
        <f>"6차"</f>
        <v>6차</v>
      </c>
      <c r="D1742" s="1" t="str">
        <f>"0426B0226S"</f>
        <v>0426B0226S</v>
      </c>
      <c r="E1742" s="1" t="s">
        <v>10</v>
      </c>
      <c r="F1742" s="1" t="str">
        <f>"fde1:103:4:c5f5:0:0:0:2"</f>
        <v>fde1:103:4:c5f5:0:0:0:2</v>
      </c>
      <c r="G1742" s="1" t="str">
        <f>"0426B022"</f>
        <v>0426B022</v>
      </c>
      <c r="H1742" s="1" t="str">
        <f>"상면간 19L1"</f>
        <v>상면간 19L1</v>
      </c>
      <c r="I1742" s="1" t="s">
        <v>15</v>
      </c>
      <c r="J1742" s="1" t="str">
        <f>"84/94"</f>
        <v>84/94</v>
      </c>
      <c r="K1742" s="1" t="str">
        <f>"2026-07-29 14:20:33"</f>
        <v>2026-07-29 14:20:33</v>
      </c>
      <c r="L1742" s="1" t="str">
        <f>"2024-11-20 10:43:20"</f>
        <v>2024-11-20 10:43:20</v>
      </c>
      <c r="M1742" s="1" t="s">
        <v>4</v>
      </c>
      <c r="N1742" s="1" t="s">
        <v>38</v>
      </c>
      <c r="O1742" s="1" t="s">
        <v>46</v>
      </c>
    </row>
    <row r="1743" spans="2:15" x14ac:dyDescent="0.3">
      <c r="B1743" s="1" t="s">
        <v>24</v>
      </c>
      <c r="C1743" s="1" t="str">
        <f t="shared" ref="C1743:C1750" si="103">"5-2차"</f>
        <v>5-2차</v>
      </c>
      <c r="D1743" s="1" t="str">
        <f>"0426B0235M"</f>
        <v>0426B0235M</v>
      </c>
      <c r="E1743" s="1" t="s">
        <v>10</v>
      </c>
      <c r="F1743" s="1" t="str">
        <f>"fde1:103:4:57cf:0:0:0:2"</f>
        <v>fde1:103:4:57cf:0:0:0:2</v>
      </c>
      <c r="G1743" s="1" t="str">
        <f>"0426B023"</f>
        <v>0426B023</v>
      </c>
      <c r="H1743" s="1" t="str">
        <f>"상면간 18"</f>
        <v>상면간 18</v>
      </c>
      <c r="I1743" s="1" t="s">
        <v>15</v>
      </c>
      <c r="J1743" s="1" t="str">
        <f>"33/33"</f>
        <v>33/33</v>
      </c>
      <c r="K1743" s="1" t="str">
        <f>"2026-07-29 14:21:24"</f>
        <v>2026-07-29 14:21:24</v>
      </c>
      <c r="L1743" s="1" t="str">
        <f>"2023-10-10 10:35:00"</f>
        <v>2023-10-10 10:35:00</v>
      </c>
      <c r="M1743" s="1" t="s">
        <v>4</v>
      </c>
      <c r="N1743" s="1" t="s">
        <v>38</v>
      </c>
      <c r="O1743" s="1" t="s">
        <v>46</v>
      </c>
    </row>
    <row r="1744" spans="2:15" x14ac:dyDescent="0.3">
      <c r="B1744" s="1" t="s">
        <v>24</v>
      </c>
      <c r="C1744" s="1" t="str">
        <f t="shared" si="103"/>
        <v>5-2차</v>
      </c>
      <c r="D1744" s="1" t="str">
        <f>"0426B0545M"</f>
        <v>0426B0545M</v>
      </c>
      <c r="E1744" s="1" t="s">
        <v>10</v>
      </c>
      <c r="F1744" s="1" t="str">
        <f>"fde1:103:4:582c:0:0:0:2"</f>
        <v>fde1:103:4:582c:0:0:0:2</v>
      </c>
      <c r="G1744" s="1" t="str">
        <f>"0426B054"</f>
        <v>0426B054</v>
      </c>
      <c r="H1744" s="1" t="str">
        <f>"상면간 15"</f>
        <v>상면간 15</v>
      </c>
      <c r="I1744" s="1" t="s">
        <v>15</v>
      </c>
      <c r="J1744" s="1" t="str">
        <f>"60/60"</f>
        <v>60/60</v>
      </c>
      <c r="K1744" s="1" t="str">
        <f>"2026-07-29 14:21:30"</f>
        <v>2026-07-29 14:21:30</v>
      </c>
      <c r="L1744" s="1" t="str">
        <f>"2023-10-04 10:30:58"</f>
        <v>2023-10-04 10:30:58</v>
      </c>
      <c r="M1744" s="1" t="s">
        <v>4</v>
      </c>
      <c r="N1744" s="1" t="s">
        <v>38</v>
      </c>
      <c r="O1744" s="1" t="s">
        <v>46</v>
      </c>
    </row>
    <row r="1745" spans="2:15" x14ac:dyDescent="0.3">
      <c r="B1745" s="1" t="s">
        <v>24</v>
      </c>
      <c r="C1745" s="1" t="str">
        <f t="shared" si="103"/>
        <v>5-2차</v>
      </c>
      <c r="D1745" s="1" t="str">
        <f>"0426B1015S"</f>
        <v>0426B1015S</v>
      </c>
      <c r="E1745" s="1" t="s">
        <v>10</v>
      </c>
      <c r="F1745" s="1" t="str">
        <f>"fde1:103:4:5796:0:0:0:2"</f>
        <v>fde1:103:4:5796:0:0:0:2</v>
      </c>
      <c r="G1745" s="1" t="str">
        <f>"0426B101"</f>
        <v>0426B101</v>
      </c>
      <c r="H1745" s="1" t="str">
        <f>"상면간 22L6"</f>
        <v>상면간 22L6</v>
      </c>
      <c r="I1745" s="1" t="s">
        <v>15</v>
      </c>
      <c r="J1745" s="1" t="str">
        <f>"55/55"</f>
        <v>55/55</v>
      </c>
      <c r="K1745" s="1" t="str">
        <f>"2026-07-29 14:20:34"</f>
        <v>2026-07-29 14:20:34</v>
      </c>
      <c r="L1745" s="1" t="str">
        <f>"2023-10-10 09:37:03"</f>
        <v>2023-10-10 09:37:03</v>
      </c>
      <c r="M1745" s="1" t="s">
        <v>4</v>
      </c>
      <c r="N1745" s="1" t="s">
        <v>38</v>
      </c>
      <c r="O1745" s="1" t="s">
        <v>46</v>
      </c>
    </row>
    <row r="1746" spans="2:15" x14ac:dyDescent="0.3">
      <c r="B1746" s="1" t="s">
        <v>24</v>
      </c>
      <c r="C1746" s="1" t="str">
        <f t="shared" si="103"/>
        <v>5-2차</v>
      </c>
      <c r="D1746" s="1" t="str">
        <f>"0426B1215M"</f>
        <v>0426B1215M</v>
      </c>
      <c r="E1746" s="1" t="s">
        <v>10</v>
      </c>
      <c r="F1746" s="1" t="str">
        <f>"fde1:103:4:5560:0:0:0:2"</f>
        <v>fde1:103:4:5560:0:0:0:2</v>
      </c>
      <c r="G1746" s="1" t="str">
        <f>"0426B121"</f>
        <v>0426B121</v>
      </c>
      <c r="H1746" s="1" t="str">
        <f>"상면간 19L2"</f>
        <v>상면간 19L2</v>
      </c>
      <c r="I1746" s="1" t="s">
        <v>15</v>
      </c>
      <c r="J1746" s="1" t="str">
        <f>"156/157"</f>
        <v>156/157</v>
      </c>
      <c r="K1746" s="1" t="str">
        <f>"2026-07-29 14:20:34"</f>
        <v>2026-07-29 14:20:34</v>
      </c>
      <c r="L1746" s="1" t="str">
        <f>"2024-02-28 17:43:01"</f>
        <v>2024-02-28 17:43:01</v>
      </c>
      <c r="M1746" s="1" t="s">
        <v>4</v>
      </c>
      <c r="N1746" s="1" t="s">
        <v>38</v>
      </c>
      <c r="O1746" s="1" t="s">
        <v>46</v>
      </c>
    </row>
    <row r="1747" spans="2:15" x14ac:dyDescent="0.3">
      <c r="B1747" s="1" t="s">
        <v>24</v>
      </c>
      <c r="C1747" s="1" t="str">
        <f t="shared" si="103"/>
        <v>5-2차</v>
      </c>
      <c r="D1747" s="1" t="str">
        <f>"0426B1315S"</f>
        <v>0426B1315S</v>
      </c>
      <c r="E1747" s="1" t="s">
        <v>10</v>
      </c>
      <c r="F1747" s="1" t="str">
        <f>"fde1:103:4:5775:0:0:0:2"</f>
        <v>fde1:103:4:5775:0:0:0:2</v>
      </c>
      <c r="G1747" s="1" t="str">
        <f>"0426B131"</f>
        <v>0426B131</v>
      </c>
      <c r="H1747" s="1" t="str">
        <f>"상면간 16L2R1"</f>
        <v>상면간 16L2R1</v>
      </c>
      <c r="I1747" s="1" t="s">
        <v>15</v>
      </c>
      <c r="J1747" s="1" t="str">
        <f>"48/48"</f>
        <v>48/48</v>
      </c>
      <c r="K1747" s="1" t="str">
        <f>"2026-07-29 14:21:24"</f>
        <v>2026-07-29 14:21:24</v>
      </c>
      <c r="L1747" s="1" t="str">
        <f>"2023-10-10 10:04:22"</f>
        <v>2023-10-10 10:04:22</v>
      </c>
      <c r="M1747" s="1" t="s">
        <v>4</v>
      </c>
      <c r="N1747" s="1" t="s">
        <v>38</v>
      </c>
      <c r="O1747" s="1" t="s">
        <v>46</v>
      </c>
    </row>
    <row r="1748" spans="2:15" x14ac:dyDescent="0.3">
      <c r="B1748" s="1" t="s">
        <v>24</v>
      </c>
      <c r="C1748" s="1" t="str">
        <f t="shared" si="103"/>
        <v>5-2차</v>
      </c>
      <c r="D1748" s="1" t="str">
        <f>"0426B1515M"</f>
        <v>0426B1515M</v>
      </c>
      <c r="E1748" s="1" t="s">
        <v>10</v>
      </c>
      <c r="F1748" s="1" t="str">
        <f>"fde1:103:4:5939:0:0:0:2"</f>
        <v>fde1:103:4:5939:0:0:0:2</v>
      </c>
      <c r="G1748" s="1" t="str">
        <f>"0426B151"</f>
        <v>0426B151</v>
      </c>
      <c r="H1748" s="1" t="str">
        <f>"상면간 16L2L1"</f>
        <v>상면간 16L2L1</v>
      </c>
      <c r="I1748" s="1" t="s">
        <v>15</v>
      </c>
      <c r="J1748" s="1" t="str">
        <f>"81/81"</f>
        <v>81/81</v>
      </c>
      <c r="K1748" s="1" t="str">
        <f>"2026-07-29 14:20:37"</f>
        <v>2026-07-29 14:20:37</v>
      </c>
      <c r="L1748" s="1" t="str">
        <f>"2023-10-04 11:04:03"</f>
        <v>2023-10-04 11:04:03</v>
      </c>
      <c r="M1748" s="1" t="s">
        <v>4</v>
      </c>
      <c r="N1748" s="1" t="s">
        <v>38</v>
      </c>
      <c r="O1748" s="1" t="s">
        <v>46</v>
      </c>
    </row>
    <row r="1749" spans="2:15" x14ac:dyDescent="0.3">
      <c r="B1749" s="1" t="s">
        <v>24</v>
      </c>
      <c r="C1749" s="1" t="str">
        <f t="shared" si="103"/>
        <v>5-2차</v>
      </c>
      <c r="D1749" s="1" t="str">
        <f>"0426B1615M"</f>
        <v>0426B1615M</v>
      </c>
      <c r="E1749" s="1" t="s">
        <v>10</v>
      </c>
      <c r="F1749" s="1" t="str">
        <f>"fde1:103:4:5717:0:0:0:2"</f>
        <v>fde1:103:4:5717:0:0:0:2</v>
      </c>
      <c r="G1749" s="1" t="str">
        <f>"0426B161"</f>
        <v>0426B161</v>
      </c>
      <c r="H1749" s="1" t="str">
        <f>"상면간 11C2"</f>
        <v>상면간 11C2</v>
      </c>
      <c r="I1749" s="1" t="s">
        <v>15</v>
      </c>
      <c r="J1749" s="1" t="str">
        <f>"86/86"</f>
        <v>86/86</v>
      </c>
      <c r="K1749" s="1" t="str">
        <f>"2026-07-29 14:21:24"</f>
        <v>2026-07-29 14:21:24</v>
      </c>
      <c r="L1749" s="1" t="str">
        <f>"2023-10-04 11:05:06"</f>
        <v>2023-10-04 11:05:06</v>
      </c>
      <c r="M1749" s="1" t="s">
        <v>4</v>
      </c>
      <c r="N1749" s="1" t="s">
        <v>38</v>
      </c>
      <c r="O1749" s="1" t="s">
        <v>46</v>
      </c>
    </row>
    <row r="1750" spans="2:15" x14ac:dyDescent="0.3">
      <c r="B1750" s="1" t="s">
        <v>24</v>
      </c>
      <c r="C1750" s="1" t="str">
        <f t="shared" si="103"/>
        <v>5-2차</v>
      </c>
      <c r="D1750" s="1" t="str">
        <f>"0426B1825M"</f>
        <v>0426B1825M</v>
      </c>
      <c r="E1750" s="1" t="s">
        <v>10</v>
      </c>
      <c r="F1750" s="1" t="str">
        <f>"fde1:103:4:5a63:0:0:0:2"</f>
        <v>fde1:103:4:5a63:0:0:0:2</v>
      </c>
      <c r="G1750" s="1" t="str">
        <f>"0426B182"</f>
        <v>0426B182</v>
      </c>
      <c r="H1750" s="1" t="str">
        <f>"상면간 11L3R2"</f>
        <v>상면간 11L3R2</v>
      </c>
      <c r="I1750" s="1" t="s">
        <v>15</v>
      </c>
      <c r="J1750" s="1" t="str">
        <f>"72/72"</f>
        <v>72/72</v>
      </c>
      <c r="K1750" s="1" t="str">
        <f>"2026-07-29 02:21:30"</f>
        <v>2026-07-29 02:21:30</v>
      </c>
      <c r="L1750" s="1" t="str">
        <f>"2023-10-04 11:07:04"</f>
        <v>2023-10-04 11:07:04</v>
      </c>
      <c r="M1750" s="1" t="s">
        <v>4</v>
      </c>
      <c r="N1750" s="1" t="s">
        <v>38</v>
      </c>
      <c r="O1750" s="1" t="s">
        <v>46</v>
      </c>
    </row>
    <row r="1751" spans="2:15" x14ac:dyDescent="0.3">
      <c r="B1751" s="1" t="s">
        <v>24</v>
      </c>
      <c r="C1751" s="1" t="str">
        <f>"6차"</f>
        <v>6차</v>
      </c>
      <c r="D1751" s="1" t="str">
        <f>"0426B1926S"</f>
        <v>0426B1926S</v>
      </c>
      <c r="E1751" s="1" t="s">
        <v>10</v>
      </c>
      <c r="F1751" s="1" t="str">
        <f>"fde1:103:4:c5c0:0:0:0:2"</f>
        <v>fde1:103:4:c5c0:0:0:0:2</v>
      </c>
      <c r="G1751" s="1" t="str">
        <f>"0426B192"</f>
        <v>0426B192</v>
      </c>
      <c r="H1751" s="1" t="str">
        <f>"상면간 11L5"</f>
        <v>상면간 11L5</v>
      </c>
      <c r="I1751" s="1" t="s">
        <v>15</v>
      </c>
      <c r="J1751" s="1" t="str">
        <f>"25/25"</f>
        <v>25/25</v>
      </c>
      <c r="K1751" s="1" t="str">
        <f>"2026-07-29 08:20:44"</f>
        <v>2026-07-29 08:20:44</v>
      </c>
      <c r="L1751" s="1" t="str">
        <f>"2024-09-26 19:43:23"</f>
        <v>2024-09-26 19:43:23</v>
      </c>
      <c r="M1751" s="1" t="s">
        <v>4</v>
      </c>
      <c r="N1751" s="1" t="s">
        <v>38</v>
      </c>
      <c r="O1751" s="1" t="s">
        <v>46</v>
      </c>
    </row>
    <row r="1752" spans="2:15" x14ac:dyDescent="0.3">
      <c r="B1752" s="1" t="s">
        <v>24</v>
      </c>
      <c r="C1752" s="1" t="str">
        <f>"6차"</f>
        <v>6차</v>
      </c>
      <c r="D1752" s="1" t="str">
        <f>"0426B2016S"</f>
        <v>0426B2016S</v>
      </c>
      <c r="E1752" s="1" t="s">
        <v>10</v>
      </c>
      <c r="F1752" s="1" t="str">
        <f>"fde1:103:4:c5c4:0:0:0:2"</f>
        <v>fde1:103:4:c5c4:0:0:0:2</v>
      </c>
      <c r="G1752" s="1" t="str">
        <f>"0426B201"</f>
        <v>0426B201</v>
      </c>
      <c r="H1752" s="1" t="str">
        <f>"사가정지 42R3"</f>
        <v>사가정지 42R3</v>
      </c>
      <c r="I1752" s="1" t="s">
        <v>15</v>
      </c>
      <c r="J1752" s="1" t="str">
        <f>"101/101"</f>
        <v>101/101</v>
      </c>
      <c r="K1752" s="1" t="str">
        <f>"2026-07-29 14:20:35"</f>
        <v>2026-07-29 14:20:35</v>
      </c>
      <c r="L1752" s="1" t="str">
        <f>"2024-09-26 13:38:09"</f>
        <v>2024-09-26 13:38:09</v>
      </c>
      <c r="M1752" s="1" t="s">
        <v>4</v>
      </c>
      <c r="N1752" s="1" t="s">
        <v>38</v>
      </c>
      <c r="O1752" s="1" t="s">
        <v>46</v>
      </c>
    </row>
    <row r="1753" spans="2:15" x14ac:dyDescent="0.3">
      <c r="B1753" s="1" t="s">
        <v>24</v>
      </c>
      <c r="C1753" s="1" t="str">
        <f>"6차"</f>
        <v>6차</v>
      </c>
      <c r="D1753" s="1" t="str">
        <f>"0426B2126S"</f>
        <v>0426B2126S</v>
      </c>
      <c r="E1753" s="1" t="s">
        <v>10</v>
      </c>
      <c r="F1753" s="1" t="str">
        <f>"fde1:103:4:9210:0:0:0:2"</f>
        <v>fde1:103:4:9210:0:0:0:2</v>
      </c>
      <c r="G1753" s="1" t="str">
        <f>"0426B212"</f>
        <v>0426B212</v>
      </c>
      <c r="H1753" s="1" t="str">
        <f>"상면간 19L4"</f>
        <v>상면간 19L4</v>
      </c>
      <c r="I1753" s="1" t="s">
        <v>15</v>
      </c>
      <c r="J1753" s="1" t="str">
        <f>"32/35"</f>
        <v>32/35</v>
      </c>
      <c r="K1753" s="1" t="str">
        <f>"2026-07-29 14:21:25"</f>
        <v>2026-07-29 14:21:25</v>
      </c>
      <c r="L1753" s="1" t="str">
        <f>"2025-02-28 17:51:59"</f>
        <v>2025-02-28 17:51:59</v>
      </c>
      <c r="M1753" s="1" t="s">
        <v>4</v>
      </c>
      <c r="N1753" s="1" t="s">
        <v>38</v>
      </c>
      <c r="O1753" s="1" t="s">
        <v>46</v>
      </c>
    </row>
    <row r="1754" spans="2:15" x14ac:dyDescent="0.3">
      <c r="B1754" s="1" t="s">
        <v>24</v>
      </c>
      <c r="C1754" s="1" t="str">
        <f>"5-2차"</f>
        <v>5-2차</v>
      </c>
      <c r="D1754" s="1" t="str">
        <f>"0426B2325S"</f>
        <v>0426B2325S</v>
      </c>
      <c r="E1754" s="1" t="s">
        <v>10</v>
      </c>
      <c r="F1754" s="1" t="str">
        <f>"fde1:103:4:59ec:0:0:0:2"</f>
        <v>fde1:103:4:59ec:0:0:0:2</v>
      </c>
      <c r="G1754" s="1" t="str">
        <f>"0426B232"</f>
        <v>0426B232</v>
      </c>
      <c r="H1754" s="1" t="str">
        <f>"상면간 19L3L3"</f>
        <v>상면간 19L3L3</v>
      </c>
      <c r="I1754" s="1" t="s">
        <v>15</v>
      </c>
      <c r="J1754" s="1" t="str">
        <f>"58/58"</f>
        <v>58/58</v>
      </c>
      <c r="K1754" s="1" t="str">
        <f>"2026-07-29 14:21:24"</f>
        <v>2026-07-29 14:21:24</v>
      </c>
      <c r="L1754" s="1" t="str">
        <f>"2023-10-10 10:44:48"</f>
        <v>2023-10-10 10:44:48</v>
      </c>
      <c r="M1754" s="1" t="s">
        <v>4</v>
      </c>
      <c r="N1754" s="1" t="s">
        <v>38</v>
      </c>
      <c r="O1754" s="1" t="s">
        <v>46</v>
      </c>
    </row>
    <row r="1755" spans="2:15" x14ac:dyDescent="0.3">
      <c r="B1755" s="1" t="s">
        <v>24</v>
      </c>
      <c r="C1755" s="1" t="str">
        <f>"5-2차"</f>
        <v>5-2차</v>
      </c>
      <c r="D1755" s="1" t="str">
        <f>"0426B2455M"</f>
        <v>0426B2455M</v>
      </c>
      <c r="E1755" s="1" t="s">
        <v>10</v>
      </c>
      <c r="F1755" s="1" t="str">
        <f>"fde3:102:1430:6200:0:0:0:6"</f>
        <v>fde3:102:1430:6200:0:0:0:6</v>
      </c>
      <c r="G1755" s="1" t="str">
        <f>"0426B245"</f>
        <v>0426B245</v>
      </c>
      <c r="H1755" s="1" t="str">
        <f>"상면간 16L3"</f>
        <v>상면간 16L3</v>
      </c>
      <c r="I1755" s="1" t="s">
        <v>15</v>
      </c>
      <c r="J1755" s="1" t="str">
        <f>"82/82"</f>
        <v>82/82</v>
      </c>
      <c r="K1755" s="1" t="str">
        <f>"2026-07-29 14:21:08"</f>
        <v>2026-07-29 14:21:08</v>
      </c>
      <c r="L1755" s="1" t="str">
        <f>"2023-09-21 16:43:31"</f>
        <v>2023-09-21 16:43:31</v>
      </c>
      <c r="M1755" s="1" t="s">
        <v>45</v>
      </c>
      <c r="N1755" s="1" t="s">
        <v>38</v>
      </c>
      <c r="O1755" s="1" t="s">
        <v>46</v>
      </c>
    </row>
    <row r="1756" spans="2:15" x14ac:dyDescent="0.3">
      <c r="B1756" s="1" t="s">
        <v>24</v>
      </c>
      <c r="C1756" s="1" t="str">
        <f>"5-2차"</f>
        <v>5-2차</v>
      </c>
      <c r="D1756" s="1" t="str">
        <f>"0426B2515S"</f>
        <v>0426B2515S</v>
      </c>
      <c r="E1756" s="1" t="s">
        <v>10</v>
      </c>
      <c r="F1756" s="1" t="str">
        <f>"fde3:102:1430:6300:0:0:0:2"</f>
        <v>fde3:102:1430:6300:0:0:0:2</v>
      </c>
      <c r="G1756" s="1" t="str">
        <f>"0426B251"</f>
        <v>0426B251</v>
      </c>
      <c r="H1756" s="1" t="str">
        <f>"상면간 11C5"</f>
        <v>상면간 11C5</v>
      </c>
      <c r="I1756" s="1" t="s">
        <v>15</v>
      </c>
      <c r="J1756" s="1" t="str">
        <f>"52/52"</f>
        <v>52/52</v>
      </c>
      <c r="K1756" s="1" t="str">
        <f>"2026-07-29 14:21:24"</f>
        <v>2026-07-29 14:21:24</v>
      </c>
      <c r="L1756" s="1" t="str">
        <f>"2023-09-21 16:23:21"</f>
        <v>2023-09-21 16:23:21</v>
      </c>
      <c r="M1756" s="1" t="s">
        <v>45</v>
      </c>
      <c r="N1756" s="1" t="s">
        <v>38</v>
      </c>
      <c r="O1756" s="1" t="s">
        <v>46</v>
      </c>
    </row>
    <row r="1757" spans="2:15" x14ac:dyDescent="0.3">
      <c r="B1757" s="1" t="s">
        <v>24</v>
      </c>
      <c r="C1757" s="1" t="str">
        <f>"5-2차"</f>
        <v>5-2차</v>
      </c>
      <c r="D1757" s="1" t="str">
        <f>"0426B2725M"</f>
        <v>0426B2725M</v>
      </c>
      <c r="E1757" s="1" t="s">
        <v>10</v>
      </c>
      <c r="F1757" s="1" t="str">
        <f>"fde1:103:4:58e7:0:0:0:2"</f>
        <v>fde1:103:4:58e7:0:0:0:2</v>
      </c>
      <c r="G1757" s="1" t="str">
        <f>"0426B272"</f>
        <v>0426B272</v>
      </c>
      <c r="H1757" s="1" t="str">
        <f>"상면간 11L3R4"</f>
        <v>상면간 11L3R4</v>
      </c>
      <c r="I1757" s="1" t="s">
        <v>15</v>
      </c>
      <c r="J1757" s="1" t="str">
        <f>"78/78"</f>
        <v>78/78</v>
      </c>
      <c r="K1757" s="1" t="str">
        <f>"2026-07-29 14:21:24"</f>
        <v>2026-07-29 14:21:24</v>
      </c>
      <c r="L1757" s="1" t="str">
        <f>"2023-10-04 11:21:37"</f>
        <v>2023-10-04 11:21:37</v>
      </c>
      <c r="M1757" s="1" t="s">
        <v>4</v>
      </c>
      <c r="N1757" s="1" t="s">
        <v>38</v>
      </c>
      <c r="O1757" s="1" t="s">
        <v>46</v>
      </c>
    </row>
    <row r="1758" spans="2:15" x14ac:dyDescent="0.3">
      <c r="B1758" s="1" t="s">
        <v>24</v>
      </c>
      <c r="C1758" s="1" t="str">
        <f>"6차"</f>
        <v>6차</v>
      </c>
      <c r="D1758" s="1" t="str">
        <f>"0426B3226S"</f>
        <v>0426B3226S</v>
      </c>
      <c r="E1758" s="1" t="s">
        <v>10</v>
      </c>
      <c r="F1758" s="1" t="str">
        <f>"fde1:103:4:c5e5:0:0:0:2"</f>
        <v>fde1:103:4:c5e5:0:0:0:2</v>
      </c>
      <c r="G1758" s="1" t="str">
        <f>"0426B322"</f>
        <v>0426B322</v>
      </c>
      <c r="H1758" s="1" t="str">
        <f>"상면간 19L5L1"</f>
        <v>상면간 19L5L1</v>
      </c>
      <c r="I1758" s="1" t="s">
        <v>15</v>
      </c>
      <c r="J1758" s="1" t="str">
        <f>"43/43"</f>
        <v>43/43</v>
      </c>
      <c r="K1758" s="1" t="str">
        <f>"2026-07-29 14:21:25"</f>
        <v>2026-07-29 14:21:25</v>
      </c>
      <c r="L1758" s="1" t="str">
        <f>"2024-11-20 10:33:30"</f>
        <v>2024-11-20 10:33:30</v>
      </c>
      <c r="M1758" s="1" t="s">
        <v>4</v>
      </c>
      <c r="N1758" s="1" t="s">
        <v>38</v>
      </c>
      <c r="O1758" s="1" t="s">
        <v>46</v>
      </c>
    </row>
    <row r="1759" spans="2:15" x14ac:dyDescent="0.3">
      <c r="B1759" s="1" t="s">
        <v>24</v>
      </c>
      <c r="C1759" s="1" t="str">
        <f>"5-2차"</f>
        <v>5-2차</v>
      </c>
      <c r="D1759" s="1" t="str">
        <f>"0426B3715S"</f>
        <v>0426B3715S</v>
      </c>
      <c r="E1759" s="1" t="s">
        <v>10</v>
      </c>
      <c r="F1759" s="1" t="str">
        <f>"fde1:103:4:58f3:0:0:0:2"</f>
        <v>fde1:103:4:58f3:0:0:0:2</v>
      </c>
      <c r="G1759" s="1" t="str">
        <f>"0426B371"</f>
        <v>0426B371</v>
      </c>
      <c r="H1759" s="1" t="str">
        <f>"상면간 11L3R5"</f>
        <v>상면간 11L3R5</v>
      </c>
      <c r="I1759" s="1" t="s">
        <v>15</v>
      </c>
      <c r="J1759" s="1" t="str">
        <f>"65/65"</f>
        <v>65/65</v>
      </c>
      <c r="K1759" s="1" t="str">
        <f>"2026-07-29 14:20:35"</f>
        <v>2026-07-29 14:20:35</v>
      </c>
      <c r="L1759" s="1" t="str">
        <f>"2023-10-10 11:09:45"</f>
        <v>2023-10-10 11:09:45</v>
      </c>
      <c r="M1759" s="1" t="s">
        <v>4</v>
      </c>
      <c r="N1759" s="1" t="s">
        <v>38</v>
      </c>
      <c r="O1759" s="1" t="s">
        <v>46</v>
      </c>
    </row>
    <row r="1760" spans="2:15" x14ac:dyDescent="0.3">
      <c r="B1760" s="1" t="s">
        <v>24</v>
      </c>
      <c r="C1760" s="1" t="str">
        <f>"5-2차"</f>
        <v>5-2차</v>
      </c>
      <c r="D1760" s="1" t="str">
        <f>"0426B3835M"</f>
        <v>0426B3835M</v>
      </c>
      <c r="E1760" s="1" t="s">
        <v>10</v>
      </c>
      <c r="F1760" s="1" t="str">
        <f>"fde1:103:4:5899:0:0:0:2"</f>
        <v>fde1:103:4:5899:0:0:0:2</v>
      </c>
      <c r="G1760" s="1" t="str">
        <f>"0426B383"</f>
        <v>0426B383</v>
      </c>
      <c r="H1760" s="1" t="str">
        <f>"상면간 11L3R4L4"</f>
        <v>상면간 11L3R4L4</v>
      </c>
      <c r="I1760" s="1" t="s">
        <v>15</v>
      </c>
      <c r="J1760" s="1" t="str">
        <f>"67/67"</f>
        <v>67/67</v>
      </c>
      <c r="K1760" s="1" t="str">
        <f>"2026-07-29 14:20:35"</f>
        <v>2026-07-29 14:20:35</v>
      </c>
      <c r="L1760" s="1" t="str">
        <f>"2023-10-04 14:33:50"</f>
        <v>2023-10-04 14:33:50</v>
      </c>
      <c r="M1760" s="1" t="s">
        <v>4</v>
      </c>
      <c r="N1760" s="1" t="s">
        <v>38</v>
      </c>
      <c r="O1760" s="1" t="s">
        <v>46</v>
      </c>
    </row>
    <row r="1761" spans="2:15" x14ac:dyDescent="0.3">
      <c r="B1761" s="1" t="s">
        <v>24</v>
      </c>
      <c r="C1761" s="1" t="str">
        <f>"5-2차"</f>
        <v>5-2차</v>
      </c>
      <c r="D1761" s="1" t="str">
        <f>"0426B3915M"</f>
        <v>0426B3915M</v>
      </c>
      <c r="E1761" s="1" t="s">
        <v>10</v>
      </c>
      <c r="F1761" s="1" t="str">
        <f>"fde1:103:4:59bb:0:0:0:2"</f>
        <v>fde1:103:4:59bb:0:0:0:2</v>
      </c>
      <c r="G1761" s="1" t="str">
        <f>"0426B391"</f>
        <v>0426B391</v>
      </c>
      <c r="H1761" s="1" t="str">
        <f>"상면간 11L3R2L3"</f>
        <v>상면간 11L3R2L3</v>
      </c>
      <c r="I1761" s="1" t="s">
        <v>15</v>
      </c>
      <c r="J1761" s="1" t="str">
        <f>"57/57"</f>
        <v>57/57</v>
      </c>
      <c r="K1761" s="1" t="str">
        <f>"2026-07-29 14:20:35"</f>
        <v>2026-07-29 14:20:35</v>
      </c>
      <c r="L1761" s="1" t="str">
        <f>"2023-10-27 07:28:59"</f>
        <v>2023-10-27 07:28:59</v>
      </c>
      <c r="M1761" s="1" t="s">
        <v>4</v>
      </c>
      <c r="N1761" s="1" t="s">
        <v>38</v>
      </c>
      <c r="O1761" s="1" t="s">
        <v>46</v>
      </c>
    </row>
    <row r="1762" spans="2:15" x14ac:dyDescent="0.3">
      <c r="B1762" s="1" t="s">
        <v>24</v>
      </c>
      <c r="C1762" s="1" t="str">
        <f>"5-1차"</f>
        <v>5-1차</v>
      </c>
      <c r="D1762" s="1" t="str">
        <f>"0426B4015M"</f>
        <v>0426B4015M</v>
      </c>
      <c r="E1762" s="1" t="s">
        <v>10</v>
      </c>
      <c r="F1762" s="1" t="str">
        <f>"fde2:104:0:155:0:0:0:2"</f>
        <v>fde2:104:0:155:0:0:0:2</v>
      </c>
      <c r="G1762" s="1" t="str">
        <f>"0426B401"</f>
        <v>0426B401</v>
      </c>
      <c r="H1762" s="1" t="str">
        <f>"용마간 18"</f>
        <v>용마간 18</v>
      </c>
      <c r="I1762" s="1" t="s">
        <v>15</v>
      </c>
      <c r="J1762" s="1" t="str">
        <f>"62/62"</f>
        <v>62/62</v>
      </c>
      <c r="K1762" s="1" t="str">
        <f>"2026-07-29 14:20:46"</f>
        <v>2026-07-29 14:20:46</v>
      </c>
      <c r="L1762" s="1" t="str">
        <f>"2022-09-28 15:06:36"</f>
        <v>2022-09-28 15:06:36</v>
      </c>
      <c r="M1762" s="1" t="s">
        <v>42</v>
      </c>
      <c r="N1762" s="1" t="s">
        <v>38</v>
      </c>
      <c r="O1762" s="1" t="s">
        <v>46</v>
      </c>
    </row>
    <row r="1763" spans="2:15" x14ac:dyDescent="0.3">
      <c r="B1763" s="1" t="s">
        <v>24</v>
      </c>
      <c r="C1763" s="1" t="str">
        <f t="shared" ref="C1763:C1778" si="104">"5-2차"</f>
        <v>5-2차</v>
      </c>
      <c r="D1763" s="1" t="str">
        <f>"0426B4635M"</f>
        <v>0426B4635M</v>
      </c>
      <c r="E1763" s="1" t="s">
        <v>10</v>
      </c>
      <c r="F1763" s="1" t="str">
        <f>"fde1:103:4:58ab:0:0:0:2"</f>
        <v>fde1:103:4:58ab:0:0:0:2</v>
      </c>
      <c r="G1763" s="1" t="str">
        <f>"0426B463"</f>
        <v>0426B463</v>
      </c>
      <c r="H1763" s="1" t="str">
        <f>"상면간 11L3R9"</f>
        <v>상면간 11L3R9</v>
      </c>
      <c r="I1763" s="1" t="s">
        <v>15</v>
      </c>
      <c r="J1763" s="1" t="str">
        <f>"58/58"</f>
        <v>58/58</v>
      </c>
      <c r="K1763" s="1" t="str">
        <f>"2026-07-29 14:20:35"</f>
        <v>2026-07-29 14:20:35</v>
      </c>
      <c r="L1763" s="1" t="str">
        <f>"2023-10-04 14:42:41"</f>
        <v>2023-10-04 14:42:41</v>
      </c>
      <c r="M1763" s="1" t="s">
        <v>4</v>
      </c>
      <c r="N1763" s="1" t="s">
        <v>38</v>
      </c>
      <c r="O1763" s="1" t="s">
        <v>46</v>
      </c>
    </row>
    <row r="1764" spans="2:15" x14ac:dyDescent="0.3">
      <c r="B1764" s="1" t="s">
        <v>24</v>
      </c>
      <c r="C1764" s="1" t="str">
        <f t="shared" si="104"/>
        <v>5-2차</v>
      </c>
      <c r="D1764" s="1" t="str">
        <f>"0426B4715M"</f>
        <v>0426B4715M</v>
      </c>
      <c r="E1764" s="1" t="s">
        <v>10</v>
      </c>
      <c r="F1764" s="1" t="str">
        <f>"fde1:103:4:57e4:0:0:0:2"</f>
        <v>fde1:103:4:57e4:0:0:0:2</v>
      </c>
      <c r="G1764" s="1" t="str">
        <f>"0426B471"</f>
        <v>0426B471</v>
      </c>
      <c r="H1764" s="1" t="str">
        <f>"상면간 11L3R6L1"</f>
        <v>상면간 11L3R6L1</v>
      </c>
      <c r="I1764" s="1" t="s">
        <v>15</v>
      </c>
      <c r="J1764" s="1" t="str">
        <f>"69/69"</f>
        <v>69/69</v>
      </c>
      <c r="K1764" s="1" t="str">
        <f>"2026-07-29 14:20:45"</f>
        <v>2026-07-29 14:20:45</v>
      </c>
      <c r="L1764" s="1" t="str">
        <f>"2023-10-04 14:52:12"</f>
        <v>2023-10-04 14:52:12</v>
      </c>
      <c r="M1764" s="1" t="s">
        <v>4</v>
      </c>
      <c r="N1764" s="1" t="s">
        <v>38</v>
      </c>
      <c r="O1764" s="1" t="s">
        <v>46</v>
      </c>
    </row>
    <row r="1765" spans="2:15" x14ac:dyDescent="0.3">
      <c r="B1765" s="1" t="s">
        <v>24</v>
      </c>
      <c r="C1765" s="1" t="str">
        <f t="shared" si="104"/>
        <v>5-2차</v>
      </c>
      <c r="D1765" s="1" t="str">
        <f>"0426B4725S"</f>
        <v>0426B4725S</v>
      </c>
      <c r="E1765" s="1" t="s">
        <v>10</v>
      </c>
      <c r="F1765" s="1" t="str">
        <f>"fde1:103:4:578b:0:0:0:2"</f>
        <v>fde1:103:4:578b:0:0:0:2</v>
      </c>
      <c r="G1765" s="1" t="str">
        <f>"0426B472"</f>
        <v>0426B472</v>
      </c>
      <c r="H1765" s="1" t="str">
        <f>"상면간 11L3R6L2"</f>
        <v>상면간 11L3R6L2</v>
      </c>
      <c r="I1765" s="1" t="s">
        <v>15</v>
      </c>
      <c r="J1765" s="1" t="str">
        <f>"79/79"</f>
        <v>79/79</v>
      </c>
      <c r="K1765" s="1" t="str">
        <f>"2026-07-29 14:20:36"</f>
        <v>2026-07-29 14:20:36</v>
      </c>
      <c r="L1765" s="1" t="str">
        <f>"2023-10-05 10:01:01"</f>
        <v>2023-10-05 10:01:01</v>
      </c>
      <c r="M1765" s="1" t="s">
        <v>4</v>
      </c>
      <c r="N1765" s="1" t="s">
        <v>38</v>
      </c>
      <c r="O1765" s="1" t="s">
        <v>46</v>
      </c>
    </row>
    <row r="1766" spans="2:15" x14ac:dyDescent="0.3">
      <c r="B1766" s="1" t="s">
        <v>24</v>
      </c>
      <c r="C1766" s="1" t="str">
        <f t="shared" si="104"/>
        <v>5-2차</v>
      </c>
      <c r="D1766" s="1" t="str">
        <f>"0426B4815S"</f>
        <v>0426B4815S</v>
      </c>
      <c r="E1766" s="1" t="s">
        <v>10</v>
      </c>
      <c r="F1766" s="1" t="str">
        <f>"fde1:103:4:573e:0:0:0:2"</f>
        <v>fde1:103:4:573e:0:0:0:2</v>
      </c>
      <c r="G1766" s="1" t="str">
        <f>"0426B481"</f>
        <v>0426B481</v>
      </c>
      <c r="H1766" s="1" t="str">
        <f>"상면간 11L3R12L3"</f>
        <v>상면간 11L3R12L3</v>
      </c>
      <c r="I1766" s="1" t="s">
        <v>15</v>
      </c>
      <c r="J1766" s="1" t="str">
        <f>"60/60"</f>
        <v>60/60</v>
      </c>
      <c r="K1766" s="1" t="str">
        <f>"2026-07-29 14:21:25"</f>
        <v>2026-07-29 14:21:25</v>
      </c>
      <c r="L1766" s="1" t="str">
        <f>"2023-10-05 12:12:36"</f>
        <v>2023-10-05 12:12:36</v>
      </c>
      <c r="M1766" s="1" t="s">
        <v>4</v>
      </c>
      <c r="N1766" s="1" t="s">
        <v>38</v>
      </c>
      <c r="O1766" s="1" t="s">
        <v>46</v>
      </c>
    </row>
    <row r="1767" spans="2:15" x14ac:dyDescent="0.3">
      <c r="B1767" s="1" t="s">
        <v>24</v>
      </c>
      <c r="C1767" s="1" t="str">
        <f t="shared" si="104"/>
        <v>5-2차</v>
      </c>
      <c r="D1767" s="1" t="str">
        <f>"0426B4915M"</f>
        <v>0426B4915M</v>
      </c>
      <c r="E1767" s="1" t="s">
        <v>10</v>
      </c>
      <c r="F1767" s="1" t="str">
        <f>"fde1:103:4:579d:0:0:0:2"</f>
        <v>fde1:103:4:579d:0:0:0:2</v>
      </c>
      <c r="G1767" s="1" t="str">
        <f>"0426B491"</f>
        <v>0426B491</v>
      </c>
      <c r="H1767" s="1" t="str">
        <f>"상면간 11L3R12L4"</f>
        <v>상면간 11L3R12L4</v>
      </c>
      <c r="I1767" s="1" t="s">
        <v>15</v>
      </c>
      <c r="J1767" s="1" t="str">
        <f>"54/54"</f>
        <v>54/54</v>
      </c>
      <c r="K1767" s="1" t="str">
        <f>"2026-07-29 14:20:36"</f>
        <v>2026-07-29 14:20:36</v>
      </c>
      <c r="L1767" s="1" t="str">
        <f>"2023-10-05 14:18:55"</f>
        <v>2023-10-05 14:18:55</v>
      </c>
      <c r="M1767" s="1" t="s">
        <v>4</v>
      </c>
      <c r="N1767" s="1" t="s">
        <v>38</v>
      </c>
      <c r="O1767" s="1" t="s">
        <v>46</v>
      </c>
    </row>
    <row r="1768" spans="2:15" x14ac:dyDescent="0.3">
      <c r="B1768" s="1" t="s">
        <v>24</v>
      </c>
      <c r="C1768" s="1" t="str">
        <f t="shared" si="104"/>
        <v>5-2차</v>
      </c>
      <c r="D1768" s="1" t="str">
        <f>"0426B5715M"</f>
        <v>0426B5715M</v>
      </c>
      <c r="E1768" s="1" t="s">
        <v>10</v>
      </c>
      <c r="F1768" s="1" t="str">
        <f>"fde1:103:4:577e:0:0:0:2"</f>
        <v>fde1:103:4:577e:0:0:0:2</v>
      </c>
      <c r="G1768" s="1" t="str">
        <f>"0426B571"</f>
        <v>0426B571</v>
      </c>
      <c r="H1768" s="1" t="str">
        <f>"상면간 11L3R12L1"</f>
        <v>상면간 11L3R12L1</v>
      </c>
      <c r="I1768" s="1" t="s">
        <v>15</v>
      </c>
      <c r="J1768" s="1" t="str">
        <f>"74/74"</f>
        <v>74/74</v>
      </c>
      <c r="K1768" s="1" t="str">
        <f>"2026-07-29 14:20:36"</f>
        <v>2026-07-29 14:20:36</v>
      </c>
      <c r="L1768" s="1" t="str">
        <f>"2023-10-05 14:20:11"</f>
        <v>2023-10-05 14:20:11</v>
      </c>
      <c r="M1768" s="1" t="s">
        <v>4</v>
      </c>
      <c r="N1768" s="1" t="s">
        <v>38</v>
      </c>
      <c r="O1768" s="1" t="s">
        <v>46</v>
      </c>
    </row>
    <row r="1769" spans="2:15" x14ac:dyDescent="0.3">
      <c r="B1769" s="1" t="s">
        <v>24</v>
      </c>
      <c r="C1769" s="1" t="str">
        <f t="shared" si="104"/>
        <v>5-2차</v>
      </c>
      <c r="D1769" s="1" t="str">
        <f>"0426B5915M"</f>
        <v>0426B5915M</v>
      </c>
      <c r="E1769" s="1" t="s">
        <v>10</v>
      </c>
      <c r="F1769" s="1" t="str">
        <f>"fde1:103:4:57ce:0:0:0:2"</f>
        <v>fde1:103:4:57ce:0:0:0:2</v>
      </c>
      <c r="G1769" s="1" t="str">
        <f>"0426B591"</f>
        <v>0426B591</v>
      </c>
      <c r="H1769" s="1" t="str">
        <f>"사가정지 12R2L4R3"</f>
        <v>사가정지 12R2L4R3</v>
      </c>
      <c r="I1769" s="1" t="s">
        <v>15</v>
      </c>
      <c r="J1769" s="1" t="str">
        <f>"88/88"</f>
        <v>88/88</v>
      </c>
      <c r="K1769" s="1" t="str">
        <f>"2026-07-29 14:20:36"</f>
        <v>2026-07-29 14:20:36</v>
      </c>
      <c r="L1769" s="1" t="str">
        <f>"2023-10-05 14:21:17"</f>
        <v>2023-10-05 14:21:17</v>
      </c>
      <c r="M1769" s="1" t="s">
        <v>4</v>
      </c>
      <c r="N1769" s="1" t="s">
        <v>38</v>
      </c>
      <c r="O1769" s="1" t="s">
        <v>46</v>
      </c>
    </row>
    <row r="1770" spans="2:15" x14ac:dyDescent="0.3">
      <c r="B1770" s="1" t="s">
        <v>24</v>
      </c>
      <c r="C1770" s="1" t="str">
        <f t="shared" si="104"/>
        <v>5-2차</v>
      </c>
      <c r="D1770" s="1" t="str">
        <f>"0426B6825S"</f>
        <v>0426B6825S</v>
      </c>
      <c r="E1770" s="1" t="s">
        <v>10</v>
      </c>
      <c r="F1770" s="1" t="str">
        <f>"fde1:103:4:5761:0:0:0:2"</f>
        <v>fde1:103:4:5761:0:0:0:2</v>
      </c>
      <c r="G1770" s="1" t="str">
        <f>"0426B682"</f>
        <v>0426B682</v>
      </c>
      <c r="H1770" s="1" t="str">
        <f>"상면간 11L3R14L2"</f>
        <v>상면간 11L3R14L2</v>
      </c>
      <c r="I1770" s="1" t="s">
        <v>15</v>
      </c>
      <c r="J1770" s="1" t="str">
        <f>"80/80"</f>
        <v>80/80</v>
      </c>
      <c r="K1770" s="1" t="str">
        <f>"2026-07-29 14:20:46"</f>
        <v>2026-07-29 14:20:46</v>
      </c>
      <c r="L1770" s="1" t="str">
        <f>"2023-10-10 11:11:23"</f>
        <v>2023-10-10 11:11:23</v>
      </c>
      <c r="M1770" s="1" t="s">
        <v>4</v>
      </c>
      <c r="N1770" s="1" t="s">
        <v>38</v>
      </c>
      <c r="O1770" s="1" t="s">
        <v>46</v>
      </c>
    </row>
    <row r="1771" spans="2:15" x14ac:dyDescent="0.3">
      <c r="B1771" s="1" t="s">
        <v>24</v>
      </c>
      <c r="C1771" s="1" t="str">
        <f t="shared" si="104"/>
        <v>5-2차</v>
      </c>
      <c r="D1771" s="1" t="str">
        <f>"0426B6915M"</f>
        <v>0426B6915M</v>
      </c>
      <c r="E1771" s="1" t="s">
        <v>10</v>
      </c>
      <c r="F1771" s="1" t="str">
        <f>"fde1:103:4:571b:0:0:0:2"</f>
        <v>fde1:103:4:571b:0:0:0:2</v>
      </c>
      <c r="G1771" s="1" t="str">
        <f>"0426B691"</f>
        <v>0426B691</v>
      </c>
      <c r="H1771" s="1" t="str">
        <f>"사가정지 12R2L6R1"</f>
        <v>사가정지 12R2L6R1</v>
      </c>
      <c r="I1771" s="1" t="s">
        <v>15</v>
      </c>
      <c r="J1771" s="1" t="str">
        <f>"104/104"</f>
        <v>104/104</v>
      </c>
      <c r="K1771" s="1" t="str">
        <f>"2026-07-29 14:21:25"</f>
        <v>2026-07-29 14:21:25</v>
      </c>
      <c r="L1771" s="1" t="str">
        <f>"2023-10-05 15:27:24"</f>
        <v>2023-10-05 15:27:24</v>
      </c>
      <c r="M1771" s="1" t="s">
        <v>4</v>
      </c>
      <c r="N1771" s="1" t="s">
        <v>38</v>
      </c>
      <c r="O1771" s="1" t="s">
        <v>46</v>
      </c>
    </row>
    <row r="1772" spans="2:15" x14ac:dyDescent="0.3">
      <c r="B1772" s="1" t="s">
        <v>24</v>
      </c>
      <c r="C1772" s="1" t="str">
        <f t="shared" si="104"/>
        <v>5-2차</v>
      </c>
      <c r="D1772" s="1" t="str">
        <f>"0426B7915S"</f>
        <v>0426B7915S</v>
      </c>
      <c r="E1772" s="1" t="s">
        <v>10</v>
      </c>
      <c r="F1772" s="1" t="str">
        <f>"fde1:103:4:5723:0:0:0:2"</f>
        <v>fde1:103:4:5723:0:0:0:2</v>
      </c>
      <c r="G1772" s="1" t="str">
        <f>"0426B791"</f>
        <v>0426B791</v>
      </c>
      <c r="H1772" s="1" t="str">
        <f>"사가정지 12R2L7"</f>
        <v>사가정지 12R2L7</v>
      </c>
      <c r="I1772" s="1" t="s">
        <v>15</v>
      </c>
      <c r="J1772" s="1" t="str">
        <f>"84/84"</f>
        <v>84/84</v>
      </c>
      <c r="K1772" s="1" t="str">
        <f>"2026-07-29 14:20:38"</f>
        <v>2026-07-29 14:20:38</v>
      </c>
      <c r="L1772" s="1" t="str">
        <f>"2023-10-10 11:23:50"</f>
        <v>2023-10-10 11:23:50</v>
      </c>
      <c r="M1772" s="1" t="s">
        <v>4</v>
      </c>
      <c r="N1772" s="1" t="s">
        <v>38</v>
      </c>
      <c r="O1772" s="1" t="s">
        <v>46</v>
      </c>
    </row>
    <row r="1773" spans="2:15" x14ac:dyDescent="0.3">
      <c r="B1773" s="1" t="s">
        <v>24</v>
      </c>
      <c r="C1773" s="1" t="str">
        <f t="shared" si="104"/>
        <v>5-2차</v>
      </c>
      <c r="D1773" s="1" t="str">
        <f>"0426B8915S"</f>
        <v>0426B8915S</v>
      </c>
      <c r="E1773" s="1" t="s">
        <v>10</v>
      </c>
      <c r="F1773" s="1" t="str">
        <f>"fde1:103:4:5810:0:0:0:2"</f>
        <v>fde1:103:4:5810:0:0:0:2</v>
      </c>
      <c r="G1773" s="1" t="str">
        <f>"0426B891"</f>
        <v>0426B891</v>
      </c>
      <c r="H1773" s="1" t="str">
        <f>"사가정지 29R2"</f>
        <v>사가정지 29R2</v>
      </c>
      <c r="I1773" s="1" t="s">
        <v>15</v>
      </c>
      <c r="J1773" s="1" t="str">
        <f>"67/67"</f>
        <v>67/67</v>
      </c>
      <c r="K1773" s="1" t="str">
        <f>"2026-07-29 14:20:22"</f>
        <v>2026-07-29 14:20:22</v>
      </c>
      <c r="L1773" s="1" t="str">
        <f>"2023-10-10 11:23:46"</f>
        <v>2023-10-10 11:23:46</v>
      </c>
      <c r="M1773" s="1" t="s">
        <v>4</v>
      </c>
      <c r="N1773" s="1" t="s">
        <v>38</v>
      </c>
      <c r="O1773" s="1" t="s">
        <v>46</v>
      </c>
    </row>
    <row r="1774" spans="2:15" x14ac:dyDescent="0.3">
      <c r="B1774" s="1" t="s">
        <v>24</v>
      </c>
      <c r="C1774" s="1" t="str">
        <f t="shared" si="104"/>
        <v>5-2차</v>
      </c>
      <c r="D1774" s="1" t="str">
        <f>"0426B9815M"</f>
        <v>0426B9815M</v>
      </c>
      <c r="E1774" s="1" t="s">
        <v>10</v>
      </c>
      <c r="F1774" s="1" t="str">
        <f>"fde1:103:4:5711:0:0:0:2"</f>
        <v>fde1:103:4:5711:0:0:0:2</v>
      </c>
      <c r="G1774" s="1" t="str">
        <f>"0426B981"</f>
        <v>0426B981</v>
      </c>
      <c r="H1774" s="1" t="str">
        <f>"사가정지 29"</f>
        <v>사가정지 29</v>
      </c>
      <c r="I1774" s="1" t="s">
        <v>15</v>
      </c>
      <c r="J1774" s="1" t="str">
        <f>"77/77"</f>
        <v>77/77</v>
      </c>
      <c r="K1774" s="1" t="str">
        <f>"2026-07-29 14:20:56"</f>
        <v>2026-07-29 14:20:56</v>
      </c>
      <c r="L1774" s="1" t="str">
        <f>"2023-10-05 16:53:13"</f>
        <v>2023-10-05 16:53:13</v>
      </c>
      <c r="M1774" s="1" t="s">
        <v>4</v>
      </c>
      <c r="N1774" s="1" t="s">
        <v>38</v>
      </c>
      <c r="O1774" s="1" t="s">
        <v>46</v>
      </c>
    </row>
    <row r="1775" spans="2:15" x14ac:dyDescent="0.3">
      <c r="B1775" s="1" t="s">
        <v>24</v>
      </c>
      <c r="C1775" s="1" t="str">
        <f t="shared" si="104"/>
        <v>5-2차</v>
      </c>
      <c r="D1775" s="1" t="str">
        <f>"0426B9825M"</f>
        <v>0426B9825M</v>
      </c>
      <c r="E1775" s="1" t="s">
        <v>10</v>
      </c>
      <c r="F1775" s="1" t="str">
        <f>"fde1:103:4:576a:0:0:0:2"</f>
        <v>fde1:103:4:576a:0:0:0:2</v>
      </c>
      <c r="G1775" s="1" t="str">
        <f>"0426B982"</f>
        <v>0426B982</v>
      </c>
      <c r="H1775" s="1" t="str">
        <f>"사가정지 30"</f>
        <v>사가정지 30</v>
      </c>
      <c r="I1775" s="1" t="s">
        <v>15</v>
      </c>
      <c r="J1775" s="1" t="str">
        <f>"43/43"</f>
        <v>43/43</v>
      </c>
      <c r="K1775" s="1" t="str">
        <f>"2026-07-29 14:20:38"</f>
        <v>2026-07-29 14:20:38</v>
      </c>
      <c r="L1775" s="1" t="str">
        <f>"2023-10-05 16:54:17"</f>
        <v>2023-10-05 16:54:17</v>
      </c>
      <c r="M1775" s="1" t="s">
        <v>4</v>
      </c>
      <c r="N1775" s="1" t="s">
        <v>38</v>
      </c>
      <c r="O1775" s="1" t="s">
        <v>46</v>
      </c>
    </row>
    <row r="1776" spans="2:15" x14ac:dyDescent="0.3">
      <c r="B1776" s="1" t="s">
        <v>24</v>
      </c>
      <c r="C1776" s="1" t="str">
        <f t="shared" si="104"/>
        <v>5-2차</v>
      </c>
      <c r="D1776" s="1" t="str">
        <f>"0426C1335M"</f>
        <v>0426C1335M</v>
      </c>
      <c r="E1776" s="1" t="s">
        <v>10</v>
      </c>
      <c r="F1776" s="1" t="str">
        <f>"fde1:103:4:57f8:0:0:0:2"</f>
        <v>fde1:103:4:57f8:0:0:0:2</v>
      </c>
      <c r="G1776" s="1" t="str">
        <f>"0426C133"</f>
        <v>0426C133</v>
      </c>
      <c r="H1776" s="1" t="str">
        <f>"덕수간 22"</f>
        <v>덕수간 22</v>
      </c>
      <c r="I1776" s="1" t="s">
        <v>15</v>
      </c>
      <c r="J1776" s="1" t="str">
        <f>"36/36"</f>
        <v>36/36</v>
      </c>
      <c r="K1776" s="1" t="str">
        <f>"2026-07-29 14:20:35"</f>
        <v>2026-07-29 14:20:35</v>
      </c>
      <c r="L1776" s="1" t="str">
        <f>"2023-10-05 17:11:12"</f>
        <v>2023-10-05 17:11:12</v>
      </c>
      <c r="M1776" s="1" t="s">
        <v>4</v>
      </c>
      <c r="N1776" s="1" t="s">
        <v>38</v>
      </c>
      <c r="O1776" s="1" t="s">
        <v>46</v>
      </c>
    </row>
    <row r="1777" spans="2:15" x14ac:dyDescent="0.3">
      <c r="B1777" s="1" t="s">
        <v>24</v>
      </c>
      <c r="C1777" s="1" t="str">
        <f t="shared" si="104"/>
        <v>5-2차</v>
      </c>
      <c r="D1777" s="1" t="str">
        <f>"0426C1415M"</f>
        <v>0426C1415M</v>
      </c>
      <c r="E1777" s="1" t="s">
        <v>10</v>
      </c>
      <c r="F1777" s="1" t="str">
        <f>"fde1:103:4:5809:0:0:0:2"</f>
        <v>fde1:103:4:5809:0:0:0:2</v>
      </c>
      <c r="G1777" s="1" t="str">
        <f>"0426C141"</f>
        <v>0426C141</v>
      </c>
      <c r="H1777" s="1" t="str">
        <f>"덕수간 23"</f>
        <v>덕수간 23</v>
      </c>
      <c r="I1777" s="1" t="s">
        <v>15</v>
      </c>
      <c r="J1777" s="1" t="str">
        <f>"30/30"</f>
        <v>30/30</v>
      </c>
      <c r="K1777" s="1" t="str">
        <f>"2026-07-29 14:20:22"</f>
        <v>2026-07-29 14:20:22</v>
      </c>
      <c r="L1777" s="1" t="str">
        <f>"2023-10-05 17:13:37"</f>
        <v>2023-10-05 17:13:37</v>
      </c>
      <c r="M1777" s="1" t="s">
        <v>4</v>
      </c>
      <c r="N1777" s="1" t="s">
        <v>38</v>
      </c>
      <c r="O1777" s="1" t="s">
        <v>46</v>
      </c>
    </row>
    <row r="1778" spans="2:15" x14ac:dyDescent="0.3">
      <c r="B1778" s="1" t="s">
        <v>24</v>
      </c>
      <c r="C1778" s="1" t="str">
        <f t="shared" si="104"/>
        <v>5-2차</v>
      </c>
      <c r="D1778" s="1" t="str">
        <f>"0426C1715S"</f>
        <v>0426C1715S</v>
      </c>
      <c r="E1778" s="1" t="s">
        <v>10</v>
      </c>
      <c r="F1778" s="1" t="str">
        <f>"fde1:103:4:592c:0:0:0:2"</f>
        <v>fde1:103:4:592c:0:0:0:2</v>
      </c>
      <c r="G1778" s="1" t="str">
        <f>"0426C171"</f>
        <v>0426C171</v>
      </c>
      <c r="H1778" s="1" t="str">
        <f>"덕수간 26"</f>
        <v>덕수간 26</v>
      </c>
      <c r="I1778" s="1" t="s">
        <v>15</v>
      </c>
      <c r="J1778" s="1" t="str">
        <f>"45/45"</f>
        <v>45/45</v>
      </c>
      <c r="K1778" s="1" t="str">
        <f>"2026-07-29 14:21:26"</f>
        <v>2026-07-29 14:21:26</v>
      </c>
      <c r="L1778" s="1" t="str">
        <f>"2023-10-10 13:20:44"</f>
        <v>2023-10-10 13:20:44</v>
      </c>
      <c r="M1778" s="1" t="s">
        <v>4</v>
      </c>
      <c r="N1778" s="1" t="s">
        <v>38</v>
      </c>
      <c r="O1778" s="1" t="s">
        <v>46</v>
      </c>
    </row>
    <row r="1779" spans="2:15" x14ac:dyDescent="0.3">
      <c r="B1779" s="1" t="s">
        <v>24</v>
      </c>
      <c r="C1779" s="1" t="str">
        <f>"2차"</f>
        <v>2차</v>
      </c>
      <c r="D1779" s="1" t="str">
        <f>"0426C18429"</f>
        <v>0426C18429</v>
      </c>
      <c r="E1779" s="1" t="s">
        <v>14</v>
      </c>
      <c r="F1779" s="1" t="str">
        <f>"10.89.246.34"</f>
        <v>10.89.246.34</v>
      </c>
      <c r="G1779" s="1" t="str">
        <f>"0426C184"</f>
        <v>0426C184</v>
      </c>
      <c r="H1779" s="1" t="str">
        <f>"덕수간 28"</f>
        <v>덕수간 28</v>
      </c>
      <c r="I1779" s="1" t="s">
        <v>8</v>
      </c>
      <c r="J1779" s="1" t="str">
        <f>"0/0"</f>
        <v>0/0</v>
      </c>
      <c r="K1779" s="1" t="str">
        <f>"2026-07-29 13:18:03"</f>
        <v>2026-07-29 13:18:03</v>
      </c>
      <c r="L1779" s="1" t="str">
        <f>"2017-08-17 17:11:04"</f>
        <v>2017-08-17 17:11:04</v>
      </c>
      <c r="M1779" s="1" t="s">
        <v>45</v>
      </c>
      <c r="N1779" s="1" t="s">
        <v>38</v>
      </c>
      <c r="O1779" s="1" t="s">
        <v>44</v>
      </c>
    </row>
    <row r="1780" spans="2:15" x14ac:dyDescent="0.3">
      <c r="B1780" s="1" t="s">
        <v>24</v>
      </c>
      <c r="C1780" s="1" t="str">
        <f>"2차"</f>
        <v>2차</v>
      </c>
      <c r="D1780" s="1" t="str">
        <f>"0426C19329"</f>
        <v>0426C19329</v>
      </c>
      <c r="E1780" s="1" t="s">
        <v>10</v>
      </c>
      <c r="F1780" s="1" t="str">
        <f>"10.89.246.35"</f>
        <v>10.89.246.35</v>
      </c>
      <c r="G1780" s="1" t="str">
        <f>"0426C193"</f>
        <v>0426C193</v>
      </c>
      <c r="H1780" s="1" t="str">
        <f>"덕수간 29"</f>
        <v>덕수간 29</v>
      </c>
      <c r="I1780" s="1" t="s">
        <v>8</v>
      </c>
      <c r="J1780" s="1" t="str">
        <f>"17/17"</f>
        <v>17/17</v>
      </c>
      <c r="K1780" s="1" t="str">
        <f>"2026-07-29 13:18:03"</f>
        <v>2026-07-29 13:18:03</v>
      </c>
      <c r="L1780" s="1" t="str">
        <f>"2017-08-17 17:31:03"</f>
        <v>2017-08-17 17:31:03</v>
      </c>
      <c r="M1780" s="1" t="s">
        <v>45</v>
      </c>
      <c r="N1780" s="1" t="s">
        <v>38</v>
      </c>
      <c r="O1780" s="1" t="s">
        <v>46</v>
      </c>
    </row>
    <row r="1781" spans="2:15" x14ac:dyDescent="0.3">
      <c r="B1781" s="1" t="s">
        <v>24</v>
      </c>
      <c r="C1781" s="1" t="str">
        <f>"5-2차"</f>
        <v>5-2차</v>
      </c>
      <c r="D1781" s="1" t="str">
        <f>"0426C2615S"</f>
        <v>0426C2615S</v>
      </c>
      <c r="E1781" s="1" t="s">
        <v>10</v>
      </c>
      <c r="F1781" s="1" t="str">
        <f>"fde1:103:4:5806:0:0:0:2"</f>
        <v>fde1:103:4:5806:0:0:0:2</v>
      </c>
      <c r="G1781" s="1" t="str">
        <f>"0426C261"</f>
        <v>0426C261</v>
      </c>
      <c r="H1781" s="1" t="str">
        <f>"면목간 22R1"</f>
        <v>면목간 22R1</v>
      </c>
      <c r="I1781" s="1" t="s">
        <v>15</v>
      </c>
      <c r="J1781" s="1" t="str">
        <f>"93/93"</f>
        <v>93/93</v>
      </c>
      <c r="K1781" s="1" t="str">
        <f>"2026-07-29 14:21:26"</f>
        <v>2026-07-29 14:21:26</v>
      </c>
      <c r="L1781" s="1" t="str">
        <f>"2023-10-10 13:20:40"</f>
        <v>2023-10-10 13:20:40</v>
      </c>
      <c r="M1781" s="1" t="s">
        <v>4</v>
      </c>
      <c r="N1781" s="1" t="s">
        <v>38</v>
      </c>
      <c r="O1781" s="1" t="s">
        <v>46</v>
      </c>
    </row>
    <row r="1782" spans="2:15" x14ac:dyDescent="0.3">
      <c r="B1782" s="1" t="s">
        <v>24</v>
      </c>
      <c r="C1782" s="1" t="str">
        <f>"5-2차"</f>
        <v>5-2차</v>
      </c>
      <c r="D1782" s="1" t="str">
        <f>"0426C2625M"</f>
        <v>0426C2625M</v>
      </c>
      <c r="E1782" s="1" t="s">
        <v>10</v>
      </c>
      <c r="F1782" s="1" t="str">
        <f>"fde1:103:4:5770:0:0:0:2"</f>
        <v>fde1:103:4:5770:0:0:0:2</v>
      </c>
      <c r="G1782" s="1" t="str">
        <f>"0426C262"</f>
        <v>0426C262</v>
      </c>
      <c r="H1782" s="1" t="str">
        <f>"면목간 22"</f>
        <v>면목간 22</v>
      </c>
      <c r="I1782" s="1" t="s">
        <v>15</v>
      </c>
      <c r="J1782" s="1" t="str">
        <f>"67/68"</f>
        <v>67/68</v>
      </c>
      <c r="K1782" s="1" t="str">
        <f>"2026-07-29 14:21:26"</f>
        <v>2026-07-29 14:21:26</v>
      </c>
      <c r="L1782" s="1" t="str">
        <f>"2023-10-05 17:28:39"</f>
        <v>2023-10-05 17:28:39</v>
      </c>
      <c r="M1782" s="1" t="s">
        <v>4</v>
      </c>
      <c r="N1782" s="1" t="s">
        <v>38</v>
      </c>
      <c r="O1782" s="1" t="s">
        <v>46</v>
      </c>
    </row>
    <row r="1783" spans="2:15" x14ac:dyDescent="0.3">
      <c r="B1783" s="1" t="s">
        <v>24</v>
      </c>
      <c r="C1783" s="1" t="str">
        <f>"5-2차"</f>
        <v>5-2차</v>
      </c>
      <c r="D1783" s="1" t="str">
        <f>"0426C2645S"</f>
        <v>0426C2645S</v>
      </c>
      <c r="E1783" s="1" t="s">
        <v>10</v>
      </c>
      <c r="F1783" s="1" t="str">
        <f>"fde1:103:4:5764:0:0:0:2"</f>
        <v>fde1:103:4:5764:0:0:0:2</v>
      </c>
      <c r="G1783" s="1" t="str">
        <f>"0426C264"</f>
        <v>0426C264</v>
      </c>
      <c r="H1783" s="1" t="str">
        <f>"덕수간 25R1"</f>
        <v>덕수간 25R1</v>
      </c>
      <c r="I1783" s="1" t="s">
        <v>15</v>
      </c>
      <c r="J1783" s="1" t="str">
        <f>"48/48"</f>
        <v>48/48</v>
      </c>
      <c r="K1783" s="1" t="str">
        <f>"2026-07-29 14:21:18"</f>
        <v>2026-07-29 14:21:18</v>
      </c>
      <c r="L1783" s="1" t="str">
        <f>"2023-10-10 13:22:07"</f>
        <v>2023-10-10 13:22:07</v>
      </c>
      <c r="M1783" s="1" t="s">
        <v>4</v>
      </c>
      <c r="N1783" s="1" t="s">
        <v>38</v>
      </c>
      <c r="O1783" s="1" t="s">
        <v>46</v>
      </c>
    </row>
    <row r="1784" spans="2:15" x14ac:dyDescent="0.3">
      <c r="B1784" s="1" t="s">
        <v>24</v>
      </c>
      <c r="C1784" s="1" t="str">
        <f>"5-2차"</f>
        <v>5-2차</v>
      </c>
      <c r="D1784" s="1" t="str">
        <f>"0426C2715M"</f>
        <v>0426C2715M</v>
      </c>
      <c r="E1784" s="1" t="s">
        <v>10</v>
      </c>
      <c r="F1784" s="1" t="str">
        <f>"fde1:103:4:584c:0:0:0:2"</f>
        <v>fde1:103:4:584c:0:0:0:2</v>
      </c>
      <c r="G1784" s="1" t="str">
        <f>"0426C271"</f>
        <v>0426C271</v>
      </c>
      <c r="H1784" s="1" t="str">
        <f>"면목간 23"</f>
        <v>면목간 23</v>
      </c>
      <c r="I1784" s="1" t="s">
        <v>15</v>
      </c>
      <c r="J1784" s="1" t="str">
        <f>"47/50"</f>
        <v>47/50</v>
      </c>
      <c r="K1784" s="1" t="str">
        <f>"2026-07-29 14:21:26"</f>
        <v>2026-07-29 14:21:26</v>
      </c>
      <c r="L1784" s="1" t="str">
        <f>"2023-10-05 17:37:11"</f>
        <v>2023-10-05 17:37:11</v>
      </c>
      <c r="M1784" s="1" t="s">
        <v>4</v>
      </c>
      <c r="N1784" s="1" t="s">
        <v>38</v>
      </c>
      <c r="O1784" s="1" t="s">
        <v>46</v>
      </c>
    </row>
    <row r="1785" spans="2:15" x14ac:dyDescent="0.3">
      <c r="B1785" s="1" t="s">
        <v>24</v>
      </c>
      <c r="C1785" s="1" t="str">
        <f>"5-2차"</f>
        <v>5-2차</v>
      </c>
      <c r="D1785" s="1" t="str">
        <f>"0426C2815M"</f>
        <v>0426C2815M</v>
      </c>
      <c r="E1785" s="1" t="s">
        <v>10</v>
      </c>
      <c r="F1785" s="1" t="str">
        <f>"fde3:102:1430:6200:0:0:0:e"</f>
        <v>fde3:102:1430:6200:0:0:0:e</v>
      </c>
      <c r="G1785" s="1" t="str">
        <f>"0426C281"</f>
        <v>0426C281</v>
      </c>
      <c r="H1785" s="1" t="str">
        <f>"면목간 24"</f>
        <v>면목간 24</v>
      </c>
      <c r="I1785" s="1" t="s">
        <v>15</v>
      </c>
      <c r="J1785" s="1" t="str">
        <f>"64/64"</f>
        <v>64/64</v>
      </c>
      <c r="K1785" s="1" t="str">
        <f>"2026-07-29 14:21:08"</f>
        <v>2026-07-29 14:21:08</v>
      </c>
      <c r="L1785" s="1" t="str">
        <f>"2023-12-29 12:08:43"</f>
        <v>2023-12-29 12:08:43</v>
      </c>
      <c r="M1785" s="1" t="s">
        <v>45</v>
      </c>
      <c r="N1785" s="1" t="s">
        <v>38</v>
      </c>
      <c r="O1785" s="1" t="s">
        <v>46</v>
      </c>
    </row>
    <row r="1786" spans="2:15" x14ac:dyDescent="0.3">
      <c r="B1786" s="1" t="s">
        <v>24</v>
      </c>
      <c r="C1786" s="1" t="str">
        <f>"2차"</f>
        <v>2차</v>
      </c>
      <c r="D1786" s="1" t="str">
        <f>"0426C33120"</f>
        <v>0426C33120</v>
      </c>
      <c r="E1786" s="1" t="s">
        <v>10</v>
      </c>
      <c r="F1786" s="1" t="str">
        <f>"10.89.247.175"</f>
        <v>10.89.247.175</v>
      </c>
      <c r="G1786" s="1" t="str">
        <f>"0426C331"</f>
        <v>0426C331</v>
      </c>
      <c r="H1786" s="1" t="str">
        <f>"덕수간 19R2R3"</f>
        <v>덕수간 19R2R3</v>
      </c>
      <c r="I1786" s="1" t="s">
        <v>8</v>
      </c>
      <c r="J1786" s="1" t="str">
        <f>"18/18"</f>
        <v>18/18</v>
      </c>
      <c r="K1786" s="1" t="str">
        <f>"2026-07-29 13:18:03"</f>
        <v>2026-07-29 13:18:03</v>
      </c>
      <c r="L1786" s="1" t="str">
        <f>"2017-07-18 16:48:59"</f>
        <v>2017-07-18 16:48:59</v>
      </c>
      <c r="M1786" s="1" t="s">
        <v>45</v>
      </c>
      <c r="N1786" s="1" t="s">
        <v>38</v>
      </c>
      <c r="O1786" s="1" t="s">
        <v>46</v>
      </c>
    </row>
    <row r="1787" spans="2:15" x14ac:dyDescent="0.3">
      <c r="B1787" s="1" t="s">
        <v>24</v>
      </c>
      <c r="C1787" s="1" t="str">
        <f>"2차"</f>
        <v>2차</v>
      </c>
      <c r="D1787" s="1" t="str">
        <f>"0426C33221"</f>
        <v>0426C33221</v>
      </c>
      <c r="E1787" s="1" t="s">
        <v>10</v>
      </c>
      <c r="F1787" s="1" t="str">
        <f>"10.89.247.176"</f>
        <v>10.89.247.176</v>
      </c>
      <c r="G1787" s="1" t="str">
        <f>"0426C332"</f>
        <v>0426C332</v>
      </c>
      <c r="H1787" s="1" t="str">
        <f>"덕수간 19R2R2"</f>
        <v>덕수간 19R2R2</v>
      </c>
      <c r="I1787" s="1" t="s">
        <v>8</v>
      </c>
      <c r="J1787" s="1" t="str">
        <f>"10/10"</f>
        <v>10/10</v>
      </c>
      <c r="K1787" s="1" t="str">
        <f>"2026-07-29 13:18:03"</f>
        <v>2026-07-29 13:18:03</v>
      </c>
      <c r="L1787" s="1" t="str">
        <f>"2021-07-27 10:18:48"</f>
        <v>2021-07-27 10:18:48</v>
      </c>
      <c r="M1787" s="1" t="s">
        <v>45</v>
      </c>
      <c r="N1787" s="1" t="s">
        <v>38</v>
      </c>
      <c r="O1787" s="1" t="s">
        <v>46</v>
      </c>
    </row>
    <row r="1788" spans="2:15" x14ac:dyDescent="0.3">
      <c r="B1788" s="1" t="s">
        <v>24</v>
      </c>
      <c r="C1788" s="1" t="str">
        <f t="shared" ref="C1788:C1793" si="105">"5-2차"</f>
        <v>5-2차</v>
      </c>
      <c r="D1788" s="1" t="str">
        <f>"0426C3415M"</f>
        <v>0426C3415M</v>
      </c>
      <c r="E1788" s="1" t="s">
        <v>10</v>
      </c>
      <c r="F1788" s="1" t="str">
        <f>"fde3:102:1430:6100:0:0:0:18"</f>
        <v>fde3:102:1430:6100:0:0:0:18</v>
      </c>
      <c r="G1788" s="1" t="str">
        <f>"0426C341"</f>
        <v>0426C341</v>
      </c>
      <c r="H1788" s="1" t="str">
        <f>"면목간 18"</f>
        <v>면목간 18</v>
      </c>
      <c r="I1788" s="1" t="s">
        <v>15</v>
      </c>
      <c r="J1788" s="1" t="str">
        <f>"50/50"</f>
        <v>50/50</v>
      </c>
      <c r="K1788" s="1" t="str">
        <f>"2026-07-29 14:21:26"</f>
        <v>2026-07-29 14:21:26</v>
      </c>
      <c r="L1788" s="1" t="str">
        <f>"2023-12-08 15:24:17"</f>
        <v>2023-12-08 15:24:17</v>
      </c>
      <c r="M1788" s="1" t="s">
        <v>45</v>
      </c>
      <c r="N1788" s="1" t="s">
        <v>38</v>
      </c>
      <c r="O1788" s="1" t="s">
        <v>46</v>
      </c>
    </row>
    <row r="1789" spans="2:15" x14ac:dyDescent="0.3">
      <c r="B1789" s="1" t="s">
        <v>24</v>
      </c>
      <c r="C1789" s="1" t="str">
        <f t="shared" si="105"/>
        <v>5-2차</v>
      </c>
      <c r="D1789" s="1" t="str">
        <f>"0426C3515M"</f>
        <v>0426C3515M</v>
      </c>
      <c r="E1789" s="1" t="s">
        <v>10</v>
      </c>
      <c r="F1789" s="1" t="str">
        <f>"fde3:102:1430:6100:0:0:0:19"</f>
        <v>fde3:102:1430:6100:0:0:0:19</v>
      </c>
      <c r="G1789" s="1" t="str">
        <f>"0426C351"</f>
        <v>0426C351</v>
      </c>
      <c r="H1789" s="1" t="str">
        <f>"면목간 14R2L3"</f>
        <v>면목간 14R2L3</v>
      </c>
      <c r="I1789" s="1" t="s">
        <v>15</v>
      </c>
      <c r="J1789" s="1" t="str">
        <f>"77/77"</f>
        <v>77/77</v>
      </c>
      <c r="K1789" s="1" t="str">
        <f>"2026-07-29 14:21:26"</f>
        <v>2026-07-29 14:21:26</v>
      </c>
      <c r="L1789" s="1" t="str">
        <f>"2023-12-07 11:30:36"</f>
        <v>2023-12-07 11:30:36</v>
      </c>
      <c r="M1789" s="1" t="s">
        <v>45</v>
      </c>
      <c r="N1789" s="1" t="s">
        <v>38</v>
      </c>
      <c r="O1789" s="1" t="s">
        <v>46</v>
      </c>
    </row>
    <row r="1790" spans="2:15" x14ac:dyDescent="0.3">
      <c r="B1790" s="1" t="s">
        <v>24</v>
      </c>
      <c r="C1790" s="1" t="str">
        <f t="shared" si="105"/>
        <v>5-2차</v>
      </c>
      <c r="D1790" s="1" t="str">
        <f>"0426C3715S"</f>
        <v>0426C3715S</v>
      </c>
      <c r="E1790" s="1" t="s">
        <v>10</v>
      </c>
      <c r="F1790" s="1" t="str">
        <f>"fde3:102:1430:6100:0:0:0:1a"</f>
        <v>fde3:102:1430:6100:0:0:0:1a</v>
      </c>
      <c r="G1790" s="1" t="str">
        <f>"0426C371"</f>
        <v>0426C371</v>
      </c>
      <c r="H1790" s="1" t="str">
        <f>"면목간 14R5L3"</f>
        <v>면목간 14R5L3</v>
      </c>
      <c r="I1790" s="1" t="s">
        <v>15</v>
      </c>
      <c r="J1790" s="1" t="str">
        <f>"55/55"</f>
        <v>55/55</v>
      </c>
      <c r="K1790" s="1" t="str">
        <f>"2026-07-29 14:21:26"</f>
        <v>2026-07-29 14:21:26</v>
      </c>
      <c r="L1790" s="1" t="str">
        <f>"2023-11-30 12:24:58"</f>
        <v>2023-11-30 12:24:58</v>
      </c>
      <c r="M1790" s="1" t="s">
        <v>45</v>
      </c>
      <c r="N1790" s="1" t="s">
        <v>38</v>
      </c>
      <c r="O1790" s="1" t="s">
        <v>46</v>
      </c>
    </row>
    <row r="1791" spans="2:15" x14ac:dyDescent="0.3">
      <c r="B1791" s="1" t="s">
        <v>24</v>
      </c>
      <c r="C1791" s="1" t="str">
        <f t="shared" si="105"/>
        <v>5-2차</v>
      </c>
      <c r="D1791" s="1" t="str">
        <f>"0426C3925M"</f>
        <v>0426C3925M</v>
      </c>
      <c r="E1791" s="1" t="s">
        <v>10</v>
      </c>
      <c r="F1791" s="1" t="str">
        <f>"fde3:102:1430:6100:0:0:0:15"</f>
        <v>fde3:102:1430:6100:0:0:0:15</v>
      </c>
      <c r="G1791" s="1" t="str">
        <f>"0426C392"</f>
        <v>0426C392</v>
      </c>
      <c r="H1791" s="1" t="str">
        <f>"상면간 22R12"</f>
        <v>상면간 22R12</v>
      </c>
      <c r="I1791" s="1" t="s">
        <v>15</v>
      </c>
      <c r="J1791" s="1" t="str">
        <f>"58/58"</f>
        <v>58/58</v>
      </c>
      <c r="K1791" s="1" t="str">
        <f>"2026-07-29 14:21:02"</f>
        <v>2026-07-29 14:21:02</v>
      </c>
      <c r="L1791" s="1" t="str">
        <f>"2023-09-22 17:44:07"</f>
        <v>2023-09-22 17:44:07</v>
      </c>
      <c r="M1791" s="1" t="s">
        <v>45</v>
      </c>
      <c r="N1791" s="1" t="s">
        <v>38</v>
      </c>
      <c r="O1791" s="1" t="s">
        <v>46</v>
      </c>
    </row>
    <row r="1792" spans="2:15" x14ac:dyDescent="0.3">
      <c r="B1792" s="1" t="s">
        <v>24</v>
      </c>
      <c r="C1792" s="1" t="str">
        <f t="shared" si="105"/>
        <v>5-2차</v>
      </c>
      <c r="D1792" s="1" t="str">
        <f>"0426C3935M"</f>
        <v>0426C3935M</v>
      </c>
      <c r="E1792" s="1" t="s">
        <v>10</v>
      </c>
      <c r="F1792" s="1" t="str">
        <f>"fde3:102:1430:6100:0:0:0:14"</f>
        <v>fde3:102:1430:6100:0:0:0:14</v>
      </c>
      <c r="G1792" s="1" t="str">
        <f>"0426C393"</f>
        <v>0426C393</v>
      </c>
      <c r="H1792" s="1" t="str">
        <f>"상면간 22R11"</f>
        <v>상면간 22R11</v>
      </c>
      <c r="I1792" s="1" t="s">
        <v>15</v>
      </c>
      <c r="J1792" s="1" t="str">
        <f>"73/82"</f>
        <v>73/82</v>
      </c>
      <c r="K1792" s="1" t="str">
        <f>"2026-07-29 14:21:30"</f>
        <v>2026-07-29 14:21:30</v>
      </c>
      <c r="L1792" s="1" t="str">
        <f>"2023-12-04 09:31:39"</f>
        <v>2023-12-04 09:31:39</v>
      </c>
      <c r="M1792" s="1" t="s">
        <v>45</v>
      </c>
      <c r="N1792" s="1" t="s">
        <v>38</v>
      </c>
      <c r="O1792" s="1" t="s">
        <v>46</v>
      </c>
    </row>
    <row r="1793" spans="2:15" x14ac:dyDescent="0.3">
      <c r="B1793" s="1" t="s">
        <v>24</v>
      </c>
      <c r="C1793" s="1" t="str">
        <f t="shared" si="105"/>
        <v>5-2차</v>
      </c>
      <c r="D1793" s="1" t="str">
        <f>"0426C4265M"</f>
        <v>0426C4265M</v>
      </c>
      <c r="E1793" s="1" t="s">
        <v>10</v>
      </c>
      <c r="F1793" s="1" t="str">
        <f>"fde3:102:1430:9700:0:0:0:3"</f>
        <v>fde3:102:1430:9700:0:0:0:3</v>
      </c>
      <c r="G1793" s="1" t="str">
        <f>"0426C426"</f>
        <v>0426C426</v>
      </c>
      <c r="H1793" s="1" t="str">
        <f>"덕수간 16"</f>
        <v>덕수간 16</v>
      </c>
      <c r="I1793" s="1" t="s">
        <v>15</v>
      </c>
      <c r="J1793" s="1" t="str">
        <f>"62/62"</f>
        <v>62/62</v>
      </c>
      <c r="K1793" s="1" t="str">
        <f>"2026-07-29 14:21:35"</f>
        <v>2026-07-29 14:21:35</v>
      </c>
      <c r="L1793" s="1" t="str">
        <f>"2024-01-31 12:51:48"</f>
        <v>2024-01-31 12:51:48</v>
      </c>
      <c r="M1793" s="1" t="s">
        <v>45</v>
      </c>
      <c r="N1793" s="1" t="s">
        <v>38</v>
      </c>
      <c r="O1793" s="1" t="s">
        <v>46</v>
      </c>
    </row>
    <row r="1794" spans="2:15" x14ac:dyDescent="0.3">
      <c r="B1794" s="1" t="s">
        <v>24</v>
      </c>
      <c r="C1794" s="1" t="str">
        <f>"2차"</f>
        <v>2차</v>
      </c>
      <c r="D1794" s="1" t="str">
        <f>"0426C43222"</f>
        <v>0426C43222</v>
      </c>
      <c r="E1794" s="1" t="s">
        <v>10</v>
      </c>
      <c r="F1794" s="1" t="str">
        <f>"10.89.247.177"</f>
        <v>10.89.247.177</v>
      </c>
      <c r="G1794" s="1" t="str">
        <f>"0426C432"</f>
        <v>0426C432</v>
      </c>
      <c r="H1794" s="1" t="str">
        <f>"덕수간 19R2R5"</f>
        <v>덕수간 19R2R5</v>
      </c>
      <c r="I1794" s="1" t="s">
        <v>8</v>
      </c>
      <c r="J1794" s="1" t="str">
        <f>"102/102"</f>
        <v>102/102</v>
      </c>
      <c r="K1794" s="1" t="str">
        <f>"2026-07-29 13:18:03"</f>
        <v>2026-07-29 13:18:03</v>
      </c>
      <c r="L1794" s="1" t="str">
        <f>"2017-07-18 16:54:01"</f>
        <v>2017-07-18 16:54:01</v>
      </c>
      <c r="M1794" s="1" t="s">
        <v>45</v>
      </c>
      <c r="N1794" s="1" t="s">
        <v>38</v>
      </c>
      <c r="O1794" s="1" t="s">
        <v>46</v>
      </c>
    </row>
    <row r="1795" spans="2:15" x14ac:dyDescent="0.3">
      <c r="B1795" s="1" t="s">
        <v>24</v>
      </c>
      <c r="C1795" s="1" t="str">
        <f>"5-2차"</f>
        <v>5-2차</v>
      </c>
      <c r="D1795" s="1" t="str">
        <f>"0426C4415M"</f>
        <v>0426C4415M</v>
      </c>
      <c r="E1795" s="1" t="s">
        <v>10</v>
      </c>
      <c r="F1795" s="1" t="str">
        <f>"fde1:103:4:6e4c:0:0:0:2"</f>
        <v>fde1:103:4:6e4c:0:0:0:2</v>
      </c>
      <c r="G1795" s="1" t="str">
        <f>"0426C441"</f>
        <v>0426C441</v>
      </c>
      <c r="H1795" s="1" t="str">
        <f>"면목간 16"</f>
        <v>면목간 16</v>
      </c>
      <c r="I1795" s="1" t="s">
        <v>15</v>
      </c>
      <c r="J1795" s="1" t="str">
        <f>"95/95"</f>
        <v>95/95</v>
      </c>
      <c r="K1795" s="1" t="str">
        <f>"2026-07-29 14:20:39"</f>
        <v>2026-07-29 14:20:39</v>
      </c>
      <c r="L1795" s="1" t="str">
        <f>"2023-11-17 12:57:37"</f>
        <v>2023-11-17 12:57:37</v>
      </c>
      <c r="M1795" s="1" t="s">
        <v>4</v>
      </c>
      <c r="N1795" s="1" t="s">
        <v>38</v>
      </c>
      <c r="O1795" s="1" t="s">
        <v>46</v>
      </c>
    </row>
    <row r="1796" spans="2:15" x14ac:dyDescent="0.3">
      <c r="B1796" s="1" t="s">
        <v>24</v>
      </c>
      <c r="C1796" s="1" t="str">
        <f>"5-1차"</f>
        <v>5-1차</v>
      </c>
      <c r="D1796" s="1" t="str">
        <f>"0426C4725M"</f>
        <v>0426C4725M</v>
      </c>
      <c r="E1796" s="1" t="s">
        <v>10</v>
      </c>
      <c r="F1796" s="1" t="str">
        <f>"fde3:102:1430:6100:0:0:0:b"</f>
        <v>fde3:102:1430:6100:0:0:0:b</v>
      </c>
      <c r="G1796" s="1" t="str">
        <f>"0426C472"</f>
        <v>0426C472</v>
      </c>
      <c r="H1796" s="1" t="str">
        <f>"면목간 14R5L2"</f>
        <v>면목간 14R5L2</v>
      </c>
      <c r="I1796" s="1" t="s">
        <v>15</v>
      </c>
      <c r="J1796" s="1" t="str">
        <f>"113/114"</f>
        <v>113/114</v>
      </c>
      <c r="K1796" s="1" t="str">
        <f>"2026-07-29 14:21:18"</f>
        <v>2026-07-29 14:21:18</v>
      </c>
      <c r="L1796" s="1" t="str">
        <f>"2022-10-18 09:31:09"</f>
        <v>2022-10-18 09:31:09</v>
      </c>
      <c r="M1796" s="1" t="s">
        <v>45</v>
      </c>
      <c r="N1796" s="1" t="s">
        <v>38</v>
      </c>
      <c r="O1796" s="1" t="s">
        <v>46</v>
      </c>
    </row>
    <row r="1797" spans="2:15" x14ac:dyDescent="0.3">
      <c r="B1797" s="1" t="s">
        <v>24</v>
      </c>
      <c r="C1797" s="1" t="str">
        <f>"5-1차"</f>
        <v>5-1차</v>
      </c>
      <c r="D1797" s="1" t="str">
        <f>"0426C4825S"</f>
        <v>0426C4825S</v>
      </c>
      <c r="E1797" s="1" t="s">
        <v>10</v>
      </c>
      <c r="F1797" s="1" t="str">
        <f>"fde3:102:1430:6100:0:0:0:c"</f>
        <v>fde3:102:1430:6100:0:0:0:c</v>
      </c>
      <c r="G1797" s="1" t="str">
        <f>"0426C482"</f>
        <v>0426C482</v>
      </c>
      <c r="H1797" s="1" t="str">
        <f>"면목간 14R5L1"</f>
        <v>면목간 14R5L1</v>
      </c>
      <c r="I1797" s="1" t="s">
        <v>15</v>
      </c>
      <c r="J1797" s="1" t="str">
        <f>"66/66"</f>
        <v>66/66</v>
      </c>
      <c r="K1797" s="1" t="str">
        <f>"2026-07-29 14:20:39"</f>
        <v>2026-07-29 14:20:39</v>
      </c>
      <c r="L1797" s="1" t="str">
        <f>"2022-10-19 10:04:22"</f>
        <v>2022-10-19 10:04:22</v>
      </c>
      <c r="M1797" s="1" t="s">
        <v>45</v>
      </c>
      <c r="N1797" s="1" t="s">
        <v>38</v>
      </c>
      <c r="O1797" s="1" t="s">
        <v>46</v>
      </c>
    </row>
    <row r="1798" spans="2:15" x14ac:dyDescent="0.3">
      <c r="B1798" s="1" t="s">
        <v>24</v>
      </c>
      <c r="C1798" s="1" t="str">
        <f>"5-1차"</f>
        <v>5-1차</v>
      </c>
      <c r="D1798" s="1" t="str">
        <f>"0426C5525M"</f>
        <v>0426C5525M</v>
      </c>
      <c r="E1798" s="1" t="s">
        <v>10</v>
      </c>
      <c r="F1798" s="1" t="str">
        <f>"fde3:102:1430:6100:0:0:0:4"</f>
        <v>fde3:102:1430:6100:0:0:0:4</v>
      </c>
      <c r="G1798" s="1" t="str">
        <f>"0426C552"</f>
        <v>0426C552</v>
      </c>
      <c r="H1798" s="1" t="str">
        <f>"면목간 14"</f>
        <v>면목간 14</v>
      </c>
      <c r="I1798" s="1" t="s">
        <v>15</v>
      </c>
      <c r="J1798" s="1" t="str">
        <f>"42/43"</f>
        <v>42/43</v>
      </c>
      <c r="K1798" s="1" t="str">
        <f>"2026-07-29 14:20:39"</f>
        <v>2026-07-29 14:20:39</v>
      </c>
      <c r="L1798" s="1" t="str">
        <f>"2022-10-19 10:05:30"</f>
        <v>2022-10-19 10:05:30</v>
      </c>
      <c r="M1798" s="1" t="s">
        <v>45</v>
      </c>
      <c r="N1798" s="1" t="s">
        <v>38</v>
      </c>
      <c r="O1798" s="1" t="s">
        <v>46</v>
      </c>
    </row>
    <row r="1799" spans="2:15" x14ac:dyDescent="0.3">
      <c r="B1799" s="1" t="s">
        <v>24</v>
      </c>
      <c r="C1799" s="1" t="str">
        <f>"5-1차"</f>
        <v>5-1차</v>
      </c>
      <c r="D1799" s="1" t="str">
        <f>"0426C5645M"</f>
        <v>0426C5645M</v>
      </c>
      <c r="E1799" s="1" t="s">
        <v>10</v>
      </c>
      <c r="F1799" s="1" t="str">
        <f>"fde3:102:1430:6100:0:0:0:a"</f>
        <v>fde3:102:1430:6100:0:0:0:a</v>
      </c>
      <c r="G1799" s="1" t="str">
        <f>"0426C564"</f>
        <v>0426C564</v>
      </c>
      <c r="H1799" s="1" t="str">
        <f>"면목간 14R3"</f>
        <v>면목간 14R3</v>
      </c>
      <c r="I1799" s="1" t="s">
        <v>15</v>
      </c>
      <c r="J1799" s="1" t="str">
        <f>"54/54"</f>
        <v>54/54</v>
      </c>
      <c r="K1799" s="1" t="str">
        <f>"2026-07-29 14:20:39"</f>
        <v>2026-07-29 14:20:39</v>
      </c>
      <c r="L1799" s="1" t="str">
        <f>"2022-10-19 10:06:26"</f>
        <v>2022-10-19 10:06:26</v>
      </c>
      <c r="M1799" s="1" t="s">
        <v>45</v>
      </c>
      <c r="N1799" s="1" t="s">
        <v>38</v>
      </c>
      <c r="O1799" s="1" t="s">
        <v>46</v>
      </c>
    </row>
    <row r="1800" spans="2:15" x14ac:dyDescent="0.3">
      <c r="B1800" s="1" t="s">
        <v>24</v>
      </c>
      <c r="C1800" s="1" t="str">
        <f>"5-1차"</f>
        <v>5-1차</v>
      </c>
      <c r="D1800" s="1" t="str">
        <f>"0426C5925M"</f>
        <v>0426C5925M</v>
      </c>
      <c r="E1800" s="1" t="s">
        <v>10</v>
      </c>
      <c r="F1800" s="1" t="str">
        <f>"fde3:102:1430:6100:0:0:0:3"</f>
        <v>fde3:102:1430:6100:0:0:0:3</v>
      </c>
      <c r="G1800" s="1" t="str">
        <f>"0426C592"</f>
        <v>0426C592</v>
      </c>
      <c r="H1800" s="1" t="str">
        <f>"면목간 14R7"</f>
        <v>면목간 14R7</v>
      </c>
      <c r="I1800" s="1" t="s">
        <v>15</v>
      </c>
      <c r="J1800" s="1" t="str">
        <f>"28/28"</f>
        <v>28/28</v>
      </c>
      <c r="K1800" s="1" t="str">
        <f>"2026-07-29 14:20:40"</f>
        <v>2026-07-29 14:20:40</v>
      </c>
      <c r="L1800" s="1" t="str">
        <f>"2022-10-19 10:27:00"</f>
        <v>2022-10-19 10:27:00</v>
      </c>
      <c r="M1800" s="1" t="s">
        <v>45</v>
      </c>
      <c r="N1800" s="1" t="s">
        <v>38</v>
      </c>
      <c r="O1800" s="1" t="s">
        <v>46</v>
      </c>
    </row>
    <row r="1801" spans="2:15" x14ac:dyDescent="0.3">
      <c r="B1801" s="1" t="s">
        <v>24</v>
      </c>
      <c r="C1801" s="1" t="str">
        <f>"5-2차"</f>
        <v>5-2차</v>
      </c>
      <c r="D1801" s="1" t="str">
        <f>"0426C6425M"</f>
        <v>0426C6425M</v>
      </c>
      <c r="E1801" s="1" t="s">
        <v>10</v>
      </c>
      <c r="F1801" s="1" t="str">
        <f>"fde1:103:4:6e49:0:0:0:2"</f>
        <v>fde1:103:4:6e49:0:0:0:2</v>
      </c>
      <c r="G1801" s="1" t="str">
        <f>"0426C642"</f>
        <v>0426C642</v>
      </c>
      <c r="H1801" s="1" t="str">
        <f>"상면간 34"</f>
        <v>상면간 34</v>
      </c>
      <c r="I1801" s="1" t="s">
        <v>15</v>
      </c>
      <c r="J1801" s="1" t="str">
        <f>"50/50"</f>
        <v>50/50</v>
      </c>
      <c r="K1801" s="1" t="str">
        <f>"2026-07-29 14:21:27"</f>
        <v>2026-07-29 14:21:27</v>
      </c>
      <c r="L1801" s="1" t="str">
        <f>"2023-11-17 12:48:22"</f>
        <v>2023-11-17 12:48:22</v>
      </c>
      <c r="M1801" s="1" t="s">
        <v>4</v>
      </c>
      <c r="N1801" s="1" t="s">
        <v>38</v>
      </c>
      <c r="O1801" s="1" t="s">
        <v>46</v>
      </c>
    </row>
    <row r="1802" spans="2:15" x14ac:dyDescent="0.3">
      <c r="B1802" s="1" t="s">
        <v>24</v>
      </c>
      <c r="C1802" s="1" t="str">
        <f>"5-2차"</f>
        <v>5-2차</v>
      </c>
      <c r="D1802" s="1" t="str">
        <f>"0426C6725M"</f>
        <v>0426C6725M</v>
      </c>
      <c r="E1802" s="1" t="s">
        <v>10</v>
      </c>
      <c r="F1802" s="1" t="str">
        <f>"fde3:102:1430:6200:0:0:0:d"</f>
        <v>fde3:102:1430:6200:0:0:0:d</v>
      </c>
      <c r="G1802" s="1" t="str">
        <f>"0426C672"</f>
        <v>0426C672</v>
      </c>
      <c r="H1802" s="1" t="str">
        <f>"상면간 27R3"</f>
        <v>상면간 27R3</v>
      </c>
      <c r="I1802" s="1" t="s">
        <v>15</v>
      </c>
      <c r="J1802" s="1" t="str">
        <f>"50/50"</f>
        <v>50/50</v>
      </c>
      <c r="K1802" s="1" t="str">
        <f>"2026-07-29 14:20:40"</f>
        <v>2026-07-29 14:20:40</v>
      </c>
      <c r="L1802" s="1" t="str">
        <f>"2023-11-30 13:44:09"</f>
        <v>2023-11-30 13:44:09</v>
      </c>
      <c r="M1802" s="1" t="s">
        <v>45</v>
      </c>
      <c r="N1802" s="1" t="s">
        <v>38</v>
      </c>
      <c r="O1802" s="1" t="s">
        <v>46</v>
      </c>
    </row>
    <row r="1803" spans="2:15" x14ac:dyDescent="0.3">
      <c r="B1803" s="1" t="s">
        <v>24</v>
      </c>
      <c r="C1803" s="1" t="str">
        <f>"5-2차"</f>
        <v>5-2차</v>
      </c>
      <c r="D1803" s="1" t="str">
        <f>"0426C7235M"</f>
        <v>0426C7235M</v>
      </c>
      <c r="E1803" s="1" t="s">
        <v>10</v>
      </c>
      <c r="F1803" s="1" t="str">
        <f>"fde1:103:4:6e47:0:0:0:2"</f>
        <v>fde1:103:4:6e47:0:0:0:2</v>
      </c>
      <c r="G1803" s="1" t="str">
        <f>"0426C723"</f>
        <v>0426C723</v>
      </c>
      <c r="H1803" s="1" t="str">
        <f>"덕수간 13R2"</f>
        <v>덕수간 13R2</v>
      </c>
      <c r="I1803" s="1" t="s">
        <v>15</v>
      </c>
      <c r="J1803" s="1" t="str">
        <f>"14/14"</f>
        <v>14/14</v>
      </c>
      <c r="K1803" s="1" t="str">
        <f>"2026-07-29 14:20:41"</f>
        <v>2026-07-29 14:20:41</v>
      </c>
      <c r="L1803" s="1" t="str">
        <f>"2023-11-15 07:40:52"</f>
        <v>2023-11-15 07:40:52</v>
      </c>
      <c r="M1803" s="1" t="s">
        <v>4</v>
      </c>
      <c r="N1803" s="1" t="s">
        <v>38</v>
      </c>
      <c r="O1803" s="1" t="s">
        <v>46</v>
      </c>
    </row>
    <row r="1804" spans="2:15" x14ac:dyDescent="0.3">
      <c r="B1804" s="1" t="s">
        <v>24</v>
      </c>
      <c r="C1804" s="1" t="str">
        <f>"5-1차"</f>
        <v>5-1차</v>
      </c>
      <c r="D1804" s="1" t="str">
        <f>"0426C7315S"</f>
        <v>0426C7315S</v>
      </c>
      <c r="E1804" s="1" t="s">
        <v>10</v>
      </c>
      <c r="F1804" s="1" t="str">
        <f>"fde2:104:0:165:0:0:0:2"</f>
        <v>fde2:104:0:165:0:0:0:2</v>
      </c>
      <c r="G1804" s="1" t="str">
        <f>"0426C731"</f>
        <v>0426C731</v>
      </c>
      <c r="H1804" s="1" t="str">
        <f>"덕수간 13D2"</f>
        <v>덕수간 13D2</v>
      </c>
      <c r="I1804" s="1" t="s">
        <v>15</v>
      </c>
      <c r="J1804" s="1" t="str">
        <f>"21/21"</f>
        <v>21/21</v>
      </c>
      <c r="K1804" s="1" t="str">
        <f>"2026-07-29 14:21:29"</f>
        <v>2026-07-29 14:21:29</v>
      </c>
      <c r="L1804" s="1" t="str">
        <f>"2022-09-29 14:51:48"</f>
        <v>2022-09-29 14:51:48</v>
      </c>
      <c r="M1804" s="1" t="s">
        <v>42</v>
      </c>
      <c r="N1804" s="1" t="s">
        <v>38</v>
      </c>
      <c r="O1804" s="1" t="s">
        <v>46</v>
      </c>
    </row>
    <row r="1805" spans="2:15" x14ac:dyDescent="0.3">
      <c r="B1805" s="1" t="s">
        <v>24</v>
      </c>
      <c r="C1805" s="1" t="str">
        <f>"5-1차"</f>
        <v>5-1차</v>
      </c>
      <c r="D1805" s="1" t="str">
        <f>"0426C7415S"</f>
        <v>0426C7415S</v>
      </c>
      <c r="E1805" s="1" t="s">
        <v>10</v>
      </c>
      <c r="F1805" s="1" t="str">
        <f>"fde2:104:0:164:0:0:0:2"</f>
        <v>fde2:104:0:164:0:0:0:2</v>
      </c>
      <c r="G1805" s="1" t="str">
        <f>"0426C741"</f>
        <v>0426C741</v>
      </c>
      <c r="H1805" s="1" t="str">
        <f>"면목간 10"</f>
        <v>면목간 10</v>
      </c>
      <c r="I1805" s="1" t="s">
        <v>15</v>
      </c>
      <c r="J1805" s="1" t="str">
        <f>"35/37"</f>
        <v>35/37</v>
      </c>
      <c r="K1805" s="1" t="str">
        <f>"2026-07-29 14:21:29"</f>
        <v>2026-07-29 14:21:29</v>
      </c>
      <c r="L1805" s="1" t="str">
        <f>"2022-09-29 11:34:31"</f>
        <v>2022-09-29 11:34:31</v>
      </c>
      <c r="M1805" s="1" t="s">
        <v>42</v>
      </c>
      <c r="N1805" s="1" t="s">
        <v>38</v>
      </c>
      <c r="O1805" s="1" t="s">
        <v>46</v>
      </c>
    </row>
    <row r="1806" spans="2:15" x14ac:dyDescent="0.3">
      <c r="B1806" s="1" t="s">
        <v>24</v>
      </c>
      <c r="C1806" s="1" t="str">
        <f>"5-2차"</f>
        <v>5-2차</v>
      </c>
      <c r="D1806" s="1" t="str">
        <f>"0426C7815M"</f>
        <v>0426C7815M</v>
      </c>
      <c r="E1806" s="1" t="s">
        <v>10</v>
      </c>
      <c r="F1806" s="1" t="str">
        <f>"fde3:102:1430:6200:0:0:0:5"</f>
        <v>fde3:102:1430:6200:0:0:0:5</v>
      </c>
      <c r="G1806" s="1" t="str">
        <f>"0426C781"</f>
        <v>0426C781</v>
      </c>
      <c r="H1806" s="1" t="str">
        <f>"상면간 27R1"</f>
        <v>상면간 27R1</v>
      </c>
      <c r="I1806" s="1" t="s">
        <v>15</v>
      </c>
      <c r="J1806" s="1" t="str">
        <f>"38/39"</f>
        <v>38/39</v>
      </c>
      <c r="K1806" s="1" t="str">
        <f>"2026-07-29 14:21:27"</f>
        <v>2026-07-29 14:21:27</v>
      </c>
      <c r="L1806" s="1" t="str">
        <f>"2023-09-16 13:53:53"</f>
        <v>2023-09-16 13:53:53</v>
      </c>
      <c r="M1806" s="1" t="s">
        <v>45</v>
      </c>
      <c r="N1806" s="1" t="s">
        <v>38</v>
      </c>
      <c r="O1806" s="1" t="s">
        <v>46</v>
      </c>
    </row>
    <row r="1807" spans="2:15" x14ac:dyDescent="0.3">
      <c r="B1807" s="1" t="s">
        <v>24</v>
      </c>
      <c r="C1807" s="1" t="str">
        <f>"5-2차"</f>
        <v>5-2차</v>
      </c>
      <c r="D1807" s="1" t="str">
        <f>"0426C8315S"</f>
        <v>0426C8315S</v>
      </c>
      <c r="E1807" s="1" t="s">
        <v>10</v>
      </c>
      <c r="F1807" s="1" t="str">
        <f>"fde1:103:4:6e48:0:0:0:2"</f>
        <v>fde1:103:4:6e48:0:0:0:2</v>
      </c>
      <c r="G1807" s="1" t="str">
        <f>"0426C831"</f>
        <v>0426C831</v>
      </c>
      <c r="H1807" s="1" t="str">
        <f>"면목간 9L1"</f>
        <v>면목간 9L1</v>
      </c>
      <c r="I1807" s="1" t="s">
        <v>15</v>
      </c>
      <c r="J1807" s="1" t="str">
        <f>"61/61"</f>
        <v>61/61</v>
      </c>
      <c r="K1807" s="1" t="str">
        <f>"2026-07-29 14:21:28"</f>
        <v>2026-07-29 14:21:28</v>
      </c>
      <c r="L1807" s="1" t="str">
        <f>"2023-11-15 07:47:58"</f>
        <v>2023-11-15 07:47:58</v>
      </c>
      <c r="M1807" s="1" t="s">
        <v>4</v>
      </c>
      <c r="N1807" s="1" t="s">
        <v>38</v>
      </c>
      <c r="O1807" s="1" t="s">
        <v>46</v>
      </c>
    </row>
    <row r="1808" spans="2:15" x14ac:dyDescent="0.3">
      <c r="B1808" s="1" t="s">
        <v>24</v>
      </c>
      <c r="C1808" s="1" t="str">
        <f>"5-2차"</f>
        <v>5-2차</v>
      </c>
      <c r="D1808" s="1" t="str">
        <f>"0426C9135M"</f>
        <v>0426C9135M</v>
      </c>
      <c r="E1808" s="1" t="s">
        <v>10</v>
      </c>
      <c r="F1808" s="1" t="str">
        <f>"fde1:103:4:6e55:0:0:0:2"</f>
        <v>fde1:103:4:6e55:0:0:0:2</v>
      </c>
      <c r="G1808" s="1" t="str">
        <f>"0426C913"</f>
        <v>0426C913</v>
      </c>
      <c r="H1808" s="1" t="str">
        <f>"덕수간 13R4"</f>
        <v>덕수간 13R4</v>
      </c>
      <c r="I1808" s="1" t="s">
        <v>15</v>
      </c>
      <c r="J1808" s="1" t="str">
        <f>"54/54"</f>
        <v>54/54</v>
      </c>
      <c r="K1808" s="1" t="str">
        <f>"2026-07-29 14:20:41"</f>
        <v>2026-07-29 14:20:41</v>
      </c>
      <c r="L1808" s="1" t="str">
        <f>"2023-11-15 07:33:07"</f>
        <v>2023-11-15 07:33:07</v>
      </c>
      <c r="M1808" s="1" t="s">
        <v>4</v>
      </c>
      <c r="N1808" s="1" t="s">
        <v>38</v>
      </c>
      <c r="O1808" s="1" t="s">
        <v>46</v>
      </c>
    </row>
    <row r="1809" spans="2:15" x14ac:dyDescent="0.3">
      <c r="B1809" s="1" t="s">
        <v>24</v>
      </c>
      <c r="C1809" s="1" t="str">
        <f>"5-1차"</f>
        <v>5-1차</v>
      </c>
      <c r="D1809" s="1" t="str">
        <f>"0426C9315M"</f>
        <v>0426C9315M</v>
      </c>
      <c r="E1809" s="1" t="s">
        <v>10</v>
      </c>
      <c r="F1809" s="1" t="str">
        <f>"fde2:104:0:163:0:0:0:2"</f>
        <v>fde2:104:0:163:0:0:0:2</v>
      </c>
      <c r="G1809" s="1" t="str">
        <f>"0426C931"</f>
        <v>0426C931</v>
      </c>
      <c r="H1809" s="1" t="str">
        <f>"면목간 8"</f>
        <v>면목간 8</v>
      </c>
      <c r="I1809" s="1" t="s">
        <v>15</v>
      </c>
      <c r="J1809" s="1" t="str">
        <f>"69/69"</f>
        <v>69/69</v>
      </c>
      <c r="K1809" s="1" t="str">
        <f>"2026-07-29 14:20:43"</f>
        <v>2026-07-29 14:20:43</v>
      </c>
      <c r="L1809" s="1" t="str">
        <f>"2022-09-29 12:20:28"</f>
        <v>2022-09-29 12:20:28</v>
      </c>
      <c r="M1809" s="1" t="s">
        <v>42</v>
      </c>
      <c r="N1809" s="1" t="s">
        <v>38</v>
      </c>
      <c r="O1809" s="1" t="s">
        <v>46</v>
      </c>
    </row>
    <row r="1810" spans="2:15" x14ac:dyDescent="0.3">
      <c r="B1810" s="1" t="s">
        <v>24</v>
      </c>
      <c r="C1810" s="1" t="str">
        <f>"5-2차"</f>
        <v>5-2차</v>
      </c>
      <c r="D1810" s="1" t="str">
        <f>"0426C9915M"</f>
        <v>0426C9915M</v>
      </c>
      <c r="E1810" s="1" t="s">
        <v>10</v>
      </c>
      <c r="F1810" s="1" t="str">
        <f>"fde1:103:4:6e53:0:0:0:2"</f>
        <v>fde1:103:4:6e53:0:0:0:2</v>
      </c>
      <c r="G1810" s="1" t="str">
        <f>"0426C991"</f>
        <v>0426C991</v>
      </c>
      <c r="H1810" s="1" t="str">
        <f>"상면간 24"</f>
        <v>상면간 24</v>
      </c>
      <c r="I1810" s="1" t="s">
        <v>15</v>
      </c>
      <c r="J1810" s="1" t="str">
        <f>"32/32"</f>
        <v>32/32</v>
      </c>
      <c r="K1810" s="1" t="str">
        <f>"2026-07-29 14:21:28"</f>
        <v>2026-07-29 14:21:28</v>
      </c>
      <c r="L1810" s="1" t="str">
        <f>"2023-11-17 12:43:17"</f>
        <v>2023-11-17 12:43:17</v>
      </c>
      <c r="M1810" s="1" t="s">
        <v>4</v>
      </c>
      <c r="N1810" s="1" t="s">
        <v>38</v>
      </c>
      <c r="O1810" s="1" t="s">
        <v>46</v>
      </c>
    </row>
    <row r="1811" spans="2:15" x14ac:dyDescent="0.3">
      <c r="B1811" s="1" t="s">
        <v>24</v>
      </c>
      <c r="C1811" s="1" t="str">
        <f>"5-1차"</f>
        <v>5-1차</v>
      </c>
      <c r="D1811" s="1" t="str">
        <f>"0426D0335M"</f>
        <v>0426D0335M</v>
      </c>
      <c r="E1811" s="1" t="s">
        <v>10</v>
      </c>
      <c r="F1811" s="1" t="str">
        <f>"fde2:104:0:161:0:0:0:2"</f>
        <v>fde2:104:0:161:0:0:0:2</v>
      </c>
      <c r="G1811" s="1" t="str">
        <f>"0426D033"</f>
        <v>0426D033</v>
      </c>
      <c r="H1811" s="1" t="str">
        <f>"면목간 4"</f>
        <v>면목간 4</v>
      </c>
      <c r="I1811" s="1" t="s">
        <v>15</v>
      </c>
      <c r="J1811" s="1" t="str">
        <f>"50/50"</f>
        <v>50/50</v>
      </c>
      <c r="K1811" s="1" t="str">
        <f>"2026-07-29 14:20:42"</f>
        <v>2026-07-29 14:20:42</v>
      </c>
      <c r="L1811" s="1" t="str">
        <f>"2022-09-29 13:50:17"</f>
        <v>2022-09-29 13:50:17</v>
      </c>
      <c r="M1811" s="1" t="s">
        <v>42</v>
      </c>
      <c r="N1811" s="1" t="s">
        <v>38</v>
      </c>
      <c r="O1811" s="1" t="s">
        <v>46</v>
      </c>
    </row>
    <row r="1812" spans="2:15" x14ac:dyDescent="0.3">
      <c r="B1812" s="1" t="s">
        <v>24</v>
      </c>
      <c r="C1812" s="1" t="str">
        <f>"5-1차"</f>
        <v>5-1차</v>
      </c>
      <c r="D1812" s="1" t="str">
        <f>"0426D0925S"</f>
        <v>0426D0925S</v>
      </c>
      <c r="E1812" s="1" t="s">
        <v>10</v>
      </c>
      <c r="F1812" s="1" t="str">
        <f>"fde3:102:1430:6100:0:0:0:d"</f>
        <v>fde3:102:1430:6100:0:0:0:d</v>
      </c>
      <c r="G1812" s="1" t="str">
        <f>"0426D092"</f>
        <v>0426D092</v>
      </c>
      <c r="H1812" s="1" t="str">
        <f>"상면간 22L4"</f>
        <v>상면간 22L4</v>
      </c>
      <c r="I1812" s="1" t="s">
        <v>15</v>
      </c>
      <c r="J1812" s="1" t="str">
        <f>"72/72"</f>
        <v>72/72</v>
      </c>
      <c r="K1812" s="1" t="str">
        <f>"2026-07-29 14:20:43"</f>
        <v>2026-07-29 14:20:43</v>
      </c>
      <c r="L1812" s="1" t="str">
        <f>"2022-11-21 11:50:50"</f>
        <v>2022-11-21 11:50:50</v>
      </c>
      <c r="M1812" s="1" t="s">
        <v>45</v>
      </c>
      <c r="N1812" s="1" t="s">
        <v>38</v>
      </c>
      <c r="O1812" s="1" t="s">
        <v>46</v>
      </c>
    </row>
    <row r="1813" spans="2:15" x14ac:dyDescent="0.3">
      <c r="B1813" s="1" t="s">
        <v>24</v>
      </c>
      <c r="C1813" s="1" t="str">
        <f>"5-2차"</f>
        <v>5-2차</v>
      </c>
      <c r="D1813" s="1" t="str">
        <f>"0426D1175S"</f>
        <v>0426D1175S</v>
      </c>
      <c r="E1813" s="1" t="s">
        <v>10</v>
      </c>
      <c r="F1813" s="1" t="str">
        <f>"fde1:103:4:6e51:0:0:0:2"</f>
        <v>fde1:103:4:6e51:0:0:0:2</v>
      </c>
      <c r="G1813" s="1" t="str">
        <f>"0426D117"</f>
        <v>0426D117</v>
      </c>
      <c r="H1813" s="1" t="str">
        <f>"용마간 4R4R5R1"</f>
        <v>용마간 4R4R5R1</v>
      </c>
      <c r="I1813" s="1" t="s">
        <v>15</v>
      </c>
      <c r="J1813" s="1" t="str">
        <f>"60/60"</f>
        <v>60/60</v>
      </c>
      <c r="K1813" s="1" t="str">
        <f>"2026-07-29 14:21:32"</f>
        <v>2026-07-29 14:21:32</v>
      </c>
      <c r="L1813" s="1" t="str">
        <f>"2023-11-15 07:23:53"</f>
        <v>2023-11-15 07:23:53</v>
      </c>
      <c r="M1813" s="1" t="s">
        <v>4</v>
      </c>
      <c r="N1813" s="1" t="s">
        <v>38</v>
      </c>
      <c r="O1813" s="1" t="s">
        <v>46</v>
      </c>
    </row>
    <row r="1814" spans="2:15" x14ac:dyDescent="0.3">
      <c r="B1814" s="1" t="s">
        <v>24</v>
      </c>
      <c r="C1814" s="1" t="str">
        <f>"5-1차"</f>
        <v>5-1차</v>
      </c>
      <c r="D1814" s="1" t="str">
        <f>"0426D1915M"</f>
        <v>0426D1915M</v>
      </c>
      <c r="E1814" s="1" t="s">
        <v>10</v>
      </c>
      <c r="F1814" s="1" t="str">
        <f>"fde2:104:0:162:0:0:0:2"</f>
        <v>fde2:104:0:162:0:0:0:2</v>
      </c>
      <c r="G1814" s="1" t="str">
        <f>"0426D191"</f>
        <v>0426D191</v>
      </c>
      <c r="H1814" s="1" t="str">
        <f>"상면간 22L5"</f>
        <v>상면간 22L5</v>
      </c>
      <c r="I1814" s="1" t="s">
        <v>15</v>
      </c>
      <c r="J1814" s="1" t="str">
        <f>"36/36"</f>
        <v>36/36</v>
      </c>
      <c r="K1814" s="1" t="str">
        <f>"2026-07-29 14:21:04"</f>
        <v>2026-07-29 14:21:04</v>
      </c>
      <c r="L1814" s="1" t="str">
        <f>"2022-09-29 15:54:45"</f>
        <v>2022-09-29 15:54:45</v>
      </c>
      <c r="M1814" s="1" t="s">
        <v>42</v>
      </c>
      <c r="N1814" s="1" t="s">
        <v>38</v>
      </c>
      <c r="O1814" s="1" t="s">
        <v>46</v>
      </c>
    </row>
    <row r="1815" spans="2:15" x14ac:dyDescent="0.3">
      <c r="B1815" s="1" t="s">
        <v>24</v>
      </c>
      <c r="C1815" s="1" t="str">
        <f>"5-2차"</f>
        <v>5-2차</v>
      </c>
      <c r="D1815" s="1" t="str">
        <f>"0426D2115M"</f>
        <v>0426D2115M</v>
      </c>
      <c r="E1815" s="1" t="s">
        <v>10</v>
      </c>
      <c r="F1815" s="1" t="str">
        <f>"fde3:102:1440:4600:0:0:0:f"</f>
        <v>fde3:102:1440:4600:0:0:0:f</v>
      </c>
      <c r="G1815" s="1" t="str">
        <f>"0426D211"</f>
        <v>0426D211</v>
      </c>
      <c r="H1815" s="1" t="str">
        <f>"용마간 4R4R4"</f>
        <v>용마간 4R4R4</v>
      </c>
      <c r="I1815" s="1" t="s">
        <v>15</v>
      </c>
      <c r="J1815" s="1" t="str">
        <f>"65/65"</f>
        <v>65/65</v>
      </c>
      <c r="K1815" s="1" t="str">
        <f>"2026-07-29 14:21:28"</f>
        <v>2026-07-29 14:21:28</v>
      </c>
      <c r="L1815" s="1" t="str">
        <f>"2023-12-29 09:39:07"</f>
        <v>2023-12-29 09:39:07</v>
      </c>
      <c r="M1815" s="1" t="s">
        <v>45</v>
      </c>
      <c r="N1815" s="1" t="s">
        <v>38</v>
      </c>
      <c r="O1815" s="1" t="s">
        <v>46</v>
      </c>
    </row>
    <row r="1816" spans="2:15" x14ac:dyDescent="0.3">
      <c r="B1816" s="1" t="s">
        <v>24</v>
      </c>
      <c r="C1816" s="1" t="str">
        <f>"5-2차"</f>
        <v>5-2차</v>
      </c>
      <c r="D1816" s="1" t="str">
        <f>"0426D3235S"</f>
        <v>0426D3235S</v>
      </c>
      <c r="E1816" s="1" t="s">
        <v>10</v>
      </c>
      <c r="F1816" s="1" t="str">
        <f>"fde3:102:1440:4300:0:0:0:d"</f>
        <v>fde3:102:1440:4300:0:0:0:d</v>
      </c>
      <c r="G1816" s="1" t="str">
        <f>"0426D323"</f>
        <v>0426D323</v>
      </c>
      <c r="H1816" s="1" t="str">
        <f>"용마간 4R4R2"</f>
        <v>용마간 4R4R2</v>
      </c>
      <c r="I1816" s="1" t="s">
        <v>15</v>
      </c>
      <c r="J1816" s="1" t="str">
        <f>"62/63"</f>
        <v>62/63</v>
      </c>
      <c r="K1816" s="1" t="str">
        <f>"2026-07-29 14:20:47"</f>
        <v>2026-07-29 14:20:47</v>
      </c>
      <c r="L1816" s="1" t="str">
        <f>"2023-08-26 05:33:28"</f>
        <v>2023-08-26 05:33:28</v>
      </c>
      <c r="M1816" s="1" t="s">
        <v>45</v>
      </c>
      <c r="N1816" s="1" t="s">
        <v>38</v>
      </c>
      <c r="O1816" s="1" t="s">
        <v>46</v>
      </c>
    </row>
    <row r="1817" spans="2:15" x14ac:dyDescent="0.3">
      <c r="B1817" s="1" t="s">
        <v>24</v>
      </c>
      <c r="C1817" s="1" t="str">
        <f>"5-2차"</f>
        <v>5-2차</v>
      </c>
      <c r="D1817" s="1" t="str">
        <f>"0426D3325S"</f>
        <v>0426D3325S</v>
      </c>
      <c r="E1817" s="1" t="s">
        <v>10</v>
      </c>
      <c r="F1817" s="1" t="str">
        <f>"fde1:103:4:6e56:0:0:0:2"</f>
        <v>fde1:103:4:6e56:0:0:0:2</v>
      </c>
      <c r="G1817" s="1" t="str">
        <f>"0426D332"</f>
        <v>0426D332</v>
      </c>
      <c r="H1817" s="1" t="str">
        <f>"용마간 4R5"</f>
        <v>용마간 4R5</v>
      </c>
      <c r="I1817" s="1" t="s">
        <v>15</v>
      </c>
      <c r="J1817" s="1" t="str">
        <f>"49/49"</f>
        <v>49/49</v>
      </c>
      <c r="K1817" s="1" t="str">
        <f>"2026-07-29 14:21:32"</f>
        <v>2026-07-29 14:21:32</v>
      </c>
      <c r="L1817" s="1" t="str">
        <f>"2023-11-15 07:12:36"</f>
        <v>2023-11-15 07:12:36</v>
      </c>
      <c r="M1817" s="1" t="s">
        <v>4</v>
      </c>
      <c r="N1817" s="1" t="s">
        <v>38</v>
      </c>
      <c r="O1817" s="1" t="s">
        <v>46</v>
      </c>
    </row>
    <row r="1818" spans="2:15" x14ac:dyDescent="0.3">
      <c r="B1818" s="1" t="s">
        <v>24</v>
      </c>
      <c r="C1818" s="1" t="str">
        <f>"4차"</f>
        <v>4차</v>
      </c>
      <c r="D1818" s="1" t="str">
        <f>"0426D39244"</f>
        <v>0426D39244</v>
      </c>
      <c r="E1818" s="1" t="s">
        <v>10</v>
      </c>
      <c r="F1818" s="1" t="str">
        <f>"10.89.246.5"</f>
        <v>10.89.246.5</v>
      </c>
      <c r="G1818" s="1" t="str">
        <f>"0426D392"</f>
        <v>0426D392</v>
      </c>
      <c r="H1818" s="1" t="str">
        <f>"사가정지 45"</f>
        <v>사가정지 45</v>
      </c>
      <c r="I1818" s="1" t="s">
        <v>8</v>
      </c>
      <c r="J1818" s="1" t="str">
        <f>"28/29"</f>
        <v>28/29</v>
      </c>
      <c r="K1818" s="1" t="str">
        <f>"2026-07-29 13:18:03"</f>
        <v>2026-07-29 13:18:03</v>
      </c>
      <c r="L1818" s="1" t="str">
        <f>"2023-10-16 18:15:51"</f>
        <v>2023-10-16 18:15:51</v>
      </c>
      <c r="M1818" s="1" t="s">
        <v>45</v>
      </c>
      <c r="N1818" s="1" t="s">
        <v>38</v>
      </c>
      <c r="O1818" s="1" t="s">
        <v>46</v>
      </c>
    </row>
    <row r="1819" spans="2:15" x14ac:dyDescent="0.3">
      <c r="B1819" s="1" t="s">
        <v>24</v>
      </c>
      <c r="C1819" s="1" t="str">
        <f>"5-2차"</f>
        <v>5-2차</v>
      </c>
      <c r="D1819" s="1" t="str">
        <f>"0426E0835S"</f>
        <v>0426E0835S</v>
      </c>
      <c r="E1819" s="1" t="s">
        <v>10</v>
      </c>
      <c r="F1819" s="1" t="str">
        <f>"fde3:102:1430:6100:0:0:0:2a"</f>
        <v>fde3:102:1430:6100:0:0:0:2a</v>
      </c>
      <c r="G1819" s="1" t="str">
        <f>"0426E083"</f>
        <v>0426E083</v>
      </c>
      <c r="H1819" s="1" t="str">
        <f>"용마간 31R2"</f>
        <v>용마간 31R2</v>
      </c>
      <c r="I1819" s="1" t="s">
        <v>15</v>
      </c>
      <c r="J1819" s="1" t="str">
        <f>"39/39"</f>
        <v>39/39</v>
      </c>
      <c r="K1819" s="1" t="str">
        <f>"2026-07-29 14:21:18"</f>
        <v>2026-07-29 14:21:18</v>
      </c>
      <c r="L1819" s="1" t="str">
        <f>"2024-01-05 10:22:43"</f>
        <v>2024-01-05 10:22:43</v>
      </c>
      <c r="M1819" s="1" t="s">
        <v>45</v>
      </c>
      <c r="N1819" s="1" t="s">
        <v>38</v>
      </c>
      <c r="O1819" s="1" t="s">
        <v>46</v>
      </c>
    </row>
    <row r="1820" spans="2:15" x14ac:dyDescent="0.3">
      <c r="B1820" s="1" t="s">
        <v>24</v>
      </c>
      <c r="C1820" s="1" t="str">
        <f>"5-2차"</f>
        <v>5-2차</v>
      </c>
      <c r="D1820" s="1" t="str">
        <f>"0426E0915M"</f>
        <v>0426E0915M</v>
      </c>
      <c r="E1820" s="1" t="s">
        <v>10</v>
      </c>
      <c r="F1820" s="1" t="str">
        <f>"fde1:103:4:6e50:0:0:0:2"</f>
        <v>fde1:103:4:6e50:0:0:0:2</v>
      </c>
      <c r="G1820" s="1" t="str">
        <f>"0426E091"</f>
        <v>0426E091</v>
      </c>
      <c r="H1820" s="1" t="str">
        <f>"사가정지 28"</f>
        <v>사가정지 28</v>
      </c>
      <c r="I1820" s="1" t="s">
        <v>15</v>
      </c>
      <c r="J1820" s="1" t="str">
        <f>"23/23"</f>
        <v>23/23</v>
      </c>
      <c r="K1820" s="1" t="str">
        <f>"2026-07-29 14:21:09"</f>
        <v>2026-07-29 14:21:09</v>
      </c>
      <c r="L1820" s="1" t="str">
        <f>"2023-11-17 11:59:16"</f>
        <v>2023-11-17 11:59:16</v>
      </c>
      <c r="M1820" s="1" t="s">
        <v>4</v>
      </c>
      <c r="N1820" s="1" t="s">
        <v>38</v>
      </c>
      <c r="O1820" s="1" t="s">
        <v>46</v>
      </c>
    </row>
    <row r="1821" spans="2:15" x14ac:dyDescent="0.3">
      <c r="B1821" s="1" t="s">
        <v>24</v>
      </c>
      <c r="C1821" s="1" t="str">
        <f>"5-1차"</f>
        <v>5-1차</v>
      </c>
      <c r="D1821" s="1" t="str">
        <f>"0426E1715S"</f>
        <v>0426E1715S</v>
      </c>
      <c r="E1821" s="1" t="s">
        <v>10</v>
      </c>
      <c r="F1821" s="1" t="str">
        <f>"fde3:102:1430:6100:0:0:0:8"</f>
        <v>fde3:102:1430:6100:0:0:0:8</v>
      </c>
      <c r="G1821" s="1" t="str">
        <f>"0426E171"</f>
        <v>0426E171</v>
      </c>
      <c r="H1821" s="1" t="str">
        <f>"용마간 31R3"</f>
        <v>용마간 31R3</v>
      </c>
      <c r="I1821" s="1" t="s">
        <v>15</v>
      </c>
      <c r="J1821" s="1" t="str">
        <f>"31/31"</f>
        <v>31/31</v>
      </c>
      <c r="K1821" s="1" t="str">
        <f>"2026-07-29 14:20:43"</f>
        <v>2026-07-29 14:20:43</v>
      </c>
      <c r="L1821" s="1" t="str">
        <f>"2022-10-18 09:40:53"</f>
        <v>2022-10-18 09:40:53</v>
      </c>
      <c r="M1821" s="1" t="s">
        <v>45</v>
      </c>
      <c r="N1821" s="1" t="s">
        <v>38</v>
      </c>
      <c r="O1821" s="1" t="s">
        <v>46</v>
      </c>
    </row>
    <row r="1822" spans="2:15" x14ac:dyDescent="0.3">
      <c r="B1822" s="1" t="s">
        <v>24</v>
      </c>
      <c r="C1822" s="1" t="str">
        <f t="shared" ref="C1822:C1829" si="106">"5-2차"</f>
        <v>5-2차</v>
      </c>
      <c r="D1822" s="1" t="str">
        <f>"0426E1725M"</f>
        <v>0426E1725M</v>
      </c>
      <c r="E1822" s="1" t="s">
        <v>10</v>
      </c>
      <c r="F1822" s="1" t="str">
        <f>"fde3:102:1430:6100:0:0:0:29"</f>
        <v>fde3:102:1430:6100:0:0:0:29</v>
      </c>
      <c r="G1822" s="1" t="str">
        <f>"0426E172"</f>
        <v>0426E172</v>
      </c>
      <c r="H1822" s="1" t="str">
        <f>"용마간 31R4"</f>
        <v>용마간 31R4</v>
      </c>
      <c r="I1822" s="1" t="s">
        <v>15</v>
      </c>
      <c r="J1822" s="1" t="str">
        <f>"28/30"</f>
        <v>28/30</v>
      </c>
      <c r="K1822" s="1" t="str">
        <f>"2026-07-29 14:20:42"</f>
        <v>2026-07-29 14:20:42</v>
      </c>
      <c r="L1822" s="1" t="str">
        <f>"2024-01-05 10:21:13"</f>
        <v>2024-01-05 10:21:13</v>
      </c>
      <c r="M1822" s="1" t="s">
        <v>45</v>
      </c>
      <c r="N1822" s="1" t="s">
        <v>38</v>
      </c>
      <c r="O1822" s="1" t="s">
        <v>46</v>
      </c>
    </row>
    <row r="1823" spans="2:15" x14ac:dyDescent="0.3">
      <c r="B1823" s="1" t="s">
        <v>24</v>
      </c>
      <c r="C1823" s="1" t="str">
        <f t="shared" si="106"/>
        <v>5-2차</v>
      </c>
      <c r="D1823" s="1" t="str">
        <f>"0426E2715S"</f>
        <v>0426E2715S</v>
      </c>
      <c r="E1823" s="1" t="s">
        <v>10</v>
      </c>
      <c r="F1823" s="1" t="str">
        <f>"fde1:103:4:6e4f:0:0:0:2"</f>
        <v>fde1:103:4:6e4f:0:0:0:2</v>
      </c>
      <c r="G1823" s="1" t="str">
        <f>"0426E271"</f>
        <v>0426E271</v>
      </c>
      <c r="H1823" s="1" t="str">
        <f>"용마간 35R5"</f>
        <v>용마간 35R5</v>
      </c>
      <c r="I1823" s="1" t="s">
        <v>15</v>
      </c>
      <c r="J1823" s="1" t="str">
        <f>"64/64"</f>
        <v>64/64</v>
      </c>
      <c r="K1823" s="1" t="str">
        <f>"2026-07-29 14:20:49"</f>
        <v>2026-07-29 14:20:49</v>
      </c>
      <c r="L1823" s="1" t="str">
        <f>"2023-11-17 12:05:57"</f>
        <v>2023-11-17 12:05:57</v>
      </c>
      <c r="M1823" s="1" t="s">
        <v>4</v>
      </c>
      <c r="N1823" s="1" t="s">
        <v>38</v>
      </c>
      <c r="O1823" s="1" t="s">
        <v>46</v>
      </c>
    </row>
    <row r="1824" spans="2:15" x14ac:dyDescent="0.3">
      <c r="B1824" s="1" t="s">
        <v>24</v>
      </c>
      <c r="C1824" s="1" t="str">
        <f t="shared" si="106"/>
        <v>5-2차</v>
      </c>
      <c r="D1824" s="1" t="str">
        <f>"0426E2815S"</f>
        <v>0426E2815S</v>
      </c>
      <c r="E1824" s="1" t="s">
        <v>10</v>
      </c>
      <c r="F1824" s="1" t="str">
        <f>"fde1:103:4:6e4e:0:0:0:2"</f>
        <v>fde1:103:4:6e4e:0:0:0:2</v>
      </c>
      <c r="G1824" s="1" t="str">
        <f>"0426E281"</f>
        <v>0426E281</v>
      </c>
      <c r="H1824" s="1" t="str">
        <f>"용마간 36R3R3"</f>
        <v>용마간 36R3R3</v>
      </c>
      <c r="I1824" s="1" t="s">
        <v>15</v>
      </c>
      <c r="J1824" s="1" t="str">
        <f>"62/62"</f>
        <v>62/62</v>
      </c>
      <c r="K1824" s="1" t="str">
        <f>"2026-07-29 14:21:35"</f>
        <v>2026-07-29 14:21:35</v>
      </c>
      <c r="L1824" s="1" t="str">
        <f>"2023-11-17 12:09:56"</f>
        <v>2023-11-17 12:09:56</v>
      </c>
      <c r="M1824" s="1" t="s">
        <v>4</v>
      </c>
      <c r="N1824" s="1" t="s">
        <v>38</v>
      </c>
      <c r="O1824" s="1" t="s">
        <v>46</v>
      </c>
    </row>
    <row r="1825" spans="2:15" x14ac:dyDescent="0.3">
      <c r="B1825" s="1" t="s">
        <v>24</v>
      </c>
      <c r="C1825" s="1" t="str">
        <f t="shared" si="106"/>
        <v>5-2차</v>
      </c>
      <c r="D1825" s="1" t="str">
        <f>"0426E2845M"</f>
        <v>0426E2845M</v>
      </c>
      <c r="E1825" s="1" t="s">
        <v>10</v>
      </c>
      <c r="F1825" s="1" t="str">
        <f>"fde3:102:1430:6100:0:0:0:2c"</f>
        <v>fde3:102:1430:6100:0:0:0:2c</v>
      </c>
      <c r="G1825" s="1" t="str">
        <f>"0426E284"</f>
        <v>0426E284</v>
      </c>
      <c r="H1825" s="1" t="str">
        <f>"용마간 35R3"</f>
        <v>용마간 35R3</v>
      </c>
      <c r="I1825" s="1" t="s">
        <v>15</v>
      </c>
      <c r="J1825" s="1" t="str">
        <f>"42/42"</f>
        <v>42/42</v>
      </c>
      <c r="K1825" s="1" t="str">
        <f>"2026-07-29 14:20:43"</f>
        <v>2026-07-29 14:20:43</v>
      </c>
      <c r="L1825" s="1" t="str">
        <f>"2024-01-05 10:25:37"</f>
        <v>2024-01-05 10:25:37</v>
      </c>
      <c r="M1825" s="1" t="s">
        <v>45</v>
      </c>
      <c r="N1825" s="1" t="s">
        <v>38</v>
      </c>
      <c r="O1825" s="1" t="s">
        <v>46</v>
      </c>
    </row>
    <row r="1826" spans="2:15" x14ac:dyDescent="0.3">
      <c r="B1826" s="1" t="s">
        <v>24</v>
      </c>
      <c r="C1826" s="1" t="str">
        <f t="shared" si="106"/>
        <v>5-2차</v>
      </c>
      <c r="D1826" s="1" t="str">
        <f>"0426E2915S"</f>
        <v>0426E2915S</v>
      </c>
      <c r="E1826" s="1" t="s">
        <v>10</v>
      </c>
      <c r="F1826" s="1" t="str">
        <f>"fde3:102:1430:6100:0:0:0:2d"</f>
        <v>fde3:102:1430:6100:0:0:0:2d</v>
      </c>
      <c r="G1826" s="1" t="str">
        <f>"0426E291"</f>
        <v>0426E291</v>
      </c>
      <c r="H1826" s="1" t="str">
        <f>"용마간 35R2"</f>
        <v>용마간 35R2</v>
      </c>
      <c r="I1826" s="1" t="s">
        <v>15</v>
      </c>
      <c r="J1826" s="1" t="str">
        <f>"47/47"</f>
        <v>47/47</v>
      </c>
      <c r="K1826" s="1" t="str">
        <f>"2026-07-29 14:20:43"</f>
        <v>2026-07-29 14:20:43</v>
      </c>
      <c r="L1826" s="1" t="str">
        <f>"2024-01-05 10:27:11"</f>
        <v>2024-01-05 10:27:11</v>
      </c>
      <c r="M1826" s="1" t="s">
        <v>45</v>
      </c>
      <c r="N1826" s="1" t="s">
        <v>38</v>
      </c>
      <c r="O1826" s="1" t="s">
        <v>46</v>
      </c>
    </row>
    <row r="1827" spans="2:15" x14ac:dyDescent="0.3">
      <c r="B1827" s="1" t="s">
        <v>24</v>
      </c>
      <c r="C1827" s="1" t="str">
        <f t="shared" si="106"/>
        <v>5-2차</v>
      </c>
      <c r="D1827" s="1" t="str">
        <f>"0426E3615S"</f>
        <v>0426E3615S</v>
      </c>
      <c r="E1827" s="1" t="s">
        <v>10</v>
      </c>
      <c r="F1827" s="1" t="str">
        <f>"fde3:102:1430:6100:0:0:0:2b"</f>
        <v>fde3:102:1430:6100:0:0:0:2b</v>
      </c>
      <c r="G1827" s="1" t="str">
        <f>"0426E361"</f>
        <v>0426E361</v>
      </c>
      <c r="H1827" s="1" t="str">
        <f>"용마간 35R7"</f>
        <v>용마간 35R7</v>
      </c>
      <c r="I1827" s="1" t="s">
        <v>15</v>
      </c>
      <c r="J1827" s="1" t="str">
        <f>"62/62"</f>
        <v>62/62</v>
      </c>
      <c r="K1827" s="1" t="str">
        <f>"2026-07-29 14:21:28"</f>
        <v>2026-07-29 14:21:28</v>
      </c>
      <c r="L1827" s="1" t="str">
        <f>"2024-01-05 10:24:07"</f>
        <v>2024-01-05 10:24:07</v>
      </c>
      <c r="M1827" s="1" t="s">
        <v>45</v>
      </c>
      <c r="N1827" s="1" t="s">
        <v>38</v>
      </c>
      <c r="O1827" s="1" t="s">
        <v>46</v>
      </c>
    </row>
    <row r="1828" spans="2:15" x14ac:dyDescent="0.3">
      <c r="B1828" s="1" t="s">
        <v>24</v>
      </c>
      <c r="C1828" s="1" t="str">
        <f t="shared" si="106"/>
        <v>5-2차</v>
      </c>
      <c r="D1828" s="1" t="str">
        <f>"0426E3815S"</f>
        <v>0426E3815S</v>
      </c>
      <c r="E1828" s="1" t="s">
        <v>10</v>
      </c>
      <c r="F1828" s="1" t="str">
        <f>"fde3:102:1430:6100:0:0:0:2e"</f>
        <v>fde3:102:1430:6100:0:0:0:2e</v>
      </c>
      <c r="G1828" s="1" t="str">
        <f>"0426E381"</f>
        <v>0426E381</v>
      </c>
      <c r="H1828" s="1" t="str">
        <f>"용마간 36R3R2"</f>
        <v>용마간 36R3R2</v>
      </c>
      <c r="I1828" s="1" t="s">
        <v>15</v>
      </c>
      <c r="J1828" s="1" t="str">
        <f>"39/39"</f>
        <v>39/39</v>
      </c>
      <c r="K1828" s="1" t="str">
        <f>"2026-07-29 14:21:02"</f>
        <v>2026-07-29 14:21:02</v>
      </c>
      <c r="L1828" s="1" t="str">
        <f>"2024-01-05 10:28:36"</f>
        <v>2024-01-05 10:28:36</v>
      </c>
      <c r="M1828" s="1" t="s">
        <v>45</v>
      </c>
      <c r="N1828" s="1" t="s">
        <v>38</v>
      </c>
      <c r="O1828" s="1" t="s">
        <v>46</v>
      </c>
    </row>
    <row r="1829" spans="2:15" x14ac:dyDescent="0.3">
      <c r="B1829" s="1" t="s">
        <v>24</v>
      </c>
      <c r="C1829" s="1" t="str">
        <f t="shared" si="106"/>
        <v>5-2차</v>
      </c>
      <c r="D1829" s="1" t="str">
        <f>"0426E5825S"</f>
        <v>0426E5825S</v>
      </c>
      <c r="E1829" s="1" t="s">
        <v>10</v>
      </c>
      <c r="F1829" s="1" t="str">
        <f>"fde1:103:4:6e57:0:0:0:2"</f>
        <v>fde1:103:4:6e57:0:0:0:2</v>
      </c>
      <c r="G1829" s="1" t="str">
        <f>"0426E582"</f>
        <v>0426E582</v>
      </c>
      <c r="H1829" s="1" t="str">
        <f>"용마간 36R6"</f>
        <v>용마간 36R6</v>
      </c>
      <c r="I1829" s="1" t="s">
        <v>15</v>
      </c>
      <c r="J1829" s="1" t="str">
        <f>"34/34"</f>
        <v>34/34</v>
      </c>
      <c r="K1829" s="1" t="str">
        <f>"2026-07-29 14:20:44"</f>
        <v>2026-07-29 14:20:44</v>
      </c>
      <c r="L1829" s="1" t="str">
        <f>"2023-11-17 12:23:56"</f>
        <v>2023-11-17 12:23:56</v>
      </c>
      <c r="M1829" s="1" t="s">
        <v>4</v>
      </c>
      <c r="N1829" s="1" t="s">
        <v>38</v>
      </c>
      <c r="O1829" s="1" t="s">
        <v>46</v>
      </c>
    </row>
    <row r="1830" spans="2:15" x14ac:dyDescent="0.3">
      <c r="B1830" s="1" t="s">
        <v>24</v>
      </c>
      <c r="C1830" s="1" t="str">
        <f>"3차"</f>
        <v>3차</v>
      </c>
      <c r="D1830" s="1" t="str">
        <f>"0427A01139"</f>
        <v>0427A01139</v>
      </c>
      <c r="E1830" s="1" t="s">
        <v>10</v>
      </c>
      <c r="F1830" s="1" t="str">
        <f>"10.12.131.66"</f>
        <v>10.12.131.66</v>
      </c>
      <c r="G1830" s="1" t="str">
        <f>"0427A011"</f>
        <v>0427A011</v>
      </c>
      <c r="H1830" s="1" t="str">
        <f>"대주간 1L8"</f>
        <v>대주간 1L8</v>
      </c>
      <c r="I1830" s="1" t="s">
        <v>8</v>
      </c>
      <c r="J1830" s="1" t="str">
        <f>"34/34"</f>
        <v>34/34</v>
      </c>
      <c r="K1830" s="1" t="str">
        <f>"2026-07-29 13:18:05"</f>
        <v>2026-07-29 13:18:05</v>
      </c>
      <c r="L1830" s="1" t="str">
        <f>"2018-04-18 16:02:43"</f>
        <v>2018-04-18 16:02:43</v>
      </c>
      <c r="M1830" s="1" t="s">
        <v>0</v>
      </c>
      <c r="N1830" s="1" t="s">
        <v>38</v>
      </c>
      <c r="O1830" s="1" t="s">
        <v>46</v>
      </c>
    </row>
    <row r="1831" spans="2:15" x14ac:dyDescent="0.3">
      <c r="B1831" s="1" t="s">
        <v>24</v>
      </c>
      <c r="C1831" s="1" t="str">
        <f>"3차"</f>
        <v>3차</v>
      </c>
      <c r="D1831" s="1" t="str">
        <f>"0427A02231"</f>
        <v>0427A02231</v>
      </c>
      <c r="E1831" s="1" t="s">
        <v>10</v>
      </c>
      <c r="F1831" s="1" t="str">
        <f>"10.10.7.91"</f>
        <v>10.10.7.91</v>
      </c>
      <c r="G1831" s="1" t="str">
        <f>"0427A022"</f>
        <v>0427A022</v>
      </c>
      <c r="H1831" s="1" t="str">
        <f>"화목간 1L9R4"</f>
        <v>화목간 1L9R4</v>
      </c>
      <c r="I1831" s="1" t="s">
        <v>8</v>
      </c>
      <c r="J1831" s="1" t="str">
        <f>"32/32"</f>
        <v>32/32</v>
      </c>
      <c r="K1831" s="1" t="str">
        <f>"2026-07-29 13:18:03"</f>
        <v>2026-07-29 13:18:03</v>
      </c>
      <c r="L1831" s="1" t="str">
        <f>"2018-02-10 13:39:44"</f>
        <v>2018-02-10 13:39:44</v>
      </c>
      <c r="M1831" s="1" t="s">
        <v>1</v>
      </c>
      <c r="N1831" s="1" t="s">
        <v>38</v>
      </c>
      <c r="O1831" s="1" t="s">
        <v>46</v>
      </c>
    </row>
    <row r="1832" spans="2:15" x14ac:dyDescent="0.3">
      <c r="B1832" s="1" t="s">
        <v>24</v>
      </c>
      <c r="C1832" s="1" t="str">
        <f>"3차"</f>
        <v>3차</v>
      </c>
      <c r="D1832" s="1" t="str">
        <f>"0427A03430"</f>
        <v>0427A03430</v>
      </c>
      <c r="E1832" s="1" t="s">
        <v>10</v>
      </c>
      <c r="F1832" s="1" t="str">
        <f>"10.10.7.90"</f>
        <v>10.10.7.90</v>
      </c>
      <c r="G1832" s="1" t="str">
        <f>"0427A034"</f>
        <v>0427A034</v>
      </c>
      <c r="H1832" s="1" t="str">
        <f>"화목간 1L9R2"</f>
        <v>화목간 1L9R2</v>
      </c>
      <c r="I1832" s="1" t="s">
        <v>8</v>
      </c>
      <c r="J1832" s="1" t="str">
        <f>"3/3"</f>
        <v>3/3</v>
      </c>
      <c r="K1832" s="1" t="str">
        <f>"2026-07-29 13:18:04"</f>
        <v>2026-07-29 13:18:04</v>
      </c>
      <c r="L1832" s="1" t="str">
        <f>"2018-05-11 19:14:30"</f>
        <v>2018-05-11 19:14:30</v>
      </c>
      <c r="M1832" s="1" t="s">
        <v>1</v>
      </c>
      <c r="N1832" s="1" t="s">
        <v>38</v>
      </c>
      <c r="O1832" s="1" t="s">
        <v>46</v>
      </c>
    </row>
    <row r="1833" spans="2:15" x14ac:dyDescent="0.3">
      <c r="B1833" s="1" t="s">
        <v>24</v>
      </c>
      <c r="C1833" s="1" t="str">
        <f>"3차"</f>
        <v>3차</v>
      </c>
      <c r="D1833" s="1" t="str">
        <f>"0427A08139"</f>
        <v>0427A08139</v>
      </c>
      <c r="E1833" s="1" t="s">
        <v>10</v>
      </c>
      <c r="F1833" s="1" t="str">
        <f>"10.10.24.186"</f>
        <v>10.10.24.186</v>
      </c>
      <c r="G1833" s="1" t="str">
        <f>"0427A081"</f>
        <v>0427A081</v>
      </c>
      <c r="H1833" s="1" t="str">
        <f>"한독간 40"</f>
        <v>한독간 40</v>
      </c>
      <c r="I1833" s="1" t="s">
        <v>8</v>
      </c>
      <c r="J1833" s="1" t="str">
        <f>"1/15"</f>
        <v>1/15</v>
      </c>
      <c r="K1833" s="1" t="str">
        <f>"2026-07-29 13:18:03"</f>
        <v>2026-07-29 13:18:03</v>
      </c>
      <c r="L1833" s="1" t="str">
        <f>"2018-03-12 10:02:56"</f>
        <v>2018-03-12 10:02:56</v>
      </c>
      <c r="M1833" s="1" t="s">
        <v>1</v>
      </c>
      <c r="N1833" s="1" t="s">
        <v>38</v>
      </c>
      <c r="O1833" s="1" t="s">
        <v>46</v>
      </c>
    </row>
    <row r="1834" spans="2:15" x14ac:dyDescent="0.3">
      <c r="B1834" s="1" t="s">
        <v>24</v>
      </c>
      <c r="C1834" s="1" t="str">
        <f t="shared" ref="C1834:C1857" si="107">"4차"</f>
        <v>4차</v>
      </c>
      <c r="D1834" s="1" t="str">
        <f>"0427A10244"</f>
        <v>0427A10244</v>
      </c>
      <c r="E1834" s="1" t="s">
        <v>10</v>
      </c>
      <c r="F1834" s="1" t="str">
        <f>"10.10.43.90"</f>
        <v>10.10.43.90</v>
      </c>
      <c r="G1834" s="1" t="str">
        <f>"0427A102"</f>
        <v>0427A102</v>
      </c>
      <c r="H1834" s="1" t="str">
        <f>"대주간 1L6R2R1"</f>
        <v>대주간 1L6R2R1</v>
      </c>
      <c r="I1834" s="1" t="s">
        <v>8</v>
      </c>
      <c r="J1834" s="1" t="str">
        <f>"26/26"</f>
        <v>26/26</v>
      </c>
      <c r="K1834" s="1" t="str">
        <f>"2026-07-29 13:18:03"</f>
        <v>2026-07-29 13:18:03</v>
      </c>
      <c r="L1834" s="1" t="str">
        <f>"2019-10-11 14:14:22"</f>
        <v>2019-10-11 14:14:22</v>
      </c>
      <c r="M1834" s="1" t="s">
        <v>1</v>
      </c>
      <c r="N1834" s="1" t="s">
        <v>38</v>
      </c>
      <c r="O1834" s="1" t="s">
        <v>46</v>
      </c>
    </row>
    <row r="1835" spans="2:15" x14ac:dyDescent="0.3">
      <c r="B1835" s="1" t="s">
        <v>24</v>
      </c>
      <c r="C1835" s="1" t="str">
        <f t="shared" si="107"/>
        <v>4차</v>
      </c>
      <c r="D1835" s="1" t="str">
        <f>"0427A12244"</f>
        <v>0427A12244</v>
      </c>
      <c r="E1835" s="1" t="s">
        <v>10</v>
      </c>
      <c r="F1835" s="1" t="str">
        <f>"10.10.42.50"</f>
        <v>10.10.42.50</v>
      </c>
      <c r="G1835" s="1" t="str">
        <f>"0427A122"</f>
        <v>0427A122</v>
      </c>
      <c r="H1835" s="1" t="str">
        <f>"대주간 1L10R2R2"</f>
        <v>대주간 1L10R2R2</v>
      </c>
      <c r="I1835" s="1" t="s">
        <v>8</v>
      </c>
      <c r="J1835" s="1" t="str">
        <f>"51/58"</f>
        <v>51/58</v>
      </c>
      <c r="K1835" s="1" t="str">
        <f t="shared" ref="K1835:K1841" si="108">"2026-07-29 13:18:04"</f>
        <v>2026-07-29 13:18:04</v>
      </c>
      <c r="L1835" s="1" t="str">
        <f>"2019-09-26 14:11:03"</f>
        <v>2019-09-26 14:11:03</v>
      </c>
      <c r="M1835" s="1" t="s">
        <v>1</v>
      </c>
      <c r="N1835" s="1" t="s">
        <v>38</v>
      </c>
      <c r="O1835" s="1" t="s">
        <v>46</v>
      </c>
    </row>
    <row r="1836" spans="2:15" x14ac:dyDescent="0.3">
      <c r="B1836" s="1" t="s">
        <v>24</v>
      </c>
      <c r="C1836" s="1" t="str">
        <f t="shared" si="107"/>
        <v>4차</v>
      </c>
      <c r="D1836" s="1" t="str">
        <f>"0427A13144"</f>
        <v>0427A13144</v>
      </c>
      <c r="E1836" s="1" t="s">
        <v>10</v>
      </c>
      <c r="F1836" s="1" t="str">
        <f>"10.10.42.42"</f>
        <v>10.10.42.42</v>
      </c>
      <c r="G1836" s="1" t="str">
        <f>"0427A131"</f>
        <v>0427A131</v>
      </c>
      <c r="H1836" s="1" t="str">
        <f>"대주간 1L10R2"</f>
        <v>대주간 1L10R2</v>
      </c>
      <c r="I1836" s="1" t="s">
        <v>8</v>
      </c>
      <c r="J1836" s="1" t="str">
        <f>"33/36"</f>
        <v>33/36</v>
      </c>
      <c r="K1836" s="1" t="str">
        <f t="shared" si="108"/>
        <v>2026-07-29 13:18:04</v>
      </c>
      <c r="L1836" s="1" t="str">
        <f>"2019-09-26 14:03:04"</f>
        <v>2019-09-26 14:03:04</v>
      </c>
      <c r="M1836" s="1" t="s">
        <v>1</v>
      </c>
      <c r="N1836" s="1" t="s">
        <v>38</v>
      </c>
      <c r="O1836" s="1" t="s">
        <v>46</v>
      </c>
    </row>
    <row r="1837" spans="2:15" x14ac:dyDescent="0.3">
      <c r="B1837" s="1" t="s">
        <v>24</v>
      </c>
      <c r="C1837" s="1" t="str">
        <f t="shared" si="107"/>
        <v>4차</v>
      </c>
      <c r="D1837" s="1" t="str">
        <f>"0427A20244"</f>
        <v>0427A20244</v>
      </c>
      <c r="E1837" s="1" t="s">
        <v>10</v>
      </c>
      <c r="F1837" s="1" t="str">
        <f>"10.10.44.10"</f>
        <v>10.10.44.10</v>
      </c>
      <c r="G1837" s="1" t="str">
        <f>"0427A202"</f>
        <v>0427A202</v>
      </c>
      <c r="H1837" s="1" t="str">
        <f>"상이간 6R7"</f>
        <v>상이간 6R7</v>
      </c>
      <c r="I1837" s="1" t="s">
        <v>8</v>
      </c>
      <c r="J1837" s="1" t="str">
        <f>"28/28"</f>
        <v>28/28</v>
      </c>
      <c r="K1837" s="1" t="str">
        <f t="shared" si="108"/>
        <v>2026-07-29 13:18:04</v>
      </c>
      <c r="L1837" s="1" t="str">
        <f>"2019-10-11 14:28:01"</f>
        <v>2019-10-11 14:28:01</v>
      </c>
      <c r="M1837" s="1" t="s">
        <v>1</v>
      </c>
      <c r="N1837" s="1" t="s">
        <v>38</v>
      </c>
      <c r="O1837" s="1" t="s">
        <v>46</v>
      </c>
    </row>
    <row r="1838" spans="2:15" x14ac:dyDescent="0.3">
      <c r="B1838" s="1" t="s">
        <v>24</v>
      </c>
      <c r="C1838" s="1" t="str">
        <f t="shared" si="107"/>
        <v>4차</v>
      </c>
      <c r="D1838" s="1" t="str">
        <f>"0427A21244"</f>
        <v>0427A21244</v>
      </c>
      <c r="E1838" s="1" t="s">
        <v>10</v>
      </c>
      <c r="F1838" s="1" t="str">
        <f>"10.10.43.98"</f>
        <v>10.10.43.98</v>
      </c>
      <c r="G1838" s="1" t="str">
        <f>"0427A212"</f>
        <v>0427A212</v>
      </c>
      <c r="H1838" s="1" t="str">
        <f>"대주간 1L6R4"</f>
        <v>대주간 1L6R4</v>
      </c>
      <c r="I1838" s="1" t="s">
        <v>8</v>
      </c>
      <c r="J1838" s="1" t="str">
        <f>"52/55"</f>
        <v>52/55</v>
      </c>
      <c r="K1838" s="1" t="str">
        <f t="shared" si="108"/>
        <v>2026-07-29 13:18:04</v>
      </c>
      <c r="L1838" s="1" t="str">
        <f>"2019-09-26 15:53:05"</f>
        <v>2019-09-26 15:53:05</v>
      </c>
      <c r="M1838" s="1" t="s">
        <v>1</v>
      </c>
      <c r="N1838" s="1" t="s">
        <v>38</v>
      </c>
      <c r="O1838" s="1" t="s">
        <v>46</v>
      </c>
    </row>
    <row r="1839" spans="2:15" x14ac:dyDescent="0.3">
      <c r="B1839" s="1" t="s">
        <v>24</v>
      </c>
      <c r="C1839" s="1" t="str">
        <f t="shared" si="107"/>
        <v>4차</v>
      </c>
      <c r="D1839" s="1" t="str">
        <f>"0427A21544"</f>
        <v>0427A21544</v>
      </c>
      <c r="E1839" s="1" t="s">
        <v>10</v>
      </c>
      <c r="F1839" s="1" t="str">
        <f>"10.10.43.234"</f>
        <v>10.10.43.234</v>
      </c>
      <c r="G1839" s="1" t="str">
        <f>"0427A215"</f>
        <v>0427A215</v>
      </c>
      <c r="H1839" s="1" t="str">
        <f>"상이간 4R4"</f>
        <v>상이간 4R4</v>
      </c>
      <c r="I1839" s="1" t="s">
        <v>8</v>
      </c>
      <c r="J1839" s="1" t="str">
        <f>"19/19"</f>
        <v>19/19</v>
      </c>
      <c r="K1839" s="1" t="str">
        <f t="shared" si="108"/>
        <v>2026-07-29 13:18:04</v>
      </c>
      <c r="L1839" s="1" t="str">
        <f>"2019-10-31 14:13:04"</f>
        <v>2019-10-31 14:13:04</v>
      </c>
      <c r="M1839" s="1" t="s">
        <v>1</v>
      </c>
      <c r="N1839" s="1" t="s">
        <v>38</v>
      </c>
      <c r="O1839" s="1" t="s">
        <v>46</v>
      </c>
    </row>
    <row r="1840" spans="2:15" x14ac:dyDescent="0.3">
      <c r="B1840" s="1" t="s">
        <v>24</v>
      </c>
      <c r="C1840" s="1" t="str">
        <f t="shared" si="107"/>
        <v>4차</v>
      </c>
      <c r="D1840" s="1" t="str">
        <f>"0427A22244"</f>
        <v>0427A22244</v>
      </c>
      <c r="E1840" s="1" t="s">
        <v>10</v>
      </c>
      <c r="F1840" s="1" t="str">
        <f>"10.10.43.202"</f>
        <v>10.10.43.202</v>
      </c>
      <c r="G1840" s="1" t="str">
        <f>"0427A222"</f>
        <v>0427A222</v>
      </c>
      <c r="H1840" s="1" t="str">
        <f>"상이간 3R3"</f>
        <v>상이간 3R3</v>
      </c>
      <c r="I1840" s="1" t="s">
        <v>8</v>
      </c>
      <c r="J1840" s="1" t="str">
        <f>"27/27"</f>
        <v>27/27</v>
      </c>
      <c r="K1840" s="1" t="str">
        <f t="shared" si="108"/>
        <v>2026-07-29 13:18:04</v>
      </c>
      <c r="L1840" s="1" t="str">
        <f>"2019-10-31 13:13:05"</f>
        <v>2019-10-31 13:13:05</v>
      </c>
      <c r="M1840" s="1" t="s">
        <v>1</v>
      </c>
      <c r="N1840" s="1" t="s">
        <v>38</v>
      </c>
      <c r="O1840" s="1" t="s">
        <v>46</v>
      </c>
    </row>
    <row r="1841" spans="2:15" x14ac:dyDescent="0.3">
      <c r="B1841" s="1" t="s">
        <v>24</v>
      </c>
      <c r="C1841" s="1" t="str">
        <f t="shared" si="107"/>
        <v>4차</v>
      </c>
      <c r="D1841" s="1" t="str">
        <f>"0427A22344"</f>
        <v>0427A22344</v>
      </c>
      <c r="E1841" s="1" t="s">
        <v>10</v>
      </c>
      <c r="F1841" s="1" t="str">
        <f>"10.10.43.210"</f>
        <v>10.10.43.210</v>
      </c>
      <c r="G1841" s="1" t="str">
        <f>"0427A223"</f>
        <v>0427A223</v>
      </c>
      <c r="H1841" s="1" t="str">
        <f>"상이간 3R4"</f>
        <v>상이간 3R4</v>
      </c>
      <c r="I1841" s="1" t="s">
        <v>8</v>
      </c>
      <c r="J1841" s="1" t="str">
        <f>"26/26"</f>
        <v>26/26</v>
      </c>
      <c r="K1841" s="1" t="str">
        <f t="shared" si="108"/>
        <v>2026-07-29 13:18:04</v>
      </c>
      <c r="L1841" s="1" t="str">
        <f>"2019-10-31 13:23:03"</f>
        <v>2019-10-31 13:23:03</v>
      </c>
      <c r="M1841" s="1" t="s">
        <v>1</v>
      </c>
      <c r="N1841" s="1" t="s">
        <v>38</v>
      </c>
      <c r="O1841" s="1" t="s">
        <v>46</v>
      </c>
    </row>
    <row r="1842" spans="2:15" x14ac:dyDescent="0.3">
      <c r="B1842" s="1" t="s">
        <v>24</v>
      </c>
      <c r="C1842" s="1" t="str">
        <f t="shared" si="107"/>
        <v>4차</v>
      </c>
      <c r="D1842" s="1" t="str">
        <f>"0427A24144"</f>
        <v>0427A24144</v>
      </c>
      <c r="E1842" s="1" t="str">
        <f>"검침실패(3시간 이상)"</f>
        <v>검침실패(3시간 이상)</v>
      </c>
      <c r="F1842" s="1" t="str">
        <f>"10.10.42.58"</f>
        <v>10.10.42.58</v>
      </c>
      <c r="G1842" s="1" t="str">
        <f>"0427A241"</f>
        <v>0427A241</v>
      </c>
      <c r="H1842" s="1" t="str">
        <f>"대주간 1L10R3"</f>
        <v>대주간 1L10R3</v>
      </c>
      <c r="I1842" s="1" t="s">
        <v>8</v>
      </c>
      <c r="J1842" s="1" t="str">
        <f>"0/35"</f>
        <v>0/35</v>
      </c>
      <c r="K1842" s="1" t="str">
        <f>"2026-07-28 07:18:04"</f>
        <v>2026-07-28 07:18:04</v>
      </c>
      <c r="L1842" s="1" t="str">
        <f>"2019-09-26 13:43:03"</f>
        <v>2019-09-26 13:43:03</v>
      </c>
      <c r="M1842" s="1" t="s">
        <v>1</v>
      </c>
      <c r="N1842" s="1" t="s">
        <v>38</v>
      </c>
      <c r="O1842" s="1" t="s">
        <v>46</v>
      </c>
    </row>
    <row r="1843" spans="2:15" x14ac:dyDescent="0.3">
      <c r="B1843" s="1" t="s">
        <v>24</v>
      </c>
      <c r="C1843" s="1" t="str">
        <f t="shared" si="107"/>
        <v>4차</v>
      </c>
      <c r="D1843" s="1" t="str">
        <f>"0427A24244"</f>
        <v>0427A24244</v>
      </c>
      <c r="E1843" s="1" t="s">
        <v>10</v>
      </c>
      <c r="F1843" s="1" t="str">
        <f>"10.10.42.66"</f>
        <v>10.10.42.66</v>
      </c>
      <c r="G1843" s="1" t="str">
        <f>"0427A242"</f>
        <v>0427A242</v>
      </c>
      <c r="H1843" s="1" t="str">
        <f>"대주간 1L10R4"</f>
        <v>대주간 1L10R4</v>
      </c>
      <c r="I1843" s="1" t="s">
        <v>8</v>
      </c>
      <c r="J1843" s="1" t="str">
        <f>"52/52"</f>
        <v>52/52</v>
      </c>
      <c r="K1843" s="1" t="str">
        <f>"2026-07-29 13:18:04"</f>
        <v>2026-07-29 13:18:04</v>
      </c>
      <c r="L1843" s="1" t="str">
        <f>"2019-09-26 13:36:44"</f>
        <v>2019-09-26 13:36:44</v>
      </c>
      <c r="M1843" s="1" t="s">
        <v>1</v>
      </c>
      <c r="N1843" s="1" t="s">
        <v>38</v>
      </c>
      <c r="O1843" s="1" t="s">
        <v>46</v>
      </c>
    </row>
    <row r="1844" spans="2:15" x14ac:dyDescent="0.3">
      <c r="B1844" s="1" t="s">
        <v>24</v>
      </c>
      <c r="C1844" s="1" t="str">
        <f t="shared" si="107"/>
        <v>4차</v>
      </c>
      <c r="D1844" s="1" t="str">
        <f>"0427A25839"</f>
        <v>0427A25839</v>
      </c>
      <c r="E1844" s="1" t="s">
        <v>10</v>
      </c>
      <c r="F1844" s="1" t="str">
        <f>"10.12.137.229"</f>
        <v>10.12.137.229</v>
      </c>
      <c r="G1844" s="1" t="str">
        <f>"0427A258"</f>
        <v>0427A258</v>
      </c>
      <c r="H1844" s="1" t="str">
        <f>"망우로 121"</f>
        <v>망우로 121</v>
      </c>
      <c r="I1844" s="1" t="s">
        <v>17</v>
      </c>
      <c r="J1844" s="1" t="str">
        <f>"24/27"</f>
        <v>24/27</v>
      </c>
      <c r="K1844" s="1" t="str">
        <f>"2026-07-29 13:18:02"</f>
        <v>2026-07-29 13:18:02</v>
      </c>
      <c r="L1844" s="1" t="str">
        <f>"2018-05-11 15:03:33"</f>
        <v>2018-05-11 15:03:33</v>
      </c>
      <c r="M1844" s="1" t="s">
        <v>0</v>
      </c>
      <c r="N1844" s="1" t="s">
        <v>38</v>
      </c>
      <c r="O1844" s="1" t="s">
        <v>46</v>
      </c>
    </row>
    <row r="1845" spans="2:15" x14ac:dyDescent="0.3">
      <c r="B1845" s="1" t="s">
        <v>24</v>
      </c>
      <c r="C1845" s="1" t="str">
        <f t="shared" si="107"/>
        <v>4차</v>
      </c>
      <c r="D1845" s="1" t="str">
        <f>"0427A30144"</f>
        <v>0427A30144</v>
      </c>
      <c r="E1845" s="1" t="s">
        <v>10</v>
      </c>
      <c r="F1845" s="1" t="str">
        <f>"10.10.44.2"</f>
        <v>10.10.44.2</v>
      </c>
      <c r="G1845" s="1" t="str">
        <f>"0427A301"</f>
        <v>0427A301</v>
      </c>
      <c r="H1845" s="1" t="str">
        <f>"상이간 6R5"</f>
        <v>상이간 6R5</v>
      </c>
      <c r="I1845" s="1" t="s">
        <v>8</v>
      </c>
      <c r="J1845" s="1" t="str">
        <f>"38/38"</f>
        <v>38/38</v>
      </c>
      <c r="K1845" s="1" t="str">
        <f>"2026-07-29 13:18:04"</f>
        <v>2026-07-29 13:18:04</v>
      </c>
      <c r="L1845" s="1" t="str">
        <f>"2019-10-11 14:39:32"</f>
        <v>2019-10-11 14:39:32</v>
      </c>
      <c r="M1845" s="1" t="s">
        <v>1</v>
      </c>
      <c r="N1845" s="1" t="s">
        <v>38</v>
      </c>
      <c r="O1845" s="1" t="s">
        <v>46</v>
      </c>
    </row>
    <row r="1846" spans="2:15" x14ac:dyDescent="0.3">
      <c r="B1846" s="1" t="s">
        <v>24</v>
      </c>
      <c r="C1846" s="1" t="str">
        <f t="shared" si="107"/>
        <v>4차</v>
      </c>
      <c r="D1846" s="1" t="str">
        <f>"0427A31144"</f>
        <v>0427A31144</v>
      </c>
      <c r="E1846" s="1" t="s">
        <v>10</v>
      </c>
      <c r="F1846" s="1" t="str">
        <f>"10.10.43.226"</f>
        <v>10.10.43.226</v>
      </c>
      <c r="G1846" s="1" t="str">
        <f>"0427A311"</f>
        <v>0427A311</v>
      </c>
      <c r="H1846" s="1" t="str">
        <f>"상이간 4R3"</f>
        <v>상이간 4R3</v>
      </c>
      <c r="I1846" s="1" t="s">
        <v>8</v>
      </c>
      <c r="J1846" s="1" t="str">
        <f>"18/18"</f>
        <v>18/18</v>
      </c>
      <c r="K1846" s="1" t="str">
        <f>"2026-07-29 13:18:04"</f>
        <v>2026-07-29 13:18:04</v>
      </c>
      <c r="L1846" s="1" t="str">
        <f>"2019-10-10 10:23:04"</f>
        <v>2019-10-10 10:23:04</v>
      </c>
      <c r="M1846" s="1" t="s">
        <v>1</v>
      </c>
      <c r="N1846" s="1" t="s">
        <v>38</v>
      </c>
      <c r="O1846" s="1" t="s">
        <v>46</v>
      </c>
    </row>
    <row r="1847" spans="2:15" x14ac:dyDescent="0.3">
      <c r="B1847" s="1" t="s">
        <v>24</v>
      </c>
      <c r="C1847" s="1" t="str">
        <f t="shared" si="107"/>
        <v>4차</v>
      </c>
      <c r="D1847" s="1" t="str">
        <f>"0427A31244"</f>
        <v>0427A31244</v>
      </c>
      <c r="E1847" s="1" t="s">
        <v>10</v>
      </c>
      <c r="F1847" s="1" t="str">
        <f>"10.10.43.106"</f>
        <v>10.10.43.106</v>
      </c>
      <c r="G1847" s="1" t="str">
        <f>"0427A312"</f>
        <v>0427A312</v>
      </c>
      <c r="H1847" s="1" t="str">
        <f>"대주간 1L6R6"</f>
        <v>대주간 1L6R6</v>
      </c>
      <c r="I1847" s="1" t="s">
        <v>8</v>
      </c>
      <c r="J1847" s="1" t="str">
        <f>"13/13"</f>
        <v>13/13</v>
      </c>
      <c r="K1847" s="1" t="str">
        <f>"2026-07-29 13:18:04"</f>
        <v>2026-07-29 13:18:04</v>
      </c>
      <c r="L1847" s="1" t="str">
        <f>"2019-09-26 15:54:59"</f>
        <v>2019-09-26 15:54:59</v>
      </c>
      <c r="M1847" s="1" t="s">
        <v>1</v>
      </c>
      <c r="N1847" s="1" t="s">
        <v>38</v>
      </c>
      <c r="O1847" s="1" t="s">
        <v>46</v>
      </c>
    </row>
    <row r="1848" spans="2:15" x14ac:dyDescent="0.3">
      <c r="B1848" s="1" t="s">
        <v>24</v>
      </c>
      <c r="C1848" s="1" t="str">
        <f t="shared" si="107"/>
        <v>4차</v>
      </c>
      <c r="D1848" s="1" t="str">
        <f>"0427A33144"</f>
        <v>0427A33144</v>
      </c>
      <c r="E1848" s="1" t="s">
        <v>10</v>
      </c>
      <c r="F1848" s="1" t="str">
        <f>"10.10.43.194"</f>
        <v>10.10.43.194</v>
      </c>
      <c r="G1848" s="1" t="str">
        <f>"0427A331"</f>
        <v>0427A331</v>
      </c>
      <c r="H1848" s="1" t="str">
        <f>"상이간 3R2"</f>
        <v>상이간 3R2</v>
      </c>
      <c r="I1848" s="1" t="s">
        <v>8</v>
      </c>
      <c r="J1848" s="1" t="str">
        <f>"40/40"</f>
        <v>40/40</v>
      </c>
      <c r="K1848" s="1" t="str">
        <f>"2026-07-29 13:18:04"</f>
        <v>2026-07-29 13:18:04</v>
      </c>
      <c r="L1848" s="1" t="str">
        <f>"2019-10-11 14:22:50"</f>
        <v>2019-10-11 14:22:50</v>
      </c>
      <c r="M1848" s="1" t="s">
        <v>1</v>
      </c>
      <c r="N1848" s="1" t="s">
        <v>38</v>
      </c>
      <c r="O1848" s="1" t="s">
        <v>46</v>
      </c>
    </row>
    <row r="1849" spans="2:15" x14ac:dyDescent="0.3">
      <c r="B1849" s="1" t="s">
        <v>24</v>
      </c>
      <c r="C1849" s="1" t="str">
        <f t="shared" si="107"/>
        <v>4차</v>
      </c>
      <c r="D1849" s="1" t="str">
        <f>"0427A34144"</f>
        <v>0427A34144</v>
      </c>
      <c r="E1849" s="1" t="s">
        <v>10</v>
      </c>
      <c r="F1849" s="1" t="str">
        <f>"10.10.42.74"</f>
        <v>10.10.42.74</v>
      </c>
      <c r="G1849" s="1" t="str">
        <f>"0427A341"</f>
        <v>0427A341</v>
      </c>
      <c r="H1849" s="1" t="str">
        <f>"대주간 1L10R6"</f>
        <v>대주간 1L10R6</v>
      </c>
      <c r="I1849" s="1" t="s">
        <v>8</v>
      </c>
      <c r="J1849" s="1" t="str">
        <f>"18/18"</f>
        <v>18/18</v>
      </c>
      <c r="K1849" s="1" t="str">
        <f>"2026-07-29 13:18:04"</f>
        <v>2026-07-29 13:18:04</v>
      </c>
      <c r="L1849" s="1" t="str">
        <f>"2019-11-18 08:56:41"</f>
        <v>2019-11-18 08:56:41</v>
      </c>
      <c r="M1849" s="1" t="s">
        <v>1</v>
      </c>
      <c r="N1849" s="1" t="s">
        <v>38</v>
      </c>
      <c r="O1849" s="1" t="s">
        <v>46</v>
      </c>
    </row>
    <row r="1850" spans="2:15" x14ac:dyDescent="0.3">
      <c r="B1850" s="1" t="s">
        <v>24</v>
      </c>
      <c r="C1850" s="1" t="str">
        <f t="shared" si="107"/>
        <v>4차</v>
      </c>
      <c r="D1850" s="1" t="str">
        <f>"0427A35739"</f>
        <v>0427A35739</v>
      </c>
      <c r="E1850" s="1" t="s">
        <v>10</v>
      </c>
      <c r="F1850" s="1" t="str">
        <f>"10.12.137.228"</f>
        <v>10.12.137.228</v>
      </c>
      <c r="G1850" s="1" t="str">
        <f>"0427A357"</f>
        <v>0427A357</v>
      </c>
      <c r="H1850" s="1" t="str">
        <f>"망우로 122"</f>
        <v>망우로 122</v>
      </c>
      <c r="I1850" s="1" t="s">
        <v>17</v>
      </c>
      <c r="J1850" s="1" t="str">
        <f>"3/3"</f>
        <v>3/3</v>
      </c>
      <c r="K1850" s="1" t="str">
        <f>"2026-07-29 13:18:02"</f>
        <v>2026-07-29 13:18:02</v>
      </c>
      <c r="L1850" s="1" t="str">
        <f>"2018-05-11 15:50:02"</f>
        <v>2018-05-11 15:50:02</v>
      </c>
      <c r="M1850" s="1" t="s">
        <v>0</v>
      </c>
      <c r="N1850" s="1" t="s">
        <v>38</v>
      </c>
      <c r="O1850" s="1" t="s">
        <v>46</v>
      </c>
    </row>
    <row r="1851" spans="2:15" x14ac:dyDescent="0.3">
      <c r="B1851" s="1" t="s">
        <v>24</v>
      </c>
      <c r="C1851" s="1" t="str">
        <f t="shared" si="107"/>
        <v>4차</v>
      </c>
      <c r="D1851" s="1" t="str">
        <f>"0427A40144"</f>
        <v>0427A40144</v>
      </c>
      <c r="E1851" s="1" t="s">
        <v>10</v>
      </c>
      <c r="F1851" s="1" t="str">
        <f>"10.10.43.250"</f>
        <v>10.10.43.250</v>
      </c>
      <c r="G1851" s="1" t="str">
        <f>"0427A401"</f>
        <v>0427A401</v>
      </c>
      <c r="H1851" s="1" t="str">
        <f>"상이간 6R3"</f>
        <v>상이간 6R3</v>
      </c>
      <c r="I1851" s="1" t="s">
        <v>8</v>
      </c>
      <c r="J1851" s="1" t="str">
        <f>"32/32"</f>
        <v>32/32</v>
      </c>
      <c r="K1851" s="1" t="str">
        <f>"2026-07-29 13:18:04"</f>
        <v>2026-07-29 13:18:04</v>
      </c>
      <c r="L1851" s="1" t="str">
        <f>"2019-10-11 14:33:04"</f>
        <v>2019-10-11 14:33:04</v>
      </c>
      <c r="M1851" s="1" t="s">
        <v>1</v>
      </c>
      <c r="N1851" s="1" t="s">
        <v>38</v>
      </c>
      <c r="O1851" s="1" t="s">
        <v>46</v>
      </c>
    </row>
    <row r="1852" spans="2:15" x14ac:dyDescent="0.3">
      <c r="B1852" s="1" t="s">
        <v>24</v>
      </c>
      <c r="C1852" s="1" t="str">
        <f t="shared" si="107"/>
        <v>4차</v>
      </c>
      <c r="D1852" s="1" t="str">
        <f>"0427A41244"</f>
        <v>0427A41244</v>
      </c>
      <c r="E1852" s="1" t="s">
        <v>10</v>
      </c>
      <c r="F1852" s="1" t="str">
        <f>"10.10.43.114"</f>
        <v>10.10.43.114</v>
      </c>
      <c r="G1852" s="1" t="str">
        <f>"0427A412"</f>
        <v>0427A412</v>
      </c>
      <c r="H1852" s="1" t="str">
        <f>"대주간 1L6R8"</f>
        <v>대주간 1L6R8</v>
      </c>
      <c r="I1852" s="1" t="s">
        <v>8</v>
      </c>
      <c r="J1852" s="1" t="str">
        <f>"23/23"</f>
        <v>23/23</v>
      </c>
      <c r="K1852" s="1" t="str">
        <f>"2026-07-29 13:18:03"</f>
        <v>2026-07-29 13:18:03</v>
      </c>
      <c r="L1852" s="1" t="str">
        <f>"2019-09-26 16:17:00"</f>
        <v>2019-09-26 16:17:00</v>
      </c>
      <c r="M1852" s="1" t="s">
        <v>1</v>
      </c>
      <c r="N1852" s="1" t="s">
        <v>38</v>
      </c>
      <c r="O1852" s="1" t="s">
        <v>46</v>
      </c>
    </row>
    <row r="1853" spans="2:15" x14ac:dyDescent="0.3">
      <c r="B1853" s="1" t="s">
        <v>24</v>
      </c>
      <c r="C1853" s="1" t="str">
        <f t="shared" si="107"/>
        <v>4차</v>
      </c>
      <c r="D1853" s="1" t="str">
        <f>"0427A43144"</f>
        <v>0427A43144</v>
      </c>
      <c r="E1853" s="1" t="s">
        <v>10</v>
      </c>
      <c r="F1853" s="1" t="str">
        <f>"10.10.43.186"</f>
        <v>10.10.43.186</v>
      </c>
      <c r="G1853" s="1" t="str">
        <f>"0427A431"</f>
        <v>0427A431</v>
      </c>
      <c r="H1853" s="1" t="str">
        <f>"상이간 3R1"</f>
        <v>상이간 3R1</v>
      </c>
      <c r="I1853" s="1" t="s">
        <v>8</v>
      </c>
      <c r="J1853" s="1" t="str">
        <f>"41/41"</f>
        <v>41/41</v>
      </c>
      <c r="K1853" s="1" t="str">
        <f>"2026-07-29 13:18:03"</f>
        <v>2026-07-29 13:18:03</v>
      </c>
      <c r="L1853" s="1" t="str">
        <f>"2019-10-11 14:20:05"</f>
        <v>2019-10-11 14:20:05</v>
      </c>
      <c r="M1853" s="1" t="s">
        <v>1</v>
      </c>
      <c r="N1853" s="1" t="s">
        <v>38</v>
      </c>
      <c r="O1853" s="1" t="s">
        <v>46</v>
      </c>
    </row>
    <row r="1854" spans="2:15" x14ac:dyDescent="0.3">
      <c r="B1854" s="1" t="s">
        <v>24</v>
      </c>
      <c r="C1854" s="1" t="str">
        <f t="shared" si="107"/>
        <v>4차</v>
      </c>
      <c r="D1854" s="1" t="str">
        <f>"0427A44144"</f>
        <v>0427A44144</v>
      </c>
      <c r="E1854" s="1" t="s">
        <v>10</v>
      </c>
      <c r="F1854" s="1" t="str">
        <f>"10.10.42.82"</f>
        <v>10.10.42.82</v>
      </c>
      <c r="G1854" s="1" t="str">
        <f>"0427A441"</f>
        <v>0427A441</v>
      </c>
      <c r="H1854" s="1" t="str">
        <f>"대주간 1L10R7"</f>
        <v>대주간 1L10R7</v>
      </c>
      <c r="I1854" s="1" t="s">
        <v>8</v>
      </c>
      <c r="J1854" s="1" t="str">
        <f>"17/17"</f>
        <v>17/17</v>
      </c>
      <c r="K1854" s="1" t="str">
        <f>"2026-07-29 13:18:03"</f>
        <v>2026-07-29 13:18:03</v>
      </c>
      <c r="L1854" s="1" t="str">
        <f>"2019-10-11 14:07:21"</f>
        <v>2019-10-11 14:07:21</v>
      </c>
      <c r="M1854" s="1" t="s">
        <v>1</v>
      </c>
      <c r="N1854" s="1" t="s">
        <v>38</v>
      </c>
      <c r="O1854" s="1" t="s">
        <v>46</v>
      </c>
    </row>
    <row r="1855" spans="2:15" x14ac:dyDescent="0.3">
      <c r="B1855" s="1" t="s">
        <v>24</v>
      </c>
      <c r="C1855" s="1" t="str">
        <f t="shared" si="107"/>
        <v>4차</v>
      </c>
      <c r="D1855" s="1" t="str">
        <f>"0427A51141"</f>
        <v>0427A51141</v>
      </c>
      <c r="E1855" s="1" t="s">
        <v>10</v>
      </c>
      <c r="F1855" s="1" t="str">
        <f>"10.14.14.181"</f>
        <v>10.14.14.181</v>
      </c>
      <c r="G1855" s="1" t="str">
        <f>"0427A511"</f>
        <v>0427A511</v>
      </c>
      <c r="H1855" s="1" t="str">
        <f>"상이간 6R1"</f>
        <v>상이간 6R1</v>
      </c>
      <c r="I1855" s="1" t="s">
        <v>17</v>
      </c>
      <c r="J1855" s="1" t="str">
        <f>"21/21"</f>
        <v>21/21</v>
      </c>
      <c r="K1855" s="1" t="str">
        <f>"2026-07-29 13:18:02"</f>
        <v>2026-07-29 13:18:02</v>
      </c>
      <c r="L1855" s="1" t="str">
        <f>"2021-11-18 17:32:43"</f>
        <v>2021-11-18 17:32:43</v>
      </c>
      <c r="M1855" s="1" t="s">
        <v>3</v>
      </c>
      <c r="N1855" s="1" t="s">
        <v>38</v>
      </c>
      <c r="O1855" s="1" t="s">
        <v>46</v>
      </c>
    </row>
    <row r="1856" spans="2:15" x14ac:dyDescent="0.3">
      <c r="B1856" s="1" t="s">
        <v>24</v>
      </c>
      <c r="C1856" s="1" t="str">
        <f t="shared" si="107"/>
        <v>4차</v>
      </c>
      <c r="D1856" s="1" t="str">
        <f>"0427A52144"</f>
        <v>0427A52144</v>
      </c>
      <c r="E1856" s="1" t="s">
        <v>10</v>
      </c>
      <c r="F1856" s="1" t="str">
        <f>"10.10.107.10"</f>
        <v>10.10.107.10</v>
      </c>
      <c r="G1856" s="1" t="str">
        <f>"0427A521"</f>
        <v>0427A521</v>
      </c>
      <c r="H1856" s="1" t="str">
        <f>"상이간 4R1"</f>
        <v>상이간 4R1</v>
      </c>
      <c r="I1856" s="1" t="s">
        <v>8</v>
      </c>
      <c r="J1856" s="1" t="str">
        <f>"9/9"</f>
        <v>9/9</v>
      </c>
      <c r="K1856" s="1" t="str">
        <f>"2026-07-29 13:18:03"</f>
        <v>2026-07-29 13:18:03</v>
      </c>
      <c r="L1856" s="1" t="str">
        <f>"2019-11-18 10:00:06"</f>
        <v>2019-11-18 10:00:06</v>
      </c>
      <c r="M1856" s="1" t="s">
        <v>1</v>
      </c>
      <c r="N1856" s="1" t="s">
        <v>38</v>
      </c>
      <c r="O1856" s="1" t="s">
        <v>46</v>
      </c>
    </row>
    <row r="1857" spans="2:15" x14ac:dyDescent="0.3">
      <c r="B1857" s="1" t="s">
        <v>24</v>
      </c>
      <c r="C1857" s="1" t="str">
        <f t="shared" si="107"/>
        <v>4차</v>
      </c>
      <c r="D1857" s="1" t="str">
        <f>"0427A52244"</f>
        <v>0427A52244</v>
      </c>
      <c r="E1857" s="1" t="s">
        <v>10</v>
      </c>
      <c r="F1857" s="1" t="str">
        <f>"10.10.106.26"</f>
        <v>10.10.106.26</v>
      </c>
      <c r="G1857" s="1" t="str">
        <f>"0427A522"</f>
        <v>0427A522</v>
      </c>
      <c r="H1857" s="1" t="str">
        <f>"대주간 1L6R9"</f>
        <v>대주간 1L6R9</v>
      </c>
      <c r="I1857" s="1" t="s">
        <v>8</v>
      </c>
      <c r="J1857" s="1" t="str">
        <f>"15/16"</f>
        <v>15/16</v>
      </c>
      <c r="K1857" s="1" t="str">
        <f>"2026-07-29 13:18:03"</f>
        <v>2026-07-29 13:18:03</v>
      </c>
      <c r="L1857" s="1" t="str">
        <f>"2019-11-18 09:59:19"</f>
        <v>2019-11-18 09:59:19</v>
      </c>
      <c r="M1857" s="1" t="s">
        <v>1</v>
      </c>
      <c r="N1857" s="1" t="s">
        <v>38</v>
      </c>
      <c r="O1857" s="1" t="s">
        <v>46</v>
      </c>
    </row>
    <row r="1858" spans="2:15" x14ac:dyDescent="0.3">
      <c r="B1858" s="1" t="s">
        <v>24</v>
      </c>
      <c r="C1858" s="1" t="str">
        <f>"1차"</f>
        <v>1차</v>
      </c>
      <c r="D1858" s="1" t="str">
        <f>"0427A52300"</f>
        <v>0427A52300</v>
      </c>
      <c r="E1858" s="1" t="s">
        <v>14</v>
      </c>
      <c r="F1858" s="1" t="str">
        <f>"10.89.254.18"</f>
        <v>10.89.254.18</v>
      </c>
      <c r="G1858" s="1" t="str">
        <f>"0427A523"</f>
        <v>0427A523</v>
      </c>
      <c r="H1858" s="1" t="str">
        <f>"상이간 4"</f>
        <v>상이간 4</v>
      </c>
      <c r="I1858" s="1" t="s">
        <v>8</v>
      </c>
      <c r="J1858" s="1" t="str">
        <f>"0/0"</f>
        <v>0/0</v>
      </c>
      <c r="K1858" s="1" t="str">
        <f>"2026-07-29 13:18:04"</f>
        <v>2026-07-29 13:18:04</v>
      </c>
      <c r="L1858" s="1" t="str">
        <f>"2026-05-22 17:47:01"</f>
        <v>2026-05-22 17:47:01</v>
      </c>
      <c r="M1858" s="1" t="s">
        <v>45</v>
      </c>
      <c r="N1858" s="1" t="s">
        <v>38</v>
      </c>
      <c r="O1858" s="1" t="s">
        <v>44</v>
      </c>
    </row>
    <row r="1859" spans="2:15" x14ac:dyDescent="0.3">
      <c r="B1859" s="1" t="s">
        <v>24</v>
      </c>
      <c r="C1859" s="1" t="str">
        <f t="shared" ref="C1859:C1864" si="109">"4차"</f>
        <v>4차</v>
      </c>
      <c r="D1859" s="1" t="str">
        <f>"0427A54144"</f>
        <v>0427A54144</v>
      </c>
      <c r="E1859" s="1" t="s">
        <v>10</v>
      </c>
      <c r="F1859" s="1" t="str">
        <f>"10.10.43.170"</f>
        <v>10.10.43.170</v>
      </c>
      <c r="G1859" s="1" t="str">
        <f>"0427A541"</f>
        <v>0427A541</v>
      </c>
      <c r="H1859" s="1" t="str">
        <f>"상이간 2"</f>
        <v>상이간 2</v>
      </c>
      <c r="I1859" s="1" t="s">
        <v>8</v>
      </c>
      <c r="J1859" s="1" t="str">
        <f>"21/21"</f>
        <v>21/21</v>
      </c>
      <c r="K1859" s="1" t="str">
        <f>"2026-07-29 13:18:03"</f>
        <v>2026-07-29 13:18:03</v>
      </c>
      <c r="L1859" s="1" t="str">
        <f>"2019-10-31 11:53:04"</f>
        <v>2019-10-31 11:53:04</v>
      </c>
      <c r="M1859" s="1" t="s">
        <v>1</v>
      </c>
      <c r="N1859" s="1" t="s">
        <v>38</v>
      </c>
      <c r="O1859" s="1" t="s">
        <v>46</v>
      </c>
    </row>
    <row r="1860" spans="2:15" x14ac:dyDescent="0.3">
      <c r="B1860" s="1" t="s">
        <v>24</v>
      </c>
      <c r="C1860" s="1" t="str">
        <f t="shared" si="109"/>
        <v>4차</v>
      </c>
      <c r="D1860" s="1" t="str">
        <f>"0427A55144"</f>
        <v>0427A55144</v>
      </c>
      <c r="E1860" s="1" t="s">
        <v>10</v>
      </c>
      <c r="F1860" s="1" t="str">
        <f>"10.10.44.66"</f>
        <v>10.10.44.66</v>
      </c>
      <c r="G1860" s="1" t="str">
        <f>"0427A551"</f>
        <v>0427A551</v>
      </c>
      <c r="H1860" s="1" t="str">
        <f>"망우로SW 124R1R2"</f>
        <v>망우로SW 124R1R2</v>
      </c>
      <c r="I1860" s="1" t="s">
        <v>8</v>
      </c>
      <c r="J1860" s="1" t="str">
        <f>"38/38"</f>
        <v>38/38</v>
      </c>
      <c r="K1860" s="1" t="str">
        <f>"2026-07-29 13:18:03"</f>
        <v>2026-07-29 13:18:03</v>
      </c>
      <c r="L1860" s="1" t="str">
        <f>"2020-02-10 18:32:53"</f>
        <v>2020-02-10 18:32:53</v>
      </c>
      <c r="M1860" s="1" t="s">
        <v>1</v>
      </c>
      <c r="N1860" s="1" t="s">
        <v>38</v>
      </c>
      <c r="O1860" s="1" t="s">
        <v>46</v>
      </c>
    </row>
    <row r="1861" spans="2:15" x14ac:dyDescent="0.3">
      <c r="B1861" s="1" t="s">
        <v>24</v>
      </c>
      <c r="C1861" s="1" t="str">
        <f t="shared" si="109"/>
        <v>4차</v>
      </c>
      <c r="D1861" s="1" t="str">
        <f>"0427A56E39"</f>
        <v>0427A56E39</v>
      </c>
      <c r="E1861" s="1" t="s">
        <v>10</v>
      </c>
      <c r="F1861" s="1" t="str">
        <f>"10.12.137.225"</f>
        <v>10.12.137.225</v>
      </c>
      <c r="G1861" s="1" t="str">
        <f>"0427A56E"</f>
        <v>0427A56E</v>
      </c>
      <c r="H1861" s="1" t="str">
        <f>"망우로 223"</f>
        <v>망우로 223</v>
      </c>
      <c r="I1861" s="1" t="s">
        <v>17</v>
      </c>
      <c r="J1861" s="1" t="str">
        <f>"11/11"</f>
        <v>11/11</v>
      </c>
      <c r="K1861" s="1" t="str">
        <f>"2026-07-29 13:18:02"</f>
        <v>2026-07-29 13:18:02</v>
      </c>
      <c r="L1861" s="1" t="str">
        <f>"2018-05-24 10:23:56"</f>
        <v>2018-05-24 10:23:56</v>
      </c>
      <c r="M1861" s="1" t="s">
        <v>0</v>
      </c>
      <c r="N1861" s="1" t="s">
        <v>38</v>
      </c>
      <c r="O1861" s="1" t="s">
        <v>46</v>
      </c>
    </row>
    <row r="1862" spans="2:15" x14ac:dyDescent="0.3">
      <c r="B1862" s="1" t="s">
        <v>24</v>
      </c>
      <c r="C1862" s="1" t="str">
        <f t="shared" si="109"/>
        <v>4차</v>
      </c>
      <c r="D1862" s="1" t="str">
        <f>"0427A60141"</f>
        <v>0427A60141</v>
      </c>
      <c r="E1862" s="1" t="s">
        <v>10</v>
      </c>
      <c r="F1862" s="1" t="str">
        <f>"10.14.13.49"</f>
        <v>10.14.13.49</v>
      </c>
      <c r="G1862" s="1" t="str">
        <f>"0427A601"</f>
        <v>0427A601</v>
      </c>
      <c r="H1862" s="1" t="str">
        <f>"상이간 7"</f>
        <v>상이간 7</v>
      </c>
      <c r="I1862" s="1" t="s">
        <v>17</v>
      </c>
      <c r="J1862" s="1" t="str">
        <f>"33/33"</f>
        <v>33/33</v>
      </c>
      <c r="K1862" s="1" t="str">
        <f>"2026-07-29 13:18:05"</f>
        <v>2026-07-29 13:18:05</v>
      </c>
      <c r="L1862" s="1" t="str">
        <f>"2021-10-19 08:35:20"</f>
        <v>2021-10-19 08:35:20</v>
      </c>
      <c r="M1862" s="1" t="s">
        <v>3</v>
      </c>
      <c r="N1862" s="1" t="s">
        <v>38</v>
      </c>
      <c r="O1862" s="1" t="s">
        <v>46</v>
      </c>
    </row>
    <row r="1863" spans="2:15" x14ac:dyDescent="0.3">
      <c r="B1863" s="1" t="s">
        <v>24</v>
      </c>
      <c r="C1863" s="1" t="str">
        <f t="shared" si="109"/>
        <v>4차</v>
      </c>
      <c r="D1863" s="1" t="str">
        <f>"0427A61144"</f>
        <v>0427A61144</v>
      </c>
      <c r="E1863" s="1" t="s">
        <v>10</v>
      </c>
      <c r="F1863" s="1" t="str">
        <f>"10.10.43.242"</f>
        <v>10.10.43.242</v>
      </c>
      <c r="G1863" s="1" t="str">
        <f>"0427A611"</f>
        <v>0427A611</v>
      </c>
      <c r="H1863" s="1" t="str">
        <f>"상이간 6"</f>
        <v>상이간 6</v>
      </c>
      <c r="I1863" s="1" t="s">
        <v>8</v>
      </c>
      <c r="J1863" s="1" t="str">
        <f>"37/42"</f>
        <v>37/42</v>
      </c>
      <c r="K1863" s="1" t="str">
        <f>"2026-07-29 13:18:04"</f>
        <v>2026-07-29 13:18:04</v>
      </c>
      <c r="L1863" s="1" t="str">
        <f>"2019-12-17 15:30:18"</f>
        <v>2019-12-17 15:30:18</v>
      </c>
      <c r="M1863" s="1" t="s">
        <v>1</v>
      </c>
      <c r="N1863" s="1" t="s">
        <v>38</v>
      </c>
      <c r="O1863" s="1" t="s">
        <v>46</v>
      </c>
    </row>
    <row r="1864" spans="2:15" x14ac:dyDescent="0.3">
      <c r="B1864" s="1" t="s">
        <v>24</v>
      </c>
      <c r="C1864" s="1" t="str">
        <f t="shared" si="109"/>
        <v>4차</v>
      </c>
      <c r="D1864" s="1" t="str">
        <f>"0427A61444"</f>
        <v>0427A61444</v>
      </c>
      <c r="E1864" s="1" t="s">
        <v>10</v>
      </c>
      <c r="F1864" s="1" t="str">
        <f>"10.10.43.178"</f>
        <v>10.10.43.178</v>
      </c>
      <c r="G1864" s="1" t="str">
        <f>"0427A614"</f>
        <v>0427A614</v>
      </c>
      <c r="H1864" s="1" t="str">
        <f>"상이간 8R1R8L4"</f>
        <v>상이간 8R1R8L4</v>
      </c>
      <c r="I1864" s="1" t="s">
        <v>8</v>
      </c>
      <c r="J1864" s="1" t="str">
        <f>"36/36"</f>
        <v>36/36</v>
      </c>
      <c r="K1864" s="1" t="str">
        <f>"2026-07-29 13:18:04"</f>
        <v>2026-07-29 13:18:04</v>
      </c>
      <c r="L1864" s="1" t="str">
        <f>"2019-10-11 14:18:06"</f>
        <v>2019-10-11 14:18:06</v>
      </c>
      <c r="M1864" s="1" t="s">
        <v>1</v>
      </c>
      <c r="N1864" s="1" t="s">
        <v>38</v>
      </c>
      <c r="O1864" s="1" t="s">
        <v>46</v>
      </c>
    </row>
    <row r="1865" spans="2:15" x14ac:dyDescent="0.3">
      <c r="B1865" s="1" t="s">
        <v>24</v>
      </c>
      <c r="C1865" s="1" t="str">
        <f>"1차"</f>
        <v>1차</v>
      </c>
      <c r="D1865" s="1" t="str">
        <f>"0427A62101"</f>
        <v>0427A62101</v>
      </c>
      <c r="E1865" s="1" t="s">
        <v>10</v>
      </c>
      <c r="F1865" s="1" t="str">
        <f>"10.89.254.20"</f>
        <v>10.89.254.20</v>
      </c>
      <c r="G1865" s="1" t="str">
        <f>"0427A621"</f>
        <v>0427A621</v>
      </c>
      <c r="H1865" s="1" t="str">
        <f>"상이간 4L1"</f>
        <v>상이간 4L1</v>
      </c>
      <c r="I1865" s="1" t="s">
        <v>8</v>
      </c>
      <c r="J1865" s="1" t="str">
        <f>"44/44"</f>
        <v>44/44</v>
      </c>
      <c r="K1865" s="1" t="str">
        <f>"2026-07-29 13:18:07"</f>
        <v>2026-07-29 13:18:07</v>
      </c>
      <c r="L1865" s="1" t="str">
        <f>"2014-10-27 16:22:49"</f>
        <v>2014-10-27 16:22:49</v>
      </c>
      <c r="M1865" s="1" t="s">
        <v>45</v>
      </c>
      <c r="N1865" s="1" t="s">
        <v>38</v>
      </c>
      <c r="O1865" s="1" t="s">
        <v>46</v>
      </c>
    </row>
    <row r="1866" spans="2:15" x14ac:dyDescent="0.3">
      <c r="B1866" s="1" t="s">
        <v>24</v>
      </c>
      <c r="C1866" s="1" t="str">
        <f>"4차"</f>
        <v>4차</v>
      </c>
      <c r="D1866" s="1" t="str">
        <f>"0427A62344"</f>
        <v>0427A62344</v>
      </c>
      <c r="E1866" s="1" t="s">
        <v>10</v>
      </c>
      <c r="F1866" s="1" t="str">
        <f>"10.10.43.218"</f>
        <v>10.10.43.218</v>
      </c>
      <c r="G1866" s="1" t="str">
        <f>"0427A623"</f>
        <v>0427A623</v>
      </c>
      <c r="H1866" s="1" t="str">
        <f>"상이간 4L1R1"</f>
        <v>상이간 4L1R1</v>
      </c>
      <c r="I1866" s="1" t="s">
        <v>8</v>
      </c>
      <c r="J1866" s="1" t="str">
        <f>"26/26"</f>
        <v>26/26</v>
      </c>
      <c r="K1866" s="1" t="str">
        <f>"2026-07-29 13:18:04"</f>
        <v>2026-07-29 13:18:04</v>
      </c>
      <c r="L1866" s="1" t="str">
        <f>"2019-10-10 10:13:17"</f>
        <v>2019-10-10 10:13:17</v>
      </c>
      <c r="M1866" s="1" t="s">
        <v>1</v>
      </c>
      <c r="N1866" s="1" t="s">
        <v>38</v>
      </c>
      <c r="O1866" s="1" t="s">
        <v>46</v>
      </c>
    </row>
    <row r="1867" spans="2:15" x14ac:dyDescent="0.3">
      <c r="B1867" s="1" t="s">
        <v>24</v>
      </c>
      <c r="C1867" s="1" t="str">
        <f>"1차"</f>
        <v>1차</v>
      </c>
      <c r="D1867" s="1" t="str">
        <f>"0427A64100"</f>
        <v>0427A64100</v>
      </c>
      <c r="E1867" s="1" t="s">
        <v>10</v>
      </c>
      <c r="F1867" s="1" t="str">
        <f>"10.89.254.34"</f>
        <v>10.89.254.34</v>
      </c>
      <c r="G1867" s="1" t="str">
        <f>"0427A641"</f>
        <v>0427A641</v>
      </c>
      <c r="H1867" s="1" t="str">
        <f>"상이간 3L1"</f>
        <v>상이간 3L1</v>
      </c>
      <c r="I1867" s="1" t="s">
        <v>8</v>
      </c>
      <c r="J1867" s="1" t="str">
        <f>"26/26"</f>
        <v>26/26</v>
      </c>
      <c r="K1867" s="1" t="str">
        <f>"2026-07-29 13:18:04"</f>
        <v>2026-07-29 13:18:04</v>
      </c>
      <c r="L1867" s="1" t="str">
        <f>"2014-10-27 16:23:43"</f>
        <v>2014-10-27 16:23:43</v>
      </c>
      <c r="M1867" s="1" t="s">
        <v>45</v>
      </c>
      <c r="N1867" s="1" t="s">
        <v>38</v>
      </c>
      <c r="O1867" s="1" t="s">
        <v>46</v>
      </c>
    </row>
    <row r="1868" spans="2:15" x14ac:dyDescent="0.3">
      <c r="B1868" s="1" t="s">
        <v>24</v>
      </c>
      <c r="C1868" s="1" t="str">
        <f>"3차"</f>
        <v>3차</v>
      </c>
      <c r="D1868" s="1" t="str">
        <f>"0427A66539"</f>
        <v>0427A66539</v>
      </c>
      <c r="E1868" s="1" t="s">
        <v>10</v>
      </c>
      <c r="F1868" s="1" t="str">
        <f>"10.12.137.227"</f>
        <v>10.12.137.227</v>
      </c>
      <c r="G1868" s="1" t="str">
        <f>"0427A665"</f>
        <v>0427A665</v>
      </c>
      <c r="H1868" s="1" t="str">
        <f>"망우로 123"</f>
        <v>망우로 123</v>
      </c>
      <c r="I1868" s="1" t="s">
        <v>17</v>
      </c>
      <c r="J1868" s="1" t="str">
        <f>"8/9"</f>
        <v>8/9</v>
      </c>
      <c r="K1868" s="1" t="str">
        <f>"2026-07-29 13:18:02"</f>
        <v>2026-07-29 13:18:02</v>
      </c>
      <c r="L1868" s="1" t="str">
        <f>"2018-05-25 14:04:13"</f>
        <v>2018-05-25 14:04:13</v>
      </c>
      <c r="M1868" s="1" t="s">
        <v>0</v>
      </c>
      <c r="N1868" s="1" t="s">
        <v>38</v>
      </c>
      <c r="O1868" s="1" t="s">
        <v>46</v>
      </c>
    </row>
    <row r="1869" spans="2:15" x14ac:dyDescent="0.3">
      <c r="B1869" s="1" t="s">
        <v>24</v>
      </c>
      <c r="C1869" s="1" t="str">
        <f>"4차"</f>
        <v>4차</v>
      </c>
      <c r="D1869" s="1" t="str">
        <f>"0427A69145"</f>
        <v>0427A69145</v>
      </c>
      <c r="E1869" s="1" t="s">
        <v>10</v>
      </c>
      <c r="F1869" s="1" t="str">
        <f>"10.14.9.64"</f>
        <v>10.14.9.64</v>
      </c>
      <c r="G1869" s="1" t="str">
        <f>"0427A691"</f>
        <v>0427A691</v>
      </c>
      <c r="H1869" s="1" t="str">
        <f>"봉화간 27L29T1"</f>
        <v>봉화간 27L29T1</v>
      </c>
      <c r="I1869" s="1" t="s">
        <v>17</v>
      </c>
      <c r="J1869" s="1" t="str">
        <f>"57/68"</f>
        <v>57/68</v>
      </c>
      <c r="K1869" s="1" t="str">
        <f>"2026-07-29 13:18:06"</f>
        <v>2026-07-29 13:18:06</v>
      </c>
      <c r="L1869" s="1" t="str">
        <f>"2021-06-29 14:31:20"</f>
        <v>2021-06-29 14:31:20</v>
      </c>
      <c r="M1869" s="1" t="s">
        <v>3</v>
      </c>
      <c r="N1869" s="1" t="s">
        <v>38</v>
      </c>
      <c r="O1869" s="1" t="s">
        <v>46</v>
      </c>
    </row>
    <row r="1870" spans="2:15" x14ac:dyDescent="0.3">
      <c r="B1870" s="1" t="s">
        <v>24</v>
      </c>
      <c r="C1870" s="1" t="str">
        <f>"4차"</f>
        <v>4차</v>
      </c>
      <c r="D1870" s="1" t="str">
        <f>"0427A71144"</f>
        <v>0427A71144</v>
      </c>
      <c r="E1870" s="1" t="s">
        <v>10</v>
      </c>
      <c r="F1870" s="1" t="str">
        <f>"10.10.43.162"</f>
        <v>10.10.43.162</v>
      </c>
      <c r="G1870" s="1" t="str">
        <f>"0427A711"</f>
        <v>0427A711</v>
      </c>
      <c r="H1870" s="1" t="str">
        <f>"상이간 8R1R8L3"</f>
        <v>상이간 8R1R8L3</v>
      </c>
      <c r="I1870" s="1" t="s">
        <v>8</v>
      </c>
      <c r="J1870" s="1" t="str">
        <f>"30/30"</f>
        <v>30/30</v>
      </c>
      <c r="K1870" s="1" t="str">
        <f>"2026-07-29 13:18:04"</f>
        <v>2026-07-29 13:18:04</v>
      </c>
      <c r="L1870" s="1" t="str">
        <f>"2019-11-05 09:23:04"</f>
        <v>2019-11-05 09:23:04</v>
      </c>
      <c r="M1870" s="1" t="s">
        <v>1</v>
      </c>
      <c r="N1870" s="1" t="s">
        <v>38</v>
      </c>
      <c r="O1870" s="1" t="s">
        <v>46</v>
      </c>
    </row>
    <row r="1871" spans="2:15" x14ac:dyDescent="0.3">
      <c r="B1871" s="1" t="s">
        <v>24</v>
      </c>
      <c r="C1871" s="1" t="str">
        <f>"1차"</f>
        <v>1차</v>
      </c>
      <c r="D1871" s="1" t="str">
        <f>"0427A73100"</f>
        <v>0427A73100</v>
      </c>
      <c r="E1871" s="1" t="s">
        <v>10</v>
      </c>
      <c r="F1871" s="1" t="str">
        <f>"10.89.254.26"</f>
        <v>10.89.254.26</v>
      </c>
      <c r="G1871" s="1" t="str">
        <f>"0427A731"</f>
        <v>0427A731</v>
      </c>
      <c r="H1871" s="1" t="str">
        <f>"상이간 4L3"</f>
        <v>상이간 4L3</v>
      </c>
      <c r="I1871" s="1" t="s">
        <v>8</v>
      </c>
      <c r="J1871" s="1" t="str">
        <f>"29/30"</f>
        <v>29/30</v>
      </c>
      <c r="K1871" s="1" t="str">
        <f>"2026-07-29 13:18:04"</f>
        <v>2026-07-29 13:18:04</v>
      </c>
      <c r="L1871" s="1" t="str">
        <f>"2014-10-27 16:24:06"</f>
        <v>2014-10-27 16:24:06</v>
      </c>
      <c r="M1871" s="1" t="s">
        <v>45</v>
      </c>
      <c r="N1871" s="1" t="s">
        <v>38</v>
      </c>
      <c r="O1871" s="1" t="s">
        <v>46</v>
      </c>
    </row>
    <row r="1872" spans="2:15" x14ac:dyDescent="0.3">
      <c r="B1872" s="1" t="s">
        <v>24</v>
      </c>
      <c r="C1872" s="1" t="str">
        <f>"1차"</f>
        <v>1차</v>
      </c>
      <c r="D1872" s="1" t="str">
        <f>"0427A74101"</f>
        <v>0427A74101</v>
      </c>
      <c r="E1872" s="1" t="s">
        <v>10</v>
      </c>
      <c r="F1872" s="1" t="str">
        <f>"10.14.10.191"</f>
        <v>10.14.10.191</v>
      </c>
      <c r="G1872" s="1" t="str">
        <f>"0427A741"</f>
        <v>0427A741</v>
      </c>
      <c r="H1872" s="1" t="str">
        <f>"망우로SW 123R3L2"</f>
        <v>망우로SW 123R3L2</v>
      </c>
      <c r="I1872" s="1" t="s">
        <v>8</v>
      </c>
      <c r="J1872" s="1" t="str">
        <f>"25/27"</f>
        <v>25/27</v>
      </c>
      <c r="K1872" s="1" t="str">
        <f>"2026-07-29 13:18:05"</f>
        <v>2026-07-29 13:18:05</v>
      </c>
      <c r="L1872" s="1" t="str">
        <f>"2014-10-27 16:24:34"</f>
        <v>2014-10-27 16:24:34</v>
      </c>
      <c r="M1872" s="1" t="s">
        <v>3</v>
      </c>
      <c r="N1872" s="1" t="s">
        <v>38</v>
      </c>
      <c r="O1872" s="1" t="s">
        <v>46</v>
      </c>
    </row>
    <row r="1873" spans="2:15" x14ac:dyDescent="0.3">
      <c r="B1873" s="1" t="s">
        <v>24</v>
      </c>
      <c r="C1873" s="1" t="str">
        <f>"1차"</f>
        <v>1차</v>
      </c>
      <c r="D1873" s="1" t="str">
        <f>"0427A74201"</f>
        <v>0427A74201</v>
      </c>
      <c r="E1873" s="1" t="s">
        <v>10</v>
      </c>
      <c r="F1873" s="1" t="str">
        <f>"10.12.131.173"</f>
        <v>10.12.131.173</v>
      </c>
      <c r="G1873" s="1" t="str">
        <f>"0427A742"</f>
        <v>0427A742</v>
      </c>
      <c r="H1873" s="1" t="str">
        <f>"망우로SW 123R3L3"</f>
        <v>망우로SW 123R3L3</v>
      </c>
      <c r="I1873" s="1" t="s">
        <v>8</v>
      </c>
      <c r="J1873" s="1" t="str">
        <f>"23/27"</f>
        <v>23/27</v>
      </c>
      <c r="K1873" s="1" t="str">
        <f>"2026-07-29 13:18:02"</f>
        <v>2026-07-29 13:18:02</v>
      </c>
      <c r="L1873" s="1" t="str">
        <f>"2014-11-04 16:40:18"</f>
        <v>2014-11-04 16:40:18</v>
      </c>
      <c r="M1873" s="1" t="s">
        <v>0</v>
      </c>
      <c r="N1873" s="1" t="s">
        <v>38</v>
      </c>
      <c r="O1873" s="1" t="s">
        <v>46</v>
      </c>
    </row>
    <row r="1874" spans="2:15" x14ac:dyDescent="0.3">
      <c r="B1874" s="1" t="s">
        <v>24</v>
      </c>
      <c r="C1874" s="1" t="str">
        <f>"4차"</f>
        <v>4차</v>
      </c>
      <c r="D1874" s="1" t="str">
        <f>"0427A80144"</f>
        <v>0427A80144</v>
      </c>
      <c r="E1874" s="1" t="s">
        <v>10</v>
      </c>
      <c r="F1874" s="1" t="str">
        <f>"10.10.43.138"</f>
        <v>10.10.43.138</v>
      </c>
      <c r="G1874" s="1" t="str">
        <f>"0427A801"</f>
        <v>0427A801</v>
      </c>
      <c r="H1874" s="1" t="str">
        <f>"상이간 8R1R3"</f>
        <v>상이간 8R1R3</v>
      </c>
      <c r="I1874" s="1" t="s">
        <v>8</v>
      </c>
      <c r="J1874" s="1" t="str">
        <f>"20/20"</f>
        <v>20/20</v>
      </c>
      <c r="K1874" s="1" t="str">
        <f>"2026-07-29 13:18:04"</f>
        <v>2026-07-29 13:18:04</v>
      </c>
      <c r="L1874" s="1" t="str">
        <f>"2019-10-11 14:14:50"</f>
        <v>2019-10-11 14:14:50</v>
      </c>
      <c r="M1874" s="1" t="s">
        <v>1</v>
      </c>
      <c r="N1874" s="1" t="s">
        <v>38</v>
      </c>
      <c r="O1874" s="1" t="s">
        <v>46</v>
      </c>
    </row>
    <row r="1875" spans="2:15" x14ac:dyDescent="0.3">
      <c r="B1875" s="1" t="s">
        <v>24</v>
      </c>
      <c r="C1875" s="1" t="str">
        <f>"4차"</f>
        <v>4차</v>
      </c>
      <c r="D1875" s="1" t="str">
        <f>"0427A81144"</f>
        <v>0427A81144</v>
      </c>
      <c r="E1875" s="1" t="s">
        <v>10</v>
      </c>
      <c r="F1875" s="1" t="str">
        <f>"10.10.43.154"</f>
        <v>10.10.43.154</v>
      </c>
      <c r="G1875" s="1" t="str">
        <f>"0427A811"</f>
        <v>0427A811</v>
      </c>
      <c r="H1875" s="1" t="str">
        <f>"상이간 8R1R8L2"</f>
        <v>상이간 8R1R8L2</v>
      </c>
      <c r="I1875" s="1" t="s">
        <v>8</v>
      </c>
      <c r="J1875" s="1" t="str">
        <f>"29/34"</f>
        <v>29/34</v>
      </c>
      <c r="K1875" s="1" t="str">
        <f>"2026-07-29 13:18:04"</f>
        <v>2026-07-29 13:18:04</v>
      </c>
      <c r="L1875" s="1" t="str">
        <f>"2019-10-11 14:43:04"</f>
        <v>2019-10-11 14:43:04</v>
      </c>
      <c r="M1875" s="1" t="s">
        <v>1</v>
      </c>
      <c r="N1875" s="1" t="s">
        <v>38</v>
      </c>
      <c r="O1875" s="1" t="s">
        <v>46</v>
      </c>
    </row>
    <row r="1876" spans="2:15" x14ac:dyDescent="0.3">
      <c r="B1876" s="1" t="s">
        <v>24</v>
      </c>
      <c r="C1876" s="1" t="str">
        <f>"1차"</f>
        <v>1차</v>
      </c>
      <c r="D1876" s="1" t="str">
        <f>"0427A84300"</f>
        <v>0427A84300</v>
      </c>
      <c r="E1876" s="1" t="s">
        <v>10</v>
      </c>
      <c r="F1876" s="1" t="str">
        <f>"10.89.254.2"</f>
        <v>10.89.254.2</v>
      </c>
      <c r="G1876" s="1" t="str">
        <f>"0427A843"</f>
        <v>0427A843</v>
      </c>
      <c r="H1876" s="1" t="str">
        <f>"망우로SW 123R3L4"</f>
        <v>망우로SW 123R3L4</v>
      </c>
      <c r="I1876" s="1" t="s">
        <v>8</v>
      </c>
      <c r="J1876" s="1" t="str">
        <f>"19/23"</f>
        <v>19/23</v>
      </c>
      <c r="K1876" s="1" t="str">
        <f>"2026-07-29 13:18:04"</f>
        <v>2026-07-29 13:18:04</v>
      </c>
      <c r="L1876" s="1" t="str">
        <f>"2014-10-27 16:42:14"</f>
        <v>2014-10-27 16:42:14</v>
      </c>
      <c r="M1876" s="1" t="s">
        <v>45</v>
      </c>
      <c r="N1876" s="1" t="s">
        <v>38</v>
      </c>
      <c r="O1876" s="1" t="s">
        <v>46</v>
      </c>
    </row>
    <row r="1877" spans="2:15" x14ac:dyDescent="0.3">
      <c r="B1877" s="1" t="s">
        <v>24</v>
      </c>
      <c r="C1877" s="1" t="str">
        <f>"1차"</f>
        <v>1차</v>
      </c>
      <c r="D1877" s="1" t="str">
        <f>"0427A85100"</f>
        <v>0427A85100</v>
      </c>
      <c r="E1877" s="1" t="s">
        <v>10</v>
      </c>
      <c r="F1877" s="1" t="str">
        <f>"10.89.254.114"</f>
        <v>10.89.254.114</v>
      </c>
      <c r="G1877" s="1" t="str">
        <f>"0427A851"</f>
        <v>0427A851</v>
      </c>
      <c r="H1877" s="1" t="str">
        <f>"망우로SW 124R3R1"</f>
        <v>망우로SW 124R3R1</v>
      </c>
      <c r="I1877" s="1" t="s">
        <v>8</v>
      </c>
      <c r="J1877" s="1" t="str">
        <f>"74/74"</f>
        <v>74/74</v>
      </c>
      <c r="K1877" s="1" t="str">
        <f>"2026-07-29 13:18:02"</f>
        <v>2026-07-29 13:18:02</v>
      </c>
      <c r="L1877" s="1" t="str">
        <f>"2014-11-10 17:59:40"</f>
        <v>2014-11-10 17:59:40</v>
      </c>
      <c r="M1877" s="1" t="s">
        <v>45</v>
      </c>
      <c r="N1877" s="1" t="s">
        <v>38</v>
      </c>
      <c r="O1877" s="1" t="s">
        <v>46</v>
      </c>
    </row>
    <row r="1878" spans="2:15" x14ac:dyDescent="0.3">
      <c r="B1878" s="1" t="s">
        <v>24</v>
      </c>
      <c r="C1878" s="1" t="str">
        <f>"4차"</f>
        <v>4차</v>
      </c>
      <c r="D1878" s="1" t="str">
        <f>"0427A85241"</f>
        <v>0427A85241</v>
      </c>
      <c r="E1878" s="1" t="s">
        <v>10</v>
      </c>
      <c r="F1878" s="1" t="str">
        <f>"10.12.131.206"</f>
        <v>10.12.131.206</v>
      </c>
      <c r="G1878" s="1" t="str">
        <f>"0427A852"</f>
        <v>0427A852</v>
      </c>
      <c r="H1878" s="1" t="str">
        <f>"망우로SW 124R2"</f>
        <v>망우로SW 124R2</v>
      </c>
      <c r="I1878" s="1" t="s">
        <v>17</v>
      </c>
      <c r="J1878" s="1" t="str">
        <f>"87/87"</f>
        <v>87/87</v>
      </c>
      <c r="K1878" s="1" t="str">
        <f>"2026-07-29 13:18:05"</f>
        <v>2026-07-29 13:18:05</v>
      </c>
      <c r="L1878" s="1" t="str">
        <f>"2025-06-26 17:15:05"</f>
        <v>2025-06-26 17:15:05</v>
      </c>
      <c r="M1878" s="1" t="s">
        <v>0</v>
      </c>
      <c r="N1878" s="1" t="s">
        <v>38</v>
      </c>
      <c r="O1878" s="1" t="s">
        <v>46</v>
      </c>
    </row>
    <row r="1879" spans="2:15" x14ac:dyDescent="0.3">
      <c r="B1879" s="1" t="s">
        <v>24</v>
      </c>
      <c r="C1879" s="1" t="str">
        <f>"4차"</f>
        <v>4차</v>
      </c>
      <c r="D1879" s="1" t="str">
        <f>"0427A87A39"</f>
        <v>0427A87A39</v>
      </c>
      <c r="E1879" s="1" t="s">
        <v>10</v>
      </c>
      <c r="F1879" s="1" t="str">
        <f>"10.12.130.126"</f>
        <v>10.12.130.126</v>
      </c>
      <c r="G1879" s="1" t="str">
        <f>"0427A87A"</f>
        <v>0427A87A</v>
      </c>
      <c r="H1879" s="1" t="str">
        <f>"망우로 124"</f>
        <v>망우로 124</v>
      </c>
      <c r="I1879" s="1" t="s">
        <v>17</v>
      </c>
      <c r="J1879" s="1" t="str">
        <f>"5/5"</f>
        <v>5/5</v>
      </c>
      <c r="K1879" s="1" t="str">
        <f>"2026-07-29 13:18:05"</f>
        <v>2026-07-29 13:18:05</v>
      </c>
      <c r="L1879" s="1" t="str">
        <f>"2018-10-18 13:09:56"</f>
        <v>2018-10-18 13:09:56</v>
      </c>
      <c r="M1879" s="1" t="s">
        <v>0</v>
      </c>
      <c r="N1879" s="1" t="s">
        <v>38</v>
      </c>
      <c r="O1879" s="1" t="s">
        <v>46</v>
      </c>
    </row>
    <row r="1880" spans="2:15" x14ac:dyDescent="0.3">
      <c r="B1880" s="1" t="s">
        <v>24</v>
      </c>
      <c r="C1880" s="1" t="str">
        <f>"4차"</f>
        <v>4차</v>
      </c>
      <c r="D1880" s="1" t="str">
        <f>"0427A92444"</f>
        <v>0427A92444</v>
      </c>
      <c r="E1880" s="1" t="s">
        <v>10</v>
      </c>
      <c r="F1880" s="1" t="str">
        <f>"10.10.43.146"</f>
        <v>10.10.43.146</v>
      </c>
      <c r="G1880" s="1" t="str">
        <f>"0427A924"</f>
        <v>0427A924</v>
      </c>
      <c r="H1880" s="1" t="str">
        <f>"상이간 8R1R7"</f>
        <v>상이간 8R1R7</v>
      </c>
      <c r="I1880" s="1" t="s">
        <v>8</v>
      </c>
      <c r="J1880" s="1" t="str">
        <f>"37/37"</f>
        <v>37/37</v>
      </c>
      <c r="K1880" s="1" t="str">
        <f>"2026-07-29 13:18:04"</f>
        <v>2026-07-29 13:18:04</v>
      </c>
      <c r="L1880" s="1" t="str">
        <f>"2019-10-11 14:23:03"</f>
        <v>2019-10-11 14:23:03</v>
      </c>
      <c r="M1880" s="1" t="s">
        <v>1</v>
      </c>
      <c r="N1880" s="1" t="s">
        <v>38</v>
      </c>
      <c r="O1880" s="1" t="s">
        <v>46</v>
      </c>
    </row>
    <row r="1881" spans="2:15" x14ac:dyDescent="0.3">
      <c r="B1881" s="1" t="s">
        <v>24</v>
      </c>
      <c r="C1881" s="1" t="str">
        <f>"1차"</f>
        <v>1차</v>
      </c>
      <c r="D1881" s="1" t="str">
        <f>"0427A93201"</f>
        <v>0427A93201</v>
      </c>
      <c r="E1881" s="1" t="s">
        <v>10</v>
      </c>
      <c r="F1881" s="1" t="str">
        <f>"10.12.132.146"</f>
        <v>10.12.132.146</v>
      </c>
      <c r="G1881" s="1" t="str">
        <f>"0427A932"</f>
        <v>0427A932</v>
      </c>
      <c r="H1881" s="1" t="str">
        <f>"상이간 4L6"</f>
        <v>상이간 4L6</v>
      </c>
      <c r="I1881" s="1" t="s">
        <v>8</v>
      </c>
      <c r="J1881" s="1" t="str">
        <f>"38/38"</f>
        <v>38/38</v>
      </c>
      <c r="K1881" s="1" t="str">
        <f>"2026-07-29 13:18:05"</f>
        <v>2026-07-29 13:18:05</v>
      </c>
      <c r="L1881" s="1" t="str">
        <f>"2014-10-27 16:43:18"</f>
        <v>2014-10-27 16:43:18</v>
      </c>
      <c r="M1881" s="1" t="s">
        <v>0</v>
      </c>
      <c r="N1881" s="1" t="s">
        <v>38</v>
      </c>
      <c r="O1881" s="1" t="s">
        <v>46</v>
      </c>
    </row>
    <row r="1882" spans="2:15" x14ac:dyDescent="0.3">
      <c r="B1882" s="1" t="s">
        <v>24</v>
      </c>
      <c r="C1882" s="1" t="str">
        <f>"1차"</f>
        <v>1차</v>
      </c>
      <c r="D1882" s="1" t="str">
        <f>"0427A94101"</f>
        <v>0427A94101</v>
      </c>
      <c r="E1882" s="1" t="s">
        <v>10</v>
      </c>
      <c r="F1882" s="1" t="str">
        <f>"10.12.131.174"</f>
        <v>10.12.131.174</v>
      </c>
      <c r="G1882" s="1" t="str">
        <f>"0427A941"</f>
        <v>0427A941</v>
      </c>
      <c r="H1882" s="1" t="str">
        <f>"상이간 4L8"</f>
        <v>상이간 4L8</v>
      </c>
      <c r="I1882" s="1" t="s">
        <v>8</v>
      </c>
      <c r="J1882" s="1" t="str">
        <f>"44/44"</f>
        <v>44/44</v>
      </c>
      <c r="K1882" s="1" t="str">
        <f>"2026-07-29 13:18:02"</f>
        <v>2026-07-29 13:18:02</v>
      </c>
      <c r="L1882" s="1" t="str">
        <f>"2014-10-27 16:43:46"</f>
        <v>2014-10-27 16:43:46</v>
      </c>
      <c r="M1882" s="1" t="s">
        <v>0</v>
      </c>
      <c r="N1882" s="1" t="s">
        <v>38</v>
      </c>
      <c r="O1882" s="1" t="s">
        <v>46</v>
      </c>
    </row>
    <row r="1883" spans="2:15" x14ac:dyDescent="0.3">
      <c r="B1883" s="1" t="s">
        <v>24</v>
      </c>
      <c r="C1883" s="1" t="str">
        <f>"4차"</f>
        <v>4차</v>
      </c>
      <c r="D1883" s="1" t="str">
        <f>"0427B02145"</f>
        <v>0427B02145</v>
      </c>
      <c r="E1883" s="1" t="s">
        <v>10</v>
      </c>
      <c r="F1883" s="1" t="str">
        <f>"10.14.2.14"</f>
        <v>10.14.2.14</v>
      </c>
      <c r="G1883" s="1" t="str">
        <f>"0427B021"</f>
        <v>0427B021</v>
      </c>
      <c r="H1883" s="1" t="str">
        <f>"면목 4-1"</f>
        <v>면목 4-1</v>
      </c>
      <c r="I1883" s="1" t="s">
        <v>17</v>
      </c>
      <c r="J1883" s="1" t="str">
        <f>"34/34"</f>
        <v>34/34</v>
      </c>
      <c r="K1883" s="1" t="str">
        <f>"2026-07-29 13:18:02"</f>
        <v>2026-07-29 13:18:02</v>
      </c>
      <c r="L1883" s="1" t="str">
        <f>"2021-06-29 10:46:34"</f>
        <v>2021-06-29 10:46:34</v>
      </c>
      <c r="M1883" s="1" t="s">
        <v>3</v>
      </c>
      <c r="N1883" s="1" t="s">
        <v>38</v>
      </c>
      <c r="O1883" s="1" t="s">
        <v>46</v>
      </c>
    </row>
    <row r="1884" spans="2:15" x14ac:dyDescent="0.3">
      <c r="B1884" s="1" t="s">
        <v>24</v>
      </c>
      <c r="C1884" s="1" t="str">
        <f>"4차"</f>
        <v>4차</v>
      </c>
      <c r="D1884" s="1" t="str">
        <f>"0427B05B39"</f>
        <v>0427B05B39</v>
      </c>
      <c r="E1884" s="1" t="s">
        <v>10</v>
      </c>
      <c r="F1884" s="1" t="str">
        <f>"10.12.131.199"</f>
        <v>10.12.131.199</v>
      </c>
      <c r="G1884" s="1" t="str">
        <f>"0427B05B"</f>
        <v>0427B05B</v>
      </c>
      <c r="H1884" s="1" t="str">
        <f>"면목 2"</f>
        <v>면목 2</v>
      </c>
      <c r="I1884" s="1" t="s">
        <v>17</v>
      </c>
      <c r="J1884" s="1" t="str">
        <f>"5/5"</f>
        <v>5/5</v>
      </c>
      <c r="K1884" s="1" t="str">
        <f>"2026-07-29 13:18:05"</f>
        <v>2026-07-29 13:18:05</v>
      </c>
      <c r="L1884" s="1" t="str">
        <f>"2018-10-18 13:57:41"</f>
        <v>2018-10-18 13:57:41</v>
      </c>
      <c r="M1884" s="1" t="s">
        <v>0</v>
      </c>
      <c r="N1884" s="1" t="s">
        <v>38</v>
      </c>
      <c r="O1884" s="1" t="s">
        <v>46</v>
      </c>
    </row>
    <row r="1885" spans="2:15" x14ac:dyDescent="0.3">
      <c r="B1885" s="1" t="s">
        <v>24</v>
      </c>
      <c r="C1885" s="1" t="str">
        <f>"4차"</f>
        <v>4차</v>
      </c>
      <c r="D1885" s="1" t="str">
        <f>"0427B12339"</f>
        <v>0427B12339</v>
      </c>
      <c r="E1885" s="1" t="s">
        <v>10</v>
      </c>
      <c r="F1885" s="1" t="str">
        <f>"10.12.131.197"</f>
        <v>10.12.131.197</v>
      </c>
      <c r="G1885" s="1" t="str">
        <f>"0427B123"</f>
        <v>0427B123</v>
      </c>
      <c r="H1885" s="1" t="str">
        <f>"면목 5"</f>
        <v>면목 5</v>
      </c>
      <c r="I1885" s="1" t="s">
        <v>17</v>
      </c>
      <c r="J1885" s="1" t="str">
        <f>"3/3"</f>
        <v>3/3</v>
      </c>
      <c r="K1885" s="1" t="str">
        <f>"2026-07-29 13:18:05"</f>
        <v>2026-07-29 13:18:05</v>
      </c>
      <c r="L1885" s="1" t="str">
        <f>"2018-10-18 13:36:26"</f>
        <v>2018-10-18 13:36:26</v>
      </c>
      <c r="M1885" s="1" t="s">
        <v>0</v>
      </c>
      <c r="N1885" s="1" t="s">
        <v>38</v>
      </c>
      <c r="O1885" s="1" t="s">
        <v>46</v>
      </c>
    </row>
    <row r="1886" spans="2:15" x14ac:dyDescent="0.3">
      <c r="B1886" s="1" t="s">
        <v>24</v>
      </c>
      <c r="C1886" s="1" t="str">
        <f>"4차"</f>
        <v>4차</v>
      </c>
      <c r="D1886" s="1" t="str">
        <f>"0427B16345"</f>
        <v>0427B16345</v>
      </c>
      <c r="E1886" s="1" t="s">
        <v>10</v>
      </c>
      <c r="F1886" s="1" t="str">
        <f>"10.14.1.27"</f>
        <v>10.14.1.27</v>
      </c>
      <c r="G1886" s="1" t="str">
        <f>"0427B163"</f>
        <v>0427B163</v>
      </c>
      <c r="H1886" s="1" t="str">
        <f>"면목 1"</f>
        <v>면목 1</v>
      </c>
      <c r="I1886" s="1" t="s">
        <v>17</v>
      </c>
      <c r="J1886" s="1" t="str">
        <f>"53/53"</f>
        <v>53/53</v>
      </c>
      <c r="K1886" s="1" t="str">
        <f>"2026-07-29 13:18:02"</f>
        <v>2026-07-29 13:18:02</v>
      </c>
      <c r="L1886" s="1" t="str">
        <f>"2021-06-29 11:12:33"</f>
        <v>2021-06-29 11:12:33</v>
      </c>
      <c r="M1886" s="1" t="s">
        <v>3</v>
      </c>
      <c r="N1886" s="1" t="s">
        <v>38</v>
      </c>
      <c r="O1886" s="1" t="s">
        <v>46</v>
      </c>
    </row>
    <row r="1887" spans="2:15" x14ac:dyDescent="0.3">
      <c r="B1887" s="1" t="s">
        <v>24</v>
      </c>
      <c r="C1887" s="1" t="str">
        <f>"4차"</f>
        <v>4차</v>
      </c>
      <c r="D1887" s="1" t="str">
        <f>"0427B16439"</f>
        <v>0427B16439</v>
      </c>
      <c r="E1887" s="1" t="s">
        <v>10</v>
      </c>
      <c r="F1887" s="1" t="str">
        <f>"10.12.130.127"</f>
        <v>10.12.130.127</v>
      </c>
      <c r="G1887" s="1" t="str">
        <f>"0427B164"</f>
        <v>0427B164</v>
      </c>
      <c r="H1887" s="1" t="str">
        <f>"망우지 52R2R4T1"</f>
        <v>망우지 52R2R4T1</v>
      </c>
      <c r="I1887" s="1" t="s">
        <v>17</v>
      </c>
      <c r="J1887" s="1" t="str">
        <f>"1/1"</f>
        <v>1/1</v>
      </c>
      <c r="K1887" s="1" t="str">
        <f>"2026-07-29 13:18:05"</f>
        <v>2026-07-29 13:18:05</v>
      </c>
      <c r="L1887" s="1" t="str">
        <f>"2018-10-18 14:32:42"</f>
        <v>2018-10-18 14:32:42</v>
      </c>
      <c r="M1887" s="1" t="s">
        <v>0</v>
      </c>
      <c r="N1887" s="1" t="s">
        <v>38</v>
      </c>
      <c r="O1887" s="1" t="s">
        <v>46</v>
      </c>
    </row>
    <row r="1888" spans="2:15" x14ac:dyDescent="0.3">
      <c r="B1888" s="1" t="s">
        <v>24</v>
      </c>
      <c r="C1888" s="1" t="str">
        <f>"1차"</f>
        <v>1차</v>
      </c>
      <c r="D1888" s="1" t="str">
        <f>"0427B23201"</f>
        <v>0427B23201</v>
      </c>
      <c r="E1888" s="1" t="s">
        <v>10</v>
      </c>
      <c r="F1888" s="1" t="str">
        <f>"10.12.133.153"</f>
        <v>10.12.133.153</v>
      </c>
      <c r="G1888" s="1" t="str">
        <f>"0427B232"</f>
        <v>0427B232</v>
      </c>
      <c r="H1888" s="1" t="str">
        <f>"상봉 SW6L2"</f>
        <v>상봉 SW6L2</v>
      </c>
      <c r="I1888" s="1" t="s">
        <v>8</v>
      </c>
      <c r="J1888" s="1" t="str">
        <f>"21/21"</f>
        <v>21/21</v>
      </c>
      <c r="K1888" s="1" t="str">
        <f>"2026-07-29 13:18:02"</f>
        <v>2026-07-29 13:18:02</v>
      </c>
      <c r="L1888" s="1" t="str">
        <f>"2014-10-07 00:14:06"</f>
        <v>2014-10-07 00:14:06</v>
      </c>
      <c r="M1888" s="1" t="s">
        <v>0</v>
      </c>
      <c r="N1888" s="1" t="s">
        <v>38</v>
      </c>
      <c r="O1888" s="1" t="s">
        <v>46</v>
      </c>
    </row>
    <row r="1889" spans="2:15" x14ac:dyDescent="0.3">
      <c r="B1889" s="1" t="s">
        <v>24</v>
      </c>
      <c r="C1889" s="1" t="str">
        <f>"4차"</f>
        <v>4차</v>
      </c>
      <c r="D1889" s="1" t="str">
        <f>"0427B23444"</f>
        <v>0427B23444</v>
      </c>
      <c r="E1889" s="1" t="s">
        <v>10</v>
      </c>
      <c r="F1889" s="1" t="str">
        <f>"10.89.248.34"</f>
        <v>10.89.248.34</v>
      </c>
      <c r="G1889" s="1" t="str">
        <f>"0427B234"</f>
        <v>0427B234</v>
      </c>
      <c r="H1889" s="1" t="str">
        <f>"상봉 SW6L3R1"</f>
        <v>상봉 SW6L3R1</v>
      </c>
      <c r="I1889" s="1" t="s">
        <v>8</v>
      </c>
      <c r="J1889" s="1" t="str">
        <f>"46/55"</f>
        <v>46/55</v>
      </c>
      <c r="K1889" s="1" t="str">
        <f>"2026-07-29 13:18:02"</f>
        <v>2026-07-29 13:18:02</v>
      </c>
      <c r="L1889" s="1" t="str">
        <f>"2023-07-12 14:35:39"</f>
        <v>2023-07-12 14:35:39</v>
      </c>
      <c r="M1889" s="1" t="s">
        <v>45</v>
      </c>
      <c r="N1889" s="1" t="s">
        <v>38</v>
      </c>
      <c r="O1889" s="1" t="s">
        <v>46</v>
      </c>
    </row>
    <row r="1890" spans="2:15" x14ac:dyDescent="0.3">
      <c r="B1890" s="1" t="s">
        <v>24</v>
      </c>
      <c r="C1890" s="1" t="str">
        <f t="shared" ref="C1890:C1895" si="110">"1차"</f>
        <v>1차</v>
      </c>
      <c r="D1890" s="1" t="str">
        <f>"0427B25101"</f>
        <v>0427B25101</v>
      </c>
      <c r="E1890" s="1" t="s">
        <v>10</v>
      </c>
      <c r="F1890" s="1" t="str">
        <f>"10.89.248.36"</f>
        <v>10.89.248.36</v>
      </c>
      <c r="G1890" s="1" t="str">
        <f>"0427B251"</f>
        <v>0427B251</v>
      </c>
      <c r="H1890" s="1" t="str">
        <f>"망우지 52R8"</f>
        <v>망우지 52R8</v>
      </c>
      <c r="I1890" s="1" t="s">
        <v>8</v>
      </c>
      <c r="J1890" s="1" t="str">
        <f>"52/52"</f>
        <v>52/52</v>
      </c>
      <c r="K1890" s="1" t="str">
        <f>"2026-07-29 13:18:03"</f>
        <v>2026-07-29 13:18:03</v>
      </c>
      <c r="L1890" s="1" t="str">
        <f>"2014-10-08 00:14:21"</f>
        <v>2014-10-08 00:14:21</v>
      </c>
      <c r="M1890" s="1" t="s">
        <v>45</v>
      </c>
      <c r="N1890" s="1" t="s">
        <v>38</v>
      </c>
      <c r="O1890" s="1" t="s">
        <v>46</v>
      </c>
    </row>
    <row r="1891" spans="2:15" x14ac:dyDescent="0.3">
      <c r="B1891" s="1" t="s">
        <v>24</v>
      </c>
      <c r="C1891" s="1" t="str">
        <f t="shared" si="110"/>
        <v>1차</v>
      </c>
      <c r="D1891" s="1" t="str">
        <f>"0427B25200"</f>
        <v>0427B25200</v>
      </c>
      <c r="E1891" s="1" t="s">
        <v>10</v>
      </c>
      <c r="F1891" s="1" t="str">
        <f>"10.89.248.35"</f>
        <v>10.89.248.35</v>
      </c>
      <c r="G1891" s="1" t="str">
        <f>"0427B252"</f>
        <v>0427B252</v>
      </c>
      <c r="H1891" s="1" t="str">
        <f>"망우지 52R7"</f>
        <v>망우지 52R7</v>
      </c>
      <c r="I1891" s="1" t="s">
        <v>8</v>
      </c>
      <c r="J1891" s="1" t="str">
        <f>"44/44"</f>
        <v>44/44</v>
      </c>
      <c r="K1891" s="1" t="str">
        <f>"2026-07-29 13:18:02"</f>
        <v>2026-07-29 13:18:02</v>
      </c>
      <c r="L1891" s="1" t="str">
        <f>"2014-09-22 10:57:53"</f>
        <v>2014-09-22 10:57:53</v>
      </c>
      <c r="M1891" s="1" t="s">
        <v>45</v>
      </c>
      <c r="N1891" s="1" t="s">
        <v>38</v>
      </c>
      <c r="O1891" s="1" t="s">
        <v>46</v>
      </c>
    </row>
    <row r="1892" spans="2:15" x14ac:dyDescent="0.3">
      <c r="B1892" s="1" t="s">
        <v>24</v>
      </c>
      <c r="C1892" s="1" t="str">
        <f t="shared" si="110"/>
        <v>1차</v>
      </c>
      <c r="D1892" s="1" t="str">
        <f>"0427B27101"</f>
        <v>0427B27101</v>
      </c>
      <c r="E1892" s="1" t="s">
        <v>10</v>
      </c>
      <c r="F1892" s="1" t="str">
        <f>"10.12.131.67"</f>
        <v>10.12.131.67</v>
      </c>
      <c r="G1892" s="1" t="str">
        <f>"0427B271"</f>
        <v>0427B271</v>
      </c>
      <c r="H1892" s="1" t="str">
        <f>"망우지 52R2R3"</f>
        <v>망우지 52R2R3</v>
      </c>
      <c r="I1892" s="1" t="s">
        <v>8</v>
      </c>
      <c r="J1892" s="1" t="str">
        <f>"83/83"</f>
        <v>83/83</v>
      </c>
      <c r="K1892" s="1" t="str">
        <f>"2026-07-29 13:18:05"</f>
        <v>2026-07-29 13:18:05</v>
      </c>
      <c r="L1892" s="1" t="str">
        <f>"2014-10-27 16:46:44"</f>
        <v>2014-10-27 16:46:44</v>
      </c>
      <c r="M1892" s="1" t="s">
        <v>0</v>
      </c>
      <c r="N1892" s="1" t="s">
        <v>38</v>
      </c>
      <c r="O1892" s="1" t="s">
        <v>46</v>
      </c>
    </row>
    <row r="1893" spans="2:15" x14ac:dyDescent="0.3">
      <c r="B1893" s="1" t="s">
        <v>24</v>
      </c>
      <c r="C1893" s="1" t="str">
        <f t="shared" si="110"/>
        <v>1차</v>
      </c>
      <c r="D1893" s="1" t="str">
        <f>"0427B30101"</f>
        <v>0427B30101</v>
      </c>
      <c r="E1893" s="1" t="s">
        <v>10</v>
      </c>
      <c r="F1893" s="1" t="str">
        <f>"10.14.10.116"</f>
        <v>10.14.10.116</v>
      </c>
      <c r="G1893" s="1" t="str">
        <f>"0427B301"</f>
        <v>0427B301</v>
      </c>
      <c r="H1893" s="1" t="str">
        <f>"동원간 4"</f>
        <v>동원간 4</v>
      </c>
      <c r="I1893" s="1" t="s">
        <v>8</v>
      </c>
      <c r="J1893" s="1" t="str">
        <f>"29/29"</f>
        <v>29/29</v>
      </c>
      <c r="K1893" s="1" t="str">
        <f>"2026-07-29 13:18:06"</f>
        <v>2026-07-29 13:18:06</v>
      </c>
      <c r="L1893" s="1" t="str">
        <f>"2014-10-12 00:13:33"</f>
        <v>2014-10-12 00:13:33</v>
      </c>
      <c r="M1893" s="1" t="s">
        <v>3</v>
      </c>
      <c r="N1893" s="1" t="s">
        <v>38</v>
      </c>
      <c r="O1893" s="1" t="s">
        <v>46</v>
      </c>
    </row>
    <row r="1894" spans="2:15" x14ac:dyDescent="0.3">
      <c r="B1894" s="1" t="s">
        <v>24</v>
      </c>
      <c r="C1894" s="1" t="str">
        <f t="shared" si="110"/>
        <v>1차</v>
      </c>
      <c r="D1894" s="1" t="str">
        <f>"0427B35200"</f>
        <v>0427B35200</v>
      </c>
      <c r="E1894" s="1" t="s">
        <v>10</v>
      </c>
      <c r="F1894" s="1" t="str">
        <f>"10.89.249.68"</f>
        <v>10.89.249.68</v>
      </c>
      <c r="G1894" s="1" t="str">
        <f>"0427B352"</f>
        <v>0427B352</v>
      </c>
      <c r="H1894" s="1" t="str">
        <f>"망우지 52R6L1"</f>
        <v>망우지 52R6L1</v>
      </c>
      <c r="I1894" s="1" t="s">
        <v>8</v>
      </c>
      <c r="J1894" s="1" t="str">
        <f>"67/76"</f>
        <v>67/76</v>
      </c>
      <c r="K1894" s="1" t="str">
        <f>"2026-07-29 13:18:02"</f>
        <v>2026-07-29 13:18:02</v>
      </c>
      <c r="L1894" s="1" t="str">
        <f>"2014-09-22 10:57:35"</f>
        <v>2014-09-22 10:57:35</v>
      </c>
      <c r="M1894" s="1" t="s">
        <v>45</v>
      </c>
      <c r="N1894" s="1" t="s">
        <v>38</v>
      </c>
      <c r="O1894" s="1" t="s">
        <v>46</v>
      </c>
    </row>
    <row r="1895" spans="2:15" x14ac:dyDescent="0.3">
      <c r="B1895" s="1" t="s">
        <v>24</v>
      </c>
      <c r="C1895" s="1" t="str">
        <f t="shared" si="110"/>
        <v>1차</v>
      </c>
      <c r="D1895" s="1" t="str">
        <f>"0427B35301"</f>
        <v>0427B35301</v>
      </c>
      <c r="E1895" s="1" t="s">
        <v>10</v>
      </c>
      <c r="F1895" s="1" t="str">
        <f>"10.12.128.214"</f>
        <v>10.12.128.214</v>
      </c>
      <c r="G1895" s="1" t="str">
        <f>"0427B353"</f>
        <v>0427B353</v>
      </c>
      <c r="H1895" s="1" t="str">
        <f>"망우지 52R6L2"</f>
        <v>망우지 52R6L2</v>
      </c>
      <c r="I1895" s="1" t="s">
        <v>8</v>
      </c>
      <c r="J1895" s="1" t="str">
        <f>"56/56"</f>
        <v>56/56</v>
      </c>
      <c r="K1895" s="1" t="str">
        <f>"2026-07-29 13:18:05"</f>
        <v>2026-07-29 13:18:05</v>
      </c>
      <c r="L1895" s="1" t="str">
        <f>"2014-10-11 14:04:57"</f>
        <v>2014-10-11 14:04:57</v>
      </c>
      <c r="M1895" s="1" t="s">
        <v>0</v>
      </c>
      <c r="N1895" s="1" t="s">
        <v>38</v>
      </c>
      <c r="O1895" s="1" t="s">
        <v>46</v>
      </c>
    </row>
    <row r="1896" spans="2:15" x14ac:dyDescent="0.3">
      <c r="B1896" s="1" t="s">
        <v>24</v>
      </c>
      <c r="C1896" s="1" t="str">
        <f>"4차"</f>
        <v>4차</v>
      </c>
      <c r="D1896" s="1" t="str">
        <f>"0427B36441"</f>
        <v>0427B36441</v>
      </c>
      <c r="E1896" s="1" t="s">
        <v>10</v>
      </c>
      <c r="F1896" s="1" t="str">
        <f>"10.14.12.114"</f>
        <v>10.14.12.114</v>
      </c>
      <c r="G1896" s="1" t="str">
        <f>"0427B364"</f>
        <v>0427B364</v>
      </c>
      <c r="H1896" s="1" t="str">
        <f>"망우지 52R2R2L1"</f>
        <v>망우지 52R2R2L1</v>
      </c>
      <c r="I1896" s="1" t="s">
        <v>17</v>
      </c>
      <c r="J1896" s="1" t="str">
        <f>"103/107"</f>
        <v>103/107</v>
      </c>
      <c r="K1896" s="1" t="str">
        <f>"2026-07-29 13:18:05"</f>
        <v>2026-07-29 13:18:05</v>
      </c>
      <c r="L1896" s="1" t="str">
        <f>"2021-10-19 09:23:04"</f>
        <v>2021-10-19 09:23:04</v>
      </c>
      <c r="M1896" s="1" t="s">
        <v>3</v>
      </c>
      <c r="N1896" s="1" t="s">
        <v>38</v>
      </c>
      <c r="O1896" s="1" t="s">
        <v>46</v>
      </c>
    </row>
    <row r="1897" spans="2:15" x14ac:dyDescent="0.3">
      <c r="B1897" s="1" t="s">
        <v>24</v>
      </c>
      <c r="C1897" s="1" t="str">
        <f t="shared" ref="C1897:C1905" si="111">"1차"</f>
        <v>1차</v>
      </c>
      <c r="D1897" s="1" t="str">
        <f>"0427B40101"</f>
        <v>0427B40101</v>
      </c>
      <c r="E1897" s="1" t="s">
        <v>10</v>
      </c>
      <c r="F1897" s="1" t="str">
        <f>"10.14.1.189"</f>
        <v>10.14.1.189</v>
      </c>
      <c r="G1897" s="1" t="str">
        <f>"0427B401"</f>
        <v>0427B401</v>
      </c>
      <c r="H1897" s="1" t="str">
        <f>"동원간 6"</f>
        <v>동원간 6</v>
      </c>
      <c r="I1897" s="1" t="s">
        <v>8</v>
      </c>
      <c r="J1897" s="1" t="str">
        <f>"91/91"</f>
        <v>91/91</v>
      </c>
      <c r="K1897" s="1" t="str">
        <f>"2026-07-29 13:18:04"</f>
        <v>2026-07-29 13:18:04</v>
      </c>
      <c r="L1897" s="1" t="str">
        <f>"2014-10-02 04:42:05"</f>
        <v>2014-10-02 04:42:05</v>
      </c>
      <c r="M1897" s="1" t="s">
        <v>3</v>
      </c>
      <c r="N1897" s="1" t="s">
        <v>38</v>
      </c>
      <c r="O1897" s="1" t="s">
        <v>46</v>
      </c>
    </row>
    <row r="1898" spans="2:15" x14ac:dyDescent="0.3">
      <c r="B1898" s="1" t="s">
        <v>24</v>
      </c>
      <c r="C1898" s="1" t="str">
        <f t="shared" si="111"/>
        <v>1차</v>
      </c>
      <c r="D1898" s="1" t="str">
        <f>"0427B40200"</f>
        <v>0427B40200</v>
      </c>
      <c r="E1898" s="1" t="s">
        <v>10</v>
      </c>
      <c r="F1898" s="1" t="str">
        <f>"10.89.252.194"</f>
        <v>10.89.252.194</v>
      </c>
      <c r="G1898" s="1" t="str">
        <f>"0427B402"</f>
        <v>0427B402</v>
      </c>
      <c r="H1898" s="1" t="str">
        <f>"동원간 5"</f>
        <v>동원간 5</v>
      </c>
      <c r="I1898" s="1" t="s">
        <v>8</v>
      </c>
      <c r="J1898" s="1" t="str">
        <f>"64/64"</f>
        <v>64/64</v>
      </c>
      <c r="K1898" s="1" t="str">
        <f>"2026-07-29 13:18:03"</f>
        <v>2026-07-29 13:18:03</v>
      </c>
      <c r="L1898" s="1" t="str">
        <f>"2014-10-08 00:13:26"</f>
        <v>2014-10-08 00:13:26</v>
      </c>
      <c r="M1898" s="1" t="s">
        <v>45</v>
      </c>
      <c r="N1898" s="1" t="s">
        <v>38</v>
      </c>
      <c r="O1898" s="1" t="s">
        <v>46</v>
      </c>
    </row>
    <row r="1899" spans="2:15" x14ac:dyDescent="0.3">
      <c r="B1899" s="1" t="s">
        <v>24</v>
      </c>
      <c r="C1899" s="1" t="str">
        <f t="shared" si="111"/>
        <v>1차</v>
      </c>
      <c r="D1899" s="1" t="str">
        <f>"0427B45100"</f>
        <v>0427B45100</v>
      </c>
      <c r="E1899" s="1" t="s">
        <v>10</v>
      </c>
      <c r="F1899" s="1" t="str">
        <f>"10.89.249.70"</f>
        <v>10.89.249.70</v>
      </c>
      <c r="G1899" s="1" t="str">
        <f>"0427B451"</f>
        <v>0427B451</v>
      </c>
      <c r="H1899" s="1" t="str">
        <f>"망우지 52R6L3"</f>
        <v>망우지 52R6L3</v>
      </c>
      <c r="I1899" s="1" t="s">
        <v>8</v>
      </c>
      <c r="J1899" s="1" t="str">
        <f>"64/64"</f>
        <v>64/64</v>
      </c>
      <c r="K1899" s="1" t="str">
        <f>"2026-07-29 13:18:03"</f>
        <v>2026-07-29 13:18:03</v>
      </c>
      <c r="L1899" s="1" t="str">
        <f>"2014-10-08 00:14:16"</f>
        <v>2014-10-08 00:14:16</v>
      </c>
      <c r="M1899" s="1" t="s">
        <v>45</v>
      </c>
      <c r="N1899" s="1" t="s">
        <v>38</v>
      </c>
      <c r="O1899" s="1" t="s">
        <v>46</v>
      </c>
    </row>
    <row r="1900" spans="2:15" x14ac:dyDescent="0.3">
      <c r="B1900" s="1" t="s">
        <v>24</v>
      </c>
      <c r="C1900" s="1" t="str">
        <f t="shared" si="111"/>
        <v>1차</v>
      </c>
      <c r="D1900" s="1" t="str">
        <f>"0427B46101"</f>
        <v>0427B46101</v>
      </c>
      <c r="E1900" s="1" t="s">
        <v>10</v>
      </c>
      <c r="F1900" s="1" t="str">
        <f>"10.89.249.69"</f>
        <v>10.89.249.69</v>
      </c>
      <c r="G1900" s="1" t="str">
        <f>"0427B461"</f>
        <v>0427B461</v>
      </c>
      <c r="H1900" s="1" t="str">
        <f>"망우지 52R5"</f>
        <v>망우지 52R5</v>
      </c>
      <c r="I1900" s="1" t="s">
        <v>8</v>
      </c>
      <c r="J1900" s="1" t="str">
        <f>"14/16"</f>
        <v>14/16</v>
      </c>
      <c r="K1900" s="1" t="str">
        <f>"2026-07-29 13:18:03"</f>
        <v>2026-07-29 13:18:03</v>
      </c>
      <c r="L1900" s="1" t="str">
        <f>"2014-10-27 17:27:00"</f>
        <v>2014-10-27 17:27:00</v>
      </c>
      <c r="M1900" s="1" t="s">
        <v>45</v>
      </c>
      <c r="N1900" s="1" t="s">
        <v>38</v>
      </c>
      <c r="O1900" s="1" t="s">
        <v>46</v>
      </c>
    </row>
    <row r="1901" spans="2:15" x14ac:dyDescent="0.3">
      <c r="B1901" s="1" t="s">
        <v>24</v>
      </c>
      <c r="C1901" s="1" t="str">
        <f t="shared" si="111"/>
        <v>1차</v>
      </c>
      <c r="D1901" s="1" t="str">
        <f>"0427B50100"</f>
        <v>0427B50100</v>
      </c>
      <c r="E1901" s="1" t="s">
        <v>10</v>
      </c>
      <c r="F1901" s="1" t="str">
        <f>"10.89.252.195"</f>
        <v>10.89.252.195</v>
      </c>
      <c r="G1901" s="1" t="str">
        <f>"0427B501"</f>
        <v>0427B501</v>
      </c>
      <c r="H1901" s="1" t="str">
        <f>"동원간 7"</f>
        <v>동원간 7</v>
      </c>
      <c r="I1901" s="1" t="s">
        <v>8</v>
      </c>
      <c r="J1901" s="1" t="str">
        <f>"28/29"</f>
        <v>28/29</v>
      </c>
      <c r="K1901" s="1" t="str">
        <f>"2026-07-29 13:18:03"</f>
        <v>2026-07-29 13:18:03</v>
      </c>
      <c r="L1901" s="1" t="str">
        <f>"2014-09-26 15:57:25"</f>
        <v>2014-09-26 15:57:25</v>
      </c>
      <c r="M1901" s="1" t="s">
        <v>45</v>
      </c>
      <c r="N1901" s="1" t="s">
        <v>38</v>
      </c>
      <c r="O1901" s="1" t="s">
        <v>46</v>
      </c>
    </row>
    <row r="1902" spans="2:15" x14ac:dyDescent="0.3">
      <c r="B1902" s="1" t="s">
        <v>24</v>
      </c>
      <c r="C1902" s="1" t="str">
        <f t="shared" si="111"/>
        <v>1차</v>
      </c>
      <c r="D1902" s="1" t="str">
        <f>"0427B61101"</f>
        <v>0427B61101</v>
      </c>
      <c r="E1902" s="1" t="s">
        <v>10</v>
      </c>
      <c r="F1902" s="1" t="str">
        <f>"10.89.252.196"</f>
        <v>10.89.252.196</v>
      </c>
      <c r="G1902" s="1" t="str">
        <f>"0427B611"</f>
        <v>0427B611</v>
      </c>
      <c r="H1902" s="1" t="str">
        <f>"동원간 9"</f>
        <v>동원간 9</v>
      </c>
      <c r="I1902" s="1" t="s">
        <v>8</v>
      </c>
      <c r="J1902" s="1" t="str">
        <f>"48/50"</f>
        <v>48/50</v>
      </c>
      <c r="K1902" s="1" t="str">
        <f>"2026-07-29 13:18:03"</f>
        <v>2026-07-29 13:18:03</v>
      </c>
      <c r="L1902" s="1" t="str">
        <f>"2014-10-14 14:59:16"</f>
        <v>2014-10-14 14:59:16</v>
      </c>
      <c r="M1902" s="1" t="s">
        <v>45</v>
      </c>
      <c r="N1902" s="1" t="s">
        <v>38</v>
      </c>
      <c r="O1902" s="1" t="s">
        <v>46</v>
      </c>
    </row>
    <row r="1903" spans="2:15" x14ac:dyDescent="0.3">
      <c r="B1903" s="1" t="s">
        <v>24</v>
      </c>
      <c r="C1903" s="1" t="str">
        <f t="shared" si="111"/>
        <v>1차</v>
      </c>
      <c r="D1903" s="1" t="str">
        <f>"0427B70101"</f>
        <v>0427B70101</v>
      </c>
      <c r="E1903" s="1" t="s">
        <v>10</v>
      </c>
      <c r="F1903" s="1" t="str">
        <f>"10.89.247.145"</f>
        <v>10.89.247.145</v>
      </c>
      <c r="G1903" s="1" t="str">
        <f>"0427B701"</f>
        <v>0427B701</v>
      </c>
      <c r="H1903" s="1" t="str">
        <f>"동원간 23R8"</f>
        <v>동원간 23R8</v>
      </c>
      <c r="I1903" s="1" t="s">
        <v>8</v>
      </c>
      <c r="J1903" s="1" t="str">
        <f>"39/42"</f>
        <v>39/42</v>
      </c>
      <c r="K1903" s="1" t="str">
        <f>"2026-07-29 13:18:02"</f>
        <v>2026-07-29 13:18:02</v>
      </c>
      <c r="L1903" s="1" t="str">
        <f>"2014-09-30 00:27:51"</f>
        <v>2014-09-30 00:27:51</v>
      </c>
      <c r="M1903" s="1" t="s">
        <v>45</v>
      </c>
      <c r="N1903" s="1" t="s">
        <v>38</v>
      </c>
      <c r="O1903" s="1" t="s">
        <v>46</v>
      </c>
    </row>
    <row r="1904" spans="2:15" x14ac:dyDescent="0.3">
      <c r="B1904" s="1" t="s">
        <v>24</v>
      </c>
      <c r="C1904" s="1" t="str">
        <f t="shared" si="111"/>
        <v>1차</v>
      </c>
      <c r="D1904" s="1" t="str">
        <f>"0427B70200"</f>
        <v>0427B70200</v>
      </c>
      <c r="E1904" s="1" t="s">
        <v>10</v>
      </c>
      <c r="F1904" s="1" t="str">
        <f>"10.89.247.144"</f>
        <v>10.89.247.144</v>
      </c>
      <c r="G1904" s="1" t="str">
        <f>"0427B702"</f>
        <v>0427B702</v>
      </c>
      <c r="H1904" s="1" t="str">
        <f>"동원간 23R7"</f>
        <v>동원간 23R7</v>
      </c>
      <c r="I1904" s="1" t="s">
        <v>8</v>
      </c>
      <c r="J1904" s="1" t="str">
        <f>"31/38"</f>
        <v>31/38</v>
      </c>
      <c r="K1904" s="1" t="str">
        <f>"2026-07-29 13:18:03"</f>
        <v>2026-07-29 13:18:03</v>
      </c>
      <c r="L1904" s="1" t="str">
        <f>"2014-09-26 16:27:04"</f>
        <v>2014-09-26 16:27:04</v>
      </c>
      <c r="M1904" s="1" t="s">
        <v>45</v>
      </c>
      <c r="N1904" s="1" t="s">
        <v>38</v>
      </c>
      <c r="O1904" s="1" t="s">
        <v>46</v>
      </c>
    </row>
    <row r="1905" spans="2:15" x14ac:dyDescent="0.3">
      <c r="B1905" s="1" t="s">
        <v>24</v>
      </c>
      <c r="C1905" s="1" t="str">
        <f t="shared" si="111"/>
        <v>1차</v>
      </c>
      <c r="D1905" s="1" t="str">
        <f>"0427B73100"</f>
        <v>0427B73100</v>
      </c>
      <c r="E1905" s="1" t="s">
        <v>10</v>
      </c>
      <c r="F1905" s="1" t="str">
        <f>"10.89.252.202"</f>
        <v>10.89.252.202</v>
      </c>
      <c r="G1905" s="1" t="str">
        <f>"0427B731"</f>
        <v>0427B731</v>
      </c>
      <c r="H1905" s="1" t="str">
        <f>"상봉 SW3R4"</f>
        <v>상봉 SW3R4</v>
      </c>
      <c r="I1905" s="1" t="s">
        <v>8</v>
      </c>
      <c r="J1905" s="1" t="str">
        <f>"15/20"</f>
        <v>15/20</v>
      </c>
      <c r="K1905" s="1" t="str">
        <f>"2026-07-29 13:18:03"</f>
        <v>2026-07-29 13:18:03</v>
      </c>
      <c r="L1905" s="1" t="str">
        <f>"2014-10-27 17:28:37"</f>
        <v>2014-10-27 17:28:37</v>
      </c>
      <c r="M1905" s="1" t="s">
        <v>45</v>
      </c>
      <c r="N1905" s="1" t="s">
        <v>38</v>
      </c>
      <c r="O1905" s="1" t="s">
        <v>46</v>
      </c>
    </row>
    <row r="1906" spans="2:15" x14ac:dyDescent="0.3">
      <c r="B1906" s="1" t="s">
        <v>24</v>
      </c>
      <c r="C1906" s="1" t="str">
        <f>"6차"</f>
        <v>6차</v>
      </c>
      <c r="D1906" s="1" t="str">
        <f>"0427B8116S"</f>
        <v>0427B8116S</v>
      </c>
      <c r="E1906" s="1" t="s">
        <v>10</v>
      </c>
      <c r="F1906" s="1" t="str">
        <f>"fde1:103:4:c6c8:0:0:0:2"</f>
        <v>fde1:103:4:c6c8:0:0:0:2</v>
      </c>
      <c r="G1906" s="1" t="str">
        <f>"0427B811"</f>
        <v>0427B811</v>
      </c>
      <c r="H1906" s="1" t="str">
        <f>"동원간 12"</f>
        <v>동원간 12</v>
      </c>
      <c r="I1906" s="1" t="s">
        <v>15</v>
      </c>
      <c r="J1906" s="1" t="str">
        <f>"50/53"</f>
        <v>50/53</v>
      </c>
      <c r="K1906" s="1" t="str">
        <f>"2026-07-29 14:20:57"</f>
        <v>2026-07-29 14:20:57</v>
      </c>
      <c r="L1906" s="1" t="str">
        <f>"2024-11-07 13:15:42"</f>
        <v>2024-11-07 13:15:42</v>
      </c>
      <c r="M1906" s="1" t="s">
        <v>4</v>
      </c>
      <c r="N1906" s="1" t="s">
        <v>38</v>
      </c>
      <c r="O1906" s="1" t="s">
        <v>46</v>
      </c>
    </row>
    <row r="1907" spans="2:15" x14ac:dyDescent="0.3">
      <c r="B1907" s="1" t="s">
        <v>24</v>
      </c>
      <c r="C1907" s="1" t="str">
        <f>"6차"</f>
        <v>6차</v>
      </c>
      <c r="D1907" s="1" t="str">
        <f>"0427B8316S"</f>
        <v>0427B8316S</v>
      </c>
      <c r="E1907" s="1" t="s">
        <v>10</v>
      </c>
      <c r="F1907" s="1" t="str">
        <f>"fde1:103:4:9268:0:0:0:2"</f>
        <v>fde1:103:4:9268:0:0:0:2</v>
      </c>
      <c r="G1907" s="1" t="str">
        <f>"0427B831"</f>
        <v>0427B831</v>
      </c>
      <c r="H1907" s="1" t="str">
        <f>"상봉 SW3R5L1"</f>
        <v>상봉 SW3R5L1</v>
      </c>
      <c r="I1907" s="1" t="s">
        <v>15</v>
      </c>
      <c r="J1907" s="1" t="str">
        <f>"20/20"</f>
        <v>20/20</v>
      </c>
      <c r="K1907" s="1" t="str">
        <f>"2026-07-29 14:20:47"</f>
        <v>2026-07-29 14:20:47</v>
      </c>
      <c r="L1907" s="1" t="str">
        <f>"2025-02-20 17:39:20"</f>
        <v>2025-02-20 17:39:20</v>
      </c>
      <c r="M1907" s="1" t="s">
        <v>4</v>
      </c>
      <c r="N1907" s="1" t="s">
        <v>38</v>
      </c>
      <c r="O1907" s="1" t="s">
        <v>46</v>
      </c>
    </row>
    <row r="1908" spans="2:15" x14ac:dyDescent="0.3">
      <c r="B1908" s="1" t="s">
        <v>24</v>
      </c>
      <c r="C1908" s="1" t="str">
        <f>"1차"</f>
        <v>1차</v>
      </c>
      <c r="D1908" s="1" t="str">
        <f>"0427B84200"</f>
        <v>0427B84200</v>
      </c>
      <c r="E1908" s="1" t="s">
        <v>10</v>
      </c>
      <c r="F1908" s="1" t="str">
        <f>"10.89.252.199"</f>
        <v>10.89.252.199</v>
      </c>
      <c r="G1908" s="1" t="str">
        <f>"0427B842"</f>
        <v>0427B842</v>
      </c>
      <c r="H1908" s="1" t="str">
        <f>"동원간 7L22"</f>
        <v>동원간 7L22</v>
      </c>
      <c r="I1908" s="1" t="s">
        <v>8</v>
      </c>
      <c r="J1908" s="1" t="str">
        <f>"74/74"</f>
        <v>74/74</v>
      </c>
      <c r="K1908" s="1" t="str">
        <f>"2026-07-29 13:18:03"</f>
        <v>2026-07-29 13:18:03</v>
      </c>
      <c r="L1908" s="1" t="str">
        <f>"2014-10-01 10:42:42"</f>
        <v>2014-10-01 10:42:42</v>
      </c>
      <c r="M1908" s="1" t="s">
        <v>45</v>
      </c>
      <c r="N1908" s="1" t="s">
        <v>38</v>
      </c>
      <c r="O1908" s="1" t="s">
        <v>46</v>
      </c>
    </row>
    <row r="1909" spans="2:15" x14ac:dyDescent="0.3">
      <c r="B1909" s="1" t="s">
        <v>24</v>
      </c>
      <c r="C1909" s="1" t="str">
        <f>"6차"</f>
        <v>6차</v>
      </c>
      <c r="D1909" s="1" t="str">
        <f>"0427B9016S"</f>
        <v>0427B9016S</v>
      </c>
      <c r="E1909" s="1" t="s">
        <v>10</v>
      </c>
      <c r="F1909" s="1" t="str">
        <f>"fde1:103:4:c5b3:0:0:0:2"</f>
        <v>fde1:103:4:c5b3:0:0:0:2</v>
      </c>
      <c r="G1909" s="1" t="str">
        <f>"0427B901"</f>
        <v>0427B901</v>
      </c>
      <c r="H1909" s="1" t="str">
        <f>"동원간 23R5"</f>
        <v>동원간 23R5</v>
      </c>
      <c r="I1909" s="1" t="s">
        <v>15</v>
      </c>
      <c r="J1909" s="1" t="str">
        <f>"40/41"</f>
        <v>40/41</v>
      </c>
      <c r="K1909" s="1" t="str">
        <f>"2026-07-29 14:20:44"</f>
        <v>2026-07-29 14:20:44</v>
      </c>
      <c r="L1909" s="1" t="str">
        <f>"2024-11-08 14:04:25"</f>
        <v>2024-11-08 14:04:25</v>
      </c>
      <c r="M1909" s="1" t="s">
        <v>4</v>
      </c>
      <c r="N1909" s="1" t="s">
        <v>38</v>
      </c>
      <c r="O1909" s="1" t="s">
        <v>46</v>
      </c>
    </row>
    <row r="1910" spans="2:15" x14ac:dyDescent="0.3">
      <c r="B1910" s="1" t="s">
        <v>24</v>
      </c>
      <c r="C1910" s="1" t="str">
        <f>"6차"</f>
        <v>6차</v>
      </c>
      <c r="D1910" s="1" t="str">
        <f>"0427B9116S"</f>
        <v>0427B9116S</v>
      </c>
      <c r="E1910" s="1" t="s">
        <v>10</v>
      </c>
      <c r="F1910" s="1" t="str">
        <f>"fde1:103:4:c628:0:0:0:2"</f>
        <v>fde1:103:4:c628:0:0:0:2</v>
      </c>
      <c r="G1910" s="1" t="str">
        <f>"0427B911"</f>
        <v>0427B911</v>
      </c>
      <c r="H1910" s="1" t="str">
        <f>"동원간 13"</f>
        <v>동원간 13</v>
      </c>
      <c r="I1910" s="1" t="s">
        <v>15</v>
      </c>
      <c r="J1910" s="1" t="str">
        <f>"42/42"</f>
        <v>42/42</v>
      </c>
      <c r="K1910" s="1" t="str">
        <f>"2026-07-29 14:20:48"</f>
        <v>2026-07-29 14:20:48</v>
      </c>
      <c r="L1910" s="1" t="str">
        <f>"2024-09-25 19:53:37"</f>
        <v>2024-09-25 19:53:37</v>
      </c>
      <c r="M1910" s="1" t="s">
        <v>4</v>
      </c>
      <c r="N1910" s="1" t="s">
        <v>38</v>
      </c>
      <c r="O1910" s="1" t="s">
        <v>46</v>
      </c>
    </row>
    <row r="1911" spans="2:15" x14ac:dyDescent="0.3">
      <c r="B1911" s="1" t="s">
        <v>24</v>
      </c>
      <c r="C1911" s="1" t="str">
        <f>"1차"</f>
        <v>1차</v>
      </c>
      <c r="D1911" s="1" t="str">
        <f>"0427B93101"</f>
        <v>0427B93101</v>
      </c>
      <c r="E1911" s="1" t="s">
        <v>10</v>
      </c>
      <c r="F1911" s="1" t="str">
        <f>"10.89.249.195"</f>
        <v>10.89.249.195</v>
      </c>
      <c r="G1911" s="1" t="str">
        <f>"0427B931"</f>
        <v>0427B931</v>
      </c>
      <c r="H1911" s="1" t="str">
        <f>"상봉 SW3R5L3"</f>
        <v>상봉 SW3R5L3</v>
      </c>
      <c r="I1911" s="1" t="s">
        <v>8</v>
      </c>
      <c r="J1911" s="1" t="str">
        <f>"40/40"</f>
        <v>40/40</v>
      </c>
      <c r="K1911" s="1" t="str">
        <f t="shared" ref="K1911:K1925" si="112">"2026-07-29 13:18:03"</f>
        <v>2026-07-29 13:18:03</v>
      </c>
      <c r="L1911" s="1" t="str">
        <f>"2014-10-07 00:14:14"</f>
        <v>2014-10-07 00:14:14</v>
      </c>
      <c r="M1911" s="1" t="s">
        <v>45</v>
      </c>
      <c r="N1911" s="1" t="s">
        <v>38</v>
      </c>
      <c r="O1911" s="1" t="s">
        <v>46</v>
      </c>
    </row>
    <row r="1912" spans="2:15" x14ac:dyDescent="0.3">
      <c r="B1912" s="1" t="s">
        <v>24</v>
      </c>
      <c r="C1912" s="1" t="str">
        <f>"1차"</f>
        <v>1차</v>
      </c>
      <c r="D1912" s="1" t="str">
        <f>"0427B94201"</f>
        <v>0427B94201</v>
      </c>
      <c r="E1912" s="1" t="s">
        <v>10</v>
      </c>
      <c r="F1912" s="1" t="str">
        <f>"10.89.252.200"</f>
        <v>10.89.252.200</v>
      </c>
      <c r="G1912" s="1" t="str">
        <f>"0427B942"</f>
        <v>0427B942</v>
      </c>
      <c r="H1912" s="1" t="str">
        <f>"동원간 7L20"</f>
        <v>동원간 7L20</v>
      </c>
      <c r="I1912" s="1" t="s">
        <v>8</v>
      </c>
      <c r="J1912" s="1" t="str">
        <f>"17/17"</f>
        <v>17/17</v>
      </c>
      <c r="K1912" s="1" t="str">
        <f t="shared" si="112"/>
        <v>2026-07-29 13:18:03</v>
      </c>
      <c r="L1912" s="1" t="str">
        <f>"2014-10-27 17:30:09"</f>
        <v>2014-10-27 17:30:09</v>
      </c>
      <c r="M1912" s="1" t="s">
        <v>45</v>
      </c>
      <c r="N1912" s="1" t="s">
        <v>38</v>
      </c>
      <c r="O1912" s="1" t="s">
        <v>46</v>
      </c>
    </row>
    <row r="1913" spans="2:15" x14ac:dyDescent="0.3">
      <c r="B1913" s="1" t="s">
        <v>24</v>
      </c>
      <c r="C1913" s="1" t="str">
        <f t="shared" ref="C1913:C1919" si="113">"4차"</f>
        <v>4차</v>
      </c>
      <c r="D1913" s="1" t="str">
        <f>"0427C02144"</f>
        <v>0427C02144</v>
      </c>
      <c r="E1913" s="1" t="s">
        <v>10</v>
      </c>
      <c r="F1913" s="1" t="str">
        <f>"10.10.57.122"</f>
        <v>10.10.57.122</v>
      </c>
      <c r="G1913" s="1" t="str">
        <f>"0427C021"</f>
        <v>0427C021</v>
      </c>
      <c r="H1913" s="1" t="str">
        <f>"대주간 10"</f>
        <v>대주간 10</v>
      </c>
      <c r="I1913" s="1" t="s">
        <v>8</v>
      </c>
      <c r="J1913" s="1" t="str">
        <f>"26/31"</f>
        <v>26/31</v>
      </c>
      <c r="K1913" s="1" t="str">
        <f t="shared" si="112"/>
        <v>2026-07-29 13:18:03</v>
      </c>
      <c r="L1913" s="1" t="str">
        <f>"2019-09-23 18:03:04"</f>
        <v>2019-09-23 18:03:04</v>
      </c>
      <c r="M1913" s="1" t="s">
        <v>1</v>
      </c>
      <c r="N1913" s="1" t="s">
        <v>38</v>
      </c>
      <c r="O1913" s="1" t="s">
        <v>46</v>
      </c>
    </row>
    <row r="1914" spans="2:15" x14ac:dyDescent="0.3">
      <c r="B1914" s="1" t="s">
        <v>24</v>
      </c>
      <c r="C1914" s="1" t="str">
        <f t="shared" si="113"/>
        <v>4차</v>
      </c>
      <c r="D1914" s="1" t="str">
        <f>"0427C08244"</f>
        <v>0427C08244</v>
      </c>
      <c r="E1914" s="1" t="s">
        <v>10</v>
      </c>
      <c r="F1914" s="1" t="str">
        <f>"10.10.43.82"</f>
        <v>10.10.43.82</v>
      </c>
      <c r="G1914" s="1" t="str">
        <f>"0427C082"</f>
        <v>0427C082</v>
      </c>
      <c r="H1914" s="1" t="str">
        <f>"대주간 1L2"</f>
        <v>대주간 1L2</v>
      </c>
      <c r="I1914" s="1" t="s">
        <v>8</v>
      </c>
      <c r="J1914" s="1" t="str">
        <f>"23/23"</f>
        <v>23/23</v>
      </c>
      <c r="K1914" s="1" t="str">
        <f t="shared" si="112"/>
        <v>2026-07-29 13:18:03</v>
      </c>
      <c r="L1914" s="1" t="str">
        <f>"2019-09-26 16:09:30"</f>
        <v>2019-09-26 16:09:30</v>
      </c>
      <c r="M1914" s="1" t="s">
        <v>1</v>
      </c>
      <c r="N1914" s="1" t="s">
        <v>38</v>
      </c>
      <c r="O1914" s="1" t="s">
        <v>46</v>
      </c>
    </row>
    <row r="1915" spans="2:15" x14ac:dyDescent="0.3">
      <c r="B1915" s="1" t="s">
        <v>24</v>
      </c>
      <c r="C1915" s="1" t="str">
        <f t="shared" si="113"/>
        <v>4차</v>
      </c>
      <c r="D1915" s="1" t="str">
        <f>"0427C11144"</f>
        <v>0427C11144</v>
      </c>
      <c r="E1915" s="1" t="s">
        <v>10</v>
      </c>
      <c r="F1915" s="1" t="str">
        <f>"10.10.116.170"</f>
        <v>10.10.116.170</v>
      </c>
      <c r="G1915" s="1" t="str">
        <f>"0427C111"</f>
        <v>0427C111</v>
      </c>
      <c r="H1915" s="1" t="str">
        <f>"면천간 60L8"</f>
        <v>면천간 60L8</v>
      </c>
      <c r="I1915" s="1" t="s">
        <v>8</v>
      </c>
      <c r="J1915" s="1" t="str">
        <f>"20/20"</f>
        <v>20/20</v>
      </c>
      <c r="K1915" s="1" t="str">
        <f t="shared" si="112"/>
        <v>2026-07-29 13:18:03</v>
      </c>
      <c r="L1915" s="1" t="str">
        <f>"2019-09-26 11:38:43"</f>
        <v>2019-09-26 11:38:43</v>
      </c>
      <c r="M1915" s="1" t="s">
        <v>1</v>
      </c>
      <c r="N1915" s="1" t="s">
        <v>38</v>
      </c>
      <c r="O1915" s="1" t="s">
        <v>46</v>
      </c>
    </row>
    <row r="1916" spans="2:15" x14ac:dyDescent="0.3">
      <c r="B1916" s="1" t="s">
        <v>24</v>
      </c>
      <c r="C1916" s="1" t="str">
        <f t="shared" si="113"/>
        <v>4차</v>
      </c>
      <c r="D1916" s="1" t="str">
        <f>"0427C12144"</f>
        <v>0427C12144</v>
      </c>
      <c r="E1916" s="1" t="s">
        <v>10</v>
      </c>
      <c r="F1916" s="1" t="str">
        <f>"10.10.53.210"</f>
        <v>10.10.53.210</v>
      </c>
      <c r="G1916" s="1" t="str">
        <f>"0427C121"</f>
        <v>0427C121</v>
      </c>
      <c r="H1916" s="1" t="str">
        <f>"면천간 60L6"</f>
        <v>면천간 60L6</v>
      </c>
      <c r="I1916" s="1" t="s">
        <v>8</v>
      </c>
      <c r="J1916" s="1" t="str">
        <f>"101/102"</f>
        <v>101/102</v>
      </c>
      <c r="K1916" s="1" t="str">
        <f t="shared" si="112"/>
        <v>2026-07-29 13:18:03</v>
      </c>
      <c r="L1916" s="1" t="str">
        <f>"2019-09-26 11:38:28"</f>
        <v>2019-09-26 11:38:28</v>
      </c>
      <c r="M1916" s="1" t="s">
        <v>1</v>
      </c>
      <c r="N1916" s="1" t="s">
        <v>38</v>
      </c>
      <c r="O1916" s="1" t="s">
        <v>46</v>
      </c>
    </row>
    <row r="1917" spans="2:15" x14ac:dyDescent="0.3">
      <c r="B1917" s="1" t="s">
        <v>24</v>
      </c>
      <c r="C1917" s="1" t="str">
        <f t="shared" si="113"/>
        <v>4차</v>
      </c>
      <c r="D1917" s="1" t="str">
        <f>"0427C13444"</f>
        <v>0427C13444</v>
      </c>
      <c r="E1917" s="1" t="s">
        <v>10</v>
      </c>
      <c r="F1917" s="1" t="str">
        <f>"10.10.58.26"</f>
        <v>10.10.58.26</v>
      </c>
      <c r="G1917" s="1" t="str">
        <f>"0427C134"</f>
        <v>0427C134</v>
      </c>
      <c r="H1917" s="1" t="str">
        <f>"면천간 60L4"</f>
        <v>면천간 60L4</v>
      </c>
      <c r="I1917" s="1" t="s">
        <v>8</v>
      </c>
      <c r="J1917" s="1" t="str">
        <f>"98/98"</f>
        <v>98/98</v>
      </c>
      <c r="K1917" s="1" t="str">
        <f t="shared" si="112"/>
        <v>2026-07-29 13:18:03</v>
      </c>
      <c r="L1917" s="1" t="str">
        <f>"2025-06-27 16:01:36"</f>
        <v>2025-06-27 16:01:36</v>
      </c>
      <c r="M1917" s="1" t="s">
        <v>1</v>
      </c>
      <c r="N1917" s="1" t="s">
        <v>38</v>
      </c>
      <c r="O1917" s="1" t="s">
        <v>46</v>
      </c>
    </row>
    <row r="1918" spans="2:15" x14ac:dyDescent="0.3">
      <c r="B1918" s="1" t="s">
        <v>24</v>
      </c>
      <c r="C1918" s="1" t="str">
        <f t="shared" si="113"/>
        <v>4차</v>
      </c>
      <c r="D1918" s="1" t="str">
        <f>"0427C14144"</f>
        <v>0427C14144</v>
      </c>
      <c r="E1918" s="1" t="s">
        <v>10</v>
      </c>
      <c r="F1918" s="1" t="str">
        <f>"10.10.53.218"</f>
        <v>10.10.53.218</v>
      </c>
      <c r="G1918" s="1" t="str">
        <f>"0427C141"</f>
        <v>0427C141</v>
      </c>
      <c r="H1918" s="1" t="str">
        <f>"면천간 60L3"</f>
        <v>면천간 60L3</v>
      </c>
      <c r="I1918" s="1" t="s">
        <v>8</v>
      </c>
      <c r="J1918" s="1" t="str">
        <f>"96/96"</f>
        <v>96/96</v>
      </c>
      <c r="K1918" s="1" t="str">
        <f t="shared" si="112"/>
        <v>2026-07-29 13:18:03</v>
      </c>
      <c r="L1918" s="1" t="str">
        <f>"2019-09-26 11:40:27"</f>
        <v>2019-09-26 11:40:27</v>
      </c>
      <c r="M1918" s="1" t="s">
        <v>1</v>
      </c>
      <c r="N1918" s="1" t="s">
        <v>38</v>
      </c>
      <c r="O1918" s="1" t="s">
        <v>46</v>
      </c>
    </row>
    <row r="1919" spans="2:15" x14ac:dyDescent="0.3">
      <c r="B1919" s="1" t="s">
        <v>24</v>
      </c>
      <c r="C1919" s="1" t="str">
        <f t="shared" si="113"/>
        <v>4차</v>
      </c>
      <c r="D1919" s="1" t="str">
        <f>"0427C15244"</f>
        <v>0427C15244</v>
      </c>
      <c r="E1919" s="1" t="s">
        <v>10</v>
      </c>
      <c r="F1919" s="1" t="str">
        <f>"10.10.53.226"</f>
        <v>10.10.53.226</v>
      </c>
      <c r="G1919" s="1" t="str">
        <f>"0427C152"</f>
        <v>0427C152</v>
      </c>
      <c r="H1919" s="1" t="str">
        <f>"면천간 57L8"</f>
        <v>면천간 57L8</v>
      </c>
      <c r="I1919" s="1" t="s">
        <v>8</v>
      </c>
      <c r="J1919" s="1" t="str">
        <f>"34/34"</f>
        <v>34/34</v>
      </c>
      <c r="K1919" s="1" t="str">
        <f t="shared" si="112"/>
        <v>2026-07-29 13:18:03</v>
      </c>
      <c r="L1919" s="1" t="str">
        <f>"2019-09-26 11:38:28"</f>
        <v>2019-09-26 11:38:28</v>
      </c>
      <c r="M1919" s="1" t="s">
        <v>1</v>
      </c>
      <c r="N1919" s="1" t="s">
        <v>38</v>
      </c>
      <c r="O1919" s="1" t="s">
        <v>46</v>
      </c>
    </row>
    <row r="1920" spans="2:15" x14ac:dyDescent="0.3">
      <c r="B1920" s="1" t="s">
        <v>24</v>
      </c>
      <c r="C1920" s="1" t="str">
        <f>"1차"</f>
        <v>1차</v>
      </c>
      <c r="D1920" s="1" t="str">
        <f>"0427C16119"</f>
        <v>0427C16119</v>
      </c>
      <c r="E1920" s="1" t="s">
        <v>10</v>
      </c>
      <c r="F1920" s="1" t="str">
        <f>"10.89.254.122"</f>
        <v>10.89.254.122</v>
      </c>
      <c r="G1920" s="1" t="str">
        <f>"0427C161"</f>
        <v>0427C161</v>
      </c>
      <c r="H1920" s="1" t="str">
        <f>"면천간 60L1"</f>
        <v>면천간 60L1</v>
      </c>
      <c r="I1920" s="1" t="s">
        <v>8</v>
      </c>
      <c r="J1920" s="1" t="str">
        <f>"38/46"</f>
        <v>38/46</v>
      </c>
      <c r="K1920" s="1" t="str">
        <f t="shared" si="112"/>
        <v>2026-07-29 13:18:03</v>
      </c>
      <c r="L1920" s="1" t="str">
        <f>"2017-02-27 13:23:58"</f>
        <v>2017-02-27 13:23:58</v>
      </c>
      <c r="M1920" s="1" t="s">
        <v>45</v>
      </c>
      <c r="N1920" s="1" t="s">
        <v>38</v>
      </c>
      <c r="O1920" s="1" t="s">
        <v>46</v>
      </c>
    </row>
    <row r="1921" spans="2:15" x14ac:dyDescent="0.3">
      <c r="B1921" s="1" t="s">
        <v>24</v>
      </c>
      <c r="C1921" s="1" t="str">
        <f>"4차"</f>
        <v>4차</v>
      </c>
      <c r="D1921" s="1" t="str">
        <f>"0427C18139"</f>
        <v>0427C18139</v>
      </c>
      <c r="E1921" s="1" t="s">
        <v>10</v>
      </c>
      <c r="F1921" s="1" t="str">
        <f>"10.89.247.34"</f>
        <v>10.89.247.34</v>
      </c>
      <c r="G1921" s="1" t="str">
        <f>"0427C181"</f>
        <v>0427C181</v>
      </c>
      <c r="H1921" s="1" t="str">
        <f>"대주간 1L2R2"</f>
        <v>대주간 1L2R2</v>
      </c>
      <c r="I1921" s="1" t="s">
        <v>8</v>
      </c>
      <c r="J1921" s="1" t="str">
        <f>"3/5"</f>
        <v>3/5</v>
      </c>
      <c r="K1921" s="1" t="str">
        <f t="shared" si="112"/>
        <v>2026-07-29 13:18:03</v>
      </c>
      <c r="L1921" s="1" t="str">
        <f>"2018-04-18 16:47:59"</f>
        <v>2018-04-18 16:47:59</v>
      </c>
      <c r="M1921" s="1" t="s">
        <v>45</v>
      </c>
      <c r="N1921" s="1" t="s">
        <v>38</v>
      </c>
      <c r="O1921" s="1" t="s">
        <v>46</v>
      </c>
    </row>
    <row r="1922" spans="2:15" x14ac:dyDescent="0.3">
      <c r="B1922" s="1" t="s">
        <v>24</v>
      </c>
      <c r="C1922" s="1" t="str">
        <f>"4차"</f>
        <v>4차</v>
      </c>
      <c r="D1922" s="1" t="str">
        <f>"0427C20144"</f>
        <v>0427C20144</v>
      </c>
      <c r="E1922" s="1" t="s">
        <v>10</v>
      </c>
      <c r="F1922" s="1" t="str">
        <f>"10.10.55.122"</f>
        <v>10.10.55.122</v>
      </c>
      <c r="G1922" s="1" t="str">
        <f>"0427C201"</f>
        <v>0427C201</v>
      </c>
      <c r="H1922" s="1" t="str">
        <f>"면천간 43A9"</f>
        <v>면천간 43A9</v>
      </c>
      <c r="I1922" s="1" t="s">
        <v>8</v>
      </c>
      <c r="J1922" s="1" t="str">
        <f>"71/71"</f>
        <v>71/71</v>
      </c>
      <c r="K1922" s="1" t="str">
        <f t="shared" si="112"/>
        <v>2026-07-29 13:18:03</v>
      </c>
      <c r="L1922" s="1" t="str">
        <f>"2019-09-25 17:43:05"</f>
        <v>2019-09-25 17:43:05</v>
      </c>
      <c r="M1922" s="1" t="s">
        <v>1</v>
      </c>
      <c r="N1922" s="1" t="s">
        <v>38</v>
      </c>
      <c r="O1922" s="1" t="s">
        <v>46</v>
      </c>
    </row>
    <row r="1923" spans="2:15" x14ac:dyDescent="0.3">
      <c r="B1923" s="1" t="s">
        <v>24</v>
      </c>
      <c r="C1923" s="1" t="str">
        <f>"4차"</f>
        <v>4차</v>
      </c>
      <c r="D1923" s="1" t="str">
        <f>"0427C21144"</f>
        <v>0427C21144</v>
      </c>
      <c r="E1923" s="1" t="s">
        <v>10</v>
      </c>
      <c r="F1923" s="1" t="str">
        <f>"10.10.57.210"</f>
        <v>10.10.57.210</v>
      </c>
      <c r="G1923" s="1" t="str">
        <f>"0427C211"</f>
        <v>0427C211</v>
      </c>
      <c r="H1923" s="1" t="str">
        <f>"대주간 18L16A6"</f>
        <v>대주간 18L16A6</v>
      </c>
      <c r="I1923" s="1" t="s">
        <v>8</v>
      </c>
      <c r="J1923" s="1" t="str">
        <f>"47/52"</f>
        <v>47/52</v>
      </c>
      <c r="K1923" s="1" t="str">
        <f t="shared" si="112"/>
        <v>2026-07-29 13:18:03</v>
      </c>
      <c r="L1923" s="1" t="str">
        <f>"2019-09-25 15:23:30"</f>
        <v>2019-09-25 15:23:30</v>
      </c>
      <c r="M1923" s="1" t="s">
        <v>1</v>
      </c>
      <c r="N1923" s="1" t="s">
        <v>38</v>
      </c>
      <c r="O1923" s="1" t="s">
        <v>46</v>
      </c>
    </row>
    <row r="1924" spans="2:15" x14ac:dyDescent="0.3">
      <c r="B1924" s="1" t="s">
        <v>24</v>
      </c>
      <c r="C1924" s="1" t="str">
        <f>"4차"</f>
        <v>4차</v>
      </c>
      <c r="D1924" s="1" t="str">
        <f>"0427C23244"</f>
        <v>0427C23244</v>
      </c>
      <c r="E1924" s="1" t="s">
        <v>10</v>
      </c>
      <c r="F1924" s="1" t="str">
        <f>"10.10.54.34"</f>
        <v>10.10.54.34</v>
      </c>
      <c r="G1924" s="1" t="str">
        <f>"0427C232"</f>
        <v>0427C232</v>
      </c>
      <c r="H1924" s="1" t="str">
        <f>"면천간 43L3L2"</f>
        <v>면천간 43L3L2</v>
      </c>
      <c r="I1924" s="1" t="s">
        <v>8</v>
      </c>
      <c r="J1924" s="1" t="str">
        <f>"75/75"</f>
        <v>75/75</v>
      </c>
      <c r="K1924" s="1" t="str">
        <f t="shared" si="112"/>
        <v>2026-07-29 13:18:03</v>
      </c>
      <c r="L1924" s="1" t="str">
        <f>"2019-10-31 12:13:05"</f>
        <v>2019-10-31 12:13:05</v>
      </c>
      <c r="M1924" s="1" t="s">
        <v>1</v>
      </c>
      <c r="N1924" s="1" t="s">
        <v>38</v>
      </c>
      <c r="O1924" s="1" t="s">
        <v>46</v>
      </c>
    </row>
    <row r="1925" spans="2:15" x14ac:dyDescent="0.3">
      <c r="B1925" s="1" t="s">
        <v>24</v>
      </c>
      <c r="C1925" s="1" t="str">
        <f>"4차"</f>
        <v>4차</v>
      </c>
      <c r="D1925" s="1" t="str">
        <f>"0427C23344"</f>
        <v>0427C23344</v>
      </c>
      <c r="E1925" s="1" t="s">
        <v>10</v>
      </c>
      <c r="F1925" s="1" t="str">
        <f>"10.10.55.114"</f>
        <v>10.10.55.114</v>
      </c>
      <c r="G1925" s="1" t="str">
        <f>"0427C233"</f>
        <v>0427C233</v>
      </c>
      <c r="H1925" s="1" t="str">
        <f>"면천간 43L3L1"</f>
        <v>면천간 43L3L1</v>
      </c>
      <c r="I1925" s="1" t="s">
        <v>8</v>
      </c>
      <c r="J1925" s="1" t="str">
        <f>"61/61"</f>
        <v>61/61</v>
      </c>
      <c r="K1925" s="1" t="str">
        <f t="shared" si="112"/>
        <v>2026-07-29 13:18:03</v>
      </c>
      <c r="L1925" s="1" t="str">
        <f>"2019-09-25 18:43:18"</f>
        <v>2019-09-25 18:43:18</v>
      </c>
      <c r="M1925" s="1" t="s">
        <v>1</v>
      </c>
      <c r="N1925" s="1" t="s">
        <v>38</v>
      </c>
      <c r="O1925" s="1" t="s">
        <v>46</v>
      </c>
    </row>
    <row r="1926" spans="2:15" x14ac:dyDescent="0.3">
      <c r="B1926" s="1" t="s">
        <v>24</v>
      </c>
      <c r="C1926" s="1" t="str">
        <f>"6차"</f>
        <v>6차</v>
      </c>
      <c r="D1926" s="1" t="str">
        <f>"0427C2526S"</f>
        <v>0427C2526S</v>
      </c>
      <c r="E1926" s="1" t="s">
        <v>10</v>
      </c>
      <c r="F1926" s="1" t="str">
        <f>"fde1:103:4:c66d:0:0:0:2"</f>
        <v>fde1:103:4:c66d:0:0:0:2</v>
      </c>
      <c r="G1926" s="1" t="str">
        <f>"0427C252"</f>
        <v>0427C252</v>
      </c>
      <c r="H1926" s="1" t="str">
        <f>"면천간 57L6"</f>
        <v>면천간 57L6</v>
      </c>
      <c r="I1926" s="1" t="s">
        <v>15</v>
      </c>
      <c r="J1926" s="1" t="str">
        <f>"47/50"</f>
        <v>47/50</v>
      </c>
      <c r="K1926" s="1" t="str">
        <f>"2026-07-29 14:20:53"</f>
        <v>2026-07-29 14:20:53</v>
      </c>
      <c r="L1926" s="1" t="str">
        <f>"2024-11-07 08:34:59"</f>
        <v>2024-11-07 08:34:59</v>
      </c>
      <c r="M1926" s="1" t="s">
        <v>4</v>
      </c>
      <c r="N1926" s="1" t="s">
        <v>38</v>
      </c>
      <c r="O1926" s="1" t="s">
        <v>46</v>
      </c>
    </row>
    <row r="1927" spans="2:15" x14ac:dyDescent="0.3">
      <c r="B1927" s="1" t="s">
        <v>24</v>
      </c>
      <c r="C1927" s="1" t="str">
        <f t="shared" ref="C1927:C1935" si="114">"4차"</f>
        <v>4차</v>
      </c>
      <c r="D1927" s="1" t="str">
        <f>"0427C28144"</f>
        <v>0427C28144</v>
      </c>
      <c r="E1927" s="1" t="s">
        <v>10</v>
      </c>
      <c r="F1927" s="1" t="str">
        <f>"10.10.43.130"</f>
        <v>10.10.43.130</v>
      </c>
      <c r="G1927" s="1" t="str">
        <f>"0427C281"</f>
        <v>0427C281</v>
      </c>
      <c r="H1927" s="1" t="str">
        <f>"상이간 12R5"</f>
        <v>상이간 12R5</v>
      </c>
      <c r="I1927" s="1" t="s">
        <v>8</v>
      </c>
      <c r="J1927" s="1" t="str">
        <f>"18/18"</f>
        <v>18/18</v>
      </c>
      <c r="K1927" s="1" t="str">
        <f>"2026-07-29 13:18:03"</f>
        <v>2026-07-29 13:18:03</v>
      </c>
      <c r="L1927" s="1" t="str">
        <f>"2019-09-26 15:54:30"</f>
        <v>2019-09-26 15:54:30</v>
      </c>
      <c r="M1927" s="1" t="s">
        <v>1</v>
      </c>
      <c r="N1927" s="1" t="s">
        <v>38</v>
      </c>
      <c r="O1927" s="1" t="s">
        <v>46</v>
      </c>
    </row>
    <row r="1928" spans="2:15" x14ac:dyDescent="0.3">
      <c r="B1928" s="1" t="s">
        <v>24</v>
      </c>
      <c r="C1928" s="1" t="str">
        <f t="shared" si="114"/>
        <v>4차</v>
      </c>
      <c r="D1928" s="1" t="str">
        <f>"0427C28244"</f>
        <v>0427C28244</v>
      </c>
      <c r="E1928" s="1" t="s">
        <v>10</v>
      </c>
      <c r="F1928" s="1" t="str">
        <f>"10.10.44.58"</f>
        <v>10.10.44.58</v>
      </c>
      <c r="G1928" s="1" t="str">
        <f>"0427C282"</f>
        <v>0427C282</v>
      </c>
      <c r="H1928" s="1" t="str">
        <f>"상이간 8R9"</f>
        <v>상이간 8R9</v>
      </c>
      <c r="I1928" s="1" t="s">
        <v>8</v>
      </c>
      <c r="J1928" s="1" t="str">
        <f>"15/15"</f>
        <v>15/15</v>
      </c>
      <c r="K1928" s="1" t="str">
        <f>"2026-07-29 13:18:03"</f>
        <v>2026-07-29 13:18:03</v>
      </c>
      <c r="L1928" s="1" t="str">
        <f>"2019-11-18 09:38:42"</f>
        <v>2019-11-18 09:38:42</v>
      </c>
      <c r="M1928" s="1" t="s">
        <v>1</v>
      </c>
      <c r="N1928" s="1" t="s">
        <v>38</v>
      </c>
      <c r="O1928" s="1" t="s">
        <v>46</v>
      </c>
    </row>
    <row r="1929" spans="2:15" x14ac:dyDescent="0.3">
      <c r="B1929" s="1" t="s">
        <v>24</v>
      </c>
      <c r="C1929" s="1" t="str">
        <f t="shared" si="114"/>
        <v>4차</v>
      </c>
      <c r="D1929" s="1" t="str">
        <f>"0427C30244"</f>
        <v>0427C30244</v>
      </c>
      <c r="E1929" s="1" t="s">
        <v>10</v>
      </c>
      <c r="F1929" s="1" t="str">
        <f>"10.12.129.252"</f>
        <v>10.12.129.252</v>
      </c>
      <c r="G1929" s="1" t="str">
        <f>"0427C302"</f>
        <v>0427C302</v>
      </c>
      <c r="H1929" s="1" t="str">
        <f>"대주간 18L8"</f>
        <v>대주간 18L8</v>
      </c>
      <c r="I1929" s="1" t="s">
        <v>8</v>
      </c>
      <c r="J1929" s="1" t="str">
        <f>"34/34"</f>
        <v>34/34</v>
      </c>
      <c r="K1929" s="1" t="str">
        <f>"2026-07-29 13:18:03"</f>
        <v>2026-07-29 13:18:03</v>
      </c>
      <c r="L1929" s="1" t="str">
        <f>"2019-10-18 17:46:52"</f>
        <v>2019-10-18 17:46:52</v>
      </c>
      <c r="M1929" s="1" t="s">
        <v>0</v>
      </c>
      <c r="N1929" s="1" t="s">
        <v>38</v>
      </c>
      <c r="O1929" s="1" t="s">
        <v>46</v>
      </c>
    </row>
    <row r="1930" spans="2:15" x14ac:dyDescent="0.3">
      <c r="B1930" s="1" t="s">
        <v>24</v>
      </c>
      <c r="C1930" s="1" t="str">
        <f t="shared" si="114"/>
        <v>4차</v>
      </c>
      <c r="D1930" s="1" t="str">
        <f>"0427C30344"</f>
        <v>0427C30344</v>
      </c>
      <c r="E1930" s="1" t="s">
        <v>10</v>
      </c>
      <c r="F1930" s="1" t="str">
        <f>"10.12.128.245"</f>
        <v>10.12.128.245</v>
      </c>
      <c r="G1930" s="1" t="str">
        <f>"0427C303"</f>
        <v>0427C303</v>
      </c>
      <c r="H1930" s="1" t="str">
        <f>"면천간 36"</f>
        <v>면천간 36</v>
      </c>
      <c r="I1930" s="1" t="s">
        <v>8</v>
      </c>
      <c r="J1930" s="1" t="str">
        <f>"48/48"</f>
        <v>48/48</v>
      </c>
      <c r="K1930" s="1" t="str">
        <f>"2026-07-29 13:18:05"</f>
        <v>2026-07-29 13:18:05</v>
      </c>
      <c r="L1930" s="1" t="str">
        <f>"2019-09-27 11:19:29"</f>
        <v>2019-09-27 11:19:29</v>
      </c>
      <c r="M1930" s="1" t="s">
        <v>0</v>
      </c>
      <c r="N1930" s="1" t="s">
        <v>38</v>
      </c>
      <c r="O1930" s="1" t="s">
        <v>46</v>
      </c>
    </row>
    <row r="1931" spans="2:15" x14ac:dyDescent="0.3">
      <c r="B1931" s="1" t="s">
        <v>24</v>
      </c>
      <c r="C1931" s="1" t="str">
        <f t="shared" si="114"/>
        <v>4차</v>
      </c>
      <c r="D1931" s="1" t="str">
        <f>"0427C32144"</f>
        <v>0427C32144</v>
      </c>
      <c r="E1931" s="1" t="s">
        <v>10</v>
      </c>
      <c r="F1931" s="1" t="str">
        <f>"10.10.57.202"</f>
        <v>10.10.57.202</v>
      </c>
      <c r="G1931" s="1" t="str">
        <f>"0427C321"</f>
        <v>0427C321</v>
      </c>
      <c r="H1931" s="1" t="str">
        <f>"대주간 18L16A4"</f>
        <v>대주간 18L16A4</v>
      </c>
      <c r="I1931" s="1" t="s">
        <v>8</v>
      </c>
      <c r="J1931" s="1" t="str">
        <f>"36/36"</f>
        <v>36/36</v>
      </c>
      <c r="K1931" s="1" t="str">
        <f>"2026-07-29 13:18:03"</f>
        <v>2026-07-29 13:18:03</v>
      </c>
      <c r="L1931" s="1" t="str">
        <f>"2019-09-25 15:13:04"</f>
        <v>2019-09-25 15:13:04</v>
      </c>
      <c r="M1931" s="1" t="s">
        <v>1</v>
      </c>
      <c r="N1931" s="1" t="s">
        <v>38</v>
      </c>
      <c r="O1931" s="1" t="s">
        <v>46</v>
      </c>
    </row>
    <row r="1932" spans="2:15" x14ac:dyDescent="0.3">
      <c r="B1932" s="1" t="s">
        <v>24</v>
      </c>
      <c r="C1932" s="1" t="str">
        <f t="shared" si="114"/>
        <v>4차</v>
      </c>
      <c r="D1932" s="1" t="str">
        <f>"0427C32244"</f>
        <v>0427C32244</v>
      </c>
      <c r="E1932" s="1" t="s">
        <v>10</v>
      </c>
      <c r="F1932" s="1" t="str">
        <f>"10.10.57.194"</f>
        <v>10.10.57.194</v>
      </c>
      <c r="G1932" s="1" t="str">
        <f>"0427C322"</f>
        <v>0427C322</v>
      </c>
      <c r="H1932" s="1" t="str">
        <f>"면천간 43A2"</f>
        <v>면천간 43A2</v>
      </c>
      <c r="I1932" s="1" t="s">
        <v>8</v>
      </c>
      <c r="J1932" s="1" t="str">
        <f>"61/61"</f>
        <v>61/61</v>
      </c>
      <c r="K1932" s="1" t="str">
        <f>"2026-07-29 13:18:03"</f>
        <v>2026-07-29 13:18:03</v>
      </c>
      <c r="L1932" s="1" t="str">
        <f>"2019-09-25 15:08:45"</f>
        <v>2019-09-25 15:08:45</v>
      </c>
      <c r="M1932" s="1" t="s">
        <v>1</v>
      </c>
      <c r="N1932" s="1" t="s">
        <v>38</v>
      </c>
      <c r="O1932" s="1" t="s">
        <v>46</v>
      </c>
    </row>
    <row r="1933" spans="2:15" x14ac:dyDescent="0.3">
      <c r="B1933" s="1" t="s">
        <v>24</v>
      </c>
      <c r="C1933" s="1" t="str">
        <f t="shared" si="114"/>
        <v>4차</v>
      </c>
      <c r="D1933" s="1" t="str">
        <f>"0427C33144"</f>
        <v>0427C33144</v>
      </c>
      <c r="E1933" s="1" t="s">
        <v>10</v>
      </c>
      <c r="F1933" s="1" t="str">
        <f>"10.10.112.250"</f>
        <v>10.10.112.250</v>
      </c>
      <c r="G1933" s="1" t="str">
        <f>"0427C331"</f>
        <v>0427C331</v>
      </c>
      <c r="H1933" s="1" t="str">
        <f>"면천간 43L1"</f>
        <v>면천간 43L1</v>
      </c>
      <c r="I1933" s="1" t="s">
        <v>8</v>
      </c>
      <c r="J1933" s="1" t="str">
        <f>"22/25"</f>
        <v>22/25</v>
      </c>
      <c r="K1933" s="1" t="str">
        <f>"2026-07-29 13:18:04"</f>
        <v>2026-07-29 13:18:04</v>
      </c>
      <c r="L1933" s="1" t="str">
        <f>"2019-09-25 17:48:32"</f>
        <v>2019-09-25 17:48:32</v>
      </c>
      <c r="M1933" s="1" t="s">
        <v>1</v>
      </c>
      <c r="N1933" s="1" t="s">
        <v>38</v>
      </c>
      <c r="O1933" s="1" t="s">
        <v>46</v>
      </c>
    </row>
    <row r="1934" spans="2:15" x14ac:dyDescent="0.3">
      <c r="B1934" s="1" t="s">
        <v>24</v>
      </c>
      <c r="C1934" s="1" t="str">
        <f t="shared" si="114"/>
        <v>4차</v>
      </c>
      <c r="D1934" s="1" t="str">
        <f>"0427C34444"</f>
        <v>0427C34444</v>
      </c>
      <c r="E1934" s="1" t="s">
        <v>10</v>
      </c>
      <c r="F1934" s="1" t="str">
        <f>"10.10.54.18"</f>
        <v>10.10.54.18</v>
      </c>
      <c r="G1934" s="1" t="str">
        <f>"0427C344"</f>
        <v>0427C344</v>
      </c>
      <c r="H1934" s="1" t="str">
        <f>"면천간 43L5"</f>
        <v>면천간 43L5</v>
      </c>
      <c r="I1934" s="1" t="s">
        <v>8</v>
      </c>
      <c r="J1934" s="1" t="str">
        <f>"39/39"</f>
        <v>39/39</v>
      </c>
      <c r="K1934" s="1" t="str">
        <f>"2026-07-29 13:18:03"</f>
        <v>2026-07-29 13:18:03</v>
      </c>
      <c r="L1934" s="1" t="str">
        <f>"2019-09-25 17:42:02"</f>
        <v>2019-09-25 17:42:02</v>
      </c>
      <c r="M1934" s="1" t="s">
        <v>1</v>
      </c>
      <c r="N1934" s="1" t="s">
        <v>38</v>
      </c>
      <c r="O1934" s="1" t="s">
        <v>46</v>
      </c>
    </row>
    <row r="1935" spans="2:15" x14ac:dyDescent="0.3">
      <c r="B1935" s="1" t="s">
        <v>24</v>
      </c>
      <c r="C1935" s="1" t="str">
        <f t="shared" si="114"/>
        <v>4차</v>
      </c>
      <c r="D1935" s="1" t="str">
        <f>"0427C34544"</f>
        <v>0427C34544</v>
      </c>
      <c r="E1935" s="1" t="s">
        <v>10</v>
      </c>
      <c r="F1935" s="1" t="str">
        <f>"10.10.54.26"</f>
        <v>10.10.54.26</v>
      </c>
      <c r="G1935" s="1" t="str">
        <f>"0427C345"</f>
        <v>0427C345</v>
      </c>
      <c r="H1935" s="1" t="str">
        <f>"면천간 43L3R1"</f>
        <v>면천간 43L3R1</v>
      </c>
      <c r="I1935" s="1" t="s">
        <v>8</v>
      </c>
      <c r="J1935" s="1" t="str">
        <f>"66/72"</f>
        <v>66/72</v>
      </c>
      <c r="K1935" s="1" t="str">
        <f>"2026-07-29 13:18:03"</f>
        <v>2026-07-29 13:18:03</v>
      </c>
      <c r="L1935" s="1" t="str">
        <f>"2019-10-31 10:52:50"</f>
        <v>2019-10-31 10:52:50</v>
      </c>
      <c r="M1935" s="1" t="s">
        <v>1</v>
      </c>
      <c r="N1935" s="1" t="s">
        <v>38</v>
      </c>
      <c r="O1935" s="1" t="s">
        <v>46</v>
      </c>
    </row>
    <row r="1936" spans="2:15" x14ac:dyDescent="0.3">
      <c r="B1936" s="1" t="s">
        <v>24</v>
      </c>
      <c r="C1936" s="1" t="str">
        <f>"6차"</f>
        <v>6차</v>
      </c>
      <c r="D1936" s="1" t="str">
        <f>"0427C3616S"</f>
        <v>0427C3616S</v>
      </c>
      <c r="E1936" s="1" t="s">
        <v>10</v>
      </c>
      <c r="F1936" s="1" t="str">
        <f>"fde1:103:4:c63b:0:0:0:2"</f>
        <v>fde1:103:4:c63b:0:0:0:2</v>
      </c>
      <c r="G1936" s="1" t="str">
        <f>"0427C361"</f>
        <v>0427C361</v>
      </c>
      <c r="H1936" s="1" t="str">
        <f>"면천간 57L4"</f>
        <v>면천간 57L4</v>
      </c>
      <c r="I1936" s="1" t="s">
        <v>15</v>
      </c>
      <c r="J1936" s="1" t="str">
        <f>"24/24"</f>
        <v>24/24</v>
      </c>
      <c r="K1936" s="1" t="str">
        <f>"2026-07-29 14:21:10"</f>
        <v>2026-07-29 14:21:10</v>
      </c>
      <c r="L1936" s="1" t="str">
        <f>"2024-11-07 08:35:18"</f>
        <v>2024-11-07 08:35:18</v>
      </c>
      <c r="M1936" s="1" t="s">
        <v>4</v>
      </c>
      <c r="N1936" s="1" t="s">
        <v>38</v>
      </c>
      <c r="O1936" s="1" t="s">
        <v>46</v>
      </c>
    </row>
    <row r="1937" spans="2:15" x14ac:dyDescent="0.3">
      <c r="B1937" s="1" t="s">
        <v>24</v>
      </c>
      <c r="C1937" s="1" t="str">
        <f>"6차"</f>
        <v>6차</v>
      </c>
      <c r="D1937" s="1" t="str">
        <f>"0427C3636S"</f>
        <v>0427C3636S</v>
      </c>
      <c r="E1937" s="1" t="s">
        <v>10</v>
      </c>
      <c r="F1937" s="1" t="str">
        <f>"fde1:103:4:9381:0:0:0:2"</f>
        <v>fde1:103:4:9381:0:0:0:2</v>
      </c>
      <c r="G1937" s="1" t="str">
        <f>"0427C363"</f>
        <v>0427C363</v>
      </c>
      <c r="H1937" s="1" t="str">
        <f>"면천간 57L5"</f>
        <v>면천간 57L5</v>
      </c>
      <c r="I1937" s="1" t="s">
        <v>15</v>
      </c>
      <c r="J1937" s="1" t="str">
        <f>"66/66"</f>
        <v>66/66</v>
      </c>
      <c r="K1937" s="1" t="str">
        <f>"2026-07-29 14:20:47"</f>
        <v>2026-07-29 14:20:47</v>
      </c>
      <c r="L1937" s="1" t="str">
        <f>"2025-04-16 13:36:37"</f>
        <v>2025-04-16 13:36:37</v>
      </c>
      <c r="M1937" s="1" t="s">
        <v>4</v>
      </c>
      <c r="N1937" s="1" t="s">
        <v>38</v>
      </c>
      <c r="O1937" s="1" t="s">
        <v>46</v>
      </c>
    </row>
    <row r="1938" spans="2:15" x14ac:dyDescent="0.3">
      <c r="B1938" s="1" t="s">
        <v>24</v>
      </c>
      <c r="C1938" s="1" t="str">
        <f>"1차"</f>
        <v>1차</v>
      </c>
      <c r="D1938" s="1" t="str">
        <f>"0427C37100"</f>
        <v>0427C37100</v>
      </c>
      <c r="E1938" s="1" t="s">
        <v>10</v>
      </c>
      <c r="F1938" s="1" t="str">
        <f>"10.89.254.74"</f>
        <v>10.89.254.74</v>
      </c>
      <c r="G1938" s="1" t="str">
        <f>"0427C371"</f>
        <v>0427C371</v>
      </c>
      <c r="H1938" s="1" t="str">
        <f>"면천간 58"</f>
        <v>면천간 58</v>
      </c>
      <c r="I1938" s="1" t="s">
        <v>8</v>
      </c>
      <c r="J1938" s="1" t="str">
        <f>"12/12"</f>
        <v>12/12</v>
      </c>
      <c r="K1938" s="1" t="str">
        <f>"2026-07-29 13:18:03"</f>
        <v>2026-07-29 13:18:03</v>
      </c>
      <c r="L1938" s="1" t="str">
        <f>"2014-11-05 11:35:56"</f>
        <v>2014-11-05 11:35:56</v>
      </c>
      <c r="M1938" s="1" t="s">
        <v>45</v>
      </c>
      <c r="N1938" s="1" t="s">
        <v>38</v>
      </c>
      <c r="O1938" s="1" t="s">
        <v>46</v>
      </c>
    </row>
    <row r="1939" spans="2:15" x14ac:dyDescent="0.3">
      <c r="B1939" s="1" t="s">
        <v>24</v>
      </c>
      <c r="C1939" s="1" t="str">
        <f>"4차"</f>
        <v>4차</v>
      </c>
      <c r="D1939" s="1" t="str">
        <f>"0427C38244"</f>
        <v>0427C38244</v>
      </c>
      <c r="E1939" s="1" t="s">
        <v>10</v>
      </c>
      <c r="F1939" s="1" t="str">
        <f>"10.10.43.122"</f>
        <v>10.10.43.122</v>
      </c>
      <c r="G1939" s="1" t="str">
        <f>"0427C382"</f>
        <v>0427C382</v>
      </c>
      <c r="H1939" s="1" t="str">
        <f>"상이간 12R3"</f>
        <v>상이간 12R3</v>
      </c>
      <c r="I1939" s="1" t="s">
        <v>8</v>
      </c>
      <c r="J1939" s="1" t="str">
        <f>"6/7"</f>
        <v>6/7</v>
      </c>
      <c r="K1939" s="1" t="str">
        <f>"2026-07-29 13:18:03"</f>
        <v>2026-07-29 13:18:03</v>
      </c>
      <c r="L1939" s="1" t="str">
        <f>"2019-09-26 16:15:00"</f>
        <v>2019-09-26 16:15:00</v>
      </c>
      <c r="M1939" s="1" t="s">
        <v>1</v>
      </c>
      <c r="N1939" s="1" t="s">
        <v>38</v>
      </c>
      <c r="O1939" s="1" t="s">
        <v>46</v>
      </c>
    </row>
    <row r="1940" spans="2:15" x14ac:dyDescent="0.3">
      <c r="B1940" s="1" t="s">
        <v>24</v>
      </c>
      <c r="C1940" s="1" t="str">
        <f>"4차"</f>
        <v>4차</v>
      </c>
      <c r="D1940" s="1" t="str">
        <f>"0427C39144"</f>
        <v>0427C39144</v>
      </c>
      <c r="E1940" s="1" t="s">
        <v>10</v>
      </c>
      <c r="F1940" s="1" t="str">
        <f>"10.10.44.42"</f>
        <v>10.10.44.42</v>
      </c>
      <c r="G1940" s="1" t="str">
        <f>"0427C391"</f>
        <v>0427C391</v>
      </c>
      <c r="H1940" s="1" t="str">
        <f>"상이간 8R6"</f>
        <v>상이간 8R6</v>
      </c>
      <c r="I1940" s="1" t="s">
        <v>8</v>
      </c>
      <c r="J1940" s="1" t="str">
        <f>"61/68"</f>
        <v>61/68</v>
      </c>
      <c r="K1940" s="1" t="str">
        <f>"2026-07-29 13:18:03"</f>
        <v>2026-07-29 13:18:03</v>
      </c>
      <c r="L1940" s="1" t="str">
        <f>"2019-11-05 09:03:04"</f>
        <v>2019-11-05 09:03:04</v>
      </c>
      <c r="M1940" s="1" t="s">
        <v>1</v>
      </c>
      <c r="N1940" s="1" t="s">
        <v>38</v>
      </c>
      <c r="O1940" s="1" t="s">
        <v>46</v>
      </c>
    </row>
    <row r="1941" spans="2:15" x14ac:dyDescent="0.3">
      <c r="B1941" s="1" t="s">
        <v>24</v>
      </c>
      <c r="C1941" s="1" t="str">
        <f>"4차"</f>
        <v>4차</v>
      </c>
      <c r="D1941" s="1" t="str">
        <f>"0427C39244"</f>
        <v>0427C39244</v>
      </c>
      <c r="E1941" s="1" t="s">
        <v>10</v>
      </c>
      <c r="F1941" s="1" t="str">
        <f>"10.10.44.50"</f>
        <v>10.10.44.50</v>
      </c>
      <c r="G1941" s="1" t="str">
        <f>"0427C392"</f>
        <v>0427C392</v>
      </c>
      <c r="H1941" s="1" t="str">
        <f>"상이간 8R8"</f>
        <v>상이간 8R8</v>
      </c>
      <c r="I1941" s="1" t="s">
        <v>8</v>
      </c>
      <c r="J1941" s="1" t="str">
        <f>"38/38"</f>
        <v>38/38</v>
      </c>
      <c r="K1941" s="1" t="str">
        <f>"2026-07-29 13:18:03"</f>
        <v>2026-07-29 13:18:03</v>
      </c>
      <c r="L1941" s="1" t="str">
        <f>"2019-10-11 14:32:53"</f>
        <v>2019-10-11 14:32:53</v>
      </c>
      <c r="M1941" s="1" t="s">
        <v>1</v>
      </c>
      <c r="N1941" s="1" t="s">
        <v>38</v>
      </c>
      <c r="O1941" s="1" t="s">
        <v>46</v>
      </c>
    </row>
    <row r="1942" spans="2:15" x14ac:dyDescent="0.3">
      <c r="B1942" s="1" t="s">
        <v>24</v>
      </c>
      <c r="C1942" s="1" t="str">
        <f>"3차"</f>
        <v>3차</v>
      </c>
      <c r="D1942" s="1" t="str">
        <f>"0427C40139"</f>
        <v>0427C40139</v>
      </c>
      <c r="E1942" s="1" t="s">
        <v>10</v>
      </c>
      <c r="F1942" s="1" t="str">
        <f>"10.14.6.192"</f>
        <v>10.14.6.192</v>
      </c>
      <c r="G1942" s="1" t="str">
        <f>"0427C401"</f>
        <v>0427C401</v>
      </c>
      <c r="H1942" s="1" t="str">
        <f>"면천간 40B2R5"</f>
        <v>면천간 40B2R5</v>
      </c>
      <c r="I1942" s="1" t="s">
        <v>8</v>
      </c>
      <c r="J1942" s="1" t="str">
        <f>"34/34"</f>
        <v>34/34</v>
      </c>
      <c r="K1942" s="1" t="str">
        <f>"2026-07-29 13:18:05"</f>
        <v>2026-07-29 13:18:05</v>
      </c>
      <c r="L1942" s="1" t="str">
        <f>"2018-04-17 18:17:59"</f>
        <v>2018-04-17 18:17:59</v>
      </c>
      <c r="M1942" s="1" t="s">
        <v>3</v>
      </c>
      <c r="N1942" s="1" t="s">
        <v>38</v>
      </c>
      <c r="O1942" s="1" t="s">
        <v>46</v>
      </c>
    </row>
    <row r="1943" spans="2:15" x14ac:dyDescent="0.3">
      <c r="B1943" s="1" t="s">
        <v>24</v>
      </c>
      <c r="C1943" s="1" t="str">
        <f t="shared" ref="C1943:C1949" si="115">"4차"</f>
        <v>4차</v>
      </c>
      <c r="D1943" s="1" t="str">
        <f>"0427C40244"</f>
        <v>0427C40244</v>
      </c>
      <c r="E1943" s="1" t="s">
        <v>10</v>
      </c>
      <c r="F1943" s="1" t="str">
        <f>"10.10.116.130"</f>
        <v>10.10.116.130</v>
      </c>
      <c r="G1943" s="1" t="str">
        <f>"0427C402"</f>
        <v>0427C402</v>
      </c>
      <c r="H1943" s="1" t="str">
        <f>"면천간 40B2R4"</f>
        <v>면천간 40B2R4</v>
      </c>
      <c r="I1943" s="1" t="s">
        <v>8</v>
      </c>
      <c r="J1943" s="1" t="str">
        <f>"23/23"</f>
        <v>23/23</v>
      </c>
      <c r="K1943" s="1" t="str">
        <f t="shared" ref="K1943:K1949" si="116">"2026-07-29 13:18:03"</f>
        <v>2026-07-29 13:18:03</v>
      </c>
      <c r="L1943" s="1" t="str">
        <f>"2019-09-25 13:43:03"</f>
        <v>2019-09-25 13:43:03</v>
      </c>
      <c r="M1943" s="1" t="s">
        <v>1</v>
      </c>
      <c r="N1943" s="1" t="s">
        <v>38</v>
      </c>
      <c r="O1943" s="1" t="s">
        <v>46</v>
      </c>
    </row>
    <row r="1944" spans="2:15" x14ac:dyDescent="0.3">
      <c r="B1944" s="1" t="s">
        <v>24</v>
      </c>
      <c r="C1944" s="1" t="str">
        <f t="shared" si="115"/>
        <v>4차</v>
      </c>
      <c r="D1944" s="1" t="str">
        <f>"0427C41344"</f>
        <v>0427C41344</v>
      </c>
      <c r="E1944" s="1" t="s">
        <v>10</v>
      </c>
      <c r="F1944" s="1" t="str">
        <f>"10.12.138.152"</f>
        <v>10.12.138.152</v>
      </c>
      <c r="G1944" s="1" t="str">
        <f>"0427C413"</f>
        <v>0427C413</v>
      </c>
      <c r="H1944" s="1" t="str">
        <f>"면천간 38"</f>
        <v>면천간 38</v>
      </c>
      <c r="I1944" s="1" t="s">
        <v>8</v>
      </c>
      <c r="J1944" s="1" t="str">
        <f>"52/52"</f>
        <v>52/52</v>
      </c>
      <c r="K1944" s="1" t="str">
        <f t="shared" si="116"/>
        <v>2026-07-29 13:18:03</v>
      </c>
      <c r="L1944" s="1" t="str">
        <f>"2020-02-10 20:56:35"</f>
        <v>2020-02-10 20:56:35</v>
      </c>
      <c r="M1944" s="1" t="s">
        <v>0</v>
      </c>
      <c r="N1944" s="1" t="s">
        <v>38</v>
      </c>
      <c r="O1944" s="1" t="s">
        <v>46</v>
      </c>
    </row>
    <row r="1945" spans="2:15" x14ac:dyDescent="0.3">
      <c r="B1945" s="1" t="s">
        <v>24</v>
      </c>
      <c r="C1945" s="1" t="str">
        <f t="shared" si="115"/>
        <v>4차</v>
      </c>
      <c r="D1945" s="1" t="str">
        <f>"0427C42144"</f>
        <v>0427C42144</v>
      </c>
      <c r="E1945" s="1" t="s">
        <v>10</v>
      </c>
      <c r="F1945" s="1" t="str">
        <f>"10.10.57.130"</f>
        <v>10.10.57.130</v>
      </c>
      <c r="G1945" s="1" t="str">
        <f>"0427C421"</f>
        <v>0427C421</v>
      </c>
      <c r="H1945" s="1" t="str">
        <f>"면천간 39"</f>
        <v>면천간 39</v>
      </c>
      <c r="I1945" s="1" t="s">
        <v>8</v>
      </c>
      <c r="J1945" s="1" t="str">
        <f>"61/61"</f>
        <v>61/61</v>
      </c>
      <c r="K1945" s="1" t="str">
        <f t="shared" si="116"/>
        <v>2026-07-29 13:18:03</v>
      </c>
      <c r="L1945" s="1" t="str">
        <f>"2019-09-25 13:38:00"</f>
        <v>2019-09-25 13:38:00</v>
      </c>
      <c r="M1945" s="1" t="s">
        <v>1</v>
      </c>
      <c r="N1945" s="1" t="s">
        <v>38</v>
      </c>
      <c r="O1945" s="1" t="s">
        <v>46</v>
      </c>
    </row>
    <row r="1946" spans="2:15" x14ac:dyDescent="0.3">
      <c r="B1946" s="1" t="s">
        <v>24</v>
      </c>
      <c r="C1946" s="1" t="str">
        <f t="shared" si="115"/>
        <v>4차</v>
      </c>
      <c r="D1946" s="1" t="str">
        <f>"0427C43444"</f>
        <v>0427C43444</v>
      </c>
      <c r="E1946" s="1" t="s">
        <v>10</v>
      </c>
      <c r="F1946" s="1" t="str">
        <f>"10.10.57.186"</f>
        <v>10.10.57.186</v>
      </c>
      <c r="G1946" s="1" t="str">
        <f>"0427C434"</f>
        <v>0427C434</v>
      </c>
      <c r="H1946" s="1" t="str">
        <f>"면천간 42"</f>
        <v>면천간 42</v>
      </c>
      <c r="I1946" s="1" t="s">
        <v>8</v>
      </c>
      <c r="J1946" s="1" t="str">
        <f>"48/49"</f>
        <v>48/49</v>
      </c>
      <c r="K1946" s="1" t="str">
        <f t="shared" si="116"/>
        <v>2026-07-29 13:18:03</v>
      </c>
      <c r="L1946" s="1" t="str">
        <f>"2019-10-31 11:03:04"</f>
        <v>2019-10-31 11:03:04</v>
      </c>
      <c r="M1946" s="1" t="s">
        <v>1</v>
      </c>
      <c r="N1946" s="1" t="s">
        <v>38</v>
      </c>
      <c r="O1946" s="1" t="s">
        <v>46</v>
      </c>
    </row>
    <row r="1947" spans="2:15" x14ac:dyDescent="0.3">
      <c r="B1947" s="1" t="s">
        <v>24</v>
      </c>
      <c r="C1947" s="1" t="str">
        <f t="shared" si="115"/>
        <v>4차</v>
      </c>
      <c r="D1947" s="1" t="str">
        <f>"0427C44144"</f>
        <v>0427C44144</v>
      </c>
      <c r="E1947" s="1" t="s">
        <v>10</v>
      </c>
      <c r="F1947" s="1" t="str">
        <f>"10.10.54.10"</f>
        <v>10.10.54.10</v>
      </c>
      <c r="G1947" s="1" t="str">
        <f>"0427C441"</f>
        <v>0427C441</v>
      </c>
      <c r="H1947" s="1" t="str">
        <f>"면천간 45"</f>
        <v>면천간 45</v>
      </c>
      <c r="I1947" s="1" t="s">
        <v>8</v>
      </c>
      <c r="J1947" s="1" t="str">
        <f>"58/58"</f>
        <v>58/58</v>
      </c>
      <c r="K1947" s="1" t="str">
        <f t="shared" si="116"/>
        <v>2026-07-29 13:18:03</v>
      </c>
      <c r="L1947" s="1" t="str">
        <f>"2019-09-26 12:55:45"</f>
        <v>2019-09-26 12:55:45</v>
      </c>
      <c r="M1947" s="1" t="s">
        <v>1</v>
      </c>
      <c r="N1947" s="1" t="s">
        <v>38</v>
      </c>
      <c r="O1947" s="1" t="s">
        <v>46</v>
      </c>
    </row>
    <row r="1948" spans="2:15" x14ac:dyDescent="0.3">
      <c r="B1948" s="1" t="s">
        <v>24</v>
      </c>
      <c r="C1948" s="1" t="str">
        <f t="shared" si="115"/>
        <v>4차</v>
      </c>
      <c r="D1948" s="1" t="str">
        <f>"0427C45144"</f>
        <v>0427C45144</v>
      </c>
      <c r="E1948" s="1" t="s">
        <v>10</v>
      </c>
      <c r="F1948" s="1" t="str">
        <f>"10.10.53.242"</f>
        <v>10.10.53.242</v>
      </c>
      <c r="G1948" s="1" t="str">
        <f>"0427C451"</f>
        <v>0427C451</v>
      </c>
      <c r="H1948" s="1" t="str">
        <f>"면천간 57L3L1R3"</f>
        <v>면천간 57L3L1R3</v>
      </c>
      <c r="I1948" s="1" t="s">
        <v>8</v>
      </c>
      <c r="J1948" s="1" t="str">
        <f>"36/36"</f>
        <v>36/36</v>
      </c>
      <c r="K1948" s="1" t="str">
        <f t="shared" si="116"/>
        <v>2026-07-29 13:18:03</v>
      </c>
      <c r="L1948" s="1" t="str">
        <f>"2019-10-31 11:39:20"</f>
        <v>2019-10-31 11:39:20</v>
      </c>
      <c r="M1948" s="1" t="s">
        <v>1</v>
      </c>
      <c r="N1948" s="1" t="s">
        <v>38</v>
      </c>
      <c r="O1948" s="1" t="s">
        <v>46</v>
      </c>
    </row>
    <row r="1949" spans="2:15" x14ac:dyDescent="0.3">
      <c r="B1949" s="1" t="s">
        <v>24</v>
      </c>
      <c r="C1949" s="1" t="str">
        <f t="shared" si="115"/>
        <v>4차</v>
      </c>
      <c r="D1949" s="1" t="str">
        <f>"0427C45244"</f>
        <v>0427C45244</v>
      </c>
      <c r="E1949" s="1" t="s">
        <v>10</v>
      </c>
      <c r="F1949" s="1" t="str">
        <f>"10.10.53.234"</f>
        <v>10.10.53.234</v>
      </c>
      <c r="G1949" s="1" t="str">
        <f>"0427C452"</f>
        <v>0427C452</v>
      </c>
      <c r="H1949" s="1" t="str">
        <f>"면천간 57L3L1R4"</f>
        <v>면천간 57L3L1R4</v>
      </c>
      <c r="I1949" s="1" t="s">
        <v>8</v>
      </c>
      <c r="J1949" s="1" t="str">
        <f>"30/33"</f>
        <v>30/33</v>
      </c>
      <c r="K1949" s="1" t="str">
        <f t="shared" si="116"/>
        <v>2026-07-29 13:18:03</v>
      </c>
      <c r="L1949" s="1" t="str">
        <f>"2019-10-31 10:54:03"</f>
        <v>2019-10-31 10:54:03</v>
      </c>
      <c r="M1949" s="1" t="s">
        <v>1</v>
      </c>
      <c r="N1949" s="1" t="s">
        <v>38</v>
      </c>
      <c r="O1949" s="1" t="s">
        <v>46</v>
      </c>
    </row>
    <row r="1950" spans="2:15" x14ac:dyDescent="0.3">
      <c r="B1950" s="1" t="s">
        <v>24</v>
      </c>
      <c r="C1950" s="1" t="str">
        <f>"6차"</f>
        <v>6차</v>
      </c>
      <c r="D1950" s="1" t="str">
        <f>"0427C4626S"</f>
        <v>0427C4626S</v>
      </c>
      <c r="E1950" s="1" t="s">
        <v>10</v>
      </c>
      <c r="F1950" s="1" t="str">
        <f>"fde1:103:4:c699:0:0:0:2"</f>
        <v>fde1:103:4:c699:0:0:0:2</v>
      </c>
      <c r="G1950" s="1" t="str">
        <f>"0427C462"</f>
        <v>0427C462</v>
      </c>
      <c r="H1950" s="1" t="str">
        <f>"면천간 57L3"</f>
        <v>면천간 57L3</v>
      </c>
      <c r="I1950" s="1" t="s">
        <v>15</v>
      </c>
      <c r="J1950" s="1" t="str">
        <f>"54/54"</f>
        <v>54/54</v>
      </c>
      <c r="K1950" s="1" t="str">
        <f>"2026-07-29 08:20:26"</f>
        <v>2026-07-29 08:20:26</v>
      </c>
      <c r="L1950" s="1" t="str">
        <f>"2024-11-07 08:34:49"</f>
        <v>2024-11-07 08:34:49</v>
      </c>
      <c r="M1950" s="1" t="s">
        <v>4</v>
      </c>
      <c r="N1950" s="1" t="s">
        <v>38</v>
      </c>
      <c r="O1950" s="1" t="s">
        <v>46</v>
      </c>
    </row>
    <row r="1951" spans="2:15" x14ac:dyDescent="0.3">
      <c r="B1951" s="1" t="s">
        <v>24</v>
      </c>
      <c r="C1951" s="1" t="str">
        <f>"6차"</f>
        <v>6차</v>
      </c>
      <c r="D1951" s="1" t="str">
        <f>"0427C4726S"</f>
        <v>0427C4726S</v>
      </c>
      <c r="E1951" s="1" t="s">
        <v>10</v>
      </c>
      <c r="F1951" s="1" t="str">
        <f>"fde1:103:4:c621:0:0:0:2"</f>
        <v>fde1:103:4:c621:0:0:0:2</v>
      </c>
      <c r="G1951" s="1" t="str">
        <f>"0427C472"</f>
        <v>0427C472</v>
      </c>
      <c r="H1951" s="1" t="str">
        <f>"면천간 57L1"</f>
        <v>면천간 57L1</v>
      </c>
      <c r="I1951" s="1" t="s">
        <v>15</v>
      </c>
      <c r="J1951" s="1" t="str">
        <f>"53/53"</f>
        <v>53/53</v>
      </c>
      <c r="K1951" s="1" t="str">
        <f>"2026-07-29 14:21:10"</f>
        <v>2026-07-29 14:21:10</v>
      </c>
      <c r="L1951" s="1" t="str">
        <f>"2024-11-07 08:35:59"</f>
        <v>2024-11-07 08:35:59</v>
      </c>
      <c r="M1951" s="1" t="s">
        <v>4</v>
      </c>
      <c r="N1951" s="1" t="s">
        <v>38</v>
      </c>
      <c r="O1951" s="1" t="s">
        <v>46</v>
      </c>
    </row>
    <row r="1952" spans="2:15" x14ac:dyDescent="0.3">
      <c r="B1952" s="1" t="s">
        <v>24</v>
      </c>
      <c r="C1952" s="1" t="str">
        <f>"4차"</f>
        <v>4차</v>
      </c>
      <c r="D1952" s="1" t="str">
        <f>"0427C49144"</f>
        <v>0427C49144</v>
      </c>
      <c r="E1952" s="1" t="s">
        <v>10</v>
      </c>
      <c r="F1952" s="1" t="str">
        <f>"10.10.44.34"</f>
        <v>10.10.44.34</v>
      </c>
      <c r="G1952" s="1" t="str">
        <f>"0427C491"</f>
        <v>0427C491</v>
      </c>
      <c r="H1952" s="1" t="str">
        <f>"상이간 8R4"</f>
        <v>상이간 8R4</v>
      </c>
      <c r="I1952" s="1" t="s">
        <v>8</v>
      </c>
      <c r="J1952" s="1" t="str">
        <f>"47/47"</f>
        <v>47/47</v>
      </c>
      <c r="K1952" s="1" t="str">
        <f>"2026-07-29 13:18:03"</f>
        <v>2026-07-29 13:18:03</v>
      </c>
      <c r="L1952" s="1" t="str">
        <f>"2019-10-11 14:43:04"</f>
        <v>2019-10-11 14:43:04</v>
      </c>
      <c r="M1952" s="1" t="s">
        <v>1</v>
      </c>
      <c r="N1952" s="1" t="s">
        <v>38</v>
      </c>
      <c r="O1952" s="1" t="s">
        <v>46</v>
      </c>
    </row>
    <row r="1953" spans="2:15" x14ac:dyDescent="0.3">
      <c r="B1953" s="1" t="s">
        <v>24</v>
      </c>
      <c r="C1953" s="1" t="str">
        <f>"3차"</f>
        <v>3차</v>
      </c>
      <c r="D1953" s="1" t="str">
        <f>"0427C51239"</f>
        <v>0427C51239</v>
      </c>
      <c r="E1953" s="1" t="s">
        <v>10</v>
      </c>
      <c r="F1953" s="1" t="str">
        <f>"10.12.137.88"</f>
        <v>10.12.137.88</v>
      </c>
      <c r="G1953" s="1" t="str">
        <f>"0427C512"</f>
        <v>0427C512</v>
      </c>
      <c r="H1953" s="1" t="str">
        <f>"면천간 40B2R2"</f>
        <v>면천간 40B2R2</v>
      </c>
      <c r="I1953" s="1" t="s">
        <v>8</v>
      </c>
      <c r="J1953" s="1" t="str">
        <f>"156/156"</f>
        <v>156/156</v>
      </c>
      <c r="K1953" s="1" t="str">
        <f>"2026-07-29 13:18:04"</f>
        <v>2026-07-29 13:18:04</v>
      </c>
      <c r="L1953" s="1" t="str">
        <f>"2018-09-28 17:44:58"</f>
        <v>2018-09-28 17:44:58</v>
      </c>
      <c r="M1953" s="1" t="s">
        <v>0</v>
      </c>
      <c r="N1953" s="1" t="s">
        <v>38</v>
      </c>
      <c r="O1953" s="1" t="s">
        <v>46</v>
      </c>
    </row>
    <row r="1954" spans="2:15" x14ac:dyDescent="0.3">
      <c r="B1954" s="1" t="s">
        <v>24</v>
      </c>
      <c r="C1954" s="1" t="str">
        <f>"3차"</f>
        <v>3차</v>
      </c>
      <c r="D1954" s="1" t="str">
        <f>"0427C52339"</f>
        <v>0427C52339</v>
      </c>
      <c r="E1954" s="1" t="s">
        <v>10</v>
      </c>
      <c r="F1954" s="1" t="str">
        <f>"10.14.10.127"</f>
        <v>10.14.10.127</v>
      </c>
      <c r="G1954" s="1" t="str">
        <f>"0427C523"</f>
        <v>0427C523</v>
      </c>
      <c r="H1954" s="1" t="str">
        <f>"면천간 40B1"</f>
        <v>면천간 40B1</v>
      </c>
      <c r="I1954" s="1" t="s">
        <v>8</v>
      </c>
      <c r="J1954" s="1" t="str">
        <f>"33/38"</f>
        <v>33/38</v>
      </c>
      <c r="K1954" s="1" t="str">
        <f>"2026-07-29 13:18:05"</f>
        <v>2026-07-29 13:18:05</v>
      </c>
      <c r="L1954" s="1" t="str">
        <f>"2018-04-17 18:18:30"</f>
        <v>2018-04-17 18:18:30</v>
      </c>
      <c r="M1954" s="1" t="s">
        <v>3</v>
      </c>
      <c r="N1954" s="1" t="s">
        <v>38</v>
      </c>
      <c r="O1954" s="1" t="s">
        <v>46</v>
      </c>
    </row>
    <row r="1955" spans="2:15" x14ac:dyDescent="0.3">
      <c r="B1955" s="1" t="s">
        <v>24</v>
      </c>
      <c r="C1955" s="1" t="str">
        <f>"4차"</f>
        <v>4차</v>
      </c>
      <c r="D1955" s="1" t="str">
        <f>"0427C53239"</f>
        <v>0427C53239</v>
      </c>
      <c r="E1955" s="1" t="s">
        <v>10</v>
      </c>
      <c r="F1955" s="1" t="str">
        <f>"10.12.129.90"</f>
        <v>10.12.129.90</v>
      </c>
      <c r="G1955" s="1" t="str">
        <f>"0427C532"</f>
        <v>0427C532</v>
      </c>
      <c r="H1955" s="1" t="str">
        <f>"면천간 40R1"</f>
        <v>면천간 40R1</v>
      </c>
      <c r="I1955" s="1" t="s">
        <v>8</v>
      </c>
      <c r="J1955" s="1" t="str">
        <f>"57/66"</f>
        <v>57/66</v>
      </c>
      <c r="K1955" s="1" t="str">
        <f t="shared" ref="K1955:K1965" si="117">"2026-07-29 13:18:03"</f>
        <v>2026-07-29 13:18:03</v>
      </c>
      <c r="L1955" s="1" t="str">
        <f>"2018-04-17 18:23:01"</f>
        <v>2018-04-17 18:23:01</v>
      </c>
      <c r="M1955" s="1" t="s">
        <v>0</v>
      </c>
      <c r="N1955" s="1" t="s">
        <v>38</v>
      </c>
      <c r="O1955" s="1" t="s">
        <v>46</v>
      </c>
    </row>
    <row r="1956" spans="2:15" x14ac:dyDescent="0.3">
      <c r="B1956" s="1" t="s">
        <v>24</v>
      </c>
      <c r="C1956" s="1" t="str">
        <f>"4차"</f>
        <v>4차</v>
      </c>
      <c r="D1956" s="1" t="str">
        <f>"0427C54144"</f>
        <v>0427C54144</v>
      </c>
      <c r="E1956" s="1" t="s">
        <v>10</v>
      </c>
      <c r="F1956" s="1" t="str">
        <f>"10.10.54.2"</f>
        <v>10.10.54.2</v>
      </c>
      <c r="G1956" s="1" t="str">
        <f>"0427C541"</f>
        <v>0427C541</v>
      </c>
      <c r="H1956" s="1" t="str">
        <f>"면천간 46"</f>
        <v>면천간 46</v>
      </c>
      <c r="I1956" s="1" t="s">
        <v>8</v>
      </c>
      <c r="J1956" s="1" t="str">
        <f>"74/80"</f>
        <v>74/80</v>
      </c>
      <c r="K1956" s="1" t="str">
        <f t="shared" si="117"/>
        <v>2026-07-29 13:18:03</v>
      </c>
      <c r="L1956" s="1" t="str">
        <f>"2019-10-31 11:40:51"</f>
        <v>2019-10-31 11:40:51</v>
      </c>
      <c r="M1956" s="1" t="s">
        <v>1</v>
      </c>
      <c r="N1956" s="1" t="s">
        <v>38</v>
      </c>
      <c r="O1956" s="1" t="s">
        <v>46</v>
      </c>
    </row>
    <row r="1957" spans="2:15" x14ac:dyDescent="0.3">
      <c r="B1957" s="1" t="s">
        <v>24</v>
      </c>
      <c r="C1957" s="1" t="str">
        <f>"1차"</f>
        <v>1차</v>
      </c>
      <c r="D1957" s="1" t="str">
        <f>"0427C56100"</f>
        <v>0427C56100</v>
      </c>
      <c r="E1957" s="1" t="s">
        <v>10</v>
      </c>
      <c r="F1957" s="1" t="str">
        <f>"10.89.254.106"</f>
        <v>10.89.254.106</v>
      </c>
      <c r="G1957" s="1" t="str">
        <f>"0427C561"</f>
        <v>0427C561</v>
      </c>
      <c r="H1957" s="1" t="str">
        <f>"면천간 57L3L1"</f>
        <v>면천간 57L3L1</v>
      </c>
      <c r="I1957" s="1" t="s">
        <v>8</v>
      </c>
      <c r="J1957" s="1" t="str">
        <f>"36/36"</f>
        <v>36/36</v>
      </c>
      <c r="K1957" s="1" t="str">
        <f t="shared" si="117"/>
        <v>2026-07-29 13:18:03</v>
      </c>
      <c r="L1957" s="1" t="str">
        <f>"2014-10-29 15:13:19"</f>
        <v>2014-10-29 15:13:19</v>
      </c>
      <c r="M1957" s="1" t="s">
        <v>45</v>
      </c>
      <c r="N1957" s="1" t="s">
        <v>38</v>
      </c>
      <c r="O1957" s="1" t="s">
        <v>46</v>
      </c>
    </row>
    <row r="1958" spans="2:15" x14ac:dyDescent="0.3">
      <c r="B1958" s="1" t="s">
        <v>24</v>
      </c>
      <c r="C1958" s="1" t="str">
        <f>"4차"</f>
        <v>4차</v>
      </c>
      <c r="D1958" s="1" t="str">
        <f>"0427C59144"</f>
        <v>0427C59144</v>
      </c>
      <c r="E1958" s="1" t="s">
        <v>10</v>
      </c>
      <c r="F1958" s="1" t="str">
        <f>"10.10.44.26"</f>
        <v>10.10.44.26</v>
      </c>
      <c r="G1958" s="1" t="str">
        <f>"0427C591"</f>
        <v>0427C591</v>
      </c>
      <c r="H1958" s="1" t="str">
        <f>"상이간 8R3"</f>
        <v>상이간 8R3</v>
      </c>
      <c r="I1958" s="1" t="s">
        <v>8</v>
      </c>
      <c r="J1958" s="1" t="str">
        <f>"25/25"</f>
        <v>25/25</v>
      </c>
      <c r="K1958" s="1" t="str">
        <f t="shared" si="117"/>
        <v>2026-07-29 13:18:03</v>
      </c>
      <c r="L1958" s="1" t="str">
        <f>"2019-10-11 14:30:24"</f>
        <v>2019-10-11 14:30:24</v>
      </c>
      <c r="M1958" s="1" t="s">
        <v>1</v>
      </c>
      <c r="N1958" s="1" t="s">
        <v>38</v>
      </c>
      <c r="O1958" s="1" t="s">
        <v>46</v>
      </c>
    </row>
    <row r="1959" spans="2:15" x14ac:dyDescent="0.3">
      <c r="B1959" s="1" t="s">
        <v>24</v>
      </c>
      <c r="C1959" s="1" t="str">
        <f>"4차"</f>
        <v>4차</v>
      </c>
      <c r="D1959" s="1" t="str">
        <f>"0427C59244"</f>
        <v>0427C59244</v>
      </c>
      <c r="E1959" s="1" t="s">
        <v>10</v>
      </c>
      <c r="F1959" s="1" t="str">
        <f>"10.10.44.18"</f>
        <v>10.10.44.18</v>
      </c>
      <c r="G1959" s="1" t="str">
        <f>"0427C592"</f>
        <v>0427C592</v>
      </c>
      <c r="H1959" s="1" t="str">
        <f>"상이간 8R2"</f>
        <v>상이간 8R2</v>
      </c>
      <c r="I1959" s="1" t="s">
        <v>8</v>
      </c>
      <c r="J1959" s="1" t="str">
        <f>"33/33"</f>
        <v>33/33</v>
      </c>
      <c r="K1959" s="1" t="str">
        <f t="shared" si="117"/>
        <v>2026-07-29 13:18:03</v>
      </c>
      <c r="L1959" s="1" t="str">
        <f>"2019-11-18 09:40:54"</f>
        <v>2019-11-18 09:40:54</v>
      </c>
      <c r="M1959" s="1" t="s">
        <v>1</v>
      </c>
      <c r="N1959" s="1" t="s">
        <v>38</v>
      </c>
      <c r="O1959" s="1" t="s">
        <v>46</v>
      </c>
    </row>
    <row r="1960" spans="2:15" x14ac:dyDescent="0.3">
      <c r="B1960" s="1" t="s">
        <v>24</v>
      </c>
      <c r="C1960" s="1" t="str">
        <f>"4차"</f>
        <v>4차</v>
      </c>
      <c r="D1960" s="1" t="str">
        <f>"0427C61144"</f>
        <v>0427C61144</v>
      </c>
      <c r="E1960" s="1" t="s">
        <v>10</v>
      </c>
      <c r="F1960" s="1" t="str">
        <f>"10.10.57.162"</f>
        <v>10.10.57.162</v>
      </c>
      <c r="G1960" s="1" t="str">
        <f>"0427C611"</f>
        <v>0427C611</v>
      </c>
      <c r="H1960" s="1" t="str">
        <f>"면천간 40B3"</f>
        <v>면천간 40B3</v>
      </c>
      <c r="I1960" s="1" t="s">
        <v>8</v>
      </c>
      <c r="J1960" s="1" t="str">
        <f>"82/83"</f>
        <v>82/83</v>
      </c>
      <c r="K1960" s="1" t="str">
        <f t="shared" si="117"/>
        <v>2026-07-29 13:18:03</v>
      </c>
      <c r="L1960" s="1" t="str">
        <f>"2023-03-17 15:04:38"</f>
        <v>2023-03-17 15:04:38</v>
      </c>
      <c r="M1960" s="1" t="s">
        <v>1</v>
      </c>
      <c r="N1960" s="1" t="s">
        <v>38</v>
      </c>
      <c r="O1960" s="1" t="s">
        <v>46</v>
      </c>
    </row>
    <row r="1961" spans="2:15" x14ac:dyDescent="0.3">
      <c r="B1961" s="1" t="s">
        <v>24</v>
      </c>
      <c r="C1961" s="1" t="str">
        <f>"4차"</f>
        <v>4차</v>
      </c>
      <c r="D1961" s="1" t="str">
        <f>"0427C64144"</f>
        <v>0427C64144</v>
      </c>
      <c r="E1961" s="1" t="s">
        <v>10</v>
      </c>
      <c r="F1961" s="1" t="str">
        <f>"10.10.57.178"</f>
        <v>10.10.57.178</v>
      </c>
      <c r="G1961" s="1" t="str">
        <f>"0427C641"</f>
        <v>0427C641</v>
      </c>
      <c r="H1961" s="1" t="str">
        <f>"면천간 40R3"</f>
        <v>면천간 40R3</v>
      </c>
      <c r="I1961" s="1" t="s">
        <v>8</v>
      </c>
      <c r="J1961" s="1" t="str">
        <f>"42/42"</f>
        <v>42/42</v>
      </c>
      <c r="K1961" s="1" t="str">
        <f t="shared" si="117"/>
        <v>2026-07-29 13:18:03</v>
      </c>
      <c r="L1961" s="1" t="str">
        <f>"2019-09-25 16:51:07"</f>
        <v>2019-09-25 16:51:07</v>
      </c>
      <c r="M1961" s="1" t="s">
        <v>1</v>
      </c>
      <c r="N1961" s="1" t="s">
        <v>38</v>
      </c>
      <c r="O1961" s="1" t="s">
        <v>46</v>
      </c>
    </row>
    <row r="1962" spans="2:15" x14ac:dyDescent="0.3">
      <c r="B1962" s="1" t="s">
        <v>24</v>
      </c>
      <c r="C1962" s="1" t="str">
        <f>"4차"</f>
        <v>4차</v>
      </c>
      <c r="D1962" s="1" t="str">
        <f>"0427C65144"</f>
        <v>0427C65144</v>
      </c>
      <c r="E1962" s="1" t="s">
        <v>10</v>
      </c>
      <c r="F1962" s="1" t="str">
        <f>"10.10.53.250"</f>
        <v>10.10.53.250</v>
      </c>
      <c r="G1962" s="1" t="str">
        <f>"0427C651"</f>
        <v>0427C651</v>
      </c>
      <c r="H1962" s="1" t="str">
        <f>"면천간 48"</f>
        <v>면천간 48</v>
      </c>
      <c r="I1962" s="1" t="s">
        <v>8</v>
      </c>
      <c r="J1962" s="1" t="str">
        <f>"74/74"</f>
        <v>74/74</v>
      </c>
      <c r="K1962" s="1" t="str">
        <f t="shared" si="117"/>
        <v>2026-07-29 13:18:03</v>
      </c>
      <c r="L1962" s="1" t="str">
        <f>"2019-09-26 13:23:04"</f>
        <v>2019-09-26 13:23:04</v>
      </c>
      <c r="M1962" s="1" t="s">
        <v>1</v>
      </c>
      <c r="N1962" s="1" t="s">
        <v>38</v>
      </c>
      <c r="O1962" s="1" t="s">
        <v>46</v>
      </c>
    </row>
    <row r="1963" spans="2:15" x14ac:dyDescent="0.3">
      <c r="B1963" s="1" t="s">
        <v>24</v>
      </c>
      <c r="C1963" s="1" t="str">
        <f>"1차"</f>
        <v>1차</v>
      </c>
      <c r="D1963" s="1" t="str">
        <f>"0427C68300"</f>
        <v>0427C68300</v>
      </c>
      <c r="E1963" s="1" t="s">
        <v>10</v>
      </c>
      <c r="F1963" s="1" t="str">
        <f>"10.89.254.98"</f>
        <v>10.89.254.98</v>
      </c>
      <c r="G1963" s="1" t="str">
        <f>"0427C683"</f>
        <v>0427C683</v>
      </c>
      <c r="H1963" s="1" t="str">
        <f>"면천간 55"</f>
        <v>면천간 55</v>
      </c>
      <c r="I1963" s="1" t="s">
        <v>8</v>
      </c>
      <c r="J1963" s="1" t="str">
        <f>"5/5"</f>
        <v>5/5</v>
      </c>
      <c r="K1963" s="1" t="str">
        <f t="shared" si="117"/>
        <v>2026-07-29 13:18:03</v>
      </c>
      <c r="L1963" s="1" t="str">
        <f>"2014-10-29 14:38:01"</f>
        <v>2014-10-29 14:38:01</v>
      </c>
      <c r="M1963" s="1" t="s">
        <v>45</v>
      </c>
      <c r="N1963" s="1" t="s">
        <v>38</v>
      </c>
      <c r="O1963" s="1" t="s">
        <v>46</v>
      </c>
    </row>
    <row r="1964" spans="2:15" x14ac:dyDescent="0.3">
      <c r="B1964" s="1" t="s">
        <v>24</v>
      </c>
      <c r="C1964" s="1" t="str">
        <f>"4차"</f>
        <v>4차</v>
      </c>
      <c r="D1964" s="1" t="str">
        <f>"0427C71144"</f>
        <v>0427C71144</v>
      </c>
      <c r="E1964" s="1" t="s">
        <v>10</v>
      </c>
      <c r="F1964" s="1" t="str">
        <f>"10.10.61.242"</f>
        <v>10.10.61.242</v>
      </c>
      <c r="G1964" s="1" t="str">
        <f>"0427C711"</f>
        <v>0427C711</v>
      </c>
      <c r="H1964" s="1" t="str">
        <f>"면천간 13R2"</f>
        <v>면천간 13R2</v>
      </c>
      <c r="I1964" s="1" t="s">
        <v>8</v>
      </c>
      <c r="J1964" s="1" t="str">
        <f>"41/41"</f>
        <v>41/41</v>
      </c>
      <c r="K1964" s="1" t="str">
        <f t="shared" si="117"/>
        <v>2026-07-29 13:18:03</v>
      </c>
      <c r="L1964" s="1" t="str">
        <f>"2019-10-18 17:32:21"</f>
        <v>2019-10-18 17:32:21</v>
      </c>
      <c r="M1964" s="1" t="s">
        <v>1</v>
      </c>
      <c r="N1964" s="1" t="s">
        <v>38</v>
      </c>
      <c r="O1964" s="1" t="s">
        <v>46</v>
      </c>
    </row>
    <row r="1965" spans="2:15" x14ac:dyDescent="0.3">
      <c r="B1965" s="1" t="s">
        <v>24</v>
      </c>
      <c r="C1965" s="1" t="str">
        <f>"4차"</f>
        <v>4차</v>
      </c>
      <c r="D1965" s="1" t="str">
        <f>"0427C71344"</f>
        <v>0427C71344</v>
      </c>
      <c r="E1965" s="1" t="s">
        <v>10</v>
      </c>
      <c r="F1965" s="1" t="str">
        <f>"10.10.57.170"</f>
        <v>10.10.57.170</v>
      </c>
      <c r="G1965" s="1" t="str">
        <f>"0427C713"</f>
        <v>0427C713</v>
      </c>
      <c r="H1965" s="1" t="str">
        <f>"면천간 40B4"</f>
        <v>면천간 40B4</v>
      </c>
      <c r="I1965" s="1" t="s">
        <v>8</v>
      </c>
      <c r="J1965" s="1" t="str">
        <f>"23/23"</f>
        <v>23/23</v>
      </c>
      <c r="K1965" s="1" t="str">
        <f t="shared" si="117"/>
        <v>2026-07-29 13:18:03</v>
      </c>
      <c r="L1965" s="1" t="str">
        <f>"2020-02-10 18:37:12"</f>
        <v>2020-02-10 18:37:12</v>
      </c>
      <c r="M1965" s="1" t="s">
        <v>1</v>
      </c>
      <c r="N1965" s="1" t="s">
        <v>38</v>
      </c>
      <c r="O1965" s="1" t="s">
        <v>46</v>
      </c>
    </row>
    <row r="1966" spans="2:15" x14ac:dyDescent="0.3">
      <c r="B1966" s="1" t="s">
        <v>24</v>
      </c>
      <c r="C1966" s="1" t="str">
        <f>"4차"</f>
        <v>4차</v>
      </c>
      <c r="D1966" s="1" t="str">
        <f>"0427C75242"</f>
        <v>0427C75242</v>
      </c>
      <c r="E1966" s="1" t="s">
        <v>10</v>
      </c>
      <c r="F1966" s="1" t="str">
        <f>"10.89.254.42"</f>
        <v>10.89.254.42</v>
      </c>
      <c r="G1966" s="1" t="str">
        <f>"0427C752"</f>
        <v>0427C752</v>
      </c>
      <c r="H1966" s="1" t="str">
        <f>"면천간 40R5"</f>
        <v>면천간 40R5</v>
      </c>
      <c r="I1966" s="1" t="s">
        <v>8</v>
      </c>
      <c r="J1966" s="1" t="str">
        <f>"75/83"</f>
        <v>75/83</v>
      </c>
      <c r="K1966" s="1" t="str">
        <f>"2026-07-29 13:18:05"</f>
        <v>2026-07-29 13:18:05</v>
      </c>
      <c r="L1966" s="1" t="str">
        <f>"2024-05-23 09:43:47"</f>
        <v>2024-05-23 09:43:47</v>
      </c>
      <c r="M1966" s="1" t="s">
        <v>45</v>
      </c>
      <c r="N1966" s="1" t="s">
        <v>38</v>
      </c>
      <c r="O1966" s="1" t="s">
        <v>46</v>
      </c>
    </row>
    <row r="1967" spans="2:15" x14ac:dyDescent="0.3">
      <c r="B1967" s="1" t="s">
        <v>24</v>
      </c>
      <c r="C1967" s="1" t="str">
        <f>"1차"</f>
        <v>1차</v>
      </c>
      <c r="D1967" s="1" t="str">
        <f>"0427C76100"</f>
        <v>0427C76100</v>
      </c>
      <c r="E1967" s="1" t="s">
        <v>10</v>
      </c>
      <c r="F1967" s="1" t="str">
        <f>"10.89.254.50"</f>
        <v>10.89.254.50</v>
      </c>
      <c r="G1967" s="1" t="str">
        <f>"0427C761"</f>
        <v>0427C761</v>
      </c>
      <c r="H1967" s="1" t="str">
        <f>"면천간 50"</f>
        <v>면천간 50</v>
      </c>
      <c r="I1967" s="1" t="s">
        <v>8</v>
      </c>
      <c r="J1967" s="1" t="str">
        <f>"58/58"</f>
        <v>58/58</v>
      </c>
      <c r="K1967" s="1" t="str">
        <f>"2026-07-29 13:18:03"</f>
        <v>2026-07-29 13:18:03</v>
      </c>
      <c r="L1967" s="1" t="str">
        <f>"2014-10-29 14:19:31"</f>
        <v>2014-10-29 14:19:31</v>
      </c>
      <c r="M1967" s="1" t="s">
        <v>45</v>
      </c>
      <c r="N1967" s="1" t="s">
        <v>38</v>
      </c>
      <c r="O1967" s="1" t="s">
        <v>46</v>
      </c>
    </row>
    <row r="1968" spans="2:15" x14ac:dyDescent="0.3">
      <c r="B1968" s="1" t="s">
        <v>24</v>
      </c>
      <c r="C1968" s="1" t="str">
        <f>"6차"</f>
        <v>6차</v>
      </c>
      <c r="D1968" s="1" t="str">
        <f>"0427C7716S"</f>
        <v>0427C7716S</v>
      </c>
      <c r="E1968" s="1" t="s">
        <v>10</v>
      </c>
      <c r="F1968" s="1" t="str">
        <f>"fde1:103:4:926a:0:0:0:2"</f>
        <v>fde1:103:4:926a:0:0:0:2</v>
      </c>
      <c r="G1968" s="1" t="str">
        <f>"0427C771"</f>
        <v>0427C771</v>
      </c>
      <c r="H1968" s="1" t="str">
        <f>"면천간 51"</f>
        <v>면천간 51</v>
      </c>
      <c r="I1968" s="1" t="s">
        <v>15</v>
      </c>
      <c r="J1968" s="1" t="str">
        <f>"28/34"</f>
        <v>28/34</v>
      </c>
      <c r="K1968" s="1" t="str">
        <f>"2026-07-29 14:20:43"</f>
        <v>2026-07-29 14:20:43</v>
      </c>
      <c r="L1968" s="1" t="str">
        <f>"2025-02-20 17:54:14"</f>
        <v>2025-02-20 17:54:14</v>
      </c>
      <c r="M1968" s="1" t="s">
        <v>4</v>
      </c>
      <c r="N1968" s="1" t="s">
        <v>38</v>
      </c>
      <c r="O1968" s="1" t="s">
        <v>46</v>
      </c>
    </row>
    <row r="1969" spans="2:15" x14ac:dyDescent="0.3">
      <c r="B1969" s="1" t="s">
        <v>24</v>
      </c>
      <c r="C1969" s="1" t="str">
        <f>"4차"</f>
        <v>4차</v>
      </c>
      <c r="D1969" s="1" t="str">
        <f>"0427C80444"</f>
        <v>0427C80444</v>
      </c>
      <c r="E1969" s="1" t="s">
        <v>10</v>
      </c>
      <c r="F1969" s="1" t="str">
        <f>"10.10.62.42"</f>
        <v>10.10.62.42</v>
      </c>
      <c r="G1969" s="1" t="str">
        <f>"0427C804"</f>
        <v>0427C804</v>
      </c>
      <c r="H1969" s="1" t="str">
        <f>"면목로 SW10R11"</f>
        <v>면목로 SW10R11</v>
      </c>
      <c r="I1969" s="1" t="s">
        <v>8</v>
      </c>
      <c r="J1969" s="1" t="str">
        <f>"34/34"</f>
        <v>34/34</v>
      </c>
      <c r="K1969" s="1" t="str">
        <f>"2026-07-29 13:18:03"</f>
        <v>2026-07-29 13:18:03</v>
      </c>
      <c r="L1969" s="1" t="str">
        <f>"2019-10-18 17:14:23"</f>
        <v>2019-10-18 17:14:23</v>
      </c>
      <c r="M1969" s="1" t="s">
        <v>1</v>
      </c>
      <c r="N1969" s="1" t="s">
        <v>38</v>
      </c>
      <c r="O1969" s="1" t="s">
        <v>46</v>
      </c>
    </row>
    <row r="1970" spans="2:15" x14ac:dyDescent="0.3">
      <c r="B1970" s="1" t="s">
        <v>24</v>
      </c>
      <c r="C1970" s="1" t="str">
        <f>"4차"</f>
        <v>4차</v>
      </c>
      <c r="D1970" s="1" t="str">
        <f>"0427C81444"</f>
        <v>0427C81444</v>
      </c>
      <c r="E1970" s="1" t="s">
        <v>10</v>
      </c>
      <c r="F1970" s="1" t="str">
        <f>"10.10.115.130"</f>
        <v>10.10.115.130</v>
      </c>
      <c r="G1970" s="1" t="str">
        <f>"0427C814"</f>
        <v>0427C814</v>
      </c>
      <c r="H1970" s="1" t="str">
        <f>"면목로 SW10R13"</f>
        <v>면목로 SW10R13</v>
      </c>
      <c r="I1970" s="1" t="s">
        <v>8</v>
      </c>
      <c r="J1970" s="1" t="str">
        <f>"23/27"</f>
        <v>23/27</v>
      </c>
      <c r="K1970" s="1" t="str">
        <f>"2026-07-29 13:18:03"</f>
        <v>2026-07-29 13:18:03</v>
      </c>
      <c r="L1970" s="1" t="str">
        <f>"2019-10-18 15:33:04"</f>
        <v>2019-10-18 15:33:04</v>
      </c>
      <c r="M1970" s="1" t="s">
        <v>1</v>
      </c>
      <c r="N1970" s="1" t="s">
        <v>38</v>
      </c>
      <c r="O1970" s="1" t="s">
        <v>46</v>
      </c>
    </row>
    <row r="1971" spans="2:15" x14ac:dyDescent="0.3">
      <c r="B1971" s="1" t="s">
        <v>24</v>
      </c>
      <c r="C1971" s="1" t="str">
        <f>"1차"</f>
        <v>1차</v>
      </c>
      <c r="D1971" s="1" t="str">
        <f>"0427C85201"</f>
        <v>0427C85201</v>
      </c>
      <c r="E1971" s="1" t="s">
        <v>10</v>
      </c>
      <c r="F1971" s="1" t="str">
        <f>"10.12.131.147"</f>
        <v>10.12.131.147</v>
      </c>
      <c r="G1971" s="1" t="str">
        <f>"0427C852"</f>
        <v>0427C852</v>
      </c>
      <c r="H1971" s="1" t="str">
        <f>"면천간 6"</f>
        <v>면천간 6</v>
      </c>
      <c r="I1971" s="1" t="s">
        <v>8</v>
      </c>
      <c r="J1971" s="1" t="str">
        <f>"37/45"</f>
        <v>37/45</v>
      </c>
      <c r="K1971" s="1" t="str">
        <f>"2026-07-29 13:18:02"</f>
        <v>2026-07-29 13:18:02</v>
      </c>
      <c r="L1971" s="1" t="str">
        <f>"2017-10-10 14:34:07"</f>
        <v>2017-10-10 14:34:07</v>
      </c>
      <c r="M1971" s="1" t="s">
        <v>0</v>
      </c>
      <c r="N1971" s="1" t="s">
        <v>38</v>
      </c>
      <c r="O1971" s="1" t="s">
        <v>46</v>
      </c>
    </row>
    <row r="1972" spans="2:15" x14ac:dyDescent="0.3">
      <c r="B1972" s="1" t="s">
        <v>24</v>
      </c>
      <c r="C1972" s="1" t="str">
        <f>"4차"</f>
        <v>4차</v>
      </c>
      <c r="D1972" s="1" t="str">
        <f>"0427C86242"</f>
        <v>0427C86242</v>
      </c>
      <c r="E1972" s="1" t="s">
        <v>10</v>
      </c>
      <c r="F1972" s="1" t="str">
        <f>"10.12.128.68"</f>
        <v>10.12.128.68</v>
      </c>
      <c r="G1972" s="1" t="str">
        <f>"0427C862"</f>
        <v>0427C862</v>
      </c>
      <c r="H1972" s="1" t="str">
        <f>"면천간 40R7"</f>
        <v>면천간 40R7</v>
      </c>
      <c r="I1972" s="1" t="s">
        <v>8</v>
      </c>
      <c r="J1972" s="1" t="str">
        <f>"40/40"</f>
        <v>40/40</v>
      </c>
      <c r="K1972" s="1" t="str">
        <f>"2026-07-29 13:18:05"</f>
        <v>2026-07-29 13:18:05</v>
      </c>
      <c r="L1972" s="1" t="str">
        <f>"2024-06-21 11:26:01"</f>
        <v>2024-06-21 11:26:01</v>
      </c>
      <c r="M1972" s="1" t="s">
        <v>0</v>
      </c>
      <c r="N1972" s="1" t="s">
        <v>38</v>
      </c>
      <c r="O1972" s="1" t="s">
        <v>46</v>
      </c>
    </row>
    <row r="1973" spans="2:15" x14ac:dyDescent="0.3">
      <c r="B1973" s="1" t="s">
        <v>24</v>
      </c>
      <c r="C1973" s="1" t="str">
        <f>"1차"</f>
        <v>1차</v>
      </c>
      <c r="D1973" s="1" t="str">
        <f>"0427C87100"</f>
        <v>0427C87100</v>
      </c>
      <c r="E1973" s="1" t="s">
        <v>10</v>
      </c>
      <c r="F1973" s="1" t="str">
        <f>"10.89.254.58"</f>
        <v>10.89.254.58</v>
      </c>
      <c r="G1973" s="1" t="str">
        <f>"0427C871"</f>
        <v>0427C871</v>
      </c>
      <c r="H1973" s="1" t="str">
        <f>"대주간 18L25R2R1"</f>
        <v>대주간 18L25R2R1</v>
      </c>
      <c r="I1973" s="1" t="s">
        <v>8</v>
      </c>
      <c r="J1973" s="1" t="str">
        <f>"56/56"</f>
        <v>56/56</v>
      </c>
      <c r="K1973" s="1" t="str">
        <f>"2026-07-29 13:18:03"</f>
        <v>2026-07-29 13:18:03</v>
      </c>
      <c r="L1973" s="1" t="str">
        <f>"2014-10-29 14:20:19"</f>
        <v>2014-10-29 14:20:19</v>
      </c>
      <c r="M1973" s="1" t="s">
        <v>45</v>
      </c>
      <c r="N1973" s="1" t="s">
        <v>38</v>
      </c>
      <c r="O1973" s="1" t="s">
        <v>46</v>
      </c>
    </row>
    <row r="1974" spans="2:15" x14ac:dyDescent="0.3">
      <c r="B1974" s="1" t="s">
        <v>24</v>
      </c>
      <c r="C1974" s="1" t="str">
        <f>"3차"</f>
        <v>3차</v>
      </c>
      <c r="D1974" s="1" t="str">
        <f>"0427C88439"</f>
        <v>0427C88439</v>
      </c>
      <c r="E1974" s="1" t="s">
        <v>10</v>
      </c>
      <c r="F1974" s="1" t="str">
        <f>"10.14.1.122"</f>
        <v>10.14.1.122</v>
      </c>
      <c r="G1974" s="1" t="str">
        <f>"0427C884"</f>
        <v>0427C884</v>
      </c>
      <c r="H1974" s="1" t="str">
        <f>"면천간 52R3"</f>
        <v>면천간 52R3</v>
      </c>
      <c r="I1974" s="1" t="s">
        <v>8</v>
      </c>
      <c r="J1974" s="1" t="str">
        <f>"21/21"</f>
        <v>21/21</v>
      </c>
      <c r="K1974" s="1" t="str">
        <f>"2026-07-29 13:18:05"</f>
        <v>2026-07-29 13:18:05</v>
      </c>
      <c r="L1974" s="1" t="str">
        <f>"2018-04-17 18:33:14"</f>
        <v>2018-04-17 18:33:14</v>
      </c>
      <c r="M1974" s="1" t="s">
        <v>3</v>
      </c>
      <c r="N1974" s="1" t="s">
        <v>38</v>
      </c>
      <c r="O1974" s="1" t="s">
        <v>46</v>
      </c>
    </row>
    <row r="1975" spans="2:15" x14ac:dyDescent="0.3">
      <c r="B1975" s="1" t="s">
        <v>24</v>
      </c>
      <c r="C1975" s="1" t="str">
        <f>"4차"</f>
        <v>4차</v>
      </c>
      <c r="D1975" s="1" t="str">
        <f>"0427C89241"</f>
        <v>0427C89241</v>
      </c>
      <c r="E1975" s="1" t="s">
        <v>10</v>
      </c>
      <c r="F1975" s="1" t="str">
        <f>"10.14.14.178"</f>
        <v>10.14.14.178</v>
      </c>
      <c r="G1975" s="1" t="str">
        <f>"0427C892"</f>
        <v>0427C892</v>
      </c>
      <c r="H1975" s="1" t="str">
        <f>"상이간 10L3"</f>
        <v>상이간 10L3</v>
      </c>
      <c r="I1975" s="1" t="s">
        <v>17</v>
      </c>
      <c r="J1975" s="1" t="str">
        <f>"10/18"</f>
        <v>10/18</v>
      </c>
      <c r="K1975" s="1" t="str">
        <f>"2026-07-29 13:18:05"</f>
        <v>2026-07-29 13:18:05</v>
      </c>
      <c r="L1975" s="1" t="str">
        <f>"2021-10-19 07:58:16"</f>
        <v>2021-10-19 07:58:16</v>
      </c>
      <c r="M1975" s="1" t="s">
        <v>3</v>
      </c>
      <c r="N1975" s="1" t="s">
        <v>38</v>
      </c>
      <c r="O1975" s="1" t="s">
        <v>46</v>
      </c>
    </row>
    <row r="1976" spans="2:15" x14ac:dyDescent="0.3">
      <c r="B1976" s="1" t="s">
        <v>24</v>
      </c>
      <c r="C1976" s="1" t="str">
        <f>"4차"</f>
        <v>4차</v>
      </c>
      <c r="D1976" s="1" t="str">
        <f>"0427C90144"</f>
        <v>0427C90144</v>
      </c>
      <c r="E1976" s="1" t="s">
        <v>10</v>
      </c>
      <c r="F1976" s="1" t="str">
        <f>"10.10.61.162"</f>
        <v>10.10.61.162</v>
      </c>
      <c r="G1976" s="1" t="str">
        <f>"0427C901"</f>
        <v>0427C901</v>
      </c>
      <c r="H1976" s="1" t="str">
        <f>"면목로 SW10R4R1L1"</f>
        <v>면목로 SW10R4R1L1</v>
      </c>
      <c r="I1976" s="1" t="s">
        <v>8</v>
      </c>
      <c r="J1976" s="1" t="str">
        <f>"56/56"</f>
        <v>56/56</v>
      </c>
      <c r="K1976" s="1" t="str">
        <f>"2026-07-29 13:18:03"</f>
        <v>2026-07-29 13:18:03</v>
      </c>
      <c r="L1976" s="1" t="str">
        <f>"2019-10-18 17:23:04"</f>
        <v>2019-10-18 17:23:04</v>
      </c>
      <c r="M1976" s="1" t="s">
        <v>1</v>
      </c>
      <c r="N1976" s="1" t="s">
        <v>38</v>
      </c>
      <c r="O1976" s="1" t="s">
        <v>46</v>
      </c>
    </row>
    <row r="1977" spans="2:15" x14ac:dyDescent="0.3">
      <c r="B1977" s="1" t="s">
        <v>24</v>
      </c>
      <c r="C1977" s="1" t="str">
        <f>"3차"</f>
        <v>3차</v>
      </c>
      <c r="D1977" s="1" t="str">
        <f>"0427C92239"</f>
        <v>0427C92239</v>
      </c>
      <c r="E1977" s="1" t="s">
        <v>10</v>
      </c>
      <c r="F1977" s="1" t="str">
        <f>"10.14.12.183"</f>
        <v>10.14.12.183</v>
      </c>
      <c r="G1977" s="1" t="str">
        <f>"0427C922"</f>
        <v>0427C922</v>
      </c>
      <c r="H1977" s="1" t="str">
        <f>"면목로 SW10R14"</f>
        <v>면목로 SW10R14</v>
      </c>
      <c r="I1977" s="1" t="s">
        <v>8</v>
      </c>
      <c r="J1977" s="1" t="str">
        <f>"39/39"</f>
        <v>39/39</v>
      </c>
      <c r="K1977" s="1" t="str">
        <f>"2026-07-29 13:18:05"</f>
        <v>2026-07-29 13:18:05</v>
      </c>
      <c r="L1977" s="1" t="str">
        <f>"2018-04-17 18:21:31"</f>
        <v>2018-04-17 18:21:31</v>
      </c>
      <c r="M1977" s="1" t="s">
        <v>3</v>
      </c>
      <c r="N1977" s="1" t="s">
        <v>38</v>
      </c>
      <c r="O1977" s="1" t="s">
        <v>46</v>
      </c>
    </row>
    <row r="1978" spans="2:15" x14ac:dyDescent="0.3">
      <c r="B1978" s="1" t="s">
        <v>24</v>
      </c>
      <c r="C1978" s="1" t="str">
        <f>"1차"</f>
        <v>1차</v>
      </c>
      <c r="D1978" s="1" t="str">
        <f>"0427C94401"</f>
        <v>0427C94401</v>
      </c>
      <c r="E1978" s="1" t="s">
        <v>10</v>
      </c>
      <c r="F1978" s="1" t="str">
        <f>"10.89.247.136"</f>
        <v>10.89.247.136</v>
      </c>
      <c r="G1978" s="1" t="str">
        <f>"0427C944"</f>
        <v>0427C944</v>
      </c>
      <c r="H1978" s="1" t="str">
        <f>"면목로 SW10R17"</f>
        <v>면목로 SW10R17</v>
      </c>
      <c r="I1978" s="1" t="s">
        <v>8</v>
      </c>
      <c r="J1978" s="1" t="str">
        <f>"79/79"</f>
        <v>79/79</v>
      </c>
      <c r="K1978" s="1" t="str">
        <f t="shared" ref="K1978:K1984" si="118">"2026-07-29 13:18:03"</f>
        <v>2026-07-29 13:18:03</v>
      </c>
      <c r="L1978" s="1" t="str">
        <f>"2014-10-29 14:12:41"</f>
        <v>2014-10-29 14:12:41</v>
      </c>
      <c r="M1978" s="1" t="s">
        <v>45</v>
      </c>
      <c r="N1978" s="1" t="s">
        <v>38</v>
      </c>
      <c r="O1978" s="1" t="s">
        <v>46</v>
      </c>
    </row>
    <row r="1979" spans="2:15" x14ac:dyDescent="0.3">
      <c r="B1979" s="1" t="s">
        <v>24</v>
      </c>
      <c r="C1979" s="1" t="str">
        <f>"1차"</f>
        <v>1차</v>
      </c>
      <c r="D1979" s="1" t="str">
        <f>"0427C94500"</f>
        <v>0427C94500</v>
      </c>
      <c r="E1979" s="1" t="s">
        <v>10</v>
      </c>
      <c r="F1979" s="1" t="str">
        <f>"10.89.247.135"</f>
        <v>10.89.247.135</v>
      </c>
      <c r="G1979" s="1" t="str">
        <f>"0427C945"</f>
        <v>0427C945</v>
      </c>
      <c r="H1979" s="1" t="str">
        <f>"면목로 SW10R16"</f>
        <v>면목로 SW10R16</v>
      </c>
      <c r="I1979" s="1" t="s">
        <v>8</v>
      </c>
      <c r="J1979" s="1" t="str">
        <f>"16/16"</f>
        <v>16/16</v>
      </c>
      <c r="K1979" s="1" t="str">
        <f t="shared" si="118"/>
        <v>2026-07-29 13:18:03</v>
      </c>
      <c r="L1979" s="1" t="str">
        <f>"2014-10-29 14:12:59"</f>
        <v>2014-10-29 14:12:59</v>
      </c>
      <c r="M1979" s="1" t="s">
        <v>45</v>
      </c>
      <c r="N1979" s="1" t="s">
        <v>38</v>
      </c>
      <c r="O1979" s="1" t="s">
        <v>46</v>
      </c>
    </row>
    <row r="1980" spans="2:15" x14ac:dyDescent="0.3">
      <c r="B1980" s="1" t="s">
        <v>24</v>
      </c>
      <c r="C1980" s="1" t="str">
        <f>"1차"</f>
        <v>1차</v>
      </c>
      <c r="D1980" s="1" t="str">
        <f>"0427C96300"</f>
        <v>0427C96300</v>
      </c>
      <c r="E1980" s="1" t="s">
        <v>10</v>
      </c>
      <c r="F1980" s="1" t="str">
        <f>"10.89.254.66"</f>
        <v>10.89.254.66</v>
      </c>
      <c r="G1980" s="1" t="str">
        <f>"0427C963"</f>
        <v>0427C963</v>
      </c>
      <c r="H1980" s="1" t="str">
        <f>"면천간 4"</f>
        <v>면천간 4</v>
      </c>
      <c r="I1980" s="1" t="s">
        <v>8</v>
      </c>
      <c r="J1980" s="1" t="str">
        <f>"16/19"</f>
        <v>16/19</v>
      </c>
      <c r="K1980" s="1" t="str">
        <f t="shared" si="118"/>
        <v>2026-07-29 13:18:03</v>
      </c>
      <c r="L1980" s="1" t="str">
        <f>"2019-10-11 10:52:54"</f>
        <v>2019-10-11 10:52:54</v>
      </c>
      <c r="M1980" s="1" t="s">
        <v>45</v>
      </c>
      <c r="N1980" s="1" t="s">
        <v>38</v>
      </c>
      <c r="O1980" s="1" t="s">
        <v>46</v>
      </c>
    </row>
    <row r="1981" spans="2:15" x14ac:dyDescent="0.3">
      <c r="B1981" s="1" t="s">
        <v>24</v>
      </c>
      <c r="C1981" s="1" t="str">
        <f>"1차"</f>
        <v>1차</v>
      </c>
      <c r="D1981" s="1" t="str">
        <f>"0427C98101"</f>
        <v>0427C98101</v>
      </c>
      <c r="E1981" s="1" t="s">
        <v>10</v>
      </c>
      <c r="F1981" s="1" t="str">
        <f>"10.89.254.59"</f>
        <v>10.89.254.59</v>
      </c>
      <c r="G1981" s="1" t="str">
        <f>"0427C981"</f>
        <v>0427C981</v>
      </c>
      <c r="H1981" s="1" t="str">
        <f>"면천간 52R4"</f>
        <v>면천간 52R4</v>
      </c>
      <c r="I1981" s="1" t="s">
        <v>8</v>
      </c>
      <c r="J1981" s="1" t="str">
        <f>"78/79"</f>
        <v>78/79</v>
      </c>
      <c r="K1981" s="1" t="str">
        <f t="shared" si="118"/>
        <v>2026-07-29 13:18:03</v>
      </c>
      <c r="L1981" s="1" t="str">
        <f>"2014-10-29 14:20:36"</f>
        <v>2014-10-29 14:20:36</v>
      </c>
      <c r="M1981" s="1" t="s">
        <v>45</v>
      </c>
      <c r="N1981" s="1" t="s">
        <v>38</v>
      </c>
      <c r="O1981" s="1" t="s">
        <v>46</v>
      </c>
    </row>
    <row r="1982" spans="2:15" x14ac:dyDescent="0.3">
      <c r="B1982" s="1" t="s">
        <v>24</v>
      </c>
      <c r="C1982" s="1" t="str">
        <f>"3차"</f>
        <v>3차</v>
      </c>
      <c r="D1982" s="1" t="str">
        <f>"0427D00139"</f>
        <v>0427D00139</v>
      </c>
      <c r="E1982" s="1" t="s">
        <v>10</v>
      </c>
      <c r="F1982" s="1" t="str">
        <f>"10.89.247.130"</f>
        <v>10.89.247.130</v>
      </c>
      <c r="G1982" s="1" t="str">
        <f>"0427D001"</f>
        <v>0427D001</v>
      </c>
      <c r="H1982" s="1" t="str">
        <f>"면목로 SW10R4R1"</f>
        <v>면목로 SW10R4R1</v>
      </c>
      <c r="I1982" s="1" t="s">
        <v>8</v>
      </c>
      <c r="J1982" s="1" t="str">
        <f>"30/30"</f>
        <v>30/30</v>
      </c>
      <c r="K1982" s="1" t="str">
        <f t="shared" si="118"/>
        <v>2026-07-29 13:18:03</v>
      </c>
      <c r="L1982" s="1" t="str">
        <f>"2018-04-17 18:19:46"</f>
        <v>2018-04-17 18:19:46</v>
      </c>
      <c r="M1982" s="1" t="s">
        <v>45</v>
      </c>
      <c r="N1982" s="1" t="s">
        <v>38</v>
      </c>
      <c r="O1982" s="1" t="s">
        <v>46</v>
      </c>
    </row>
    <row r="1983" spans="2:15" x14ac:dyDescent="0.3">
      <c r="B1983" s="1" t="s">
        <v>24</v>
      </c>
      <c r="C1983" s="1" t="str">
        <f>"4차"</f>
        <v>4차</v>
      </c>
      <c r="D1983" s="1" t="str">
        <f>"0427D01144"</f>
        <v>0427D01144</v>
      </c>
      <c r="E1983" s="1" t="s">
        <v>10</v>
      </c>
      <c r="F1983" s="1" t="str">
        <f>"10.10.62.114"</f>
        <v>10.10.62.114</v>
      </c>
      <c r="G1983" s="1" t="str">
        <f>"0427D011"</f>
        <v>0427D011</v>
      </c>
      <c r="H1983" s="1" t="str">
        <f>"면목로 SW10R4R3"</f>
        <v>면목로 SW10R4R3</v>
      </c>
      <c r="I1983" s="1" t="s">
        <v>8</v>
      </c>
      <c r="J1983" s="1" t="str">
        <f>"26/26"</f>
        <v>26/26</v>
      </c>
      <c r="K1983" s="1" t="str">
        <f t="shared" si="118"/>
        <v>2026-07-29 13:18:03</v>
      </c>
      <c r="L1983" s="1" t="str">
        <f>"2019-10-18 15:13:04"</f>
        <v>2019-10-18 15:13:04</v>
      </c>
      <c r="M1983" s="1" t="s">
        <v>1</v>
      </c>
      <c r="N1983" s="1" t="s">
        <v>38</v>
      </c>
      <c r="O1983" s="1" t="s">
        <v>46</v>
      </c>
    </row>
    <row r="1984" spans="2:15" x14ac:dyDescent="0.3">
      <c r="B1984" s="1" t="s">
        <v>24</v>
      </c>
      <c r="C1984" s="1" t="str">
        <f>"4차"</f>
        <v>4차</v>
      </c>
      <c r="D1984" s="1" t="str">
        <f>"0427D02144"</f>
        <v>0427D02144</v>
      </c>
      <c r="E1984" s="1" t="s">
        <v>10</v>
      </c>
      <c r="F1984" s="1" t="str">
        <f>"10.10.62.130"</f>
        <v>10.10.62.130</v>
      </c>
      <c r="G1984" s="1" t="str">
        <f>"0427D021"</f>
        <v>0427D021</v>
      </c>
      <c r="H1984" s="1" t="str">
        <f>"면목로 SW10R4R4"</f>
        <v>면목로 SW10R4R4</v>
      </c>
      <c r="I1984" s="1" t="s">
        <v>8</v>
      </c>
      <c r="J1984" s="1" t="str">
        <f>"43/49"</f>
        <v>43/49</v>
      </c>
      <c r="K1984" s="1" t="str">
        <f t="shared" si="118"/>
        <v>2026-07-29 13:18:03</v>
      </c>
      <c r="L1984" s="1" t="str">
        <f>"2019-10-18 15:13:04"</f>
        <v>2019-10-18 15:13:04</v>
      </c>
      <c r="M1984" s="1" t="s">
        <v>1</v>
      </c>
      <c r="N1984" s="1" t="s">
        <v>38</v>
      </c>
      <c r="O1984" s="1" t="s">
        <v>46</v>
      </c>
    </row>
    <row r="1985" spans="2:15" x14ac:dyDescent="0.3">
      <c r="B1985" s="1" t="s">
        <v>24</v>
      </c>
      <c r="C1985" s="1" t="str">
        <f>"4차"</f>
        <v>4차</v>
      </c>
      <c r="D1985" s="1" t="str">
        <f>"0427D02244"</f>
        <v>0427D02244</v>
      </c>
      <c r="E1985" s="1" t="s">
        <v>12</v>
      </c>
      <c r="F1985" s="1" t="str">
        <f>"10.10.62.146"</f>
        <v>10.10.62.146</v>
      </c>
      <c r="G1985" s="1" t="str">
        <f>"0427D022"</f>
        <v>0427D022</v>
      </c>
      <c r="H1985" s="1" t="str">
        <f>"면목로 SW10R4R5"</f>
        <v>면목로 SW10R4R5</v>
      </c>
      <c r="I1985" s="1" t="s">
        <v>8</v>
      </c>
      <c r="J1985" s="1" t="str">
        <f>"0/40"</f>
        <v>0/40</v>
      </c>
      <c r="K1985" s="1" t="str">
        <f>"2026-07-29 07:18:03"</f>
        <v>2026-07-29 07:18:03</v>
      </c>
      <c r="L1985" s="1" t="str">
        <f>"2019-10-18 15:23:04"</f>
        <v>2019-10-18 15:23:04</v>
      </c>
      <c r="M1985" s="1" t="s">
        <v>1</v>
      </c>
      <c r="N1985" s="1" t="s">
        <v>38</v>
      </c>
      <c r="O1985" s="1" t="s">
        <v>46</v>
      </c>
    </row>
    <row r="1986" spans="2:15" x14ac:dyDescent="0.3">
      <c r="B1986" s="1" t="s">
        <v>24</v>
      </c>
      <c r="C1986" s="1" t="str">
        <f>"4차"</f>
        <v>4차</v>
      </c>
      <c r="D1986" s="1" t="str">
        <f>"0427D04144"</f>
        <v>0427D04144</v>
      </c>
      <c r="E1986" s="1" t="s">
        <v>10</v>
      </c>
      <c r="F1986" s="1" t="str">
        <f>"10.10.62.154"</f>
        <v>10.10.62.154</v>
      </c>
      <c r="G1986" s="1" t="str">
        <f>"0427D041"</f>
        <v>0427D041</v>
      </c>
      <c r="H1986" s="1" t="str">
        <f>"면목로 SW10R4R9"</f>
        <v>면목로 SW10R4R9</v>
      </c>
      <c r="I1986" s="1" t="s">
        <v>8</v>
      </c>
      <c r="J1986" s="1" t="str">
        <f>"28/37"</f>
        <v>28/37</v>
      </c>
      <c r="K1986" s="1" t="str">
        <f>"2026-07-29 13:18:03"</f>
        <v>2026-07-29 13:18:03</v>
      </c>
      <c r="L1986" s="1" t="str">
        <f>"2019-10-18 15:23:04"</f>
        <v>2019-10-18 15:23:04</v>
      </c>
      <c r="M1986" s="1" t="s">
        <v>1</v>
      </c>
      <c r="N1986" s="1" t="s">
        <v>38</v>
      </c>
      <c r="O1986" s="1" t="s">
        <v>46</v>
      </c>
    </row>
    <row r="1987" spans="2:15" x14ac:dyDescent="0.3">
      <c r="B1987" s="1" t="s">
        <v>24</v>
      </c>
      <c r="C1987" s="1" t="str">
        <f>"1차"</f>
        <v>1차</v>
      </c>
      <c r="D1987" s="1" t="str">
        <f>"0427D05100"</f>
        <v>0427D05100</v>
      </c>
      <c r="E1987" s="1" t="s">
        <v>10</v>
      </c>
      <c r="F1987" s="1" t="str">
        <f>"10.89.247.142"</f>
        <v>10.89.247.142</v>
      </c>
      <c r="G1987" s="1" t="str">
        <f>"0427D051"</f>
        <v>0427D051</v>
      </c>
      <c r="H1987" s="1" t="str">
        <f>"면목로 SW10R4R13"</f>
        <v>면목로 SW10R4R13</v>
      </c>
      <c r="I1987" s="1" t="s">
        <v>8</v>
      </c>
      <c r="J1987" s="1" t="str">
        <f>"53/53"</f>
        <v>53/53</v>
      </c>
      <c r="K1987" s="1" t="str">
        <f>"2026-07-29 13:18:03"</f>
        <v>2026-07-29 13:18:03</v>
      </c>
      <c r="L1987" s="1" t="str">
        <f>"2014-11-05 15:24:04"</f>
        <v>2014-11-05 15:24:04</v>
      </c>
      <c r="M1987" s="1" t="s">
        <v>45</v>
      </c>
      <c r="N1987" s="1" t="s">
        <v>38</v>
      </c>
      <c r="O1987" s="1" t="s">
        <v>46</v>
      </c>
    </row>
    <row r="1988" spans="2:15" x14ac:dyDescent="0.3">
      <c r="B1988" s="1" t="s">
        <v>24</v>
      </c>
      <c r="C1988" s="1" t="str">
        <f>"6차"</f>
        <v>6차</v>
      </c>
      <c r="D1988" s="1" t="str">
        <f>"0427D0636S"</f>
        <v>0427D0636S</v>
      </c>
      <c r="E1988" s="1" t="s">
        <v>10</v>
      </c>
      <c r="F1988" s="1" t="str">
        <f>"fde3:102:1430:9b00:0:0:0:2"</f>
        <v>fde3:102:1430:9b00:0:0:0:2</v>
      </c>
      <c r="G1988" s="1" t="str">
        <f>"0427D063"</f>
        <v>0427D063</v>
      </c>
      <c r="H1988" s="1" t="str">
        <f>"면천간 3"</f>
        <v>면천간 3</v>
      </c>
      <c r="I1988" s="1" t="s">
        <v>15</v>
      </c>
      <c r="J1988" s="1" t="str">
        <f>"22/43"</f>
        <v>22/43</v>
      </c>
      <c r="K1988" s="1" t="str">
        <f>"2026-07-29 14:20:43"</f>
        <v>2026-07-29 14:20:43</v>
      </c>
      <c r="L1988" s="1" t="str">
        <f>"2024-10-10 10:25:04"</f>
        <v>2024-10-10 10:25:04</v>
      </c>
      <c r="M1988" s="1" t="s">
        <v>45</v>
      </c>
      <c r="N1988" s="1" t="s">
        <v>38</v>
      </c>
      <c r="O1988" s="1" t="s">
        <v>46</v>
      </c>
    </row>
    <row r="1989" spans="2:15" x14ac:dyDescent="0.3">
      <c r="B1989" s="1" t="s">
        <v>24</v>
      </c>
      <c r="C1989" s="1" t="str">
        <f>"4차"</f>
        <v>4차</v>
      </c>
      <c r="D1989" s="1" t="str">
        <f>"0427D08739"</f>
        <v>0427D08739</v>
      </c>
      <c r="E1989" s="1" t="s">
        <v>10</v>
      </c>
      <c r="F1989" s="1" t="str">
        <f>"10.12.137.223"</f>
        <v>10.12.137.223</v>
      </c>
      <c r="G1989" s="1" t="str">
        <f>"0427D087"</f>
        <v>0427D087</v>
      </c>
      <c r="H1989" s="1" t="str">
        <f>"면목 10"</f>
        <v>면목 10</v>
      </c>
      <c r="I1989" s="1" t="s">
        <v>17</v>
      </c>
      <c r="J1989" s="1" t="str">
        <f>"44/44"</f>
        <v>44/44</v>
      </c>
      <c r="K1989" s="1" t="str">
        <f>"2026-07-29 13:18:02"</f>
        <v>2026-07-29 13:18:02</v>
      </c>
      <c r="L1989" s="1" t="str">
        <f>"2018-05-11 11:49:58"</f>
        <v>2018-05-11 11:49:58</v>
      </c>
      <c r="M1989" s="1" t="s">
        <v>0</v>
      </c>
      <c r="N1989" s="1" t="s">
        <v>38</v>
      </c>
      <c r="O1989" s="1" t="s">
        <v>46</v>
      </c>
    </row>
    <row r="1990" spans="2:15" x14ac:dyDescent="0.3">
      <c r="B1990" s="1" t="s">
        <v>24</v>
      </c>
      <c r="C1990" s="1" t="str">
        <f>"4차"</f>
        <v>4차</v>
      </c>
      <c r="D1990" s="1" t="str">
        <f>"0427D10144"</f>
        <v>0427D10144</v>
      </c>
      <c r="E1990" s="1" t="s">
        <v>10</v>
      </c>
      <c r="F1990" s="1" t="str">
        <f>"10.10.115.114"</f>
        <v>10.10.115.114</v>
      </c>
      <c r="G1990" s="1" t="str">
        <f>"0427D101"</f>
        <v>0427D101</v>
      </c>
      <c r="H1990" s="1" t="str">
        <f>"면목로 SW10R4R1R1"</f>
        <v>면목로 SW10R4R1R1</v>
      </c>
      <c r="I1990" s="1" t="s">
        <v>8</v>
      </c>
      <c r="J1990" s="1" t="str">
        <f>"42/42"</f>
        <v>42/42</v>
      </c>
      <c r="K1990" s="1" t="str">
        <f>"2026-07-29 13:18:03"</f>
        <v>2026-07-29 13:18:03</v>
      </c>
      <c r="L1990" s="1" t="str">
        <f>"2019-10-18 17:30:38"</f>
        <v>2019-10-18 17:30:38</v>
      </c>
      <c r="M1990" s="1" t="s">
        <v>1</v>
      </c>
      <c r="N1990" s="1" t="s">
        <v>38</v>
      </c>
      <c r="O1990" s="1" t="s">
        <v>46</v>
      </c>
    </row>
    <row r="1991" spans="2:15" x14ac:dyDescent="0.3">
      <c r="B1991" s="1" t="s">
        <v>24</v>
      </c>
      <c r="C1991" s="1" t="str">
        <f>"4차"</f>
        <v>4차</v>
      </c>
      <c r="D1991" s="1" t="str">
        <f>"0427D12142"</f>
        <v>0427D12142</v>
      </c>
      <c r="E1991" s="1" t="s">
        <v>10</v>
      </c>
      <c r="F1991" s="1" t="str">
        <f>"10.89.247.137"</f>
        <v>10.89.247.137</v>
      </c>
      <c r="G1991" s="1" t="str">
        <f>"0427D121"</f>
        <v>0427D121</v>
      </c>
      <c r="H1991" s="1" t="str">
        <f>"면목로 SW10R4R1R3"</f>
        <v>면목로 SW10R4R1R3</v>
      </c>
      <c r="I1991" s="1" t="s">
        <v>8</v>
      </c>
      <c r="J1991" s="1" t="str">
        <f>"37/37"</f>
        <v>37/37</v>
      </c>
      <c r="K1991" s="1" t="str">
        <f>"2026-07-29 13:18:03"</f>
        <v>2026-07-29 13:18:03</v>
      </c>
      <c r="L1991" s="1" t="str">
        <f>"2024-12-23 13:18:08"</f>
        <v>2024-12-23 13:18:08</v>
      </c>
      <c r="M1991" s="1" t="s">
        <v>45</v>
      </c>
      <c r="N1991" s="1" t="s">
        <v>38</v>
      </c>
      <c r="O1991" s="1" t="s">
        <v>46</v>
      </c>
    </row>
    <row r="1992" spans="2:15" x14ac:dyDescent="0.3">
      <c r="B1992" s="1" t="s">
        <v>24</v>
      </c>
      <c r="C1992" s="1" t="str">
        <f>"6차"</f>
        <v>6차</v>
      </c>
      <c r="D1992" s="1" t="str">
        <f>"0427D1226S"</f>
        <v>0427D1226S</v>
      </c>
      <c r="E1992" s="1" t="s">
        <v>10</v>
      </c>
      <c r="F1992" s="1" t="str">
        <f>"fde1:103:4:c5b9:0:0:0:2"</f>
        <v>fde1:103:4:c5b9:0:0:0:2</v>
      </c>
      <c r="G1992" s="1" t="str">
        <f>"0427D122"</f>
        <v>0427D122</v>
      </c>
      <c r="H1992" s="1" t="str">
        <f>"면목로 SW10R4R1R4"</f>
        <v>면목로 SW10R4R1R4</v>
      </c>
      <c r="I1992" s="1" t="s">
        <v>15</v>
      </c>
      <c r="J1992" s="1" t="str">
        <f>"63/64"</f>
        <v>63/64</v>
      </c>
      <c r="K1992" s="1" t="str">
        <f>"2026-07-29 14:21:10"</f>
        <v>2026-07-29 14:21:10</v>
      </c>
      <c r="L1992" s="1" t="str">
        <f>"2024-11-07 08:35:15"</f>
        <v>2024-11-07 08:35:15</v>
      </c>
      <c r="M1992" s="1" t="s">
        <v>4</v>
      </c>
      <c r="N1992" s="1" t="s">
        <v>38</v>
      </c>
      <c r="O1992" s="1" t="s">
        <v>46</v>
      </c>
    </row>
    <row r="1993" spans="2:15" x14ac:dyDescent="0.3">
      <c r="B1993" s="1" t="s">
        <v>24</v>
      </c>
      <c r="C1993" s="1" t="str">
        <f>"6차"</f>
        <v>6차</v>
      </c>
      <c r="D1993" s="1" t="str">
        <f>"0427D1316S"</f>
        <v>0427D1316S</v>
      </c>
      <c r="E1993" s="1" t="s">
        <v>10</v>
      </c>
      <c r="F1993" s="1" t="str">
        <f>"fde1:103:4:c652:0:0:0:2"</f>
        <v>fde1:103:4:c652:0:0:0:2</v>
      </c>
      <c r="G1993" s="1" t="str">
        <f>"0427D131"</f>
        <v>0427D131</v>
      </c>
      <c r="H1993" s="1" t="str">
        <f>"면목로 SW10R4R1R5"</f>
        <v>면목로 SW10R4R1R5</v>
      </c>
      <c r="I1993" s="1" t="s">
        <v>15</v>
      </c>
      <c r="J1993" s="1" t="str">
        <f>"28/28"</f>
        <v>28/28</v>
      </c>
      <c r="K1993" s="1" t="str">
        <f>"2026-07-29 14:20:44"</f>
        <v>2026-07-29 14:20:44</v>
      </c>
      <c r="L1993" s="1" t="str">
        <f>"2024-11-07 08:35:25"</f>
        <v>2024-11-07 08:35:25</v>
      </c>
      <c r="M1993" s="1" t="s">
        <v>4</v>
      </c>
      <c r="N1993" s="1" t="s">
        <v>38</v>
      </c>
      <c r="O1993" s="1" t="s">
        <v>46</v>
      </c>
    </row>
    <row r="1994" spans="2:15" x14ac:dyDescent="0.3">
      <c r="B1994" s="1" t="s">
        <v>24</v>
      </c>
      <c r="C1994" s="1" t="str">
        <f t="shared" ref="C1994:C2000" si="119">"4차"</f>
        <v>4차</v>
      </c>
      <c r="D1994" s="1" t="str">
        <f>"0427D13244"</f>
        <v>0427D13244</v>
      </c>
      <c r="E1994" s="1" t="s">
        <v>10</v>
      </c>
      <c r="F1994" s="1" t="str">
        <f>"10.10.62.98"</f>
        <v>10.10.62.98</v>
      </c>
      <c r="G1994" s="1" t="str">
        <f>"0427D132"</f>
        <v>0427D132</v>
      </c>
      <c r="H1994" s="1" t="str">
        <f>"면목로 SW10R4R1R6"</f>
        <v>면목로 SW10R4R1R6</v>
      </c>
      <c r="I1994" s="1" t="s">
        <v>8</v>
      </c>
      <c r="J1994" s="1" t="str">
        <f>"45/45"</f>
        <v>45/45</v>
      </c>
      <c r="K1994" s="1" t="str">
        <f>"2026-07-29 13:18:03"</f>
        <v>2026-07-29 13:18:03</v>
      </c>
      <c r="L1994" s="1" t="str">
        <f>"2019-10-18 11:46:52"</f>
        <v>2019-10-18 11:46:52</v>
      </c>
      <c r="M1994" s="1" t="s">
        <v>1</v>
      </c>
      <c r="N1994" s="1" t="s">
        <v>38</v>
      </c>
      <c r="O1994" s="1" t="s">
        <v>46</v>
      </c>
    </row>
    <row r="1995" spans="2:15" x14ac:dyDescent="0.3">
      <c r="B1995" s="1" t="s">
        <v>24</v>
      </c>
      <c r="C1995" s="1" t="str">
        <f t="shared" si="119"/>
        <v>4차</v>
      </c>
      <c r="D1995" s="1" t="str">
        <f>"0427D14144"</f>
        <v>0427D14144</v>
      </c>
      <c r="E1995" s="1" t="s">
        <v>10</v>
      </c>
      <c r="F1995" s="1" t="str">
        <f>"10.10.62.50"</f>
        <v>10.10.62.50</v>
      </c>
      <c r="G1995" s="1" t="str">
        <f>"0427D141"</f>
        <v>0427D141</v>
      </c>
      <c r="H1995" s="1" t="str">
        <f>"면목로 SW10R4R10"</f>
        <v>면목로 SW10R4R10</v>
      </c>
      <c r="I1995" s="1" t="s">
        <v>8</v>
      </c>
      <c r="J1995" s="1" t="str">
        <f>"66/68"</f>
        <v>66/68</v>
      </c>
      <c r="K1995" s="1" t="str">
        <f>"2026-07-29 13:18:03"</f>
        <v>2026-07-29 13:18:03</v>
      </c>
      <c r="L1995" s="1" t="str">
        <f>"2019-10-18 11:45:05"</f>
        <v>2019-10-18 11:45:05</v>
      </c>
      <c r="M1995" s="1" t="s">
        <v>1</v>
      </c>
      <c r="N1995" s="1" t="s">
        <v>38</v>
      </c>
      <c r="O1995" s="1" t="s">
        <v>46</v>
      </c>
    </row>
    <row r="1996" spans="2:15" x14ac:dyDescent="0.3">
      <c r="B1996" s="1" t="s">
        <v>24</v>
      </c>
      <c r="C1996" s="1" t="str">
        <f t="shared" si="119"/>
        <v>4차</v>
      </c>
      <c r="D1996" s="1" t="str">
        <f>"0427D14344"</f>
        <v>0427D14344</v>
      </c>
      <c r="E1996" s="1" t="s">
        <v>10</v>
      </c>
      <c r="F1996" s="1" t="str">
        <f>"10.10.62.58"</f>
        <v>10.10.62.58</v>
      </c>
      <c r="G1996" s="1" t="str">
        <f>"0427D143"</f>
        <v>0427D143</v>
      </c>
      <c r="H1996" s="1" t="str">
        <f>"면목로 SW10R4R11"</f>
        <v>면목로 SW10R4R11</v>
      </c>
      <c r="I1996" s="1" t="s">
        <v>8</v>
      </c>
      <c r="J1996" s="1" t="str">
        <f>"26/26"</f>
        <v>26/26</v>
      </c>
      <c r="K1996" s="1" t="str">
        <f>"2026-07-29 13:18:03"</f>
        <v>2026-07-29 13:18:03</v>
      </c>
      <c r="L1996" s="1" t="str">
        <f>"2019-10-18 11:40:19"</f>
        <v>2019-10-18 11:40:19</v>
      </c>
      <c r="M1996" s="1" t="s">
        <v>1</v>
      </c>
      <c r="N1996" s="1" t="s">
        <v>38</v>
      </c>
      <c r="O1996" s="1" t="s">
        <v>46</v>
      </c>
    </row>
    <row r="1997" spans="2:15" x14ac:dyDescent="0.3">
      <c r="B1997" s="1" t="s">
        <v>24</v>
      </c>
      <c r="C1997" s="1" t="str">
        <f t="shared" si="119"/>
        <v>4차</v>
      </c>
      <c r="D1997" s="1" t="str">
        <f>"0427D15244"</f>
        <v>0427D15244</v>
      </c>
      <c r="E1997" s="1" t="s">
        <v>10</v>
      </c>
      <c r="F1997" s="1" t="str">
        <f>"10.10.62.74"</f>
        <v>10.10.62.74</v>
      </c>
      <c r="G1997" s="1" t="str">
        <f>"0427D152"</f>
        <v>0427D152</v>
      </c>
      <c r="H1997" s="1" t="str">
        <f>"면목로 SW10R4R12"</f>
        <v>면목로 SW10R4R12</v>
      </c>
      <c r="I1997" s="1" t="s">
        <v>8</v>
      </c>
      <c r="J1997" s="1" t="str">
        <f>"30/30"</f>
        <v>30/30</v>
      </c>
      <c r="K1997" s="1" t="str">
        <f>"2026-07-29 13:18:03"</f>
        <v>2026-07-29 13:18:03</v>
      </c>
      <c r="L1997" s="1" t="str">
        <f>"2019-10-18 11:54:49"</f>
        <v>2019-10-18 11:54:49</v>
      </c>
      <c r="M1997" s="1" t="s">
        <v>1</v>
      </c>
      <c r="N1997" s="1" t="s">
        <v>38</v>
      </c>
      <c r="O1997" s="1" t="s">
        <v>46</v>
      </c>
    </row>
    <row r="1998" spans="2:15" x14ac:dyDescent="0.3">
      <c r="B1998" s="1" t="s">
        <v>24</v>
      </c>
      <c r="C1998" s="1" t="str">
        <f t="shared" si="119"/>
        <v>4차</v>
      </c>
      <c r="D1998" s="1" t="str">
        <f>"0427D15739"</f>
        <v>0427D15739</v>
      </c>
      <c r="E1998" s="1" t="s">
        <v>10</v>
      </c>
      <c r="F1998" s="1" t="str">
        <f>"10.12.137.233"</f>
        <v>10.12.137.233</v>
      </c>
      <c r="G1998" s="1" t="str">
        <f>"0427D157"</f>
        <v>0427D157</v>
      </c>
      <c r="H1998" s="1" t="str">
        <f>"면목 11"</f>
        <v>면목 11</v>
      </c>
      <c r="I1998" s="1" t="s">
        <v>17</v>
      </c>
      <c r="J1998" s="1" t="str">
        <f>"22/22"</f>
        <v>22/22</v>
      </c>
      <c r="K1998" s="1" t="str">
        <f>"2026-07-29 13:18:02"</f>
        <v>2026-07-29 13:18:02</v>
      </c>
      <c r="L1998" s="1" t="str">
        <f>"2018-05-11 12:35:30"</f>
        <v>2018-05-11 12:35:30</v>
      </c>
      <c r="M1998" s="1" t="s">
        <v>0</v>
      </c>
      <c r="N1998" s="1" t="s">
        <v>38</v>
      </c>
      <c r="O1998" s="1" t="s">
        <v>46</v>
      </c>
    </row>
    <row r="1999" spans="2:15" x14ac:dyDescent="0.3">
      <c r="B1999" s="1" t="s">
        <v>24</v>
      </c>
      <c r="C1999" s="1" t="str">
        <f t="shared" si="119"/>
        <v>4차</v>
      </c>
      <c r="D1999" s="1" t="str">
        <f>"0427D18E39"</f>
        <v>0427D18E39</v>
      </c>
      <c r="E1999" s="1" t="s">
        <v>10</v>
      </c>
      <c r="F1999" s="1" t="str">
        <f>"10.12.134.181"</f>
        <v>10.12.134.181</v>
      </c>
      <c r="G1999" s="1" t="str">
        <f>"0427D18E"</f>
        <v>0427D18E</v>
      </c>
      <c r="H1999" s="1" t="str">
        <f>"면목 9"</f>
        <v>면목 9</v>
      </c>
      <c r="I1999" s="1" t="s">
        <v>17</v>
      </c>
      <c r="J1999" s="1" t="str">
        <f>"9/9"</f>
        <v>9/9</v>
      </c>
      <c r="K1999" s="1" t="str">
        <f>"2026-07-29 13:18:02"</f>
        <v>2026-07-29 13:18:02</v>
      </c>
      <c r="L1999" s="1" t="str">
        <f>"2018-05-11 10:56:42"</f>
        <v>2018-05-11 10:56:42</v>
      </c>
      <c r="M1999" s="1" t="s">
        <v>0</v>
      </c>
      <c r="N1999" s="1" t="s">
        <v>38</v>
      </c>
      <c r="O1999" s="1" t="s">
        <v>46</v>
      </c>
    </row>
    <row r="2000" spans="2:15" x14ac:dyDescent="0.3">
      <c r="B2000" s="1" t="s">
        <v>24</v>
      </c>
      <c r="C2000" s="1" t="str">
        <f t="shared" si="119"/>
        <v>4차</v>
      </c>
      <c r="D2000" s="1" t="str">
        <f>"0427D21639"</f>
        <v>0427D21639</v>
      </c>
      <c r="E2000" s="1" t="s">
        <v>10</v>
      </c>
      <c r="F2000" s="1" t="str">
        <f>"10.12.134.184"</f>
        <v>10.12.134.184</v>
      </c>
      <c r="G2000" s="1" t="str">
        <f>"0427D216"</f>
        <v>0427D216</v>
      </c>
      <c r="H2000" s="1" t="str">
        <f>"면목 15"</f>
        <v>면목 15</v>
      </c>
      <c r="I2000" s="1" t="s">
        <v>17</v>
      </c>
      <c r="J2000" s="1" t="str">
        <f>"9/9"</f>
        <v>9/9</v>
      </c>
      <c r="K2000" s="1" t="str">
        <f>"2026-07-29 13:18:02"</f>
        <v>2026-07-29 13:18:02</v>
      </c>
      <c r="L2000" s="1" t="str">
        <f>"2018-05-11 13:10:44"</f>
        <v>2018-05-11 13:10:44</v>
      </c>
      <c r="M2000" s="1" t="s">
        <v>0</v>
      </c>
      <c r="N2000" s="1" t="s">
        <v>38</v>
      </c>
      <c r="O2000" s="1" t="s">
        <v>46</v>
      </c>
    </row>
    <row r="2001" spans="2:15" x14ac:dyDescent="0.3">
      <c r="B2001" s="1" t="s">
        <v>24</v>
      </c>
      <c r="C2001" s="1" t="str">
        <f>"3차"</f>
        <v>3차</v>
      </c>
      <c r="D2001" s="1" t="str">
        <f>"0427D23D39"</f>
        <v>0427D23D39</v>
      </c>
      <c r="E2001" s="1" t="s">
        <v>10</v>
      </c>
      <c r="F2001" s="1" t="str">
        <f>"10.12.129.206"</f>
        <v>10.12.129.206</v>
      </c>
      <c r="G2001" s="1" t="str">
        <f>"0427D23D"</f>
        <v>0427D23D</v>
      </c>
      <c r="H2001" s="1" t="str">
        <f>"면목 13"</f>
        <v>면목 13</v>
      </c>
      <c r="I2001" s="1" t="s">
        <v>17</v>
      </c>
      <c r="J2001" s="1" t="str">
        <f>"9/9"</f>
        <v>9/9</v>
      </c>
      <c r="K2001" s="1" t="str">
        <f>"2026-07-29 13:18:03"</f>
        <v>2026-07-29 13:18:03</v>
      </c>
      <c r="L2001" s="1" t="str">
        <f>"2018-05-11 12:50:59"</f>
        <v>2018-05-11 12:50:59</v>
      </c>
      <c r="M2001" s="1" t="s">
        <v>0</v>
      </c>
      <c r="N2001" s="1" t="s">
        <v>38</v>
      </c>
      <c r="O2001" s="1" t="s">
        <v>46</v>
      </c>
    </row>
    <row r="2002" spans="2:15" x14ac:dyDescent="0.3">
      <c r="B2002" s="1" t="s">
        <v>24</v>
      </c>
      <c r="C2002" s="1" t="str">
        <f>"4차"</f>
        <v>4차</v>
      </c>
      <c r="D2002" s="1" t="str">
        <f>"0427D23E39"</f>
        <v>0427D23E39</v>
      </c>
      <c r="E2002" s="1" t="s">
        <v>10</v>
      </c>
      <c r="F2002" s="1" t="str">
        <f>"10.12.134.182"</f>
        <v>10.12.134.182</v>
      </c>
      <c r="G2002" s="1" t="str">
        <f>"0427D23E"</f>
        <v>0427D23E</v>
      </c>
      <c r="H2002" s="1" t="str">
        <f>"면목 14"</f>
        <v>면목 14</v>
      </c>
      <c r="I2002" s="1" t="s">
        <v>17</v>
      </c>
      <c r="J2002" s="1" t="str">
        <f>"8/10"</f>
        <v>8/10</v>
      </c>
      <c r="K2002" s="1" t="str">
        <f>"2026-07-29 13:18:02"</f>
        <v>2026-07-29 13:18:02</v>
      </c>
      <c r="L2002" s="1" t="str">
        <f>"2018-08-02 09:21:09"</f>
        <v>2018-08-02 09:21:09</v>
      </c>
      <c r="M2002" s="1" t="s">
        <v>0</v>
      </c>
      <c r="N2002" s="1" t="s">
        <v>38</v>
      </c>
      <c r="O2002" s="1" t="s">
        <v>46</v>
      </c>
    </row>
    <row r="2003" spans="2:15" x14ac:dyDescent="0.3">
      <c r="B2003" s="1" t="s">
        <v>24</v>
      </c>
      <c r="C2003" s="1" t="str">
        <f>"3차"</f>
        <v>3차</v>
      </c>
      <c r="D2003" s="1" t="str">
        <f>"0427D25939"</f>
        <v>0427D25939</v>
      </c>
      <c r="E2003" s="1" t="s">
        <v>10</v>
      </c>
      <c r="F2003" s="1" t="str">
        <f>"10.12.137.232"</f>
        <v>10.12.137.232</v>
      </c>
      <c r="G2003" s="1" t="str">
        <f>"0427D259"</f>
        <v>0427D259</v>
      </c>
      <c r="H2003" s="1" t="str">
        <f>"면목 12"</f>
        <v>면목 12</v>
      </c>
      <c r="I2003" s="1" t="s">
        <v>17</v>
      </c>
      <c r="J2003" s="1" t="str">
        <f>"20/24"</f>
        <v>20/24</v>
      </c>
      <c r="K2003" s="1" t="str">
        <f>"2026-07-29 13:18:01"</f>
        <v>2026-07-29 13:18:01</v>
      </c>
      <c r="L2003" s="1" t="str">
        <f>"2018-05-11 14:38:45"</f>
        <v>2018-05-11 14:38:45</v>
      </c>
      <c r="M2003" s="1" t="s">
        <v>0</v>
      </c>
      <c r="N2003" s="1" t="s">
        <v>38</v>
      </c>
      <c r="O2003" s="1" t="s">
        <v>46</v>
      </c>
    </row>
    <row r="2004" spans="2:15" x14ac:dyDescent="0.3">
      <c r="B2004" s="1" t="s">
        <v>24</v>
      </c>
      <c r="C2004" s="1" t="str">
        <f>"5-2차"</f>
        <v>5-2차</v>
      </c>
      <c r="D2004" s="1" t="str">
        <f>"0427D2825M"</f>
        <v>0427D2825M</v>
      </c>
      <c r="E2004" s="1" t="s">
        <v>10</v>
      </c>
      <c r="F2004" s="1" t="str">
        <f>"fde3:102:1430:9300:0:0:0:7"</f>
        <v>fde3:102:1430:9300:0:0:0:7</v>
      </c>
      <c r="G2004" s="1" t="str">
        <f>"0427D282"</f>
        <v>0427D282</v>
      </c>
      <c r="H2004" s="1" t="str">
        <f>"면목로 SW7A2"</f>
        <v>면목로 SW7A2</v>
      </c>
      <c r="I2004" s="1" t="s">
        <v>15</v>
      </c>
      <c r="J2004" s="1" t="str">
        <f>"34/34"</f>
        <v>34/34</v>
      </c>
      <c r="K2004" s="1" t="str">
        <f>"2026-07-29 14:20:43"</f>
        <v>2026-07-29 14:20:43</v>
      </c>
      <c r="L2004" s="1" t="str">
        <f>"2023-10-12 11:16:06"</f>
        <v>2023-10-12 11:16:06</v>
      </c>
      <c r="M2004" s="1" t="s">
        <v>45</v>
      </c>
      <c r="N2004" s="1" t="s">
        <v>38</v>
      </c>
      <c r="O2004" s="1" t="s">
        <v>46</v>
      </c>
    </row>
    <row r="2005" spans="2:15" x14ac:dyDescent="0.3">
      <c r="B2005" s="1" t="s">
        <v>24</v>
      </c>
      <c r="C2005" s="1" t="str">
        <f>"4차"</f>
        <v>4차</v>
      </c>
      <c r="D2005" s="1" t="str">
        <f>"0427D30839"</f>
        <v>0427D30839</v>
      </c>
      <c r="E2005" s="1" t="s">
        <v>10</v>
      </c>
      <c r="F2005" s="1" t="str">
        <f>"10.12.134.193"</f>
        <v>10.12.134.193</v>
      </c>
      <c r="G2005" s="1" t="str">
        <f>"0427D308"</f>
        <v>0427D308</v>
      </c>
      <c r="H2005" s="1" t="str">
        <f>"면목 16"</f>
        <v>면목 16</v>
      </c>
      <c r="I2005" s="1" t="s">
        <v>17</v>
      </c>
      <c r="J2005" s="1" t="str">
        <f>"7/10"</f>
        <v>7/10</v>
      </c>
      <c r="K2005" s="1" t="str">
        <f>"2026-07-29 13:18:02"</f>
        <v>2026-07-29 13:18:02</v>
      </c>
      <c r="L2005" s="1" t="str">
        <f>"2018-05-11 13:28:15"</f>
        <v>2018-05-11 13:28:15</v>
      </c>
      <c r="M2005" s="1" t="s">
        <v>0</v>
      </c>
      <c r="N2005" s="1" t="s">
        <v>38</v>
      </c>
      <c r="O2005" s="1" t="s">
        <v>46</v>
      </c>
    </row>
    <row r="2006" spans="2:15" x14ac:dyDescent="0.3">
      <c r="B2006" s="1" t="s">
        <v>24</v>
      </c>
      <c r="C2006" s="1" t="str">
        <f>"4차"</f>
        <v>4차</v>
      </c>
      <c r="D2006" s="1" t="str">
        <f>"0427D40141"</f>
        <v>0427D40141</v>
      </c>
      <c r="E2006" s="1" t="s">
        <v>10</v>
      </c>
      <c r="F2006" s="1" t="str">
        <f>"10.14.3.179"</f>
        <v>10.14.3.179</v>
      </c>
      <c r="G2006" s="1" t="str">
        <f>"0427D401"</f>
        <v>0427D401</v>
      </c>
      <c r="H2006" s="1" t="str">
        <f>"상능간 3L2"</f>
        <v>상능간 3L2</v>
      </c>
      <c r="I2006" s="1" t="s">
        <v>17</v>
      </c>
      <c r="J2006" s="1" t="str">
        <f>"31/31"</f>
        <v>31/31</v>
      </c>
      <c r="K2006" s="1" t="str">
        <f>"2026-07-29 13:18:02"</f>
        <v>2026-07-29 13:18:02</v>
      </c>
      <c r="L2006" s="1" t="str">
        <f>"2021-11-05 16:11:23"</f>
        <v>2021-11-05 16:11:23</v>
      </c>
      <c r="M2006" s="1" t="s">
        <v>3</v>
      </c>
      <c r="N2006" s="1" t="s">
        <v>38</v>
      </c>
      <c r="O2006" s="1" t="s">
        <v>46</v>
      </c>
    </row>
    <row r="2007" spans="2:15" x14ac:dyDescent="0.3">
      <c r="B2007" s="1" t="s">
        <v>24</v>
      </c>
      <c r="C2007" s="1" t="str">
        <f>"5-2차"</f>
        <v>5-2차</v>
      </c>
      <c r="D2007" s="1" t="str">
        <f>"0427D4345M"</f>
        <v>0427D4345M</v>
      </c>
      <c r="E2007" s="1" t="s">
        <v>10</v>
      </c>
      <c r="F2007" s="1" t="str">
        <f>"fde1:103:4:6e52:0:0:0:2"</f>
        <v>fde1:103:4:6e52:0:0:0:2</v>
      </c>
      <c r="G2007" s="1" t="str">
        <f>"0427D434"</f>
        <v>0427D434</v>
      </c>
      <c r="H2007" s="1" t="str">
        <f>"동원간 29R7R13L2"</f>
        <v>동원간 29R7R13L2</v>
      </c>
      <c r="I2007" s="1" t="s">
        <v>15</v>
      </c>
      <c r="J2007" s="1" t="str">
        <f>"53/53"</f>
        <v>53/53</v>
      </c>
      <c r="K2007" s="1" t="str">
        <f>"2026-07-29 14:21:10"</f>
        <v>2026-07-29 14:21:10</v>
      </c>
      <c r="L2007" s="1" t="str">
        <f>"2023-11-14 09:51:13"</f>
        <v>2023-11-14 09:51:13</v>
      </c>
      <c r="M2007" s="1" t="s">
        <v>4</v>
      </c>
      <c r="N2007" s="1" t="s">
        <v>38</v>
      </c>
      <c r="O2007" s="1" t="s">
        <v>46</v>
      </c>
    </row>
    <row r="2008" spans="2:15" x14ac:dyDescent="0.3">
      <c r="B2008" s="1" t="s">
        <v>24</v>
      </c>
      <c r="C2008" s="1" t="str">
        <f>"5-2차"</f>
        <v>5-2차</v>
      </c>
      <c r="D2008" s="1" t="str">
        <f>"0427D4425M"</f>
        <v>0427D4425M</v>
      </c>
      <c r="E2008" s="1" t="s">
        <v>10</v>
      </c>
      <c r="F2008" s="1" t="str">
        <f>"fde1:103:4:6e54:0:0:0:2"</f>
        <v>fde1:103:4:6e54:0:0:0:2</v>
      </c>
      <c r="G2008" s="1" t="str">
        <f>"0427D442"</f>
        <v>0427D442</v>
      </c>
      <c r="H2008" s="1" t="str">
        <f>"동원간 29R7R12"</f>
        <v>동원간 29R7R12</v>
      </c>
      <c r="I2008" s="1" t="s">
        <v>15</v>
      </c>
      <c r="J2008" s="1" t="str">
        <f>"86/87"</f>
        <v>86/87</v>
      </c>
      <c r="K2008" s="1" t="str">
        <f>"2026-07-29 14:20:44"</f>
        <v>2026-07-29 14:20:44</v>
      </c>
      <c r="L2008" s="1" t="str">
        <f>"2023-11-17 10:49:57"</f>
        <v>2023-11-17 10:49:57</v>
      </c>
      <c r="M2008" s="1" t="s">
        <v>4</v>
      </c>
      <c r="N2008" s="1" t="s">
        <v>38</v>
      </c>
      <c r="O2008" s="1" t="s">
        <v>46</v>
      </c>
    </row>
    <row r="2009" spans="2:15" x14ac:dyDescent="0.3">
      <c r="B2009" s="1" t="s">
        <v>24</v>
      </c>
      <c r="C2009" s="1" t="str">
        <f>"5-2차"</f>
        <v>5-2차</v>
      </c>
      <c r="D2009" s="1" t="str">
        <f>"0427D4435S"</f>
        <v>0427D4435S</v>
      </c>
      <c r="E2009" s="1" t="s">
        <v>10</v>
      </c>
      <c r="F2009" s="1" t="str">
        <f>"fde1:103:4:6e5b:0:0:0:2"</f>
        <v>fde1:103:4:6e5b:0:0:0:2</v>
      </c>
      <c r="G2009" s="1" t="str">
        <f>"0427D443"</f>
        <v>0427D443</v>
      </c>
      <c r="H2009" s="1" t="str">
        <f>"동원간 29R7R15R1"</f>
        <v>동원간 29R7R15R1</v>
      </c>
      <c r="I2009" s="1" t="s">
        <v>15</v>
      </c>
      <c r="J2009" s="1" t="str">
        <f>"39/39"</f>
        <v>39/39</v>
      </c>
      <c r="K2009" s="1" t="str">
        <f>"2026-07-29 14:20:44"</f>
        <v>2026-07-29 14:20:44</v>
      </c>
      <c r="L2009" s="1" t="str">
        <f>"2023-11-17 10:19:17"</f>
        <v>2023-11-17 10:19:17</v>
      </c>
      <c r="M2009" s="1" t="s">
        <v>4</v>
      </c>
      <c r="N2009" s="1" t="s">
        <v>38</v>
      </c>
      <c r="O2009" s="1" t="s">
        <v>46</v>
      </c>
    </row>
    <row r="2010" spans="2:15" x14ac:dyDescent="0.3">
      <c r="B2010" s="1" t="s">
        <v>24</v>
      </c>
      <c r="C2010" s="1" t="str">
        <f>"5-2차"</f>
        <v>5-2차</v>
      </c>
      <c r="D2010" s="1" t="str">
        <f>"0427D4815S"</f>
        <v>0427D4815S</v>
      </c>
      <c r="E2010" s="1" t="s">
        <v>10</v>
      </c>
      <c r="F2010" s="1" t="str">
        <f>"fde3:102:1430:9300:0:0:0:5"</f>
        <v>fde3:102:1430:9300:0:0:0:5</v>
      </c>
      <c r="G2010" s="1" t="str">
        <f>"0427D481"</f>
        <v>0427D481</v>
      </c>
      <c r="H2010" s="1" t="str">
        <f>"면목로 SW7A4"</f>
        <v>면목로 SW7A4</v>
      </c>
      <c r="I2010" s="1" t="s">
        <v>15</v>
      </c>
      <c r="J2010" s="1" t="str">
        <f>"32/32"</f>
        <v>32/32</v>
      </c>
      <c r="K2010" s="1" t="str">
        <f>"2026-07-29 14:20:44"</f>
        <v>2026-07-29 14:20:44</v>
      </c>
      <c r="L2010" s="1" t="str">
        <f>"2023-10-12 11:14:11"</f>
        <v>2023-10-12 11:14:11</v>
      </c>
      <c r="M2010" s="1" t="s">
        <v>45</v>
      </c>
      <c r="N2010" s="1" t="s">
        <v>38</v>
      </c>
      <c r="O2010" s="1" t="s">
        <v>46</v>
      </c>
    </row>
    <row r="2011" spans="2:15" x14ac:dyDescent="0.3">
      <c r="B2011" s="1" t="s">
        <v>24</v>
      </c>
      <c r="C2011" s="1" t="str">
        <f>"6차"</f>
        <v>6차</v>
      </c>
      <c r="D2011" s="1" t="str">
        <f>"0427D5316S"</f>
        <v>0427D5316S</v>
      </c>
      <c r="E2011" s="1" t="s">
        <v>10</v>
      </c>
      <c r="F2011" s="1" t="str">
        <f>"fde1:103:4:926e:0:0:0:2"</f>
        <v>fde1:103:4:926e:0:0:0:2</v>
      </c>
      <c r="G2011" s="1" t="str">
        <f>"0427D531"</f>
        <v>0427D531</v>
      </c>
      <c r="H2011" s="1" t="str">
        <f>"동원간 29R7R7L2R4"</f>
        <v>동원간 29R7R7L2R4</v>
      </c>
      <c r="I2011" s="1" t="s">
        <v>15</v>
      </c>
      <c r="J2011" s="1" t="str">
        <f>"225/225"</f>
        <v>225/225</v>
      </c>
      <c r="K2011" s="1" t="str">
        <f>"2026-07-29 14:20:45"</f>
        <v>2026-07-29 14:20:45</v>
      </c>
      <c r="L2011" s="1" t="str">
        <f>"2025-02-21 17:22:50"</f>
        <v>2025-02-21 17:22:50</v>
      </c>
      <c r="M2011" s="1" t="s">
        <v>4</v>
      </c>
      <c r="N2011" s="1" t="s">
        <v>38</v>
      </c>
      <c r="O2011" s="1" t="s">
        <v>46</v>
      </c>
    </row>
    <row r="2012" spans="2:15" x14ac:dyDescent="0.3">
      <c r="B2012" s="1" t="s">
        <v>24</v>
      </c>
      <c r="C2012" s="1" t="str">
        <f>"5-2차"</f>
        <v>5-2차</v>
      </c>
      <c r="D2012" s="1" t="str">
        <f>"0427D5415M"</f>
        <v>0427D5415M</v>
      </c>
      <c r="E2012" s="1" t="s">
        <v>10</v>
      </c>
      <c r="F2012" s="1" t="str">
        <f>"fde1:103:4:6e5c:0:0:0:2"</f>
        <v>fde1:103:4:6e5c:0:0:0:2</v>
      </c>
      <c r="G2012" s="1" t="str">
        <f>"0427D541"</f>
        <v>0427D541</v>
      </c>
      <c r="H2012" s="1" t="str">
        <f>"동원간 29R7R9"</f>
        <v>동원간 29R7R9</v>
      </c>
      <c r="I2012" s="1" t="s">
        <v>15</v>
      </c>
      <c r="J2012" s="1" t="str">
        <f>"72/74"</f>
        <v>72/74</v>
      </c>
      <c r="K2012" s="1" t="str">
        <f>"2026-07-29 14:20:44"</f>
        <v>2026-07-29 14:20:44</v>
      </c>
      <c r="L2012" s="1" t="str">
        <f>"2023-11-17 09:05:46"</f>
        <v>2023-11-17 09:05:46</v>
      </c>
      <c r="M2012" s="1" t="s">
        <v>4</v>
      </c>
      <c r="N2012" s="1" t="s">
        <v>38</v>
      </c>
      <c r="O2012" s="1" t="s">
        <v>46</v>
      </c>
    </row>
    <row r="2013" spans="2:15" x14ac:dyDescent="0.3">
      <c r="B2013" s="1" t="s">
        <v>24</v>
      </c>
      <c r="C2013" s="1" t="str">
        <f>"5-2차"</f>
        <v>5-2차</v>
      </c>
      <c r="D2013" s="1" t="str">
        <f>"0427D5625S"</f>
        <v>0427D5625S</v>
      </c>
      <c r="E2013" s="1" t="s">
        <v>10</v>
      </c>
      <c r="F2013" s="1" t="str">
        <f>"fde1:103:4:6e5e:0:0:0:2"</f>
        <v>fde1:103:4:6e5e:0:0:0:2</v>
      </c>
      <c r="G2013" s="1" t="str">
        <f>"0427D562"</f>
        <v>0427D562</v>
      </c>
      <c r="H2013" s="1" t="str">
        <f>"동원간 29R7R7R7"</f>
        <v>동원간 29R7R7R7</v>
      </c>
      <c r="I2013" s="1" t="s">
        <v>15</v>
      </c>
      <c r="J2013" s="1" t="str">
        <f>"37/37"</f>
        <v>37/37</v>
      </c>
      <c r="K2013" s="1" t="str">
        <f>"2026-07-29 14:20:44"</f>
        <v>2026-07-29 14:20:44</v>
      </c>
      <c r="L2013" s="1" t="str">
        <f>"2023-11-17 09:41:10"</f>
        <v>2023-11-17 09:41:10</v>
      </c>
      <c r="M2013" s="1" t="s">
        <v>4</v>
      </c>
      <c r="N2013" s="1" t="s">
        <v>38</v>
      </c>
      <c r="O2013" s="1" t="s">
        <v>46</v>
      </c>
    </row>
    <row r="2014" spans="2:15" x14ac:dyDescent="0.3">
      <c r="B2014" s="1" t="s">
        <v>24</v>
      </c>
      <c r="C2014" s="1" t="str">
        <f>"5-2차"</f>
        <v>5-2차</v>
      </c>
      <c r="D2014" s="1" t="str">
        <f>"0427D5645M"</f>
        <v>0427D5645M</v>
      </c>
      <c r="E2014" s="1" t="s">
        <v>10</v>
      </c>
      <c r="F2014" s="1" t="str">
        <f>"fde1:103:4:6e5f:0:0:0:2"</f>
        <v>fde1:103:4:6e5f:0:0:0:2</v>
      </c>
      <c r="G2014" s="1" t="str">
        <f>"0427D564"</f>
        <v>0427D564</v>
      </c>
      <c r="H2014" s="1" t="str">
        <f>"동원간 29R7R22"</f>
        <v>동원간 29R7R22</v>
      </c>
      <c r="I2014" s="1" t="s">
        <v>15</v>
      </c>
      <c r="J2014" s="1" t="str">
        <f>"100/100"</f>
        <v>100/100</v>
      </c>
      <c r="K2014" s="1" t="str">
        <f>"2026-07-29 14:20:45"</f>
        <v>2026-07-29 14:20:45</v>
      </c>
      <c r="L2014" s="1" t="str">
        <f>"2023-11-17 10:10:25"</f>
        <v>2023-11-17 10:10:25</v>
      </c>
      <c r="M2014" s="1" t="s">
        <v>4</v>
      </c>
      <c r="N2014" s="1" t="s">
        <v>38</v>
      </c>
      <c r="O2014" s="1" t="s">
        <v>46</v>
      </c>
    </row>
    <row r="2015" spans="2:15" x14ac:dyDescent="0.3">
      <c r="B2015" s="1" t="s">
        <v>24</v>
      </c>
      <c r="C2015" s="1" t="str">
        <f>"5-2차"</f>
        <v>5-2차</v>
      </c>
      <c r="D2015" s="1" t="str">
        <f>"0427D5715M"</f>
        <v>0427D5715M</v>
      </c>
      <c r="E2015" s="1" t="s">
        <v>10</v>
      </c>
      <c r="F2015" s="1" t="str">
        <f>"fde1:103:4:6e61:0:0:0:2"</f>
        <v>fde1:103:4:6e61:0:0:0:2</v>
      </c>
      <c r="G2015" s="1" t="str">
        <f>"0427D571"</f>
        <v>0427D571</v>
      </c>
      <c r="H2015" s="1" t="str">
        <f>"동원간 29R7R24"</f>
        <v>동원간 29R7R24</v>
      </c>
      <c r="I2015" s="1" t="s">
        <v>15</v>
      </c>
      <c r="J2015" s="1" t="str">
        <f>"64/64"</f>
        <v>64/64</v>
      </c>
      <c r="K2015" s="1" t="str">
        <f>"2026-07-29 14:20:47"</f>
        <v>2026-07-29 14:20:47</v>
      </c>
      <c r="L2015" s="1" t="str">
        <f>"2023-11-17 10:05:25"</f>
        <v>2023-11-17 10:05:25</v>
      </c>
      <c r="M2015" s="1" t="s">
        <v>4</v>
      </c>
      <c r="N2015" s="1" t="s">
        <v>38</v>
      </c>
      <c r="O2015" s="1" t="s">
        <v>46</v>
      </c>
    </row>
    <row r="2016" spans="2:15" x14ac:dyDescent="0.3">
      <c r="B2016" s="1" t="s">
        <v>24</v>
      </c>
      <c r="C2016" s="1" t="str">
        <f>"5-2차"</f>
        <v>5-2차</v>
      </c>
      <c r="D2016" s="1" t="str">
        <f>"0427D5825M"</f>
        <v>0427D5825M</v>
      </c>
      <c r="E2016" s="1" t="s">
        <v>10</v>
      </c>
      <c r="F2016" s="1" t="str">
        <f>"fde3:102:1430:9300:0:0:0:6"</f>
        <v>fde3:102:1430:9300:0:0:0:6</v>
      </c>
      <c r="G2016" s="1" t="str">
        <f>"0427D582"</f>
        <v>0427D582</v>
      </c>
      <c r="H2016" s="1" t="str">
        <f>"면목로 SW7A6"</f>
        <v>면목로 SW7A6</v>
      </c>
      <c r="I2016" s="1" t="s">
        <v>15</v>
      </c>
      <c r="J2016" s="1" t="str">
        <f>"39/39"</f>
        <v>39/39</v>
      </c>
      <c r="K2016" s="1" t="str">
        <f>"2026-07-29 14:20:44"</f>
        <v>2026-07-29 14:20:44</v>
      </c>
      <c r="L2016" s="1" t="str">
        <f>"2023-10-12 11:14:52"</f>
        <v>2023-10-12 11:14:52</v>
      </c>
      <c r="M2016" s="1" t="s">
        <v>45</v>
      </c>
      <c r="N2016" s="1" t="s">
        <v>38</v>
      </c>
      <c r="O2016" s="1" t="s">
        <v>46</v>
      </c>
    </row>
    <row r="2017" spans="2:15" x14ac:dyDescent="0.3">
      <c r="B2017" s="1" t="s">
        <v>24</v>
      </c>
      <c r="C2017" s="1" t="str">
        <f>"1차"</f>
        <v>1차</v>
      </c>
      <c r="D2017" s="1" t="str">
        <f>"0427D62101"</f>
        <v>0427D62101</v>
      </c>
      <c r="E2017" s="1" t="s">
        <v>10</v>
      </c>
      <c r="F2017" s="1" t="str">
        <f>"10.89.247.157"</f>
        <v>10.89.247.157</v>
      </c>
      <c r="G2017" s="1" t="str">
        <f>"0427D621"</f>
        <v>0427D621</v>
      </c>
      <c r="H2017" s="1" t="str">
        <f>"동원간 29R7R7L7"</f>
        <v>동원간 29R7R7L7</v>
      </c>
      <c r="I2017" s="1" t="s">
        <v>8</v>
      </c>
      <c r="J2017" s="1" t="str">
        <f>"30/30"</f>
        <v>30/30</v>
      </c>
      <c r="K2017" s="1" t="str">
        <f>"2026-07-29 13:18:05"</f>
        <v>2026-07-29 13:18:05</v>
      </c>
      <c r="L2017" s="1" t="str">
        <f>"2014-10-29 14:10:59"</f>
        <v>2014-10-29 14:10:59</v>
      </c>
      <c r="M2017" s="1" t="s">
        <v>45</v>
      </c>
      <c r="N2017" s="1" t="s">
        <v>38</v>
      </c>
      <c r="O2017" s="1" t="s">
        <v>46</v>
      </c>
    </row>
    <row r="2018" spans="2:15" x14ac:dyDescent="0.3">
      <c r="B2018" s="1" t="s">
        <v>24</v>
      </c>
      <c r="C2018" s="1" t="str">
        <f>"5-2차"</f>
        <v>5-2차</v>
      </c>
      <c r="D2018" s="1" t="str">
        <f>"0427D6535S"</f>
        <v>0427D6535S</v>
      </c>
      <c r="E2018" s="1" t="s">
        <v>10</v>
      </c>
      <c r="F2018" s="1" t="str">
        <f>"fde1:103:4:6e59:0:0:0:2"</f>
        <v>fde1:103:4:6e59:0:0:0:2</v>
      </c>
      <c r="G2018" s="1" t="str">
        <f>"0427D653"</f>
        <v>0427D653</v>
      </c>
      <c r="H2018" s="1" t="str">
        <f>"동원간 29R7R7R2L1"</f>
        <v>동원간 29R7R7R2L1</v>
      </c>
      <c r="I2018" s="1" t="s">
        <v>15</v>
      </c>
      <c r="J2018" s="1" t="str">
        <f>"33/33"</f>
        <v>33/33</v>
      </c>
      <c r="K2018" s="1" t="str">
        <f>"2026-07-29 14:21:20"</f>
        <v>2026-07-29 14:21:20</v>
      </c>
      <c r="L2018" s="1" t="str">
        <f>"2023-11-17 09:10:30"</f>
        <v>2023-11-17 09:10:30</v>
      </c>
      <c r="M2018" s="1" t="s">
        <v>4</v>
      </c>
      <c r="N2018" s="1" t="s">
        <v>38</v>
      </c>
      <c r="O2018" s="1" t="s">
        <v>46</v>
      </c>
    </row>
    <row r="2019" spans="2:15" x14ac:dyDescent="0.3">
      <c r="B2019" s="1" t="s">
        <v>24</v>
      </c>
      <c r="C2019" s="1" t="str">
        <f>"5-2차"</f>
        <v>5-2차</v>
      </c>
      <c r="D2019" s="1" t="str">
        <f>"0427D6725S"</f>
        <v>0427D6725S</v>
      </c>
      <c r="E2019" s="1" t="s">
        <v>10</v>
      </c>
      <c r="F2019" s="1" t="str">
        <f>"fde1:103:4:6e58:0:0:0:2"</f>
        <v>fde1:103:4:6e58:0:0:0:2</v>
      </c>
      <c r="G2019" s="1" t="str">
        <f>"0427D672"</f>
        <v>0427D672</v>
      </c>
      <c r="H2019" s="1" t="str">
        <f>"동원간 29R7R7R6"</f>
        <v>동원간 29R7R7R6</v>
      </c>
      <c r="I2019" s="1" t="s">
        <v>15</v>
      </c>
      <c r="J2019" s="1" t="str">
        <f>"28/28"</f>
        <v>28/28</v>
      </c>
      <c r="K2019" s="1" t="str">
        <f>"2026-07-29 14:20:46"</f>
        <v>2026-07-29 14:20:46</v>
      </c>
      <c r="L2019" s="1" t="str">
        <f>"2023-11-17 09:38:14"</f>
        <v>2023-11-17 09:38:14</v>
      </c>
      <c r="M2019" s="1" t="s">
        <v>4</v>
      </c>
      <c r="N2019" s="1" t="s">
        <v>38</v>
      </c>
      <c r="O2019" s="1" t="s">
        <v>46</v>
      </c>
    </row>
    <row r="2020" spans="2:15" x14ac:dyDescent="0.3">
      <c r="B2020" s="1" t="s">
        <v>24</v>
      </c>
      <c r="C2020" s="1" t="str">
        <f>"5-2차"</f>
        <v>5-2차</v>
      </c>
      <c r="D2020" s="1" t="str">
        <f>"0427D6845M"</f>
        <v>0427D6845M</v>
      </c>
      <c r="E2020" s="1" t="s">
        <v>10</v>
      </c>
      <c r="F2020" s="1" t="str">
        <f>"fde1:103:4:6e5d:0:0:0:2"</f>
        <v>fde1:103:4:6e5d:0:0:0:2</v>
      </c>
      <c r="G2020" s="1" t="str">
        <f>"0427D684"</f>
        <v>0427D684</v>
      </c>
      <c r="H2020" s="1" t="str">
        <f>"면목로 SW7A9"</f>
        <v>면목로 SW7A9</v>
      </c>
      <c r="I2020" s="1" t="s">
        <v>15</v>
      </c>
      <c r="J2020" s="1" t="str">
        <f>"50/50"</f>
        <v>50/50</v>
      </c>
      <c r="K2020" s="1" t="str">
        <f>"2026-07-29 14:20:48"</f>
        <v>2026-07-29 14:20:48</v>
      </c>
      <c r="L2020" s="1" t="str">
        <f>"2023-11-17 09:57:03"</f>
        <v>2023-11-17 09:57:03</v>
      </c>
      <c r="M2020" s="1" t="s">
        <v>4</v>
      </c>
      <c r="N2020" s="1" t="s">
        <v>38</v>
      </c>
      <c r="O2020" s="1" t="s">
        <v>46</v>
      </c>
    </row>
    <row r="2021" spans="2:15" x14ac:dyDescent="0.3">
      <c r="B2021" s="1" t="s">
        <v>24</v>
      </c>
      <c r="C2021" s="1" t="str">
        <f>"5-2차"</f>
        <v>5-2차</v>
      </c>
      <c r="D2021" s="1" t="str">
        <f>"0427D6915S"</f>
        <v>0427D6915S</v>
      </c>
      <c r="E2021" s="1" t="s">
        <v>10</v>
      </c>
      <c r="F2021" s="1" t="str">
        <f>"fde3:102:1430:9300:0:0:0:3"</f>
        <v>fde3:102:1430:9300:0:0:0:3</v>
      </c>
      <c r="G2021" s="1" t="str">
        <f>"0427D691"</f>
        <v>0427D691</v>
      </c>
      <c r="H2021" s="1" t="str">
        <f>"면목로 SW7A12"</f>
        <v>면목로 SW7A12</v>
      </c>
      <c r="I2021" s="1" t="s">
        <v>15</v>
      </c>
      <c r="J2021" s="1" t="str">
        <f>"33/33"</f>
        <v>33/33</v>
      </c>
      <c r="K2021" s="1" t="str">
        <f>"2026-07-29 14:20:45"</f>
        <v>2026-07-29 14:20:45</v>
      </c>
      <c r="L2021" s="1" t="str">
        <f>"2023-10-12 11:12:01"</f>
        <v>2023-10-12 11:12:01</v>
      </c>
      <c r="M2021" s="1" t="s">
        <v>45</v>
      </c>
      <c r="N2021" s="1" t="s">
        <v>38</v>
      </c>
      <c r="O2021" s="1" t="s">
        <v>46</v>
      </c>
    </row>
    <row r="2022" spans="2:15" x14ac:dyDescent="0.3">
      <c r="B2022" s="1" t="s">
        <v>24</v>
      </c>
      <c r="C2022" s="1" t="str">
        <f>"5-2차"</f>
        <v>5-2차</v>
      </c>
      <c r="D2022" s="1" t="str">
        <f>"0427D6925S"</f>
        <v>0427D6925S</v>
      </c>
      <c r="E2022" s="1" t="s">
        <v>10</v>
      </c>
      <c r="F2022" s="1" t="str">
        <f>"fde3:102:1430:9300:0:0:0:4"</f>
        <v>fde3:102:1430:9300:0:0:0:4</v>
      </c>
      <c r="G2022" s="1" t="str">
        <f>"0427D692"</f>
        <v>0427D692</v>
      </c>
      <c r="H2022" s="1" t="str">
        <f>"면목로 SW7A8L1"</f>
        <v>면목로 SW7A8L1</v>
      </c>
      <c r="I2022" s="1" t="s">
        <v>15</v>
      </c>
      <c r="J2022" s="1" t="str">
        <f>"5/5"</f>
        <v>5/5</v>
      </c>
      <c r="K2022" s="1" t="str">
        <f>"2026-07-29 14:20:45"</f>
        <v>2026-07-29 14:20:45</v>
      </c>
      <c r="L2022" s="1" t="str">
        <f>"2023-10-12 11:18:46"</f>
        <v>2023-10-12 11:18:46</v>
      </c>
      <c r="M2022" s="1" t="s">
        <v>45</v>
      </c>
      <c r="N2022" s="1" t="s">
        <v>38</v>
      </c>
      <c r="O2022" s="1" t="s">
        <v>46</v>
      </c>
    </row>
    <row r="2023" spans="2:15" x14ac:dyDescent="0.3">
      <c r="B2023" s="1" t="s">
        <v>24</v>
      </c>
      <c r="C2023" s="1" t="str">
        <f>"5-1차"</f>
        <v>5-1차</v>
      </c>
      <c r="D2023" s="1" t="str">
        <f>"0427D7615M"</f>
        <v>0427D7615M</v>
      </c>
      <c r="E2023" s="1" t="s">
        <v>10</v>
      </c>
      <c r="F2023" s="1" t="str">
        <f>"fde2:104:0:121:0:0:0:2"</f>
        <v>fde2:104:0:121:0:0:0:2</v>
      </c>
      <c r="G2023" s="1" t="str">
        <f>"0427D761"</f>
        <v>0427D761</v>
      </c>
      <c r="H2023" s="1" t="str">
        <f>"동원간 29R7R7R3"</f>
        <v>동원간 29R7R7R3</v>
      </c>
      <c r="I2023" s="1" t="s">
        <v>15</v>
      </c>
      <c r="J2023" s="1" t="str">
        <f>"35/35"</f>
        <v>35/35</v>
      </c>
      <c r="K2023" s="1" t="str">
        <f>"2026-07-29 14:20:46"</f>
        <v>2026-07-29 14:20:46</v>
      </c>
      <c r="L2023" s="1" t="str">
        <f>"2022-09-30 09:43:56"</f>
        <v>2022-09-30 09:43:56</v>
      </c>
      <c r="M2023" s="1" t="s">
        <v>42</v>
      </c>
      <c r="N2023" s="1" t="s">
        <v>38</v>
      </c>
      <c r="O2023" s="1" t="s">
        <v>46</v>
      </c>
    </row>
    <row r="2024" spans="2:15" x14ac:dyDescent="0.3">
      <c r="B2024" s="1" t="s">
        <v>24</v>
      </c>
      <c r="C2024" s="1" t="str">
        <f>"5-2차"</f>
        <v>5-2차</v>
      </c>
      <c r="D2024" s="1" t="str">
        <f>"0427D7725S"</f>
        <v>0427D7725S</v>
      </c>
      <c r="E2024" s="1" t="s">
        <v>10</v>
      </c>
      <c r="F2024" s="1" t="str">
        <f>"fde1:103:4:6e60:0:0:0:2"</f>
        <v>fde1:103:4:6e60:0:0:0:2</v>
      </c>
      <c r="G2024" s="1" t="str">
        <f>"0427D772"</f>
        <v>0427D772</v>
      </c>
      <c r="H2024" s="1" t="str">
        <f>"동원간 29R7R7R4"</f>
        <v>동원간 29R7R7R4</v>
      </c>
      <c r="I2024" s="1" t="s">
        <v>15</v>
      </c>
      <c r="J2024" s="1" t="str">
        <f>"52/52"</f>
        <v>52/52</v>
      </c>
      <c r="K2024" s="1" t="str">
        <f>"2026-07-29 14:20:23"</f>
        <v>2026-07-29 14:20:23</v>
      </c>
      <c r="L2024" s="1" t="str">
        <f>"2023-11-17 09:32:15"</f>
        <v>2023-11-17 09:32:15</v>
      </c>
      <c r="M2024" s="1" t="s">
        <v>4</v>
      </c>
      <c r="N2024" s="1" t="s">
        <v>38</v>
      </c>
      <c r="O2024" s="1" t="s">
        <v>46</v>
      </c>
    </row>
    <row r="2025" spans="2:15" x14ac:dyDescent="0.3">
      <c r="B2025" s="1" t="s">
        <v>24</v>
      </c>
      <c r="C2025" s="1" t="str">
        <f>"5-2차"</f>
        <v>5-2차</v>
      </c>
      <c r="D2025" s="1" t="str">
        <f>"0427D7835S"</f>
        <v>0427D7835S</v>
      </c>
      <c r="E2025" s="1" t="s">
        <v>10</v>
      </c>
      <c r="F2025" s="1" t="str">
        <f>"fde3:102:1430:9300:0:0:0:2"</f>
        <v>fde3:102:1430:9300:0:0:0:2</v>
      </c>
      <c r="G2025" s="1" t="str">
        <f>"0427D783"</f>
        <v>0427D783</v>
      </c>
      <c r="H2025" s="1" t="str">
        <f>"면목로 SW7A10R1"</f>
        <v>면목로 SW7A10R1</v>
      </c>
      <c r="I2025" s="1" t="s">
        <v>15</v>
      </c>
      <c r="J2025" s="1" t="str">
        <f>"39/39"</f>
        <v>39/39</v>
      </c>
      <c r="K2025" s="1" t="str">
        <f>"2026-07-29 14:20:45"</f>
        <v>2026-07-29 14:20:45</v>
      </c>
      <c r="L2025" s="1" t="str">
        <f>"2023-10-12 11:10:57"</f>
        <v>2023-10-12 11:10:57</v>
      </c>
      <c r="M2025" s="1" t="s">
        <v>45</v>
      </c>
      <c r="N2025" s="1" t="s">
        <v>38</v>
      </c>
      <c r="O2025" s="1" t="s">
        <v>46</v>
      </c>
    </row>
    <row r="2026" spans="2:15" x14ac:dyDescent="0.3">
      <c r="B2026" s="1" t="s">
        <v>24</v>
      </c>
      <c r="C2026" s="1" t="str">
        <f>"5-2차"</f>
        <v>5-2차</v>
      </c>
      <c r="D2026" s="1" t="str">
        <f>"0427D7925M"</f>
        <v>0427D7925M</v>
      </c>
      <c r="E2026" s="1" t="s">
        <v>10</v>
      </c>
      <c r="F2026" s="1" t="str">
        <f>"fde1:103:4:6e5a:0:0:0:2"</f>
        <v>fde1:103:4:6e5a:0:0:0:2</v>
      </c>
      <c r="G2026" s="1" t="str">
        <f>"0427D792"</f>
        <v>0427D792</v>
      </c>
      <c r="H2026" s="1" t="str">
        <f>"동원간 29R5R10"</f>
        <v>동원간 29R5R10</v>
      </c>
      <c r="I2026" s="1" t="s">
        <v>15</v>
      </c>
      <c r="J2026" s="1" t="str">
        <f>"23/23"</f>
        <v>23/23</v>
      </c>
      <c r="K2026" s="1" t="str">
        <f>"2026-07-29 14:20:45"</f>
        <v>2026-07-29 14:20:45</v>
      </c>
      <c r="L2026" s="1" t="str">
        <f>"2023-11-17 09:48:54"</f>
        <v>2023-11-17 09:48:54</v>
      </c>
      <c r="M2026" s="1" t="s">
        <v>4</v>
      </c>
      <c r="N2026" s="1" t="s">
        <v>38</v>
      </c>
      <c r="O2026" s="1" t="s">
        <v>46</v>
      </c>
    </row>
    <row r="2027" spans="2:15" x14ac:dyDescent="0.3">
      <c r="B2027" s="1" t="s">
        <v>24</v>
      </c>
      <c r="C2027" s="1" t="str">
        <f>"1차"</f>
        <v>1차</v>
      </c>
      <c r="D2027" s="1" t="str">
        <f>"0427D80201"</f>
        <v>0427D80201</v>
      </c>
      <c r="E2027" s="1" t="s">
        <v>10</v>
      </c>
      <c r="F2027" s="1" t="str">
        <f>"10.12.137.15"</f>
        <v>10.12.137.15</v>
      </c>
      <c r="G2027" s="1" t="str">
        <f>"0427D802"</f>
        <v>0427D802</v>
      </c>
      <c r="H2027" s="1" t="str">
        <f>"상능간 3L1R4L3"</f>
        <v>상능간 3L1R4L3</v>
      </c>
      <c r="I2027" s="1" t="s">
        <v>8</v>
      </c>
      <c r="J2027" s="1" t="str">
        <f>"21/21"</f>
        <v>21/21</v>
      </c>
      <c r="K2027" s="1" t="str">
        <f>"2026-07-29 13:18:04"</f>
        <v>2026-07-29 13:18:04</v>
      </c>
      <c r="L2027" s="1" t="str">
        <f>"2014-09-28 09:27:10"</f>
        <v>2014-09-28 09:27:10</v>
      </c>
      <c r="M2027" s="1" t="s">
        <v>0</v>
      </c>
      <c r="N2027" s="1" t="s">
        <v>38</v>
      </c>
      <c r="O2027" s="1" t="s">
        <v>46</v>
      </c>
    </row>
    <row r="2028" spans="2:15" x14ac:dyDescent="0.3">
      <c r="B2028" s="1" t="s">
        <v>24</v>
      </c>
      <c r="C2028" s="1" t="str">
        <f>"1차"</f>
        <v>1차</v>
      </c>
      <c r="D2028" s="1" t="str">
        <f>"0427D81601"</f>
        <v>0427D81601</v>
      </c>
      <c r="E2028" s="1" t="s">
        <v>10</v>
      </c>
      <c r="F2028" s="1" t="str">
        <f>"10.89.247.73"</f>
        <v>10.89.247.73</v>
      </c>
      <c r="G2028" s="1" t="str">
        <f>"0427D816"</f>
        <v>0427D816</v>
      </c>
      <c r="H2028" s="1" t="str">
        <f>"휘창간 1L3R8"</f>
        <v>휘창간 1L3R8</v>
      </c>
      <c r="I2028" s="1" t="s">
        <v>8</v>
      </c>
      <c r="J2028" s="1" t="str">
        <f>"18/18"</f>
        <v>18/18</v>
      </c>
      <c r="K2028" s="1" t="str">
        <f>"2026-07-29 13:18:03"</f>
        <v>2026-07-29 13:18:03</v>
      </c>
      <c r="L2028" s="1" t="str">
        <f>"2014-09-28 09:27:30"</f>
        <v>2014-09-28 09:27:30</v>
      </c>
      <c r="M2028" s="1" t="s">
        <v>45</v>
      </c>
      <c r="N2028" s="1" t="s">
        <v>38</v>
      </c>
      <c r="O2028" s="1" t="s">
        <v>46</v>
      </c>
    </row>
    <row r="2029" spans="2:15" x14ac:dyDescent="0.3">
      <c r="B2029" s="1" t="s">
        <v>24</v>
      </c>
      <c r="C2029" s="1" t="str">
        <f>"6차"</f>
        <v>6차</v>
      </c>
      <c r="D2029" s="1" t="str">
        <f>"0427D8426S"</f>
        <v>0427D8426S</v>
      </c>
      <c r="E2029" s="1" t="s">
        <v>10</v>
      </c>
      <c r="F2029" s="1" t="str">
        <f>"fde1:103:4:c6bc:0:0:0:2"</f>
        <v>fde1:103:4:c6bc:0:0:0:2</v>
      </c>
      <c r="G2029" s="1" t="str">
        <f>"0427D842"</f>
        <v>0427D842</v>
      </c>
      <c r="H2029" s="1" t="str">
        <f>"동원간 29R7R7L2L1"</f>
        <v>동원간 29R7R7L2L1</v>
      </c>
      <c r="I2029" s="1" t="s">
        <v>15</v>
      </c>
      <c r="J2029" s="1" t="str">
        <f>"71/71"</f>
        <v>71/71</v>
      </c>
      <c r="K2029" s="1" t="str">
        <f>"2026-07-29 14:20:48"</f>
        <v>2026-07-29 14:20:48</v>
      </c>
      <c r="L2029" s="1" t="str">
        <f>"2024-11-07 13:15:34"</f>
        <v>2024-11-07 13:15:34</v>
      </c>
      <c r="M2029" s="1" t="s">
        <v>4</v>
      </c>
      <c r="N2029" s="1" t="s">
        <v>38</v>
      </c>
      <c r="O2029" s="1" t="s">
        <v>46</v>
      </c>
    </row>
    <row r="2030" spans="2:15" x14ac:dyDescent="0.3">
      <c r="B2030" s="1" t="s">
        <v>24</v>
      </c>
      <c r="C2030" s="1" t="str">
        <f>"4차"</f>
        <v>4차</v>
      </c>
      <c r="D2030" s="1" t="str">
        <f>"0427D84342"</f>
        <v>0427D84342</v>
      </c>
      <c r="E2030" s="1" t="s">
        <v>10</v>
      </c>
      <c r="F2030" s="1" t="str">
        <f>"10.89.247.152"</f>
        <v>10.89.247.152</v>
      </c>
      <c r="G2030" s="1" t="str">
        <f>"0427D843"</f>
        <v>0427D843</v>
      </c>
      <c r="H2030" s="1" t="str">
        <f>"동원간 29R7R7L2L2"</f>
        <v>동원간 29R7R7L2L2</v>
      </c>
      <c r="I2030" s="1" t="s">
        <v>8</v>
      </c>
      <c r="J2030" s="1" t="str">
        <f>"29/29"</f>
        <v>29/29</v>
      </c>
      <c r="K2030" s="1" t="str">
        <f>"2026-07-29 13:18:03"</f>
        <v>2026-07-29 13:18:03</v>
      </c>
      <c r="L2030" s="1" t="str">
        <f>"2025-03-18 08:59:16"</f>
        <v>2025-03-18 08:59:16</v>
      </c>
      <c r="M2030" s="1" t="s">
        <v>45</v>
      </c>
      <c r="N2030" s="1" t="s">
        <v>38</v>
      </c>
      <c r="O2030" s="1" t="s">
        <v>46</v>
      </c>
    </row>
    <row r="2031" spans="2:15" x14ac:dyDescent="0.3">
      <c r="B2031" s="1" t="s">
        <v>24</v>
      </c>
      <c r="C2031" s="1" t="str">
        <f>"5-2차"</f>
        <v>5-2차</v>
      </c>
      <c r="D2031" s="1" t="str">
        <f>"0427D8515S"</f>
        <v>0427D8515S</v>
      </c>
      <c r="E2031" s="1" t="s">
        <v>10</v>
      </c>
      <c r="F2031" s="1" t="str">
        <f>"fde3:102:1430:9600:0:0:0:5"</f>
        <v>fde3:102:1430:9600:0:0:0:5</v>
      </c>
      <c r="G2031" s="1" t="str">
        <f>"0427D851"</f>
        <v>0427D851</v>
      </c>
      <c r="H2031" s="1" t="str">
        <f>"동원간 29R7R6"</f>
        <v>동원간 29R7R6</v>
      </c>
      <c r="I2031" s="1" t="s">
        <v>15</v>
      </c>
      <c r="J2031" s="1" t="str">
        <f>"48/53"</f>
        <v>48/53</v>
      </c>
      <c r="K2031" s="1" t="str">
        <f>"2026-07-29 14:20:45"</f>
        <v>2026-07-29 14:20:45</v>
      </c>
      <c r="L2031" s="1" t="str">
        <f>"2024-01-08 11:05:44"</f>
        <v>2024-01-08 11:05:44</v>
      </c>
      <c r="M2031" s="1" t="s">
        <v>45</v>
      </c>
      <c r="N2031" s="1" t="s">
        <v>38</v>
      </c>
      <c r="O2031" s="1" t="s">
        <v>46</v>
      </c>
    </row>
    <row r="2032" spans="2:15" x14ac:dyDescent="0.3">
      <c r="B2032" s="1" t="s">
        <v>24</v>
      </c>
      <c r="C2032" s="1" t="str">
        <f>"5-2차"</f>
        <v>5-2차</v>
      </c>
      <c r="D2032" s="1" t="str">
        <f>"0427D8525S"</f>
        <v>0427D8525S</v>
      </c>
      <c r="E2032" s="1" t="s">
        <v>10</v>
      </c>
      <c r="F2032" s="1" t="str">
        <f>"fde3:102:1430:9600:0:0:0:4"</f>
        <v>fde3:102:1430:9600:0:0:0:4</v>
      </c>
      <c r="G2032" s="1" t="str">
        <f>"0427D852"</f>
        <v>0427D852</v>
      </c>
      <c r="H2032" s="1" t="str">
        <f>"동원간 29R7R5"</f>
        <v>동원간 29R7R5</v>
      </c>
      <c r="I2032" s="1" t="s">
        <v>15</v>
      </c>
      <c r="J2032" s="1" t="str">
        <f>"18/18"</f>
        <v>18/18</v>
      </c>
      <c r="K2032" s="1" t="str">
        <f>"2026-07-29 14:20:48"</f>
        <v>2026-07-29 14:20:48</v>
      </c>
      <c r="L2032" s="1" t="str">
        <f>"2024-01-08 11:05:21"</f>
        <v>2024-01-08 11:05:21</v>
      </c>
      <c r="M2032" s="1" t="s">
        <v>45</v>
      </c>
      <c r="N2032" s="1" t="s">
        <v>38</v>
      </c>
      <c r="O2032" s="1" t="s">
        <v>46</v>
      </c>
    </row>
    <row r="2033" spans="2:15" x14ac:dyDescent="0.3">
      <c r="B2033" s="1" t="s">
        <v>24</v>
      </c>
      <c r="C2033" s="1" t="str">
        <f>"5-1차"</f>
        <v>5-1차</v>
      </c>
      <c r="D2033" s="1" t="str">
        <f>"0427D8545S"</f>
        <v>0427D8545S</v>
      </c>
      <c r="E2033" s="1" t="s">
        <v>10</v>
      </c>
      <c r="F2033" s="1" t="str">
        <f>"fde2:104:0:126:0:0:0:2"</f>
        <v>fde2:104:0:126:0:0:0:2</v>
      </c>
      <c r="G2033" s="1" t="str">
        <f>"0427D854"</f>
        <v>0427D854</v>
      </c>
      <c r="H2033" s="1" t="str">
        <f>"동원간 29R7R4"</f>
        <v>동원간 29R7R4</v>
      </c>
      <c r="I2033" s="1" t="s">
        <v>15</v>
      </c>
      <c r="J2033" s="1" t="str">
        <f>"26/26"</f>
        <v>26/26</v>
      </c>
      <c r="K2033" s="1" t="str">
        <f>"2026-07-29 14:20:48"</f>
        <v>2026-07-29 14:20:48</v>
      </c>
      <c r="L2033" s="1" t="str">
        <f>"2022-09-30 10:46:58"</f>
        <v>2022-09-30 10:46:58</v>
      </c>
      <c r="M2033" s="1" t="s">
        <v>42</v>
      </c>
      <c r="N2033" s="1" t="s">
        <v>38</v>
      </c>
      <c r="O2033" s="1" t="s">
        <v>46</v>
      </c>
    </row>
    <row r="2034" spans="2:15" x14ac:dyDescent="0.3">
      <c r="B2034" s="1" t="s">
        <v>24</v>
      </c>
      <c r="C2034" s="1" t="str">
        <f>"5-1차"</f>
        <v>5-1차</v>
      </c>
      <c r="D2034" s="1" t="str">
        <f>"0427D8915M"</f>
        <v>0427D8915M</v>
      </c>
      <c r="E2034" s="1" t="s">
        <v>10</v>
      </c>
      <c r="F2034" s="1" t="str">
        <f>"fde2:104:0:128:0:0:0:2"</f>
        <v>fde2:104:0:128:0:0:0:2</v>
      </c>
      <c r="G2034" s="1" t="str">
        <f>"0427D891"</f>
        <v>0427D891</v>
      </c>
      <c r="H2034" s="1" t="str">
        <f>"동원간 29R5R9"</f>
        <v>동원간 29R5R9</v>
      </c>
      <c r="I2034" s="1" t="s">
        <v>15</v>
      </c>
      <c r="J2034" s="1" t="str">
        <f>"55/55"</f>
        <v>55/55</v>
      </c>
      <c r="K2034" s="1" t="str">
        <f>"2026-07-29 14:20:50"</f>
        <v>2026-07-29 14:20:50</v>
      </c>
      <c r="L2034" s="1" t="str">
        <f>"2022-09-30 08:54:27"</f>
        <v>2022-09-30 08:54:27</v>
      </c>
      <c r="M2034" s="1" t="s">
        <v>42</v>
      </c>
      <c r="N2034" s="1" t="s">
        <v>38</v>
      </c>
      <c r="O2034" s="1" t="s">
        <v>46</v>
      </c>
    </row>
    <row r="2035" spans="2:15" x14ac:dyDescent="0.3">
      <c r="B2035" s="1" t="s">
        <v>24</v>
      </c>
      <c r="C2035" s="1" t="str">
        <f>"1차"</f>
        <v>1차</v>
      </c>
      <c r="D2035" s="1" t="str">
        <f>"0427D90300"</f>
        <v>0427D90300</v>
      </c>
      <c r="E2035" s="1" t="s">
        <v>10</v>
      </c>
      <c r="F2035" s="1" t="str">
        <f>"10.89.247.72"</f>
        <v>10.89.247.72</v>
      </c>
      <c r="G2035" s="1" t="str">
        <f>"0427D903"</f>
        <v>0427D903</v>
      </c>
      <c r="H2035" s="1" t="str">
        <f>"휘창간 1L3R7L2"</f>
        <v>휘창간 1L3R7L2</v>
      </c>
      <c r="I2035" s="1" t="s">
        <v>8</v>
      </c>
      <c r="J2035" s="1" t="str">
        <f>"60/67"</f>
        <v>60/67</v>
      </c>
      <c r="K2035" s="1" t="str">
        <f>"2026-07-29 13:18:03"</f>
        <v>2026-07-29 13:18:03</v>
      </c>
      <c r="L2035" s="1" t="str">
        <f>"2014-09-26 16:27:35"</f>
        <v>2014-09-26 16:27:35</v>
      </c>
      <c r="M2035" s="1" t="s">
        <v>45</v>
      </c>
      <c r="N2035" s="1" t="s">
        <v>38</v>
      </c>
      <c r="O2035" s="1" t="s">
        <v>46</v>
      </c>
    </row>
    <row r="2036" spans="2:15" x14ac:dyDescent="0.3">
      <c r="B2036" s="1" t="s">
        <v>24</v>
      </c>
      <c r="C2036" s="1" t="str">
        <f t="shared" ref="C2036:C2041" si="120">"5-2차"</f>
        <v>5-2차</v>
      </c>
      <c r="D2036" s="1" t="str">
        <f>"0427D9115M"</f>
        <v>0427D9115M</v>
      </c>
      <c r="E2036" s="1" t="s">
        <v>10</v>
      </c>
      <c r="F2036" s="1" t="str">
        <f>"fde1:103:4:6e68:0:0:0:2"</f>
        <v>fde1:103:4:6e68:0:0:0:2</v>
      </c>
      <c r="G2036" s="1" t="str">
        <f>"0427D911"</f>
        <v>0427D911</v>
      </c>
      <c r="H2036" s="1" t="str">
        <f>"휘창간 1L3R6"</f>
        <v>휘창간 1L3R6</v>
      </c>
      <c r="I2036" s="1" t="s">
        <v>15</v>
      </c>
      <c r="J2036" s="1" t="str">
        <f>"56/56"</f>
        <v>56/56</v>
      </c>
      <c r="K2036" s="1" t="str">
        <f>"2026-07-29 14:20:48"</f>
        <v>2026-07-29 14:20:48</v>
      </c>
      <c r="L2036" s="1" t="str">
        <f>"2023-11-17 08:45:57"</f>
        <v>2023-11-17 08:45:57</v>
      </c>
      <c r="M2036" s="1" t="s">
        <v>4</v>
      </c>
      <c r="N2036" s="1" t="s">
        <v>38</v>
      </c>
      <c r="O2036" s="1" t="s">
        <v>46</v>
      </c>
    </row>
    <row r="2037" spans="2:15" x14ac:dyDescent="0.3">
      <c r="B2037" s="1" t="s">
        <v>24</v>
      </c>
      <c r="C2037" s="1" t="str">
        <f t="shared" si="120"/>
        <v>5-2차</v>
      </c>
      <c r="D2037" s="1" t="str">
        <f>"0427D9435M"</f>
        <v>0427D9435M</v>
      </c>
      <c r="E2037" s="1" t="s">
        <v>10</v>
      </c>
      <c r="F2037" s="1" t="str">
        <f>"fde1:103:4:6e6a:0:0:0:2"</f>
        <v>fde1:103:4:6e6a:0:0:0:2</v>
      </c>
      <c r="G2037" s="1" t="str">
        <f>"0427D943"</f>
        <v>0427D943</v>
      </c>
      <c r="H2037" s="1" t="str">
        <f>"동원간 29R7R7L2L4"</f>
        <v>동원간 29R7R7L2L4</v>
      </c>
      <c r="I2037" s="1" t="s">
        <v>15</v>
      </c>
      <c r="J2037" s="1" t="str">
        <f>"82/83"</f>
        <v>82/83</v>
      </c>
      <c r="K2037" s="1" t="str">
        <f>"2026-07-29 14:20:49"</f>
        <v>2026-07-29 14:20:49</v>
      </c>
      <c r="L2037" s="1" t="str">
        <f>"2023-11-14 11:10:02"</f>
        <v>2023-11-14 11:10:02</v>
      </c>
      <c r="M2037" s="1" t="s">
        <v>4</v>
      </c>
      <c r="N2037" s="1" t="s">
        <v>38</v>
      </c>
      <c r="O2037" s="1" t="s">
        <v>46</v>
      </c>
    </row>
    <row r="2038" spans="2:15" x14ac:dyDescent="0.3">
      <c r="B2038" s="1" t="s">
        <v>24</v>
      </c>
      <c r="C2038" s="1" t="str">
        <f t="shared" si="120"/>
        <v>5-2차</v>
      </c>
      <c r="D2038" s="1" t="str">
        <f>"0427D9515M"</f>
        <v>0427D9515M</v>
      </c>
      <c r="E2038" s="1" t="s">
        <v>10</v>
      </c>
      <c r="F2038" s="1" t="str">
        <f>"fde3:102:1430:9600:0:0:0:3"</f>
        <v>fde3:102:1430:9600:0:0:0:3</v>
      </c>
      <c r="G2038" s="1" t="str">
        <f>"0427D951"</f>
        <v>0427D951</v>
      </c>
      <c r="H2038" s="1" t="str">
        <f>"동원간 29R7R3"</f>
        <v>동원간 29R7R3</v>
      </c>
      <c r="I2038" s="1" t="s">
        <v>15</v>
      </c>
      <c r="J2038" s="1" t="str">
        <f>"64/64"</f>
        <v>64/64</v>
      </c>
      <c r="K2038" s="1" t="str">
        <f>"2026-07-29 14:20:57"</f>
        <v>2026-07-29 14:20:57</v>
      </c>
      <c r="L2038" s="1" t="str">
        <f>"2024-01-08 11:06:05"</f>
        <v>2024-01-08 11:06:05</v>
      </c>
      <c r="M2038" s="1" t="s">
        <v>45</v>
      </c>
      <c r="N2038" s="1" t="s">
        <v>38</v>
      </c>
      <c r="O2038" s="1" t="s">
        <v>46</v>
      </c>
    </row>
    <row r="2039" spans="2:15" x14ac:dyDescent="0.3">
      <c r="B2039" s="1" t="s">
        <v>24</v>
      </c>
      <c r="C2039" s="1" t="str">
        <f t="shared" si="120"/>
        <v>5-2차</v>
      </c>
      <c r="D2039" s="1" t="str">
        <f>"0427D9615S"</f>
        <v>0427D9615S</v>
      </c>
      <c r="E2039" s="1" t="s">
        <v>10</v>
      </c>
      <c r="F2039" s="1" t="str">
        <f>"fde1:103:4:6e6b:0:0:0:2"</f>
        <v>fde1:103:4:6e6b:0:0:0:2</v>
      </c>
      <c r="G2039" s="1" t="str">
        <f>"0427D961"</f>
        <v>0427D961</v>
      </c>
      <c r="H2039" s="1" t="str">
        <f>"동원간 29R7R3R1"</f>
        <v>동원간 29R7R3R1</v>
      </c>
      <c r="I2039" s="1" t="s">
        <v>15</v>
      </c>
      <c r="J2039" s="1" t="str">
        <f>"30/30"</f>
        <v>30/30</v>
      </c>
      <c r="K2039" s="1" t="str">
        <f>"2026-07-29 14:20:36"</f>
        <v>2026-07-29 14:20:36</v>
      </c>
      <c r="L2039" s="1" t="str">
        <f>"2023-11-14 09:50:59"</f>
        <v>2023-11-14 09:50:59</v>
      </c>
      <c r="M2039" s="1" t="s">
        <v>4</v>
      </c>
      <c r="N2039" s="1" t="s">
        <v>38</v>
      </c>
      <c r="O2039" s="1" t="s">
        <v>46</v>
      </c>
    </row>
    <row r="2040" spans="2:15" x14ac:dyDescent="0.3">
      <c r="B2040" s="1" t="s">
        <v>24</v>
      </c>
      <c r="C2040" s="1" t="str">
        <f t="shared" si="120"/>
        <v>5-2차</v>
      </c>
      <c r="D2040" s="1" t="str">
        <f>"0427D9725S"</f>
        <v>0427D9725S</v>
      </c>
      <c r="E2040" s="1" t="s">
        <v>10</v>
      </c>
      <c r="F2040" s="1" t="str">
        <f>"fde3:102:1430:9700:0:0:0:5"</f>
        <v>fde3:102:1430:9700:0:0:0:5</v>
      </c>
      <c r="G2040" s="1" t="str">
        <f>"0427D972"</f>
        <v>0427D972</v>
      </c>
      <c r="H2040" s="1" t="str">
        <f>"동원간 29R5R3"</f>
        <v>동원간 29R5R3</v>
      </c>
      <c r="I2040" s="1" t="s">
        <v>15</v>
      </c>
      <c r="J2040" s="1" t="str">
        <f>"48/49"</f>
        <v>48/49</v>
      </c>
      <c r="K2040" s="1" t="str">
        <f>"2026-07-29 14:20:46"</f>
        <v>2026-07-29 14:20:46</v>
      </c>
      <c r="L2040" s="1" t="str">
        <f>"2024-01-08 11:12:14"</f>
        <v>2024-01-08 11:12:14</v>
      </c>
      <c r="M2040" s="1" t="s">
        <v>45</v>
      </c>
      <c r="N2040" s="1" t="s">
        <v>38</v>
      </c>
      <c r="O2040" s="1" t="s">
        <v>46</v>
      </c>
    </row>
    <row r="2041" spans="2:15" x14ac:dyDescent="0.3">
      <c r="B2041" s="1" t="s">
        <v>24</v>
      </c>
      <c r="C2041" s="1" t="str">
        <f t="shared" si="120"/>
        <v>5-2차</v>
      </c>
      <c r="D2041" s="1" t="str">
        <f>"0427D9825M"</f>
        <v>0427D9825M</v>
      </c>
      <c r="E2041" s="1" t="s">
        <v>10</v>
      </c>
      <c r="F2041" s="1" t="str">
        <f>"fde1:103:4:6e65:0:0:0:2"</f>
        <v>fde1:103:4:6e65:0:0:0:2</v>
      </c>
      <c r="G2041" s="1" t="str">
        <f>"0427D982"</f>
        <v>0427D982</v>
      </c>
      <c r="H2041" s="1" t="str">
        <f>"동원간 29R5R4"</f>
        <v>동원간 29R5R4</v>
      </c>
      <c r="I2041" s="1" t="s">
        <v>15</v>
      </c>
      <c r="J2041" s="1" t="str">
        <f>"74/78"</f>
        <v>74/78</v>
      </c>
      <c r="K2041" s="1" t="str">
        <f>"2026-07-29 14:20:47"</f>
        <v>2026-07-29 14:20:47</v>
      </c>
      <c r="L2041" s="1" t="str">
        <f>"2023-11-14 11:30:05"</f>
        <v>2023-11-14 11:30:05</v>
      </c>
      <c r="M2041" s="1" t="s">
        <v>4</v>
      </c>
      <c r="N2041" s="1" t="s">
        <v>38</v>
      </c>
      <c r="O2041" s="1" t="s">
        <v>46</v>
      </c>
    </row>
    <row r="2042" spans="2:15" x14ac:dyDescent="0.3">
      <c r="B2042" s="1" t="s">
        <v>24</v>
      </c>
      <c r="C2042" s="1" t="str">
        <f>"5-1차"</f>
        <v>5-1차</v>
      </c>
      <c r="D2042" s="1" t="str">
        <f>"0427D9915S"</f>
        <v>0427D9915S</v>
      </c>
      <c r="E2042" s="1" t="s">
        <v>10</v>
      </c>
      <c r="F2042" s="1" t="str">
        <f>"fde2:104:0:12d:0:0:0:2"</f>
        <v>fde2:104:0:12d:0:0:0:2</v>
      </c>
      <c r="G2042" s="1" t="str">
        <f>"0427D991"</f>
        <v>0427D991</v>
      </c>
      <c r="H2042" s="1" t="str">
        <f>"동원간 29R5R8"</f>
        <v>동원간 29R5R8</v>
      </c>
      <c r="I2042" s="1" t="s">
        <v>15</v>
      </c>
      <c r="J2042" s="1" t="str">
        <f>"43/43"</f>
        <v>43/43</v>
      </c>
      <c r="K2042" s="1" t="str">
        <f>"2026-07-29 14:20:50"</f>
        <v>2026-07-29 14:20:50</v>
      </c>
      <c r="L2042" s="1" t="str">
        <f>"2022-09-30 08:09:53"</f>
        <v>2022-09-30 08:09:53</v>
      </c>
      <c r="M2042" s="1" t="s">
        <v>42</v>
      </c>
      <c r="N2042" s="1" t="s">
        <v>38</v>
      </c>
      <c r="O2042" s="1" t="s">
        <v>46</v>
      </c>
    </row>
    <row r="2043" spans="2:15" x14ac:dyDescent="0.3">
      <c r="B2043" s="1" t="s">
        <v>24</v>
      </c>
      <c r="C2043" s="1" t="str">
        <f>"5-2차"</f>
        <v>5-2차</v>
      </c>
      <c r="D2043" s="1" t="str">
        <f>"0427D9925M"</f>
        <v>0427D9925M</v>
      </c>
      <c r="E2043" s="1" t="s">
        <v>10</v>
      </c>
      <c r="F2043" s="1" t="str">
        <f>"fde3:102:1430:9600:0:0:0:6"</f>
        <v>fde3:102:1430:9600:0:0:0:6</v>
      </c>
      <c r="G2043" s="1" t="str">
        <f>"0427D992"</f>
        <v>0427D992</v>
      </c>
      <c r="H2043" s="1" t="str">
        <f>"동원간 29R5R7"</f>
        <v>동원간 29R5R7</v>
      </c>
      <c r="I2043" s="1" t="s">
        <v>15</v>
      </c>
      <c r="J2043" s="1" t="str">
        <f>"67/67"</f>
        <v>67/67</v>
      </c>
      <c r="K2043" s="1" t="str">
        <f>"2026-07-29 14:20:47"</f>
        <v>2026-07-29 14:20:47</v>
      </c>
      <c r="L2043" s="1" t="str">
        <f>"2024-01-08 11:05:53"</f>
        <v>2024-01-08 11:05:53</v>
      </c>
      <c r="M2043" s="1" t="s">
        <v>45</v>
      </c>
      <c r="N2043" s="1" t="s">
        <v>38</v>
      </c>
      <c r="O2043" s="1" t="s">
        <v>46</v>
      </c>
    </row>
    <row r="2044" spans="2:15" x14ac:dyDescent="0.3">
      <c r="B2044" s="1" t="s">
        <v>24</v>
      </c>
      <c r="C2044" s="1" t="str">
        <f>"1차"</f>
        <v>1차</v>
      </c>
      <c r="D2044" s="1" t="str">
        <f>"0427E01101"</f>
        <v>0427E01101</v>
      </c>
      <c r="E2044" s="1" t="s">
        <v>10</v>
      </c>
      <c r="F2044" s="1" t="str">
        <f>"10.89.247.148"</f>
        <v>10.89.247.148</v>
      </c>
      <c r="G2044" s="1" t="str">
        <f>"0427E011"</f>
        <v>0427E011</v>
      </c>
      <c r="H2044" s="1" t="str">
        <f>"동원간 23R3"</f>
        <v>동원간 23R3</v>
      </c>
      <c r="I2044" s="1" t="s">
        <v>8</v>
      </c>
      <c r="J2044" s="1" t="str">
        <f>"24/24"</f>
        <v>24/24</v>
      </c>
      <c r="K2044" s="1" t="str">
        <f>"2026-07-29 13:18:03"</f>
        <v>2026-07-29 13:18:03</v>
      </c>
      <c r="L2044" s="1" t="str">
        <f>"2014-10-27 14:33:40"</f>
        <v>2014-10-27 14:33:40</v>
      </c>
      <c r="M2044" s="1" t="s">
        <v>45</v>
      </c>
      <c r="N2044" s="1" t="s">
        <v>38</v>
      </c>
      <c r="O2044" s="1" t="s">
        <v>46</v>
      </c>
    </row>
    <row r="2045" spans="2:15" x14ac:dyDescent="0.3">
      <c r="B2045" s="1" t="s">
        <v>24</v>
      </c>
      <c r="C2045" s="1" t="str">
        <f>"1차"</f>
        <v>1차</v>
      </c>
      <c r="D2045" s="1" t="str">
        <f>"0427E01200"</f>
        <v>0427E01200</v>
      </c>
      <c r="E2045" s="1" t="s">
        <v>10</v>
      </c>
      <c r="F2045" s="1" t="str">
        <f>"10.89.247.146"</f>
        <v>10.89.247.146</v>
      </c>
      <c r="G2045" s="1" t="str">
        <f>"0427E012"</f>
        <v>0427E012</v>
      </c>
      <c r="H2045" s="1" t="str">
        <f>"동원간 23R4"</f>
        <v>동원간 23R4</v>
      </c>
      <c r="I2045" s="1" t="s">
        <v>8</v>
      </c>
      <c r="J2045" s="1" t="str">
        <f>"12/12"</f>
        <v>12/12</v>
      </c>
      <c r="K2045" s="1" t="str">
        <f>"2026-07-29 13:18:03"</f>
        <v>2026-07-29 13:18:03</v>
      </c>
      <c r="L2045" s="1" t="str">
        <f>"2014-10-27 14:36:32"</f>
        <v>2014-10-27 14:36:32</v>
      </c>
      <c r="M2045" s="1" t="s">
        <v>45</v>
      </c>
      <c r="N2045" s="1" t="s">
        <v>38</v>
      </c>
      <c r="O2045" s="1" t="s">
        <v>46</v>
      </c>
    </row>
    <row r="2046" spans="2:15" x14ac:dyDescent="0.3">
      <c r="B2046" s="1" t="s">
        <v>24</v>
      </c>
      <c r="C2046" s="1" t="str">
        <f>"6차"</f>
        <v>6차</v>
      </c>
      <c r="D2046" s="1" t="str">
        <f>"0427E0216S"</f>
        <v>0427E0216S</v>
      </c>
      <c r="E2046" s="1" t="s">
        <v>10</v>
      </c>
      <c r="F2046" s="1" t="str">
        <f>"fde1:103:4:c6a5:0:0:0:2"</f>
        <v>fde1:103:4:c6a5:0:0:0:2</v>
      </c>
      <c r="G2046" s="1" t="str">
        <f>"0427E021"</f>
        <v>0427E021</v>
      </c>
      <c r="H2046" s="1" t="str">
        <f>"동원간 15"</f>
        <v>동원간 15</v>
      </c>
      <c r="I2046" s="1" t="s">
        <v>15</v>
      </c>
      <c r="J2046" s="1" t="str">
        <f>"34/34"</f>
        <v>34/34</v>
      </c>
      <c r="K2046" s="1" t="str">
        <f>"2026-07-29 14:20:56"</f>
        <v>2026-07-29 14:20:56</v>
      </c>
      <c r="L2046" s="1" t="str">
        <f>"2024-11-07 13:15:37"</f>
        <v>2024-11-07 13:15:37</v>
      </c>
      <c r="M2046" s="1" t="s">
        <v>4</v>
      </c>
      <c r="N2046" s="1" t="s">
        <v>38</v>
      </c>
      <c r="O2046" s="1" t="s">
        <v>46</v>
      </c>
    </row>
    <row r="2047" spans="2:15" x14ac:dyDescent="0.3">
      <c r="B2047" s="1" t="s">
        <v>24</v>
      </c>
      <c r="C2047" s="1" t="str">
        <f>"4차"</f>
        <v>4차</v>
      </c>
      <c r="D2047" s="1" t="str">
        <f>"0427E03241"</f>
        <v>0427E03241</v>
      </c>
      <c r="E2047" s="1" t="s">
        <v>10</v>
      </c>
      <c r="F2047" s="1" t="str">
        <f>"10.12.136.229"</f>
        <v>10.12.136.229</v>
      </c>
      <c r="G2047" s="1" t="str">
        <f>"0427E032"</f>
        <v>0427E032</v>
      </c>
      <c r="H2047" s="1" t="str">
        <f>"상봉 SW3R5L4"</f>
        <v>상봉 SW3R5L4</v>
      </c>
      <c r="I2047" s="1" t="s">
        <v>17</v>
      </c>
      <c r="J2047" s="1" t="str">
        <f>"99/99"</f>
        <v>99/99</v>
      </c>
      <c r="K2047" s="1" t="str">
        <f>"2026-07-29 13:18:04"</f>
        <v>2026-07-29 13:18:04</v>
      </c>
      <c r="L2047" s="1" t="str">
        <f>"2021-10-19 08:40:33"</f>
        <v>2021-10-19 08:40:33</v>
      </c>
      <c r="M2047" s="1" t="s">
        <v>0</v>
      </c>
      <c r="N2047" s="1" t="s">
        <v>38</v>
      </c>
      <c r="O2047" s="1" t="s">
        <v>46</v>
      </c>
    </row>
    <row r="2048" spans="2:15" x14ac:dyDescent="0.3">
      <c r="B2048" s="1" t="s">
        <v>24</v>
      </c>
      <c r="C2048" s="1" t="str">
        <f>"1차"</f>
        <v>1차</v>
      </c>
      <c r="D2048" s="1" t="str">
        <f>"0427E03300"</f>
        <v>0427E03300</v>
      </c>
      <c r="E2048" s="1" t="s">
        <v>10</v>
      </c>
      <c r="F2048" s="1" t="str">
        <f>"10.89.249.137"</f>
        <v>10.89.249.137</v>
      </c>
      <c r="G2048" s="1" t="str">
        <f>"0427E033"</f>
        <v>0427E033</v>
      </c>
      <c r="H2048" s="1" t="str">
        <f>"상봉 SW3R5L5"</f>
        <v>상봉 SW3R5L5</v>
      </c>
      <c r="I2048" s="1" t="s">
        <v>8</v>
      </c>
      <c r="J2048" s="1" t="str">
        <f>"63/63"</f>
        <v>63/63</v>
      </c>
      <c r="K2048" s="1" t="str">
        <f>"2026-07-29 13:18:03"</f>
        <v>2026-07-29 13:18:03</v>
      </c>
      <c r="L2048" s="1" t="str">
        <f>"2014-10-27 14:39:31"</f>
        <v>2014-10-27 14:39:31</v>
      </c>
      <c r="M2048" s="1" t="s">
        <v>45</v>
      </c>
      <c r="N2048" s="1" t="s">
        <v>38</v>
      </c>
      <c r="O2048" s="1" t="s">
        <v>46</v>
      </c>
    </row>
    <row r="2049" spans="2:15" x14ac:dyDescent="0.3">
      <c r="B2049" s="1" t="s">
        <v>24</v>
      </c>
      <c r="C2049" s="1" t="str">
        <f>"5-2차"</f>
        <v>5-2차</v>
      </c>
      <c r="D2049" s="1" t="str">
        <f>"0427E1115S"</f>
        <v>0427E1115S</v>
      </c>
      <c r="E2049" s="1" t="s">
        <v>10</v>
      </c>
      <c r="F2049" s="1" t="str">
        <f>"fde1:103:4:6e69:0:0:0:2"</f>
        <v>fde1:103:4:6e69:0:0:0:2</v>
      </c>
      <c r="G2049" s="1" t="str">
        <f>"0427E111"</f>
        <v>0427E111</v>
      </c>
      <c r="H2049" s="1" t="str">
        <f>"동원간 23R2"</f>
        <v>동원간 23R2</v>
      </c>
      <c r="I2049" s="1" t="s">
        <v>15</v>
      </c>
      <c r="J2049" s="1" t="str">
        <f>"27/27"</f>
        <v>27/27</v>
      </c>
      <c r="K2049" s="1" t="str">
        <f>"2026-07-29 14:20:48"</f>
        <v>2026-07-29 14:20:48</v>
      </c>
      <c r="L2049" s="1" t="str">
        <f>"2023-11-14 09:50:16"</f>
        <v>2023-11-14 09:50:16</v>
      </c>
      <c r="M2049" s="1" t="s">
        <v>4</v>
      </c>
      <c r="N2049" s="1" t="s">
        <v>38</v>
      </c>
      <c r="O2049" s="1" t="s">
        <v>46</v>
      </c>
    </row>
    <row r="2050" spans="2:15" x14ac:dyDescent="0.3">
      <c r="B2050" s="1" t="s">
        <v>24</v>
      </c>
      <c r="C2050" s="1" t="str">
        <f>"5-2차"</f>
        <v>5-2차</v>
      </c>
      <c r="D2050" s="1" t="str">
        <f>"0427E1215M"</f>
        <v>0427E1215M</v>
      </c>
      <c r="E2050" s="1" t="s">
        <v>10</v>
      </c>
      <c r="F2050" s="1" t="str">
        <f>"fde3:102:1430:9300:0:0:0:8"</f>
        <v>fde3:102:1430:9300:0:0:0:8</v>
      </c>
      <c r="G2050" s="1" t="str">
        <f>"0427E121"</f>
        <v>0427E121</v>
      </c>
      <c r="H2050" s="1" t="str">
        <f>"동원간 7L9"</f>
        <v>동원간 7L9</v>
      </c>
      <c r="I2050" s="1" t="s">
        <v>15</v>
      </c>
      <c r="J2050" s="1" t="str">
        <f>"68/68"</f>
        <v>68/68</v>
      </c>
      <c r="K2050" s="1" t="str">
        <f>"2026-07-29 14:20:48"</f>
        <v>2026-07-29 14:20:48</v>
      </c>
      <c r="L2050" s="1" t="str">
        <f>"2023-12-21 08:35:53"</f>
        <v>2023-12-21 08:35:53</v>
      </c>
      <c r="M2050" s="1" t="s">
        <v>45</v>
      </c>
      <c r="N2050" s="1" t="s">
        <v>38</v>
      </c>
      <c r="O2050" s="1" t="s">
        <v>46</v>
      </c>
    </row>
    <row r="2051" spans="2:15" x14ac:dyDescent="0.3">
      <c r="B2051" s="1" t="s">
        <v>24</v>
      </c>
      <c r="C2051" s="1" t="str">
        <f>"5-2차"</f>
        <v>5-2차</v>
      </c>
      <c r="D2051" s="1" t="str">
        <f>"0427E2125M"</f>
        <v>0427E2125M</v>
      </c>
      <c r="E2051" s="1" t="s">
        <v>10</v>
      </c>
      <c r="F2051" s="1" t="str">
        <f>"fde3:102:1430:9300:0:0:0:9"</f>
        <v>fde3:102:1430:9300:0:0:0:9</v>
      </c>
      <c r="G2051" s="1" t="str">
        <f>"0427E212"</f>
        <v>0427E212</v>
      </c>
      <c r="H2051" s="1" t="str">
        <f>"동원간 23R1L1"</f>
        <v>동원간 23R1L1</v>
      </c>
      <c r="I2051" s="1" t="s">
        <v>15</v>
      </c>
      <c r="J2051" s="1" t="str">
        <f>"107/107"</f>
        <v>107/107</v>
      </c>
      <c r="K2051" s="1" t="str">
        <f>"2026-07-29 14:20:48"</f>
        <v>2026-07-29 14:20:48</v>
      </c>
      <c r="L2051" s="1" t="str">
        <f>"2023-12-21 09:38:50"</f>
        <v>2023-12-21 09:38:50</v>
      </c>
      <c r="M2051" s="1" t="s">
        <v>45</v>
      </c>
      <c r="N2051" s="1" t="s">
        <v>38</v>
      </c>
      <c r="O2051" s="1" t="s">
        <v>46</v>
      </c>
    </row>
    <row r="2052" spans="2:15" x14ac:dyDescent="0.3">
      <c r="B2052" s="1" t="s">
        <v>24</v>
      </c>
      <c r="C2052" s="1" t="str">
        <f>"6차"</f>
        <v>6차</v>
      </c>
      <c r="D2052" s="1" t="str">
        <f>"0427E2216S"</f>
        <v>0427E2216S</v>
      </c>
      <c r="E2052" s="1" t="s">
        <v>10</v>
      </c>
      <c r="F2052" s="1" t="str">
        <f>"fde1:103:4:c670:0:0:0:2"</f>
        <v>fde1:103:4:c670:0:0:0:2</v>
      </c>
      <c r="G2052" s="1" t="str">
        <f>"0427E221"</f>
        <v>0427E221</v>
      </c>
      <c r="H2052" s="1" t="str">
        <f>"동원간 7L10"</f>
        <v>동원간 7L10</v>
      </c>
      <c r="I2052" s="1" t="s">
        <v>15</v>
      </c>
      <c r="J2052" s="1" t="str">
        <f>"25/38"</f>
        <v>25/38</v>
      </c>
      <c r="K2052" s="1" t="str">
        <f>"2026-07-29 14:20:49"</f>
        <v>2026-07-29 14:20:49</v>
      </c>
      <c r="L2052" s="1" t="str">
        <f>"2024-11-21 11:23:19"</f>
        <v>2024-11-21 11:23:19</v>
      </c>
      <c r="M2052" s="1" t="s">
        <v>4</v>
      </c>
      <c r="N2052" s="1" t="s">
        <v>38</v>
      </c>
      <c r="O2052" s="1" t="s">
        <v>46</v>
      </c>
    </row>
    <row r="2053" spans="2:15" x14ac:dyDescent="0.3">
      <c r="B2053" s="1" t="s">
        <v>24</v>
      </c>
      <c r="C2053" s="1" t="str">
        <f>"5-2차"</f>
        <v>5-2차</v>
      </c>
      <c r="D2053" s="1" t="str">
        <f>"0427E2425M"</f>
        <v>0427E2425M</v>
      </c>
      <c r="E2053" s="1" t="s">
        <v>10</v>
      </c>
      <c r="F2053" s="1" t="str">
        <f>"fde1:103:4:6e62:0:0:0:2"</f>
        <v>fde1:103:4:6e62:0:0:0:2</v>
      </c>
      <c r="G2053" s="1" t="str">
        <f>"0427E242"</f>
        <v>0427E242</v>
      </c>
      <c r="H2053" s="1" t="str">
        <f>"동원간 7L14L1"</f>
        <v>동원간 7L14L1</v>
      </c>
      <c r="I2053" s="1" t="s">
        <v>15</v>
      </c>
      <c r="J2053" s="1" t="str">
        <f>"97/97"</f>
        <v>97/97</v>
      </c>
      <c r="K2053" s="1" t="str">
        <f>"2026-07-29 14:20:55"</f>
        <v>2026-07-29 14:20:55</v>
      </c>
      <c r="L2053" s="1" t="str">
        <f>"2023-11-14 11:20:01"</f>
        <v>2023-11-14 11:20:01</v>
      </c>
      <c r="M2053" s="1" t="s">
        <v>4</v>
      </c>
      <c r="N2053" s="1" t="s">
        <v>38</v>
      </c>
      <c r="O2053" s="1" t="s">
        <v>46</v>
      </c>
    </row>
    <row r="2054" spans="2:15" x14ac:dyDescent="0.3">
      <c r="B2054" s="1" t="s">
        <v>24</v>
      </c>
      <c r="C2054" s="1" t="str">
        <f>"1차"</f>
        <v>1차</v>
      </c>
      <c r="D2054" s="1" t="str">
        <f>"0427E24300"</f>
        <v>0427E24300</v>
      </c>
      <c r="E2054" s="1" t="s">
        <v>10</v>
      </c>
      <c r="F2054" s="1" t="str">
        <f>"10.89.252.201"</f>
        <v>10.89.252.201</v>
      </c>
      <c r="G2054" s="1" t="str">
        <f>"0427E243"</f>
        <v>0427E243</v>
      </c>
      <c r="H2054" s="1" t="str">
        <f>"동원간 7L15"</f>
        <v>동원간 7L15</v>
      </c>
      <c r="I2054" s="1" t="s">
        <v>8</v>
      </c>
      <c r="J2054" s="1" t="str">
        <f>"6/6"</f>
        <v>6/6</v>
      </c>
      <c r="K2054" s="1" t="str">
        <f>"2026-07-29 13:18:03"</f>
        <v>2026-07-29 13:18:03</v>
      </c>
      <c r="L2054" s="1" t="str">
        <f>"2014-09-30 10:42:19"</f>
        <v>2014-09-30 10:42:19</v>
      </c>
      <c r="M2054" s="1" t="s">
        <v>45</v>
      </c>
      <c r="N2054" s="1" t="s">
        <v>38</v>
      </c>
      <c r="O2054" s="1" t="s">
        <v>46</v>
      </c>
    </row>
    <row r="2055" spans="2:15" x14ac:dyDescent="0.3">
      <c r="B2055" s="1" t="s">
        <v>24</v>
      </c>
      <c r="C2055" s="1" t="str">
        <f>"1차"</f>
        <v>1차</v>
      </c>
      <c r="D2055" s="1" t="str">
        <f>"0427E31301"</f>
        <v>0427E31301</v>
      </c>
      <c r="E2055" s="1" t="s">
        <v>10</v>
      </c>
      <c r="F2055" s="1" t="str">
        <f>"10.89.248.39"</f>
        <v>10.89.248.39</v>
      </c>
      <c r="G2055" s="1" t="str">
        <f>"0427E313"</f>
        <v>0427E313</v>
      </c>
      <c r="H2055" s="1" t="str">
        <f>"겸재간 18"</f>
        <v>겸재간 18</v>
      </c>
      <c r="I2055" s="1" t="s">
        <v>8</v>
      </c>
      <c r="J2055" s="1" t="str">
        <f>"12/12"</f>
        <v>12/12</v>
      </c>
      <c r="K2055" s="1" t="str">
        <f>"2026-07-29 13:18:03"</f>
        <v>2026-07-29 13:18:03</v>
      </c>
      <c r="L2055" s="1" t="str">
        <f>"2014-11-05 16:55:12"</f>
        <v>2014-11-05 16:55:12</v>
      </c>
      <c r="M2055" s="1" t="s">
        <v>45</v>
      </c>
      <c r="N2055" s="1" t="s">
        <v>38</v>
      </c>
      <c r="O2055" s="1" t="s">
        <v>46</v>
      </c>
    </row>
    <row r="2056" spans="2:15" x14ac:dyDescent="0.3">
      <c r="B2056" s="1" t="s">
        <v>24</v>
      </c>
      <c r="C2056" s="1" t="str">
        <f>"1차"</f>
        <v>1차</v>
      </c>
      <c r="D2056" s="1" t="str">
        <f>"0427E40100"</f>
        <v>0427E40100</v>
      </c>
      <c r="E2056" s="1" t="s">
        <v>10</v>
      </c>
      <c r="F2056" s="1" t="str">
        <f>"10.89.248.37"</f>
        <v>10.89.248.37</v>
      </c>
      <c r="G2056" s="1" t="str">
        <f>"0427E401"</f>
        <v>0427E401</v>
      </c>
      <c r="H2056" s="1" t="str">
        <f>"겸재간 17L1R2"</f>
        <v>겸재간 17L1R2</v>
      </c>
      <c r="I2056" s="1" t="s">
        <v>8</v>
      </c>
      <c r="J2056" s="1" t="str">
        <f>"18/18"</f>
        <v>18/18</v>
      </c>
      <c r="K2056" s="1" t="str">
        <f>"2026-07-29 13:18:03"</f>
        <v>2026-07-29 13:18:03</v>
      </c>
      <c r="L2056" s="1" t="str">
        <f>"2014-10-29 13:48:55"</f>
        <v>2014-10-29 13:48:55</v>
      </c>
      <c r="M2056" s="1" t="s">
        <v>45</v>
      </c>
      <c r="N2056" s="1" t="s">
        <v>38</v>
      </c>
      <c r="O2056" s="1" t="s">
        <v>46</v>
      </c>
    </row>
    <row r="2057" spans="2:15" x14ac:dyDescent="0.3">
      <c r="B2057" s="1" t="s">
        <v>24</v>
      </c>
      <c r="C2057" s="1" t="str">
        <f>"6차"</f>
        <v>6차</v>
      </c>
      <c r="D2057" s="1" t="str">
        <f>"0427E4026S"</f>
        <v>0427E4026S</v>
      </c>
      <c r="E2057" s="1" t="s">
        <v>10</v>
      </c>
      <c r="F2057" s="1" t="str">
        <f>"fde1:103:4:c639:0:0:0:2"</f>
        <v>fde1:103:4:c639:0:0:0:2</v>
      </c>
      <c r="G2057" s="1" t="str">
        <f>"0427E402"</f>
        <v>0427E402</v>
      </c>
      <c r="H2057" s="1" t="str">
        <f>"겸재간 17L1R3"</f>
        <v>겸재간 17L1R3</v>
      </c>
      <c r="I2057" s="1" t="s">
        <v>15</v>
      </c>
      <c r="J2057" s="1" t="str">
        <f>"47/56"</f>
        <v>47/56</v>
      </c>
      <c r="K2057" s="1" t="str">
        <f>"2026-07-29 02:20:58"</f>
        <v>2026-07-29 02:20:58</v>
      </c>
      <c r="L2057" s="1" t="str">
        <f>"2024-11-08 14:06:49"</f>
        <v>2024-11-08 14:06:49</v>
      </c>
      <c r="M2057" s="1" t="s">
        <v>4</v>
      </c>
      <c r="N2057" s="1" t="s">
        <v>38</v>
      </c>
      <c r="O2057" s="1" t="s">
        <v>46</v>
      </c>
    </row>
    <row r="2058" spans="2:15" x14ac:dyDescent="0.3">
      <c r="B2058" s="1" t="s">
        <v>24</v>
      </c>
      <c r="C2058" s="1" t="str">
        <f>"1차"</f>
        <v>1차</v>
      </c>
      <c r="D2058" s="1" t="str">
        <f>"0427E41200"</f>
        <v>0427E41200</v>
      </c>
      <c r="E2058" s="1" t="s">
        <v>10</v>
      </c>
      <c r="F2058" s="1" t="str">
        <f>"10.89.248.38"</f>
        <v>10.89.248.38</v>
      </c>
      <c r="G2058" s="1" t="str">
        <f>"0427E412"</f>
        <v>0427E412</v>
      </c>
      <c r="H2058" s="1" t="str">
        <f>"겸재간 17L1"</f>
        <v>겸재간 17L1</v>
      </c>
      <c r="I2058" s="1" t="s">
        <v>8</v>
      </c>
      <c r="J2058" s="1" t="str">
        <f>"32/32"</f>
        <v>32/32</v>
      </c>
      <c r="K2058" s="1" t="str">
        <f>"2026-07-29 13:18:03"</f>
        <v>2026-07-29 13:18:03</v>
      </c>
      <c r="L2058" s="1" t="str">
        <f>"2014-10-01 04:56:41"</f>
        <v>2014-10-01 04:56:41</v>
      </c>
      <c r="M2058" s="1" t="s">
        <v>45</v>
      </c>
      <c r="N2058" s="1" t="s">
        <v>38</v>
      </c>
      <c r="O2058" s="1" t="s">
        <v>46</v>
      </c>
    </row>
    <row r="2059" spans="2:15" x14ac:dyDescent="0.3">
      <c r="B2059" s="1" t="s">
        <v>24</v>
      </c>
      <c r="C2059" s="1" t="str">
        <f>"1차"</f>
        <v>1차</v>
      </c>
      <c r="D2059" s="1" t="str">
        <f>"0427E42101"</f>
        <v>0427E42101</v>
      </c>
      <c r="E2059" s="1" t="s">
        <v>10</v>
      </c>
      <c r="F2059" s="1" t="str">
        <f>"10.89.248.40"</f>
        <v>10.89.248.40</v>
      </c>
      <c r="G2059" s="1" t="str">
        <f>"0427E421"</f>
        <v>0427E421</v>
      </c>
      <c r="H2059" s="1" t="str">
        <f>"겸재간 17L2"</f>
        <v>겸재간 17L2</v>
      </c>
      <c r="I2059" s="1" t="s">
        <v>8</v>
      </c>
      <c r="J2059" s="1" t="str">
        <f>"32/32"</f>
        <v>32/32</v>
      </c>
      <c r="K2059" s="1" t="str">
        <f>"2026-07-29 13:18:05"</f>
        <v>2026-07-29 13:18:05</v>
      </c>
      <c r="L2059" s="1" t="str">
        <f>"2014-11-05 16:55:35"</f>
        <v>2014-11-05 16:55:35</v>
      </c>
      <c r="M2059" s="1" t="s">
        <v>45</v>
      </c>
      <c r="N2059" s="1" t="s">
        <v>38</v>
      </c>
      <c r="O2059" s="1" t="s">
        <v>46</v>
      </c>
    </row>
    <row r="2060" spans="2:15" x14ac:dyDescent="0.3">
      <c r="B2060" s="1" t="s">
        <v>24</v>
      </c>
      <c r="C2060" s="1" t="str">
        <f>"6차"</f>
        <v>6차</v>
      </c>
      <c r="D2060" s="1" t="str">
        <f>"0427E4726S"</f>
        <v>0427E4726S</v>
      </c>
      <c r="E2060" s="1" t="s">
        <v>10</v>
      </c>
      <c r="F2060" s="1" t="str">
        <f>"fde1:103:4:92d5:0:0:0:2"</f>
        <v>fde1:103:4:92d5:0:0:0:2</v>
      </c>
      <c r="G2060" s="1" t="str">
        <f>"0427E472"</f>
        <v>0427E472</v>
      </c>
      <c r="H2060" s="1" t="str">
        <f>"겸재간 8L6"</f>
        <v>겸재간 8L6</v>
      </c>
      <c r="I2060" s="1" t="s">
        <v>15</v>
      </c>
      <c r="J2060" s="1" t="str">
        <f>"24/24"</f>
        <v>24/24</v>
      </c>
      <c r="K2060" s="1" t="str">
        <f>"2026-07-29 14:20:49"</f>
        <v>2026-07-29 14:20:49</v>
      </c>
      <c r="L2060" s="1" t="str">
        <f>"2025-02-28 17:31:56"</f>
        <v>2025-02-28 17:31:56</v>
      </c>
      <c r="M2060" s="1" t="s">
        <v>4</v>
      </c>
      <c r="N2060" s="1" t="s">
        <v>38</v>
      </c>
      <c r="O2060" s="1" t="s">
        <v>46</v>
      </c>
    </row>
    <row r="2061" spans="2:15" x14ac:dyDescent="0.3">
      <c r="B2061" s="1" t="s">
        <v>24</v>
      </c>
      <c r="C2061" s="1" t="str">
        <f>"5-2차"</f>
        <v>5-2차</v>
      </c>
      <c r="D2061" s="1" t="str">
        <f>"0427E5045S"</f>
        <v>0427E5045S</v>
      </c>
      <c r="E2061" s="1" t="s">
        <v>10</v>
      </c>
      <c r="F2061" s="1" t="str">
        <f>"fde1:103:4:6e67:0:0:0:2"</f>
        <v>fde1:103:4:6e67:0:0:0:2</v>
      </c>
      <c r="G2061" s="1" t="str">
        <f>"0427E504"</f>
        <v>0427E504</v>
      </c>
      <c r="H2061" s="1" t="str">
        <f>"겸재간 17L1R5"</f>
        <v>겸재간 17L1R5</v>
      </c>
      <c r="I2061" s="1" t="s">
        <v>15</v>
      </c>
      <c r="J2061" s="1" t="str">
        <f>"41/41"</f>
        <v>41/41</v>
      </c>
      <c r="K2061" s="1" t="str">
        <f>"2026-07-29 14:20:49"</f>
        <v>2026-07-29 14:20:49</v>
      </c>
      <c r="L2061" s="1" t="str">
        <f>"2023-11-14 10:07:42"</f>
        <v>2023-11-14 10:07:42</v>
      </c>
      <c r="M2061" s="1" t="s">
        <v>4</v>
      </c>
      <c r="N2061" s="1" t="s">
        <v>38</v>
      </c>
      <c r="O2061" s="1" t="s">
        <v>46</v>
      </c>
    </row>
    <row r="2062" spans="2:15" x14ac:dyDescent="0.3">
      <c r="B2062" s="1" t="s">
        <v>24</v>
      </c>
      <c r="C2062" s="1" t="str">
        <f>"1차"</f>
        <v>1차</v>
      </c>
      <c r="D2062" s="1" t="str">
        <f>"0427E52100"</f>
        <v>0427E52100</v>
      </c>
      <c r="E2062" s="1" t="s">
        <v>10</v>
      </c>
      <c r="F2062" s="1" t="str">
        <f>"10.89.248.41"</f>
        <v>10.89.248.41</v>
      </c>
      <c r="G2062" s="1" t="str">
        <f>"0427E521"</f>
        <v>0427E521</v>
      </c>
      <c r="H2062" s="1" t="str">
        <f>"겸재간 17L3"</f>
        <v>겸재간 17L3</v>
      </c>
      <c r="I2062" s="1" t="s">
        <v>8</v>
      </c>
      <c r="J2062" s="1" t="str">
        <f>"16/16"</f>
        <v>16/16</v>
      </c>
      <c r="K2062" s="1" t="str">
        <f>"2026-07-29 13:18:03"</f>
        <v>2026-07-29 13:18:03</v>
      </c>
      <c r="L2062" s="1" t="str">
        <f>"2014-09-22 11:27:42"</f>
        <v>2014-09-22 11:27:42</v>
      </c>
      <c r="M2062" s="1" t="s">
        <v>45</v>
      </c>
      <c r="N2062" s="1" t="s">
        <v>38</v>
      </c>
      <c r="O2062" s="1" t="s">
        <v>46</v>
      </c>
    </row>
    <row r="2063" spans="2:15" x14ac:dyDescent="0.3">
      <c r="B2063" s="1" t="s">
        <v>24</v>
      </c>
      <c r="C2063" s="1" t="str">
        <f>"5-2차"</f>
        <v>5-2차</v>
      </c>
      <c r="D2063" s="1" t="str">
        <f>"0427E5335M"</f>
        <v>0427E5335M</v>
      </c>
      <c r="E2063" s="1" t="s">
        <v>10</v>
      </c>
      <c r="F2063" s="1" t="str">
        <f>"fde1:103:4:6e63:0:0:0:2"</f>
        <v>fde1:103:4:6e63:0:0:0:2</v>
      </c>
      <c r="G2063" s="1" t="str">
        <f>"0427E533"</f>
        <v>0427E533</v>
      </c>
      <c r="H2063" s="1" t="str">
        <f>"겸재간 73"</f>
        <v>겸재간 73</v>
      </c>
      <c r="I2063" s="1" t="s">
        <v>15</v>
      </c>
      <c r="J2063" s="1" t="str">
        <f>"39/39"</f>
        <v>39/39</v>
      </c>
      <c r="K2063" s="1" t="str">
        <f>"2026-07-29 14:20:49"</f>
        <v>2026-07-29 14:20:49</v>
      </c>
      <c r="L2063" s="1" t="str">
        <f>"2023-11-14 10:07:49"</f>
        <v>2023-11-14 10:07:49</v>
      </c>
      <c r="M2063" s="1" t="s">
        <v>4</v>
      </c>
      <c r="N2063" s="1" t="s">
        <v>38</v>
      </c>
      <c r="O2063" s="1" t="s">
        <v>46</v>
      </c>
    </row>
    <row r="2064" spans="2:15" x14ac:dyDescent="0.3">
      <c r="B2064" s="1" t="s">
        <v>24</v>
      </c>
      <c r="C2064" s="1" t="str">
        <f>"1차"</f>
        <v>1차</v>
      </c>
      <c r="D2064" s="1" t="str">
        <f>"0427E56200"</f>
        <v>0427E56200</v>
      </c>
      <c r="E2064" s="1" t="s">
        <v>10</v>
      </c>
      <c r="F2064" s="1" t="str">
        <f>"10.89.246.44"</f>
        <v>10.89.246.44</v>
      </c>
      <c r="G2064" s="1" t="str">
        <f>"0427E562"</f>
        <v>0427E562</v>
      </c>
      <c r="H2064" s="1" t="str">
        <f>"우림지 3R6L2"</f>
        <v>우림지 3R6L2</v>
      </c>
      <c r="I2064" s="1" t="s">
        <v>8</v>
      </c>
      <c r="J2064" s="1" t="str">
        <f>"37/37"</f>
        <v>37/37</v>
      </c>
      <c r="K2064" s="1" t="str">
        <f>"2026-07-29 13:18:03"</f>
        <v>2026-07-29 13:18:03</v>
      </c>
      <c r="L2064" s="1" t="str">
        <f>"2014-10-14 15:06:29"</f>
        <v>2014-10-14 15:06:29</v>
      </c>
      <c r="M2064" s="1" t="s">
        <v>45</v>
      </c>
      <c r="N2064" s="1" t="s">
        <v>38</v>
      </c>
      <c r="O2064" s="1" t="s">
        <v>46</v>
      </c>
    </row>
    <row r="2065" spans="2:15" x14ac:dyDescent="0.3">
      <c r="B2065" s="1" t="s">
        <v>24</v>
      </c>
      <c r="C2065" s="1" t="str">
        <f>"6차"</f>
        <v>6차</v>
      </c>
      <c r="D2065" s="1" t="str">
        <f>"0427E5716S"</f>
        <v>0427E5716S</v>
      </c>
      <c r="E2065" s="1" t="s">
        <v>10</v>
      </c>
      <c r="F2065" s="1" t="str">
        <f>"fde1:103:4:926f:0:0:0:2"</f>
        <v>fde1:103:4:926f:0:0:0:2</v>
      </c>
      <c r="G2065" s="1" t="str">
        <f>"0427E571"</f>
        <v>0427E571</v>
      </c>
      <c r="H2065" s="1" t="str">
        <f>"우림지 3R6L1"</f>
        <v>우림지 3R6L1</v>
      </c>
      <c r="I2065" s="1" t="s">
        <v>15</v>
      </c>
      <c r="J2065" s="1" t="str">
        <f>"27/32"</f>
        <v>27/32</v>
      </c>
      <c r="K2065" s="1" t="str">
        <f>"2026-07-29 14:20:58"</f>
        <v>2026-07-29 14:20:58</v>
      </c>
      <c r="L2065" s="1" t="str">
        <f>"2025-02-20 17:32:14"</f>
        <v>2025-02-20 17:32:14</v>
      </c>
      <c r="M2065" s="1" t="s">
        <v>4</v>
      </c>
      <c r="N2065" s="1" t="s">
        <v>38</v>
      </c>
      <c r="O2065" s="1" t="s">
        <v>46</v>
      </c>
    </row>
    <row r="2066" spans="2:15" x14ac:dyDescent="0.3">
      <c r="B2066" s="1" t="s">
        <v>24</v>
      </c>
      <c r="C2066" s="1" t="str">
        <f>"5-2차"</f>
        <v>5-2차</v>
      </c>
      <c r="D2066" s="1" t="str">
        <f>"0427E6025S"</f>
        <v>0427E6025S</v>
      </c>
      <c r="E2066" s="1" t="s">
        <v>10</v>
      </c>
      <c r="F2066" s="1" t="str">
        <f>"fde1:103:4:6e64:0:0:0:2"</f>
        <v>fde1:103:4:6e64:0:0:0:2</v>
      </c>
      <c r="G2066" s="1" t="str">
        <f>"0427E602"</f>
        <v>0427E602</v>
      </c>
      <c r="H2066" s="1" t="str">
        <f>"겸재간 17L1R6"</f>
        <v>겸재간 17L1R6</v>
      </c>
      <c r="I2066" s="1" t="s">
        <v>15</v>
      </c>
      <c r="J2066" s="1" t="str">
        <f>"84/84"</f>
        <v>84/84</v>
      </c>
      <c r="K2066" s="1" t="str">
        <f>"2026-07-29 14:20:55"</f>
        <v>2026-07-29 14:20:55</v>
      </c>
      <c r="L2066" s="1" t="str">
        <f>"2023-11-14 11:30:09"</f>
        <v>2023-11-14 11:30:09</v>
      </c>
      <c r="M2066" s="1" t="s">
        <v>4</v>
      </c>
      <c r="N2066" s="1" t="s">
        <v>38</v>
      </c>
      <c r="O2066" s="1" t="s">
        <v>46</v>
      </c>
    </row>
    <row r="2067" spans="2:15" x14ac:dyDescent="0.3">
      <c r="B2067" s="1" t="s">
        <v>24</v>
      </c>
      <c r="C2067" s="1" t="str">
        <f>"5-2차"</f>
        <v>5-2차</v>
      </c>
      <c r="D2067" s="1" t="str">
        <f>"0427E6215M"</f>
        <v>0427E6215M</v>
      </c>
      <c r="E2067" s="1" t="s">
        <v>10</v>
      </c>
      <c r="F2067" s="1" t="str">
        <f>"fde1:103:4:6e66:0:0:0:2"</f>
        <v>fde1:103:4:6e66:0:0:0:2</v>
      </c>
      <c r="G2067" s="1" t="str">
        <f>"0427E621"</f>
        <v>0427E621</v>
      </c>
      <c r="H2067" s="1" t="str">
        <f>"겸재간 17L4"</f>
        <v>겸재간 17L4</v>
      </c>
      <c r="I2067" s="1" t="s">
        <v>15</v>
      </c>
      <c r="J2067" s="1" t="str">
        <f>"86/87"</f>
        <v>86/87</v>
      </c>
      <c r="K2067" s="1" t="str">
        <f>"2026-07-29 14:20:52"</f>
        <v>2026-07-29 14:20:52</v>
      </c>
      <c r="L2067" s="1" t="str">
        <f>"2023-11-14 10:07:22"</f>
        <v>2023-11-14 10:07:22</v>
      </c>
      <c r="M2067" s="1" t="s">
        <v>4</v>
      </c>
      <c r="N2067" s="1" t="s">
        <v>38</v>
      </c>
      <c r="O2067" s="1" t="s">
        <v>46</v>
      </c>
    </row>
    <row r="2068" spans="2:15" x14ac:dyDescent="0.3">
      <c r="B2068" s="1" t="s">
        <v>24</v>
      </c>
      <c r="C2068" s="1" t="str">
        <f>"1차"</f>
        <v>1차</v>
      </c>
      <c r="D2068" s="1" t="str">
        <f>"0427E68301"</f>
        <v>0427E68301</v>
      </c>
      <c r="E2068" s="1" t="s">
        <v>10</v>
      </c>
      <c r="F2068" s="1" t="str">
        <f>"10.12.138.157"</f>
        <v>10.12.138.157</v>
      </c>
      <c r="G2068" s="1" t="str">
        <f>"0427E683"</f>
        <v>0427E683</v>
      </c>
      <c r="H2068" s="1" t="str">
        <f>"우림지 3R4"</f>
        <v>우림지 3R4</v>
      </c>
      <c r="I2068" s="1" t="s">
        <v>8</v>
      </c>
      <c r="J2068" s="1" t="str">
        <f>"36/36"</f>
        <v>36/36</v>
      </c>
      <c r="K2068" s="1" t="str">
        <f>"2026-07-29 13:18:06"</f>
        <v>2026-07-29 13:18:06</v>
      </c>
      <c r="L2068" s="1" t="str">
        <f>"2014-10-29 13:47:49"</f>
        <v>2014-10-29 13:47:49</v>
      </c>
      <c r="M2068" s="1" t="s">
        <v>0</v>
      </c>
      <c r="N2068" s="1" t="s">
        <v>38</v>
      </c>
      <c r="O2068" s="1" t="s">
        <v>46</v>
      </c>
    </row>
    <row r="2069" spans="2:15" x14ac:dyDescent="0.3">
      <c r="B2069" s="1" t="s">
        <v>24</v>
      </c>
      <c r="C2069" s="1" t="str">
        <f>"5-2차"</f>
        <v>5-2차</v>
      </c>
      <c r="D2069" s="1" t="str">
        <f>"0427E7115M"</f>
        <v>0427E7115M</v>
      </c>
      <c r="E2069" s="1" t="s">
        <v>10</v>
      </c>
      <c r="F2069" s="1" t="str">
        <f>"fde1:103:4:6e6d:0:0:0:2"</f>
        <v>fde1:103:4:6e6d:0:0:0:2</v>
      </c>
      <c r="G2069" s="1" t="str">
        <f>"0427E711"</f>
        <v>0427E711</v>
      </c>
      <c r="H2069" s="1" t="str">
        <f>"겸재간 44L9"</f>
        <v>겸재간 44L9</v>
      </c>
      <c r="I2069" s="1" t="s">
        <v>15</v>
      </c>
      <c r="J2069" s="1" t="str">
        <f>"2/48"</f>
        <v>2/48</v>
      </c>
      <c r="K2069" s="1" t="str">
        <f>"2026-07-29 14:20:50"</f>
        <v>2026-07-29 14:20:50</v>
      </c>
      <c r="L2069" s="1" t="str">
        <f>"2023-11-14 09:50:55"</f>
        <v>2023-11-14 09:50:55</v>
      </c>
      <c r="M2069" s="1" t="s">
        <v>4</v>
      </c>
      <c r="N2069" s="1" t="s">
        <v>38</v>
      </c>
      <c r="O2069" s="1" t="s">
        <v>46</v>
      </c>
    </row>
    <row r="2070" spans="2:15" x14ac:dyDescent="0.3">
      <c r="B2070" s="1" t="s">
        <v>24</v>
      </c>
      <c r="C2070" s="1" t="str">
        <f>"5-2차"</f>
        <v>5-2차</v>
      </c>
      <c r="D2070" s="1" t="str">
        <f>"0427E7135M"</f>
        <v>0427E7135M</v>
      </c>
      <c r="E2070" s="1" t="s">
        <v>10</v>
      </c>
      <c r="F2070" s="1" t="str">
        <f>"fde1:103:4:6e75:0:0:0:2"</f>
        <v>fde1:103:4:6e75:0:0:0:2</v>
      </c>
      <c r="G2070" s="1" t="str">
        <f>"0427E713"</f>
        <v>0427E713</v>
      </c>
      <c r="H2070" s="1" t="str">
        <f>"겸재간 44L10"</f>
        <v>겸재간 44L10</v>
      </c>
      <c r="I2070" s="1" t="s">
        <v>15</v>
      </c>
      <c r="J2070" s="1" t="str">
        <f>"44/44"</f>
        <v>44/44</v>
      </c>
      <c r="K2070" s="1" t="str">
        <f>"2026-07-29 14:20:50"</f>
        <v>2026-07-29 14:20:50</v>
      </c>
      <c r="L2070" s="1" t="str">
        <f>"2023-11-14 10:07:11"</f>
        <v>2023-11-14 10:07:11</v>
      </c>
      <c r="M2070" s="1" t="s">
        <v>4</v>
      </c>
      <c r="N2070" s="1" t="s">
        <v>38</v>
      </c>
      <c r="O2070" s="1" t="s">
        <v>46</v>
      </c>
    </row>
    <row r="2071" spans="2:15" x14ac:dyDescent="0.3">
      <c r="B2071" s="1" t="s">
        <v>24</v>
      </c>
      <c r="C2071" s="1" t="str">
        <f>"5-2차"</f>
        <v>5-2차</v>
      </c>
      <c r="D2071" s="1" t="str">
        <f>"0427E7415M"</f>
        <v>0427E7415M</v>
      </c>
      <c r="E2071" s="1" t="s">
        <v>10</v>
      </c>
      <c r="F2071" s="1" t="str">
        <f>"fde1:103:4:6e6c:0:0:0:2"</f>
        <v>fde1:103:4:6e6c:0:0:0:2</v>
      </c>
      <c r="G2071" s="1" t="str">
        <f>"0427E741"</f>
        <v>0427E741</v>
      </c>
      <c r="H2071" s="1" t="str">
        <f>"겸재간 68"</f>
        <v>겸재간 68</v>
      </c>
      <c r="I2071" s="1" t="s">
        <v>15</v>
      </c>
      <c r="J2071" s="1" t="str">
        <f>"55/59"</f>
        <v>55/59</v>
      </c>
      <c r="K2071" s="1" t="str">
        <f>"2026-07-29 14:20:50"</f>
        <v>2026-07-29 14:20:50</v>
      </c>
      <c r="L2071" s="1" t="str">
        <f>"2023-11-14 10:07:36"</f>
        <v>2023-11-14 10:07:36</v>
      </c>
      <c r="M2071" s="1" t="s">
        <v>4</v>
      </c>
      <c r="N2071" s="1" t="s">
        <v>38</v>
      </c>
      <c r="O2071" s="1" t="s">
        <v>46</v>
      </c>
    </row>
    <row r="2072" spans="2:15" x14ac:dyDescent="0.3">
      <c r="B2072" s="1" t="s">
        <v>24</v>
      </c>
      <c r="C2072" s="1" t="str">
        <f>"6차"</f>
        <v>6차</v>
      </c>
      <c r="D2072" s="1" t="str">
        <f>"0427E7426S"</f>
        <v>0427E7426S</v>
      </c>
      <c r="E2072" s="1" t="s">
        <v>10</v>
      </c>
      <c r="F2072" s="1" t="str">
        <f>"fde1:103:4:c67c:0:0:0:2"</f>
        <v>fde1:103:4:c67c:0:0:0:2</v>
      </c>
      <c r="G2072" s="1" t="str">
        <f>"0427E742"</f>
        <v>0427E742</v>
      </c>
      <c r="H2072" s="1" t="str">
        <f>"우림지 32"</f>
        <v>우림지 32</v>
      </c>
      <c r="I2072" s="1" t="s">
        <v>15</v>
      </c>
      <c r="J2072" s="1" t="str">
        <f>"21/21"</f>
        <v>21/21</v>
      </c>
      <c r="K2072" s="1" t="str">
        <f>"2026-07-29 14:20:50"</f>
        <v>2026-07-29 14:20:50</v>
      </c>
      <c r="L2072" s="1" t="str">
        <f>"2024-11-08 14:04:01"</f>
        <v>2024-11-08 14:04:01</v>
      </c>
      <c r="M2072" s="1" t="s">
        <v>4</v>
      </c>
      <c r="N2072" s="1" t="s">
        <v>38</v>
      </c>
      <c r="O2072" s="1" t="s">
        <v>46</v>
      </c>
    </row>
    <row r="2073" spans="2:15" x14ac:dyDescent="0.3">
      <c r="B2073" s="1" t="s">
        <v>24</v>
      </c>
      <c r="C2073" s="1" t="str">
        <f>"1차"</f>
        <v>1차</v>
      </c>
      <c r="D2073" s="1" t="str">
        <f>"0427E75101"</f>
        <v>0427E75101</v>
      </c>
      <c r="E2073" s="1" t="s">
        <v>10</v>
      </c>
      <c r="F2073" s="1" t="str">
        <f>"10.89.246.7"</f>
        <v>10.89.246.7</v>
      </c>
      <c r="G2073" s="1" t="str">
        <f>"0427E751"</f>
        <v>0427E751</v>
      </c>
      <c r="H2073" s="1" t="str">
        <f>"우림지 3R7L3R4"</f>
        <v>우림지 3R7L3R4</v>
      </c>
      <c r="I2073" s="1" t="s">
        <v>8</v>
      </c>
      <c r="J2073" s="1" t="str">
        <f>"31/34"</f>
        <v>31/34</v>
      </c>
      <c r="K2073" s="1" t="str">
        <f>"2026-07-29 13:18:02"</f>
        <v>2026-07-29 13:18:02</v>
      </c>
      <c r="L2073" s="1" t="str">
        <f>"2014-10-29 14:04:14"</f>
        <v>2014-10-29 14:04:14</v>
      </c>
      <c r="M2073" s="1" t="s">
        <v>45</v>
      </c>
      <c r="N2073" s="1" t="s">
        <v>38</v>
      </c>
      <c r="O2073" s="1" t="s">
        <v>46</v>
      </c>
    </row>
    <row r="2074" spans="2:15" x14ac:dyDescent="0.3">
      <c r="B2074" s="1" t="s">
        <v>24</v>
      </c>
      <c r="C2074" s="1" t="str">
        <f>"5-2차"</f>
        <v>5-2차</v>
      </c>
      <c r="D2074" s="1" t="str">
        <f>"0427E7615S"</f>
        <v>0427E7615S</v>
      </c>
      <c r="E2074" s="1" t="s">
        <v>10</v>
      </c>
      <c r="F2074" s="1" t="str">
        <f>"fde3:102:1430:6200:0:0:0:c"</f>
        <v>fde3:102:1430:6200:0:0:0:c</v>
      </c>
      <c r="G2074" s="1" t="str">
        <f>"0427E761"</f>
        <v>0427E761</v>
      </c>
      <c r="H2074" s="1" t="str">
        <f>"우림지 3R7L1"</f>
        <v>우림지 3R7L1</v>
      </c>
      <c r="I2074" s="1" t="s">
        <v>15</v>
      </c>
      <c r="J2074" s="1" t="str">
        <f>"37/39"</f>
        <v>37/39</v>
      </c>
      <c r="K2074" s="1" t="str">
        <f>"2026-07-29 14:20:51"</f>
        <v>2026-07-29 14:20:51</v>
      </c>
      <c r="L2074" s="1" t="str">
        <f>"2023-09-16 10:39:53"</f>
        <v>2023-09-16 10:39:53</v>
      </c>
      <c r="M2074" s="1" t="s">
        <v>45</v>
      </c>
      <c r="N2074" s="1" t="s">
        <v>38</v>
      </c>
      <c r="O2074" s="1" t="s">
        <v>46</v>
      </c>
    </row>
    <row r="2075" spans="2:15" x14ac:dyDescent="0.3">
      <c r="B2075" s="1" t="s">
        <v>24</v>
      </c>
      <c r="C2075" s="1" t="str">
        <f>"6차"</f>
        <v>6차</v>
      </c>
      <c r="D2075" s="1" t="str">
        <f>"0427E7626S"</f>
        <v>0427E7626S</v>
      </c>
      <c r="E2075" s="1" t="s">
        <v>10</v>
      </c>
      <c r="F2075" s="1" t="str">
        <f>"fde1:103:4:c684:0:0:0:2"</f>
        <v>fde1:103:4:c684:0:0:0:2</v>
      </c>
      <c r="G2075" s="1" t="str">
        <f>"0427E762"</f>
        <v>0427E762</v>
      </c>
      <c r="H2075" s="1" t="str">
        <f>"우림지 3R8L2"</f>
        <v>우림지 3R8L2</v>
      </c>
      <c r="I2075" s="1" t="s">
        <v>15</v>
      </c>
      <c r="J2075" s="1" t="str">
        <f>"48/49"</f>
        <v>48/49</v>
      </c>
      <c r="K2075" s="1" t="str">
        <f>"2026-07-29 14:20:50"</f>
        <v>2026-07-29 14:20:50</v>
      </c>
      <c r="L2075" s="1" t="str">
        <f>"2024-09-26 19:43:28"</f>
        <v>2024-09-26 19:43:28</v>
      </c>
      <c r="M2075" s="1" t="s">
        <v>4</v>
      </c>
      <c r="N2075" s="1" t="s">
        <v>38</v>
      </c>
      <c r="O2075" s="1" t="s">
        <v>46</v>
      </c>
    </row>
    <row r="2076" spans="2:15" x14ac:dyDescent="0.3">
      <c r="B2076" s="1" t="s">
        <v>24</v>
      </c>
      <c r="C2076" s="1" t="str">
        <f>"5-2차"</f>
        <v>5-2차</v>
      </c>
      <c r="D2076" s="1" t="str">
        <f>"0427E7725S"</f>
        <v>0427E7725S</v>
      </c>
      <c r="E2076" s="1" t="s">
        <v>10</v>
      </c>
      <c r="F2076" s="1" t="str">
        <f>"fde3:102:1430:6200:0:0:0:b"</f>
        <v>fde3:102:1430:6200:0:0:0:b</v>
      </c>
      <c r="G2076" s="1" t="str">
        <f>"0427E772"</f>
        <v>0427E772</v>
      </c>
      <c r="H2076" s="1" t="str">
        <f>"우림지 3R6R1"</f>
        <v>우림지 3R6R1</v>
      </c>
      <c r="I2076" s="1" t="s">
        <v>15</v>
      </c>
      <c r="J2076" s="1" t="str">
        <f>"43/43"</f>
        <v>43/43</v>
      </c>
      <c r="K2076" s="1" t="str">
        <f>"2026-07-29 14:20:51"</f>
        <v>2026-07-29 14:20:51</v>
      </c>
      <c r="L2076" s="1" t="str">
        <f>"2023-09-16 08:59:17"</f>
        <v>2023-09-16 08:59:17</v>
      </c>
      <c r="M2076" s="1" t="s">
        <v>45</v>
      </c>
      <c r="N2076" s="1" t="s">
        <v>38</v>
      </c>
      <c r="O2076" s="1" t="s">
        <v>46</v>
      </c>
    </row>
    <row r="2077" spans="2:15" x14ac:dyDescent="0.3">
      <c r="B2077" s="1" t="s">
        <v>24</v>
      </c>
      <c r="C2077" s="1" t="str">
        <f>"5-2차"</f>
        <v>5-2차</v>
      </c>
      <c r="D2077" s="1" t="str">
        <f>"0427E7825S"</f>
        <v>0427E7825S</v>
      </c>
      <c r="E2077" s="1" t="s">
        <v>10</v>
      </c>
      <c r="F2077" s="1" t="str">
        <f>"fde3:102:1430:8200:0:0:0:1f"</f>
        <v>fde3:102:1430:8200:0:0:0:1f</v>
      </c>
      <c r="G2077" s="1" t="str">
        <f>"0427E782"</f>
        <v>0427E782</v>
      </c>
      <c r="H2077" s="1" t="str">
        <f>"우림지 3R7L3L4"</f>
        <v>우림지 3R7L3L4</v>
      </c>
      <c r="I2077" s="1" t="s">
        <v>15</v>
      </c>
      <c r="J2077" s="1" t="str">
        <f>"70/70"</f>
        <v>70/70</v>
      </c>
      <c r="K2077" s="1" t="str">
        <f>"2026-07-29 14:20:51"</f>
        <v>2026-07-29 14:20:51</v>
      </c>
      <c r="L2077" s="1" t="str">
        <f>"2023-09-16 09:32:49"</f>
        <v>2023-09-16 09:32:49</v>
      </c>
      <c r="M2077" s="1" t="s">
        <v>45</v>
      </c>
      <c r="N2077" s="1" t="s">
        <v>38</v>
      </c>
      <c r="O2077" s="1" t="s">
        <v>46</v>
      </c>
    </row>
    <row r="2078" spans="2:15" x14ac:dyDescent="0.3">
      <c r="B2078" s="1" t="s">
        <v>24</v>
      </c>
      <c r="C2078" s="1" t="str">
        <f>"5-2차"</f>
        <v>5-2차</v>
      </c>
      <c r="D2078" s="1" t="str">
        <f>"0427E7835S"</f>
        <v>0427E7835S</v>
      </c>
      <c r="E2078" s="1" t="s">
        <v>10</v>
      </c>
      <c r="F2078" s="1" t="str">
        <f>"fde3:102:1430:8200:0:0:0:20"</f>
        <v>fde3:102:1430:8200:0:0:0:20</v>
      </c>
      <c r="G2078" s="1" t="str">
        <f>"0427E783"</f>
        <v>0427E783</v>
      </c>
      <c r="H2078" s="1" t="str">
        <f>"우림지 3R7L3L2"</f>
        <v>우림지 3R7L3L2</v>
      </c>
      <c r="I2078" s="1" t="s">
        <v>15</v>
      </c>
      <c r="J2078" s="1" t="str">
        <f>"26/26"</f>
        <v>26/26</v>
      </c>
      <c r="K2078" s="1" t="str">
        <f>"2026-07-29 14:20:51"</f>
        <v>2026-07-29 14:20:51</v>
      </c>
      <c r="L2078" s="1" t="str">
        <f>"2023-09-16 10:04:54"</f>
        <v>2023-09-16 10:04:54</v>
      </c>
      <c r="M2078" s="1" t="s">
        <v>45</v>
      </c>
      <c r="N2078" s="1" t="s">
        <v>38</v>
      </c>
      <c r="O2078" s="1" t="s">
        <v>46</v>
      </c>
    </row>
    <row r="2079" spans="2:15" x14ac:dyDescent="0.3">
      <c r="B2079" s="1" t="s">
        <v>24</v>
      </c>
      <c r="C2079" s="1" t="str">
        <f>"5-2차"</f>
        <v>5-2차</v>
      </c>
      <c r="D2079" s="1" t="str">
        <f>"0427E8325M"</f>
        <v>0427E8325M</v>
      </c>
      <c r="E2079" s="1" t="s">
        <v>10</v>
      </c>
      <c r="F2079" s="1" t="str">
        <f>"fde1:103:4:6e74:0:0:0:2"</f>
        <v>fde1:103:4:6e74:0:0:0:2</v>
      </c>
      <c r="G2079" s="1" t="str">
        <f>"0427E832"</f>
        <v>0427E832</v>
      </c>
      <c r="H2079" s="1" t="str">
        <f>"겸재간 17L8"</f>
        <v>겸재간 17L8</v>
      </c>
      <c r="I2079" s="1" t="s">
        <v>15</v>
      </c>
      <c r="J2079" s="1" t="str">
        <f>"92/101"</f>
        <v>92/101</v>
      </c>
      <c r="K2079" s="1" t="str">
        <f>"2026-07-29 14:20:53"</f>
        <v>2026-07-29 14:20:53</v>
      </c>
      <c r="L2079" s="1" t="str">
        <f>"2023-11-14 10:50:34"</f>
        <v>2023-11-14 10:50:34</v>
      </c>
      <c r="M2079" s="1" t="s">
        <v>4</v>
      </c>
      <c r="N2079" s="1" t="s">
        <v>38</v>
      </c>
      <c r="O2079" s="1" t="s">
        <v>46</v>
      </c>
    </row>
    <row r="2080" spans="2:15" x14ac:dyDescent="0.3">
      <c r="B2080" s="1" t="s">
        <v>24</v>
      </c>
      <c r="C2080" s="1" t="str">
        <f>"6차"</f>
        <v>6차</v>
      </c>
      <c r="D2080" s="1" t="str">
        <f>"0427E8426S"</f>
        <v>0427E8426S</v>
      </c>
      <c r="E2080" s="1" t="s">
        <v>10</v>
      </c>
      <c r="F2080" s="1" t="str">
        <f>"fde1:103:4:c65f:0:0:0:2"</f>
        <v>fde1:103:4:c65f:0:0:0:2</v>
      </c>
      <c r="G2080" s="1" t="str">
        <f>"0427E842"</f>
        <v>0427E842</v>
      </c>
      <c r="H2080" s="1" t="str">
        <f>"우림지 31"</f>
        <v>우림지 31</v>
      </c>
      <c r="I2080" s="1" t="s">
        <v>15</v>
      </c>
      <c r="J2080" s="1" t="str">
        <f>"50/50"</f>
        <v>50/50</v>
      </c>
      <c r="K2080" s="1" t="str">
        <f>"2026-07-29 14:20:50"</f>
        <v>2026-07-29 14:20:50</v>
      </c>
      <c r="L2080" s="1" t="str">
        <f>"2024-11-08 14:07:21"</f>
        <v>2024-11-08 14:07:21</v>
      </c>
      <c r="M2080" s="1" t="s">
        <v>4</v>
      </c>
      <c r="N2080" s="1" t="s">
        <v>38</v>
      </c>
      <c r="O2080" s="1" t="s">
        <v>46</v>
      </c>
    </row>
    <row r="2081" spans="2:15" x14ac:dyDescent="0.3">
      <c r="B2081" s="1" t="s">
        <v>24</v>
      </c>
      <c r="C2081" s="1" t="str">
        <f>"1차"</f>
        <v>1차</v>
      </c>
      <c r="D2081" s="1" t="str">
        <f>"0427E85100"</f>
        <v>0427E85100</v>
      </c>
      <c r="E2081" s="1" t="s">
        <v>10</v>
      </c>
      <c r="F2081" s="1" t="str">
        <f>"10.89.246.6"</f>
        <v>10.89.246.6</v>
      </c>
      <c r="G2081" s="1" t="str">
        <f>"0427E851"</f>
        <v>0427E851</v>
      </c>
      <c r="H2081" s="1" t="str">
        <f>"우림지 25L3R3"</f>
        <v>우림지 25L3R3</v>
      </c>
      <c r="I2081" s="1" t="s">
        <v>8</v>
      </c>
      <c r="J2081" s="1" t="str">
        <f>"33/34"</f>
        <v>33/34</v>
      </c>
      <c r="K2081" s="1" t="str">
        <f>"2026-07-29 13:18:03"</f>
        <v>2026-07-29 13:18:03</v>
      </c>
      <c r="L2081" s="1" t="str">
        <f>"2014-10-01 11:12:41"</f>
        <v>2014-10-01 11:12:41</v>
      </c>
      <c r="M2081" s="1" t="s">
        <v>45</v>
      </c>
      <c r="N2081" s="1" t="s">
        <v>38</v>
      </c>
      <c r="O2081" s="1" t="s">
        <v>46</v>
      </c>
    </row>
    <row r="2082" spans="2:15" x14ac:dyDescent="0.3">
      <c r="B2082" s="1" t="s">
        <v>24</v>
      </c>
      <c r="C2082" s="1" t="str">
        <f>"5-2차"</f>
        <v>5-2차</v>
      </c>
      <c r="D2082" s="1" t="str">
        <f>"0427E8715M"</f>
        <v>0427E8715M</v>
      </c>
      <c r="E2082" s="1" t="s">
        <v>10</v>
      </c>
      <c r="F2082" s="1" t="str">
        <f>"fde1:103:4:6e70:0:0:0:2"</f>
        <v>fde1:103:4:6e70:0:0:0:2</v>
      </c>
      <c r="G2082" s="1" t="str">
        <f>"0427E871"</f>
        <v>0427E871</v>
      </c>
      <c r="H2082" s="1" t="str">
        <f>"우림지 3R7L3"</f>
        <v>우림지 3R7L3</v>
      </c>
      <c r="I2082" s="1" t="s">
        <v>15</v>
      </c>
      <c r="J2082" s="1" t="str">
        <f>"35/35"</f>
        <v>35/35</v>
      </c>
      <c r="K2082" s="1" t="str">
        <f>"2026-07-29 14:20:52"</f>
        <v>2026-07-29 14:20:52</v>
      </c>
      <c r="L2082" s="1" t="str">
        <f>"2023-11-14 11:09:31"</f>
        <v>2023-11-14 11:09:31</v>
      </c>
      <c r="M2082" s="1" t="s">
        <v>4</v>
      </c>
      <c r="N2082" s="1" t="s">
        <v>38</v>
      </c>
      <c r="O2082" s="1" t="s">
        <v>46</v>
      </c>
    </row>
    <row r="2083" spans="2:15" x14ac:dyDescent="0.3">
      <c r="B2083" s="1" t="s">
        <v>24</v>
      </c>
      <c r="C2083" s="1" t="str">
        <f>"5-2차"</f>
        <v>5-2차</v>
      </c>
      <c r="D2083" s="1" t="str">
        <f>"0427E8725S"</f>
        <v>0427E8725S</v>
      </c>
      <c r="E2083" s="1" t="s">
        <v>10</v>
      </c>
      <c r="F2083" s="1" t="str">
        <f>"fde3:102:1430:6200:0:0:0:a"</f>
        <v>fde3:102:1430:6200:0:0:0:a</v>
      </c>
      <c r="G2083" s="1" t="str">
        <f>"0427E872"</f>
        <v>0427E872</v>
      </c>
      <c r="H2083" s="1" t="str">
        <f>"우림지 3R7L3L1"</f>
        <v>우림지 3R7L3L1</v>
      </c>
      <c r="I2083" s="1" t="s">
        <v>15</v>
      </c>
      <c r="J2083" s="1" t="str">
        <f>"37/37"</f>
        <v>37/37</v>
      </c>
      <c r="K2083" s="1" t="str">
        <f>"2026-07-29 14:20:49"</f>
        <v>2026-07-29 14:20:49</v>
      </c>
      <c r="L2083" s="1" t="str">
        <f>"2023-11-02 15:12:04"</f>
        <v>2023-11-02 15:12:04</v>
      </c>
      <c r="M2083" s="1" t="s">
        <v>45</v>
      </c>
      <c r="N2083" s="1" t="s">
        <v>38</v>
      </c>
      <c r="O2083" s="1" t="s">
        <v>46</v>
      </c>
    </row>
    <row r="2084" spans="2:15" x14ac:dyDescent="0.3">
      <c r="B2084" s="1" t="s">
        <v>24</v>
      </c>
      <c r="C2084" s="1" t="str">
        <f>"5-2차"</f>
        <v>5-2차</v>
      </c>
      <c r="D2084" s="1" t="str">
        <f>"0427E8915M"</f>
        <v>0427E8915M</v>
      </c>
      <c r="E2084" s="1" t="s">
        <v>10</v>
      </c>
      <c r="F2084" s="1" t="str">
        <f>"fde3:102:1430:8200:0:0:0:1e"</f>
        <v>fde3:102:1430:8200:0:0:0:1e</v>
      </c>
      <c r="G2084" s="1" t="str">
        <f>"0427E891"</f>
        <v>0427E891</v>
      </c>
      <c r="H2084" s="1" t="str">
        <f>"우림지 8"</f>
        <v>우림지 8</v>
      </c>
      <c r="I2084" s="1" t="s">
        <v>15</v>
      </c>
      <c r="J2084" s="1" t="str">
        <f>"65/65"</f>
        <v>65/65</v>
      </c>
      <c r="K2084" s="1" t="str">
        <f>"2026-07-29 14:20:59"</f>
        <v>2026-07-29 14:20:59</v>
      </c>
      <c r="L2084" s="1" t="str">
        <f>"2023-09-16 08:27:09"</f>
        <v>2023-09-16 08:27:09</v>
      </c>
      <c r="M2084" s="1" t="s">
        <v>45</v>
      </c>
      <c r="N2084" s="1" t="s">
        <v>38</v>
      </c>
      <c r="O2084" s="1" t="s">
        <v>46</v>
      </c>
    </row>
    <row r="2085" spans="2:15" x14ac:dyDescent="0.3">
      <c r="B2085" s="1" t="s">
        <v>24</v>
      </c>
      <c r="C2085" s="1" t="str">
        <f>"3차"</f>
        <v>3차</v>
      </c>
      <c r="D2085" s="1" t="str">
        <f>"0427E95239"</f>
        <v>0427E95239</v>
      </c>
      <c r="E2085" s="1" t="s">
        <v>10</v>
      </c>
      <c r="F2085" s="1" t="str">
        <f>"10.12.130.206"</f>
        <v>10.12.130.206</v>
      </c>
      <c r="G2085" s="1" t="str">
        <f>"0427E952"</f>
        <v>0427E952</v>
      </c>
      <c r="H2085" s="1" t="str">
        <f>"우림지 29"</f>
        <v>우림지 29</v>
      </c>
      <c r="I2085" s="1" t="s">
        <v>8</v>
      </c>
      <c r="J2085" s="1" t="str">
        <f>"22/22"</f>
        <v>22/22</v>
      </c>
      <c r="K2085" s="1" t="str">
        <f>"2026-07-29 13:18:05"</f>
        <v>2026-07-29 13:18:05</v>
      </c>
      <c r="L2085" s="1" t="str">
        <f>"2023-07-24 17:30:03"</f>
        <v>2023-07-24 17:30:03</v>
      </c>
      <c r="M2085" s="1" t="s">
        <v>0</v>
      </c>
      <c r="N2085" s="1" t="s">
        <v>38</v>
      </c>
      <c r="O2085" s="1" t="s">
        <v>46</v>
      </c>
    </row>
    <row r="2086" spans="2:15" x14ac:dyDescent="0.3">
      <c r="B2086" s="1" t="s">
        <v>24</v>
      </c>
      <c r="C2086" s="1" t="str">
        <f>"1차"</f>
        <v>1차</v>
      </c>
      <c r="D2086" s="1" t="str">
        <f>"0427E96100"</f>
        <v>0427E96100</v>
      </c>
      <c r="E2086" s="1" t="s">
        <v>10</v>
      </c>
      <c r="F2086" s="1" t="str">
        <f>"10.89.246.9"</f>
        <v>10.89.246.9</v>
      </c>
      <c r="G2086" s="1" t="str">
        <f>"0427E961"</f>
        <v>0427E961</v>
      </c>
      <c r="H2086" s="1" t="str">
        <f>"우림지 25L3R1"</f>
        <v>우림지 25L3R1</v>
      </c>
      <c r="I2086" s="1" t="s">
        <v>8</v>
      </c>
      <c r="J2086" s="1" t="str">
        <f>"18/18"</f>
        <v>18/18</v>
      </c>
      <c r="K2086" s="1" t="str">
        <f>"2026-07-29 13:18:03"</f>
        <v>2026-07-29 13:18:03</v>
      </c>
      <c r="L2086" s="1" t="str">
        <f>"2014-11-04 00:26:06"</f>
        <v>2014-11-04 00:26:06</v>
      </c>
      <c r="M2086" s="1" t="s">
        <v>45</v>
      </c>
      <c r="N2086" s="1" t="s">
        <v>38</v>
      </c>
      <c r="O2086" s="1" t="s">
        <v>46</v>
      </c>
    </row>
    <row r="2087" spans="2:15" x14ac:dyDescent="0.3">
      <c r="B2087" s="1" t="s">
        <v>24</v>
      </c>
      <c r="C2087" s="1" t="str">
        <f>"1차"</f>
        <v>1차</v>
      </c>
      <c r="D2087" s="1" t="str">
        <f>"0427E96201"</f>
        <v>0427E96201</v>
      </c>
      <c r="E2087" s="1" t="s">
        <v>10</v>
      </c>
      <c r="F2087" s="1" t="str">
        <f>"10.89.246.8"</f>
        <v>10.89.246.8</v>
      </c>
      <c r="G2087" s="1" t="str">
        <f>"0427E962"</f>
        <v>0427E962</v>
      </c>
      <c r="H2087" s="1" t="str">
        <f>"우림지 25L3R2"</f>
        <v>우림지 25L3R2</v>
      </c>
      <c r="I2087" s="1" t="s">
        <v>8</v>
      </c>
      <c r="J2087" s="1" t="str">
        <f>"21/21"</f>
        <v>21/21</v>
      </c>
      <c r="K2087" s="1" t="str">
        <f>"2026-07-29 13:18:05"</f>
        <v>2026-07-29 13:18:05</v>
      </c>
      <c r="L2087" s="1" t="str">
        <f>"2014-10-29 14:04:33"</f>
        <v>2014-10-29 14:04:33</v>
      </c>
      <c r="M2087" s="1" t="s">
        <v>45</v>
      </c>
      <c r="N2087" s="1" t="s">
        <v>38</v>
      </c>
      <c r="O2087" s="1" t="s">
        <v>46</v>
      </c>
    </row>
    <row r="2088" spans="2:15" x14ac:dyDescent="0.3">
      <c r="B2088" s="1" t="s">
        <v>24</v>
      </c>
      <c r="C2088" s="1" t="str">
        <f>"3차"</f>
        <v>3차</v>
      </c>
      <c r="D2088" s="1" t="str">
        <f>"0427E97239"</f>
        <v>0427E97239</v>
      </c>
      <c r="E2088" s="1" t="s">
        <v>10</v>
      </c>
      <c r="F2088" s="1" t="str">
        <f>"10.89.248.13"</f>
        <v>10.89.248.13</v>
      </c>
      <c r="G2088" s="1" t="str">
        <f>"0427E972"</f>
        <v>0427E972</v>
      </c>
      <c r="H2088" s="1" t="str">
        <f>"우림지 3R7L5"</f>
        <v>우림지 3R7L5</v>
      </c>
      <c r="I2088" s="1" t="s">
        <v>8</v>
      </c>
      <c r="J2088" s="1" t="str">
        <f>"66/66"</f>
        <v>66/66</v>
      </c>
      <c r="K2088" s="1" t="str">
        <f>"2026-07-29 13:18:03"</f>
        <v>2026-07-29 13:18:03</v>
      </c>
      <c r="L2088" s="1" t="str">
        <f>"2023-07-27 17:04:54"</f>
        <v>2023-07-27 17:04:54</v>
      </c>
      <c r="M2088" s="1" t="s">
        <v>45</v>
      </c>
      <c r="N2088" s="1" t="s">
        <v>38</v>
      </c>
      <c r="O2088" s="1" t="s">
        <v>46</v>
      </c>
    </row>
    <row r="2089" spans="2:15" x14ac:dyDescent="0.3">
      <c r="B2089" s="1" t="s">
        <v>24</v>
      </c>
      <c r="C2089" s="1" t="str">
        <f>"5-1차"</f>
        <v>5-1차</v>
      </c>
      <c r="D2089" s="1" t="str">
        <f>"0427E9915S"</f>
        <v>0427E9915S</v>
      </c>
      <c r="E2089" s="1" t="s">
        <v>10</v>
      </c>
      <c r="F2089" s="1" t="str">
        <f>"fde3:102:1430:8200:0:0:0:2"</f>
        <v>fde3:102:1430:8200:0:0:0:2</v>
      </c>
      <c r="G2089" s="1" t="str">
        <f>"0427E991"</f>
        <v>0427E991</v>
      </c>
      <c r="H2089" s="1" t="str">
        <f>"우림지 9"</f>
        <v>우림지 9</v>
      </c>
      <c r="I2089" s="1" t="s">
        <v>15</v>
      </c>
      <c r="J2089" s="1" t="str">
        <f>"13/13"</f>
        <v>13/13</v>
      </c>
      <c r="K2089" s="1" t="str">
        <f>"2026-07-29 14:20:52"</f>
        <v>2026-07-29 14:20:52</v>
      </c>
      <c r="L2089" s="1" t="str">
        <f>"2022-11-21 09:03:22"</f>
        <v>2022-11-21 09:03:22</v>
      </c>
      <c r="M2089" s="1" t="s">
        <v>45</v>
      </c>
      <c r="N2089" s="1" t="s">
        <v>38</v>
      </c>
      <c r="O2089" s="1" t="s">
        <v>46</v>
      </c>
    </row>
    <row r="2090" spans="2:15" x14ac:dyDescent="0.3">
      <c r="B2090" s="1" t="s">
        <v>24</v>
      </c>
      <c r="C2090" s="1" t="str">
        <f>"5-2차"</f>
        <v>5-2차</v>
      </c>
      <c r="D2090" s="1" t="str">
        <f>"0427F0125M"</f>
        <v>0427F0125M</v>
      </c>
      <c r="E2090" s="1" t="s">
        <v>10</v>
      </c>
      <c r="F2090" s="1" t="str">
        <f>"fde3:102:1430:8200:0:0:0:6"</f>
        <v>fde3:102:1430:8200:0:0:0:6</v>
      </c>
      <c r="G2090" s="1" t="str">
        <f>"0427F012"</f>
        <v>0427F012</v>
      </c>
      <c r="H2090" s="1" t="str">
        <f>"겸재간 44L3R5"</f>
        <v>겸재간 44L3R5</v>
      </c>
      <c r="I2090" s="1" t="s">
        <v>15</v>
      </c>
      <c r="J2090" s="1" t="str">
        <f>"33/34"</f>
        <v>33/34</v>
      </c>
      <c r="K2090" s="1" t="str">
        <f>"2026-07-29 14:20:50"</f>
        <v>2026-07-29 14:20:50</v>
      </c>
      <c r="L2090" s="1" t="str">
        <f>"2023-09-16 13:27:47"</f>
        <v>2023-09-16 13:27:47</v>
      </c>
      <c r="M2090" s="1" t="s">
        <v>45</v>
      </c>
      <c r="N2090" s="1" t="s">
        <v>38</v>
      </c>
      <c r="O2090" s="1" t="s">
        <v>46</v>
      </c>
    </row>
    <row r="2091" spans="2:15" x14ac:dyDescent="0.3">
      <c r="B2091" s="1" t="s">
        <v>24</v>
      </c>
      <c r="C2091" s="1" t="str">
        <f>"5-2차"</f>
        <v>5-2차</v>
      </c>
      <c r="D2091" s="1" t="str">
        <f>"0427F0335S"</f>
        <v>0427F0335S</v>
      </c>
      <c r="E2091" s="1" t="s">
        <v>10</v>
      </c>
      <c r="F2091" s="1" t="str">
        <f>"fde3:102:1430:8200:0:0:0:b"</f>
        <v>fde3:102:1430:8200:0:0:0:b</v>
      </c>
      <c r="G2091" s="1" t="str">
        <f>"0427F033"</f>
        <v>0427F033</v>
      </c>
      <c r="H2091" s="1" t="str">
        <f>"겸재간 64L1L1"</f>
        <v>겸재간 64L1L1</v>
      </c>
      <c r="I2091" s="1" t="s">
        <v>15</v>
      </c>
      <c r="J2091" s="1" t="str">
        <f>"34/34"</f>
        <v>34/34</v>
      </c>
      <c r="K2091" s="1" t="str">
        <f>"2026-07-29 14:20:51"</f>
        <v>2026-07-29 14:20:51</v>
      </c>
      <c r="L2091" s="1" t="str">
        <f>"2023-09-16 11:49:20"</f>
        <v>2023-09-16 11:49:20</v>
      </c>
      <c r="M2091" s="1" t="s">
        <v>45</v>
      </c>
      <c r="N2091" s="1" t="s">
        <v>38</v>
      </c>
      <c r="O2091" s="1" t="s">
        <v>46</v>
      </c>
    </row>
    <row r="2092" spans="2:15" x14ac:dyDescent="0.3">
      <c r="B2092" s="1" t="s">
        <v>24</v>
      </c>
      <c r="C2092" s="1" t="str">
        <f>"1차"</f>
        <v>1차</v>
      </c>
      <c r="D2092" s="1" t="str">
        <f>"0427F06101"</f>
        <v>0427F06101</v>
      </c>
      <c r="E2092" s="1" t="s">
        <v>10</v>
      </c>
      <c r="F2092" s="1" t="str">
        <f>"10.12.130.23"</f>
        <v>10.12.130.23</v>
      </c>
      <c r="G2092" s="1" t="str">
        <f>"0427F061"</f>
        <v>0427F061</v>
      </c>
      <c r="H2092" s="1" t="str">
        <f>"우림지 28R2"</f>
        <v>우림지 28R2</v>
      </c>
      <c r="I2092" s="1" t="s">
        <v>8</v>
      </c>
      <c r="J2092" s="1" t="str">
        <f>"39/39"</f>
        <v>39/39</v>
      </c>
      <c r="K2092" s="1" t="str">
        <f>"2026-07-29 13:18:03"</f>
        <v>2026-07-29 13:18:03</v>
      </c>
      <c r="L2092" s="1" t="str">
        <f>"2017-07-03 17:00:30"</f>
        <v>2017-07-03 17:00:30</v>
      </c>
      <c r="M2092" s="1" t="s">
        <v>0</v>
      </c>
      <c r="N2092" s="1" t="s">
        <v>38</v>
      </c>
      <c r="O2092" s="1" t="s">
        <v>46</v>
      </c>
    </row>
    <row r="2093" spans="2:15" x14ac:dyDescent="0.3">
      <c r="B2093" s="1" t="s">
        <v>24</v>
      </c>
      <c r="C2093" s="1" t="str">
        <f>"1차"</f>
        <v>1차</v>
      </c>
      <c r="D2093" s="1" t="str">
        <f>"0427F06200"</f>
        <v>0427F06200</v>
      </c>
      <c r="E2093" s="1" t="s">
        <v>10</v>
      </c>
      <c r="F2093" s="1" t="str">
        <f>"10.89.248.10"</f>
        <v>10.89.248.10</v>
      </c>
      <c r="G2093" s="1" t="str">
        <f>"0427F062"</f>
        <v>0427F062</v>
      </c>
      <c r="H2093" s="1" t="str">
        <f>"우림지 34L3"</f>
        <v>우림지 34L3</v>
      </c>
      <c r="I2093" s="1" t="s">
        <v>8</v>
      </c>
      <c r="J2093" s="1" t="str">
        <f>"9/9"</f>
        <v>9/9</v>
      </c>
      <c r="K2093" s="1" t="str">
        <f>"2026-07-29 13:18:03"</f>
        <v>2026-07-29 13:18:03</v>
      </c>
      <c r="L2093" s="1" t="str">
        <f>"2014-10-29 15:29:46"</f>
        <v>2014-10-29 15:29:46</v>
      </c>
      <c r="M2093" s="1" t="s">
        <v>45</v>
      </c>
      <c r="N2093" s="1" t="s">
        <v>38</v>
      </c>
      <c r="O2093" s="1" t="s">
        <v>46</v>
      </c>
    </row>
    <row r="2094" spans="2:15" x14ac:dyDescent="0.3">
      <c r="B2094" s="1" t="s">
        <v>24</v>
      </c>
      <c r="C2094" s="1" t="str">
        <f>"5-1차"</f>
        <v>5-1차</v>
      </c>
      <c r="D2094" s="1" t="str">
        <f>"0427F0815M"</f>
        <v>0427F0815M</v>
      </c>
      <c r="E2094" s="1" t="s">
        <v>10</v>
      </c>
      <c r="F2094" s="1" t="str">
        <f>"fde3:102:1430:8200:0:0:0:3"</f>
        <v>fde3:102:1430:8200:0:0:0:3</v>
      </c>
      <c r="G2094" s="1" t="str">
        <f>"0427F081"</f>
        <v>0427F081</v>
      </c>
      <c r="H2094" s="1" t="str">
        <f>"우림지 10"</f>
        <v>우림지 10</v>
      </c>
      <c r="I2094" s="1" t="s">
        <v>15</v>
      </c>
      <c r="J2094" s="1" t="str">
        <f>"74/74"</f>
        <v>74/74</v>
      </c>
      <c r="K2094" s="1" t="str">
        <f>"2026-07-29 14:20:52"</f>
        <v>2026-07-29 14:20:52</v>
      </c>
      <c r="L2094" s="1" t="str">
        <f>"2022-11-23 10:00:45"</f>
        <v>2022-11-23 10:00:45</v>
      </c>
      <c r="M2094" s="1" t="s">
        <v>45</v>
      </c>
      <c r="N2094" s="1" t="s">
        <v>38</v>
      </c>
      <c r="O2094" s="1" t="s">
        <v>46</v>
      </c>
    </row>
    <row r="2095" spans="2:15" x14ac:dyDescent="0.3">
      <c r="B2095" s="1" t="s">
        <v>24</v>
      </c>
      <c r="C2095" s="1" t="str">
        <f>"5-2차"</f>
        <v>5-2차</v>
      </c>
      <c r="D2095" s="1" t="str">
        <f>"0427F0925M"</f>
        <v>0427F0925M</v>
      </c>
      <c r="E2095" s="1" t="s">
        <v>10</v>
      </c>
      <c r="F2095" s="1" t="str">
        <f>"fde3:102:1430:8200:0:0:0:1d"</f>
        <v>fde3:102:1430:8200:0:0:0:1d</v>
      </c>
      <c r="G2095" s="1" t="str">
        <f>"0427F092"</f>
        <v>0427F092</v>
      </c>
      <c r="H2095" s="1" t="str">
        <f>"우림지 10L2"</f>
        <v>우림지 10L2</v>
      </c>
      <c r="I2095" s="1" t="s">
        <v>15</v>
      </c>
      <c r="J2095" s="1" t="str">
        <f>"52/52"</f>
        <v>52/52</v>
      </c>
      <c r="K2095" s="1" t="str">
        <f>"2026-07-29 14:20:52"</f>
        <v>2026-07-29 14:20:52</v>
      </c>
      <c r="L2095" s="1" t="str">
        <f>"2023-09-21 10:13:51"</f>
        <v>2023-09-21 10:13:51</v>
      </c>
      <c r="M2095" s="1" t="s">
        <v>45</v>
      </c>
      <c r="N2095" s="1" t="s">
        <v>38</v>
      </c>
      <c r="O2095" s="1" t="s">
        <v>46</v>
      </c>
    </row>
    <row r="2096" spans="2:15" x14ac:dyDescent="0.3">
      <c r="B2096" s="1" t="s">
        <v>24</v>
      </c>
      <c r="C2096" s="1" t="str">
        <f>"5-2차"</f>
        <v>5-2차</v>
      </c>
      <c r="D2096" s="1" t="str">
        <f>"0427F1225M"</f>
        <v>0427F1225M</v>
      </c>
      <c r="E2096" s="1" t="s">
        <v>10</v>
      </c>
      <c r="F2096" s="1" t="str">
        <f>"fde3:102:1430:8200:0:0:0:8"</f>
        <v>fde3:102:1430:8200:0:0:0:8</v>
      </c>
      <c r="G2096" s="1" t="str">
        <f>"0427F122"</f>
        <v>0427F122</v>
      </c>
      <c r="H2096" s="1" t="str">
        <f>"겸재간 64L4"</f>
        <v>겸재간 64L4</v>
      </c>
      <c r="I2096" s="1" t="s">
        <v>15</v>
      </c>
      <c r="J2096" s="1" t="str">
        <f>"61/61"</f>
        <v>61/61</v>
      </c>
      <c r="K2096" s="1" t="str">
        <f>"2026-07-29 14:20:52"</f>
        <v>2026-07-29 14:20:52</v>
      </c>
      <c r="L2096" s="1" t="str">
        <f>"2023-09-18 17:21:12"</f>
        <v>2023-09-18 17:21:12</v>
      </c>
      <c r="M2096" s="1" t="s">
        <v>45</v>
      </c>
      <c r="N2096" s="1" t="s">
        <v>38</v>
      </c>
      <c r="O2096" s="1" t="s">
        <v>46</v>
      </c>
    </row>
    <row r="2097" spans="2:15" x14ac:dyDescent="0.3">
      <c r="B2097" s="1" t="s">
        <v>24</v>
      </c>
      <c r="C2097" s="1" t="str">
        <f>"5-2차"</f>
        <v>5-2차</v>
      </c>
      <c r="D2097" s="1" t="str">
        <f>"0427F1315M"</f>
        <v>0427F1315M</v>
      </c>
      <c r="E2097" s="1" t="s">
        <v>10</v>
      </c>
      <c r="F2097" s="1" t="str">
        <f>"fde3:102:1430:8200:0:0:0:7"</f>
        <v>fde3:102:1430:8200:0:0:0:7</v>
      </c>
      <c r="G2097" s="1" t="str">
        <f>"0427F131"</f>
        <v>0427F131</v>
      </c>
      <c r="H2097" s="1" t="str">
        <f>"겸재간 64L5"</f>
        <v>겸재간 64L5</v>
      </c>
      <c r="I2097" s="1" t="s">
        <v>15</v>
      </c>
      <c r="J2097" s="1" t="str">
        <f>"78/80"</f>
        <v>78/80</v>
      </c>
      <c r="K2097" s="1" t="str">
        <f>"2026-07-29 14:20:50"</f>
        <v>2026-07-29 14:20:50</v>
      </c>
      <c r="L2097" s="1" t="str">
        <f>"2023-10-04 10:05:27"</f>
        <v>2023-10-04 10:05:27</v>
      </c>
      <c r="M2097" s="1" t="s">
        <v>45</v>
      </c>
      <c r="N2097" s="1" t="s">
        <v>38</v>
      </c>
      <c r="O2097" s="1" t="s">
        <v>46</v>
      </c>
    </row>
    <row r="2098" spans="2:15" x14ac:dyDescent="0.3">
      <c r="B2098" s="1" t="s">
        <v>24</v>
      </c>
      <c r="C2098" s="1" t="str">
        <f>"5-2차"</f>
        <v>5-2차</v>
      </c>
      <c r="D2098" s="1" t="str">
        <f>"0427F1335M"</f>
        <v>0427F1335M</v>
      </c>
      <c r="E2098" s="1" t="s">
        <v>10</v>
      </c>
      <c r="F2098" s="1" t="str">
        <f>"fde3:102:1430:8200:0:0:0:c"</f>
        <v>fde3:102:1430:8200:0:0:0:c</v>
      </c>
      <c r="G2098" s="1" t="str">
        <f>"0427F133"</f>
        <v>0427F133</v>
      </c>
      <c r="H2098" s="1" t="str">
        <f>"겸재간 64L1L2"</f>
        <v>겸재간 64L1L2</v>
      </c>
      <c r="I2098" s="1" t="s">
        <v>15</v>
      </c>
      <c r="J2098" s="1" t="str">
        <f>"83/83"</f>
        <v>83/83</v>
      </c>
      <c r="K2098" s="1" t="str">
        <f>"2026-07-29 14:20:52"</f>
        <v>2026-07-29 14:20:52</v>
      </c>
      <c r="L2098" s="1" t="str">
        <f>"2023-10-04 10:23:59"</f>
        <v>2023-10-04 10:23:59</v>
      </c>
      <c r="M2098" s="1" t="s">
        <v>45</v>
      </c>
      <c r="N2098" s="1" t="s">
        <v>38</v>
      </c>
      <c r="O2098" s="1" t="s">
        <v>46</v>
      </c>
    </row>
    <row r="2099" spans="2:15" x14ac:dyDescent="0.3">
      <c r="B2099" s="1" t="s">
        <v>24</v>
      </c>
      <c r="C2099" s="1" t="str">
        <f>"5-2차"</f>
        <v>5-2차</v>
      </c>
      <c r="D2099" s="1" t="str">
        <f>"0427F1515M"</f>
        <v>0427F1515M</v>
      </c>
      <c r="E2099" s="1" t="s">
        <v>10</v>
      </c>
      <c r="F2099" s="1" t="str">
        <f>"fde3:102:1430:8200:0:0:0:d"</f>
        <v>fde3:102:1430:8200:0:0:0:d</v>
      </c>
      <c r="G2099" s="1" t="str">
        <f>"0427F151"</f>
        <v>0427F151</v>
      </c>
      <c r="H2099" s="1" t="str">
        <f>"겸재간 62"</f>
        <v>겸재간 62</v>
      </c>
      <c r="I2099" s="1" t="s">
        <v>15</v>
      </c>
      <c r="J2099" s="1" t="str">
        <f>"44/44"</f>
        <v>44/44</v>
      </c>
      <c r="K2099" s="1" t="str">
        <f>"2026-07-29 14:20:53"</f>
        <v>2026-07-29 14:20:53</v>
      </c>
      <c r="L2099" s="1" t="str">
        <f>"2023-10-04 10:54:54"</f>
        <v>2023-10-04 10:54:54</v>
      </c>
      <c r="M2099" s="1" t="s">
        <v>45</v>
      </c>
      <c r="N2099" s="1" t="s">
        <v>38</v>
      </c>
      <c r="O2099" s="1" t="s">
        <v>46</v>
      </c>
    </row>
    <row r="2100" spans="2:15" x14ac:dyDescent="0.3">
      <c r="B2100" s="1" t="s">
        <v>24</v>
      </c>
      <c r="C2100" s="1" t="str">
        <f>"1차"</f>
        <v>1차</v>
      </c>
      <c r="D2100" s="1" t="str">
        <f>"0427F15401"</f>
        <v>0427F15401</v>
      </c>
      <c r="E2100" s="1" t="s">
        <v>10</v>
      </c>
      <c r="F2100" s="1" t="str">
        <f>"10.12.138.6"</f>
        <v>10.12.138.6</v>
      </c>
      <c r="G2100" s="1" t="str">
        <f>"0427F154"</f>
        <v>0427F154</v>
      </c>
      <c r="H2100" s="1" t="str">
        <f>"우림지 26"</f>
        <v>우림지 26</v>
      </c>
      <c r="I2100" s="1" t="s">
        <v>8</v>
      </c>
      <c r="J2100" s="1" t="str">
        <f>"26/31"</f>
        <v>26/31</v>
      </c>
      <c r="K2100" s="1" t="str">
        <f>"2026-07-29 13:18:02"</f>
        <v>2026-07-29 13:18:02</v>
      </c>
      <c r="L2100" s="1" t="str">
        <f>"2014-10-29 13:36:14"</f>
        <v>2014-10-29 13:36:14</v>
      </c>
      <c r="M2100" s="1" t="s">
        <v>0</v>
      </c>
      <c r="N2100" s="1" t="s">
        <v>38</v>
      </c>
      <c r="O2100" s="1" t="s">
        <v>46</v>
      </c>
    </row>
    <row r="2101" spans="2:15" x14ac:dyDescent="0.3">
      <c r="B2101" s="1" t="s">
        <v>24</v>
      </c>
      <c r="C2101" s="1" t="str">
        <f>"1차"</f>
        <v>1차</v>
      </c>
      <c r="D2101" s="1" t="str">
        <f>"0427F16200"</f>
        <v>0427F16200</v>
      </c>
      <c r="E2101" s="1" t="s">
        <v>10</v>
      </c>
      <c r="F2101" s="1" t="str">
        <f>"10.89.248.5"</f>
        <v>10.89.248.5</v>
      </c>
      <c r="G2101" s="1" t="str">
        <f>"0427F162"</f>
        <v>0427F162</v>
      </c>
      <c r="H2101" s="1" t="str">
        <f>"우림지 28R2R2"</f>
        <v>우림지 28R2R2</v>
      </c>
      <c r="I2101" s="1" t="s">
        <v>8</v>
      </c>
      <c r="J2101" s="1" t="str">
        <f>"40/40"</f>
        <v>40/40</v>
      </c>
      <c r="K2101" s="1" t="str">
        <f>"2026-07-29 13:18:03"</f>
        <v>2026-07-29 13:18:03</v>
      </c>
      <c r="L2101" s="1" t="str">
        <f>"2014-10-29 13:37:07"</f>
        <v>2014-10-29 13:37:07</v>
      </c>
      <c r="M2101" s="1" t="s">
        <v>45</v>
      </c>
      <c r="N2101" s="1" t="s">
        <v>38</v>
      </c>
      <c r="O2101" s="1" t="s">
        <v>46</v>
      </c>
    </row>
    <row r="2102" spans="2:15" x14ac:dyDescent="0.3">
      <c r="B2102" s="1" t="s">
        <v>24</v>
      </c>
      <c r="C2102" s="1" t="str">
        <f>"5-2차"</f>
        <v>5-2차</v>
      </c>
      <c r="D2102" s="1" t="str">
        <f>"0427F1715M"</f>
        <v>0427F1715M</v>
      </c>
      <c r="E2102" s="1" t="s">
        <v>10</v>
      </c>
      <c r="F2102" s="1" t="str">
        <f>"fde1:103:4:6e6f:0:0:0:2"</f>
        <v>fde1:103:4:6e6f:0:0:0:2</v>
      </c>
      <c r="G2102" s="1" t="str">
        <f>"0427F171"</f>
        <v>0427F171</v>
      </c>
      <c r="H2102" s="1" t="str">
        <f>"우림지 28R2R2L1"</f>
        <v>우림지 28R2R2L1</v>
      </c>
      <c r="I2102" s="1" t="s">
        <v>15</v>
      </c>
      <c r="J2102" s="1" t="str">
        <f>"26/30"</f>
        <v>26/30</v>
      </c>
      <c r="K2102" s="1" t="str">
        <f>"2026-07-29 14:20:56"</f>
        <v>2026-07-29 14:20:56</v>
      </c>
      <c r="L2102" s="1" t="str">
        <f>"2023-11-14 10:50:39"</f>
        <v>2023-11-14 10:50:39</v>
      </c>
      <c r="M2102" s="1" t="s">
        <v>4</v>
      </c>
      <c r="N2102" s="1" t="s">
        <v>38</v>
      </c>
      <c r="O2102" s="1" t="s">
        <v>46</v>
      </c>
    </row>
    <row r="2103" spans="2:15" x14ac:dyDescent="0.3">
      <c r="B2103" s="1" t="s">
        <v>24</v>
      </c>
      <c r="C2103" s="1" t="str">
        <f>"6차"</f>
        <v>6차</v>
      </c>
      <c r="D2103" s="1" t="str">
        <f>"0427F1816S"</f>
        <v>0427F1816S</v>
      </c>
      <c r="E2103" s="1" t="s">
        <v>10</v>
      </c>
      <c r="F2103" s="1" t="str">
        <f>"fde1:103:4:c622:0:0:0:2"</f>
        <v>fde1:103:4:c622:0:0:0:2</v>
      </c>
      <c r="G2103" s="1" t="str">
        <f>"0427F181"</f>
        <v>0427F181</v>
      </c>
      <c r="H2103" s="1" t="str">
        <f>"우림지 12"</f>
        <v>우림지 12</v>
      </c>
      <c r="I2103" s="1" t="s">
        <v>15</v>
      </c>
      <c r="J2103" s="1" t="str">
        <f>"21/21"</f>
        <v>21/21</v>
      </c>
      <c r="K2103" s="1" t="str">
        <f>"2026-07-29 14:20:53"</f>
        <v>2026-07-29 14:20:53</v>
      </c>
      <c r="L2103" s="1" t="str">
        <f>"2024-11-08 14:03:40"</f>
        <v>2024-11-08 14:03:40</v>
      </c>
      <c r="M2103" s="1" t="s">
        <v>4</v>
      </c>
      <c r="N2103" s="1" t="s">
        <v>38</v>
      </c>
      <c r="O2103" s="1" t="s">
        <v>46</v>
      </c>
    </row>
    <row r="2104" spans="2:15" x14ac:dyDescent="0.3">
      <c r="B2104" s="1" t="s">
        <v>24</v>
      </c>
      <c r="C2104" s="1" t="str">
        <f>"5-2차"</f>
        <v>5-2차</v>
      </c>
      <c r="D2104" s="1" t="str">
        <f>"0427F1845M"</f>
        <v>0427F1845M</v>
      </c>
      <c r="E2104" s="1" t="s">
        <v>10</v>
      </c>
      <c r="F2104" s="1" t="str">
        <f>"fde1:103:4:6e6e:0:0:0:2"</f>
        <v>fde1:103:4:6e6e:0:0:0:2</v>
      </c>
      <c r="G2104" s="1" t="str">
        <f>"0427F184"</f>
        <v>0427F184</v>
      </c>
      <c r="H2104" s="1" t="str">
        <f>"우림지 13"</f>
        <v>우림지 13</v>
      </c>
      <c r="I2104" s="1" t="s">
        <v>15</v>
      </c>
      <c r="J2104" s="1" t="str">
        <f>"48/49"</f>
        <v>48/49</v>
      </c>
      <c r="K2104" s="1" t="str">
        <f>"2026-07-29 14:20:59"</f>
        <v>2026-07-29 14:20:59</v>
      </c>
      <c r="L2104" s="1" t="str">
        <f>"2023-11-14 11:09:39"</f>
        <v>2023-11-14 11:09:39</v>
      </c>
      <c r="M2104" s="1" t="s">
        <v>4</v>
      </c>
      <c r="N2104" s="1" t="s">
        <v>38</v>
      </c>
      <c r="O2104" s="1" t="s">
        <v>46</v>
      </c>
    </row>
    <row r="2105" spans="2:15" x14ac:dyDescent="0.3">
      <c r="B2105" s="1" t="s">
        <v>24</v>
      </c>
      <c r="C2105" s="1" t="str">
        <f>"5-2차"</f>
        <v>5-2차</v>
      </c>
      <c r="D2105" s="1" t="str">
        <f>"0427F2215M"</f>
        <v>0427F2215M</v>
      </c>
      <c r="E2105" s="1" t="s">
        <v>10</v>
      </c>
      <c r="F2105" s="1" t="str">
        <f>"fde3:102:1430:8200:0:0:0:4"</f>
        <v>fde3:102:1430:8200:0:0:0:4</v>
      </c>
      <c r="G2105" s="1" t="str">
        <f>"0427F221"</f>
        <v>0427F221</v>
      </c>
      <c r="H2105" s="1" t="str">
        <f>"겸재간 44L3R5R4"</f>
        <v>겸재간 44L3R5R4</v>
      </c>
      <c r="I2105" s="1" t="s">
        <v>15</v>
      </c>
      <c r="J2105" s="1" t="str">
        <f>"88/101"</f>
        <v>88/101</v>
      </c>
      <c r="K2105" s="1" t="str">
        <f>"2026-07-29 14:20:50"</f>
        <v>2026-07-29 14:20:50</v>
      </c>
      <c r="L2105" s="1" t="str">
        <f>"2023-10-04 09:50:02"</f>
        <v>2023-10-04 09:50:02</v>
      </c>
      <c r="M2105" s="1" t="s">
        <v>45</v>
      </c>
      <c r="N2105" s="1" t="s">
        <v>38</v>
      </c>
      <c r="O2105" s="1" t="s">
        <v>46</v>
      </c>
    </row>
    <row r="2106" spans="2:15" x14ac:dyDescent="0.3">
      <c r="B2106" s="1" t="s">
        <v>24</v>
      </c>
      <c r="C2106" s="1" t="str">
        <f>"5-2차"</f>
        <v>5-2차</v>
      </c>
      <c r="D2106" s="1" t="str">
        <f>"0427F2435M"</f>
        <v>0427F2435M</v>
      </c>
      <c r="E2106" s="1" t="s">
        <v>10</v>
      </c>
      <c r="F2106" s="1" t="str">
        <f>"fde3:102:1430:8200:0:0:0:a"</f>
        <v>fde3:102:1430:8200:0:0:0:a</v>
      </c>
      <c r="G2106" s="1" t="str">
        <f>"0427F243"</f>
        <v>0427F243</v>
      </c>
      <c r="H2106" s="1" t="str">
        <f>"겸재간 64L1L5"</f>
        <v>겸재간 64L1L5</v>
      </c>
      <c r="I2106" s="1" t="s">
        <v>15</v>
      </c>
      <c r="J2106" s="1" t="str">
        <f>"23/23"</f>
        <v>23/23</v>
      </c>
      <c r="K2106" s="1" t="str">
        <f>"2026-07-29 14:20:50"</f>
        <v>2026-07-29 14:20:50</v>
      </c>
      <c r="L2106" s="1" t="str">
        <f>"2023-10-04 10:38:56"</f>
        <v>2023-10-04 10:38:56</v>
      </c>
      <c r="M2106" s="1" t="s">
        <v>45</v>
      </c>
      <c r="N2106" s="1" t="s">
        <v>38</v>
      </c>
      <c r="O2106" s="1" t="s">
        <v>46</v>
      </c>
    </row>
    <row r="2107" spans="2:15" x14ac:dyDescent="0.3">
      <c r="B2107" s="1" t="s">
        <v>24</v>
      </c>
      <c r="C2107" s="1" t="str">
        <f>"1차"</f>
        <v>1차</v>
      </c>
      <c r="D2107" s="1" t="str">
        <f>"0427F27201"</f>
        <v>0427F27201</v>
      </c>
      <c r="E2107" s="1" t="s">
        <v>10</v>
      </c>
      <c r="F2107" s="1" t="str">
        <f>"10.12.135.32"</f>
        <v>10.12.135.32</v>
      </c>
      <c r="G2107" s="1" t="str">
        <f>"0427F272"</f>
        <v>0427F272</v>
      </c>
      <c r="H2107" s="1" t="str">
        <f>"우림지 34L2R3"</f>
        <v>우림지 34L2R3</v>
      </c>
      <c r="I2107" s="1" t="s">
        <v>8</v>
      </c>
      <c r="J2107" s="1" t="str">
        <f>"15/15"</f>
        <v>15/15</v>
      </c>
      <c r="K2107" s="1" t="str">
        <f>"2026-07-29 13:18:05"</f>
        <v>2026-07-29 13:18:05</v>
      </c>
      <c r="L2107" s="1" t="str">
        <f>"2014-10-29 13:37:30"</f>
        <v>2014-10-29 13:37:30</v>
      </c>
      <c r="M2107" s="1" t="s">
        <v>0</v>
      </c>
      <c r="N2107" s="1" t="s">
        <v>38</v>
      </c>
      <c r="O2107" s="1" t="s">
        <v>46</v>
      </c>
    </row>
    <row r="2108" spans="2:15" x14ac:dyDescent="0.3">
      <c r="B2108" s="1" t="s">
        <v>24</v>
      </c>
      <c r="C2108" s="1" t="str">
        <f>"5-2차"</f>
        <v>5-2차</v>
      </c>
      <c r="D2108" s="1" t="str">
        <f>"0427F2735M"</f>
        <v>0427F2735M</v>
      </c>
      <c r="E2108" s="1" t="s">
        <v>10</v>
      </c>
      <c r="F2108" s="1" t="str">
        <f>"fde3:102:1430:8200:0:0:0:1b"</f>
        <v>fde3:102:1430:8200:0:0:0:1b</v>
      </c>
      <c r="G2108" s="1" t="str">
        <f>"0427F273"</f>
        <v>0427F273</v>
      </c>
      <c r="H2108" s="1" t="str">
        <f>"우림지 14"</f>
        <v>우림지 14</v>
      </c>
      <c r="I2108" s="1" t="s">
        <v>15</v>
      </c>
      <c r="J2108" s="1" t="str">
        <f>"33/33"</f>
        <v>33/33</v>
      </c>
      <c r="K2108" s="1" t="str">
        <f>"2026-07-29 14:20:53"</f>
        <v>2026-07-29 14:20:53</v>
      </c>
      <c r="L2108" s="1" t="str">
        <f>"2023-09-19 14:08:15"</f>
        <v>2023-09-19 14:08:15</v>
      </c>
      <c r="M2108" s="1" t="s">
        <v>45</v>
      </c>
      <c r="N2108" s="1" t="s">
        <v>38</v>
      </c>
      <c r="O2108" s="1" t="s">
        <v>46</v>
      </c>
    </row>
    <row r="2109" spans="2:15" x14ac:dyDescent="0.3">
      <c r="B2109" s="1" t="s">
        <v>24</v>
      </c>
      <c r="C2109" s="1" t="str">
        <f>"1차"</f>
        <v>1차</v>
      </c>
      <c r="D2109" s="1" t="str">
        <f>"0427F29301"</f>
        <v>0427F29301</v>
      </c>
      <c r="E2109" s="1" t="s">
        <v>10</v>
      </c>
      <c r="F2109" s="1" t="str">
        <f>"10.89.248.14"</f>
        <v>10.89.248.14</v>
      </c>
      <c r="G2109" s="1" t="str">
        <f>"0427F293"</f>
        <v>0427F293</v>
      </c>
      <c r="H2109" s="1" t="str">
        <f>"우림시장SW 5R7R3"</f>
        <v>우림시장SW 5R7R3</v>
      </c>
      <c r="I2109" s="1" t="s">
        <v>8</v>
      </c>
      <c r="J2109" s="1" t="str">
        <f>"39/41"</f>
        <v>39/41</v>
      </c>
      <c r="K2109" s="1" t="str">
        <f>"2026-07-29 13:18:05"</f>
        <v>2026-07-29 13:18:05</v>
      </c>
      <c r="L2109" s="1" t="str">
        <f>"2014-10-29 13:41:58"</f>
        <v>2014-10-29 13:41:58</v>
      </c>
      <c r="M2109" s="1" t="s">
        <v>45</v>
      </c>
      <c r="N2109" s="1" t="s">
        <v>38</v>
      </c>
      <c r="O2109" s="1" t="s">
        <v>46</v>
      </c>
    </row>
    <row r="2110" spans="2:15" x14ac:dyDescent="0.3">
      <c r="B2110" s="1" t="s">
        <v>24</v>
      </c>
      <c r="C2110" s="1" t="str">
        <f>"5-2차"</f>
        <v>5-2차</v>
      </c>
      <c r="D2110" s="1" t="str">
        <f>"0427F3115M"</f>
        <v>0427F3115M</v>
      </c>
      <c r="E2110" s="1" t="s">
        <v>10</v>
      </c>
      <c r="F2110" s="1" t="str">
        <f>"fde1:103:4:6e72:0:0:0:2"</f>
        <v>fde1:103:4:6e72:0:0:0:2</v>
      </c>
      <c r="G2110" s="1" t="str">
        <f>"0427F311"</f>
        <v>0427F311</v>
      </c>
      <c r="H2110" s="1" t="str">
        <f>"우일간 55"</f>
        <v>우일간 55</v>
      </c>
      <c r="I2110" s="1" t="s">
        <v>15</v>
      </c>
      <c r="J2110" s="1" t="str">
        <f>"53/53"</f>
        <v>53/53</v>
      </c>
      <c r="K2110" s="1" t="str">
        <f>"2026-07-29 14:20:54"</f>
        <v>2026-07-29 14:20:54</v>
      </c>
      <c r="L2110" s="1" t="str">
        <f>"2023-11-14 10:50:34"</f>
        <v>2023-11-14 10:50:34</v>
      </c>
      <c r="M2110" s="1" t="s">
        <v>4</v>
      </c>
      <c r="N2110" s="1" t="s">
        <v>38</v>
      </c>
      <c r="O2110" s="1" t="s">
        <v>46</v>
      </c>
    </row>
    <row r="2111" spans="2:15" x14ac:dyDescent="0.3">
      <c r="B2111" s="1" t="s">
        <v>24</v>
      </c>
      <c r="C2111" s="1" t="str">
        <f>"5-2차"</f>
        <v>5-2차</v>
      </c>
      <c r="D2111" s="1" t="str">
        <f>"0427F3245M"</f>
        <v>0427F3245M</v>
      </c>
      <c r="E2111" s="1" t="s">
        <v>10</v>
      </c>
      <c r="F2111" s="1" t="str">
        <f>"fde3:102:1430:8200:0:0:0:e"</f>
        <v>fde3:102:1430:8200:0:0:0:e</v>
      </c>
      <c r="G2111" s="1" t="str">
        <f>"0427F324"</f>
        <v>0427F324</v>
      </c>
      <c r="H2111" s="1" t="str">
        <f>"겸재간 51"</f>
        <v>겸재간 51</v>
      </c>
      <c r="I2111" s="1" t="s">
        <v>15</v>
      </c>
      <c r="J2111" s="1" t="str">
        <f>"35/35"</f>
        <v>35/35</v>
      </c>
      <c r="K2111" s="1" t="str">
        <f>"2026-07-29 14:20:54"</f>
        <v>2026-07-29 14:20:54</v>
      </c>
      <c r="L2111" s="1" t="str">
        <f>"2023-09-18 15:29:39"</f>
        <v>2023-09-18 15:29:39</v>
      </c>
      <c r="M2111" s="1" t="s">
        <v>45</v>
      </c>
      <c r="N2111" s="1" t="s">
        <v>38</v>
      </c>
      <c r="O2111" s="1" t="s">
        <v>46</v>
      </c>
    </row>
    <row r="2112" spans="2:15" x14ac:dyDescent="0.3">
      <c r="B2112" s="1" t="s">
        <v>24</v>
      </c>
      <c r="C2112" s="1" t="str">
        <f>"5-2차"</f>
        <v>5-2차</v>
      </c>
      <c r="D2112" s="1" t="str">
        <f>"0427F3435M"</f>
        <v>0427F3435M</v>
      </c>
      <c r="E2112" s="1" t="s">
        <v>10</v>
      </c>
      <c r="F2112" s="1" t="str">
        <f>"fde3:102:1430:8200:0:0:0:9"</f>
        <v>fde3:102:1430:8200:0:0:0:9</v>
      </c>
      <c r="G2112" s="1" t="str">
        <f>"0427F343"</f>
        <v>0427F343</v>
      </c>
      <c r="H2112" s="1" t="str">
        <f>"겸재간 44L3R5R7"</f>
        <v>겸재간 44L3R5R7</v>
      </c>
      <c r="I2112" s="1" t="s">
        <v>15</v>
      </c>
      <c r="J2112" s="1" t="str">
        <f>"51/51"</f>
        <v>51/51</v>
      </c>
      <c r="K2112" s="1" t="str">
        <f>"2026-07-29 14:20:54"</f>
        <v>2026-07-29 14:20:54</v>
      </c>
      <c r="L2112" s="1" t="str">
        <f>"2023-09-18 16:03:55"</f>
        <v>2023-09-18 16:03:55</v>
      </c>
      <c r="M2112" s="1" t="s">
        <v>45</v>
      </c>
      <c r="N2112" s="1" t="s">
        <v>38</v>
      </c>
      <c r="O2112" s="1" t="s">
        <v>46</v>
      </c>
    </row>
    <row r="2113" spans="2:15" x14ac:dyDescent="0.3">
      <c r="B2113" s="1" t="s">
        <v>24</v>
      </c>
      <c r="C2113" s="1" t="str">
        <f>"5-2차"</f>
        <v>5-2차</v>
      </c>
      <c r="D2113" s="1" t="str">
        <f>"0427F4015S"</f>
        <v>0427F4015S</v>
      </c>
      <c r="E2113" s="1" t="s">
        <v>10</v>
      </c>
      <c r="F2113" s="1" t="str">
        <f>"fde1:103:4:6e73:0:0:0:2"</f>
        <v>fde1:103:4:6e73:0:0:0:2</v>
      </c>
      <c r="G2113" s="1" t="str">
        <f>"0427F401"</f>
        <v>0427F401</v>
      </c>
      <c r="H2113" s="1" t="str">
        <f>"우일간 52L1R2"</f>
        <v>우일간 52L1R2</v>
      </c>
      <c r="I2113" s="1" t="s">
        <v>15</v>
      </c>
      <c r="J2113" s="1" t="str">
        <f>"37/37"</f>
        <v>37/37</v>
      </c>
      <c r="K2113" s="1" t="str">
        <f>"2026-07-29 14:21:03"</f>
        <v>2026-07-29 14:21:03</v>
      </c>
      <c r="L2113" s="1" t="str">
        <f>"2023-11-14 09:50:44"</f>
        <v>2023-11-14 09:50:44</v>
      </c>
      <c r="M2113" s="1" t="s">
        <v>4</v>
      </c>
      <c r="N2113" s="1" t="s">
        <v>38</v>
      </c>
      <c r="O2113" s="1" t="s">
        <v>46</v>
      </c>
    </row>
    <row r="2114" spans="2:15" x14ac:dyDescent="0.3">
      <c r="B2114" s="1" t="s">
        <v>24</v>
      </c>
      <c r="C2114" s="1" t="str">
        <f>"5-2차"</f>
        <v>5-2차</v>
      </c>
      <c r="D2114" s="1" t="str">
        <f>"0427F4115S"</f>
        <v>0427F4115S</v>
      </c>
      <c r="E2114" s="1" t="s">
        <v>10</v>
      </c>
      <c r="F2114" s="1" t="str">
        <f>"fde3:102:1430:8400:0:0:0:17"</f>
        <v>fde3:102:1430:8400:0:0:0:17</v>
      </c>
      <c r="G2114" s="1" t="str">
        <f>"0427F411"</f>
        <v>0427F411</v>
      </c>
      <c r="H2114" s="1" t="str">
        <f>"우일간 52L1R1"</f>
        <v>우일간 52L1R1</v>
      </c>
      <c r="I2114" s="1" t="s">
        <v>15</v>
      </c>
      <c r="J2114" s="1" t="str">
        <f>"42/42"</f>
        <v>42/42</v>
      </c>
      <c r="K2114" s="1" t="str">
        <f>"2026-07-29 14:21:33"</f>
        <v>2026-07-29 14:21:33</v>
      </c>
      <c r="L2114" s="1" t="str">
        <f>"2023-09-25 12:29:03"</f>
        <v>2023-09-25 12:29:03</v>
      </c>
      <c r="M2114" s="1" t="s">
        <v>45</v>
      </c>
      <c r="N2114" s="1" t="s">
        <v>38</v>
      </c>
      <c r="O2114" s="1" t="s">
        <v>46</v>
      </c>
    </row>
    <row r="2115" spans="2:15" x14ac:dyDescent="0.3">
      <c r="B2115" s="1" t="s">
        <v>24</v>
      </c>
      <c r="C2115" s="1" t="str">
        <f>"5-1차"</f>
        <v>5-1차</v>
      </c>
      <c r="D2115" s="1" t="str">
        <f>"0427F4215M"</f>
        <v>0427F4215M</v>
      </c>
      <c r="E2115" s="1" t="s">
        <v>10</v>
      </c>
      <c r="F2115" s="1" t="str">
        <f>"fde3:102:1430:6100:0:0:0:2"</f>
        <v>fde3:102:1430:6100:0:0:0:2</v>
      </c>
      <c r="G2115" s="1" t="str">
        <f>"0427F421"</f>
        <v>0427F421</v>
      </c>
      <c r="H2115" s="1" t="str">
        <f>"우일간 52"</f>
        <v>우일간 52</v>
      </c>
      <c r="I2115" s="1" t="s">
        <v>15</v>
      </c>
      <c r="J2115" s="1" t="str">
        <f>"27/27"</f>
        <v>27/27</v>
      </c>
      <c r="K2115" s="1" t="str">
        <f>"2026-07-29 14:20:51"</f>
        <v>2026-07-29 14:20:51</v>
      </c>
      <c r="L2115" s="1" t="str">
        <f>"2022-11-04 17:05:17"</f>
        <v>2022-11-04 17:05:17</v>
      </c>
      <c r="M2115" s="1" t="s">
        <v>45</v>
      </c>
      <c r="N2115" s="1" t="s">
        <v>38</v>
      </c>
      <c r="O2115" s="1" t="s">
        <v>46</v>
      </c>
    </row>
    <row r="2116" spans="2:15" x14ac:dyDescent="0.3">
      <c r="B2116" s="1" t="s">
        <v>24</v>
      </c>
      <c r="C2116" s="1" t="str">
        <f t="shared" ref="C2116:C2121" si="121">"5-2차"</f>
        <v>5-2차</v>
      </c>
      <c r="D2116" s="1" t="str">
        <f>"0427F4725M"</f>
        <v>0427F4725M</v>
      </c>
      <c r="E2116" s="1" t="s">
        <v>10</v>
      </c>
      <c r="F2116" s="1" t="str">
        <f>"fde3:102:1430:8200:0:0:0:18"</f>
        <v>fde3:102:1430:8200:0:0:0:18</v>
      </c>
      <c r="G2116" s="1" t="str">
        <f>"0427F472"</f>
        <v>0427F472</v>
      </c>
      <c r="H2116" s="1" t="str">
        <f>"우림시장SW 5R10"</f>
        <v>우림시장SW 5R10</v>
      </c>
      <c r="I2116" s="1" t="s">
        <v>15</v>
      </c>
      <c r="J2116" s="1" t="str">
        <f>"54/60"</f>
        <v>54/60</v>
      </c>
      <c r="K2116" s="1" t="str">
        <f>"2026-07-29 14:20:55"</f>
        <v>2026-07-29 14:20:55</v>
      </c>
      <c r="L2116" s="1" t="str">
        <f>"2023-09-19 14:58:32"</f>
        <v>2023-09-19 14:58:32</v>
      </c>
      <c r="M2116" s="1" t="s">
        <v>45</v>
      </c>
      <c r="N2116" s="1" t="s">
        <v>38</v>
      </c>
      <c r="O2116" s="1" t="s">
        <v>46</v>
      </c>
    </row>
    <row r="2117" spans="2:15" x14ac:dyDescent="0.3">
      <c r="B2117" s="1" t="s">
        <v>24</v>
      </c>
      <c r="C2117" s="1" t="str">
        <f t="shared" si="121"/>
        <v>5-2차</v>
      </c>
      <c r="D2117" s="1" t="str">
        <f>"0427F4815M"</f>
        <v>0427F4815M</v>
      </c>
      <c r="E2117" s="1" t="s">
        <v>10</v>
      </c>
      <c r="F2117" s="1" t="str">
        <f>"fde3:102:1430:8200:0:0:0:17"</f>
        <v>fde3:102:1430:8200:0:0:0:17</v>
      </c>
      <c r="G2117" s="1" t="str">
        <f>"0427F481"</f>
        <v>0427F481</v>
      </c>
      <c r="H2117" s="1" t="str">
        <f>"우림시장SW 5R9"</f>
        <v>우림시장SW 5R9</v>
      </c>
      <c r="I2117" s="1" t="s">
        <v>15</v>
      </c>
      <c r="J2117" s="1" t="str">
        <f>"48/49"</f>
        <v>48/49</v>
      </c>
      <c r="K2117" s="1" t="str">
        <f>"2026-07-29 14:20:51"</f>
        <v>2026-07-29 14:20:51</v>
      </c>
      <c r="L2117" s="1" t="str">
        <f>"2023-09-19 15:35:47"</f>
        <v>2023-09-19 15:35:47</v>
      </c>
      <c r="M2117" s="1" t="s">
        <v>45</v>
      </c>
      <c r="N2117" s="1" t="s">
        <v>38</v>
      </c>
      <c r="O2117" s="1" t="s">
        <v>46</v>
      </c>
    </row>
    <row r="2118" spans="2:15" x14ac:dyDescent="0.3">
      <c r="B2118" s="1" t="s">
        <v>24</v>
      </c>
      <c r="C2118" s="1" t="str">
        <f t="shared" si="121"/>
        <v>5-2차</v>
      </c>
      <c r="D2118" s="1" t="str">
        <f>"0427F5015S"</f>
        <v>0427F5015S</v>
      </c>
      <c r="E2118" s="1" t="s">
        <v>10</v>
      </c>
      <c r="F2118" s="1" t="str">
        <f>"fde3:102:1430:8400:0:0:0:13"</f>
        <v>fde3:102:1430:8400:0:0:0:13</v>
      </c>
      <c r="G2118" s="1" t="str">
        <f>"0427F501"</f>
        <v>0427F501</v>
      </c>
      <c r="H2118" s="1" t="str">
        <f>"우일간 52L2R2"</f>
        <v>우일간 52L2R2</v>
      </c>
      <c r="I2118" s="1" t="s">
        <v>15</v>
      </c>
      <c r="J2118" s="1" t="str">
        <f>"92/94"</f>
        <v>92/94</v>
      </c>
      <c r="K2118" s="1" t="str">
        <f>"2026-07-29 14:20:54"</f>
        <v>2026-07-29 14:20:54</v>
      </c>
      <c r="L2118" s="1" t="str">
        <f>"2023-09-25 11:51:50"</f>
        <v>2023-09-25 11:51:50</v>
      </c>
      <c r="M2118" s="1" t="s">
        <v>45</v>
      </c>
      <c r="N2118" s="1" t="s">
        <v>38</v>
      </c>
      <c r="O2118" s="1" t="s">
        <v>46</v>
      </c>
    </row>
    <row r="2119" spans="2:15" x14ac:dyDescent="0.3">
      <c r="B2119" s="1" t="s">
        <v>24</v>
      </c>
      <c r="C2119" s="1" t="str">
        <f t="shared" si="121"/>
        <v>5-2차</v>
      </c>
      <c r="D2119" s="1" t="str">
        <f>"0427F5215M"</f>
        <v>0427F5215M</v>
      </c>
      <c r="E2119" s="1" t="s">
        <v>10</v>
      </c>
      <c r="F2119" s="1" t="str">
        <f>"fde3:102:1430:8400:0:0:0:18"</f>
        <v>fde3:102:1430:8400:0:0:0:18</v>
      </c>
      <c r="G2119" s="1" t="str">
        <f>"0427F521"</f>
        <v>0427F521</v>
      </c>
      <c r="H2119" s="1" t="str">
        <f>"우일간 52L1"</f>
        <v>우일간 52L1</v>
      </c>
      <c r="I2119" s="1" t="s">
        <v>15</v>
      </c>
      <c r="J2119" s="1" t="str">
        <f>"42/43"</f>
        <v>42/43</v>
      </c>
      <c r="K2119" s="1" t="str">
        <f>"2026-07-29 14:20:54"</f>
        <v>2026-07-29 14:20:54</v>
      </c>
      <c r="L2119" s="1" t="str">
        <f>"2023-09-21 11:58:33"</f>
        <v>2023-09-21 11:58:33</v>
      </c>
      <c r="M2119" s="1" t="s">
        <v>45</v>
      </c>
      <c r="N2119" s="1" t="s">
        <v>38</v>
      </c>
      <c r="O2119" s="1" t="s">
        <v>46</v>
      </c>
    </row>
    <row r="2120" spans="2:15" x14ac:dyDescent="0.3">
      <c r="B2120" s="1" t="s">
        <v>24</v>
      </c>
      <c r="C2120" s="1" t="str">
        <f t="shared" si="121"/>
        <v>5-2차</v>
      </c>
      <c r="D2120" s="1" t="str">
        <f>"0427F5315M"</f>
        <v>0427F5315M</v>
      </c>
      <c r="E2120" s="1" t="s">
        <v>10</v>
      </c>
      <c r="F2120" s="1" t="str">
        <f>"fde3:102:1430:8400:0:0:0:f"</f>
        <v>fde3:102:1430:8400:0:0:0:f</v>
      </c>
      <c r="G2120" s="1" t="str">
        <f>"0427F531"</f>
        <v>0427F531</v>
      </c>
      <c r="H2120" s="1" t="str">
        <f>"우일간 46L2R2"</f>
        <v>우일간 46L2R2</v>
      </c>
      <c r="I2120" s="1" t="s">
        <v>15</v>
      </c>
      <c r="J2120" s="1" t="str">
        <f>"71/76"</f>
        <v>71/76</v>
      </c>
      <c r="K2120" s="1" t="str">
        <f>"2026-07-29 14:20:54"</f>
        <v>2026-07-29 14:20:54</v>
      </c>
      <c r="L2120" s="1" t="str">
        <f>"2023-09-22 10:22:06"</f>
        <v>2023-09-22 10:22:06</v>
      </c>
      <c r="M2120" s="1" t="s">
        <v>45</v>
      </c>
      <c r="N2120" s="1" t="s">
        <v>38</v>
      </c>
      <c r="O2120" s="1" t="s">
        <v>46</v>
      </c>
    </row>
    <row r="2121" spans="2:15" x14ac:dyDescent="0.3">
      <c r="B2121" s="1" t="s">
        <v>24</v>
      </c>
      <c r="C2121" s="1" t="str">
        <f t="shared" si="121"/>
        <v>5-2차</v>
      </c>
      <c r="D2121" s="1" t="str">
        <f>"0427F5715M"</f>
        <v>0427F5715M</v>
      </c>
      <c r="E2121" s="1" t="s">
        <v>10</v>
      </c>
      <c r="F2121" s="1" t="str">
        <f>"fde3:102:1430:8500:0:0:0:5"</f>
        <v>fde3:102:1430:8500:0:0:0:5</v>
      </c>
      <c r="G2121" s="1" t="str">
        <f>"0427F571"</f>
        <v>0427F571</v>
      </c>
      <c r="H2121" s="1" t="str">
        <f>"우일간 43"</f>
        <v>우일간 43</v>
      </c>
      <c r="I2121" s="1" t="s">
        <v>15</v>
      </c>
      <c r="J2121" s="1" t="str">
        <f>"52/53"</f>
        <v>52/53</v>
      </c>
      <c r="K2121" s="1" t="str">
        <f>"2026-07-29 14:20:54"</f>
        <v>2026-07-29 14:20:54</v>
      </c>
      <c r="L2121" s="1" t="str">
        <f>"2023-09-22 07:35:49"</f>
        <v>2023-09-22 07:35:49</v>
      </c>
      <c r="M2121" s="1" t="s">
        <v>45</v>
      </c>
      <c r="N2121" s="1" t="s">
        <v>38</v>
      </c>
      <c r="O2121" s="1" t="s">
        <v>46</v>
      </c>
    </row>
    <row r="2122" spans="2:15" x14ac:dyDescent="0.3">
      <c r="B2122" s="1" t="s">
        <v>24</v>
      </c>
      <c r="C2122" s="1" t="str">
        <f>"1차"</f>
        <v>1차</v>
      </c>
      <c r="D2122" s="1" t="str">
        <f>"0427F59200"</f>
        <v>0427F59200</v>
      </c>
      <c r="E2122" s="1" t="s">
        <v>10</v>
      </c>
      <c r="F2122" s="1" t="str">
        <f>"10.89.246.167"</f>
        <v>10.89.246.167</v>
      </c>
      <c r="G2122" s="1" t="str">
        <f>"0427F592"</f>
        <v>0427F592</v>
      </c>
      <c r="H2122" s="1" t="str">
        <f>"우일간 41"</f>
        <v>우일간 41</v>
      </c>
      <c r="I2122" s="1" t="s">
        <v>8</v>
      </c>
      <c r="J2122" s="1" t="str">
        <f>"6/8"</f>
        <v>6/8</v>
      </c>
      <c r="K2122" s="1" t="str">
        <f>"2026-07-29 13:18:05"</f>
        <v>2026-07-29 13:18:05</v>
      </c>
      <c r="L2122" s="1" t="str">
        <f>"2014-09-22 11:12:10"</f>
        <v>2014-09-22 11:12:10</v>
      </c>
      <c r="M2122" s="1" t="s">
        <v>45</v>
      </c>
      <c r="N2122" s="1" t="s">
        <v>38</v>
      </c>
      <c r="O2122" s="1" t="s">
        <v>46</v>
      </c>
    </row>
    <row r="2123" spans="2:15" x14ac:dyDescent="0.3">
      <c r="B2123" s="1" t="s">
        <v>24</v>
      </c>
      <c r="C2123" s="1" t="str">
        <f>"5-2차"</f>
        <v>5-2차</v>
      </c>
      <c r="D2123" s="1" t="str">
        <f>"0427F6015M"</f>
        <v>0427F6015M</v>
      </c>
      <c r="E2123" s="1" t="s">
        <v>10</v>
      </c>
      <c r="F2123" s="1" t="str">
        <f>"fde3:102:1430:8400:0:0:0:11"</f>
        <v>fde3:102:1430:8400:0:0:0:11</v>
      </c>
      <c r="G2123" s="1" t="str">
        <f>"0427F601"</f>
        <v>0427F601</v>
      </c>
      <c r="H2123" s="1" t="str">
        <f>"우일간 52L4R1"</f>
        <v>우일간 52L4R1</v>
      </c>
      <c r="I2123" s="1" t="s">
        <v>15</v>
      </c>
      <c r="J2123" s="1" t="str">
        <f>"42/42"</f>
        <v>42/42</v>
      </c>
      <c r="K2123" s="1" t="str">
        <f>"2026-07-29 14:20:54"</f>
        <v>2026-07-29 14:20:54</v>
      </c>
      <c r="L2123" s="1" t="str">
        <f>"2023-09-22 09:08:10"</f>
        <v>2023-09-22 09:08:10</v>
      </c>
      <c r="M2123" s="1" t="s">
        <v>45</v>
      </c>
      <c r="N2123" s="1" t="s">
        <v>38</v>
      </c>
      <c r="O2123" s="1" t="s">
        <v>46</v>
      </c>
    </row>
    <row r="2124" spans="2:15" x14ac:dyDescent="0.3">
      <c r="B2124" s="1" t="s">
        <v>24</v>
      </c>
      <c r="C2124" s="1" t="str">
        <f>"5-2차"</f>
        <v>5-2차</v>
      </c>
      <c r="D2124" s="1" t="str">
        <f>"0427F6115M"</f>
        <v>0427F6115M</v>
      </c>
      <c r="E2124" s="1" t="s">
        <v>10</v>
      </c>
      <c r="F2124" s="1" t="str">
        <f>"fde3:102:1430:8400:0:0:0:16"</f>
        <v>fde3:102:1430:8400:0:0:0:16</v>
      </c>
      <c r="G2124" s="1" t="str">
        <f>"0427F611"</f>
        <v>0427F611</v>
      </c>
      <c r="H2124" s="1" t="str">
        <f>"우일간 52L2"</f>
        <v>우일간 52L2</v>
      </c>
      <c r="I2124" s="1" t="s">
        <v>15</v>
      </c>
      <c r="J2124" s="1" t="str">
        <f>"52/52"</f>
        <v>52/52</v>
      </c>
      <c r="K2124" s="1" t="str">
        <f>"2026-07-29 14:20:54"</f>
        <v>2026-07-29 14:20:54</v>
      </c>
      <c r="L2124" s="1" t="str">
        <f>"2023-09-22 08:11:37"</f>
        <v>2023-09-22 08:11:37</v>
      </c>
      <c r="M2124" s="1" t="s">
        <v>45</v>
      </c>
      <c r="N2124" s="1" t="s">
        <v>38</v>
      </c>
      <c r="O2124" s="1" t="s">
        <v>46</v>
      </c>
    </row>
    <row r="2125" spans="2:15" x14ac:dyDescent="0.3">
      <c r="B2125" s="1" t="s">
        <v>24</v>
      </c>
      <c r="C2125" s="1" t="str">
        <f>"5-2차"</f>
        <v>5-2차</v>
      </c>
      <c r="D2125" s="1" t="str">
        <f>"0427F6135M"</f>
        <v>0427F6135M</v>
      </c>
      <c r="E2125" s="1" t="s">
        <v>10</v>
      </c>
      <c r="F2125" s="1" t="str">
        <f>"fde3:102:1430:8400:0:0:0:14"</f>
        <v>fde3:102:1430:8400:0:0:0:14</v>
      </c>
      <c r="G2125" s="1" t="str">
        <f>"0427F613"</f>
        <v>0427F613</v>
      </c>
      <c r="H2125" s="1" t="str">
        <f>"우일간 52L2R1"</f>
        <v>우일간 52L2R1</v>
      </c>
      <c r="I2125" s="1" t="s">
        <v>15</v>
      </c>
      <c r="J2125" s="1" t="str">
        <f>"71/73"</f>
        <v>71/73</v>
      </c>
      <c r="K2125" s="1" t="str">
        <f>"2026-07-29 14:20:54"</f>
        <v>2026-07-29 14:20:54</v>
      </c>
      <c r="L2125" s="1" t="str">
        <f>"2023-09-22 08:39:39"</f>
        <v>2023-09-22 08:39:39</v>
      </c>
      <c r="M2125" s="1" t="s">
        <v>45</v>
      </c>
      <c r="N2125" s="1" t="s">
        <v>38</v>
      </c>
      <c r="O2125" s="1" t="s">
        <v>46</v>
      </c>
    </row>
    <row r="2126" spans="2:15" x14ac:dyDescent="0.3">
      <c r="B2126" s="1" t="s">
        <v>24</v>
      </c>
      <c r="C2126" s="1" t="str">
        <f>"5-2차"</f>
        <v>5-2차</v>
      </c>
      <c r="D2126" s="1" t="str">
        <f>"0427F6225S"</f>
        <v>0427F6225S</v>
      </c>
      <c r="E2126" s="1" t="s">
        <v>10</v>
      </c>
      <c r="F2126" s="1" t="str">
        <f>"fde3:102:1430:8400:0:0:0:15"</f>
        <v>fde3:102:1430:8400:0:0:0:15</v>
      </c>
      <c r="G2126" s="1" t="str">
        <f>"0427F622"</f>
        <v>0427F622</v>
      </c>
      <c r="H2126" s="1" t="str">
        <f>"우일간 52L2L2"</f>
        <v>우일간 52L2L2</v>
      </c>
      <c r="I2126" s="1" t="s">
        <v>15</v>
      </c>
      <c r="J2126" s="1" t="str">
        <f>"39/39"</f>
        <v>39/39</v>
      </c>
      <c r="K2126" s="1" t="str">
        <f>"2026-07-29 14:20:54"</f>
        <v>2026-07-29 14:20:54</v>
      </c>
      <c r="L2126" s="1" t="str">
        <f>"2023-09-22 09:46:35"</f>
        <v>2023-09-22 09:46:35</v>
      </c>
      <c r="M2126" s="1" t="s">
        <v>45</v>
      </c>
      <c r="N2126" s="1" t="s">
        <v>38</v>
      </c>
      <c r="O2126" s="1" t="s">
        <v>46</v>
      </c>
    </row>
    <row r="2127" spans="2:15" x14ac:dyDescent="0.3">
      <c r="B2127" s="1" t="s">
        <v>24</v>
      </c>
      <c r="C2127" s="1" t="str">
        <f>"1차"</f>
        <v>1차</v>
      </c>
      <c r="D2127" s="1" t="str">
        <f>"0427F64100"</f>
        <v>0427F64100</v>
      </c>
      <c r="E2127" s="1" t="s">
        <v>10</v>
      </c>
      <c r="F2127" s="1" t="str">
        <f>"10.89.246.136"</f>
        <v>10.89.246.136</v>
      </c>
      <c r="G2127" s="1" t="str">
        <f>"0427F641"</f>
        <v>0427F641</v>
      </c>
      <c r="H2127" s="1" t="str">
        <f>"우일간 46L2"</f>
        <v>우일간 46L2</v>
      </c>
      <c r="I2127" s="1" t="s">
        <v>8</v>
      </c>
      <c r="J2127" s="1" t="str">
        <f>"18/19"</f>
        <v>18/19</v>
      </c>
      <c r="K2127" s="1" t="str">
        <f>"2026-07-29 13:18:05"</f>
        <v>2026-07-29 13:18:05</v>
      </c>
      <c r="L2127" s="1" t="str">
        <f>"2014-09-22 11:11:28"</f>
        <v>2014-09-22 11:11:28</v>
      </c>
      <c r="M2127" s="1" t="s">
        <v>45</v>
      </c>
      <c r="N2127" s="1" t="s">
        <v>38</v>
      </c>
      <c r="O2127" s="1" t="s">
        <v>46</v>
      </c>
    </row>
    <row r="2128" spans="2:15" x14ac:dyDescent="0.3">
      <c r="B2128" s="1" t="s">
        <v>24</v>
      </c>
      <c r="C2128" s="1" t="str">
        <f>"6차"</f>
        <v>6차</v>
      </c>
      <c r="D2128" s="1" t="str">
        <f>"0427F6426S"</f>
        <v>0427F6426S</v>
      </c>
      <c r="E2128" s="1" t="s">
        <v>10</v>
      </c>
      <c r="F2128" s="1" t="str">
        <f>"fde1:103:4:c611:0:0:0:2"</f>
        <v>fde1:103:4:c611:0:0:0:2</v>
      </c>
      <c r="G2128" s="1" t="str">
        <f>"0427F642"</f>
        <v>0427F642</v>
      </c>
      <c r="H2128" s="1" t="str">
        <f>"우일간 46L3"</f>
        <v>우일간 46L3</v>
      </c>
      <c r="I2128" s="1" t="s">
        <v>15</v>
      </c>
      <c r="J2128" s="1" t="str">
        <f>"52/53"</f>
        <v>52/53</v>
      </c>
      <c r="K2128" s="1" t="str">
        <f>"2026-07-29 14:21:08"</f>
        <v>2026-07-29 14:21:08</v>
      </c>
      <c r="L2128" s="1" t="str">
        <f>"2024-11-08 14:08:00"</f>
        <v>2024-11-08 14:08:00</v>
      </c>
      <c r="M2128" s="1" t="s">
        <v>4</v>
      </c>
      <c r="N2128" s="1" t="s">
        <v>38</v>
      </c>
      <c r="O2128" s="1" t="s">
        <v>46</v>
      </c>
    </row>
    <row r="2129" spans="2:15" x14ac:dyDescent="0.3">
      <c r="B2129" s="1" t="s">
        <v>24</v>
      </c>
      <c r="C2129" s="1" t="str">
        <f>"3차"</f>
        <v>3차</v>
      </c>
      <c r="D2129" s="1" t="str">
        <f>"0427F66139"</f>
        <v>0427F66139</v>
      </c>
      <c r="E2129" s="1" t="s">
        <v>10</v>
      </c>
      <c r="F2129" s="1" t="str">
        <f>"10.12.130.249"</f>
        <v>10.12.130.249</v>
      </c>
      <c r="G2129" s="1" t="str">
        <f>"0427F661"</f>
        <v>0427F661</v>
      </c>
      <c r="H2129" s="1" t="str">
        <f>"우일간 46L2L2"</f>
        <v>우일간 46L2L2</v>
      </c>
      <c r="I2129" s="1" t="s">
        <v>8</v>
      </c>
      <c r="J2129" s="1" t="str">
        <f>"17/20"</f>
        <v>17/20</v>
      </c>
      <c r="K2129" s="1" t="str">
        <f>"2026-07-29 13:18:05"</f>
        <v>2026-07-29 13:18:05</v>
      </c>
      <c r="L2129" s="1" t="str">
        <f>"2023-07-20 17:51:39"</f>
        <v>2023-07-20 17:51:39</v>
      </c>
      <c r="M2129" s="1" t="s">
        <v>0</v>
      </c>
      <c r="N2129" s="1" t="s">
        <v>38</v>
      </c>
      <c r="O2129" s="1" t="s">
        <v>46</v>
      </c>
    </row>
    <row r="2130" spans="2:15" x14ac:dyDescent="0.3">
      <c r="B2130" s="1" t="s">
        <v>24</v>
      </c>
      <c r="C2130" s="1" t="str">
        <f>"1차"</f>
        <v>1차</v>
      </c>
      <c r="D2130" s="1" t="str">
        <f>"0427F68100"</f>
        <v>0427F68100</v>
      </c>
      <c r="E2130" s="1" t="s">
        <v>10</v>
      </c>
      <c r="F2130" s="1" t="str">
        <f>"10.89.246.168"</f>
        <v>10.89.246.168</v>
      </c>
      <c r="G2130" s="1" t="str">
        <f>"0427F681"</f>
        <v>0427F681</v>
      </c>
      <c r="H2130" s="1" t="str">
        <f>"우일간 46L2L5"</f>
        <v>우일간 46L2L5</v>
      </c>
      <c r="I2130" s="1" t="s">
        <v>8</v>
      </c>
      <c r="J2130" s="1" t="str">
        <f>"25/30"</f>
        <v>25/30</v>
      </c>
      <c r="K2130" s="1" t="str">
        <f>"2026-07-29 13:18:05"</f>
        <v>2026-07-29 13:18:05</v>
      </c>
      <c r="L2130" s="1" t="str">
        <f>"2014-09-22 11:27:39"</f>
        <v>2014-09-22 11:27:39</v>
      </c>
      <c r="M2130" s="1" t="s">
        <v>45</v>
      </c>
      <c r="N2130" s="1" t="s">
        <v>38</v>
      </c>
      <c r="O2130" s="1" t="s">
        <v>46</v>
      </c>
    </row>
    <row r="2131" spans="2:15" x14ac:dyDescent="0.3">
      <c r="B2131" s="1" t="s">
        <v>24</v>
      </c>
      <c r="C2131" s="1" t="str">
        <f>"1차"</f>
        <v>1차</v>
      </c>
      <c r="D2131" s="1" t="str">
        <f>"0427F69101"</f>
        <v>0427F69101</v>
      </c>
      <c r="E2131" s="1" t="s">
        <v>10</v>
      </c>
      <c r="F2131" s="1" t="str">
        <f>"10.12.137.90"</f>
        <v>10.12.137.90</v>
      </c>
      <c r="G2131" s="1" t="str">
        <f>"0427F691"</f>
        <v>0427F691</v>
      </c>
      <c r="H2131" s="1" t="str">
        <f>"우일간 46L2L6"</f>
        <v>우일간 46L2L6</v>
      </c>
      <c r="I2131" s="1" t="s">
        <v>8</v>
      </c>
      <c r="J2131" s="1" t="str">
        <f>"31/32"</f>
        <v>31/32</v>
      </c>
      <c r="K2131" s="1" t="str">
        <f>"2026-07-29 13:18:06"</f>
        <v>2026-07-29 13:18:06</v>
      </c>
      <c r="L2131" s="1" t="str">
        <f>"2014-10-29 14:10:01"</f>
        <v>2014-10-29 14:10:01</v>
      </c>
      <c r="M2131" s="1" t="s">
        <v>0</v>
      </c>
      <c r="N2131" s="1" t="s">
        <v>38</v>
      </c>
      <c r="O2131" s="1" t="s">
        <v>46</v>
      </c>
    </row>
    <row r="2132" spans="2:15" x14ac:dyDescent="0.3">
      <c r="B2132" s="1" t="s">
        <v>24</v>
      </c>
      <c r="C2132" s="1" t="str">
        <f>"5-2차"</f>
        <v>5-2차</v>
      </c>
      <c r="D2132" s="1" t="str">
        <f>"0427F7015M"</f>
        <v>0427F7015M</v>
      </c>
      <c r="E2132" s="1" t="s">
        <v>10</v>
      </c>
      <c r="F2132" s="1" t="str">
        <f>"fde3:102:1430:8400:0:0:0:12"</f>
        <v>fde3:102:1430:8400:0:0:0:12</v>
      </c>
      <c r="G2132" s="1" t="str">
        <f>"0427F701"</f>
        <v>0427F701</v>
      </c>
      <c r="H2132" s="1" t="str">
        <f>"우일간 52L5"</f>
        <v>우일간 52L5</v>
      </c>
      <c r="I2132" s="1" t="s">
        <v>15</v>
      </c>
      <c r="J2132" s="1" t="str">
        <f>"41/41"</f>
        <v>41/41</v>
      </c>
      <c r="K2132" s="1" t="str">
        <f>"2026-07-29 14:20:52"</f>
        <v>2026-07-29 14:20:52</v>
      </c>
      <c r="L2132" s="1" t="str">
        <f>"2023-09-25 11:19:11"</f>
        <v>2023-09-25 11:19:11</v>
      </c>
      <c r="M2132" s="1" t="s">
        <v>45</v>
      </c>
      <c r="N2132" s="1" t="s">
        <v>38</v>
      </c>
      <c r="O2132" s="1" t="s">
        <v>46</v>
      </c>
    </row>
    <row r="2133" spans="2:15" x14ac:dyDescent="0.3">
      <c r="B2133" s="1" t="s">
        <v>24</v>
      </c>
      <c r="C2133" s="1" t="str">
        <f>"4차"</f>
        <v>4차</v>
      </c>
      <c r="D2133" s="1" t="str">
        <f>"0427F72244"</f>
        <v>0427F72244</v>
      </c>
      <c r="E2133" s="1" t="s">
        <v>10</v>
      </c>
      <c r="F2133" s="1" t="str">
        <f>"10.89.246.131"</f>
        <v>10.89.246.131</v>
      </c>
      <c r="G2133" s="1" t="str">
        <f>"0427F722"</f>
        <v>0427F722</v>
      </c>
      <c r="H2133" s="1" t="str">
        <f>"우일간 46L7"</f>
        <v>우일간 46L7</v>
      </c>
      <c r="I2133" s="1" t="s">
        <v>8</v>
      </c>
      <c r="J2133" s="1" t="str">
        <f>"29/30"</f>
        <v>29/30</v>
      </c>
      <c r="K2133" s="1" t="str">
        <f>"2026-07-29 13:18:05"</f>
        <v>2026-07-29 13:18:05</v>
      </c>
      <c r="L2133" s="1" t="str">
        <f>"2023-10-27 17:04:51"</f>
        <v>2023-10-27 17:04:51</v>
      </c>
      <c r="M2133" s="1" t="s">
        <v>45</v>
      </c>
      <c r="N2133" s="1" t="s">
        <v>38</v>
      </c>
      <c r="O2133" s="1" t="s">
        <v>46</v>
      </c>
    </row>
    <row r="2134" spans="2:15" x14ac:dyDescent="0.3">
      <c r="B2134" s="1" t="s">
        <v>24</v>
      </c>
      <c r="C2134" s="1" t="str">
        <f>"1차"</f>
        <v>1차</v>
      </c>
      <c r="D2134" s="1" t="str">
        <f>"0427F73201"</f>
        <v>0427F73201</v>
      </c>
      <c r="E2134" s="1" t="s">
        <v>10</v>
      </c>
      <c r="F2134" s="1" t="str">
        <f>"10.12.128.126"</f>
        <v>10.12.128.126</v>
      </c>
      <c r="G2134" s="1" t="str">
        <f>"0427F732"</f>
        <v>0427F732</v>
      </c>
      <c r="H2134" s="1" t="str">
        <f>"우일간 46L5"</f>
        <v>우일간 46L5</v>
      </c>
      <c r="I2134" s="1" t="s">
        <v>8</v>
      </c>
      <c r="J2134" s="1" t="str">
        <f>"16/23"</f>
        <v>16/23</v>
      </c>
      <c r="K2134" s="1" t="str">
        <f>"2026-07-29 13:18:02"</f>
        <v>2026-07-29 13:18:02</v>
      </c>
      <c r="L2134" s="1" t="str">
        <f>"2023-10-27 15:29:15"</f>
        <v>2023-10-27 15:29:15</v>
      </c>
      <c r="M2134" s="1" t="s">
        <v>0</v>
      </c>
      <c r="N2134" s="1" t="s">
        <v>38</v>
      </c>
      <c r="O2134" s="1" t="s">
        <v>46</v>
      </c>
    </row>
    <row r="2135" spans="2:15" x14ac:dyDescent="0.3">
      <c r="B2135" s="1" t="s">
        <v>24</v>
      </c>
      <c r="C2135" s="1" t="str">
        <f>"4차"</f>
        <v>4차</v>
      </c>
      <c r="D2135" s="1" t="str">
        <f>"0427F73544"</f>
        <v>0427F73544</v>
      </c>
      <c r="E2135" s="1" t="s">
        <v>10</v>
      </c>
      <c r="F2135" s="1" t="str">
        <f>"10.12.132.170"</f>
        <v>10.12.132.170</v>
      </c>
      <c r="G2135" s="1" t="str">
        <f>"0427F735"</f>
        <v>0427F735</v>
      </c>
      <c r="H2135" s="1" t="str">
        <f>"우일간 46L4L2"</f>
        <v>우일간 46L4L2</v>
      </c>
      <c r="I2135" s="1" t="s">
        <v>8</v>
      </c>
      <c r="J2135" s="1" t="str">
        <f>"57/59"</f>
        <v>57/59</v>
      </c>
      <c r="K2135" s="1" t="str">
        <f>"2026-07-29 13:18:04"</f>
        <v>2026-07-29 13:18:04</v>
      </c>
      <c r="L2135" s="1" t="str">
        <f>"2025-08-17 01:28:16"</f>
        <v>2025-08-17 01:28:16</v>
      </c>
      <c r="M2135" s="1" t="s">
        <v>0</v>
      </c>
      <c r="N2135" s="1" t="s">
        <v>38</v>
      </c>
      <c r="O2135" s="1" t="s">
        <v>46</v>
      </c>
    </row>
    <row r="2136" spans="2:15" x14ac:dyDescent="0.3">
      <c r="B2136" s="1" t="s">
        <v>24</v>
      </c>
      <c r="C2136" s="1" t="str">
        <f>"4차"</f>
        <v>4차</v>
      </c>
      <c r="D2136" s="1" t="str">
        <f>"0427F74244"</f>
        <v>0427F74244</v>
      </c>
      <c r="E2136" s="1" t="s">
        <v>10</v>
      </c>
      <c r="F2136" s="1" t="str">
        <f>"10.12.138.122"</f>
        <v>10.12.138.122</v>
      </c>
      <c r="G2136" s="1" t="str">
        <f>"0427F742"</f>
        <v>0427F742</v>
      </c>
      <c r="H2136" s="1" t="str">
        <f>"우일간 46L4L1L3"</f>
        <v>우일간 46L4L1L3</v>
      </c>
      <c r="I2136" s="1" t="s">
        <v>8</v>
      </c>
      <c r="J2136" s="1" t="str">
        <f>"17/17"</f>
        <v>17/17</v>
      </c>
      <c r="K2136" s="1" t="str">
        <f>"2026-07-29 13:18:03"</f>
        <v>2026-07-29 13:18:03</v>
      </c>
      <c r="L2136" s="1" t="str">
        <f>"2023-07-17 18:22:40"</f>
        <v>2023-07-17 18:22:40</v>
      </c>
      <c r="M2136" s="1" t="s">
        <v>0</v>
      </c>
      <c r="N2136" s="1" t="s">
        <v>38</v>
      </c>
      <c r="O2136" s="1" t="s">
        <v>46</v>
      </c>
    </row>
    <row r="2137" spans="2:15" x14ac:dyDescent="0.3">
      <c r="B2137" s="1" t="s">
        <v>24</v>
      </c>
      <c r="C2137" s="1" t="str">
        <f>"4차"</f>
        <v>4차</v>
      </c>
      <c r="D2137" s="1" t="str">
        <f>"0427F75142"</f>
        <v>0427F75142</v>
      </c>
      <c r="E2137" s="1" t="s">
        <v>10</v>
      </c>
      <c r="F2137" s="1" t="str">
        <f>"10.89.246.166"</f>
        <v>10.89.246.166</v>
      </c>
      <c r="G2137" s="1" t="str">
        <f>"0427F751"</f>
        <v>0427F751</v>
      </c>
      <c r="H2137" s="1" t="str">
        <f>"우일간 46L4L1L4"</f>
        <v>우일간 46L4L1L4</v>
      </c>
      <c r="I2137" s="1" t="s">
        <v>8</v>
      </c>
      <c r="J2137" s="1" t="str">
        <f>"46/46"</f>
        <v>46/46</v>
      </c>
      <c r="K2137" s="1" t="str">
        <f>"2026-07-29 13:18:03"</f>
        <v>2026-07-29 13:18:03</v>
      </c>
      <c r="L2137" s="1" t="str">
        <f>"2025-04-17 09:01:11"</f>
        <v>2025-04-17 09:01:11</v>
      </c>
      <c r="M2137" s="1" t="s">
        <v>45</v>
      </c>
      <c r="N2137" s="1" t="s">
        <v>38</v>
      </c>
      <c r="O2137" s="1" t="s">
        <v>46</v>
      </c>
    </row>
    <row r="2138" spans="2:15" x14ac:dyDescent="0.3">
      <c r="B2138" s="1" t="s">
        <v>24</v>
      </c>
      <c r="C2138" s="1" t="str">
        <f>"1차"</f>
        <v>1차</v>
      </c>
      <c r="D2138" s="1" t="str">
        <f>"0427F78300"</f>
        <v>0427F78300</v>
      </c>
      <c r="E2138" s="1" t="s">
        <v>10</v>
      </c>
      <c r="F2138" s="1" t="str">
        <f>"10.89.246.171"</f>
        <v>10.89.246.171</v>
      </c>
      <c r="G2138" s="1" t="str">
        <f>"0427F783"</f>
        <v>0427F783</v>
      </c>
      <c r="H2138" s="1" t="str">
        <f>"우일간 46L2L4R2"</f>
        <v>우일간 46L2L4R2</v>
      </c>
      <c r="I2138" s="1" t="s">
        <v>8</v>
      </c>
      <c r="J2138" s="1" t="str">
        <f>"16/16"</f>
        <v>16/16</v>
      </c>
      <c r="K2138" s="1" t="str">
        <f>"2026-07-29 13:18:05"</f>
        <v>2026-07-29 13:18:05</v>
      </c>
      <c r="L2138" s="1" t="str">
        <f>"2015-06-05 17:34:17"</f>
        <v>2015-06-05 17:34:17</v>
      </c>
      <c r="M2138" s="1" t="s">
        <v>45</v>
      </c>
      <c r="N2138" s="1" t="s">
        <v>38</v>
      </c>
      <c r="O2138" s="1" t="s">
        <v>46</v>
      </c>
    </row>
    <row r="2139" spans="2:15" x14ac:dyDescent="0.3">
      <c r="B2139" s="1" t="s">
        <v>24</v>
      </c>
      <c r="C2139" s="1" t="str">
        <f>"5-2차"</f>
        <v>5-2차</v>
      </c>
      <c r="D2139" s="1" t="str">
        <f>"0427F8015S"</f>
        <v>0427F8015S</v>
      </c>
      <c r="E2139" s="1" t="s">
        <v>10</v>
      </c>
      <c r="F2139" s="1" t="str">
        <f>"fde3:102:1430:8400:0:0:0:d"</f>
        <v>fde3:102:1430:8400:0:0:0:d</v>
      </c>
      <c r="G2139" s="1" t="str">
        <f>"0427F801"</f>
        <v>0427F801</v>
      </c>
      <c r="H2139" s="1" t="str">
        <f>"우일간 46L10"</f>
        <v>우일간 46L10</v>
      </c>
      <c r="I2139" s="1" t="s">
        <v>15</v>
      </c>
      <c r="J2139" s="1" t="str">
        <f>"38/38"</f>
        <v>38/38</v>
      </c>
      <c r="K2139" s="1" t="str">
        <f>"2026-07-29 14:20:52"</f>
        <v>2026-07-29 14:20:52</v>
      </c>
      <c r="L2139" s="1" t="str">
        <f>"2023-08-18 09:56:53"</f>
        <v>2023-08-18 09:56:53</v>
      </c>
      <c r="M2139" s="1" t="s">
        <v>45</v>
      </c>
      <c r="N2139" s="1" t="s">
        <v>38</v>
      </c>
      <c r="O2139" s="1" t="s">
        <v>46</v>
      </c>
    </row>
    <row r="2140" spans="2:15" x14ac:dyDescent="0.3">
      <c r="B2140" s="1" t="s">
        <v>24</v>
      </c>
      <c r="C2140" s="1" t="str">
        <f>"1차"</f>
        <v>1차</v>
      </c>
      <c r="D2140" s="1" t="str">
        <f>"0427F82101"</f>
        <v>0427F82101</v>
      </c>
      <c r="E2140" s="1" t="s">
        <v>10</v>
      </c>
      <c r="F2140" s="1" t="str">
        <f>"10.89.246.133"</f>
        <v>10.89.246.133</v>
      </c>
      <c r="G2140" s="1" t="str">
        <f>"0427F821"</f>
        <v>0427F821</v>
      </c>
      <c r="H2140" s="1" t="str">
        <f>"우일간 46L5L3R3"</f>
        <v>우일간 46L5L3R3</v>
      </c>
      <c r="I2140" s="1" t="s">
        <v>8</v>
      </c>
      <c r="J2140" s="1" t="str">
        <f>"21/21"</f>
        <v>21/21</v>
      </c>
      <c r="K2140" s="1" t="str">
        <f>"2026-07-29 13:18:03"</f>
        <v>2026-07-29 13:18:03</v>
      </c>
      <c r="L2140" s="1" t="str">
        <f>"2014-10-29 13:32:51"</f>
        <v>2014-10-29 13:32:51</v>
      </c>
      <c r="M2140" s="1" t="s">
        <v>45</v>
      </c>
      <c r="N2140" s="1" t="s">
        <v>38</v>
      </c>
      <c r="O2140" s="1" t="s">
        <v>46</v>
      </c>
    </row>
    <row r="2141" spans="2:15" x14ac:dyDescent="0.3">
      <c r="B2141" s="1" t="s">
        <v>24</v>
      </c>
      <c r="C2141" s="1" t="str">
        <f>"1차"</f>
        <v>1차</v>
      </c>
      <c r="D2141" s="1" t="str">
        <f>"0427F83201"</f>
        <v>0427F83201</v>
      </c>
      <c r="E2141" s="1" t="s">
        <v>10</v>
      </c>
      <c r="F2141" s="1" t="str">
        <f>"10.89.246.134"</f>
        <v>10.89.246.134</v>
      </c>
      <c r="G2141" s="1" t="str">
        <f>"0427F832"</f>
        <v>0427F832</v>
      </c>
      <c r="H2141" s="1" t="str">
        <f>"우일간 46L4L3R1"</f>
        <v>우일간 46L4L3R1</v>
      </c>
      <c r="I2141" s="1" t="s">
        <v>8</v>
      </c>
      <c r="J2141" s="1" t="str">
        <f>"21/21"</f>
        <v>21/21</v>
      </c>
      <c r="K2141" s="1" t="str">
        <f>"2026-07-29 13:18:03"</f>
        <v>2026-07-29 13:18:03</v>
      </c>
      <c r="L2141" s="1" t="str">
        <f>"2014-10-29 13:33:10"</f>
        <v>2014-10-29 13:33:10</v>
      </c>
      <c r="M2141" s="1" t="s">
        <v>45</v>
      </c>
      <c r="N2141" s="1" t="s">
        <v>38</v>
      </c>
      <c r="O2141" s="1" t="s">
        <v>46</v>
      </c>
    </row>
    <row r="2142" spans="2:15" x14ac:dyDescent="0.3">
      <c r="B2142" s="1" t="s">
        <v>24</v>
      </c>
      <c r="C2142" s="1" t="str">
        <f>"1차"</f>
        <v>1차</v>
      </c>
      <c r="D2142" s="1" t="str">
        <f>"0427F83300"</f>
        <v>0427F83300</v>
      </c>
      <c r="E2142" s="1" t="s">
        <v>10</v>
      </c>
      <c r="F2142" s="1" t="str">
        <f>"10.89.246.132"</f>
        <v>10.89.246.132</v>
      </c>
      <c r="G2142" s="1" t="str">
        <f>"0427F833"</f>
        <v>0427F833</v>
      </c>
      <c r="H2142" s="1" t="str">
        <f>"우일간 46L4L3R2"</f>
        <v>우일간 46L4L3R2</v>
      </c>
      <c r="I2142" s="1" t="s">
        <v>8</v>
      </c>
      <c r="J2142" s="1" t="str">
        <f>"28/28"</f>
        <v>28/28</v>
      </c>
      <c r="K2142" s="1" t="str">
        <f>"2026-07-29 13:18:05"</f>
        <v>2026-07-29 13:18:05</v>
      </c>
      <c r="L2142" s="1" t="str">
        <f>"2014-10-29 13:33:45"</f>
        <v>2014-10-29 13:33:45</v>
      </c>
      <c r="M2142" s="1" t="s">
        <v>45</v>
      </c>
      <c r="N2142" s="1" t="s">
        <v>38</v>
      </c>
      <c r="O2142" s="1" t="s">
        <v>46</v>
      </c>
    </row>
    <row r="2143" spans="2:15" x14ac:dyDescent="0.3">
      <c r="B2143" s="1" t="s">
        <v>24</v>
      </c>
      <c r="C2143" s="1" t="str">
        <f>"1차"</f>
        <v>1차</v>
      </c>
      <c r="D2143" s="1" t="str">
        <f>"0427F84301"</f>
        <v>0427F84301</v>
      </c>
      <c r="E2143" s="1" t="s">
        <v>10</v>
      </c>
      <c r="F2143" s="1" t="str">
        <f>"10.89.246.130"</f>
        <v>10.89.246.130</v>
      </c>
      <c r="G2143" s="1" t="str">
        <f>"0427F843"</f>
        <v>0427F843</v>
      </c>
      <c r="H2143" s="1" t="str">
        <f>"우일간 46L4L4"</f>
        <v>우일간 46L4L4</v>
      </c>
      <c r="I2143" s="1" t="s">
        <v>8</v>
      </c>
      <c r="J2143" s="1" t="str">
        <f>"40/40"</f>
        <v>40/40</v>
      </c>
      <c r="K2143" s="1" t="str">
        <f>"2026-07-29 13:18:05"</f>
        <v>2026-07-29 13:18:05</v>
      </c>
      <c r="L2143" s="1" t="str">
        <f>"2014-10-29 13:35:11"</f>
        <v>2014-10-29 13:35:11</v>
      </c>
      <c r="M2143" s="1" t="s">
        <v>45</v>
      </c>
      <c r="N2143" s="1" t="s">
        <v>38</v>
      </c>
      <c r="O2143" s="1" t="s">
        <v>46</v>
      </c>
    </row>
    <row r="2144" spans="2:15" x14ac:dyDescent="0.3">
      <c r="B2144" s="1" t="s">
        <v>24</v>
      </c>
      <c r="C2144" s="1" t="str">
        <f>"4차"</f>
        <v>4차</v>
      </c>
      <c r="D2144" s="1" t="str">
        <f>"0427F85144"</f>
        <v>0427F85144</v>
      </c>
      <c r="E2144" s="1" t="s">
        <v>10</v>
      </c>
      <c r="F2144" s="1" t="str">
        <f>"10.14.10.199"</f>
        <v>10.14.10.199</v>
      </c>
      <c r="G2144" s="1" t="str">
        <f>"0427F851"</f>
        <v>0427F851</v>
      </c>
      <c r="H2144" s="1" t="str">
        <f>"우일간 46L4L1L5"</f>
        <v>우일간 46L4L1L5</v>
      </c>
      <c r="I2144" s="1" t="s">
        <v>8</v>
      </c>
      <c r="J2144" s="1" t="str">
        <f>"25/25"</f>
        <v>25/25</v>
      </c>
      <c r="K2144" s="1" t="str">
        <f>"2026-07-29 13:18:04"</f>
        <v>2026-07-29 13:18:04</v>
      </c>
      <c r="L2144" s="1" t="str">
        <f>"2023-07-27 16:47:43"</f>
        <v>2023-07-27 16:47:43</v>
      </c>
      <c r="M2144" s="1" t="s">
        <v>3</v>
      </c>
      <c r="N2144" s="1" t="s">
        <v>38</v>
      </c>
      <c r="O2144" s="1" t="s">
        <v>46</v>
      </c>
    </row>
    <row r="2145" spans="2:15" x14ac:dyDescent="0.3">
      <c r="B2145" s="1" t="s">
        <v>24</v>
      </c>
      <c r="C2145" s="1" t="str">
        <f>"5-2차"</f>
        <v>5-2차</v>
      </c>
      <c r="D2145" s="1" t="str">
        <f>"0427F8625M"</f>
        <v>0427F8625M</v>
      </c>
      <c r="E2145" s="1" t="s">
        <v>10</v>
      </c>
      <c r="F2145" s="1" t="str">
        <f>"fde3:102:1430:8500:0:0:0:3"</f>
        <v>fde3:102:1430:8500:0:0:0:3</v>
      </c>
      <c r="G2145" s="1" t="str">
        <f>"0427F862"</f>
        <v>0427F862</v>
      </c>
      <c r="H2145" s="1" t="str">
        <f>"우일간 46L4L1L6"</f>
        <v>우일간 46L4L1L6</v>
      </c>
      <c r="I2145" s="1" t="s">
        <v>15</v>
      </c>
      <c r="J2145" s="1" t="str">
        <f>"52/54"</f>
        <v>52/54</v>
      </c>
      <c r="K2145" s="1" t="str">
        <f>"2026-07-29 14:20:52"</f>
        <v>2026-07-29 14:20:52</v>
      </c>
      <c r="L2145" s="1" t="str">
        <f>"2023-08-19 06:06:10"</f>
        <v>2023-08-19 06:06:10</v>
      </c>
      <c r="M2145" s="1" t="s">
        <v>45</v>
      </c>
      <c r="N2145" s="1" t="s">
        <v>38</v>
      </c>
      <c r="O2145" s="1" t="s">
        <v>46</v>
      </c>
    </row>
    <row r="2146" spans="2:15" x14ac:dyDescent="0.3">
      <c r="B2146" s="1" t="s">
        <v>24</v>
      </c>
      <c r="C2146" s="1" t="str">
        <f>"5-2차"</f>
        <v>5-2차</v>
      </c>
      <c r="D2146" s="1" t="str">
        <f>"0427F9115S"</f>
        <v>0427F9115S</v>
      </c>
      <c r="E2146" s="1" t="s">
        <v>10</v>
      </c>
      <c r="F2146" s="1" t="str">
        <f>"fde3:102:1430:8400:0:0:0:4"</f>
        <v>fde3:102:1430:8400:0:0:0:4</v>
      </c>
      <c r="G2146" s="1" t="str">
        <f>"0427F911"</f>
        <v>0427F911</v>
      </c>
      <c r="H2146" s="1" t="str">
        <f>"우일간 46L4L3R4R1"</f>
        <v>우일간 46L4L3R4R1</v>
      </c>
      <c r="I2146" s="1" t="s">
        <v>15</v>
      </c>
      <c r="J2146" s="1" t="str">
        <f>"24/28"</f>
        <v>24/28</v>
      </c>
      <c r="K2146" s="1" t="str">
        <f>"2026-07-29 14:20:52"</f>
        <v>2026-07-29 14:20:52</v>
      </c>
      <c r="L2146" s="1" t="str">
        <f>"2023-08-18 10:44:31"</f>
        <v>2023-08-18 10:44:31</v>
      </c>
      <c r="M2146" s="1" t="s">
        <v>45</v>
      </c>
      <c r="N2146" s="1" t="s">
        <v>38</v>
      </c>
      <c r="O2146" s="1" t="s">
        <v>46</v>
      </c>
    </row>
    <row r="2147" spans="2:15" x14ac:dyDescent="0.3">
      <c r="B2147" s="1" t="s">
        <v>24</v>
      </c>
      <c r="C2147" s="1" t="str">
        <f>"5-2차"</f>
        <v>5-2차</v>
      </c>
      <c r="D2147" s="1" t="str">
        <f>"0427F9215S"</f>
        <v>0427F9215S</v>
      </c>
      <c r="E2147" s="1" t="s">
        <v>10</v>
      </c>
      <c r="F2147" s="1" t="str">
        <f>"fde3:102:1430:8400:0:0:0:3"</f>
        <v>fde3:102:1430:8400:0:0:0:3</v>
      </c>
      <c r="G2147" s="1" t="str">
        <f>"0427F921"</f>
        <v>0427F921</v>
      </c>
      <c r="H2147" s="1" t="str">
        <f>"우일간 46L4L3R4"</f>
        <v>우일간 46L4L3R4</v>
      </c>
      <c r="I2147" s="1" t="s">
        <v>15</v>
      </c>
      <c r="J2147" s="1" t="str">
        <f>"28/28"</f>
        <v>28/28</v>
      </c>
      <c r="K2147" s="1" t="str">
        <f>"2026-07-29 14:20:56"</f>
        <v>2026-07-29 14:20:56</v>
      </c>
      <c r="L2147" s="1" t="str">
        <f>"2023-08-18 11:28:41"</f>
        <v>2023-08-18 11:28:41</v>
      </c>
      <c r="M2147" s="1" t="s">
        <v>45</v>
      </c>
      <c r="N2147" s="1" t="s">
        <v>38</v>
      </c>
      <c r="O2147" s="1" t="s">
        <v>46</v>
      </c>
    </row>
    <row r="2148" spans="2:15" x14ac:dyDescent="0.3">
      <c r="B2148" s="1" t="s">
        <v>24</v>
      </c>
      <c r="C2148" s="1" t="str">
        <f>"5-2차"</f>
        <v>5-2차</v>
      </c>
      <c r="D2148" s="1" t="str">
        <f>"0427F9225M"</f>
        <v>0427F9225M</v>
      </c>
      <c r="E2148" s="1" t="s">
        <v>10</v>
      </c>
      <c r="F2148" s="1" t="str">
        <f>"fde3:102:1430:8400:0:0:0:2c"</f>
        <v>fde3:102:1430:8400:0:0:0:2c</v>
      </c>
      <c r="G2148" s="1" t="str">
        <f>"0427F922"</f>
        <v>0427F922</v>
      </c>
      <c r="H2148" s="1" t="str">
        <f>"우일간 46L4L3R6"</f>
        <v>우일간 46L4L3R6</v>
      </c>
      <c r="I2148" s="1" t="s">
        <v>15</v>
      </c>
      <c r="J2148" s="1" t="str">
        <f>"61/63"</f>
        <v>61/63</v>
      </c>
      <c r="K2148" s="1" t="str">
        <f>"2026-07-29 14:20:54"</f>
        <v>2026-07-29 14:20:54</v>
      </c>
      <c r="L2148" s="1" t="str">
        <f>"2023-10-16 17:07:11"</f>
        <v>2023-10-16 17:07:11</v>
      </c>
      <c r="M2148" s="1" t="s">
        <v>45</v>
      </c>
      <c r="N2148" s="1" t="s">
        <v>38</v>
      </c>
      <c r="O2148" s="1" t="s">
        <v>46</v>
      </c>
    </row>
    <row r="2149" spans="2:15" x14ac:dyDescent="0.3">
      <c r="B2149" s="1" t="s">
        <v>24</v>
      </c>
      <c r="C2149" s="1" t="str">
        <f>"5-2차"</f>
        <v>5-2차</v>
      </c>
      <c r="D2149" s="1" t="str">
        <f>"0427F9315S"</f>
        <v>0427F9315S</v>
      </c>
      <c r="E2149" s="1" t="s">
        <v>10</v>
      </c>
      <c r="F2149" s="1" t="str">
        <f>"fde3:102:1430:8400:0:0:0:e"</f>
        <v>fde3:102:1430:8400:0:0:0:e</v>
      </c>
      <c r="G2149" s="1" t="str">
        <f>"0427F931"</f>
        <v>0427F931</v>
      </c>
      <c r="H2149" s="1" t="str">
        <f>"우일간 46L4L5R1"</f>
        <v>우일간 46L4L5R1</v>
      </c>
      <c r="I2149" s="1" t="s">
        <v>15</v>
      </c>
      <c r="J2149" s="1" t="str">
        <f>"29/29"</f>
        <v>29/29</v>
      </c>
      <c r="K2149" s="1" t="str">
        <f>"2026-07-29 14:20:55"</f>
        <v>2026-07-29 14:20:55</v>
      </c>
      <c r="L2149" s="1" t="str">
        <f>"2023-08-19 06:39:53"</f>
        <v>2023-08-19 06:39:53</v>
      </c>
      <c r="M2149" s="1" t="s">
        <v>45</v>
      </c>
      <c r="N2149" s="1" t="s">
        <v>38</v>
      </c>
      <c r="O2149" s="1" t="s">
        <v>46</v>
      </c>
    </row>
    <row r="2150" spans="2:15" x14ac:dyDescent="0.3">
      <c r="B2150" s="1" t="s">
        <v>24</v>
      </c>
      <c r="C2150" s="1" t="str">
        <f>"6차"</f>
        <v>6차</v>
      </c>
      <c r="D2150" s="1" t="str">
        <f>"0427G0036S"</f>
        <v>0427G0036S</v>
      </c>
      <c r="E2150" s="1" t="s">
        <v>10</v>
      </c>
      <c r="F2150" s="1" t="str">
        <f>"fde1:103:4:9119:0:0:0:2"</f>
        <v>fde1:103:4:9119:0:0:0:2</v>
      </c>
      <c r="G2150" s="1" t="str">
        <f>"0427G003"</f>
        <v>0427G003</v>
      </c>
      <c r="H2150" s="1" t="str">
        <f>"휘창간 1L13R1"</f>
        <v>휘창간 1L13R1</v>
      </c>
      <c r="I2150" s="1" t="s">
        <v>15</v>
      </c>
      <c r="J2150" s="1" t="str">
        <f>"43/43"</f>
        <v>43/43</v>
      </c>
      <c r="K2150" s="1" t="str">
        <f>"2026-07-29 14:21:10"</f>
        <v>2026-07-29 14:21:10</v>
      </c>
      <c r="L2150" s="1" t="str">
        <f>"2025-02-21 17:22:07"</f>
        <v>2025-02-21 17:22:07</v>
      </c>
      <c r="M2150" s="1" t="s">
        <v>4</v>
      </c>
      <c r="N2150" s="1" t="s">
        <v>38</v>
      </c>
      <c r="O2150" s="1" t="s">
        <v>46</v>
      </c>
    </row>
    <row r="2151" spans="2:15" x14ac:dyDescent="0.3">
      <c r="B2151" s="1" t="s">
        <v>24</v>
      </c>
      <c r="C2151" s="1" t="str">
        <f t="shared" ref="C2151:C2158" si="122">"5-2차"</f>
        <v>5-2차</v>
      </c>
      <c r="D2151" s="1" t="str">
        <f>"0427G0235M"</f>
        <v>0427G0235M</v>
      </c>
      <c r="E2151" s="1" t="s">
        <v>10</v>
      </c>
      <c r="F2151" s="1" t="str">
        <f>"fde1:103:4:6e71:0:0:0:2"</f>
        <v>fde1:103:4:6e71:0:0:0:2</v>
      </c>
      <c r="G2151" s="1" t="str">
        <f>"0427G023"</f>
        <v>0427G023</v>
      </c>
      <c r="H2151" s="1" t="str">
        <f>"동원간 44"</f>
        <v>동원간 44</v>
      </c>
      <c r="I2151" s="1" t="s">
        <v>15</v>
      </c>
      <c r="J2151" s="1" t="str">
        <f>"49/49"</f>
        <v>49/49</v>
      </c>
      <c r="K2151" s="1" t="str">
        <f>"2026-07-29 14:21:10"</f>
        <v>2026-07-29 14:21:10</v>
      </c>
      <c r="L2151" s="1" t="str">
        <f>"2023-11-17 08:53:33"</f>
        <v>2023-11-17 08:53:33</v>
      </c>
      <c r="M2151" s="1" t="s">
        <v>4</v>
      </c>
      <c r="N2151" s="1" t="s">
        <v>38</v>
      </c>
      <c r="O2151" s="1" t="s">
        <v>46</v>
      </c>
    </row>
    <row r="2152" spans="2:15" x14ac:dyDescent="0.3">
      <c r="B2152" s="1" t="s">
        <v>24</v>
      </c>
      <c r="C2152" s="1" t="str">
        <f t="shared" si="122"/>
        <v>5-2차</v>
      </c>
      <c r="D2152" s="1" t="str">
        <f>"0427G0525S"</f>
        <v>0427G0525S</v>
      </c>
      <c r="E2152" s="1" t="s">
        <v>10</v>
      </c>
      <c r="F2152" s="1" t="str">
        <f>"fde1:103:4:6e7c:0:0:0:2"</f>
        <v>fde1:103:4:6e7c:0:0:0:2</v>
      </c>
      <c r="G2152" s="1" t="str">
        <f>"0427G052"</f>
        <v>0427G052</v>
      </c>
      <c r="H2152" s="1" t="str">
        <f>"동원간 29R7R7L2L5"</f>
        <v>동원간 29R7R7L2L5</v>
      </c>
      <c r="I2152" s="1" t="s">
        <v>15</v>
      </c>
      <c r="J2152" s="1" t="str">
        <f>"36/39"</f>
        <v>36/39</v>
      </c>
      <c r="K2152" s="1" t="str">
        <f>"2026-07-29 14:20:55"</f>
        <v>2026-07-29 14:20:55</v>
      </c>
      <c r="L2152" s="1" t="str">
        <f>"2023-11-14 10:50:17"</f>
        <v>2023-11-14 10:50:17</v>
      </c>
      <c r="M2152" s="1" t="s">
        <v>4</v>
      </c>
      <c r="N2152" s="1" t="s">
        <v>38</v>
      </c>
      <c r="O2152" s="1" t="s">
        <v>46</v>
      </c>
    </row>
    <row r="2153" spans="2:15" x14ac:dyDescent="0.3">
      <c r="B2153" s="1" t="s">
        <v>24</v>
      </c>
      <c r="C2153" s="1" t="str">
        <f t="shared" si="122"/>
        <v>5-2차</v>
      </c>
      <c r="D2153" s="1" t="str">
        <f>"0427G0625M"</f>
        <v>0427G0625M</v>
      </c>
      <c r="E2153" s="1" t="s">
        <v>10</v>
      </c>
      <c r="F2153" s="1" t="str">
        <f>"fde3:102:1430:9600:0:0:0:2"</f>
        <v>fde3:102:1430:9600:0:0:0:2</v>
      </c>
      <c r="G2153" s="1" t="str">
        <f>"0427G062"</f>
        <v>0427G062</v>
      </c>
      <c r="H2153" s="1" t="str">
        <f>"동원간 29R7R1"</f>
        <v>동원간 29R7R1</v>
      </c>
      <c r="I2153" s="1" t="s">
        <v>15</v>
      </c>
      <c r="J2153" s="1" t="str">
        <f>"123/123"</f>
        <v>123/123</v>
      </c>
      <c r="K2153" s="1" t="str">
        <f>"2026-07-29 14:20:52"</f>
        <v>2026-07-29 14:20:52</v>
      </c>
      <c r="L2153" s="1" t="str">
        <f>"2024-01-08 11:05:45"</f>
        <v>2024-01-08 11:05:45</v>
      </c>
      <c r="M2153" s="1" t="s">
        <v>45</v>
      </c>
      <c r="N2153" s="1" t="s">
        <v>38</v>
      </c>
      <c r="O2153" s="1" t="s">
        <v>46</v>
      </c>
    </row>
    <row r="2154" spans="2:15" x14ac:dyDescent="0.3">
      <c r="B2154" s="1" t="s">
        <v>24</v>
      </c>
      <c r="C2154" s="1" t="str">
        <f t="shared" si="122"/>
        <v>5-2차</v>
      </c>
      <c r="D2154" s="1" t="str">
        <f>"0427G0715M"</f>
        <v>0427G0715M</v>
      </c>
      <c r="E2154" s="1" t="s">
        <v>10</v>
      </c>
      <c r="F2154" s="1" t="str">
        <f>"fde3:102:1430:9700:0:0:0:7"</f>
        <v>fde3:102:1430:9700:0:0:0:7</v>
      </c>
      <c r="G2154" s="1" t="str">
        <f>"0427G071"</f>
        <v>0427G071</v>
      </c>
      <c r="H2154" s="1" t="str">
        <f>"동원간 29R5R2"</f>
        <v>동원간 29R5R2</v>
      </c>
      <c r="I2154" s="1" t="s">
        <v>15</v>
      </c>
      <c r="J2154" s="1" t="str">
        <f>"45/50"</f>
        <v>45/50</v>
      </c>
      <c r="K2154" s="1" t="str">
        <f>"2026-07-29 14:20:53"</f>
        <v>2026-07-29 14:20:53</v>
      </c>
      <c r="L2154" s="1" t="str">
        <f>"2024-01-08 11:06:09"</f>
        <v>2024-01-08 11:06:09</v>
      </c>
      <c r="M2154" s="1" t="s">
        <v>45</v>
      </c>
      <c r="N2154" s="1" t="s">
        <v>38</v>
      </c>
      <c r="O2154" s="1" t="s">
        <v>46</v>
      </c>
    </row>
    <row r="2155" spans="2:15" x14ac:dyDescent="0.3">
      <c r="B2155" s="1" t="s">
        <v>24</v>
      </c>
      <c r="C2155" s="1" t="str">
        <f t="shared" si="122"/>
        <v>5-2차</v>
      </c>
      <c r="D2155" s="1" t="str">
        <f>"0427G0725S"</f>
        <v>0427G0725S</v>
      </c>
      <c r="E2155" s="1" t="s">
        <v>10</v>
      </c>
      <c r="F2155" s="1" t="str">
        <f>"fde3:102:1430:9700:0:0:0:6"</f>
        <v>fde3:102:1430:9700:0:0:0:6</v>
      </c>
      <c r="G2155" s="1" t="str">
        <f>"0427G072"</f>
        <v>0427G072</v>
      </c>
      <c r="H2155" s="1" t="str">
        <f>"동원간 29R5R1"</f>
        <v>동원간 29R5R1</v>
      </c>
      <c r="I2155" s="1" t="s">
        <v>15</v>
      </c>
      <c r="J2155" s="1" t="str">
        <f>"30/33"</f>
        <v>30/33</v>
      </c>
      <c r="K2155" s="1" t="str">
        <f>"2026-07-29 14:20:55"</f>
        <v>2026-07-29 14:20:55</v>
      </c>
      <c r="L2155" s="1" t="str">
        <f>"2024-01-08 11:14:46"</f>
        <v>2024-01-08 11:14:46</v>
      </c>
      <c r="M2155" s="1" t="s">
        <v>45</v>
      </c>
      <c r="N2155" s="1" t="s">
        <v>38</v>
      </c>
      <c r="O2155" s="1" t="s">
        <v>46</v>
      </c>
    </row>
    <row r="2156" spans="2:15" x14ac:dyDescent="0.3">
      <c r="B2156" s="1" t="s">
        <v>24</v>
      </c>
      <c r="C2156" s="1" t="str">
        <f t="shared" si="122"/>
        <v>5-2차</v>
      </c>
      <c r="D2156" s="1" t="str">
        <f>"0427G0915M"</f>
        <v>0427G0915M</v>
      </c>
      <c r="E2156" s="1" t="s">
        <v>10</v>
      </c>
      <c r="F2156" s="1" t="str">
        <f>"fde1:103:4:940f:0:0:0:2"</f>
        <v>fde1:103:4:940f:0:0:0:2</v>
      </c>
      <c r="G2156" s="1" t="str">
        <f>"0427G091"</f>
        <v>0427G091</v>
      </c>
      <c r="H2156" s="1" t="str">
        <f>"동원간 29R5R7L2"</f>
        <v>동원간 29R5R7L2</v>
      </c>
      <c r="I2156" s="1" t="s">
        <v>15</v>
      </c>
      <c r="J2156" s="1" t="str">
        <f>"58/58"</f>
        <v>58/58</v>
      </c>
      <c r="K2156" s="1" t="str">
        <f>"2026-07-29 14:20:56"</f>
        <v>2026-07-29 14:20:56</v>
      </c>
      <c r="L2156" s="1" t="str">
        <f>"2023-12-15 10:30:24"</f>
        <v>2023-12-15 10:30:24</v>
      </c>
      <c r="M2156" s="1" t="s">
        <v>4</v>
      </c>
      <c r="N2156" s="1" t="s">
        <v>38</v>
      </c>
      <c r="O2156" s="1" t="s">
        <v>46</v>
      </c>
    </row>
    <row r="2157" spans="2:15" x14ac:dyDescent="0.3">
      <c r="B2157" s="1" t="s">
        <v>24</v>
      </c>
      <c r="C2157" s="1" t="str">
        <f t="shared" si="122"/>
        <v>5-2차</v>
      </c>
      <c r="D2157" s="1" t="str">
        <f>"0427G1015M"</f>
        <v>0427G1015M</v>
      </c>
      <c r="E2157" s="1" t="s">
        <v>10</v>
      </c>
      <c r="F2157" s="1" t="str">
        <f>"fde1:103:4:941a:0:0:0:2"</f>
        <v>fde1:103:4:941a:0:0:0:2</v>
      </c>
      <c r="G2157" s="1" t="str">
        <f>"0427G101"</f>
        <v>0427G101</v>
      </c>
      <c r="H2157" s="1" t="str">
        <f>"휘창간 1L11"</f>
        <v>휘창간 1L11</v>
      </c>
      <c r="I2157" s="1" t="s">
        <v>15</v>
      </c>
      <c r="J2157" s="1" t="str">
        <f>"33/33"</f>
        <v>33/33</v>
      </c>
      <c r="K2157" s="1" t="str">
        <f>"2026-07-29 14:20:53"</f>
        <v>2026-07-29 14:20:53</v>
      </c>
      <c r="L2157" s="1" t="str">
        <f>"2023-12-15 10:30:54"</f>
        <v>2023-12-15 10:30:54</v>
      </c>
      <c r="M2157" s="1" t="s">
        <v>4</v>
      </c>
      <c r="N2157" s="1" t="s">
        <v>38</v>
      </c>
      <c r="O2157" s="1" t="s">
        <v>46</v>
      </c>
    </row>
    <row r="2158" spans="2:15" x14ac:dyDescent="0.3">
      <c r="B2158" s="1" t="s">
        <v>24</v>
      </c>
      <c r="C2158" s="1" t="str">
        <f t="shared" si="122"/>
        <v>5-2차</v>
      </c>
      <c r="D2158" s="1" t="str">
        <f>"0427G1025M"</f>
        <v>0427G1025M</v>
      </c>
      <c r="E2158" s="1" t="s">
        <v>10</v>
      </c>
      <c r="F2158" s="1" t="str">
        <f>"fde1:103:4:9327:0:0:0:2"</f>
        <v>fde1:103:4:9327:0:0:0:2</v>
      </c>
      <c r="G2158" s="1" t="str">
        <f>"0427G102"</f>
        <v>0427G102</v>
      </c>
      <c r="H2158" s="1" t="str">
        <f>"휘창간 1L13"</f>
        <v>휘창간 1L13</v>
      </c>
      <c r="I2158" s="1" t="s">
        <v>15</v>
      </c>
      <c r="J2158" s="1" t="str">
        <f>"33/34"</f>
        <v>33/34</v>
      </c>
      <c r="K2158" s="1" t="str">
        <f>"2026-07-29 14:20:54"</f>
        <v>2026-07-29 14:20:54</v>
      </c>
      <c r="L2158" s="1" t="str">
        <f>"2023-12-15 10:31:35"</f>
        <v>2023-12-15 10:31:35</v>
      </c>
      <c r="M2158" s="1" t="s">
        <v>4</v>
      </c>
      <c r="N2158" s="1" t="s">
        <v>38</v>
      </c>
      <c r="O2158" s="1" t="s">
        <v>46</v>
      </c>
    </row>
    <row r="2159" spans="2:15" x14ac:dyDescent="0.3">
      <c r="B2159" s="1" t="s">
        <v>24</v>
      </c>
      <c r="C2159" s="1" t="str">
        <f>"6차"</f>
        <v>6차</v>
      </c>
      <c r="D2159" s="1" t="str">
        <f>"0427G1426S"</f>
        <v>0427G1426S</v>
      </c>
      <c r="E2159" s="1" t="s">
        <v>10</v>
      </c>
      <c r="F2159" s="1" t="str">
        <f>"fde1:103:4:c6ab:0:0:0:2"</f>
        <v>fde1:103:4:c6ab:0:0:0:2</v>
      </c>
      <c r="G2159" s="1" t="str">
        <f>"0427G142"</f>
        <v>0427G142</v>
      </c>
      <c r="H2159" s="1" t="str">
        <f>"동원간 29R10"</f>
        <v>동원간 29R10</v>
      </c>
      <c r="I2159" s="1" t="s">
        <v>15</v>
      </c>
      <c r="J2159" s="1" t="str">
        <f>"73/73"</f>
        <v>73/73</v>
      </c>
      <c r="K2159" s="1" t="str">
        <f>"2026-07-29 14:20:58"</f>
        <v>2026-07-29 14:20:58</v>
      </c>
      <c r="L2159" s="1" t="str">
        <f>"2024-11-07 13:25:59"</f>
        <v>2024-11-07 13:25:59</v>
      </c>
      <c r="M2159" s="1" t="s">
        <v>4</v>
      </c>
      <c r="N2159" s="1" t="s">
        <v>38</v>
      </c>
      <c r="O2159" s="1" t="s">
        <v>46</v>
      </c>
    </row>
    <row r="2160" spans="2:15" x14ac:dyDescent="0.3">
      <c r="B2160" s="1" t="s">
        <v>24</v>
      </c>
      <c r="C2160" s="1" t="str">
        <f t="shared" ref="C2160:C2167" si="123">"5-2차"</f>
        <v>5-2차</v>
      </c>
      <c r="D2160" s="1" t="str">
        <f>"0427G1615M"</f>
        <v>0427G1615M</v>
      </c>
      <c r="E2160" s="1" t="s">
        <v>10</v>
      </c>
      <c r="F2160" s="1" t="str">
        <f>"fde3:102:1430:9100:0:0:0:2"</f>
        <v>fde3:102:1430:9100:0:0:0:2</v>
      </c>
      <c r="G2160" s="1" t="str">
        <f>"0427G161"</f>
        <v>0427G161</v>
      </c>
      <c r="H2160" s="1" t="str">
        <f>"동원간 29R7"</f>
        <v>동원간 29R7</v>
      </c>
      <c r="I2160" s="1" t="s">
        <v>15</v>
      </c>
      <c r="J2160" s="1" t="str">
        <f>"53/53"</f>
        <v>53/53</v>
      </c>
      <c r="K2160" s="1" t="str">
        <f>"2026-07-29 14:20:57"</f>
        <v>2026-07-29 14:20:57</v>
      </c>
      <c r="L2160" s="1" t="str">
        <f>"2024-01-08 11:14:18"</f>
        <v>2024-01-08 11:14:18</v>
      </c>
      <c r="M2160" s="1" t="s">
        <v>45</v>
      </c>
      <c r="N2160" s="1" t="s">
        <v>38</v>
      </c>
      <c r="O2160" s="1" t="s">
        <v>46</v>
      </c>
    </row>
    <row r="2161" spans="2:15" x14ac:dyDescent="0.3">
      <c r="B2161" s="1" t="s">
        <v>24</v>
      </c>
      <c r="C2161" s="1" t="str">
        <f t="shared" si="123"/>
        <v>5-2차</v>
      </c>
      <c r="D2161" s="1" t="str">
        <f>"0427G1725M"</f>
        <v>0427G1725M</v>
      </c>
      <c r="E2161" s="1" t="s">
        <v>10</v>
      </c>
      <c r="F2161" s="1" t="str">
        <f>"fde3:102:1430:9700:0:0:0:8"</f>
        <v>fde3:102:1430:9700:0:0:0:8</v>
      </c>
      <c r="G2161" s="1" t="str">
        <f>"0427G172"</f>
        <v>0427G172</v>
      </c>
      <c r="H2161" s="1" t="str">
        <f>"동원간 29R4"</f>
        <v>동원간 29R4</v>
      </c>
      <c r="I2161" s="1" t="s">
        <v>15</v>
      </c>
      <c r="J2161" s="1" t="str">
        <f>"70/70"</f>
        <v>70/70</v>
      </c>
      <c r="K2161" s="1" t="str">
        <f>"2026-07-29 14:20:55"</f>
        <v>2026-07-29 14:20:55</v>
      </c>
      <c r="L2161" s="1" t="str">
        <f>"2024-01-08 11:08:20"</f>
        <v>2024-01-08 11:08:20</v>
      </c>
      <c r="M2161" s="1" t="s">
        <v>45</v>
      </c>
      <c r="N2161" s="1" t="s">
        <v>38</v>
      </c>
      <c r="O2161" s="1" t="s">
        <v>46</v>
      </c>
    </row>
    <row r="2162" spans="2:15" x14ac:dyDescent="0.3">
      <c r="B2162" s="1" t="s">
        <v>24</v>
      </c>
      <c r="C2162" s="1" t="str">
        <f t="shared" si="123"/>
        <v>5-2차</v>
      </c>
      <c r="D2162" s="1" t="str">
        <f>"0427G2015M"</f>
        <v>0427G2015M</v>
      </c>
      <c r="E2162" s="1" t="s">
        <v>10</v>
      </c>
      <c r="F2162" s="1" t="str">
        <f>"fde1:103:4:9101:0:0:0:2"</f>
        <v>fde1:103:4:9101:0:0:0:2</v>
      </c>
      <c r="G2162" s="1" t="str">
        <f>"0427G201"</f>
        <v>0427G201</v>
      </c>
      <c r="H2162" s="1" t="str">
        <f>"휘창간 1L11L1"</f>
        <v>휘창간 1L11L1</v>
      </c>
      <c r="I2162" s="1" t="s">
        <v>15</v>
      </c>
      <c r="J2162" s="1" t="str">
        <f>"69/69"</f>
        <v>69/69</v>
      </c>
      <c r="K2162" s="1" t="str">
        <f>"2026-07-29 14:20:53"</f>
        <v>2026-07-29 14:20:53</v>
      </c>
      <c r="L2162" s="1" t="str">
        <f>"2024-01-08 11:52:38"</f>
        <v>2024-01-08 11:52:38</v>
      </c>
      <c r="M2162" s="1" t="s">
        <v>4</v>
      </c>
      <c r="N2162" s="1" t="s">
        <v>38</v>
      </c>
      <c r="O2162" s="1" t="s">
        <v>46</v>
      </c>
    </row>
    <row r="2163" spans="2:15" x14ac:dyDescent="0.3">
      <c r="B2163" s="1" t="s">
        <v>24</v>
      </c>
      <c r="C2163" s="1" t="str">
        <f t="shared" si="123"/>
        <v>5-2차</v>
      </c>
      <c r="D2163" s="1" t="str">
        <f>"0427G2155M"</f>
        <v>0427G2155M</v>
      </c>
      <c r="E2163" s="1" t="s">
        <v>10</v>
      </c>
      <c r="F2163" s="1" t="str">
        <f>"fde1:103:4:9433:0:0:0:2"</f>
        <v>fde1:103:4:9433:0:0:0:2</v>
      </c>
      <c r="G2163" s="1" t="str">
        <f>"0427G215"</f>
        <v>0427G215</v>
      </c>
      <c r="H2163" s="1" t="str">
        <f>"휘창간 1L9"</f>
        <v>휘창간 1L9</v>
      </c>
      <c r="I2163" s="1" t="s">
        <v>15</v>
      </c>
      <c r="J2163" s="1" t="str">
        <f>"55/55"</f>
        <v>55/55</v>
      </c>
      <c r="K2163" s="1" t="str">
        <f>"2026-07-29 14:20:56"</f>
        <v>2026-07-29 14:20:56</v>
      </c>
      <c r="L2163" s="1" t="str">
        <f>"2023-12-15 10:32:00"</f>
        <v>2023-12-15 10:32:00</v>
      </c>
      <c r="M2163" s="1" t="s">
        <v>4</v>
      </c>
      <c r="N2163" s="1" t="s">
        <v>38</v>
      </c>
      <c r="O2163" s="1" t="s">
        <v>46</v>
      </c>
    </row>
    <row r="2164" spans="2:15" x14ac:dyDescent="0.3">
      <c r="B2164" s="1" t="s">
        <v>24</v>
      </c>
      <c r="C2164" s="1" t="str">
        <f t="shared" si="123"/>
        <v>5-2차</v>
      </c>
      <c r="D2164" s="1" t="str">
        <f>"0427G2715M"</f>
        <v>0427G2715M</v>
      </c>
      <c r="E2164" s="1" t="s">
        <v>10</v>
      </c>
      <c r="F2164" s="1" t="str">
        <f>"fde3:102:1430:9700:0:0:0:4"</f>
        <v>fde3:102:1430:9700:0:0:0:4</v>
      </c>
      <c r="G2164" s="1" t="str">
        <f>"0427G271"</f>
        <v>0427G271</v>
      </c>
      <c r="H2164" s="1" t="str">
        <f>"동원간 29R3L1"</f>
        <v>동원간 29R3L1</v>
      </c>
      <c r="I2164" s="1" t="s">
        <v>15</v>
      </c>
      <c r="J2164" s="1" t="str">
        <f>"116/117"</f>
        <v>116/117</v>
      </c>
      <c r="K2164" s="1" t="str">
        <f>"2026-07-29 14:20:53"</f>
        <v>2026-07-29 14:20:53</v>
      </c>
      <c r="L2164" s="1" t="str">
        <f>"2024-01-08 11:06:06"</f>
        <v>2024-01-08 11:06:06</v>
      </c>
      <c r="M2164" s="1" t="s">
        <v>45</v>
      </c>
      <c r="N2164" s="1" t="s">
        <v>38</v>
      </c>
      <c r="O2164" s="1" t="s">
        <v>46</v>
      </c>
    </row>
    <row r="2165" spans="2:15" x14ac:dyDescent="0.3">
      <c r="B2165" s="1" t="s">
        <v>24</v>
      </c>
      <c r="C2165" s="1" t="str">
        <f t="shared" si="123"/>
        <v>5-2차</v>
      </c>
      <c r="D2165" s="1" t="str">
        <f>"0427G2835M"</f>
        <v>0427G2835M</v>
      </c>
      <c r="E2165" s="1" t="s">
        <v>10</v>
      </c>
      <c r="F2165" s="1" t="str">
        <f>"fde1:103:4:9342:0:0:0:2"</f>
        <v>fde1:103:4:9342:0:0:0:2</v>
      </c>
      <c r="G2165" s="1" t="str">
        <f>"0427G283"</f>
        <v>0427G283</v>
      </c>
      <c r="H2165" s="1" t="str">
        <f>"동원간 29R1"</f>
        <v>동원간 29R1</v>
      </c>
      <c r="I2165" s="1" t="s">
        <v>15</v>
      </c>
      <c r="J2165" s="1" t="str">
        <f>"24/24"</f>
        <v>24/24</v>
      </c>
      <c r="K2165" s="1" t="str">
        <f>"2026-07-29 14:20:54"</f>
        <v>2026-07-29 14:20:54</v>
      </c>
      <c r="L2165" s="1" t="str">
        <f>"2023-12-15 10:32:36"</f>
        <v>2023-12-15 10:32:36</v>
      </c>
      <c r="M2165" s="1" t="s">
        <v>4</v>
      </c>
      <c r="N2165" s="1" t="s">
        <v>38</v>
      </c>
      <c r="O2165" s="1" t="s">
        <v>46</v>
      </c>
    </row>
    <row r="2166" spans="2:15" x14ac:dyDescent="0.3">
      <c r="B2166" s="1" t="s">
        <v>24</v>
      </c>
      <c r="C2166" s="1" t="str">
        <f t="shared" si="123"/>
        <v>5-2차</v>
      </c>
      <c r="D2166" s="1" t="str">
        <f>"0427G3155M"</f>
        <v>0427G3155M</v>
      </c>
      <c r="E2166" s="1" t="s">
        <v>10</v>
      </c>
      <c r="F2166" s="1" t="str">
        <f>"fde1:103:4:940b:0:0:0:2"</f>
        <v>fde1:103:4:940b:0:0:0:2</v>
      </c>
      <c r="G2166" s="1" t="str">
        <f>"0427G315"</f>
        <v>0427G315</v>
      </c>
      <c r="H2166" s="1" t="str">
        <f>"휘창간 1L7"</f>
        <v>휘창간 1L7</v>
      </c>
      <c r="I2166" s="1" t="s">
        <v>15</v>
      </c>
      <c r="J2166" s="1" t="str">
        <f>"61/61"</f>
        <v>61/61</v>
      </c>
      <c r="K2166" s="1" t="str">
        <f>"2026-07-29 14:20:35"</f>
        <v>2026-07-29 14:20:35</v>
      </c>
      <c r="L2166" s="1" t="str">
        <f>"2023-12-15 10:56:34"</f>
        <v>2023-12-15 10:56:34</v>
      </c>
      <c r="M2166" s="1" t="s">
        <v>4</v>
      </c>
      <c r="N2166" s="1" t="s">
        <v>38</v>
      </c>
      <c r="O2166" s="1" t="s">
        <v>46</v>
      </c>
    </row>
    <row r="2167" spans="2:15" x14ac:dyDescent="0.3">
      <c r="B2167" s="1" t="s">
        <v>24</v>
      </c>
      <c r="C2167" s="1" t="str">
        <f t="shared" si="123"/>
        <v>5-2차</v>
      </c>
      <c r="D2167" s="1" t="str">
        <f>"0427G3445M"</f>
        <v>0427G3445M</v>
      </c>
      <c r="E2167" s="1" t="s">
        <v>10</v>
      </c>
      <c r="F2167" s="1" t="str">
        <f>"fde1:103:4:9366:0:0:0:2"</f>
        <v>fde1:103:4:9366:0:0:0:2</v>
      </c>
      <c r="G2167" s="1" t="str">
        <f>"0427G344"</f>
        <v>0427G344</v>
      </c>
      <c r="H2167" s="1" t="str">
        <f>"동원간 35"</f>
        <v>동원간 35</v>
      </c>
      <c r="I2167" s="1" t="s">
        <v>15</v>
      </c>
      <c r="J2167" s="1" t="str">
        <f>"30/30"</f>
        <v>30/30</v>
      </c>
      <c r="K2167" s="1" t="str">
        <f>"2026-07-29 14:21:20"</f>
        <v>2026-07-29 14:21:20</v>
      </c>
      <c r="L2167" s="1" t="str">
        <f>"2023-12-15 10:56:46"</f>
        <v>2023-12-15 10:56:46</v>
      </c>
      <c r="M2167" s="1" t="s">
        <v>4</v>
      </c>
      <c r="N2167" s="1" t="s">
        <v>38</v>
      </c>
      <c r="O2167" s="1" t="s">
        <v>46</v>
      </c>
    </row>
    <row r="2168" spans="2:15" x14ac:dyDescent="0.3">
      <c r="B2168" s="1" t="s">
        <v>24</v>
      </c>
      <c r="C2168" s="1" t="str">
        <f>"1차"</f>
        <v>1차</v>
      </c>
      <c r="D2168" s="1" t="str">
        <f>"0427G39400"</f>
        <v>0427G39400</v>
      </c>
      <c r="E2168" s="1" t="s">
        <v>10</v>
      </c>
      <c r="F2168" s="1" t="str">
        <f>"10.89.248.42"</f>
        <v>10.89.248.42</v>
      </c>
      <c r="G2168" s="1" t="str">
        <f>"0427G394"</f>
        <v>0427G394</v>
      </c>
      <c r="H2168" s="1" t="str">
        <f>"겸재간 20"</f>
        <v>겸재간 20</v>
      </c>
      <c r="I2168" s="1" t="s">
        <v>8</v>
      </c>
      <c r="J2168" s="1" t="str">
        <f>"13/13"</f>
        <v>13/13</v>
      </c>
      <c r="K2168" s="1" t="str">
        <f>"2026-07-29 13:18:03"</f>
        <v>2026-07-29 13:18:03</v>
      </c>
      <c r="L2168" s="1" t="str">
        <f>"2014-09-22 11:27:55"</f>
        <v>2014-09-22 11:27:55</v>
      </c>
      <c r="M2168" s="1" t="s">
        <v>45</v>
      </c>
      <c r="N2168" s="1" t="s">
        <v>38</v>
      </c>
      <c r="O2168" s="1" t="s">
        <v>46</v>
      </c>
    </row>
    <row r="2169" spans="2:15" x14ac:dyDescent="0.3">
      <c r="B2169" s="1" t="s">
        <v>24</v>
      </c>
      <c r="C2169" s="1" t="str">
        <f>"1차"</f>
        <v>1차</v>
      </c>
      <c r="D2169" s="1" t="str">
        <f>"0427G48100"</f>
        <v>0427G48100</v>
      </c>
      <c r="E2169" s="1" t="s">
        <v>10</v>
      </c>
      <c r="F2169" s="1" t="str">
        <f>"10.89.248.11"</f>
        <v>10.89.248.11</v>
      </c>
      <c r="G2169" s="1" t="str">
        <f>"0427G481"</f>
        <v>0427G481</v>
      </c>
      <c r="H2169" s="1" t="str">
        <f>"겸재간 22L2"</f>
        <v>겸재간 22L2</v>
      </c>
      <c r="I2169" s="1" t="s">
        <v>8</v>
      </c>
      <c r="J2169" s="1" t="str">
        <f>"48/48"</f>
        <v>48/48</v>
      </c>
      <c r="K2169" s="1" t="str">
        <f>"2026-07-29 13:18:03"</f>
        <v>2026-07-29 13:18:03</v>
      </c>
      <c r="L2169" s="1" t="str">
        <f>"2014-10-29 13:59:08"</f>
        <v>2014-10-29 13:59:08</v>
      </c>
      <c r="M2169" s="1" t="s">
        <v>45</v>
      </c>
      <c r="N2169" s="1" t="s">
        <v>38</v>
      </c>
      <c r="O2169" s="1" t="s">
        <v>46</v>
      </c>
    </row>
    <row r="2170" spans="2:15" x14ac:dyDescent="0.3">
      <c r="B2170" s="1" t="s">
        <v>24</v>
      </c>
      <c r="C2170" s="1" t="str">
        <f t="shared" ref="C2170:C2207" si="124">"5-2차"</f>
        <v>5-2차</v>
      </c>
      <c r="D2170" s="1" t="str">
        <f>"0427G4825S"</f>
        <v>0427G4825S</v>
      </c>
      <c r="E2170" s="1" t="s">
        <v>10</v>
      </c>
      <c r="F2170" s="1" t="str">
        <f>"fde3:102:1430:8200:0:0:0:f"</f>
        <v>fde3:102:1430:8200:0:0:0:f</v>
      </c>
      <c r="G2170" s="1" t="str">
        <f>"0427G482"</f>
        <v>0427G482</v>
      </c>
      <c r="H2170" s="1" t="str">
        <f>"겸재간 22L1"</f>
        <v>겸재간 22L1</v>
      </c>
      <c r="I2170" s="1" t="s">
        <v>15</v>
      </c>
      <c r="J2170" s="1" t="str">
        <f>"30/32"</f>
        <v>30/32</v>
      </c>
      <c r="K2170" s="1" t="str">
        <f>"2026-07-29 14:20:53"</f>
        <v>2026-07-29 14:20:53</v>
      </c>
      <c r="L2170" s="1" t="str">
        <f>"2023-08-09 07:08:14"</f>
        <v>2023-08-09 07:08:14</v>
      </c>
      <c r="M2170" s="1" t="s">
        <v>45</v>
      </c>
      <c r="N2170" s="1" t="s">
        <v>38</v>
      </c>
      <c r="O2170" s="1" t="s">
        <v>46</v>
      </c>
    </row>
    <row r="2171" spans="2:15" x14ac:dyDescent="0.3">
      <c r="B2171" s="1" t="s">
        <v>24</v>
      </c>
      <c r="C2171" s="1" t="str">
        <f t="shared" si="124"/>
        <v>5-2차</v>
      </c>
      <c r="D2171" s="1" t="str">
        <f>"0427G5015M"</f>
        <v>0427G5015M</v>
      </c>
      <c r="E2171" s="1" t="s">
        <v>10</v>
      </c>
      <c r="F2171" s="1" t="str">
        <f>"fde3:102:1430:8500:0:0:0:1c"</f>
        <v>fde3:102:1430:8500:0:0:0:1c</v>
      </c>
      <c r="G2171" s="1" t="str">
        <f>"0427G501"</f>
        <v>0427G501</v>
      </c>
      <c r="H2171" s="1" t="str">
        <f>"휘창간 2L2R2"</f>
        <v>휘창간 2L2R2</v>
      </c>
      <c r="I2171" s="1" t="s">
        <v>15</v>
      </c>
      <c r="J2171" s="1" t="str">
        <f>"90/90"</f>
        <v>90/90</v>
      </c>
      <c r="K2171" s="1" t="str">
        <f>"2026-07-29 14:21:33"</f>
        <v>2026-07-29 14:21:33</v>
      </c>
      <c r="L2171" s="1" t="str">
        <f>"2023-12-08 12:54:12"</f>
        <v>2023-12-08 12:54:12</v>
      </c>
      <c r="M2171" s="1" t="s">
        <v>45</v>
      </c>
      <c r="N2171" s="1" t="s">
        <v>38</v>
      </c>
      <c r="O2171" s="1" t="s">
        <v>46</v>
      </c>
    </row>
    <row r="2172" spans="2:15" x14ac:dyDescent="0.3">
      <c r="B2172" s="1" t="s">
        <v>24</v>
      </c>
      <c r="C2172" s="1" t="str">
        <f t="shared" si="124"/>
        <v>5-2차</v>
      </c>
      <c r="D2172" s="1" t="str">
        <f>"0427G5215M"</f>
        <v>0427G5215M</v>
      </c>
      <c r="E2172" s="1" t="s">
        <v>14</v>
      </c>
      <c r="F2172" s="1" t="str">
        <f>"fde1:103:4:932b:0:0:0:2"</f>
        <v>fde1:103:4:932b:0:0:0:2</v>
      </c>
      <c r="G2172" s="1" t="str">
        <f>"0427G521"</f>
        <v>0427G521</v>
      </c>
      <c r="H2172" s="1" t="str">
        <f>"휘창간 2L2"</f>
        <v>휘창간 2L2</v>
      </c>
      <c r="I2172" s="1" t="s">
        <v>15</v>
      </c>
      <c r="J2172" s="1" t="str">
        <f>"0/0"</f>
        <v>0/0</v>
      </c>
      <c r="K2172" s="1" t="str">
        <f>"2026-07-29 14:20:54"</f>
        <v>2026-07-29 14:20:54</v>
      </c>
      <c r="L2172" s="1" t="str">
        <f>"2023-12-15 10:57:28"</f>
        <v>2023-12-15 10:57:28</v>
      </c>
      <c r="M2172" s="1" t="s">
        <v>4</v>
      </c>
      <c r="N2172" s="1" t="s">
        <v>38</v>
      </c>
      <c r="O2172" s="1" t="s">
        <v>44</v>
      </c>
    </row>
    <row r="2173" spans="2:15" x14ac:dyDescent="0.3">
      <c r="B2173" s="1" t="s">
        <v>24</v>
      </c>
      <c r="C2173" s="1" t="str">
        <f t="shared" si="124"/>
        <v>5-2차</v>
      </c>
      <c r="D2173" s="1" t="str">
        <f>"0427G5515M"</f>
        <v>0427G5515M</v>
      </c>
      <c r="E2173" s="1" t="s">
        <v>10</v>
      </c>
      <c r="F2173" s="1" t="str">
        <f>"fde3:102:1430:8200:0:0:0:12"</f>
        <v>fde3:102:1430:8200:0:0:0:12</v>
      </c>
      <c r="G2173" s="1" t="str">
        <f>"0427G551"</f>
        <v>0427G551</v>
      </c>
      <c r="H2173" s="1" t="str">
        <f>"겸재간 27L3"</f>
        <v>겸재간 27L3</v>
      </c>
      <c r="I2173" s="1" t="s">
        <v>15</v>
      </c>
      <c r="J2173" s="1" t="str">
        <f>"37/37"</f>
        <v>37/37</v>
      </c>
      <c r="K2173" s="1" t="str">
        <f>"2026-07-29 14:20:55"</f>
        <v>2026-07-29 14:20:55</v>
      </c>
      <c r="L2173" s="1" t="str">
        <f>"2023-08-09 09:04:52"</f>
        <v>2023-08-09 09:04:52</v>
      </c>
      <c r="M2173" s="1" t="s">
        <v>45</v>
      </c>
      <c r="N2173" s="1" t="s">
        <v>38</v>
      </c>
      <c r="O2173" s="1" t="s">
        <v>46</v>
      </c>
    </row>
    <row r="2174" spans="2:15" x14ac:dyDescent="0.3">
      <c r="B2174" s="1" t="s">
        <v>24</v>
      </c>
      <c r="C2174" s="1" t="str">
        <f t="shared" si="124"/>
        <v>5-2차</v>
      </c>
      <c r="D2174" s="1" t="str">
        <f>"0427G5525S"</f>
        <v>0427G5525S</v>
      </c>
      <c r="E2174" s="1" t="s">
        <v>10</v>
      </c>
      <c r="F2174" s="1" t="str">
        <f>"fde3:102:1430:8200:0:0:0:10"</f>
        <v>fde3:102:1430:8200:0:0:0:10</v>
      </c>
      <c r="G2174" s="1" t="str">
        <f>"0427G552"</f>
        <v>0427G552</v>
      </c>
      <c r="H2174" s="1" t="str">
        <f>"겸재간 27L3L1"</f>
        <v>겸재간 27L3L1</v>
      </c>
      <c r="I2174" s="1" t="s">
        <v>15</v>
      </c>
      <c r="J2174" s="1" t="str">
        <f>"31/31"</f>
        <v>31/31</v>
      </c>
      <c r="K2174" s="1" t="str">
        <f>"2026-07-29 14:20:54"</f>
        <v>2026-07-29 14:20:54</v>
      </c>
      <c r="L2174" s="1" t="str">
        <f>"2023-08-09 08:23:31"</f>
        <v>2023-08-09 08:23:31</v>
      </c>
      <c r="M2174" s="1" t="s">
        <v>45</v>
      </c>
      <c r="N2174" s="1" t="s">
        <v>38</v>
      </c>
      <c r="O2174" s="1" t="s">
        <v>46</v>
      </c>
    </row>
    <row r="2175" spans="2:15" x14ac:dyDescent="0.3">
      <c r="B2175" s="1" t="s">
        <v>24</v>
      </c>
      <c r="C2175" s="1" t="str">
        <f t="shared" si="124"/>
        <v>5-2차</v>
      </c>
      <c r="D2175" s="1" t="str">
        <f>"0427G5625S"</f>
        <v>0427G5625S</v>
      </c>
      <c r="E2175" s="1" t="s">
        <v>10</v>
      </c>
      <c r="F2175" s="1" t="str">
        <f>"fde3:102:1430:8200:0:0:0:11"</f>
        <v>fde3:102:1430:8200:0:0:0:11</v>
      </c>
      <c r="G2175" s="1" t="str">
        <f>"0427G562"</f>
        <v>0427G562</v>
      </c>
      <c r="H2175" s="1" t="str">
        <f>"겸재간 27L3L2"</f>
        <v>겸재간 27L3L2</v>
      </c>
      <c r="I2175" s="1" t="s">
        <v>15</v>
      </c>
      <c r="J2175" s="1" t="str">
        <f>"48/48"</f>
        <v>48/48</v>
      </c>
      <c r="K2175" s="1" t="str">
        <f>"2026-07-29 14:21:33"</f>
        <v>2026-07-29 14:21:33</v>
      </c>
      <c r="L2175" s="1" t="str">
        <f>"2023-08-09 07:46:46"</f>
        <v>2023-08-09 07:46:46</v>
      </c>
      <c r="M2175" s="1" t="s">
        <v>45</v>
      </c>
      <c r="N2175" s="1" t="s">
        <v>38</v>
      </c>
      <c r="O2175" s="1" t="s">
        <v>46</v>
      </c>
    </row>
    <row r="2176" spans="2:15" x14ac:dyDescent="0.3">
      <c r="B2176" s="1" t="s">
        <v>24</v>
      </c>
      <c r="C2176" s="1" t="str">
        <f t="shared" si="124"/>
        <v>5-2차</v>
      </c>
      <c r="D2176" s="1" t="str">
        <f>"0427G5715S"</f>
        <v>0427G5715S</v>
      </c>
      <c r="E2176" s="1" t="s">
        <v>10</v>
      </c>
      <c r="F2176" s="1" t="str">
        <f>"fde3:102:1430:8200:0:0:0:13"</f>
        <v>fde3:102:1430:8200:0:0:0:13</v>
      </c>
      <c r="G2176" s="1" t="str">
        <f>"0427G571"</f>
        <v>0427G571</v>
      </c>
      <c r="H2176" s="1" t="str">
        <f>"겸재간 35L3"</f>
        <v>겸재간 35L3</v>
      </c>
      <c r="I2176" s="1" t="s">
        <v>15</v>
      </c>
      <c r="J2176" s="1" t="str">
        <f>"53/53"</f>
        <v>53/53</v>
      </c>
      <c r="K2176" s="1" t="str">
        <f>"2026-07-29 14:20:56"</f>
        <v>2026-07-29 14:20:56</v>
      </c>
      <c r="L2176" s="1" t="str">
        <f>"2023-08-09 10:04:00"</f>
        <v>2023-08-09 10:04:00</v>
      </c>
      <c r="M2176" s="1" t="s">
        <v>45</v>
      </c>
      <c r="N2176" s="1" t="s">
        <v>38</v>
      </c>
      <c r="O2176" s="1" t="s">
        <v>46</v>
      </c>
    </row>
    <row r="2177" spans="2:15" x14ac:dyDescent="0.3">
      <c r="B2177" s="1" t="s">
        <v>24</v>
      </c>
      <c r="C2177" s="1" t="str">
        <f t="shared" si="124"/>
        <v>5-2차</v>
      </c>
      <c r="D2177" s="1" t="str">
        <f>"0427G6255M"</f>
        <v>0427G6255M</v>
      </c>
      <c r="E2177" s="1" t="s">
        <v>10</v>
      </c>
      <c r="F2177" s="1" t="str">
        <f>"fde3:102:1430:8500:0:0:0:1b"</f>
        <v>fde3:102:1430:8500:0:0:0:1b</v>
      </c>
      <c r="G2177" s="1" t="str">
        <f>"0427G625"</f>
        <v>0427G625</v>
      </c>
      <c r="H2177" s="1" t="str">
        <f>"휘창간 2L4"</f>
        <v>휘창간 2L4</v>
      </c>
      <c r="I2177" s="1" t="s">
        <v>15</v>
      </c>
      <c r="J2177" s="1" t="str">
        <f>"30/30"</f>
        <v>30/30</v>
      </c>
      <c r="K2177" s="1" t="str">
        <f>"2026-07-29 14:21:33"</f>
        <v>2026-07-29 14:21:33</v>
      </c>
      <c r="L2177" s="1" t="str">
        <f>"2023-12-08 12:22:47"</f>
        <v>2023-12-08 12:22:47</v>
      </c>
      <c r="M2177" s="1" t="s">
        <v>45</v>
      </c>
      <c r="N2177" s="1" t="s">
        <v>38</v>
      </c>
      <c r="O2177" s="1" t="s">
        <v>46</v>
      </c>
    </row>
    <row r="2178" spans="2:15" x14ac:dyDescent="0.3">
      <c r="B2178" s="1" t="s">
        <v>24</v>
      </c>
      <c r="C2178" s="1" t="str">
        <f t="shared" si="124"/>
        <v>5-2차</v>
      </c>
      <c r="D2178" s="1" t="str">
        <f>"0427G6535M"</f>
        <v>0427G6535M</v>
      </c>
      <c r="E2178" s="1" t="s">
        <v>10</v>
      </c>
      <c r="F2178" s="1" t="str">
        <f>"fde1:103:4:936d:0:0:0:2"</f>
        <v>fde1:103:4:936d:0:0:0:2</v>
      </c>
      <c r="G2178" s="1" t="str">
        <f>"0427G653"</f>
        <v>0427G653</v>
      </c>
      <c r="H2178" s="1" t="str">
        <f>"겸재간 38L10"</f>
        <v>겸재간 38L10</v>
      </c>
      <c r="I2178" s="1" t="s">
        <v>15</v>
      </c>
      <c r="J2178" s="1" t="str">
        <f>"70/74"</f>
        <v>70/74</v>
      </c>
      <c r="K2178" s="1" t="str">
        <f>"2026-07-29 14:21:11"</f>
        <v>2026-07-29 14:21:11</v>
      </c>
      <c r="L2178" s="1" t="str">
        <f>"2023-12-15 10:57:56"</f>
        <v>2023-12-15 10:57:56</v>
      </c>
      <c r="M2178" s="1" t="s">
        <v>4</v>
      </c>
      <c r="N2178" s="1" t="s">
        <v>38</v>
      </c>
      <c r="O2178" s="1" t="s">
        <v>46</v>
      </c>
    </row>
    <row r="2179" spans="2:15" x14ac:dyDescent="0.3">
      <c r="B2179" s="1" t="s">
        <v>24</v>
      </c>
      <c r="C2179" s="1" t="str">
        <f t="shared" si="124"/>
        <v>5-2차</v>
      </c>
      <c r="D2179" s="1" t="str">
        <f>"0427G6555M"</f>
        <v>0427G6555M</v>
      </c>
      <c r="E2179" s="1" t="s">
        <v>10</v>
      </c>
      <c r="F2179" s="1" t="str">
        <f>"fde3:102:1430:8200:0:0:0:15"</f>
        <v>fde3:102:1430:8200:0:0:0:15</v>
      </c>
      <c r="G2179" s="1" t="str">
        <f>"0427G655"</f>
        <v>0427G655</v>
      </c>
      <c r="H2179" s="1" t="str">
        <f>"겸재간 38L8"</f>
        <v>겸재간 38L8</v>
      </c>
      <c r="I2179" s="1" t="s">
        <v>15</v>
      </c>
      <c r="J2179" s="1" t="str">
        <f>"61/63"</f>
        <v>61/63</v>
      </c>
      <c r="K2179" s="1" t="str">
        <f>"2026-07-29 14:20:58"</f>
        <v>2026-07-29 14:20:58</v>
      </c>
      <c r="L2179" s="1" t="str">
        <f>"2023-08-09 10:40:42"</f>
        <v>2023-08-09 10:40:42</v>
      </c>
      <c r="M2179" s="1" t="s">
        <v>45</v>
      </c>
      <c r="N2179" s="1" t="s">
        <v>38</v>
      </c>
      <c r="O2179" s="1" t="s">
        <v>46</v>
      </c>
    </row>
    <row r="2180" spans="2:15" x14ac:dyDescent="0.3">
      <c r="B2180" s="1" t="s">
        <v>24</v>
      </c>
      <c r="C2180" s="1" t="str">
        <f t="shared" si="124"/>
        <v>5-2차</v>
      </c>
      <c r="D2180" s="1" t="str">
        <f>"0427G6815M"</f>
        <v>0427G6815M</v>
      </c>
      <c r="E2180" s="1" t="s">
        <v>10</v>
      </c>
      <c r="F2180" s="1" t="str">
        <f>"fde1:103:4:93ad:0:0:0:2"</f>
        <v>fde1:103:4:93ad:0:0:0:2</v>
      </c>
      <c r="G2180" s="1" t="str">
        <f>"0427G681"</f>
        <v>0427G681</v>
      </c>
      <c r="H2180" s="1" t="str">
        <f>"겸재간 44L6L3"</f>
        <v>겸재간 44L6L3</v>
      </c>
      <c r="I2180" s="1" t="s">
        <v>15</v>
      </c>
      <c r="J2180" s="1" t="str">
        <f>"78/78"</f>
        <v>78/78</v>
      </c>
      <c r="K2180" s="1" t="str">
        <f>"2026-07-29 14:21:11"</f>
        <v>2026-07-29 14:21:11</v>
      </c>
      <c r="L2180" s="1" t="str">
        <f>"2023-12-15 10:58:34"</f>
        <v>2023-12-15 10:58:34</v>
      </c>
      <c r="M2180" s="1" t="s">
        <v>4</v>
      </c>
      <c r="N2180" s="1" t="s">
        <v>38</v>
      </c>
      <c r="O2180" s="1" t="s">
        <v>46</v>
      </c>
    </row>
    <row r="2181" spans="2:15" x14ac:dyDescent="0.3">
      <c r="B2181" s="1" t="s">
        <v>24</v>
      </c>
      <c r="C2181" s="1" t="str">
        <f t="shared" si="124"/>
        <v>5-2차</v>
      </c>
      <c r="D2181" s="1" t="str">
        <f>"0427G7225S"</f>
        <v>0427G7225S</v>
      </c>
      <c r="E2181" s="1" t="s">
        <v>10</v>
      </c>
      <c r="F2181" s="1" t="str">
        <f>"fde3:102:1430:8500:0:0:0:11"</f>
        <v>fde3:102:1430:8500:0:0:0:11</v>
      </c>
      <c r="G2181" s="1" t="str">
        <f>"0427G722"</f>
        <v>0427G722</v>
      </c>
      <c r="H2181" s="1" t="str">
        <f>"휘창간 2L3L3"</f>
        <v>휘창간 2L3L3</v>
      </c>
      <c r="I2181" s="1" t="s">
        <v>15</v>
      </c>
      <c r="J2181" s="1" t="str">
        <f>"38/38"</f>
        <v>38/38</v>
      </c>
      <c r="K2181" s="1" t="str">
        <f>"2026-07-29 14:20:54"</f>
        <v>2026-07-29 14:20:54</v>
      </c>
      <c r="L2181" s="1" t="str">
        <f>"2023-08-25 10:40:06"</f>
        <v>2023-08-25 10:40:06</v>
      </c>
      <c r="M2181" s="1" t="s">
        <v>45</v>
      </c>
      <c r="N2181" s="1" t="s">
        <v>38</v>
      </c>
      <c r="O2181" s="1" t="s">
        <v>46</v>
      </c>
    </row>
    <row r="2182" spans="2:15" x14ac:dyDescent="0.3">
      <c r="B2182" s="1" t="s">
        <v>24</v>
      </c>
      <c r="C2182" s="1" t="str">
        <f t="shared" si="124"/>
        <v>5-2차</v>
      </c>
      <c r="D2182" s="1" t="str">
        <f>"0427G7235M"</f>
        <v>0427G7235M</v>
      </c>
      <c r="E2182" s="1" t="s">
        <v>10</v>
      </c>
      <c r="F2182" s="1" t="str">
        <f>"fde3:102:1430:8500:0:0:0:12"</f>
        <v>fde3:102:1430:8500:0:0:0:12</v>
      </c>
      <c r="G2182" s="1" t="str">
        <f>"0427G723"</f>
        <v>0427G723</v>
      </c>
      <c r="H2182" s="1" t="str">
        <f>"휘창간 2L7"</f>
        <v>휘창간 2L7</v>
      </c>
      <c r="I2182" s="1" t="s">
        <v>15</v>
      </c>
      <c r="J2182" s="1" t="str">
        <f>"90/90"</f>
        <v>90/90</v>
      </c>
      <c r="K2182" s="1" t="str">
        <f>"2026-07-29 14:21:10"</f>
        <v>2026-07-29 14:21:10</v>
      </c>
      <c r="L2182" s="1" t="str">
        <f>"2023-08-25 10:53:42"</f>
        <v>2023-08-25 10:53:42</v>
      </c>
      <c r="M2182" s="1" t="s">
        <v>45</v>
      </c>
      <c r="N2182" s="1" t="s">
        <v>38</v>
      </c>
      <c r="O2182" s="1" t="s">
        <v>46</v>
      </c>
    </row>
    <row r="2183" spans="2:15" x14ac:dyDescent="0.3">
      <c r="B2183" s="1" t="s">
        <v>24</v>
      </c>
      <c r="C2183" s="1" t="str">
        <f t="shared" si="124"/>
        <v>5-2차</v>
      </c>
      <c r="D2183" s="1" t="str">
        <f>"0427G7415M"</f>
        <v>0427G7415M</v>
      </c>
      <c r="E2183" s="1" t="s">
        <v>10</v>
      </c>
      <c r="F2183" s="1" t="str">
        <f>"fde1:103:4:940a:0:0:0:2"</f>
        <v>fde1:103:4:940a:0:0:0:2</v>
      </c>
      <c r="G2183" s="1" t="str">
        <f>"0427G741"</f>
        <v>0427G741</v>
      </c>
      <c r="H2183" s="1" t="str">
        <f>"겸재간 36"</f>
        <v>겸재간 36</v>
      </c>
      <c r="I2183" s="1" t="s">
        <v>15</v>
      </c>
      <c r="J2183" s="1" t="str">
        <f>"35/39"</f>
        <v>35/39</v>
      </c>
      <c r="K2183" s="1" t="str">
        <f>"2026-07-29 14:21:22"</f>
        <v>2026-07-29 14:21:22</v>
      </c>
      <c r="L2183" s="1" t="str">
        <f>"2023-12-15 11:20:13"</f>
        <v>2023-12-15 11:20:13</v>
      </c>
      <c r="M2183" s="1" t="s">
        <v>4</v>
      </c>
      <c r="N2183" s="1" t="s">
        <v>38</v>
      </c>
      <c r="O2183" s="1" t="s">
        <v>46</v>
      </c>
    </row>
    <row r="2184" spans="2:15" x14ac:dyDescent="0.3">
      <c r="B2184" s="1" t="s">
        <v>24</v>
      </c>
      <c r="C2184" s="1" t="str">
        <f t="shared" si="124"/>
        <v>5-2차</v>
      </c>
      <c r="D2184" s="1" t="str">
        <f>"0427G7815M"</f>
        <v>0427G7815M</v>
      </c>
      <c r="E2184" s="1" t="s">
        <v>10</v>
      </c>
      <c r="F2184" s="1" t="str">
        <f>"fde1:103:4:9319:0:0:0:2"</f>
        <v>fde1:103:4:9319:0:0:0:2</v>
      </c>
      <c r="G2184" s="1" t="str">
        <f>"0427G781"</f>
        <v>0427G781</v>
      </c>
      <c r="H2184" s="1" t="str">
        <f>"겸재간 44L6L5"</f>
        <v>겸재간 44L6L5</v>
      </c>
      <c r="I2184" s="1" t="s">
        <v>15</v>
      </c>
      <c r="J2184" s="1" t="str">
        <f>"72/72"</f>
        <v>72/72</v>
      </c>
      <c r="K2184" s="1" t="str">
        <f>"2026-07-29 14:20:56"</f>
        <v>2026-07-29 14:20:56</v>
      </c>
      <c r="L2184" s="1" t="str">
        <f>"2023-12-15 11:20:59"</f>
        <v>2023-12-15 11:20:59</v>
      </c>
      <c r="M2184" s="1" t="s">
        <v>4</v>
      </c>
      <c r="N2184" s="1" t="s">
        <v>38</v>
      </c>
      <c r="O2184" s="1" t="s">
        <v>46</v>
      </c>
    </row>
    <row r="2185" spans="2:15" x14ac:dyDescent="0.3">
      <c r="B2185" s="1" t="s">
        <v>24</v>
      </c>
      <c r="C2185" s="1" t="str">
        <f t="shared" si="124"/>
        <v>5-2차</v>
      </c>
      <c r="D2185" s="1" t="str">
        <f>"0427G7825M"</f>
        <v>0427G7825M</v>
      </c>
      <c r="E2185" s="1" t="s">
        <v>10</v>
      </c>
      <c r="F2185" s="1" t="str">
        <f>"fde1:103:4:93d4:0:0:0:2"</f>
        <v>fde1:103:4:93d4:0:0:0:2</v>
      </c>
      <c r="G2185" s="1" t="str">
        <f>"0427G782"</f>
        <v>0427G782</v>
      </c>
      <c r="H2185" s="1" t="str">
        <f>"겸재간 44L6L6"</f>
        <v>겸재간 44L6L6</v>
      </c>
      <c r="I2185" s="1" t="s">
        <v>15</v>
      </c>
      <c r="J2185" s="1" t="str">
        <f>"46/59"</f>
        <v>46/59</v>
      </c>
      <c r="K2185" s="1" t="str">
        <f>"2026-07-29 14:20:56"</f>
        <v>2026-07-29 14:20:56</v>
      </c>
      <c r="L2185" s="1" t="str">
        <f>"2023-12-15 11:21:24"</f>
        <v>2023-12-15 11:21:24</v>
      </c>
      <c r="M2185" s="1" t="s">
        <v>4</v>
      </c>
      <c r="N2185" s="1" t="s">
        <v>38</v>
      </c>
      <c r="O2185" s="1" t="s">
        <v>46</v>
      </c>
    </row>
    <row r="2186" spans="2:15" x14ac:dyDescent="0.3">
      <c r="B2186" s="1" t="s">
        <v>24</v>
      </c>
      <c r="C2186" s="1" t="str">
        <f t="shared" si="124"/>
        <v>5-2차</v>
      </c>
      <c r="D2186" s="1" t="str">
        <f>"0427G7915M"</f>
        <v>0427G7915M</v>
      </c>
      <c r="E2186" s="1" t="s">
        <v>10</v>
      </c>
      <c r="F2186" s="1" t="str">
        <f>"fde1:103:4:9379:0:0:0:2"</f>
        <v>fde1:103:4:9379:0:0:0:2</v>
      </c>
      <c r="G2186" s="1" t="str">
        <f>"0427G791"</f>
        <v>0427G791</v>
      </c>
      <c r="H2186" s="1" t="str">
        <f>"겸재간 44L6L2"</f>
        <v>겸재간 44L6L2</v>
      </c>
      <c r="I2186" s="1" t="s">
        <v>15</v>
      </c>
      <c r="J2186" s="1" t="str">
        <f>"46/46"</f>
        <v>46/46</v>
      </c>
      <c r="K2186" s="1" t="str">
        <f>"2026-07-29 14:21:11"</f>
        <v>2026-07-29 14:21:11</v>
      </c>
      <c r="L2186" s="1" t="str">
        <f>"2023-12-15 11:22:00"</f>
        <v>2023-12-15 11:22:00</v>
      </c>
      <c r="M2186" s="1" t="s">
        <v>4</v>
      </c>
      <c r="N2186" s="1" t="s">
        <v>38</v>
      </c>
      <c r="O2186" s="1" t="s">
        <v>46</v>
      </c>
    </row>
    <row r="2187" spans="2:15" x14ac:dyDescent="0.3">
      <c r="B2187" s="1" t="s">
        <v>24</v>
      </c>
      <c r="C2187" s="1" t="str">
        <f t="shared" si="124"/>
        <v>5-2차</v>
      </c>
      <c r="D2187" s="1" t="str">
        <f>"0427G8615M"</f>
        <v>0427G8615M</v>
      </c>
      <c r="E2187" s="1" t="s">
        <v>10</v>
      </c>
      <c r="F2187" s="1" t="str">
        <f>"fde3:102:1430:8200:0:0:0:14"</f>
        <v>fde3:102:1430:8200:0:0:0:14</v>
      </c>
      <c r="G2187" s="1" t="str">
        <f>"0427G861"</f>
        <v>0427G861</v>
      </c>
      <c r="H2187" s="1" t="str">
        <f>"겸재간 38L5"</f>
        <v>겸재간 38L5</v>
      </c>
      <c r="I2187" s="1" t="s">
        <v>15</v>
      </c>
      <c r="J2187" s="1" t="str">
        <f>"23/24"</f>
        <v>23/24</v>
      </c>
      <c r="K2187" s="1" t="str">
        <f>"2026-07-29 14:20:55"</f>
        <v>2026-07-29 14:20:55</v>
      </c>
      <c r="L2187" s="1" t="str">
        <f>"2023-08-17 11:20:59"</f>
        <v>2023-08-17 11:20:59</v>
      </c>
      <c r="M2187" s="1" t="s">
        <v>45</v>
      </c>
      <c r="N2187" s="1" t="s">
        <v>38</v>
      </c>
      <c r="O2187" s="1" t="s">
        <v>46</v>
      </c>
    </row>
    <row r="2188" spans="2:15" x14ac:dyDescent="0.3">
      <c r="B2188" s="1" t="s">
        <v>24</v>
      </c>
      <c r="C2188" s="1" t="str">
        <f t="shared" si="124"/>
        <v>5-2차</v>
      </c>
      <c r="D2188" s="1" t="str">
        <f>"0427G8725M"</f>
        <v>0427G8725M</v>
      </c>
      <c r="E2188" s="1" t="s">
        <v>10</v>
      </c>
      <c r="F2188" s="1" t="str">
        <f>"fde1:103:4:9415:0:0:0:2"</f>
        <v>fde1:103:4:9415:0:0:0:2</v>
      </c>
      <c r="G2188" s="1" t="str">
        <f>"0427G872"</f>
        <v>0427G872</v>
      </c>
      <c r="H2188" s="1" t="str">
        <f>"겸재간 44L6L8"</f>
        <v>겸재간 44L6L8</v>
      </c>
      <c r="I2188" s="1" t="s">
        <v>15</v>
      </c>
      <c r="J2188" s="1" t="str">
        <f>"91/106"</f>
        <v>91/106</v>
      </c>
      <c r="K2188" s="1" t="str">
        <f>"2026-07-29 14:21:11"</f>
        <v>2026-07-29 14:21:11</v>
      </c>
      <c r="L2188" s="1" t="str">
        <f>"2023-12-15 11:22:25"</f>
        <v>2023-12-15 11:22:25</v>
      </c>
      <c r="M2188" s="1" t="s">
        <v>4</v>
      </c>
      <c r="N2188" s="1" t="s">
        <v>38</v>
      </c>
      <c r="O2188" s="1" t="s">
        <v>46</v>
      </c>
    </row>
    <row r="2189" spans="2:15" x14ac:dyDescent="0.3">
      <c r="B2189" s="1" t="s">
        <v>24</v>
      </c>
      <c r="C2189" s="1" t="str">
        <f t="shared" si="124"/>
        <v>5-2차</v>
      </c>
      <c r="D2189" s="1" t="str">
        <f>"0427G9615M"</f>
        <v>0427G9615M</v>
      </c>
      <c r="E2189" s="1" t="s">
        <v>10</v>
      </c>
      <c r="F2189" s="1" t="str">
        <f>"fde3:102:1430:8200:0:0:0:16"</f>
        <v>fde3:102:1430:8200:0:0:0:16</v>
      </c>
      <c r="G2189" s="1" t="str">
        <f>"0427G961"</f>
        <v>0427G961</v>
      </c>
      <c r="H2189" s="1" t="str">
        <f>"겸재간 38L3"</f>
        <v>겸재간 38L3</v>
      </c>
      <c r="I2189" s="1" t="s">
        <v>15</v>
      </c>
      <c r="J2189" s="1" t="str">
        <f>"30/30"</f>
        <v>30/30</v>
      </c>
      <c r="K2189" s="1" t="str">
        <f>"2026-07-29 14:21:11"</f>
        <v>2026-07-29 14:21:11</v>
      </c>
      <c r="L2189" s="1" t="str">
        <f>"2023-08-18 05:45:51"</f>
        <v>2023-08-18 05:45:51</v>
      </c>
      <c r="M2189" s="1" t="s">
        <v>45</v>
      </c>
      <c r="N2189" s="1" t="s">
        <v>38</v>
      </c>
      <c r="O2189" s="1" t="s">
        <v>46</v>
      </c>
    </row>
    <row r="2190" spans="2:15" x14ac:dyDescent="0.3">
      <c r="B2190" s="1" t="s">
        <v>24</v>
      </c>
      <c r="C2190" s="1" t="str">
        <f t="shared" si="124"/>
        <v>5-2차</v>
      </c>
      <c r="D2190" s="1" t="str">
        <f>"0427G9825M"</f>
        <v>0427G9825M</v>
      </c>
      <c r="E2190" s="1" t="s">
        <v>10</v>
      </c>
      <c r="F2190" s="1" t="str">
        <f>"fde1:103:4:93b9:0:0:0:2"</f>
        <v>fde1:103:4:93b9:0:0:0:2</v>
      </c>
      <c r="G2190" s="1" t="str">
        <f>"0427G982"</f>
        <v>0427G982</v>
      </c>
      <c r="H2190" s="1" t="str">
        <f>"겸재간 44L3"</f>
        <v>겸재간 44L3</v>
      </c>
      <c r="I2190" s="1" t="s">
        <v>15</v>
      </c>
      <c r="J2190" s="1" t="str">
        <f>"32/33"</f>
        <v>32/33</v>
      </c>
      <c r="K2190" s="1" t="str">
        <f>"2026-07-29 14:20:59"</f>
        <v>2026-07-29 14:20:59</v>
      </c>
      <c r="L2190" s="1" t="str">
        <f>"2023-12-15 13:17:41"</f>
        <v>2023-12-15 13:17:41</v>
      </c>
      <c r="M2190" s="1" t="s">
        <v>4</v>
      </c>
      <c r="N2190" s="1" t="s">
        <v>38</v>
      </c>
      <c r="O2190" s="1" t="s">
        <v>46</v>
      </c>
    </row>
    <row r="2191" spans="2:15" x14ac:dyDescent="0.3">
      <c r="B2191" s="1" t="s">
        <v>24</v>
      </c>
      <c r="C2191" s="1" t="str">
        <f t="shared" si="124"/>
        <v>5-2차</v>
      </c>
      <c r="D2191" s="1" t="str">
        <f>"0427H0015M"</f>
        <v>0427H0015M</v>
      </c>
      <c r="E2191" s="1" t="s">
        <v>10</v>
      </c>
      <c r="F2191" s="1" t="str">
        <f>"fde3:102:1430:8500:0:0:0:17"</f>
        <v>fde3:102:1430:8500:0:0:0:17</v>
      </c>
      <c r="G2191" s="1" t="str">
        <f>"0427H001"</f>
        <v>0427H001</v>
      </c>
      <c r="H2191" s="1" t="str">
        <f>"서일간 25R2"</f>
        <v>서일간 25R2</v>
      </c>
      <c r="I2191" s="1" t="s">
        <v>15</v>
      </c>
      <c r="J2191" s="1" t="str">
        <f>"59/61"</f>
        <v>59/61</v>
      </c>
      <c r="K2191" s="1" t="str">
        <f>"2026-07-29 14:21:10"</f>
        <v>2026-07-29 14:21:10</v>
      </c>
      <c r="L2191" s="1" t="str">
        <f>"2023-08-08 08:43:57"</f>
        <v>2023-08-08 08:43:57</v>
      </c>
      <c r="M2191" s="1" t="s">
        <v>45</v>
      </c>
      <c r="N2191" s="1" t="s">
        <v>38</v>
      </c>
      <c r="O2191" s="1" t="s">
        <v>46</v>
      </c>
    </row>
    <row r="2192" spans="2:15" x14ac:dyDescent="0.3">
      <c r="B2192" s="1" t="s">
        <v>24</v>
      </c>
      <c r="C2192" s="1" t="str">
        <f t="shared" si="124"/>
        <v>5-2차</v>
      </c>
      <c r="D2192" s="1" t="str">
        <f>"0427H0215M"</f>
        <v>0427H0215M</v>
      </c>
      <c r="E2192" s="1" t="s">
        <v>10</v>
      </c>
      <c r="F2192" s="1" t="str">
        <f>"fde3:102:1430:8500:0:0:0:14"</f>
        <v>fde3:102:1430:8500:0:0:0:14</v>
      </c>
      <c r="G2192" s="1" t="str">
        <f>"0427H021"</f>
        <v>0427H021</v>
      </c>
      <c r="H2192" s="1" t="str">
        <f>"서일간 24"</f>
        <v>서일간 24</v>
      </c>
      <c r="I2192" s="1" t="s">
        <v>15</v>
      </c>
      <c r="J2192" s="1" t="str">
        <f>"50/51"</f>
        <v>50/51</v>
      </c>
      <c r="K2192" s="1" t="str">
        <f>"2026-07-29 14:21:11"</f>
        <v>2026-07-29 14:21:11</v>
      </c>
      <c r="L2192" s="1" t="str">
        <f>"2023-08-25 15:17:20"</f>
        <v>2023-08-25 15:17:20</v>
      </c>
      <c r="M2192" s="1" t="s">
        <v>45</v>
      </c>
      <c r="N2192" s="1" t="s">
        <v>38</v>
      </c>
      <c r="O2192" s="1" t="s">
        <v>46</v>
      </c>
    </row>
    <row r="2193" spans="2:15" x14ac:dyDescent="0.3">
      <c r="B2193" s="1" t="s">
        <v>24</v>
      </c>
      <c r="C2193" s="1" t="str">
        <f t="shared" si="124"/>
        <v>5-2차</v>
      </c>
      <c r="D2193" s="1" t="str">
        <f>"0427H0225M"</f>
        <v>0427H0225M</v>
      </c>
      <c r="E2193" s="1" t="s">
        <v>10</v>
      </c>
      <c r="F2193" s="1" t="str">
        <f>"fde3:102:1430:8500:0:0:0:15"</f>
        <v>fde3:102:1430:8500:0:0:0:15</v>
      </c>
      <c r="G2193" s="1" t="str">
        <f>"0427H022"</f>
        <v>0427H022</v>
      </c>
      <c r="H2193" s="1" t="str">
        <f>"서일간 25"</f>
        <v>서일간 25</v>
      </c>
      <c r="I2193" s="1" t="s">
        <v>15</v>
      </c>
      <c r="J2193" s="1" t="str">
        <f>"47/47"</f>
        <v>47/47</v>
      </c>
      <c r="K2193" s="1" t="str">
        <f>"2026-07-29 14:20:55"</f>
        <v>2026-07-29 14:20:55</v>
      </c>
      <c r="L2193" s="1" t="str">
        <f>"2023-08-08 09:20:13"</f>
        <v>2023-08-08 09:20:13</v>
      </c>
      <c r="M2193" s="1" t="s">
        <v>45</v>
      </c>
      <c r="N2193" s="1" t="s">
        <v>38</v>
      </c>
      <c r="O2193" s="1" t="s">
        <v>46</v>
      </c>
    </row>
    <row r="2194" spans="2:15" x14ac:dyDescent="0.3">
      <c r="B2194" s="1" t="s">
        <v>24</v>
      </c>
      <c r="C2194" s="1" t="str">
        <f t="shared" si="124"/>
        <v>5-2차</v>
      </c>
      <c r="D2194" s="1" t="str">
        <f>"0427H0615M"</f>
        <v>0427H0615M</v>
      </c>
      <c r="E2194" s="1" t="s">
        <v>10</v>
      </c>
      <c r="F2194" s="1" t="str">
        <f>"fde1:103:4:92f9:0:0:0:2"</f>
        <v>fde1:103:4:92f9:0:0:0:2</v>
      </c>
      <c r="G2194" s="1" t="str">
        <f>"0427H061"</f>
        <v>0427H061</v>
      </c>
      <c r="H2194" s="1" t="str">
        <f>"겸재간 42"</f>
        <v>겸재간 42</v>
      </c>
      <c r="I2194" s="1" t="s">
        <v>15</v>
      </c>
      <c r="J2194" s="1" t="str">
        <f>"32/33"</f>
        <v>32/33</v>
      </c>
      <c r="K2194" s="1" t="str">
        <f>"2026-07-29 14:20:56"</f>
        <v>2026-07-29 14:20:56</v>
      </c>
      <c r="L2194" s="1" t="str">
        <f>"2023-12-15 13:18:13"</f>
        <v>2023-12-15 13:18:13</v>
      </c>
      <c r="M2194" s="1" t="s">
        <v>4</v>
      </c>
      <c r="N2194" s="1" t="s">
        <v>38</v>
      </c>
      <c r="O2194" s="1" t="s">
        <v>46</v>
      </c>
    </row>
    <row r="2195" spans="2:15" x14ac:dyDescent="0.3">
      <c r="B2195" s="1" t="s">
        <v>24</v>
      </c>
      <c r="C2195" s="1" t="str">
        <f t="shared" si="124"/>
        <v>5-2차</v>
      </c>
      <c r="D2195" s="1" t="str">
        <f>"0427H0815M"</f>
        <v>0427H0815M</v>
      </c>
      <c r="E2195" s="1" t="s">
        <v>10</v>
      </c>
      <c r="F2195" s="1" t="str">
        <f>"fde1:103:4:939d:0:0:0:2"</f>
        <v>fde1:103:4:939d:0:0:0:2</v>
      </c>
      <c r="G2195" s="1" t="str">
        <f>"0427H081"</f>
        <v>0427H081</v>
      </c>
      <c r="H2195" s="1" t="str">
        <f>"겸재간 44L2"</f>
        <v>겸재간 44L2</v>
      </c>
      <c r="I2195" s="1" t="s">
        <v>15</v>
      </c>
      <c r="J2195" s="1" t="str">
        <f>"110/111"</f>
        <v>110/111</v>
      </c>
      <c r="K2195" s="1" t="str">
        <f>"2026-07-29 14:20:24"</f>
        <v>2026-07-29 14:20:24</v>
      </c>
      <c r="L2195" s="1" t="str">
        <f>"2023-12-15 13:18:55"</f>
        <v>2023-12-15 13:18:55</v>
      </c>
      <c r="M2195" s="1" t="s">
        <v>4</v>
      </c>
      <c r="N2195" s="1" t="s">
        <v>38</v>
      </c>
      <c r="O2195" s="1" t="s">
        <v>46</v>
      </c>
    </row>
    <row r="2196" spans="2:15" x14ac:dyDescent="0.3">
      <c r="B2196" s="1" t="s">
        <v>24</v>
      </c>
      <c r="C2196" s="1" t="str">
        <f t="shared" si="124"/>
        <v>5-2차</v>
      </c>
      <c r="D2196" s="1" t="str">
        <f>"0427H1135S"</f>
        <v>0427H1135S</v>
      </c>
      <c r="E2196" s="1" t="s">
        <v>10</v>
      </c>
      <c r="F2196" s="1" t="str">
        <f>"fde3:102:1430:8500:0:0:0:19"</f>
        <v>fde3:102:1430:8500:0:0:0:19</v>
      </c>
      <c r="G2196" s="1" t="str">
        <f>"0427H113"</f>
        <v>0427H113</v>
      </c>
      <c r="H2196" s="1" t="str">
        <f>"서일간 26R1"</f>
        <v>서일간 26R1</v>
      </c>
      <c r="I2196" s="1" t="s">
        <v>15</v>
      </c>
      <c r="J2196" s="1" t="str">
        <f>"47/47"</f>
        <v>47/47</v>
      </c>
      <c r="K2196" s="1" t="str">
        <f>"2026-07-29 14:20:54"</f>
        <v>2026-07-29 14:20:54</v>
      </c>
      <c r="L2196" s="1" t="str">
        <f>"2023-08-25 15:03:11"</f>
        <v>2023-08-25 15:03:11</v>
      </c>
      <c r="M2196" s="1" t="s">
        <v>45</v>
      </c>
      <c r="N2196" s="1" t="s">
        <v>38</v>
      </c>
      <c r="O2196" s="1" t="s">
        <v>46</v>
      </c>
    </row>
    <row r="2197" spans="2:15" x14ac:dyDescent="0.3">
      <c r="B2197" s="1" t="s">
        <v>24</v>
      </c>
      <c r="C2197" s="1" t="str">
        <f t="shared" si="124"/>
        <v>5-2차</v>
      </c>
      <c r="D2197" s="1" t="str">
        <f>"0427H1155S"</f>
        <v>0427H1155S</v>
      </c>
      <c r="E2197" s="1" t="s">
        <v>10</v>
      </c>
      <c r="F2197" s="1" t="str">
        <f>"fde3:102:1430:8500:0:0:0:18"</f>
        <v>fde3:102:1430:8500:0:0:0:18</v>
      </c>
      <c r="G2197" s="1" t="str">
        <f>"0427H115"</f>
        <v>0427H115</v>
      </c>
      <c r="H2197" s="1" t="str">
        <f>"서일간 26"</f>
        <v>서일간 26</v>
      </c>
      <c r="I2197" s="1" t="s">
        <v>15</v>
      </c>
      <c r="J2197" s="1" t="str">
        <f>"59/59"</f>
        <v>59/59</v>
      </c>
      <c r="K2197" s="1" t="str">
        <f>"2026-07-29 14:21:10"</f>
        <v>2026-07-29 14:21:10</v>
      </c>
      <c r="L2197" s="1" t="str">
        <f>"2023-08-08 09:44:39"</f>
        <v>2023-08-08 09:44:39</v>
      </c>
      <c r="M2197" s="1" t="s">
        <v>45</v>
      </c>
      <c r="N2197" s="1" t="s">
        <v>38</v>
      </c>
      <c r="O2197" s="1" t="s">
        <v>46</v>
      </c>
    </row>
    <row r="2198" spans="2:15" x14ac:dyDescent="0.3">
      <c r="B2198" s="1" t="s">
        <v>24</v>
      </c>
      <c r="C2198" s="1" t="str">
        <f t="shared" si="124"/>
        <v>5-2차</v>
      </c>
      <c r="D2198" s="1" t="str">
        <f>"0427H1315M"</f>
        <v>0427H1315M</v>
      </c>
      <c r="E2198" s="1" t="s">
        <v>10</v>
      </c>
      <c r="F2198" s="1" t="str">
        <f>"fde3:102:1430:8500:0:0:0:16"</f>
        <v>fde3:102:1430:8500:0:0:0:16</v>
      </c>
      <c r="G2198" s="1" t="str">
        <f>"0427H131"</f>
        <v>0427H131</v>
      </c>
      <c r="H2198" s="1" t="str">
        <f>"서일간 25L3"</f>
        <v>서일간 25L3</v>
      </c>
      <c r="I2198" s="1" t="s">
        <v>15</v>
      </c>
      <c r="J2198" s="1" t="str">
        <f>"41/41"</f>
        <v>41/41</v>
      </c>
      <c r="K2198" s="1" t="str">
        <f>"2026-07-29 14:20:56"</f>
        <v>2026-07-29 14:20:56</v>
      </c>
      <c r="L2198" s="1" t="str">
        <f>"2023-08-08 10:00:10"</f>
        <v>2023-08-08 10:00:10</v>
      </c>
      <c r="M2198" s="1" t="s">
        <v>45</v>
      </c>
      <c r="N2198" s="1" t="s">
        <v>38</v>
      </c>
      <c r="O2198" s="1" t="s">
        <v>46</v>
      </c>
    </row>
    <row r="2199" spans="2:15" x14ac:dyDescent="0.3">
      <c r="B2199" s="1" t="s">
        <v>24</v>
      </c>
      <c r="C2199" s="1" t="str">
        <f t="shared" si="124"/>
        <v>5-2차</v>
      </c>
      <c r="D2199" s="1" t="str">
        <f>"0427H1515M"</f>
        <v>0427H1515M</v>
      </c>
      <c r="E2199" s="1" t="s">
        <v>10</v>
      </c>
      <c r="F2199" s="1" t="str">
        <f>"fde1:103:4:9345:0:0:0:2"</f>
        <v>fde1:103:4:9345:0:0:0:2</v>
      </c>
      <c r="G2199" s="1" t="str">
        <f>"0427H151"</f>
        <v>0427H151</v>
      </c>
      <c r="H2199" s="1" t="str">
        <f>"우일간 64"</f>
        <v>우일간 64</v>
      </c>
      <c r="I2199" s="1" t="s">
        <v>15</v>
      </c>
      <c r="J2199" s="1" t="str">
        <f>"40/40"</f>
        <v>40/40</v>
      </c>
      <c r="K2199" s="1" t="str">
        <f>"2026-07-29 08:21:22"</f>
        <v>2026-07-29 08:21:22</v>
      </c>
      <c r="L2199" s="1" t="str">
        <f>"2023-12-15 13:19:22"</f>
        <v>2023-12-15 13:19:22</v>
      </c>
      <c r="M2199" s="1" t="s">
        <v>4</v>
      </c>
      <c r="N2199" s="1" t="s">
        <v>38</v>
      </c>
      <c r="O2199" s="1" t="s">
        <v>46</v>
      </c>
    </row>
    <row r="2200" spans="2:15" x14ac:dyDescent="0.3">
      <c r="B2200" s="1" t="s">
        <v>24</v>
      </c>
      <c r="C2200" s="1" t="str">
        <f t="shared" si="124"/>
        <v>5-2차</v>
      </c>
      <c r="D2200" s="1" t="str">
        <f>"0427H1915M"</f>
        <v>0427H1915M</v>
      </c>
      <c r="E2200" s="1" t="s">
        <v>10</v>
      </c>
      <c r="F2200" s="1" t="str">
        <f>"fde3:102:1430:8200:0:0:0:5"</f>
        <v>fde3:102:1430:8200:0:0:0:5</v>
      </c>
      <c r="G2200" s="1" t="str">
        <f>"0427H191"</f>
        <v>0427H191</v>
      </c>
      <c r="H2200" s="1" t="str">
        <f>"겸재간 44L3R5R2R1"</f>
        <v>겸재간 44L3R5R2R1</v>
      </c>
      <c r="I2200" s="1" t="s">
        <v>15</v>
      </c>
      <c r="J2200" s="1" t="str">
        <f>"49/49"</f>
        <v>49/49</v>
      </c>
      <c r="K2200" s="1" t="str">
        <f>"2026-07-29 14:21:11"</f>
        <v>2026-07-29 14:21:11</v>
      </c>
      <c r="L2200" s="1" t="str">
        <f>"2023-09-05 12:03:00"</f>
        <v>2023-09-05 12:03:00</v>
      </c>
      <c r="M2200" s="1" t="s">
        <v>45</v>
      </c>
      <c r="N2200" s="1" t="s">
        <v>38</v>
      </c>
      <c r="O2200" s="1" t="s">
        <v>46</v>
      </c>
    </row>
    <row r="2201" spans="2:15" x14ac:dyDescent="0.3">
      <c r="B2201" s="1" t="s">
        <v>24</v>
      </c>
      <c r="C2201" s="1" t="str">
        <f t="shared" si="124"/>
        <v>5-2차</v>
      </c>
      <c r="D2201" s="1" t="str">
        <f>"0427H2115M"</f>
        <v>0427H2115M</v>
      </c>
      <c r="E2201" s="1" t="s">
        <v>10</v>
      </c>
      <c r="F2201" s="1" t="str">
        <f>"fde3:102:1430:8500:0:0:0:1f"</f>
        <v>fde3:102:1430:8500:0:0:0:1f</v>
      </c>
      <c r="G2201" s="1" t="str">
        <f>"0427H211"</f>
        <v>0427H211</v>
      </c>
      <c r="H2201" s="1" t="str">
        <f>"서일간 28"</f>
        <v>서일간 28</v>
      </c>
      <c r="I2201" s="1" t="s">
        <v>15</v>
      </c>
      <c r="J2201" s="1" t="str">
        <f>"44/44"</f>
        <v>44/44</v>
      </c>
      <c r="K2201" s="1" t="str">
        <f>"2026-07-29 14:21:29"</f>
        <v>2026-07-29 14:21:29</v>
      </c>
      <c r="L2201" s="1" t="str">
        <f>"2023-12-03 11:20:19"</f>
        <v>2023-12-03 11:20:19</v>
      </c>
      <c r="M2201" s="1" t="s">
        <v>45</v>
      </c>
      <c r="N2201" s="1" t="s">
        <v>38</v>
      </c>
      <c r="O2201" s="1" t="s">
        <v>46</v>
      </c>
    </row>
    <row r="2202" spans="2:15" x14ac:dyDescent="0.3">
      <c r="B2202" s="1" t="s">
        <v>24</v>
      </c>
      <c r="C2202" s="1" t="str">
        <f t="shared" si="124"/>
        <v>5-2차</v>
      </c>
      <c r="D2202" s="1" t="str">
        <f>"0427H2125M"</f>
        <v>0427H2125M</v>
      </c>
      <c r="E2202" s="1" t="s">
        <v>10</v>
      </c>
      <c r="F2202" s="1" t="str">
        <f>"fde3:102:1430:8500:0:0:0:1a"</f>
        <v>fde3:102:1430:8500:0:0:0:1a</v>
      </c>
      <c r="G2202" s="1" t="str">
        <f>"0427H212"</f>
        <v>0427H212</v>
      </c>
      <c r="H2202" s="1" t="str">
        <f>"서일간 29"</f>
        <v>서일간 29</v>
      </c>
      <c r="I2202" s="1" t="s">
        <v>15</v>
      </c>
      <c r="J2202" s="1" t="str">
        <f>"46/46"</f>
        <v>46/46</v>
      </c>
      <c r="K2202" s="1" t="str">
        <f>"2026-07-29 14:21:11"</f>
        <v>2026-07-29 14:21:11</v>
      </c>
      <c r="L2202" s="1" t="str">
        <f>"2023-08-08 10:26:05"</f>
        <v>2023-08-08 10:26:05</v>
      </c>
      <c r="M2202" s="1" t="s">
        <v>45</v>
      </c>
      <c r="N2202" s="1" t="s">
        <v>38</v>
      </c>
      <c r="O2202" s="1" t="s">
        <v>46</v>
      </c>
    </row>
    <row r="2203" spans="2:15" x14ac:dyDescent="0.3">
      <c r="B2203" s="1" t="s">
        <v>24</v>
      </c>
      <c r="C2203" s="1" t="str">
        <f t="shared" si="124"/>
        <v>5-2차</v>
      </c>
      <c r="D2203" s="1" t="str">
        <f>"0427H2215S"</f>
        <v>0427H2215S</v>
      </c>
      <c r="E2203" s="1" t="s">
        <v>10</v>
      </c>
      <c r="F2203" s="1" t="str">
        <f>"fde3:102:1430:8500:0:0:0:1e"</f>
        <v>fde3:102:1430:8500:0:0:0:1e</v>
      </c>
      <c r="G2203" s="1" t="str">
        <f>"0427H221"</f>
        <v>0427H221</v>
      </c>
      <c r="H2203" s="1" t="str">
        <f>"서일간 27R1R2"</f>
        <v>서일간 27R1R2</v>
      </c>
      <c r="I2203" s="1" t="s">
        <v>15</v>
      </c>
      <c r="J2203" s="1" t="str">
        <f>"59/59"</f>
        <v>59/59</v>
      </c>
      <c r="K2203" s="1" t="str">
        <f>"2026-07-29 14:21:11"</f>
        <v>2026-07-29 14:21:11</v>
      </c>
      <c r="L2203" s="1" t="str">
        <f>"2023-12-03 11:24:16"</f>
        <v>2023-12-03 11:24:16</v>
      </c>
      <c r="M2203" s="1" t="s">
        <v>45</v>
      </c>
      <c r="N2203" s="1" t="s">
        <v>38</v>
      </c>
      <c r="O2203" s="1" t="s">
        <v>46</v>
      </c>
    </row>
    <row r="2204" spans="2:15" x14ac:dyDescent="0.3">
      <c r="B2204" s="1" t="s">
        <v>24</v>
      </c>
      <c r="C2204" s="1" t="str">
        <f t="shared" si="124"/>
        <v>5-2차</v>
      </c>
      <c r="D2204" s="1" t="str">
        <f>"0427H2425M"</f>
        <v>0427H2425M</v>
      </c>
      <c r="E2204" s="1" t="s">
        <v>10</v>
      </c>
      <c r="F2204" s="1" t="str">
        <f>"fde3:102:1430:8400:0:0:0:1b"</f>
        <v>fde3:102:1430:8400:0:0:0:1b</v>
      </c>
      <c r="G2204" s="1" t="str">
        <f>"0427H242"</f>
        <v>0427H242</v>
      </c>
      <c r="H2204" s="1" t="str">
        <f>"우일간 67"</f>
        <v>우일간 67</v>
      </c>
      <c r="I2204" s="1" t="s">
        <v>15</v>
      </c>
      <c r="J2204" s="1" t="str">
        <f>"55/58"</f>
        <v>55/58</v>
      </c>
      <c r="K2204" s="1" t="str">
        <f>"2026-07-29 14:20:56"</f>
        <v>2026-07-29 14:20:56</v>
      </c>
      <c r="L2204" s="1" t="str">
        <f>"2023-08-24 16:09:09"</f>
        <v>2023-08-24 16:09:09</v>
      </c>
      <c r="M2204" s="1" t="s">
        <v>45</v>
      </c>
      <c r="N2204" s="1" t="s">
        <v>38</v>
      </c>
      <c r="O2204" s="1" t="s">
        <v>46</v>
      </c>
    </row>
    <row r="2205" spans="2:15" x14ac:dyDescent="0.3">
      <c r="B2205" s="1" t="s">
        <v>24</v>
      </c>
      <c r="C2205" s="1" t="str">
        <f t="shared" si="124"/>
        <v>5-2차</v>
      </c>
      <c r="D2205" s="1" t="str">
        <f>"0427H2625M"</f>
        <v>0427H2625M</v>
      </c>
      <c r="E2205" s="1" t="s">
        <v>10</v>
      </c>
      <c r="F2205" s="1" t="str">
        <f>"fde3:102:1430:8400:0:0:0:1e"</f>
        <v>fde3:102:1430:8400:0:0:0:1e</v>
      </c>
      <c r="G2205" s="1" t="str">
        <f>"0427H262"</f>
        <v>0427H262</v>
      </c>
      <c r="H2205" s="1" t="str">
        <f>"우일간 61L2R2"</f>
        <v>우일간 61L2R2</v>
      </c>
      <c r="I2205" s="1" t="s">
        <v>15</v>
      </c>
      <c r="J2205" s="1" t="str">
        <f>"101/102"</f>
        <v>101/102</v>
      </c>
      <c r="K2205" s="1" t="str">
        <f>"2026-07-29 14:21:11"</f>
        <v>2026-07-29 14:21:11</v>
      </c>
      <c r="L2205" s="1" t="str">
        <f>"2023-08-24 15:29:38"</f>
        <v>2023-08-24 15:29:38</v>
      </c>
      <c r="M2205" s="1" t="s">
        <v>45</v>
      </c>
      <c r="N2205" s="1" t="s">
        <v>38</v>
      </c>
      <c r="O2205" s="1" t="s">
        <v>46</v>
      </c>
    </row>
    <row r="2206" spans="2:15" x14ac:dyDescent="0.3">
      <c r="B2206" s="1" t="s">
        <v>24</v>
      </c>
      <c r="C2206" s="1" t="str">
        <f t="shared" si="124"/>
        <v>5-2차</v>
      </c>
      <c r="D2206" s="1" t="str">
        <f>"0427H2725M"</f>
        <v>0427H2725M</v>
      </c>
      <c r="E2206" s="1" t="s">
        <v>10</v>
      </c>
      <c r="F2206" s="1" t="str">
        <f>"fde1:103:4:93be:0:0:0:2"</f>
        <v>fde1:103:4:93be:0:0:0:2</v>
      </c>
      <c r="G2206" s="1" t="str">
        <f>"0427H272"</f>
        <v>0427H272</v>
      </c>
      <c r="H2206" s="1" t="str">
        <f>"우일간 61L1"</f>
        <v>우일간 61L1</v>
      </c>
      <c r="I2206" s="1" t="s">
        <v>15</v>
      </c>
      <c r="J2206" s="1" t="str">
        <f>"31/31"</f>
        <v>31/31</v>
      </c>
      <c r="K2206" s="1" t="str">
        <f>"2026-07-29 14:21:12"</f>
        <v>2026-07-29 14:21:12</v>
      </c>
      <c r="L2206" s="1" t="str">
        <f>"2023-12-15 13:19:49"</f>
        <v>2023-12-15 13:19:49</v>
      </c>
      <c r="M2206" s="1" t="s">
        <v>4</v>
      </c>
      <c r="N2206" s="1" t="s">
        <v>38</v>
      </c>
      <c r="O2206" s="1" t="s">
        <v>46</v>
      </c>
    </row>
    <row r="2207" spans="2:15" x14ac:dyDescent="0.3">
      <c r="B2207" s="1" t="s">
        <v>24</v>
      </c>
      <c r="C2207" s="1" t="str">
        <f t="shared" si="124"/>
        <v>5-2차</v>
      </c>
      <c r="D2207" s="1" t="str">
        <f>"0427H2945M"</f>
        <v>0427H2945M</v>
      </c>
      <c r="E2207" s="1" t="s">
        <v>10</v>
      </c>
      <c r="F2207" s="1" t="str">
        <f>"fde1:103:4:9104:0:0:0:2"</f>
        <v>fde1:103:4:9104:0:0:0:2</v>
      </c>
      <c r="G2207" s="1" t="str">
        <f>"0427H294"</f>
        <v>0427H294</v>
      </c>
      <c r="H2207" s="1" t="str">
        <f>"겸재간 47"</f>
        <v>겸재간 47</v>
      </c>
      <c r="I2207" s="1" t="s">
        <v>15</v>
      </c>
      <c r="J2207" s="1" t="str">
        <f>"47/47"</f>
        <v>47/47</v>
      </c>
      <c r="K2207" s="1" t="str">
        <f>"2026-07-29 14:20:54"</f>
        <v>2026-07-29 14:20:54</v>
      </c>
      <c r="L2207" s="1" t="str">
        <f>"2024-01-18 13:32:32"</f>
        <v>2024-01-18 13:32:32</v>
      </c>
      <c r="M2207" s="1" t="s">
        <v>4</v>
      </c>
      <c r="N2207" s="1" t="s">
        <v>38</v>
      </c>
      <c r="O2207" s="1" t="s">
        <v>46</v>
      </c>
    </row>
    <row r="2208" spans="2:15" x14ac:dyDescent="0.3">
      <c r="B2208" s="1" t="s">
        <v>24</v>
      </c>
      <c r="C2208" s="1" t="str">
        <f>"5-1차"</f>
        <v>5-1차</v>
      </c>
      <c r="D2208" s="1" t="str">
        <f>"0427H3015M"</f>
        <v>0427H3015M</v>
      </c>
      <c r="E2208" s="1" t="s">
        <v>10</v>
      </c>
      <c r="F2208" s="1" t="str">
        <f>"fde2:104:0:129:0:0:0:2"</f>
        <v>fde2:104:0:129:0:0:0:2</v>
      </c>
      <c r="G2208" s="1" t="str">
        <f>"0427H301"</f>
        <v>0427H301</v>
      </c>
      <c r="H2208" s="1" t="str">
        <f>"서일간 30"</f>
        <v>서일간 30</v>
      </c>
      <c r="I2208" s="1" t="s">
        <v>15</v>
      </c>
      <c r="J2208" s="1" t="str">
        <f>"44/49"</f>
        <v>44/49</v>
      </c>
      <c r="K2208" s="1" t="str">
        <f>"2026-07-29 14:20:57"</f>
        <v>2026-07-29 14:20:57</v>
      </c>
      <c r="L2208" s="1" t="str">
        <f>"2022-09-30 13:04:07"</f>
        <v>2022-09-30 13:04:07</v>
      </c>
      <c r="M2208" s="1" t="s">
        <v>42</v>
      </c>
      <c r="N2208" s="1" t="s">
        <v>38</v>
      </c>
      <c r="O2208" s="1" t="s">
        <v>46</v>
      </c>
    </row>
    <row r="2209" spans="2:15" x14ac:dyDescent="0.3">
      <c r="B2209" s="1" t="s">
        <v>24</v>
      </c>
      <c r="C2209" s="1" t="str">
        <f>"5-2차"</f>
        <v>5-2차</v>
      </c>
      <c r="D2209" s="1" t="str">
        <f>"0427H3035M"</f>
        <v>0427H3035M</v>
      </c>
      <c r="E2209" s="1" t="s">
        <v>10</v>
      </c>
      <c r="F2209" s="1" t="str">
        <f>"fde3:102:1430:8400:0:0:0:2a"</f>
        <v>fde3:102:1430:8400:0:0:0:2a</v>
      </c>
      <c r="G2209" s="1" t="str">
        <f>"0427H303"</f>
        <v>0427H303</v>
      </c>
      <c r="H2209" s="1" t="str">
        <f>"서일간 32R1"</f>
        <v>서일간 32R1</v>
      </c>
      <c r="I2209" s="1" t="s">
        <v>15</v>
      </c>
      <c r="J2209" s="1" t="str">
        <f>"29/29"</f>
        <v>29/29</v>
      </c>
      <c r="K2209" s="1" t="str">
        <f>"2026-07-29 14:20:56"</f>
        <v>2026-07-29 14:20:56</v>
      </c>
      <c r="L2209" s="1" t="str">
        <f>"2023-08-08 10:54:08"</f>
        <v>2023-08-08 10:54:08</v>
      </c>
      <c r="M2209" s="1" t="s">
        <v>45</v>
      </c>
      <c r="N2209" s="1" t="s">
        <v>38</v>
      </c>
      <c r="O2209" s="1" t="s">
        <v>46</v>
      </c>
    </row>
    <row r="2210" spans="2:15" x14ac:dyDescent="0.3">
      <c r="B2210" s="1" t="s">
        <v>24</v>
      </c>
      <c r="C2210" s="1" t="str">
        <f>"5-2차"</f>
        <v>5-2차</v>
      </c>
      <c r="D2210" s="1" t="str">
        <f>"0427H3335M"</f>
        <v>0427H3335M</v>
      </c>
      <c r="E2210" s="1" t="s">
        <v>10</v>
      </c>
      <c r="F2210" s="1" t="str">
        <f>"fde1:103:4:939b:0:0:0:2"</f>
        <v>fde1:103:4:939b:0:0:0:2</v>
      </c>
      <c r="G2210" s="1" t="str">
        <f>"0427H333"</f>
        <v>0427H333</v>
      </c>
      <c r="H2210" s="1" t="str">
        <f>"우일간 69"</f>
        <v>우일간 69</v>
      </c>
      <c r="I2210" s="1" t="s">
        <v>15</v>
      </c>
      <c r="J2210" s="1" t="str">
        <f>"90/91"</f>
        <v>90/91</v>
      </c>
      <c r="K2210" s="1" t="str">
        <f>"2026-07-29 14:21:12"</f>
        <v>2026-07-29 14:21:12</v>
      </c>
      <c r="L2210" s="1" t="str">
        <f>"2023-12-18 14:11:44"</f>
        <v>2023-12-18 14:11:44</v>
      </c>
      <c r="M2210" s="1" t="s">
        <v>4</v>
      </c>
      <c r="N2210" s="1" t="s">
        <v>38</v>
      </c>
      <c r="O2210" s="1" t="s">
        <v>46</v>
      </c>
    </row>
    <row r="2211" spans="2:15" x14ac:dyDescent="0.3">
      <c r="B2211" s="1" t="s">
        <v>24</v>
      </c>
      <c r="C2211" s="1" t="str">
        <f>"5-2차"</f>
        <v>5-2차</v>
      </c>
      <c r="D2211" s="1" t="str">
        <f>"0427H3415M"</f>
        <v>0427H3415M</v>
      </c>
      <c r="E2211" s="1" t="s">
        <v>10</v>
      </c>
      <c r="F2211" s="1" t="str">
        <f>"fde3:102:1430:8400:0:0:0:2d"</f>
        <v>fde3:102:1430:8400:0:0:0:2d</v>
      </c>
      <c r="G2211" s="1" t="str">
        <f>"0427H341"</f>
        <v>0427H341</v>
      </c>
      <c r="H2211" s="1" t="str">
        <f>"우일간 68"</f>
        <v>우일간 68</v>
      </c>
      <c r="I2211" s="1" t="s">
        <v>15</v>
      </c>
      <c r="J2211" s="1" t="str">
        <f>"39/39"</f>
        <v>39/39</v>
      </c>
      <c r="K2211" s="1" t="str">
        <f>"2026-07-29 14:20:54"</f>
        <v>2026-07-29 14:20:54</v>
      </c>
      <c r="L2211" s="1" t="str">
        <f>"2023-12-28 10:43:03"</f>
        <v>2023-12-28 10:43:03</v>
      </c>
      <c r="M2211" s="1" t="s">
        <v>45</v>
      </c>
      <c r="N2211" s="1" t="s">
        <v>38</v>
      </c>
      <c r="O2211" s="1" t="s">
        <v>46</v>
      </c>
    </row>
    <row r="2212" spans="2:15" x14ac:dyDescent="0.3">
      <c r="B2212" s="1" t="s">
        <v>24</v>
      </c>
      <c r="C2212" s="1" t="str">
        <f>"5-2차"</f>
        <v>5-2차</v>
      </c>
      <c r="D2212" s="1" t="str">
        <f>"0427H3815M"</f>
        <v>0427H3815M</v>
      </c>
      <c r="E2212" s="1" t="s">
        <v>10</v>
      </c>
      <c r="F2212" s="1" t="str">
        <f>"fde3:102:1430:8400:0:0:0:21"</f>
        <v>fde3:102:1430:8400:0:0:0:21</v>
      </c>
      <c r="G2212" s="1" t="str">
        <f>"0427H381"</f>
        <v>0427H381</v>
      </c>
      <c r="H2212" s="1" t="str">
        <f>"우일간 61L2L2"</f>
        <v>우일간 61L2L2</v>
      </c>
      <c r="I2212" s="1" t="s">
        <v>15</v>
      </c>
      <c r="J2212" s="1" t="str">
        <f>"75/75"</f>
        <v>75/75</v>
      </c>
      <c r="K2212" s="1" t="str">
        <f>"2026-07-29 14:20:56"</f>
        <v>2026-07-29 14:20:56</v>
      </c>
      <c r="L2212" s="1" t="str">
        <f>"2023-08-24 14:28:08"</f>
        <v>2023-08-24 14:28:08</v>
      </c>
      <c r="M2212" s="1" t="s">
        <v>45</v>
      </c>
      <c r="N2212" s="1" t="s">
        <v>38</v>
      </c>
      <c r="O2212" s="1" t="s">
        <v>46</v>
      </c>
    </row>
    <row r="2213" spans="2:15" x14ac:dyDescent="0.3">
      <c r="B2213" s="1" t="s">
        <v>24</v>
      </c>
      <c r="C2213" s="1" t="str">
        <f>"5-2차"</f>
        <v>5-2차</v>
      </c>
      <c r="D2213" s="1" t="str">
        <f>"0427H4115S"</f>
        <v>0427H4115S</v>
      </c>
      <c r="E2213" s="1" t="s">
        <v>10</v>
      </c>
      <c r="F2213" s="1" t="str">
        <f>"fde3:102:1430:8400:0:0:0:2b"</f>
        <v>fde3:102:1430:8400:0:0:0:2b</v>
      </c>
      <c r="G2213" s="1" t="str">
        <f>"0427H411"</f>
        <v>0427H411</v>
      </c>
      <c r="H2213" s="1" t="str">
        <f>"서일간 31L2"</f>
        <v>서일간 31L2</v>
      </c>
      <c r="I2213" s="1" t="s">
        <v>15</v>
      </c>
      <c r="J2213" s="1" t="str">
        <f>"68/68"</f>
        <v>68/68</v>
      </c>
      <c r="K2213" s="1" t="str">
        <f>"2026-07-29 14:21:00"</f>
        <v>2026-07-29 14:21:00</v>
      </c>
      <c r="L2213" s="1" t="str">
        <f>"2023-08-25 14:41:55"</f>
        <v>2023-08-25 14:41:55</v>
      </c>
      <c r="M2213" s="1" t="s">
        <v>45</v>
      </c>
      <c r="N2213" s="1" t="s">
        <v>38</v>
      </c>
      <c r="O2213" s="1" t="s">
        <v>46</v>
      </c>
    </row>
    <row r="2214" spans="2:15" x14ac:dyDescent="0.3">
      <c r="B2214" s="1" t="s">
        <v>24</v>
      </c>
      <c r="C2214" s="1" t="str">
        <f>"6차"</f>
        <v>6차</v>
      </c>
      <c r="D2214" s="1" t="str">
        <f>"0427H4326S"</f>
        <v>0427H4326S</v>
      </c>
      <c r="E2214" s="1" t="s">
        <v>10</v>
      </c>
      <c r="F2214" s="1" t="str">
        <f>"fde3:102:1430:6300:0:0:0:a"</f>
        <v>fde3:102:1430:6300:0:0:0:a</v>
      </c>
      <c r="G2214" s="1" t="str">
        <f>"0427H432"</f>
        <v>0427H432</v>
      </c>
      <c r="H2214" s="1" t="str">
        <f>"우일간 71"</f>
        <v>우일간 71</v>
      </c>
      <c r="I2214" s="1" t="s">
        <v>15</v>
      </c>
      <c r="J2214" s="1" t="str">
        <f>"110/115"</f>
        <v>110/115</v>
      </c>
      <c r="K2214" s="1" t="str">
        <f>"2026-07-29 14:20:56"</f>
        <v>2026-07-29 14:20:56</v>
      </c>
      <c r="L2214" s="1" t="str">
        <f>"2024-09-27 10:18:18"</f>
        <v>2024-09-27 10:18:18</v>
      </c>
      <c r="M2214" s="1" t="s">
        <v>45</v>
      </c>
      <c r="N2214" s="1" t="s">
        <v>38</v>
      </c>
      <c r="O2214" s="1" t="s">
        <v>46</v>
      </c>
    </row>
    <row r="2215" spans="2:15" x14ac:dyDescent="0.3">
      <c r="B2215" s="1" t="s">
        <v>24</v>
      </c>
      <c r="C2215" s="1" t="str">
        <f t="shared" ref="C2215:C2227" si="125">"5-2차"</f>
        <v>5-2차</v>
      </c>
      <c r="D2215" s="1" t="str">
        <f>"0427H4425S"</f>
        <v>0427H4425S</v>
      </c>
      <c r="E2215" s="1" t="s">
        <v>10</v>
      </c>
      <c r="F2215" s="1" t="str">
        <f>"fde3:102:1430:8400:0:0:0:19"</f>
        <v>fde3:102:1430:8400:0:0:0:19</v>
      </c>
      <c r="G2215" s="1" t="str">
        <f>"0427H442"</f>
        <v>0427H442</v>
      </c>
      <c r="H2215" s="1" t="str">
        <f>"우일간 70L2"</f>
        <v>우일간 70L2</v>
      </c>
      <c r="I2215" s="1" t="s">
        <v>15</v>
      </c>
      <c r="J2215" s="1" t="str">
        <f>"34/34"</f>
        <v>34/34</v>
      </c>
      <c r="K2215" s="1" t="str">
        <f>"2026-07-29 14:20:57"</f>
        <v>2026-07-29 14:20:57</v>
      </c>
      <c r="L2215" s="1" t="str">
        <f>"2023-08-24 13:48:23"</f>
        <v>2023-08-24 13:48:23</v>
      </c>
      <c r="M2215" s="1" t="s">
        <v>45</v>
      </c>
      <c r="N2215" s="1" t="s">
        <v>38</v>
      </c>
      <c r="O2215" s="1" t="s">
        <v>46</v>
      </c>
    </row>
    <row r="2216" spans="2:15" x14ac:dyDescent="0.3">
      <c r="B2216" s="1" t="s">
        <v>24</v>
      </c>
      <c r="C2216" s="1" t="str">
        <f t="shared" si="125"/>
        <v>5-2차</v>
      </c>
      <c r="D2216" s="1" t="str">
        <f>"0427H4615M"</f>
        <v>0427H4615M</v>
      </c>
      <c r="E2216" s="1" t="s">
        <v>10</v>
      </c>
      <c r="F2216" s="1" t="str">
        <f>"fde1:103:4:91da:0:0:0:2"</f>
        <v>fde1:103:4:91da:0:0:0:2</v>
      </c>
      <c r="G2216" s="1" t="str">
        <f>"0427H461"</f>
        <v>0427H461</v>
      </c>
      <c r="H2216" s="1" t="str">
        <f>"우일간 61L4"</f>
        <v>우일간 61L4</v>
      </c>
      <c r="I2216" s="1" t="s">
        <v>15</v>
      </c>
      <c r="J2216" s="1" t="str">
        <f>"54/55"</f>
        <v>54/55</v>
      </c>
      <c r="K2216" s="1" t="str">
        <f>"2026-07-29 08:20:22"</f>
        <v>2026-07-29 08:20:22</v>
      </c>
      <c r="L2216" s="1" t="str">
        <f>"2024-01-08 13:58:57"</f>
        <v>2024-01-08 13:58:57</v>
      </c>
      <c r="M2216" s="1" t="s">
        <v>4</v>
      </c>
      <c r="N2216" s="1" t="s">
        <v>38</v>
      </c>
      <c r="O2216" s="1" t="s">
        <v>46</v>
      </c>
    </row>
    <row r="2217" spans="2:15" x14ac:dyDescent="0.3">
      <c r="B2217" s="1" t="s">
        <v>24</v>
      </c>
      <c r="C2217" s="1" t="str">
        <f t="shared" si="125"/>
        <v>5-2차</v>
      </c>
      <c r="D2217" s="1" t="str">
        <f>"0427H4915M"</f>
        <v>0427H4915M</v>
      </c>
      <c r="E2217" s="1" t="s">
        <v>10</v>
      </c>
      <c r="F2217" s="1" t="str">
        <f>"fde3:102:1430:8400:0:0:0:1f"</f>
        <v>fde3:102:1430:8400:0:0:0:1f</v>
      </c>
      <c r="G2217" s="1" t="str">
        <f>"0427H491"</f>
        <v>0427H491</v>
      </c>
      <c r="H2217" s="1" t="str">
        <f>"우일간 61L2L4"</f>
        <v>우일간 61L2L4</v>
      </c>
      <c r="I2217" s="1" t="s">
        <v>15</v>
      </c>
      <c r="J2217" s="1" t="str">
        <f>"20/20"</f>
        <v>20/20</v>
      </c>
      <c r="K2217" s="1" t="str">
        <f>"2026-07-29 14:20:57"</f>
        <v>2026-07-29 14:20:57</v>
      </c>
      <c r="L2217" s="1" t="str">
        <f>"2023-10-27 16:58:24"</f>
        <v>2023-10-27 16:58:24</v>
      </c>
      <c r="M2217" s="1" t="s">
        <v>45</v>
      </c>
      <c r="N2217" s="1" t="s">
        <v>38</v>
      </c>
      <c r="O2217" s="1" t="s">
        <v>46</v>
      </c>
    </row>
    <row r="2218" spans="2:15" x14ac:dyDescent="0.3">
      <c r="B2218" s="1" t="s">
        <v>24</v>
      </c>
      <c r="C2218" s="1" t="str">
        <f t="shared" si="125"/>
        <v>5-2차</v>
      </c>
      <c r="D2218" s="1" t="str">
        <f>"0427H5115M"</f>
        <v>0427H5115M</v>
      </c>
      <c r="E2218" s="1" t="s">
        <v>10</v>
      </c>
      <c r="F2218" s="1" t="str">
        <f>"fde3:102:1430:8400:0:0:0:29"</f>
        <v>fde3:102:1430:8400:0:0:0:29</v>
      </c>
      <c r="G2218" s="1" t="str">
        <f>"0427H511"</f>
        <v>0427H511</v>
      </c>
      <c r="H2218" s="1" t="str">
        <f>"서일간 34L3"</f>
        <v>서일간 34L3</v>
      </c>
      <c r="I2218" s="1" t="s">
        <v>15</v>
      </c>
      <c r="J2218" s="1" t="str">
        <f>"33/33"</f>
        <v>33/33</v>
      </c>
      <c r="K2218" s="1" t="str">
        <f>"2026-07-29 14:20:57"</f>
        <v>2026-07-29 14:20:57</v>
      </c>
      <c r="L2218" s="1" t="str">
        <f>"2023-08-25 14:12:27"</f>
        <v>2023-08-25 14:12:27</v>
      </c>
      <c r="M2218" s="1" t="s">
        <v>45</v>
      </c>
      <c r="N2218" s="1" t="s">
        <v>38</v>
      </c>
      <c r="O2218" s="1" t="s">
        <v>46</v>
      </c>
    </row>
    <row r="2219" spans="2:15" x14ac:dyDescent="0.3">
      <c r="B2219" s="1" t="s">
        <v>24</v>
      </c>
      <c r="C2219" s="1" t="str">
        <f t="shared" si="125"/>
        <v>5-2차</v>
      </c>
      <c r="D2219" s="1" t="str">
        <f>"0427H5125S"</f>
        <v>0427H5125S</v>
      </c>
      <c r="E2219" s="1" t="s">
        <v>10</v>
      </c>
      <c r="F2219" s="1" t="str">
        <f>"fde3:102:1430:8300:0:0:0:7"</f>
        <v>fde3:102:1430:8300:0:0:0:7</v>
      </c>
      <c r="G2219" s="1" t="str">
        <f>"0427H512"</f>
        <v>0427H512</v>
      </c>
      <c r="H2219" s="1" t="str">
        <f>"서일간 34L4"</f>
        <v>서일간 34L4</v>
      </c>
      <c r="I2219" s="1" t="s">
        <v>15</v>
      </c>
      <c r="J2219" s="1" t="str">
        <f>"43/43"</f>
        <v>43/43</v>
      </c>
      <c r="K2219" s="1" t="str">
        <f>"2026-07-29 14:20:54"</f>
        <v>2026-07-29 14:20:54</v>
      </c>
      <c r="L2219" s="1" t="str">
        <f>"2023-08-25 13:35:00"</f>
        <v>2023-08-25 13:35:00</v>
      </c>
      <c r="M2219" s="1" t="s">
        <v>45</v>
      </c>
      <c r="N2219" s="1" t="s">
        <v>38</v>
      </c>
      <c r="O2219" s="1" t="s">
        <v>46</v>
      </c>
    </row>
    <row r="2220" spans="2:15" x14ac:dyDescent="0.3">
      <c r="B2220" s="1" t="s">
        <v>24</v>
      </c>
      <c r="C2220" s="1" t="str">
        <f t="shared" si="125"/>
        <v>5-2차</v>
      </c>
      <c r="D2220" s="1" t="str">
        <f>"0427H5325M"</f>
        <v>0427H5325M</v>
      </c>
      <c r="E2220" s="1" t="s">
        <v>10</v>
      </c>
      <c r="F2220" s="1" t="str">
        <f>"fde3:102:1430:6300:0:0:0:3"</f>
        <v>fde3:102:1430:6300:0:0:0:3</v>
      </c>
      <c r="G2220" s="1" t="str">
        <f>"0427H532"</f>
        <v>0427H532</v>
      </c>
      <c r="H2220" s="1" t="str">
        <f>"우일간 73"</f>
        <v>우일간 73</v>
      </c>
      <c r="I2220" s="1" t="s">
        <v>15</v>
      </c>
      <c r="J2220" s="1" t="str">
        <f>"92/92"</f>
        <v>92/92</v>
      </c>
      <c r="K2220" s="1" t="str">
        <f>"2026-07-29 14:21:11"</f>
        <v>2026-07-29 14:21:11</v>
      </c>
      <c r="L2220" s="1" t="str">
        <f>"2023-08-21 14:54:09"</f>
        <v>2023-08-21 14:54:09</v>
      </c>
      <c r="M2220" s="1" t="s">
        <v>45</v>
      </c>
      <c r="N2220" s="1" t="s">
        <v>38</v>
      </c>
      <c r="O2220" s="1" t="s">
        <v>46</v>
      </c>
    </row>
    <row r="2221" spans="2:15" x14ac:dyDescent="0.3">
      <c r="B2221" s="1" t="s">
        <v>24</v>
      </c>
      <c r="C2221" s="1" t="str">
        <f t="shared" si="125"/>
        <v>5-2차</v>
      </c>
      <c r="D2221" s="1" t="str">
        <f>"0427H5515M"</f>
        <v>0427H5515M</v>
      </c>
      <c r="E2221" s="1" t="s">
        <v>10</v>
      </c>
      <c r="F2221" s="1" t="str">
        <f>"fde1:103:4:943b:0:0:0:2"</f>
        <v>fde1:103:4:943b:0:0:0:2</v>
      </c>
      <c r="G2221" s="1" t="str">
        <f>"0427H551"</f>
        <v>0427H551</v>
      </c>
      <c r="H2221" s="1" t="str">
        <f>"우일간 61L8R1"</f>
        <v>우일간 61L8R1</v>
      </c>
      <c r="I2221" s="1" t="s">
        <v>15</v>
      </c>
      <c r="J2221" s="1" t="str">
        <f>"55/55"</f>
        <v>55/55</v>
      </c>
      <c r="K2221" s="1" t="str">
        <f>"2026-07-29 14:20:57"</f>
        <v>2026-07-29 14:20:57</v>
      </c>
      <c r="L2221" s="1" t="str">
        <f>"2024-01-08 14:56:55"</f>
        <v>2024-01-08 14:56:55</v>
      </c>
      <c r="M2221" s="1" t="s">
        <v>4</v>
      </c>
      <c r="N2221" s="1" t="s">
        <v>38</v>
      </c>
      <c r="O2221" s="1" t="s">
        <v>46</v>
      </c>
    </row>
    <row r="2222" spans="2:15" x14ac:dyDescent="0.3">
      <c r="B2222" s="1" t="s">
        <v>24</v>
      </c>
      <c r="C2222" s="1" t="str">
        <f t="shared" si="125"/>
        <v>5-2차</v>
      </c>
      <c r="D2222" s="1" t="str">
        <f>"0427H5625M"</f>
        <v>0427H5625M</v>
      </c>
      <c r="E2222" s="1" t="s">
        <v>10</v>
      </c>
      <c r="F2222" s="1" t="str">
        <f>"fde3:102:1430:8400:0:0:0:1d"</f>
        <v>fde3:102:1430:8400:0:0:0:1d</v>
      </c>
      <c r="G2222" s="1" t="str">
        <f>"0427H562"</f>
        <v>0427H562</v>
      </c>
      <c r="H2222" s="1" t="str">
        <f>"우일간 61L7"</f>
        <v>우일간 61L7</v>
      </c>
      <c r="I2222" s="1" t="s">
        <v>15</v>
      </c>
      <c r="J2222" s="1" t="str">
        <f>"83/83"</f>
        <v>83/83</v>
      </c>
      <c r="K2222" s="1" t="str">
        <f>"2026-07-29 14:20:57"</f>
        <v>2026-07-29 14:20:57</v>
      </c>
      <c r="L2222" s="1" t="str">
        <f>"2023-10-16 10:06:09"</f>
        <v>2023-10-16 10:06:09</v>
      </c>
      <c r="M2222" s="1" t="s">
        <v>45</v>
      </c>
      <c r="N2222" s="1" t="s">
        <v>38</v>
      </c>
      <c r="O2222" s="1" t="s">
        <v>46</v>
      </c>
    </row>
    <row r="2223" spans="2:15" x14ac:dyDescent="0.3">
      <c r="B2223" s="1" t="s">
        <v>24</v>
      </c>
      <c r="C2223" s="1" t="str">
        <f t="shared" si="125"/>
        <v>5-2차</v>
      </c>
      <c r="D2223" s="1" t="str">
        <f>"0427H5665M"</f>
        <v>0427H5665M</v>
      </c>
      <c r="E2223" s="1" t="s">
        <v>10</v>
      </c>
      <c r="F2223" s="1" t="str">
        <f>"fde3:102:1430:8400:0:0:0:1c"</f>
        <v>fde3:102:1430:8400:0:0:0:1c</v>
      </c>
      <c r="G2223" s="1" t="str">
        <f>"0427H566"</f>
        <v>0427H566</v>
      </c>
      <c r="H2223" s="1" t="str">
        <f>"우일간 61L6"</f>
        <v>우일간 61L6</v>
      </c>
      <c r="I2223" s="1" t="s">
        <v>15</v>
      </c>
      <c r="J2223" s="1" t="str">
        <f>"33/33"</f>
        <v>33/33</v>
      </c>
      <c r="K2223" s="1" t="str">
        <f>"2026-07-29 14:21:11"</f>
        <v>2026-07-29 14:21:11</v>
      </c>
      <c r="L2223" s="1" t="str">
        <f>"2024-01-08 11:24:17"</f>
        <v>2024-01-08 11:24:17</v>
      </c>
      <c r="M2223" s="1" t="s">
        <v>45</v>
      </c>
      <c r="N2223" s="1" t="s">
        <v>38</v>
      </c>
      <c r="O2223" s="1" t="s">
        <v>46</v>
      </c>
    </row>
    <row r="2224" spans="2:15" x14ac:dyDescent="0.3">
      <c r="B2224" s="1" t="s">
        <v>24</v>
      </c>
      <c r="C2224" s="1" t="str">
        <f t="shared" si="125"/>
        <v>5-2차</v>
      </c>
      <c r="D2224" s="1" t="str">
        <f>"0427H5925M"</f>
        <v>0427H5925M</v>
      </c>
      <c r="E2224" s="1" t="s">
        <v>10</v>
      </c>
      <c r="F2224" s="1" t="str">
        <f>"fde3:102:1430:8400:0:0:0:20"</f>
        <v>fde3:102:1430:8400:0:0:0:20</v>
      </c>
      <c r="G2224" s="1" t="str">
        <f>"0427H592"</f>
        <v>0427H592</v>
      </c>
      <c r="H2224" s="1" t="str">
        <f>"우일간 61L2L6"</f>
        <v>우일간 61L2L6</v>
      </c>
      <c r="I2224" s="1" t="s">
        <v>15</v>
      </c>
      <c r="J2224" s="1" t="str">
        <f>"86/87"</f>
        <v>86/87</v>
      </c>
      <c r="K2224" s="1" t="str">
        <f>"2026-07-29 14:20:54"</f>
        <v>2026-07-29 14:20:54</v>
      </c>
      <c r="L2224" s="1" t="str">
        <f>"2023-08-26 07:18:44"</f>
        <v>2023-08-26 07:18:44</v>
      </c>
      <c r="M2224" s="1" t="s">
        <v>45</v>
      </c>
      <c r="N2224" s="1" t="s">
        <v>38</v>
      </c>
      <c r="O2224" s="1" t="s">
        <v>46</v>
      </c>
    </row>
    <row r="2225" spans="2:15" x14ac:dyDescent="0.3">
      <c r="B2225" s="1" t="s">
        <v>24</v>
      </c>
      <c r="C2225" s="1" t="str">
        <f t="shared" si="125"/>
        <v>5-2차</v>
      </c>
      <c r="D2225" s="1" t="str">
        <f>"0427H6435S"</f>
        <v>0427H6435S</v>
      </c>
      <c r="E2225" s="1" t="s">
        <v>10</v>
      </c>
      <c r="F2225" s="1" t="str">
        <f>"fde3:102:1430:8400:0:0:0:27"</f>
        <v>fde3:102:1430:8400:0:0:0:27</v>
      </c>
      <c r="G2225" s="1" t="str">
        <f>"0427H643"</f>
        <v>0427H643</v>
      </c>
      <c r="H2225" s="1" t="str">
        <f>"휘창간 32R10R1"</f>
        <v>휘창간 32R10R1</v>
      </c>
      <c r="I2225" s="1" t="s">
        <v>15</v>
      </c>
      <c r="J2225" s="1" t="str">
        <f>"90/91"</f>
        <v>90/91</v>
      </c>
      <c r="K2225" s="1" t="str">
        <f>"2026-07-29 14:20:57"</f>
        <v>2026-07-29 14:20:57</v>
      </c>
      <c r="L2225" s="1" t="str">
        <f>"2023-08-24 11:20:34"</f>
        <v>2023-08-24 11:20:34</v>
      </c>
      <c r="M2225" s="1" t="s">
        <v>45</v>
      </c>
      <c r="N2225" s="1" t="s">
        <v>38</v>
      </c>
      <c r="O2225" s="1" t="s">
        <v>46</v>
      </c>
    </row>
    <row r="2226" spans="2:15" x14ac:dyDescent="0.3">
      <c r="B2226" s="1" t="s">
        <v>24</v>
      </c>
      <c r="C2226" s="1" t="str">
        <f t="shared" si="125"/>
        <v>5-2차</v>
      </c>
      <c r="D2226" s="1" t="str">
        <f>"0427H6525M"</f>
        <v>0427H6525M</v>
      </c>
      <c r="E2226" s="1" t="s">
        <v>10</v>
      </c>
      <c r="F2226" s="1" t="str">
        <f>"fde1:103:4:93b7:0:0:0:2"</f>
        <v>fde1:103:4:93b7:0:0:0:2</v>
      </c>
      <c r="G2226" s="1" t="str">
        <f>"0427H652"</f>
        <v>0427H652</v>
      </c>
      <c r="H2226" s="1" t="str">
        <f>"우일간 61L9"</f>
        <v>우일간 61L9</v>
      </c>
      <c r="I2226" s="1" t="s">
        <v>15</v>
      </c>
      <c r="J2226" s="1" t="str">
        <f>"106/106"</f>
        <v>106/106</v>
      </c>
      <c r="K2226" s="1" t="str">
        <f>"2026-07-29 14:20:58"</f>
        <v>2026-07-29 14:20:58</v>
      </c>
      <c r="L2226" s="1" t="str">
        <f>"2023-12-18 14:12:24"</f>
        <v>2023-12-18 14:12:24</v>
      </c>
      <c r="M2226" s="1" t="s">
        <v>4</v>
      </c>
      <c r="N2226" s="1" t="s">
        <v>38</v>
      </c>
      <c r="O2226" s="1" t="s">
        <v>46</v>
      </c>
    </row>
    <row r="2227" spans="2:15" x14ac:dyDescent="0.3">
      <c r="B2227" s="1" t="s">
        <v>24</v>
      </c>
      <c r="C2227" s="1" t="str">
        <f t="shared" si="125"/>
        <v>5-2차</v>
      </c>
      <c r="D2227" s="1" t="str">
        <f>"0427H6615S"</f>
        <v>0427H6615S</v>
      </c>
      <c r="E2227" s="1" t="s">
        <v>10</v>
      </c>
      <c r="F2227" s="1" t="str">
        <f>"fde1:103:4:92b8:0:0:0:2"</f>
        <v>fde1:103:4:92b8:0:0:0:2</v>
      </c>
      <c r="G2227" s="1" t="str">
        <f>"0427H661"</f>
        <v>0427H661</v>
      </c>
      <c r="H2227" s="1" t="str">
        <f>"우일간 61L8"</f>
        <v>우일간 61L8</v>
      </c>
      <c r="I2227" s="1" t="s">
        <v>15</v>
      </c>
      <c r="J2227" s="1" t="str">
        <f>"35/35"</f>
        <v>35/35</v>
      </c>
      <c r="K2227" s="1" t="str">
        <f>"2026-07-29 14:20:58"</f>
        <v>2026-07-29 14:20:58</v>
      </c>
      <c r="L2227" s="1" t="str">
        <f>"2024-01-15 17:18:58"</f>
        <v>2024-01-15 17:18:58</v>
      </c>
      <c r="M2227" s="1" t="s">
        <v>4</v>
      </c>
      <c r="N2227" s="1" t="s">
        <v>38</v>
      </c>
      <c r="O2227" s="1" t="s">
        <v>46</v>
      </c>
    </row>
    <row r="2228" spans="2:15" x14ac:dyDescent="0.3">
      <c r="B2228" s="1" t="s">
        <v>24</v>
      </c>
      <c r="C2228" s="1" t="str">
        <f>"5-1차"</f>
        <v>5-1차</v>
      </c>
      <c r="D2228" s="1" t="str">
        <f>"0427H7035S"</f>
        <v>0427H7035S</v>
      </c>
      <c r="E2228" s="1" t="s">
        <v>10</v>
      </c>
      <c r="F2228" s="1" t="str">
        <f>"fde2:104:0:127:0:0:0:2"</f>
        <v>fde2:104:0:127:0:0:0:2</v>
      </c>
      <c r="G2228" s="1" t="str">
        <f>"0427H703"</f>
        <v>0427H703</v>
      </c>
      <c r="H2228" s="1" t="str">
        <f>"서일간 39L3"</f>
        <v>서일간 39L3</v>
      </c>
      <c r="I2228" s="1" t="s">
        <v>15</v>
      </c>
      <c r="J2228" s="1" t="str">
        <f>"15/15"</f>
        <v>15/15</v>
      </c>
      <c r="K2228" s="1" t="str">
        <f>"2026-07-29 14:20:59"</f>
        <v>2026-07-29 14:20:59</v>
      </c>
      <c r="L2228" s="1" t="str">
        <f>"2022-09-30 11:37:10"</f>
        <v>2022-09-30 11:37:10</v>
      </c>
      <c r="M2228" s="1" t="s">
        <v>42</v>
      </c>
      <c r="N2228" s="1" t="s">
        <v>38</v>
      </c>
      <c r="O2228" s="1" t="s">
        <v>46</v>
      </c>
    </row>
    <row r="2229" spans="2:15" x14ac:dyDescent="0.3">
      <c r="B2229" s="1" t="s">
        <v>24</v>
      </c>
      <c r="C2229" s="1" t="str">
        <f>"5-2차"</f>
        <v>5-2차</v>
      </c>
      <c r="D2229" s="1" t="str">
        <f>"0427H7115M"</f>
        <v>0427H7115M</v>
      </c>
      <c r="E2229" s="1" t="s">
        <v>14</v>
      </c>
      <c r="F2229" s="1" t="str">
        <f>"fde3:102:1430:8400:0:0:0:22"</f>
        <v>fde3:102:1430:8400:0:0:0:22</v>
      </c>
      <c r="G2229" s="1" t="str">
        <f>"0427H711"</f>
        <v>0427H711</v>
      </c>
      <c r="H2229" s="1" t="str">
        <f>"우일간 76R1"</f>
        <v>우일간 76R1</v>
      </c>
      <c r="I2229" s="1" t="s">
        <v>15</v>
      </c>
      <c r="J2229" s="1" t="str">
        <f>"0/0"</f>
        <v>0/0</v>
      </c>
      <c r="K2229" s="1" t="str">
        <f>"2026-07-29 14:20:57"</f>
        <v>2026-07-29 14:20:57</v>
      </c>
      <c r="L2229" s="1" t="str">
        <f>"2023-08-26 06:46:09"</f>
        <v>2023-08-26 06:46:09</v>
      </c>
      <c r="M2229" s="1" t="s">
        <v>45</v>
      </c>
      <c r="N2229" s="1" t="s">
        <v>38</v>
      </c>
      <c r="O2229" s="1" t="s">
        <v>797</v>
      </c>
    </row>
    <row r="2230" spans="2:15" x14ac:dyDescent="0.3">
      <c r="B2230" s="1" t="s">
        <v>24</v>
      </c>
      <c r="C2230" s="1" t="str">
        <f>"5-1차"</f>
        <v>5-1차</v>
      </c>
      <c r="D2230" s="1" t="str">
        <f>"0427H7225M"</f>
        <v>0427H7225M</v>
      </c>
      <c r="E2230" s="1" t="s">
        <v>10</v>
      </c>
      <c r="F2230" s="1" t="str">
        <f>"fde3:102:1430:8400:0:0:0:2"</f>
        <v>fde3:102:1430:8400:0:0:0:2</v>
      </c>
      <c r="G2230" s="1" t="str">
        <f>"0427H722"</f>
        <v>0427H722</v>
      </c>
      <c r="H2230" s="1" t="str">
        <f>"우일간 76B1"</f>
        <v>우일간 76B1</v>
      </c>
      <c r="I2230" s="1" t="s">
        <v>15</v>
      </c>
      <c r="J2230" s="1" t="str">
        <f>"40/40"</f>
        <v>40/40</v>
      </c>
      <c r="K2230" s="1" t="str">
        <f>"2026-07-29 14:20:36"</f>
        <v>2026-07-29 14:20:36</v>
      </c>
      <c r="L2230" s="1" t="str">
        <f>"2022-10-28 11:30:40"</f>
        <v>2022-10-28 11:30:40</v>
      </c>
      <c r="M2230" s="1" t="s">
        <v>45</v>
      </c>
      <c r="N2230" s="1" t="s">
        <v>38</v>
      </c>
      <c r="O2230" s="1" t="s">
        <v>46</v>
      </c>
    </row>
    <row r="2231" spans="2:15" x14ac:dyDescent="0.3">
      <c r="B2231" s="1" t="s">
        <v>24</v>
      </c>
      <c r="C2231" s="1" t="str">
        <f t="shared" ref="C2231:C2243" si="126">"5-2차"</f>
        <v>5-2차</v>
      </c>
      <c r="D2231" s="1" t="str">
        <f>"0427H7515M"</f>
        <v>0427H7515M</v>
      </c>
      <c r="E2231" s="1" t="s">
        <v>10</v>
      </c>
      <c r="F2231" s="1" t="str">
        <f>"fde3:102:1430:8400:0:0:0:28"</f>
        <v>fde3:102:1430:8400:0:0:0:28</v>
      </c>
      <c r="G2231" s="1" t="str">
        <f>"0427H751"</f>
        <v>0427H751</v>
      </c>
      <c r="H2231" s="1" t="str">
        <f>"우일간 61L10"</f>
        <v>우일간 61L10</v>
      </c>
      <c r="I2231" s="1" t="s">
        <v>15</v>
      </c>
      <c r="J2231" s="1" t="str">
        <f>"129/129"</f>
        <v>129/129</v>
      </c>
      <c r="K2231" s="1" t="str">
        <f>"2026-07-29 14:20:57"</f>
        <v>2026-07-29 14:20:57</v>
      </c>
      <c r="L2231" s="1" t="str">
        <f>"2023-10-05 15:02:11"</f>
        <v>2023-10-05 15:02:11</v>
      </c>
      <c r="M2231" s="1" t="s">
        <v>45</v>
      </c>
      <c r="N2231" s="1" t="s">
        <v>38</v>
      </c>
      <c r="O2231" s="1" t="s">
        <v>46</v>
      </c>
    </row>
    <row r="2232" spans="2:15" x14ac:dyDescent="0.3">
      <c r="B2232" s="1" t="s">
        <v>24</v>
      </c>
      <c r="C2232" s="1" t="str">
        <f t="shared" si="126"/>
        <v>5-2차</v>
      </c>
      <c r="D2232" s="1" t="str">
        <f>"0427H7935S"</f>
        <v>0427H7935S</v>
      </c>
      <c r="E2232" s="1" t="s">
        <v>10</v>
      </c>
      <c r="F2232" s="1" t="str">
        <f>"fde3:102:1430:8400:0:0:0:10"</f>
        <v>fde3:102:1430:8400:0:0:0:10</v>
      </c>
      <c r="G2232" s="1" t="str">
        <f>"0427H793"</f>
        <v>0427H793</v>
      </c>
      <c r="H2232" s="1" t="str">
        <f>"우일간 52L6"</f>
        <v>우일간 52L6</v>
      </c>
      <c r="I2232" s="1" t="s">
        <v>15</v>
      </c>
      <c r="J2232" s="1" t="str">
        <f>"48/48"</f>
        <v>48/48</v>
      </c>
      <c r="K2232" s="1" t="str">
        <f>"2026-07-29 14:20:59"</f>
        <v>2026-07-29 14:20:59</v>
      </c>
      <c r="L2232" s="1" t="str">
        <f>"2023-08-22 12:09:42"</f>
        <v>2023-08-22 12:09:42</v>
      </c>
      <c r="M2232" s="1" t="s">
        <v>45</v>
      </c>
      <c r="N2232" s="1" t="s">
        <v>38</v>
      </c>
      <c r="O2232" s="1" t="s">
        <v>46</v>
      </c>
    </row>
    <row r="2233" spans="2:15" x14ac:dyDescent="0.3">
      <c r="B2233" s="1" t="s">
        <v>24</v>
      </c>
      <c r="C2233" s="1" t="str">
        <f t="shared" si="126"/>
        <v>5-2차</v>
      </c>
      <c r="D2233" s="1" t="str">
        <f>"0427H8115S"</f>
        <v>0427H8115S</v>
      </c>
      <c r="E2233" s="1" t="s">
        <v>10</v>
      </c>
      <c r="F2233" s="1" t="str">
        <f>"fde3:102:1430:8400:0:0:0:2e"</f>
        <v>fde3:102:1430:8400:0:0:0:2e</v>
      </c>
      <c r="G2233" s="1" t="str">
        <f>"0427H811"</f>
        <v>0427H811</v>
      </c>
      <c r="H2233" s="1" t="str">
        <f>"우일간 77"</f>
        <v>우일간 77</v>
      </c>
      <c r="I2233" s="1" t="s">
        <v>15</v>
      </c>
      <c r="J2233" s="1" t="str">
        <f>"24/24"</f>
        <v>24/24</v>
      </c>
      <c r="K2233" s="1" t="str">
        <f>"2026-07-29 14:20:57"</f>
        <v>2026-07-29 14:20:57</v>
      </c>
      <c r="L2233" s="1" t="str">
        <f>"2024-01-05 09:28:05"</f>
        <v>2024-01-05 09:28:05</v>
      </c>
      <c r="M2233" s="1" t="s">
        <v>45</v>
      </c>
      <c r="N2233" s="1" t="s">
        <v>38</v>
      </c>
      <c r="O2233" s="1" t="s">
        <v>46</v>
      </c>
    </row>
    <row r="2234" spans="2:15" x14ac:dyDescent="0.3">
      <c r="B2234" s="1" t="s">
        <v>24</v>
      </c>
      <c r="C2234" s="1" t="str">
        <f t="shared" si="126"/>
        <v>5-2차</v>
      </c>
      <c r="D2234" s="1" t="str">
        <f>"0427H8415M"</f>
        <v>0427H8415M</v>
      </c>
      <c r="E2234" s="1" t="s">
        <v>10</v>
      </c>
      <c r="F2234" s="1" t="str">
        <f>"fde3:102:1430:8400:0:0:0:26"</f>
        <v>fde3:102:1430:8400:0:0:0:26</v>
      </c>
      <c r="G2234" s="1" t="str">
        <f>"0427H841"</f>
        <v>0427H841</v>
      </c>
      <c r="H2234" s="1" t="str">
        <f>"우일간 61L12"</f>
        <v>우일간 61L12</v>
      </c>
      <c r="I2234" s="1" t="s">
        <v>15</v>
      </c>
      <c r="J2234" s="1" t="str">
        <f>"132/133"</f>
        <v>132/133</v>
      </c>
      <c r="K2234" s="1" t="str">
        <f>"2026-07-29 14:20:58"</f>
        <v>2026-07-29 14:20:58</v>
      </c>
      <c r="L2234" s="1" t="str">
        <f>"2023-08-22 09:58:54"</f>
        <v>2023-08-22 09:58:54</v>
      </c>
      <c r="M2234" s="1" t="s">
        <v>45</v>
      </c>
      <c r="N2234" s="1" t="s">
        <v>38</v>
      </c>
      <c r="O2234" s="1" t="s">
        <v>46</v>
      </c>
    </row>
    <row r="2235" spans="2:15" x14ac:dyDescent="0.3">
      <c r="B2235" s="1" t="s">
        <v>24</v>
      </c>
      <c r="C2235" s="1" t="str">
        <f t="shared" si="126"/>
        <v>5-2차</v>
      </c>
      <c r="D2235" s="1" t="str">
        <f>"0427H8515M"</f>
        <v>0427H8515M</v>
      </c>
      <c r="E2235" s="1" t="s">
        <v>10</v>
      </c>
      <c r="F2235" s="1" t="str">
        <f>"fde3:102:1430:8400:0:0:0:25"</f>
        <v>fde3:102:1430:8400:0:0:0:25</v>
      </c>
      <c r="G2235" s="1" t="str">
        <f>"0427H851"</f>
        <v>0427H851</v>
      </c>
      <c r="H2235" s="1" t="str">
        <f>"우일간 61L12L2"</f>
        <v>우일간 61L12L2</v>
      </c>
      <c r="I2235" s="1" t="s">
        <v>15</v>
      </c>
      <c r="J2235" s="1" t="str">
        <f>"62/62"</f>
        <v>62/62</v>
      </c>
      <c r="K2235" s="1" t="str">
        <f>"2026-07-29 14:20:58"</f>
        <v>2026-07-29 14:20:58</v>
      </c>
      <c r="L2235" s="1" t="str">
        <f>"2023-08-21 17:56:54"</f>
        <v>2023-08-21 17:56:54</v>
      </c>
      <c r="M2235" s="1" t="s">
        <v>45</v>
      </c>
      <c r="N2235" s="1" t="s">
        <v>38</v>
      </c>
      <c r="O2235" s="1" t="s">
        <v>46</v>
      </c>
    </row>
    <row r="2236" spans="2:15" x14ac:dyDescent="0.3">
      <c r="B2236" s="1" t="s">
        <v>24</v>
      </c>
      <c r="C2236" s="1" t="str">
        <f t="shared" si="126"/>
        <v>5-2차</v>
      </c>
      <c r="D2236" s="1" t="str">
        <f>"0427H8625M"</f>
        <v>0427H8625M</v>
      </c>
      <c r="E2236" s="1" t="s">
        <v>10</v>
      </c>
      <c r="F2236" s="1" t="str">
        <f>"fde3:102:1430:8400:0:0:0:a"</f>
        <v>fde3:102:1430:8400:0:0:0:a</v>
      </c>
      <c r="G2236" s="1" t="str">
        <f>"0427H862"</f>
        <v>0427H862</v>
      </c>
      <c r="H2236" s="1" t="str">
        <f>"우일간 46L16R1"</f>
        <v>우일간 46L16R1</v>
      </c>
      <c r="I2236" s="1" t="s">
        <v>15</v>
      </c>
      <c r="J2236" s="1" t="str">
        <f>"34/34"</f>
        <v>34/34</v>
      </c>
      <c r="K2236" s="1" t="str">
        <f>"2026-07-29 14:20:58"</f>
        <v>2026-07-29 14:20:58</v>
      </c>
      <c r="L2236" s="1" t="str">
        <f>"2023-08-18 06:50:04"</f>
        <v>2023-08-18 06:50:04</v>
      </c>
      <c r="M2236" s="1" t="s">
        <v>45</v>
      </c>
      <c r="N2236" s="1" t="s">
        <v>38</v>
      </c>
      <c r="O2236" s="1" t="s">
        <v>46</v>
      </c>
    </row>
    <row r="2237" spans="2:15" x14ac:dyDescent="0.3">
      <c r="B2237" s="1" t="s">
        <v>24</v>
      </c>
      <c r="C2237" s="1" t="str">
        <f t="shared" si="126"/>
        <v>5-2차</v>
      </c>
      <c r="D2237" s="1" t="str">
        <f>"0427H8815S"</f>
        <v>0427H8815S</v>
      </c>
      <c r="E2237" s="1" t="s">
        <v>10</v>
      </c>
      <c r="F2237" s="1" t="str">
        <f>"fde3:102:1430:8400:0:0:0:b"</f>
        <v>fde3:102:1430:8400:0:0:0:b</v>
      </c>
      <c r="G2237" s="1" t="str">
        <f>"0427H881"</f>
        <v>0427H881</v>
      </c>
      <c r="H2237" s="1" t="str">
        <f>"우일간 46L13"</f>
        <v>우일간 46L13</v>
      </c>
      <c r="I2237" s="1" t="s">
        <v>15</v>
      </c>
      <c r="J2237" s="1" t="str">
        <f>"77/80"</f>
        <v>77/80</v>
      </c>
      <c r="K2237" s="1" t="str">
        <f>"2026-07-29 14:20:55"</f>
        <v>2026-07-29 14:20:55</v>
      </c>
      <c r="L2237" s="1" t="str">
        <f>"2023-10-16 10:24:36"</f>
        <v>2023-10-16 10:24:36</v>
      </c>
      <c r="M2237" s="1" t="s">
        <v>45</v>
      </c>
      <c r="N2237" s="1" t="s">
        <v>38</v>
      </c>
      <c r="O2237" s="1" t="s">
        <v>46</v>
      </c>
    </row>
    <row r="2238" spans="2:15" x14ac:dyDescent="0.3">
      <c r="B2238" s="1" t="s">
        <v>24</v>
      </c>
      <c r="C2238" s="1" t="str">
        <f t="shared" si="126"/>
        <v>5-2차</v>
      </c>
      <c r="D2238" s="1" t="str">
        <f>"0427H8845M"</f>
        <v>0427H8845M</v>
      </c>
      <c r="E2238" s="1" t="s">
        <v>10</v>
      </c>
      <c r="F2238" s="1" t="str">
        <f>"fde3:102:1430:6100:0:0:0:16"</f>
        <v>fde3:102:1430:6100:0:0:0:16</v>
      </c>
      <c r="G2238" s="1" t="str">
        <f>"0427H884"</f>
        <v>0427H884</v>
      </c>
      <c r="H2238" s="1" t="str">
        <f>"우일간 46L12"</f>
        <v>우일간 46L12</v>
      </c>
      <c r="I2238" s="1" t="s">
        <v>15</v>
      </c>
      <c r="J2238" s="1" t="str">
        <f>"33/33"</f>
        <v>33/33</v>
      </c>
      <c r="K2238" s="1" t="str">
        <f>"2026-07-29 14:20:58"</f>
        <v>2026-07-29 14:20:58</v>
      </c>
      <c r="L2238" s="1" t="str">
        <f>"2023-08-18 09:21:23"</f>
        <v>2023-08-18 09:21:23</v>
      </c>
      <c r="M2238" s="1" t="s">
        <v>45</v>
      </c>
      <c r="N2238" s="1" t="s">
        <v>38</v>
      </c>
      <c r="O2238" s="1" t="s">
        <v>46</v>
      </c>
    </row>
    <row r="2239" spans="2:15" x14ac:dyDescent="0.3">
      <c r="B2239" s="1" t="s">
        <v>24</v>
      </c>
      <c r="C2239" s="1" t="str">
        <f t="shared" si="126"/>
        <v>5-2차</v>
      </c>
      <c r="D2239" s="1" t="str">
        <f>"0427H8915M"</f>
        <v>0427H8915M</v>
      </c>
      <c r="E2239" s="1" t="s">
        <v>10</v>
      </c>
      <c r="F2239" s="1" t="str">
        <f>"fde3:102:1430:8400:0:0:0:c"</f>
        <v>fde3:102:1430:8400:0:0:0:c</v>
      </c>
      <c r="G2239" s="1" t="str">
        <f>"0427H891"</f>
        <v>0427H891</v>
      </c>
      <c r="H2239" s="1" t="str">
        <f>"우일간 46L11"</f>
        <v>우일간 46L11</v>
      </c>
      <c r="I2239" s="1" t="s">
        <v>15</v>
      </c>
      <c r="J2239" s="1" t="str">
        <f>"48/48"</f>
        <v>48/48</v>
      </c>
      <c r="K2239" s="1" t="str">
        <f>"2026-07-29 14:20:58"</f>
        <v>2026-07-29 14:20:58</v>
      </c>
      <c r="L2239" s="1" t="str">
        <f>"2023-08-19 14:08:47"</f>
        <v>2023-08-19 14:08:47</v>
      </c>
      <c r="M2239" s="1" t="s">
        <v>45</v>
      </c>
      <c r="N2239" s="1" t="s">
        <v>38</v>
      </c>
      <c r="O2239" s="1" t="s">
        <v>46</v>
      </c>
    </row>
    <row r="2240" spans="2:15" x14ac:dyDescent="0.3">
      <c r="B2240" s="1" t="s">
        <v>24</v>
      </c>
      <c r="C2240" s="1" t="str">
        <f t="shared" si="126"/>
        <v>5-2차</v>
      </c>
      <c r="D2240" s="1" t="str">
        <f>"0427H9315S"</f>
        <v>0427H9315S</v>
      </c>
      <c r="E2240" s="1" t="s">
        <v>10</v>
      </c>
      <c r="F2240" s="1" t="str">
        <f>"fde3:102:1430:8400:0:0:0:24"</f>
        <v>fde3:102:1430:8400:0:0:0:24</v>
      </c>
      <c r="G2240" s="1" t="str">
        <f>"0427H931"</f>
        <v>0427H931</v>
      </c>
      <c r="H2240" s="1" t="str">
        <f>"우일간 61L14R1"</f>
        <v>우일간 61L14R1</v>
      </c>
      <c r="I2240" s="1" t="s">
        <v>15</v>
      </c>
      <c r="J2240" s="1" t="str">
        <f>"53/53"</f>
        <v>53/53</v>
      </c>
      <c r="K2240" s="1" t="str">
        <f>"2026-07-29 14:20:58"</f>
        <v>2026-07-29 14:20:58</v>
      </c>
      <c r="L2240" s="1" t="str">
        <f>"2023-08-22 11:20:21"</f>
        <v>2023-08-22 11:20:21</v>
      </c>
      <c r="M2240" s="1" t="s">
        <v>45</v>
      </c>
      <c r="N2240" s="1" t="s">
        <v>38</v>
      </c>
      <c r="O2240" s="1" t="s">
        <v>46</v>
      </c>
    </row>
    <row r="2241" spans="2:15" x14ac:dyDescent="0.3">
      <c r="B2241" s="1" t="s">
        <v>24</v>
      </c>
      <c r="C2241" s="1" t="str">
        <f t="shared" si="126"/>
        <v>5-2차</v>
      </c>
      <c r="D2241" s="1" t="str">
        <f>"0427H9515S"</f>
        <v>0427H9515S</v>
      </c>
      <c r="E2241" s="1" t="s">
        <v>10</v>
      </c>
      <c r="F2241" s="1" t="str">
        <f>"fde3:102:1430:8400:0:0:0:23"</f>
        <v>fde3:102:1430:8400:0:0:0:23</v>
      </c>
      <c r="G2241" s="1" t="str">
        <f>"0427H951"</f>
        <v>0427H951</v>
      </c>
      <c r="H2241" s="1" t="str">
        <f>"우일간 61L14L1"</f>
        <v>우일간 61L14L1</v>
      </c>
      <c r="I2241" s="1" t="s">
        <v>15</v>
      </c>
      <c r="J2241" s="1" t="str">
        <f>"44/44"</f>
        <v>44/44</v>
      </c>
      <c r="K2241" s="1" t="str">
        <f>"2026-07-29 14:21:01"</f>
        <v>2026-07-29 14:21:01</v>
      </c>
      <c r="L2241" s="1" t="str">
        <f>"2023-08-22 10:33:27"</f>
        <v>2023-08-22 10:33:27</v>
      </c>
      <c r="M2241" s="1" t="s">
        <v>45</v>
      </c>
      <c r="N2241" s="1" t="s">
        <v>38</v>
      </c>
      <c r="O2241" s="1" t="s">
        <v>46</v>
      </c>
    </row>
    <row r="2242" spans="2:15" x14ac:dyDescent="0.3">
      <c r="B2242" s="1" t="s">
        <v>24</v>
      </c>
      <c r="C2242" s="1" t="str">
        <f t="shared" si="126"/>
        <v>5-2차</v>
      </c>
      <c r="D2242" s="1" t="str">
        <f>"0427H9635M"</f>
        <v>0427H9635M</v>
      </c>
      <c r="E2242" s="1" t="s">
        <v>10</v>
      </c>
      <c r="F2242" s="1" t="str">
        <f>"fde1:103:4:930e:0:0:0:2"</f>
        <v>fde1:103:4:930e:0:0:0:2</v>
      </c>
      <c r="G2242" s="1" t="str">
        <f>"0427H963"</f>
        <v>0427H963</v>
      </c>
      <c r="H2242" s="1" t="str">
        <f>"우일간 46L17"</f>
        <v>우일간 46L17</v>
      </c>
      <c r="I2242" s="1" t="s">
        <v>15</v>
      </c>
      <c r="J2242" s="1" t="str">
        <f>"77/77"</f>
        <v>77/77</v>
      </c>
      <c r="K2242" s="1" t="str">
        <f>"2026-07-29 14:21:17"</f>
        <v>2026-07-29 14:21:17</v>
      </c>
      <c r="L2242" s="1" t="str">
        <f>"2023-12-18 14:20:04"</f>
        <v>2023-12-18 14:20:04</v>
      </c>
      <c r="M2242" s="1" t="s">
        <v>4</v>
      </c>
      <c r="N2242" s="1" t="s">
        <v>38</v>
      </c>
      <c r="O2242" s="1" t="s">
        <v>46</v>
      </c>
    </row>
    <row r="2243" spans="2:15" x14ac:dyDescent="0.3">
      <c r="B2243" s="1" t="s">
        <v>24</v>
      </c>
      <c r="C2243" s="1" t="str">
        <f t="shared" si="126"/>
        <v>5-2차</v>
      </c>
      <c r="D2243" s="1" t="str">
        <f>"0427H9915S"</f>
        <v>0427H9915S</v>
      </c>
      <c r="E2243" s="1" t="s">
        <v>10</v>
      </c>
      <c r="F2243" s="1" t="str">
        <f>"fde3:102:1430:8400:0:0:0:5"</f>
        <v>fde3:102:1430:8400:0:0:0:5</v>
      </c>
      <c r="G2243" s="1" t="str">
        <f>"0427H991"</f>
        <v>0427H991</v>
      </c>
      <c r="H2243" s="1" t="str">
        <f>"우일간 46L23"</f>
        <v>우일간 46L23</v>
      </c>
      <c r="I2243" s="1" t="s">
        <v>15</v>
      </c>
      <c r="J2243" s="1" t="str">
        <f>"48/48"</f>
        <v>48/48</v>
      </c>
      <c r="K2243" s="1" t="str">
        <f>"2026-07-29 14:20:55"</f>
        <v>2026-07-29 14:20:55</v>
      </c>
      <c r="L2243" s="1" t="str">
        <f>"2023-08-19 07:39:45"</f>
        <v>2023-08-19 07:39:45</v>
      </c>
      <c r="M2243" s="1" t="s">
        <v>45</v>
      </c>
      <c r="N2243" s="1" t="s">
        <v>38</v>
      </c>
      <c r="O2243" s="1" t="s">
        <v>46</v>
      </c>
    </row>
    <row r="2244" spans="2:15" x14ac:dyDescent="0.3">
      <c r="B2244" s="1" t="s">
        <v>24</v>
      </c>
      <c r="C2244" s="1" t="str">
        <f t="shared" ref="C2244:C2266" si="127">"4차"</f>
        <v>4차</v>
      </c>
      <c r="D2244" s="1" t="str">
        <f>"0427P00244"</f>
        <v>0427P00244</v>
      </c>
      <c r="E2244" s="1" t="s">
        <v>10</v>
      </c>
      <c r="F2244" s="1" t="str">
        <f>"10.10.116.98"</f>
        <v>10.10.116.98</v>
      </c>
      <c r="G2244" s="1" t="str">
        <f>"0427P002"</f>
        <v>0427P002</v>
      </c>
      <c r="H2244" s="1" t="str">
        <f>"면현지 2R8"</f>
        <v>면현지 2R8</v>
      </c>
      <c r="I2244" s="1" t="s">
        <v>8</v>
      </c>
      <c r="J2244" s="1" t="str">
        <f>"15/15"</f>
        <v>15/15</v>
      </c>
      <c r="K2244" s="1" t="str">
        <f t="shared" ref="K2244:K2250" si="128">"2026-07-29 13:18:03"</f>
        <v>2026-07-29 13:18:03</v>
      </c>
      <c r="L2244" s="1" t="str">
        <f>"2019-09-23 10:33:04"</f>
        <v>2019-09-23 10:33:04</v>
      </c>
      <c r="M2244" s="1" t="s">
        <v>1</v>
      </c>
      <c r="N2244" s="1" t="s">
        <v>38</v>
      </c>
      <c r="O2244" s="1" t="s">
        <v>46</v>
      </c>
    </row>
    <row r="2245" spans="2:15" x14ac:dyDescent="0.3">
      <c r="B2245" s="1" t="s">
        <v>24</v>
      </c>
      <c r="C2245" s="1" t="str">
        <f t="shared" si="127"/>
        <v>4차</v>
      </c>
      <c r="D2245" s="1" t="str">
        <f>"0427P01144"</f>
        <v>0427P01144</v>
      </c>
      <c r="E2245" s="1" t="s">
        <v>10</v>
      </c>
      <c r="F2245" s="1" t="str">
        <f>"10.10.57.114"</f>
        <v>10.10.57.114</v>
      </c>
      <c r="G2245" s="1" t="str">
        <f>"0427P011"</f>
        <v>0427P011</v>
      </c>
      <c r="H2245" s="1" t="str">
        <f>"면현지 2R7"</f>
        <v>면현지 2R7</v>
      </c>
      <c r="I2245" s="1" t="s">
        <v>8</v>
      </c>
      <c r="J2245" s="1" t="str">
        <f>"57/57"</f>
        <v>57/57</v>
      </c>
      <c r="K2245" s="1" t="str">
        <f t="shared" si="128"/>
        <v>2026-07-29 13:18:03</v>
      </c>
      <c r="L2245" s="1" t="str">
        <f>"2019-09-23 10:16:27"</f>
        <v>2019-09-23 10:16:27</v>
      </c>
      <c r="M2245" s="1" t="s">
        <v>1</v>
      </c>
      <c r="N2245" s="1" t="s">
        <v>38</v>
      </c>
      <c r="O2245" s="1" t="s">
        <v>46</v>
      </c>
    </row>
    <row r="2246" spans="2:15" x14ac:dyDescent="0.3">
      <c r="B2246" s="1" t="s">
        <v>24</v>
      </c>
      <c r="C2246" s="1" t="str">
        <f t="shared" si="127"/>
        <v>4차</v>
      </c>
      <c r="D2246" s="1" t="str">
        <f>"0427P07444"</f>
        <v>0427P07444</v>
      </c>
      <c r="E2246" s="1" t="s">
        <v>10</v>
      </c>
      <c r="F2246" s="1" t="str">
        <f>"10.10.53.202"</f>
        <v>10.10.53.202</v>
      </c>
      <c r="G2246" s="1" t="str">
        <f>"0427P074"</f>
        <v>0427P074</v>
      </c>
      <c r="H2246" s="1" t="str">
        <f>"면천간 30"</f>
        <v>면천간 30</v>
      </c>
      <c r="I2246" s="1" t="s">
        <v>8</v>
      </c>
      <c r="J2246" s="1" t="str">
        <f>"35/35"</f>
        <v>35/35</v>
      </c>
      <c r="K2246" s="1" t="str">
        <f t="shared" si="128"/>
        <v>2026-07-29 13:18:03</v>
      </c>
      <c r="L2246" s="1" t="str">
        <f>"2019-10-18 18:41:39"</f>
        <v>2019-10-18 18:41:39</v>
      </c>
      <c r="M2246" s="1" t="s">
        <v>1</v>
      </c>
      <c r="N2246" s="1" t="s">
        <v>38</v>
      </c>
      <c r="O2246" s="1" t="s">
        <v>46</v>
      </c>
    </row>
    <row r="2247" spans="2:15" x14ac:dyDescent="0.3">
      <c r="B2247" s="1" t="s">
        <v>24</v>
      </c>
      <c r="C2247" s="1" t="str">
        <f t="shared" si="127"/>
        <v>4차</v>
      </c>
      <c r="D2247" s="1" t="str">
        <f>"0427P09144"</f>
        <v>0427P09144</v>
      </c>
      <c r="E2247" s="1" t="s">
        <v>10</v>
      </c>
      <c r="F2247" s="1" t="str">
        <f>"10.10.53.178"</f>
        <v>10.10.53.178</v>
      </c>
      <c r="G2247" s="1" t="str">
        <f>"0427P091"</f>
        <v>0427P091</v>
      </c>
      <c r="H2247" s="1" t="str">
        <f>"면천간 33L3"</f>
        <v>면천간 33L3</v>
      </c>
      <c r="I2247" s="1" t="s">
        <v>8</v>
      </c>
      <c r="J2247" s="1" t="str">
        <f>"39/39"</f>
        <v>39/39</v>
      </c>
      <c r="K2247" s="1" t="str">
        <f t="shared" si="128"/>
        <v>2026-07-29 13:18:03</v>
      </c>
      <c r="L2247" s="1" t="str">
        <f>"2019-10-31 17:13:29"</f>
        <v>2019-10-31 17:13:29</v>
      </c>
      <c r="M2247" s="1" t="s">
        <v>1</v>
      </c>
      <c r="N2247" s="1" t="s">
        <v>38</v>
      </c>
      <c r="O2247" s="1" t="s">
        <v>46</v>
      </c>
    </row>
    <row r="2248" spans="2:15" x14ac:dyDescent="0.3">
      <c r="B2248" s="1" t="s">
        <v>24</v>
      </c>
      <c r="C2248" s="1" t="str">
        <f t="shared" si="127"/>
        <v>4차</v>
      </c>
      <c r="D2248" s="1" t="str">
        <f>"0427P13144"</f>
        <v>0427P13144</v>
      </c>
      <c r="E2248" s="1" t="s">
        <v>10</v>
      </c>
      <c r="F2248" s="1" t="str">
        <f>"10.10.57.106"</f>
        <v>10.10.57.106</v>
      </c>
      <c r="G2248" s="1" t="str">
        <f>"0427P131"</f>
        <v>0427P131</v>
      </c>
      <c r="H2248" s="1" t="str">
        <f>"면현지 2R5"</f>
        <v>면현지 2R5</v>
      </c>
      <c r="I2248" s="1" t="s">
        <v>8</v>
      </c>
      <c r="J2248" s="1" t="str">
        <f>"61/61"</f>
        <v>61/61</v>
      </c>
      <c r="K2248" s="1" t="str">
        <f t="shared" si="128"/>
        <v>2026-07-29 13:18:03</v>
      </c>
      <c r="L2248" s="1" t="str">
        <f>"2019-09-23 10:46:25"</f>
        <v>2019-09-23 10:46:25</v>
      </c>
      <c r="M2248" s="1" t="s">
        <v>1</v>
      </c>
      <c r="N2248" s="1" t="s">
        <v>38</v>
      </c>
      <c r="O2248" s="1" t="s">
        <v>46</v>
      </c>
    </row>
    <row r="2249" spans="2:15" x14ac:dyDescent="0.3">
      <c r="B2249" s="1" t="s">
        <v>24</v>
      </c>
      <c r="C2249" s="1" t="str">
        <f t="shared" si="127"/>
        <v>4차</v>
      </c>
      <c r="D2249" s="1" t="str">
        <f>"0427P14144"</f>
        <v>0427P14144</v>
      </c>
      <c r="E2249" s="1" t="s">
        <v>10</v>
      </c>
      <c r="F2249" s="1" t="str">
        <f>"10.10.57.98"</f>
        <v>10.10.57.98</v>
      </c>
      <c r="G2249" s="1" t="str">
        <f>"0427P141"</f>
        <v>0427P141</v>
      </c>
      <c r="H2249" s="1" t="str">
        <f>"면현지 2R3"</f>
        <v>면현지 2R3</v>
      </c>
      <c r="I2249" s="1" t="s">
        <v>8</v>
      </c>
      <c r="J2249" s="1" t="str">
        <f>"46/46"</f>
        <v>46/46</v>
      </c>
      <c r="K2249" s="1" t="str">
        <f t="shared" si="128"/>
        <v>2026-07-29 13:18:03</v>
      </c>
      <c r="L2249" s="1" t="str">
        <f>"2019-11-05 08:23:04"</f>
        <v>2019-11-05 08:23:04</v>
      </c>
      <c r="M2249" s="1" t="s">
        <v>1</v>
      </c>
      <c r="N2249" s="1" t="s">
        <v>38</v>
      </c>
      <c r="O2249" s="1" t="s">
        <v>46</v>
      </c>
    </row>
    <row r="2250" spans="2:15" x14ac:dyDescent="0.3">
      <c r="B2250" s="1" t="s">
        <v>24</v>
      </c>
      <c r="C2250" s="1" t="str">
        <f t="shared" si="127"/>
        <v>4차</v>
      </c>
      <c r="D2250" s="1" t="str">
        <f>"0427P15244"</f>
        <v>0427P15244</v>
      </c>
      <c r="E2250" s="1" t="s">
        <v>10</v>
      </c>
      <c r="F2250" s="1" t="str">
        <f>"10.10.57.90"</f>
        <v>10.10.57.90</v>
      </c>
      <c r="G2250" s="1" t="str">
        <f>"0427P152"</f>
        <v>0427P152</v>
      </c>
      <c r="H2250" s="1" t="str">
        <f>"면현지 2R1"</f>
        <v>면현지 2R1</v>
      </c>
      <c r="I2250" s="1" t="s">
        <v>8</v>
      </c>
      <c r="J2250" s="1" t="str">
        <f>"61/61"</f>
        <v>61/61</v>
      </c>
      <c r="K2250" s="1" t="str">
        <f t="shared" si="128"/>
        <v>2026-07-29 13:18:03</v>
      </c>
      <c r="L2250" s="1" t="str">
        <f>"2019-09-23 10:53:26"</f>
        <v>2019-09-23 10:53:26</v>
      </c>
      <c r="M2250" s="1" t="s">
        <v>1</v>
      </c>
      <c r="N2250" s="1" t="s">
        <v>38</v>
      </c>
      <c r="O2250" s="1" t="s">
        <v>46</v>
      </c>
    </row>
    <row r="2251" spans="2:15" x14ac:dyDescent="0.3">
      <c r="B2251" s="1" t="s">
        <v>24</v>
      </c>
      <c r="C2251" s="1" t="str">
        <f t="shared" si="127"/>
        <v>4차</v>
      </c>
      <c r="D2251" s="1" t="str">
        <f>"0427P18144"</f>
        <v>0427P18144</v>
      </c>
      <c r="E2251" s="1" t="s">
        <v>10</v>
      </c>
      <c r="F2251" s="1" t="str">
        <f>"10.10.53.194"</f>
        <v>10.10.53.194</v>
      </c>
      <c r="G2251" s="1" t="str">
        <f>"0427P181"</f>
        <v>0427P181</v>
      </c>
      <c r="H2251" s="1" t="str">
        <f>"면천간 31"</f>
        <v>면천간 31</v>
      </c>
      <c r="I2251" s="1" t="s">
        <v>8</v>
      </c>
      <c r="J2251" s="1" t="str">
        <f>"48/48"</f>
        <v>48/48</v>
      </c>
      <c r="K2251" s="1" t="str">
        <f>"2026-07-28 20:03:30"</f>
        <v>2026-07-28 20:03:30</v>
      </c>
      <c r="L2251" s="1" t="str">
        <f>"2019-09-25 16:57:15"</f>
        <v>2019-09-25 16:57:15</v>
      </c>
      <c r="M2251" s="1" t="s">
        <v>1</v>
      </c>
      <c r="N2251" s="1" t="s">
        <v>38</v>
      </c>
      <c r="O2251" s="1" t="s">
        <v>46</v>
      </c>
    </row>
    <row r="2252" spans="2:15" x14ac:dyDescent="0.3">
      <c r="B2252" s="1" t="s">
        <v>24</v>
      </c>
      <c r="C2252" s="1" t="str">
        <f t="shared" si="127"/>
        <v>4차</v>
      </c>
      <c r="D2252" s="1" t="str">
        <f>"0427P20144"</f>
        <v>0427P20144</v>
      </c>
      <c r="E2252" s="1" t="s">
        <v>10</v>
      </c>
      <c r="F2252" s="1" t="str">
        <f>"10.10.56.218"</f>
        <v>10.10.56.218</v>
      </c>
      <c r="G2252" s="1" t="str">
        <f>"0427P201"</f>
        <v>0427P201</v>
      </c>
      <c r="H2252" s="1" t="str">
        <f>"면현지 6R2R11"</f>
        <v>면현지 6R2R11</v>
      </c>
      <c r="I2252" s="1" t="s">
        <v>8</v>
      </c>
      <c r="J2252" s="1" t="str">
        <f>"62/62"</f>
        <v>62/62</v>
      </c>
      <c r="K2252" s="1" t="str">
        <f t="shared" ref="K2252:K2260" si="129">"2026-07-29 13:18:03"</f>
        <v>2026-07-29 13:18:03</v>
      </c>
      <c r="L2252" s="1" t="str">
        <f>"2019-09-23 10:17:42"</f>
        <v>2019-09-23 10:17:42</v>
      </c>
      <c r="M2252" s="1" t="s">
        <v>1</v>
      </c>
      <c r="N2252" s="1" t="s">
        <v>38</v>
      </c>
      <c r="O2252" s="1" t="s">
        <v>46</v>
      </c>
    </row>
    <row r="2253" spans="2:15" x14ac:dyDescent="0.3">
      <c r="B2253" s="1" t="s">
        <v>24</v>
      </c>
      <c r="C2253" s="1" t="str">
        <f t="shared" si="127"/>
        <v>4차</v>
      </c>
      <c r="D2253" s="1" t="str">
        <f>"0427P21344"</f>
        <v>0427P21344</v>
      </c>
      <c r="E2253" s="1" t="s">
        <v>10</v>
      </c>
      <c r="F2253" s="1" t="str">
        <f>"10.10.56.210"</f>
        <v>10.10.56.210</v>
      </c>
      <c r="G2253" s="1" t="str">
        <f>"0427P213"</f>
        <v>0427P213</v>
      </c>
      <c r="H2253" s="1" t="str">
        <f>"면현지 6R2R10"</f>
        <v>면현지 6R2R10</v>
      </c>
      <c r="I2253" s="1" t="s">
        <v>8</v>
      </c>
      <c r="J2253" s="1" t="str">
        <f>"42/42"</f>
        <v>42/42</v>
      </c>
      <c r="K2253" s="1" t="str">
        <f t="shared" si="129"/>
        <v>2026-07-29 13:18:03</v>
      </c>
      <c r="L2253" s="1" t="str">
        <f>"2019-09-23 10:18:12"</f>
        <v>2019-09-23 10:18:12</v>
      </c>
      <c r="M2253" s="1" t="s">
        <v>1</v>
      </c>
      <c r="N2253" s="1" t="s">
        <v>38</v>
      </c>
      <c r="O2253" s="1" t="s">
        <v>46</v>
      </c>
    </row>
    <row r="2254" spans="2:15" x14ac:dyDescent="0.3">
      <c r="B2254" s="1" t="s">
        <v>24</v>
      </c>
      <c r="C2254" s="1" t="str">
        <f t="shared" si="127"/>
        <v>4차</v>
      </c>
      <c r="D2254" s="1" t="str">
        <f>"0427P22144"</f>
        <v>0427P22144</v>
      </c>
      <c r="E2254" s="1" t="s">
        <v>10</v>
      </c>
      <c r="F2254" s="1" t="str">
        <f>"10.10.57.66"</f>
        <v>10.10.57.66</v>
      </c>
      <c r="G2254" s="1" t="str">
        <f>"0427P221"</f>
        <v>0427P221</v>
      </c>
      <c r="H2254" s="1" t="str">
        <f>"면현지 21R4R1"</f>
        <v>면현지 21R4R1</v>
      </c>
      <c r="I2254" s="1" t="s">
        <v>8</v>
      </c>
      <c r="J2254" s="1" t="str">
        <f>"41/41"</f>
        <v>41/41</v>
      </c>
      <c r="K2254" s="1" t="str">
        <f t="shared" si="129"/>
        <v>2026-07-29 13:18:03</v>
      </c>
      <c r="L2254" s="1" t="str">
        <f>"2019-09-25 13:43:03"</f>
        <v>2019-09-25 13:43:03</v>
      </c>
      <c r="M2254" s="1" t="s">
        <v>1</v>
      </c>
      <c r="N2254" s="1" t="s">
        <v>38</v>
      </c>
      <c r="O2254" s="1" t="s">
        <v>46</v>
      </c>
    </row>
    <row r="2255" spans="2:15" x14ac:dyDescent="0.3">
      <c r="B2255" s="1" t="s">
        <v>24</v>
      </c>
      <c r="C2255" s="1" t="str">
        <f t="shared" si="127"/>
        <v>4차</v>
      </c>
      <c r="D2255" s="1" t="str">
        <f>"0427P22444"</f>
        <v>0427P22444</v>
      </c>
      <c r="E2255" s="1" t="s">
        <v>10</v>
      </c>
      <c r="F2255" s="1" t="str">
        <f>"10.10.56.250"</f>
        <v>10.10.56.250</v>
      </c>
      <c r="G2255" s="1" t="str">
        <f>"0427P224"</f>
        <v>0427P224</v>
      </c>
      <c r="H2255" s="1" t="str">
        <f>"면현지 6R2R7"</f>
        <v>면현지 6R2R7</v>
      </c>
      <c r="I2255" s="1" t="s">
        <v>8</v>
      </c>
      <c r="J2255" s="1" t="str">
        <f>"12/12"</f>
        <v>12/12</v>
      </c>
      <c r="K2255" s="1" t="str">
        <f t="shared" si="129"/>
        <v>2026-07-29 13:18:03</v>
      </c>
      <c r="L2255" s="1" t="str">
        <f>"2019-12-11 17:44:04"</f>
        <v>2019-12-11 17:44:04</v>
      </c>
      <c r="M2255" s="1" t="s">
        <v>1</v>
      </c>
      <c r="N2255" s="1" t="s">
        <v>38</v>
      </c>
      <c r="O2255" s="1" t="s">
        <v>46</v>
      </c>
    </row>
    <row r="2256" spans="2:15" x14ac:dyDescent="0.3">
      <c r="B2256" s="1" t="s">
        <v>24</v>
      </c>
      <c r="C2256" s="1" t="str">
        <f t="shared" si="127"/>
        <v>4차</v>
      </c>
      <c r="D2256" s="1" t="str">
        <f>"0427P23144"</f>
        <v>0427P23144</v>
      </c>
      <c r="E2256" s="1" t="s">
        <v>10</v>
      </c>
      <c r="F2256" s="1" t="str">
        <f>"10.10.56.242"</f>
        <v>10.10.56.242</v>
      </c>
      <c r="G2256" s="1" t="str">
        <f>"0427P231"</f>
        <v>0427P231</v>
      </c>
      <c r="H2256" s="1" t="str">
        <f>"면현지 6R2R6"</f>
        <v>면현지 6R2R6</v>
      </c>
      <c r="I2256" s="1" t="s">
        <v>8</v>
      </c>
      <c r="J2256" s="1" t="str">
        <f>"51/59"</f>
        <v>51/59</v>
      </c>
      <c r="K2256" s="1" t="str">
        <f t="shared" si="129"/>
        <v>2026-07-29 13:18:03</v>
      </c>
      <c r="L2256" s="1" t="str">
        <f>"2020-02-10 18:34:47"</f>
        <v>2020-02-10 18:34:47</v>
      </c>
      <c r="M2256" s="1" t="s">
        <v>1</v>
      </c>
      <c r="N2256" s="1" t="s">
        <v>38</v>
      </c>
      <c r="O2256" s="1" t="s">
        <v>46</v>
      </c>
    </row>
    <row r="2257" spans="2:15" x14ac:dyDescent="0.3">
      <c r="B2257" s="1" t="s">
        <v>24</v>
      </c>
      <c r="C2257" s="1" t="str">
        <f t="shared" si="127"/>
        <v>4차</v>
      </c>
      <c r="D2257" s="1" t="str">
        <f>"0427P24144"</f>
        <v>0427P24144</v>
      </c>
      <c r="E2257" s="1" t="s">
        <v>10</v>
      </c>
      <c r="F2257" s="1" t="str">
        <f>"10.10.114.194"</f>
        <v>10.10.114.194</v>
      </c>
      <c r="G2257" s="1" t="str">
        <f>"0427P241"</f>
        <v>0427P241</v>
      </c>
      <c r="H2257" s="1" t="str">
        <f>"면현지 6R2R4"</f>
        <v>면현지 6R2R4</v>
      </c>
      <c r="I2257" s="1" t="s">
        <v>8</v>
      </c>
      <c r="J2257" s="1" t="str">
        <f>"19/19"</f>
        <v>19/19</v>
      </c>
      <c r="K2257" s="1" t="str">
        <f t="shared" si="129"/>
        <v>2026-07-29 13:18:03</v>
      </c>
      <c r="L2257" s="1" t="str">
        <f>"2019-09-23 10:22:12"</f>
        <v>2019-09-23 10:22:12</v>
      </c>
      <c r="M2257" s="1" t="s">
        <v>1</v>
      </c>
      <c r="N2257" s="1" t="s">
        <v>38</v>
      </c>
      <c r="O2257" s="1" t="s">
        <v>46</v>
      </c>
    </row>
    <row r="2258" spans="2:15" x14ac:dyDescent="0.3">
      <c r="B2258" s="1" t="s">
        <v>24</v>
      </c>
      <c r="C2258" s="1" t="str">
        <f t="shared" si="127"/>
        <v>4차</v>
      </c>
      <c r="D2258" s="1" t="str">
        <f>"0427P24244"</f>
        <v>0427P24244</v>
      </c>
      <c r="E2258" s="1" t="s">
        <v>10</v>
      </c>
      <c r="F2258" s="1" t="str">
        <f>"10.10.56.234"</f>
        <v>10.10.56.234</v>
      </c>
      <c r="G2258" s="1" t="str">
        <f>"0427P242"</f>
        <v>0427P242</v>
      </c>
      <c r="H2258" s="1" t="str">
        <f>"면현지 6R2R5"</f>
        <v>면현지 6R2R5</v>
      </c>
      <c r="I2258" s="1" t="s">
        <v>8</v>
      </c>
      <c r="J2258" s="1" t="str">
        <f>"30/30"</f>
        <v>30/30</v>
      </c>
      <c r="K2258" s="1" t="str">
        <f t="shared" si="129"/>
        <v>2026-07-29 13:18:03</v>
      </c>
      <c r="L2258" s="1" t="str">
        <f>"2019-09-23 10:21:28"</f>
        <v>2019-09-23 10:21:28</v>
      </c>
      <c r="M2258" s="1" t="s">
        <v>1</v>
      </c>
      <c r="N2258" s="1" t="s">
        <v>38</v>
      </c>
      <c r="O2258" s="1" t="s">
        <v>46</v>
      </c>
    </row>
    <row r="2259" spans="2:15" x14ac:dyDescent="0.3">
      <c r="B2259" s="1" t="s">
        <v>24</v>
      </c>
      <c r="C2259" s="1" t="str">
        <f t="shared" si="127"/>
        <v>4차</v>
      </c>
      <c r="D2259" s="1" t="str">
        <f>"0427P25144"</f>
        <v>0427P25144</v>
      </c>
      <c r="E2259" s="1" t="s">
        <v>10</v>
      </c>
      <c r="F2259" s="1" t="str">
        <f>"10.10.56.226"</f>
        <v>10.10.56.226</v>
      </c>
      <c r="G2259" s="1" t="str">
        <f>"0427P251"</f>
        <v>0427P251</v>
      </c>
      <c r="H2259" s="1" t="str">
        <f>"면현지 6R2R2"</f>
        <v>면현지 6R2R2</v>
      </c>
      <c r="I2259" s="1" t="s">
        <v>8</v>
      </c>
      <c r="J2259" s="1" t="str">
        <f>"66/66"</f>
        <v>66/66</v>
      </c>
      <c r="K2259" s="1" t="str">
        <f t="shared" si="129"/>
        <v>2026-07-29 13:18:03</v>
      </c>
      <c r="L2259" s="1" t="str">
        <f>"2019-09-23 10:21:42"</f>
        <v>2019-09-23 10:21:42</v>
      </c>
      <c r="M2259" s="1" t="s">
        <v>1</v>
      </c>
      <c r="N2259" s="1" t="s">
        <v>38</v>
      </c>
      <c r="O2259" s="1" t="s">
        <v>46</v>
      </c>
    </row>
    <row r="2260" spans="2:15" x14ac:dyDescent="0.3">
      <c r="B2260" s="1" t="s">
        <v>24</v>
      </c>
      <c r="C2260" s="1" t="str">
        <f t="shared" si="127"/>
        <v>4차</v>
      </c>
      <c r="D2260" s="1" t="str">
        <f>"0427P25344"</f>
        <v>0427P25344</v>
      </c>
      <c r="E2260" s="1" t="s">
        <v>10</v>
      </c>
      <c r="F2260" s="1" t="str">
        <f>"10.10.114.178"</f>
        <v>10.10.114.178</v>
      </c>
      <c r="G2260" s="1" t="str">
        <f>"0427P253"</f>
        <v>0427P253</v>
      </c>
      <c r="H2260" s="1" t="str">
        <f>"면현지 6R2R3"</f>
        <v>면현지 6R2R3</v>
      </c>
      <c r="I2260" s="1" t="s">
        <v>8</v>
      </c>
      <c r="J2260" s="1" t="str">
        <f>"21/21"</f>
        <v>21/21</v>
      </c>
      <c r="K2260" s="1" t="str">
        <f t="shared" si="129"/>
        <v>2026-07-29 13:18:03</v>
      </c>
      <c r="L2260" s="1" t="str">
        <f>"2019-09-23 10:23:04"</f>
        <v>2019-09-23 10:23:04</v>
      </c>
      <c r="M2260" s="1" t="s">
        <v>1</v>
      </c>
      <c r="N2260" s="1" t="s">
        <v>38</v>
      </c>
      <c r="O2260" s="1" t="s">
        <v>46</v>
      </c>
    </row>
    <row r="2261" spans="2:15" x14ac:dyDescent="0.3">
      <c r="B2261" s="1" t="s">
        <v>24</v>
      </c>
      <c r="C2261" s="1" t="str">
        <f t="shared" si="127"/>
        <v>4차</v>
      </c>
      <c r="D2261" s="1" t="str">
        <f>"0427P29144"</f>
        <v>0427P29144</v>
      </c>
      <c r="E2261" s="1" t="s">
        <v>10</v>
      </c>
      <c r="F2261" s="1" t="str">
        <f>"10.10.53.186"</f>
        <v>10.10.53.186</v>
      </c>
      <c r="G2261" s="1" t="str">
        <f>"0427P291"</f>
        <v>0427P291</v>
      </c>
      <c r="H2261" s="1" t="str">
        <f>"면천간 33"</f>
        <v>면천간 33</v>
      </c>
      <c r="I2261" s="1" t="s">
        <v>8</v>
      </c>
      <c r="J2261" s="1" t="str">
        <f>"32/58"</f>
        <v>32/58</v>
      </c>
      <c r="K2261" s="1" t="str">
        <f>"2026-07-29 13:18:05"</f>
        <v>2026-07-29 13:18:05</v>
      </c>
      <c r="L2261" s="1" t="str">
        <f>"2019-10-18 18:23:04"</f>
        <v>2019-10-18 18:23:04</v>
      </c>
      <c r="M2261" s="1" t="s">
        <v>1</v>
      </c>
      <c r="N2261" s="1" t="s">
        <v>38</v>
      </c>
      <c r="O2261" s="1" t="s">
        <v>46</v>
      </c>
    </row>
    <row r="2262" spans="2:15" x14ac:dyDescent="0.3">
      <c r="B2262" s="1" t="s">
        <v>24</v>
      </c>
      <c r="C2262" s="1" t="str">
        <f t="shared" si="127"/>
        <v>4차</v>
      </c>
      <c r="D2262" s="1" t="str">
        <f>"0427P29244"</f>
        <v>0427P29244</v>
      </c>
      <c r="E2262" s="1" t="s">
        <v>10</v>
      </c>
      <c r="F2262" s="1" t="str">
        <f>"10.10.58.66"</f>
        <v>10.10.58.66</v>
      </c>
      <c r="G2262" s="1" t="str">
        <f>"0427P292"</f>
        <v>0427P292</v>
      </c>
      <c r="H2262" s="1" t="str">
        <f>"면천간 34"</f>
        <v>면천간 34</v>
      </c>
      <c r="I2262" s="1" t="s">
        <v>8</v>
      </c>
      <c r="J2262" s="1" t="str">
        <f>"65/65"</f>
        <v>65/65</v>
      </c>
      <c r="K2262" s="1" t="str">
        <f>"2026-07-29 13:18:05"</f>
        <v>2026-07-29 13:18:05</v>
      </c>
      <c r="L2262" s="1" t="str">
        <f>"2019-09-26 10:03:04"</f>
        <v>2019-09-26 10:03:04</v>
      </c>
      <c r="M2262" s="1" t="s">
        <v>1</v>
      </c>
      <c r="N2262" s="1" t="s">
        <v>38</v>
      </c>
      <c r="O2262" s="1" t="s">
        <v>46</v>
      </c>
    </row>
    <row r="2263" spans="2:15" x14ac:dyDescent="0.3">
      <c r="B2263" s="1" t="s">
        <v>24</v>
      </c>
      <c r="C2263" s="1" t="str">
        <f t="shared" si="127"/>
        <v>4차</v>
      </c>
      <c r="D2263" s="1" t="str">
        <f>"0427P30344"</f>
        <v>0427P30344</v>
      </c>
      <c r="E2263" s="1" t="s">
        <v>10</v>
      </c>
      <c r="F2263" s="1" t="str">
        <f>"10.10.57.82"</f>
        <v>10.10.57.82</v>
      </c>
      <c r="G2263" s="1" t="str">
        <f>"0427P303"</f>
        <v>0427P303</v>
      </c>
      <c r="H2263" s="1" t="str">
        <f>"면현지 21R8"</f>
        <v>면현지 21R8</v>
      </c>
      <c r="I2263" s="1" t="s">
        <v>8</v>
      </c>
      <c r="J2263" s="1" t="str">
        <f>"20/20"</f>
        <v>20/20</v>
      </c>
      <c r="K2263" s="1" t="str">
        <f>"2026-07-29 13:18:03"</f>
        <v>2026-07-29 13:18:03</v>
      </c>
      <c r="L2263" s="1" t="str">
        <f>"2019-09-23 10:18:58"</f>
        <v>2019-09-23 10:18:58</v>
      </c>
      <c r="M2263" s="1" t="s">
        <v>1</v>
      </c>
      <c r="N2263" s="1" t="s">
        <v>38</v>
      </c>
      <c r="O2263" s="1" t="s">
        <v>46</v>
      </c>
    </row>
    <row r="2264" spans="2:15" x14ac:dyDescent="0.3">
      <c r="B2264" s="1" t="s">
        <v>24</v>
      </c>
      <c r="C2264" s="1" t="str">
        <f t="shared" si="127"/>
        <v>4차</v>
      </c>
      <c r="D2264" s="1" t="str">
        <f>"0427P31144"</f>
        <v>0427P31144</v>
      </c>
      <c r="E2264" s="1" t="s">
        <v>10</v>
      </c>
      <c r="F2264" s="1" t="str">
        <f>"10.10.57.74"</f>
        <v>10.10.57.74</v>
      </c>
      <c r="G2264" s="1" t="str">
        <f>"0427P311"</f>
        <v>0427P311</v>
      </c>
      <c r="H2264" s="1" t="str">
        <f>"면현지 21R5"</f>
        <v>면현지 21R5</v>
      </c>
      <c r="I2264" s="1" t="s">
        <v>8</v>
      </c>
      <c r="J2264" s="1" t="str">
        <f>"36/49"</f>
        <v>36/49</v>
      </c>
      <c r="K2264" s="1" t="str">
        <f t="shared" ref="K2264:K2270" si="130">"2026-07-29 13:18:05"</f>
        <v>2026-07-29 13:18:05</v>
      </c>
      <c r="L2264" s="1" t="str">
        <f>"2019-09-25 13:43:03"</f>
        <v>2019-09-25 13:43:03</v>
      </c>
      <c r="M2264" s="1" t="s">
        <v>1</v>
      </c>
      <c r="N2264" s="1" t="s">
        <v>38</v>
      </c>
      <c r="O2264" s="1" t="s">
        <v>46</v>
      </c>
    </row>
    <row r="2265" spans="2:15" x14ac:dyDescent="0.3">
      <c r="B2265" s="1" t="s">
        <v>24</v>
      </c>
      <c r="C2265" s="1" t="str">
        <f t="shared" si="127"/>
        <v>4차</v>
      </c>
      <c r="D2265" s="1" t="str">
        <f>"0427P32444"</f>
        <v>0427P32444</v>
      </c>
      <c r="E2265" s="1" t="s">
        <v>10</v>
      </c>
      <c r="F2265" s="1" t="str">
        <f>"10.10.57.18"</f>
        <v>10.10.57.18</v>
      </c>
      <c r="G2265" s="1" t="str">
        <f>"0427P324"</f>
        <v>0427P324</v>
      </c>
      <c r="H2265" s="1" t="str">
        <f>"면현지 6R8"</f>
        <v>면현지 6R8</v>
      </c>
      <c r="I2265" s="1" t="s">
        <v>8</v>
      </c>
      <c r="J2265" s="1" t="str">
        <f>"43/43"</f>
        <v>43/43</v>
      </c>
      <c r="K2265" s="1" t="str">
        <f t="shared" si="130"/>
        <v>2026-07-29 13:18:05</v>
      </c>
      <c r="L2265" s="1" t="str">
        <f>"2019-09-23 13:24:44"</f>
        <v>2019-09-23 13:24:44</v>
      </c>
      <c r="M2265" s="1" t="s">
        <v>1</v>
      </c>
      <c r="N2265" s="1" t="s">
        <v>38</v>
      </c>
      <c r="O2265" s="1" t="s">
        <v>46</v>
      </c>
    </row>
    <row r="2266" spans="2:15" x14ac:dyDescent="0.3">
      <c r="B2266" s="1" t="s">
        <v>24</v>
      </c>
      <c r="C2266" s="1" t="str">
        <f t="shared" si="127"/>
        <v>4차</v>
      </c>
      <c r="D2266" s="1" t="str">
        <f>"0427P33144"</f>
        <v>0427P33144</v>
      </c>
      <c r="E2266" s="1" t="s">
        <v>10</v>
      </c>
      <c r="F2266" s="1" t="str">
        <f>"10.10.57.10"</f>
        <v>10.10.57.10</v>
      </c>
      <c r="G2266" s="1" t="str">
        <f>"0427P331"</f>
        <v>0427P331</v>
      </c>
      <c r="H2266" s="1" t="str">
        <f>"면현지 6R6"</f>
        <v>면현지 6R6</v>
      </c>
      <c r="I2266" s="1" t="s">
        <v>8</v>
      </c>
      <c r="J2266" s="1" t="str">
        <f>"47/49"</f>
        <v>47/49</v>
      </c>
      <c r="K2266" s="1" t="str">
        <f t="shared" si="130"/>
        <v>2026-07-29 13:18:05</v>
      </c>
      <c r="L2266" s="1" t="str">
        <f>"2019-09-23 13:22:57"</f>
        <v>2019-09-23 13:22:57</v>
      </c>
      <c r="M2266" s="1" t="s">
        <v>1</v>
      </c>
      <c r="N2266" s="1" t="s">
        <v>38</v>
      </c>
      <c r="O2266" s="1" t="s">
        <v>46</v>
      </c>
    </row>
    <row r="2267" spans="2:15" x14ac:dyDescent="0.3">
      <c r="B2267" s="1" t="s">
        <v>24</v>
      </c>
      <c r="C2267" s="1" t="str">
        <f>"3차"</f>
        <v>3차</v>
      </c>
      <c r="D2267" s="1" t="str">
        <f>"0427P34139"</f>
        <v>0427P34139</v>
      </c>
      <c r="E2267" s="1" t="s">
        <v>10</v>
      </c>
      <c r="F2267" s="1" t="str">
        <f>"10.89.249.72"</f>
        <v>10.89.249.72</v>
      </c>
      <c r="G2267" s="1" t="str">
        <f>"0427P341"</f>
        <v>0427P341</v>
      </c>
      <c r="H2267" s="1" t="str">
        <f>"면현지 6R4"</f>
        <v>면현지 6R4</v>
      </c>
      <c r="I2267" s="1" t="s">
        <v>8</v>
      </c>
      <c r="J2267" s="1" t="str">
        <f>"35/35"</f>
        <v>35/35</v>
      </c>
      <c r="K2267" s="1" t="str">
        <f t="shared" si="130"/>
        <v>2026-07-29 13:18:05</v>
      </c>
      <c r="L2267" s="1" t="str">
        <f>"2018-04-17 18:18:30"</f>
        <v>2018-04-17 18:18:30</v>
      </c>
      <c r="M2267" s="1" t="s">
        <v>45</v>
      </c>
      <c r="N2267" s="1" t="s">
        <v>38</v>
      </c>
      <c r="O2267" s="1" t="s">
        <v>46</v>
      </c>
    </row>
    <row r="2268" spans="2:15" x14ac:dyDescent="0.3">
      <c r="B2268" s="1" t="s">
        <v>24</v>
      </c>
      <c r="C2268" s="1" t="str">
        <f>"4차"</f>
        <v>4차</v>
      </c>
      <c r="D2268" s="1" t="str">
        <f>"0427P35144"</f>
        <v>0427P35144</v>
      </c>
      <c r="E2268" s="1" t="s">
        <v>10</v>
      </c>
      <c r="F2268" s="1" t="str">
        <f>"10.10.57.2"</f>
        <v>10.10.57.2</v>
      </c>
      <c r="G2268" s="1" t="str">
        <f>"0427P351"</f>
        <v>0427P351</v>
      </c>
      <c r="H2268" s="1" t="str">
        <f>"면현지 6R3"</f>
        <v>면현지 6R3</v>
      </c>
      <c r="I2268" s="1" t="s">
        <v>8</v>
      </c>
      <c r="J2268" s="1" t="str">
        <f>"76/76"</f>
        <v>76/76</v>
      </c>
      <c r="K2268" s="1" t="str">
        <f t="shared" si="130"/>
        <v>2026-07-29 13:18:05</v>
      </c>
      <c r="L2268" s="1" t="str">
        <f>"2019-09-23 13:23:04"</f>
        <v>2019-09-23 13:23:04</v>
      </c>
      <c r="M2268" s="1" t="s">
        <v>1</v>
      </c>
      <c r="N2268" s="1" t="s">
        <v>38</v>
      </c>
      <c r="O2268" s="1" t="s">
        <v>46</v>
      </c>
    </row>
    <row r="2269" spans="2:15" x14ac:dyDescent="0.3">
      <c r="B2269" s="1" t="s">
        <v>24</v>
      </c>
      <c r="C2269" s="1" t="str">
        <f>"4차"</f>
        <v>4차</v>
      </c>
      <c r="D2269" s="1" t="str">
        <f>"0427P36244"</f>
        <v>0427P36244</v>
      </c>
      <c r="E2269" s="1" t="s">
        <v>10</v>
      </c>
      <c r="F2269" s="1" t="str">
        <f>"10.10.56.170"</f>
        <v>10.10.56.170</v>
      </c>
      <c r="G2269" s="1" t="str">
        <f>"0427P362"</f>
        <v>0427P362</v>
      </c>
      <c r="H2269" s="1" t="str">
        <f>"면현지 6R2"</f>
        <v>면현지 6R2</v>
      </c>
      <c r="I2269" s="1" t="s">
        <v>8</v>
      </c>
      <c r="J2269" s="1" t="str">
        <f>"91/91"</f>
        <v>91/91</v>
      </c>
      <c r="K2269" s="1" t="str">
        <f t="shared" si="130"/>
        <v>2026-07-29 13:18:05</v>
      </c>
      <c r="L2269" s="1" t="str">
        <f>"2019-09-23 16:43:03"</f>
        <v>2019-09-23 16:43:03</v>
      </c>
      <c r="M2269" s="1" t="s">
        <v>1</v>
      </c>
      <c r="N2269" s="1" t="s">
        <v>38</v>
      </c>
      <c r="O2269" s="1" t="s">
        <v>46</v>
      </c>
    </row>
    <row r="2270" spans="2:15" x14ac:dyDescent="0.3">
      <c r="B2270" s="1" t="s">
        <v>24</v>
      </c>
      <c r="C2270" s="1" t="str">
        <f>"4차"</f>
        <v>4차</v>
      </c>
      <c r="D2270" s="1" t="str">
        <f>"0427P37144"</f>
        <v>0427P37144</v>
      </c>
      <c r="E2270" s="1" t="s">
        <v>10</v>
      </c>
      <c r="F2270" s="1" t="str">
        <f>"10.10.56.162"</f>
        <v>10.10.56.162</v>
      </c>
      <c r="G2270" s="1" t="str">
        <f>"0427P371"</f>
        <v>0427P371</v>
      </c>
      <c r="H2270" s="1" t="str">
        <f>"면현지 6"</f>
        <v>면현지 6</v>
      </c>
      <c r="I2270" s="1" t="s">
        <v>8</v>
      </c>
      <c r="J2270" s="1" t="str">
        <f>"43/44"</f>
        <v>43/44</v>
      </c>
      <c r="K2270" s="1" t="str">
        <f t="shared" si="130"/>
        <v>2026-07-29 13:18:05</v>
      </c>
      <c r="L2270" s="1" t="str">
        <f>"2019-09-23 16:47:59"</f>
        <v>2019-09-23 16:47:59</v>
      </c>
      <c r="M2270" s="1" t="s">
        <v>1</v>
      </c>
      <c r="N2270" s="1" t="s">
        <v>38</v>
      </c>
      <c r="O2270" s="1" t="s">
        <v>46</v>
      </c>
    </row>
    <row r="2271" spans="2:15" x14ac:dyDescent="0.3">
      <c r="B2271" s="1" t="s">
        <v>24</v>
      </c>
      <c r="C2271" s="1" t="str">
        <f>"3차"</f>
        <v>3차</v>
      </c>
      <c r="D2271" s="1" t="str">
        <f>"0427P37239"</f>
        <v>0427P37239</v>
      </c>
      <c r="E2271" s="1" t="s">
        <v>10</v>
      </c>
      <c r="F2271" s="1" t="str">
        <f>"10.12.129.34"</f>
        <v>10.12.129.34</v>
      </c>
      <c r="G2271" s="1" t="str">
        <f>"0427P372"</f>
        <v>0427P372</v>
      </c>
      <c r="H2271" s="1" t="str">
        <f>"면천간 23"</f>
        <v>면천간 23</v>
      </c>
      <c r="I2271" s="1" t="s">
        <v>8</v>
      </c>
      <c r="J2271" s="1" t="str">
        <f>"37/38"</f>
        <v>37/38</v>
      </c>
      <c r="K2271" s="1" t="str">
        <f>"2026-07-29 13:18:03"</f>
        <v>2026-07-29 13:18:03</v>
      </c>
      <c r="L2271" s="1" t="str">
        <f>"2018-04-17 18:19:46"</f>
        <v>2018-04-17 18:19:46</v>
      </c>
      <c r="M2271" s="1" t="s">
        <v>0</v>
      </c>
      <c r="N2271" s="1" t="s">
        <v>38</v>
      </c>
      <c r="O2271" s="1" t="s">
        <v>46</v>
      </c>
    </row>
    <row r="2272" spans="2:15" x14ac:dyDescent="0.3">
      <c r="B2272" s="1" t="s">
        <v>24</v>
      </c>
      <c r="C2272" s="1" t="str">
        <f t="shared" ref="C2272:C2278" si="131">"4차"</f>
        <v>4차</v>
      </c>
      <c r="D2272" s="1" t="str">
        <f>"0427P38144"</f>
        <v>0427P38144</v>
      </c>
      <c r="E2272" s="1" t="s">
        <v>10</v>
      </c>
      <c r="F2272" s="1" t="str">
        <f>"10.10.58.58"</f>
        <v>10.10.58.58</v>
      </c>
      <c r="G2272" s="1" t="str">
        <f>"0427P381"</f>
        <v>0427P381</v>
      </c>
      <c r="H2272" s="1" t="str">
        <f>"면천간 33R1"</f>
        <v>면천간 33R1</v>
      </c>
      <c r="I2272" s="1" t="s">
        <v>8</v>
      </c>
      <c r="J2272" s="1" t="str">
        <f>"30/30"</f>
        <v>30/30</v>
      </c>
      <c r="K2272" s="1" t="str">
        <f>"2026-07-29 13:18:05"</f>
        <v>2026-07-29 13:18:05</v>
      </c>
      <c r="L2272" s="1" t="str">
        <f>"2019-10-11 11:12:09"</f>
        <v>2019-10-11 11:12:09</v>
      </c>
      <c r="M2272" s="1" t="s">
        <v>1</v>
      </c>
      <c r="N2272" s="1" t="s">
        <v>38</v>
      </c>
      <c r="O2272" s="1" t="s">
        <v>46</v>
      </c>
    </row>
    <row r="2273" spans="2:15" x14ac:dyDescent="0.3">
      <c r="B2273" s="1" t="s">
        <v>24</v>
      </c>
      <c r="C2273" s="1" t="str">
        <f t="shared" si="131"/>
        <v>4차</v>
      </c>
      <c r="D2273" s="1" t="str">
        <f>"0427P38244"</f>
        <v>0427P38244</v>
      </c>
      <c r="E2273" s="1" t="s">
        <v>10</v>
      </c>
      <c r="F2273" s="1" t="str">
        <f>"10.10.57.146"</f>
        <v>10.10.57.146</v>
      </c>
      <c r="G2273" s="1" t="str">
        <f>"0427P382"</f>
        <v>0427P382</v>
      </c>
      <c r="H2273" s="1" t="str">
        <f>"면천간 40B2R7"</f>
        <v>면천간 40B2R7</v>
      </c>
      <c r="I2273" s="1" t="s">
        <v>8</v>
      </c>
      <c r="J2273" s="1" t="str">
        <f>"62/62"</f>
        <v>62/62</v>
      </c>
      <c r="K2273" s="1" t="str">
        <f>"2026-07-29 13:18:05"</f>
        <v>2026-07-29 13:18:05</v>
      </c>
      <c r="L2273" s="1" t="str">
        <f>"2019-09-25 13:33:05"</f>
        <v>2019-09-25 13:33:05</v>
      </c>
      <c r="M2273" s="1" t="s">
        <v>1</v>
      </c>
      <c r="N2273" s="1" t="s">
        <v>38</v>
      </c>
      <c r="O2273" s="1" t="s">
        <v>46</v>
      </c>
    </row>
    <row r="2274" spans="2:15" x14ac:dyDescent="0.3">
      <c r="B2274" s="1" t="s">
        <v>24</v>
      </c>
      <c r="C2274" s="1" t="str">
        <f t="shared" si="131"/>
        <v>4차</v>
      </c>
      <c r="D2274" s="1" t="str">
        <f>"0427P39144"</f>
        <v>0427P39144</v>
      </c>
      <c r="E2274" s="1" t="s">
        <v>10</v>
      </c>
      <c r="F2274" s="1" t="str">
        <f>"10.10.57.154"</f>
        <v>10.10.57.154</v>
      </c>
      <c r="G2274" s="1" t="str">
        <f>"0427P391"</f>
        <v>0427P391</v>
      </c>
      <c r="H2274" s="1" t="str">
        <f>"면천간 40B2R9"</f>
        <v>면천간 40B2R9</v>
      </c>
      <c r="I2274" s="1" t="s">
        <v>8</v>
      </c>
      <c r="J2274" s="1" t="str">
        <f>"28/31"</f>
        <v>28/31</v>
      </c>
      <c r="K2274" s="1" t="str">
        <f>"2026-07-29 13:18:03"</f>
        <v>2026-07-29 13:18:03</v>
      </c>
      <c r="L2274" s="1" t="str">
        <f>"2019-09-25 15:04:46"</f>
        <v>2019-09-25 15:04:46</v>
      </c>
      <c r="M2274" s="1" t="s">
        <v>1</v>
      </c>
      <c r="N2274" s="1" t="s">
        <v>38</v>
      </c>
      <c r="O2274" s="1" t="s">
        <v>46</v>
      </c>
    </row>
    <row r="2275" spans="2:15" x14ac:dyDescent="0.3">
      <c r="B2275" s="1" t="s">
        <v>24</v>
      </c>
      <c r="C2275" s="1" t="str">
        <f t="shared" si="131"/>
        <v>4차</v>
      </c>
      <c r="D2275" s="1" t="str">
        <f>"0427P41344"</f>
        <v>0427P41344</v>
      </c>
      <c r="E2275" s="1" t="s">
        <v>10</v>
      </c>
      <c r="F2275" s="1" t="str">
        <f>"10.10.57.50"</f>
        <v>10.10.57.50</v>
      </c>
      <c r="G2275" s="1" t="str">
        <f>"0427P413"</f>
        <v>0427P413</v>
      </c>
      <c r="H2275" s="1" t="str">
        <f>"면현지 21R2L2"</f>
        <v>면현지 21R2L2</v>
      </c>
      <c r="I2275" s="1" t="s">
        <v>8</v>
      </c>
      <c r="J2275" s="1" t="str">
        <f>"54/55"</f>
        <v>54/55</v>
      </c>
      <c r="K2275" s="1" t="str">
        <f>"2026-07-29 13:18:05"</f>
        <v>2026-07-29 13:18:05</v>
      </c>
      <c r="L2275" s="1" t="str">
        <f>"2019-09-23 10:22:12"</f>
        <v>2019-09-23 10:22:12</v>
      </c>
      <c r="M2275" s="1" t="s">
        <v>1</v>
      </c>
      <c r="N2275" s="1" t="s">
        <v>38</v>
      </c>
      <c r="O2275" s="1" t="s">
        <v>46</v>
      </c>
    </row>
    <row r="2276" spans="2:15" x14ac:dyDescent="0.3">
      <c r="B2276" s="1" t="s">
        <v>24</v>
      </c>
      <c r="C2276" s="1" t="str">
        <f t="shared" si="131"/>
        <v>4차</v>
      </c>
      <c r="D2276" s="1" t="str">
        <f>"0427P42244"</f>
        <v>0427P42244</v>
      </c>
      <c r="E2276" s="1" t="s">
        <v>10</v>
      </c>
      <c r="F2276" s="1" t="str">
        <f>"10.10.57.34"</f>
        <v>10.10.57.34</v>
      </c>
      <c r="G2276" s="1" t="str">
        <f>"0427P422"</f>
        <v>0427P422</v>
      </c>
      <c r="H2276" s="1" t="str">
        <f>"면현지 21R2"</f>
        <v>면현지 21R2</v>
      </c>
      <c r="I2276" s="1" t="s">
        <v>8</v>
      </c>
      <c r="J2276" s="1" t="str">
        <f>"79/79"</f>
        <v>79/79</v>
      </c>
      <c r="K2276" s="1" t="str">
        <f>"2026-07-29 13:18:02"</f>
        <v>2026-07-29 13:18:02</v>
      </c>
      <c r="L2276" s="1" t="str">
        <f>"2019-09-25 13:43:03"</f>
        <v>2019-09-25 13:43:03</v>
      </c>
      <c r="M2276" s="1" t="s">
        <v>1</v>
      </c>
      <c r="N2276" s="1" t="s">
        <v>38</v>
      </c>
      <c r="O2276" s="1" t="s">
        <v>46</v>
      </c>
    </row>
    <row r="2277" spans="2:15" x14ac:dyDescent="0.3">
      <c r="B2277" s="1" t="s">
        <v>24</v>
      </c>
      <c r="C2277" s="1" t="str">
        <f t="shared" si="131"/>
        <v>4차</v>
      </c>
      <c r="D2277" s="1" t="str">
        <f>"0427P42344"</f>
        <v>0427P42344</v>
      </c>
      <c r="E2277" s="1" t="s">
        <v>10</v>
      </c>
      <c r="F2277" s="1" t="str">
        <f>"10.10.57.58"</f>
        <v>10.10.57.58</v>
      </c>
      <c r="G2277" s="1" t="str">
        <f>"0427P423"</f>
        <v>0427P423</v>
      </c>
      <c r="H2277" s="1" t="str">
        <f>"면현지 21R3L1"</f>
        <v>면현지 21R3L1</v>
      </c>
      <c r="I2277" s="1" t="s">
        <v>8</v>
      </c>
      <c r="J2277" s="1" t="str">
        <f>"90/91"</f>
        <v>90/91</v>
      </c>
      <c r="K2277" s="1" t="str">
        <f>"2026-07-29 13:18:02"</f>
        <v>2026-07-29 13:18:02</v>
      </c>
      <c r="L2277" s="1" t="str">
        <f>"2019-09-25 13:40:17"</f>
        <v>2019-09-25 13:40:17</v>
      </c>
      <c r="M2277" s="1" t="s">
        <v>1</v>
      </c>
      <c r="N2277" s="1" t="s">
        <v>38</v>
      </c>
      <c r="O2277" s="1" t="s">
        <v>46</v>
      </c>
    </row>
    <row r="2278" spans="2:15" x14ac:dyDescent="0.3">
      <c r="B2278" s="1" t="s">
        <v>24</v>
      </c>
      <c r="C2278" s="1" t="str">
        <f t="shared" si="131"/>
        <v>4차</v>
      </c>
      <c r="D2278" s="1" t="str">
        <f>"0427P43244"</f>
        <v>0427P43244</v>
      </c>
      <c r="E2278" s="1" t="s">
        <v>10</v>
      </c>
      <c r="F2278" s="1" t="str">
        <f>"10.10.56.202"</f>
        <v>10.10.56.202</v>
      </c>
      <c r="G2278" s="1" t="str">
        <f>"0427P432"</f>
        <v>0427P432</v>
      </c>
      <c r="H2278" s="1" t="str">
        <f>"면현지 6R2L8"</f>
        <v>면현지 6R2L8</v>
      </c>
      <c r="I2278" s="1" t="s">
        <v>8</v>
      </c>
      <c r="J2278" s="1" t="str">
        <f>"16/16"</f>
        <v>16/16</v>
      </c>
      <c r="K2278" s="1" t="str">
        <f>"2026-07-29 13:18:02"</f>
        <v>2026-07-29 13:18:02</v>
      </c>
      <c r="L2278" s="1" t="str">
        <f>"2019-09-23 13:21:02"</f>
        <v>2019-09-23 13:21:02</v>
      </c>
      <c r="M2278" s="1" t="s">
        <v>1</v>
      </c>
      <c r="N2278" s="1" t="s">
        <v>38</v>
      </c>
      <c r="O2278" s="1" t="s">
        <v>46</v>
      </c>
    </row>
    <row r="2279" spans="2:15" x14ac:dyDescent="0.3">
      <c r="B2279" s="1" t="s">
        <v>24</v>
      </c>
      <c r="C2279" s="1" t="str">
        <f>"3차"</f>
        <v>3차</v>
      </c>
      <c r="D2279" s="1" t="str">
        <f>"0427P43339"</f>
        <v>0427P43339</v>
      </c>
      <c r="E2279" s="1" t="s">
        <v>10</v>
      </c>
      <c r="F2279" s="1" t="str">
        <f>"10.12.128.198"</f>
        <v>10.12.128.198</v>
      </c>
      <c r="G2279" s="1" t="str">
        <f>"0427P433"</f>
        <v>0427P433</v>
      </c>
      <c r="H2279" s="1" t="str">
        <f>"면현지 6R2L7"</f>
        <v>면현지 6R2L7</v>
      </c>
      <c r="I2279" s="1" t="s">
        <v>8</v>
      </c>
      <c r="J2279" s="1" t="str">
        <f>"33/33"</f>
        <v>33/33</v>
      </c>
      <c r="K2279" s="1" t="str">
        <f>"2026-07-29 13:18:04"</f>
        <v>2026-07-29 13:18:04</v>
      </c>
      <c r="L2279" s="1" t="str">
        <f>"2018-04-17 18:32:15"</f>
        <v>2018-04-17 18:32:15</v>
      </c>
      <c r="M2279" s="1" t="s">
        <v>0</v>
      </c>
      <c r="N2279" s="1" t="s">
        <v>38</v>
      </c>
      <c r="O2279" s="1" t="s">
        <v>46</v>
      </c>
    </row>
    <row r="2280" spans="2:15" x14ac:dyDescent="0.3">
      <c r="B2280" s="1" t="s">
        <v>24</v>
      </c>
      <c r="C2280" s="1" t="str">
        <f>"4차"</f>
        <v>4차</v>
      </c>
      <c r="D2280" s="1" t="str">
        <f>"0427P44144"</f>
        <v>0427P44144</v>
      </c>
      <c r="E2280" s="1" t="s">
        <v>10</v>
      </c>
      <c r="F2280" s="1" t="str">
        <f>"10.10.56.194"</f>
        <v>10.10.56.194</v>
      </c>
      <c r="G2280" s="1" t="str">
        <f>"0427P441"</f>
        <v>0427P441</v>
      </c>
      <c r="H2280" s="1" t="str">
        <f>"면현지 6R2L6"</f>
        <v>면현지 6R2L6</v>
      </c>
      <c r="I2280" s="1" t="s">
        <v>8</v>
      </c>
      <c r="J2280" s="1" t="str">
        <f>"17/17"</f>
        <v>17/17</v>
      </c>
      <c r="K2280" s="1" t="str">
        <f>"2026-07-29 13:18:02"</f>
        <v>2026-07-29 13:18:02</v>
      </c>
      <c r="L2280" s="1" t="str">
        <f>"2019-09-23 10:18:12"</f>
        <v>2019-09-23 10:18:12</v>
      </c>
      <c r="M2280" s="1" t="s">
        <v>1</v>
      </c>
      <c r="N2280" s="1" t="s">
        <v>38</v>
      </c>
      <c r="O2280" s="1" t="s">
        <v>46</v>
      </c>
    </row>
    <row r="2281" spans="2:15" x14ac:dyDescent="0.3">
      <c r="B2281" s="1" t="s">
        <v>24</v>
      </c>
      <c r="C2281" s="1" t="str">
        <f>"4차"</f>
        <v>4차</v>
      </c>
      <c r="D2281" s="1" t="str">
        <f>"0427P45144"</f>
        <v>0427P45144</v>
      </c>
      <c r="E2281" s="1" t="s">
        <v>10</v>
      </c>
      <c r="F2281" s="1" t="str">
        <f>"10.10.114.162"</f>
        <v>10.10.114.162</v>
      </c>
      <c r="G2281" s="1" t="str">
        <f>"0427P451"</f>
        <v>0427P451</v>
      </c>
      <c r="H2281" s="1" t="str">
        <f>"면현지 6R2L4"</f>
        <v>면현지 6R2L4</v>
      </c>
      <c r="I2281" s="1" t="s">
        <v>8</v>
      </c>
      <c r="J2281" s="1" t="str">
        <f>"35/35"</f>
        <v>35/35</v>
      </c>
      <c r="K2281" s="1" t="str">
        <f>"2026-07-29 13:18:02"</f>
        <v>2026-07-29 13:18:02</v>
      </c>
      <c r="L2281" s="1" t="str">
        <f>"2019-09-23 10:23:04"</f>
        <v>2019-09-23 10:23:04</v>
      </c>
      <c r="M2281" s="1" t="s">
        <v>1</v>
      </c>
      <c r="N2281" s="1" t="s">
        <v>38</v>
      </c>
      <c r="O2281" s="1" t="s">
        <v>46</v>
      </c>
    </row>
    <row r="2282" spans="2:15" x14ac:dyDescent="0.3">
      <c r="B2282" s="1" t="s">
        <v>24</v>
      </c>
      <c r="C2282" s="1" t="str">
        <f>"4차"</f>
        <v>4차</v>
      </c>
      <c r="D2282" s="1" t="str">
        <f>"0427P45444"</f>
        <v>0427P45444</v>
      </c>
      <c r="E2282" s="1" t="s">
        <v>10</v>
      </c>
      <c r="F2282" s="1" t="str">
        <f>"10.10.56.186"</f>
        <v>10.10.56.186</v>
      </c>
      <c r="G2282" s="1" t="str">
        <f>"0427P454"</f>
        <v>0427P454</v>
      </c>
      <c r="H2282" s="1" t="str">
        <f>"능동간 10R2L5"</f>
        <v>능동간 10R2L5</v>
      </c>
      <c r="I2282" s="1" t="s">
        <v>8</v>
      </c>
      <c r="J2282" s="1" t="str">
        <f>"22/22"</f>
        <v>22/22</v>
      </c>
      <c r="K2282" s="1" t="str">
        <f>"2026-07-29 13:18:03"</f>
        <v>2026-07-29 13:18:03</v>
      </c>
      <c r="L2282" s="1" t="str">
        <f>"2019-09-23 10:15:13"</f>
        <v>2019-09-23 10:15:13</v>
      </c>
      <c r="M2282" s="1" t="s">
        <v>1</v>
      </c>
      <c r="N2282" s="1" t="s">
        <v>38</v>
      </c>
      <c r="O2282" s="1" t="s">
        <v>46</v>
      </c>
    </row>
    <row r="2283" spans="2:15" x14ac:dyDescent="0.3">
      <c r="B2283" s="1" t="s">
        <v>24</v>
      </c>
      <c r="C2283" s="1" t="str">
        <f>"3차"</f>
        <v>3차</v>
      </c>
      <c r="D2283" s="1" t="str">
        <f>"0427P49139"</f>
        <v>0427P49139</v>
      </c>
      <c r="E2283" s="1" t="s">
        <v>10</v>
      </c>
      <c r="F2283" s="1" t="str">
        <f>"10.12.132.82"</f>
        <v>10.12.132.82</v>
      </c>
      <c r="G2283" s="1" t="str">
        <f>"0427P491"</f>
        <v>0427P491</v>
      </c>
      <c r="H2283" s="1" t="str">
        <f>"대주간 18L13B2R10"</f>
        <v>대주간 18L13B2R10</v>
      </c>
      <c r="I2283" s="1" t="s">
        <v>8</v>
      </c>
      <c r="J2283" s="1" t="str">
        <f>"38/38"</f>
        <v>38/38</v>
      </c>
      <c r="K2283" s="1" t="str">
        <f>"2026-07-29 13:18:05"</f>
        <v>2026-07-29 13:18:05</v>
      </c>
      <c r="L2283" s="1" t="str">
        <f>"2018-04-17 18:25:45"</f>
        <v>2018-04-17 18:25:45</v>
      </c>
      <c r="M2283" s="1" t="s">
        <v>0</v>
      </c>
      <c r="N2283" s="1" t="s">
        <v>38</v>
      </c>
      <c r="O2283" s="1" t="s">
        <v>46</v>
      </c>
    </row>
    <row r="2284" spans="2:15" x14ac:dyDescent="0.3">
      <c r="B2284" s="1" t="s">
        <v>24</v>
      </c>
      <c r="C2284" s="1" t="str">
        <f t="shared" ref="C2284:C2294" si="132">"4차"</f>
        <v>4차</v>
      </c>
      <c r="D2284" s="1" t="str">
        <f>"0427P56144"</f>
        <v>0427P56144</v>
      </c>
      <c r="E2284" s="1" t="s">
        <v>10</v>
      </c>
      <c r="F2284" s="1" t="str">
        <f>"10.10.114.154"</f>
        <v>10.10.114.154</v>
      </c>
      <c r="G2284" s="1" t="str">
        <f>"0427P561"</f>
        <v>0427P561</v>
      </c>
      <c r="H2284" s="1" t="str">
        <f>"면현지 6R2L2L1"</f>
        <v>면현지 6R2L2L1</v>
      </c>
      <c r="I2284" s="1" t="s">
        <v>8</v>
      </c>
      <c r="J2284" s="1" t="str">
        <f>"27/27"</f>
        <v>27/27</v>
      </c>
      <c r="K2284" s="1" t="str">
        <f t="shared" ref="K2284:K2305" si="133">"2026-07-29 13:18:03"</f>
        <v>2026-07-29 13:18:03</v>
      </c>
      <c r="L2284" s="1" t="str">
        <f>"2019-09-23 16:43:43"</f>
        <v>2019-09-23 16:43:43</v>
      </c>
      <c r="M2284" s="1" t="s">
        <v>1</v>
      </c>
      <c r="N2284" s="1" t="s">
        <v>38</v>
      </c>
      <c r="O2284" s="1" t="s">
        <v>46</v>
      </c>
    </row>
    <row r="2285" spans="2:15" x14ac:dyDescent="0.3">
      <c r="B2285" s="1" t="s">
        <v>24</v>
      </c>
      <c r="C2285" s="1" t="str">
        <f t="shared" si="132"/>
        <v>4차</v>
      </c>
      <c r="D2285" s="1" t="str">
        <f>"0427P59444"</f>
        <v>0427P59444</v>
      </c>
      <c r="E2285" s="1" t="s">
        <v>10</v>
      </c>
      <c r="F2285" s="1" t="str">
        <f>"10.10.57.138"</f>
        <v>10.10.57.138</v>
      </c>
      <c r="G2285" s="1" t="str">
        <f>"0427P594"</f>
        <v>0427P594</v>
      </c>
      <c r="H2285" s="1" t="str">
        <f>"면천간 40B2R11"</f>
        <v>면천간 40B2R11</v>
      </c>
      <c r="I2285" s="1" t="s">
        <v>8</v>
      </c>
      <c r="J2285" s="1" t="str">
        <f>"37/41"</f>
        <v>37/41</v>
      </c>
      <c r="K2285" s="1" t="str">
        <f t="shared" si="133"/>
        <v>2026-07-29 13:18:03</v>
      </c>
      <c r="L2285" s="1" t="str">
        <f>"2021-07-28 16:43:04"</f>
        <v>2021-07-28 16:43:04</v>
      </c>
      <c r="M2285" s="1" t="s">
        <v>1</v>
      </c>
      <c r="N2285" s="1" t="s">
        <v>38</v>
      </c>
      <c r="O2285" s="1" t="s">
        <v>46</v>
      </c>
    </row>
    <row r="2286" spans="2:15" x14ac:dyDescent="0.3">
      <c r="B2286" s="1" t="s">
        <v>24</v>
      </c>
      <c r="C2286" s="1" t="str">
        <f t="shared" si="132"/>
        <v>4차</v>
      </c>
      <c r="D2286" s="1" t="str">
        <f>"0427P62644"</f>
        <v>0427P62644</v>
      </c>
      <c r="E2286" s="1" t="s">
        <v>10</v>
      </c>
      <c r="F2286" s="1" t="str">
        <f>"10.10.115.2"</f>
        <v>10.10.115.2</v>
      </c>
      <c r="G2286" s="1" t="str">
        <f>"0427P626"</f>
        <v>0427P626</v>
      </c>
      <c r="H2286" s="1" t="str">
        <f>"덕수간 68"</f>
        <v>덕수간 68</v>
      </c>
      <c r="I2286" s="1" t="s">
        <v>8</v>
      </c>
      <c r="J2286" s="1" t="str">
        <f>"16/16"</f>
        <v>16/16</v>
      </c>
      <c r="K2286" s="1" t="str">
        <f t="shared" si="133"/>
        <v>2026-07-29 13:18:03</v>
      </c>
      <c r="L2286" s="1" t="str">
        <f>"2019-10-10 10:53:05"</f>
        <v>2019-10-10 10:53:05</v>
      </c>
      <c r="M2286" s="1" t="s">
        <v>1</v>
      </c>
      <c r="N2286" s="1" t="s">
        <v>38</v>
      </c>
      <c r="O2286" s="1" t="s">
        <v>46</v>
      </c>
    </row>
    <row r="2287" spans="2:15" x14ac:dyDescent="0.3">
      <c r="B2287" s="1" t="s">
        <v>24</v>
      </c>
      <c r="C2287" s="1" t="str">
        <f t="shared" si="132"/>
        <v>4차</v>
      </c>
      <c r="D2287" s="1" t="str">
        <f>"0427P63344"</f>
        <v>0427P63344</v>
      </c>
      <c r="E2287" s="1" t="s">
        <v>10</v>
      </c>
      <c r="F2287" s="1" t="str">
        <f>"10.10.59.74"</f>
        <v>10.10.59.74</v>
      </c>
      <c r="G2287" s="1" t="str">
        <f>"0427P633"</f>
        <v>0427P633</v>
      </c>
      <c r="H2287" s="1" t="str">
        <f>"덕수간 70"</f>
        <v>덕수간 70</v>
      </c>
      <c r="I2287" s="1" t="s">
        <v>8</v>
      </c>
      <c r="J2287" s="1" t="str">
        <f>"34/34"</f>
        <v>34/34</v>
      </c>
      <c r="K2287" s="1" t="str">
        <f t="shared" si="133"/>
        <v>2026-07-29 13:18:03</v>
      </c>
      <c r="L2287" s="1" t="str">
        <f>"2019-10-01 13:32:58"</f>
        <v>2019-10-01 13:32:58</v>
      </c>
      <c r="M2287" s="1" t="s">
        <v>1</v>
      </c>
      <c r="N2287" s="1" t="s">
        <v>38</v>
      </c>
      <c r="O2287" s="1" t="s">
        <v>46</v>
      </c>
    </row>
    <row r="2288" spans="2:15" x14ac:dyDescent="0.3">
      <c r="B2288" s="1" t="s">
        <v>24</v>
      </c>
      <c r="C2288" s="1" t="str">
        <f t="shared" si="132"/>
        <v>4차</v>
      </c>
      <c r="D2288" s="1" t="str">
        <f>"0427P65144"</f>
        <v>0427P65144</v>
      </c>
      <c r="E2288" s="1" t="s">
        <v>10</v>
      </c>
      <c r="F2288" s="1" t="str">
        <f>"10.10.114.226"</f>
        <v>10.10.114.226</v>
      </c>
      <c r="G2288" s="1" t="str">
        <f>"0427P651"</f>
        <v>0427P651</v>
      </c>
      <c r="H2288" s="1" t="str">
        <f>"면현지 16"</f>
        <v>면현지 16</v>
      </c>
      <c r="I2288" s="1" t="s">
        <v>8</v>
      </c>
      <c r="J2288" s="1" t="str">
        <f>"10/10"</f>
        <v>10/10</v>
      </c>
      <c r="K2288" s="1" t="str">
        <f t="shared" si="133"/>
        <v>2026-07-29 13:18:03</v>
      </c>
      <c r="L2288" s="1" t="str">
        <f>"2019-09-23 13:23:27"</f>
        <v>2019-09-23 13:23:27</v>
      </c>
      <c r="M2288" s="1" t="s">
        <v>1</v>
      </c>
      <c r="N2288" s="1" t="s">
        <v>38</v>
      </c>
      <c r="O2288" s="1" t="s">
        <v>46</v>
      </c>
    </row>
    <row r="2289" spans="2:15" x14ac:dyDescent="0.3">
      <c r="B2289" s="1" t="s">
        <v>24</v>
      </c>
      <c r="C2289" s="1" t="str">
        <f t="shared" si="132"/>
        <v>4차</v>
      </c>
      <c r="D2289" s="1" t="str">
        <f>"0427P65244"</f>
        <v>0427P65244</v>
      </c>
      <c r="E2289" s="1" t="s">
        <v>10</v>
      </c>
      <c r="F2289" s="1" t="str">
        <f>"10.10.59.90"</f>
        <v>10.10.59.90</v>
      </c>
      <c r="G2289" s="1" t="str">
        <f>"0427P652"</f>
        <v>0427P652</v>
      </c>
      <c r="H2289" s="1" t="str">
        <f>"덕수간 72"</f>
        <v>덕수간 72</v>
      </c>
      <c r="I2289" s="1" t="s">
        <v>8</v>
      </c>
      <c r="J2289" s="1" t="str">
        <f>"35/35"</f>
        <v>35/35</v>
      </c>
      <c r="K2289" s="1" t="str">
        <f t="shared" si="133"/>
        <v>2026-07-29 13:18:03</v>
      </c>
      <c r="L2289" s="1" t="str">
        <f>"2019-10-01 13:33:04"</f>
        <v>2019-10-01 13:33:04</v>
      </c>
      <c r="M2289" s="1" t="s">
        <v>1</v>
      </c>
      <c r="N2289" s="1" t="s">
        <v>38</v>
      </c>
      <c r="O2289" s="1" t="s">
        <v>46</v>
      </c>
    </row>
    <row r="2290" spans="2:15" x14ac:dyDescent="0.3">
      <c r="B2290" s="1" t="s">
        <v>24</v>
      </c>
      <c r="C2290" s="1" t="str">
        <f t="shared" si="132"/>
        <v>4차</v>
      </c>
      <c r="D2290" s="1" t="str">
        <f>"0427P69239"</f>
        <v>0427P69239</v>
      </c>
      <c r="E2290" s="1" t="s">
        <v>10</v>
      </c>
      <c r="F2290" s="1" t="str">
        <f>"10.11.120.2"</f>
        <v>10.11.120.2</v>
      </c>
      <c r="G2290" s="1" t="str">
        <f>"0427P692"</f>
        <v>0427P692</v>
      </c>
      <c r="H2290" s="1" t="str">
        <f>"면천간 40B2R14"</f>
        <v>면천간 40B2R14</v>
      </c>
      <c r="I2290" s="1" t="s">
        <v>8</v>
      </c>
      <c r="J2290" s="1" t="str">
        <f>"191/192"</f>
        <v>191/192</v>
      </c>
      <c r="K2290" s="1" t="str">
        <f t="shared" si="133"/>
        <v>2026-07-29 13:18:03</v>
      </c>
      <c r="L2290" s="1" t="str">
        <f>"2018-12-20 11:19:59"</f>
        <v>2018-12-20 11:19:59</v>
      </c>
      <c r="M2290" s="1" t="s">
        <v>2</v>
      </c>
      <c r="N2290" s="1" t="s">
        <v>38</v>
      </c>
      <c r="O2290" s="1" t="s">
        <v>46</v>
      </c>
    </row>
    <row r="2291" spans="2:15" x14ac:dyDescent="0.3">
      <c r="B2291" s="1" t="s">
        <v>24</v>
      </c>
      <c r="C2291" s="1" t="str">
        <f t="shared" si="132"/>
        <v>4차</v>
      </c>
      <c r="D2291" s="1" t="str">
        <f>"0427P70444"</f>
        <v>0427P70444</v>
      </c>
      <c r="E2291" s="1" t="s">
        <v>10</v>
      </c>
      <c r="F2291" s="1" t="str">
        <f>"10.10.58.218"</f>
        <v>10.10.58.218</v>
      </c>
      <c r="G2291" s="1" t="str">
        <f>"0427P704"</f>
        <v>0427P704</v>
      </c>
      <c r="H2291" s="1" t="str">
        <f>"덕수간 63R1H1"</f>
        <v>덕수간 63R1H1</v>
      </c>
      <c r="I2291" s="1" t="s">
        <v>8</v>
      </c>
      <c r="J2291" s="1" t="str">
        <f>"91/91"</f>
        <v>91/91</v>
      </c>
      <c r="K2291" s="1" t="str">
        <f t="shared" si="133"/>
        <v>2026-07-29 13:18:03</v>
      </c>
      <c r="L2291" s="1" t="str">
        <f>"2019-10-01 18:03:30"</f>
        <v>2019-10-01 18:03:30</v>
      </c>
      <c r="M2291" s="1" t="s">
        <v>1</v>
      </c>
      <c r="N2291" s="1" t="s">
        <v>38</v>
      </c>
      <c r="O2291" s="1" t="s">
        <v>46</v>
      </c>
    </row>
    <row r="2292" spans="2:15" x14ac:dyDescent="0.3">
      <c r="B2292" s="1" t="s">
        <v>24</v>
      </c>
      <c r="C2292" s="1" t="str">
        <f t="shared" si="132"/>
        <v>4차</v>
      </c>
      <c r="D2292" s="1" t="str">
        <f>"0427P71144"</f>
        <v>0427P71144</v>
      </c>
      <c r="E2292" s="1" t="s">
        <v>10</v>
      </c>
      <c r="F2292" s="1" t="str">
        <f>"10.10.113.42"</f>
        <v>10.10.113.42</v>
      </c>
      <c r="G2292" s="1" t="str">
        <f>"0427P711"</f>
        <v>0427P711</v>
      </c>
      <c r="H2292" s="1" t="str">
        <f>"상능간 19R7L5"</f>
        <v>상능간 19R7L5</v>
      </c>
      <c r="I2292" s="1" t="s">
        <v>8</v>
      </c>
      <c r="J2292" s="1" t="str">
        <f>"24/24"</f>
        <v>24/24</v>
      </c>
      <c r="K2292" s="1" t="str">
        <f t="shared" si="133"/>
        <v>2026-07-29 13:18:03</v>
      </c>
      <c r="L2292" s="1" t="str">
        <f>"2019-10-31 14:00:35"</f>
        <v>2019-10-31 14:00:35</v>
      </c>
      <c r="M2292" s="1" t="s">
        <v>1</v>
      </c>
      <c r="N2292" s="1" t="s">
        <v>38</v>
      </c>
      <c r="O2292" s="1" t="s">
        <v>46</v>
      </c>
    </row>
    <row r="2293" spans="2:15" x14ac:dyDescent="0.3">
      <c r="B2293" s="1" t="s">
        <v>24</v>
      </c>
      <c r="C2293" s="1" t="str">
        <f t="shared" si="132"/>
        <v>4차</v>
      </c>
      <c r="D2293" s="1" t="str">
        <f>"0427P71344"</f>
        <v>0427P71344</v>
      </c>
      <c r="E2293" s="1" t="s">
        <v>10</v>
      </c>
      <c r="F2293" s="1" t="str">
        <f>"10.10.49.186"</f>
        <v>10.10.49.186</v>
      </c>
      <c r="G2293" s="1" t="str">
        <f>"0427P713"</f>
        <v>0427P713</v>
      </c>
      <c r="H2293" s="1" t="str">
        <f>"상능간 19R7L4"</f>
        <v>상능간 19R7L4</v>
      </c>
      <c r="I2293" s="1" t="s">
        <v>8</v>
      </c>
      <c r="J2293" s="1" t="str">
        <f>"61/66"</f>
        <v>61/66</v>
      </c>
      <c r="K2293" s="1" t="str">
        <f t="shared" si="133"/>
        <v>2026-07-29 13:18:03</v>
      </c>
      <c r="L2293" s="1" t="str">
        <f>"2020-01-10 17:00:22"</f>
        <v>2020-01-10 17:00:22</v>
      </c>
      <c r="M2293" s="1" t="s">
        <v>1</v>
      </c>
      <c r="N2293" s="1" t="s">
        <v>38</v>
      </c>
      <c r="O2293" s="1" t="s">
        <v>46</v>
      </c>
    </row>
    <row r="2294" spans="2:15" x14ac:dyDescent="0.3">
      <c r="B2294" s="1" t="s">
        <v>24</v>
      </c>
      <c r="C2294" s="1" t="str">
        <f t="shared" si="132"/>
        <v>4차</v>
      </c>
      <c r="D2294" s="1" t="str">
        <f>"0427P72144"</f>
        <v>0427P72144</v>
      </c>
      <c r="E2294" s="1" t="s">
        <v>10</v>
      </c>
      <c r="F2294" s="1" t="str">
        <f>"10.10.49.194"</f>
        <v>10.10.49.194</v>
      </c>
      <c r="G2294" s="1" t="str">
        <f>"0427P721"</f>
        <v>0427P721</v>
      </c>
      <c r="H2294" s="1" t="str">
        <f>"상능간 19R7L6"</f>
        <v>상능간 19R7L6</v>
      </c>
      <c r="I2294" s="1" t="s">
        <v>8</v>
      </c>
      <c r="J2294" s="1" t="str">
        <f>"74/74"</f>
        <v>74/74</v>
      </c>
      <c r="K2294" s="1" t="str">
        <f t="shared" si="133"/>
        <v>2026-07-29 13:18:03</v>
      </c>
      <c r="L2294" s="1" t="str">
        <f>"2019-10-31 14:13:04"</f>
        <v>2019-10-31 14:13:04</v>
      </c>
      <c r="M2294" s="1" t="s">
        <v>1</v>
      </c>
      <c r="N2294" s="1" t="s">
        <v>38</v>
      </c>
      <c r="O2294" s="1" t="s">
        <v>46</v>
      </c>
    </row>
    <row r="2295" spans="2:15" x14ac:dyDescent="0.3">
      <c r="B2295" s="1" t="s">
        <v>24</v>
      </c>
      <c r="C2295" s="1" t="str">
        <f>"3차"</f>
        <v>3차</v>
      </c>
      <c r="D2295" s="1" t="str">
        <f>"0427P73339"</f>
        <v>0427P73339</v>
      </c>
      <c r="E2295" s="1" t="s">
        <v>10</v>
      </c>
      <c r="F2295" s="1" t="str">
        <f>"10.12.129.42"</f>
        <v>10.12.129.42</v>
      </c>
      <c r="G2295" s="1" t="str">
        <f>"0427P733"</f>
        <v>0427P733</v>
      </c>
      <c r="H2295" s="1" t="str">
        <f>"상능간 19R7L8"</f>
        <v>상능간 19R7L8</v>
      </c>
      <c r="I2295" s="1" t="s">
        <v>8</v>
      </c>
      <c r="J2295" s="1" t="str">
        <f>"37/37"</f>
        <v>37/37</v>
      </c>
      <c r="K2295" s="1" t="str">
        <f t="shared" si="133"/>
        <v>2026-07-29 13:18:03</v>
      </c>
      <c r="L2295" s="1" t="str">
        <f>"2018-04-19 10:00:11"</f>
        <v>2018-04-19 10:00:11</v>
      </c>
      <c r="M2295" s="1" t="s">
        <v>0</v>
      </c>
      <c r="N2295" s="1" t="s">
        <v>38</v>
      </c>
      <c r="O2295" s="1" t="s">
        <v>46</v>
      </c>
    </row>
    <row r="2296" spans="2:15" x14ac:dyDescent="0.3">
      <c r="B2296" s="1" t="s">
        <v>24</v>
      </c>
      <c r="C2296" s="1" t="str">
        <f>"4차"</f>
        <v>4차</v>
      </c>
      <c r="D2296" s="1" t="str">
        <f>"0427P74144"</f>
        <v>0427P74144</v>
      </c>
      <c r="E2296" s="1" t="s">
        <v>10</v>
      </c>
      <c r="F2296" s="1" t="str">
        <f>"10.10.49.210"</f>
        <v>10.10.49.210</v>
      </c>
      <c r="G2296" s="1" t="str">
        <f>"0427P741"</f>
        <v>0427P741</v>
      </c>
      <c r="H2296" s="1" t="str">
        <f>"상능간 19R7L9"</f>
        <v>상능간 19R7L9</v>
      </c>
      <c r="I2296" s="1" t="s">
        <v>8</v>
      </c>
      <c r="J2296" s="1" t="str">
        <f>"41/41"</f>
        <v>41/41</v>
      </c>
      <c r="K2296" s="1" t="str">
        <f t="shared" si="133"/>
        <v>2026-07-29 13:18:03</v>
      </c>
      <c r="L2296" s="1" t="str">
        <f>"2019-10-31 17:23:23"</f>
        <v>2019-10-31 17:23:23</v>
      </c>
      <c r="M2296" s="1" t="s">
        <v>1</v>
      </c>
      <c r="N2296" s="1" t="s">
        <v>38</v>
      </c>
      <c r="O2296" s="1" t="s">
        <v>46</v>
      </c>
    </row>
    <row r="2297" spans="2:15" x14ac:dyDescent="0.3">
      <c r="B2297" s="1" t="s">
        <v>24</v>
      </c>
      <c r="C2297" s="1" t="str">
        <f>"4차"</f>
        <v>4차</v>
      </c>
      <c r="D2297" s="1" t="str">
        <f>"0427P76244"</f>
        <v>0427P76244</v>
      </c>
      <c r="E2297" s="1" t="s">
        <v>10</v>
      </c>
      <c r="F2297" s="1" t="str">
        <f>"10.10.117.2"</f>
        <v>10.10.117.2</v>
      </c>
      <c r="G2297" s="1" t="str">
        <f>"0427P762"</f>
        <v>0427P762</v>
      </c>
      <c r="H2297" s="1" t="str">
        <f>"덕수간 74"</f>
        <v>덕수간 74</v>
      </c>
      <c r="I2297" s="1" t="s">
        <v>8</v>
      </c>
      <c r="J2297" s="1" t="str">
        <f>"15/15"</f>
        <v>15/15</v>
      </c>
      <c r="K2297" s="1" t="str">
        <f t="shared" si="133"/>
        <v>2026-07-29 13:18:03</v>
      </c>
      <c r="L2297" s="1" t="str">
        <f>"2019-10-01 11:51:11"</f>
        <v>2019-10-01 11:51:11</v>
      </c>
      <c r="M2297" s="1" t="s">
        <v>1</v>
      </c>
      <c r="N2297" s="1" t="s">
        <v>38</v>
      </c>
      <c r="O2297" s="1" t="s">
        <v>46</v>
      </c>
    </row>
    <row r="2298" spans="2:15" x14ac:dyDescent="0.3">
      <c r="B2298" s="1" t="s">
        <v>24</v>
      </c>
      <c r="C2298" s="1" t="str">
        <f>"4차"</f>
        <v>4차</v>
      </c>
      <c r="D2298" s="1" t="str">
        <f>"0427P82144"</f>
        <v>0427P82144</v>
      </c>
      <c r="E2298" s="1" t="s">
        <v>10</v>
      </c>
      <c r="F2298" s="1" t="str">
        <f>"10.10.49.202"</f>
        <v>10.10.49.202</v>
      </c>
      <c r="G2298" s="1" t="str">
        <f>"0427P821"</f>
        <v>0427P821</v>
      </c>
      <c r="H2298" s="1" t="str">
        <f>"상능간 19R7L6R1"</f>
        <v>상능간 19R7L6R1</v>
      </c>
      <c r="I2298" s="1" t="s">
        <v>8</v>
      </c>
      <c r="J2298" s="1" t="str">
        <f>"77/77"</f>
        <v>77/77</v>
      </c>
      <c r="K2298" s="1" t="str">
        <f t="shared" si="133"/>
        <v>2026-07-29 13:18:03</v>
      </c>
      <c r="L2298" s="1" t="str">
        <f>"2019-10-31 17:20:39"</f>
        <v>2019-10-31 17:20:39</v>
      </c>
      <c r="M2298" s="1" t="s">
        <v>1</v>
      </c>
      <c r="N2298" s="1" t="s">
        <v>38</v>
      </c>
      <c r="O2298" s="1" t="s">
        <v>46</v>
      </c>
    </row>
    <row r="2299" spans="2:15" x14ac:dyDescent="0.3">
      <c r="B2299" s="1" t="s">
        <v>24</v>
      </c>
      <c r="C2299" s="1" t="str">
        <f>"4차"</f>
        <v>4차</v>
      </c>
      <c r="D2299" s="1" t="str">
        <f>"0427P85244"</f>
        <v>0427P85244</v>
      </c>
      <c r="E2299" s="1" t="s">
        <v>10</v>
      </c>
      <c r="F2299" s="1" t="str">
        <f>"10.10.59.114"</f>
        <v>10.10.59.114</v>
      </c>
      <c r="G2299" s="1" t="str">
        <f>"0427P852"</f>
        <v>0427P852</v>
      </c>
      <c r="H2299" s="1" t="str">
        <f>"덕수간 73R2"</f>
        <v>덕수간 73R2</v>
      </c>
      <c r="I2299" s="1" t="s">
        <v>8</v>
      </c>
      <c r="J2299" s="1" t="str">
        <f>"55/55"</f>
        <v>55/55</v>
      </c>
      <c r="K2299" s="1" t="str">
        <f t="shared" si="133"/>
        <v>2026-07-29 13:18:03</v>
      </c>
      <c r="L2299" s="1" t="str">
        <f>"2019-10-01 11:48:43"</f>
        <v>2019-10-01 11:48:43</v>
      </c>
      <c r="M2299" s="1" t="s">
        <v>1</v>
      </c>
      <c r="N2299" s="1" t="s">
        <v>38</v>
      </c>
      <c r="O2299" s="1" t="s">
        <v>46</v>
      </c>
    </row>
    <row r="2300" spans="2:15" x14ac:dyDescent="0.3">
      <c r="B2300" s="1" t="s">
        <v>24</v>
      </c>
      <c r="C2300" s="1" t="str">
        <f>"3차"</f>
        <v>3차</v>
      </c>
      <c r="D2300" s="1" t="str">
        <f>"0427P86139"</f>
        <v>0427P86139</v>
      </c>
      <c r="E2300" s="1" t="s">
        <v>10</v>
      </c>
      <c r="F2300" s="1" t="str">
        <f>"10.12.129.16"</f>
        <v>10.12.129.16</v>
      </c>
      <c r="G2300" s="1" t="str">
        <f>"0427P861"</f>
        <v>0427P861</v>
      </c>
      <c r="H2300" s="1" t="str">
        <f>"덕수간 74R2"</f>
        <v>덕수간 74R2</v>
      </c>
      <c r="I2300" s="1" t="s">
        <v>8</v>
      </c>
      <c r="J2300" s="1" t="str">
        <f>"20/20"</f>
        <v>20/20</v>
      </c>
      <c r="K2300" s="1" t="str">
        <f t="shared" si="133"/>
        <v>2026-07-29 13:18:03</v>
      </c>
      <c r="L2300" s="1" t="str">
        <f>"2018-04-19 10:45:26"</f>
        <v>2018-04-19 10:45:26</v>
      </c>
      <c r="M2300" s="1" t="s">
        <v>0</v>
      </c>
      <c r="N2300" s="1" t="s">
        <v>38</v>
      </c>
      <c r="O2300" s="1" t="s">
        <v>46</v>
      </c>
    </row>
    <row r="2301" spans="2:15" x14ac:dyDescent="0.3">
      <c r="B2301" s="1" t="s">
        <v>24</v>
      </c>
      <c r="C2301" s="1" t="str">
        <f t="shared" ref="C2301:C2306" si="134">"4차"</f>
        <v>4차</v>
      </c>
      <c r="D2301" s="1" t="str">
        <f>"0427P86244"</f>
        <v>0427P86244</v>
      </c>
      <c r="E2301" s="1" t="s">
        <v>10</v>
      </c>
      <c r="F2301" s="1" t="str">
        <f>"10.10.117.10"</f>
        <v>10.10.117.10</v>
      </c>
      <c r="G2301" s="1" t="str">
        <f>"0427P862"</f>
        <v>0427P862</v>
      </c>
      <c r="H2301" s="1" t="str">
        <f>"덕수간 74R1"</f>
        <v>덕수간 74R1</v>
      </c>
      <c r="I2301" s="1" t="s">
        <v>8</v>
      </c>
      <c r="J2301" s="1" t="str">
        <f>"56/56"</f>
        <v>56/56</v>
      </c>
      <c r="K2301" s="1" t="str">
        <f t="shared" si="133"/>
        <v>2026-07-29 13:18:03</v>
      </c>
      <c r="L2301" s="1" t="str">
        <f>"2019-10-01 11:55:58"</f>
        <v>2019-10-01 11:55:58</v>
      </c>
      <c r="M2301" s="1" t="s">
        <v>1</v>
      </c>
      <c r="N2301" s="1" t="s">
        <v>38</v>
      </c>
      <c r="O2301" s="1" t="s">
        <v>46</v>
      </c>
    </row>
    <row r="2302" spans="2:15" x14ac:dyDescent="0.3">
      <c r="B2302" s="1" t="s">
        <v>24</v>
      </c>
      <c r="C2302" s="1" t="str">
        <f t="shared" si="134"/>
        <v>4차</v>
      </c>
      <c r="D2302" s="1" t="str">
        <f>"0427P87144"</f>
        <v>0427P87144</v>
      </c>
      <c r="E2302" s="1" t="s">
        <v>10</v>
      </c>
      <c r="F2302" s="1" t="str">
        <f>"10.10.49.154"</f>
        <v>10.10.49.154</v>
      </c>
      <c r="G2302" s="1" t="str">
        <f>"0427P871"</f>
        <v>0427P871</v>
      </c>
      <c r="H2302" s="1" t="str">
        <f>"상능간 19R20L2"</f>
        <v>상능간 19R20L2</v>
      </c>
      <c r="I2302" s="1" t="s">
        <v>8</v>
      </c>
      <c r="J2302" s="1" t="str">
        <f>"20/20"</f>
        <v>20/20</v>
      </c>
      <c r="K2302" s="1" t="str">
        <f t="shared" si="133"/>
        <v>2026-07-29 13:18:03</v>
      </c>
      <c r="L2302" s="1" t="str">
        <f>"2019-10-31 17:23:04"</f>
        <v>2019-10-31 17:23:04</v>
      </c>
      <c r="M2302" s="1" t="s">
        <v>1</v>
      </c>
      <c r="N2302" s="1" t="s">
        <v>38</v>
      </c>
      <c r="O2302" s="1" t="s">
        <v>46</v>
      </c>
    </row>
    <row r="2303" spans="2:15" x14ac:dyDescent="0.3">
      <c r="B2303" s="1" t="s">
        <v>24</v>
      </c>
      <c r="C2303" s="1" t="str">
        <f t="shared" si="134"/>
        <v>4차</v>
      </c>
      <c r="D2303" s="1" t="str">
        <f>"0427P90344"</f>
        <v>0427P90344</v>
      </c>
      <c r="E2303" s="1" t="s">
        <v>10</v>
      </c>
      <c r="F2303" s="1" t="str">
        <f>"10.14.15.184"</f>
        <v>10.14.15.184</v>
      </c>
      <c r="G2303" s="1" t="str">
        <f>"0427P903"</f>
        <v>0427P903</v>
      </c>
      <c r="H2303" s="1" t="str">
        <f>"덕수간 63R3"</f>
        <v>덕수간 63R3</v>
      </c>
      <c r="I2303" s="1" t="s">
        <v>8</v>
      </c>
      <c r="J2303" s="1" t="str">
        <f>"23/23"</f>
        <v>23/23</v>
      </c>
      <c r="K2303" s="1" t="str">
        <f t="shared" si="133"/>
        <v>2026-07-29 13:18:03</v>
      </c>
      <c r="L2303" s="1" t="str">
        <f>"2019-10-01 15:45:27"</f>
        <v>2019-10-01 15:45:27</v>
      </c>
      <c r="M2303" s="1" t="s">
        <v>3</v>
      </c>
      <c r="N2303" s="1" t="s">
        <v>38</v>
      </c>
      <c r="O2303" s="1" t="s">
        <v>46</v>
      </c>
    </row>
    <row r="2304" spans="2:15" x14ac:dyDescent="0.3">
      <c r="B2304" s="1" t="s">
        <v>24</v>
      </c>
      <c r="C2304" s="1" t="str">
        <f t="shared" si="134"/>
        <v>4차</v>
      </c>
      <c r="D2304" s="1" t="str">
        <f>"0427P91344"</f>
        <v>0427P91344</v>
      </c>
      <c r="E2304" s="1" t="s">
        <v>10</v>
      </c>
      <c r="F2304" s="1" t="str">
        <f>"10.10.49.178"</f>
        <v>10.10.49.178</v>
      </c>
      <c r="G2304" s="1" t="str">
        <f>"0427P913"</f>
        <v>0427P913</v>
      </c>
      <c r="H2304" s="1" t="str">
        <f>"상능간 19R7L1"</f>
        <v>상능간 19R7L1</v>
      </c>
      <c r="I2304" s="1" t="s">
        <v>8</v>
      </c>
      <c r="J2304" s="1" t="str">
        <f>"36/36"</f>
        <v>36/36</v>
      </c>
      <c r="K2304" s="1" t="str">
        <f t="shared" si="133"/>
        <v>2026-07-29 13:18:03</v>
      </c>
      <c r="L2304" s="1" t="str">
        <f>"2019-10-31 17:28:38"</f>
        <v>2019-10-31 17:28:38</v>
      </c>
      <c r="M2304" s="1" t="s">
        <v>1</v>
      </c>
      <c r="N2304" s="1" t="s">
        <v>38</v>
      </c>
      <c r="O2304" s="1" t="s">
        <v>46</v>
      </c>
    </row>
    <row r="2305" spans="2:15" x14ac:dyDescent="0.3">
      <c r="B2305" s="1" t="s">
        <v>24</v>
      </c>
      <c r="C2305" s="1" t="str">
        <f t="shared" si="134"/>
        <v>4차</v>
      </c>
      <c r="D2305" s="1" t="str">
        <f>"0427P95144"</f>
        <v>0427P95144</v>
      </c>
      <c r="E2305" s="1" t="s">
        <v>10</v>
      </c>
      <c r="F2305" s="1" t="str">
        <f>"10.10.60.178"</f>
        <v>10.10.60.178</v>
      </c>
      <c r="G2305" s="1" t="str">
        <f>"0427P951"</f>
        <v>0427P951</v>
      </c>
      <c r="H2305" s="1" t="str">
        <f>"덕수간 73R3"</f>
        <v>덕수간 73R3</v>
      </c>
      <c r="I2305" s="1" t="s">
        <v>8</v>
      </c>
      <c r="J2305" s="1" t="str">
        <f>"49/49"</f>
        <v>49/49</v>
      </c>
      <c r="K2305" s="1" t="str">
        <f t="shared" si="133"/>
        <v>2026-07-29 13:18:03</v>
      </c>
      <c r="L2305" s="1" t="str">
        <f>"2019-10-01 11:58:41"</f>
        <v>2019-10-01 11:58:41</v>
      </c>
      <c r="M2305" s="1" t="s">
        <v>1</v>
      </c>
      <c r="N2305" s="1" t="s">
        <v>38</v>
      </c>
      <c r="O2305" s="1" t="s">
        <v>46</v>
      </c>
    </row>
    <row r="2306" spans="2:15" x14ac:dyDescent="0.3">
      <c r="B2306" s="1" t="s">
        <v>24</v>
      </c>
      <c r="C2306" s="1" t="str">
        <f t="shared" si="134"/>
        <v>4차</v>
      </c>
      <c r="D2306" s="1" t="str">
        <f>"0427P96344"</f>
        <v>0427P96344</v>
      </c>
      <c r="E2306" s="1" t="s">
        <v>10</v>
      </c>
      <c r="F2306" s="1" t="str">
        <f>"10.12.138.55"</f>
        <v>10.12.138.55</v>
      </c>
      <c r="G2306" s="1" t="str">
        <f>"0427P963"</f>
        <v>0427P963</v>
      </c>
      <c r="H2306" s="1" t="str">
        <f>"덕수간 74R3"</f>
        <v>덕수간 74R3</v>
      </c>
      <c r="I2306" s="1" t="s">
        <v>8</v>
      </c>
      <c r="J2306" s="1" t="str">
        <f>"113/113"</f>
        <v>113/113</v>
      </c>
      <c r="K2306" s="1" t="str">
        <f>"2026-07-29 13:18:06"</f>
        <v>2026-07-29 13:18:06</v>
      </c>
      <c r="L2306" s="1" t="str">
        <f>"2019-11-11 19:50:10"</f>
        <v>2019-11-11 19:50:10</v>
      </c>
      <c r="M2306" s="1" t="s">
        <v>0</v>
      </c>
      <c r="N2306" s="1" t="s">
        <v>38</v>
      </c>
      <c r="O2306" s="1" t="s">
        <v>46</v>
      </c>
    </row>
    <row r="2307" spans="2:15" x14ac:dyDescent="0.3">
      <c r="B2307" s="1" t="s">
        <v>24</v>
      </c>
      <c r="C2307" s="1" t="str">
        <f>"1차"</f>
        <v>1차</v>
      </c>
      <c r="D2307" s="1" t="str">
        <f>"0427P97100"</f>
        <v>0427P97100</v>
      </c>
      <c r="E2307" s="1" t="s">
        <v>10</v>
      </c>
      <c r="F2307" s="1" t="str">
        <f>"10.89.247.85"</f>
        <v>10.89.247.85</v>
      </c>
      <c r="G2307" s="1" t="str">
        <f>"0427P971"</f>
        <v>0427P971</v>
      </c>
      <c r="H2307" s="1" t="str">
        <f>"상능간 19R20L1"</f>
        <v>상능간 19R20L1</v>
      </c>
      <c r="I2307" s="1" t="s">
        <v>8</v>
      </c>
      <c r="J2307" s="1" t="str">
        <f>"55/56"</f>
        <v>55/56</v>
      </c>
      <c r="K2307" s="1" t="str">
        <f>"2026-07-29 13:18:03"</f>
        <v>2026-07-29 13:18:03</v>
      </c>
      <c r="L2307" s="1" t="str">
        <f>"2014-10-14 15:07:52"</f>
        <v>2014-10-14 15:07:52</v>
      </c>
      <c r="M2307" s="1" t="s">
        <v>45</v>
      </c>
      <c r="N2307" s="1" t="s">
        <v>38</v>
      </c>
      <c r="O2307" s="1" t="s">
        <v>46</v>
      </c>
    </row>
    <row r="2308" spans="2:15" x14ac:dyDescent="0.3">
      <c r="B2308" s="1" t="s">
        <v>24</v>
      </c>
      <c r="C2308" s="1" t="str">
        <f>"4차"</f>
        <v>4차</v>
      </c>
      <c r="D2308" s="1" t="str">
        <f>"0427P98142"</f>
        <v>0427P98142</v>
      </c>
      <c r="E2308" s="1" t="s">
        <v>10</v>
      </c>
      <c r="F2308" s="1" t="str">
        <f>"10.89.247.83"</f>
        <v>10.89.247.83</v>
      </c>
      <c r="G2308" s="1" t="str">
        <f>"0427P981"</f>
        <v>0427P981</v>
      </c>
      <c r="H2308" s="1" t="str">
        <f>"능동간 21"</f>
        <v>능동간 21</v>
      </c>
      <c r="I2308" s="1" t="s">
        <v>8</v>
      </c>
      <c r="J2308" s="1" t="str">
        <f>"42/42"</f>
        <v>42/42</v>
      </c>
      <c r="K2308" s="1" t="str">
        <f>"2026-07-29 13:18:03"</f>
        <v>2026-07-29 13:18:03</v>
      </c>
      <c r="L2308" s="1" t="str">
        <f>"2025-01-22 09:05:36"</f>
        <v>2025-01-22 09:05:36</v>
      </c>
      <c r="M2308" s="1" t="s">
        <v>45</v>
      </c>
      <c r="N2308" s="1" t="s">
        <v>38</v>
      </c>
      <c r="O2308" s="1" t="s">
        <v>46</v>
      </c>
    </row>
    <row r="2309" spans="2:15" x14ac:dyDescent="0.3">
      <c r="B2309" s="1" t="s">
        <v>24</v>
      </c>
      <c r="C2309" s="1" t="str">
        <f>"6차"</f>
        <v>6차</v>
      </c>
      <c r="D2309" s="1" t="str">
        <f>"0427P9826S"</f>
        <v>0427P9826S</v>
      </c>
      <c r="E2309" s="1" t="s">
        <v>10</v>
      </c>
      <c r="F2309" s="1" t="str">
        <f>"fde1:103:4:9234:0:0:0:2"</f>
        <v>fde1:103:4:9234:0:0:0:2</v>
      </c>
      <c r="G2309" s="1" t="str">
        <f>"0427P982"</f>
        <v>0427P982</v>
      </c>
      <c r="H2309" s="1" t="str">
        <f>"능동간 22"</f>
        <v>능동간 22</v>
      </c>
      <c r="I2309" s="1" t="s">
        <v>15</v>
      </c>
      <c r="J2309" s="1" t="str">
        <f>"30/30"</f>
        <v>30/30</v>
      </c>
      <c r="K2309" s="1" t="str">
        <f>"2026-07-29 08:20:23"</f>
        <v>2026-07-29 08:20:23</v>
      </c>
      <c r="L2309" s="1" t="str">
        <f>"2025-02-21 17:24:56"</f>
        <v>2025-02-21 17:24:56</v>
      </c>
      <c r="M2309" s="1" t="s">
        <v>4</v>
      </c>
      <c r="N2309" s="1" t="s">
        <v>38</v>
      </c>
      <c r="O2309" s="1" t="s">
        <v>46</v>
      </c>
    </row>
    <row r="2310" spans="2:15" x14ac:dyDescent="0.3">
      <c r="B2310" s="1" t="s">
        <v>24</v>
      </c>
      <c r="C2310" s="1" t="str">
        <f>"1차"</f>
        <v>1차</v>
      </c>
      <c r="D2310" s="1" t="str">
        <f>"0427P99101"</f>
        <v>0427P99101</v>
      </c>
      <c r="E2310" s="1" t="s">
        <v>10</v>
      </c>
      <c r="F2310" s="1" t="str">
        <f>"10.89.247.141"</f>
        <v>10.89.247.141</v>
      </c>
      <c r="G2310" s="1" t="str">
        <f>"0427P991"</f>
        <v>0427P991</v>
      </c>
      <c r="H2310" s="1" t="str">
        <f>"면목로 SW10R6"</f>
        <v>면목로 SW10R6</v>
      </c>
      <c r="I2310" s="1" t="s">
        <v>8</v>
      </c>
      <c r="J2310" s="1" t="str">
        <f>"22/22"</f>
        <v>22/22</v>
      </c>
      <c r="K2310" s="1" t="str">
        <f t="shared" ref="K2310:K2316" si="135">"2026-07-29 13:18:03"</f>
        <v>2026-07-29 13:18:03</v>
      </c>
      <c r="L2310" s="1" t="str">
        <f>"2014-10-29 14:40:47"</f>
        <v>2014-10-29 14:40:47</v>
      </c>
      <c r="M2310" s="1" t="s">
        <v>45</v>
      </c>
      <c r="N2310" s="1" t="s">
        <v>38</v>
      </c>
      <c r="O2310" s="1" t="s">
        <v>46</v>
      </c>
    </row>
    <row r="2311" spans="2:15" x14ac:dyDescent="0.3">
      <c r="B2311" s="1" t="s">
        <v>24</v>
      </c>
      <c r="C2311" s="1" t="str">
        <f>"4차"</f>
        <v>4차</v>
      </c>
      <c r="D2311" s="1" t="str">
        <f>"0427Q00244"</f>
        <v>0427Q00244</v>
      </c>
      <c r="E2311" s="1" t="s">
        <v>10</v>
      </c>
      <c r="F2311" s="1" t="str">
        <f>"10.10.59.58"</f>
        <v>10.10.59.58</v>
      </c>
      <c r="G2311" s="1" t="str">
        <f>"0427Q002"</f>
        <v>0427Q002</v>
      </c>
      <c r="H2311" s="1" t="str">
        <f>"덕수간 63R4"</f>
        <v>덕수간 63R4</v>
      </c>
      <c r="I2311" s="1" t="s">
        <v>8</v>
      </c>
      <c r="J2311" s="1" t="str">
        <f>"45/45"</f>
        <v>45/45</v>
      </c>
      <c r="K2311" s="1" t="str">
        <f t="shared" si="135"/>
        <v>2026-07-29 13:18:03</v>
      </c>
      <c r="L2311" s="1" t="str">
        <f>"2019-11-25 09:47:27"</f>
        <v>2019-11-25 09:47:27</v>
      </c>
      <c r="M2311" s="1" t="s">
        <v>1</v>
      </c>
      <c r="N2311" s="1" t="s">
        <v>38</v>
      </c>
      <c r="O2311" s="1" t="s">
        <v>46</v>
      </c>
    </row>
    <row r="2312" spans="2:15" x14ac:dyDescent="0.3">
      <c r="B2312" s="1" t="s">
        <v>24</v>
      </c>
      <c r="C2312" s="1" t="str">
        <f>"4차"</f>
        <v>4차</v>
      </c>
      <c r="D2312" s="1" t="str">
        <f>"0427Q01344"</f>
        <v>0427Q01344</v>
      </c>
      <c r="E2312" s="1" t="s">
        <v>10</v>
      </c>
      <c r="F2312" s="1" t="str">
        <f>"10.10.49.218"</f>
        <v>10.10.49.218</v>
      </c>
      <c r="G2312" s="1" t="str">
        <f>"0427Q013"</f>
        <v>0427Q013</v>
      </c>
      <c r="H2312" s="1" t="str">
        <f>"상능간 19R9"</f>
        <v>상능간 19R9</v>
      </c>
      <c r="I2312" s="1" t="s">
        <v>8</v>
      </c>
      <c r="J2312" s="1" t="str">
        <f>"45/45"</f>
        <v>45/45</v>
      </c>
      <c r="K2312" s="1" t="str">
        <f t="shared" si="135"/>
        <v>2026-07-29 13:18:03</v>
      </c>
      <c r="L2312" s="1" t="str">
        <f>"2019-10-31 17:17:22"</f>
        <v>2019-10-31 17:17:22</v>
      </c>
      <c r="M2312" s="1" t="s">
        <v>1</v>
      </c>
      <c r="N2312" s="1" t="s">
        <v>38</v>
      </c>
      <c r="O2312" s="1" t="s">
        <v>46</v>
      </c>
    </row>
    <row r="2313" spans="2:15" x14ac:dyDescent="0.3">
      <c r="B2313" s="1" t="s">
        <v>24</v>
      </c>
      <c r="C2313" s="1" t="str">
        <f>"4차"</f>
        <v>4차</v>
      </c>
      <c r="D2313" s="1" t="str">
        <f>"0427Q01444"</f>
        <v>0427Q01444</v>
      </c>
      <c r="E2313" s="1" t="s">
        <v>10</v>
      </c>
      <c r="F2313" s="1" t="str">
        <f>"10.10.49.170"</f>
        <v>10.10.49.170</v>
      </c>
      <c r="G2313" s="1" t="str">
        <f>"0427Q014"</f>
        <v>0427Q014</v>
      </c>
      <c r="H2313" s="1" t="str">
        <f>"상능간 19R6"</f>
        <v>상능간 19R6</v>
      </c>
      <c r="I2313" s="1" t="s">
        <v>8</v>
      </c>
      <c r="J2313" s="1" t="str">
        <f>"55/55"</f>
        <v>55/55</v>
      </c>
      <c r="K2313" s="1" t="str">
        <f t="shared" si="135"/>
        <v>2026-07-29 13:18:03</v>
      </c>
      <c r="L2313" s="1" t="str">
        <f>"2019-10-31 17:21:17"</f>
        <v>2019-10-31 17:21:17</v>
      </c>
      <c r="M2313" s="1" t="s">
        <v>1</v>
      </c>
      <c r="N2313" s="1" t="s">
        <v>38</v>
      </c>
      <c r="O2313" s="1" t="s">
        <v>46</v>
      </c>
    </row>
    <row r="2314" spans="2:15" x14ac:dyDescent="0.3">
      <c r="B2314" s="1" t="s">
        <v>24</v>
      </c>
      <c r="C2314" s="1" t="str">
        <f>"4차"</f>
        <v>4차</v>
      </c>
      <c r="D2314" s="1" t="str">
        <f>"0427Q02444"</f>
        <v>0427Q02444</v>
      </c>
      <c r="E2314" s="1" t="s">
        <v>10</v>
      </c>
      <c r="F2314" s="1" t="str">
        <f>"10.10.49.138"</f>
        <v>10.10.49.138</v>
      </c>
      <c r="G2314" s="1" t="str">
        <f>"0427Q024"</f>
        <v>0427Q024</v>
      </c>
      <c r="H2314" s="1" t="str">
        <f>"상능간 19R12"</f>
        <v>상능간 19R12</v>
      </c>
      <c r="I2314" s="1" t="s">
        <v>8</v>
      </c>
      <c r="J2314" s="1" t="str">
        <f>"121/121"</f>
        <v>121/121</v>
      </c>
      <c r="K2314" s="1" t="str">
        <f t="shared" si="135"/>
        <v>2026-07-29 13:18:03</v>
      </c>
      <c r="L2314" s="1" t="str">
        <f>"2019-10-31 17:13:08"</f>
        <v>2019-10-31 17:13:08</v>
      </c>
      <c r="M2314" s="1" t="s">
        <v>1</v>
      </c>
      <c r="N2314" s="1" t="s">
        <v>38</v>
      </c>
      <c r="O2314" s="1" t="s">
        <v>46</v>
      </c>
    </row>
    <row r="2315" spans="2:15" x14ac:dyDescent="0.3">
      <c r="B2315" s="1" t="s">
        <v>24</v>
      </c>
      <c r="C2315" s="1" t="str">
        <f>"3차"</f>
        <v>3차</v>
      </c>
      <c r="D2315" s="1" t="str">
        <f>"0427Q04139"</f>
        <v>0427Q04139</v>
      </c>
      <c r="E2315" s="1" t="s">
        <v>10</v>
      </c>
      <c r="F2315" s="1" t="str">
        <f>"10.12.132.198"</f>
        <v>10.12.132.198</v>
      </c>
      <c r="G2315" s="1" t="str">
        <f>"0427Q041"</f>
        <v>0427Q041</v>
      </c>
      <c r="H2315" s="1" t="str">
        <f>"상능간 19R16"</f>
        <v>상능간 19R16</v>
      </c>
      <c r="I2315" s="1" t="s">
        <v>8</v>
      </c>
      <c r="J2315" s="1" t="str">
        <f>"77/78"</f>
        <v>77/78</v>
      </c>
      <c r="K2315" s="1" t="str">
        <f t="shared" si="135"/>
        <v>2026-07-29 13:18:03</v>
      </c>
      <c r="L2315" s="1" t="str">
        <f>"2018-10-01 16:35:43"</f>
        <v>2018-10-01 16:35:43</v>
      </c>
      <c r="M2315" s="1" t="s">
        <v>0</v>
      </c>
      <c r="N2315" s="1" t="s">
        <v>38</v>
      </c>
      <c r="O2315" s="1" t="s">
        <v>46</v>
      </c>
    </row>
    <row r="2316" spans="2:15" x14ac:dyDescent="0.3">
      <c r="B2316" s="1" t="s">
        <v>24</v>
      </c>
      <c r="C2316" s="1" t="str">
        <f>"4차"</f>
        <v>4차</v>
      </c>
      <c r="D2316" s="1" t="str">
        <f>"0427Q04244"</f>
        <v>0427Q04244</v>
      </c>
      <c r="E2316" s="1" t="s">
        <v>10</v>
      </c>
      <c r="F2316" s="1" t="str">
        <f>"10.10.49.146"</f>
        <v>10.10.49.146</v>
      </c>
      <c r="G2316" s="1" t="str">
        <f>"0427Q042"</f>
        <v>0427Q042</v>
      </c>
      <c r="H2316" s="1" t="str">
        <f>"상능간 19R17"</f>
        <v>상능간 19R17</v>
      </c>
      <c r="I2316" s="1" t="s">
        <v>8</v>
      </c>
      <c r="J2316" s="1" t="str">
        <f>"25/25"</f>
        <v>25/25</v>
      </c>
      <c r="K2316" s="1" t="str">
        <f t="shared" si="135"/>
        <v>2026-07-29 13:18:03</v>
      </c>
      <c r="L2316" s="1" t="str">
        <f>"2019-11-01 09:03:03"</f>
        <v>2019-11-01 09:03:03</v>
      </c>
      <c r="M2316" s="1" t="s">
        <v>1</v>
      </c>
      <c r="N2316" s="1" t="s">
        <v>38</v>
      </c>
      <c r="O2316" s="1" t="s">
        <v>46</v>
      </c>
    </row>
    <row r="2317" spans="2:15" x14ac:dyDescent="0.3">
      <c r="B2317" s="1" t="s">
        <v>24</v>
      </c>
      <c r="C2317" s="1" t="str">
        <f>"1차"</f>
        <v>1차</v>
      </c>
      <c r="D2317" s="1" t="str">
        <f>"0427Q06101"</f>
        <v>0427Q06101</v>
      </c>
      <c r="E2317" s="1" t="s">
        <v>10</v>
      </c>
      <c r="F2317" s="1" t="str">
        <f>"10.89.247.78"</f>
        <v>10.89.247.78</v>
      </c>
      <c r="G2317" s="1" t="str">
        <f>"0427Q061"</f>
        <v>0427Q061</v>
      </c>
      <c r="H2317" s="1" t="str">
        <f>"상능간 19R19"</f>
        <v>상능간 19R19</v>
      </c>
      <c r="I2317" s="1" t="s">
        <v>8</v>
      </c>
      <c r="J2317" s="1" t="str">
        <f>"17/17"</f>
        <v>17/17</v>
      </c>
      <c r="K2317" s="1" t="str">
        <f>"2026-07-29 13:18:05"</f>
        <v>2026-07-29 13:18:05</v>
      </c>
      <c r="L2317" s="1" t="str">
        <f>"2014-10-03 13:12:26"</f>
        <v>2014-10-03 13:12:26</v>
      </c>
      <c r="M2317" s="1" t="s">
        <v>45</v>
      </c>
      <c r="N2317" s="1" t="s">
        <v>38</v>
      </c>
      <c r="O2317" s="1" t="s">
        <v>46</v>
      </c>
    </row>
    <row r="2318" spans="2:15" x14ac:dyDescent="0.3">
      <c r="B2318" s="1" t="s">
        <v>24</v>
      </c>
      <c r="C2318" s="1" t="str">
        <f>"4차"</f>
        <v>4차</v>
      </c>
      <c r="D2318" s="1" t="str">
        <f>"0427Q09344"</f>
        <v>0427Q09344</v>
      </c>
      <c r="E2318" s="1" t="s">
        <v>10</v>
      </c>
      <c r="F2318" s="1" t="str">
        <f>"10.10.62.82"</f>
        <v>10.10.62.82</v>
      </c>
      <c r="G2318" s="1" t="str">
        <f>"0427Q093"</f>
        <v>0427Q093</v>
      </c>
      <c r="H2318" s="1" t="str">
        <f>"면목로 SW10R5"</f>
        <v>면목로 SW10R5</v>
      </c>
      <c r="I2318" s="1" t="s">
        <v>8</v>
      </c>
      <c r="J2318" s="1" t="str">
        <f>"21/21"</f>
        <v>21/21</v>
      </c>
      <c r="K2318" s="1" t="str">
        <f t="shared" ref="K2318:K2325" si="136">"2026-07-29 13:18:03"</f>
        <v>2026-07-29 13:18:03</v>
      </c>
      <c r="L2318" s="1" t="str">
        <f>"2019-10-18 17:34:22"</f>
        <v>2019-10-18 17:34:22</v>
      </c>
      <c r="M2318" s="1" t="s">
        <v>1</v>
      </c>
      <c r="N2318" s="1" t="s">
        <v>38</v>
      </c>
      <c r="O2318" s="1" t="s">
        <v>46</v>
      </c>
    </row>
    <row r="2319" spans="2:15" x14ac:dyDescent="0.3">
      <c r="B2319" s="1" t="s">
        <v>24</v>
      </c>
      <c r="C2319" s="1" t="str">
        <f>"1차"</f>
        <v>1차</v>
      </c>
      <c r="D2319" s="1" t="str">
        <f>"0427Q11101"</f>
        <v>0427Q11101</v>
      </c>
      <c r="E2319" s="1" t="s">
        <v>10</v>
      </c>
      <c r="F2319" s="1" t="str">
        <f>"10.89.247.108"</f>
        <v>10.89.247.108</v>
      </c>
      <c r="G2319" s="1" t="str">
        <f>"0427Q111"</f>
        <v>0427Q111</v>
      </c>
      <c r="H2319" s="1" t="str">
        <f>"상능간 19R5"</f>
        <v>상능간 19R5</v>
      </c>
      <c r="I2319" s="1" t="s">
        <v>8</v>
      </c>
      <c r="J2319" s="1" t="str">
        <f>"8/8"</f>
        <v>8/8</v>
      </c>
      <c r="K2319" s="1" t="str">
        <f t="shared" si="136"/>
        <v>2026-07-29 13:18:03</v>
      </c>
      <c r="L2319" s="1" t="str">
        <f>"2014-10-07 00:14:02"</f>
        <v>2014-10-07 00:14:02</v>
      </c>
      <c r="M2319" s="1" t="s">
        <v>45</v>
      </c>
      <c r="N2319" s="1" t="s">
        <v>38</v>
      </c>
      <c r="O2319" s="1" t="s">
        <v>46</v>
      </c>
    </row>
    <row r="2320" spans="2:15" x14ac:dyDescent="0.3">
      <c r="B2320" s="1" t="s">
        <v>24</v>
      </c>
      <c r="C2320" s="1" t="str">
        <f>"1차"</f>
        <v>1차</v>
      </c>
      <c r="D2320" s="1" t="str">
        <f>"0427Q12100"</f>
        <v>0427Q12100</v>
      </c>
      <c r="E2320" s="1" t="s">
        <v>10</v>
      </c>
      <c r="F2320" s="1" t="str">
        <f>"10.89.246.4"</f>
        <v>10.89.246.4</v>
      </c>
      <c r="G2320" s="1" t="str">
        <f>"0427Q121"</f>
        <v>0427Q121</v>
      </c>
      <c r="H2320" s="1" t="str">
        <f>"상능간 15R3L5"</f>
        <v>상능간 15R3L5</v>
      </c>
      <c r="I2320" s="1" t="s">
        <v>8</v>
      </c>
      <c r="J2320" s="1" t="str">
        <f>"10/10"</f>
        <v>10/10</v>
      </c>
      <c r="K2320" s="1" t="str">
        <f t="shared" si="136"/>
        <v>2026-07-29 13:18:03</v>
      </c>
      <c r="L2320" s="1" t="str">
        <f>"2014-09-26 16:27:33"</f>
        <v>2014-09-26 16:27:33</v>
      </c>
      <c r="M2320" s="1" t="s">
        <v>45</v>
      </c>
      <c r="N2320" s="1" t="s">
        <v>38</v>
      </c>
      <c r="O2320" s="1" t="s">
        <v>46</v>
      </c>
    </row>
    <row r="2321" spans="2:15" x14ac:dyDescent="0.3">
      <c r="B2321" s="1" t="s">
        <v>24</v>
      </c>
      <c r="C2321" s="1" t="str">
        <f>"4차"</f>
        <v>4차</v>
      </c>
      <c r="D2321" s="1" t="str">
        <f>"0427Q14144"</f>
        <v>0427Q14144</v>
      </c>
      <c r="E2321" s="1" t="s">
        <v>10</v>
      </c>
      <c r="F2321" s="1" t="str">
        <f>"10.10.113.58"</f>
        <v>10.10.113.58</v>
      </c>
      <c r="G2321" s="1" t="str">
        <f>"0427Q141"</f>
        <v>0427Q141</v>
      </c>
      <c r="H2321" s="1" t="str">
        <f>"상능간 15R5"</f>
        <v>상능간 15R5</v>
      </c>
      <c r="I2321" s="1" t="s">
        <v>8</v>
      </c>
      <c r="J2321" s="1" t="str">
        <f>"9/13"</f>
        <v>9/13</v>
      </c>
      <c r="K2321" s="1" t="str">
        <f t="shared" si="136"/>
        <v>2026-07-29 13:18:03</v>
      </c>
      <c r="L2321" s="1" t="str">
        <f>"2019-10-31 17:29:37"</f>
        <v>2019-10-31 17:29:37</v>
      </c>
      <c r="M2321" s="1" t="s">
        <v>1</v>
      </c>
      <c r="N2321" s="1" t="s">
        <v>38</v>
      </c>
      <c r="O2321" s="1" t="s">
        <v>46</v>
      </c>
    </row>
    <row r="2322" spans="2:15" x14ac:dyDescent="0.3">
      <c r="B2322" s="1" t="s">
        <v>24</v>
      </c>
      <c r="C2322" s="1" t="str">
        <f>"4차"</f>
        <v>4차</v>
      </c>
      <c r="D2322" s="1" t="str">
        <f>"0427Q14344"</f>
        <v>0427Q14344</v>
      </c>
      <c r="E2322" s="1" t="s">
        <v>10</v>
      </c>
      <c r="F2322" s="1" t="str">
        <f>"10.10.49.130"</f>
        <v>10.10.49.130</v>
      </c>
      <c r="G2322" s="1" t="str">
        <f>"0427Q143"</f>
        <v>0427Q143</v>
      </c>
      <c r="H2322" s="1" t="str">
        <f>"상능간 15R6"</f>
        <v>상능간 15R6</v>
      </c>
      <c r="I2322" s="1" t="s">
        <v>8</v>
      </c>
      <c r="J2322" s="1" t="str">
        <f>"35/35"</f>
        <v>35/35</v>
      </c>
      <c r="K2322" s="1" t="str">
        <f t="shared" si="136"/>
        <v>2026-07-29 13:18:03</v>
      </c>
      <c r="L2322" s="1" t="str">
        <f>"2019-10-31 17:23:04"</f>
        <v>2019-10-31 17:23:04</v>
      </c>
      <c r="M2322" s="1" t="s">
        <v>1</v>
      </c>
      <c r="N2322" s="1" t="s">
        <v>38</v>
      </c>
      <c r="O2322" s="1" t="s">
        <v>46</v>
      </c>
    </row>
    <row r="2323" spans="2:15" x14ac:dyDescent="0.3">
      <c r="B2323" s="1" t="s">
        <v>24</v>
      </c>
      <c r="C2323" s="1" t="str">
        <f>"4차"</f>
        <v>4차</v>
      </c>
      <c r="D2323" s="1" t="str">
        <f>"0427Q15144"</f>
        <v>0427Q15144</v>
      </c>
      <c r="E2323" s="1" t="s">
        <v>10</v>
      </c>
      <c r="F2323" s="1" t="str">
        <f>"10.10.49.114"</f>
        <v>10.10.49.114</v>
      </c>
      <c r="G2323" s="1" t="str">
        <f>"0427Q151"</f>
        <v>0427Q151</v>
      </c>
      <c r="H2323" s="1" t="str">
        <f>"상능간 15R3R6"</f>
        <v>상능간 15R3R6</v>
      </c>
      <c r="I2323" s="1" t="s">
        <v>8</v>
      </c>
      <c r="J2323" s="1" t="str">
        <f>"38/38"</f>
        <v>38/38</v>
      </c>
      <c r="K2323" s="1" t="str">
        <f t="shared" si="136"/>
        <v>2026-07-29 13:18:03</v>
      </c>
      <c r="L2323" s="1" t="str">
        <f>"2019-11-01 08:49:31"</f>
        <v>2019-11-01 08:49:31</v>
      </c>
      <c r="M2323" s="1" t="s">
        <v>1</v>
      </c>
      <c r="N2323" s="1" t="s">
        <v>38</v>
      </c>
      <c r="O2323" s="1" t="s">
        <v>46</v>
      </c>
    </row>
    <row r="2324" spans="2:15" x14ac:dyDescent="0.3">
      <c r="B2324" s="1" t="s">
        <v>24</v>
      </c>
      <c r="C2324" s="1" t="str">
        <f>"1차"</f>
        <v>1차</v>
      </c>
      <c r="D2324" s="1" t="str">
        <f>"0427Q16100"</f>
        <v>0427Q16100</v>
      </c>
      <c r="E2324" s="1" t="s">
        <v>14</v>
      </c>
      <c r="F2324" s="1" t="str">
        <f>"10.89.247.77"</f>
        <v>10.89.247.77</v>
      </c>
      <c r="G2324" s="1" t="str">
        <f>"0427Q161"</f>
        <v>0427Q161</v>
      </c>
      <c r="H2324" s="1" t="str">
        <f>"상능간 19R19R2"</f>
        <v>상능간 19R19R2</v>
      </c>
      <c r="I2324" s="1" t="s">
        <v>8</v>
      </c>
      <c r="J2324" s="1" t="str">
        <f>"0/0"</f>
        <v>0/0</v>
      </c>
      <c r="K2324" s="1" t="str">
        <f t="shared" si="136"/>
        <v>2026-07-29 13:18:03</v>
      </c>
      <c r="L2324" s="1" t="str">
        <f>"2014-09-27 20:13:04"</f>
        <v>2014-09-27 20:13:04</v>
      </c>
      <c r="M2324" s="1" t="s">
        <v>45</v>
      </c>
      <c r="N2324" s="1" t="s">
        <v>38</v>
      </c>
      <c r="O2324" s="1" t="s">
        <v>44</v>
      </c>
    </row>
    <row r="2325" spans="2:15" x14ac:dyDescent="0.3">
      <c r="B2325" s="1" t="s">
        <v>24</v>
      </c>
      <c r="C2325" s="1" t="str">
        <f>"1차"</f>
        <v>1차</v>
      </c>
      <c r="D2325" s="1" t="str">
        <f>"0427Q16201"</f>
        <v>0427Q16201</v>
      </c>
      <c r="E2325" s="1" t="s">
        <v>10</v>
      </c>
      <c r="F2325" s="1" t="str">
        <f>"10.89.247.79"</f>
        <v>10.89.247.79</v>
      </c>
      <c r="G2325" s="1" t="str">
        <f>"0427Q162"</f>
        <v>0427Q162</v>
      </c>
      <c r="H2325" s="1" t="str">
        <f>"상능간 19R19R3"</f>
        <v>상능간 19R19R3</v>
      </c>
      <c r="I2325" s="1" t="s">
        <v>8</v>
      </c>
      <c r="J2325" s="1" t="str">
        <f>"18/18"</f>
        <v>18/18</v>
      </c>
      <c r="K2325" s="1" t="str">
        <f t="shared" si="136"/>
        <v>2026-07-29 13:18:03</v>
      </c>
      <c r="L2325" s="1" t="str">
        <f>"2014-10-08 00:13:37"</f>
        <v>2014-10-08 00:13:37</v>
      </c>
      <c r="M2325" s="1" t="s">
        <v>45</v>
      </c>
      <c r="N2325" s="1" t="s">
        <v>38</v>
      </c>
      <c r="O2325" s="1" t="s">
        <v>46</v>
      </c>
    </row>
    <row r="2326" spans="2:15" x14ac:dyDescent="0.3">
      <c r="B2326" s="1" t="s">
        <v>24</v>
      </c>
      <c r="C2326" s="1" t="str">
        <f>"6차"</f>
        <v>6차</v>
      </c>
      <c r="D2326" s="1" t="str">
        <f>"0427Q1716S"</f>
        <v>0427Q1716S</v>
      </c>
      <c r="E2326" s="1" t="s">
        <v>10</v>
      </c>
      <c r="F2326" s="1" t="str">
        <f>"fde1:103:4:c6ca:0:0:0:2"</f>
        <v>fde1:103:4:c6ca:0:0:0:2</v>
      </c>
      <c r="G2326" s="1" t="str">
        <f>"0427Q171"</f>
        <v>0427Q171</v>
      </c>
      <c r="H2326" s="1" t="str">
        <f>"상능간 19R20R1"</f>
        <v>상능간 19R20R1</v>
      </c>
      <c r="I2326" s="1" t="s">
        <v>15</v>
      </c>
      <c r="J2326" s="1" t="str">
        <f>"67/67"</f>
        <v>67/67</v>
      </c>
      <c r="K2326" s="1" t="str">
        <f>"2026-07-29 14:21:04"</f>
        <v>2026-07-29 14:21:04</v>
      </c>
      <c r="L2326" s="1" t="str">
        <f>"2024-11-07 13:15:26"</f>
        <v>2024-11-07 13:15:26</v>
      </c>
      <c r="M2326" s="1" t="s">
        <v>4</v>
      </c>
      <c r="N2326" s="1" t="s">
        <v>38</v>
      </c>
      <c r="O2326" s="1" t="s">
        <v>46</v>
      </c>
    </row>
    <row r="2327" spans="2:15" x14ac:dyDescent="0.3">
      <c r="B2327" s="1" t="s">
        <v>24</v>
      </c>
      <c r="C2327" s="1" t="str">
        <f>"1차"</f>
        <v>1차</v>
      </c>
      <c r="D2327" s="1" t="str">
        <f>"0427Q19100"</f>
        <v>0427Q19100</v>
      </c>
      <c r="E2327" s="1" t="s">
        <v>10</v>
      </c>
      <c r="F2327" s="1" t="str">
        <f>"10.89.247.140"</f>
        <v>10.89.247.140</v>
      </c>
      <c r="G2327" s="1" t="str">
        <f>"0427Q191"</f>
        <v>0427Q191</v>
      </c>
      <c r="H2327" s="1" t="str">
        <f>"면목로 SW10R3"</f>
        <v>면목로 SW10R3</v>
      </c>
      <c r="I2327" s="1" t="s">
        <v>8</v>
      </c>
      <c r="J2327" s="1" t="str">
        <f>"14/14"</f>
        <v>14/14</v>
      </c>
      <c r="K2327" s="1" t="str">
        <f>"2026-07-29 13:18:03"</f>
        <v>2026-07-29 13:18:03</v>
      </c>
      <c r="L2327" s="1" t="str">
        <f>"2014-10-29 14:41:06"</f>
        <v>2014-10-29 14:41:06</v>
      </c>
      <c r="M2327" s="1" t="s">
        <v>45</v>
      </c>
      <c r="N2327" s="1" t="s">
        <v>38</v>
      </c>
      <c r="O2327" s="1" t="s">
        <v>46</v>
      </c>
    </row>
    <row r="2328" spans="2:15" x14ac:dyDescent="0.3">
      <c r="B2328" s="1" t="s">
        <v>24</v>
      </c>
      <c r="C2328" s="1" t="str">
        <f>"4차"</f>
        <v>4차</v>
      </c>
      <c r="D2328" s="1" t="str">
        <f>"0427Q19644"</f>
        <v>0427Q19644</v>
      </c>
      <c r="E2328" s="1" t="s">
        <v>10</v>
      </c>
      <c r="F2328" s="1" t="str">
        <f>"10.89.247.66"</f>
        <v>10.89.247.66</v>
      </c>
      <c r="G2328" s="1" t="str">
        <f>"0427Q196"</f>
        <v>0427Q196</v>
      </c>
      <c r="H2328" s="1" t="str">
        <f>"능동간 26"</f>
        <v>능동간 26</v>
      </c>
      <c r="I2328" s="1" t="s">
        <v>8</v>
      </c>
      <c r="J2328" s="1" t="str">
        <f>"24/28"</f>
        <v>24/28</v>
      </c>
      <c r="K2328" s="1" t="str">
        <f>"2026-07-29 13:18:03"</f>
        <v>2026-07-29 13:18:03</v>
      </c>
      <c r="L2328" s="1" t="str">
        <f>"2019-12-11 17:45:49"</f>
        <v>2019-12-11 17:45:49</v>
      </c>
      <c r="M2328" s="1" t="s">
        <v>45</v>
      </c>
      <c r="N2328" s="1" t="s">
        <v>38</v>
      </c>
      <c r="O2328" s="1" t="s">
        <v>46</v>
      </c>
    </row>
    <row r="2329" spans="2:15" x14ac:dyDescent="0.3">
      <c r="B2329" s="1" t="s">
        <v>24</v>
      </c>
      <c r="C2329" s="1" t="str">
        <f>"1차"</f>
        <v>1차</v>
      </c>
      <c r="D2329" s="1" t="str">
        <f>"0427Q21200"</f>
        <v>0427Q21200</v>
      </c>
      <c r="E2329" s="1" t="s">
        <v>10</v>
      </c>
      <c r="F2329" s="1" t="str">
        <f>"10.89.247.107"</f>
        <v>10.89.247.107</v>
      </c>
      <c r="G2329" s="1" t="str">
        <f>"0427Q212"</f>
        <v>0427Q212</v>
      </c>
      <c r="H2329" s="1" t="str">
        <f>"상능간 19R4"</f>
        <v>상능간 19R4</v>
      </c>
      <c r="I2329" s="1" t="s">
        <v>8</v>
      </c>
      <c r="J2329" s="1" t="str">
        <f>"49/49"</f>
        <v>49/49</v>
      </c>
      <c r="K2329" s="1" t="str">
        <f>"2026-07-29 13:18:03"</f>
        <v>2026-07-29 13:18:03</v>
      </c>
      <c r="L2329" s="1" t="str">
        <f>"2014-10-08 00:13:51"</f>
        <v>2014-10-08 00:13:51</v>
      </c>
      <c r="M2329" s="1" t="s">
        <v>45</v>
      </c>
      <c r="N2329" s="1" t="s">
        <v>38</v>
      </c>
      <c r="O2329" s="1" t="s">
        <v>46</v>
      </c>
    </row>
    <row r="2330" spans="2:15" x14ac:dyDescent="0.3">
      <c r="B2330" s="1" t="s">
        <v>24</v>
      </c>
      <c r="C2330" s="1" t="str">
        <f>"3차"</f>
        <v>3차</v>
      </c>
      <c r="D2330" s="1" t="str">
        <f>"0427Q25339"</f>
        <v>0427Q25339</v>
      </c>
      <c r="E2330" s="1" t="s">
        <v>10</v>
      </c>
      <c r="F2330" s="1" t="str">
        <f>"10.12.130.156"</f>
        <v>10.12.130.156</v>
      </c>
      <c r="G2330" s="1" t="str">
        <f>"0427Q253"</f>
        <v>0427Q253</v>
      </c>
      <c r="H2330" s="1" t="str">
        <f>"상능간 15R3R5"</f>
        <v>상능간 15R3R5</v>
      </c>
      <c r="I2330" s="1" t="s">
        <v>8</v>
      </c>
      <c r="J2330" s="1" t="str">
        <f>"91/91"</f>
        <v>91/91</v>
      </c>
      <c r="K2330" s="1" t="str">
        <f>"2026-07-29 13:18:06"</f>
        <v>2026-07-29 13:18:06</v>
      </c>
      <c r="L2330" s="1" t="str">
        <f>"2018-09-28 18:26:29"</f>
        <v>2018-09-28 18:26:29</v>
      </c>
      <c r="M2330" s="1" t="s">
        <v>0</v>
      </c>
      <c r="N2330" s="1" t="s">
        <v>38</v>
      </c>
      <c r="O2330" s="1" t="s">
        <v>46</v>
      </c>
    </row>
    <row r="2331" spans="2:15" x14ac:dyDescent="0.3">
      <c r="B2331" s="1" t="s">
        <v>24</v>
      </c>
      <c r="C2331" s="1" t="str">
        <f>"1차"</f>
        <v>1차</v>
      </c>
      <c r="D2331" s="1" t="str">
        <f>"0427Q27100"</f>
        <v>0427Q27100</v>
      </c>
      <c r="E2331" s="1" t="s">
        <v>10</v>
      </c>
      <c r="F2331" s="1" t="str">
        <f>"10.89.247.82"</f>
        <v>10.89.247.82</v>
      </c>
      <c r="G2331" s="1" t="str">
        <f>"0427Q271"</f>
        <v>0427Q271</v>
      </c>
      <c r="H2331" s="1" t="str">
        <f>"상능간 19R20R4"</f>
        <v>상능간 19R20R4</v>
      </c>
      <c r="I2331" s="1" t="s">
        <v>8</v>
      </c>
      <c r="J2331" s="1" t="str">
        <f>"11/11"</f>
        <v>11/11</v>
      </c>
      <c r="K2331" s="1" t="str">
        <f>"2026-07-29 13:18:03"</f>
        <v>2026-07-29 13:18:03</v>
      </c>
      <c r="L2331" s="1" t="str">
        <f>"2014-10-01 11:16:31"</f>
        <v>2014-10-01 11:16:31</v>
      </c>
      <c r="M2331" s="1" t="s">
        <v>45</v>
      </c>
      <c r="N2331" s="1" t="s">
        <v>38</v>
      </c>
      <c r="O2331" s="1" t="s">
        <v>46</v>
      </c>
    </row>
    <row r="2332" spans="2:15" x14ac:dyDescent="0.3">
      <c r="B2332" s="1" t="s">
        <v>24</v>
      </c>
      <c r="C2332" s="1" t="str">
        <f>"1차"</f>
        <v>1차</v>
      </c>
      <c r="D2332" s="1" t="str">
        <f>"0427Q28301"</f>
        <v>0427Q28301</v>
      </c>
      <c r="E2332" s="1" t="s">
        <v>10</v>
      </c>
      <c r="F2332" s="1" t="str">
        <f>"10.12.128.108"</f>
        <v>10.12.128.108</v>
      </c>
      <c r="G2332" s="1" t="str">
        <f>"0427Q283"</f>
        <v>0427Q283</v>
      </c>
      <c r="H2332" s="1" t="str">
        <f>"상능간 19R24L1"</f>
        <v>상능간 19R24L1</v>
      </c>
      <c r="I2332" s="1" t="s">
        <v>8</v>
      </c>
      <c r="J2332" s="1" t="str">
        <f>"53/57"</f>
        <v>53/57</v>
      </c>
      <c r="K2332" s="1" t="str">
        <f>"2026-07-29 13:18:04"</f>
        <v>2026-07-29 13:18:04</v>
      </c>
      <c r="L2332" s="1" t="str">
        <f>"2014-10-03 12:27:16"</f>
        <v>2014-10-03 12:27:16</v>
      </c>
      <c r="M2332" s="1" t="s">
        <v>0</v>
      </c>
      <c r="N2332" s="1" t="s">
        <v>38</v>
      </c>
      <c r="O2332" s="1" t="s">
        <v>46</v>
      </c>
    </row>
    <row r="2333" spans="2:15" x14ac:dyDescent="0.3">
      <c r="B2333" s="1" t="s">
        <v>24</v>
      </c>
      <c r="C2333" s="1" t="str">
        <f>"4차"</f>
        <v>4차</v>
      </c>
      <c r="D2333" s="1" t="str">
        <f>"0427Q30244"</f>
        <v>0427Q30244</v>
      </c>
      <c r="E2333" s="1" t="s">
        <v>10</v>
      </c>
      <c r="F2333" s="1" t="str">
        <f>"10.10.49.162"</f>
        <v>10.10.49.162</v>
      </c>
      <c r="G2333" s="1" t="str">
        <f>"0427Q302"</f>
        <v>0427Q302</v>
      </c>
      <c r="H2333" s="1" t="str">
        <f>"상능간 19R3"</f>
        <v>상능간 19R3</v>
      </c>
      <c r="I2333" s="1" t="s">
        <v>8</v>
      </c>
      <c r="J2333" s="1" t="str">
        <f>"68/68"</f>
        <v>68/68</v>
      </c>
      <c r="K2333" s="1" t="str">
        <f>"2026-07-29 13:18:03"</f>
        <v>2026-07-29 13:18:03</v>
      </c>
      <c r="L2333" s="1" t="str">
        <f>"2019-10-31 17:23:04"</f>
        <v>2019-10-31 17:23:04</v>
      </c>
      <c r="M2333" s="1" t="s">
        <v>1</v>
      </c>
      <c r="N2333" s="1" t="s">
        <v>38</v>
      </c>
      <c r="O2333" s="1" t="s">
        <v>46</v>
      </c>
    </row>
    <row r="2334" spans="2:15" x14ac:dyDescent="0.3">
      <c r="B2334" s="1" t="s">
        <v>24</v>
      </c>
      <c r="C2334" s="1" t="str">
        <f>"6차"</f>
        <v>6차</v>
      </c>
      <c r="D2334" s="1" t="str">
        <f>"0427Q3316S"</f>
        <v>0427Q3316S</v>
      </c>
      <c r="E2334" s="1" t="s">
        <v>10</v>
      </c>
      <c r="F2334" s="1" t="str">
        <f>"fde1:103:4:c6bf:0:0:0:2"</f>
        <v>fde1:103:4:c6bf:0:0:0:2</v>
      </c>
      <c r="G2334" s="1" t="str">
        <f>"0427Q331"</f>
        <v>0427Q331</v>
      </c>
      <c r="H2334" s="1" t="str">
        <f>"상능간 15R3L1"</f>
        <v>상능간 15R3L1</v>
      </c>
      <c r="I2334" s="1" t="s">
        <v>15</v>
      </c>
      <c r="J2334" s="1" t="str">
        <f>"153/153"</f>
        <v>153/153</v>
      </c>
      <c r="K2334" s="1" t="str">
        <f>"2026-07-29 14:20:59"</f>
        <v>2026-07-29 14:20:59</v>
      </c>
      <c r="L2334" s="1" t="str">
        <f>"2024-09-25 19:43:48"</f>
        <v>2024-09-25 19:43:48</v>
      </c>
      <c r="M2334" s="1" t="s">
        <v>4</v>
      </c>
      <c r="N2334" s="1" t="s">
        <v>38</v>
      </c>
      <c r="O2334" s="1" t="s">
        <v>46</v>
      </c>
    </row>
    <row r="2335" spans="2:15" x14ac:dyDescent="0.3">
      <c r="B2335" s="1" t="s">
        <v>24</v>
      </c>
      <c r="C2335" s="1" t="str">
        <f>"4차"</f>
        <v>4차</v>
      </c>
      <c r="D2335" s="1" t="str">
        <f>"0427Q34144"</f>
        <v>0427Q34144</v>
      </c>
      <c r="E2335" s="1" t="s">
        <v>10</v>
      </c>
      <c r="F2335" s="1" t="str">
        <f>"10.10.42.130"</f>
        <v>10.10.42.130</v>
      </c>
      <c r="G2335" s="1" t="str">
        <f>"0427Q341"</f>
        <v>0427Q341</v>
      </c>
      <c r="H2335" s="1" t="str">
        <f>"상능간 15R3"</f>
        <v>상능간 15R3</v>
      </c>
      <c r="I2335" s="1" t="s">
        <v>8</v>
      </c>
      <c r="J2335" s="1" t="str">
        <f>"32/38"</f>
        <v>32/38</v>
      </c>
      <c r="K2335" s="1" t="str">
        <f>"2026-07-29 13:18:03"</f>
        <v>2026-07-29 13:18:03</v>
      </c>
      <c r="L2335" s="1" t="str">
        <f>"2019-10-31 17:37:23"</f>
        <v>2019-10-31 17:37:23</v>
      </c>
      <c r="M2335" s="1" t="s">
        <v>1</v>
      </c>
      <c r="N2335" s="1" t="s">
        <v>38</v>
      </c>
      <c r="O2335" s="1" t="s">
        <v>46</v>
      </c>
    </row>
    <row r="2336" spans="2:15" x14ac:dyDescent="0.3">
      <c r="B2336" s="1" t="s">
        <v>24</v>
      </c>
      <c r="C2336" s="1" t="str">
        <f>"4차"</f>
        <v>4차</v>
      </c>
      <c r="D2336" s="1" t="str">
        <f>"0427Q34344"</f>
        <v>0427Q34344</v>
      </c>
      <c r="E2336" s="1" t="s">
        <v>10</v>
      </c>
      <c r="F2336" s="1" t="str">
        <f>"10.10.43.58"</f>
        <v>10.10.43.58</v>
      </c>
      <c r="G2336" s="1" t="str">
        <f>"0427Q343"</f>
        <v>0427Q343</v>
      </c>
      <c r="H2336" s="1" t="str">
        <f>"상능간 15R3R2"</f>
        <v>상능간 15R3R2</v>
      </c>
      <c r="I2336" s="1" t="s">
        <v>8</v>
      </c>
      <c r="J2336" s="1" t="str">
        <f>"55/72"</f>
        <v>55/72</v>
      </c>
      <c r="K2336" s="1" t="str">
        <f>"2026-07-29 13:18:03"</f>
        <v>2026-07-29 13:18:03</v>
      </c>
      <c r="L2336" s="1" t="str">
        <f>"2019-10-31 17:43:04"</f>
        <v>2019-10-31 17:43:04</v>
      </c>
      <c r="M2336" s="1" t="s">
        <v>1</v>
      </c>
      <c r="N2336" s="1" t="s">
        <v>38</v>
      </c>
      <c r="O2336" s="1" t="s">
        <v>46</v>
      </c>
    </row>
    <row r="2337" spans="2:15" x14ac:dyDescent="0.3">
      <c r="B2337" s="1" t="s">
        <v>24</v>
      </c>
      <c r="C2337" s="1" t="str">
        <f>"1차"</f>
        <v>1차</v>
      </c>
      <c r="D2337" s="1" t="str">
        <f>"0427Q36100"</f>
        <v>0427Q36100</v>
      </c>
      <c r="E2337" s="1" t="s">
        <v>10</v>
      </c>
      <c r="F2337" s="1" t="str">
        <f>"10.89.247.87"</f>
        <v>10.89.247.87</v>
      </c>
      <c r="G2337" s="1" t="str">
        <f>"0427Q361"</f>
        <v>0427Q361</v>
      </c>
      <c r="H2337" s="1" t="str">
        <f>"상능간 12R2"</f>
        <v>상능간 12R2</v>
      </c>
      <c r="I2337" s="1" t="s">
        <v>8</v>
      </c>
      <c r="J2337" s="1" t="str">
        <f>"21/21"</f>
        <v>21/21</v>
      </c>
      <c r="K2337" s="1" t="str">
        <f>"2026-07-29 13:18:03"</f>
        <v>2026-07-29 13:18:03</v>
      </c>
      <c r="L2337" s="1" t="str">
        <f>"2014-11-04 00:26:29"</f>
        <v>2014-11-04 00:26:29</v>
      </c>
      <c r="M2337" s="1" t="s">
        <v>45</v>
      </c>
      <c r="N2337" s="1" t="s">
        <v>38</v>
      </c>
      <c r="O2337" s="1" t="s">
        <v>46</v>
      </c>
    </row>
    <row r="2338" spans="2:15" x14ac:dyDescent="0.3">
      <c r="B2338" s="1" t="s">
        <v>24</v>
      </c>
      <c r="C2338" s="1" t="str">
        <f>"1차"</f>
        <v>1차</v>
      </c>
      <c r="D2338" s="1" t="str">
        <f>"0427Q36201"</f>
        <v>0427Q36201</v>
      </c>
      <c r="E2338" s="1" t="s">
        <v>10</v>
      </c>
      <c r="F2338" s="1" t="str">
        <f>"10.14.5.185"</f>
        <v>10.14.5.185</v>
      </c>
      <c r="G2338" s="1" t="str">
        <f>"0427Q362"</f>
        <v>0427Q362</v>
      </c>
      <c r="H2338" s="1" t="str">
        <f>"상능간 19R20R7"</f>
        <v>상능간 19R20R7</v>
      </c>
      <c r="I2338" s="1" t="s">
        <v>8</v>
      </c>
      <c r="J2338" s="1" t="str">
        <f>"54/54"</f>
        <v>54/54</v>
      </c>
      <c r="K2338" s="1" t="str">
        <f>"2026-07-29 13:18:03"</f>
        <v>2026-07-29 13:18:03</v>
      </c>
      <c r="L2338" s="1" t="str">
        <f>"2014-10-03 10:28:02"</f>
        <v>2014-10-03 10:28:02</v>
      </c>
      <c r="M2338" s="1" t="s">
        <v>3</v>
      </c>
      <c r="N2338" s="1" t="s">
        <v>38</v>
      </c>
      <c r="O2338" s="1" t="s">
        <v>46</v>
      </c>
    </row>
    <row r="2339" spans="2:15" x14ac:dyDescent="0.3">
      <c r="B2339" s="1" t="s">
        <v>24</v>
      </c>
      <c r="C2339" s="1" t="str">
        <f>"5-2차"</f>
        <v>5-2차</v>
      </c>
      <c r="D2339" s="1" t="str">
        <f>"0427Q4025M"</f>
        <v>0427Q4025M</v>
      </c>
      <c r="E2339" s="1" t="s">
        <v>10</v>
      </c>
      <c r="F2339" s="1" t="str">
        <f>"fde1:103:4:9311:0:0:0:2"</f>
        <v>fde1:103:4:9311:0:0:0:2</v>
      </c>
      <c r="G2339" s="1" t="str">
        <f>"0427Q402"</f>
        <v>0427Q402</v>
      </c>
      <c r="H2339" s="1" t="str">
        <f>"상능간 20"</f>
        <v>상능간 20</v>
      </c>
      <c r="I2339" s="1" t="s">
        <v>15</v>
      </c>
      <c r="J2339" s="1" t="str">
        <f>"34/37"</f>
        <v>34/37</v>
      </c>
      <c r="K2339" s="1" t="str">
        <f>"2026-07-29 14:20:57"</f>
        <v>2026-07-29 14:20:57</v>
      </c>
      <c r="L2339" s="1" t="str">
        <f>"2023-12-18 14:14:02"</f>
        <v>2023-12-18 14:14:02</v>
      </c>
      <c r="M2339" s="1" t="s">
        <v>4</v>
      </c>
      <c r="N2339" s="1" t="s">
        <v>38</v>
      </c>
      <c r="O2339" s="1" t="s">
        <v>46</v>
      </c>
    </row>
    <row r="2340" spans="2:15" x14ac:dyDescent="0.3">
      <c r="B2340" s="1" t="s">
        <v>24</v>
      </c>
      <c r="C2340" s="1" t="str">
        <f>"5-2차"</f>
        <v>5-2차</v>
      </c>
      <c r="D2340" s="1" t="str">
        <f>"0427Q4215M"</f>
        <v>0427Q4215M</v>
      </c>
      <c r="E2340" s="1" t="s">
        <v>10</v>
      </c>
      <c r="F2340" s="1" t="str">
        <f>"fde1:103:4:936e:0:0:0:2"</f>
        <v>fde1:103:4:936e:0:0:0:2</v>
      </c>
      <c r="G2340" s="1" t="str">
        <f>"0427Q421"</f>
        <v>0427Q421</v>
      </c>
      <c r="H2340" s="1" t="str">
        <f>"상능간 17"</f>
        <v>상능간 17</v>
      </c>
      <c r="I2340" s="1" t="s">
        <v>15</v>
      </c>
      <c r="J2340" s="1" t="str">
        <f>"57/57"</f>
        <v>57/57</v>
      </c>
      <c r="K2340" s="1" t="str">
        <f>"2026-07-29 14:20:32"</f>
        <v>2026-07-29 14:20:32</v>
      </c>
      <c r="L2340" s="1" t="str">
        <f>"2023-12-18 14:51:04"</f>
        <v>2023-12-18 14:51:04</v>
      </c>
      <c r="M2340" s="1" t="s">
        <v>4</v>
      </c>
      <c r="N2340" s="1" t="s">
        <v>38</v>
      </c>
      <c r="O2340" s="1" t="s">
        <v>46</v>
      </c>
    </row>
    <row r="2341" spans="2:15" x14ac:dyDescent="0.3">
      <c r="B2341" s="1" t="s">
        <v>24</v>
      </c>
      <c r="C2341" s="1" t="str">
        <f>"5-2차"</f>
        <v>5-2차</v>
      </c>
      <c r="D2341" s="1" t="str">
        <f>"0427Q4315M"</f>
        <v>0427Q4315M</v>
      </c>
      <c r="E2341" s="1" t="s">
        <v>10</v>
      </c>
      <c r="F2341" s="1" t="str">
        <f>"fde1:103:4:943f:0:0:0:2"</f>
        <v>fde1:103:4:943f:0:0:0:2</v>
      </c>
      <c r="G2341" s="1" t="str">
        <f>"0427Q431"</f>
        <v>0427Q431</v>
      </c>
      <c r="H2341" s="1" t="str">
        <f>"상능간 16"</f>
        <v>상능간 16</v>
      </c>
      <c r="I2341" s="1" t="s">
        <v>15</v>
      </c>
      <c r="J2341" s="1" t="str">
        <f>"25/25"</f>
        <v>25/25</v>
      </c>
      <c r="K2341" s="1" t="str">
        <f>"2026-07-29 14:21:12"</f>
        <v>2026-07-29 14:21:12</v>
      </c>
      <c r="L2341" s="1" t="str">
        <f>"2023-12-18 14:51:44"</f>
        <v>2023-12-18 14:51:44</v>
      </c>
      <c r="M2341" s="1" t="s">
        <v>4</v>
      </c>
      <c r="N2341" s="1" t="s">
        <v>38</v>
      </c>
      <c r="O2341" s="1" t="s">
        <v>46</v>
      </c>
    </row>
    <row r="2342" spans="2:15" x14ac:dyDescent="0.3">
      <c r="B2342" s="1" t="s">
        <v>24</v>
      </c>
      <c r="C2342" s="1" t="str">
        <f>"6차"</f>
        <v>6차</v>
      </c>
      <c r="D2342" s="1" t="str">
        <f>"0427Q4516S"</f>
        <v>0427Q4516S</v>
      </c>
      <c r="E2342" s="1" t="s">
        <v>10</v>
      </c>
      <c r="F2342" s="1" t="str">
        <f>"fde1:103:4:c6bb:0:0:0:2"</f>
        <v>fde1:103:4:c6bb:0:0:0:2</v>
      </c>
      <c r="G2342" s="1" t="str">
        <f>"0427Q451"</f>
        <v>0427Q451</v>
      </c>
      <c r="H2342" s="1" t="str">
        <f>"상능간 13"</f>
        <v>상능간 13</v>
      </c>
      <c r="I2342" s="1" t="s">
        <v>15</v>
      </c>
      <c r="J2342" s="1" t="str">
        <f>"34/39"</f>
        <v>34/39</v>
      </c>
      <c r="K2342" s="1" t="str">
        <f>"2026-07-29 14:20:55"</f>
        <v>2026-07-29 14:20:55</v>
      </c>
      <c r="L2342" s="1" t="str">
        <f>"2024-11-07 08:52:19"</f>
        <v>2024-11-07 08:52:19</v>
      </c>
      <c r="M2342" s="1" t="s">
        <v>4</v>
      </c>
      <c r="N2342" s="1" t="s">
        <v>38</v>
      </c>
      <c r="O2342" s="1" t="s">
        <v>46</v>
      </c>
    </row>
    <row r="2343" spans="2:15" x14ac:dyDescent="0.3">
      <c r="B2343" s="1" t="s">
        <v>24</v>
      </c>
      <c r="C2343" s="1" t="str">
        <f>"4차"</f>
        <v>4차</v>
      </c>
      <c r="D2343" s="1" t="str">
        <f>"0427Q46444"</f>
        <v>0427Q46444</v>
      </c>
      <c r="E2343" s="1" t="s">
        <v>10</v>
      </c>
      <c r="F2343" s="1" t="str">
        <f>"10.10.42.154"</f>
        <v>10.10.42.154</v>
      </c>
      <c r="G2343" s="1" t="str">
        <f>"0427Q464"</f>
        <v>0427Q464</v>
      </c>
      <c r="H2343" s="1" t="str">
        <f>"상능간 12"</f>
        <v>상능간 12</v>
      </c>
      <c r="I2343" s="1" t="s">
        <v>8</v>
      </c>
      <c r="J2343" s="1" t="str">
        <f>"24/24"</f>
        <v>24/24</v>
      </c>
      <c r="K2343" s="1" t="str">
        <f>"2026-07-29 13:18:03"</f>
        <v>2026-07-29 13:18:03</v>
      </c>
      <c r="L2343" s="1" t="str">
        <f>"2020-01-10 16:56:33"</f>
        <v>2020-01-10 16:56:33</v>
      </c>
      <c r="M2343" s="1" t="s">
        <v>1</v>
      </c>
      <c r="N2343" s="1" t="s">
        <v>38</v>
      </c>
      <c r="O2343" s="1" t="s">
        <v>46</v>
      </c>
    </row>
    <row r="2344" spans="2:15" x14ac:dyDescent="0.3">
      <c r="B2344" s="1" t="s">
        <v>24</v>
      </c>
      <c r="C2344" s="1" t="str">
        <f>"4차"</f>
        <v>4차</v>
      </c>
      <c r="D2344" s="1" t="str">
        <f>"0427Q47444"</f>
        <v>0427Q47444</v>
      </c>
      <c r="E2344" s="1" t="s">
        <v>10</v>
      </c>
      <c r="F2344" s="1" t="str">
        <f>"10.12.138.13"</f>
        <v>10.12.138.13</v>
      </c>
      <c r="G2344" s="1" t="str">
        <f>"0427Q474"</f>
        <v>0427Q474</v>
      </c>
      <c r="H2344" s="1" t="str">
        <f>"상능간 8"</f>
        <v>상능간 8</v>
      </c>
      <c r="I2344" s="1" t="s">
        <v>8</v>
      </c>
      <c r="J2344" s="1" t="str">
        <f>"19/19"</f>
        <v>19/19</v>
      </c>
      <c r="K2344" s="1" t="str">
        <f>"2026-07-29 13:18:03"</f>
        <v>2026-07-29 13:18:03</v>
      </c>
      <c r="L2344" s="1" t="str">
        <f>"2020-01-13 14:18:46"</f>
        <v>2020-01-13 14:18:46</v>
      </c>
      <c r="M2344" s="1" t="s">
        <v>0</v>
      </c>
      <c r="N2344" s="1" t="s">
        <v>38</v>
      </c>
      <c r="O2344" s="1" t="s">
        <v>46</v>
      </c>
    </row>
    <row r="2345" spans="2:15" x14ac:dyDescent="0.3">
      <c r="B2345" s="1" t="s">
        <v>24</v>
      </c>
      <c r="C2345" s="1" t="str">
        <f>"4차"</f>
        <v>4차</v>
      </c>
      <c r="D2345" s="1" t="str">
        <f>"0427Q48239"</f>
        <v>0427Q48239</v>
      </c>
      <c r="E2345" s="1" t="s">
        <v>10</v>
      </c>
      <c r="F2345" s="1" t="str">
        <f>"10.12.132.205"</f>
        <v>10.12.132.205</v>
      </c>
      <c r="G2345" s="1" t="str">
        <f>"0427Q482"</f>
        <v>0427Q482</v>
      </c>
      <c r="H2345" s="1" t="str">
        <f>"상능간 6L2R1"</f>
        <v>상능간 6L2R1</v>
      </c>
      <c r="I2345" s="1" t="s">
        <v>8</v>
      </c>
      <c r="J2345" s="1" t="str">
        <f>"87/92"</f>
        <v>87/92</v>
      </c>
      <c r="K2345" s="1" t="str">
        <f>"2026-07-29 13:18:03"</f>
        <v>2026-07-29 13:18:03</v>
      </c>
      <c r="L2345" s="1" t="str">
        <f>"2018-10-01 17:33:28"</f>
        <v>2018-10-01 17:33:28</v>
      </c>
      <c r="M2345" s="1" t="s">
        <v>0</v>
      </c>
      <c r="N2345" s="1" t="s">
        <v>38</v>
      </c>
      <c r="O2345" s="1" t="s">
        <v>46</v>
      </c>
    </row>
    <row r="2346" spans="2:15" x14ac:dyDescent="0.3">
      <c r="B2346" s="1" t="s">
        <v>24</v>
      </c>
      <c r="C2346" s="1" t="str">
        <f>"4차"</f>
        <v>4차</v>
      </c>
      <c r="D2346" s="1" t="str">
        <f>"0427Q48344"</f>
        <v>0427Q48344</v>
      </c>
      <c r="E2346" s="1" t="s">
        <v>10</v>
      </c>
      <c r="F2346" s="1" t="str">
        <f>"10.10.113.26"</f>
        <v>10.10.113.26</v>
      </c>
      <c r="G2346" s="1" t="str">
        <f>"0427Q483"</f>
        <v>0427Q483</v>
      </c>
      <c r="H2346" s="1" t="str">
        <f>"상능간 6L1"</f>
        <v>상능간 6L1</v>
      </c>
      <c r="I2346" s="1" t="s">
        <v>8</v>
      </c>
      <c r="J2346" s="1" t="str">
        <f>"20/20"</f>
        <v>20/20</v>
      </c>
      <c r="K2346" s="1" t="str">
        <f>"2026-07-29 13:18:03"</f>
        <v>2026-07-29 13:18:03</v>
      </c>
      <c r="L2346" s="1" t="str">
        <f>"2019-10-31 17:33:24"</f>
        <v>2019-10-31 17:33:24</v>
      </c>
      <c r="M2346" s="1" t="s">
        <v>1</v>
      </c>
      <c r="N2346" s="1" t="s">
        <v>38</v>
      </c>
      <c r="O2346" s="1" t="s">
        <v>46</v>
      </c>
    </row>
    <row r="2347" spans="2:15" x14ac:dyDescent="0.3">
      <c r="B2347" s="1" t="s">
        <v>24</v>
      </c>
      <c r="C2347" s="1" t="str">
        <f>"5-2차"</f>
        <v>5-2차</v>
      </c>
      <c r="D2347" s="1" t="str">
        <f>"0427Q5015M"</f>
        <v>0427Q5015M</v>
      </c>
      <c r="E2347" s="1" t="s">
        <v>10</v>
      </c>
      <c r="F2347" s="1" t="str">
        <f>"fde3:102:1430:9800:0:0:0:11"</f>
        <v>fde3:102:1430:9800:0:0:0:11</v>
      </c>
      <c r="G2347" s="1" t="str">
        <f>"0427Q501"</f>
        <v>0427Q501</v>
      </c>
      <c r="H2347" s="1" t="str">
        <f>"면목간 94L4"</f>
        <v>면목간 94L4</v>
      </c>
      <c r="I2347" s="1" t="s">
        <v>15</v>
      </c>
      <c r="J2347" s="1" t="str">
        <f>"54/54"</f>
        <v>54/54</v>
      </c>
      <c r="K2347" s="1" t="str">
        <f>"2026-07-29 14:20:55"</f>
        <v>2026-07-29 14:20:55</v>
      </c>
      <c r="L2347" s="1" t="str">
        <f>"2023-12-02 15:03:29"</f>
        <v>2023-12-02 15:03:29</v>
      </c>
      <c r="M2347" s="1" t="s">
        <v>45</v>
      </c>
      <c r="N2347" s="1" t="s">
        <v>38</v>
      </c>
      <c r="O2347" s="1" t="s">
        <v>46</v>
      </c>
    </row>
    <row r="2348" spans="2:15" x14ac:dyDescent="0.3">
      <c r="B2348" s="1" t="s">
        <v>24</v>
      </c>
      <c r="C2348" s="1" t="str">
        <f>"5-1차"</f>
        <v>5-1차</v>
      </c>
      <c r="D2348" s="1" t="str">
        <f>"0427Q5115M"</f>
        <v>0427Q5115M</v>
      </c>
      <c r="E2348" s="1" t="s">
        <v>10</v>
      </c>
      <c r="F2348" s="1" t="str">
        <f>"fde3:102:1430:9800:0:0:0:2"</f>
        <v>fde3:102:1430:9800:0:0:0:2</v>
      </c>
      <c r="G2348" s="1" t="str">
        <f>"0427Q511"</f>
        <v>0427Q511</v>
      </c>
      <c r="H2348" s="1" t="str">
        <f>"면목간 93L3L7"</f>
        <v>면목간 93L3L7</v>
      </c>
      <c r="I2348" s="1" t="s">
        <v>15</v>
      </c>
      <c r="J2348" s="1" t="str">
        <f>"37/37"</f>
        <v>37/37</v>
      </c>
      <c r="K2348" s="1" t="str">
        <f>"2026-07-29 14:20:56"</f>
        <v>2026-07-29 14:20:56</v>
      </c>
      <c r="L2348" s="1" t="str">
        <f>"2022-10-27 10:42:36"</f>
        <v>2022-10-27 10:42:36</v>
      </c>
      <c r="M2348" s="1" t="s">
        <v>45</v>
      </c>
      <c r="N2348" s="1" t="s">
        <v>38</v>
      </c>
      <c r="O2348" s="1" t="s">
        <v>46</v>
      </c>
    </row>
    <row r="2349" spans="2:15" x14ac:dyDescent="0.3">
      <c r="B2349" s="1" t="s">
        <v>24</v>
      </c>
      <c r="C2349" s="1" t="str">
        <f>"5-2차"</f>
        <v>5-2차</v>
      </c>
      <c r="D2349" s="1" t="str">
        <f>"0427Q5225M"</f>
        <v>0427Q5225M</v>
      </c>
      <c r="E2349" s="1" t="s">
        <v>10</v>
      </c>
      <c r="F2349" s="1" t="str">
        <f>"fde3:102:1430:9800:0:0:0:6"</f>
        <v>fde3:102:1430:9800:0:0:0:6</v>
      </c>
      <c r="G2349" s="1" t="str">
        <f>"0427Q522"</f>
        <v>0427Q522</v>
      </c>
      <c r="H2349" s="1" t="str">
        <f>"면목간 93L3L6"</f>
        <v>면목간 93L3L6</v>
      </c>
      <c r="I2349" s="1" t="s">
        <v>15</v>
      </c>
      <c r="J2349" s="1" t="str">
        <f>"50/50"</f>
        <v>50/50</v>
      </c>
      <c r="K2349" s="1" t="str">
        <f>"2026-07-29 14:20:55"</f>
        <v>2026-07-29 14:20:55</v>
      </c>
      <c r="L2349" s="1" t="str">
        <f>"2024-01-10 13:41:22"</f>
        <v>2024-01-10 13:41:22</v>
      </c>
      <c r="M2349" s="1" t="s">
        <v>45</v>
      </c>
      <c r="N2349" s="1" t="s">
        <v>38</v>
      </c>
      <c r="O2349" s="1" t="s">
        <v>46</v>
      </c>
    </row>
    <row r="2350" spans="2:15" x14ac:dyDescent="0.3">
      <c r="B2350" s="1" t="s">
        <v>24</v>
      </c>
      <c r="C2350" s="1" t="str">
        <f>"5-2차"</f>
        <v>5-2차</v>
      </c>
      <c r="D2350" s="1" t="str">
        <f>"0427Q5315M"</f>
        <v>0427Q5315M</v>
      </c>
      <c r="E2350" s="1" t="s">
        <v>10</v>
      </c>
      <c r="F2350" s="1" t="str">
        <f>"fde1:103:4:93c2:0:0:0:2"</f>
        <v>fde1:103:4:93c2:0:0:0:2</v>
      </c>
      <c r="G2350" s="1" t="str">
        <f>"0427Q531"</f>
        <v>0427Q531</v>
      </c>
      <c r="H2350" s="1" t="str">
        <f>"면목간 93L3L4R1"</f>
        <v>면목간 93L3L4R1</v>
      </c>
      <c r="I2350" s="1" t="s">
        <v>15</v>
      </c>
      <c r="J2350" s="1" t="str">
        <f>"84/84"</f>
        <v>84/84</v>
      </c>
      <c r="K2350" s="1" t="str">
        <f>"2026-07-29 14:20:36"</f>
        <v>2026-07-29 14:20:36</v>
      </c>
      <c r="L2350" s="1" t="str">
        <f>"2023-12-18 14:52:27"</f>
        <v>2023-12-18 14:52:27</v>
      </c>
      <c r="M2350" s="1" t="s">
        <v>4</v>
      </c>
      <c r="N2350" s="1" t="s">
        <v>38</v>
      </c>
      <c r="O2350" s="1" t="s">
        <v>46</v>
      </c>
    </row>
    <row r="2351" spans="2:15" x14ac:dyDescent="0.3">
      <c r="B2351" s="1" t="s">
        <v>24</v>
      </c>
      <c r="C2351" s="1" t="str">
        <f>"6차"</f>
        <v>6차</v>
      </c>
      <c r="D2351" s="1" t="str">
        <f>"0427Q5516S"</f>
        <v>0427Q5516S</v>
      </c>
      <c r="E2351" s="1" t="s">
        <v>10</v>
      </c>
      <c r="F2351" s="1" t="str">
        <f>"fde1:103:4:c61a:0:0:0:2"</f>
        <v>fde1:103:4:c61a:0:0:0:2</v>
      </c>
      <c r="G2351" s="1" t="str">
        <f>"0427Q551"</f>
        <v>0427Q551</v>
      </c>
      <c r="H2351" s="1" t="str">
        <f>"면목간 93L3L4R3"</f>
        <v>면목간 93L3L4R3</v>
      </c>
      <c r="I2351" s="1" t="s">
        <v>15</v>
      </c>
      <c r="J2351" s="1" t="str">
        <f>"61/72"</f>
        <v>61/72</v>
      </c>
      <c r="K2351" s="1" t="str">
        <f>"2026-07-29 14:21:12"</f>
        <v>2026-07-29 14:21:12</v>
      </c>
      <c r="L2351" s="1" t="str">
        <f>"2024-11-07 13:26:18"</f>
        <v>2024-11-07 13:26:18</v>
      </c>
      <c r="M2351" s="1" t="s">
        <v>4</v>
      </c>
      <c r="N2351" s="1" t="s">
        <v>38</v>
      </c>
      <c r="O2351" s="1" t="s">
        <v>46</v>
      </c>
    </row>
    <row r="2352" spans="2:15" x14ac:dyDescent="0.3">
      <c r="B2352" s="1" t="s">
        <v>24</v>
      </c>
      <c r="C2352" s="1" t="str">
        <f>"1차"</f>
        <v>1차</v>
      </c>
      <c r="D2352" s="1" t="str">
        <f>"0427Q56300"</f>
        <v>0427Q56300</v>
      </c>
      <c r="E2352" s="1" t="s">
        <v>10</v>
      </c>
      <c r="F2352" s="1" t="str">
        <f>"10.89.247.74"</f>
        <v>10.89.247.74</v>
      </c>
      <c r="G2352" s="1" t="str">
        <f>"0427Q563"</f>
        <v>0427Q563</v>
      </c>
      <c r="H2352" s="1" t="str">
        <f>"상능간 6L9R8R1"</f>
        <v>상능간 6L9R8R1</v>
      </c>
      <c r="I2352" s="1" t="s">
        <v>8</v>
      </c>
      <c r="J2352" s="1" t="str">
        <f>"114/114"</f>
        <v>114/114</v>
      </c>
      <c r="K2352" s="1" t="str">
        <f>"2026-07-29 13:18:03"</f>
        <v>2026-07-29 13:18:03</v>
      </c>
      <c r="L2352" s="1" t="str">
        <f>"2014-09-30 09:27:51"</f>
        <v>2014-09-30 09:27:51</v>
      </c>
      <c r="M2352" s="1" t="s">
        <v>45</v>
      </c>
      <c r="N2352" s="1" t="s">
        <v>38</v>
      </c>
      <c r="O2352" s="1" t="s">
        <v>46</v>
      </c>
    </row>
    <row r="2353" spans="2:15" x14ac:dyDescent="0.3">
      <c r="B2353" s="1" t="s">
        <v>24</v>
      </c>
      <c r="C2353" s="1" t="str">
        <f>"1차"</f>
        <v>1차</v>
      </c>
      <c r="D2353" s="1" t="str">
        <f>"0427Q56401"</f>
        <v>0427Q56401</v>
      </c>
      <c r="E2353" s="1" t="s">
        <v>10</v>
      </c>
      <c r="F2353" s="1" t="str">
        <f>"10.89.247.75"</f>
        <v>10.89.247.75</v>
      </c>
      <c r="G2353" s="1" t="str">
        <f>"0427Q564"</f>
        <v>0427Q564</v>
      </c>
      <c r="H2353" s="1" t="str">
        <f>"상능간 6L9R8"</f>
        <v>상능간 6L9R8</v>
      </c>
      <c r="I2353" s="1" t="s">
        <v>8</v>
      </c>
      <c r="J2353" s="1" t="str">
        <f>"15/15"</f>
        <v>15/15</v>
      </c>
      <c r="K2353" s="1" t="str">
        <f>"2026-07-29 13:18:03"</f>
        <v>2026-07-29 13:18:03</v>
      </c>
      <c r="L2353" s="1" t="str">
        <f>"2014-10-01 00:14:03"</f>
        <v>2014-10-01 00:14:03</v>
      </c>
      <c r="M2353" s="1" t="s">
        <v>45</v>
      </c>
      <c r="N2353" s="1" t="s">
        <v>38</v>
      </c>
      <c r="O2353" s="1" t="s">
        <v>46</v>
      </c>
    </row>
    <row r="2354" spans="2:15" x14ac:dyDescent="0.3">
      <c r="B2354" s="1" t="s">
        <v>24</v>
      </c>
      <c r="C2354" s="1" t="str">
        <f>"5-2차"</f>
        <v>5-2차</v>
      </c>
      <c r="D2354" s="1" t="str">
        <f>"0427Q5725M"</f>
        <v>0427Q5725M</v>
      </c>
      <c r="E2354" s="1" t="s">
        <v>10</v>
      </c>
      <c r="F2354" s="1" t="str">
        <f>"fde3:102:1430:9400:0:0:0:7"</f>
        <v>fde3:102:1430:9400:0:0:0:7</v>
      </c>
      <c r="G2354" s="1" t="str">
        <f>"0427Q572"</f>
        <v>0427Q572</v>
      </c>
      <c r="H2354" s="1" t="str">
        <f>"상능간 6L9R8R2"</f>
        <v>상능간 6L9R8R2</v>
      </c>
      <c r="I2354" s="1" t="s">
        <v>15</v>
      </c>
      <c r="J2354" s="1" t="str">
        <f>"53/53"</f>
        <v>53/53</v>
      </c>
      <c r="K2354" s="1" t="str">
        <f>"2026-07-29 14:20:55"</f>
        <v>2026-07-29 14:20:55</v>
      </c>
      <c r="L2354" s="1" t="str">
        <f>"2023-09-05 13:04:56"</f>
        <v>2023-09-05 13:04:56</v>
      </c>
      <c r="M2354" s="1" t="s">
        <v>45</v>
      </c>
      <c r="N2354" s="1" t="s">
        <v>38</v>
      </c>
      <c r="O2354" s="1" t="s">
        <v>46</v>
      </c>
    </row>
    <row r="2355" spans="2:15" x14ac:dyDescent="0.3">
      <c r="B2355" s="1" t="s">
        <v>24</v>
      </c>
      <c r="C2355" s="1" t="str">
        <f>"5-2차"</f>
        <v>5-2차</v>
      </c>
      <c r="D2355" s="1" t="str">
        <f>"0427Q5825M"</f>
        <v>0427Q5825M</v>
      </c>
      <c r="E2355" s="1" t="s">
        <v>10</v>
      </c>
      <c r="F2355" s="1" t="str">
        <f>"fde3:102:1430:9400:0:0:0:a"</f>
        <v>fde3:102:1430:9400:0:0:0:a</v>
      </c>
      <c r="G2355" s="1" t="str">
        <f>"0427Q582"</f>
        <v>0427Q582</v>
      </c>
      <c r="H2355" s="1" t="str">
        <f>"상능간 6L5"</f>
        <v>상능간 6L5</v>
      </c>
      <c r="I2355" s="1" t="s">
        <v>15</v>
      </c>
      <c r="J2355" s="1" t="str">
        <f>"74/74"</f>
        <v>74/74</v>
      </c>
      <c r="K2355" s="1" t="str">
        <f>"2026-07-29 14:20:55"</f>
        <v>2026-07-29 14:20:55</v>
      </c>
      <c r="L2355" s="1" t="str">
        <f>"2024-01-05 10:34:39"</f>
        <v>2024-01-05 10:34:39</v>
      </c>
      <c r="M2355" s="1" t="s">
        <v>45</v>
      </c>
      <c r="N2355" s="1" t="s">
        <v>38</v>
      </c>
      <c r="O2355" s="1" t="s">
        <v>46</v>
      </c>
    </row>
    <row r="2356" spans="2:15" x14ac:dyDescent="0.3">
      <c r="B2356" s="1" t="s">
        <v>24</v>
      </c>
      <c r="C2356" s="1" t="str">
        <f>"5-2차"</f>
        <v>5-2차</v>
      </c>
      <c r="D2356" s="1" t="str">
        <f>"0427Q6035M"</f>
        <v>0427Q6035M</v>
      </c>
      <c r="E2356" s="1" t="s">
        <v>10</v>
      </c>
      <c r="F2356" s="1" t="str">
        <f>"fde3:102:1430:9800:0:0:0:10"</f>
        <v>fde3:102:1430:9800:0:0:0:10</v>
      </c>
      <c r="G2356" s="1" t="str">
        <f>"0427Q603"</f>
        <v>0427Q603</v>
      </c>
      <c r="H2356" s="1" t="str">
        <f>"면목간 94L3"</f>
        <v>면목간 94L3</v>
      </c>
      <c r="I2356" s="1" t="s">
        <v>15</v>
      </c>
      <c r="J2356" s="1" t="str">
        <f>"22/22"</f>
        <v>22/22</v>
      </c>
      <c r="K2356" s="1" t="str">
        <f>"2026-07-29 14:20:57"</f>
        <v>2026-07-29 14:20:57</v>
      </c>
      <c r="L2356" s="1" t="str">
        <f>"2023-12-02 15:18:17"</f>
        <v>2023-12-02 15:18:17</v>
      </c>
      <c r="M2356" s="1" t="s">
        <v>45</v>
      </c>
      <c r="N2356" s="1" t="s">
        <v>38</v>
      </c>
      <c r="O2356" s="1" t="s">
        <v>46</v>
      </c>
    </row>
    <row r="2357" spans="2:15" x14ac:dyDescent="0.3">
      <c r="B2357" s="1" t="s">
        <v>24</v>
      </c>
      <c r="C2357" s="1" t="str">
        <f>"5-2차"</f>
        <v>5-2차</v>
      </c>
      <c r="D2357" s="1" t="str">
        <f>"0427Q6045M"</f>
        <v>0427Q6045M</v>
      </c>
      <c r="E2357" s="1" t="s">
        <v>10</v>
      </c>
      <c r="F2357" s="1" t="str">
        <f>"fde1:103:4:92e3:0:0:0:2"</f>
        <v>fde1:103:4:92e3:0:0:0:2</v>
      </c>
      <c r="G2357" s="1" t="str">
        <f>"0427Q604"</f>
        <v>0427Q604</v>
      </c>
      <c r="H2357" s="1" t="str">
        <f>"면목간 94L2"</f>
        <v>면목간 94L2</v>
      </c>
      <c r="I2357" s="1" t="s">
        <v>15</v>
      </c>
      <c r="J2357" s="1" t="str">
        <f>"61/61"</f>
        <v>61/61</v>
      </c>
      <c r="K2357" s="1" t="str">
        <f>"2026-07-29 14:20:36"</f>
        <v>2026-07-29 14:20:36</v>
      </c>
      <c r="L2357" s="1" t="str">
        <f>"2023-12-18 14:52:53"</f>
        <v>2023-12-18 14:52:53</v>
      </c>
      <c r="M2357" s="1" t="s">
        <v>4</v>
      </c>
      <c r="N2357" s="1" t="s">
        <v>38</v>
      </c>
      <c r="O2357" s="1" t="s">
        <v>46</v>
      </c>
    </row>
    <row r="2358" spans="2:15" x14ac:dyDescent="0.3">
      <c r="B2358" s="1" t="s">
        <v>24</v>
      </c>
      <c r="C2358" s="1" t="str">
        <f>"5-1차"</f>
        <v>5-1차</v>
      </c>
      <c r="D2358" s="1" t="str">
        <f>"0427Q6125S"</f>
        <v>0427Q6125S</v>
      </c>
      <c r="E2358" s="1" t="s">
        <v>10</v>
      </c>
      <c r="F2358" s="1" t="str">
        <f>"fde2:104:0:122:0:0:0:2"</f>
        <v>fde2:104:0:122:0:0:0:2</v>
      </c>
      <c r="G2358" s="1" t="str">
        <f>"0427Q612"</f>
        <v>0427Q612</v>
      </c>
      <c r="H2358" s="1" t="str">
        <f>"면목간 93L2R1R2"</f>
        <v>면목간 93L2R1R2</v>
      </c>
      <c r="I2358" s="1" t="s">
        <v>15</v>
      </c>
      <c r="J2358" s="1" t="str">
        <f>"51/51"</f>
        <v>51/51</v>
      </c>
      <c r="K2358" s="1" t="str">
        <f>"2026-07-29 14:20:56"</f>
        <v>2026-07-29 14:20:56</v>
      </c>
      <c r="L2358" s="1" t="str">
        <f>"2022-10-04 15:28:12"</f>
        <v>2022-10-04 15:28:12</v>
      </c>
      <c r="M2358" s="1" t="s">
        <v>42</v>
      </c>
      <c r="N2358" s="1" t="s">
        <v>38</v>
      </c>
      <c r="O2358" s="1" t="s">
        <v>46</v>
      </c>
    </row>
    <row r="2359" spans="2:15" x14ac:dyDescent="0.3">
      <c r="B2359" s="1" t="s">
        <v>24</v>
      </c>
      <c r="C2359" s="1" t="str">
        <f>"5-1차"</f>
        <v>5-1차</v>
      </c>
      <c r="D2359" s="1" t="str">
        <f>"0427Q6315S"</f>
        <v>0427Q6315S</v>
      </c>
      <c r="E2359" s="1" t="s">
        <v>10</v>
      </c>
      <c r="F2359" s="1" t="str">
        <f>"fde3:102:1430:9800:0:0:0:3"</f>
        <v>fde3:102:1430:9800:0:0:0:3</v>
      </c>
      <c r="G2359" s="1" t="str">
        <f>"0427Q631"</f>
        <v>0427Q631</v>
      </c>
      <c r="H2359" s="1" t="str">
        <f>"면목간 93L3L3"</f>
        <v>면목간 93L3L3</v>
      </c>
      <c r="I2359" s="1" t="s">
        <v>15</v>
      </c>
      <c r="J2359" s="1" t="str">
        <f>"35/35"</f>
        <v>35/35</v>
      </c>
      <c r="K2359" s="1" t="str">
        <f>"2026-07-29 14:20:59"</f>
        <v>2026-07-29 14:20:59</v>
      </c>
      <c r="L2359" s="1" t="str">
        <f>"2022-10-31 19:21:34"</f>
        <v>2022-10-31 19:21:34</v>
      </c>
      <c r="M2359" s="1" t="s">
        <v>45</v>
      </c>
      <c r="N2359" s="1" t="s">
        <v>38</v>
      </c>
      <c r="O2359" s="1" t="s">
        <v>46</v>
      </c>
    </row>
    <row r="2360" spans="2:15" x14ac:dyDescent="0.3">
      <c r="B2360" s="1" t="s">
        <v>24</v>
      </c>
      <c r="C2360" s="1" t="str">
        <f>"5-2차"</f>
        <v>5-2차</v>
      </c>
      <c r="D2360" s="1" t="str">
        <f>"0427Q6825M"</f>
        <v>0427Q6825M</v>
      </c>
      <c r="E2360" s="1" t="s">
        <v>10</v>
      </c>
      <c r="F2360" s="1" t="str">
        <f>"fde3:102:1430:9400:0:0:0:9"</f>
        <v>fde3:102:1430:9400:0:0:0:9</v>
      </c>
      <c r="G2360" s="1" t="str">
        <f>"0427Q682"</f>
        <v>0427Q682</v>
      </c>
      <c r="H2360" s="1" t="str">
        <f>"상능간 6L7"</f>
        <v>상능간 6L7</v>
      </c>
      <c r="I2360" s="1" t="s">
        <v>15</v>
      </c>
      <c r="J2360" s="1" t="str">
        <f>"79/79"</f>
        <v>79/79</v>
      </c>
      <c r="K2360" s="1" t="str">
        <f>"2026-07-29 14:20:55"</f>
        <v>2026-07-29 14:20:55</v>
      </c>
      <c r="L2360" s="1" t="str">
        <f>"2023-11-02 15:00:14"</f>
        <v>2023-11-02 15:00:14</v>
      </c>
      <c r="M2360" s="1" t="s">
        <v>45</v>
      </c>
      <c r="N2360" s="1" t="s">
        <v>38</v>
      </c>
      <c r="O2360" s="1" t="s">
        <v>46</v>
      </c>
    </row>
    <row r="2361" spans="2:15" x14ac:dyDescent="0.3">
      <c r="B2361" s="1" t="s">
        <v>24</v>
      </c>
      <c r="C2361" s="1" t="str">
        <f>"6차"</f>
        <v>6차</v>
      </c>
      <c r="D2361" s="1" t="str">
        <f>"0427Q6936S"</f>
        <v>0427Q6936S</v>
      </c>
      <c r="E2361" s="1" t="s">
        <v>10</v>
      </c>
      <c r="F2361" s="1" t="str">
        <f>"fde3:102:1430:9100:0:0:0:4"</f>
        <v>fde3:102:1430:9100:0:0:0:4</v>
      </c>
      <c r="G2361" s="1" t="str">
        <f>"0427Q693"</f>
        <v>0427Q693</v>
      </c>
      <c r="H2361" s="1" t="str">
        <f>"상능간 3L1R4"</f>
        <v>상능간 3L1R4</v>
      </c>
      <c r="I2361" s="1" t="s">
        <v>15</v>
      </c>
      <c r="J2361" s="1" t="str">
        <f>"149/152"</f>
        <v>149/152</v>
      </c>
      <c r="K2361" s="1" t="str">
        <f>"2026-07-29 14:20:55"</f>
        <v>2026-07-29 14:20:55</v>
      </c>
      <c r="L2361" s="1" t="str">
        <f>"2024-09-27 08:18:23"</f>
        <v>2024-09-27 08:18:23</v>
      </c>
      <c r="M2361" s="1" t="s">
        <v>45</v>
      </c>
      <c r="N2361" s="1" t="s">
        <v>38</v>
      </c>
      <c r="O2361" s="1" t="s">
        <v>46</v>
      </c>
    </row>
    <row r="2362" spans="2:15" x14ac:dyDescent="0.3">
      <c r="B2362" s="1" t="s">
        <v>24</v>
      </c>
      <c r="C2362" s="1" t="str">
        <f>"5-2차"</f>
        <v>5-2차</v>
      </c>
      <c r="D2362" s="1" t="str">
        <f>"0427Q6945M"</f>
        <v>0427Q6945M</v>
      </c>
      <c r="E2362" s="1" t="s">
        <v>10</v>
      </c>
      <c r="F2362" s="1" t="str">
        <f>"fde3:102:1430:9400:0:0:0:b"</f>
        <v>fde3:102:1430:9400:0:0:0:b</v>
      </c>
      <c r="G2362" s="1" t="str">
        <f>"0427Q694"</f>
        <v>0427Q694</v>
      </c>
      <c r="H2362" s="1" t="str">
        <f>"상능간 3L1R5"</f>
        <v>상능간 3L1R5</v>
      </c>
      <c r="I2362" s="1" t="s">
        <v>15</v>
      </c>
      <c r="J2362" s="1" t="str">
        <f>"30/30"</f>
        <v>30/30</v>
      </c>
      <c r="K2362" s="1" t="str">
        <f>"2026-07-29 14:21:11"</f>
        <v>2026-07-29 14:21:11</v>
      </c>
      <c r="L2362" s="1" t="str">
        <f>"2024-01-05 10:06:11"</f>
        <v>2024-01-05 10:06:11</v>
      </c>
      <c r="M2362" s="1" t="s">
        <v>45</v>
      </c>
      <c r="N2362" s="1" t="s">
        <v>38</v>
      </c>
      <c r="O2362" s="1" t="s">
        <v>46</v>
      </c>
    </row>
    <row r="2363" spans="2:15" x14ac:dyDescent="0.3">
      <c r="B2363" s="1" t="s">
        <v>24</v>
      </c>
      <c r="C2363" s="1" t="str">
        <f>"5-2차"</f>
        <v>5-2차</v>
      </c>
      <c r="D2363" s="1" t="str">
        <f>"0427Q7145M"</f>
        <v>0427Q7145M</v>
      </c>
      <c r="E2363" s="1" t="s">
        <v>10</v>
      </c>
      <c r="F2363" s="1" t="str">
        <f>"fde1:103:4:937d:0:0:0:2"</f>
        <v>fde1:103:4:937d:0:0:0:2</v>
      </c>
      <c r="G2363" s="1" t="str">
        <f>"0427Q714"</f>
        <v>0427Q714</v>
      </c>
      <c r="H2363" s="1" t="str">
        <f>"면목간 93L2R1R1"</f>
        <v>면목간 93L2R1R1</v>
      </c>
      <c r="I2363" s="1" t="s">
        <v>15</v>
      </c>
      <c r="J2363" s="1" t="str">
        <f>"57/57"</f>
        <v>57/57</v>
      </c>
      <c r="K2363" s="1" t="str">
        <f>"2026-07-29 14:21:12"</f>
        <v>2026-07-29 14:21:12</v>
      </c>
      <c r="L2363" s="1" t="str">
        <f>"2023-12-18 14:53:11"</f>
        <v>2023-12-18 14:53:11</v>
      </c>
      <c r="M2363" s="1" t="s">
        <v>4</v>
      </c>
      <c r="N2363" s="1" t="s">
        <v>38</v>
      </c>
      <c r="O2363" s="1" t="s">
        <v>46</v>
      </c>
    </row>
    <row r="2364" spans="2:15" x14ac:dyDescent="0.3">
      <c r="B2364" s="1" t="s">
        <v>24</v>
      </c>
      <c r="C2364" s="1" t="str">
        <f>"5-1차"</f>
        <v>5-1차</v>
      </c>
      <c r="D2364" s="1" t="str">
        <f>"0427Q7215M"</f>
        <v>0427Q7215M</v>
      </c>
      <c r="E2364" s="1" t="s">
        <v>10</v>
      </c>
      <c r="F2364" s="1" t="str">
        <f>"fde3:102:1430:9800:0:0:0:4"</f>
        <v>fde3:102:1430:9800:0:0:0:4</v>
      </c>
      <c r="G2364" s="1" t="str">
        <f>"0427Q721"</f>
        <v>0427Q721</v>
      </c>
      <c r="H2364" s="1" t="str">
        <f>"면목간 93L3"</f>
        <v>면목간 93L3</v>
      </c>
      <c r="I2364" s="1" t="s">
        <v>15</v>
      </c>
      <c r="J2364" s="1" t="str">
        <f>"41/41"</f>
        <v>41/41</v>
      </c>
      <c r="K2364" s="1" t="str">
        <f>"2026-07-29 14:21:13"</f>
        <v>2026-07-29 14:21:13</v>
      </c>
      <c r="L2364" s="1" t="str">
        <f>"2022-10-18 12:41:18"</f>
        <v>2022-10-18 12:41:18</v>
      </c>
      <c r="M2364" s="1" t="s">
        <v>45</v>
      </c>
      <c r="N2364" s="1" t="s">
        <v>38</v>
      </c>
      <c r="O2364" s="1" t="s">
        <v>46</v>
      </c>
    </row>
    <row r="2365" spans="2:15" x14ac:dyDescent="0.3">
      <c r="B2365" s="1" t="s">
        <v>24</v>
      </c>
      <c r="C2365" s="1" t="str">
        <f>"5-2차"</f>
        <v>5-2차</v>
      </c>
      <c r="D2365" s="1" t="str">
        <f>"0427Q7225M"</f>
        <v>0427Q7225M</v>
      </c>
      <c r="E2365" s="1" t="s">
        <v>10</v>
      </c>
      <c r="F2365" s="1" t="str">
        <f>"fde3:102:1430:9800:0:0:0:5"</f>
        <v>fde3:102:1430:9800:0:0:0:5</v>
      </c>
      <c r="G2365" s="1" t="str">
        <f>"0427Q722"</f>
        <v>0427Q722</v>
      </c>
      <c r="H2365" s="1" t="str">
        <f>"면목간 93L3L1"</f>
        <v>면목간 93L3L1</v>
      </c>
      <c r="I2365" s="1" t="s">
        <v>15</v>
      </c>
      <c r="J2365" s="1" t="str">
        <f>"47/47"</f>
        <v>47/47</v>
      </c>
      <c r="K2365" s="1" t="str">
        <f>"2026-07-29 14:20:55"</f>
        <v>2026-07-29 14:20:55</v>
      </c>
      <c r="L2365" s="1" t="str">
        <f>"2023-09-05 12:57:24"</f>
        <v>2023-09-05 12:57:24</v>
      </c>
      <c r="M2365" s="1" t="s">
        <v>45</v>
      </c>
      <c r="N2365" s="1" t="s">
        <v>38</v>
      </c>
      <c r="O2365" s="1" t="s">
        <v>46</v>
      </c>
    </row>
    <row r="2366" spans="2:15" x14ac:dyDescent="0.3">
      <c r="B2366" s="1" t="s">
        <v>24</v>
      </c>
      <c r="C2366" s="1" t="str">
        <f>"6차"</f>
        <v>6차</v>
      </c>
      <c r="D2366" s="1" t="str">
        <f>"0427Q7516S"</f>
        <v>0427Q7516S</v>
      </c>
      <c r="E2366" s="1" t="s">
        <v>10</v>
      </c>
      <c r="F2366" s="1" t="str">
        <f>"fde1:103:4:c608:0:0:0:2"</f>
        <v>fde1:103:4:c608:0:0:0:2</v>
      </c>
      <c r="G2366" s="1" t="str">
        <f>"0427Q751"</f>
        <v>0427Q751</v>
      </c>
      <c r="H2366" s="1" t="str">
        <f>"면목간 93L6L3"</f>
        <v>면목간 93L6L3</v>
      </c>
      <c r="I2366" s="1" t="s">
        <v>15</v>
      </c>
      <c r="J2366" s="1" t="str">
        <f>"86/91"</f>
        <v>86/91</v>
      </c>
      <c r="K2366" s="1" t="str">
        <f>"2026-07-29 14:21:22"</f>
        <v>2026-07-29 14:21:22</v>
      </c>
      <c r="L2366" s="1" t="str">
        <f>"2024-11-07 13:16:19"</f>
        <v>2024-11-07 13:16:19</v>
      </c>
      <c r="M2366" s="1" t="s">
        <v>4</v>
      </c>
      <c r="N2366" s="1" t="s">
        <v>38</v>
      </c>
      <c r="O2366" s="1" t="s">
        <v>46</v>
      </c>
    </row>
    <row r="2367" spans="2:15" x14ac:dyDescent="0.3">
      <c r="B2367" s="1" t="s">
        <v>24</v>
      </c>
      <c r="C2367" s="1" t="str">
        <f>"4차"</f>
        <v>4차</v>
      </c>
      <c r="D2367" s="1" t="str">
        <f>"0427Q76344"</f>
        <v>0427Q76344</v>
      </c>
      <c r="E2367" s="1" t="s">
        <v>10</v>
      </c>
      <c r="F2367" s="1" t="str">
        <f>"10.89.247.71"</f>
        <v>10.89.247.71</v>
      </c>
      <c r="G2367" s="1" t="str">
        <f>"0427Q763"</f>
        <v>0427Q763</v>
      </c>
      <c r="H2367" s="1" t="str">
        <f>"상능간 6L9R6"</f>
        <v>상능간 6L9R6</v>
      </c>
      <c r="I2367" s="1" t="s">
        <v>8</v>
      </c>
      <c r="J2367" s="1" t="str">
        <f>"21/24"</f>
        <v>21/24</v>
      </c>
      <c r="K2367" s="1" t="str">
        <f>"2026-07-29 13:18:03"</f>
        <v>2026-07-29 13:18:03</v>
      </c>
      <c r="L2367" s="1" t="str">
        <f>"2023-10-27 17:04:40"</f>
        <v>2023-10-27 17:04:40</v>
      </c>
      <c r="M2367" s="1" t="s">
        <v>45</v>
      </c>
      <c r="N2367" s="1" t="s">
        <v>38</v>
      </c>
      <c r="O2367" s="1" t="s">
        <v>46</v>
      </c>
    </row>
    <row r="2368" spans="2:15" x14ac:dyDescent="0.3">
      <c r="B2368" s="1" t="s">
        <v>24</v>
      </c>
      <c r="C2368" s="1" t="str">
        <f>"1차"</f>
        <v>1차</v>
      </c>
      <c r="D2368" s="1" t="str">
        <f>"0427Q77100"</f>
        <v>0427Q77100</v>
      </c>
      <c r="E2368" s="1" t="s">
        <v>10</v>
      </c>
      <c r="F2368" s="1" t="str">
        <f>"10.89.247.76"</f>
        <v>10.89.247.76</v>
      </c>
      <c r="G2368" s="1" t="str">
        <f>"0427Q771"</f>
        <v>0427Q771</v>
      </c>
      <c r="H2368" s="1" t="str">
        <f>"상능간 6L9R3"</f>
        <v>상능간 6L9R3</v>
      </c>
      <c r="I2368" s="1" t="s">
        <v>8</v>
      </c>
      <c r="J2368" s="1" t="str">
        <f>"120/128"</f>
        <v>120/128</v>
      </c>
      <c r="K2368" s="1" t="str">
        <f>"2026-07-29 13:18:03"</f>
        <v>2026-07-29 13:18:03</v>
      </c>
      <c r="L2368" s="1" t="str">
        <f>"2014-10-01 13:12:02"</f>
        <v>2014-10-01 13:12:02</v>
      </c>
      <c r="M2368" s="1" t="s">
        <v>45</v>
      </c>
      <c r="N2368" s="1" t="s">
        <v>38</v>
      </c>
      <c r="O2368" s="1" t="s">
        <v>46</v>
      </c>
    </row>
    <row r="2369" spans="2:15" x14ac:dyDescent="0.3">
      <c r="B2369" s="1" t="s">
        <v>24</v>
      </c>
      <c r="C2369" s="1" t="str">
        <f>"5-2차"</f>
        <v>5-2차</v>
      </c>
      <c r="D2369" s="1" t="str">
        <f>"0427Q7725S"</f>
        <v>0427Q7725S</v>
      </c>
      <c r="E2369" s="1" t="s">
        <v>10</v>
      </c>
      <c r="F2369" s="1" t="str">
        <f>"fde3:102:1430:9400:0:0:0:4"</f>
        <v>fde3:102:1430:9400:0:0:0:4</v>
      </c>
      <c r="G2369" s="1" t="str">
        <f>"0427Q772"</f>
        <v>0427Q772</v>
      </c>
      <c r="H2369" s="1" t="str">
        <f>"상능간 6L9R2"</f>
        <v>상능간 6L9R2</v>
      </c>
      <c r="I2369" s="1" t="s">
        <v>15</v>
      </c>
      <c r="J2369" s="1" t="str">
        <f>"36/36"</f>
        <v>36/36</v>
      </c>
      <c r="K2369" s="1" t="str">
        <f>"2026-07-29 14:20:56"</f>
        <v>2026-07-29 14:20:56</v>
      </c>
      <c r="L2369" s="1" t="str">
        <f>"2023-09-05 13:02:26"</f>
        <v>2023-09-05 13:02:26</v>
      </c>
      <c r="M2369" s="1" t="s">
        <v>45</v>
      </c>
      <c r="N2369" s="1" t="s">
        <v>38</v>
      </c>
      <c r="O2369" s="1" t="s">
        <v>46</v>
      </c>
    </row>
    <row r="2370" spans="2:15" x14ac:dyDescent="0.3">
      <c r="B2370" s="1" t="s">
        <v>24</v>
      </c>
      <c r="C2370" s="1" t="str">
        <f>"5-2차"</f>
        <v>5-2차</v>
      </c>
      <c r="D2370" s="1" t="str">
        <f>"0427Q8015M"</f>
        <v>0427Q8015M</v>
      </c>
      <c r="E2370" s="1" t="s">
        <v>10</v>
      </c>
      <c r="F2370" s="1" t="str">
        <f>"fde3:102:1430:9800:0:0:0:12"</f>
        <v>fde3:102:1430:9800:0:0:0:12</v>
      </c>
      <c r="G2370" s="1" t="str">
        <f>"0427Q801"</f>
        <v>0427Q801</v>
      </c>
      <c r="H2370" s="1" t="str">
        <f>"면목간 95"</f>
        <v>면목간 95</v>
      </c>
      <c r="I2370" s="1" t="s">
        <v>15</v>
      </c>
      <c r="J2370" s="1" t="str">
        <f>"80/82"</f>
        <v>80/82</v>
      </c>
      <c r="K2370" s="1" t="str">
        <f>"2026-07-29 14:20:56"</f>
        <v>2026-07-29 14:20:56</v>
      </c>
      <c r="L2370" s="1" t="str">
        <f>"2024-01-04 12:39:52"</f>
        <v>2024-01-04 12:39:52</v>
      </c>
      <c r="M2370" s="1" t="s">
        <v>45</v>
      </c>
      <c r="N2370" s="1" t="s">
        <v>38</v>
      </c>
      <c r="O2370" s="1" t="s">
        <v>46</v>
      </c>
    </row>
    <row r="2371" spans="2:15" x14ac:dyDescent="0.3">
      <c r="B2371" s="1" t="s">
        <v>24</v>
      </c>
      <c r="C2371" s="1" t="str">
        <f>"5-2차"</f>
        <v>5-2차</v>
      </c>
      <c r="D2371" s="1" t="str">
        <f>"0427Q8325M"</f>
        <v>0427Q8325M</v>
      </c>
      <c r="E2371" s="1" t="s">
        <v>10</v>
      </c>
      <c r="F2371" s="1" t="str">
        <f>"fde1:103:4:9375:0:0:0:2"</f>
        <v>fde1:103:4:9375:0:0:0:2</v>
      </c>
      <c r="G2371" s="1" t="str">
        <f>"0427Q832"</f>
        <v>0427Q832</v>
      </c>
      <c r="H2371" s="1" t="str">
        <f>"면목간 93L6"</f>
        <v>면목간 93L6</v>
      </c>
      <c r="I2371" s="1" t="s">
        <v>15</v>
      </c>
      <c r="J2371" s="1" t="str">
        <f>"54/54"</f>
        <v>54/54</v>
      </c>
      <c r="K2371" s="1" t="str">
        <f>"2026-07-29 14:20:25"</f>
        <v>2026-07-29 14:20:25</v>
      </c>
      <c r="L2371" s="1" t="str">
        <f>"2023-12-19 13:03:49"</f>
        <v>2023-12-19 13:03:49</v>
      </c>
      <c r="M2371" s="1" t="s">
        <v>4</v>
      </c>
      <c r="N2371" s="1" t="s">
        <v>38</v>
      </c>
      <c r="O2371" s="1" t="s">
        <v>46</v>
      </c>
    </row>
    <row r="2372" spans="2:15" x14ac:dyDescent="0.3">
      <c r="B2372" s="1" t="s">
        <v>24</v>
      </c>
      <c r="C2372" s="1" t="str">
        <f>"5-2차"</f>
        <v>5-2차</v>
      </c>
      <c r="D2372" s="1" t="str">
        <f>"0427Q8345M"</f>
        <v>0427Q8345M</v>
      </c>
      <c r="E2372" s="1" t="s">
        <v>10</v>
      </c>
      <c r="F2372" s="1" t="str">
        <f>"fde1:103:4:9325:0:0:0:2"</f>
        <v>fde1:103:4:9325:0:0:0:2</v>
      </c>
      <c r="G2372" s="1" t="str">
        <f>"0427Q834"</f>
        <v>0427Q834</v>
      </c>
      <c r="H2372" s="1" t="str">
        <f>"면목간 93L6L1"</f>
        <v>면목간 93L6L1</v>
      </c>
      <c r="I2372" s="1" t="s">
        <v>15</v>
      </c>
      <c r="J2372" s="1" t="str">
        <f>"36/36"</f>
        <v>36/36</v>
      </c>
      <c r="K2372" s="1" t="str">
        <f>"2026-07-29 14:21:13"</f>
        <v>2026-07-29 14:21:13</v>
      </c>
      <c r="L2372" s="1" t="str">
        <f>"2024-01-08 14:58:19"</f>
        <v>2024-01-08 14:58:19</v>
      </c>
      <c r="M2372" s="1" t="s">
        <v>4</v>
      </c>
      <c r="N2372" s="1" t="s">
        <v>38</v>
      </c>
      <c r="O2372" s="1" t="s">
        <v>46</v>
      </c>
    </row>
    <row r="2373" spans="2:15" x14ac:dyDescent="0.3">
      <c r="B2373" s="1" t="s">
        <v>24</v>
      </c>
      <c r="C2373" s="1" t="str">
        <f>"6차"</f>
        <v>6차</v>
      </c>
      <c r="D2373" s="1" t="str">
        <f>"0427Q8386S"</f>
        <v>0427Q8386S</v>
      </c>
      <c r="E2373" s="1" t="s">
        <v>10</v>
      </c>
      <c r="F2373" s="1" t="str">
        <f>"fde1:103:4:c6fd:0:0:0:2"</f>
        <v>fde1:103:4:c6fd:0:0:0:2</v>
      </c>
      <c r="G2373" s="1" t="str">
        <f>"0427Q838"</f>
        <v>0427Q838</v>
      </c>
      <c r="H2373" s="1" t="str">
        <f>"면목간 93L7"</f>
        <v>면목간 93L7</v>
      </c>
      <c r="I2373" s="1" t="s">
        <v>15</v>
      </c>
      <c r="J2373" s="1" t="str">
        <f>"20/28"</f>
        <v>20/28</v>
      </c>
      <c r="K2373" s="1" t="str">
        <f>"2026-07-29 14:20:56"</f>
        <v>2026-07-29 14:20:56</v>
      </c>
      <c r="L2373" s="1" t="str">
        <f>"2024-11-21 11:22:58"</f>
        <v>2024-11-21 11:22:58</v>
      </c>
      <c r="M2373" s="1" t="s">
        <v>4</v>
      </c>
      <c r="N2373" s="1" t="s">
        <v>38</v>
      </c>
      <c r="O2373" s="1" t="s">
        <v>46</v>
      </c>
    </row>
    <row r="2374" spans="2:15" x14ac:dyDescent="0.3">
      <c r="B2374" s="1" t="s">
        <v>24</v>
      </c>
      <c r="C2374" s="1" t="str">
        <f>"6차"</f>
        <v>6차</v>
      </c>
      <c r="D2374" s="1" t="str">
        <f>"0427Q8516S"</f>
        <v>0427Q8516S</v>
      </c>
      <c r="E2374" s="1" t="s">
        <v>10</v>
      </c>
      <c r="F2374" s="1" t="str">
        <f>"fde1:103:4:91bb:0:0:0:2"</f>
        <v>fde1:103:4:91bb:0:0:0:2</v>
      </c>
      <c r="G2374" s="1" t="str">
        <f>"0427Q851"</f>
        <v>0427Q851</v>
      </c>
      <c r="H2374" s="1" t="str">
        <f>"면목간 93L6L2"</f>
        <v>면목간 93L6L2</v>
      </c>
      <c r="I2374" s="1" t="s">
        <v>15</v>
      </c>
      <c r="J2374" s="1" t="str">
        <f>"74/77"</f>
        <v>74/77</v>
      </c>
      <c r="K2374" s="1" t="str">
        <f>"2026-07-29 14:21:08"</f>
        <v>2026-07-29 14:21:08</v>
      </c>
      <c r="L2374" s="1" t="str">
        <f>"2024-09-20 15:44:22"</f>
        <v>2024-09-20 15:44:22</v>
      </c>
      <c r="M2374" s="1" t="s">
        <v>4</v>
      </c>
      <c r="N2374" s="1" t="s">
        <v>38</v>
      </c>
      <c r="O2374" s="1" t="s">
        <v>46</v>
      </c>
    </row>
    <row r="2375" spans="2:15" x14ac:dyDescent="0.3">
      <c r="B2375" s="1" t="s">
        <v>24</v>
      </c>
      <c r="C2375" s="1" t="str">
        <f t="shared" ref="C2375:C2380" si="137">"5-2차"</f>
        <v>5-2차</v>
      </c>
      <c r="D2375" s="1" t="str">
        <f>"0427Q8615S"</f>
        <v>0427Q8615S</v>
      </c>
      <c r="E2375" s="1" t="s">
        <v>10</v>
      </c>
      <c r="F2375" s="1" t="str">
        <f>"fde3:102:1430:9400:0:0:0:5"</f>
        <v>fde3:102:1430:9400:0:0:0:5</v>
      </c>
      <c r="G2375" s="1" t="str">
        <f>"0427Q861"</f>
        <v>0427Q861</v>
      </c>
      <c r="H2375" s="1" t="str">
        <f>"상능간 6L9R5L1"</f>
        <v>상능간 6L9R5L1</v>
      </c>
      <c r="I2375" s="1" t="s">
        <v>15</v>
      </c>
      <c r="J2375" s="1" t="str">
        <f>"49/49"</f>
        <v>49/49</v>
      </c>
      <c r="K2375" s="1" t="str">
        <f>"2026-07-29 14:20:56"</f>
        <v>2026-07-29 14:20:56</v>
      </c>
      <c r="L2375" s="1" t="str">
        <f>"2023-09-05 13:01:09"</f>
        <v>2023-09-05 13:01:09</v>
      </c>
      <c r="M2375" s="1" t="s">
        <v>45</v>
      </c>
      <c r="N2375" s="1" t="s">
        <v>38</v>
      </c>
      <c r="O2375" s="1" t="s">
        <v>46</v>
      </c>
    </row>
    <row r="2376" spans="2:15" x14ac:dyDescent="0.3">
      <c r="B2376" s="1" t="s">
        <v>24</v>
      </c>
      <c r="C2376" s="1" t="str">
        <f t="shared" si="137"/>
        <v>5-2차</v>
      </c>
      <c r="D2376" s="1" t="str">
        <f>"0427Q8755S"</f>
        <v>0427Q8755S</v>
      </c>
      <c r="E2376" s="1" t="s">
        <v>10</v>
      </c>
      <c r="F2376" s="1" t="str">
        <f>"fde3:102:1430:9400:0:0:0:3"</f>
        <v>fde3:102:1430:9400:0:0:0:3</v>
      </c>
      <c r="G2376" s="1" t="str">
        <f>"0427Q875"</f>
        <v>0427Q875</v>
      </c>
      <c r="H2376" s="1" t="str">
        <f>"상능간 6L9R3L1"</f>
        <v>상능간 6L9R3L1</v>
      </c>
      <c r="I2376" s="1" t="s">
        <v>15</v>
      </c>
      <c r="J2376" s="1" t="str">
        <f>"37/37"</f>
        <v>37/37</v>
      </c>
      <c r="K2376" s="1" t="str">
        <f>"2026-07-29 14:20:57"</f>
        <v>2026-07-29 14:20:57</v>
      </c>
      <c r="L2376" s="1" t="str">
        <f>"2023-09-05 13:02:51"</f>
        <v>2023-09-05 13:02:51</v>
      </c>
      <c r="M2376" s="1" t="s">
        <v>45</v>
      </c>
      <c r="N2376" s="1" t="s">
        <v>38</v>
      </c>
      <c r="O2376" s="1" t="s">
        <v>46</v>
      </c>
    </row>
    <row r="2377" spans="2:15" x14ac:dyDescent="0.3">
      <c r="B2377" s="1" t="s">
        <v>24</v>
      </c>
      <c r="C2377" s="1" t="str">
        <f t="shared" si="137"/>
        <v>5-2차</v>
      </c>
      <c r="D2377" s="1" t="str">
        <f>"0427Q8835M"</f>
        <v>0427Q8835M</v>
      </c>
      <c r="E2377" s="1" t="s">
        <v>10</v>
      </c>
      <c r="F2377" s="1" t="str">
        <f>"fde3:102:1430:9400:0:0:0:8"</f>
        <v>fde3:102:1430:9400:0:0:0:8</v>
      </c>
      <c r="G2377" s="1" t="str">
        <f>"0427Q883"</f>
        <v>0427Q883</v>
      </c>
      <c r="H2377" s="1" t="str">
        <f>"상능간 6L10"</f>
        <v>상능간 6L10</v>
      </c>
      <c r="I2377" s="1" t="s">
        <v>15</v>
      </c>
      <c r="J2377" s="1" t="str">
        <f>"51/51"</f>
        <v>51/51</v>
      </c>
      <c r="K2377" s="1" t="str">
        <f>"2026-07-29 14:21:12"</f>
        <v>2026-07-29 14:21:12</v>
      </c>
      <c r="L2377" s="1" t="str">
        <f>"2023-09-05 12:58:49"</f>
        <v>2023-09-05 12:58:49</v>
      </c>
      <c r="M2377" s="1" t="s">
        <v>45</v>
      </c>
      <c r="N2377" s="1" t="s">
        <v>38</v>
      </c>
      <c r="O2377" s="1" t="s">
        <v>46</v>
      </c>
    </row>
    <row r="2378" spans="2:15" x14ac:dyDescent="0.3">
      <c r="B2378" s="1" t="s">
        <v>24</v>
      </c>
      <c r="C2378" s="1" t="str">
        <f t="shared" si="137"/>
        <v>5-2차</v>
      </c>
      <c r="D2378" s="1" t="str">
        <f>"0427Q9015M"</f>
        <v>0427Q9015M</v>
      </c>
      <c r="E2378" s="1" t="s">
        <v>10</v>
      </c>
      <c r="F2378" s="1" t="str">
        <f>"fde3:102:1430:9800:0:0:0:a"</f>
        <v>fde3:102:1430:9800:0:0:0:a</v>
      </c>
      <c r="G2378" s="1" t="str">
        <f>"0427Q901"</f>
        <v>0427Q901</v>
      </c>
      <c r="H2378" s="1" t="str">
        <f>"면목간 96"</f>
        <v>면목간 96</v>
      </c>
      <c r="I2378" s="1" t="s">
        <v>15</v>
      </c>
      <c r="J2378" s="1" t="str">
        <f>"44/44"</f>
        <v>44/44</v>
      </c>
      <c r="K2378" s="1" t="str">
        <f>"2026-07-29 14:21:12"</f>
        <v>2026-07-29 14:21:12</v>
      </c>
      <c r="L2378" s="1" t="str">
        <f>"2023-12-02 15:34:54"</f>
        <v>2023-12-02 15:34:54</v>
      </c>
      <c r="M2378" s="1" t="s">
        <v>45</v>
      </c>
      <c r="N2378" s="1" t="s">
        <v>38</v>
      </c>
      <c r="O2378" s="1" t="s">
        <v>46</v>
      </c>
    </row>
    <row r="2379" spans="2:15" x14ac:dyDescent="0.3">
      <c r="B2379" s="1" t="s">
        <v>24</v>
      </c>
      <c r="C2379" s="1" t="str">
        <f t="shared" si="137"/>
        <v>5-2차</v>
      </c>
      <c r="D2379" s="1" t="str">
        <f>"0427Q9025M"</f>
        <v>0427Q9025M</v>
      </c>
      <c r="E2379" s="1" t="s">
        <v>10</v>
      </c>
      <c r="F2379" s="1" t="str">
        <f>"fde1:103:4:938d:0:0:0:2"</f>
        <v>fde1:103:4:938d:0:0:0:2</v>
      </c>
      <c r="G2379" s="1" t="str">
        <f>"0427Q902"</f>
        <v>0427Q902</v>
      </c>
      <c r="H2379" s="1" t="str">
        <f>"면목간 97"</f>
        <v>면목간 97</v>
      </c>
      <c r="I2379" s="1" t="s">
        <v>15</v>
      </c>
      <c r="J2379" s="1" t="str">
        <f>"33/33"</f>
        <v>33/33</v>
      </c>
      <c r="K2379" s="1" t="str">
        <f>"2026-07-29 14:20:36"</f>
        <v>2026-07-29 14:20:36</v>
      </c>
      <c r="L2379" s="1" t="str">
        <f>"2023-12-19 13:04:26"</f>
        <v>2023-12-19 13:04:26</v>
      </c>
      <c r="M2379" s="1" t="s">
        <v>4</v>
      </c>
      <c r="N2379" s="1" t="s">
        <v>38</v>
      </c>
      <c r="O2379" s="1" t="s">
        <v>46</v>
      </c>
    </row>
    <row r="2380" spans="2:15" x14ac:dyDescent="0.3">
      <c r="B2380" s="1" t="s">
        <v>24</v>
      </c>
      <c r="C2380" s="1" t="str">
        <f t="shared" si="137"/>
        <v>5-2차</v>
      </c>
      <c r="D2380" s="1" t="str">
        <f>"0427Q9125M"</f>
        <v>0427Q9125M</v>
      </c>
      <c r="E2380" s="1" t="s">
        <v>10</v>
      </c>
      <c r="F2380" s="1" t="str">
        <f>"fde3:102:1430:9800:0:0:0:7"</f>
        <v>fde3:102:1430:9800:0:0:0:7</v>
      </c>
      <c r="G2380" s="1" t="str">
        <f>"0427Q912"</f>
        <v>0427Q912</v>
      </c>
      <c r="H2380" s="1" t="str">
        <f>"면목간 93L2R3"</f>
        <v>면목간 93L2R3</v>
      </c>
      <c r="I2380" s="1" t="s">
        <v>15</v>
      </c>
      <c r="J2380" s="1" t="str">
        <f>"38/38"</f>
        <v>38/38</v>
      </c>
      <c r="K2380" s="1" t="str">
        <f>"2026-07-29 14:20:56"</f>
        <v>2026-07-29 14:20:56</v>
      </c>
      <c r="L2380" s="1" t="str">
        <f>"2023-11-30 14:27:04"</f>
        <v>2023-11-30 14:27:04</v>
      </c>
      <c r="M2380" s="1" t="s">
        <v>45</v>
      </c>
      <c r="N2380" s="1" t="s">
        <v>38</v>
      </c>
      <c r="O2380" s="1" t="s">
        <v>46</v>
      </c>
    </row>
    <row r="2381" spans="2:15" x14ac:dyDescent="0.3">
      <c r="B2381" s="1" t="s">
        <v>24</v>
      </c>
      <c r="C2381" s="1" t="str">
        <f>"5-1차"</f>
        <v>5-1차</v>
      </c>
      <c r="D2381" s="1" t="str">
        <f>"0427Q9335M"</f>
        <v>0427Q9335M</v>
      </c>
      <c r="E2381" s="1" t="s">
        <v>10</v>
      </c>
      <c r="F2381" s="1" t="str">
        <f>"fde2:104:0:130:0:0:0:2"</f>
        <v>fde2:104:0:130:0:0:0:2</v>
      </c>
      <c r="G2381" s="1" t="str">
        <f>"0427Q933"</f>
        <v>0427Q933</v>
      </c>
      <c r="H2381" s="1" t="str">
        <f>"면목간 93L9"</f>
        <v>면목간 93L9</v>
      </c>
      <c r="I2381" s="1" t="s">
        <v>15</v>
      </c>
      <c r="J2381" s="1" t="str">
        <f>"19/19"</f>
        <v>19/19</v>
      </c>
      <c r="K2381" s="1" t="str">
        <f>"2026-07-29 14:21:01"</f>
        <v>2026-07-29 14:21:01</v>
      </c>
      <c r="L2381" s="1" t="str">
        <f>"2022-10-05 08:12:20"</f>
        <v>2022-10-05 08:12:20</v>
      </c>
      <c r="M2381" s="1" t="s">
        <v>42</v>
      </c>
      <c r="N2381" s="1" t="s">
        <v>38</v>
      </c>
      <c r="O2381" s="1" t="s">
        <v>46</v>
      </c>
    </row>
    <row r="2382" spans="2:15" x14ac:dyDescent="0.3">
      <c r="B2382" s="1" t="s">
        <v>24</v>
      </c>
      <c r="C2382" s="1" t="str">
        <f>"5-2차"</f>
        <v>5-2차</v>
      </c>
      <c r="D2382" s="1" t="str">
        <f>"0427Q9425M"</f>
        <v>0427Q9425M</v>
      </c>
      <c r="E2382" s="1" t="s">
        <v>10</v>
      </c>
      <c r="F2382" s="1" t="str">
        <f>"fde3:102:1430:9900:0:0:0:2"</f>
        <v>fde3:102:1430:9900:0:0:0:2</v>
      </c>
      <c r="G2382" s="1" t="str">
        <f>"0427Q942"</f>
        <v>0427Q942</v>
      </c>
      <c r="H2382" s="1" t="str">
        <f>"면목간 93L6L2R1"</f>
        <v>면목간 93L6L2R1</v>
      </c>
      <c r="I2382" s="1" t="s">
        <v>15</v>
      </c>
      <c r="J2382" s="1" t="str">
        <f>"26/26"</f>
        <v>26/26</v>
      </c>
      <c r="K2382" s="1" t="str">
        <f>"2026-07-29 14:20:36"</f>
        <v>2026-07-29 14:20:36</v>
      </c>
      <c r="L2382" s="1" t="str">
        <f>"2023-12-01 15:29:52"</f>
        <v>2023-12-01 15:29:52</v>
      </c>
      <c r="M2382" s="1" t="s">
        <v>45</v>
      </c>
      <c r="N2382" s="1" t="s">
        <v>38</v>
      </c>
      <c r="O2382" s="1" t="s">
        <v>46</v>
      </c>
    </row>
    <row r="2383" spans="2:15" x14ac:dyDescent="0.3">
      <c r="B2383" s="1" t="s">
        <v>24</v>
      </c>
      <c r="C2383" s="1" t="str">
        <f>"5-2차"</f>
        <v>5-2차</v>
      </c>
      <c r="D2383" s="1" t="str">
        <f>"0427Q9515S"</f>
        <v>0427Q9515S</v>
      </c>
      <c r="E2383" s="1" t="s">
        <v>10</v>
      </c>
      <c r="F2383" s="1" t="str">
        <f>"fde3:102:1430:9400:0:0:0:6"</f>
        <v>fde3:102:1430:9400:0:0:0:6</v>
      </c>
      <c r="G2383" s="1" t="str">
        <f>"0427Q951"</f>
        <v>0427Q951</v>
      </c>
      <c r="H2383" s="1" t="str">
        <f>"상능간 6L9R5L2"</f>
        <v>상능간 6L9R5L2</v>
      </c>
      <c r="I2383" s="1" t="s">
        <v>15</v>
      </c>
      <c r="J2383" s="1" t="str">
        <f>"52/54"</f>
        <v>52/54</v>
      </c>
      <c r="K2383" s="1" t="str">
        <f>"2026-07-29 14:20:37"</f>
        <v>2026-07-29 14:20:37</v>
      </c>
      <c r="L2383" s="1" t="str">
        <f>"2023-09-05 13:07:36"</f>
        <v>2023-09-05 13:07:36</v>
      </c>
      <c r="M2383" s="1" t="s">
        <v>45</v>
      </c>
      <c r="N2383" s="1" t="s">
        <v>38</v>
      </c>
      <c r="O2383" s="1" t="s">
        <v>46</v>
      </c>
    </row>
    <row r="2384" spans="2:15" x14ac:dyDescent="0.3">
      <c r="B2384" s="1" t="s">
        <v>24</v>
      </c>
      <c r="C2384" s="1" t="str">
        <f>"5-1차"</f>
        <v>5-1차</v>
      </c>
      <c r="D2384" s="1" t="str">
        <f>"0427Q9715M"</f>
        <v>0427Q9715M</v>
      </c>
      <c r="E2384" s="1" t="s">
        <v>10</v>
      </c>
      <c r="F2384" s="1" t="str">
        <f>"fde2:104:0:12c:0:0:0:2"</f>
        <v>fde2:104:0:12c:0:0:0:2</v>
      </c>
      <c r="G2384" s="1" t="str">
        <f>"0427Q971"</f>
        <v>0427Q971</v>
      </c>
      <c r="H2384" s="1" t="str">
        <f>"휘창간 1L18R2"</f>
        <v>휘창간 1L18R2</v>
      </c>
      <c r="I2384" s="1" t="s">
        <v>15</v>
      </c>
      <c r="J2384" s="1" t="str">
        <f>"49/49"</f>
        <v>49/49</v>
      </c>
      <c r="K2384" s="1" t="str">
        <f>"2026-07-29 14:21:00"</f>
        <v>2026-07-29 14:21:00</v>
      </c>
      <c r="L2384" s="1" t="str">
        <f>"2022-10-06 11:43:07"</f>
        <v>2022-10-06 11:43:07</v>
      </c>
      <c r="M2384" s="1" t="s">
        <v>42</v>
      </c>
      <c r="N2384" s="1" t="s">
        <v>38</v>
      </c>
      <c r="O2384" s="1" t="s">
        <v>46</v>
      </c>
    </row>
    <row r="2385" spans="2:15" x14ac:dyDescent="0.3">
      <c r="B2385" s="1" t="s">
        <v>24</v>
      </c>
      <c r="C2385" s="1" t="str">
        <f>"5-2차"</f>
        <v>5-2차</v>
      </c>
      <c r="D2385" s="1" t="str">
        <f>"0427R0915M"</f>
        <v>0427R0915M</v>
      </c>
      <c r="E2385" s="1" t="s">
        <v>10</v>
      </c>
      <c r="F2385" s="1" t="str">
        <f>"fde1:103:4:93e0:0:0:0:2"</f>
        <v>fde1:103:4:93e0:0:0:0:2</v>
      </c>
      <c r="G2385" s="1" t="str">
        <f>"0427R091"</f>
        <v>0427R091</v>
      </c>
      <c r="H2385" s="1" t="str">
        <f>"면현지 26R7"</f>
        <v>면현지 26R7</v>
      </c>
      <c r="I2385" s="1" t="s">
        <v>15</v>
      </c>
      <c r="J2385" s="1" t="str">
        <f>"33/33"</f>
        <v>33/33</v>
      </c>
      <c r="K2385" s="1" t="str">
        <f>"2026-07-29 14:20:36"</f>
        <v>2026-07-29 14:20:36</v>
      </c>
      <c r="L2385" s="1" t="str">
        <f>"2023-12-19 13:04:53"</f>
        <v>2023-12-19 13:04:53</v>
      </c>
      <c r="M2385" s="1" t="s">
        <v>4</v>
      </c>
      <c r="N2385" s="1" t="s">
        <v>38</v>
      </c>
      <c r="O2385" s="1" t="s">
        <v>46</v>
      </c>
    </row>
    <row r="2386" spans="2:15" x14ac:dyDescent="0.3">
      <c r="B2386" s="1" t="s">
        <v>24</v>
      </c>
      <c r="C2386" s="1" t="str">
        <f>"6차"</f>
        <v>6차</v>
      </c>
      <c r="D2386" s="1" t="str">
        <f>"0427R3936S"</f>
        <v>0427R3936S</v>
      </c>
      <c r="E2386" s="1" t="s">
        <v>10</v>
      </c>
      <c r="F2386" s="1" t="str">
        <f>"fde1:103:4:c6e3:0:0:0:2"</f>
        <v>fde1:103:4:c6e3:0:0:0:2</v>
      </c>
      <c r="G2386" s="1" t="str">
        <f>"0427R393"</f>
        <v>0427R393</v>
      </c>
      <c r="H2386" s="1" t="str">
        <f>"면현지 26R4"</f>
        <v>면현지 26R4</v>
      </c>
      <c r="I2386" s="1" t="s">
        <v>15</v>
      </c>
      <c r="J2386" s="1" t="str">
        <f>"44/48"</f>
        <v>44/48</v>
      </c>
      <c r="K2386" s="1" t="str">
        <f>"2026-07-29 14:21:13"</f>
        <v>2026-07-29 14:21:13</v>
      </c>
      <c r="L2386" s="1" t="str">
        <f>"2024-09-26 19:43:21"</f>
        <v>2024-09-26 19:43:21</v>
      </c>
      <c r="M2386" s="1" t="s">
        <v>4</v>
      </c>
      <c r="N2386" s="1" t="s">
        <v>38</v>
      </c>
      <c r="O2386" s="1" t="s">
        <v>46</v>
      </c>
    </row>
    <row r="2387" spans="2:15" x14ac:dyDescent="0.3">
      <c r="B2387" s="1" t="s">
        <v>24</v>
      </c>
      <c r="C2387" s="1" t="str">
        <f>"5-2차"</f>
        <v>5-2차</v>
      </c>
      <c r="D2387" s="1" t="str">
        <f>"0427R4935M"</f>
        <v>0427R4935M</v>
      </c>
      <c r="E2387" s="1" t="s">
        <v>10</v>
      </c>
      <c r="F2387" s="1" t="str">
        <f>"fde3:102:1430:9100:0:0:0:3"</f>
        <v>fde3:102:1430:9100:0:0:0:3</v>
      </c>
      <c r="G2387" s="1" t="str">
        <f>"0427R493"</f>
        <v>0427R493</v>
      </c>
      <c r="H2387" s="1" t="str">
        <f>"면현지 26R2"</f>
        <v>면현지 26R2</v>
      </c>
      <c r="I2387" s="1" t="s">
        <v>15</v>
      </c>
      <c r="J2387" s="1" t="str">
        <f>"54/54"</f>
        <v>54/54</v>
      </c>
      <c r="K2387" s="1" t="str">
        <f>"2026-07-29 14:20:36"</f>
        <v>2026-07-29 14:20:36</v>
      </c>
      <c r="L2387" s="1" t="str">
        <f>"2024-01-10 09:50:19"</f>
        <v>2024-01-10 09:50:19</v>
      </c>
      <c r="M2387" s="1" t="s">
        <v>45</v>
      </c>
      <c r="N2387" s="1" t="s">
        <v>38</v>
      </c>
      <c r="O2387" s="1" t="s">
        <v>46</v>
      </c>
    </row>
    <row r="2388" spans="2:15" x14ac:dyDescent="0.3">
      <c r="B2388" s="1" t="s">
        <v>24</v>
      </c>
      <c r="C2388" s="1" t="str">
        <f>"6차"</f>
        <v>6차</v>
      </c>
      <c r="D2388" s="1" t="str">
        <f>"0427R6136S"</f>
        <v>0427R6136S</v>
      </c>
      <c r="E2388" s="1" t="s">
        <v>10</v>
      </c>
      <c r="F2388" s="1" t="str">
        <f>"fde1:103:4:923e:0:0:0:2"</f>
        <v>fde1:103:4:923e:0:0:0:2</v>
      </c>
      <c r="G2388" s="1" t="str">
        <f>"0427R613"</f>
        <v>0427R613</v>
      </c>
      <c r="H2388" s="1" t="str">
        <f>"면목간 49"</f>
        <v>면목간 49</v>
      </c>
      <c r="I2388" s="1" t="s">
        <v>15</v>
      </c>
      <c r="J2388" s="1" t="str">
        <f>"51/51"</f>
        <v>51/51</v>
      </c>
      <c r="K2388" s="1" t="str">
        <f>"2026-07-29 14:20:56"</f>
        <v>2026-07-29 14:20:56</v>
      </c>
      <c r="L2388" s="1" t="str">
        <f>"2025-02-21 17:24:19"</f>
        <v>2025-02-21 17:24:19</v>
      </c>
      <c r="M2388" s="1" t="s">
        <v>4</v>
      </c>
      <c r="N2388" s="1" t="s">
        <v>38</v>
      </c>
      <c r="O2388" s="1" t="s">
        <v>46</v>
      </c>
    </row>
    <row r="2389" spans="2:15" x14ac:dyDescent="0.3">
      <c r="B2389" s="1" t="s">
        <v>24</v>
      </c>
      <c r="C2389" s="1" t="str">
        <f>"5-1차"</f>
        <v>5-1차</v>
      </c>
      <c r="D2389" s="1" t="str">
        <f>"0427R7055M"</f>
        <v>0427R7055M</v>
      </c>
      <c r="E2389" s="1" t="s">
        <v>10</v>
      </c>
      <c r="F2389" s="1" t="str">
        <f>"fde2:104:0:142:0:0:0:2"</f>
        <v>fde2:104:0:142:0:0:0:2</v>
      </c>
      <c r="G2389" s="1" t="str">
        <f>"0427R705"</f>
        <v>0427R705</v>
      </c>
      <c r="H2389" s="1" t="str">
        <f>"사가정지 3R6"</f>
        <v>사가정지 3R6</v>
      </c>
      <c r="I2389" s="1" t="s">
        <v>15</v>
      </c>
      <c r="J2389" s="1" t="str">
        <f>"92/92"</f>
        <v>92/92</v>
      </c>
      <c r="K2389" s="1" t="str">
        <f>"2026-07-29 14:21:23"</f>
        <v>2026-07-29 14:21:23</v>
      </c>
      <c r="L2389" s="1" t="str">
        <f>"2022-10-05 09:48:05"</f>
        <v>2022-10-05 09:48:05</v>
      </c>
      <c r="M2389" s="1" t="s">
        <v>42</v>
      </c>
      <c r="N2389" s="1" t="s">
        <v>38</v>
      </c>
      <c r="O2389" s="1" t="s">
        <v>46</v>
      </c>
    </row>
    <row r="2390" spans="2:15" x14ac:dyDescent="0.3">
      <c r="B2390" s="1" t="s">
        <v>24</v>
      </c>
      <c r="C2390" s="1" t="str">
        <f>"4차"</f>
        <v>4차</v>
      </c>
      <c r="D2390" s="1" t="str">
        <f>"0427R71242"</f>
        <v>0427R71242</v>
      </c>
      <c r="E2390" s="1" t="s">
        <v>10</v>
      </c>
      <c r="F2390" s="1" t="str">
        <f>"10.89.247.133"</f>
        <v>10.89.247.133</v>
      </c>
      <c r="G2390" s="1" t="str">
        <f>"0427R712"</f>
        <v>0427R712</v>
      </c>
      <c r="H2390" s="1" t="str">
        <f>"사가정지 3R3"</f>
        <v>사가정지 3R3</v>
      </c>
      <c r="I2390" s="1" t="s">
        <v>8</v>
      </c>
      <c r="J2390" s="1" t="str">
        <f>"128/128"</f>
        <v>128/128</v>
      </c>
      <c r="K2390" s="1" t="str">
        <f>"2026-07-29 13:18:03"</f>
        <v>2026-07-29 13:18:03</v>
      </c>
      <c r="L2390" s="1" t="str">
        <f>"2025-01-14 13:55:35"</f>
        <v>2025-01-14 13:55:35</v>
      </c>
      <c r="M2390" s="1" t="s">
        <v>45</v>
      </c>
      <c r="N2390" s="1" t="s">
        <v>38</v>
      </c>
      <c r="O2390" s="1" t="s">
        <v>46</v>
      </c>
    </row>
    <row r="2391" spans="2:15" x14ac:dyDescent="0.3">
      <c r="B2391" s="1" t="s">
        <v>24</v>
      </c>
      <c r="C2391" s="1" t="str">
        <f>"6차"</f>
        <v>6차</v>
      </c>
      <c r="D2391" s="1" t="str">
        <f>"0427R7136S"</f>
        <v>0427R7136S</v>
      </c>
      <c r="E2391" s="1" t="s">
        <v>10</v>
      </c>
      <c r="F2391" s="1" t="str">
        <f>"fde1:103:4:c6e4:0:0:0:2"</f>
        <v>fde1:103:4:c6e4:0:0:0:2</v>
      </c>
      <c r="G2391" s="1" t="str">
        <f>"0427R713"</f>
        <v>0427R713</v>
      </c>
      <c r="H2391" s="1" t="str">
        <f>"면목간 49R2"</f>
        <v>면목간 49R2</v>
      </c>
      <c r="I2391" s="1" t="s">
        <v>15</v>
      </c>
      <c r="J2391" s="1" t="str">
        <f>"54/54"</f>
        <v>54/54</v>
      </c>
      <c r="K2391" s="1" t="str">
        <f>"2026-07-29 14:20:27"</f>
        <v>2026-07-29 14:20:27</v>
      </c>
      <c r="L2391" s="1" t="str">
        <f>"2024-11-21 11:23:32"</f>
        <v>2024-11-21 11:23:32</v>
      </c>
      <c r="M2391" s="1" t="s">
        <v>4</v>
      </c>
      <c r="N2391" s="1" t="s">
        <v>38</v>
      </c>
      <c r="O2391" s="1" t="s">
        <v>46</v>
      </c>
    </row>
    <row r="2392" spans="2:15" x14ac:dyDescent="0.3">
      <c r="B2392" s="1" t="s">
        <v>24</v>
      </c>
      <c r="C2392" s="1" t="str">
        <f>"6차"</f>
        <v>6차</v>
      </c>
      <c r="D2392" s="1" t="str">
        <f>"0427R7226S"</f>
        <v>0427R7226S</v>
      </c>
      <c r="E2392" s="1" t="s">
        <v>10</v>
      </c>
      <c r="F2392" s="1" t="str">
        <f>"fde1:103:4:9227:0:0:0:2"</f>
        <v>fde1:103:4:9227:0:0:0:2</v>
      </c>
      <c r="G2392" s="1" t="str">
        <f>"0427R722"</f>
        <v>0427R722</v>
      </c>
      <c r="H2392" s="1" t="str">
        <f>"사가정지 3R2R2"</f>
        <v>사가정지 3R2R2</v>
      </c>
      <c r="I2392" s="1" t="s">
        <v>15</v>
      </c>
      <c r="J2392" s="1" t="str">
        <f>"37/37"</f>
        <v>37/37</v>
      </c>
      <c r="K2392" s="1" t="str">
        <f>"2026-07-29 14:21:13"</f>
        <v>2026-07-29 14:21:13</v>
      </c>
      <c r="L2392" s="1" t="str">
        <f>"2025-02-21 17:25:26"</f>
        <v>2025-02-21 17:25:26</v>
      </c>
      <c r="M2392" s="1" t="s">
        <v>4</v>
      </c>
      <c r="N2392" s="1" t="s">
        <v>38</v>
      </c>
      <c r="O2392" s="1" t="s">
        <v>46</v>
      </c>
    </row>
    <row r="2393" spans="2:15" x14ac:dyDescent="0.3">
      <c r="B2393" s="1" t="s">
        <v>24</v>
      </c>
      <c r="C2393" s="1" t="str">
        <f>"1차"</f>
        <v>1차</v>
      </c>
      <c r="D2393" s="1" t="str">
        <f>"0427R73501"</f>
        <v>0427R73501</v>
      </c>
      <c r="E2393" s="1" t="s">
        <v>10</v>
      </c>
      <c r="F2393" s="1" t="str">
        <f>"10.12.132.5"</f>
        <v>10.12.132.5</v>
      </c>
      <c r="G2393" s="1" t="str">
        <f>"0427R735"</f>
        <v>0427R735</v>
      </c>
      <c r="H2393" s="1" t="str">
        <f>"사가정지 1"</f>
        <v>사가정지 1</v>
      </c>
      <c r="I2393" s="1" t="s">
        <v>8</v>
      </c>
      <c r="J2393" s="1" t="str">
        <f>"19/24"</f>
        <v>19/24</v>
      </c>
      <c r="K2393" s="1" t="str">
        <f>"2026-07-29 13:18:03"</f>
        <v>2026-07-29 13:18:03</v>
      </c>
      <c r="L2393" s="1" t="str">
        <f>"2014-10-08 14:26:46"</f>
        <v>2014-10-08 14:26:46</v>
      </c>
      <c r="M2393" s="1" t="s">
        <v>0</v>
      </c>
      <c r="N2393" s="1" t="s">
        <v>38</v>
      </c>
      <c r="O2393" s="1" t="s">
        <v>46</v>
      </c>
    </row>
    <row r="2394" spans="2:15" x14ac:dyDescent="0.3">
      <c r="B2394" s="1" t="s">
        <v>24</v>
      </c>
      <c r="C2394" s="1" t="str">
        <f>"4차"</f>
        <v>4차</v>
      </c>
      <c r="D2394" s="1" t="str">
        <f>"0427R75142"</f>
        <v>0427R75142</v>
      </c>
      <c r="E2394" s="1" t="s">
        <v>10</v>
      </c>
      <c r="F2394" s="1" t="str">
        <f>"10.89.246.43"</f>
        <v>10.89.246.43</v>
      </c>
      <c r="G2394" s="1" t="str">
        <f>"0427R751"</f>
        <v>0427R751</v>
      </c>
      <c r="H2394" s="1" t="str">
        <f>"덕수간 56"</f>
        <v>덕수간 56</v>
      </c>
      <c r="I2394" s="1" t="s">
        <v>8</v>
      </c>
      <c r="J2394" s="1" t="str">
        <f>"44/44"</f>
        <v>44/44</v>
      </c>
      <c r="K2394" s="1" t="str">
        <f>"2026-07-29 13:18:03"</f>
        <v>2026-07-29 13:18:03</v>
      </c>
      <c r="L2394" s="1" t="str">
        <f>"2024-12-24 10:47:18"</f>
        <v>2024-12-24 10:47:18</v>
      </c>
      <c r="M2394" s="1" t="s">
        <v>45</v>
      </c>
      <c r="N2394" s="1" t="s">
        <v>38</v>
      </c>
      <c r="O2394" s="1" t="s">
        <v>46</v>
      </c>
    </row>
    <row r="2395" spans="2:15" x14ac:dyDescent="0.3">
      <c r="B2395" s="1" t="s">
        <v>24</v>
      </c>
      <c r="C2395" s="1" t="str">
        <f>"4차"</f>
        <v>4차</v>
      </c>
      <c r="D2395" s="1" t="str">
        <f>"0427R79144"</f>
        <v>0427R79144</v>
      </c>
      <c r="E2395" s="1" t="s">
        <v>10</v>
      </c>
      <c r="F2395" s="1" t="str">
        <f>"10.10.58.10"</f>
        <v>10.10.58.10</v>
      </c>
      <c r="G2395" s="1" t="str">
        <f>"0427R791"</f>
        <v>0427R791</v>
      </c>
      <c r="H2395" s="1" t="str">
        <f>"덕수간 61"</f>
        <v>덕수간 61</v>
      </c>
      <c r="I2395" s="1" t="s">
        <v>8</v>
      </c>
      <c r="J2395" s="1" t="str">
        <f>"32/32"</f>
        <v>32/32</v>
      </c>
      <c r="K2395" s="1" t="str">
        <f>"2026-07-29 13:18:03"</f>
        <v>2026-07-29 13:18:03</v>
      </c>
      <c r="L2395" s="1" t="str">
        <f>"2019-10-31 13:53:03"</f>
        <v>2019-10-31 13:53:03</v>
      </c>
      <c r="M2395" s="1" t="s">
        <v>1</v>
      </c>
      <c r="N2395" s="1" t="s">
        <v>38</v>
      </c>
      <c r="O2395" s="1" t="s">
        <v>46</v>
      </c>
    </row>
    <row r="2396" spans="2:15" x14ac:dyDescent="0.3">
      <c r="B2396" s="1" t="s">
        <v>24</v>
      </c>
      <c r="C2396" s="1" t="str">
        <f>"5-1차"</f>
        <v>5-1차</v>
      </c>
      <c r="D2396" s="1" t="str">
        <f>"0427R8015M"</f>
        <v>0427R8015M</v>
      </c>
      <c r="E2396" s="1" t="s">
        <v>10</v>
      </c>
      <c r="F2396" s="1" t="str">
        <f>"fde3:102:1430:6100:0:0:0:9"</f>
        <v>fde3:102:1430:6100:0:0:0:9</v>
      </c>
      <c r="G2396" s="1" t="str">
        <f>"0427R801"</f>
        <v>0427R801</v>
      </c>
      <c r="H2396" s="1" t="str">
        <f>"상면간 11L3L5"</f>
        <v>상면간 11L3L5</v>
      </c>
      <c r="I2396" s="1" t="s">
        <v>15</v>
      </c>
      <c r="J2396" s="1" t="str">
        <f>"63/63"</f>
        <v>63/63</v>
      </c>
      <c r="K2396" s="1" t="str">
        <f>"2026-07-29 14:20:37"</f>
        <v>2026-07-29 14:20:37</v>
      </c>
      <c r="L2396" s="1" t="str">
        <f>"2022-10-19 10:18:16"</f>
        <v>2022-10-19 10:18:16</v>
      </c>
      <c r="M2396" s="1" t="s">
        <v>45</v>
      </c>
      <c r="N2396" s="1" t="s">
        <v>38</v>
      </c>
      <c r="O2396" s="1" t="s">
        <v>46</v>
      </c>
    </row>
    <row r="2397" spans="2:15" x14ac:dyDescent="0.3">
      <c r="B2397" s="1" t="s">
        <v>24</v>
      </c>
      <c r="C2397" s="1" t="str">
        <f>"1차"</f>
        <v>1차</v>
      </c>
      <c r="D2397" s="1" t="str">
        <f>"0427R84401"</f>
        <v>0427R84401</v>
      </c>
      <c r="E2397" s="1" t="s">
        <v>10</v>
      </c>
      <c r="F2397" s="1" t="str">
        <f>"10.12.129.10"</f>
        <v>10.12.129.10</v>
      </c>
      <c r="G2397" s="1" t="str">
        <f>"0427R844"</f>
        <v>0427R844</v>
      </c>
      <c r="H2397" s="1" t="str">
        <f>"면목간 56"</f>
        <v>면목간 56</v>
      </c>
      <c r="I2397" s="1" t="s">
        <v>8</v>
      </c>
      <c r="J2397" s="1" t="str">
        <f>"8/8"</f>
        <v>8/8</v>
      </c>
      <c r="K2397" s="1" t="str">
        <f>"2026-07-29 13:18:02"</f>
        <v>2026-07-29 13:18:02</v>
      </c>
      <c r="L2397" s="1" t="str">
        <f>"2014-09-30 16:42:45"</f>
        <v>2014-09-30 16:42:45</v>
      </c>
      <c r="M2397" s="1" t="s">
        <v>0</v>
      </c>
      <c r="N2397" s="1" t="s">
        <v>38</v>
      </c>
      <c r="O2397" s="1" t="s">
        <v>46</v>
      </c>
    </row>
    <row r="2398" spans="2:15" x14ac:dyDescent="0.3">
      <c r="B2398" s="1" t="s">
        <v>24</v>
      </c>
      <c r="C2398" s="1" t="str">
        <f>"4차"</f>
        <v>4차</v>
      </c>
      <c r="D2398" s="1" t="str">
        <f>"0427R86144"</f>
        <v>0427R86144</v>
      </c>
      <c r="E2398" s="1" t="s">
        <v>10</v>
      </c>
      <c r="F2398" s="1" t="str">
        <f>"10.10.59.34"</f>
        <v>10.10.59.34</v>
      </c>
      <c r="G2398" s="1" t="str">
        <f>"0427R861"</f>
        <v>0427R861</v>
      </c>
      <c r="H2398" s="1" t="str">
        <f>"덕수간 63R22"</f>
        <v>덕수간 63R22</v>
      </c>
      <c r="I2398" s="1" t="s">
        <v>8</v>
      </c>
      <c r="J2398" s="1" t="str">
        <f>"126/126"</f>
        <v>126/126</v>
      </c>
      <c r="K2398" s="1" t="str">
        <f>"2026-07-29 13:18:03"</f>
        <v>2026-07-29 13:18:03</v>
      </c>
      <c r="L2398" s="1" t="str">
        <f>"2019-10-10 10:41:49"</f>
        <v>2019-10-10 10:41:49</v>
      </c>
      <c r="M2398" s="1" t="s">
        <v>1</v>
      </c>
      <c r="N2398" s="1" t="s">
        <v>38</v>
      </c>
      <c r="O2398" s="1" t="s">
        <v>46</v>
      </c>
    </row>
    <row r="2399" spans="2:15" x14ac:dyDescent="0.3">
      <c r="B2399" s="1" t="s">
        <v>24</v>
      </c>
      <c r="C2399" s="1" t="str">
        <f>"4차"</f>
        <v>4차</v>
      </c>
      <c r="D2399" s="1" t="str">
        <f>"0427R88144"</f>
        <v>0427R88144</v>
      </c>
      <c r="E2399" s="1" t="s">
        <v>10</v>
      </c>
      <c r="F2399" s="1" t="str">
        <f>"10.10.58.82"</f>
        <v>10.10.58.82</v>
      </c>
      <c r="G2399" s="1" t="str">
        <f>"0427R881"</f>
        <v>0427R881</v>
      </c>
      <c r="H2399" s="1" t="str">
        <f>"덕수간 63R12R6"</f>
        <v>덕수간 63R12R6</v>
      </c>
      <c r="I2399" s="1" t="s">
        <v>8</v>
      </c>
      <c r="J2399" s="1" t="str">
        <f>"120/120"</f>
        <v>120/120</v>
      </c>
      <c r="K2399" s="1" t="str">
        <f>"2026-07-29 13:18:03"</f>
        <v>2026-07-29 13:18:03</v>
      </c>
      <c r="L2399" s="1" t="str">
        <f>"2019-10-01 15:13:57"</f>
        <v>2019-10-01 15:13:57</v>
      </c>
      <c r="M2399" s="1" t="s">
        <v>1</v>
      </c>
      <c r="N2399" s="1" t="s">
        <v>38</v>
      </c>
      <c r="O2399" s="1" t="s">
        <v>46</v>
      </c>
    </row>
    <row r="2400" spans="2:15" x14ac:dyDescent="0.3">
      <c r="B2400" s="1" t="s">
        <v>24</v>
      </c>
      <c r="C2400" s="1" t="str">
        <f>"4차"</f>
        <v>4차</v>
      </c>
      <c r="D2400" s="1" t="str">
        <f>"0427R89144"</f>
        <v>0427R89144</v>
      </c>
      <c r="E2400" s="1" t="s">
        <v>10</v>
      </c>
      <c r="F2400" s="1" t="str">
        <f>"10.10.58.90"</f>
        <v>10.10.58.90</v>
      </c>
      <c r="G2400" s="1" t="str">
        <f>"0427R891"</f>
        <v>0427R891</v>
      </c>
      <c r="H2400" s="1" t="str">
        <f>"덕수간 63R12R8"</f>
        <v>덕수간 63R12R8</v>
      </c>
      <c r="I2400" s="1" t="s">
        <v>8</v>
      </c>
      <c r="J2400" s="1" t="str">
        <f>"61/62"</f>
        <v>61/62</v>
      </c>
      <c r="K2400" s="1" t="str">
        <f>"2026-07-29 13:18:03"</f>
        <v>2026-07-29 13:18:03</v>
      </c>
      <c r="L2400" s="1" t="str">
        <f>"2019-10-01 15:16:16"</f>
        <v>2019-10-01 15:16:16</v>
      </c>
      <c r="M2400" s="1" t="s">
        <v>1</v>
      </c>
      <c r="N2400" s="1" t="s">
        <v>38</v>
      </c>
      <c r="O2400" s="1" t="s">
        <v>46</v>
      </c>
    </row>
    <row r="2401" spans="2:15" x14ac:dyDescent="0.3">
      <c r="B2401" s="1" t="s">
        <v>24</v>
      </c>
      <c r="C2401" s="1" t="str">
        <f>"5-1차"</f>
        <v>5-1차</v>
      </c>
      <c r="D2401" s="1" t="str">
        <f>"0427R9125M"</f>
        <v>0427R9125M</v>
      </c>
      <c r="E2401" s="1" t="s">
        <v>10</v>
      </c>
      <c r="F2401" s="1" t="str">
        <f>"fde2:104:0:13f:0:0:0:2"</f>
        <v>fde2:104:0:13f:0:0:0:2</v>
      </c>
      <c r="G2401" s="1" t="str">
        <f>"0427R912"</f>
        <v>0427R912</v>
      </c>
      <c r="H2401" s="1" t="str">
        <f>"사가정지 3R3L2"</f>
        <v>사가정지 3R3L2</v>
      </c>
      <c r="I2401" s="1" t="s">
        <v>15</v>
      </c>
      <c r="J2401" s="1" t="str">
        <f>"54/54"</f>
        <v>54/54</v>
      </c>
      <c r="K2401" s="1" t="str">
        <f>"2026-07-29 14:21:00"</f>
        <v>2026-07-29 14:21:00</v>
      </c>
      <c r="L2401" s="1" t="str">
        <f>"2022-10-05 10:40:05"</f>
        <v>2022-10-05 10:40:05</v>
      </c>
      <c r="M2401" s="1" t="s">
        <v>42</v>
      </c>
      <c r="N2401" s="1" t="s">
        <v>38</v>
      </c>
      <c r="O2401" s="1" t="s">
        <v>46</v>
      </c>
    </row>
    <row r="2402" spans="2:15" x14ac:dyDescent="0.3">
      <c r="B2402" s="1" t="s">
        <v>24</v>
      </c>
      <c r="C2402" s="1" t="str">
        <f>"1차"</f>
        <v>1차</v>
      </c>
      <c r="D2402" s="1" t="str">
        <f>"0427R94500"</f>
        <v>0427R94500</v>
      </c>
      <c r="E2402" s="1" t="s">
        <v>10</v>
      </c>
      <c r="F2402" s="1" t="str">
        <f>"10.89.246.39"</f>
        <v>10.89.246.39</v>
      </c>
      <c r="G2402" s="1" t="str">
        <f>"0427R945"</f>
        <v>0427R945</v>
      </c>
      <c r="H2402" s="1" t="str">
        <f>"면목간 58"</f>
        <v>면목간 58</v>
      </c>
      <c r="I2402" s="1" t="s">
        <v>8</v>
      </c>
      <c r="J2402" s="1" t="str">
        <f>"11/11"</f>
        <v>11/11</v>
      </c>
      <c r="K2402" s="1" t="str">
        <f>"2026-07-29 13:18:03"</f>
        <v>2026-07-29 13:18:03</v>
      </c>
      <c r="L2402" s="1" t="str">
        <f>"2014-09-29 00:28:05"</f>
        <v>2014-09-29 00:28:05</v>
      </c>
      <c r="M2402" s="1" t="s">
        <v>45</v>
      </c>
      <c r="N2402" s="1" t="s">
        <v>38</v>
      </c>
      <c r="O2402" s="1" t="s">
        <v>46</v>
      </c>
    </row>
    <row r="2403" spans="2:15" x14ac:dyDescent="0.3">
      <c r="B2403" s="1" t="s">
        <v>24</v>
      </c>
      <c r="C2403" s="1" t="str">
        <f t="shared" ref="C2403:C2408" si="138">"4차"</f>
        <v>4차</v>
      </c>
      <c r="D2403" s="1" t="str">
        <f>"0427R95144"</f>
        <v>0427R95144</v>
      </c>
      <c r="E2403" s="1" t="s">
        <v>10</v>
      </c>
      <c r="F2403" s="1" t="str">
        <f>"10.12.134.130"</f>
        <v>10.12.134.130</v>
      </c>
      <c r="G2403" s="1" t="str">
        <f>"0427R951"</f>
        <v>0427R951</v>
      </c>
      <c r="H2403" s="1" t="str">
        <f>"면목간 58L3"</f>
        <v>면목간 58L3</v>
      </c>
      <c r="I2403" s="1" t="s">
        <v>8</v>
      </c>
      <c r="J2403" s="1" t="str">
        <f>"61/61"</f>
        <v>61/61</v>
      </c>
      <c r="K2403" s="1" t="str">
        <f>"2026-07-29 13:18:04"</f>
        <v>2026-07-29 13:18:04</v>
      </c>
      <c r="L2403" s="1" t="str">
        <f>"2023-10-27 17:33:11"</f>
        <v>2023-10-27 17:33:11</v>
      </c>
      <c r="M2403" s="1" t="s">
        <v>0</v>
      </c>
      <c r="N2403" s="1" t="s">
        <v>38</v>
      </c>
      <c r="O2403" s="1" t="s">
        <v>46</v>
      </c>
    </row>
    <row r="2404" spans="2:15" x14ac:dyDescent="0.3">
      <c r="B2404" s="1" t="s">
        <v>24</v>
      </c>
      <c r="C2404" s="1" t="str">
        <f t="shared" si="138"/>
        <v>4차</v>
      </c>
      <c r="D2404" s="1" t="str">
        <f>"0427R96144"</f>
        <v>0427R96144</v>
      </c>
      <c r="E2404" s="1" t="s">
        <v>10</v>
      </c>
      <c r="F2404" s="1" t="str">
        <f>"10.10.116.234"</f>
        <v>10.10.116.234</v>
      </c>
      <c r="G2404" s="1" t="str">
        <f>"0427R961"</f>
        <v>0427R961</v>
      </c>
      <c r="H2404" s="1" t="str">
        <f>"덕수간 63R20R1"</f>
        <v>덕수간 63R20R1</v>
      </c>
      <c r="I2404" s="1" t="s">
        <v>8</v>
      </c>
      <c r="J2404" s="1" t="str">
        <f>"24/24"</f>
        <v>24/24</v>
      </c>
      <c r="K2404" s="1" t="str">
        <f>"2026-07-29 13:18:03"</f>
        <v>2026-07-29 13:18:03</v>
      </c>
      <c r="L2404" s="1" t="str">
        <f>"2019-10-01 18:33:05"</f>
        <v>2019-10-01 18:33:05</v>
      </c>
      <c r="M2404" s="1" t="s">
        <v>1</v>
      </c>
      <c r="N2404" s="1" t="s">
        <v>38</v>
      </c>
      <c r="O2404" s="1" t="s">
        <v>46</v>
      </c>
    </row>
    <row r="2405" spans="2:15" x14ac:dyDescent="0.3">
      <c r="B2405" s="1" t="s">
        <v>24</v>
      </c>
      <c r="C2405" s="1" t="str">
        <f t="shared" si="138"/>
        <v>4차</v>
      </c>
      <c r="D2405" s="1" t="str">
        <f>"0427R97144"</f>
        <v>0427R97144</v>
      </c>
      <c r="E2405" s="1" t="s">
        <v>10</v>
      </c>
      <c r="F2405" s="1" t="str">
        <f>"10.10.58.226"</f>
        <v>10.10.58.226</v>
      </c>
      <c r="G2405" s="1" t="str">
        <f>"0427R971"</f>
        <v>0427R971</v>
      </c>
      <c r="H2405" s="1" t="str">
        <f>"덕수간 63R20R2"</f>
        <v>덕수간 63R20R2</v>
      </c>
      <c r="I2405" s="1" t="s">
        <v>8</v>
      </c>
      <c r="J2405" s="1" t="str">
        <f>"36/36"</f>
        <v>36/36</v>
      </c>
      <c r="K2405" s="1" t="str">
        <f>"2026-07-29 13:18:03"</f>
        <v>2026-07-29 13:18:03</v>
      </c>
      <c r="L2405" s="1" t="str">
        <f>"2019-10-01 18:13:00"</f>
        <v>2019-10-01 18:13:00</v>
      </c>
      <c r="M2405" s="1" t="s">
        <v>1</v>
      </c>
      <c r="N2405" s="1" t="s">
        <v>38</v>
      </c>
      <c r="O2405" s="1" t="s">
        <v>46</v>
      </c>
    </row>
    <row r="2406" spans="2:15" x14ac:dyDescent="0.3">
      <c r="B2406" s="1" t="s">
        <v>24</v>
      </c>
      <c r="C2406" s="1" t="str">
        <f t="shared" si="138"/>
        <v>4차</v>
      </c>
      <c r="D2406" s="1" t="str">
        <f>"0427R97244"</f>
        <v>0427R97244</v>
      </c>
      <c r="E2406" s="1" t="s">
        <v>10</v>
      </c>
      <c r="F2406" s="1" t="str">
        <f>"10.10.58.74"</f>
        <v>10.10.58.74</v>
      </c>
      <c r="G2406" s="1" t="str">
        <f>"0427R972"</f>
        <v>0427R972</v>
      </c>
      <c r="H2406" s="1" t="str">
        <f>"덕수간 63R12R4L1"</f>
        <v>덕수간 63R12R4L1</v>
      </c>
      <c r="I2406" s="1" t="s">
        <v>8</v>
      </c>
      <c r="J2406" s="1" t="str">
        <f>"52/52"</f>
        <v>52/52</v>
      </c>
      <c r="K2406" s="1" t="str">
        <f>"2026-07-29 13:18:03"</f>
        <v>2026-07-29 13:18:03</v>
      </c>
      <c r="L2406" s="1" t="str">
        <f>"2019-10-18 18:43:04"</f>
        <v>2019-10-18 18:43:04</v>
      </c>
      <c r="M2406" s="1" t="s">
        <v>1</v>
      </c>
      <c r="N2406" s="1" t="s">
        <v>38</v>
      </c>
      <c r="O2406" s="1" t="s">
        <v>46</v>
      </c>
    </row>
    <row r="2407" spans="2:15" x14ac:dyDescent="0.3">
      <c r="B2407" s="1" t="s">
        <v>24</v>
      </c>
      <c r="C2407" s="1" t="str">
        <f t="shared" si="138"/>
        <v>4차</v>
      </c>
      <c r="D2407" s="1" t="str">
        <f>"0427R97444"</f>
        <v>0427R97444</v>
      </c>
      <c r="E2407" s="1" t="s">
        <v>10</v>
      </c>
      <c r="F2407" s="1" t="str">
        <f>"10.10.58.242"</f>
        <v>10.10.58.242</v>
      </c>
      <c r="G2407" s="1" t="str">
        <f>"0427R974"</f>
        <v>0427R974</v>
      </c>
      <c r="H2407" s="1" t="str">
        <f>"덕수간 63R20R3"</f>
        <v>덕수간 63R20R3</v>
      </c>
      <c r="I2407" s="1" t="s">
        <v>8</v>
      </c>
      <c r="J2407" s="1" t="str">
        <f>"45/45"</f>
        <v>45/45</v>
      </c>
      <c r="K2407" s="1" t="str">
        <f>"2026-07-29 13:18:03"</f>
        <v>2026-07-29 13:18:03</v>
      </c>
      <c r="L2407" s="1" t="str">
        <f>"2019-10-01 18:30:29"</f>
        <v>2019-10-01 18:30:29</v>
      </c>
      <c r="M2407" s="1" t="s">
        <v>1</v>
      </c>
      <c r="N2407" s="1" t="s">
        <v>38</v>
      </c>
      <c r="O2407" s="1" t="s">
        <v>46</v>
      </c>
    </row>
    <row r="2408" spans="2:15" x14ac:dyDescent="0.3">
      <c r="B2408" s="1" t="s">
        <v>24</v>
      </c>
      <c r="C2408" s="1" t="str">
        <f t="shared" si="138"/>
        <v>4차</v>
      </c>
      <c r="D2408" s="1" t="str">
        <f>"0427R98244"</f>
        <v>0427R98244</v>
      </c>
      <c r="E2408" s="1" t="s">
        <v>10</v>
      </c>
      <c r="F2408" s="1" t="str">
        <f>"10.10.57.226"</f>
        <v>10.10.57.226</v>
      </c>
      <c r="G2408" s="1" t="str">
        <f>"0427R982"</f>
        <v>0427R982</v>
      </c>
      <c r="H2408" s="1" t="str">
        <f>"덕수간 63R12R4"</f>
        <v>덕수간 63R12R4</v>
      </c>
      <c r="I2408" s="1" t="s">
        <v>8</v>
      </c>
      <c r="J2408" s="1" t="str">
        <f>"25/25"</f>
        <v>25/25</v>
      </c>
      <c r="K2408" s="1" t="str">
        <f>"2026-07-29 13:18:03"</f>
        <v>2026-07-29 13:18:03</v>
      </c>
      <c r="L2408" s="1" t="str">
        <f>"2019-10-01 13:41:41"</f>
        <v>2019-10-01 13:41:41</v>
      </c>
      <c r="M2408" s="1" t="s">
        <v>1</v>
      </c>
      <c r="N2408" s="1" t="s">
        <v>38</v>
      </c>
      <c r="O2408" s="1" t="s">
        <v>46</v>
      </c>
    </row>
    <row r="2409" spans="2:15" x14ac:dyDescent="0.3">
      <c r="B2409" s="1" t="s">
        <v>24</v>
      </c>
      <c r="C2409" s="1" t="str">
        <f>"5-2차"</f>
        <v>5-2차</v>
      </c>
      <c r="D2409" s="1" t="str">
        <f>"0427S0125M"</f>
        <v>0427S0125M</v>
      </c>
      <c r="E2409" s="1" t="s">
        <v>10</v>
      </c>
      <c r="F2409" s="1" t="str">
        <f>"fde3:102:1430:9600:0:0:0:7"</f>
        <v>fde3:102:1430:9600:0:0:0:7</v>
      </c>
      <c r="G2409" s="1" t="str">
        <f>"0427S012"</f>
        <v>0427S012</v>
      </c>
      <c r="H2409" s="1" t="str">
        <f>"사가정지 3R2L3"</f>
        <v>사가정지 3R2L3</v>
      </c>
      <c r="I2409" s="1" t="s">
        <v>15</v>
      </c>
      <c r="J2409" s="1" t="str">
        <f>"83/83"</f>
        <v>83/83</v>
      </c>
      <c r="K2409" s="1" t="str">
        <f>"2026-07-29 14:20:37"</f>
        <v>2026-07-29 14:20:37</v>
      </c>
      <c r="L2409" s="1" t="str">
        <f>"2024-01-08 11:03:43"</f>
        <v>2024-01-08 11:03:43</v>
      </c>
      <c r="M2409" s="1" t="s">
        <v>45</v>
      </c>
      <c r="N2409" s="1" t="s">
        <v>38</v>
      </c>
      <c r="O2409" s="1" t="s">
        <v>46</v>
      </c>
    </row>
    <row r="2410" spans="2:15" x14ac:dyDescent="0.3">
      <c r="B2410" s="1" t="s">
        <v>24</v>
      </c>
      <c r="C2410" s="1" t="str">
        <f>"5-2차"</f>
        <v>5-2차</v>
      </c>
      <c r="D2410" s="1" t="str">
        <f>"0427S0235M"</f>
        <v>0427S0235M</v>
      </c>
      <c r="E2410" s="1" t="s">
        <v>10</v>
      </c>
      <c r="F2410" s="1" t="str">
        <f>"fde1:103:4:933d:0:0:0:2"</f>
        <v>fde1:103:4:933d:0:0:0:2</v>
      </c>
      <c r="G2410" s="1" t="str">
        <f>"0427S023"</f>
        <v>0427S023</v>
      </c>
      <c r="H2410" s="1" t="str">
        <f>"사가정지 3R1L3"</f>
        <v>사가정지 3R1L3</v>
      </c>
      <c r="I2410" s="1" t="s">
        <v>15</v>
      </c>
      <c r="J2410" s="1" t="str">
        <f>"5/5"</f>
        <v>5/5</v>
      </c>
      <c r="K2410" s="1" t="str">
        <f>"2026-07-29 14:21:23"</f>
        <v>2026-07-29 14:21:23</v>
      </c>
      <c r="L2410" s="1" t="str">
        <f>"2023-12-19 13:05:35"</f>
        <v>2023-12-19 13:05:35</v>
      </c>
      <c r="M2410" s="1" t="s">
        <v>4</v>
      </c>
      <c r="N2410" s="1" t="s">
        <v>38</v>
      </c>
      <c r="O2410" s="1" t="s">
        <v>46</v>
      </c>
    </row>
    <row r="2411" spans="2:15" x14ac:dyDescent="0.3">
      <c r="B2411" s="1" t="s">
        <v>24</v>
      </c>
      <c r="C2411" s="1" t="str">
        <f>"4차"</f>
        <v>4차</v>
      </c>
      <c r="D2411" s="1" t="str">
        <f>"0427S05144"</f>
        <v>0427S05144</v>
      </c>
      <c r="E2411" s="1" t="s">
        <v>10</v>
      </c>
      <c r="F2411" s="1" t="str">
        <f>"10.10.58.210"</f>
        <v>10.10.58.210</v>
      </c>
      <c r="G2411" s="1" t="str">
        <f>"0427S051"</f>
        <v>0427S051</v>
      </c>
      <c r="H2411" s="1" t="str">
        <f>"덕수간 63R16"</f>
        <v>덕수간 63R16</v>
      </c>
      <c r="I2411" s="1" t="s">
        <v>8</v>
      </c>
      <c r="J2411" s="1" t="str">
        <f>"44/44"</f>
        <v>44/44</v>
      </c>
      <c r="K2411" s="1" t="str">
        <f>"2026-07-29 13:18:03"</f>
        <v>2026-07-29 13:18:03</v>
      </c>
      <c r="L2411" s="1" t="str">
        <f>"2019-10-01 15:23:03"</f>
        <v>2019-10-01 15:23:03</v>
      </c>
      <c r="M2411" s="1" t="s">
        <v>1</v>
      </c>
      <c r="N2411" s="1" t="s">
        <v>38</v>
      </c>
      <c r="O2411" s="1" t="s">
        <v>46</v>
      </c>
    </row>
    <row r="2412" spans="2:15" x14ac:dyDescent="0.3">
      <c r="B2412" s="1" t="s">
        <v>24</v>
      </c>
      <c r="C2412" s="1" t="str">
        <f>"6차"</f>
        <v>6차</v>
      </c>
      <c r="D2412" s="1" t="str">
        <f>"0427S0536S"</f>
        <v>0427S0536S</v>
      </c>
      <c r="E2412" s="1" t="s">
        <v>10</v>
      </c>
      <c r="F2412" s="1" t="str">
        <f>"fde1:103:4:c6d4:0:0:0:2"</f>
        <v>fde1:103:4:c6d4:0:0:0:2</v>
      </c>
      <c r="G2412" s="1" t="str">
        <f>"0427S053"</f>
        <v>0427S053</v>
      </c>
      <c r="H2412" s="1" t="str">
        <f>"덕수간 63R18"</f>
        <v>덕수간 63R18</v>
      </c>
      <c r="I2412" s="1" t="s">
        <v>15</v>
      </c>
      <c r="J2412" s="1" t="str">
        <f>"69/69"</f>
        <v>69/69</v>
      </c>
      <c r="K2412" s="1" t="str">
        <f>"2026-07-29 14:20:26"</f>
        <v>2026-07-29 14:20:26</v>
      </c>
      <c r="L2412" s="1" t="str">
        <f>"2024-11-07 13:13:30"</f>
        <v>2024-11-07 13:13:30</v>
      </c>
      <c r="M2412" s="1" t="s">
        <v>4</v>
      </c>
      <c r="N2412" s="1" t="s">
        <v>38</v>
      </c>
      <c r="O2412" s="1" t="s">
        <v>46</v>
      </c>
    </row>
    <row r="2413" spans="2:15" x14ac:dyDescent="0.3">
      <c r="B2413" s="1" t="s">
        <v>24</v>
      </c>
      <c r="C2413" s="1" t="str">
        <f>"3차"</f>
        <v>3차</v>
      </c>
      <c r="D2413" s="1" t="str">
        <f>"0427S07239"</f>
        <v>0427S07239</v>
      </c>
      <c r="E2413" s="1" t="s">
        <v>10</v>
      </c>
      <c r="F2413" s="1" t="str">
        <f>"10.12.129.12"</f>
        <v>10.12.129.12</v>
      </c>
      <c r="G2413" s="1" t="str">
        <f>"0427S072"</f>
        <v>0427S072</v>
      </c>
      <c r="H2413" s="1" t="str">
        <f>"덕수간 63R12R2"</f>
        <v>덕수간 63R12R2</v>
      </c>
      <c r="I2413" s="1" t="s">
        <v>8</v>
      </c>
      <c r="J2413" s="1" t="str">
        <f>"45/45"</f>
        <v>45/45</v>
      </c>
      <c r="K2413" s="1" t="str">
        <f>"2026-07-29 13:18:05"</f>
        <v>2026-07-29 13:18:05</v>
      </c>
      <c r="L2413" s="1" t="str">
        <f>"2018-04-19 11:33:42"</f>
        <v>2018-04-19 11:33:42</v>
      </c>
      <c r="M2413" s="1" t="s">
        <v>0</v>
      </c>
      <c r="N2413" s="1" t="s">
        <v>38</v>
      </c>
      <c r="O2413" s="1" t="s">
        <v>46</v>
      </c>
    </row>
    <row r="2414" spans="2:15" x14ac:dyDescent="0.3">
      <c r="B2414" s="1" t="s">
        <v>24</v>
      </c>
      <c r="C2414" s="1" t="str">
        <f>"4차"</f>
        <v>4차</v>
      </c>
      <c r="D2414" s="1" t="str">
        <f>"0427S07344"</f>
        <v>0427S07344</v>
      </c>
      <c r="E2414" s="1" t="s">
        <v>10</v>
      </c>
      <c r="F2414" s="1" t="str">
        <f>"10.10.59.2"</f>
        <v>10.10.59.2</v>
      </c>
      <c r="G2414" s="1" t="str">
        <f>"0427S073"</f>
        <v>0427S073</v>
      </c>
      <c r="H2414" s="1" t="str">
        <f>"덕수간 63R20R4"</f>
        <v>덕수간 63R20R4</v>
      </c>
      <c r="I2414" s="1" t="s">
        <v>8</v>
      </c>
      <c r="J2414" s="1" t="str">
        <f>"81/89"</f>
        <v>81/89</v>
      </c>
      <c r="K2414" s="1" t="str">
        <f t="shared" ref="K2414:K2422" si="139">"2026-07-29 13:18:03"</f>
        <v>2026-07-29 13:18:03</v>
      </c>
      <c r="L2414" s="1" t="str">
        <f>"2019-10-01 16:25:28"</f>
        <v>2019-10-01 16:25:28</v>
      </c>
      <c r="M2414" s="1" t="s">
        <v>1</v>
      </c>
      <c r="N2414" s="1" t="s">
        <v>38</v>
      </c>
      <c r="O2414" s="1" t="s">
        <v>46</v>
      </c>
    </row>
    <row r="2415" spans="2:15" x14ac:dyDescent="0.3">
      <c r="B2415" s="1" t="s">
        <v>24</v>
      </c>
      <c r="C2415" s="1" t="str">
        <f>"4차"</f>
        <v>4차</v>
      </c>
      <c r="D2415" s="1" t="str">
        <f>"0427S07444"</f>
        <v>0427S07444</v>
      </c>
      <c r="E2415" s="1" t="s">
        <v>10</v>
      </c>
      <c r="F2415" s="1" t="str">
        <f>"10.10.58.18"</f>
        <v>10.10.58.18</v>
      </c>
      <c r="G2415" s="1" t="str">
        <f>"0427S074"</f>
        <v>0427S074</v>
      </c>
      <c r="H2415" s="1" t="str">
        <f>"덕수간 63R12R3"</f>
        <v>덕수간 63R12R3</v>
      </c>
      <c r="I2415" s="1" t="s">
        <v>8</v>
      </c>
      <c r="J2415" s="1" t="str">
        <f>"46/46"</f>
        <v>46/46</v>
      </c>
      <c r="K2415" s="1" t="str">
        <f t="shared" si="139"/>
        <v>2026-07-29 13:18:03</v>
      </c>
      <c r="L2415" s="1" t="str">
        <f>"2022-10-25 09:57:39"</f>
        <v>2022-10-25 09:57:39</v>
      </c>
      <c r="M2415" s="1" t="s">
        <v>1</v>
      </c>
      <c r="N2415" s="1" t="s">
        <v>38</v>
      </c>
      <c r="O2415" s="1" t="s">
        <v>46</v>
      </c>
    </row>
    <row r="2416" spans="2:15" x14ac:dyDescent="0.3">
      <c r="B2416" s="1" t="s">
        <v>24</v>
      </c>
      <c r="C2416" s="1" t="str">
        <f>"4차"</f>
        <v>4차</v>
      </c>
      <c r="D2416" s="1" t="str">
        <f>"0427S14444"</f>
        <v>0427S14444</v>
      </c>
      <c r="E2416" s="1" t="s">
        <v>10</v>
      </c>
      <c r="F2416" s="1" t="str">
        <f>"10.89.246.48"</f>
        <v>10.89.246.48</v>
      </c>
      <c r="G2416" s="1" t="str">
        <f>"0427S144"</f>
        <v>0427S144</v>
      </c>
      <c r="H2416" s="1" t="str">
        <f>"면목간 61L2H1"</f>
        <v>면목간 61L2H1</v>
      </c>
      <c r="I2416" s="1" t="s">
        <v>8</v>
      </c>
      <c r="J2416" s="1" t="str">
        <f>"135/135"</f>
        <v>135/135</v>
      </c>
      <c r="K2416" s="1" t="str">
        <f t="shared" si="139"/>
        <v>2026-07-29 13:18:03</v>
      </c>
      <c r="L2416" s="1" t="str">
        <f>"2023-10-27 17:04:21"</f>
        <v>2023-10-27 17:04:21</v>
      </c>
      <c r="M2416" s="1" t="s">
        <v>45</v>
      </c>
      <c r="N2416" s="1" t="s">
        <v>38</v>
      </c>
      <c r="O2416" s="1" t="s">
        <v>46</v>
      </c>
    </row>
    <row r="2417" spans="2:15" x14ac:dyDescent="0.3">
      <c r="B2417" s="1" t="s">
        <v>24</v>
      </c>
      <c r="C2417" s="1" t="str">
        <f>"1차"</f>
        <v>1차</v>
      </c>
      <c r="D2417" s="1" t="str">
        <f>"0427S15301"</f>
        <v>0427S15301</v>
      </c>
      <c r="E2417" s="1" t="s">
        <v>10</v>
      </c>
      <c r="F2417" s="1" t="str">
        <f>"10.89.246.38"</f>
        <v>10.89.246.38</v>
      </c>
      <c r="G2417" s="1" t="str">
        <f>"0427S153"</f>
        <v>0427S153</v>
      </c>
      <c r="H2417" s="1" t="str">
        <f>"덕수간 63R15"</f>
        <v>덕수간 63R15</v>
      </c>
      <c r="I2417" s="1" t="s">
        <v>8</v>
      </c>
      <c r="J2417" s="1" t="str">
        <f>"72/72"</f>
        <v>72/72</v>
      </c>
      <c r="K2417" s="1" t="str">
        <f t="shared" si="139"/>
        <v>2026-07-29 13:18:03</v>
      </c>
      <c r="L2417" s="1" t="str">
        <f>"2014-09-26 18:42:46"</f>
        <v>2014-09-26 18:42:46</v>
      </c>
      <c r="M2417" s="1" t="s">
        <v>45</v>
      </c>
      <c r="N2417" s="1" t="s">
        <v>38</v>
      </c>
      <c r="O2417" s="1" t="s">
        <v>46</v>
      </c>
    </row>
    <row r="2418" spans="2:15" x14ac:dyDescent="0.3">
      <c r="B2418" s="1" t="s">
        <v>24</v>
      </c>
      <c r="C2418" s="1" t="str">
        <f>"4차"</f>
        <v>4차</v>
      </c>
      <c r="D2418" s="1" t="str">
        <f>"0427S16344"</f>
        <v>0427S16344</v>
      </c>
      <c r="E2418" s="1" t="s">
        <v>10</v>
      </c>
      <c r="F2418" s="1" t="str">
        <f>"10.10.59.18"</f>
        <v>10.10.59.18</v>
      </c>
      <c r="G2418" s="1" t="str">
        <f>"0427S163"</f>
        <v>0427S163</v>
      </c>
      <c r="H2418" s="1" t="str">
        <f>"덕수간 63R20R6"</f>
        <v>덕수간 63R20R6</v>
      </c>
      <c r="I2418" s="1" t="s">
        <v>8</v>
      </c>
      <c r="J2418" s="1" t="str">
        <f>"33/33"</f>
        <v>33/33</v>
      </c>
      <c r="K2418" s="1" t="str">
        <f t="shared" si="139"/>
        <v>2026-07-29 13:18:03</v>
      </c>
      <c r="L2418" s="1" t="str">
        <f>"2019-10-01 18:33:05"</f>
        <v>2019-10-01 18:33:05</v>
      </c>
      <c r="M2418" s="1" t="s">
        <v>1</v>
      </c>
      <c r="N2418" s="1" t="s">
        <v>38</v>
      </c>
      <c r="O2418" s="1" t="s">
        <v>46</v>
      </c>
    </row>
    <row r="2419" spans="2:15" x14ac:dyDescent="0.3">
      <c r="B2419" s="1" t="s">
        <v>24</v>
      </c>
      <c r="C2419" s="1" t="str">
        <f>"4차"</f>
        <v>4차</v>
      </c>
      <c r="D2419" s="1" t="str">
        <f>"0427S17144"</f>
        <v>0427S17144</v>
      </c>
      <c r="E2419" s="1" t="s">
        <v>10</v>
      </c>
      <c r="F2419" s="1" t="str">
        <f>"10.10.57.242"</f>
        <v>10.10.57.242</v>
      </c>
      <c r="G2419" s="1" t="str">
        <f>"0427S171"</f>
        <v>0427S171</v>
      </c>
      <c r="H2419" s="1" t="str">
        <f>"덕수간 63R12"</f>
        <v>덕수간 63R12</v>
      </c>
      <c r="I2419" s="1" t="s">
        <v>8</v>
      </c>
      <c r="J2419" s="1" t="str">
        <f>"26/26"</f>
        <v>26/26</v>
      </c>
      <c r="K2419" s="1" t="str">
        <f t="shared" si="139"/>
        <v>2026-07-29 13:18:03</v>
      </c>
      <c r="L2419" s="1" t="str">
        <f>"2019-10-01 13:29:57"</f>
        <v>2019-10-01 13:29:57</v>
      </c>
      <c r="M2419" s="1" t="s">
        <v>1</v>
      </c>
      <c r="N2419" s="1" t="s">
        <v>38</v>
      </c>
      <c r="O2419" s="1" t="s">
        <v>46</v>
      </c>
    </row>
    <row r="2420" spans="2:15" x14ac:dyDescent="0.3">
      <c r="B2420" s="1" t="s">
        <v>24</v>
      </c>
      <c r="C2420" s="1" t="str">
        <f>"4차"</f>
        <v>4차</v>
      </c>
      <c r="D2420" s="1" t="str">
        <f>"0427S17244"</f>
        <v>0427S17244</v>
      </c>
      <c r="E2420" s="1" t="s">
        <v>10</v>
      </c>
      <c r="F2420" s="1" t="str">
        <f>"10.10.116.226"</f>
        <v>10.10.116.226</v>
      </c>
      <c r="G2420" s="1" t="str">
        <f>"0427S172"</f>
        <v>0427S172</v>
      </c>
      <c r="H2420" s="1" t="str">
        <f>"덕수간 63R12R1"</f>
        <v>덕수간 63R12R1</v>
      </c>
      <c r="I2420" s="1" t="s">
        <v>8</v>
      </c>
      <c r="J2420" s="1" t="str">
        <f>"19/19"</f>
        <v>19/19</v>
      </c>
      <c r="K2420" s="1" t="str">
        <f t="shared" si="139"/>
        <v>2026-07-29 13:18:03</v>
      </c>
      <c r="L2420" s="1" t="str">
        <f>"2019-10-31 13:33:04"</f>
        <v>2019-10-31 13:33:04</v>
      </c>
      <c r="M2420" s="1" t="s">
        <v>1</v>
      </c>
      <c r="N2420" s="1" t="s">
        <v>38</v>
      </c>
      <c r="O2420" s="1" t="s">
        <v>46</v>
      </c>
    </row>
    <row r="2421" spans="2:15" x14ac:dyDescent="0.3">
      <c r="B2421" s="1" t="s">
        <v>24</v>
      </c>
      <c r="C2421" s="1" t="str">
        <f>"4차"</f>
        <v>4차</v>
      </c>
      <c r="D2421" s="1" t="str">
        <f>"0427S18144"</f>
        <v>0427S18144</v>
      </c>
      <c r="E2421" s="1" t="s">
        <v>10</v>
      </c>
      <c r="F2421" s="1" t="str">
        <f>"10.10.57.250"</f>
        <v>10.10.57.250</v>
      </c>
      <c r="G2421" s="1" t="str">
        <f>"0427S181"</f>
        <v>0427S181</v>
      </c>
      <c r="H2421" s="1" t="str">
        <f>"덕수간 63R10R1"</f>
        <v>덕수간 63R10R1</v>
      </c>
      <c r="I2421" s="1" t="s">
        <v>8</v>
      </c>
      <c r="J2421" s="1" t="str">
        <f>"70/72"</f>
        <v>70/72</v>
      </c>
      <c r="K2421" s="1" t="str">
        <f t="shared" si="139"/>
        <v>2026-07-29 13:18:03</v>
      </c>
      <c r="L2421" s="1" t="str">
        <f>"2019-10-01 13:33:28"</f>
        <v>2019-10-01 13:33:28</v>
      </c>
      <c r="M2421" s="1" t="s">
        <v>1</v>
      </c>
      <c r="N2421" s="1" t="s">
        <v>38</v>
      </c>
      <c r="O2421" s="1" t="s">
        <v>46</v>
      </c>
    </row>
    <row r="2422" spans="2:15" x14ac:dyDescent="0.3">
      <c r="B2422" s="1" t="s">
        <v>24</v>
      </c>
      <c r="C2422" s="1" t="s">
        <v>16</v>
      </c>
      <c r="D2422" s="1" t="str">
        <f>"0427S20241"</f>
        <v>0427S20241</v>
      </c>
      <c r="E2422" s="1" t="s">
        <v>10</v>
      </c>
      <c r="F2422" s="1" t="str">
        <f>"10.14.11.201"</f>
        <v>10.14.11.201</v>
      </c>
      <c r="G2422" s="1" t="str">
        <f>"0427S202"</f>
        <v>0427S202</v>
      </c>
      <c r="H2422" s="1" t="str">
        <f>"상면간 11L8L1"</f>
        <v>상면간 11L8L1</v>
      </c>
      <c r="I2422" s="1" t="s">
        <v>17</v>
      </c>
      <c r="J2422" s="1" t="str">
        <f>"26/26"</f>
        <v>26/26</v>
      </c>
      <c r="K2422" s="1" t="str">
        <f t="shared" si="139"/>
        <v>2026-07-29 13:18:03</v>
      </c>
      <c r="L2422" s="1" t="str">
        <f>"2022-11-11 07:57:08"</f>
        <v>2022-11-11 07:57:08</v>
      </c>
      <c r="M2422" s="1" t="s">
        <v>3</v>
      </c>
      <c r="N2422" s="1" t="s">
        <v>38</v>
      </c>
      <c r="O2422" s="1" t="s">
        <v>46</v>
      </c>
    </row>
    <row r="2423" spans="2:15" x14ac:dyDescent="0.3">
      <c r="B2423" s="1" t="s">
        <v>24</v>
      </c>
      <c r="C2423" s="1" t="str">
        <f>"5-2차"</f>
        <v>5-2차</v>
      </c>
      <c r="D2423" s="1" t="str">
        <f>"0427S2125M"</f>
        <v>0427S2125M</v>
      </c>
      <c r="E2423" s="1" t="s">
        <v>10</v>
      </c>
      <c r="F2423" s="1" t="str">
        <f>"fde1:103:4:93ce:0:0:0:2"</f>
        <v>fde1:103:4:93ce:0:0:0:2</v>
      </c>
      <c r="G2423" s="1" t="str">
        <f>"0427S212"</f>
        <v>0427S212</v>
      </c>
      <c r="H2423" s="1" t="str">
        <f>"상면간 11L8L2R3"</f>
        <v>상면간 11L8L2R3</v>
      </c>
      <c r="I2423" s="1" t="s">
        <v>15</v>
      </c>
      <c r="J2423" s="1" t="str">
        <f>"37/37"</f>
        <v>37/37</v>
      </c>
      <c r="K2423" s="1" t="str">
        <f>"2026-07-29 14:20:56"</f>
        <v>2026-07-29 14:20:56</v>
      </c>
      <c r="L2423" s="1" t="str">
        <f>"2023-12-19 13:23:53"</f>
        <v>2023-12-19 13:23:53</v>
      </c>
      <c r="M2423" s="1" t="s">
        <v>4</v>
      </c>
      <c r="N2423" s="1" t="s">
        <v>38</v>
      </c>
      <c r="O2423" s="1" t="s">
        <v>46</v>
      </c>
    </row>
    <row r="2424" spans="2:15" x14ac:dyDescent="0.3">
      <c r="B2424" s="1" t="s">
        <v>24</v>
      </c>
      <c r="C2424" s="1" t="str">
        <f t="shared" ref="C2424:C2431" si="140">"4차"</f>
        <v>4차</v>
      </c>
      <c r="D2424" s="1" t="str">
        <f>"0427S24244"</f>
        <v>0427S24244</v>
      </c>
      <c r="E2424" s="1" t="s">
        <v>10</v>
      </c>
      <c r="F2424" s="1" t="str">
        <f>"10.10.50.26"</f>
        <v>10.10.50.26</v>
      </c>
      <c r="G2424" s="1" t="str">
        <f>"0427S242"</f>
        <v>0427S242</v>
      </c>
      <c r="H2424" s="1" t="str">
        <f>"상능간 25R9R2"</f>
        <v>상능간 25R9R2</v>
      </c>
      <c r="I2424" s="1" t="s">
        <v>8</v>
      </c>
      <c r="J2424" s="1" t="str">
        <f>"102/107"</f>
        <v>102/107</v>
      </c>
      <c r="K2424" s="1" t="str">
        <f t="shared" ref="K2424:K2429" si="141">"2026-07-29 13:18:03"</f>
        <v>2026-07-29 13:18:03</v>
      </c>
      <c r="L2424" s="1" t="str">
        <f>"2019-10-31 13:25:20"</f>
        <v>2019-10-31 13:25:20</v>
      </c>
      <c r="M2424" s="1" t="s">
        <v>1</v>
      </c>
      <c r="N2424" s="1" t="s">
        <v>38</v>
      </c>
      <c r="O2424" s="1" t="s">
        <v>46</v>
      </c>
    </row>
    <row r="2425" spans="2:15" x14ac:dyDescent="0.3">
      <c r="B2425" s="1" t="s">
        <v>24</v>
      </c>
      <c r="C2425" s="1" t="str">
        <f t="shared" si="140"/>
        <v>4차</v>
      </c>
      <c r="D2425" s="1" t="str">
        <f>"0427S25244"</f>
        <v>0427S25244</v>
      </c>
      <c r="E2425" s="1" t="s">
        <v>10</v>
      </c>
      <c r="F2425" s="1" t="str">
        <f>"10.10.58.98"</f>
        <v>10.10.58.98</v>
      </c>
      <c r="G2425" s="1" t="str">
        <f>"0427S252"</f>
        <v>0427S252</v>
      </c>
      <c r="H2425" s="1" t="str">
        <f>"덕수간 63R14L2"</f>
        <v>덕수간 63R14L2</v>
      </c>
      <c r="I2425" s="1" t="s">
        <v>8</v>
      </c>
      <c r="J2425" s="1" t="str">
        <f>"57/57"</f>
        <v>57/57</v>
      </c>
      <c r="K2425" s="1" t="str">
        <f t="shared" si="141"/>
        <v>2026-07-29 13:18:03</v>
      </c>
      <c r="L2425" s="1" t="str">
        <f>"2019-10-01 18:13:05"</f>
        <v>2019-10-01 18:13:05</v>
      </c>
      <c r="M2425" s="1" t="s">
        <v>1</v>
      </c>
      <c r="N2425" s="1" t="s">
        <v>38</v>
      </c>
      <c r="O2425" s="1" t="s">
        <v>46</v>
      </c>
    </row>
    <row r="2426" spans="2:15" x14ac:dyDescent="0.3">
      <c r="B2426" s="1" t="s">
        <v>24</v>
      </c>
      <c r="C2426" s="1" t="str">
        <f t="shared" si="140"/>
        <v>4차</v>
      </c>
      <c r="D2426" s="1" t="str">
        <f>"0427S26144"</f>
        <v>0427S26144</v>
      </c>
      <c r="E2426" s="1" t="s">
        <v>10</v>
      </c>
      <c r="F2426" s="1" t="str">
        <f>"10.10.49.234"</f>
        <v>10.10.49.234</v>
      </c>
      <c r="G2426" s="1" t="str">
        <f>"0427S261"</f>
        <v>0427S261</v>
      </c>
      <c r="H2426" s="1" t="str">
        <f>"상능간 25R4R2"</f>
        <v>상능간 25R4R2</v>
      </c>
      <c r="I2426" s="1" t="s">
        <v>8</v>
      </c>
      <c r="J2426" s="1" t="str">
        <f>"69/69"</f>
        <v>69/69</v>
      </c>
      <c r="K2426" s="1" t="str">
        <f t="shared" si="141"/>
        <v>2026-07-29 13:18:03</v>
      </c>
      <c r="L2426" s="1" t="str">
        <f>"2019-10-31 13:23:04"</f>
        <v>2019-10-31 13:23:04</v>
      </c>
      <c r="M2426" s="1" t="s">
        <v>1</v>
      </c>
      <c r="N2426" s="1" t="s">
        <v>38</v>
      </c>
      <c r="O2426" s="1" t="s">
        <v>46</v>
      </c>
    </row>
    <row r="2427" spans="2:15" x14ac:dyDescent="0.3">
      <c r="B2427" s="1" t="s">
        <v>24</v>
      </c>
      <c r="C2427" s="1" t="str">
        <f t="shared" si="140"/>
        <v>4차</v>
      </c>
      <c r="D2427" s="1" t="str">
        <f>"0427S26244"</f>
        <v>0427S26244</v>
      </c>
      <c r="E2427" s="1" t="s">
        <v>10</v>
      </c>
      <c r="F2427" s="1" t="str">
        <f>"10.10.49.242"</f>
        <v>10.10.49.242</v>
      </c>
      <c r="G2427" s="1" t="str">
        <f>"0427S262"</f>
        <v>0427S262</v>
      </c>
      <c r="H2427" s="1" t="str">
        <f>"상능간 25R4R3"</f>
        <v>상능간 25R4R3</v>
      </c>
      <c r="I2427" s="1" t="s">
        <v>8</v>
      </c>
      <c r="J2427" s="1" t="str">
        <f>"37/37"</f>
        <v>37/37</v>
      </c>
      <c r="K2427" s="1" t="str">
        <f t="shared" si="141"/>
        <v>2026-07-29 13:18:03</v>
      </c>
      <c r="L2427" s="1" t="str">
        <f>"2019-10-31 13:09:21"</f>
        <v>2019-10-31 13:09:21</v>
      </c>
      <c r="M2427" s="1" t="s">
        <v>1</v>
      </c>
      <c r="N2427" s="1" t="s">
        <v>38</v>
      </c>
      <c r="O2427" s="1" t="s">
        <v>46</v>
      </c>
    </row>
    <row r="2428" spans="2:15" x14ac:dyDescent="0.3">
      <c r="B2428" s="1" t="s">
        <v>24</v>
      </c>
      <c r="C2428" s="1" t="str">
        <f t="shared" si="140"/>
        <v>4차</v>
      </c>
      <c r="D2428" s="1" t="str">
        <f>"0427S27144"</f>
        <v>0427S27144</v>
      </c>
      <c r="E2428" s="1" t="s">
        <v>10</v>
      </c>
      <c r="F2428" s="1" t="str">
        <f>"10.10.57.234"</f>
        <v>10.10.57.234</v>
      </c>
      <c r="G2428" s="1" t="str">
        <f>"0427S271"</f>
        <v>0427S271</v>
      </c>
      <c r="H2428" s="1" t="str">
        <f>"덕수간 63R12L2"</f>
        <v>덕수간 63R12L2</v>
      </c>
      <c r="I2428" s="1" t="s">
        <v>8</v>
      </c>
      <c r="J2428" s="1" t="str">
        <f>"42/42"</f>
        <v>42/42</v>
      </c>
      <c r="K2428" s="1" t="str">
        <f t="shared" si="141"/>
        <v>2026-07-29 13:18:03</v>
      </c>
      <c r="L2428" s="1" t="str">
        <f>"2019-10-31 13:13:21"</f>
        <v>2019-10-31 13:13:21</v>
      </c>
      <c r="M2428" s="1" t="s">
        <v>1</v>
      </c>
      <c r="N2428" s="1" t="s">
        <v>38</v>
      </c>
      <c r="O2428" s="1" t="s">
        <v>46</v>
      </c>
    </row>
    <row r="2429" spans="2:15" x14ac:dyDescent="0.3">
      <c r="B2429" s="1" t="s">
        <v>24</v>
      </c>
      <c r="C2429" s="1" t="str">
        <f t="shared" si="140"/>
        <v>4차</v>
      </c>
      <c r="D2429" s="1" t="str">
        <f>"0427S27244"</f>
        <v>0427S27244</v>
      </c>
      <c r="E2429" s="1" t="s">
        <v>10</v>
      </c>
      <c r="F2429" s="1" t="str">
        <f>"10.10.115.242"</f>
        <v>10.10.115.242</v>
      </c>
      <c r="G2429" s="1" t="str">
        <f>"0427S272"</f>
        <v>0427S272</v>
      </c>
      <c r="H2429" s="1" t="str">
        <f>"덕수간 63R12L1"</f>
        <v>덕수간 63R12L1</v>
      </c>
      <c r="I2429" s="1" t="s">
        <v>8</v>
      </c>
      <c r="J2429" s="1" t="str">
        <f>"23/23"</f>
        <v>23/23</v>
      </c>
      <c r="K2429" s="1" t="str">
        <f t="shared" si="141"/>
        <v>2026-07-29 13:18:03</v>
      </c>
      <c r="L2429" s="1" t="str">
        <f>"2020-01-10 16:59:01"</f>
        <v>2020-01-10 16:59:01</v>
      </c>
      <c r="M2429" s="1" t="s">
        <v>1</v>
      </c>
      <c r="N2429" s="1" t="s">
        <v>38</v>
      </c>
      <c r="O2429" s="1" t="s">
        <v>46</v>
      </c>
    </row>
    <row r="2430" spans="2:15" x14ac:dyDescent="0.3">
      <c r="B2430" s="1" t="s">
        <v>24</v>
      </c>
      <c r="C2430" s="1" t="str">
        <f t="shared" si="140"/>
        <v>4차</v>
      </c>
      <c r="D2430" s="1" t="str">
        <f>"0427S27339"</f>
        <v>0427S27339</v>
      </c>
      <c r="E2430" s="1" t="s">
        <v>10</v>
      </c>
      <c r="F2430" s="1" t="str">
        <f>"10.12.129.15"</f>
        <v>10.12.129.15</v>
      </c>
      <c r="G2430" s="1" t="str">
        <f>"0427S273"</f>
        <v>0427S273</v>
      </c>
      <c r="H2430" s="1" t="str">
        <f>"덕수간 63R12L3"</f>
        <v>덕수간 63R12L3</v>
      </c>
      <c r="I2430" s="1" t="s">
        <v>8</v>
      </c>
      <c r="J2430" s="1" t="str">
        <f>"36/36"</f>
        <v>36/36</v>
      </c>
      <c r="K2430" s="1" t="str">
        <f>"2026-07-29 07:18:04"</f>
        <v>2026-07-29 07:18:04</v>
      </c>
      <c r="L2430" s="1" t="str">
        <f>"2018-04-19 12:42:13"</f>
        <v>2018-04-19 12:42:13</v>
      </c>
      <c r="M2430" s="1" t="s">
        <v>0</v>
      </c>
      <c r="N2430" s="1" t="s">
        <v>38</v>
      </c>
      <c r="O2430" s="1" t="s">
        <v>46</v>
      </c>
    </row>
    <row r="2431" spans="2:15" x14ac:dyDescent="0.3">
      <c r="B2431" s="1" t="s">
        <v>24</v>
      </c>
      <c r="C2431" s="1" t="str">
        <f t="shared" si="140"/>
        <v>4차</v>
      </c>
      <c r="D2431" s="1" t="str">
        <f>"0427S29444"</f>
        <v>0427S29444</v>
      </c>
      <c r="E2431" s="1" t="s">
        <v>10</v>
      </c>
      <c r="F2431" s="1" t="str">
        <f>"10.10.116.250"</f>
        <v>10.10.116.250</v>
      </c>
      <c r="G2431" s="1" t="str">
        <f>"0427S294"</f>
        <v>0427S294</v>
      </c>
      <c r="H2431" s="1" t="str">
        <f>"덕수간 63R8L2"</f>
        <v>덕수간 63R8L2</v>
      </c>
      <c r="I2431" s="1" t="s">
        <v>8</v>
      </c>
      <c r="J2431" s="1" t="str">
        <f>"31/31"</f>
        <v>31/31</v>
      </c>
      <c r="K2431" s="1" t="str">
        <f>"2026-07-29 13:18:03"</f>
        <v>2026-07-29 13:18:03</v>
      </c>
      <c r="L2431" s="1" t="str">
        <f>"2019-10-01 14:53:05"</f>
        <v>2019-10-01 14:53:05</v>
      </c>
      <c r="M2431" s="1" t="s">
        <v>1</v>
      </c>
      <c r="N2431" s="1" t="s">
        <v>38</v>
      </c>
      <c r="O2431" s="1" t="s">
        <v>46</v>
      </c>
    </row>
    <row r="2432" spans="2:15" x14ac:dyDescent="0.3">
      <c r="B2432" s="1" t="s">
        <v>24</v>
      </c>
      <c r="C2432" s="1" t="str">
        <f>"5-2차"</f>
        <v>5-2차</v>
      </c>
      <c r="D2432" s="1" t="str">
        <f>"0427S3115M"</f>
        <v>0427S3115M</v>
      </c>
      <c r="E2432" s="1" t="s">
        <v>10</v>
      </c>
      <c r="F2432" s="1" t="str">
        <f>"fde1:103:4:9365:0:0:0:2"</f>
        <v>fde1:103:4:9365:0:0:0:2</v>
      </c>
      <c r="G2432" s="1" t="str">
        <f>"0427S311"</f>
        <v>0427S311</v>
      </c>
      <c r="H2432" s="1" t="str">
        <f>"사가정지 12R3R1"</f>
        <v>사가정지 12R3R1</v>
      </c>
      <c r="I2432" s="1" t="s">
        <v>15</v>
      </c>
      <c r="J2432" s="1" t="str">
        <f>"55/55"</f>
        <v>55/55</v>
      </c>
      <c r="K2432" s="1" t="str">
        <f>"2026-07-29 14:21:13"</f>
        <v>2026-07-29 14:21:13</v>
      </c>
      <c r="L2432" s="1" t="str">
        <f>"2023-12-19 13:24:20"</f>
        <v>2023-12-19 13:24:20</v>
      </c>
      <c r="M2432" s="1" t="s">
        <v>4</v>
      </c>
      <c r="N2432" s="1" t="s">
        <v>38</v>
      </c>
      <c r="O2432" s="1" t="s">
        <v>46</v>
      </c>
    </row>
    <row r="2433" spans="2:15" x14ac:dyDescent="0.3">
      <c r="B2433" s="1" t="s">
        <v>24</v>
      </c>
      <c r="C2433" s="1" t="str">
        <f>"4차"</f>
        <v>4차</v>
      </c>
      <c r="D2433" s="1" t="str">
        <f>"0427S38144"</f>
        <v>0427S38144</v>
      </c>
      <c r="E2433" s="1" t="s">
        <v>10</v>
      </c>
      <c r="F2433" s="1" t="str">
        <f>"10.10.58.2"</f>
        <v>10.10.58.2</v>
      </c>
      <c r="G2433" s="1" t="str">
        <f>"0427S381"</f>
        <v>0427S381</v>
      </c>
      <c r="H2433" s="1" t="str">
        <f>"덕수간 63R10L1"</f>
        <v>덕수간 63R10L1</v>
      </c>
      <c r="I2433" s="1" t="s">
        <v>8</v>
      </c>
      <c r="J2433" s="1" t="str">
        <f>"45/45"</f>
        <v>45/45</v>
      </c>
      <c r="K2433" s="1" t="str">
        <f>"2026-07-29 13:18:03"</f>
        <v>2026-07-29 13:18:03</v>
      </c>
      <c r="L2433" s="1" t="str">
        <f>"2019-10-01 13:31:42"</f>
        <v>2019-10-01 13:31:42</v>
      </c>
      <c r="M2433" s="1" t="s">
        <v>1</v>
      </c>
      <c r="N2433" s="1" t="s">
        <v>38</v>
      </c>
      <c r="O2433" s="1" t="s">
        <v>46</v>
      </c>
    </row>
    <row r="2434" spans="2:15" x14ac:dyDescent="0.3">
      <c r="B2434" s="1" t="s">
        <v>24</v>
      </c>
      <c r="C2434" s="1" t="str">
        <f>"5-2차"</f>
        <v>5-2차</v>
      </c>
      <c r="D2434" s="1" t="str">
        <f>"0427S4025M"</f>
        <v>0427S4025M</v>
      </c>
      <c r="E2434" s="1" t="s">
        <v>10</v>
      </c>
      <c r="F2434" s="1" t="str">
        <f>"fde1:103:4:9377:0:0:0:2"</f>
        <v>fde1:103:4:9377:0:0:0:2</v>
      </c>
      <c r="G2434" s="1" t="str">
        <f>"0427S402"</f>
        <v>0427S402</v>
      </c>
      <c r="H2434" s="1" t="str">
        <f>"사가정지 12R2L2R5"</f>
        <v>사가정지 12R2L2R5</v>
      </c>
      <c r="I2434" s="1" t="s">
        <v>15</v>
      </c>
      <c r="J2434" s="1" t="str">
        <f>"55/55"</f>
        <v>55/55</v>
      </c>
      <c r="K2434" s="1" t="str">
        <f>"2026-07-29 14:20:59"</f>
        <v>2026-07-29 14:20:59</v>
      </c>
      <c r="L2434" s="1" t="str">
        <f>"2023-12-19 13:25:03"</f>
        <v>2023-12-19 13:25:03</v>
      </c>
      <c r="M2434" s="1" t="s">
        <v>4</v>
      </c>
      <c r="N2434" s="1" t="s">
        <v>38</v>
      </c>
      <c r="O2434" s="1" t="s">
        <v>46</v>
      </c>
    </row>
    <row r="2435" spans="2:15" x14ac:dyDescent="0.3">
      <c r="B2435" s="1" t="s">
        <v>24</v>
      </c>
      <c r="C2435" s="1" t="str">
        <f>"5-1차"</f>
        <v>5-1차</v>
      </c>
      <c r="D2435" s="1" t="str">
        <f>"0427S5115M"</f>
        <v>0427S5115M</v>
      </c>
      <c r="E2435" s="1" t="s">
        <v>10</v>
      </c>
      <c r="F2435" s="1" t="str">
        <f>"fde2:104:0:13b:0:0:0:2"</f>
        <v>fde2:104:0:13b:0:0:0:2</v>
      </c>
      <c r="G2435" s="1" t="str">
        <f>"0427S511"</f>
        <v>0427S511</v>
      </c>
      <c r="H2435" s="1" t="str">
        <f>"사가정지 12R2L3"</f>
        <v>사가정지 12R2L3</v>
      </c>
      <c r="I2435" s="1" t="s">
        <v>15</v>
      </c>
      <c r="J2435" s="1" t="str">
        <f>"32/32"</f>
        <v>32/32</v>
      </c>
      <c r="K2435" s="1" t="str">
        <f>"2026-07-29 14:21:00"</f>
        <v>2026-07-29 14:21:00</v>
      </c>
      <c r="L2435" s="1" t="str">
        <f>"2022-10-05 13:36:46"</f>
        <v>2022-10-05 13:36:46</v>
      </c>
      <c r="M2435" s="1" t="s">
        <v>42</v>
      </c>
      <c r="N2435" s="1" t="s">
        <v>38</v>
      </c>
      <c r="O2435" s="1" t="s">
        <v>46</v>
      </c>
    </row>
    <row r="2436" spans="2:15" x14ac:dyDescent="0.3">
      <c r="B2436" s="1" t="s">
        <v>24</v>
      </c>
      <c r="C2436" s="1" t="str">
        <f>"5-1차"</f>
        <v>5-1차</v>
      </c>
      <c r="D2436" s="1" t="str">
        <f>"0427S5135M"</f>
        <v>0427S5135M</v>
      </c>
      <c r="E2436" s="1" t="s">
        <v>10</v>
      </c>
      <c r="F2436" s="1" t="str">
        <f>"fde2:104:0:135:0:0:0:2"</f>
        <v>fde2:104:0:135:0:0:0:2</v>
      </c>
      <c r="G2436" s="1" t="str">
        <f>"0427S513"</f>
        <v>0427S513</v>
      </c>
      <c r="H2436" s="1" t="str">
        <f>"사가정지 12R2L2R2"</f>
        <v>사가정지 12R2L2R2</v>
      </c>
      <c r="I2436" s="1" t="s">
        <v>15</v>
      </c>
      <c r="J2436" s="1" t="str">
        <f>"80/83"</f>
        <v>80/83</v>
      </c>
      <c r="K2436" s="1" t="str">
        <f>"2026-07-29 14:21:23"</f>
        <v>2026-07-29 14:21:23</v>
      </c>
      <c r="L2436" s="1" t="str">
        <f>"2022-10-05 14:38:36"</f>
        <v>2022-10-05 14:38:36</v>
      </c>
      <c r="M2436" s="1" t="s">
        <v>42</v>
      </c>
      <c r="N2436" s="1" t="s">
        <v>38</v>
      </c>
      <c r="O2436" s="1" t="s">
        <v>46</v>
      </c>
    </row>
    <row r="2437" spans="2:15" x14ac:dyDescent="0.3">
      <c r="B2437" s="1" t="s">
        <v>24</v>
      </c>
      <c r="C2437" s="1" t="str">
        <f t="shared" ref="C2437:C2445" si="142">"5-2차"</f>
        <v>5-2차</v>
      </c>
      <c r="D2437" s="1" t="str">
        <f>"0427S5815M"</f>
        <v>0427S5815M</v>
      </c>
      <c r="E2437" s="1" t="s">
        <v>10</v>
      </c>
      <c r="F2437" s="1" t="str">
        <f>"fde1:103:4:93ac:0:0:0:2"</f>
        <v>fde1:103:4:93ac:0:0:0:2</v>
      </c>
      <c r="G2437" s="1" t="str">
        <f>"0427S581"</f>
        <v>0427S581</v>
      </c>
      <c r="H2437" s="1" t="str">
        <f>"상능간 24"</f>
        <v>상능간 24</v>
      </c>
      <c r="I2437" s="1" t="s">
        <v>15</v>
      </c>
      <c r="J2437" s="1" t="str">
        <f>"48/48"</f>
        <v>48/48</v>
      </c>
      <c r="K2437" s="1" t="str">
        <f>"2026-07-29 14:20:37"</f>
        <v>2026-07-29 14:20:37</v>
      </c>
      <c r="L2437" s="1" t="str">
        <f>"2023-12-19 13:25:29"</f>
        <v>2023-12-19 13:25:29</v>
      </c>
      <c r="M2437" s="1" t="s">
        <v>4</v>
      </c>
      <c r="N2437" s="1" t="s">
        <v>38</v>
      </c>
      <c r="O2437" s="1" t="s">
        <v>46</v>
      </c>
    </row>
    <row r="2438" spans="2:15" x14ac:dyDescent="0.3">
      <c r="B2438" s="1" t="s">
        <v>24</v>
      </c>
      <c r="C2438" s="1" t="str">
        <f t="shared" si="142"/>
        <v>5-2차</v>
      </c>
      <c r="D2438" s="1" t="str">
        <f>"0427S6035M"</f>
        <v>0427S6035M</v>
      </c>
      <c r="E2438" s="1" t="s">
        <v>10</v>
      </c>
      <c r="F2438" s="1" t="str">
        <f>"fde1:103:4:942b:0:0:0:2"</f>
        <v>fde1:103:4:942b:0:0:0:2</v>
      </c>
      <c r="G2438" s="1" t="str">
        <f>"0427S603"</f>
        <v>0427S603</v>
      </c>
      <c r="H2438" s="1" t="str">
        <f>"사가정지 12R2L6"</f>
        <v>사가정지 12R2L6</v>
      </c>
      <c r="I2438" s="1" t="s">
        <v>15</v>
      </c>
      <c r="J2438" s="1" t="str">
        <f>"78/78"</f>
        <v>78/78</v>
      </c>
      <c r="K2438" s="1" t="str">
        <f>"2026-07-29 14:21:13"</f>
        <v>2026-07-29 14:21:13</v>
      </c>
      <c r="L2438" s="1" t="str">
        <f>"2023-12-19 13:26:38"</f>
        <v>2023-12-19 13:26:38</v>
      </c>
      <c r="M2438" s="1" t="s">
        <v>4</v>
      </c>
      <c r="N2438" s="1" t="s">
        <v>38</v>
      </c>
      <c r="O2438" s="1" t="s">
        <v>46</v>
      </c>
    </row>
    <row r="2439" spans="2:15" x14ac:dyDescent="0.3">
      <c r="B2439" s="1" t="s">
        <v>24</v>
      </c>
      <c r="C2439" s="1" t="str">
        <f t="shared" si="142"/>
        <v>5-2차</v>
      </c>
      <c r="D2439" s="1" t="str">
        <f>"0427S6115S"</f>
        <v>0427S6115S</v>
      </c>
      <c r="E2439" s="1" t="s">
        <v>10</v>
      </c>
      <c r="F2439" s="1" t="str">
        <f>"fde3:102:1430:6300:0:0:0:5"</f>
        <v>fde3:102:1430:6300:0:0:0:5</v>
      </c>
      <c r="G2439" s="1" t="str">
        <f>"0427S611"</f>
        <v>0427S611</v>
      </c>
      <c r="H2439" s="1" t="str">
        <f>"사가정지 13R3"</f>
        <v>사가정지 13R3</v>
      </c>
      <c r="I2439" s="1" t="s">
        <v>15</v>
      </c>
      <c r="J2439" s="1" t="str">
        <f>"43/43"</f>
        <v>43/43</v>
      </c>
      <c r="K2439" s="1" t="str">
        <f>"2026-07-29 14:20:37"</f>
        <v>2026-07-29 14:20:37</v>
      </c>
      <c r="L2439" s="1" t="str">
        <f>"2023-12-03 12:59:02"</f>
        <v>2023-12-03 12:59:02</v>
      </c>
      <c r="M2439" s="1" t="s">
        <v>45</v>
      </c>
      <c r="N2439" s="1" t="s">
        <v>38</v>
      </c>
      <c r="O2439" s="1" t="s">
        <v>46</v>
      </c>
    </row>
    <row r="2440" spans="2:15" x14ac:dyDescent="0.3">
      <c r="B2440" s="1" t="s">
        <v>24</v>
      </c>
      <c r="C2440" s="1" t="str">
        <f t="shared" si="142"/>
        <v>5-2차</v>
      </c>
      <c r="D2440" s="1" t="str">
        <f>"0427S6125M"</f>
        <v>0427S6125M</v>
      </c>
      <c r="E2440" s="1" t="s">
        <v>10</v>
      </c>
      <c r="F2440" s="1" t="str">
        <f>"fde3:102:1430:6300:0:0:0:4"</f>
        <v>fde3:102:1430:6300:0:0:0:4</v>
      </c>
      <c r="G2440" s="1" t="str">
        <f>"0427S612"</f>
        <v>0427S612</v>
      </c>
      <c r="H2440" s="1" t="str">
        <f>"사가정지 13R2"</f>
        <v>사가정지 13R2</v>
      </c>
      <c r="I2440" s="1" t="s">
        <v>15</v>
      </c>
      <c r="J2440" s="1" t="str">
        <f>"52/52"</f>
        <v>52/52</v>
      </c>
      <c r="K2440" s="1" t="str">
        <f>"2026-07-29 14:20:37"</f>
        <v>2026-07-29 14:20:37</v>
      </c>
      <c r="L2440" s="1" t="str">
        <f>"2023-12-28 14:44:06"</f>
        <v>2023-12-28 14:44:06</v>
      </c>
      <c r="M2440" s="1" t="s">
        <v>45</v>
      </c>
      <c r="N2440" s="1" t="s">
        <v>38</v>
      </c>
      <c r="O2440" s="1" t="s">
        <v>46</v>
      </c>
    </row>
    <row r="2441" spans="2:15" x14ac:dyDescent="0.3">
      <c r="B2441" s="1" t="s">
        <v>24</v>
      </c>
      <c r="C2441" s="1" t="str">
        <f t="shared" si="142"/>
        <v>5-2차</v>
      </c>
      <c r="D2441" s="1" t="str">
        <f>"0427S6525M"</f>
        <v>0427S6525M</v>
      </c>
      <c r="E2441" s="1" t="s">
        <v>10</v>
      </c>
      <c r="F2441" s="1" t="str">
        <f>"fde1:103:4:9420:0:0:0:2"</f>
        <v>fde1:103:4:9420:0:0:0:2</v>
      </c>
      <c r="G2441" s="1" t="str">
        <f>"0427S652"</f>
        <v>0427S652</v>
      </c>
      <c r="H2441" s="1" t="str">
        <f>"상능간 27L2R1"</f>
        <v>상능간 27L2R1</v>
      </c>
      <c r="I2441" s="1" t="s">
        <v>15</v>
      </c>
      <c r="J2441" s="1" t="str">
        <f>"48/48"</f>
        <v>48/48</v>
      </c>
      <c r="K2441" s="1" t="str">
        <f>"2026-07-29 14:21:13"</f>
        <v>2026-07-29 14:21:13</v>
      </c>
      <c r="L2441" s="1" t="str">
        <f>"2023-12-19 13:45:54"</f>
        <v>2023-12-19 13:45:54</v>
      </c>
      <c r="M2441" s="1" t="s">
        <v>4</v>
      </c>
      <c r="N2441" s="1" t="s">
        <v>38</v>
      </c>
      <c r="O2441" s="1" t="s">
        <v>46</v>
      </c>
    </row>
    <row r="2442" spans="2:15" x14ac:dyDescent="0.3">
      <c r="B2442" s="1" t="s">
        <v>24</v>
      </c>
      <c r="C2442" s="1" t="str">
        <f t="shared" si="142"/>
        <v>5-2차</v>
      </c>
      <c r="D2442" s="1" t="str">
        <f>"0427S6615M"</f>
        <v>0427S6615M</v>
      </c>
      <c r="E2442" s="1" t="s">
        <v>10</v>
      </c>
      <c r="F2442" s="1" t="str">
        <f>"fde1:103:4:93a2:0:0:0:2"</f>
        <v>fde1:103:4:93a2:0:0:0:2</v>
      </c>
      <c r="G2442" s="1" t="str">
        <f>"0427S661"</f>
        <v>0427S661</v>
      </c>
      <c r="H2442" s="1" t="str">
        <f>"상능간 27L2"</f>
        <v>상능간 27L2</v>
      </c>
      <c r="I2442" s="1" t="s">
        <v>15</v>
      </c>
      <c r="J2442" s="1" t="str">
        <f>"41/41"</f>
        <v>41/41</v>
      </c>
      <c r="K2442" s="1" t="str">
        <f>"2026-07-29 14:20:38"</f>
        <v>2026-07-29 14:20:38</v>
      </c>
      <c r="L2442" s="1" t="str">
        <f>"2023-12-19 13:46:22"</f>
        <v>2023-12-19 13:46:22</v>
      </c>
      <c r="M2442" s="1" t="s">
        <v>4</v>
      </c>
      <c r="N2442" s="1" t="s">
        <v>38</v>
      </c>
      <c r="O2442" s="1" t="s">
        <v>46</v>
      </c>
    </row>
    <row r="2443" spans="2:15" x14ac:dyDescent="0.3">
      <c r="B2443" s="1" t="s">
        <v>24</v>
      </c>
      <c r="C2443" s="1" t="str">
        <f t="shared" si="142"/>
        <v>5-2차</v>
      </c>
      <c r="D2443" s="1" t="str">
        <f>"0427S6815M"</f>
        <v>0427S6815M</v>
      </c>
      <c r="E2443" s="1" t="s">
        <v>10</v>
      </c>
      <c r="F2443" s="1" t="str">
        <f>"fde1:103:4:9392:0:0:0:2"</f>
        <v>fde1:103:4:9392:0:0:0:2</v>
      </c>
      <c r="G2443" s="1" t="str">
        <f>"0427S681"</f>
        <v>0427S681</v>
      </c>
      <c r="H2443" s="1" t="str">
        <f>"면목간 90L3"</f>
        <v>면목간 90L3</v>
      </c>
      <c r="I2443" s="1" t="s">
        <v>15</v>
      </c>
      <c r="J2443" s="1" t="str">
        <f>"54/54"</f>
        <v>54/54</v>
      </c>
      <c r="K2443" s="1" t="str">
        <f>"2026-07-29 14:20:57"</f>
        <v>2026-07-29 14:20:57</v>
      </c>
      <c r="L2443" s="1" t="str">
        <f>"2023-12-19 13:46:51"</f>
        <v>2023-12-19 13:46:51</v>
      </c>
      <c r="M2443" s="1" t="s">
        <v>4</v>
      </c>
      <c r="N2443" s="1" t="s">
        <v>38</v>
      </c>
      <c r="O2443" s="1" t="s">
        <v>46</v>
      </c>
    </row>
    <row r="2444" spans="2:15" x14ac:dyDescent="0.3">
      <c r="B2444" s="1" t="s">
        <v>24</v>
      </c>
      <c r="C2444" s="1" t="str">
        <f t="shared" si="142"/>
        <v>5-2차</v>
      </c>
      <c r="D2444" s="1" t="str">
        <f>"0427S7015M"</f>
        <v>0427S7015M</v>
      </c>
      <c r="E2444" s="1" t="s">
        <v>10</v>
      </c>
      <c r="F2444" s="1" t="str">
        <f>"fde3:102:1430:6300:0:0:0:9"</f>
        <v>fde3:102:1430:6300:0:0:0:9</v>
      </c>
      <c r="G2444" s="1" t="str">
        <f>"0427S701"</f>
        <v>0427S701</v>
      </c>
      <c r="H2444" s="1" t="str">
        <f>"사가정지 12R2L6L1"</f>
        <v>사가정지 12R2L6L1</v>
      </c>
      <c r="I2444" s="1" t="s">
        <v>15</v>
      </c>
      <c r="J2444" s="1" t="str">
        <f>"42/42"</f>
        <v>42/42</v>
      </c>
      <c r="K2444" s="1" t="str">
        <f>"2026-07-29 14:20:37"</f>
        <v>2026-07-29 14:20:37</v>
      </c>
      <c r="L2444" s="1" t="str">
        <f>"2024-01-03 13:10:52"</f>
        <v>2024-01-03 13:10:52</v>
      </c>
      <c r="M2444" s="1" t="s">
        <v>45</v>
      </c>
      <c r="N2444" s="1" t="s">
        <v>38</v>
      </c>
      <c r="O2444" s="1" t="s">
        <v>46</v>
      </c>
    </row>
    <row r="2445" spans="2:15" x14ac:dyDescent="0.3">
      <c r="B2445" s="1" t="s">
        <v>24</v>
      </c>
      <c r="C2445" s="1" t="str">
        <f t="shared" si="142"/>
        <v>5-2차</v>
      </c>
      <c r="D2445" s="1" t="str">
        <f>"0427S7045M"</f>
        <v>0427S7045M</v>
      </c>
      <c r="E2445" s="1" t="s">
        <v>10</v>
      </c>
      <c r="F2445" s="1" t="str">
        <f>"fde1:103:4:93e4:0:0:0:2"</f>
        <v>fde1:103:4:93e4:0:0:0:2</v>
      </c>
      <c r="G2445" s="1" t="str">
        <f>"0427S704"</f>
        <v>0427S704</v>
      </c>
      <c r="H2445" s="1" t="str">
        <f>"사가정지 12R2L6L2"</f>
        <v>사가정지 12R2L6L2</v>
      </c>
      <c r="I2445" s="1" t="s">
        <v>15</v>
      </c>
      <c r="J2445" s="1" t="str">
        <f>"62/65"</f>
        <v>62/65</v>
      </c>
      <c r="K2445" s="1" t="str">
        <f>"2026-07-29 14:21:22"</f>
        <v>2026-07-29 14:21:22</v>
      </c>
      <c r="L2445" s="1" t="str">
        <f>"2023-12-19 13:49:03"</f>
        <v>2023-12-19 13:49:03</v>
      </c>
      <c r="M2445" s="1" t="s">
        <v>4</v>
      </c>
      <c r="N2445" s="1" t="s">
        <v>38</v>
      </c>
      <c r="O2445" s="1" t="s">
        <v>46</v>
      </c>
    </row>
    <row r="2446" spans="2:15" x14ac:dyDescent="0.3">
      <c r="B2446" s="1" t="s">
        <v>24</v>
      </c>
      <c r="C2446" s="1" t="str">
        <f>"5-1차"</f>
        <v>5-1차</v>
      </c>
      <c r="D2446" s="1" t="str">
        <f>"0427S7315M"</f>
        <v>0427S7315M</v>
      </c>
      <c r="E2446" s="1" t="s">
        <v>10</v>
      </c>
      <c r="F2446" s="1" t="str">
        <f>"fde3:102:1430:6100:0:0:0:5"</f>
        <v>fde3:102:1430:6100:0:0:0:5</v>
      </c>
      <c r="G2446" s="1" t="str">
        <f>"0427S731"</f>
        <v>0427S731</v>
      </c>
      <c r="H2446" s="1" t="str">
        <f>"면목간 84"</f>
        <v>면목간 84</v>
      </c>
      <c r="I2446" s="1" t="s">
        <v>15</v>
      </c>
      <c r="J2446" s="1" t="str">
        <f>"27/27"</f>
        <v>27/27</v>
      </c>
      <c r="K2446" s="1" t="str">
        <f>"2026-07-29 14:21:23"</f>
        <v>2026-07-29 14:21:23</v>
      </c>
      <c r="L2446" s="1" t="str">
        <f>"2022-11-08 10:10:22"</f>
        <v>2022-11-08 10:10:22</v>
      </c>
      <c r="M2446" s="1" t="s">
        <v>45</v>
      </c>
      <c r="N2446" s="1" t="s">
        <v>38</v>
      </c>
      <c r="O2446" s="1" t="s">
        <v>46</v>
      </c>
    </row>
    <row r="2447" spans="2:15" x14ac:dyDescent="0.3">
      <c r="B2447" s="1" t="s">
        <v>24</v>
      </c>
      <c r="C2447" s="1" t="str">
        <f t="shared" ref="C2447:C2453" si="143">"5-2차"</f>
        <v>5-2차</v>
      </c>
      <c r="D2447" s="1" t="str">
        <f>"0427S7415M"</f>
        <v>0427S7415M</v>
      </c>
      <c r="E2447" s="1" t="s">
        <v>10</v>
      </c>
      <c r="F2447" s="1" t="str">
        <f>"fde1:103:4:9304:0:0:0:2"</f>
        <v>fde1:103:4:9304:0:0:0:2</v>
      </c>
      <c r="G2447" s="1" t="str">
        <f>"0427S741"</f>
        <v>0427S741</v>
      </c>
      <c r="H2447" s="1" t="str">
        <f>"면목간 86"</f>
        <v>면목간 86</v>
      </c>
      <c r="I2447" s="1" t="s">
        <v>15</v>
      </c>
      <c r="J2447" s="1" t="str">
        <f>"59/59"</f>
        <v>59/59</v>
      </c>
      <c r="K2447" s="1" t="str">
        <f>"2026-07-29 14:20:40"</f>
        <v>2026-07-29 14:20:40</v>
      </c>
      <c r="L2447" s="1" t="str">
        <f>"2024-01-08 14:59:19"</f>
        <v>2024-01-08 14:59:19</v>
      </c>
      <c r="M2447" s="1" t="s">
        <v>4</v>
      </c>
      <c r="N2447" s="1" t="s">
        <v>38</v>
      </c>
      <c r="O2447" s="1" t="s">
        <v>46</v>
      </c>
    </row>
    <row r="2448" spans="2:15" x14ac:dyDescent="0.3">
      <c r="B2448" s="1" t="s">
        <v>24</v>
      </c>
      <c r="C2448" s="1" t="str">
        <f t="shared" si="143"/>
        <v>5-2차</v>
      </c>
      <c r="D2448" s="1" t="str">
        <f>"0427S7515S"</f>
        <v>0427S7515S</v>
      </c>
      <c r="E2448" s="1" t="s">
        <v>10</v>
      </c>
      <c r="F2448" s="1" t="str">
        <f>"fde1:103:4:918d:0:0:0:2"</f>
        <v>fde1:103:4:918d:0:0:0:2</v>
      </c>
      <c r="G2448" s="1" t="str">
        <f>"0427S751"</f>
        <v>0427S751</v>
      </c>
      <c r="H2448" s="1" t="str">
        <f>"면목간 87"</f>
        <v>면목간 87</v>
      </c>
      <c r="I2448" s="1" t="s">
        <v>15</v>
      </c>
      <c r="J2448" s="1" t="str">
        <f>"50/50"</f>
        <v>50/50</v>
      </c>
      <c r="K2448" s="1" t="str">
        <f>"2026-07-29 14:21:22"</f>
        <v>2026-07-29 14:21:22</v>
      </c>
      <c r="L2448" s="1" t="str">
        <f>"2024-01-12 13:48:23"</f>
        <v>2024-01-12 13:48:23</v>
      </c>
      <c r="M2448" s="1" t="s">
        <v>4</v>
      </c>
      <c r="N2448" s="1" t="s">
        <v>38</v>
      </c>
      <c r="O2448" s="1" t="s">
        <v>46</v>
      </c>
    </row>
    <row r="2449" spans="2:15" x14ac:dyDescent="0.3">
      <c r="B2449" s="1" t="s">
        <v>24</v>
      </c>
      <c r="C2449" s="1" t="str">
        <f t="shared" si="143"/>
        <v>5-2차</v>
      </c>
      <c r="D2449" s="1" t="str">
        <f>"0427S7615M"</f>
        <v>0427S7615M</v>
      </c>
      <c r="E2449" s="1" t="s">
        <v>10</v>
      </c>
      <c r="F2449" s="1" t="str">
        <f>"fde3:102:1430:6100:0:0:0:1b"</f>
        <v>fde3:102:1430:6100:0:0:0:1b</v>
      </c>
      <c r="G2449" s="1" t="str">
        <f>"0427S761"</f>
        <v>0427S761</v>
      </c>
      <c r="H2449" s="1" t="str">
        <f>"면목간 88"</f>
        <v>면목간 88</v>
      </c>
      <c r="I2449" s="1" t="s">
        <v>15</v>
      </c>
      <c r="J2449" s="1" t="str">
        <f>"71/71"</f>
        <v>71/71</v>
      </c>
      <c r="K2449" s="1" t="str">
        <f>"2026-07-29 14:21:22"</f>
        <v>2026-07-29 14:21:22</v>
      </c>
      <c r="L2449" s="1" t="str">
        <f>"2023-12-03 12:08:12"</f>
        <v>2023-12-03 12:08:12</v>
      </c>
      <c r="M2449" s="1" t="s">
        <v>45</v>
      </c>
      <c r="N2449" s="1" t="s">
        <v>38</v>
      </c>
      <c r="O2449" s="1" t="s">
        <v>46</v>
      </c>
    </row>
    <row r="2450" spans="2:15" x14ac:dyDescent="0.3">
      <c r="B2450" s="1" t="s">
        <v>24</v>
      </c>
      <c r="C2450" s="1" t="str">
        <f t="shared" si="143"/>
        <v>5-2차</v>
      </c>
      <c r="D2450" s="1" t="str">
        <f>"0427S7625M"</f>
        <v>0427S7625M</v>
      </c>
      <c r="E2450" s="1" t="s">
        <v>10</v>
      </c>
      <c r="F2450" s="1" t="str">
        <f>"fde3:102:1430:6100:0:0:0:24"</f>
        <v>fde3:102:1430:6100:0:0:0:24</v>
      </c>
      <c r="G2450" s="1" t="str">
        <f>"0427S762"</f>
        <v>0427S762</v>
      </c>
      <c r="H2450" s="1" t="str">
        <f>"면목간 88R1"</f>
        <v>면목간 88R1</v>
      </c>
      <c r="I2450" s="1" t="s">
        <v>15</v>
      </c>
      <c r="J2450" s="1" t="str">
        <f>"49/49"</f>
        <v>49/49</v>
      </c>
      <c r="K2450" s="1" t="str">
        <f>"2026-07-29 14:20:59"</f>
        <v>2026-07-29 14:20:59</v>
      </c>
      <c r="L2450" s="1" t="str">
        <f>"2024-01-05 10:13:44"</f>
        <v>2024-01-05 10:13:44</v>
      </c>
      <c r="M2450" s="1" t="s">
        <v>45</v>
      </c>
      <c r="N2450" s="1" t="s">
        <v>38</v>
      </c>
      <c r="O2450" s="1" t="s">
        <v>46</v>
      </c>
    </row>
    <row r="2451" spans="2:15" x14ac:dyDescent="0.3">
      <c r="B2451" s="1" t="s">
        <v>24</v>
      </c>
      <c r="C2451" s="1" t="str">
        <f t="shared" si="143"/>
        <v>5-2차</v>
      </c>
      <c r="D2451" s="1" t="str">
        <f>"0427S7815M"</f>
        <v>0427S7815M</v>
      </c>
      <c r="E2451" s="1" t="s">
        <v>10</v>
      </c>
      <c r="F2451" s="1" t="str">
        <f>"fde1:103:4:93d5:0:0:0:2"</f>
        <v>fde1:103:4:93d5:0:0:0:2</v>
      </c>
      <c r="G2451" s="1" t="str">
        <f>"0427S781"</f>
        <v>0427S781</v>
      </c>
      <c r="H2451" s="1" t="str">
        <f>"면목간 90L1H1"</f>
        <v>면목간 90L1H1</v>
      </c>
      <c r="I2451" s="1" t="s">
        <v>15</v>
      </c>
      <c r="J2451" s="1" t="str">
        <f>"148/148"</f>
        <v>148/148</v>
      </c>
      <c r="K2451" s="1" t="str">
        <f>"2026-07-29 14:21:23"</f>
        <v>2026-07-29 14:21:23</v>
      </c>
      <c r="L2451" s="1" t="str">
        <f>"2023-12-19 13:47:38"</f>
        <v>2023-12-19 13:47:38</v>
      </c>
      <c r="M2451" s="1" t="s">
        <v>4</v>
      </c>
      <c r="N2451" s="1" t="s">
        <v>38</v>
      </c>
      <c r="O2451" s="1" t="s">
        <v>46</v>
      </c>
    </row>
    <row r="2452" spans="2:15" x14ac:dyDescent="0.3">
      <c r="B2452" s="1" t="s">
        <v>24</v>
      </c>
      <c r="C2452" s="1" t="str">
        <f t="shared" si="143"/>
        <v>5-2차</v>
      </c>
      <c r="D2452" s="1" t="str">
        <f>"0427S7915M"</f>
        <v>0427S7915M</v>
      </c>
      <c r="E2452" s="1" t="s">
        <v>10</v>
      </c>
      <c r="F2452" s="1" t="str">
        <f>"fde1:103:4:9331:0:0:0:2"</f>
        <v>fde1:103:4:9331:0:0:0:2</v>
      </c>
      <c r="G2452" s="1" t="str">
        <f>"0427S791"</f>
        <v>0427S791</v>
      </c>
      <c r="H2452" s="1" t="str">
        <f>"면목간 92"</f>
        <v>면목간 92</v>
      </c>
      <c r="I2452" s="1" t="s">
        <v>15</v>
      </c>
      <c r="J2452" s="1" t="str">
        <f>"45/46"</f>
        <v>45/46</v>
      </c>
      <c r="K2452" s="1" t="str">
        <f>"2026-07-29 14:20:59"</f>
        <v>2026-07-29 14:20:59</v>
      </c>
      <c r="L2452" s="1" t="str">
        <f>"2023-12-19 14:22:39"</f>
        <v>2023-12-19 14:22:39</v>
      </c>
      <c r="M2452" s="1" t="s">
        <v>4</v>
      </c>
      <c r="N2452" s="1" t="s">
        <v>38</v>
      </c>
      <c r="O2452" s="1" t="s">
        <v>46</v>
      </c>
    </row>
    <row r="2453" spans="2:15" x14ac:dyDescent="0.3">
      <c r="B2453" s="1" t="s">
        <v>24</v>
      </c>
      <c r="C2453" s="1" t="str">
        <f t="shared" si="143"/>
        <v>5-2차</v>
      </c>
      <c r="D2453" s="1" t="str">
        <f>"0427S8245M"</f>
        <v>0427S8245M</v>
      </c>
      <c r="E2453" s="1" t="s">
        <v>10</v>
      </c>
      <c r="F2453" s="1" t="str">
        <f>"fde1:103:4:93e3:0:0:0:2"</f>
        <v>fde1:103:4:93e3:0:0:0:2</v>
      </c>
      <c r="G2453" s="1" t="str">
        <f>"0427S824"</f>
        <v>0427S824</v>
      </c>
      <c r="H2453" s="1" t="str">
        <f>"사가정지 17"</f>
        <v>사가정지 17</v>
      </c>
      <c r="I2453" s="1" t="s">
        <v>15</v>
      </c>
      <c r="J2453" s="1" t="str">
        <f>"92/92"</f>
        <v>92/92</v>
      </c>
      <c r="K2453" s="1" t="str">
        <f>"2026-07-29 14:21:14"</f>
        <v>2026-07-29 14:21:14</v>
      </c>
      <c r="L2453" s="1" t="str">
        <f>"2023-12-19 14:23:09"</f>
        <v>2023-12-19 14:23:09</v>
      </c>
      <c r="M2453" s="1" t="s">
        <v>4</v>
      </c>
      <c r="N2453" s="1" t="s">
        <v>38</v>
      </c>
      <c r="O2453" s="1" t="s">
        <v>46</v>
      </c>
    </row>
    <row r="2454" spans="2:15" x14ac:dyDescent="0.3">
      <c r="B2454" s="1" t="s">
        <v>24</v>
      </c>
      <c r="C2454" s="1" t="str">
        <f>"5-1차"</f>
        <v>5-1차</v>
      </c>
      <c r="D2454" s="1" t="str">
        <f>"0427S8315M"</f>
        <v>0427S8315M</v>
      </c>
      <c r="E2454" s="1" t="s">
        <v>10</v>
      </c>
      <c r="F2454" s="1" t="str">
        <f>"fde3:102:1430:6100:0:0:0:6"</f>
        <v>fde3:102:1430:6100:0:0:0:6</v>
      </c>
      <c r="G2454" s="1" t="str">
        <f>"0427S831"</f>
        <v>0427S831</v>
      </c>
      <c r="H2454" s="1" t="str">
        <f>"면목간 82"</f>
        <v>면목간 82</v>
      </c>
      <c r="I2454" s="1" t="s">
        <v>15</v>
      </c>
      <c r="J2454" s="1" t="str">
        <f>"55/70"</f>
        <v>55/70</v>
      </c>
      <c r="K2454" s="1" t="str">
        <f>"2026-07-29 14:21:14"</f>
        <v>2026-07-29 14:21:14</v>
      </c>
      <c r="L2454" s="1" t="str">
        <f>"2022-11-23 09:56:40"</f>
        <v>2022-11-23 09:56:40</v>
      </c>
      <c r="M2454" s="1" t="s">
        <v>45</v>
      </c>
      <c r="N2454" s="1" t="s">
        <v>38</v>
      </c>
      <c r="O2454" s="1" t="s">
        <v>46</v>
      </c>
    </row>
    <row r="2455" spans="2:15" x14ac:dyDescent="0.3">
      <c r="B2455" s="1" t="s">
        <v>24</v>
      </c>
      <c r="C2455" s="1" t="str">
        <f t="shared" ref="C2455:C2483" si="144">"5-2차"</f>
        <v>5-2차</v>
      </c>
      <c r="D2455" s="1" t="str">
        <f>"0427S8515M"</f>
        <v>0427S8515M</v>
      </c>
      <c r="E2455" s="1" t="s">
        <v>10</v>
      </c>
      <c r="F2455" s="1" t="str">
        <f>"fde1:103:4:9247:0:0:0:2"</f>
        <v>fde1:103:4:9247:0:0:0:2</v>
      </c>
      <c r="G2455" s="1" t="str">
        <f>"0427S851"</f>
        <v>0427S851</v>
      </c>
      <c r="H2455" s="1" t="str">
        <f>"면목간 88R4"</f>
        <v>면목간 88R4</v>
      </c>
      <c r="I2455" s="1" t="s">
        <v>15</v>
      </c>
      <c r="J2455" s="1" t="str">
        <f>"46/46"</f>
        <v>46/46</v>
      </c>
      <c r="K2455" s="1" t="str">
        <f>"2026-07-29 14:21:14"</f>
        <v>2026-07-29 14:21:14</v>
      </c>
      <c r="L2455" s="1" t="str">
        <f>"2023-12-27 09:24:58"</f>
        <v>2023-12-27 09:24:58</v>
      </c>
      <c r="M2455" s="1" t="s">
        <v>4</v>
      </c>
      <c r="N2455" s="1" t="s">
        <v>38</v>
      </c>
      <c r="O2455" s="1" t="s">
        <v>46</v>
      </c>
    </row>
    <row r="2456" spans="2:15" x14ac:dyDescent="0.3">
      <c r="B2456" s="1" t="s">
        <v>24</v>
      </c>
      <c r="C2456" s="1" t="str">
        <f t="shared" si="144"/>
        <v>5-2차</v>
      </c>
      <c r="D2456" s="1" t="str">
        <f>"0427S8615M"</f>
        <v>0427S8615M</v>
      </c>
      <c r="E2456" s="1" t="s">
        <v>10</v>
      </c>
      <c r="F2456" s="1" t="str">
        <f>"fde3:102:1430:6100:0:0:0:31"</f>
        <v>fde3:102:1430:6100:0:0:0:31</v>
      </c>
      <c r="G2456" s="1" t="str">
        <f>"0427S861"</f>
        <v>0427S861</v>
      </c>
      <c r="H2456" s="1" t="str">
        <f>"면목간 88R2"</f>
        <v>면목간 88R2</v>
      </c>
      <c r="I2456" s="1" t="s">
        <v>15</v>
      </c>
      <c r="J2456" s="1" t="str">
        <f>"68/69"</f>
        <v>68/69</v>
      </c>
      <c r="K2456" s="1" t="str">
        <f>"2026-07-29 14:21:13"</f>
        <v>2026-07-29 14:21:13</v>
      </c>
      <c r="L2456" s="1" t="str">
        <f>"2024-01-05 10:31:31"</f>
        <v>2024-01-05 10:31:31</v>
      </c>
      <c r="M2456" s="1" t="s">
        <v>45</v>
      </c>
      <c r="N2456" s="1" t="s">
        <v>38</v>
      </c>
      <c r="O2456" s="1" t="s">
        <v>46</v>
      </c>
    </row>
    <row r="2457" spans="2:15" x14ac:dyDescent="0.3">
      <c r="B2457" s="1" t="s">
        <v>24</v>
      </c>
      <c r="C2457" s="1" t="str">
        <f t="shared" si="144"/>
        <v>5-2차</v>
      </c>
      <c r="D2457" s="1" t="str">
        <f>"0427S8915M"</f>
        <v>0427S8915M</v>
      </c>
      <c r="E2457" s="1" t="s">
        <v>10</v>
      </c>
      <c r="F2457" s="1" t="str">
        <f>"fde1:103:4:92d0:0:0:0:2"</f>
        <v>fde1:103:4:92d0:0:0:0:2</v>
      </c>
      <c r="G2457" s="1" t="str">
        <f>"0427S891"</f>
        <v>0427S891</v>
      </c>
      <c r="H2457" s="1" t="str">
        <f>"면목간 92R2"</f>
        <v>면목간 92R2</v>
      </c>
      <c r="I2457" s="1" t="s">
        <v>15</v>
      </c>
      <c r="J2457" s="1" t="str">
        <f>"59/59"</f>
        <v>59/59</v>
      </c>
      <c r="K2457" s="1" t="str">
        <f>"2026-07-29 08:21:01"</f>
        <v>2026-07-29 08:21:01</v>
      </c>
      <c r="L2457" s="1" t="str">
        <f>"2023-12-27 09:25:30"</f>
        <v>2023-12-27 09:25:30</v>
      </c>
      <c r="M2457" s="1" t="s">
        <v>4</v>
      </c>
      <c r="N2457" s="1" t="s">
        <v>38</v>
      </c>
      <c r="O2457" s="1" t="s">
        <v>46</v>
      </c>
    </row>
    <row r="2458" spans="2:15" x14ac:dyDescent="0.3">
      <c r="B2458" s="1" t="s">
        <v>24</v>
      </c>
      <c r="C2458" s="1" t="str">
        <f t="shared" si="144"/>
        <v>5-2차</v>
      </c>
      <c r="D2458" s="1" t="str">
        <f>"0427S9515M"</f>
        <v>0427S9515M</v>
      </c>
      <c r="E2458" s="1" t="s">
        <v>10</v>
      </c>
      <c r="F2458" s="1" t="str">
        <f>"fde1:103:4:93e1:0:0:0:2"</f>
        <v>fde1:103:4:93e1:0:0:0:2</v>
      </c>
      <c r="G2458" s="1" t="str">
        <f>"0427S951"</f>
        <v>0427S951</v>
      </c>
      <c r="H2458" s="1" t="str">
        <f>"면목간 92R3R4"</f>
        <v>면목간 92R3R4</v>
      </c>
      <c r="I2458" s="1" t="s">
        <v>15</v>
      </c>
      <c r="J2458" s="1" t="str">
        <f>"58/58"</f>
        <v>58/58</v>
      </c>
      <c r="K2458" s="1" t="str">
        <f>"2026-07-29 14:20:59"</f>
        <v>2026-07-29 14:20:59</v>
      </c>
      <c r="L2458" s="1" t="str">
        <f>"2023-12-19 14:23:36"</f>
        <v>2023-12-19 14:23:36</v>
      </c>
      <c r="M2458" s="1" t="s">
        <v>4</v>
      </c>
      <c r="N2458" s="1" t="s">
        <v>38</v>
      </c>
      <c r="O2458" s="1" t="s">
        <v>46</v>
      </c>
    </row>
    <row r="2459" spans="2:15" x14ac:dyDescent="0.3">
      <c r="B2459" s="1" t="s">
        <v>24</v>
      </c>
      <c r="C2459" s="1" t="str">
        <f t="shared" si="144"/>
        <v>5-2차</v>
      </c>
      <c r="D2459" s="1" t="str">
        <f>"0427S9525M"</f>
        <v>0427S9525M</v>
      </c>
      <c r="E2459" s="1" t="s">
        <v>10</v>
      </c>
      <c r="F2459" s="1" t="str">
        <f>"fde1:103:4:924b:0:0:0:2"</f>
        <v>fde1:103:4:924b:0:0:0:2</v>
      </c>
      <c r="G2459" s="1" t="str">
        <f>"0427S952"</f>
        <v>0427S952</v>
      </c>
      <c r="H2459" s="1" t="str">
        <f>"면목간 92R3R5"</f>
        <v>면목간 92R3R5</v>
      </c>
      <c r="I2459" s="1" t="s">
        <v>15</v>
      </c>
      <c r="J2459" s="1" t="str">
        <f>"73/73"</f>
        <v>73/73</v>
      </c>
      <c r="K2459" s="1" t="str">
        <f>"2026-07-29 14:20:57"</f>
        <v>2026-07-29 14:20:57</v>
      </c>
      <c r="L2459" s="1" t="str">
        <f>"2023-12-27 09:25:59"</f>
        <v>2023-12-27 09:25:59</v>
      </c>
      <c r="M2459" s="1" t="s">
        <v>4</v>
      </c>
      <c r="N2459" s="1" t="s">
        <v>38</v>
      </c>
      <c r="O2459" s="1" t="s">
        <v>46</v>
      </c>
    </row>
    <row r="2460" spans="2:15" x14ac:dyDescent="0.3">
      <c r="B2460" s="1" t="s">
        <v>24</v>
      </c>
      <c r="C2460" s="1" t="str">
        <f t="shared" si="144"/>
        <v>5-2차</v>
      </c>
      <c r="D2460" s="1" t="str">
        <f>"0427S9715S"</f>
        <v>0427S9715S</v>
      </c>
      <c r="E2460" s="1" t="s">
        <v>10</v>
      </c>
      <c r="F2460" s="1" t="str">
        <f>"fde3:102:1430:6100:0:0:0:1c"</f>
        <v>fde3:102:1430:6100:0:0:0:1c</v>
      </c>
      <c r="G2460" s="1" t="str">
        <f>"0427S971"</f>
        <v>0427S971</v>
      </c>
      <c r="H2460" s="1" t="str">
        <f>"면목간 92R3R2"</f>
        <v>면목간 92R3R2</v>
      </c>
      <c r="I2460" s="1" t="s">
        <v>15</v>
      </c>
      <c r="J2460" s="1" t="str">
        <f>"61/61"</f>
        <v>61/61</v>
      </c>
      <c r="K2460" s="1" t="str">
        <f>"2026-07-29 14:21:14"</f>
        <v>2026-07-29 14:21:14</v>
      </c>
      <c r="L2460" s="1" t="str">
        <f>"2024-01-05 10:00:21"</f>
        <v>2024-01-05 10:00:21</v>
      </c>
      <c r="M2460" s="1" t="s">
        <v>45</v>
      </c>
      <c r="N2460" s="1" t="s">
        <v>38</v>
      </c>
      <c r="O2460" s="1" t="s">
        <v>46</v>
      </c>
    </row>
    <row r="2461" spans="2:15" x14ac:dyDescent="0.3">
      <c r="B2461" s="1" t="s">
        <v>24</v>
      </c>
      <c r="C2461" s="1" t="str">
        <f t="shared" si="144"/>
        <v>5-2차</v>
      </c>
      <c r="D2461" s="1" t="str">
        <f>"0427S9825M"</f>
        <v>0427S9825M</v>
      </c>
      <c r="E2461" s="1" t="s">
        <v>10</v>
      </c>
      <c r="F2461" s="1" t="str">
        <f>"fde1:103:4:9397:0:0:0:2"</f>
        <v>fde1:103:4:9397:0:0:0:2</v>
      </c>
      <c r="G2461" s="1" t="str">
        <f>"0427S982"</f>
        <v>0427S982</v>
      </c>
      <c r="H2461" s="1" t="str">
        <f>"면목간 92R3R1"</f>
        <v>면목간 92R3R1</v>
      </c>
      <c r="I2461" s="1" t="s">
        <v>15</v>
      </c>
      <c r="J2461" s="1" t="str">
        <f>"73/73"</f>
        <v>73/73</v>
      </c>
      <c r="K2461" s="1" t="str">
        <f>"2026-07-29 14:21:14"</f>
        <v>2026-07-29 14:21:14</v>
      </c>
      <c r="L2461" s="1" t="str">
        <f>"2023-12-19 14:24:15"</f>
        <v>2023-12-19 14:24:15</v>
      </c>
      <c r="M2461" s="1" t="s">
        <v>4</v>
      </c>
      <c r="N2461" s="1" t="s">
        <v>38</v>
      </c>
      <c r="O2461" s="1" t="s">
        <v>46</v>
      </c>
    </row>
    <row r="2462" spans="2:15" x14ac:dyDescent="0.3">
      <c r="B2462" s="1" t="s">
        <v>24</v>
      </c>
      <c r="C2462" s="1" t="str">
        <f t="shared" si="144"/>
        <v>5-2차</v>
      </c>
      <c r="D2462" s="1" t="str">
        <f>"0427S9915M"</f>
        <v>0427S9915M</v>
      </c>
      <c r="E2462" s="1" t="s">
        <v>10</v>
      </c>
      <c r="F2462" s="1" t="str">
        <f>"fde1:103:4:93eb:0:0:0:2"</f>
        <v>fde1:103:4:93eb:0:0:0:2</v>
      </c>
      <c r="G2462" s="1" t="str">
        <f>"0427S991"</f>
        <v>0427S991</v>
      </c>
      <c r="H2462" s="1" t="str">
        <f>"면목간 92R3"</f>
        <v>면목간 92R3</v>
      </c>
      <c r="I2462" s="1" t="s">
        <v>15</v>
      </c>
      <c r="J2462" s="1" t="str">
        <f>"31/31"</f>
        <v>31/31</v>
      </c>
      <c r="K2462" s="1" t="str">
        <f>"2026-07-29 14:21:15"</f>
        <v>2026-07-29 14:21:15</v>
      </c>
      <c r="L2462" s="1" t="str">
        <f>"2023-12-19 14:24:44"</f>
        <v>2023-12-19 14:24:44</v>
      </c>
      <c r="M2462" s="1" t="s">
        <v>4</v>
      </c>
      <c r="N2462" s="1" t="s">
        <v>38</v>
      </c>
      <c r="O2462" s="1" t="s">
        <v>46</v>
      </c>
    </row>
    <row r="2463" spans="2:15" x14ac:dyDescent="0.3">
      <c r="B2463" s="1" t="s">
        <v>24</v>
      </c>
      <c r="C2463" s="1" t="str">
        <f t="shared" si="144"/>
        <v>5-2차</v>
      </c>
      <c r="D2463" s="1" t="str">
        <f>"0427W0015S"</f>
        <v>0427W0015S</v>
      </c>
      <c r="E2463" s="1" t="s">
        <v>10</v>
      </c>
      <c r="F2463" s="1" t="str">
        <f>"fde3:102:1430:9800:0:0:0:b"</f>
        <v>fde3:102:1430:9800:0:0:0:b</v>
      </c>
      <c r="G2463" s="1" t="str">
        <f>"0427W001"</f>
        <v>0427W001</v>
      </c>
      <c r="H2463" s="1" t="str">
        <f>"면목간 98"</f>
        <v>면목간 98</v>
      </c>
      <c r="I2463" s="1" t="s">
        <v>15</v>
      </c>
      <c r="J2463" s="1" t="str">
        <f>"27/27"</f>
        <v>27/27</v>
      </c>
      <c r="K2463" s="1" t="str">
        <f>"2026-07-29 14:21:14"</f>
        <v>2026-07-29 14:21:14</v>
      </c>
      <c r="L2463" s="1" t="str">
        <f>"2023-12-05 10:01:36"</f>
        <v>2023-12-05 10:01:36</v>
      </c>
      <c r="M2463" s="1" t="s">
        <v>45</v>
      </c>
      <c r="N2463" s="1" t="s">
        <v>38</v>
      </c>
      <c r="O2463" s="1" t="s">
        <v>46</v>
      </c>
    </row>
    <row r="2464" spans="2:15" x14ac:dyDescent="0.3">
      <c r="B2464" s="1" t="s">
        <v>24</v>
      </c>
      <c r="C2464" s="1" t="str">
        <f t="shared" si="144"/>
        <v>5-2차</v>
      </c>
      <c r="D2464" s="1" t="str">
        <f>"0427W0115M"</f>
        <v>0427W0115M</v>
      </c>
      <c r="E2464" s="1" t="s">
        <v>10</v>
      </c>
      <c r="F2464" s="1" t="str">
        <f>"fde3:102:1430:9800:0:0:0:8"</f>
        <v>fde3:102:1430:9800:0:0:0:8</v>
      </c>
      <c r="G2464" s="1" t="str">
        <f>"0427W011"</f>
        <v>0427W011</v>
      </c>
      <c r="H2464" s="1" t="str">
        <f>"면목간 93L2R4"</f>
        <v>면목간 93L2R4</v>
      </c>
      <c r="I2464" s="1" t="s">
        <v>15</v>
      </c>
      <c r="J2464" s="1" t="str">
        <f>"68/68"</f>
        <v>68/68</v>
      </c>
      <c r="K2464" s="1" t="str">
        <f>"2026-07-29 14:20:56"</f>
        <v>2026-07-29 14:20:56</v>
      </c>
      <c r="L2464" s="1" t="str">
        <f>"2023-11-30 14:40:20"</f>
        <v>2023-11-30 14:40:20</v>
      </c>
      <c r="M2464" s="1" t="s">
        <v>45</v>
      </c>
      <c r="N2464" s="1" t="s">
        <v>38</v>
      </c>
      <c r="O2464" s="1" t="s">
        <v>46</v>
      </c>
    </row>
    <row r="2465" spans="2:15" x14ac:dyDescent="0.3">
      <c r="B2465" s="1" t="s">
        <v>24</v>
      </c>
      <c r="C2465" s="1" t="str">
        <f t="shared" si="144"/>
        <v>5-2차</v>
      </c>
      <c r="D2465" s="1" t="str">
        <f>"0427W0215M"</f>
        <v>0427W0215M</v>
      </c>
      <c r="E2465" s="1" t="s">
        <v>10</v>
      </c>
      <c r="F2465" s="1" t="str">
        <f>"fde1:103:4:9333:0:0:0:2"</f>
        <v>fde1:103:4:9333:0:0:0:2</v>
      </c>
      <c r="G2465" s="1" t="str">
        <f>"0427W021"</f>
        <v>0427W021</v>
      </c>
      <c r="H2465" s="1" t="str">
        <f>"면목간 93L4R5"</f>
        <v>면목간 93L4R5</v>
      </c>
      <c r="I2465" s="1" t="s">
        <v>15</v>
      </c>
      <c r="J2465" s="1" t="str">
        <f>"77/77"</f>
        <v>77/77</v>
      </c>
      <c r="K2465" s="1" t="str">
        <f>"2026-07-29 14:21:00"</f>
        <v>2026-07-29 14:21:00</v>
      </c>
      <c r="L2465" s="1" t="str">
        <f>"2023-12-19 14:44:27"</f>
        <v>2023-12-19 14:44:27</v>
      </c>
      <c r="M2465" s="1" t="s">
        <v>4</v>
      </c>
      <c r="N2465" s="1" t="s">
        <v>38</v>
      </c>
      <c r="O2465" s="1" t="s">
        <v>46</v>
      </c>
    </row>
    <row r="2466" spans="2:15" x14ac:dyDescent="0.3">
      <c r="B2466" s="1" t="s">
        <v>24</v>
      </c>
      <c r="C2466" s="1" t="str">
        <f t="shared" si="144"/>
        <v>5-2차</v>
      </c>
      <c r="D2466" s="1" t="str">
        <f>"0427W0345M"</f>
        <v>0427W0345M</v>
      </c>
      <c r="E2466" s="1" t="s">
        <v>10</v>
      </c>
      <c r="F2466" s="1" t="str">
        <f>"fde1:103:4:9332:0:0:0:2"</f>
        <v>fde1:103:4:9332:0:0:0:2</v>
      </c>
      <c r="G2466" s="1" t="str">
        <f>"0427W034"</f>
        <v>0427W034</v>
      </c>
      <c r="H2466" s="1" t="str">
        <f>"면목간 93L10"</f>
        <v>면목간 93L10</v>
      </c>
      <c r="I2466" s="1" t="s">
        <v>15</v>
      </c>
      <c r="J2466" s="1" t="str">
        <f>"53/53"</f>
        <v>53/53</v>
      </c>
      <c r="K2466" s="1" t="str">
        <f>"2026-07-29 02:21:40"</f>
        <v>2026-07-29 02:21:40</v>
      </c>
      <c r="L2466" s="1" t="str">
        <f>"2023-12-19 14:44:56"</f>
        <v>2023-12-19 14:44:56</v>
      </c>
      <c r="M2466" s="1" t="s">
        <v>4</v>
      </c>
      <c r="N2466" s="1" t="s">
        <v>38</v>
      </c>
      <c r="O2466" s="1" t="s">
        <v>46</v>
      </c>
    </row>
    <row r="2467" spans="2:15" x14ac:dyDescent="0.3">
      <c r="B2467" s="1" t="s">
        <v>24</v>
      </c>
      <c r="C2467" s="1" t="str">
        <f t="shared" si="144"/>
        <v>5-2차</v>
      </c>
      <c r="D2467" s="1" t="str">
        <f>"0427W0415M"</f>
        <v>0427W0415M</v>
      </c>
      <c r="E2467" s="1" t="s">
        <v>10</v>
      </c>
      <c r="F2467" s="1" t="str">
        <f>"fde3:102:1430:9900:0:0:0:3"</f>
        <v>fde3:102:1430:9900:0:0:0:3</v>
      </c>
      <c r="G2467" s="1" t="str">
        <f>"0427W041"</f>
        <v>0427W041</v>
      </c>
      <c r="H2467" s="1" t="str">
        <f>"휘창간 1L23"</f>
        <v>휘창간 1L23</v>
      </c>
      <c r="I2467" s="1" t="s">
        <v>15</v>
      </c>
      <c r="J2467" s="1" t="str">
        <f>"82/82"</f>
        <v>82/82</v>
      </c>
      <c r="K2467" s="1" t="str">
        <f>"2026-07-29 14:21:00"</f>
        <v>2026-07-29 14:21:00</v>
      </c>
      <c r="L2467" s="1" t="str">
        <f>"2023-12-02 12:53:18"</f>
        <v>2023-12-02 12:53:18</v>
      </c>
      <c r="M2467" s="1" t="s">
        <v>45</v>
      </c>
      <c r="N2467" s="1" t="s">
        <v>38</v>
      </c>
      <c r="O2467" s="1" t="s">
        <v>46</v>
      </c>
    </row>
    <row r="2468" spans="2:15" x14ac:dyDescent="0.3">
      <c r="B2468" s="1" t="s">
        <v>24</v>
      </c>
      <c r="C2468" s="1" t="str">
        <f t="shared" si="144"/>
        <v>5-2차</v>
      </c>
      <c r="D2468" s="1" t="str">
        <f>"0427W0615M"</f>
        <v>0427W0615M</v>
      </c>
      <c r="E2468" s="1" t="s">
        <v>10</v>
      </c>
      <c r="F2468" s="1" t="str">
        <f>"fde3:102:1430:6300:0:0:0:e"</f>
        <v>fde3:102:1430:6300:0:0:0:e</v>
      </c>
      <c r="G2468" s="1" t="str">
        <f>"0427W061"</f>
        <v>0427W061</v>
      </c>
      <c r="H2468" s="1" t="str">
        <f>"휘창간 1L19"</f>
        <v>휘창간 1L19</v>
      </c>
      <c r="I2468" s="1" t="s">
        <v>15</v>
      </c>
      <c r="J2468" s="1" t="str">
        <f>"94/95"</f>
        <v>94/95</v>
      </c>
      <c r="K2468" s="1" t="str">
        <f>"2026-07-29 14:21:22"</f>
        <v>2026-07-29 14:21:22</v>
      </c>
      <c r="L2468" s="1" t="str">
        <f>"2024-01-03 10:06:45"</f>
        <v>2024-01-03 10:06:45</v>
      </c>
      <c r="M2468" s="1" t="s">
        <v>45</v>
      </c>
      <c r="N2468" s="1" t="s">
        <v>38</v>
      </c>
      <c r="O2468" s="1" t="s">
        <v>46</v>
      </c>
    </row>
    <row r="2469" spans="2:15" x14ac:dyDescent="0.3">
      <c r="B2469" s="1" t="s">
        <v>24</v>
      </c>
      <c r="C2469" s="1" t="str">
        <f t="shared" si="144"/>
        <v>5-2차</v>
      </c>
      <c r="D2469" s="1" t="str">
        <f>"0427W0715M"</f>
        <v>0427W0715M</v>
      </c>
      <c r="E2469" s="1" t="s">
        <v>10</v>
      </c>
      <c r="F2469" s="1" t="str">
        <f>"fde3:102:1430:6100:0:0:0:1e"</f>
        <v>fde3:102:1430:6100:0:0:0:1e</v>
      </c>
      <c r="G2469" s="1" t="str">
        <f>"0427W071"</f>
        <v>0427W071</v>
      </c>
      <c r="H2469" s="1" t="str">
        <f>"휘창간 1L18"</f>
        <v>휘창간 1L18</v>
      </c>
      <c r="I2469" s="1" t="s">
        <v>15</v>
      </c>
      <c r="J2469" s="1" t="str">
        <f>"40/40"</f>
        <v>40/40</v>
      </c>
      <c r="K2469" s="1" t="str">
        <f>"2026-07-29 14:21:07"</f>
        <v>2026-07-29 14:21:07</v>
      </c>
      <c r="L2469" s="1" t="str">
        <f>"2024-01-05 10:04:54"</f>
        <v>2024-01-05 10:04:54</v>
      </c>
      <c r="M2469" s="1" t="s">
        <v>45</v>
      </c>
      <c r="N2469" s="1" t="s">
        <v>38</v>
      </c>
      <c r="O2469" s="1" t="s">
        <v>46</v>
      </c>
    </row>
    <row r="2470" spans="2:15" x14ac:dyDescent="0.3">
      <c r="B2470" s="1" t="s">
        <v>24</v>
      </c>
      <c r="C2470" s="1" t="str">
        <f t="shared" si="144"/>
        <v>5-2차</v>
      </c>
      <c r="D2470" s="1" t="str">
        <f>"0427W0815M"</f>
        <v>0427W0815M</v>
      </c>
      <c r="E2470" s="1" t="s">
        <v>10</v>
      </c>
      <c r="F2470" s="1" t="str">
        <f>"fde3:102:1430:9900:0:0:0:4"</f>
        <v>fde3:102:1430:9900:0:0:0:4</v>
      </c>
      <c r="G2470" s="1" t="str">
        <f>"0427W081"</f>
        <v>0427W081</v>
      </c>
      <c r="H2470" s="1" t="str">
        <f>"휘창간 1L16"</f>
        <v>휘창간 1L16</v>
      </c>
      <c r="I2470" s="1" t="s">
        <v>15</v>
      </c>
      <c r="J2470" s="1" t="str">
        <f>"27/27"</f>
        <v>27/27</v>
      </c>
      <c r="K2470" s="1" t="str">
        <f>"2026-07-29 14:20:59"</f>
        <v>2026-07-29 14:20:59</v>
      </c>
      <c r="L2470" s="1" t="str">
        <f>"2023-12-02 14:02:23"</f>
        <v>2023-12-02 14:02:23</v>
      </c>
      <c r="M2470" s="1" t="s">
        <v>45</v>
      </c>
      <c r="N2470" s="1" t="s">
        <v>38</v>
      </c>
      <c r="O2470" s="1" t="s">
        <v>46</v>
      </c>
    </row>
    <row r="2471" spans="2:15" x14ac:dyDescent="0.3">
      <c r="B2471" s="1" t="s">
        <v>24</v>
      </c>
      <c r="C2471" s="1" t="str">
        <f t="shared" si="144"/>
        <v>5-2차</v>
      </c>
      <c r="D2471" s="1" t="str">
        <f>"0427W0825S"</f>
        <v>0427W0825S</v>
      </c>
      <c r="E2471" s="1" t="s">
        <v>10</v>
      </c>
      <c r="F2471" s="1" t="str">
        <f>"fde1:103:4:91d6:0:0:0:2"</f>
        <v>fde1:103:4:91d6:0:0:0:2</v>
      </c>
      <c r="G2471" s="1" t="str">
        <f>"0427W082"</f>
        <v>0427W082</v>
      </c>
      <c r="H2471" s="1" t="str">
        <f>"휘창간 1L17"</f>
        <v>휘창간 1L17</v>
      </c>
      <c r="I2471" s="1" t="s">
        <v>15</v>
      </c>
      <c r="J2471" s="1" t="str">
        <f>"55/55"</f>
        <v>55/55</v>
      </c>
      <c r="K2471" s="1" t="str">
        <f>"2026-07-29 14:20:59"</f>
        <v>2026-07-29 14:20:59</v>
      </c>
      <c r="L2471" s="1" t="str">
        <f>"2024-01-15 17:43:47"</f>
        <v>2024-01-15 17:43:47</v>
      </c>
      <c r="M2471" s="1" t="s">
        <v>4</v>
      </c>
      <c r="N2471" s="1" t="s">
        <v>38</v>
      </c>
      <c r="O2471" s="1" t="s">
        <v>46</v>
      </c>
    </row>
    <row r="2472" spans="2:15" x14ac:dyDescent="0.3">
      <c r="B2472" s="1" t="s">
        <v>24</v>
      </c>
      <c r="C2472" s="1" t="str">
        <f t="shared" si="144"/>
        <v>5-2차</v>
      </c>
      <c r="D2472" s="1" t="str">
        <f>"0427W0915M"</f>
        <v>0427W0915M</v>
      </c>
      <c r="E2472" s="1" t="s">
        <v>10</v>
      </c>
      <c r="F2472" s="1" t="str">
        <f>"fde1:103:4:93f0:0:0:0:2"</f>
        <v>fde1:103:4:93f0:0:0:0:2</v>
      </c>
      <c r="G2472" s="1" t="str">
        <f>"0427W091"</f>
        <v>0427W091</v>
      </c>
      <c r="H2472" s="1" t="str">
        <f>"휘창간 1L15"</f>
        <v>휘창간 1L15</v>
      </c>
      <c r="I2472" s="1" t="s">
        <v>15</v>
      </c>
      <c r="J2472" s="1" t="str">
        <f>"62/63"</f>
        <v>62/63</v>
      </c>
      <c r="K2472" s="1" t="str">
        <f>"2026-07-29 14:20:59"</f>
        <v>2026-07-29 14:20:59</v>
      </c>
      <c r="L2472" s="1" t="str">
        <f>"2023-12-19 14:45:28"</f>
        <v>2023-12-19 14:45:28</v>
      </c>
      <c r="M2472" s="1" t="s">
        <v>4</v>
      </c>
      <c r="N2472" s="1" t="s">
        <v>38</v>
      </c>
      <c r="O2472" s="1" t="s">
        <v>46</v>
      </c>
    </row>
    <row r="2473" spans="2:15" x14ac:dyDescent="0.3">
      <c r="B2473" s="1" t="s">
        <v>24</v>
      </c>
      <c r="C2473" s="1" t="str">
        <f t="shared" si="144"/>
        <v>5-2차</v>
      </c>
      <c r="D2473" s="1" t="str">
        <f>"0427W1015M"</f>
        <v>0427W1015M</v>
      </c>
      <c r="E2473" s="1" t="s">
        <v>10</v>
      </c>
      <c r="F2473" s="1" t="str">
        <f>"fde3:102:1430:9800:0:0:0:f"</f>
        <v>fde3:102:1430:9800:0:0:0:f</v>
      </c>
      <c r="G2473" s="1" t="str">
        <f>"0427W101"</f>
        <v>0427W101</v>
      </c>
      <c r="H2473" s="1" t="str">
        <f>"면목간 99"</f>
        <v>면목간 99</v>
      </c>
      <c r="I2473" s="1" t="s">
        <v>15</v>
      </c>
      <c r="J2473" s="1" t="str">
        <f>"72/72"</f>
        <v>72/72</v>
      </c>
      <c r="K2473" s="1" t="str">
        <f>"2026-07-29 14:21:14"</f>
        <v>2026-07-29 14:21:14</v>
      </c>
      <c r="L2473" s="1" t="str">
        <f>"2023-12-02 16:39:09"</f>
        <v>2023-12-02 16:39:09</v>
      </c>
      <c r="M2473" s="1" t="s">
        <v>45</v>
      </c>
      <c r="N2473" s="1" t="s">
        <v>38</v>
      </c>
      <c r="O2473" s="1" t="s">
        <v>46</v>
      </c>
    </row>
    <row r="2474" spans="2:15" x14ac:dyDescent="0.3">
      <c r="B2474" s="1" t="s">
        <v>24</v>
      </c>
      <c r="C2474" s="1" t="str">
        <f t="shared" si="144"/>
        <v>5-2차</v>
      </c>
      <c r="D2474" s="1" t="str">
        <f>"0427W1025M"</f>
        <v>0427W1025M</v>
      </c>
      <c r="E2474" s="1" t="s">
        <v>10</v>
      </c>
      <c r="F2474" s="1" t="str">
        <f>"fde3:102:1430:9800:0:0:0:c"</f>
        <v>fde3:102:1430:9800:0:0:0:c</v>
      </c>
      <c r="G2474" s="1" t="str">
        <f>"0427W102"</f>
        <v>0427W102</v>
      </c>
      <c r="H2474" s="1" t="str">
        <f>"면목간 100"</f>
        <v>면목간 100</v>
      </c>
      <c r="I2474" s="1" t="s">
        <v>15</v>
      </c>
      <c r="J2474" s="1" t="str">
        <f>"53/53"</f>
        <v>53/53</v>
      </c>
      <c r="K2474" s="1" t="str">
        <f>"2026-07-29 14:21:22"</f>
        <v>2026-07-29 14:21:22</v>
      </c>
      <c r="L2474" s="1" t="str">
        <f>"2023-12-08 14:11:30"</f>
        <v>2023-12-08 14:11:30</v>
      </c>
      <c r="M2474" s="1" t="s">
        <v>45</v>
      </c>
      <c r="N2474" s="1" t="s">
        <v>38</v>
      </c>
      <c r="O2474" s="1" t="s">
        <v>46</v>
      </c>
    </row>
    <row r="2475" spans="2:15" x14ac:dyDescent="0.3">
      <c r="B2475" s="1" t="s">
        <v>24</v>
      </c>
      <c r="C2475" s="1" t="str">
        <f t="shared" si="144"/>
        <v>5-2차</v>
      </c>
      <c r="D2475" s="1" t="str">
        <f>"0427W1215S"</f>
        <v>0427W1215S</v>
      </c>
      <c r="E2475" s="1" t="s">
        <v>10</v>
      </c>
      <c r="F2475" s="1" t="str">
        <f>"fde3:102:1430:9900:0:0:0:d"</f>
        <v>fde3:102:1430:9900:0:0:0:d</v>
      </c>
      <c r="G2475" s="1" t="str">
        <f>"0427W121"</f>
        <v>0427W121</v>
      </c>
      <c r="H2475" s="1" t="str">
        <f>"휘창간 1L38"</f>
        <v>휘창간 1L38</v>
      </c>
      <c r="I2475" s="1" t="s">
        <v>15</v>
      </c>
      <c r="J2475" s="1" t="str">
        <f>"39/39"</f>
        <v>39/39</v>
      </c>
      <c r="K2475" s="1" t="str">
        <f>"2026-07-29 14:21:07"</f>
        <v>2026-07-29 14:21:07</v>
      </c>
      <c r="L2475" s="1" t="str">
        <f>"2024-01-04 13:13:56"</f>
        <v>2024-01-04 13:13:56</v>
      </c>
      <c r="M2475" s="1" t="s">
        <v>45</v>
      </c>
      <c r="N2475" s="1" t="s">
        <v>38</v>
      </c>
      <c r="O2475" s="1" t="s">
        <v>46</v>
      </c>
    </row>
    <row r="2476" spans="2:15" x14ac:dyDescent="0.3">
      <c r="B2476" s="1" t="s">
        <v>24</v>
      </c>
      <c r="C2476" s="1" t="str">
        <f t="shared" si="144"/>
        <v>5-2차</v>
      </c>
      <c r="D2476" s="1" t="str">
        <f>"0427W1335M"</f>
        <v>0427W1335M</v>
      </c>
      <c r="E2476" s="1" t="s">
        <v>10</v>
      </c>
      <c r="F2476" s="1" t="str">
        <f>"fde3:102:1430:9900:0:0:0:6"</f>
        <v>fde3:102:1430:9900:0:0:0:6</v>
      </c>
      <c r="G2476" s="1" t="str">
        <f>"0427W133"</f>
        <v>0427W133</v>
      </c>
      <c r="H2476" s="1" t="str">
        <f>"면목간 93L10R3"</f>
        <v>면목간 93L10R3</v>
      </c>
      <c r="I2476" s="1" t="s">
        <v>15</v>
      </c>
      <c r="J2476" s="1" t="str">
        <f>"31/31"</f>
        <v>31/31</v>
      </c>
      <c r="K2476" s="1" t="str">
        <f>"2026-07-29 14:21:19"</f>
        <v>2026-07-29 14:21:19</v>
      </c>
      <c r="L2476" s="1" t="str">
        <f>"2023-12-02 11:27:44"</f>
        <v>2023-12-02 11:27:44</v>
      </c>
      <c r="M2476" s="1" t="s">
        <v>45</v>
      </c>
      <c r="N2476" s="1" t="s">
        <v>38</v>
      </c>
      <c r="O2476" s="1" t="s">
        <v>46</v>
      </c>
    </row>
    <row r="2477" spans="2:15" x14ac:dyDescent="0.3">
      <c r="B2477" s="1" t="s">
        <v>24</v>
      </c>
      <c r="C2477" s="1" t="str">
        <f t="shared" si="144"/>
        <v>5-2차</v>
      </c>
      <c r="D2477" s="1" t="str">
        <f>"0427W1415M"</f>
        <v>0427W1415M</v>
      </c>
      <c r="E2477" s="1" t="s">
        <v>10</v>
      </c>
      <c r="F2477" s="1" t="str">
        <f>"fde3:102:1430:6100:0:0:0:20"</f>
        <v>fde3:102:1430:6100:0:0:0:20</v>
      </c>
      <c r="G2477" s="1" t="str">
        <f>"0427W141"</f>
        <v>0427W141</v>
      </c>
      <c r="H2477" s="1" t="str">
        <f>"휘창간 1L25"</f>
        <v>휘창간 1L25</v>
      </c>
      <c r="I2477" s="1" t="s">
        <v>15</v>
      </c>
      <c r="J2477" s="1" t="str">
        <f>"57/57"</f>
        <v>57/57</v>
      </c>
      <c r="K2477" s="1" t="str">
        <f>"2026-07-29 14:21:01"</f>
        <v>2026-07-29 14:21:01</v>
      </c>
      <c r="L2477" s="1" t="str">
        <f>"2024-01-05 10:07:59"</f>
        <v>2024-01-05 10:07:59</v>
      </c>
      <c r="M2477" s="1" t="s">
        <v>45</v>
      </c>
      <c r="N2477" s="1" t="s">
        <v>38</v>
      </c>
      <c r="O2477" s="1" t="s">
        <v>46</v>
      </c>
    </row>
    <row r="2478" spans="2:15" x14ac:dyDescent="0.3">
      <c r="B2478" s="1" t="s">
        <v>24</v>
      </c>
      <c r="C2478" s="1" t="str">
        <f t="shared" si="144"/>
        <v>5-2차</v>
      </c>
      <c r="D2478" s="1" t="str">
        <f>"0427W1515M"</f>
        <v>0427W1515M</v>
      </c>
      <c r="E2478" s="1" t="s">
        <v>10</v>
      </c>
      <c r="F2478" s="1" t="str">
        <f>"fde1:103:4:9132:0:0:0:2"</f>
        <v>fde1:103:4:9132:0:0:0:2</v>
      </c>
      <c r="G2478" s="1" t="str">
        <f>"0427W151"</f>
        <v>0427W151</v>
      </c>
      <c r="H2478" s="1" t="str">
        <f>"휘창간 1L31L6"</f>
        <v>휘창간 1L31L6</v>
      </c>
      <c r="I2478" s="1" t="s">
        <v>15</v>
      </c>
      <c r="J2478" s="1" t="str">
        <f>"22/22"</f>
        <v>22/22</v>
      </c>
      <c r="K2478" s="1" t="str">
        <f>"2026-07-29 14:20:59"</f>
        <v>2026-07-29 14:20:59</v>
      </c>
      <c r="L2478" s="1" t="str">
        <f>"2024-01-18 17:49:48"</f>
        <v>2024-01-18 17:49:48</v>
      </c>
      <c r="M2478" s="1" t="s">
        <v>4</v>
      </c>
      <c r="N2478" s="1" t="s">
        <v>38</v>
      </c>
      <c r="O2478" s="1" t="s">
        <v>46</v>
      </c>
    </row>
    <row r="2479" spans="2:15" x14ac:dyDescent="0.3">
      <c r="B2479" s="1" t="s">
        <v>24</v>
      </c>
      <c r="C2479" s="1" t="str">
        <f t="shared" si="144"/>
        <v>5-2차</v>
      </c>
      <c r="D2479" s="1" t="str">
        <f>"0427W1715M"</f>
        <v>0427W1715M</v>
      </c>
      <c r="E2479" s="1" t="s">
        <v>10</v>
      </c>
      <c r="F2479" s="1" t="str">
        <f>"fde1:103:4:93ea:0:0:0:2"</f>
        <v>fde1:103:4:93ea:0:0:0:2</v>
      </c>
      <c r="G2479" s="1" t="str">
        <f>"0427W171"</f>
        <v>0427W171</v>
      </c>
      <c r="H2479" s="1" t="str">
        <f>"휘창간 1L11L6R2"</f>
        <v>휘창간 1L11L6R2</v>
      </c>
      <c r="I2479" s="1" t="s">
        <v>15</v>
      </c>
      <c r="J2479" s="1" t="str">
        <f>"45/45"</f>
        <v>45/45</v>
      </c>
      <c r="K2479" s="1" t="str">
        <f>"2026-07-29 14:20:59"</f>
        <v>2026-07-29 14:20:59</v>
      </c>
      <c r="L2479" s="1" t="str">
        <f>"2023-12-19 14:45:52"</f>
        <v>2023-12-19 14:45:52</v>
      </c>
      <c r="M2479" s="1" t="s">
        <v>4</v>
      </c>
      <c r="N2479" s="1" t="s">
        <v>38</v>
      </c>
      <c r="O2479" s="1" t="s">
        <v>46</v>
      </c>
    </row>
    <row r="2480" spans="2:15" x14ac:dyDescent="0.3">
      <c r="B2480" s="1" t="s">
        <v>24</v>
      </c>
      <c r="C2480" s="1" t="str">
        <f t="shared" si="144"/>
        <v>5-2차</v>
      </c>
      <c r="D2480" s="1" t="str">
        <f>"0427W2125M"</f>
        <v>0427W2125M</v>
      </c>
      <c r="E2480" s="1" t="s">
        <v>10</v>
      </c>
      <c r="F2480" s="1" t="str">
        <f>"fde3:102:1430:9800:0:0:0:9"</f>
        <v>fde3:102:1430:9800:0:0:0:9</v>
      </c>
      <c r="G2480" s="1" t="str">
        <f>"0427W212"</f>
        <v>0427W212</v>
      </c>
      <c r="H2480" s="1" t="str">
        <f>"면목간 93L2R6"</f>
        <v>면목간 93L2R6</v>
      </c>
      <c r="I2480" s="1" t="s">
        <v>15</v>
      </c>
      <c r="J2480" s="1" t="str">
        <f>"89/89"</f>
        <v>89/89</v>
      </c>
      <c r="K2480" s="1" t="str">
        <f>"2026-07-29 14:20:59"</f>
        <v>2026-07-29 14:20:59</v>
      </c>
      <c r="L2480" s="1" t="str">
        <f>"2024-01-10 14:14:45"</f>
        <v>2024-01-10 14:14:45</v>
      </c>
      <c r="M2480" s="1" t="s">
        <v>45</v>
      </c>
      <c r="N2480" s="1" t="s">
        <v>38</v>
      </c>
      <c r="O2480" s="1" t="s">
        <v>46</v>
      </c>
    </row>
    <row r="2481" spans="2:15" x14ac:dyDescent="0.3">
      <c r="B2481" s="1" t="s">
        <v>24</v>
      </c>
      <c r="C2481" s="1" t="str">
        <f t="shared" si="144"/>
        <v>5-2차</v>
      </c>
      <c r="D2481" s="1" t="str">
        <f>"0427W2325S"</f>
        <v>0427W2325S</v>
      </c>
      <c r="E2481" s="1" t="s">
        <v>10</v>
      </c>
      <c r="F2481" s="1" t="str">
        <f>"fde3:102:1430:9900:0:0:0:e"</f>
        <v>fde3:102:1430:9900:0:0:0:e</v>
      </c>
      <c r="G2481" s="1" t="str">
        <f>"0427W232"</f>
        <v>0427W232</v>
      </c>
      <c r="H2481" s="1" t="str">
        <f>"면목간 93L10R4"</f>
        <v>면목간 93L10R4</v>
      </c>
      <c r="I2481" s="1" t="s">
        <v>15</v>
      </c>
      <c r="J2481" s="1" t="str">
        <f>"41/41"</f>
        <v>41/41</v>
      </c>
      <c r="K2481" s="1" t="str">
        <f>"2026-07-29 14:20:59"</f>
        <v>2026-07-29 14:20:59</v>
      </c>
      <c r="L2481" s="1" t="str">
        <f>"2024-01-18 11:07:02"</f>
        <v>2024-01-18 11:07:02</v>
      </c>
      <c r="M2481" s="1" t="s">
        <v>45</v>
      </c>
      <c r="N2481" s="1" t="s">
        <v>38</v>
      </c>
      <c r="O2481" s="1" t="s">
        <v>46</v>
      </c>
    </row>
    <row r="2482" spans="2:15" x14ac:dyDescent="0.3">
      <c r="B2482" s="1" t="s">
        <v>24</v>
      </c>
      <c r="C2482" s="1" t="str">
        <f t="shared" si="144"/>
        <v>5-2차</v>
      </c>
      <c r="D2482" s="1" t="str">
        <f>"0427W2355M"</f>
        <v>0427W2355M</v>
      </c>
      <c r="E2482" s="1" t="s">
        <v>12</v>
      </c>
      <c r="F2482" s="1" t="str">
        <f>"fde3:102:1430:9900:0:0:0:7"</f>
        <v>fde3:102:1430:9900:0:0:0:7</v>
      </c>
      <c r="G2482" s="1" t="str">
        <f>"0427W235"</f>
        <v>0427W235</v>
      </c>
      <c r="H2482" s="1" t="str">
        <f>"면목간 93L10R5"</f>
        <v>면목간 93L10R5</v>
      </c>
      <c r="I2482" s="1" t="s">
        <v>15</v>
      </c>
      <c r="J2482" s="1" t="str">
        <f>"0/73"</f>
        <v>0/73</v>
      </c>
      <c r="K2482" s="1" t="str">
        <f>"2026-07-21 02:20:35"</f>
        <v>2026-07-21 02:20:35</v>
      </c>
      <c r="L2482" s="1" t="str">
        <f>"2023-12-02 11:43:35"</f>
        <v>2023-12-02 11:43:35</v>
      </c>
      <c r="M2482" s="1" t="s">
        <v>45</v>
      </c>
      <c r="N2482" s="1" t="s">
        <v>38</v>
      </c>
      <c r="O2482" s="1" t="s">
        <v>46</v>
      </c>
    </row>
    <row r="2483" spans="2:15" x14ac:dyDescent="0.3">
      <c r="B2483" s="1" t="s">
        <v>24</v>
      </c>
      <c r="C2483" s="1" t="str">
        <f t="shared" si="144"/>
        <v>5-2차</v>
      </c>
      <c r="D2483" s="1" t="str">
        <f>"0427W2515S"</f>
        <v>0427W2515S</v>
      </c>
      <c r="E2483" s="1" t="s">
        <v>10</v>
      </c>
      <c r="F2483" s="1" t="str">
        <f>"fde3:102:1430:9900:0:0:0:9"</f>
        <v>fde3:102:1430:9900:0:0:0:9</v>
      </c>
      <c r="G2483" s="1" t="str">
        <f>"0427W251"</f>
        <v>0427W251</v>
      </c>
      <c r="H2483" s="1" t="str">
        <f>"휘창간 1L31L4"</f>
        <v>휘창간 1L31L4</v>
      </c>
      <c r="I2483" s="1" t="s">
        <v>15</v>
      </c>
      <c r="J2483" s="1" t="str">
        <f>"35/35"</f>
        <v>35/35</v>
      </c>
      <c r="K2483" s="1" t="str">
        <f>"2026-07-29 14:21:03"</f>
        <v>2026-07-29 14:21:03</v>
      </c>
      <c r="L2483" s="1" t="str">
        <f>"2023-12-02 12:37:21"</f>
        <v>2023-12-02 12:37:21</v>
      </c>
      <c r="M2483" s="1" t="s">
        <v>45</v>
      </c>
      <c r="N2483" s="1" t="s">
        <v>38</v>
      </c>
      <c r="O2483" s="1" t="s">
        <v>46</v>
      </c>
    </row>
    <row r="2484" spans="2:15" x14ac:dyDescent="0.3">
      <c r="B2484" s="1" t="s">
        <v>24</v>
      </c>
      <c r="C2484" s="1" t="str">
        <f>"5-1차"</f>
        <v>5-1차</v>
      </c>
      <c r="D2484" s="1" t="str">
        <f>"0427W2625S"</f>
        <v>0427W2625S</v>
      </c>
      <c r="E2484" s="1" t="s">
        <v>10</v>
      </c>
      <c r="F2484" s="1" t="str">
        <f>"fde2:104:0:137:0:0:0:2"</f>
        <v>fde2:104:0:137:0:0:0:2</v>
      </c>
      <c r="G2484" s="1" t="str">
        <f>"0427W262"</f>
        <v>0427W262</v>
      </c>
      <c r="H2484" s="1" t="str">
        <f>"휘창간 1L18L3"</f>
        <v>휘창간 1L18L3</v>
      </c>
      <c r="I2484" s="1" t="s">
        <v>15</v>
      </c>
      <c r="J2484" s="1" t="str">
        <f>"64/65"</f>
        <v>64/65</v>
      </c>
      <c r="K2484" s="1" t="str">
        <f>"2026-07-29 14:21:00"</f>
        <v>2026-07-29 14:21:00</v>
      </c>
      <c r="L2484" s="1" t="str">
        <f>"2022-10-06 16:02:43"</f>
        <v>2022-10-06 16:02:43</v>
      </c>
      <c r="M2484" s="1" t="s">
        <v>42</v>
      </c>
      <c r="N2484" s="1" t="s">
        <v>38</v>
      </c>
      <c r="O2484" s="1" t="s">
        <v>46</v>
      </c>
    </row>
    <row r="2485" spans="2:15" x14ac:dyDescent="0.3">
      <c r="B2485" s="1" t="s">
        <v>24</v>
      </c>
      <c r="C2485" s="1" t="str">
        <f t="shared" ref="C2485:C2498" si="145">"5-2차"</f>
        <v>5-2차</v>
      </c>
      <c r="D2485" s="1" t="str">
        <f>"0427W2715M"</f>
        <v>0427W2715M</v>
      </c>
      <c r="E2485" s="1" t="s">
        <v>10</v>
      </c>
      <c r="F2485" s="1" t="str">
        <f>"fde1:103:4:c7e4:0:0:0:2"</f>
        <v>fde1:103:4:c7e4:0:0:0:2</v>
      </c>
      <c r="G2485" s="1" t="str">
        <f>"0427W271"</f>
        <v>0427W271</v>
      </c>
      <c r="H2485" s="1" t="str">
        <f>"휘창간 1L11L7"</f>
        <v>휘창간 1L11L7</v>
      </c>
      <c r="I2485" s="1" t="s">
        <v>15</v>
      </c>
      <c r="J2485" s="1" t="str">
        <f>"84/84"</f>
        <v>84/84</v>
      </c>
      <c r="K2485" s="1" t="str">
        <f>"2026-07-29 14:21:16"</f>
        <v>2026-07-29 14:21:16</v>
      </c>
      <c r="L2485" s="1" t="str">
        <f>"2023-12-19 14:46:16"</f>
        <v>2023-12-19 14:46:16</v>
      </c>
      <c r="M2485" s="1" t="s">
        <v>4</v>
      </c>
      <c r="N2485" s="1" t="s">
        <v>38</v>
      </c>
      <c r="O2485" s="1" t="s">
        <v>46</v>
      </c>
    </row>
    <row r="2486" spans="2:15" x14ac:dyDescent="0.3">
      <c r="B2486" s="1" t="s">
        <v>24</v>
      </c>
      <c r="C2486" s="1" t="str">
        <f t="shared" si="145"/>
        <v>5-2차</v>
      </c>
      <c r="D2486" s="1" t="str">
        <f>"0427W2735M"</f>
        <v>0427W2735M</v>
      </c>
      <c r="E2486" s="1" t="s">
        <v>10</v>
      </c>
      <c r="F2486" s="1" t="str">
        <f>"fde1:103:4:9400:0:0:0:2"</f>
        <v>fde1:103:4:9400:0:0:0:2</v>
      </c>
      <c r="G2486" s="1" t="str">
        <f>"0427W273"</f>
        <v>0427W273</v>
      </c>
      <c r="H2486" s="1" t="str">
        <f>"휘창간 1L11L6R1"</f>
        <v>휘창간 1L11L6R1</v>
      </c>
      <c r="I2486" s="1" t="s">
        <v>15</v>
      </c>
      <c r="J2486" s="1" t="str">
        <f>"49/49"</f>
        <v>49/49</v>
      </c>
      <c r="K2486" s="1" t="str">
        <f>"2026-07-29 14:21:00"</f>
        <v>2026-07-29 14:21:00</v>
      </c>
      <c r="L2486" s="1" t="str">
        <f>"2023-12-19 15:03:04"</f>
        <v>2023-12-19 15:03:04</v>
      </c>
      <c r="M2486" s="1" t="s">
        <v>4</v>
      </c>
      <c r="N2486" s="1" t="s">
        <v>38</v>
      </c>
      <c r="O2486" s="1" t="s">
        <v>46</v>
      </c>
    </row>
    <row r="2487" spans="2:15" x14ac:dyDescent="0.3">
      <c r="B2487" s="1" t="s">
        <v>24</v>
      </c>
      <c r="C2487" s="1" t="str">
        <f t="shared" si="145"/>
        <v>5-2차</v>
      </c>
      <c r="D2487" s="1" t="str">
        <f>"0427W2915M"</f>
        <v>0427W2915M</v>
      </c>
      <c r="E2487" s="1" t="s">
        <v>10</v>
      </c>
      <c r="F2487" s="1" t="str">
        <f>"fde1:103:4:91a9:0:0:0:2"</f>
        <v>fde1:103:4:91a9:0:0:0:2</v>
      </c>
      <c r="G2487" s="1" t="str">
        <f>"0427W291"</f>
        <v>0427W291</v>
      </c>
      <c r="H2487" s="1" t="str">
        <f>"휘창간 1L11L3"</f>
        <v>휘창간 1L11L3</v>
      </c>
      <c r="I2487" s="1" t="s">
        <v>15</v>
      </c>
      <c r="J2487" s="1" t="str">
        <f>"55/55"</f>
        <v>55/55</v>
      </c>
      <c r="K2487" s="1" t="str">
        <f>"2026-07-29 14:21:00"</f>
        <v>2026-07-29 14:21:00</v>
      </c>
      <c r="L2487" s="1" t="str">
        <f>"2024-01-18 14:02:42"</f>
        <v>2024-01-18 14:02:42</v>
      </c>
      <c r="M2487" s="1" t="s">
        <v>4</v>
      </c>
      <c r="N2487" s="1" t="s">
        <v>38</v>
      </c>
      <c r="O2487" s="1" t="s">
        <v>46</v>
      </c>
    </row>
    <row r="2488" spans="2:15" x14ac:dyDescent="0.3">
      <c r="B2488" s="1" t="s">
        <v>24</v>
      </c>
      <c r="C2488" s="1" t="str">
        <f t="shared" si="145"/>
        <v>5-2차</v>
      </c>
      <c r="D2488" s="1" t="str">
        <f>"0427W3145M"</f>
        <v>0427W3145M</v>
      </c>
      <c r="E2488" s="1" t="s">
        <v>10</v>
      </c>
      <c r="F2488" s="1" t="str">
        <f>"fde3:102:1430:9900:0:0:0:b"</f>
        <v>fde3:102:1430:9900:0:0:0:b</v>
      </c>
      <c r="G2488" s="1" t="str">
        <f>"0427W314"</f>
        <v>0427W314</v>
      </c>
      <c r="H2488" s="1" t="str">
        <f>"휘창간 1L35L1"</f>
        <v>휘창간 1L35L1</v>
      </c>
      <c r="I2488" s="1" t="s">
        <v>15</v>
      </c>
      <c r="J2488" s="1" t="str">
        <f>"99/99"</f>
        <v>99/99</v>
      </c>
      <c r="K2488" s="1" t="str">
        <f>"2026-07-29 14:20:59"</f>
        <v>2026-07-29 14:20:59</v>
      </c>
      <c r="L2488" s="1" t="str">
        <f>"2023-12-02 10:10:09"</f>
        <v>2023-12-02 10:10:09</v>
      </c>
      <c r="M2488" s="1" t="s">
        <v>45</v>
      </c>
      <c r="N2488" s="1" t="s">
        <v>38</v>
      </c>
      <c r="O2488" s="1" t="s">
        <v>46</v>
      </c>
    </row>
    <row r="2489" spans="2:15" x14ac:dyDescent="0.3">
      <c r="B2489" s="1" t="s">
        <v>24</v>
      </c>
      <c r="C2489" s="1" t="str">
        <f t="shared" si="145"/>
        <v>5-2차</v>
      </c>
      <c r="D2489" s="1" t="str">
        <f>"0427W3225M"</f>
        <v>0427W3225M</v>
      </c>
      <c r="E2489" s="1" t="s">
        <v>10</v>
      </c>
      <c r="F2489" s="1" t="str">
        <f>"fde3:102:1430:9900:0:0:0:a"</f>
        <v>fde3:102:1430:9900:0:0:0:a</v>
      </c>
      <c r="G2489" s="1" t="str">
        <f>"0427W322"</f>
        <v>0427W322</v>
      </c>
      <c r="H2489" s="1" t="str">
        <f>"휘창간 1L36"</f>
        <v>휘창간 1L36</v>
      </c>
      <c r="I2489" s="1" t="s">
        <v>15</v>
      </c>
      <c r="J2489" s="1" t="str">
        <f>"52/52"</f>
        <v>52/52</v>
      </c>
      <c r="K2489" s="1" t="str">
        <f>"2026-07-29 14:20:59"</f>
        <v>2026-07-29 14:20:59</v>
      </c>
      <c r="L2489" s="1" t="str">
        <f>"2023-12-02 11:10:21"</f>
        <v>2023-12-02 11:10:21</v>
      </c>
      <c r="M2489" s="1" t="s">
        <v>45</v>
      </c>
      <c r="N2489" s="1" t="s">
        <v>38</v>
      </c>
      <c r="O2489" s="1" t="s">
        <v>46</v>
      </c>
    </row>
    <row r="2490" spans="2:15" x14ac:dyDescent="0.3">
      <c r="B2490" s="1" t="s">
        <v>24</v>
      </c>
      <c r="C2490" s="1" t="str">
        <f t="shared" si="145"/>
        <v>5-2차</v>
      </c>
      <c r="D2490" s="1" t="str">
        <f>"0427W3235M"</f>
        <v>0427W3235M</v>
      </c>
      <c r="E2490" s="1" t="s">
        <v>10</v>
      </c>
      <c r="F2490" s="1" t="str">
        <f>"fde3:102:1430:9900:0:0:0:c"</f>
        <v>fde3:102:1430:9900:0:0:0:c</v>
      </c>
      <c r="G2490" s="1" t="str">
        <f>"0427W323"</f>
        <v>0427W323</v>
      </c>
      <c r="H2490" s="1" t="str">
        <f>"휘창간 1L34"</f>
        <v>휘창간 1L34</v>
      </c>
      <c r="I2490" s="1" t="s">
        <v>15</v>
      </c>
      <c r="J2490" s="1" t="str">
        <f>"61/61"</f>
        <v>61/61</v>
      </c>
      <c r="K2490" s="1" t="str">
        <f>"2026-07-29 14:21:15"</f>
        <v>2026-07-29 14:21:15</v>
      </c>
      <c r="L2490" s="1" t="str">
        <f>"2024-01-04 12:57:02"</f>
        <v>2024-01-04 12:57:02</v>
      </c>
      <c r="M2490" s="1" t="s">
        <v>45</v>
      </c>
      <c r="N2490" s="1" t="s">
        <v>38</v>
      </c>
      <c r="O2490" s="1" t="s">
        <v>46</v>
      </c>
    </row>
    <row r="2491" spans="2:15" x14ac:dyDescent="0.3">
      <c r="B2491" s="1" t="s">
        <v>24</v>
      </c>
      <c r="C2491" s="1" t="str">
        <f t="shared" si="145"/>
        <v>5-2차</v>
      </c>
      <c r="D2491" s="1" t="str">
        <f>"0427W3355M"</f>
        <v>0427W3355M</v>
      </c>
      <c r="E2491" s="1" t="s">
        <v>10</v>
      </c>
      <c r="F2491" s="1" t="str">
        <f>"fde1:103:4:938a:0:0:0:2"</f>
        <v>fde1:103:4:938a:0:0:0:2</v>
      </c>
      <c r="G2491" s="1" t="str">
        <f>"0427W335"</f>
        <v>0427W335</v>
      </c>
      <c r="H2491" s="1" t="str">
        <f>"면목간 93L10R7"</f>
        <v>면목간 93L10R7</v>
      </c>
      <c r="I2491" s="1" t="s">
        <v>15</v>
      </c>
      <c r="J2491" s="1" t="str">
        <f>"43/43"</f>
        <v>43/43</v>
      </c>
      <c r="K2491" s="1" t="str">
        <f>"2026-07-29 08:21:31"</f>
        <v>2026-07-29 08:21:31</v>
      </c>
      <c r="L2491" s="1" t="str">
        <f>"2023-12-19 15:03:32"</f>
        <v>2023-12-19 15:03:32</v>
      </c>
      <c r="M2491" s="1" t="s">
        <v>4</v>
      </c>
      <c r="N2491" s="1" t="s">
        <v>38</v>
      </c>
      <c r="O2491" s="1" t="s">
        <v>46</v>
      </c>
    </row>
    <row r="2492" spans="2:15" x14ac:dyDescent="0.3">
      <c r="B2492" s="1" t="s">
        <v>24</v>
      </c>
      <c r="C2492" s="1" t="str">
        <f t="shared" si="145"/>
        <v>5-2차</v>
      </c>
      <c r="D2492" s="1" t="str">
        <f>"0427W3415M"</f>
        <v>0427W3415M</v>
      </c>
      <c r="E2492" s="1" t="s">
        <v>10</v>
      </c>
      <c r="F2492" s="1" t="str">
        <f>"fde3:102:1430:9900:0:0:0:5"</f>
        <v>fde3:102:1430:9900:0:0:0:5</v>
      </c>
      <c r="G2492" s="1" t="str">
        <f>"0427W341"</f>
        <v>0427W341</v>
      </c>
      <c r="H2492" s="1" t="str">
        <f>"휘창간 1L28"</f>
        <v>휘창간 1L28</v>
      </c>
      <c r="I2492" s="1" t="s">
        <v>15</v>
      </c>
      <c r="J2492" s="1" t="str">
        <f>"84/84"</f>
        <v>84/84</v>
      </c>
      <c r="K2492" s="1" t="str">
        <f>"2026-07-29 14:21:00"</f>
        <v>2026-07-29 14:21:00</v>
      </c>
      <c r="L2492" s="1" t="str">
        <f>"2023-12-02 12:09:50"</f>
        <v>2023-12-02 12:09:50</v>
      </c>
      <c r="M2492" s="1" t="s">
        <v>45</v>
      </c>
      <c r="N2492" s="1" t="s">
        <v>38</v>
      </c>
      <c r="O2492" s="1" t="s">
        <v>46</v>
      </c>
    </row>
    <row r="2493" spans="2:15" x14ac:dyDescent="0.3">
      <c r="B2493" s="1" t="s">
        <v>24</v>
      </c>
      <c r="C2493" s="1" t="str">
        <f t="shared" si="145"/>
        <v>5-2차</v>
      </c>
      <c r="D2493" s="1" t="str">
        <f>"0427W3815S"</f>
        <v>0427W3815S</v>
      </c>
      <c r="E2493" s="1" t="s">
        <v>10</v>
      </c>
      <c r="F2493" s="1" t="str">
        <f>"fde1:103:4:92aa:0:0:0:2"</f>
        <v>fde1:103:4:92aa:0:0:0:2</v>
      </c>
      <c r="G2493" s="1" t="str">
        <f>"0427W381"</f>
        <v>0427W381</v>
      </c>
      <c r="H2493" s="1" t="str">
        <f>"휘창간 1L31L1R5"</f>
        <v>휘창간 1L31L1R5</v>
      </c>
      <c r="I2493" s="1" t="s">
        <v>15</v>
      </c>
      <c r="J2493" s="1" t="str">
        <f>"43/45"</f>
        <v>43/45</v>
      </c>
      <c r="K2493" s="1" t="str">
        <f>"2026-07-29 14:21:00"</f>
        <v>2026-07-29 14:21:00</v>
      </c>
      <c r="L2493" s="1" t="str">
        <f>"2024-01-18 14:15:15"</f>
        <v>2024-01-18 14:15:15</v>
      </c>
      <c r="M2493" s="1" t="s">
        <v>4</v>
      </c>
      <c r="N2493" s="1" t="s">
        <v>38</v>
      </c>
      <c r="O2493" s="1" t="s">
        <v>46</v>
      </c>
    </row>
    <row r="2494" spans="2:15" x14ac:dyDescent="0.3">
      <c r="B2494" s="1" t="s">
        <v>24</v>
      </c>
      <c r="C2494" s="1" t="str">
        <f t="shared" si="145"/>
        <v>5-2차</v>
      </c>
      <c r="D2494" s="1" t="str">
        <f>"0427W4135M"</f>
        <v>0427W4135M</v>
      </c>
      <c r="E2494" s="1" t="s">
        <v>10</v>
      </c>
      <c r="F2494" s="1" t="str">
        <f>"fde3:102:1430:9800:0:0:0:d"</f>
        <v>fde3:102:1430:9800:0:0:0:d</v>
      </c>
      <c r="G2494" s="1" t="str">
        <f>"0427W413"</f>
        <v>0427W413</v>
      </c>
      <c r="H2494" s="1" t="str">
        <f>"휘창간 12R7"</f>
        <v>휘창간 12R7</v>
      </c>
      <c r="I2494" s="1" t="s">
        <v>15</v>
      </c>
      <c r="J2494" s="1" t="str">
        <f>"49/49"</f>
        <v>49/49</v>
      </c>
      <c r="K2494" s="1" t="str">
        <f>"2026-07-29 14:21:03"</f>
        <v>2026-07-29 14:21:03</v>
      </c>
      <c r="L2494" s="1" t="str">
        <f>"2023-12-02 10:28:51"</f>
        <v>2023-12-02 10:28:51</v>
      </c>
      <c r="M2494" s="1" t="s">
        <v>45</v>
      </c>
      <c r="N2494" s="1" t="s">
        <v>38</v>
      </c>
      <c r="O2494" s="1" t="s">
        <v>46</v>
      </c>
    </row>
    <row r="2495" spans="2:15" x14ac:dyDescent="0.3">
      <c r="B2495" s="1" t="s">
        <v>24</v>
      </c>
      <c r="C2495" s="1" t="str">
        <f t="shared" si="145"/>
        <v>5-2차</v>
      </c>
      <c r="D2495" s="1" t="str">
        <f>"0427W4525M"</f>
        <v>0427W4525M</v>
      </c>
      <c r="E2495" s="1" t="s">
        <v>10</v>
      </c>
      <c r="F2495" s="1" t="str">
        <f>"fde3:102:1430:9900:0:0:0:8"</f>
        <v>fde3:102:1430:9900:0:0:0:8</v>
      </c>
      <c r="G2495" s="1" t="str">
        <f>"0427W452"</f>
        <v>0427W452</v>
      </c>
      <c r="H2495" s="1" t="str">
        <f>"휘창간 1L31L2"</f>
        <v>휘창간 1L31L2</v>
      </c>
      <c r="I2495" s="1" t="s">
        <v>15</v>
      </c>
      <c r="J2495" s="1" t="str">
        <f>"53/53"</f>
        <v>53/53</v>
      </c>
      <c r="K2495" s="1" t="str">
        <f>"2026-07-29 14:21:18"</f>
        <v>2026-07-29 14:21:18</v>
      </c>
      <c r="L2495" s="1" t="str">
        <f>"2023-12-02 13:19:42"</f>
        <v>2023-12-02 13:19:42</v>
      </c>
      <c r="M2495" s="1" t="s">
        <v>45</v>
      </c>
      <c r="N2495" s="1" t="s">
        <v>38</v>
      </c>
      <c r="O2495" s="1" t="s">
        <v>46</v>
      </c>
    </row>
    <row r="2496" spans="2:15" x14ac:dyDescent="0.3">
      <c r="B2496" s="1" t="s">
        <v>24</v>
      </c>
      <c r="C2496" s="1" t="str">
        <f t="shared" si="145"/>
        <v>5-2차</v>
      </c>
      <c r="D2496" s="1" t="str">
        <f>"0427W4615M"</f>
        <v>0427W4615M</v>
      </c>
      <c r="E2496" s="1" t="s">
        <v>10</v>
      </c>
      <c r="F2496" s="1" t="str">
        <f>"fde1:103:4:9313:0:0:0:2"</f>
        <v>fde1:103:4:9313:0:0:0:2</v>
      </c>
      <c r="G2496" s="1" t="str">
        <f>"0427W461"</f>
        <v>0427W461</v>
      </c>
      <c r="H2496" s="1" t="str">
        <f>"휘창간 1L31L1R3"</f>
        <v>휘창간 1L31L1R3</v>
      </c>
      <c r="I2496" s="1" t="s">
        <v>15</v>
      </c>
      <c r="J2496" s="1" t="str">
        <f>"39/39"</f>
        <v>39/39</v>
      </c>
      <c r="K2496" s="1" t="str">
        <f>"2026-07-29 14:21:01"</f>
        <v>2026-07-29 14:21:01</v>
      </c>
      <c r="L2496" s="1" t="str">
        <f>"2023-12-19 15:03:53"</f>
        <v>2023-12-19 15:03:53</v>
      </c>
      <c r="M2496" s="1" t="s">
        <v>4</v>
      </c>
      <c r="N2496" s="1" t="s">
        <v>38</v>
      </c>
      <c r="O2496" s="1" t="s">
        <v>46</v>
      </c>
    </row>
    <row r="2497" spans="2:15" x14ac:dyDescent="0.3">
      <c r="B2497" s="1" t="s">
        <v>24</v>
      </c>
      <c r="C2497" s="1" t="str">
        <f t="shared" si="145"/>
        <v>5-2차</v>
      </c>
      <c r="D2497" s="1" t="str">
        <f>"0427W4715M"</f>
        <v>0427W4715M</v>
      </c>
      <c r="E2497" s="1" t="s">
        <v>10</v>
      </c>
      <c r="F2497" s="1" t="str">
        <f>"fde1:103:4:9403:0:0:0:2"</f>
        <v>fde1:103:4:9403:0:0:0:2</v>
      </c>
      <c r="G2497" s="1" t="str">
        <f>"0427W471"</f>
        <v>0427W471</v>
      </c>
      <c r="H2497" s="1" t="str">
        <f>"휘창간 1L31L1R4"</f>
        <v>휘창간 1L31L1R4</v>
      </c>
      <c r="I2497" s="1" t="s">
        <v>15</v>
      </c>
      <c r="J2497" s="1" t="str">
        <f>"37/37"</f>
        <v>37/37</v>
      </c>
      <c r="K2497" s="1" t="str">
        <f>"2026-07-29 14:21:01"</f>
        <v>2026-07-29 14:21:01</v>
      </c>
      <c r="L2497" s="1" t="str">
        <f>"2023-12-19 15:04:15"</f>
        <v>2023-12-19 15:04:15</v>
      </c>
      <c r="M2497" s="1" t="s">
        <v>4</v>
      </c>
      <c r="N2497" s="1" t="s">
        <v>38</v>
      </c>
      <c r="O2497" s="1" t="s">
        <v>46</v>
      </c>
    </row>
    <row r="2498" spans="2:15" x14ac:dyDescent="0.3">
      <c r="B2498" s="1" t="s">
        <v>24</v>
      </c>
      <c r="C2498" s="1" t="str">
        <f t="shared" si="145"/>
        <v>5-2차</v>
      </c>
      <c r="D2498" s="1" t="str">
        <f>"0427W5615M"</f>
        <v>0427W5615M</v>
      </c>
      <c r="E2498" s="1" t="s">
        <v>10</v>
      </c>
      <c r="F2498" s="1" t="str">
        <f>"fde1:103:4:93c0:0:0:0:2"</f>
        <v>fde1:103:4:93c0:0:0:0:2</v>
      </c>
      <c r="G2498" s="1" t="str">
        <f>"0427W561"</f>
        <v>0427W561</v>
      </c>
      <c r="H2498" s="1" t="str">
        <f>"휘창간 12R1R2"</f>
        <v>휘창간 12R1R2</v>
      </c>
      <c r="I2498" s="1" t="s">
        <v>15</v>
      </c>
      <c r="J2498" s="1" t="str">
        <f>"43/43"</f>
        <v>43/43</v>
      </c>
      <c r="K2498" s="1" t="str">
        <f>"2026-07-29 14:21:01"</f>
        <v>2026-07-29 14:21:01</v>
      </c>
      <c r="L2498" s="1" t="str">
        <f>"2023-12-19 15:04:50"</f>
        <v>2023-12-19 15:04:50</v>
      </c>
      <c r="M2498" s="1" t="s">
        <v>4</v>
      </c>
      <c r="N2498" s="1" t="s">
        <v>38</v>
      </c>
      <c r="O2498" s="1" t="s">
        <v>46</v>
      </c>
    </row>
    <row r="2499" spans="2:15" x14ac:dyDescent="0.3">
      <c r="B2499" s="1" t="s">
        <v>24</v>
      </c>
      <c r="C2499" s="1" t="str">
        <f>"6차"</f>
        <v>6차</v>
      </c>
      <c r="D2499" s="1" t="str">
        <f>"0427W6826S"</f>
        <v>0427W6826S</v>
      </c>
      <c r="E2499" s="1" t="s">
        <v>10</v>
      </c>
      <c r="F2499" s="1" t="str">
        <f>"fde1:103:4:c5b5:0:0:0:2"</f>
        <v>fde1:103:4:c5b5:0:0:0:2</v>
      </c>
      <c r="G2499" s="1" t="str">
        <f>"0427W682"</f>
        <v>0427W682</v>
      </c>
      <c r="H2499" s="1" t="str">
        <f>"휘창간 9L3R1"</f>
        <v>휘창간 9L3R1</v>
      </c>
      <c r="I2499" s="1" t="s">
        <v>15</v>
      </c>
      <c r="J2499" s="1" t="str">
        <f>"50/50"</f>
        <v>50/50</v>
      </c>
      <c r="K2499" s="1" t="str">
        <f>"2026-07-29 08:21:06"</f>
        <v>2026-07-29 08:21:06</v>
      </c>
      <c r="L2499" s="1" t="str">
        <f>"2024-09-26 19:56:09"</f>
        <v>2024-09-26 19:56:09</v>
      </c>
      <c r="M2499" s="1" t="s">
        <v>4</v>
      </c>
      <c r="N2499" s="1" t="s">
        <v>38</v>
      </c>
      <c r="O2499" s="1" t="s">
        <v>46</v>
      </c>
    </row>
    <row r="2500" spans="2:15" x14ac:dyDescent="0.3">
      <c r="B2500" s="1" t="s">
        <v>24</v>
      </c>
      <c r="C2500" s="1" t="str">
        <f>"1차"</f>
        <v>1차</v>
      </c>
      <c r="D2500" s="1" t="str">
        <f>"0427W69401"</f>
        <v>0427W69401</v>
      </c>
      <c r="E2500" s="1" t="s">
        <v>10</v>
      </c>
      <c r="F2500" s="1" t="str">
        <f>"10.12.134.207"</f>
        <v>10.12.134.207</v>
      </c>
      <c r="G2500" s="1" t="str">
        <f>"0427W694"</f>
        <v>0427W694</v>
      </c>
      <c r="H2500" s="1" t="str">
        <f>"휘창간 9L5"</f>
        <v>휘창간 9L5</v>
      </c>
      <c r="I2500" s="1" t="s">
        <v>8</v>
      </c>
      <c r="J2500" s="1" t="str">
        <f>"56/56"</f>
        <v>56/56</v>
      </c>
      <c r="K2500" s="1" t="str">
        <f>"2026-07-29 13:18:05"</f>
        <v>2026-07-29 13:18:05</v>
      </c>
      <c r="L2500" s="1" t="str">
        <f>"2014-10-17 13:12:17"</f>
        <v>2014-10-17 13:12:17</v>
      </c>
      <c r="M2500" s="1" t="s">
        <v>0</v>
      </c>
      <c r="N2500" s="1" t="s">
        <v>38</v>
      </c>
      <c r="O2500" s="1" t="s">
        <v>46</v>
      </c>
    </row>
    <row r="2501" spans="2:15" x14ac:dyDescent="0.3">
      <c r="B2501" s="1" t="s">
        <v>24</v>
      </c>
      <c r="C2501" s="1" t="str">
        <f>"1차"</f>
        <v>1차</v>
      </c>
      <c r="D2501" s="1" t="str">
        <f>"0427W78200"</f>
        <v>0427W78200</v>
      </c>
      <c r="E2501" s="1" t="s">
        <v>10</v>
      </c>
      <c r="F2501" s="1" t="str">
        <f>"10.89.246.180"</f>
        <v>10.89.246.180</v>
      </c>
      <c r="G2501" s="1" t="str">
        <f>"0427W782"</f>
        <v>0427W782</v>
      </c>
      <c r="H2501" s="1" t="str">
        <f>"휘창간 17"</f>
        <v>휘창간 17</v>
      </c>
      <c r="I2501" s="1" t="s">
        <v>8</v>
      </c>
      <c r="J2501" s="1" t="str">
        <f>"10/14"</f>
        <v>10/14</v>
      </c>
      <c r="K2501" s="1" t="str">
        <f>"2026-07-29 13:18:03"</f>
        <v>2026-07-29 13:18:03</v>
      </c>
      <c r="L2501" s="1" t="str">
        <f>"2014-09-27 20:26:57"</f>
        <v>2014-09-27 20:26:57</v>
      </c>
      <c r="M2501" s="1" t="s">
        <v>45</v>
      </c>
      <c r="N2501" s="1" t="s">
        <v>38</v>
      </c>
      <c r="O2501" s="1" t="s">
        <v>46</v>
      </c>
    </row>
    <row r="2502" spans="2:15" x14ac:dyDescent="0.3">
      <c r="B2502" s="1" t="s">
        <v>24</v>
      </c>
      <c r="C2502" s="1" t="str">
        <f>"5-2차"</f>
        <v>5-2차</v>
      </c>
      <c r="D2502" s="1" t="str">
        <f>"0427W8515M"</f>
        <v>0427W8515M</v>
      </c>
      <c r="E2502" s="1" t="s">
        <v>10</v>
      </c>
      <c r="F2502" s="1" t="str">
        <f>"fde1:103:4:92e4:0:0:0:2"</f>
        <v>fde1:103:4:92e4:0:0:0:2</v>
      </c>
      <c r="G2502" s="1" t="str">
        <f>"0427W851"</f>
        <v>0427W851</v>
      </c>
      <c r="H2502" s="1" t="str">
        <f>"서일간 9R6"</f>
        <v>서일간 9R6</v>
      </c>
      <c r="I2502" s="1" t="s">
        <v>15</v>
      </c>
      <c r="J2502" s="1" t="str">
        <f>"18/25"</f>
        <v>18/25</v>
      </c>
      <c r="K2502" s="1" t="str">
        <f>"2026-07-29 14:21:04"</f>
        <v>2026-07-29 14:21:04</v>
      </c>
      <c r="L2502" s="1" t="str">
        <f>"2023-12-20 09:04:54"</f>
        <v>2023-12-20 09:04:54</v>
      </c>
      <c r="M2502" s="1" t="s">
        <v>4</v>
      </c>
      <c r="N2502" s="1" t="s">
        <v>38</v>
      </c>
      <c r="O2502" s="1" t="s">
        <v>46</v>
      </c>
    </row>
    <row r="2503" spans="2:15" x14ac:dyDescent="0.3">
      <c r="B2503" s="1" t="s">
        <v>24</v>
      </c>
      <c r="C2503" s="1" t="str">
        <f>"5-2차"</f>
        <v>5-2차</v>
      </c>
      <c r="D2503" s="1" t="str">
        <f>"0427W9815M"</f>
        <v>0427W9815M</v>
      </c>
      <c r="E2503" s="1" t="s">
        <v>10</v>
      </c>
      <c r="F2503" s="1" t="str">
        <f>"fde1:103:4:9387:0:0:0:2"</f>
        <v>fde1:103:4:9387:0:0:0:2</v>
      </c>
      <c r="G2503" s="1" t="str">
        <f>"0427W981"</f>
        <v>0427W981</v>
      </c>
      <c r="H2503" s="1" t="str">
        <f>"서일간 9R11"</f>
        <v>서일간 9R11</v>
      </c>
      <c r="I2503" s="1" t="s">
        <v>15</v>
      </c>
      <c r="J2503" s="1" t="str">
        <f>"18/19"</f>
        <v>18/19</v>
      </c>
      <c r="K2503" s="1" t="str">
        <f>"2026-07-29 14:21:23"</f>
        <v>2026-07-29 14:21:23</v>
      </c>
      <c r="L2503" s="1" t="str">
        <f>"2023-12-20 09:05:19"</f>
        <v>2023-12-20 09:05:19</v>
      </c>
      <c r="M2503" s="1" t="s">
        <v>4</v>
      </c>
      <c r="N2503" s="1" t="s">
        <v>38</v>
      </c>
      <c r="O2503" s="1" t="s">
        <v>46</v>
      </c>
    </row>
    <row r="2504" spans="2:15" x14ac:dyDescent="0.3">
      <c r="B2504" s="1" t="s">
        <v>24</v>
      </c>
      <c r="C2504" s="1" t="str">
        <f>"5-2차"</f>
        <v>5-2차</v>
      </c>
      <c r="D2504" s="1" t="str">
        <f>"0427W9915M"</f>
        <v>0427W9915M</v>
      </c>
      <c r="E2504" s="1" t="s">
        <v>10</v>
      </c>
      <c r="F2504" s="1" t="str">
        <f>"fde1:103:4:92f0:0:0:0:2"</f>
        <v>fde1:103:4:92f0:0:0:0:2</v>
      </c>
      <c r="G2504" s="1" t="str">
        <f>"0427W991"</f>
        <v>0427W991</v>
      </c>
      <c r="H2504" s="1" t="str">
        <f>"서일간 9R11L1"</f>
        <v>서일간 9R11L1</v>
      </c>
      <c r="I2504" s="1" t="s">
        <v>15</v>
      </c>
      <c r="J2504" s="1" t="str">
        <f>"29/29"</f>
        <v>29/29</v>
      </c>
      <c r="K2504" s="1" t="str">
        <f>"2026-07-29 14:21:01"</f>
        <v>2026-07-29 14:21:01</v>
      </c>
      <c r="L2504" s="1" t="str">
        <f>"2023-12-20 09:05:50"</f>
        <v>2023-12-20 09:05:50</v>
      </c>
      <c r="M2504" s="1" t="s">
        <v>4</v>
      </c>
      <c r="N2504" s="1" t="s">
        <v>38</v>
      </c>
      <c r="O2504" s="1" t="s">
        <v>46</v>
      </c>
    </row>
    <row r="2505" spans="2:15" x14ac:dyDescent="0.3">
      <c r="B2505" s="1" t="s">
        <v>24</v>
      </c>
      <c r="C2505" s="1" t="str">
        <f>"5-2차"</f>
        <v>5-2차</v>
      </c>
      <c r="D2505" s="1" t="str">
        <f>"0427X0815M"</f>
        <v>0427X0815M</v>
      </c>
      <c r="E2505" s="1" t="s">
        <v>10</v>
      </c>
      <c r="F2505" s="1" t="str">
        <f>"fde1:103:4:93f1:0:0:0:2"</f>
        <v>fde1:103:4:93f1:0:0:0:2</v>
      </c>
      <c r="G2505" s="1" t="str">
        <f>"0427X081"</f>
        <v>0427X081</v>
      </c>
      <c r="H2505" s="1" t="str">
        <f>"서일간 9R13"</f>
        <v>서일간 9R13</v>
      </c>
      <c r="I2505" s="1" t="s">
        <v>15</v>
      </c>
      <c r="J2505" s="1" t="str">
        <f>"54/54"</f>
        <v>54/54</v>
      </c>
      <c r="K2505" s="1" t="str">
        <f>"2026-07-29 14:21:00"</f>
        <v>2026-07-29 14:21:00</v>
      </c>
      <c r="L2505" s="1" t="str">
        <f>"2023-12-20 09:06:28"</f>
        <v>2023-12-20 09:06:28</v>
      </c>
      <c r="M2505" s="1" t="s">
        <v>4</v>
      </c>
      <c r="N2505" s="1" t="s">
        <v>38</v>
      </c>
      <c r="O2505" s="1" t="s">
        <v>46</v>
      </c>
    </row>
    <row r="2506" spans="2:15" x14ac:dyDescent="0.3">
      <c r="B2506" s="1" t="s">
        <v>24</v>
      </c>
      <c r="C2506" s="1" t="str">
        <f>"5-2차"</f>
        <v>5-2차</v>
      </c>
      <c r="D2506" s="1" t="str">
        <f>"0427X1915S"</f>
        <v>0427X1915S</v>
      </c>
      <c r="E2506" s="1" t="s">
        <v>10</v>
      </c>
      <c r="F2506" s="1" t="str">
        <f>"fde3:102:1430:8500:0:0:0:1d"</f>
        <v>fde3:102:1430:8500:0:0:0:1d</v>
      </c>
      <c r="G2506" s="1" t="str">
        <f>"0427X191"</f>
        <v>0427X191</v>
      </c>
      <c r="H2506" s="1" t="str">
        <f>"서일간 27R3"</f>
        <v>서일간 27R3</v>
      </c>
      <c r="I2506" s="1" t="s">
        <v>15</v>
      </c>
      <c r="J2506" s="1" t="str">
        <f>"24/25"</f>
        <v>24/25</v>
      </c>
      <c r="K2506" s="1" t="str">
        <f>"2026-07-29 14:21:00"</f>
        <v>2026-07-29 14:21:00</v>
      </c>
      <c r="L2506" s="1" t="str">
        <f>"2023-12-02 09:11:37"</f>
        <v>2023-12-02 09:11:37</v>
      </c>
      <c r="M2506" s="1" t="s">
        <v>45</v>
      </c>
      <c r="N2506" s="1" t="s">
        <v>38</v>
      </c>
      <c r="O2506" s="1" t="s">
        <v>46</v>
      </c>
    </row>
    <row r="2507" spans="2:15" x14ac:dyDescent="0.3">
      <c r="B2507" s="1" t="s">
        <v>24</v>
      </c>
      <c r="C2507" s="1" t="str">
        <f>"5-1차"</f>
        <v>5-1차</v>
      </c>
      <c r="D2507" s="1" t="str">
        <f>"0427X5835M"</f>
        <v>0427X5835M</v>
      </c>
      <c r="E2507" s="1" t="s">
        <v>10</v>
      </c>
      <c r="F2507" s="1" t="str">
        <f>"fde3:102:1430:8300:0:0:0:3"</f>
        <v>fde3:102:1430:8300:0:0:0:3</v>
      </c>
      <c r="G2507" s="1" t="str">
        <f>"0427X583"</f>
        <v>0427X583</v>
      </c>
      <c r="H2507" s="1" t="str">
        <f>"서일간 36R2"</f>
        <v>서일간 36R2</v>
      </c>
      <c r="I2507" s="1" t="s">
        <v>15</v>
      </c>
      <c r="J2507" s="1" t="str">
        <f>"156/158"</f>
        <v>156/158</v>
      </c>
      <c r="K2507" s="1" t="str">
        <f>"2026-07-29 14:21:00"</f>
        <v>2026-07-29 14:21:00</v>
      </c>
      <c r="L2507" s="1" t="str">
        <f>"2022-11-09 16:05:33"</f>
        <v>2022-11-09 16:05:33</v>
      </c>
      <c r="M2507" s="1" t="s">
        <v>45</v>
      </c>
      <c r="N2507" s="1" t="s">
        <v>38</v>
      </c>
      <c r="O2507" s="1" t="s">
        <v>46</v>
      </c>
    </row>
    <row r="2508" spans="2:15" x14ac:dyDescent="0.3">
      <c r="B2508" s="1" t="s">
        <v>24</v>
      </c>
      <c r="C2508" s="1" t="str">
        <f>"5-2차"</f>
        <v>5-2차</v>
      </c>
      <c r="D2508" s="1" t="str">
        <f>"0427X5915M"</f>
        <v>0427X5915M</v>
      </c>
      <c r="E2508" s="1" t="s">
        <v>10</v>
      </c>
      <c r="F2508" s="1" t="str">
        <f>"fde3:102:1430:8300:0:0:0:6"</f>
        <v>fde3:102:1430:8300:0:0:0:6</v>
      </c>
      <c r="G2508" s="1" t="str">
        <f>"0427X591"</f>
        <v>0427X591</v>
      </c>
      <c r="H2508" s="1" t="str">
        <f>"서일간 36"</f>
        <v>서일간 36</v>
      </c>
      <c r="I2508" s="1" t="s">
        <v>15</v>
      </c>
      <c r="J2508" s="1" t="str">
        <f>"94/94"</f>
        <v>94/94</v>
      </c>
      <c r="K2508" s="1" t="str">
        <f>"2026-07-29 14:21:00"</f>
        <v>2026-07-29 14:21:00</v>
      </c>
      <c r="L2508" s="1" t="str">
        <f>"2023-08-31 08:04:49"</f>
        <v>2023-08-31 08:04:49</v>
      </c>
      <c r="M2508" s="1" t="s">
        <v>45</v>
      </c>
      <c r="N2508" s="1" t="s">
        <v>38</v>
      </c>
      <c r="O2508" s="1" t="s">
        <v>46</v>
      </c>
    </row>
    <row r="2509" spans="2:15" x14ac:dyDescent="0.3">
      <c r="B2509" s="1" t="s">
        <v>24</v>
      </c>
      <c r="C2509" s="1" t="str">
        <f>"5-1차"</f>
        <v>5-1차</v>
      </c>
      <c r="D2509" s="1" t="str">
        <f>"0427X6815S"</f>
        <v>0427X6815S</v>
      </c>
      <c r="E2509" s="1" t="s">
        <v>10</v>
      </c>
      <c r="F2509" s="1" t="str">
        <f>"fde3:102:1430:8300:0:0:0:2"</f>
        <v>fde3:102:1430:8300:0:0:0:2</v>
      </c>
      <c r="G2509" s="1" t="str">
        <f>"0427X681"</f>
        <v>0427X681</v>
      </c>
      <c r="H2509" s="1" t="str">
        <f>"서일간 38"</f>
        <v>서일간 38</v>
      </c>
      <c r="I2509" s="1" t="s">
        <v>15</v>
      </c>
      <c r="J2509" s="1" t="str">
        <f>"69/69"</f>
        <v>69/69</v>
      </c>
      <c r="K2509" s="1" t="str">
        <f>"2026-07-29 14:21:02"</f>
        <v>2026-07-29 14:21:02</v>
      </c>
      <c r="L2509" s="1" t="str">
        <f>"2022-10-28 11:04:36"</f>
        <v>2022-10-28 11:04:36</v>
      </c>
      <c r="M2509" s="1" t="s">
        <v>45</v>
      </c>
      <c r="N2509" s="1" t="s">
        <v>38</v>
      </c>
      <c r="O2509" s="1" t="s">
        <v>46</v>
      </c>
    </row>
    <row r="2510" spans="2:15" x14ac:dyDescent="0.3">
      <c r="B2510" s="1" t="s">
        <v>24</v>
      </c>
      <c r="C2510" s="1" t="str">
        <f>"5-2차"</f>
        <v>5-2차</v>
      </c>
      <c r="D2510" s="1" t="str">
        <f>"0427X7825M"</f>
        <v>0427X7825M</v>
      </c>
      <c r="E2510" s="1" t="s">
        <v>10</v>
      </c>
      <c r="F2510" s="1" t="str">
        <f>"fde3:102:1430:8300:0:0:0:5"</f>
        <v>fde3:102:1430:8300:0:0:0:5</v>
      </c>
      <c r="G2510" s="1" t="str">
        <f>"0427X782"</f>
        <v>0427X782</v>
      </c>
      <c r="H2510" s="1" t="str">
        <f>"서일간 39R1"</f>
        <v>서일간 39R1</v>
      </c>
      <c r="I2510" s="1" t="s">
        <v>15</v>
      </c>
      <c r="J2510" s="1" t="str">
        <f>"49/49"</f>
        <v>49/49</v>
      </c>
      <c r="K2510" s="1" t="str">
        <f>"2026-07-29 14:21:00"</f>
        <v>2026-07-29 14:21:00</v>
      </c>
      <c r="L2510" s="1" t="str">
        <f>"2024-01-08 13:33:29"</f>
        <v>2024-01-08 13:33:29</v>
      </c>
      <c r="M2510" s="1" t="s">
        <v>45</v>
      </c>
      <c r="N2510" s="1" t="s">
        <v>38</v>
      </c>
      <c r="O2510" s="1" t="s">
        <v>46</v>
      </c>
    </row>
    <row r="2511" spans="2:15" x14ac:dyDescent="0.3">
      <c r="B2511" s="1" t="s">
        <v>24</v>
      </c>
      <c r="C2511" s="1" t="str">
        <f>"5-2차"</f>
        <v>5-2차</v>
      </c>
      <c r="D2511" s="1" t="str">
        <f>"0427X8825S"</f>
        <v>0427X8825S</v>
      </c>
      <c r="E2511" s="1" t="s">
        <v>10</v>
      </c>
      <c r="F2511" s="1" t="str">
        <f>"fde3:102:1430:8300:0:0:0:4"</f>
        <v>fde3:102:1430:8300:0:0:0:4</v>
      </c>
      <c r="G2511" s="1" t="str">
        <f>"0427X882"</f>
        <v>0427X882</v>
      </c>
      <c r="H2511" s="1" t="str">
        <f>"서일간 40R2"</f>
        <v>서일간 40R2</v>
      </c>
      <c r="I2511" s="1" t="s">
        <v>15</v>
      </c>
      <c r="J2511" s="1" t="str">
        <f>"56/56"</f>
        <v>56/56</v>
      </c>
      <c r="K2511" s="1" t="str">
        <f>"2026-07-29 14:21:01"</f>
        <v>2026-07-29 14:21:01</v>
      </c>
      <c r="L2511" s="1" t="str">
        <f>"2023-11-10 16:01:18"</f>
        <v>2023-11-10 16:01:18</v>
      </c>
      <c r="M2511" s="1" t="s">
        <v>45</v>
      </c>
      <c r="N2511" s="1" t="s">
        <v>38</v>
      </c>
      <c r="O2511" s="1" t="s">
        <v>46</v>
      </c>
    </row>
    <row r="2512" spans="2:15" x14ac:dyDescent="0.3">
      <c r="B2512" s="1" t="s">
        <v>24</v>
      </c>
      <c r="C2512" s="1" t="str">
        <f>"5-1차"</f>
        <v>5-1차</v>
      </c>
      <c r="D2512" s="1" t="str">
        <f>"0427Y0045M"</f>
        <v>0427Y0045M</v>
      </c>
      <c r="E2512" s="1" t="s">
        <v>10</v>
      </c>
      <c r="F2512" s="1" t="str">
        <f>"fde2:104:0:13c:0:0:0:2"</f>
        <v>fde2:104:0:13c:0:0:0:2</v>
      </c>
      <c r="G2512" s="1" t="str">
        <f>"0427Y004"</f>
        <v>0427Y004</v>
      </c>
      <c r="H2512" s="1" t="str">
        <f>"사가정지 27"</f>
        <v>사가정지 27</v>
      </c>
      <c r="I2512" s="1" t="s">
        <v>15</v>
      </c>
      <c r="J2512" s="1" t="str">
        <f>"33/33"</f>
        <v>33/33</v>
      </c>
      <c r="K2512" s="1" t="str">
        <f>"2026-07-29 14:21:03"</f>
        <v>2026-07-29 14:21:03</v>
      </c>
      <c r="L2512" s="1" t="str">
        <f>"2022-10-05 15:32:33"</f>
        <v>2022-10-05 15:32:33</v>
      </c>
      <c r="M2512" s="1" t="s">
        <v>42</v>
      </c>
      <c r="N2512" s="1" t="s">
        <v>38</v>
      </c>
      <c r="O2512" s="1" t="s">
        <v>46</v>
      </c>
    </row>
    <row r="2513" spans="2:15" x14ac:dyDescent="0.3">
      <c r="B2513" s="1" t="s">
        <v>24</v>
      </c>
      <c r="C2513" s="1" t="str">
        <f t="shared" ref="C2513:C2525" si="146">"5-2차"</f>
        <v>5-2차</v>
      </c>
      <c r="D2513" s="1" t="str">
        <f>"0427Y0215M"</f>
        <v>0427Y0215M</v>
      </c>
      <c r="E2513" s="1" t="s">
        <v>10</v>
      </c>
      <c r="F2513" s="1" t="str">
        <f>"fde1:103:4:93b4:0:0:0:2"</f>
        <v>fde1:103:4:93b4:0:0:0:2</v>
      </c>
      <c r="G2513" s="1" t="str">
        <f>"0427Y021"</f>
        <v>0427Y021</v>
      </c>
      <c r="H2513" s="1" t="str">
        <f>"사가정지 22"</f>
        <v>사가정지 22</v>
      </c>
      <c r="I2513" s="1" t="s">
        <v>15</v>
      </c>
      <c r="J2513" s="1" t="str">
        <f>"39/39"</f>
        <v>39/39</v>
      </c>
      <c r="K2513" s="1" t="str">
        <f>"2026-07-29 14:21:02"</f>
        <v>2026-07-29 14:21:02</v>
      </c>
      <c r="L2513" s="1" t="str">
        <f>"2023-12-20 09:07:08"</f>
        <v>2023-12-20 09:07:08</v>
      </c>
      <c r="M2513" s="1" t="s">
        <v>4</v>
      </c>
      <c r="N2513" s="1" t="s">
        <v>38</v>
      </c>
      <c r="O2513" s="1" t="s">
        <v>46</v>
      </c>
    </row>
    <row r="2514" spans="2:15" x14ac:dyDescent="0.3">
      <c r="B2514" s="1" t="s">
        <v>24</v>
      </c>
      <c r="C2514" s="1" t="str">
        <f t="shared" si="146"/>
        <v>5-2차</v>
      </c>
      <c r="D2514" s="1" t="str">
        <f>"0427Y0325M"</f>
        <v>0427Y0325M</v>
      </c>
      <c r="E2514" s="1" t="s">
        <v>10</v>
      </c>
      <c r="F2514" s="1" t="str">
        <f>"fde3:102:1430:6100:0:0:0:30"</f>
        <v>fde3:102:1430:6100:0:0:0:30</v>
      </c>
      <c r="G2514" s="1" t="str">
        <f>"0427Y032"</f>
        <v>0427Y032</v>
      </c>
      <c r="H2514" s="1" t="str">
        <f>"면목간 79"</f>
        <v>면목간 79</v>
      </c>
      <c r="I2514" s="1" t="s">
        <v>15</v>
      </c>
      <c r="J2514" s="1" t="str">
        <f>"50/50"</f>
        <v>50/50</v>
      </c>
      <c r="K2514" s="1" t="str">
        <f>"2026-07-29 14:21:03"</f>
        <v>2026-07-29 14:21:03</v>
      </c>
      <c r="L2514" s="1" t="str">
        <f>"2024-01-05 10:30:16"</f>
        <v>2024-01-05 10:30:16</v>
      </c>
      <c r="M2514" s="1" t="s">
        <v>45</v>
      </c>
      <c r="N2514" s="1" t="s">
        <v>38</v>
      </c>
      <c r="O2514" s="1" t="s">
        <v>46</v>
      </c>
    </row>
    <row r="2515" spans="2:15" x14ac:dyDescent="0.3">
      <c r="B2515" s="1" t="s">
        <v>24</v>
      </c>
      <c r="C2515" s="1" t="str">
        <f t="shared" si="146"/>
        <v>5-2차</v>
      </c>
      <c r="D2515" s="1" t="str">
        <f>"0427Y0515M"</f>
        <v>0427Y0515M</v>
      </c>
      <c r="E2515" s="1" t="s">
        <v>10</v>
      </c>
      <c r="F2515" s="1" t="str">
        <f>"fde3:102:1430:6100:0:0:0:26"</f>
        <v>fde3:102:1430:6100:0:0:0:26</v>
      </c>
      <c r="G2515" s="1" t="str">
        <f>"0427Y051"</f>
        <v>0427Y051</v>
      </c>
      <c r="H2515" s="1" t="str">
        <f>"면목간 80R2"</f>
        <v>면목간 80R2</v>
      </c>
      <c r="I2515" s="1" t="s">
        <v>15</v>
      </c>
      <c r="J2515" s="1" t="str">
        <f>"40/40"</f>
        <v>40/40</v>
      </c>
      <c r="K2515" s="1" t="str">
        <f>"2026-07-29 14:21:00"</f>
        <v>2026-07-29 14:21:00</v>
      </c>
      <c r="L2515" s="1" t="str">
        <f>"2024-01-05 10:17:08"</f>
        <v>2024-01-05 10:17:08</v>
      </c>
      <c r="M2515" s="1" t="s">
        <v>45</v>
      </c>
      <c r="N2515" s="1" t="s">
        <v>38</v>
      </c>
      <c r="O2515" s="1" t="s">
        <v>46</v>
      </c>
    </row>
    <row r="2516" spans="2:15" x14ac:dyDescent="0.3">
      <c r="B2516" s="1" t="s">
        <v>24</v>
      </c>
      <c r="C2516" s="1" t="str">
        <f t="shared" si="146"/>
        <v>5-2차</v>
      </c>
      <c r="D2516" s="1" t="str">
        <f>"0427Y0525M"</f>
        <v>0427Y0525M</v>
      </c>
      <c r="E2516" s="1" t="s">
        <v>10</v>
      </c>
      <c r="F2516" s="1" t="str">
        <f>"fde3:102:1430:6100:0:0:0:27"</f>
        <v>fde3:102:1430:6100:0:0:0:27</v>
      </c>
      <c r="G2516" s="1" t="str">
        <f>"0427Y052"</f>
        <v>0427Y052</v>
      </c>
      <c r="H2516" s="1" t="str">
        <f>"면목간 80R3"</f>
        <v>면목간 80R3</v>
      </c>
      <c r="I2516" s="1" t="s">
        <v>15</v>
      </c>
      <c r="J2516" s="1" t="str">
        <f>"49/49"</f>
        <v>49/49</v>
      </c>
      <c r="K2516" s="1" t="str">
        <f>"2026-07-29 14:21:00"</f>
        <v>2026-07-29 14:21:00</v>
      </c>
      <c r="L2516" s="1" t="str">
        <f>"2024-01-05 10:18:29"</f>
        <v>2024-01-05 10:18:29</v>
      </c>
      <c r="M2516" s="1" t="s">
        <v>45</v>
      </c>
      <c r="N2516" s="1" t="s">
        <v>38</v>
      </c>
      <c r="O2516" s="1" t="s">
        <v>46</v>
      </c>
    </row>
    <row r="2517" spans="2:15" x14ac:dyDescent="0.3">
      <c r="B2517" s="1" t="s">
        <v>24</v>
      </c>
      <c r="C2517" s="1" t="str">
        <f t="shared" si="146"/>
        <v>5-2차</v>
      </c>
      <c r="D2517" s="1" t="str">
        <f>"0427Y0715M"</f>
        <v>0427Y0715M</v>
      </c>
      <c r="E2517" s="1" t="s">
        <v>10</v>
      </c>
      <c r="F2517" s="1" t="str">
        <f>"fde3:102:1430:6100:0:0:0:25"</f>
        <v>fde3:102:1430:6100:0:0:0:25</v>
      </c>
      <c r="G2517" s="1" t="str">
        <f>"0427Y071"</f>
        <v>0427Y071</v>
      </c>
      <c r="H2517" s="1" t="str">
        <f>"면목간 80R6"</f>
        <v>면목간 80R6</v>
      </c>
      <c r="I2517" s="1" t="s">
        <v>15</v>
      </c>
      <c r="J2517" s="1" t="str">
        <f>"110/110"</f>
        <v>110/110</v>
      </c>
      <c r="K2517" s="1" t="str">
        <f>"2026-07-29 14:21:19"</f>
        <v>2026-07-29 14:21:19</v>
      </c>
      <c r="L2517" s="1" t="str">
        <f>"2024-01-05 10:15:13"</f>
        <v>2024-01-05 10:15:13</v>
      </c>
      <c r="M2517" s="1" t="s">
        <v>45</v>
      </c>
      <c r="N2517" s="1" t="s">
        <v>38</v>
      </c>
      <c r="O2517" s="1" t="s">
        <v>46</v>
      </c>
    </row>
    <row r="2518" spans="2:15" x14ac:dyDescent="0.3">
      <c r="B2518" s="1" t="s">
        <v>24</v>
      </c>
      <c r="C2518" s="1" t="str">
        <f t="shared" si="146"/>
        <v>5-2차</v>
      </c>
      <c r="D2518" s="1" t="str">
        <f>"0427Y0915S"</f>
        <v>0427Y0915S</v>
      </c>
      <c r="E2518" s="1" t="s">
        <v>10</v>
      </c>
      <c r="F2518" s="1" t="str">
        <f>"fde3:102:1430:6100:0:0:0:1f"</f>
        <v>fde3:102:1430:6100:0:0:0:1f</v>
      </c>
      <c r="G2518" s="1" t="str">
        <f>"0427Y091"</f>
        <v>0427Y091</v>
      </c>
      <c r="H2518" s="1" t="str">
        <f>"면목간 92R4"</f>
        <v>면목간 92R4</v>
      </c>
      <c r="I2518" s="1" t="s">
        <v>15</v>
      </c>
      <c r="J2518" s="1" t="str">
        <f>"83/83"</f>
        <v>83/83</v>
      </c>
      <c r="K2518" s="1" t="str">
        <f>"2026-07-29 14:21:01"</f>
        <v>2026-07-29 14:21:01</v>
      </c>
      <c r="L2518" s="1" t="str">
        <f>"2024-01-05 10:06:18"</f>
        <v>2024-01-05 10:06:18</v>
      </c>
      <c r="M2518" s="1" t="s">
        <v>45</v>
      </c>
      <c r="N2518" s="1" t="s">
        <v>38</v>
      </c>
      <c r="O2518" s="1" t="s">
        <v>46</v>
      </c>
    </row>
    <row r="2519" spans="2:15" x14ac:dyDescent="0.3">
      <c r="B2519" s="1" t="s">
        <v>24</v>
      </c>
      <c r="C2519" s="1" t="str">
        <f t="shared" si="146"/>
        <v>5-2차</v>
      </c>
      <c r="D2519" s="1" t="str">
        <f>"0427Y1015S"</f>
        <v>0427Y1015S</v>
      </c>
      <c r="E2519" s="1" t="s">
        <v>10</v>
      </c>
      <c r="F2519" s="1" t="str">
        <f>"fde3:102:1430:6300:0:0:0:6"</f>
        <v>fde3:102:1430:6300:0:0:0:6</v>
      </c>
      <c r="G2519" s="1" t="str">
        <f>"0427Y101"</f>
        <v>0427Y101</v>
      </c>
      <c r="H2519" s="1" t="str">
        <f>"용마간 35"</f>
        <v>용마간 35</v>
      </c>
      <c r="I2519" s="1" t="s">
        <v>15</v>
      </c>
      <c r="J2519" s="1" t="str">
        <f>"44/44"</f>
        <v>44/44</v>
      </c>
      <c r="K2519" s="1" t="str">
        <f>"2026-07-29 14:21:19"</f>
        <v>2026-07-29 14:21:19</v>
      </c>
      <c r="L2519" s="1" t="str">
        <f>"2023-12-19 09:18:36"</f>
        <v>2023-12-19 09:18:36</v>
      </c>
      <c r="M2519" s="1" t="s">
        <v>45</v>
      </c>
      <c r="N2519" s="1" t="s">
        <v>38</v>
      </c>
      <c r="O2519" s="1" t="s">
        <v>46</v>
      </c>
    </row>
    <row r="2520" spans="2:15" x14ac:dyDescent="0.3">
      <c r="B2520" s="1" t="s">
        <v>24</v>
      </c>
      <c r="C2520" s="1" t="str">
        <f t="shared" si="146"/>
        <v>5-2차</v>
      </c>
      <c r="D2520" s="1" t="str">
        <f>"0427Y1335M"</f>
        <v>0427Y1335M</v>
      </c>
      <c r="E2520" s="1" t="s">
        <v>10</v>
      </c>
      <c r="F2520" s="1" t="str">
        <f>"fde1:103:4:9347:0:0:0:2"</f>
        <v>fde1:103:4:9347:0:0:0:2</v>
      </c>
      <c r="G2520" s="1" t="str">
        <f>"0427Y133"</f>
        <v>0427Y133</v>
      </c>
      <c r="H2520" s="1" t="str">
        <f>"면목간 77"</f>
        <v>면목간 77</v>
      </c>
      <c r="I2520" s="1" t="s">
        <v>15</v>
      </c>
      <c r="J2520" s="1" t="str">
        <f>"77/77"</f>
        <v>77/77</v>
      </c>
      <c r="K2520" s="1" t="str">
        <f>"2026-07-29 14:21:01"</f>
        <v>2026-07-29 14:21:01</v>
      </c>
      <c r="L2520" s="1" t="str">
        <f>"2023-12-20 09:34:23"</f>
        <v>2023-12-20 09:34:23</v>
      </c>
      <c r="M2520" s="1" t="s">
        <v>4</v>
      </c>
      <c r="N2520" s="1" t="s">
        <v>38</v>
      </c>
      <c r="O2520" s="1" t="s">
        <v>46</v>
      </c>
    </row>
    <row r="2521" spans="2:15" x14ac:dyDescent="0.3">
      <c r="B2521" s="1" t="s">
        <v>24</v>
      </c>
      <c r="C2521" s="1" t="str">
        <f t="shared" si="146"/>
        <v>5-2차</v>
      </c>
      <c r="D2521" s="1" t="str">
        <f>"0427Y1375M"</f>
        <v>0427Y1375M</v>
      </c>
      <c r="E2521" s="1" t="s">
        <v>10</v>
      </c>
      <c r="F2521" s="1" t="str">
        <f>"fde1:103:4:93f2:0:0:0:2"</f>
        <v>fde1:103:4:93f2:0:0:0:2</v>
      </c>
      <c r="G2521" s="1" t="str">
        <f>"0427Y137"</f>
        <v>0427Y137</v>
      </c>
      <c r="H2521" s="1" t="str">
        <f>"면목간 72"</f>
        <v>면목간 72</v>
      </c>
      <c r="I2521" s="1" t="s">
        <v>15</v>
      </c>
      <c r="J2521" s="1" t="str">
        <f>"34/36"</f>
        <v>34/36</v>
      </c>
      <c r="K2521" s="1" t="str">
        <f>"2026-07-29 14:21:01"</f>
        <v>2026-07-29 14:21:01</v>
      </c>
      <c r="L2521" s="1" t="str">
        <f>"2023-12-20 09:35:43"</f>
        <v>2023-12-20 09:35:43</v>
      </c>
      <c r="M2521" s="1" t="s">
        <v>4</v>
      </c>
      <c r="N2521" s="1" t="s">
        <v>38</v>
      </c>
      <c r="O2521" s="1" t="s">
        <v>46</v>
      </c>
    </row>
    <row r="2522" spans="2:15" x14ac:dyDescent="0.3">
      <c r="B2522" s="1" t="s">
        <v>24</v>
      </c>
      <c r="C2522" s="1" t="str">
        <f t="shared" si="146"/>
        <v>5-2차</v>
      </c>
      <c r="D2522" s="1" t="str">
        <f>"0427Y1515M"</f>
        <v>0427Y1515M</v>
      </c>
      <c r="E2522" s="1" t="s">
        <v>10</v>
      </c>
      <c r="F2522" s="1" t="str">
        <f>"fde3:102:1430:6100:0:0:0:21"</f>
        <v>fde3:102:1430:6100:0:0:0:21</v>
      </c>
      <c r="G2522" s="1" t="str">
        <f>"0427Y151"</f>
        <v>0427Y151</v>
      </c>
      <c r="H2522" s="1" t="str">
        <f>"면목간 92R11"</f>
        <v>면목간 92R11</v>
      </c>
      <c r="I2522" s="1" t="s">
        <v>15</v>
      </c>
      <c r="J2522" s="1" t="str">
        <f>"35/35"</f>
        <v>35/35</v>
      </c>
      <c r="K2522" s="1" t="str">
        <f>"2026-07-29 14:21:00"</f>
        <v>2026-07-29 14:21:00</v>
      </c>
      <c r="L2522" s="1" t="str">
        <f>"2024-01-05 14:42:58"</f>
        <v>2024-01-05 14:42:58</v>
      </c>
      <c r="M2522" s="1" t="s">
        <v>45</v>
      </c>
      <c r="N2522" s="1" t="s">
        <v>38</v>
      </c>
      <c r="O2522" s="1" t="s">
        <v>46</v>
      </c>
    </row>
    <row r="2523" spans="2:15" x14ac:dyDescent="0.3">
      <c r="B2523" s="1" t="s">
        <v>24</v>
      </c>
      <c r="C2523" s="1" t="str">
        <f t="shared" si="146"/>
        <v>5-2차</v>
      </c>
      <c r="D2523" s="1" t="str">
        <f>"0427Y1615M"</f>
        <v>0427Y1615M</v>
      </c>
      <c r="E2523" s="1" t="s">
        <v>10</v>
      </c>
      <c r="F2523" s="1" t="str">
        <f>"fde3:102:1430:6100:0:0:0:22"</f>
        <v>fde3:102:1430:6100:0:0:0:22</v>
      </c>
      <c r="G2523" s="1" t="str">
        <f>"0427Y161"</f>
        <v>0427Y161</v>
      </c>
      <c r="H2523" s="1" t="str">
        <f>"면목간 92R10"</f>
        <v>면목간 92R10</v>
      </c>
      <c r="I2523" s="1" t="s">
        <v>15</v>
      </c>
      <c r="J2523" s="1" t="str">
        <f>"75/75"</f>
        <v>75/75</v>
      </c>
      <c r="K2523" s="1" t="str">
        <f>"2026-07-29 14:21:00"</f>
        <v>2026-07-29 14:21:00</v>
      </c>
      <c r="L2523" s="1" t="str">
        <f>"2024-01-05 10:10:32"</f>
        <v>2024-01-05 10:10:32</v>
      </c>
      <c r="M2523" s="1" t="s">
        <v>45</v>
      </c>
      <c r="N2523" s="1" t="s">
        <v>38</v>
      </c>
      <c r="O2523" s="1" t="s">
        <v>46</v>
      </c>
    </row>
    <row r="2524" spans="2:15" x14ac:dyDescent="0.3">
      <c r="B2524" s="1" t="s">
        <v>24</v>
      </c>
      <c r="C2524" s="1" t="str">
        <f t="shared" si="146"/>
        <v>5-2차</v>
      </c>
      <c r="D2524" s="1" t="str">
        <f>"0427Y1815M"</f>
        <v>0427Y1815M</v>
      </c>
      <c r="E2524" s="1" t="s">
        <v>10</v>
      </c>
      <c r="F2524" s="1" t="str">
        <f>"fde3:102:1430:6100:0:0:0:1d"</f>
        <v>fde3:102:1430:6100:0:0:0:1d</v>
      </c>
      <c r="G2524" s="1" t="str">
        <f>"0427Y181"</f>
        <v>0427Y181</v>
      </c>
      <c r="H2524" s="1" t="str">
        <f>"면목간 92R5"</f>
        <v>면목간 92R5</v>
      </c>
      <c r="I2524" s="1" t="s">
        <v>15</v>
      </c>
      <c r="J2524" s="1" t="str">
        <f>"77/77"</f>
        <v>77/77</v>
      </c>
      <c r="K2524" s="1" t="str">
        <f>"2026-07-29 14:21:01"</f>
        <v>2026-07-29 14:21:01</v>
      </c>
      <c r="L2524" s="1" t="str">
        <f>"2024-01-05 10:03:10"</f>
        <v>2024-01-05 10:03:10</v>
      </c>
      <c r="M2524" s="1" t="s">
        <v>45</v>
      </c>
      <c r="N2524" s="1" t="s">
        <v>38</v>
      </c>
      <c r="O2524" s="1" t="s">
        <v>46</v>
      </c>
    </row>
    <row r="2525" spans="2:15" x14ac:dyDescent="0.3">
      <c r="B2525" s="1" t="s">
        <v>24</v>
      </c>
      <c r="C2525" s="1" t="str">
        <f t="shared" si="146"/>
        <v>5-2차</v>
      </c>
      <c r="D2525" s="1" t="str">
        <f>"0427Y1835M"</f>
        <v>0427Y1835M</v>
      </c>
      <c r="E2525" s="1" t="s">
        <v>10</v>
      </c>
      <c r="F2525" s="1" t="str">
        <f>"fde3:102:1430:6100:0:0:0:23"</f>
        <v>fde3:102:1430:6100:0:0:0:23</v>
      </c>
      <c r="G2525" s="1" t="str">
        <f>"0427Y183"</f>
        <v>0427Y183</v>
      </c>
      <c r="H2525" s="1" t="str">
        <f>"면목간 92R7"</f>
        <v>면목간 92R7</v>
      </c>
      <c r="I2525" s="1" t="s">
        <v>15</v>
      </c>
      <c r="J2525" s="1" t="str">
        <f>"54/54"</f>
        <v>54/54</v>
      </c>
      <c r="K2525" s="1" t="str">
        <f>"2026-07-29 14:21:02"</f>
        <v>2026-07-29 14:21:02</v>
      </c>
      <c r="L2525" s="1" t="str">
        <f>"2024-01-05 10:12:23"</f>
        <v>2024-01-05 10:12:23</v>
      </c>
      <c r="M2525" s="1" t="s">
        <v>45</v>
      </c>
      <c r="N2525" s="1" t="s">
        <v>38</v>
      </c>
      <c r="O2525" s="1" t="s">
        <v>46</v>
      </c>
    </row>
    <row r="2526" spans="2:15" x14ac:dyDescent="0.3">
      <c r="B2526" s="1" t="s">
        <v>24</v>
      </c>
      <c r="C2526" s="1" t="str">
        <f>"5-1차"</f>
        <v>5-1차</v>
      </c>
      <c r="D2526" s="1" t="str">
        <f>"0427Y2415S"</f>
        <v>0427Y2415S</v>
      </c>
      <c r="E2526" s="1" t="s">
        <v>10</v>
      </c>
      <c r="F2526" s="1" t="str">
        <f>"fde3:102:1430:6100:0:0:0:7"</f>
        <v>fde3:102:1430:6100:0:0:0:7</v>
      </c>
      <c r="G2526" s="1" t="str">
        <f>"0427Y241"</f>
        <v>0427Y241</v>
      </c>
      <c r="H2526" s="1" t="str">
        <f>"면목간 76R1"</f>
        <v>면목간 76R1</v>
      </c>
      <c r="I2526" s="1" t="s">
        <v>15</v>
      </c>
      <c r="J2526" s="1" t="str">
        <f>"47/47"</f>
        <v>47/47</v>
      </c>
      <c r="K2526" s="1" t="str">
        <f>"2026-07-29 14:21:03"</f>
        <v>2026-07-29 14:21:03</v>
      </c>
      <c r="L2526" s="1" t="str">
        <f>"2022-11-10 10:00:44"</f>
        <v>2022-11-10 10:00:44</v>
      </c>
      <c r="M2526" s="1" t="s">
        <v>45</v>
      </c>
      <c r="N2526" s="1" t="s">
        <v>38</v>
      </c>
      <c r="O2526" s="1" t="s">
        <v>46</v>
      </c>
    </row>
    <row r="2527" spans="2:15" x14ac:dyDescent="0.3">
      <c r="B2527" s="1" t="s">
        <v>24</v>
      </c>
      <c r="C2527" s="1" t="str">
        <f t="shared" ref="C2527:C2536" si="147">"5-2차"</f>
        <v>5-2차</v>
      </c>
      <c r="D2527" s="1" t="str">
        <f>"0427Y2615M"</f>
        <v>0427Y2615M</v>
      </c>
      <c r="E2527" s="1" t="s">
        <v>10</v>
      </c>
      <c r="F2527" s="1" t="str">
        <f>"fde1:103:4:92f1:0:0:0:2"</f>
        <v>fde1:103:4:92f1:0:0:0:2</v>
      </c>
      <c r="G2527" s="1" t="str">
        <f>"0427Y261"</f>
        <v>0427Y261</v>
      </c>
      <c r="H2527" s="1" t="str">
        <f>"면목간 76R3"</f>
        <v>면목간 76R3</v>
      </c>
      <c r="I2527" s="1" t="s">
        <v>15</v>
      </c>
      <c r="J2527" s="1" t="str">
        <f>"82/82"</f>
        <v>82/82</v>
      </c>
      <c r="K2527" s="1" t="str">
        <f>"2026-07-29 14:21:02"</f>
        <v>2026-07-29 14:21:02</v>
      </c>
      <c r="L2527" s="1" t="str">
        <f>"2023-12-20 09:36:07"</f>
        <v>2023-12-20 09:36:07</v>
      </c>
      <c r="M2527" s="1" t="s">
        <v>4</v>
      </c>
      <c r="N2527" s="1" t="s">
        <v>38</v>
      </c>
      <c r="O2527" s="1" t="s">
        <v>46</v>
      </c>
    </row>
    <row r="2528" spans="2:15" x14ac:dyDescent="0.3">
      <c r="B2528" s="1" t="s">
        <v>24</v>
      </c>
      <c r="C2528" s="1" t="str">
        <f t="shared" si="147"/>
        <v>5-2차</v>
      </c>
      <c r="D2528" s="1" t="str">
        <f>"0427Y2625M"</f>
        <v>0427Y2625M</v>
      </c>
      <c r="E2528" s="1" t="s">
        <v>10</v>
      </c>
      <c r="F2528" s="1" t="str">
        <f>"fde1:103:4:92dc:0:0:0:2"</f>
        <v>fde1:103:4:92dc:0:0:0:2</v>
      </c>
      <c r="G2528" s="1" t="str">
        <f>"0427Y262"</f>
        <v>0427Y262</v>
      </c>
      <c r="H2528" s="1" t="str">
        <f>"면목간 76R4"</f>
        <v>면목간 76R4</v>
      </c>
      <c r="I2528" s="1" t="s">
        <v>15</v>
      </c>
      <c r="J2528" s="1" t="str">
        <f>"95/95"</f>
        <v>95/95</v>
      </c>
      <c r="K2528" s="1" t="str">
        <f>"2026-07-29 14:21:04"</f>
        <v>2026-07-29 14:21:04</v>
      </c>
      <c r="L2528" s="1" t="str">
        <f>"2023-12-20 09:36:34"</f>
        <v>2023-12-20 09:36:34</v>
      </c>
      <c r="M2528" s="1" t="s">
        <v>4</v>
      </c>
      <c r="N2528" s="1" t="s">
        <v>38</v>
      </c>
      <c r="O2528" s="1" t="s">
        <v>46</v>
      </c>
    </row>
    <row r="2529" spans="2:15" x14ac:dyDescent="0.3">
      <c r="B2529" s="1" t="s">
        <v>24</v>
      </c>
      <c r="C2529" s="1" t="str">
        <f t="shared" si="147"/>
        <v>5-2차</v>
      </c>
      <c r="D2529" s="1" t="str">
        <f>"0427Y2915M"</f>
        <v>0427Y2915M</v>
      </c>
      <c r="E2529" s="1" t="s">
        <v>10</v>
      </c>
      <c r="F2529" s="1" t="str">
        <f>"fde3:102:1430:9800:0:0:0:e"</f>
        <v>fde3:102:1430:9800:0:0:0:e</v>
      </c>
      <c r="G2529" s="1" t="str">
        <f>"0427Y291"</f>
        <v>0427Y291</v>
      </c>
      <c r="H2529" s="1" t="str">
        <f>"면목간 101"</f>
        <v>면목간 101</v>
      </c>
      <c r="I2529" s="1" t="s">
        <v>15</v>
      </c>
      <c r="J2529" s="1" t="str">
        <f>"68/69"</f>
        <v>68/69</v>
      </c>
      <c r="K2529" s="1" t="str">
        <f>"2026-07-29 14:21:02"</f>
        <v>2026-07-29 14:21:02</v>
      </c>
      <c r="L2529" s="1" t="str">
        <f>"2023-12-08 13:53:37"</f>
        <v>2023-12-08 13:53:37</v>
      </c>
      <c r="M2529" s="1" t="s">
        <v>45</v>
      </c>
      <c r="N2529" s="1" t="s">
        <v>38</v>
      </c>
      <c r="O2529" s="1" t="s">
        <v>46</v>
      </c>
    </row>
    <row r="2530" spans="2:15" x14ac:dyDescent="0.3">
      <c r="B2530" s="1" t="s">
        <v>24</v>
      </c>
      <c r="C2530" s="1" t="str">
        <f t="shared" si="147"/>
        <v>5-2차</v>
      </c>
      <c r="D2530" s="1" t="str">
        <f>"0427Y3325M"</f>
        <v>0427Y3325M</v>
      </c>
      <c r="E2530" s="1" t="s">
        <v>10</v>
      </c>
      <c r="F2530" s="1" t="str">
        <f>"fde1:103:4:92c9:0:0:0:2"</f>
        <v>fde1:103:4:92c9:0:0:0:2</v>
      </c>
      <c r="G2530" s="1" t="str">
        <f>"0427Y332"</f>
        <v>0427Y332</v>
      </c>
      <c r="H2530" s="1" t="str">
        <f>"용마간 42"</f>
        <v>용마간 42</v>
      </c>
      <c r="I2530" s="1" t="s">
        <v>15</v>
      </c>
      <c r="J2530" s="1" t="str">
        <f>"18/18"</f>
        <v>18/18</v>
      </c>
      <c r="K2530" s="1" t="str">
        <f>"2026-07-29 14:21:02"</f>
        <v>2026-07-29 14:21:02</v>
      </c>
      <c r="L2530" s="1" t="str">
        <f>"2023-12-20 09:36:58"</f>
        <v>2023-12-20 09:36:58</v>
      </c>
      <c r="M2530" s="1" t="s">
        <v>4</v>
      </c>
      <c r="N2530" s="1" t="s">
        <v>38</v>
      </c>
      <c r="O2530" s="1" t="s">
        <v>46</v>
      </c>
    </row>
    <row r="2531" spans="2:15" x14ac:dyDescent="0.3">
      <c r="B2531" s="1" t="s">
        <v>24</v>
      </c>
      <c r="C2531" s="1" t="str">
        <f t="shared" si="147"/>
        <v>5-2차</v>
      </c>
      <c r="D2531" s="1" t="str">
        <f>"0427Y3635M"</f>
        <v>0427Y3635M</v>
      </c>
      <c r="E2531" s="1" t="s">
        <v>10</v>
      </c>
      <c r="F2531" s="1" t="str">
        <f>"fde1:103:4:92c5:0:0:0:2"</f>
        <v>fde1:103:4:92c5:0:0:0:2</v>
      </c>
      <c r="G2531" s="1" t="str">
        <f>"0427Y363"</f>
        <v>0427Y363</v>
      </c>
      <c r="H2531" s="1" t="str">
        <f>"면목간 74R6"</f>
        <v>면목간 74R6</v>
      </c>
      <c r="I2531" s="1" t="s">
        <v>15</v>
      </c>
      <c r="J2531" s="1" t="str">
        <f>"18/18"</f>
        <v>18/18</v>
      </c>
      <c r="K2531" s="1" t="str">
        <f>"2026-07-29 14:21:03"</f>
        <v>2026-07-29 14:21:03</v>
      </c>
      <c r="L2531" s="1" t="str">
        <f>"2023-12-20 09:53:41"</f>
        <v>2023-12-20 09:53:41</v>
      </c>
      <c r="M2531" s="1" t="s">
        <v>4</v>
      </c>
      <c r="N2531" s="1" t="s">
        <v>38</v>
      </c>
      <c r="O2531" s="1" t="s">
        <v>46</v>
      </c>
    </row>
    <row r="2532" spans="2:15" x14ac:dyDescent="0.3">
      <c r="B2532" s="1" t="s">
        <v>24</v>
      </c>
      <c r="C2532" s="1" t="str">
        <f t="shared" si="147"/>
        <v>5-2차</v>
      </c>
      <c r="D2532" s="1" t="str">
        <f>"0427Y3715M"</f>
        <v>0427Y3715M</v>
      </c>
      <c r="E2532" s="1" t="s">
        <v>10</v>
      </c>
      <c r="F2532" s="1" t="str">
        <f>"fde3:102:1430:6100:0:0:0:28"</f>
        <v>fde3:102:1430:6100:0:0:0:28</v>
      </c>
      <c r="G2532" s="1" t="str">
        <f>"0427Y371"</f>
        <v>0427Y371</v>
      </c>
      <c r="H2532" s="1" t="str">
        <f>"면목간 74R9"</f>
        <v>면목간 74R9</v>
      </c>
      <c r="I2532" s="1" t="s">
        <v>15</v>
      </c>
      <c r="J2532" s="1" t="str">
        <f>"33/33"</f>
        <v>33/33</v>
      </c>
      <c r="K2532" s="1" t="str">
        <f>"2026-07-29 14:21:02"</f>
        <v>2026-07-29 14:21:02</v>
      </c>
      <c r="L2532" s="1" t="str">
        <f>"2024-01-05 10:19:53"</f>
        <v>2024-01-05 10:19:53</v>
      </c>
      <c r="M2532" s="1" t="s">
        <v>45</v>
      </c>
      <c r="N2532" s="1" t="s">
        <v>38</v>
      </c>
      <c r="O2532" s="1" t="s">
        <v>46</v>
      </c>
    </row>
    <row r="2533" spans="2:15" x14ac:dyDescent="0.3">
      <c r="B2533" s="1" t="s">
        <v>24</v>
      </c>
      <c r="C2533" s="1" t="str">
        <f t="shared" si="147"/>
        <v>5-2차</v>
      </c>
      <c r="D2533" s="1" t="str">
        <f>"0427Y5565M"</f>
        <v>0427Y5565M</v>
      </c>
      <c r="E2533" s="1" t="s">
        <v>10</v>
      </c>
      <c r="F2533" s="1" t="str">
        <f>"fde3:102:1430:6300:0:0:0:7"</f>
        <v>fde3:102:1430:6300:0:0:0:7</v>
      </c>
      <c r="G2533" s="1" t="str">
        <f>"0427Y556"</f>
        <v>0427Y556</v>
      </c>
      <c r="H2533" s="1" t="str">
        <f>"용마간 45R2R2"</f>
        <v>용마간 45R2R2</v>
      </c>
      <c r="I2533" s="1" t="s">
        <v>15</v>
      </c>
      <c r="J2533" s="1" t="str">
        <f>"15/15"</f>
        <v>15/15</v>
      </c>
      <c r="K2533" s="1" t="str">
        <f>"2026-07-29 14:21:02"</f>
        <v>2026-07-29 14:21:02</v>
      </c>
      <c r="L2533" s="1" t="str">
        <f>"2024-01-04 11:53:22"</f>
        <v>2024-01-04 11:53:22</v>
      </c>
      <c r="M2533" s="1" t="s">
        <v>45</v>
      </c>
      <c r="N2533" s="1" t="s">
        <v>38</v>
      </c>
      <c r="O2533" s="1" t="s">
        <v>46</v>
      </c>
    </row>
    <row r="2534" spans="2:15" x14ac:dyDescent="0.3">
      <c r="B2534" s="1" t="s">
        <v>24</v>
      </c>
      <c r="C2534" s="1" t="str">
        <f t="shared" si="147"/>
        <v>5-2차</v>
      </c>
      <c r="D2534" s="1" t="str">
        <f>"0427Y5615M"</f>
        <v>0427Y5615M</v>
      </c>
      <c r="E2534" s="1" t="s">
        <v>10</v>
      </c>
      <c r="F2534" s="1" t="str">
        <f>"fde1:103:4:92ae:0:0:0:2"</f>
        <v>fde1:103:4:92ae:0:0:0:2</v>
      </c>
      <c r="G2534" s="1" t="str">
        <f>"0427Y561"</f>
        <v>0427Y561</v>
      </c>
      <c r="H2534" s="1" t="str">
        <f>"용마간 45R3"</f>
        <v>용마간 45R3</v>
      </c>
      <c r="I2534" s="1" t="s">
        <v>15</v>
      </c>
      <c r="J2534" s="1" t="str">
        <f>"43/43"</f>
        <v>43/43</v>
      </c>
      <c r="K2534" s="1" t="str">
        <f>"2026-07-29 14:21:03"</f>
        <v>2026-07-29 14:21:03</v>
      </c>
      <c r="L2534" s="1" t="str">
        <f>"2023-12-20 09:54:10"</f>
        <v>2023-12-20 09:54:10</v>
      </c>
      <c r="M2534" s="1" t="s">
        <v>4</v>
      </c>
      <c r="N2534" s="1" t="s">
        <v>38</v>
      </c>
      <c r="O2534" s="1" t="s">
        <v>46</v>
      </c>
    </row>
    <row r="2535" spans="2:15" x14ac:dyDescent="0.3">
      <c r="B2535" s="1" t="s">
        <v>24</v>
      </c>
      <c r="C2535" s="1" t="str">
        <f t="shared" si="147"/>
        <v>5-2차</v>
      </c>
      <c r="D2535" s="1" t="str">
        <f>"0427Y6645M"</f>
        <v>0427Y6645M</v>
      </c>
      <c r="E2535" s="1" t="s">
        <v>10</v>
      </c>
      <c r="F2535" s="1" t="str">
        <f>"fde3:102:1430:6300:0:0:0:8"</f>
        <v>fde3:102:1430:6300:0:0:0:8</v>
      </c>
      <c r="G2535" s="1" t="str">
        <f>"0427Y664"</f>
        <v>0427Y664</v>
      </c>
      <c r="H2535" s="1" t="str">
        <f>"용마간 45R4"</f>
        <v>용마간 45R4</v>
      </c>
      <c r="I2535" s="1" t="s">
        <v>15</v>
      </c>
      <c r="J2535" s="1" t="str">
        <f>"44/46"</f>
        <v>44/46</v>
      </c>
      <c r="K2535" s="1" t="str">
        <f>"2026-07-29 14:21:02"</f>
        <v>2026-07-29 14:21:02</v>
      </c>
      <c r="L2535" s="1" t="str">
        <f>"2024-01-04 11:18:51"</f>
        <v>2024-01-04 11:18:51</v>
      </c>
      <c r="M2535" s="1" t="s">
        <v>45</v>
      </c>
      <c r="N2535" s="1" t="s">
        <v>38</v>
      </c>
      <c r="O2535" s="1" t="s">
        <v>46</v>
      </c>
    </row>
    <row r="2536" spans="2:15" x14ac:dyDescent="0.3">
      <c r="B2536" s="1" t="s">
        <v>24</v>
      </c>
      <c r="C2536" s="1" t="str">
        <f t="shared" si="147"/>
        <v>5-2차</v>
      </c>
      <c r="D2536" s="1" t="str">
        <f>"0427Y6925M"</f>
        <v>0427Y6925M</v>
      </c>
      <c r="E2536" s="1" t="s">
        <v>10</v>
      </c>
      <c r="F2536" s="1" t="str">
        <f>"fde3:102:1430:6200:0:0:0:f"</f>
        <v>fde3:102:1430:6200:0:0:0:f</v>
      </c>
      <c r="G2536" s="1" t="str">
        <f>"0427Y692"</f>
        <v>0427Y692</v>
      </c>
      <c r="H2536" s="1" t="str">
        <f>"서일간 2R4"</f>
        <v>서일간 2R4</v>
      </c>
      <c r="I2536" s="1" t="s">
        <v>15</v>
      </c>
      <c r="J2536" s="1" t="str">
        <f>"49/49"</f>
        <v>49/49</v>
      </c>
      <c r="K2536" s="1" t="str">
        <f>"2026-07-29 14:21:00"</f>
        <v>2026-07-29 14:21:00</v>
      </c>
      <c r="L2536" s="1" t="str">
        <f>"2023-12-03 12:33:15"</f>
        <v>2023-12-03 12:33:15</v>
      </c>
      <c r="M2536" s="1" t="s">
        <v>45</v>
      </c>
      <c r="N2536" s="1" t="s">
        <v>38</v>
      </c>
      <c r="O2536" s="1" t="s">
        <v>46</v>
      </c>
    </row>
    <row r="2537" spans="2:15" x14ac:dyDescent="0.3">
      <c r="B2537" s="1" t="s">
        <v>24</v>
      </c>
      <c r="C2537" s="1" t="str">
        <f>"5-1차"</f>
        <v>5-1차</v>
      </c>
      <c r="D2537" s="1" t="str">
        <f>"0427Y6935M"</f>
        <v>0427Y6935M</v>
      </c>
      <c r="E2537" s="1" t="s">
        <v>10</v>
      </c>
      <c r="F2537" s="1" t="str">
        <f>"fde2:104:0:138:0:0:0:2"</f>
        <v>fde2:104:0:138:0:0:0:2</v>
      </c>
      <c r="G2537" s="1" t="str">
        <f>"0427Y693"</f>
        <v>0427Y693</v>
      </c>
      <c r="H2537" s="1" t="str">
        <f>"서일간 2R3"</f>
        <v>서일간 2R3</v>
      </c>
      <c r="I2537" s="1" t="s">
        <v>15</v>
      </c>
      <c r="J2537" s="1" t="str">
        <f>"31/32"</f>
        <v>31/32</v>
      </c>
      <c r="K2537" s="1" t="str">
        <f>"2026-07-29 14:21:03"</f>
        <v>2026-07-29 14:21:03</v>
      </c>
      <c r="L2537" s="1" t="str">
        <f>"2022-10-06 08:54:09"</f>
        <v>2022-10-06 08:54:09</v>
      </c>
      <c r="M2537" s="1" t="s">
        <v>42</v>
      </c>
      <c r="N2537" s="1" t="s">
        <v>38</v>
      </c>
      <c r="O2537" s="1" t="s">
        <v>46</v>
      </c>
    </row>
    <row r="2538" spans="2:15" x14ac:dyDescent="0.3">
      <c r="B2538" s="1" t="s">
        <v>24</v>
      </c>
      <c r="C2538" s="1" t="str">
        <f>"4차"</f>
        <v>4차</v>
      </c>
      <c r="D2538" s="1" t="str">
        <f>"0428A00144"</f>
        <v>0428A00144</v>
      </c>
      <c r="E2538" s="1" t="s">
        <v>10</v>
      </c>
      <c r="F2538" s="1" t="str">
        <f>"10.10.61.234"</f>
        <v>10.10.61.234</v>
      </c>
      <c r="G2538" s="1" t="str">
        <f>"0428A001"</f>
        <v>0428A001</v>
      </c>
      <c r="H2538" s="1" t="str">
        <f>"묵동지 12R9"</f>
        <v>묵동지 12R9</v>
      </c>
      <c r="I2538" s="1" t="s">
        <v>8</v>
      </c>
      <c r="J2538" s="1" t="str">
        <f>"30/30"</f>
        <v>30/30</v>
      </c>
      <c r="K2538" s="1" t="str">
        <f>"2026-07-29 13:18:03"</f>
        <v>2026-07-29 13:18:03</v>
      </c>
      <c r="L2538" s="1" t="str">
        <f>"2019-10-16 12:13:04"</f>
        <v>2019-10-16 12:13:04</v>
      </c>
      <c r="M2538" s="1" t="s">
        <v>1</v>
      </c>
      <c r="N2538" s="1" t="s">
        <v>38</v>
      </c>
      <c r="O2538" s="1" t="s">
        <v>46</v>
      </c>
    </row>
    <row r="2539" spans="2:15" x14ac:dyDescent="0.3">
      <c r="B2539" s="1" t="s">
        <v>24</v>
      </c>
      <c r="C2539" s="1" t="str">
        <f>"3차"</f>
        <v>3차</v>
      </c>
      <c r="D2539" s="1" t="str">
        <f>"0428A00439"</f>
        <v>0428A00439</v>
      </c>
      <c r="E2539" s="1" t="s">
        <v>10</v>
      </c>
      <c r="F2539" s="1" t="str">
        <f>"10.10.13.218"</f>
        <v>10.10.13.218</v>
      </c>
      <c r="G2539" s="1" t="str">
        <f>"0428A004"</f>
        <v>0428A004</v>
      </c>
      <c r="H2539" s="1" t="str">
        <f>"묵동지 12R8"</f>
        <v>묵동지 12R8</v>
      </c>
      <c r="I2539" s="1" t="s">
        <v>8</v>
      </c>
      <c r="J2539" s="1" t="str">
        <f>"43/43"</f>
        <v>43/43</v>
      </c>
      <c r="K2539" s="1" t="str">
        <f>"2026-07-29 13:18:05"</f>
        <v>2026-07-29 13:18:05</v>
      </c>
      <c r="L2539" s="1" t="str">
        <f>"2018-01-17 15:58:12"</f>
        <v>2018-01-17 15:58:12</v>
      </c>
      <c r="M2539" s="1" t="s">
        <v>1</v>
      </c>
      <c r="N2539" s="1" t="s">
        <v>38</v>
      </c>
      <c r="O2539" s="1" t="s">
        <v>46</v>
      </c>
    </row>
    <row r="2540" spans="2:15" x14ac:dyDescent="0.3">
      <c r="B2540" s="1" t="s">
        <v>24</v>
      </c>
      <c r="C2540" s="1" t="str">
        <f>"4차"</f>
        <v>4차</v>
      </c>
      <c r="D2540" s="1" t="str">
        <f>"0428A02144"</f>
        <v>0428A02144</v>
      </c>
      <c r="E2540" s="1" t="s">
        <v>10</v>
      </c>
      <c r="F2540" s="1" t="str">
        <f>"10.10.61.202"</f>
        <v>10.10.61.202</v>
      </c>
      <c r="G2540" s="1" t="str">
        <f>"0428A021"</f>
        <v>0428A021</v>
      </c>
      <c r="H2540" s="1" t="str">
        <f>"묵동지 16R7"</f>
        <v>묵동지 16R7</v>
      </c>
      <c r="I2540" s="1" t="s">
        <v>8</v>
      </c>
      <c r="J2540" s="1" t="str">
        <f>"96/97"</f>
        <v>96/97</v>
      </c>
      <c r="K2540" s="1" t="str">
        <f>"2026-07-29 13:18:05"</f>
        <v>2026-07-29 13:18:05</v>
      </c>
      <c r="L2540" s="1" t="str">
        <f>"2019-10-16 10:47:50"</f>
        <v>2019-10-16 10:47:50</v>
      </c>
      <c r="M2540" s="1" t="s">
        <v>1</v>
      </c>
      <c r="N2540" s="1" t="s">
        <v>38</v>
      </c>
      <c r="O2540" s="1" t="s">
        <v>46</v>
      </c>
    </row>
    <row r="2541" spans="2:15" x14ac:dyDescent="0.3">
      <c r="B2541" s="1" t="s">
        <v>24</v>
      </c>
      <c r="C2541" s="1" t="str">
        <f>"3차"</f>
        <v>3차</v>
      </c>
      <c r="D2541" s="1" t="str">
        <f>"0428A09130"</f>
        <v>0428A09130</v>
      </c>
      <c r="E2541" s="1" t="s">
        <v>10</v>
      </c>
      <c r="F2541" s="1" t="str">
        <f>"10.10.13.106"</f>
        <v>10.10.13.106</v>
      </c>
      <c r="G2541" s="1" t="str">
        <f>"0428A091"</f>
        <v>0428A091</v>
      </c>
      <c r="H2541" s="1" t="str">
        <f>"묵동지 34R8L1"</f>
        <v>묵동지 34R8L1</v>
      </c>
      <c r="I2541" s="1" t="s">
        <v>8</v>
      </c>
      <c r="J2541" s="1" t="str">
        <f>"64/64"</f>
        <v>64/64</v>
      </c>
      <c r="K2541" s="1" t="str">
        <f>"2026-07-29 13:18:05"</f>
        <v>2026-07-29 13:18:05</v>
      </c>
      <c r="L2541" s="1" t="str">
        <f>"2018-01-18 14:21:27"</f>
        <v>2018-01-18 14:21:27</v>
      </c>
      <c r="M2541" s="1" t="s">
        <v>1</v>
      </c>
      <c r="N2541" s="1" t="s">
        <v>38</v>
      </c>
      <c r="O2541" s="1" t="s">
        <v>46</v>
      </c>
    </row>
    <row r="2542" spans="2:15" x14ac:dyDescent="0.3">
      <c r="B2542" s="1" t="s">
        <v>24</v>
      </c>
      <c r="C2542" s="1" t="str">
        <f>"3차"</f>
        <v>3차</v>
      </c>
      <c r="D2542" s="1" t="str">
        <f>"0428A09231"</f>
        <v>0428A09231</v>
      </c>
      <c r="E2542" s="1" t="s">
        <v>10</v>
      </c>
      <c r="F2542" s="1" t="str">
        <f>"10.10.13.107"</f>
        <v>10.10.13.107</v>
      </c>
      <c r="G2542" s="1" t="str">
        <f>"0428A092"</f>
        <v>0428A092</v>
      </c>
      <c r="H2542" s="1" t="str">
        <f>"묵동지 34R9"</f>
        <v>묵동지 34R9</v>
      </c>
      <c r="I2542" s="1" t="s">
        <v>8</v>
      </c>
      <c r="J2542" s="1" t="str">
        <f>"62/62"</f>
        <v>62/62</v>
      </c>
      <c r="K2542" s="1" t="str">
        <f>"2026-07-29 13:18:05"</f>
        <v>2026-07-29 13:18:05</v>
      </c>
      <c r="L2542" s="1" t="str">
        <f>"2018-03-16 14:05:43"</f>
        <v>2018-03-16 14:05:43</v>
      </c>
      <c r="M2542" s="1" t="s">
        <v>1</v>
      </c>
      <c r="N2542" s="1" t="s">
        <v>38</v>
      </c>
      <c r="O2542" s="1" t="s">
        <v>46</v>
      </c>
    </row>
    <row r="2543" spans="2:15" x14ac:dyDescent="0.3">
      <c r="B2543" s="1" t="s">
        <v>24</v>
      </c>
      <c r="C2543" s="1" t="str">
        <f>"4차"</f>
        <v>4차</v>
      </c>
      <c r="D2543" s="1" t="str">
        <f>"0428A10144"</f>
        <v>0428A10144</v>
      </c>
      <c r="E2543" s="1" t="s">
        <v>10</v>
      </c>
      <c r="F2543" s="1" t="str">
        <f>"10.10.63.90"</f>
        <v>10.10.63.90</v>
      </c>
      <c r="G2543" s="1" t="str">
        <f>"0428A101"</f>
        <v>0428A101</v>
      </c>
      <c r="H2543" s="1" t="str">
        <f>"묵동지 5R11L1"</f>
        <v>묵동지 5R11L1</v>
      </c>
      <c r="I2543" s="1" t="s">
        <v>8</v>
      </c>
      <c r="J2543" s="1" t="str">
        <f>"14/14"</f>
        <v>14/14</v>
      </c>
      <c r="K2543" s="1" t="str">
        <f>"2026-07-29 13:18:05"</f>
        <v>2026-07-29 13:18:05</v>
      </c>
      <c r="L2543" s="1" t="str">
        <f>"2019-10-16 15:20:53"</f>
        <v>2019-10-16 15:20:53</v>
      </c>
      <c r="M2543" s="1" t="s">
        <v>1</v>
      </c>
      <c r="N2543" s="1" t="s">
        <v>38</v>
      </c>
      <c r="O2543" s="1" t="s">
        <v>46</v>
      </c>
    </row>
    <row r="2544" spans="2:15" x14ac:dyDescent="0.3">
      <c r="B2544" s="1" t="s">
        <v>24</v>
      </c>
      <c r="C2544" s="1" t="str">
        <f>"5-2차"</f>
        <v>5-2차</v>
      </c>
      <c r="D2544" s="1" t="str">
        <f>"0428A1515S"</f>
        <v>0428A1515S</v>
      </c>
      <c r="E2544" s="1" t="s">
        <v>10</v>
      </c>
      <c r="F2544" s="1" t="str">
        <f>"fde3:102:1430:7100:0:0:0:2"</f>
        <v>fde3:102:1430:7100:0:0:0:2</v>
      </c>
      <c r="G2544" s="1" t="str">
        <f>"0428A151"</f>
        <v>0428A151</v>
      </c>
      <c r="H2544" s="1" t="str">
        <f>"묵동지 16R8L4"</f>
        <v>묵동지 16R8L4</v>
      </c>
      <c r="I2544" s="1" t="s">
        <v>15</v>
      </c>
      <c r="J2544" s="1" t="str">
        <f>"44/44"</f>
        <v>44/44</v>
      </c>
      <c r="K2544" s="1" t="str">
        <f>"2026-07-29 14:21:02"</f>
        <v>2026-07-29 14:21:02</v>
      </c>
      <c r="L2544" s="1" t="str">
        <f>"2024-01-08 08:47:52"</f>
        <v>2024-01-08 08:47:52</v>
      </c>
      <c r="M2544" s="1" t="s">
        <v>45</v>
      </c>
      <c r="N2544" s="1" t="s">
        <v>38</v>
      </c>
      <c r="O2544" s="1" t="s">
        <v>46</v>
      </c>
    </row>
    <row r="2545" spans="2:15" x14ac:dyDescent="0.3">
      <c r="B2545" s="1" t="s">
        <v>24</v>
      </c>
      <c r="C2545" s="1" t="str">
        <f>"5-2차"</f>
        <v>5-2차</v>
      </c>
      <c r="D2545" s="1" t="str">
        <f>"0428A1715M"</f>
        <v>0428A1715M</v>
      </c>
      <c r="E2545" s="1" t="s">
        <v>10</v>
      </c>
      <c r="F2545" s="1" t="str">
        <f>"fde1:103:4:92b7:0:0:0:2"</f>
        <v>fde1:103:4:92b7:0:0:0:2</v>
      </c>
      <c r="G2545" s="1" t="str">
        <f>"0428A171"</f>
        <v>0428A171</v>
      </c>
      <c r="H2545" s="1" t="str">
        <f>"묵동지 16R8L6"</f>
        <v>묵동지 16R8L6</v>
      </c>
      <c r="I2545" s="1" t="s">
        <v>15</v>
      </c>
      <c r="J2545" s="1" t="str">
        <f>"28/29"</f>
        <v>28/29</v>
      </c>
      <c r="K2545" s="1" t="str">
        <f>"2026-07-29 14:21:08"</f>
        <v>2026-07-29 14:21:08</v>
      </c>
      <c r="L2545" s="1" t="str">
        <f>"2023-12-20 09:54:53"</f>
        <v>2023-12-20 09:54:53</v>
      </c>
      <c r="M2545" s="1" t="s">
        <v>4</v>
      </c>
      <c r="N2545" s="1" t="s">
        <v>38</v>
      </c>
      <c r="O2545" s="1" t="s">
        <v>46</v>
      </c>
    </row>
    <row r="2546" spans="2:15" x14ac:dyDescent="0.3">
      <c r="B2546" s="1" t="s">
        <v>24</v>
      </c>
      <c r="C2546" s="1" t="str">
        <f>"3차"</f>
        <v>3차</v>
      </c>
      <c r="D2546" s="1" t="str">
        <f>"0428A19339"</f>
        <v>0428A19339</v>
      </c>
      <c r="E2546" s="1" t="s">
        <v>14</v>
      </c>
      <c r="F2546" s="1" t="str">
        <f>"10.10.20.34"</f>
        <v>10.10.20.34</v>
      </c>
      <c r="G2546" s="1" t="str">
        <f>"0428A193"</f>
        <v>0428A193</v>
      </c>
      <c r="H2546" s="1" t="str">
        <f>"묵동지 34R10"</f>
        <v>묵동지 34R10</v>
      </c>
      <c r="I2546" s="1" t="s">
        <v>8</v>
      </c>
      <c r="J2546" s="1" t="str">
        <f>"0/0"</f>
        <v>0/0</v>
      </c>
      <c r="K2546" s="1" t="str">
        <f>"2026-07-29 13:18:05"</f>
        <v>2026-07-29 13:18:05</v>
      </c>
      <c r="L2546" s="1" t="str">
        <f>"2018-01-18 14:53:27"</f>
        <v>2018-01-18 14:53:27</v>
      </c>
      <c r="M2546" s="1" t="s">
        <v>1</v>
      </c>
      <c r="N2546" s="1" t="s">
        <v>38</v>
      </c>
      <c r="O2546" s="1" t="s">
        <v>44</v>
      </c>
    </row>
    <row r="2547" spans="2:15" x14ac:dyDescent="0.3">
      <c r="B2547" s="1" t="s">
        <v>24</v>
      </c>
      <c r="C2547" s="1" t="str">
        <f>"3차"</f>
        <v>3차</v>
      </c>
      <c r="D2547" s="1" t="str">
        <f>"0428A19439"</f>
        <v>0428A19439</v>
      </c>
      <c r="E2547" s="1" t="s">
        <v>10</v>
      </c>
      <c r="F2547" s="1" t="str">
        <f>"10.10.14.98"</f>
        <v>10.10.14.98</v>
      </c>
      <c r="G2547" s="1" t="str">
        <f>"0428A194"</f>
        <v>0428A194</v>
      </c>
      <c r="H2547" s="1" t="str">
        <f>"묵동지 34R10L1"</f>
        <v>묵동지 34R10L1</v>
      </c>
      <c r="I2547" s="1" t="s">
        <v>8</v>
      </c>
      <c r="J2547" s="1" t="str">
        <f>"48/57"</f>
        <v>48/57</v>
      </c>
      <c r="K2547" s="1" t="str">
        <f>"2026-07-29 13:18:05"</f>
        <v>2026-07-29 13:18:05</v>
      </c>
      <c r="L2547" s="1" t="str">
        <f>"2018-01-18 15:04:12"</f>
        <v>2018-01-18 15:04:12</v>
      </c>
      <c r="M2547" s="1" t="s">
        <v>1</v>
      </c>
      <c r="N2547" s="1" t="s">
        <v>38</v>
      </c>
      <c r="O2547" s="1" t="s">
        <v>46</v>
      </c>
    </row>
    <row r="2548" spans="2:15" x14ac:dyDescent="0.3">
      <c r="B2548" s="1" t="s">
        <v>24</v>
      </c>
      <c r="C2548" s="1" t="str">
        <f>"4차"</f>
        <v>4차</v>
      </c>
      <c r="D2548" s="1" t="str">
        <f>"0428A20244"</f>
        <v>0428A20244</v>
      </c>
      <c r="E2548" s="1" t="s">
        <v>10</v>
      </c>
      <c r="F2548" s="1" t="str">
        <f>"10.10.42.146"</f>
        <v>10.10.42.146</v>
      </c>
      <c r="G2548" s="1" t="str">
        <f>"0428A202"</f>
        <v>0428A202</v>
      </c>
      <c r="H2548" s="1" t="str">
        <f>"묵동지 5R12L1"</f>
        <v>묵동지 5R12L1</v>
      </c>
      <c r="I2548" s="1" t="s">
        <v>8</v>
      </c>
      <c r="J2548" s="1" t="str">
        <f>"53/53"</f>
        <v>53/53</v>
      </c>
      <c r="K2548" s="1" t="str">
        <f>"2026-07-29 13:18:05"</f>
        <v>2026-07-29 13:18:05</v>
      </c>
      <c r="L2548" s="1" t="str">
        <f>"2020-01-31 17:50:44"</f>
        <v>2020-01-31 17:50:44</v>
      </c>
      <c r="M2548" s="1" t="s">
        <v>1</v>
      </c>
      <c r="N2548" s="1" t="s">
        <v>38</v>
      </c>
      <c r="O2548" s="1" t="s">
        <v>46</v>
      </c>
    </row>
    <row r="2549" spans="2:15" x14ac:dyDescent="0.3">
      <c r="B2549" s="1" t="s">
        <v>24</v>
      </c>
      <c r="C2549" s="1" t="str">
        <f>"4차"</f>
        <v>4차</v>
      </c>
      <c r="D2549" s="1" t="str">
        <f>"0428A21644"</f>
        <v>0428A21644</v>
      </c>
      <c r="E2549" s="1" t="s">
        <v>10</v>
      </c>
      <c r="F2549" s="1" t="str">
        <f>"10.12.138.19"</f>
        <v>10.12.138.19</v>
      </c>
      <c r="G2549" s="1" t="str">
        <f>"0428A216"</f>
        <v>0428A216</v>
      </c>
      <c r="H2549" s="1" t="str">
        <f>"묵동지 16R11R3"</f>
        <v>묵동지 16R11R3</v>
      </c>
      <c r="I2549" s="1" t="s">
        <v>8</v>
      </c>
      <c r="J2549" s="1" t="str">
        <f>"31/31"</f>
        <v>31/31</v>
      </c>
      <c r="K2549" s="1" t="str">
        <f>"2026-07-29 13:18:05"</f>
        <v>2026-07-29 13:18:05</v>
      </c>
      <c r="L2549" s="1" t="str">
        <f>"2020-01-10 15:58:17"</f>
        <v>2020-01-10 15:58:17</v>
      </c>
      <c r="M2549" s="1" t="s">
        <v>0</v>
      </c>
      <c r="N2549" s="1" t="s">
        <v>38</v>
      </c>
      <c r="O2549" s="1" t="s">
        <v>46</v>
      </c>
    </row>
    <row r="2550" spans="2:15" x14ac:dyDescent="0.3">
      <c r="B2550" s="1" t="s">
        <v>24</v>
      </c>
      <c r="C2550" s="1" t="str">
        <f>"4차"</f>
        <v>4차</v>
      </c>
      <c r="D2550" s="1" t="str">
        <f>"0428A23144"</f>
        <v>0428A23144</v>
      </c>
      <c r="E2550" s="1" t="s">
        <v>10</v>
      </c>
      <c r="F2550" s="1" t="str">
        <f>"10.10.61.218"</f>
        <v>10.10.61.218</v>
      </c>
      <c r="G2550" s="1" t="str">
        <f>"0428A231"</f>
        <v>0428A231</v>
      </c>
      <c r="H2550" s="1" t="str">
        <f>"묵동지 16R10"</f>
        <v>묵동지 16R10</v>
      </c>
      <c r="I2550" s="1" t="s">
        <v>8</v>
      </c>
      <c r="J2550" s="1" t="str">
        <f>"21/21"</f>
        <v>21/21</v>
      </c>
      <c r="K2550" s="1" t="str">
        <f>"2026-07-29 13:18:05"</f>
        <v>2026-07-29 13:18:05</v>
      </c>
      <c r="L2550" s="1" t="str">
        <f>"2019-10-16 11:00:50"</f>
        <v>2019-10-16 11:00:50</v>
      </c>
      <c r="M2550" s="1" t="s">
        <v>1</v>
      </c>
      <c r="N2550" s="1" t="s">
        <v>38</v>
      </c>
      <c r="O2550" s="1" t="s">
        <v>46</v>
      </c>
    </row>
    <row r="2551" spans="2:15" x14ac:dyDescent="0.3">
      <c r="B2551" s="1" t="s">
        <v>24</v>
      </c>
      <c r="C2551" s="1" t="str">
        <f>"5-2차"</f>
        <v>5-2차</v>
      </c>
      <c r="D2551" s="1" t="str">
        <f>"0428A2625M"</f>
        <v>0428A2625M</v>
      </c>
      <c r="E2551" s="1" t="s">
        <v>10</v>
      </c>
      <c r="F2551" s="1" t="str">
        <f>"fde1:103:4:916f:0:0:0:2"</f>
        <v>fde1:103:4:916f:0:0:0:2</v>
      </c>
      <c r="G2551" s="1" t="str">
        <f>"0428A262"</f>
        <v>0428A262</v>
      </c>
      <c r="H2551" s="1" t="str">
        <f>"묵동지 16R16"</f>
        <v>묵동지 16R16</v>
      </c>
      <c r="I2551" s="1" t="s">
        <v>15</v>
      </c>
      <c r="J2551" s="1" t="str">
        <f>"78/78"</f>
        <v>78/78</v>
      </c>
      <c r="K2551" s="1" t="str">
        <f>"2026-07-29 14:21:03"</f>
        <v>2026-07-29 14:21:03</v>
      </c>
      <c r="L2551" s="1" t="str">
        <f>"2023-12-20 09:55:15"</f>
        <v>2023-12-20 09:55:15</v>
      </c>
      <c r="M2551" s="1" t="s">
        <v>4</v>
      </c>
      <c r="N2551" s="1" t="s">
        <v>38</v>
      </c>
      <c r="O2551" s="1" t="s">
        <v>46</v>
      </c>
    </row>
    <row r="2552" spans="2:15" x14ac:dyDescent="0.3">
      <c r="B2552" s="1" t="s">
        <v>24</v>
      </c>
      <c r="C2552" s="1" t="str">
        <f>"4차"</f>
        <v>4차</v>
      </c>
      <c r="D2552" s="1" t="str">
        <f>"0428A39239"</f>
        <v>0428A39239</v>
      </c>
      <c r="E2552" s="1" t="s">
        <v>10</v>
      </c>
      <c r="F2552" s="1" t="str">
        <f>"10.12.130.38"</f>
        <v>10.12.130.38</v>
      </c>
      <c r="G2552" s="1" t="str">
        <f>"0428A392"</f>
        <v>0428A392</v>
      </c>
      <c r="H2552" s="1" t="str">
        <f>"묵동지 21R13L1"</f>
        <v>묵동지 21R13L1</v>
      </c>
      <c r="I2552" s="1" t="s">
        <v>17</v>
      </c>
      <c r="J2552" s="1" t="str">
        <f>"27/27"</f>
        <v>27/27</v>
      </c>
      <c r="K2552" s="1" t="str">
        <f>"2026-07-29 13:18:03"</f>
        <v>2026-07-29 13:18:03</v>
      </c>
      <c r="L2552" s="1" t="str">
        <f>"2020-11-20 08:41:55"</f>
        <v>2020-11-20 08:41:55</v>
      </c>
      <c r="M2552" s="1" t="s">
        <v>0</v>
      </c>
      <c r="N2552" s="1" t="s">
        <v>38</v>
      </c>
      <c r="O2552" s="1" t="s">
        <v>46</v>
      </c>
    </row>
    <row r="2553" spans="2:15" x14ac:dyDescent="0.3">
      <c r="B2553" s="1" t="s">
        <v>24</v>
      </c>
      <c r="C2553" s="1" t="str">
        <f>"3차"</f>
        <v>3차</v>
      </c>
      <c r="D2553" s="1" t="str">
        <f>"0428C00239"</f>
        <v>0428C00239</v>
      </c>
      <c r="E2553" s="1" t="s">
        <v>10</v>
      </c>
      <c r="F2553" s="1" t="str">
        <f>"10.10.8.234"</f>
        <v>10.10.8.234</v>
      </c>
      <c r="G2553" s="1" t="str">
        <f>"0428C002"</f>
        <v>0428C002</v>
      </c>
      <c r="H2553" s="1" t="str">
        <f>"봉화간 40R3L3L2"</f>
        <v>봉화간 40R3L3L2</v>
      </c>
      <c r="I2553" s="1" t="s">
        <v>8</v>
      </c>
      <c r="J2553" s="1" t="str">
        <f>"8/8"</f>
        <v>8/8</v>
      </c>
      <c r="K2553" s="1" t="str">
        <f>"2026-07-29 13:18:05"</f>
        <v>2026-07-29 13:18:05</v>
      </c>
      <c r="L2553" s="1" t="str">
        <f>"2018-01-19 10:30:09"</f>
        <v>2018-01-19 10:30:09</v>
      </c>
      <c r="M2553" s="1" t="s">
        <v>1</v>
      </c>
      <c r="N2553" s="1" t="s">
        <v>38</v>
      </c>
      <c r="O2553" s="1" t="s">
        <v>46</v>
      </c>
    </row>
    <row r="2554" spans="2:15" x14ac:dyDescent="0.3">
      <c r="B2554" s="1" t="s">
        <v>24</v>
      </c>
      <c r="C2554" s="1" t="str">
        <f>"4차"</f>
        <v>4차</v>
      </c>
      <c r="D2554" s="1" t="str">
        <f>"0428C02144"</f>
        <v>0428C02144</v>
      </c>
      <c r="E2554" s="1" t="s">
        <v>10</v>
      </c>
      <c r="F2554" s="1" t="str">
        <f>"10.10.52.34"</f>
        <v>10.10.52.34</v>
      </c>
      <c r="G2554" s="1" t="str">
        <f>"0428C021"</f>
        <v>0428C021</v>
      </c>
      <c r="H2554" s="1" t="str">
        <f>"봉화간 40R3L11"</f>
        <v>봉화간 40R3L11</v>
      </c>
      <c r="I2554" s="1" t="s">
        <v>8</v>
      </c>
      <c r="J2554" s="1" t="str">
        <f>"71/78"</f>
        <v>71/78</v>
      </c>
      <c r="K2554" s="1" t="str">
        <f>"2026-07-29 13:18:05"</f>
        <v>2026-07-29 13:18:05</v>
      </c>
      <c r="L2554" s="1" t="str">
        <f>"2019-12-17 15:29:44"</f>
        <v>2019-12-17 15:29:44</v>
      </c>
      <c r="M2554" s="1" t="s">
        <v>1</v>
      </c>
      <c r="N2554" s="1" t="s">
        <v>38</v>
      </c>
      <c r="O2554" s="1" t="s">
        <v>46</v>
      </c>
    </row>
    <row r="2555" spans="2:15" x14ac:dyDescent="0.3">
      <c r="B2555" s="1" t="s">
        <v>24</v>
      </c>
      <c r="C2555" s="1" t="str">
        <f>"3차"</f>
        <v>3차</v>
      </c>
      <c r="D2555" s="1" t="str">
        <f>"0428C05139"</f>
        <v>0428C05139</v>
      </c>
      <c r="E2555" s="1" t="s">
        <v>10</v>
      </c>
      <c r="F2555" s="1" t="str">
        <f>"10.12.128.150"</f>
        <v>10.12.128.150</v>
      </c>
      <c r="G2555" s="1" t="str">
        <f>"0428C051"</f>
        <v>0428C051</v>
      </c>
      <c r="H2555" s="1" t="str">
        <f>"묵동지 5R5R1"</f>
        <v>묵동지 5R5R1</v>
      </c>
      <c r="I2555" s="1" t="s">
        <v>8</v>
      </c>
      <c r="J2555" s="1" t="str">
        <f>"34/35"</f>
        <v>34/35</v>
      </c>
      <c r="K2555" s="1" t="str">
        <f>"2026-07-29 13:18:04"</f>
        <v>2026-07-29 13:18:04</v>
      </c>
      <c r="L2555" s="1" t="str">
        <f>"2018-04-18 13:46:58"</f>
        <v>2018-04-18 13:46:58</v>
      </c>
      <c r="M2555" s="1" t="s">
        <v>0</v>
      </c>
      <c r="N2555" s="1" t="s">
        <v>38</v>
      </c>
      <c r="O2555" s="1" t="s">
        <v>46</v>
      </c>
    </row>
    <row r="2556" spans="2:15" x14ac:dyDescent="0.3">
      <c r="B2556" s="1" t="s">
        <v>24</v>
      </c>
      <c r="C2556" s="1" t="str">
        <f>"4차"</f>
        <v>4차</v>
      </c>
      <c r="D2556" s="1" t="str">
        <f>"0428C05244"</f>
        <v>0428C05244</v>
      </c>
      <c r="E2556" s="1" t="s">
        <v>10</v>
      </c>
      <c r="F2556" s="1" t="str">
        <f>"10.10.113.82"</f>
        <v>10.10.113.82</v>
      </c>
      <c r="G2556" s="1" t="str">
        <f>"0428C052"</f>
        <v>0428C052</v>
      </c>
      <c r="H2556" s="1" t="str">
        <f>"묵동지 5R6R1"</f>
        <v>묵동지 5R6R1</v>
      </c>
      <c r="I2556" s="1" t="s">
        <v>8</v>
      </c>
      <c r="J2556" s="1" t="str">
        <f>"29/29"</f>
        <v>29/29</v>
      </c>
      <c r="K2556" s="1" t="str">
        <f>"2026-07-29 13:18:05"</f>
        <v>2026-07-29 13:18:05</v>
      </c>
      <c r="L2556" s="1" t="str">
        <f>"2019-10-16 18:03:04"</f>
        <v>2019-10-16 18:03:04</v>
      </c>
      <c r="M2556" s="1" t="s">
        <v>1</v>
      </c>
      <c r="N2556" s="1" t="s">
        <v>38</v>
      </c>
      <c r="O2556" s="1" t="s">
        <v>46</v>
      </c>
    </row>
    <row r="2557" spans="2:15" x14ac:dyDescent="0.3">
      <c r="B2557" s="1" t="s">
        <v>24</v>
      </c>
      <c r="C2557" s="1" t="str">
        <f>"4차"</f>
        <v>4차</v>
      </c>
      <c r="D2557" s="1" t="str">
        <f>"0428C06144"</f>
        <v>0428C06144</v>
      </c>
      <c r="E2557" s="1" t="s">
        <v>10</v>
      </c>
      <c r="F2557" s="1" t="str">
        <f>"10.10.42.114"</f>
        <v>10.10.42.114</v>
      </c>
      <c r="G2557" s="1" t="str">
        <f>"0428C061"</f>
        <v>0428C061</v>
      </c>
      <c r="H2557" s="1" t="str">
        <f>"묵동지 5R6"</f>
        <v>묵동지 5R6</v>
      </c>
      <c r="I2557" s="1" t="s">
        <v>8</v>
      </c>
      <c r="J2557" s="1" t="str">
        <f>"49/49"</f>
        <v>49/49</v>
      </c>
      <c r="K2557" s="1" t="str">
        <f>"2026-07-29 13:18:05"</f>
        <v>2026-07-29 13:18:05</v>
      </c>
      <c r="L2557" s="1" t="str">
        <f>"2019-10-16 17:03:05"</f>
        <v>2019-10-16 17:03:05</v>
      </c>
      <c r="M2557" s="1" t="s">
        <v>1</v>
      </c>
      <c r="N2557" s="1" t="s">
        <v>38</v>
      </c>
      <c r="O2557" s="1" t="s">
        <v>46</v>
      </c>
    </row>
    <row r="2558" spans="2:15" x14ac:dyDescent="0.3">
      <c r="B2558" s="1" t="s">
        <v>24</v>
      </c>
      <c r="C2558" s="1" t="str">
        <f>"4차"</f>
        <v>4차</v>
      </c>
      <c r="D2558" s="1" t="str">
        <f>"0428C08144"</f>
        <v>0428C08144</v>
      </c>
      <c r="E2558" s="1" t="s">
        <v>10</v>
      </c>
      <c r="F2558" s="1" t="str">
        <f>"10.10.42.218"</f>
        <v>10.10.42.218</v>
      </c>
      <c r="G2558" s="1" t="str">
        <f>"0428C081"</f>
        <v>0428C081</v>
      </c>
      <c r="H2558" s="1" t="str">
        <f>"묵동지 5R9"</f>
        <v>묵동지 5R9</v>
      </c>
      <c r="I2558" s="1" t="s">
        <v>8</v>
      </c>
      <c r="J2558" s="1" t="str">
        <f>"28/28"</f>
        <v>28/28</v>
      </c>
      <c r="K2558" s="1" t="str">
        <f>"2026-07-29 13:18:05"</f>
        <v>2026-07-29 13:18:05</v>
      </c>
      <c r="L2558" s="1" t="str">
        <f>"2019-10-16 16:23:04"</f>
        <v>2019-10-16 16:23:04</v>
      </c>
      <c r="M2558" s="1" t="s">
        <v>1</v>
      </c>
      <c r="N2558" s="1" t="s">
        <v>38</v>
      </c>
      <c r="O2558" s="1" t="s">
        <v>46</v>
      </c>
    </row>
    <row r="2559" spans="2:15" x14ac:dyDescent="0.3">
      <c r="B2559" s="1" t="s">
        <v>24</v>
      </c>
      <c r="C2559" s="1" t="str">
        <f>"4차"</f>
        <v>4차</v>
      </c>
      <c r="D2559" s="1" t="str">
        <f>"0428C08244"</f>
        <v>0428C08244</v>
      </c>
      <c r="E2559" s="1" t="s">
        <v>10</v>
      </c>
      <c r="F2559" s="1" t="str">
        <f>"10.10.42.210"</f>
        <v>10.10.42.210</v>
      </c>
      <c r="G2559" s="1" t="str">
        <f>"0428C082"</f>
        <v>0428C082</v>
      </c>
      <c r="H2559" s="1" t="str">
        <f>"묵동지 5R8"</f>
        <v>묵동지 5R8</v>
      </c>
      <c r="I2559" s="1" t="s">
        <v>8</v>
      </c>
      <c r="J2559" s="1" t="str">
        <f>"31/31"</f>
        <v>31/31</v>
      </c>
      <c r="K2559" s="1" t="str">
        <f t="shared" ref="K2559:K2576" si="148">"2026-07-29 13:18:03"</f>
        <v>2026-07-29 13:18:03</v>
      </c>
      <c r="L2559" s="1" t="str">
        <f>"2019-10-16 16:48:23"</f>
        <v>2019-10-16 16:48:23</v>
      </c>
      <c r="M2559" s="1" t="s">
        <v>1</v>
      </c>
      <c r="N2559" s="1" t="s">
        <v>38</v>
      </c>
      <c r="O2559" s="1" t="s">
        <v>46</v>
      </c>
    </row>
    <row r="2560" spans="2:15" x14ac:dyDescent="0.3">
      <c r="B2560" s="1" t="s">
        <v>24</v>
      </c>
      <c r="C2560" s="1" t="str">
        <f>"3차"</f>
        <v>3차</v>
      </c>
      <c r="D2560" s="1" t="str">
        <f>"0428C11139"</f>
        <v>0428C11139</v>
      </c>
      <c r="E2560" s="1" t="s">
        <v>10</v>
      </c>
      <c r="F2560" s="1" t="str">
        <f>"10.10.8.130"</f>
        <v>10.10.8.130</v>
      </c>
      <c r="G2560" s="1" t="str">
        <f>"0428C111"</f>
        <v>0428C111</v>
      </c>
      <c r="H2560" s="1" t="str">
        <f>"봉화간 40R3L8"</f>
        <v>봉화간 40R3L8</v>
      </c>
      <c r="I2560" s="1" t="s">
        <v>8</v>
      </c>
      <c r="J2560" s="1" t="str">
        <f>"26/26"</f>
        <v>26/26</v>
      </c>
      <c r="K2560" s="1" t="str">
        <f t="shared" si="148"/>
        <v>2026-07-29 13:18:03</v>
      </c>
      <c r="L2560" s="1" t="str">
        <f>"2018-02-06 05:26:52"</f>
        <v>2018-02-06 05:26:52</v>
      </c>
      <c r="M2560" s="1" t="s">
        <v>1</v>
      </c>
      <c r="N2560" s="1" t="s">
        <v>38</v>
      </c>
      <c r="O2560" s="1" t="s">
        <v>46</v>
      </c>
    </row>
    <row r="2561" spans="2:15" x14ac:dyDescent="0.3">
      <c r="B2561" s="1" t="s">
        <v>24</v>
      </c>
      <c r="C2561" s="1" t="str">
        <f>"4차"</f>
        <v>4차</v>
      </c>
      <c r="D2561" s="1" t="str">
        <f>"0428C12144"</f>
        <v>0428C12144</v>
      </c>
      <c r="E2561" s="1" t="s">
        <v>10</v>
      </c>
      <c r="F2561" s="1" t="str">
        <f>"10.10.42.138"</f>
        <v>10.10.42.138</v>
      </c>
      <c r="G2561" s="1" t="str">
        <f>"0428C121"</f>
        <v>0428C121</v>
      </c>
      <c r="H2561" s="1" t="str">
        <f>"봉화간 40R3L10"</f>
        <v>봉화간 40R3L10</v>
      </c>
      <c r="I2561" s="1" t="s">
        <v>8</v>
      </c>
      <c r="J2561" s="1" t="str">
        <f>"26/26"</f>
        <v>26/26</v>
      </c>
      <c r="K2561" s="1" t="str">
        <f t="shared" si="148"/>
        <v>2026-07-29 13:18:03</v>
      </c>
      <c r="L2561" s="1" t="str">
        <f>"2019-12-11 17:45:29"</f>
        <v>2019-12-11 17:45:29</v>
      </c>
      <c r="M2561" s="1" t="s">
        <v>1</v>
      </c>
      <c r="N2561" s="1" t="s">
        <v>38</v>
      </c>
      <c r="O2561" s="1" t="s">
        <v>46</v>
      </c>
    </row>
    <row r="2562" spans="2:15" x14ac:dyDescent="0.3">
      <c r="B2562" s="1" t="s">
        <v>24</v>
      </c>
      <c r="C2562" s="1" t="str">
        <f>"3차"</f>
        <v>3차</v>
      </c>
      <c r="D2562" s="1" t="str">
        <f>"0428C12231"</f>
        <v>0428C12231</v>
      </c>
      <c r="E2562" s="1" t="s">
        <v>10</v>
      </c>
      <c r="F2562" s="1" t="str">
        <f>"10.10.8.123"</f>
        <v>10.10.8.123</v>
      </c>
      <c r="G2562" s="1" t="str">
        <f>"0428C122"</f>
        <v>0428C122</v>
      </c>
      <c r="H2562" s="1" t="str">
        <f>"봉화간 40R3L9"</f>
        <v>봉화간 40R3L9</v>
      </c>
      <c r="I2562" s="1" t="s">
        <v>8</v>
      </c>
      <c r="J2562" s="1" t="str">
        <f>"28/38"</f>
        <v>28/38</v>
      </c>
      <c r="K2562" s="1" t="str">
        <f t="shared" si="148"/>
        <v>2026-07-29 13:18:03</v>
      </c>
      <c r="L2562" s="1" t="str">
        <f>"2018-02-10 09:23:40"</f>
        <v>2018-02-10 09:23:40</v>
      </c>
      <c r="M2562" s="1" t="s">
        <v>1</v>
      </c>
      <c r="N2562" s="1" t="s">
        <v>38</v>
      </c>
      <c r="O2562" s="1" t="s">
        <v>46</v>
      </c>
    </row>
    <row r="2563" spans="2:15" x14ac:dyDescent="0.3">
      <c r="B2563" s="1" t="s">
        <v>24</v>
      </c>
      <c r="C2563" s="1" t="str">
        <f>"3차"</f>
        <v>3차</v>
      </c>
      <c r="D2563" s="1" t="str">
        <f>"0428C13130"</f>
        <v>0428C13130</v>
      </c>
      <c r="E2563" s="1" t="s">
        <v>10</v>
      </c>
      <c r="F2563" s="1" t="str">
        <f>"10.10.8.122"</f>
        <v>10.10.8.122</v>
      </c>
      <c r="G2563" s="1" t="str">
        <f>"0428C131"</f>
        <v>0428C131</v>
      </c>
      <c r="H2563" s="1" t="str">
        <f>"봉화간 40R3L9R1"</f>
        <v>봉화간 40R3L9R1</v>
      </c>
      <c r="I2563" s="1" t="s">
        <v>8</v>
      </c>
      <c r="J2563" s="1" t="str">
        <f>"30/31"</f>
        <v>30/31</v>
      </c>
      <c r="K2563" s="1" t="str">
        <f t="shared" si="148"/>
        <v>2026-07-29 13:18:03</v>
      </c>
      <c r="L2563" s="1" t="str">
        <f>"2018-01-17 13:49:56"</f>
        <v>2018-01-17 13:49:56</v>
      </c>
      <c r="M2563" s="1" t="s">
        <v>1</v>
      </c>
      <c r="N2563" s="1" t="s">
        <v>38</v>
      </c>
      <c r="O2563" s="1" t="s">
        <v>46</v>
      </c>
    </row>
    <row r="2564" spans="2:15" x14ac:dyDescent="0.3">
      <c r="B2564" s="1" t="s">
        <v>24</v>
      </c>
      <c r="C2564" s="1" t="str">
        <f>"3차"</f>
        <v>3차</v>
      </c>
      <c r="D2564" s="1" t="str">
        <f>"0428C13239"</f>
        <v>0428C13239</v>
      </c>
      <c r="E2564" s="1" t="s">
        <v>10</v>
      </c>
      <c r="F2564" s="1" t="str">
        <f>"10.12.128.6"</f>
        <v>10.12.128.6</v>
      </c>
      <c r="G2564" s="1" t="str">
        <f>"0428C132"</f>
        <v>0428C132</v>
      </c>
      <c r="H2564" s="1" t="str">
        <f>"봉화간 40R3L9R2"</f>
        <v>봉화간 40R3L9R2</v>
      </c>
      <c r="I2564" s="1" t="s">
        <v>8</v>
      </c>
      <c r="J2564" s="1" t="str">
        <f>"46/46"</f>
        <v>46/46</v>
      </c>
      <c r="K2564" s="1" t="str">
        <f t="shared" si="148"/>
        <v>2026-07-29 13:18:03</v>
      </c>
      <c r="L2564" s="1" t="str">
        <f>"2021-03-05 08:03:38"</f>
        <v>2021-03-05 08:03:38</v>
      </c>
      <c r="M2564" s="1" t="s">
        <v>0</v>
      </c>
      <c r="N2564" s="1" t="s">
        <v>38</v>
      </c>
      <c r="O2564" s="1" t="s">
        <v>46</v>
      </c>
    </row>
    <row r="2565" spans="2:15" x14ac:dyDescent="0.3">
      <c r="B2565" s="1" t="s">
        <v>24</v>
      </c>
      <c r="C2565" s="1" t="str">
        <f>"4차"</f>
        <v>4차</v>
      </c>
      <c r="D2565" s="1" t="str">
        <f>"0428C14144"</f>
        <v>0428C14144</v>
      </c>
      <c r="E2565" s="1" t="s">
        <v>10</v>
      </c>
      <c r="F2565" s="1" t="str">
        <f>"10.10.42.202"</f>
        <v>10.10.42.202</v>
      </c>
      <c r="G2565" s="1" t="str">
        <f>"0428C141"</f>
        <v>0428C141</v>
      </c>
      <c r="H2565" s="1" t="str">
        <f>"묵동지 5R6R2"</f>
        <v>묵동지 5R6R2</v>
      </c>
      <c r="I2565" s="1" t="s">
        <v>8</v>
      </c>
      <c r="J2565" s="1" t="str">
        <f>"53/53"</f>
        <v>53/53</v>
      </c>
      <c r="K2565" s="1" t="str">
        <f t="shared" si="148"/>
        <v>2026-07-29 13:18:03</v>
      </c>
      <c r="L2565" s="1" t="str">
        <f>"2019-10-16 18:23:03"</f>
        <v>2019-10-16 18:23:03</v>
      </c>
      <c r="M2565" s="1" t="s">
        <v>1</v>
      </c>
      <c r="N2565" s="1" t="s">
        <v>38</v>
      </c>
      <c r="O2565" s="1" t="s">
        <v>46</v>
      </c>
    </row>
    <row r="2566" spans="2:15" x14ac:dyDescent="0.3">
      <c r="B2566" s="1" t="s">
        <v>24</v>
      </c>
      <c r="C2566" s="1" t="str">
        <f>"4차"</f>
        <v>4차</v>
      </c>
      <c r="D2566" s="1" t="str">
        <f>"0428C15144"</f>
        <v>0428C15144</v>
      </c>
      <c r="E2566" s="1" t="s">
        <v>10</v>
      </c>
      <c r="F2566" s="1" t="str">
        <f>"10.10.42.194"</f>
        <v>10.10.42.194</v>
      </c>
      <c r="G2566" s="1" t="str">
        <f>"0428C151"</f>
        <v>0428C151</v>
      </c>
      <c r="H2566" s="1" t="str">
        <f>"묵동지 5R6R1L2"</f>
        <v>묵동지 5R6R1L2</v>
      </c>
      <c r="I2566" s="1" t="s">
        <v>8</v>
      </c>
      <c r="J2566" s="1" t="str">
        <f>"25/25"</f>
        <v>25/25</v>
      </c>
      <c r="K2566" s="1" t="str">
        <f t="shared" si="148"/>
        <v>2026-07-29 13:18:03</v>
      </c>
      <c r="L2566" s="1" t="str">
        <f>"2019-10-17 11:43:18"</f>
        <v>2019-10-17 11:43:18</v>
      </c>
      <c r="M2566" s="1" t="s">
        <v>1</v>
      </c>
      <c r="N2566" s="1" t="s">
        <v>38</v>
      </c>
      <c r="O2566" s="1" t="s">
        <v>46</v>
      </c>
    </row>
    <row r="2567" spans="2:15" x14ac:dyDescent="0.3">
      <c r="B2567" s="1" t="s">
        <v>24</v>
      </c>
      <c r="C2567" s="1" t="str">
        <f>"4차"</f>
        <v>4차</v>
      </c>
      <c r="D2567" s="1" t="str">
        <f>"0428C18144"</f>
        <v>0428C18144</v>
      </c>
      <c r="E2567" s="1" t="s">
        <v>10</v>
      </c>
      <c r="F2567" s="1" t="str">
        <f>"10.10.63.130"</f>
        <v>10.10.63.130</v>
      </c>
      <c r="G2567" s="1" t="str">
        <f>"0428C181"</f>
        <v>0428C181</v>
      </c>
      <c r="H2567" s="1" t="str">
        <f>"묵동지 5R10"</f>
        <v>묵동지 5R10</v>
      </c>
      <c r="I2567" s="1" t="s">
        <v>8</v>
      </c>
      <c r="J2567" s="1" t="str">
        <f>"67/67"</f>
        <v>67/67</v>
      </c>
      <c r="K2567" s="1" t="str">
        <f t="shared" si="148"/>
        <v>2026-07-29 13:18:03</v>
      </c>
      <c r="L2567" s="1" t="str">
        <f>"2019-10-16 13:17:34"</f>
        <v>2019-10-16 13:17:34</v>
      </c>
      <c r="M2567" s="1" t="s">
        <v>1</v>
      </c>
      <c r="N2567" s="1" t="s">
        <v>38</v>
      </c>
      <c r="O2567" s="1" t="s">
        <v>46</v>
      </c>
    </row>
    <row r="2568" spans="2:15" x14ac:dyDescent="0.3">
      <c r="B2568" s="1" t="s">
        <v>24</v>
      </c>
      <c r="C2568" s="1" t="str">
        <f>"4차"</f>
        <v>4차</v>
      </c>
      <c r="D2568" s="1" t="str">
        <f>"0428C19144"</f>
        <v>0428C19144</v>
      </c>
      <c r="E2568" s="1" t="s">
        <v>10</v>
      </c>
      <c r="F2568" s="1" t="str">
        <f>"10.10.63.106"</f>
        <v>10.10.63.106</v>
      </c>
      <c r="G2568" s="1" t="str">
        <f>"0428C191"</f>
        <v>0428C191</v>
      </c>
      <c r="H2568" s="1" t="str">
        <f>"묵동지 5R11"</f>
        <v>묵동지 5R11</v>
      </c>
      <c r="I2568" s="1" t="s">
        <v>8</v>
      </c>
      <c r="J2568" s="1" t="str">
        <f>"55/55"</f>
        <v>55/55</v>
      </c>
      <c r="K2568" s="1" t="str">
        <f t="shared" si="148"/>
        <v>2026-07-29 13:18:03</v>
      </c>
      <c r="L2568" s="1" t="str">
        <f>"2019-10-16 13:33:05"</f>
        <v>2019-10-16 13:33:05</v>
      </c>
      <c r="M2568" s="1" t="s">
        <v>1</v>
      </c>
      <c r="N2568" s="1" t="s">
        <v>38</v>
      </c>
      <c r="O2568" s="1" t="s">
        <v>46</v>
      </c>
    </row>
    <row r="2569" spans="2:15" x14ac:dyDescent="0.3">
      <c r="B2569" s="1" t="s">
        <v>24</v>
      </c>
      <c r="C2569" s="1" t="str">
        <f>"3차"</f>
        <v>3차</v>
      </c>
      <c r="D2569" s="1" t="str">
        <f>"0428C20139"</f>
        <v>0428C20139</v>
      </c>
      <c r="E2569" s="1" t="s">
        <v>10</v>
      </c>
      <c r="F2569" s="1" t="str">
        <f>"10.10.8.202"</f>
        <v>10.10.8.202</v>
      </c>
      <c r="G2569" s="1" t="str">
        <f>"0428C201"</f>
        <v>0428C201</v>
      </c>
      <c r="H2569" s="1" t="str">
        <f>"봉화간 40R3L6R1"</f>
        <v>봉화간 40R3L6R1</v>
      </c>
      <c r="I2569" s="1" t="s">
        <v>8</v>
      </c>
      <c r="J2569" s="1" t="str">
        <f>"27/27"</f>
        <v>27/27</v>
      </c>
      <c r="K2569" s="1" t="str">
        <f t="shared" si="148"/>
        <v>2026-07-29 13:18:03</v>
      </c>
      <c r="L2569" s="1" t="str">
        <f>"2018-01-10 11:13:10"</f>
        <v>2018-01-10 11:13:10</v>
      </c>
      <c r="M2569" s="1" t="s">
        <v>1</v>
      </c>
      <c r="N2569" s="1" t="s">
        <v>38</v>
      </c>
      <c r="O2569" s="1" t="s">
        <v>46</v>
      </c>
    </row>
    <row r="2570" spans="2:15" x14ac:dyDescent="0.3">
      <c r="B2570" s="1" t="s">
        <v>24</v>
      </c>
      <c r="C2570" s="1" t="str">
        <f>"3차"</f>
        <v>3차</v>
      </c>
      <c r="D2570" s="1" t="str">
        <f>"0428C20439"</f>
        <v>0428C20439</v>
      </c>
      <c r="E2570" s="1" t="s">
        <v>10</v>
      </c>
      <c r="F2570" s="1" t="str">
        <f>"10.10.8.146"</f>
        <v>10.10.8.146</v>
      </c>
      <c r="G2570" s="1" t="str">
        <f>"0428C204"</f>
        <v>0428C204</v>
      </c>
      <c r="H2570" s="1" t="str">
        <f>"봉화간 40R3L7"</f>
        <v>봉화간 40R3L7</v>
      </c>
      <c r="I2570" s="1" t="s">
        <v>8</v>
      </c>
      <c r="J2570" s="1" t="str">
        <f>"33/33"</f>
        <v>33/33</v>
      </c>
      <c r="K2570" s="1" t="str">
        <f t="shared" si="148"/>
        <v>2026-07-29 13:18:03</v>
      </c>
      <c r="L2570" s="1" t="str">
        <f>"2018-01-19 11:36:26"</f>
        <v>2018-01-19 11:36:26</v>
      </c>
      <c r="M2570" s="1" t="s">
        <v>1</v>
      </c>
      <c r="N2570" s="1" t="s">
        <v>38</v>
      </c>
      <c r="O2570" s="1" t="s">
        <v>46</v>
      </c>
    </row>
    <row r="2571" spans="2:15" x14ac:dyDescent="0.3">
      <c r="B2571" s="1" t="s">
        <v>24</v>
      </c>
      <c r="C2571" s="1" t="str">
        <f>"3차"</f>
        <v>3차</v>
      </c>
      <c r="D2571" s="1" t="str">
        <f>"0428C21139"</f>
        <v>0428C21139</v>
      </c>
      <c r="E2571" s="1" t="s">
        <v>10</v>
      </c>
      <c r="F2571" s="1" t="str">
        <f>"10.10.8.194"</f>
        <v>10.10.8.194</v>
      </c>
      <c r="G2571" s="1" t="str">
        <f>"0428C211"</f>
        <v>0428C211</v>
      </c>
      <c r="H2571" s="1" t="str">
        <f>"봉화간 40R3L6R2"</f>
        <v>봉화간 40R3L6R2</v>
      </c>
      <c r="I2571" s="1" t="s">
        <v>8</v>
      </c>
      <c r="J2571" s="1" t="str">
        <f>"36/40"</f>
        <v>36/40</v>
      </c>
      <c r="K2571" s="1" t="str">
        <f t="shared" si="148"/>
        <v>2026-07-29 13:18:03</v>
      </c>
      <c r="L2571" s="1" t="str">
        <f>"2018-01-10 11:45:39"</f>
        <v>2018-01-10 11:45:39</v>
      </c>
      <c r="M2571" s="1" t="s">
        <v>1</v>
      </c>
      <c r="N2571" s="1" t="s">
        <v>38</v>
      </c>
      <c r="O2571" s="1" t="s">
        <v>46</v>
      </c>
    </row>
    <row r="2572" spans="2:15" x14ac:dyDescent="0.3">
      <c r="B2572" s="1" t="s">
        <v>24</v>
      </c>
      <c r="C2572" s="1" t="str">
        <f>"4차"</f>
        <v>4차</v>
      </c>
      <c r="D2572" s="1" t="str">
        <f>"0428C29244"</f>
        <v>0428C29244</v>
      </c>
      <c r="E2572" s="1" t="s">
        <v>10</v>
      </c>
      <c r="F2572" s="1" t="str">
        <f>"10.10.42.170"</f>
        <v>10.10.42.170</v>
      </c>
      <c r="G2572" s="1" t="str">
        <f>"0428C292"</f>
        <v>0428C292</v>
      </c>
      <c r="H2572" s="1" t="str">
        <f>"묵동지 5R13"</f>
        <v>묵동지 5R13</v>
      </c>
      <c r="I2572" s="1" t="s">
        <v>8</v>
      </c>
      <c r="J2572" s="1" t="str">
        <f>"78/79"</f>
        <v>78/79</v>
      </c>
      <c r="K2572" s="1" t="str">
        <f t="shared" si="148"/>
        <v>2026-07-29 13:18:03</v>
      </c>
      <c r="L2572" s="1" t="str">
        <f>"2019-10-16 14:42:52"</f>
        <v>2019-10-16 14:42:52</v>
      </c>
      <c r="M2572" s="1" t="s">
        <v>1</v>
      </c>
      <c r="N2572" s="1" t="s">
        <v>38</v>
      </c>
      <c r="O2572" s="1" t="s">
        <v>46</v>
      </c>
    </row>
    <row r="2573" spans="2:15" x14ac:dyDescent="0.3">
      <c r="B2573" s="1" t="s">
        <v>24</v>
      </c>
      <c r="C2573" s="1" t="str">
        <f>"4차"</f>
        <v>4차</v>
      </c>
      <c r="D2573" s="1" t="str">
        <f>"0428C38144"</f>
        <v>0428C38144</v>
      </c>
      <c r="E2573" s="1" t="s">
        <v>10</v>
      </c>
      <c r="F2573" s="1" t="str">
        <f>"10.10.42.186"</f>
        <v>10.10.42.186</v>
      </c>
      <c r="G2573" s="1" t="str">
        <f>"0428C381"</f>
        <v>0428C381</v>
      </c>
      <c r="H2573" s="1" t="str">
        <f>"묵동지 5R14"</f>
        <v>묵동지 5R14</v>
      </c>
      <c r="I2573" s="1" t="s">
        <v>8</v>
      </c>
      <c r="J2573" s="1" t="str">
        <f>"19/19"</f>
        <v>19/19</v>
      </c>
      <c r="K2573" s="1" t="str">
        <f t="shared" si="148"/>
        <v>2026-07-29 13:18:03</v>
      </c>
      <c r="L2573" s="1" t="str">
        <f>"2019-10-16 14:50:51"</f>
        <v>2019-10-16 14:50:51</v>
      </c>
      <c r="M2573" s="1" t="s">
        <v>1</v>
      </c>
      <c r="N2573" s="1" t="s">
        <v>38</v>
      </c>
      <c r="O2573" s="1" t="s">
        <v>46</v>
      </c>
    </row>
    <row r="2574" spans="2:15" x14ac:dyDescent="0.3">
      <c r="B2574" s="1" t="s">
        <v>24</v>
      </c>
      <c r="C2574" s="1" t="str">
        <f>"3차"</f>
        <v>3차</v>
      </c>
      <c r="D2574" s="1" t="str">
        <f>"0428C40339"</f>
        <v>0428C40339</v>
      </c>
      <c r="E2574" s="1" t="s">
        <v>10</v>
      </c>
      <c r="F2574" s="1" t="str">
        <f>"10.10.8.178"</f>
        <v>10.10.8.178</v>
      </c>
      <c r="G2574" s="1" t="str">
        <f>"0428C403"</f>
        <v>0428C403</v>
      </c>
      <c r="H2574" s="1" t="str">
        <f>"봉화간 40R3L6R4"</f>
        <v>봉화간 40R3L6R4</v>
      </c>
      <c r="I2574" s="1" t="s">
        <v>8</v>
      </c>
      <c r="J2574" s="1" t="str">
        <f>"2/4"</f>
        <v>2/4</v>
      </c>
      <c r="K2574" s="1" t="str">
        <f t="shared" si="148"/>
        <v>2026-07-29 13:18:03</v>
      </c>
      <c r="L2574" s="1" t="str">
        <f>"2018-01-19 11:49:10"</f>
        <v>2018-01-19 11:49:10</v>
      </c>
      <c r="M2574" s="1" t="s">
        <v>1</v>
      </c>
      <c r="N2574" s="1" t="s">
        <v>38</v>
      </c>
      <c r="O2574" s="1" t="s">
        <v>46</v>
      </c>
    </row>
    <row r="2575" spans="2:15" x14ac:dyDescent="0.3">
      <c r="B2575" s="1" t="s">
        <v>24</v>
      </c>
      <c r="C2575" s="1" t="str">
        <f>"3차"</f>
        <v>3차</v>
      </c>
      <c r="D2575" s="1" t="str">
        <f>"0428C50139"</f>
        <v>0428C50139</v>
      </c>
      <c r="E2575" s="1" t="s">
        <v>10</v>
      </c>
      <c r="F2575" s="1" t="str">
        <f>"10.10.8.162"</f>
        <v>10.10.8.162</v>
      </c>
      <c r="G2575" s="1" t="str">
        <f>"0428C501"</f>
        <v>0428C501</v>
      </c>
      <c r="H2575" s="1" t="str">
        <f>"봉화간 40R3L6R4R1"</f>
        <v>봉화간 40R3L6R4R1</v>
      </c>
      <c r="I2575" s="1" t="s">
        <v>8</v>
      </c>
      <c r="J2575" s="1" t="str">
        <f>"54/54"</f>
        <v>54/54</v>
      </c>
      <c r="K2575" s="1" t="str">
        <f t="shared" si="148"/>
        <v>2026-07-29 13:18:03</v>
      </c>
      <c r="L2575" s="1" t="str">
        <f>"2018-01-10 13:23:10"</f>
        <v>2018-01-10 13:23:10</v>
      </c>
      <c r="M2575" s="1" t="s">
        <v>1</v>
      </c>
      <c r="N2575" s="1" t="s">
        <v>38</v>
      </c>
      <c r="O2575" s="1" t="s">
        <v>46</v>
      </c>
    </row>
    <row r="2576" spans="2:15" x14ac:dyDescent="0.3">
      <c r="B2576" s="1" t="s">
        <v>24</v>
      </c>
      <c r="C2576" s="1" t="str">
        <f>"4차"</f>
        <v>4차</v>
      </c>
      <c r="D2576" s="1" t="str">
        <f>"0428E42139"</f>
        <v>0428E42139</v>
      </c>
      <c r="E2576" s="1" t="s">
        <v>10</v>
      </c>
      <c r="F2576" s="1" t="str">
        <f>"10.14.8.22"</f>
        <v>10.14.8.22</v>
      </c>
      <c r="G2576" s="1" t="str">
        <f>"0428E421"</f>
        <v>0428E421</v>
      </c>
      <c r="H2576" s="1" t="str">
        <f>"신내 34"</f>
        <v>신내 34</v>
      </c>
      <c r="I2576" s="1" t="s">
        <v>17</v>
      </c>
      <c r="J2576" s="1" t="str">
        <f>"168/168"</f>
        <v>168/168</v>
      </c>
      <c r="K2576" s="1" t="str">
        <f t="shared" si="148"/>
        <v>2026-07-29 13:18:03</v>
      </c>
      <c r="L2576" s="1" t="str">
        <f>"2018-07-04 08:19:26"</f>
        <v>2018-07-04 08:19:26</v>
      </c>
      <c r="M2576" s="1" t="s">
        <v>3</v>
      </c>
      <c r="N2576" s="1" t="s">
        <v>38</v>
      </c>
      <c r="O2576" s="1" t="s">
        <v>46</v>
      </c>
    </row>
    <row r="2577" spans="2:15" x14ac:dyDescent="0.3">
      <c r="B2577" s="1" t="s">
        <v>24</v>
      </c>
      <c r="C2577" s="1" t="str">
        <f>"4차"</f>
        <v>4차</v>
      </c>
      <c r="D2577" s="1" t="str">
        <f>"0428E43139"</f>
        <v>0428E43139</v>
      </c>
      <c r="E2577" s="1" t="s">
        <v>10</v>
      </c>
      <c r="F2577" s="1" t="str">
        <f>"10.14.2.126"</f>
        <v>10.14.2.126</v>
      </c>
      <c r="G2577" s="1" t="str">
        <f>"0428E431"</f>
        <v>0428E431</v>
      </c>
      <c r="H2577" s="1" t="str">
        <f>"신내 33"</f>
        <v>신내 33</v>
      </c>
      <c r="I2577" s="1" t="s">
        <v>17</v>
      </c>
      <c r="J2577" s="1" t="str">
        <f>"148/148"</f>
        <v>148/148</v>
      </c>
      <c r="K2577" s="1" t="str">
        <f>"2026-07-29 13:18:04"</f>
        <v>2026-07-29 13:18:04</v>
      </c>
      <c r="L2577" s="1" t="str">
        <f>"2018-05-14 10:40:41"</f>
        <v>2018-05-14 10:40:41</v>
      </c>
      <c r="M2577" s="1" t="s">
        <v>3</v>
      </c>
      <c r="N2577" s="1" t="s">
        <v>38</v>
      </c>
      <c r="O2577" s="1" t="s">
        <v>46</v>
      </c>
    </row>
    <row r="2578" spans="2:15" x14ac:dyDescent="0.3">
      <c r="B2578" s="1" t="s">
        <v>24</v>
      </c>
      <c r="C2578" s="1" t="str">
        <f>"5-1차"</f>
        <v>5-1차</v>
      </c>
      <c r="D2578" s="1" t="str">
        <f>"0428F7915M"</f>
        <v>0428F7915M</v>
      </c>
      <c r="E2578" s="1" t="s">
        <v>10</v>
      </c>
      <c r="F2578" s="1" t="str">
        <f>"fde3:102:1430:8100:0:0:0:3"</f>
        <v>fde3:102:1430:8100:0:0:0:3</v>
      </c>
      <c r="G2578" s="1" t="str">
        <f>"0428F791"</f>
        <v>0428F791</v>
      </c>
      <c r="H2578" s="1" t="str">
        <f>"신정간 14L4"</f>
        <v>신정간 14L4</v>
      </c>
      <c r="I2578" s="1" t="s">
        <v>15</v>
      </c>
      <c r="J2578" s="1" t="str">
        <f>"24/24"</f>
        <v>24/24</v>
      </c>
      <c r="K2578" s="1" t="str">
        <f>"2026-07-29 14:21:05"</f>
        <v>2026-07-29 14:21:05</v>
      </c>
      <c r="L2578" s="1" t="str">
        <f>"2022-11-07 12:32:42"</f>
        <v>2022-11-07 12:32:42</v>
      </c>
      <c r="M2578" s="1" t="s">
        <v>45</v>
      </c>
      <c r="N2578" s="1" t="s">
        <v>38</v>
      </c>
      <c r="O2578" s="1" t="s">
        <v>46</v>
      </c>
    </row>
    <row r="2579" spans="2:15" x14ac:dyDescent="0.3">
      <c r="B2579" s="1" t="s">
        <v>24</v>
      </c>
      <c r="C2579" s="1" t="str">
        <f t="shared" ref="C2579:C2592" si="149">"4차"</f>
        <v>4차</v>
      </c>
      <c r="D2579" s="1" t="str">
        <f>"0428G41139"</f>
        <v>0428G41139</v>
      </c>
      <c r="E2579" s="1" t="s">
        <v>10</v>
      </c>
      <c r="F2579" s="1" t="str">
        <f>"10.12.128.27"</f>
        <v>10.12.128.27</v>
      </c>
      <c r="G2579" s="1" t="str">
        <f>"0428G411"</f>
        <v>0428G411</v>
      </c>
      <c r="H2579" s="1" t="str">
        <f>"신내 13"</f>
        <v>신내 13</v>
      </c>
      <c r="I2579" s="1" t="s">
        <v>17</v>
      </c>
      <c r="J2579" s="1" t="str">
        <f>"118/118"</f>
        <v>118/118</v>
      </c>
      <c r="K2579" s="1" t="str">
        <f>"2026-07-29 13:18:03"</f>
        <v>2026-07-29 13:18:03</v>
      </c>
      <c r="L2579" s="1" t="str">
        <f>"2018-05-11 10:36:27"</f>
        <v>2018-05-11 10:36:27</v>
      </c>
      <c r="M2579" s="1" t="s">
        <v>0</v>
      </c>
      <c r="N2579" s="1" t="s">
        <v>38</v>
      </c>
      <c r="O2579" s="1" t="s">
        <v>46</v>
      </c>
    </row>
    <row r="2580" spans="2:15" x14ac:dyDescent="0.3">
      <c r="B2580" s="1" t="s">
        <v>24</v>
      </c>
      <c r="C2580" s="1" t="str">
        <f t="shared" si="149"/>
        <v>4차</v>
      </c>
      <c r="D2580" s="1" t="str">
        <f>"0428G41245"</f>
        <v>0428G41245</v>
      </c>
      <c r="E2580" s="1" t="s">
        <v>10</v>
      </c>
      <c r="F2580" s="1" t="str">
        <f>"10.12.134.191"</f>
        <v>10.12.134.191</v>
      </c>
      <c r="G2580" s="1" t="str">
        <f>"0428G412"</f>
        <v>0428G412</v>
      </c>
      <c r="H2580" s="1" t="str">
        <f>"신내 14"</f>
        <v>신내 14</v>
      </c>
      <c r="I2580" s="1" t="s">
        <v>17</v>
      </c>
      <c r="J2580" s="1" t="str">
        <f>"143/145"</f>
        <v>143/145</v>
      </c>
      <c r="K2580" s="1" t="str">
        <f>"2026-07-29 13:18:03"</f>
        <v>2026-07-29 13:18:03</v>
      </c>
      <c r="L2580" s="1" t="str">
        <f>"2025-06-05 18:26:26"</f>
        <v>2025-06-05 18:26:26</v>
      </c>
      <c r="M2580" s="1" t="s">
        <v>0</v>
      </c>
      <c r="N2580" s="1" t="s">
        <v>38</v>
      </c>
      <c r="O2580" s="1" t="s">
        <v>46</v>
      </c>
    </row>
    <row r="2581" spans="2:15" x14ac:dyDescent="0.3">
      <c r="B2581" s="1" t="s">
        <v>24</v>
      </c>
      <c r="C2581" s="1" t="str">
        <f t="shared" si="149"/>
        <v>4차</v>
      </c>
      <c r="D2581" s="1" t="str">
        <f>"0428G42139"</f>
        <v>0428G42139</v>
      </c>
      <c r="E2581" s="1" t="s">
        <v>10</v>
      </c>
      <c r="F2581" s="1" t="str">
        <f>"10.12.131.249"</f>
        <v>10.12.131.249</v>
      </c>
      <c r="G2581" s="1" t="str">
        <f>"0428G421"</f>
        <v>0428G421</v>
      </c>
      <c r="H2581" s="1" t="str">
        <f>"신내 15"</f>
        <v>신내 15</v>
      </c>
      <c r="I2581" s="1" t="s">
        <v>17</v>
      </c>
      <c r="J2581" s="1" t="str">
        <f>"112/112"</f>
        <v>112/112</v>
      </c>
      <c r="K2581" s="1" t="str">
        <f>"2026-07-29 13:18:07"</f>
        <v>2026-07-29 13:18:07</v>
      </c>
      <c r="L2581" s="1" t="str">
        <f>"2018-05-11 11:40:30"</f>
        <v>2018-05-11 11:40:30</v>
      </c>
      <c r="M2581" s="1" t="s">
        <v>0</v>
      </c>
      <c r="N2581" s="1" t="s">
        <v>38</v>
      </c>
      <c r="O2581" s="1" t="s">
        <v>46</v>
      </c>
    </row>
    <row r="2582" spans="2:15" x14ac:dyDescent="0.3">
      <c r="B2582" s="1" t="s">
        <v>24</v>
      </c>
      <c r="C2582" s="1" t="str">
        <f t="shared" si="149"/>
        <v>4차</v>
      </c>
      <c r="D2582" s="1" t="str">
        <f>"0428G43239"</f>
        <v>0428G43239</v>
      </c>
      <c r="E2582" s="1" t="s">
        <v>10</v>
      </c>
      <c r="F2582" s="1" t="str">
        <f>"10.14.10.50"</f>
        <v>10.14.10.50</v>
      </c>
      <c r="G2582" s="1" t="str">
        <f>"0428G432"</f>
        <v>0428G432</v>
      </c>
      <c r="H2582" s="1" t="str">
        <f>"신내 16"</f>
        <v>신내 16</v>
      </c>
      <c r="I2582" s="1" t="s">
        <v>17</v>
      </c>
      <c r="J2582" s="1" t="str">
        <f>"178/179"</f>
        <v>178/179</v>
      </c>
      <c r="K2582" s="1" t="str">
        <f>"2026-07-29 13:18:03"</f>
        <v>2026-07-29 13:18:03</v>
      </c>
      <c r="L2582" s="1" t="str">
        <f>"2018-05-11 13:04:59"</f>
        <v>2018-05-11 13:04:59</v>
      </c>
      <c r="M2582" s="1" t="s">
        <v>3</v>
      </c>
      <c r="N2582" s="1" t="s">
        <v>38</v>
      </c>
      <c r="O2582" s="1" t="s">
        <v>46</v>
      </c>
    </row>
    <row r="2583" spans="2:15" x14ac:dyDescent="0.3">
      <c r="B2583" s="1" t="s">
        <v>24</v>
      </c>
      <c r="C2583" s="1" t="str">
        <f t="shared" si="149"/>
        <v>4차</v>
      </c>
      <c r="D2583" s="1" t="str">
        <f>"0428G43339"</f>
        <v>0428G43339</v>
      </c>
      <c r="E2583" s="1" t="s">
        <v>10</v>
      </c>
      <c r="F2583" s="1" t="str">
        <f>"10.12.134.189"</f>
        <v>10.12.134.189</v>
      </c>
      <c r="G2583" s="1" t="str">
        <f>"0428G433"</f>
        <v>0428G433</v>
      </c>
      <c r="H2583" s="1" t="str">
        <f>"신내 18"</f>
        <v>신내 18</v>
      </c>
      <c r="I2583" s="1" t="s">
        <v>17</v>
      </c>
      <c r="J2583" s="1" t="str">
        <f>"116/116"</f>
        <v>116/116</v>
      </c>
      <c r="K2583" s="1" t="str">
        <f>"2026-07-29 13:18:03"</f>
        <v>2026-07-29 13:18:03</v>
      </c>
      <c r="L2583" s="1" t="str">
        <f>"2018-05-11 13:27:44"</f>
        <v>2018-05-11 13:27:44</v>
      </c>
      <c r="M2583" s="1" t="s">
        <v>0</v>
      </c>
      <c r="N2583" s="1" t="s">
        <v>38</v>
      </c>
      <c r="O2583" s="1" t="s">
        <v>46</v>
      </c>
    </row>
    <row r="2584" spans="2:15" x14ac:dyDescent="0.3">
      <c r="B2584" s="1" t="s">
        <v>24</v>
      </c>
      <c r="C2584" s="1" t="str">
        <f t="shared" si="149"/>
        <v>4차</v>
      </c>
      <c r="D2584" s="1" t="str">
        <f>"0428G44139"</f>
        <v>0428G44139</v>
      </c>
      <c r="E2584" s="1" t="s">
        <v>10</v>
      </c>
      <c r="F2584" s="1" t="str">
        <f>"10.12.134.192"</f>
        <v>10.12.134.192</v>
      </c>
      <c r="G2584" s="1" t="str">
        <f>"0428G441"</f>
        <v>0428G441</v>
      </c>
      <c r="H2584" s="1" t="str">
        <f>"신내 19"</f>
        <v>신내 19</v>
      </c>
      <c r="I2584" s="1" t="s">
        <v>17</v>
      </c>
      <c r="J2584" s="1" t="str">
        <f>"110/110"</f>
        <v>110/110</v>
      </c>
      <c r="K2584" s="1" t="str">
        <f>"2026-07-29 13:18:03"</f>
        <v>2026-07-29 13:18:03</v>
      </c>
      <c r="L2584" s="1" t="str">
        <f>"2018-05-11 14:09:29"</f>
        <v>2018-05-11 14:09:29</v>
      </c>
      <c r="M2584" s="1" t="s">
        <v>0</v>
      </c>
      <c r="N2584" s="1" t="s">
        <v>38</v>
      </c>
      <c r="O2584" s="1" t="s">
        <v>46</v>
      </c>
    </row>
    <row r="2585" spans="2:15" x14ac:dyDescent="0.3">
      <c r="B2585" s="1" t="s">
        <v>24</v>
      </c>
      <c r="C2585" s="1" t="str">
        <f t="shared" si="149"/>
        <v>4차</v>
      </c>
      <c r="D2585" s="1" t="str">
        <f>"0428G45145"</f>
        <v>0428G45145</v>
      </c>
      <c r="E2585" s="1" t="s">
        <v>10</v>
      </c>
      <c r="F2585" s="1" t="str">
        <f>"10.12.134.211"</f>
        <v>10.12.134.211</v>
      </c>
      <c r="G2585" s="1" t="str">
        <f>"0428G451"</f>
        <v>0428G451</v>
      </c>
      <c r="H2585" s="1" t="str">
        <f>"신내 22"</f>
        <v>신내 22</v>
      </c>
      <c r="I2585" s="1" t="s">
        <v>17</v>
      </c>
      <c r="J2585" s="1" t="str">
        <f>"144/144"</f>
        <v>144/144</v>
      </c>
      <c r="K2585" s="1" t="str">
        <f>"2026-07-29 13:18:05"</f>
        <v>2026-07-29 13:18:05</v>
      </c>
      <c r="L2585" s="1" t="str">
        <f>"2023-07-13 13:37:43"</f>
        <v>2023-07-13 13:37:43</v>
      </c>
      <c r="M2585" s="1" t="s">
        <v>0</v>
      </c>
      <c r="N2585" s="1" t="s">
        <v>38</v>
      </c>
      <c r="O2585" s="1" t="s">
        <v>46</v>
      </c>
    </row>
    <row r="2586" spans="2:15" x14ac:dyDescent="0.3">
      <c r="B2586" s="1" t="s">
        <v>24</v>
      </c>
      <c r="C2586" s="1" t="str">
        <f t="shared" si="149"/>
        <v>4차</v>
      </c>
      <c r="D2586" s="1" t="str">
        <f>"0428G45239"</f>
        <v>0428G45239</v>
      </c>
      <c r="E2586" s="1" t="s">
        <v>10</v>
      </c>
      <c r="F2586" s="1" t="str">
        <f>"10.12.134.203"</f>
        <v>10.12.134.203</v>
      </c>
      <c r="G2586" s="1" t="str">
        <f>"0428G452"</f>
        <v>0428G452</v>
      </c>
      <c r="H2586" s="1" t="str">
        <f>"신내 23"</f>
        <v>신내 23</v>
      </c>
      <c r="I2586" s="1" t="s">
        <v>17</v>
      </c>
      <c r="J2586" s="1" t="str">
        <f>"52/52"</f>
        <v>52/52</v>
      </c>
      <c r="K2586" s="1" t="str">
        <f>"2026-07-29 13:18:07"</f>
        <v>2026-07-29 13:18:07</v>
      </c>
      <c r="L2586" s="1" t="str">
        <f>"2018-05-14 09:55:29"</f>
        <v>2018-05-14 09:55:29</v>
      </c>
      <c r="M2586" s="1" t="s">
        <v>0</v>
      </c>
      <c r="N2586" s="1" t="s">
        <v>38</v>
      </c>
      <c r="O2586" s="1" t="s">
        <v>46</v>
      </c>
    </row>
    <row r="2587" spans="2:15" x14ac:dyDescent="0.3">
      <c r="B2587" s="1" t="s">
        <v>24</v>
      </c>
      <c r="C2587" s="1" t="str">
        <f t="shared" si="149"/>
        <v>4차</v>
      </c>
      <c r="D2587" s="1" t="str">
        <f>"0428G46139"</f>
        <v>0428G46139</v>
      </c>
      <c r="E2587" s="1" t="s">
        <v>10</v>
      </c>
      <c r="F2587" s="1" t="str">
        <f>"10.14.12.191"</f>
        <v>10.14.12.191</v>
      </c>
      <c r="G2587" s="1" t="str">
        <f>"0428G461"</f>
        <v>0428G461</v>
      </c>
      <c r="H2587" s="1" t="str">
        <f>"신내 24"</f>
        <v>신내 24</v>
      </c>
      <c r="I2587" s="1" t="s">
        <v>17</v>
      </c>
      <c r="J2587" s="1" t="str">
        <f>"168/168"</f>
        <v>168/168</v>
      </c>
      <c r="K2587" s="1" t="str">
        <f>"2026-07-29 13:18:03"</f>
        <v>2026-07-29 13:18:03</v>
      </c>
      <c r="L2587" s="1" t="str">
        <f>"2018-05-11 14:24:14"</f>
        <v>2018-05-11 14:24:14</v>
      </c>
      <c r="M2587" s="1" t="s">
        <v>3</v>
      </c>
      <c r="N2587" s="1" t="s">
        <v>38</v>
      </c>
      <c r="O2587" s="1" t="s">
        <v>46</v>
      </c>
    </row>
    <row r="2588" spans="2:15" x14ac:dyDescent="0.3">
      <c r="B2588" s="1" t="s">
        <v>24</v>
      </c>
      <c r="C2588" s="1" t="str">
        <f t="shared" si="149"/>
        <v>4차</v>
      </c>
      <c r="D2588" s="1" t="str">
        <f>"0428G55145"</f>
        <v>0428G55145</v>
      </c>
      <c r="E2588" s="1" t="s">
        <v>10</v>
      </c>
      <c r="F2588" s="1" t="str">
        <f>"10.12.134.187"</f>
        <v>10.12.134.187</v>
      </c>
      <c r="G2588" s="1" t="str">
        <f>"0428G551"</f>
        <v>0428G551</v>
      </c>
      <c r="H2588" s="1" t="str">
        <f>"신내 21"</f>
        <v>신내 21</v>
      </c>
      <c r="I2588" s="1" t="s">
        <v>17</v>
      </c>
      <c r="J2588" s="1" t="str">
        <f>"141/141"</f>
        <v>141/141</v>
      </c>
      <c r="K2588" s="1" t="str">
        <f>"2026-07-29 13:18:03"</f>
        <v>2026-07-29 13:18:03</v>
      </c>
      <c r="L2588" s="1" t="str">
        <f>"2025-08-11 17:40:13"</f>
        <v>2025-08-11 17:40:13</v>
      </c>
      <c r="M2588" s="1" t="s">
        <v>0</v>
      </c>
      <c r="N2588" s="1" t="s">
        <v>38</v>
      </c>
      <c r="O2588" s="1" t="s">
        <v>46</v>
      </c>
    </row>
    <row r="2589" spans="2:15" x14ac:dyDescent="0.3">
      <c r="B2589" s="1" t="s">
        <v>24</v>
      </c>
      <c r="C2589" s="1" t="str">
        <f t="shared" si="149"/>
        <v>4차</v>
      </c>
      <c r="D2589" s="1" t="str">
        <f>"0428G56145"</f>
        <v>0428G56145</v>
      </c>
      <c r="E2589" s="1" t="s">
        <v>10</v>
      </c>
      <c r="F2589" s="1" t="str">
        <f>"10.12.134.186"</f>
        <v>10.12.134.186</v>
      </c>
      <c r="G2589" s="1" t="str">
        <f>"0428G561"</f>
        <v>0428G561</v>
      </c>
      <c r="H2589" s="1" t="str">
        <f>"신내 25"</f>
        <v>신내 25</v>
      </c>
      <c r="I2589" s="1" t="s">
        <v>17</v>
      </c>
      <c r="J2589" s="1" t="str">
        <f>"167/167"</f>
        <v>167/167</v>
      </c>
      <c r="K2589" s="1" t="str">
        <f>"2026-07-29 13:18:03"</f>
        <v>2026-07-29 13:18:03</v>
      </c>
      <c r="L2589" s="1" t="str">
        <f>"2025-04-09 13:57:51"</f>
        <v>2025-04-09 13:57:51</v>
      </c>
      <c r="M2589" s="1" t="s">
        <v>0</v>
      </c>
      <c r="N2589" s="1" t="s">
        <v>38</v>
      </c>
      <c r="O2589" s="1" t="s">
        <v>46</v>
      </c>
    </row>
    <row r="2590" spans="2:15" x14ac:dyDescent="0.3">
      <c r="B2590" s="1" t="s">
        <v>24</v>
      </c>
      <c r="C2590" s="1" t="str">
        <f t="shared" si="149"/>
        <v>4차</v>
      </c>
      <c r="D2590" s="1" t="str">
        <f>"0428G56245"</f>
        <v>0428G56245</v>
      </c>
      <c r="E2590" s="1" t="s">
        <v>10</v>
      </c>
      <c r="F2590" s="1" t="str">
        <f>"10.14.12.41"</f>
        <v>10.14.12.41</v>
      </c>
      <c r="G2590" s="1" t="str">
        <f>"0428G562"</f>
        <v>0428G562</v>
      </c>
      <c r="H2590" s="1" t="str">
        <f>"신내 28"</f>
        <v>신내 28</v>
      </c>
      <c r="I2590" s="1" t="s">
        <v>17</v>
      </c>
      <c r="J2590" s="1" t="str">
        <f>"144/144"</f>
        <v>144/144</v>
      </c>
      <c r="K2590" s="1" t="str">
        <f>"2026-07-29 13:18:03"</f>
        <v>2026-07-29 13:18:03</v>
      </c>
      <c r="L2590" s="1" t="str">
        <f>"2025-01-02 17:45:53"</f>
        <v>2025-01-02 17:45:53</v>
      </c>
      <c r="M2590" s="1" t="s">
        <v>3</v>
      </c>
      <c r="N2590" s="1" t="s">
        <v>38</v>
      </c>
      <c r="O2590" s="1" t="s">
        <v>46</v>
      </c>
    </row>
    <row r="2591" spans="2:15" x14ac:dyDescent="0.3">
      <c r="B2591" s="1" t="s">
        <v>24</v>
      </c>
      <c r="C2591" s="1" t="str">
        <f t="shared" si="149"/>
        <v>4차</v>
      </c>
      <c r="D2591" s="1" t="str">
        <f>"0428G67245"</f>
        <v>0428G67245</v>
      </c>
      <c r="E2591" s="1" t="s">
        <v>10</v>
      </c>
      <c r="F2591" s="1" t="str">
        <f>"10.12.137.79"</f>
        <v>10.12.137.79</v>
      </c>
      <c r="G2591" s="1" t="str">
        <f>"0428G672"</f>
        <v>0428G672</v>
      </c>
      <c r="H2591" s="1" t="str">
        <f>"신내 29"</f>
        <v>신내 29</v>
      </c>
      <c r="I2591" s="1" t="s">
        <v>17</v>
      </c>
      <c r="J2591" s="1" t="str">
        <f>"172/172"</f>
        <v>172/172</v>
      </c>
      <c r="K2591" s="1" t="str">
        <f>"2026-07-29 13:18:04"</f>
        <v>2026-07-29 13:18:04</v>
      </c>
      <c r="L2591" s="1" t="str">
        <f>"2025-03-31 11:35:49"</f>
        <v>2025-03-31 11:35:49</v>
      </c>
      <c r="M2591" s="1" t="s">
        <v>0</v>
      </c>
      <c r="N2591" s="1" t="s">
        <v>38</v>
      </c>
      <c r="O2591" s="1" t="s">
        <v>46</v>
      </c>
    </row>
    <row r="2592" spans="2:15" x14ac:dyDescent="0.3">
      <c r="B2592" s="1" t="s">
        <v>24</v>
      </c>
      <c r="C2592" s="1" t="str">
        <f t="shared" si="149"/>
        <v>4차</v>
      </c>
      <c r="D2592" s="1" t="str">
        <f>"0428G68139"</f>
        <v>0428G68139</v>
      </c>
      <c r="E2592" s="1" t="s">
        <v>10</v>
      </c>
      <c r="F2592" s="1" t="str">
        <f>"10.14.4.44"</f>
        <v>10.14.4.44</v>
      </c>
      <c r="G2592" s="1" t="str">
        <f>"0428G681"</f>
        <v>0428G681</v>
      </c>
      <c r="H2592" s="1" t="str">
        <f>"신내 31"</f>
        <v>신내 31</v>
      </c>
      <c r="I2592" s="1" t="s">
        <v>17</v>
      </c>
      <c r="J2592" s="1" t="str">
        <f>"143/143"</f>
        <v>143/143</v>
      </c>
      <c r="K2592" s="1" t="str">
        <f>"2026-07-29 13:18:03"</f>
        <v>2026-07-29 13:18:03</v>
      </c>
      <c r="L2592" s="1" t="str">
        <f>"2018-05-14 09:10:11"</f>
        <v>2018-05-14 09:10:11</v>
      </c>
      <c r="M2592" s="1" t="s">
        <v>3</v>
      </c>
      <c r="N2592" s="1" t="s">
        <v>38</v>
      </c>
      <c r="O2592" s="1" t="s">
        <v>46</v>
      </c>
    </row>
    <row r="2593" spans="2:15" x14ac:dyDescent="0.3">
      <c r="B2593" s="1" t="s">
        <v>24</v>
      </c>
      <c r="C2593" s="1" t="str">
        <f t="shared" ref="C2593:C2599" si="150">"5-2차"</f>
        <v>5-2차</v>
      </c>
      <c r="D2593" s="1" t="str">
        <f>"0428H1015M"</f>
        <v>0428H1015M</v>
      </c>
      <c r="E2593" s="1" t="s">
        <v>10</v>
      </c>
      <c r="F2593" s="1" t="str">
        <f>"fde3:102:1430:8100:0:0:0:6"</f>
        <v>fde3:102:1430:8100:0:0:0:6</v>
      </c>
      <c r="G2593" s="1" t="str">
        <f>"0428H101"</f>
        <v>0428H101</v>
      </c>
      <c r="H2593" s="1" t="str">
        <f>"금란간 38R4L1"</f>
        <v>금란간 38R4L1</v>
      </c>
      <c r="I2593" s="1" t="s">
        <v>15</v>
      </c>
      <c r="J2593" s="1" t="str">
        <f>"35/35"</f>
        <v>35/35</v>
      </c>
      <c r="K2593" s="1" t="str">
        <f>"2026-07-29 14:21:20"</f>
        <v>2026-07-29 14:21:20</v>
      </c>
      <c r="L2593" s="1" t="str">
        <f>"2023-12-03 08:34:37"</f>
        <v>2023-12-03 08:34:37</v>
      </c>
      <c r="M2593" s="1" t="s">
        <v>45</v>
      </c>
      <c r="N2593" s="1" t="s">
        <v>38</v>
      </c>
      <c r="O2593" s="1" t="s">
        <v>46</v>
      </c>
    </row>
    <row r="2594" spans="2:15" x14ac:dyDescent="0.3">
      <c r="B2594" s="1" t="s">
        <v>24</v>
      </c>
      <c r="C2594" s="1" t="str">
        <f t="shared" si="150"/>
        <v>5-2차</v>
      </c>
      <c r="D2594" s="1" t="str">
        <f>"0428H1115M"</f>
        <v>0428H1115M</v>
      </c>
      <c r="E2594" s="1" t="s">
        <v>10</v>
      </c>
      <c r="F2594" s="1" t="str">
        <f>"fde3:102:1430:8100:0:0:0:8"</f>
        <v>fde3:102:1430:8100:0:0:0:8</v>
      </c>
      <c r="G2594" s="1" t="str">
        <f>"0428H111"</f>
        <v>0428H111</v>
      </c>
      <c r="H2594" s="1" t="str">
        <f>"금란간 38R4"</f>
        <v>금란간 38R4</v>
      </c>
      <c r="I2594" s="1" t="s">
        <v>15</v>
      </c>
      <c r="J2594" s="1" t="str">
        <f>"42/42"</f>
        <v>42/42</v>
      </c>
      <c r="K2594" s="1" t="str">
        <f>"2026-07-29 14:21:02"</f>
        <v>2026-07-29 14:21:02</v>
      </c>
      <c r="L2594" s="1" t="str">
        <f>"2024-01-08 10:59:35"</f>
        <v>2024-01-08 10:59:35</v>
      </c>
      <c r="M2594" s="1" t="s">
        <v>45</v>
      </c>
      <c r="N2594" s="1" t="s">
        <v>38</v>
      </c>
      <c r="O2594" s="1" t="s">
        <v>46</v>
      </c>
    </row>
    <row r="2595" spans="2:15" x14ac:dyDescent="0.3">
      <c r="B2595" s="1" t="s">
        <v>24</v>
      </c>
      <c r="C2595" s="1" t="str">
        <f t="shared" si="150"/>
        <v>5-2차</v>
      </c>
      <c r="D2595" s="1" t="str">
        <f>"0428H1215M"</f>
        <v>0428H1215M</v>
      </c>
      <c r="E2595" s="1" t="s">
        <v>10</v>
      </c>
      <c r="F2595" s="1" t="str">
        <f>"fde1:103:4:92b6:0:0:0:2"</f>
        <v>fde1:103:4:92b6:0:0:0:2</v>
      </c>
      <c r="G2595" s="1" t="str">
        <f>"0428H121"</f>
        <v>0428H121</v>
      </c>
      <c r="H2595" s="1" t="str">
        <f>"금란간 38R6"</f>
        <v>금란간 38R6</v>
      </c>
      <c r="I2595" s="1" t="s">
        <v>15</v>
      </c>
      <c r="J2595" s="1" t="str">
        <f>"48/48"</f>
        <v>48/48</v>
      </c>
      <c r="K2595" s="1" t="str">
        <f>"2026-07-29 14:21:21"</f>
        <v>2026-07-29 14:21:21</v>
      </c>
      <c r="L2595" s="1" t="str">
        <f>"2023-12-20 09:55:52"</f>
        <v>2023-12-20 09:55:52</v>
      </c>
      <c r="M2595" s="1" t="s">
        <v>4</v>
      </c>
      <c r="N2595" s="1" t="s">
        <v>38</v>
      </c>
      <c r="O2595" s="1" t="s">
        <v>46</v>
      </c>
    </row>
    <row r="2596" spans="2:15" x14ac:dyDescent="0.3">
      <c r="B2596" s="1" t="s">
        <v>24</v>
      </c>
      <c r="C2596" s="1" t="str">
        <f t="shared" si="150"/>
        <v>5-2차</v>
      </c>
      <c r="D2596" s="1" t="str">
        <f>"0428H1235S"</f>
        <v>0428H1235S</v>
      </c>
      <c r="E2596" s="1" t="s">
        <v>10</v>
      </c>
      <c r="F2596" s="1" t="str">
        <f>"fde1:103:4:920b:0:0:0:2"</f>
        <v>fde1:103:4:920b:0:0:0:2</v>
      </c>
      <c r="G2596" s="1" t="str">
        <f>"0428H123"</f>
        <v>0428H123</v>
      </c>
      <c r="H2596" s="1" t="str">
        <f>"금란간 38R5"</f>
        <v>금란간 38R5</v>
      </c>
      <c r="I2596" s="1" t="s">
        <v>15</v>
      </c>
      <c r="J2596" s="1" t="str">
        <f>"49/49"</f>
        <v>49/49</v>
      </c>
      <c r="K2596" s="1" t="str">
        <f>"2026-07-29 14:21:03"</f>
        <v>2026-07-29 14:21:03</v>
      </c>
      <c r="L2596" s="1" t="str">
        <f>"2024-01-18 14:09:43"</f>
        <v>2024-01-18 14:09:43</v>
      </c>
      <c r="M2596" s="1" t="s">
        <v>4</v>
      </c>
      <c r="N2596" s="1" t="s">
        <v>38</v>
      </c>
      <c r="O2596" s="1" t="s">
        <v>46</v>
      </c>
    </row>
    <row r="2597" spans="2:15" x14ac:dyDescent="0.3">
      <c r="B2597" s="1" t="s">
        <v>24</v>
      </c>
      <c r="C2597" s="1" t="str">
        <f t="shared" si="150"/>
        <v>5-2차</v>
      </c>
      <c r="D2597" s="1" t="str">
        <f>"0428H2235M"</f>
        <v>0428H2235M</v>
      </c>
      <c r="E2597" s="1" t="s">
        <v>10</v>
      </c>
      <c r="F2597" s="1" t="str">
        <f>"fde1:103:4:9161:0:0:0:2"</f>
        <v>fde1:103:4:9161:0:0:0:2</v>
      </c>
      <c r="G2597" s="1" t="str">
        <f>"0428H223"</f>
        <v>0428H223</v>
      </c>
      <c r="H2597" s="1" t="str">
        <f>"금란간 38R2"</f>
        <v>금란간 38R2</v>
      </c>
      <c r="I2597" s="1" t="s">
        <v>15</v>
      </c>
      <c r="J2597" s="1" t="str">
        <f>"53/53"</f>
        <v>53/53</v>
      </c>
      <c r="K2597" s="1" t="str">
        <f>"2026-07-29 14:21:05"</f>
        <v>2026-07-29 14:21:05</v>
      </c>
      <c r="L2597" s="1" t="str">
        <f>"2023-12-20 10:14:14"</f>
        <v>2023-12-20 10:14:14</v>
      </c>
      <c r="M2597" s="1" t="s">
        <v>4</v>
      </c>
      <c r="N2597" s="1" t="s">
        <v>38</v>
      </c>
      <c r="O2597" s="1" t="s">
        <v>46</v>
      </c>
    </row>
    <row r="2598" spans="2:15" x14ac:dyDescent="0.3">
      <c r="B2598" s="1" t="s">
        <v>24</v>
      </c>
      <c r="C2598" s="1" t="str">
        <f t="shared" si="150"/>
        <v>5-2차</v>
      </c>
      <c r="D2598" s="1" t="str">
        <f>"0428H3425M"</f>
        <v>0428H3425M</v>
      </c>
      <c r="E2598" s="1" t="s">
        <v>10</v>
      </c>
      <c r="F2598" s="1" t="str">
        <f>"fde1:103:4:92b2:0:0:0:2"</f>
        <v>fde1:103:4:92b2:0:0:0:2</v>
      </c>
      <c r="G2598" s="1" t="str">
        <f>"0428H342"</f>
        <v>0428H342</v>
      </c>
      <c r="H2598" s="1" t="str">
        <f>"동성간 5"</f>
        <v>동성간 5</v>
      </c>
      <c r="I2598" s="1" t="s">
        <v>15</v>
      </c>
      <c r="J2598" s="1" t="str">
        <f>"22/22"</f>
        <v>22/22</v>
      </c>
      <c r="K2598" s="1" t="str">
        <f>"2026-07-29 14:21:04"</f>
        <v>2026-07-29 14:21:04</v>
      </c>
      <c r="L2598" s="1" t="str">
        <f>"2023-12-20 10:14:34"</f>
        <v>2023-12-20 10:14:34</v>
      </c>
      <c r="M2598" s="1" t="s">
        <v>4</v>
      </c>
      <c r="N2598" s="1" t="s">
        <v>38</v>
      </c>
      <c r="O2598" s="1" t="s">
        <v>46</v>
      </c>
    </row>
    <row r="2599" spans="2:15" x14ac:dyDescent="0.3">
      <c r="B2599" s="1" t="s">
        <v>24</v>
      </c>
      <c r="C2599" s="1" t="str">
        <f t="shared" si="150"/>
        <v>5-2차</v>
      </c>
      <c r="D2599" s="1" t="str">
        <f>"0428H4015M"</f>
        <v>0428H4015M</v>
      </c>
      <c r="E2599" s="1" t="s">
        <v>10</v>
      </c>
      <c r="F2599" s="1" t="str">
        <f>"fde1:103:4:92af:0:0:0:2"</f>
        <v>fde1:103:4:92af:0:0:0:2</v>
      </c>
      <c r="G2599" s="1" t="str">
        <f>"0428H401"</f>
        <v>0428H401</v>
      </c>
      <c r="H2599" s="1" t="str">
        <f>"금란간 37L2R1"</f>
        <v>금란간 37L2R1</v>
      </c>
      <c r="I2599" s="1" t="s">
        <v>15</v>
      </c>
      <c r="J2599" s="1" t="str">
        <f>"52/52"</f>
        <v>52/52</v>
      </c>
      <c r="K2599" s="1" t="str">
        <f>"2026-07-29 14:21:04"</f>
        <v>2026-07-29 14:21:04</v>
      </c>
      <c r="L2599" s="1" t="str">
        <f>"2023-12-20 10:20:37"</f>
        <v>2023-12-20 10:20:37</v>
      </c>
      <c r="M2599" s="1" t="s">
        <v>4</v>
      </c>
      <c r="N2599" s="1" t="s">
        <v>38</v>
      </c>
      <c r="O2599" s="1" t="s">
        <v>46</v>
      </c>
    </row>
    <row r="2600" spans="2:15" x14ac:dyDescent="0.3">
      <c r="B2600" s="1" t="s">
        <v>24</v>
      </c>
      <c r="C2600" s="1" t="str">
        <f>"3차"</f>
        <v>3차</v>
      </c>
      <c r="D2600" s="1" t="str">
        <f>"0428P01139"</f>
        <v>0428P01139</v>
      </c>
      <c r="E2600" s="1" t="s">
        <v>10</v>
      </c>
      <c r="F2600" s="1" t="str">
        <f>"10.14.14.124"</f>
        <v>10.14.14.124</v>
      </c>
      <c r="G2600" s="1" t="str">
        <f>"0428P011"</f>
        <v>0428P011</v>
      </c>
      <c r="H2600" s="1" t="str">
        <f>"봉화간 30R3"</f>
        <v>봉화간 30R3</v>
      </c>
      <c r="I2600" s="1" t="s">
        <v>8</v>
      </c>
      <c r="J2600" s="1" t="str">
        <f>"64/64"</f>
        <v>64/64</v>
      </c>
      <c r="K2600" s="1" t="str">
        <f t="shared" ref="K2600:K2607" si="151">"2026-07-29 13:18:03"</f>
        <v>2026-07-29 13:18:03</v>
      </c>
      <c r="L2600" s="1" t="str">
        <f>"2018-04-18 11:20:10"</f>
        <v>2018-04-18 11:20:10</v>
      </c>
      <c r="M2600" s="1" t="s">
        <v>3</v>
      </c>
      <c r="N2600" s="1" t="s">
        <v>38</v>
      </c>
      <c r="O2600" s="1" t="s">
        <v>46</v>
      </c>
    </row>
    <row r="2601" spans="2:15" x14ac:dyDescent="0.3">
      <c r="B2601" s="1" t="s">
        <v>24</v>
      </c>
      <c r="C2601" s="1" t="str">
        <f>"3차"</f>
        <v>3차</v>
      </c>
      <c r="D2601" s="1" t="str">
        <f>"0428P03239"</f>
        <v>0428P03239</v>
      </c>
      <c r="E2601" s="1" t="s">
        <v>10</v>
      </c>
      <c r="F2601" s="1" t="str">
        <f>"10.89.247.102"</f>
        <v>10.89.247.102</v>
      </c>
      <c r="G2601" s="1" t="str">
        <f>"0428P032"</f>
        <v>0428P032</v>
      </c>
      <c r="H2601" s="1" t="str">
        <f>"봉화간 40R7R5"</f>
        <v>봉화간 40R7R5</v>
      </c>
      <c r="I2601" s="1" t="s">
        <v>8</v>
      </c>
      <c r="J2601" s="1" t="str">
        <f>"38/38"</f>
        <v>38/38</v>
      </c>
      <c r="K2601" s="1" t="str">
        <f t="shared" si="151"/>
        <v>2026-07-29 13:18:03</v>
      </c>
      <c r="L2601" s="1" t="str">
        <f>"2018-04-18 12:00:57"</f>
        <v>2018-04-18 12:00:57</v>
      </c>
      <c r="M2601" s="1" t="s">
        <v>45</v>
      </c>
      <c r="N2601" s="1" t="s">
        <v>38</v>
      </c>
      <c r="O2601" s="1" t="s">
        <v>46</v>
      </c>
    </row>
    <row r="2602" spans="2:15" x14ac:dyDescent="0.3">
      <c r="B2602" s="1" t="s">
        <v>24</v>
      </c>
      <c r="C2602" s="1" t="str">
        <f>"4차"</f>
        <v>4차</v>
      </c>
      <c r="D2602" s="1" t="str">
        <f>"0428P04144"</f>
        <v>0428P04144</v>
      </c>
      <c r="E2602" s="1" t="s">
        <v>10</v>
      </c>
      <c r="F2602" s="1" t="str">
        <f>"10.10.42.178"</f>
        <v>10.10.42.178</v>
      </c>
      <c r="G2602" s="1" t="str">
        <f>"0428P041"</f>
        <v>0428P041</v>
      </c>
      <c r="H2602" s="1" t="str">
        <f>"봉화간 40R7R2"</f>
        <v>봉화간 40R7R2</v>
      </c>
      <c r="I2602" s="1" t="s">
        <v>8</v>
      </c>
      <c r="J2602" s="1" t="str">
        <f>"49/49"</f>
        <v>49/49</v>
      </c>
      <c r="K2602" s="1" t="str">
        <f t="shared" si="151"/>
        <v>2026-07-29 13:18:03</v>
      </c>
      <c r="L2602" s="1" t="str">
        <f>"2019-10-31 17:53:04"</f>
        <v>2019-10-31 17:53:04</v>
      </c>
      <c r="M2602" s="1" t="s">
        <v>1</v>
      </c>
      <c r="N2602" s="1" t="s">
        <v>38</v>
      </c>
      <c r="O2602" s="1" t="s">
        <v>46</v>
      </c>
    </row>
    <row r="2603" spans="2:15" x14ac:dyDescent="0.3">
      <c r="B2603" s="1" t="s">
        <v>24</v>
      </c>
      <c r="C2603" s="1" t="str">
        <f>"4차"</f>
        <v>4차</v>
      </c>
      <c r="D2603" s="1" t="str">
        <f>"0428P04344"</f>
        <v>0428P04344</v>
      </c>
      <c r="E2603" s="1" t="s">
        <v>10</v>
      </c>
      <c r="F2603" s="1" t="str">
        <f>"10.10.42.90"</f>
        <v>10.10.42.90</v>
      </c>
      <c r="G2603" s="1" t="str">
        <f>"0428P043"</f>
        <v>0428P043</v>
      </c>
      <c r="H2603" s="1" t="str">
        <f>"봉화간 40R7R1"</f>
        <v>봉화간 40R7R1</v>
      </c>
      <c r="I2603" s="1" t="s">
        <v>8</v>
      </c>
      <c r="J2603" s="1" t="str">
        <f>"45/45"</f>
        <v>45/45</v>
      </c>
      <c r="K2603" s="1" t="str">
        <f t="shared" si="151"/>
        <v>2026-07-29 13:18:03</v>
      </c>
      <c r="L2603" s="1" t="str">
        <f>"2019-10-31 17:43:04"</f>
        <v>2019-10-31 17:43:04</v>
      </c>
      <c r="M2603" s="1" t="s">
        <v>1</v>
      </c>
      <c r="N2603" s="1" t="s">
        <v>38</v>
      </c>
      <c r="O2603" s="1" t="s">
        <v>46</v>
      </c>
    </row>
    <row r="2604" spans="2:15" x14ac:dyDescent="0.3">
      <c r="B2604" s="1" t="s">
        <v>24</v>
      </c>
      <c r="C2604" s="1" t="str">
        <f t="shared" ref="C2604:C2613" si="152">"3차"</f>
        <v>3차</v>
      </c>
      <c r="D2604" s="1" t="str">
        <f>"0428P05239"</f>
        <v>0428P05239</v>
      </c>
      <c r="E2604" s="1" t="s">
        <v>10</v>
      </c>
      <c r="F2604" s="1" t="str">
        <f>"10.89.247.101"</f>
        <v>10.89.247.101</v>
      </c>
      <c r="G2604" s="1" t="str">
        <f>"0428P052"</f>
        <v>0428P052</v>
      </c>
      <c r="H2604" s="1" t="str">
        <f>"봉화간 40R7"</f>
        <v>봉화간 40R7</v>
      </c>
      <c r="I2604" s="1" t="s">
        <v>8</v>
      </c>
      <c r="J2604" s="1" t="str">
        <f>"11/16"</f>
        <v>11/16</v>
      </c>
      <c r="K2604" s="1" t="str">
        <f t="shared" si="151"/>
        <v>2026-07-29 13:18:03</v>
      </c>
      <c r="L2604" s="1" t="str">
        <f>"2018-07-24 16:53:43"</f>
        <v>2018-07-24 16:53:43</v>
      </c>
      <c r="M2604" s="1" t="s">
        <v>45</v>
      </c>
      <c r="N2604" s="1" t="s">
        <v>38</v>
      </c>
      <c r="O2604" s="1" t="s">
        <v>46</v>
      </c>
    </row>
    <row r="2605" spans="2:15" x14ac:dyDescent="0.3">
      <c r="B2605" s="1" t="s">
        <v>24</v>
      </c>
      <c r="C2605" s="1" t="str">
        <f t="shared" si="152"/>
        <v>3차</v>
      </c>
      <c r="D2605" s="1" t="str">
        <f>"0428P07139"</f>
        <v>0428P07139</v>
      </c>
      <c r="E2605" s="1" t="s">
        <v>10</v>
      </c>
      <c r="F2605" s="1" t="str">
        <f>"10.10.18.42"</f>
        <v>10.10.18.42</v>
      </c>
      <c r="G2605" s="1" t="str">
        <f>"0428P071"</f>
        <v>0428P071</v>
      </c>
      <c r="H2605" s="1" t="str">
        <f>"봉화간 40R5"</f>
        <v>봉화간 40R5</v>
      </c>
      <c r="I2605" s="1" t="s">
        <v>8</v>
      </c>
      <c r="J2605" s="1" t="str">
        <f>"27/27"</f>
        <v>27/27</v>
      </c>
      <c r="K2605" s="1" t="str">
        <f t="shared" si="151"/>
        <v>2026-07-29 13:18:03</v>
      </c>
      <c r="L2605" s="1" t="str">
        <f>"2018-02-14 11:18:56"</f>
        <v>2018-02-14 11:18:56</v>
      </c>
      <c r="M2605" s="1" t="s">
        <v>1</v>
      </c>
      <c r="N2605" s="1" t="s">
        <v>38</v>
      </c>
      <c r="O2605" s="1" t="s">
        <v>46</v>
      </c>
    </row>
    <row r="2606" spans="2:15" x14ac:dyDescent="0.3">
      <c r="B2606" s="1" t="s">
        <v>24</v>
      </c>
      <c r="C2606" s="1" t="str">
        <f t="shared" si="152"/>
        <v>3차</v>
      </c>
      <c r="D2606" s="1" t="str">
        <f>"0428P08139"</f>
        <v>0428P08139</v>
      </c>
      <c r="E2606" s="1" t="s">
        <v>10</v>
      </c>
      <c r="F2606" s="1" t="str">
        <f>"10.12.128.44"</f>
        <v>10.12.128.44</v>
      </c>
      <c r="G2606" s="1" t="str">
        <f>"0428P081"</f>
        <v>0428P081</v>
      </c>
      <c r="H2606" s="1" t="str">
        <f>"봉화간 40R3L2L1"</f>
        <v>봉화간 40R3L2L1</v>
      </c>
      <c r="I2606" s="1" t="s">
        <v>8</v>
      </c>
      <c r="J2606" s="1" t="str">
        <f>"2/2"</f>
        <v>2/2</v>
      </c>
      <c r="K2606" s="1" t="str">
        <f t="shared" si="151"/>
        <v>2026-07-29 13:18:03</v>
      </c>
      <c r="L2606" s="1" t="str">
        <f>"2018-03-24 09:27:41"</f>
        <v>2018-03-24 09:27:41</v>
      </c>
      <c r="M2606" s="1" t="s">
        <v>0</v>
      </c>
      <c r="N2606" s="1" t="s">
        <v>38</v>
      </c>
      <c r="O2606" s="1" t="s">
        <v>46</v>
      </c>
    </row>
    <row r="2607" spans="2:15" x14ac:dyDescent="0.3">
      <c r="B2607" s="1" t="s">
        <v>24</v>
      </c>
      <c r="C2607" s="1" t="str">
        <f t="shared" si="152"/>
        <v>3차</v>
      </c>
      <c r="D2607" s="1" t="str">
        <f>"0428P08531"</f>
        <v>0428P08531</v>
      </c>
      <c r="E2607" s="1" t="s">
        <v>10</v>
      </c>
      <c r="F2607" s="1" t="str">
        <f>"10.10.20.51"</f>
        <v>10.10.20.51</v>
      </c>
      <c r="G2607" s="1" t="str">
        <f>"0428P085"</f>
        <v>0428P085</v>
      </c>
      <c r="H2607" s="1" t="str">
        <f>"봉화간 40R3"</f>
        <v>봉화간 40R3</v>
      </c>
      <c r="I2607" s="1" t="s">
        <v>8</v>
      </c>
      <c r="J2607" s="1" t="str">
        <f>"48/48"</f>
        <v>48/48</v>
      </c>
      <c r="K2607" s="1" t="str">
        <f t="shared" si="151"/>
        <v>2026-07-29 13:18:03</v>
      </c>
      <c r="L2607" s="1" t="str">
        <f>"2021-07-28 09:32:39"</f>
        <v>2021-07-28 09:32:39</v>
      </c>
      <c r="M2607" s="1" t="s">
        <v>1</v>
      </c>
      <c r="N2607" s="1" t="s">
        <v>38</v>
      </c>
      <c r="O2607" s="1" t="s">
        <v>46</v>
      </c>
    </row>
    <row r="2608" spans="2:15" x14ac:dyDescent="0.3">
      <c r="B2608" s="1" t="s">
        <v>24</v>
      </c>
      <c r="C2608" s="1" t="str">
        <f t="shared" si="152"/>
        <v>3차</v>
      </c>
      <c r="D2608" s="1" t="str">
        <f>"0428P10139"</f>
        <v>0428P10139</v>
      </c>
      <c r="E2608" s="1" t="s">
        <v>10</v>
      </c>
      <c r="F2608" s="1" t="str">
        <f>"10.10.17.74"</f>
        <v>10.10.17.74</v>
      </c>
      <c r="G2608" s="1" t="str">
        <f>"0428P101"</f>
        <v>0428P101</v>
      </c>
      <c r="H2608" s="1" t="str">
        <f>"봉화간 22R1L2"</f>
        <v>봉화간 22R1L2</v>
      </c>
      <c r="I2608" s="1" t="s">
        <v>8</v>
      </c>
      <c r="J2608" s="1" t="str">
        <f>"19/19"</f>
        <v>19/19</v>
      </c>
      <c r="K2608" s="1" t="str">
        <f>"2026-07-29 13:18:05"</f>
        <v>2026-07-29 13:18:05</v>
      </c>
      <c r="L2608" s="1" t="str">
        <f>"2018-01-30 14:58:56"</f>
        <v>2018-01-30 14:58:56</v>
      </c>
      <c r="M2608" s="1" t="s">
        <v>1</v>
      </c>
      <c r="N2608" s="1" t="s">
        <v>38</v>
      </c>
      <c r="O2608" s="1" t="s">
        <v>46</v>
      </c>
    </row>
    <row r="2609" spans="2:15" x14ac:dyDescent="0.3">
      <c r="B2609" s="1" t="s">
        <v>24</v>
      </c>
      <c r="C2609" s="1" t="str">
        <f t="shared" si="152"/>
        <v>3차</v>
      </c>
      <c r="D2609" s="1" t="str">
        <f>"0428P11139"</f>
        <v>0428P11139</v>
      </c>
      <c r="E2609" s="1" t="s">
        <v>10</v>
      </c>
      <c r="F2609" s="1" t="str">
        <f>"10.10.17.82"</f>
        <v>10.10.17.82</v>
      </c>
      <c r="G2609" s="1" t="str">
        <f>"0428P111"</f>
        <v>0428P111</v>
      </c>
      <c r="H2609" s="1" t="str">
        <f>"봉화간 22R1L2L2"</f>
        <v>봉화간 22R1L2L2</v>
      </c>
      <c r="I2609" s="1" t="s">
        <v>8</v>
      </c>
      <c r="J2609" s="1" t="str">
        <f>"46/46"</f>
        <v>46/46</v>
      </c>
      <c r="K2609" s="1" t="str">
        <f t="shared" ref="K2609:K2621" si="153">"2026-07-29 13:18:03"</f>
        <v>2026-07-29 13:18:03</v>
      </c>
      <c r="L2609" s="1" t="str">
        <f>"2018-02-13 11:45:11"</f>
        <v>2018-02-13 11:45:11</v>
      </c>
      <c r="M2609" s="1" t="s">
        <v>1</v>
      </c>
      <c r="N2609" s="1" t="s">
        <v>38</v>
      </c>
      <c r="O2609" s="1" t="s">
        <v>46</v>
      </c>
    </row>
    <row r="2610" spans="2:15" x14ac:dyDescent="0.3">
      <c r="B2610" s="1" t="s">
        <v>24</v>
      </c>
      <c r="C2610" s="1" t="str">
        <f t="shared" si="152"/>
        <v>3차</v>
      </c>
      <c r="D2610" s="1" t="str">
        <f>"0428P11430"</f>
        <v>0428P11430</v>
      </c>
      <c r="E2610" s="1" t="s">
        <v>10</v>
      </c>
      <c r="F2610" s="1" t="str">
        <f>"10.10.14.162"</f>
        <v>10.10.14.162</v>
      </c>
      <c r="G2610" s="1" t="str">
        <f>"0428P114"</f>
        <v>0428P114</v>
      </c>
      <c r="H2610" s="1" t="str">
        <f>"봉화간 22R1L2L3"</f>
        <v>봉화간 22R1L2L3</v>
      </c>
      <c r="I2610" s="1" t="s">
        <v>8</v>
      </c>
      <c r="J2610" s="1" t="str">
        <f>"29/29"</f>
        <v>29/29</v>
      </c>
      <c r="K2610" s="1" t="str">
        <f t="shared" si="153"/>
        <v>2026-07-29 13:18:03</v>
      </c>
      <c r="L2610" s="1" t="str">
        <f>"2021-07-27 10:23:09"</f>
        <v>2021-07-27 10:23:09</v>
      </c>
      <c r="M2610" s="1" t="s">
        <v>1</v>
      </c>
      <c r="N2610" s="1" t="s">
        <v>38</v>
      </c>
      <c r="O2610" s="1" t="s">
        <v>46</v>
      </c>
    </row>
    <row r="2611" spans="2:15" x14ac:dyDescent="0.3">
      <c r="B2611" s="1" t="s">
        <v>24</v>
      </c>
      <c r="C2611" s="1" t="str">
        <f t="shared" si="152"/>
        <v>3차</v>
      </c>
      <c r="D2611" s="1" t="str">
        <f>"0428P12131"</f>
        <v>0428P12131</v>
      </c>
      <c r="E2611" s="1" t="s">
        <v>10</v>
      </c>
      <c r="F2611" s="1" t="str">
        <f>"10.10.14.163"</f>
        <v>10.10.14.163</v>
      </c>
      <c r="G2611" s="1" t="str">
        <f>"0428P121"</f>
        <v>0428P121</v>
      </c>
      <c r="H2611" s="1" t="str">
        <f>"봉화간 22R1L2L4"</f>
        <v>봉화간 22R1L2L4</v>
      </c>
      <c r="I2611" s="1" t="s">
        <v>8</v>
      </c>
      <c r="J2611" s="1" t="str">
        <f>"43/43"</f>
        <v>43/43</v>
      </c>
      <c r="K2611" s="1" t="str">
        <f t="shared" si="153"/>
        <v>2026-07-29 13:18:03</v>
      </c>
      <c r="L2611" s="1" t="str">
        <f>"2018-01-23 11:11:40"</f>
        <v>2018-01-23 11:11:40</v>
      </c>
      <c r="M2611" s="1" t="s">
        <v>1</v>
      </c>
      <c r="N2611" s="1" t="s">
        <v>38</v>
      </c>
      <c r="O2611" s="1" t="s">
        <v>46</v>
      </c>
    </row>
    <row r="2612" spans="2:15" x14ac:dyDescent="0.3">
      <c r="B2612" s="1" t="s">
        <v>24</v>
      </c>
      <c r="C2612" s="1" t="str">
        <f t="shared" si="152"/>
        <v>3차</v>
      </c>
      <c r="D2612" s="1" t="str">
        <f>"0428P13139"</f>
        <v>0428P13139</v>
      </c>
      <c r="E2612" s="1" t="s">
        <v>10</v>
      </c>
      <c r="F2612" s="1" t="str">
        <f>"10.10.18.58"</f>
        <v>10.10.18.58</v>
      </c>
      <c r="G2612" s="1" t="str">
        <f>"0428P131"</f>
        <v>0428P131</v>
      </c>
      <c r="H2612" s="1" t="str">
        <f>"봉화간 40R7R4L1"</f>
        <v>봉화간 40R7R4L1</v>
      </c>
      <c r="I2612" s="1" t="s">
        <v>8</v>
      </c>
      <c r="J2612" s="1" t="str">
        <f>"17/17"</f>
        <v>17/17</v>
      </c>
      <c r="K2612" s="1" t="str">
        <f t="shared" si="153"/>
        <v>2026-07-29 13:18:03</v>
      </c>
      <c r="L2612" s="1" t="str">
        <f>"2018-02-14 11:35:10"</f>
        <v>2018-02-14 11:35:10</v>
      </c>
      <c r="M2612" s="1" t="s">
        <v>1</v>
      </c>
      <c r="N2612" s="1" t="s">
        <v>38</v>
      </c>
      <c r="O2612" s="1" t="s">
        <v>46</v>
      </c>
    </row>
    <row r="2613" spans="2:15" x14ac:dyDescent="0.3">
      <c r="B2613" s="1" t="s">
        <v>24</v>
      </c>
      <c r="C2613" s="1" t="str">
        <f t="shared" si="152"/>
        <v>3차</v>
      </c>
      <c r="D2613" s="1" t="str">
        <f>"0428P16130"</f>
        <v>0428P16130</v>
      </c>
      <c r="E2613" s="1" t="s">
        <v>10</v>
      </c>
      <c r="F2613" s="1" t="str">
        <f>"10.10.8.90"</f>
        <v>10.10.8.90</v>
      </c>
      <c r="G2613" s="1" t="str">
        <f>"0428P161"</f>
        <v>0428P161</v>
      </c>
      <c r="H2613" s="1" t="str">
        <f>"봉화간 40R9L2"</f>
        <v>봉화간 40R9L2</v>
      </c>
      <c r="I2613" s="1" t="s">
        <v>8</v>
      </c>
      <c r="J2613" s="1" t="str">
        <f>"10/10"</f>
        <v>10/10</v>
      </c>
      <c r="K2613" s="1" t="str">
        <f t="shared" si="153"/>
        <v>2026-07-29 13:18:03</v>
      </c>
      <c r="L2613" s="1" t="str">
        <f>"2018-03-16 10:10:10"</f>
        <v>2018-03-16 10:10:10</v>
      </c>
      <c r="M2613" s="1" t="s">
        <v>1</v>
      </c>
      <c r="N2613" s="1" t="s">
        <v>38</v>
      </c>
      <c r="O2613" s="1" t="s">
        <v>46</v>
      </c>
    </row>
    <row r="2614" spans="2:15" x14ac:dyDescent="0.3">
      <c r="B2614" s="1" t="s">
        <v>24</v>
      </c>
      <c r="C2614" s="1" t="str">
        <f>"4차"</f>
        <v>4차</v>
      </c>
      <c r="D2614" s="1" t="str">
        <f>"0428P17131"</f>
        <v>0428P17131</v>
      </c>
      <c r="E2614" s="1" t="s">
        <v>10</v>
      </c>
      <c r="F2614" s="1" t="str">
        <f>"10.10.8.91"</f>
        <v>10.10.8.91</v>
      </c>
      <c r="G2614" s="1" t="str">
        <f>"0428P171"</f>
        <v>0428P171</v>
      </c>
      <c r="H2614" s="1" t="str">
        <f>"봉화간 40R9L3"</f>
        <v>봉화간 40R9L3</v>
      </c>
      <c r="I2614" s="1" t="s">
        <v>8</v>
      </c>
      <c r="J2614" s="1" t="str">
        <f>"33/33"</f>
        <v>33/33</v>
      </c>
      <c r="K2614" s="1" t="str">
        <f t="shared" si="153"/>
        <v>2026-07-29 13:18:03</v>
      </c>
      <c r="L2614" s="1" t="str">
        <f>"2018-01-24 11:44:11"</f>
        <v>2018-01-24 11:44:11</v>
      </c>
      <c r="M2614" s="1" t="s">
        <v>1</v>
      </c>
      <c r="N2614" s="1" t="s">
        <v>38</v>
      </c>
      <c r="O2614" s="1" t="s">
        <v>46</v>
      </c>
    </row>
    <row r="2615" spans="2:15" x14ac:dyDescent="0.3">
      <c r="B2615" s="1" t="s">
        <v>24</v>
      </c>
      <c r="C2615" s="1" t="str">
        <f>"3차"</f>
        <v>3차</v>
      </c>
      <c r="D2615" s="1" t="str">
        <f>"0428P18139"</f>
        <v>0428P18139</v>
      </c>
      <c r="E2615" s="1" t="s">
        <v>10</v>
      </c>
      <c r="F2615" s="1" t="str">
        <f>"10.10.15.34"</f>
        <v>10.10.15.34</v>
      </c>
      <c r="G2615" s="1" t="str">
        <f>"0428P181"</f>
        <v>0428P181</v>
      </c>
      <c r="H2615" s="1" t="str">
        <f>"봉화간 40R3L2R1"</f>
        <v>봉화간 40R3L2R1</v>
      </c>
      <c r="I2615" s="1" t="s">
        <v>8</v>
      </c>
      <c r="J2615" s="1" t="str">
        <f>"26/26"</f>
        <v>26/26</v>
      </c>
      <c r="K2615" s="1" t="str">
        <f t="shared" si="153"/>
        <v>2026-07-29 13:18:03</v>
      </c>
      <c r="L2615" s="1" t="str">
        <f>"2018-01-10 09:16:53"</f>
        <v>2018-01-10 09:16:53</v>
      </c>
      <c r="M2615" s="1" t="s">
        <v>1</v>
      </c>
      <c r="N2615" s="1" t="s">
        <v>38</v>
      </c>
      <c r="O2615" s="1" t="s">
        <v>46</v>
      </c>
    </row>
    <row r="2616" spans="2:15" x14ac:dyDescent="0.3">
      <c r="B2616" s="1" t="s">
        <v>24</v>
      </c>
      <c r="C2616" s="1" t="str">
        <f>"3차"</f>
        <v>3차</v>
      </c>
      <c r="D2616" s="1" t="str">
        <f>"0428P18239"</f>
        <v>0428P18239</v>
      </c>
      <c r="E2616" s="1" t="s">
        <v>10</v>
      </c>
      <c r="F2616" s="1" t="str">
        <f>"10.10.20.226"</f>
        <v>10.10.20.226</v>
      </c>
      <c r="G2616" s="1" t="str">
        <f>"0428P182"</f>
        <v>0428P182</v>
      </c>
      <c r="H2616" s="1" t="str">
        <f>"봉화간 40R3L3"</f>
        <v>봉화간 40R3L3</v>
      </c>
      <c r="I2616" s="1" t="s">
        <v>8</v>
      </c>
      <c r="J2616" s="1" t="str">
        <f>"16/44"</f>
        <v>16/44</v>
      </c>
      <c r="K2616" s="1" t="str">
        <f t="shared" si="153"/>
        <v>2026-07-29 13:18:03</v>
      </c>
      <c r="L2616" s="1" t="str">
        <f>"2018-01-10 10:58:09"</f>
        <v>2018-01-10 10:58:09</v>
      </c>
      <c r="M2616" s="1" t="s">
        <v>1</v>
      </c>
      <c r="N2616" s="1" t="s">
        <v>38</v>
      </c>
      <c r="O2616" s="1" t="s">
        <v>46</v>
      </c>
    </row>
    <row r="2617" spans="2:15" x14ac:dyDescent="0.3">
      <c r="B2617" s="1" t="s">
        <v>24</v>
      </c>
      <c r="C2617" s="1" t="str">
        <f>"4차"</f>
        <v>4차</v>
      </c>
      <c r="D2617" s="1" t="str">
        <f>"0428P20139"</f>
        <v>0428P20139</v>
      </c>
      <c r="E2617" s="1" t="s">
        <v>10</v>
      </c>
      <c r="F2617" s="1" t="str">
        <f>"10.10.17.90"</f>
        <v>10.10.17.90</v>
      </c>
      <c r="G2617" s="1" t="str">
        <f>"0428P201"</f>
        <v>0428P201</v>
      </c>
      <c r="H2617" s="1" t="str">
        <f>"봉화간 22R1L3"</f>
        <v>봉화간 22R1L3</v>
      </c>
      <c r="I2617" s="1" t="s">
        <v>8</v>
      </c>
      <c r="J2617" s="1" t="str">
        <f>"13/13"</f>
        <v>13/13</v>
      </c>
      <c r="K2617" s="1" t="str">
        <f t="shared" si="153"/>
        <v>2026-07-29 13:18:03</v>
      </c>
      <c r="L2617" s="1" t="str">
        <f>"2018-03-29 11:43:42"</f>
        <v>2018-03-29 11:43:42</v>
      </c>
      <c r="M2617" s="1" t="s">
        <v>1</v>
      </c>
      <c r="N2617" s="1" t="s">
        <v>38</v>
      </c>
      <c r="O2617" s="1" t="s">
        <v>46</v>
      </c>
    </row>
    <row r="2618" spans="2:15" x14ac:dyDescent="0.3">
      <c r="B2618" s="1" t="s">
        <v>24</v>
      </c>
      <c r="C2618" s="1" t="str">
        <f>"4차"</f>
        <v>4차</v>
      </c>
      <c r="D2618" s="1" t="str">
        <f>"0428P22130"</f>
        <v>0428P22130</v>
      </c>
      <c r="E2618" s="1" t="s">
        <v>10</v>
      </c>
      <c r="F2618" s="1" t="str">
        <f>"10.10.14.154"</f>
        <v>10.10.14.154</v>
      </c>
      <c r="G2618" s="1" t="str">
        <f>"0428P221"</f>
        <v>0428P221</v>
      </c>
      <c r="H2618" s="1" t="str">
        <f>"봉화간 22R1L2L5"</f>
        <v>봉화간 22R1L2L5</v>
      </c>
      <c r="I2618" s="1" t="s">
        <v>8</v>
      </c>
      <c r="J2618" s="1" t="str">
        <f>"70/70"</f>
        <v>70/70</v>
      </c>
      <c r="K2618" s="1" t="str">
        <f t="shared" si="153"/>
        <v>2026-07-29 13:18:03</v>
      </c>
      <c r="L2618" s="1" t="str">
        <f>"2018-05-11 17:29:30"</f>
        <v>2018-05-11 17:29:30</v>
      </c>
      <c r="M2618" s="1" t="s">
        <v>1</v>
      </c>
      <c r="N2618" s="1" t="s">
        <v>38</v>
      </c>
      <c r="O2618" s="1" t="s">
        <v>46</v>
      </c>
    </row>
    <row r="2619" spans="2:15" x14ac:dyDescent="0.3">
      <c r="B2619" s="1" t="s">
        <v>24</v>
      </c>
      <c r="C2619" s="1" t="str">
        <f>"3차"</f>
        <v>3차</v>
      </c>
      <c r="D2619" s="1" t="str">
        <f>"0428P29139"</f>
        <v>0428P29139</v>
      </c>
      <c r="E2619" s="1" t="s">
        <v>10</v>
      </c>
      <c r="F2619" s="1" t="str">
        <f>"10.10.8.210"</f>
        <v>10.10.8.210</v>
      </c>
      <c r="G2619" s="1" t="str">
        <f>"0428P291"</f>
        <v>0428P291</v>
      </c>
      <c r="H2619" s="1" t="str">
        <f>"봉화간 40R3L6"</f>
        <v>봉화간 40R3L6</v>
      </c>
      <c r="I2619" s="1" t="s">
        <v>8</v>
      </c>
      <c r="J2619" s="1" t="str">
        <f>"52/53"</f>
        <v>52/53</v>
      </c>
      <c r="K2619" s="1" t="str">
        <f t="shared" si="153"/>
        <v>2026-07-29 13:18:03</v>
      </c>
      <c r="L2619" s="1" t="str">
        <f>"2018-01-19 10:46:09"</f>
        <v>2018-01-19 10:46:09</v>
      </c>
      <c r="M2619" s="1" t="s">
        <v>1</v>
      </c>
      <c r="N2619" s="1" t="s">
        <v>38</v>
      </c>
      <c r="O2619" s="1" t="s">
        <v>46</v>
      </c>
    </row>
    <row r="2620" spans="2:15" x14ac:dyDescent="0.3">
      <c r="B2620" s="1" t="s">
        <v>24</v>
      </c>
      <c r="C2620" s="1" t="str">
        <f>"3차"</f>
        <v>3차</v>
      </c>
      <c r="D2620" s="1" t="str">
        <f>"0428P32339"</f>
        <v>0428P32339</v>
      </c>
      <c r="E2620" s="1" t="s">
        <v>10</v>
      </c>
      <c r="F2620" s="1" t="str">
        <f>"10.10.17.106"</f>
        <v>10.10.17.106</v>
      </c>
      <c r="G2620" s="1" t="str">
        <f>"0428P323"</f>
        <v>0428P323</v>
      </c>
      <c r="H2620" s="1" t="str">
        <f>"봉화간 22R1L8L1"</f>
        <v>봉화간 22R1L8L1</v>
      </c>
      <c r="I2620" s="1" t="s">
        <v>8</v>
      </c>
      <c r="J2620" s="1" t="str">
        <f>"44/45"</f>
        <v>44/45</v>
      </c>
      <c r="K2620" s="1" t="str">
        <f t="shared" si="153"/>
        <v>2026-07-29 13:18:03</v>
      </c>
      <c r="L2620" s="1" t="str">
        <f>"2018-02-13 13:41:42"</f>
        <v>2018-02-13 13:41:42</v>
      </c>
      <c r="M2620" s="1" t="s">
        <v>1</v>
      </c>
      <c r="N2620" s="1" t="s">
        <v>38</v>
      </c>
      <c r="O2620" s="1" t="s">
        <v>46</v>
      </c>
    </row>
    <row r="2621" spans="2:15" x14ac:dyDescent="0.3">
      <c r="B2621" s="1" t="s">
        <v>24</v>
      </c>
      <c r="C2621" s="1" t="str">
        <f>"3차"</f>
        <v>3차</v>
      </c>
      <c r="D2621" s="1" t="str">
        <f>"0428P35339"</f>
        <v>0428P35339</v>
      </c>
      <c r="E2621" s="1" t="s">
        <v>10</v>
      </c>
      <c r="F2621" s="1" t="str">
        <f>"10.12.128.76"</f>
        <v>10.12.128.76</v>
      </c>
      <c r="G2621" s="1" t="str">
        <f>"0428P353"</f>
        <v>0428P353</v>
      </c>
      <c r="H2621" s="1" t="str">
        <f>"봉화간 22R19H1"</f>
        <v>봉화간 22R19H1</v>
      </c>
      <c r="I2621" s="1" t="s">
        <v>8</v>
      </c>
      <c r="J2621" s="1" t="str">
        <f>"53/53"</f>
        <v>53/53</v>
      </c>
      <c r="K2621" s="1" t="str">
        <f t="shared" si="153"/>
        <v>2026-07-29 13:18:03</v>
      </c>
      <c r="L2621" s="1" t="str">
        <f>"2018-03-27 09:02:56"</f>
        <v>2018-03-27 09:02:56</v>
      </c>
      <c r="M2621" s="1" t="s">
        <v>0</v>
      </c>
      <c r="N2621" s="1" t="s">
        <v>38</v>
      </c>
      <c r="O2621" s="1" t="s">
        <v>46</v>
      </c>
    </row>
    <row r="2622" spans="2:15" x14ac:dyDescent="0.3">
      <c r="B2622" s="1" t="s">
        <v>24</v>
      </c>
      <c r="C2622" s="1" t="str">
        <f>"5-2차"</f>
        <v>5-2차</v>
      </c>
      <c r="D2622" s="1" t="str">
        <f>"0428P3825M"</f>
        <v>0428P3825M</v>
      </c>
      <c r="E2622" s="1" t="s">
        <v>10</v>
      </c>
      <c r="F2622" s="1" t="str">
        <f>"fde3:102:1430:9500:0:0:0:3"</f>
        <v>fde3:102:1430:9500:0:0:0:3</v>
      </c>
      <c r="G2622" s="1" t="str">
        <f>"0428P382"</f>
        <v>0428P382</v>
      </c>
      <c r="H2622" s="1" t="str">
        <f>"봉화간 40R3L2R3R1"</f>
        <v>봉화간 40R3L2R3R1</v>
      </c>
      <c r="I2622" s="1" t="s">
        <v>15</v>
      </c>
      <c r="J2622" s="1" t="str">
        <f>"86/86"</f>
        <v>86/86</v>
      </c>
      <c r="K2622" s="1" t="str">
        <f>"2026-07-29 14:21:04"</f>
        <v>2026-07-29 14:21:04</v>
      </c>
      <c r="L2622" s="1" t="str">
        <f>"2024-01-08 09:07:35"</f>
        <v>2024-01-08 09:07:35</v>
      </c>
      <c r="M2622" s="1" t="s">
        <v>45</v>
      </c>
      <c r="N2622" s="1" t="s">
        <v>38</v>
      </c>
      <c r="O2622" s="1" t="s">
        <v>46</v>
      </c>
    </row>
    <row r="2623" spans="2:15" x14ac:dyDescent="0.3">
      <c r="B2623" s="1" t="s">
        <v>24</v>
      </c>
      <c r="C2623" s="1" t="str">
        <f>"4차"</f>
        <v>4차</v>
      </c>
      <c r="D2623" s="1" t="str">
        <f>"0428P40139"</f>
        <v>0428P40139</v>
      </c>
      <c r="E2623" s="1" t="s">
        <v>10</v>
      </c>
      <c r="F2623" s="1" t="str">
        <f>"10.10.17.194"</f>
        <v>10.10.17.194</v>
      </c>
      <c r="G2623" s="1" t="str">
        <f>"0428P401"</f>
        <v>0428P401</v>
      </c>
      <c r="H2623" s="1" t="str">
        <f>"봉화간 22R5"</f>
        <v>봉화간 22R5</v>
      </c>
      <c r="I2623" s="1" t="s">
        <v>8</v>
      </c>
      <c r="J2623" s="1" t="str">
        <f>"61/61"</f>
        <v>61/61</v>
      </c>
      <c r="K2623" s="1" t="str">
        <f t="shared" ref="K2623:K2635" si="154">"2026-07-29 13:18:03"</f>
        <v>2026-07-29 13:18:03</v>
      </c>
      <c r="L2623" s="1" t="str">
        <f>"2018-02-13 12:30:43"</f>
        <v>2018-02-13 12:30:43</v>
      </c>
      <c r="M2623" s="1" t="s">
        <v>1</v>
      </c>
      <c r="N2623" s="1" t="s">
        <v>38</v>
      </c>
      <c r="O2623" s="1" t="s">
        <v>46</v>
      </c>
    </row>
    <row r="2624" spans="2:15" x14ac:dyDescent="0.3">
      <c r="B2624" s="1" t="s">
        <v>24</v>
      </c>
      <c r="C2624" s="1" t="str">
        <f>"3차"</f>
        <v>3차</v>
      </c>
      <c r="D2624" s="1" t="str">
        <f>"0428P41239"</f>
        <v>0428P41239</v>
      </c>
      <c r="E2624" s="1" t="s">
        <v>10</v>
      </c>
      <c r="F2624" s="1" t="str">
        <f>"10.10.17.98"</f>
        <v>10.10.17.98</v>
      </c>
      <c r="G2624" s="1" t="str">
        <f>"0428P412"</f>
        <v>0428P412</v>
      </c>
      <c r="H2624" s="1" t="str">
        <f>"봉화간 22R1L6"</f>
        <v>봉화간 22R1L6</v>
      </c>
      <c r="I2624" s="1" t="s">
        <v>8</v>
      </c>
      <c r="J2624" s="1" t="str">
        <f>"93/95"</f>
        <v>93/95</v>
      </c>
      <c r="K2624" s="1" t="str">
        <f t="shared" si="154"/>
        <v>2026-07-29 13:18:03</v>
      </c>
      <c r="L2624" s="1" t="str">
        <f>"2018-02-13 12:32:57"</f>
        <v>2018-02-13 12:32:57</v>
      </c>
      <c r="M2624" s="1" t="s">
        <v>1</v>
      </c>
      <c r="N2624" s="1" t="s">
        <v>38</v>
      </c>
      <c r="O2624" s="1" t="s">
        <v>46</v>
      </c>
    </row>
    <row r="2625" spans="2:15" x14ac:dyDescent="0.3">
      <c r="B2625" s="1" t="s">
        <v>24</v>
      </c>
      <c r="C2625" s="1" t="str">
        <f>"4차"</f>
        <v>4차</v>
      </c>
      <c r="D2625" s="1" t="str">
        <f>"0428P41344"</f>
        <v>0428P41344</v>
      </c>
      <c r="E2625" s="1" t="s">
        <v>10</v>
      </c>
      <c r="F2625" s="1" t="str">
        <f>"10.10.43.34"</f>
        <v>10.10.43.34</v>
      </c>
      <c r="G2625" s="1" t="str">
        <f>"0428P413"</f>
        <v>0428P413</v>
      </c>
      <c r="H2625" s="1" t="str">
        <f>"봉화간 22R1L5"</f>
        <v>봉화간 22R1L5</v>
      </c>
      <c r="I2625" s="1" t="s">
        <v>8</v>
      </c>
      <c r="J2625" s="1" t="str">
        <f>"18/20"</f>
        <v>18/20</v>
      </c>
      <c r="K2625" s="1" t="str">
        <f t="shared" si="154"/>
        <v>2026-07-29 13:18:03</v>
      </c>
      <c r="L2625" s="1" t="str">
        <f>"2019-11-01 08:42:33"</f>
        <v>2019-11-01 08:42:33</v>
      </c>
      <c r="M2625" s="1" t="s">
        <v>1</v>
      </c>
      <c r="N2625" s="1" t="s">
        <v>38</v>
      </c>
      <c r="O2625" s="1" t="s">
        <v>46</v>
      </c>
    </row>
    <row r="2626" spans="2:15" x14ac:dyDescent="0.3">
      <c r="B2626" s="1" t="s">
        <v>24</v>
      </c>
      <c r="C2626" s="1" t="str">
        <f>"3차"</f>
        <v>3차</v>
      </c>
      <c r="D2626" s="1" t="str">
        <f>"0428P42139"</f>
        <v>0428P42139</v>
      </c>
      <c r="E2626" s="1" t="s">
        <v>10</v>
      </c>
      <c r="F2626" s="1" t="str">
        <f>"10.10.14.170"</f>
        <v>10.10.14.170</v>
      </c>
      <c r="G2626" s="1" t="str">
        <f>"0428P421"</f>
        <v>0428P421</v>
      </c>
      <c r="H2626" s="1" t="str">
        <f>"봉화간 22R1L10R1"</f>
        <v>봉화간 22R1L10R1</v>
      </c>
      <c r="I2626" s="1" t="s">
        <v>8</v>
      </c>
      <c r="J2626" s="1" t="str">
        <f>"59/59"</f>
        <v>59/59</v>
      </c>
      <c r="K2626" s="1" t="str">
        <f t="shared" si="154"/>
        <v>2026-07-29 13:18:03</v>
      </c>
      <c r="L2626" s="1" t="str">
        <f>"2018-01-12 11:53:54"</f>
        <v>2018-01-12 11:53:54</v>
      </c>
      <c r="M2626" s="1" t="s">
        <v>1</v>
      </c>
      <c r="N2626" s="1" t="s">
        <v>38</v>
      </c>
      <c r="O2626" s="1" t="s">
        <v>46</v>
      </c>
    </row>
    <row r="2627" spans="2:15" x14ac:dyDescent="0.3">
      <c r="B2627" s="1" t="s">
        <v>24</v>
      </c>
      <c r="C2627" s="1" t="str">
        <f>"4차"</f>
        <v>4차</v>
      </c>
      <c r="D2627" s="1" t="str">
        <f>"0428P43139"</f>
        <v>0428P43139</v>
      </c>
      <c r="E2627" s="1" t="s">
        <v>10</v>
      </c>
      <c r="F2627" s="1" t="str">
        <f>"10.10.14.178"</f>
        <v>10.10.14.178</v>
      </c>
      <c r="G2627" s="1" t="str">
        <f>"0428P431"</f>
        <v>0428P431</v>
      </c>
      <c r="H2627" s="1" t="str">
        <f>"봉화간 22R1L10"</f>
        <v>봉화간 22R1L10</v>
      </c>
      <c r="I2627" s="1" t="s">
        <v>8</v>
      </c>
      <c r="J2627" s="1" t="str">
        <f>"23/23"</f>
        <v>23/23</v>
      </c>
      <c r="K2627" s="1" t="str">
        <f t="shared" si="154"/>
        <v>2026-07-29 13:18:03</v>
      </c>
      <c r="L2627" s="1" t="str">
        <f>"2018-01-12 11:11:09"</f>
        <v>2018-01-12 11:11:09</v>
      </c>
      <c r="M2627" s="1" t="s">
        <v>1</v>
      </c>
      <c r="N2627" s="1" t="s">
        <v>38</v>
      </c>
      <c r="O2627" s="1" t="s">
        <v>46</v>
      </c>
    </row>
    <row r="2628" spans="2:15" x14ac:dyDescent="0.3">
      <c r="B2628" s="1" t="s">
        <v>24</v>
      </c>
      <c r="C2628" s="1" t="str">
        <f t="shared" ref="C2628:C2635" si="155">"3차"</f>
        <v>3차</v>
      </c>
      <c r="D2628" s="1" t="str">
        <f>"0428P43239"</f>
        <v>0428P43239</v>
      </c>
      <c r="E2628" s="1" t="s">
        <v>10</v>
      </c>
      <c r="F2628" s="1" t="str">
        <f>"10.10.40.10"</f>
        <v>10.10.40.10</v>
      </c>
      <c r="G2628" s="1" t="str">
        <f>"0428P432"</f>
        <v>0428P432</v>
      </c>
      <c r="H2628" s="1" t="str">
        <f>"봉화간 22R1L11"</f>
        <v>봉화간 22R1L11</v>
      </c>
      <c r="I2628" s="1" t="s">
        <v>8</v>
      </c>
      <c r="J2628" s="1" t="str">
        <f>"53/53"</f>
        <v>53/53</v>
      </c>
      <c r="K2628" s="1" t="str">
        <f t="shared" si="154"/>
        <v>2026-07-29 13:18:03</v>
      </c>
      <c r="L2628" s="1" t="str">
        <f>"2018-01-30 15:28:11"</f>
        <v>2018-01-30 15:28:11</v>
      </c>
      <c r="M2628" s="1" t="s">
        <v>1</v>
      </c>
      <c r="N2628" s="1" t="s">
        <v>38</v>
      </c>
      <c r="O2628" s="1" t="s">
        <v>46</v>
      </c>
    </row>
    <row r="2629" spans="2:15" x14ac:dyDescent="0.3">
      <c r="B2629" s="1" t="s">
        <v>24</v>
      </c>
      <c r="C2629" s="1" t="str">
        <f t="shared" si="155"/>
        <v>3차</v>
      </c>
      <c r="D2629" s="1" t="str">
        <f>"0428P44331"</f>
        <v>0428P44331</v>
      </c>
      <c r="E2629" s="1" t="s">
        <v>10</v>
      </c>
      <c r="F2629" s="1" t="str">
        <f>"10.10.13.227"</f>
        <v>10.10.13.227</v>
      </c>
      <c r="G2629" s="1" t="str">
        <f>"0428P443"</f>
        <v>0428P443</v>
      </c>
      <c r="H2629" s="1" t="str">
        <f>"봉화간 22R16"</f>
        <v>봉화간 22R16</v>
      </c>
      <c r="I2629" s="1" t="s">
        <v>8</v>
      </c>
      <c r="J2629" s="1" t="str">
        <f>"33/33"</f>
        <v>33/33</v>
      </c>
      <c r="K2629" s="1" t="str">
        <f t="shared" si="154"/>
        <v>2026-07-29 13:18:03</v>
      </c>
      <c r="L2629" s="1" t="str">
        <f>"2018-01-23 10:23:39"</f>
        <v>2018-01-23 10:23:39</v>
      </c>
      <c r="M2629" s="1" t="s">
        <v>1</v>
      </c>
      <c r="N2629" s="1" t="s">
        <v>38</v>
      </c>
      <c r="O2629" s="1" t="s">
        <v>46</v>
      </c>
    </row>
    <row r="2630" spans="2:15" x14ac:dyDescent="0.3">
      <c r="B2630" s="1" t="s">
        <v>24</v>
      </c>
      <c r="C2630" s="1" t="str">
        <f t="shared" si="155"/>
        <v>3차</v>
      </c>
      <c r="D2630" s="1" t="str">
        <f>"0428P46239"</f>
        <v>0428P46239</v>
      </c>
      <c r="E2630" s="1" t="s">
        <v>10</v>
      </c>
      <c r="F2630" s="1" t="str">
        <f>"10.10.17.186"</f>
        <v>10.10.17.186</v>
      </c>
      <c r="G2630" s="1" t="str">
        <f>"0428P462"</f>
        <v>0428P462</v>
      </c>
      <c r="H2630" s="1" t="str">
        <f>"봉화간 22R20"</f>
        <v>봉화간 22R20</v>
      </c>
      <c r="I2630" s="1" t="s">
        <v>8</v>
      </c>
      <c r="J2630" s="1" t="str">
        <f>"84/84"</f>
        <v>84/84</v>
      </c>
      <c r="K2630" s="1" t="str">
        <f t="shared" si="154"/>
        <v>2026-07-29 13:18:03</v>
      </c>
      <c r="L2630" s="1" t="str">
        <f>"2018-02-13 13:32:12"</f>
        <v>2018-02-13 13:32:12</v>
      </c>
      <c r="M2630" s="1" t="s">
        <v>1</v>
      </c>
      <c r="N2630" s="1" t="s">
        <v>38</v>
      </c>
      <c r="O2630" s="1" t="s">
        <v>46</v>
      </c>
    </row>
    <row r="2631" spans="2:15" x14ac:dyDescent="0.3">
      <c r="B2631" s="1" t="s">
        <v>24</v>
      </c>
      <c r="C2631" s="1" t="str">
        <f t="shared" si="155"/>
        <v>3차</v>
      </c>
      <c r="D2631" s="1" t="str">
        <f>"0428P47239"</f>
        <v>0428P47239</v>
      </c>
      <c r="E2631" s="1" t="s">
        <v>10</v>
      </c>
      <c r="F2631" s="1" t="str">
        <f>"10.10.20.234"</f>
        <v>10.10.20.234</v>
      </c>
      <c r="G2631" s="1" t="str">
        <f>"0428P472"</f>
        <v>0428P472</v>
      </c>
      <c r="H2631" s="1" t="str">
        <f>"봉화간 22R22"</f>
        <v>봉화간 22R22</v>
      </c>
      <c r="I2631" s="1" t="s">
        <v>8</v>
      </c>
      <c r="J2631" s="1" t="str">
        <f>"13/14"</f>
        <v>13/14</v>
      </c>
      <c r="K2631" s="1" t="str">
        <f t="shared" si="154"/>
        <v>2026-07-29 13:18:03</v>
      </c>
      <c r="L2631" s="1" t="str">
        <f>"2018-01-10 10:29:24"</f>
        <v>2018-01-10 10:29:24</v>
      </c>
      <c r="M2631" s="1" t="s">
        <v>1</v>
      </c>
      <c r="N2631" s="1" t="s">
        <v>38</v>
      </c>
      <c r="O2631" s="1" t="s">
        <v>46</v>
      </c>
    </row>
    <row r="2632" spans="2:15" x14ac:dyDescent="0.3">
      <c r="B2632" s="1" t="s">
        <v>24</v>
      </c>
      <c r="C2632" s="1" t="str">
        <f t="shared" si="155"/>
        <v>3차</v>
      </c>
      <c r="D2632" s="1" t="str">
        <f>"0428P48339"</f>
        <v>0428P48339</v>
      </c>
      <c r="E2632" s="1" t="s">
        <v>10</v>
      </c>
      <c r="F2632" s="1" t="str">
        <f>"10.10.18.34"</f>
        <v>10.10.18.34</v>
      </c>
      <c r="G2632" s="1" t="str">
        <f>"0428P483"</f>
        <v>0428P483</v>
      </c>
      <c r="H2632" s="1" t="str">
        <f>"봉화간 40R3L2R5"</f>
        <v>봉화간 40R3L2R5</v>
      </c>
      <c r="I2632" s="1" t="s">
        <v>8</v>
      </c>
      <c r="J2632" s="1" t="str">
        <f>"81/81"</f>
        <v>81/81</v>
      </c>
      <c r="K2632" s="1" t="str">
        <f t="shared" si="154"/>
        <v>2026-07-29 13:18:03</v>
      </c>
      <c r="L2632" s="1" t="str">
        <f>"2018-02-14 11:17:56"</f>
        <v>2018-02-14 11:17:56</v>
      </c>
      <c r="M2632" s="1" t="s">
        <v>1</v>
      </c>
      <c r="N2632" s="1" t="s">
        <v>38</v>
      </c>
      <c r="O2632" s="1" t="s">
        <v>46</v>
      </c>
    </row>
    <row r="2633" spans="2:15" x14ac:dyDescent="0.3">
      <c r="B2633" s="1" t="s">
        <v>24</v>
      </c>
      <c r="C2633" s="1" t="str">
        <f t="shared" si="155"/>
        <v>3차</v>
      </c>
      <c r="D2633" s="1" t="str">
        <f>"0428P50139"</f>
        <v>0428P50139</v>
      </c>
      <c r="E2633" s="1" t="s">
        <v>10</v>
      </c>
      <c r="F2633" s="1" t="str">
        <f>"10.10.14.146"</f>
        <v>10.10.14.146</v>
      </c>
      <c r="G2633" s="1" t="str">
        <f>"0428P501"</f>
        <v>0428P501</v>
      </c>
      <c r="H2633" s="1" t="str">
        <f>"봉화간 22R6L1"</f>
        <v>봉화간 22R6L1</v>
      </c>
      <c r="I2633" s="1" t="s">
        <v>8</v>
      </c>
      <c r="J2633" s="1" t="str">
        <f>"12/12"</f>
        <v>12/12</v>
      </c>
      <c r="K2633" s="1" t="str">
        <f t="shared" si="154"/>
        <v>2026-07-29 13:18:03</v>
      </c>
      <c r="L2633" s="1" t="str">
        <f>"2018-01-12 12:58:39"</f>
        <v>2018-01-12 12:58:39</v>
      </c>
      <c r="M2633" s="1" t="s">
        <v>1</v>
      </c>
      <c r="N2633" s="1" t="s">
        <v>38</v>
      </c>
      <c r="O2633" s="1" t="s">
        <v>46</v>
      </c>
    </row>
    <row r="2634" spans="2:15" x14ac:dyDescent="0.3">
      <c r="B2634" s="1" t="s">
        <v>24</v>
      </c>
      <c r="C2634" s="1" t="str">
        <f t="shared" si="155"/>
        <v>3차</v>
      </c>
      <c r="D2634" s="1" t="str">
        <f>"0428P50439"</f>
        <v>0428P50439</v>
      </c>
      <c r="E2634" s="1" t="s">
        <v>10</v>
      </c>
      <c r="F2634" s="1" t="str">
        <f>"10.10.17.202"</f>
        <v>10.10.17.202</v>
      </c>
      <c r="G2634" s="1" t="str">
        <f>"0428P504"</f>
        <v>0428P504</v>
      </c>
      <c r="H2634" s="1" t="str">
        <f>"봉화간 22R6H1"</f>
        <v>봉화간 22R6H1</v>
      </c>
      <c r="I2634" s="1" t="s">
        <v>8</v>
      </c>
      <c r="J2634" s="1" t="str">
        <f>"9/9"</f>
        <v>9/9</v>
      </c>
      <c r="K2634" s="1" t="str">
        <f t="shared" si="154"/>
        <v>2026-07-29 13:18:03</v>
      </c>
      <c r="L2634" s="1" t="str">
        <f>"2018-02-13 12:27:26"</f>
        <v>2018-02-13 12:27:26</v>
      </c>
      <c r="M2634" s="1" t="s">
        <v>1</v>
      </c>
      <c r="N2634" s="1" t="s">
        <v>38</v>
      </c>
      <c r="O2634" s="1" t="s">
        <v>46</v>
      </c>
    </row>
    <row r="2635" spans="2:15" x14ac:dyDescent="0.3">
      <c r="B2635" s="1" t="s">
        <v>24</v>
      </c>
      <c r="C2635" s="1" t="str">
        <f t="shared" si="155"/>
        <v>3차</v>
      </c>
      <c r="D2635" s="1" t="str">
        <f>"0428P51139"</f>
        <v>0428P51139</v>
      </c>
      <c r="E2635" s="1" t="s">
        <v>10</v>
      </c>
      <c r="F2635" s="1" t="str">
        <f>"10.10.14.138"</f>
        <v>10.10.14.138</v>
      </c>
      <c r="G2635" s="1" t="str">
        <f>"0428P511"</f>
        <v>0428P511</v>
      </c>
      <c r="H2635" s="1" t="str">
        <f>"봉화간 22R6L3"</f>
        <v>봉화간 22R6L3</v>
      </c>
      <c r="I2635" s="1" t="s">
        <v>8</v>
      </c>
      <c r="J2635" s="1" t="str">
        <f>"19/19"</f>
        <v>19/19</v>
      </c>
      <c r="K2635" s="1" t="str">
        <f t="shared" si="154"/>
        <v>2026-07-29 13:18:03</v>
      </c>
      <c r="L2635" s="1" t="str">
        <f>"2018-01-12 13:08:26"</f>
        <v>2018-01-12 13:08:26</v>
      </c>
      <c r="M2635" s="1" t="s">
        <v>1</v>
      </c>
      <c r="N2635" s="1" t="s">
        <v>38</v>
      </c>
      <c r="O2635" s="1" t="s">
        <v>46</v>
      </c>
    </row>
    <row r="2636" spans="2:15" x14ac:dyDescent="0.3">
      <c r="B2636" s="1" t="s">
        <v>24</v>
      </c>
      <c r="C2636" s="1" t="str">
        <f>"4차"</f>
        <v>4차</v>
      </c>
      <c r="D2636" s="1" t="str">
        <f>"0428P52439"</f>
        <v>0428P52439</v>
      </c>
      <c r="E2636" s="1" t="s">
        <v>10</v>
      </c>
      <c r="F2636" s="1" t="str">
        <f>"10.12.135.111"</f>
        <v>10.12.135.111</v>
      </c>
      <c r="G2636" s="1" t="str">
        <f>"0428P524"</f>
        <v>0428P524</v>
      </c>
      <c r="H2636" s="1" t="str">
        <f>"봉화간 22R10"</f>
        <v>봉화간 22R10</v>
      </c>
      <c r="I2636" s="1" t="s">
        <v>8</v>
      </c>
      <c r="J2636" s="1" t="str">
        <f>"66/66"</f>
        <v>66/66</v>
      </c>
      <c r="K2636" s="1" t="str">
        <f>"2026-07-29 13:18:01"</f>
        <v>2026-07-29 13:18:01</v>
      </c>
      <c r="L2636" s="1" t="str">
        <f>"2018-03-24 11:57:42"</f>
        <v>2018-03-24 11:57:42</v>
      </c>
      <c r="M2636" s="1" t="s">
        <v>0</v>
      </c>
      <c r="N2636" s="1" t="s">
        <v>38</v>
      </c>
      <c r="O2636" s="1" t="s">
        <v>46</v>
      </c>
    </row>
    <row r="2637" spans="2:15" x14ac:dyDescent="0.3">
      <c r="B2637" s="1" t="s">
        <v>24</v>
      </c>
      <c r="C2637" s="1" t="str">
        <f>"3차"</f>
        <v>3차</v>
      </c>
      <c r="D2637" s="1" t="str">
        <f>"0428P53139"</f>
        <v>0428P53139</v>
      </c>
      <c r="E2637" s="1" t="s">
        <v>10</v>
      </c>
      <c r="F2637" s="1" t="str">
        <f>"10.10.39.218"</f>
        <v>10.10.39.218</v>
      </c>
      <c r="G2637" s="1" t="str">
        <f>"0428P531"</f>
        <v>0428P531</v>
      </c>
      <c r="H2637" s="1" t="str">
        <f>"봉화간 22R12"</f>
        <v>봉화간 22R12</v>
      </c>
      <c r="I2637" s="1" t="s">
        <v>8</v>
      </c>
      <c r="J2637" s="1" t="str">
        <f>"32/33"</f>
        <v>32/33</v>
      </c>
      <c r="K2637" s="1" t="str">
        <f t="shared" ref="K2637:K2654" si="156">"2026-07-29 13:18:03"</f>
        <v>2026-07-29 13:18:03</v>
      </c>
      <c r="L2637" s="1" t="str">
        <f>"2018-01-30 14:32:29"</f>
        <v>2018-01-30 14:32:29</v>
      </c>
      <c r="M2637" s="1" t="s">
        <v>1</v>
      </c>
      <c r="N2637" s="1" t="s">
        <v>38</v>
      </c>
      <c r="O2637" s="1" t="s">
        <v>46</v>
      </c>
    </row>
    <row r="2638" spans="2:15" x14ac:dyDescent="0.3">
      <c r="B2638" s="1" t="s">
        <v>24</v>
      </c>
      <c r="C2638" s="1" t="str">
        <f>"3차"</f>
        <v>3차</v>
      </c>
      <c r="D2638" s="1" t="str">
        <f>"0428P53330"</f>
        <v>0428P53330</v>
      </c>
      <c r="E2638" s="1" t="s">
        <v>10</v>
      </c>
      <c r="F2638" s="1" t="str">
        <f>"10.10.13.226"</f>
        <v>10.10.13.226</v>
      </c>
      <c r="G2638" s="1" t="str">
        <f>"0428P533"</f>
        <v>0428P533</v>
      </c>
      <c r="H2638" s="1" t="str">
        <f>"봉화간 22R14"</f>
        <v>봉화간 22R14</v>
      </c>
      <c r="I2638" s="1" t="s">
        <v>8</v>
      </c>
      <c r="J2638" s="1" t="str">
        <f>"13/13"</f>
        <v>13/13</v>
      </c>
      <c r="K2638" s="1" t="str">
        <f t="shared" si="156"/>
        <v>2026-07-29 13:18:03</v>
      </c>
      <c r="L2638" s="1" t="str">
        <f>"2018-01-12 15:30:41"</f>
        <v>2018-01-12 15:30:41</v>
      </c>
      <c r="M2638" s="1" t="s">
        <v>1</v>
      </c>
      <c r="N2638" s="1" t="s">
        <v>38</v>
      </c>
      <c r="O2638" s="1" t="s">
        <v>46</v>
      </c>
    </row>
    <row r="2639" spans="2:15" x14ac:dyDescent="0.3">
      <c r="B2639" s="1" t="s">
        <v>24</v>
      </c>
      <c r="C2639" s="1" t="str">
        <f>"3차"</f>
        <v>3차</v>
      </c>
      <c r="D2639" s="1" t="str">
        <f>"0428P58139"</f>
        <v>0428P58139</v>
      </c>
      <c r="E2639" s="1" t="s">
        <v>10</v>
      </c>
      <c r="F2639" s="1" t="str">
        <f>"10.10.20.242"</f>
        <v>10.10.20.242</v>
      </c>
      <c r="G2639" s="1" t="str">
        <f>"0428P581"</f>
        <v>0428P581</v>
      </c>
      <c r="H2639" s="1" t="str">
        <f>"봉화간 22R23"</f>
        <v>봉화간 22R23</v>
      </c>
      <c r="I2639" s="1" t="s">
        <v>8</v>
      </c>
      <c r="J2639" s="1" t="str">
        <f>"35/35"</f>
        <v>35/35</v>
      </c>
      <c r="K2639" s="1" t="str">
        <f t="shared" si="156"/>
        <v>2026-07-29 13:18:03</v>
      </c>
      <c r="L2639" s="1" t="str">
        <f>"2018-01-10 10:34:39"</f>
        <v>2018-01-10 10:34:39</v>
      </c>
      <c r="M2639" s="1" t="s">
        <v>1</v>
      </c>
      <c r="N2639" s="1" t="s">
        <v>38</v>
      </c>
      <c r="O2639" s="1" t="s">
        <v>46</v>
      </c>
    </row>
    <row r="2640" spans="2:15" x14ac:dyDescent="0.3">
      <c r="B2640" s="1" t="s">
        <v>24</v>
      </c>
      <c r="C2640" s="1" t="str">
        <f>"4차"</f>
        <v>4차</v>
      </c>
      <c r="D2640" s="1" t="str">
        <f>"0428P60131"</f>
        <v>0428P60131</v>
      </c>
      <c r="E2640" s="1" t="s">
        <v>10</v>
      </c>
      <c r="F2640" s="1" t="str">
        <f>"10.10.14.131"</f>
        <v>10.10.14.131</v>
      </c>
      <c r="G2640" s="1" t="str">
        <f>"0428P601"</f>
        <v>0428P601</v>
      </c>
      <c r="H2640" s="1" t="str">
        <f>"봉화간 22R7R1"</f>
        <v>봉화간 22R7R1</v>
      </c>
      <c r="I2640" s="1" t="s">
        <v>8</v>
      </c>
      <c r="J2640" s="1" t="str">
        <f>"3/3"</f>
        <v>3/3</v>
      </c>
      <c r="K2640" s="1" t="str">
        <f t="shared" si="156"/>
        <v>2026-07-29 13:18:03</v>
      </c>
      <c r="L2640" s="1" t="str">
        <f>"2018-03-16 09:40:40"</f>
        <v>2018-03-16 09:40:40</v>
      </c>
      <c r="M2640" s="1" t="s">
        <v>1</v>
      </c>
      <c r="N2640" s="1" t="s">
        <v>38</v>
      </c>
      <c r="O2640" s="1" t="s">
        <v>46</v>
      </c>
    </row>
    <row r="2641" spans="2:15" x14ac:dyDescent="0.3">
      <c r="B2641" s="1" t="s">
        <v>24</v>
      </c>
      <c r="C2641" s="1" t="str">
        <f>"4차"</f>
        <v>4차</v>
      </c>
      <c r="D2641" s="1" t="str">
        <f>"0428P60430"</f>
        <v>0428P60430</v>
      </c>
      <c r="E2641" s="1" t="s">
        <v>10</v>
      </c>
      <c r="F2641" s="1" t="str">
        <f>"10.10.14.130"</f>
        <v>10.10.14.130</v>
      </c>
      <c r="G2641" s="1" t="str">
        <f>"0428P604"</f>
        <v>0428P604</v>
      </c>
      <c r="H2641" s="1" t="str">
        <f>"봉화간 22R7"</f>
        <v>봉화간 22R7</v>
      </c>
      <c r="I2641" s="1" t="s">
        <v>8</v>
      </c>
      <c r="J2641" s="1" t="str">
        <f>"19/20"</f>
        <v>19/20</v>
      </c>
      <c r="K2641" s="1" t="str">
        <f t="shared" si="156"/>
        <v>2026-07-29 13:18:03</v>
      </c>
      <c r="L2641" s="1" t="str">
        <f>"2018-05-11 17:31:46"</f>
        <v>2018-05-11 17:31:46</v>
      </c>
      <c r="M2641" s="1" t="s">
        <v>1</v>
      </c>
      <c r="N2641" s="1" t="s">
        <v>38</v>
      </c>
      <c r="O2641" s="1" t="s">
        <v>46</v>
      </c>
    </row>
    <row r="2642" spans="2:15" x14ac:dyDescent="0.3">
      <c r="B2642" s="1" t="s">
        <v>24</v>
      </c>
      <c r="C2642" s="1" t="str">
        <f>"3차"</f>
        <v>3차</v>
      </c>
      <c r="D2642" s="1" t="str">
        <f>"0428P62139"</f>
        <v>0428P62139</v>
      </c>
      <c r="E2642" s="1" t="s">
        <v>10</v>
      </c>
      <c r="F2642" s="1" t="str">
        <f>"10.10.13.74"</f>
        <v>10.10.13.74</v>
      </c>
      <c r="G2642" s="1" t="str">
        <f>"0428P621"</f>
        <v>0428P621</v>
      </c>
      <c r="H2642" s="1" t="str">
        <f>"봉화간 22R10R2"</f>
        <v>봉화간 22R10R2</v>
      </c>
      <c r="I2642" s="1" t="s">
        <v>8</v>
      </c>
      <c r="J2642" s="1" t="str">
        <f>"14/14"</f>
        <v>14/14</v>
      </c>
      <c r="K2642" s="1" t="str">
        <f t="shared" si="156"/>
        <v>2026-07-29 13:18:03</v>
      </c>
      <c r="L2642" s="1" t="str">
        <f>"2018-01-12 14:32:40"</f>
        <v>2018-01-12 14:32:40</v>
      </c>
      <c r="M2642" s="1" t="s">
        <v>1</v>
      </c>
      <c r="N2642" s="1" t="s">
        <v>38</v>
      </c>
      <c r="O2642" s="1" t="s">
        <v>46</v>
      </c>
    </row>
    <row r="2643" spans="2:15" x14ac:dyDescent="0.3">
      <c r="B2643" s="1" t="s">
        <v>24</v>
      </c>
      <c r="C2643" s="1" t="str">
        <f>"4차"</f>
        <v>4차</v>
      </c>
      <c r="D2643" s="1" t="str">
        <f>"0428P70339"</f>
        <v>0428P70339</v>
      </c>
      <c r="E2643" s="1" t="s">
        <v>10</v>
      </c>
      <c r="F2643" s="1" t="str">
        <f>"10.10.15.2"</f>
        <v>10.10.15.2</v>
      </c>
      <c r="G2643" s="1" t="str">
        <f>"0428P703"</f>
        <v>0428P703</v>
      </c>
      <c r="H2643" s="1" t="str">
        <f>"봉화간 22R7R3"</f>
        <v>봉화간 22R7R3</v>
      </c>
      <c r="I2643" s="1" t="s">
        <v>8</v>
      </c>
      <c r="J2643" s="1" t="str">
        <f>"7/7"</f>
        <v>7/7</v>
      </c>
      <c r="K2643" s="1" t="str">
        <f t="shared" si="156"/>
        <v>2026-07-29 13:18:03</v>
      </c>
      <c r="L2643" s="1" t="str">
        <f>"2018-01-12 13:40:25"</f>
        <v>2018-01-12 13:40:25</v>
      </c>
      <c r="M2643" s="1" t="s">
        <v>1</v>
      </c>
      <c r="N2643" s="1" t="s">
        <v>38</v>
      </c>
      <c r="O2643" s="1" t="s">
        <v>46</v>
      </c>
    </row>
    <row r="2644" spans="2:15" x14ac:dyDescent="0.3">
      <c r="B2644" s="1" t="s">
        <v>24</v>
      </c>
      <c r="C2644" s="1" t="str">
        <f t="shared" ref="C2644:C2653" si="157">"3차"</f>
        <v>3차</v>
      </c>
      <c r="D2644" s="1" t="str">
        <f>"0428P72430"</f>
        <v>0428P72430</v>
      </c>
      <c r="E2644" s="1" t="s">
        <v>10</v>
      </c>
      <c r="F2644" s="1" t="str">
        <f>"10.10.40.170"</f>
        <v>10.10.40.170</v>
      </c>
      <c r="G2644" s="1" t="str">
        <f>"0428P724"</f>
        <v>0428P724</v>
      </c>
      <c r="H2644" s="1" t="str">
        <f>"봉화간 22R10R4"</f>
        <v>봉화간 22R10R4</v>
      </c>
      <c r="I2644" s="1" t="s">
        <v>8</v>
      </c>
      <c r="J2644" s="1" t="str">
        <f>"70/78"</f>
        <v>70/78</v>
      </c>
      <c r="K2644" s="1" t="str">
        <f t="shared" si="156"/>
        <v>2026-07-29 13:18:03</v>
      </c>
      <c r="L2644" s="1" t="str">
        <f>"2018-01-12 15:06:26"</f>
        <v>2018-01-12 15:06:26</v>
      </c>
      <c r="M2644" s="1" t="s">
        <v>1</v>
      </c>
      <c r="N2644" s="1" t="s">
        <v>38</v>
      </c>
      <c r="O2644" s="1" t="s">
        <v>46</v>
      </c>
    </row>
    <row r="2645" spans="2:15" x14ac:dyDescent="0.3">
      <c r="B2645" s="1" t="s">
        <v>24</v>
      </c>
      <c r="C2645" s="1" t="str">
        <f t="shared" si="157"/>
        <v>3차</v>
      </c>
      <c r="D2645" s="1" t="str">
        <f>"0428P80439"</f>
        <v>0428P80439</v>
      </c>
      <c r="E2645" s="1" t="s">
        <v>10</v>
      </c>
      <c r="F2645" s="1" t="str">
        <f>"10.10.13.2"</f>
        <v>10.10.13.2</v>
      </c>
      <c r="G2645" s="1" t="str">
        <f>"0428P804"</f>
        <v>0428P804</v>
      </c>
      <c r="H2645" s="1" t="str">
        <f>"봉화간 12"</f>
        <v>봉화간 12</v>
      </c>
      <c r="I2645" s="1" t="s">
        <v>8</v>
      </c>
      <c r="J2645" s="1" t="str">
        <f>"4/4"</f>
        <v>4/4</v>
      </c>
      <c r="K2645" s="1" t="str">
        <f t="shared" si="156"/>
        <v>2026-07-29 13:18:03</v>
      </c>
      <c r="L2645" s="1" t="str">
        <f>"2018-05-11 17:15:29"</f>
        <v>2018-05-11 17:15:29</v>
      </c>
      <c r="M2645" s="1" t="s">
        <v>1</v>
      </c>
      <c r="N2645" s="1" t="s">
        <v>38</v>
      </c>
      <c r="O2645" s="1" t="s">
        <v>46</v>
      </c>
    </row>
    <row r="2646" spans="2:15" x14ac:dyDescent="0.3">
      <c r="B2646" s="1" t="s">
        <v>24</v>
      </c>
      <c r="C2646" s="1" t="str">
        <f t="shared" si="157"/>
        <v>3차</v>
      </c>
      <c r="D2646" s="1" t="str">
        <f>"0428P82231"</f>
        <v>0428P82231</v>
      </c>
      <c r="E2646" s="1" t="s">
        <v>10</v>
      </c>
      <c r="F2646" s="1" t="str">
        <f>"10.10.40.171"</f>
        <v>10.10.40.171</v>
      </c>
      <c r="G2646" s="1" t="str">
        <f>"0428P822"</f>
        <v>0428P822</v>
      </c>
      <c r="H2646" s="1" t="str">
        <f>"봉화간 22R10R7"</f>
        <v>봉화간 22R10R7</v>
      </c>
      <c r="I2646" s="1" t="s">
        <v>8</v>
      </c>
      <c r="J2646" s="1" t="str">
        <f>"60/61"</f>
        <v>60/61</v>
      </c>
      <c r="K2646" s="1" t="str">
        <f t="shared" si="156"/>
        <v>2026-07-29 13:18:03</v>
      </c>
      <c r="L2646" s="1" t="str">
        <f>"2018-02-07 17:55:58"</f>
        <v>2018-02-07 17:55:58</v>
      </c>
      <c r="M2646" s="1" t="s">
        <v>1</v>
      </c>
      <c r="N2646" s="1" t="s">
        <v>38</v>
      </c>
      <c r="O2646" s="1" t="s">
        <v>46</v>
      </c>
    </row>
    <row r="2647" spans="2:15" x14ac:dyDescent="0.3">
      <c r="B2647" s="1" t="s">
        <v>24</v>
      </c>
      <c r="C2647" s="1" t="str">
        <f t="shared" si="157"/>
        <v>3차</v>
      </c>
      <c r="D2647" s="1" t="str">
        <f>"0428P90339"</f>
        <v>0428P90339</v>
      </c>
      <c r="E2647" s="1" t="s">
        <v>10</v>
      </c>
      <c r="F2647" s="1" t="str">
        <f>"10.10.13.10"</f>
        <v>10.10.13.10</v>
      </c>
      <c r="G2647" s="1" t="str">
        <f>"0428P903"</f>
        <v>0428P903</v>
      </c>
      <c r="H2647" s="1" t="str">
        <f>"봉화간 11"</f>
        <v>봉화간 11</v>
      </c>
      <c r="I2647" s="1" t="s">
        <v>8</v>
      </c>
      <c r="J2647" s="1" t="str">
        <f>"6/6"</f>
        <v>6/6</v>
      </c>
      <c r="K2647" s="1" t="str">
        <f t="shared" si="156"/>
        <v>2026-07-29 13:18:03</v>
      </c>
      <c r="L2647" s="1" t="str">
        <f>"2018-05-11 17:14:01"</f>
        <v>2018-05-11 17:14:01</v>
      </c>
      <c r="M2647" s="1" t="s">
        <v>1</v>
      </c>
      <c r="N2647" s="1" t="s">
        <v>38</v>
      </c>
      <c r="O2647" s="1" t="s">
        <v>46</v>
      </c>
    </row>
    <row r="2648" spans="2:15" x14ac:dyDescent="0.3">
      <c r="B2648" s="1" t="s">
        <v>24</v>
      </c>
      <c r="C2648" s="1" t="str">
        <f t="shared" si="157"/>
        <v>3차</v>
      </c>
      <c r="D2648" s="1" t="str">
        <f>"0428P91339"</f>
        <v>0428P91339</v>
      </c>
      <c r="E2648" s="1" t="s">
        <v>10</v>
      </c>
      <c r="F2648" s="1" t="str">
        <f>"10.10.13.18"</f>
        <v>10.10.13.18</v>
      </c>
      <c r="G2648" s="1" t="str">
        <f>"0428P913"</f>
        <v>0428P913</v>
      </c>
      <c r="H2648" s="1" t="str">
        <f>"봉화간 10"</f>
        <v>봉화간 10</v>
      </c>
      <c r="I2648" s="1" t="s">
        <v>8</v>
      </c>
      <c r="J2648" s="1" t="str">
        <f>"86/101"</f>
        <v>86/101</v>
      </c>
      <c r="K2648" s="1" t="str">
        <f t="shared" si="156"/>
        <v>2026-07-29 13:18:03</v>
      </c>
      <c r="L2648" s="1" t="str">
        <f>"2018-05-11 17:11:29"</f>
        <v>2018-05-11 17:11:29</v>
      </c>
      <c r="M2648" s="1" t="s">
        <v>1</v>
      </c>
      <c r="N2648" s="1" t="s">
        <v>38</v>
      </c>
      <c r="O2648" s="1" t="s">
        <v>46</v>
      </c>
    </row>
    <row r="2649" spans="2:15" x14ac:dyDescent="0.3">
      <c r="B2649" s="1" t="s">
        <v>24</v>
      </c>
      <c r="C2649" s="1" t="str">
        <f t="shared" si="157"/>
        <v>3차</v>
      </c>
      <c r="D2649" s="1" t="str">
        <f>"0428P91439"</f>
        <v>0428P91439</v>
      </c>
      <c r="E2649" s="1" t="s">
        <v>10</v>
      </c>
      <c r="F2649" s="1" t="str">
        <f>"10.10.15.186"</f>
        <v>10.10.15.186</v>
      </c>
      <c r="G2649" s="1" t="str">
        <f>"0428P914"</f>
        <v>0428P914</v>
      </c>
      <c r="H2649" s="1" t="str">
        <f>"봉화간 9"</f>
        <v>봉화간 9</v>
      </c>
      <c r="I2649" s="1" t="s">
        <v>8</v>
      </c>
      <c r="J2649" s="1" t="str">
        <f>"5/5"</f>
        <v>5/5</v>
      </c>
      <c r="K2649" s="1" t="str">
        <f t="shared" si="156"/>
        <v>2026-07-29 13:18:03</v>
      </c>
      <c r="L2649" s="1" t="str">
        <f>"2018-02-14 14:18:57"</f>
        <v>2018-02-14 14:18:57</v>
      </c>
      <c r="M2649" s="1" t="s">
        <v>1</v>
      </c>
      <c r="N2649" s="1" t="s">
        <v>38</v>
      </c>
      <c r="O2649" s="1" t="s">
        <v>46</v>
      </c>
    </row>
    <row r="2650" spans="2:15" x14ac:dyDescent="0.3">
      <c r="B2650" s="1" t="s">
        <v>24</v>
      </c>
      <c r="C2650" s="1" t="str">
        <f t="shared" si="157"/>
        <v>3차</v>
      </c>
      <c r="D2650" s="1" t="str">
        <f>"0428P91539"</f>
        <v>0428P91539</v>
      </c>
      <c r="E2650" s="1" t="s">
        <v>10</v>
      </c>
      <c r="F2650" s="1" t="str">
        <f>"10.10.14.250"</f>
        <v>10.10.14.250</v>
      </c>
      <c r="G2650" s="1" t="str">
        <f>"0428P915"</f>
        <v>0428P915</v>
      </c>
      <c r="H2650" s="1" t="str">
        <f>"봉화간 22R7R5"</f>
        <v>봉화간 22R7R5</v>
      </c>
      <c r="I2650" s="1" t="s">
        <v>8</v>
      </c>
      <c r="J2650" s="1" t="str">
        <f>"57/57"</f>
        <v>57/57</v>
      </c>
      <c r="K2650" s="1" t="str">
        <f t="shared" si="156"/>
        <v>2026-07-29 13:18:03</v>
      </c>
      <c r="L2650" s="1" t="str">
        <f>"2021-07-28 15:52:13"</f>
        <v>2021-07-28 15:52:13</v>
      </c>
      <c r="M2650" s="1" t="s">
        <v>1</v>
      </c>
      <c r="N2650" s="1" t="s">
        <v>38</v>
      </c>
      <c r="O2650" s="1" t="s">
        <v>46</v>
      </c>
    </row>
    <row r="2651" spans="2:15" x14ac:dyDescent="0.3">
      <c r="B2651" s="1" t="s">
        <v>24</v>
      </c>
      <c r="C2651" s="1" t="str">
        <f t="shared" si="157"/>
        <v>3차</v>
      </c>
      <c r="D2651" s="1" t="str">
        <f>"0428Q00139"</f>
        <v>0428Q00139</v>
      </c>
      <c r="E2651" s="1" t="s">
        <v>10</v>
      </c>
      <c r="F2651" s="1" t="str">
        <f>"10.10.15.26"</f>
        <v>10.10.15.26</v>
      </c>
      <c r="G2651" s="1" t="str">
        <f>"0428Q001"</f>
        <v>0428Q001</v>
      </c>
      <c r="H2651" s="1" t="str">
        <f>"봉화간 27L16L16"</f>
        <v>봉화간 27L16L16</v>
      </c>
      <c r="I2651" s="1" t="s">
        <v>8</v>
      </c>
      <c r="J2651" s="1" t="str">
        <f>"11/11"</f>
        <v>11/11</v>
      </c>
      <c r="K2651" s="1" t="str">
        <f t="shared" si="156"/>
        <v>2026-07-29 13:18:03</v>
      </c>
      <c r="L2651" s="1" t="str">
        <f>"2018-01-12 16:07:26"</f>
        <v>2018-01-12 16:07:26</v>
      </c>
      <c r="M2651" s="1" t="s">
        <v>1</v>
      </c>
      <c r="N2651" s="1" t="s">
        <v>38</v>
      </c>
      <c r="O2651" s="1" t="s">
        <v>46</v>
      </c>
    </row>
    <row r="2652" spans="2:15" x14ac:dyDescent="0.3">
      <c r="B2652" s="1" t="s">
        <v>24</v>
      </c>
      <c r="C2652" s="1" t="str">
        <f t="shared" si="157"/>
        <v>3차</v>
      </c>
      <c r="D2652" s="1" t="str">
        <f>"0428Q01139"</f>
        <v>0428Q01139</v>
      </c>
      <c r="E2652" s="1" t="s">
        <v>10</v>
      </c>
      <c r="F2652" s="1" t="str">
        <f>"10.10.15.202"</f>
        <v>10.10.15.202</v>
      </c>
      <c r="G2652" s="1" t="str">
        <f>"0428Q011"</f>
        <v>0428Q011</v>
      </c>
      <c r="H2652" s="1" t="str">
        <f>"봉화간 7R1L1"</f>
        <v>봉화간 7R1L1</v>
      </c>
      <c r="I2652" s="1" t="s">
        <v>8</v>
      </c>
      <c r="J2652" s="1" t="str">
        <f>"31/31"</f>
        <v>31/31</v>
      </c>
      <c r="K2652" s="1" t="str">
        <f t="shared" si="156"/>
        <v>2026-07-29 13:18:03</v>
      </c>
      <c r="L2652" s="1" t="str">
        <f>"2018-02-14 13:20:26"</f>
        <v>2018-02-14 13:20:26</v>
      </c>
      <c r="M2652" s="1" t="s">
        <v>1</v>
      </c>
      <c r="N2652" s="1" t="s">
        <v>38</v>
      </c>
      <c r="O2652" s="1" t="s">
        <v>46</v>
      </c>
    </row>
    <row r="2653" spans="2:15" x14ac:dyDescent="0.3">
      <c r="B2653" s="1" t="s">
        <v>24</v>
      </c>
      <c r="C2653" s="1" t="str">
        <f t="shared" si="157"/>
        <v>3차</v>
      </c>
      <c r="D2653" s="1" t="str">
        <f>"0428Q04139"</f>
        <v>0428Q04139</v>
      </c>
      <c r="E2653" s="1" t="s">
        <v>10</v>
      </c>
      <c r="F2653" s="1" t="str">
        <f>"10.10.15.194"</f>
        <v>10.10.15.194</v>
      </c>
      <c r="G2653" s="1" t="str">
        <f>"0428Q041"</f>
        <v>0428Q041</v>
      </c>
      <c r="H2653" s="1" t="str">
        <f>"봉화간 7R1L4"</f>
        <v>봉화간 7R1L4</v>
      </c>
      <c r="I2653" s="1" t="s">
        <v>8</v>
      </c>
      <c r="J2653" s="1" t="str">
        <f>"76/79"</f>
        <v>76/79</v>
      </c>
      <c r="K2653" s="1" t="str">
        <f t="shared" si="156"/>
        <v>2026-07-29 13:18:03</v>
      </c>
      <c r="L2653" s="1" t="str">
        <f>"2018-02-14 13:07:26"</f>
        <v>2018-02-14 13:07:26</v>
      </c>
      <c r="M2653" s="1" t="s">
        <v>1</v>
      </c>
      <c r="N2653" s="1" t="s">
        <v>38</v>
      </c>
      <c r="O2653" s="1" t="s">
        <v>46</v>
      </c>
    </row>
    <row r="2654" spans="2:15" x14ac:dyDescent="0.3">
      <c r="B2654" s="1" t="s">
        <v>24</v>
      </c>
      <c r="C2654" s="1" t="str">
        <f>"1차"</f>
        <v>1차</v>
      </c>
      <c r="D2654" s="1" t="str">
        <f>"0428Q10201"</f>
        <v>0428Q10201</v>
      </c>
      <c r="E2654" s="1" t="s">
        <v>10</v>
      </c>
      <c r="F2654" s="1" t="str">
        <f>"10.12.138.70"</f>
        <v>10.12.138.70</v>
      </c>
      <c r="G2654" s="1" t="str">
        <f>"0428Q102"</f>
        <v>0428Q102</v>
      </c>
      <c r="H2654" s="1" t="str">
        <f>"봉화간 27L16L18"</f>
        <v>봉화간 27L16L18</v>
      </c>
      <c r="I2654" s="1" t="s">
        <v>8</v>
      </c>
      <c r="J2654" s="1" t="str">
        <f>"39/39"</f>
        <v>39/39</v>
      </c>
      <c r="K2654" s="1" t="str">
        <f t="shared" si="156"/>
        <v>2026-07-29 13:18:03</v>
      </c>
      <c r="L2654" s="1" t="str">
        <f>"2014-10-14 10:56:48"</f>
        <v>2014-10-14 10:56:48</v>
      </c>
      <c r="M2654" s="1" t="s">
        <v>0</v>
      </c>
      <c r="N2654" s="1" t="s">
        <v>38</v>
      </c>
      <c r="O2654" s="1" t="s">
        <v>46</v>
      </c>
    </row>
    <row r="2655" spans="2:15" x14ac:dyDescent="0.3">
      <c r="B2655" s="1" t="s">
        <v>24</v>
      </c>
      <c r="C2655" s="1" t="str">
        <f>"4차"</f>
        <v>4차</v>
      </c>
      <c r="D2655" s="1" t="str">
        <f>"0428Q11242"</f>
        <v>0428Q11242</v>
      </c>
      <c r="E2655" s="1" t="s">
        <v>10</v>
      </c>
      <c r="F2655" s="1" t="str">
        <f>"10.12.128.86"</f>
        <v>10.12.128.86</v>
      </c>
      <c r="G2655" s="1" t="str">
        <f>"0428Q112"</f>
        <v>0428Q112</v>
      </c>
      <c r="H2655" s="1" t="str">
        <f>"봉화간 27L16L17L2"</f>
        <v>봉화간 27L16L17L2</v>
      </c>
      <c r="I2655" s="1" t="s">
        <v>8</v>
      </c>
      <c r="J2655" s="1" t="str">
        <f>"80/86"</f>
        <v>80/86</v>
      </c>
      <c r="K2655" s="1" t="str">
        <f>"2026-07-29 13:18:05"</f>
        <v>2026-07-29 13:18:05</v>
      </c>
      <c r="L2655" s="1" t="str">
        <f>"2025-01-14 13:30:15"</f>
        <v>2025-01-14 13:30:15</v>
      </c>
      <c r="M2655" s="1" t="s">
        <v>0</v>
      </c>
      <c r="N2655" s="1" t="s">
        <v>38</v>
      </c>
      <c r="O2655" s="1" t="s">
        <v>46</v>
      </c>
    </row>
    <row r="2656" spans="2:15" x14ac:dyDescent="0.3">
      <c r="B2656" s="1" t="s">
        <v>24</v>
      </c>
      <c r="C2656" s="1" t="str">
        <f>"1차"</f>
        <v>1차</v>
      </c>
      <c r="D2656" s="1" t="str">
        <f>"0428Q11400"</f>
        <v>0428Q11400</v>
      </c>
      <c r="E2656" s="1" t="s">
        <v>10</v>
      </c>
      <c r="F2656" s="1" t="str">
        <f>"10.89.248.111"</f>
        <v>10.89.248.111</v>
      </c>
      <c r="G2656" s="1" t="str">
        <f>"0428Q114"</f>
        <v>0428Q114</v>
      </c>
      <c r="H2656" s="1" t="str">
        <f>"봉화간 6"</f>
        <v>봉화간 6</v>
      </c>
      <c r="I2656" s="1" t="s">
        <v>8</v>
      </c>
      <c r="J2656" s="1" t="str">
        <f>"38/38"</f>
        <v>38/38</v>
      </c>
      <c r="K2656" s="1" t="str">
        <f>"2026-07-29 13:18:03"</f>
        <v>2026-07-29 13:18:03</v>
      </c>
      <c r="L2656" s="1" t="str">
        <f>"2019-06-23 05:45:32"</f>
        <v>2019-06-23 05:45:32</v>
      </c>
      <c r="M2656" s="1" t="s">
        <v>45</v>
      </c>
      <c r="N2656" s="1" t="s">
        <v>38</v>
      </c>
      <c r="O2656" s="1" t="s">
        <v>46</v>
      </c>
    </row>
    <row r="2657" spans="2:15" x14ac:dyDescent="0.3">
      <c r="B2657" s="1" t="s">
        <v>24</v>
      </c>
      <c r="C2657" s="1" t="str">
        <f>"1차"</f>
        <v>1차</v>
      </c>
      <c r="D2657" s="1" t="str">
        <f>"0428Q12101"</f>
        <v>0428Q12101</v>
      </c>
      <c r="E2657" s="1" t="s">
        <v>10</v>
      </c>
      <c r="F2657" s="1" t="str">
        <f>"10.89.248.112"</f>
        <v>10.89.248.112</v>
      </c>
      <c r="G2657" s="1" t="str">
        <f>"0428Q121"</f>
        <v>0428Q121</v>
      </c>
      <c r="H2657" s="1" t="str">
        <f>"봉화간 7R2"</f>
        <v>봉화간 7R2</v>
      </c>
      <c r="I2657" s="1" t="s">
        <v>8</v>
      </c>
      <c r="J2657" s="1" t="str">
        <f>"50/50"</f>
        <v>50/50</v>
      </c>
      <c r="K2657" s="1" t="str">
        <f>"2026-07-29 13:18:03"</f>
        <v>2026-07-29 13:18:03</v>
      </c>
      <c r="L2657" s="1" t="str">
        <f>"2014-10-27 18:26:02"</f>
        <v>2014-10-27 18:26:02</v>
      </c>
      <c r="M2657" s="1" t="s">
        <v>45</v>
      </c>
      <c r="N2657" s="1" t="s">
        <v>38</v>
      </c>
      <c r="O2657" s="1" t="s">
        <v>46</v>
      </c>
    </row>
    <row r="2658" spans="2:15" x14ac:dyDescent="0.3">
      <c r="B2658" s="1" t="s">
        <v>24</v>
      </c>
      <c r="C2658" s="1" t="str">
        <f>"1차"</f>
        <v>1차</v>
      </c>
      <c r="D2658" s="1" t="str">
        <f>"0428Q20201"</f>
        <v>0428Q20201</v>
      </c>
      <c r="E2658" s="1" t="s">
        <v>10</v>
      </c>
      <c r="F2658" s="1" t="str">
        <f>"10.89.248.136"</f>
        <v>10.89.248.136</v>
      </c>
      <c r="G2658" s="1" t="str">
        <f>"0428Q202"</f>
        <v>0428Q202</v>
      </c>
      <c r="H2658" s="1" t="str">
        <f>"신현간 36"</f>
        <v>신현간 36</v>
      </c>
      <c r="I2658" s="1" t="s">
        <v>8</v>
      </c>
      <c r="J2658" s="1" t="str">
        <f>"32/34"</f>
        <v>32/34</v>
      </c>
      <c r="K2658" s="1" t="str">
        <f>"2026-07-29 13:18:05"</f>
        <v>2026-07-29 13:18:05</v>
      </c>
      <c r="L2658" s="1" t="str">
        <f>"2014-10-14 15:24:19"</f>
        <v>2014-10-14 15:24:19</v>
      </c>
      <c r="M2658" s="1" t="s">
        <v>45</v>
      </c>
      <c r="N2658" s="1" t="s">
        <v>38</v>
      </c>
      <c r="O2658" s="1" t="s">
        <v>46</v>
      </c>
    </row>
    <row r="2659" spans="2:15" x14ac:dyDescent="0.3">
      <c r="B2659" s="1" t="s">
        <v>24</v>
      </c>
      <c r="C2659" s="1" t="str">
        <f>"4차"</f>
        <v>4차</v>
      </c>
      <c r="D2659" s="1" t="str">
        <f>"0428Q22544"</f>
        <v>0428Q22544</v>
      </c>
      <c r="E2659" s="1" t="s">
        <v>10</v>
      </c>
      <c r="F2659" s="1" t="str">
        <f>"10.12.138.52"</f>
        <v>10.12.138.52</v>
      </c>
      <c r="G2659" s="1" t="str">
        <f>"0428Q225"</f>
        <v>0428Q225</v>
      </c>
      <c r="H2659" s="1" t="str">
        <f>"봉화간 7R4"</f>
        <v>봉화간 7R4</v>
      </c>
      <c r="I2659" s="1" t="s">
        <v>8</v>
      </c>
      <c r="J2659" s="1" t="str">
        <f>"16/16"</f>
        <v>16/16</v>
      </c>
      <c r="K2659" s="1" t="str">
        <f>"2026-07-29 13:18:06"</f>
        <v>2026-07-29 13:18:06</v>
      </c>
      <c r="L2659" s="1" t="str">
        <f>"2023-10-13 09:53:17"</f>
        <v>2023-10-13 09:53:17</v>
      </c>
      <c r="M2659" s="1" t="s">
        <v>0</v>
      </c>
      <c r="N2659" s="1" t="s">
        <v>38</v>
      </c>
      <c r="O2659" s="1" t="s">
        <v>46</v>
      </c>
    </row>
    <row r="2660" spans="2:15" x14ac:dyDescent="0.3">
      <c r="B2660" s="1" t="s">
        <v>24</v>
      </c>
      <c r="C2660" s="1" t="str">
        <f>"1차"</f>
        <v>1차</v>
      </c>
      <c r="D2660" s="1" t="str">
        <f>"0428Q30100"</f>
        <v>0428Q30100</v>
      </c>
      <c r="E2660" s="1" t="s">
        <v>10</v>
      </c>
      <c r="F2660" s="1" t="str">
        <f>"10.89.248.135"</f>
        <v>10.89.248.135</v>
      </c>
      <c r="G2660" s="1" t="str">
        <f>"0428Q301"</f>
        <v>0428Q301</v>
      </c>
      <c r="H2660" s="1" t="str">
        <f>"신현간 36B1"</f>
        <v>신현간 36B1</v>
      </c>
      <c r="I2660" s="1" t="s">
        <v>8</v>
      </c>
      <c r="J2660" s="1" t="str">
        <f>"75/75"</f>
        <v>75/75</v>
      </c>
      <c r="K2660" s="1" t="str">
        <f>"2026-07-29 13:18:03"</f>
        <v>2026-07-29 13:18:03</v>
      </c>
      <c r="L2660" s="1" t="str">
        <f>"2021-07-27 11:09:20"</f>
        <v>2021-07-27 11:09:20</v>
      </c>
      <c r="M2660" s="1" t="s">
        <v>45</v>
      </c>
      <c r="N2660" s="1" t="s">
        <v>38</v>
      </c>
      <c r="O2660" s="1" t="s">
        <v>46</v>
      </c>
    </row>
    <row r="2661" spans="2:15" x14ac:dyDescent="0.3">
      <c r="B2661" s="1" t="s">
        <v>24</v>
      </c>
      <c r="C2661" s="1" t="str">
        <f>"4차"</f>
        <v>4차</v>
      </c>
      <c r="D2661" s="1" t="str">
        <f>"0428Q32141"</f>
        <v>0428Q32141</v>
      </c>
      <c r="E2661" s="1" t="s">
        <v>10</v>
      </c>
      <c r="F2661" s="1" t="str">
        <f>"10.14.7.46"</f>
        <v>10.14.7.46</v>
      </c>
      <c r="G2661" s="1" t="str">
        <f>"0428Q321"</f>
        <v>0428Q321</v>
      </c>
      <c r="H2661" s="1" t="str">
        <f>"봉화간 3"</f>
        <v>봉화간 3</v>
      </c>
      <c r="I2661" s="1" t="s">
        <v>17</v>
      </c>
      <c r="J2661" s="1" t="str">
        <f>"5/9"</f>
        <v>5/9</v>
      </c>
      <c r="K2661" s="1" t="str">
        <f>"2026-07-29 13:18:03"</f>
        <v>2026-07-29 13:18:03</v>
      </c>
      <c r="L2661" s="1" t="str">
        <f>"2021-10-19 10:41:44"</f>
        <v>2021-10-19 10:41:44</v>
      </c>
      <c r="M2661" s="1" t="s">
        <v>3</v>
      </c>
      <c r="N2661" s="1" t="s">
        <v>38</v>
      </c>
      <c r="O2661" s="1" t="s">
        <v>46</v>
      </c>
    </row>
    <row r="2662" spans="2:15" x14ac:dyDescent="0.3">
      <c r="B2662" s="1" t="s">
        <v>24</v>
      </c>
      <c r="C2662" s="1" t="str">
        <f>"3차"</f>
        <v>3차</v>
      </c>
      <c r="D2662" s="1" t="str">
        <f>"0428Q50339"</f>
        <v>0428Q50339</v>
      </c>
      <c r="E2662" s="1" t="s">
        <v>10</v>
      </c>
      <c r="F2662" s="1" t="str">
        <f>"10.10.40.42"</f>
        <v>10.10.40.42</v>
      </c>
      <c r="G2662" s="1" t="str">
        <f>"0428Q503"</f>
        <v>0428Q503</v>
      </c>
      <c r="H2662" s="1" t="str">
        <f>"신현간 27"</f>
        <v>신현간 27</v>
      </c>
      <c r="I2662" s="1" t="s">
        <v>8</v>
      </c>
      <c r="J2662" s="1" t="str">
        <f>"16/16"</f>
        <v>16/16</v>
      </c>
      <c r="K2662" s="1" t="str">
        <f>"2026-07-29 13:18:03"</f>
        <v>2026-07-29 13:18:03</v>
      </c>
      <c r="L2662" s="1" t="str">
        <f>"2018-02-12 14:54:55"</f>
        <v>2018-02-12 14:54:55</v>
      </c>
      <c r="M2662" s="1" t="s">
        <v>1</v>
      </c>
      <c r="N2662" s="1" t="s">
        <v>38</v>
      </c>
      <c r="O2662" s="1" t="s">
        <v>46</v>
      </c>
    </row>
    <row r="2663" spans="2:15" x14ac:dyDescent="0.3">
      <c r="B2663" s="1" t="s">
        <v>24</v>
      </c>
      <c r="C2663" s="1" t="str">
        <f>"3차"</f>
        <v>3차</v>
      </c>
      <c r="D2663" s="1" t="str">
        <f>"0428Q50439"</f>
        <v>0428Q50439</v>
      </c>
      <c r="E2663" s="1" t="s">
        <v>10</v>
      </c>
      <c r="F2663" s="1" t="str">
        <f>"10.14.9.52"</f>
        <v>10.14.9.52</v>
      </c>
      <c r="G2663" s="1" t="str">
        <f>"0428Q504"</f>
        <v>0428Q504</v>
      </c>
      <c r="H2663" s="1" t="str">
        <f>"신현간 26R1"</f>
        <v>신현간 26R1</v>
      </c>
      <c r="I2663" s="1" t="s">
        <v>8</v>
      </c>
      <c r="J2663" s="1" t="str">
        <f>"58/59"</f>
        <v>58/59</v>
      </c>
      <c r="K2663" s="1" t="str">
        <f>"2026-07-29 13:18:04"</f>
        <v>2026-07-29 13:18:04</v>
      </c>
      <c r="L2663" s="1" t="str">
        <f>"2018-03-25 10:26:26"</f>
        <v>2018-03-25 10:26:26</v>
      </c>
      <c r="M2663" s="1" t="s">
        <v>3</v>
      </c>
      <c r="N2663" s="1" t="s">
        <v>38</v>
      </c>
      <c r="O2663" s="1" t="s">
        <v>46</v>
      </c>
    </row>
    <row r="2664" spans="2:15" x14ac:dyDescent="0.3">
      <c r="B2664" s="1" t="s">
        <v>24</v>
      </c>
      <c r="C2664" s="1" t="str">
        <f>"1차"</f>
        <v>1차</v>
      </c>
      <c r="D2664" s="1" t="str">
        <f>"0428Q60500"</f>
        <v>0428Q60500</v>
      </c>
      <c r="E2664" s="1" t="s">
        <v>10</v>
      </c>
      <c r="F2664" s="1" t="str">
        <f>"10.89.248.102"</f>
        <v>10.89.248.102</v>
      </c>
      <c r="G2664" s="1" t="str">
        <f>"0428Q605"</f>
        <v>0428Q605</v>
      </c>
      <c r="H2664" s="1" t="str">
        <f>"신현간 25"</f>
        <v>신현간 25</v>
      </c>
      <c r="I2664" s="1" t="s">
        <v>8</v>
      </c>
      <c r="J2664" s="1" t="str">
        <f>"39/41"</f>
        <v>39/41</v>
      </c>
      <c r="K2664" s="1" t="str">
        <f>"2026-07-29 13:18:03"</f>
        <v>2026-07-29 13:18:03</v>
      </c>
      <c r="L2664" s="1" t="str">
        <f>"2014-10-07 14:41:28"</f>
        <v>2014-10-07 14:41:28</v>
      </c>
      <c r="M2664" s="1" t="s">
        <v>45</v>
      </c>
      <c r="N2664" s="1" t="s">
        <v>38</v>
      </c>
      <c r="O2664" s="1" t="s">
        <v>46</v>
      </c>
    </row>
    <row r="2665" spans="2:15" x14ac:dyDescent="0.3">
      <c r="B2665" s="1" t="s">
        <v>24</v>
      </c>
      <c r="C2665" s="1" t="str">
        <f>"1차"</f>
        <v>1차</v>
      </c>
      <c r="D2665" s="1" t="str">
        <f>"0428Q70101"</f>
        <v>0428Q70101</v>
      </c>
      <c r="E2665" s="1" t="s">
        <v>10</v>
      </c>
      <c r="F2665" s="1" t="str">
        <f>"10.12.134.145"</f>
        <v>10.12.134.145</v>
      </c>
      <c r="G2665" s="1" t="str">
        <f>"0428Q701"</f>
        <v>0428Q701</v>
      </c>
      <c r="H2665" s="1" t="str">
        <f>"신현간 23"</f>
        <v>신현간 23</v>
      </c>
      <c r="I2665" s="1" t="s">
        <v>8</v>
      </c>
      <c r="J2665" s="1" t="str">
        <f>"9/9"</f>
        <v>9/9</v>
      </c>
      <c r="K2665" s="1" t="str">
        <f>"2026-07-29 13:18:04"</f>
        <v>2026-07-29 13:18:04</v>
      </c>
      <c r="L2665" s="1" t="str">
        <f>"2014-10-15 10:56:59"</f>
        <v>2014-10-15 10:56:59</v>
      </c>
      <c r="M2665" s="1" t="s">
        <v>0</v>
      </c>
      <c r="N2665" s="1" t="s">
        <v>38</v>
      </c>
      <c r="O2665" s="1" t="s">
        <v>46</v>
      </c>
    </row>
    <row r="2666" spans="2:15" x14ac:dyDescent="0.3">
      <c r="B2666" s="1" t="s">
        <v>24</v>
      </c>
      <c r="C2666" s="1" t="str">
        <f>"4차"</f>
        <v>4차</v>
      </c>
      <c r="D2666" s="1" t="str">
        <f>"0428Q76145"</f>
        <v>0428Q76145</v>
      </c>
      <c r="E2666" s="1" t="s">
        <v>10</v>
      </c>
      <c r="F2666" s="1" t="str">
        <f>"10.12.135.238"</f>
        <v>10.12.135.238</v>
      </c>
      <c r="G2666" s="1" t="str">
        <f>"0428Q761"</f>
        <v>0428Q761</v>
      </c>
      <c r="H2666" s="1" t="str">
        <f>"신내 2"</f>
        <v>신내 2</v>
      </c>
      <c r="I2666" s="1" t="s">
        <v>17</v>
      </c>
      <c r="J2666" s="1" t="str">
        <f>"102/102"</f>
        <v>102/102</v>
      </c>
      <c r="K2666" s="1" t="str">
        <f>"2026-07-29 13:18:06"</f>
        <v>2026-07-29 13:18:06</v>
      </c>
      <c r="L2666" s="1" t="str">
        <f>"2021-06-30 08:40:49"</f>
        <v>2021-06-30 08:40:49</v>
      </c>
      <c r="M2666" s="1" t="s">
        <v>0</v>
      </c>
      <c r="N2666" s="1" t="s">
        <v>38</v>
      </c>
      <c r="O2666" s="1" t="s">
        <v>46</v>
      </c>
    </row>
    <row r="2667" spans="2:15" x14ac:dyDescent="0.3">
      <c r="B2667" s="1" t="s">
        <v>24</v>
      </c>
      <c r="C2667" s="1" t="str">
        <f>"3차"</f>
        <v>3차</v>
      </c>
      <c r="D2667" s="1" t="str">
        <f>"0428R01239"</f>
        <v>0428R01239</v>
      </c>
      <c r="E2667" s="1" t="s">
        <v>10</v>
      </c>
      <c r="F2667" s="1" t="str">
        <f>"10.10.6.42"</f>
        <v>10.10.6.42</v>
      </c>
      <c r="G2667" s="1" t="str">
        <f>"0428R012"</f>
        <v>0428R012</v>
      </c>
      <c r="H2667" s="1" t="str">
        <f>"봉화간 27L5R6"</f>
        <v>봉화간 27L5R6</v>
      </c>
      <c r="I2667" s="1" t="s">
        <v>8</v>
      </c>
      <c r="J2667" s="1" t="str">
        <f>"25/32"</f>
        <v>25/32</v>
      </c>
      <c r="K2667" s="1" t="str">
        <f>"2026-07-29 13:18:05"</f>
        <v>2026-07-29 13:18:05</v>
      </c>
      <c r="L2667" s="1" t="str">
        <f>"2018-02-05 09:53:24"</f>
        <v>2018-02-05 09:53:24</v>
      </c>
      <c r="M2667" s="1" t="s">
        <v>1</v>
      </c>
      <c r="N2667" s="1" t="s">
        <v>38</v>
      </c>
      <c r="O2667" s="1" t="s">
        <v>46</v>
      </c>
    </row>
    <row r="2668" spans="2:15" x14ac:dyDescent="0.3">
      <c r="B2668" s="1" t="s">
        <v>24</v>
      </c>
      <c r="C2668" s="1" t="str">
        <f>"3차"</f>
        <v>3차</v>
      </c>
      <c r="D2668" s="1" t="str">
        <f>"0428R01339"</f>
        <v>0428R01339</v>
      </c>
      <c r="E2668" s="1" t="s">
        <v>14</v>
      </c>
      <c r="F2668" s="1" t="str">
        <f>"10.12.128.75"</f>
        <v>10.12.128.75</v>
      </c>
      <c r="G2668" s="1" t="str">
        <f>"0428R013"</f>
        <v>0428R013</v>
      </c>
      <c r="H2668" s="1" t="str">
        <f>"봉화간 27L5R7"</f>
        <v>봉화간 27L5R7</v>
      </c>
      <c r="I2668" s="1" t="s">
        <v>8</v>
      </c>
      <c r="J2668" s="1" t="str">
        <f>"0/0"</f>
        <v>0/0</v>
      </c>
      <c r="K2668" s="1" t="str">
        <f>"2026-06-10 07:18:05"</f>
        <v>2026-06-10 07:18:05</v>
      </c>
      <c r="L2668" s="1" t="str">
        <f>"2018-03-25 09:47:11"</f>
        <v>2018-03-25 09:47:11</v>
      </c>
      <c r="M2668" s="1" t="s">
        <v>0</v>
      </c>
      <c r="N2668" s="1" t="s">
        <v>39</v>
      </c>
      <c r="O2668" s="1" t="s">
        <v>46</v>
      </c>
    </row>
    <row r="2669" spans="2:15" x14ac:dyDescent="0.3">
      <c r="B2669" s="1" t="s">
        <v>24</v>
      </c>
      <c r="C2669" s="1" t="str">
        <f>"3차"</f>
        <v>3차</v>
      </c>
      <c r="D2669" s="1" t="str">
        <f>"0428R02131"</f>
        <v>0428R02131</v>
      </c>
      <c r="E2669" s="1" t="s">
        <v>10</v>
      </c>
      <c r="F2669" s="1" t="str">
        <f>"10.12.134.140"</f>
        <v>10.12.134.140</v>
      </c>
      <c r="G2669" s="1" t="str">
        <f>"0428R021"</f>
        <v>0428R021</v>
      </c>
      <c r="H2669" s="1" t="str">
        <f>"봉화간 27L5R4"</f>
        <v>봉화간 27L5R4</v>
      </c>
      <c r="I2669" s="1" t="s">
        <v>8</v>
      </c>
      <c r="J2669" s="1" t="str">
        <f>"27/27"</f>
        <v>27/27</v>
      </c>
      <c r="K2669" s="1" t="str">
        <f>"2026-07-29 13:18:06"</f>
        <v>2026-07-29 13:18:06</v>
      </c>
      <c r="L2669" s="1" t="str">
        <f>"2018-02-07 15:07:31"</f>
        <v>2018-02-07 15:07:31</v>
      </c>
      <c r="M2669" s="1" t="s">
        <v>0</v>
      </c>
      <c r="N2669" s="1" t="s">
        <v>38</v>
      </c>
      <c r="O2669" s="1" t="s">
        <v>46</v>
      </c>
    </row>
    <row r="2670" spans="2:15" x14ac:dyDescent="0.3">
      <c r="B2670" s="1" t="s">
        <v>24</v>
      </c>
      <c r="C2670" s="1" t="str">
        <f>"3차"</f>
        <v>3차</v>
      </c>
      <c r="D2670" s="1" t="str">
        <f>"0428R03130"</f>
        <v>0428R03130</v>
      </c>
      <c r="E2670" s="1" t="s">
        <v>10</v>
      </c>
      <c r="F2670" s="1" t="str">
        <f>"10.10.20.154"</f>
        <v>10.10.20.154</v>
      </c>
      <c r="G2670" s="1" t="str">
        <f>"0428R031"</f>
        <v>0428R031</v>
      </c>
      <c r="H2670" s="1" t="str">
        <f>"봉화간 27L5R2"</f>
        <v>봉화간 27L5R2</v>
      </c>
      <c r="I2670" s="1" t="s">
        <v>8</v>
      </c>
      <c r="J2670" s="1" t="str">
        <f>"5/5"</f>
        <v>5/5</v>
      </c>
      <c r="K2670" s="1" t="str">
        <f>"2026-07-29 13:18:05"</f>
        <v>2026-07-29 13:18:05</v>
      </c>
      <c r="L2670" s="1" t="str">
        <f>"2018-01-10 13:49:41"</f>
        <v>2018-01-10 13:49:41</v>
      </c>
      <c r="M2670" s="1" t="s">
        <v>1</v>
      </c>
      <c r="N2670" s="1" t="s">
        <v>38</v>
      </c>
      <c r="O2670" s="1" t="s">
        <v>46</v>
      </c>
    </row>
    <row r="2671" spans="2:15" x14ac:dyDescent="0.3">
      <c r="B2671" s="1" t="s">
        <v>24</v>
      </c>
      <c r="C2671" s="1" t="str">
        <f>"3차"</f>
        <v>3차</v>
      </c>
      <c r="D2671" s="1" t="str">
        <f>"0428R03239"</f>
        <v>0428R03239</v>
      </c>
      <c r="E2671" s="1" t="s">
        <v>10</v>
      </c>
      <c r="F2671" s="1" t="str">
        <f>"10.10.20.82"</f>
        <v>10.10.20.82</v>
      </c>
      <c r="G2671" s="1" t="str">
        <f>"0428R032"</f>
        <v>0428R032</v>
      </c>
      <c r="H2671" s="1" t="str">
        <f>"봉화간 27L21R5"</f>
        <v>봉화간 27L21R5</v>
      </c>
      <c r="I2671" s="1" t="s">
        <v>8</v>
      </c>
      <c r="J2671" s="1" t="str">
        <f>"79/89"</f>
        <v>79/89</v>
      </c>
      <c r="K2671" s="1" t="str">
        <f>"2026-07-29 13:18:05"</f>
        <v>2026-07-29 13:18:05</v>
      </c>
      <c r="L2671" s="1" t="str">
        <f>"2018-01-11 14:08:26"</f>
        <v>2018-01-11 14:08:26</v>
      </c>
      <c r="M2671" s="1" t="s">
        <v>1</v>
      </c>
      <c r="N2671" s="1" t="s">
        <v>38</v>
      </c>
      <c r="O2671" s="1" t="s">
        <v>46</v>
      </c>
    </row>
    <row r="2672" spans="2:15" x14ac:dyDescent="0.3">
      <c r="B2672" s="1" t="s">
        <v>24</v>
      </c>
      <c r="C2672" s="1" t="str">
        <f>"4차"</f>
        <v>4차</v>
      </c>
      <c r="D2672" s="1" t="str">
        <f>"0428R05244"</f>
        <v>0428R05244</v>
      </c>
      <c r="E2672" s="1" t="s">
        <v>10</v>
      </c>
      <c r="F2672" s="1" t="str">
        <f>"10.10.43.42"</f>
        <v>10.10.43.42</v>
      </c>
      <c r="G2672" s="1" t="str">
        <f>"0428R052"</f>
        <v>0428R052</v>
      </c>
      <c r="H2672" s="1" t="str">
        <f>"봉화간 27L7"</f>
        <v>봉화간 27L7</v>
      </c>
      <c r="I2672" s="1" t="s">
        <v>8</v>
      </c>
      <c r="J2672" s="1" t="str">
        <f>"40/40"</f>
        <v>40/40</v>
      </c>
      <c r="K2672" s="1" t="str">
        <f>"2026-07-29 13:18:05"</f>
        <v>2026-07-29 13:18:05</v>
      </c>
      <c r="L2672" s="1" t="str">
        <f>"2019-10-31 17:42:53"</f>
        <v>2019-10-31 17:42:53</v>
      </c>
      <c r="M2672" s="1" t="s">
        <v>1</v>
      </c>
      <c r="N2672" s="1" t="s">
        <v>38</v>
      </c>
      <c r="O2672" s="1" t="s">
        <v>46</v>
      </c>
    </row>
    <row r="2673" spans="2:15" x14ac:dyDescent="0.3">
      <c r="B2673" s="1" t="s">
        <v>24</v>
      </c>
      <c r="C2673" s="1" t="str">
        <f>"4차"</f>
        <v>4차</v>
      </c>
      <c r="D2673" s="1" t="str">
        <f>"0428R09144"</f>
        <v>0428R09144</v>
      </c>
      <c r="E2673" s="1" t="s">
        <v>10</v>
      </c>
      <c r="F2673" s="1" t="str">
        <f>"10.10.52.42"</f>
        <v>10.10.52.42</v>
      </c>
      <c r="G2673" s="1" t="str">
        <f>"0428R091"</f>
        <v>0428R091</v>
      </c>
      <c r="H2673" s="1" t="str">
        <f>"봉화간 22R1A1"</f>
        <v>봉화간 22R1A1</v>
      </c>
      <c r="I2673" s="1" t="s">
        <v>8</v>
      </c>
      <c r="J2673" s="1" t="str">
        <f>"20/20"</f>
        <v>20/20</v>
      </c>
      <c r="K2673" s="1" t="str">
        <f>"2026-07-29 13:18:03"</f>
        <v>2026-07-29 13:18:03</v>
      </c>
      <c r="L2673" s="1" t="str">
        <f>"2019-10-31 17:12:37"</f>
        <v>2019-10-31 17:12:37</v>
      </c>
      <c r="M2673" s="1" t="s">
        <v>1</v>
      </c>
      <c r="N2673" s="1" t="s">
        <v>38</v>
      </c>
      <c r="O2673" s="1" t="s">
        <v>46</v>
      </c>
    </row>
    <row r="2674" spans="2:15" x14ac:dyDescent="0.3">
      <c r="B2674" s="1" t="s">
        <v>24</v>
      </c>
      <c r="C2674" s="1" t="str">
        <f t="shared" ref="C2674:C2694" si="158">"3차"</f>
        <v>3차</v>
      </c>
      <c r="D2674" s="1" t="str">
        <f>"0428R12239"</f>
        <v>0428R12239</v>
      </c>
      <c r="E2674" s="1" t="s">
        <v>10</v>
      </c>
      <c r="F2674" s="1" t="str">
        <f>"10.10.6.66"</f>
        <v>10.10.6.66</v>
      </c>
      <c r="G2674" s="1" t="str">
        <f>"0428R122"</f>
        <v>0428R122</v>
      </c>
      <c r="H2674" s="1" t="str">
        <f>"봉화간 27L5R6L3"</f>
        <v>봉화간 27L5R6L3</v>
      </c>
      <c r="I2674" s="1" t="s">
        <v>8</v>
      </c>
      <c r="J2674" s="1" t="str">
        <f>"5/9"</f>
        <v>5/9</v>
      </c>
      <c r="K2674" s="1" t="str">
        <f>"2026-07-29 13:18:05"</f>
        <v>2026-07-29 13:18:05</v>
      </c>
      <c r="L2674" s="1" t="str">
        <f>"2018-02-14 15:19:42"</f>
        <v>2018-02-14 15:19:42</v>
      </c>
      <c r="M2674" s="1" t="s">
        <v>1</v>
      </c>
      <c r="N2674" s="1" t="s">
        <v>38</v>
      </c>
      <c r="O2674" s="1" t="s">
        <v>46</v>
      </c>
    </row>
    <row r="2675" spans="2:15" x14ac:dyDescent="0.3">
      <c r="B2675" s="1" t="s">
        <v>24</v>
      </c>
      <c r="C2675" s="1" t="str">
        <f t="shared" si="158"/>
        <v>3차</v>
      </c>
      <c r="D2675" s="1" t="str">
        <f>"0428R13139"</f>
        <v>0428R13139</v>
      </c>
      <c r="E2675" s="1" t="s">
        <v>10</v>
      </c>
      <c r="F2675" s="1" t="str">
        <f>"10.10.20.122"</f>
        <v>10.10.20.122</v>
      </c>
      <c r="G2675" s="1" t="str">
        <f>"0428R131"</f>
        <v>0428R131</v>
      </c>
      <c r="H2675" s="1" t="str">
        <f>"봉화간 27L21R3"</f>
        <v>봉화간 27L21R3</v>
      </c>
      <c r="I2675" s="1" t="s">
        <v>8</v>
      </c>
      <c r="J2675" s="1" t="str">
        <f>"89/89"</f>
        <v>89/89</v>
      </c>
      <c r="K2675" s="1" t="str">
        <f>"2026-07-29 13:18:05"</f>
        <v>2026-07-29 13:18:05</v>
      </c>
      <c r="L2675" s="1" t="str">
        <f>"2018-03-07 13:59:58"</f>
        <v>2018-03-07 13:59:58</v>
      </c>
      <c r="M2675" s="1" t="s">
        <v>1</v>
      </c>
      <c r="N2675" s="1" t="s">
        <v>38</v>
      </c>
      <c r="O2675" s="1" t="s">
        <v>46</v>
      </c>
    </row>
    <row r="2676" spans="2:15" x14ac:dyDescent="0.3">
      <c r="B2676" s="1" t="s">
        <v>24</v>
      </c>
      <c r="C2676" s="1" t="str">
        <f t="shared" si="158"/>
        <v>3차</v>
      </c>
      <c r="D2676" s="1" t="str">
        <f>"0428R13239"</f>
        <v>0428R13239</v>
      </c>
      <c r="E2676" s="1" t="s">
        <v>10</v>
      </c>
      <c r="F2676" s="1" t="str">
        <f>"10.10.20.90"</f>
        <v>10.10.20.90</v>
      </c>
      <c r="G2676" s="1" t="str">
        <f>"0428R132"</f>
        <v>0428R132</v>
      </c>
      <c r="H2676" s="1" t="str">
        <f>"봉화간 27L21R4"</f>
        <v>봉화간 27L21R4</v>
      </c>
      <c r="I2676" s="1" t="s">
        <v>8</v>
      </c>
      <c r="J2676" s="1" t="str">
        <f>"20/29"</f>
        <v>20/29</v>
      </c>
      <c r="K2676" s="1" t="str">
        <f>"2026-07-29 13:18:05"</f>
        <v>2026-07-29 13:18:05</v>
      </c>
      <c r="L2676" s="1" t="str">
        <f>"2018-01-11 14:04:11"</f>
        <v>2018-01-11 14:04:11</v>
      </c>
      <c r="M2676" s="1" t="s">
        <v>1</v>
      </c>
      <c r="N2676" s="1" t="s">
        <v>38</v>
      </c>
      <c r="O2676" s="1" t="s">
        <v>46</v>
      </c>
    </row>
    <row r="2677" spans="2:15" x14ac:dyDescent="0.3">
      <c r="B2677" s="1" t="s">
        <v>24</v>
      </c>
      <c r="C2677" s="1" t="str">
        <f t="shared" si="158"/>
        <v>3차</v>
      </c>
      <c r="D2677" s="1" t="str">
        <f>"0428R14139"</f>
        <v>0428R14139</v>
      </c>
      <c r="E2677" s="1" t="s">
        <v>10</v>
      </c>
      <c r="F2677" s="1" t="str">
        <f>"10.10.20.106"</f>
        <v>10.10.20.106</v>
      </c>
      <c r="G2677" s="1" t="str">
        <f>"0428R141"</f>
        <v>0428R141</v>
      </c>
      <c r="H2677" s="1" t="str">
        <f>"봉화간 27L21R3R2"</f>
        <v>봉화간 27L21R3R2</v>
      </c>
      <c r="I2677" s="1" t="s">
        <v>8</v>
      </c>
      <c r="J2677" s="1" t="str">
        <f>"27/27"</f>
        <v>27/27</v>
      </c>
      <c r="K2677" s="1" t="str">
        <f>"2026-07-29 13:18:05"</f>
        <v>2026-07-29 13:18:05</v>
      </c>
      <c r="L2677" s="1" t="str">
        <f>"2018-01-11 14:09:26"</f>
        <v>2018-01-11 14:09:26</v>
      </c>
      <c r="M2677" s="1" t="s">
        <v>1</v>
      </c>
      <c r="N2677" s="1" t="s">
        <v>38</v>
      </c>
      <c r="O2677" s="1" t="s">
        <v>46</v>
      </c>
    </row>
    <row r="2678" spans="2:15" x14ac:dyDescent="0.3">
      <c r="B2678" s="1" t="s">
        <v>24</v>
      </c>
      <c r="C2678" s="1" t="str">
        <f t="shared" si="158"/>
        <v>3차</v>
      </c>
      <c r="D2678" s="1" t="str">
        <f>"0428R15239"</f>
        <v>0428R15239</v>
      </c>
      <c r="E2678" s="1" t="s">
        <v>10</v>
      </c>
      <c r="F2678" s="1" t="str">
        <f>"10.10.17.250"</f>
        <v>10.10.17.250</v>
      </c>
      <c r="G2678" s="1" t="str">
        <f>"0428R152"</f>
        <v>0428R152</v>
      </c>
      <c r="H2678" s="1" t="str">
        <f>"봉화간 27L9"</f>
        <v>봉화간 27L9</v>
      </c>
      <c r="I2678" s="1" t="s">
        <v>8</v>
      </c>
      <c r="J2678" s="1" t="str">
        <f>"31/33"</f>
        <v>31/33</v>
      </c>
      <c r="K2678" s="1" t="str">
        <f>"2026-07-29 13:18:05"</f>
        <v>2026-07-29 13:18:05</v>
      </c>
      <c r="L2678" s="1" t="str">
        <f>"2018-02-13 16:39:59"</f>
        <v>2018-02-13 16:39:59</v>
      </c>
      <c r="M2678" s="1" t="s">
        <v>1</v>
      </c>
      <c r="N2678" s="1" t="s">
        <v>38</v>
      </c>
      <c r="O2678" s="1" t="s">
        <v>46</v>
      </c>
    </row>
    <row r="2679" spans="2:15" x14ac:dyDescent="0.3">
      <c r="B2679" s="1" t="s">
        <v>24</v>
      </c>
      <c r="C2679" s="1" t="str">
        <f t="shared" si="158"/>
        <v>3차</v>
      </c>
      <c r="D2679" s="1" t="str">
        <f>"0428R19439"</f>
        <v>0428R19439</v>
      </c>
      <c r="E2679" s="1" t="s">
        <v>10</v>
      </c>
      <c r="F2679" s="1" t="str">
        <f>"10.10.17.66"</f>
        <v>10.10.17.66</v>
      </c>
      <c r="G2679" s="1" t="str">
        <f>"0428R194"</f>
        <v>0428R194</v>
      </c>
      <c r="H2679" s="1" t="str">
        <f>"봉화간 22R1"</f>
        <v>봉화간 22R1</v>
      </c>
      <c r="I2679" s="1" t="s">
        <v>8</v>
      </c>
      <c r="J2679" s="1" t="str">
        <f>"66/66"</f>
        <v>66/66</v>
      </c>
      <c r="K2679" s="1" t="str">
        <f>"2026-07-29 13:18:03"</f>
        <v>2026-07-29 13:18:03</v>
      </c>
      <c r="L2679" s="1" t="str">
        <f>"2018-03-29 11:30:26"</f>
        <v>2018-03-29 11:30:26</v>
      </c>
      <c r="M2679" s="1" t="s">
        <v>1</v>
      </c>
      <c r="N2679" s="1" t="s">
        <v>38</v>
      </c>
      <c r="O2679" s="1" t="s">
        <v>46</v>
      </c>
    </row>
    <row r="2680" spans="2:15" x14ac:dyDescent="0.3">
      <c r="B2680" s="1" t="s">
        <v>24</v>
      </c>
      <c r="C2680" s="1" t="str">
        <f t="shared" si="158"/>
        <v>3차</v>
      </c>
      <c r="D2680" s="1" t="str">
        <f>"0428R22339"</f>
        <v>0428R22339</v>
      </c>
      <c r="E2680" s="1" t="s">
        <v>10</v>
      </c>
      <c r="F2680" s="1" t="str">
        <f>"10.10.6.82"</f>
        <v>10.10.6.82</v>
      </c>
      <c r="G2680" s="1" t="str">
        <f>"0428R223"</f>
        <v>0428R223</v>
      </c>
      <c r="H2680" s="1" t="str">
        <f>"봉화간 27L5R6L4"</f>
        <v>봉화간 27L5R6L4</v>
      </c>
      <c r="I2680" s="1" t="s">
        <v>8</v>
      </c>
      <c r="J2680" s="1" t="str">
        <f>"19/19"</f>
        <v>19/19</v>
      </c>
      <c r="K2680" s="1" t="str">
        <f>"2026-07-29 13:18:03"</f>
        <v>2026-07-29 13:18:03</v>
      </c>
      <c r="L2680" s="1" t="str">
        <f>"2018-02-05 09:48:09"</f>
        <v>2018-02-05 09:48:09</v>
      </c>
      <c r="M2680" s="1" t="s">
        <v>1</v>
      </c>
      <c r="N2680" s="1" t="s">
        <v>38</v>
      </c>
      <c r="O2680" s="1" t="s">
        <v>46</v>
      </c>
    </row>
    <row r="2681" spans="2:15" x14ac:dyDescent="0.3">
      <c r="B2681" s="1" t="s">
        <v>24</v>
      </c>
      <c r="C2681" s="1" t="str">
        <f t="shared" si="158"/>
        <v>3차</v>
      </c>
      <c r="D2681" s="1" t="str">
        <f>"0428R24139"</f>
        <v>0428R24139</v>
      </c>
      <c r="E2681" s="1" t="s">
        <v>10</v>
      </c>
      <c r="F2681" s="1" t="str">
        <f>"10.10.20.130"</f>
        <v>10.10.20.130</v>
      </c>
      <c r="G2681" s="1" t="str">
        <f>"0428R241"</f>
        <v>0428R241</v>
      </c>
      <c r="H2681" s="1" t="str">
        <f>"봉화간 27L21R2R3"</f>
        <v>봉화간 27L21R2R3</v>
      </c>
      <c r="I2681" s="1" t="s">
        <v>8</v>
      </c>
      <c r="J2681" s="1" t="str">
        <f>"25/25"</f>
        <v>25/25</v>
      </c>
      <c r="K2681" s="1" t="str">
        <f>"2026-07-29 13:18:05"</f>
        <v>2026-07-29 13:18:05</v>
      </c>
      <c r="L2681" s="1" t="str">
        <f>"2018-01-11 16:43:57"</f>
        <v>2018-01-11 16:43:57</v>
      </c>
      <c r="M2681" s="1" t="s">
        <v>1</v>
      </c>
      <c r="N2681" s="1" t="s">
        <v>38</v>
      </c>
      <c r="O2681" s="1" t="s">
        <v>46</v>
      </c>
    </row>
    <row r="2682" spans="2:15" x14ac:dyDescent="0.3">
      <c r="B2682" s="1" t="s">
        <v>24</v>
      </c>
      <c r="C2682" s="1" t="str">
        <f t="shared" si="158"/>
        <v>3차</v>
      </c>
      <c r="D2682" s="1" t="str">
        <f>"0428R25239"</f>
        <v>0428R25239</v>
      </c>
      <c r="E2682" s="1" t="s">
        <v>10</v>
      </c>
      <c r="F2682" s="1" t="str">
        <f>"10.10.13.82"</f>
        <v>10.10.13.82</v>
      </c>
      <c r="G2682" s="1" t="str">
        <f>"0428R252"</f>
        <v>0428R252</v>
      </c>
      <c r="H2682" s="1" t="str">
        <f>"봉화간 22L7"</f>
        <v>봉화간 22L7</v>
      </c>
      <c r="I2682" s="1" t="s">
        <v>8</v>
      </c>
      <c r="J2682" s="1" t="str">
        <f>"19/19"</f>
        <v>19/19</v>
      </c>
      <c r="K2682" s="1" t="str">
        <f>"2026-07-29 13:18:03"</f>
        <v>2026-07-29 13:18:03</v>
      </c>
      <c r="L2682" s="1" t="str">
        <f>"2018-01-11 16:36:13"</f>
        <v>2018-01-11 16:36:13</v>
      </c>
      <c r="M2682" s="1" t="s">
        <v>1</v>
      </c>
      <c r="N2682" s="1" t="s">
        <v>38</v>
      </c>
      <c r="O2682" s="1" t="s">
        <v>46</v>
      </c>
    </row>
    <row r="2683" spans="2:15" x14ac:dyDescent="0.3">
      <c r="B2683" s="1" t="s">
        <v>24</v>
      </c>
      <c r="C2683" s="1" t="str">
        <f t="shared" si="158"/>
        <v>3차</v>
      </c>
      <c r="D2683" s="1" t="str">
        <f>"0428R25339"</f>
        <v>0428R25339</v>
      </c>
      <c r="E2683" s="1" t="s">
        <v>10</v>
      </c>
      <c r="F2683" s="1" t="str">
        <f>"10.10.14.242"</f>
        <v>10.10.14.242</v>
      </c>
      <c r="G2683" s="1" t="str">
        <f>"0428R253"</f>
        <v>0428R253</v>
      </c>
      <c r="H2683" s="1" t="str">
        <f>"봉화간 27L10"</f>
        <v>봉화간 27L10</v>
      </c>
      <c r="I2683" s="1" t="s">
        <v>8</v>
      </c>
      <c r="J2683" s="1" t="str">
        <f>"20/20"</f>
        <v>20/20</v>
      </c>
      <c r="K2683" s="1" t="str">
        <f>"2026-07-29 13:18:05"</f>
        <v>2026-07-29 13:18:05</v>
      </c>
      <c r="L2683" s="1" t="str">
        <f>"2018-01-10 14:12:26"</f>
        <v>2018-01-10 14:12:26</v>
      </c>
      <c r="M2683" s="1" t="s">
        <v>1</v>
      </c>
      <c r="N2683" s="1" t="s">
        <v>38</v>
      </c>
      <c r="O2683" s="1" t="s">
        <v>46</v>
      </c>
    </row>
    <row r="2684" spans="2:15" x14ac:dyDescent="0.3">
      <c r="B2684" s="1" t="s">
        <v>24</v>
      </c>
      <c r="C2684" s="1" t="str">
        <f t="shared" si="158"/>
        <v>3차</v>
      </c>
      <c r="D2684" s="1" t="str">
        <f>"0428R25530"</f>
        <v>0428R25530</v>
      </c>
      <c r="E2684" s="1" t="s">
        <v>10</v>
      </c>
      <c r="F2684" s="1" t="str">
        <f>"10.10.40.146"</f>
        <v>10.10.40.146</v>
      </c>
      <c r="G2684" s="1" t="str">
        <f>"0428R255"</f>
        <v>0428R255</v>
      </c>
      <c r="H2684" s="1" t="str">
        <f>"봉화간 27L11"</f>
        <v>봉화간 27L11</v>
      </c>
      <c r="I2684" s="1" t="s">
        <v>8</v>
      </c>
      <c r="J2684" s="1" t="str">
        <f>"8/8"</f>
        <v>8/8</v>
      </c>
      <c r="K2684" s="1" t="str">
        <f>"2026-07-29 13:18:05"</f>
        <v>2026-07-29 13:18:05</v>
      </c>
      <c r="L2684" s="1" t="str">
        <f>"2021-07-27 10:24:49"</f>
        <v>2021-07-27 10:24:49</v>
      </c>
      <c r="M2684" s="1" t="s">
        <v>1</v>
      </c>
      <c r="N2684" s="1" t="s">
        <v>38</v>
      </c>
      <c r="O2684" s="1" t="s">
        <v>46</v>
      </c>
    </row>
    <row r="2685" spans="2:15" x14ac:dyDescent="0.3">
      <c r="B2685" s="1" t="s">
        <v>24</v>
      </c>
      <c r="C2685" s="1" t="str">
        <f t="shared" si="158"/>
        <v>3차</v>
      </c>
      <c r="D2685" s="1" t="str">
        <f>"0428R26239"</f>
        <v>0428R26239</v>
      </c>
      <c r="E2685" s="1" t="s">
        <v>10</v>
      </c>
      <c r="F2685" s="1" t="str">
        <f>"10.10.13.90"</f>
        <v>10.10.13.90</v>
      </c>
      <c r="G2685" s="1" t="str">
        <f>"0428R262"</f>
        <v>0428R262</v>
      </c>
      <c r="H2685" s="1" t="str">
        <f>"봉화간 22L6"</f>
        <v>봉화간 22L6</v>
      </c>
      <c r="I2685" s="1" t="s">
        <v>8</v>
      </c>
      <c r="J2685" s="1" t="str">
        <f>"30/30"</f>
        <v>30/30</v>
      </c>
      <c r="K2685" s="1" t="str">
        <f>"2026-07-29 13:18:03"</f>
        <v>2026-07-29 13:18:03</v>
      </c>
      <c r="L2685" s="1" t="str">
        <f>"2018-01-11 16:29:42"</f>
        <v>2018-01-11 16:29:42</v>
      </c>
      <c r="M2685" s="1" t="s">
        <v>1</v>
      </c>
      <c r="N2685" s="1" t="s">
        <v>38</v>
      </c>
      <c r="O2685" s="1" t="s">
        <v>46</v>
      </c>
    </row>
    <row r="2686" spans="2:15" x14ac:dyDescent="0.3">
      <c r="B2686" s="1" t="s">
        <v>24</v>
      </c>
      <c r="C2686" s="1" t="str">
        <f t="shared" si="158"/>
        <v>3차</v>
      </c>
      <c r="D2686" s="1" t="str">
        <f>"0428R27239"</f>
        <v>0428R27239</v>
      </c>
      <c r="E2686" s="1" t="s">
        <v>10</v>
      </c>
      <c r="F2686" s="1" t="str">
        <f>"10.10.17.50"</f>
        <v>10.10.17.50</v>
      </c>
      <c r="G2686" s="1" t="str">
        <f>"0428R272"</f>
        <v>0428R272</v>
      </c>
      <c r="H2686" s="1" t="str">
        <f>"봉화간 22L5L2L1L1"</f>
        <v>봉화간 22L5L2L1L1</v>
      </c>
      <c r="I2686" s="1" t="s">
        <v>8</v>
      </c>
      <c r="J2686" s="1" t="str">
        <f>"60/70"</f>
        <v>60/70</v>
      </c>
      <c r="K2686" s="1" t="str">
        <f>"2026-07-29 13:18:03"</f>
        <v>2026-07-29 13:18:03</v>
      </c>
      <c r="L2686" s="1" t="str">
        <f>"2018-03-07 12:10:41"</f>
        <v>2018-03-07 12:10:41</v>
      </c>
      <c r="M2686" s="1" t="s">
        <v>1</v>
      </c>
      <c r="N2686" s="1" t="s">
        <v>38</v>
      </c>
      <c r="O2686" s="1" t="s">
        <v>46</v>
      </c>
    </row>
    <row r="2687" spans="2:15" x14ac:dyDescent="0.3">
      <c r="B2687" s="1" t="s">
        <v>24</v>
      </c>
      <c r="C2687" s="1" t="str">
        <f t="shared" si="158"/>
        <v>3차</v>
      </c>
      <c r="D2687" s="1" t="str">
        <f>"0428R27339"</f>
        <v>0428R27339</v>
      </c>
      <c r="E2687" s="1" t="s">
        <v>10</v>
      </c>
      <c r="F2687" s="1" t="str">
        <f>"10.10.17.34"</f>
        <v>10.10.17.34</v>
      </c>
      <c r="G2687" s="1" t="str">
        <f>"0428R273"</f>
        <v>0428R273</v>
      </c>
      <c r="H2687" s="1" t="str">
        <f>"봉화간 22L5H1"</f>
        <v>봉화간 22L5H1</v>
      </c>
      <c r="I2687" s="1" t="s">
        <v>8</v>
      </c>
      <c r="J2687" s="1" t="str">
        <f>"29/29"</f>
        <v>29/29</v>
      </c>
      <c r="K2687" s="1" t="str">
        <f t="shared" ref="K2687:K2692" si="159">"2026-07-29 13:18:05"</f>
        <v>2026-07-29 13:18:05</v>
      </c>
      <c r="L2687" s="1" t="str">
        <f>"2018-03-07 12:03:26"</f>
        <v>2018-03-07 12:03:26</v>
      </c>
      <c r="M2687" s="1" t="s">
        <v>1</v>
      </c>
      <c r="N2687" s="1" t="s">
        <v>38</v>
      </c>
      <c r="O2687" s="1" t="s">
        <v>46</v>
      </c>
    </row>
    <row r="2688" spans="2:15" x14ac:dyDescent="0.3">
      <c r="B2688" s="1" t="s">
        <v>24</v>
      </c>
      <c r="C2688" s="1" t="str">
        <f t="shared" si="158"/>
        <v>3차</v>
      </c>
      <c r="D2688" s="1" t="str">
        <f>"0428R29239"</f>
        <v>0428R29239</v>
      </c>
      <c r="E2688" s="1" t="s">
        <v>10</v>
      </c>
      <c r="F2688" s="1" t="str">
        <f>"10.10.17.170"</f>
        <v>10.10.17.170</v>
      </c>
      <c r="G2688" s="1" t="str">
        <f>"0428R292"</f>
        <v>0428R292</v>
      </c>
      <c r="H2688" s="1" t="str">
        <f>"봉화간 22R2"</f>
        <v>봉화간 22R2</v>
      </c>
      <c r="I2688" s="1" t="s">
        <v>8</v>
      </c>
      <c r="J2688" s="1" t="str">
        <f>"17/19"</f>
        <v>17/19</v>
      </c>
      <c r="K2688" s="1" t="str">
        <f t="shared" si="159"/>
        <v>2026-07-29 13:18:05</v>
      </c>
      <c r="L2688" s="1" t="str">
        <f>"2018-02-13 12:26:41"</f>
        <v>2018-02-13 12:26:41</v>
      </c>
      <c r="M2688" s="1" t="s">
        <v>1</v>
      </c>
      <c r="N2688" s="1" t="s">
        <v>38</v>
      </c>
      <c r="O2688" s="1" t="s">
        <v>46</v>
      </c>
    </row>
    <row r="2689" spans="2:15" x14ac:dyDescent="0.3">
      <c r="B2689" s="1" t="s">
        <v>24</v>
      </c>
      <c r="C2689" s="1" t="str">
        <f t="shared" si="158"/>
        <v>3차</v>
      </c>
      <c r="D2689" s="1" t="str">
        <f>"0428R33139"</f>
        <v>0428R33139</v>
      </c>
      <c r="E2689" s="1" t="s">
        <v>10</v>
      </c>
      <c r="F2689" s="1" t="str">
        <f>"10.10.20.178"</f>
        <v>10.10.20.178</v>
      </c>
      <c r="G2689" s="1" t="str">
        <f>"0428R331"</f>
        <v>0428R331</v>
      </c>
      <c r="H2689" s="1" t="str">
        <f>"봉화간 27L21R2"</f>
        <v>봉화간 27L21R2</v>
      </c>
      <c r="I2689" s="1" t="s">
        <v>8</v>
      </c>
      <c r="J2689" s="1" t="str">
        <f>"43/43"</f>
        <v>43/43</v>
      </c>
      <c r="K2689" s="1" t="str">
        <f t="shared" si="159"/>
        <v>2026-07-29 13:18:05</v>
      </c>
      <c r="L2689" s="1" t="str">
        <f>"2018-01-11 14:06:56"</f>
        <v>2018-01-11 14:06:56</v>
      </c>
      <c r="M2689" s="1" t="s">
        <v>1</v>
      </c>
      <c r="N2689" s="1" t="s">
        <v>38</v>
      </c>
      <c r="O2689" s="1" t="s">
        <v>46</v>
      </c>
    </row>
    <row r="2690" spans="2:15" x14ac:dyDescent="0.3">
      <c r="B2690" s="1" t="s">
        <v>24</v>
      </c>
      <c r="C2690" s="1" t="str">
        <f t="shared" si="158"/>
        <v>3차</v>
      </c>
      <c r="D2690" s="1" t="str">
        <f>"0428R33239"</f>
        <v>0428R33239</v>
      </c>
      <c r="E2690" s="1" t="s">
        <v>10</v>
      </c>
      <c r="F2690" s="1" t="str">
        <f>"10.10.20.170"</f>
        <v>10.10.20.170</v>
      </c>
      <c r="G2690" s="1" t="str">
        <f>"0428R332"</f>
        <v>0428R332</v>
      </c>
      <c r="H2690" s="1" t="str">
        <f>"봉화간 27L21R2R1"</f>
        <v>봉화간 27L21R2R1</v>
      </c>
      <c r="I2690" s="1" t="s">
        <v>8</v>
      </c>
      <c r="J2690" s="1" t="str">
        <f>"42/42"</f>
        <v>42/42</v>
      </c>
      <c r="K2690" s="1" t="str">
        <f t="shared" si="159"/>
        <v>2026-07-29 13:18:05</v>
      </c>
      <c r="L2690" s="1" t="str">
        <f>"2018-01-11 16:32:43"</f>
        <v>2018-01-11 16:32:43</v>
      </c>
      <c r="M2690" s="1" t="s">
        <v>1</v>
      </c>
      <c r="N2690" s="1" t="s">
        <v>38</v>
      </c>
      <c r="O2690" s="1" t="s">
        <v>46</v>
      </c>
    </row>
    <row r="2691" spans="2:15" x14ac:dyDescent="0.3">
      <c r="B2691" s="1" t="s">
        <v>24</v>
      </c>
      <c r="C2691" s="1" t="str">
        <f t="shared" si="158"/>
        <v>3차</v>
      </c>
      <c r="D2691" s="1" t="str">
        <f>"0428R34239"</f>
        <v>0428R34239</v>
      </c>
      <c r="E2691" s="1" t="s">
        <v>10</v>
      </c>
      <c r="F2691" s="1" t="str">
        <f>"10.10.20.162"</f>
        <v>10.10.20.162</v>
      </c>
      <c r="G2691" s="1" t="str">
        <f>"0428R342"</f>
        <v>0428R342</v>
      </c>
      <c r="H2691" s="1" t="str">
        <f>"봉화간 27L21R2R2"</f>
        <v>봉화간 27L21R2R2</v>
      </c>
      <c r="I2691" s="1" t="s">
        <v>8</v>
      </c>
      <c r="J2691" s="1" t="str">
        <f>"45/45"</f>
        <v>45/45</v>
      </c>
      <c r="K2691" s="1" t="str">
        <f t="shared" si="159"/>
        <v>2026-07-29 13:18:05</v>
      </c>
      <c r="L2691" s="1" t="str">
        <f>"2018-01-11 16:31:27"</f>
        <v>2018-01-11 16:31:27</v>
      </c>
      <c r="M2691" s="1" t="s">
        <v>1</v>
      </c>
      <c r="N2691" s="1" t="s">
        <v>38</v>
      </c>
      <c r="O2691" s="1" t="s">
        <v>46</v>
      </c>
    </row>
    <row r="2692" spans="2:15" x14ac:dyDescent="0.3">
      <c r="B2692" s="1" t="s">
        <v>24</v>
      </c>
      <c r="C2692" s="1" t="str">
        <f t="shared" si="158"/>
        <v>3차</v>
      </c>
      <c r="D2692" s="1" t="str">
        <f>"0428R35131"</f>
        <v>0428R35131</v>
      </c>
      <c r="E2692" s="1" t="s">
        <v>10</v>
      </c>
      <c r="F2692" s="1" t="str">
        <f>"10.10.40.147"</f>
        <v>10.10.40.147</v>
      </c>
      <c r="G2692" s="1" t="str">
        <f>"0428R351"</f>
        <v>0428R351</v>
      </c>
      <c r="H2692" s="1" t="str">
        <f>"봉화간 27L12"</f>
        <v>봉화간 27L12</v>
      </c>
      <c r="I2692" s="1" t="s">
        <v>8</v>
      </c>
      <c r="J2692" s="1" t="str">
        <f>"12/12"</f>
        <v>12/12</v>
      </c>
      <c r="K2692" s="1" t="str">
        <f t="shared" si="159"/>
        <v>2026-07-29 13:18:05</v>
      </c>
      <c r="L2692" s="1" t="str">
        <f>"2018-03-15 17:59:14"</f>
        <v>2018-03-15 17:59:14</v>
      </c>
      <c r="M2692" s="1" t="s">
        <v>1</v>
      </c>
      <c r="N2692" s="1" t="s">
        <v>38</v>
      </c>
      <c r="O2692" s="1" t="s">
        <v>46</v>
      </c>
    </row>
    <row r="2693" spans="2:15" x14ac:dyDescent="0.3">
      <c r="B2693" s="1" t="s">
        <v>24</v>
      </c>
      <c r="C2693" s="1" t="str">
        <f t="shared" si="158"/>
        <v>3차</v>
      </c>
      <c r="D2693" s="1" t="str">
        <f>"0428R38239"</f>
        <v>0428R38239</v>
      </c>
      <c r="E2693" s="1" t="s">
        <v>10</v>
      </c>
      <c r="F2693" s="1" t="str">
        <f>"10.10.16.250"</f>
        <v>10.10.16.250</v>
      </c>
      <c r="G2693" s="1" t="str">
        <f>"0428R382"</f>
        <v>0428R382</v>
      </c>
      <c r="H2693" s="1" t="str">
        <f>"봉화간 20L1"</f>
        <v>봉화간 20L1</v>
      </c>
      <c r="I2693" s="1" t="s">
        <v>8</v>
      </c>
      <c r="J2693" s="1" t="str">
        <f>"70/71"</f>
        <v>70/71</v>
      </c>
      <c r="K2693" s="1" t="str">
        <f>"2026-07-29 13:18:03"</f>
        <v>2026-07-29 13:18:03</v>
      </c>
      <c r="L2693" s="1" t="str">
        <f>"2018-01-30 14:11:41"</f>
        <v>2018-01-30 14:11:41</v>
      </c>
      <c r="M2693" s="1" t="s">
        <v>1</v>
      </c>
      <c r="N2693" s="1" t="s">
        <v>38</v>
      </c>
      <c r="O2693" s="1" t="s">
        <v>46</v>
      </c>
    </row>
    <row r="2694" spans="2:15" x14ac:dyDescent="0.3">
      <c r="B2694" s="1" t="s">
        <v>24</v>
      </c>
      <c r="C2694" s="1" t="str">
        <f t="shared" si="158"/>
        <v>3차</v>
      </c>
      <c r="D2694" s="1" t="str">
        <f>"0428R42239"</f>
        <v>0428R42239</v>
      </c>
      <c r="E2694" s="1" t="s">
        <v>10</v>
      </c>
      <c r="F2694" s="1" t="str">
        <f>"10.10.17.218"</f>
        <v>10.10.17.218</v>
      </c>
      <c r="G2694" s="1" t="str">
        <f>"0428R422"</f>
        <v>0428R422</v>
      </c>
      <c r="H2694" s="1" t="str">
        <f>"봉화간 27L21D1"</f>
        <v>봉화간 27L21D1</v>
      </c>
      <c r="I2694" s="1" t="s">
        <v>8</v>
      </c>
      <c r="J2694" s="1" t="str">
        <f>"73/74"</f>
        <v>73/74</v>
      </c>
      <c r="K2694" s="1" t="str">
        <f>"2026-07-29 13:18:05"</f>
        <v>2026-07-29 13:18:05</v>
      </c>
      <c r="L2694" s="1" t="str">
        <f>"2018-02-13 14:50:49"</f>
        <v>2018-02-13 14:50:49</v>
      </c>
      <c r="M2694" s="1" t="s">
        <v>1</v>
      </c>
      <c r="N2694" s="1" t="s">
        <v>38</v>
      </c>
      <c r="O2694" s="1" t="s">
        <v>46</v>
      </c>
    </row>
    <row r="2695" spans="2:15" x14ac:dyDescent="0.3">
      <c r="B2695" s="1" t="s">
        <v>24</v>
      </c>
      <c r="C2695" s="1" t="str">
        <f>"5-2차"</f>
        <v>5-2차</v>
      </c>
      <c r="D2695" s="1" t="str">
        <f>"0428R4315M"</f>
        <v>0428R4315M</v>
      </c>
      <c r="E2695" s="1" t="s">
        <v>10</v>
      </c>
      <c r="F2695" s="1" t="str">
        <f>"fde3:102:1430:7100:0:0:0:4"</f>
        <v>fde3:102:1430:7100:0:0:0:4</v>
      </c>
      <c r="G2695" s="1" t="str">
        <f>"0428R431"</f>
        <v>0428R431</v>
      </c>
      <c r="H2695" s="1" t="str">
        <f>"봉화간 27L21"</f>
        <v>봉화간 27L21</v>
      </c>
      <c r="I2695" s="1" t="s">
        <v>15</v>
      </c>
      <c r="J2695" s="1" t="str">
        <f>"64/73"</f>
        <v>64/73</v>
      </c>
      <c r="K2695" s="1" t="str">
        <f>"2026-07-29 14:21:04"</f>
        <v>2026-07-29 14:21:04</v>
      </c>
      <c r="L2695" s="1" t="str">
        <f>"2024-01-08 09:50:57"</f>
        <v>2024-01-08 09:50:57</v>
      </c>
      <c r="M2695" s="1" t="s">
        <v>45</v>
      </c>
      <c r="N2695" s="1" t="s">
        <v>38</v>
      </c>
      <c r="O2695" s="1" t="s">
        <v>46</v>
      </c>
    </row>
    <row r="2696" spans="2:15" x14ac:dyDescent="0.3">
      <c r="B2696" s="1" t="s">
        <v>24</v>
      </c>
      <c r="C2696" s="1" t="str">
        <f>"4차"</f>
        <v>4차</v>
      </c>
      <c r="D2696" s="1" t="str">
        <f>"0428R44139"</f>
        <v>0428R44139</v>
      </c>
      <c r="E2696" s="1" t="s">
        <v>10</v>
      </c>
      <c r="F2696" s="1" t="str">
        <f>"10.89.247.167"</f>
        <v>10.89.247.167</v>
      </c>
      <c r="G2696" s="1" t="str">
        <f>"0428R441"</f>
        <v>0428R441</v>
      </c>
      <c r="H2696" s="1" t="str">
        <f>"봉화간 27L19"</f>
        <v>봉화간 27L19</v>
      </c>
      <c r="I2696" s="1" t="s">
        <v>17</v>
      </c>
      <c r="J2696" s="1" t="str">
        <f>"38/38"</f>
        <v>38/38</v>
      </c>
      <c r="K2696" s="1" t="str">
        <f>"2026-07-29 13:18:03"</f>
        <v>2026-07-29 13:18:03</v>
      </c>
      <c r="L2696" s="1" t="str">
        <f>"2020-11-24 15:22:04"</f>
        <v>2020-11-24 15:22:04</v>
      </c>
      <c r="M2696" s="1" t="s">
        <v>45</v>
      </c>
      <c r="N2696" s="1" t="s">
        <v>38</v>
      </c>
      <c r="O2696" s="1" t="s">
        <v>46</v>
      </c>
    </row>
    <row r="2697" spans="2:15" x14ac:dyDescent="0.3">
      <c r="B2697" s="1" t="s">
        <v>24</v>
      </c>
      <c r="C2697" s="1" t="str">
        <f>"4차"</f>
        <v>4차</v>
      </c>
      <c r="D2697" s="1" t="str">
        <f>"0428R46239"</f>
        <v>0428R46239</v>
      </c>
      <c r="E2697" s="1" t="s">
        <v>10</v>
      </c>
      <c r="F2697" s="1" t="str">
        <f>"10.89.247.165"</f>
        <v>10.89.247.165</v>
      </c>
      <c r="G2697" s="1" t="str">
        <f>"0428R462"</f>
        <v>0428R462</v>
      </c>
      <c r="H2697" s="1" t="str">
        <f>"봉화간 27L15A1"</f>
        <v>봉화간 27L15A1</v>
      </c>
      <c r="I2697" s="1" t="s">
        <v>8</v>
      </c>
      <c r="J2697" s="1" t="str">
        <f>"20/20"</f>
        <v>20/20</v>
      </c>
      <c r="K2697" s="1" t="str">
        <f>"2026-07-29 13:18:03"</f>
        <v>2026-07-29 13:18:03</v>
      </c>
      <c r="L2697" s="1" t="str">
        <f>"2018-03-27 09:34:27"</f>
        <v>2018-03-27 09:34:27</v>
      </c>
      <c r="M2697" s="1" t="s">
        <v>45</v>
      </c>
      <c r="N2697" s="1" t="s">
        <v>38</v>
      </c>
      <c r="O2697" s="1" t="s">
        <v>46</v>
      </c>
    </row>
    <row r="2698" spans="2:15" x14ac:dyDescent="0.3">
      <c r="B2698" s="1" t="s">
        <v>24</v>
      </c>
      <c r="C2698" s="1" t="str">
        <f>"6차"</f>
        <v>6차</v>
      </c>
      <c r="D2698" s="1" t="str">
        <f>"0428R4636S"</f>
        <v>0428R4636S</v>
      </c>
      <c r="E2698" s="1" t="s">
        <v>10</v>
      </c>
      <c r="F2698" s="1" t="str">
        <f>"fde3:102:1430:9700:0:0:0:9"</f>
        <v>fde3:102:1430:9700:0:0:0:9</v>
      </c>
      <c r="G2698" s="1" t="str">
        <f>"0428R463"</f>
        <v>0428R463</v>
      </c>
      <c r="H2698" s="1" t="str">
        <f>"봉화간 27L14"</f>
        <v>봉화간 27L14</v>
      </c>
      <c r="I2698" s="1" t="s">
        <v>15</v>
      </c>
      <c r="J2698" s="1" t="str">
        <f>"68/68"</f>
        <v>68/68</v>
      </c>
      <c r="K2698" s="1" t="str">
        <f>"2026-07-29 14:21:03"</f>
        <v>2026-07-29 14:21:03</v>
      </c>
      <c r="L2698" s="1" t="str">
        <f>"2024-09-26 10:18:41"</f>
        <v>2024-09-26 10:18:41</v>
      </c>
      <c r="M2698" s="1" t="s">
        <v>45</v>
      </c>
      <c r="N2698" s="1" t="s">
        <v>38</v>
      </c>
      <c r="O2698" s="1" t="s">
        <v>46</v>
      </c>
    </row>
    <row r="2699" spans="2:15" x14ac:dyDescent="0.3">
      <c r="B2699" s="1" t="s">
        <v>24</v>
      </c>
      <c r="C2699" s="1" t="str">
        <f>"3차"</f>
        <v>3차</v>
      </c>
      <c r="D2699" s="1" t="str">
        <f>"0428R47239"</f>
        <v>0428R47239</v>
      </c>
      <c r="E2699" s="1" t="s">
        <v>10</v>
      </c>
      <c r="F2699" s="1" t="str">
        <f>"10.10.13.122"</f>
        <v>10.10.13.122</v>
      </c>
      <c r="G2699" s="1" t="str">
        <f>"0428R472"</f>
        <v>0428R472</v>
      </c>
      <c r="H2699" s="1" t="str">
        <f>"봉화간 22L5L3"</f>
        <v>봉화간 22L5L3</v>
      </c>
      <c r="I2699" s="1" t="s">
        <v>8</v>
      </c>
      <c r="J2699" s="1" t="str">
        <f>"101/101"</f>
        <v>101/101</v>
      </c>
      <c r="K2699" s="1" t="str">
        <f>"2026-07-29 13:18:05"</f>
        <v>2026-07-29 13:18:05</v>
      </c>
      <c r="L2699" s="1" t="str">
        <f>"2018-01-12 09:57:54"</f>
        <v>2018-01-12 09:57:54</v>
      </c>
      <c r="M2699" s="1" t="s">
        <v>1</v>
      </c>
      <c r="N2699" s="1" t="s">
        <v>38</v>
      </c>
      <c r="O2699" s="1" t="s">
        <v>46</v>
      </c>
    </row>
    <row r="2700" spans="2:15" x14ac:dyDescent="0.3">
      <c r="B2700" s="1" t="s">
        <v>24</v>
      </c>
      <c r="C2700" s="1" t="str">
        <f>"3차"</f>
        <v>3차</v>
      </c>
      <c r="D2700" s="1" t="str">
        <f>"0428R48139"</f>
        <v>0428R48139</v>
      </c>
      <c r="E2700" s="1" t="s">
        <v>10</v>
      </c>
      <c r="F2700" s="1" t="str">
        <f>"10.14.15.122"</f>
        <v>10.14.15.122</v>
      </c>
      <c r="G2700" s="1" t="str">
        <f>"0428R481"</f>
        <v>0428R481</v>
      </c>
      <c r="H2700" s="1" t="str">
        <f>"봉화간 22L5L4"</f>
        <v>봉화간 22L5L4</v>
      </c>
      <c r="I2700" s="1" t="s">
        <v>8</v>
      </c>
      <c r="J2700" s="1" t="str">
        <f>"38/51"</f>
        <v>38/51</v>
      </c>
      <c r="K2700" s="1" t="str">
        <f>"2026-07-29 13:18:04"</f>
        <v>2026-07-29 13:18:04</v>
      </c>
      <c r="L2700" s="1" t="str">
        <f>"2018-03-24 11:06:26"</f>
        <v>2018-03-24 11:06:26</v>
      </c>
      <c r="M2700" s="1" t="s">
        <v>3</v>
      </c>
      <c r="N2700" s="1" t="s">
        <v>38</v>
      </c>
      <c r="O2700" s="1" t="s">
        <v>46</v>
      </c>
    </row>
    <row r="2701" spans="2:15" x14ac:dyDescent="0.3">
      <c r="B2701" s="1" t="s">
        <v>24</v>
      </c>
      <c r="C2701" s="1" t="str">
        <f>"3차"</f>
        <v>3차</v>
      </c>
      <c r="D2701" s="1" t="str">
        <f>"0428R49131"</f>
        <v>0428R49131</v>
      </c>
      <c r="E2701" s="1" t="s">
        <v>10</v>
      </c>
      <c r="F2701" s="1" t="str">
        <f>"10.10.13.251"</f>
        <v>10.10.13.251</v>
      </c>
      <c r="G2701" s="1" t="str">
        <f>"0428R491"</f>
        <v>0428R491</v>
      </c>
      <c r="H2701" s="1" t="str">
        <f>"봉화간 19"</f>
        <v>봉화간 19</v>
      </c>
      <c r="I2701" s="1" t="s">
        <v>8</v>
      </c>
      <c r="J2701" s="1" t="str">
        <f>"55/57"</f>
        <v>55/57</v>
      </c>
      <c r="K2701" s="1" t="str">
        <f>"2026-07-29 13:18:03"</f>
        <v>2026-07-29 13:18:03</v>
      </c>
      <c r="L2701" s="1" t="str">
        <f>"2018-02-07 14:33:57"</f>
        <v>2018-02-07 14:33:57</v>
      </c>
      <c r="M2701" s="1" t="s">
        <v>1</v>
      </c>
      <c r="N2701" s="1" t="s">
        <v>38</v>
      </c>
      <c r="O2701" s="1" t="s">
        <v>46</v>
      </c>
    </row>
    <row r="2702" spans="2:15" x14ac:dyDescent="0.3">
      <c r="B2702" s="1" t="s">
        <v>24</v>
      </c>
      <c r="C2702" s="1" t="str">
        <f>"3차"</f>
        <v>3차</v>
      </c>
      <c r="D2702" s="1" t="str">
        <f>"0428R49330"</f>
        <v>0428R49330</v>
      </c>
      <c r="E2702" s="1" t="s">
        <v>10</v>
      </c>
      <c r="F2702" s="1" t="str">
        <f>"10.10.13.250"</f>
        <v>10.10.13.250</v>
      </c>
      <c r="G2702" s="1" t="str">
        <f>"0428R493"</f>
        <v>0428R493</v>
      </c>
      <c r="H2702" s="1" t="str">
        <f>"봉화간 18"</f>
        <v>봉화간 18</v>
      </c>
      <c r="I2702" s="1" t="s">
        <v>8</v>
      </c>
      <c r="J2702" s="1" t="str">
        <f>"19/19"</f>
        <v>19/19</v>
      </c>
      <c r="K2702" s="1" t="str">
        <f>"2026-07-29 13:18:03"</f>
        <v>2026-07-29 13:18:03</v>
      </c>
      <c r="L2702" s="1" t="str">
        <f>"2018-01-09 13:40:58"</f>
        <v>2018-01-09 13:40:58</v>
      </c>
      <c r="M2702" s="1" t="s">
        <v>1</v>
      </c>
      <c r="N2702" s="1" t="s">
        <v>38</v>
      </c>
      <c r="O2702" s="1" t="s">
        <v>46</v>
      </c>
    </row>
    <row r="2703" spans="2:15" x14ac:dyDescent="0.3">
      <c r="B2703" s="1" t="s">
        <v>24</v>
      </c>
      <c r="C2703" s="1" t="str">
        <f>"3차"</f>
        <v>3차</v>
      </c>
      <c r="D2703" s="1" t="str">
        <f>"0428R52239"</f>
        <v>0428R52239</v>
      </c>
      <c r="E2703" s="1" t="s">
        <v>10</v>
      </c>
      <c r="F2703" s="1" t="str">
        <f>"10.10.17.242"</f>
        <v>10.10.17.242</v>
      </c>
      <c r="G2703" s="1" t="str">
        <f>"0428R522"</f>
        <v>0428R522</v>
      </c>
      <c r="H2703" s="1" t="str">
        <f>"봉화간 27L23"</f>
        <v>봉화간 27L23</v>
      </c>
      <c r="I2703" s="1" t="s">
        <v>8</v>
      </c>
      <c r="J2703" s="1" t="str">
        <f>"31/31"</f>
        <v>31/31</v>
      </c>
      <c r="K2703" s="1" t="str">
        <f>"2026-07-29 13:18:03"</f>
        <v>2026-07-29 13:18:03</v>
      </c>
      <c r="L2703" s="1" t="str">
        <f>"2018-02-13 15:33:14"</f>
        <v>2018-02-13 15:33:14</v>
      </c>
      <c r="M2703" s="1" t="s">
        <v>1</v>
      </c>
      <c r="N2703" s="1" t="s">
        <v>38</v>
      </c>
      <c r="O2703" s="1" t="s">
        <v>46</v>
      </c>
    </row>
    <row r="2704" spans="2:15" x14ac:dyDescent="0.3">
      <c r="B2704" s="1" t="s">
        <v>24</v>
      </c>
      <c r="C2704" s="1" t="str">
        <f>"5-2차"</f>
        <v>5-2차</v>
      </c>
      <c r="D2704" s="1" t="str">
        <f>"0428R5525M"</f>
        <v>0428R5525M</v>
      </c>
      <c r="E2704" s="1" t="s">
        <v>10</v>
      </c>
      <c r="F2704" s="1" t="str">
        <f>"fde3:102:1430:9700:0:0:0:2"</f>
        <v>fde3:102:1430:9700:0:0:0:2</v>
      </c>
      <c r="G2704" s="1" t="str">
        <f>"0428R552"</f>
        <v>0428R552</v>
      </c>
      <c r="H2704" s="1" t="str">
        <f>"봉화간 27L16L1"</f>
        <v>봉화간 27L16L1</v>
      </c>
      <c r="I2704" s="1" t="s">
        <v>15</v>
      </c>
      <c r="J2704" s="1" t="str">
        <f>"34/34"</f>
        <v>34/34</v>
      </c>
      <c r="K2704" s="1" t="str">
        <f>"2026-07-29 14:21:05"</f>
        <v>2026-07-29 14:21:05</v>
      </c>
      <c r="L2704" s="1" t="str">
        <f>"2024-01-08 11:08:13"</f>
        <v>2024-01-08 11:08:13</v>
      </c>
      <c r="M2704" s="1" t="s">
        <v>45</v>
      </c>
      <c r="N2704" s="1" t="s">
        <v>38</v>
      </c>
      <c r="O2704" s="1" t="s">
        <v>46</v>
      </c>
    </row>
    <row r="2705" spans="2:15" x14ac:dyDescent="0.3">
      <c r="B2705" s="1" t="s">
        <v>24</v>
      </c>
      <c r="C2705" s="1" t="str">
        <f>"3차"</f>
        <v>3차</v>
      </c>
      <c r="D2705" s="1" t="str">
        <f>"0428R56130"</f>
        <v>0428R56130</v>
      </c>
      <c r="E2705" s="1" t="s">
        <v>10</v>
      </c>
      <c r="F2705" s="1" t="str">
        <f>"10.10.14.234"</f>
        <v>10.10.14.234</v>
      </c>
      <c r="G2705" s="1" t="str">
        <f>"0428R561"</f>
        <v>0428R561</v>
      </c>
      <c r="H2705" s="1" t="str">
        <f>"봉화간 27L15L1"</f>
        <v>봉화간 27L15L1</v>
      </c>
      <c r="I2705" s="1" t="s">
        <v>8</v>
      </c>
      <c r="J2705" s="1" t="str">
        <f>"29/29"</f>
        <v>29/29</v>
      </c>
      <c r="K2705" s="1" t="str">
        <f>"2026-07-29 13:18:03"</f>
        <v>2026-07-29 13:18:03</v>
      </c>
      <c r="L2705" s="1" t="str">
        <f>"2018-01-10 14:35:56"</f>
        <v>2018-01-10 14:35:56</v>
      </c>
      <c r="M2705" s="1" t="s">
        <v>1</v>
      </c>
      <c r="N2705" s="1" t="s">
        <v>38</v>
      </c>
      <c r="O2705" s="1" t="s">
        <v>46</v>
      </c>
    </row>
    <row r="2706" spans="2:15" x14ac:dyDescent="0.3">
      <c r="B2706" s="1" t="s">
        <v>24</v>
      </c>
      <c r="C2706" s="1" t="str">
        <f>"3차"</f>
        <v>3차</v>
      </c>
      <c r="D2706" s="1" t="str">
        <f>"0428R59130"</f>
        <v>0428R59130</v>
      </c>
      <c r="E2706" s="1" t="s">
        <v>10</v>
      </c>
      <c r="F2706" s="1" t="str">
        <f>"10.10.12.250"</f>
        <v>10.10.12.250</v>
      </c>
      <c r="G2706" s="1" t="str">
        <f>"0428R591"</f>
        <v>0428R591</v>
      </c>
      <c r="H2706" s="1" t="str">
        <f>"봉화간 16"</f>
        <v>봉화간 16</v>
      </c>
      <c r="I2706" s="1" t="s">
        <v>8</v>
      </c>
      <c r="J2706" s="1" t="str">
        <f>"96/97"</f>
        <v>96/97</v>
      </c>
      <c r="K2706" s="1" t="str">
        <f>"2026-07-29 13:18:03"</f>
        <v>2026-07-29 13:18:03</v>
      </c>
      <c r="L2706" s="1" t="str">
        <f>"2018-05-11 17:19:38"</f>
        <v>2018-05-11 17:19:38</v>
      </c>
      <c r="M2706" s="1" t="s">
        <v>1</v>
      </c>
      <c r="N2706" s="1" t="s">
        <v>38</v>
      </c>
      <c r="O2706" s="1" t="s">
        <v>46</v>
      </c>
    </row>
    <row r="2707" spans="2:15" x14ac:dyDescent="0.3">
      <c r="B2707" s="1" t="s">
        <v>24</v>
      </c>
      <c r="C2707" s="1" t="str">
        <f>"3차"</f>
        <v>3차</v>
      </c>
      <c r="D2707" s="1" t="str">
        <f>"0428R59439"</f>
        <v>0428R59439</v>
      </c>
      <c r="E2707" s="1" t="s">
        <v>10</v>
      </c>
      <c r="F2707" s="1" t="str">
        <f>"10.10.14.122"</f>
        <v>10.10.14.122</v>
      </c>
      <c r="G2707" s="1" t="str">
        <f>"0428R594"</f>
        <v>0428R594</v>
      </c>
      <c r="H2707" s="1" t="str">
        <f>"봉화간 17"</f>
        <v>봉화간 17</v>
      </c>
      <c r="I2707" s="1" t="s">
        <v>8</v>
      </c>
      <c r="J2707" s="1" t="str">
        <f>"10/10"</f>
        <v>10/10</v>
      </c>
      <c r="K2707" s="1" t="str">
        <f>"2026-07-29 13:18:03"</f>
        <v>2026-07-29 13:18:03</v>
      </c>
      <c r="L2707" s="1" t="str">
        <f>"2018-01-09 13:41:57"</f>
        <v>2018-01-09 13:41:57</v>
      </c>
      <c r="M2707" s="1" t="s">
        <v>1</v>
      </c>
      <c r="N2707" s="1" t="s">
        <v>38</v>
      </c>
      <c r="O2707" s="1" t="s">
        <v>46</v>
      </c>
    </row>
    <row r="2708" spans="2:15" x14ac:dyDescent="0.3">
      <c r="B2708" s="1" t="s">
        <v>24</v>
      </c>
      <c r="C2708" s="1" t="str">
        <f>"3차"</f>
        <v>3차</v>
      </c>
      <c r="D2708" s="1" t="str">
        <f>"0428R63339"</f>
        <v>0428R63339</v>
      </c>
      <c r="E2708" s="1" t="s">
        <v>10</v>
      </c>
      <c r="F2708" s="1" t="str">
        <f>"10.10.20.66"</f>
        <v>10.10.20.66</v>
      </c>
      <c r="G2708" s="1" t="str">
        <f>"0428R633"</f>
        <v>0428R633</v>
      </c>
      <c r="H2708" s="1" t="str">
        <f>"봉화간 27L22L3"</f>
        <v>봉화간 27L22L3</v>
      </c>
      <c r="I2708" s="1" t="s">
        <v>8</v>
      </c>
      <c r="J2708" s="1" t="str">
        <f>"47/49"</f>
        <v>47/49</v>
      </c>
      <c r="K2708" s="1" t="str">
        <f>"2026-07-29 13:18:03"</f>
        <v>2026-07-29 13:18:03</v>
      </c>
      <c r="L2708" s="1" t="str">
        <f>"2018-01-11 16:42:58"</f>
        <v>2018-01-11 16:42:58</v>
      </c>
      <c r="M2708" s="1" t="s">
        <v>1</v>
      </c>
      <c r="N2708" s="1" t="s">
        <v>38</v>
      </c>
      <c r="O2708" s="1" t="s">
        <v>46</v>
      </c>
    </row>
    <row r="2709" spans="2:15" x14ac:dyDescent="0.3">
      <c r="B2709" s="1" t="s">
        <v>24</v>
      </c>
      <c r="C2709" s="1" t="str">
        <f>"4차"</f>
        <v>4차</v>
      </c>
      <c r="D2709" s="1" t="str">
        <f>"0428R64439"</f>
        <v>0428R64439</v>
      </c>
      <c r="E2709" s="1" t="s">
        <v>10</v>
      </c>
      <c r="F2709" s="1" t="str">
        <f>"10.89.247.166"</f>
        <v>10.89.247.166</v>
      </c>
      <c r="G2709" s="1" t="str">
        <f>"0428R644"</f>
        <v>0428R644</v>
      </c>
      <c r="H2709" s="1" t="str">
        <f>"봉화간 27L16L3R2"</f>
        <v>봉화간 27L16L3R2</v>
      </c>
      <c r="I2709" s="1" t="s">
        <v>17</v>
      </c>
      <c r="J2709" s="1" t="str">
        <f>"61/66"</f>
        <v>61/66</v>
      </c>
      <c r="K2709" s="1" t="str">
        <f>"2026-07-29 13:18:03"</f>
        <v>2026-07-29 13:18:03</v>
      </c>
      <c r="L2709" s="1" t="str">
        <f>"2020-11-24 13:42:00"</f>
        <v>2020-11-24 13:42:00</v>
      </c>
      <c r="M2709" s="1" t="s">
        <v>45</v>
      </c>
      <c r="N2709" s="1" t="s">
        <v>38</v>
      </c>
      <c r="O2709" s="1" t="s">
        <v>46</v>
      </c>
    </row>
    <row r="2710" spans="2:15" x14ac:dyDescent="0.3">
      <c r="B2710" s="1" t="s">
        <v>24</v>
      </c>
      <c r="C2710" s="1" t="str">
        <f>"4차"</f>
        <v>4차</v>
      </c>
      <c r="D2710" s="1" t="str">
        <f>"0428R67131"</f>
        <v>0428R67131</v>
      </c>
      <c r="E2710" s="1" t="s">
        <v>10</v>
      </c>
      <c r="F2710" s="1" t="str">
        <f>"10.10.14.235"</f>
        <v>10.10.14.235</v>
      </c>
      <c r="G2710" s="1" t="str">
        <f>"0428R671"</f>
        <v>0428R671</v>
      </c>
      <c r="H2710" s="1" t="str">
        <f>"봉화간 27L15L2"</f>
        <v>봉화간 27L15L2</v>
      </c>
      <c r="I2710" s="1" t="s">
        <v>8</v>
      </c>
      <c r="J2710" s="1" t="str">
        <f>"75/76"</f>
        <v>75/76</v>
      </c>
      <c r="K2710" s="1" t="str">
        <f>"2026-07-29 13:18:04"</f>
        <v>2026-07-29 13:18:04</v>
      </c>
      <c r="L2710" s="1" t="str">
        <f>"2018-01-23 16:24:17"</f>
        <v>2018-01-23 16:24:17</v>
      </c>
      <c r="M2710" s="1" t="s">
        <v>1</v>
      </c>
      <c r="N2710" s="1" t="s">
        <v>38</v>
      </c>
      <c r="O2710" s="1" t="s">
        <v>46</v>
      </c>
    </row>
    <row r="2711" spans="2:15" x14ac:dyDescent="0.3">
      <c r="B2711" s="1" t="s">
        <v>24</v>
      </c>
      <c r="C2711" s="1" t="str">
        <f>"3차"</f>
        <v>3차</v>
      </c>
      <c r="D2711" s="1" t="str">
        <f>"0428R67239"</f>
        <v>0428R67239</v>
      </c>
      <c r="E2711" s="1" t="s">
        <v>10</v>
      </c>
      <c r="F2711" s="1" t="str">
        <f>"10.10.14.226"</f>
        <v>10.10.14.226</v>
      </c>
      <c r="G2711" s="1" t="str">
        <f>"0428R672"</f>
        <v>0428R672</v>
      </c>
      <c r="H2711" s="1" t="str">
        <f>"봉화간 27L15L3"</f>
        <v>봉화간 27L15L3</v>
      </c>
      <c r="I2711" s="1" t="s">
        <v>8</v>
      </c>
      <c r="J2711" s="1" t="str">
        <f>"73/76"</f>
        <v>73/76</v>
      </c>
      <c r="K2711" s="1" t="str">
        <f>"2026-07-29 13:18:02"</f>
        <v>2026-07-29 13:18:02</v>
      </c>
      <c r="L2711" s="1" t="str">
        <f>"2018-01-12 09:57:08"</f>
        <v>2018-01-12 09:57:08</v>
      </c>
      <c r="M2711" s="1" t="s">
        <v>1</v>
      </c>
      <c r="N2711" s="1" t="s">
        <v>38</v>
      </c>
      <c r="O2711" s="1" t="s">
        <v>46</v>
      </c>
    </row>
    <row r="2712" spans="2:15" x14ac:dyDescent="0.3">
      <c r="B2712" s="1" t="s">
        <v>24</v>
      </c>
      <c r="C2712" s="1" t="str">
        <f>"5-2차"</f>
        <v>5-2차</v>
      </c>
      <c r="D2712" s="1" t="str">
        <f>"0428R7025M"</f>
        <v>0428R7025M</v>
      </c>
      <c r="E2712" s="1" t="s">
        <v>10</v>
      </c>
      <c r="F2712" s="1" t="str">
        <f>"fde1:103:4:92bd:0:0:0:2"</f>
        <v>fde1:103:4:92bd:0:0:0:2</v>
      </c>
      <c r="G2712" s="1" t="str">
        <f>"0428R702"</f>
        <v>0428R702</v>
      </c>
      <c r="H2712" s="1" t="str">
        <f>"봉화간 27L31L2"</f>
        <v>봉화간 27L31L2</v>
      </c>
      <c r="I2712" s="1" t="s">
        <v>15</v>
      </c>
      <c r="J2712" s="1" t="str">
        <f>"45/45"</f>
        <v>45/45</v>
      </c>
      <c r="K2712" s="1" t="str">
        <f>"2026-07-29 14:21:04"</f>
        <v>2026-07-29 14:21:04</v>
      </c>
      <c r="L2712" s="1" t="str">
        <f>"2023-12-20 10:15:42"</f>
        <v>2023-12-20 10:15:42</v>
      </c>
      <c r="M2712" s="1" t="s">
        <v>4</v>
      </c>
      <c r="N2712" s="1" t="s">
        <v>38</v>
      </c>
      <c r="O2712" s="1" t="s">
        <v>46</v>
      </c>
    </row>
    <row r="2713" spans="2:15" x14ac:dyDescent="0.3">
      <c r="B2713" s="1" t="s">
        <v>24</v>
      </c>
      <c r="C2713" s="1" t="str">
        <f>"3차"</f>
        <v>3차</v>
      </c>
      <c r="D2713" s="1" t="str">
        <f>"0428R72139"</f>
        <v>0428R72139</v>
      </c>
      <c r="E2713" s="1" t="s">
        <v>10</v>
      </c>
      <c r="F2713" s="1" t="str">
        <f>"10.10.20.194"</f>
        <v>10.10.20.194</v>
      </c>
      <c r="G2713" s="1" t="str">
        <f>"0428R721"</f>
        <v>0428R721</v>
      </c>
      <c r="H2713" s="1" t="str">
        <f>"봉화간 27L22L4"</f>
        <v>봉화간 27L22L4</v>
      </c>
      <c r="I2713" s="1" t="s">
        <v>8</v>
      </c>
      <c r="J2713" s="1" t="str">
        <f>"12/12"</f>
        <v>12/12</v>
      </c>
      <c r="K2713" s="1" t="str">
        <f>"2026-07-29 13:18:03"</f>
        <v>2026-07-29 13:18:03</v>
      </c>
      <c r="L2713" s="1" t="str">
        <f>"2018-01-11 16:38:27"</f>
        <v>2018-01-11 16:38:27</v>
      </c>
      <c r="M2713" s="1" t="s">
        <v>1</v>
      </c>
      <c r="N2713" s="1" t="s">
        <v>38</v>
      </c>
      <c r="O2713" s="1" t="s">
        <v>46</v>
      </c>
    </row>
    <row r="2714" spans="2:15" x14ac:dyDescent="0.3">
      <c r="B2714" s="1" t="s">
        <v>24</v>
      </c>
      <c r="C2714" s="1" t="str">
        <f>"3차"</f>
        <v>3차</v>
      </c>
      <c r="D2714" s="1" t="str">
        <f>"0428R73139"</f>
        <v>0428R73139</v>
      </c>
      <c r="E2714" s="1" t="s">
        <v>10</v>
      </c>
      <c r="F2714" s="1" t="str">
        <f>"10.10.17.234"</f>
        <v>10.10.17.234</v>
      </c>
      <c r="G2714" s="1" t="str">
        <f>"0428R731"</f>
        <v>0428R731</v>
      </c>
      <c r="H2714" s="1" t="str">
        <f>"봉화간 27L22L6L2"</f>
        <v>봉화간 27L22L6L2</v>
      </c>
      <c r="I2714" s="1" t="s">
        <v>8</v>
      </c>
      <c r="J2714" s="1" t="str">
        <f>"9/11"</f>
        <v>9/11</v>
      </c>
      <c r="K2714" s="1" t="str">
        <f>"2026-07-29 13:18:03"</f>
        <v>2026-07-29 13:18:03</v>
      </c>
      <c r="L2714" s="1" t="str">
        <f>"2018-02-13 15:13:12"</f>
        <v>2018-02-13 15:13:12</v>
      </c>
      <c r="M2714" s="1" t="s">
        <v>1</v>
      </c>
      <c r="N2714" s="1" t="s">
        <v>38</v>
      </c>
      <c r="O2714" s="1" t="s">
        <v>46</v>
      </c>
    </row>
    <row r="2715" spans="2:15" x14ac:dyDescent="0.3">
      <c r="B2715" s="1" t="s">
        <v>24</v>
      </c>
      <c r="C2715" s="1" t="str">
        <f>"4차"</f>
        <v>4차</v>
      </c>
      <c r="D2715" s="1" t="str">
        <f>"0428R75139"</f>
        <v>0428R75139</v>
      </c>
      <c r="E2715" s="1" t="s">
        <v>10</v>
      </c>
      <c r="F2715" s="1" t="str">
        <f>"10.10.15.50"</f>
        <v>10.10.15.50</v>
      </c>
      <c r="G2715" s="1" t="str">
        <f>"0428R751"</f>
        <v>0428R751</v>
      </c>
      <c r="H2715" s="1" t="str">
        <f>"봉화간 27L16L4"</f>
        <v>봉화간 27L16L4</v>
      </c>
      <c r="I2715" s="1" t="s">
        <v>8</v>
      </c>
      <c r="J2715" s="1" t="str">
        <f>"148/150"</f>
        <v>148/150</v>
      </c>
      <c r="K2715" s="1" t="str">
        <f>"2026-07-29 13:18:04"</f>
        <v>2026-07-29 13:18:04</v>
      </c>
      <c r="L2715" s="1" t="str">
        <f>"2018-01-11 09:51:39"</f>
        <v>2018-01-11 09:51:39</v>
      </c>
      <c r="M2715" s="1" t="s">
        <v>1</v>
      </c>
      <c r="N2715" s="1" t="s">
        <v>38</v>
      </c>
      <c r="O2715" s="1" t="s">
        <v>46</v>
      </c>
    </row>
    <row r="2716" spans="2:15" x14ac:dyDescent="0.3">
      <c r="B2716" s="1" t="s">
        <v>24</v>
      </c>
      <c r="C2716" s="1" t="str">
        <f>"4차"</f>
        <v>4차</v>
      </c>
      <c r="D2716" s="1" t="str">
        <f>"0428R76230"</f>
        <v>0428R76230</v>
      </c>
      <c r="E2716" s="1" t="s">
        <v>10</v>
      </c>
      <c r="F2716" s="1" t="str">
        <f>"10.10.14.210"</f>
        <v>10.10.14.210</v>
      </c>
      <c r="G2716" s="1" t="str">
        <f>"0428R762"</f>
        <v>0428R762</v>
      </c>
      <c r="H2716" s="1" t="str">
        <f>"봉화간 27L16L10L2"</f>
        <v>봉화간 27L16L10L2</v>
      </c>
      <c r="I2716" s="1" t="s">
        <v>8</v>
      </c>
      <c r="J2716" s="1" t="str">
        <f>"65/69"</f>
        <v>65/69</v>
      </c>
      <c r="K2716" s="1" t="str">
        <f>"2026-07-29 13:18:04"</f>
        <v>2026-07-29 13:18:04</v>
      </c>
      <c r="L2716" s="1" t="str">
        <f>"2018-01-10 16:13:27"</f>
        <v>2018-01-10 16:13:27</v>
      </c>
      <c r="M2716" s="1" t="s">
        <v>1</v>
      </c>
      <c r="N2716" s="1" t="s">
        <v>38</v>
      </c>
      <c r="O2716" s="1" t="s">
        <v>46</v>
      </c>
    </row>
    <row r="2717" spans="2:15" x14ac:dyDescent="0.3">
      <c r="B2717" s="1" t="s">
        <v>24</v>
      </c>
      <c r="C2717" s="1" t="str">
        <f>"3차"</f>
        <v>3차</v>
      </c>
      <c r="D2717" s="1" t="str">
        <f>"0428R77331"</f>
        <v>0428R77331</v>
      </c>
      <c r="E2717" s="1" t="s">
        <v>10</v>
      </c>
      <c r="F2717" s="1" t="str">
        <f>"10.10.14.211"</f>
        <v>10.10.14.211</v>
      </c>
      <c r="G2717" s="1" t="str">
        <f>"0428R773"</f>
        <v>0428R773</v>
      </c>
      <c r="H2717" s="1" t="str">
        <f>"봉화간 27L16L10L3"</f>
        <v>봉화간 27L16L10L3</v>
      </c>
      <c r="I2717" s="1" t="s">
        <v>8</v>
      </c>
      <c r="J2717" s="1" t="str">
        <f>"99/99"</f>
        <v>99/99</v>
      </c>
      <c r="K2717" s="1" t="str">
        <f>"2026-07-29 13:18:02"</f>
        <v>2026-07-29 13:18:02</v>
      </c>
      <c r="L2717" s="1" t="str">
        <f>"2021-07-27 10:25:27"</f>
        <v>2021-07-27 10:25:27</v>
      </c>
      <c r="M2717" s="1" t="s">
        <v>1</v>
      </c>
      <c r="N2717" s="1" t="s">
        <v>38</v>
      </c>
      <c r="O2717" s="1" t="s">
        <v>46</v>
      </c>
    </row>
    <row r="2718" spans="2:15" x14ac:dyDescent="0.3">
      <c r="B2718" s="1" t="s">
        <v>24</v>
      </c>
      <c r="C2718" s="1" t="str">
        <f>"3차"</f>
        <v>3차</v>
      </c>
      <c r="D2718" s="1" t="str">
        <f>"0428R83430"</f>
        <v>0428R83430</v>
      </c>
      <c r="E2718" s="1" t="s">
        <v>10</v>
      </c>
      <c r="F2718" s="1" t="str">
        <f>"10.10.20.202"</f>
        <v>10.10.20.202</v>
      </c>
      <c r="G2718" s="1" t="str">
        <f>"0428R834"</f>
        <v>0428R834</v>
      </c>
      <c r="H2718" s="1" t="str">
        <f>"봉화간 27L22L7R2"</f>
        <v>봉화간 27L22L7R2</v>
      </c>
      <c r="I2718" s="1" t="s">
        <v>8</v>
      </c>
      <c r="J2718" s="1" t="str">
        <f>"33/45"</f>
        <v>33/45</v>
      </c>
      <c r="K2718" s="1" t="str">
        <f>"2026-07-29 13:18:04"</f>
        <v>2026-07-29 13:18:04</v>
      </c>
      <c r="L2718" s="1" t="str">
        <f>"2018-01-30 16:21:27"</f>
        <v>2018-01-30 16:21:27</v>
      </c>
      <c r="M2718" s="1" t="s">
        <v>1</v>
      </c>
      <c r="N2718" s="1" t="s">
        <v>38</v>
      </c>
      <c r="O2718" s="1" t="s">
        <v>46</v>
      </c>
    </row>
    <row r="2719" spans="2:15" x14ac:dyDescent="0.3">
      <c r="B2719" s="1" t="s">
        <v>24</v>
      </c>
      <c r="C2719" s="1" t="str">
        <f>"3차"</f>
        <v>3차</v>
      </c>
      <c r="D2719" s="1" t="str">
        <f>"0428R84131"</f>
        <v>0428R84131</v>
      </c>
      <c r="E2719" s="1" t="s">
        <v>10</v>
      </c>
      <c r="F2719" s="1" t="str">
        <f>"10.10.20.203"</f>
        <v>10.10.20.203</v>
      </c>
      <c r="G2719" s="1" t="str">
        <f>"0428R841"</f>
        <v>0428R841</v>
      </c>
      <c r="H2719" s="1" t="str">
        <f>"봉화간 27L22L7R3"</f>
        <v>봉화간 27L22L7R3</v>
      </c>
      <c r="I2719" s="1" t="s">
        <v>8</v>
      </c>
      <c r="J2719" s="1" t="str">
        <f>"44/44"</f>
        <v>44/44</v>
      </c>
      <c r="K2719" s="1" t="str">
        <f>"2026-07-29 13:18:02"</f>
        <v>2026-07-29 13:18:02</v>
      </c>
      <c r="L2719" s="1" t="str">
        <f>"2018-03-16 09:17:25"</f>
        <v>2018-03-16 09:17:25</v>
      </c>
      <c r="M2719" s="1" t="s">
        <v>1</v>
      </c>
      <c r="N2719" s="1" t="s">
        <v>38</v>
      </c>
      <c r="O2719" s="1" t="s">
        <v>46</v>
      </c>
    </row>
    <row r="2720" spans="2:15" x14ac:dyDescent="0.3">
      <c r="B2720" s="1" t="s">
        <v>24</v>
      </c>
      <c r="C2720" s="1" t="str">
        <f>"4차"</f>
        <v>4차</v>
      </c>
      <c r="D2720" s="1" t="str">
        <f>"0428R85139"</f>
        <v>0428R85139</v>
      </c>
      <c r="E2720" s="1" t="str">
        <f>"검침실패(3시간 이상)"</f>
        <v>검침실패(3시간 이상)</v>
      </c>
      <c r="F2720" s="1" t="str">
        <f>"10.10.14.186"</f>
        <v>10.10.14.186</v>
      </c>
      <c r="G2720" s="1" t="str">
        <f>"0428R851"</f>
        <v>0428R851</v>
      </c>
      <c r="H2720" s="1" t="str">
        <f>"봉화간 27L16L6"</f>
        <v>봉화간 27L16L6</v>
      </c>
      <c r="I2720" s="1" t="s">
        <v>8</v>
      </c>
      <c r="J2720" s="1" t="str">
        <f>"0/14"</f>
        <v>0/14</v>
      </c>
      <c r="K2720" s="1" t="str">
        <f>"2026-07-29 13:18:02"</f>
        <v>2026-07-29 13:18:02</v>
      </c>
      <c r="L2720" s="1" t="str">
        <f>"2018-05-11 17:28:46"</f>
        <v>2018-05-11 17:28:46</v>
      </c>
      <c r="M2720" s="1" t="s">
        <v>1</v>
      </c>
      <c r="N2720" s="1" t="s">
        <v>38</v>
      </c>
      <c r="O2720" s="1" t="s">
        <v>46</v>
      </c>
    </row>
    <row r="2721" spans="2:15" x14ac:dyDescent="0.3">
      <c r="B2721" s="1" t="s">
        <v>24</v>
      </c>
      <c r="C2721" s="1" t="str">
        <f>"4차"</f>
        <v>4차</v>
      </c>
      <c r="D2721" s="1" t="str">
        <f>"0428R86339"</f>
        <v>0428R86339</v>
      </c>
      <c r="E2721" s="1" t="s">
        <v>10</v>
      </c>
      <c r="F2721" s="1" t="str">
        <f>"10.10.17.210"</f>
        <v>10.10.17.210</v>
      </c>
      <c r="G2721" s="1" t="str">
        <f>"0428R863"</f>
        <v>0428R863</v>
      </c>
      <c r="H2721" s="1" t="str">
        <f>"봉화간 27L16L9"</f>
        <v>봉화간 27L16L9</v>
      </c>
      <c r="I2721" s="1" t="s">
        <v>8</v>
      </c>
      <c r="J2721" s="1" t="str">
        <f>"78/78"</f>
        <v>78/78</v>
      </c>
      <c r="K2721" s="1" t="str">
        <f>"2026-07-29 13:18:04"</f>
        <v>2026-07-29 13:18:04</v>
      </c>
      <c r="L2721" s="1" t="str">
        <f>"2018-02-13 13:34:27"</f>
        <v>2018-02-13 13:34:27</v>
      </c>
      <c r="M2721" s="1" t="s">
        <v>1</v>
      </c>
      <c r="N2721" s="1" t="s">
        <v>38</v>
      </c>
      <c r="O2721" s="1" t="s">
        <v>46</v>
      </c>
    </row>
    <row r="2722" spans="2:15" x14ac:dyDescent="0.3">
      <c r="B2722" s="1" t="s">
        <v>24</v>
      </c>
      <c r="C2722" s="1" t="str">
        <f t="shared" ref="C2722:C2727" si="160">"3차"</f>
        <v>3차</v>
      </c>
      <c r="D2722" s="1" t="str">
        <f>"0428R86432"</f>
        <v>0428R86432</v>
      </c>
      <c r="E2722" s="1" t="s">
        <v>10</v>
      </c>
      <c r="F2722" s="1" t="str">
        <f>"10.10.14.212"</f>
        <v>10.10.14.212</v>
      </c>
      <c r="G2722" s="1" t="str">
        <f>"0428R864"</f>
        <v>0428R864</v>
      </c>
      <c r="H2722" s="1" t="str">
        <f>"봉화간 27L16L10"</f>
        <v>봉화간 27L16L10</v>
      </c>
      <c r="I2722" s="1" t="s">
        <v>8</v>
      </c>
      <c r="J2722" s="1" t="str">
        <f>"27/28"</f>
        <v>27/28</v>
      </c>
      <c r="K2722" s="1" t="str">
        <f t="shared" ref="K2722:K2727" si="161">"2026-07-29 13:18:02"</f>
        <v>2026-07-29 13:18:02</v>
      </c>
      <c r="L2722" s="1" t="str">
        <f>"2018-03-15 17:58:15"</f>
        <v>2018-03-15 17:58:15</v>
      </c>
      <c r="M2722" s="1" t="s">
        <v>1</v>
      </c>
      <c r="N2722" s="1" t="s">
        <v>38</v>
      </c>
      <c r="O2722" s="1" t="s">
        <v>46</v>
      </c>
    </row>
    <row r="2723" spans="2:15" x14ac:dyDescent="0.3">
      <c r="B2723" s="1" t="s">
        <v>24</v>
      </c>
      <c r="C2723" s="1" t="str">
        <f t="shared" si="160"/>
        <v>3차</v>
      </c>
      <c r="D2723" s="1" t="str">
        <f>"0428R87230"</f>
        <v>0428R87230</v>
      </c>
      <c r="E2723" s="1" t="s">
        <v>10</v>
      </c>
      <c r="F2723" s="1" t="str">
        <f>"10.10.15.10"</f>
        <v>10.10.15.10</v>
      </c>
      <c r="G2723" s="1" t="str">
        <f>"0428R872"</f>
        <v>0428R872</v>
      </c>
      <c r="H2723" s="1" t="str">
        <f>"봉화간 27L16L11"</f>
        <v>봉화간 27L16L11</v>
      </c>
      <c r="I2723" s="1" t="s">
        <v>8</v>
      </c>
      <c r="J2723" s="1" t="str">
        <f>"42/46"</f>
        <v>42/46</v>
      </c>
      <c r="K2723" s="1" t="str">
        <f t="shared" si="161"/>
        <v>2026-07-29 13:18:02</v>
      </c>
      <c r="L2723" s="1" t="str">
        <f>"2018-01-11 10:23:24"</f>
        <v>2018-01-11 10:23:24</v>
      </c>
      <c r="M2723" s="1" t="s">
        <v>1</v>
      </c>
      <c r="N2723" s="1" t="s">
        <v>38</v>
      </c>
      <c r="O2723" s="1" t="s">
        <v>46</v>
      </c>
    </row>
    <row r="2724" spans="2:15" x14ac:dyDescent="0.3">
      <c r="B2724" s="1" t="s">
        <v>24</v>
      </c>
      <c r="C2724" s="1" t="str">
        <f t="shared" si="160"/>
        <v>3차</v>
      </c>
      <c r="D2724" s="1" t="str">
        <f>"0428R95239"</f>
        <v>0428R95239</v>
      </c>
      <c r="E2724" s="1" t="s">
        <v>10</v>
      </c>
      <c r="F2724" s="1" t="str">
        <f>"10.10.20.210"</f>
        <v>10.10.20.210</v>
      </c>
      <c r="G2724" s="1" t="str">
        <f>"0428R952"</f>
        <v>0428R952</v>
      </c>
      <c r="H2724" s="1" t="str">
        <f>"봉화간 27L16L7"</f>
        <v>봉화간 27L16L7</v>
      </c>
      <c r="I2724" s="1" t="s">
        <v>8</v>
      </c>
      <c r="J2724" s="1" t="str">
        <f>"84/86"</f>
        <v>84/86</v>
      </c>
      <c r="K2724" s="1" t="str">
        <f t="shared" si="161"/>
        <v>2026-07-29 13:18:02</v>
      </c>
      <c r="L2724" s="1" t="str">
        <f>"2018-01-30 15:31:57"</f>
        <v>2018-01-30 15:31:57</v>
      </c>
      <c r="M2724" s="1" t="s">
        <v>1</v>
      </c>
      <c r="N2724" s="1" t="s">
        <v>38</v>
      </c>
      <c r="O2724" s="1" t="s">
        <v>46</v>
      </c>
    </row>
    <row r="2725" spans="2:15" x14ac:dyDescent="0.3">
      <c r="B2725" s="1" t="s">
        <v>24</v>
      </c>
      <c r="C2725" s="1" t="str">
        <f t="shared" si="160"/>
        <v>3차</v>
      </c>
      <c r="D2725" s="1" t="str">
        <f>"0428R95339"</f>
        <v>0428R95339</v>
      </c>
      <c r="E2725" s="1" t="s">
        <v>10</v>
      </c>
      <c r="F2725" s="1" t="str">
        <f>"10.10.20.186"</f>
        <v>10.10.20.186</v>
      </c>
      <c r="G2725" s="1" t="str">
        <f>"0428R953"</f>
        <v>0428R953</v>
      </c>
      <c r="H2725" s="1" t="str">
        <f>"봉화간 27L16L7R1"</f>
        <v>봉화간 27L16L7R1</v>
      </c>
      <c r="I2725" s="1" t="s">
        <v>8</v>
      </c>
      <c r="J2725" s="1" t="str">
        <f>"32/32"</f>
        <v>32/32</v>
      </c>
      <c r="K2725" s="1" t="str">
        <f t="shared" si="161"/>
        <v>2026-07-29 13:18:02</v>
      </c>
      <c r="L2725" s="1" t="str">
        <f>"2018-01-30 15:45:57"</f>
        <v>2018-01-30 15:45:57</v>
      </c>
      <c r="M2725" s="1" t="s">
        <v>1</v>
      </c>
      <c r="N2725" s="1" t="s">
        <v>38</v>
      </c>
      <c r="O2725" s="1" t="s">
        <v>46</v>
      </c>
    </row>
    <row r="2726" spans="2:15" x14ac:dyDescent="0.3">
      <c r="B2726" s="1" t="s">
        <v>24</v>
      </c>
      <c r="C2726" s="1" t="str">
        <f t="shared" si="160"/>
        <v>3차</v>
      </c>
      <c r="D2726" s="1" t="str">
        <f>"0428R96239"</f>
        <v>0428R96239</v>
      </c>
      <c r="E2726" s="1" t="s">
        <v>10</v>
      </c>
      <c r="F2726" s="1" t="str">
        <f>"10.10.14.202"</f>
        <v>10.10.14.202</v>
      </c>
      <c r="G2726" s="1" t="str">
        <f>"0428R962"</f>
        <v>0428R962</v>
      </c>
      <c r="H2726" s="1" t="str">
        <f>"봉화간 27L16L10R2"</f>
        <v>봉화간 27L16L10R2</v>
      </c>
      <c r="I2726" s="1" t="s">
        <v>8</v>
      </c>
      <c r="J2726" s="1" t="str">
        <f>"85/86"</f>
        <v>85/86</v>
      </c>
      <c r="K2726" s="1" t="str">
        <f t="shared" si="161"/>
        <v>2026-07-29 13:18:02</v>
      </c>
      <c r="L2726" s="1" t="str">
        <f>"2018-01-10 16:32:27"</f>
        <v>2018-01-10 16:32:27</v>
      </c>
      <c r="M2726" s="1" t="s">
        <v>1</v>
      </c>
      <c r="N2726" s="1" t="s">
        <v>38</v>
      </c>
      <c r="O2726" s="1" t="s">
        <v>46</v>
      </c>
    </row>
    <row r="2727" spans="2:15" x14ac:dyDescent="0.3">
      <c r="B2727" s="1" t="s">
        <v>24</v>
      </c>
      <c r="C2727" s="1" t="str">
        <f t="shared" si="160"/>
        <v>3차</v>
      </c>
      <c r="D2727" s="1" t="str">
        <f>"0428R97239"</f>
        <v>0428R97239</v>
      </c>
      <c r="E2727" s="1" t="s">
        <v>10</v>
      </c>
      <c r="F2727" s="1" t="str">
        <f>"10.10.14.194"</f>
        <v>10.10.14.194</v>
      </c>
      <c r="G2727" s="1" t="str">
        <f>"0428R972"</f>
        <v>0428R972</v>
      </c>
      <c r="H2727" s="1" t="str">
        <f>"봉화간 27L16L10R4"</f>
        <v>봉화간 27L16L10R4</v>
      </c>
      <c r="I2727" s="1" t="s">
        <v>8</v>
      </c>
      <c r="J2727" s="1" t="str">
        <f>"16/16"</f>
        <v>16/16</v>
      </c>
      <c r="K2727" s="1" t="str">
        <f t="shared" si="161"/>
        <v>2026-07-29 13:18:02</v>
      </c>
      <c r="L2727" s="1" t="str">
        <f>"2018-01-10 16:55:42"</f>
        <v>2018-01-10 16:55:42</v>
      </c>
      <c r="M2727" s="1" t="s">
        <v>1</v>
      </c>
      <c r="N2727" s="1" t="s">
        <v>38</v>
      </c>
      <c r="O2727" s="1" t="s">
        <v>46</v>
      </c>
    </row>
    <row r="2728" spans="2:15" x14ac:dyDescent="0.3">
      <c r="B2728" s="1" t="s">
        <v>24</v>
      </c>
      <c r="C2728" s="1" t="str">
        <f>"4차"</f>
        <v>4차</v>
      </c>
      <c r="D2728" s="1" t="str">
        <f>"0428R98431"</f>
        <v>0428R98431</v>
      </c>
      <c r="E2728" s="1" t="s">
        <v>10</v>
      </c>
      <c r="F2728" s="1" t="str">
        <f>"10.14.5.119"</f>
        <v>10.14.5.119</v>
      </c>
      <c r="G2728" s="1" t="str">
        <f>"0428R984"</f>
        <v>0428R984</v>
      </c>
      <c r="H2728" s="1" t="str">
        <f>"봉화간 27L16L12"</f>
        <v>봉화간 27L16L12</v>
      </c>
      <c r="I2728" s="1" t="s">
        <v>8</v>
      </c>
      <c r="J2728" s="1" t="str">
        <f>"112/112"</f>
        <v>112/112</v>
      </c>
      <c r="K2728" s="1" t="str">
        <f>"2026-07-29 13:18:03"</f>
        <v>2026-07-29 13:18:03</v>
      </c>
      <c r="L2728" s="1" t="str">
        <f>"2021-07-28 15:53:39"</f>
        <v>2021-07-28 15:53:39</v>
      </c>
      <c r="M2728" s="1" t="s">
        <v>3</v>
      </c>
      <c r="N2728" s="1" t="s">
        <v>38</v>
      </c>
      <c r="O2728" s="1" t="s">
        <v>46</v>
      </c>
    </row>
    <row r="2729" spans="2:15" x14ac:dyDescent="0.3">
      <c r="B2729" s="1" t="s">
        <v>24</v>
      </c>
      <c r="C2729" s="1" t="str">
        <f>"3차"</f>
        <v>3차</v>
      </c>
      <c r="D2729" s="1" t="str">
        <f>"0428R99139"</f>
        <v>0428R99139</v>
      </c>
      <c r="E2729" s="1" t="s">
        <v>10</v>
      </c>
      <c r="F2729" s="1" t="str">
        <f>"10.10.15.18"</f>
        <v>10.10.15.18</v>
      </c>
      <c r="G2729" s="1" t="str">
        <f>"0428R991"</f>
        <v>0428R991</v>
      </c>
      <c r="H2729" s="1" t="str">
        <f>"봉화간 27L16L12L1"</f>
        <v>봉화간 27L16L12L1</v>
      </c>
      <c r="I2729" s="1" t="s">
        <v>8</v>
      </c>
      <c r="J2729" s="1" t="str">
        <f>"34/34"</f>
        <v>34/34</v>
      </c>
      <c r="K2729" s="1" t="str">
        <f>"2026-07-29 13:18:02"</f>
        <v>2026-07-29 13:18:02</v>
      </c>
      <c r="L2729" s="1" t="str">
        <f>"2018-01-23 14:06:41"</f>
        <v>2018-01-23 14:06:41</v>
      </c>
      <c r="M2729" s="1" t="s">
        <v>1</v>
      </c>
      <c r="N2729" s="1" t="s">
        <v>38</v>
      </c>
      <c r="O2729" s="1" t="s">
        <v>46</v>
      </c>
    </row>
    <row r="2730" spans="2:15" x14ac:dyDescent="0.3">
      <c r="B2730" s="1" t="s">
        <v>24</v>
      </c>
      <c r="C2730" s="1" t="str">
        <f>"4차"</f>
        <v>4차</v>
      </c>
      <c r="D2730" s="1" t="str">
        <f>"0428S00441"</f>
        <v>0428S00441</v>
      </c>
      <c r="E2730" s="1" t="s">
        <v>10</v>
      </c>
      <c r="F2730" s="1" t="str">
        <f>"10.14.14.45"</f>
        <v>10.14.14.45</v>
      </c>
      <c r="G2730" s="1" t="str">
        <f>"0428S004"</f>
        <v>0428S004</v>
      </c>
      <c r="H2730" s="1" t="str">
        <f>"봉화간 27L34R1"</f>
        <v>봉화간 27L34R1</v>
      </c>
      <c r="I2730" s="1" t="s">
        <v>17</v>
      </c>
      <c r="J2730" s="1" t="str">
        <f>"5/5"</f>
        <v>5/5</v>
      </c>
      <c r="K2730" s="1" t="str">
        <f>"2026-07-29 13:18:03"</f>
        <v>2026-07-29 13:18:03</v>
      </c>
      <c r="L2730" s="1" t="str">
        <f>"2021-10-19 09:49:00"</f>
        <v>2021-10-19 09:49:00</v>
      </c>
      <c r="M2730" s="1" t="s">
        <v>3</v>
      </c>
      <c r="N2730" s="1" t="s">
        <v>38</v>
      </c>
      <c r="O2730" s="1" t="s">
        <v>46</v>
      </c>
    </row>
    <row r="2731" spans="2:15" x14ac:dyDescent="0.3">
      <c r="B2731" s="1" t="s">
        <v>24</v>
      </c>
      <c r="C2731" s="1" t="str">
        <f>"3차"</f>
        <v>3차</v>
      </c>
      <c r="D2731" s="1" t="str">
        <f>"0428S03139"</f>
        <v>0428S03139</v>
      </c>
      <c r="E2731" s="1" t="s">
        <v>10</v>
      </c>
      <c r="F2731" s="1" t="str">
        <f>"10.12.129.63"</f>
        <v>10.12.129.63</v>
      </c>
      <c r="G2731" s="1" t="str">
        <f>"0428S031"</f>
        <v>0428S031</v>
      </c>
      <c r="H2731" s="1" t="str">
        <f>"봉화간 27L22L9"</f>
        <v>봉화간 27L22L9</v>
      </c>
      <c r="I2731" s="1" t="s">
        <v>8</v>
      </c>
      <c r="J2731" s="1" t="str">
        <f>"24/24"</f>
        <v>24/24</v>
      </c>
      <c r="K2731" s="1" t="str">
        <f>"2026-07-29 07:18:03"</f>
        <v>2026-07-29 07:18:03</v>
      </c>
      <c r="L2731" s="1" t="str">
        <f>"2021-07-27 13:43:22"</f>
        <v>2021-07-27 13:43:22</v>
      </c>
      <c r="M2731" s="1" t="s">
        <v>0</v>
      </c>
      <c r="N2731" s="1" t="s">
        <v>38</v>
      </c>
      <c r="O2731" s="1" t="s">
        <v>46</v>
      </c>
    </row>
    <row r="2732" spans="2:15" x14ac:dyDescent="0.3">
      <c r="B2732" s="1" t="s">
        <v>24</v>
      </c>
      <c r="C2732" s="1" t="str">
        <f>"4차"</f>
        <v>4차</v>
      </c>
      <c r="D2732" s="1" t="str">
        <f>"0428S06239"</f>
        <v>0428S06239</v>
      </c>
      <c r="E2732" s="1" t="s">
        <v>10</v>
      </c>
      <c r="F2732" s="1" t="str">
        <f>"10.10.6.74"</f>
        <v>10.10.6.74</v>
      </c>
      <c r="G2732" s="1" t="str">
        <f>"0428S062"</f>
        <v>0428S062</v>
      </c>
      <c r="H2732" s="1" t="str">
        <f>"신현간 34L5R4"</f>
        <v>신현간 34L5R4</v>
      </c>
      <c r="I2732" s="1" t="s">
        <v>8</v>
      </c>
      <c r="J2732" s="1" t="str">
        <f>"97/99"</f>
        <v>97/99</v>
      </c>
      <c r="K2732" s="1" t="str">
        <f>"2026-07-29 13:18:04"</f>
        <v>2026-07-29 13:18:04</v>
      </c>
      <c r="L2732" s="1" t="str">
        <f>"2018-02-26 14:07:41"</f>
        <v>2018-02-26 14:07:41</v>
      </c>
      <c r="M2732" s="1" t="s">
        <v>1</v>
      </c>
      <c r="N2732" s="1" t="s">
        <v>38</v>
      </c>
      <c r="O2732" s="1" t="s">
        <v>46</v>
      </c>
    </row>
    <row r="2733" spans="2:15" x14ac:dyDescent="0.3">
      <c r="B2733" s="1" t="s">
        <v>24</v>
      </c>
      <c r="C2733" s="1" t="str">
        <f>"3차"</f>
        <v>3차</v>
      </c>
      <c r="D2733" s="1" t="str">
        <f>"0428S09139"</f>
        <v>0428S09139</v>
      </c>
      <c r="E2733" s="1" t="s">
        <v>10</v>
      </c>
      <c r="F2733" s="1" t="str">
        <f>"10.10.15.42"</f>
        <v>10.10.15.42</v>
      </c>
      <c r="G2733" s="1" t="str">
        <f>"0428S091"</f>
        <v>0428S091</v>
      </c>
      <c r="H2733" s="1" t="str">
        <f>"봉화간 27L16L15"</f>
        <v>봉화간 27L16L15</v>
      </c>
      <c r="I2733" s="1" t="s">
        <v>8</v>
      </c>
      <c r="J2733" s="1" t="str">
        <f>"3/3"</f>
        <v>3/3</v>
      </c>
      <c r="K2733" s="1" t="str">
        <f>"2026-07-29 13:18:04"</f>
        <v>2026-07-29 13:18:04</v>
      </c>
      <c r="L2733" s="1" t="str">
        <f>"2018-01-11 11:24:39"</f>
        <v>2018-01-11 11:24:39</v>
      </c>
      <c r="M2733" s="1" t="s">
        <v>1</v>
      </c>
      <c r="N2733" s="1" t="s">
        <v>38</v>
      </c>
      <c r="O2733" s="1" t="s">
        <v>46</v>
      </c>
    </row>
    <row r="2734" spans="2:15" x14ac:dyDescent="0.3">
      <c r="B2734" s="1" t="s">
        <v>24</v>
      </c>
      <c r="C2734" s="1" t="str">
        <f>"5-2차"</f>
        <v>5-2차</v>
      </c>
      <c r="D2734" s="1" t="str">
        <f>"0428S1215M"</f>
        <v>0428S1215M</v>
      </c>
      <c r="E2734" s="1" t="s">
        <v>10</v>
      </c>
      <c r="F2734" s="1" t="str">
        <f>"fde3:102:1430:8300:0:0:0:8"</f>
        <v>fde3:102:1430:8300:0:0:0:8</v>
      </c>
      <c r="G2734" s="1" t="str">
        <f>"0428S121"</f>
        <v>0428S121</v>
      </c>
      <c r="H2734" s="1" t="str">
        <f>"신현간 34L14"</f>
        <v>신현간 34L14</v>
      </c>
      <c r="I2734" s="1" t="s">
        <v>15</v>
      </c>
      <c r="J2734" s="1" t="str">
        <f>"21/21"</f>
        <v>21/21</v>
      </c>
      <c r="K2734" s="1" t="str">
        <f>"2026-07-29 14:21:04"</f>
        <v>2026-07-29 14:21:04</v>
      </c>
      <c r="L2734" s="1" t="str">
        <f>"2024-01-08 10:08:24"</f>
        <v>2024-01-08 10:08:24</v>
      </c>
      <c r="M2734" s="1" t="s">
        <v>45</v>
      </c>
      <c r="N2734" s="1" t="s">
        <v>38</v>
      </c>
      <c r="O2734" s="1" t="s">
        <v>46</v>
      </c>
    </row>
    <row r="2735" spans="2:15" x14ac:dyDescent="0.3">
      <c r="B2735" s="1" t="s">
        <v>24</v>
      </c>
      <c r="C2735" s="1" t="str">
        <f>"3차"</f>
        <v>3차</v>
      </c>
      <c r="D2735" s="1" t="str">
        <f>"0428S13339"</f>
        <v>0428S13339</v>
      </c>
      <c r="E2735" s="1" t="s">
        <v>10</v>
      </c>
      <c r="F2735" s="1" t="str">
        <f>"10.12.134.86"</f>
        <v>10.12.134.86</v>
      </c>
      <c r="G2735" s="1" t="str">
        <f>"0428S133"</f>
        <v>0428S133</v>
      </c>
      <c r="H2735" s="1" t="str">
        <f>"봉화간 27L34R7"</f>
        <v>봉화간 27L34R7</v>
      </c>
      <c r="I2735" s="1" t="s">
        <v>8</v>
      </c>
      <c r="J2735" s="1" t="str">
        <f>"24/34"</f>
        <v>24/34</v>
      </c>
      <c r="K2735" s="1" t="str">
        <f>"2026-07-29 13:18:03"</f>
        <v>2026-07-29 13:18:03</v>
      </c>
      <c r="L2735" s="1" t="str">
        <f>"2021-01-21 16:43:37"</f>
        <v>2021-01-21 16:43:37</v>
      </c>
      <c r="M2735" s="1" t="s">
        <v>0</v>
      </c>
      <c r="N2735" s="1" t="s">
        <v>38</v>
      </c>
      <c r="O2735" s="1" t="s">
        <v>46</v>
      </c>
    </row>
    <row r="2736" spans="2:15" x14ac:dyDescent="0.3">
      <c r="B2736" s="1" t="s">
        <v>24</v>
      </c>
      <c r="C2736" s="1" t="str">
        <f>"4차"</f>
        <v>4차</v>
      </c>
      <c r="D2736" s="1" t="str">
        <f>"0428S15244"</f>
        <v>0428S15244</v>
      </c>
      <c r="E2736" s="1" t="s">
        <v>10</v>
      </c>
      <c r="F2736" s="1" t="str">
        <f>"10.10.43.26"</f>
        <v>10.10.43.26</v>
      </c>
      <c r="G2736" s="1" t="str">
        <f>"0428S152"</f>
        <v>0428S152</v>
      </c>
      <c r="H2736" s="1" t="str">
        <f>"봉화간 27L34R10"</f>
        <v>봉화간 27L34R10</v>
      </c>
      <c r="I2736" s="1" t="s">
        <v>8</v>
      </c>
      <c r="J2736" s="1" t="str">
        <f>"83/102"</f>
        <v>83/102</v>
      </c>
      <c r="K2736" s="1" t="str">
        <f>"2026-07-29 13:18:04"</f>
        <v>2026-07-29 13:18:04</v>
      </c>
      <c r="L2736" s="1" t="str">
        <f>"2019-11-18 09:30:10"</f>
        <v>2019-11-18 09:30:10</v>
      </c>
      <c r="M2736" s="1" t="s">
        <v>1</v>
      </c>
      <c r="N2736" s="1" t="s">
        <v>38</v>
      </c>
      <c r="O2736" s="1" t="s">
        <v>46</v>
      </c>
    </row>
    <row r="2737" spans="2:15" x14ac:dyDescent="0.3">
      <c r="B2737" s="1" t="s">
        <v>24</v>
      </c>
      <c r="C2737" s="1" t="str">
        <f>"1차"</f>
        <v>1차</v>
      </c>
      <c r="D2737" s="1" t="str">
        <f>"0428S16200"</f>
        <v>0428S16200</v>
      </c>
      <c r="E2737" s="1" t="s">
        <v>10</v>
      </c>
      <c r="F2737" s="1" t="str">
        <f>"10.89.248.98"</f>
        <v>10.89.248.98</v>
      </c>
      <c r="G2737" s="1" t="str">
        <f>"0428S162"</f>
        <v>0428S162</v>
      </c>
      <c r="H2737" s="1" t="str">
        <f>"신현간 34L5R3"</f>
        <v>신현간 34L5R3</v>
      </c>
      <c r="I2737" s="1" t="s">
        <v>8</v>
      </c>
      <c r="J2737" s="1" t="str">
        <f>"49/49"</f>
        <v>49/49</v>
      </c>
      <c r="K2737" s="1" t="str">
        <f>"2026-07-29 13:18:02"</f>
        <v>2026-07-29 13:18:02</v>
      </c>
      <c r="L2737" s="1" t="str">
        <f>"2014-10-02 00:13:22"</f>
        <v>2014-10-02 00:13:22</v>
      </c>
      <c r="M2737" s="1" t="s">
        <v>45</v>
      </c>
      <c r="N2737" s="1" t="s">
        <v>38</v>
      </c>
      <c r="O2737" s="1" t="s">
        <v>46</v>
      </c>
    </row>
    <row r="2738" spans="2:15" x14ac:dyDescent="0.3">
      <c r="B2738" s="1" t="s">
        <v>24</v>
      </c>
      <c r="C2738" s="1" t="str">
        <f>"6차"</f>
        <v>6차</v>
      </c>
      <c r="D2738" s="1" t="str">
        <f>"0428S1726S"</f>
        <v>0428S1726S</v>
      </c>
      <c r="E2738" s="1" t="s">
        <v>10</v>
      </c>
      <c r="F2738" s="1" t="str">
        <f>"fde1:103:4:c614:0:0:0:2"</f>
        <v>fde1:103:4:c614:0:0:0:2</v>
      </c>
      <c r="G2738" s="1" t="str">
        <f>"0428S172"</f>
        <v>0428S172</v>
      </c>
      <c r="H2738" s="1" t="str">
        <f>"신현간 34L5R3R1H1"</f>
        <v>신현간 34L5R3R1H1</v>
      </c>
      <c r="I2738" s="1" t="s">
        <v>15</v>
      </c>
      <c r="J2738" s="1" t="str">
        <f>"106/106"</f>
        <v>106/106</v>
      </c>
      <c r="K2738" s="1" t="str">
        <f>"2026-07-29 14:21:21"</f>
        <v>2026-07-29 14:21:21</v>
      </c>
      <c r="L2738" s="1" t="str">
        <f>"2024-09-26 19:43:37"</f>
        <v>2024-09-26 19:43:37</v>
      </c>
      <c r="M2738" s="1" t="s">
        <v>4</v>
      </c>
      <c r="N2738" s="1" t="s">
        <v>38</v>
      </c>
      <c r="O2738" s="1" t="s">
        <v>46</v>
      </c>
    </row>
    <row r="2739" spans="2:15" x14ac:dyDescent="0.3">
      <c r="B2739" s="1" t="s">
        <v>24</v>
      </c>
      <c r="C2739" s="1" t="str">
        <f>"4차"</f>
        <v>4차</v>
      </c>
      <c r="D2739" s="1" t="str">
        <f>"0428S19239"</f>
        <v>0428S19239</v>
      </c>
      <c r="E2739" s="1" t="s">
        <v>10</v>
      </c>
      <c r="F2739" s="1" t="str">
        <f>"10.12.134.205"</f>
        <v>10.12.134.205</v>
      </c>
      <c r="G2739" s="1" t="str">
        <f>"0428S192"</f>
        <v>0428S192</v>
      </c>
      <c r="H2739" s="1" t="str">
        <f>"신현간 34L5R3R3"</f>
        <v>신현간 34L5R3R3</v>
      </c>
      <c r="I2739" s="1" t="s">
        <v>8</v>
      </c>
      <c r="J2739" s="1" t="str">
        <f>"33/33"</f>
        <v>33/33</v>
      </c>
      <c r="K2739" s="1" t="str">
        <f>"2026-07-29 13:18:04"</f>
        <v>2026-07-29 13:18:04</v>
      </c>
      <c r="L2739" s="1" t="str">
        <f>"2018-02-26 13:52:11"</f>
        <v>2018-02-26 13:52:11</v>
      </c>
      <c r="M2739" s="1" t="s">
        <v>0</v>
      </c>
      <c r="N2739" s="1" t="s">
        <v>38</v>
      </c>
      <c r="O2739" s="1" t="s">
        <v>46</v>
      </c>
    </row>
    <row r="2740" spans="2:15" x14ac:dyDescent="0.3">
      <c r="B2740" s="1" t="s">
        <v>24</v>
      </c>
      <c r="C2740" s="1" t="str">
        <f>"1차"</f>
        <v>1차</v>
      </c>
      <c r="D2740" s="1" t="str">
        <f>"0428S26101"</f>
        <v>0428S26101</v>
      </c>
      <c r="E2740" s="1" t="s">
        <v>10</v>
      </c>
      <c r="F2740" s="1" t="str">
        <f>"10.89.248.99"</f>
        <v>10.89.248.99</v>
      </c>
      <c r="G2740" s="1" t="str">
        <f>"0428S261"</f>
        <v>0428S261</v>
      </c>
      <c r="H2740" s="1" t="str">
        <f>"신현간 34L5R2"</f>
        <v>신현간 34L5R2</v>
      </c>
      <c r="I2740" s="1" t="s">
        <v>8</v>
      </c>
      <c r="J2740" s="1" t="str">
        <f>"23/23"</f>
        <v>23/23</v>
      </c>
      <c r="K2740" s="1" t="str">
        <f>"2026-07-29 07:18:04"</f>
        <v>2026-07-29 07:18:04</v>
      </c>
      <c r="L2740" s="1" t="str">
        <f>"2014-10-15 16:41:48"</f>
        <v>2014-10-15 16:41:48</v>
      </c>
      <c r="M2740" s="1" t="s">
        <v>45</v>
      </c>
      <c r="N2740" s="1" t="s">
        <v>38</v>
      </c>
      <c r="O2740" s="1" t="s">
        <v>46</v>
      </c>
    </row>
    <row r="2741" spans="2:15" x14ac:dyDescent="0.3">
      <c r="B2741" s="1" t="s">
        <v>24</v>
      </c>
      <c r="C2741" s="1" t="str">
        <f>"4차"</f>
        <v>4차</v>
      </c>
      <c r="D2741" s="1" t="str">
        <f>"0428S32344"</f>
        <v>0428S32344</v>
      </c>
      <c r="E2741" s="1" t="s">
        <v>10</v>
      </c>
      <c r="F2741" s="1" t="str">
        <f>"10.10.115.66"</f>
        <v>10.10.115.66</v>
      </c>
      <c r="G2741" s="1" t="str">
        <f>"0428S323"</f>
        <v>0428S323</v>
      </c>
      <c r="H2741" s="1" t="str">
        <f>"신현간 34L12"</f>
        <v>신현간 34L12</v>
      </c>
      <c r="I2741" s="1" t="s">
        <v>8</v>
      </c>
      <c r="J2741" s="1" t="str">
        <f>"9/9"</f>
        <v>9/9</v>
      </c>
      <c r="K2741" s="1" t="str">
        <f>"2026-07-29 13:18:02"</f>
        <v>2026-07-29 13:18:02</v>
      </c>
      <c r="L2741" s="1" t="str">
        <f>"2019-11-18 09:54:48"</f>
        <v>2019-11-18 09:54:48</v>
      </c>
      <c r="M2741" s="1" t="s">
        <v>1</v>
      </c>
      <c r="N2741" s="1" t="s">
        <v>38</v>
      </c>
      <c r="O2741" s="1" t="s">
        <v>46</v>
      </c>
    </row>
    <row r="2742" spans="2:15" x14ac:dyDescent="0.3">
      <c r="B2742" s="1" t="s">
        <v>24</v>
      </c>
      <c r="C2742" s="1" t="str">
        <f>"4차"</f>
        <v>4차</v>
      </c>
      <c r="D2742" s="1" t="str">
        <f>"0428S33244"</f>
        <v>0428S33244</v>
      </c>
      <c r="E2742" s="1" t="s">
        <v>10</v>
      </c>
      <c r="F2742" s="1" t="str">
        <f>"10.10.50.106"</f>
        <v>10.10.50.106</v>
      </c>
      <c r="G2742" s="1" t="str">
        <f>"0428S332"</f>
        <v>0428S332</v>
      </c>
      <c r="H2742" s="1" t="str">
        <f>"신현간 34L9"</f>
        <v>신현간 34L9</v>
      </c>
      <c r="I2742" s="1" t="s">
        <v>8</v>
      </c>
      <c r="J2742" s="1" t="str">
        <f>"51/51"</f>
        <v>51/51</v>
      </c>
      <c r="K2742" s="1" t="str">
        <f>"2026-07-29 13:18:02"</f>
        <v>2026-07-29 13:18:02</v>
      </c>
      <c r="L2742" s="1" t="str">
        <f>"2020-01-13 15:46:14"</f>
        <v>2020-01-13 15:46:14</v>
      </c>
      <c r="M2742" s="1" t="s">
        <v>1</v>
      </c>
      <c r="N2742" s="1" t="s">
        <v>38</v>
      </c>
      <c r="O2742" s="1" t="s">
        <v>46</v>
      </c>
    </row>
    <row r="2743" spans="2:15" x14ac:dyDescent="0.3">
      <c r="B2743" s="1" t="s">
        <v>24</v>
      </c>
      <c r="C2743" s="1" t="str">
        <f>"1차"</f>
        <v>1차</v>
      </c>
      <c r="D2743" s="1" t="str">
        <f>"0428S34100"</f>
        <v>0428S34100</v>
      </c>
      <c r="E2743" s="1" t="s">
        <v>10</v>
      </c>
      <c r="F2743" s="1" t="str">
        <f>"10.89.248.108"</f>
        <v>10.89.248.108</v>
      </c>
      <c r="G2743" s="1" t="str">
        <f>"0428S341"</f>
        <v>0428S341</v>
      </c>
      <c r="H2743" s="1" t="str">
        <f>"신현간 33L7"</f>
        <v>신현간 33L7</v>
      </c>
      <c r="I2743" s="1" t="s">
        <v>8</v>
      </c>
      <c r="J2743" s="1" t="str">
        <f>"19/19"</f>
        <v>19/19</v>
      </c>
      <c r="K2743" s="1" t="str">
        <f>"2026-07-29 13:18:02"</f>
        <v>2026-07-29 13:18:02</v>
      </c>
      <c r="L2743" s="1" t="str">
        <f>"2014-10-07 14:27:21"</f>
        <v>2014-10-07 14:27:21</v>
      </c>
      <c r="M2743" s="1" t="s">
        <v>45</v>
      </c>
      <c r="N2743" s="1" t="s">
        <v>38</v>
      </c>
      <c r="O2743" s="1" t="s">
        <v>46</v>
      </c>
    </row>
    <row r="2744" spans="2:15" x14ac:dyDescent="0.3">
      <c r="B2744" s="1" t="s">
        <v>24</v>
      </c>
      <c r="C2744" s="1" t="str">
        <f>"4차"</f>
        <v>4차</v>
      </c>
      <c r="D2744" s="1" t="str">
        <f>"0428S35144"</f>
        <v>0428S35144</v>
      </c>
      <c r="E2744" s="1" t="s">
        <v>10</v>
      </c>
      <c r="F2744" s="1" t="str">
        <f>"10.10.50.98"</f>
        <v>10.10.50.98</v>
      </c>
      <c r="G2744" s="1" t="str">
        <f>"0428S351"</f>
        <v>0428S351</v>
      </c>
      <c r="H2744" s="1" t="str">
        <f>"신현간 34L6"</f>
        <v>신현간 34L6</v>
      </c>
      <c r="I2744" s="1" t="s">
        <v>8</v>
      </c>
      <c r="J2744" s="1" t="str">
        <f>"12/12"</f>
        <v>12/12</v>
      </c>
      <c r="K2744" s="1" t="str">
        <f>"2026-07-29 13:18:04"</f>
        <v>2026-07-29 13:18:04</v>
      </c>
      <c r="L2744" s="1" t="str">
        <f>"2019-11-18 10:01:41"</f>
        <v>2019-11-18 10:01:41</v>
      </c>
      <c r="M2744" s="1" t="s">
        <v>1</v>
      </c>
      <c r="N2744" s="1" t="s">
        <v>38</v>
      </c>
      <c r="O2744" s="1" t="s">
        <v>46</v>
      </c>
    </row>
    <row r="2745" spans="2:15" x14ac:dyDescent="0.3">
      <c r="B2745" s="1" t="s">
        <v>24</v>
      </c>
      <c r="C2745" s="1" t="str">
        <f>"3차"</f>
        <v>3차</v>
      </c>
      <c r="D2745" s="1" t="str">
        <f>"0428S37139"</f>
        <v>0428S37139</v>
      </c>
      <c r="E2745" s="1" t="s">
        <v>10</v>
      </c>
      <c r="F2745" s="1" t="str">
        <f>"10.10.6.18"</f>
        <v>10.10.6.18</v>
      </c>
      <c r="G2745" s="1" t="str">
        <f>"0428S371"</f>
        <v>0428S371</v>
      </c>
      <c r="H2745" s="1" t="str">
        <f>"신현간 34L4"</f>
        <v>신현간 34L4</v>
      </c>
      <c r="I2745" s="1" t="s">
        <v>8</v>
      </c>
      <c r="J2745" s="1" t="str">
        <f>"16/16"</f>
        <v>16/16</v>
      </c>
      <c r="K2745" s="1" t="str">
        <f>"2026-07-29 13:18:03"</f>
        <v>2026-07-29 13:18:03</v>
      </c>
      <c r="L2745" s="1" t="str">
        <f>"2018-02-26 13:54:56"</f>
        <v>2018-02-26 13:54:56</v>
      </c>
      <c r="M2745" s="1" t="s">
        <v>1</v>
      </c>
      <c r="N2745" s="1" t="s">
        <v>38</v>
      </c>
      <c r="O2745" s="1" t="s">
        <v>46</v>
      </c>
    </row>
    <row r="2746" spans="2:15" x14ac:dyDescent="0.3">
      <c r="B2746" s="1" t="s">
        <v>24</v>
      </c>
      <c r="C2746" s="1" t="str">
        <f>"1차"</f>
        <v>1차</v>
      </c>
      <c r="D2746" s="1" t="str">
        <f>"0428S37200"</f>
        <v>0428S37200</v>
      </c>
      <c r="E2746" s="1" t="s">
        <v>10</v>
      </c>
      <c r="F2746" s="1" t="str">
        <f>"10.89.248.101"</f>
        <v>10.89.248.101</v>
      </c>
      <c r="G2746" s="1" t="str">
        <f>"0428S372"</f>
        <v>0428S372</v>
      </c>
      <c r="H2746" s="1" t="str">
        <f>"신현간 34L3"</f>
        <v>신현간 34L3</v>
      </c>
      <c r="I2746" s="1" t="s">
        <v>8</v>
      </c>
      <c r="J2746" s="1" t="str">
        <f>"33/33"</f>
        <v>33/33</v>
      </c>
      <c r="K2746" s="1" t="str">
        <f>"2026-07-29 13:18:03"</f>
        <v>2026-07-29 13:18:03</v>
      </c>
      <c r="L2746" s="1" t="str">
        <f>"2014-10-07 14:26:55"</f>
        <v>2014-10-07 14:26:55</v>
      </c>
      <c r="M2746" s="1" t="s">
        <v>45</v>
      </c>
      <c r="N2746" s="1" t="s">
        <v>38</v>
      </c>
      <c r="O2746" s="1" t="s">
        <v>46</v>
      </c>
    </row>
    <row r="2747" spans="2:15" x14ac:dyDescent="0.3">
      <c r="B2747" s="1" t="s">
        <v>24</v>
      </c>
      <c r="C2747" s="1" t="str">
        <f>"1차"</f>
        <v>1차</v>
      </c>
      <c r="D2747" s="1" t="str">
        <f>"0428S38300"</f>
        <v>0428S38300</v>
      </c>
      <c r="E2747" s="1" t="s">
        <v>10</v>
      </c>
      <c r="F2747" s="1" t="str">
        <f>"10.89.248.105"</f>
        <v>10.89.248.105</v>
      </c>
      <c r="G2747" s="1" t="str">
        <f>"0428S383"</f>
        <v>0428S383</v>
      </c>
      <c r="H2747" s="1" t="str">
        <f>"신현간 33L1"</f>
        <v>신현간 33L1</v>
      </c>
      <c r="I2747" s="1" t="s">
        <v>8</v>
      </c>
      <c r="J2747" s="1" t="str">
        <f>"30/30"</f>
        <v>30/30</v>
      </c>
      <c r="K2747" s="1" t="str">
        <f>"2026-07-29 13:18:03"</f>
        <v>2026-07-29 13:18:03</v>
      </c>
      <c r="L2747" s="1" t="str">
        <f>"2014-10-14 10:56:27"</f>
        <v>2014-10-14 10:56:27</v>
      </c>
      <c r="M2747" s="1" t="s">
        <v>45</v>
      </c>
      <c r="N2747" s="1" t="s">
        <v>38</v>
      </c>
      <c r="O2747" s="1" t="s">
        <v>46</v>
      </c>
    </row>
    <row r="2748" spans="2:15" x14ac:dyDescent="0.3">
      <c r="B2748" s="1" t="s">
        <v>24</v>
      </c>
      <c r="C2748" s="1" t="str">
        <f>"6차"</f>
        <v>6차</v>
      </c>
      <c r="D2748" s="1" t="str">
        <f>"0428S3916S"</f>
        <v>0428S3916S</v>
      </c>
      <c r="E2748" s="1" t="s">
        <v>10</v>
      </c>
      <c r="F2748" s="1" t="str">
        <f>"fde1:103:4:9270:0:0:0:2"</f>
        <v>fde1:103:4:9270:0:0:0:2</v>
      </c>
      <c r="G2748" s="1" t="str">
        <f>"0428S391"</f>
        <v>0428S391</v>
      </c>
      <c r="H2748" s="1" t="str">
        <f>"신현간 31"</f>
        <v>신현간 31</v>
      </c>
      <c r="I2748" s="1" t="s">
        <v>15</v>
      </c>
      <c r="J2748" s="1" t="str">
        <f>"38/39"</f>
        <v>38/39</v>
      </c>
      <c r="K2748" s="1" t="str">
        <f>"2026-07-29 14:21:02"</f>
        <v>2026-07-29 14:21:02</v>
      </c>
      <c r="L2748" s="1" t="str">
        <f>"2025-02-20 17:41:27"</f>
        <v>2025-02-20 17:41:27</v>
      </c>
      <c r="M2748" s="1" t="s">
        <v>4</v>
      </c>
      <c r="N2748" s="1" t="s">
        <v>38</v>
      </c>
      <c r="O2748" s="1" t="s">
        <v>46</v>
      </c>
    </row>
    <row r="2749" spans="2:15" x14ac:dyDescent="0.3">
      <c r="B2749" s="1" t="s">
        <v>24</v>
      </c>
      <c r="C2749" s="1" t="str">
        <f>"1차"</f>
        <v>1차</v>
      </c>
      <c r="D2749" s="1" t="str">
        <f>"0428S45400"</f>
        <v>0428S45400</v>
      </c>
      <c r="E2749" s="1" t="s">
        <v>10</v>
      </c>
      <c r="F2749" s="1" t="str">
        <f>"10.89.248.110"</f>
        <v>10.89.248.110</v>
      </c>
      <c r="G2749" s="1" t="str">
        <f>"0428S454"</f>
        <v>0428S454</v>
      </c>
      <c r="H2749" s="1" t="str">
        <f>"신현간 20L7R3"</f>
        <v>신현간 20L7R3</v>
      </c>
      <c r="I2749" s="1" t="s">
        <v>8</v>
      </c>
      <c r="J2749" s="1" t="str">
        <f>"23/23"</f>
        <v>23/23</v>
      </c>
      <c r="K2749" s="1" t="str">
        <f>"2026-07-29 13:18:03"</f>
        <v>2026-07-29 13:18:03</v>
      </c>
      <c r="L2749" s="1" t="str">
        <f>"2014-10-07 14:27:35"</f>
        <v>2014-10-07 14:27:35</v>
      </c>
      <c r="M2749" s="1" t="s">
        <v>45</v>
      </c>
      <c r="N2749" s="1" t="s">
        <v>38</v>
      </c>
      <c r="O2749" s="1" t="s">
        <v>46</v>
      </c>
    </row>
    <row r="2750" spans="2:15" x14ac:dyDescent="0.3">
      <c r="B2750" s="1" t="s">
        <v>24</v>
      </c>
      <c r="C2750" s="1" t="str">
        <f>"4차"</f>
        <v>4차</v>
      </c>
      <c r="D2750" s="1" t="str">
        <f>"0428S47142"</f>
        <v>0428S47142</v>
      </c>
      <c r="E2750" s="1" t="s">
        <v>10</v>
      </c>
      <c r="F2750" s="1" t="str">
        <f>"10.12.134.38"</f>
        <v>10.12.134.38</v>
      </c>
      <c r="G2750" s="1" t="str">
        <f>"0428S471"</f>
        <v>0428S471</v>
      </c>
      <c r="H2750" s="1" t="str">
        <f>"신현간 20L7R5"</f>
        <v>신현간 20L7R5</v>
      </c>
      <c r="I2750" s="1" t="s">
        <v>8</v>
      </c>
      <c r="J2750" s="1" t="str">
        <f>"74/76"</f>
        <v>74/76</v>
      </c>
      <c r="K2750" s="1" t="str">
        <f>"2026-07-29 07:18:07"</f>
        <v>2026-07-29 07:18:07</v>
      </c>
      <c r="L2750" s="1" t="str">
        <f>"2024-05-28 17:25:26"</f>
        <v>2024-05-28 17:25:26</v>
      </c>
      <c r="M2750" s="1" t="s">
        <v>0</v>
      </c>
      <c r="N2750" s="1" t="s">
        <v>38</v>
      </c>
      <c r="O2750" s="1" t="s">
        <v>46</v>
      </c>
    </row>
    <row r="2751" spans="2:15" x14ac:dyDescent="0.3">
      <c r="B2751" s="1" t="s">
        <v>24</v>
      </c>
      <c r="C2751" s="1" t="str">
        <f>"5-2차"</f>
        <v>5-2차</v>
      </c>
      <c r="D2751" s="1" t="str">
        <f>"0428S4745M"</f>
        <v>0428S4745M</v>
      </c>
      <c r="E2751" s="1" t="s">
        <v>10</v>
      </c>
      <c r="F2751" s="1" t="str">
        <f>"fde3:102:1430:8100:0:0:0:7"</f>
        <v>fde3:102:1430:8100:0:0:0:7</v>
      </c>
      <c r="G2751" s="1" t="str">
        <f>"0428S474"</f>
        <v>0428S474</v>
      </c>
      <c r="H2751" s="1" t="str">
        <f>"신현간 25L7"</f>
        <v>신현간 25L7</v>
      </c>
      <c r="I2751" s="1" t="s">
        <v>15</v>
      </c>
      <c r="J2751" s="1" t="str">
        <f>"37/37"</f>
        <v>37/37</v>
      </c>
      <c r="K2751" s="1" t="str">
        <f>"2026-07-29 14:21:04"</f>
        <v>2026-07-29 14:21:04</v>
      </c>
      <c r="L2751" s="1" t="str">
        <f>"2024-01-11 15:35:04"</f>
        <v>2024-01-11 15:35:04</v>
      </c>
      <c r="M2751" s="1" t="s">
        <v>45</v>
      </c>
      <c r="N2751" s="1" t="s">
        <v>38</v>
      </c>
      <c r="O2751" s="1" t="s">
        <v>46</v>
      </c>
    </row>
    <row r="2752" spans="2:15" x14ac:dyDescent="0.3">
      <c r="B2752" s="1" t="s">
        <v>24</v>
      </c>
      <c r="C2752" s="1" t="str">
        <f>"3차"</f>
        <v>3차</v>
      </c>
      <c r="D2752" s="1" t="str">
        <f>"0428S48239"</f>
        <v>0428S48239</v>
      </c>
      <c r="E2752" s="1" t="s">
        <v>10</v>
      </c>
      <c r="F2752" s="1" t="str">
        <f>"10.10.39.202"</f>
        <v>10.10.39.202</v>
      </c>
      <c r="G2752" s="1" t="str">
        <f>"0428S482"</f>
        <v>0428S482</v>
      </c>
      <c r="H2752" s="1" t="str">
        <f>"신현간 31L1"</f>
        <v>신현간 31L1</v>
      </c>
      <c r="I2752" s="1" t="s">
        <v>8</v>
      </c>
      <c r="J2752" s="1" t="str">
        <f>"33/33"</f>
        <v>33/33</v>
      </c>
      <c r="K2752" s="1" t="str">
        <f t="shared" ref="K2752:K2757" si="162">"2026-07-29 13:18:03"</f>
        <v>2026-07-29 13:18:03</v>
      </c>
      <c r="L2752" s="1" t="str">
        <f>"2018-02-12 15:50:25"</f>
        <v>2018-02-12 15:50:25</v>
      </c>
      <c r="M2752" s="1" t="s">
        <v>1</v>
      </c>
      <c r="N2752" s="1" t="s">
        <v>38</v>
      </c>
      <c r="O2752" s="1" t="s">
        <v>46</v>
      </c>
    </row>
    <row r="2753" spans="2:15" x14ac:dyDescent="0.3">
      <c r="B2753" s="1" t="s">
        <v>24</v>
      </c>
      <c r="C2753" s="1" t="str">
        <f>"3차"</f>
        <v>3차</v>
      </c>
      <c r="D2753" s="1" t="str">
        <f>"0428S49439"</f>
        <v>0428S49439</v>
      </c>
      <c r="E2753" s="1" t="s">
        <v>10</v>
      </c>
      <c r="F2753" s="1" t="str">
        <f>"10.10.18.250"</f>
        <v>10.10.18.250</v>
      </c>
      <c r="G2753" s="1" t="str">
        <f>"0428S494"</f>
        <v>0428S494</v>
      </c>
      <c r="H2753" s="1" t="str">
        <f>"신현간 29"</f>
        <v>신현간 29</v>
      </c>
      <c r="I2753" s="1" t="s">
        <v>8</v>
      </c>
      <c r="J2753" s="1" t="str">
        <f>"33/33"</f>
        <v>33/33</v>
      </c>
      <c r="K2753" s="1" t="str">
        <f t="shared" si="162"/>
        <v>2026-07-29 13:18:03</v>
      </c>
      <c r="L2753" s="1" t="str">
        <f>"2018-03-16 07:55:54"</f>
        <v>2018-03-16 07:55:54</v>
      </c>
      <c r="M2753" s="1" t="s">
        <v>1</v>
      </c>
      <c r="N2753" s="1" t="s">
        <v>38</v>
      </c>
      <c r="O2753" s="1" t="s">
        <v>46</v>
      </c>
    </row>
    <row r="2754" spans="2:15" x14ac:dyDescent="0.3">
      <c r="B2754" s="1" t="s">
        <v>24</v>
      </c>
      <c r="C2754" s="1" t="str">
        <f>"3차"</f>
        <v>3차</v>
      </c>
      <c r="D2754" s="1" t="str">
        <f>"0428S49539"</f>
        <v>0428S49539</v>
      </c>
      <c r="E2754" s="1" t="s">
        <v>10</v>
      </c>
      <c r="F2754" s="1" t="str">
        <f>"10.10.18.234"</f>
        <v>10.10.18.234</v>
      </c>
      <c r="G2754" s="1" t="str">
        <f>"0428S495"</f>
        <v>0428S495</v>
      </c>
      <c r="H2754" s="1" t="str">
        <f>"신현간 28"</f>
        <v>신현간 28</v>
      </c>
      <c r="I2754" s="1" t="s">
        <v>8</v>
      </c>
      <c r="J2754" s="1" t="str">
        <f>"19/21"</f>
        <v>19/21</v>
      </c>
      <c r="K2754" s="1" t="str">
        <f t="shared" si="162"/>
        <v>2026-07-29 13:18:03</v>
      </c>
      <c r="L2754" s="1" t="str">
        <f>"2018-02-12 15:33:10"</f>
        <v>2018-02-12 15:33:10</v>
      </c>
      <c r="M2754" s="1" t="s">
        <v>1</v>
      </c>
      <c r="N2754" s="1" t="s">
        <v>38</v>
      </c>
      <c r="O2754" s="1" t="s">
        <v>46</v>
      </c>
    </row>
    <row r="2755" spans="2:15" x14ac:dyDescent="0.3">
      <c r="B2755" s="1" t="s">
        <v>24</v>
      </c>
      <c r="C2755" s="1" t="str">
        <f>"1차"</f>
        <v>1차</v>
      </c>
      <c r="D2755" s="1" t="str">
        <f>"0428S57201"</f>
        <v>0428S57201</v>
      </c>
      <c r="E2755" s="1" t="s">
        <v>10</v>
      </c>
      <c r="F2755" s="1" t="str">
        <f>"10.12.128.239"</f>
        <v>10.12.128.239</v>
      </c>
      <c r="G2755" s="1" t="str">
        <f>"0428S572"</f>
        <v>0428S572</v>
      </c>
      <c r="H2755" s="1" t="str">
        <f>"신현간 20L7R8"</f>
        <v>신현간 20L7R8</v>
      </c>
      <c r="I2755" s="1" t="s">
        <v>8</v>
      </c>
      <c r="J2755" s="1" t="str">
        <f>"5/5"</f>
        <v>5/5</v>
      </c>
      <c r="K2755" s="1" t="str">
        <f t="shared" si="162"/>
        <v>2026-07-29 13:18:03</v>
      </c>
      <c r="L2755" s="1" t="str">
        <f>"2014-10-14 15:26:36"</f>
        <v>2014-10-14 15:26:36</v>
      </c>
      <c r="M2755" s="1" t="s">
        <v>0</v>
      </c>
      <c r="N2755" s="1" t="s">
        <v>38</v>
      </c>
      <c r="O2755" s="1" t="s">
        <v>46</v>
      </c>
    </row>
    <row r="2756" spans="2:15" x14ac:dyDescent="0.3">
      <c r="B2756" s="1" t="s">
        <v>24</v>
      </c>
      <c r="C2756" s="1" t="str">
        <f>"3차"</f>
        <v>3차</v>
      </c>
      <c r="D2756" s="1" t="str">
        <f>"0428S65139"</f>
        <v>0428S65139</v>
      </c>
      <c r="E2756" s="1" t="s">
        <v>10</v>
      </c>
      <c r="F2756" s="1" t="str">
        <f>"10.10.19.10"</f>
        <v>10.10.19.10</v>
      </c>
      <c r="G2756" s="1" t="str">
        <f>"0428S651"</f>
        <v>0428S651</v>
      </c>
      <c r="H2756" s="1" t="str">
        <f>"신현간 20L7"</f>
        <v>신현간 20L7</v>
      </c>
      <c r="I2756" s="1" t="s">
        <v>8</v>
      </c>
      <c r="J2756" s="1" t="str">
        <f>"9/9"</f>
        <v>9/9</v>
      </c>
      <c r="K2756" s="1" t="str">
        <f t="shared" si="162"/>
        <v>2026-07-29 13:18:03</v>
      </c>
      <c r="L2756" s="1" t="str">
        <f>"2018-02-12 13:50:25"</f>
        <v>2018-02-12 13:50:25</v>
      </c>
      <c r="M2756" s="1" t="s">
        <v>1</v>
      </c>
      <c r="N2756" s="1" t="s">
        <v>38</v>
      </c>
      <c r="O2756" s="1" t="s">
        <v>46</v>
      </c>
    </row>
    <row r="2757" spans="2:15" x14ac:dyDescent="0.3">
      <c r="B2757" s="1" t="s">
        <v>24</v>
      </c>
      <c r="C2757" s="1" t="str">
        <f>"3차"</f>
        <v>3차</v>
      </c>
      <c r="D2757" s="1" t="str">
        <f>"0428S65339"</f>
        <v>0428S65339</v>
      </c>
      <c r="E2757" s="1" t="s">
        <v>10</v>
      </c>
      <c r="F2757" s="1" t="str">
        <f>"10.10.19.2"</f>
        <v>10.10.19.2</v>
      </c>
      <c r="G2757" s="1" t="str">
        <f>"0428S653"</f>
        <v>0428S653</v>
      </c>
      <c r="H2757" s="1" t="str">
        <f>"신현간 20L8"</f>
        <v>신현간 20L8</v>
      </c>
      <c r="I2757" s="1" t="s">
        <v>8</v>
      </c>
      <c r="J2757" s="1" t="str">
        <f>"3/3"</f>
        <v>3/3</v>
      </c>
      <c r="K2757" s="1" t="str">
        <f t="shared" si="162"/>
        <v>2026-07-29 13:18:03</v>
      </c>
      <c r="L2757" s="1" t="str">
        <f>"2018-02-12 13:56:54"</f>
        <v>2018-02-12 13:56:54</v>
      </c>
      <c r="M2757" s="1" t="s">
        <v>1</v>
      </c>
      <c r="N2757" s="1" t="s">
        <v>38</v>
      </c>
      <c r="O2757" s="1" t="s">
        <v>46</v>
      </c>
    </row>
    <row r="2758" spans="2:15" x14ac:dyDescent="0.3">
      <c r="B2758" s="1" t="s">
        <v>24</v>
      </c>
      <c r="C2758" s="1" t="str">
        <f>"4차"</f>
        <v>4차</v>
      </c>
      <c r="D2758" s="1" t="str">
        <f>"0428S69242"</f>
        <v>0428S69242</v>
      </c>
      <c r="E2758" s="1" t="s">
        <v>10</v>
      </c>
      <c r="F2758" s="1" t="str">
        <f>"10.12.130.59"</f>
        <v>10.12.130.59</v>
      </c>
      <c r="G2758" s="1" t="str">
        <f>"0428S692"</f>
        <v>0428S692</v>
      </c>
      <c r="H2758" s="1" t="str">
        <f>"신현간 25L2A1"</f>
        <v>신현간 25L2A1</v>
      </c>
      <c r="I2758" s="1" t="s">
        <v>8</v>
      </c>
      <c r="J2758" s="1" t="str">
        <f>"73/73"</f>
        <v>73/73</v>
      </c>
      <c r="K2758" s="1" t="str">
        <f>"2026-07-29 13:18:01"</f>
        <v>2026-07-29 13:18:01</v>
      </c>
      <c r="L2758" s="1" t="str">
        <f>"2024-05-24 15:41:18"</f>
        <v>2024-05-24 15:41:18</v>
      </c>
      <c r="M2758" s="1" t="s">
        <v>0</v>
      </c>
      <c r="N2758" s="1" t="s">
        <v>38</v>
      </c>
      <c r="O2758" s="1" t="s">
        <v>46</v>
      </c>
    </row>
    <row r="2759" spans="2:15" x14ac:dyDescent="0.3">
      <c r="B2759" s="1" t="s">
        <v>24</v>
      </c>
      <c r="C2759" s="1" t="str">
        <f>"3차"</f>
        <v>3차</v>
      </c>
      <c r="D2759" s="1" t="str">
        <f>"0428S76339"</f>
        <v>0428S76339</v>
      </c>
      <c r="E2759" s="1" t="s">
        <v>10</v>
      </c>
      <c r="F2759" s="1" t="str">
        <f>"10.10.19.194"</f>
        <v>10.10.19.194</v>
      </c>
      <c r="G2759" s="1" t="str">
        <f>"0428S763"</f>
        <v>0428S763</v>
      </c>
      <c r="H2759" s="1" t="str">
        <f>"신현간 20L6"</f>
        <v>신현간 20L6</v>
      </c>
      <c r="I2759" s="1" t="s">
        <v>8</v>
      </c>
      <c r="J2759" s="1" t="str">
        <f>"43/43"</f>
        <v>43/43</v>
      </c>
      <c r="K2759" s="1" t="str">
        <f>"2026-07-29 13:18:03"</f>
        <v>2026-07-29 13:18:03</v>
      </c>
      <c r="L2759" s="1" t="str">
        <f>"2018-05-11 18:12:31"</f>
        <v>2018-05-11 18:12:31</v>
      </c>
      <c r="M2759" s="1" t="s">
        <v>1</v>
      </c>
      <c r="N2759" s="1" t="s">
        <v>38</v>
      </c>
      <c r="O2759" s="1" t="s">
        <v>46</v>
      </c>
    </row>
    <row r="2760" spans="2:15" x14ac:dyDescent="0.3">
      <c r="B2760" s="1" t="s">
        <v>24</v>
      </c>
      <c r="C2760" s="1" t="str">
        <f>"4차"</f>
        <v>4차</v>
      </c>
      <c r="D2760" s="1" t="str">
        <f>"0428S76439"</f>
        <v>0428S76439</v>
      </c>
      <c r="E2760" s="1" t="s">
        <v>10</v>
      </c>
      <c r="F2760" s="1" t="str">
        <f>"10.10.18.218"</f>
        <v>10.10.18.218</v>
      </c>
      <c r="G2760" s="1" t="str">
        <f>"0428S764"</f>
        <v>0428S764</v>
      </c>
      <c r="H2760" s="1" t="str">
        <f>"신현간 20L5"</f>
        <v>신현간 20L5</v>
      </c>
      <c r="I2760" s="1" t="s">
        <v>8</v>
      </c>
      <c r="J2760" s="1" t="str">
        <f>"29/29"</f>
        <v>29/29</v>
      </c>
      <c r="K2760" s="1" t="str">
        <f>"2026-07-29 13:18:03"</f>
        <v>2026-07-29 13:18:03</v>
      </c>
      <c r="L2760" s="1" t="str">
        <f>"2018-02-12 13:53:09"</f>
        <v>2018-02-12 13:53:09</v>
      </c>
      <c r="M2760" s="1" t="s">
        <v>1</v>
      </c>
      <c r="N2760" s="1" t="s">
        <v>38</v>
      </c>
      <c r="O2760" s="1" t="s">
        <v>46</v>
      </c>
    </row>
    <row r="2761" spans="2:15" x14ac:dyDescent="0.3">
      <c r="B2761" s="1" t="s">
        <v>24</v>
      </c>
      <c r="C2761" s="1" t="str">
        <f>"3차"</f>
        <v>3차</v>
      </c>
      <c r="D2761" s="1" t="str">
        <f>"0428S78139"</f>
        <v>0428S78139</v>
      </c>
      <c r="E2761" s="1" t="s">
        <v>10</v>
      </c>
      <c r="F2761" s="1" t="str">
        <f>"10.89.246.98"</f>
        <v>10.89.246.98</v>
      </c>
      <c r="G2761" s="1" t="str">
        <f>"0428S781"</f>
        <v>0428S781</v>
      </c>
      <c r="H2761" s="1" t="str">
        <f>"신현간 25L2L2"</f>
        <v>신현간 25L2L2</v>
      </c>
      <c r="I2761" s="1" t="s">
        <v>8</v>
      </c>
      <c r="J2761" s="1" t="str">
        <f>"10/11"</f>
        <v>10/11</v>
      </c>
      <c r="K2761" s="1" t="str">
        <f>"2026-07-29 13:18:03"</f>
        <v>2026-07-29 13:18:03</v>
      </c>
      <c r="L2761" s="1" t="str">
        <f>"2018-04-11 11:51:41"</f>
        <v>2018-04-11 11:51:41</v>
      </c>
      <c r="M2761" s="1" t="s">
        <v>45</v>
      </c>
      <c r="N2761" s="1" t="s">
        <v>38</v>
      </c>
      <c r="O2761" s="1" t="s">
        <v>46</v>
      </c>
    </row>
    <row r="2762" spans="2:15" x14ac:dyDescent="0.3">
      <c r="B2762" s="1" t="s">
        <v>24</v>
      </c>
      <c r="C2762" s="1" t="str">
        <f>"4차"</f>
        <v>4차</v>
      </c>
      <c r="D2762" s="1" t="str">
        <f>"0428S86431"</f>
        <v>0428S86431</v>
      </c>
      <c r="E2762" s="1" t="s">
        <v>10</v>
      </c>
      <c r="F2762" s="1" t="str">
        <f>"10.10.18.227"</f>
        <v>10.10.18.227</v>
      </c>
      <c r="G2762" s="1" t="str">
        <f>"0428S864"</f>
        <v>0428S864</v>
      </c>
      <c r="H2762" s="1" t="str">
        <f>"신현간 20L4"</f>
        <v>신현간 20L4</v>
      </c>
      <c r="I2762" s="1" t="s">
        <v>8</v>
      </c>
      <c r="J2762" s="1" t="str">
        <f>"56/69"</f>
        <v>56/69</v>
      </c>
      <c r="K2762" s="1" t="str">
        <f>"2026-07-29 13:18:03"</f>
        <v>2026-07-29 13:18:03</v>
      </c>
      <c r="L2762" s="1" t="str">
        <f>"2018-02-12 13:48:54"</f>
        <v>2018-02-12 13:48:54</v>
      </c>
      <c r="M2762" s="1" t="s">
        <v>1</v>
      </c>
      <c r="N2762" s="1" t="s">
        <v>38</v>
      </c>
      <c r="O2762" s="1" t="s">
        <v>46</v>
      </c>
    </row>
    <row r="2763" spans="2:15" x14ac:dyDescent="0.3">
      <c r="B2763" s="1" t="s">
        <v>24</v>
      </c>
      <c r="C2763" s="1" t="str">
        <f t="shared" ref="C2763:C2768" si="163">"3차"</f>
        <v>3차</v>
      </c>
      <c r="D2763" s="1" t="str">
        <f>"0428S87130"</f>
        <v>0428S87130</v>
      </c>
      <c r="E2763" s="1" t="s">
        <v>10</v>
      </c>
      <c r="F2763" s="1" t="str">
        <f>"10.10.18.226"</f>
        <v>10.10.18.226</v>
      </c>
      <c r="G2763" s="1" t="str">
        <f>"0428S871"</f>
        <v>0428S871</v>
      </c>
      <c r="H2763" s="1" t="str">
        <f>"신현간 20L3"</f>
        <v>신현간 20L3</v>
      </c>
      <c r="I2763" s="1" t="s">
        <v>8</v>
      </c>
      <c r="J2763" s="1" t="str">
        <f>"16/16"</f>
        <v>16/16</v>
      </c>
      <c r="K2763" s="1" t="str">
        <f>"2026-07-29 13:18:03"</f>
        <v>2026-07-29 13:18:03</v>
      </c>
      <c r="L2763" s="1" t="str">
        <f>"2018-02-12 13:48:10"</f>
        <v>2018-02-12 13:48:10</v>
      </c>
      <c r="M2763" s="1" t="s">
        <v>1</v>
      </c>
      <c r="N2763" s="1" t="s">
        <v>38</v>
      </c>
      <c r="O2763" s="1" t="s">
        <v>46</v>
      </c>
    </row>
    <row r="2764" spans="2:15" x14ac:dyDescent="0.3">
      <c r="B2764" s="1" t="s">
        <v>24</v>
      </c>
      <c r="C2764" s="1" t="str">
        <f t="shared" si="163"/>
        <v>3차</v>
      </c>
      <c r="D2764" s="1" t="str">
        <f>"0428S87439"</f>
        <v>0428S87439</v>
      </c>
      <c r="E2764" s="1" t="s">
        <v>10</v>
      </c>
      <c r="F2764" s="1" t="str">
        <f>"10.14.11.10"</f>
        <v>10.14.11.10</v>
      </c>
      <c r="G2764" s="1" t="str">
        <f>"0428S874"</f>
        <v>0428S874</v>
      </c>
      <c r="H2764" s="1" t="str">
        <f>"신현간 20L4H1"</f>
        <v>신현간 20L4H1</v>
      </c>
      <c r="I2764" s="1" t="s">
        <v>8</v>
      </c>
      <c r="J2764" s="1" t="str">
        <f>"28/28"</f>
        <v>28/28</v>
      </c>
      <c r="K2764" s="1" t="str">
        <f>"2026-07-29 13:18:06"</f>
        <v>2026-07-29 13:18:06</v>
      </c>
      <c r="L2764" s="1" t="str">
        <f>"2018-03-27 10:41:43"</f>
        <v>2018-03-27 10:41:43</v>
      </c>
      <c r="M2764" s="1" t="s">
        <v>3</v>
      </c>
      <c r="N2764" s="1" t="s">
        <v>38</v>
      </c>
      <c r="O2764" s="1" t="s">
        <v>46</v>
      </c>
    </row>
    <row r="2765" spans="2:15" x14ac:dyDescent="0.3">
      <c r="B2765" s="1" t="s">
        <v>24</v>
      </c>
      <c r="C2765" s="1" t="str">
        <f t="shared" si="163"/>
        <v>3차</v>
      </c>
      <c r="D2765" s="1" t="str">
        <f>"0428S97139"</f>
        <v>0428S97139</v>
      </c>
      <c r="E2765" s="1" t="s">
        <v>10</v>
      </c>
      <c r="F2765" s="1" t="str">
        <f>"10.10.5.186"</f>
        <v>10.10.5.186</v>
      </c>
      <c r="G2765" s="1" t="str">
        <f>"0428S971"</f>
        <v>0428S971</v>
      </c>
      <c r="H2765" s="1" t="str">
        <f>"신현간 20L5H1L2"</f>
        <v>신현간 20L5H1L2</v>
      </c>
      <c r="I2765" s="1" t="s">
        <v>8</v>
      </c>
      <c r="J2765" s="1" t="str">
        <f>"40/44"</f>
        <v>40/44</v>
      </c>
      <c r="K2765" s="1" t="str">
        <f t="shared" ref="K2765:K2770" si="164">"2026-07-29 13:18:03"</f>
        <v>2026-07-29 13:18:03</v>
      </c>
      <c r="L2765" s="1" t="str">
        <f>"2018-02-26 11:58:11"</f>
        <v>2018-02-26 11:58:11</v>
      </c>
      <c r="M2765" s="1" t="s">
        <v>1</v>
      </c>
      <c r="N2765" s="1" t="s">
        <v>38</v>
      </c>
      <c r="O2765" s="1" t="s">
        <v>46</v>
      </c>
    </row>
    <row r="2766" spans="2:15" x14ac:dyDescent="0.3">
      <c r="B2766" s="1" t="s">
        <v>24</v>
      </c>
      <c r="C2766" s="1" t="str">
        <f t="shared" si="163"/>
        <v>3차</v>
      </c>
      <c r="D2766" s="1" t="str">
        <f>"0428S97439"</f>
        <v>0428S97439</v>
      </c>
      <c r="E2766" s="1" t="s">
        <v>10</v>
      </c>
      <c r="F2766" s="1" t="str">
        <f>"10.12.132.69"</f>
        <v>10.12.132.69</v>
      </c>
      <c r="G2766" s="1" t="str">
        <f>"0428S974"</f>
        <v>0428S974</v>
      </c>
      <c r="H2766" s="1" t="str">
        <f>"신현간 20L5H1L3"</f>
        <v>신현간 20L5H1L3</v>
      </c>
      <c r="I2766" s="1" t="s">
        <v>8</v>
      </c>
      <c r="J2766" s="1" t="str">
        <f>"80/126"</f>
        <v>80/126</v>
      </c>
      <c r="K2766" s="1" t="str">
        <f t="shared" si="164"/>
        <v>2026-07-29 13:18:03</v>
      </c>
      <c r="L2766" s="1" t="str">
        <f>"2021-02-02 17:53:26"</f>
        <v>2021-02-02 17:53:26</v>
      </c>
      <c r="M2766" s="1" t="s">
        <v>0</v>
      </c>
      <c r="N2766" s="1" t="s">
        <v>38</v>
      </c>
      <c r="O2766" s="1" t="s">
        <v>46</v>
      </c>
    </row>
    <row r="2767" spans="2:15" x14ac:dyDescent="0.3">
      <c r="B2767" s="1" t="s">
        <v>24</v>
      </c>
      <c r="C2767" s="1" t="str">
        <f t="shared" si="163"/>
        <v>3차</v>
      </c>
      <c r="D2767" s="1" t="str">
        <f>"0428S98131"</f>
        <v>0428S98131</v>
      </c>
      <c r="E2767" s="1" t="s">
        <v>10</v>
      </c>
      <c r="F2767" s="1" t="str">
        <f>"10.10.22.163"</f>
        <v>10.10.22.163</v>
      </c>
      <c r="G2767" s="1" t="str">
        <f>"0428S981"</f>
        <v>0428S981</v>
      </c>
      <c r="H2767" s="1" t="str">
        <f>"신현간 20L2"</f>
        <v>신현간 20L2</v>
      </c>
      <c r="I2767" s="1" t="s">
        <v>8</v>
      </c>
      <c r="J2767" s="1" t="str">
        <f>"15/15"</f>
        <v>15/15</v>
      </c>
      <c r="K2767" s="1" t="str">
        <f t="shared" si="164"/>
        <v>2026-07-29 13:18:03</v>
      </c>
      <c r="L2767" s="1" t="str">
        <f>"2018-02-12 13:49:10"</f>
        <v>2018-02-12 13:49:10</v>
      </c>
      <c r="M2767" s="1" t="s">
        <v>1</v>
      </c>
      <c r="N2767" s="1" t="s">
        <v>38</v>
      </c>
      <c r="O2767" s="1" t="s">
        <v>46</v>
      </c>
    </row>
    <row r="2768" spans="2:15" x14ac:dyDescent="0.3">
      <c r="B2768" s="1" t="s">
        <v>24</v>
      </c>
      <c r="C2768" s="1" t="str">
        <f t="shared" si="163"/>
        <v>3차</v>
      </c>
      <c r="D2768" s="1" t="str">
        <f>"0428S98230"</f>
        <v>0428S98230</v>
      </c>
      <c r="E2768" s="1" t="s">
        <v>10</v>
      </c>
      <c r="F2768" s="1" t="str">
        <f>"10.10.22.162"</f>
        <v>10.10.22.162</v>
      </c>
      <c r="G2768" s="1" t="str">
        <f>"0428S982"</f>
        <v>0428S982</v>
      </c>
      <c r="H2768" s="1" t="str">
        <f>"신현간 20L1"</f>
        <v>신현간 20L1</v>
      </c>
      <c r="I2768" s="1" t="s">
        <v>8</v>
      </c>
      <c r="J2768" s="1" t="str">
        <f>"8/8"</f>
        <v>8/8</v>
      </c>
      <c r="K2768" s="1" t="str">
        <f t="shared" si="164"/>
        <v>2026-07-29 13:18:03</v>
      </c>
      <c r="L2768" s="1" t="str">
        <f>"2018-02-12 13:55:39"</f>
        <v>2018-02-12 13:55:39</v>
      </c>
      <c r="M2768" s="1" t="s">
        <v>1</v>
      </c>
      <c r="N2768" s="1" t="s">
        <v>38</v>
      </c>
      <c r="O2768" s="1" t="s">
        <v>46</v>
      </c>
    </row>
    <row r="2769" spans="2:15" x14ac:dyDescent="0.3">
      <c r="B2769" s="1" t="s">
        <v>24</v>
      </c>
      <c r="C2769" s="1" t="str">
        <f>"4차"</f>
        <v>4차</v>
      </c>
      <c r="D2769" s="1" t="str">
        <f>"0428W10139"</f>
        <v>0428W10139</v>
      </c>
      <c r="E2769" s="1" t="s">
        <v>10</v>
      </c>
      <c r="F2769" s="1" t="str">
        <f>"10.89.248.121"</f>
        <v>10.89.248.121</v>
      </c>
      <c r="G2769" s="1" t="str">
        <f>"0428W101"</f>
        <v>0428W101</v>
      </c>
      <c r="H2769" s="1" t="str">
        <f>"신현간 11L3"</f>
        <v>신현간 11L3</v>
      </c>
      <c r="I2769" s="1" t="s">
        <v>8</v>
      </c>
      <c r="J2769" s="1" t="str">
        <f>"74/74"</f>
        <v>74/74</v>
      </c>
      <c r="K2769" s="1" t="str">
        <f t="shared" si="164"/>
        <v>2026-07-29 13:18:03</v>
      </c>
      <c r="L2769" s="1" t="str">
        <f>"2023-07-27 16:57:04"</f>
        <v>2023-07-27 16:57:04</v>
      </c>
      <c r="M2769" s="1" t="s">
        <v>45</v>
      </c>
      <c r="N2769" s="1" t="s">
        <v>38</v>
      </c>
      <c r="O2769" s="1" t="s">
        <v>46</v>
      </c>
    </row>
    <row r="2770" spans="2:15" x14ac:dyDescent="0.3">
      <c r="B2770" s="1" t="s">
        <v>24</v>
      </c>
      <c r="C2770" s="1" t="str">
        <f>"4차"</f>
        <v>4차</v>
      </c>
      <c r="D2770" s="1" t="str">
        <f>"0428W11344"</f>
        <v>0428W11344</v>
      </c>
      <c r="E2770" s="1" t="s">
        <v>10</v>
      </c>
      <c r="F2770" s="1" t="str">
        <f>"10.10.50.82"</f>
        <v>10.10.50.82</v>
      </c>
      <c r="G2770" s="1" t="str">
        <f>"0428W113"</f>
        <v>0428W113</v>
      </c>
      <c r="H2770" s="1" t="str">
        <f>"신현간 15"</f>
        <v>신현간 15</v>
      </c>
      <c r="I2770" s="1" t="s">
        <v>8</v>
      </c>
      <c r="J2770" s="1" t="str">
        <f>"33/33"</f>
        <v>33/33</v>
      </c>
      <c r="K2770" s="1" t="str">
        <f t="shared" si="164"/>
        <v>2026-07-29 13:18:03</v>
      </c>
      <c r="L2770" s="1" t="str">
        <f>"2019-11-18 10:06:57"</f>
        <v>2019-11-18 10:06:57</v>
      </c>
      <c r="M2770" s="1" t="s">
        <v>1</v>
      </c>
      <c r="N2770" s="1" t="s">
        <v>38</v>
      </c>
      <c r="O2770" s="1" t="s">
        <v>46</v>
      </c>
    </row>
    <row r="2771" spans="2:15" x14ac:dyDescent="0.3">
      <c r="B2771" s="1" t="s">
        <v>24</v>
      </c>
      <c r="C2771" s="1" t="str">
        <f>"1차"</f>
        <v>1차</v>
      </c>
      <c r="D2771" s="1" t="str">
        <f>"0428W20101"</f>
        <v>0428W20101</v>
      </c>
      <c r="E2771" s="1" t="s">
        <v>10</v>
      </c>
      <c r="F2771" s="1" t="str">
        <f>"10.12.130.6"</f>
        <v>10.12.130.6</v>
      </c>
      <c r="G2771" s="1" t="str">
        <f>"0428W201"</f>
        <v>0428W201</v>
      </c>
      <c r="H2771" s="1" t="str">
        <f>"신현간 11L1"</f>
        <v>신현간 11L1</v>
      </c>
      <c r="I2771" s="1" t="s">
        <v>8</v>
      </c>
      <c r="J2771" s="1" t="str">
        <f>"52/52"</f>
        <v>52/52</v>
      </c>
      <c r="K2771" s="1" t="str">
        <f>"2026-07-29 13:18:05"</f>
        <v>2026-07-29 13:18:05</v>
      </c>
      <c r="L2771" s="1" t="str">
        <f>"2014-10-07 08:27:02"</f>
        <v>2014-10-07 08:27:02</v>
      </c>
      <c r="M2771" s="1" t="s">
        <v>0</v>
      </c>
      <c r="N2771" s="1" t="s">
        <v>38</v>
      </c>
      <c r="O2771" s="1" t="s">
        <v>46</v>
      </c>
    </row>
    <row r="2772" spans="2:15" x14ac:dyDescent="0.3">
      <c r="B2772" s="1" t="s">
        <v>24</v>
      </c>
      <c r="C2772" s="1" t="str">
        <f>"4차"</f>
        <v>4차</v>
      </c>
      <c r="D2772" s="1" t="str">
        <f>"0428W31244"</f>
        <v>0428W31244</v>
      </c>
      <c r="E2772" s="1" t="s">
        <v>10</v>
      </c>
      <c r="F2772" s="1" t="str">
        <f>"10.10.113.10"</f>
        <v>10.10.113.10</v>
      </c>
      <c r="G2772" s="1" t="str">
        <f>"0428W312"</f>
        <v>0428W312</v>
      </c>
      <c r="H2772" s="1" t="str">
        <f>"신현간 11"</f>
        <v>신현간 11</v>
      </c>
      <c r="I2772" s="1" t="s">
        <v>8</v>
      </c>
      <c r="J2772" s="1" t="str">
        <f>"21/21"</f>
        <v>21/21</v>
      </c>
      <c r="K2772" s="1" t="str">
        <f>"2026-07-29 13:18:03"</f>
        <v>2026-07-29 13:18:03</v>
      </c>
      <c r="L2772" s="1" t="str">
        <f>"2019-11-18 09:58:02"</f>
        <v>2019-11-18 09:58:02</v>
      </c>
      <c r="M2772" s="1" t="s">
        <v>1</v>
      </c>
      <c r="N2772" s="1" t="s">
        <v>38</v>
      </c>
      <c r="O2772" s="1" t="s">
        <v>46</v>
      </c>
    </row>
    <row r="2773" spans="2:15" x14ac:dyDescent="0.3">
      <c r="B2773" s="1" t="s">
        <v>24</v>
      </c>
      <c r="C2773" s="1" t="str">
        <f>"4차"</f>
        <v>4차</v>
      </c>
      <c r="D2773" s="1" t="str">
        <f>"0428W73139"</f>
        <v>0428W73139</v>
      </c>
      <c r="E2773" s="1" t="s">
        <v>10</v>
      </c>
      <c r="F2773" s="1" t="str">
        <f>"10.12.128.125"</f>
        <v>10.12.128.125</v>
      </c>
      <c r="G2773" s="1" t="str">
        <f>"0428W731"</f>
        <v>0428W731</v>
      </c>
      <c r="H2773" s="1" t="str">
        <f>"신현간 1L6R1R5"</f>
        <v>신현간 1L6R1R5</v>
      </c>
      <c r="I2773" s="1" t="s">
        <v>8</v>
      </c>
      <c r="J2773" s="1" t="str">
        <f>"39/39"</f>
        <v>39/39</v>
      </c>
      <c r="K2773" s="1" t="str">
        <f>"2026-07-29 13:18:04"</f>
        <v>2026-07-29 13:18:04</v>
      </c>
      <c r="L2773" s="1" t="str">
        <f>"2024-08-30 16:29:45"</f>
        <v>2024-08-30 16:29:45</v>
      </c>
      <c r="M2773" s="1" t="s">
        <v>0</v>
      </c>
      <c r="N2773" s="1" t="s">
        <v>38</v>
      </c>
      <c r="O2773" s="1" t="s">
        <v>46</v>
      </c>
    </row>
    <row r="2774" spans="2:15" x14ac:dyDescent="0.3">
      <c r="B2774" s="1" t="s">
        <v>24</v>
      </c>
      <c r="C2774" s="1" t="str">
        <f>"5-2차"</f>
        <v>5-2차</v>
      </c>
      <c r="D2774" s="1" t="str">
        <f>"0428W8735M"</f>
        <v>0428W8735M</v>
      </c>
      <c r="E2774" s="1" t="s">
        <v>10</v>
      </c>
      <c r="F2774" s="1" t="str">
        <f>"fde1:103:4:934b:0:0:0:2"</f>
        <v>fde1:103:4:934b:0:0:0:2</v>
      </c>
      <c r="G2774" s="1" t="str">
        <f>"0428W873"</f>
        <v>0428W873</v>
      </c>
      <c r="H2774" s="1" t="str">
        <f>"신현간 1L6R1R1L1L4"</f>
        <v>신현간 1L6R1R1L1L4</v>
      </c>
      <c r="I2774" s="1" t="s">
        <v>15</v>
      </c>
      <c r="J2774" s="1" t="str">
        <f>"76/76"</f>
        <v>76/76</v>
      </c>
      <c r="K2774" s="1" t="str">
        <f>"2026-07-29 14:21:21"</f>
        <v>2026-07-29 14:21:21</v>
      </c>
      <c r="L2774" s="1" t="str">
        <f>"2023-12-20 10:16:15"</f>
        <v>2023-12-20 10:16:15</v>
      </c>
      <c r="M2774" s="1" t="s">
        <v>4</v>
      </c>
      <c r="N2774" s="1" t="s">
        <v>38</v>
      </c>
      <c r="O2774" s="1" t="s">
        <v>46</v>
      </c>
    </row>
    <row r="2775" spans="2:15" x14ac:dyDescent="0.3">
      <c r="B2775" s="1" t="s">
        <v>24</v>
      </c>
      <c r="C2775" s="1" t="str">
        <f>"4차"</f>
        <v>4차</v>
      </c>
      <c r="D2775" s="1" t="str">
        <f>"0428W88141"</f>
        <v>0428W88141</v>
      </c>
      <c r="E2775" s="1" t="s">
        <v>10</v>
      </c>
      <c r="F2775" s="1" t="str">
        <f>"10.14.7.109"</f>
        <v>10.14.7.109</v>
      </c>
      <c r="G2775" s="1" t="str">
        <f>"0428W881"</f>
        <v>0428W881</v>
      </c>
      <c r="H2775" s="1" t="str">
        <f>"신현간 1L6R4R2"</f>
        <v>신현간 1L6R4R2</v>
      </c>
      <c r="I2775" s="1" t="s">
        <v>17</v>
      </c>
      <c r="J2775" s="1" t="str">
        <f>"3/3"</f>
        <v>3/3</v>
      </c>
      <c r="K2775" s="1" t="str">
        <f>"2026-07-29 13:18:06"</f>
        <v>2026-07-29 13:18:06</v>
      </c>
      <c r="L2775" s="1" t="str">
        <f>"2021-10-25 10:13:14"</f>
        <v>2021-10-25 10:13:14</v>
      </c>
      <c r="M2775" s="1" t="s">
        <v>3</v>
      </c>
      <c r="N2775" s="1" t="s">
        <v>38</v>
      </c>
      <c r="O2775" s="1" t="s">
        <v>46</v>
      </c>
    </row>
    <row r="2776" spans="2:15" x14ac:dyDescent="0.3">
      <c r="B2776" s="1" t="s">
        <v>24</v>
      </c>
      <c r="C2776" s="1" t="str">
        <f>"4차"</f>
        <v>4차</v>
      </c>
      <c r="D2776" s="1" t="str">
        <f>"0428W90341"</f>
        <v>0428W90341</v>
      </c>
      <c r="E2776" s="1" t="s">
        <v>10</v>
      </c>
      <c r="F2776" s="1" t="str">
        <f>"10.14.4.48"</f>
        <v>10.14.4.48</v>
      </c>
      <c r="G2776" s="1" t="str">
        <f>"0428W903"</f>
        <v>0428W903</v>
      </c>
      <c r="H2776" s="1" t="str">
        <f>"신현간 4L3"</f>
        <v>신현간 4L3</v>
      </c>
      <c r="I2776" s="1" t="s">
        <v>17</v>
      </c>
      <c r="J2776" s="1" t="str">
        <f>"20/20"</f>
        <v>20/20</v>
      </c>
      <c r="K2776" s="1" t="str">
        <f>"2026-07-29 13:18:03"</f>
        <v>2026-07-29 13:18:03</v>
      </c>
      <c r="L2776" s="1" t="str">
        <f>"2021-07-16 09:51:35"</f>
        <v>2021-07-16 09:51:35</v>
      </c>
      <c r="M2776" s="1" t="s">
        <v>3</v>
      </c>
      <c r="N2776" s="1" t="s">
        <v>38</v>
      </c>
      <c r="O2776" s="1" t="s">
        <v>46</v>
      </c>
    </row>
    <row r="2777" spans="2:15" x14ac:dyDescent="0.3">
      <c r="B2777" s="1" t="s">
        <v>24</v>
      </c>
      <c r="C2777" s="1" t="str">
        <f>"5-1차"</f>
        <v>5-1차</v>
      </c>
      <c r="D2777" s="1" t="str">
        <f>"0428X0245S"</f>
        <v>0428X0245S</v>
      </c>
      <c r="E2777" s="1" t="s">
        <v>10</v>
      </c>
      <c r="F2777" s="1" t="str">
        <f>"fde2:104:0:133:0:0:0:2"</f>
        <v>fde2:104:0:133:0:0:0:2</v>
      </c>
      <c r="G2777" s="1" t="str">
        <f>"0428X024"</f>
        <v>0428X024</v>
      </c>
      <c r="H2777" s="1" t="str">
        <f>"금란간 55"</f>
        <v>금란간 55</v>
      </c>
      <c r="I2777" s="1" t="s">
        <v>15</v>
      </c>
      <c r="J2777" s="1" t="str">
        <f>"8/8"</f>
        <v>8/8</v>
      </c>
      <c r="K2777" s="1" t="str">
        <f>"2026-07-29 14:21:03"</f>
        <v>2026-07-29 14:21:03</v>
      </c>
      <c r="L2777" s="1" t="str">
        <f>"2022-10-20 12:06:08"</f>
        <v>2022-10-20 12:06:08</v>
      </c>
      <c r="M2777" s="1" t="s">
        <v>42</v>
      </c>
      <c r="N2777" s="1" t="s">
        <v>38</v>
      </c>
      <c r="O2777" s="1" t="s">
        <v>46</v>
      </c>
    </row>
    <row r="2778" spans="2:15" x14ac:dyDescent="0.3">
      <c r="B2778" s="1" t="s">
        <v>24</v>
      </c>
      <c r="C2778" s="1" t="str">
        <f>"6차"</f>
        <v>6차</v>
      </c>
      <c r="D2778" s="1" t="str">
        <f>"0428X0516S"</f>
        <v>0428X0516S</v>
      </c>
      <c r="E2778" s="1" t="s">
        <v>10</v>
      </c>
      <c r="F2778" s="1" t="str">
        <f>"fde1:103:4:92ac:0:0:0:2"</f>
        <v>fde1:103:4:92ac:0:0:0:2</v>
      </c>
      <c r="G2778" s="1" t="str">
        <f>"0428X051"</f>
        <v>0428X051</v>
      </c>
      <c r="H2778" s="1" t="str">
        <f>"금란간 49"</f>
        <v>금란간 49</v>
      </c>
      <c r="I2778" s="1" t="s">
        <v>15</v>
      </c>
      <c r="J2778" s="1" t="str">
        <f>"17/17"</f>
        <v>17/17</v>
      </c>
      <c r="K2778" s="1" t="str">
        <f>"2026-07-29 14:21:04"</f>
        <v>2026-07-29 14:21:04</v>
      </c>
      <c r="L2778" s="1" t="str">
        <f>"2025-02-20 17:34:46"</f>
        <v>2025-02-20 17:34:46</v>
      </c>
      <c r="M2778" s="1" t="s">
        <v>4</v>
      </c>
      <c r="N2778" s="1" t="s">
        <v>38</v>
      </c>
      <c r="O2778" s="1" t="s">
        <v>46</v>
      </c>
    </row>
    <row r="2779" spans="2:15" x14ac:dyDescent="0.3">
      <c r="B2779" s="1" t="s">
        <v>24</v>
      </c>
      <c r="C2779" s="1" t="str">
        <f>"4차"</f>
        <v>4차</v>
      </c>
      <c r="D2779" s="1" t="str">
        <f>"0428X08239"</f>
        <v>0428X08239</v>
      </c>
      <c r="E2779" s="1" t="s">
        <v>10</v>
      </c>
      <c r="F2779" s="1" t="str">
        <f>"10.14.13.38"</f>
        <v>10.14.13.38</v>
      </c>
      <c r="G2779" s="1" t="str">
        <f>"0428X082"</f>
        <v>0428X082</v>
      </c>
      <c r="H2779" s="1" t="str">
        <f>"금란간 44R2"</f>
        <v>금란간 44R2</v>
      </c>
      <c r="I2779" s="1" t="s">
        <v>17</v>
      </c>
      <c r="J2779" s="1" t="str">
        <f>"51/51"</f>
        <v>51/51</v>
      </c>
      <c r="K2779" s="1" t="str">
        <f>"2026-07-29 13:18:04"</f>
        <v>2026-07-29 13:18:04</v>
      </c>
      <c r="L2779" s="1" t="str">
        <f>"2020-11-25 17:31:51"</f>
        <v>2020-11-25 17:31:51</v>
      </c>
      <c r="M2779" s="1" t="s">
        <v>3</v>
      </c>
      <c r="N2779" s="1" t="s">
        <v>38</v>
      </c>
      <c r="O2779" s="1" t="s">
        <v>46</v>
      </c>
    </row>
    <row r="2780" spans="2:15" x14ac:dyDescent="0.3">
      <c r="B2780" s="1" t="s">
        <v>24</v>
      </c>
      <c r="C2780" s="1" t="str">
        <f>"1차"</f>
        <v>1차</v>
      </c>
      <c r="D2780" s="1" t="str">
        <f>"0428X16201"</f>
        <v>0428X16201</v>
      </c>
      <c r="E2780" s="1" t="s">
        <v>10</v>
      </c>
      <c r="F2780" s="1" t="str">
        <f>"10.12.129.183"</f>
        <v>10.12.129.183</v>
      </c>
      <c r="G2780" s="1" t="str">
        <f>"0428X162"</f>
        <v>0428X162</v>
      </c>
      <c r="H2780" s="1" t="str">
        <f>"금란간 47L3R3"</f>
        <v>금란간 47L3R3</v>
      </c>
      <c r="I2780" s="1" t="s">
        <v>8</v>
      </c>
      <c r="J2780" s="1" t="str">
        <f>"14/14"</f>
        <v>14/14</v>
      </c>
      <c r="K2780" s="1" t="str">
        <f>"2026-07-29 13:18:03"</f>
        <v>2026-07-29 13:18:03</v>
      </c>
      <c r="L2780" s="1" t="str">
        <f>"2014-10-11 15:57:00"</f>
        <v>2014-10-11 15:57:00</v>
      </c>
      <c r="M2780" s="1" t="s">
        <v>0</v>
      </c>
      <c r="N2780" s="1" t="s">
        <v>38</v>
      </c>
      <c r="O2780" s="1" t="s">
        <v>46</v>
      </c>
    </row>
    <row r="2781" spans="2:15" x14ac:dyDescent="0.3">
      <c r="B2781" s="1" t="s">
        <v>24</v>
      </c>
      <c r="C2781" s="1" t="str">
        <f>"4차"</f>
        <v>4차</v>
      </c>
      <c r="D2781" s="1" t="str">
        <f>"0428X21245"</f>
        <v>0428X21245</v>
      </c>
      <c r="E2781" s="1" t="s">
        <v>10</v>
      </c>
      <c r="F2781" s="1" t="str">
        <f>"10.14.11.24"</f>
        <v>10.14.11.24</v>
      </c>
      <c r="G2781" s="1" t="str">
        <f>"0428X212"</f>
        <v>0428X212</v>
      </c>
      <c r="H2781" s="1" t="str">
        <f>"신내지 1"</f>
        <v>신내지 1</v>
      </c>
      <c r="I2781" s="1" t="s">
        <v>17</v>
      </c>
      <c r="J2781" s="1" t="str">
        <f>"104/104"</f>
        <v>104/104</v>
      </c>
      <c r="K2781" s="1" t="str">
        <f>"2026-07-29 13:18:03"</f>
        <v>2026-07-29 13:18:03</v>
      </c>
      <c r="L2781" s="1" t="str">
        <f>"2021-06-30 09:56:59"</f>
        <v>2021-06-30 09:56:59</v>
      </c>
      <c r="M2781" s="1" t="s">
        <v>3</v>
      </c>
      <c r="N2781" s="1" t="s">
        <v>38</v>
      </c>
      <c r="O2781" s="1" t="s">
        <v>46</v>
      </c>
    </row>
    <row r="2782" spans="2:15" x14ac:dyDescent="0.3">
      <c r="B2782" s="1" t="s">
        <v>24</v>
      </c>
      <c r="C2782" s="1" t="str">
        <f>"1차"</f>
        <v>1차</v>
      </c>
      <c r="D2782" s="1" t="str">
        <f>"0428X21300"</f>
        <v>0428X21300</v>
      </c>
      <c r="E2782" s="1" t="s">
        <v>10</v>
      </c>
      <c r="F2782" s="1" t="str">
        <f>"10.89.248.117"</f>
        <v>10.89.248.117</v>
      </c>
      <c r="G2782" s="1" t="str">
        <f>"0428X213"</f>
        <v>0428X213</v>
      </c>
      <c r="H2782" s="1" t="str">
        <f>"금란간 59"</f>
        <v>금란간 59</v>
      </c>
      <c r="I2782" s="1" t="s">
        <v>8</v>
      </c>
      <c r="J2782" s="1" t="str">
        <f>"38/38"</f>
        <v>38/38</v>
      </c>
      <c r="K2782" s="1" t="str">
        <f>"2026-07-29 13:18:03"</f>
        <v>2026-07-29 13:18:03</v>
      </c>
      <c r="L2782" s="1" t="str">
        <f>"2014-10-22 11:26:43"</f>
        <v>2014-10-22 11:26:43</v>
      </c>
      <c r="M2782" s="1" t="s">
        <v>45</v>
      </c>
      <c r="N2782" s="1" t="s">
        <v>38</v>
      </c>
      <c r="O2782" s="1" t="s">
        <v>46</v>
      </c>
    </row>
    <row r="2783" spans="2:15" x14ac:dyDescent="0.3">
      <c r="B2783" s="1" t="s">
        <v>24</v>
      </c>
      <c r="C2783" s="1" t="str">
        <f>"1차"</f>
        <v>1차</v>
      </c>
      <c r="D2783" s="1" t="str">
        <f>"0428X26201"</f>
        <v>0428X26201</v>
      </c>
      <c r="E2783" s="1" t="s">
        <v>10</v>
      </c>
      <c r="F2783" s="1" t="str">
        <f>"10.14.13.117"</f>
        <v>10.14.13.117</v>
      </c>
      <c r="G2783" s="1" t="str">
        <f>"0428X262"</f>
        <v>0428X262</v>
      </c>
      <c r="H2783" s="1" t="str">
        <f>"금란간 47L3R2"</f>
        <v>금란간 47L3R2</v>
      </c>
      <c r="I2783" s="1" t="s">
        <v>8</v>
      </c>
      <c r="J2783" s="1" t="str">
        <f>"34/34"</f>
        <v>34/34</v>
      </c>
      <c r="K2783" s="1" t="str">
        <f>"2026-07-29 13:18:05"</f>
        <v>2026-07-29 13:18:05</v>
      </c>
      <c r="L2783" s="1" t="str">
        <f>"2015-10-13 17:26:59"</f>
        <v>2015-10-13 17:26:59</v>
      </c>
      <c r="M2783" s="1" t="s">
        <v>3</v>
      </c>
      <c r="N2783" s="1" t="s">
        <v>38</v>
      </c>
      <c r="O2783" s="1" t="s">
        <v>46</v>
      </c>
    </row>
    <row r="2784" spans="2:15" x14ac:dyDescent="0.3">
      <c r="B2784" s="1" t="s">
        <v>24</v>
      </c>
      <c r="C2784" s="1" t="str">
        <f>"1차"</f>
        <v>1차</v>
      </c>
      <c r="D2784" s="1" t="str">
        <f>"0428X26300"</f>
        <v>0428X26300</v>
      </c>
      <c r="E2784" s="1" t="s">
        <v>10</v>
      </c>
      <c r="F2784" s="1" t="str">
        <f>"10.89.248.120"</f>
        <v>10.89.248.120</v>
      </c>
      <c r="G2784" s="1" t="str">
        <f>"0428X263"</f>
        <v>0428X263</v>
      </c>
      <c r="H2784" s="1" t="str">
        <f>"금란간 47L3R1"</f>
        <v>금란간 47L3R1</v>
      </c>
      <c r="I2784" s="1" t="s">
        <v>8</v>
      </c>
      <c r="J2784" s="1" t="str">
        <f>"29/29"</f>
        <v>29/29</v>
      </c>
      <c r="K2784" s="1" t="str">
        <f>"2026-07-29 13:18:03"</f>
        <v>2026-07-29 13:18:03</v>
      </c>
      <c r="L2784" s="1" t="str">
        <f>"2015-09-07 15:42:11"</f>
        <v>2015-09-07 15:42:11</v>
      </c>
      <c r="M2784" s="1" t="s">
        <v>45</v>
      </c>
      <c r="N2784" s="1" t="s">
        <v>38</v>
      </c>
      <c r="O2784" s="1" t="s">
        <v>46</v>
      </c>
    </row>
    <row r="2785" spans="2:15" x14ac:dyDescent="0.3">
      <c r="B2785" s="1" t="s">
        <v>24</v>
      </c>
      <c r="C2785" s="1" t="str">
        <f>"1차"</f>
        <v>1차</v>
      </c>
      <c r="D2785" s="1" t="str">
        <f>"0428X27200"</f>
        <v>0428X27200</v>
      </c>
      <c r="E2785" s="1" t="s">
        <v>10</v>
      </c>
      <c r="F2785" s="1" t="str">
        <f>"10.89.248.115"</f>
        <v>10.89.248.115</v>
      </c>
      <c r="G2785" s="1" t="str">
        <f>"0428X272"</f>
        <v>0428X272</v>
      </c>
      <c r="H2785" s="1" t="str">
        <f>"금란간 47L3"</f>
        <v>금란간 47L3</v>
      </c>
      <c r="I2785" s="1" t="s">
        <v>8</v>
      </c>
      <c r="J2785" s="1" t="str">
        <f>"49/52"</f>
        <v>49/52</v>
      </c>
      <c r="K2785" s="1" t="str">
        <f>"2026-07-29 13:18:03"</f>
        <v>2026-07-29 13:18:03</v>
      </c>
      <c r="L2785" s="1" t="str">
        <f>"2014-10-07 09:12:14"</f>
        <v>2014-10-07 09:12:14</v>
      </c>
      <c r="M2785" s="1" t="s">
        <v>45</v>
      </c>
      <c r="N2785" s="1" t="s">
        <v>38</v>
      </c>
      <c r="O2785" s="1" t="s">
        <v>46</v>
      </c>
    </row>
    <row r="2786" spans="2:15" x14ac:dyDescent="0.3">
      <c r="B2786" s="1" t="s">
        <v>24</v>
      </c>
      <c r="C2786" s="1" t="str">
        <f>"4차"</f>
        <v>4차</v>
      </c>
      <c r="D2786" s="1" t="str">
        <f>"0428X33145"</f>
        <v>0428X33145</v>
      </c>
      <c r="E2786" s="1" t="s">
        <v>10</v>
      </c>
      <c r="F2786" s="1" t="str">
        <f>"10.12.135.57"</f>
        <v>10.12.135.57</v>
      </c>
      <c r="G2786" s="1" t="str">
        <f>"0428X331"</f>
        <v>0428X331</v>
      </c>
      <c r="H2786" s="1" t="str">
        <f>"신내지 3"</f>
        <v>신내지 3</v>
      </c>
      <c r="I2786" s="1" t="s">
        <v>17</v>
      </c>
      <c r="J2786" s="1" t="str">
        <f>"20/26"</f>
        <v>20/26</v>
      </c>
      <c r="K2786" s="1" t="str">
        <f>"2026-07-29 13:18:02"</f>
        <v>2026-07-29 13:18:02</v>
      </c>
      <c r="L2786" s="1" t="str">
        <f>"2021-06-30 09:28:42"</f>
        <v>2021-06-30 09:28:42</v>
      </c>
      <c r="M2786" s="1" t="s">
        <v>0</v>
      </c>
      <c r="N2786" s="1" t="s">
        <v>38</v>
      </c>
      <c r="O2786" s="1" t="s">
        <v>46</v>
      </c>
    </row>
    <row r="2787" spans="2:15" x14ac:dyDescent="0.3">
      <c r="B2787" s="1" t="s">
        <v>24</v>
      </c>
      <c r="C2787" s="1" t="str">
        <f>"5-2차"</f>
        <v>5-2차</v>
      </c>
      <c r="D2787" s="1" t="str">
        <f>"0428X4025M"</f>
        <v>0428X4025M</v>
      </c>
      <c r="E2787" s="1" t="s">
        <v>10</v>
      </c>
      <c r="F2787" s="1" t="str">
        <f>"fde1:103:4:9308:0:0:0:2"</f>
        <v>fde1:103:4:9308:0:0:0:2</v>
      </c>
      <c r="G2787" s="1" t="str">
        <f>"0428X402"</f>
        <v>0428X402</v>
      </c>
      <c r="H2787" s="1" t="str">
        <f>"금란간 8R1L11R8"</f>
        <v>금란간 8R1L11R8</v>
      </c>
      <c r="I2787" s="1" t="s">
        <v>15</v>
      </c>
      <c r="J2787" s="1" t="str">
        <f>"53/53"</f>
        <v>53/53</v>
      </c>
      <c r="K2787" s="1" t="str">
        <f>"2026-07-29 14:21:05"</f>
        <v>2026-07-29 14:21:05</v>
      </c>
      <c r="L2787" s="1" t="str">
        <f>"2023-12-20 10:44:44"</f>
        <v>2023-12-20 10:44:44</v>
      </c>
      <c r="M2787" s="1" t="s">
        <v>4</v>
      </c>
      <c r="N2787" s="1" t="s">
        <v>38</v>
      </c>
      <c r="O2787" s="1" t="s">
        <v>46</v>
      </c>
    </row>
    <row r="2788" spans="2:15" x14ac:dyDescent="0.3">
      <c r="B2788" s="1" t="s">
        <v>24</v>
      </c>
      <c r="C2788" s="1" t="str">
        <f>"4차"</f>
        <v>4차</v>
      </c>
      <c r="D2788" s="1" t="str">
        <f>"0428X47244"</f>
        <v>0428X47244</v>
      </c>
      <c r="E2788" s="1" t="s">
        <v>10</v>
      </c>
      <c r="F2788" s="1" t="str">
        <f>"10.89.248.119"</f>
        <v>10.89.248.119</v>
      </c>
      <c r="G2788" s="1" t="str">
        <f>"0428X472"</f>
        <v>0428X472</v>
      </c>
      <c r="H2788" s="1" t="str">
        <f>"금란간 47L5R1"</f>
        <v>금란간 47L5R1</v>
      </c>
      <c r="I2788" s="1" t="s">
        <v>8</v>
      </c>
      <c r="J2788" s="1" t="str">
        <f>"26/26"</f>
        <v>26/26</v>
      </c>
      <c r="K2788" s="1" t="str">
        <f>"2026-07-29 13:18:03"</f>
        <v>2026-07-29 13:18:03</v>
      </c>
      <c r="L2788" s="1" t="str">
        <f>"2023-07-12 14:42:48"</f>
        <v>2023-07-12 14:42:48</v>
      </c>
      <c r="M2788" s="1" t="s">
        <v>45</v>
      </c>
      <c r="N2788" s="1" t="s">
        <v>38</v>
      </c>
      <c r="O2788" s="1" t="s">
        <v>46</v>
      </c>
    </row>
    <row r="2789" spans="2:15" x14ac:dyDescent="0.3">
      <c r="B2789" s="1" t="s">
        <v>24</v>
      </c>
      <c r="C2789" s="1" t="str">
        <f>"4차"</f>
        <v>4차</v>
      </c>
      <c r="D2789" s="1" t="str">
        <f>"0428X60241"</f>
        <v>0428X60241</v>
      </c>
      <c r="E2789" s="1" t="s">
        <v>10</v>
      </c>
      <c r="F2789" s="1" t="str">
        <f>"10.14.4.189"</f>
        <v>10.14.4.189</v>
      </c>
      <c r="G2789" s="1" t="str">
        <f>"0428X602"</f>
        <v>0428X602</v>
      </c>
      <c r="H2789" s="1" t="str">
        <f>"금란간 8H1"</f>
        <v>금란간 8H1</v>
      </c>
      <c r="I2789" s="1" t="s">
        <v>17</v>
      </c>
      <c r="J2789" s="1" t="str">
        <f>"31/31"</f>
        <v>31/31</v>
      </c>
      <c r="K2789" s="1" t="str">
        <f>"2026-07-29 13:18:06"</f>
        <v>2026-07-29 13:18:06</v>
      </c>
      <c r="L2789" s="1" t="str">
        <f>"2021-11-18 16:29:59"</f>
        <v>2021-11-18 16:29:59</v>
      </c>
      <c r="M2789" s="1" t="s">
        <v>3</v>
      </c>
      <c r="N2789" s="1" t="s">
        <v>38</v>
      </c>
      <c r="O2789" s="1" t="s">
        <v>46</v>
      </c>
    </row>
    <row r="2790" spans="2:15" x14ac:dyDescent="0.3">
      <c r="B2790" s="1" t="s">
        <v>24</v>
      </c>
      <c r="C2790" s="1" t="str">
        <f>"4차"</f>
        <v>4차</v>
      </c>
      <c r="D2790" s="1" t="str">
        <f>"0428X61541"</f>
        <v>0428X61541</v>
      </c>
      <c r="E2790" s="1" t="s">
        <v>10</v>
      </c>
      <c r="F2790" s="1" t="str">
        <f>"10.14.3.45"</f>
        <v>10.14.3.45</v>
      </c>
      <c r="G2790" s="1" t="str">
        <f>"0428X615"</f>
        <v>0428X615</v>
      </c>
      <c r="H2790" s="1" t="str">
        <f>"금란간 8R3"</f>
        <v>금란간 8R3</v>
      </c>
      <c r="I2790" s="1" t="s">
        <v>17</v>
      </c>
      <c r="J2790" s="1" t="str">
        <f>"5/5"</f>
        <v>5/5</v>
      </c>
      <c r="K2790" s="1" t="str">
        <f>"2026-07-29 13:18:01"</f>
        <v>2026-07-29 13:18:01</v>
      </c>
      <c r="L2790" s="1" t="str">
        <f>"2021-10-19 13:12:02"</f>
        <v>2021-10-19 13:12:02</v>
      </c>
      <c r="M2790" s="1" t="s">
        <v>3</v>
      </c>
      <c r="N2790" s="1" t="s">
        <v>38</v>
      </c>
      <c r="O2790" s="1" t="s">
        <v>46</v>
      </c>
    </row>
    <row r="2791" spans="2:15" x14ac:dyDescent="0.3">
      <c r="B2791" s="1" t="s">
        <v>24</v>
      </c>
      <c r="C2791" s="1" t="str">
        <f>"1차"</f>
        <v>1차</v>
      </c>
      <c r="D2791" s="1" t="str">
        <f>"0428X64200"</f>
        <v>0428X64200</v>
      </c>
      <c r="E2791" s="1" t="s">
        <v>10</v>
      </c>
      <c r="F2791" s="1" t="str">
        <f>"10.89.248.118"</f>
        <v>10.89.248.118</v>
      </c>
      <c r="G2791" s="1" t="str">
        <f>"0428X642"</f>
        <v>0428X642</v>
      </c>
      <c r="H2791" s="1" t="str">
        <f>"금란간 11L1"</f>
        <v>금란간 11L1</v>
      </c>
      <c r="I2791" s="1" t="s">
        <v>8</v>
      </c>
      <c r="J2791" s="1" t="str">
        <f>"10/10"</f>
        <v>10/10</v>
      </c>
      <c r="K2791" s="1" t="str">
        <f>"2026-07-29 13:18:03"</f>
        <v>2026-07-29 13:18:03</v>
      </c>
      <c r="L2791" s="1" t="str">
        <f>"2014-11-13 16:07:40"</f>
        <v>2014-11-13 16:07:40</v>
      </c>
      <c r="M2791" s="1" t="s">
        <v>45</v>
      </c>
      <c r="N2791" s="1" t="s">
        <v>38</v>
      </c>
      <c r="O2791" s="1" t="s">
        <v>46</v>
      </c>
    </row>
    <row r="2792" spans="2:15" x14ac:dyDescent="0.3">
      <c r="B2792" s="1" t="s">
        <v>24</v>
      </c>
      <c r="C2792" s="1" t="str">
        <f>"5-2차"</f>
        <v>5-2차</v>
      </c>
      <c r="D2792" s="1" t="str">
        <f>"0428X7015S"</f>
        <v>0428X7015S</v>
      </c>
      <c r="E2792" s="1" t="s">
        <v>10</v>
      </c>
      <c r="F2792" s="1" t="str">
        <f>"fde1:103:4:91b5:0:0:0:2"</f>
        <v>fde1:103:4:91b5:0:0:0:2</v>
      </c>
      <c r="G2792" s="1" t="str">
        <f>"0428X701"</f>
        <v>0428X701</v>
      </c>
      <c r="H2792" s="1" t="str">
        <f>"금란간 8R26"</f>
        <v>금란간 8R26</v>
      </c>
      <c r="I2792" s="1" t="s">
        <v>15</v>
      </c>
      <c r="J2792" s="1" t="str">
        <f>"47/47"</f>
        <v>47/47</v>
      </c>
      <c r="K2792" s="1" t="str">
        <f>"2026-07-29 08:20:57"</f>
        <v>2026-07-29 08:20:57</v>
      </c>
      <c r="L2792" s="1" t="str">
        <f>"2024-01-18 14:02:39"</f>
        <v>2024-01-18 14:02:39</v>
      </c>
      <c r="M2792" s="1" t="s">
        <v>4</v>
      </c>
      <c r="N2792" s="1" t="s">
        <v>38</v>
      </c>
      <c r="O2792" s="1" t="s">
        <v>46</v>
      </c>
    </row>
    <row r="2793" spans="2:15" x14ac:dyDescent="0.3">
      <c r="B2793" s="1" t="s">
        <v>24</v>
      </c>
      <c r="C2793" s="1" t="str">
        <f>"4차"</f>
        <v>4차</v>
      </c>
      <c r="D2793" s="1" t="str">
        <f>"0428X77141"</f>
        <v>0428X77141</v>
      </c>
      <c r="E2793" s="1" t="s">
        <v>10</v>
      </c>
      <c r="F2793" s="1" t="str">
        <f>"10.14.7.186"</f>
        <v>10.14.7.186</v>
      </c>
      <c r="G2793" s="1" t="str">
        <f>"0428X771"</f>
        <v>0428X771</v>
      </c>
      <c r="H2793" s="1" t="str">
        <f>"금란간 15"</f>
        <v>금란간 15</v>
      </c>
      <c r="I2793" s="1" t="s">
        <v>17</v>
      </c>
      <c r="J2793" s="1" t="str">
        <f>"4/4"</f>
        <v>4/4</v>
      </c>
      <c r="K2793" s="1" t="str">
        <f>"2026-07-29 13:18:04"</f>
        <v>2026-07-29 13:18:04</v>
      </c>
      <c r="L2793" s="1" t="str">
        <f>"2021-10-25 09:20:01"</f>
        <v>2021-10-25 09:20:01</v>
      </c>
      <c r="M2793" s="1" t="s">
        <v>3</v>
      </c>
      <c r="N2793" s="1" t="s">
        <v>38</v>
      </c>
      <c r="O2793" s="1" t="s">
        <v>46</v>
      </c>
    </row>
    <row r="2794" spans="2:15" x14ac:dyDescent="0.3">
      <c r="B2794" s="1" t="s">
        <v>24</v>
      </c>
      <c r="C2794" s="1" t="str">
        <f t="shared" ref="C2794:C2799" si="165">"5-2차"</f>
        <v>5-2차</v>
      </c>
      <c r="D2794" s="1" t="str">
        <f>"0428X8015M"</f>
        <v>0428X8015M</v>
      </c>
      <c r="E2794" s="1" t="s">
        <v>10</v>
      </c>
      <c r="F2794" s="1" t="str">
        <f>"fde1:103:4:940d:0:0:0:2"</f>
        <v>fde1:103:4:940d:0:0:0:2</v>
      </c>
      <c r="G2794" s="1" t="str">
        <f>"0428X801"</f>
        <v>0428X801</v>
      </c>
      <c r="H2794" s="1" t="str">
        <f>"금란간 8R16"</f>
        <v>금란간 8R16</v>
      </c>
      <c r="I2794" s="1" t="s">
        <v>15</v>
      </c>
      <c r="J2794" s="1" t="str">
        <f>"57/57"</f>
        <v>57/57</v>
      </c>
      <c r="K2794" s="1" t="str">
        <f>"2026-07-29 14:21:01"</f>
        <v>2026-07-29 14:21:01</v>
      </c>
      <c r="L2794" s="1" t="str">
        <f>"2023-12-20 10:45:08"</f>
        <v>2023-12-20 10:45:08</v>
      </c>
      <c r="M2794" s="1" t="s">
        <v>4</v>
      </c>
      <c r="N2794" s="1" t="s">
        <v>38</v>
      </c>
      <c r="O2794" s="1" t="s">
        <v>46</v>
      </c>
    </row>
    <row r="2795" spans="2:15" x14ac:dyDescent="0.3">
      <c r="B2795" s="1" t="s">
        <v>24</v>
      </c>
      <c r="C2795" s="1" t="str">
        <f t="shared" si="165"/>
        <v>5-2차</v>
      </c>
      <c r="D2795" s="1" t="str">
        <f>"0428X8115M"</f>
        <v>0428X8115M</v>
      </c>
      <c r="E2795" s="1" t="s">
        <v>10</v>
      </c>
      <c r="F2795" s="1" t="str">
        <f>"fde1:103:4:9409:0:0:0:2"</f>
        <v>fde1:103:4:9409:0:0:0:2</v>
      </c>
      <c r="G2795" s="1" t="str">
        <f>"0428X811"</f>
        <v>0428X811</v>
      </c>
      <c r="H2795" s="1" t="str">
        <f>"금란간 8R12"</f>
        <v>금란간 8R12</v>
      </c>
      <c r="I2795" s="1" t="s">
        <v>15</v>
      </c>
      <c r="J2795" s="1" t="str">
        <f>"67/67"</f>
        <v>67/67</v>
      </c>
      <c r="K2795" s="1" t="str">
        <f>"2026-07-29 14:21:05"</f>
        <v>2026-07-29 14:21:05</v>
      </c>
      <c r="L2795" s="1" t="str">
        <f>"2023-12-20 10:45:37"</f>
        <v>2023-12-20 10:45:37</v>
      </c>
      <c r="M2795" s="1" t="s">
        <v>4</v>
      </c>
      <c r="N2795" s="1" t="s">
        <v>38</v>
      </c>
      <c r="O2795" s="1" t="s">
        <v>46</v>
      </c>
    </row>
    <row r="2796" spans="2:15" x14ac:dyDescent="0.3">
      <c r="B2796" s="1" t="s">
        <v>24</v>
      </c>
      <c r="C2796" s="1" t="str">
        <f t="shared" si="165"/>
        <v>5-2차</v>
      </c>
      <c r="D2796" s="1" t="str">
        <f>"0428X8135M"</f>
        <v>0428X8135M</v>
      </c>
      <c r="E2796" s="1" t="s">
        <v>10</v>
      </c>
      <c r="F2796" s="1" t="str">
        <f>"fde1:103:4:9376:0:0:0:2"</f>
        <v>fde1:103:4:9376:0:0:0:2</v>
      </c>
      <c r="G2796" s="1" t="str">
        <f>"0428X813"</f>
        <v>0428X813</v>
      </c>
      <c r="H2796" s="1" t="str">
        <f>"금란간 8R14"</f>
        <v>금란간 8R14</v>
      </c>
      <c r="I2796" s="1" t="s">
        <v>15</v>
      </c>
      <c r="J2796" s="1" t="str">
        <f>"41/41"</f>
        <v>41/41</v>
      </c>
      <c r="K2796" s="1" t="str">
        <f>"2026-07-29 14:21:01"</f>
        <v>2026-07-29 14:21:01</v>
      </c>
      <c r="L2796" s="1" t="str">
        <f>"2023-12-20 10:46:13"</f>
        <v>2023-12-20 10:46:13</v>
      </c>
      <c r="M2796" s="1" t="s">
        <v>4</v>
      </c>
      <c r="N2796" s="1" t="s">
        <v>38</v>
      </c>
      <c r="O2796" s="1" t="s">
        <v>46</v>
      </c>
    </row>
    <row r="2797" spans="2:15" x14ac:dyDescent="0.3">
      <c r="B2797" s="1" t="s">
        <v>24</v>
      </c>
      <c r="C2797" s="1" t="str">
        <f t="shared" si="165"/>
        <v>5-2차</v>
      </c>
      <c r="D2797" s="1" t="str">
        <f>"0428X8225M"</f>
        <v>0428X8225M</v>
      </c>
      <c r="E2797" s="1" t="s">
        <v>10</v>
      </c>
      <c r="F2797" s="1" t="str">
        <f>"fde1:103:4:93e7:0:0:0:2"</f>
        <v>fde1:103:4:93e7:0:0:0:2</v>
      </c>
      <c r="G2797" s="1" t="str">
        <f>"0428X822"</f>
        <v>0428X822</v>
      </c>
      <c r="H2797" s="1" t="str">
        <f>"금란간 8R11"</f>
        <v>금란간 8R11</v>
      </c>
      <c r="I2797" s="1" t="s">
        <v>15</v>
      </c>
      <c r="J2797" s="1" t="str">
        <f>"93/93"</f>
        <v>93/93</v>
      </c>
      <c r="K2797" s="1" t="str">
        <f>"2026-07-29 14:21:01"</f>
        <v>2026-07-29 14:21:01</v>
      </c>
      <c r="L2797" s="1" t="str">
        <f>"2023-12-20 10:46:36"</f>
        <v>2023-12-20 10:46:36</v>
      </c>
      <c r="M2797" s="1" t="s">
        <v>4</v>
      </c>
      <c r="N2797" s="1" t="s">
        <v>38</v>
      </c>
      <c r="O2797" s="1" t="s">
        <v>46</v>
      </c>
    </row>
    <row r="2798" spans="2:15" x14ac:dyDescent="0.3">
      <c r="B2798" s="1" t="s">
        <v>24</v>
      </c>
      <c r="C2798" s="1" t="str">
        <f t="shared" si="165"/>
        <v>5-2차</v>
      </c>
      <c r="D2798" s="1" t="str">
        <f>"0428X8335M"</f>
        <v>0428X8335M</v>
      </c>
      <c r="E2798" s="1" t="s">
        <v>10</v>
      </c>
      <c r="F2798" s="1" t="str">
        <f>"fde3:102:1430:8200:0:0:0:2f"</f>
        <v>fde3:102:1430:8200:0:0:0:2f</v>
      </c>
      <c r="G2798" s="1" t="str">
        <f>"0428X833"</f>
        <v>0428X833</v>
      </c>
      <c r="H2798" s="1" t="str">
        <f>"금란간 8R9"</f>
        <v>금란간 8R9</v>
      </c>
      <c r="I2798" s="1" t="s">
        <v>15</v>
      </c>
      <c r="J2798" s="1" t="str">
        <f>"18/18"</f>
        <v>18/18</v>
      </c>
      <c r="K2798" s="1" t="str">
        <f>"2026-07-29 14:21:04"</f>
        <v>2026-07-29 14:21:04</v>
      </c>
      <c r="L2798" s="1" t="str">
        <f>"2023-09-05 07:57:14"</f>
        <v>2023-09-05 07:57:14</v>
      </c>
      <c r="M2798" s="1" t="s">
        <v>45</v>
      </c>
      <c r="N2798" s="1" t="s">
        <v>38</v>
      </c>
      <c r="O2798" s="1" t="s">
        <v>46</v>
      </c>
    </row>
    <row r="2799" spans="2:15" x14ac:dyDescent="0.3">
      <c r="B2799" s="1" t="s">
        <v>24</v>
      </c>
      <c r="C2799" s="1" t="str">
        <f t="shared" si="165"/>
        <v>5-2차</v>
      </c>
      <c r="D2799" s="1" t="str">
        <f>"0428X9125S"</f>
        <v>0428X9125S</v>
      </c>
      <c r="E2799" s="1" t="s">
        <v>10</v>
      </c>
      <c r="F2799" s="1" t="str">
        <f>"fde3:102:1430:8200:0:0:0:2a"</f>
        <v>fde3:102:1430:8200:0:0:0:2a</v>
      </c>
      <c r="G2799" s="1" t="str">
        <f>"0428X912"</f>
        <v>0428X912</v>
      </c>
      <c r="H2799" s="1" t="str">
        <f>"인창지 112L7L3"</f>
        <v>인창지 112L7L3</v>
      </c>
      <c r="I2799" s="1" t="s">
        <v>15</v>
      </c>
      <c r="J2799" s="1" t="str">
        <f>"41/41"</f>
        <v>41/41</v>
      </c>
      <c r="K2799" s="1" t="str">
        <f>"2026-07-29 14:21:04"</f>
        <v>2026-07-29 14:21:04</v>
      </c>
      <c r="L2799" s="1" t="str">
        <f>"2023-11-10 16:37:07"</f>
        <v>2023-11-10 16:37:07</v>
      </c>
      <c r="M2799" s="1" t="s">
        <v>45</v>
      </c>
      <c r="N2799" s="1" t="s">
        <v>38</v>
      </c>
      <c r="O2799" s="1" t="s">
        <v>46</v>
      </c>
    </row>
    <row r="2800" spans="2:15" x14ac:dyDescent="0.3">
      <c r="B2800" s="1" t="s">
        <v>24</v>
      </c>
      <c r="C2800" s="1" t="str">
        <f>"4차"</f>
        <v>4차</v>
      </c>
      <c r="D2800" s="1" t="str">
        <f>"0428Y39141"</f>
        <v>0428Y39141</v>
      </c>
      <c r="E2800" s="1" t="s">
        <v>10</v>
      </c>
      <c r="F2800" s="1" t="str">
        <f>"10.14.3.47"</f>
        <v>10.14.3.47</v>
      </c>
      <c r="G2800" s="1" t="str">
        <f>"0428Y391"</f>
        <v>0428Y391</v>
      </c>
      <c r="H2800" s="1" t="str">
        <f>"신현간 6L8"</f>
        <v>신현간 6L8</v>
      </c>
      <c r="I2800" s="1" t="s">
        <v>17</v>
      </c>
      <c r="J2800" s="1" t="str">
        <f>"36/36"</f>
        <v>36/36</v>
      </c>
      <c r="K2800" s="1" t="str">
        <f>"2026-07-29 13:18:04"</f>
        <v>2026-07-29 13:18:04</v>
      </c>
      <c r="L2800" s="1" t="str">
        <f>"2022-01-05 10:17:45"</f>
        <v>2022-01-05 10:17:45</v>
      </c>
      <c r="M2800" s="1" t="s">
        <v>3</v>
      </c>
      <c r="N2800" s="1" t="s">
        <v>38</v>
      </c>
      <c r="O2800" s="1" t="s">
        <v>46</v>
      </c>
    </row>
    <row r="2801" spans="2:15" x14ac:dyDescent="0.3">
      <c r="B2801" s="1" t="s">
        <v>24</v>
      </c>
      <c r="C2801" s="1" t="str">
        <f>"4차"</f>
        <v>4차</v>
      </c>
      <c r="D2801" s="1" t="str">
        <f>"0428Y59144"</f>
        <v>0428Y59144</v>
      </c>
      <c r="E2801" s="1" t="s">
        <v>10</v>
      </c>
      <c r="F2801" s="1" t="str">
        <f>"10.10.50.122"</f>
        <v>10.10.50.122</v>
      </c>
      <c r="G2801" s="1" t="str">
        <f>"0428Y591"</f>
        <v>0428Y591</v>
      </c>
      <c r="H2801" s="1" t="str">
        <f>"신현간 6L5"</f>
        <v>신현간 6L5</v>
      </c>
      <c r="I2801" s="1" t="s">
        <v>8</v>
      </c>
      <c r="J2801" s="1" t="str">
        <f>"66/66"</f>
        <v>66/66</v>
      </c>
      <c r="K2801" s="1" t="str">
        <f>"2026-07-29 13:18:03"</f>
        <v>2026-07-29 13:18:03</v>
      </c>
      <c r="L2801" s="1" t="str">
        <f>"2019-11-18 09:50:21"</f>
        <v>2019-11-18 09:50:21</v>
      </c>
      <c r="M2801" s="1" t="s">
        <v>1</v>
      </c>
      <c r="N2801" s="1" t="s">
        <v>38</v>
      </c>
      <c r="O2801" s="1" t="s">
        <v>46</v>
      </c>
    </row>
    <row r="2802" spans="2:15" x14ac:dyDescent="0.3">
      <c r="B2802" s="1" t="s">
        <v>24</v>
      </c>
      <c r="C2802" s="1" t="str">
        <f>"6차"</f>
        <v>6차</v>
      </c>
      <c r="D2802" s="1" t="str">
        <f>"0428Y6016S"</f>
        <v>0428Y6016S</v>
      </c>
      <c r="E2802" s="1" t="s">
        <v>10</v>
      </c>
      <c r="F2802" s="1" t="str">
        <f>"fde1:103:4:c61e:0:0:0:2"</f>
        <v>fde1:103:4:c61e:0:0:0:2</v>
      </c>
      <c r="G2802" s="1" t="str">
        <f>"0428Y601"</f>
        <v>0428Y601</v>
      </c>
      <c r="H2802" s="1" t="str">
        <f>"우림지 5"</f>
        <v>우림지 5</v>
      </c>
      <c r="I2802" s="1" t="s">
        <v>15</v>
      </c>
      <c r="J2802" s="1" t="str">
        <f>"56/59"</f>
        <v>56/59</v>
      </c>
      <c r="K2802" s="1" t="str">
        <f>"2026-07-29 02:20:54"</f>
        <v>2026-07-29 02:20:54</v>
      </c>
      <c r="L2802" s="1" t="str">
        <f>"2024-09-26 19:56:26"</f>
        <v>2024-09-26 19:56:26</v>
      </c>
      <c r="M2802" s="1" t="s">
        <v>4</v>
      </c>
      <c r="N2802" s="1" t="s">
        <v>38</v>
      </c>
      <c r="O2802" s="1" t="s">
        <v>46</v>
      </c>
    </row>
    <row r="2803" spans="2:15" x14ac:dyDescent="0.3">
      <c r="B2803" s="1" t="s">
        <v>24</v>
      </c>
      <c r="C2803" s="1" t="str">
        <f>"4차"</f>
        <v>4차</v>
      </c>
      <c r="D2803" s="1" t="str">
        <f>"0428Y61645"</f>
        <v>0428Y61645</v>
      </c>
      <c r="E2803" s="1" t="s">
        <v>10</v>
      </c>
      <c r="F2803" s="1" t="str">
        <f>"10.14.15.189"</f>
        <v>10.14.15.189</v>
      </c>
      <c r="G2803" s="1" t="str">
        <f>"0428Y616"</f>
        <v>0428Y616</v>
      </c>
      <c r="H2803" s="1" t="str">
        <f>"우림시장 7"</f>
        <v>우림시장 7</v>
      </c>
      <c r="I2803" s="1" t="s">
        <v>17</v>
      </c>
      <c r="J2803" s="1" t="str">
        <f>"28/29"</f>
        <v>28/29</v>
      </c>
      <c r="K2803" s="1" t="str">
        <f>"2026-07-29 13:18:04"</f>
        <v>2026-07-29 13:18:04</v>
      </c>
      <c r="L2803" s="1" t="str">
        <f>"2021-10-25 13:42:07"</f>
        <v>2021-10-25 13:42:07</v>
      </c>
      <c r="M2803" s="1" t="s">
        <v>3</v>
      </c>
      <c r="N2803" s="1" t="s">
        <v>38</v>
      </c>
      <c r="O2803" s="1" t="s">
        <v>46</v>
      </c>
    </row>
    <row r="2804" spans="2:15" x14ac:dyDescent="0.3">
      <c r="B2804" s="1" t="s">
        <v>24</v>
      </c>
      <c r="C2804" s="1" t="str">
        <f>"4차"</f>
        <v>4차</v>
      </c>
      <c r="D2804" s="1" t="str">
        <f>"0428Y72445"</f>
        <v>0428Y72445</v>
      </c>
      <c r="E2804" s="1" t="s">
        <v>10</v>
      </c>
      <c r="F2804" s="1" t="str">
        <f>"10.14.13.186"</f>
        <v>10.14.13.186</v>
      </c>
      <c r="G2804" s="1" t="str">
        <f>"0428Y724"</f>
        <v>0428Y724</v>
      </c>
      <c r="H2804" s="1" t="str">
        <f>"우림시장 6"</f>
        <v>우림시장 6</v>
      </c>
      <c r="I2804" s="1" t="s">
        <v>17</v>
      </c>
      <c r="J2804" s="1" t="str">
        <f>"3/3"</f>
        <v>3/3</v>
      </c>
      <c r="K2804" s="1" t="str">
        <f>"2026-07-29 13:18:04"</f>
        <v>2026-07-29 13:18:04</v>
      </c>
      <c r="L2804" s="1" t="str">
        <f>"2021-10-25 13:20:55"</f>
        <v>2021-10-25 13:20:55</v>
      </c>
      <c r="M2804" s="1" t="s">
        <v>3</v>
      </c>
      <c r="N2804" s="1" t="s">
        <v>38</v>
      </c>
      <c r="O2804" s="1" t="s">
        <v>46</v>
      </c>
    </row>
    <row r="2805" spans="2:15" x14ac:dyDescent="0.3">
      <c r="B2805" s="1" t="s">
        <v>24</v>
      </c>
      <c r="C2805" s="1" t="str">
        <f t="shared" ref="C2805:C2810" si="166">"5-2차"</f>
        <v>5-2차</v>
      </c>
      <c r="D2805" s="1" t="str">
        <f>"0428Y8535S"</f>
        <v>0428Y8535S</v>
      </c>
      <c r="E2805" s="1" t="s">
        <v>10</v>
      </c>
      <c r="F2805" s="1" t="str">
        <f>"fde1:103:4:924e:0:0:0:2"</f>
        <v>fde1:103:4:924e:0:0:0:2</v>
      </c>
      <c r="G2805" s="1" t="str">
        <f>"0428Y853"</f>
        <v>0428Y853</v>
      </c>
      <c r="H2805" s="1" t="str">
        <f>"인창지 90L1R3R1"</f>
        <v>인창지 90L1R3R1</v>
      </c>
      <c r="I2805" s="1" t="s">
        <v>15</v>
      </c>
      <c r="J2805" s="1" t="str">
        <f>"54/54"</f>
        <v>54/54</v>
      </c>
      <c r="K2805" s="1" t="str">
        <f>"2026-07-29 14:20:35"</f>
        <v>2026-07-29 14:20:35</v>
      </c>
      <c r="L2805" s="1" t="str">
        <f>"2024-01-18 14:45:40"</f>
        <v>2024-01-18 14:45:40</v>
      </c>
      <c r="M2805" s="1" t="s">
        <v>4</v>
      </c>
      <c r="N2805" s="1" t="s">
        <v>38</v>
      </c>
      <c r="O2805" s="1" t="s">
        <v>46</v>
      </c>
    </row>
    <row r="2806" spans="2:15" x14ac:dyDescent="0.3">
      <c r="B2806" s="1" t="s">
        <v>24</v>
      </c>
      <c r="C2806" s="1" t="str">
        <f t="shared" si="166"/>
        <v>5-2차</v>
      </c>
      <c r="D2806" s="1" t="str">
        <f>"0428Y9025M"</f>
        <v>0428Y9025M</v>
      </c>
      <c r="E2806" s="1" t="s">
        <v>10</v>
      </c>
      <c r="F2806" s="1" t="str">
        <f>"fde3:102:1430:8200:0:0:0:22"</f>
        <v>fde3:102:1430:8200:0:0:0:22</v>
      </c>
      <c r="G2806" s="1" t="str">
        <f>"0428Y902"</f>
        <v>0428Y902</v>
      </c>
      <c r="H2806" s="1" t="str">
        <f>"우림시장SW 3R1R2"</f>
        <v>우림시장SW 3R1R2</v>
      </c>
      <c r="I2806" s="1" t="s">
        <v>15</v>
      </c>
      <c r="J2806" s="1" t="str">
        <f>"29/30"</f>
        <v>29/30</v>
      </c>
      <c r="K2806" s="1" t="str">
        <f>"2026-07-29 14:21:04"</f>
        <v>2026-07-29 14:21:04</v>
      </c>
      <c r="L2806" s="1" t="str">
        <f>"2023-09-05 09:23:15"</f>
        <v>2023-09-05 09:23:15</v>
      </c>
      <c r="M2806" s="1" t="s">
        <v>45</v>
      </c>
      <c r="N2806" s="1" t="s">
        <v>38</v>
      </c>
      <c r="O2806" s="1" t="s">
        <v>46</v>
      </c>
    </row>
    <row r="2807" spans="2:15" x14ac:dyDescent="0.3">
      <c r="B2807" s="1" t="s">
        <v>24</v>
      </c>
      <c r="C2807" s="1" t="str">
        <f t="shared" si="166"/>
        <v>5-2차</v>
      </c>
      <c r="D2807" s="1" t="str">
        <f>"0428Y9145S"</f>
        <v>0428Y9145S</v>
      </c>
      <c r="E2807" s="1" t="s">
        <v>10</v>
      </c>
      <c r="F2807" s="1" t="str">
        <f>"fde3:102:1430:8200:0:0:0:21"</f>
        <v>fde3:102:1430:8200:0:0:0:21</v>
      </c>
      <c r="G2807" s="1" t="str">
        <f>"0428Y914"</f>
        <v>0428Y914</v>
      </c>
      <c r="H2807" s="1" t="str">
        <f>"우림시장SW 3R2"</f>
        <v>우림시장SW 3R2</v>
      </c>
      <c r="I2807" s="1" t="s">
        <v>15</v>
      </c>
      <c r="J2807" s="1" t="str">
        <f>"61/62"</f>
        <v>61/62</v>
      </c>
      <c r="K2807" s="1" t="str">
        <f>"2026-07-29 14:21:04"</f>
        <v>2026-07-29 14:21:04</v>
      </c>
      <c r="L2807" s="1" t="str">
        <f>"2023-09-05 08:48:37"</f>
        <v>2023-09-05 08:48:37</v>
      </c>
      <c r="M2807" s="1" t="s">
        <v>45</v>
      </c>
      <c r="N2807" s="1" t="s">
        <v>38</v>
      </c>
      <c r="O2807" s="1" t="s">
        <v>46</v>
      </c>
    </row>
    <row r="2808" spans="2:15" x14ac:dyDescent="0.3">
      <c r="B2808" s="1" t="s">
        <v>24</v>
      </c>
      <c r="C2808" s="1" t="str">
        <f t="shared" si="166"/>
        <v>5-2차</v>
      </c>
      <c r="D2808" s="1" t="str">
        <f>"0428Z0115M"</f>
        <v>0428Z0115M</v>
      </c>
      <c r="E2808" s="1" t="s">
        <v>10</v>
      </c>
      <c r="F2808" s="1" t="str">
        <f>"fde1:103:4:935c:0:0:0:2"</f>
        <v>fde1:103:4:935c:0:0:0:2</v>
      </c>
      <c r="G2808" s="1" t="str">
        <f>"0428Z011"</f>
        <v>0428Z011</v>
      </c>
      <c r="H2808" s="1" t="str">
        <f>"우림시장SW 3R3"</f>
        <v>우림시장SW 3R3</v>
      </c>
      <c r="I2808" s="1" t="s">
        <v>15</v>
      </c>
      <c r="J2808" s="1" t="str">
        <f>"35/38"</f>
        <v>35/38</v>
      </c>
      <c r="K2808" s="1" t="str">
        <f>"2026-07-29 02:21:13"</f>
        <v>2026-07-29 02:21:13</v>
      </c>
      <c r="L2808" s="1" t="str">
        <f>"2023-12-20 11:04:15"</f>
        <v>2023-12-20 11:04:15</v>
      </c>
      <c r="M2808" s="1" t="s">
        <v>4</v>
      </c>
      <c r="N2808" s="1" t="s">
        <v>38</v>
      </c>
      <c r="O2808" s="1" t="s">
        <v>46</v>
      </c>
    </row>
    <row r="2809" spans="2:15" x14ac:dyDescent="0.3">
      <c r="B2809" s="1" t="s">
        <v>24</v>
      </c>
      <c r="C2809" s="1" t="str">
        <f t="shared" si="166"/>
        <v>5-2차</v>
      </c>
      <c r="D2809" s="1" t="str">
        <f>"0428Z0825S"</f>
        <v>0428Z0825S</v>
      </c>
      <c r="E2809" s="1" t="s">
        <v>10</v>
      </c>
      <c r="F2809" s="1" t="str">
        <f>"fde1:103:4:9217:0:0:0:2"</f>
        <v>fde1:103:4:9217:0:0:0:2</v>
      </c>
      <c r="G2809" s="1" t="str">
        <f>"0428Z082"</f>
        <v>0428Z082</v>
      </c>
      <c r="H2809" s="1" t="str">
        <f>"금란간 8R1L11R4L2"</f>
        <v>금란간 8R1L11R4L2</v>
      </c>
      <c r="I2809" s="1" t="s">
        <v>15</v>
      </c>
      <c r="J2809" s="1" t="str">
        <f>"47/47"</f>
        <v>47/47</v>
      </c>
      <c r="K2809" s="1" t="str">
        <f>"2026-07-29 14:21:23"</f>
        <v>2026-07-29 14:21:23</v>
      </c>
      <c r="L2809" s="1" t="str">
        <f>"2024-01-18 14:51:31"</f>
        <v>2024-01-18 14:51:31</v>
      </c>
      <c r="M2809" s="1" t="s">
        <v>4</v>
      </c>
      <c r="N2809" s="1" t="s">
        <v>38</v>
      </c>
      <c r="O2809" s="1" t="s">
        <v>46</v>
      </c>
    </row>
    <row r="2810" spans="2:15" x14ac:dyDescent="0.3">
      <c r="B2810" s="1" t="s">
        <v>24</v>
      </c>
      <c r="C2810" s="1" t="str">
        <f t="shared" si="166"/>
        <v>5-2차</v>
      </c>
      <c r="D2810" s="1" t="str">
        <f>"0428Z1025M"</f>
        <v>0428Z1025M</v>
      </c>
      <c r="E2810" s="1" t="s">
        <v>10</v>
      </c>
      <c r="F2810" s="1" t="str">
        <f>"fde3:102:1430:8200:0:0:0:1c"</f>
        <v>fde3:102:1430:8200:0:0:0:1c</v>
      </c>
      <c r="G2810" s="1" t="str">
        <f>"0428Z102"</f>
        <v>0428Z102</v>
      </c>
      <c r="H2810" s="1" t="str">
        <f>"우림지 10L3"</f>
        <v>우림지 10L3</v>
      </c>
      <c r="I2810" s="1" t="s">
        <v>15</v>
      </c>
      <c r="J2810" s="1" t="str">
        <f>"73/73"</f>
        <v>73/73</v>
      </c>
      <c r="K2810" s="1" t="str">
        <f>"2026-07-29 14:21:04"</f>
        <v>2026-07-29 14:21:04</v>
      </c>
      <c r="L2810" s="1" t="str">
        <f>"2023-09-05 09:53:42"</f>
        <v>2023-09-05 09:53:42</v>
      </c>
      <c r="M2810" s="1" t="s">
        <v>45</v>
      </c>
      <c r="N2810" s="1" t="s">
        <v>38</v>
      </c>
      <c r="O2810" s="1" t="s">
        <v>46</v>
      </c>
    </row>
    <row r="2811" spans="2:15" x14ac:dyDescent="0.3">
      <c r="B2811" s="1" t="s">
        <v>24</v>
      </c>
      <c r="C2811" s="1" t="str">
        <f>"1차"</f>
        <v>1차</v>
      </c>
      <c r="D2811" s="1" t="str">
        <f>"0428Z11301"</f>
        <v>0428Z11301</v>
      </c>
      <c r="E2811" s="1" t="s">
        <v>10</v>
      </c>
      <c r="F2811" s="1" t="str">
        <f>"10.89.248.20"</f>
        <v>10.89.248.20</v>
      </c>
      <c r="G2811" s="1" t="str">
        <f>"0428Z113"</f>
        <v>0428Z113</v>
      </c>
      <c r="H2811" s="1" t="str">
        <f>"우림시장SW 5R3R6"</f>
        <v>우림시장SW 5R3R6</v>
      </c>
      <c r="I2811" s="1" t="s">
        <v>8</v>
      </c>
      <c r="J2811" s="1" t="str">
        <f>"5/5"</f>
        <v>5/5</v>
      </c>
      <c r="K2811" s="1" t="str">
        <f>"2026-07-29 13:18:03"</f>
        <v>2026-07-29 13:18:03</v>
      </c>
      <c r="L2811" s="1" t="str">
        <f>"2015-08-10 11:36:16"</f>
        <v>2015-08-10 11:36:16</v>
      </c>
      <c r="M2811" s="1" t="s">
        <v>45</v>
      </c>
      <c r="N2811" s="1" t="s">
        <v>38</v>
      </c>
      <c r="O2811" s="1" t="s">
        <v>46</v>
      </c>
    </row>
    <row r="2812" spans="2:15" x14ac:dyDescent="0.3">
      <c r="B2812" s="1" t="s">
        <v>24</v>
      </c>
      <c r="C2812" s="1" t="str">
        <f>"5-2차"</f>
        <v>5-2차</v>
      </c>
      <c r="D2812" s="1" t="str">
        <f>"0428Z1815M"</f>
        <v>0428Z1815M</v>
      </c>
      <c r="E2812" s="1" t="s">
        <v>10</v>
      </c>
      <c r="F2812" s="1" t="str">
        <f>"fde3:102:1430:8400:0:0:0:30"</f>
        <v>fde3:102:1430:8400:0:0:0:30</v>
      </c>
      <c r="G2812" s="1" t="str">
        <f>"0428Z181"</f>
        <v>0428Z181</v>
      </c>
      <c r="H2812" s="1" t="str">
        <f>"금란간 8R1L11R4L1"</f>
        <v>금란간 8R1L11R4L1</v>
      </c>
      <c r="I2812" s="1" t="s">
        <v>15</v>
      </c>
      <c r="J2812" s="1" t="str">
        <f>"52/52"</f>
        <v>52/52</v>
      </c>
      <c r="K2812" s="1" t="str">
        <f>"2026-07-29 14:21:05"</f>
        <v>2026-07-29 14:21:05</v>
      </c>
      <c r="L2812" s="1" t="str">
        <f>"2024-01-05 11:53:49"</f>
        <v>2024-01-05 11:53:49</v>
      </c>
      <c r="M2812" s="1" t="s">
        <v>45</v>
      </c>
      <c r="N2812" s="1" t="s">
        <v>38</v>
      </c>
      <c r="O2812" s="1" t="s">
        <v>46</v>
      </c>
    </row>
    <row r="2813" spans="2:15" x14ac:dyDescent="0.3">
      <c r="B2813" s="1" t="s">
        <v>24</v>
      </c>
      <c r="C2813" s="1" t="str">
        <f>"1차"</f>
        <v>1차</v>
      </c>
      <c r="D2813" s="1" t="str">
        <f>"0428Z20100"</f>
        <v>0428Z20100</v>
      </c>
      <c r="E2813" s="1" t="s">
        <v>10</v>
      </c>
      <c r="F2813" s="1" t="str">
        <f>"10.89.248.16"</f>
        <v>10.89.248.16</v>
      </c>
      <c r="G2813" s="1" t="str">
        <f>"0428Z201"</f>
        <v>0428Z201</v>
      </c>
      <c r="H2813" s="1" t="str">
        <f>"우림시장SW 5R5R4"</f>
        <v>우림시장SW 5R5R4</v>
      </c>
      <c r="I2813" s="1" t="s">
        <v>8</v>
      </c>
      <c r="J2813" s="1" t="str">
        <f>"14/14"</f>
        <v>14/14</v>
      </c>
      <c r="K2813" s="1" t="str">
        <f>"2026-07-29 13:18:03"</f>
        <v>2026-07-29 13:18:03</v>
      </c>
      <c r="L2813" s="1" t="str">
        <f>"2014-11-21 15:27:11"</f>
        <v>2014-11-21 15:27:11</v>
      </c>
      <c r="M2813" s="1" t="s">
        <v>45</v>
      </c>
      <c r="N2813" s="1" t="s">
        <v>38</v>
      </c>
      <c r="O2813" s="1" t="s">
        <v>46</v>
      </c>
    </row>
    <row r="2814" spans="2:15" x14ac:dyDescent="0.3">
      <c r="B2814" s="1" t="s">
        <v>24</v>
      </c>
      <c r="C2814" s="1" t="str">
        <f>"1차"</f>
        <v>1차</v>
      </c>
      <c r="D2814" s="1" t="str">
        <f>"0428Z21100"</f>
        <v>0428Z21100</v>
      </c>
      <c r="E2814" s="1" t="s">
        <v>10</v>
      </c>
      <c r="F2814" s="1" t="str">
        <f>"10.89.248.21"</f>
        <v>10.89.248.21</v>
      </c>
      <c r="G2814" s="1" t="str">
        <f>"0428Z211"</f>
        <v>0428Z211</v>
      </c>
      <c r="H2814" s="1" t="str">
        <f>"우림지 4L3R5"</f>
        <v>우림지 4L3R5</v>
      </c>
      <c r="I2814" s="1" t="s">
        <v>8</v>
      </c>
      <c r="J2814" s="1" t="str">
        <f>"59/59"</f>
        <v>59/59</v>
      </c>
      <c r="K2814" s="1" t="str">
        <f>"2026-07-29 13:18:03"</f>
        <v>2026-07-29 13:18:03</v>
      </c>
      <c r="L2814" s="1" t="str">
        <f>"2015-08-10 11:23:45"</f>
        <v>2015-08-10 11:23:45</v>
      </c>
      <c r="M2814" s="1" t="s">
        <v>45</v>
      </c>
      <c r="N2814" s="1" t="s">
        <v>38</v>
      </c>
      <c r="O2814" s="1" t="s">
        <v>46</v>
      </c>
    </row>
    <row r="2815" spans="2:15" x14ac:dyDescent="0.3">
      <c r="B2815" s="1" t="s">
        <v>24</v>
      </c>
      <c r="C2815" s="1" t="str">
        <f>"4차"</f>
        <v>4차</v>
      </c>
      <c r="D2815" s="1" t="str">
        <f>"0428Z26239"</f>
        <v>0428Z26239</v>
      </c>
      <c r="E2815" s="1" t="s">
        <v>10</v>
      </c>
      <c r="F2815" s="1" t="str">
        <f>"10.12.131.196"</f>
        <v>10.12.131.196</v>
      </c>
      <c r="G2815" s="1" t="str">
        <f>"0428Z262"</f>
        <v>0428Z262</v>
      </c>
      <c r="H2815" s="1" t="str">
        <f>"금란간 8R1L12"</f>
        <v>금란간 8R1L12</v>
      </c>
      <c r="I2815" s="1" t="s">
        <v>17</v>
      </c>
      <c r="J2815" s="1" t="str">
        <f>"15/24"</f>
        <v>15/24</v>
      </c>
      <c r="K2815" s="1" t="str">
        <f>"2026-07-29 13:18:04"</f>
        <v>2026-07-29 13:18:04</v>
      </c>
      <c r="L2815" s="1" t="str">
        <f>"2020-11-24 10:28:10"</f>
        <v>2020-11-24 10:28:10</v>
      </c>
      <c r="M2815" s="1" t="s">
        <v>0</v>
      </c>
      <c r="N2815" s="1" t="s">
        <v>38</v>
      </c>
      <c r="O2815" s="1" t="s">
        <v>46</v>
      </c>
    </row>
    <row r="2816" spans="2:15" x14ac:dyDescent="0.3">
      <c r="B2816" s="1" t="s">
        <v>24</v>
      </c>
      <c r="C2816" s="1" t="str">
        <f>"1차"</f>
        <v>1차</v>
      </c>
      <c r="D2816" s="1" t="str">
        <f>"0428Z30100"</f>
        <v>0428Z30100</v>
      </c>
      <c r="E2816" s="1" t="s">
        <v>10</v>
      </c>
      <c r="F2816" s="1" t="str">
        <f>"10.89.248.17"</f>
        <v>10.89.248.17</v>
      </c>
      <c r="G2816" s="1" t="str">
        <f>"0428Z301"</f>
        <v>0428Z301</v>
      </c>
      <c r="H2816" s="1" t="str">
        <f>"우림시장SW 5R7R2"</f>
        <v>우림시장SW 5R7R2</v>
      </c>
      <c r="I2816" s="1" t="s">
        <v>8</v>
      </c>
      <c r="J2816" s="1" t="str">
        <f>"42/50"</f>
        <v>42/50</v>
      </c>
      <c r="K2816" s="1" t="str">
        <f>"2026-07-29 13:18:03"</f>
        <v>2026-07-29 13:18:03</v>
      </c>
      <c r="L2816" s="1" t="str">
        <f>"2015-08-10 13:41:02"</f>
        <v>2015-08-10 13:41:02</v>
      </c>
      <c r="M2816" s="1" t="s">
        <v>45</v>
      </c>
      <c r="N2816" s="1" t="s">
        <v>38</v>
      </c>
      <c r="O2816" s="1" t="s">
        <v>46</v>
      </c>
    </row>
    <row r="2817" spans="2:15" x14ac:dyDescent="0.3">
      <c r="B2817" s="1" t="s">
        <v>24</v>
      </c>
      <c r="C2817" s="1" t="str">
        <f>"1차"</f>
        <v>1차</v>
      </c>
      <c r="D2817" s="1" t="str">
        <f>"0428Z31100"</f>
        <v>0428Z31100</v>
      </c>
      <c r="E2817" s="1" t="s">
        <v>10</v>
      </c>
      <c r="F2817" s="1" t="str">
        <f>"10.89.248.18"</f>
        <v>10.89.248.18</v>
      </c>
      <c r="G2817" s="1" t="str">
        <f>"0428Z311"</f>
        <v>0428Z311</v>
      </c>
      <c r="H2817" s="1" t="str">
        <f>"우림지 4L5R2"</f>
        <v>우림지 4L5R2</v>
      </c>
      <c r="I2817" s="1" t="s">
        <v>8</v>
      </c>
      <c r="J2817" s="1" t="str">
        <f>"35/44"</f>
        <v>35/44</v>
      </c>
      <c r="K2817" s="1" t="str">
        <f>"2026-07-29 13:18:03"</f>
        <v>2026-07-29 13:18:03</v>
      </c>
      <c r="L2817" s="1" t="str">
        <f>"2015-08-10 12:18:08"</f>
        <v>2015-08-10 12:18:08</v>
      </c>
      <c r="M2817" s="1" t="s">
        <v>45</v>
      </c>
      <c r="N2817" s="1" t="s">
        <v>38</v>
      </c>
      <c r="O2817" s="1" t="s">
        <v>46</v>
      </c>
    </row>
    <row r="2818" spans="2:15" x14ac:dyDescent="0.3">
      <c r="B2818" s="1" t="s">
        <v>24</v>
      </c>
      <c r="C2818" s="1" t="str">
        <f>"5-2차"</f>
        <v>5-2차</v>
      </c>
      <c r="D2818" s="1" t="str">
        <f>"0428Z3915M"</f>
        <v>0428Z3915M</v>
      </c>
      <c r="E2818" s="1" t="s">
        <v>10</v>
      </c>
      <c r="F2818" s="1" t="str">
        <f>"fde3:102:1430:8400:0:0:0:31"</f>
        <v>fde3:102:1430:8400:0:0:0:31</v>
      </c>
      <c r="G2818" s="1" t="str">
        <f>"0428Z391"</f>
        <v>0428Z391</v>
      </c>
      <c r="H2818" s="1" t="str">
        <f>"금란간 8R1L11R6"</f>
        <v>금란간 8R1L11R6</v>
      </c>
      <c r="I2818" s="1" t="s">
        <v>15</v>
      </c>
      <c r="J2818" s="1" t="str">
        <f>"41/41"</f>
        <v>41/41</v>
      </c>
      <c r="K2818" s="1" t="str">
        <f>"2026-07-29 14:21:04"</f>
        <v>2026-07-29 14:21:04</v>
      </c>
      <c r="L2818" s="1" t="str">
        <f>"2024-01-05 11:22:58"</f>
        <v>2024-01-05 11:22:58</v>
      </c>
      <c r="M2818" s="1" t="s">
        <v>45</v>
      </c>
      <c r="N2818" s="1" t="s">
        <v>38</v>
      </c>
      <c r="O2818" s="1" t="s">
        <v>46</v>
      </c>
    </row>
    <row r="2819" spans="2:15" x14ac:dyDescent="0.3">
      <c r="B2819" s="1" t="s">
        <v>24</v>
      </c>
      <c r="C2819" s="1" t="str">
        <f>"1차"</f>
        <v>1차</v>
      </c>
      <c r="D2819" s="1" t="str">
        <f>"0428Z40500"</f>
        <v>0428Z40500</v>
      </c>
      <c r="E2819" s="1" t="s">
        <v>10</v>
      </c>
      <c r="F2819" s="1" t="str">
        <f>"10.89.248.15"</f>
        <v>10.89.248.15</v>
      </c>
      <c r="G2819" s="1" t="str">
        <f>"0428Z405"</f>
        <v>0428Z405</v>
      </c>
      <c r="H2819" s="1" t="str">
        <f>"우림시장SW 5R6"</f>
        <v>우림시장SW 5R6</v>
      </c>
      <c r="I2819" s="1" t="s">
        <v>8</v>
      </c>
      <c r="J2819" s="1" t="str">
        <f>"12/12"</f>
        <v>12/12</v>
      </c>
      <c r="K2819" s="1" t="str">
        <f>"2026-07-29 13:18:04"</f>
        <v>2026-07-29 13:18:04</v>
      </c>
      <c r="L2819" s="1" t="str">
        <f>"2023-03-21 13:07:48"</f>
        <v>2023-03-21 13:07:48</v>
      </c>
      <c r="M2819" s="1" t="s">
        <v>45</v>
      </c>
      <c r="N2819" s="1" t="s">
        <v>38</v>
      </c>
      <c r="O2819" s="1" t="s">
        <v>46</v>
      </c>
    </row>
    <row r="2820" spans="2:15" x14ac:dyDescent="0.3">
      <c r="B2820" s="1" t="s">
        <v>24</v>
      </c>
      <c r="C2820" s="1" t="str">
        <f>"5-2차"</f>
        <v>5-2차</v>
      </c>
      <c r="D2820" s="1" t="str">
        <f>"0428Z4115M"</f>
        <v>0428Z4115M</v>
      </c>
      <c r="E2820" s="1" t="s">
        <v>10</v>
      </c>
      <c r="F2820" s="1" t="str">
        <f>"fde3:102:1430:8200:0:0:0:1a"</f>
        <v>fde3:102:1430:8200:0:0:0:1a</v>
      </c>
      <c r="G2820" s="1" t="str">
        <f>"0428Z411"</f>
        <v>0428Z411</v>
      </c>
      <c r="H2820" s="1" t="str">
        <f>"우림시장SW 5R4"</f>
        <v>우림시장SW 5R4</v>
      </c>
      <c r="I2820" s="1" t="s">
        <v>15</v>
      </c>
      <c r="J2820" s="1" t="str">
        <f>"81/81"</f>
        <v>81/81</v>
      </c>
      <c r="K2820" s="1" t="str">
        <f>"2026-07-29 14:21:01"</f>
        <v>2026-07-29 14:21:01</v>
      </c>
      <c r="L2820" s="1" t="str">
        <f>"2023-09-05 10:29:37"</f>
        <v>2023-09-05 10:29:37</v>
      </c>
      <c r="M2820" s="1" t="s">
        <v>45</v>
      </c>
      <c r="N2820" s="1" t="s">
        <v>38</v>
      </c>
      <c r="O2820" s="1" t="s">
        <v>46</v>
      </c>
    </row>
    <row r="2821" spans="2:15" x14ac:dyDescent="0.3">
      <c r="B2821" s="1" t="s">
        <v>24</v>
      </c>
      <c r="C2821" s="1" t="str">
        <f>"4차"</f>
        <v>4차</v>
      </c>
      <c r="D2821" s="1" t="str">
        <f>"0428Z47439"</f>
        <v>0428Z47439</v>
      </c>
      <c r="E2821" s="1" t="s">
        <v>10</v>
      </c>
      <c r="F2821" s="1" t="str">
        <f>"10.12.131.204"</f>
        <v>10.12.131.204</v>
      </c>
      <c r="G2821" s="1" t="str">
        <f>"0428Z474"</f>
        <v>0428Z474</v>
      </c>
      <c r="H2821" s="1" t="str">
        <f>"금란간 8R1L6R2R2H1"</f>
        <v>금란간 8R1L6R2R2H1</v>
      </c>
      <c r="I2821" s="1" t="s">
        <v>17</v>
      </c>
      <c r="J2821" s="1" t="str">
        <f>"21/21"</f>
        <v>21/21</v>
      </c>
      <c r="K2821" s="1" t="str">
        <f>"2026-07-29 13:18:03"</f>
        <v>2026-07-29 13:18:03</v>
      </c>
      <c r="L2821" s="1" t="str">
        <f>"2020-11-24 09:08:08"</f>
        <v>2020-11-24 09:08:08</v>
      </c>
      <c r="M2821" s="1" t="s">
        <v>0</v>
      </c>
      <c r="N2821" s="1" t="s">
        <v>38</v>
      </c>
      <c r="O2821" s="1" t="s">
        <v>46</v>
      </c>
    </row>
    <row r="2822" spans="2:15" x14ac:dyDescent="0.3">
      <c r="B2822" s="1" t="s">
        <v>24</v>
      </c>
      <c r="C2822" s="1" t="str">
        <f>"5-2차"</f>
        <v>5-2차</v>
      </c>
      <c r="D2822" s="1" t="str">
        <f>"0428Z4825M"</f>
        <v>0428Z4825M</v>
      </c>
      <c r="E2822" s="1" t="s">
        <v>10</v>
      </c>
      <c r="F2822" s="1" t="str">
        <f>"fde3:102:1430:8400:0:0:0:2f"</f>
        <v>fde3:102:1430:8400:0:0:0:2f</v>
      </c>
      <c r="G2822" s="1" t="str">
        <f>"0428Z482"</f>
        <v>0428Z482</v>
      </c>
      <c r="H2822" s="1" t="str">
        <f>"금란간 8R1L6R2R4"</f>
        <v>금란간 8R1L6R2R4</v>
      </c>
      <c r="I2822" s="1" t="s">
        <v>15</v>
      </c>
      <c r="J2822" s="1" t="str">
        <f>"57/57"</f>
        <v>57/57</v>
      </c>
      <c r="K2822" s="1" t="str">
        <f>"2026-07-29 14:21:05"</f>
        <v>2026-07-29 14:21:05</v>
      </c>
      <c r="L2822" s="1" t="str">
        <f>"2024-01-08 11:35:07"</f>
        <v>2024-01-08 11:35:07</v>
      </c>
      <c r="M2822" s="1" t="s">
        <v>45</v>
      </c>
      <c r="N2822" s="1" t="s">
        <v>38</v>
      </c>
      <c r="O2822" s="1" t="s">
        <v>46</v>
      </c>
    </row>
    <row r="2823" spans="2:15" x14ac:dyDescent="0.3">
      <c r="B2823" s="1" t="s">
        <v>24</v>
      </c>
      <c r="C2823" s="1" t="str">
        <f>"5-2차"</f>
        <v>5-2차</v>
      </c>
      <c r="D2823" s="1" t="str">
        <f>"0428Z5025M"</f>
        <v>0428Z5025M</v>
      </c>
      <c r="E2823" s="1" t="s">
        <v>10</v>
      </c>
      <c r="F2823" s="1" t="str">
        <f>"fde1:103:4:939f:0:0:0:2"</f>
        <v>fde1:103:4:939f:0:0:0:2</v>
      </c>
      <c r="G2823" s="1" t="str">
        <f>"0428Z502"</f>
        <v>0428Z502</v>
      </c>
      <c r="H2823" s="1" t="str">
        <f>"겸재간 55R6"</f>
        <v>겸재간 55R6</v>
      </c>
      <c r="I2823" s="1" t="s">
        <v>15</v>
      </c>
      <c r="J2823" s="1" t="str">
        <f>"42/43"</f>
        <v>42/43</v>
      </c>
      <c r="K2823" s="1" t="str">
        <f>"2026-07-29 14:21:16"</f>
        <v>2026-07-29 14:21:16</v>
      </c>
      <c r="L2823" s="1" t="str">
        <f>"2023-12-20 11:04:41"</f>
        <v>2023-12-20 11:04:41</v>
      </c>
      <c r="M2823" s="1" t="s">
        <v>4</v>
      </c>
      <c r="N2823" s="1" t="s">
        <v>38</v>
      </c>
      <c r="O2823" s="1" t="s">
        <v>46</v>
      </c>
    </row>
    <row r="2824" spans="2:15" x14ac:dyDescent="0.3">
      <c r="B2824" s="1" t="s">
        <v>24</v>
      </c>
      <c r="C2824" s="1" t="str">
        <f>"5-2차"</f>
        <v>5-2차</v>
      </c>
      <c r="D2824" s="1" t="str">
        <f>"0428Z6925M"</f>
        <v>0428Z6925M</v>
      </c>
      <c r="E2824" s="1" t="s">
        <v>10</v>
      </c>
      <c r="F2824" s="1" t="str">
        <f>"fde1:103:4:9301:0:0:0:2"</f>
        <v>fde1:103:4:9301:0:0:0:2</v>
      </c>
      <c r="G2824" s="1" t="str">
        <f>"0428Z692"</f>
        <v>0428Z692</v>
      </c>
      <c r="H2824" s="1" t="str">
        <f>"금란간 6"</f>
        <v>금란간 6</v>
      </c>
      <c r="I2824" s="1" t="s">
        <v>15</v>
      </c>
      <c r="J2824" s="1" t="str">
        <f>"32/32"</f>
        <v>32/32</v>
      </c>
      <c r="K2824" s="1" t="str">
        <f>"2026-07-29 14:21:06"</f>
        <v>2026-07-29 14:21:06</v>
      </c>
      <c r="L2824" s="1" t="str">
        <f>"2023-12-20 11:05:21"</f>
        <v>2023-12-20 11:05:21</v>
      </c>
      <c r="M2824" s="1" t="s">
        <v>4</v>
      </c>
      <c r="N2824" s="1" t="s">
        <v>38</v>
      </c>
      <c r="O2824" s="1" t="s">
        <v>46</v>
      </c>
    </row>
    <row r="2825" spans="2:15" x14ac:dyDescent="0.3">
      <c r="B2825" s="1" t="s">
        <v>24</v>
      </c>
      <c r="C2825" s="1" t="str">
        <f>"1차"</f>
        <v>1차</v>
      </c>
      <c r="D2825" s="1" t="str">
        <f>"0428Z70100"</f>
        <v>0428Z70100</v>
      </c>
      <c r="E2825" s="1" t="s">
        <v>10</v>
      </c>
      <c r="F2825" s="1" t="str">
        <f>"10.89.246.177"</f>
        <v>10.89.246.177</v>
      </c>
      <c r="G2825" s="1" t="str">
        <f>"0428Z701"</f>
        <v>0428Z701</v>
      </c>
      <c r="H2825" s="1" t="str">
        <f>"우일간 46L2L8"</f>
        <v>우일간 46L2L8</v>
      </c>
      <c r="I2825" s="1" t="s">
        <v>8</v>
      </c>
      <c r="J2825" s="1" t="str">
        <f>"49/52"</f>
        <v>49/52</v>
      </c>
      <c r="K2825" s="1" t="str">
        <f>"2026-07-29 13:18:04"</f>
        <v>2026-07-29 13:18:04</v>
      </c>
      <c r="L2825" s="1" t="str">
        <f>"2015-08-07 11:13:53"</f>
        <v>2015-08-07 11:13:53</v>
      </c>
      <c r="M2825" s="1" t="s">
        <v>45</v>
      </c>
      <c r="N2825" s="1" t="s">
        <v>38</v>
      </c>
      <c r="O2825" s="1" t="s">
        <v>46</v>
      </c>
    </row>
    <row r="2826" spans="2:15" x14ac:dyDescent="0.3">
      <c r="B2826" s="1" t="s">
        <v>24</v>
      </c>
      <c r="C2826" s="1" t="str">
        <f>"1차"</f>
        <v>1차</v>
      </c>
      <c r="D2826" s="1" t="str">
        <f>"0428Z72300"</f>
        <v>0428Z72300</v>
      </c>
      <c r="E2826" s="1" t="s">
        <v>10</v>
      </c>
      <c r="F2826" s="1" t="str">
        <f>"10.89.246.173"</f>
        <v>10.89.246.173</v>
      </c>
      <c r="G2826" s="1" t="str">
        <f>"0428Z723"</f>
        <v>0428Z723</v>
      </c>
      <c r="H2826" s="1" t="str">
        <f>"우일간 46L2L11"</f>
        <v>우일간 46L2L11</v>
      </c>
      <c r="I2826" s="1" t="s">
        <v>8</v>
      </c>
      <c r="J2826" s="1" t="str">
        <f>"88/88"</f>
        <v>88/88</v>
      </c>
      <c r="K2826" s="1" t="str">
        <f>"2026-07-29 13:18:04"</f>
        <v>2026-07-29 13:18:04</v>
      </c>
      <c r="L2826" s="1" t="str">
        <f>"2014-10-10 11:27:20"</f>
        <v>2014-10-10 11:27:20</v>
      </c>
      <c r="M2826" s="1" t="s">
        <v>45</v>
      </c>
      <c r="N2826" s="1" t="s">
        <v>38</v>
      </c>
      <c r="O2826" s="1" t="s">
        <v>46</v>
      </c>
    </row>
    <row r="2827" spans="2:15" x14ac:dyDescent="0.3">
      <c r="B2827" s="1" t="s">
        <v>24</v>
      </c>
      <c r="C2827" s="1" t="str">
        <f>"1차"</f>
        <v>1차</v>
      </c>
      <c r="D2827" s="1" t="str">
        <f>"0428Z74200"</f>
        <v>0428Z74200</v>
      </c>
      <c r="E2827" s="1" t="s">
        <v>10</v>
      </c>
      <c r="F2827" s="1" t="str">
        <f>"10.89.246.172"</f>
        <v>10.89.246.172</v>
      </c>
      <c r="G2827" s="1" t="str">
        <f>"0428Z742"</f>
        <v>0428Z742</v>
      </c>
      <c r="H2827" s="1" t="str">
        <f>"우일간 46L2L15"</f>
        <v>우일간 46L2L15</v>
      </c>
      <c r="I2827" s="1" t="s">
        <v>8</v>
      </c>
      <c r="J2827" s="1" t="str">
        <f>"3/3"</f>
        <v>3/3</v>
      </c>
      <c r="K2827" s="1" t="str">
        <f>"2026-07-29 13:18:03"</f>
        <v>2026-07-29 13:18:03</v>
      </c>
      <c r="L2827" s="1" t="str">
        <f>"2014-10-03 23:12:45"</f>
        <v>2014-10-03 23:12:45</v>
      </c>
      <c r="M2827" s="1" t="s">
        <v>45</v>
      </c>
      <c r="N2827" s="1" t="s">
        <v>38</v>
      </c>
      <c r="O2827" s="1" t="s">
        <v>46</v>
      </c>
    </row>
    <row r="2828" spans="2:15" x14ac:dyDescent="0.3">
      <c r="B2828" s="1" t="s">
        <v>24</v>
      </c>
      <c r="C2828" s="1" t="str">
        <f>"5-1차"</f>
        <v>5-1차</v>
      </c>
      <c r="D2828" s="1" t="str">
        <f>"0428Z7435M"</f>
        <v>0428Z7435M</v>
      </c>
      <c r="E2828" s="1" t="s">
        <v>10</v>
      </c>
      <c r="F2828" s="1" t="str">
        <f>"fde3:102:1430:8500:0:0:0:2"</f>
        <v>fde3:102:1430:8500:0:0:0:2</v>
      </c>
      <c r="G2828" s="1" t="str">
        <f>"0428Z743"</f>
        <v>0428Z743</v>
      </c>
      <c r="H2828" s="1" t="str">
        <f>"우일간 46L2L14"</f>
        <v>우일간 46L2L14</v>
      </c>
      <c r="I2828" s="1" t="s">
        <v>15</v>
      </c>
      <c r="J2828" s="1" t="str">
        <f>"19/20"</f>
        <v>19/20</v>
      </c>
      <c r="K2828" s="1" t="str">
        <f>"2026-07-29 14:21:08"</f>
        <v>2026-07-29 14:21:08</v>
      </c>
      <c r="L2828" s="1" t="str">
        <f>"2022-11-23 10:07:39"</f>
        <v>2022-11-23 10:07:39</v>
      </c>
      <c r="M2828" s="1" t="s">
        <v>45</v>
      </c>
      <c r="N2828" s="1" t="s">
        <v>38</v>
      </c>
      <c r="O2828" s="1" t="s">
        <v>46</v>
      </c>
    </row>
    <row r="2829" spans="2:15" x14ac:dyDescent="0.3">
      <c r="B2829" s="1" t="s">
        <v>24</v>
      </c>
      <c r="C2829" s="1" t="str">
        <f>"5-2차"</f>
        <v>5-2차</v>
      </c>
      <c r="D2829" s="1" t="str">
        <f>"0428Z7825M"</f>
        <v>0428Z7825M</v>
      </c>
      <c r="E2829" s="1" t="s">
        <v>10</v>
      </c>
      <c r="F2829" s="1" t="str">
        <f>"fde1:103:4:932c:0:0:0:2"</f>
        <v>fde1:103:4:932c:0:0:0:2</v>
      </c>
      <c r="G2829" s="1" t="str">
        <f>"0428Z782"</f>
        <v>0428Z782</v>
      </c>
      <c r="H2829" s="1" t="str">
        <f>"금란간 8R24"</f>
        <v>금란간 8R24</v>
      </c>
      <c r="I2829" s="1" t="s">
        <v>15</v>
      </c>
      <c r="J2829" s="1" t="str">
        <f>"46/46"</f>
        <v>46/46</v>
      </c>
      <c r="K2829" s="1" t="str">
        <f>"2026-07-29 14:21:27"</f>
        <v>2026-07-29 14:21:27</v>
      </c>
      <c r="L2829" s="1" t="str">
        <f>"2023-12-20 11:05:51"</f>
        <v>2023-12-20 11:05:51</v>
      </c>
      <c r="M2829" s="1" t="s">
        <v>4</v>
      </c>
      <c r="N2829" s="1" t="s">
        <v>38</v>
      </c>
      <c r="O2829" s="1" t="s">
        <v>46</v>
      </c>
    </row>
    <row r="2830" spans="2:15" x14ac:dyDescent="0.3">
      <c r="B2830" s="1" t="s">
        <v>24</v>
      </c>
      <c r="C2830" s="1" t="str">
        <f>"1차"</f>
        <v>1차</v>
      </c>
      <c r="D2830" s="1" t="str">
        <f>"0428Z81200"</f>
        <v>0428Z81200</v>
      </c>
      <c r="E2830" s="1" t="s">
        <v>10</v>
      </c>
      <c r="F2830" s="1" t="str">
        <f>"10.89.246.175"</f>
        <v>10.89.246.175</v>
      </c>
      <c r="G2830" s="1" t="str">
        <f>"0428Z812"</f>
        <v>0428Z812</v>
      </c>
      <c r="H2830" s="1" t="str">
        <f>"우일간 46L2L11R3"</f>
        <v>우일간 46L2L11R3</v>
      </c>
      <c r="I2830" s="1" t="s">
        <v>8</v>
      </c>
      <c r="J2830" s="1" t="str">
        <f>"29/29"</f>
        <v>29/29</v>
      </c>
      <c r="K2830" s="1" t="str">
        <f>"2026-07-29 13:18:03"</f>
        <v>2026-07-29 13:18:03</v>
      </c>
      <c r="L2830" s="1" t="str">
        <f>"2015-08-07 11:03:04"</f>
        <v>2015-08-07 11:03:04</v>
      </c>
      <c r="M2830" s="1" t="s">
        <v>45</v>
      </c>
      <c r="N2830" s="1" t="s">
        <v>38</v>
      </c>
      <c r="O2830" s="1" t="s">
        <v>46</v>
      </c>
    </row>
    <row r="2831" spans="2:15" x14ac:dyDescent="0.3">
      <c r="B2831" s="1" t="s">
        <v>24</v>
      </c>
      <c r="C2831" s="1" t="str">
        <f>"4차"</f>
        <v>4차</v>
      </c>
      <c r="D2831" s="1" t="str">
        <f>"0428Z82142"</f>
        <v>0428Z82142</v>
      </c>
      <c r="E2831" s="1" t="s">
        <v>10</v>
      </c>
      <c r="F2831" s="1" t="str">
        <f>"10.89.246.174"</f>
        <v>10.89.246.174</v>
      </c>
      <c r="G2831" s="1" t="str">
        <f>"0428Z821"</f>
        <v>0428Z821</v>
      </c>
      <c r="H2831" s="1" t="str">
        <f>"우일간 46L2L14R5"</f>
        <v>우일간 46L2L14R5</v>
      </c>
      <c r="I2831" s="1" t="s">
        <v>8</v>
      </c>
      <c r="J2831" s="1" t="str">
        <f>"36/51"</f>
        <v>36/51</v>
      </c>
      <c r="K2831" s="1" t="str">
        <f>"2026-07-29 13:18:04"</f>
        <v>2026-07-29 13:18:04</v>
      </c>
      <c r="L2831" s="1" t="str">
        <f>"2026-07-02 18:21:54"</f>
        <v>2026-07-02 18:21:54</v>
      </c>
      <c r="M2831" s="1" t="s">
        <v>45</v>
      </c>
      <c r="N2831" s="1" t="s">
        <v>38</v>
      </c>
      <c r="O2831" s="1" t="s">
        <v>46</v>
      </c>
    </row>
    <row r="2832" spans="2:15" x14ac:dyDescent="0.3">
      <c r="B2832" s="1" t="s">
        <v>24</v>
      </c>
      <c r="C2832" s="1" t="str">
        <f>"4차"</f>
        <v>4차</v>
      </c>
      <c r="D2832" s="1" t="str">
        <f>"0428Z82242"</f>
        <v>0428Z82242</v>
      </c>
      <c r="E2832" s="1" t="s">
        <v>10</v>
      </c>
      <c r="F2832" s="1" t="str">
        <f>"10.89.246.165"</f>
        <v>10.89.246.165</v>
      </c>
      <c r="G2832" s="1" t="str">
        <f>"0428Z822"</f>
        <v>0428Z822</v>
      </c>
      <c r="H2832" s="1" t="str">
        <f>"우일간 46L2L14R6"</f>
        <v>우일간 46L2L14R6</v>
      </c>
      <c r="I2832" s="1" t="s">
        <v>8</v>
      </c>
      <c r="J2832" s="1" t="str">
        <f>"73/80"</f>
        <v>73/80</v>
      </c>
      <c r="K2832" s="1" t="str">
        <f>"2026-07-29 13:18:00"</f>
        <v>2026-07-29 13:18:00</v>
      </c>
      <c r="L2832" s="1" t="str">
        <f>"2025-01-14 10:38:23"</f>
        <v>2025-01-14 10:38:23</v>
      </c>
      <c r="M2832" s="1" t="s">
        <v>45</v>
      </c>
      <c r="N2832" s="1" t="s">
        <v>38</v>
      </c>
      <c r="O2832" s="1" t="s">
        <v>46</v>
      </c>
    </row>
    <row r="2833" spans="2:15" x14ac:dyDescent="0.3">
      <c r="B2833" s="1" t="s">
        <v>24</v>
      </c>
      <c r="C2833" s="1" t="str">
        <f>"1차"</f>
        <v>1차</v>
      </c>
      <c r="D2833" s="1" t="str">
        <f>"0428Z84201"</f>
        <v>0428Z84201</v>
      </c>
      <c r="E2833" s="1" t="s">
        <v>10</v>
      </c>
      <c r="F2833" s="1" t="str">
        <f>"10.89.246.164"</f>
        <v>10.89.246.164</v>
      </c>
      <c r="G2833" s="1" t="str">
        <f>"0428Z842"</f>
        <v>0428Z842</v>
      </c>
      <c r="H2833" s="1" t="str">
        <f>"우일간 46L2L14R3"</f>
        <v>우일간 46L2L14R3</v>
      </c>
      <c r="I2833" s="1" t="s">
        <v>8</v>
      </c>
      <c r="J2833" s="1" t="str">
        <f>"19/19"</f>
        <v>19/19</v>
      </c>
      <c r="K2833" s="1" t="str">
        <f>"2026-07-29 13:18:03"</f>
        <v>2026-07-29 13:18:03</v>
      </c>
      <c r="L2833" s="1" t="str">
        <f>"2023-02-21 14:07:42"</f>
        <v>2023-02-21 14:07:42</v>
      </c>
      <c r="M2833" s="1" t="s">
        <v>45</v>
      </c>
      <c r="N2833" s="1" t="s">
        <v>38</v>
      </c>
      <c r="O2833" s="1" t="s">
        <v>46</v>
      </c>
    </row>
    <row r="2834" spans="2:15" x14ac:dyDescent="0.3">
      <c r="B2834" s="1" t="s">
        <v>24</v>
      </c>
      <c r="C2834" s="1" t="str">
        <f>"5-2차"</f>
        <v>5-2차</v>
      </c>
      <c r="D2834" s="1" t="str">
        <f>"0428Z8815M"</f>
        <v>0428Z8815M</v>
      </c>
      <c r="E2834" s="1" t="s">
        <v>10</v>
      </c>
      <c r="F2834" s="1" t="str">
        <f>"fde3:102:1430:8200:0:0:0:24"</f>
        <v>fde3:102:1430:8200:0:0:0:24</v>
      </c>
      <c r="G2834" s="1" t="str">
        <f>"0428Z881"</f>
        <v>0428Z881</v>
      </c>
      <c r="H2834" s="1" t="str">
        <f>"금란간 8R18"</f>
        <v>금란간 8R18</v>
      </c>
      <c r="I2834" s="1" t="s">
        <v>15</v>
      </c>
      <c r="J2834" s="1" t="str">
        <f>"34/34"</f>
        <v>34/34</v>
      </c>
      <c r="K2834" s="1" t="str">
        <f>"2026-07-29 14:21:05"</f>
        <v>2026-07-29 14:21:05</v>
      </c>
      <c r="L2834" s="1" t="str">
        <f>"2023-09-05 06:35:19"</f>
        <v>2023-09-05 06:35:19</v>
      </c>
      <c r="M2834" s="1" t="s">
        <v>45</v>
      </c>
      <c r="N2834" s="1" t="s">
        <v>38</v>
      </c>
      <c r="O2834" s="1" t="s">
        <v>46</v>
      </c>
    </row>
    <row r="2835" spans="2:15" x14ac:dyDescent="0.3">
      <c r="B2835" s="1" t="s">
        <v>24</v>
      </c>
      <c r="C2835" s="1" t="str">
        <f>"5-2차"</f>
        <v>5-2차</v>
      </c>
      <c r="D2835" s="1" t="str">
        <f>"0428Z8915M"</f>
        <v>0428Z8915M</v>
      </c>
      <c r="E2835" s="1" t="s">
        <v>10</v>
      </c>
      <c r="F2835" s="1" t="str">
        <f>"fde3:102:1430:8200:0:0:0:23"</f>
        <v>fde3:102:1430:8200:0:0:0:23</v>
      </c>
      <c r="G2835" s="1" t="str">
        <f>"0428Z891"</f>
        <v>0428Z891</v>
      </c>
      <c r="H2835" s="1" t="str">
        <f>"금란간 8R17"</f>
        <v>금란간 8R17</v>
      </c>
      <c r="I2835" s="1" t="s">
        <v>15</v>
      </c>
      <c r="J2835" s="1" t="str">
        <f>"76/88"</f>
        <v>76/88</v>
      </c>
      <c r="K2835" s="1" t="str">
        <f>"2026-07-29 14:21:08"</f>
        <v>2026-07-29 14:21:08</v>
      </c>
      <c r="L2835" s="1" t="str">
        <f>"2023-09-05 06:51:57"</f>
        <v>2023-09-05 06:51:57</v>
      </c>
      <c r="M2835" s="1" t="s">
        <v>45</v>
      </c>
      <c r="N2835" s="1" t="s">
        <v>38</v>
      </c>
      <c r="O2835" s="1" t="s">
        <v>46</v>
      </c>
    </row>
    <row r="2836" spans="2:15" x14ac:dyDescent="0.3">
      <c r="B2836" s="1" t="s">
        <v>24</v>
      </c>
      <c r="C2836" s="1" t="str">
        <f>"5-2차"</f>
        <v>5-2차</v>
      </c>
      <c r="D2836" s="1" t="str">
        <f>"0428Z9015S"</f>
        <v>0428Z9015S</v>
      </c>
      <c r="E2836" s="1" t="s">
        <v>10</v>
      </c>
      <c r="F2836" s="1" t="str">
        <f>"fde3:102:1430:8500:0:0:0:4"</f>
        <v>fde3:102:1430:8500:0:0:0:4</v>
      </c>
      <c r="G2836" s="1" t="str">
        <f>"0428Z901"</f>
        <v>0428Z901</v>
      </c>
      <c r="H2836" s="1" t="str">
        <f>"우일간 46L2L11R5"</f>
        <v>우일간 46L2L11R5</v>
      </c>
      <c r="I2836" s="1" t="s">
        <v>15</v>
      </c>
      <c r="J2836" s="1" t="str">
        <f>"13/13"</f>
        <v>13/13</v>
      </c>
      <c r="K2836" s="1" t="str">
        <f>"2026-07-29 14:21:01"</f>
        <v>2026-07-29 14:21:01</v>
      </c>
      <c r="L2836" s="1" t="str">
        <f>"2023-09-16 07:51:00"</f>
        <v>2023-09-16 07:51:00</v>
      </c>
      <c r="M2836" s="1" t="s">
        <v>45</v>
      </c>
      <c r="N2836" s="1" t="s">
        <v>38</v>
      </c>
      <c r="O2836" s="1" t="s">
        <v>46</v>
      </c>
    </row>
    <row r="2837" spans="2:15" x14ac:dyDescent="0.3">
      <c r="B2837" s="1" t="s">
        <v>24</v>
      </c>
      <c r="C2837" s="1" t="str">
        <f>"5-2차"</f>
        <v>5-2차</v>
      </c>
      <c r="D2837" s="1" t="str">
        <f>"0428Z9515M"</f>
        <v>0428Z9515M</v>
      </c>
      <c r="E2837" s="1" t="s">
        <v>10</v>
      </c>
      <c r="F2837" s="1" t="str">
        <f>"fde1:103:4:91c3:0:0:0:2"</f>
        <v>fde1:103:4:91c3:0:0:0:2</v>
      </c>
      <c r="G2837" s="1" t="str">
        <f>"0428Z951"</f>
        <v>0428Z951</v>
      </c>
      <c r="H2837" s="1" t="str">
        <f>"우일간 26L1"</f>
        <v>우일간 26L1</v>
      </c>
      <c r="I2837" s="1" t="s">
        <v>15</v>
      </c>
      <c r="J2837" s="1" t="str">
        <f>"64/64"</f>
        <v>64/64</v>
      </c>
      <c r="K2837" s="1" t="str">
        <f>"2026-07-29 14:20:34"</f>
        <v>2026-07-29 14:20:34</v>
      </c>
      <c r="L2837" s="1" t="str">
        <f>"2023-12-20 11:06:12"</f>
        <v>2023-12-20 11:06:12</v>
      </c>
      <c r="M2837" s="1" t="s">
        <v>4</v>
      </c>
      <c r="N2837" s="1" t="s">
        <v>38</v>
      </c>
      <c r="O2837" s="1" t="s">
        <v>46</v>
      </c>
    </row>
    <row r="2838" spans="2:15" x14ac:dyDescent="0.3">
      <c r="B2838" s="1" t="s">
        <v>24</v>
      </c>
      <c r="C2838" s="1" t="str">
        <f>"3차"</f>
        <v>3차</v>
      </c>
      <c r="D2838" s="1" t="str">
        <f>"0429R02139"</f>
        <v>0429R02139</v>
      </c>
      <c r="E2838" s="1" t="s">
        <v>10</v>
      </c>
      <c r="F2838" s="1" t="str">
        <f>"10.10.16.226"</f>
        <v>10.10.16.226</v>
      </c>
      <c r="G2838" s="1" t="str">
        <f>"0429R021"</f>
        <v>0429R021</v>
      </c>
      <c r="H2838" s="1" t="str">
        <f>"묵동지 35"</f>
        <v>묵동지 35</v>
      </c>
      <c r="I2838" s="1" t="s">
        <v>8</v>
      </c>
      <c r="J2838" s="1" t="str">
        <f>"16/16"</f>
        <v>16/16</v>
      </c>
      <c r="K2838" s="1" t="str">
        <f>"2026-07-29 13:18:04"</f>
        <v>2026-07-29 13:18:04</v>
      </c>
      <c r="L2838" s="1" t="str">
        <f>"2018-02-08 16:50:11"</f>
        <v>2018-02-08 16:50:11</v>
      </c>
      <c r="M2838" s="1" t="s">
        <v>1</v>
      </c>
      <c r="N2838" s="1" t="s">
        <v>38</v>
      </c>
      <c r="O2838" s="1" t="s">
        <v>46</v>
      </c>
    </row>
    <row r="2839" spans="2:15" x14ac:dyDescent="0.3">
      <c r="B2839" s="1" t="s">
        <v>24</v>
      </c>
      <c r="C2839" s="1" t="str">
        <f t="shared" ref="C2839:C2844" si="167">"4차"</f>
        <v>4차</v>
      </c>
      <c r="D2839" s="1" t="str">
        <f>"0429R04144"</f>
        <v>0429R04144</v>
      </c>
      <c r="E2839" s="1" t="s">
        <v>10</v>
      </c>
      <c r="F2839" s="1" t="str">
        <f>"10.10.63.26"</f>
        <v>10.10.63.26</v>
      </c>
      <c r="G2839" s="1" t="str">
        <f>"0429R041"</f>
        <v>0429R041</v>
      </c>
      <c r="H2839" s="1" t="str">
        <f>"묵동지 36L3L2"</f>
        <v>묵동지 36L3L2</v>
      </c>
      <c r="I2839" s="1" t="s">
        <v>8</v>
      </c>
      <c r="J2839" s="1" t="str">
        <f>"22/22"</f>
        <v>22/22</v>
      </c>
      <c r="K2839" s="1" t="str">
        <f>"2026-07-29 13:18:04"</f>
        <v>2026-07-29 13:18:04</v>
      </c>
      <c r="L2839" s="1" t="str">
        <f>"2019-10-17 11:51:04"</f>
        <v>2019-10-17 11:51:04</v>
      </c>
      <c r="M2839" s="1" t="s">
        <v>1</v>
      </c>
      <c r="N2839" s="1" t="s">
        <v>38</v>
      </c>
      <c r="O2839" s="1" t="s">
        <v>46</v>
      </c>
    </row>
    <row r="2840" spans="2:15" x14ac:dyDescent="0.3">
      <c r="B2840" s="1" t="s">
        <v>24</v>
      </c>
      <c r="C2840" s="1" t="str">
        <f t="shared" si="167"/>
        <v>4차</v>
      </c>
      <c r="D2840" s="1" t="str">
        <f>"0429R05144"</f>
        <v>0429R05144</v>
      </c>
      <c r="E2840" s="1" t="s">
        <v>10</v>
      </c>
      <c r="F2840" s="1" t="str">
        <f>"10.10.62.186"</f>
        <v>10.10.62.186</v>
      </c>
      <c r="G2840" s="1" t="str">
        <f>"0429R051"</f>
        <v>0429R051</v>
      </c>
      <c r="H2840" s="1" t="str">
        <f>"묵동지 36L3"</f>
        <v>묵동지 36L3</v>
      </c>
      <c r="I2840" s="1" t="s">
        <v>8</v>
      </c>
      <c r="J2840" s="1" t="str">
        <f>"40/40"</f>
        <v>40/40</v>
      </c>
      <c r="K2840" s="1" t="str">
        <f>"2026-07-29 13:18:04"</f>
        <v>2026-07-29 13:18:04</v>
      </c>
      <c r="L2840" s="1" t="str">
        <f>"2019-10-17 11:38:03"</f>
        <v>2019-10-17 11:38:03</v>
      </c>
      <c r="M2840" s="1" t="s">
        <v>1</v>
      </c>
      <c r="N2840" s="1" t="s">
        <v>38</v>
      </c>
      <c r="O2840" s="1" t="s">
        <v>46</v>
      </c>
    </row>
    <row r="2841" spans="2:15" x14ac:dyDescent="0.3">
      <c r="B2841" s="1" t="s">
        <v>24</v>
      </c>
      <c r="C2841" s="1" t="str">
        <f t="shared" si="167"/>
        <v>4차</v>
      </c>
      <c r="D2841" s="1" t="str">
        <f>"0429R05344"</f>
        <v>0429R05344</v>
      </c>
      <c r="E2841" s="1" t="s">
        <v>10</v>
      </c>
      <c r="F2841" s="1" t="str">
        <f>"10.10.62.170"</f>
        <v>10.10.62.170</v>
      </c>
      <c r="G2841" s="1" t="str">
        <f>"0429R053"</f>
        <v>0429R053</v>
      </c>
      <c r="H2841" s="1" t="str">
        <f>"묵동지 36L3L1"</f>
        <v>묵동지 36L3L1</v>
      </c>
      <c r="I2841" s="1" t="s">
        <v>8</v>
      </c>
      <c r="J2841" s="1" t="str">
        <f>"42/42"</f>
        <v>42/42</v>
      </c>
      <c r="K2841" s="1" t="str">
        <f>"2026-07-29 13:18:04"</f>
        <v>2026-07-29 13:18:04</v>
      </c>
      <c r="L2841" s="1" t="str">
        <f>"2019-10-17 11:40:48"</f>
        <v>2019-10-17 11:40:48</v>
      </c>
      <c r="M2841" s="1" t="s">
        <v>1</v>
      </c>
      <c r="N2841" s="1" t="s">
        <v>38</v>
      </c>
      <c r="O2841" s="1" t="s">
        <v>46</v>
      </c>
    </row>
    <row r="2842" spans="2:15" x14ac:dyDescent="0.3">
      <c r="B2842" s="1" t="s">
        <v>24</v>
      </c>
      <c r="C2842" s="1" t="str">
        <f t="shared" si="167"/>
        <v>4차</v>
      </c>
      <c r="D2842" s="1" t="str">
        <f>"0429R06244"</f>
        <v>0429R06244</v>
      </c>
      <c r="E2842" s="1" t="s">
        <v>10</v>
      </c>
      <c r="F2842" s="1" t="str">
        <f>"10.10.63.18"</f>
        <v>10.10.63.18</v>
      </c>
      <c r="G2842" s="1" t="str">
        <f>"0429R062"</f>
        <v>0429R062</v>
      </c>
      <c r="H2842" s="1" t="str">
        <f>"묵동지 36L5"</f>
        <v>묵동지 36L5</v>
      </c>
      <c r="I2842" s="1" t="s">
        <v>8</v>
      </c>
      <c r="J2842" s="1" t="str">
        <f>"18/18"</f>
        <v>18/18</v>
      </c>
      <c r="K2842" s="1" t="str">
        <f>"2026-07-29 13:18:04"</f>
        <v>2026-07-29 13:18:04</v>
      </c>
      <c r="L2842" s="1" t="str">
        <f>"2019-10-17 13:43:04"</f>
        <v>2019-10-17 13:43:04</v>
      </c>
      <c r="M2842" s="1" t="s">
        <v>1</v>
      </c>
      <c r="N2842" s="1" t="s">
        <v>38</v>
      </c>
      <c r="O2842" s="1" t="s">
        <v>46</v>
      </c>
    </row>
    <row r="2843" spans="2:15" x14ac:dyDescent="0.3">
      <c r="B2843" s="1" t="s">
        <v>24</v>
      </c>
      <c r="C2843" s="1" t="str">
        <f t="shared" si="167"/>
        <v>4차</v>
      </c>
      <c r="D2843" s="1" t="str">
        <f>"0429R11141"</f>
        <v>0429R11141</v>
      </c>
      <c r="E2843" s="1" t="s">
        <v>10</v>
      </c>
      <c r="F2843" s="1" t="str">
        <f>"10.14.2.114"</f>
        <v>10.14.2.114</v>
      </c>
      <c r="G2843" s="1" t="str">
        <f>"0429R111"</f>
        <v>0429R111</v>
      </c>
      <c r="H2843" s="1" t="str">
        <f>"묵동지 34R1L3"</f>
        <v>묵동지 34R1L3</v>
      </c>
      <c r="I2843" s="1" t="s">
        <v>17</v>
      </c>
      <c r="J2843" s="1" t="str">
        <f>"26/26"</f>
        <v>26/26</v>
      </c>
      <c r="K2843" s="1" t="str">
        <f>"2026-07-29 13:18:05"</f>
        <v>2026-07-29 13:18:05</v>
      </c>
      <c r="L2843" s="1" t="str">
        <f>"2021-07-15 16:20:04"</f>
        <v>2021-07-15 16:20:04</v>
      </c>
      <c r="M2843" s="1" t="s">
        <v>3</v>
      </c>
      <c r="N2843" s="1" t="s">
        <v>38</v>
      </c>
      <c r="O2843" s="1" t="s">
        <v>46</v>
      </c>
    </row>
    <row r="2844" spans="2:15" x14ac:dyDescent="0.3">
      <c r="B2844" s="1" t="s">
        <v>24</v>
      </c>
      <c r="C2844" s="1" t="str">
        <f t="shared" si="167"/>
        <v>4차</v>
      </c>
      <c r="D2844" s="1" t="str">
        <f>"0429R11241"</f>
        <v>0429R11241</v>
      </c>
      <c r="E2844" s="1" t="s">
        <v>10</v>
      </c>
      <c r="F2844" s="1" t="str">
        <f>"10.14.9.180"</f>
        <v>10.14.9.180</v>
      </c>
      <c r="G2844" s="1" t="str">
        <f>"0429R112"</f>
        <v>0429R112</v>
      </c>
      <c r="H2844" s="1" t="str">
        <f>"묵동지 34R1L4"</f>
        <v>묵동지 34R1L4</v>
      </c>
      <c r="I2844" s="1" t="s">
        <v>17</v>
      </c>
      <c r="J2844" s="1" t="str">
        <f>"35/37"</f>
        <v>35/37</v>
      </c>
      <c r="K2844" s="1" t="str">
        <f>"2026-07-29 13:18:05"</f>
        <v>2026-07-29 13:18:05</v>
      </c>
      <c r="L2844" s="1" t="str">
        <f>"2021-11-05 15:55:56"</f>
        <v>2021-11-05 15:55:56</v>
      </c>
      <c r="M2844" s="1" t="s">
        <v>3</v>
      </c>
      <c r="N2844" s="1" t="s">
        <v>38</v>
      </c>
      <c r="O2844" s="1" t="s">
        <v>46</v>
      </c>
    </row>
    <row r="2845" spans="2:15" x14ac:dyDescent="0.3">
      <c r="B2845" s="1" t="s">
        <v>24</v>
      </c>
      <c r="C2845" s="1" t="str">
        <f>"3차"</f>
        <v>3차</v>
      </c>
      <c r="D2845" s="1" t="str">
        <f>"0429R11339"</f>
        <v>0429R11339</v>
      </c>
      <c r="E2845" s="1" t="s">
        <v>10</v>
      </c>
      <c r="F2845" s="1" t="str">
        <f>"10.10.39.194"</f>
        <v>10.10.39.194</v>
      </c>
      <c r="G2845" s="1" t="str">
        <f>"0429R113"</f>
        <v>0429R113</v>
      </c>
      <c r="H2845" s="1" t="str">
        <f>"묵동지 34R1L2"</f>
        <v>묵동지 34R1L2</v>
      </c>
      <c r="I2845" s="1" t="s">
        <v>8</v>
      </c>
      <c r="J2845" s="1" t="str">
        <f>"46/46"</f>
        <v>46/46</v>
      </c>
      <c r="K2845" s="1" t="str">
        <f>"2026-07-29 13:18:04"</f>
        <v>2026-07-29 13:18:04</v>
      </c>
      <c r="L2845" s="1" t="str">
        <f>"2018-02-08 16:35:57"</f>
        <v>2018-02-08 16:35:57</v>
      </c>
      <c r="M2845" s="1" t="s">
        <v>1</v>
      </c>
      <c r="N2845" s="1" t="s">
        <v>38</v>
      </c>
      <c r="O2845" s="1" t="s">
        <v>46</v>
      </c>
    </row>
    <row r="2846" spans="2:15" x14ac:dyDescent="0.3">
      <c r="B2846" s="1" t="s">
        <v>24</v>
      </c>
      <c r="C2846" s="1" t="str">
        <f>"4차"</f>
        <v>4차</v>
      </c>
      <c r="D2846" s="1" t="str">
        <f>"0429R13144"</f>
        <v>0429R13144</v>
      </c>
      <c r="E2846" s="1" t="s">
        <v>10</v>
      </c>
      <c r="F2846" s="1" t="str">
        <f>"10.10.62.218"</f>
        <v>10.10.62.218</v>
      </c>
      <c r="G2846" s="1" t="str">
        <f>"0429R131"</f>
        <v>0429R131</v>
      </c>
      <c r="H2846" s="1" t="str">
        <f>"묵동지 36"</f>
        <v>묵동지 36</v>
      </c>
      <c r="I2846" s="1" t="s">
        <v>8</v>
      </c>
      <c r="J2846" s="1" t="str">
        <f>"23/23"</f>
        <v>23/23</v>
      </c>
      <c r="K2846" s="1" t="str">
        <f>"2026-07-29 13:18:04"</f>
        <v>2026-07-29 13:18:04</v>
      </c>
      <c r="L2846" s="1" t="str">
        <f>"2019-10-17 13:42:34"</f>
        <v>2019-10-17 13:42:34</v>
      </c>
      <c r="M2846" s="1" t="s">
        <v>1</v>
      </c>
      <c r="N2846" s="1" t="s">
        <v>38</v>
      </c>
      <c r="O2846" s="1" t="s">
        <v>46</v>
      </c>
    </row>
    <row r="2847" spans="2:15" x14ac:dyDescent="0.3">
      <c r="B2847" s="1" t="s">
        <v>24</v>
      </c>
      <c r="C2847" s="1" t="str">
        <f>"4차"</f>
        <v>4차</v>
      </c>
      <c r="D2847" s="1" t="str">
        <f>"0429R14144"</f>
        <v>0429R14144</v>
      </c>
      <c r="E2847" s="1" t="s">
        <v>10</v>
      </c>
      <c r="F2847" s="1" t="str">
        <f>"10.10.63.10"</f>
        <v>10.10.63.10</v>
      </c>
      <c r="G2847" s="1" t="str">
        <f>"0429R141"</f>
        <v>0429R141</v>
      </c>
      <c r="H2847" s="1" t="str">
        <f>"묵동지 37"</f>
        <v>묵동지 37</v>
      </c>
      <c r="I2847" s="1" t="s">
        <v>8</v>
      </c>
      <c r="J2847" s="1" t="str">
        <f>"31/31"</f>
        <v>31/31</v>
      </c>
      <c r="K2847" s="1" t="str">
        <f>"2026-07-29 13:18:04"</f>
        <v>2026-07-29 13:18:04</v>
      </c>
      <c r="L2847" s="1" t="str">
        <f>"2019-10-17 15:53:05"</f>
        <v>2019-10-17 15:53:05</v>
      </c>
      <c r="M2847" s="1" t="s">
        <v>1</v>
      </c>
      <c r="N2847" s="1" t="s">
        <v>38</v>
      </c>
      <c r="O2847" s="1" t="s">
        <v>46</v>
      </c>
    </row>
    <row r="2848" spans="2:15" x14ac:dyDescent="0.3">
      <c r="B2848" s="1" t="s">
        <v>24</v>
      </c>
      <c r="C2848" s="1" t="str">
        <f>"4차"</f>
        <v>4차</v>
      </c>
      <c r="D2848" s="1" t="str">
        <f>"0429R14244"</f>
        <v>0429R14244</v>
      </c>
      <c r="E2848" s="1" t="s">
        <v>10</v>
      </c>
      <c r="F2848" s="1" t="str">
        <f>"10.10.62.202"</f>
        <v>10.10.62.202</v>
      </c>
      <c r="G2848" s="1" t="str">
        <f>"0429R142"</f>
        <v>0429R142</v>
      </c>
      <c r="H2848" s="1" t="str">
        <f>"묵동지 36L1"</f>
        <v>묵동지 36L1</v>
      </c>
      <c r="I2848" s="1" t="s">
        <v>8</v>
      </c>
      <c r="J2848" s="1" t="str">
        <f>"36/36"</f>
        <v>36/36</v>
      </c>
      <c r="K2848" s="1" t="str">
        <f>"2026-07-29 13:18:04"</f>
        <v>2026-07-29 13:18:04</v>
      </c>
      <c r="L2848" s="1" t="str">
        <f>"2019-10-17 13:39:49"</f>
        <v>2019-10-17 13:39:49</v>
      </c>
      <c r="M2848" s="1" t="s">
        <v>1</v>
      </c>
      <c r="N2848" s="1" t="s">
        <v>38</v>
      </c>
      <c r="O2848" s="1" t="s">
        <v>46</v>
      </c>
    </row>
    <row r="2849" spans="2:15" x14ac:dyDescent="0.3">
      <c r="B2849" s="1" t="s">
        <v>24</v>
      </c>
      <c r="C2849" s="1" t="str">
        <f>"4차"</f>
        <v>4차</v>
      </c>
      <c r="D2849" s="1" t="str">
        <f>"0429R21141"</f>
        <v>0429R21141</v>
      </c>
      <c r="E2849" s="1" t="s">
        <v>10</v>
      </c>
      <c r="F2849" s="1" t="str">
        <f>"10.14.11.112"</f>
        <v>10.14.11.112</v>
      </c>
      <c r="G2849" s="1" t="str">
        <f>"0429R211"</f>
        <v>0429R211</v>
      </c>
      <c r="H2849" s="1" t="str">
        <f>"묵동지 34R1L5"</f>
        <v>묵동지 34R1L5</v>
      </c>
      <c r="I2849" s="1" t="s">
        <v>17</v>
      </c>
      <c r="J2849" s="1" t="str">
        <f>"39/40"</f>
        <v>39/40</v>
      </c>
      <c r="K2849" s="1" t="str">
        <f>"2026-07-29 13:18:04"</f>
        <v>2026-07-29 13:18:04</v>
      </c>
      <c r="L2849" s="1" t="str">
        <f>"2021-10-20 07:53:50"</f>
        <v>2021-10-20 07:53:50</v>
      </c>
      <c r="M2849" s="1" t="s">
        <v>3</v>
      </c>
      <c r="N2849" s="1" t="s">
        <v>38</v>
      </c>
      <c r="O2849" s="1" t="s">
        <v>46</v>
      </c>
    </row>
    <row r="2850" spans="2:15" x14ac:dyDescent="0.3">
      <c r="B2850" s="1" t="s">
        <v>24</v>
      </c>
      <c r="C2850" s="1" t="str">
        <f>"5-2차"</f>
        <v>5-2차</v>
      </c>
      <c r="D2850" s="1" t="str">
        <f>"0429R2335M"</f>
        <v>0429R2335M</v>
      </c>
      <c r="E2850" s="1" t="s">
        <v>10</v>
      </c>
      <c r="F2850" s="1" t="str">
        <f>"fde3:102:1430:7100:0:0:0:3"</f>
        <v>fde3:102:1430:7100:0:0:0:3</v>
      </c>
      <c r="G2850" s="1" t="str">
        <f>"0429R233"</f>
        <v>0429R233</v>
      </c>
      <c r="H2850" s="1" t="str">
        <f>"묵동지 36R1"</f>
        <v>묵동지 36R1</v>
      </c>
      <c r="I2850" s="1" t="s">
        <v>15</v>
      </c>
      <c r="J2850" s="1" t="str">
        <f>"78/78"</f>
        <v>78/78</v>
      </c>
      <c r="K2850" s="1" t="str">
        <f>"2026-07-29 14:21:08"</f>
        <v>2026-07-29 14:21:08</v>
      </c>
      <c r="L2850" s="1" t="str">
        <f>"2024-01-08 08:53:22"</f>
        <v>2024-01-08 08:53:22</v>
      </c>
      <c r="M2850" s="1" t="s">
        <v>45</v>
      </c>
      <c r="N2850" s="1" t="s">
        <v>38</v>
      </c>
      <c r="O2850" s="1" t="s">
        <v>46</v>
      </c>
    </row>
    <row r="2851" spans="2:15" x14ac:dyDescent="0.3">
      <c r="B2851" s="1" t="s">
        <v>24</v>
      </c>
      <c r="C2851" s="1" t="str">
        <f t="shared" ref="C2851:C2863" si="168">"4차"</f>
        <v>4차</v>
      </c>
      <c r="D2851" s="1" t="str">
        <f>"0429R26144"</f>
        <v>0429R26144</v>
      </c>
      <c r="E2851" s="1" t="s">
        <v>10</v>
      </c>
      <c r="F2851" s="1" t="str">
        <f>"10.10.63.154"</f>
        <v>10.10.63.154</v>
      </c>
      <c r="G2851" s="1" t="str">
        <f>"0429R261"</f>
        <v>0429R261</v>
      </c>
      <c r="H2851" s="1" t="str">
        <f>"묵동지 43L6"</f>
        <v>묵동지 43L6</v>
      </c>
      <c r="I2851" s="1" t="s">
        <v>8</v>
      </c>
      <c r="J2851" s="1" t="str">
        <f>"48/48"</f>
        <v>48/48</v>
      </c>
      <c r="K2851" s="1" t="str">
        <f t="shared" ref="K2851:K2857" si="169">"2026-07-29 13:18:04"</f>
        <v>2026-07-29 13:18:04</v>
      </c>
      <c r="L2851" s="1" t="str">
        <f>"2019-10-17 13:55:50"</f>
        <v>2019-10-17 13:55:50</v>
      </c>
      <c r="M2851" s="1" t="s">
        <v>1</v>
      </c>
      <c r="N2851" s="1" t="s">
        <v>38</v>
      </c>
      <c r="O2851" s="1" t="s">
        <v>46</v>
      </c>
    </row>
    <row r="2852" spans="2:15" x14ac:dyDescent="0.3">
      <c r="B2852" s="1" t="s">
        <v>24</v>
      </c>
      <c r="C2852" s="1" t="str">
        <f t="shared" si="168"/>
        <v>4차</v>
      </c>
      <c r="D2852" s="1" t="str">
        <f>"0429R35144"</f>
        <v>0429R35144</v>
      </c>
      <c r="E2852" s="1" t="s">
        <v>10</v>
      </c>
      <c r="F2852" s="1" t="str">
        <f>"10.10.63.42"</f>
        <v>10.10.63.42</v>
      </c>
      <c r="G2852" s="1" t="str">
        <f>"0429R351"</f>
        <v>0429R351</v>
      </c>
      <c r="H2852" s="1" t="str">
        <f>"묵동지 39"</f>
        <v>묵동지 39</v>
      </c>
      <c r="I2852" s="1" t="s">
        <v>8</v>
      </c>
      <c r="J2852" s="1" t="str">
        <f>"29/51"</f>
        <v>29/51</v>
      </c>
      <c r="K2852" s="1" t="str">
        <f t="shared" si="169"/>
        <v>2026-07-29 13:18:04</v>
      </c>
      <c r="L2852" s="1" t="str">
        <f>"2020-02-10 18:28:48"</f>
        <v>2020-02-10 18:28:48</v>
      </c>
      <c r="M2852" s="1" t="s">
        <v>1</v>
      </c>
      <c r="N2852" s="1" t="s">
        <v>38</v>
      </c>
      <c r="O2852" s="1" t="s">
        <v>46</v>
      </c>
    </row>
    <row r="2853" spans="2:15" x14ac:dyDescent="0.3">
      <c r="B2853" s="1" t="s">
        <v>24</v>
      </c>
      <c r="C2853" s="1" t="str">
        <f t="shared" si="168"/>
        <v>4차</v>
      </c>
      <c r="D2853" s="1" t="str">
        <f>"0429R35244"</f>
        <v>0429R35244</v>
      </c>
      <c r="E2853" s="1" t="s">
        <v>10</v>
      </c>
      <c r="F2853" s="1" t="str">
        <f>"10.10.63.50"</f>
        <v>10.10.63.50</v>
      </c>
      <c r="G2853" s="1" t="str">
        <f>"0429R352"</f>
        <v>0429R352</v>
      </c>
      <c r="H2853" s="1" t="str">
        <f>"묵동지 40"</f>
        <v>묵동지 40</v>
      </c>
      <c r="I2853" s="1" t="s">
        <v>8</v>
      </c>
      <c r="J2853" s="1" t="str">
        <f>"56/56"</f>
        <v>56/56</v>
      </c>
      <c r="K2853" s="1" t="str">
        <f t="shared" si="169"/>
        <v>2026-07-29 13:18:04</v>
      </c>
      <c r="L2853" s="1" t="str">
        <f>"2019-10-17 15:44:05"</f>
        <v>2019-10-17 15:44:05</v>
      </c>
      <c r="M2853" s="1" t="s">
        <v>1</v>
      </c>
      <c r="N2853" s="1" t="s">
        <v>38</v>
      </c>
      <c r="O2853" s="1" t="s">
        <v>46</v>
      </c>
    </row>
    <row r="2854" spans="2:15" x14ac:dyDescent="0.3">
      <c r="B2854" s="1" t="s">
        <v>24</v>
      </c>
      <c r="C2854" s="1" t="str">
        <f t="shared" si="168"/>
        <v>4차</v>
      </c>
      <c r="D2854" s="1" t="str">
        <f>"0429R36144"</f>
        <v>0429R36144</v>
      </c>
      <c r="E2854" s="1" t="s">
        <v>10</v>
      </c>
      <c r="F2854" s="1" t="str">
        <f>"10.10.63.162"</f>
        <v>10.10.63.162</v>
      </c>
      <c r="G2854" s="1" t="str">
        <f>"0429R361"</f>
        <v>0429R361</v>
      </c>
      <c r="H2854" s="1" t="str">
        <f>"묵동지 43L4"</f>
        <v>묵동지 43L4</v>
      </c>
      <c r="I2854" s="1" t="s">
        <v>8</v>
      </c>
      <c r="J2854" s="1" t="str">
        <f>"7/7"</f>
        <v>7/7</v>
      </c>
      <c r="K2854" s="1" t="str">
        <f t="shared" si="169"/>
        <v>2026-07-29 13:18:04</v>
      </c>
      <c r="L2854" s="1" t="str">
        <f>"2019-10-17 13:39:04"</f>
        <v>2019-10-17 13:39:04</v>
      </c>
      <c r="M2854" s="1" t="s">
        <v>1</v>
      </c>
      <c r="N2854" s="1" t="s">
        <v>38</v>
      </c>
      <c r="O2854" s="1" t="s">
        <v>46</v>
      </c>
    </row>
    <row r="2855" spans="2:15" x14ac:dyDescent="0.3">
      <c r="B2855" s="1" t="s">
        <v>24</v>
      </c>
      <c r="C2855" s="1" t="str">
        <f t="shared" si="168"/>
        <v>4차</v>
      </c>
      <c r="D2855" s="1" t="str">
        <f>"0429R45144"</f>
        <v>0429R45144</v>
      </c>
      <c r="E2855" s="1" t="s">
        <v>10</v>
      </c>
      <c r="F2855" s="1" t="str">
        <f>"10.10.63.58"</f>
        <v>10.10.63.58</v>
      </c>
      <c r="G2855" s="1" t="str">
        <f>"0429R451"</f>
        <v>0429R451</v>
      </c>
      <c r="H2855" s="1" t="str">
        <f>"묵동지 41"</f>
        <v>묵동지 41</v>
      </c>
      <c r="I2855" s="1" t="s">
        <v>8</v>
      </c>
      <c r="J2855" s="1" t="str">
        <f>"65/65"</f>
        <v>65/65</v>
      </c>
      <c r="K2855" s="1" t="str">
        <f t="shared" si="169"/>
        <v>2026-07-29 13:18:04</v>
      </c>
      <c r="L2855" s="1" t="str">
        <f>"2019-10-17 15:42:35"</f>
        <v>2019-10-17 15:42:35</v>
      </c>
      <c r="M2855" s="1" t="s">
        <v>1</v>
      </c>
      <c r="N2855" s="1" t="s">
        <v>38</v>
      </c>
      <c r="O2855" s="1" t="s">
        <v>46</v>
      </c>
    </row>
    <row r="2856" spans="2:15" x14ac:dyDescent="0.3">
      <c r="B2856" s="1" t="s">
        <v>24</v>
      </c>
      <c r="C2856" s="1" t="str">
        <f t="shared" si="168"/>
        <v>4차</v>
      </c>
      <c r="D2856" s="1" t="str">
        <f>"0429R55144"</f>
        <v>0429R55144</v>
      </c>
      <c r="E2856" s="1" t="s">
        <v>10</v>
      </c>
      <c r="F2856" s="1" t="str">
        <f>"10.10.113.90"</f>
        <v>10.10.113.90</v>
      </c>
      <c r="G2856" s="1" t="str">
        <f>"0429R551"</f>
        <v>0429R551</v>
      </c>
      <c r="H2856" s="1" t="str">
        <f>"묵동지 41R1"</f>
        <v>묵동지 41R1</v>
      </c>
      <c r="I2856" s="1" t="s">
        <v>8</v>
      </c>
      <c r="J2856" s="1" t="str">
        <f>"31/31"</f>
        <v>31/31</v>
      </c>
      <c r="K2856" s="1" t="str">
        <f t="shared" si="169"/>
        <v>2026-07-29 13:18:04</v>
      </c>
      <c r="L2856" s="1" t="str">
        <f>"2019-10-17 15:58:36"</f>
        <v>2019-10-17 15:58:36</v>
      </c>
      <c r="M2856" s="1" t="s">
        <v>1</v>
      </c>
      <c r="N2856" s="1" t="s">
        <v>38</v>
      </c>
      <c r="O2856" s="1" t="s">
        <v>46</v>
      </c>
    </row>
    <row r="2857" spans="2:15" x14ac:dyDescent="0.3">
      <c r="B2857" s="1" t="s">
        <v>24</v>
      </c>
      <c r="C2857" s="1" t="str">
        <f t="shared" si="168"/>
        <v>4차</v>
      </c>
      <c r="D2857" s="1" t="str">
        <f>"0429R64144"</f>
        <v>0429R64144</v>
      </c>
      <c r="E2857" s="1" t="s">
        <v>10</v>
      </c>
      <c r="F2857" s="1" t="str">
        <f>"10.89.246.162"</f>
        <v>10.89.246.162</v>
      </c>
      <c r="G2857" s="1" t="str">
        <f>"0429R641"</f>
        <v>0429R641</v>
      </c>
      <c r="H2857" s="1" t="str">
        <f>"묵동지 43R3"</f>
        <v>묵동지 43R3</v>
      </c>
      <c r="I2857" s="1" t="s">
        <v>8</v>
      </c>
      <c r="J2857" s="1" t="str">
        <f>"49/49"</f>
        <v>49/49</v>
      </c>
      <c r="K2857" s="1" t="str">
        <f t="shared" si="169"/>
        <v>2026-07-29 13:18:04</v>
      </c>
      <c r="L2857" s="1" t="str">
        <f>"2020-01-10 16:19:48"</f>
        <v>2020-01-10 16:19:48</v>
      </c>
      <c r="M2857" s="1" t="s">
        <v>45</v>
      </c>
      <c r="N2857" s="1" t="s">
        <v>38</v>
      </c>
      <c r="O2857" s="1" t="s">
        <v>46</v>
      </c>
    </row>
    <row r="2858" spans="2:15" x14ac:dyDescent="0.3">
      <c r="B2858" s="1" t="s">
        <v>24</v>
      </c>
      <c r="C2858" s="1" t="str">
        <f t="shared" si="168"/>
        <v>4차</v>
      </c>
      <c r="D2858" s="1" t="str">
        <f>"0429R66144"</f>
        <v>0429R66144</v>
      </c>
      <c r="E2858" s="1" t="s">
        <v>14</v>
      </c>
      <c r="F2858" s="1" t="str">
        <f>"10.10.63.138"</f>
        <v>10.10.63.138</v>
      </c>
      <c r="G2858" s="1" t="str">
        <f>"0429R661"</f>
        <v>0429R661</v>
      </c>
      <c r="H2858" s="1" t="str">
        <f>"묵동지 44"</f>
        <v>묵동지 44</v>
      </c>
      <c r="I2858" s="1" t="s">
        <v>8</v>
      </c>
      <c r="J2858" s="1" t="str">
        <f>"0/0"</f>
        <v>0/0</v>
      </c>
      <c r="K2858" s="1" t="str">
        <f>"2025-01-11 20:03:34"</f>
        <v>2025-01-11 20:03:34</v>
      </c>
      <c r="L2858" s="1" t="str">
        <f>"2020-01-10 16:56:23"</f>
        <v>2020-01-10 16:56:23</v>
      </c>
      <c r="M2858" s="1" t="s">
        <v>1</v>
      </c>
      <c r="N2858" s="1" t="s">
        <v>44</v>
      </c>
      <c r="O2858" s="1" t="s">
        <v>44</v>
      </c>
    </row>
    <row r="2859" spans="2:15" x14ac:dyDescent="0.3">
      <c r="B2859" s="1" t="s">
        <v>24</v>
      </c>
      <c r="C2859" s="1" t="str">
        <f t="shared" si="168"/>
        <v>4차</v>
      </c>
      <c r="D2859" s="1" t="str">
        <f>"0429R79145"</f>
        <v>0429R79145</v>
      </c>
      <c r="E2859" s="1" t="s">
        <v>10</v>
      </c>
      <c r="F2859" s="1" t="str">
        <f>"10.12.134.214"</f>
        <v>10.12.134.214</v>
      </c>
      <c r="G2859" s="1" t="str">
        <f>"0429R791"</f>
        <v>0429R791</v>
      </c>
      <c r="H2859" s="1" t="str">
        <f>"신내 51"</f>
        <v>신내 51</v>
      </c>
      <c r="I2859" s="1" t="s">
        <v>17</v>
      </c>
      <c r="J2859" s="1" t="str">
        <f>"63/64"</f>
        <v>63/64</v>
      </c>
      <c r="K2859" s="1" t="str">
        <f>"2026-07-29 13:18:05"</f>
        <v>2026-07-29 13:18:05</v>
      </c>
      <c r="L2859" s="1" t="str">
        <f>"2024-08-28 14:41:57"</f>
        <v>2024-08-28 14:41:57</v>
      </c>
      <c r="M2859" s="1" t="s">
        <v>0</v>
      </c>
      <c r="N2859" s="1" t="s">
        <v>38</v>
      </c>
      <c r="O2859" s="1" t="s">
        <v>46</v>
      </c>
    </row>
    <row r="2860" spans="2:15" x14ac:dyDescent="0.3">
      <c r="B2860" s="1" t="s">
        <v>24</v>
      </c>
      <c r="C2860" s="1" t="str">
        <f t="shared" si="168"/>
        <v>4차</v>
      </c>
      <c r="D2860" s="1" t="str">
        <f>"0429S01139"</f>
        <v>0429S01139</v>
      </c>
      <c r="E2860" s="1" t="s">
        <v>10</v>
      </c>
      <c r="F2860" s="1" t="str">
        <f>"10.12.128.220"</f>
        <v>10.12.128.220</v>
      </c>
      <c r="G2860" s="1" t="str">
        <f>"0429S011"</f>
        <v>0429S011</v>
      </c>
      <c r="H2860" s="1" t="str">
        <f>"신내 38-1"</f>
        <v>신내 38-1</v>
      </c>
      <c r="I2860" s="1" t="s">
        <v>17</v>
      </c>
      <c r="J2860" s="1" t="str">
        <f>"13/14"</f>
        <v>13/14</v>
      </c>
      <c r="K2860" s="1" t="str">
        <f>"2026-07-29 13:18:06"</f>
        <v>2026-07-29 13:18:06</v>
      </c>
      <c r="L2860" s="1" t="str">
        <f>"2018-07-12 17:59:50"</f>
        <v>2018-07-12 17:59:50</v>
      </c>
      <c r="M2860" s="1" t="s">
        <v>0</v>
      </c>
      <c r="N2860" s="1" t="s">
        <v>38</v>
      </c>
      <c r="O2860" s="1" t="s">
        <v>46</v>
      </c>
    </row>
    <row r="2861" spans="2:15" x14ac:dyDescent="0.3">
      <c r="B2861" s="1" t="s">
        <v>24</v>
      </c>
      <c r="C2861" s="1" t="str">
        <f t="shared" si="168"/>
        <v>4차</v>
      </c>
      <c r="D2861" s="1" t="str">
        <f>"0429S06439"</f>
        <v>0429S06439</v>
      </c>
      <c r="E2861" s="1" t="s">
        <v>14</v>
      </c>
      <c r="F2861" s="1" t="str">
        <f>"10.12.132.95"</f>
        <v>10.12.132.95</v>
      </c>
      <c r="G2861" s="1" t="str">
        <f>"0429S064"</f>
        <v>0429S064</v>
      </c>
      <c r="H2861" s="1" t="str">
        <f>"신내 49-1"</f>
        <v>신내 49-1</v>
      </c>
      <c r="I2861" s="1" t="s">
        <v>17</v>
      </c>
      <c r="J2861" s="1" t="str">
        <f>"0/0"</f>
        <v>0/0</v>
      </c>
      <c r="K2861" s="1" t="str">
        <f>"2026-07-29 13:18:04"</f>
        <v>2026-07-29 13:18:04</v>
      </c>
      <c r="L2861" s="1" t="str">
        <f>"2018-10-11 12:56:56"</f>
        <v>2018-10-11 12:56:56</v>
      </c>
      <c r="M2861" s="1" t="s">
        <v>0</v>
      </c>
      <c r="N2861" s="1" t="s">
        <v>38</v>
      </c>
      <c r="O2861" s="1" t="s">
        <v>797</v>
      </c>
    </row>
    <row r="2862" spans="2:15" x14ac:dyDescent="0.3">
      <c r="B2862" s="1" t="s">
        <v>24</v>
      </c>
      <c r="C2862" s="1" t="str">
        <f t="shared" si="168"/>
        <v>4차</v>
      </c>
      <c r="D2862" s="1" t="str">
        <f>"0429S30139"</f>
        <v>0429S30139</v>
      </c>
      <c r="E2862" s="1" t="s">
        <v>14</v>
      </c>
      <c r="F2862" s="1" t="str">
        <f>"10.12.134.229"</f>
        <v>10.12.134.229</v>
      </c>
      <c r="G2862" s="1" t="str">
        <f>"0429S301"</f>
        <v>0429S301</v>
      </c>
      <c r="H2862" s="1" t="str">
        <f>"신내 38"</f>
        <v>신내 38</v>
      </c>
      <c r="I2862" s="1" t="s">
        <v>17</v>
      </c>
      <c r="J2862" s="1" t="str">
        <f>"0/0"</f>
        <v>0/0</v>
      </c>
      <c r="K2862" s="1" t="str">
        <f>"2026-07-28 13:18:05"</f>
        <v>2026-07-28 13:18:05</v>
      </c>
      <c r="L2862" s="1" t="str">
        <f>"2018-05-14 13:50:44"</f>
        <v>2018-05-14 13:50:44</v>
      </c>
      <c r="M2862" s="1" t="s">
        <v>0</v>
      </c>
      <c r="N2862" s="1" t="s">
        <v>39</v>
      </c>
      <c r="O2862" s="1" t="s">
        <v>46</v>
      </c>
    </row>
    <row r="2863" spans="2:15" x14ac:dyDescent="0.3">
      <c r="B2863" s="1" t="s">
        <v>24</v>
      </c>
      <c r="C2863" s="1" t="str">
        <f t="shared" si="168"/>
        <v>4차</v>
      </c>
      <c r="D2863" s="1" t="str">
        <f>"0429Y33139"</f>
        <v>0429Y33139</v>
      </c>
      <c r="E2863" s="1" t="s">
        <v>10</v>
      </c>
      <c r="F2863" s="1" t="str">
        <f>"10.12.134.185"</f>
        <v>10.12.134.185</v>
      </c>
      <c r="G2863" s="1" t="str">
        <f>"0429Y331"</f>
        <v>0429Y331</v>
      </c>
      <c r="H2863" s="1" t="str">
        <f>"신내 55"</f>
        <v>신내 55</v>
      </c>
      <c r="I2863" s="1" t="s">
        <v>17</v>
      </c>
      <c r="J2863" s="1" t="str">
        <f>"2/2"</f>
        <v>2/2</v>
      </c>
      <c r="K2863" s="1" t="str">
        <f>"2026-07-29 13:18:03"</f>
        <v>2026-07-29 13:18:03</v>
      </c>
      <c r="L2863" s="1" t="str">
        <f>"2018-05-14 11:53:11"</f>
        <v>2018-05-14 11:53:11</v>
      </c>
      <c r="M2863" s="1" t="s">
        <v>0</v>
      </c>
      <c r="N2863" s="1" t="s">
        <v>38</v>
      </c>
      <c r="O2863" s="1" t="s">
        <v>46</v>
      </c>
    </row>
    <row r="2864" spans="2:15" x14ac:dyDescent="0.3">
      <c r="B2864" s="1" t="s">
        <v>24</v>
      </c>
      <c r="C2864" s="1" t="str">
        <f>"5-1차"</f>
        <v>5-1차</v>
      </c>
      <c r="D2864" s="1" t="str">
        <f>"0429Z7315M"</f>
        <v>0429Z7315M</v>
      </c>
      <c r="E2864" s="1" t="s">
        <v>10</v>
      </c>
      <c r="F2864" s="1" t="str">
        <f>"fde3:102:1430:8100:0:0:0:2"</f>
        <v>fde3:102:1430:8100:0:0:0:2</v>
      </c>
      <c r="G2864" s="1" t="str">
        <f>"0429Z731"</f>
        <v>0429Z731</v>
      </c>
      <c r="H2864" s="1" t="str">
        <f>"신정간 18L7L6"</f>
        <v>신정간 18L7L6</v>
      </c>
      <c r="I2864" s="1" t="s">
        <v>15</v>
      </c>
      <c r="J2864" s="1" t="str">
        <f>"27/27"</f>
        <v>27/27</v>
      </c>
      <c r="K2864" s="1" t="str">
        <f>"2026-07-29 14:21:09"</f>
        <v>2026-07-29 14:21:09</v>
      </c>
      <c r="L2864" s="1" t="str">
        <f>"2022-11-04 15:30:37"</f>
        <v>2022-11-04 15:30:37</v>
      </c>
      <c r="M2864" s="1" t="s">
        <v>45</v>
      </c>
      <c r="N2864" s="1" t="s">
        <v>38</v>
      </c>
      <c r="O2864" s="1" t="s">
        <v>46</v>
      </c>
    </row>
    <row r="2865" spans="2:15" x14ac:dyDescent="0.3">
      <c r="B2865" s="1" t="s">
        <v>24</v>
      </c>
      <c r="C2865" s="1" t="str">
        <f>"5-1차"</f>
        <v>5-1차</v>
      </c>
      <c r="D2865" s="1" t="str">
        <f>"0429Z7565M"</f>
        <v>0429Z7565M</v>
      </c>
      <c r="E2865" s="1" t="s">
        <v>10</v>
      </c>
      <c r="F2865" s="1" t="str">
        <f>"fde2:104:0:146:0:0:0:2"</f>
        <v>fde2:104:0:146:0:0:0:2</v>
      </c>
      <c r="G2865" s="1" t="str">
        <f>"0429Z756"</f>
        <v>0429Z756</v>
      </c>
      <c r="H2865" s="1" t="str">
        <f>"신정간 18L7L6R3"</f>
        <v>신정간 18L7L6R3</v>
      </c>
      <c r="I2865" s="1" t="s">
        <v>15</v>
      </c>
      <c r="J2865" s="1" t="str">
        <f>"17/23"</f>
        <v>17/23</v>
      </c>
      <c r="K2865" s="1" t="str">
        <f>"2026-07-29 14:21:17"</f>
        <v>2026-07-29 14:21:17</v>
      </c>
      <c r="L2865" s="1" t="str">
        <f>"2022-10-20 15:57:16"</f>
        <v>2022-10-20 15:57:16</v>
      </c>
      <c r="M2865" s="1" t="s">
        <v>42</v>
      </c>
      <c r="N2865" s="1" t="s">
        <v>38</v>
      </c>
      <c r="O2865" s="1" t="s">
        <v>46</v>
      </c>
    </row>
    <row r="2866" spans="2:15" x14ac:dyDescent="0.3">
      <c r="B2866" s="1" t="s">
        <v>24</v>
      </c>
      <c r="C2866" s="1" t="str">
        <f t="shared" ref="C2866:C2881" si="170">"5-2차"</f>
        <v>5-2차</v>
      </c>
      <c r="D2866" s="1" t="str">
        <f>"0429Z8635M"</f>
        <v>0429Z8635M</v>
      </c>
      <c r="E2866" s="1" t="s">
        <v>10</v>
      </c>
      <c r="F2866" s="1" t="str">
        <f>"fde1:103:4:9253:0:0:0:2"</f>
        <v>fde1:103:4:9253:0:0:0:2</v>
      </c>
      <c r="G2866" s="1" t="str">
        <f>"0429Z863"</f>
        <v>0429Z863</v>
      </c>
      <c r="H2866" s="1" t="str">
        <f>"신정간 18L7L5R3"</f>
        <v>신정간 18L7L5R3</v>
      </c>
      <c r="I2866" s="1" t="s">
        <v>15</v>
      </c>
      <c r="J2866" s="1" t="str">
        <f>"77/77"</f>
        <v>77/77</v>
      </c>
      <c r="K2866" s="1" t="str">
        <f>"2026-07-29 14:21:09"</f>
        <v>2026-07-29 14:21:09</v>
      </c>
      <c r="L2866" s="1" t="str">
        <f>"2024-01-18 14:47:01"</f>
        <v>2024-01-18 14:47:01</v>
      </c>
      <c r="M2866" s="1" t="s">
        <v>4</v>
      </c>
      <c r="N2866" s="1" t="s">
        <v>38</v>
      </c>
      <c r="O2866" s="1" t="s">
        <v>46</v>
      </c>
    </row>
    <row r="2867" spans="2:15" x14ac:dyDescent="0.3">
      <c r="B2867" s="1" t="s">
        <v>24</v>
      </c>
      <c r="C2867" s="1" t="str">
        <f t="shared" si="170"/>
        <v>5-2차</v>
      </c>
      <c r="D2867" s="1" t="str">
        <f>"0527C0615S"</f>
        <v>0527C0615S</v>
      </c>
      <c r="E2867" s="1" t="s">
        <v>10</v>
      </c>
      <c r="F2867" s="1" t="str">
        <f>"fde3:102:1430:8400:0:0:0:9"</f>
        <v>fde3:102:1430:8400:0:0:0:9</v>
      </c>
      <c r="G2867" s="1" t="str">
        <f>"0527C061"</f>
        <v>0527C061</v>
      </c>
      <c r="H2867" s="1" t="str">
        <f>"우일간 46L18"</f>
        <v>우일간 46L18</v>
      </c>
      <c r="I2867" s="1" t="s">
        <v>15</v>
      </c>
      <c r="J2867" s="1" t="str">
        <f>"38/38"</f>
        <v>38/38</v>
      </c>
      <c r="K2867" s="1" t="str">
        <f>"2026-07-29 14:21:11"</f>
        <v>2026-07-29 14:21:11</v>
      </c>
      <c r="L2867" s="1" t="str">
        <f>"2023-08-18 07:25:38"</f>
        <v>2023-08-18 07:25:38</v>
      </c>
      <c r="M2867" s="1" t="s">
        <v>45</v>
      </c>
      <c r="N2867" s="1" t="s">
        <v>38</v>
      </c>
      <c r="O2867" s="1" t="s">
        <v>46</v>
      </c>
    </row>
    <row r="2868" spans="2:15" x14ac:dyDescent="0.3">
      <c r="B2868" s="1" t="s">
        <v>24</v>
      </c>
      <c r="C2868" s="1" t="str">
        <f t="shared" si="170"/>
        <v>5-2차</v>
      </c>
      <c r="D2868" s="1" t="str">
        <f>"0527C0715S"</f>
        <v>0527C0715S</v>
      </c>
      <c r="E2868" s="1" t="s">
        <v>10</v>
      </c>
      <c r="F2868" s="1" t="str">
        <f>"fde3:102:1430:8400:0:0:0:6"</f>
        <v>fde3:102:1430:8400:0:0:0:6</v>
      </c>
      <c r="G2868" s="1" t="str">
        <f>"0527C071"</f>
        <v>0527C071</v>
      </c>
      <c r="H2868" s="1" t="str">
        <f>"우일간 46L21"</f>
        <v>우일간 46L21</v>
      </c>
      <c r="I2868" s="1" t="s">
        <v>15</v>
      </c>
      <c r="J2868" s="1" t="str">
        <f>"21/21"</f>
        <v>21/21</v>
      </c>
      <c r="K2868" s="1" t="str">
        <f>"2026-07-29 14:21:11"</f>
        <v>2026-07-29 14:21:11</v>
      </c>
      <c r="L2868" s="1" t="str">
        <f>"2023-08-19 11:11:01"</f>
        <v>2023-08-19 11:11:01</v>
      </c>
      <c r="M2868" s="1" t="s">
        <v>45</v>
      </c>
      <c r="N2868" s="1" t="s">
        <v>38</v>
      </c>
      <c r="O2868" s="1" t="s">
        <v>46</v>
      </c>
    </row>
    <row r="2869" spans="2:15" x14ac:dyDescent="0.3">
      <c r="B2869" s="1" t="s">
        <v>24</v>
      </c>
      <c r="C2869" s="1" t="str">
        <f t="shared" si="170"/>
        <v>5-2차</v>
      </c>
      <c r="D2869" s="1" t="str">
        <f>"0527C0725S"</f>
        <v>0527C0725S</v>
      </c>
      <c r="E2869" s="1" t="s">
        <v>10</v>
      </c>
      <c r="F2869" s="1" t="str">
        <f>"fde3:102:1430:8400:0:0:0:8"</f>
        <v>fde3:102:1430:8400:0:0:0:8</v>
      </c>
      <c r="G2869" s="1" t="str">
        <f>"0527C072"</f>
        <v>0527C072</v>
      </c>
      <c r="H2869" s="1" t="str">
        <f>"우일간 46L20"</f>
        <v>우일간 46L20</v>
      </c>
      <c r="I2869" s="1" t="s">
        <v>15</v>
      </c>
      <c r="J2869" s="1" t="str">
        <f>"29/32"</f>
        <v>29/32</v>
      </c>
      <c r="K2869" s="1" t="str">
        <f>"2026-07-29 14:21:23"</f>
        <v>2026-07-29 14:21:23</v>
      </c>
      <c r="L2869" s="1" t="str">
        <f>"2023-08-19 10:18:48"</f>
        <v>2023-08-19 10:18:48</v>
      </c>
      <c r="M2869" s="1" t="s">
        <v>45</v>
      </c>
      <c r="N2869" s="1" t="s">
        <v>38</v>
      </c>
      <c r="O2869" s="1" t="s">
        <v>46</v>
      </c>
    </row>
    <row r="2870" spans="2:15" x14ac:dyDescent="0.3">
      <c r="B2870" s="1" t="s">
        <v>24</v>
      </c>
      <c r="C2870" s="1" t="str">
        <f t="shared" si="170"/>
        <v>5-2차</v>
      </c>
      <c r="D2870" s="1" t="str">
        <f>"0527C0825M"</f>
        <v>0527C0825M</v>
      </c>
      <c r="E2870" s="1" t="s">
        <v>10</v>
      </c>
      <c r="F2870" s="1" t="str">
        <f>"fde3:102:1430:8400:0:0:0:7"</f>
        <v>fde3:102:1430:8400:0:0:0:7</v>
      </c>
      <c r="G2870" s="1" t="str">
        <f>"0527C082"</f>
        <v>0527C082</v>
      </c>
      <c r="H2870" s="1" t="str">
        <f>"우일간 46L22"</f>
        <v>우일간 46L22</v>
      </c>
      <c r="I2870" s="1" t="s">
        <v>15</v>
      </c>
      <c r="J2870" s="1" t="str">
        <f>"45/45"</f>
        <v>45/45</v>
      </c>
      <c r="K2870" s="1" t="str">
        <f>"2026-07-29 14:21:23"</f>
        <v>2026-07-29 14:21:23</v>
      </c>
      <c r="L2870" s="1" t="str">
        <f>"2023-08-19 08:17:42"</f>
        <v>2023-08-19 08:17:42</v>
      </c>
      <c r="M2870" s="1" t="s">
        <v>45</v>
      </c>
      <c r="N2870" s="1" t="s">
        <v>38</v>
      </c>
      <c r="O2870" s="1" t="s">
        <v>46</v>
      </c>
    </row>
    <row r="2871" spans="2:15" x14ac:dyDescent="0.3">
      <c r="B2871" s="1" t="s">
        <v>24</v>
      </c>
      <c r="C2871" s="1" t="str">
        <f t="shared" si="170"/>
        <v>5-2차</v>
      </c>
      <c r="D2871" s="1" t="str">
        <f>"0528P0315M"</f>
        <v>0528P0315M</v>
      </c>
      <c r="E2871" s="1" t="s">
        <v>10</v>
      </c>
      <c r="F2871" s="1" t="str">
        <f>"fde3:102:1430:8200:0:0:0:2b"</f>
        <v>fde3:102:1430:8200:0:0:0:2b</v>
      </c>
      <c r="G2871" s="1" t="str">
        <f>"0528P031"</f>
        <v>0528P031</v>
      </c>
      <c r="H2871" s="1" t="str">
        <f>"인창지 112L10L2"</f>
        <v>인창지 112L10L2</v>
      </c>
      <c r="I2871" s="1" t="s">
        <v>15</v>
      </c>
      <c r="J2871" s="1" t="str">
        <f>"55/55"</f>
        <v>55/55</v>
      </c>
      <c r="K2871" s="1" t="str">
        <f>"2026-07-29 14:21:24"</f>
        <v>2026-07-29 14:21:24</v>
      </c>
      <c r="L2871" s="1" t="str">
        <f>"2023-09-04 10:24:26"</f>
        <v>2023-09-04 10:24:26</v>
      </c>
      <c r="M2871" s="1" t="s">
        <v>45</v>
      </c>
      <c r="N2871" s="1" t="s">
        <v>38</v>
      </c>
      <c r="O2871" s="1" t="s">
        <v>46</v>
      </c>
    </row>
    <row r="2872" spans="2:15" x14ac:dyDescent="0.3">
      <c r="B2872" s="1" t="s">
        <v>24</v>
      </c>
      <c r="C2872" s="1" t="str">
        <f t="shared" si="170"/>
        <v>5-2차</v>
      </c>
      <c r="D2872" s="1" t="str">
        <f>"0528P0425M"</f>
        <v>0528P0425M</v>
      </c>
      <c r="E2872" s="1" t="s">
        <v>10</v>
      </c>
      <c r="F2872" s="1" t="str">
        <f>"fde3:102:1430:8200:0:0:0:2e"</f>
        <v>fde3:102:1430:8200:0:0:0:2e</v>
      </c>
      <c r="G2872" s="1" t="str">
        <f>"0528P042"</f>
        <v>0528P042</v>
      </c>
      <c r="H2872" s="1" t="str">
        <f>"인창지 112L14L3"</f>
        <v>인창지 112L14L3</v>
      </c>
      <c r="I2872" s="1" t="s">
        <v>15</v>
      </c>
      <c r="J2872" s="1" t="str">
        <f>"33/33"</f>
        <v>33/33</v>
      </c>
      <c r="K2872" s="1" t="str">
        <f>"2026-07-29 14:21:24"</f>
        <v>2026-07-29 14:21:24</v>
      </c>
      <c r="L2872" s="1" t="str">
        <f>"2023-09-04 12:45:16"</f>
        <v>2023-09-04 12:45:16</v>
      </c>
      <c r="M2872" s="1" t="s">
        <v>45</v>
      </c>
      <c r="N2872" s="1" t="s">
        <v>38</v>
      </c>
      <c r="O2872" s="1" t="s">
        <v>46</v>
      </c>
    </row>
    <row r="2873" spans="2:15" x14ac:dyDescent="0.3">
      <c r="B2873" s="1" t="s">
        <v>24</v>
      </c>
      <c r="C2873" s="1" t="str">
        <f t="shared" si="170"/>
        <v>5-2차</v>
      </c>
      <c r="D2873" s="1" t="str">
        <f>"0528P1015M"</f>
        <v>0528P1015M</v>
      </c>
      <c r="E2873" s="1" t="s">
        <v>10</v>
      </c>
      <c r="F2873" s="1" t="str">
        <f>"fde3:102:1430:8200:0:0:0:28"</f>
        <v>fde3:102:1430:8200:0:0:0:28</v>
      </c>
      <c r="G2873" s="1" t="str">
        <f>"0528P101"</f>
        <v>0528P101</v>
      </c>
      <c r="H2873" s="1" t="str">
        <f>"인창지 112L6"</f>
        <v>인창지 112L6</v>
      </c>
      <c r="I2873" s="1" t="s">
        <v>15</v>
      </c>
      <c r="J2873" s="1" t="str">
        <f>"21/21"</f>
        <v>21/21</v>
      </c>
      <c r="K2873" s="1" t="str">
        <f>"2026-07-29 14:21:05"</f>
        <v>2026-07-29 14:21:05</v>
      </c>
      <c r="L2873" s="1" t="str">
        <f>"2023-09-18 16:50:24"</f>
        <v>2023-09-18 16:50:24</v>
      </c>
      <c r="M2873" s="1" t="s">
        <v>45</v>
      </c>
      <c r="N2873" s="1" t="s">
        <v>38</v>
      </c>
      <c r="O2873" s="1" t="s">
        <v>46</v>
      </c>
    </row>
    <row r="2874" spans="2:15" x14ac:dyDescent="0.3">
      <c r="B2874" s="1" t="s">
        <v>24</v>
      </c>
      <c r="C2874" s="1" t="str">
        <f t="shared" si="170"/>
        <v>5-2차</v>
      </c>
      <c r="D2874" s="1" t="str">
        <f>"0528P1115M"</f>
        <v>0528P1115M</v>
      </c>
      <c r="E2874" s="1" t="s">
        <v>10</v>
      </c>
      <c r="F2874" s="1" t="str">
        <f>"fde3:102:1430:8200:0:0:0:29"</f>
        <v>fde3:102:1430:8200:0:0:0:29</v>
      </c>
      <c r="G2874" s="1" t="str">
        <f>"0528P111"</f>
        <v>0528P111</v>
      </c>
      <c r="H2874" s="1" t="str">
        <f>"인창지 112L7"</f>
        <v>인창지 112L7</v>
      </c>
      <c r="I2874" s="1" t="s">
        <v>15</v>
      </c>
      <c r="J2874" s="1" t="str">
        <f>"55/58"</f>
        <v>55/58</v>
      </c>
      <c r="K2874" s="1" t="str">
        <f>"2026-07-29 14:21:24"</f>
        <v>2026-07-29 14:21:24</v>
      </c>
      <c r="L2874" s="1" t="str">
        <f>"2023-09-14 13:14:58"</f>
        <v>2023-09-14 13:14:58</v>
      </c>
      <c r="M2874" s="1" t="s">
        <v>45</v>
      </c>
      <c r="N2874" s="1" t="s">
        <v>38</v>
      </c>
      <c r="O2874" s="1" t="s">
        <v>46</v>
      </c>
    </row>
    <row r="2875" spans="2:15" x14ac:dyDescent="0.3">
      <c r="B2875" s="1" t="s">
        <v>24</v>
      </c>
      <c r="C2875" s="1" t="str">
        <f t="shared" si="170"/>
        <v>5-2차</v>
      </c>
      <c r="D2875" s="1" t="str">
        <f>"0528P1415M"</f>
        <v>0528P1415M</v>
      </c>
      <c r="E2875" s="1" t="s">
        <v>10</v>
      </c>
      <c r="F2875" s="1" t="str">
        <f>"fde3:102:1430:8200:0:0:0:2c"</f>
        <v>fde3:102:1430:8200:0:0:0:2c</v>
      </c>
      <c r="G2875" s="1" t="str">
        <f>"0528P141"</f>
        <v>0528P141</v>
      </c>
      <c r="H2875" s="1" t="str">
        <f>"인창지 112L12"</f>
        <v>인창지 112L12</v>
      </c>
      <c r="I2875" s="1" t="s">
        <v>15</v>
      </c>
      <c r="J2875" s="1" t="str">
        <f>"35/35"</f>
        <v>35/35</v>
      </c>
      <c r="K2875" s="1" t="str">
        <f>"2026-07-29 14:21:05"</f>
        <v>2026-07-29 14:21:05</v>
      </c>
      <c r="L2875" s="1" t="str">
        <f>"2023-09-04 13:12:25"</f>
        <v>2023-09-04 13:12:25</v>
      </c>
      <c r="M2875" s="1" t="s">
        <v>45</v>
      </c>
      <c r="N2875" s="1" t="s">
        <v>38</v>
      </c>
      <c r="O2875" s="1" t="s">
        <v>46</v>
      </c>
    </row>
    <row r="2876" spans="2:15" x14ac:dyDescent="0.3">
      <c r="B2876" s="1" t="s">
        <v>24</v>
      </c>
      <c r="C2876" s="1" t="str">
        <f t="shared" si="170"/>
        <v>5-2차</v>
      </c>
      <c r="D2876" s="1" t="str">
        <f>"0528P1525M"</f>
        <v>0528P1525M</v>
      </c>
      <c r="E2876" s="1" t="s">
        <v>10</v>
      </c>
      <c r="F2876" s="1" t="str">
        <f>"fde3:102:1430:8200:0:0:0:2d"</f>
        <v>fde3:102:1430:8200:0:0:0:2d</v>
      </c>
      <c r="G2876" s="1" t="str">
        <f>"0528P152"</f>
        <v>0528P152</v>
      </c>
      <c r="H2876" s="1" t="str">
        <f>"인창지 112L13R1"</f>
        <v>인창지 112L13R1</v>
      </c>
      <c r="I2876" s="1" t="s">
        <v>15</v>
      </c>
      <c r="J2876" s="1" t="str">
        <f>"35/36"</f>
        <v>35/36</v>
      </c>
      <c r="K2876" s="1" t="str">
        <f>"2026-07-29 14:21:24"</f>
        <v>2026-07-29 14:21:24</v>
      </c>
      <c r="L2876" s="1" t="str">
        <f>"2023-12-01 10:35:00"</f>
        <v>2023-12-01 10:35:00</v>
      </c>
      <c r="M2876" s="1" t="s">
        <v>45</v>
      </c>
      <c r="N2876" s="1" t="s">
        <v>38</v>
      </c>
      <c r="O2876" s="1" t="s">
        <v>46</v>
      </c>
    </row>
    <row r="2877" spans="2:15" x14ac:dyDescent="0.3">
      <c r="B2877" s="1" t="s">
        <v>24</v>
      </c>
      <c r="C2877" s="1" t="str">
        <f t="shared" si="170"/>
        <v>5-2차</v>
      </c>
      <c r="D2877" s="1" t="str">
        <f>"0528P4725M"</f>
        <v>0528P4725M</v>
      </c>
      <c r="E2877" s="1" t="s">
        <v>10</v>
      </c>
      <c r="F2877" s="1" t="str">
        <f>"fde1:103:4:928a:0:0:0:2"</f>
        <v>fde1:103:4:928a:0:0:0:2</v>
      </c>
      <c r="G2877" s="1" t="str">
        <f>"0528P472"</f>
        <v>0528P472</v>
      </c>
      <c r="H2877" s="1" t="str">
        <f>"인창지 112L19R3"</f>
        <v>인창지 112L19R3</v>
      </c>
      <c r="I2877" s="1" t="s">
        <v>15</v>
      </c>
      <c r="J2877" s="1" t="str">
        <f>"44/44"</f>
        <v>44/44</v>
      </c>
      <c r="K2877" s="1" t="str">
        <f>"2026-07-29 14:21:25"</f>
        <v>2026-07-29 14:21:25</v>
      </c>
      <c r="L2877" s="1" t="str">
        <f>"2024-01-23 16:53:03"</f>
        <v>2024-01-23 16:53:03</v>
      </c>
      <c r="M2877" s="1" t="s">
        <v>4</v>
      </c>
      <c r="N2877" s="1" t="s">
        <v>38</v>
      </c>
      <c r="O2877" s="1" t="s">
        <v>46</v>
      </c>
    </row>
    <row r="2878" spans="2:15" x14ac:dyDescent="0.3">
      <c r="B2878" s="1" t="s">
        <v>24</v>
      </c>
      <c r="C2878" s="1" t="str">
        <f t="shared" si="170"/>
        <v>5-2차</v>
      </c>
      <c r="D2878" s="1" t="str">
        <f>"0528P5635S"</f>
        <v>0528P5635S</v>
      </c>
      <c r="E2878" s="1" t="s">
        <v>10</v>
      </c>
      <c r="F2878" s="1" t="str">
        <f>"fde3:102:1430:8100:0:0:0:4"</f>
        <v>fde3:102:1430:8100:0:0:0:4</v>
      </c>
      <c r="G2878" s="1" t="str">
        <f>"0528P563"</f>
        <v>0528P563</v>
      </c>
      <c r="H2878" s="1" t="str">
        <f>"인창지 112L19R6"</f>
        <v>인창지 112L19R6</v>
      </c>
      <c r="I2878" s="1" t="s">
        <v>15</v>
      </c>
      <c r="J2878" s="1" t="str">
        <f>"15/15"</f>
        <v>15/15</v>
      </c>
      <c r="K2878" s="1" t="str">
        <f>"2026-07-29 14:21:24"</f>
        <v>2026-07-29 14:21:24</v>
      </c>
      <c r="L2878" s="1" t="str">
        <f>"2023-09-14 12:39:00"</f>
        <v>2023-09-14 12:39:00</v>
      </c>
      <c r="M2878" s="1" t="s">
        <v>45</v>
      </c>
      <c r="N2878" s="1" t="s">
        <v>38</v>
      </c>
      <c r="O2878" s="1" t="s">
        <v>46</v>
      </c>
    </row>
    <row r="2879" spans="2:15" x14ac:dyDescent="0.3">
      <c r="B2879" s="1" t="s">
        <v>24</v>
      </c>
      <c r="C2879" s="1" t="str">
        <f t="shared" si="170"/>
        <v>5-2차</v>
      </c>
      <c r="D2879" s="1" t="str">
        <f>"0528P5825M"</f>
        <v>0528P5825M</v>
      </c>
      <c r="E2879" s="1" t="s">
        <v>10</v>
      </c>
      <c r="F2879" s="1" t="str">
        <f>"fde3:102:1430:8100:0:0:0:5"</f>
        <v>fde3:102:1430:8100:0:0:0:5</v>
      </c>
      <c r="G2879" s="1" t="str">
        <f>"0528P582"</f>
        <v>0528P582</v>
      </c>
      <c r="H2879" s="1" t="str">
        <f>"인창지 124L14"</f>
        <v>인창지 124L14</v>
      </c>
      <c r="I2879" s="1" t="s">
        <v>15</v>
      </c>
      <c r="J2879" s="1" t="str">
        <f>"60/60"</f>
        <v>60/60</v>
      </c>
      <c r="K2879" s="1" t="str">
        <f>"2026-07-29 14:21:11"</f>
        <v>2026-07-29 14:21:11</v>
      </c>
      <c r="L2879" s="1" t="str">
        <f>"2023-09-18 15:27:37"</f>
        <v>2023-09-18 15:27:37</v>
      </c>
      <c r="M2879" s="1" t="s">
        <v>45</v>
      </c>
      <c r="N2879" s="1" t="s">
        <v>38</v>
      </c>
      <c r="O2879" s="1" t="s">
        <v>46</v>
      </c>
    </row>
    <row r="2880" spans="2:15" x14ac:dyDescent="0.3">
      <c r="B2880" s="1" t="s">
        <v>24</v>
      </c>
      <c r="C2880" s="1" t="str">
        <f t="shared" si="170"/>
        <v>5-2차</v>
      </c>
      <c r="D2880" s="1" t="str">
        <f>"0528P6515M"</f>
        <v>0528P6515M</v>
      </c>
      <c r="E2880" s="1" t="s">
        <v>10</v>
      </c>
      <c r="F2880" s="1" t="str">
        <f>"fde1:103:4:9273:0:0:0:2"</f>
        <v>fde1:103:4:9273:0:0:0:2</v>
      </c>
      <c r="G2880" s="1" t="str">
        <f>"0528P651"</f>
        <v>0528P651</v>
      </c>
      <c r="H2880" s="1" t="str">
        <f>"인창지 124L2L13"</f>
        <v>인창지 124L2L13</v>
      </c>
      <c r="I2880" s="1" t="s">
        <v>15</v>
      </c>
      <c r="J2880" s="1" t="str">
        <f>"73/73"</f>
        <v>73/73</v>
      </c>
      <c r="K2880" s="1" t="str">
        <f>"2026-07-29 14:21:05"</f>
        <v>2026-07-29 14:21:05</v>
      </c>
      <c r="L2880" s="1" t="str">
        <f>"2024-01-29 18:09:44"</f>
        <v>2024-01-29 18:09:44</v>
      </c>
      <c r="M2880" s="1" t="s">
        <v>4</v>
      </c>
      <c r="N2880" s="1" t="s">
        <v>38</v>
      </c>
      <c r="O2880" s="1" t="s">
        <v>46</v>
      </c>
    </row>
    <row r="2881" spans="2:15" x14ac:dyDescent="0.3">
      <c r="B2881" s="1" t="s">
        <v>24</v>
      </c>
      <c r="C2881" s="1" t="str">
        <f t="shared" si="170"/>
        <v>5-2차</v>
      </c>
      <c r="D2881" s="1" t="str">
        <f>"0528P7015M"</f>
        <v>0528P7015M</v>
      </c>
      <c r="E2881" s="1" t="s">
        <v>10</v>
      </c>
      <c r="F2881" s="1" t="str">
        <f>"fde1:103:4:9261:0:0:0:2"</f>
        <v>fde1:103:4:9261:0:0:0:2</v>
      </c>
      <c r="G2881" s="1" t="str">
        <f>"0528P701"</f>
        <v>0528P701</v>
      </c>
      <c r="H2881" s="1" t="str">
        <f>"인창지 124L2L4"</f>
        <v>인창지 124L2L4</v>
      </c>
      <c r="I2881" s="1" t="s">
        <v>15</v>
      </c>
      <c r="J2881" s="1" t="str">
        <f>"61/61"</f>
        <v>61/61</v>
      </c>
      <c r="K2881" s="1" t="str">
        <f>"2026-07-29 14:21:24"</f>
        <v>2026-07-29 14:21:24</v>
      </c>
      <c r="L2881" s="1" t="str">
        <f>"2023-12-27 09:49:36"</f>
        <v>2023-12-27 09:49:36</v>
      </c>
      <c r="M2881" s="1" t="s">
        <v>4</v>
      </c>
      <c r="N2881" s="1" t="s">
        <v>38</v>
      </c>
      <c r="O2881" s="1" t="s">
        <v>46</v>
      </c>
    </row>
    <row r="2882" spans="2:15" x14ac:dyDescent="0.3">
      <c r="B2882" s="1" t="s">
        <v>24</v>
      </c>
      <c r="C2882" s="1" t="s">
        <v>16</v>
      </c>
      <c r="D2882" s="1" t="str">
        <f>"0528P90441"</f>
        <v>0528P90441</v>
      </c>
      <c r="E2882" s="1" t="s">
        <v>10</v>
      </c>
      <c r="F2882" s="1" t="str">
        <f>"10.14.13.201"</f>
        <v>10.14.13.201</v>
      </c>
      <c r="G2882" s="1" t="str">
        <f>"0528P904"</f>
        <v>0528P904</v>
      </c>
      <c r="H2882" s="1" t="str">
        <f>"인창지 124L4"</f>
        <v>인창지 124L4</v>
      </c>
      <c r="I2882" s="1" t="s">
        <v>17</v>
      </c>
      <c r="J2882" s="1" t="str">
        <f>"39/61"</f>
        <v>39/61</v>
      </c>
      <c r="K2882" s="1" t="str">
        <f>"2026-07-29 13:18:03"</f>
        <v>2026-07-29 13:18:03</v>
      </c>
      <c r="L2882" s="1" t="str">
        <f>"2022-11-16 10:35:03"</f>
        <v>2022-11-16 10:35:03</v>
      </c>
      <c r="M2882" s="1" t="s">
        <v>3</v>
      </c>
      <c r="N2882" s="1" t="s">
        <v>38</v>
      </c>
      <c r="O2882" s="1" t="s">
        <v>46</v>
      </c>
    </row>
    <row r="2883" spans="2:15" x14ac:dyDescent="0.3">
      <c r="B2883" s="1" t="s">
        <v>24</v>
      </c>
      <c r="C2883" s="1" t="str">
        <f>"5-2차"</f>
        <v>5-2차</v>
      </c>
      <c r="D2883" s="1" t="str">
        <f>"0528P9115M"</f>
        <v>0528P9115M</v>
      </c>
      <c r="E2883" s="1" t="s">
        <v>10</v>
      </c>
      <c r="F2883" s="1" t="str">
        <f>"fde1:103:4:9272:0:0:0:2"</f>
        <v>fde1:103:4:9272:0:0:0:2</v>
      </c>
      <c r="G2883" s="1" t="str">
        <f>"0528P911"</f>
        <v>0528P911</v>
      </c>
      <c r="H2883" s="1" t="str">
        <f>"인창지 124L6"</f>
        <v>인창지 124L6</v>
      </c>
      <c r="I2883" s="1" t="s">
        <v>15</v>
      </c>
      <c r="J2883" s="1" t="str">
        <f>"58/58"</f>
        <v>58/58</v>
      </c>
      <c r="K2883" s="1" t="str">
        <f>"2026-07-29 14:21:25"</f>
        <v>2026-07-29 14:21:25</v>
      </c>
      <c r="L2883" s="1" t="str">
        <f>"2024-01-29 17:42:46"</f>
        <v>2024-01-29 17:42:46</v>
      </c>
      <c r="M2883" s="1" t="s">
        <v>4</v>
      </c>
      <c r="N2883" s="1" t="s">
        <v>38</v>
      </c>
      <c r="O2883" s="1" t="s">
        <v>46</v>
      </c>
    </row>
    <row r="2884" spans="2:15" x14ac:dyDescent="0.3">
      <c r="B2884" s="1" t="s">
        <v>24</v>
      </c>
      <c r="C2884" s="1" t="str">
        <f>"5-2차"</f>
        <v>5-2차</v>
      </c>
      <c r="D2884" s="1" t="str">
        <f>"0528Q0725M"</f>
        <v>0528Q0725M</v>
      </c>
      <c r="E2884" s="1" t="s">
        <v>10</v>
      </c>
      <c r="F2884" s="1" t="str">
        <f>"fde1:103:4:9292:0:0:0:2"</f>
        <v>fde1:103:4:9292:0:0:0:2</v>
      </c>
      <c r="G2884" s="1" t="str">
        <f>"0528Q072"</f>
        <v>0528Q072</v>
      </c>
      <c r="H2884" s="1" t="str">
        <f>"인창지 124L15R6R2"</f>
        <v>인창지 124L15R6R2</v>
      </c>
      <c r="I2884" s="1" t="s">
        <v>15</v>
      </c>
      <c r="J2884" s="1" t="str">
        <f>"36/36"</f>
        <v>36/36</v>
      </c>
      <c r="K2884" s="1" t="str">
        <f>"2026-07-29 14:20:56"</f>
        <v>2026-07-29 14:20:56</v>
      </c>
      <c r="L2884" s="1" t="str">
        <f>"2024-01-29 17:42:13"</f>
        <v>2024-01-29 17:42:13</v>
      </c>
      <c r="M2884" s="1" t="s">
        <v>4</v>
      </c>
      <c r="N2884" s="1" t="s">
        <v>38</v>
      </c>
      <c r="O2884" s="1" t="s">
        <v>46</v>
      </c>
    </row>
    <row r="2885" spans="2:15" x14ac:dyDescent="0.3">
      <c r="B2885" s="1" t="s">
        <v>24</v>
      </c>
      <c r="C2885" s="1" t="str">
        <f>"5-2차"</f>
        <v>5-2차</v>
      </c>
      <c r="D2885" s="1" t="str">
        <f>"0528R0035M"</f>
        <v>0528R0035M</v>
      </c>
      <c r="E2885" s="1" t="s">
        <v>10</v>
      </c>
      <c r="F2885" s="1" t="str">
        <f>"fde3:102:1430:8500:0:0:0:a"</f>
        <v>fde3:102:1430:8500:0:0:0:a</v>
      </c>
      <c r="G2885" s="1" t="str">
        <f>"0528R003"</f>
        <v>0528R003</v>
      </c>
      <c r="H2885" s="1" t="str">
        <f>"우일간 26L8"</f>
        <v>우일간 26L8</v>
      </c>
      <c r="I2885" s="1" t="s">
        <v>15</v>
      </c>
      <c r="J2885" s="1" t="str">
        <f>"58/58"</f>
        <v>58/58</v>
      </c>
      <c r="K2885" s="1" t="str">
        <f>"2026-07-29 14:21:29"</f>
        <v>2026-07-29 14:21:29</v>
      </c>
      <c r="L2885" s="1" t="str">
        <f>"2023-09-18 13:24:34"</f>
        <v>2023-09-18 13:24:34</v>
      </c>
      <c r="M2885" s="1" t="s">
        <v>45</v>
      </c>
      <c r="N2885" s="1" t="s">
        <v>38</v>
      </c>
      <c r="O2885" s="1" t="s">
        <v>46</v>
      </c>
    </row>
    <row r="2886" spans="2:15" x14ac:dyDescent="0.3">
      <c r="B2886" s="1" t="s">
        <v>24</v>
      </c>
      <c r="C2886" s="1" t="str">
        <f>"4차"</f>
        <v>4차</v>
      </c>
      <c r="D2886" s="1" t="str">
        <f>"0528R01244"</f>
        <v>0528R01244</v>
      </c>
      <c r="E2886" s="1" t="s">
        <v>10</v>
      </c>
      <c r="F2886" s="1" t="str">
        <f>"10.89.246.178"</f>
        <v>10.89.246.178</v>
      </c>
      <c r="G2886" s="1" t="str">
        <f>"0528R012"</f>
        <v>0528R012</v>
      </c>
      <c r="H2886" s="1" t="str">
        <f>"우일간 26L6"</f>
        <v>우일간 26L6</v>
      </c>
      <c r="I2886" s="1" t="s">
        <v>8</v>
      </c>
      <c r="J2886" s="1" t="str">
        <f>"47/47"</f>
        <v>47/47</v>
      </c>
      <c r="K2886" s="1" t="str">
        <f>"2026-07-29 13:18:05"</f>
        <v>2026-07-29 13:18:05</v>
      </c>
      <c r="L2886" s="1" t="str">
        <f>"2023-07-19 09:03:32"</f>
        <v>2023-07-19 09:03:32</v>
      </c>
      <c r="M2886" s="1" t="s">
        <v>45</v>
      </c>
      <c r="N2886" s="1" t="s">
        <v>38</v>
      </c>
      <c r="O2886" s="1" t="s">
        <v>46</v>
      </c>
    </row>
    <row r="2887" spans="2:15" x14ac:dyDescent="0.3">
      <c r="B2887" s="1" t="s">
        <v>24</v>
      </c>
      <c r="C2887" s="1" t="str">
        <f t="shared" ref="C2887:C2893" si="171">"5-2차"</f>
        <v>5-2차</v>
      </c>
      <c r="D2887" s="1" t="str">
        <f>"0528R0425M"</f>
        <v>0528R0425M</v>
      </c>
      <c r="E2887" s="1" t="s">
        <v>10</v>
      </c>
      <c r="F2887" s="1" t="str">
        <f>"fde3:102:1430:8500:0:0:0:e"</f>
        <v>fde3:102:1430:8500:0:0:0:e</v>
      </c>
      <c r="G2887" s="1" t="str">
        <f>"0528R042"</f>
        <v>0528R042</v>
      </c>
      <c r="H2887" s="1" t="str">
        <f>"우일간 21L4R8"</f>
        <v>우일간 21L4R8</v>
      </c>
      <c r="I2887" s="1" t="s">
        <v>15</v>
      </c>
      <c r="J2887" s="1" t="str">
        <f>"41/41"</f>
        <v>41/41</v>
      </c>
      <c r="K2887" s="1" t="str">
        <f>"2026-07-29 14:21:24"</f>
        <v>2026-07-29 14:21:24</v>
      </c>
      <c r="L2887" s="1" t="str">
        <f>"2023-08-21 15:42:59"</f>
        <v>2023-08-21 15:42:59</v>
      </c>
      <c r="M2887" s="1" t="s">
        <v>45</v>
      </c>
      <c r="N2887" s="1" t="s">
        <v>38</v>
      </c>
      <c r="O2887" s="1" t="s">
        <v>46</v>
      </c>
    </row>
    <row r="2888" spans="2:15" x14ac:dyDescent="0.3">
      <c r="B2888" s="1" t="s">
        <v>24</v>
      </c>
      <c r="C2888" s="1" t="str">
        <f t="shared" si="171"/>
        <v>5-2차</v>
      </c>
      <c r="D2888" s="1" t="str">
        <f>"0528R0515M"</f>
        <v>0528R0515M</v>
      </c>
      <c r="E2888" s="1" t="s">
        <v>10</v>
      </c>
      <c r="F2888" s="1" t="str">
        <f>"fde3:102:1430:8500:0:0:0:c"</f>
        <v>fde3:102:1430:8500:0:0:0:c</v>
      </c>
      <c r="G2888" s="1" t="str">
        <f>"0528R051"</f>
        <v>0528R051</v>
      </c>
      <c r="H2888" s="1" t="str">
        <f>"우일간 26L2L2"</f>
        <v>우일간 26L2L2</v>
      </c>
      <c r="I2888" s="1" t="s">
        <v>15</v>
      </c>
      <c r="J2888" s="1" t="str">
        <f>"62/66"</f>
        <v>62/66</v>
      </c>
      <c r="K2888" s="1" t="str">
        <f>"2026-07-29 14:21:24"</f>
        <v>2026-07-29 14:21:24</v>
      </c>
      <c r="L2888" s="1" t="str">
        <f>"2023-09-18 12:22:57"</f>
        <v>2023-09-18 12:22:57</v>
      </c>
      <c r="M2888" s="1" t="s">
        <v>45</v>
      </c>
      <c r="N2888" s="1" t="s">
        <v>38</v>
      </c>
      <c r="O2888" s="1" t="s">
        <v>46</v>
      </c>
    </row>
    <row r="2889" spans="2:15" x14ac:dyDescent="0.3">
      <c r="B2889" s="1" t="s">
        <v>24</v>
      </c>
      <c r="C2889" s="1" t="str">
        <f t="shared" si="171"/>
        <v>5-2차</v>
      </c>
      <c r="D2889" s="1" t="str">
        <f>"0528R1115S"</f>
        <v>0528R1115S</v>
      </c>
      <c r="E2889" s="1" t="s">
        <v>10</v>
      </c>
      <c r="F2889" s="1" t="str">
        <f>"fde3:102:1430:8500:0:0:0:b"</f>
        <v>fde3:102:1430:8500:0:0:0:b</v>
      </c>
      <c r="G2889" s="1" t="str">
        <f>"0528R111"</f>
        <v>0528R111</v>
      </c>
      <c r="H2889" s="1" t="str">
        <f>"우일간 26L7L3"</f>
        <v>우일간 26L7L3</v>
      </c>
      <c r="I2889" s="1" t="s">
        <v>15</v>
      </c>
      <c r="J2889" s="1" t="str">
        <f>"55/55"</f>
        <v>55/55</v>
      </c>
      <c r="K2889" s="1" t="str">
        <f>"2026-07-29 14:21:25"</f>
        <v>2026-07-29 14:21:25</v>
      </c>
      <c r="L2889" s="1" t="str">
        <f>"2023-08-21 16:18:37"</f>
        <v>2023-08-21 16:18:37</v>
      </c>
      <c r="M2889" s="1" t="s">
        <v>45</v>
      </c>
      <c r="N2889" s="1" t="s">
        <v>38</v>
      </c>
      <c r="O2889" s="1" t="s">
        <v>46</v>
      </c>
    </row>
    <row r="2890" spans="2:15" x14ac:dyDescent="0.3">
      <c r="B2890" s="1" t="s">
        <v>24</v>
      </c>
      <c r="C2890" s="1" t="str">
        <f t="shared" si="171"/>
        <v>5-2차</v>
      </c>
      <c r="D2890" s="1" t="str">
        <f>"0528R1325M"</f>
        <v>0528R1325M</v>
      </c>
      <c r="E2890" s="1" t="s">
        <v>10</v>
      </c>
      <c r="F2890" s="1" t="str">
        <f>"fde3:102:1430:8500:0:0:0:9"</f>
        <v>fde3:102:1430:8500:0:0:0:9</v>
      </c>
      <c r="G2890" s="1" t="str">
        <f>"0528R132"</f>
        <v>0528R132</v>
      </c>
      <c r="H2890" s="1" t="str">
        <f>"우일간 26L5L3"</f>
        <v>우일간 26L5L3</v>
      </c>
      <c r="I2890" s="1" t="s">
        <v>15</v>
      </c>
      <c r="J2890" s="1" t="str">
        <f>"45/45"</f>
        <v>45/45</v>
      </c>
      <c r="K2890" s="1" t="str">
        <f>"2026-07-29 14:21:25"</f>
        <v>2026-07-29 14:21:25</v>
      </c>
      <c r="L2890" s="1" t="str">
        <f>"2023-08-21 14:22:16"</f>
        <v>2023-08-21 14:22:16</v>
      </c>
      <c r="M2890" s="1" t="s">
        <v>45</v>
      </c>
      <c r="N2890" s="1" t="s">
        <v>38</v>
      </c>
      <c r="O2890" s="1" t="s">
        <v>46</v>
      </c>
    </row>
    <row r="2891" spans="2:15" x14ac:dyDescent="0.3">
      <c r="B2891" s="1" t="s">
        <v>24</v>
      </c>
      <c r="C2891" s="1" t="str">
        <f t="shared" si="171"/>
        <v>5-2차</v>
      </c>
      <c r="D2891" s="1" t="str">
        <f>"0528R1915M"</f>
        <v>0528R1915M</v>
      </c>
      <c r="E2891" s="1" t="s">
        <v>10</v>
      </c>
      <c r="F2891" s="1" t="str">
        <f>"fde3:102:1430:8200:0:0:0:27"</f>
        <v>fde3:102:1430:8200:0:0:0:27</v>
      </c>
      <c r="G2891" s="1" t="str">
        <f>"0528R191"</f>
        <v>0528R191</v>
      </c>
      <c r="H2891" s="1" t="str">
        <f>"인창지 112L5"</f>
        <v>인창지 112L5</v>
      </c>
      <c r="I2891" s="1" t="s">
        <v>15</v>
      </c>
      <c r="J2891" s="1" t="str">
        <f>"60/61"</f>
        <v>60/61</v>
      </c>
      <c r="K2891" s="1" t="str">
        <f>"2026-07-29 14:21:12"</f>
        <v>2026-07-29 14:21:12</v>
      </c>
      <c r="L2891" s="1" t="str">
        <f>"2023-09-12 07:12:46"</f>
        <v>2023-09-12 07:12:46</v>
      </c>
      <c r="M2891" s="1" t="s">
        <v>45</v>
      </c>
      <c r="N2891" s="1" t="s">
        <v>38</v>
      </c>
      <c r="O2891" s="1" t="s">
        <v>46</v>
      </c>
    </row>
    <row r="2892" spans="2:15" x14ac:dyDescent="0.3">
      <c r="B2892" s="1" t="s">
        <v>24</v>
      </c>
      <c r="C2892" s="1" t="str">
        <f t="shared" si="171"/>
        <v>5-2차</v>
      </c>
      <c r="D2892" s="1" t="str">
        <f>"0528R1935M"</f>
        <v>0528R1935M</v>
      </c>
      <c r="E2892" s="1" t="s">
        <v>10</v>
      </c>
      <c r="F2892" s="1" t="str">
        <f>"fde3:102:1430:8200:0:0:0:26"</f>
        <v>fde3:102:1430:8200:0:0:0:26</v>
      </c>
      <c r="G2892" s="1" t="str">
        <f>"0528R193"</f>
        <v>0528R193</v>
      </c>
      <c r="H2892" s="1" t="str">
        <f>"인창지 112L4"</f>
        <v>인창지 112L4</v>
      </c>
      <c r="I2892" s="1" t="s">
        <v>15</v>
      </c>
      <c r="J2892" s="1" t="str">
        <f>"27/27"</f>
        <v>27/27</v>
      </c>
      <c r="K2892" s="1" t="str">
        <f>"2026-07-29 14:21:12"</f>
        <v>2026-07-29 14:21:12</v>
      </c>
      <c r="L2892" s="1" t="str">
        <f>"2023-09-12 09:47:16"</f>
        <v>2023-09-12 09:47:16</v>
      </c>
      <c r="M2892" s="1" t="s">
        <v>45</v>
      </c>
      <c r="N2892" s="1" t="s">
        <v>38</v>
      </c>
      <c r="O2892" s="1" t="s">
        <v>46</v>
      </c>
    </row>
    <row r="2893" spans="2:15" x14ac:dyDescent="0.3">
      <c r="B2893" s="1" t="s">
        <v>24</v>
      </c>
      <c r="C2893" s="1" t="str">
        <f t="shared" si="171"/>
        <v>5-2차</v>
      </c>
      <c r="D2893" s="1" t="str">
        <f>"0528R2125S"</f>
        <v>0528R2125S</v>
      </c>
      <c r="E2893" s="1" t="s">
        <v>10</v>
      </c>
      <c r="F2893" s="1" t="str">
        <f>"fde3:102:1430:8500:0:0:0:8"</f>
        <v>fde3:102:1430:8500:0:0:0:8</v>
      </c>
      <c r="G2893" s="1" t="str">
        <f>"0528R212"</f>
        <v>0528R212</v>
      </c>
      <c r="H2893" s="1" t="str">
        <f>"우일간 21L9R7"</f>
        <v>우일간 21L9R7</v>
      </c>
      <c r="I2893" s="1" t="s">
        <v>15</v>
      </c>
      <c r="J2893" s="1" t="str">
        <f>"82/82"</f>
        <v>82/82</v>
      </c>
      <c r="K2893" s="1" t="str">
        <f>"2026-07-29 14:21:05"</f>
        <v>2026-07-29 14:21:05</v>
      </c>
      <c r="L2893" s="1" t="str">
        <f>"2023-08-25 09:44:13"</f>
        <v>2023-08-25 09:44:13</v>
      </c>
      <c r="M2893" s="1" t="s">
        <v>45</v>
      </c>
      <c r="N2893" s="1" t="s">
        <v>38</v>
      </c>
      <c r="O2893" s="1" t="s">
        <v>46</v>
      </c>
    </row>
    <row r="2894" spans="2:15" x14ac:dyDescent="0.3">
      <c r="B2894" s="1" t="s">
        <v>24</v>
      </c>
      <c r="C2894" s="1" t="str">
        <f>"5-1차"</f>
        <v>5-1차</v>
      </c>
      <c r="D2894" s="1" t="str">
        <f>"0528R2345M"</f>
        <v>0528R2345M</v>
      </c>
      <c r="E2894" s="1" t="s">
        <v>10</v>
      </c>
      <c r="F2894" s="1" t="str">
        <f>"fde2:104:0:14b:0:0:0:2"</f>
        <v>fde2:104:0:14b:0:0:0:2</v>
      </c>
      <c r="G2894" s="1" t="str">
        <f>"0528R234"</f>
        <v>0528R234</v>
      </c>
      <c r="H2894" s="1" t="str">
        <f>"우일간 26L5L5"</f>
        <v>우일간 26L5L5</v>
      </c>
      <c r="I2894" s="1" t="s">
        <v>15</v>
      </c>
      <c r="J2894" s="1" t="str">
        <f>"43/43"</f>
        <v>43/43</v>
      </c>
      <c r="K2894" s="1" t="str">
        <f>"2026-07-29 14:21:14"</f>
        <v>2026-07-29 14:21:14</v>
      </c>
      <c r="L2894" s="1" t="str">
        <f>"2022-10-19 15:41:49"</f>
        <v>2022-10-19 15:41:49</v>
      </c>
      <c r="M2894" s="1" t="s">
        <v>42</v>
      </c>
      <c r="N2894" s="1" t="s">
        <v>38</v>
      </c>
      <c r="O2894" s="1" t="s">
        <v>46</v>
      </c>
    </row>
    <row r="2895" spans="2:15" x14ac:dyDescent="0.3">
      <c r="B2895" s="1" t="s">
        <v>24</v>
      </c>
      <c r="C2895" s="1" t="str">
        <f t="shared" ref="C2895:C2901" si="172">"5-2차"</f>
        <v>5-2차</v>
      </c>
      <c r="D2895" s="1" t="str">
        <f>"0528R2415M"</f>
        <v>0528R2415M</v>
      </c>
      <c r="E2895" s="1" t="s">
        <v>10</v>
      </c>
      <c r="F2895" s="1" t="str">
        <f>"fde3:102:1430:8500:0:0:0:d"</f>
        <v>fde3:102:1430:8500:0:0:0:d</v>
      </c>
      <c r="G2895" s="1" t="str">
        <f>"0528R241"</f>
        <v>0528R241</v>
      </c>
      <c r="H2895" s="1" t="str">
        <f>"우일간 21L4R6"</f>
        <v>우일간 21L4R6</v>
      </c>
      <c r="I2895" s="1" t="s">
        <v>15</v>
      </c>
      <c r="J2895" s="1" t="str">
        <f>"30/30"</f>
        <v>30/30</v>
      </c>
      <c r="K2895" s="1" t="str">
        <f>"2026-07-29 14:21:05"</f>
        <v>2026-07-29 14:21:05</v>
      </c>
      <c r="L2895" s="1" t="str">
        <f>"2023-08-21 14:58:21"</f>
        <v>2023-08-21 14:58:21</v>
      </c>
      <c r="M2895" s="1" t="s">
        <v>45</v>
      </c>
      <c r="N2895" s="1" t="s">
        <v>38</v>
      </c>
      <c r="O2895" s="1" t="s">
        <v>46</v>
      </c>
    </row>
    <row r="2896" spans="2:15" x14ac:dyDescent="0.3">
      <c r="B2896" s="1" t="s">
        <v>24</v>
      </c>
      <c r="C2896" s="1" t="str">
        <f t="shared" si="172"/>
        <v>5-2차</v>
      </c>
      <c r="D2896" s="1" t="str">
        <f>"0528R2425S"</f>
        <v>0528R2425S</v>
      </c>
      <c r="E2896" s="1" t="s">
        <v>10</v>
      </c>
      <c r="F2896" s="1" t="str">
        <f>"fde3:102:1430:8500:0:0:0:10"</f>
        <v>fde3:102:1430:8500:0:0:0:10</v>
      </c>
      <c r="G2896" s="1" t="str">
        <f>"0528R242"</f>
        <v>0528R242</v>
      </c>
      <c r="H2896" s="1" t="str">
        <f>"우일간 21L4R6L1"</f>
        <v>우일간 21L4R6L1</v>
      </c>
      <c r="I2896" s="1" t="s">
        <v>15</v>
      </c>
      <c r="J2896" s="1" t="str">
        <f>"56/56"</f>
        <v>56/56</v>
      </c>
      <c r="K2896" s="1" t="str">
        <f>"2026-07-29 14:21:25"</f>
        <v>2026-07-29 14:21:25</v>
      </c>
      <c r="L2896" s="1" t="str">
        <f>"2023-08-20 07:39:05"</f>
        <v>2023-08-20 07:39:05</v>
      </c>
      <c r="M2896" s="1" t="s">
        <v>45</v>
      </c>
      <c r="N2896" s="1" t="s">
        <v>38</v>
      </c>
      <c r="O2896" s="1" t="s">
        <v>46</v>
      </c>
    </row>
    <row r="2897" spans="2:15" x14ac:dyDescent="0.3">
      <c r="B2897" s="1" t="s">
        <v>24</v>
      </c>
      <c r="C2897" s="1" t="str">
        <f t="shared" si="172"/>
        <v>5-2차</v>
      </c>
      <c r="D2897" s="1" t="str">
        <f>"0528R2515M"</f>
        <v>0528R2515M</v>
      </c>
      <c r="E2897" s="1" t="s">
        <v>10</v>
      </c>
      <c r="F2897" s="1" t="str">
        <f>"fde3:102:1430:8500:0:0:0:f"</f>
        <v>fde3:102:1430:8500:0:0:0:f</v>
      </c>
      <c r="G2897" s="1" t="str">
        <f>"0528R251"</f>
        <v>0528R251</v>
      </c>
      <c r="H2897" s="1" t="str">
        <f>"우일간 21L4R4"</f>
        <v>우일간 21L4R4</v>
      </c>
      <c r="I2897" s="1" t="s">
        <v>15</v>
      </c>
      <c r="J2897" s="1" t="str">
        <f>"43/43"</f>
        <v>43/43</v>
      </c>
      <c r="K2897" s="1" t="str">
        <f>"2026-07-29 14:21:12"</f>
        <v>2026-07-29 14:21:12</v>
      </c>
      <c r="L2897" s="1" t="str">
        <f>"2023-09-18 12:52:56"</f>
        <v>2023-09-18 12:52:56</v>
      </c>
      <c r="M2897" s="1" t="s">
        <v>45</v>
      </c>
      <c r="N2897" s="1" t="s">
        <v>38</v>
      </c>
      <c r="O2897" s="1" t="s">
        <v>46</v>
      </c>
    </row>
    <row r="2898" spans="2:15" x14ac:dyDescent="0.3">
      <c r="B2898" s="1" t="s">
        <v>24</v>
      </c>
      <c r="C2898" s="1" t="str">
        <f t="shared" si="172"/>
        <v>5-2차</v>
      </c>
      <c r="D2898" s="1" t="str">
        <f>"0528R2815M"</f>
        <v>0528R2815M</v>
      </c>
      <c r="E2898" s="1" t="s">
        <v>10</v>
      </c>
      <c r="F2898" s="1" t="str">
        <f>"fde3:102:1430:8200:0:0:0:25"</f>
        <v>fde3:102:1430:8200:0:0:0:25</v>
      </c>
      <c r="G2898" s="1" t="str">
        <f>"0528R281"</f>
        <v>0528R281</v>
      </c>
      <c r="H2898" s="1" t="str">
        <f>"인창지 112L3R2"</f>
        <v>인창지 112L3R2</v>
      </c>
      <c r="I2898" s="1" t="s">
        <v>15</v>
      </c>
      <c r="J2898" s="1" t="str">
        <f>"31/34"</f>
        <v>31/34</v>
      </c>
      <c r="K2898" s="1" t="str">
        <f>"2026-07-29 14:21:12"</f>
        <v>2026-07-29 14:21:12</v>
      </c>
      <c r="L2898" s="1" t="str">
        <f>"2023-09-18 14:30:38"</f>
        <v>2023-09-18 14:30:38</v>
      </c>
      <c r="M2898" s="1" t="s">
        <v>45</v>
      </c>
      <c r="N2898" s="1" t="s">
        <v>38</v>
      </c>
      <c r="O2898" s="1" t="s">
        <v>46</v>
      </c>
    </row>
    <row r="2899" spans="2:15" x14ac:dyDescent="0.3">
      <c r="B2899" s="1" t="s">
        <v>24</v>
      </c>
      <c r="C2899" s="1" t="str">
        <f t="shared" si="172"/>
        <v>5-2차</v>
      </c>
      <c r="D2899" s="1" t="str">
        <f>"0528R3225S"</f>
        <v>0528R3225S</v>
      </c>
      <c r="E2899" s="1" t="s">
        <v>10</v>
      </c>
      <c r="F2899" s="1" t="str">
        <f>"fde3:102:1430:8500:0:0:0:6"</f>
        <v>fde3:102:1430:8500:0:0:0:6</v>
      </c>
      <c r="G2899" s="1" t="str">
        <f>"0528R322"</f>
        <v>0528R322</v>
      </c>
      <c r="H2899" s="1" t="str">
        <f>"우일간 21L9R3"</f>
        <v>우일간 21L9R3</v>
      </c>
      <c r="I2899" s="1" t="s">
        <v>15</v>
      </c>
      <c r="J2899" s="1" t="str">
        <f>"53/53"</f>
        <v>53/53</v>
      </c>
      <c r="K2899" s="1" t="str">
        <f>"2026-07-29 14:21:12"</f>
        <v>2026-07-29 14:21:12</v>
      </c>
      <c r="L2899" s="1" t="str">
        <f>"2023-08-20 06:15:54"</f>
        <v>2023-08-20 06:15:54</v>
      </c>
      <c r="M2899" s="1" t="s">
        <v>45</v>
      </c>
      <c r="N2899" s="1" t="s">
        <v>38</v>
      </c>
      <c r="O2899" s="1" t="s">
        <v>46</v>
      </c>
    </row>
    <row r="2900" spans="2:15" x14ac:dyDescent="0.3">
      <c r="B2900" s="1" t="s">
        <v>24</v>
      </c>
      <c r="C2900" s="1" t="str">
        <f t="shared" si="172"/>
        <v>5-2차</v>
      </c>
      <c r="D2900" s="1" t="str">
        <f>"0528R3845M"</f>
        <v>0528R3845M</v>
      </c>
      <c r="E2900" s="1" t="s">
        <v>10</v>
      </c>
      <c r="F2900" s="1" t="str">
        <f>"fde1:103:4:92c3:0:0:0:2"</f>
        <v>fde1:103:4:92c3:0:0:0:2</v>
      </c>
      <c r="G2900" s="1" t="str">
        <f>"0528R384"</f>
        <v>0528R384</v>
      </c>
      <c r="H2900" s="1" t="str">
        <f>"인창지 112L3R4"</f>
        <v>인창지 112L3R4</v>
      </c>
      <c r="I2900" s="1" t="s">
        <v>15</v>
      </c>
      <c r="J2900" s="1" t="str">
        <f>"66/66"</f>
        <v>66/66</v>
      </c>
      <c r="K2900" s="1" t="str">
        <f>"2026-07-29 14:21:13"</f>
        <v>2026-07-29 14:21:13</v>
      </c>
      <c r="L2900" s="1" t="str">
        <f>"2023-12-27 09:51:33"</f>
        <v>2023-12-27 09:51:33</v>
      </c>
      <c r="M2900" s="1" t="s">
        <v>4</v>
      </c>
      <c r="N2900" s="1" t="s">
        <v>38</v>
      </c>
      <c r="O2900" s="1" t="s">
        <v>46</v>
      </c>
    </row>
    <row r="2901" spans="2:15" x14ac:dyDescent="0.3">
      <c r="B2901" s="1" t="s">
        <v>24</v>
      </c>
      <c r="C2901" s="1" t="str">
        <f t="shared" si="172"/>
        <v>5-2차</v>
      </c>
      <c r="D2901" s="1" t="str">
        <f>"0528R4215S"</f>
        <v>0528R4215S</v>
      </c>
      <c r="E2901" s="1" t="s">
        <v>10</v>
      </c>
      <c r="F2901" s="1" t="str">
        <f>"fde3:102:1430:8500:0:0:0:7"</f>
        <v>fde3:102:1430:8500:0:0:0:7</v>
      </c>
      <c r="G2901" s="1" t="str">
        <f>"0528R421"</f>
        <v>0528R421</v>
      </c>
      <c r="H2901" s="1" t="str">
        <f>"우일간 21L9R2"</f>
        <v>우일간 21L9R2</v>
      </c>
      <c r="I2901" s="1" t="s">
        <v>15</v>
      </c>
      <c r="J2901" s="1" t="str">
        <f>"21/21"</f>
        <v>21/21</v>
      </c>
      <c r="K2901" s="1" t="str">
        <f>"2026-07-29 14:21:15"</f>
        <v>2026-07-29 14:21:15</v>
      </c>
      <c r="L2901" s="1" t="str">
        <f>"2023-08-20 05:41:00"</f>
        <v>2023-08-20 05:41:00</v>
      </c>
      <c r="M2901" s="1" t="s">
        <v>45</v>
      </c>
      <c r="N2901" s="1" t="s">
        <v>38</v>
      </c>
      <c r="O2901" s="1" t="s">
        <v>46</v>
      </c>
    </row>
    <row r="2902" spans="2:15" x14ac:dyDescent="0.3">
      <c r="B2902" s="1" t="s">
        <v>24</v>
      </c>
      <c r="C2902" s="1" t="str">
        <f>"4차"</f>
        <v>4차</v>
      </c>
      <c r="D2902" s="1" t="str">
        <f>"0528R46242"</f>
        <v>0528R46242</v>
      </c>
      <c r="E2902" s="1" t="s">
        <v>10</v>
      </c>
      <c r="F2902" s="1" t="str">
        <f>"10.89.246.186"</f>
        <v>10.89.246.186</v>
      </c>
      <c r="G2902" s="1" t="str">
        <f>"0528R462"</f>
        <v>0528R462</v>
      </c>
      <c r="H2902" s="1" t="str">
        <f>"우일간 21L3"</f>
        <v>우일간 21L3</v>
      </c>
      <c r="I2902" s="1" t="s">
        <v>8</v>
      </c>
      <c r="J2902" s="1" t="str">
        <f>"26/29"</f>
        <v>26/29</v>
      </c>
      <c r="K2902" s="1" t="str">
        <f>"2026-07-29 13:18:05"</f>
        <v>2026-07-29 13:18:05</v>
      </c>
      <c r="L2902" s="1" t="str">
        <f>"2024-12-24 10:43:24"</f>
        <v>2024-12-24 10:43:24</v>
      </c>
      <c r="M2902" s="1" t="s">
        <v>45</v>
      </c>
      <c r="N2902" s="1" t="s">
        <v>38</v>
      </c>
      <c r="O2902" s="1" t="s">
        <v>46</v>
      </c>
    </row>
    <row r="2903" spans="2:15" x14ac:dyDescent="0.3">
      <c r="B2903" s="1" t="s">
        <v>24</v>
      </c>
      <c r="C2903" s="1" t="str">
        <f>"1차"</f>
        <v>1차</v>
      </c>
      <c r="D2903" s="1" t="str">
        <f>"0528R53100"</f>
        <v>0528R53100</v>
      </c>
      <c r="E2903" s="1" t="s">
        <v>10</v>
      </c>
      <c r="F2903" s="1" t="str">
        <f>"10.89.246.185"</f>
        <v>10.89.246.185</v>
      </c>
      <c r="G2903" s="1" t="str">
        <f>"0528R531"</f>
        <v>0528R531</v>
      </c>
      <c r="H2903" s="1" t="str">
        <f>"우일간 21L8"</f>
        <v>우일간 21L8</v>
      </c>
      <c r="I2903" s="1" t="s">
        <v>8</v>
      </c>
      <c r="J2903" s="1" t="str">
        <f>"16/16"</f>
        <v>16/16</v>
      </c>
      <c r="K2903" s="1" t="str">
        <f>"2026-07-29 13:18:05"</f>
        <v>2026-07-29 13:18:05</v>
      </c>
      <c r="L2903" s="1" t="str">
        <f>"2015-09-01 14:23:41"</f>
        <v>2015-09-01 14:23:41</v>
      </c>
      <c r="M2903" s="1" t="s">
        <v>45</v>
      </c>
      <c r="N2903" s="1" t="s">
        <v>38</v>
      </c>
      <c r="O2903" s="1" t="s">
        <v>46</v>
      </c>
    </row>
    <row r="2904" spans="2:15" x14ac:dyDescent="0.3">
      <c r="B2904" s="1" t="s">
        <v>24</v>
      </c>
      <c r="C2904" s="1" t="str">
        <f>"6차"</f>
        <v>6차</v>
      </c>
      <c r="D2904" s="1" t="str">
        <f>"0528R5516S"</f>
        <v>0528R5516S</v>
      </c>
      <c r="E2904" s="1" t="s">
        <v>10</v>
      </c>
      <c r="F2904" s="1" t="str">
        <f>"fde1:103:4:c6a2:0:0:0:2"</f>
        <v>fde1:103:4:c6a2:0:0:0:2</v>
      </c>
      <c r="G2904" s="1" t="str">
        <f>"0528R551"</f>
        <v>0528R551</v>
      </c>
      <c r="H2904" s="1" t="str">
        <f>"우일간 18L3"</f>
        <v>우일간 18L3</v>
      </c>
      <c r="I2904" s="1" t="s">
        <v>15</v>
      </c>
      <c r="J2904" s="1" t="str">
        <f>"74/74"</f>
        <v>74/74</v>
      </c>
      <c r="K2904" s="1" t="str">
        <f>"2026-07-29 14:21:14"</f>
        <v>2026-07-29 14:21:14</v>
      </c>
      <c r="L2904" s="1" t="str">
        <f>"2024-11-13 16:03:46"</f>
        <v>2024-11-13 16:03:46</v>
      </c>
      <c r="M2904" s="1" t="s">
        <v>4</v>
      </c>
      <c r="N2904" s="1" t="s">
        <v>38</v>
      </c>
      <c r="O2904" s="1" t="s">
        <v>46</v>
      </c>
    </row>
    <row r="2905" spans="2:15" x14ac:dyDescent="0.3">
      <c r="B2905" s="1" t="s">
        <v>24</v>
      </c>
      <c r="C2905" s="1" t="str">
        <f>"1차"</f>
        <v>1차</v>
      </c>
      <c r="D2905" s="1" t="str">
        <f>"0528R57400"</f>
        <v>0528R57400</v>
      </c>
      <c r="E2905" s="1" t="s">
        <v>10</v>
      </c>
      <c r="F2905" s="1" t="str">
        <f>"10.89.246.181"</f>
        <v>10.89.246.181</v>
      </c>
      <c r="G2905" s="1" t="str">
        <f>"0528R574"</f>
        <v>0528R574</v>
      </c>
      <c r="H2905" s="1" t="str">
        <f>"우일간 19"</f>
        <v>우일간 19</v>
      </c>
      <c r="I2905" s="1" t="s">
        <v>8</v>
      </c>
      <c r="J2905" s="1" t="str">
        <f>"40/41"</f>
        <v>40/41</v>
      </c>
      <c r="K2905" s="1" t="str">
        <f>"2026-07-29 13:18:05"</f>
        <v>2026-07-29 13:18:05</v>
      </c>
      <c r="L2905" s="1" t="str">
        <f>"2014-10-06 08:57:19"</f>
        <v>2014-10-06 08:57:19</v>
      </c>
      <c r="M2905" s="1" t="s">
        <v>45</v>
      </c>
      <c r="N2905" s="1" t="s">
        <v>38</v>
      </c>
      <c r="O2905" s="1" t="s">
        <v>46</v>
      </c>
    </row>
    <row r="2906" spans="2:15" x14ac:dyDescent="0.3">
      <c r="B2906" s="1" t="s">
        <v>24</v>
      </c>
      <c r="C2906" s="1" t="str">
        <f>"5-2차"</f>
        <v>5-2차</v>
      </c>
      <c r="D2906" s="1" t="str">
        <f>"0528R5845M"</f>
        <v>0528R5845M</v>
      </c>
      <c r="E2906" s="1" t="s">
        <v>10</v>
      </c>
      <c r="F2906" s="1" t="str">
        <f>"fde1:103:4:92b5:0:0:0:2"</f>
        <v>fde1:103:4:92b5:0:0:0:2</v>
      </c>
      <c r="G2906" s="1" t="str">
        <f>"0528R584"</f>
        <v>0528R584</v>
      </c>
      <c r="H2906" s="1" t="str">
        <f>"인창지 118L2L2"</f>
        <v>인창지 118L2L2</v>
      </c>
      <c r="I2906" s="1" t="s">
        <v>15</v>
      </c>
      <c r="J2906" s="1" t="str">
        <f>"61/63"</f>
        <v>61/63</v>
      </c>
      <c r="K2906" s="1" t="str">
        <f>"2026-07-29 14:21:13"</f>
        <v>2026-07-29 14:21:13</v>
      </c>
      <c r="L2906" s="1" t="str">
        <f>"2023-12-27 10:10:20"</f>
        <v>2023-12-27 10:10:20</v>
      </c>
      <c r="M2906" s="1" t="s">
        <v>4</v>
      </c>
      <c r="N2906" s="1" t="s">
        <v>38</v>
      </c>
      <c r="O2906" s="1" t="s">
        <v>46</v>
      </c>
    </row>
    <row r="2907" spans="2:15" x14ac:dyDescent="0.3">
      <c r="B2907" s="1" t="s">
        <v>24</v>
      </c>
      <c r="C2907" s="1" t="str">
        <f>"5-2차"</f>
        <v>5-2차</v>
      </c>
      <c r="D2907" s="1" t="str">
        <f>"0528R5935S"</f>
        <v>0528R5935S</v>
      </c>
      <c r="E2907" s="1" t="s">
        <v>10</v>
      </c>
      <c r="F2907" s="1" t="str">
        <f>"fde1:103:4:9215:0:0:0:2"</f>
        <v>fde1:103:4:9215:0:0:0:2</v>
      </c>
      <c r="G2907" s="1" t="str">
        <f>"0528R593"</f>
        <v>0528R593</v>
      </c>
      <c r="H2907" s="1" t="str">
        <f>"인창지 118L5"</f>
        <v>인창지 118L5</v>
      </c>
      <c r="I2907" s="1" t="s">
        <v>15</v>
      </c>
      <c r="J2907" s="1" t="str">
        <f>"40/40"</f>
        <v>40/40</v>
      </c>
      <c r="K2907" s="1" t="str">
        <f>"2026-07-29 14:20:57"</f>
        <v>2026-07-29 14:20:57</v>
      </c>
      <c r="L2907" s="1" t="str">
        <f>"2024-01-18 14:53:14"</f>
        <v>2024-01-18 14:53:14</v>
      </c>
      <c r="M2907" s="1" t="s">
        <v>4</v>
      </c>
      <c r="N2907" s="1" t="s">
        <v>38</v>
      </c>
      <c r="O2907" s="1" t="s">
        <v>46</v>
      </c>
    </row>
    <row r="2908" spans="2:15" x14ac:dyDescent="0.3">
      <c r="B2908" s="1" t="s">
        <v>24</v>
      </c>
      <c r="C2908" s="1" t="str">
        <f>"4차"</f>
        <v>4차</v>
      </c>
      <c r="D2908" s="1" t="str">
        <f>"0528R67242"</f>
        <v>0528R67242</v>
      </c>
      <c r="E2908" s="1" t="s">
        <v>10</v>
      </c>
      <c r="F2908" s="1" t="str">
        <f>"10.89.246.184"</f>
        <v>10.89.246.184</v>
      </c>
      <c r="G2908" s="1" t="str">
        <f>"0528R672"</f>
        <v>0528R672</v>
      </c>
      <c r="H2908" s="1" t="str">
        <f>"우일간 16"</f>
        <v>우일간 16</v>
      </c>
      <c r="I2908" s="1" t="s">
        <v>8</v>
      </c>
      <c r="J2908" s="1" t="str">
        <f>"71/93"</f>
        <v>71/93</v>
      </c>
      <c r="K2908" s="1" t="str">
        <f>"2026-07-29 13:18:02"</f>
        <v>2026-07-29 13:18:02</v>
      </c>
      <c r="L2908" s="1" t="str">
        <f>"2024-05-24 14:20:10"</f>
        <v>2024-05-24 14:20:10</v>
      </c>
      <c r="M2908" s="1" t="s">
        <v>45</v>
      </c>
      <c r="N2908" s="1" t="s">
        <v>38</v>
      </c>
      <c r="O2908" s="1" t="s">
        <v>46</v>
      </c>
    </row>
    <row r="2909" spans="2:15" x14ac:dyDescent="0.3">
      <c r="B2909" s="1" t="s">
        <v>24</v>
      </c>
      <c r="C2909" s="1" t="str">
        <f>"5-2차"</f>
        <v>5-2차</v>
      </c>
      <c r="D2909" s="1" t="str">
        <f>"0528R7815M"</f>
        <v>0528R7815M</v>
      </c>
      <c r="E2909" s="1" t="s">
        <v>10</v>
      </c>
      <c r="F2909" s="1" t="str">
        <f>"fde1:103:4:92c4:0:0:0:2"</f>
        <v>fde1:103:4:92c4:0:0:0:2</v>
      </c>
      <c r="G2909" s="1" t="str">
        <f>"0528R781"</f>
        <v>0528R781</v>
      </c>
      <c r="H2909" s="1" t="str">
        <f>"인창지 118L2R3"</f>
        <v>인창지 118L2R3</v>
      </c>
      <c r="I2909" s="1" t="s">
        <v>15</v>
      </c>
      <c r="J2909" s="1" t="str">
        <f>"68/69"</f>
        <v>68/69</v>
      </c>
      <c r="K2909" s="1" t="str">
        <f>"2026-07-29 14:21:25"</f>
        <v>2026-07-29 14:21:25</v>
      </c>
      <c r="L2909" s="1" t="str">
        <f>"2023-12-27 10:10:49"</f>
        <v>2023-12-27 10:10:49</v>
      </c>
      <c r="M2909" s="1" t="s">
        <v>4</v>
      </c>
      <c r="N2909" s="1" t="s">
        <v>38</v>
      </c>
      <c r="O2909" s="1" t="s">
        <v>46</v>
      </c>
    </row>
    <row r="2910" spans="2:15" x14ac:dyDescent="0.3">
      <c r="B2910" s="1" t="s">
        <v>24</v>
      </c>
      <c r="C2910" s="1" t="str">
        <f>"5-2차"</f>
        <v>5-2차</v>
      </c>
      <c r="D2910" s="1" t="str">
        <f>"0528R8815M"</f>
        <v>0528R8815M</v>
      </c>
      <c r="E2910" s="1" t="s">
        <v>10</v>
      </c>
      <c r="F2910" s="1" t="str">
        <f>"fde1:103:4:929b:0:0:0:2"</f>
        <v>fde1:103:4:929b:0:0:0:2</v>
      </c>
      <c r="G2910" s="1" t="str">
        <f>"0528R881"</f>
        <v>0528R881</v>
      </c>
      <c r="H2910" s="1" t="str">
        <f>"인창지 124L1L1"</f>
        <v>인창지 124L1L1</v>
      </c>
      <c r="I2910" s="1" t="s">
        <v>15</v>
      </c>
      <c r="J2910" s="1" t="str">
        <f>"49/49"</f>
        <v>49/49</v>
      </c>
      <c r="K2910" s="1" t="str">
        <f>"2026-07-29 14:21:26"</f>
        <v>2026-07-29 14:21:26</v>
      </c>
      <c r="L2910" s="1" t="str">
        <f>"2024-01-18 16:41:05"</f>
        <v>2024-01-18 16:41:05</v>
      </c>
      <c r="M2910" s="1" t="s">
        <v>4</v>
      </c>
      <c r="N2910" s="1" t="s">
        <v>38</v>
      </c>
      <c r="O2910" s="1" t="s">
        <v>46</v>
      </c>
    </row>
    <row r="2911" spans="2:15" x14ac:dyDescent="0.3">
      <c r="B2911" s="1" t="s">
        <v>24</v>
      </c>
      <c r="C2911" s="1" t="str">
        <f>"5-2차"</f>
        <v>5-2차</v>
      </c>
      <c r="D2911" s="1" t="str">
        <f>"0528R8915M"</f>
        <v>0528R8915M</v>
      </c>
      <c r="E2911" s="1" t="s">
        <v>10</v>
      </c>
      <c r="F2911" s="1" t="str">
        <f>"fde1:103:4:9290:0:0:0:2"</f>
        <v>fde1:103:4:9290:0:0:0:2</v>
      </c>
      <c r="G2911" s="1" t="str">
        <f>"0528R891"</f>
        <v>0528R891</v>
      </c>
      <c r="H2911" s="1" t="str">
        <f>"인창지 124L2L2"</f>
        <v>인창지 124L2L2</v>
      </c>
      <c r="I2911" s="1" t="s">
        <v>15</v>
      </c>
      <c r="J2911" s="1" t="str">
        <f>"39/40"</f>
        <v>39/40</v>
      </c>
      <c r="K2911" s="1" t="str">
        <f>"2026-07-29 14:20:57"</f>
        <v>2026-07-29 14:20:57</v>
      </c>
      <c r="L2911" s="1" t="str">
        <f>"2024-01-18 16:12:07"</f>
        <v>2024-01-18 16:12:07</v>
      </c>
      <c r="M2911" s="1" t="s">
        <v>4</v>
      </c>
      <c r="N2911" s="1" t="s">
        <v>38</v>
      </c>
      <c r="O2911" s="1" t="s">
        <v>46</v>
      </c>
    </row>
    <row r="2912" spans="2:15" x14ac:dyDescent="0.3">
      <c r="B2912" s="1" t="s">
        <v>24</v>
      </c>
      <c r="C2912" s="1" t="str">
        <f>"5-2차"</f>
        <v>5-2차</v>
      </c>
      <c r="D2912" s="1" t="str">
        <f>"0528R9925M"</f>
        <v>0528R9925M</v>
      </c>
      <c r="E2912" s="1" t="s">
        <v>10</v>
      </c>
      <c r="F2912" s="1" t="str">
        <f>"fde1:103:4:92bb:0:0:0:2"</f>
        <v>fde1:103:4:92bb:0:0:0:2</v>
      </c>
      <c r="G2912" s="1" t="str">
        <f>"0528R992"</f>
        <v>0528R992</v>
      </c>
      <c r="H2912" s="1" t="str">
        <f>"인창지 124L3H1"</f>
        <v>인창지 124L3H1</v>
      </c>
      <c r="I2912" s="1" t="s">
        <v>15</v>
      </c>
      <c r="J2912" s="1" t="str">
        <f>"55/55"</f>
        <v>55/55</v>
      </c>
      <c r="K2912" s="1" t="str">
        <f>"2026-07-29 08:21:09"</f>
        <v>2026-07-29 08:21:09</v>
      </c>
      <c r="L2912" s="1" t="str">
        <f>"2023-12-27 10:11:23"</f>
        <v>2023-12-27 10:11:23</v>
      </c>
      <c r="M2912" s="1" t="s">
        <v>4</v>
      </c>
      <c r="N2912" s="1" t="s">
        <v>38</v>
      </c>
      <c r="O2912" s="1" t="s">
        <v>46</v>
      </c>
    </row>
    <row r="2913" spans="2:15" x14ac:dyDescent="0.3">
      <c r="B2913" s="1" t="s">
        <v>24</v>
      </c>
      <c r="C2913" s="1" t="str">
        <f>"1차"</f>
        <v>1차</v>
      </c>
      <c r="D2913" s="1" t="str">
        <f>"0528S06200"</f>
        <v>0528S06200</v>
      </c>
      <c r="E2913" s="1" t="s">
        <v>10</v>
      </c>
      <c r="F2913" s="1" t="str">
        <f>"10.89.246.183"</f>
        <v>10.89.246.183</v>
      </c>
      <c r="G2913" s="1" t="str">
        <f>"0528S062"</f>
        <v>0528S062</v>
      </c>
      <c r="H2913" s="1" t="str">
        <f>"우일간 9"</f>
        <v>우일간 9</v>
      </c>
      <c r="I2913" s="1" t="s">
        <v>8</v>
      </c>
      <c r="J2913" s="1" t="str">
        <f>"16/16"</f>
        <v>16/16</v>
      </c>
      <c r="K2913" s="1" t="str">
        <f>"2026-07-29 13:18:02"</f>
        <v>2026-07-29 13:18:02</v>
      </c>
      <c r="L2913" s="1" t="str">
        <f>"2015-08-06 13:24:09"</f>
        <v>2015-08-06 13:24:09</v>
      </c>
      <c r="M2913" s="1" t="s">
        <v>45</v>
      </c>
      <c r="N2913" s="1" t="s">
        <v>38</v>
      </c>
      <c r="O2913" s="1" t="s">
        <v>46</v>
      </c>
    </row>
    <row r="2914" spans="2:15" x14ac:dyDescent="0.3">
      <c r="B2914" s="1" t="s">
        <v>24</v>
      </c>
      <c r="C2914" s="1" t="str">
        <f>"5-2차"</f>
        <v>5-2차</v>
      </c>
      <c r="D2914" s="1" t="str">
        <f>"0528S4915S"</f>
        <v>0528S4915S</v>
      </c>
      <c r="E2914" s="1" t="s">
        <v>10</v>
      </c>
      <c r="F2914" s="1" t="str">
        <f>"fde1:103:4:9136:0:0:0:2"</f>
        <v>fde1:103:4:9136:0:0:0:2</v>
      </c>
      <c r="G2914" s="1" t="str">
        <f>"0528S491"</f>
        <v>0528S491</v>
      </c>
      <c r="H2914" s="1" t="str">
        <f>"인창지 127L1R9"</f>
        <v>인창지 127L1R9</v>
      </c>
      <c r="I2914" s="1" t="s">
        <v>15</v>
      </c>
      <c r="J2914" s="1" t="str">
        <f>"38/38"</f>
        <v>38/38</v>
      </c>
      <c r="K2914" s="1" t="str">
        <f>"2026-07-29 14:21:26"</f>
        <v>2026-07-29 14:21:26</v>
      </c>
      <c r="L2914" s="1" t="str">
        <f>"2024-01-18 16:12:03"</f>
        <v>2024-01-18 16:12:03</v>
      </c>
      <c r="M2914" s="1" t="s">
        <v>4</v>
      </c>
      <c r="N2914" s="1" t="s">
        <v>38</v>
      </c>
      <c r="O2914" s="1" t="s">
        <v>46</v>
      </c>
    </row>
    <row r="2915" spans="2:15" x14ac:dyDescent="0.3">
      <c r="B2915" s="1" t="s">
        <v>23</v>
      </c>
      <c r="C2915" s="1" t="str">
        <f>"6차"</f>
        <v>6차</v>
      </c>
      <c r="D2915" s="1" t="str">
        <f>"0024F5426S"</f>
        <v>0024F5426S</v>
      </c>
      <c r="E2915" s="1" t="s">
        <v>10</v>
      </c>
      <c r="F2915" s="1" t="str">
        <f>"fde1:103:4:9192:0:0:0:2"</f>
        <v>fde1:103:4:9192:0:0:0:2</v>
      </c>
      <c r="G2915" s="1" t="str">
        <f>"0024F542"</f>
        <v>0024F542</v>
      </c>
      <c r="H2915" s="1" t="str">
        <f>"독서당간 113R6"</f>
        <v>독서당간 113R6</v>
      </c>
      <c r="I2915" s="1" t="s">
        <v>15</v>
      </c>
      <c r="J2915" s="1" t="str">
        <f>"26/26"</f>
        <v>26/26</v>
      </c>
      <c r="K2915" s="1" t="str">
        <f>"2026-07-29 14:20:02"</f>
        <v>2026-07-29 14:20:02</v>
      </c>
      <c r="L2915" s="1" t="str">
        <f>"2024-12-11 18:03:47"</f>
        <v>2024-12-11 18:03:47</v>
      </c>
      <c r="M2915" s="1" t="s">
        <v>4</v>
      </c>
      <c r="N2915" s="1" t="s">
        <v>38</v>
      </c>
      <c r="O2915" s="1" t="s">
        <v>46</v>
      </c>
    </row>
    <row r="2916" spans="2:15" x14ac:dyDescent="0.3">
      <c r="B2916" s="1" t="s">
        <v>23</v>
      </c>
      <c r="C2916" s="1" t="str">
        <f>"5-2차"</f>
        <v>5-2차</v>
      </c>
      <c r="D2916" s="1" t="str">
        <f>"0024F6415M"</f>
        <v>0024F6415M</v>
      </c>
      <c r="E2916" s="1" t="s">
        <v>10</v>
      </c>
      <c r="F2916" s="1" t="str">
        <f>"fde1:103:4:59f3:0:0:0:2"</f>
        <v>fde1:103:4:59f3:0:0:0:2</v>
      </c>
      <c r="G2916" s="1" t="str">
        <f>"0024F641"</f>
        <v>0024F641</v>
      </c>
      <c r="H2916" s="1" t="str">
        <f>"독서당간 113R4"</f>
        <v>독서당간 113R4</v>
      </c>
      <c r="I2916" s="1" t="s">
        <v>15</v>
      </c>
      <c r="J2916" s="1" t="str">
        <f>"36/36"</f>
        <v>36/36</v>
      </c>
      <c r="K2916" s="1" t="str">
        <f>"2026-07-29 14:20:02"</f>
        <v>2026-07-29 14:20:02</v>
      </c>
      <c r="L2916" s="1" t="str">
        <f>"2023-09-13 16:12:48"</f>
        <v>2023-09-13 16:12:48</v>
      </c>
      <c r="M2916" s="1" t="s">
        <v>4</v>
      </c>
      <c r="N2916" s="1" t="s">
        <v>38</v>
      </c>
      <c r="O2916" s="1" t="s">
        <v>46</v>
      </c>
    </row>
    <row r="2917" spans="2:15" x14ac:dyDescent="0.3">
      <c r="B2917" s="1" t="s">
        <v>23</v>
      </c>
      <c r="C2917" s="1" t="str">
        <f>"4차"</f>
        <v>4차</v>
      </c>
      <c r="D2917" s="1" t="str">
        <f>"0024F84344"</f>
        <v>0024F84344</v>
      </c>
      <c r="E2917" s="1" t="s">
        <v>10</v>
      </c>
      <c r="F2917" s="1" t="str">
        <f>"10.11.65.210"</f>
        <v>10.11.65.210</v>
      </c>
      <c r="G2917" s="1" t="str">
        <f>"0024F843"</f>
        <v>0024F843</v>
      </c>
      <c r="H2917" s="1" t="str">
        <f>"독서당간 113R1"</f>
        <v>독서당간 113R1</v>
      </c>
      <c r="I2917" s="1" t="s">
        <v>8</v>
      </c>
      <c r="J2917" s="1" t="str">
        <f>"25/25"</f>
        <v>25/25</v>
      </c>
      <c r="K2917" s="1" t="str">
        <f>"2026-07-29 13:18:01"</f>
        <v>2026-07-29 13:18:01</v>
      </c>
      <c r="L2917" s="1" t="str">
        <f>"2019-10-30 14:14:28"</f>
        <v>2019-10-30 14:14:28</v>
      </c>
      <c r="M2917" s="1" t="s">
        <v>2</v>
      </c>
      <c r="N2917" s="1" t="s">
        <v>38</v>
      </c>
      <c r="O2917" s="1" t="s">
        <v>46</v>
      </c>
    </row>
    <row r="2918" spans="2:15" x14ac:dyDescent="0.3">
      <c r="B2918" s="1" t="s">
        <v>23</v>
      </c>
      <c r="C2918" s="1" t="str">
        <f>"5-1차"</f>
        <v>5-1차</v>
      </c>
      <c r="D2918" s="1" t="str">
        <f>"0124A0515M"</f>
        <v>0124A0515M</v>
      </c>
      <c r="E2918" s="1" t="s">
        <v>10</v>
      </c>
      <c r="F2918" s="1" t="str">
        <f>"fde3:102:1440:6100:0:0:0:4"</f>
        <v>fde3:102:1440:6100:0:0:0:4</v>
      </c>
      <c r="G2918" s="1" t="str">
        <f>"0124A051"</f>
        <v>0124A051</v>
      </c>
      <c r="H2918" s="1" t="str">
        <f>"독서당간 110L5"</f>
        <v>독서당간 110L5</v>
      </c>
      <c r="I2918" s="1" t="s">
        <v>15</v>
      </c>
      <c r="J2918" s="1" t="str">
        <f>"38/38"</f>
        <v>38/38</v>
      </c>
      <c r="K2918" s="1" t="str">
        <f>"2026-07-29 14:20:28"</f>
        <v>2026-07-29 14:20:28</v>
      </c>
      <c r="L2918" s="1" t="str">
        <f>"2022-11-07 15:52:21"</f>
        <v>2022-11-07 15:52:21</v>
      </c>
      <c r="M2918" s="1" t="s">
        <v>45</v>
      </c>
      <c r="N2918" s="1" t="s">
        <v>38</v>
      </c>
      <c r="O2918" s="1" t="s">
        <v>46</v>
      </c>
    </row>
    <row r="2919" spans="2:15" x14ac:dyDescent="0.3">
      <c r="B2919" s="1" t="s">
        <v>23</v>
      </c>
      <c r="C2919" s="1" t="str">
        <f>"5-2차"</f>
        <v>5-2차</v>
      </c>
      <c r="D2919" s="1" t="str">
        <f>"0124A2415M"</f>
        <v>0124A2415M</v>
      </c>
      <c r="E2919" s="1" t="s">
        <v>10</v>
      </c>
      <c r="F2919" s="1" t="str">
        <f>"fde1:103:4:5a13:0:0:0:2"</f>
        <v>fde1:103:4:5a13:0:0:0:2</v>
      </c>
      <c r="G2919" s="1" t="str">
        <f>"0124A241"</f>
        <v>0124A241</v>
      </c>
      <c r="H2919" s="1" t="str">
        <f>"독서당간 110L8"</f>
        <v>독서당간 110L8</v>
      </c>
      <c r="I2919" s="1" t="s">
        <v>15</v>
      </c>
      <c r="J2919" s="1" t="str">
        <f>"49/49"</f>
        <v>49/49</v>
      </c>
      <c r="K2919" s="1" t="str">
        <f>"2026-07-29 14:20:28"</f>
        <v>2026-07-29 14:20:28</v>
      </c>
      <c r="L2919" s="1" t="str">
        <f>"2023-09-13 16:13:34"</f>
        <v>2023-09-13 16:13:34</v>
      </c>
      <c r="M2919" s="1" t="s">
        <v>4</v>
      </c>
      <c r="N2919" s="1" t="s">
        <v>38</v>
      </c>
      <c r="O2919" s="1" t="s">
        <v>46</v>
      </c>
    </row>
    <row r="2920" spans="2:15" x14ac:dyDescent="0.3">
      <c r="B2920" s="1" t="s">
        <v>23</v>
      </c>
      <c r="C2920" s="1" t="str">
        <f>"5-2차"</f>
        <v>5-2차</v>
      </c>
      <c r="D2920" s="1" t="str">
        <f>"0124A5915M"</f>
        <v>0124A5915M</v>
      </c>
      <c r="E2920" s="1" t="s">
        <v>10</v>
      </c>
      <c r="F2920" s="1" t="str">
        <f>"fde1:103:4:5a12:0:0:0:2"</f>
        <v>fde1:103:4:5a12:0:0:0:2</v>
      </c>
      <c r="G2920" s="1" t="str">
        <f>"0124A591"</f>
        <v>0124A591</v>
      </c>
      <c r="H2920" s="1" t="str">
        <f>"독서당간 94L4"</f>
        <v>독서당간 94L4</v>
      </c>
      <c r="I2920" s="1" t="s">
        <v>15</v>
      </c>
      <c r="J2920" s="1" t="str">
        <f>"26/26"</f>
        <v>26/26</v>
      </c>
      <c r="K2920" s="1" t="str">
        <f>"2026-07-29 14:20:28"</f>
        <v>2026-07-29 14:20:28</v>
      </c>
      <c r="L2920" s="1" t="str">
        <f>"2023-09-13 16:24:50"</f>
        <v>2023-09-13 16:24:50</v>
      </c>
      <c r="M2920" s="1" t="s">
        <v>4</v>
      </c>
      <c r="N2920" s="1" t="s">
        <v>38</v>
      </c>
      <c r="O2920" s="1" t="s">
        <v>46</v>
      </c>
    </row>
    <row r="2921" spans="2:15" x14ac:dyDescent="0.3">
      <c r="B2921" s="1" t="s">
        <v>23</v>
      </c>
      <c r="C2921" s="1" t="str">
        <f>"5-2차"</f>
        <v>5-2차</v>
      </c>
      <c r="D2921" s="1" t="str">
        <f>"0124A6725M"</f>
        <v>0124A6725M</v>
      </c>
      <c r="E2921" s="1" t="s">
        <v>10</v>
      </c>
      <c r="F2921" s="1" t="str">
        <f>"fde1:103:4:5a5d:0:0:0:2"</f>
        <v>fde1:103:4:5a5d:0:0:0:2</v>
      </c>
      <c r="G2921" s="1" t="str">
        <f>"0124A672"</f>
        <v>0124A672</v>
      </c>
      <c r="H2921" s="1" t="str">
        <f>"독서당간 94L7"</f>
        <v>독서당간 94L7</v>
      </c>
      <c r="I2921" s="1" t="s">
        <v>15</v>
      </c>
      <c r="J2921" s="1" t="str">
        <f>"23/23"</f>
        <v>23/23</v>
      </c>
      <c r="K2921" s="1" t="str">
        <f>"2026-07-29 14:20:13"</f>
        <v>2026-07-29 14:20:13</v>
      </c>
      <c r="L2921" s="1" t="str">
        <f>"2023-09-13 16:35:49"</f>
        <v>2023-09-13 16:35:49</v>
      </c>
      <c r="M2921" s="1" t="s">
        <v>4</v>
      </c>
      <c r="N2921" s="1" t="s">
        <v>38</v>
      </c>
      <c r="O2921" s="1" t="s">
        <v>46</v>
      </c>
    </row>
    <row r="2922" spans="2:15" x14ac:dyDescent="0.3">
      <c r="B2922" s="1" t="s">
        <v>23</v>
      </c>
      <c r="C2922" s="1" t="str">
        <f>"5-2차"</f>
        <v>5-2차</v>
      </c>
      <c r="D2922" s="1" t="str">
        <f>"0124A6815M"</f>
        <v>0124A6815M</v>
      </c>
      <c r="E2922" s="1" t="s">
        <v>10</v>
      </c>
      <c r="F2922" s="1" t="str">
        <f>"fde1:103:4:5a07:0:0:0:2"</f>
        <v>fde1:103:4:5a07:0:0:0:2</v>
      </c>
      <c r="G2922" s="1" t="str">
        <f>"0124A681"</f>
        <v>0124A681</v>
      </c>
      <c r="H2922" s="1" t="str">
        <f>"독서당간 94L6"</f>
        <v>독서당간 94L6</v>
      </c>
      <c r="I2922" s="1" t="s">
        <v>15</v>
      </c>
      <c r="J2922" s="1" t="str">
        <f>"38/38"</f>
        <v>38/38</v>
      </c>
      <c r="K2922" s="1" t="str">
        <f>"2026-07-29 14:20:01"</f>
        <v>2026-07-29 14:20:01</v>
      </c>
      <c r="L2922" s="1" t="str">
        <f>"2023-09-13 16:36:43"</f>
        <v>2023-09-13 16:36:43</v>
      </c>
      <c r="M2922" s="1" t="s">
        <v>4</v>
      </c>
      <c r="N2922" s="1" t="s">
        <v>38</v>
      </c>
      <c r="O2922" s="1" t="s">
        <v>46</v>
      </c>
    </row>
    <row r="2923" spans="2:15" x14ac:dyDescent="0.3">
      <c r="B2923" s="1" t="s">
        <v>23</v>
      </c>
      <c r="C2923" s="1" t="str">
        <f>"5-2차"</f>
        <v>5-2차</v>
      </c>
      <c r="D2923" s="1" t="str">
        <f>"0124A6925M"</f>
        <v>0124A6925M</v>
      </c>
      <c r="E2923" s="1" t="s">
        <v>10</v>
      </c>
      <c r="F2923" s="1" t="str">
        <f>"fde1:103:4:5a1f:0:0:0:2"</f>
        <v>fde1:103:4:5a1f:0:0:0:2</v>
      </c>
      <c r="G2923" s="1" t="str">
        <f>"0124A692"</f>
        <v>0124A692</v>
      </c>
      <c r="H2923" s="1" t="str">
        <f>"독서당간 94L5"</f>
        <v>독서당간 94L5</v>
      </c>
      <c r="I2923" s="1" t="s">
        <v>15</v>
      </c>
      <c r="J2923" s="1" t="str">
        <f>"34/34"</f>
        <v>34/34</v>
      </c>
      <c r="K2923" s="1" t="str">
        <f>"2026-07-29 14:20:28"</f>
        <v>2026-07-29 14:20:28</v>
      </c>
      <c r="L2923" s="1" t="str">
        <f>"2023-09-13 16:37:44"</f>
        <v>2023-09-13 16:37:44</v>
      </c>
      <c r="M2923" s="1" t="s">
        <v>4</v>
      </c>
      <c r="N2923" s="1" t="s">
        <v>38</v>
      </c>
      <c r="O2923" s="1" t="s">
        <v>46</v>
      </c>
    </row>
    <row r="2924" spans="2:15" x14ac:dyDescent="0.3">
      <c r="B2924" s="1" t="s">
        <v>23</v>
      </c>
      <c r="C2924" s="1" t="str">
        <f>"5-1차"</f>
        <v>5-1차</v>
      </c>
      <c r="D2924" s="1" t="str">
        <f>"0124A7735M"</f>
        <v>0124A7735M</v>
      </c>
      <c r="E2924" s="1" t="s">
        <v>10</v>
      </c>
      <c r="F2924" s="1" t="str">
        <f>"fde3:102:1440:6100:0:0:0:5"</f>
        <v>fde3:102:1440:6100:0:0:0:5</v>
      </c>
      <c r="G2924" s="1" t="str">
        <f>"0124A773"</f>
        <v>0124A773</v>
      </c>
      <c r="H2924" s="1" t="str">
        <f>"독서당간 94L10"</f>
        <v>독서당간 94L10</v>
      </c>
      <c r="I2924" s="1" t="s">
        <v>15</v>
      </c>
      <c r="J2924" s="1" t="str">
        <f>"27/48"</f>
        <v>27/48</v>
      </c>
      <c r="K2924" s="1" t="str">
        <f>"2026-07-29 14:20:30"</f>
        <v>2026-07-29 14:20:30</v>
      </c>
      <c r="L2924" s="1" t="str">
        <f>"2022-11-02 16:35:24"</f>
        <v>2022-11-02 16:35:24</v>
      </c>
      <c r="M2924" s="1" t="s">
        <v>45</v>
      </c>
      <c r="N2924" s="1" t="s">
        <v>38</v>
      </c>
      <c r="O2924" s="1" t="s">
        <v>46</v>
      </c>
    </row>
    <row r="2925" spans="2:15" x14ac:dyDescent="0.3">
      <c r="B2925" s="1" t="s">
        <v>23</v>
      </c>
      <c r="C2925" s="1" t="str">
        <f>"5-2차"</f>
        <v>5-2차</v>
      </c>
      <c r="D2925" s="1" t="str">
        <f>"0124A7825M"</f>
        <v>0124A7825M</v>
      </c>
      <c r="E2925" s="1" t="s">
        <v>10</v>
      </c>
      <c r="F2925" s="1" t="str">
        <f>"fde1:103:4:5a04:0:0:0:2"</f>
        <v>fde1:103:4:5a04:0:0:0:2</v>
      </c>
      <c r="G2925" s="1" t="str">
        <f>"0124A782"</f>
        <v>0124A782</v>
      </c>
      <c r="H2925" s="1" t="str">
        <f>"독서당간 94L12R1"</f>
        <v>독서당간 94L12R1</v>
      </c>
      <c r="I2925" s="1" t="s">
        <v>15</v>
      </c>
      <c r="J2925" s="1" t="str">
        <f>"55/55"</f>
        <v>55/55</v>
      </c>
      <c r="K2925" s="1" t="str">
        <f>"2026-07-29 14:20:28"</f>
        <v>2026-07-29 14:20:28</v>
      </c>
      <c r="L2925" s="1" t="str">
        <f>"2023-09-13 16:52:32"</f>
        <v>2023-09-13 16:52:32</v>
      </c>
      <c r="M2925" s="1" t="s">
        <v>4</v>
      </c>
      <c r="N2925" s="1" t="s">
        <v>38</v>
      </c>
      <c r="O2925" s="1" t="s">
        <v>46</v>
      </c>
    </row>
    <row r="2926" spans="2:15" x14ac:dyDescent="0.3">
      <c r="B2926" s="1" t="s">
        <v>23</v>
      </c>
      <c r="C2926" s="1" t="str">
        <f>"6차"</f>
        <v>6차</v>
      </c>
      <c r="D2926" s="1" t="str">
        <f>"0124A7916S"</f>
        <v>0124A7916S</v>
      </c>
      <c r="E2926" s="1" t="s">
        <v>12</v>
      </c>
      <c r="F2926" s="1" t="str">
        <f>"fde3:102:1440:6100:0:0:0:8"</f>
        <v>fde3:102:1440:6100:0:0:0:8</v>
      </c>
      <c r="G2926" s="1" t="str">
        <f>"0124A791"</f>
        <v>0124A791</v>
      </c>
      <c r="H2926" s="1" t="str">
        <f>"독서당간 94L13"</f>
        <v>독서당간 94L13</v>
      </c>
      <c r="I2926" s="1" t="s">
        <v>15</v>
      </c>
      <c r="J2926" s="1" t="str">
        <f>"0/53"</f>
        <v>0/53</v>
      </c>
      <c r="K2926" s="1" t="str">
        <f>"2026-05-20 08:20:15"</f>
        <v>2026-05-20 08:20:15</v>
      </c>
      <c r="L2926" s="1" t="str">
        <f>"2024-10-11 14:20:07"</f>
        <v>2024-10-11 14:20:07</v>
      </c>
      <c r="M2926" s="1" t="s">
        <v>45</v>
      </c>
      <c r="N2926" s="1" t="s">
        <v>38</v>
      </c>
      <c r="O2926" s="1" t="s">
        <v>46</v>
      </c>
    </row>
    <row r="2927" spans="2:15" x14ac:dyDescent="0.3">
      <c r="B2927" s="1" t="s">
        <v>23</v>
      </c>
      <c r="C2927" s="1" t="str">
        <f t="shared" ref="C2927:C2933" si="173">"5-2차"</f>
        <v>5-2차</v>
      </c>
      <c r="D2927" s="1" t="str">
        <f>"0125B3035S"</f>
        <v>0125B3035S</v>
      </c>
      <c r="E2927" s="1" t="s">
        <v>10</v>
      </c>
      <c r="F2927" s="1" t="str">
        <f>"fde1:103:4:5a49:0:0:0:2"</f>
        <v>fde1:103:4:5a49:0:0:0:2</v>
      </c>
      <c r="G2927" s="1" t="str">
        <f>"0125B303"</f>
        <v>0125B303</v>
      </c>
      <c r="H2927" s="1" t="str">
        <f>"금문간 55R5"</f>
        <v>금문간 55R5</v>
      </c>
      <c r="I2927" s="1" t="s">
        <v>15</v>
      </c>
      <c r="J2927" s="1" t="str">
        <f>"18/18"</f>
        <v>18/18</v>
      </c>
      <c r="K2927" s="1" t="str">
        <f>"2026-07-29 14:20:39"</f>
        <v>2026-07-29 14:20:39</v>
      </c>
      <c r="L2927" s="1" t="str">
        <f>"2023-09-13 16:54:43"</f>
        <v>2023-09-13 16:54:43</v>
      </c>
      <c r="M2927" s="1" t="s">
        <v>4</v>
      </c>
      <c r="N2927" s="1" t="s">
        <v>38</v>
      </c>
      <c r="O2927" s="1" t="s">
        <v>46</v>
      </c>
    </row>
    <row r="2928" spans="2:15" x14ac:dyDescent="0.3">
      <c r="B2928" s="1" t="s">
        <v>23</v>
      </c>
      <c r="C2928" s="1" t="str">
        <f t="shared" si="173"/>
        <v>5-2차</v>
      </c>
      <c r="D2928" s="1" t="str">
        <f>"0125B4035S"</f>
        <v>0125B4035S</v>
      </c>
      <c r="E2928" s="1" t="s">
        <v>10</v>
      </c>
      <c r="F2928" s="1" t="str">
        <f>"fde1:103:4:5a2a:0:0:0:2"</f>
        <v>fde1:103:4:5a2a:0:0:0:2</v>
      </c>
      <c r="G2928" s="1" t="str">
        <f>"0125B403"</f>
        <v>0125B403</v>
      </c>
      <c r="H2928" s="1" t="str">
        <f>"금문간 55R4R1"</f>
        <v>금문간 55R4R1</v>
      </c>
      <c r="I2928" s="1" t="s">
        <v>15</v>
      </c>
      <c r="J2928" s="1" t="str">
        <f>"89/89"</f>
        <v>89/89</v>
      </c>
      <c r="K2928" s="1" t="str">
        <f>"2026-07-29 14:20:28"</f>
        <v>2026-07-29 14:20:28</v>
      </c>
      <c r="L2928" s="1" t="str">
        <f>"2023-09-13 16:57:26"</f>
        <v>2023-09-13 16:57:26</v>
      </c>
      <c r="M2928" s="1" t="s">
        <v>4</v>
      </c>
      <c r="N2928" s="1" t="s">
        <v>38</v>
      </c>
      <c r="O2928" s="1" t="s">
        <v>46</v>
      </c>
    </row>
    <row r="2929" spans="2:15" x14ac:dyDescent="0.3">
      <c r="B2929" s="1" t="s">
        <v>23</v>
      </c>
      <c r="C2929" s="1" t="str">
        <f t="shared" si="173"/>
        <v>5-2차</v>
      </c>
      <c r="D2929" s="1" t="str">
        <f>"0125B4115S"</f>
        <v>0125B4115S</v>
      </c>
      <c r="E2929" s="1" t="s">
        <v>10</v>
      </c>
      <c r="F2929" s="1" t="str">
        <f>"fde1:103:4:59f6:0:0:0:2"</f>
        <v>fde1:103:4:59f6:0:0:0:2</v>
      </c>
      <c r="G2929" s="1" t="str">
        <f>"0125B411"</f>
        <v>0125B411</v>
      </c>
      <c r="H2929" s="1" t="str">
        <f>"금문간 55R7"</f>
        <v>금문간 55R7</v>
      </c>
      <c r="I2929" s="1" t="s">
        <v>15</v>
      </c>
      <c r="J2929" s="1" t="str">
        <f>"47/47"</f>
        <v>47/47</v>
      </c>
      <c r="K2929" s="1" t="str">
        <f>"2026-07-29 14:20:08"</f>
        <v>2026-07-29 14:20:08</v>
      </c>
      <c r="L2929" s="1" t="str">
        <f>"2023-09-13 17:12:35"</f>
        <v>2023-09-13 17:12:35</v>
      </c>
      <c r="M2929" s="1" t="s">
        <v>4</v>
      </c>
      <c r="N2929" s="1" t="s">
        <v>38</v>
      </c>
      <c r="O2929" s="1" t="s">
        <v>46</v>
      </c>
    </row>
    <row r="2930" spans="2:15" x14ac:dyDescent="0.3">
      <c r="B2930" s="1" t="s">
        <v>23</v>
      </c>
      <c r="C2930" s="1" t="str">
        <f t="shared" si="173"/>
        <v>5-2차</v>
      </c>
      <c r="D2930" s="1" t="str">
        <f>"0125B4155S"</f>
        <v>0125B4155S</v>
      </c>
      <c r="E2930" s="1" t="s">
        <v>10</v>
      </c>
      <c r="F2930" s="1" t="str">
        <f>"fde1:103:4:586a:0:0:0:2"</f>
        <v>fde1:103:4:586a:0:0:0:2</v>
      </c>
      <c r="G2930" s="1" t="str">
        <f>"0125B415"</f>
        <v>0125B415</v>
      </c>
      <c r="H2930" s="1" t="str">
        <f>"금문간 55R8"</f>
        <v>금문간 55R8</v>
      </c>
      <c r="I2930" s="1" t="s">
        <v>15</v>
      </c>
      <c r="J2930" s="1" t="str">
        <f>"86/95"</f>
        <v>86/95</v>
      </c>
      <c r="K2930" s="1" t="str">
        <f>"2026-07-29 14:20:13"</f>
        <v>2026-07-29 14:20:13</v>
      </c>
      <c r="L2930" s="1" t="str">
        <f>"2023-09-13 17:39:24"</f>
        <v>2023-09-13 17:39:24</v>
      </c>
      <c r="M2930" s="1" t="s">
        <v>4</v>
      </c>
      <c r="N2930" s="1" t="s">
        <v>38</v>
      </c>
      <c r="O2930" s="1" t="s">
        <v>46</v>
      </c>
    </row>
    <row r="2931" spans="2:15" x14ac:dyDescent="0.3">
      <c r="B2931" s="1" t="s">
        <v>23</v>
      </c>
      <c r="C2931" s="1" t="str">
        <f t="shared" si="173"/>
        <v>5-2차</v>
      </c>
      <c r="D2931" s="1" t="str">
        <f>"0125B5015S"</f>
        <v>0125B5015S</v>
      </c>
      <c r="E2931" s="1" t="s">
        <v>10</v>
      </c>
      <c r="F2931" s="1" t="str">
        <f>"fde1:103:4:598f:0:0:0:2"</f>
        <v>fde1:103:4:598f:0:0:0:2</v>
      </c>
      <c r="G2931" s="1" t="str">
        <f>"0125B501"</f>
        <v>0125B501</v>
      </c>
      <c r="H2931" s="1" t="str">
        <f>"금문간 55R4R3"</f>
        <v>금문간 55R4R3</v>
      </c>
      <c r="I2931" s="1" t="s">
        <v>15</v>
      </c>
      <c r="J2931" s="1" t="str">
        <f>"85/85"</f>
        <v>85/85</v>
      </c>
      <c r="K2931" s="1" t="str">
        <f>"2026-07-29 14:20:33"</f>
        <v>2026-07-29 14:20:33</v>
      </c>
      <c r="L2931" s="1" t="str">
        <f>"2023-09-13 17:36:03"</f>
        <v>2023-09-13 17:36:03</v>
      </c>
      <c r="M2931" s="1" t="s">
        <v>4</v>
      </c>
      <c r="N2931" s="1" t="s">
        <v>38</v>
      </c>
      <c r="O2931" s="1" t="s">
        <v>46</v>
      </c>
    </row>
    <row r="2932" spans="2:15" x14ac:dyDescent="0.3">
      <c r="B2932" s="1" t="s">
        <v>23</v>
      </c>
      <c r="C2932" s="1" t="str">
        <f t="shared" si="173"/>
        <v>5-2차</v>
      </c>
      <c r="D2932" s="1" t="str">
        <f>"0125D1215S"</f>
        <v>0125D1215S</v>
      </c>
      <c r="E2932" s="1" t="s">
        <v>10</v>
      </c>
      <c r="F2932" s="1" t="str">
        <f>"fde1:103:4:5805:0:0:0:2"</f>
        <v>fde1:103:4:5805:0:0:0:2</v>
      </c>
      <c r="G2932" s="1" t="str">
        <f>"0125D121"</f>
        <v>0125D121</v>
      </c>
      <c r="H2932" s="1" t="str">
        <f>"금문간 43L1R2"</f>
        <v>금문간 43L1R2</v>
      </c>
      <c r="I2932" s="1" t="s">
        <v>15</v>
      </c>
      <c r="J2932" s="1" t="str">
        <f>"48/48"</f>
        <v>48/48</v>
      </c>
      <c r="K2932" s="1" t="str">
        <f>"2026-07-29 14:20:29"</f>
        <v>2026-07-29 14:20:29</v>
      </c>
      <c r="L2932" s="1" t="str">
        <f>"2023-09-13 17:40:39"</f>
        <v>2023-09-13 17:40:39</v>
      </c>
      <c r="M2932" s="1" t="s">
        <v>4</v>
      </c>
      <c r="N2932" s="1" t="s">
        <v>38</v>
      </c>
      <c r="O2932" s="1" t="s">
        <v>46</v>
      </c>
    </row>
    <row r="2933" spans="2:15" x14ac:dyDescent="0.3">
      <c r="B2933" s="1" t="s">
        <v>23</v>
      </c>
      <c r="C2933" s="1" t="str">
        <f t="shared" si="173"/>
        <v>5-2차</v>
      </c>
      <c r="D2933" s="1" t="str">
        <f>"0125D2015M"</f>
        <v>0125D2015M</v>
      </c>
      <c r="E2933" s="1" t="s">
        <v>10</v>
      </c>
      <c r="F2933" s="1" t="str">
        <f>"fde1:103:4:57be:0:0:0:2"</f>
        <v>fde1:103:4:57be:0:0:0:2</v>
      </c>
      <c r="G2933" s="1" t="str">
        <f>"0125D201"</f>
        <v>0125D201</v>
      </c>
      <c r="H2933" s="1" t="str">
        <f>"금문간 40"</f>
        <v>금문간 40</v>
      </c>
      <c r="I2933" s="1" t="s">
        <v>15</v>
      </c>
      <c r="J2933" s="1" t="str">
        <f>"52/52"</f>
        <v>52/52</v>
      </c>
      <c r="K2933" s="1" t="str">
        <f>"2026-07-29 14:20:14"</f>
        <v>2026-07-29 14:20:14</v>
      </c>
      <c r="L2933" s="1" t="str">
        <f>"2023-09-13 17:39:54"</f>
        <v>2023-09-13 17:39:54</v>
      </c>
      <c r="M2933" s="1" t="s">
        <v>4</v>
      </c>
      <c r="N2933" s="1" t="s">
        <v>38</v>
      </c>
      <c r="O2933" s="1" t="s">
        <v>46</v>
      </c>
    </row>
    <row r="2934" spans="2:15" x14ac:dyDescent="0.3">
      <c r="B2934" s="1" t="s">
        <v>23</v>
      </c>
      <c r="C2934" s="1" t="str">
        <f>"4차"</f>
        <v>4차</v>
      </c>
      <c r="D2934" s="1" t="str">
        <f>"0125D22241"</f>
        <v>0125D22241</v>
      </c>
      <c r="E2934" s="1" t="s">
        <v>14</v>
      </c>
      <c r="F2934" s="1" t="str">
        <f>"10.12.130.44"</f>
        <v>10.12.130.44</v>
      </c>
      <c r="G2934" s="1" t="str">
        <f>"0125D222"</f>
        <v>0125D222</v>
      </c>
      <c r="H2934" s="1" t="str">
        <f>"금문간 44"</f>
        <v>금문간 44</v>
      </c>
      <c r="I2934" s="1" t="s">
        <v>17</v>
      </c>
      <c r="J2934" s="1" t="str">
        <f>"0/0"</f>
        <v>0/0</v>
      </c>
      <c r="K2934" s="1" t="str">
        <f>"2026-06-10 07:18:02"</f>
        <v>2026-06-10 07:18:02</v>
      </c>
      <c r="L2934" s="1" t="str">
        <f>"2021-06-16 15:45:18"</f>
        <v>2021-06-16 15:45:18</v>
      </c>
      <c r="M2934" s="1" t="s">
        <v>0</v>
      </c>
      <c r="N2934" s="1" t="s">
        <v>39</v>
      </c>
      <c r="O2934" s="1" t="s">
        <v>46</v>
      </c>
    </row>
    <row r="2935" spans="2:15" x14ac:dyDescent="0.3">
      <c r="B2935" s="1" t="s">
        <v>23</v>
      </c>
      <c r="C2935" s="1" t="str">
        <f>"6차"</f>
        <v>6차</v>
      </c>
      <c r="D2935" s="1" t="str">
        <f>"0125D2325M"</f>
        <v>0125D2325M</v>
      </c>
      <c r="E2935" s="1" t="s">
        <v>10</v>
      </c>
      <c r="F2935" s="1" t="str">
        <f>"fde1:103:4:584b:0:0:0:2"</f>
        <v>fde1:103:4:584b:0:0:0:2</v>
      </c>
      <c r="G2935" s="1" t="str">
        <f>"0125D232"</f>
        <v>0125D232</v>
      </c>
      <c r="H2935" s="1" t="str">
        <f>"금문간 46R2"</f>
        <v>금문간 46R2</v>
      </c>
      <c r="I2935" s="1" t="s">
        <v>15</v>
      </c>
      <c r="J2935" s="1" t="str">
        <f>"41/46"</f>
        <v>41/46</v>
      </c>
      <c r="K2935" s="1" t="str">
        <f>"2026-07-29 14:20:29"</f>
        <v>2026-07-29 14:20:29</v>
      </c>
      <c r="L2935" s="1" t="str">
        <f>"2023-09-13 17:28:40"</f>
        <v>2023-09-13 17:28:40</v>
      </c>
      <c r="M2935" s="1" t="s">
        <v>4</v>
      </c>
      <c r="N2935" s="1" t="s">
        <v>38</v>
      </c>
      <c r="O2935" s="1" t="s">
        <v>46</v>
      </c>
    </row>
    <row r="2936" spans="2:15" x14ac:dyDescent="0.3">
      <c r="B2936" s="1" t="s">
        <v>23</v>
      </c>
      <c r="C2936" s="1" t="str">
        <f>"5-2차"</f>
        <v>5-2차</v>
      </c>
      <c r="D2936" s="1" t="str">
        <f>"0125D2335M"</f>
        <v>0125D2335M</v>
      </c>
      <c r="E2936" s="1" t="s">
        <v>10</v>
      </c>
      <c r="F2936" s="1" t="str">
        <f>"fde1:103:4:574f:0:0:0:2"</f>
        <v>fde1:103:4:574f:0:0:0:2</v>
      </c>
      <c r="G2936" s="1" t="str">
        <f>"0125D233"</f>
        <v>0125D233</v>
      </c>
      <c r="H2936" s="1" t="str">
        <f>"금문간 46R1"</f>
        <v>금문간 46R1</v>
      </c>
      <c r="I2936" s="1" t="s">
        <v>15</v>
      </c>
      <c r="J2936" s="1" t="str">
        <f>"34/34"</f>
        <v>34/34</v>
      </c>
      <c r="K2936" s="1" t="str">
        <f>"2026-07-29 14:20:29"</f>
        <v>2026-07-29 14:20:29</v>
      </c>
      <c r="L2936" s="1" t="str">
        <f>"2023-09-13 17:22:38"</f>
        <v>2023-09-13 17:22:38</v>
      </c>
      <c r="M2936" s="1" t="s">
        <v>4</v>
      </c>
      <c r="N2936" s="1" t="s">
        <v>38</v>
      </c>
      <c r="O2936" s="1" t="s">
        <v>46</v>
      </c>
    </row>
    <row r="2937" spans="2:15" x14ac:dyDescent="0.3">
      <c r="B2937" s="1" t="s">
        <v>23</v>
      </c>
      <c r="C2937" s="1" t="str">
        <f>"5-2차"</f>
        <v>5-2차</v>
      </c>
      <c r="D2937" s="1" t="str">
        <f>"0125D3925M"</f>
        <v>0125D3925M</v>
      </c>
      <c r="E2937" s="1" t="s">
        <v>10</v>
      </c>
      <c r="F2937" s="1" t="str">
        <f>"fde1:103:4:5808:0:0:0:2"</f>
        <v>fde1:103:4:5808:0:0:0:2</v>
      </c>
      <c r="G2937" s="1" t="str">
        <f>"0125D392"</f>
        <v>0125D392</v>
      </c>
      <c r="H2937" s="1" t="str">
        <f>"금문간 55R3"</f>
        <v>금문간 55R3</v>
      </c>
      <c r="I2937" s="1" t="s">
        <v>15</v>
      </c>
      <c r="J2937" s="1" t="str">
        <f>"50/50"</f>
        <v>50/50</v>
      </c>
      <c r="K2937" s="1" t="str">
        <f>"2026-07-29 14:20:30"</f>
        <v>2026-07-29 14:20:30</v>
      </c>
      <c r="L2937" s="1" t="str">
        <f>"2023-09-13 17:11:28"</f>
        <v>2023-09-13 17:11:28</v>
      </c>
      <c r="M2937" s="1" t="s">
        <v>4</v>
      </c>
      <c r="N2937" s="1" t="s">
        <v>38</v>
      </c>
      <c r="O2937" s="1" t="s">
        <v>46</v>
      </c>
    </row>
    <row r="2938" spans="2:15" x14ac:dyDescent="0.3">
      <c r="B2938" s="1" t="s">
        <v>23</v>
      </c>
      <c r="C2938" s="1" t="str">
        <f>"5-1차"</f>
        <v>5-1차</v>
      </c>
      <c r="D2938" s="1" t="str">
        <f>"0125D4235M"</f>
        <v>0125D4235M</v>
      </c>
      <c r="E2938" s="1" t="s">
        <v>10</v>
      </c>
      <c r="F2938" s="1" t="str">
        <f>"fde3:102:1440:6100:0:0:0:6"</f>
        <v>fde3:102:1440:6100:0:0:0:6</v>
      </c>
      <c r="G2938" s="1" t="str">
        <f>"0125D423"</f>
        <v>0125D423</v>
      </c>
      <c r="H2938" s="1" t="str">
        <f>"금호지 9R2R1"</f>
        <v>금호지 9R2R1</v>
      </c>
      <c r="I2938" s="1" t="s">
        <v>15</v>
      </c>
      <c r="J2938" s="1" t="str">
        <f>"35/36"</f>
        <v>35/36</v>
      </c>
      <c r="K2938" s="1" t="str">
        <f>"2026-07-29 14:20:30"</f>
        <v>2026-07-29 14:20:30</v>
      </c>
      <c r="L2938" s="1" t="str">
        <f>"2022-11-10 14:44:41"</f>
        <v>2022-11-10 14:44:41</v>
      </c>
      <c r="M2938" s="1" t="s">
        <v>45</v>
      </c>
      <c r="N2938" s="1" t="s">
        <v>38</v>
      </c>
      <c r="O2938" s="1" t="s">
        <v>46</v>
      </c>
    </row>
    <row r="2939" spans="2:15" x14ac:dyDescent="0.3">
      <c r="B2939" s="1" t="s">
        <v>23</v>
      </c>
      <c r="C2939" s="1" t="str">
        <f>"5-2차"</f>
        <v>5-2차</v>
      </c>
      <c r="D2939" s="1" t="str">
        <f>"0125D4725M"</f>
        <v>0125D4725M</v>
      </c>
      <c r="E2939" s="1" t="s">
        <v>10</v>
      </c>
      <c r="F2939" s="1" t="str">
        <f>"fde1:103:4:5845:0:0:0:2"</f>
        <v>fde1:103:4:5845:0:0:0:2</v>
      </c>
      <c r="G2939" s="1" t="str">
        <f>"0125D472"</f>
        <v>0125D472</v>
      </c>
      <c r="H2939" s="1" t="str">
        <f>"금문간 55R1R1"</f>
        <v>금문간 55R1R1</v>
      </c>
      <c r="I2939" s="1" t="s">
        <v>15</v>
      </c>
      <c r="J2939" s="1" t="str">
        <f>"56/56"</f>
        <v>56/56</v>
      </c>
      <c r="K2939" s="1" t="str">
        <f>"2026-07-29 14:20:30"</f>
        <v>2026-07-29 14:20:30</v>
      </c>
      <c r="L2939" s="1" t="str">
        <f>"2023-09-13 17:10:54"</f>
        <v>2023-09-13 17:10:54</v>
      </c>
      <c r="M2939" s="1" t="s">
        <v>4</v>
      </c>
      <c r="N2939" s="1" t="s">
        <v>38</v>
      </c>
      <c r="O2939" s="1" t="s">
        <v>46</v>
      </c>
    </row>
    <row r="2940" spans="2:15" x14ac:dyDescent="0.3">
      <c r="B2940" s="1" t="s">
        <v>23</v>
      </c>
      <c r="C2940" s="1" t="str">
        <f>"5-2차"</f>
        <v>5-2차</v>
      </c>
      <c r="D2940" s="1" t="str">
        <f>"0125D5035M"</f>
        <v>0125D5035M</v>
      </c>
      <c r="E2940" s="1" t="s">
        <v>10</v>
      </c>
      <c r="F2940" s="1" t="str">
        <f>"fde1:103:4:5840:0:0:0:2"</f>
        <v>fde1:103:4:5840:0:0:0:2</v>
      </c>
      <c r="G2940" s="1" t="str">
        <f>"0125D503"</f>
        <v>0125D503</v>
      </c>
      <c r="H2940" s="1" t="str">
        <f>"금호지 9R2R3"</f>
        <v>금호지 9R2R3</v>
      </c>
      <c r="I2940" s="1" t="s">
        <v>15</v>
      </c>
      <c r="J2940" s="1" t="str">
        <f>"39/39"</f>
        <v>39/39</v>
      </c>
      <c r="K2940" s="1" t="str">
        <f>"2026-07-29 14:20:14"</f>
        <v>2026-07-29 14:20:14</v>
      </c>
      <c r="L2940" s="1" t="str">
        <f>"2023-09-13 16:58:47"</f>
        <v>2023-09-13 16:58:47</v>
      </c>
      <c r="M2940" s="1" t="s">
        <v>4</v>
      </c>
      <c r="N2940" s="1" t="s">
        <v>38</v>
      </c>
      <c r="O2940" s="1" t="s">
        <v>46</v>
      </c>
    </row>
    <row r="2941" spans="2:15" x14ac:dyDescent="0.3">
      <c r="B2941" s="1" t="s">
        <v>23</v>
      </c>
      <c r="C2941" s="1" t="str">
        <f>"5-2차"</f>
        <v>5-2차</v>
      </c>
      <c r="D2941" s="1" t="str">
        <f>"0125D5165S"</f>
        <v>0125D5165S</v>
      </c>
      <c r="E2941" s="1" t="s">
        <v>10</v>
      </c>
      <c r="F2941" s="1" t="str">
        <f>"fde1:103:4:5858:0:0:0:2"</f>
        <v>fde1:103:4:5858:0:0:0:2</v>
      </c>
      <c r="G2941" s="1" t="str">
        <f>"0125D516"</f>
        <v>0125D516</v>
      </c>
      <c r="H2941" s="1" t="str">
        <f>"금호지 9R4"</f>
        <v>금호지 9R4</v>
      </c>
      <c r="I2941" s="1" t="s">
        <v>15</v>
      </c>
      <c r="J2941" s="1" t="str">
        <f>"40/40"</f>
        <v>40/40</v>
      </c>
      <c r="K2941" s="1" t="str">
        <f>"2026-07-29 14:20:39"</f>
        <v>2026-07-29 14:20:39</v>
      </c>
      <c r="L2941" s="1" t="str">
        <f>"2023-09-13 16:57:48"</f>
        <v>2023-09-13 16:57:48</v>
      </c>
      <c r="M2941" s="1" t="s">
        <v>4</v>
      </c>
      <c r="N2941" s="1" t="s">
        <v>38</v>
      </c>
      <c r="O2941" s="1" t="s">
        <v>46</v>
      </c>
    </row>
    <row r="2942" spans="2:15" x14ac:dyDescent="0.3">
      <c r="B2942" s="1" t="s">
        <v>23</v>
      </c>
      <c r="C2942" s="1" t="str">
        <f>"5-2차"</f>
        <v>5-2차</v>
      </c>
      <c r="D2942" s="1" t="str">
        <f>"0125D6115M"</f>
        <v>0125D6115M</v>
      </c>
      <c r="E2942" s="1" t="s">
        <v>10</v>
      </c>
      <c r="F2942" s="1" t="str">
        <f>"fde1:103:4:5943:0:0:0:2"</f>
        <v>fde1:103:4:5943:0:0:0:2</v>
      </c>
      <c r="G2942" s="1" t="str">
        <f>"0125D611"</f>
        <v>0125D611</v>
      </c>
      <c r="H2942" s="1" t="str">
        <f>"금호지 9R5"</f>
        <v>금호지 9R5</v>
      </c>
      <c r="I2942" s="1" t="s">
        <v>15</v>
      </c>
      <c r="J2942" s="1" t="str">
        <f>"43/43"</f>
        <v>43/43</v>
      </c>
      <c r="K2942" s="1" t="str">
        <f>"2026-07-29 14:20:30"</f>
        <v>2026-07-29 14:20:30</v>
      </c>
      <c r="L2942" s="1" t="str">
        <f>"2023-09-14 09:33:26"</f>
        <v>2023-09-14 09:33:26</v>
      </c>
      <c r="M2942" s="1" t="s">
        <v>4</v>
      </c>
      <c r="N2942" s="1" t="s">
        <v>38</v>
      </c>
      <c r="O2942" s="1" t="s">
        <v>46</v>
      </c>
    </row>
    <row r="2943" spans="2:15" x14ac:dyDescent="0.3">
      <c r="B2943" s="1" t="s">
        <v>23</v>
      </c>
      <c r="C2943" s="1" t="str">
        <f>"5-1차"</f>
        <v>5-1차</v>
      </c>
      <c r="D2943" s="1" t="str">
        <f>"0125D7035S"</f>
        <v>0125D7035S</v>
      </c>
      <c r="E2943" s="1" t="s">
        <v>10</v>
      </c>
      <c r="F2943" s="1" t="str">
        <f>"fde3:102:1440:6200:0:0:0:c"</f>
        <v>fde3:102:1440:6200:0:0:0:c</v>
      </c>
      <c r="G2943" s="1" t="str">
        <f>"0125D703"</f>
        <v>0125D703</v>
      </c>
      <c r="H2943" s="1" t="str">
        <f>"금호지 9R7"</f>
        <v>금호지 9R7</v>
      </c>
      <c r="I2943" s="1" t="s">
        <v>15</v>
      </c>
      <c r="J2943" s="1" t="str">
        <f>"64/64"</f>
        <v>64/64</v>
      </c>
      <c r="K2943" s="1" t="str">
        <f>"2026-07-29 14:20:30"</f>
        <v>2026-07-29 14:20:30</v>
      </c>
      <c r="L2943" s="1" t="str">
        <f>"2022-11-02 11:53:30"</f>
        <v>2022-11-02 11:53:30</v>
      </c>
      <c r="M2943" s="1" t="s">
        <v>45</v>
      </c>
      <c r="N2943" s="1" t="s">
        <v>38</v>
      </c>
      <c r="O2943" s="1" t="s">
        <v>46</v>
      </c>
    </row>
    <row r="2944" spans="2:15" x14ac:dyDescent="0.3">
      <c r="B2944" s="1" t="s">
        <v>23</v>
      </c>
      <c r="C2944" s="1" t="str">
        <f>"5-1차"</f>
        <v>5-1차</v>
      </c>
      <c r="D2944" s="1" t="str">
        <f>"0125D8815M"</f>
        <v>0125D8815M</v>
      </c>
      <c r="E2944" s="1" t="s">
        <v>10</v>
      </c>
      <c r="F2944" s="1" t="str">
        <f>"fde3:102:1440:6200:0:0:0:d"</f>
        <v>fde3:102:1440:6200:0:0:0:d</v>
      </c>
      <c r="G2944" s="1" t="str">
        <f>"0125D881"</f>
        <v>0125D881</v>
      </c>
      <c r="H2944" s="1" t="str">
        <f>"대현간 50R2"</f>
        <v>대현간 50R2</v>
      </c>
      <c r="I2944" s="1" t="s">
        <v>15</v>
      </c>
      <c r="J2944" s="1" t="str">
        <f>"40/41"</f>
        <v>40/41</v>
      </c>
      <c r="K2944" s="1" t="str">
        <f>"2026-07-29 14:20:16"</f>
        <v>2026-07-29 14:20:16</v>
      </c>
      <c r="L2944" s="1" t="str">
        <f>"2022-11-04 11:49:04"</f>
        <v>2022-11-04 11:49:04</v>
      </c>
      <c r="M2944" s="1" t="s">
        <v>45</v>
      </c>
      <c r="N2944" s="1" t="s">
        <v>38</v>
      </c>
      <c r="O2944" s="1" t="s">
        <v>46</v>
      </c>
    </row>
    <row r="2945" spans="2:15" x14ac:dyDescent="0.3">
      <c r="B2945" s="1" t="s">
        <v>23</v>
      </c>
      <c r="C2945" s="1" t="str">
        <f t="shared" ref="C2945:C2950" si="174">"4차"</f>
        <v>4차</v>
      </c>
      <c r="D2945" s="1" t="str">
        <f>"0125D97245"</f>
        <v>0125D97245</v>
      </c>
      <c r="E2945" s="1" t="str">
        <f>"검침실패(3시간 이상)"</f>
        <v>검침실패(3시간 이상)</v>
      </c>
      <c r="F2945" s="1" t="str">
        <f>"10.12.128.21"</f>
        <v>10.12.128.21</v>
      </c>
      <c r="G2945" s="1" t="str">
        <f>"0125D972"</f>
        <v>0125D972</v>
      </c>
      <c r="H2945" s="1" t="str">
        <f>"금호로 17-1-T1"</f>
        <v>금호로 17-1-T1</v>
      </c>
      <c r="I2945" s="1" t="s">
        <v>17</v>
      </c>
      <c r="J2945" s="1" t="str">
        <f>"0/8"</f>
        <v>0/8</v>
      </c>
      <c r="K2945" s="1" t="str">
        <f>"2026-07-29 13:18:02"</f>
        <v>2026-07-29 13:18:02</v>
      </c>
      <c r="L2945" s="1" t="str">
        <f>"2021-06-24 08:59:14"</f>
        <v>2021-06-24 08:59:14</v>
      </c>
      <c r="M2945" s="1" t="s">
        <v>0</v>
      </c>
      <c r="N2945" s="1" t="s">
        <v>38</v>
      </c>
      <c r="O2945" s="1" t="s">
        <v>46</v>
      </c>
    </row>
    <row r="2946" spans="2:15" x14ac:dyDescent="0.3">
      <c r="B2946" s="1" t="s">
        <v>23</v>
      </c>
      <c r="C2946" s="1" t="str">
        <f t="shared" si="174"/>
        <v>4차</v>
      </c>
      <c r="D2946" s="1" t="str">
        <f>"0125E11244"</f>
        <v>0125E11244</v>
      </c>
      <c r="E2946" s="1" t="s">
        <v>10</v>
      </c>
      <c r="F2946" s="1" t="str">
        <f>"10.11.63.218"</f>
        <v>10.11.63.218</v>
      </c>
      <c r="G2946" s="1" t="str">
        <f>"0125E112"</f>
        <v>0125E112</v>
      </c>
      <c r="H2946" s="1" t="str">
        <f>"대현간 48R8"</f>
        <v>대현간 48R8</v>
      </c>
      <c r="I2946" s="1" t="s">
        <v>8</v>
      </c>
      <c r="J2946" s="1" t="str">
        <f>"12/12"</f>
        <v>12/12</v>
      </c>
      <c r="K2946" s="1" t="str">
        <f>"2026-07-29 13:18:01"</f>
        <v>2026-07-29 13:18:01</v>
      </c>
      <c r="L2946" s="1" t="str">
        <f>"2019-10-29 10:53:05"</f>
        <v>2019-10-29 10:53:05</v>
      </c>
      <c r="M2946" s="1" t="s">
        <v>2</v>
      </c>
      <c r="N2946" s="1" t="s">
        <v>38</v>
      </c>
      <c r="O2946" s="1" t="s">
        <v>46</v>
      </c>
    </row>
    <row r="2947" spans="2:15" x14ac:dyDescent="0.3">
      <c r="B2947" s="1" t="s">
        <v>23</v>
      </c>
      <c r="C2947" s="1" t="str">
        <f t="shared" si="174"/>
        <v>4차</v>
      </c>
      <c r="D2947" s="1" t="str">
        <f>"0125E12A45"</f>
        <v>0125E12A45</v>
      </c>
      <c r="E2947" s="1" t="s">
        <v>10</v>
      </c>
      <c r="F2947" s="1" t="str">
        <f>"10.14.2.181"</f>
        <v>10.14.2.181</v>
      </c>
      <c r="G2947" s="1" t="str">
        <f>"0125E12A"</f>
        <v>0125E12A</v>
      </c>
      <c r="H2947" s="1" t="str">
        <f>"금호로 14-1"</f>
        <v>금호로 14-1</v>
      </c>
      <c r="I2947" s="1" t="s">
        <v>17</v>
      </c>
      <c r="J2947" s="1" t="str">
        <f>"5/5"</f>
        <v>5/5</v>
      </c>
      <c r="K2947" s="1" t="str">
        <f>"2026-07-29 13:18:02"</f>
        <v>2026-07-29 13:18:02</v>
      </c>
      <c r="L2947" s="1" t="str">
        <f>"2024-06-28 10:25:19"</f>
        <v>2024-06-28 10:25:19</v>
      </c>
      <c r="M2947" s="1" t="s">
        <v>3</v>
      </c>
      <c r="N2947" s="1" t="s">
        <v>38</v>
      </c>
      <c r="O2947" s="1" t="s">
        <v>46</v>
      </c>
    </row>
    <row r="2948" spans="2:15" x14ac:dyDescent="0.3">
      <c r="B2948" s="1" t="s">
        <v>23</v>
      </c>
      <c r="C2948" s="1" t="str">
        <f t="shared" si="174"/>
        <v>4차</v>
      </c>
      <c r="D2948" s="1" t="str">
        <f>"0125E67144"</f>
        <v>0125E67144</v>
      </c>
      <c r="E2948" s="1" t="s">
        <v>10</v>
      </c>
      <c r="F2948" s="1" t="str">
        <f>"10.11.69.234"</f>
        <v>10.11.69.234</v>
      </c>
      <c r="G2948" s="1" t="str">
        <f>"0125E671"</f>
        <v>0125E671</v>
      </c>
      <c r="H2948" s="1" t="str">
        <f>"안정지 20"</f>
        <v>안정지 20</v>
      </c>
      <c r="I2948" s="1" t="s">
        <v>8</v>
      </c>
      <c r="J2948" s="1" t="str">
        <f>"30/30"</f>
        <v>30/30</v>
      </c>
      <c r="K2948" s="1" t="str">
        <f>"2026-07-29 13:18:01"</f>
        <v>2026-07-29 13:18:01</v>
      </c>
      <c r="L2948" s="1" t="str">
        <f>"2019-11-04 19:53:05"</f>
        <v>2019-11-04 19:53:05</v>
      </c>
      <c r="M2948" s="1" t="s">
        <v>2</v>
      </c>
      <c r="N2948" s="1" t="s">
        <v>38</v>
      </c>
      <c r="O2948" s="1" t="s">
        <v>46</v>
      </c>
    </row>
    <row r="2949" spans="2:15" x14ac:dyDescent="0.3">
      <c r="B2949" s="1" t="s">
        <v>23</v>
      </c>
      <c r="C2949" s="1" t="str">
        <f t="shared" si="174"/>
        <v>4차</v>
      </c>
      <c r="D2949" s="1" t="str">
        <f>"0125E88144"</f>
        <v>0125E88144</v>
      </c>
      <c r="E2949" s="1" t="s">
        <v>10</v>
      </c>
      <c r="F2949" s="1" t="str">
        <f>"10.11.69.218"</f>
        <v>10.11.69.218</v>
      </c>
      <c r="G2949" s="1" t="str">
        <f>"0125E881"</f>
        <v>0125E881</v>
      </c>
      <c r="H2949" s="1" t="str">
        <f>"안정지 17"</f>
        <v>안정지 17</v>
      </c>
      <c r="I2949" s="1" t="s">
        <v>8</v>
      </c>
      <c r="J2949" s="1" t="str">
        <f>"53/53"</f>
        <v>53/53</v>
      </c>
      <c r="K2949" s="1" t="str">
        <f>"2026-07-29 13:18:01"</f>
        <v>2026-07-29 13:18:01</v>
      </c>
      <c r="L2949" s="1" t="str">
        <f>"2019-11-04 19:53:05"</f>
        <v>2019-11-04 19:53:05</v>
      </c>
      <c r="M2949" s="1" t="s">
        <v>2</v>
      </c>
      <c r="N2949" s="1" t="s">
        <v>38</v>
      </c>
      <c r="O2949" s="1" t="s">
        <v>46</v>
      </c>
    </row>
    <row r="2950" spans="2:15" x14ac:dyDescent="0.3">
      <c r="B2950" s="1" t="s">
        <v>23</v>
      </c>
      <c r="C2950" s="1" t="str">
        <f t="shared" si="174"/>
        <v>4차</v>
      </c>
      <c r="D2950" s="1" t="str">
        <f>"0125E89244"</f>
        <v>0125E89244</v>
      </c>
      <c r="E2950" s="1" t="s">
        <v>10</v>
      </c>
      <c r="F2950" s="1" t="str">
        <f>"10.11.69.226"</f>
        <v>10.11.69.226</v>
      </c>
      <c r="G2950" s="1" t="str">
        <f>"0125E892"</f>
        <v>0125E892</v>
      </c>
      <c r="H2950" s="1" t="str">
        <f>"안정지 17R3"</f>
        <v>안정지 17R3</v>
      </c>
      <c r="I2950" s="1" t="s">
        <v>8</v>
      </c>
      <c r="J2950" s="1" t="str">
        <f>"59/60"</f>
        <v>59/60</v>
      </c>
      <c r="K2950" s="1" t="str">
        <f>"2026-07-29 13:18:01"</f>
        <v>2026-07-29 13:18:01</v>
      </c>
      <c r="L2950" s="1" t="str">
        <f>"2019-11-04 19:43:05"</f>
        <v>2019-11-04 19:43:05</v>
      </c>
      <c r="M2950" s="1" t="s">
        <v>2</v>
      </c>
      <c r="N2950" s="1" t="s">
        <v>38</v>
      </c>
      <c r="O2950" s="1" t="s">
        <v>46</v>
      </c>
    </row>
    <row r="2951" spans="2:15" x14ac:dyDescent="0.3">
      <c r="B2951" s="1" t="s">
        <v>23</v>
      </c>
      <c r="C2951" s="1" t="str">
        <f>"5-2차"</f>
        <v>5-2차</v>
      </c>
      <c r="D2951" s="1" t="str">
        <f>"0125E9415S"</f>
        <v>0125E9415S</v>
      </c>
      <c r="E2951" s="1" t="s">
        <v>10</v>
      </c>
      <c r="F2951" s="1" t="str">
        <f>"fde1:103:4:58b0:0:0:0:2"</f>
        <v>fde1:103:4:58b0:0:0:0:2</v>
      </c>
      <c r="G2951" s="1" t="str">
        <f>"0125E941"</f>
        <v>0125E941</v>
      </c>
      <c r="H2951" s="1" t="str">
        <f>"안정지 12L6R10"</f>
        <v>안정지 12L6R10</v>
      </c>
      <c r="I2951" s="1" t="s">
        <v>15</v>
      </c>
      <c r="J2951" s="1" t="str">
        <f>"80/80"</f>
        <v>80/80</v>
      </c>
      <c r="K2951" s="1" t="str">
        <f>"2026-07-29 14:20:15"</f>
        <v>2026-07-29 14:20:15</v>
      </c>
      <c r="L2951" s="1" t="str">
        <f>"2023-09-14 09:46:33"</f>
        <v>2023-09-14 09:46:33</v>
      </c>
      <c r="M2951" s="1" t="s">
        <v>4</v>
      </c>
      <c r="N2951" s="1" t="s">
        <v>38</v>
      </c>
      <c r="O2951" s="1" t="s">
        <v>46</v>
      </c>
    </row>
    <row r="2952" spans="2:15" x14ac:dyDescent="0.3">
      <c r="B2952" s="1" t="s">
        <v>23</v>
      </c>
      <c r="C2952" s="1" t="str">
        <f>"4차"</f>
        <v>4차</v>
      </c>
      <c r="D2952" s="1" t="str">
        <f>"0125E98139"</f>
        <v>0125E98139</v>
      </c>
      <c r="E2952" s="1" t="s">
        <v>10</v>
      </c>
      <c r="F2952" s="1" t="str">
        <f>"10.11.79.170"</f>
        <v>10.11.79.170</v>
      </c>
      <c r="G2952" s="1" t="str">
        <f>"0125E981"</f>
        <v>0125E981</v>
      </c>
      <c r="H2952" s="1" t="str">
        <f>"안정지 16"</f>
        <v>안정지 16</v>
      </c>
      <c r="I2952" s="1" t="s">
        <v>8</v>
      </c>
      <c r="J2952" s="1" t="str">
        <f>"151/154"</f>
        <v>151/154</v>
      </c>
      <c r="K2952" s="1" t="str">
        <f>"2026-07-29 13:18:01"</f>
        <v>2026-07-29 13:18:01</v>
      </c>
      <c r="L2952" s="1" t="str">
        <f>"2018-09-14 14:29:56"</f>
        <v>2018-09-14 14:29:56</v>
      </c>
      <c r="M2952" s="1" t="s">
        <v>2</v>
      </c>
      <c r="N2952" s="1" t="s">
        <v>38</v>
      </c>
      <c r="O2952" s="1" t="s">
        <v>46</v>
      </c>
    </row>
    <row r="2953" spans="2:15" x14ac:dyDescent="0.3">
      <c r="B2953" s="1" t="s">
        <v>23</v>
      </c>
      <c r="C2953" s="1" t="str">
        <f>"4차"</f>
        <v>4차</v>
      </c>
      <c r="D2953" s="1" t="str">
        <f>"0125F05144"</f>
        <v>0125F05144</v>
      </c>
      <c r="E2953" s="1" t="s">
        <v>10</v>
      </c>
      <c r="F2953" s="1" t="str">
        <f>"10.11.65.82"</f>
        <v>10.11.65.82</v>
      </c>
      <c r="G2953" s="1" t="str">
        <f>"0125F051"</f>
        <v>0125F051</v>
      </c>
      <c r="H2953" s="1" t="str">
        <f>"안정지 12L6R6"</f>
        <v>안정지 12L6R6</v>
      </c>
      <c r="I2953" s="1" t="s">
        <v>8</v>
      </c>
      <c r="J2953" s="1" t="str">
        <f>"30/30"</f>
        <v>30/30</v>
      </c>
      <c r="K2953" s="1" t="str">
        <f>"2026-07-29 13:18:01"</f>
        <v>2026-07-29 13:18:01</v>
      </c>
      <c r="L2953" s="1" t="str">
        <f>"2019-11-04 19:53:05"</f>
        <v>2019-11-04 19:53:05</v>
      </c>
      <c r="M2953" s="1" t="s">
        <v>2</v>
      </c>
      <c r="N2953" s="1" t="s">
        <v>38</v>
      </c>
      <c r="O2953" s="1" t="s">
        <v>46</v>
      </c>
    </row>
    <row r="2954" spans="2:15" x14ac:dyDescent="0.3">
      <c r="B2954" s="1" t="s">
        <v>23</v>
      </c>
      <c r="C2954" s="1" t="str">
        <f>"4차"</f>
        <v>4차</v>
      </c>
      <c r="D2954" s="1" t="str">
        <f>"0125F08139"</f>
        <v>0125F08139</v>
      </c>
      <c r="E2954" s="1" t="s">
        <v>10</v>
      </c>
      <c r="F2954" s="1" t="str">
        <f>"10.12.137.28"</f>
        <v>10.12.137.28</v>
      </c>
      <c r="G2954" s="1" t="str">
        <f>"0125F081"</f>
        <v>0125F081</v>
      </c>
      <c r="H2954" s="1" t="str">
        <f>"안정지 15"</f>
        <v>안정지 15</v>
      </c>
      <c r="I2954" s="1" t="s">
        <v>8</v>
      </c>
      <c r="J2954" s="1" t="str">
        <f>"89/93"</f>
        <v>89/93</v>
      </c>
      <c r="K2954" s="1" t="str">
        <f>"2026-07-29 13:18:02"</f>
        <v>2026-07-29 13:18:02</v>
      </c>
      <c r="L2954" s="1" t="str">
        <f>"2021-07-28 16:06:48"</f>
        <v>2021-07-28 16:06:48</v>
      </c>
      <c r="M2954" s="1" t="s">
        <v>0</v>
      </c>
      <c r="N2954" s="1" t="s">
        <v>38</v>
      </c>
      <c r="O2954" s="1" t="s">
        <v>46</v>
      </c>
    </row>
    <row r="2955" spans="2:15" x14ac:dyDescent="0.3">
      <c r="B2955" s="1" t="s">
        <v>23</v>
      </c>
      <c r="C2955" s="1" t="str">
        <f>"4차"</f>
        <v>4차</v>
      </c>
      <c r="D2955" s="1" t="str">
        <f>"0125F11745"</f>
        <v>0125F11745</v>
      </c>
      <c r="E2955" s="1" t="s">
        <v>10</v>
      </c>
      <c r="F2955" s="1" t="str">
        <f>"10.14.15.54"</f>
        <v>10.14.15.54</v>
      </c>
      <c r="G2955" s="1" t="str">
        <f>"0125F117"</f>
        <v>0125F117</v>
      </c>
      <c r="H2955" s="1" t="str">
        <f>"응봉로 40-1"</f>
        <v>응봉로 40-1</v>
      </c>
      <c r="I2955" s="1" t="s">
        <v>17</v>
      </c>
      <c r="J2955" s="1" t="str">
        <f>"15/16"</f>
        <v>15/16</v>
      </c>
      <c r="K2955" s="1" t="str">
        <f>"2026-07-29 13:18:02"</f>
        <v>2026-07-29 13:18:02</v>
      </c>
      <c r="L2955" s="1" t="str">
        <f>"2021-06-23 10:14:37"</f>
        <v>2021-06-23 10:14:37</v>
      </c>
      <c r="M2955" s="1" t="s">
        <v>3</v>
      </c>
      <c r="N2955" s="1" t="s">
        <v>38</v>
      </c>
      <c r="O2955" s="1" t="s">
        <v>46</v>
      </c>
    </row>
    <row r="2956" spans="2:15" x14ac:dyDescent="0.3">
      <c r="B2956" s="1" t="s">
        <v>23</v>
      </c>
      <c r="C2956" s="1" t="str">
        <f>"5-1차"</f>
        <v>5-1차</v>
      </c>
      <c r="D2956" s="1" t="str">
        <f>"0125F1545S"</f>
        <v>0125F1545S</v>
      </c>
      <c r="E2956" s="1" t="s">
        <v>10</v>
      </c>
      <c r="F2956" s="1" t="str">
        <f>"fde3:102:1440:a200:0:0:0:3"</f>
        <v>fde3:102:1440:a200:0:0:0:3</v>
      </c>
      <c r="G2956" s="1" t="str">
        <f>"0125F154"</f>
        <v>0125F154</v>
      </c>
      <c r="H2956" s="1" t="str">
        <f>"안정지 12L6R5R1"</f>
        <v>안정지 12L6R5R1</v>
      </c>
      <c r="I2956" s="1" t="s">
        <v>15</v>
      </c>
      <c r="J2956" s="1" t="str">
        <f>"47/47"</f>
        <v>47/47</v>
      </c>
      <c r="K2956" s="1" t="str">
        <f>"2026-07-29 14:20:01"</f>
        <v>2026-07-29 14:20:01</v>
      </c>
      <c r="L2956" s="1" t="str">
        <f>"2022-11-07 14:05:51"</f>
        <v>2022-11-07 14:05:51</v>
      </c>
      <c r="M2956" s="1" t="s">
        <v>45</v>
      </c>
      <c r="N2956" s="1" t="s">
        <v>38</v>
      </c>
      <c r="O2956" s="1" t="s">
        <v>46</v>
      </c>
    </row>
    <row r="2957" spans="2:15" x14ac:dyDescent="0.3">
      <c r="B2957" s="1" t="s">
        <v>23</v>
      </c>
      <c r="C2957" s="1" t="str">
        <f t="shared" ref="C2957:C2990" si="175">"4차"</f>
        <v>4차</v>
      </c>
      <c r="D2957" s="1" t="str">
        <f>"0125F18144"</f>
        <v>0125F18144</v>
      </c>
      <c r="E2957" s="1" t="s">
        <v>10</v>
      </c>
      <c r="F2957" s="1" t="str">
        <f>"10.11.69.210"</f>
        <v>10.11.69.210</v>
      </c>
      <c r="G2957" s="1" t="str">
        <f>"0125F181"</f>
        <v>0125F181</v>
      </c>
      <c r="H2957" s="1" t="str">
        <f>"안정지 13"</f>
        <v>안정지 13</v>
      </c>
      <c r="I2957" s="1" t="s">
        <v>8</v>
      </c>
      <c r="J2957" s="1" t="str">
        <f>"39/53"</f>
        <v>39/53</v>
      </c>
      <c r="K2957" s="1" t="str">
        <f>"2026-07-29 13:18:01"</f>
        <v>2026-07-29 13:18:01</v>
      </c>
      <c r="L2957" s="1" t="str">
        <f>"2019-11-04 19:53:05"</f>
        <v>2019-11-04 19:53:05</v>
      </c>
      <c r="M2957" s="1" t="s">
        <v>2</v>
      </c>
      <c r="N2957" s="1" t="s">
        <v>38</v>
      </c>
      <c r="O2957" s="1" t="s">
        <v>46</v>
      </c>
    </row>
    <row r="2958" spans="2:15" x14ac:dyDescent="0.3">
      <c r="B2958" s="1" t="s">
        <v>23</v>
      </c>
      <c r="C2958" s="1" t="str">
        <f t="shared" si="175"/>
        <v>4차</v>
      </c>
      <c r="D2958" s="1" t="str">
        <f>"0125F23344"</f>
        <v>0125F23344</v>
      </c>
      <c r="E2958" s="1" t="s">
        <v>10</v>
      </c>
      <c r="F2958" s="1" t="str">
        <f>"10.11.66.74"</f>
        <v>10.11.66.74</v>
      </c>
      <c r="G2958" s="1" t="str">
        <f>"0125F233"</f>
        <v>0125F233</v>
      </c>
      <c r="H2958" s="1" t="str">
        <f>"응봉로 26R2"</f>
        <v>응봉로 26R2</v>
      </c>
      <c r="I2958" s="1" t="s">
        <v>8</v>
      </c>
      <c r="J2958" s="1" t="str">
        <f>"11/11"</f>
        <v>11/11</v>
      </c>
      <c r="K2958" s="1" t="str">
        <f>"2026-07-29 13:18:01"</f>
        <v>2026-07-29 13:18:01</v>
      </c>
      <c r="L2958" s="1" t="str">
        <f>"2019-11-04 19:53:04"</f>
        <v>2019-11-04 19:53:04</v>
      </c>
      <c r="M2958" s="1" t="s">
        <v>2</v>
      </c>
      <c r="N2958" s="1" t="s">
        <v>38</v>
      </c>
      <c r="O2958" s="1" t="s">
        <v>46</v>
      </c>
    </row>
    <row r="2959" spans="2:15" x14ac:dyDescent="0.3">
      <c r="B2959" s="1" t="s">
        <v>23</v>
      </c>
      <c r="C2959" s="1" t="str">
        <f t="shared" si="175"/>
        <v>4차</v>
      </c>
      <c r="D2959" s="1" t="str">
        <f>"0125F26144"</f>
        <v>0125F26144</v>
      </c>
      <c r="E2959" s="1" t="s">
        <v>10</v>
      </c>
      <c r="F2959" s="1" t="str">
        <f>"10.11.66.162"</f>
        <v>10.11.66.162</v>
      </c>
      <c r="G2959" s="1" t="str">
        <f>"0125F261"</f>
        <v>0125F261</v>
      </c>
      <c r="H2959" s="1" t="str">
        <f>"안정지 12L6R2"</f>
        <v>안정지 12L6R2</v>
      </c>
      <c r="I2959" s="1" t="s">
        <v>8</v>
      </c>
      <c r="J2959" s="1" t="str">
        <f>"44/45"</f>
        <v>44/45</v>
      </c>
      <c r="K2959" s="1" t="str">
        <f>"2026-07-29 13:18:01"</f>
        <v>2026-07-29 13:18:01</v>
      </c>
      <c r="L2959" s="1" t="str">
        <f>"2019-11-04 19:53:05"</f>
        <v>2019-11-04 19:53:05</v>
      </c>
      <c r="M2959" s="1" t="s">
        <v>2</v>
      </c>
      <c r="N2959" s="1" t="s">
        <v>38</v>
      </c>
      <c r="O2959" s="1" t="s">
        <v>46</v>
      </c>
    </row>
    <row r="2960" spans="2:15" x14ac:dyDescent="0.3">
      <c r="B2960" s="1" t="s">
        <v>23</v>
      </c>
      <c r="C2960" s="1" t="str">
        <f t="shared" si="175"/>
        <v>4차</v>
      </c>
      <c r="D2960" s="1" t="str">
        <f>"0125F29344"</f>
        <v>0125F29344</v>
      </c>
      <c r="E2960" s="1" t="s">
        <v>10</v>
      </c>
      <c r="F2960" s="1" t="str">
        <f>"10.11.69.170"</f>
        <v>10.11.69.170</v>
      </c>
      <c r="G2960" s="1" t="str">
        <f>"0125F293"</f>
        <v>0125F293</v>
      </c>
      <c r="H2960" s="1" t="str">
        <f>"안정지 12R1"</f>
        <v>안정지 12R1</v>
      </c>
      <c r="I2960" s="1" t="s">
        <v>8</v>
      </c>
      <c r="J2960" s="1" t="str">
        <f>"18/18"</f>
        <v>18/18</v>
      </c>
      <c r="K2960" s="1" t="str">
        <f>"2026-07-29 13:18:01"</f>
        <v>2026-07-29 13:18:01</v>
      </c>
      <c r="L2960" s="1" t="str">
        <f>"2019-11-04 19:53:05"</f>
        <v>2019-11-04 19:53:05</v>
      </c>
      <c r="M2960" s="1" t="s">
        <v>2</v>
      </c>
      <c r="N2960" s="1" t="s">
        <v>38</v>
      </c>
      <c r="O2960" s="1" t="s">
        <v>46</v>
      </c>
    </row>
    <row r="2961" spans="2:15" x14ac:dyDescent="0.3">
      <c r="B2961" s="1" t="s">
        <v>23</v>
      </c>
      <c r="C2961" s="1" t="str">
        <f t="shared" si="175"/>
        <v>4차</v>
      </c>
      <c r="D2961" s="1" t="str">
        <f>"0125F29444"</f>
        <v>0125F29444</v>
      </c>
      <c r="E2961" s="1" t="s">
        <v>10</v>
      </c>
      <c r="F2961" s="1" t="str">
        <f>"10.11.69.106"</f>
        <v>10.11.69.106</v>
      </c>
      <c r="G2961" s="1" t="str">
        <f>"0125F294"</f>
        <v>0125F294</v>
      </c>
      <c r="H2961" s="1" t="str">
        <f>"안정지 12L1"</f>
        <v>안정지 12L1</v>
      </c>
      <c r="I2961" s="1" t="s">
        <v>8</v>
      </c>
      <c r="J2961" s="1" t="str">
        <f>"32/32"</f>
        <v>32/32</v>
      </c>
      <c r="K2961" s="1" t="str">
        <f>"2026-07-29 13:18:01"</f>
        <v>2026-07-29 13:18:01</v>
      </c>
      <c r="L2961" s="1" t="str">
        <f>"2019-11-04 19:43:04"</f>
        <v>2019-11-04 19:43:04</v>
      </c>
      <c r="M2961" s="1" t="s">
        <v>2</v>
      </c>
      <c r="N2961" s="1" t="s">
        <v>38</v>
      </c>
      <c r="O2961" s="1" t="s">
        <v>46</v>
      </c>
    </row>
    <row r="2962" spans="2:15" x14ac:dyDescent="0.3">
      <c r="B2962" s="1" t="s">
        <v>23</v>
      </c>
      <c r="C2962" s="1" t="str">
        <f t="shared" si="175"/>
        <v>4차</v>
      </c>
      <c r="D2962" s="1" t="str">
        <f>"0125F34241"</f>
        <v>0125F34241</v>
      </c>
      <c r="E2962" s="1" t="s">
        <v>10</v>
      </c>
      <c r="F2962" s="1" t="str">
        <f>"10.14.15.110"</f>
        <v>10.14.15.110</v>
      </c>
      <c r="G2962" s="1" t="str">
        <f>"0125F342"</f>
        <v>0125F342</v>
      </c>
      <c r="H2962" s="1" t="str">
        <f>"안정지 12L11"</f>
        <v>안정지 12L11</v>
      </c>
      <c r="I2962" s="1" t="s">
        <v>17</v>
      </c>
      <c r="J2962" s="1" t="str">
        <f>"43/54"</f>
        <v>43/54</v>
      </c>
      <c r="K2962" s="1" t="str">
        <f>"2026-07-29 13:18:02"</f>
        <v>2026-07-29 13:18:02</v>
      </c>
      <c r="L2962" s="1" t="str">
        <f>"2021-10-14 12:39:38"</f>
        <v>2021-10-14 12:39:38</v>
      </c>
      <c r="M2962" s="1" t="s">
        <v>3</v>
      </c>
      <c r="N2962" s="1" t="s">
        <v>38</v>
      </c>
      <c r="O2962" s="1" t="s">
        <v>46</v>
      </c>
    </row>
    <row r="2963" spans="2:15" x14ac:dyDescent="0.3">
      <c r="B2963" s="1" t="s">
        <v>23</v>
      </c>
      <c r="C2963" s="1" t="str">
        <f t="shared" si="175"/>
        <v>4차</v>
      </c>
      <c r="D2963" s="1" t="str">
        <f>"0125F35244"</f>
        <v>0125F35244</v>
      </c>
      <c r="E2963" s="1" t="s">
        <v>10</v>
      </c>
      <c r="F2963" s="1" t="str">
        <f>"10.11.69.154"</f>
        <v>10.11.69.154</v>
      </c>
      <c r="G2963" s="1" t="str">
        <f>"0125F352"</f>
        <v>0125F352</v>
      </c>
      <c r="H2963" s="1" t="str">
        <f>"안정지 12L9"</f>
        <v>안정지 12L9</v>
      </c>
      <c r="I2963" s="1" t="s">
        <v>8</v>
      </c>
      <c r="J2963" s="1" t="str">
        <f>"30/30"</f>
        <v>30/30</v>
      </c>
      <c r="K2963" s="1" t="str">
        <f t="shared" ref="K2963:K2973" si="176">"2026-07-29 13:18:01"</f>
        <v>2026-07-29 13:18:01</v>
      </c>
      <c r="L2963" s="1" t="str">
        <f>"2019-12-11 15:42:06"</f>
        <v>2019-12-11 15:42:06</v>
      </c>
      <c r="M2963" s="1" t="s">
        <v>2</v>
      </c>
      <c r="N2963" s="1" t="s">
        <v>38</v>
      </c>
      <c r="O2963" s="1" t="s">
        <v>46</v>
      </c>
    </row>
    <row r="2964" spans="2:15" x14ac:dyDescent="0.3">
      <c r="B2964" s="1" t="s">
        <v>23</v>
      </c>
      <c r="C2964" s="1" t="str">
        <f t="shared" si="175"/>
        <v>4차</v>
      </c>
      <c r="D2964" s="1" t="str">
        <f>"0125F36244"</f>
        <v>0125F36244</v>
      </c>
      <c r="E2964" s="1" t="s">
        <v>10</v>
      </c>
      <c r="F2964" s="1" t="str">
        <f>"10.11.69.130"</f>
        <v>10.11.69.130</v>
      </c>
      <c r="G2964" s="1" t="str">
        <f>"0125F362"</f>
        <v>0125F362</v>
      </c>
      <c r="H2964" s="1" t="str">
        <f>"안정지 12L6R1"</f>
        <v>안정지 12L6R1</v>
      </c>
      <c r="I2964" s="1" t="s">
        <v>8</v>
      </c>
      <c r="J2964" s="1" t="str">
        <f>"47/47"</f>
        <v>47/47</v>
      </c>
      <c r="K2964" s="1" t="str">
        <f t="shared" si="176"/>
        <v>2026-07-29 13:18:01</v>
      </c>
      <c r="L2964" s="1" t="str">
        <f>"2019-11-04 19:43:05"</f>
        <v>2019-11-04 19:43:05</v>
      </c>
      <c r="M2964" s="1" t="s">
        <v>2</v>
      </c>
      <c r="N2964" s="1" t="s">
        <v>38</v>
      </c>
      <c r="O2964" s="1" t="s">
        <v>46</v>
      </c>
    </row>
    <row r="2965" spans="2:15" x14ac:dyDescent="0.3">
      <c r="B2965" s="1" t="s">
        <v>23</v>
      </c>
      <c r="C2965" s="1" t="str">
        <f t="shared" si="175"/>
        <v>4차</v>
      </c>
      <c r="D2965" s="1" t="str">
        <f>"0125F36344"</f>
        <v>0125F36344</v>
      </c>
      <c r="E2965" s="1" t="s">
        <v>10</v>
      </c>
      <c r="F2965" s="1" t="str">
        <f>"10.11.69.138"</f>
        <v>10.11.69.138</v>
      </c>
      <c r="G2965" s="1" t="str">
        <f>"0125F363"</f>
        <v>0125F363</v>
      </c>
      <c r="H2965" s="1" t="str">
        <f>"안정지 12L7"</f>
        <v>안정지 12L7</v>
      </c>
      <c r="I2965" s="1" t="s">
        <v>8</v>
      </c>
      <c r="J2965" s="1" t="str">
        <f>"55/55"</f>
        <v>55/55</v>
      </c>
      <c r="K2965" s="1" t="str">
        <f t="shared" si="176"/>
        <v>2026-07-29 13:18:01</v>
      </c>
      <c r="L2965" s="1" t="str">
        <f>"2019-11-04 19:53:05"</f>
        <v>2019-11-04 19:53:05</v>
      </c>
      <c r="M2965" s="1" t="s">
        <v>2</v>
      </c>
      <c r="N2965" s="1" t="s">
        <v>38</v>
      </c>
      <c r="O2965" s="1" t="s">
        <v>46</v>
      </c>
    </row>
    <row r="2966" spans="2:15" x14ac:dyDescent="0.3">
      <c r="B2966" s="1" t="s">
        <v>23</v>
      </c>
      <c r="C2966" s="1" t="str">
        <f t="shared" si="175"/>
        <v>4차</v>
      </c>
      <c r="D2966" s="1" t="str">
        <f>"0125F38344"</f>
        <v>0125F38344</v>
      </c>
      <c r="E2966" s="1" t="s">
        <v>10</v>
      </c>
      <c r="F2966" s="1" t="str">
        <f>"10.11.69.114"</f>
        <v>10.11.69.114</v>
      </c>
      <c r="G2966" s="1" t="str">
        <f>"0125F383"</f>
        <v>0125F383</v>
      </c>
      <c r="H2966" s="1" t="str">
        <f>"안정지 12L3"</f>
        <v>안정지 12L3</v>
      </c>
      <c r="I2966" s="1" t="s">
        <v>8</v>
      </c>
      <c r="J2966" s="1" t="str">
        <f>"89/89"</f>
        <v>89/89</v>
      </c>
      <c r="K2966" s="1" t="str">
        <f t="shared" si="176"/>
        <v>2026-07-29 13:18:01</v>
      </c>
      <c r="L2966" s="1" t="str">
        <f>"2019-11-04 19:43:07"</f>
        <v>2019-11-04 19:43:07</v>
      </c>
      <c r="M2966" s="1" t="s">
        <v>2</v>
      </c>
      <c r="N2966" s="1" t="s">
        <v>38</v>
      </c>
      <c r="O2966" s="1" t="s">
        <v>46</v>
      </c>
    </row>
    <row r="2967" spans="2:15" x14ac:dyDescent="0.3">
      <c r="B2967" s="1" t="s">
        <v>23</v>
      </c>
      <c r="C2967" s="1" t="str">
        <f t="shared" si="175"/>
        <v>4차</v>
      </c>
      <c r="D2967" s="1" t="str">
        <f>"0125F41241"</f>
        <v>0125F41241</v>
      </c>
      <c r="E2967" s="1" t="s">
        <v>10</v>
      </c>
      <c r="F2967" s="1" t="str">
        <f>"10.12.130.196"</f>
        <v>10.12.130.196</v>
      </c>
      <c r="G2967" s="1" t="str">
        <f>"0125F412"</f>
        <v>0125F412</v>
      </c>
      <c r="H2967" s="1" t="str">
        <f>"응봉로 40L6"</f>
        <v>응봉로 40L6</v>
      </c>
      <c r="I2967" s="1" t="s">
        <v>17</v>
      </c>
      <c r="J2967" s="1" t="str">
        <f>"26/32"</f>
        <v>26/32</v>
      </c>
      <c r="K2967" s="1" t="str">
        <f t="shared" si="176"/>
        <v>2026-07-29 13:18:01</v>
      </c>
      <c r="L2967" s="1" t="str">
        <f>"2021-10-14 11:29:56"</f>
        <v>2021-10-14 11:29:56</v>
      </c>
      <c r="M2967" s="1" t="s">
        <v>0</v>
      </c>
      <c r="N2967" s="1" t="s">
        <v>38</v>
      </c>
      <c r="O2967" s="1" t="s">
        <v>46</v>
      </c>
    </row>
    <row r="2968" spans="2:15" x14ac:dyDescent="0.3">
      <c r="B2968" s="1" t="s">
        <v>23</v>
      </c>
      <c r="C2968" s="1" t="str">
        <f t="shared" si="175"/>
        <v>4차</v>
      </c>
      <c r="D2968" s="1" t="str">
        <f>"0125F45444"</f>
        <v>0125F45444</v>
      </c>
      <c r="E2968" s="1" t="s">
        <v>10</v>
      </c>
      <c r="F2968" s="1" t="str">
        <f>"10.11.69.146"</f>
        <v>10.11.69.146</v>
      </c>
      <c r="G2968" s="1" t="str">
        <f>"0125F454"</f>
        <v>0125F454</v>
      </c>
      <c r="H2968" s="1" t="str">
        <f>"안정지 12L8R1"</f>
        <v>안정지 12L8R1</v>
      </c>
      <c r="I2968" s="1" t="s">
        <v>8</v>
      </c>
      <c r="J2968" s="1" t="str">
        <f>"123/124"</f>
        <v>123/124</v>
      </c>
      <c r="K2968" s="1" t="str">
        <f t="shared" si="176"/>
        <v>2026-07-29 13:18:01</v>
      </c>
      <c r="L2968" s="1" t="str">
        <f>"2019-11-04 19:53:05"</f>
        <v>2019-11-04 19:53:05</v>
      </c>
      <c r="M2968" s="1" t="s">
        <v>2</v>
      </c>
      <c r="N2968" s="1" t="s">
        <v>38</v>
      </c>
      <c r="O2968" s="1" t="s">
        <v>46</v>
      </c>
    </row>
    <row r="2969" spans="2:15" x14ac:dyDescent="0.3">
      <c r="B2969" s="1" t="s">
        <v>23</v>
      </c>
      <c r="C2969" s="1" t="str">
        <f t="shared" si="175"/>
        <v>4차</v>
      </c>
      <c r="D2969" s="1" t="str">
        <f>"0125F47144"</f>
        <v>0125F47144</v>
      </c>
      <c r="E2969" s="1" t="s">
        <v>10</v>
      </c>
      <c r="F2969" s="1" t="str">
        <f>"10.11.69.122"</f>
        <v>10.11.69.122</v>
      </c>
      <c r="G2969" s="1" t="str">
        <f>"0125F471"</f>
        <v>0125F471</v>
      </c>
      <c r="H2969" s="1" t="str">
        <f>"안정지 12L5L1"</f>
        <v>안정지 12L5L1</v>
      </c>
      <c r="I2969" s="1" t="s">
        <v>8</v>
      </c>
      <c r="J2969" s="1" t="str">
        <f>"65/66"</f>
        <v>65/66</v>
      </c>
      <c r="K2969" s="1" t="str">
        <f t="shared" si="176"/>
        <v>2026-07-29 13:18:01</v>
      </c>
      <c r="L2969" s="1" t="str">
        <f>"2021-07-27 12:18:21"</f>
        <v>2021-07-27 12:18:21</v>
      </c>
      <c r="M2969" s="1" t="s">
        <v>2</v>
      </c>
      <c r="N2969" s="1" t="s">
        <v>38</v>
      </c>
      <c r="O2969" s="1" t="s">
        <v>46</v>
      </c>
    </row>
    <row r="2970" spans="2:15" x14ac:dyDescent="0.3">
      <c r="B2970" s="1" t="s">
        <v>23</v>
      </c>
      <c r="C2970" s="1" t="str">
        <f t="shared" si="175"/>
        <v>4차</v>
      </c>
      <c r="D2970" s="1" t="str">
        <f>"0125F47344"</f>
        <v>0125F47344</v>
      </c>
      <c r="E2970" s="1" t="s">
        <v>10</v>
      </c>
      <c r="F2970" s="1" t="str">
        <f>"10.11.65.58"</f>
        <v>10.11.65.58</v>
      </c>
      <c r="G2970" s="1" t="str">
        <f>"0125F473"</f>
        <v>0125F473</v>
      </c>
      <c r="H2970" s="1" t="str">
        <f>"대현간 12R5"</f>
        <v>대현간 12R5</v>
      </c>
      <c r="I2970" s="1" t="s">
        <v>8</v>
      </c>
      <c r="J2970" s="1" t="str">
        <f>"70/72"</f>
        <v>70/72</v>
      </c>
      <c r="K2970" s="1" t="str">
        <f t="shared" si="176"/>
        <v>2026-07-29 13:18:01</v>
      </c>
      <c r="L2970" s="1" t="str">
        <f>"2019-10-29 10:53:05"</f>
        <v>2019-10-29 10:53:05</v>
      </c>
      <c r="M2970" s="1" t="s">
        <v>2</v>
      </c>
      <c r="N2970" s="1" t="s">
        <v>38</v>
      </c>
      <c r="O2970" s="1" t="s">
        <v>46</v>
      </c>
    </row>
    <row r="2971" spans="2:15" x14ac:dyDescent="0.3">
      <c r="B2971" s="1" t="s">
        <v>23</v>
      </c>
      <c r="C2971" s="1" t="str">
        <f t="shared" si="175"/>
        <v>4차</v>
      </c>
      <c r="D2971" s="1" t="str">
        <f>"0125F49344"</f>
        <v>0125F49344</v>
      </c>
      <c r="E2971" s="1" t="s">
        <v>10</v>
      </c>
      <c r="F2971" s="1" t="str">
        <f>"10.11.70.42"</f>
        <v>10.11.70.42</v>
      </c>
      <c r="G2971" s="1" t="str">
        <f>"0125F493"</f>
        <v>0125F493</v>
      </c>
      <c r="H2971" s="1" t="str">
        <f>"안정지 8L1"</f>
        <v>안정지 8L1</v>
      </c>
      <c r="I2971" s="1" t="s">
        <v>8</v>
      </c>
      <c r="J2971" s="1" t="str">
        <f>"21/21"</f>
        <v>21/21</v>
      </c>
      <c r="K2971" s="1" t="str">
        <f t="shared" si="176"/>
        <v>2026-07-29 13:18:01</v>
      </c>
      <c r="L2971" s="1" t="str">
        <f>"2019-11-04 19:43:04"</f>
        <v>2019-11-04 19:43:04</v>
      </c>
      <c r="M2971" s="1" t="s">
        <v>2</v>
      </c>
      <c r="N2971" s="1" t="s">
        <v>38</v>
      </c>
      <c r="O2971" s="1" t="s">
        <v>46</v>
      </c>
    </row>
    <row r="2972" spans="2:15" x14ac:dyDescent="0.3">
      <c r="B2972" s="1" t="s">
        <v>23</v>
      </c>
      <c r="C2972" s="1" t="str">
        <f t="shared" si="175"/>
        <v>4차</v>
      </c>
      <c r="D2972" s="1" t="str">
        <f>"0125F56144"</f>
        <v>0125F56144</v>
      </c>
      <c r="E2972" s="1" t="s">
        <v>10</v>
      </c>
      <c r="F2972" s="1" t="str">
        <f>"10.11.65.50"</f>
        <v>10.11.65.50</v>
      </c>
      <c r="G2972" s="1" t="str">
        <f>"0125F561"</f>
        <v>0125F561</v>
      </c>
      <c r="H2972" s="1" t="str">
        <f>"대현간 12R3"</f>
        <v>대현간 12R3</v>
      </c>
      <c r="I2972" s="1" t="s">
        <v>8</v>
      </c>
      <c r="J2972" s="1" t="str">
        <f>"30/30"</f>
        <v>30/30</v>
      </c>
      <c r="K2972" s="1" t="str">
        <f t="shared" si="176"/>
        <v>2026-07-29 13:18:01</v>
      </c>
      <c r="L2972" s="1" t="str">
        <f>"2019-10-29 10:43:08"</f>
        <v>2019-10-29 10:43:08</v>
      </c>
      <c r="M2972" s="1" t="s">
        <v>2</v>
      </c>
      <c r="N2972" s="1" t="s">
        <v>38</v>
      </c>
      <c r="O2972" s="1" t="s">
        <v>46</v>
      </c>
    </row>
    <row r="2973" spans="2:15" x14ac:dyDescent="0.3">
      <c r="B2973" s="1" t="s">
        <v>23</v>
      </c>
      <c r="C2973" s="1" t="str">
        <f t="shared" si="175"/>
        <v>4차</v>
      </c>
      <c r="D2973" s="1" t="str">
        <f>"0125F58244"</f>
        <v>0125F58244</v>
      </c>
      <c r="E2973" s="1" t="s">
        <v>10</v>
      </c>
      <c r="F2973" s="1" t="str">
        <f>"10.11.65.26"</f>
        <v>10.11.65.26</v>
      </c>
      <c r="G2973" s="1" t="str">
        <f>"0125F582"</f>
        <v>0125F582</v>
      </c>
      <c r="H2973" s="1" t="str">
        <f>"대현간 11R4"</f>
        <v>대현간 11R4</v>
      </c>
      <c r="I2973" s="1" t="s">
        <v>8</v>
      </c>
      <c r="J2973" s="1" t="str">
        <f>"49/49"</f>
        <v>49/49</v>
      </c>
      <c r="K2973" s="1" t="str">
        <f t="shared" si="176"/>
        <v>2026-07-29 13:18:01</v>
      </c>
      <c r="L2973" s="1" t="str">
        <f>"2019-10-29 10:43:05"</f>
        <v>2019-10-29 10:43:05</v>
      </c>
      <c r="M2973" s="1" t="s">
        <v>2</v>
      </c>
      <c r="N2973" s="1" t="s">
        <v>38</v>
      </c>
      <c r="O2973" s="1" t="s">
        <v>46</v>
      </c>
    </row>
    <row r="2974" spans="2:15" x14ac:dyDescent="0.3">
      <c r="B2974" s="1" t="s">
        <v>23</v>
      </c>
      <c r="C2974" s="1" t="str">
        <f t="shared" si="175"/>
        <v>4차</v>
      </c>
      <c r="D2974" s="1" t="str">
        <f>"0125F63145"</f>
        <v>0125F63145</v>
      </c>
      <c r="E2974" s="1" t="s">
        <v>10</v>
      </c>
      <c r="F2974" s="1" t="str">
        <f>"10.14.6.58"</f>
        <v>10.14.6.58</v>
      </c>
      <c r="G2974" s="1" t="str">
        <f>"0125F631"</f>
        <v>0125F631</v>
      </c>
      <c r="H2974" s="1" t="str">
        <f>"응봉로 26-2"</f>
        <v>응봉로 26-2</v>
      </c>
      <c r="I2974" s="1" t="s">
        <v>17</v>
      </c>
      <c r="J2974" s="1" t="str">
        <f>"8/10"</f>
        <v>8/10</v>
      </c>
      <c r="K2974" s="1" t="str">
        <f>"2026-07-29 13:18:02"</f>
        <v>2026-07-29 13:18:02</v>
      </c>
      <c r="L2974" s="1" t="str">
        <f>"2021-06-23 11:45:45"</f>
        <v>2021-06-23 11:45:45</v>
      </c>
      <c r="M2974" s="1" t="s">
        <v>3</v>
      </c>
      <c r="N2974" s="1" t="s">
        <v>38</v>
      </c>
      <c r="O2974" s="1" t="s">
        <v>46</v>
      </c>
    </row>
    <row r="2975" spans="2:15" x14ac:dyDescent="0.3">
      <c r="B2975" s="1" t="s">
        <v>23</v>
      </c>
      <c r="C2975" s="1" t="str">
        <f t="shared" si="175"/>
        <v>4차</v>
      </c>
      <c r="D2975" s="1" t="str">
        <f>"0125F66144"</f>
        <v>0125F66144</v>
      </c>
      <c r="E2975" s="1" t="s">
        <v>10</v>
      </c>
      <c r="F2975" s="1" t="str">
        <f>"10.11.65.42"</f>
        <v>10.11.65.42</v>
      </c>
      <c r="G2975" s="1" t="str">
        <f>"0125F661"</f>
        <v>0125F661</v>
      </c>
      <c r="H2975" s="1" t="str">
        <f>"대현간 12R1R1"</f>
        <v>대현간 12R1R1</v>
      </c>
      <c r="I2975" s="1" t="s">
        <v>8</v>
      </c>
      <c r="J2975" s="1" t="str">
        <f>"107/107"</f>
        <v>107/107</v>
      </c>
      <c r="K2975" s="1" t="str">
        <f t="shared" ref="K2975:K2983" si="177">"2026-07-29 13:18:01"</f>
        <v>2026-07-29 13:18:01</v>
      </c>
      <c r="L2975" s="1" t="str">
        <f>"2019-10-29 10:43:05"</f>
        <v>2019-10-29 10:43:05</v>
      </c>
      <c r="M2975" s="1" t="s">
        <v>2</v>
      </c>
      <c r="N2975" s="1" t="s">
        <v>38</v>
      </c>
      <c r="O2975" s="1" t="s">
        <v>46</v>
      </c>
    </row>
    <row r="2976" spans="2:15" x14ac:dyDescent="0.3">
      <c r="B2976" s="1" t="s">
        <v>23</v>
      </c>
      <c r="C2976" s="1" t="str">
        <f t="shared" si="175"/>
        <v>4차</v>
      </c>
      <c r="D2976" s="1" t="str">
        <f>"0125F67144"</f>
        <v>0125F67144</v>
      </c>
      <c r="E2976" s="1" t="s">
        <v>10</v>
      </c>
      <c r="F2976" s="1" t="str">
        <f>"10.11.65.10"</f>
        <v>10.11.65.10</v>
      </c>
      <c r="G2976" s="1" t="str">
        <f>"0125F671"</f>
        <v>0125F671</v>
      </c>
      <c r="H2976" s="1" t="str">
        <f>"대현간 11R1"</f>
        <v>대현간 11R1</v>
      </c>
      <c r="I2976" s="1" t="s">
        <v>8</v>
      </c>
      <c r="J2976" s="1" t="str">
        <f>"43/43"</f>
        <v>43/43</v>
      </c>
      <c r="K2976" s="1" t="str">
        <f t="shared" si="177"/>
        <v>2026-07-29 13:18:01</v>
      </c>
      <c r="L2976" s="1" t="str">
        <f>"2019-10-29 10:43:05"</f>
        <v>2019-10-29 10:43:05</v>
      </c>
      <c r="M2976" s="1" t="s">
        <v>2</v>
      </c>
      <c r="N2976" s="1" t="s">
        <v>38</v>
      </c>
      <c r="O2976" s="1" t="s">
        <v>46</v>
      </c>
    </row>
    <row r="2977" spans="2:15" x14ac:dyDescent="0.3">
      <c r="B2977" s="1" t="s">
        <v>23</v>
      </c>
      <c r="C2977" s="1" t="str">
        <f t="shared" si="175"/>
        <v>4차</v>
      </c>
      <c r="D2977" s="1" t="str">
        <f>"0125F67344"</f>
        <v>0125F67344</v>
      </c>
      <c r="E2977" s="1" t="s">
        <v>10</v>
      </c>
      <c r="F2977" s="1" t="str">
        <f>"10.11.65.18"</f>
        <v>10.11.65.18</v>
      </c>
      <c r="G2977" s="1" t="str">
        <f>"0125F673"</f>
        <v>0125F673</v>
      </c>
      <c r="H2977" s="1" t="str">
        <f>"대현간 11R2"</f>
        <v>대현간 11R2</v>
      </c>
      <c r="I2977" s="1" t="s">
        <v>8</v>
      </c>
      <c r="J2977" s="1" t="str">
        <f>"15/15"</f>
        <v>15/15</v>
      </c>
      <c r="K2977" s="1" t="str">
        <f t="shared" si="177"/>
        <v>2026-07-29 13:18:01</v>
      </c>
      <c r="L2977" s="1" t="str">
        <f>"2019-10-29 10:33:04"</f>
        <v>2019-10-29 10:33:04</v>
      </c>
      <c r="M2977" s="1" t="s">
        <v>2</v>
      </c>
      <c r="N2977" s="1" t="s">
        <v>38</v>
      </c>
      <c r="O2977" s="1" t="s">
        <v>46</v>
      </c>
    </row>
    <row r="2978" spans="2:15" x14ac:dyDescent="0.3">
      <c r="B2978" s="1" t="s">
        <v>23</v>
      </c>
      <c r="C2978" s="1" t="str">
        <f t="shared" si="175"/>
        <v>4차</v>
      </c>
      <c r="D2978" s="1" t="str">
        <f>"0125F69144"</f>
        <v>0125F69144</v>
      </c>
      <c r="E2978" s="1" t="s">
        <v>10</v>
      </c>
      <c r="F2978" s="1" t="str">
        <f>"10.11.65.114"</f>
        <v>10.11.65.114</v>
      </c>
      <c r="G2978" s="1" t="str">
        <f>"0125F691"</f>
        <v>0125F691</v>
      </c>
      <c r="H2978" s="1" t="str">
        <f>"대현간 4"</f>
        <v>대현간 4</v>
      </c>
      <c r="I2978" s="1" t="s">
        <v>8</v>
      </c>
      <c r="J2978" s="1" t="str">
        <f>"27/27"</f>
        <v>27/27</v>
      </c>
      <c r="K2978" s="1" t="str">
        <f t="shared" si="177"/>
        <v>2026-07-29 13:18:01</v>
      </c>
      <c r="L2978" s="1" t="str">
        <f>"2019-10-29 10:53:05"</f>
        <v>2019-10-29 10:53:05</v>
      </c>
      <c r="M2978" s="1" t="s">
        <v>2</v>
      </c>
      <c r="N2978" s="1" t="s">
        <v>38</v>
      </c>
      <c r="O2978" s="1" t="s">
        <v>46</v>
      </c>
    </row>
    <row r="2979" spans="2:15" x14ac:dyDescent="0.3">
      <c r="B2979" s="1" t="s">
        <v>23</v>
      </c>
      <c r="C2979" s="1" t="str">
        <f t="shared" si="175"/>
        <v>4차</v>
      </c>
      <c r="D2979" s="1" t="str">
        <f>"0125F74144"</f>
        <v>0125F74144</v>
      </c>
      <c r="E2979" s="1" t="s">
        <v>10</v>
      </c>
      <c r="F2979" s="1" t="str">
        <f>"10.11.65.74"</f>
        <v>10.11.65.74</v>
      </c>
      <c r="G2979" s="1" t="str">
        <f>"0125F741"</f>
        <v>0125F741</v>
      </c>
      <c r="H2979" s="1" t="str">
        <f>"대현간 17"</f>
        <v>대현간 17</v>
      </c>
      <c r="I2979" s="1" t="s">
        <v>8</v>
      </c>
      <c r="J2979" s="1" t="str">
        <f>"8/8"</f>
        <v>8/8</v>
      </c>
      <c r="K2979" s="1" t="str">
        <f t="shared" si="177"/>
        <v>2026-07-29 13:18:01</v>
      </c>
      <c r="L2979" s="1" t="str">
        <f>"2019-10-29 10:33:04"</f>
        <v>2019-10-29 10:33:04</v>
      </c>
      <c r="M2979" s="1" t="s">
        <v>2</v>
      </c>
      <c r="N2979" s="1" t="s">
        <v>38</v>
      </c>
      <c r="O2979" s="1" t="s">
        <v>46</v>
      </c>
    </row>
    <row r="2980" spans="2:15" x14ac:dyDescent="0.3">
      <c r="B2980" s="1" t="s">
        <v>23</v>
      </c>
      <c r="C2980" s="1" t="str">
        <f t="shared" si="175"/>
        <v>4차</v>
      </c>
      <c r="D2980" s="1" t="str">
        <f>"0125F75144"</f>
        <v>0125F75144</v>
      </c>
      <c r="E2980" s="1" t="s">
        <v>10</v>
      </c>
      <c r="F2980" s="1" t="str">
        <f>"10.11.65.66"</f>
        <v>10.11.65.66</v>
      </c>
      <c r="G2980" s="1" t="str">
        <f>"0125F751"</f>
        <v>0125F751</v>
      </c>
      <c r="H2980" s="1" t="str">
        <f>"대현간 15"</f>
        <v>대현간 15</v>
      </c>
      <c r="I2980" s="1" t="s">
        <v>8</v>
      </c>
      <c r="J2980" s="1" t="str">
        <f>"45/46"</f>
        <v>45/46</v>
      </c>
      <c r="K2980" s="1" t="str">
        <f t="shared" si="177"/>
        <v>2026-07-29 13:18:01</v>
      </c>
      <c r="L2980" s="1" t="str">
        <f>"2019-10-29 10:53:05"</f>
        <v>2019-10-29 10:53:05</v>
      </c>
      <c r="M2980" s="1" t="s">
        <v>2</v>
      </c>
      <c r="N2980" s="1" t="s">
        <v>38</v>
      </c>
      <c r="O2980" s="1" t="s">
        <v>46</v>
      </c>
    </row>
    <row r="2981" spans="2:15" x14ac:dyDescent="0.3">
      <c r="B2981" s="1" t="s">
        <v>23</v>
      </c>
      <c r="C2981" s="1" t="str">
        <f t="shared" si="175"/>
        <v>4차</v>
      </c>
      <c r="D2981" s="1" t="str">
        <f>"0125F75344"</f>
        <v>0125F75344</v>
      </c>
      <c r="E2981" s="1" t="s">
        <v>10</v>
      </c>
      <c r="F2981" s="1" t="str">
        <f>"10.11.65.34"</f>
        <v>10.11.65.34</v>
      </c>
      <c r="G2981" s="1" t="str">
        <f>"0125F753"</f>
        <v>0125F753</v>
      </c>
      <c r="H2981" s="1" t="str">
        <f>"대현간 12R1"</f>
        <v>대현간 12R1</v>
      </c>
      <c r="I2981" s="1" t="s">
        <v>8</v>
      </c>
      <c r="J2981" s="1" t="str">
        <f>"31/31"</f>
        <v>31/31</v>
      </c>
      <c r="K2981" s="1" t="str">
        <f t="shared" si="177"/>
        <v>2026-07-29 13:18:01</v>
      </c>
      <c r="L2981" s="1" t="str">
        <f>"2019-10-29 10:43:08"</f>
        <v>2019-10-29 10:43:08</v>
      </c>
      <c r="M2981" s="1" t="s">
        <v>2</v>
      </c>
      <c r="N2981" s="1" t="s">
        <v>38</v>
      </c>
      <c r="O2981" s="1" t="s">
        <v>46</v>
      </c>
    </row>
    <row r="2982" spans="2:15" x14ac:dyDescent="0.3">
      <c r="B2982" s="1" t="s">
        <v>23</v>
      </c>
      <c r="C2982" s="1" t="str">
        <f t="shared" si="175"/>
        <v>4차</v>
      </c>
      <c r="D2982" s="1" t="str">
        <f>"0125F76144"</f>
        <v>0125F76144</v>
      </c>
      <c r="E2982" s="1" t="s">
        <v>10</v>
      </c>
      <c r="F2982" s="1" t="str">
        <f>"10.11.65.2"</f>
        <v>10.11.65.2</v>
      </c>
      <c r="G2982" s="1" t="str">
        <f>"0125F761"</f>
        <v>0125F761</v>
      </c>
      <c r="H2982" s="1" t="str">
        <f>"대현간 11"</f>
        <v>대현간 11</v>
      </c>
      <c r="I2982" s="1" t="s">
        <v>8</v>
      </c>
      <c r="J2982" s="1" t="str">
        <f>"13/13"</f>
        <v>13/13</v>
      </c>
      <c r="K2982" s="1" t="str">
        <f t="shared" si="177"/>
        <v>2026-07-29 13:18:01</v>
      </c>
      <c r="L2982" s="1" t="str">
        <f>"2019-10-29 10:53:05"</f>
        <v>2019-10-29 10:53:05</v>
      </c>
      <c r="M2982" s="1" t="s">
        <v>2</v>
      </c>
      <c r="N2982" s="1" t="s">
        <v>38</v>
      </c>
      <c r="O2982" s="1" t="s">
        <v>46</v>
      </c>
    </row>
    <row r="2983" spans="2:15" x14ac:dyDescent="0.3">
      <c r="B2983" s="1" t="s">
        <v>23</v>
      </c>
      <c r="C2983" s="1" t="str">
        <f t="shared" si="175"/>
        <v>4차</v>
      </c>
      <c r="D2983" s="1" t="str">
        <f>"0125F77144"</f>
        <v>0125F77144</v>
      </c>
      <c r="E2983" s="1" t="s">
        <v>10</v>
      </c>
      <c r="F2983" s="1" t="str">
        <f>"10.11.65.138"</f>
        <v>10.11.65.138</v>
      </c>
      <c r="G2983" s="1" t="str">
        <f>"0125F771"</f>
        <v>0125F771</v>
      </c>
      <c r="H2983" s="1" t="str">
        <f>"대현간 9"</f>
        <v>대현간 9</v>
      </c>
      <c r="I2983" s="1" t="s">
        <v>8</v>
      </c>
      <c r="J2983" s="1" t="str">
        <f>"18/18"</f>
        <v>18/18</v>
      </c>
      <c r="K2983" s="1" t="str">
        <f t="shared" si="177"/>
        <v>2026-07-29 13:18:01</v>
      </c>
      <c r="L2983" s="1" t="str">
        <f>"2019-10-29 10:53:05"</f>
        <v>2019-10-29 10:53:05</v>
      </c>
      <c r="M2983" s="1" t="s">
        <v>2</v>
      </c>
      <c r="N2983" s="1" t="s">
        <v>38</v>
      </c>
      <c r="O2983" s="1" t="s">
        <v>46</v>
      </c>
    </row>
    <row r="2984" spans="2:15" x14ac:dyDescent="0.3">
      <c r="B2984" s="1" t="s">
        <v>23</v>
      </c>
      <c r="C2984" s="1" t="str">
        <f t="shared" si="175"/>
        <v>4차</v>
      </c>
      <c r="D2984" s="1" t="str">
        <f>"0125F78244"</f>
        <v>0125F78244</v>
      </c>
      <c r="E2984" s="1" t="s">
        <v>10</v>
      </c>
      <c r="F2984" s="1" t="str">
        <f>"10.14.15.108"</f>
        <v>10.14.15.108</v>
      </c>
      <c r="G2984" s="1" t="str">
        <f>"0125F782"</f>
        <v>0125F782</v>
      </c>
      <c r="H2984" s="1" t="str">
        <f>"대현간 5L2"</f>
        <v>대현간 5L2</v>
      </c>
      <c r="I2984" s="1" t="s">
        <v>8</v>
      </c>
      <c r="J2984" s="1" t="str">
        <f>"17/17"</f>
        <v>17/17</v>
      </c>
      <c r="K2984" s="1" t="str">
        <f>"2026-07-29 13:18:02"</f>
        <v>2026-07-29 13:18:02</v>
      </c>
      <c r="L2984" s="1" t="str">
        <f>"2019-10-29 10:53:05"</f>
        <v>2019-10-29 10:53:05</v>
      </c>
      <c r="M2984" s="1" t="s">
        <v>3</v>
      </c>
      <c r="N2984" s="1" t="s">
        <v>38</v>
      </c>
      <c r="O2984" s="1" t="s">
        <v>46</v>
      </c>
    </row>
    <row r="2985" spans="2:15" x14ac:dyDescent="0.3">
      <c r="B2985" s="1" t="s">
        <v>23</v>
      </c>
      <c r="C2985" s="1" t="str">
        <f t="shared" si="175"/>
        <v>4차</v>
      </c>
      <c r="D2985" s="1" t="str">
        <f>"0125F79144"</f>
        <v>0125F79144</v>
      </c>
      <c r="E2985" s="1" t="s">
        <v>10</v>
      </c>
      <c r="F2985" s="1" t="str">
        <f>"10.11.65.98"</f>
        <v>10.11.65.98</v>
      </c>
      <c r="G2985" s="1" t="str">
        <f>"0125F791"</f>
        <v>0125F791</v>
      </c>
      <c r="H2985" s="1" t="str">
        <f>"대현간 3L2"</f>
        <v>대현간 3L2</v>
      </c>
      <c r="I2985" s="1" t="s">
        <v>8</v>
      </c>
      <c r="J2985" s="1" t="str">
        <f>"44/44"</f>
        <v>44/44</v>
      </c>
      <c r="K2985" s="1" t="str">
        <f>"2026-07-29 13:18:01"</f>
        <v>2026-07-29 13:18:01</v>
      </c>
      <c r="L2985" s="1" t="str">
        <f>"2019-10-29 10:53:05"</f>
        <v>2019-10-29 10:53:05</v>
      </c>
      <c r="M2985" s="1" t="s">
        <v>2</v>
      </c>
      <c r="N2985" s="1" t="s">
        <v>38</v>
      </c>
      <c r="O2985" s="1" t="s">
        <v>46</v>
      </c>
    </row>
    <row r="2986" spans="2:15" x14ac:dyDescent="0.3">
      <c r="B2986" s="1" t="s">
        <v>23</v>
      </c>
      <c r="C2986" s="1" t="str">
        <f t="shared" si="175"/>
        <v>4차</v>
      </c>
      <c r="D2986" s="1" t="str">
        <f>"0125F86839"</f>
        <v>0125F86839</v>
      </c>
      <c r="E2986" s="1" t="s">
        <v>10</v>
      </c>
      <c r="F2986" s="1" t="str">
        <f>"10.12.135.138"</f>
        <v>10.12.135.138</v>
      </c>
      <c r="G2986" s="1" t="str">
        <f>"0125F868"</f>
        <v>0125F868</v>
      </c>
      <c r="H2986" s="1" t="str">
        <f>"응봉로 19-2"</f>
        <v>응봉로 19-2</v>
      </c>
      <c r="I2986" s="1" t="s">
        <v>17</v>
      </c>
      <c r="J2986" s="1" t="str">
        <f>"1/1"</f>
        <v>1/1</v>
      </c>
      <c r="K2986" s="1" t="str">
        <f>"2026-07-29 13:18:03"</f>
        <v>2026-07-29 13:18:03</v>
      </c>
      <c r="L2986" s="1" t="str">
        <f>"2018-05-23 10:57:11"</f>
        <v>2018-05-23 10:57:11</v>
      </c>
      <c r="M2986" s="1" t="s">
        <v>0</v>
      </c>
      <c r="N2986" s="1" t="s">
        <v>38</v>
      </c>
      <c r="O2986" s="1" t="s">
        <v>46</v>
      </c>
    </row>
    <row r="2987" spans="2:15" x14ac:dyDescent="0.3">
      <c r="B2987" s="1" t="s">
        <v>23</v>
      </c>
      <c r="C2987" s="1" t="str">
        <f t="shared" si="175"/>
        <v>4차</v>
      </c>
      <c r="D2987" s="1" t="str">
        <f>"0125F91145"</f>
        <v>0125F91145</v>
      </c>
      <c r="E2987" s="1" t="s">
        <v>10</v>
      </c>
      <c r="F2987" s="1" t="str">
        <f>"10.12.132.189"</f>
        <v>10.12.132.189</v>
      </c>
      <c r="G2987" s="1" t="str">
        <f>"0125F911"</f>
        <v>0125F911</v>
      </c>
      <c r="H2987" s="1" t="str">
        <f>"응봉로 11-1"</f>
        <v>응봉로 11-1</v>
      </c>
      <c r="I2987" s="1" t="s">
        <v>17</v>
      </c>
      <c r="J2987" s="1" t="str">
        <f>"8/11"</f>
        <v>8/11</v>
      </c>
      <c r="K2987" s="1" t="str">
        <f>"2026-07-29 13:18:02"</f>
        <v>2026-07-29 13:18:02</v>
      </c>
      <c r="L2987" s="1" t="str">
        <f>"2021-06-23 12:16:55"</f>
        <v>2021-06-23 12:16:55</v>
      </c>
      <c r="M2987" s="1" t="s">
        <v>0</v>
      </c>
      <c r="N2987" s="1" t="s">
        <v>38</v>
      </c>
      <c r="O2987" s="1" t="s">
        <v>46</v>
      </c>
    </row>
    <row r="2988" spans="2:15" x14ac:dyDescent="0.3">
      <c r="B2988" s="1" t="s">
        <v>23</v>
      </c>
      <c r="C2988" s="1" t="str">
        <f t="shared" si="175"/>
        <v>4차</v>
      </c>
      <c r="D2988" s="1" t="str">
        <f>"0125F97839"</f>
        <v>0125F97839</v>
      </c>
      <c r="E2988" s="1" t="s">
        <v>10</v>
      </c>
      <c r="F2988" s="1" t="str">
        <f>"10.12.135.132"</f>
        <v>10.12.135.132</v>
      </c>
      <c r="G2988" s="1" t="str">
        <f>"0125F978"</f>
        <v>0125F978</v>
      </c>
      <c r="H2988" s="1" t="str">
        <f>"응봉로 19-1"</f>
        <v>응봉로 19-1</v>
      </c>
      <c r="I2988" s="1" t="s">
        <v>17</v>
      </c>
      <c r="J2988" s="1" t="str">
        <f>"66/66"</f>
        <v>66/66</v>
      </c>
      <c r="K2988" s="1" t="str">
        <f>"2026-07-29 13:18:03"</f>
        <v>2026-07-29 13:18:03</v>
      </c>
      <c r="L2988" s="1" t="str">
        <f>"2021-07-28 09:45:35"</f>
        <v>2021-07-28 09:45:35</v>
      </c>
      <c r="M2988" s="1" t="s">
        <v>0</v>
      </c>
      <c r="N2988" s="1" t="s">
        <v>38</v>
      </c>
      <c r="O2988" s="1" t="s">
        <v>46</v>
      </c>
    </row>
    <row r="2989" spans="2:15" x14ac:dyDescent="0.3">
      <c r="B2989" s="1" t="s">
        <v>23</v>
      </c>
      <c r="C2989" s="1" t="str">
        <f t="shared" si="175"/>
        <v>4차</v>
      </c>
      <c r="D2989" s="1" t="str">
        <f>"0125F98439"</f>
        <v>0125F98439</v>
      </c>
      <c r="E2989" s="1" t="s">
        <v>10</v>
      </c>
      <c r="F2989" s="1" t="str">
        <f>"10.12.135.123"</f>
        <v>10.12.135.123</v>
      </c>
      <c r="G2989" s="1" t="str">
        <f>"0125F984"</f>
        <v>0125F984</v>
      </c>
      <c r="H2989" s="1" t="str">
        <f>"응봉로 54-1"</f>
        <v>응봉로 54-1</v>
      </c>
      <c r="I2989" s="1" t="s">
        <v>17</v>
      </c>
      <c r="J2989" s="1" t="str">
        <f>"74/74"</f>
        <v>74/74</v>
      </c>
      <c r="K2989" s="1" t="str">
        <f>"2026-07-29 13:18:02"</f>
        <v>2026-07-29 13:18:02</v>
      </c>
      <c r="L2989" s="1" t="str">
        <f>"2018-05-23 12:20:58"</f>
        <v>2018-05-23 12:20:58</v>
      </c>
      <c r="M2989" s="1" t="s">
        <v>0</v>
      </c>
      <c r="N2989" s="1" t="s">
        <v>38</v>
      </c>
      <c r="O2989" s="1" t="s">
        <v>46</v>
      </c>
    </row>
    <row r="2990" spans="2:15" x14ac:dyDescent="0.3">
      <c r="B2990" s="1" t="s">
        <v>23</v>
      </c>
      <c r="C2990" s="1" t="str">
        <f t="shared" si="175"/>
        <v>4차</v>
      </c>
      <c r="D2990" s="1" t="str">
        <f>"0125G09144"</f>
        <v>0125G09144</v>
      </c>
      <c r="E2990" s="1" t="s">
        <v>10</v>
      </c>
      <c r="F2990" s="1" t="str">
        <f>"10.11.66.178"</f>
        <v>10.11.66.178</v>
      </c>
      <c r="G2990" s="1" t="str">
        <f>"0125G091"</f>
        <v>0125G091</v>
      </c>
      <c r="H2990" s="1" t="str">
        <f>"대현간 48R5"</f>
        <v>대현간 48R5</v>
      </c>
      <c r="I2990" s="1" t="s">
        <v>8</v>
      </c>
      <c r="J2990" s="1" t="str">
        <f>"6/7"</f>
        <v>6/7</v>
      </c>
      <c r="K2990" s="1" t="str">
        <f>"2026-07-29 13:18:01"</f>
        <v>2026-07-29 13:18:01</v>
      </c>
      <c r="L2990" s="1" t="str">
        <f>"2019-10-29 10:53:05"</f>
        <v>2019-10-29 10:53:05</v>
      </c>
      <c r="M2990" s="1" t="s">
        <v>2</v>
      </c>
      <c r="N2990" s="1" t="s">
        <v>38</v>
      </c>
      <c r="O2990" s="1" t="s">
        <v>46</v>
      </c>
    </row>
    <row r="2991" spans="2:15" x14ac:dyDescent="0.3">
      <c r="B2991" s="1" t="s">
        <v>23</v>
      </c>
      <c r="C2991" s="1" t="str">
        <f>"5-2차"</f>
        <v>5-2차</v>
      </c>
      <c r="D2991" s="1" t="str">
        <f>"0125G1925M"</f>
        <v>0125G1925M</v>
      </c>
      <c r="E2991" s="1" t="s">
        <v>10</v>
      </c>
      <c r="F2991" s="1" t="str">
        <f>"fde1:103:4:5887:0:0:0:2"</f>
        <v>fde1:103:4:5887:0:0:0:2</v>
      </c>
      <c r="G2991" s="1" t="str">
        <f>"0125G192"</f>
        <v>0125G192</v>
      </c>
      <c r="H2991" s="1" t="str">
        <f>"대현간 48R6R3"</f>
        <v>대현간 48R6R3</v>
      </c>
      <c r="I2991" s="1" t="s">
        <v>15</v>
      </c>
      <c r="J2991" s="1" t="str">
        <f>"115/116"</f>
        <v>115/116</v>
      </c>
      <c r="K2991" s="1" t="str">
        <f>"2026-07-29 14:20:15"</f>
        <v>2026-07-29 14:20:15</v>
      </c>
      <c r="L2991" s="1" t="str">
        <f>"2023-09-14 09:57:02"</f>
        <v>2023-09-14 09:57:02</v>
      </c>
      <c r="M2991" s="1" t="s">
        <v>4</v>
      </c>
      <c r="N2991" s="1" t="s">
        <v>38</v>
      </c>
      <c r="O2991" s="1" t="s">
        <v>46</v>
      </c>
    </row>
    <row r="2992" spans="2:15" x14ac:dyDescent="0.3">
      <c r="B2992" s="1" t="s">
        <v>23</v>
      </c>
      <c r="C2992" s="1" t="str">
        <f>"4차"</f>
        <v>4차</v>
      </c>
      <c r="D2992" s="1" t="str">
        <f>"0125G29645"</f>
        <v>0125G29645</v>
      </c>
      <c r="E2992" s="1" t="s">
        <v>14</v>
      </c>
      <c r="F2992" s="1" t="str">
        <f>"10.14.9.55"</f>
        <v>10.14.9.55</v>
      </c>
      <c r="G2992" s="1" t="str">
        <f>"0125G296"</f>
        <v>0125G296</v>
      </c>
      <c r="H2992" s="1" t="str">
        <f>"금호로 14-3"</f>
        <v>금호로 14-3</v>
      </c>
      <c r="I2992" s="1" t="s">
        <v>17</v>
      </c>
      <c r="J2992" s="1" t="str">
        <f>"0/0"</f>
        <v>0/0</v>
      </c>
      <c r="K2992" s="1" t="str">
        <f>"2026-07-29 07:18:02"</f>
        <v>2026-07-29 07:18:02</v>
      </c>
      <c r="L2992" s="1" t="str">
        <f>"2021-06-24 08:12:15"</f>
        <v>2021-06-24 08:12:15</v>
      </c>
      <c r="M2992" s="1" t="s">
        <v>3</v>
      </c>
      <c r="N2992" s="1" t="s">
        <v>38</v>
      </c>
      <c r="O2992" s="1" t="s">
        <v>44</v>
      </c>
    </row>
    <row r="2993" spans="2:15" x14ac:dyDescent="0.3">
      <c r="B2993" s="1" t="s">
        <v>23</v>
      </c>
      <c r="C2993" s="1" t="str">
        <f>"4차"</f>
        <v>4차</v>
      </c>
      <c r="D2993" s="1" t="str">
        <f>"0125G29745"</f>
        <v>0125G29745</v>
      </c>
      <c r="E2993" s="1" t="s">
        <v>10</v>
      </c>
      <c r="F2993" s="1" t="str">
        <f>"10.14.13.56"</f>
        <v>10.14.13.56</v>
      </c>
      <c r="G2993" s="1" t="str">
        <f>"0125G297"</f>
        <v>0125G297</v>
      </c>
      <c r="H2993" s="1" t="str">
        <f>"금호로 14-4"</f>
        <v>금호로 14-4</v>
      </c>
      <c r="I2993" s="1" t="s">
        <v>17</v>
      </c>
      <c r="J2993" s="1" t="str">
        <f>"27/27"</f>
        <v>27/27</v>
      </c>
      <c r="K2993" s="1" t="str">
        <f>"2026-07-29 13:18:02"</f>
        <v>2026-07-29 13:18:02</v>
      </c>
      <c r="L2993" s="1" t="str">
        <f>"2021-06-24 08:29:02"</f>
        <v>2021-06-24 08:29:02</v>
      </c>
      <c r="M2993" s="1" t="s">
        <v>3</v>
      </c>
      <c r="N2993" s="1" t="s">
        <v>38</v>
      </c>
      <c r="O2993" s="1" t="s">
        <v>46</v>
      </c>
    </row>
    <row r="2994" spans="2:15" x14ac:dyDescent="0.3">
      <c r="B2994" s="1" t="s">
        <v>23</v>
      </c>
      <c r="C2994" s="1" t="str">
        <f>"4차"</f>
        <v>4차</v>
      </c>
      <c r="D2994" s="1" t="str">
        <f>"0125G90241"</f>
        <v>0125G90241</v>
      </c>
      <c r="E2994" s="1" t="s">
        <v>10</v>
      </c>
      <c r="F2994" s="1" t="str">
        <f>"10.12.130.141"</f>
        <v>10.12.130.141</v>
      </c>
      <c r="G2994" s="1" t="str">
        <f>"0125G902"</f>
        <v>0125G902</v>
      </c>
      <c r="H2994" s="1" t="str">
        <f>"응봉간 24R20R1R7L1"</f>
        <v>응봉간 24R20R1R7L1</v>
      </c>
      <c r="I2994" s="1" t="s">
        <v>17</v>
      </c>
      <c r="J2994" s="1" t="str">
        <f>"56/56"</f>
        <v>56/56</v>
      </c>
      <c r="K2994" s="1" t="str">
        <f>"2026-07-29 13:18:02"</f>
        <v>2026-07-29 13:18:02</v>
      </c>
      <c r="L2994" s="1" t="str">
        <f>"2021-07-13 12:35:24"</f>
        <v>2021-07-13 12:35:24</v>
      </c>
      <c r="M2994" s="1" t="s">
        <v>0</v>
      </c>
      <c r="N2994" s="1" t="s">
        <v>38</v>
      </c>
      <c r="O2994" s="1" t="s">
        <v>46</v>
      </c>
    </row>
    <row r="2995" spans="2:15" x14ac:dyDescent="0.3">
      <c r="B2995" s="1" t="s">
        <v>23</v>
      </c>
      <c r="C2995" s="1" t="str">
        <f>"5-1차"</f>
        <v>5-1차</v>
      </c>
      <c r="D2995" s="1" t="str">
        <f>"0125H0155S"</f>
        <v>0125H0155S</v>
      </c>
      <c r="E2995" s="1" t="s">
        <v>10</v>
      </c>
      <c r="F2995" s="1" t="str">
        <f>"fde3:102:1440:a200:0:0:0:2"</f>
        <v>fde3:102:1440:a200:0:0:0:2</v>
      </c>
      <c r="G2995" s="1" t="str">
        <f>"0125H015"</f>
        <v>0125H015</v>
      </c>
      <c r="H2995" s="1" t="str">
        <f>"응봉간 24R20R1R6"</f>
        <v>응봉간 24R20R1R6</v>
      </c>
      <c r="I2995" s="1" t="s">
        <v>15</v>
      </c>
      <c r="J2995" s="1" t="str">
        <f>"21/21"</f>
        <v>21/21</v>
      </c>
      <c r="K2995" s="1" t="str">
        <f>"2026-07-29 14:20:01"</f>
        <v>2026-07-29 14:20:01</v>
      </c>
      <c r="L2995" s="1" t="str">
        <f>"2022-11-24 15:29:33"</f>
        <v>2022-11-24 15:29:33</v>
      </c>
      <c r="M2995" s="1" t="s">
        <v>45</v>
      </c>
      <c r="N2995" s="1" t="s">
        <v>38</v>
      </c>
      <c r="O2995" s="1" t="s">
        <v>46</v>
      </c>
    </row>
    <row r="2996" spans="2:15" x14ac:dyDescent="0.3">
      <c r="B2996" s="1" t="s">
        <v>23</v>
      </c>
      <c r="C2996" s="1" t="str">
        <f>"4차"</f>
        <v>4차</v>
      </c>
      <c r="D2996" s="1" t="str">
        <f>"0125H10144"</f>
        <v>0125H10144</v>
      </c>
      <c r="E2996" s="1" t="s">
        <v>10</v>
      </c>
      <c r="F2996" s="1" t="str">
        <f>"10.11.70.194"</f>
        <v>10.11.70.194</v>
      </c>
      <c r="G2996" s="1" t="str">
        <f>"0125H101"</f>
        <v>0125H101</v>
      </c>
      <c r="H2996" s="1" t="str">
        <f>"응봉간 24R20R1R2L1"</f>
        <v>응봉간 24R20R1R2L1</v>
      </c>
      <c r="I2996" s="1" t="s">
        <v>8</v>
      </c>
      <c r="J2996" s="1" t="str">
        <f>"102/102"</f>
        <v>102/102</v>
      </c>
      <c r="K2996" s="1" t="str">
        <f>"2026-07-29 13:18:01"</f>
        <v>2026-07-29 13:18:01</v>
      </c>
      <c r="L2996" s="1" t="str">
        <f>"2019-11-04 19:53:05"</f>
        <v>2019-11-04 19:53:05</v>
      </c>
      <c r="M2996" s="1" t="s">
        <v>2</v>
      </c>
      <c r="N2996" s="1" t="s">
        <v>38</v>
      </c>
      <c r="O2996" s="1" t="s">
        <v>46</v>
      </c>
    </row>
    <row r="2997" spans="2:15" x14ac:dyDescent="0.3">
      <c r="B2997" s="1" t="s">
        <v>23</v>
      </c>
      <c r="C2997" s="1" t="str">
        <f>"5-2차"</f>
        <v>5-2차</v>
      </c>
      <c r="D2997" s="1" t="str">
        <f>"0125H1125S"</f>
        <v>0125H1125S</v>
      </c>
      <c r="E2997" s="1" t="s">
        <v>10</v>
      </c>
      <c r="F2997" s="1" t="str">
        <f>"fde1:103:4:5872:0:0:0:2"</f>
        <v>fde1:103:4:5872:0:0:0:2</v>
      </c>
      <c r="G2997" s="1" t="str">
        <f>"0125H112"</f>
        <v>0125H112</v>
      </c>
      <c r="H2997" s="1" t="str">
        <f>"응봉간 24R20R1R4"</f>
        <v>응봉간 24R20R1R4</v>
      </c>
      <c r="I2997" s="1" t="s">
        <v>15</v>
      </c>
      <c r="J2997" s="1" t="str">
        <f>"39/39"</f>
        <v>39/39</v>
      </c>
      <c r="K2997" s="1" t="str">
        <f>"2026-07-29 14:20:30"</f>
        <v>2026-07-29 14:20:30</v>
      </c>
      <c r="L2997" s="1" t="str">
        <f>"2023-09-14 09:58:20"</f>
        <v>2023-09-14 09:58:20</v>
      </c>
      <c r="M2997" s="1" t="s">
        <v>4</v>
      </c>
      <c r="N2997" s="1" t="s">
        <v>38</v>
      </c>
      <c r="O2997" s="1" t="s">
        <v>46</v>
      </c>
    </row>
    <row r="2998" spans="2:15" x14ac:dyDescent="0.3">
      <c r="B2998" s="1" t="s">
        <v>23</v>
      </c>
      <c r="C2998" s="1" t="str">
        <f t="shared" ref="C2998:C3004" si="178">"4차"</f>
        <v>4차</v>
      </c>
      <c r="D2998" s="1" t="str">
        <f>"0125H11344"</f>
        <v>0125H11344</v>
      </c>
      <c r="E2998" s="1" t="s">
        <v>10</v>
      </c>
      <c r="F2998" s="1" t="str">
        <f>"10.11.70.202"</f>
        <v>10.11.70.202</v>
      </c>
      <c r="G2998" s="1" t="str">
        <f>"0125H113"</f>
        <v>0125H113</v>
      </c>
      <c r="H2998" s="1" t="str">
        <f>"응봉간 24R20R1R3"</f>
        <v>응봉간 24R20R1R3</v>
      </c>
      <c r="I2998" s="1" t="s">
        <v>8</v>
      </c>
      <c r="J2998" s="1" t="str">
        <f>"65/65"</f>
        <v>65/65</v>
      </c>
      <c r="K2998" s="1" t="str">
        <f t="shared" ref="K2998:K3004" si="179">"2026-07-29 13:18:01"</f>
        <v>2026-07-29 13:18:01</v>
      </c>
      <c r="L2998" s="1" t="str">
        <f>"2019-11-04 19:53:05"</f>
        <v>2019-11-04 19:53:05</v>
      </c>
      <c r="M2998" s="1" t="s">
        <v>2</v>
      </c>
      <c r="N2998" s="1" t="s">
        <v>38</v>
      </c>
      <c r="O2998" s="1" t="s">
        <v>46</v>
      </c>
    </row>
    <row r="2999" spans="2:15" x14ac:dyDescent="0.3">
      <c r="B2999" s="1" t="s">
        <v>23</v>
      </c>
      <c r="C2999" s="1" t="str">
        <f t="shared" si="178"/>
        <v>4차</v>
      </c>
      <c r="D2999" s="1" t="str">
        <f>"0125H12144"</f>
        <v>0125H12144</v>
      </c>
      <c r="E2999" s="1" t="s">
        <v>10</v>
      </c>
      <c r="F2999" s="1" t="str">
        <f>"10.11.70.210"</f>
        <v>10.11.70.210</v>
      </c>
      <c r="G2999" s="1" t="str">
        <f>"0125H121"</f>
        <v>0125H121</v>
      </c>
      <c r="H2999" s="1" t="str">
        <f>"응봉간 24R20R1R4R2"</f>
        <v>응봉간 24R20R1R4R2</v>
      </c>
      <c r="I2999" s="1" t="s">
        <v>8</v>
      </c>
      <c r="J2999" s="1" t="str">
        <f>"53/55"</f>
        <v>53/55</v>
      </c>
      <c r="K2999" s="1" t="str">
        <f t="shared" si="179"/>
        <v>2026-07-29 13:18:01</v>
      </c>
      <c r="L2999" s="1" t="str">
        <f>"2019-11-04 19:53:05"</f>
        <v>2019-11-04 19:53:05</v>
      </c>
      <c r="M2999" s="1" t="s">
        <v>2</v>
      </c>
      <c r="N2999" s="1" t="s">
        <v>38</v>
      </c>
      <c r="O2999" s="1" t="s">
        <v>46</v>
      </c>
    </row>
    <row r="3000" spans="2:15" x14ac:dyDescent="0.3">
      <c r="B3000" s="1" t="s">
        <v>23</v>
      </c>
      <c r="C3000" s="1" t="str">
        <f t="shared" si="178"/>
        <v>4차</v>
      </c>
      <c r="D3000" s="1" t="str">
        <f>"0125H13244"</f>
        <v>0125H13244</v>
      </c>
      <c r="E3000" s="1" t="s">
        <v>10</v>
      </c>
      <c r="F3000" s="1" t="str">
        <f>"10.11.70.234"</f>
        <v>10.11.70.234</v>
      </c>
      <c r="G3000" s="1" t="str">
        <f>"0125H132"</f>
        <v>0125H132</v>
      </c>
      <c r="H3000" s="1" t="str">
        <f>"응봉간 24R20R1R4R3L2"</f>
        <v>응봉간 24R20R1R4R3L2</v>
      </c>
      <c r="I3000" s="1" t="s">
        <v>8</v>
      </c>
      <c r="J3000" s="1" t="str">
        <f>"67/67"</f>
        <v>67/67</v>
      </c>
      <c r="K3000" s="1" t="str">
        <f t="shared" si="179"/>
        <v>2026-07-29 13:18:01</v>
      </c>
      <c r="L3000" s="1" t="str">
        <f>"2019-11-04 19:53:05"</f>
        <v>2019-11-04 19:53:05</v>
      </c>
      <c r="M3000" s="1" t="s">
        <v>2</v>
      </c>
      <c r="N3000" s="1" t="s">
        <v>38</v>
      </c>
      <c r="O3000" s="1" t="s">
        <v>46</v>
      </c>
    </row>
    <row r="3001" spans="2:15" x14ac:dyDescent="0.3">
      <c r="B3001" s="1" t="s">
        <v>23</v>
      </c>
      <c r="C3001" s="1" t="str">
        <f t="shared" si="178"/>
        <v>4차</v>
      </c>
      <c r="D3001" s="1" t="str">
        <f>"0125H20144"</f>
        <v>0125H20144</v>
      </c>
      <c r="E3001" s="1" t="s">
        <v>10</v>
      </c>
      <c r="F3001" s="1" t="str">
        <f>"10.11.70.186"</f>
        <v>10.11.70.186</v>
      </c>
      <c r="G3001" s="1" t="str">
        <f>"0125H201"</f>
        <v>0125H201</v>
      </c>
      <c r="H3001" s="1" t="str">
        <f>"응봉간 24R20R1"</f>
        <v>응봉간 24R20R1</v>
      </c>
      <c r="I3001" s="1" t="s">
        <v>8</v>
      </c>
      <c r="J3001" s="1" t="str">
        <f>"17/25"</f>
        <v>17/25</v>
      </c>
      <c r="K3001" s="1" t="str">
        <f t="shared" si="179"/>
        <v>2026-07-29 13:18:01</v>
      </c>
      <c r="L3001" s="1" t="str">
        <f>"2019-11-04 19:43:05"</f>
        <v>2019-11-04 19:43:05</v>
      </c>
      <c r="M3001" s="1" t="s">
        <v>2</v>
      </c>
      <c r="N3001" s="1" t="s">
        <v>38</v>
      </c>
      <c r="O3001" s="1" t="s">
        <v>46</v>
      </c>
    </row>
    <row r="3002" spans="2:15" x14ac:dyDescent="0.3">
      <c r="B3002" s="1" t="s">
        <v>23</v>
      </c>
      <c r="C3002" s="1" t="str">
        <f t="shared" si="178"/>
        <v>4차</v>
      </c>
      <c r="D3002" s="1" t="str">
        <f>"0125H20344"</f>
        <v>0125H20344</v>
      </c>
      <c r="E3002" s="1" t="s">
        <v>10</v>
      </c>
      <c r="F3002" s="1" t="str">
        <f>"10.11.70.242"</f>
        <v>10.11.70.242</v>
      </c>
      <c r="G3002" s="1" t="str">
        <f>"0125H203"</f>
        <v>0125H203</v>
      </c>
      <c r="H3002" s="1" t="str">
        <f>"응봉간 24R20R3"</f>
        <v>응봉간 24R20R3</v>
      </c>
      <c r="I3002" s="1" t="s">
        <v>8</v>
      </c>
      <c r="J3002" s="1" t="str">
        <f>"45/45"</f>
        <v>45/45</v>
      </c>
      <c r="K3002" s="1" t="str">
        <f t="shared" si="179"/>
        <v>2026-07-29 13:18:01</v>
      </c>
      <c r="L3002" s="1" t="str">
        <f>"2019-11-04 19:43:05"</f>
        <v>2019-11-04 19:43:05</v>
      </c>
      <c r="M3002" s="1" t="s">
        <v>2</v>
      </c>
      <c r="N3002" s="1" t="s">
        <v>38</v>
      </c>
      <c r="O3002" s="1" t="s">
        <v>46</v>
      </c>
    </row>
    <row r="3003" spans="2:15" x14ac:dyDescent="0.3">
      <c r="B3003" s="1" t="s">
        <v>23</v>
      </c>
      <c r="C3003" s="1" t="str">
        <f t="shared" si="178"/>
        <v>4차</v>
      </c>
      <c r="D3003" s="1" t="str">
        <f>"0125H22244"</f>
        <v>0125H22244</v>
      </c>
      <c r="E3003" s="1" t="s">
        <v>10</v>
      </c>
      <c r="F3003" s="1" t="str">
        <f>"10.11.70.218"</f>
        <v>10.11.70.218</v>
      </c>
      <c r="G3003" s="1" t="str">
        <f>"0125H222"</f>
        <v>0125H222</v>
      </c>
      <c r="H3003" s="1" t="str">
        <f>"응봉간 24R20R1R4R3"</f>
        <v>응봉간 24R20R1R4R3</v>
      </c>
      <c r="I3003" s="1" t="s">
        <v>8</v>
      </c>
      <c r="J3003" s="1" t="str">
        <f>"28/28"</f>
        <v>28/28</v>
      </c>
      <c r="K3003" s="1" t="str">
        <f t="shared" si="179"/>
        <v>2026-07-29 13:18:01</v>
      </c>
      <c r="L3003" s="1" t="str">
        <f>"2019-11-04 19:43:04"</f>
        <v>2019-11-04 19:43:04</v>
      </c>
      <c r="M3003" s="1" t="s">
        <v>2</v>
      </c>
      <c r="N3003" s="1" t="s">
        <v>38</v>
      </c>
      <c r="O3003" s="1" t="s">
        <v>46</v>
      </c>
    </row>
    <row r="3004" spans="2:15" x14ac:dyDescent="0.3">
      <c r="B3004" s="1" t="s">
        <v>23</v>
      </c>
      <c r="C3004" s="1" t="str">
        <f t="shared" si="178"/>
        <v>4차</v>
      </c>
      <c r="D3004" s="1" t="str">
        <f>"0125H31144"</f>
        <v>0125H31144</v>
      </c>
      <c r="E3004" s="1" t="s">
        <v>10</v>
      </c>
      <c r="F3004" s="1" t="str">
        <f>"10.11.70.178"</f>
        <v>10.11.70.178</v>
      </c>
      <c r="G3004" s="1" t="str">
        <f>"0125H311"</f>
        <v>0125H311</v>
      </c>
      <c r="H3004" s="1" t="str">
        <f>"응봉간 24R19"</f>
        <v>응봉간 24R19</v>
      </c>
      <c r="I3004" s="1" t="s">
        <v>8</v>
      </c>
      <c r="J3004" s="1" t="str">
        <f>"92/92"</f>
        <v>92/92</v>
      </c>
      <c r="K3004" s="1" t="str">
        <f t="shared" si="179"/>
        <v>2026-07-29 13:18:01</v>
      </c>
      <c r="L3004" s="1" t="str">
        <f>"2019-11-04 19:43:05"</f>
        <v>2019-11-04 19:43:05</v>
      </c>
      <c r="M3004" s="1" t="s">
        <v>2</v>
      </c>
      <c r="N3004" s="1" t="s">
        <v>38</v>
      </c>
      <c r="O3004" s="1" t="s">
        <v>46</v>
      </c>
    </row>
    <row r="3005" spans="2:15" x14ac:dyDescent="0.3">
      <c r="B3005" s="1" t="s">
        <v>23</v>
      </c>
      <c r="C3005" s="1" t="str">
        <f>"5-2차"</f>
        <v>5-2차</v>
      </c>
      <c r="D3005" s="1" t="str">
        <f>"0125H3215S"</f>
        <v>0125H3215S</v>
      </c>
      <c r="E3005" s="1" t="s">
        <v>10</v>
      </c>
      <c r="F3005" s="1" t="str">
        <f>"fde1:103:4:57f2:0:0:0:2"</f>
        <v>fde1:103:4:57f2:0:0:0:2</v>
      </c>
      <c r="G3005" s="1" t="str">
        <f>"0125H321"</f>
        <v>0125H321</v>
      </c>
      <c r="H3005" s="1" t="str">
        <f>"응봉간 24R20R1R4R3R1"</f>
        <v>응봉간 24R20R1R4R3R1</v>
      </c>
      <c r="I3005" s="1" t="s">
        <v>15</v>
      </c>
      <c r="J3005" s="1" t="str">
        <f>"47/50"</f>
        <v>47/50</v>
      </c>
      <c r="K3005" s="1" t="str">
        <f>"2026-07-29 14:20:30"</f>
        <v>2026-07-29 14:20:30</v>
      </c>
      <c r="L3005" s="1" t="str">
        <f>"2023-09-14 10:11:22"</f>
        <v>2023-09-14 10:11:22</v>
      </c>
      <c r="M3005" s="1" t="s">
        <v>4</v>
      </c>
      <c r="N3005" s="1" t="s">
        <v>38</v>
      </c>
      <c r="O3005" s="1" t="s">
        <v>46</v>
      </c>
    </row>
    <row r="3006" spans="2:15" x14ac:dyDescent="0.3">
      <c r="B3006" s="1" t="s">
        <v>23</v>
      </c>
      <c r="C3006" s="1" t="str">
        <f>"4차"</f>
        <v>4차</v>
      </c>
      <c r="D3006" s="1" t="str">
        <f>"0125H40144"</f>
        <v>0125H40144</v>
      </c>
      <c r="E3006" s="1" t="s">
        <v>10</v>
      </c>
      <c r="F3006" s="1" t="str">
        <f>"10.11.70.170"</f>
        <v>10.11.70.170</v>
      </c>
      <c r="G3006" s="1" t="str">
        <f>"0125H401"</f>
        <v>0125H401</v>
      </c>
      <c r="H3006" s="1" t="str">
        <f>"응봉간 24R16"</f>
        <v>응봉간 24R16</v>
      </c>
      <c r="I3006" s="1" t="s">
        <v>8</v>
      </c>
      <c r="J3006" s="1" t="str">
        <f>"55/55"</f>
        <v>55/55</v>
      </c>
      <c r="K3006" s="1" t="str">
        <f>"2026-07-29 13:18:01"</f>
        <v>2026-07-29 13:18:01</v>
      </c>
      <c r="L3006" s="1" t="str">
        <f>"2019-11-04 19:53:05"</f>
        <v>2019-11-04 19:53:05</v>
      </c>
      <c r="M3006" s="1" t="s">
        <v>2</v>
      </c>
      <c r="N3006" s="1" t="s">
        <v>38</v>
      </c>
      <c r="O3006" s="1" t="s">
        <v>46</v>
      </c>
    </row>
    <row r="3007" spans="2:15" x14ac:dyDescent="0.3">
      <c r="B3007" s="1" t="s">
        <v>23</v>
      </c>
      <c r="C3007" s="1" t="str">
        <f>"4차"</f>
        <v>4차</v>
      </c>
      <c r="D3007" s="1" t="str">
        <f>"0125H40244"</f>
        <v>0125H40244</v>
      </c>
      <c r="E3007" s="1" t="s">
        <v>10</v>
      </c>
      <c r="F3007" s="1" t="str">
        <f>"10.11.77.178"</f>
        <v>10.11.77.178</v>
      </c>
      <c r="G3007" s="1" t="str">
        <f>"0125H402"</f>
        <v>0125H402</v>
      </c>
      <c r="H3007" s="1" t="str">
        <f>"응봉간 24R15"</f>
        <v>응봉간 24R15</v>
      </c>
      <c r="I3007" s="1" t="s">
        <v>8</v>
      </c>
      <c r="J3007" s="1" t="str">
        <f>"24/24"</f>
        <v>24/24</v>
      </c>
      <c r="K3007" s="1" t="str">
        <f>"2026-07-29 13:18:01"</f>
        <v>2026-07-29 13:18:01</v>
      </c>
      <c r="L3007" s="1" t="str">
        <f>"2019-11-04 19:43:05"</f>
        <v>2019-11-04 19:43:05</v>
      </c>
      <c r="M3007" s="1" t="s">
        <v>2</v>
      </c>
      <c r="N3007" s="1" t="s">
        <v>38</v>
      </c>
      <c r="O3007" s="1" t="s">
        <v>46</v>
      </c>
    </row>
    <row r="3008" spans="2:15" x14ac:dyDescent="0.3">
      <c r="B3008" s="1" t="s">
        <v>23</v>
      </c>
      <c r="C3008" s="1" t="str">
        <f>"4차"</f>
        <v>4차</v>
      </c>
      <c r="D3008" s="1" t="str">
        <f>"0125H79341"</f>
        <v>0125H79341</v>
      </c>
      <c r="E3008" s="1" t="s">
        <v>10</v>
      </c>
      <c r="F3008" s="1" t="str">
        <f>"10.14.8.42"</f>
        <v>10.14.8.42</v>
      </c>
      <c r="G3008" s="1" t="str">
        <f>"0125H793"</f>
        <v>0125H793</v>
      </c>
      <c r="H3008" s="1" t="str">
        <f>"응봉로 40L12"</f>
        <v>응봉로 40L12</v>
      </c>
      <c r="I3008" s="1" t="s">
        <v>17</v>
      </c>
      <c r="J3008" s="1" t="str">
        <f>"2/2"</f>
        <v>2/2</v>
      </c>
      <c r="K3008" s="1" t="str">
        <f>"2026-07-29 13:18:02"</f>
        <v>2026-07-29 13:18:02</v>
      </c>
      <c r="L3008" s="1" t="str">
        <f>"2021-10-14 11:01:24"</f>
        <v>2021-10-14 11:01:24</v>
      </c>
      <c r="M3008" s="1" t="s">
        <v>3</v>
      </c>
      <c r="N3008" s="1" t="s">
        <v>38</v>
      </c>
      <c r="O3008" s="1" t="s">
        <v>46</v>
      </c>
    </row>
    <row r="3009" spans="2:15" x14ac:dyDescent="0.3">
      <c r="B3009" s="1" t="s">
        <v>23</v>
      </c>
      <c r="C3009" s="1" t="str">
        <f>"5-2차"</f>
        <v>5-2차</v>
      </c>
      <c r="D3009" s="1" t="str">
        <f>"0125P6025M"</f>
        <v>0125P6025M</v>
      </c>
      <c r="E3009" s="1" t="s">
        <v>10</v>
      </c>
      <c r="F3009" s="1" t="str">
        <f>"fde1:103:4:582f:0:0:0:2"</f>
        <v>fde1:103:4:582f:0:0:0:2</v>
      </c>
      <c r="G3009" s="1" t="str">
        <f>"0125P602"</f>
        <v>0125P602</v>
      </c>
      <c r="H3009" s="1" t="str">
        <f>"금문간 22L1L12R3"</f>
        <v>금문간 22L1L12R3</v>
      </c>
      <c r="I3009" s="1" t="s">
        <v>15</v>
      </c>
      <c r="J3009" s="1" t="str">
        <f>"29/29"</f>
        <v>29/29</v>
      </c>
      <c r="K3009" s="1" t="str">
        <f>"2026-07-29 14:20:16"</f>
        <v>2026-07-29 14:20:16</v>
      </c>
      <c r="L3009" s="1" t="str">
        <f>"2023-09-14 10:13:14"</f>
        <v>2023-09-14 10:13:14</v>
      </c>
      <c r="M3009" s="1" t="s">
        <v>4</v>
      </c>
      <c r="N3009" s="1" t="s">
        <v>38</v>
      </c>
      <c r="O3009" s="1" t="s">
        <v>46</v>
      </c>
    </row>
    <row r="3010" spans="2:15" x14ac:dyDescent="0.3">
      <c r="B3010" s="1" t="s">
        <v>23</v>
      </c>
      <c r="C3010" s="1" t="str">
        <f>"5-1차"</f>
        <v>5-1차</v>
      </c>
      <c r="D3010" s="1" t="str">
        <f>"0125P7015M"</f>
        <v>0125P7015M</v>
      </c>
      <c r="E3010" s="1" t="s">
        <v>10</v>
      </c>
      <c r="F3010" s="1" t="str">
        <f>"fde3:102:1440:6200:0:0:0:e"</f>
        <v>fde3:102:1440:6200:0:0:0:e</v>
      </c>
      <c r="G3010" s="1" t="str">
        <f>"0125P701"</f>
        <v>0125P701</v>
      </c>
      <c r="H3010" s="1" t="str">
        <f>"금문간 22L7L1"</f>
        <v>금문간 22L7L1</v>
      </c>
      <c r="I3010" s="1" t="s">
        <v>15</v>
      </c>
      <c r="J3010" s="1" t="str">
        <f>"13/22"</f>
        <v>13/22</v>
      </c>
      <c r="K3010" s="1" t="str">
        <f>"2026-07-29 14:20:33"</f>
        <v>2026-07-29 14:20:33</v>
      </c>
      <c r="L3010" s="1" t="str">
        <f>"2022-11-02 14:29:04"</f>
        <v>2022-11-02 14:29:04</v>
      </c>
      <c r="M3010" s="1" t="s">
        <v>45</v>
      </c>
      <c r="N3010" s="1" t="s">
        <v>38</v>
      </c>
      <c r="O3010" s="1" t="s">
        <v>46</v>
      </c>
    </row>
    <row r="3011" spans="2:15" x14ac:dyDescent="0.3">
      <c r="B3011" s="1" t="s">
        <v>23</v>
      </c>
      <c r="C3011" s="1" t="str">
        <f>"6차"</f>
        <v>6차</v>
      </c>
      <c r="D3011" s="1" t="str">
        <f>"0125P8126S"</f>
        <v>0125P8126S</v>
      </c>
      <c r="E3011" s="1" t="s">
        <v>10</v>
      </c>
      <c r="F3011" s="1" t="str">
        <f>"fde3:102:1440:6100:0:0:0:7"</f>
        <v>fde3:102:1440:6100:0:0:0:7</v>
      </c>
      <c r="G3011" s="1" t="str">
        <f>"0125P812"</f>
        <v>0125P812</v>
      </c>
      <c r="H3011" s="1" t="str">
        <f>"금문간 22L7"</f>
        <v>금문간 22L7</v>
      </c>
      <c r="I3011" s="1" t="s">
        <v>15</v>
      </c>
      <c r="J3011" s="1" t="str">
        <f>"21/21"</f>
        <v>21/21</v>
      </c>
      <c r="K3011" s="1" t="str">
        <f>"2026-07-29 14:20:23"</f>
        <v>2026-07-29 14:20:23</v>
      </c>
      <c r="L3011" s="1" t="str">
        <f>"2024-10-11 12:01:15"</f>
        <v>2024-10-11 12:01:15</v>
      </c>
      <c r="M3011" s="1" t="s">
        <v>45</v>
      </c>
      <c r="N3011" s="1" t="s">
        <v>38</v>
      </c>
      <c r="O3011" s="1" t="s">
        <v>46</v>
      </c>
    </row>
    <row r="3012" spans="2:15" x14ac:dyDescent="0.3">
      <c r="B3012" s="1" t="s">
        <v>23</v>
      </c>
      <c r="C3012" s="1" t="str">
        <f>"5-1차"</f>
        <v>5-1차</v>
      </c>
      <c r="D3012" s="1" t="str">
        <f>"0125Q0115M"</f>
        <v>0125Q0115M</v>
      </c>
      <c r="E3012" s="1" t="s">
        <v>10</v>
      </c>
      <c r="F3012" s="1" t="str">
        <f>"fde3:102:1440:6200:0:0:0:f"</f>
        <v>fde3:102:1440:6200:0:0:0:f</v>
      </c>
      <c r="G3012" s="1" t="str">
        <f>"0125Q011"</f>
        <v>0125Q011</v>
      </c>
      <c r="H3012" s="1" t="str">
        <f>"금문간 22L4"</f>
        <v>금문간 22L4</v>
      </c>
      <c r="I3012" s="1" t="s">
        <v>15</v>
      </c>
      <c r="J3012" s="1" t="str">
        <f>"20/22"</f>
        <v>20/22</v>
      </c>
      <c r="K3012" s="1" t="str">
        <f>"2026-07-29 14:20:30"</f>
        <v>2026-07-29 14:20:30</v>
      </c>
      <c r="L3012" s="1" t="str">
        <f>"2022-11-10 15:28:14"</f>
        <v>2022-11-10 15:28:14</v>
      </c>
      <c r="M3012" s="1" t="s">
        <v>45</v>
      </c>
      <c r="N3012" s="1" t="s">
        <v>38</v>
      </c>
      <c r="O3012" s="1" t="s">
        <v>46</v>
      </c>
    </row>
    <row r="3013" spans="2:15" x14ac:dyDescent="0.3">
      <c r="B3013" s="1" t="s">
        <v>23</v>
      </c>
      <c r="C3013" s="1" t="str">
        <f>"5-1차"</f>
        <v>5-1차</v>
      </c>
      <c r="D3013" s="1" t="str">
        <f>"0125Q1015M"</f>
        <v>0125Q1015M</v>
      </c>
      <c r="E3013" s="1" t="s">
        <v>10</v>
      </c>
      <c r="F3013" s="1" t="str">
        <f>"fde3:102:1440:6100:0:0:0:3"</f>
        <v>fde3:102:1440:6100:0:0:0:3</v>
      </c>
      <c r="G3013" s="1" t="str">
        <f>"0125Q101"</f>
        <v>0125Q101</v>
      </c>
      <c r="H3013" s="1" t="str">
        <f>"금문간 22L1L2"</f>
        <v>금문간 22L1L2</v>
      </c>
      <c r="I3013" s="1" t="s">
        <v>15</v>
      </c>
      <c r="J3013" s="1" t="str">
        <f>"46/46"</f>
        <v>46/46</v>
      </c>
      <c r="K3013" s="1" t="str">
        <f>"2026-07-29 14:20:09"</f>
        <v>2026-07-29 14:20:09</v>
      </c>
      <c r="L3013" s="1" t="str">
        <f>"2022-11-14 13:23:32"</f>
        <v>2022-11-14 13:23:32</v>
      </c>
      <c r="M3013" s="1" t="s">
        <v>45</v>
      </c>
      <c r="N3013" s="1" t="s">
        <v>38</v>
      </c>
      <c r="O3013" s="1" t="s">
        <v>46</v>
      </c>
    </row>
    <row r="3014" spans="2:15" x14ac:dyDescent="0.3">
      <c r="B3014" s="1" t="s">
        <v>23</v>
      </c>
      <c r="C3014" s="1" t="str">
        <f>"5-1차"</f>
        <v>5-1차</v>
      </c>
      <c r="D3014" s="1" t="str">
        <f>"0125Q1125M"</f>
        <v>0125Q1125M</v>
      </c>
      <c r="E3014" s="1" t="s">
        <v>10</v>
      </c>
      <c r="F3014" s="1" t="str">
        <f>"fde3:102:1440:6200:0:0:0:10"</f>
        <v>fde3:102:1440:6200:0:0:0:10</v>
      </c>
      <c r="G3014" s="1" t="str">
        <f>"0125Q112"</f>
        <v>0125Q112</v>
      </c>
      <c r="H3014" s="1" t="str">
        <f>"금문간 22L3"</f>
        <v>금문간 22L3</v>
      </c>
      <c r="I3014" s="1" t="s">
        <v>15</v>
      </c>
      <c r="J3014" s="1" t="str">
        <f>"23/25"</f>
        <v>23/25</v>
      </c>
      <c r="K3014" s="1" t="str">
        <f>"2026-07-29 14:20:01"</f>
        <v>2026-07-29 14:20:01</v>
      </c>
      <c r="L3014" s="1" t="str">
        <f>"2022-11-10 15:44:04"</f>
        <v>2022-11-10 15:44:04</v>
      </c>
      <c r="M3014" s="1" t="s">
        <v>45</v>
      </c>
      <c r="N3014" s="1" t="s">
        <v>38</v>
      </c>
      <c r="O3014" s="1" t="s">
        <v>46</v>
      </c>
    </row>
    <row r="3015" spans="2:15" x14ac:dyDescent="0.3">
      <c r="B3015" s="1" t="s">
        <v>23</v>
      </c>
      <c r="C3015" s="1" t="str">
        <f>"5-1차"</f>
        <v>5-1차</v>
      </c>
      <c r="D3015" s="1" t="str">
        <f>"0125Q2925M"</f>
        <v>0125Q2925M</v>
      </c>
      <c r="E3015" s="1" t="s">
        <v>10</v>
      </c>
      <c r="F3015" s="1" t="str">
        <f>"fde3:102:1440:6100:0:0:0:2"</f>
        <v>fde3:102:1440:6100:0:0:0:2</v>
      </c>
      <c r="G3015" s="1" t="str">
        <f>"0125Q292"</f>
        <v>0125Q292</v>
      </c>
      <c r="H3015" s="1" t="str">
        <f>"금문간 38"</f>
        <v>금문간 38</v>
      </c>
      <c r="I3015" s="1" t="s">
        <v>15</v>
      </c>
      <c r="J3015" s="1" t="str">
        <f>"39/41"</f>
        <v>39/41</v>
      </c>
      <c r="K3015" s="1" t="str">
        <f>"2026-07-29 14:20:31"</f>
        <v>2026-07-29 14:20:31</v>
      </c>
      <c r="L3015" s="1" t="str">
        <f>"2022-11-22 15:49:01"</f>
        <v>2022-11-22 15:49:01</v>
      </c>
      <c r="M3015" s="1" t="s">
        <v>45</v>
      </c>
      <c r="N3015" s="1" t="s">
        <v>38</v>
      </c>
      <c r="O3015" s="1" t="s">
        <v>46</v>
      </c>
    </row>
    <row r="3016" spans="2:15" x14ac:dyDescent="0.3">
      <c r="B3016" s="1" t="s">
        <v>23</v>
      </c>
      <c r="C3016" s="1" t="str">
        <f>"5-1차"</f>
        <v>5-1차</v>
      </c>
      <c r="D3016" s="1" t="str">
        <f>"0125Q3215M"</f>
        <v>0125Q3215M</v>
      </c>
      <c r="E3016" s="1" t="s">
        <v>10</v>
      </c>
      <c r="F3016" s="1" t="str">
        <f>"fde3:102:1440:6200:0:0:0:4"</f>
        <v>fde3:102:1440:6200:0:0:0:4</v>
      </c>
      <c r="G3016" s="1" t="str">
        <f>"0125Q321"</f>
        <v>0125Q321</v>
      </c>
      <c r="H3016" s="1" t="str">
        <f>"금문간 25"</f>
        <v>금문간 25</v>
      </c>
      <c r="I3016" s="1" t="s">
        <v>15</v>
      </c>
      <c r="J3016" s="1" t="str">
        <f>"36/36"</f>
        <v>36/36</v>
      </c>
      <c r="K3016" s="1" t="str">
        <f>"2026-07-29 14:20:01"</f>
        <v>2026-07-29 14:20:01</v>
      </c>
      <c r="L3016" s="1" t="str">
        <f>"2022-11-07 15:08:29"</f>
        <v>2022-11-07 15:08:29</v>
      </c>
      <c r="M3016" s="1" t="s">
        <v>45</v>
      </c>
      <c r="N3016" s="1" t="s">
        <v>38</v>
      </c>
      <c r="O3016" s="1" t="s">
        <v>46</v>
      </c>
    </row>
    <row r="3017" spans="2:15" x14ac:dyDescent="0.3">
      <c r="B3017" s="1" t="s">
        <v>23</v>
      </c>
      <c r="C3017" s="1" t="str">
        <f>"5-2차"</f>
        <v>5-2차</v>
      </c>
      <c r="D3017" s="1" t="str">
        <f>"0125Q3335M"</f>
        <v>0125Q3335M</v>
      </c>
      <c r="E3017" s="1" t="s">
        <v>10</v>
      </c>
      <c r="F3017" s="1" t="str">
        <f>"fde1:103:4:5a58:0:0:0:2"</f>
        <v>fde1:103:4:5a58:0:0:0:2</v>
      </c>
      <c r="G3017" s="1" t="str">
        <f>"0125Q333"</f>
        <v>0125Q333</v>
      </c>
      <c r="H3017" s="1" t="str">
        <f>"금문간 27"</f>
        <v>금문간 27</v>
      </c>
      <c r="I3017" s="1" t="s">
        <v>15</v>
      </c>
      <c r="J3017" s="1" t="str">
        <f>"39/39"</f>
        <v>39/39</v>
      </c>
      <c r="K3017" s="1" t="str">
        <f>"2026-07-29 14:20:30"</f>
        <v>2026-07-29 14:20:30</v>
      </c>
      <c r="L3017" s="1" t="str">
        <f>"2023-09-14 10:53:21"</f>
        <v>2023-09-14 10:53:21</v>
      </c>
      <c r="M3017" s="1" t="s">
        <v>4</v>
      </c>
      <c r="N3017" s="1" t="s">
        <v>38</v>
      </c>
      <c r="O3017" s="1" t="s">
        <v>46</v>
      </c>
    </row>
    <row r="3018" spans="2:15" x14ac:dyDescent="0.3">
      <c r="B3018" s="1" t="s">
        <v>23</v>
      </c>
      <c r="C3018" s="1" t="str">
        <f>"5-1차"</f>
        <v>5-1차</v>
      </c>
      <c r="D3018" s="1" t="str">
        <f>"0125Q3515S"</f>
        <v>0125Q3515S</v>
      </c>
      <c r="E3018" s="1" t="s">
        <v>10</v>
      </c>
      <c r="F3018" s="1" t="str">
        <f>"fde3:102:1440:6200:0:0:0:5"</f>
        <v>fde3:102:1440:6200:0:0:0:5</v>
      </c>
      <c r="G3018" s="1" t="str">
        <f>"0125Q351"</f>
        <v>0125Q351</v>
      </c>
      <c r="H3018" s="1" t="str">
        <f>"금문간 28R1"</f>
        <v>금문간 28R1</v>
      </c>
      <c r="I3018" s="1" t="s">
        <v>15</v>
      </c>
      <c r="J3018" s="1" t="str">
        <f>"59/60"</f>
        <v>59/60</v>
      </c>
      <c r="K3018" s="1" t="str">
        <f>"2026-07-29 14:20:01"</f>
        <v>2026-07-29 14:20:01</v>
      </c>
      <c r="L3018" s="1" t="str">
        <f>"2022-11-01 11:27:26"</f>
        <v>2022-11-01 11:27:26</v>
      </c>
      <c r="M3018" s="1" t="s">
        <v>45</v>
      </c>
      <c r="N3018" s="1" t="s">
        <v>38</v>
      </c>
      <c r="O3018" s="1" t="s">
        <v>46</v>
      </c>
    </row>
    <row r="3019" spans="2:15" x14ac:dyDescent="0.3">
      <c r="B3019" s="1" t="s">
        <v>23</v>
      </c>
      <c r="C3019" s="1" t="str">
        <f>"5-1차"</f>
        <v>5-1차</v>
      </c>
      <c r="D3019" s="1" t="str">
        <f>"0125Q3715S"</f>
        <v>0125Q3715S</v>
      </c>
      <c r="E3019" s="1" t="s">
        <v>10</v>
      </c>
      <c r="F3019" s="1" t="str">
        <f>"fde3:102:1440:6200:0:0:0:2"</f>
        <v>fde3:102:1440:6200:0:0:0:2</v>
      </c>
      <c r="G3019" s="1" t="str">
        <f>"0125Q371"</f>
        <v>0125Q371</v>
      </c>
      <c r="H3019" s="1" t="str">
        <f>"금문간 34R2"</f>
        <v>금문간 34R2</v>
      </c>
      <c r="I3019" s="1" t="s">
        <v>15</v>
      </c>
      <c r="J3019" s="1" t="str">
        <f>"89/90"</f>
        <v>89/90</v>
      </c>
      <c r="K3019" s="1" t="str">
        <f>"2026-07-29 14:20:40"</f>
        <v>2026-07-29 14:20:40</v>
      </c>
      <c r="L3019" s="1" t="str">
        <f>"2022-11-01 11:11:49"</f>
        <v>2022-11-01 11:11:49</v>
      </c>
      <c r="M3019" s="1" t="s">
        <v>45</v>
      </c>
      <c r="N3019" s="1" t="s">
        <v>38</v>
      </c>
      <c r="O3019" s="1" t="s">
        <v>46</v>
      </c>
    </row>
    <row r="3020" spans="2:15" x14ac:dyDescent="0.3">
      <c r="B3020" s="1" t="s">
        <v>23</v>
      </c>
      <c r="C3020" s="1" t="str">
        <f>"5-2차"</f>
        <v>5-2차</v>
      </c>
      <c r="D3020" s="1" t="str">
        <f>"0125Q4035M"</f>
        <v>0125Q4035M</v>
      </c>
      <c r="E3020" s="1" t="s">
        <v>10</v>
      </c>
      <c r="F3020" s="1" t="str">
        <f>"fde1:103:4:588a:0:0:0:2"</f>
        <v>fde1:103:4:588a:0:0:0:2</v>
      </c>
      <c r="G3020" s="1" t="str">
        <f>"0125Q403"</f>
        <v>0125Q403</v>
      </c>
      <c r="H3020" s="1" t="str">
        <f>"금문간 13L3"</f>
        <v>금문간 13L3</v>
      </c>
      <c r="I3020" s="1" t="s">
        <v>15</v>
      </c>
      <c r="J3020" s="1" t="str">
        <f>"47/47"</f>
        <v>47/47</v>
      </c>
      <c r="K3020" s="1" t="str">
        <f>"2026-07-29 14:20:18"</f>
        <v>2026-07-29 14:20:18</v>
      </c>
      <c r="L3020" s="1" t="str">
        <f>"2023-09-14 11:08:16"</f>
        <v>2023-09-14 11:08:16</v>
      </c>
      <c r="M3020" s="1" t="s">
        <v>4</v>
      </c>
      <c r="N3020" s="1" t="s">
        <v>38</v>
      </c>
      <c r="O3020" s="1" t="s">
        <v>46</v>
      </c>
    </row>
    <row r="3021" spans="2:15" x14ac:dyDescent="0.3">
      <c r="B3021" s="1" t="s">
        <v>23</v>
      </c>
      <c r="C3021" s="1" t="str">
        <f>"5-1차"</f>
        <v>5-1차</v>
      </c>
      <c r="D3021" s="1" t="str">
        <f>"0125Q4125M"</f>
        <v>0125Q4125M</v>
      </c>
      <c r="E3021" s="1" t="s">
        <v>10</v>
      </c>
      <c r="F3021" s="1" t="str">
        <f>"fde3:102:1440:6200:0:0:0:11"</f>
        <v>fde3:102:1440:6200:0:0:0:11</v>
      </c>
      <c r="G3021" s="1" t="str">
        <f>"0125Q412"</f>
        <v>0125Q412</v>
      </c>
      <c r="H3021" s="1" t="str">
        <f>"금문간 21"</f>
        <v>금문간 21</v>
      </c>
      <c r="I3021" s="1" t="s">
        <v>15</v>
      </c>
      <c r="J3021" s="1" t="str">
        <f>"28/29"</f>
        <v>28/29</v>
      </c>
      <c r="K3021" s="1" t="str">
        <f>"2026-07-29 14:20:10"</f>
        <v>2026-07-29 14:20:10</v>
      </c>
      <c r="L3021" s="1" t="str">
        <f>"2022-11-07 19:11:23"</f>
        <v>2022-11-07 19:11:23</v>
      </c>
      <c r="M3021" s="1" t="s">
        <v>45</v>
      </c>
      <c r="N3021" s="1" t="s">
        <v>38</v>
      </c>
      <c r="O3021" s="1" t="s">
        <v>46</v>
      </c>
    </row>
    <row r="3022" spans="2:15" x14ac:dyDescent="0.3">
      <c r="B3022" s="1" t="s">
        <v>23</v>
      </c>
      <c r="C3022" s="1" t="str">
        <f>"5-1차"</f>
        <v>5-1차</v>
      </c>
      <c r="D3022" s="1" t="str">
        <f>"0125Q4135M"</f>
        <v>0125Q4135M</v>
      </c>
      <c r="E3022" s="1" t="s">
        <v>10</v>
      </c>
      <c r="F3022" s="1" t="str">
        <f>"fde3:102:1440:6200:0:0:0:a"</f>
        <v>fde3:102:1440:6200:0:0:0:a</v>
      </c>
      <c r="G3022" s="1" t="str">
        <f>"0125Q413"</f>
        <v>0125Q413</v>
      </c>
      <c r="H3022" s="1" t="str">
        <f>"금문간 20"</f>
        <v>금문간 20</v>
      </c>
      <c r="I3022" s="1" t="s">
        <v>15</v>
      </c>
      <c r="J3022" s="1" t="str">
        <f>"55/55"</f>
        <v>55/55</v>
      </c>
      <c r="K3022" s="1" t="str">
        <f>"2026-07-29 14:20:25"</f>
        <v>2026-07-29 14:20:25</v>
      </c>
      <c r="L3022" s="1" t="str">
        <f>"2022-11-01 11:12:27"</f>
        <v>2022-11-01 11:12:27</v>
      </c>
      <c r="M3022" s="1" t="s">
        <v>45</v>
      </c>
      <c r="N3022" s="1" t="s">
        <v>38</v>
      </c>
      <c r="O3022" s="1" t="s">
        <v>46</v>
      </c>
    </row>
    <row r="3023" spans="2:15" x14ac:dyDescent="0.3">
      <c r="B3023" s="1" t="s">
        <v>23</v>
      </c>
      <c r="C3023" s="1" t="str">
        <f>"5-1차"</f>
        <v>5-1차</v>
      </c>
      <c r="D3023" s="1" t="str">
        <f>"0125Q4225S"</f>
        <v>0125Q4225S</v>
      </c>
      <c r="E3023" s="1" t="s">
        <v>10</v>
      </c>
      <c r="F3023" s="1" t="str">
        <f>"fde2:104:0:1c9:0:0:0:2"</f>
        <v>fde2:104:0:1c9:0:0:0:2</v>
      </c>
      <c r="G3023" s="1" t="str">
        <f>"0125Q422"</f>
        <v>0125Q422</v>
      </c>
      <c r="H3023" s="1" t="str">
        <f>"금문간 24R1"</f>
        <v>금문간 24R1</v>
      </c>
      <c r="I3023" s="1" t="s">
        <v>15</v>
      </c>
      <c r="J3023" s="1" t="str">
        <f>"62/62"</f>
        <v>62/62</v>
      </c>
      <c r="K3023" s="1" t="str">
        <f>"2026-07-29 14:20:18"</f>
        <v>2026-07-29 14:20:18</v>
      </c>
      <c r="L3023" s="1" t="str">
        <f>"2022-11-23 10:18:38"</f>
        <v>2022-11-23 10:18:38</v>
      </c>
      <c r="M3023" s="1" t="s">
        <v>42</v>
      </c>
      <c r="N3023" s="1" t="s">
        <v>38</v>
      </c>
      <c r="O3023" s="1" t="s">
        <v>46</v>
      </c>
    </row>
    <row r="3024" spans="2:15" x14ac:dyDescent="0.3">
      <c r="B3024" s="1" t="s">
        <v>23</v>
      </c>
      <c r="C3024" s="1" t="str">
        <f>"5-1차"</f>
        <v>5-1차</v>
      </c>
      <c r="D3024" s="1" t="str">
        <f>"0125Q4735S"</f>
        <v>0125Q4735S</v>
      </c>
      <c r="E3024" s="1" t="s">
        <v>10</v>
      </c>
      <c r="F3024" s="1" t="str">
        <f>"fde3:102:1440:6200:0:0:0:3"</f>
        <v>fde3:102:1440:6200:0:0:0:3</v>
      </c>
      <c r="G3024" s="1" t="str">
        <f>"0125Q473"</f>
        <v>0125Q473</v>
      </c>
      <c r="H3024" s="1" t="str">
        <f>"금문간 34R4"</f>
        <v>금문간 34R4</v>
      </c>
      <c r="I3024" s="1" t="s">
        <v>15</v>
      </c>
      <c r="J3024" s="1" t="str">
        <f>"27/27"</f>
        <v>27/27</v>
      </c>
      <c r="K3024" s="1" t="str">
        <f>"2026-07-29 14:20:18"</f>
        <v>2026-07-29 14:20:18</v>
      </c>
      <c r="L3024" s="1" t="str">
        <f>"2022-11-01 11:18:30"</f>
        <v>2022-11-01 11:18:30</v>
      </c>
      <c r="M3024" s="1" t="s">
        <v>45</v>
      </c>
      <c r="N3024" s="1" t="s">
        <v>38</v>
      </c>
      <c r="O3024" s="1" t="s">
        <v>46</v>
      </c>
    </row>
    <row r="3025" spans="2:15" x14ac:dyDescent="0.3">
      <c r="B3025" s="1" t="s">
        <v>23</v>
      </c>
      <c r="C3025" s="1" t="str">
        <f>"5-1차"</f>
        <v>5-1차</v>
      </c>
      <c r="D3025" s="1" t="str">
        <f>"0125Q4815M"</f>
        <v>0125Q4815M</v>
      </c>
      <c r="E3025" s="1" t="s">
        <v>10</v>
      </c>
      <c r="F3025" s="1" t="str">
        <f>"fde3:102:1440:6200:0:0:0:12"</f>
        <v>fde3:102:1440:6200:0:0:0:12</v>
      </c>
      <c r="G3025" s="1" t="str">
        <f>"0125Q481"</f>
        <v>0125Q481</v>
      </c>
      <c r="H3025" s="1" t="str">
        <f>"금문간 34R7A2"</f>
        <v>금문간 34R7A2</v>
      </c>
      <c r="I3025" s="1" t="s">
        <v>15</v>
      </c>
      <c r="J3025" s="1" t="str">
        <f>"14/14"</f>
        <v>14/14</v>
      </c>
      <c r="K3025" s="1" t="str">
        <f>"2026-07-29 14:20:01"</f>
        <v>2026-07-29 14:20:01</v>
      </c>
      <c r="L3025" s="1" t="str">
        <f>"2022-11-02 13:01:51"</f>
        <v>2022-11-02 13:01:51</v>
      </c>
      <c r="M3025" s="1" t="s">
        <v>45</v>
      </c>
      <c r="N3025" s="1" t="s">
        <v>38</v>
      </c>
      <c r="O3025" s="1" t="s">
        <v>46</v>
      </c>
    </row>
    <row r="3026" spans="2:15" x14ac:dyDescent="0.3">
      <c r="B3026" s="1" t="s">
        <v>23</v>
      </c>
      <c r="C3026" s="1" t="str">
        <f>"5-2차"</f>
        <v>5-2차</v>
      </c>
      <c r="D3026" s="1" t="str">
        <f>"0125Q5225S"</f>
        <v>0125Q5225S</v>
      </c>
      <c r="E3026" s="1" t="s">
        <v>10</v>
      </c>
      <c r="F3026" s="1" t="str">
        <f>"fde1:103:4:5714:0:0:0:2"</f>
        <v>fde1:103:4:5714:0:0:0:2</v>
      </c>
      <c r="G3026" s="1" t="str">
        <f>"0125Q522"</f>
        <v>0125Q522</v>
      </c>
      <c r="H3026" s="1" t="str">
        <f>"금문간 24R2"</f>
        <v>금문간 24R2</v>
      </c>
      <c r="I3026" s="1" t="s">
        <v>15</v>
      </c>
      <c r="J3026" s="1" t="str">
        <f>"32/36"</f>
        <v>32/36</v>
      </c>
      <c r="K3026" s="1" t="str">
        <f>"2026-07-29 14:20:00"</f>
        <v>2026-07-29 14:20:00</v>
      </c>
      <c r="L3026" s="1" t="str">
        <f>"2023-09-14 11:08:57"</f>
        <v>2023-09-14 11:08:57</v>
      </c>
      <c r="M3026" s="1" t="s">
        <v>4</v>
      </c>
      <c r="N3026" s="1" t="s">
        <v>38</v>
      </c>
      <c r="O3026" s="1" t="s">
        <v>46</v>
      </c>
    </row>
    <row r="3027" spans="2:15" x14ac:dyDescent="0.3">
      <c r="B3027" s="1" t="s">
        <v>23</v>
      </c>
      <c r="C3027" s="1" t="str">
        <f>"5-1차"</f>
        <v>5-1차</v>
      </c>
      <c r="D3027" s="1" t="str">
        <f>"0125Q5715S"</f>
        <v>0125Q5715S</v>
      </c>
      <c r="E3027" s="1" t="s">
        <v>10</v>
      </c>
      <c r="F3027" s="1" t="str">
        <f>"fde3:102:1440:6200:0:0:0:13"</f>
        <v>fde3:102:1440:6200:0:0:0:13</v>
      </c>
      <c r="G3027" s="1" t="str">
        <f>"0125Q571"</f>
        <v>0125Q571</v>
      </c>
      <c r="H3027" s="1" t="str">
        <f>"금문간 34R5"</f>
        <v>금문간 34R5</v>
      </c>
      <c r="I3027" s="1" t="s">
        <v>15</v>
      </c>
      <c r="J3027" s="1" t="str">
        <f>"42/42"</f>
        <v>42/42</v>
      </c>
      <c r="K3027" s="1" t="str">
        <f>"2026-07-29 14:20:01"</f>
        <v>2026-07-29 14:20:01</v>
      </c>
      <c r="L3027" s="1" t="str">
        <f>"2022-11-02 12:36:00"</f>
        <v>2022-11-02 12:36:00</v>
      </c>
      <c r="M3027" s="1" t="s">
        <v>45</v>
      </c>
      <c r="N3027" s="1" t="s">
        <v>38</v>
      </c>
      <c r="O3027" s="1" t="s">
        <v>46</v>
      </c>
    </row>
    <row r="3028" spans="2:15" x14ac:dyDescent="0.3">
      <c r="B3028" s="1" t="s">
        <v>23</v>
      </c>
      <c r="C3028" s="1" t="str">
        <f>"5-1차"</f>
        <v>5-1차</v>
      </c>
      <c r="D3028" s="1" t="str">
        <f>"0125Q5925S"</f>
        <v>0125Q5925S</v>
      </c>
      <c r="E3028" s="1" t="s">
        <v>10</v>
      </c>
      <c r="F3028" s="1" t="str">
        <f>"fde3:102:1440:6200:0:0:0:14"</f>
        <v>fde3:102:1440:6200:0:0:0:14</v>
      </c>
      <c r="G3028" s="1" t="str">
        <f>"0125Q592"</f>
        <v>0125Q592</v>
      </c>
      <c r="H3028" s="1" t="str">
        <f>"금문간 34R7L1"</f>
        <v>금문간 34R7L1</v>
      </c>
      <c r="I3028" s="1" t="s">
        <v>15</v>
      </c>
      <c r="J3028" s="1" t="str">
        <f>"44/44"</f>
        <v>44/44</v>
      </c>
      <c r="K3028" s="1" t="str">
        <f>"2026-07-29 14:20:01"</f>
        <v>2026-07-29 14:20:01</v>
      </c>
      <c r="L3028" s="1" t="str">
        <f>"2022-11-02 12:10:22"</f>
        <v>2022-11-02 12:10:22</v>
      </c>
      <c r="M3028" s="1" t="s">
        <v>45</v>
      </c>
      <c r="N3028" s="1" t="s">
        <v>38</v>
      </c>
      <c r="O3028" s="1" t="s">
        <v>46</v>
      </c>
    </row>
    <row r="3029" spans="2:15" x14ac:dyDescent="0.3">
      <c r="B3029" s="1" t="s">
        <v>23</v>
      </c>
      <c r="C3029" s="1" t="str">
        <f t="shared" ref="C3029:C3040" si="180">"5-2차"</f>
        <v>5-2차</v>
      </c>
      <c r="D3029" s="1" t="str">
        <f>"0125Q6135M"</f>
        <v>0125Q6135M</v>
      </c>
      <c r="E3029" s="1" t="s">
        <v>10</v>
      </c>
      <c r="F3029" s="1" t="str">
        <f>"fde1:103:4:5771:0:0:0:2"</f>
        <v>fde1:103:4:5771:0:0:0:2</v>
      </c>
      <c r="G3029" s="1" t="str">
        <f>"0125Q613"</f>
        <v>0125Q613</v>
      </c>
      <c r="H3029" s="1" t="str">
        <f>"금문간 18R1L1"</f>
        <v>금문간 18R1L1</v>
      </c>
      <c r="I3029" s="1" t="s">
        <v>15</v>
      </c>
      <c r="J3029" s="1" t="str">
        <f>"63/63"</f>
        <v>63/63</v>
      </c>
      <c r="K3029" s="1" t="str">
        <f>"2026-07-29 14:20:00"</f>
        <v>2026-07-29 14:20:00</v>
      </c>
      <c r="L3029" s="1" t="str">
        <f>"2023-09-14 11:20:35"</f>
        <v>2023-09-14 11:20:35</v>
      </c>
      <c r="M3029" s="1" t="s">
        <v>4</v>
      </c>
      <c r="N3029" s="1" t="s">
        <v>38</v>
      </c>
      <c r="O3029" s="1" t="s">
        <v>46</v>
      </c>
    </row>
    <row r="3030" spans="2:15" x14ac:dyDescent="0.3">
      <c r="B3030" s="1" t="s">
        <v>23</v>
      </c>
      <c r="C3030" s="1" t="str">
        <f t="shared" si="180"/>
        <v>5-2차</v>
      </c>
      <c r="D3030" s="1" t="str">
        <f>"0125Q6215M"</f>
        <v>0125Q6215M</v>
      </c>
      <c r="E3030" s="1" t="s">
        <v>10</v>
      </c>
      <c r="F3030" s="1" t="str">
        <f>"fde1:103:4:59f7:0:0:0:2"</f>
        <v>fde1:103:4:59f7:0:0:0:2</v>
      </c>
      <c r="G3030" s="1" t="str">
        <f>"0125Q621"</f>
        <v>0125Q621</v>
      </c>
      <c r="H3030" s="1" t="str">
        <f>"금문간 18R1L2"</f>
        <v>금문간 18R1L2</v>
      </c>
      <c r="I3030" s="1" t="s">
        <v>15</v>
      </c>
      <c r="J3030" s="1" t="str">
        <f>"60/60"</f>
        <v>60/60</v>
      </c>
      <c r="K3030" s="1" t="str">
        <f>"2026-07-29 14:20:00"</f>
        <v>2026-07-29 14:20:00</v>
      </c>
      <c r="L3030" s="1" t="str">
        <f>"2023-09-14 11:21:31"</f>
        <v>2023-09-14 11:21:31</v>
      </c>
      <c r="M3030" s="1" t="s">
        <v>4</v>
      </c>
      <c r="N3030" s="1" t="s">
        <v>38</v>
      </c>
      <c r="O3030" s="1" t="s">
        <v>46</v>
      </c>
    </row>
    <row r="3031" spans="2:15" x14ac:dyDescent="0.3">
      <c r="B3031" s="1" t="s">
        <v>23</v>
      </c>
      <c r="C3031" s="1" t="str">
        <f t="shared" si="180"/>
        <v>5-2차</v>
      </c>
      <c r="D3031" s="1" t="str">
        <f>"0125Q6315S"</f>
        <v>0125Q6315S</v>
      </c>
      <c r="E3031" s="1" t="s">
        <v>10</v>
      </c>
      <c r="F3031" s="1" t="str">
        <f>"fde1:103:4:5a54:0:0:0:2"</f>
        <v>fde1:103:4:5a54:0:0:0:2</v>
      </c>
      <c r="G3031" s="1" t="str">
        <f>"0125Q631"</f>
        <v>0125Q631</v>
      </c>
      <c r="H3031" s="1" t="str">
        <f>"금문간 18R1L3"</f>
        <v>금문간 18R1L3</v>
      </c>
      <c r="I3031" s="1" t="s">
        <v>15</v>
      </c>
      <c r="J3031" s="1" t="str">
        <f>"56/56"</f>
        <v>56/56</v>
      </c>
      <c r="K3031" s="1" t="str">
        <f>"2026-07-29 14:20:17"</f>
        <v>2026-07-29 14:20:17</v>
      </c>
      <c r="L3031" s="1" t="str">
        <f>"2023-09-14 11:33:32"</f>
        <v>2023-09-14 11:33:32</v>
      </c>
      <c r="M3031" s="1" t="s">
        <v>4</v>
      </c>
      <c r="N3031" s="1" t="s">
        <v>38</v>
      </c>
      <c r="O3031" s="1" t="s">
        <v>46</v>
      </c>
    </row>
    <row r="3032" spans="2:15" x14ac:dyDescent="0.3">
      <c r="B3032" s="1" t="s">
        <v>23</v>
      </c>
      <c r="C3032" s="1" t="str">
        <f t="shared" si="180"/>
        <v>5-2차</v>
      </c>
      <c r="D3032" s="1" t="str">
        <f>"0125Q6745S"</f>
        <v>0125Q6745S</v>
      </c>
      <c r="E3032" s="1" t="s">
        <v>10</v>
      </c>
      <c r="F3032" s="1" t="str">
        <f>"fde1:103:4:5a46:0:0:0:2"</f>
        <v>fde1:103:4:5a46:0:0:0:2</v>
      </c>
      <c r="G3032" s="1" t="str">
        <f>"0125Q674"</f>
        <v>0125Q674</v>
      </c>
      <c r="H3032" s="1" t="str">
        <f>"금문간 34R9R3"</f>
        <v>금문간 34R9R3</v>
      </c>
      <c r="I3032" s="1" t="s">
        <v>15</v>
      </c>
      <c r="J3032" s="1" t="str">
        <f>"52/56"</f>
        <v>52/56</v>
      </c>
      <c r="K3032" s="1" t="str">
        <f>"2026-07-29 14:20:00"</f>
        <v>2026-07-29 14:20:00</v>
      </c>
      <c r="L3032" s="1" t="str">
        <f>"2023-09-14 11:39:17"</f>
        <v>2023-09-14 11:39:17</v>
      </c>
      <c r="M3032" s="1" t="s">
        <v>4</v>
      </c>
      <c r="N3032" s="1" t="s">
        <v>38</v>
      </c>
      <c r="O3032" s="1" t="s">
        <v>46</v>
      </c>
    </row>
    <row r="3033" spans="2:15" x14ac:dyDescent="0.3">
      <c r="B3033" s="1" t="s">
        <v>23</v>
      </c>
      <c r="C3033" s="1" t="str">
        <f t="shared" si="180"/>
        <v>5-2차</v>
      </c>
      <c r="D3033" s="1" t="str">
        <f>"0125Q6815M"</f>
        <v>0125Q6815M</v>
      </c>
      <c r="E3033" s="1" t="s">
        <v>10</v>
      </c>
      <c r="F3033" s="1" t="str">
        <f>"fde1:103:4:5a02:0:0:0:2"</f>
        <v>fde1:103:4:5a02:0:0:0:2</v>
      </c>
      <c r="G3033" s="1" t="str">
        <f>"0125Q681"</f>
        <v>0125Q681</v>
      </c>
      <c r="H3033" s="1" t="str">
        <f>"금문간 34R8"</f>
        <v>금문간 34R8</v>
      </c>
      <c r="I3033" s="1" t="s">
        <v>15</v>
      </c>
      <c r="J3033" s="1" t="str">
        <f>"68/68"</f>
        <v>68/68</v>
      </c>
      <c r="K3033" s="1" t="str">
        <f>"2026-07-29 14:20:01"</f>
        <v>2026-07-29 14:20:01</v>
      </c>
      <c r="L3033" s="1" t="str">
        <f>"2023-09-14 13:06:19"</f>
        <v>2023-09-14 13:06:19</v>
      </c>
      <c r="M3033" s="1" t="s">
        <v>4</v>
      </c>
      <c r="N3033" s="1" t="s">
        <v>38</v>
      </c>
      <c r="O3033" s="1" t="s">
        <v>46</v>
      </c>
    </row>
    <row r="3034" spans="2:15" x14ac:dyDescent="0.3">
      <c r="B3034" s="1" t="s">
        <v>23</v>
      </c>
      <c r="C3034" s="1" t="str">
        <f t="shared" si="180"/>
        <v>5-2차</v>
      </c>
      <c r="D3034" s="1" t="str">
        <f>"0125Q7145M"</f>
        <v>0125Q7145M</v>
      </c>
      <c r="E3034" s="1" t="s">
        <v>10</v>
      </c>
      <c r="F3034" s="1" t="str">
        <f>"fde1:103:4:5a4b:0:0:0:2"</f>
        <v>fde1:103:4:5a4b:0:0:0:2</v>
      </c>
      <c r="G3034" s="1" t="str">
        <f>"0125Q714"</f>
        <v>0125Q714</v>
      </c>
      <c r="H3034" s="1" t="str">
        <f>"금문간 18R4"</f>
        <v>금문간 18R4</v>
      </c>
      <c r="I3034" s="1" t="s">
        <v>15</v>
      </c>
      <c r="J3034" s="1" t="str">
        <f>"31/31"</f>
        <v>31/31</v>
      </c>
      <c r="K3034" s="1" t="str">
        <f>"2026-07-29 14:20:00"</f>
        <v>2026-07-29 14:20:00</v>
      </c>
      <c r="L3034" s="1" t="str">
        <f>"2023-09-14 13:18:47"</f>
        <v>2023-09-14 13:18:47</v>
      </c>
      <c r="M3034" s="1" t="s">
        <v>4</v>
      </c>
      <c r="N3034" s="1" t="s">
        <v>38</v>
      </c>
      <c r="O3034" s="1" t="s">
        <v>46</v>
      </c>
    </row>
    <row r="3035" spans="2:15" x14ac:dyDescent="0.3">
      <c r="B3035" s="1" t="s">
        <v>23</v>
      </c>
      <c r="C3035" s="1" t="str">
        <f t="shared" si="180"/>
        <v>5-2차</v>
      </c>
      <c r="D3035" s="1" t="str">
        <f>"0125Q7735M"</f>
        <v>0125Q7735M</v>
      </c>
      <c r="E3035" s="1" t="s">
        <v>10</v>
      </c>
      <c r="F3035" s="1" t="str">
        <f>"fde1:103:4:59f9:0:0:0:2"</f>
        <v>fde1:103:4:59f9:0:0:0:2</v>
      </c>
      <c r="G3035" s="1" t="str">
        <f>"0125Q773"</f>
        <v>0125Q773</v>
      </c>
      <c r="H3035" s="1" t="str">
        <f>"금문간 34R11"</f>
        <v>금문간 34R11</v>
      </c>
      <c r="I3035" s="1" t="s">
        <v>15</v>
      </c>
      <c r="J3035" s="1" t="str">
        <f>"47/47"</f>
        <v>47/47</v>
      </c>
      <c r="K3035" s="1" t="str">
        <f>"2026-07-29 14:20:00"</f>
        <v>2026-07-29 14:20:00</v>
      </c>
      <c r="L3035" s="1" t="str">
        <f>"2023-09-14 13:19:33"</f>
        <v>2023-09-14 13:19:33</v>
      </c>
      <c r="M3035" s="1" t="s">
        <v>4</v>
      </c>
      <c r="N3035" s="1" t="s">
        <v>38</v>
      </c>
      <c r="O3035" s="1" t="s">
        <v>46</v>
      </c>
    </row>
    <row r="3036" spans="2:15" x14ac:dyDescent="0.3">
      <c r="B3036" s="1" t="s">
        <v>23</v>
      </c>
      <c r="C3036" s="1" t="str">
        <f t="shared" si="180"/>
        <v>5-2차</v>
      </c>
      <c r="D3036" s="1" t="str">
        <f>"0125Q8225M"</f>
        <v>0125Q8225M</v>
      </c>
      <c r="E3036" s="1" t="s">
        <v>10</v>
      </c>
      <c r="F3036" s="1" t="str">
        <f>"fde1:103:4:58b4:0:0:0:2"</f>
        <v>fde1:103:4:58b4:0:0:0:2</v>
      </c>
      <c r="G3036" s="1" t="str">
        <f>"0125Q822"</f>
        <v>0125Q822</v>
      </c>
      <c r="H3036" s="1" t="str">
        <f>"금문간 18R8L5"</f>
        <v>금문간 18R8L5</v>
      </c>
      <c r="I3036" s="1" t="s">
        <v>15</v>
      </c>
      <c r="J3036" s="1" t="str">
        <f>"137/137"</f>
        <v>137/137</v>
      </c>
      <c r="K3036" s="1" t="str">
        <f>"2026-07-29 14:20:18"</f>
        <v>2026-07-29 14:20:18</v>
      </c>
      <c r="L3036" s="1" t="str">
        <f>"2023-09-14 13:36:34"</f>
        <v>2023-09-14 13:36:34</v>
      </c>
      <c r="M3036" s="1" t="s">
        <v>4</v>
      </c>
      <c r="N3036" s="1" t="s">
        <v>38</v>
      </c>
      <c r="O3036" s="1" t="s">
        <v>46</v>
      </c>
    </row>
    <row r="3037" spans="2:15" x14ac:dyDescent="0.3">
      <c r="B3037" s="1" t="s">
        <v>23</v>
      </c>
      <c r="C3037" s="1" t="str">
        <f t="shared" si="180"/>
        <v>5-2차</v>
      </c>
      <c r="D3037" s="1" t="str">
        <f>"0125Q8435M"</f>
        <v>0125Q8435M</v>
      </c>
      <c r="E3037" s="1" t="s">
        <v>10</v>
      </c>
      <c r="F3037" s="1" t="str">
        <f>"fde1:103:4:5a08:0:0:0:2"</f>
        <v>fde1:103:4:5a08:0:0:0:2</v>
      </c>
      <c r="G3037" s="1" t="str">
        <f>"0125Q843"</f>
        <v>0125Q843</v>
      </c>
      <c r="H3037" s="1" t="str">
        <f>"금문간 34R15R5L1"</f>
        <v>금문간 34R15R5L1</v>
      </c>
      <c r="I3037" s="1" t="s">
        <v>15</v>
      </c>
      <c r="J3037" s="1" t="str">
        <f>"148/148"</f>
        <v>148/148</v>
      </c>
      <c r="K3037" s="1" t="str">
        <f>"2026-07-29 14:20:07"</f>
        <v>2026-07-29 14:20:07</v>
      </c>
      <c r="L3037" s="1" t="str">
        <f>"2023-09-14 13:37:20"</f>
        <v>2023-09-14 13:37:20</v>
      </c>
      <c r="M3037" s="1" t="s">
        <v>4</v>
      </c>
      <c r="N3037" s="1" t="s">
        <v>38</v>
      </c>
      <c r="O3037" s="1" t="s">
        <v>46</v>
      </c>
    </row>
    <row r="3038" spans="2:15" x14ac:dyDescent="0.3">
      <c r="B3038" s="1" t="s">
        <v>23</v>
      </c>
      <c r="C3038" s="1" t="str">
        <f t="shared" si="180"/>
        <v>5-2차</v>
      </c>
      <c r="D3038" s="1" t="str">
        <f>"0125Q9125M"</f>
        <v>0125Q9125M</v>
      </c>
      <c r="E3038" s="1" t="s">
        <v>10</v>
      </c>
      <c r="F3038" s="1" t="str">
        <f>"fde1:103:4:5a2f:0:0:0:2"</f>
        <v>fde1:103:4:5a2f:0:0:0:2</v>
      </c>
      <c r="G3038" s="1" t="str">
        <f>"0125Q912"</f>
        <v>0125Q912</v>
      </c>
      <c r="H3038" s="1" t="str">
        <f>"금문간 18R8L2"</f>
        <v>금문간 18R8L2</v>
      </c>
      <c r="I3038" s="1" t="s">
        <v>15</v>
      </c>
      <c r="J3038" s="1" t="str">
        <f>"46/46"</f>
        <v>46/46</v>
      </c>
      <c r="K3038" s="1" t="str">
        <f>"2026-07-29 14:20:06"</f>
        <v>2026-07-29 14:20:06</v>
      </c>
      <c r="L3038" s="1" t="str">
        <f>"2023-09-14 13:50:31"</f>
        <v>2023-09-14 13:50:31</v>
      </c>
      <c r="M3038" s="1" t="s">
        <v>4</v>
      </c>
      <c r="N3038" s="1" t="s">
        <v>38</v>
      </c>
      <c r="O3038" s="1" t="s">
        <v>46</v>
      </c>
    </row>
    <row r="3039" spans="2:15" x14ac:dyDescent="0.3">
      <c r="B3039" s="1" t="s">
        <v>23</v>
      </c>
      <c r="C3039" s="1" t="str">
        <f t="shared" si="180"/>
        <v>5-2차</v>
      </c>
      <c r="D3039" s="1" t="str">
        <f>"0125Q9135M"</f>
        <v>0125Q9135M</v>
      </c>
      <c r="E3039" s="1" t="s">
        <v>10</v>
      </c>
      <c r="F3039" s="1" t="str">
        <f>"fde1:103:4:5a56:0:0:0:2"</f>
        <v>fde1:103:4:5a56:0:0:0:2</v>
      </c>
      <c r="G3039" s="1" t="str">
        <f>"0125Q913"</f>
        <v>0125Q913</v>
      </c>
      <c r="H3039" s="1" t="str">
        <f>"금문간 18R8L3"</f>
        <v>금문간 18R8L3</v>
      </c>
      <c r="I3039" s="1" t="s">
        <v>15</v>
      </c>
      <c r="J3039" s="1" t="str">
        <f>"54/55"</f>
        <v>54/55</v>
      </c>
      <c r="K3039" s="1" t="str">
        <f>"2026-07-29 14:20:02"</f>
        <v>2026-07-29 14:20:02</v>
      </c>
      <c r="L3039" s="1" t="str">
        <f>"2023-09-14 13:51:23"</f>
        <v>2023-09-14 13:51:23</v>
      </c>
      <c r="M3039" s="1" t="s">
        <v>4</v>
      </c>
      <c r="N3039" s="1" t="s">
        <v>38</v>
      </c>
      <c r="O3039" s="1" t="s">
        <v>46</v>
      </c>
    </row>
    <row r="3040" spans="2:15" x14ac:dyDescent="0.3">
      <c r="B3040" s="1" t="s">
        <v>23</v>
      </c>
      <c r="C3040" s="1" t="str">
        <f t="shared" si="180"/>
        <v>5-2차</v>
      </c>
      <c r="D3040" s="1" t="str">
        <f>"0125Q9225M"</f>
        <v>0125Q9225M</v>
      </c>
      <c r="E3040" s="1" t="s">
        <v>10</v>
      </c>
      <c r="F3040" s="1" t="str">
        <f>"fde1:103:4:5834:0:0:0:2"</f>
        <v>fde1:103:4:5834:0:0:0:2</v>
      </c>
      <c r="G3040" s="1" t="str">
        <f>"0125Q922"</f>
        <v>0125Q922</v>
      </c>
      <c r="H3040" s="1" t="str">
        <f>"금문간 18R8L3R2"</f>
        <v>금문간 18R8L3R2</v>
      </c>
      <c r="I3040" s="1" t="s">
        <v>15</v>
      </c>
      <c r="J3040" s="1" t="str">
        <f>"57/57"</f>
        <v>57/57</v>
      </c>
      <c r="K3040" s="1" t="str">
        <f>"2026-07-29 14:20:20"</f>
        <v>2026-07-29 14:20:20</v>
      </c>
      <c r="L3040" s="1" t="str">
        <f>"2023-09-14 14:03:50"</f>
        <v>2023-09-14 14:03:50</v>
      </c>
      <c r="M3040" s="1" t="s">
        <v>4</v>
      </c>
      <c r="N3040" s="1" t="s">
        <v>38</v>
      </c>
      <c r="O3040" s="1" t="s">
        <v>46</v>
      </c>
    </row>
    <row r="3041" spans="2:15" x14ac:dyDescent="0.3">
      <c r="B3041" s="1" t="s">
        <v>23</v>
      </c>
      <c r="C3041" s="1" t="str">
        <f>"5-1차"</f>
        <v>5-1차</v>
      </c>
      <c r="D3041" s="1" t="str">
        <f>"0125Q9615M"</f>
        <v>0125Q9615M</v>
      </c>
      <c r="E3041" s="1" t="s">
        <v>10</v>
      </c>
      <c r="F3041" s="1" t="str">
        <f>"fde3:102:1440:6200:0:0:0:6"</f>
        <v>fde3:102:1440:6200:0:0:0:6</v>
      </c>
      <c r="G3041" s="1" t="str">
        <f>"0125Q961"</f>
        <v>0125Q961</v>
      </c>
      <c r="H3041" s="1" t="str">
        <f>"금문간 34R15R2R1"</f>
        <v>금문간 34R15R2R1</v>
      </c>
      <c r="I3041" s="1" t="s">
        <v>15</v>
      </c>
      <c r="J3041" s="1" t="str">
        <f>"62/65"</f>
        <v>62/65</v>
      </c>
      <c r="K3041" s="1" t="str">
        <f>"2026-07-29 14:20:03"</f>
        <v>2026-07-29 14:20:03</v>
      </c>
      <c r="L3041" s="1" t="str">
        <f>"2022-11-01 11:12:58"</f>
        <v>2022-11-01 11:12:58</v>
      </c>
      <c r="M3041" s="1" t="s">
        <v>45</v>
      </c>
      <c r="N3041" s="1" t="s">
        <v>38</v>
      </c>
      <c r="O3041" s="1" t="s">
        <v>46</v>
      </c>
    </row>
    <row r="3042" spans="2:15" x14ac:dyDescent="0.3">
      <c r="B3042" s="1" t="s">
        <v>23</v>
      </c>
      <c r="C3042" s="1" t="str">
        <f t="shared" ref="C3042:C3051" si="181">"5-2차"</f>
        <v>5-2차</v>
      </c>
      <c r="D3042" s="1" t="str">
        <f>"0125R5035M"</f>
        <v>0125R5035M</v>
      </c>
      <c r="E3042" s="1" t="s">
        <v>10</v>
      </c>
      <c r="F3042" s="1" t="str">
        <f>"fde1:103:4:59c1:0:0:0:2"</f>
        <v>fde1:103:4:59c1:0:0:0:2</v>
      </c>
      <c r="G3042" s="1" t="str">
        <f>"0125R503"</f>
        <v>0125R503</v>
      </c>
      <c r="H3042" s="1" t="str">
        <f>"독서당간 94L3"</f>
        <v>독서당간 94L3</v>
      </c>
      <c r="I3042" s="1" t="s">
        <v>15</v>
      </c>
      <c r="J3042" s="1" t="str">
        <f>"40/41"</f>
        <v>40/41</v>
      </c>
      <c r="K3042" s="1" t="str">
        <f>"2026-07-29 14:20:18"</f>
        <v>2026-07-29 14:20:18</v>
      </c>
      <c r="L3042" s="1" t="str">
        <f>"2023-09-14 14:04:45"</f>
        <v>2023-09-14 14:04:45</v>
      </c>
      <c r="M3042" s="1" t="s">
        <v>4</v>
      </c>
      <c r="N3042" s="1" t="s">
        <v>38</v>
      </c>
      <c r="O3042" s="1" t="s">
        <v>46</v>
      </c>
    </row>
    <row r="3043" spans="2:15" x14ac:dyDescent="0.3">
      <c r="B3043" s="1" t="s">
        <v>23</v>
      </c>
      <c r="C3043" s="1" t="str">
        <f t="shared" si="181"/>
        <v>5-2차</v>
      </c>
      <c r="D3043" s="1" t="str">
        <f>"0125R6115M"</f>
        <v>0125R6115M</v>
      </c>
      <c r="E3043" s="1" t="s">
        <v>10</v>
      </c>
      <c r="F3043" s="1" t="str">
        <f>"fde1:103:4:59b0:0:0:0:2"</f>
        <v>fde1:103:4:59b0:0:0:0:2</v>
      </c>
      <c r="G3043" s="1" t="str">
        <f>"0125R611"</f>
        <v>0125R611</v>
      </c>
      <c r="H3043" s="1" t="str">
        <f>"독서당간 94"</f>
        <v>독서당간 94</v>
      </c>
      <c r="I3043" s="1" t="s">
        <v>15</v>
      </c>
      <c r="J3043" s="1" t="str">
        <f>"41/41"</f>
        <v>41/41</v>
      </c>
      <c r="K3043" s="1" t="str">
        <f>"2026-07-29 14:20:02"</f>
        <v>2026-07-29 14:20:02</v>
      </c>
      <c r="L3043" s="1" t="str">
        <f>"2023-09-14 14:28:42"</f>
        <v>2023-09-14 14:28:42</v>
      </c>
      <c r="M3043" s="1" t="s">
        <v>4</v>
      </c>
      <c r="N3043" s="1" t="s">
        <v>38</v>
      </c>
      <c r="O3043" s="1" t="s">
        <v>46</v>
      </c>
    </row>
    <row r="3044" spans="2:15" x14ac:dyDescent="0.3">
      <c r="B3044" s="1" t="s">
        <v>23</v>
      </c>
      <c r="C3044" s="1" t="str">
        <f t="shared" si="181"/>
        <v>5-2차</v>
      </c>
      <c r="D3044" s="1" t="str">
        <f>"0125R7015M"</f>
        <v>0125R7015M</v>
      </c>
      <c r="E3044" s="1" t="s">
        <v>10</v>
      </c>
      <c r="F3044" s="1" t="str">
        <f>"fde1:103:4:5982:0:0:0:2"</f>
        <v>fde1:103:4:5982:0:0:0:2</v>
      </c>
      <c r="G3044" s="1" t="str">
        <f>"0125R701"</f>
        <v>0125R701</v>
      </c>
      <c r="H3044" s="1" t="str">
        <f>"독서당간 94L16"</f>
        <v>독서당간 94L16</v>
      </c>
      <c r="I3044" s="1" t="s">
        <v>15</v>
      </c>
      <c r="J3044" s="1" t="str">
        <f>"49/49"</f>
        <v>49/49</v>
      </c>
      <c r="K3044" s="1" t="str">
        <f>"2026-07-29 14:20:02"</f>
        <v>2026-07-29 14:20:02</v>
      </c>
      <c r="L3044" s="1" t="str">
        <f>"2023-09-14 14:29:19"</f>
        <v>2023-09-14 14:29:19</v>
      </c>
      <c r="M3044" s="1" t="s">
        <v>4</v>
      </c>
      <c r="N3044" s="1" t="s">
        <v>38</v>
      </c>
      <c r="O3044" s="1" t="s">
        <v>46</v>
      </c>
    </row>
    <row r="3045" spans="2:15" x14ac:dyDescent="0.3">
      <c r="B3045" s="1" t="s">
        <v>23</v>
      </c>
      <c r="C3045" s="1" t="str">
        <f t="shared" si="181"/>
        <v>5-2차</v>
      </c>
      <c r="D3045" s="1" t="str">
        <f>"0125R7135S"</f>
        <v>0125R7135S</v>
      </c>
      <c r="E3045" s="1" t="s">
        <v>10</v>
      </c>
      <c r="F3045" s="1" t="str">
        <f>"fde1:103:4:5987:0:0:0:2"</f>
        <v>fde1:103:4:5987:0:0:0:2</v>
      </c>
      <c r="G3045" s="1" t="str">
        <f>"0125R713"</f>
        <v>0125R713</v>
      </c>
      <c r="H3045" s="1" t="str">
        <f>"독서당간 94L17"</f>
        <v>독서당간 94L17</v>
      </c>
      <c r="I3045" s="1" t="s">
        <v>15</v>
      </c>
      <c r="J3045" s="1" t="str">
        <f>"40/40"</f>
        <v>40/40</v>
      </c>
      <c r="K3045" s="1" t="str">
        <f>"2026-07-29 14:20:18"</f>
        <v>2026-07-29 14:20:18</v>
      </c>
      <c r="L3045" s="1" t="str">
        <f>"2023-09-14 14:44:28"</f>
        <v>2023-09-14 14:44:28</v>
      </c>
      <c r="M3045" s="1" t="s">
        <v>4</v>
      </c>
      <c r="N3045" s="1" t="s">
        <v>38</v>
      </c>
      <c r="O3045" s="1" t="s">
        <v>46</v>
      </c>
    </row>
    <row r="3046" spans="2:15" x14ac:dyDescent="0.3">
      <c r="B3046" s="1" t="s">
        <v>23</v>
      </c>
      <c r="C3046" s="1" t="str">
        <f t="shared" si="181"/>
        <v>5-2차</v>
      </c>
      <c r="D3046" s="1" t="str">
        <f>"0125R7645M"</f>
        <v>0125R7645M</v>
      </c>
      <c r="E3046" s="1" t="s">
        <v>10</v>
      </c>
      <c r="F3046" s="1" t="str">
        <f>"fde1:103:4:5864:0:0:0:2"</f>
        <v>fde1:103:4:5864:0:0:0:2</v>
      </c>
      <c r="G3046" s="1" t="str">
        <f>"0125R764"</f>
        <v>0125R764</v>
      </c>
      <c r="H3046" s="1" t="str">
        <f>"금문간 22L1L13"</f>
        <v>금문간 22L1L13</v>
      </c>
      <c r="I3046" s="1" t="s">
        <v>15</v>
      </c>
      <c r="J3046" s="1" t="str">
        <f>"63/63"</f>
        <v>63/63</v>
      </c>
      <c r="K3046" s="1" t="str">
        <f>"2026-07-29 14:20:02"</f>
        <v>2026-07-29 14:20:02</v>
      </c>
      <c r="L3046" s="1" t="str">
        <f>"2023-09-14 14:44:57"</f>
        <v>2023-09-14 14:44:57</v>
      </c>
      <c r="M3046" s="1" t="s">
        <v>4</v>
      </c>
      <c r="N3046" s="1" t="s">
        <v>38</v>
      </c>
      <c r="O3046" s="1" t="s">
        <v>46</v>
      </c>
    </row>
    <row r="3047" spans="2:15" x14ac:dyDescent="0.3">
      <c r="B3047" s="1" t="s">
        <v>23</v>
      </c>
      <c r="C3047" s="1" t="str">
        <f t="shared" si="181"/>
        <v>5-2차</v>
      </c>
      <c r="D3047" s="1" t="str">
        <f>"0125R8535M"</f>
        <v>0125R8535M</v>
      </c>
      <c r="E3047" s="1" t="s">
        <v>10</v>
      </c>
      <c r="F3047" s="1" t="str">
        <f>"fde1:103:4:5a41:0:0:0:2"</f>
        <v>fde1:103:4:5a41:0:0:0:2</v>
      </c>
      <c r="G3047" s="1" t="str">
        <f>"0125R853"</f>
        <v>0125R853</v>
      </c>
      <c r="H3047" s="1" t="str">
        <f>"옥수지 48L1R1"</f>
        <v>옥수지 48L1R1</v>
      </c>
      <c r="I3047" s="1" t="s">
        <v>15</v>
      </c>
      <c r="J3047" s="1" t="str">
        <f>"52/53"</f>
        <v>52/53</v>
      </c>
      <c r="K3047" s="1" t="str">
        <f>"2026-07-29 14:20:31"</f>
        <v>2026-07-29 14:20:31</v>
      </c>
      <c r="L3047" s="1" t="str">
        <f>"2023-09-15 14:49:55"</f>
        <v>2023-09-15 14:49:55</v>
      </c>
      <c r="M3047" s="1" t="s">
        <v>4</v>
      </c>
      <c r="N3047" s="1" t="s">
        <v>38</v>
      </c>
      <c r="O3047" s="1" t="s">
        <v>46</v>
      </c>
    </row>
    <row r="3048" spans="2:15" x14ac:dyDescent="0.3">
      <c r="B3048" s="1" t="s">
        <v>23</v>
      </c>
      <c r="C3048" s="1" t="str">
        <f t="shared" si="181"/>
        <v>5-2차</v>
      </c>
      <c r="D3048" s="1" t="str">
        <f>"0125R8825M"</f>
        <v>0125R8825M</v>
      </c>
      <c r="E3048" s="1" t="s">
        <v>10</v>
      </c>
      <c r="F3048" s="1" t="str">
        <f>"fde1:103:4:5a15:0:0:0:2"</f>
        <v>fde1:103:4:5a15:0:0:0:2</v>
      </c>
      <c r="G3048" s="1" t="str">
        <f>"0125R882"</f>
        <v>0125R882</v>
      </c>
      <c r="H3048" s="1" t="str">
        <f>"금문간 22L1L8"</f>
        <v>금문간 22L1L8</v>
      </c>
      <c r="I3048" s="1" t="s">
        <v>15</v>
      </c>
      <c r="J3048" s="1" t="str">
        <f>"43/43"</f>
        <v>43/43</v>
      </c>
      <c r="K3048" s="1" t="str">
        <f>"2026-07-29 14:20:02"</f>
        <v>2026-07-29 14:20:02</v>
      </c>
      <c r="L3048" s="1" t="str">
        <f>"2023-09-15 14:50:48"</f>
        <v>2023-09-15 14:50:48</v>
      </c>
      <c r="M3048" s="1" t="s">
        <v>4</v>
      </c>
      <c r="N3048" s="1" t="s">
        <v>38</v>
      </c>
      <c r="O3048" s="1" t="s">
        <v>46</v>
      </c>
    </row>
    <row r="3049" spans="2:15" x14ac:dyDescent="0.3">
      <c r="B3049" s="1" t="s">
        <v>23</v>
      </c>
      <c r="C3049" s="1" t="str">
        <f t="shared" si="181"/>
        <v>5-2차</v>
      </c>
      <c r="D3049" s="1" t="str">
        <f>"0125R8915S"</f>
        <v>0125R8915S</v>
      </c>
      <c r="E3049" s="1" t="s">
        <v>10</v>
      </c>
      <c r="F3049" s="1" t="str">
        <f>"fde1:103:4:5a17:0:0:0:2"</f>
        <v>fde1:103:4:5a17:0:0:0:2</v>
      </c>
      <c r="G3049" s="1" t="str">
        <f>"0125R891"</f>
        <v>0125R891</v>
      </c>
      <c r="H3049" s="1" t="str">
        <f>"금문간 22L1L8R1"</f>
        <v>금문간 22L1L8R1</v>
      </c>
      <c r="I3049" s="1" t="s">
        <v>15</v>
      </c>
      <c r="J3049" s="1" t="str">
        <f>"31/32"</f>
        <v>31/32</v>
      </c>
      <c r="K3049" s="1" t="str">
        <f>"2026-07-29 14:20:02"</f>
        <v>2026-07-29 14:20:02</v>
      </c>
      <c r="L3049" s="1" t="str">
        <f>"2023-09-15 15:03:30"</f>
        <v>2023-09-15 15:03:30</v>
      </c>
      <c r="M3049" s="1" t="s">
        <v>4</v>
      </c>
      <c r="N3049" s="1" t="s">
        <v>38</v>
      </c>
      <c r="O3049" s="1" t="s">
        <v>46</v>
      </c>
    </row>
    <row r="3050" spans="2:15" x14ac:dyDescent="0.3">
      <c r="B3050" s="1" t="s">
        <v>23</v>
      </c>
      <c r="C3050" s="1" t="str">
        <f t="shared" si="181"/>
        <v>5-2차</v>
      </c>
      <c r="D3050" s="1" t="str">
        <f>"0125R9215M"</f>
        <v>0125R9215M</v>
      </c>
      <c r="E3050" s="1" t="s">
        <v>10</v>
      </c>
      <c r="F3050" s="1" t="str">
        <f>"fde1:103:4:59fa:0:0:0:2"</f>
        <v>fde1:103:4:59fa:0:0:0:2</v>
      </c>
      <c r="G3050" s="1" t="str">
        <f>"0125R921"</f>
        <v>0125R921</v>
      </c>
      <c r="H3050" s="1" t="str">
        <f>"독서당간 89L4"</f>
        <v>독서당간 89L4</v>
      </c>
      <c r="I3050" s="1" t="s">
        <v>15</v>
      </c>
      <c r="J3050" s="1" t="str">
        <f>"78/78"</f>
        <v>78/78</v>
      </c>
      <c r="K3050" s="1" t="str">
        <f>"2026-07-29 14:20:06"</f>
        <v>2026-07-29 14:20:06</v>
      </c>
      <c r="L3050" s="1" t="str">
        <f>"2023-09-15 15:04:08"</f>
        <v>2023-09-15 15:04:08</v>
      </c>
      <c r="M3050" s="1" t="s">
        <v>4</v>
      </c>
      <c r="N3050" s="1" t="s">
        <v>38</v>
      </c>
      <c r="O3050" s="1" t="s">
        <v>46</v>
      </c>
    </row>
    <row r="3051" spans="2:15" x14ac:dyDescent="0.3">
      <c r="B3051" s="1" t="s">
        <v>23</v>
      </c>
      <c r="C3051" s="1" t="str">
        <f t="shared" si="181"/>
        <v>5-2차</v>
      </c>
      <c r="D3051" s="1" t="str">
        <f>"0125S1625M"</f>
        <v>0125S1625M</v>
      </c>
      <c r="E3051" s="1" t="s">
        <v>10</v>
      </c>
      <c r="F3051" s="1" t="str">
        <f>"fde1:103:4:5a4d:0:0:0:2"</f>
        <v>fde1:103:4:5a4d:0:0:0:2</v>
      </c>
      <c r="G3051" s="1" t="str">
        <f>"0125S162"</f>
        <v>0125S162</v>
      </c>
      <c r="H3051" s="1" t="str">
        <f>"금문간 8"</f>
        <v>금문간 8</v>
      </c>
      <c r="I3051" s="1" t="s">
        <v>15</v>
      </c>
      <c r="J3051" s="1" t="str">
        <f>"25/25"</f>
        <v>25/25</v>
      </c>
      <c r="K3051" s="1" t="str">
        <f>"2026-07-29 14:20:03"</f>
        <v>2026-07-29 14:20:03</v>
      </c>
      <c r="L3051" s="1" t="str">
        <f>"2023-09-15 15:29:21"</f>
        <v>2023-09-15 15:29:21</v>
      </c>
      <c r="M3051" s="1" t="s">
        <v>4</v>
      </c>
      <c r="N3051" s="1" t="s">
        <v>38</v>
      </c>
      <c r="O3051" s="1" t="s">
        <v>46</v>
      </c>
    </row>
    <row r="3052" spans="2:15" x14ac:dyDescent="0.3">
      <c r="B3052" s="1" t="s">
        <v>23</v>
      </c>
      <c r="C3052" s="1" t="str">
        <f>"5-1차"</f>
        <v>5-1차</v>
      </c>
      <c r="D3052" s="1" t="str">
        <f>"0125S1915S"</f>
        <v>0125S1915S</v>
      </c>
      <c r="E3052" s="1" t="s">
        <v>10</v>
      </c>
      <c r="F3052" s="1" t="str">
        <f>"fde3:102:1440:6200:0:0:0:b"</f>
        <v>fde3:102:1440:6200:0:0:0:b</v>
      </c>
      <c r="G3052" s="1" t="str">
        <f>"0125S191"</f>
        <v>0125S191</v>
      </c>
      <c r="H3052" s="1" t="str">
        <f>"금문간 22L1L2L1R2"</f>
        <v>금문간 22L1L2L1R2</v>
      </c>
      <c r="I3052" s="1" t="s">
        <v>15</v>
      </c>
      <c r="J3052" s="1" t="str">
        <f>"36/36"</f>
        <v>36/36</v>
      </c>
      <c r="K3052" s="1" t="str">
        <f>"2026-07-29 14:20:03"</f>
        <v>2026-07-29 14:20:03</v>
      </c>
      <c r="L3052" s="1" t="str">
        <f>"2022-11-23 18:36:11"</f>
        <v>2022-11-23 18:36:11</v>
      </c>
      <c r="M3052" s="1" t="s">
        <v>45</v>
      </c>
      <c r="N3052" s="1" t="s">
        <v>38</v>
      </c>
      <c r="O3052" s="1" t="s">
        <v>46</v>
      </c>
    </row>
    <row r="3053" spans="2:15" x14ac:dyDescent="0.3">
      <c r="B3053" s="1" t="s">
        <v>23</v>
      </c>
      <c r="C3053" s="1" t="str">
        <f>"5-1차"</f>
        <v>5-1차</v>
      </c>
      <c r="D3053" s="1" t="str">
        <f>"0125S2725M"</f>
        <v>0125S2725M</v>
      </c>
      <c r="E3053" s="1" t="s">
        <v>10</v>
      </c>
      <c r="F3053" s="1" t="str">
        <f>"fde3:102:1440:6200:0:0:0:8"</f>
        <v>fde3:102:1440:6200:0:0:0:8</v>
      </c>
      <c r="G3053" s="1" t="str">
        <f>"0125S272"</f>
        <v>0125S272</v>
      </c>
      <c r="H3053" s="1" t="str">
        <f>"금문간 10"</f>
        <v>금문간 10</v>
      </c>
      <c r="I3053" s="1" t="s">
        <v>15</v>
      </c>
      <c r="J3053" s="1" t="str">
        <f>"30/30"</f>
        <v>30/30</v>
      </c>
      <c r="K3053" s="1" t="str">
        <f>"2026-07-29 14:20:03"</f>
        <v>2026-07-29 14:20:03</v>
      </c>
      <c r="L3053" s="1" t="str">
        <f>"2022-11-01 11:13:35"</f>
        <v>2022-11-01 11:13:35</v>
      </c>
      <c r="M3053" s="1" t="s">
        <v>45</v>
      </c>
      <c r="N3053" s="1" t="s">
        <v>38</v>
      </c>
      <c r="O3053" s="1" t="s">
        <v>46</v>
      </c>
    </row>
    <row r="3054" spans="2:15" x14ac:dyDescent="0.3">
      <c r="B3054" s="1" t="s">
        <v>23</v>
      </c>
      <c r="C3054" s="1" t="str">
        <f>"6차"</f>
        <v>6차</v>
      </c>
      <c r="D3054" s="1" t="str">
        <f>"0125S3846S"</f>
        <v>0125S3846S</v>
      </c>
      <c r="E3054" s="1" t="s">
        <v>10</v>
      </c>
      <c r="F3054" s="1" t="str">
        <f>"fde1:103:4:c5b2:0:0:0:2"</f>
        <v>fde1:103:4:c5b2:0:0:0:2</v>
      </c>
      <c r="G3054" s="1" t="str">
        <f>"0125S384"</f>
        <v>0125S384</v>
      </c>
      <c r="H3054" s="1" t="str">
        <f>"금문간 11"</f>
        <v>금문간 11</v>
      </c>
      <c r="I3054" s="1" t="s">
        <v>15</v>
      </c>
      <c r="J3054" s="1" t="str">
        <f>"30/30"</f>
        <v>30/30</v>
      </c>
      <c r="K3054" s="1" t="str">
        <f>"2026-07-29 14:20:00"</f>
        <v>2026-07-29 14:20:00</v>
      </c>
      <c r="L3054" s="1" t="str">
        <f>"2024-12-10 15:44:18"</f>
        <v>2024-12-10 15:44:18</v>
      </c>
      <c r="M3054" s="1" t="s">
        <v>4</v>
      </c>
      <c r="N3054" s="1" t="s">
        <v>38</v>
      </c>
      <c r="O3054" s="1" t="s">
        <v>46</v>
      </c>
    </row>
    <row r="3055" spans="2:15" x14ac:dyDescent="0.3">
      <c r="B3055" s="1" t="s">
        <v>23</v>
      </c>
      <c r="C3055" s="1" t="str">
        <f>"5-2차"</f>
        <v>5-2차</v>
      </c>
      <c r="D3055" s="1" t="str">
        <f>"0125S4915M"</f>
        <v>0125S4915M</v>
      </c>
      <c r="E3055" s="1" t="s">
        <v>10</v>
      </c>
      <c r="F3055" s="1" t="str">
        <f>"fde1:103:4:59a0:0:0:0:2"</f>
        <v>fde1:103:4:59a0:0:0:0:2</v>
      </c>
      <c r="G3055" s="1" t="str">
        <f>"0125S491"</f>
        <v>0125S491</v>
      </c>
      <c r="H3055" s="1" t="str">
        <f>"독서당간 78"</f>
        <v>독서당간 78</v>
      </c>
      <c r="I3055" s="1" t="s">
        <v>15</v>
      </c>
      <c r="J3055" s="1" t="str">
        <f>"44/44"</f>
        <v>44/44</v>
      </c>
      <c r="K3055" s="1" t="str">
        <f>"2026-07-29 14:20:03"</f>
        <v>2026-07-29 14:20:03</v>
      </c>
      <c r="L3055" s="1" t="str">
        <f>"2023-09-15 15:29:56"</f>
        <v>2023-09-15 15:29:56</v>
      </c>
      <c r="M3055" s="1" t="s">
        <v>4</v>
      </c>
      <c r="N3055" s="1" t="s">
        <v>38</v>
      </c>
      <c r="O3055" s="1" t="s">
        <v>46</v>
      </c>
    </row>
    <row r="3056" spans="2:15" x14ac:dyDescent="0.3">
      <c r="B3056" s="1" t="s">
        <v>23</v>
      </c>
      <c r="C3056" s="1" t="str">
        <f>"5-1차"</f>
        <v>5-1차</v>
      </c>
      <c r="D3056" s="1" t="str">
        <f>"0125S4945M"</f>
        <v>0125S4945M</v>
      </c>
      <c r="E3056" s="1" t="s">
        <v>10</v>
      </c>
      <c r="F3056" s="1" t="str">
        <f>"fde3:102:1440:6200:0:0:0:9"</f>
        <v>fde3:102:1440:6200:0:0:0:9</v>
      </c>
      <c r="G3056" s="1" t="str">
        <f>"0125S494"</f>
        <v>0125S494</v>
      </c>
      <c r="H3056" s="1" t="str">
        <f>"금문간 13"</f>
        <v>금문간 13</v>
      </c>
      <c r="I3056" s="1" t="s">
        <v>15</v>
      </c>
      <c r="J3056" s="1" t="str">
        <f>"48/48"</f>
        <v>48/48</v>
      </c>
      <c r="K3056" s="1" t="str">
        <f>"2026-07-29 14:20:03"</f>
        <v>2026-07-29 14:20:03</v>
      </c>
      <c r="L3056" s="1" t="str">
        <f>"2022-11-22 15:21:15"</f>
        <v>2022-11-22 15:21:15</v>
      </c>
      <c r="M3056" s="1" t="s">
        <v>45</v>
      </c>
      <c r="N3056" s="1" t="s">
        <v>38</v>
      </c>
      <c r="O3056" s="1" t="s">
        <v>46</v>
      </c>
    </row>
    <row r="3057" spans="2:15" x14ac:dyDescent="0.3">
      <c r="B3057" s="1" t="s">
        <v>23</v>
      </c>
      <c r="C3057" s="1" t="str">
        <f>"5-2차"</f>
        <v>5-2차</v>
      </c>
      <c r="D3057" s="1" t="str">
        <f>"0125S5825M"</f>
        <v>0125S5825M</v>
      </c>
      <c r="E3057" s="1" t="s">
        <v>10</v>
      </c>
      <c r="F3057" s="1" t="str">
        <f>"fde1:103:4:583a:0:0:0:2"</f>
        <v>fde1:103:4:583a:0:0:0:2</v>
      </c>
      <c r="G3057" s="1" t="str">
        <f>"0125S582"</f>
        <v>0125S582</v>
      </c>
      <c r="H3057" s="1" t="str">
        <f>"독서당간 80L3"</f>
        <v>독서당간 80L3</v>
      </c>
      <c r="I3057" s="1" t="s">
        <v>15</v>
      </c>
      <c r="J3057" s="1" t="str">
        <f>"61/61"</f>
        <v>61/61</v>
      </c>
      <c r="K3057" s="1" t="str">
        <f>"2026-07-29 14:20:03"</f>
        <v>2026-07-29 14:20:03</v>
      </c>
      <c r="L3057" s="1" t="str">
        <f>"2023-09-15 15:44:17"</f>
        <v>2023-09-15 15:44:17</v>
      </c>
      <c r="M3057" s="1" t="s">
        <v>4</v>
      </c>
      <c r="N3057" s="1" t="s">
        <v>38</v>
      </c>
      <c r="O3057" s="1" t="s">
        <v>46</v>
      </c>
    </row>
    <row r="3058" spans="2:15" x14ac:dyDescent="0.3">
      <c r="B3058" s="1" t="s">
        <v>23</v>
      </c>
      <c r="C3058" s="1" t="str">
        <f>"5-2차"</f>
        <v>5-2차</v>
      </c>
      <c r="D3058" s="1" t="str">
        <f>"0125S5925M"</f>
        <v>0125S5925M</v>
      </c>
      <c r="E3058" s="1" t="s">
        <v>10</v>
      </c>
      <c r="F3058" s="1" t="str">
        <f>"fde1:103:4:5825:0:0:0:2"</f>
        <v>fde1:103:4:5825:0:0:0:2</v>
      </c>
      <c r="G3058" s="1" t="str">
        <f>"0125S592"</f>
        <v>0125S592</v>
      </c>
      <c r="H3058" s="1" t="str">
        <f>"독서당간 76"</f>
        <v>독서당간 76</v>
      </c>
      <c r="I3058" s="1" t="s">
        <v>15</v>
      </c>
      <c r="J3058" s="1" t="str">
        <f>"70/70"</f>
        <v>70/70</v>
      </c>
      <c r="K3058" s="1" t="str">
        <f>"2026-07-29 14:20:02"</f>
        <v>2026-07-29 14:20:02</v>
      </c>
      <c r="L3058" s="1" t="str">
        <f>"2023-09-15 15:44:51"</f>
        <v>2023-09-15 15:44:51</v>
      </c>
      <c r="M3058" s="1" t="s">
        <v>4</v>
      </c>
      <c r="N3058" s="1" t="s">
        <v>38</v>
      </c>
      <c r="O3058" s="1" t="s">
        <v>46</v>
      </c>
    </row>
    <row r="3059" spans="2:15" x14ac:dyDescent="0.3">
      <c r="B3059" s="1" t="s">
        <v>23</v>
      </c>
      <c r="C3059" s="1" t="str">
        <f>"5-2차"</f>
        <v>5-2차</v>
      </c>
      <c r="D3059" s="1" t="str">
        <f>"0125S6815M"</f>
        <v>0125S6815M</v>
      </c>
      <c r="E3059" s="1" t="s">
        <v>10</v>
      </c>
      <c r="F3059" s="1" t="str">
        <f>"fde1:103:4:58b1:0:0:0:2"</f>
        <v>fde1:103:4:58b1:0:0:0:2</v>
      </c>
      <c r="G3059" s="1" t="str">
        <f>"0125S681"</f>
        <v>0125S681</v>
      </c>
      <c r="H3059" s="1" t="str">
        <f>"독서당간 69L3R4"</f>
        <v>독서당간 69L3R4</v>
      </c>
      <c r="I3059" s="1" t="s">
        <v>15</v>
      </c>
      <c r="J3059" s="1" t="str">
        <f>"24/24"</f>
        <v>24/24</v>
      </c>
      <c r="K3059" s="1" t="str">
        <f>"2026-07-29 14:20:06"</f>
        <v>2026-07-29 14:20:06</v>
      </c>
      <c r="L3059" s="1" t="str">
        <f>"2023-09-15 15:57:31"</f>
        <v>2023-09-15 15:57:31</v>
      </c>
      <c r="M3059" s="1" t="s">
        <v>4</v>
      </c>
      <c r="N3059" s="1" t="s">
        <v>38</v>
      </c>
      <c r="O3059" s="1" t="s">
        <v>46</v>
      </c>
    </row>
    <row r="3060" spans="2:15" x14ac:dyDescent="0.3">
      <c r="B3060" s="1" t="s">
        <v>23</v>
      </c>
      <c r="C3060" s="1" t="str">
        <f>"5-2차"</f>
        <v>5-2차</v>
      </c>
      <c r="D3060" s="1" t="str">
        <f>"0125S7915M"</f>
        <v>0125S7915M</v>
      </c>
      <c r="E3060" s="1" t="s">
        <v>10</v>
      </c>
      <c r="F3060" s="1" t="str">
        <f>"fde1:103:4:587e:0:0:0:2"</f>
        <v>fde1:103:4:587e:0:0:0:2</v>
      </c>
      <c r="G3060" s="1" t="str">
        <f>"0125S791"</f>
        <v>0125S791</v>
      </c>
      <c r="H3060" s="1" t="str">
        <f>"독서당간 75L3"</f>
        <v>독서당간 75L3</v>
      </c>
      <c r="I3060" s="1" t="s">
        <v>15</v>
      </c>
      <c r="J3060" s="1" t="str">
        <f>"40/41"</f>
        <v>40/41</v>
      </c>
      <c r="K3060" s="1" t="str">
        <f>"2026-07-29 14:20:04"</f>
        <v>2026-07-29 14:20:04</v>
      </c>
      <c r="L3060" s="1" t="str">
        <f>"2023-09-15 16:00:11"</f>
        <v>2023-09-15 16:00:11</v>
      </c>
      <c r="M3060" s="1" t="s">
        <v>4</v>
      </c>
      <c r="N3060" s="1" t="s">
        <v>38</v>
      </c>
      <c r="O3060" s="1" t="s">
        <v>46</v>
      </c>
    </row>
    <row r="3061" spans="2:15" x14ac:dyDescent="0.3">
      <c r="B3061" s="1" t="s">
        <v>23</v>
      </c>
      <c r="C3061" s="1" t="str">
        <f>"5-2차"</f>
        <v>5-2차</v>
      </c>
      <c r="D3061" s="1" t="str">
        <f>"0125W0515M"</f>
        <v>0125W0515M</v>
      </c>
      <c r="E3061" s="1" t="s">
        <v>10</v>
      </c>
      <c r="F3061" s="1" t="str">
        <f>"fde1:103:4:5a3c:0:0:0:2"</f>
        <v>fde1:103:4:5a3c:0:0:0:2</v>
      </c>
      <c r="G3061" s="1" t="str">
        <f>"0125W051"</f>
        <v>0125W051</v>
      </c>
      <c r="H3061" s="1" t="str">
        <f>"금문간 34R15R2"</f>
        <v>금문간 34R15R2</v>
      </c>
      <c r="I3061" s="1" t="s">
        <v>15</v>
      </c>
      <c r="J3061" s="1" t="str">
        <f>"56/56"</f>
        <v>56/56</v>
      </c>
      <c r="K3061" s="1" t="str">
        <f>"2026-07-29 14:20:03"</f>
        <v>2026-07-29 14:20:03</v>
      </c>
      <c r="L3061" s="1" t="str">
        <f>"2023-09-18 09:47:17"</f>
        <v>2023-09-18 09:47:17</v>
      </c>
      <c r="M3061" s="1" t="s">
        <v>4</v>
      </c>
      <c r="N3061" s="1" t="s">
        <v>38</v>
      </c>
      <c r="O3061" s="1" t="s">
        <v>46</v>
      </c>
    </row>
    <row r="3062" spans="2:15" x14ac:dyDescent="0.3">
      <c r="B3062" s="1" t="s">
        <v>23</v>
      </c>
      <c r="C3062" s="1" t="str">
        <f>"5-1차"</f>
        <v>5-1차</v>
      </c>
      <c r="D3062" s="1" t="str">
        <f>"0125W0525S"</f>
        <v>0125W0525S</v>
      </c>
      <c r="E3062" s="1" t="s">
        <v>10</v>
      </c>
      <c r="F3062" s="1" t="str">
        <f>"fde3:102:1440:6200:0:0:0:7"</f>
        <v>fde3:102:1440:6200:0:0:0:7</v>
      </c>
      <c r="G3062" s="1" t="str">
        <f>"0125W052"</f>
        <v>0125W052</v>
      </c>
      <c r="H3062" s="1" t="str">
        <f>"금문간 34R15R2L1"</f>
        <v>금문간 34R15R2L1</v>
      </c>
      <c r="I3062" s="1" t="s">
        <v>15</v>
      </c>
      <c r="J3062" s="1" t="str">
        <f>"54/54"</f>
        <v>54/54</v>
      </c>
      <c r="K3062" s="1" t="str">
        <f>"2026-07-29 14:20:03"</f>
        <v>2026-07-29 14:20:03</v>
      </c>
      <c r="L3062" s="1" t="str">
        <f>"2022-11-01 11:18:35"</f>
        <v>2022-11-01 11:18:35</v>
      </c>
      <c r="M3062" s="1" t="s">
        <v>45</v>
      </c>
      <c r="N3062" s="1" t="s">
        <v>38</v>
      </c>
      <c r="O3062" s="1" t="s">
        <v>46</v>
      </c>
    </row>
    <row r="3063" spans="2:15" x14ac:dyDescent="0.3">
      <c r="B3063" s="1" t="s">
        <v>23</v>
      </c>
      <c r="C3063" s="1" t="str">
        <f>"5-1차"</f>
        <v>5-1차</v>
      </c>
      <c r="D3063" s="1" t="str">
        <f>"0125W0645M"</f>
        <v>0125W0645M</v>
      </c>
      <c r="E3063" s="1" t="s">
        <v>10</v>
      </c>
      <c r="F3063" s="1" t="str">
        <f>"fde2:104:0:1a6:0:0:0:2"</f>
        <v>fde2:104:0:1a6:0:0:0:2</v>
      </c>
      <c r="G3063" s="1" t="str">
        <f>"0125W064"</f>
        <v>0125W064</v>
      </c>
      <c r="H3063" s="1" t="str">
        <f>"금문간 34R15"</f>
        <v>금문간 34R15</v>
      </c>
      <c r="I3063" s="1" t="s">
        <v>15</v>
      </c>
      <c r="J3063" s="1" t="str">
        <f>"37/38"</f>
        <v>37/38</v>
      </c>
      <c r="K3063" s="1" t="str">
        <f>"2026-07-29 14:20:04"</f>
        <v>2026-07-29 14:20:04</v>
      </c>
      <c r="L3063" s="1" t="str">
        <f>"2022-11-15 16:17:59"</f>
        <v>2022-11-15 16:17:59</v>
      </c>
      <c r="M3063" s="1" t="s">
        <v>42</v>
      </c>
      <c r="N3063" s="1" t="s">
        <v>38</v>
      </c>
      <c r="O3063" s="1" t="s">
        <v>46</v>
      </c>
    </row>
    <row r="3064" spans="2:15" x14ac:dyDescent="0.3">
      <c r="B3064" s="1" t="s">
        <v>23</v>
      </c>
      <c r="C3064" s="1" t="str">
        <f>"4차"</f>
        <v>4차</v>
      </c>
      <c r="D3064" s="1" t="str">
        <f>"0125W10B45"</f>
        <v>0125W10B45</v>
      </c>
      <c r="E3064" s="1" t="s">
        <v>10</v>
      </c>
      <c r="F3064" s="1" t="str">
        <f>"10.14.8.55"</f>
        <v>10.14.8.55</v>
      </c>
      <c r="G3064" s="1" t="str">
        <f>"0125W10B"</f>
        <v>0125W10B</v>
      </c>
      <c r="H3064" s="1" t="str">
        <f>"독서당로 R129-1"</f>
        <v>독서당로 R129-1</v>
      </c>
      <c r="I3064" s="1" t="s">
        <v>17</v>
      </c>
      <c r="J3064" s="1" t="str">
        <f>"11/11"</f>
        <v>11/11</v>
      </c>
      <c r="K3064" s="1" t="str">
        <f>"2026-07-29 13:18:02"</f>
        <v>2026-07-29 13:18:02</v>
      </c>
      <c r="L3064" s="1" t="str">
        <f>"2021-06-23 14:47:51"</f>
        <v>2021-06-23 14:47:51</v>
      </c>
      <c r="M3064" s="1" t="s">
        <v>3</v>
      </c>
      <c r="N3064" s="1" t="s">
        <v>38</v>
      </c>
      <c r="O3064" s="1" t="s">
        <v>46</v>
      </c>
    </row>
    <row r="3065" spans="2:15" x14ac:dyDescent="0.3">
      <c r="B3065" s="1" t="s">
        <v>23</v>
      </c>
      <c r="C3065" s="1" t="str">
        <f t="shared" ref="C3065:C3071" si="182">"5-2차"</f>
        <v>5-2차</v>
      </c>
      <c r="D3065" s="1" t="str">
        <f>"0125W1115M"</f>
        <v>0125W1115M</v>
      </c>
      <c r="E3065" s="1" t="s">
        <v>10</v>
      </c>
      <c r="F3065" s="1" t="str">
        <f>"fde1:103:4:5a3a:0:0:0:2"</f>
        <v>fde1:103:4:5a3a:0:0:0:2</v>
      </c>
      <c r="G3065" s="1" t="str">
        <f>"0125W111"</f>
        <v>0125W111</v>
      </c>
      <c r="H3065" s="1" t="str">
        <f>"금문간 18R8L2R2"</f>
        <v>금문간 18R8L2R2</v>
      </c>
      <c r="I3065" s="1" t="s">
        <v>15</v>
      </c>
      <c r="J3065" s="1" t="str">
        <f>"65/65"</f>
        <v>65/65</v>
      </c>
      <c r="K3065" s="1" t="str">
        <f>"2026-07-29 14:20:06"</f>
        <v>2026-07-29 14:20:06</v>
      </c>
      <c r="L3065" s="1" t="str">
        <f>"2023-09-18 09:48:31"</f>
        <v>2023-09-18 09:48:31</v>
      </c>
      <c r="M3065" s="1" t="s">
        <v>4</v>
      </c>
      <c r="N3065" s="1" t="s">
        <v>38</v>
      </c>
      <c r="O3065" s="1" t="s">
        <v>46</v>
      </c>
    </row>
    <row r="3066" spans="2:15" x14ac:dyDescent="0.3">
      <c r="B3066" s="1" t="s">
        <v>23</v>
      </c>
      <c r="C3066" s="1" t="str">
        <f t="shared" si="182"/>
        <v>5-2차</v>
      </c>
      <c r="D3066" s="1" t="str">
        <f>"0125W1315S"</f>
        <v>0125W1315S</v>
      </c>
      <c r="E3066" s="1" t="s">
        <v>10</v>
      </c>
      <c r="F3066" s="1" t="str">
        <f>"fde1:103:4:5a35:0:0:0:2"</f>
        <v>fde1:103:4:5a35:0:0:0:2</v>
      </c>
      <c r="G3066" s="1" t="str">
        <f>"0125W131"</f>
        <v>0125W131</v>
      </c>
      <c r="H3066" s="1" t="str">
        <f>"금문간 34R23R4"</f>
        <v>금문간 34R23R4</v>
      </c>
      <c r="I3066" s="1" t="s">
        <v>15</v>
      </c>
      <c r="J3066" s="1" t="str">
        <f>"67/67"</f>
        <v>67/67</v>
      </c>
      <c r="K3066" s="1" t="str">
        <f>"2026-07-29 14:20:18"</f>
        <v>2026-07-29 14:20:18</v>
      </c>
      <c r="L3066" s="1" t="str">
        <f>"2023-09-18 16:53:13"</f>
        <v>2023-09-18 16:53:13</v>
      </c>
      <c r="M3066" s="1" t="s">
        <v>4</v>
      </c>
      <c r="N3066" s="1" t="s">
        <v>38</v>
      </c>
      <c r="O3066" s="1" t="s">
        <v>46</v>
      </c>
    </row>
    <row r="3067" spans="2:15" x14ac:dyDescent="0.3">
      <c r="B3067" s="1" t="s">
        <v>23</v>
      </c>
      <c r="C3067" s="1" t="str">
        <f t="shared" si="182"/>
        <v>5-2차</v>
      </c>
      <c r="D3067" s="1" t="str">
        <f>"0125W1415S"</f>
        <v>0125W1415S</v>
      </c>
      <c r="E3067" s="1" t="s">
        <v>10</v>
      </c>
      <c r="F3067" s="1" t="str">
        <f>"fde1:103:4:5a4c:0:0:0:2"</f>
        <v>fde1:103:4:5a4c:0:0:0:2</v>
      </c>
      <c r="G3067" s="1" t="str">
        <f>"0125W141"</f>
        <v>0125W141</v>
      </c>
      <c r="H3067" s="1" t="str">
        <f>"금문간 34R15R2L2"</f>
        <v>금문간 34R15R2L2</v>
      </c>
      <c r="I3067" s="1" t="s">
        <v>15</v>
      </c>
      <c r="J3067" s="1" t="str">
        <f>"95/95"</f>
        <v>95/95</v>
      </c>
      <c r="K3067" s="1" t="str">
        <f>"2026-07-29 14:20:09"</f>
        <v>2026-07-29 14:20:09</v>
      </c>
      <c r="L3067" s="1" t="str">
        <f>"2023-09-18 10:03:08"</f>
        <v>2023-09-18 10:03:08</v>
      </c>
      <c r="M3067" s="1" t="s">
        <v>4</v>
      </c>
      <c r="N3067" s="1" t="s">
        <v>38</v>
      </c>
      <c r="O3067" s="1" t="s">
        <v>46</v>
      </c>
    </row>
    <row r="3068" spans="2:15" x14ac:dyDescent="0.3">
      <c r="B3068" s="1" t="s">
        <v>23</v>
      </c>
      <c r="C3068" s="1" t="str">
        <f t="shared" si="182"/>
        <v>5-2차</v>
      </c>
      <c r="D3068" s="1" t="str">
        <f>"0125W2115M"</f>
        <v>0125W2115M</v>
      </c>
      <c r="E3068" s="1" t="s">
        <v>10</v>
      </c>
      <c r="F3068" s="1" t="str">
        <f>"fde1:103:4:5a5e:0:0:0:2"</f>
        <v>fde1:103:4:5a5e:0:0:0:2</v>
      </c>
      <c r="G3068" s="1" t="str">
        <f>"0125W211"</f>
        <v>0125W211</v>
      </c>
      <c r="H3068" s="1" t="str">
        <f>"금문간 34R27R3"</f>
        <v>금문간 34R27R3</v>
      </c>
      <c r="I3068" s="1" t="s">
        <v>15</v>
      </c>
      <c r="J3068" s="1" t="str">
        <f>"84/84"</f>
        <v>84/84</v>
      </c>
      <c r="K3068" s="1" t="str">
        <f>"2026-07-29 14:20:07"</f>
        <v>2026-07-29 14:20:07</v>
      </c>
      <c r="L3068" s="1" t="str">
        <f>"2023-09-18 16:55:40"</f>
        <v>2023-09-18 16:55:40</v>
      </c>
      <c r="M3068" s="1" t="s">
        <v>4</v>
      </c>
      <c r="N3068" s="1" t="s">
        <v>38</v>
      </c>
      <c r="O3068" s="1" t="s">
        <v>46</v>
      </c>
    </row>
    <row r="3069" spans="2:15" x14ac:dyDescent="0.3">
      <c r="B3069" s="1" t="s">
        <v>23</v>
      </c>
      <c r="C3069" s="1" t="str">
        <f t="shared" si="182"/>
        <v>5-2차</v>
      </c>
      <c r="D3069" s="1" t="str">
        <f>"0125W2315S"</f>
        <v>0125W2315S</v>
      </c>
      <c r="E3069" s="1" t="s">
        <v>10</v>
      </c>
      <c r="F3069" s="1" t="str">
        <f>"fde1:103:4:59cd:0:0:0:2"</f>
        <v>fde1:103:4:59cd:0:0:0:2</v>
      </c>
      <c r="G3069" s="1" t="str">
        <f>"0125W231"</f>
        <v>0125W231</v>
      </c>
      <c r="H3069" s="1" t="str">
        <f>"금문간 34R23R2"</f>
        <v>금문간 34R23R2</v>
      </c>
      <c r="I3069" s="1" t="s">
        <v>15</v>
      </c>
      <c r="J3069" s="1" t="str">
        <f>"38/38"</f>
        <v>38/38</v>
      </c>
      <c r="K3069" s="1" t="str">
        <f>"2026-07-29 14:20:04"</f>
        <v>2026-07-29 14:20:04</v>
      </c>
      <c r="L3069" s="1" t="str">
        <f>"2023-09-18 10:32:48"</f>
        <v>2023-09-18 10:32:48</v>
      </c>
      <c r="M3069" s="1" t="s">
        <v>4</v>
      </c>
      <c r="N3069" s="1" t="s">
        <v>38</v>
      </c>
      <c r="O3069" s="1" t="s">
        <v>46</v>
      </c>
    </row>
    <row r="3070" spans="2:15" x14ac:dyDescent="0.3">
      <c r="B3070" s="1" t="s">
        <v>23</v>
      </c>
      <c r="C3070" s="1" t="str">
        <f t="shared" si="182"/>
        <v>5-2차</v>
      </c>
      <c r="D3070" s="1" t="str">
        <f>"0125W2325S"</f>
        <v>0125W2325S</v>
      </c>
      <c r="E3070" s="1" t="s">
        <v>10</v>
      </c>
      <c r="F3070" s="1" t="str">
        <f>"fde1:103:4:588d:0:0:0:2"</f>
        <v>fde1:103:4:588d:0:0:0:2</v>
      </c>
      <c r="G3070" s="1" t="str">
        <f>"0125W232"</f>
        <v>0125W232</v>
      </c>
      <c r="H3070" s="1" t="str">
        <f>"금문간 34R23R3"</f>
        <v>금문간 34R23R3</v>
      </c>
      <c r="I3070" s="1" t="s">
        <v>15</v>
      </c>
      <c r="J3070" s="1" t="str">
        <f>"32/32"</f>
        <v>32/32</v>
      </c>
      <c r="K3070" s="1" t="str">
        <f>"2026-07-29 14:20:04"</f>
        <v>2026-07-29 14:20:04</v>
      </c>
      <c r="L3070" s="1" t="str">
        <f>"2023-09-18 10:33:51"</f>
        <v>2023-09-18 10:33:51</v>
      </c>
      <c r="M3070" s="1" t="s">
        <v>4</v>
      </c>
      <c r="N3070" s="1" t="s">
        <v>38</v>
      </c>
      <c r="O3070" s="1" t="s">
        <v>46</v>
      </c>
    </row>
    <row r="3071" spans="2:15" x14ac:dyDescent="0.3">
      <c r="B3071" s="1" t="s">
        <v>23</v>
      </c>
      <c r="C3071" s="1" t="str">
        <f t="shared" si="182"/>
        <v>5-2차</v>
      </c>
      <c r="D3071" s="1" t="str">
        <f>"0125W2335S"</f>
        <v>0125W2335S</v>
      </c>
      <c r="E3071" s="1" t="s">
        <v>10</v>
      </c>
      <c r="F3071" s="1" t="str">
        <f>"fde1:103:4:5993:0:0:0:2"</f>
        <v>fde1:103:4:5993:0:0:0:2</v>
      </c>
      <c r="G3071" s="1" t="str">
        <f>"0125W233"</f>
        <v>0125W233</v>
      </c>
      <c r="H3071" s="1" t="str">
        <f>"금문간 34R15R2L4"</f>
        <v>금문간 34R15R2L4</v>
      </c>
      <c r="I3071" s="1" t="s">
        <v>15</v>
      </c>
      <c r="J3071" s="1" t="str">
        <f>"48/48"</f>
        <v>48/48</v>
      </c>
      <c r="K3071" s="1" t="str">
        <f>"2026-07-29 14:20:04"</f>
        <v>2026-07-29 14:20:04</v>
      </c>
      <c r="L3071" s="1" t="str">
        <f>"2023-09-18 10:35:48"</f>
        <v>2023-09-18 10:35:48</v>
      </c>
      <c r="M3071" s="1" t="s">
        <v>4</v>
      </c>
      <c r="N3071" s="1" t="s">
        <v>38</v>
      </c>
      <c r="O3071" s="1" t="s">
        <v>46</v>
      </c>
    </row>
    <row r="3072" spans="2:15" x14ac:dyDescent="0.3">
      <c r="B3072" s="1" t="s">
        <v>23</v>
      </c>
      <c r="C3072" s="1" t="str">
        <f>"4차"</f>
        <v>4차</v>
      </c>
      <c r="D3072" s="1" t="str">
        <f>"0125W30845"</f>
        <v>0125W30845</v>
      </c>
      <c r="E3072" s="1" t="s">
        <v>10</v>
      </c>
      <c r="F3072" s="1" t="str">
        <f>"10.14.9.58"</f>
        <v>10.14.9.58</v>
      </c>
      <c r="G3072" s="1" t="str">
        <f>"0125W308"</f>
        <v>0125W308</v>
      </c>
      <c r="H3072" s="1" t="str">
        <f>"독서당로 L129-2"</f>
        <v>독서당로 L129-2</v>
      </c>
      <c r="I3072" s="1" t="s">
        <v>17</v>
      </c>
      <c r="J3072" s="1" t="str">
        <f>"10/11"</f>
        <v>10/11</v>
      </c>
      <c r="K3072" s="1" t="str">
        <f>"2026-07-29 13:18:02"</f>
        <v>2026-07-29 13:18:02</v>
      </c>
      <c r="L3072" s="1" t="str">
        <f>"2021-06-23 15:21:20"</f>
        <v>2021-06-23 15:21:20</v>
      </c>
      <c r="M3072" s="1" t="s">
        <v>3</v>
      </c>
      <c r="N3072" s="1" t="s">
        <v>38</v>
      </c>
      <c r="O3072" s="1" t="s">
        <v>46</v>
      </c>
    </row>
    <row r="3073" spans="2:15" x14ac:dyDescent="0.3">
      <c r="B3073" s="1" t="s">
        <v>23</v>
      </c>
      <c r="C3073" s="1" t="str">
        <f>"5-2차"</f>
        <v>5-2차</v>
      </c>
      <c r="D3073" s="1" t="str">
        <f>"0125W3325M"</f>
        <v>0125W3325M</v>
      </c>
      <c r="E3073" s="1" t="s">
        <v>10</v>
      </c>
      <c r="F3073" s="1" t="str">
        <f>"fde1:103:4:5933:0:0:0:2"</f>
        <v>fde1:103:4:5933:0:0:0:2</v>
      </c>
      <c r="G3073" s="1" t="str">
        <f>"0125W332"</f>
        <v>0125W332</v>
      </c>
      <c r="H3073" s="1" t="str">
        <f>"금문간 34R23"</f>
        <v>금문간 34R23</v>
      </c>
      <c r="I3073" s="1" t="s">
        <v>15</v>
      </c>
      <c r="J3073" s="1" t="str">
        <f>"93/93"</f>
        <v>93/93</v>
      </c>
      <c r="K3073" s="1" t="str">
        <f>"2026-07-29 14:20:19"</f>
        <v>2026-07-29 14:20:19</v>
      </c>
      <c r="L3073" s="1" t="str">
        <f>"2023-09-18 10:50:20"</f>
        <v>2023-09-18 10:50:20</v>
      </c>
      <c r="M3073" s="1" t="s">
        <v>4</v>
      </c>
      <c r="N3073" s="1" t="s">
        <v>38</v>
      </c>
      <c r="O3073" s="1" t="s">
        <v>46</v>
      </c>
    </row>
    <row r="3074" spans="2:15" x14ac:dyDescent="0.3">
      <c r="B3074" s="1" t="s">
        <v>23</v>
      </c>
      <c r="C3074" s="1" t="str">
        <f>"5-2차"</f>
        <v>5-2차</v>
      </c>
      <c r="D3074" s="1" t="str">
        <f>"0125W3525S"</f>
        <v>0125W3525S</v>
      </c>
      <c r="E3074" s="1" t="s">
        <v>10</v>
      </c>
      <c r="F3074" s="1" t="str">
        <f>"fde1:103:4:5862:0:0:0:2"</f>
        <v>fde1:103:4:5862:0:0:0:2</v>
      </c>
      <c r="G3074" s="1" t="str">
        <f>"0125W352"</f>
        <v>0125W352</v>
      </c>
      <c r="H3074" s="1" t="str">
        <f>"금문간 34R19"</f>
        <v>금문간 34R19</v>
      </c>
      <c r="I3074" s="1" t="s">
        <v>15</v>
      </c>
      <c r="J3074" s="1" t="str">
        <f>"70/70"</f>
        <v>70/70</v>
      </c>
      <c r="K3074" s="1" t="str">
        <f>"2026-07-29 14:20:05"</f>
        <v>2026-07-29 14:20:05</v>
      </c>
      <c r="L3074" s="1" t="str">
        <f>"2023-09-18 10:51:35"</f>
        <v>2023-09-18 10:51:35</v>
      </c>
      <c r="M3074" s="1" t="s">
        <v>4</v>
      </c>
      <c r="N3074" s="1" t="s">
        <v>38</v>
      </c>
      <c r="O3074" s="1" t="s">
        <v>46</v>
      </c>
    </row>
    <row r="3075" spans="2:15" x14ac:dyDescent="0.3">
      <c r="B3075" s="1" t="s">
        <v>23</v>
      </c>
      <c r="C3075" s="1" t="str">
        <f>"4차"</f>
        <v>4차</v>
      </c>
      <c r="D3075" s="1" t="str">
        <f>"0125W43445"</f>
        <v>0125W43445</v>
      </c>
      <c r="E3075" s="1" t="s">
        <v>10</v>
      </c>
      <c r="F3075" s="1" t="str">
        <f>"10.12.132.195"</f>
        <v>10.12.132.195</v>
      </c>
      <c r="G3075" s="1" t="str">
        <f>"0125W434"</f>
        <v>0125W434</v>
      </c>
      <c r="H3075" s="1" t="str">
        <f>"금호로 33-2"</f>
        <v>금호로 33-2</v>
      </c>
      <c r="I3075" s="1" t="s">
        <v>17</v>
      </c>
      <c r="J3075" s="1" t="str">
        <f>"11/11"</f>
        <v>11/11</v>
      </c>
      <c r="K3075" s="1" t="str">
        <f>"2026-07-29 13:18:02"</f>
        <v>2026-07-29 13:18:02</v>
      </c>
      <c r="L3075" s="1" t="str">
        <f>"2021-06-23 14:17:37"</f>
        <v>2021-06-23 14:17:37</v>
      </c>
      <c r="M3075" s="1" t="s">
        <v>0</v>
      </c>
      <c r="N3075" s="1" t="s">
        <v>38</v>
      </c>
      <c r="O3075" s="1" t="s">
        <v>46</v>
      </c>
    </row>
    <row r="3076" spans="2:15" x14ac:dyDescent="0.3">
      <c r="B3076" s="1" t="s">
        <v>23</v>
      </c>
      <c r="C3076" s="1" t="str">
        <f>"4차"</f>
        <v>4차</v>
      </c>
      <c r="D3076" s="1" t="str">
        <f>"0125W45645"</f>
        <v>0125W45645</v>
      </c>
      <c r="E3076" s="1" t="s">
        <v>10</v>
      </c>
      <c r="F3076" s="1" t="str">
        <f>"10.14.9.62"</f>
        <v>10.14.9.62</v>
      </c>
      <c r="G3076" s="1" t="str">
        <f>"0125W456"</f>
        <v>0125W456</v>
      </c>
      <c r="H3076" s="1" t="str">
        <f>"금호로 1-1"</f>
        <v>금호로 1-1</v>
      </c>
      <c r="I3076" s="1" t="s">
        <v>17</v>
      </c>
      <c r="J3076" s="1" t="str">
        <f>"8/8"</f>
        <v>8/8</v>
      </c>
      <c r="K3076" s="1" t="str">
        <f>"2026-07-29 13:18:02"</f>
        <v>2026-07-29 13:18:02</v>
      </c>
      <c r="L3076" s="1" t="str">
        <f>"2021-06-23 13:50:01"</f>
        <v>2021-06-23 13:50:01</v>
      </c>
      <c r="M3076" s="1" t="s">
        <v>3</v>
      </c>
      <c r="N3076" s="1" t="s">
        <v>38</v>
      </c>
      <c r="O3076" s="1" t="s">
        <v>46</v>
      </c>
    </row>
    <row r="3077" spans="2:15" x14ac:dyDescent="0.3">
      <c r="B3077" s="1" t="s">
        <v>23</v>
      </c>
      <c r="C3077" s="1" t="s">
        <v>16</v>
      </c>
      <c r="D3077" s="1" t="str">
        <f>"0125W55241"</f>
        <v>0125W55241</v>
      </c>
      <c r="E3077" s="1" t="s">
        <v>10</v>
      </c>
      <c r="F3077" s="1" t="str">
        <f>"10.14.1.201"</f>
        <v>10.14.1.201</v>
      </c>
      <c r="G3077" s="1" t="str">
        <f>"0125W552"</f>
        <v>0125W552</v>
      </c>
      <c r="H3077" s="1" t="str">
        <f>"금호지 30R1"</f>
        <v>금호지 30R1</v>
      </c>
      <c r="I3077" s="1" t="s">
        <v>17</v>
      </c>
      <c r="J3077" s="1" t="str">
        <f>"14/15"</f>
        <v>14/15</v>
      </c>
      <c r="K3077" s="1" t="str">
        <f>"2026-07-29 13:18:02"</f>
        <v>2026-07-29 13:18:02</v>
      </c>
      <c r="L3077" s="1" t="str">
        <f>"2022-11-07 16:28:19"</f>
        <v>2022-11-07 16:28:19</v>
      </c>
      <c r="M3077" s="1" t="s">
        <v>3</v>
      </c>
      <c r="N3077" s="1" t="s">
        <v>38</v>
      </c>
      <c r="O3077" s="1" t="s">
        <v>46</v>
      </c>
    </row>
    <row r="3078" spans="2:15" x14ac:dyDescent="0.3">
      <c r="B3078" s="1" t="s">
        <v>23</v>
      </c>
      <c r="C3078" s="1" t="str">
        <f>"5-2차"</f>
        <v>5-2차</v>
      </c>
      <c r="D3078" s="1" t="str">
        <f>"0125W6515M"</f>
        <v>0125W6515M</v>
      </c>
      <c r="E3078" s="1" t="s">
        <v>10</v>
      </c>
      <c r="F3078" s="1" t="str">
        <f>"fde1:103:4:58c6:0:0:0:2"</f>
        <v>fde1:103:4:58c6:0:0:0:2</v>
      </c>
      <c r="G3078" s="1" t="str">
        <f>"0125W651"</f>
        <v>0125W651</v>
      </c>
      <c r="H3078" s="1" t="str">
        <f>"금호지 33"</f>
        <v>금호지 33</v>
      </c>
      <c r="I3078" s="1" t="s">
        <v>15</v>
      </c>
      <c r="J3078" s="1" t="str">
        <f>"43/43"</f>
        <v>43/43</v>
      </c>
      <c r="K3078" s="1" t="str">
        <f>"2026-07-29 14:20:05"</f>
        <v>2026-07-29 14:20:05</v>
      </c>
      <c r="L3078" s="1" t="str">
        <f>"2023-09-18 10:52:42"</f>
        <v>2023-09-18 10:52:42</v>
      </c>
      <c r="M3078" s="1" t="s">
        <v>4</v>
      </c>
      <c r="N3078" s="1" t="s">
        <v>38</v>
      </c>
      <c r="O3078" s="1" t="s">
        <v>46</v>
      </c>
    </row>
    <row r="3079" spans="2:15" x14ac:dyDescent="0.3">
      <c r="B3079" s="1" t="s">
        <v>23</v>
      </c>
      <c r="C3079" s="1" t="str">
        <f>"4차"</f>
        <v>4차</v>
      </c>
      <c r="D3079" s="1" t="str">
        <f>"0125X13645"</f>
        <v>0125X13645</v>
      </c>
      <c r="E3079" s="1" t="s">
        <v>10</v>
      </c>
      <c r="F3079" s="1" t="str">
        <f>"10.14.1.56"</f>
        <v>10.14.1.56</v>
      </c>
      <c r="G3079" s="1" t="str">
        <f>"0125X136"</f>
        <v>0125X136</v>
      </c>
      <c r="H3079" s="1" t="str">
        <f>"독서당로 L113-2"</f>
        <v>독서당로 L113-2</v>
      </c>
      <c r="I3079" s="1" t="s">
        <v>17</v>
      </c>
      <c r="J3079" s="1" t="str">
        <f>"3/3"</f>
        <v>3/3</v>
      </c>
      <c r="K3079" s="1" t="str">
        <f>"2026-07-29 13:18:02"</f>
        <v>2026-07-29 13:18:02</v>
      </c>
      <c r="L3079" s="1" t="str">
        <f>"2021-06-23 15:52:35"</f>
        <v>2021-06-23 15:52:35</v>
      </c>
      <c r="M3079" s="1" t="s">
        <v>3</v>
      </c>
      <c r="N3079" s="1" t="s">
        <v>38</v>
      </c>
      <c r="O3079" s="1" t="s">
        <v>46</v>
      </c>
    </row>
    <row r="3080" spans="2:15" x14ac:dyDescent="0.3">
      <c r="B3080" s="1" t="s">
        <v>23</v>
      </c>
      <c r="C3080" s="1" t="str">
        <f>"4차"</f>
        <v>4차</v>
      </c>
      <c r="D3080" s="1" t="str">
        <f>"0125X17144"</f>
        <v>0125X17144</v>
      </c>
      <c r="E3080" s="1" t="s">
        <v>10</v>
      </c>
      <c r="F3080" s="1" t="str">
        <f>"10.11.71.10"</f>
        <v>10.11.71.10</v>
      </c>
      <c r="G3080" s="1" t="str">
        <f>"0125X171"</f>
        <v>0125X171</v>
      </c>
      <c r="H3080" s="1" t="str">
        <f>"응봉간 24R17L5"</f>
        <v>응봉간 24R17L5</v>
      </c>
      <c r="I3080" s="1" t="s">
        <v>8</v>
      </c>
      <c r="J3080" s="1" t="str">
        <f>"80/80"</f>
        <v>80/80</v>
      </c>
      <c r="K3080" s="1" t="str">
        <f>"2026-07-29 13:18:01"</f>
        <v>2026-07-29 13:18:01</v>
      </c>
      <c r="L3080" s="1" t="str">
        <f>"2019-11-04 19:43:04"</f>
        <v>2019-11-04 19:43:04</v>
      </c>
      <c r="M3080" s="1" t="s">
        <v>2</v>
      </c>
      <c r="N3080" s="1" t="s">
        <v>38</v>
      </c>
      <c r="O3080" s="1" t="s">
        <v>46</v>
      </c>
    </row>
    <row r="3081" spans="2:15" x14ac:dyDescent="0.3">
      <c r="B3081" s="1" t="s">
        <v>23</v>
      </c>
      <c r="C3081" s="1" t="str">
        <f>"4차"</f>
        <v>4차</v>
      </c>
      <c r="D3081" s="1" t="str">
        <f>"0125X29144"</f>
        <v>0125X29144</v>
      </c>
      <c r="E3081" s="1" t="s">
        <v>10</v>
      </c>
      <c r="F3081" s="1" t="str">
        <f>"10.14.2.193"</f>
        <v>10.14.2.193</v>
      </c>
      <c r="G3081" s="1" t="str">
        <f>"0125X291"</f>
        <v>0125X291</v>
      </c>
      <c r="H3081" s="1" t="str">
        <f>"응봉간 24R25"</f>
        <v>응봉간 24R25</v>
      </c>
      <c r="I3081" s="1" t="s">
        <v>8</v>
      </c>
      <c r="J3081" s="1" t="str">
        <f>"82/85"</f>
        <v>82/85</v>
      </c>
      <c r="K3081" s="1" t="str">
        <f>"2026-07-29 13:18:02"</f>
        <v>2026-07-29 13:18:02</v>
      </c>
      <c r="L3081" s="1" t="str">
        <f>"2019-11-04 19:43:05"</f>
        <v>2019-11-04 19:43:05</v>
      </c>
      <c r="M3081" s="1" t="s">
        <v>3</v>
      </c>
      <c r="N3081" s="1" t="s">
        <v>38</v>
      </c>
      <c r="O3081" s="1" t="s">
        <v>46</v>
      </c>
    </row>
    <row r="3082" spans="2:15" x14ac:dyDescent="0.3">
      <c r="B3082" s="1" t="s">
        <v>23</v>
      </c>
      <c r="C3082" s="1" t="str">
        <f>"4차"</f>
        <v>4차</v>
      </c>
      <c r="D3082" s="1" t="str">
        <f>"0125X29244"</f>
        <v>0125X29244</v>
      </c>
      <c r="E3082" s="1" t="s">
        <v>10</v>
      </c>
      <c r="F3082" s="1" t="str">
        <f>"10.11.70.250"</f>
        <v>10.11.70.250</v>
      </c>
      <c r="G3082" s="1" t="str">
        <f>"0125X292"</f>
        <v>0125X292</v>
      </c>
      <c r="H3082" s="1" t="str">
        <f>"응봉간 24R20R4"</f>
        <v>응봉간 24R20R4</v>
      </c>
      <c r="I3082" s="1" t="s">
        <v>8</v>
      </c>
      <c r="J3082" s="1" t="str">
        <f>"87/87"</f>
        <v>87/87</v>
      </c>
      <c r="K3082" s="1" t="str">
        <f>"2026-07-29 13:18:01"</f>
        <v>2026-07-29 13:18:01</v>
      </c>
      <c r="L3082" s="1" t="str">
        <f>"2019-11-04 19:53:05"</f>
        <v>2019-11-04 19:53:05</v>
      </c>
      <c r="M3082" s="1" t="s">
        <v>2</v>
      </c>
      <c r="N3082" s="1" t="s">
        <v>38</v>
      </c>
      <c r="O3082" s="1" t="s">
        <v>46</v>
      </c>
    </row>
    <row r="3083" spans="2:15" x14ac:dyDescent="0.3">
      <c r="B3083" s="1" t="s">
        <v>23</v>
      </c>
      <c r="C3083" s="1" t="str">
        <f>"5-2차"</f>
        <v>5-2차</v>
      </c>
      <c r="D3083" s="1" t="str">
        <f>"0125X3215S"</f>
        <v>0125X3215S</v>
      </c>
      <c r="E3083" s="1" t="s">
        <v>10</v>
      </c>
      <c r="F3083" s="1" t="str">
        <f>"fde1:103:4:5976:0:0:0:2"</f>
        <v>fde1:103:4:5976:0:0:0:2</v>
      </c>
      <c r="G3083" s="1" t="str">
        <f>"0125X321"</f>
        <v>0125X321</v>
      </c>
      <c r="H3083" s="1" t="str">
        <f>"행당지 52R1"</f>
        <v>행당지 52R1</v>
      </c>
      <c r="I3083" s="1" t="s">
        <v>15</v>
      </c>
      <c r="J3083" s="1" t="str">
        <f>"41/41"</f>
        <v>41/41</v>
      </c>
      <c r="K3083" s="1" t="str">
        <f>"2026-07-29 14:20:31"</f>
        <v>2026-07-29 14:20:31</v>
      </c>
      <c r="L3083" s="1" t="str">
        <f>"2023-09-18 11:05:55"</f>
        <v>2023-09-18 11:05:55</v>
      </c>
      <c r="M3083" s="1" t="s">
        <v>4</v>
      </c>
      <c r="N3083" s="1" t="s">
        <v>38</v>
      </c>
      <c r="O3083" s="1" t="s">
        <v>46</v>
      </c>
    </row>
    <row r="3084" spans="2:15" x14ac:dyDescent="0.3">
      <c r="B3084" s="1" t="s">
        <v>23</v>
      </c>
      <c r="C3084" s="1" t="str">
        <f>"5-2차"</f>
        <v>5-2차</v>
      </c>
      <c r="D3084" s="1" t="str">
        <f>"0125X3315M"</f>
        <v>0125X3315M</v>
      </c>
      <c r="E3084" s="1" t="s">
        <v>10</v>
      </c>
      <c r="F3084" s="1" t="str">
        <f>"fde1:103:4:5850:0:0:0:2"</f>
        <v>fde1:103:4:5850:0:0:0:2</v>
      </c>
      <c r="G3084" s="1" t="str">
        <f>"0125X331"</f>
        <v>0125X331</v>
      </c>
      <c r="H3084" s="1" t="str">
        <f>"행당지 52"</f>
        <v>행당지 52</v>
      </c>
      <c r="I3084" s="1" t="s">
        <v>15</v>
      </c>
      <c r="J3084" s="1" t="str">
        <f>"56/57"</f>
        <v>56/57</v>
      </c>
      <c r="K3084" s="1" t="str">
        <f>"2026-07-29 14:20:10"</f>
        <v>2026-07-29 14:20:10</v>
      </c>
      <c r="L3084" s="1" t="str">
        <f>"2023-09-18 11:06:59"</f>
        <v>2023-09-18 11:06:59</v>
      </c>
      <c r="M3084" s="1" t="s">
        <v>4</v>
      </c>
      <c r="N3084" s="1" t="s">
        <v>38</v>
      </c>
      <c r="O3084" s="1" t="s">
        <v>46</v>
      </c>
    </row>
    <row r="3085" spans="2:15" x14ac:dyDescent="0.3">
      <c r="B3085" s="1" t="s">
        <v>23</v>
      </c>
      <c r="C3085" s="1" t="str">
        <f>"5-1차"</f>
        <v>5-1차</v>
      </c>
      <c r="D3085" s="1" t="str">
        <f>"0125X4315S"</f>
        <v>0125X4315S</v>
      </c>
      <c r="E3085" s="1" t="s">
        <v>10</v>
      </c>
      <c r="F3085" s="1" t="str">
        <f>"fde2:104:0:1bc:0:0:0:2"</f>
        <v>fde2:104:0:1bc:0:0:0:2</v>
      </c>
      <c r="G3085" s="1" t="str">
        <f>"0125X431"</f>
        <v>0125X431</v>
      </c>
      <c r="H3085" s="1" t="str">
        <f>"행당지 53"</f>
        <v>행당지 53</v>
      </c>
      <c r="I3085" s="1" t="s">
        <v>15</v>
      </c>
      <c r="J3085" s="1" t="str">
        <f>"63/63"</f>
        <v>63/63</v>
      </c>
      <c r="K3085" s="1" t="str">
        <f>"2026-07-29 14:20:19"</f>
        <v>2026-07-29 14:20:19</v>
      </c>
      <c r="L3085" s="1" t="str">
        <f>"2022-11-23 09:07:18"</f>
        <v>2022-11-23 09:07:18</v>
      </c>
      <c r="M3085" s="1" t="s">
        <v>42</v>
      </c>
      <c r="N3085" s="1" t="s">
        <v>38</v>
      </c>
      <c r="O3085" s="1" t="s">
        <v>46</v>
      </c>
    </row>
    <row r="3086" spans="2:15" x14ac:dyDescent="0.3">
      <c r="B3086" s="1" t="s">
        <v>23</v>
      </c>
      <c r="C3086" s="1" t="str">
        <f>"4차"</f>
        <v>4차</v>
      </c>
      <c r="D3086" s="1" t="str">
        <f>"0125X57241"</f>
        <v>0125X57241</v>
      </c>
      <c r="E3086" s="1" t="s">
        <v>10</v>
      </c>
      <c r="F3086" s="1" t="str">
        <f>"10.14.11.36"</f>
        <v>10.14.11.36</v>
      </c>
      <c r="G3086" s="1" t="str">
        <f>"0125X572"</f>
        <v>0125X572</v>
      </c>
      <c r="H3086" s="1" t="str">
        <f>"독서당간 12"</f>
        <v>독서당간 12</v>
      </c>
      <c r="I3086" s="1" t="s">
        <v>17</v>
      </c>
      <c r="J3086" s="1" t="str">
        <f>"1/1"</f>
        <v>1/1</v>
      </c>
      <c r="K3086" s="1" t="str">
        <f>"2026-07-29 13:18:01"</f>
        <v>2026-07-29 13:18:01</v>
      </c>
      <c r="L3086" s="1" t="str">
        <f>"2021-10-12 14:43:55"</f>
        <v>2021-10-12 14:43:55</v>
      </c>
      <c r="M3086" s="1" t="s">
        <v>3</v>
      </c>
      <c r="N3086" s="1" t="s">
        <v>38</v>
      </c>
      <c r="O3086" s="1" t="s">
        <v>46</v>
      </c>
    </row>
    <row r="3087" spans="2:15" x14ac:dyDescent="0.3">
      <c r="B3087" s="1" t="s">
        <v>23</v>
      </c>
      <c r="C3087" s="1" t="str">
        <f>"5-2차"</f>
        <v>5-2차</v>
      </c>
      <c r="D3087" s="1" t="str">
        <f>"0125X6125S"</f>
        <v>0125X6125S</v>
      </c>
      <c r="E3087" s="1" t="s">
        <v>10</v>
      </c>
      <c r="F3087" s="1" t="str">
        <f>"fde1:103:4:5863:0:0:0:2"</f>
        <v>fde1:103:4:5863:0:0:0:2</v>
      </c>
      <c r="G3087" s="1" t="str">
        <f>"0125X612"</f>
        <v>0125X612</v>
      </c>
      <c r="H3087" s="1" t="str">
        <f>"행당지 56L2"</f>
        <v>행당지 56L2</v>
      </c>
      <c r="I3087" s="1" t="s">
        <v>15</v>
      </c>
      <c r="J3087" s="1" t="str">
        <f>"51/53"</f>
        <v>51/53</v>
      </c>
      <c r="K3087" s="1" t="str">
        <f>"2026-07-29 14:20:05"</f>
        <v>2026-07-29 14:20:05</v>
      </c>
      <c r="L3087" s="1" t="str">
        <f>"2023-09-18 11:29:17"</f>
        <v>2023-09-18 11:29:17</v>
      </c>
      <c r="M3087" s="1" t="s">
        <v>4</v>
      </c>
      <c r="N3087" s="1" t="s">
        <v>38</v>
      </c>
      <c r="O3087" s="1" t="s">
        <v>46</v>
      </c>
    </row>
    <row r="3088" spans="2:15" x14ac:dyDescent="0.3">
      <c r="B3088" s="1" t="s">
        <v>23</v>
      </c>
      <c r="C3088" s="1" t="str">
        <f>"5-2차"</f>
        <v>5-2차</v>
      </c>
      <c r="D3088" s="1" t="str">
        <f>"0125X6225S"</f>
        <v>0125X6225S</v>
      </c>
      <c r="E3088" s="1" t="s">
        <v>10</v>
      </c>
      <c r="F3088" s="1" t="str">
        <f>"fde1:103:4:596f:0:0:0:2"</f>
        <v>fde1:103:4:596f:0:0:0:2</v>
      </c>
      <c r="G3088" s="1" t="str">
        <f>"0125X622"</f>
        <v>0125X622</v>
      </c>
      <c r="H3088" s="1" t="str">
        <f>"행당지 54L2"</f>
        <v>행당지 54L2</v>
      </c>
      <c r="I3088" s="1" t="s">
        <v>15</v>
      </c>
      <c r="J3088" s="1" t="str">
        <f>"74/74"</f>
        <v>74/74</v>
      </c>
      <c r="K3088" s="1" t="str">
        <f>"2026-07-29 14:20:05"</f>
        <v>2026-07-29 14:20:05</v>
      </c>
      <c r="L3088" s="1" t="str">
        <f>"2023-09-18 11:23:04"</f>
        <v>2023-09-18 11:23:04</v>
      </c>
      <c r="M3088" s="1" t="s">
        <v>4</v>
      </c>
      <c r="N3088" s="1" t="s">
        <v>38</v>
      </c>
      <c r="O3088" s="1" t="s">
        <v>46</v>
      </c>
    </row>
    <row r="3089" spans="2:15" x14ac:dyDescent="0.3">
      <c r="B3089" s="1" t="s">
        <v>23</v>
      </c>
      <c r="C3089" s="1" t="str">
        <f>"5-2차"</f>
        <v>5-2차</v>
      </c>
      <c r="D3089" s="1" t="str">
        <f>"0125X7615M"</f>
        <v>0125X7615M</v>
      </c>
      <c r="E3089" s="1" t="s">
        <v>10</v>
      </c>
      <c r="F3089" s="1" t="str">
        <f>"fde1:103:4:5900:0:0:0:2"</f>
        <v>fde1:103:4:5900:0:0:0:2</v>
      </c>
      <c r="G3089" s="1" t="str">
        <f>"0125X761"</f>
        <v>0125X761</v>
      </c>
      <c r="H3089" s="1" t="str">
        <f>"행당지 43"</f>
        <v>행당지 43</v>
      </c>
      <c r="I3089" s="1" t="s">
        <v>15</v>
      </c>
      <c r="J3089" s="1" t="str">
        <f>"69/69"</f>
        <v>69/69</v>
      </c>
      <c r="K3089" s="1" t="str">
        <f>"2026-07-29 14:20:05"</f>
        <v>2026-07-29 14:20:05</v>
      </c>
      <c r="L3089" s="1" t="str">
        <f>"2023-09-18 11:24:02"</f>
        <v>2023-09-18 11:24:02</v>
      </c>
      <c r="M3089" s="1" t="s">
        <v>4</v>
      </c>
      <c r="N3089" s="1" t="s">
        <v>38</v>
      </c>
      <c r="O3089" s="1" t="s">
        <v>46</v>
      </c>
    </row>
    <row r="3090" spans="2:15" x14ac:dyDescent="0.3">
      <c r="B3090" s="1" t="s">
        <v>23</v>
      </c>
      <c r="C3090" s="1" t="str">
        <f>"5-2차"</f>
        <v>5-2차</v>
      </c>
      <c r="D3090" s="1" t="str">
        <f>"0125Y1915S"</f>
        <v>0125Y1915S</v>
      </c>
      <c r="E3090" s="1" t="s">
        <v>10</v>
      </c>
      <c r="F3090" s="1" t="str">
        <f>"fde1:103:4:584f:0:0:0:2"</f>
        <v>fde1:103:4:584f:0:0:0:2</v>
      </c>
      <c r="G3090" s="1" t="str">
        <f>"0125Y191"</f>
        <v>0125Y191</v>
      </c>
      <c r="H3090" s="1" t="str">
        <f>"독서당간 62L2R3"</f>
        <v>독서당간 62L2R3</v>
      </c>
      <c r="I3090" s="1" t="s">
        <v>15</v>
      </c>
      <c r="J3090" s="1" t="str">
        <f>"48/48"</f>
        <v>48/48</v>
      </c>
      <c r="K3090" s="1" t="str">
        <f>"2026-07-29 14:20:31"</f>
        <v>2026-07-29 14:20:31</v>
      </c>
      <c r="L3090" s="1" t="str">
        <f>"2023-09-18 13:19:29"</f>
        <v>2023-09-18 13:19:29</v>
      </c>
      <c r="M3090" s="1" t="s">
        <v>4</v>
      </c>
      <c r="N3090" s="1" t="s">
        <v>38</v>
      </c>
      <c r="O3090" s="1" t="s">
        <v>46</v>
      </c>
    </row>
    <row r="3091" spans="2:15" x14ac:dyDescent="0.3">
      <c r="B3091" s="1" t="s">
        <v>23</v>
      </c>
      <c r="C3091" s="1" t="str">
        <f>"4차"</f>
        <v>4차</v>
      </c>
      <c r="D3091" s="1" t="str">
        <f>"0125Y19641"</f>
        <v>0125Y19641</v>
      </c>
      <c r="E3091" s="1" t="s">
        <v>10</v>
      </c>
      <c r="F3091" s="1" t="str">
        <f>"10.14.4.39"</f>
        <v>10.14.4.39</v>
      </c>
      <c r="G3091" s="1" t="str">
        <f>"0125Y196"</f>
        <v>0125Y196</v>
      </c>
      <c r="H3091" s="1" t="str">
        <f>"독서당간 62L2R5"</f>
        <v>독서당간 62L2R5</v>
      </c>
      <c r="I3091" s="1" t="s">
        <v>17</v>
      </c>
      <c r="J3091" s="1" t="str">
        <f>"35/35"</f>
        <v>35/35</v>
      </c>
      <c r="K3091" s="1" t="str">
        <f>"2026-07-29 13:18:01"</f>
        <v>2026-07-29 13:18:01</v>
      </c>
      <c r="L3091" s="1" t="str">
        <f>"2021-10-14 14:15:55"</f>
        <v>2021-10-14 14:15:55</v>
      </c>
      <c r="M3091" s="1" t="s">
        <v>3</v>
      </c>
      <c r="N3091" s="1" t="s">
        <v>38</v>
      </c>
      <c r="O3091" s="1" t="s">
        <v>46</v>
      </c>
    </row>
    <row r="3092" spans="2:15" x14ac:dyDescent="0.3">
      <c r="B3092" s="1" t="s">
        <v>23</v>
      </c>
      <c r="C3092" s="1" t="str">
        <f>"5-2차"</f>
        <v>5-2차</v>
      </c>
      <c r="D3092" s="1" t="str">
        <f>"0126H9015M"</f>
        <v>0126H9015M</v>
      </c>
      <c r="E3092" s="1" t="s">
        <v>10</v>
      </c>
      <c r="F3092" s="1" t="str">
        <f>"fde1:103:4:5a52:0:0:0:2"</f>
        <v>fde1:103:4:5a52:0:0:0:2</v>
      </c>
      <c r="G3092" s="1" t="str">
        <f>"0126H901"</f>
        <v>0126H901</v>
      </c>
      <c r="H3092" s="1" t="str">
        <f>"홍익지 23"</f>
        <v>홍익지 23</v>
      </c>
      <c r="I3092" s="1" t="s">
        <v>15</v>
      </c>
      <c r="J3092" s="1" t="str">
        <f>"41/44"</f>
        <v>41/44</v>
      </c>
      <c r="K3092" s="1" t="str">
        <f>"2026-07-29 14:20:18"</f>
        <v>2026-07-29 14:20:18</v>
      </c>
      <c r="L3092" s="1" t="str">
        <f>"2023-09-18 13:10:06"</f>
        <v>2023-09-18 13:10:06</v>
      </c>
      <c r="M3092" s="1" t="s">
        <v>4</v>
      </c>
      <c r="N3092" s="1" t="s">
        <v>38</v>
      </c>
      <c r="O3092" s="1" t="s">
        <v>46</v>
      </c>
    </row>
    <row r="3093" spans="2:15" x14ac:dyDescent="0.3">
      <c r="B3093" s="1" t="s">
        <v>23</v>
      </c>
      <c r="C3093" s="1" t="str">
        <f>"4차"</f>
        <v>4차</v>
      </c>
      <c r="D3093" s="1" t="str">
        <f>"0126X30144"</f>
        <v>0126X30144</v>
      </c>
      <c r="E3093" s="1" t="s">
        <v>10</v>
      </c>
      <c r="F3093" s="1" t="str">
        <f>"10.11.65.170"</f>
        <v>10.11.65.170</v>
      </c>
      <c r="G3093" s="1" t="str">
        <f>"0126X301"</f>
        <v>0126X301</v>
      </c>
      <c r="H3093" s="1" t="str">
        <f>"도선간 5L13R3R2"</f>
        <v>도선간 5L13R3R2</v>
      </c>
      <c r="I3093" s="1" t="s">
        <v>8</v>
      </c>
      <c r="J3093" s="1" t="str">
        <f>"20/20"</f>
        <v>20/20</v>
      </c>
      <c r="K3093" s="1" t="str">
        <f>"2026-07-29 13:18:01"</f>
        <v>2026-07-29 13:18:01</v>
      </c>
      <c r="L3093" s="1" t="str">
        <f>"2019-10-29 10:53:05"</f>
        <v>2019-10-29 10:53:05</v>
      </c>
      <c r="M3093" s="1" t="s">
        <v>2</v>
      </c>
      <c r="N3093" s="1" t="s">
        <v>38</v>
      </c>
      <c r="O3093" s="1" t="s">
        <v>46</v>
      </c>
    </row>
    <row r="3094" spans="2:15" x14ac:dyDescent="0.3">
      <c r="B3094" s="1" t="s">
        <v>23</v>
      </c>
      <c r="C3094" s="1" t="str">
        <f>"4차"</f>
        <v>4차</v>
      </c>
      <c r="D3094" s="1" t="str">
        <f>"0126X32344"</f>
        <v>0126X32344</v>
      </c>
      <c r="E3094" s="1" t="s">
        <v>10</v>
      </c>
      <c r="F3094" s="1" t="str">
        <f>"10.11.71.42"</f>
        <v>10.11.71.42</v>
      </c>
      <c r="G3094" s="1" t="str">
        <f>"0126X323"</f>
        <v>0126X323</v>
      </c>
      <c r="H3094" s="1" t="str">
        <f>"지사간 16"</f>
        <v>지사간 16</v>
      </c>
      <c r="I3094" s="1" t="s">
        <v>8</v>
      </c>
      <c r="J3094" s="1" t="str">
        <f>"35/36"</f>
        <v>35/36</v>
      </c>
      <c r="K3094" s="1" t="str">
        <f>"2026-07-29 13:18:01"</f>
        <v>2026-07-29 13:18:01</v>
      </c>
      <c r="L3094" s="1" t="str">
        <f>"2019-11-04 19:53:05"</f>
        <v>2019-11-04 19:53:05</v>
      </c>
      <c r="M3094" s="1" t="s">
        <v>2</v>
      </c>
      <c r="N3094" s="1" t="s">
        <v>38</v>
      </c>
      <c r="O3094" s="1" t="s">
        <v>46</v>
      </c>
    </row>
    <row r="3095" spans="2:15" x14ac:dyDescent="0.3">
      <c r="B3095" s="1" t="s">
        <v>23</v>
      </c>
      <c r="C3095" s="1" t="str">
        <f>"4차"</f>
        <v>4차</v>
      </c>
      <c r="D3095" s="1" t="str">
        <f>"0126X33444"</f>
        <v>0126X33444</v>
      </c>
      <c r="E3095" s="1" t="s">
        <v>10</v>
      </c>
      <c r="F3095" s="1" t="str">
        <f>"10.11.71.26"</f>
        <v>10.11.71.26</v>
      </c>
      <c r="G3095" s="1" t="str">
        <f>"0126X334"</f>
        <v>0126X334</v>
      </c>
      <c r="H3095" s="1" t="str">
        <f>"지사간 13R3L4"</f>
        <v>지사간 13R3L4</v>
      </c>
      <c r="I3095" s="1" t="s">
        <v>8</v>
      </c>
      <c r="J3095" s="1" t="str">
        <f>"19/19"</f>
        <v>19/19</v>
      </c>
      <c r="K3095" s="1" t="str">
        <f>"2026-07-29 13:18:01"</f>
        <v>2026-07-29 13:18:01</v>
      </c>
      <c r="L3095" s="1" t="str">
        <f>"2019-11-04 19:43:07"</f>
        <v>2019-11-04 19:43:07</v>
      </c>
      <c r="M3095" s="1" t="s">
        <v>2</v>
      </c>
      <c r="N3095" s="1" t="s">
        <v>38</v>
      </c>
      <c r="O3095" s="1" t="s">
        <v>46</v>
      </c>
    </row>
    <row r="3096" spans="2:15" x14ac:dyDescent="0.3">
      <c r="B3096" s="1" t="s">
        <v>23</v>
      </c>
      <c r="C3096" s="1" t="str">
        <f>"5-2차"</f>
        <v>5-2차</v>
      </c>
      <c r="D3096" s="1" t="str">
        <f>"0126X4015M"</f>
        <v>0126X4015M</v>
      </c>
      <c r="E3096" s="1" t="s">
        <v>10</v>
      </c>
      <c r="F3096" s="1" t="str">
        <f>"fde1:103:4:59b9:0:0:0:2"</f>
        <v>fde1:103:4:59b9:0:0:0:2</v>
      </c>
      <c r="G3096" s="1" t="str">
        <f>"0126X401"</f>
        <v>0126X401</v>
      </c>
      <c r="H3096" s="1" t="str">
        <f>"도선간 5L11R1"</f>
        <v>도선간 5L11R1</v>
      </c>
      <c r="I3096" s="1" t="s">
        <v>15</v>
      </c>
      <c r="J3096" s="1" t="str">
        <f>"87/88"</f>
        <v>87/88</v>
      </c>
      <c r="K3096" s="1" t="str">
        <f>"2026-07-29 14:20:33"</f>
        <v>2026-07-29 14:20:33</v>
      </c>
      <c r="L3096" s="1" t="str">
        <f>"2023-09-18 13:11:00"</f>
        <v>2023-09-18 13:11:00</v>
      </c>
      <c r="M3096" s="1" t="s">
        <v>4</v>
      </c>
      <c r="N3096" s="1" t="s">
        <v>38</v>
      </c>
      <c r="O3096" s="1" t="s">
        <v>46</v>
      </c>
    </row>
    <row r="3097" spans="2:15" x14ac:dyDescent="0.3">
      <c r="B3097" s="1" t="s">
        <v>23</v>
      </c>
      <c r="C3097" s="1" t="str">
        <f>"4차"</f>
        <v>4차</v>
      </c>
      <c r="D3097" s="1" t="str">
        <f>"0126X41344"</f>
        <v>0126X41344</v>
      </c>
      <c r="E3097" s="1" t="s">
        <v>10</v>
      </c>
      <c r="F3097" s="1" t="str">
        <f>"10.11.77.202"</f>
        <v>10.11.77.202</v>
      </c>
      <c r="G3097" s="1" t="str">
        <f>"0126X413"</f>
        <v>0126X413</v>
      </c>
      <c r="H3097" s="1" t="str">
        <f>"지사간 14"</f>
        <v>지사간 14</v>
      </c>
      <c r="I3097" s="1" t="s">
        <v>8</v>
      </c>
      <c r="J3097" s="1" t="str">
        <f>"13/13"</f>
        <v>13/13</v>
      </c>
      <c r="K3097" s="1" t="str">
        <f>"2026-07-29 13:18:01"</f>
        <v>2026-07-29 13:18:01</v>
      </c>
      <c r="L3097" s="1" t="str">
        <f>"2019-11-04 19:53:05"</f>
        <v>2019-11-04 19:53:05</v>
      </c>
      <c r="M3097" s="1" t="s">
        <v>2</v>
      </c>
      <c r="N3097" s="1" t="s">
        <v>38</v>
      </c>
      <c r="O3097" s="1" t="s">
        <v>46</v>
      </c>
    </row>
    <row r="3098" spans="2:15" x14ac:dyDescent="0.3">
      <c r="B3098" s="1" t="s">
        <v>23</v>
      </c>
      <c r="C3098" s="1" t="str">
        <f>"4차"</f>
        <v>4차</v>
      </c>
      <c r="D3098" s="1" t="str">
        <f>"0126X42144"</f>
        <v>0126X42144</v>
      </c>
      <c r="E3098" s="1" t="s">
        <v>10</v>
      </c>
      <c r="F3098" s="1" t="str">
        <f>"10.11.71.18"</f>
        <v>10.11.71.18</v>
      </c>
      <c r="G3098" s="1" t="str">
        <f>"0126X421"</f>
        <v>0126X421</v>
      </c>
      <c r="H3098" s="1" t="str">
        <f>"지사간 13R3L2"</f>
        <v>지사간 13R3L2</v>
      </c>
      <c r="I3098" s="1" t="s">
        <v>8</v>
      </c>
      <c r="J3098" s="1" t="str">
        <f>"96/96"</f>
        <v>96/96</v>
      </c>
      <c r="K3098" s="1" t="str">
        <f>"2026-07-29 13:18:01"</f>
        <v>2026-07-29 13:18:01</v>
      </c>
      <c r="L3098" s="1" t="str">
        <f>"2019-11-04 19:43:07"</f>
        <v>2019-11-04 19:43:07</v>
      </c>
      <c r="M3098" s="1" t="s">
        <v>2</v>
      </c>
      <c r="N3098" s="1" t="s">
        <v>38</v>
      </c>
      <c r="O3098" s="1" t="s">
        <v>46</v>
      </c>
    </row>
    <row r="3099" spans="2:15" x14ac:dyDescent="0.3">
      <c r="B3099" s="1" t="s">
        <v>23</v>
      </c>
      <c r="C3099" s="1" t="str">
        <f>"4차"</f>
        <v>4차</v>
      </c>
      <c r="D3099" s="1" t="str">
        <f>"0126X50244"</f>
        <v>0126X50244</v>
      </c>
      <c r="E3099" s="1" t="s">
        <v>10</v>
      </c>
      <c r="F3099" s="1" t="str">
        <f>"10.11.67.82"</f>
        <v>10.11.67.82</v>
      </c>
      <c r="G3099" s="1" t="str">
        <f>"0126X502"</f>
        <v>0126X502</v>
      </c>
      <c r="H3099" s="1" t="str">
        <f>"도선간 5L10"</f>
        <v>도선간 5L10</v>
      </c>
      <c r="I3099" s="1" t="s">
        <v>8</v>
      </c>
      <c r="J3099" s="1" t="str">
        <f>"17/17"</f>
        <v>17/17</v>
      </c>
      <c r="K3099" s="1" t="str">
        <f>"2026-07-29 13:18:01"</f>
        <v>2026-07-29 13:18:01</v>
      </c>
      <c r="L3099" s="1" t="str">
        <f>"2019-10-29 10:43:05"</f>
        <v>2019-10-29 10:43:05</v>
      </c>
      <c r="M3099" s="1" t="s">
        <v>2</v>
      </c>
      <c r="N3099" s="1" t="s">
        <v>38</v>
      </c>
      <c r="O3099" s="1" t="s">
        <v>46</v>
      </c>
    </row>
    <row r="3100" spans="2:15" x14ac:dyDescent="0.3">
      <c r="B3100" s="1" t="s">
        <v>23</v>
      </c>
      <c r="C3100" s="1" t="str">
        <f>"5-2차"</f>
        <v>5-2차</v>
      </c>
      <c r="D3100" s="1" t="str">
        <f>"0126X5125M"</f>
        <v>0126X5125M</v>
      </c>
      <c r="E3100" s="1" t="s">
        <v>10</v>
      </c>
      <c r="F3100" s="1" t="str">
        <f>"fde1:103:4:57f0:0:0:0:2"</f>
        <v>fde1:103:4:57f0:0:0:0:2</v>
      </c>
      <c r="G3100" s="1" t="str">
        <f>"0126X512"</f>
        <v>0126X512</v>
      </c>
      <c r="H3100" s="1" t="str">
        <f>"도선간 12"</f>
        <v>도선간 12</v>
      </c>
      <c r="I3100" s="1" t="s">
        <v>15</v>
      </c>
      <c r="J3100" s="1" t="str">
        <f>"43/43"</f>
        <v>43/43</v>
      </c>
      <c r="K3100" s="1" t="str">
        <f>"2026-07-29 14:20:29"</f>
        <v>2026-07-29 14:20:29</v>
      </c>
      <c r="L3100" s="1" t="str">
        <f>"2023-09-18 13:31:33"</f>
        <v>2023-09-18 13:31:33</v>
      </c>
      <c r="M3100" s="1" t="s">
        <v>4</v>
      </c>
      <c r="N3100" s="1" t="s">
        <v>38</v>
      </c>
      <c r="O3100" s="1" t="s">
        <v>46</v>
      </c>
    </row>
    <row r="3101" spans="2:15" x14ac:dyDescent="0.3">
      <c r="B3101" s="1" t="s">
        <v>23</v>
      </c>
      <c r="C3101" s="1" t="str">
        <f>"3차"</f>
        <v>3차</v>
      </c>
      <c r="D3101" s="1" t="str">
        <f>"0126X53139"</f>
        <v>0126X53139</v>
      </c>
      <c r="E3101" s="1" t="s">
        <v>10</v>
      </c>
      <c r="F3101" s="1" t="str">
        <f>"10.11.79.98"</f>
        <v>10.11.79.98</v>
      </c>
      <c r="G3101" s="1" t="str">
        <f>"0126X531"</f>
        <v>0126X531</v>
      </c>
      <c r="H3101" s="1" t="str">
        <f>"지사간 13R4"</f>
        <v>지사간 13R4</v>
      </c>
      <c r="I3101" s="1" t="s">
        <v>8</v>
      </c>
      <c r="J3101" s="1" t="str">
        <f>"33/33"</f>
        <v>33/33</v>
      </c>
      <c r="K3101" s="1" t="str">
        <f>"2026-07-29 13:18:01"</f>
        <v>2026-07-29 13:18:01</v>
      </c>
      <c r="L3101" s="1" t="str">
        <f>"2018-04-19 15:12:27"</f>
        <v>2018-04-19 15:12:27</v>
      </c>
      <c r="M3101" s="1" t="s">
        <v>2</v>
      </c>
      <c r="N3101" s="1" t="s">
        <v>38</v>
      </c>
      <c r="O3101" s="1" t="s">
        <v>46</v>
      </c>
    </row>
    <row r="3102" spans="2:15" x14ac:dyDescent="0.3">
      <c r="B3102" s="1" t="s">
        <v>23</v>
      </c>
      <c r="C3102" s="1" t="str">
        <f>"4차"</f>
        <v>4차</v>
      </c>
      <c r="D3102" s="1" t="str">
        <f>"0126X54244"</f>
        <v>0126X54244</v>
      </c>
      <c r="E3102" s="1" t="s">
        <v>10</v>
      </c>
      <c r="F3102" s="1" t="str">
        <f>"10.11.71.34"</f>
        <v>10.11.71.34</v>
      </c>
      <c r="G3102" s="1" t="str">
        <f>"0126X542"</f>
        <v>0126X542</v>
      </c>
      <c r="H3102" s="1" t="str">
        <f>"지사간 13R6"</f>
        <v>지사간 13R6</v>
      </c>
      <c r="I3102" s="1" t="s">
        <v>8</v>
      </c>
      <c r="J3102" s="1" t="str">
        <f>"20/20"</f>
        <v>20/20</v>
      </c>
      <c r="K3102" s="1" t="str">
        <f>"2026-07-29 13:18:01"</f>
        <v>2026-07-29 13:18:01</v>
      </c>
      <c r="L3102" s="1" t="str">
        <f>"2019-11-04 19:53:05"</f>
        <v>2019-11-04 19:53:05</v>
      </c>
      <c r="M3102" s="1" t="s">
        <v>2</v>
      </c>
      <c r="N3102" s="1" t="s">
        <v>38</v>
      </c>
      <c r="O3102" s="1" t="s">
        <v>46</v>
      </c>
    </row>
    <row r="3103" spans="2:15" x14ac:dyDescent="0.3">
      <c r="B3103" s="1" t="s">
        <v>23</v>
      </c>
      <c r="C3103" s="1" t="str">
        <f>"5-2차"</f>
        <v>5-2차</v>
      </c>
      <c r="D3103" s="1" t="str">
        <f>"0126X7035M"</f>
        <v>0126X7035M</v>
      </c>
      <c r="E3103" s="1" t="s">
        <v>10</v>
      </c>
      <c r="F3103" s="1" t="str">
        <f>"fde1:103:4:5a3f:0:0:0:2"</f>
        <v>fde1:103:4:5a3f:0:0:0:2</v>
      </c>
      <c r="G3103" s="1" t="str">
        <f>"0126X703"</f>
        <v>0126X703</v>
      </c>
      <c r="H3103" s="1" t="str">
        <f>"도선간 5L7"</f>
        <v>도선간 5L7</v>
      </c>
      <c r="I3103" s="1" t="s">
        <v>15</v>
      </c>
      <c r="J3103" s="1" t="str">
        <f>"63/64"</f>
        <v>63/64</v>
      </c>
      <c r="K3103" s="1" t="str">
        <f>"2026-07-29 14:20:07"</f>
        <v>2026-07-29 14:20:07</v>
      </c>
      <c r="L3103" s="1" t="str">
        <f>"2023-09-18 13:32:34"</f>
        <v>2023-09-18 13:32:34</v>
      </c>
      <c r="M3103" s="1" t="s">
        <v>4</v>
      </c>
      <c r="N3103" s="1" t="s">
        <v>38</v>
      </c>
      <c r="O3103" s="1" t="s">
        <v>46</v>
      </c>
    </row>
    <row r="3104" spans="2:15" x14ac:dyDescent="0.3">
      <c r="B3104" s="1" t="s">
        <v>23</v>
      </c>
      <c r="C3104" s="1" t="str">
        <f>"5-2차"</f>
        <v>5-2차</v>
      </c>
      <c r="D3104" s="1" t="str">
        <f>"0126X7115M"</f>
        <v>0126X7115M</v>
      </c>
      <c r="E3104" s="1" t="s">
        <v>10</v>
      </c>
      <c r="F3104" s="1" t="str">
        <f>"fde1:103:4:5838:0:0:0:2"</f>
        <v>fde1:103:4:5838:0:0:0:2</v>
      </c>
      <c r="G3104" s="1" t="str">
        <f>"0126X711"</f>
        <v>0126X711</v>
      </c>
      <c r="H3104" s="1" t="str">
        <f>"도선간 9"</f>
        <v>도선간 9</v>
      </c>
      <c r="I3104" s="1" t="s">
        <v>15</v>
      </c>
      <c r="J3104" s="1" t="str">
        <f>"38/39"</f>
        <v>38/39</v>
      </c>
      <c r="K3104" s="1" t="str">
        <f>"2026-07-29 14:20:29"</f>
        <v>2026-07-29 14:20:29</v>
      </c>
      <c r="L3104" s="1" t="str">
        <f>"2023-09-18 13:35:30"</f>
        <v>2023-09-18 13:35:30</v>
      </c>
      <c r="M3104" s="1" t="s">
        <v>4</v>
      </c>
      <c r="N3104" s="1" t="s">
        <v>38</v>
      </c>
      <c r="O3104" s="1" t="s">
        <v>46</v>
      </c>
    </row>
    <row r="3105" spans="2:15" x14ac:dyDescent="0.3">
      <c r="B3105" s="1" t="s">
        <v>23</v>
      </c>
      <c r="C3105" s="1" t="str">
        <f>"5-2차"</f>
        <v>5-2차</v>
      </c>
      <c r="D3105" s="1" t="str">
        <f>"0126X7825M"</f>
        <v>0126X7825M</v>
      </c>
      <c r="E3105" s="1" t="s">
        <v>10</v>
      </c>
      <c r="F3105" s="1" t="str">
        <f>"fde1:103:4:587d:0:0:0:2"</f>
        <v>fde1:103:4:587d:0:0:0:2</v>
      </c>
      <c r="G3105" s="1" t="str">
        <f>"0126X782"</f>
        <v>0126X782</v>
      </c>
      <c r="H3105" s="1" t="str">
        <f>"홍익지 19R1"</f>
        <v>홍익지 19R1</v>
      </c>
      <c r="I3105" s="1" t="s">
        <v>15</v>
      </c>
      <c r="J3105" s="1" t="str">
        <f>"29/29"</f>
        <v>29/29</v>
      </c>
      <c r="K3105" s="1" t="str">
        <f>"2026-07-29 14:20:29"</f>
        <v>2026-07-29 14:20:29</v>
      </c>
      <c r="L3105" s="1" t="str">
        <f>"2023-09-18 13:58:30"</f>
        <v>2023-09-18 13:58:30</v>
      </c>
      <c r="M3105" s="1" t="s">
        <v>4</v>
      </c>
      <c r="N3105" s="1" t="s">
        <v>38</v>
      </c>
      <c r="O3105" s="1" t="s">
        <v>46</v>
      </c>
    </row>
    <row r="3106" spans="2:15" x14ac:dyDescent="0.3">
      <c r="B3106" s="1" t="s">
        <v>23</v>
      </c>
      <c r="C3106" s="1" t="str">
        <f>"5-2차"</f>
        <v>5-2차</v>
      </c>
      <c r="D3106" s="1" t="str">
        <f>"0126X8025M"</f>
        <v>0126X8025M</v>
      </c>
      <c r="E3106" s="1" t="s">
        <v>10</v>
      </c>
      <c r="F3106" s="1" t="str">
        <f>"fde1:103:4:599f:0:0:0:2"</f>
        <v>fde1:103:4:599f:0:0:0:2</v>
      </c>
      <c r="G3106" s="1" t="str">
        <f>"0126X802"</f>
        <v>0126X802</v>
      </c>
      <c r="H3106" s="1" t="str">
        <f>"도선간 5L5"</f>
        <v>도선간 5L5</v>
      </c>
      <c r="I3106" s="1" t="s">
        <v>15</v>
      </c>
      <c r="J3106" s="1" t="str">
        <f>"45/45"</f>
        <v>45/45</v>
      </c>
      <c r="K3106" s="1" t="str">
        <f>"2026-07-29 14:20:29"</f>
        <v>2026-07-29 14:20:29</v>
      </c>
      <c r="L3106" s="1" t="str">
        <f>"2023-09-18 14:01:46"</f>
        <v>2023-09-18 14:01:46</v>
      </c>
      <c r="M3106" s="1" t="s">
        <v>4</v>
      </c>
      <c r="N3106" s="1" t="s">
        <v>38</v>
      </c>
      <c r="O3106" s="1" t="s">
        <v>46</v>
      </c>
    </row>
    <row r="3107" spans="2:15" x14ac:dyDescent="0.3">
      <c r="B3107" s="1" t="s">
        <v>23</v>
      </c>
      <c r="C3107" s="1" t="str">
        <f>"4차"</f>
        <v>4차</v>
      </c>
      <c r="D3107" s="1" t="str">
        <f>"0126X82144"</f>
        <v>0126X82144</v>
      </c>
      <c r="E3107" s="1" t="s">
        <v>10</v>
      </c>
      <c r="F3107" s="1" t="str">
        <f>"10.11.68.98"</f>
        <v>10.11.68.98</v>
      </c>
      <c r="G3107" s="1" t="str">
        <f>"0126X821"</f>
        <v>0126X821</v>
      </c>
      <c r="H3107" s="1" t="str">
        <f>"지사간 13R12"</f>
        <v>지사간 13R12</v>
      </c>
      <c r="I3107" s="1" t="s">
        <v>8</v>
      </c>
      <c r="J3107" s="1" t="str">
        <f>"10/10"</f>
        <v>10/10</v>
      </c>
      <c r="K3107" s="1" t="str">
        <f>"2026-07-29 13:18:01"</f>
        <v>2026-07-29 13:18:01</v>
      </c>
      <c r="L3107" s="1" t="str">
        <f>"2019-11-04 19:53:05"</f>
        <v>2019-11-04 19:53:05</v>
      </c>
      <c r="M3107" s="1" t="s">
        <v>2</v>
      </c>
      <c r="N3107" s="1" t="s">
        <v>38</v>
      </c>
      <c r="O3107" s="1" t="s">
        <v>46</v>
      </c>
    </row>
    <row r="3108" spans="2:15" x14ac:dyDescent="0.3">
      <c r="B3108" s="1" t="s">
        <v>23</v>
      </c>
      <c r="C3108" s="1" t="str">
        <f>"4차"</f>
        <v>4차</v>
      </c>
      <c r="D3108" s="1" t="str">
        <f>"0126X82544"</f>
        <v>0126X82544</v>
      </c>
      <c r="E3108" s="1" t="s">
        <v>10</v>
      </c>
      <c r="F3108" s="1" t="str">
        <f>"10.11.68.194"</f>
        <v>10.11.68.194</v>
      </c>
      <c r="G3108" s="1" t="str">
        <f>"0126X825"</f>
        <v>0126X825</v>
      </c>
      <c r="H3108" s="1" t="str">
        <f>"지사간 13R14"</f>
        <v>지사간 13R14</v>
      </c>
      <c r="I3108" s="1" t="s">
        <v>8</v>
      </c>
      <c r="J3108" s="1" t="str">
        <f>"2/2"</f>
        <v>2/2</v>
      </c>
      <c r="K3108" s="1" t="str">
        <f>"2026-07-29 13:18:01"</f>
        <v>2026-07-29 13:18:01</v>
      </c>
      <c r="L3108" s="1" t="str">
        <f>"2019-11-04 19:53:05"</f>
        <v>2019-11-04 19:53:05</v>
      </c>
      <c r="M3108" s="1" t="s">
        <v>2</v>
      </c>
      <c r="N3108" s="1" t="s">
        <v>38</v>
      </c>
      <c r="O3108" s="1" t="s">
        <v>46</v>
      </c>
    </row>
    <row r="3109" spans="2:15" x14ac:dyDescent="0.3">
      <c r="B3109" s="1" t="s">
        <v>23</v>
      </c>
      <c r="C3109" s="1" t="str">
        <f>"4차"</f>
        <v>4차</v>
      </c>
      <c r="D3109" s="1" t="str">
        <f>"0126X83345"</f>
        <v>0126X83345</v>
      </c>
      <c r="E3109" s="1" t="s">
        <v>10</v>
      </c>
      <c r="F3109" s="1" t="str">
        <f>"10.14.11.53"</f>
        <v>10.14.11.53</v>
      </c>
      <c r="G3109" s="1" t="str">
        <f>"0126X833"</f>
        <v>0126X833</v>
      </c>
      <c r="H3109" s="1" t="str">
        <f>"지점 83-1"</f>
        <v>지점 83-1</v>
      </c>
      <c r="I3109" s="1" t="s">
        <v>17</v>
      </c>
      <c r="J3109" s="1" t="str">
        <f>"59/59"</f>
        <v>59/59</v>
      </c>
      <c r="K3109" s="1" t="str">
        <f>"2026-07-29 13:18:02"</f>
        <v>2026-07-29 13:18:02</v>
      </c>
      <c r="L3109" s="1" t="str">
        <f>"2021-06-24 12:31:50"</f>
        <v>2021-06-24 12:31:50</v>
      </c>
      <c r="M3109" s="1" t="s">
        <v>3</v>
      </c>
      <c r="N3109" s="1" t="s">
        <v>38</v>
      </c>
      <c r="O3109" s="1" t="s">
        <v>46</v>
      </c>
    </row>
    <row r="3110" spans="2:15" x14ac:dyDescent="0.3">
      <c r="B3110" s="1" t="s">
        <v>23</v>
      </c>
      <c r="C3110" s="1" t="str">
        <f>"5-2차"</f>
        <v>5-2차</v>
      </c>
      <c r="D3110" s="1" t="str">
        <f>"0126X8925M"</f>
        <v>0126X8925M</v>
      </c>
      <c r="E3110" s="1" t="s">
        <v>10</v>
      </c>
      <c r="F3110" s="1" t="str">
        <f>"fde1:103:4:5969:0:0:0:2"</f>
        <v>fde1:103:4:5969:0:0:0:2</v>
      </c>
      <c r="G3110" s="1" t="str">
        <f>"0126X892"</f>
        <v>0126X892</v>
      </c>
      <c r="H3110" s="1" t="str">
        <f>"홍익지 29R10R1"</f>
        <v>홍익지 29R10R1</v>
      </c>
      <c r="I3110" s="1" t="s">
        <v>15</v>
      </c>
      <c r="J3110" s="1" t="str">
        <f>"41/41"</f>
        <v>41/41</v>
      </c>
      <c r="K3110" s="1" t="str">
        <f>"2026-07-29 14:20:33"</f>
        <v>2026-07-29 14:20:33</v>
      </c>
      <c r="L3110" s="1" t="str">
        <f>"2023-09-18 14:17:59"</f>
        <v>2023-09-18 14:17:59</v>
      </c>
      <c r="M3110" s="1" t="s">
        <v>4</v>
      </c>
      <c r="N3110" s="1" t="s">
        <v>38</v>
      </c>
      <c r="O3110" s="1" t="s">
        <v>46</v>
      </c>
    </row>
    <row r="3111" spans="2:15" x14ac:dyDescent="0.3">
      <c r="B3111" s="1" t="s">
        <v>23</v>
      </c>
      <c r="C3111" s="1" t="str">
        <f>"5-2차"</f>
        <v>5-2차</v>
      </c>
      <c r="D3111" s="1" t="str">
        <f>"0126X9025M"</f>
        <v>0126X9025M</v>
      </c>
      <c r="E3111" s="1" t="s">
        <v>10</v>
      </c>
      <c r="F3111" s="1" t="str">
        <f>"fde1:103:4:594f:0:0:0:2"</f>
        <v>fde1:103:4:594f:0:0:0:2</v>
      </c>
      <c r="G3111" s="1" t="str">
        <f>"0126X902"</f>
        <v>0126X902</v>
      </c>
      <c r="H3111" s="1" t="str">
        <f>"도선간 5L2"</f>
        <v>도선간 5L2</v>
      </c>
      <c r="I3111" s="1" t="s">
        <v>15</v>
      </c>
      <c r="J3111" s="1" t="str">
        <f>"46/55"</f>
        <v>46/55</v>
      </c>
      <c r="K3111" s="1" t="str">
        <f>"2026-07-12 18:23:17"</f>
        <v>2026-07-12 18:23:17</v>
      </c>
      <c r="L3111" s="1" t="str">
        <f>"2023-09-18 14:22:17"</f>
        <v>2023-09-18 14:22:17</v>
      </c>
      <c r="M3111" s="1" t="s">
        <v>4</v>
      </c>
      <c r="N3111" s="1" t="s">
        <v>38</v>
      </c>
      <c r="O3111" s="1" t="s">
        <v>46</v>
      </c>
    </row>
    <row r="3112" spans="2:15" x14ac:dyDescent="0.3">
      <c r="B3112" s="1" t="s">
        <v>23</v>
      </c>
      <c r="C3112" s="1" t="str">
        <f>"4차"</f>
        <v>4차</v>
      </c>
      <c r="D3112" s="1" t="str">
        <f>"0126X91344"</f>
        <v>0126X91344</v>
      </c>
      <c r="E3112" s="1" t="s">
        <v>10</v>
      </c>
      <c r="F3112" s="1" t="str">
        <f>"10.11.75.170"</f>
        <v>10.11.75.170</v>
      </c>
      <c r="G3112" s="1" t="str">
        <f>"0126X913"</f>
        <v>0126X913</v>
      </c>
      <c r="H3112" s="1" t="str">
        <f>"지사간 6R1"</f>
        <v>지사간 6R1</v>
      </c>
      <c r="I3112" s="1" t="s">
        <v>8</v>
      </c>
      <c r="J3112" s="1" t="str">
        <f>"4/4"</f>
        <v>4/4</v>
      </c>
      <c r="K3112" s="1" t="str">
        <f>"2026-07-29 13:18:01"</f>
        <v>2026-07-29 13:18:01</v>
      </c>
      <c r="L3112" s="1" t="str">
        <f>"2019-11-04 19:53:05"</f>
        <v>2019-11-04 19:53:05</v>
      </c>
      <c r="M3112" s="1" t="s">
        <v>2</v>
      </c>
      <c r="N3112" s="1" t="s">
        <v>38</v>
      </c>
      <c r="O3112" s="1" t="s">
        <v>46</v>
      </c>
    </row>
    <row r="3113" spans="2:15" x14ac:dyDescent="0.3">
      <c r="B3113" s="1" t="s">
        <v>23</v>
      </c>
      <c r="C3113" s="1" t="str">
        <f>"4차"</f>
        <v>4차</v>
      </c>
      <c r="D3113" s="1" t="str">
        <f>"0126X92144"</f>
        <v>0126X92144</v>
      </c>
      <c r="E3113" s="1" t="s">
        <v>10</v>
      </c>
      <c r="F3113" s="1" t="str">
        <f>"10.11.76.2"</f>
        <v>10.11.76.2</v>
      </c>
      <c r="G3113" s="1" t="str">
        <f>"0126X921"</f>
        <v>0126X921</v>
      </c>
      <c r="H3113" s="1" t="str">
        <f>"지사간 6R3"</f>
        <v>지사간 6R3</v>
      </c>
      <c r="I3113" s="1" t="s">
        <v>8</v>
      </c>
      <c r="J3113" s="1" t="str">
        <f>"23/23"</f>
        <v>23/23</v>
      </c>
      <c r="K3113" s="1" t="str">
        <f>"2026-07-29 13:18:01"</f>
        <v>2026-07-29 13:18:01</v>
      </c>
      <c r="L3113" s="1" t="str">
        <f>"2019-11-04 19:53:05"</f>
        <v>2019-11-04 19:53:05</v>
      </c>
      <c r="M3113" s="1" t="s">
        <v>2</v>
      </c>
      <c r="N3113" s="1" t="s">
        <v>38</v>
      </c>
      <c r="O3113" s="1" t="s">
        <v>46</v>
      </c>
    </row>
    <row r="3114" spans="2:15" x14ac:dyDescent="0.3">
      <c r="B3114" s="1" t="s">
        <v>23</v>
      </c>
      <c r="C3114" s="1" t="str">
        <f>"5-1차"</f>
        <v>5-1차</v>
      </c>
      <c r="D3114" s="1" t="str">
        <f>"0126X9225M"</f>
        <v>0126X9225M</v>
      </c>
      <c r="E3114" s="1" t="s">
        <v>10</v>
      </c>
      <c r="F3114" s="1" t="str">
        <f>"fde3:102:1440:5100:0:0:0:2"</f>
        <v>fde3:102:1440:5100:0:0:0:2</v>
      </c>
      <c r="G3114" s="1" t="str">
        <f>"0126X922"</f>
        <v>0126X922</v>
      </c>
      <c r="H3114" s="1" t="str">
        <f>"지사간 6R2"</f>
        <v>지사간 6R2</v>
      </c>
      <c r="I3114" s="1" t="s">
        <v>15</v>
      </c>
      <c r="J3114" s="1" t="str">
        <f>"24/24"</f>
        <v>24/24</v>
      </c>
      <c r="K3114" s="1" t="str">
        <f>"2026-07-29 14:20:30"</f>
        <v>2026-07-29 14:20:30</v>
      </c>
      <c r="L3114" s="1" t="str">
        <f>"2022-11-01 11:24:14"</f>
        <v>2022-11-01 11:24:14</v>
      </c>
      <c r="M3114" s="1" t="s">
        <v>45</v>
      </c>
      <c r="N3114" s="1" t="s">
        <v>38</v>
      </c>
      <c r="O3114" s="1" t="s">
        <v>46</v>
      </c>
    </row>
    <row r="3115" spans="2:15" x14ac:dyDescent="0.3">
      <c r="B3115" s="1" t="s">
        <v>23</v>
      </c>
      <c r="C3115" s="1" t="str">
        <f>"5-2차"</f>
        <v>5-2차</v>
      </c>
      <c r="D3115" s="1" t="str">
        <f>"0126X9625M"</f>
        <v>0126X9625M</v>
      </c>
      <c r="E3115" s="1" t="s">
        <v>10</v>
      </c>
      <c r="F3115" s="1" t="str">
        <f>"fde1:103:4:5876:0:0:0:2"</f>
        <v>fde1:103:4:5876:0:0:0:2</v>
      </c>
      <c r="G3115" s="1" t="str">
        <f>"0126X962"</f>
        <v>0126X962</v>
      </c>
      <c r="H3115" s="1" t="str">
        <f>"홍익지 29R13R2"</f>
        <v>홍익지 29R13R2</v>
      </c>
      <c r="I3115" s="1" t="s">
        <v>15</v>
      </c>
      <c r="J3115" s="1" t="str">
        <f>"91/91"</f>
        <v>91/91</v>
      </c>
      <c r="K3115" s="1" t="str">
        <f>"2026-07-29 14:20:34"</f>
        <v>2026-07-29 14:20:34</v>
      </c>
      <c r="L3115" s="1" t="str">
        <f>"2023-09-18 14:23:29"</f>
        <v>2023-09-18 14:23:29</v>
      </c>
      <c r="M3115" s="1" t="s">
        <v>4</v>
      </c>
      <c r="N3115" s="1" t="s">
        <v>38</v>
      </c>
      <c r="O3115" s="1" t="s">
        <v>46</v>
      </c>
    </row>
    <row r="3116" spans="2:15" x14ac:dyDescent="0.3">
      <c r="B3116" s="1" t="s">
        <v>23</v>
      </c>
      <c r="C3116" s="1" t="str">
        <f>"5-2차"</f>
        <v>5-2차</v>
      </c>
      <c r="D3116" s="1" t="str">
        <f>"0126X9635M"</f>
        <v>0126X9635M</v>
      </c>
      <c r="E3116" s="1" t="s">
        <v>10</v>
      </c>
      <c r="F3116" s="1" t="str">
        <f>"fde1:103:4:59b5:0:0:0:2"</f>
        <v>fde1:103:4:59b5:0:0:0:2</v>
      </c>
      <c r="G3116" s="1" t="str">
        <f>"0126X963"</f>
        <v>0126X963</v>
      </c>
      <c r="H3116" s="1" t="str">
        <f>"홍익지 29R13"</f>
        <v>홍익지 29R13</v>
      </c>
      <c r="I3116" s="1" t="s">
        <v>15</v>
      </c>
      <c r="J3116" s="1" t="str">
        <f>"24/25"</f>
        <v>24/25</v>
      </c>
      <c r="K3116" s="1" t="str">
        <f>"2026-07-29 14:20:38"</f>
        <v>2026-07-29 14:20:38</v>
      </c>
      <c r="L3116" s="1" t="str">
        <f>"2023-09-18 14:33:53"</f>
        <v>2023-09-18 14:33:53</v>
      </c>
      <c r="M3116" s="1" t="s">
        <v>4</v>
      </c>
      <c r="N3116" s="1" t="s">
        <v>38</v>
      </c>
      <c r="O3116" s="1" t="s">
        <v>46</v>
      </c>
    </row>
    <row r="3117" spans="2:15" x14ac:dyDescent="0.3">
      <c r="B3117" s="1" t="s">
        <v>23</v>
      </c>
      <c r="C3117" s="1" t="str">
        <f>"5-2차"</f>
        <v>5-2차</v>
      </c>
      <c r="D3117" s="1" t="str">
        <f>"0126X9715M"</f>
        <v>0126X9715M</v>
      </c>
      <c r="E3117" s="1" t="s">
        <v>10</v>
      </c>
      <c r="F3117" s="1" t="str">
        <f>"fde1:103:4:5986:0:0:0:2"</f>
        <v>fde1:103:4:5986:0:0:0:2</v>
      </c>
      <c r="G3117" s="1" t="str">
        <f>"0126X971"</f>
        <v>0126X971</v>
      </c>
      <c r="H3117" s="1" t="str">
        <f>"홍익지 29R11"</f>
        <v>홍익지 29R11</v>
      </c>
      <c r="I3117" s="1" t="s">
        <v>15</v>
      </c>
      <c r="J3117" s="1" t="str">
        <f>"28/34"</f>
        <v>28/34</v>
      </c>
      <c r="K3117" s="1" t="str">
        <f>"2026-07-29 14:20:37"</f>
        <v>2026-07-29 14:20:37</v>
      </c>
      <c r="L3117" s="1" t="str">
        <f>"2023-09-18 14:35:12"</f>
        <v>2023-09-18 14:35:12</v>
      </c>
      <c r="M3117" s="1" t="s">
        <v>4</v>
      </c>
      <c r="N3117" s="1" t="s">
        <v>38</v>
      </c>
      <c r="O3117" s="1" t="s">
        <v>46</v>
      </c>
    </row>
    <row r="3118" spans="2:15" x14ac:dyDescent="0.3">
      <c r="B3118" s="1" t="s">
        <v>23</v>
      </c>
      <c r="C3118" s="1" t="str">
        <f>"5-2차"</f>
        <v>5-2차</v>
      </c>
      <c r="D3118" s="1" t="str">
        <f>"0126X9945M"</f>
        <v>0126X9945M</v>
      </c>
      <c r="E3118" s="1" t="s">
        <v>10</v>
      </c>
      <c r="F3118" s="1" t="str">
        <f>"fde1:103:4:570f:0:0:0:2"</f>
        <v>fde1:103:4:570f:0:0:0:2</v>
      </c>
      <c r="G3118" s="1" t="str">
        <f>"0126X994"</f>
        <v>0126X994</v>
      </c>
      <c r="H3118" s="1" t="str">
        <f>"홍익지 29R9"</f>
        <v>홍익지 29R9</v>
      </c>
      <c r="I3118" s="1" t="s">
        <v>15</v>
      </c>
      <c r="J3118" s="1" t="str">
        <f>"70/70"</f>
        <v>70/70</v>
      </c>
      <c r="K3118" s="1" t="str">
        <f>"2026-07-29 14:20:34"</f>
        <v>2026-07-29 14:20:34</v>
      </c>
      <c r="L3118" s="1" t="str">
        <f>"2023-09-18 14:36:24"</f>
        <v>2023-09-18 14:36:24</v>
      </c>
      <c r="M3118" s="1" t="s">
        <v>4</v>
      </c>
      <c r="N3118" s="1" t="s">
        <v>38</v>
      </c>
      <c r="O3118" s="1" t="s">
        <v>46</v>
      </c>
    </row>
    <row r="3119" spans="2:15" x14ac:dyDescent="0.3">
      <c r="B3119" s="1" t="s">
        <v>23</v>
      </c>
      <c r="C3119" s="1" t="str">
        <f>"4차"</f>
        <v>4차</v>
      </c>
      <c r="D3119" s="1" t="str">
        <f>"0126Y54144"</f>
        <v>0126Y54144</v>
      </c>
      <c r="E3119" s="1" t="s">
        <v>10</v>
      </c>
      <c r="F3119" s="1" t="str">
        <f>"10.11.70.82"</f>
        <v>10.11.70.82</v>
      </c>
      <c r="G3119" s="1" t="str">
        <f>"0126Y541"</f>
        <v>0126Y541</v>
      </c>
      <c r="H3119" s="1" t="str">
        <f>"왕십로 22A7"</f>
        <v>왕십로 22A7</v>
      </c>
      <c r="I3119" s="1" t="s">
        <v>8</v>
      </c>
      <c r="J3119" s="1" t="str">
        <f>"46/46"</f>
        <v>46/46</v>
      </c>
      <c r="K3119" s="1" t="str">
        <f t="shared" ref="K3119:K3132" si="183">"2026-07-29 13:18:01"</f>
        <v>2026-07-29 13:18:01</v>
      </c>
      <c r="L3119" s="1" t="str">
        <f>"2019-11-04 19:53:05"</f>
        <v>2019-11-04 19:53:05</v>
      </c>
      <c r="M3119" s="1" t="s">
        <v>2</v>
      </c>
      <c r="N3119" s="1" t="s">
        <v>38</v>
      </c>
      <c r="O3119" s="1" t="s">
        <v>46</v>
      </c>
    </row>
    <row r="3120" spans="2:15" x14ac:dyDescent="0.3">
      <c r="B3120" s="1" t="s">
        <v>23</v>
      </c>
      <c r="C3120" s="1" t="str">
        <f>"3차"</f>
        <v>3차</v>
      </c>
      <c r="D3120" s="1" t="str">
        <f>"0126Y65139"</f>
        <v>0126Y65139</v>
      </c>
      <c r="E3120" s="1" t="s">
        <v>10</v>
      </c>
      <c r="F3120" s="1" t="str">
        <f>"10.11.79.186"</f>
        <v>10.11.79.186</v>
      </c>
      <c r="G3120" s="1" t="str">
        <f>"0126Y651"</f>
        <v>0126Y651</v>
      </c>
      <c r="H3120" s="1" t="str">
        <f>"왕십로 22A5"</f>
        <v>왕십로 22A5</v>
      </c>
      <c r="I3120" s="1" t="s">
        <v>8</v>
      </c>
      <c r="J3120" s="1" t="str">
        <f>"36/37"</f>
        <v>36/37</v>
      </c>
      <c r="K3120" s="1" t="str">
        <f t="shared" si="183"/>
        <v>2026-07-29 13:18:01</v>
      </c>
      <c r="L3120" s="1" t="str">
        <f>"2018-04-19 15:55:29"</f>
        <v>2018-04-19 15:55:29</v>
      </c>
      <c r="M3120" s="1" t="s">
        <v>2</v>
      </c>
      <c r="N3120" s="1" t="s">
        <v>38</v>
      </c>
      <c r="O3120" s="1" t="s">
        <v>46</v>
      </c>
    </row>
    <row r="3121" spans="2:15" x14ac:dyDescent="0.3">
      <c r="B3121" s="1" t="s">
        <v>23</v>
      </c>
      <c r="C3121" s="1" t="str">
        <f t="shared" ref="C3121:C3155" si="184">"4차"</f>
        <v>4차</v>
      </c>
      <c r="D3121" s="1" t="str">
        <f>"0126Y65244"</f>
        <v>0126Y65244</v>
      </c>
      <c r="E3121" s="1" t="s">
        <v>10</v>
      </c>
      <c r="F3121" s="1" t="str">
        <f>"10.11.70.74"</f>
        <v>10.11.70.74</v>
      </c>
      <c r="G3121" s="1" t="str">
        <f>"0126Y652"</f>
        <v>0126Y652</v>
      </c>
      <c r="H3121" s="1" t="str">
        <f>"왕십로 22A6"</f>
        <v>왕십로 22A6</v>
      </c>
      <c r="I3121" s="1" t="s">
        <v>8</v>
      </c>
      <c r="J3121" s="1" t="str">
        <f>"43/43"</f>
        <v>43/43</v>
      </c>
      <c r="K3121" s="1" t="str">
        <f t="shared" si="183"/>
        <v>2026-07-29 13:18:01</v>
      </c>
      <c r="L3121" s="1" t="str">
        <f>"2019-11-04 19:53:05"</f>
        <v>2019-11-04 19:53:05</v>
      </c>
      <c r="M3121" s="1" t="s">
        <v>2</v>
      </c>
      <c r="N3121" s="1" t="s">
        <v>38</v>
      </c>
      <c r="O3121" s="1" t="s">
        <v>46</v>
      </c>
    </row>
    <row r="3122" spans="2:15" x14ac:dyDescent="0.3">
      <c r="B3122" s="1" t="s">
        <v>23</v>
      </c>
      <c r="C3122" s="1" t="str">
        <f t="shared" si="184"/>
        <v>4차</v>
      </c>
      <c r="D3122" s="1" t="str">
        <f>"0126Y66144"</f>
        <v>0126Y66144</v>
      </c>
      <c r="E3122" s="1" t="s">
        <v>10</v>
      </c>
      <c r="F3122" s="1" t="str">
        <f>"10.11.70.58"</f>
        <v>10.11.70.58</v>
      </c>
      <c r="G3122" s="1" t="str">
        <f>"0126Y661"</f>
        <v>0126Y661</v>
      </c>
      <c r="H3122" s="1" t="str">
        <f>"왕십로 22A3"</f>
        <v>왕십로 22A3</v>
      </c>
      <c r="I3122" s="1" t="s">
        <v>8</v>
      </c>
      <c r="J3122" s="1" t="str">
        <f>"46/47"</f>
        <v>46/47</v>
      </c>
      <c r="K3122" s="1" t="str">
        <f t="shared" si="183"/>
        <v>2026-07-29 13:18:01</v>
      </c>
      <c r="L3122" s="1" t="str">
        <f>"2019-11-04 19:53:05"</f>
        <v>2019-11-04 19:53:05</v>
      </c>
      <c r="M3122" s="1" t="s">
        <v>2</v>
      </c>
      <c r="N3122" s="1" t="s">
        <v>38</v>
      </c>
      <c r="O3122" s="1" t="s">
        <v>46</v>
      </c>
    </row>
    <row r="3123" spans="2:15" x14ac:dyDescent="0.3">
      <c r="B3123" s="1" t="s">
        <v>23</v>
      </c>
      <c r="C3123" s="1" t="str">
        <f t="shared" si="184"/>
        <v>4차</v>
      </c>
      <c r="D3123" s="1" t="str">
        <f>"0126Y66244"</f>
        <v>0126Y66244</v>
      </c>
      <c r="E3123" s="1" t="s">
        <v>10</v>
      </c>
      <c r="F3123" s="1" t="str">
        <f>"10.11.70.50"</f>
        <v>10.11.70.50</v>
      </c>
      <c r="G3123" s="1" t="str">
        <f>"0126Y662"</f>
        <v>0126Y662</v>
      </c>
      <c r="H3123" s="1" t="str">
        <f>"왕십로 22A2"</f>
        <v>왕십로 22A2</v>
      </c>
      <c r="I3123" s="1" t="s">
        <v>8</v>
      </c>
      <c r="J3123" s="1" t="str">
        <f>"62/62"</f>
        <v>62/62</v>
      </c>
      <c r="K3123" s="1" t="str">
        <f t="shared" si="183"/>
        <v>2026-07-29 13:18:01</v>
      </c>
      <c r="L3123" s="1" t="str">
        <f>"2019-11-04 19:43:05"</f>
        <v>2019-11-04 19:43:05</v>
      </c>
      <c r="M3123" s="1" t="s">
        <v>2</v>
      </c>
      <c r="N3123" s="1" t="s">
        <v>38</v>
      </c>
      <c r="O3123" s="1" t="s">
        <v>46</v>
      </c>
    </row>
    <row r="3124" spans="2:15" x14ac:dyDescent="0.3">
      <c r="B3124" s="1" t="s">
        <v>23</v>
      </c>
      <c r="C3124" s="1" t="str">
        <f t="shared" si="184"/>
        <v>4차</v>
      </c>
      <c r="D3124" s="1" t="str">
        <f>"0126Y66344"</f>
        <v>0126Y66344</v>
      </c>
      <c r="E3124" s="1" t="s">
        <v>10</v>
      </c>
      <c r="F3124" s="1" t="str">
        <f>"10.11.70.66"</f>
        <v>10.11.70.66</v>
      </c>
      <c r="G3124" s="1" t="str">
        <f>"0126Y663"</f>
        <v>0126Y663</v>
      </c>
      <c r="H3124" s="1" t="str">
        <f>"왕십로 22A4"</f>
        <v>왕십로 22A4</v>
      </c>
      <c r="I3124" s="1" t="s">
        <v>8</v>
      </c>
      <c r="J3124" s="1" t="str">
        <f>"39/39"</f>
        <v>39/39</v>
      </c>
      <c r="K3124" s="1" t="str">
        <f t="shared" si="183"/>
        <v>2026-07-29 13:18:01</v>
      </c>
      <c r="L3124" s="1" t="str">
        <f>"2019-11-04 19:53:05"</f>
        <v>2019-11-04 19:53:05</v>
      </c>
      <c r="M3124" s="1" t="s">
        <v>2</v>
      </c>
      <c r="N3124" s="1" t="s">
        <v>38</v>
      </c>
      <c r="O3124" s="1" t="s">
        <v>46</v>
      </c>
    </row>
    <row r="3125" spans="2:15" x14ac:dyDescent="0.3">
      <c r="B3125" s="1" t="s">
        <v>23</v>
      </c>
      <c r="C3125" s="1" t="str">
        <f t="shared" si="184"/>
        <v>4차</v>
      </c>
      <c r="D3125" s="1" t="str">
        <f>"0126Y74244"</f>
        <v>0126Y74244</v>
      </c>
      <c r="E3125" s="1" t="s">
        <v>10</v>
      </c>
      <c r="F3125" s="1" t="str">
        <f>"10.11.70.98"</f>
        <v>10.11.70.98</v>
      </c>
      <c r="G3125" s="1" t="str">
        <f>"0126Y742"</f>
        <v>0126Y742</v>
      </c>
      <c r="H3125" s="1" t="str">
        <f>"왕십로 22R4B1"</f>
        <v>왕십로 22R4B1</v>
      </c>
      <c r="I3125" s="1" t="s">
        <v>8</v>
      </c>
      <c r="J3125" s="1" t="str">
        <f>"49/49"</f>
        <v>49/49</v>
      </c>
      <c r="K3125" s="1" t="str">
        <f t="shared" si="183"/>
        <v>2026-07-29 13:18:01</v>
      </c>
      <c r="L3125" s="1" t="str">
        <f>"2019-11-04 19:53:05"</f>
        <v>2019-11-04 19:53:05</v>
      </c>
      <c r="M3125" s="1" t="s">
        <v>2</v>
      </c>
      <c r="N3125" s="1" t="s">
        <v>38</v>
      </c>
      <c r="O3125" s="1" t="s">
        <v>46</v>
      </c>
    </row>
    <row r="3126" spans="2:15" x14ac:dyDescent="0.3">
      <c r="B3126" s="1" t="s">
        <v>23</v>
      </c>
      <c r="C3126" s="1" t="str">
        <f t="shared" si="184"/>
        <v>4차</v>
      </c>
      <c r="D3126" s="1" t="str">
        <f>"0126Y75344"</f>
        <v>0126Y75344</v>
      </c>
      <c r="E3126" s="1" t="s">
        <v>10</v>
      </c>
      <c r="F3126" s="1" t="str">
        <f>"10.11.70.106"</f>
        <v>10.11.70.106</v>
      </c>
      <c r="G3126" s="1" t="str">
        <f>"0126Y753"</f>
        <v>0126Y753</v>
      </c>
      <c r="H3126" s="1" t="str">
        <f>"왕십로 22R4R1"</f>
        <v>왕십로 22R4R1</v>
      </c>
      <c r="I3126" s="1" t="s">
        <v>8</v>
      </c>
      <c r="J3126" s="1" t="str">
        <f>"30/31"</f>
        <v>30/31</v>
      </c>
      <c r="K3126" s="1" t="str">
        <f t="shared" si="183"/>
        <v>2026-07-29 13:18:01</v>
      </c>
      <c r="L3126" s="1" t="str">
        <f>"2019-11-04 19:43:05"</f>
        <v>2019-11-04 19:43:05</v>
      </c>
      <c r="M3126" s="1" t="s">
        <v>2</v>
      </c>
      <c r="N3126" s="1" t="s">
        <v>38</v>
      </c>
      <c r="O3126" s="1" t="s">
        <v>46</v>
      </c>
    </row>
    <row r="3127" spans="2:15" x14ac:dyDescent="0.3">
      <c r="B3127" s="1" t="s">
        <v>23</v>
      </c>
      <c r="C3127" s="1" t="str">
        <f t="shared" si="184"/>
        <v>4차</v>
      </c>
      <c r="D3127" s="1" t="str">
        <f>"0126Y86444"</f>
        <v>0126Y86444</v>
      </c>
      <c r="E3127" s="1" t="s">
        <v>10</v>
      </c>
      <c r="F3127" s="1" t="str">
        <f>"10.11.70.90"</f>
        <v>10.11.70.90</v>
      </c>
      <c r="G3127" s="1" t="str">
        <f>"0126Y864"</f>
        <v>0126Y864</v>
      </c>
      <c r="H3127" s="1" t="str">
        <f>"왕십로 22R3"</f>
        <v>왕십로 22R3</v>
      </c>
      <c r="I3127" s="1" t="s">
        <v>8</v>
      </c>
      <c r="J3127" s="1" t="str">
        <f>"38/38"</f>
        <v>38/38</v>
      </c>
      <c r="K3127" s="1" t="str">
        <f t="shared" si="183"/>
        <v>2026-07-29 13:18:01</v>
      </c>
      <c r="L3127" s="1" t="str">
        <f>"2019-11-04 19:53:05"</f>
        <v>2019-11-04 19:53:05</v>
      </c>
      <c r="M3127" s="1" t="s">
        <v>2</v>
      </c>
      <c r="N3127" s="1" t="s">
        <v>38</v>
      </c>
      <c r="O3127" s="1" t="s">
        <v>46</v>
      </c>
    </row>
    <row r="3128" spans="2:15" x14ac:dyDescent="0.3">
      <c r="B3128" s="1" t="s">
        <v>23</v>
      </c>
      <c r="C3128" s="1" t="str">
        <f t="shared" si="184"/>
        <v>4차</v>
      </c>
      <c r="D3128" s="1" t="str">
        <f>"0126Y94244"</f>
        <v>0126Y94244</v>
      </c>
      <c r="E3128" s="1" t="s">
        <v>10</v>
      </c>
      <c r="F3128" s="1" t="str">
        <f>"10.11.70.146"</f>
        <v>10.11.70.146</v>
      </c>
      <c r="G3128" s="1" t="str">
        <f>"0126Y942"</f>
        <v>0126Y942</v>
      </c>
      <c r="H3128" s="1" t="str">
        <f>"왕십로 22R9"</f>
        <v>왕십로 22R9</v>
      </c>
      <c r="I3128" s="1" t="s">
        <v>8</v>
      </c>
      <c r="J3128" s="1" t="str">
        <f>"19/19"</f>
        <v>19/19</v>
      </c>
      <c r="K3128" s="1" t="str">
        <f t="shared" si="183"/>
        <v>2026-07-29 13:18:01</v>
      </c>
      <c r="L3128" s="1" t="str">
        <f>"2019-11-11 18:03:04"</f>
        <v>2019-11-11 18:03:04</v>
      </c>
      <c r="M3128" s="1" t="s">
        <v>2</v>
      </c>
      <c r="N3128" s="1" t="s">
        <v>38</v>
      </c>
      <c r="O3128" s="1" t="s">
        <v>46</v>
      </c>
    </row>
    <row r="3129" spans="2:15" x14ac:dyDescent="0.3">
      <c r="B3129" s="1" t="s">
        <v>23</v>
      </c>
      <c r="C3129" s="1" t="str">
        <f t="shared" si="184"/>
        <v>4차</v>
      </c>
      <c r="D3129" s="1" t="str">
        <f>"0126Y95244"</f>
        <v>0126Y95244</v>
      </c>
      <c r="E3129" s="1" t="s">
        <v>10</v>
      </c>
      <c r="F3129" s="1" t="str">
        <f>"10.11.70.130"</f>
        <v>10.11.70.130</v>
      </c>
      <c r="G3129" s="1" t="str">
        <f>"0126Y952"</f>
        <v>0126Y952</v>
      </c>
      <c r="H3129" s="1" t="str">
        <f>"왕십로 22R8L1"</f>
        <v>왕십로 22R8L1</v>
      </c>
      <c r="I3129" s="1" t="s">
        <v>8</v>
      </c>
      <c r="J3129" s="1" t="str">
        <f>"32/32"</f>
        <v>32/32</v>
      </c>
      <c r="K3129" s="1" t="str">
        <f t="shared" si="183"/>
        <v>2026-07-29 13:18:01</v>
      </c>
      <c r="L3129" s="1" t="str">
        <f>"2019-10-18 19:24:32"</f>
        <v>2019-10-18 19:24:32</v>
      </c>
      <c r="M3129" s="1" t="s">
        <v>2</v>
      </c>
      <c r="N3129" s="1" t="s">
        <v>38</v>
      </c>
      <c r="O3129" s="1" t="s">
        <v>46</v>
      </c>
    </row>
    <row r="3130" spans="2:15" x14ac:dyDescent="0.3">
      <c r="B3130" s="1" t="s">
        <v>23</v>
      </c>
      <c r="C3130" s="1" t="str">
        <f t="shared" si="184"/>
        <v>4차</v>
      </c>
      <c r="D3130" s="1" t="str">
        <f>"0126Y96644"</f>
        <v>0126Y96644</v>
      </c>
      <c r="E3130" s="1" t="s">
        <v>10</v>
      </c>
      <c r="F3130" s="1" t="str">
        <f>"10.11.70.138"</f>
        <v>10.11.70.138</v>
      </c>
      <c r="G3130" s="1" t="str">
        <f>"0126Y966"</f>
        <v>0126Y966</v>
      </c>
      <c r="H3130" s="1" t="str">
        <f>"왕십로 22R8L4"</f>
        <v>왕십로 22R8L4</v>
      </c>
      <c r="I3130" s="1" t="s">
        <v>8</v>
      </c>
      <c r="J3130" s="1" t="str">
        <f>"33/33"</f>
        <v>33/33</v>
      </c>
      <c r="K3130" s="1" t="str">
        <f t="shared" si="183"/>
        <v>2026-07-29 13:18:01</v>
      </c>
      <c r="L3130" s="1" t="str">
        <f>"2019-11-04 19:53:05"</f>
        <v>2019-11-04 19:53:05</v>
      </c>
      <c r="M3130" s="1" t="s">
        <v>2</v>
      </c>
      <c r="N3130" s="1" t="s">
        <v>38</v>
      </c>
      <c r="O3130" s="1" t="s">
        <v>46</v>
      </c>
    </row>
    <row r="3131" spans="2:15" x14ac:dyDescent="0.3">
      <c r="B3131" s="1" t="s">
        <v>23</v>
      </c>
      <c r="C3131" s="1" t="str">
        <f t="shared" si="184"/>
        <v>4차</v>
      </c>
      <c r="D3131" s="1" t="str">
        <f>"0126Z00144"</f>
        <v>0126Z00144</v>
      </c>
      <c r="E3131" s="1" t="s">
        <v>10</v>
      </c>
      <c r="F3131" s="1" t="str">
        <f>"10.11.69.162"</f>
        <v>10.11.69.162</v>
      </c>
      <c r="G3131" s="1" t="str">
        <f>"0126Z001"</f>
        <v>0126Z001</v>
      </c>
      <c r="H3131" s="1" t="str">
        <f>"안정지 12R10"</f>
        <v>안정지 12R10</v>
      </c>
      <c r="I3131" s="1" t="s">
        <v>8</v>
      </c>
      <c r="J3131" s="1" t="str">
        <f>"98/98"</f>
        <v>98/98</v>
      </c>
      <c r="K3131" s="1" t="str">
        <f t="shared" si="183"/>
        <v>2026-07-29 13:18:01</v>
      </c>
      <c r="L3131" s="1" t="str">
        <f>"2019-12-11 15:37:45"</f>
        <v>2019-12-11 15:37:45</v>
      </c>
      <c r="M3131" s="1" t="s">
        <v>2</v>
      </c>
      <c r="N3131" s="1" t="s">
        <v>38</v>
      </c>
      <c r="O3131" s="1" t="s">
        <v>46</v>
      </c>
    </row>
    <row r="3132" spans="2:15" x14ac:dyDescent="0.3">
      <c r="B3132" s="1" t="s">
        <v>23</v>
      </c>
      <c r="C3132" s="1" t="str">
        <f t="shared" si="184"/>
        <v>4차</v>
      </c>
      <c r="D3132" s="1" t="str">
        <f>"0126Z15244"</f>
        <v>0126Z15244</v>
      </c>
      <c r="E3132" s="1" t="s">
        <v>10</v>
      </c>
      <c r="F3132" s="1" t="str">
        <f>"10.11.70.154"</f>
        <v>10.11.70.154</v>
      </c>
      <c r="G3132" s="1" t="str">
        <f>"0126Z152"</f>
        <v>0126Z152</v>
      </c>
      <c r="H3132" s="1" t="str">
        <f>"왕십로 40R2"</f>
        <v>왕십로 40R2</v>
      </c>
      <c r="I3132" s="1" t="s">
        <v>8</v>
      </c>
      <c r="J3132" s="1" t="str">
        <f>"48/48"</f>
        <v>48/48</v>
      </c>
      <c r="K3132" s="1" t="str">
        <f t="shared" si="183"/>
        <v>2026-07-29 13:18:01</v>
      </c>
      <c r="L3132" s="1" t="str">
        <f>"2019-11-04 19:53:05"</f>
        <v>2019-11-04 19:53:05</v>
      </c>
      <c r="M3132" s="1" t="s">
        <v>2</v>
      </c>
      <c r="N3132" s="1" t="s">
        <v>38</v>
      </c>
      <c r="O3132" s="1" t="s">
        <v>46</v>
      </c>
    </row>
    <row r="3133" spans="2:15" x14ac:dyDescent="0.3">
      <c r="B3133" s="1" t="s">
        <v>23</v>
      </c>
      <c r="C3133" s="1" t="str">
        <f t="shared" si="184"/>
        <v>4차</v>
      </c>
      <c r="D3133" s="1" t="str">
        <f>"0126Z16145"</f>
        <v>0126Z16145</v>
      </c>
      <c r="E3133" s="1" t="s">
        <v>10</v>
      </c>
      <c r="F3133" s="1" t="str">
        <f>"10.14.4.1"</f>
        <v>10.14.4.1</v>
      </c>
      <c r="G3133" s="1" t="str">
        <f>"0126Z161"</f>
        <v>0126Z161</v>
      </c>
      <c r="H3133" s="1" t="str">
        <f>"왕십로 44-7"</f>
        <v>왕십로 44-7</v>
      </c>
      <c r="I3133" s="1" t="s">
        <v>17</v>
      </c>
      <c r="J3133" s="1" t="str">
        <f>"10/10"</f>
        <v>10/10</v>
      </c>
      <c r="K3133" s="1" t="str">
        <f>"2026-07-29 13:18:02"</f>
        <v>2026-07-29 13:18:02</v>
      </c>
      <c r="L3133" s="1" t="str">
        <f>"2021-06-24 10:17:57"</f>
        <v>2021-06-24 10:17:57</v>
      </c>
      <c r="M3133" s="1" t="s">
        <v>3</v>
      </c>
      <c r="N3133" s="1" t="s">
        <v>38</v>
      </c>
      <c r="O3133" s="1" t="s">
        <v>46</v>
      </c>
    </row>
    <row r="3134" spans="2:15" x14ac:dyDescent="0.3">
      <c r="B3134" s="1" t="s">
        <v>23</v>
      </c>
      <c r="C3134" s="1" t="str">
        <f t="shared" si="184"/>
        <v>4차</v>
      </c>
      <c r="D3134" s="1" t="str">
        <f>"0126Z16245"</f>
        <v>0126Z16245</v>
      </c>
      <c r="E3134" s="1" t="s">
        <v>10</v>
      </c>
      <c r="F3134" s="1" t="str">
        <f>"10.14.3.55"</f>
        <v>10.14.3.55</v>
      </c>
      <c r="G3134" s="1" t="str">
        <f>"0126Z162"</f>
        <v>0126Z162</v>
      </c>
      <c r="H3134" s="1" t="str">
        <f>"왕십로 44-6"</f>
        <v>왕십로 44-6</v>
      </c>
      <c r="I3134" s="1" t="s">
        <v>17</v>
      </c>
      <c r="J3134" s="1" t="str">
        <f>"8/10"</f>
        <v>8/10</v>
      </c>
      <c r="K3134" s="1" t="str">
        <f>"2026-07-29 13:18:02"</f>
        <v>2026-07-29 13:18:02</v>
      </c>
      <c r="L3134" s="1" t="str">
        <f>"2021-06-24 10:35:19"</f>
        <v>2021-06-24 10:35:19</v>
      </c>
      <c r="M3134" s="1" t="s">
        <v>3</v>
      </c>
      <c r="N3134" s="1" t="s">
        <v>38</v>
      </c>
      <c r="O3134" s="1" t="s">
        <v>46</v>
      </c>
    </row>
    <row r="3135" spans="2:15" x14ac:dyDescent="0.3">
      <c r="B3135" s="1" t="s">
        <v>23</v>
      </c>
      <c r="C3135" s="1" t="str">
        <f t="shared" si="184"/>
        <v>4차</v>
      </c>
      <c r="D3135" s="1" t="str">
        <f>"0126Z18444"</f>
        <v>0126Z18444</v>
      </c>
      <c r="E3135" s="1" t="s">
        <v>10</v>
      </c>
      <c r="F3135" s="1" t="str">
        <f>"10.11.65.154"</f>
        <v>10.11.65.154</v>
      </c>
      <c r="G3135" s="1" t="str">
        <f>"0126Z184"</f>
        <v>0126Z184</v>
      </c>
      <c r="H3135" s="1" t="str">
        <f>"도선간 26"</f>
        <v>도선간 26</v>
      </c>
      <c r="I3135" s="1" t="s">
        <v>8</v>
      </c>
      <c r="J3135" s="1" t="str">
        <f>"8/8"</f>
        <v>8/8</v>
      </c>
      <c r="K3135" s="1" t="str">
        <f t="shared" ref="K3135:K3140" si="185">"2026-07-29 13:18:01"</f>
        <v>2026-07-29 13:18:01</v>
      </c>
      <c r="L3135" s="1" t="str">
        <f>"2019-10-29 11:03:05"</f>
        <v>2019-10-29 11:03:05</v>
      </c>
      <c r="M3135" s="1" t="s">
        <v>2</v>
      </c>
      <c r="N3135" s="1" t="s">
        <v>38</v>
      </c>
      <c r="O3135" s="1" t="s">
        <v>46</v>
      </c>
    </row>
    <row r="3136" spans="2:15" x14ac:dyDescent="0.3">
      <c r="B3136" s="1" t="s">
        <v>23</v>
      </c>
      <c r="C3136" s="1" t="str">
        <f t="shared" si="184"/>
        <v>4차</v>
      </c>
      <c r="D3136" s="1" t="str">
        <f>"0126Z19544"</f>
        <v>0126Z19544</v>
      </c>
      <c r="E3136" s="1" t="s">
        <v>10</v>
      </c>
      <c r="F3136" s="1" t="str">
        <f>"10.11.65.146"</f>
        <v>10.11.65.146</v>
      </c>
      <c r="G3136" s="1" t="str">
        <f>"0126Z195"</f>
        <v>0126Z195</v>
      </c>
      <c r="H3136" s="1" t="str">
        <f>"도선간 24"</f>
        <v>도선간 24</v>
      </c>
      <c r="I3136" s="1" t="s">
        <v>8</v>
      </c>
      <c r="J3136" s="1" t="str">
        <f>"47/47"</f>
        <v>47/47</v>
      </c>
      <c r="K3136" s="1" t="str">
        <f t="shared" si="185"/>
        <v>2026-07-29 13:18:01</v>
      </c>
      <c r="L3136" s="1" t="str">
        <f>"2019-10-29 10:53:05"</f>
        <v>2019-10-29 10:53:05</v>
      </c>
      <c r="M3136" s="1" t="s">
        <v>2</v>
      </c>
      <c r="N3136" s="1" t="s">
        <v>38</v>
      </c>
      <c r="O3136" s="1" t="s">
        <v>46</v>
      </c>
    </row>
    <row r="3137" spans="2:15" x14ac:dyDescent="0.3">
      <c r="B3137" s="1" t="s">
        <v>23</v>
      </c>
      <c r="C3137" s="1" t="str">
        <f t="shared" si="184"/>
        <v>4차</v>
      </c>
      <c r="D3137" s="1" t="str">
        <f>"0126Z20144"</f>
        <v>0126Z20144</v>
      </c>
      <c r="E3137" s="1" t="s">
        <v>10</v>
      </c>
      <c r="F3137" s="1" t="str">
        <f>"10.11.69.202"</f>
        <v>10.11.69.202</v>
      </c>
      <c r="G3137" s="1" t="str">
        <f>"0126Z201"</f>
        <v>0126Z201</v>
      </c>
      <c r="H3137" s="1" t="str">
        <f>"안정지 12R8"</f>
        <v>안정지 12R8</v>
      </c>
      <c r="I3137" s="1" t="s">
        <v>8</v>
      </c>
      <c r="J3137" s="1" t="str">
        <f>"108/109"</f>
        <v>108/109</v>
      </c>
      <c r="K3137" s="1" t="str">
        <f t="shared" si="185"/>
        <v>2026-07-29 13:18:01</v>
      </c>
      <c r="L3137" s="1" t="str">
        <f>"2019-11-04 19:53:05"</f>
        <v>2019-11-04 19:53:05</v>
      </c>
      <c r="M3137" s="1" t="s">
        <v>2</v>
      </c>
      <c r="N3137" s="1" t="s">
        <v>38</v>
      </c>
      <c r="O3137" s="1" t="s">
        <v>46</v>
      </c>
    </row>
    <row r="3138" spans="2:15" x14ac:dyDescent="0.3">
      <c r="B3138" s="1" t="s">
        <v>23</v>
      </c>
      <c r="C3138" s="1" t="str">
        <f t="shared" si="184"/>
        <v>4차</v>
      </c>
      <c r="D3138" s="1" t="str">
        <f>"0126Z21344"</f>
        <v>0126Z21344</v>
      </c>
      <c r="E3138" s="1" t="s">
        <v>10</v>
      </c>
      <c r="F3138" s="1" t="str">
        <f>"10.11.77.114"</f>
        <v>10.11.77.114</v>
      </c>
      <c r="G3138" s="1" t="str">
        <f>"0126Z213"</f>
        <v>0126Z213</v>
      </c>
      <c r="H3138" s="1" t="str">
        <f>"안정지 12R7"</f>
        <v>안정지 12R7</v>
      </c>
      <c r="I3138" s="1" t="s">
        <v>8</v>
      </c>
      <c r="J3138" s="1" t="str">
        <f>"33/33"</f>
        <v>33/33</v>
      </c>
      <c r="K3138" s="1" t="str">
        <f t="shared" si="185"/>
        <v>2026-07-29 13:18:01</v>
      </c>
      <c r="L3138" s="1" t="str">
        <f>"2019-11-04 19:53:05"</f>
        <v>2019-11-04 19:53:05</v>
      </c>
      <c r="M3138" s="1" t="s">
        <v>2</v>
      </c>
      <c r="N3138" s="1" t="s">
        <v>38</v>
      </c>
      <c r="O3138" s="1" t="s">
        <v>46</v>
      </c>
    </row>
    <row r="3139" spans="2:15" x14ac:dyDescent="0.3">
      <c r="B3139" s="1" t="s">
        <v>23</v>
      </c>
      <c r="C3139" s="1" t="str">
        <f t="shared" si="184"/>
        <v>4차</v>
      </c>
      <c r="D3139" s="1" t="str">
        <f>"0126Z22244"</f>
        <v>0126Z22244</v>
      </c>
      <c r="E3139" s="1" t="s">
        <v>10</v>
      </c>
      <c r="F3139" s="1" t="str">
        <f>"10.11.69.194"</f>
        <v>10.11.69.194</v>
      </c>
      <c r="G3139" s="1" t="str">
        <f>"0126Z222"</f>
        <v>0126Z222</v>
      </c>
      <c r="H3139" s="1" t="str">
        <f>"안정지 12R6R2"</f>
        <v>안정지 12R6R2</v>
      </c>
      <c r="I3139" s="1" t="s">
        <v>8</v>
      </c>
      <c r="J3139" s="1" t="str">
        <f>"33/33"</f>
        <v>33/33</v>
      </c>
      <c r="K3139" s="1" t="str">
        <f t="shared" si="185"/>
        <v>2026-07-29 13:18:01</v>
      </c>
      <c r="L3139" s="1" t="str">
        <f>"2019-11-04 19:53:05"</f>
        <v>2019-11-04 19:53:05</v>
      </c>
      <c r="M3139" s="1" t="s">
        <v>2</v>
      </c>
      <c r="N3139" s="1" t="s">
        <v>38</v>
      </c>
      <c r="O3139" s="1" t="s">
        <v>46</v>
      </c>
    </row>
    <row r="3140" spans="2:15" x14ac:dyDescent="0.3">
      <c r="B3140" s="1" t="s">
        <v>23</v>
      </c>
      <c r="C3140" s="1" t="str">
        <f t="shared" si="184"/>
        <v>4차</v>
      </c>
      <c r="D3140" s="1" t="str">
        <f>"0126Z24544"</f>
        <v>0126Z24544</v>
      </c>
      <c r="E3140" s="1" t="s">
        <v>10</v>
      </c>
      <c r="F3140" s="1" t="str">
        <f>"10.11.77.170"</f>
        <v>10.11.77.170</v>
      </c>
      <c r="G3140" s="1" t="str">
        <f>"0126Z245"</f>
        <v>0126Z245</v>
      </c>
      <c r="H3140" s="1" t="str">
        <f>"왕십로 42R3"</f>
        <v>왕십로 42R3</v>
      </c>
      <c r="I3140" s="1" t="s">
        <v>8</v>
      </c>
      <c r="J3140" s="1" t="str">
        <f>"13/13"</f>
        <v>13/13</v>
      </c>
      <c r="K3140" s="1" t="str">
        <f t="shared" si="185"/>
        <v>2026-07-29 13:18:01</v>
      </c>
      <c r="L3140" s="1" t="str">
        <f>"2019-11-04 19:53:05"</f>
        <v>2019-11-04 19:53:05</v>
      </c>
      <c r="M3140" s="1" t="s">
        <v>2</v>
      </c>
      <c r="N3140" s="1" t="s">
        <v>38</v>
      </c>
      <c r="O3140" s="1" t="s">
        <v>46</v>
      </c>
    </row>
    <row r="3141" spans="2:15" x14ac:dyDescent="0.3">
      <c r="B3141" s="1" t="s">
        <v>23</v>
      </c>
      <c r="C3141" s="1" t="str">
        <f t="shared" si="184"/>
        <v>4차</v>
      </c>
      <c r="D3141" s="1" t="str">
        <f>"0126Z26239"</f>
        <v>0126Z26239</v>
      </c>
      <c r="E3141" s="1" t="s">
        <v>10</v>
      </c>
      <c r="F3141" s="1" t="str">
        <f>"10.12.135.49"</f>
        <v>10.12.135.49</v>
      </c>
      <c r="G3141" s="1" t="str">
        <f>"0126Z262"</f>
        <v>0126Z262</v>
      </c>
      <c r="H3141" s="1" t="str">
        <f>"왕십로 31-3"</f>
        <v>왕십로 31-3</v>
      </c>
      <c r="I3141" s="1" t="s">
        <v>17</v>
      </c>
      <c r="J3141" s="1" t="str">
        <f>"8/10"</f>
        <v>8/10</v>
      </c>
      <c r="K3141" s="1" t="str">
        <f>"2026-07-29 13:18:03"</f>
        <v>2026-07-29 13:18:03</v>
      </c>
      <c r="L3141" s="1" t="str">
        <f>"2018-05-15 10:58:31"</f>
        <v>2018-05-15 10:58:31</v>
      </c>
      <c r="M3141" s="1" t="s">
        <v>0</v>
      </c>
      <c r="N3141" s="1" t="s">
        <v>38</v>
      </c>
      <c r="O3141" s="1" t="s">
        <v>46</v>
      </c>
    </row>
    <row r="3142" spans="2:15" x14ac:dyDescent="0.3">
      <c r="B3142" s="1" t="s">
        <v>23</v>
      </c>
      <c r="C3142" s="1" t="str">
        <f t="shared" si="184"/>
        <v>4차</v>
      </c>
      <c r="D3142" s="1" t="str">
        <f>"0126Z30144"</f>
        <v>0126Z30144</v>
      </c>
      <c r="E3142" s="1" t="s">
        <v>10</v>
      </c>
      <c r="F3142" s="1" t="str">
        <f>"10.11.69.178"</f>
        <v>10.11.69.178</v>
      </c>
      <c r="G3142" s="1" t="str">
        <f>"0126Z301"</f>
        <v>0126Z301</v>
      </c>
      <c r="H3142" s="1" t="str">
        <f>"안정지 12R3"</f>
        <v>안정지 12R3</v>
      </c>
      <c r="I3142" s="1" t="s">
        <v>8</v>
      </c>
      <c r="J3142" s="1" t="str">
        <f>"14/14"</f>
        <v>14/14</v>
      </c>
      <c r="K3142" s="1" t="str">
        <f>"2026-07-29 13:18:01"</f>
        <v>2026-07-29 13:18:01</v>
      </c>
      <c r="L3142" s="1" t="str">
        <f>"2019-11-04 19:53:04"</f>
        <v>2019-11-04 19:53:04</v>
      </c>
      <c r="M3142" s="1" t="s">
        <v>2</v>
      </c>
      <c r="N3142" s="1" t="s">
        <v>38</v>
      </c>
      <c r="O3142" s="1" t="s">
        <v>46</v>
      </c>
    </row>
    <row r="3143" spans="2:15" x14ac:dyDescent="0.3">
      <c r="B3143" s="1" t="s">
        <v>23</v>
      </c>
      <c r="C3143" s="1" t="str">
        <f t="shared" si="184"/>
        <v>4차</v>
      </c>
      <c r="D3143" s="1" t="str">
        <f>"0126Z31344"</f>
        <v>0126Z31344</v>
      </c>
      <c r="E3143" s="1" t="s">
        <v>10</v>
      </c>
      <c r="F3143" s="1" t="str">
        <f>"10.11.69.186"</f>
        <v>10.11.69.186</v>
      </c>
      <c r="G3143" s="1" t="str">
        <f>"0126Z313"</f>
        <v>0126Z313</v>
      </c>
      <c r="H3143" s="1" t="str">
        <f>"안정지 12R4H1"</f>
        <v>안정지 12R4H1</v>
      </c>
      <c r="I3143" s="1" t="s">
        <v>8</v>
      </c>
      <c r="J3143" s="1" t="str">
        <f>"66/67"</f>
        <v>66/67</v>
      </c>
      <c r="K3143" s="1" t="str">
        <f>"2026-07-29 13:18:01"</f>
        <v>2026-07-29 13:18:01</v>
      </c>
      <c r="L3143" s="1" t="str">
        <f>"2023-10-20 13:35:35"</f>
        <v>2023-10-20 13:35:35</v>
      </c>
      <c r="M3143" s="1" t="s">
        <v>2</v>
      </c>
      <c r="N3143" s="1" t="s">
        <v>38</v>
      </c>
      <c r="O3143" s="1" t="s">
        <v>46</v>
      </c>
    </row>
    <row r="3144" spans="2:15" x14ac:dyDescent="0.3">
      <c r="B3144" s="1" t="s">
        <v>23</v>
      </c>
      <c r="C3144" s="1" t="str">
        <f t="shared" si="184"/>
        <v>4차</v>
      </c>
      <c r="D3144" s="1" t="str">
        <f>"0126Z32344"</f>
        <v>0126Z32344</v>
      </c>
      <c r="E3144" s="1" t="s">
        <v>10</v>
      </c>
      <c r="F3144" s="1" t="str">
        <f>"10.11.70.10"</f>
        <v>10.11.70.10</v>
      </c>
      <c r="G3144" s="1" t="str">
        <f>"0126Z323"</f>
        <v>0126Z323</v>
      </c>
      <c r="H3144" s="1" t="str">
        <f>"안정지 4R3"</f>
        <v>안정지 4R3</v>
      </c>
      <c r="I3144" s="1" t="s">
        <v>8</v>
      </c>
      <c r="J3144" s="1" t="str">
        <f>"19/19"</f>
        <v>19/19</v>
      </c>
      <c r="K3144" s="1" t="str">
        <f>"2026-07-29 13:18:02"</f>
        <v>2026-07-29 13:18:02</v>
      </c>
      <c r="L3144" s="1" t="str">
        <f>"2019-11-13 15:13:05"</f>
        <v>2019-11-13 15:13:05</v>
      </c>
      <c r="M3144" s="1" t="s">
        <v>2</v>
      </c>
      <c r="N3144" s="1" t="s">
        <v>38</v>
      </c>
      <c r="O3144" s="1" t="s">
        <v>46</v>
      </c>
    </row>
    <row r="3145" spans="2:15" x14ac:dyDescent="0.3">
      <c r="B3145" s="1" t="s">
        <v>23</v>
      </c>
      <c r="C3145" s="1" t="str">
        <f t="shared" si="184"/>
        <v>4차</v>
      </c>
      <c r="D3145" s="1" t="str">
        <f>"0126Z33144"</f>
        <v>0126Z33144</v>
      </c>
      <c r="E3145" s="1" t="s">
        <v>10</v>
      </c>
      <c r="F3145" s="1" t="str">
        <f>"10.11.70.162"</f>
        <v>10.11.70.162</v>
      </c>
      <c r="G3145" s="1" t="str">
        <f>"0126Z331"</f>
        <v>0126Z331</v>
      </c>
      <c r="H3145" s="1" t="str">
        <f>"왕십로 42R4"</f>
        <v>왕십로 42R4</v>
      </c>
      <c r="I3145" s="1" t="s">
        <v>8</v>
      </c>
      <c r="J3145" s="1" t="str">
        <f>"31/31"</f>
        <v>31/31</v>
      </c>
      <c r="K3145" s="1" t="str">
        <f>"2026-07-29 13:18:02"</f>
        <v>2026-07-29 13:18:02</v>
      </c>
      <c r="L3145" s="1" t="str">
        <f>"2019-11-04 19:43:05"</f>
        <v>2019-11-04 19:43:05</v>
      </c>
      <c r="M3145" s="1" t="s">
        <v>2</v>
      </c>
      <c r="N3145" s="1" t="s">
        <v>38</v>
      </c>
      <c r="O3145" s="1" t="s">
        <v>46</v>
      </c>
    </row>
    <row r="3146" spans="2:15" x14ac:dyDescent="0.3">
      <c r="B3146" s="1" t="s">
        <v>23</v>
      </c>
      <c r="C3146" s="1" t="str">
        <f t="shared" si="184"/>
        <v>4차</v>
      </c>
      <c r="D3146" s="1" t="str">
        <f>"0126Z35145"</f>
        <v>0126Z35145</v>
      </c>
      <c r="E3146" s="1" t="s">
        <v>10</v>
      </c>
      <c r="F3146" s="1" t="str">
        <f>"10.12.135.108"</f>
        <v>10.12.135.108</v>
      </c>
      <c r="G3146" s="1" t="str">
        <f>"0126Z351"</f>
        <v>0126Z351</v>
      </c>
      <c r="H3146" s="1" t="str">
        <f>"왕십로 31-2"</f>
        <v>왕십로 31-2</v>
      </c>
      <c r="I3146" s="1" t="s">
        <v>17</v>
      </c>
      <c r="J3146" s="1" t="str">
        <f>"10/10"</f>
        <v>10/10</v>
      </c>
      <c r="K3146" s="1" t="str">
        <f>"2026-07-29 13:18:03"</f>
        <v>2026-07-29 13:18:03</v>
      </c>
      <c r="L3146" s="1" t="str">
        <f>"2024-10-21 17:23:28"</f>
        <v>2024-10-21 17:23:28</v>
      </c>
      <c r="M3146" s="1" t="s">
        <v>0</v>
      </c>
      <c r="N3146" s="1" t="s">
        <v>38</v>
      </c>
      <c r="O3146" s="1" t="s">
        <v>46</v>
      </c>
    </row>
    <row r="3147" spans="2:15" x14ac:dyDescent="0.3">
      <c r="B3147" s="1" t="s">
        <v>23</v>
      </c>
      <c r="C3147" s="1" t="str">
        <f t="shared" si="184"/>
        <v>4차</v>
      </c>
      <c r="D3147" s="1" t="str">
        <f>"0126Z35339"</f>
        <v>0126Z35339</v>
      </c>
      <c r="E3147" s="1" t="s">
        <v>10</v>
      </c>
      <c r="F3147" s="1" t="str">
        <f>"10.12.135.110"</f>
        <v>10.12.135.110</v>
      </c>
      <c r="G3147" s="1" t="str">
        <f>"0126Z353"</f>
        <v>0126Z353</v>
      </c>
      <c r="H3147" s="1" t="str">
        <f>"왕십로 44-4"</f>
        <v>왕십로 44-4</v>
      </c>
      <c r="I3147" s="1" t="s">
        <v>17</v>
      </c>
      <c r="J3147" s="1" t="str">
        <f>"4/4"</f>
        <v>4/4</v>
      </c>
      <c r="K3147" s="1" t="str">
        <f t="shared" ref="K3147:K3153" si="186">"2026-07-29 13:18:02"</f>
        <v>2026-07-29 13:18:02</v>
      </c>
      <c r="L3147" s="1" t="str">
        <f>"2018-05-23 08:19:11"</f>
        <v>2018-05-23 08:19:11</v>
      </c>
      <c r="M3147" s="1" t="s">
        <v>0</v>
      </c>
      <c r="N3147" s="1" t="s">
        <v>38</v>
      </c>
      <c r="O3147" s="1" t="s">
        <v>46</v>
      </c>
    </row>
    <row r="3148" spans="2:15" x14ac:dyDescent="0.3">
      <c r="B3148" s="1" t="s">
        <v>23</v>
      </c>
      <c r="C3148" s="1" t="str">
        <f t="shared" si="184"/>
        <v>4차</v>
      </c>
      <c r="D3148" s="1" t="str">
        <f>"0126Z38144"</f>
        <v>0126Z38144</v>
      </c>
      <c r="E3148" s="1" t="s">
        <v>10</v>
      </c>
      <c r="F3148" s="1" t="str">
        <f>"10.11.65.178"</f>
        <v>10.11.65.178</v>
      </c>
      <c r="G3148" s="1" t="str">
        <f>"0126Z381"</f>
        <v>0126Z381</v>
      </c>
      <c r="H3148" s="1" t="str">
        <f>"도선간 5L13R4"</f>
        <v>도선간 5L13R4</v>
      </c>
      <c r="I3148" s="1" t="s">
        <v>8</v>
      </c>
      <c r="J3148" s="1" t="str">
        <f>"36/36"</f>
        <v>36/36</v>
      </c>
      <c r="K3148" s="1" t="str">
        <f t="shared" si="186"/>
        <v>2026-07-29 13:18:02</v>
      </c>
      <c r="L3148" s="1" t="str">
        <f>"2019-10-29 10:53:05"</f>
        <v>2019-10-29 10:53:05</v>
      </c>
      <c r="M3148" s="1" t="s">
        <v>2</v>
      </c>
      <c r="N3148" s="1" t="s">
        <v>38</v>
      </c>
      <c r="O3148" s="1" t="s">
        <v>46</v>
      </c>
    </row>
    <row r="3149" spans="2:15" x14ac:dyDescent="0.3">
      <c r="B3149" s="1" t="s">
        <v>23</v>
      </c>
      <c r="C3149" s="1" t="str">
        <f t="shared" si="184"/>
        <v>4차</v>
      </c>
      <c r="D3149" s="1" t="str">
        <f>"0126Z38244"</f>
        <v>0126Z38244</v>
      </c>
      <c r="E3149" s="1" t="s">
        <v>10</v>
      </c>
      <c r="F3149" s="1" t="str">
        <f>"10.11.65.162"</f>
        <v>10.11.65.162</v>
      </c>
      <c r="G3149" s="1" t="str">
        <f>"0126Z382"</f>
        <v>0126Z382</v>
      </c>
      <c r="H3149" s="1" t="str">
        <f>"도선간 5L13R3"</f>
        <v>도선간 5L13R3</v>
      </c>
      <c r="I3149" s="1" t="s">
        <v>8</v>
      </c>
      <c r="J3149" s="1" t="str">
        <f>"17/17"</f>
        <v>17/17</v>
      </c>
      <c r="K3149" s="1" t="str">
        <f t="shared" si="186"/>
        <v>2026-07-29 13:18:02</v>
      </c>
      <c r="L3149" s="1" t="str">
        <f>"2019-10-29 10:43:04"</f>
        <v>2019-10-29 10:43:04</v>
      </c>
      <c r="M3149" s="1" t="s">
        <v>2</v>
      </c>
      <c r="N3149" s="1" t="s">
        <v>38</v>
      </c>
      <c r="O3149" s="1" t="s">
        <v>46</v>
      </c>
    </row>
    <row r="3150" spans="2:15" x14ac:dyDescent="0.3">
      <c r="B3150" s="1" t="s">
        <v>23</v>
      </c>
      <c r="C3150" s="1" t="str">
        <f t="shared" si="184"/>
        <v>4차</v>
      </c>
      <c r="D3150" s="1" t="str">
        <f>"0126Z40144"</f>
        <v>0126Z40144</v>
      </c>
      <c r="E3150" s="1" t="s">
        <v>10</v>
      </c>
      <c r="F3150" s="1" t="str">
        <f>"10.11.70.34"</f>
        <v>10.11.70.34</v>
      </c>
      <c r="G3150" s="1" t="str">
        <f>"0126Z401"</f>
        <v>0126Z401</v>
      </c>
      <c r="H3150" s="1" t="str">
        <f>"안정지 7"</f>
        <v>안정지 7</v>
      </c>
      <c r="I3150" s="1" t="s">
        <v>8</v>
      </c>
      <c r="J3150" s="1" t="str">
        <f>"41/42"</f>
        <v>41/42</v>
      </c>
      <c r="K3150" s="1" t="str">
        <f t="shared" si="186"/>
        <v>2026-07-29 13:18:02</v>
      </c>
      <c r="L3150" s="1" t="str">
        <f>"2020-01-31 14:29:30"</f>
        <v>2020-01-31 14:29:30</v>
      </c>
      <c r="M3150" s="1" t="s">
        <v>2</v>
      </c>
      <c r="N3150" s="1" t="s">
        <v>38</v>
      </c>
      <c r="O3150" s="1" t="s">
        <v>46</v>
      </c>
    </row>
    <row r="3151" spans="2:15" x14ac:dyDescent="0.3">
      <c r="B3151" s="1" t="s">
        <v>23</v>
      </c>
      <c r="C3151" s="1" t="str">
        <f t="shared" si="184"/>
        <v>4차</v>
      </c>
      <c r="D3151" s="1" t="str">
        <f>"0126Z40244"</f>
        <v>0126Z40244</v>
      </c>
      <c r="E3151" s="1" t="s">
        <v>10</v>
      </c>
      <c r="F3151" s="1" t="str">
        <f>"10.11.70.26"</f>
        <v>10.11.70.26</v>
      </c>
      <c r="G3151" s="1" t="str">
        <f>"0126Z402"</f>
        <v>0126Z402</v>
      </c>
      <c r="H3151" s="1" t="str">
        <f>"안정지 6"</f>
        <v>안정지 6</v>
      </c>
      <c r="I3151" s="1" t="s">
        <v>8</v>
      </c>
      <c r="J3151" s="1" t="str">
        <f>"49/49"</f>
        <v>49/49</v>
      </c>
      <c r="K3151" s="1" t="str">
        <f t="shared" si="186"/>
        <v>2026-07-29 13:18:02</v>
      </c>
      <c r="L3151" s="1" t="str">
        <f>"2019-11-04 19:53:05"</f>
        <v>2019-11-04 19:53:05</v>
      </c>
      <c r="M3151" s="1" t="s">
        <v>2</v>
      </c>
      <c r="N3151" s="1" t="s">
        <v>38</v>
      </c>
      <c r="O3151" s="1" t="s">
        <v>46</v>
      </c>
    </row>
    <row r="3152" spans="2:15" x14ac:dyDescent="0.3">
      <c r="B3152" s="1" t="s">
        <v>23</v>
      </c>
      <c r="C3152" s="1" t="str">
        <f t="shared" si="184"/>
        <v>4차</v>
      </c>
      <c r="D3152" s="1" t="str">
        <f>"0126Z41144"</f>
        <v>0126Z41144</v>
      </c>
      <c r="E3152" s="1" t="s">
        <v>10</v>
      </c>
      <c r="F3152" s="1" t="str">
        <f>"10.11.70.18"</f>
        <v>10.11.70.18</v>
      </c>
      <c r="G3152" s="1" t="str">
        <f>"0126Z411"</f>
        <v>0126Z411</v>
      </c>
      <c r="H3152" s="1" t="str">
        <f>"안정지 5"</f>
        <v>안정지 5</v>
      </c>
      <c r="I3152" s="1" t="s">
        <v>8</v>
      </c>
      <c r="J3152" s="1" t="str">
        <f>"75/82"</f>
        <v>75/82</v>
      </c>
      <c r="K3152" s="1" t="str">
        <f t="shared" si="186"/>
        <v>2026-07-29 13:18:02</v>
      </c>
      <c r="L3152" s="1" t="str">
        <f>"2019-11-04 19:53:04"</f>
        <v>2019-11-04 19:53:04</v>
      </c>
      <c r="M3152" s="1" t="s">
        <v>2</v>
      </c>
      <c r="N3152" s="1" t="s">
        <v>38</v>
      </c>
      <c r="O3152" s="1" t="s">
        <v>46</v>
      </c>
    </row>
    <row r="3153" spans="2:15" x14ac:dyDescent="0.3">
      <c r="B3153" s="1" t="s">
        <v>23</v>
      </c>
      <c r="C3153" s="1" t="str">
        <f t="shared" si="184"/>
        <v>4차</v>
      </c>
      <c r="D3153" s="1" t="str">
        <f>"0126Z42144"</f>
        <v>0126Z42144</v>
      </c>
      <c r="E3153" s="1" t="s">
        <v>10</v>
      </c>
      <c r="F3153" s="1" t="str">
        <f>"10.11.70.2"</f>
        <v>10.11.70.2</v>
      </c>
      <c r="G3153" s="1" t="str">
        <f>"0126Z421"</f>
        <v>0126Z421</v>
      </c>
      <c r="H3153" s="1" t="str">
        <f>"안정지 4R2"</f>
        <v>안정지 4R2</v>
      </c>
      <c r="I3153" s="1" t="s">
        <v>8</v>
      </c>
      <c r="J3153" s="1" t="str">
        <f>"41/41"</f>
        <v>41/41</v>
      </c>
      <c r="K3153" s="1" t="str">
        <f t="shared" si="186"/>
        <v>2026-07-29 13:18:02</v>
      </c>
      <c r="L3153" s="1" t="str">
        <f>"2019-11-04 19:53:05"</f>
        <v>2019-11-04 19:53:05</v>
      </c>
      <c r="M3153" s="1" t="s">
        <v>2</v>
      </c>
      <c r="N3153" s="1" t="s">
        <v>38</v>
      </c>
      <c r="O3153" s="1" t="s">
        <v>46</v>
      </c>
    </row>
    <row r="3154" spans="2:15" x14ac:dyDescent="0.3">
      <c r="B3154" s="1" t="s">
        <v>23</v>
      </c>
      <c r="C3154" s="1" t="str">
        <f t="shared" si="184"/>
        <v>4차</v>
      </c>
      <c r="D3154" s="1" t="str">
        <f>"0126Z44139"</f>
        <v>0126Z44139</v>
      </c>
      <c r="E3154" s="1" t="s">
        <v>10</v>
      </c>
      <c r="F3154" s="1" t="str">
        <f>"10.12.136.6"</f>
        <v>10.12.136.6</v>
      </c>
      <c r="G3154" s="1" t="str">
        <f>"0126Z441"</f>
        <v>0126Z441</v>
      </c>
      <c r="H3154" s="1" t="str">
        <f>"왕십로 44-2"</f>
        <v>왕십로 44-2</v>
      </c>
      <c r="I3154" s="1" t="s">
        <v>17</v>
      </c>
      <c r="J3154" s="1" t="str">
        <f>"10/10"</f>
        <v>10/10</v>
      </c>
      <c r="K3154" s="1" t="str">
        <f>"2026-07-29 13:18:03"</f>
        <v>2026-07-29 13:18:03</v>
      </c>
      <c r="L3154" s="1" t="str">
        <f>"2018-05-23 08:45:55"</f>
        <v>2018-05-23 08:45:55</v>
      </c>
      <c r="M3154" s="1" t="s">
        <v>0</v>
      </c>
      <c r="N3154" s="1" t="s">
        <v>38</v>
      </c>
      <c r="O3154" s="1" t="s">
        <v>46</v>
      </c>
    </row>
    <row r="3155" spans="2:15" x14ac:dyDescent="0.3">
      <c r="B3155" s="1" t="s">
        <v>23</v>
      </c>
      <c r="C3155" s="1" t="str">
        <f t="shared" si="184"/>
        <v>4차</v>
      </c>
      <c r="D3155" s="1" t="str">
        <f>"0126Z47444"</f>
        <v>0126Z47444</v>
      </c>
      <c r="E3155" s="1" t="s">
        <v>10</v>
      </c>
      <c r="F3155" s="1" t="str">
        <f>"10.11.65.186"</f>
        <v>10.11.65.186</v>
      </c>
      <c r="G3155" s="1" t="str">
        <f>"0126Z474"</f>
        <v>0126Z474</v>
      </c>
      <c r="H3155" s="1" t="str">
        <f>"도선간 5L13R6"</f>
        <v>도선간 5L13R6</v>
      </c>
      <c r="I3155" s="1" t="s">
        <v>8</v>
      </c>
      <c r="J3155" s="1" t="str">
        <f>"22/22"</f>
        <v>22/22</v>
      </c>
      <c r="K3155" s="1" t="str">
        <f>"2026-07-29 13:18:01"</f>
        <v>2026-07-29 13:18:01</v>
      </c>
      <c r="L3155" s="1" t="str">
        <f>"2021-07-27 12:18:43"</f>
        <v>2021-07-27 12:18:43</v>
      </c>
      <c r="M3155" s="1" t="s">
        <v>2</v>
      </c>
      <c r="N3155" s="1" t="s">
        <v>38</v>
      </c>
      <c r="O3155" s="1" t="s">
        <v>46</v>
      </c>
    </row>
    <row r="3156" spans="2:15" x14ac:dyDescent="0.3">
      <c r="B3156" s="1" t="s">
        <v>23</v>
      </c>
      <c r="C3156" s="1" t="str">
        <f>"5-2차"</f>
        <v>5-2차</v>
      </c>
      <c r="D3156" s="1" t="str">
        <f>"0126Z4915M"</f>
        <v>0126Z4915M</v>
      </c>
      <c r="E3156" s="1" t="s">
        <v>10</v>
      </c>
      <c r="F3156" s="1" t="str">
        <f>"fde1:103:4:5a6a:0:0:0:2"</f>
        <v>fde1:103:4:5a6a:0:0:0:2</v>
      </c>
      <c r="G3156" s="1" t="str">
        <f>"0126Z491"</f>
        <v>0126Z491</v>
      </c>
      <c r="H3156" s="1" t="str">
        <f>"도선간 5L12"</f>
        <v>도선간 5L12</v>
      </c>
      <c r="I3156" s="1" t="s">
        <v>15</v>
      </c>
      <c r="J3156" s="1" t="str">
        <f>"57/64"</f>
        <v>57/64</v>
      </c>
      <c r="K3156" s="1" t="str">
        <f>"2026-07-29 14:20:30"</f>
        <v>2026-07-29 14:20:30</v>
      </c>
      <c r="L3156" s="1" t="str">
        <f>"2023-09-18 14:59:25"</f>
        <v>2023-09-18 14:59:25</v>
      </c>
      <c r="M3156" s="1" t="s">
        <v>4</v>
      </c>
      <c r="N3156" s="1" t="s">
        <v>38</v>
      </c>
      <c r="O3156" s="1" t="s">
        <v>46</v>
      </c>
    </row>
    <row r="3157" spans="2:15" x14ac:dyDescent="0.3">
      <c r="B3157" s="1" t="s">
        <v>23</v>
      </c>
      <c r="C3157" s="1" t="str">
        <f>"3차"</f>
        <v>3차</v>
      </c>
      <c r="D3157" s="1" t="str">
        <f>"0126Z50139"</f>
        <v>0126Z50139</v>
      </c>
      <c r="E3157" s="1" t="s">
        <v>10</v>
      </c>
      <c r="F3157" s="1" t="str">
        <f>"10.11.79.194"</f>
        <v>10.11.79.194</v>
      </c>
      <c r="G3157" s="1" t="str">
        <f>"0126Z501"</f>
        <v>0126Z501</v>
      </c>
      <c r="H3157" s="1" t="str">
        <f>"안정지 6L1"</f>
        <v>안정지 6L1</v>
      </c>
      <c r="I3157" s="1" t="s">
        <v>8</v>
      </c>
      <c r="J3157" s="1" t="str">
        <f>"30/30"</f>
        <v>30/30</v>
      </c>
      <c r="K3157" s="1" t="str">
        <f>"2026-07-29 13:18:02"</f>
        <v>2026-07-29 13:18:02</v>
      </c>
      <c r="L3157" s="1" t="str">
        <f>"2018-04-19 14:16:27"</f>
        <v>2018-04-19 14:16:27</v>
      </c>
      <c r="M3157" s="1" t="s">
        <v>2</v>
      </c>
      <c r="N3157" s="1" t="s">
        <v>38</v>
      </c>
      <c r="O3157" s="1" t="s">
        <v>46</v>
      </c>
    </row>
    <row r="3158" spans="2:15" x14ac:dyDescent="0.3">
      <c r="B3158" s="1" t="s">
        <v>23</v>
      </c>
      <c r="C3158" s="1" t="str">
        <f>"4차"</f>
        <v>4차</v>
      </c>
      <c r="D3158" s="1" t="str">
        <f>"0126Z51144"</f>
        <v>0126Z51144</v>
      </c>
      <c r="E3158" s="1" t="s">
        <v>10</v>
      </c>
      <c r="F3158" s="1" t="str">
        <f>"10.11.65.106"</f>
        <v>10.11.65.106</v>
      </c>
      <c r="G3158" s="1" t="str">
        <f>"0126Z511"</f>
        <v>0126Z511</v>
      </c>
      <c r="H3158" s="1" t="str">
        <f>"대현간 3R2"</f>
        <v>대현간 3R2</v>
      </c>
      <c r="I3158" s="1" t="s">
        <v>8</v>
      </c>
      <c r="J3158" s="1" t="str">
        <f>"23/23"</f>
        <v>23/23</v>
      </c>
      <c r="K3158" s="1" t="str">
        <f>"2026-07-29 13:18:01"</f>
        <v>2026-07-29 13:18:01</v>
      </c>
      <c r="L3158" s="1" t="str">
        <f>"2019-10-29 10:43:08"</f>
        <v>2019-10-29 10:43:08</v>
      </c>
      <c r="M3158" s="1" t="s">
        <v>2</v>
      </c>
      <c r="N3158" s="1" t="s">
        <v>38</v>
      </c>
      <c r="O3158" s="1" t="s">
        <v>46</v>
      </c>
    </row>
    <row r="3159" spans="2:15" x14ac:dyDescent="0.3">
      <c r="B3159" s="1" t="s">
        <v>23</v>
      </c>
      <c r="C3159" s="1" t="str">
        <f>"4차"</f>
        <v>4차</v>
      </c>
      <c r="D3159" s="1" t="str">
        <f>"0126Z51344"</f>
        <v>0126Z51344</v>
      </c>
      <c r="E3159" s="1" t="s">
        <v>10</v>
      </c>
      <c r="F3159" s="1" t="str">
        <f>"10.11.69.250"</f>
        <v>10.11.69.250</v>
      </c>
      <c r="G3159" s="1" t="str">
        <f>"0126Z513"</f>
        <v>0126Z513</v>
      </c>
      <c r="H3159" s="1" t="str">
        <f>"안정지 4"</f>
        <v>안정지 4</v>
      </c>
      <c r="I3159" s="1" t="s">
        <v>8</v>
      </c>
      <c r="J3159" s="1" t="str">
        <f>"22/24"</f>
        <v>22/24</v>
      </c>
      <c r="K3159" s="1" t="str">
        <f>"2026-07-29 13:18:02"</f>
        <v>2026-07-29 13:18:02</v>
      </c>
      <c r="L3159" s="1" t="str">
        <f>"2019-11-04 19:43:04"</f>
        <v>2019-11-04 19:43:04</v>
      </c>
      <c r="M3159" s="1" t="s">
        <v>2</v>
      </c>
      <c r="N3159" s="1" t="s">
        <v>38</v>
      </c>
      <c r="O3159" s="1" t="s">
        <v>46</v>
      </c>
    </row>
    <row r="3160" spans="2:15" x14ac:dyDescent="0.3">
      <c r="B3160" s="1" t="s">
        <v>23</v>
      </c>
      <c r="C3160" s="1" t="str">
        <f>"4차"</f>
        <v>4차</v>
      </c>
      <c r="D3160" s="1" t="str">
        <f>"0126Z52444"</f>
        <v>0126Z52444</v>
      </c>
      <c r="E3160" s="1" t="s">
        <v>10</v>
      </c>
      <c r="F3160" s="1" t="str">
        <f>"10.11.69.242"</f>
        <v>10.11.69.242</v>
      </c>
      <c r="G3160" s="1" t="str">
        <f>"0126Z524"</f>
        <v>0126Z524</v>
      </c>
      <c r="H3160" s="1" t="str">
        <f>"안정지 3H1"</f>
        <v>안정지 3H1</v>
      </c>
      <c r="I3160" s="1" t="s">
        <v>8</v>
      </c>
      <c r="J3160" s="1" t="str">
        <f>"50/50"</f>
        <v>50/50</v>
      </c>
      <c r="K3160" s="1" t="str">
        <f>"2026-07-29 13:18:01"</f>
        <v>2026-07-29 13:18:01</v>
      </c>
      <c r="L3160" s="1" t="str">
        <f>"2019-11-04 19:53:05"</f>
        <v>2019-11-04 19:53:05</v>
      </c>
      <c r="M3160" s="1" t="s">
        <v>2</v>
      </c>
      <c r="N3160" s="1" t="s">
        <v>38</v>
      </c>
      <c r="O3160" s="1" t="s">
        <v>46</v>
      </c>
    </row>
    <row r="3161" spans="2:15" x14ac:dyDescent="0.3">
      <c r="B3161" s="1" t="s">
        <v>23</v>
      </c>
      <c r="C3161" s="1" t="str">
        <f>"3차"</f>
        <v>3차</v>
      </c>
      <c r="D3161" s="1" t="str">
        <f>"0126Z53139"</f>
        <v>0126Z53139</v>
      </c>
      <c r="E3161" s="1" t="s">
        <v>10</v>
      </c>
      <c r="F3161" s="1" t="str">
        <f>"10.12.135.127"</f>
        <v>10.12.135.127</v>
      </c>
      <c r="G3161" s="1" t="str">
        <f>"0126Z531"</f>
        <v>0126Z531</v>
      </c>
      <c r="H3161" s="1" t="str">
        <f>"왕십로 44-1"</f>
        <v>왕십로 44-1</v>
      </c>
      <c r="I3161" s="1" t="s">
        <v>17</v>
      </c>
      <c r="J3161" s="1" t="str">
        <f>"18/18"</f>
        <v>18/18</v>
      </c>
      <c r="K3161" s="1" t="str">
        <f>"2026-07-29 13:18:02"</f>
        <v>2026-07-29 13:18:02</v>
      </c>
      <c r="L3161" s="1" t="str">
        <f>"2018-05-23 08:55:10"</f>
        <v>2018-05-23 08:55:10</v>
      </c>
      <c r="M3161" s="1" t="s">
        <v>0</v>
      </c>
      <c r="N3161" s="1" t="s">
        <v>38</v>
      </c>
      <c r="O3161" s="1" t="s">
        <v>46</v>
      </c>
    </row>
    <row r="3162" spans="2:15" x14ac:dyDescent="0.3">
      <c r="B3162" s="1" t="s">
        <v>23</v>
      </c>
      <c r="C3162" s="1" t="str">
        <f>"5-2차"</f>
        <v>5-2차</v>
      </c>
      <c r="D3162" s="1" t="str">
        <f>"0126Z5525S"</f>
        <v>0126Z5525S</v>
      </c>
      <c r="E3162" s="1" t="s">
        <v>10</v>
      </c>
      <c r="F3162" s="1" t="str">
        <f>"fde1:103:4:5a39:0:0:0:2"</f>
        <v>fde1:103:4:5a39:0:0:0:2</v>
      </c>
      <c r="G3162" s="1" t="str">
        <f>"0126Z552"</f>
        <v>0126Z552</v>
      </c>
      <c r="H3162" s="1" t="str">
        <f>"도선간 5L17R2L3"</f>
        <v>도선간 5L17R2L3</v>
      </c>
      <c r="I3162" s="1" t="s">
        <v>15</v>
      </c>
      <c r="J3162" s="1" t="str">
        <f>"36/36"</f>
        <v>36/36</v>
      </c>
      <c r="K3162" s="1" t="str">
        <f>"2026-07-29 14:20:30"</f>
        <v>2026-07-29 14:20:30</v>
      </c>
      <c r="L3162" s="1" t="str">
        <f>"2023-09-18 15:02:11"</f>
        <v>2023-09-18 15:02:11</v>
      </c>
      <c r="M3162" s="1" t="s">
        <v>4</v>
      </c>
      <c r="N3162" s="1" t="s">
        <v>38</v>
      </c>
      <c r="O3162" s="1" t="s">
        <v>46</v>
      </c>
    </row>
    <row r="3163" spans="2:15" x14ac:dyDescent="0.3">
      <c r="B3163" s="1" t="s">
        <v>23</v>
      </c>
      <c r="C3163" s="1" t="str">
        <f>"4차"</f>
        <v>4차</v>
      </c>
      <c r="D3163" s="1" t="str">
        <f>"0126Z56544"</f>
        <v>0126Z56544</v>
      </c>
      <c r="E3163" s="1" t="s">
        <v>10</v>
      </c>
      <c r="F3163" s="1" t="str">
        <f>"10.11.76.106"</f>
        <v>10.11.76.106</v>
      </c>
      <c r="G3163" s="1" t="str">
        <f>"0126Z565"</f>
        <v>0126Z565</v>
      </c>
      <c r="H3163" s="1" t="str">
        <f>"도선간 5L19"</f>
        <v>도선간 5L19</v>
      </c>
      <c r="I3163" s="1" t="s">
        <v>8</v>
      </c>
      <c r="J3163" s="1" t="str">
        <f>"9/9"</f>
        <v>9/9</v>
      </c>
      <c r="K3163" s="1" t="str">
        <f>"2026-07-29 07:18:01"</f>
        <v>2026-07-29 07:18:01</v>
      </c>
      <c r="L3163" s="1" t="str">
        <f>"2019-10-29 10:53:04"</f>
        <v>2019-10-29 10:53:04</v>
      </c>
      <c r="M3163" s="1" t="s">
        <v>2</v>
      </c>
      <c r="N3163" s="1" t="s">
        <v>38</v>
      </c>
      <c r="O3163" s="1" t="s">
        <v>46</v>
      </c>
    </row>
    <row r="3164" spans="2:15" x14ac:dyDescent="0.3">
      <c r="B3164" s="1" t="s">
        <v>23</v>
      </c>
      <c r="C3164" s="1" t="str">
        <f>"5-2차"</f>
        <v>5-2차</v>
      </c>
      <c r="D3164" s="1" t="str">
        <f>"0126Z5715M"</f>
        <v>0126Z5715M</v>
      </c>
      <c r="E3164" s="1" t="s">
        <v>10</v>
      </c>
      <c r="F3164" s="1" t="str">
        <f>"fde1:103:4:5944:0:0:0:2"</f>
        <v>fde1:103:4:5944:0:0:0:2</v>
      </c>
      <c r="G3164" s="1" t="str">
        <f>"0126Z571"</f>
        <v>0126Z571</v>
      </c>
      <c r="H3164" s="1" t="str">
        <f>"도선간 5L26L11"</f>
        <v>도선간 5L26L11</v>
      </c>
      <c r="I3164" s="1" t="s">
        <v>15</v>
      </c>
      <c r="J3164" s="1" t="str">
        <f>"53/54"</f>
        <v>53/54</v>
      </c>
      <c r="K3164" s="1" t="str">
        <f>"2026-07-29 14:20:30"</f>
        <v>2026-07-29 14:20:30</v>
      </c>
      <c r="L3164" s="1" t="str">
        <f>"2023-09-18 16:31:04"</f>
        <v>2023-09-18 16:31:04</v>
      </c>
      <c r="M3164" s="1" t="s">
        <v>4</v>
      </c>
      <c r="N3164" s="1" t="s">
        <v>38</v>
      </c>
      <c r="O3164" s="1" t="s">
        <v>46</v>
      </c>
    </row>
    <row r="3165" spans="2:15" x14ac:dyDescent="0.3">
      <c r="B3165" s="1" t="s">
        <v>23</v>
      </c>
      <c r="C3165" s="1" t="str">
        <f>"4차"</f>
        <v>4차</v>
      </c>
      <c r="D3165" s="1" t="str">
        <f>"0126Z58144"</f>
        <v>0126Z58144</v>
      </c>
      <c r="E3165" s="1" t="s">
        <v>10</v>
      </c>
      <c r="F3165" s="1" t="str">
        <f>"10.11.76.114"</f>
        <v>10.11.76.114</v>
      </c>
      <c r="G3165" s="1" t="str">
        <f>"0126Z581"</f>
        <v>0126Z581</v>
      </c>
      <c r="H3165" s="1" t="str">
        <f>"도선간 5L13L2"</f>
        <v>도선간 5L13L2</v>
      </c>
      <c r="I3165" s="1" t="s">
        <v>8</v>
      </c>
      <c r="J3165" s="1" t="str">
        <f>"92/92"</f>
        <v>92/92</v>
      </c>
      <c r="K3165" s="1" t="str">
        <f>"2026-07-29 13:18:01"</f>
        <v>2026-07-29 13:18:01</v>
      </c>
      <c r="L3165" s="1" t="str">
        <f>"2019-10-29 10:53:05"</f>
        <v>2019-10-29 10:53:05</v>
      </c>
      <c r="M3165" s="1" t="s">
        <v>2</v>
      </c>
      <c r="N3165" s="1" t="s">
        <v>38</v>
      </c>
      <c r="O3165" s="1" t="s">
        <v>46</v>
      </c>
    </row>
    <row r="3166" spans="2:15" x14ac:dyDescent="0.3">
      <c r="B3166" s="1" t="s">
        <v>23</v>
      </c>
      <c r="C3166" s="1" t="str">
        <f>"4차"</f>
        <v>4차</v>
      </c>
      <c r="D3166" s="1" t="str">
        <f>"0126Z60141"</f>
        <v>0126Z60141</v>
      </c>
      <c r="E3166" s="1" t="s">
        <v>10</v>
      </c>
      <c r="F3166" s="1" t="str">
        <f>"10.14.13.39"</f>
        <v>10.14.13.39</v>
      </c>
      <c r="G3166" s="1" t="str">
        <f>"0126Z601"</f>
        <v>0126Z601</v>
      </c>
      <c r="H3166" s="1" t="str">
        <f>"대현간 3R1"</f>
        <v>대현간 3R1</v>
      </c>
      <c r="I3166" s="1" t="s">
        <v>17</v>
      </c>
      <c r="J3166" s="1" t="str">
        <f>"34/39"</f>
        <v>34/39</v>
      </c>
      <c r="K3166" s="1" t="str">
        <f>"2026-07-29 13:18:03"</f>
        <v>2026-07-29 13:18:03</v>
      </c>
      <c r="L3166" s="1" t="str">
        <f>"2021-10-08 11:14:20"</f>
        <v>2021-10-08 11:14:20</v>
      </c>
      <c r="M3166" s="1" t="s">
        <v>3</v>
      </c>
      <c r="N3166" s="1" t="s">
        <v>38</v>
      </c>
      <c r="O3166" s="1" t="s">
        <v>46</v>
      </c>
    </row>
    <row r="3167" spans="2:15" x14ac:dyDescent="0.3">
      <c r="B3167" s="1" t="s">
        <v>23</v>
      </c>
      <c r="C3167" s="1" t="str">
        <f>"4차"</f>
        <v>4차</v>
      </c>
      <c r="D3167" s="1" t="str">
        <f>"0126Z61141"</f>
        <v>0126Z61141</v>
      </c>
      <c r="E3167" s="1" t="s">
        <v>10</v>
      </c>
      <c r="F3167" s="1" t="str">
        <f>"10.14.14.37"</f>
        <v>10.14.14.37</v>
      </c>
      <c r="G3167" s="1" t="str">
        <f>"0126Z611"</f>
        <v>0126Z611</v>
      </c>
      <c r="H3167" s="1" t="str">
        <f>"대현간 2R2"</f>
        <v>대현간 2R2</v>
      </c>
      <c r="I3167" s="1" t="s">
        <v>17</v>
      </c>
      <c r="J3167" s="1" t="str">
        <f>"4/11"</f>
        <v>4/11</v>
      </c>
      <c r="K3167" s="1" t="str">
        <f>"2026-07-29 13:18:03"</f>
        <v>2026-07-29 13:18:03</v>
      </c>
      <c r="L3167" s="1" t="str">
        <f>"2021-10-08 10:41:13"</f>
        <v>2021-10-08 10:41:13</v>
      </c>
      <c r="M3167" s="1" t="s">
        <v>3</v>
      </c>
      <c r="N3167" s="1" t="s">
        <v>38</v>
      </c>
      <c r="O3167" s="1" t="s">
        <v>46</v>
      </c>
    </row>
    <row r="3168" spans="2:15" x14ac:dyDescent="0.3">
      <c r="B3168" s="1" t="s">
        <v>23</v>
      </c>
      <c r="C3168" s="1" t="str">
        <f>"4차"</f>
        <v>4차</v>
      </c>
      <c r="D3168" s="1" t="str">
        <f>"0126Z63139"</f>
        <v>0126Z63139</v>
      </c>
      <c r="E3168" s="1" t="s">
        <v>10</v>
      </c>
      <c r="F3168" s="1" t="str">
        <f>"10.12.136.16"</f>
        <v>10.12.136.16</v>
      </c>
      <c r="G3168" s="1" t="str">
        <f>"0126Z631"</f>
        <v>0126Z631</v>
      </c>
      <c r="H3168" s="1" t="str">
        <f>"왕십로 46-1"</f>
        <v>왕십로 46-1</v>
      </c>
      <c r="I3168" s="1" t="s">
        <v>17</v>
      </c>
      <c r="J3168" s="1" t="str">
        <f>"8/8"</f>
        <v>8/8</v>
      </c>
      <c r="K3168" s="1" t="str">
        <f>"2026-07-29 13:18:02"</f>
        <v>2026-07-29 13:18:02</v>
      </c>
      <c r="L3168" s="1" t="str">
        <f>"2018-05-23 09:12:55"</f>
        <v>2018-05-23 09:12:55</v>
      </c>
      <c r="M3168" s="1" t="s">
        <v>0</v>
      </c>
      <c r="N3168" s="1" t="s">
        <v>38</v>
      </c>
      <c r="O3168" s="1" t="s">
        <v>46</v>
      </c>
    </row>
    <row r="3169" spans="2:15" x14ac:dyDescent="0.3">
      <c r="B3169" s="1" t="s">
        <v>23</v>
      </c>
      <c r="C3169" s="1" t="str">
        <f>"4차"</f>
        <v>4차</v>
      </c>
      <c r="D3169" s="1" t="str">
        <f>"0126Z63239"</f>
        <v>0126Z63239</v>
      </c>
      <c r="E3169" s="1" t="s">
        <v>14</v>
      </c>
      <c r="F3169" s="1" t="str">
        <f>"10.12.135.105"</f>
        <v>10.12.135.105</v>
      </c>
      <c r="G3169" s="1" t="str">
        <f>"0126Z632"</f>
        <v>0126Z632</v>
      </c>
      <c r="H3169" s="1" t="str">
        <f>"왕십로 32-4"</f>
        <v>왕십로 32-4</v>
      </c>
      <c r="I3169" s="1" t="s">
        <v>17</v>
      </c>
      <c r="J3169" s="1" t="str">
        <f>"0/0"</f>
        <v>0/0</v>
      </c>
      <c r="K3169" s="1" t="str">
        <f>"2026-06-10 07:18:02"</f>
        <v>2026-06-10 07:18:02</v>
      </c>
      <c r="L3169" s="1" t="str">
        <f>"2018-05-15 09:30:11"</f>
        <v>2018-05-15 09:30:11</v>
      </c>
      <c r="M3169" s="1" t="s">
        <v>0</v>
      </c>
      <c r="N3169" s="1" t="s">
        <v>39</v>
      </c>
      <c r="O3169" s="1" t="s">
        <v>46</v>
      </c>
    </row>
    <row r="3170" spans="2:15" x14ac:dyDescent="0.3">
      <c r="B3170" s="1" t="s">
        <v>23</v>
      </c>
      <c r="C3170" s="1" t="str">
        <f>"5-2차"</f>
        <v>5-2차</v>
      </c>
      <c r="D3170" s="1" t="str">
        <f>"0126Z6625S"</f>
        <v>0126Z6625S</v>
      </c>
      <c r="E3170" s="1" t="s">
        <v>10</v>
      </c>
      <c r="F3170" s="1" t="str">
        <f>"fde1:103:4:5948:0:0:0:2"</f>
        <v>fde1:103:4:5948:0:0:0:2</v>
      </c>
      <c r="G3170" s="1" t="str">
        <f>"0126Z662"</f>
        <v>0126Z662</v>
      </c>
      <c r="H3170" s="1" t="str">
        <f>"도선간 5L21"</f>
        <v>도선간 5L21</v>
      </c>
      <c r="I3170" s="1" t="s">
        <v>15</v>
      </c>
      <c r="J3170" s="1" t="str">
        <f>"38/42"</f>
        <v>38/42</v>
      </c>
      <c r="K3170" s="1" t="str">
        <f>"2026-07-29 14:20:00"</f>
        <v>2026-07-29 14:20:00</v>
      </c>
      <c r="L3170" s="1" t="str">
        <f>"2023-09-18 16:49:37"</f>
        <v>2023-09-18 16:49:37</v>
      </c>
      <c r="M3170" s="1" t="s">
        <v>4</v>
      </c>
      <c r="N3170" s="1" t="s">
        <v>38</v>
      </c>
      <c r="O3170" s="1" t="s">
        <v>46</v>
      </c>
    </row>
    <row r="3171" spans="2:15" x14ac:dyDescent="0.3">
      <c r="B3171" s="1" t="s">
        <v>23</v>
      </c>
      <c r="C3171" s="1" t="str">
        <f>"5-2차"</f>
        <v>5-2차</v>
      </c>
      <c r="D3171" s="1" t="str">
        <f>"0126Z6715M"</f>
        <v>0126Z6715M</v>
      </c>
      <c r="E3171" s="1" t="s">
        <v>10</v>
      </c>
      <c r="F3171" s="1" t="str">
        <f>"fde1:103:4:5a26:0:0:0:2"</f>
        <v>fde1:103:4:5a26:0:0:0:2</v>
      </c>
      <c r="G3171" s="1" t="str">
        <f>"0126Z671"</f>
        <v>0126Z671</v>
      </c>
      <c r="H3171" s="1" t="str">
        <f>"도선간 5L26L10"</f>
        <v>도선간 5L26L10</v>
      </c>
      <c r="I3171" s="1" t="s">
        <v>15</v>
      </c>
      <c r="J3171" s="1" t="str">
        <f>"53/53"</f>
        <v>53/53</v>
      </c>
      <c r="K3171" s="1" t="str">
        <f>"2026-07-29 14:20:33"</f>
        <v>2026-07-29 14:20:33</v>
      </c>
      <c r="L3171" s="1" t="str">
        <f>"2023-09-18 17:21:51"</f>
        <v>2023-09-18 17:21:51</v>
      </c>
      <c r="M3171" s="1" t="s">
        <v>4</v>
      </c>
      <c r="N3171" s="1" t="s">
        <v>38</v>
      </c>
      <c r="O3171" s="1" t="s">
        <v>46</v>
      </c>
    </row>
    <row r="3172" spans="2:15" x14ac:dyDescent="0.3">
      <c r="B3172" s="1" t="s">
        <v>23</v>
      </c>
      <c r="C3172" s="1" t="s">
        <v>16</v>
      </c>
      <c r="D3172" s="1" t="str">
        <f>"0126Z68141"</f>
        <v>0126Z68141</v>
      </c>
      <c r="E3172" s="1" t="s">
        <v>10</v>
      </c>
      <c r="F3172" s="1" t="str">
        <f>"10.14.14.131"</f>
        <v>10.14.14.131</v>
      </c>
      <c r="G3172" s="1" t="str">
        <f>"0126Z681"</f>
        <v>0126Z681</v>
      </c>
      <c r="H3172" s="1" t="str">
        <f>"도선간 5L13L3"</f>
        <v>도선간 5L13L3</v>
      </c>
      <c r="I3172" s="1" t="s">
        <v>17</v>
      </c>
      <c r="J3172" s="1" t="str">
        <f>"24/24"</f>
        <v>24/24</v>
      </c>
      <c r="K3172" s="1" t="str">
        <f>"2026-07-29 13:18:01"</f>
        <v>2026-07-29 13:18:01</v>
      </c>
      <c r="L3172" s="1" t="str">
        <f>"2022-11-11 09:57:29"</f>
        <v>2022-11-11 09:57:29</v>
      </c>
      <c r="M3172" s="1" t="s">
        <v>3</v>
      </c>
      <c r="N3172" s="1" t="s">
        <v>38</v>
      </c>
      <c r="O3172" s="1" t="s">
        <v>46</v>
      </c>
    </row>
    <row r="3173" spans="2:15" x14ac:dyDescent="0.3">
      <c r="B3173" s="1" t="s">
        <v>23</v>
      </c>
      <c r="C3173" s="1" t="str">
        <f t="shared" ref="C3173:C3179" si="187">"4차"</f>
        <v>4차</v>
      </c>
      <c r="D3173" s="1" t="str">
        <f>"0126Z69144"</f>
        <v>0126Z69144</v>
      </c>
      <c r="E3173" s="1" t="s">
        <v>10</v>
      </c>
      <c r="F3173" s="1" t="str">
        <f>"10.11.76.122"</f>
        <v>10.11.76.122</v>
      </c>
      <c r="G3173" s="1" t="str">
        <f>"0126Z691"</f>
        <v>0126Z691</v>
      </c>
      <c r="H3173" s="1" t="str">
        <f>"도선간 5L12L3"</f>
        <v>도선간 5L12L3</v>
      </c>
      <c r="I3173" s="1" t="s">
        <v>8</v>
      </c>
      <c r="J3173" s="1" t="str">
        <f>"7/8"</f>
        <v>7/8</v>
      </c>
      <c r="K3173" s="1" t="str">
        <f>"2026-07-29 13:18:02"</f>
        <v>2026-07-29 13:18:02</v>
      </c>
      <c r="L3173" s="1" t="str">
        <f>"2019-10-29 10:53:05"</f>
        <v>2019-10-29 10:53:05</v>
      </c>
      <c r="M3173" s="1" t="s">
        <v>2</v>
      </c>
      <c r="N3173" s="1" t="s">
        <v>38</v>
      </c>
      <c r="O3173" s="1" t="s">
        <v>46</v>
      </c>
    </row>
    <row r="3174" spans="2:15" x14ac:dyDescent="0.3">
      <c r="B3174" s="1" t="s">
        <v>23</v>
      </c>
      <c r="C3174" s="1" t="str">
        <f t="shared" si="187"/>
        <v>4차</v>
      </c>
      <c r="D3174" s="1" t="str">
        <f>"0126Z70244"</f>
        <v>0126Z70244</v>
      </c>
      <c r="E3174" s="1" t="s">
        <v>10</v>
      </c>
      <c r="F3174" s="1" t="str">
        <f>"10.11.65.90"</f>
        <v>10.11.65.90</v>
      </c>
      <c r="G3174" s="1" t="str">
        <f>"0126Z702"</f>
        <v>0126Z702</v>
      </c>
      <c r="H3174" s="1" t="str">
        <f>"대현간 3L1"</f>
        <v>대현간 3L1</v>
      </c>
      <c r="I3174" s="1" t="s">
        <v>8</v>
      </c>
      <c r="J3174" s="1" t="str">
        <f>"69/69"</f>
        <v>69/69</v>
      </c>
      <c r="K3174" s="1" t="str">
        <f>"2026-07-29 13:18:02"</f>
        <v>2026-07-29 13:18:02</v>
      </c>
      <c r="L3174" s="1" t="str">
        <f>"2019-10-29 10:43:05"</f>
        <v>2019-10-29 10:43:05</v>
      </c>
      <c r="M3174" s="1" t="s">
        <v>2</v>
      </c>
      <c r="N3174" s="1" t="s">
        <v>38</v>
      </c>
      <c r="O3174" s="1" t="s">
        <v>46</v>
      </c>
    </row>
    <row r="3175" spans="2:15" x14ac:dyDescent="0.3">
      <c r="B3175" s="1" t="s">
        <v>23</v>
      </c>
      <c r="C3175" s="1" t="str">
        <f t="shared" si="187"/>
        <v>4차</v>
      </c>
      <c r="D3175" s="1" t="str">
        <f>"0126Z71244"</f>
        <v>0126Z71244</v>
      </c>
      <c r="E3175" s="1" t="s">
        <v>10</v>
      </c>
      <c r="F3175" s="1" t="str">
        <f>"10.11.76.130"</f>
        <v>10.11.76.130</v>
      </c>
      <c r="G3175" s="1" t="str">
        <f>"0126Z712"</f>
        <v>0126Z712</v>
      </c>
      <c r="H3175" s="1" t="str">
        <f>"대현간 2R1"</f>
        <v>대현간 2R1</v>
      </c>
      <c r="I3175" s="1" t="s">
        <v>8</v>
      </c>
      <c r="J3175" s="1" t="str">
        <f>"22/22"</f>
        <v>22/22</v>
      </c>
      <c r="K3175" s="1" t="str">
        <f>"2026-07-29 13:18:01"</f>
        <v>2026-07-29 13:18:01</v>
      </c>
      <c r="L3175" s="1" t="str">
        <f>"2019-10-29 10:33:04"</f>
        <v>2019-10-29 10:33:04</v>
      </c>
      <c r="M3175" s="1" t="s">
        <v>2</v>
      </c>
      <c r="N3175" s="1" t="s">
        <v>38</v>
      </c>
      <c r="O3175" s="1" t="s">
        <v>46</v>
      </c>
    </row>
    <row r="3176" spans="2:15" x14ac:dyDescent="0.3">
      <c r="B3176" s="1" t="s">
        <v>23</v>
      </c>
      <c r="C3176" s="1" t="str">
        <f t="shared" si="187"/>
        <v>4차</v>
      </c>
      <c r="D3176" s="1" t="str">
        <f>"0126Z72139"</f>
        <v>0126Z72139</v>
      </c>
      <c r="E3176" s="1" t="s">
        <v>10</v>
      </c>
      <c r="F3176" s="1" t="str">
        <f>"10.12.135.126"</f>
        <v>10.12.135.126</v>
      </c>
      <c r="G3176" s="1" t="str">
        <f>"0126Z721"</f>
        <v>0126Z721</v>
      </c>
      <c r="H3176" s="1" t="str">
        <f>"왕십로 46-2"</f>
        <v>왕십로 46-2</v>
      </c>
      <c r="I3176" s="1" t="s">
        <v>17</v>
      </c>
      <c r="J3176" s="1" t="str">
        <f>"1/1"</f>
        <v>1/1</v>
      </c>
      <c r="K3176" s="1" t="str">
        <f>"2026-07-29 13:18:02"</f>
        <v>2026-07-29 13:18:02</v>
      </c>
      <c r="L3176" s="1" t="str">
        <f>"2018-05-23 09:58:13"</f>
        <v>2018-05-23 09:58:13</v>
      </c>
      <c r="M3176" s="1" t="s">
        <v>0</v>
      </c>
      <c r="N3176" s="1" t="s">
        <v>38</v>
      </c>
      <c r="O3176" s="1" t="s">
        <v>46</v>
      </c>
    </row>
    <row r="3177" spans="2:15" x14ac:dyDescent="0.3">
      <c r="B3177" s="1" t="s">
        <v>23</v>
      </c>
      <c r="C3177" s="1" t="str">
        <f t="shared" si="187"/>
        <v>4차</v>
      </c>
      <c r="D3177" s="1" t="str">
        <f>"0126Z73139"</f>
        <v>0126Z73139</v>
      </c>
      <c r="E3177" s="1" t="s">
        <v>10</v>
      </c>
      <c r="F3177" s="1" t="str">
        <f>"10.12.135.114"</f>
        <v>10.12.135.114</v>
      </c>
      <c r="G3177" s="1" t="str">
        <f>"0126Z731"</f>
        <v>0126Z731</v>
      </c>
      <c r="H3177" s="1" t="str">
        <f>"왕십로 32-5"</f>
        <v>왕십로 32-5</v>
      </c>
      <c r="I3177" s="1" t="s">
        <v>17</v>
      </c>
      <c r="J3177" s="1" t="str">
        <f>"5/5"</f>
        <v>5/5</v>
      </c>
      <c r="K3177" s="1" t="str">
        <f>"2026-07-29 13:18:02"</f>
        <v>2026-07-29 13:18:02</v>
      </c>
      <c r="L3177" s="1" t="str">
        <f>"2018-05-15 09:11:40"</f>
        <v>2018-05-15 09:11:40</v>
      </c>
      <c r="M3177" s="1" t="s">
        <v>0</v>
      </c>
      <c r="N3177" s="1" t="s">
        <v>38</v>
      </c>
      <c r="O3177" s="1" t="s">
        <v>46</v>
      </c>
    </row>
    <row r="3178" spans="2:15" x14ac:dyDescent="0.3">
      <c r="B3178" s="1" t="s">
        <v>23</v>
      </c>
      <c r="C3178" s="1" t="str">
        <f t="shared" si="187"/>
        <v>4차</v>
      </c>
      <c r="D3178" s="1" t="str">
        <f>"0126Z73239"</f>
        <v>0126Z73239</v>
      </c>
      <c r="E3178" s="1" t="s">
        <v>10</v>
      </c>
      <c r="F3178" s="1" t="str">
        <f>"10.12.135.115"</f>
        <v>10.12.135.115</v>
      </c>
      <c r="G3178" s="1" t="str">
        <f>"0126Z732"</f>
        <v>0126Z732</v>
      </c>
      <c r="H3178" s="1" t="str">
        <f>"왕십로 32-6"</f>
        <v>왕십로 32-6</v>
      </c>
      <c r="I3178" s="1" t="s">
        <v>17</v>
      </c>
      <c r="J3178" s="1" t="str">
        <f>"6/6"</f>
        <v>6/6</v>
      </c>
      <c r="K3178" s="1" t="str">
        <f>"2026-07-29 13:18:02"</f>
        <v>2026-07-29 13:18:02</v>
      </c>
      <c r="L3178" s="1" t="str">
        <f>"2018-05-15 08:56:40"</f>
        <v>2018-05-15 08:56:40</v>
      </c>
      <c r="M3178" s="1" t="s">
        <v>0</v>
      </c>
      <c r="N3178" s="1" t="s">
        <v>38</v>
      </c>
      <c r="O3178" s="1" t="s">
        <v>46</v>
      </c>
    </row>
    <row r="3179" spans="2:15" x14ac:dyDescent="0.3">
      <c r="B3179" s="1" t="s">
        <v>23</v>
      </c>
      <c r="C3179" s="1" t="str">
        <f t="shared" si="187"/>
        <v>4차</v>
      </c>
      <c r="D3179" s="1" t="str">
        <f>"0126Z74444"</f>
        <v>0126Z74444</v>
      </c>
      <c r="E3179" s="1" t="s">
        <v>10</v>
      </c>
      <c r="F3179" s="1" t="str">
        <f>"10.11.65.194"</f>
        <v>10.11.65.194</v>
      </c>
      <c r="G3179" s="1" t="str">
        <f>"0126Z744"</f>
        <v>0126Z744</v>
      </c>
      <c r="H3179" s="1" t="str">
        <f>"도선간 5L23L1"</f>
        <v>도선간 5L23L1</v>
      </c>
      <c r="I3179" s="1" t="s">
        <v>8</v>
      </c>
      <c r="J3179" s="1" t="str">
        <f>"30/31"</f>
        <v>30/31</v>
      </c>
      <c r="K3179" s="1" t="str">
        <f>"2026-07-29 13:18:01"</f>
        <v>2026-07-29 13:18:01</v>
      </c>
      <c r="L3179" s="1" t="str">
        <f>"2019-10-29 10:53:05"</f>
        <v>2019-10-29 10:53:05</v>
      </c>
      <c r="M3179" s="1" t="s">
        <v>2</v>
      </c>
      <c r="N3179" s="1" t="s">
        <v>38</v>
      </c>
      <c r="O3179" s="1" t="s">
        <v>46</v>
      </c>
    </row>
    <row r="3180" spans="2:15" x14ac:dyDescent="0.3">
      <c r="B3180" s="1" t="s">
        <v>23</v>
      </c>
      <c r="C3180" s="1" t="str">
        <f>"5-2차"</f>
        <v>5-2차</v>
      </c>
      <c r="D3180" s="1" t="str">
        <f>"0126Z7515S"</f>
        <v>0126Z7515S</v>
      </c>
      <c r="E3180" s="1" t="s">
        <v>10</v>
      </c>
      <c r="F3180" s="1" t="str">
        <f>"fde1:103:4:594e:0:0:0:2"</f>
        <v>fde1:103:4:594e:0:0:0:2</v>
      </c>
      <c r="G3180" s="1" t="str">
        <f>"0126Z751"</f>
        <v>0126Z751</v>
      </c>
      <c r="H3180" s="1" t="str">
        <f>"도선간 5L23L3"</f>
        <v>도선간 5L23L3</v>
      </c>
      <c r="I3180" s="1" t="s">
        <v>15</v>
      </c>
      <c r="J3180" s="1" t="str">
        <f>"58/58"</f>
        <v>58/58</v>
      </c>
      <c r="K3180" s="1" t="str">
        <f>"2026-07-29 14:20:01"</f>
        <v>2026-07-29 14:20:01</v>
      </c>
      <c r="L3180" s="1" t="str">
        <f>"2023-09-18 17:24:36"</f>
        <v>2023-09-18 17:24:36</v>
      </c>
      <c r="M3180" s="1" t="s">
        <v>4</v>
      </c>
      <c r="N3180" s="1" t="s">
        <v>38</v>
      </c>
      <c r="O3180" s="1" t="s">
        <v>46</v>
      </c>
    </row>
    <row r="3181" spans="2:15" x14ac:dyDescent="0.3">
      <c r="B3181" s="1" t="s">
        <v>23</v>
      </c>
      <c r="C3181" s="1" t="str">
        <f>"5-2차"</f>
        <v>5-2차</v>
      </c>
      <c r="D3181" s="1" t="str">
        <f>"0126Z7735M"</f>
        <v>0126Z7735M</v>
      </c>
      <c r="E3181" s="1" t="s">
        <v>10</v>
      </c>
      <c r="F3181" s="1" t="str">
        <f>"fde1:103:4:58bf:0:0:0:2"</f>
        <v>fde1:103:4:58bf:0:0:0:2</v>
      </c>
      <c r="G3181" s="1" t="str">
        <f>"0126Z773"</f>
        <v>0126Z773</v>
      </c>
      <c r="H3181" s="1" t="str">
        <f>"도선간 5L26L8"</f>
        <v>도선간 5L26L8</v>
      </c>
      <c r="I3181" s="1" t="s">
        <v>15</v>
      </c>
      <c r="J3181" s="1" t="str">
        <f>"130/137"</f>
        <v>130/137</v>
      </c>
      <c r="K3181" s="1" t="str">
        <f>"2026-07-29 14:20:07"</f>
        <v>2026-07-29 14:20:07</v>
      </c>
      <c r="L3181" s="1" t="str">
        <f>"2023-09-19 13:15:30"</f>
        <v>2023-09-19 13:15:30</v>
      </c>
      <c r="M3181" s="1" t="s">
        <v>4</v>
      </c>
      <c r="N3181" s="1" t="s">
        <v>38</v>
      </c>
      <c r="O3181" s="1" t="s">
        <v>46</v>
      </c>
    </row>
    <row r="3182" spans="2:15" x14ac:dyDescent="0.3">
      <c r="B3182" s="1" t="s">
        <v>23</v>
      </c>
      <c r="C3182" s="1" t="str">
        <f>"4차"</f>
        <v>4차</v>
      </c>
      <c r="D3182" s="1" t="str">
        <f>"0126Z82139"</f>
        <v>0126Z82139</v>
      </c>
      <c r="E3182" s="1" t="s">
        <v>10</v>
      </c>
      <c r="F3182" s="1" t="str">
        <f>"10.12.135.118"</f>
        <v>10.12.135.118</v>
      </c>
      <c r="G3182" s="1" t="str">
        <f>"0126Z821"</f>
        <v>0126Z821</v>
      </c>
      <c r="H3182" s="1" t="str">
        <f>"왕십로 36-1"</f>
        <v>왕십로 36-1</v>
      </c>
      <c r="I3182" s="1" t="s">
        <v>17</v>
      </c>
      <c r="J3182" s="1" t="str">
        <f>"8/8"</f>
        <v>8/8</v>
      </c>
      <c r="K3182" s="1" t="str">
        <f>"2026-07-29 13:18:02"</f>
        <v>2026-07-29 13:18:02</v>
      </c>
      <c r="L3182" s="1" t="str">
        <f>"2018-05-15 08:40:41"</f>
        <v>2018-05-15 08:40:41</v>
      </c>
      <c r="M3182" s="1" t="s">
        <v>0</v>
      </c>
      <c r="N3182" s="1" t="s">
        <v>38</v>
      </c>
      <c r="O3182" s="1" t="s">
        <v>46</v>
      </c>
    </row>
    <row r="3183" spans="2:15" x14ac:dyDescent="0.3">
      <c r="B3183" s="1" t="s">
        <v>23</v>
      </c>
      <c r="C3183" s="1" t="str">
        <f>"4차"</f>
        <v>4차</v>
      </c>
      <c r="D3183" s="1" t="str">
        <f>"0126Z83241"</f>
        <v>0126Z83241</v>
      </c>
      <c r="E3183" s="1" t="s">
        <v>10</v>
      </c>
      <c r="F3183" s="1" t="str">
        <f>"10.14.6.37"</f>
        <v>10.14.6.37</v>
      </c>
      <c r="G3183" s="1" t="str">
        <f>"0126Z832"</f>
        <v>0126Z832</v>
      </c>
      <c r="H3183" s="1" t="str">
        <f>"도선간 5L26"</f>
        <v>도선간 5L26</v>
      </c>
      <c r="I3183" s="1" t="s">
        <v>17</v>
      </c>
      <c r="J3183" s="1" t="str">
        <f>"11/13"</f>
        <v>11/13</v>
      </c>
      <c r="K3183" s="1" t="str">
        <f>"2026-07-29 13:18:02"</f>
        <v>2026-07-29 13:18:02</v>
      </c>
      <c r="L3183" s="1" t="str">
        <f>"2021-10-12 14:02:41"</f>
        <v>2021-10-12 14:02:41</v>
      </c>
      <c r="M3183" s="1" t="s">
        <v>3</v>
      </c>
      <c r="N3183" s="1" t="s">
        <v>38</v>
      </c>
      <c r="O3183" s="1" t="s">
        <v>46</v>
      </c>
    </row>
    <row r="3184" spans="2:15" x14ac:dyDescent="0.3">
      <c r="B3184" s="1" t="s">
        <v>23</v>
      </c>
      <c r="C3184" s="1" t="str">
        <f>"5-2차"</f>
        <v>5-2차</v>
      </c>
      <c r="D3184" s="1" t="str">
        <f>"0126Z8425M"</f>
        <v>0126Z8425M</v>
      </c>
      <c r="E3184" s="1" t="s">
        <v>10</v>
      </c>
      <c r="F3184" s="1" t="str">
        <f>"fde1:103:4:5981:0:0:0:2"</f>
        <v>fde1:103:4:5981:0:0:0:2</v>
      </c>
      <c r="G3184" s="1" t="str">
        <f>"0126Z842"</f>
        <v>0126Z842</v>
      </c>
      <c r="H3184" s="1" t="str">
        <f>"도선간 5L26L2"</f>
        <v>도선간 5L26L2</v>
      </c>
      <c r="I3184" s="1" t="s">
        <v>15</v>
      </c>
      <c r="J3184" s="1" t="str">
        <f>"38/38"</f>
        <v>38/38</v>
      </c>
      <c r="K3184" s="1" t="str">
        <f>"2026-07-29 14:20:33"</f>
        <v>2026-07-29 14:20:33</v>
      </c>
      <c r="L3184" s="1" t="str">
        <f>"2023-09-19 13:16:16"</f>
        <v>2023-09-19 13:16:16</v>
      </c>
      <c r="M3184" s="1" t="s">
        <v>4</v>
      </c>
      <c r="N3184" s="1" t="s">
        <v>38</v>
      </c>
      <c r="O3184" s="1" t="s">
        <v>46</v>
      </c>
    </row>
    <row r="3185" spans="2:15" x14ac:dyDescent="0.3">
      <c r="B3185" s="1" t="s">
        <v>23</v>
      </c>
      <c r="C3185" s="1" t="str">
        <f>"4차"</f>
        <v>4차</v>
      </c>
      <c r="D3185" s="1" t="str">
        <f>"0126Z84341"</f>
        <v>0126Z84341</v>
      </c>
      <c r="E3185" s="1" t="s">
        <v>10</v>
      </c>
      <c r="F3185" s="1" t="str">
        <f>"10.14.1.37"</f>
        <v>10.14.1.37</v>
      </c>
      <c r="G3185" s="1" t="str">
        <f>"0126Z843"</f>
        <v>0126Z843</v>
      </c>
      <c r="H3185" s="1" t="str">
        <f>"도선간 5L25"</f>
        <v>도선간 5L25</v>
      </c>
      <c r="I3185" s="1" t="s">
        <v>17</v>
      </c>
      <c r="J3185" s="1" t="str">
        <f>"33/33"</f>
        <v>33/33</v>
      </c>
      <c r="K3185" s="1" t="str">
        <f>"2026-07-29 13:18:02"</f>
        <v>2026-07-29 13:18:02</v>
      </c>
      <c r="L3185" s="1" t="str">
        <f>"2021-10-08 12:01:06"</f>
        <v>2021-10-08 12:01:06</v>
      </c>
      <c r="M3185" s="1" t="s">
        <v>3</v>
      </c>
      <c r="N3185" s="1" t="s">
        <v>38</v>
      </c>
      <c r="O3185" s="1" t="s">
        <v>46</v>
      </c>
    </row>
    <row r="3186" spans="2:15" x14ac:dyDescent="0.3">
      <c r="B3186" s="1" t="s">
        <v>23</v>
      </c>
      <c r="C3186" s="1" t="str">
        <f>"4차"</f>
        <v>4차</v>
      </c>
      <c r="D3186" s="1" t="str">
        <f>"0126Z85144"</f>
        <v>0126Z85144</v>
      </c>
      <c r="E3186" s="1" t="s">
        <v>10</v>
      </c>
      <c r="F3186" s="1" t="str">
        <f>"10.11.76.138"</f>
        <v>10.11.76.138</v>
      </c>
      <c r="G3186" s="1" t="str">
        <f>"0126Z851"</f>
        <v>0126Z851</v>
      </c>
      <c r="H3186" s="1" t="str">
        <f>"도선간 5L26L3"</f>
        <v>도선간 5L26L3</v>
      </c>
      <c r="I3186" s="1" t="s">
        <v>8</v>
      </c>
      <c r="J3186" s="1" t="str">
        <f>"22/22"</f>
        <v>22/22</v>
      </c>
      <c r="K3186" s="1" t="str">
        <f>"2026-07-29 13:18:01"</f>
        <v>2026-07-29 13:18:01</v>
      </c>
      <c r="L3186" s="1" t="str">
        <f>"2019-10-29 10:43:08"</f>
        <v>2019-10-29 10:43:08</v>
      </c>
      <c r="M3186" s="1" t="s">
        <v>2</v>
      </c>
      <c r="N3186" s="1" t="s">
        <v>38</v>
      </c>
      <c r="O3186" s="1" t="s">
        <v>46</v>
      </c>
    </row>
    <row r="3187" spans="2:15" x14ac:dyDescent="0.3">
      <c r="B3187" s="1" t="s">
        <v>23</v>
      </c>
      <c r="C3187" s="1" t="str">
        <f>"5-2차"</f>
        <v>5-2차</v>
      </c>
      <c r="D3187" s="1" t="str">
        <f>"0126Z8615S"</f>
        <v>0126Z8615S</v>
      </c>
      <c r="E3187" s="1" t="s">
        <v>10</v>
      </c>
      <c r="F3187" s="1" t="str">
        <f>"fde1:103:4:5861:0:0:0:2"</f>
        <v>fde1:103:4:5861:0:0:0:2</v>
      </c>
      <c r="G3187" s="1" t="str">
        <f>"0126Z861"</f>
        <v>0126Z861</v>
      </c>
      <c r="H3187" s="1" t="str">
        <f>"도선간 5L23L5"</f>
        <v>도선간 5L23L5</v>
      </c>
      <c r="I3187" s="1" t="s">
        <v>15</v>
      </c>
      <c r="J3187" s="1" t="str">
        <f>"45/45"</f>
        <v>45/45</v>
      </c>
      <c r="K3187" s="1" t="str">
        <f>"2026-07-29 14:20:30"</f>
        <v>2026-07-29 14:20:30</v>
      </c>
      <c r="L3187" s="1" t="str">
        <f>"2023-09-19 13:30:18"</f>
        <v>2023-09-19 13:30:18</v>
      </c>
      <c r="M3187" s="1" t="s">
        <v>4</v>
      </c>
      <c r="N3187" s="1" t="s">
        <v>38</v>
      </c>
      <c r="O3187" s="1" t="s">
        <v>46</v>
      </c>
    </row>
    <row r="3188" spans="2:15" x14ac:dyDescent="0.3">
      <c r="B3188" s="1" t="s">
        <v>23</v>
      </c>
      <c r="C3188" s="1" t="str">
        <f>"4차"</f>
        <v>4차</v>
      </c>
      <c r="D3188" s="1" t="str">
        <f>"0126Z88144"</f>
        <v>0126Z88144</v>
      </c>
      <c r="E3188" s="1" t="s">
        <v>10</v>
      </c>
      <c r="F3188" s="1" t="str">
        <f>"10.11.76.146"</f>
        <v>10.11.76.146</v>
      </c>
      <c r="G3188" s="1" t="str">
        <f>"0126Z881"</f>
        <v>0126Z881</v>
      </c>
      <c r="H3188" s="1" t="str">
        <f>"도선간 5L13L7"</f>
        <v>도선간 5L13L7</v>
      </c>
      <c r="I3188" s="1" t="s">
        <v>8</v>
      </c>
      <c r="J3188" s="1" t="str">
        <f>"12/12"</f>
        <v>12/12</v>
      </c>
      <c r="K3188" s="1" t="str">
        <f>"2026-07-29 13:18:01"</f>
        <v>2026-07-29 13:18:01</v>
      </c>
      <c r="L3188" s="1" t="str">
        <f>"2019-10-29 10:53:05"</f>
        <v>2019-10-29 10:53:05</v>
      </c>
      <c r="M3188" s="1" t="s">
        <v>2</v>
      </c>
      <c r="N3188" s="1" t="s">
        <v>38</v>
      </c>
      <c r="O3188" s="1" t="s">
        <v>46</v>
      </c>
    </row>
    <row r="3189" spans="2:15" x14ac:dyDescent="0.3">
      <c r="B3189" s="1" t="s">
        <v>23</v>
      </c>
      <c r="C3189" s="1" t="str">
        <f>"4차"</f>
        <v>4차</v>
      </c>
      <c r="D3189" s="1" t="str">
        <f>"0126Z89144"</f>
        <v>0126Z89144</v>
      </c>
      <c r="E3189" s="1" t="s">
        <v>10</v>
      </c>
      <c r="F3189" s="1" t="str">
        <f>"10.11.76.154"</f>
        <v>10.11.76.154</v>
      </c>
      <c r="G3189" s="1" t="str">
        <f>"0126Z891"</f>
        <v>0126Z891</v>
      </c>
      <c r="H3189" s="1" t="str">
        <f>"도선간 5L12L6"</f>
        <v>도선간 5L12L6</v>
      </c>
      <c r="I3189" s="1" t="s">
        <v>8</v>
      </c>
      <c r="J3189" s="1" t="str">
        <f>"13/13"</f>
        <v>13/13</v>
      </c>
      <c r="K3189" s="1" t="str">
        <f>"2026-07-29 13:18:03"</f>
        <v>2026-07-29 13:18:03</v>
      </c>
      <c r="L3189" s="1" t="str">
        <f>"2019-10-29 10:33:04"</f>
        <v>2019-10-29 10:33:04</v>
      </c>
      <c r="M3189" s="1" t="s">
        <v>2</v>
      </c>
      <c r="N3189" s="1" t="s">
        <v>38</v>
      </c>
      <c r="O3189" s="1" t="s">
        <v>46</v>
      </c>
    </row>
    <row r="3190" spans="2:15" x14ac:dyDescent="0.3">
      <c r="B3190" s="1" t="s">
        <v>23</v>
      </c>
      <c r="C3190" s="1" t="str">
        <f>"4차"</f>
        <v>4차</v>
      </c>
      <c r="D3190" s="1" t="str">
        <f>"0126Z91139"</f>
        <v>0126Z91139</v>
      </c>
      <c r="E3190" s="1" t="s">
        <v>10</v>
      </c>
      <c r="F3190" s="1" t="str">
        <f>"10.12.135.106"</f>
        <v>10.12.135.106</v>
      </c>
      <c r="G3190" s="1" t="str">
        <f>"0126Z911"</f>
        <v>0126Z911</v>
      </c>
      <c r="H3190" s="1" t="str">
        <f>"왕십로 36-4"</f>
        <v>왕십로 36-4</v>
      </c>
      <c r="I3190" s="1" t="s">
        <v>17</v>
      </c>
      <c r="J3190" s="1" t="str">
        <f>"6/6"</f>
        <v>6/6</v>
      </c>
      <c r="K3190" s="1" t="str">
        <f>"2026-07-29 13:18:02"</f>
        <v>2026-07-29 13:18:02</v>
      </c>
      <c r="L3190" s="1" t="str">
        <f>"2018-05-15 08:05:25"</f>
        <v>2018-05-15 08:05:25</v>
      </c>
      <c r="M3190" s="1" t="s">
        <v>0</v>
      </c>
      <c r="N3190" s="1" t="s">
        <v>38</v>
      </c>
      <c r="O3190" s="1" t="s">
        <v>46</v>
      </c>
    </row>
    <row r="3191" spans="2:15" x14ac:dyDescent="0.3">
      <c r="B3191" s="1" t="s">
        <v>23</v>
      </c>
      <c r="C3191" s="1" t="str">
        <f>"4차"</f>
        <v>4차</v>
      </c>
      <c r="D3191" s="1" t="str">
        <f>"0126Z91339"</f>
        <v>0126Z91339</v>
      </c>
      <c r="E3191" s="1" t="s">
        <v>14</v>
      </c>
      <c r="F3191" s="1" t="str">
        <f>"10.12.135.112"</f>
        <v>10.12.135.112</v>
      </c>
      <c r="G3191" s="1" t="str">
        <f>"0126Z913"</f>
        <v>0126Z913</v>
      </c>
      <c r="H3191" s="1" t="str">
        <f>"왕십로 61-2"</f>
        <v>왕십로 61-2</v>
      </c>
      <c r="I3191" s="1" t="s">
        <v>17</v>
      </c>
      <c r="J3191" s="1" t="str">
        <f>"0/0"</f>
        <v>0/0</v>
      </c>
      <c r="K3191" s="1" t="str">
        <f>"2026-06-10 07:18:01"</f>
        <v>2026-06-10 07:18:01</v>
      </c>
      <c r="L3191" s="1" t="str">
        <f>"2018-05-23 09:37:12"</f>
        <v>2018-05-23 09:37:12</v>
      </c>
      <c r="M3191" s="1" t="s">
        <v>0</v>
      </c>
      <c r="N3191" s="1" t="s">
        <v>39</v>
      </c>
      <c r="O3191" s="1" t="s">
        <v>46</v>
      </c>
    </row>
    <row r="3192" spans="2:15" x14ac:dyDescent="0.3">
      <c r="B3192" s="1" t="s">
        <v>23</v>
      </c>
      <c r="C3192" s="1" t="str">
        <f>"3차"</f>
        <v>3차</v>
      </c>
      <c r="D3192" s="1" t="str">
        <f>"0126Z94139"</f>
        <v>0126Z94139</v>
      </c>
      <c r="E3192" s="1" t="s">
        <v>10</v>
      </c>
      <c r="F3192" s="1" t="str">
        <f>"10.11.79.202"</f>
        <v>10.11.79.202</v>
      </c>
      <c r="G3192" s="1" t="str">
        <f>"0126Z941"</f>
        <v>0126Z941</v>
      </c>
      <c r="H3192" s="1" t="str">
        <f>"도선간 5L26L2R1"</f>
        <v>도선간 5L26L2R1</v>
      </c>
      <c r="I3192" s="1" t="s">
        <v>8</v>
      </c>
      <c r="J3192" s="1" t="str">
        <f>"31/31"</f>
        <v>31/31</v>
      </c>
      <c r="K3192" s="1" t="str">
        <f>"2026-07-29 13:18:01"</f>
        <v>2026-07-29 13:18:01</v>
      </c>
      <c r="L3192" s="1" t="str">
        <f>"2018-04-19 14:43:58"</f>
        <v>2018-04-19 14:43:58</v>
      </c>
      <c r="M3192" s="1" t="s">
        <v>2</v>
      </c>
      <c r="N3192" s="1" t="s">
        <v>38</v>
      </c>
      <c r="O3192" s="1" t="s">
        <v>46</v>
      </c>
    </row>
    <row r="3193" spans="2:15" x14ac:dyDescent="0.3">
      <c r="B3193" s="1" t="s">
        <v>23</v>
      </c>
      <c r="C3193" s="1" t="str">
        <f>"4차"</f>
        <v>4차</v>
      </c>
      <c r="D3193" s="1" t="str">
        <f>"0224B91545"</f>
        <v>0224B91545</v>
      </c>
      <c r="E3193" s="1" t="s">
        <v>10</v>
      </c>
      <c r="F3193" s="1" t="str">
        <f>"10.14.10.58"</f>
        <v>10.14.10.58</v>
      </c>
      <c r="G3193" s="1" t="str">
        <f>"0224B915"</f>
        <v>0224B915</v>
      </c>
      <c r="H3193" s="1" t="str">
        <f>"성덕정길 3"</f>
        <v>성덕정길 3</v>
      </c>
      <c r="I3193" s="1" t="s">
        <v>17</v>
      </c>
      <c r="J3193" s="1" t="str">
        <f>"5/5"</f>
        <v>5/5</v>
      </c>
      <c r="K3193" s="1" t="str">
        <f>"2026-07-29 13:18:04"</f>
        <v>2026-07-29 13:18:04</v>
      </c>
      <c r="L3193" s="1" t="str">
        <f>"2021-06-25 07:12:46"</f>
        <v>2021-06-25 07:12:46</v>
      </c>
      <c r="M3193" s="1" t="s">
        <v>3</v>
      </c>
      <c r="N3193" s="1" t="s">
        <v>38</v>
      </c>
      <c r="O3193" s="1" t="s">
        <v>46</v>
      </c>
    </row>
    <row r="3194" spans="2:15" x14ac:dyDescent="0.3">
      <c r="B3194" s="1" t="s">
        <v>23</v>
      </c>
      <c r="C3194" s="1" t="str">
        <f>"4차"</f>
        <v>4차</v>
      </c>
      <c r="D3194" s="1" t="str">
        <f>"0224E10344"</f>
        <v>0224E10344</v>
      </c>
      <c r="E3194" s="1" t="s">
        <v>10</v>
      </c>
      <c r="F3194" s="1" t="str">
        <f>"10.125.113.34"</f>
        <v>10.125.113.34</v>
      </c>
      <c r="G3194" s="1" t="str">
        <f>"0224E103"</f>
        <v>0224E103</v>
      </c>
      <c r="H3194" s="1" t="str">
        <f>"영동간 41L1"</f>
        <v>영동간 41L1</v>
      </c>
      <c r="I3194" s="1" t="s">
        <v>8</v>
      </c>
      <c r="J3194" s="1" t="str">
        <f>"6/6"</f>
        <v>6/6</v>
      </c>
      <c r="K3194" s="1" t="str">
        <f>"2026-07-29 13:18:03"</f>
        <v>2026-07-29 13:18:03</v>
      </c>
      <c r="L3194" s="1" t="str">
        <f>"2023-10-17 09:52:15"</f>
        <v>2023-10-17 09:52:15</v>
      </c>
      <c r="M3194" s="1" t="s">
        <v>45</v>
      </c>
      <c r="N3194" s="1" t="s">
        <v>38</v>
      </c>
      <c r="O3194" s="1" t="s">
        <v>46</v>
      </c>
    </row>
    <row r="3195" spans="2:15" x14ac:dyDescent="0.3">
      <c r="B3195" s="1" t="s">
        <v>23</v>
      </c>
      <c r="C3195" s="1" t="str">
        <f>"4차"</f>
        <v>4차</v>
      </c>
      <c r="D3195" s="1" t="str">
        <f>"0224E17444"</f>
        <v>0224E17444</v>
      </c>
      <c r="E3195" s="1" t="s">
        <v>10</v>
      </c>
      <c r="F3195" s="1" t="str">
        <f>"10.11.76.170"</f>
        <v>10.11.76.170</v>
      </c>
      <c r="G3195" s="1" t="str">
        <f>"0224E174"</f>
        <v>0224E174</v>
      </c>
      <c r="H3195" s="1" t="str">
        <f>"대종간 7L4R4"</f>
        <v>대종간 7L4R4</v>
      </c>
      <c r="I3195" s="1" t="s">
        <v>8</v>
      </c>
      <c r="J3195" s="1" t="str">
        <f>"4/4"</f>
        <v>4/4</v>
      </c>
      <c r="K3195" s="1" t="str">
        <f>"2026-07-29 13:18:03"</f>
        <v>2026-07-29 13:18:03</v>
      </c>
      <c r="L3195" s="1" t="str">
        <f>"2019-12-11 15:00:54"</f>
        <v>2019-12-11 15:00:54</v>
      </c>
      <c r="M3195" s="1" t="s">
        <v>2</v>
      </c>
      <c r="N3195" s="1" t="s">
        <v>38</v>
      </c>
      <c r="O3195" s="1" t="s">
        <v>46</v>
      </c>
    </row>
    <row r="3196" spans="2:15" x14ac:dyDescent="0.3">
      <c r="B3196" s="1" t="s">
        <v>23</v>
      </c>
      <c r="C3196" s="1" t="str">
        <f>"4차"</f>
        <v>4차</v>
      </c>
      <c r="D3196" s="1" t="str">
        <f>"0224E21344"</f>
        <v>0224E21344</v>
      </c>
      <c r="E3196" s="1" t="s">
        <v>10</v>
      </c>
      <c r="F3196" s="1" t="str">
        <f>"10.125.0.26"</f>
        <v>10.125.0.26</v>
      </c>
      <c r="G3196" s="1" t="str">
        <f>"0224E213"</f>
        <v>0224E213</v>
      </c>
      <c r="H3196" s="1" t="str">
        <f>"경마간 60L5"</f>
        <v>경마간 60L5</v>
      </c>
      <c r="I3196" s="1" t="s">
        <v>8</v>
      </c>
      <c r="J3196" s="1" t="str">
        <f>"85/86"</f>
        <v>85/86</v>
      </c>
      <c r="K3196" s="1" t="str">
        <f>"2026-07-29 13:18:03"</f>
        <v>2026-07-29 13:18:03</v>
      </c>
      <c r="L3196" s="1" t="str">
        <f>"2023-09-05 09:45:45"</f>
        <v>2023-09-05 09:45:45</v>
      </c>
      <c r="M3196" s="1" t="s">
        <v>45</v>
      </c>
      <c r="N3196" s="1" t="s">
        <v>38</v>
      </c>
      <c r="O3196" s="1" t="s">
        <v>46</v>
      </c>
    </row>
    <row r="3197" spans="2:15" x14ac:dyDescent="0.3">
      <c r="B3197" s="1" t="s">
        <v>23</v>
      </c>
      <c r="C3197" s="1" t="str">
        <f>"1차"</f>
        <v>1차</v>
      </c>
      <c r="D3197" s="1" t="str">
        <f>"0224E22300"</f>
        <v>0224E22300</v>
      </c>
      <c r="E3197" s="1" t="s">
        <v>10</v>
      </c>
      <c r="F3197" s="1" t="str">
        <f>"10.125.0.34"</f>
        <v>10.125.0.34</v>
      </c>
      <c r="G3197" s="1" t="str">
        <f>"0224E223"</f>
        <v>0224E223</v>
      </c>
      <c r="H3197" s="1" t="str">
        <f>"경마간 60L3"</f>
        <v>경마간 60L3</v>
      </c>
      <c r="I3197" s="1" t="s">
        <v>8</v>
      </c>
      <c r="J3197" s="1" t="str">
        <f>"42/46"</f>
        <v>42/46</v>
      </c>
      <c r="K3197" s="1" t="str">
        <f>"2026-07-29 13:18:03"</f>
        <v>2026-07-29 13:18:03</v>
      </c>
      <c r="L3197" s="1" t="str">
        <f>"2014-11-06 15:42:20"</f>
        <v>2014-11-06 15:42:20</v>
      </c>
      <c r="M3197" s="1" t="s">
        <v>45</v>
      </c>
      <c r="N3197" s="1" t="s">
        <v>38</v>
      </c>
      <c r="O3197" s="1" t="s">
        <v>46</v>
      </c>
    </row>
    <row r="3198" spans="2:15" x14ac:dyDescent="0.3">
      <c r="B3198" s="1" t="s">
        <v>23</v>
      </c>
      <c r="C3198" s="1" t="str">
        <f>"1차"</f>
        <v>1차</v>
      </c>
      <c r="D3198" s="1" t="str">
        <f>"0224E26301"</f>
        <v>0224E26301</v>
      </c>
      <c r="E3198" s="1" t="s">
        <v>10</v>
      </c>
      <c r="F3198" s="1" t="str">
        <f>"10.12.131.179"</f>
        <v>10.12.131.179</v>
      </c>
      <c r="G3198" s="1" t="str">
        <f>"0224E263"</f>
        <v>0224E263</v>
      </c>
      <c r="H3198" s="1" t="str">
        <f>"대종간 7L4R3"</f>
        <v>대종간 7L4R3</v>
      </c>
      <c r="I3198" s="1" t="s">
        <v>8</v>
      </c>
      <c r="J3198" s="1" t="str">
        <f>"36/42"</f>
        <v>36/42</v>
      </c>
      <c r="K3198" s="1" t="str">
        <f>"2026-07-29 13:18:01"</f>
        <v>2026-07-29 13:18:01</v>
      </c>
      <c r="L3198" s="1" t="str">
        <f>"2014-11-06 15:41:35"</f>
        <v>2014-11-06 15:41:35</v>
      </c>
      <c r="M3198" s="1" t="s">
        <v>0</v>
      </c>
      <c r="N3198" s="1" t="s">
        <v>38</v>
      </c>
      <c r="O3198" s="1" t="s">
        <v>46</v>
      </c>
    </row>
    <row r="3199" spans="2:15" x14ac:dyDescent="0.3">
      <c r="B3199" s="1" t="s">
        <v>23</v>
      </c>
      <c r="C3199" s="1" t="str">
        <f>"4차"</f>
        <v>4차</v>
      </c>
      <c r="D3199" s="1" t="str">
        <f>"0224E27244"</f>
        <v>0224E27244</v>
      </c>
      <c r="E3199" s="1" t="s">
        <v>10</v>
      </c>
      <c r="F3199" s="1" t="str">
        <f>"10.125.4.218"</f>
        <v>10.125.4.218</v>
      </c>
      <c r="G3199" s="1" t="str">
        <f>"0224E272"</f>
        <v>0224E272</v>
      </c>
      <c r="H3199" s="1" t="str">
        <f>"대종간 7L4R2R3"</f>
        <v>대종간 7L4R2R3</v>
      </c>
      <c r="I3199" s="1" t="s">
        <v>8</v>
      </c>
      <c r="J3199" s="1" t="str">
        <f>"36/39"</f>
        <v>36/39</v>
      </c>
      <c r="K3199" s="1" t="str">
        <f>"2026-07-29 13:18:03"</f>
        <v>2026-07-29 13:18:03</v>
      </c>
      <c r="L3199" s="1" t="str">
        <f>"2023-07-28 17:13:07"</f>
        <v>2023-07-28 17:13:07</v>
      </c>
      <c r="M3199" s="1" t="s">
        <v>45</v>
      </c>
      <c r="N3199" s="1" t="s">
        <v>38</v>
      </c>
      <c r="O3199" s="1" t="s">
        <v>46</v>
      </c>
    </row>
    <row r="3200" spans="2:15" x14ac:dyDescent="0.3">
      <c r="B3200" s="1" t="s">
        <v>23</v>
      </c>
      <c r="C3200" s="1" t="str">
        <f>"3차"</f>
        <v>3차</v>
      </c>
      <c r="D3200" s="1" t="str">
        <f>"0224E31242"</f>
        <v>0224E31242</v>
      </c>
      <c r="E3200" s="1" t="s">
        <v>10</v>
      </c>
      <c r="F3200" s="1" t="str">
        <f>"10.12.137.177"</f>
        <v>10.12.137.177</v>
      </c>
      <c r="G3200" s="1" t="str">
        <f>"0224E312"</f>
        <v>0224E312</v>
      </c>
      <c r="H3200" s="1" t="str">
        <f>"경마간 60L5L2"</f>
        <v>경마간 60L5L2</v>
      </c>
      <c r="I3200" s="1" t="s">
        <v>8</v>
      </c>
      <c r="J3200" s="1" t="str">
        <f>"52/52"</f>
        <v>52/52</v>
      </c>
      <c r="K3200" s="1" t="str">
        <f>"2026-07-29 13:18:03"</f>
        <v>2026-07-29 13:18:03</v>
      </c>
      <c r="L3200" s="1" t="str">
        <f>"2025-11-14 16:24:02"</f>
        <v>2025-11-14 16:24:02</v>
      </c>
      <c r="M3200" s="1" t="s">
        <v>0</v>
      </c>
      <c r="N3200" s="1" t="s">
        <v>38</v>
      </c>
      <c r="O3200" s="1" t="s">
        <v>46</v>
      </c>
    </row>
    <row r="3201" spans="2:15" x14ac:dyDescent="0.3">
      <c r="B3201" s="1" t="s">
        <v>23</v>
      </c>
      <c r="C3201" s="1" t="str">
        <f>"1차"</f>
        <v>1차</v>
      </c>
      <c r="D3201" s="1" t="str">
        <f>"0224E37100"</f>
        <v>0224E37100</v>
      </c>
      <c r="E3201" s="1" t="s">
        <v>10</v>
      </c>
      <c r="F3201" s="1" t="str">
        <f>"10.125.0.58"</f>
        <v>10.125.0.58</v>
      </c>
      <c r="G3201" s="1" t="str">
        <f>"0224E371"</f>
        <v>0224E371</v>
      </c>
      <c r="H3201" s="1" t="str">
        <f>"대종간 7L2R3"</f>
        <v>대종간 7L2R3</v>
      </c>
      <c r="I3201" s="1" t="s">
        <v>8</v>
      </c>
      <c r="J3201" s="1" t="str">
        <f>"73/73"</f>
        <v>73/73</v>
      </c>
      <c r="K3201" s="1" t="str">
        <f>"2026-07-29 13:18:03"</f>
        <v>2026-07-29 13:18:03</v>
      </c>
      <c r="L3201" s="1" t="str">
        <f>"2014-11-06 15:41:41"</f>
        <v>2014-11-06 15:41:41</v>
      </c>
      <c r="M3201" s="1" t="s">
        <v>45</v>
      </c>
      <c r="N3201" s="1" t="s">
        <v>38</v>
      </c>
      <c r="O3201" s="1" t="s">
        <v>46</v>
      </c>
    </row>
    <row r="3202" spans="2:15" x14ac:dyDescent="0.3">
      <c r="B3202" s="1" t="s">
        <v>23</v>
      </c>
      <c r="C3202" s="1" t="str">
        <f>"1차"</f>
        <v>1차</v>
      </c>
      <c r="D3202" s="1" t="str">
        <f>"0224E38201"</f>
        <v>0224E38201</v>
      </c>
      <c r="E3202" s="1" t="s">
        <v>10</v>
      </c>
      <c r="F3202" s="1" t="str">
        <f>"10.125.0.59"</f>
        <v>10.125.0.59</v>
      </c>
      <c r="G3202" s="1" t="str">
        <f>"0224E382"</f>
        <v>0224E382</v>
      </c>
      <c r="H3202" s="1" t="str">
        <f>"대종간 7L2R5"</f>
        <v>대종간 7L2R5</v>
      </c>
      <c r="I3202" s="1" t="s">
        <v>8</v>
      </c>
      <c r="J3202" s="1" t="str">
        <f>"40/47"</f>
        <v>40/47</v>
      </c>
      <c r="K3202" s="1" t="str">
        <f>"2026-07-29 13:18:01"</f>
        <v>2026-07-29 13:18:01</v>
      </c>
      <c r="L3202" s="1" t="str">
        <f>"2014-11-06 15:41:42"</f>
        <v>2014-11-06 15:41:42</v>
      </c>
      <c r="M3202" s="1" t="s">
        <v>45</v>
      </c>
      <c r="N3202" s="1" t="s">
        <v>38</v>
      </c>
      <c r="O3202" s="1" t="s">
        <v>46</v>
      </c>
    </row>
    <row r="3203" spans="2:15" x14ac:dyDescent="0.3">
      <c r="B3203" s="1" t="s">
        <v>23</v>
      </c>
      <c r="C3203" s="1" t="str">
        <f>"1차"</f>
        <v>1차</v>
      </c>
      <c r="D3203" s="1" t="str">
        <f>"0224E41101"</f>
        <v>0224E41101</v>
      </c>
      <c r="E3203" s="1" t="s">
        <v>10</v>
      </c>
      <c r="F3203" s="1" t="str">
        <f>"10.125.0.35"</f>
        <v>10.125.0.35</v>
      </c>
      <c r="G3203" s="1" t="str">
        <f>"0224E411"</f>
        <v>0224E411</v>
      </c>
      <c r="H3203" s="1" t="str">
        <f>"경마간 60L3L2"</f>
        <v>경마간 60L3L2</v>
      </c>
      <c r="I3203" s="1" t="s">
        <v>8</v>
      </c>
      <c r="J3203" s="1" t="str">
        <f>"80/93"</f>
        <v>80/93</v>
      </c>
      <c r="K3203" s="1" t="str">
        <f>"2026-07-29 13:18:02"</f>
        <v>2026-07-29 13:18:02</v>
      </c>
      <c r="L3203" s="1" t="str">
        <f>"2014-11-06 17:56:59"</f>
        <v>2014-11-06 17:56:59</v>
      </c>
      <c r="M3203" s="1" t="s">
        <v>45</v>
      </c>
      <c r="N3203" s="1" t="s">
        <v>38</v>
      </c>
      <c r="O3203" s="1" t="s">
        <v>46</v>
      </c>
    </row>
    <row r="3204" spans="2:15" x14ac:dyDescent="0.3">
      <c r="B3204" s="1" t="s">
        <v>23</v>
      </c>
      <c r="C3204" s="1" t="str">
        <f>"1차"</f>
        <v>1차</v>
      </c>
      <c r="D3204" s="1" t="str">
        <f>"0224E41300"</f>
        <v>0224E41300</v>
      </c>
      <c r="E3204" s="1" t="s">
        <v>10</v>
      </c>
      <c r="F3204" s="1" t="str">
        <f>"10.125.0.66"</f>
        <v>10.125.0.66</v>
      </c>
      <c r="G3204" s="1" t="str">
        <f>"0224E413"</f>
        <v>0224E413</v>
      </c>
      <c r="H3204" s="1" t="str">
        <f>"영동간 38R3"</f>
        <v>영동간 38R3</v>
      </c>
      <c r="I3204" s="1" t="s">
        <v>8</v>
      </c>
      <c r="J3204" s="1" t="str">
        <f>"19/20"</f>
        <v>19/20</v>
      </c>
      <c r="K3204" s="1" t="str">
        <f>"2026-07-29 13:18:03"</f>
        <v>2026-07-29 13:18:03</v>
      </c>
      <c r="L3204" s="1" t="str">
        <f>"2014-11-06 15:41:59"</f>
        <v>2014-11-06 15:41:59</v>
      </c>
      <c r="M3204" s="1" t="s">
        <v>45</v>
      </c>
      <c r="N3204" s="1" t="s">
        <v>38</v>
      </c>
      <c r="O3204" s="1" t="s">
        <v>46</v>
      </c>
    </row>
    <row r="3205" spans="2:15" x14ac:dyDescent="0.3">
      <c r="B3205" s="1" t="s">
        <v>23</v>
      </c>
      <c r="C3205" s="1" t="str">
        <f>"4차"</f>
        <v>4차</v>
      </c>
      <c r="D3205" s="1" t="str">
        <f>"0224E41542"</f>
        <v>0224E41542</v>
      </c>
      <c r="E3205" s="1" t="s">
        <v>10</v>
      </c>
      <c r="F3205" s="1" t="str">
        <f>"10.12.129.139"</f>
        <v>10.12.129.139</v>
      </c>
      <c r="G3205" s="1" t="str">
        <f>"0224E415"</f>
        <v>0224E415</v>
      </c>
      <c r="H3205" s="1" t="str">
        <f>"영동간 38R2"</f>
        <v>영동간 38R2</v>
      </c>
      <c r="I3205" s="1" t="s">
        <v>8</v>
      </c>
      <c r="J3205" s="1" t="str">
        <f>"63/63"</f>
        <v>63/63</v>
      </c>
      <c r="K3205" s="1" t="str">
        <f>"2026-07-29 13:18:02"</f>
        <v>2026-07-29 13:18:02</v>
      </c>
      <c r="L3205" s="1" t="str">
        <f>"2025-07-23 15:52:20"</f>
        <v>2025-07-23 15:52:20</v>
      </c>
      <c r="M3205" s="1" t="s">
        <v>0</v>
      </c>
      <c r="N3205" s="1" t="s">
        <v>38</v>
      </c>
      <c r="O3205" s="1" t="s">
        <v>46</v>
      </c>
    </row>
    <row r="3206" spans="2:15" x14ac:dyDescent="0.3">
      <c r="B3206" s="1" t="s">
        <v>23</v>
      </c>
      <c r="C3206" s="1" t="str">
        <f>"1차"</f>
        <v>1차</v>
      </c>
      <c r="D3206" s="1" t="str">
        <f>"0224E47301"</f>
        <v>0224E47301</v>
      </c>
      <c r="E3206" s="1" t="s">
        <v>14</v>
      </c>
      <c r="F3206" s="1" t="str">
        <f>"10.125.0.60"</f>
        <v>10.125.0.60</v>
      </c>
      <c r="G3206" s="1" t="str">
        <f>"0224E473"</f>
        <v>0224E473</v>
      </c>
      <c r="H3206" s="1" t="str">
        <f>"대종간 7L2R2"</f>
        <v>대종간 7L2R2</v>
      </c>
      <c r="I3206" s="1" t="s">
        <v>8</v>
      </c>
      <c r="J3206" s="1" t="str">
        <f>"0/0"</f>
        <v>0/0</v>
      </c>
      <c r="K3206" s="1" t="str">
        <f>"2026-07-29 13:18:02"</f>
        <v>2026-07-29 13:18:02</v>
      </c>
      <c r="L3206" s="1" t="str">
        <f>"2014-11-07 15:04:58"</f>
        <v>2014-11-07 15:04:58</v>
      </c>
      <c r="M3206" s="1" t="s">
        <v>45</v>
      </c>
      <c r="N3206" s="1" t="s">
        <v>38</v>
      </c>
      <c r="O3206" s="1" t="s">
        <v>44</v>
      </c>
    </row>
    <row r="3207" spans="2:15" x14ac:dyDescent="0.3">
      <c r="B3207" s="1" t="s">
        <v>23</v>
      </c>
      <c r="C3207" s="1" t="str">
        <f>"4차"</f>
        <v>4차</v>
      </c>
      <c r="D3207" s="1" t="str">
        <f>"0224E50244"</f>
        <v>0224E50244</v>
      </c>
      <c r="E3207" s="1" t="s">
        <v>10</v>
      </c>
      <c r="F3207" s="1" t="str">
        <f>"10.11.76.186"</f>
        <v>10.11.76.186</v>
      </c>
      <c r="G3207" s="1" t="str">
        <f>"0224E502"</f>
        <v>0224E502</v>
      </c>
      <c r="H3207" s="1" t="str">
        <f>"영동간 37R3"</f>
        <v>영동간 37R3</v>
      </c>
      <c r="I3207" s="1" t="s">
        <v>8</v>
      </c>
      <c r="J3207" s="1" t="str">
        <f>"13/13"</f>
        <v>13/13</v>
      </c>
      <c r="K3207" s="1" t="str">
        <f>"2026-07-29 13:18:03"</f>
        <v>2026-07-29 13:18:03</v>
      </c>
      <c r="L3207" s="1" t="str">
        <f>"2019-11-04 19:53:05"</f>
        <v>2019-11-04 19:53:05</v>
      </c>
      <c r="M3207" s="1" t="s">
        <v>2</v>
      </c>
      <c r="N3207" s="1" t="s">
        <v>38</v>
      </c>
      <c r="O3207" s="1" t="s">
        <v>46</v>
      </c>
    </row>
    <row r="3208" spans="2:15" x14ac:dyDescent="0.3">
      <c r="B3208" s="1" t="s">
        <v>23</v>
      </c>
      <c r="C3208" s="1" t="str">
        <f>"1차"</f>
        <v>1차</v>
      </c>
      <c r="D3208" s="1" t="str">
        <f>"0224E52301"</f>
        <v>0224E52301</v>
      </c>
      <c r="E3208" s="1" t="s">
        <v>10</v>
      </c>
      <c r="F3208" s="1" t="str">
        <f>"10.14.8.127"</f>
        <v>10.14.8.127</v>
      </c>
      <c r="G3208" s="1" t="str">
        <f>"0224E523"</f>
        <v>0224E523</v>
      </c>
      <c r="H3208" s="1" t="str">
        <f>"영동간 38R5"</f>
        <v>영동간 38R5</v>
      </c>
      <c r="I3208" s="1" t="s">
        <v>8</v>
      </c>
      <c r="J3208" s="1" t="str">
        <f>"25/25"</f>
        <v>25/25</v>
      </c>
      <c r="K3208" s="1" t="str">
        <f>"2026-07-29 13:18:03"</f>
        <v>2026-07-29 13:18:03</v>
      </c>
      <c r="L3208" s="1" t="str">
        <f>"2014-11-06 15:41:56"</f>
        <v>2014-11-06 15:41:56</v>
      </c>
      <c r="M3208" s="1" t="s">
        <v>3</v>
      </c>
      <c r="N3208" s="1" t="s">
        <v>38</v>
      </c>
      <c r="O3208" s="1" t="s">
        <v>46</v>
      </c>
    </row>
    <row r="3209" spans="2:15" x14ac:dyDescent="0.3">
      <c r="B3209" s="1" t="s">
        <v>23</v>
      </c>
      <c r="C3209" s="1" t="str">
        <f>"1차"</f>
        <v>1차</v>
      </c>
      <c r="D3209" s="1" t="str">
        <f>"0224E53100"</f>
        <v>0224E53100</v>
      </c>
      <c r="E3209" s="1" t="s">
        <v>10</v>
      </c>
      <c r="F3209" s="1" t="str">
        <f>"10.125.0.42"</f>
        <v>10.125.0.42</v>
      </c>
      <c r="G3209" s="1" t="str">
        <f>"0224E531"</f>
        <v>0224E531</v>
      </c>
      <c r="H3209" s="1" t="str">
        <f>"경마간 57"</f>
        <v>경마간 57</v>
      </c>
      <c r="I3209" s="1" t="s">
        <v>8</v>
      </c>
      <c r="J3209" s="1" t="str">
        <f>"14/14"</f>
        <v>14/14</v>
      </c>
      <c r="K3209" s="1" t="str">
        <f>"2026-07-29 13:18:03"</f>
        <v>2026-07-29 13:18:03</v>
      </c>
      <c r="L3209" s="1" t="str">
        <f>"2014-11-06 15:41:42"</f>
        <v>2014-11-06 15:41:42</v>
      </c>
      <c r="M3209" s="1" t="s">
        <v>45</v>
      </c>
      <c r="N3209" s="1" t="s">
        <v>38</v>
      </c>
      <c r="O3209" s="1" t="s">
        <v>46</v>
      </c>
    </row>
    <row r="3210" spans="2:15" x14ac:dyDescent="0.3">
      <c r="B3210" s="1" t="s">
        <v>23</v>
      </c>
      <c r="C3210" s="1" t="str">
        <f>"4차"</f>
        <v>4차</v>
      </c>
      <c r="D3210" s="1" t="str">
        <f>"0224E55141"</f>
        <v>0224E55141</v>
      </c>
      <c r="E3210" s="1" t="s">
        <v>10</v>
      </c>
      <c r="F3210" s="1" t="str">
        <f>"10.14.2.37"</f>
        <v>10.14.2.37</v>
      </c>
      <c r="G3210" s="1" t="str">
        <f>"0224E551"</f>
        <v>0224E551</v>
      </c>
      <c r="H3210" s="1" t="str">
        <f>"뚝도간 32R3"</f>
        <v>뚝도간 32R3</v>
      </c>
      <c r="I3210" s="1" t="s">
        <v>17</v>
      </c>
      <c r="J3210" s="1" t="str">
        <f>"12/15"</f>
        <v>12/15</v>
      </c>
      <c r="K3210" s="1" t="str">
        <f>"2026-07-29 13:18:01"</f>
        <v>2026-07-29 13:18:01</v>
      </c>
      <c r="L3210" s="1" t="str">
        <f>"2021-10-12 10:19:54"</f>
        <v>2021-10-12 10:19:54</v>
      </c>
      <c r="M3210" s="1" t="s">
        <v>3</v>
      </c>
      <c r="N3210" s="1" t="s">
        <v>38</v>
      </c>
      <c r="O3210" s="1" t="s">
        <v>46</v>
      </c>
    </row>
    <row r="3211" spans="2:15" x14ac:dyDescent="0.3">
      <c r="B3211" s="1" t="s">
        <v>23</v>
      </c>
      <c r="C3211" s="1" t="str">
        <f>"1차"</f>
        <v>1차</v>
      </c>
      <c r="D3211" s="1" t="str">
        <f>"0224E56200"</f>
        <v>0224E56200</v>
      </c>
      <c r="E3211" s="1" t="s">
        <v>10</v>
      </c>
      <c r="F3211" s="1" t="str">
        <f>"10.125.4.250"</f>
        <v>10.125.4.250</v>
      </c>
      <c r="G3211" s="1" t="str">
        <f>"0224E562"</f>
        <v>0224E562</v>
      </c>
      <c r="H3211" s="1" t="str">
        <f>"뚝도간 32R4"</f>
        <v>뚝도간 32R4</v>
      </c>
      <c r="I3211" s="1" t="s">
        <v>8</v>
      </c>
      <c r="J3211" s="1" t="str">
        <f>"23/23"</f>
        <v>23/23</v>
      </c>
      <c r="K3211" s="1" t="str">
        <f>"2026-07-29 13:18:03"</f>
        <v>2026-07-29 13:18:03</v>
      </c>
      <c r="L3211" s="1" t="str">
        <f>"2014-12-18 15:52:31"</f>
        <v>2014-12-18 15:52:31</v>
      </c>
      <c r="M3211" s="1" t="s">
        <v>45</v>
      </c>
      <c r="N3211" s="1" t="s">
        <v>38</v>
      </c>
      <c r="O3211" s="1" t="s">
        <v>46</v>
      </c>
    </row>
    <row r="3212" spans="2:15" x14ac:dyDescent="0.3">
      <c r="B3212" s="1" t="s">
        <v>23</v>
      </c>
      <c r="C3212" s="1" t="str">
        <f>"1차"</f>
        <v>1차</v>
      </c>
      <c r="D3212" s="1" t="str">
        <f>"0224E58300"</f>
        <v>0224E58300</v>
      </c>
      <c r="E3212" s="1" t="s">
        <v>10</v>
      </c>
      <c r="F3212" s="1" t="str">
        <f>"10.125.5.2"</f>
        <v>10.125.5.2</v>
      </c>
      <c r="G3212" s="1" t="str">
        <f>"0224E583"</f>
        <v>0224E583</v>
      </c>
      <c r="H3212" s="1" t="str">
        <f>"대종간 7L1R1"</f>
        <v>대종간 7L1R1</v>
      </c>
      <c r="I3212" s="1" t="s">
        <v>8</v>
      </c>
      <c r="J3212" s="1" t="str">
        <f>"8/8"</f>
        <v>8/8</v>
      </c>
      <c r="K3212" s="1" t="str">
        <f>"2026-07-29 13:18:03"</f>
        <v>2026-07-29 13:18:03</v>
      </c>
      <c r="L3212" s="1" t="str">
        <f>"2014-11-12 16:27:00"</f>
        <v>2014-11-12 16:27:00</v>
      </c>
      <c r="M3212" s="1" t="s">
        <v>45</v>
      </c>
      <c r="N3212" s="1" t="s">
        <v>38</v>
      </c>
      <c r="O3212" s="1" t="s">
        <v>46</v>
      </c>
    </row>
    <row r="3213" spans="2:15" x14ac:dyDescent="0.3">
      <c r="B3213" s="1" t="s">
        <v>23</v>
      </c>
      <c r="C3213" s="1" t="str">
        <f>"1차"</f>
        <v>1차</v>
      </c>
      <c r="D3213" s="1" t="str">
        <f>"0224E62101"</f>
        <v>0224E62101</v>
      </c>
      <c r="E3213" s="1" t="s">
        <v>10</v>
      </c>
      <c r="F3213" s="1" t="str">
        <f>"10.12.130.190"</f>
        <v>10.12.130.190</v>
      </c>
      <c r="G3213" s="1" t="str">
        <f>"0224E621"</f>
        <v>0224E621</v>
      </c>
      <c r="H3213" s="1" t="str">
        <f>"경마간 56L1"</f>
        <v>경마간 56L1</v>
      </c>
      <c r="I3213" s="1" t="s">
        <v>8</v>
      </c>
      <c r="J3213" s="1" t="str">
        <f>"3/3"</f>
        <v>3/3</v>
      </c>
      <c r="K3213" s="1" t="str">
        <f>"2026-07-29 13:18:02"</f>
        <v>2026-07-29 13:18:02</v>
      </c>
      <c r="L3213" s="1" t="str">
        <f>"2014-11-06 15:41:20"</f>
        <v>2014-11-06 15:41:20</v>
      </c>
      <c r="M3213" s="1" t="s">
        <v>0</v>
      </c>
      <c r="N3213" s="1" t="s">
        <v>38</v>
      </c>
      <c r="O3213" s="1" t="s">
        <v>46</v>
      </c>
    </row>
    <row r="3214" spans="2:15" x14ac:dyDescent="0.3">
      <c r="B3214" s="1" t="s">
        <v>23</v>
      </c>
      <c r="C3214" s="1" t="str">
        <f>"4차"</f>
        <v>4차</v>
      </c>
      <c r="D3214" s="1" t="str">
        <f>"0224E70244"</f>
        <v>0224E70244</v>
      </c>
      <c r="E3214" s="1" t="s">
        <v>10</v>
      </c>
      <c r="F3214" s="1" t="str">
        <f>"10.11.76.194"</f>
        <v>10.11.76.194</v>
      </c>
      <c r="G3214" s="1" t="str">
        <f>"0224E702"</f>
        <v>0224E702</v>
      </c>
      <c r="H3214" s="1" t="str">
        <f>"영동간 27R8"</f>
        <v>영동간 27R8</v>
      </c>
      <c r="I3214" s="1" t="s">
        <v>8</v>
      </c>
      <c r="J3214" s="1" t="str">
        <f>"1/13"</f>
        <v>1/13</v>
      </c>
      <c r="K3214" s="1" t="str">
        <f>"2026-07-29 13:18:01"</f>
        <v>2026-07-29 13:18:01</v>
      </c>
      <c r="L3214" s="1" t="str">
        <f>"2019-11-04 19:53:05"</f>
        <v>2019-11-04 19:53:05</v>
      </c>
      <c r="M3214" s="1" t="s">
        <v>2</v>
      </c>
      <c r="N3214" s="1" t="s">
        <v>38</v>
      </c>
      <c r="O3214" s="1" t="s">
        <v>46</v>
      </c>
    </row>
    <row r="3215" spans="2:15" x14ac:dyDescent="0.3">
      <c r="B3215" s="1" t="s">
        <v>23</v>
      </c>
      <c r="C3215" s="1" t="str">
        <f>"4차"</f>
        <v>4차</v>
      </c>
      <c r="D3215" s="1" t="str">
        <f>"0224E74241"</f>
        <v>0224E74241</v>
      </c>
      <c r="E3215" s="1" t="s">
        <v>10</v>
      </c>
      <c r="F3215" s="1" t="str">
        <f>"10.14.13.37"</f>
        <v>10.14.13.37</v>
      </c>
      <c r="G3215" s="1" t="str">
        <f>"0224E742"</f>
        <v>0224E742</v>
      </c>
      <c r="H3215" s="1" t="str">
        <f>"뚝도간 29R3"</f>
        <v>뚝도간 29R3</v>
      </c>
      <c r="I3215" s="1" t="s">
        <v>17</v>
      </c>
      <c r="J3215" s="1" t="str">
        <f>"27/27"</f>
        <v>27/27</v>
      </c>
      <c r="K3215" s="1" t="str">
        <f>"2026-07-29 13:18:01"</f>
        <v>2026-07-29 13:18:01</v>
      </c>
      <c r="L3215" s="1" t="str">
        <f>"2021-10-12 09:35:48"</f>
        <v>2021-10-12 09:35:48</v>
      </c>
      <c r="M3215" s="1" t="s">
        <v>3</v>
      </c>
      <c r="N3215" s="1" t="s">
        <v>38</v>
      </c>
      <c r="O3215" s="1" t="s">
        <v>46</v>
      </c>
    </row>
    <row r="3216" spans="2:15" x14ac:dyDescent="0.3">
      <c r="B3216" s="1" t="s">
        <v>23</v>
      </c>
      <c r="C3216" s="1" t="str">
        <f>"4차"</f>
        <v>4차</v>
      </c>
      <c r="D3216" s="1" t="str">
        <f>"0224E76141"</f>
        <v>0224E76141</v>
      </c>
      <c r="E3216" s="1" t="s">
        <v>10</v>
      </c>
      <c r="F3216" s="1" t="str">
        <f>"10.14.13.40"</f>
        <v>10.14.13.40</v>
      </c>
      <c r="G3216" s="1" t="str">
        <f>"0224E761"</f>
        <v>0224E761</v>
      </c>
      <c r="H3216" s="1" t="str">
        <f>"뚝도간 29R7"</f>
        <v>뚝도간 29R7</v>
      </c>
      <c r="I3216" s="1" t="s">
        <v>17</v>
      </c>
      <c r="J3216" s="1" t="str">
        <f>"26/26"</f>
        <v>26/26</v>
      </c>
      <c r="K3216" s="1" t="str">
        <f>"2026-07-29 13:18:01"</f>
        <v>2026-07-29 13:18:01</v>
      </c>
      <c r="L3216" s="1" t="str">
        <f>"2021-10-12 08:51:33"</f>
        <v>2021-10-12 08:51:33</v>
      </c>
      <c r="M3216" s="1" t="s">
        <v>3</v>
      </c>
      <c r="N3216" s="1" t="s">
        <v>38</v>
      </c>
      <c r="O3216" s="1" t="s">
        <v>46</v>
      </c>
    </row>
    <row r="3217" spans="2:15" x14ac:dyDescent="0.3">
      <c r="B3217" s="1" t="s">
        <v>23</v>
      </c>
      <c r="C3217" s="1" t="str">
        <f>"5-2차"</f>
        <v>5-2차</v>
      </c>
      <c r="D3217" s="1" t="str">
        <f>"0224F1715M"</f>
        <v>0224F1715M</v>
      </c>
      <c r="E3217" s="1" t="s">
        <v>10</v>
      </c>
      <c r="F3217" s="1" t="str">
        <f>"fde1:103:4:5a68:0:0:0:2"</f>
        <v>fde1:103:4:5a68:0:0:0:2</v>
      </c>
      <c r="G3217" s="1" t="str">
        <f>"0224F171"</f>
        <v>0224F171</v>
      </c>
      <c r="H3217" s="1" t="str">
        <f>"상원간 29L4B3"</f>
        <v>상원간 29L4B3</v>
      </c>
      <c r="I3217" s="1" t="s">
        <v>15</v>
      </c>
      <c r="J3217" s="1" t="str">
        <f>"31/31"</f>
        <v>31/31</v>
      </c>
      <c r="K3217" s="1" t="str">
        <f>"2026-07-29 14:21:05"</f>
        <v>2026-07-29 14:21:05</v>
      </c>
      <c r="L3217" s="1" t="str">
        <f>"2023-09-19 13:30:48"</f>
        <v>2023-09-19 13:30:48</v>
      </c>
      <c r="M3217" s="1" t="s">
        <v>4</v>
      </c>
      <c r="N3217" s="1" t="s">
        <v>38</v>
      </c>
      <c r="O3217" s="1" t="s">
        <v>46</v>
      </c>
    </row>
    <row r="3218" spans="2:15" x14ac:dyDescent="0.3">
      <c r="B3218" s="1" t="s">
        <v>23</v>
      </c>
      <c r="C3218" s="1" t="str">
        <f>"4차"</f>
        <v>4차</v>
      </c>
      <c r="D3218" s="1" t="str">
        <f>"0224F17241"</f>
        <v>0224F17241</v>
      </c>
      <c r="E3218" s="1" t="s">
        <v>10</v>
      </c>
      <c r="F3218" s="1" t="str">
        <f>"10.12.134.53"</f>
        <v>10.12.134.53</v>
      </c>
      <c r="G3218" s="1" t="str">
        <f>"0224F172"</f>
        <v>0224F172</v>
      </c>
      <c r="H3218" s="1" t="str">
        <f>"상원간 29L4B5"</f>
        <v>상원간 29L4B5</v>
      </c>
      <c r="I3218" s="1" t="s">
        <v>17</v>
      </c>
      <c r="J3218" s="1" t="str">
        <f>"29/29"</f>
        <v>29/29</v>
      </c>
      <c r="K3218" s="1" t="str">
        <f>"2026-07-29 13:18:02"</f>
        <v>2026-07-29 13:18:02</v>
      </c>
      <c r="L3218" s="1" t="str">
        <f>"2021-10-13 08:46:45"</f>
        <v>2021-10-13 08:46:45</v>
      </c>
      <c r="M3218" s="1" t="s">
        <v>0</v>
      </c>
      <c r="N3218" s="1" t="s">
        <v>38</v>
      </c>
      <c r="O3218" s="1" t="s">
        <v>46</v>
      </c>
    </row>
    <row r="3219" spans="2:15" x14ac:dyDescent="0.3">
      <c r="B3219" s="1" t="s">
        <v>23</v>
      </c>
      <c r="C3219" s="1" t="str">
        <f>"5-2차"</f>
        <v>5-2차</v>
      </c>
      <c r="D3219" s="1" t="str">
        <f>"0224F2025S"</f>
        <v>0224F2025S</v>
      </c>
      <c r="E3219" s="1" t="s">
        <v>10</v>
      </c>
      <c r="F3219" s="1" t="str">
        <f>"fde1:103:4:5706:0:0:0:2"</f>
        <v>fde1:103:4:5706:0:0:0:2</v>
      </c>
      <c r="G3219" s="1" t="str">
        <f>"0224F202"</f>
        <v>0224F202</v>
      </c>
      <c r="H3219" s="1" t="str">
        <f>"경마간 45L1"</f>
        <v>경마간 45L1</v>
      </c>
      <c r="I3219" s="1" t="s">
        <v>15</v>
      </c>
      <c r="J3219" s="1" t="str">
        <f>"42/42"</f>
        <v>42/42</v>
      </c>
      <c r="K3219" s="1" t="str">
        <f>"2026-07-29 14:20:00"</f>
        <v>2026-07-29 14:20:00</v>
      </c>
      <c r="L3219" s="1" t="str">
        <f>"2023-09-19 13:43:18"</f>
        <v>2023-09-19 13:43:18</v>
      </c>
      <c r="M3219" s="1" t="s">
        <v>4</v>
      </c>
      <c r="N3219" s="1" t="s">
        <v>38</v>
      </c>
      <c r="O3219" s="1" t="s">
        <v>46</v>
      </c>
    </row>
    <row r="3220" spans="2:15" x14ac:dyDescent="0.3">
      <c r="B3220" s="1" t="s">
        <v>23</v>
      </c>
      <c r="C3220" s="1" t="str">
        <f>"5-2차"</f>
        <v>5-2차</v>
      </c>
      <c r="D3220" s="1" t="str">
        <f>"0224F2035M"</f>
        <v>0224F2035M</v>
      </c>
      <c r="E3220" s="1" t="s">
        <v>10</v>
      </c>
      <c r="F3220" s="1" t="str">
        <f>"fde1:103:4:5966:0:0:0:2"</f>
        <v>fde1:103:4:5966:0:0:0:2</v>
      </c>
      <c r="G3220" s="1" t="str">
        <f>"0224F203"</f>
        <v>0224F203</v>
      </c>
      <c r="H3220" s="1" t="str">
        <f>"경마간 45L2"</f>
        <v>경마간 45L2</v>
      </c>
      <c r="I3220" s="1" t="s">
        <v>15</v>
      </c>
      <c r="J3220" s="1" t="str">
        <f>"67/70"</f>
        <v>67/70</v>
      </c>
      <c r="K3220" s="1" t="str">
        <f>"2026-07-29 14:21:05"</f>
        <v>2026-07-29 14:21:05</v>
      </c>
      <c r="L3220" s="1" t="str">
        <f>"2023-09-19 13:43:45"</f>
        <v>2023-09-19 13:43:45</v>
      </c>
      <c r="M3220" s="1" t="s">
        <v>4</v>
      </c>
      <c r="N3220" s="1" t="s">
        <v>38</v>
      </c>
      <c r="O3220" s="1" t="s">
        <v>46</v>
      </c>
    </row>
    <row r="3221" spans="2:15" x14ac:dyDescent="0.3">
      <c r="B3221" s="1" t="s">
        <v>23</v>
      </c>
      <c r="C3221" s="1" t="str">
        <f>"5-2차"</f>
        <v>5-2차</v>
      </c>
      <c r="D3221" s="1" t="str">
        <f>"0224F3025M"</f>
        <v>0224F3025M</v>
      </c>
      <c r="E3221" s="1" t="s">
        <v>10</v>
      </c>
      <c r="F3221" s="1" t="str">
        <f>"fde1:103:4:58ad:0:0:0:2"</f>
        <v>fde1:103:4:58ad:0:0:0:2</v>
      </c>
      <c r="G3221" s="1" t="str">
        <f>"0224F302"</f>
        <v>0224F302</v>
      </c>
      <c r="H3221" s="1" t="str">
        <f>"경마간 44L1"</f>
        <v>경마간 44L1</v>
      </c>
      <c r="I3221" s="1" t="s">
        <v>15</v>
      </c>
      <c r="J3221" s="1" t="str">
        <f>"114/123"</f>
        <v>114/123</v>
      </c>
      <c r="K3221" s="1" t="str">
        <f>"2026-07-29 14:20:36"</f>
        <v>2026-07-29 14:20:36</v>
      </c>
      <c r="L3221" s="1" t="str">
        <f>"2023-09-19 14:00:51"</f>
        <v>2023-09-19 14:00:51</v>
      </c>
      <c r="M3221" s="1" t="s">
        <v>4</v>
      </c>
      <c r="N3221" s="1" t="s">
        <v>38</v>
      </c>
      <c r="O3221" s="1" t="s">
        <v>46</v>
      </c>
    </row>
    <row r="3222" spans="2:15" x14ac:dyDescent="0.3">
      <c r="B3222" s="1" t="s">
        <v>23</v>
      </c>
      <c r="C3222" s="1" t="str">
        <f>"5-2차"</f>
        <v>5-2차</v>
      </c>
      <c r="D3222" s="1" t="str">
        <f>"0224F3035M"</f>
        <v>0224F3035M</v>
      </c>
      <c r="E3222" s="1" t="s">
        <v>10</v>
      </c>
      <c r="F3222" s="1" t="str">
        <f>"fde1:103:4:59c5:0:0:0:2"</f>
        <v>fde1:103:4:59c5:0:0:0:2</v>
      </c>
      <c r="G3222" s="1" t="str">
        <f>"0224F303"</f>
        <v>0224F303</v>
      </c>
      <c r="H3222" s="1" t="str">
        <f>"경마간 45H1"</f>
        <v>경마간 45H1</v>
      </c>
      <c r="I3222" s="1" t="s">
        <v>15</v>
      </c>
      <c r="J3222" s="1" t="str">
        <f>"33/33"</f>
        <v>33/33</v>
      </c>
      <c r="K3222" s="1" t="str">
        <f>"2026-07-29 14:20:35"</f>
        <v>2026-07-29 14:20:35</v>
      </c>
      <c r="L3222" s="1" t="str">
        <f>"2023-09-19 14:05:21"</f>
        <v>2023-09-19 14:05:21</v>
      </c>
      <c r="M3222" s="1" t="s">
        <v>4</v>
      </c>
      <c r="N3222" s="1" t="s">
        <v>38</v>
      </c>
      <c r="O3222" s="1" t="s">
        <v>46</v>
      </c>
    </row>
    <row r="3223" spans="2:15" x14ac:dyDescent="0.3">
      <c r="B3223" s="1" t="s">
        <v>23</v>
      </c>
      <c r="C3223" s="1" t="str">
        <f>"4차"</f>
        <v>4차</v>
      </c>
      <c r="D3223" s="1" t="str">
        <f>"0224F39244"</f>
        <v>0224F39244</v>
      </c>
      <c r="E3223" s="1" t="s">
        <v>10</v>
      </c>
      <c r="F3223" s="1" t="str">
        <f>"10.11.66.90"</f>
        <v>10.11.66.90</v>
      </c>
      <c r="G3223" s="1" t="str">
        <f>"0224F392"</f>
        <v>0224F392</v>
      </c>
      <c r="H3223" s="1" t="str">
        <f>"상원간 30"</f>
        <v>상원간 30</v>
      </c>
      <c r="I3223" s="1" t="s">
        <v>8</v>
      </c>
      <c r="J3223" s="1" t="str">
        <f>"24/35"</f>
        <v>24/35</v>
      </c>
      <c r="K3223" s="1" t="str">
        <f>"2026-07-29 13:18:02"</f>
        <v>2026-07-29 13:18:02</v>
      </c>
      <c r="L3223" s="1" t="str">
        <f>"2019-10-29 10:43:08"</f>
        <v>2019-10-29 10:43:08</v>
      </c>
      <c r="M3223" s="1" t="s">
        <v>2</v>
      </c>
      <c r="N3223" s="1" t="s">
        <v>38</v>
      </c>
      <c r="O3223" s="1" t="s">
        <v>46</v>
      </c>
    </row>
    <row r="3224" spans="2:15" x14ac:dyDescent="0.3">
      <c r="B3224" s="1" t="s">
        <v>23</v>
      </c>
      <c r="C3224" s="1" t="str">
        <f>"1차"</f>
        <v>1차</v>
      </c>
      <c r="D3224" s="1" t="str">
        <f>"0224F48101"</f>
        <v>0224F48101</v>
      </c>
      <c r="E3224" s="1" t="s">
        <v>10</v>
      </c>
      <c r="F3224" s="1" t="str">
        <f>"10.125.0.82"</f>
        <v>10.125.0.82</v>
      </c>
      <c r="G3224" s="1" t="str">
        <f>"0224F481"</f>
        <v>0224F481</v>
      </c>
      <c r="H3224" s="1" t="str">
        <f>"상원간 29"</f>
        <v>상원간 29</v>
      </c>
      <c r="I3224" s="1" t="s">
        <v>8</v>
      </c>
      <c r="J3224" s="1" t="str">
        <f>"9/9"</f>
        <v>9/9</v>
      </c>
      <c r="K3224" s="1" t="str">
        <f>"2026-07-29 13:18:02"</f>
        <v>2026-07-29 13:18:02</v>
      </c>
      <c r="L3224" s="1" t="str">
        <f>"2014-11-10 09:40:47"</f>
        <v>2014-11-10 09:40:47</v>
      </c>
      <c r="M3224" s="1" t="s">
        <v>45</v>
      </c>
      <c r="N3224" s="1" t="s">
        <v>38</v>
      </c>
      <c r="O3224" s="1" t="s">
        <v>46</v>
      </c>
    </row>
    <row r="3225" spans="2:15" x14ac:dyDescent="0.3">
      <c r="B3225" s="1" t="s">
        <v>23</v>
      </c>
      <c r="C3225" s="1" t="str">
        <f>"1차"</f>
        <v>1차</v>
      </c>
      <c r="D3225" s="1" t="str">
        <f>"0224F48200"</f>
        <v>0224F48200</v>
      </c>
      <c r="E3225" s="1" t="s">
        <v>10</v>
      </c>
      <c r="F3225" s="1" t="str">
        <f>"10.125.0.84"</f>
        <v>10.125.0.84</v>
      </c>
      <c r="G3225" s="1" t="str">
        <f>"0224F482"</f>
        <v>0224F482</v>
      </c>
      <c r="H3225" s="1" t="str">
        <f>"상원간 29L2"</f>
        <v>상원간 29L2</v>
      </c>
      <c r="I3225" s="1" t="s">
        <v>8</v>
      </c>
      <c r="J3225" s="1" t="str">
        <f>"18/20"</f>
        <v>18/20</v>
      </c>
      <c r="K3225" s="1" t="str">
        <f>"2026-07-29 13:18:01"</f>
        <v>2026-07-29 13:18:01</v>
      </c>
      <c r="L3225" s="1" t="str">
        <f>"2014-11-10 09:41:24"</f>
        <v>2014-11-10 09:41:24</v>
      </c>
      <c r="M3225" s="1" t="s">
        <v>45</v>
      </c>
      <c r="N3225" s="1" t="s">
        <v>38</v>
      </c>
      <c r="O3225" s="1" t="s">
        <v>46</v>
      </c>
    </row>
    <row r="3226" spans="2:15" x14ac:dyDescent="0.3">
      <c r="B3226" s="1" t="s">
        <v>23</v>
      </c>
      <c r="C3226" s="1" t="str">
        <f>"4차"</f>
        <v>4차</v>
      </c>
      <c r="D3226" s="1" t="str">
        <f>"0224F56144"</f>
        <v>0224F56144</v>
      </c>
      <c r="E3226" s="1" t="s">
        <v>10</v>
      </c>
      <c r="F3226" s="1" t="str">
        <f>"10.11.79.210"</f>
        <v>10.11.79.210</v>
      </c>
      <c r="G3226" s="1" t="str">
        <f>"0224F561"</f>
        <v>0224F561</v>
      </c>
      <c r="H3226" s="1" t="str">
        <f>"상원간 25L4R1"</f>
        <v>상원간 25L4R1</v>
      </c>
      <c r="I3226" s="1" t="s">
        <v>8</v>
      </c>
      <c r="J3226" s="1" t="str">
        <f>"91/91"</f>
        <v>91/91</v>
      </c>
      <c r="K3226" s="1" t="str">
        <f>"2026-07-29 13:18:02"</f>
        <v>2026-07-29 13:18:02</v>
      </c>
      <c r="L3226" s="1" t="str">
        <f>"2023-07-28 17:03:20"</f>
        <v>2023-07-28 17:03:20</v>
      </c>
      <c r="M3226" s="1" t="s">
        <v>2</v>
      </c>
      <c r="N3226" s="1" t="s">
        <v>38</v>
      </c>
      <c r="O3226" s="1" t="s">
        <v>46</v>
      </c>
    </row>
    <row r="3227" spans="2:15" x14ac:dyDescent="0.3">
      <c r="B3227" s="1" t="s">
        <v>23</v>
      </c>
      <c r="C3227" s="1" t="str">
        <f>"4차"</f>
        <v>4차</v>
      </c>
      <c r="D3227" s="1" t="str">
        <f>"0224F56444"</f>
        <v>0224F56444</v>
      </c>
      <c r="E3227" s="1" t="s">
        <v>10</v>
      </c>
      <c r="F3227" s="1" t="str">
        <f>"10.11.66.82"</f>
        <v>10.11.66.82</v>
      </c>
      <c r="G3227" s="1" t="str">
        <f>"0224F564"</f>
        <v>0224F564</v>
      </c>
      <c r="H3227" s="1" t="str">
        <f>"상원간 25L4R1L2"</f>
        <v>상원간 25L4R1L2</v>
      </c>
      <c r="I3227" s="1" t="s">
        <v>8</v>
      </c>
      <c r="J3227" s="1" t="str">
        <f>"59/59"</f>
        <v>59/59</v>
      </c>
      <c r="K3227" s="1" t="str">
        <f>"2026-07-29 13:18:02"</f>
        <v>2026-07-29 13:18:02</v>
      </c>
      <c r="L3227" s="1" t="str">
        <f>"2019-10-29 10:53:05"</f>
        <v>2019-10-29 10:53:05</v>
      </c>
      <c r="M3227" s="1" t="s">
        <v>2</v>
      </c>
      <c r="N3227" s="1" t="s">
        <v>38</v>
      </c>
      <c r="O3227" s="1" t="s">
        <v>46</v>
      </c>
    </row>
    <row r="3228" spans="2:15" x14ac:dyDescent="0.3">
      <c r="B3228" s="1" t="s">
        <v>23</v>
      </c>
      <c r="C3228" s="1" t="str">
        <f>"1차"</f>
        <v>1차</v>
      </c>
      <c r="D3228" s="1" t="str">
        <f>"0224F58400"</f>
        <v>0224F58400</v>
      </c>
      <c r="E3228" s="1" t="s">
        <v>10</v>
      </c>
      <c r="F3228" s="1" t="str">
        <f>"10.125.6.194"</f>
        <v>10.125.6.194</v>
      </c>
      <c r="G3228" s="1" t="str">
        <f>"0224F584"</f>
        <v>0224F584</v>
      </c>
      <c r="H3228" s="1" t="str">
        <f>"상원간 28"</f>
        <v>상원간 28</v>
      </c>
      <c r="I3228" s="1" t="s">
        <v>8</v>
      </c>
      <c r="J3228" s="1" t="str">
        <f>"26/30"</f>
        <v>26/30</v>
      </c>
      <c r="K3228" s="1" t="str">
        <f>"2026-07-29 13:18:03"</f>
        <v>2026-07-29 13:18:03</v>
      </c>
      <c r="L3228" s="1" t="str">
        <f>"2022-09-13 13:15:33"</f>
        <v>2022-09-13 13:15:33</v>
      </c>
      <c r="M3228" s="1" t="s">
        <v>45</v>
      </c>
      <c r="N3228" s="1" t="s">
        <v>38</v>
      </c>
      <c r="O3228" s="1" t="s">
        <v>46</v>
      </c>
    </row>
    <row r="3229" spans="2:15" x14ac:dyDescent="0.3">
      <c r="B3229" s="1" t="s">
        <v>23</v>
      </c>
      <c r="C3229" s="1" t="str">
        <f>"4차"</f>
        <v>4차</v>
      </c>
      <c r="D3229" s="1" t="str">
        <f>"0224F59244"</f>
        <v>0224F59244</v>
      </c>
      <c r="E3229" s="1" t="s">
        <v>10</v>
      </c>
      <c r="F3229" s="1" t="str">
        <f>"10.11.66.202"</f>
        <v>10.11.66.202</v>
      </c>
      <c r="G3229" s="1" t="str">
        <f>"0224F592"</f>
        <v>0224F592</v>
      </c>
      <c r="H3229" s="1" t="str">
        <f>"성지간 31L4L1R2"</f>
        <v>성지간 31L4L1R2</v>
      </c>
      <c r="I3229" s="1" t="s">
        <v>8</v>
      </c>
      <c r="J3229" s="1" t="str">
        <f>"5/5"</f>
        <v>5/5</v>
      </c>
      <c r="K3229" s="1" t="str">
        <f>"2026-07-29 13:18:02"</f>
        <v>2026-07-29 13:18:02</v>
      </c>
      <c r="L3229" s="1" t="str">
        <f>"2019-10-29 10:53:05"</f>
        <v>2019-10-29 10:53:05</v>
      </c>
      <c r="M3229" s="1" t="s">
        <v>2</v>
      </c>
      <c r="N3229" s="1" t="s">
        <v>38</v>
      </c>
      <c r="O3229" s="1" t="s">
        <v>46</v>
      </c>
    </row>
    <row r="3230" spans="2:15" x14ac:dyDescent="0.3">
      <c r="B3230" s="1" t="s">
        <v>23</v>
      </c>
      <c r="C3230" s="1" t="str">
        <f>"4차"</f>
        <v>4차</v>
      </c>
      <c r="D3230" s="1" t="str">
        <f>"0224F67144"</f>
        <v>0224F67144</v>
      </c>
      <c r="E3230" s="1" t="s">
        <v>10</v>
      </c>
      <c r="F3230" s="1" t="str">
        <f>"10.125.0.90"</f>
        <v>10.125.0.90</v>
      </c>
      <c r="G3230" s="1" t="str">
        <f>"0224F671"</f>
        <v>0224F671</v>
      </c>
      <c r="H3230" s="1" t="str">
        <f>"상원간 25L2"</f>
        <v>상원간 25L2</v>
      </c>
      <c r="I3230" s="1" t="s">
        <v>8</v>
      </c>
      <c r="J3230" s="1" t="str">
        <f>"22/22"</f>
        <v>22/22</v>
      </c>
      <c r="K3230" s="1" t="str">
        <f>"2026-07-29 13:18:01"</f>
        <v>2026-07-29 13:18:01</v>
      </c>
      <c r="L3230" s="1" t="str">
        <f>"2023-07-07 17:04:26"</f>
        <v>2023-07-07 17:04:26</v>
      </c>
      <c r="M3230" s="1" t="s">
        <v>45</v>
      </c>
      <c r="N3230" s="1" t="s">
        <v>38</v>
      </c>
      <c r="O3230" s="1" t="s">
        <v>46</v>
      </c>
    </row>
    <row r="3231" spans="2:15" x14ac:dyDescent="0.3">
      <c r="B3231" s="1" t="s">
        <v>23</v>
      </c>
      <c r="C3231" s="1" t="str">
        <f>"4차"</f>
        <v>4차</v>
      </c>
      <c r="D3231" s="1" t="str">
        <f>"0224F67344"</f>
        <v>0224F67344</v>
      </c>
      <c r="E3231" s="1" t="s">
        <v>10</v>
      </c>
      <c r="F3231" s="1" t="str">
        <f>"10.11.79.218"</f>
        <v>10.11.79.218</v>
      </c>
      <c r="G3231" s="1" t="str">
        <f>"0224F673"</f>
        <v>0224F673</v>
      </c>
      <c r="H3231" s="1" t="str">
        <f>"상원간 25L3R1"</f>
        <v>상원간 25L3R1</v>
      </c>
      <c r="I3231" s="1" t="s">
        <v>8</v>
      </c>
      <c r="J3231" s="1" t="str">
        <f>"32/32"</f>
        <v>32/32</v>
      </c>
      <c r="K3231" s="1" t="str">
        <f>"2026-07-29 13:18:02"</f>
        <v>2026-07-29 13:18:02</v>
      </c>
      <c r="L3231" s="1" t="str">
        <f>"2023-08-09 17:27:44"</f>
        <v>2023-08-09 17:27:44</v>
      </c>
      <c r="M3231" s="1" t="s">
        <v>2</v>
      </c>
      <c r="N3231" s="1" t="s">
        <v>38</v>
      </c>
      <c r="O3231" s="1" t="s">
        <v>46</v>
      </c>
    </row>
    <row r="3232" spans="2:15" x14ac:dyDescent="0.3">
      <c r="B3232" s="1" t="s">
        <v>23</v>
      </c>
      <c r="C3232" s="1" t="str">
        <f>"4차"</f>
        <v>4차</v>
      </c>
      <c r="D3232" s="1" t="str">
        <f>"0224F69144"</f>
        <v>0224F69144</v>
      </c>
      <c r="E3232" s="1" t="s">
        <v>10</v>
      </c>
      <c r="F3232" s="1" t="str">
        <f>"10.11.66.194"</f>
        <v>10.11.66.194</v>
      </c>
      <c r="G3232" s="1" t="str">
        <f>"0224F691"</f>
        <v>0224F691</v>
      </c>
      <c r="H3232" s="1" t="str">
        <f>"성지간 31L4L1R1"</f>
        <v>성지간 31L4L1R1</v>
      </c>
      <c r="I3232" s="1" t="s">
        <v>8</v>
      </c>
      <c r="J3232" s="1" t="str">
        <f>"18/18"</f>
        <v>18/18</v>
      </c>
      <c r="K3232" s="1" t="str">
        <f>"2026-07-29 13:18:02"</f>
        <v>2026-07-29 13:18:02</v>
      </c>
      <c r="L3232" s="1" t="str">
        <f>"2019-10-29 10:53:05"</f>
        <v>2019-10-29 10:53:05</v>
      </c>
      <c r="M3232" s="1" t="s">
        <v>2</v>
      </c>
      <c r="N3232" s="1" t="s">
        <v>38</v>
      </c>
      <c r="O3232" s="1" t="s">
        <v>46</v>
      </c>
    </row>
    <row r="3233" spans="2:15" x14ac:dyDescent="0.3">
      <c r="B3233" s="1" t="s">
        <v>23</v>
      </c>
      <c r="C3233" s="1" t="str">
        <f>"1차"</f>
        <v>1차</v>
      </c>
      <c r="D3233" s="1" t="str">
        <f>"0224F77101"</f>
        <v>0224F77101</v>
      </c>
      <c r="E3233" s="1" t="s">
        <v>10</v>
      </c>
      <c r="F3233" s="1" t="str">
        <f>"10.14.14.31"</f>
        <v>10.14.14.31</v>
      </c>
      <c r="G3233" s="1" t="str">
        <f>"0224F771"</f>
        <v>0224F771</v>
      </c>
      <c r="H3233" s="1" t="str">
        <f>"상원간 24"</f>
        <v>상원간 24</v>
      </c>
      <c r="I3233" s="1" t="s">
        <v>8</v>
      </c>
      <c r="J3233" s="1" t="str">
        <f>"13/13"</f>
        <v>13/13</v>
      </c>
      <c r="K3233" s="1" t="str">
        <f>"2026-07-29 13:18:01"</f>
        <v>2026-07-29 13:18:01</v>
      </c>
      <c r="L3233" s="1" t="str">
        <f>"2014-11-10 09:56:54"</f>
        <v>2014-11-10 09:56:54</v>
      </c>
      <c r="M3233" s="1" t="s">
        <v>3</v>
      </c>
      <c r="N3233" s="1" t="s">
        <v>38</v>
      </c>
      <c r="O3233" s="1" t="s">
        <v>46</v>
      </c>
    </row>
    <row r="3234" spans="2:15" x14ac:dyDescent="0.3">
      <c r="B3234" s="1" t="s">
        <v>23</v>
      </c>
      <c r="C3234" s="1" t="str">
        <f>"4차"</f>
        <v>4차</v>
      </c>
      <c r="D3234" s="1" t="str">
        <f>"0224F79144"</f>
        <v>0224F79144</v>
      </c>
      <c r="E3234" s="1" t="s">
        <v>10</v>
      </c>
      <c r="F3234" s="1" t="str">
        <f>"10.11.76.210"</f>
        <v>10.11.76.210</v>
      </c>
      <c r="G3234" s="1" t="str">
        <f>"0224F791"</f>
        <v>0224F791</v>
      </c>
      <c r="H3234" s="1" t="str">
        <f>"성지간 31L4L1"</f>
        <v>성지간 31L4L1</v>
      </c>
      <c r="I3234" s="1" t="s">
        <v>8</v>
      </c>
      <c r="J3234" s="1" t="str">
        <f>"9/15"</f>
        <v>9/15</v>
      </c>
      <c r="K3234" s="1" t="str">
        <f>"2026-07-29 13:18:02"</f>
        <v>2026-07-29 13:18:02</v>
      </c>
      <c r="L3234" s="1" t="str">
        <f>"2019-10-29 10:53:05"</f>
        <v>2019-10-29 10:53:05</v>
      </c>
      <c r="M3234" s="1" t="s">
        <v>2</v>
      </c>
      <c r="N3234" s="1" t="s">
        <v>38</v>
      </c>
      <c r="O3234" s="1" t="s">
        <v>46</v>
      </c>
    </row>
    <row r="3235" spans="2:15" x14ac:dyDescent="0.3">
      <c r="B3235" s="1" t="s">
        <v>23</v>
      </c>
      <c r="C3235" s="1" t="str">
        <f>"5-2차"</f>
        <v>5-2차</v>
      </c>
      <c r="D3235" s="1" t="str">
        <f>"0224F8125S"</f>
        <v>0224F8125S</v>
      </c>
      <c r="E3235" s="1" t="s">
        <v>10</v>
      </c>
      <c r="F3235" s="1" t="str">
        <f>"fde1:103:4:5a5a:0:0:0:2"</f>
        <v>fde1:103:4:5a5a:0:0:0:2</v>
      </c>
      <c r="G3235" s="1" t="str">
        <f>"0224F812"</f>
        <v>0224F812</v>
      </c>
      <c r="H3235" s="1" t="str">
        <f>"상원간 29L14L3R2"</f>
        <v>상원간 29L14L3R2</v>
      </c>
      <c r="I3235" s="1" t="s">
        <v>15</v>
      </c>
      <c r="J3235" s="1" t="str">
        <f>"42/42"</f>
        <v>42/42</v>
      </c>
      <c r="K3235" s="1" t="str">
        <f>"2026-07-29 14:20:00"</f>
        <v>2026-07-29 14:20:00</v>
      </c>
      <c r="L3235" s="1" t="str">
        <f>"2023-09-19 14:22:24"</f>
        <v>2023-09-19 14:22:24</v>
      </c>
      <c r="M3235" s="1" t="s">
        <v>4</v>
      </c>
      <c r="N3235" s="1" t="s">
        <v>38</v>
      </c>
      <c r="O3235" s="1" t="s">
        <v>46</v>
      </c>
    </row>
    <row r="3236" spans="2:15" x14ac:dyDescent="0.3">
      <c r="B3236" s="1" t="s">
        <v>23</v>
      </c>
      <c r="C3236" s="1" t="str">
        <f>"1차"</f>
        <v>1차</v>
      </c>
      <c r="D3236" s="1" t="str">
        <f>"0224F82300"</f>
        <v>0224F82300</v>
      </c>
      <c r="E3236" s="1" t="s">
        <v>10</v>
      </c>
      <c r="F3236" s="1" t="str">
        <f>"10.125.5.26"</f>
        <v>10.125.5.26</v>
      </c>
      <c r="G3236" s="1" t="str">
        <f>"0224F823"</f>
        <v>0224F823</v>
      </c>
      <c r="H3236" s="1" t="str">
        <f>"상원간 29L14L5"</f>
        <v>상원간 29L14L5</v>
      </c>
      <c r="I3236" s="1" t="s">
        <v>8</v>
      </c>
      <c r="J3236" s="1" t="str">
        <f>"59/59"</f>
        <v>59/59</v>
      </c>
      <c r="K3236" s="1" t="str">
        <f>"2026-07-29 13:18:03"</f>
        <v>2026-07-29 13:18:03</v>
      </c>
      <c r="L3236" s="1" t="str">
        <f>"2014-11-12 16:56:36"</f>
        <v>2014-11-12 16:56:36</v>
      </c>
      <c r="M3236" s="1" t="s">
        <v>45</v>
      </c>
      <c r="N3236" s="1" t="s">
        <v>38</v>
      </c>
      <c r="O3236" s="1" t="s">
        <v>46</v>
      </c>
    </row>
    <row r="3237" spans="2:15" x14ac:dyDescent="0.3">
      <c r="B3237" s="1" t="s">
        <v>23</v>
      </c>
      <c r="C3237" s="1" t="str">
        <f>"5-2차"</f>
        <v>5-2차</v>
      </c>
      <c r="D3237" s="1" t="str">
        <f>"0224G1735M"</f>
        <v>0224G1735M</v>
      </c>
      <c r="E3237" s="1" t="s">
        <v>10</v>
      </c>
      <c r="F3237" s="1" t="str">
        <f>"fde1:103:4:5940:0:0:0:2"</f>
        <v>fde1:103:4:5940:0:0:0:2</v>
      </c>
      <c r="G3237" s="1" t="str">
        <f>"0224G173"</f>
        <v>0224G173</v>
      </c>
      <c r="H3237" s="1" t="str">
        <f>"영동간 41L6L2"</f>
        <v>영동간 41L6L2</v>
      </c>
      <c r="I3237" s="1" t="s">
        <v>15</v>
      </c>
      <c r="J3237" s="1" t="str">
        <f>"73/73"</f>
        <v>73/73</v>
      </c>
      <c r="K3237" s="1" t="str">
        <f>"2026-07-29 14:20:36"</f>
        <v>2026-07-29 14:20:36</v>
      </c>
      <c r="L3237" s="1" t="str">
        <f>"2023-09-19 14:39:19"</f>
        <v>2023-09-19 14:39:19</v>
      </c>
      <c r="M3237" s="1" t="s">
        <v>4</v>
      </c>
      <c r="N3237" s="1" t="s">
        <v>38</v>
      </c>
      <c r="O3237" s="1" t="s">
        <v>46</v>
      </c>
    </row>
    <row r="3238" spans="2:15" x14ac:dyDescent="0.3">
      <c r="B3238" s="1" t="s">
        <v>23</v>
      </c>
      <c r="C3238" s="1" t="str">
        <f>"4차"</f>
        <v>4차</v>
      </c>
      <c r="D3238" s="1" t="str">
        <f>"0224G18144"</f>
        <v>0224G18144</v>
      </c>
      <c r="E3238" s="1" t="s">
        <v>10</v>
      </c>
      <c r="F3238" s="1" t="str">
        <f>"10.11.79.226"</f>
        <v>10.11.79.226</v>
      </c>
      <c r="G3238" s="1" t="str">
        <f>"0224G181"</f>
        <v>0224G181</v>
      </c>
      <c r="H3238" s="1" t="str">
        <f>"영동간 41L4"</f>
        <v>영동간 41L4</v>
      </c>
      <c r="I3238" s="1" t="s">
        <v>8</v>
      </c>
      <c r="J3238" s="1" t="str">
        <f>"22/22"</f>
        <v>22/22</v>
      </c>
      <c r="K3238" s="1" t="str">
        <f>"2026-07-29 13:18:02"</f>
        <v>2026-07-29 13:18:02</v>
      </c>
      <c r="L3238" s="1" t="str">
        <f>"2023-09-20 17:16:16"</f>
        <v>2023-09-20 17:16:16</v>
      </c>
      <c r="M3238" s="1" t="s">
        <v>2</v>
      </c>
      <c r="N3238" s="1" t="s">
        <v>38</v>
      </c>
      <c r="O3238" s="1" t="s">
        <v>46</v>
      </c>
    </row>
    <row r="3239" spans="2:15" x14ac:dyDescent="0.3">
      <c r="B3239" s="1" t="s">
        <v>23</v>
      </c>
      <c r="C3239" s="1" t="str">
        <f>"1차"</f>
        <v>1차</v>
      </c>
      <c r="D3239" s="1" t="str">
        <f>"0224G18200"</f>
        <v>0224G18200</v>
      </c>
      <c r="E3239" s="1" t="s">
        <v>10</v>
      </c>
      <c r="F3239" s="1" t="str">
        <f>"10.125.0.106"</f>
        <v>10.125.0.106</v>
      </c>
      <c r="G3239" s="1" t="str">
        <f>"0224G182"</f>
        <v>0224G182</v>
      </c>
      <c r="H3239" s="1" t="str">
        <f>"영동간 41L5"</f>
        <v>영동간 41L5</v>
      </c>
      <c r="I3239" s="1" t="s">
        <v>8</v>
      </c>
      <c r="J3239" s="1" t="str">
        <f>"37/41"</f>
        <v>37/41</v>
      </c>
      <c r="K3239" s="1" t="str">
        <f>"2026-07-29 13:18:03"</f>
        <v>2026-07-29 13:18:03</v>
      </c>
      <c r="L3239" s="1" t="str">
        <f>"2014-11-08 09:41:52"</f>
        <v>2014-11-08 09:41:52</v>
      </c>
      <c r="M3239" s="1" t="s">
        <v>45</v>
      </c>
      <c r="N3239" s="1" t="s">
        <v>38</v>
      </c>
      <c r="O3239" s="1" t="s">
        <v>46</v>
      </c>
    </row>
    <row r="3240" spans="2:15" x14ac:dyDescent="0.3">
      <c r="B3240" s="1" t="s">
        <v>23</v>
      </c>
      <c r="C3240" s="1" t="str">
        <f>"4차"</f>
        <v>4차</v>
      </c>
      <c r="D3240" s="1" t="str">
        <f>"0224G19144"</f>
        <v>0224G19144</v>
      </c>
      <c r="E3240" s="1" t="s">
        <v>10</v>
      </c>
      <c r="F3240" s="1" t="str">
        <f>"10.125.113.35"</f>
        <v>10.125.113.35</v>
      </c>
      <c r="G3240" s="1" t="str">
        <f>"0224G191"</f>
        <v>0224G191</v>
      </c>
      <c r="H3240" s="1" t="str">
        <f>"영동간 41L2"</f>
        <v>영동간 41L2</v>
      </c>
      <c r="I3240" s="1" t="s">
        <v>8</v>
      </c>
      <c r="J3240" s="1" t="str">
        <f>"55/57"</f>
        <v>55/57</v>
      </c>
      <c r="K3240" s="1" t="str">
        <f>"2026-07-29 13:18:03"</f>
        <v>2026-07-29 13:18:03</v>
      </c>
      <c r="L3240" s="1" t="str">
        <f>"2023-07-07 16:41:09"</f>
        <v>2023-07-07 16:41:09</v>
      </c>
      <c r="M3240" s="1" t="s">
        <v>45</v>
      </c>
      <c r="N3240" s="1" t="s">
        <v>38</v>
      </c>
      <c r="O3240" s="1" t="s">
        <v>46</v>
      </c>
    </row>
    <row r="3241" spans="2:15" x14ac:dyDescent="0.3">
      <c r="B3241" s="1" t="s">
        <v>23</v>
      </c>
      <c r="C3241" s="1" t="str">
        <f>"5-1차"</f>
        <v>5-1차</v>
      </c>
      <c r="D3241" s="1" t="str">
        <f>"0224G2815S"</f>
        <v>0224G2815S</v>
      </c>
      <c r="E3241" s="1" t="s">
        <v>10</v>
      </c>
      <c r="F3241" s="1" t="str">
        <f>"fde3:102:1440:7300:0:0:0:3"</f>
        <v>fde3:102:1440:7300:0:0:0:3</v>
      </c>
      <c r="G3241" s="1" t="str">
        <f>"0224G281"</f>
        <v>0224G281</v>
      </c>
      <c r="H3241" s="1" t="str">
        <f>"영동간 38L4R3"</f>
        <v>영동간 38L4R3</v>
      </c>
      <c r="I3241" s="1" t="s">
        <v>15</v>
      </c>
      <c r="J3241" s="1" t="str">
        <f>"54/54"</f>
        <v>54/54</v>
      </c>
      <c r="K3241" s="1" t="str">
        <f>"2026-07-29 14:20:23"</f>
        <v>2026-07-29 14:20:23</v>
      </c>
      <c r="L3241" s="1" t="str">
        <f>"2022-11-04 15:31:57"</f>
        <v>2022-11-04 15:31:57</v>
      </c>
      <c r="M3241" s="1" t="s">
        <v>45</v>
      </c>
      <c r="N3241" s="1" t="s">
        <v>38</v>
      </c>
      <c r="O3241" s="1" t="s">
        <v>46</v>
      </c>
    </row>
    <row r="3242" spans="2:15" x14ac:dyDescent="0.3">
      <c r="B3242" s="1" t="s">
        <v>23</v>
      </c>
      <c r="C3242" s="1" t="str">
        <f>"5-2차"</f>
        <v>5-2차</v>
      </c>
      <c r="D3242" s="1" t="str">
        <f>"0224G3615S"</f>
        <v>0224G3615S</v>
      </c>
      <c r="E3242" s="1" t="s">
        <v>10</v>
      </c>
      <c r="F3242" s="1" t="str">
        <f>"fde1:103:4:587f:0:0:0:2"</f>
        <v>fde1:103:4:587f:0:0:0:2</v>
      </c>
      <c r="G3242" s="1" t="str">
        <f>"0224G361"</f>
        <v>0224G361</v>
      </c>
      <c r="H3242" s="1" t="str">
        <f>"영동간 38L6"</f>
        <v>영동간 38L6</v>
      </c>
      <c r="I3242" s="1" t="s">
        <v>15</v>
      </c>
      <c r="J3242" s="1" t="str">
        <f>"40/40"</f>
        <v>40/40</v>
      </c>
      <c r="K3242" s="1" t="str">
        <f>"2026-07-29 14:20:19"</f>
        <v>2026-07-29 14:20:19</v>
      </c>
      <c r="L3242" s="1" t="str">
        <f>"2023-09-19 14:39:48"</f>
        <v>2023-09-19 14:39:48</v>
      </c>
      <c r="M3242" s="1" t="s">
        <v>4</v>
      </c>
      <c r="N3242" s="1" t="s">
        <v>38</v>
      </c>
      <c r="O3242" s="1" t="s">
        <v>46</v>
      </c>
    </row>
    <row r="3243" spans="2:15" x14ac:dyDescent="0.3">
      <c r="B3243" s="1" t="s">
        <v>23</v>
      </c>
      <c r="C3243" s="1" t="str">
        <f>"5-1차"</f>
        <v>5-1차</v>
      </c>
      <c r="D3243" s="1" t="str">
        <f>"0224G3745M"</f>
        <v>0224G3745M</v>
      </c>
      <c r="E3243" s="1" t="s">
        <v>10</v>
      </c>
      <c r="F3243" s="1" t="str">
        <f>"fde3:102:1440:7300:0:0:0:2"</f>
        <v>fde3:102:1440:7300:0:0:0:2</v>
      </c>
      <c r="G3243" s="1" t="str">
        <f>"0224G374"</f>
        <v>0224G374</v>
      </c>
      <c r="H3243" s="1" t="str">
        <f>"영동간 38L5"</f>
        <v>영동간 38L5</v>
      </c>
      <c r="I3243" s="1" t="s">
        <v>15</v>
      </c>
      <c r="J3243" s="1" t="str">
        <f>"32/32"</f>
        <v>32/32</v>
      </c>
      <c r="K3243" s="1" t="str">
        <f>"2026-07-29 14:20:37"</f>
        <v>2026-07-29 14:20:37</v>
      </c>
      <c r="L3243" s="1" t="str">
        <f>"2022-11-07 19:13:34"</f>
        <v>2022-11-07 19:13:34</v>
      </c>
      <c r="M3243" s="1" t="s">
        <v>45</v>
      </c>
      <c r="N3243" s="1" t="s">
        <v>38</v>
      </c>
      <c r="O3243" s="1" t="s">
        <v>46</v>
      </c>
    </row>
    <row r="3244" spans="2:15" x14ac:dyDescent="0.3">
      <c r="B3244" s="1" t="s">
        <v>23</v>
      </c>
      <c r="C3244" s="1" t="str">
        <f>"5-2차"</f>
        <v>5-2차</v>
      </c>
      <c r="D3244" s="1" t="str">
        <f>"0224G3825M"</f>
        <v>0224G3825M</v>
      </c>
      <c r="E3244" s="1" t="s">
        <v>10</v>
      </c>
      <c r="F3244" s="1" t="str">
        <f>"fde1:103:4:5790:0:0:0:2"</f>
        <v>fde1:103:4:5790:0:0:0:2</v>
      </c>
      <c r="G3244" s="1" t="str">
        <f>"0224G382"</f>
        <v>0224G382</v>
      </c>
      <c r="H3244" s="1" t="str">
        <f>"영동간 38L4"</f>
        <v>영동간 38L4</v>
      </c>
      <c r="I3244" s="1" t="s">
        <v>15</v>
      </c>
      <c r="J3244" s="1" t="str">
        <f>"32/33"</f>
        <v>32/33</v>
      </c>
      <c r="K3244" s="1" t="str">
        <f>"2026-07-29 14:20:23"</f>
        <v>2026-07-29 14:20:23</v>
      </c>
      <c r="L3244" s="1" t="str">
        <f>"2023-09-19 14:51:42"</f>
        <v>2023-09-19 14:51:42</v>
      </c>
      <c r="M3244" s="1" t="s">
        <v>4</v>
      </c>
      <c r="N3244" s="1" t="s">
        <v>38</v>
      </c>
      <c r="O3244" s="1" t="s">
        <v>46</v>
      </c>
    </row>
    <row r="3245" spans="2:15" x14ac:dyDescent="0.3">
      <c r="B3245" s="1" t="s">
        <v>23</v>
      </c>
      <c r="C3245" s="1" t="str">
        <f>"5-1차"</f>
        <v>5-1차</v>
      </c>
      <c r="D3245" s="1" t="str">
        <f>"0224G3835S"</f>
        <v>0224G3835S</v>
      </c>
      <c r="E3245" s="1" t="s">
        <v>10</v>
      </c>
      <c r="F3245" s="1" t="str">
        <f>"fde3:102:1440:7300:0:0:0:5"</f>
        <v>fde3:102:1440:7300:0:0:0:5</v>
      </c>
      <c r="G3245" s="1" t="str">
        <f>"0224G383"</f>
        <v>0224G383</v>
      </c>
      <c r="H3245" s="1" t="str">
        <f>"영동간 38L4R1"</f>
        <v>영동간 38L4R1</v>
      </c>
      <c r="I3245" s="1" t="s">
        <v>15</v>
      </c>
      <c r="J3245" s="1" t="str">
        <f>"25/25"</f>
        <v>25/25</v>
      </c>
      <c r="K3245" s="1" t="str">
        <f>"2026-07-29 14:20:38"</f>
        <v>2026-07-29 14:20:38</v>
      </c>
      <c r="L3245" s="1" t="str">
        <f>"2022-11-04 15:42:49"</f>
        <v>2022-11-04 15:42:49</v>
      </c>
      <c r="M3245" s="1" t="s">
        <v>45</v>
      </c>
      <c r="N3245" s="1" t="s">
        <v>38</v>
      </c>
      <c r="O3245" s="1" t="s">
        <v>46</v>
      </c>
    </row>
    <row r="3246" spans="2:15" x14ac:dyDescent="0.3">
      <c r="B3246" s="1" t="s">
        <v>23</v>
      </c>
      <c r="C3246" s="1" t="str">
        <f>"6차"</f>
        <v>6차</v>
      </c>
      <c r="D3246" s="1" t="str">
        <f>"0224G3916S"</f>
        <v>0224G3916S</v>
      </c>
      <c r="E3246" s="1" t="s">
        <v>10</v>
      </c>
      <c r="F3246" s="1" t="str">
        <f>"fde1:103:4:c6f5:0:0:0:2"</f>
        <v>fde1:103:4:c6f5:0:0:0:2</v>
      </c>
      <c r="G3246" s="1" t="str">
        <f>"0224G391"</f>
        <v>0224G391</v>
      </c>
      <c r="H3246" s="1" t="str">
        <f>"영동간 39"</f>
        <v>영동간 39</v>
      </c>
      <c r="I3246" s="1" t="s">
        <v>15</v>
      </c>
      <c r="J3246" s="1" t="str">
        <f>"27/27"</f>
        <v>27/27</v>
      </c>
      <c r="K3246" s="1" t="str">
        <f>"2026-07-29 08:20:21"</f>
        <v>2026-07-29 08:20:21</v>
      </c>
      <c r="L3246" s="1" t="str">
        <f>"2024-11-18 11:04:58"</f>
        <v>2024-11-18 11:04:58</v>
      </c>
      <c r="M3246" s="1" t="s">
        <v>4</v>
      </c>
      <c r="N3246" s="1" t="s">
        <v>38</v>
      </c>
      <c r="O3246" s="1" t="s">
        <v>46</v>
      </c>
    </row>
    <row r="3247" spans="2:15" x14ac:dyDescent="0.3">
      <c r="B3247" s="1" t="s">
        <v>23</v>
      </c>
      <c r="C3247" s="1" t="str">
        <f>"5-2차"</f>
        <v>5-2차</v>
      </c>
      <c r="D3247" s="1" t="str">
        <f>"0224G4615M"</f>
        <v>0224G4615M</v>
      </c>
      <c r="E3247" s="1" t="s">
        <v>10</v>
      </c>
      <c r="F3247" s="1" t="str">
        <f>"fde1:103:4:592f:0:0:0:2"</f>
        <v>fde1:103:4:592f:0:0:0:2</v>
      </c>
      <c r="G3247" s="1" t="str">
        <f>"0224G461"</f>
        <v>0224G461</v>
      </c>
      <c r="H3247" s="1" t="str">
        <f>"영동간 35L5"</f>
        <v>영동간 35L5</v>
      </c>
      <c r="I3247" s="1" t="s">
        <v>15</v>
      </c>
      <c r="J3247" s="1" t="str">
        <f>"47/48"</f>
        <v>47/48</v>
      </c>
      <c r="K3247" s="1" t="str">
        <f>"2026-07-29 14:20:37"</f>
        <v>2026-07-29 14:20:37</v>
      </c>
      <c r="L3247" s="1" t="str">
        <f>"2023-09-19 14:53:19"</f>
        <v>2023-09-19 14:53:19</v>
      </c>
      <c r="M3247" s="1" t="s">
        <v>4</v>
      </c>
      <c r="N3247" s="1" t="s">
        <v>38</v>
      </c>
      <c r="O3247" s="1" t="s">
        <v>46</v>
      </c>
    </row>
    <row r="3248" spans="2:15" x14ac:dyDescent="0.3">
      <c r="B3248" s="1" t="s">
        <v>23</v>
      </c>
      <c r="C3248" s="1" t="str">
        <f>"3차"</f>
        <v>3차</v>
      </c>
      <c r="D3248" s="1" t="str">
        <f>"0224G46339"</f>
        <v>0224G46339</v>
      </c>
      <c r="E3248" s="1" t="s">
        <v>10</v>
      </c>
      <c r="F3248" s="1" t="str">
        <f>"10.14.1.35"</f>
        <v>10.14.1.35</v>
      </c>
      <c r="G3248" s="1" t="str">
        <f>"0224G463"</f>
        <v>0224G463</v>
      </c>
      <c r="H3248" s="1" t="str">
        <f>"영동간 35L4"</f>
        <v>영동간 35L4</v>
      </c>
      <c r="I3248" s="1" t="s">
        <v>8</v>
      </c>
      <c r="J3248" s="1" t="str">
        <f>"52/52"</f>
        <v>52/52</v>
      </c>
      <c r="K3248" s="1" t="str">
        <f>"2026-07-29 13:18:01"</f>
        <v>2026-07-29 13:18:01</v>
      </c>
      <c r="L3248" s="1" t="str">
        <f>"2024-03-07 14:15:12"</f>
        <v>2024-03-07 14:15:12</v>
      </c>
      <c r="M3248" s="1" t="s">
        <v>3</v>
      </c>
      <c r="N3248" s="1" t="s">
        <v>38</v>
      </c>
      <c r="O3248" s="1" t="s">
        <v>46</v>
      </c>
    </row>
    <row r="3249" spans="2:15" x14ac:dyDescent="0.3">
      <c r="B3249" s="1" t="s">
        <v>23</v>
      </c>
      <c r="C3249" s="1" t="str">
        <f>"4차"</f>
        <v>4차</v>
      </c>
      <c r="D3249" s="1" t="str">
        <f>"0224G49142"</f>
        <v>0224G49142</v>
      </c>
      <c r="E3249" s="1" t="s">
        <v>10</v>
      </c>
      <c r="F3249" s="1" t="str">
        <f>"10.125.0.114"</f>
        <v>10.125.0.114</v>
      </c>
      <c r="G3249" s="1" t="str">
        <f>"0224G491"</f>
        <v>0224G491</v>
      </c>
      <c r="H3249" s="1" t="str">
        <f>"영동간 38"</f>
        <v>영동간 38</v>
      </c>
      <c r="I3249" s="1" t="s">
        <v>8</v>
      </c>
      <c r="J3249" s="1" t="str">
        <f>"7/7"</f>
        <v>7/7</v>
      </c>
      <c r="K3249" s="1" t="str">
        <f>"2026-07-29 13:18:02"</f>
        <v>2026-07-29 13:18:02</v>
      </c>
      <c r="L3249" s="1" t="str">
        <f>"2025-06-27 08:10:19"</f>
        <v>2025-06-27 08:10:19</v>
      </c>
      <c r="M3249" s="1" t="s">
        <v>45</v>
      </c>
      <c r="N3249" s="1" t="s">
        <v>38</v>
      </c>
      <c r="O3249" s="1" t="s">
        <v>46</v>
      </c>
    </row>
    <row r="3250" spans="2:15" x14ac:dyDescent="0.3">
      <c r="B3250" s="1" t="s">
        <v>23</v>
      </c>
      <c r="C3250" s="1" t="str">
        <f>"1차"</f>
        <v>1차</v>
      </c>
      <c r="D3250" s="1" t="str">
        <f>"0224G49201"</f>
        <v>0224G49201</v>
      </c>
      <c r="E3250" s="1" t="s">
        <v>10</v>
      </c>
      <c r="F3250" s="1" t="str">
        <f>"10.12.130.236"</f>
        <v>10.12.130.236</v>
      </c>
      <c r="G3250" s="1" t="str">
        <f>"0224G492"</f>
        <v>0224G492</v>
      </c>
      <c r="H3250" s="1" t="str">
        <f>"영동간 38L2"</f>
        <v>영동간 38L2</v>
      </c>
      <c r="I3250" s="1" t="s">
        <v>8</v>
      </c>
      <c r="J3250" s="1" t="str">
        <f>"52/58"</f>
        <v>52/58</v>
      </c>
      <c r="K3250" s="1" t="str">
        <f>"2026-07-29 13:18:03"</f>
        <v>2026-07-29 13:18:03</v>
      </c>
      <c r="L3250" s="1" t="str">
        <f>"2014-11-09 00:11:51"</f>
        <v>2014-11-09 00:11:51</v>
      </c>
      <c r="M3250" s="1" t="s">
        <v>0</v>
      </c>
      <c r="N3250" s="1" t="s">
        <v>38</v>
      </c>
      <c r="O3250" s="1" t="s">
        <v>46</v>
      </c>
    </row>
    <row r="3251" spans="2:15" x14ac:dyDescent="0.3">
      <c r="B3251" s="1" t="s">
        <v>23</v>
      </c>
      <c r="C3251" s="1" t="str">
        <f>"4차"</f>
        <v>4차</v>
      </c>
      <c r="D3251" s="1" t="str">
        <f>"0224G57144"</f>
        <v>0224G57144</v>
      </c>
      <c r="E3251" s="1" t="s">
        <v>10</v>
      </c>
      <c r="F3251" s="1" t="str">
        <f>"10.125.0.122"</f>
        <v>10.125.0.122</v>
      </c>
      <c r="G3251" s="1" t="str">
        <f>"0224G571"</f>
        <v>0224G571</v>
      </c>
      <c r="H3251" s="1" t="str">
        <f>"영동간 35L2"</f>
        <v>영동간 35L2</v>
      </c>
      <c r="I3251" s="1" t="s">
        <v>8</v>
      </c>
      <c r="J3251" s="1" t="str">
        <f>"10/12"</f>
        <v>10/12</v>
      </c>
      <c r="K3251" s="1" t="str">
        <f>"2026-07-29 13:18:02"</f>
        <v>2026-07-29 13:18:02</v>
      </c>
      <c r="L3251" s="1" t="str">
        <f>"2023-07-20 09:01:49"</f>
        <v>2023-07-20 09:01:49</v>
      </c>
      <c r="M3251" s="1" t="s">
        <v>45</v>
      </c>
      <c r="N3251" s="1" t="s">
        <v>38</v>
      </c>
      <c r="O3251" s="1" t="s">
        <v>46</v>
      </c>
    </row>
    <row r="3252" spans="2:15" x14ac:dyDescent="0.3">
      <c r="B3252" s="1" t="s">
        <v>23</v>
      </c>
      <c r="C3252" s="1" t="str">
        <f>"1차"</f>
        <v>1차</v>
      </c>
      <c r="D3252" s="1" t="str">
        <f>"0224G58101"</f>
        <v>0224G58101</v>
      </c>
      <c r="E3252" s="1" t="s">
        <v>10</v>
      </c>
      <c r="F3252" s="1" t="str">
        <f>"10.14.8.199"</f>
        <v>10.14.8.199</v>
      </c>
      <c r="G3252" s="1" t="str">
        <f>"0224G581"</f>
        <v>0224G581</v>
      </c>
      <c r="H3252" s="1" t="str">
        <f>"영동간 35"</f>
        <v>영동간 35</v>
      </c>
      <c r="I3252" s="1" t="s">
        <v>8</v>
      </c>
      <c r="J3252" s="1" t="str">
        <f>"16/18"</f>
        <v>16/18</v>
      </c>
      <c r="K3252" s="1" t="str">
        <f>"2026-07-29 13:18:02"</f>
        <v>2026-07-29 13:18:02</v>
      </c>
      <c r="L3252" s="1" t="str">
        <f>"2014-11-10 10:41:41"</f>
        <v>2014-11-10 10:41:41</v>
      </c>
      <c r="M3252" s="1" t="s">
        <v>3</v>
      </c>
      <c r="N3252" s="1" t="s">
        <v>38</v>
      </c>
      <c r="O3252" s="1" t="s">
        <v>46</v>
      </c>
    </row>
    <row r="3253" spans="2:15" x14ac:dyDescent="0.3">
      <c r="B3253" s="1" t="s">
        <v>23</v>
      </c>
      <c r="C3253" s="1" t="str">
        <f>"4차"</f>
        <v>4차</v>
      </c>
      <c r="D3253" s="1" t="str">
        <f>"0224G66139"</f>
        <v>0224G66139</v>
      </c>
      <c r="E3253" s="1" t="s">
        <v>10</v>
      </c>
      <c r="F3253" s="1" t="str">
        <f>"10.125.0.138"</f>
        <v>10.125.0.138</v>
      </c>
      <c r="G3253" s="1" t="str">
        <f>"0224G661"</f>
        <v>0224G661</v>
      </c>
      <c r="H3253" s="1" t="str">
        <f>"영동간 31L4"</f>
        <v>영동간 31L4</v>
      </c>
      <c r="I3253" s="1" t="s">
        <v>8</v>
      </c>
      <c r="J3253" s="1" t="str">
        <f>"48/48"</f>
        <v>48/48</v>
      </c>
      <c r="K3253" s="1" t="str">
        <f>"2026-07-29 13:18:02"</f>
        <v>2026-07-29 13:18:02</v>
      </c>
      <c r="L3253" s="1" t="str">
        <f>"2024-03-04 18:08:19"</f>
        <v>2024-03-04 18:08:19</v>
      </c>
      <c r="M3253" s="1" t="s">
        <v>45</v>
      </c>
      <c r="N3253" s="1" t="s">
        <v>38</v>
      </c>
      <c r="O3253" s="1" t="s">
        <v>46</v>
      </c>
    </row>
    <row r="3254" spans="2:15" x14ac:dyDescent="0.3">
      <c r="B3254" s="1" t="s">
        <v>23</v>
      </c>
      <c r="C3254" s="1" t="str">
        <f>"4차"</f>
        <v>4차</v>
      </c>
      <c r="D3254" s="1" t="str">
        <f>"0224G68139"</f>
        <v>0224G68139</v>
      </c>
      <c r="E3254" s="1" t="s">
        <v>10</v>
      </c>
      <c r="F3254" s="1" t="str">
        <f>"10.12.132.60"</f>
        <v>10.12.132.60</v>
      </c>
      <c r="G3254" s="1" t="str">
        <f>"0224G681"</f>
        <v>0224G681</v>
      </c>
      <c r="H3254" s="1" t="str">
        <f>"영동간 33"</f>
        <v>영동간 33</v>
      </c>
      <c r="I3254" s="1" t="s">
        <v>8</v>
      </c>
      <c r="J3254" s="1" t="str">
        <f>"39/39"</f>
        <v>39/39</v>
      </c>
      <c r="K3254" s="1" t="str">
        <f>"2026-07-29 13:18:01"</f>
        <v>2026-07-29 13:18:01</v>
      </c>
      <c r="L3254" s="1" t="str">
        <f>"2024-03-13 09:12:05"</f>
        <v>2024-03-13 09:12:05</v>
      </c>
      <c r="M3254" s="1" t="s">
        <v>0</v>
      </c>
      <c r="N3254" s="1" t="s">
        <v>38</v>
      </c>
      <c r="O3254" s="1" t="s">
        <v>46</v>
      </c>
    </row>
    <row r="3255" spans="2:15" x14ac:dyDescent="0.3">
      <c r="B3255" s="1" t="s">
        <v>23</v>
      </c>
      <c r="C3255" s="1" t="str">
        <f>"5-2차"</f>
        <v>5-2차</v>
      </c>
      <c r="D3255" s="1" t="str">
        <f>"0224G6915M"</f>
        <v>0224G6915M</v>
      </c>
      <c r="E3255" s="1" t="s">
        <v>10</v>
      </c>
      <c r="F3255" s="1" t="str">
        <f>"fde1:103:4:57cb:0:0:0:2"</f>
        <v>fde1:103:4:57cb:0:0:0:2</v>
      </c>
      <c r="G3255" s="1" t="str">
        <f>"0224G691"</f>
        <v>0224G691</v>
      </c>
      <c r="H3255" s="1" t="str">
        <f>"영동간 35R1"</f>
        <v>영동간 35R1</v>
      </c>
      <c r="I3255" s="1" t="s">
        <v>15</v>
      </c>
      <c r="J3255" s="1" t="str">
        <f>"26/26"</f>
        <v>26/26</v>
      </c>
      <c r="K3255" s="1" t="str">
        <f>"2026-07-29 14:20:20"</f>
        <v>2026-07-29 14:20:20</v>
      </c>
      <c r="L3255" s="1" t="str">
        <f>"2023-09-19 15:09:40"</f>
        <v>2023-09-19 15:09:40</v>
      </c>
      <c r="M3255" s="1" t="s">
        <v>4</v>
      </c>
      <c r="N3255" s="1" t="s">
        <v>38</v>
      </c>
      <c r="O3255" s="1" t="s">
        <v>46</v>
      </c>
    </row>
    <row r="3256" spans="2:15" x14ac:dyDescent="0.3">
      <c r="B3256" s="1" t="s">
        <v>23</v>
      </c>
      <c r="C3256" s="1" t="str">
        <f>"5-2차"</f>
        <v>5-2차</v>
      </c>
      <c r="D3256" s="1" t="str">
        <f>"0224G7515M"</f>
        <v>0224G7515M</v>
      </c>
      <c r="E3256" s="1" t="s">
        <v>10</v>
      </c>
      <c r="F3256" s="1" t="str">
        <f>"fde1:103:4:58f1:0:0:0:2"</f>
        <v>fde1:103:4:58f1:0:0:0:2</v>
      </c>
      <c r="G3256" s="1" t="str">
        <f>"0224G751"</f>
        <v>0224G751</v>
      </c>
      <c r="H3256" s="1" t="str">
        <f>"영동간 29L8"</f>
        <v>영동간 29L8</v>
      </c>
      <c r="I3256" s="1" t="s">
        <v>15</v>
      </c>
      <c r="J3256" s="1" t="str">
        <f>"73/73"</f>
        <v>73/73</v>
      </c>
      <c r="K3256" s="1" t="str">
        <f>"2026-07-29 14:20:19"</f>
        <v>2026-07-29 14:20:19</v>
      </c>
      <c r="L3256" s="1" t="str">
        <f>"2023-09-19 15:14:38"</f>
        <v>2023-09-19 15:14:38</v>
      </c>
      <c r="M3256" s="1" t="s">
        <v>4</v>
      </c>
      <c r="N3256" s="1" t="s">
        <v>38</v>
      </c>
      <c r="O3256" s="1" t="s">
        <v>46</v>
      </c>
    </row>
    <row r="3257" spans="2:15" x14ac:dyDescent="0.3">
      <c r="B3257" s="1" t="s">
        <v>23</v>
      </c>
      <c r="C3257" s="1" t="str">
        <f>"4차"</f>
        <v>4차</v>
      </c>
      <c r="D3257" s="1" t="str">
        <f>"0224G75244"</f>
        <v>0224G75244</v>
      </c>
      <c r="E3257" s="1" t="s">
        <v>10</v>
      </c>
      <c r="F3257" s="1" t="str">
        <f>"10.11.76.202"</f>
        <v>10.11.76.202</v>
      </c>
      <c r="G3257" s="1" t="str">
        <f>"0224G752"</f>
        <v>0224G752</v>
      </c>
      <c r="H3257" s="1" t="str">
        <f>"영동간 29L7"</f>
        <v>영동간 29L7</v>
      </c>
      <c r="I3257" s="1" t="s">
        <v>8</v>
      </c>
      <c r="J3257" s="1" t="str">
        <f>"35/37"</f>
        <v>35/37</v>
      </c>
      <c r="K3257" s="1" t="str">
        <f>"2026-07-29 13:18:02"</f>
        <v>2026-07-29 13:18:02</v>
      </c>
      <c r="L3257" s="1" t="str">
        <f>"2019-11-04 19:53:05"</f>
        <v>2019-11-04 19:53:05</v>
      </c>
      <c r="M3257" s="1" t="s">
        <v>2</v>
      </c>
      <c r="N3257" s="1" t="s">
        <v>38</v>
      </c>
      <c r="O3257" s="1" t="s">
        <v>46</v>
      </c>
    </row>
    <row r="3258" spans="2:15" x14ac:dyDescent="0.3">
      <c r="B3258" s="1" t="s">
        <v>23</v>
      </c>
      <c r="C3258" s="1" t="str">
        <f>"4차"</f>
        <v>4차</v>
      </c>
      <c r="D3258" s="1" t="str">
        <f>"0224G76144"</f>
        <v>0224G76144</v>
      </c>
      <c r="E3258" s="1" t="s">
        <v>10</v>
      </c>
      <c r="F3258" s="1" t="str">
        <f>"10.11.79.242"</f>
        <v>10.11.79.242</v>
      </c>
      <c r="G3258" s="1" t="str">
        <f>"0224G761"</f>
        <v>0224G761</v>
      </c>
      <c r="H3258" s="1" t="str">
        <f>"영동간 31L3"</f>
        <v>영동간 31L3</v>
      </c>
      <c r="I3258" s="1" t="s">
        <v>8</v>
      </c>
      <c r="J3258" s="1" t="str">
        <f>"29/29"</f>
        <v>29/29</v>
      </c>
      <c r="K3258" s="1" t="str">
        <f>"2026-07-29 13:18:01"</f>
        <v>2026-07-29 13:18:01</v>
      </c>
      <c r="L3258" s="1" t="str">
        <f>"2023-09-05 14:18:51"</f>
        <v>2023-09-05 14:18:51</v>
      </c>
      <c r="M3258" s="1" t="s">
        <v>2</v>
      </c>
      <c r="N3258" s="1" t="s">
        <v>38</v>
      </c>
      <c r="O3258" s="1" t="s">
        <v>46</v>
      </c>
    </row>
    <row r="3259" spans="2:15" x14ac:dyDescent="0.3">
      <c r="B3259" s="1" t="s">
        <v>23</v>
      </c>
      <c r="C3259" s="1" t="str">
        <f>"6차"</f>
        <v>6차</v>
      </c>
      <c r="D3259" s="1" t="str">
        <f>"0224G7726S"</f>
        <v>0224G7726S</v>
      </c>
      <c r="E3259" s="1" t="s">
        <v>10</v>
      </c>
      <c r="F3259" s="1" t="str">
        <f>"fde1:103:4:c84f:0:0:0:2"</f>
        <v>fde1:103:4:c84f:0:0:0:2</v>
      </c>
      <c r="G3259" s="1" t="str">
        <f>"0224G772"</f>
        <v>0224G772</v>
      </c>
      <c r="H3259" s="1" t="str">
        <f>"영동간 31L1"</f>
        <v>영동간 31L1</v>
      </c>
      <c r="I3259" s="1" t="s">
        <v>15</v>
      </c>
      <c r="J3259" s="1" t="str">
        <f>"43/53"</f>
        <v>43/53</v>
      </c>
      <c r="K3259" s="1" t="str">
        <f>"2026-07-29 14:20:30"</f>
        <v>2026-07-29 14:20:30</v>
      </c>
      <c r="L3259" s="1" t="str">
        <f>"2025-04-15 18:03:14"</f>
        <v>2025-04-15 18:03:14</v>
      </c>
      <c r="M3259" s="1" t="s">
        <v>4</v>
      </c>
      <c r="N3259" s="1" t="s">
        <v>38</v>
      </c>
      <c r="O3259" s="1" t="s">
        <v>46</v>
      </c>
    </row>
    <row r="3260" spans="2:15" x14ac:dyDescent="0.3">
      <c r="B3260" s="1" t="s">
        <v>23</v>
      </c>
      <c r="C3260" s="1" t="str">
        <f>"1차"</f>
        <v>1차</v>
      </c>
      <c r="D3260" s="1" t="str">
        <f>"0224G78200"</f>
        <v>0224G78200</v>
      </c>
      <c r="E3260" s="1" t="s">
        <v>10</v>
      </c>
      <c r="F3260" s="1" t="str">
        <f>"10.125.0.154"</f>
        <v>10.125.0.154</v>
      </c>
      <c r="G3260" s="1" t="str">
        <f>"0224G782"</f>
        <v>0224G782</v>
      </c>
      <c r="H3260" s="1" t="str">
        <f>"영동간 31"</f>
        <v>영동간 31</v>
      </c>
      <c r="I3260" s="1" t="s">
        <v>8</v>
      </c>
      <c r="J3260" s="1" t="str">
        <f>"14/17"</f>
        <v>14/17</v>
      </c>
      <c r="K3260" s="1" t="str">
        <f>"2026-07-29 13:18:02"</f>
        <v>2026-07-29 13:18:02</v>
      </c>
      <c r="L3260" s="1" t="str">
        <f>"2014-12-08 16:00:49"</f>
        <v>2014-12-08 16:00:49</v>
      </c>
      <c r="M3260" s="1" t="s">
        <v>45</v>
      </c>
      <c r="N3260" s="1" t="s">
        <v>38</v>
      </c>
      <c r="O3260" s="1" t="s">
        <v>46</v>
      </c>
    </row>
    <row r="3261" spans="2:15" x14ac:dyDescent="0.3">
      <c r="B3261" s="1" t="s">
        <v>23</v>
      </c>
      <c r="C3261" s="1" t="str">
        <f t="shared" ref="C3261:C3289" si="188">"5-2차"</f>
        <v>5-2차</v>
      </c>
      <c r="D3261" s="1" t="str">
        <f>"0224G8625S"</f>
        <v>0224G8625S</v>
      </c>
      <c r="E3261" s="1" t="s">
        <v>10</v>
      </c>
      <c r="F3261" s="1" t="str">
        <f>"fde1:103:4:577a:0:0:0:2"</f>
        <v>fde1:103:4:577a:0:0:0:2</v>
      </c>
      <c r="G3261" s="1" t="str">
        <f>"0224G862"</f>
        <v>0224G862</v>
      </c>
      <c r="H3261" s="1" t="str">
        <f>"영동간 29L5"</f>
        <v>영동간 29L5</v>
      </c>
      <c r="I3261" s="1" t="s">
        <v>15</v>
      </c>
      <c r="J3261" s="1" t="str">
        <f>"66/66"</f>
        <v>66/66</v>
      </c>
      <c r="K3261" s="1" t="str">
        <f>"2026-07-29 08:20:55"</f>
        <v>2026-07-29 08:20:55</v>
      </c>
      <c r="L3261" s="1" t="str">
        <f>"2023-09-19 15:30:34"</f>
        <v>2023-09-19 15:30:34</v>
      </c>
      <c r="M3261" s="1" t="s">
        <v>4</v>
      </c>
      <c r="N3261" s="1" t="s">
        <v>38</v>
      </c>
      <c r="O3261" s="1" t="s">
        <v>46</v>
      </c>
    </row>
    <row r="3262" spans="2:15" x14ac:dyDescent="0.3">
      <c r="B3262" s="1" t="s">
        <v>23</v>
      </c>
      <c r="C3262" s="1" t="str">
        <f t="shared" si="188"/>
        <v>5-2차</v>
      </c>
      <c r="D3262" s="1" t="str">
        <f>"0224G8725M"</f>
        <v>0224G8725M</v>
      </c>
      <c r="E3262" s="1" t="s">
        <v>10</v>
      </c>
      <c r="F3262" s="1" t="str">
        <f>"fde1:103:4:58ed:0:0:0:2"</f>
        <v>fde1:103:4:58ed:0:0:0:2</v>
      </c>
      <c r="G3262" s="1" t="str">
        <f>"0224G872"</f>
        <v>0224G872</v>
      </c>
      <c r="H3262" s="1" t="str">
        <f>"영동간 29L3"</f>
        <v>영동간 29L3</v>
      </c>
      <c r="I3262" s="1" t="s">
        <v>15</v>
      </c>
      <c r="J3262" s="1" t="str">
        <f>"95/95"</f>
        <v>95/95</v>
      </c>
      <c r="K3262" s="1" t="str">
        <f>"2026-07-29 14:20:00"</f>
        <v>2026-07-29 14:20:00</v>
      </c>
      <c r="L3262" s="1" t="str">
        <f>"2023-09-19 15:31:01"</f>
        <v>2023-09-19 15:31:01</v>
      </c>
      <c r="M3262" s="1" t="s">
        <v>4</v>
      </c>
      <c r="N3262" s="1" t="s">
        <v>38</v>
      </c>
      <c r="O3262" s="1" t="s">
        <v>46</v>
      </c>
    </row>
    <row r="3263" spans="2:15" x14ac:dyDescent="0.3">
      <c r="B3263" s="1" t="s">
        <v>23</v>
      </c>
      <c r="C3263" s="1" t="str">
        <f t="shared" si="188"/>
        <v>5-2차</v>
      </c>
      <c r="D3263" s="1" t="str">
        <f>"0224G8915M"</f>
        <v>0224G8915M</v>
      </c>
      <c r="E3263" s="1" t="s">
        <v>10</v>
      </c>
      <c r="F3263" s="1" t="str">
        <f>"fde1:103:4:5a66:0:0:0:2"</f>
        <v>fde1:103:4:5a66:0:0:0:2</v>
      </c>
      <c r="G3263" s="1" t="str">
        <f>"0224G891"</f>
        <v>0224G891</v>
      </c>
      <c r="H3263" s="1" t="str">
        <f>"영동간 27R3"</f>
        <v>영동간 27R3</v>
      </c>
      <c r="I3263" s="1" t="s">
        <v>15</v>
      </c>
      <c r="J3263" s="1" t="str">
        <f>"36/37"</f>
        <v>36/37</v>
      </c>
      <c r="K3263" s="1" t="str">
        <f>"2026-07-29 14:20:20"</f>
        <v>2026-07-29 14:20:20</v>
      </c>
      <c r="L3263" s="1" t="str">
        <f>"2023-09-19 15:44:19"</f>
        <v>2023-09-19 15:44:19</v>
      </c>
      <c r="M3263" s="1" t="s">
        <v>4</v>
      </c>
      <c r="N3263" s="1" t="s">
        <v>38</v>
      </c>
      <c r="O3263" s="1" t="s">
        <v>46</v>
      </c>
    </row>
    <row r="3264" spans="2:15" x14ac:dyDescent="0.3">
      <c r="B3264" s="1" t="s">
        <v>23</v>
      </c>
      <c r="C3264" s="1" t="str">
        <f t="shared" si="188"/>
        <v>5-2차</v>
      </c>
      <c r="D3264" s="1" t="str">
        <f>"0224G8925M"</f>
        <v>0224G8925M</v>
      </c>
      <c r="E3264" s="1" t="s">
        <v>10</v>
      </c>
      <c r="F3264" s="1" t="str">
        <f>"fde1:103:4:589f:0:0:0:2"</f>
        <v>fde1:103:4:589f:0:0:0:2</v>
      </c>
      <c r="G3264" s="1" t="str">
        <f>"0224G892"</f>
        <v>0224G892</v>
      </c>
      <c r="H3264" s="1" t="str">
        <f>"영동간 31R2"</f>
        <v>영동간 31R2</v>
      </c>
      <c r="I3264" s="1" t="s">
        <v>15</v>
      </c>
      <c r="J3264" s="1" t="str">
        <f>"52/53"</f>
        <v>52/53</v>
      </c>
      <c r="K3264" s="1" t="str">
        <f>"2026-07-29 14:20:31"</f>
        <v>2026-07-29 14:20:31</v>
      </c>
      <c r="L3264" s="1" t="str">
        <f>"2023-09-19 15:44:48"</f>
        <v>2023-09-19 15:44:48</v>
      </c>
      <c r="M3264" s="1" t="s">
        <v>4</v>
      </c>
      <c r="N3264" s="1" t="s">
        <v>38</v>
      </c>
      <c r="O3264" s="1" t="s">
        <v>46</v>
      </c>
    </row>
    <row r="3265" spans="2:15" x14ac:dyDescent="0.3">
      <c r="B3265" s="1" t="s">
        <v>23</v>
      </c>
      <c r="C3265" s="1" t="str">
        <f t="shared" si="188"/>
        <v>5-2차</v>
      </c>
      <c r="D3265" s="1" t="str">
        <f>"0224G9415M"</f>
        <v>0224G9415M</v>
      </c>
      <c r="E3265" s="1" t="s">
        <v>10</v>
      </c>
      <c r="F3265" s="1" t="str">
        <f>"fde1:103:4:5734:0:0:0:2"</f>
        <v>fde1:103:4:5734:0:0:0:2</v>
      </c>
      <c r="G3265" s="1" t="str">
        <f>"0224G941"</f>
        <v>0224G941</v>
      </c>
      <c r="H3265" s="1" t="str">
        <f>"수동간 20L1"</f>
        <v>수동간 20L1</v>
      </c>
      <c r="I3265" s="1" t="s">
        <v>15</v>
      </c>
      <c r="J3265" s="1" t="str">
        <f>"36/36"</f>
        <v>36/36</v>
      </c>
      <c r="K3265" s="1" t="str">
        <f>"2026-07-29 14:20:37"</f>
        <v>2026-07-29 14:20:37</v>
      </c>
      <c r="L3265" s="1" t="str">
        <f>"2023-09-19 16:38:22"</f>
        <v>2023-09-19 16:38:22</v>
      </c>
      <c r="M3265" s="1" t="s">
        <v>4</v>
      </c>
      <c r="N3265" s="1" t="s">
        <v>38</v>
      </c>
      <c r="O3265" s="1" t="s">
        <v>46</v>
      </c>
    </row>
    <row r="3266" spans="2:15" x14ac:dyDescent="0.3">
      <c r="B3266" s="1" t="s">
        <v>23</v>
      </c>
      <c r="C3266" s="1" t="str">
        <f t="shared" si="188"/>
        <v>5-2차</v>
      </c>
      <c r="D3266" s="1" t="str">
        <f>"0224G9425S"</f>
        <v>0224G9425S</v>
      </c>
      <c r="E3266" s="1" t="s">
        <v>10</v>
      </c>
      <c r="F3266" s="1" t="str">
        <f>"fde1:103:4:5763:0:0:0:2"</f>
        <v>fde1:103:4:5763:0:0:0:2</v>
      </c>
      <c r="G3266" s="1" t="str">
        <f>"0224G942"</f>
        <v>0224G942</v>
      </c>
      <c r="H3266" s="1" t="str">
        <f>"수동간 46L2"</f>
        <v>수동간 46L2</v>
      </c>
      <c r="I3266" s="1" t="s">
        <v>15</v>
      </c>
      <c r="J3266" s="1" t="str">
        <f>"45/46"</f>
        <v>45/46</v>
      </c>
      <c r="K3266" s="1" t="str">
        <f>"2026-07-29 14:20:33"</f>
        <v>2026-07-29 14:20:33</v>
      </c>
      <c r="L3266" s="1" t="str">
        <f>"2023-09-19 16:39:52"</f>
        <v>2023-09-19 16:39:52</v>
      </c>
      <c r="M3266" s="1" t="s">
        <v>4</v>
      </c>
      <c r="N3266" s="1" t="s">
        <v>38</v>
      </c>
      <c r="O3266" s="1" t="s">
        <v>46</v>
      </c>
    </row>
    <row r="3267" spans="2:15" x14ac:dyDescent="0.3">
      <c r="B3267" s="1" t="s">
        <v>23</v>
      </c>
      <c r="C3267" s="1" t="str">
        <f t="shared" si="188"/>
        <v>5-2차</v>
      </c>
      <c r="D3267" s="1" t="str">
        <f>"0224G9615S"</f>
        <v>0224G9615S</v>
      </c>
      <c r="E3267" s="1" t="s">
        <v>10</v>
      </c>
      <c r="F3267" s="1" t="str">
        <f>"fde1:103:4:5743:0:0:0:2"</f>
        <v>fde1:103:4:5743:0:0:0:2</v>
      </c>
      <c r="G3267" s="1" t="str">
        <f>"0224G961"</f>
        <v>0224G961</v>
      </c>
      <c r="H3267" s="1" t="str">
        <f>"영동간 29L4L1"</f>
        <v>영동간 29L4L1</v>
      </c>
      <c r="I3267" s="1" t="s">
        <v>15</v>
      </c>
      <c r="J3267" s="1" t="str">
        <f>"54/54"</f>
        <v>54/54</v>
      </c>
      <c r="K3267" s="1" t="str">
        <f>"2026-07-29 08:20:52"</f>
        <v>2026-07-29 08:20:52</v>
      </c>
      <c r="L3267" s="1" t="str">
        <f>"2023-09-19 16:41:34"</f>
        <v>2023-09-19 16:41:34</v>
      </c>
      <c r="M3267" s="1" t="s">
        <v>4</v>
      </c>
      <c r="N3267" s="1" t="s">
        <v>38</v>
      </c>
      <c r="O3267" s="1" t="s">
        <v>46</v>
      </c>
    </row>
    <row r="3268" spans="2:15" x14ac:dyDescent="0.3">
      <c r="B3268" s="1" t="s">
        <v>23</v>
      </c>
      <c r="C3268" s="1" t="str">
        <f t="shared" si="188"/>
        <v>5-2차</v>
      </c>
      <c r="D3268" s="1" t="str">
        <f>"0224G9715S"</f>
        <v>0224G9715S</v>
      </c>
      <c r="E3268" s="1" t="s">
        <v>10</v>
      </c>
      <c r="F3268" s="1" t="str">
        <f>"fde1:103:4:582b:0:0:0:2"</f>
        <v>fde1:103:4:582b:0:0:0:2</v>
      </c>
      <c r="G3268" s="1" t="str">
        <f>"0224G971"</f>
        <v>0224G971</v>
      </c>
      <c r="H3268" s="1" t="str">
        <f>"영동간 29L4L1L2"</f>
        <v>영동간 29L4L1L2</v>
      </c>
      <c r="I3268" s="1" t="s">
        <v>15</v>
      </c>
      <c r="J3268" s="1" t="str">
        <f>"65/65"</f>
        <v>65/65</v>
      </c>
      <c r="K3268" s="1" t="str">
        <f>"2026-07-29 14:20:12"</f>
        <v>2026-07-29 14:20:12</v>
      </c>
      <c r="L3268" s="1" t="str">
        <f>"2023-09-19 16:54:50"</f>
        <v>2023-09-19 16:54:50</v>
      </c>
      <c r="M3268" s="1" t="s">
        <v>4</v>
      </c>
      <c r="N3268" s="1" t="s">
        <v>38</v>
      </c>
      <c r="O3268" s="1" t="s">
        <v>46</v>
      </c>
    </row>
    <row r="3269" spans="2:15" x14ac:dyDescent="0.3">
      <c r="B3269" s="1" t="s">
        <v>23</v>
      </c>
      <c r="C3269" s="1" t="str">
        <f t="shared" si="188"/>
        <v>5-2차</v>
      </c>
      <c r="D3269" s="1" t="str">
        <f>"0224G9725M"</f>
        <v>0224G9725M</v>
      </c>
      <c r="E3269" s="1" t="s">
        <v>10</v>
      </c>
      <c r="F3269" s="1" t="str">
        <f>"fde1:103:4:5798:0:0:0:2"</f>
        <v>fde1:103:4:5798:0:0:0:2</v>
      </c>
      <c r="G3269" s="1" t="str">
        <f>"0224G972"</f>
        <v>0224G972</v>
      </c>
      <c r="H3269" s="1" t="str">
        <f>"영동간 29L1"</f>
        <v>영동간 29L1</v>
      </c>
      <c r="I3269" s="1" t="s">
        <v>15</v>
      </c>
      <c r="J3269" s="1" t="str">
        <f>"23/23"</f>
        <v>23/23</v>
      </c>
      <c r="K3269" s="1" t="str">
        <f>"2026-07-29 14:21:04"</f>
        <v>2026-07-29 14:21:04</v>
      </c>
      <c r="L3269" s="1" t="str">
        <f>"2023-09-19 16:55:54"</f>
        <v>2023-09-19 16:55:54</v>
      </c>
      <c r="M3269" s="1" t="s">
        <v>4</v>
      </c>
      <c r="N3269" s="1" t="s">
        <v>38</v>
      </c>
      <c r="O3269" s="1" t="s">
        <v>46</v>
      </c>
    </row>
    <row r="3270" spans="2:15" x14ac:dyDescent="0.3">
      <c r="B3270" s="1" t="s">
        <v>23</v>
      </c>
      <c r="C3270" s="1" t="str">
        <f t="shared" si="188"/>
        <v>5-2차</v>
      </c>
      <c r="D3270" s="1" t="str">
        <f>"0224H0535S"</f>
        <v>0224H0535S</v>
      </c>
      <c r="E3270" s="1" t="s">
        <v>10</v>
      </c>
      <c r="F3270" s="1" t="str">
        <f>"fde1:103:4:5853:0:0:0:2"</f>
        <v>fde1:103:4:5853:0:0:0:2</v>
      </c>
      <c r="G3270" s="1" t="str">
        <f>"0224H053"</f>
        <v>0224H053</v>
      </c>
      <c r="H3270" s="1" t="str">
        <f>"수동간 29L7L2"</f>
        <v>수동간 29L7L2</v>
      </c>
      <c r="I3270" s="1" t="s">
        <v>15</v>
      </c>
      <c r="J3270" s="1" t="str">
        <f>"44/46"</f>
        <v>44/46</v>
      </c>
      <c r="K3270" s="1" t="str">
        <f>"2026-07-29 14:20:27"</f>
        <v>2026-07-29 14:20:27</v>
      </c>
      <c r="L3270" s="1" t="str">
        <f>"2023-09-19 16:57:00"</f>
        <v>2023-09-19 16:57:00</v>
      </c>
      <c r="M3270" s="1" t="s">
        <v>4</v>
      </c>
      <c r="N3270" s="1" t="s">
        <v>38</v>
      </c>
      <c r="O3270" s="1" t="s">
        <v>46</v>
      </c>
    </row>
    <row r="3271" spans="2:15" x14ac:dyDescent="0.3">
      <c r="B3271" s="1" t="s">
        <v>23</v>
      </c>
      <c r="C3271" s="1" t="str">
        <f t="shared" si="188"/>
        <v>5-2차</v>
      </c>
      <c r="D3271" s="1" t="str">
        <f>"0224H0815M"</f>
        <v>0224H0815M</v>
      </c>
      <c r="E3271" s="1" t="s">
        <v>10</v>
      </c>
      <c r="F3271" s="1" t="str">
        <f>"fde1:103:4:58fd:0:0:0:2"</f>
        <v>fde1:103:4:58fd:0:0:0:2</v>
      </c>
      <c r="G3271" s="1" t="str">
        <f>"0224H081"</f>
        <v>0224H081</v>
      </c>
      <c r="H3271" s="1" t="str">
        <f>"영동간 27"</f>
        <v>영동간 27</v>
      </c>
      <c r="I3271" s="1" t="s">
        <v>15</v>
      </c>
      <c r="J3271" s="1" t="str">
        <f>"31/32"</f>
        <v>31/32</v>
      </c>
      <c r="K3271" s="1" t="str">
        <f>"2026-07-29 14:20:37"</f>
        <v>2026-07-29 14:20:37</v>
      </c>
      <c r="L3271" s="1" t="str">
        <f>"2023-09-20 14:00:51"</f>
        <v>2023-09-20 14:00:51</v>
      </c>
      <c r="M3271" s="1" t="s">
        <v>4</v>
      </c>
      <c r="N3271" s="1" t="s">
        <v>38</v>
      </c>
      <c r="O3271" s="1" t="s">
        <v>46</v>
      </c>
    </row>
    <row r="3272" spans="2:15" x14ac:dyDescent="0.3">
      <c r="B3272" s="1" t="s">
        <v>23</v>
      </c>
      <c r="C3272" s="1" t="str">
        <f t="shared" si="188"/>
        <v>5-2차</v>
      </c>
      <c r="D3272" s="1" t="str">
        <f>"0224H0845M"</f>
        <v>0224H0845M</v>
      </c>
      <c r="E3272" s="1" t="s">
        <v>10</v>
      </c>
      <c r="F3272" s="1" t="str">
        <f>"fde1:103:4:5913:0:0:0:2"</f>
        <v>fde1:103:4:5913:0:0:0:2</v>
      </c>
      <c r="G3272" s="1" t="str">
        <f>"0224H084"</f>
        <v>0224H084</v>
      </c>
      <c r="H3272" s="1" t="str">
        <f>"영동간 26R1"</f>
        <v>영동간 26R1</v>
      </c>
      <c r="I3272" s="1" t="s">
        <v>15</v>
      </c>
      <c r="J3272" s="1" t="str">
        <f>"57/57"</f>
        <v>57/57</v>
      </c>
      <c r="K3272" s="1" t="str">
        <f>"2026-07-29 14:20:37"</f>
        <v>2026-07-29 14:20:37</v>
      </c>
      <c r="L3272" s="1" t="str">
        <f>"2023-09-20 14:02:11"</f>
        <v>2023-09-20 14:02:11</v>
      </c>
      <c r="M3272" s="1" t="s">
        <v>4</v>
      </c>
      <c r="N3272" s="1" t="s">
        <v>38</v>
      </c>
      <c r="O3272" s="1" t="s">
        <v>46</v>
      </c>
    </row>
    <row r="3273" spans="2:15" x14ac:dyDescent="0.3">
      <c r="B3273" s="1" t="s">
        <v>23</v>
      </c>
      <c r="C3273" s="1" t="str">
        <f t="shared" si="188"/>
        <v>5-2차</v>
      </c>
      <c r="D3273" s="1" t="str">
        <f>"0224H0925M"</f>
        <v>0224H0925M</v>
      </c>
      <c r="E3273" s="1" t="s">
        <v>10</v>
      </c>
      <c r="F3273" s="1" t="str">
        <f>"fde1:103:4:5919:0:0:0:2"</f>
        <v>fde1:103:4:5919:0:0:0:2</v>
      </c>
      <c r="G3273" s="1" t="str">
        <f>"0224H092"</f>
        <v>0224H092</v>
      </c>
      <c r="H3273" s="1" t="str">
        <f>"영동간 26R2"</f>
        <v>영동간 26R2</v>
      </c>
      <c r="I3273" s="1" t="s">
        <v>15</v>
      </c>
      <c r="J3273" s="1" t="str">
        <f>"37/37"</f>
        <v>37/37</v>
      </c>
      <c r="K3273" s="1" t="str">
        <f>"2026-07-29 14:20:36"</f>
        <v>2026-07-29 14:20:36</v>
      </c>
      <c r="L3273" s="1" t="str">
        <f>"2023-09-20 14:02:57"</f>
        <v>2023-09-20 14:02:57</v>
      </c>
      <c r="M3273" s="1" t="s">
        <v>4</v>
      </c>
      <c r="N3273" s="1" t="s">
        <v>38</v>
      </c>
      <c r="O3273" s="1" t="s">
        <v>46</v>
      </c>
    </row>
    <row r="3274" spans="2:15" x14ac:dyDescent="0.3">
      <c r="B3274" s="1" t="s">
        <v>23</v>
      </c>
      <c r="C3274" s="1" t="str">
        <f t="shared" si="188"/>
        <v>5-2차</v>
      </c>
      <c r="D3274" s="1" t="str">
        <f>"0224H1525S"</f>
        <v>0224H1525S</v>
      </c>
      <c r="E3274" s="1" t="s">
        <v>10</v>
      </c>
      <c r="F3274" s="1" t="str">
        <f>"fde1:103:4:5a32:0:0:0:2"</f>
        <v>fde1:103:4:5a32:0:0:0:2</v>
      </c>
      <c r="G3274" s="1" t="str">
        <f>"0224H152"</f>
        <v>0224H152</v>
      </c>
      <c r="H3274" s="1" t="str">
        <f>"수동간 29L7L1L2"</f>
        <v>수동간 29L7L1L2</v>
      </c>
      <c r="I3274" s="1" t="s">
        <v>15</v>
      </c>
      <c r="J3274" s="1" t="str">
        <f>"38/38"</f>
        <v>38/38</v>
      </c>
      <c r="K3274" s="1" t="str">
        <f>"2026-07-29 14:20:20"</f>
        <v>2026-07-29 14:20:20</v>
      </c>
      <c r="L3274" s="1" t="str">
        <f>"2023-09-20 14:29:48"</f>
        <v>2023-09-20 14:29:48</v>
      </c>
      <c r="M3274" s="1" t="s">
        <v>4</v>
      </c>
      <c r="N3274" s="1" t="s">
        <v>38</v>
      </c>
      <c r="O3274" s="1" t="s">
        <v>46</v>
      </c>
    </row>
    <row r="3275" spans="2:15" x14ac:dyDescent="0.3">
      <c r="B3275" s="1" t="s">
        <v>23</v>
      </c>
      <c r="C3275" s="1" t="str">
        <f t="shared" si="188"/>
        <v>5-2차</v>
      </c>
      <c r="D3275" s="1" t="str">
        <f>"0224H1725M"</f>
        <v>0224H1725M</v>
      </c>
      <c r="E3275" s="1" t="s">
        <v>10</v>
      </c>
      <c r="F3275" s="1" t="str">
        <f>"fde1:103:4:5932:0:0:0:2"</f>
        <v>fde1:103:4:5932:0:0:0:2</v>
      </c>
      <c r="G3275" s="1" t="str">
        <f>"0224H172"</f>
        <v>0224H172</v>
      </c>
      <c r="H3275" s="1" t="str">
        <f>"수동간 29L8"</f>
        <v>수동간 29L8</v>
      </c>
      <c r="I3275" s="1" t="s">
        <v>15</v>
      </c>
      <c r="J3275" s="1" t="str">
        <f>"29/30"</f>
        <v>29/30</v>
      </c>
      <c r="K3275" s="1" t="str">
        <f>"2026-07-29 14:21:04"</f>
        <v>2026-07-29 14:21:04</v>
      </c>
      <c r="L3275" s="1" t="str">
        <f>"2023-09-20 14:32:34"</f>
        <v>2023-09-20 14:32:34</v>
      </c>
      <c r="M3275" s="1" t="s">
        <v>4</v>
      </c>
      <c r="N3275" s="1" t="s">
        <v>38</v>
      </c>
      <c r="O3275" s="1" t="s">
        <v>46</v>
      </c>
    </row>
    <row r="3276" spans="2:15" x14ac:dyDescent="0.3">
      <c r="B3276" s="1" t="s">
        <v>23</v>
      </c>
      <c r="C3276" s="1" t="str">
        <f t="shared" si="188"/>
        <v>5-2차</v>
      </c>
      <c r="D3276" s="1" t="str">
        <f>"0224H1735M"</f>
        <v>0224H1735M</v>
      </c>
      <c r="E3276" s="1" t="s">
        <v>10</v>
      </c>
      <c r="F3276" s="1" t="str">
        <f>"fde1:103:4:5923:0:0:0:2"</f>
        <v>fde1:103:4:5923:0:0:0:2</v>
      </c>
      <c r="G3276" s="1" t="str">
        <f>"0224H173"</f>
        <v>0224H173</v>
      </c>
      <c r="H3276" s="1" t="str">
        <f>"수동간 29L7R1"</f>
        <v>수동간 29L7R1</v>
      </c>
      <c r="I3276" s="1" t="s">
        <v>15</v>
      </c>
      <c r="J3276" s="1" t="str">
        <f>"25/25"</f>
        <v>25/25</v>
      </c>
      <c r="K3276" s="1" t="str">
        <f>"2026-07-29 14:20:37"</f>
        <v>2026-07-29 14:20:37</v>
      </c>
      <c r="L3276" s="1" t="str">
        <f>"2023-09-20 14:33:35"</f>
        <v>2023-09-20 14:33:35</v>
      </c>
      <c r="M3276" s="1" t="s">
        <v>4</v>
      </c>
      <c r="N3276" s="1" t="s">
        <v>38</v>
      </c>
      <c r="O3276" s="1" t="s">
        <v>46</v>
      </c>
    </row>
    <row r="3277" spans="2:15" x14ac:dyDescent="0.3">
      <c r="B3277" s="1" t="s">
        <v>23</v>
      </c>
      <c r="C3277" s="1" t="str">
        <f t="shared" si="188"/>
        <v>5-2차</v>
      </c>
      <c r="D3277" s="1" t="str">
        <f>"0224H1915M"</f>
        <v>0224H1915M</v>
      </c>
      <c r="E3277" s="1" t="s">
        <v>10</v>
      </c>
      <c r="F3277" s="1" t="str">
        <f>"fde1:103:4:59c8:0:0:0:2"</f>
        <v>fde1:103:4:59c8:0:0:0:2</v>
      </c>
      <c r="G3277" s="1" t="str">
        <f>"0224H191"</f>
        <v>0224H191</v>
      </c>
      <c r="H3277" s="1" t="str">
        <f>"경마간 45L4"</f>
        <v>경마간 45L4</v>
      </c>
      <c r="I3277" s="1" t="s">
        <v>15</v>
      </c>
      <c r="J3277" s="1" t="str">
        <f>"47/47"</f>
        <v>47/47</v>
      </c>
      <c r="K3277" s="1" t="str">
        <f>"2026-07-29 14:20:30"</f>
        <v>2026-07-29 14:20:30</v>
      </c>
      <c r="L3277" s="1" t="str">
        <f>"2023-09-20 14:47:35"</f>
        <v>2023-09-20 14:47:35</v>
      </c>
      <c r="M3277" s="1" t="s">
        <v>4</v>
      </c>
      <c r="N3277" s="1" t="s">
        <v>38</v>
      </c>
      <c r="O3277" s="1" t="s">
        <v>46</v>
      </c>
    </row>
    <row r="3278" spans="2:15" x14ac:dyDescent="0.3">
      <c r="B3278" s="1" t="s">
        <v>23</v>
      </c>
      <c r="C3278" s="1" t="str">
        <f t="shared" si="188"/>
        <v>5-2차</v>
      </c>
      <c r="D3278" s="1" t="str">
        <f>"0224H2715M"</f>
        <v>0224H2715M</v>
      </c>
      <c r="E3278" s="1" t="s">
        <v>10</v>
      </c>
      <c r="F3278" s="1" t="str">
        <f>"fde1:103:4:58dc:0:0:0:2"</f>
        <v>fde1:103:4:58dc:0:0:0:2</v>
      </c>
      <c r="G3278" s="1" t="str">
        <f>"0224H271"</f>
        <v>0224H271</v>
      </c>
      <c r="H3278" s="1" t="str">
        <f>"영동간 23"</f>
        <v>영동간 23</v>
      </c>
      <c r="I3278" s="1" t="s">
        <v>15</v>
      </c>
      <c r="J3278" s="1" t="str">
        <f>"34/37"</f>
        <v>34/37</v>
      </c>
      <c r="K3278" s="1" t="str">
        <f>"2026-07-29 14:20:37"</f>
        <v>2026-07-29 14:20:37</v>
      </c>
      <c r="L3278" s="1" t="str">
        <f>"2023-09-20 14:48:45"</f>
        <v>2023-09-20 14:48:45</v>
      </c>
      <c r="M3278" s="1" t="s">
        <v>4</v>
      </c>
      <c r="N3278" s="1" t="s">
        <v>38</v>
      </c>
      <c r="O3278" s="1" t="s">
        <v>46</v>
      </c>
    </row>
    <row r="3279" spans="2:15" x14ac:dyDescent="0.3">
      <c r="B3279" s="1" t="s">
        <v>23</v>
      </c>
      <c r="C3279" s="1" t="str">
        <f t="shared" si="188"/>
        <v>5-2차</v>
      </c>
      <c r="D3279" s="1" t="str">
        <f>"0224H3355M"</f>
        <v>0224H3355M</v>
      </c>
      <c r="E3279" s="1" t="s">
        <v>10</v>
      </c>
      <c r="F3279" s="1" t="str">
        <f>"fde1:103:4:5922:0:0:0:2"</f>
        <v>fde1:103:4:5922:0:0:0:2</v>
      </c>
      <c r="G3279" s="1" t="str">
        <f>"0224H335"</f>
        <v>0224H335</v>
      </c>
      <c r="H3279" s="1" t="str">
        <f>"수동간 30"</f>
        <v>수동간 30</v>
      </c>
      <c r="I3279" s="1" t="s">
        <v>15</v>
      </c>
      <c r="J3279" s="1" t="str">
        <f>"52/52"</f>
        <v>52/52</v>
      </c>
      <c r="K3279" s="1" t="str">
        <f>"2026-07-29 14:20:01"</f>
        <v>2026-07-29 14:20:01</v>
      </c>
      <c r="L3279" s="1" t="str">
        <f>"2023-09-20 14:49:53"</f>
        <v>2023-09-20 14:49:53</v>
      </c>
      <c r="M3279" s="1" t="s">
        <v>4</v>
      </c>
      <c r="N3279" s="1" t="s">
        <v>38</v>
      </c>
      <c r="O3279" s="1" t="s">
        <v>46</v>
      </c>
    </row>
    <row r="3280" spans="2:15" x14ac:dyDescent="0.3">
      <c r="B3280" s="1" t="s">
        <v>23</v>
      </c>
      <c r="C3280" s="1" t="str">
        <f t="shared" si="188"/>
        <v>5-2차</v>
      </c>
      <c r="D3280" s="1" t="str">
        <f>"0224H3525S"</f>
        <v>0224H3525S</v>
      </c>
      <c r="E3280" s="1" t="s">
        <v>10</v>
      </c>
      <c r="F3280" s="1" t="str">
        <f>"fde1:103:4:58f4:0:0:0:2"</f>
        <v>fde1:103:4:58f4:0:0:0:2</v>
      </c>
      <c r="G3280" s="1" t="str">
        <f>"0224H352"</f>
        <v>0224H352</v>
      </c>
      <c r="H3280" s="1" t="str">
        <f>"수동간 29B3"</f>
        <v>수동간 29B3</v>
      </c>
      <c r="I3280" s="1" t="s">
        <v>15</v>
      </c>
      <c r="J3280" s="1" t="str">
        <f>"51/51"</f>
        <v>51/51</v>
      </c>
      <c r="K3280" s="1" t="str">
        <f>"2026-07-29 14:20:00"</f>
        <v>2026-07-29 14:20:00</v>
      </c>
      <c r="L3280" s="1" t="str">
        <f>"2023-09-20 15:07:37"</f>
        <v>2023-09-20 15:07:37</v>
      </c>
      <c r="M3280" s="1" t="s">
        <v>4</v>
      </c>
      <c r="N3280" s="1" t="s">
        <v>38</v>
      </c>
      <c r="O3280" s="1" t="s">
        <v>46</v>
      </c>
    </row>
    <row r="3281" spans="2:15" x14ac:dyDescent="0.3">
      <c r="B3281" s="1" t="s">
        <v>23</v>
      </c>
      <c r="C3281" s="1" t="str">
        <f t="shared" si="188"/>
        <v>5-2차</v>
      </c>
      <c r="D3281" s="1" t="str">
        <f>"0224H3615S"</f>
        <v>0224H3615S</v>
      </c>
      <c r="E3281" s="1" t="s">
        <v>10</v>
      </c>
      <c r="F3281" s="1" t="str">
        <f>"fde1:103:4:5958:0:0:0:2"</f>
        <v>fde1:103:4:5958:0:0:0:2</v>
      </c>
      <c r="G3281" s="1" t="str">
        <f>"0224H361"</f>
        <v>0224H361</v>
      </c>
      <c r="H3281" s="1" t="str">
        <f>"수동간 55L7R7"</f>
        <v>수동간 55L7R7</v>
      </c>
      <c r="I3281" s="1" t="s">
        <v>15</v>
      </c>
      <c r="J3281" s="1" t="str">
        <f>"36/36"</f>
        <v>36/36</v>
      </c>
      <c r="K3281" s="1" t="str">
        <f>"2026-07-29 14:20:38"</f>
        <v>2026-07-29 14:20:38</v>
      </c>
      <c r="L3281" s="1" t="str">
        <f>"2023-09-20 15:08:29"</f>
        <v>2023-09-20 15:08:29</v>
      </c>
      <c r="M3281" s="1" t="s">
        <v>4</v>
      </c>
      <c r="N3281" s="1" t="s">
        <v>38</v>
      </c>
      <c r="O3281" s="1" t="s">
        <v>46</v>
      </c>
    </row>
    <row r="3282" spans="2:15" x14ac:dyDescent="0.3">
      <c r="B3282" s="1" t="s">
        <v>23</v>
      </c>
      <c r="C3282" s="1" t="str">
        <f t="shared" si="188"/>
        <v>5-2차</v>
      </c>
      <c r="D3282" s="1" t="str">
        <f>"0224H3945S"</f>
        <v>0224H3945S</v>
      </c>
      <c r="E3282" s="1" t="s">
        <v>10</v>
      </c>
      <c r="F3282" s="1" t="str">
        <f>"fde1:103:4:5931:0:0:0:2"</f>
        <v>fde1:103:4:5931:0:0:0:2</v>
      </c>
      <c r="G3282" s="1" t="str">
        <f>"0224H394"</f>
        <v>0224H394</v>
      </c>
      <c r="H3282" s="1" t="str">
        <f>"경마간 44L3"</f>
        <v>경마간 44L3</v>
      </c>
      <c r="I3282" s="1" t="s">
        <v>15</v>
      </c>
      <c r="J3282" s="1" t="str">
        <f>"40/41"</f>
        <v>40/41</v>
      </c>
      <c r="K3282" s="1" t="str">
        <f>"2026-07-29 14:20:20"</f>
        <v>2026-07-29 14:20:20</v>
      </c>
      <c r="L3282" s="1" t="str">
        <f>"2023-09-20 15:20:13"</f>
        <v>2023-09-20 15:20:13</v>
      </c>
      <c r="M3282" s="1" t="s">
        <v>4</v>
      </c>
      <c r="N3282" s="1" t="s">
        <v>38</v>
      </c>
      <c r="O3282" s="1" t="s">
        <v>46</v>
      </c>
    </row>
    <row r="3283" spans="2:15" x14ac:dyDescent="0.3">
      <c r="B3283" s="1" t="s">
        <v>23</v>
      </c>
      <c r="C3283" s="1" t="str">
        <f t="shared" si="188"/>
        <v>5-2차</v>
      </c>
      <c r="D3283" s="1" t="str">
        <f>"0224H4245M"</f>
        <v>0224H4245M</v>
      </c>
      <c r="E3283" s="1" t="s">
        <v>10</v>
      </c>
      <c r="F3283" s="1" t="str">
        <f>"fde1:103:4:59ce:0:0:0:2"</f>
        <v>fde1:103:4:59ce:0:0:0:2</v>
      </c>
      <c r="G3283" s="1" t="str">
        <f>"0224H424"</f>
        <v>0224H424</v>
      </c>
      <c r="H3283" s="1" t="str">
        <f>"수동간 39L4L6"</f>
        <v>수동간 39L4L6</v>
      </c>
      <c r="I3283" s="1" t="s">
        <v>15</v>
      </c>
      <c r="J3283" s="1" t="str">
        <f>"37/37"</f>
        <v>37/37</v>
      </c>
      <c r="K3283" s="1" t="str">
        <f>"2026-07-29 14:20:16"</f>
        <v>2026-07-29 14:20:16</v>
      </c>
      <c r="L3283" s="1" t="str">
        <f>"2023-09-20 15:31:32"</f>
        <v>2023-09-20 15:31:32</v>
      </c>
      <c r="M3283" s="1" t="s">
        <v>4</v>
      </c>
      <c r="N3283" s="1" t="s">
        <v>38</v>
      </c>
      <c r="O3283" s="1" t="s">
        <v>46</v>
      </c>
    </row>
    <row r="3284" spans="2:15" x14ac:dyDescent="0.3">
      <c r="B3284" s="1" t="s">
        <v>23</v>
      </c>
      <c r="C3284" s="1" t="str">
        <f t="shared" si="188"/>
        <v>5-2차</v>
      </c>
      <c r="D3284" s="1" t="str">
        <f>"0224H4415M"</f>
        <v>0224H4415M</v>
      </c>
      <c r="E3284" s="1" t="s">
        <v>12</v>
      </c>
      <c r="F3284" s="1" t="str">
        <f>"fde1:103:4:59d5:0:0:0:2"</f>
        <v>fde1:103:4:59d5:0:0:0:2</v>
      </c>
      <c r="G3284" s="1" t="str">
        <f>"0224H441"</f>
        <v>0224H441</v>
      </c>
      <c r="H3284" s="1" t="str">
        <f>"영동간 19L4L1"</f>
        <v>영동간 19L4L1</v>
      </c>
      <c r="I3284" s="1" t="s">
        <v>15</v>
      </c>
      <c r="J3284" s="1" t="str">
        <f>"0/84"</f>
        <v>0/84</v>
      </c>
      <c r="K3284" s="1" t="str">
        <f>"2026-07-19 02:20:50"</f>
        <v>2026-07-19 02:20:50</v>
      </c>
      <c r="L3284" s="1" t="str">
        <f>"2023-09-20 15:32:48"</f>
        <v>2023-09-20 15:32:48</v>
      </c>
      <c r="M3284" s="1" t="s">
        <v>4</v>
      </c>
      <c r="N3284" s="1" t="s">
        <v>38</v>
      </c>
      <c r="O3284" s="1" t="s">
        <v>46</v>
      </c>
    </row>
    <row r="3285" spans="2:15" x14ac:dyDescent="0.3">
      <c r="B3285" s="1" t="s">
        <v>23</v>
      </c>
      <c r="C3285" s="1" t="str">
        <f t="shared" si="188"/>
        <v>5-2차</v>
      </c>
      <c r="D3285" s="1" t="str">
        <f>"0224H4615S"</f>
        <v>0224H4615S</v>
      </c>
      <c r="E3285" s="1" t="s">
        <v>10</v>
      </c>
      <c r="F3285" s="1" t="str">
        <f>"fde1:103:4:58e8:0:0:0:2"</f>
        <v>fde1:103:4:58e8:0:0:0:2</v>
      </c>
      <c r="G3285" s="1" t="str">
        <f>"0224H461"</f>
        <v>0224H461</v>
      </c>
      <c r="H3285" s="1" t="str">
        <f>"영동간 19L2"</f>
        <v>영동간 19L2</v>
      </c>
      <c r="I3285" s="1" t="s">
        <v>15</v>
      </c>
      <c r="J3285" s="1" t="str">
        <f>"55/55"</f>
        <v>55/55</v>
      </c>
      <c r="K3285" s="1" t="str">
        <f>"2026-07-29 14:20:20"</f>
        <v>2026-07-29 14:20:20</v>
      </c>
      <c r="L3285" s="1" t="str">
        <f>"2023-09-20 15:33:48"</f>
        <v>2023-09-20 15:33:48</v>
      </c>
      <c r="M3285" s="1" t="s">
        <v>4</v>
      </c>
      <c r="N3285" s="1" t="s">
        <v>38</v>
      </c>
      <c r="O3285" s="1" t="s">
        <v>46</v>
      </c>
    </row>
    <row r="3286" spans="2:15" x14ac:dyDescent="0.3">
      <c r="B3286" s="1" t="s">
        <v>23</v>
      </c>
      <c r="C3286" s="1" t="str">
        <f t="shared" si="188"/>
        <v>5-2차</v>
      </c>
      <c r="D3286" s="1" t="str">
        <f>"0224H4645M"</f>
        <v>0224H4645M</v>
      </c>
      <c r="E3286" s="1" t="s">
        <v>10</v>
      </c>
      <c r="F3286" s="1" t="str">
        <f>"fde1:103:4:58cc:0:0:0:2"</f>
        <v>fde1:103:4:58cc:0:0:0:2</v>
      </c>
      <c r="G3286" s="1" t="str">
        <f>"0224H464"</f>
        <v>0224H464</v>
      </c>
      <c r="H3286" s="1" t="str">
        <f>"영동간 20L1"</f>
        <v>영동간 20L1</v>
      </c>
      <c r="I3286" s="1" t="s">
        <v>15</v>
      </c>
      <c r="J3286" s="1" t="str">
        <f>"35/35"</f>
        <v>35/35</v>
      </c>
      <c r="K3286" s="1" t="str">
        <f>"2026-07-29 08:20:21"</f>
        <v>2026-07-29 08:20:21</v>
      </c>
      <c r="L3286" s="1" t="str">
        <f>"2023-09-22 09:36:06"</f>
        <v>2023-09-22 09:36:06</v>
      </c>
      <c r="M3286" s="1" t="s">
        <v>4</v>
      </c>
      <c r="N3286" s="1" t="s">
        <v>38</v>
      </c>
      <c r="O3286" s="1" t="s">
        <v>46</v>
      </c>
    </row>
    <row r="3287" spans="2:15" x14ac:dyDescent="0.3">
      <c r="B3287" s="1" t="s">
        <v>23</v>
      </c>
      <c r="C3287" s="1" t="str">
        <f t="shared" si="188"/>
        <v>5-2차</v>
      </c>
      <c r="D3287" s="1" t="str">
        <f>"0224H4755M"</f>
        <v>0224H4755M</v>
      </c>
      <c r="E3287" s="1" t="s">
        <v>10</v>
      </c>
      <c r="F3287" s="1" t="str">
        <f>"fde1:103:4:5997:0:0:0:2"</f>
        <v>fde1:103:4:5997:0:0:0:2</v>
      </c>
      <c r="G3287" s="1" t="str">
        <f>"0224H475"</f>
        <v>0224H475</v>
      </c>
      <c r="H3287" s="1" t="str">
        <f>"경마간 41L5"</f>
        <v>경마간 41L5</v>
      </c>
      <c r="I3287" s="1" t="s">
        <v>15</v>
      </c>
      <c r="J3287" s="1" t="str">
        <f>"28/28"</f>
        <v>28/28</v>
      </c>
      <c r="K3287" s="1" t="str">
        <f>"2026-07-29 14:20:36"</f>
        <v>2026-07-29 14:20:36</v>
      </c>
      <c r="L3287" s="1" t="str">
        <f>"2023-09-22 09:37:21"</f>
        <v>2023-09-22 09:37:21</v>
      </c>
      <c r="M3287" s="1" t="s">
        <v>4</v>
      </c>
      <c r="N3287" s="1" t="s">
        <v>38</v>
      </c>
      <c r="O3287" s="1" t="s">
        <v>46</v>
      </c>
    </row>
    <row r="3288" spans="2:15" x14ac:dyDescent="0.3">
      <c r="B3288" s="1" t="s">
        <v>23</v>
      </c>
      <c r="C3288" s="1" t="str">
        <f t="shared" si="188"/>
        <v>5-2차</v>
      </c>
      <c r="D3288" s="1" t="str">
        <f>"0224H4835M"</f>
        <v>0224H4835M</v>
      </c>
      <c r="E3288" s="1" t="str">
        <f>"검침실패(3시간 이상)"</f>
        <v>검침실패(3시간 이상)</v>
      </c>
      <c r="F3288" s="1" t="str">
        <f>"fde1:103:4:58e4:0:0:0:2"</f>
        <v>fde1:103:4:58e4:0:0:0:2</v>
      </c>
      <c r="G3288" s="1" t="str">
        <f>"0224H483"</f>
        <v>0224H483</v>
      </c>
      <c r="H3288" s="1" t="str">
        <f>"경마간 41L3"</f>
        <v>경마간 41L3</v>
      </c>
      <c r="I3288" s="1" t="s">
        <v>15</v>
      </c>
      <c r="J3288" s="1" t="str">
        <f>"0/9"</f>
        <v>0/9</v>
      </c>
      <c r="K3288" s="1" t="str">
        <f>"2026-07-29 14:20:11"</f>
        <v>2026-07-29 14:20:11</v>
      </c>
      <c r="L3288" s="1" t="str">
        <f>"2023-09-22 09:38:23"</f>
        <v>2023-09-22 09:38:23</v>
      </c>
      <c r="M3288" s="1" t="s">
        <v>4</v>
      </c>
      <c r="N3288" s="1" t="s">
        <v>38</v>
      </c>
      <c r="O3288" s="1" t="s">
        <v>46</v>
      </c>
    </row>
    <row r="3289" spans="2:15" x14ac:dyDescent="0.3">
      <c r="B3289" s="1" t="s">
        <v>23</v>
      </c>
      <c r="C3289" s="1" t="str">
        <f t="shared" si="188"/>
        <v>5-2차</v>
      </c>
      <c r="D3289" s="1" t="str">
        <f>"0224H4845M"</f>
        <v>0224H4845M</v>
      </c>
      <c r="E3289" s="1" t="s">
        <v>10</v>
      </c>
      <c r="F3289" s="1" t="str">
        <f>"fde1:103:4:5963:0:0:0:2"</f>
        <v>fde1:103:4:5963:0:0:0:2</v>
      </c>
      <c r="G3289" s="1" t="str">
        <f>"0224H484"</f>
        <v>0224H484</v>
      </c>
      <c r="H3289" s="1" t="str">
        <f>"경마간 41L4"</f>
        <v>경마간 41L4</v>
      </c>
      <c r="I3289" s="1" t="s">
        <v>15</v>
      </c>
      <c r="J3289" s="1" t="str">
        <f>"44/59"</f>
        <v>44/59</v>
      </c>
      <c r="K3289" s="1" t="str">
        <f>"2026-07-29 14:20:38"</f>
        <v>2026-07-29 14:20:38</v>
      </c>
      <c r="L3289" s="1" t="str">
        <f>"2023-09-22 09:49:16"</f>
        <v>2023-09-22 09:49:16</v>
      </c>
      <c r="M3289" s="1" t="s">
        <v>4</v>
      </c>
      <c r="N3289" s="1" t="s">
        <v>38</v>
      </c>
      <c r="O3289" s="1" t="s">
        <v>46</v>
      </c>
    </row>
    <row r="3290" spans="2:15" x14ac:dyDescent="0.3">
      <c r="B3290" s="1" t="s">
        <v>23</v>
      </c>
      <c r="C3290" s="1" t="str">
        <f>"6차"</f>
        <v>6차</v>
      </c>
      <c r="D3290" s="1" t="str">
        <f>"0224H5336S"</f>
        <v>0224H5336S</v>
      </c>
      <c r="E3290" s="1" t="s">
        <v>10</v>
      </c>
      <c r="F3290" s="1" t="str">
        <f>"fde3:102:1440:8400:0:0:0:2"</f>
        <v>fde3:102:1440:8400:0:0:0:2</v>
      </c>
      <c r="G3290" s="1" t="str">
        <f>"0224H533"</f>
        <v>0224H533</v>
      </c>
      <c r="H3290" s="1" t="str">
        <f>"수동간 39L4L3"</f>
        <v>수동간 39L4L3</v>
      </c>
      <c r="I3290" s="1" t="s">
        <v>15</v>
      </c>
      <c r="J3290" s="1" t="str">
        <f>"54/56"</f>
        <v>54/56</v>
      </c>
      <c r="K3290" s="1" t="str">
        <f>"2026-07-29 14:20:00"</f>
        <v>2026-07-29 14:20:00</v>
      </c>
      <c r="L3290" s="1" t="str">
        <f>"2024-10-18 10:56:24"</f>
        <v>2024-10-18 10:56:24</v>
      </c>
      <c r="M3290" s="1" t="s">
        <v>45</v>
      </c>
      <c r="N3290" s="1" t="s">
        <v>38</v>
      </c>
      <c r="O3290" s="1" t="s">
        <v>46</v>
      </c>
    </row>
    <row r="3291" spans="2:15" x14ac:dyDescent="0.3">
      <c r="B3291" s="1" t="s">
        <v>23</v>
      </c>
      <c r="C3291" s="1" t="str">
        <f>"6차"</f>
        <v>6차</v>
      </c>
      <c r="D3291" s="1" t="str">
        <f>"0224H5536S"</f>
        <v>0224H5536S</v>
      </c>
      <c r="E3291" s="1" t="s">
        <v>10</v>
      </c>
      <c r="F3291" s="1" t="str">
        <f>"fde3:102:1440:7300:0:0:0:a"</f>
        <v>fde3:102:1440:7300:0:0:0:a</v>
      </c>
      <c r="G3291" s="1" t="str">
        <f>"0224H553"</f>
        <v>0224H553</v>
      </c>
      <c r="H3291" s="1" t="str">
        <f>"수동간 39L8"</f>
        <v>수동간 39L8</v>
      </c>
      <c r="I3291" s="1" t="s">
        <v>15</v>
      </c>
      <c r="J3291" s="1" t="str">
        <f>"40/41"</f>
        <v>40/41</v>
      </c>
      <c r="K3291" s="1" t="str">
        <f>"2026-07-29 14:20:37"</f>
        <v>2026-07-29 14:20:37</v>
      </c>
      <c r="L3291" s="1" t="str">
        <f>"2024-10-18 10:35:26"</f>
        <v>2024-10-18 10:35:26</v>
      </c>
      <c r="M3291" s="1" t="s">
        <v>45</v>
      </c>
      <c r="N3291" s="1" t="s">
        <v>38</v>
      </c>
      <c r="O3291" s="1" t="s">
        <v>46</v>
      </c>
    </row>
    <row r="3292" spans="2:15" x14ac:dyDescent="0.3">
      <c r="B3292" s="1" t="s">
        <v>23</v>
      </c>
      <c r="C3292" s="1" t="str">
        <f>"5-2차"</f>
        <v>5-2차</v>
      </c>
      <c r="D3292" s="1" t="str">
        <f>"0224H5625M"</f>
        <v>0224H5625M</v>
      </c>
      <c r="E3292" s="1" t="s">
        <v>10</v>
      </c>
      <c r="F3292" s="1" t="str">
        <f>"fde1:103:4:593d:0:0:0:2"</f>
        <v>fde1:103:4:593d:0:0:0:2</v>
      </c>
      <c r="G3292" s="1" t="str">
        <f>"0224H562"</f>
        <v>0224H562</v>
      </c>
      <c r="H3292" s="1" t="str">
        <f>"영동간 16L1"</f>
        <v>영동간 16L1</v>
      </c>
      <c r="I3292" s="1" t="s">
        <v>15</v>
      </c>
      <c r="J3292" s="1" t="str">
        <f>"52/52"</f>
        <v>52/52</v>
      </c>
      <c r="K3292" s="1" t="str">
        <f>"2026-07-29 14:20:21"</f>
        <v>2026-07-29 14:20:21</v>
      </c>
      <c r="L3292" s="1" t="str">
        <f>"2023-09-22 09:51:54"</f>
        <v>2023-09-22 09:51:54</v>
      </c>
      <c r="M3292" s="1" t="s">
        <v>4</v>
      </c>
      <c r="N3292" s="1" t="s">
        <v>38</v>
      </c>
      <c r="O3292" s="1" t="s">
        <v>46</v>
      </c>
    </row>
    <row r="3293" spans="2:15" x14ac:dyDescent="0.3">
      <c r="B3293" s="1" t="s">
        <v>23</v>
      </c>
      <c r="C3293" s="1" t="str">
        <f>"5-2차"</f>
        <v>5-2차</v>
      </c>
      <c r="D3293" s="1" t="str">
        <f>"0224H5815M"</f>
        <v>0224H5815M</v>
      </c>
      <c r="E3293" s="1" t="s">
        <v>10</v>
      </c>
      <c r="F3293" s="1" t="str">
        <f>"fde1:103:4:5893:0:0:0:2"</f>
        <v>fde1:103:4:5893:0:0:0:2</v>
      </c>
      <c r="G3293" s="1" t="str">
        <f>"0224H581"</f>
        <v>0224H581</v>
      </c>
      <c r="H3293" s="1" t="str">
        <f>"영동간 19R3"</f>
        <v>영동간 19R3</v>
      </c>
      <c r="I3293" s="1" t="s">
        <v>15</v>
      </c>
      <c r="J3293" s="1" t="str">
        <f>"55/55"</f>
        <v>55/55</v>
      </c>
      <c r="K3293" s="1" t="str">
        <f>"2026-07-29 08:20:53"</f>
        <v>2026-07-29 08:20:53</v>
      </c>
      <c r="L3293" s="1" t="str">
        <f>"2023-09-22 09:54:43"</f>
        <v>2023-09-22 09:54:43</v>
      </c>
      <c r="M3293" s="1" t="s">
        <v>4</v>
      </c>
      <c r="N3293" s="1" t="s">
        <v>38</v>
      </c>
      <c r="O3293" s="1" t="s">
        <v>46</v>
      </c>
    </row>
    <row r="3294" spans="2:15" x14ac:dyDescent="0.3">
      <c r="B3294" s="1" t="s">
        <v>23</v>
      </c>
      <c r="C3294" s="1" t="str">
        <f>"1차"</f>
        <v>1차</v>
      </c>
      <c r="D3294" s="1" t="str">
        <f>"0224H63101"</f>
        <v>0224H63101</v>
      </c>
      <c r="E3294" s="1" t="s">
        <v>10</v>
      </c>
      <c r="F3294" s="1" t="str">
        <f>"10.125.0.163"</f>
        <v>10.125.0.163</v>
      </c>
      <c r="G3294" s="1" t="str">
        <f>"0224H631"</f>
        <v>0224H631</v>
      </c>
      <c r="H3294" s="1" t="str">
        <f>"수동간 39L3"</f>
        <v>수동간 39L3</v>
      </c>
      <c r="I3294" s="1" t="s">
        <v>8</v>
      </c>
      <c r="J3294" s="1" t="str">
        <f>"28/28"</f>
        <v>28/28</v>
      </c>
      <c r="K3294" s="1" t="str">
        <f>"2026-07-29 13:18:02"</f>
        <v>2026-07-29 13:18:02</v>
      </c>
      <c r="L3294" s="1" t="str">
        <f>"2014-11-10 12:11:33"</f>
        <v>2014-11-10 12:11:33</v>
      </c>
      <c r="M3294" s="1" t="s">
        <v>45</v>
      </c>
      <c r="N3294" s="1" t="s">
        <v>38</v>
      </c>
      <c r="O3294" s="1" t="s">
        <v>46</v>
      </c>
    </row>
    <row r="3295" spans="2:15" x14ac:dyDescent="0.3">
      <c r="B3295" s="1" t="s">
        <v>23</v>
      </c>
      <c r="C3295" s="1" t="str">
        <f>"1차"</f>
        <v>1차</v>
      </c>
      <c r="D3295" s="1" t="str">
        <f>"0224H64100"</f>
        <v>0224H64100</v>
      </c>
      <c r="E3295" s="1" t="s">
        <v>10</v>
      </c>
      <c r="F3295" s="1" t="str">
        <f>"10.125.0.162"</f>
        <v>10.125.0.162</v>
      </c>
      <c r="G3295" s="1" t="str">
        <f>"0224H641"</f>
        <v>0224H641</v>
      </c>
      <c r="H3295" s="1" t="str">
        <f>"수동간 39L5"</f>
        <v>수동간 39L5</v>
      </c>
      <c r="I3295" s="1" t="s">
        <v>8</v>
      </c>
      <c r="J3295" s="1" t="str">
        <f>"19/19"</f>
        <v>19/19</v>
      </c>
      <c r="K3295" s="1" t="str">
        <f>"2026-07-29 13:18:02"</f>
        <v>2026-07-29 13:18:02</v>
      </c>
      <c r="L3295" s="1" t="str">
        <f>"2014-11-10 12:12:20"</f>
        <v>2014-11-10 12:12:20</v>
      </c>
      <c r="M3295" s="1" t="s">
        <v>45</v>
      </c>
      <c r="N3295" s="1" t="s">
        <v>38</v>
      </c>
      <c r="O3295" s="1" t="s">
        <v>46</v>
      </c>
    </row>
    <row r="3296" spans="2:15" x14ac:dyDescent="0.3">
      <c r="B3296" s="1" t="s">
        <v>23</v>
      </c>
      <c r="C3296" s="1" t="str">
        <f>"1차"</f>
        <v>1차</v>
      </c>
      <c r="D3296" s="1" t="str">
        <f>"0224H64201"</f>
        <v>0224H64201</v>
      </c>
      <c r="E3296" s="1" t="s">
        <v>10</v>
      </c>
      <c r="F3296" s="1" t="str">
        <f>"10.12.131.135"</f>
        <v>10.12.131.135</v>
      </c>
      <c r="G3296" s="1" t="str">
        <f>"0224H642"</f>
        <v>0224H642</v>
      </c>
      <c r="H3296" s="1" t="str">
        <f>"수동간 39L6"</f>
        <v>수동간 39L6</v>
      </c>
      <c r="I3296" s="1" t="s">
        <v>8</v>
      </c>
      <c r="J3296" s="1" t="str">
        <f>"26/26"</f>
        <v>26/26</v>
      </c>
      <c r="K3296" s="1" t="str">
        <f>"2026-07-29 13:18:03"</f>
        <v>2026-07-29 13:18:03</v>
      </c>
      <c r="L3296" s="1" t="str">
        <f>"2014-11-10 12:12:44"</f>
        <v>2014-11-10 12:12:44</v>
      </c>
      <c r="M3296" s="1" t="s">
        <v>0</v>
      </c>
      <c r="N3296" s="1" t="s">
        <v>38</v>
      </c>
      <c r="O3296" s="1" t="s">
        <v>46</v>
      </c>
    </row>
    <row r="3297" spans="2:15" x14ac:dyDescent="0.3">
      <c r="B3297" s="1" t="s">
        <v>23</v>
      </c>
      <c r="C3297" s="1" t="str">
        <f>"5-2차"</f>
        <v>5-2차</v>
      </c>
      <c r="D3297" s="1" t="str">
        <f>"0224H6715M"</f>
        <v>0224H6715M</v>
      </c>
      <c r="E3297" s="1" t="s">
        <v>10</v>
      </c>
      <c r="F3297" s="1" t="str">
        <f>"fde1:103:4:59bf:0:0:0:2"</f>
        <v>fde1:103:4:59bf:0:0:0:2</v>
      </c>
      <c r="G3297" s="1" t="str">
        <f>"0224H671"</f>
        <v>0224H671</v>
      </c>
      <c r="H3297" s="1" t="str">
        <f>"경마간 39L3"</f>
        <v>경마간 39L3</v>
      </c>
      <c r="I3297" s="1" t="s">
        <v>15</v>
      </c>
      <c r="J3297" s="1" t="str">
        <f>"68/71"</f>
        <v>68/71</v>
      </c>
      <c r="K3297" s="1" t="str">
        <f>"2026-07-29 14:20:38"</f>
        <v>2026-07-29 14:20:38</v>
      </c>
      <c r="L3297" s="1" t="str">
        <f>"2023-09-22 10:09:35"</f>
        <v>2023-09-22 10:09:35</v>
      </c>
      <c r="M3297" s="1" t="s">
        <v>4</v>
      </c>
      <c r="N3297" s="1" t="s">
        <v>38</v>
      </c>
      <c r="O3297" s="1" t="s">
        <v>46</v>
      </c>
    </row>
    <row r="3298" spans="2:15" x14ac:dyDescent="0.3">
      <c r="B3298" s="1" t="s">
        <v>23</v>
      </c>
      <c r="C3298" s="1" t="str">
        <f>"5-2차"</f>
        <v>5-2차</v>
      </c>
      <c r="D3298" s="1" t="str">
        <f>"0224H6925M"</f>
        <v>0224H6925M</v>
      </c>
      <c r="E3298" s="1" t="s">
        <v>10</v>
      </c>
      <c r="F3298" s="1" t="str">
        <f>"fde1:103:4:572b:0:0:0:2"</f>
        <v>fde1:103:4:572b:0:0:0:2</v>
      </c>
      <c r="G3298" s="1" t="str">
        <f>"0224H692"</f>
        <v>0224H692</v>
      </c>
      <c r="H3298" s="1" t="str">
        <f>"경마간 39L1"</f>
        <v>경마간 39L1</v>
      </c>
      <c r="I3298" s="1" t="s">
        <v>15</v>
      </c>
      <c r="J3298" s="1" t="str">
        <f>"43/43"</f>
        <v>43/43</v>
      </c>
      <c r="K3298" s="1" t="str">
        <f>"2026-07-29 14:20:21"</f>
        <v>2026-07-29 14:20:21</v>
      </c>
      <c r="L3298" s="1" t="str">
        <f>"2023-09-22 10:29:53"</f>
        <v>2023-09-22 10:29:53</v>
      </c>
      <c r="M3298" s="1" t="s">
        <v>4</v>
      </c>
      <c r="N3298" s="1" t="s">
        <v>38</v>
      </c>
      <c r="O3298" s="1" t="s">
        <v>46</v>
      </c>
    </row>
    <row r="3299" spans="2:15" x14ac:dyDescent="0.3">
      <c r="B3299" s="1" t="s">
        <v>23</v>
      </c>
      <c r="C3299" s="1" t="str">
        <f>"1차"</f>
        <v>1차</v>
      </c>
      <c r="D3299" s="1" t="str">
        <f>"0224H70101"</f>
        <v>0224H70101</v>
      </c>
      <c r="E3299" s="1" t="s">
        <v>10</v>
      </c>
      <c r="F3299" s="1" t="str">
        <f>"10.125.0.171"</f>
        <v>10.125.0.171</v>
      </c>
      <c r="G3299" s="1" t="str">
        <f>"0224H701"</f>
        <v>0224H701</v>
      </c>
      <c r="H3299" s="1" t="str">
        <f>"수동간 42"</f>
        <v>수동간 42</v>
      </c>
      <c r="I3299" s="1" t="s">
        <v>8</v>
      </c>
      <c r="J3299" s="1" t="str">
        <f>"8/9"</f>
        <v>8/9</v>
      </c>
      <c r="K3299" s="1" t="str">
        <f>"2026-07-29 13:18:02"</f>
        <v>2026-07-29 13:18:02</v>
      </c>
      <c r="L3299" s="1" t="str">
        <f>"2014-11-12 14:26:00"</f>
        <v>2014-11-12 14:26:00</v>
      </c>
      <c r="M3299" s="1" t="s">
        <v>45</v>
      </c>
      <c r="N3299" s="1" t="s">
        <v>38</v>
      </c>
      <c r="O3299" s="1" t="s">
        <v>46</v>
      </c>
    </row>
    <row r="3300" spans="2:15" x14ac:dyDescent="0.3">
      <c r="B3300" s="1" t="s">
        <v>23</v>
      </c>
      <c r="C3300" s="1" t="str">
        <f>"1차"</f>
        <v>1차</v>
      </c>
      <c r="D3300" s="1" t="str">
        <f>"0224H71100"</f>
        <v>0224H71100</v>
      </c>
      <c r="E3300" s="1" t="s">
        <v>10</v>
      </c>
      <c r="F3300" s="1" t="str">
        <f>"10.14.11.190"</f>
        <v>10.14.11.190</v>
      </c>
      <c r="G3300" s="1" t="str">
        <f>"0224H711"</f>
        <v>0224H711</v>
      </c>
      <c r="H3300" s="1" t="str">
        <f>"수동간 41"</f>
        <v>수동간 41</v>
      </c>
      <c r="I3300" s="1" t="s">
        <v>8</v>
      </c>
      <c r="J3300" s="1" t="str">
        <f>"46/46"</f>
        <v>46/46</v>
      </c>
      <c r="K3300" s="1" t="str">
        <f>"2026-07-29 07:18:02"</f>
        <v>2026-07-29 07:18:02</v>
      </c>
      <c r="L3300" s="1" t="str">
        <f>"2014-11-12 14:27:12"</f>
        <v>2014-11-12 14:27:12</v>
      </c>
      <c r="M3300" s="1" t="s">
        <v>3</v>
      </c>
      <c r="N3300" s="1" t="s">
        <v>38</v>
      </c>
      <c r="O3300" s="1" t="s">
        <v>46</v>
      </c>
    </row>
    <row r="3301" spans="2:15" x14ac:dyDescent="0.3">
      <c r="B3301" s="1" t="s">
        <v>23</v>
      </c>
      <c r="C3301" s="1" t="str">
        <f>"1차"</f>
        <v>1차</v>
      </c>
      <c r="D3301" s="1" t="str">
        <f>"0224H71201"</f>
        <v>0224H71201</v>
      </c>
      <c r="E3301" s="1" t="s">
        <v>10</v>
      </c>
      <c r="F3301" s="1" t="str">
        <f>"10.14.9.190"</f>
        <v>10.14.9.190</v>
      </c>
      <c r="G3301" s="1" t="str">
        <f>"0224H712"</f>
        <v>0224H712</v>
      </c>
      <c r="H3301" s="1" t="str">
        <f>"수동간 42L1"</f>
        <v>수동간 42L1</v>
      </c>
      <c r="I3301" s="1" t="s">
        <v>8</v>
      </c>
      <c r="J3301" s="1" t="str">
        <f>"20/20"</f>
        <v>20/20</v>
      </c>
      <c r="K3301" s="1" t="str">
        <f>"2026-07-29 13:18:01"</f>
        <v>2026-07-29 13:18:01</v>
      </c>
      <c r="L3301" s="1" t="str">
        <f>"2014-11-12 14:26:27"</f>
        <v>2014-11-12 14:26:27</v>
      </c>
      <c r="M3301" s="1" t="s">
        <v>3</v>
      </c>
      <c r="N3301" s="1" t="s">
        <v>38</v>
      </c>
      <c r="O3301" s="1" t="s">
        <v>46</v>
      </c>
    </row>
    <row r="3302" spans="2:15" x14ac:dyDescent="0.3">
      <c r="B3302" s="1" t="s">
        <v>23</v>
      </c>
      <c r="C3302" s="1" t="str">
        <f>"5-2차"</f>
        <v>5-2차</v>
      </c>
      <c r="D3302" s="1" t="str">
        <f>"0224H7725S"</f>
        <v>0224H7725S</v>
      </c>
      <c r="E3302" s="1" t="s">
        <v>10</v>
      </c>
      <c r="F3302" s="1" t="str">
        <f>"fde1:103:4:59a5:0:0:0:2"</f>
        <v>fde1:103:4:59a5:0:0:0:2</v>
      </c>
      <c r="G3302" s="1" t="str">
        <f>"0224H772"</f>
        <v>0224H772</v>
      </c>
      <c r="H3302" s="1" t="str">
        <f>"영동간 15R3L1"</f>
        <v>영동간 15R3L1</v>
      </c>
      <c r="I3302" s="1" t="s">
        <v>15</v>
      </c>
      <c r="J3302" s="1" t="str">
        <f>"43/43"</f>
        <v>43/43</v>
      </c>
      <c r="K3302" s="1" t="str">
        <f>"2026-07-29 14:20:21"</f>
        <v>2026-07-29 14:20:21</v>
      </c>
      <c r="L3302" s="1" t="str">
        <f>"2023-09-22 10:11:58"</f>
        <v>2023-09-22 10:11:58</v>
      </c>
      <c r="M3302" s="1" t="s">
        <v>4</v>
      </c>
      <c r="N3302" s="1" t="s">
        <v>38</v>
      </c>
      <c r="O3302" s="1" t="s">
        <v>46</v>
      </c>
    </row>
    <row r="3303" spans="2:15" x14ac:dyDescent="0.3">
      <c r="B3303" s="1" t="s">
        <v>23</v>
      </c>
      <c r="C3303" s="1" t="str">
        <f>"5-2차"</f>
        <v>5-2차</v>
      </c>
      <c r="D3303" s="1" t="str">
        <f>"0224H7815S"</f>
        <v>0224H7815S</v>
      </c>
      <c r="E3303" s="1" t="s">
        <v>10</v>
      </c>
      <c r="F3303" s="1" t="str">
        <f>"fde1:103:4:574c:0:0:0:2"</f>
        <v>fde1:103:4:574c:0:0:0:2</v>
      </c>
      <c r="G3303" s="1" t="str">
        <f>"0224H781"</f>
        <v>0224H781</v>
      </c>
      <c r="H3303" s="1" t="str">
        <f>"경마간 37L1"</f>
        <v>경마간 37L1</v>
      </c>
      <c r="I3303" s="1" t="s">
        <v>15</v>
      </c>
      <c r="J3303" s="1" t="str">
        <f>"45/45"</f>
        <v>45/45</v>
      </c>
      <c r="K3303" s="1" t="str">
        <f>"2026-07-29 14:20:27"</f>
        <v>2026-07-29 14:20:27</v>
      </c>
      <c r="L3303" s="1" t="str">
        <f>"2023-09-22 10:45:00"</f>
        <v>2023-09-22 10:45:00</v>
      </c>
      <c r="M3303" s="1" t="s">
        <v>4</v>
      </c>
      <c r="N3303" s="1" t="s">
        <v>38</v>
      </c>
      <c r="O3303" s="1" t="s">
        <v>46</v>
      </c>
    </row>
    <row r="3304" spans="2:15" x14ac:dyDescent="0.3">
      <c r="B3304" s="1" t="s">
        <v>23</v>
      </c>
      <c r="C3304" s="1" t="str">
        <f>"1차"</f>
        <v>1차</v>
      </c>
      <c r="D3304" s="1" t="str">
        <f>"0224H80100"</f>
        <v>0224H80100</v>
      </c>
      <c r="E3304" s="1" t="s">
        <v>10</v>
      </c>
      <c r="F3304" s="1" t="str">
        <f>"10.125.0.186"</f>
        <v>10.125.0.186</v>
      </c>
      <c r="G3304" s="1" t="str">
        <f>"0224H801"</f>
        <v>0224H801</v>
      </c>
      <c r="H3304" s="1" t="str">
        <f>"수동간 43"</f>
        <v>수동간 43</v>
      </c>
      <c r="I3304" s="1" t="s">
        <v>8</v>
      </c>
      <c r="J3304" s="1" t="str">
        <f>"33/33"</f>
        <v>33/33</v>
      </c>
      <c r="K3304" s="1" t="str">
        <f>"2026-07-29 13:18:02"</f>
        <v>2026-07-29 13:18:02</v>
      </c>
      <c r="L3304" s="1" t="str">
        <f>"2015-01-17 09:29:48"</f>
        <v>2015-01-17 09:29:48</v>
      </c>
      <c r="M3304" s="1" t="s">
        <v>45</v>
      </c>
      <c r="N3304" s="1" t="s">
        <v>38</v>
      </c>
      <c r="O3304" s="1" t="s">
        <v>46</v>
      </c>
    </row>
    <row r="3305" spans="2:15" x14ac:dyDescent="0.3">
      <c r="B3305" s="1" t="s">
        <v>23</v>
      </c>
      <c r="C3305" s="1" t="str">
        <f>"4차"</f>
        <v>4차</v>
      </c>
      <c r="D3305" s="1" t="str">
        <f>"0224H80244"</f>
        <v>0224H80244</v>
      </c>
      <c r="E3305" s="1" t="s">
        <v>10</v>
      </c>
      <c r="F3305" s="1" t="str">
        <f>"10.125.113.66"</f>
        <v>10.125.113.66</v>
      </c>
      <c r="G3305" s="1" t="str">
        <f>"0224H802"</f>
        <v>0224H802</v>
      </c>
      <c r="H3305" s="1" t="str">
        <f>"수동간 43L1"</f>
        <v>수동간 43L1</v>
      </c>
      <c r="I3305" s="1" t="s">
        <v>8</v>
      </c>
      <c r="J3305" s="1" t="str">
        <f>"16/16"</f>
        <v>16/16</v>
      </c>
      <c r="K3305" s="1" t="str">
        <f>"2026-07-29 13:18:02"</f>
        <v>2026-07-29 13:18:02</v>
      </c>
      <c r="L3305" s="1" t="str">
        <f>"2023-10-17 09:45:27"</f>
        <v>2023-10-17 09:45:27</v>
      </c>
      <c r="M3305" s="1" t="s">
        <v>45</v>
      </c>
      <c r="N3305" s="1" t="s">
        <v>38</v>
      </c>
      <c r="O3305" s="1" t="s">
        <v>46</v>
      </c>
    </row>
    <row r="3306" spans="2:15" x14ac:dyDescent="0.3">
      <c r="B3306" s="1" t="s">
        <v>23</v>
      </c>
      <c r="C3306" s="1" t="str">
        <f>"5-2차"</f>
        <v>5-2차</v>
      </c>
      <c r="D3306" s="1" t="str">
        <f>"0224H8415M"</f>
        <v>0224H8415M</v>
      </c>
      <c r="E3306" s="1" t="s">
        <v>10</v>
      </c>
      <c r="F3306" s="1" t="str">
        <f>"fde1:103:4:5762:0:0:0:2"</f>
        <v>fde1:103:4:5762:0:0:0:2</v>
      </c>
      <c r="G3306" s="1" t="str">
        <f>"0224H841"</f>
        <v>0224H841</v>
      </c>
      <c r="H3306" s="1" t="str">
        <f>"수동간 39L5R5"</f>
        <v>수동간 39L5R5</v>
      </c>
      <c r="I3306" s="1" t="s">
        <v>15</v>
      </c>
      <c r="J3306" s="1" t="str">
        <f>"28/28"</f>
        <v>28/28</v>
      </c>
      <c r="K3306" s="1" t="str">
        <f>"2026-07-29 14:20:23"</f>
        <v>2026-07-29 14:20:23</v>
      </c>
      <c r="L3306" s="1" t="str">
        <f>"2023-09-22 10:46:34"</f>
        <v>2023-09-22 10:46:34</v>
      </c>
      <c r="M3306" s="1" t="s">
        <v>4</v>
      </c>
      <c r="N3306" s="1" t="s">
        <v>38</v>
      </c>
      <c r="O3306" s="1" t="s">
        <v>46</v>
      </c>
    </row>
    <row r="3307" spans="2:15" x14ac:dyDescent="0.3">
      <c r="B3307" s="1" t="s">
        <v>23</v>
      </c>
      <c r="C3307" s="1" t="str">
        <f>"5-2차"</f>
        <v>5-2차</v>
      </c>
      <c r="D3307" s="1" t="str">
        <f>"0224H8425S"</f>
        <v>0224H8425S</v>
      </c>
      <c r="E3307" s="1" t="s">
        <v>10</v>
      </c>
      <c r="F3307" s="1" t="str">
        <f>"fde1:103:4:575c:0:0:0:2"</f>
        <v>fde1:103:4:575c:0:0:0:2</v>
      </c>
      <c r="G3307" s="1" t="str">
        <f>"0224H842"</f>
        <v>0224H842</v>
      </c>
      <c r="H3307" s="1" t="str">
        <f>"수동간 39L5R4"</f>
        <v>수동간 39L5R4</v>
      </c>
      <c r="I3307" s="1" t="s">
        <v>15</v>
      </c>
      <c r="J3307" s="1" t="str">
        <f>"52/52"</f>
        <v>52/52</v>
      </c>
      <c r="K3307" s="1" t="str">
        <f>"2026-07-29 14:20:39"</f>
        <v>2026-07-29 14:20:39</v>
      </c>
      <c r="L3307" s="1" t="str">
        <f>"2023-09-22 10:48:46"</f>
        <v>2023-09-22 10:48:46</v>
      </c>
      <c r="M3307" s="1" t="s">
        <v>4</v>
      </c>
      <c r="N3307" s="1" t="s">
        <v>38</v>
      </c>
      <c r="O3307" s="1" t="s">
        <v>46</v>
      </c>
    </row>
    <row r="3308" spans="2:15" x14ac:dyDescent="0.3">
      <c r="B3308" s="1" t="s">
        <v>23</v>
      </c>
      <c r="C3308" s="1" t="str">
        <f>"5-2차"</f>
        <v>5-2차</v>
      </c>
      <c r="D3308" s="1" t="str">
        <f>"0224H8435S"</f>
        <v>0224H8435S</v>
      </c>
      <c r="E3308" s="1" t="s">
        <v>10</v>
      </c>
      <c r="F3308" s="1" t="str">
        <f>"fde1:103:4:5715:0:0:0:2"</f>
        <v>fde1:103:4:5715:0:0:0:2</v>
      </c>
      <c r="G3308" s="1" t="str">
        <f>"0224H843"</f>
        <v>0224H843</v>
      </c>
      <c r="H3308" s="1" t="str">
        <f>"수동간 39L5R6"</f>
        <v>수동간 39L5R6</v>
      </c>
      <c r="I3308" s="1" t="s">
        <v>15</v>
      </c>
      <c r="J3308" s="1" t="str">
        <f>"128/128"</f>
        <v>128/128</v>
      </c>
      <c r="K3308" s="1" t="str">
        <f>"2026-07-29 08:20:31"</f>
        <v>2026-07-29 08:20:31</v>
      </c>
      <c r="L3308" s="1" t="str">
        <f>"2023-09-22 11:04:37"</f>
        <v>2023-09-22 11:04:37</v>
      </c>
      <c r="M3308" s="1" t="s">
        <v>4</v>
      </c>
      <c r="N3308" s="1" t="s">
        <v>38</v>
      </c>
      <c r="O3308" s="1" t="s">
        <v>46</v>
      </c>
    </row>
    <row r="3309" spans="2:15" x14ac:dyDescent="0.3">
      <c r="B3309" s="1" t="s">
        <v>23</v>
      </c>
      <c r="C3309" s="1" t="str">
        <f>"5-2차"</f>
        <v>5-2차</v>
      </c>
      <c r="D3309" s="1" t="str">
        <f>"0224H8545M"</f>
        <v>0224H8545M</v>
      </c>
      <c r="E3309" s="1" t="s">
        <v>10</v>
      </c>
      <c r="F3309" s="1" t="str">
        <f>"fde1:103:4:577f:0:0:0:2"</f>
        <v>fde1:103:4:577f:0:0:0:2</v>
      </c>
      <c r="G3309" s="1" t="str">
        <f>"0224H854"</f>
        <v>0224H854</v>
      </c>
      <c r="H3309" s="1" t="str">
        <f>"영동간 11"</f>
        <v>영동간 11</v>
      </c>
      <c r="I3309" s="1" t="s">
        <v>15</v>
      </c>
      <c r="J3309" s="1" t="str">
        <f>"31/31"</f>
        <v>31/31</v>
      </c>
      <c r="K3309" s="1" t="str">
        <f>"2026-07-29 14:20:23"</f>
        <v>2026-07-29 14:20:23</v>
      </c>
      <c r="L3309" s="1" t="str">
        <f>"2023-09-22 11:05:41"</f>
        <v>2023-09-22 11:05:41</v>
      </c>
      <c r="M3309" s="1" t="s">
        <v>4</v>
      </c>
      <c r="N3309" s="1" t="s">
        <v>38</v>
      </c>
      <c r="O3309" s="1" t="s">
        <v>46</v>
      </c>
    </row>
    <row r="3310" spans="2:15" x14ac:dyDescent="0.3">
      <c r="B3310" s="1" t="s">
        <v>23</v>
      </c>
      <c r="C3310" s="1" t="str">
        <f>"5-2차"</f>
        <v>5-2차</v>
      </c>
      <c r="D3310" s="1" t="str">
        <f>"0224H8825M"</f>
        <v>0224H8825M</v>
      </c>
      <c r="E3310" s="1" t="s">
        <v>10</v>
      </c>
      <c r="F3310" s="1" t="str">
        <f>"fde1:103:4:572f:0:0:0:2"</f>
        <v>fde1:103:4:572f:0:0:0:2</v>
      </c>
      <c r="G3310" s="1" t="str">
        <f>"0224H882"</f>
        <v>0224H882</v>
      </c>
      <c r="H3310" s="1" t="str">
        <f>"영동간 15R5L2"</f>
        <v>영동간 15R5L2</v>
      </c>
      <c r="I3310" s="1" t="s">
        <v>15</v>
      </c>
      <c r="J3310" s="1" t="str">
        <f>"53/53"</f>
        <v>53/53</v>
      </c>
      <c r="K3310" s="1" t="str">
        <f>"2026-07-29 14:20:31"</f>
        <v>2026-07-29 14:20:31</v>
      </c>
      <c r="L3310" s="1" t="str">
        <f>"2023-09-22 11:06:46"</f>
        <v>2023-09-22 11:06:46</v>
      </c>
      <c r="M3310" s="1" t="s">
        <v>4</v>
      </c>
      <c r="N3310" s="1" t="s">
        <v>38</v>
      </c>
      <c r="O3310" s="1" t="s">
        <v>46</v>
      </c>
    </row>
    <row r="3311" spans="2:15" x14ac:dyDescent="0.3">
      <c r="B3311" s="1" t="s">
        <v>23</v>
      </c>
      <c r="C3311" s="1" t="str">
        <f>"5-1차"</f>
        <v>5-1차</v>
      </c>
      <c r="D3311" s="1" t="str">
        <f>"0224H9515M"</f>
        <v>0224H9515M</v>
      </c>
      <c r="E3311" s="1" t="s">
        <v>10</v>
      </c>
      <c r="F3311" s="1" t="str">
        <f>"fde3:102:1440:7300:0:0:0:4"</f>
        <v>fde3:102:1440:7300:0:0:0:4</v>
      </c>
      <c r="G3311" s="1" t="str">
        <f>"0224H951"</f>
        <v>0224H951</v>
      </c>
      <c r="H3311" s="1" t="str">
        <f>"영동간 15R5R3"</f>
        <v>영동간 15R5R3</v>
      </c>
      <c r="I3311" s="1" t="s">
        <v>15</v>
      </c>
      <c r="J3311" s="1" t="str">
        <f>"53/54"</f>
        <v>53/54</v>
      </c>
      <c r="K3311" s="1" t="str">
        <f>"2026-07-29 14:20:24"</f>
        <v>2026-07-29 14:20:24</v>
      </c>
      <c r="L3311" s="1" t="str">
        <f>"2022-11-04 15:25:49"</f>
        <v>2022-11-04 15:25:49</v>
      </c>
      <c r="M3311" s="1" t="s">
        <v>45</v>
      </c>
      <c r="N3311" s="1" t="s">
        <v>38</v>
      </c>
      <c r="O3311" s="1" t="s">
        <v>46</v>
      </c>
    </row>
    <row r="3312" spans="2:15" x14ac:dyDescent="0.3">
      <c r="B3312" s="1" t="s">
        <v>23</v>
      </c>
      <c r="C3312" s="1" t="str">
        <f>"6차"</f>
        <v>6차</v>
      </c>
      <c r="D3312" s="1" t="str">
        <f>"0224H9826S"</f>
        <v>0224H9826S</v>
      </c>
      <c r="E3312" s="1" t="s">
        <v>10</v>
      </c>
      <c r="F3312" s="1" t="str">
        <f>"fde1:103:4:9297:0:0:0:2"</f>
        <v>fde1:103:4:9297:0:0:0:2</v>
      </c>
      <c r="G3312" s="1" t="str">
        <f>"0224H982"</f>
        <v>0224H982</v>
      </c>
      <c r="H3312" s="1" t="str">
        <f>"경마간 33"</f>
        <v>경마간 33</v>
      </c>
      <c r="I3312" s="1" t="s">
        <v>15</v>
      </c>
      <c r="J3312" s="1" t="str">
        <f>"78/82"</f>
        <v>78/82</v>
      </c>
      <c r="K3312" s="1" t="str">
        <f>"2026-07-29 14:20:31"</f>
        <v>2026-07-29 14:20:31</v>
      </c>
      <c r="L3312" s="1" t="str">
        <f>"2024-09-25 19:44:47"</f>
        <v>2024-09-25 19:44:47</v>
      </c>
      <c r="M3312" s="1" t="s">
        <v>4</v>
      </c>
      <c r="N3312" s="1" t="s">
        <v>38</v>
      </c>
      <c r="O3312" s="1" t="s">
        <v>46</v>
      </c>
    </row>
    <row r="3313" spans="2:15" x14ac:dyDescent="0.3">
      <c r="B3313" s="1" t="s">
        <v>23</v>
      </c>
      <c r="C3313" s="1" t="str">
        <f>"5-2차"</f>
        <v>5-2차</v>
      </c>
      <c r="D3313" s="1" t="str">
        <f>"0225A1035M"</f>
        <v>0225A1035M</v>
      </c>
      <c r="E3313" s="1" t="s">
        <v>10</v>
      </c>
      <c r="F3313" s="1" t="str">
        <f>"fde1:103:4:5701:0:0:0:2"</f>
        <v>fde1:103:4:5701:0:0:0:2</v>
      </c>
      <c r="G3313" s="1" t="str">
        <f>"0225A103"</f>
        <v>0225A103</v>
      </c>
      <c r="H3313" s="1" t="str">
        <f>"왕십로 90R13"</f>
        <v>왕십로 90R13</v>
      </c>
      <c r="I3313" s="1" t="s">
        <v>15</v>
      </c>
      <c r="J3313" s="1" t="str">
        <f>"80/80"</f>
        <v>80/80</v>
      </c>
      <c r="K3313" s="1" t="str">
        <f>"2026-07-29 14:20:31"</f>
        <v>2026-07-29 14:20:31</v>
      </c>
      <c r="L3313" s="1" t="str">
        <f>"2023-09-22 11:21:30"</f>
        <v>2023-09-22 11:21:30</v>
      </c>
      <c r="M3313" s="1" t="s">
        <v>4</v>
      </c>
      <c r="N3313" s="1" t="s">
        <v>38</v>
      </c>
      <c r="O3313" s="1" t="s">
        <v>46</v>
      </c>
    </row>
    <row r="3314" spans="2:15" x14ac:dyDescent="0.3">
      <c r="B3314" s="1" t="s">
        <v>23</v>
      </c>
      <c r="C3314" s="1" t="str">
        <f>"5-2차"</f>
        <v>5-2차</v>
      </c>
      <c r="D3314" s="1" t="str">
        <f>"0225A1115M"</f>
        <v>0225A1115M</v>
      </c>
      <c r="E3314" s="1" t="s">
        <v>10</v>
      </c>
      <c r="F3314" s="1" t="str">
        <f>"fde1:103:4:57ab:0:0:0:2"</f>
        <v>fde1:103:4:57ab:0:0:0:2</v>
      </c>
      <c r="G3314" s="1" t="str">
        <f>"0225A111"</f>
        <v>0225A111</v>
      </c>
      <c r="H3314" s="1" t="str">
        <f>"왕십로 90R10"</f>
        <v>왕십로 90R10</v>
      </c>
      <c r="I3314" s="1" t="s">
        <v>15</v>
      </c>
      <c r="J3314" s="1" t="str">
        <f>"27/28"</f>
        <v>27/28</v>
      </c>
      <c r="K3314" s="1" t="str">
        <f>"2026-07-29 14:20:38"</f>
        <v>2026-07-29 14:20:38</v>
      </c>
      <c r="L3314" s="1" t="str">
        <f>"2023-09-22 11:23:09"</f>
        <v>2023-09-22 11:23:09</v>
      </c>
      <c r="M3314" s="1" t="s">
        <v>4</v>
      </c>
      <c r="N3314" s="1" t="s">
        <v>38</v>
      </c>
      <c r="O3314" s="1" t="s">
        <v>46</v>
      </c>
    </row>
    <row r="3315" spans="2:15" x14ac:dyDescent="0.3">
      <c r="B3315" s="1" t="s">
        <v>23</v>
      </c>
      <c r="C3315" s="1" t="str">
        <f>"4차"</f>
        <v>4차</v>
      </c>
      <c r="D3315" s="1" t="str">
        <f>"0225A19139"</f>
        <v>0225A19139</v>
      </c>
      <c r="E3315" s="1" t="s">
        <v>10</v>
      </c>
      <c r="F3315" s="1" t="str">
        <f>"10.12.133.227"</f>
        <v>10.12.133.227</v>
      </c>
      <c r="G3315" s="1" t="str">
        <f>"0225A191"</f>
        <v>0225A191</v>
      </c>
      <c r="H3315" s="1" t="str">
        <f>"왕십로 56-6"</f>
        <v>왕십로 56-6</v>
      </c>
      <c r="I3315" s="1" t="s">
        <v>17</v>
      </c>
      <c r="J3315" s="1" t="str">
        <f>"20/20"</f>
        <v>20/20</v>
      </c>
      <c r="K3315" s="1" t="str">
        <f>"2026-07-29 13:18:03"</f>
        <v>2026-07-29 13:18:03</v>
      </c>
      <c r="L3315" s="1" t="str">
        <f>"2018-06-25 12:28:08"</f>
        <v>2018-06-25 12:28:08</v>
      </c>
      <c r="M3315" s="1" t="s">
        <v>0</v>
      </c>
      <c r="N3315" s="1" t="s">
        <v>38</v>
      </c>
      <c r="O3315" s="1" t="s">
        <v>46</v>
      </c>
    </row>
    <row r="3316" spans="2:15" x14ac:dyDescent="0.3">
      <c r="B3316" s="1" t="s">
        <v>23</v>
      </c>
      <c r="C3316" s="1" t="str">
        <f>"4차"</f>
        <v>4차</v>
      </c>
      <c r="D3316" s="1" t="str">
        <f>"0225A26139"</f>
        <v>0225A26139</v>
      </c>
      <c r="E3316" s="1" t="s">
        <v>10</v>
      </c>
      <c r="F3316" s="1" t="str">
        <f>"10.12.132.207"</f>
        <v>10.12.132.207</v>
      </c>
      <c r="G3316" s="1" t="str">
        <f>"0225A261"</f>
        <v>0225A261</v>
      </c>
      <c r="H3316" s="1" t="str">
        <f>"왕십로 82-3"</f>
        <v>왕십로 82-3</v>
      </c>
      <c r="I3316" s="1" t="s">
        <v>17</v>
      </c>
      <c r="J3316" s="1" t="str">
        <f>"2/2"</f>
        <v>2/2</v>
      </c>
      <c r="K3316" s="1" t="str">
        <f>"2026-07-29 13:18:02"</f>
        <v>2026-07-29 13:18:02</v>
      </c>
      <c r="L3316" s="1" t="str">
        <f>"2018-06-23 09:47:26"</f>
        <v>2018-06-23 09:47:26</v>
      </c>
      <c r="M3316" s="1" t="s">
        <v>0</v>
      </c>
      <c r="N3316" s="1" t="s">
        <v>38</v>
      </c>
      <c r="O3316" s="1" t="s">
        <v>46</v>
      </c>
    </row>
    <row r="3317" spans="2:15" x14ac:dyDescent="0.3">
      <c r="B3317" s="1" t="s">
        <v>23</v>
      </c>
      <c r="C3317" s="1" t="str">
        <f>"4차"</f>
        <v>4차</v>
      </c>
      <c r="D3317" s="1" t="str">
        <f>"0225A27145"</f>
        <v>0225A27145</v>
      </c>
      <c r="E3317" s="1" t="s">
        <v>10</v>
      </c>
      <c r="F3317" s="1" t="str">
        <f>"10.14.13.127"</f>
        <v>10.14.13.127</v>
      </c>
      <c r="G3317" s="1" t="str">
        <f>"0225A271"</f>
        <v>0225A271</v>
      </c>
      <c r="H3317" s="1" t="str">
        <f>"왕십로 82-2"</f>
        <v>왕십로 82-2</v>
      </c>
      <c r="I3317" s="1" t="s">
        <v>17</v>
      </c>
      <c r="J3317" s="1" t="str">
        <f>"5/5"</f>
        <v>5/5</v>
      </c>
      <c r="K3317" s="1" t="str">
        <f>"2026-07-29 13:18:02"</f>
        <v>2026-07-29 13:18:02</v>
      </c>
      <c r="L3317" s="1" t="str">
        <f>"2023-12-12 16:48:34"</f>
        <v>2023-12-12 16:48:34</v>
      </c>
      <c r="M3317" s="1" t="s">
        <v>3</v>
      </c>
      <c r="N3317" s="1" t="s">
        <v>38</v>
      </c>
      <c r="O3317" s="1" t="s">
        <v>46</v>
      </c>
    </row>
    <row r="3318" spans="2:15" x14ac:dyDescent="0.3">
      <c r="B3318" s="1" t="s">
        <v>23</v>
      </c>
      <c r="C3318" s="1" t="str">
        <f>"4차"</f>
        <v>4차</v>
      </c>
      <c r="D3318" s="1" t="str">
        <f>"0225A28239"</f>
        <v>0225A28239</v>
      </c>
      <c r="E3318" s="1" t="s">
        <v>10</v>
      </c>
      <c r="F3318" s="1" t="str">
        <f>"10.12.133.72"</f>
        <v>10.12.133.72</v>
      </c>
      <c r="G3318" s="1" t="str">
        <f>"0225A282"</f>
        <v>0225A282</v>
      </c>
      <c r="H3318" s="1" t="str">
        <f>"왕십로 82-1"</f>
        <v>왕십로 82-1</v>
      </c>
      <c r="I3318" s="1" t="s">
        <v>17</v>
      </c>
      <c r="J3318" s="1" t="str">
        <f>"4/4"</f>
        <v>4/4</v>
      </c>
      <c r="K3318" s="1" t="str">
        <f>"2026-07-29 13:18:03"</f>
        <v>2026-07-29 13:18:03</v>
      </c>
      <c r="L3318" s="1" t="str">
        <f>"2018-06-25 10:50:21"</f>
        <v>2018-06-25 10:50:21</v>
      </c>
      <c r="M3318" s="1" t="s">
        <v>0</v>
      </c>
      <c r="N3318" s="1" t="s">
        <v>38</v>
      </c>
      <c r="O3318" s="1" t="s">
        <v>46</v>
      </c>
    </row>
    <row r="3319" spans="2:15" x14ac:dyDescent="0.3">
      <c r="B3319" s="1" t="s">
        <v>23</v>
      </c>
      <c r="C3319" s="1" t="s">
        <v>16</v>
      </c>
      <c r="D3319" s="1" t="str">
        <f>"0225A33141"</f>
        <v>0225A33141</v>
      </c>
      <c r="E3319" s="1" t="s">
        <v>10</v>
      </c>
      <c r="F3319" s="1" t="str">
        <f>"10.14.7.129"</f>
        <v>10.14.7.129</v>
      </c>
      <c r="G3319" s="1" t="str">
        <f>"0225A331"</f>
        <v>0225A331</v>
      </c>
      <c r="H3319" s="1" t="str">
        <f>"왕십로 90R5R1"</f>
        <v>왕십로 90R5R1</v>
      </c>
      <c r="I3319" s="1" t="s">
        <v>17</v>
      </c>
      <c r="J3319" s="1" t="str">
        <f>"51/63"</f>
        <v>51/63</v>
      </c>
      <c r="K3319" s="1" t="str">
        <f>"2026-07-29 13:18:03"</f>
        <v>2026-07-29 13:18:03</v>
      </c>
      <c r="L3319" s="1" t="str">
        <f>"2022-11-11 12:13:01"</f>
        <v>2022-11-11 12:13:01</v>
      </c>
      <c r="M3319" s="1" t="s">
        <v>3</v>
      </c>
      <c r="N3319" s="1" t="s">
        <v>38</v>
      </c>
      <c r="O3319" s="1" t="s">
        <v>46</v>
      </c>
    </row>
    <row r="3320" spans="2:15" x14ac:dyDescent="0.3">
      <c r="B3320" s="1" t="s">
        <v>23</v>
      </c>
      <c r="C3320" s="1" t="str">
        <f t="shared" ref="C3320:C3331" si="189">"4차"</f>
        <v>4차</v>
      </c>
      <c r="D3320" s="1" t="str">
        <f>"0225A36139"</f>
        <v>0225A36139</v>
      </c>
      <c r="E3320" s="1" t="s">
        <v>10</v>
      </c>
      <c r="F3320" s="1" t="str">
        <f>"10.12.133.71"</f>
        <v>10.12.133.71</v>
      </c>
      <c r="G3320" s="1" t="str">
        <f>"0225A361"</f>
        <v>0225A361</v>
      </c>
      <c r="H3320" s="1" t="str">
        <f>"왕십로 74-3"</f>
        <v>왕십로 74-3</v>
      </c>
      <c r="I3320" s="1" t="s">
        <v>17</v>
      </c>
      <c r="J3320" s="1" t="str">
        <f>"7/10"</f>
        <v>7/10</v>
      </c>
      <c r="K3320" s="1" t="str">
        <f>"2026-07-29 13:18:01"</f>
        <v>2026-07-29 13:18:01</v>
      </c>
      <c r="L3320" s="1" t="str">
        <f>"2018-06-25 12:23:37"</f>
        <v>2018-06-25 12:23:37</v>
      </c>
      <c r="M3320" s="1" t="s">
        <v>0</v>
      </c>
      <c r="N3320" s="1" t="s">
        <v>38</v>
      </c>
      <c r="O3320" s="1" t="s">
        <v>46</v>
      </c>
    </row>
    <row r="3321" spans="2:15" x14ac:dyDescent="0.3">
      <c r="B3321" s="1" t="s">
        <v>23</v>
      </c>
      <c r="C3321" s="1" t="str">
        <f t="shared" si="189"/>
        <v>4차</v>
      </c>
      <c r="D3321" s="1" t="str">
        <f>"0225A39739"</f>
        <v>0225A39739</v>
      </c>
      <c r="E3321" s="1" t="s">
        <v>10</v>
      </c>
      <c r="F3321" s="1" t="str">
        <f>"10.12.133.68"</f>
        <v>10.12.133.68</v>
      </c>
      <c r="G3321" s="1" t="str">
        <f>"0225A397"</f>
        <v>0225A397</v>
      </c>
      <c r="H3321" s="1" t="str">
        <f>"왕십로 56-4"</f>
        <v>왕십로 56-4</v>
      </c>
      <c r="I3321" s="1" t="s">
        <v>17</v>
      </c>
      <c r="J3321" s="1" t="str">
        <f>"13/13"</f>
        <v>13/13</v>
      </c>
      <c r="K3321" s="1" t="str">
        <f>"2026-07-29 13:18:01"</f>
        <v>2026-07-29 13:18:01</v>
      </c>
      <c r="L3321" s="1" t="str">
        <f>"2018-06-25 12:41:09"</f>
        <v>2018-06-25 12:41:09</v>
      </c>
      <c r="M3321" s="1" t="s">
        <v>0</v>
      </c>
      <c r="N3321" s="1" t="s">
        <v>38</v>
      </c>
      <c r="O3321" s="1" t="s">
        <v>46</v>
      </c>
    </row>
    <row r="3322" spans="2:15" x14ac:dyDescent="0.3">
      <c r="B3322" s="1" t="s">
        <v>23</v>
      </c>
      <c r="C3322" s="1" t="str">
        <f t="shared" si="189"/>
        <v>4차</v>
      </c>
      <c r="D3322" s="1" t="str">
        <f>"0225A44139"</f>
        <v>0225A44139</v>
      </c>
      <c r="E3322" s="1" t="s">
        <v>10</v>
      </c>
      <c r="F3322" s="1" t="str">
        <f>"10.12.137.77"</f>
        <v>10.12.137.77</v>
      </c>
      <c r="G3322" s="1" t="str">
        <f>"0225A441"</f>
        <v>0225A441</v>
      </c>
      <c r="H3322" s="1" t="str">
        <f>"왕십로 91-2"</f>
        <v>왕십로 91-2</v>
      </c>
      <c r="I3322" s="1" t="s">
        <v>17</v>
      </c>
      <c r="J3322" s="1" t="str">
        <f>"24/24"</f>
        <v>24/24</v>
      </c>
      <c r="K3322" s="1" t="str">
        <f>"2026-07-29 13:18:02"</f>
        <v>2026-07-29 13:18:02</v>
      </c>
      <c r="L3322" s="1" t="str">
        <f>"2018-06-23 09:59:41"</f>
        <v>2018-06-23 09:59:41</v>
      </c>
      <c r="M3322" s="1" t="s">
        <v>0</v>
      </c>
      <c r="N3322" s="1" t="s">
        <v>38</v>
      </c>
      <c r="O3322" s="1" t="s">
        <v>46</v>
      </c>
    </row>
    <row r="3323" spans="2:15" x14ac:dyDescent="0.3">
      <c r="B3323" s="1" t="s">
        <v>23</v>
      </c>
      <c r="C3323" s="1" t="str">
        <f t="shared" si="189"/>
        <v>4차</v>
      </c>
      <c r="D3323" s="1" t="str">
        <f>"0225A45139"</f>
        <v>0225A45139</v>
      </c>
      <c r="E3323" s="1" t="s">
        <v>10</v>
      </c>
      <c r="F3323" s="1" t="str">
        <f>"10.12.136.160"</f>
        <v>10.12.136.160</v>
      </c>
      <c r="G3323" s="1" t="str">
        <f>"0225A451"</f>
        <v>0225A451</v>
      </c>
      <c r="H3323" s="1" t="str">
        <f>"왕십로 74-1"</f>
        <v>왕십로 74-1</v>
      </c>
      <c r="I3323" s="1" t="s">
        <v>17</v>
      </c>
      <c r="J3323" s="1" t="str">
        <f>"1/1"</f>
        <v>1/1</v>
      </c>
      <c r="K3323" s="1" t="str">
        <f>"2026-07-29 13:18:02"</f>
        <v>2026-07-29 13:18:02</v>
      </c>
      <c r="L3323" s="1" t="str">
        <f>"2018-06-25 11:45:22"</f>
        <v>2018-06-25 11:45:22</v>
      </c>
      <c r="M3323" s="1" t="s">
        <v>0</v>
      </c>
      <c r="N3323" s="1" t="s">
        <v>38</v>
      </c>
      <c r="O3323" s="1" t="s">
        <v>46</v>
      </c>
    </row>
    <row r="3324" spans="2:15" x14ac:dyDescent="0.3">
      <c r="B3324" s="1" t="s">
        <v>23</v>
      </c>
      <c r="C3324" s="1" t="str">
        <f t="shared" si="189"/>
        <v>4차</v>
      </c>
      <c r="D3324" s="1" t="str">
        <f>"0225A45239"</f>
        <v>0225A45239</v>
      </c>
      <c r="E3324" s="1" t="s">
        <v>10</v>
      </c>
      <c r="F3324" s="1" t="str">
        <f>"10.12.136.150"</f>
        <v>10.12.136.150</v>
      </c>
      <c r="G3324" s="1" t="str">
        <f>"0225A452"</f>
        <v>0225A452</v>
      </c>
      <c r="H3324" s="1" t="str">
        <f>"왕십로 74-2"</f>
        <v>왕십로 74-2</v>
      </c>
      <c r="I3324" s="1" t="s">
        <v>17</v>
      </c>
      <c r="J3324" s="1" t="str">
        <f>"1/1"</f>
        <v>1/1</v>
      </c>
      <c r="K3324" s="1" t="str">
        <f>"2026-07-29 13:18:02"</f>
        <v>2026-07-29 13:18:02</v>
      </c>
      <c r="L3324" s="1" t="str">
        <f>"2018-06-25 11:51:54"</f>
        <v>2018-06-25 11:51:54</v>
      </c>
      <c r="M3324" s="1" t="s">
        <v>0</v>
      </c>
      <c r="N3324" s="1" t="s">
        <v>38</v>
      </c>
      <c r="O3324" s="1" t="s">
        <v>46</v>
      </c>
    </row>
    <row r="3325" spans="2:15" x14ac:dyDescent="0.3">
      <c r="B3325" s="1" t="s">
        <v>23</v>
      </c>
      <c r="C3325" s="1" t="str">
        <f t="shared" si="189"/>
        <v>4차</v>
      </c>
      <c r="D3325" s="1" t="str">
        <f>"0225A85141"</f>
        <v>0225A85141</v>
      </c>
      <c r="E3325" s="1" t="s">
        <v>10</v>
      </c>
      <c r="F3325" s="1" t="str">
        <f>"10.14.13.42"</f>
        <v>10.14.13.42</v>
      </c>
      <c r="G3325" s="1" t="str">
        <f>"0225A851"</f>
        <v>0225A851</v>
      </c>
      <c r="H3325" s="1" t="str">
        <f>"한양대 16L7R1"</f>
        <v>한양대 16L7R1</v>
      </c>
      <c r="I3325" s="1" t="s">
        <v>17</v>
      </c>
      <c r="J3325" s="1" t="str">
        <f>"135/135"</f>
        <v>135/135</v>
      </c>
      <c r="K3325" s="1" t="str">
        <f>"2026-07-29 13:18:02"</f>
        <v>2026-07-29 13:18:02</v>
      </c>
      <c r="L3325" s="1" t="str">
        <f>"2021-11-04 13:58:16"</f>
        <v>2021-11-04 13:58:16</v>
      </c>
      <c r="M3325" s="1" t="s">
        <v>3</v>
      </c>
      <c r="N3325" s="1" t="s">
        <v>38</v>
      </c>
      <c r="O3325" s="1" t="s">
        <v>46</v>
      </c>
    </row>
    <row r="3326" spans="2:15" x14ac:dyDescent="0.3">
      <c r="B3326" s="1" t="s">
        <v>23</v>
      </c>
      <c r="C3326" s="1" t="str">
        <f t="shared" si="189"/>
        <v>4차</v>
      </c>
      <c r="D3326" s="1" t="str">
        <f>"0225A86241"</f>
        <v>0225A86241</v>
      </c>
      <c r="E3326" s="1" t="s">
        <v>10</v>
      </c>
      <c r="F3326" s="1" t="str">
        <f>"10.12.131.140"</f>
        <v>10.12.131.140</v>
      </c>
      <c r="G3326" s="1" t="str">
        <f>"0225A862"</f>
        <v>0225A862</v>
      </c>
      <c r="H3326" s="1" t="str">
        <f>"한양대 16L6"</f>
        <v>한양대 16L6</v>
      </c>
      <c r="I3326" s="1" t="s">
        <v>17</v>
      </c>
      <c r="J3326" s="1" t="str">
        <f>"26/28"</f>
        <v>26/28</v>
      </c>
      <c r="K3326" s="1" t="str">
        <f>"2026-07-29 13:18:03"</f>
        <v>2026-07-29 13:18:03</v>
      </c>
      <c r="L3326" s="1" t="str">
        <f>"2021-10-14 12:00:21"</f>
        <v>2021-10-14 12:00:21</v>
      </c>
      <c r="M3326" s="1" t="s">
        <v>0</v>
      </c>
      <c r="N3326" s="1" t="s">
        <v>38</v>
      </c>
      <c r="O3326" s="1" t="s">
        <v>46</v>
      </c>
    </row>
    <row r="3327" spans="2:15" x14ac:dyDescent="0.3">
      <c r="B3327" s="1" t="s">
        <v>23</v>
      </c>
      <c r="C3327" s="1" t="str">
        <f t="shared" si="189"/>
        <v>4차</v>
      </c>
      <c r="D3327" s="1" t="str">
        <f>"0225A86341"</f>
        <v>0225A86341</v>
      </c>
      <c r="E3327" s="1" t="s">
        <v>10</v>
      </c>
      <c r="F3327" s="1" t="str">
        <f>"10.14.14.112"</f>
        <v>10.14.14.112</v>
      </c>
      <c r="G3327" s="1" t="str">
        <f>"0225A863"</f>
        <v>0225A863</v>
      </c>
      <c r="H3327" s="1" t="str">
        <f>"한양대 16L8"</f>
        <v>한양대 16L8</v>
      </c>
      <c r="I3327" s="1" t="s">
        <v>17</v>
      </c>
      <c r="J3327" s="1" t="str">
        <f>"109/109"</f>
        <v>109/109</v>
      </c>
      <c r="K3327" s="1" t="str">
        <f>"2026-07-29 13:18:02"</f>
        <v>2026-07-29 13:18:02</v>
      </c>
      <c r="L3327" s="1" t="str">
        <f>"2021-07-14 10:05:34"</f>
        <v>2021-07-14 10:05:34</v>
      </c>
      <c r="M3327" s="1" t="s">
        <v>3</v>
      </c>
      <c r="N3327" s="1" t="s">
        <v>38</v>
      </c>
      <c r="O3327" s="1" t="s">
        <v>46</v>
      </c>
    </row>
    <row r="3328" spans="2:15" x14ac:dyDescent="0.3">
      <c r="B3328" s="1" t="s">
        <v>23</v>
      </c>
      <c r="C3328" s="1" t="str">
        <f t="shared" si="189"/>
        <v>4차</v>
      </c>
      <c r="D3328" s="1" t="str">
        <f>"0225A87441"</f>
        <v>0225A87441</v>
      </c>
      <c r="E3328" s="1" t="s">
        <v>10</v>
      </c>
      <c r="F3328" s="1" t="str">
        <f>"10.12.136.188"</f>
        <v>10.12.136.188</v>
      </c>
      <c r="G3328" s="1" t="str">
        <f>"0225A874"</f>
        <v>0225A874</v>
      </c>
      <c r="H3328" s="1" t="str">
        <f>"한양대 16L5"</f>
        <v>한양대 16L5</v>
      </c>
      <c r="I3328" s="1" t="s">
        <v>17</v>
      </c>
      <c r="J3328" s="1" t="str">
        <f>"22/23"</f>
        <v>22/23</v>
      </c>
      <c r="K3328" s="1" t="str">
        <f>"2026-07-29 13:18:01"</f>
        <v>2026-07-29 13:18:01</v>
      </c>
      <c r="L3328" s="1" t="str">
        <f>"2021-10-14 11:19:18"</f>
        <v>2021-10-14 11:19:18</v>
      </c>
      <c r="M3328" s="1" t="s">
        <v>0</v>
      </c>
      <c r="N3328" s="1" t="s">
        <v>38</v>
      </c>
      <c r="O3328" s="1" t="s">
        <v>46</v>
      </c>
    </row>
    <row r="3329" spans="2:15" x14ac:dyDescent="0.3">
      <c r="B3329" s="1" t="s">
        <v>23</v>
      </c>
      <c r="C3329" s="1" t="str">
        <f t="shared" si="189"/>
        <v>4차</v>
      </c>
      <c r="D3329" s="1" t="str">
        <f>"0225A88C39"</f>
        <v>0225A88C39</v>
      </c>
      <c r="E3329" s="1" t="s">
        <v>10</v>
      </c>
      <c r="F3329" s="1" t="str">
        <f>"10.12.133.193"</f>
        <v>10.12.133.193</v>
      </c>
      <c r="G3329" s="1" t="str">
        <f>"0225A88C"</f>
        <v>0225A88C</v>
      </c>
      <c r="H3329" s="1" t="str">
        <f>"한양대 17-3"</f>
        <v>한양대 17-3</v>
      </c>
      <c r="I3329" s="1" t="s">
        <v>17</v>
      </c>
      <c r="J3329" s="1" t="str">
        <f>"8/8"</f>
        <v>8/8</v>
      </c>
      <c r="K3329" s="1" t="str">
        <f>"2026-07-29 13:18:01"</f>
        <v>2026-07-29 13:18:01</v>
      </c>
      <c r="L3329" s="1" t="str">
        <f>"2018-07-12 18:27:21"</f>
        <v>2018-07-12 18:27:21</v>
      </c>
      <c r="M3329" s="1" t="s">
        <v>0</v>
      </c>
      <c r="N3329" s="1" t="s">
        <v>38</v>
      </c>
      <c r="O3329" s="1" t="s">
        <v>46</v>
      </c>
    </row>
    <row r="3330" spans="2:15" x14ac:dyDescent="0.3">
      <c r="B3330" s="1" t="s">
        <v>23</v>
      </c>
      <c r="C3330" s="1" t="str">
        <f t="shared" si="189"/>
        <v>4차</v>
      </c>
      <c r="D3330" s="1" t="str">
        <f>"0225A88D39"</f>
        <v>0225A88D39</v>
      </c>
      <c r="E3330" s="1" t="s">
        <v>10</v>
      </c>
      <c r="F3330" s="1" t="str">
        <f>"10.12.134.164"</f>
        <v>10.12.134.164</v>
      </c>
      <c r="G3330" s="1" t="str">
        <f>"0225A88D"</f>
        <v>0225A88D</v>
      </c>
      <c r="H3330" s="1" t="str">
        <f>"한양대 17-4"</f>
        <v>한양대 17-4</v>
      </c>
      <c r="I3330" s="1" t="s">
        <v>17</v>
      </c>
      <c r="J3330" s="1" t="str">
        <f>"7/8"</f>
        <v>7/8</v>
      </c>
      <c r="K3330" s="1" t="str">
        <f>"2026-07-29 13:18:03"</f>
        <v>2026-07-29 13:18:03</v>
      </c>
      <c r="L3330" s="1" t="str">
        <f>"2018-06-22 14:44:00"</f>
        <v>2018-06-22 14:44:00</v>
      </c>
      <c r="M3330" s="1" t="s">
        <v>0</v>
      </c>
      <c r="N3330" s="1" t="s">
        <v>38</v>
      </c>
      <c r="O3330" s="1" t="s">
        <v>46</v>
      </c>
    </row>
    <row r="3331" spans="2:15" x14ac:dyDescent="0.3">
      <c r="B3331" s="1" t="s">
        <v>23</v>
      </c>
      <c r="C3331" s="1" t="str">
        <f t="shared" si="189"/>
        <v>4차</v>
      </c>
      <c r="D3331" s="1" t="str">
        <f>"0225A88L39"</f>
        <v>0225A88L39</v>
      </c>
      <c r="E3331" s="1" t="s">
        <v>10</v>
      </c>
      <c r="F3331" s="1" t="str">
        <f>"10.12.129.148"</f>
        <v>10.12.129.148</v>
      </c>
      <c r="G3331" s="1" t="str">
        <f>"0225A88L"</f>
        <v>0225A88L</v>
      </c>
      <c r="H3331" s="1" t="str">
        <f>"한양대 16-5"</f>
        <v>한양대 16-5</v>
      </c>
      <c r="I3331" s="1" t="s">
        <v>17</v>
      </c>
      <c r="J3331" s="1" t="str">
        <f>"1/60"</f>
        <v>1/60</v>
      </c>
      <c r="K3331" s="1" t="str">
        <f>"2026-07-29 13:18:01"</f>
        <v>2026-07-29 13:18:01</v>
      </c>
      <c r="L3331" s="1" t="str">
        <f>"2018-06-22 13:33:59"</f>
        <v>2018-06-22 13:33:59</v>
      </c>
      <c r="M3331" s="1" t="s">
        <v>0</v>
      </c>
      <c r="N3331" s="1" t="s">
        <v>38</v>
      </c>
      <c r="O3331" s="1" t="s">
        <v>46</v>
      </c>
    </row>
    <row r="3332" spans="2:15" x14ac:dyDescent="0.3">
      <c r="B3332" s="1" t="s">
        <v>23</v>
      </c>
      <c r="C3332" s="1" t="str">
        <f>"3차"</f>
        <v>3차</v>
      </c>
      <c r="D3332" s="1" t="str">
        <f>"0225A88M39"</f>
        <v>0225A88M39</v>
      </c>
      <c r="E3332" s="1" t="s">
        <v>10</v>
      </c>
      <c r="F3332" s="1" t="str">
        <f>"10.12.134.60"</f>
        <v>10.12.134.60</v>
      </c>
      <c r="G3332" s="1" t="str">
        <f>"0225A88M"</f>
        <v>0225A88M</v>
      </c>
      <c r="H3332" s="1" t="str">
        <f>"한양대 16-4"</f>
        <v>한양대 16-4</v>
      </c>
      <c r="I3332" s="1" t="s">
        <v>17</v>
      </c>
      <c r="J3332" s="1" t="str">
        <f>"23/23"</f>
        <v>23/23</v>
      </c>
      <c r="K3332" s="1" t="str">
        <f>"2026-07-29 13:18:03"</f>
        <v>2026-07-29 13:18:03</v>
      </c>
      <c r="L3332" s="1" t="str">
        <f>"2018-06-22 13:27:43"</f>
        <v>2018-06-22 13:27:43</v>
      </c>
      <c r="M3332" s="1" t="s">
        <v>0</v>
      </c>
      <c r="N3332" s="1" t="s">
        <v>38</v>
      </c>
      <c r="O3332" s="1" t="s">
        <v>46</v>
      </c>
    </row>
    <row r="3333" spans="2:15" x14ac:dyDescent="0.3">
      <c r="B3333" s="1" t="s">
        <v>23</v>
      </c>
      <c r="C3333" s="1" t="str">
        <f>"4차"</f>
        <v>4차</v>
      </c>
      <c r="D3333" s="1" t="str">
        <f>"0225A93241"</f>
        <v>0225A93241</v>
      </c>
      <c r="E3333" s="1" t="s">
        <v>10</v>
      </c>
      <c r="F3333" s="1" t="str">
        <f>"10.14.2.42"</f>
        <v>10.14.2.42</v>
      </c>
      <c r="G3333" s="1" t="str">
        <f>"0225A932"</f>
        <v>0225A932</v>
      </c>
      <c r="H3333" s="1" t="str">
        <f>"한양대 16L10R4"</f>
        <v>한양대 16L10R4</v>
      </c>
      <c r="I3333" s="1" t="s">
        <v>17</v>
      </c>
      <c r="J3333" s="1" t="str">
        <f>"73/73"</f>
        <v>73/73</v>
      </c>
      <c r="K3333" s="1" t="str">
        <f>"2026-07-29 13:18:02"</f>
        <v>2026-07-29 13:18:02</v>
      </c>
      <c r="L3333" s="1" t="str">
        <f>"2021-11-23 16:18:57"</f>
        <v>2021-11-23 16:18:57</v>
      </c>
      <c r="M3333" s="1" t="s">
        <v>3</v>
      </c>
      <c r="N3333" s="1" t="s">
        <v>38</v>
      </c>
      <c r="O3333" s="1" t="s">
        <v>46</v>
      </c>
    </row>
    <row r="3334" spans="2:15" x14ac:dyDescent="0.3">
      <c r="B3334" s="1" t="s">
        <v>23</v>
      </c>
      <c r="C3334" s="1" t="str">
        <f>"5-1차"</f>
        <v>5-1차</v>
      </c>
      <c r="D3334" s="1" t="str">
        <f>"0225A9415M"</f>
        <v>0225A9415M</v>
      </c>
      <c r="E3334" s="1" t="s">
        <v>10</v>
      </c>
      <c r="F3334" s="1" t="str">
        <f>"fde2:104:0:196:0:0:0:2"</f>
        <v>fde2:104:0:196:0:0:0:2</v>
      </c>
      <c r="G3334" s="1" t="str">
        <f>"0225A941"</f>
        <v>0225A941</v>
      </c>
      <c r="H3334" s="1" t="str">
        <f>"한양대 16L10R2"</f>
        <v>한양대 16L10R2</v>
      </c>
      <c r="I3334" s="1" t="s">
        <v>15</v>
      </c>
      <c r="J3334" s="1" t="str">
        <f>"61/61"</f>
        <v>61/61</v>
      </c>
      <c r="K3334" s="1" t="str">
        <f>"2026-07-29 14:20:25"</f>
        <v>2026-07-29 14:20:25</v>
      </c>
      <c r="L3334" s="1" t="str">
        <f>"2022-11-15 16:24:26"</f>
        <v>2022-11-15 16:24:26</v>
      </c>
      <c r="M3334" s="1" t="s">
        <v>42</v>
      </c>
      <c r="N3334" s="1" t="s">
        <v>38</v>
      </c>
      <c r="O3334" s="1" t="s">
        <v>46</v>
      </c>
    </row>
    <row r="3335" spans="2:15" x14ac:dyDescent="0.3">
      <c r="B3335" s="1" t="s">
        <v>23</v>
      </c>
      <c r="C3335" s="1" t="str">
        <f t="shared" ref="C3335:C3357" si="190">"4차"</f>
        <v>4차</v>
      </c>
      <c r="D3335" s="1" t="str">
        <f>"0225A94241"</f>
        <v>0225A94241</v>
      </c>
      <c r="E3335" s="1" t="s">
        <v>10</v>
      </c>
      <c r="F3335" s="1" t="str">
        <f>"10.12.130.134"</f>
        <v>10.12.130.134</v>
      </c>
      <c r="G3335" s="1" t="str">
        <f>"0225A942"</f>
        <v>0225A942</v>
      </c>
      <c r="H3335" s="1" t="str">
        <f>"한양대 16L11R2"</f>
        <v>한양대 16L11R2</v>
      </c>
      <c r="I3335" s="1" t="s">
        <v>17</v>
      </c>
      <c r="J3335" s="1" t="str">
        <f>"23/23"</f>
        <v>23/23</v>
      </c>
      <c r="K3335" s="1" t="str">
        <f>"2026-07-29 13:18:02"</f>
        <v>2026-07-29 13:18:02</v>
      </c>
      <c r="L3335" s="1" t="str">
        <f>"2021-10-14 09:00:18"</f>
        <v>2021-10-14 09:00:18</v>
      </c>
      <c r="M3335" s="1" t="s">
        <v>0</v>
      </c>
      <c r="N3335" s="1" t="s">
        <v>38</v>
      </c>
      <c r="O3335" s="1" t="s">
        <v>46</v>
      </c>
    </row>
    <row r="3336" spans="2:15" x14ac:dyDescent="0.3">
      <c r="B3336" s="1" t="s">
        <v>23</v>
      </c>
      <c r="C3336" s="1" t="str">
        <f t="shared" si="190"/>
        <v>4차</v>
      </c>
      <c r="D3336" s="1" t="str">
        <f>"0225A95141"</f>
        <v>0225A95141</v>
      </c>
      <c r="E3336" s="1" t="s">
        <v>10</v>
      </c>
      <c r="F3336" s="1" t="str">
        <f>"10.12.130.195"</f>
        <v>10.12.130.195</v>
      </c>
      <c r="G3336" s="1" t="str">
        <f>"0225A951"</f>
        <v>0225A951</v>
      </c>
      <c r="H3336" s="1" t="str">
        <f>"한양대 16L11"</f>
        <v>한양대 16L11</v>
      </c>
      <c r="I3336" s="1" t="s">
        <v>17</v>
      </c>
      <c r="J3336" s="1" t="str">
        <f>"32/32"</f>
        <v>32/32</v>
      </c>
      <c r="K3336" s="1" t="str">
        <f>"2026-07-29 13:18:03"</f>
        <v>2026-07-29 13:18:03</v>
      </c>
      <c r="L3336" s="1" t="str">
        <f>"2021-10-14 07:53:10"</f>
        <v>2021-10-14 07:53:10</v>
      </c>
      <c r="M3336" s="1" t="s">
        <v>0</v>
      </c>
      <c r="N3336" s="1" t="s">
        <v>38</v>
      </c>
      <c r="O3336" s="1" t="s">
        <v>46</v>
      </c>
    </row>
    <row r="3337" spans="2:15" x14ac:dyDescent="0.3">
      <c r="B3337" s="1" t="s">
        <v>23</v>
      </c>
      <c r="C3337" s="1" t="str">
        <f t="shared" si="190"/>
        <v>4차</v>
      </c>
      <c r="D3337" s="1" t="str">
        <f>"0225A95341"</f>
        <v>0225A95341</v>
      </c>
      <c r="E3337" s="1" t="s">
        <v>10</v>
      </c>
      <c r="F3337" s="1" t="str">
        <f>"10.14.10.40"</f>
        <v>10.14.10.40</v>
      </c>
      <c r="G3337" s="1" t="str">
        <f>"0225A953"</f>
        <v>0225A953</v>
      </c>
      <c r="H3337" s="1" t="str">
        <f>"한양대 16L11R1"</f>
        <v>한양대 16L11R1</v>
      </c>
      <c r="I3337" s="1" t="s">
        <v>17</v>
      </c>
      <c r="J3337" s="1" t="str">
        <f>"22/22"</f>
        <v>22/22</v>
      </c>
      <c r="K3337" s="1" t="str">
        <f>"2026-07-29 13:18:03"</f>
        <v>2026-07-29 13:18:03</v>
      </c>
      <c r="L3337" s="1" t="str">
        <f>"2021-10-14 08:22:09"</f>
        <v>2021-10-14 08:22:09</v>
      </c>
      <c r="M3337" s="1" t="s">
        <v>3</v>
      </c>
      <c r="N3337" s="1" t="s">
        <v>38</v>
      </c>
      <c r="O3337" s="1" t="s">
        <v>46</v>
      </c>
    </row>
    <row r="3338" spans="2:15" x14ac:dyDescent="0.3">
      <c r="B3338" s="1" t="s">
        <v>23</v>
      </c>
      <c r="C3338" s="1" t="str">
        <f t="shared" si="190"/>
        <v>4차</v>
      </c>
      <c r="D3338" s="1" t="str">
        <f>"0225A96241"</f>
        <v>0225A96241</v>
      </c>
      <c r="E3338" s="1" t="s">
        <v>10</v>
      </c>
      <c r="F3338" s="1" t="str">
        <f>"10.14.4.42"</f>
        <v>10.14.4.42</v>
      </c>
      <c r="G3338" s="1" t="str">
        <f>"0225A962"</f>
        <v>0225A962</v>
      </c>
      <c r="H3338" s="1" t="str">
        <f>"한양대 16L9"</f>
        <v>한양대 16L9</v>
      </c>
      <c r="I3338" s="1" t="s">
        <v>17</v>
      </c>
      <c r="J3338" s="1" t="str">
        <f>"27/27"</f>
        <v>27/27</v>
      </c>
      <c r="K3338" s="1" t="str">
        <f>"2026-07-29 13:18:02"</f>
        <v>2026-07-29 13:18:02</v>
      </c>
      <c r="L3338" s="1" t="str">
        <f>"2021-10-14 07:42:44"</f>
        <v>2021-10-14 07:42:44</v>
      </c>
      <c r="M3338" s="1" t="s">
        <v>3</v>
      </c>
      <c r="N3338" s="1" t="s">
        <v>38</v>
      </c>
      <c r="O3338" s="1" t="s">
        <v>46</v>
      </c>
    </row>
    <row r="3339" spans="2:15" x14ac:dyDescent="0.3">
      <c r="B3339" s="1" t="s">
        <v>23</v>
      </c>
      <c r="C3339" s="1" t="str">
        <f t="shared" si="190"/>
        <v>4차</v>
      </c>
      <c r="D3339" s="1" t="str">
        <f>"0225A96341"</f>
        <v>0225A96341</v>
      </c>
      <c r="E3339" s="1" t="s">
        <v>10</v>
      </c>
      <c r="F3339" s="1" t="str">
        <f>"10.14.6.39"</f>
        <v>10.14.6.39</v>
      </c>
      <c r="G3339" s="1" t="str">
        <f>"0225A963"</f>
        <v>0225A963</v>
      </c>
      <c r="H3339" s="1" t="str">
        <f>"한양대 16L9L1"</f>
        <v>한양대 16L9L1</v>
      </c>
      <c r="I3339" s="1" t="s">
        <v>17</v>
      </c>
      <c r="J3339" s="1" t="str">
        <f>"20/20"</f>
        <v>20/20</v>
      </c>
      <c r="K3339" s="1" t="str">
        <f>"2026-07-29 13:18:02"</f>
        <v>2026-07-29 13:18:02</v>
      </c>
      <c r="L3339" s="1" t="str">
        <f>"2021-07-14 10:48:27"</f>
        <v>2021-07-14 10:48:27</v>
      </c>
      <c r="M3339" s="1" t="s">
        <v>3</v>
      </c>
      <c r="N3339" s="1" t="s">
        <v>38</v>
      </c>
      <c r="O3339" s="1" t="s">
        <v>46</v>
      </c>
    </row>
    <row r="3340" spans="2:15" x14ac:dyDescent="0.3">
      <c r="B3340" s="1" t="s">
        <v>23</v>
      </c>
      <c r="C3340" s="1" t="str">
        <f t="shared" si="190"/>
        <v>4차</v>
      </c>
      <c r="D3340" s="1" t="str">
        <f>"0225A97141"</f>
        <v>0225A97141</v>
      </c>
      <c r="E3340" s="1" t="s">
        <v>10</v>
      </c>
      <c r="F3340" s="1" t="str">
        <f>"10.14.10.46"</f>
        <v>10.14.10.46</v>
      </c>
      <c r="G3340" s="1" t="str">
        <f>"0225A971"</f>
        <v>0225A971</v>
      </c>
      <c r="H3340" s="1" t="str">
        <f>"한양대 16L6L2"</f>
        <v>한양대 16L6L2</v>
      </c>
      <c r="I3340" s="1" t="s">
        <v>17</v>
      </c>
      <c r="J3340" s="1" t="str">
        <f>"23/28"</f>
        <v>23/28</v>
      </c>
      <c r="K3340" s="1" t="str">
        <f>"2026-07-29 13:18:02"</f>
        <v>2026-07-29 13:18:02</v>
      </c>
      <c r="L3340" s="1" t="str">
        <f>"2021-10-14 12:51:16"</f>
        <v>2021-10-14 12:51:16</v>
      </c>
      <c r="M3340" s="1" t="s">
        <v>3</v>
      </c>
      <c r="N3340" s="1" t="s">
        <v>38</v>
      </c>
      <c r="O3340" s="1" t="s">
        <v>46</v>
      </c>
    </row>
    <row r="3341" spans="2:15" x14ac:dyDescent="0.3">
      <c r="B3341" s="1" t="s">
        <v>23</v>
      </c>
      <c r="C3341" s="1" t="str">
        <f t="shared" si="190"/>
        <v>4차</v>
      </c>
      <c r="D3341" s="1" t="str">
        <f>"0225A97241"</f>
        <v>0225A97241</v>
      </c>
      <c r="E3341" s="1" t="s">
        <v>10</v>
      </c>
      <c r="F3341" s="1" t="str">
        <f>"10.14.9.39"</f>
        <v>10.14.9.39</v>
      </c>
      <c r="G3341" s="1" t="str">
        <f>"0225A972"</f>
        <v>0225A972</v>
      </c>
      <c r="H3341" s="1" t="str">
        <f>"한양대 16L6L3"</f>
        <v>한양대 16L6L3</v>
      </c>
      <c r="I3341" s="1" t="s">
        <v>17</v>
      </c>
      <c r="J3341" s="1" t="str">
        <f>"47/49"</f>
        <v>47/49</v>
      </c>
      <c r="K3341" s="1" t="str">
        <f>"2026-07-29 13:18:02"</f>
        <v>2026-07-29 13:18:02</v>
      </c>
      <c r="L3341" s="1" t="str">
        <f>"2021-07-14 09:52:04"</f>
        <v>2021-07-14 09:52:04</v>
      </c>
      <c r="M3341" s="1" t="s">
        <v>3</v>
      </c>
      <c r="N3341" s="1" t="s">
        <v>38</v>
      </c>
      <c r="O3341" s="1" t="s">
        <v>46</v>
      </c>
    </row>
    <row r="3342" spans="2:15" x14ac:dyDescent="0.3">
      <c r="B3342" s="1" t="s">
        <v>23</v>
      </c>
      <c r="C3342" s="1" t="str">
        <f t="shared" si="190"/>
        <v>4차</v>
      </c>
      <c r="D3342" s="1" t="str">
        <f>"0225A97341"</f>
        <v>0225A97341</v>
      </c>
      <c r="E3342" s="1" t="s">
        <v>10</v>
      </c>
      <c r="F3342" s="1" t="str">
        <f>"10.12.133.115"</f>
        <v>10.12.133.115</v>
      </c>
      <c r="G3342" s="1" t="str">
        <f>"0225A973"</f>
        <v>0225A973</v>
      </c>
      <c r="H3342" s="1" t="str">
        <f>"한양대 16L4"</f>
        <v>한양대 16L4</v>
      </c>
      <c r="I3342" s="1" t="s">
        <v>17</v>
      </c>
      <c r="J3342" s="1" t="str">
        <f>"63/63"</f>
        <v>63/63</v>
      </c>
      <c r="K3342" s="1" t="str">
        <f>"2026-07-29 13:18:02"</f>
        <v>2026-07-29 13:18:02</v>
      </c>
      <c r="L3342" s="1" t="str">
        <f>"2025-06-18 17:35:58"</f>
        <v>2025-06-18 17:35:58</v>
      </c>
      <c r="M3342" s="1" t="s">
        <v>0</v>
      </c>
      <c r="N3342" s="1" t="s">
        <v>38</v>
      </c>
      <c r="O3342" s="1" t="s">
        <v>46</v>
      </c>
    </row>
    <row r="3343" spans="2:15" x14ac:dyDescent="0.3">
      <c r="B3343" s="1" t="s">
        <v>23</v>
      </c>
      <c r="C3343" s="1" t="str">
        <f t="shared" si="190"/>
        <v>4차</v>
      </c>
      <c r="D3343" s="1" t="str">
        <f>"0225A98339"</f>
        <v>0225A98339</v>
      </c>
      <c r="E3343" s="1" t="s">
        <v>10</v>
      </c>
      <c r="F3343" s="1" t="str">
        <f>"10.12.130.17"</f>
        <v>10.12.130.17</v>
      </c>
      <c r="G3343" s="1" t="str">
        <f>"0225A983"</f>
        <v>0225A983</v>
      </c>
      <c r="H3343" s="1" t="str">
        <f>"한양대 16L3"</f>
        <v>한양대 16L3</v>
      </c>
      <c r="I3343" s="1" t="s">
        <v>17</v>
      </c>
      <c r="J3343" s="1" t="str">
        <f>"117/117"</f>
        <v>117/117</v>
      </c>
      <c r="K3343" s="1" t="str">
        <f>"2026-07-29 13:18:03"</f>
        <v>2026-07-29 13:18:03</v>
      </c>
      <c r="L3343" s="1" t="str">
        <f>"2018-09-20 12:28:27"</f>
        <v>2018-09-20 12:28:27</v>
      </c>
      <c r="M3343" s="1" t="s">
        <v>0</v>
      </c>
      <c r="N3343" s="1" t="s">
        <v>38</v>
      </c>
      <c r="O3343" s="1" t="s">
        <v>46</v>
      </c>
    </row>
    <row r="3344" spans="2:15" x14ac:dyDescent="0.3">
      <c r="B3344" s="1" t="s">
        <v>23</v>
      </c>
      <c r="C3344" s="1" t="str">
        <f t="shared" si="190"/>
        <v>4차</v>
      </c>
      <c r="D3344" s="1" t="str">
        <f>"0225B03239"</f>
        <v>0225B03239</v>
      </c>
      <c r="E3344" s="1" t="s">
        <v>14</v>
      </c>
      <c r="F3344" s="1" t="str">
        <f>"10.12.137.87"</f>
        <v>10.12.137.87</v>
      </c>
      <c r="G3344" s="1" t="str">
        <f>"0225B032"</f>
        <v>0225B032</v>
      </c>
      <c r="H3344" s="1" t="str">
        <f>"한양대 13-5"</f>
        <v>한양대 13-5</v>
      </c>
      <c r="I3344" s="1" t="s">
        <v>17</v>
      </c>
      <c r="J3344" s="1" t="str">
        <f>"0/0"</f>
        <v>0/0</v>
      </c>
      <c r="K3344" s="1" t="str">
        <f>"2026-07-28 13:18:03"</f>
        <v>2026-07-28 13:18:03</v>
      </c>
      <c r="L3344" s="1" t="str">
        <f>"2018-06-25 13:28:10"</f>
        <v>2018-06-25 13:28:10</v>
      </c>
      <c r="M3344" s="1" t="s">
        <v>0</v>
      </c>
      <c r="N3344" s="1" t="s">
        <v>39</v>
      </c>
      <c r="O3344" s="1" t="s">
        <v>46</v>
      </c>
    </row>
    <row r="3345" spans="2:15" x14ac:dyDescent="0.3">
      <c r="B3345" s="1" t="s">
        <v>23</v>
      </c>
      <c r="C3345" s="1" t="str">
        <f t="shared" si="190"/>
        <v>4차</v>
      </c>
      <c r="D3345" s="1" t="str">
        <f>"0225B03339"</f>
        <v>0225B03339</v>
      </c>
      <c r="E3345" s="1" t="s">
        <v>10</v>
      </c>
      <c r="F3345" s="1" t="str">
        <f>"10.12.133.73"</f>
        <v>10.12.133.73</v>
      </c>
      <c r="G3345" s="1" t="str">
        <f>"0225B033"</f>
        <v>0225B033</v>
      </c>
      <c r="H3345" s="1" t="str">
        <f>"한양대 13-4"</f>
        <v>한양대 13-4</v>
      </c>
      <c r="I3345" s="1" t="s">
        <v>17</v>
      </c>
      <c r="J3345" s="1" t="str">
        <f>"4/4"</f>
        <v>4/4</v>
      </c>
      <c r="K3345" s="1" t="str">
        <f>"2026-07-29 13:18:03"</f>
        <v>2026-07-29 13:18:03</v>
      </c>
      <c r="L3345" s="1" t="str">
        <f>"2018-06-25 13:31:39"</f>
        <v>2018-06-25 13:31:39</v>
      </c>
      <c r="M3345" s="1" t="s">
        <v>0</v>
      </c>
      <c r="N3345" s="1" t="s">
        <v>38</v>
      </c>
      <c r="O3345" s="1" t="s">
        <v>46</v>
      </c>
    </row>
    <row r="3346" spans="2:15" x14ac:dyDescent="0.3">
      <c r="B3346" s="1" t="s">
        <v>23</v>
      </c>
      <c r="C3346" s="1" t="str">
        <f t="shared" si="190"/>
        <v>4차</v>
      </c>
      <c r="D3346" s="1" t="str">
        <f>"0225B05639"</f>
        <v>0225B05639</v>
      </c>
      <c r="E3346" s="1" t="s">
        <v>10</v>
      </c>
      <c r="F3346" s="1" t="str">
        <f>"10.12.132.66"</f>
        <v>10.12.132.66</v>
      </c>
      <c r="G3346" s="1" t="str">
        <f>"0225B056"</f>
        <v>0225B056</v>
      </c>
      <c r="H3346" s="1" t="str">
        <f>"한양대 13-1"</f>
        <v>한양대 13-1</v>
      </c>
      <c r="I3346" s="1" t="s">
        <v>17</v>
      </c>
      <c r="J3346" s="1" t="str">
        <f>"3/3"</f>
        <v>3/3</v>
      </c>
      <c r="K3346" s="1" t="str">
        <f>"2026-07-29 13:18:03"</f>
        <v>2026-07-29 13:18:03</v>
      </c>
      <c r="L3346" s="1" t="str">
        <f>"2018-07-16 14:02:36"</f>
        <v>2018-07-16 14:02:36</v>
      </c>
      <c r="M3346" s="1" t="s">
        <v>0</v>
      </c>
      <c r="N3346" s="1" t="s">
        <v>38</v>
      </c>
      <c r="O3346" s="1" t="s">
        <v>46</v>
      </c>
    </row>
    <row r="3347" spans="2:15" x14ac:dyDescent="0.3">
      <c r="B3347" s="1" t="s">
        <v>23</v>
      </c>
      <c r="C3347" s="1" t="str">
        <f t="shared" si="190"/>
        <v>4차</v>
      </c>
      <c r="D3347" s="1" t="str">
        <f>"0225B05839"</f>
        <v>0225B05839</v>
      </c>
      <c r="E3347" s="1" t="s">
        <v>10</v>
      </c>
      <c r="F3347" s="1" t="str">
        <f>"10.12.137.81"</f>
        <v>10.12.137.81</v>
      </c>
      <c r="G3347" s="1" t="str">
        <f>"0225B058"</f>
        <v>0225B058</v>
      </c>
      <c r="H3347" s="1" t="str">
        <f>"한양대 15-4"</f>
        <v>한양대 15-4</v>
      </c>
      <c r="I3347" s="1" t="s">
        <v>17</v>
      </c>
      <c r="J3347" s="1" t="str">
        <f>"6/6"</f>
        <v>6/6</v>
      </c>
      <c r="K3347" s="1" t="str">
        <f>"2026-07-29 13:18:02"</f>
        <v>2026-07-29 13:18:02</v>
      </c>
      <c r="L3347" s="1" t="str">
        <f>"2018-06-25 14:15:54"</f>
        <v>2018-06-25 14:15:54</v>
      </c>
      <c r="M3347" s="1" t="s">
        <v>0</v>
      </c>
      <c r="N3347" s="1" t="s">
        <v>38</v>
      </c>
      <c r="O3347" s="1" t="s">
        <v>46</v>
      </c>
    </row>
    <row r="3348" spans="2:15" x14ac:dyDescent="0.3">
      <c r="B3348" s="1" t="s">
        <v>23</v>
      </c>
      <c r="C3348" s="1" t="str">
        <f t="shared" si="190"/>
        <v>4차</v>
      </c>
      <c r="D3348" s="1" t="str">
        <f>"0225B07241"</f>
        <v>0225B07241</v>
      </c>
      <c r="E3348" s="1" t="s">
        <v>10</v>
      </c>
      <c r="F3348" s="1" t="str">
        <f>"10.14.11.38"</f>
        <v>10.14.11.38</v>
      </c>
      <c r="G3348" s="1" t="str">
        <f>"0225B072"</f>
        <v>0225B072</v>
      </c>
      <c r="H3348" s="1" t="str">
        <f>"한양대 16L6L4"</f>
        <v>한양대 16L6L4</v>
      </c>
      <c r="I3348" s="1" t="s">
        <v>17</v>
      </c>
      <c r="J3348" s="1" t="str">
        <f>"27/27"</f>
        <v>27/27</v>
      </c>
      <c r="K3348" s="1" t="str">
        <f>"2026-07-29 13:18:02"</f>
        <v>2026-07-29 13:18:02</v>
      </c>
      <c r="L3348" s="1" t="str">
        <f>"2021-11-23 16:34:17"</f>
        <v>2021-11-23 16:34:17</v>
      </c>
      <c r="M3348" s="1" t="s">
        <v>3</v>
      </c>
      <c r="N3348" s="1" t="s">
        <v>38</v>
      </c>
      <c r="O3348" s="1" t="s">
        <v>46</v>
      </c>
    </row>
    <row r="3349" spans="2:15" x14ac:dyDescent="0.3">
      <c r="B3349" s="1" t="s">
        <v>23</v>
      </c>
      <c r="C3349" s="1" t="str">
        <f t="shared" si="190"/>
        <v>4차</v>
      </c>
      <c r="D3349" s="1" t="str">
        <f>"0225B08C39"</f>
        <v>0225B08C39</v>
      </c>
      <c r="E3349" s="1" t="s">
        <v>10</v>
      </c>
      <c r="F3349" s="1" t="str">
        <f>"10.12.137.69"</f>
        <v>10.12.137.69</v>
      </c>
      <c r="G3349" s="1" t="str">
        <f>"0225B08C"</f>
        <v>0225B08C</v>
      </c>
      <c r="H3349" s="1" t="str">
        <f>"한양대 16-1"</f>
        <v>한양대 16-1</v>
      </c>
      <c r="I3349" s="1" t="s">
        <v>17</v>
      </c>
      <c r="J3349" s="1" t="str">
        <f>"38/38"</f>
        <v>38/38</v>
      </c>
      <c r="K3349" s="1" t="str">
        <f>"2026-07-29 13:18:04"</f>
        <v>2026-07-29 13:18:04</v>
      </c>
      <c r="L3349" s="1" t="str">
        <f>"2018-06-25 11:25:23"</f>
        <v>2018-06-25 11:25:23</v>
      </c>
      <c r="M3349" s="1" t="s">
        <v>0</v>
      </c>
      <c r="N3349" s="1" t="s">
        <v>38</v>
      </c>
      <c r="O3349" s="1" t="s">
        <v>46</v>
      </c>
    </row>
    <row r="3350" spans="2:15" x14ac:dyDescent="0.3">
      <c r="B3350" s="1" t="s">
        <v>23</v>
      </c>
      <c r="C3350" s="1" t="str">
        <f t="shared" si="190"/>
        <v>4차</v>
      </c>
      <c r="D3350" s="1" t="str">
        <f>"0225B12139"</f>
        <v>0225B12139</v>
      </c>
      <c r="E3350" s="1" t="s">
        <v>10</v>
      </c>
      <c r="F3350" s="1" t="str">
        <f>"10.12.133.67"</f>
        <v>10.12.133.67</v>
      </c>
      <c r="G3350" s="1" t="str">
        <f>"0225B121"</f>
        <v>0225B121</v>
      </c>
      <c r="H3350" s="1" t="str">
        <f>"한양대 10-5"</f>
        <v>한양대 10-5</v>
      </c>
      <c r="I3350" s="1" t="s">
        <v>17</v>
      </c>
      <c r="J3350" s="1" t="str">
        <f>"4/4"</f>
        <v>4/4</v>
      </c>
      <c r="K3350" s="1" t="str">
        <f>"2026-07-29 13:18:01"</f>
        <v>2026-07-29 13:18:01</v>
      </c>
      <c r="L3350" s="1" t="str">
        <f>"2018-07-26 16:56:59"</f>
        <v>2018-07-26 16:56:59</v>
      </c>
      <c r="M3350" s="1" t="s">
        <v>0</v>
      </c>
      <c r="N3350" s="1" t="s">
        <v>38</v>
      </c>
      <c r="O3350" s="1" t="s">
        <v>46</v>
      </c>
    </row>
    <row r="3351" spans="2:15" x14ac:dyDescent="0.3">
      <c r="B3351" s="1" t="s">
        <v>23</v>
      </c>
      <c r="C3351" s="1" t="str">
        <f t="shared" si="190"/>
        <v>4차</v>
      </c>
      <c r="D3351" s="1" t="str">
        <f>"0225B15239"</f>
        <v>0225B15239</v>
      </c>
      <c r="E3351" s="1" t="s">
        <v>14</v>
      </c>
      <c r="F3351" s="1" t="str">
        <f>"10.12.134.170"</f>
        <v>10.12.134.170</v>
      </c>
      <c r="G3351" s="1" t="str">
        <f>"0225B152"</f>
        <v>0225B152</v>
      </c>
      <c r="H3351" s="1" t="str">
        <f>"한양대 10-4"</f>
        <v>한양대 10-4</v>
      </c>
      <c r="I3351" s="1" t="s">
        <v>17</v>
      </c>
      <c r="J3351" s="1" t="str">
        <f>"0/0"</f>
        <v>0/0</v>
      </c>
      <c r="K3351" s="1" t="str">
        <f>"2026-07-28 13:18:01"</f>
        <v>2026-07-28 13:18:01</v>
      </c>
      <c r="L3351" s="1" t="str">
        <f>"2018-06-24 10:53:26"</f>
        <v>2018-06-24 10:53:26</v>
      </c>
      <c r="M3351" s="1" t="s">
        <v>0</v>
      </c>
      <c r="N3351" s="1" t="s">
        <v>39</v>
      </c>
      <c r="O3351" s="1" t="s">
        <v>46</v>
      </c>
    </row>
    <row r="3352" spans="2:15" x14ac:dyDescent="0.3">
      <c r="B3352" s="1" t="s">
        <v>23</v>
      </c>
      <c r="C3352" s="1" t="str">
        <f t="shared" si="190"/>
        <v>4차</v>
      </c>
      <c r="D3352" s="1" t="str">
        <f>"0225B16739"</f>
        <v>0225B16739</v>
      </c>
      <c r="E3352" s="1" t="s">
        <v>10</v>
      </c>
      <c r="F3352" s="1" t="str">
        <f>"10.12.137.82"</f>
        <v>10.12.137.82</v>
      </c>
      <c r="G3352" s="1" t="str">
        <f>"0225B167"</f>
        <v>0225B167</v>
      </c>
      <c r="H3352" s="1" t="str">
        <f>"한양대 15-3"</f>
        <v>한양대 15-3</v>
      </c>
      <c r="I3352" s="1" t="s">
        <v>17</v>
      </c>
      <c r="J3352" s="1" t="str">
        <f>"5/5"</f>
        <v>5/5</v>
      </c>
      <c r="K3352" s="1" t="str">
        <f>"2026-07-29 13:18:02"</f>
        <v>2026-07-29 13:18:02</v>
      </c>
      <c r="L3352" s="1" t="str">
        <f>"2018-06-23 14:35:28"</f>
        <v>2018-06-23 14:35:28</v>
      </c>
      <c r="M3352" s="1" t="s">
        <v>0</v>
      </c>
      <c r="N3352" s="1" t="s">
        <v>38</v>
      </c>
      <c r="O3352" s="1" t="s">
        <v>46</v>
      </c>
    </row>
    <row r="3353" spans="2:15" x14ac:dyDescent="0.3">
      <c r="B3353" s="1" t="s">
        <v>23</v>
      </c>
      <c r="C3353" s="1" t="str">
        <f t="shared" si="190"/>
        <v>4차</v>
      </c>
      <c r="D3353" s="1" t="str">
        <f>"0225B17639"</f>
        <v>0225B17639</v>
      </c>
      <c r="E3353" s="1" t="s">
        <v>10</v>
      </c>
      <c r="F3353" s="1" t="str">
        <f>"10.12.133.75"</f>
        <v>10.12.133.75</v>
      </c>
      <c r="G3353" s="1" t="str">
        <f>"0225B176"</f>
        <v>0225B176</v>
      </c>
      <c r="H3353" s="1" t="str">
        <f>"한양대 10-2"</f>
        <v>한양대 10-2</v>
      </c>
      <c r="I3353" s="1" t="s">
        <v>17</v>
      </c>
      <c r="J3353" s="1" t="str">
        <f>"2/4"</f>
        <v>2/4</v>
      </c>
      <c r="K3353" s="1" t="str">
        <f>"2026-07-29 13:18:03"</f>
        <v>2026-07-29 13:18:03</v>
      </c>
      <c r="L3353" s="1" t="str">
        <f>"2018-06-23 14:17:45"</f>
        <v>2018-06-23 14:17:45</v>
      </c>
      <c r="M3353" s="1" t="s">
        <v>0</v>
      </c>
      <c r="N3353" s="1" t="s">
        <v>38</v>
      </c>
      <c r="O3353" s="1" t="s">
        <v>46</v>
      </c>
    </row>
    <row r="3354" spans="2:15" x14ac:dyDescent="0.3">
      <c r="B3354" s="1" t="s">
        <v>23</v>
      </c>
      <c r="C3354" s="1" t="str">
        <f t="shared" si="190"/>
        <v>4차</v>
      </c>
      <c r="D3354" s="1" t="str">
        <f>"0225B17839"</f>
        <v>0225B17839</v>
      </c>
      <c r="E3354" s="1" t="s">
        <v>10</v>
      </c>
      <c r="F3354" s="1" t="str">
        <f>"10.12.137.83"</f>
        <v>10.12.137.83</v>
      </c>
      <c r="G3354" s="1" t="str">
        <f>"0225B178"</f>
        <v>0225B178</v>
      </c>
      <c r="H3354" s="1" t="str">
        <f>"한양대 15-2"</f>
        <v>한양대 15-2</v>
      </c>
      <c r="I3354" s="1" t="s">
        <v>17</v>
      </c>
      <c r="J3354" s="1" t="str">
        <f>"10/14"</f>
        <v>10/14</v>
      </c>
      <c r="K3354" s="1" t="str">
        <f>"2026-07-29 13:18:02"</f>
        <v>2026-07-29 13:18:02</v>
      </c>
      <c r="L3354" s="1" t="str">
        <f>"2026-03-27 10:04:03"</f>
        <v>2026-03-27 10:04:03</v>
      </c>
      <c r="M3354" s="1" t="s">
        <v>0</v>
      </c>
      <c r="N3354" s="1" t="s">
        <v>38</v>
      </c>
      <c r="O3354" s="1" t="s">
        <v>46</v>
      </c>
    </row>
    <row r="3355" spans="2:15" x14ac:dyDescent="0.3">
      <c r="B3355" s="1" t="s">
        <v>23</v>
      </c>
      <c r="C3355" s="1" t="str">
        <f t="shared" si="190"/>
        <v>4차</v>
      </c>
      <c r="D3355" s="1" t="str">
        <f>"0225B18939"</f>
        <v>0225B18939</v>
      </c>
      <c r="E3355" s="1" t="s">
        <v>10</v>
      </c>
      <c r="F3355" s="1" t="str">
        <f>"10.12.137.86"</f>
        <v>10.12.137.86</v>
      </c>
      <c r="G3355" s="1" t="str">
        <f>"0225B189"</f>
        <v>0225B189</v>
      </c>
      <c r="H3355" s="1" t="str">
        <f>"한양대 15-1"</f>
        <v>한양대 15-1</v>
      </c>
      <c r="I3355" s="1" t="s">
        <v>17</v>
      </c>
      <c r="J3355" s="1" t="str">
        <f>"11/12"</f>
        <v>11/12</v>
      </c>
      <c r="K3355" s="1" t="str">
        <f>"2026-07-29 13:18:01"</f>
        <v>2026-07-29 13:18:01</v>
      </c>
      <c r="L3355" s="1" t="str">
        <f>"2018-06-23 13:47:29"</f>
        <v>2018-06-23 13:47:29</v>
      </c>
      <c r="M3355" s="1" t="s">
        <v>0</v>
      </c>
      <c r="N3355" s="1" t="s">
        <v>38</v>
      </c>
      <c r="O3355" s="1" t="s">
        <v>46</v>
      </c>
    </row>
    <row r="3356" spans="2:15" x14ac:dyDescent="0.3">
      <c r="B3356" s="1" t="s">
        <v>23</v>
      </c>
      <c r="C3356" s="1" t="str">
        <f t="shared" si="190"/>
        <v>4차</v>
      </c>
      <c r="D3356" s="1" t="str">
        <f>"0225B18C39"</f>
        <v>0225B18C39</v>
      </c>
      <c r="E3356" s="1" t="s">
        <v>14</v>
      </c>
      <c r="F3356" s="1" t="str">
        <f>"10.12.133.20"</f>
        <v>10.12.133.20</v>
      </c>
      <c r="G3356" s="1" t="str">
        <f>"0225B18C"</f>
        <v>0225B18C</v>
      </c>
      <c r="H3356" s="1" t="str">
        <f>"한양대 10-1"</f>
        <v>한양대 10-1</v>
      </c>
      <c r="I3356" s="1" t="s">
        <v>17</v>
      </c>
      <c r="J3356" s="1" t="str">
        <f>"0/0"</f>
        <v>0/0</v>
      </c>
      <c r="K3356" s="1" t="str">
        <f>"2026-07-28 13:18:03"</f>
        <v>2026-07-28 13:18:03</v>
      </c>
      <c r="L3356" s="1" t="str">
        <f>"2018-06-23 12:35:30"</f>
        <v>2018-06-23 12:35:30</v>
      </c>
      <c r="M3356" s="1" t="s">
        <v>0</v>
      </c>
      <c r="N3356" s="1" t="s">
        <v>39</v>
      </c>
      <c r="O3356" s="1" t="s">
        <v>46</v>
      </c>
    </row>
    <row r="3357" spans="2:15" x14ac:dyDescent="0.3">
      <c r="B3357" s="1" t="s">
        <v>23</v>
      </c>
      <c r="C3357" s="1" t="str">
        <f t="shared" si="190"/>
        <v>4차</v>
      </c>
      <c r="D3357" s="1" t="str">
        <f>"0225B19639"</f>
        <v>0225B19639</v>
      </c>
      <c r="E3357" s="1" t="s">
        <v>10</v>
      </c>
      <c r="F3357" s="1" t="str">
        <f>"10.12.132.224"</f>
        <v>10.12.132.224</v>
      </c>
      <c r="G3357" s="1" t="str">
        <f>"0225B196"</f>
        <v>0225B196</v>
      </c>
      <c r="H3357" s="1" t="str">
        <f>"한양대 20-2"</f>
        <v>한양대 20-2</v>
      </c>
      <c r="I3357" s="1" t="s">
        <v>17</v>
      </c>
      <c r="J3357" s="1" t="str">
        <f>"11/11"</f>
        <v>11/11</v>
      </c>
      <c r="K3357" s="1" t="str">
        <f>"2026-07-29 13:18:02"</f>
        <v>2026-07-29 13:18:02</v>
      </c>
      <c r="L3357" s="1" t="str">
        <f>"2018-06-22 15:07:59"</f>
        <v>2018-06-22 15:07:59</v>
      </c>
      <c r="M3357" s="1" t="s">
        <v>0</v>
      </c>
      <c r="N3357" s="1" t="s">
        <v>38</v>
      </c>
      <c r="O3357" s="1" t="s">
        <v>46</v>
      </c>
    </row>
    <row r="3358" spans="2:15" x14ac:dyDescent="0.3">
      <c r="B3358" s="1" t="s">
        <v>23</v>
      </c>
      <c r="C3358" s="1" t="str">
        <f>"5-2차"</f>
        <v>5-2차</v>
      </c>
      <c r="D3358" s="1" t="str">
        <f>"0225B2015S"</f>
        <v>0225B2015S</v>
      </c>
      <c r="E3358" s="1" t="s">
        <v>10</v>
      </c>
      <c r="F3358" s="1" t="str">
        <f>"fde1:103:4:58f5:0:0:0:2"</f>
        <v>fde1:103:4:58f5:0:0:0:2</v>
      </c>
      <c r="G3358" s="1" t="str">
        <f>"0225B201"</f>
        <v>0225B201</v>
      </c>
      <c r="H3358" s="1" t="str">
        <f>"왕십로 95R1L4"</f>
        <v>왕십로 95R1L4</v>
      </c>
      <c r="I3358" s="1" t="s">
        <v>15</v>
      </c>
      <c r="J3358" s="1" t="str">
        <f>"266/267"</f>
        <v>266/267</v>
      </c>
      <c r="K3358" s="1" t="str">
        <f>"2026-07-29 14:20:25"</f>
        <v>2026-07-29 14:20:25</v>
      </c>
      <c r="L3358" s="1" t="str">
        <f>"2023-09-22 13:11:58"</f>
        <v>2023-09-22 13:11:58</v>
      </c>
      <c r="M3358" s="1" t="s">
        <v>4</v>
      </c>
      <c r="N3358" s="1" t="s">
        <v>38</v>
      </c>
      <c r="O3358" s="1" t="s">
        <v>46</v>
      </c>
    </row>
    <row r="3359" spans="2:15" x14ac:dyDescent="0.3">
      <c r="B3359" s="1" t="s">
        <v>23</v>
      </c>
      <c r="C3359" s="1" t="str">
        <f>"5-2차"</f>
        <v>5-2차</v>
      </c>
      <c r="D3359" s="1" t="str">
        <f>"0225B2025S"</f>
        <v>0225B2025S</v>
      </c>
      <c r="E3359" s="1" t="s">
        <v>10</v>
      </c>
      <c r="F3359" s="1" t="str">
        <f>"fde1:103:4:5907:0:0:0:2"</f>
        <v>fde1:103:4:5907:0:0:0:2</v>
      </c>
      <c r="G3359" s="1" t="str">
        <f>"0225B202"</f>
        <v>0225B202</v>
      </c>
      <c r="H3359" s="1" t="str">
        <f>"왕십로 95R1L5"</f>
        <v>왕십로 95R1L5</v>
      </c>
      <c r="I3359" s="1" t="s">
        <v>15</v>
      </c>
      <c r="J3359" s="1" t="str">
        <f>"57/57"</f>
        <v>57/57</v>
      </c>
      <c r="K3359" s="1" t="str">
        <f>"2026-07-29 14:20:28"</f>
        <v>2026-07-29 14:20:28</v>
      </c>
      <c r="L3359" s="1" t="str">
        <f>"2023-09-22 13:14:12"</f>
        <v>2023-09-22 13:14:12</v>
      </c>
      <c r="M3359" s="1" t="s">
        <v>4</v>
      </c>
      <c r="N3359" s="1" t="s">
        <v>38</v>
      </c>
      <c r="O3359" s="1" t="s">
        <v>46</v>
      </c>
    </row>
    <row r="3360" spans="2:15" x14ac:dyDescent="0.3">
      <c r="B3360" s="1" t="s">
        <v>23</v>
      </c>
      <c r="C3360" s="1" t="str">
        <f>"4차"</f>
        <v>4차</v>
      </c>
      <c r="D3360" s="1" t="str">
        <f>"0225B30139"</f>
        <v>0225B30139</v>
      </c>
      <c r="E3360" s="1" t="s">
        <v>10</v>
      </c>
      <c r="F3360" s="1" t="str">
        <f>"10.12.133.44"</f>
        <v>10.12.133.44</v>
      </c>
      <c r="G3360" s="1" t="str">
        <f>"0225B301"</f>
        <v>0225B301</v>
      </c>
      <c r="H3360" s="1" t="str">
        <f>"왕십로 97-2"</f>
        <v>왕십로 97-2</v>
      </c>
      <c r="I3360" s="1" t="s">
        <v>17</v>
      </c>
      <c r="J3360" s="1" t="str">
        <f>"21/22"</f>
        <v>21/22</v>
      </c>
      <c r="K3360" s="1" t="str">
        <f>"2026-07-29 13:18:01"</f>
        <v>2026-07-29 13:18:01</v>
      </c>
      <c r="L3360" s="1" t="str">
        <f>"2018-07-16 13:53:19"</f>
        <v>2018-07-16 13:53:19</v>
      </c>
      <c r="M3360" s="1" t="s">
        <v>0</v>
      </c>
      <c r="N3360" s="1" t="s">
        <v>38</v>
      </c>
      <c r="O3360" s="1" t="s">
        <v>46</v>
      </c>
    </row>
    <row r="3361" spans="2:15" x14ac:dyDescent="0.3">
      <c r="B3361" s="1" t="s">
        <v>23</v>
      </c>
      <c r="C3361" s="1" t="str">
        <f>"5-2차"</f>
        <v>5-2차</v>
      </c>
      <c r="D3361" s="1" t="str">
        <f>"0225B9725S"</f>
        <v>0225B9725S</v>
      </c>
      <c r="E3361" s="1" t="s">
        <v>10</v>
      </c>
      <c r="F3361" s="1" t="str">
        <f>"fde1:103:4:58a5:0:0:0:2"</f>
        <v>fde1:103:4:58a5:0:0:0:2</v>
      </c>
      <c r="G3361" s="1" t="str">
        <f>"0225B972"</f>
        <v>0225B972</v>
      </c>
      <c r="H3361" s="1" t="str">
        <f>"한사간 16R4"</f>
        <v>한사간 16R4</v>
      </c>
      <c r="I3361" s="1" t="s">
        <v>15</v>
      </c>
      <c r="J3361" s="1" t="str">
        <f>"173/175"</f>
        <v>173/175</v>
      </c>
      <c r="K3361" s="1" t="str">
        <f>"2026-07-29 14:20:38"</f>
        <v>2026-07-29 14:20:38</v>
      </c>
      <c r="L3361" s="1" t="str">
        <f>"2023-09-22 13:35:12"</f>
        <v>2023-09-22 13:35:12</v>
      </c>
      <c r="M3361" s="1" t="s">
        <v>4</v>
      </c>
      <c r="N3361" s="1" t="s">
        <v>38</v>
      </c>
      <c r="O3361" s="1" t="s">
        <v>46</v>
      </c>
    </row>
    <row r="3362" spans="2:15" x14ac:dyDescent="0.3">
      <c r="B3362" s="1" t="s">
        <v>23</v>
      </c>
      <c r="C3362" s="1" t="str">
        <f>"4차"</f>
        <v>4차</v>
      </c>
      <c r="D3362" s="1" t="str">
        <f>"0225D07245"</f>
        <v>0225D07245</v>
      </c>
      <c r="E3362" s="1" t="s">
        <v>10</v>
      </c>
      <c r="F3362" s="1" t="str">
        <f>"10.14.7.61"</f>
        <v>10.14.7.61</v>
      </c>
      <c r="G3362" s="1" t="str">
        <f>"0225D072"</f>
        <v>0225D072</v>
      </c>
      <c r="H3362" s="1" t="str">
        <f>"왕십로 100-2"</f>
        <v>왕십로 100-2</v>
      </c>
      <c r="I3362" s="1" t="s">
        <v>17</v>
      </c>
      <c r="J3362" s="1" t="str">
        <f>"16/16"</f>
        <v>16/16</v>
      </c>
      <c r="K3362" s="1" t="str">
        <f>"2026-07-29 13:18:02"</f>
        <v>2026-07-29 13:18:02</v>
      </c>
      <c r="L3362" s="1" t="str">
        <f>"2021-06-24 13:50:16"</f>
        <v>2021-06-24 13:50:16</v>
      </c>
      <c r="M3362" s="1" t="s">
        <v>3</v>
      </c>
      <c r="N3362" s="1" t="s">
        <v>38</v>
      </c>
      <c r="O3362" s="1" t="s">
        <v>46</v>
      </c>
    </row>
    <row r="3363" spans="2:15" x14ac:dyDescent="0.3">
      <c r="B3363" s="1" t="s">
        <v>23</v>
      </c>
      <c r="C3363" s="1" t="str">
        <f>"5-1차"</f>
        <v>5-1차</v>
      </c>
      <c r="D3363" s="1" t="str">
        <f>"0225D3925S"</f>
        <v>0225D3925S</v>
      </c>
      <c r="E3363" s="1" t="s">
        <v>10</v>
      </c>
      <c r="F3363" s="1" t="str">
        <f>"fde2:104:0:1cb:0:0:0:2"</f>
        <v>fde2:104:0:1cb:0:0:0:2</v>
      </c>
      <c r="G3363" s="1" t="str">
        <f>"0225D392"</f>
        <v>0225D392</v>
      </c>
      <c r="H3363" s="1" t="str">
        <f>"왕십로 95R1L6"</f>
        <v>왕십로 95R1L6</v>
      </c>
      <c r="I3363" s="1" t="s">
        <v>15</v>
      </c>
      <c r="J3363" s="1" t="str">
        <f>"122/124"</f>
        <v>122/124</v>
      </c>
      <c r="K3363" s="1" t="str">
        <f>"2026-07-29 14:20:27"</f>
        <v>2026-07-29 14:20:27</v>
      </c>
      <c r="L3363" s="1" t="str">
        <f>"2022-11-23 13:32:03"</f>
        <v>2022-11-23 13:32:03</v>
      </c>
      <c r="M3363" s="1" t="s">
        <v>42</v>
      </c>
      <c r="N3363" s="1" t="s">
        <v>38</v>
      </c>
      <c r="O3363" s="1" t="s">
        <v>46</v>
      </c>
    </row>
    <row r="3364" spans="2:15" x14ac:dyDescent="0.3">
      <c r="B3364" s="1" t="s">
        <v>23</v>
      </c>
      <c r="C3364" s="1" t="str">
        <f t="shared" ref="C3364:C3374" si="191">"5-2차"</f>
        <v>5-2차</v>
      </c>
      <c r="D3364" s="1" t="str">
        <f>"0225E0715S"</f>
        <v>0225E0715S</v>
      </c>
      <c r="E3364" s="1" t="s">
        <v>10</v>
      </c>
      <c r="F3364" s="1" t="str">
        <f>"fde1:103:4:590f:0:0:0:2"</f>
        <v>fde1:103:4:590f:0:0:0:2</v>
      </c>
      <c r="G3364" s="1" t="str">
        <f>"0225E071"</f>
        <v>0225E071</v>
      </c>
      <c r="H3364" s="1" t="str">
        <f>"한사간 21R4A1"</f>
        <v>한사간 21R4A1</v>
      </c>
      <c r="I3364" s="1" t="s">
        <v>15</v>
      </c>
      <c r="J3364" s="1" t="str">
        <f>"106/107"</f>
        <v>106/107</v>
      </c>
      <c r="K3364" s="1" t="str">
        <f>"2026-07-29 08:20:29"</f>
        <v>2026-07-29 08:20:29</v>
      </c>
      <c r="L3364" s="1" t="str">
        <f>"2023-09-22 13:36:34"</f>
        <v>2023-09-22 13:36:34</v>
      </c>
      <c r="M3364" s="1" t="s">
        <v>4</v>
      </c>
      <c r="N3364" s="1" t="s">
        <v>38</v>
      </c>
      <c r="O3364" s="1" t="s">
        <v>46</v>
      </c>
    </row>
    <row r="3365" spans="2:15" x14ac:dyDescent="0.3">
      <c r="B3365" s="1" t="s">
        <v>23</v>
      </c>
      <c r="C3365" s="1" t="str">
        <f t="shared" si="191"/>
        <v>5-2차</v>
      </c>
      <c r="D3365" s="1" t="str">
        <f>"0225E0835S"</f>
        <v>0225E0835S</v>
      </c>
      <c r="E3365" s="1" t="s">
        <v>10</v>
      </c>
      <c r="F3365" s="1" t="str">
        <f>"fde1:103:4:5886:0:0:0:2"</f>
        <v>fde1:103:4:5886:0:0:0:2</v>
      </c>
      <c r="G3365" s="1" t="str">
        <f>"0225E083"</f>
        <v>0225E083</v>
      </c>
      <c r="H3365" s="1" t="str">
        <f>"한사간 21R4R2"</f>
        <v>한사간 21R4R2</v>
      </c>
      <c r="I3365" s="1" t="s">
        <v>15</v>
      </c>
      <c r="J3365" s="1" t="str">
        <f>"104/104"</f>
        <v>104/104</v>
      </c>
      <c r="K3365" s="1" t="str">
        <f>"2026-07-29 14:20:31"</f>
        <v>2026-07-29 14:20:31</v>
      </c>
      <c r="L3365" s="1" t="str">
        <f>"2023-09-22 13:38:15"</f>
        <v>2023-09-22 13:38:15</v>
      </c>
      <c r="M3365" s="1" t="s">
        <v>4</v>
      </c>
      <c r="N3365" s="1" t="s">
        <v>38</v>
      </c>
      <c r="O3365" s="1" t="s">
        <v>46</v>
      </c>
    </row>
    <row r="3366" spans="2:15" x14ac:dyDescent="0.3">
      <c r="B3366" s="1" t="s">
        <v>23</v>
      </c>
      <c r="C3366" s="1" t="str">
        <f t="shared" si="191"/>
        <v>5-2차</v>
      </c>
      <c r="D3366" s="1" t="str">
        <f>"0225E1635S"</f>
        <v>0225E1635S</v>
      </c>
      <c r="E3366" s="1" t="s">
        <v>10</v>
      </c>
      <c r="F3366" s="1" t="str">
        <f>"fde1:103:4:593b:0:0:0:2"</f>
        <v>fde1:103:4:593b:0:0:0:2</v>
      </c>
      <c r="G3366" s="1" t="str">
        <f>"0225E163"</f>
        <v>0225E163</v>
      </c>
      <c r="H3366" s="1" t="str">
        <f>"한사간 21R7"</f>
        <v>한사간 21R7</v>
      </c>
      <c r="I3366" s="1" t="s">
        <v>15</v>
      </c>
      <c r="J3366" s="1" t="str">
        <f>"44/44"</f>
        <v>44/44</v>
      </c>
      <c r="K3366" s="1" t="str">
        <f>"2026-07-29 14:20:26"</f>
        <v>2026-07-29 14:20:26</v>
      </c>
      <c r="L3366" s="1" t="str">
        <f>"2023-09-22 14:12:30"</f>
        <v>2023-09-22 14:12:30</v>
      </c>
      <c r="M3366" s="1" t="s">
        <v>4</v>
      </c>
      <c r="N3366" s="1" t="s">
        <v>38</v>
      </c>
      <c r="O3366" s="1" t="s">
        <v>46</v>
      </c>
    </row>
    <row r="3367" spans="2:15" x14ac:dyDescent="0.3">
      <c r="B3367" s="1" t="s">
        <v>23</v>
      </c>
      <c r="C3367" s="1" t="str">
        <f t="shared" si="191"/>
        <v>5-2차</v>
      </c>
      <c r="D3367" s="1" t="str">
        <f>"0225E1825M"</f>
        <v>0225E1825M</v>
      </c>
      <c r="E3367" s="1" t="s">
        <v>10</v>
      </c>
      <c r="F3367" s="1" t="str">
        <f>"fde1:103:4:59c6:0:0:0:2"</f>
        <v>fde1:103:4:59c6:0:0:0:2</v>
      </c>
      <c r="G3367" s="1" t="str">
        <f>"0225E182"</f>
        <v>0225E182</v>
      </c>
      <c r="H3367" s="1" t="str">
        <f>"한사간 21R3"</f>
        <v>한사간 21R3</v>
      </c>
      <c r="I3367" s="1" t="s">
        <v>15</v>
      </c>
      <c r="J3367" s="1" t="str">
        <f>"211/211"</f>
        <v>211/211</v>
      </c>
      <c r="K3367" s="1" t="str">
        <f>"2026-07-29 14:20:26"</f>
        <v>2026-07-29 14:20:26</v>
      </c>
      <c r="L3367" s="1" t="str">
        <f>"2023-09-22 14:14:04"</f>
        <v>2023-09-22 14:14:04</v>
      </c>
      <c r="M3367" s="1" t="s">
        <v>4</v>
      </c>
      <c r="N3367" s="1" t="s">
        <v>38</v>
      </c>
      <c r="O3367" s="1" t="s">
        <v>46</v>
      </c>
    </row>
    <row r="3368" spans="2:15" x14ac:dyDescent="0.3">
      <c r="B3368" s="1" t="s">
        <v>23</v>
      </c>
      <c r="C3368" s="1" t="str">
        <f t="shared" si="191"/>
        <v>5-2차</v>
      </c>
      <c r="D3368" s="1" t="str">
        <f>"0225E2635S"</f>
        <v>0225E2635S</v>
      </c>
      <c r="E3368" s="1" t="s">
        <v>10</v>
      </c>
      <c r="F3368" s="1" t="str">
        <f>"fde1:103:4:5745:0:0:0:2"</f>
        <v>fde1:103:4:5745:0:0:0:2</v>
      </c>
      <c r="G3368" s="1" t="str">
        <f>"0225E263"</f>
        <v>0225E263</v>
      </c>
      <c r="H3368" s="1" t="str">
        <f>"한사간 24A9"</f>
        <v>한사간 24A9</v>
      </c>
      <c r="I3368" s="1" t="s">
        <v>15</v>
      </c>
      <c r="J3368" s="1" t="str">
        <f>"103/103"</f>
        <v>103/103</v>
      </c>
      <c r="K3368" s="1" t="str">
        <f>"2026-07-29 14:20:32"</f>
        <v>2026-07-29 14:20:32</v>
      </c>
      <c r="L3368" s="1" t="str">
        <f>"2023-09-22 14:18:54"</f>
        <v>2023-09-22 14:18:54</v>
      </c>
      <c r="M3368" s="1" t="s">
        <v>4</v>
      </c>
      <c r="N3368" s="1" t="s">
        <v>38</v>
      </c>
      <c r="O3368" s="1" t="s">
        <v>46</v>
      </c>
    </row>
    <row r="3369" spans="2:15" x14ac:dyDescent="0.3">
      <c r="B3369" s="1" t="s">
        <v>23</v>
      </c>
      <c r="C3369" s="1" t="str">
        <f t="shared" si="191"/>
        <v>5-2차</v>
      </c>
      <c r="D3369" s="1" t="str">
        <f>"0225E2715S"</f>
        <v>0225E2715S</v>
      </c>
      <c r="E3369" s="1" t="s">
        <v>10</v>
      </c>
      <c r="F3369" s="1" t="str">
        <f>"fde1:103:4:5a21:0:0:0:2"</f>
        <v>fde1:103:4:5a21:0:0:0:2</v>
      </c>
      <c r="G3369" s="1" t="str">
        <f>"0225E271"</f>
        <v>0225E271</v>
      </c>
      <c r="H3369" s="1" t="str">
        <f>"한사간 24A6"</f>
        <v>한사간 24A6</v>
      </c>
      <c r="I3369" s="1" t="s">
        <v>15</v>
      </c>
      <c r="J3369" s="1" t="str">
        <f>"100/101"</f>
        <v>100/101</v>
      </c>
      <c r="K3369" s="1" t="str">
        <f>"2026-07-29 14:20:31"</f>
        <v>2026-07-29 14:20:31</v>
      </c>
      <c r="L3369" s="1" t="str">
        <f>"2023-09-22 14:30:43"</f>
        <v>2023-09-22 14:30:43</v>
      </c>
      <c r="M3369" s="1" t="s">
        <v>4</v>
      </c>
      <c r="N3369" s="1" t="s">
        <v>38</v>
      </c>
      <c r="O3369" s="1" t="s">
        <v>46</v>
      </c>
    </row>
    <row r="3370" spans="2:15" x14ac:dyDescent="0.3">
      <c r="B3370" s="1" t="s">
        <v>23</v>
      </c>
      <c r="C3370" s="1" t="str">
        <f t="shared" si="191"/>
        <v>5-2차</v>
      </c>
      <c r="D3370" s="1" t="str">
        <f>"0225E2945S"</f>
        <v>0225E2945S</v>
      </c>
      <c r="E3370" s="1" t="s">
        <v>10</v>
      </c>
      <c r="F3370" s="1" t="str">
        <f>"fde1:103:4:59a8:0:0:0:2"</f>
        <v>fde1:103:4:59a8:0:0:0:2</v>
      </c>
      <c r="G3370" s="1" t="str">
        <f>"0225E294"</f>
        <v>0225E294</v>
      </c>
      <c r="H3370" s="1" t="str">
        <f>"한사간 27L1"</f>
        <v>한사간 27L1</v>
      </c>
      <c r="I3370" s="1" t="s">
        <v>15</v>
      </c>
      <c r="J3370" s="1" t="str">
        <f>"44/44"</f>
        <v>44/44</v>
      </c>
      <c r="K3370" s="1" t="str">
        <f>"2026-07-29 14:20:32"</f>
        <v>2026-07-29 14:20:32</v>
      </c>
      <c r="L3370" s="1" t="str">
        <f>"2023-09-22 14:31:53"</f>
        <v>2023-09-22 14:31:53</v>
      </c>
      <c r="M3370" s="1" t="s">
        <v>4</v>
      </c>
      <c r="N3370" s="1" t="s">
        <v>38</v>
      </c>
      <c r="O3370" s="1" t="s">
        <v>46</v>
      </c>
    </row>
    <row r="3371" spans="2:15" x14ac:dyDescent="0.3">
      <c r="B3371" s="1" t="s">
        <v>23</v>
      </c>
      <c r="C3371" s="1" t="str">
        <f t="shared" si="191"/>
        <v>5-2차</v>
      </c>
      <c r="D3371" s="1" t="str">
        <f>"0225E3715S"</f>
        <v>0225E3715S</v>
      </c>
      <c r="E3371" s="1" t="s">
        <v>10</v>
      </c>
      <c r="F3371" s="1" t="str">
        <f>"fde1:103:4:59e1:0:0:0:2"</f>
        <v>fde1:103:4:59e1:0:0:0:2</v>
      </c>
      <c r="G3371" s="1" t="str">
        <f>"0225E371"</f>
        <v>0225E371</v>
      </c>
      <c r="H3371" s="1" t="str">
        <f>"한사간 24A5"</f>
        <v>한사간 24A5</v>
      </c>
      <c r="I3371" s="1" t="s">
        <v>15</v>
      </c>
      <c r="J3371" s="1" t="str">
        <f>"44/44"</f>
        <v>44/44</v>
      </c>
      <c r="K3371" s="1" t="str">
        <f>"2026-07-29 14:20:32"</f>
        <v>2026-07-29 14:20:32</v>
      </c>
      <c r="L3371" s="1" t="str">
        <f>"2023-09-22 14:33:46"</f>
        <v>2023-09-22 14:33:46</v>
      </c>
      <c r="M3371" s="1" t="s">
        <v>4</v>
      </c>
      <c r="N3371" s="1" t="s">
        <v>38</v>
      </c>
      <c r="O3371" s="1" t="s">
        <v>46</v>
      </c>
    </row>
    <row r="3372" spans="2:15" x14ac:dyDescent="0.3">
      <c r="B3372" s="1" t="s">
        <v>23</v>
      </c>
      <c r="C3372" s="1" t="str">
        <f t="shared" si="191"/>
        <v>5-2차</v>
      </c>
      <c r="D3372" s="1" t="str">
        <f>"0225E3725S"</f>
        <v>0225E3725S</v>
      </c>
      <c r="E3372" s="1" t="s">
        <v>10</v>
      </c>
      <c r="F3372" s="1" t="str">
        <f>"fde1:103:4:5896:0:0:0:2"</f>
        <v>fde1:103:4:5896:0:0:0:2</v>
      </c>
      <c r="G3372" s="1" t="str">
        <f>"0225E372"</f>
        <v>0225E372</v>
      </c>
      <c r="H3372" s="1" t="str">
        <f>"한사간 24A4"</f>
        <v>한사간 24A4</v>
      </c>
      <c r="I3372" s="1" t="s">
        <v>15</v>
      </c>
      <c r="J3372" s="1" t="str">
        <f>"75/75"</f>
        <v>75/75</v>
      </c>
      <c r="K3372" s="1" t="str">
        <f>"2026-07-29 14:20:38"</f>
        <v>2026-07-29 14:20:38</v>
      </c>
      <c r="L3372" s="1" t="str">
        <f>"2023-09-22 14:53:07"</f>
        <v>2023-09-22 14:53:07</v>
      </c>
      <c r="M3372" s="1" t="s">
        <v>4</v>
      </c>
      <c r="N3372" s="1" t="s">
        <v>38</v>
      </c>
      <c r="O3372" s="1" t="s">
        <v>46</v>
      </c>
    </row>
    <row r="3373" spans="2:15" x14ac:dyDescent="0.3">
      <c r="B3373" s="1" t="s">
        <v>23</v>
      </c>
      <c r="C3373" s="1" t="str">
        <f t="shared" si="191"/>
        <v>5-2차</v>
      </c>
      <c r="D3373" s="1" t="str">
        <f>"0225E3825S"</f>
        <v>0225E3825S</v>
      </c>
      <c r="E3373" s="1" t="s">
        <v>10</v>
      </c>
      <c r="F3373" s="1" t="str">
        <f>"fde1:103:4:59ca:0:0:0:2"</f>
        <v>fde1:103:4:59ca:0:0:0:2</v>
      </c>
      <c r="G3373" s="1" t="str">
        <f>"0225E382"</f>
        <v>0225E382</v>
      </c>
      <c r="H3373" s="1" t="str">
        <f>"한사간 24A3"</f>
        <v>한사간 24A3</v>
      </c>
      <c r="I3373" s="1" t="s">
        <v>15</v>
      </c>
      <c r="J3373" s="1" t="str">
        <f>"54/54"</f>
        <v>54/54</v>
      </c>
      <c r="K3373" s="1" t="str">
        <f>"2026-07-29 14:20:27"</f>
        <v>2026-07-29 14:20:27</v>
      </c>
      <c r="L3373" s="1" t="str">
        <f>"2023-09-22 14:54:06"</f>
        <v>2023-09-22 14:54:06</v>
      </c>
      <c r="M3373" s="1" t="s">
        <v>4</v>
      </c>
      <c r="N3373" s="1" t="s">
        <v>38</v>
      </c>
      <c r="O3373" s="1" t="s">
        <v>46</v>
      </c>
    </row>
    <row r="3374" spans="2:15" x14ac:dyDescent="0.3">
      <c r="B3374" s="1" t="s">
        <v>23</v>
      </c>
      <c r="C3374" s="1" t="str">
        <f t="shared" si="191"/>
        <v>5-2차</v>
      </c>
      <c r="D3374" s="1" t="str">
        <f>"0225E4815M"</f>
        <v>0225E4815M</v>
      </c>
      <c r="E3374" s="1" t="s">
        <v>10</v>
      </c>
      <c r="F3374" s="1" t="str">
        <f>"fde1:103:4:5725:0:0:0:2"</f>
        <v>fde1:103:4:5725:0:0:0:2</v>
      </c>
      <c r="G3374" s="1" t="str">
        <f>"0225E481"</f>
        <v>0225E481</v>
      </c>
      <c r="H3374" s="1" t="str">
        <f>"한사간 24A1"</f>
        <v>한사간 24A1</v>
      </c>
      <c r="I3374" s="1" t="s">
        <v>15</v>
      </c>
      <c r="J3374" s="1" t="str">
        <f>"43/43"</f>
        <v>43/43</v>
      </c>
      <c r="K3374" s="1" t="str">
        <f>"2026-07-29 14:20:39"</f>
        <v>2026-07-29 14:20:39</v>
      </c>
      <c r="L3374" s="1" t="str">
        <f>"2023-12-06 15:43:38"</f>
        <v>2023-12-06 15:43:38</v>
      </c>
      <c r="M3374" s="1" t="s">
        <v>4</v>
      </c>
      <c r="N3374" s="1" t="s">
        <v>38</v>
      </c>
      <c r="O3374" s="1" t="s">
        <v>46</v>
      </c>
    </row>
    <row r="3375" spans="2:15" x14ac:dyDescent="0.3">
      <c r="B3375" s="1" t="s">
        <v>23</v>
      </c>
      <c r="C3375" s="1" t="str">
        <f>"5-1차"</f>
        <v>5-1차</v>
      </c>
      <c r="D3375" s="1" t="str">
        <f>"0225E5735S"</f>
        <v>0225E5735S</v>
      </c>
      <c r="E3375" s="1" t="s">
        <v>10</v>
      </c>
      <c r="F3375" s="1" t="str">
        <f>"fde3:102:1440:5200:0:0:0:3"</f>
        <v>fde3:102:1440:5200:0:0:0:3</v>
      </c>
      <c r="G3375" s="1" t="str">
        <f>"0225E573"</f>
        <v>0225E573</v>
      </c>
      <c r="H3375" s="1" t="str">
        <f>"한사간 24R6"</f>
        <v>한사간 24R6</v>
      </c>
      <c r="I3375" s="1" t="s">
        <v>15</v>
      </c>
      <c r="J3375" s="1" t="str">
        <f>"111/112"</f>
        <v>111/112</v>
      </c>
      <c r="K3375" s="1" t="str">
        <f>"2026-07-29 14:20:39"</f>
        <v>2026-07-29 14:20:39</v>
      </c>
      <c r="L3375" s="1" t="str">
        <f>"2022-11-01 11:24:22"</f>
        <v>2022-11-01 11:24:22</v>
      </c>
      <c r="M3375" s="1" t="s">
        <v>45</v>
      </c>
      <c r="N3375" s="1" t="s">
        <v>38</v>
      </c>
      <c r="O3375" s="1" t="s">
        <v>46</v>
      </c>
    </row>
    <row r="3376" spans="2:15" x14ac:dyDescent="0.3">
      <c r="B3376" s="1" t="s">
        <v>23</v>
      </c>
      <c r="C3376" s="1" t="str">
        <f t="shared" ref="C3376:C3381" si="192">"5-2차"</f>
        <v>5-2차</v>
      </c>
      <c r="D3376" s="1" t="str">
        <f>"0225E5815M"</f>
        <v>0225E5815M</v>
      </c>
      <c r="E3376" s="1" t="s">
        <v>10</v>
      </c>
      <c r="F3376" s="1" t="str">
        <f>"fde1:103:4:57aa:0:0:0:2"</f>
        <v>fde1:103:4:57aa:0:0:0:2</v>
      </c>
      <c r="G3376" s="1" t="str">
        <f>"0225E581"</f>
        <v>0225E581</v>
      </c>
      <c r="H3376" s="1" t="str">
        <f>"한사간 24R5"</f>
        <v>한사간 24R5</v>
      </c>
      <c r="I3376" s="1" t="s">
        <v>15</v>
      </c>
      <c r="J3376" s="1" t="str">
        <f>"86/86"</f>
        <v>86/86</v>
      </c>
      <c r="K3376" s="1" t="str">
        <f>"2026-07-29 14:20:39"</f>
        <v>2026-07-29 14:20:39</v>
      </c>
      <c r="L3376" s="1" t="str">
        <f>"2023-09-22 15:32:37"</f>
        <v>2023-09-22 15:32:37</v>
      </c>
      <c r="M3376" s="1" t="s">
        <v>4</v>
      </c>
      <c r="N3376" s="1" t="s">
        <v>38</v>
      </c>
      <c r="O3376" s="1" t="s">
        <v>46</v>
      </c>
    </row>
    <row r="3377" spans="2:15" x14ac:dyDescent="0.3">
      <c r="B3377" s="1" t="s">
        <v>23</v>
      </c>
      <c r="C3377" s="1" t="str">
        <f t="shared" si="192"/>
        <v>5-2차</v>
      </c>
      <c r="D3377" s="1" t="str">
        <f>"0225F1825M"</f>
        <v>0225F1825M</v>
      </c>
      <c r="E3377" s="1" t="s">
        <v>10</v>
      </c>
      <c r="F3377" s="1" t="str">
        <f>"fde1:103:4:5934:0:0:0:2"</f>
        <v>fde1:103:4:5934:0:0:0:2</v>
      </c>
      <c r="G3377" s="1" t="str">
        <f>"0225F182"</f>
        <v>0225F182</v>
      </c>
      <c r="H3377" s="1" t="str">
        <f>"용답간 23R19R8"</f>
        <v>용답간 23R19R8</v>
      </c>
      <c r="I3377" s="1" t="s">
        <v>15</v>
      </c>
      <c r="J3377" s="1" t="str">
        <f>"65/65"</f>
        <v>65/65</v>
      </c>
      <c r="K3377" s="1" t="str">
        <f>"2026-07-29 14:20:49"</f>
        <v>2026-07-29 14:20:49</v>
      </c>
      <c r="L3377" s="1" t="str">
        <f>"2023-09-22 15:19:13"</f>
        <v>2023-09-22 15:19:13</v>
      </c>
      <c r="M3377" s="1" t="s">
        <v>4</v>
      </c>
      <c r="N3377" s="1" t="s">
        <v>38</v>
      </c>
      <c r="O3377" s="1" t="s">
        <v>46</v>
      </c>
    </row>
    <row r="3378" spans="2:15" x14ac:dyDescent="0.3">
      <c r="B3378" s="1" t="s">
        <v>23</v>
      </c>
      <c r="C3378" s="1" t="str">
        <f t="shared" si="192"/>
        <v>5-2차</v>
      </c>
      <c r="D3378" s="1" t="str">
        <f>"0225F1915M"</f>
        <v>0225F1915M</v>
      </c>
      <c r="E3378" s="1" t="s">
        <v>10</v>
      </c>
      <c r="F3378" s="1" t="str">
        <f>"fde1:103:4:57e1:0:0:0:2"</f>
        <v>fde1:103:4:57e1:0:0:0:2</v>
      </c>
      <c r="G3378" s="1" t="str">
        <f>"0225F191"</f>
        <v>0225F191</v>
      </c>
      <c r="H3378" s="1" t="str">
        <f>"용답간 23R19R6"</f>
        <v>용답간 23R19R6</v>
      </c>
      <c r="I3378" s="1" t="s">
        <v>15</v>
      </c>
      <c r="J3378" s="1" t="str">
        <f>"122/130"</f>
        <v>122/130</v>
      </c>
      <c r="K3378" s="1" t="str">
        <f>"2026-07-29 14:20:32"</f>
        <v>2026-07-29 14:20:32</v>
      </c>
      <c r="L3378" s="1" t="str">
        <f>"2023-09-25 09:28:14"</f>
        <v>2023-09-25 09:28:14</v>
      </c>
      <c r="M3378" s="1" t="s">
        <v>4</v>
      </c>
      <c r="N3378" s="1" t="s">
        <v>38</v>
      </c>
      <c r="O3378" s="1" t="s">
        <v>46</v>
      </c>
    </row>
    <row r="3379" spans="2:15" x14ac:dyDescent="0.3">
      <c r="B3379" s="1" t="s">
        <v>23</v>
      </c>
      <c r="C3379" s="1" t="str">
        <f t="shared" si="192"/>
        <v>5-2차</v>
      </c>
      <c r="D3379" s="1" t="str">
        <f>"0225F4915M"</f>
        <v>0225F4915M</v>
      </c>
      <c r="E3379" s="1" t="s">
        <v>10</v>
      </c>
      <c r="F3379" s="1" t="str">
        <f>"fde1:103:4:57ee:0:0:0:2"</f>
        <v>fde1:103:4:57ee:0:0:0:2</v>
      </c>
      <c r="G3379" s="1" t="str">
        <f>"0225F491"</f>
        <v>0225F491</v>
      </c>
      <c r="H3379" s="1" t="str">
        <f>"용답간 23R24"</f>
        <v>용답간 23R24</v>
      </c>
      <c r="I3379" s="1" t="s">
        <v>15</v>
      </c>
      <c r="J3379" s="1" t="str">
        <f>"61/61"</f>
        <v>61/61</v>
      </c>
      <c r="K3379" s="1" t="str">
        <f>"2026-07-29 14:20:37"</f>
        <v>2026-07-29 14:20:37</v>
      </c>
      <c r="L3379" s="1" t="str">
        <f>"2023-09-25 09:29:07"</f>
        <v>2023-09-25 09:29:07</v>
      </c>
      <c r="M3379" s="1" t="s">
        <v>4</v>
      </c>
      <c r="N3379" s="1" t="s">
        <v>38</v>
      </c>
      <c r="O3379" s="1" t="s">
        <v>46</v>
      </c>
    </row>
    <row r="3380" spans="2:15" x14ac:dyDescent="0.3">
      <c r="B3380" s="1" t="s">
        <v>23</v>
      </c>
      <c r="C3380" s="1" t="str">
        <f t="shared" si="192"/>
        <v>5-2차</v>
      </c>
      <c r="D3380" s="1" t="str">
        <f>"0225F4935M"</f>
        <v>0225F4935M</v>
      </c>
      <c r="E3380" s="1" t="s">
        <v>10</v>
      </c>
      <c r="F3380" s="1" t="str">
        <f>"fde1:103:4:580c:0:0:0:2"</f>
        <v>fde1:103:4:580c:0:0:0:2</v>
      </c>
      <c r="G3380" s="1" t="str">
        <f>"0225F493"</f>
        <v>0225F493</v>
      </c>
      <c r="H3380" s="1" t="str">
        <f>"용답간 23R25"</f>
        <v>용답간 23R25</v>
      </c>
      <c r="I3380" s="1" t="s">
        <v>15</v>
      </c>
      <c r="J3380" s="1" t="str">
        <f>"49/49"</f>
        <v>49/49</v>
      </c>
      <c r="K3380" s="1" t="str">
        <f>"2026-07-29 14:20:50"</f>
        <v>2026-07-29 14:20:50</v>
      </c>
      <c r="L3380" s="1" t="str">
        <f>"2023-09-25 09:30:12"</f>
        <v>2023-09-25 09:30:12</v>
      </c>
      <c r="M3380" s="1" t="s">
        <v>4</v>
      </c>
      <c r="N3380" s="1" t="s">
        <v>38</v>
      </c>
      <c r="O3380" s="1" t="s">
        <v>46</v>
      </c>
    </row>
    <row r="3381" spans="2:15" x14ac:dyDescent="0.3">
      <c r="B3381" s="1" t="s">
        <v>23</v>
      </c>
      <c r="C3381" s="1" t="str">
        <f t="shared" si="192"/>
        <v>5-2차</v>
      </c>
      <c r="D3381" s="1" t="str">
        <f>"0225P2915M"</f>
        <v>0225P2915M</v>
      </c>
      <c r="E3381" s="1" t="s">
        <v>10</v>
      </c>
      <c r="F3381" s="1" t="str">
        <f>"fde1:103:4:578c:0:0:0:2"</f>
        <v>fde1:103:4:578c:0:0:0:2</v>
      </c>
      <c r="G3381" s="1" t="str">
        <f>"0225P291"</f>
        <v>0225P291</v>
      </c>
      <c r="H3381" s="1" t="str">
        <f>"행당지 30"</f>
        <v>행당지 30</v>
      </c>
      <c r="I3381" s="1" t="s">
        <v>15</v>
      </c>
      <c r="J3381" s="1" t="str">
        <f>"68/68"</f>
        <v>68/68</v>
      </c>
      <c r="K3381" s="1" t="str">
        <f>"2026-07-29 14:20:36"</f>
        <v>2026-07-29 14:20:36</v>
      </c>
      <c r="L3381" s="1" t="str">
        <f>"2023-09-25 09:46:07"</f>
        <v>2023-09-25 09:46:07</v>
      </c>
      <c r="M3381" s="1" t="s">
        <v>4</v>
      </c>
      <c r="N3381" s="1" t="s">
        <v>38</v>
      </c>
      <c r="O3381" s="1" t="s">
        <v>46</v>
      </c>
    </row>
    <row r="3382" spans="2:15" x14ac:dyDescent="0.3">
      <c r="B3382" s="1" t="s">
        <v>23</v>
      </c>
      <c r="C3382" s="1" t="str">
        <f t="shared" ref="C3382:C3389" si="193">"4차"</f>
        <v>4차</v>
      </c>
      <c r="D3382" s="1" t="str">
        <f>"0225P91141"</f>
        <v>0225P91141</v>
      </c>
      <c r="E3382" s="1" t="s">
        <v>10</v>
      </c>
      <c r="F3382" s="1" t="str">
        <f>"10.12.131.167"</f>
        <v>10.12.131.167</v>
      </c>
      <c r="G3382" s="1" t="str">
        <f>"0225P911"</f>
        <v>0225P911</v>
      </c>
      <c r="H3382" s="1" t="str">
        <f>"뚝섬길 SWR5R8R8R6R1"</f>
        <v>뚝섬길 SWR5R8R8R6R1</v>
      </c>
      <c r="I3382" s="1" t="s">
        <v>17</v>
      </c>
      <c r="J3382" s="1" t="str">
        <f>"17/22"</f>
        <v>17/22</v>
      </c>
      <c r="K3382" s="1" t="str">
        <f>"2026-07-29 13:18:03"</f>
        <v>2026-07-29 13:18:03</v>
      </c>
      <c r="L3382" s="1" t="str">
        <f>"2021-10-12 12:09:12"</f>
        <v>2021-10-12 12:09:12</v>
      </c>
      <c r="M3382" s="1" t="s">
        <v>0</v>
      </c>
      <c r="N3382" s="1" t="s">
        <v>38</v>
      </c>
      <c r="O3382" s="1" t="s">
        <v>46</v>
      </c>
    </row>
    <row r="3383" spans="2:15" x14ac:dyDescent="0.3">
      <c r="B3383" s="1" t="s">
        <v>23</v>
      </c>
      <c r="C3383" s="1" t="str">
        <f t="shared" si="193"/>
        <v>4차</v>
      </c>
      <c r="D3383" s="1" t="str">
        <f>"0225Q00139"</f>
        <v>0225Q00139</v>
      </c>
      <c r="E3383" s="1" t="s">
        <v>10</v>
      </c>
      <c r="F3383" s="1" t="str">
        <f>"10.12.133.135"</f>
        <v>10.12.133.135</v>
      </c>
      <c r="G3383" s="1" t="str">
        <f>"0225Q001"</f>
        <v>0225Q001</v>
      </c>
      <c r="H3383" s="1" t="str">
        <f>"뚝섬길 SWR5R8R11"</f>
        <v>뚝섬길 SWR5R8R11</v>
      </c>
      <c r="I3383" s="1" t="s">
        <v>17</v>
      </c>
      <c r="J3383" s="1" t="str">
        <f>"19/19"</f>
        <v>19/19</v>
      </c>
      <c r="K3383" s="1" t="str">
        <f>"2026-07-29 13:18:02"</f>
        <v>2026-07-29 13:18:02</v>
      </c>
      <c r="L3383" s="1" t="str">
        <f>"2018-11-29 13:54:55"</f>
        <v>2018-11-29 13:54:55</v>
      </c>
      <c r="M3383" s="1" t="s">
        <v>0</v>
      </c>
      <c r="N3383" s="1" t="s">
        <v>38</v>
      </c>
      <c r="O3383" s="1" t="s">
        <v>46</v>
      </c>
    </row>
    <row r="3384" spans="2:15" x14ac:dyDescent="0.3">
      <c r="B3384" s="1" t="s">
        <v>23</v>
      </c>
      <c r="C3384" s="1" t="str">
        <f t="shared" si="193"/>
        <v>4차</v>
      </c>
      <c r="D3384" s="1" t="str">
        <f>"0225Q00241"</f>
        <v>0225Q00241</v>
      </c>
      <c r="E3384" s="1" t="s">
        <v>12</v>
      </c>
      <c r="F3384" s="1" t="str">
        <f>"10.14.10.38"</f>
        <v>10.14.10.38</v>
      </c>
      <c r="G3384" s="1" t="str">
        <f>"0225Q002"</f>
        <v>0225Q002</v>
      </c>
      <c r="H3384" s="1" t="str">
        <f>"뚝섬간 15R3"</f>
        <v>뚝섬간 15R3</v>
      </c>
      <c r="I3384" s="1" t="s">
        <v>17</v>
      </c>
      <c r="J3384" s="1" t="str">
        <f>"0/28"</f>
        <v>0/28</v>
      </c>
      <c r="K3384" s="1" t="str">
        <f>"2026-07-19 07:18:01"</f>
        <v>2026-07-19 07:18:01</v>
      </c>
      <c r="L3384" s="1" t="str">
        <f>"2021-10-12 11:07:33"</f>
        <v>2021-10-12 11:07:33</v>
      </c>
      <c r="M3384" s="1" t="s">
        <v>3</v>
      </c>
      <c r="N3384" s="1" t="s">
        <v>38</v>
      </c>
      <c r="O3384" s="1" t="s">
        <v>46</v>
      </c>
    </row>
    <row r="3385" spans="2:15" x14ac:dyDescent="0.3">
      <c r="B3385" s="1" t="s">
        <v>23</v>
      </c>
      <c r="C3385" s="1" t="str">
        <f t="shared" si="193"/>
        <v>4차</v>
      </c>
      <c r="D3385" s="1" t="str">
        <f>"0225Q10141"</f>
        <v>0225Q10141</v>
      </c>
      <c r="E3385" s="1" t="s">
        <v>10</v>
      </c>
      <c r="F3385" s="1" t="str">
        <f>"10.14.12.38"</f>
        <v>10.14.12.38</v>
      </c>
      <c r="G3385" s="1" t="str">
        <f>"0225Q101"</f>
        <v>0225Q101</v>
      </c>
      <c r="H3385" s="1" t="str">
        <f>"뚝섬간 16"</f>
        <v>뚝섬간 16</v>
      </c>
      <c r="I3385" s="1" t="s">
        <v>17</v>
      </c>
      <c r="J3385" s="1" t="str">
        <f>"11/17"</f>
        <v>11/17</v>
      </c>
      <c r="K3385" s="1" t="str">
        <f>"2026-07-29 13:18:01"</f>
        <v>2026-07-29 13:18:01</v>
      </c>
      <c r="L3385" s="1" t="str">
        <f>"2021-10-12 12:48:25"</f>
        <v>2021-10-12 12:48:25</v>
      </c>
      <c r="M3385" s="1" t="s">
        <v>3</v>
      </c>
      <c r="N3385" s="1" t="s">
        <v>38</v>
      </c>
      <c r="O3385" s="1" t="s">
        <v>46</v>
      </c>
    </row>
    <row r="3386" spans="2:15" x14ac:dyDescent="0.3">
      <c r="B3386" s="1" t="s">
        <v>23</v>
      </c>
      <c r="C3386" s="1" t="str">
        <f t="shared" si="193"/>
        <v>4차</v>
      </c>
      <c r="D3386" s="1" t="str">
        <f>"0225Q10339"</f>
        <v>0225Q10339</v>
      </c>
      <c r="E3386" s="1" t="s">
        <v>10</v>
      </c>
      <c r="F3386" s="1" t="str">
        <f>"10.12.131.129"</f>
        <v>10.12.131.129</v>
      </c>
      <c r="G3386" s="1" t="str">
        <f>"0225Q103"</f>
        <v>0225Q103</v>
      </c>
      <c r="H3386" s="1" t="str">
        <f>"뚝섬길 SWR5R8R8R1"</f>
        <v>뚝섬길 SWR5R8R8R1</v>
      </c>
      <c r="I3386" s="1" t="s">
        <v>17</v>
      </c>
      <c r="J3386" s="1" t="str">
        <f>"38/38"</f>
        <v>38/38</v>
      </c>
      <c r="K3386" s="1" t="str">
        <f>"2026-07-29 13:18:01"</f>
        <v>2026-07-29 13:18:01</v>
      </c>
      <c r="L3386" s="1" t="str">
        <f>"2018-11-29 17:59:49"</f>
        <v>2018-11-29 17:59:49</v>
      </c>
      <c r="M3386" s="1" t="s">
        <v>0</v>
      </c>
      <c r="N3386" s="1" t="s">
        <v>38</v>
      </c>
      <c r="O3386" s="1" t="s">
        <v>46</v>
      </c>
    </row>
    <row r="3387" spans="2:15" x14ac:dyDescent="0.3">
      <c r="B3387" s="1" t="s">
        <v>23</v>
      </c>
      <c r="C3387" s="1" t="str">
        <f t="shared" si="193"/>
        <v>4차</v>
      </c>
      <c r="D3387" s="1" t="str">
        <f>"0225Q10439"</f>
        <v>0225Q10439</v>
      </c>
      <c r="E3387" s="1" t="s">
        <v>10</v>
      </c>
      <c r="F3387" s="1" t="str">
        <f>"10.12.132.106"</f>
        <v>10.12.132.106</v>
      </c>
      <c r="G3387" s="1" t="str">
        <f>"0225Q104"</f>
        <v>0225Q104</v>
      </c>
      <c r="H3387" s="1" t="str">
        <f>"뚝섬길 SWR5R8R8R2"</f>
        <v>뚝섬길 SWR5R8R8R2</v>
      </c>
      <c r="I3387" s="1" t="s">
        <v>17</v>
      </c>
      <c r="J3387" s="1" t="str">
        <f>"28/28"</f>
        <v>28/28</v>
      </c>
      <c r="K3387" s="1" t="str">
        <f>"2026-07-29 13:18:02"</f>
        <v>2026-07-29 13:18:02</v>
      </c>
      <c r="L3387" s="1" t="str">
        <f>"2018-11-29 14:45:53"</f>
        <v>2018-11-29 14:45:53</v>
      </c>
      <c r="M3387" s="1" t="s">
        <v>0</v>
      </c>
      <c r="N3387" s="1" t="s">
        <v>38</v>
      </c>
      <c r="O3387" s="1" t="s">
        <v>46</v>
      </c>
    </row>
    <row r="3388" spans="2:15" x14ac:dyDescent="0.3">
      <c r="B3388" s="1" t="s">
        <v>23</v>
      </c>
      <c r="C3388" s="1" t="str">
        <f t="shared" si="193"/>
        <v>4차</v>
      </c>
      <c r="D3388" s="1" t="str">
        <f>"0225Q30244"</f>
        <v>0225Q30244</v>
      </c>
      <c r="E3388" s="1" t="s">
        <v>10</v>
      </c>
      <c r="F3388" s="1" t="str">
        <f>"10.11.66.18"</f>
        <v>10.11.66.18</v>
      </c>
      <c r="G3388" s="1" t="str">
        <f>"0225Q302"</f>
        <v>0225Q302</v>
      </c>
      <c r="H3388" s="1" t="str">
        <f>"뚝섬간 11"</f>
        <v>뚝섬간 11</v>
      </c>
      <c r="I3388" s="1" t="s">
        <v>8</v>
      </c>
      <c r="J3388" s="1" t="str">
        <f>"26/26"</f>
        <v>26/26</v>
      </c>
      <c r="K3388" s="1" t="str">
        <f>"2026-07-29 13:18:01"</f>
        <v>2026-07-29 13:18:01</v>
      </c>
      <c r="L3388" s="1" t="str">
        <f>"2019-10-29 10:53:05"</f>
        <v>2019-10-29 10:53:05</v>
      </c>
      <c r="M3388" s="1" t="s">
        <v>2</v>
      </c>
      <c r="N3388" s="1" t="s">
        <v>38</v>
      </c>
      <c r="O3388" s="1" t="s">
        <v>46</v>
      </c>
    </row>
    <row r="3389" spans="2:15" x14ac:dyDescent="0.3">
      <c r="B3389" s="1" t="s">
        <v>23</v>
      </c>
      <c r="C3389" s="1" t="str">
        <f t="shared" si="193"/>
        <v>4차</v>
      </c>
      <c r="D3389" s="1" t="str">
        <f>"0225Q30439"</f>
        <v>0225Q30439</v>
      </c>
      <c r="E3389" s="1" t="s">
        <v>10</v>
      </c>
      <c r="F3389" s="1" t="str">
        <f>"10.12.130.66"</f>
        <v>10.12.130.66</v>
      </c>
      <c r="G3389" s="1" t="str">
        <f>"0225Q304"</f>
        <v>0225Q304</v>
      </c>
      <c r="H3389" s="1" t="str">
        <f>"뚝섬간 13L1"</f>
        <v>뚝섬간 13L1</v>
      </c>
      <c r="I3389" s="1" t="s">
        <v>17</v>
      </c>
      <c r="J3389" s="1" t="str">
        <f>"33/33"</f>
        <v>33/33</v>
      </c>
      <c r="K3389" s="1" t="str">
        <f>"2026-07-29 13:18:03"</f>
        <v>2026-07-29 13:18:03</v>
      </c>
      <c r="L3389" s="1" t="str">
        <f>"2018-12-28 09:33:40"</f>
        <v>2018-12-28 09:33:40</v>
      </c>
      <c r="M3389" s="1" t="s">
        <v>0</v>
      </c>
      <c r="N3389" s="1" t="s">
        <v>38</v>
      </c>
      <c r="O3389" s="1" t="s">
        <v>46</v>
      </c>
    </row>
    <row r="3390" spans="2:15" x14ac:dyDescent="0.3">
      <c r="B3390" s="1" t="s">
        <v>23</v>
      </c>
      <c r="C3390" s="1" t="str">
        <f>"6차"</f>
        <v>6차</v>
      </c>
      <c r="D3390" s="1" t="str">
        <f>"0225Q4026S"</f>
        <v>0225Q4026S</v>
      </c>
      <c r="E3390" s="1" t="s">
        <v>10</v>
      </c>
      <c r="F3390" s="1" t="str">
        <f>"fde1:103:4:9124:0:0:0:2"</f>
        <v>fde1:103:4:9124:0:0:0:2</v>
      </c>
      <c r="G3390" s="1" t="str">
        <f>"0225Q402"</f>
        <v>0225Q402</v>
      </c>
      <c r="H3390" s="1" t="str">
        <f>"뚝섬간 10"</f>
        <v>뚝섬간 10</v>
      </c>
      <c r="I3390" s="1" t="s">
        <v>15</v>
      </c>
      <c r="J3390" s="1" t="str">
        <f>"25/25"</f>
        <v>25/25</v>
      </c>
      <c r="K3390" s="1" t="str">
        <f>"2026-07-29 14:20:48"</f>
        <v>2026-07-29 14:20:48</v>
      </c>
      <c r="L3390" s="1" t="str">
        <f>"2024-10-08 16:52:11"</f>
        <v>2024-10-08 16:52:11</v>
      </c>
      <c r="M3390" s="1" t="s">
        <v>4</v>
      </c>
      <c r="N3390" s="1" t="s">
        <v>38</v>
      </c>
      <c r="O3390" s="1" t="s">
        <v>46</v>
      </c>
    </row>
    <row r="3391" spans="2:15" x14ac:dyDescent="0.3">
      <c r="B3391" s="1" t="s">
        <v>23</v>
      </c>
      <c r="C3391" s="1" t="str">
        <f>"6차"</f>
        <v>6차</v>
      </c>
      <c r="D3391" s="1" t="str">
        <f>"0225Q7426S"</f>
        <v>0225Q7426S</v>
      </c>
      <c r="E3391" s="1" t="s">
        <v>10</v>
      </c>
      <c r="F3391" s="1" t="str">
        <f>"fde3:102:1440:7200:0:0:0:2"</f>
        <v>fde3:102:1440:7200:0:0:0:2</v>
      </c>
      <c r="G3391" s="1" t="str">
        <f>"0225Q742"</f>
        <v>0225Q742</v>
      </c>
      <c r="H3391" s="1" t="str">
        <f>"성지간 75L11"</f>
        <v>성지간 75L11</v>
      </c>
      <c r="I3391" s="1" t="s">
        <v>15</v>
      </c>
      <c r="J3391" s="1" t="str">
        <f>"19/20"</f>
        <v>19/20</v>
      </c>
      <c r="K3391" s="1" t="str">
        <f>"2026-07-29 14:20:27"</f>
        <v>2026-07-29 14:20:27</v>
      </c>
      <c r="L3391" s="1" t="str">
        <f>"2024-10-15 10:16:19"</f>
        <v>2024-10-15 10:16:19</v>
      </c>
      <c r="M3391" s="1" t="s">
        <v>45</v>
      </c>
      <c r="N3391" s="1" t="s">
        <v>38</v>
      </c>
      <c r="O3391" s="1" t="s">
        <v>46</v>
      </c>
    </row>
    <row r="3392" spans="2:15" x14ac:dyDescent="0.3">
      <c r="B3392" s="1" t="s">
        <v>23</v>
      </c>
      <c r="C3392" s="1" t="str">
        <f>"1차"</f>
        <v>1차</v>
      </c>
      <c r="D3392" s="1" t="str">
        <f>"0225Q75200"</f>
        <v>0225Q75200</v>
      </c>
      <c r="E3392" s="1" t="s">
        <v>10</v>
      </c>
      <c r="F3392" s="1" t="str">
        <f>"10.125.0.228"</f>
        <v>10.125.0.228</v>
      </c>
      <c r="G3392" s="1" t="str">
        <f>"0225Q752"</f>
        <v>0225Q752</v>
      </c>
      <c r="H3392" s="1" t="str">
        <f>"성지간 75L14"</f>
        <v>성지간 75L14</v>
      </c>
      <c r="I3392" s="1" t="s">
        <v>8</v>
      </c>
      <c r="J3392" s="1" t="str">
        <f>"53/53"</f>
        <v>53/53</v>
      </c>
      <c r="K3392" s="1" t="str">
        <f>"2026-07-29 13:18:02"</f>
        <v>2026-07-29 13:18:02</v>
      </c>
      <c r="L3392" s="1" t="str">
        <f>"2014-11-22 10:41:49"</f>
        <v>2014-11-22 10:41:49</v>
      </c>
      <c r="M3392" s="1" t="s">
        <v>45</v>
      </c>
      <c r="N3392" s="1" t="s">
        <v>38</v>
      </c>
      <c r="O3392" s="1" t="s">
        <v>46</v>
      </c>
    </row>
    <row r="3393" spans="2:15" x14ac:dyDescent="0.3">
      <c r="B3393" s="1" t="s">
        <v>23</v>
      </c>
      <c r="C3393" s="1" t="str">
        <f>"6차"</f>
        <v>6차</v>
      </c>
      <c r="D3393" s="1" t="str">
        <f>"0225Q7616S"</f>
        <v>0225Q7616S</v>
      </c>
      <c r="E3393" s="1" t="s">
        <v>10</v>
      </c>
      <c r="F3393" s="1" t="str">
        <f>"fde1:103:4:c666:0:0:0:2"</f>
        <v>fde1:103:4:c666:0:0:0:2</v>
      </c>
      <c r="G3393" s="1" t="str">
        <f>"0225Q761"</f>
        <v>0225Q761</v>
      </c>
      <c r="H3393" s="1" t="str">
        <f>"성지간 75L15"</f>
        <v>성지간 75L15</v>
      </c>
      <c r="I3393" s="1" t="s">
        <v>15</v>
      </c>
      <c r="J3393" s="1" t="str">
        <f>"26/26"</f>
        <v>26/26</v>
      </c>
      <c r="K3393" s="1" t="str">
        <f>"2026-07-29 14:20:32"</f>
        <v>2026-07-29 14:20:32</v>
      </c>
      <c r="L3393" s="1" t="str">
        <f>"2024-11-18 11:05:23"</f>
        <v>2024-11-18 11:05:23</v>
      </c>
      <c r="M3393" s="1" t="s">
        <v>4</v>
      </c>
      <c r="N3393" s="1" t="s">
        <v>38</v>
      </c>
      <c r="O3393" s="1" t="s">
        <v>46</v>
      </c>
    </row>
    <row r="3394" spans="2:15" x14ac:dyDescent="0.3">
      <c r="B3394" s="1" t="s">
        <v>23</v>
      </c>
      <c r="C3394" s="1" t="str">
        <f>"4차"</f>
        <v>4차</v>
      </c>
      <c r="D3394" s="1" t="str">
        <f>"0225Q82144"</f>
        <v>0225Q82144</v>
      </c>
      <c r="E3394" s="1" t="s">
        <v>10</v>
      </c>
      <c r="F3394" s="1" t="str">
        <f>"10.11.77.10"</f>
        <v>10.11.77.10</v>
      </c>
      <c r="G3394" s="1" t="str">
        <f>"0225Q821"</f>
        <v>0225Q821</v>
      </c>
      <c r="H3394" s="1" t="str">
        <f>"성지간 75L7L1"</f>
        <v>성지간 75L7L1</v>
      </c>
      <c r="I3394" s="1" t="s">
        <v>8</v>
      </c>
      <c r="J3394" s="1" t="str">
        <f>"12/12"</f>
        <v>12/12</v>
      </c>
      <c r="K3394" s="1" t="str">
        <f>"2026-07-29 13:18:01"</f>
        <v>2026-07-29 13:18:01</v>
      </c>
      <c r="L3394" s="1" t="str">
        <f>"2019-10-29 10:53:05"</f>
        <v>2019-10-29 10:53:05</v>
      </c>
      <c r="M3394" s="1" t="s">
        <v>2</v>
      </c>
      <c r="N3394" s="1" t="s">
        <v>38</v>
      </c>
      <c r="O3394" s="1" t="s">
        <v>46</v>
      </c>
    </row>
    <row r="3395" spans="2:15" x14ac:dyDescent="0.3">
      <c r="B3395" s="1" t="s">
        <v>23</v>
      </c>
      <c r="C3395" s="1" t="str">
        <f>"1차"</f>
        <v>1차</v>
      </c>
      <c r="D3395" s="1" t="str">
        <f>"0225Q83200"</f>
        <v>0225Q83200</v>
      </c>
      <c r="E3395" s="1" t="s">
        <v>10</v>
      </c>
      <c r="F3395" s="1" t="str">
        <f>"10.125.7.98"</f>
        <v>10.125.7.98</v>
      </c>
      <c r="G3395" s="1" t="str">
        <f>"0225Q832"</f>
        <v>0225Q832</v>
      </c>
      <c r="H3395" s="1" t="str">
        <f>"성지간 75L9"</f>
        <v>성지간 75L9</v>
      </c>
      <c r="I3395" s="1" t="s">
        <v>8</v>
      </c>
      <c r="J3395" s="1" t="str">
        <f>"17/20"</f>
        <v>17/20</v>
      </c>
      <c r="K3395" s="1" t="str">
        <f>"2026-07-29 13:18:02"</f>
        <v>2026-07-29 13:18:02</v>
      </c>
      <c r="L3395" s="1" t="str">
        <f>"2014-11-14 14:56:33"</f>
        <v>2014-11-14 14:56:33</v>
      </c>
      <c r="M3395" s="1" t="s">
        <v>45</v>
      </c>
      <c r="N3395" s="1" t="s">
        <v>38</v>
      </c>
      <c r="O3395" s="1" t="s">
        <v>46</v>
      </c>
    </row>
    <row r="3396" spans="2:15" x14ac:dyDescent="0.3">
      <c r="B3396" s="1" t="s">
        <v>23</v>
      </c>
      <c r="C3396" s="1" t="str">
        <f>"5-2차"</f>
        <v>5-2차</v>
      </c>
      <c r="D3396" s="1" t="str">
        <f>"0225Q8715M"</f>
        <v>0225Q8715M</v>
      </c>
      <c r="E3396" s="1" t="s">
        <v>10</v>
      </c>
      <c r="F3396" s="1" t="str">
        <f>"fde1:103:4:5774:0:0:0:2"</f>
        <v>fde1:103:4:5774:0:0:0:2</v>
      </c>
      <c r="G3396" s="1" t="str">
        <f>"0225Q871"</f>
        <v>0225Q871</v>
      </c>
      <c r="H3396" s="1" t="str">
        <f>"성지간 75L17"</f>
        <v>성지간 75L17</v>
      </c>
      <c r="I3396" s="1" t="s">
        <v>15</v>
      </c>
      <c r="J3396" s="1" t="str">
        <f>"20/20"</f>
        <v>20/20</v>
      </c>
      <c r="K3396" s="1" t="str">
        <f>"2026-07-29 14:20:45"</f>
        <v>2026-07-29 14:20:45</v>
      </c>
      <c r="L3396" s="1" t="str">
        <f>"2023-09-25 09:48:58"</f>
        <v>2023-09-25 09:48:58</v>
      </c>
      <c r="M3396" s="1" t="s">
        <v>4</v>
      </c>
      <c r="N3396" s="1" t="s">
        <v>38</v>
      </c>
      <c r="O3396" s="1" t="s">
        <v>46</v>
      </c>
    </row>
    <row r="3397" spans="2:15" x14ac:dyDescent="0.3">
      <c r="B3397" s="1" t="s">
        <v>23</v>
      </c>
      <c r="C3397" s="1" t="str">
        <f>"4차"</f>
        <v>4차</v>
      </c>
      <c r="D3397" s="1" t="str">
        <f>"0225Q88139"</f>
        <v>0225Q88139</v>
      </c>
      <c r="E3397" s="1" t="s">
        <v>10</v>
      </c>
      <c r="F3397" s="1" t="str">
        <f>"10.12.133.28"</f>
        <v>10.12.133.28</v>
      </c>
      <c r="G3397" s="1" t="str">
        <f>"0225Q881"</f>
        <v>0225Q881</v>
      </c>
      <c r="H3397" s="1" t="str">
        <f>"광나루 12-2"</f>
        <v>광나루 12-2</v>
      </c>
      <c r="I3397" s="1" t="s">
        <v>17</v>
      </c>
      <c r="J3397" s="1" t="str">
        <f>"8/8"</f>
        <v>8/8</v>
      </c>
      <c r="K3397" s="1" t="str">
        <f>"2026-07-29 13:18:03"</f>
        <v>2026-07-29 13:18:03</v>
      </c>
      <c r="L3397" s="1" t="str">
        <f>"2018-06-19 07:27:09"</f>
        <v>2018-06-19 07:27:09</v>
      </c>
      <c r="M3397" s="1" t="s">
        <v>0</v>
      </c>
      <c r="N3397" s="1" t="s">
        <v>38</v>
      </c>
      <c r="O3397" s="1" t="s">
        <v>46</v>
      </c>
    </row>
    <row r="3398" spans="2:15" x14ac:dyDescent="0.3">
      <c r="B3398" s="1" t="s">
        <v>23</v>
      </c>
      <c r="C3398" s="1" t="str">
        <f>"4차"</f>
        <v>4차</v>
      </c>
      <c r="D3398" s="1" t="str">
        <f>"0225Q91244"</f>
        <v>0225Q91244</v>
      </c>
      <c r="E3398" s="1" t="s">
        <v>10</v>
      </c>
      <c r="F3398" s="1" t="str">
        <f>"10.11.67.26"</f>
        <v>10.11.67.26</v>
      </c>
      <c r="G3398" s="1" t="str">
        <f>"0225Q912"</f>
        <v>0225Q912</v>
      </c>
      <c r="H3398" s="1" t="str">
        <f>"성지간 75L7L3"</f>
        <v>성지간 75L7L3</v>
      </c>
      <c r="I3398" s="1" t="s">
        <v>8</v>
      </c>
      <c r="J3398" s="1" t="str">
        <f>"16/16"</f>
        <v>16/16</v>
      </c>
      <c r="K3398" s="1" t="str">
        <f>"2026-07-29 13:18:01"</f>
        <v>2026-07-29 13:18:01</v>
      </c>
      <c r="L3398" s="1" t="str">
        <f>"2019-10-29 10:53:05"</f>
        <v>2019-10-29 10:53:05</v>
      </c>
      <c r="M3398" s="1" t="s">
        <v>2</v>
      </c>
      <c r="N3398" s="1" t="s">
        <v>38</v>
      </c>
      <c r="O3398" s="1" t="s">
        <v>46</v>
      </c>
    </row>
    <row r="3399" spans="2:15" x14ac:dyDescent="0.3">
      <c r="B3399" s="1" t="s">
        <v>23</v>
      </c>
      <c r="C3399" s="1" t="str">
        <f>"4차"</f>
        <v>4차</v>
      </c>
      <c r="D3399" s="1" t="str">
        <f>"0225Q92239"</f>
        <v>0225Q92239</v>
      </c>
      <c r="E3399" s="1" t="s">
        <v>10</v>
      </c>
      <c r="F3399" s="1" t="str">
        <f>"10.11.79.250"</f>
        <v>10.11.79.250</v>
      </c>
      <c r="G3399" s="1" t="str">
        <f>"0225Q922"</f>
        <v>0225Q922</v>
      </c>
      <c r="H3399" s="1" t="str">
        <f>"성지간 75L7"</f>
        <v>성지간 75L7</v>
      </c>
      <c r="I3399" s="1" t="s">
        <v>8</v>
      </c>
      <c r="J3399" s="1" t="str">
        <f>"12/12"</f>
        <v>12/12</v>
      </c>
      <c r="K3399" s="1" t="str">
        <f>"2026-07-29 13:18:01"</f>
        <v>2026-07-29 13:18:01</v>
      </c>
      <c r="L3399" s="1" t="str">
        <f>"2018-04-18 15:03:28"</f>
        <v>2018-04-18 15:03:28</v>
      </c>
      <c r="M3399" s="1" t="s">
        <v>2</v>
      </c>
      <c r="N3399" s="1" t="s">
        <v>38</v>
      </c>
      <c r="O3399" s="1" t="s">
        <v>46</v>
      </c>
    </row>
    <row r="3400" spans="2:15" x14ac:dyDescent="0.3">
      <c r="B3400" s="1" t="s">
        <v>23</v>
      </c>
      <c r="C3400" s="1" t="str">
        <f>"4차"</f>
        <v>4차</v>
      </c>
      <c r="D3400" s="1" t="str">
        <f>"0225Q93244"</f>
        <v>0225Q93244</v>
      </c>
      <c r="E3400" s="1" t="s">
        <v>10</v>
      </c>
      <c r="F3400" s="1" t="str">
        <f>"10.11.67.34"</f>
        <v>10.11.67.34</v>
      </c>
      <c r="G3400" s="1" t="str">
        <f>"0225Q932"</f>
        <v>0225Q932</v>
      </c>
      <c r="H3400" s="1" t="str">
        <f>"성지간 75L7R2"</f>
        <v>성지간 75L7R2</v>
      </c>
      <c r="I3400" s="1" t="s">
        <v>8</v>
      </c>
      <c r="J3400" s="1" t="str">
        <f>"77/77"</f>
        <v>77/77</v>
      </c>
      <c r="K3400" s="1" t="str">
        <f>"2026-07-29 13:18:01"</f>
        <v>2026-07-29 13:18:01</v>
      </c>
      <c r="L3400" s="1" t="str">
        <f>"2019-10-29 10:53:05"</f>
        <v>2019-10-29 10:53:05</v>
      </c>
      <c r="M3400" s="1" t="s">
        <v>2</v>
      </c>
      <c r="N3400" s="1" t="s">
        <v>38</v>
      </c>
      <c r="O3400" s="1" t="s">
        <v>46</v>
      </c>
    </row>
    <row r="3401" spans="2:15" x14ac:dyDescent="0.3">
      <c r="B3401" s="1" t="s">
        <v>23</v>
      </c>
      <c r="C3401" s="1" t="str">
        <f>"1차"</f>
        <v>1차</v>
      </c>
      <c r="D3401" s="1" t="str">
        <f>"0225Q95300"</f>
        <v>0225Q95300</v>
      </c>
      <c r="E3401" s="1" t="s">
        <v>10</v>
      </c>
      <c r="F3401" s="1" t="str">
        <f>"10.125.0.242"</f>
        <v>10.125.0.242</v>
      </c>
      <c r="G3401" s="1" t="str">
        <f>"0225Q953"</f>
        <v>0225Q953</v>
      </c>
      <c r="H3401" s="1" t="str">
        <f>"성지간 86L5L3L10"</f>
        <v>성지간 86L5L3L10</v>
      </c>
      <c r="I3401" s="1" t="s">
        <v>8</v>
      </c>
      <c r="J3401" s="1" t="str">
        <f>"52/53"</f>
        <v>52/53</v>
      </c>
      <c r="K3401" s="1" t="str">
        <f>"2026-07-29 13:18:01"</f>
        <v>2026-07-29 13:18:01</v>
      </c>
      <c r="L3401" s="1" t="str">
        <f>"2014-11-08 12:40:55"</f>
        <v>2014-11-08 12:40:55</v>
      </c>
      <c r="M3401" s="1" t="s">
        <v>45</v>
      </c>
      <c r="N3401" s="1" t="s">
        <v>38</v>
      </c>
      <c r="O3401" s="1" t="s">
        <v>46</v>
      </c>
    </row>
    <row r="3402" spans="2:15" x14ac:dyDescent="0.3">
      <c r="B3402" s="1" t="s">
        <v>23</v>
      </c>
      <c r="C3402" s="1" t="str">
        <f>"1차"</f>
        <v>1차</v>
      </c>
      <c r="D3402" s="1" t="str">
        <f>"0225Q96100"</f>
        <v>0225Q96100</v>
      </c>
      <c r="E3402" s="1" t="s">
        <v>10</v>
      </c>
      <c r="F3402" s="1" t="str">
        <f>"10.125.5.74"</f>
        <v>10.125.5.74</v>
      </c>
      <c r="G3402" s="1" t="str">
        <f>"0225Q961"</f>
        <v>0225Q961</v>
      </c>
      <c r="H3402" s="1" t="str">
        <f>"성지간 86L5L2"</f>
        <v>성지간 86L5L2</v>
      </c>
      <c r="I3402" s="1" t="s">
        <v>8</v>
      </c>
      <c r="J3402" s="1" t="str">
        <f>"61/65"</f>
        <v>61/65</v>
      </c>
      <c r="K3402" s="1" t="str">
        <f>"2026-07-29 13:18:01"</f>
        <v>2026-07-29 13:18:01</v>
      </c>
      <c r="L3402" s="1" t="str">
        <f>"2014-11-12 18:26:44"</f>
        <v>2014-11-12 18:26:44</v>
      </c>
      <c r="M3402" s="1" t="s">
        <v>45</v>
      </c>
      <c r="N3402" s="1" t="s">
        <v>38</v>
      </c>
      <c r="O3402" s="1" t="s">
        <v>46</v>
      </c>
    </row>
    <row r="3403" spans="2:15" x14ac:dyDescent="0.3">
      <c r="B3403" s="1" t="s">
        <v>23</v>
      </c>
      <c r="C3403" s="1" t="str">
        <f>"4차"</f>
        <v>4차</v>
      </c>
      <c r="D3403" s="1" t="str">
        <f>"0225R89244"</f>
        <v>0225R89244</v>
      </c>
      <c r="E3403" s="1" t="s">
        <v>10</v>
      </c>
      <c r="F3403" s="1" t="str">
        <f>"10.11.66.50"</f>
        <v>10.11.66.50</v>
      </c>
      <c r="G3403" s="1" t="str">
        <f>"0225R892"</f>
        <v>0225R892</v>
      </c>
      <c r="H3403" s="1" t="str">
        <f>"뚝섬간 20L2"</f>
        <v>뚝섬간 20L2</v>
      </c>
      <c r="I3403" s="1" t="s">
        <v>8</v>
      </c>
      <c r="J3403" s="1" t="str">
        <f>"24/25"</f>
        <v>24/25</v>
      </c>
      <c r="K3403" s="1" t="str">
        <f>"2026-07-29 13:18:02"</f>
        <v>2026-07-29 13:18:02</v>
      </c>
      <c r="L3403" s="1" t="str">
        <f>"2019-10-29 10:53:05"</f>
        <v>2019-10-29 10:53:05</v>
      </c>
      <c r="M3403" s="1" t="s">
        <v>2</v>
      </c>
      <c r="N3403" s="1" t="s">
        <v>38</v>
      </c>
      <c r="O3403" s="1" t="s">
        <v>46</v>
      </c>
    </row>
    <row r="3404" spans="2:15" x14ac:dyDescent="0.3">
      <c r="B3404" s="1" t="s">
        <v>23</v>
      </c>
      <c r="C3404" s="1" t="str">
        <f>"4차"</f>
        <v>4차</v>
      </c>
      <c r="D3404" s="1" t="str">
        <f>"0225R98344"</f>
        <v>0225R98344</v>
      </c>
      <c r="E3404" s="1" t="s">
        <v>10</v>
      </c>
      <c r="F3404" s="1" t="str">
        <f>"10.11.66.42"</f>
        <v>10.11.66.42</v>
      </c>
      <c r="G3404" s="1" t="str">
        <f>"0225R983"</f>
        <v>0225R983</v>
      </c>
      <c r="H3404" s="1" t="str">
        <f>"뚝섬간 20L4"</f>
        <v>뚝섬간 20L4</v>
      </c>
      <c r="I3404" s="1" t="s">
        <v>8</v>
      </c>
      <c r="J3404" s="1" t="str">
        <f>"46/46"</f>
        <v>46/46</v>
      </c>
      <c r="K3404" s="1" t="str">
        <f>"2026-07-29 13:18:01"</f>
        <v>2026-07-29 13:18:01</v>
      </c>
      <c r="L3404" s="1" t="str">
        <f>"2019-10-29 10:53:05"</f>
        <v>2019-10-29 10:53:05</v>
      </c>
      <c r="M3404" s="1" t="s">
        <v>2</v>
      </c>
      <c r="N3404" s="1" t="s">
        <v>38</v>
      </c>
      <c r="O3404" s="1" t="s">
        <v>46</v>
      </c>
    </row>
    <row r="3405" spans="2:15" x14ac:dyDescent="0.3">
      <c r="B3405" s="1" t="s">
        <v>23</v>
      </c>
      <c r="C3405" s="1" t="str">
        <f>"3차"</f>
        <v>3차</v>
      </c>
      <c r="D3405" s="1" t="str">
        <f>"0225R99139"</f>
        <v>0225R99139</v>
      </c>
      <c r="E3405" s="1" t="s">
        <v>10</v>
      </c>
      <c r="F3405" s="1" t="str">
        <f>"10.11.80.2"</f>
        <v>10.11.80.2</v>
      </c>
      <c r="G3405" s="1" t="str">
        <f>"0225R991"</f>
        <v>0225R991</v>
      </c>
      <c r="H3405" s="1" t="str">
        <f>"뚝섬간 20L3"</f>
        <v>뚝섬간 20L3</v>
      </c>
      <c r="I3405" s="1" t="s">
        <v>8</v>
      </c>
      <c r="J3405" s="1" t="str">
        <f>"33/34"</f>
        <v>33/34</v>
      </c>
      <c r="K3405" s="1" t="str">
        <f>"2026-07-29 13:18:02"</f>
        <v>2026-07-29 13:18:02</v>
      </c>
      <c r="L3405" s="1" t="str">
        <f>"2018-09-14 10:08:25"</f>
        <v>2018-09-14 10:08:25</v>
      </c>
      <c r="M3405" s="1" t="s">
        <v>2</v>
      </c>
      <c r="N3405" s="1" t="s">
        <v>38</v>
      </c>
      <c r="O3405" s="1" t="s">
        <v>46</v>
      </c>
    </row>
    <row r="3406" spans="2:15" x14ac:dyDescent="0.3">
      <c r="B3406" s="1" t="s">
        <v>23</v>
      </c>
      <c r="C3406" s="1" t="str">
        <f t="shared" ref="C3406:C3411" si="194">"4차"</f>
        <v>4차</v>
      </c>
      <c r="D3406" s="1" t="str">
        <f>"0225S08144"</f>
        <v>0225S08144</v>
      </c>
      <c r="E3406" s="1" t="s">
        <v>10</v>
      </c>
      <c r="F3406" s="1" t="str">
        <f>"10.11.66.26"</f>
        <v>10.11.66.26</v>
      </c>
      <c r="G3406" s="1" t="str">
        <f>"0225S081"</f>
        <v>0225S081</v>
      </c>
      <c r="H3406" s="1" t="str">
        <f>"뚝섬간 20L6"</f>
        <v>뚝섬간 20L6</v>
      </c>
      <c r="I3406" s="1" t="s">
        <v>8</v>
      </c>
      <c r="J3406" s="1" t="str">
        <f>"36/37"</f>
        <v>36/37</v>
      </c>
      <c r="K3406" s="1" t="str">
        <f>"2026-07-29 13:18:01"</f>
        <v>2026-07-29 13:18:01</v>
      </c>
      <c r="L3406" s="1" t="str">
        <f>"2019-10-29 10:53:05"</f>
        <v>2019-10-29 10:53:05</v>
      </c>
      <c r="M3406" s="1" t="s">
        <v>2</v>
      </c>
      <c r="N3406" s="1" t="s">
        <v>38</v>
      </c>
      <c r="O3406" s="1" t="s">
        <v>46</v>
      </c>
    </row>
    <row r="3407" spans="2:15" x14ac:dyDescent="0.3">
      <c r="B3407" s="1" t="s">
        <v>23</v>
      </c>
      <c r="C3407" s="1" t="str">
        <f t="shared" si="194"/>
        <v>4차</v>
      </c>
      <c r="D3407" s="1" t="str">
        <f>"0225S08244"</f>
        <v>0225S08244</v>
      </c>
      <c r="E3407" s="1" t="s">
        <v>10</v>
      </c>
      <c r="F3407" s="1" t="str">
        <f>"10.11.66.34"</f>
        <v>10.11.66.34</v>
      </c>
      <c r="G3407" s="1" t="str">
        <f>"0225S082"</f>
        <v>0225S082</v>
      </c>
      <c r="H3407" s="1" t="str">
        <f>"뚝섬간 20L5"</f>
        <v>뚝섬간 20L5</v>
      </c>
      <c r="I3407" s="1" t="s">
        <v>8</v>
      </c>
      <c r="J3407" s="1" t="str">
        <f>"26/26"</f>
        <v>26/26</v>
      </c>
      <c r="K3407" s="1" t="str">
        <f>"2026-07-29 13:18:01"</f>
        <v>2026-07-29 13:18:01</v>
      </c>
      <c r="L3407" s="1" t="str">
        <f>"2019-10-29 10:43:05"</f>
        <v>2019-10-29 10:43:05</v>
      </c>
      <c r="M3407" s="1" t="s">
        <v>2</v>
      </c>
      <c r="N3407" s="1" t="s">
        <v>38</v>
      </c>
      <c r="O3407" s="1" t="s">
        <v>46</v>
      </c>
    </row>
    <row r="3408" spans="2:15" x14ac:dyDescent="0.3">
      <c r="B3408" s="1" t="s">
        <v>23</v>
      </c>
      <c r="C3408" s="1" t="str">
        <f t="shared" si="194"/>
        <v>4차</v>
      </c>
      <c r="D3408" s="1" t="str">
        <f>"0225S18144"</f>
        <v>0225S18144</v>
      </c>
      <c r="E3408" s="1" t="s">
        <v>14</v>
      </c>
      <c r="F3408" s="1" t="str">
        <f>"10.11.76.178"</f>
        <v>10.11.76.178</v>
      </c>
      <c r="G3408" s="1" t="str">
        <f>"0225S181"</f>
        <v>0225S181</v>
      </c>
      <c r="H3408" s="1" t="str">
        <f>"뚝섬간 20L7"</f>
        <v>뚝섬간 20L7</v>
      </c>
      <c r="I3408" s="1" t="s">
        <v>8</v>
      </c>
      <c r="J3408" s="1" t="str">
        <f>"0/0"</f>
        <v>0/0</v>
      </c>
      <c r="K3408" s="4" t="str">
        <f>"2026-07-29 13:18:02"</f>
        <v>2026-07-29 13:18:02</v>
      </c>
      <c r="L3408" s="1" t="str">
        <f>"2019-10-29 10:53:05"</f>
        <v>2019-10-29 10:53:05</v>
      </c>
      <c r="M3408" s="1" t="s">
        <v>2</v>
      </c>
      <c r="N3408" s="1" t="s">
        <v>38</v>
      </c>
      <c r="O3408" s="1" t="s">
        <v>44</v>
      </c>
    </row>
    <row r="3409" spans="2:15" x14ac:dyDescent="0.3">
      <c r="B3409" s="1" t="s">
        <v>23</v>
      </c>
      <c r="C3409" s="1" t="str">
        <f t="shared" si="194"/>
        <v>4차</v>
      </c>
      <c r="D3409" s="1" t="str">
        <f>"0225S19144"</f>
        <v>0225S19144</v>
      </c>
      <c r="E3409" s="1" t="s">
        <v>10</v>
      </c>
      <c r="F3409" s="1" t="str">
        <f>"10.11.65.226"</f>
        <v>10.11.65.226</v>
      </c>
      <c r="G3409" s="1" t="str">
        <f>"0225S191"</f>
        <v>0225S191</v>
      </c>
      <c r="H3409" s="1" t="str">
        <f>"뚝섬간 3L9"</f>
        <v>뚝섬간 3L9</v>
      </c>
      <c r="I3409" s="1" t="s">
        <v>8</v>
      </c>
      <c r="J3409" s="1" t="str">
        <f>"50/51"</f>
        <v>50/51</v>
      </c>
      <c r="K3409" s="1" t="str">
        <f>"2026-07-29 13:18:01"</f>
        <v>2026-07-29 13:18:01</v>
      </c>
      <c r="L3409" s="1" t="str">
        <f>"2019-10-29 10:53:05"</f>
        <v>2019-10-29 10:53:05</v>
      </c>
      <c r="M3409" s="1" t="s">
        <v>2</v>
      </c>
      <c r="N3409" s="1" t="s">
        <v>38</v>
      </c>
      <c r="O3409" s="1" t="s">
        <v>46</v>
      </c>
    </row>
    <row r="3410" spans="2:15" x14ac:dyDescent="0.3">
      <c r="B3410" s="1" t="s">
        <v>23</v>
      </c>
      <c r="C3410" s="1" t="str">
        <f t="shared" si="194"/>
        <v>4차</v>
      </c>
      <c r="D3410" s="1" t="str">
        <f>"0225S27144"</f>
        <v>0225S27144</v>
      </c>
      <c r="E3410" s="1" t="s">
        <v>10</v>
      </c>
      <c r="F3410" s="1" t="str">
        <f>"10.11.66.66"</f>
        <v>10.11.66.66</v>
      </c>
      <c r="G3410" s="1" t="str">
        <f>"0225S271"</f>
        <v>0225S271</v>
      </c>
      <c r="H3410" s="1" t="str">
        <f>"뚝섬간 20L9"</f>
        <v>뚝섬간 20L9</v>
      </c>
      <c r="I3410" s="1" t="s">
        <v>8</v>
      </c>
      <c r="J3410" s="1" t="str">
        <f>"5/5"</f>
        <v>5/5</v>
      </c>
      <c r="K3410" s="1" t="str">
        <f>"2026-07-29 13:18:01"</f>
        <v>2026-07-29 13:18:01</v>
      </c>
      <c r="L3410" s="1" t="str">
        <f>"2019-10-29 10:53:05"</f>
        <v>2019-10-29 10:53:05</v>
      </c>
      <c r="M3410" s="1" t="s">
        <v>2</v>
      </c>
      <c r="N3410" s="1" t="s">
        <v>38</v>
      </c>
      <c r="O3410" s="1" t="s">
        <v>46</v>
      </c>
    </row>
    <row r="3411" spans="2:15" x14ac:dyDescent="0.3">
      <c r="B3411" s="1" t="s">
        <v>23</v>
      </c>
      <c r="C3411" s="1" t="str">
        <f t="shared" si="194"/>
        <v>4차</v>
      </c>
      <c r="D3411" s="1" t="str">
        <f>"0225S37144"</f>
        <v>0225S37144</v>
      </c>
      <c r="E3411" s="1" t="s">
        <v>10</v>
      </c>
      <c r="F3411" s="1" t="str">
        <f>"10.11.66.58"</f>
        <v>10.11.66.58</v>
      </c>
      <c r="G3411" s="1" t="str">
        <f>"0225S371"</f>
        <v>0225S371</v>
      </c>
      <c r="H3411" s="1" t="str">
        <f>"뚝섬간 20L10"</f>
        <v>뚝섬간 20L10</v>
      </c>
      <c r="I3411" s="1" t="s">
        <v>8</v>
      </c>
      <c r="J3411" s="1" t="str">
        <f>"46/46"</f>
        <v>46/46</v>
      </c>
      <c r="K3411" s="1" t="str">
        <f>"2026-07-29 13:18:01"</f>
        <v>2026-07-29 13:18:01</v>
      </c>
      <c r="L3411" s="1" t="str">
        <f>"2019-10-29 10:53:05"</f>
        <v>2019-10-29 10:53:05</v>
      </c>
      <c r="M3411" s="1" t="s">
        <v>2</v>
      </c>
      <c r="N3411" s="1" t="s">
        <v>38</v>
      </c>
      <c r="O3411" s="1" t="s">
        <v>46</v>
      </c>
    </row>
    <row r="3412" spans="2:15" x14ac:dyDescent="0.3">
      <c r="B3412" s="1" t="s">
        <v>23</v>
      </c>
      <c r="C3412" s="1" t="str">
        <f>"1차"</f>
        <v>1차</v>
      </c>
      <c r="D3412" s="1" t="str">
        <f>"0225S39101"</f>
        <v>0225S39101</v>
      </c>
      <c r="E3412" s="1" t="s">
        <v>10</v>
      </c>
      <c r="F3412" s="1" t="str">
        <f>"10.12.138.64"</f>
        <v>10.12.138.64</v>
      </c>
      <c r="G3412" s="1" t="str">
        <f>"0225S391"</f>
        <v>0225S391</v>
      </c>
      <c r="H3412" s="1" t="str">
        <f>"뚝섬간 3L5"</f>
        <v>뚝섬간 3L5</v>
      </c>
      <c r="I3412" s="1" t="s">
        <v>8</v>
      </c>
      <c r="J3412" s="1" t="str">
        <f>"21/22"</f>
        <v>21/22</v>
      </c>
      <c r="K3412" s="1" t="str">
        <f>"2026-07-29 13:18:03"</f>
        <v>2026-07-29 13:18:03</v>
      </c>
      <c r="L3412" s="1" t="str">
        <f>"2014-11-10 06:41:08"</f>
        <v>2014-11-10 06:41:08</v>
      </c>
      <c r="M3412" s="1" t="s">
        <v>0</v>
      </c>
      <c r="N3412" s="1" t="s">
        <v>38</v>
      </c>
      <c r="O3412" s="1" t="s">
        <v>46</v>
      </c>
    </row>
    <row r="3413" spans="2:15" x14ac:dyDescent="0.3">
      <c r="B3413" s="1" t="s">
        <v>23</v>
      </c>
      <c r="C3413" s="1" t="str">
        <f>"4차"</f>
        <v>4차</v>
      </c>
      <c r="D3413" s="1" t="str">
        <f>"0225S39244"</f>
        <v>0225S39244</v>
      </c>
      <c r="E3413" s="1" t="s">
        <v>10</v>
      </c>
      <c r="F3413" s="1" t="str">
        <f>"10.11.65.218"</f>
        <v>10.11.65.218</v>
      </c>
      <c r="G3413" s="1" t="str">
        <f>"0225S392"</f>
        <v>0225S392</v>
      </c>
      <c r="H3413" s="1" t="str">
        <f>"뚝섬간 3L6"</f>
        <v>뚝섬간 3L6</v>
      </c>
      <c r="I3413" s="1" t="s">
        <v>8</v>
      </c>
      <c r="J3413" s="1" t="str">
        <f>"12/12"</f>
        <v>12/12</v>
      </c>
      <c r="K3413" s="1" t="str">
        <f>"2026-07-29 13:18:01"</f>
        <v>2026-07-29 13:18:01</v>
      </c>
      <c r="L3413" s="1" t="str">
        <f>"2019-10-29 10:53:05"</f>
        <v>2019-10-29 10:53:05</v>
      </c>
      <c r="M3413" s="1" t="s">
        <v>2</v>
      </c>
      <c r="N3413" s="1" t="s">
        <v>38</v>
      </c>
      <c r="O3413" s="1" t="s">
        <v>46</v>
      </c>
    </row>
    <row r="3414" spans="2:15" x14ac:dyDescent="0.3">
      <c r="B3414" s="1" t="s">
        <v>23</v>
      </c>
      <c r="C3414" s="1" t="str">
        <f>"1차"</f>
        <v>1차</v>
      </c>
      <c r="D3414" s="1" t="str">
        <f>"0225S46200"</f>
        <v>0225S46200</v>
      </c>
      <c r="E3414" s="1" t="s">
        <v>10</v>
      </c>
      <c r="F3414" s="1" t="str">
        <f>"10.125.0.250"</f>
        <v>10.125.0.250</v>
      </c>
      <c r="G3414" s="1" t="str">
        <f>"0225S462"</f>
        <v>0225S462</v>
      </c>
      <c r="H3414" s="1" t="str">
        <f>"뚝섬간 20L12"</f>
        <v>뚝섬간 20L12</v>
      </c>
      <c r="I3414" s="1" t="s">
        <v>8</v>
      </c>
      <c r="J3414" s="1" t="str">
        <f>"29/29"</f>
        <v>29/29</v>
      </c>
      <c r="K3414" s="1" t="str">
        <f>"2026-07-29 13:18:02"</f>
        <v>2026-07-29 13:18:02</v>
      </c>
      <c r="L3414" s="1" t="str">
        <f>"2014-11-08 13:12:39"</f>
        <v>2014-11-08 13:12:39</v>
      </c>
      <c r="M3414" s="1" t="s">
        <v>45</v>
      </c>
      <c r="N3414" s="1" t="s">
        <v>38</v>
      </c>
      <c r="O3414" s="1" t="s">
        <v>46</v>
      </c>
    </row>
    <row r="3415" spans="2:15" x14ac:dyDescent="0.3">
      <c r="B3415" s="1" t="s">
        <v>23</v>
      </c>
      <c r="C3415" s="1" t="str">
        <f>"6차"</f>
        <v>6차</v>
      </c>
      <c r="D3415" s="1" t="str">
        <f>"0225S4726S"</f>
        <v>0225S4726S</v>
      </c>
      <c r="E3415" s="1" t="s">
        <v>10</v>
      </c>
      <c r="F3415" s="1" t="str">
        <f>"fde1:103:4:c623:0:0:0:2"</f>
        <v>fde1:103:4:c623:0:0:0:2</v>
      </c>
      <c r="G3415" s="1" t="str">
        <f>"0225S472"</f>
        <v>0225S472</v>
      </c>
      <c r="H3415" s="1" t="str">
        <f>"뚝섬간 20L11"</f>
        <v>뚝섬간 20L11</v>
      </c>
      <c r="I3415" s="1" t="s">
        <v>15</v>
      </c>
      <c r="J3415" s="1" t="str">
        <f>"52/59"</f>
        <v>52/59</v>
      </c>
      <c r="K3415" s="1" t="str">
        <f>"2026-07-29 14:20:12"</f>
        <v>2026-07-29 14:20:12</v>
      </c>
      <c r="L3415" s="1" t="str">
        <f>"2024-11-18 11:05:03"</f>
        <v>2024-11-18 11:05:03</v>
      </c>
      <c r="M3415" s="1" t="s">
        <v>4</v>
      </c>
      <c r="N3415" s="1" t="s">
        <v>38</v>
      </c>
      <c r="O3415" s="1" t="s">
        <v>46</v>
      </c>
    </row>
    <row r="3416" spans="2:15" x14ac:dyDescent="0.3">
      <c r="B3416" s="1" t="s">
        <v>23</v>
      </c>
      <c r="C3416" s="1" t="str">
        <f>"4차"</f>
        <v>4차</v>
      </c>
      <c r="D3416" s="1" t="str">
        <f>"0225S49339"</f>
        <v>0225S49339</v>
      </c>
      <c r="E3416" s="1" t="s">
        <v>10</v>
      </c>
      <c r="F3416" s="1" t="str">
        <f>"10.12.132.94"</f>
        <v>10.12.132.94</v>
      </c>
      <c r="G3416" s="1" t="str">
        <f>"0225S493"</f>
        <v>0225S493</v>
      </c>
      <c r="H3416" s="1" t="str">
        <f>"뚝섬간 13L2"</f>
        <v>뚝섬간 13L2</v>
      </c>
      <c r="I3416" s="1" t="s">
        <v>17</v>
      </c>
      <c r="J3416" s="1" t="str">
        <f>"15/16"</f>
        <v>15/16</v>
      </c>
      <c r="K3416" s="1" t="str">
        <f>"2026-07-29 13:18:03"</f>
        <v>2026-07-29 13:18:03</v>
      </c>
      <c r="L3416" s="1" t="str">
        <f>"2018-11-29 17:45:22"</f>
        <v>2018-11-29 17:45:22</v>
      </c>
      <c r="M3416" s="1" t="s">
        <v>0</v>
      </c>
      <c r="N3416" s="1" t="s">
        <v>38</v>
      </c>
      <c r="O3416" s="1" t="s">
        <v>46</v>
      </c>
    </row>
    <row r="3417" spans="2:15" x14ac:dyDescent="0.3">
      <c r="B3417" s="1" t="s">
        <v>23</v>
      </c>
      <c r="C3417" s="1" t="str">
        <f>"6차"</f>
        <v>6차</v>
      </c>
      <c r="D3417" s="1" t="str">
        <f>"0225S5616S"</f>
        <v>0225S5616S</v>
      </c>
      <c r="E3417" s="1" t="s">
        <v>10</v>
      </c>
      <c r="F3417" s="1" t="str">
        <f>"fde1:103:4:c5e1:0:0:0:2"</f>
        <v>fde1:103:4:c5e1:0:0:0:2</v>
      </c>
      <c r="G3417" s="1" t="str">
        <f>"0225S561"</f>
        <v>0225S561</v>
      </c>
      <c r="H3417" s="1" t="str">
        <f>"뚝섬간 20L14"</f>
        <v>뚝섬간 20L14</v>
      </c>
      <c r="I3417" s="1" t="s">
        <v>15</v>
      </c>
      <c r="J3417" s="1" t="str">
        <f>"31/34"</f>
        <v>31/34</v>
      </c>
      <c r="K3417" s="1" t="str">
        <f>"2026-07-28 02:20:26"</f>
        <v>2026-07-28 02:20:26</v>
      </c>
      <c r="L3417" s="1" t="str">
        <f>"2024-11-18 11:05:20"</f>
        <v>2024-11-18 11:05:20</v>
      </c>
      <c r="M3417" s="1" t="s">
        <v>4</v>
      </c>
      <c r="N3417" s="1" t="s">
        <v>38</v>
      </c>
      <c r="O3417" s="1" t="s">
        <v>46</v>
      </c>
    </row>
    <row r="3418" spans="2:15" x14ac:dyDescent="0.3">
      <c r="B3418" s="1" t="s">
        <v>23</v>
      </c>
      <c r="C3418" s="1" t="str">
        <f>"4차"</f>
        <v>4차</v>
      </c>
      <c r="D3418" s="1" t="str">
        <f>"0225S56344"</f>
        <v>0225S56344</v>
      </c>
      <c r="E3418" s="1" t="s">
        <v>10</v>
      </c>
      <c r="F3418" s="1" t="str">
        <f>"10.11.80.10"</f>
        <v>10.11.80.10</v>
      </c>
      <c r="G3418" s="1" t="str">
        <f>"0225S563"</f>
        <v>0225S563</v>
      </c>
      <c r="H3418" s="1" t="str">
        <f>"뚝섬간 20L13"</f>
        <v>뚝섬간 20L13</v>
      </c>
      <c r="I3418" s="1" t="s">
        <v>8</v>
      </c>
      <c r="J3418" s="1" t="str">
        <f>"15/16"</f>
        <v>15/16</v>
      </c>
      <c r="K3418" s="1" t="str">
        <f>"2026-07-29 13:18:01"</f>
        <v>2026-07-29 13:18:01</v>
      </c>
      <c r="L3418" s="1" t="str">
        <f>"2023-07-20 17:42:58"</f>
        <v>2023-07-20 17:42:58</v>
      </c>
      <c r="M3418" s="1" t="s">
        <v>2</v>
      </c>
      <c r="N3418" s="1" t="s">
        <v>38</v>
      </c>
      <c r="O3418" s="1" t="s">
        <v>46</v>
      </c>
    </row>
    <row r="3419" spans="2:15" x14ac:dyDescent="0.3">
      <c r="B3419" s="1" t="s">
        <v>23</v>
      </c>
      <c r="C3419" s="1" t="str">
        <f>"1차"</f>
        <v>1차</v>
      </c>
      <c r="D3419" s="1" t="str">
        <f>"0225S58300"</f>
        <v>0225S58300</v>
      </c>
      <c r="E3419" s="1" t="s">
        <v>10</v>
      </c>
      <c r="F3419" s="1" t="str">
        <f>"10.125.1.2"</f>
        <v>10.125.1.2</v>
      </c>
      <c r="G3419" s="1" t="str">
        <f>"0225S583"</f>
        <v>0225S583</v>
      </c>
      <c r="H3419" s="1" t="str">
        <f>"뚝섬간 3L2"</f>
        <v>뚝섬간 3L2</v>
      </c>
      <c r="I3419" s="1" t="s">
        <v>8</v>
      </c>
      <c r="J3419" s="1" t="str">
        <f>"43/43"</f>
        <v>43/43</v>
      </c>
      <c r="K3419" s="1" t="str">
        <f>"2026-07-29 13:18:01"</f>
        <v>2026-07-29 13:18:01</v>
      </c>
      <c r="L3419" s="1" t="str">
        <f>"2025-10-15 09:09:12"</f>
        <v>2025-10-15 09:09:12</v>
      </c>
      <c r="M3419" s="1" t="s">
        <v>45</v>
      </c>
      <c r="N3419" s="1" t="s">
        <v>38</v>
      </c>
      <c r="O3419" s="1" t="s">
        <v>46</v>
      </c>
    </row>
    <row r="3420" spans="2:15" x14ac:dyDescent="0.3">
      <c r="B3420" s="1" t="s">
        <v>23</v>
      </c>
      <c r="C3420" s="1" t="str">
        <f>"4차"</f>
        <v>4차</v>
      </c>
      <c r="D3420" s="1" t="str">
        <f>"0225S59139"</f>
        <v>0225S59139</v>
      </c>
      <c r="E3420" s="1" t="s">
        <v>10</v>
      </c>
      <c r="F3420" s="1" t="str">
        <f>"10.12.135.6"</f>
        <v>10.12.135.6</v>
      </c>
      <c r="G3420" s="1" t="str">
        <f>"0225S591"</f>
        <v>0225S591</v>
      </c>
      <c r="H3420" s="1" t="str">
        <f>"뚝섬간 13L4"</f>
        <v>뚝섬간 13L4</v>
      </c>
      <c r="I3420" s="1" t="s">
        <v>17</v>
      </c>
      <c r="J3420" s="1" t="str">
        <f>"16/18"</f>
        <v>16/18</v>
      </c>
      <c r="K3420" s="1" t="str">
        <f>"2026-07-29 13:18:02"</f>
        <v>2026-07-29 13:18:02</v>
      </c>
      <c r="L3420" s="1" t="str">
        <f>"2019-01-04 09:22:44"</f>
        <v>2019-01-04 09:22:44</v>
      </c>
      <c r="M3420" s="1" t="s">
        <v>0</v>
      </c>
      <c r="N3420" s="1" t="s">
        <v>38</v>
      </c>
      <c r="O3420" s="1" t="s">
        <v>46</v>
      </c>
    </row>
    <row r="3421" spans="2:15" x14ac:dyDescent="0.3">
      <c r="B3421" s="1" t="s">
        <v>23</v>
      </c>
      <c r="C3421" s="1" t="str">
        <f>"1차"</f>
        <v>1차</v>
      </c>
      <c r="D3421" s="1" t="str">
        <f>"0225S68101"</f>
        <v>0225S68101</v>
      </c>
      <c r="E3421" s="1" t="s">
        <v>10</v>
      </c>
      <c r="F3421" s="1" t="str">
        <f>"10.12.130.237"</f>
        <v>10.12.130.237</v>
      </c>
      <c r="G3421" s="1" t="str">
        <f>"0225S681"</f>
        <v>0225S681</v>
      </c>
      <c r="H3421" s="1" t="str">
        <f>"뚝섬간 3"</f>
        <v>뚝섬간 3</v>
      </c>
      <c r="I3421" s="1" t="s">
        <v>8</v>
      </c>
      <c r="J3421" s="1" t="str">
        <f>"18/18"</f>
        <v>18/18</v>
      </c>
      <c r="K3421" s="1" t="str">
        <f>"2026-07-29 13:18:01"</f>
        <v>2026-07-29 13:18:01</v>
      </c>
      <c r="L3421" s="1" t="str">
        <f>"2014-11-10 00:12:41"</f>
        <v>2014-11-10 00:12:41</v>
      </c>
      <c r="M3421" s="1" t="s">
        <v>0</v>
      </c>
      <c r="N3421" s="1" t="s">
        <v>38</v>
      </c>
      <c r="O3421" s="1" t="s">
        <v>46</v>
      </c>
    </row>
    <row r="3422" spans="2:15" x14ac:dyDescent="0.3">
      <c r="B3422" s="1" t="s">
        <v>23</v>
      </c>
      <c r="C3422" s="1" t="str">
        <f t="shared" ref="C3422:C3428" si="195">"4차"</f>
        <v>4차</v>
      </c>
      <c r="D3422" s="1" t="str">
        <f>"0225S86641"</f>
        <v>0225S86641</v>
      </c>
      <c r="E3422" s="1" t="s">
        <v>10</v>
      </c>
      <c r="F3422" s="1" t="str">
        <f>"10.12.128.189"</f>
        <v>10.12.128.189</v>
      </c>
      <c r="G3422" s="1" t="str">
        <f>"0225S866"</f>
        <v>0225S866</v>
      </c>
      <c r="H3422" s="1" t="str">
        <f>"대종간 32L5"</f>
        <v>대종간 32L5</v>
      </c>
      <c r="I3422" s="1" t="s">
        <v>17</v>
      </c>
      <c r="J3422" s="1" t="str">
        <f>"12/12"</f>
        <v>12/12</v>
      </c>
      <c r="K3422" s="1" t="str">
        <f>"2026-07-29 13:18:02"</f>
        <v>2026-07-29 13:18:02</v>
      </c>
      <c r="L3422" s="1" t="str">
        <f>"2021-10-12 07:51:49"</f>
        <v>2021-10-12 07:51:49</v>
      </c>
      <c r="M3422" s="1" t="s">
        <v>0</v>
      </c>
      <c r="N3422" s="1" t="s">
        <v>38</v>
      </c>
      <c r="O3422" s="1" t="s">
        <v>46</v>
      </c>
    </row>
    <row r="3423" spans="2:15" x14ac:dyDescent="0.3">
      <c r="B3423" s="1" t="s">
        <v>23</v>
      </c>
      <c r="C3423" s="1" t="str">
        <f t="shared" si="195"/>
        <v>4차</v>
      </c>
      <c r="D3423" s="1" t="str">
        <f>"0225S94241"</f>
        <v>0225S94241</v>
      </c>
      <c r="E3423" s="1" t="s">
        <v>10</v>
      </c>
      <c r="F3423" s="1" t="str">
        <f>"10.14.7.37"</f>
        <v>10.14.7.37</v>
      </c>
      <c r="G3423" s="1" t="str">
        <f>"0225S942"</f>
        <v>0225S942</v>
      </c>
      <c r="H3423" s="1" t="str">
        <f>"대종간 32L3L3"</f>
        <v>대종간 32L3L3</v>
      </c>
      <c r="I3423" s="1" t="s">
        <v>17</v>
      </c>
      <c r="J3423" s="1" t="str">
        <f>"34/34"</f>
        <v>34/34</v>
      </c>
      <c r="K3423" s="1" t="str">
        <f>"2026-07-29 13:18:02"</f>
        <v>2026-07-29 13:18:02</v>
      </c>
      <c r="L3423" s="1" t="str">
        <f>"2021-10-08 09:04:12"</f>
        <v>2021-10-08 09:04:12</v>
      </c>
      <c r="M3423" s="1" t="s">
        <v>3</v>
      </c>
      <c r="N3423" s="1" t="s">
        <v>38</v>
      </c>
      <c r="O3423" s="1" t="s">
        <v>46</v>
      </c>
    </row>
    <row r="3424" spans="2:15" x14ac:dyDescent="0.3">
      <c r="B3424" s="1" t="s">
        <v>23</v>
      </c>
      <c r="C3424" s="1" t="str">
        <f t="shared" si="195"/>
        <v>4차</v>
      </c>
      <c r="D3424" s="1" t="str">
        <f>"0225S95344"</f>
        <v>0225S95344</v>
      </c>
      <c r="E3424" s="1" t="s">
        <v>10</v>
      </c>
      <c r="F3424" s="1" t="str">
        <f>"10.11.64.226"</f>
        <v>10.11.64.226</v>
      </c>
      <c r="G3424" s="1" t="str">
        <f>"0225S953"</f>
        <v>0225S953</v>
      </c>
      <c r="H3424" s="1" t="str">
        <f>"대종간 32L3L1"</f>
        <v>대종간 32L3L1</v>
      </c>
      <c r="I3424" s="1" t="s">
        <v>8</v>
      </c>
      <c r="J3424" s="1" t="str">
        <f>"44/44"</f>
        <v>44/44</v>
      </c>
      <c r="K3424" s="1" t="str">
        <f>"2026-07-29 13:18:01"</f>
        <v>2026-07-29 13:18:01</v>
      </c>
      <c r="L3424" s="1" t="str">
        <f>"2019-10-29 10:43:04"</f>
        <v>2019-10-29 10:43:04</v>
      </c>
      <c r="M3424" s="1" t="s">
        <v>2</v>
      </c>
      <c r="N3424" s="1" t="s">
        <v>38</v>
      </c>
      <c r="O3424" s="1" t="s">
        <v>46</v>
      </c>
    </row>
    <row r="3425" spans="2:15" x14ac:dyDescent="0.3">
      <c r="B3425" s="1" t="s">
        <v>23</v>
      </c>
      <c r="C3425" s="1" t="str">
        <f t="shared" si="195"/>
        <v>4차</v>
      </c>
      <c r="D3425" s="1" t="str">
        <f>"0225S96144"</f>
        <v>0225S96144</v>
      </c>
      <c r="E3425" s="1" t="s">
        <v>10</v>
      </c>
      <c r="F3425" s="1" t="str">
        <f>"10.11.64.218"</f>
        <v>10.11.64.218</v>
      </c>
      <c r="G3425" s="1" t="str">
        <f>"0225S961"</f>
        <v>0225S961</v>
      </c>
      <c r="H3425" s="1" t="str">
        <f>"대종간 32L2"</f>
        <v>대종간 32L2</v>
      </c>
      <c r="I3425" s="1" t="s">
        <v>8</v>
      </c>
      <c r="J3425" s="1" t="str">
        <f>"17/17"</f>
        <v>17/17</v>
      </c>
      <c r="K3425" s="1" t="str">
        <f>"2026-07-29 13:18:01"</f>
        <v>2026-07-29 13:18:01</v>
      </c>
      <c r="L3425" s="1" t="str">
        <f>"2019-10-29 10:53:05"</f>
        <v>2019-10-29 10:53:05</v>
      </c>
      <c r="M3425" s="1" t="s">
        <v>2</v>
      </c>
      <c r="N3425" s="1" t="s">
        <v>38</v>
      </c>
      <c r="O3425" s="1" t="s">
        <v>46</v>
      </c>
    </row>
    <row r="3426" spans="2:15" x14ac:dyDescent="0.3">
      <c r="B3426" s="1" t="s">
        <v>23</v>
      </c>
      <c r="C3426" s="1" t="str">
        <f t="shared" si="195"/>
        <v>4차</v>
      </c>
      <c r="D3426" s="1" t="str">
        <f>"0225S97244"</f>
        <v>0225S97244</v>
      </c>
      <c r="E3426" s="1" t="s">
        <v>10</v>
      </c>
      <c r="F3426" s="1" t="str">
        <f>"10.11.64.242"</f>
        <v>10.11.64.242</v>
      </c>
      <c r="G3426" s="1" t="str">
        <f>"0225S972"</f>
        <v>0225S972</v>
      </c>
      <c r="H3426" s="1" t="str">
        <f>"대종간 35"</f>
        <v>대종간 35</v>
      </c>
      <c r="I3426" s="1" t="s">
        <v>8</v>
      </c>
      <c r="J3426" s="1" t="str">
        <f>"20/20"</f>
        <v>20/20</v>
      </c>
      <c r="K3426" s="1" t="str">
        <f>"2026-07-29 13:18:01"</f>
        <v>2026-07-29 13:18:01</v>
      </c>
      <c r="L3426" s="1" t="str">
        <f>"2019-10-29 10:43:08"</f>
        <v>2019-10-29 10:43:08</v>
      </c>
      <c r="M3426" s="1" t="s">
        <v>2</v>
      </c>
      <c r="N3426" s="1" t="s">
        <v>38</v>
      </c>
      <c r="O3426" s="1" t="s">
        <v>46</v>
      </c>
    </row>
    <row r="3427" spans="2:15" x14ac:dyDescent="0.3">
      <c r="B3427" s="1" t="s">
        <v>23</v>
      </c>
      <c r="C3427" s="1" t="str">
        <f t="shared" si="195"/>
        <v>4차</v>
      </c>
      <c r="D3427" s="1" t="str">
        <f>"0225S98144"</f>
        <v>0225S98144</v>
      </c>
      <c r="E3427" s="1" t="s">
        <v>10</v>
      </c>
      <c r="F3427" s="1" t="str">
        <f>"10.11.64.250"</f>
        <v>10.11.64.250</v>
      </c>
      <c r="G3427" s="1" t="str">
        <f>"0225S981"</f>
        <v>0225S981</v>
      </c>
      <c r="H3427" s="1" t="str">
        <f>"대종간 35R1"</f>
        <v>대종간 35R1</v>
      </c>
      <c r="I3427" s="1" t="s">
        <v>8</v>
      </c>
      <c r="J3427" s="1" t="str">
        <f>"25/25"</f>
        <v>25/25</v>
      </c>
      <c r="K3427" s="1" t="str">
        <f>"2026-07-29 13:18:01"</f>
        <v>2026-07-29 13:18:01</v>
      </c>
      <c r="L3427" s="1" t="str">
        <f>"2019-10-29 10:33:04"</f>
        <v>2019-10-29 10:33:04</v>
      </c>
      <c r="M3427" s="1" t="s">
        <v>2</v>
      </c>
      <c r="N3427" s="1" t="s">
        <v>38</v>
      </c>
      <c r="O3427" s="1" t="s">
        <v>46</v>
      </c>
    </row>
    <row r="3428" spans="2:15" x14ac:dyDescent="0.3">
      <c r="B3428" s="1" t="s">
        <v>23</v>
      </c>
      <c r="C3428" s="1" t="str">
        <f t="shared" si="195"/>
        <v>4차</v>
      </c>
      <c r="D3428" s="1" t="str">
        <f>"0225W01144"</f>
        <v>0225W01144</v>
      </c>
      <c r="E3428" s="1" t="s">
        <v>10</v>
      </c>
      <c r="F3428" s="1" t="str">
        <f>"10.11.67.18"</f>
        <v>10.11.67.18</v>
      </c>
      <c r="G3428" s="1" t="str">
        <f>"0225W011"</f>
        <v>0225W011</v>
      </c>
      <c r="H3428" s="1" t="str">
        <f>"성지간 75L6"</f>
        <v>성지간 75L6</v>
      </c>
      <c r="I3428" s="1" t="s">
        <v>8</v>
      </c>
      <c r="J3428" s="1" t="str">
        <f>"50/56"</f>
        <v>50/56</v>
      </c>
      <c r="K3428" s="1" t="str">
        <f>"2026-07-29 13:18:01"</f>
        <v>2026-07-29 13:18:01</v>
      </c>
      <c r="L3428" s="1" t="str">
        <f>"2019-10-29 10:43:05"</f>
        <v>2019-10-29 10:43:05</v>
      </c>
      <c r="M3428" s="1" t="s">
        <v>2</v>
      </c>
      <c r="N3428" s="1" t="s">
        <v>38</v>
      </c>
      <c r="O3428" s="1" t="s">
        <v>46</v>
      </c>
    </row>
    <row r="3429" spans="2:15" x14ac:dyDescent="0.3">
      <c r="B3429" s="1" t="s">
        <v>23</v>
      </c>
      <c r="C3429" s="1" t="str">
        <f>"5-2차"</f>
        <v>5-2차</v>
      </c>
      <c r="D3429" s="1" t="str">
        <f>"0225W0535M"</f>
        <v>0225W0535M</v>
      </c>
      <c r="E3429" s="1" t="s">
        <v>10</v>
      </c>
      <c r="F3429" s="1" t="str">
        <f>"fde1:103:4:57b7:0:0:0:2"</f>
        <v>fde1:103:4:57b7:0:0:0:2</v>
      </c>
      <c r="G3429" s="1" t="str">
        <f>"0225W053"</f>
        <v>0225W053</v>
      </c>
      <c r="H3429" s="1" t="str">
        <f>"성지간 86L5L3L3"</f>
        <v>성지간 86L5L3L3</v>
      </c>
      <c r="I3429" s="1" t="s">
        <v>15</v>
      </c>
      <c r="J3429" s="1" t="str">
        <f>"39/39"</f>
        <v>39/39</v>
      </c>
      <c r="K3429" s="1" t="str">
        <f>"2026-07-29 14:20:39"</f>
        <v>2026-07-29 14:20:39</v>
      </c>
      <c r="L3429" s="1" t="str">
        <f>"2023-09-25 09:51:03"</f>
        <v>2023-09-25 09:51:03</v>
      </c>
      <c r="M3429" s="1" t="s">
        <v>4</v>
      </c>
      <c r="N3429" s="1" t="s">
        <v>38</v>
      </c>
      <c r="O3429" s="1" t="s">
        <v>46</v>
      </c>
    </row>
    <row r="3430" spans="2:15" x14ac:dyDescent="0.3">
      <c r="B3430" s="1" t="s">
        <v>23</v>
      </c>
      <c r="C3430" s="1" t="str">
        <f>"4차"</f>
        <v>4차</v>
      </c>
      <c r="D3430" s="1" t="str">
        <f>"0225W08139"</f>
        <v>0225W08139</v>
      </c>
      <c r="E3430" s="1" t="s">
        <v>10</v>
      </c>
      <c r="F3430" s="1" t="str">
        <f>"10.12.136.157"</f>
        <v>10.12.136.157</v>
      </c>
      <c r="G3430" s="1" t="str">
        <f>"0225W081"</f>
        <v>0225W081</v>
      </c>
      <c r="H3430" s="1" t="str">
        <f>"광나루 12-3"</f>
        <v>광나루 12-3</v>
      </c>
      <c r="I3430" s="1" t="s">
        <v>17</v>
      </c>
      <c r="J3430" s="1" t="str">
        <f>"1/1"</f>
        <v>1/1</v>
      </c>
      <c r="K3430" s="1" t="str">
        <f>"2026-07-29 13:18:02"</f>
        <v>2026-07-29 13:18:02</v>
      </c>
      <c r="L3430" s="1" t="str">
        <f>"2018-06-19 07:38:25"</f>
        <v>2018-06-19 07:38:25</v>
      </c>
      <c r="M3430" s="1" t="s">
        <v>0</v>
      </c>
      <c r="N3430" s="1" t="s">
        <v>38</v>
      </c>
      <c r="O3430" s="1" t="s">
        <v>46</v>
      </c>
    </row>
    <row r="3431" spans="2:15" x14ac:dyDescent="0.3">
      <c r="B3431" s="1" t="s">
        <v>23</v>
      </c>
      <c r="C3431" s="1" t="str">
        <f>"4차"</f>
        <v>4차</v>
      </c>
      <c r="D3431" s="1" t="str">
        <f>"0225W11139"</f>
        <v>0225W11139</v>
      </c>
      <c r="E3431" s="1" t="s">
        <v>10</v>
      </c>
      <c r="F3431" s="1" t="str">
        <f>"10.11.80.18"</f>
        <v>10.11.80.18</v>
      </c>
      <c r="G3431" s="1" t="str">
        <f>"0225W111"</f>
        <v>0225W111</v>
      </c>
      <c r="H3431" s="1" t="str">
        <f>"성지간 75L4"</f>
        <v>성지간 75L4</v>
      </c>
      <c r="I3431" s="1" t="s">
        <v>8</v>
      </c>
      <c r="J3431" s="1" t="str">
        <f>"44/44"</f>
        <v>44/44</v>
      </c>
      <c r="K3431" s="1" t="str">
        <f>"2026-07-29 13:18:01"</f>
        <v>2026-07-29 13:18:01</v>
      </c>
      <c r="L3431" s="1" t="str">
        <f>"2018-04-18 14:19:44"</f>
        <v>2018-04-18 14:19:44</v>
      </c>
      <c r="M3431" s="1" t="s">
        <v>2</v>
      </c>
      <c r="N3431" s="1" t="s">
        <v>38</v>
      </c>
      <c r="O3431" s="1" t="s">
        <v>46</v>
      </c>
    </row>
    <row r="3432" spans="2:15" x14ac:dyDescent="0.3">
      <c r="B3432" s="1" t="s">
        <v>23</v>
      </c>
      <c r="C3432" s="1" t="str">
        <f>"1차"</f>
        <v>1차</v>
      </c>
      <c r="D3432" s="1" t="str">
        <f>"0225W11500"</f>
        <v>0225W11500</v>
      </c>
      <c r="E3432" s="1" t="s">
        <v>10</v>
      </c>
      <c r="F3432" s="1" t="str">
        <f>"10.125.5.90"</f>
        <v>10.125.5.90</v>
      </c>
      <c r="G3432" s="1" t="str">
        <f>"0225W115"</f>
        <v>0225W115</v>
      </c>
      <c r="H3432" s="1" t="str">
        <f>"성지간 75L3L1"</f>
        <v>성지간 75L3L1</v>
      </c>
      <c r="I3432" s="1" t="s">
        <v>8</v>
      </c>
      <c r="J3432" s="1" t="str">
        <f>"16/16"</f>
        <v>16/16</v>
      </c>
      <c r="K3432" s="1" t="str">
        <f>"2026-07-29 13:18:01"</f>
        <v>2026-07-29 13:18:01</v>
      </c>
      <c r="L3432" s="1" t="str">
        <f>"2014-11-11 16:42:33"</f>
        <v>2014-11-11 16:42:33</v>
      </c>
      <c r="M3432" s="1" t="s">
        <v>45</v>
      </c>
      <c r="N3432" s="1" t="s">
        <v>38</v>
      </c>
      <c r="O3432" s="1" t="s">
        <v>46</v>
      </c>
    </row>
    <row r="3433" spans="2:15" x14ac:dyDescent="0.3">
      <c r="B3433" s="1" t="s">
        <v>23</v>
      </c>
      <c r="C3433" s="1" t="str">
        <f>"4차"</f>
        <v>4차</v>
      </c>
      <c r="D3433" s="1" t="str">
        <f>"0225W18139"</f>
        <v>0225W18139</v>
      </c>
      <c r="E3433" s="1" t="s">
        <v>14</v>
      </c>
      <c r="F3433" s="1" t="str">
        <f>"10.12.136.158"</f>
        <v>10.12.136.158</v>
      </c>
      <c r="G3433" s="1" t="str">
        <f>"0225W181"</f>
        <v>0225W181</v>
      </c>
      <c r="H3433" s="1" t="str">
        <f>"광나루 12-5"</f>
        <v>광나루 12-5</v>
      </c>
      <c r="I3433" s="1" t="s">
        <v>17</v>
      </c>
      <c r="J3433" s="1" t="str">
        <f>"0/0"</f>
        <v>0/0</v>
      </c>
      <c r="K3433" s="1" t="str">
        <f>"2026-06-10 07:18:03"</f>
        <v>2026-06-10 07:18:03</v>
      </c>
      <c r="L3433" s="1" t="str">
        <f>"2018-06-19 07:56:39"</f>
        <v>2018-06-19 07:56:39</v>
      </c>
      <c r="M3433" s="1" t="s">
        <v>0</v>
      </c>
      <c r="N3433" s="1" t="s">
        <v>39</v>
      </c>
      <c r="O3433" s="1" t="s">
        <v>46</v>
      </c>
    </row>
    <row r="3434" spans="2:15" x14ac:dyDescent="0.3">
      <c r="B3434" s="1" t="s">
        <v>23</v>
      </c>
      <c r="C3434" s="1" t="str">
        <f>"4차"</f>
        <v>4차</v>
      </c>
      <c r="D3434" s="1" t="str">
        <f>"0225W18239"</f>
        <v>0225W18239</v>
      </c>
      <c r="E3434" s="1" t="s">
        <v>10</v>
      </c>
      <c r="F3434" s="1" t="str">
        <f>"10.12.136.149"</f>
        <v>10.12.136.149</v>
      </c>
      <c r="G3434" s="1" t="str">
        <f>"0225W182"</f>
        <v>0225W182</v>
      </c>
      <c r="H3434" s="1" t="str">
        <f>"광나루 12-4"</f>
        <v>광나루 12-4</v>
      </c>
      <c r="I3434" s="1" t="s">
        <v>17</v>
      </c>
      <c r="J3434" s="1" t="str">
        <f>"3/3"</f>
        <v>3/3</v>
      </c>
      <c r="K3434" s="1" t="str">
        <f>"2026-07-29 13:18:03"</f>
        <v>2026-07-29 13:18:03</v>
      </c>
      <c r="L3434" s="1" t="str">
        <f>"2018-06-19 07:57:54"</f>
        <v>2018-06-19 07:57:54</v>
      </c>
      <c r="M3434" s="1" t="s">
        <v>0</v>
      </c>
      <c r="N3434" s="1" t="s">
        <v>38</v>
      </c>
      <c r="O3434" s="1" t="s">
        <v>46</v>
      </c>
    </row>
    <row r="3435" spans="2:15" x14ac:dyDescent="0.3">
      <c r="B3435" s="1" t="s">
        <v>23</v>
      </c>
      <c r="C3435" s="1" t="str">
        <f>"3차"</f>
        <v>3차</v>
      </c>
      <c r="D3435" s="1" t="str">
        <f>"0225W28139"</f>
        <v>0225W28139</v>
      </c>
      <c r="E3435" s="1" t="s">
        <v>10</v>
      </c>
      <c r="F3435" s="1" t="str">
        <f>"10.12.133.70"</f>
        <v>10.12.133.70</v>
      </c>
      <c r="G3435" s="1" t="str">
        <f>"0225W281"</f>
        <v>0225W281</v>
      </c>
      <c r="H3435" s="1" t="str">
        <f>"광나루 18-5"</f>
        <v>광나루 18-5</v>
      </c>
      <c r="I3435" s="1" t="s">
        <v>17</v>
      </c>
      <c r="J3435" s="1" t="str">
        <f>"15/15"</f>
        <v>15/15</v>
      </c>
      <c r="K3435" s="1" t="str">
        <f>"2026-07-29 13:18:03"</f>
        <v>2026-07-29 13:18:03</v>
      </c>
      <c r="L3435" s="1" t="str">
        <f>"2018-06-19 08:07:10"</f>
        <v>2018-06-19 08:07:10</v>
      </c>
      <c r="M3435" s="1" t="s">
        <v>0</v>
      </c>
      <c r="N3435" s="1" t="s">
        <v>38</v>
      </c>
      <c r="O3435" s="1" t="s">
        <v>46</v>
      </c>
    </row>
    <row r="3436" spans="2:15" x14ac:dyDescent="0.3">
      <c r="B3436" s="1" t="s">
        <v>23</v>
      </c>
      <c r="C3436" s="1" t="str">
        <f>"4차"</f>
        <v>4차</v>
      </c>
      <c r="D3436" s="1" t="str">
        <f>"0225W31141"</f>
        <v>0225W31141</v>
      </c>
      <c r="E3436" s="1" t="s">
        <v>10</v>
      </c>
      <c r="F3436" s="1" t="str">
        <f>"10.14.3.37"</f>
        <v>10.14.3.37</v>
      </c>
      <c r="G3436" s="1" t="str">
        <f>"0225W311"</f>
        <v>0225W311</v>
      </c>
      <c r="H3436" s="1" t="str">
        <f>"성지간 73"</f>
        <v>성지간 73</v>
      </c>
      <c r="I3436" s="1" t="s">
        <v>17</v>
      </c>
      <c r="J3436" s="1" t="str">
        <f>"8/8"</f>
        <v>8/8</v>
      </c>
      <c r="K3436" s="1" t="str">
        <f>"2026-07-29 13:18:03"</f>
        <v>2026-07-29 13:18:03</v>
      </c>
      <c r="L3436" s="1" t="str">
        <f>"2021-07-13 11:12:34"</f>
        <v>2021-07-13 11:12:34</v>
      </c>
      <c r="M3436" s="1" t="s">
        <v>3</v>
      </c>
      <c r="N3436" s="1" t="s">
        <v>38</v>
      </c>
      <c r="O3436" s="1" t="s">
        <v>46</v>
      </c>
    </row>
    <row r="3437" spans="2:15" x14ac:dyDescent="0.3">
      <c r="B3437" s="1" t="s">
        <v>23</v>
      </c>
      <c r="C3437" s="1" t="str">
        <f>"1차"</f>
        <v>1차</v>
      </c>
      <c r="D3437" s="1" t="str">
        <f>"0225W31201"</f>
        <v>0225W31201</v>
      </c>
      <c r="E3437" s="1" t="s">
        <v>10</v>
      </c>
      <c r="F3437" s="1" t="str">
        <f>"10.12.138.5"</f>
        <v>10.12.138.5</v>
      </c>
      <c r="G3437" s="1" t="str">
        <f>"0225W312"</f>
        <v>0225W312</v>
      </c>
      <c r="H3437" s="1" t="str">
        <f>"성지간 72"</f>
        <v>성지간 72</v>
      </c>
      <c r="I3437" s="1" t="s">
        <v>8</v>
      </c>
      <c r="J3437" s="1" t="str">
        <f>"15/20"</f>
        <v>15/20</v>
      </c>
      <c r="K3437" s="1" t="str">
        <f>"2026-07-29 13:18:03"</f>
        <v>2026-07-29 13:18:03</v>
      </c>
      <c r="L3437" s="1" t="str">
        <f>"2014-11-08 13:56:57"</f>
        <v>2014-11-08 13:56:57</v>
      </c>
      <c r="M3437" s="1" t="s">
        <v>0</v>
      </c>
      <c r="N3437" s="1" t="s">
        <v>38</v>
      </c>
      <c r="O3437" s="1" t="s">
        <v>46</v>
      </c>
    </row>
    <row r="3438" spans="2:15" x14ac:dyDescent="0.3">
      <c r="B3438" s="1" t="s">
        <v>23</v>
      </c>
      <c r="C3438" s="1" t="str">
        <f>"4차"</f>
        <v>4차</v>
      </c>
      <c r="D3438" s="1" t="str">
        <f>"0225W32144"</f>
        <v>0225W32144</v>
      </c>
      <c r="E3438" s="1" t="s">
        <v>10</v>
      </c>
      <c r="F3438" s="1" t="str">
        <f>"10.11.67.10"</f>
        <v>10.11.67.10</v>
      </c>
      <c r="G3438" s="1" t="str">
        <f>"0225W321"</f>
        <v>0225W321</v>
      </c>
      <c r="H3438" s="1" t="str">
        <f>"성지간 75"</f>
        <v>성지간 75</v>
      </c>
      <c r="I3438" s="1" t="s">
        <v>8</v>
      </c>
      <c r="J3438" s="1" t="str">
        <f>"10/10"</f>
        <v>10/10</v>
      </c>
      <c r="K3438" s="1" t="str">
        <f>"2026-07-29 13:18:02"</f>
        <v>2026-07-29 13:18:02</v>
      </c>
      <c r="L3438" s="1" t="str">
        <f>"2023-09-19 17:38:25"</f>
        <v>2023-09-19 17:38:25</v>
      </c>
      <c r="M3438" s="1" t="s">
        <v>2</v>
      </c>
      <c r="N3438" s="1" t="s">
        <v>38</v>
      </c>
      <c r="O3438" s="1" t="s">
        <v>46</v>
      </c>
    </row>
    <row r="3439" spans="2:15" x14ac:dyDescent="0.3">
      <c r="B3439" s="1" t="s">
        <v>23</v>
      </c>
      <c r="C3439" s="1" t="str">
        <f>"1차"</f>
        <v>1차</v>
      </c>
      <c r="D3439" s="1" t="str">
        <f>"0225W33100"</f>
        <v>0225W33100</v>
      </c>
      <c r="E3439" s="1" t="s">
        <v>10</v>
      </c>
      <c r="F3439" s="1" t="str">
        <f>"10.125.1.18"</f>
        <v>10.125.1.18</v>
      </c>
      <c r="G3439" s="1" t="str">
        <f>"0225W331"</f>
        <v>0225W331</v>
      </c>
      <c r="H3439" s="1" t="str">
        <f>"성지간 77"</f>
        <v>성지간 77</v>
      </c>
      <c r="I3439" s="1" t="s">
        <v>8</v>
      </c>
      <c r="J3439" s="1" t="str">
        <f>"6/6"</f>
        <v>6/6</v>
      </c>
      <c r="K3439" s="1" t="str">
        <f>"2026-07-29 13:18:01"</f>
        <v>2026-07-29 13:18:01</v>
      </c>
      <c r="L3439" s="1" t="str">
        <f>"2014-11-12 14:56:25"</f>
        <v>2014-11-12 14:56:25</v>
      </c>
      <c r="M3439" s="1" t="s">
        <v>45</v>
      </c>
      <c r="N3439" s="1" t="s">
        <v>38</v>
      </c>
      <c r="O3439" s="1" t="s">
        <v>46</v>
      </c>
    </row>
    <row r="3440" spans="2:15" x14ac:dyDescent="0.3">
      <c r="B3440" s="1" t="s">
        <v>23</v>
      </c>
      <c r="C3440" s="1" t="str">
        <f>"4차"</f>
        <v>4차</v>
      </c>
      <c r="D3440" s="1" t="str">
        <f>"0225W35144"</f>
        <v>0225W35144</v>
      </c>
      <c r="E3440" s="1" t="s">
        <v>10</v>
      </c>
      <c r="F3440" s="1" t="str">
        <f>"10.125.1.26"</f>
        <v>10.125.1.26</v>
      </c>
      <c r="G3440" s="1" t="str">
        <f>"0225W351"</f>
        <v>0225W351</v>
      </c>
      <c r="H3440" s="1" t="str">
        <f>"성지간 81R1"</f>
        <v>성지간 81R1</v>
      </c>
      <c r="I3440" s="1" t="s">
        <v>8</v>
      </c>
      <c r="J3440" s="1" t="str">
        <f>"58/59"</f>
        <v>58/59</v>
      </c>
      <c r="K3440" s="1" t="str">
        <f>"2026-07-29 13:18:01"</f>
        <v>2026-07-29 13:18:01</v>
      </c>
      <c r="L3440" s="1" t="str">
        <f>"2023-07-05 18:07:28"</f>
        <v>2023-07-05 18:07:28</v>
      </c>
      <c r="M3440" s="1" t="s">
        <v>45</v>
      </c>
      <c r="N3440" s="1" t="s">
        <v>38</v>
      </c>
      <c r="O3440" s="1" t="s">
        <v>46</v>
      </c>
    </row>
    <row r="3441" spans="2:15" x14ac:dyDescent="0.3">
      <c r="B3441" s="1" t="s">
        <v>23</v>
      </c>
      <c r="C3441" s="1" t="str">
        <f>"4차"</f>
        <v>4차</v>
      </c>
      <c r="D3441" s="1" t="str">
        <f>"0225W35244"</f>
        <v>0225W35244</v>
      </c>
      <c r="E3441" s="1" t="s">
        <v>10</v>
      </c>
      <c r="F3441" s="1" t="str">
        <f>"10.11.67.42"</f>
        <v>10.11.67.42</v>
      </c>
      <c r="G3441" s="1" t="str">
        <f>"0225W352"</f>
        <v>0225W352</v>
      </c>
      <c r="H3441" s="1" t="str">
        <f>"성지간 80"</f>
        <v>성지간 80</v>
      </c>
      <c r="I3441" s="1" t="s">
        <v>8</v>
      </c>
      <c r="J3441" s="1" t="str">
        <f>"26/26"</f>
        <v>26/26</v>
      </c>
      <c r="K3441" s="1" t="str">
        <f>"2026-07-29 13:18:02"</f>
        <v>2026-07-29 13:18:02</v>
      </c>
      <c r="L3441" s="1" t="str">
        <f>"2019-10-29 10:53:05"</f>
        <v>2019-10-29 10:53:05</v>
      </c>
      <c r="M3441" s="1" t="s">
        <v>2</v>
      </c>
      <c r="N3441" s="1" t="s">
        <v>38</v>
      </c>
      <c r="O3441" s="1" t="s">
        <v>46</v>
      </c>
    </row>
    <row r="3442" spans="2:15" x14ac:dyDescent="0.3">
      <c r="B3442" s="1" t="s">
        <v>23</v>
      </c>
      <c r="C3442" s="1" t="str">
        <f>"4차"</f>
        <v>4차</v>
      </c>
      <c r="D3442" s="1" t="str">
        <f>"0225W41142"</f>
        <v>0225W41142</v>
      </c>
      <c r="E3442" s="1" t="s">
        <v>10</v>
      </c>
      <c r="F3442" s="1" t="str">
        <f>"10.125.1.10"</f>
        <v>10.125.1.10</v>
      </c>
      <c r="G3442" s="1" t="str">
        <f>"0225W411"</f>
        <v>0225W411</v>
      </c>
      <c r="H3442" s="1" t="str">
        <f>"성지간 68R13L2"</f>
        <v>성지간 68R13L2</v>
      </c>
      <c r="I3442" s="1" t="s">
        <v>8</v>
      </c>
      <c r="J3442" s="1" t="str">
        <f>"90/93"</f>
        <v>90/93</v>
      </c>
      <c r="K3442" s="1" t="str">
        <f>"2026-07-29 13:18:01"</f>
        <v>2026-07-29 13:18:01</v>
      </c>
      <c r="L3442" s="1" t="str">
        <f>"2026-01-16 16:01:45"</f>
        <v>2026-01-16 16:01:45</v>
      </c>
      <c r="M3442" s="1" t="s">
        <v>45</v>
      </c>
      <c r="N3442" s="1" t="s">
        <v>38</v>
      </c>
      <c r="O3442" s="1" t="s">
        <v>46</v>
      </c>
    </row>
    <row r="3443" spans="2:15" x14ac:dyDescent="0.3">
      <c r="B3443" s="1" t="s">
        <v>23</v>
      </c>
      <c r="C3443" s="1" t="str">
        <f>"4차"</f>
        <v>4차</v>
      </c>
      <c r="D3443" s="1" t="str">
        <f>"0225W43144"</f>
        <v>0225W43144</v>
      </c>
      <c r="E3443" s="1" t="s">
        <v>10</v>
      </c>
      <c r="F3443" s="1" t="str">
        <f>"10.125.1.34"</f>
        <v>10.125.1.34</v>
      </c>
      <c r="G3443" s="1" t="str">
        <f>"0225W431"</f>
        <v>0225W431</v>
      </c>
      <c r="H3443" s="1" t="str">
        <f>"성지간 68R22L5"</f>
        <v>성지간 68R22L5</v>
      </c>
      <c r="I3443" s="1" t="s">
        <v>8</v>
      </c>
      <c r="J3443" s="1" t="str">
        <f>"58/60"</f>
        <v>58/60</v>
      </c>
      <c r="K3443" s="1" t="str">
        <f t="shared" ref="K3443:K3449" si="196">"2026-07-29 13:18:02"</f>
        <v>2026-07-29 13:18:02</v>
      </c>
      <c r="L3443" s="1" t="str">
        <f>"2023-07-05 16:50:50"</f>
        <v>2023-07-05 16:50:50</v>
      </c>
      <c r="M3443" s="1" t="s">
        <v>45</v>
      </c>
      <c r="N3443" s="1" t="s">
        <v>38</v>
      </c>
      <c r="O3443" s="1" t="s">
        <v>46</v>
      </c>
    </row>
    <row r="3444" spans="2:15" x14ac:dyDescent="0.3">
      <c r="B3444" s="1" t="s">
        <v>23</v>
      </c>
      <c r="C3444" s="1" t="str">
        <f>"1차"</f>
        <v>1차</v>
      </c>
      <c r="D3444" s="1" t="str">
        <f>"0225W43301"</f>
        <v>0225W43301</v>
      </c>
      <c r="E3444" s="1" t="s">
        <v>10</v>
      </c>
      <c r="F3444" s="1" t="str">
        <f>"10.125.120.228"</f>
        <v>10.125.120.228</v>
      </c>
      <c r="G3444" s="1" t="str">
        <f>"0225W433"</f>
        <v>0225W433</v>
      </c>
      <c r="H3444" s="1" t="str">
        <f>"성지간 68R22L6"</f>
        <v>성지간 68R22L6</v>
      </c>
      <c r="I3444" s="1" t="s">
        <v>8</v>
      </c>
      <c r="J3444" s="1" t="str">
        <f>"14/17"</f>
        <v>14/17</v>
      </c>
      <c r="K3444" s="1" t="str">
        <f t="shared" si="196"/>
        <v>2026-07-29 13:18:02</v>
      </c>
      <c r="L3444" s="1" t="str">
        <f>"2014-11-10 13:40:56"</f>
        <v>2014-11-10 13:40:56</v>
      </c>
      <c r="M3444" s="1" t="s">
        <v>45</v>
      </c>
      <c r="N3444" s="1" t="s">
        <v>38</v>
      </c>
      <c r="O3444" s="1" t="s">
        <v>46</v>
      </c>
    </row>
    <row r="3445" spans="2:15" x14ac:dyDescent="0.3">
      <c r="B3445" s="1" t="s">
        <v>23</v>
      </c>
      <c r="C3445" s="1" t="str">
        <f>"4차"</f>
        <v>4차</v>
      </c>
      <c r="D3445" s="1" t="str">
        <f>"0225W44344"</f>
        <v>0225W44344</v>
      </c>
      <c r="E3445" s="1" t="s">
        <v>10</v>
      </c>
      <c r="F3445" s="1" t="str">
        <f>"10.11.66.242"</f>
        <v>10.11.66.242</v>
      </c>
      <c r="G3445" s="1" t="str">
        <f>"0225W443"</f>
        <v>0225W443</v>
      </c>
      <c r="H3445" s="1" t="str">
        <f>"성지간 68R22L4R1"</f>
        <v>성지간 68R22L4R1</v>
      </c>
      <c r="I3445" s="1" t="s">
        <v>8</v>
      </c>
      <c r="J3445" s="1" t="str">
        <f>"53/54"</f>
        <v>53/54</v>
      </c>
      <c r="K3445" s="1" t="str">
        <f t="shared" si="196"/>
        <v>2026-07-29 13:18:02</v>
      </c>
      <c r="L3445" s="1" t="str">
        <f>"2019-10-29 10:53:05"</f>
        <v>2019-10-29 10:53:05</v>
      </c>
      <c r="M3445" s="1" t="s">
        <v>2</v>
      </c>
      <c r="N3445" s="1" t="s">
        <v>38</v>
      </c>
      <c r="O3445" s="1" t="s">
        <v>46</v>
      </c>
    </row>
    <row r="3446" spans="2:15" x14ac:dyDescent="0.3">
      <c r="B3446" s="1" t="s">
        <v>23</v>
      </c>
      <c r="C3446" s="1" t="str">
        <f>"4차"</f>
        <v>4차</v>
      </c>
      <c r="D3446" s="1" t="str">
        <f>"0225W45144"</f>
        <v>0225W45144</v>
      </c>
      <c r="E3446" s="1" t="s">
        <v>10</v>
      </c>
      <c r="F3446" s="1" t="str">
        <f>"10.125.120.229"</f>
        <v>10.125.120.229</v>
      </c>
      <c r="G3446" s="1" t="str">
        <f>"0225W451"</f>
        <v>0225W451</v>
      </c>
      <c r="H3446" s="1" t="str">
        <f>"성지간 81R2"</f>
        <v>성지간 81R2</v>
      </c>
      <c r="I3446" s="1" t="s">
        <v>8</v>
      </c>
      <c r="J3446" s="1" t="str">
        <f>"73/77"</f>
        <v>73/77</v>
      </c>
      <c r="K3446" s="1" t="str">
        <f t="shared" si="196"/>
        <v>2026-07-29 13:18:02</v>
      </c>
      <c r="L3446" s="1" t="str">
        <f>"2023-10-17 09:51:56"</f>
        <v>2023-10-17 09:51:56</v>
      </c>
      <c r="M3446" s="1" t="s">
        <v>45</v>
      </c>
      <c r="N3446" s="1" t="s">
        <v>38</v>
      </c>
      <c r="O3446" s="1" t="s">
        <v>46</v>
      </c>
    </row>
    <row r="3447" spans="2:15" x14ac:dyDescent="0.3">
      <c r="B3447" s="1" t="s">
        <v>23</v>
      </c>
      <c r="C3447" s="1" t="str">
        <f>"4차"</f>
        <v>4차</v>
      </c>
      <c r="D3447" s="1" t="str">
        <f>"0225W45344"</f>
        <v>0225W45344</v>
      </c>
      <c r="E3447" s="1" t="s">
        <v>10</v>
      </c>
      <c r="F3447" s="1" t="str">
        <f>"10.11.66.250"</f>
        <v>10.11.66.250</v>
      </c>
      <c r="G3447" s="1" t="str">
        <f>"0225W453"</f>
        <v>0225W453</v>
      </c>
      <c r="H3447" s="1" t="str">
        <f>"성지간 68R22L4R3"</f>
        <v>성지간 68R22L4R3</v>
      </c>
      <c r="I3447" s="1" t="s">
        <v>8</v>
      </c>
      <c r="J3447" s="1" t="str">
        <f>"99/99"</f>
        <v>99/99</v>
      </c>
      <c r="K3447" s="1" t="str">
        <f t="shared" si="196"/>
        <v>2026-07-29 13:18:02</v>
      </c>
      <c r="L3447" s="1" t="str">
        <f>"2019-10-29 10:53:05"</f>
        <v>2019-10-29 10:53:05</v>
      </c>
      <c r="M3447" s="1" t="s">
        <v>2</v>
      </c>
      <c r="N3447" s="1" t="s">
        <v>38</v>
      </c>
      <c r="O3447" s="1" t="s">
        <v>46</v>
      </c>
    </row>
    <row r="3448" spans="2:15" x14ac:dyDescent="0.3">
      <c r="B3448" s="1" t="s">
        <v>23</v>
      </c>
      <c r="C3448" s="1" t="str">
        <f>"4차"</f>
        <v>4차</v>
      </c>
      <c r="D3448" s="1" t="str">
        <f>"0225W48139"</f>
        <v>0225W48139</v>
      </c>
      <c r="E3448" s="1" t="s">
        <v>10</v>
      </c>
      <c r="F3448" s="1" t="str">
        <f>"10.12.136.163"</f>
        <v>10.12.136.163</v>
      </c>
      <c r="G3448" s="1" t="str">
        <f>"0225W481"</f>
        <v>0225W481</v>
      </c>
      <c r="H3448" s="1" t="str">
        <f>"광나루 18-3"</f>
        <v>광나루 18-3</v>
      </c>
      <c r="I3448" s="1" t="s">
        <v>17</v>
      </c>
      <c r="J3448" s="1" t="str">
        <f>"3/3"</f>
        <v>3/3</v>
      </c>
      <c r="K3448" s="1" t="str">
        <f t="shared" si="196"/>
        <v>2026-07-29 13:18:02</v>
      </c>
      <c r="L3448" s="1" t="str">
        <f>"2018-06-19 08:19:39"</f>
        <v>2018-06-19 08:19:39</v>
      </c>
      <c r="M3448" s="1" t="s">
        <v>0</v>
      </c>
      <c r="N3448" s="1" t="s">
        <v>38</v>
      </c>
      <c r="O3448" s="1" t="s">
        <v>46</v>
      </c>
    </row>
    <row r="3449" spans="2:15" x14ac:dyDescent="0.3">
      <c r="B3449" s="1" t="s">
        <v>23</v>
      </c>
      <c r="C3449" s="1" t="str">
        <f>"1차"</f>
        <v>1차</v>
      </c>
      <c r="D3449" s="1" t="str">
        <f>"0225W50101"</f>
        <v>0225W50101</v>
      </c>
      <c r="E3449" s="1" t="str">
        <f>"검침실패(3시간 이상)"</f>
        <v>검침실패(3시간 이상)</v>
      </c>
      <c r="F3449" s="1" t="str">
        <f>"10.12.128.32"</f>
        <v>10.12.128.32</v>
      </c>
      <c r="G3449" s="1" t="str">
        <f>"0225W501"</f>
        <v>0225W501</v>
      </c>
      <c r="H3449" s="1" t="str">
        <f>"성지간 68R13L3"</f>
        <v>성지간 68R13L3</v>
      </c>
      <c r="I3449" s="1" t="s">
        <v>8</v>
      </c>
      <c r="J3449" s="1" t="str">
        <f>"0/49"</f>
        <v>0/49</v>
      </c>
      <c r="K3449" s="1" t="str">
        <f t="shared" si="196"/>
        <v>2026-07-29 13:18:02</v>
      </c>
      <c r="L3449" s="1" t="str">
        <f>"2014-11-08 13:57:29"</f>
        <v>2014-11-08 13:57:29</v>
      </c>
      <c r="M3449" s="1" t="s">
        <v>0</v>
      </c>
      <c r="N3449" s="1" t="s">
        <v>38</v>
      </c>
      <c r="O3449" s="1" t="s">
        <v>46</v>
      </c>
    </row>
    <row r="3450" spans="2:15" x14ac:dyDescent="0.3">
      <c r="B3450" s="1" t="s">
        <v>23</v>
      </c>
      <c r="C3450" s="1" t="str">
        <f>"6차"</f>
        <v>6차</v>
      </c>
      <c r="D3450" s="1" t="str">
        <f>"0225W5216S"</f>
        <v>0225W5216S</v>
      </c>
      <c r="E3450" s="1" t="s">
        <v>10</v>
      </c>
      <c r="F3450" s="1" t="str">
        <f>"fde1:103:4:930a:0:0:0:2"</f>
        <v>fde1:103:4:930a:0:0:0:2</v>
      </c>
      <c r="G3450" s="1" t="str">
        <f>"0225W521"</f>
        <v>0225W521</v>
      </c>
      <c r="H3450" s="1" t="str">
        <f>"성지간 68R11"</f>
        <v>성지간 68R11</v>
      </c>
      <c r="I3450" s="1" t="s">
        <v>15</v>
      </c>
      <c r="J3450" s="1" t="str">
        <f>"19/22"</f>
        <v>19/22</v>
      </c>
      <c r="K3450" s="1" t="str">
        <f>"2026-07-29 14:20:32"</f>
        <v>2026-07-29 14:20:32</v>
      </c>
      <c r="L3450" s="1" t="str">
        <f>"2025-02-05 16:32:17"</f>
        <v>2025-02-05 16:32:17</v>
      </c>
      <c r="M3450" s="1" t="s">
        <v>4</v>
      </c>
      <c r="N3450" s="1" t="s">
        <v>38</v>
      </c>
      <c r="O3450" s="1" t="s">
        <v>46</v>
      </c>
    </row>
    <row r="3451" spans="2:15" x14ac:dyDescent="0.3">
      <c r="B3451" s="1" t="s">
        <v>23</v>
      </c>
      <c r="C3451" s="1" t="str">
        <f>"4차"</f>
        <v>4차</v>
      </c>
      <c r="D3451" s="1" t="str">
        <f>"0225W52544"</f>
        <v>0225W52544</v>
      </c>
      <c r="E3451" s="1" t="s">
        <v>10</v>
      </c>
      <c r="F3451" s="1" t="str">
        <f>"10.11.67.2"</f>
        <v>10.11.67.2</v>
      </c>
      <c r="G3451" s="1" t="str">
        <f>"0225W525"</f>
        <v>0225W525</v>
      </c>
      <c r="H3451" s="1" t="str">
        <f>"성지간 73R2"</f>
        <v>성지간 73R2</v>
      </c>
      <c r="I3451" s="1" t="s">
        <v>8</v>
      </c>
      <c r="J3451" s="1" t="str">
        <f>"27/28"</f>
        <v>27/28</v>
      </c>
      <c r="K3451" s="1" t="str">
        <f>"2026-07-29 13:18:01"</f>
        <v>2026-07-29 13:18:01</v>
      </c>
      <c r="L3451" s="1" t="str">
        <f>"2019-10-29 10:53:05"</f>
        <v>2019-10-29 10:53:05</v>
      </c>
      <c r="M3451" s="1" t="s">
        <v>2</v>
      </c>
      <c r="N3451" s="1" t="s">
        <v>38</v>
      </c>
      <c r="O3451" s="1" t="s">
        <v>46</v>
      </c>
    </row>
    <row r="3452" spans="2:15" x14ac:dyDescent="0.3">
      <c r="B3452" s="1" t="s">
        <v>23</v>
      </c>
      <c r="C3452" s="1" t="str">
        <f>"4차"</f>
        <v>4차</v>
      </c>
      <c r="D3452" s="1" t="str">
        <f>"0225W53244"</f>
        <v>0225W53244</v>
      </c>
      <c r="E3452" s="1" t="s">
        <v>10</v>
      </c>
      <c r="F3452" s="1" t="str">
        <f>"10.11.66.234"</f>
        <v>10.11.66.234</v>
      </c>
      <c r="G3452" s="1" t="str">
        <f>"0225W532"</f>
        <v>0225W532</v>
      </c>
      <c r="H3452" s="1" t="str">
        <f>"성지간 68R22L3"</f>
        <v>성지간 68R22L3</v>
      </c>
      <c r="I3452" s="1" t="s">
        <v>8</v>
      </c>
      <c r="J3452" s="1" t="str">
        <f>"20/20"</f>
        <v>20/20</v>
      </c>
      <c r="K3452" s="1" t="str">
        <f>"2026-07-29 13:18:02"</f>
        <v>2026-07-29 13:18:02</v>
      </c>
      <c r="L3452" s="1" t="str">
        <f>"2019-10-29 10:53:05"</f>
        <v>2019-10-29 10:53:05</v>
      </c>
      <c r="M3452" s="1" t="s">
        <v>2</v>
      </c>
      <c r="N3452" s="1" t="s">
        <v>38</v>
      </c>
      <c r="O3452" s="1" t="s">
        <v>46</v>
      </c>
    </row>
    <row r="3453" spans="2:15" x14ac:dyDescent="0.3">
      <c r="B3453" s="1" t="s">
        <v>23</v>
      </c>
      <c r="C3453" s="1" t="str">
        <f>"4차"</f>
        <v>4차</v>
      </c>
      <c r="D3453" s="1" t="str">
        <f>"0225W54144"</f>
        <v>0225W54144</v>
      </c>
      <c r="E3453" s="1" t="s">
        <v>10</v>
      </c>
      <c r="F3453" s="1" t="str">
        <f>"10.11.66.226"</f>
        <v>10.11.66.226</v>
      </c>
      <c r="G3453" s="1" t="str">
        <f>"0225W541"</f>
        <v>0225W541</v>
      </c>
      <c r="H3453" s="1" t="str">
        <f>"성지간 68R22L2"</f>
        <v>성지간 68R22L2</v>
      </c>
      <c r="I3453" s="1" t="s">
        <v>8</v>
      </c>
      <c r="J3453" s="1" t="str">
        <f>"20/20"</f>
        <v>20/20</v>
      </c>
      <c r="K3453" s="1" t="str">
        <f>"2026-07-29 13:18:02"</f>
        <v>2026-07-29 13:18:02</v>
      </c>
      <c r="L3453" s="1" t="str">
        <f>"2019-10-29 10:53:05"</f>
        <v>2019-10-29 10:53:05</v>
      </c>
      <c r="M3453" s="1" t="s">
        <v>2</v>
      </c>
      <c r="N3453" s="1" t="s">
        <v>38</v>
      </c>
      <c r="O3453" s="1" t="s">
        <v>46</v>
      </c>
    </row>
    <row r="3454" spans="2:15" x14ac:dyDescent="0.3">
      <c r="B3454" s="1" t="s">
        <v>23</v>
      </c>
      <c r="C3454" s="1" t="str">
        <f>"4차"</f>
        <v>4차</v>
      </c>
      <c r="D3454" s="1" t="str">
        <f>"0225W57139"</f>
        <v>0225W57139</v>
      </c>
      <c r="E3454" s="1" t="s">
        <v>10</v>
      </c>
      <c r="F3454" s="1" t="str">
        <f>"10.12.136.159"</f>
        <v>10.12.136.159</v>
      </c>
      <c r="G3454" s="1" t="str">
        <f>"0225W571"</f>
        <v>0225W571</v>
      </c>
      <c r="H3454" s="1" t="str">
        <f>"광나루 18-2"</f>
        <v>광나루 18-2</v>
      </c>
      <c r="I3454" s="1" t="s">
        <v>17</v>
      </c>
      <c r="J3454" s="1" t="str">
        <f>"3/3"</f>
        <v>3/3</v>
      </c>
      <c r="K3454" s="1" t="str">
        <f>"2026-07-29 13:18:04"</f>
        <v>2026-07-29 13:18:04</v>
      </c>
      <c r="L3454" s="1" t="str">
        <f>"2018-06-19 08:29:55"</f>
        <v>2018-06-19 08:29:55</v>
      </c>
      <c r="M3454" s="1" t="s">
        <v>0</v>
      </c>
      <c r="N3454" s="1" t="s">
        <v>38</v>
      </c>
      <c r="O3454" s="1" t="s">
        <v>46</v>
      </c>
    </row>
    <row r="3455" spans="2:15" x14ac:dyDescent="0.3">
      <c r="B3455" s="1" t="s">
        <v>23</v>
      </c>
      <c r="C3455" s="1" t="str">
        <f>"4차"</f>
        <v>4차</v>
      </c>
      <c r="D3455" s="1" t="str">
        <f>"0225W60141"</f>
        <v>0225W60141</v>
      </c>
      <c r="E3455" s="1" t="s">
        <v>10</v>
      </c>
      <c r="F3455" s="1" t="str">
        <f>"10.14.2.43"</f>
        <v>10.14.2.43</v>
      </c>
      <c r="G3455" s="1" t="str">
        <f>"0225W601"</f>
        <v>0225W601</v>
      </c>
      <c r="H3455" s="1" t="str">
        <f>"성지간 68R8"</f>
        <v>성지간 68R8</v>
      </c>
      <c r="I3455" s="1" t="s">
        <v>17</v>
      </c>
      <c r="J3455" s="1" t="str">
        <f>"95/95"</f>
        <v>95/95</v>
      </c>
      <c r="K3455" s="1" t="str">
        <f>"2026-07-29 13:18:03"</f>
        <v>2026-07-29 13:18:03</v>
      </c>
      <c r="L3455" s="1" t="str">
        <f>"2021-10-13 12:29:15"</f>
        <v>2021-10-13 12:29:15</v>
      </c>
      <c r="M3455" s="1" t="s">
        <v>3</v>
      </c>
      <c r="N3455" s="1" t="s">
        <v>38</v>
      </c>
      <c r="O3455" s="1" t="s">
        <v>46</v>
      </c>
    </row>
    <row r="3456" spans="2:15" x14ac:dyDescent="0.3">
      <c r="B3456" s="1" t="s">
        <v>23</v>
      </c>
      <c r="C3456" s="1" t="str">
        <f>"1차"</f>
        <v>1차</v>
      </c>
      <c r="D3456" s="1" t="str">
        <f>"0225W61101"</f>
        <v>0225W61101</v>
      </c>
      <c r="E3456" s="1" t="s">
        <v>10</v>
      </c>
      <c r="F3456" s="1" t="str">
        <f>"10.125.120.227"</f>
        <v>10.125.120.227</v>
      </c>
      <c r="G3456" s="1" t="str">
        <f>"0225W611"</f>
        <v>0225W611</v>
      </c>
      <c r="H3456" s="1" t="str">
        <f>"성지간 68R9"</f>
        <v>성지간 68R9</v>
      </c>
      <c r="I3456" s="1" t="s">
        <v>8</v>
      </c>
      <c r="J3456" s="1" t="str">
        <f>"34/36"</f>
        <v>34/36</v>
      </c>
      <c r="K3456" s="1" t="str">
        <f>"2026-07-29 13:18:02"</f>
        <v>2026-07-29 13:18:02</v>
      </c>
      <c r="L3456" s="1" t="str">
        <f>"2014-11-10 13:56:53"</f>
        <v>2014-11-10 13:56:53</v>
      </c>
      <c r="M3456" s="1" t="s">
        <v>45</v>
      </c>
      <c r="N3456" s="1" t="s">
        <v>38</v>
      </c>
      <c r="O3456" s="1" t="s">
        <v>46</v>
      </c>
    </row>
    <row r="3457" spans="2:15" x14ac:dyDescent="0.3">
      <c r="B3457" s="1" t="s">
        <v>23</v>
      </c>
      <c r="C3457" s="1" t="str">
        <f>"4차"</f>
        <v>4차</v>
      </c>
      <c r="D3457" s="1" t="str">
        <f>"0225W63141"</f>
        <v>0225W63141</v>
      </c>
      <c r="E3457" s="1" t="s">
        <v>10</v>
      </c>
      <c r="F3457" s="1" t="str">
        <f>"10.14.5.40"</f>
        <v>10.14.5.40</v>
      </c>
      <c r="G3457" s="1" t="str">
        <f>"0225W631"</f>
        <v>0225W631</v>
      </c>
      <c r="H3457" s="1" t="str">
        <f>"성지간 68R16"</f>
        <v>성지간 68R16</v>
      </c>
      <c r="I3457" s="1" t="s">
        <v>17</v>
      </c>
      <c r="J3457" s="1" t="str">
        <f>"23/24"</f>
        <v>23/24</v>
      </c>
      <c r="K3457" s="1" t="str">
        <f>"2026-07-29 13:18:03"</f>
        <v>2026-07-29 13:18:03</v>
      </c>
      <c r="L3457" s="1" t="str">
        <f>"2021-10-13 07:48:17"</f>
        <v>2021-10-13 07:48:17</v>
      </c>
      <c r="M3457" s="1" t="s">
        <v>3</v>
      </c>
      <c r="N3457" s="1" t="s">
        <v>38</v>
      </c>
      <c r="O3457" s="1" t="s">
        <v>46</v>
      </c>
    </row>
    <row r="3458" spans="2:15" x14ac:dyDescent="0.3">
      <c r="B3458" s="1" t="s">
        <v>23</v>
      </c>
      <c r="C3458" s="1" t="str">
        <f>"4차"</f>
        <v>4차</v>
      </c>
      <c r="D3458" s="1" t="str">
        <f>"0225W64444"</f>
        <v>0225W64444</v>
      </c>
      <c r="E3458" s="1" t="s">
        <v>10</v>
      </c>
      <c r="F3458" s="1" t="str">
        <f>"10.11.66.218"</f>
        <v>10.11.66.218</v>
      </c>
      <c r="G3458" s="1" t="str">
        <f>"0225W644"</f>
        <v>0225W644</v>
      </c>
      <c r="H3458" s="1" t="str">
        <f>"성지간 68R22L1"</f>
        <v>성지간 68R22L1</v>
      </c>
      <c r="I3458" s="1" t="s">
        <v>8</v>
      </c>
      <c r="J3458" s="1" t="str">
        <f>"27/33"</f>
        <v>27/33</v>
      </c>
      <c r="K3458" s="1" t="str">
        <f>"2026-07-29 13:18:02"</f>
        <v>2026-07-29 13:18:02</v>
      </c>
      <c r="L3458" s="1" t="str">
        <f>"2019-10-29 10:53:05"</f>
        <v>2019-10-29 10:53:05</v>
      </c>
      <c r="M3458" s="1" t="s">
        <v>2</v>
      </c>
      <c r="N3458" s="1" t="s">
        <v>38</v>
      </c>
      <c r="O3458" s="1" t="s">
        <v>46</v>
      </c>
    </row>
    <row r="3459" spans="2:15" x14ac:dyDescent="0.3">
      <c r="B3459" s="1" t="s">
        <v>23</v>
      </c>
      <c r="C3459" s="1" t="str">
        <f>"4차"</f>
        <v>4차</v>
      </c>
      <c r="D3459" s="1" t="str">
        <f>"0225W66144"</f>
        <v>0225W66144</v>
      </c>
      <c r="E3459" s="1" t="s">
        <v>10</v>
      </c>
      <c r="F3459" s="1" t="str">
        <f>"10.11.67.50"</f>
        <v>10.11.67.50</v>
      </c>
      <c r="G3459" s="1" t="str">
        <f>"0225W661"</f>
        <v>0225W661</v>
      </c>
      <c r="H3459" s="1" t="str">
        <f>"성지간 81R5"</f>
        <v>성지간 81R5</v>
      </c>
      <c r="I3459" s="1" t="s">
        <v>8</v>
      </c>
      <c r="J3459" s="1" t="str">
        <f>"86/86"</f>
        <v>86/86</v>
      </c>
      <c r="K3459" s="1" t="str">
        <f>"2026-07-29 13:18:01"</f>
        <v>2026-07-29 13:18:01</v>
      </c>
      <c r="L3459" s="1" t="str">
        <f>"2019-10-29 10:53:05"</f>
        <v>2019-10-29 10:53:05</v>
      </c>
      <c r="M3459" s="1" t="s">
        <v>2</v>
      </c>
      <c r="N3459" s="1" t="s">
        <v>38</v>
      </c>
      <c r="O3459" s="1" t="s">
        <v>46</v>
      </c>
    </row>
    <row r="3460" spans="2:15" x14ac:dyDescent="0.3">
      <c r="B3460" s="1" t="s">
        <v>23</v>
      </c>
      <c r="C3460" s="1" t="str">
        <f>"4차"</f>
        <v>4차</v>
      </c>
      <c r="D3460" s="1" t="str">
        <f>"0225W66344"</f>
        <v>0225W66344</v>
      </c>
      <c r="E3460" s="1" t="s">
        <v>10</v>
      </c>
      <c r="F3460" s="1" t="str">
        <f>"10.125.5.98"</f>
        <v>10.125.5.98</v>
      </c>
      <c r="G3460" s="1" t="str">
        <f>"0225W663"</f>
        <v>0225W663</v>
      </c>
      <c r="H3460" s="1" t="str">
        <f>"성지간 81R6"</f>
        <v>성지간 81R6</v>
      </c>
      <c r="I3460" s="1" t="s">
        <v>8</v>
      </c>
      <c r="J3460" s="1" t="str">
        <f>"53/53"</f>
        <v>53/53</v>
      </c>
      <c r="K3460" s="1" t="str">
        <f>"2026-07-29 13:18:01"</f>
        <v>2026-07-29 13:18:01</v>
      </c>
      <c r="L3460" s="1" t="str">
        <f>"2023-07-05 16:26:00"</f>
        <v>2023-07-05 16:26:00</v>
      </c>
      <c r="M3460" s="1" t="s">
        <v>45</v>
      </c>
      <c r="N3460" s="1" t="s">
        <v>38</v>
      </c>
      <c r="O3460" s="1" t="s">
        <v>46</v>
      </c>
    </row>
    <row r="3461" spans="2:15" x14ac:dyDescent="0.3">
      <c r="B3461" s="1" t="s">
        <v>23</v>
      </c>
      <c r="C3461" s="1" t="str">
        <f>"3차"</f>
        <v>3차</v>
      </c>
      <c r="D3461" s="1" t="str">
        <f>"0225W82339"</f>
        <v>0225W82339</v>
      </c>
      <c r="E3461" s="1" t="s">
        <v>10</v>
      </c>
      <c r="F3461" s="1" t="str">
        <f>"10.11.80.26"</f>
        <v>10.11.80.26</v>
      </c>
      <c r="G3461" s="1" t="str">
        <f>"0225W823"</f>
        <v>0225W823</v>
      </c>
      <c r="H3461" s="1" t="str">
        <f>"성지간 68R20R2"</f>
        <v>성지간 68R20R2</v>
      </c>
      <c r="I3461" s="1" t="s">
        <v>8</v>
      </c>
      <c r="J3461" s="1" t="str">
        <f>"23/23"</f>
        <v>23/23</v>
      </c>
      <c r="K3461" s="1" t="str">
        <f>"2026-07-29 13:18:02"</f>
        <v>2026-07-29 13:18:02</v>
      </c>
      <c r="L3461" s="1" t="str">
        <f>"2018-04-18 12:59:56"</f>
        <v>2018-04-18 12:59:56</v>
      </c>
      <c r="M3461" s="1" t="s">
        <v>2</v>
      </c>
      <c r="N3461" s="1" t="s">
        <v>38</v>
      </c>
      <c r="O3461" s="1" t="s">
        <v>46</v>
      </c>
    </row>
    <row r="3462" spans="2:15" x14ac:dyDescent="0.3">
      <c r="B3462" s="1" t="s">
        <v>23</v>
      </c>
      <c r="C3462" s="1" t="str">
        <f>"4차"</f>
        <v>4차</v>
      </c>
      <c r="D3462" s="1" t="str">
        <f>"0225W97339"</f>
        <v>0225W97339</v>
      </c>
      <c r="E3462" s="1" t="s">
        <v>10</v>
      </c>
      <c r="F3462" s="1" t="str">
        <f>"10.12.136.146"</f>
        <v>10.12.136.146</v>
      </c>
      <c r="G3462" s="1" t="str">
        <f>"0225W973"</f>
        <v>0225W973</v>
      </c>
      <c r="H3462" s="1" t="str">
        <f>"광나루 18-1"</f>
        <v>광나루 18-1</v>
      </c>
      <c r="I3462" s="1" t="s">
        <v>17</v>
      </c>
      <c r="J3462" s="1" t="str">
        <f>"1/1"</f>
        <v>1/1</v>
      </c>
      <c r="K3462" s="1" t="str">
        <f>"2026-07-29 13:18:03"</f>
        <v>2026-07-29 13:18:03</v>
      </c>
      <c r="L3462" s="1" t="str">
        <f>"2018-06-19 08:41:10"</f>
        <v>2018-06-19 08:41:10</v>
      </c>
      <c r="M3462" s="1" t="s">
        <v>0</v>
      </c>
      <c r="N3462" s="1" t="s">
        <v>38</v>
      </c>
      <c r="O3462" s="1" t="s">
        <v>46</v>
      </c>
    </row>
    <row r="3463" spans="2:15" x14ac:dyDescent="0.3">
      <c r="B3463" s="1" t="s">
        <v>23</v>
      </c>
      <c r="C3463" s="1" t="str">
        <f>"4차"</f>
        <v>4차</v>
      </c>
      <c r="D3463" s="1" t="str">
        <f>"0225X15341"</f>
        <v>0225X15341</v>
      </c>
      <c r="E3463" s="1" t="s">
        <v>10</v>
      </c>
      <c r="F3463" s="1" t="str">
        <f>"10.14.8.113"</f>
        <v>10.14.8.113</v>
      </c>
      <c r="G3463" s="1" t="str">
        <f>"0225X153"</f>
        <v>0225X153</v>
      </c>
      <c r="H3463" s="1" t="str">
        <f>"화성간 82R6"</f>
        <v>화성간 82R6</v>
      </c>
      <c r="I3463" s="1" t="s">
        <v>17</v>
      </c>
      <c r="J3463" s="1" t="str">
        <f>"22/22"</f>
        <v>22/22</v>
      </c>
      <c r="K3463" s="1" t="str">
        <f>"2026-07-29 13:18:03"</f>
        <v>2026-07-29 13:18:03</v>
      </c>
      <c r="L3463" s="1" t="str">
        <f>"2021-10-13 13:26:16"</f>
        <v>2021-10-13 13:26:16</v>
      </c>
      <c r="M3463" s="1" t="s">
        <v>3</v>
      </c>
      <c r="N3463" s="1" t="s">
        <v>38</v>
      </c>
      <c r="O3463" s="1" t="s">
        <v>46</v>
      </c>
    </row>
    <row r="3464" spans="2:15" x14ac:dyDescent="0.3">
      <c r="B3464" s="1" t="s">
        <v>23</v>
      </c>
      <c r="C3464" s="1" t="str">
        <f>"3차"</f>
        <v>3차</v>
      </c>
      <c r="D3464" s="1" t="str">
        <f>"0225X22139"</f>
        <v>0225X22139</v>
      </c>
      <c r="E3464" s="1" t="s">
        <v>10</v>
      </c>
      <c r="F3464" s="1" t="str">
        <f>"10.11.80.34"</f>
        <v>10.11.80.34</v>
      </c>
      <c r="G3464" s="1" t="str">
        <f>"0225X221"</f>
        <v>0225X221</v>
      </c>
      <c r="H3464" s="1" t="str">
        <f>"화성간 79"</f>
        <v>화성간 79</v>
      </c>
      <c r="I3464" s="1" t="s">
        <v>8</v>
      </c>
      <c r="J3464" s="1" t="str">
        <f>"33/33"</f>
        <v>33/33</v>
      </c>
      <c r="K3464" s="1" t="str">
        <f>"2026-07-29 13:18:02"</f>
        <v>2026-07-29 13:18:02</v>
      </c>
      <c r="L3464" s="1" t="str">
        <f>"2018-04-18 12:08:56"</f>
        <v>2018-04-18 12:08:56</v>
      </c>
      <c r="M3464" s="1" t="s">
        <v>2</v>
      </c>
      <c r="N3464" s="1" t="s">
        <v>38</v>
      </c>
      <c r="O3464" s="1" t="s">
        <v>46</v>
      </c>
    </row>
    <row r="3465" spans="2:15" x14ac:dyDescent="0.3">
      <c r="B3465" s="1" t="s">
        <v>23</v>
      </c>
      <c r="C3465" s="1" t="str">
        <f>"4차"</f>
        <v>4차</v>
      </c>
      <c r="D3465" s="1" t="str">
        <f>"0225X22344"</f>
        <v>0225X22344</v>
      </c>
      <c r="E3465" s="1" t="s">
        <v>10</v>
      </c>
      <c r="F3465" s="1" t="str">
        <f>"10.11.76.50"</f>
        <v>10.11.76.50</v>
      </c>
      <c r="G3465" s="1" t="str">
        <f>"0225X223"</f>
        <v>0225X223</v>
      </c>
      <c r="H3465" s="1" t="str">
        <f>"화성간 81"</f>
        <v>화성간 81</v>
      </c>
      <c r="I3465" s="1" t="s">
        <v>8</v>
      </c>
      <c r="J3465" s="1" t="str">
        <f>"19/19"</f>
        <v>19/19</v>
      </c>
      <c r="K3465" s="1" t="str">
        <f>"2026-07-29 13:18:02"</f>
        <v>2026-07-29 13:18:02</v>
      </c>
      <c r="L3465" s="1" t="str">
        <f>"2019-12-11 16:25:11"</f>
        <v>2019-12-11 16:25:11</v>
      </c>
      <c r="M3465" s="1" t="s">
        <v>2</v>
      </c>
      <c r="N3465" s="1" t="s">
        <v>38</v>
      </c>
      <c r="O3465" s="1" t="s">
        <v>46</v>
      </c>
    </row>
    <row r="3466" spans="2:15" x14ac:dyDescent="0.3">
      <c r="B3466" s="1" t="s">
        <v>23</v>
      </c>
      <c r="C3466" s="1" t="str">
        <f>"4차"</f>
        <v>4차</v>
      </c>
      <c r="D3466" s="1" t="str">
        <f>"0225X22444"</f>
        <v>0225X22444</v>
      </c>
      <c r="E3466" s="1" t="s">
        <v>10</v>
      </c>
      <c r="F3466" s="1" t="str">
        <f>"10.11.76.18"</f>
        <v>10.11.76.18</v>
      </c>
      <c r="G3466" s="1" t="str">
        <f>"0225X224"</f>
        <v>0225X224</v>
      </c>
      <c r="H3466" s="1" t="str">
        <f>"화성간 74L4"</f>
        <v>화성간 74L4</v>
      </c>
      <c r="I3466" s="1" t="s">
        <v>8</v>
      </c>
      <c r="J3466" s="1" t="str">
        <f>"34/34"</f>
        <v>34/34</v>
      </c>
      <c r="K3466" s="1" t="str">
        <f>"2026-07-29 13:18:02"</f>
        <v>2026-07-29 13:18:02</v>
      </c>
      <c r="L3466" s="1" t="str">
        <f>"2019-11-19 23:18:38"</f>
        <v>2019-11-19 23:18:38</v>
      </c>
      <c r="M3466" s="1" t="s">
        <v>2</v>
      </c>
      <c r="N3466" s="1" t="s">
        <v>38</v>
      </c>
      <c r="O3466" s="1" t="s">
        <v>46</v>
      </c>
    </row>
    <row r="3467" spans="2:15" x14ac:dyDescent="0.3">
      <c r="B3467" s="1" t="s">
        <v>23</v>
      </c>
      <c r="C3467" s="1" t="str">
        <f>"4차"</f>
        <v>4차</v>
      </c>
      <c r="D3467" s="1" t="str">
        <f>"0225X23244"</f>
        <v>0225X23244</v>
      </c>
      <c r="E3467" s="1" t="s">
        <v>10</v>
      </c>
      <c r="F3467" s="1" t="str">
        <f>"10.11.78.186"</f>
        <v>10.11.78.186</v>
      </c>
      <c r="G3467" s="1" t="str">
        <f>"0225X232"</f>
        <v>0225X232</v>
      </c>
      <c r="H3467" s="1" t="str">
        <f>"화성간 78R1"</f>
        <v>화성간 78R1</v>
      </c>
      <c r="I3467" s="1" t="s">
        <v>8</v>
      </c>
      <c r="J3467" s="1" t="str">
        <f>"18/18"</f>
        <v>18/18</v>
      </c>
      <c r="K3467" s="1" t="str">
        <f>"2026-07-29 13:18:02"</f>
        <v>2026-07-29 13:18:02</v>
      </c>
      <c r="L3467" s="1" t="str">
        <f>"2019-11-19 23:22:58"</f>
        <v>2019-11-19 23:22:58</v>
      </c>
      <c r="M3467" s="1" t="s">
        <v>2</v>
      </c>
      <c r="N3467" s="1" t="s">
        <v>38</v>
      </c>
      <c r="O3467" s="1" t="s">
        <v>46</v>
      </c>
    </row>
    <row r="3468" spans="2:15" x14ac:dyDescent="0.3">
      <c r="B3468" s="1" t="s">
        <v>23</v>
      </c>
      <c r="C3468" s="1" t="str">
        <f>"4차"</f>
        <v>4차</v>
      </c>
      <c r="D3468" s="1" t="str">
        <f>"0225X24144"</f>
        <v>0225X24144</v>
      </c>
      <c r="E3468" s="1" t="s">
        <v>10</v>
      </c>
      <c r="F3468" s="1" t="str">
        <f>"10.11.76.26"</f>
        <v>10.11.76.26</v>
      </c>
      <c r="G3468" s="1" t="str">
        <f>"0225X241"</f>
        <v>0225X241</v>
      </c>
      <c r="H3468" s="1" t="str">
        <f>"화성간 76A1"</f>
        <v>화성간 76A1</v>
      </c>
      <c r="I3468" s="1" t="s">
        <v>8</v>
      </c>
      <c r="J3468" s="1" t="str">
        <f>"44/44"</f>
        <v>44/44</v>
      </c>
      <c r="K3468" s="1" t="str">
        <f>"2026-07-29 13:18:02"</f>
        <v>2026-07-29 13:18:02</v>
      </c>
      <c r="L3468" s="1" t="str">
        <f>"2019-11-19 23:16:01"</f>
        <v>2019-11-19 23:16:01</v>
      </c>
      <c r="M3468" s="1" t="s">
        <v>2</v>
      </c>
      <c r="N3468" s="1" t="s">
        <v>38</v>
      </c>
      <c r="O3468" s="1" t="s">
        <v>46</v>
      </c>
    </row>
    <row r="3469" spans="2:15" x14ac:dyDescent="0.3">
      <c r="B3469" s="1" t="s">
        <v>23</v>
      </c>
      <c r="C3469" s="1" t="str">
        <f>"3차"</f>
        <v>3차</v>
      </c>
      <c r="D3469" s="1" t="str">
        <f>"0225X26139"</f>
        <v>0225X26139</v>
      </c>
      <c r="E3469" s="1" t="s">
        <v>14</v>
      </c>
      <c r="F3469" s="1" t="str">
        <f>"10.12.133.64"</f>
        <v>10.12.133.64</v>
      </c>
      <c r="G3469" s="1" t="str">
        <f>"0225X261"</f>
        <v>0225X261</v>
      </c>
      <c r="H3469" s="1" t="str">
        <f>"광나루 24-5"</f>
        <v>광나루 24-5</v>
      </c>
      <c r="I3469" s="1" t="s">
        <v>17</v>
      </c>
      <c r="J3469" s="1" t="str">
        <f>"0/0"</f>
        <v>0/0</v>
      </c>
      <c r="K3469" s="1" t="str">
        <f>"2025-10-24 01:21:02"</f>
        <v>2025-10-24 01:21:02</v>
      </c>
      <c r="L3469" s="1" t="str">
        <f>"2018-06-19 08:53:25"</f>
        <v>2018-06-19 08:53:25</v>
      </c>
      <c r="M3469" s="1" t="s">
        <v>0</v>
      </c>
      <c r="N3469" s="1" t="s">
        <v>39</v>
      </c>
      <c r="O3469" s="1" t="s">
        <v>46</v>
      </c>
    </row>
    <row r="3470" spans="2:15" x14ac:dyDescent="0.3">
      <c r="B3470" s="1" t="s">
        <v>23</v>
      </c>
      <c r="C3470" s="1" t="str">
        <f>"4차"</f>
        <v>4차</v>
      </c>
      <c r="D3470" s="1" t="str">
        <f>"0225X31244"</f>
        <v>0225X31244</v>
      </c>
      <c r="E3470" s="1" t="s">
        <v>10</v>
      </c>
      <c r="F3470" s="1" t="str">
        <f>"10.11.76.10"</f>
        <v>10.11.76.10</v>
      </c>
      <c r="G3470" s="1" t="str">
        <f>"0225X312"</f>
        <v>0225X312</v>
      </c>
      <c r="H3470" s="1" t="str">
        <f>"화성간 74L2"</f>
        <v>화성간 74L2</v>
      </c>
      <c r="I3470" s="1" t="s">
        <v>8</v>
      </c>
      <c r="J3470" s="1" t="str">
        <f>"38/45"</f>
        <v>38/45</v>
      </c>
      <c r="K3470" s="1" t="str">
        <f>"2026-07-29 13:18:01"</f>
        <v>2026-07-29 13:18:01</v>
      </c>
      <c r="L3470" s="1" t="str">
        <f>"2019-11-19 23:15:30"</f>
        <v>2019-11-19 23:15:30</v>
      </c>
      <c r="M3470" s="1" t="s">
        <v>2</v>
      </c>
      <c r="N3470" s="1" t="s">
        <v>38</v>
      </c>
      <c r="O3470" s="1" t="s">
        <v>46</v>
      </c>
    </row>
    <row r="3471" spans="2:15" x14ac:dyDescent="0.3">
      <c r="B3471" s="1" t="s">
        <v>23</v>
      </c>
      <c r="C3471" s="1" t="str">
        <f>"3차"</f>
        <v>3차</v>
      </c>
      <c r="D3471" s="1" t="str">
        <f>"0225X33139"</f>
        <v>0225X33139</v>
      </c>
      <c r="E3471" s="1" t="s">
        <v>10</v>
      </c>
      <c r="F3471" s="1" t="str">
        <f>"10.11.80.42"</f>
        <v>10.11.80.42</v>
      </c>
      <c r="G3471" s="1" t="str">
        <f>"0225X331"</f>
        <v>0225X331</v>
      </c>
      <c r="H3471" s="1" t="str">
        <f>"화성간 75"</f>
        <v>화성간 75</v>
      </c>
      <c r="I3471" s="1" t="s">
        <v>8</v>
      </c>
      <c r="J3471" s="1" t="str">
        <f>"42/42"</f>
        <v>42/42</v>
      </c>
      <c r="K3471" s="1" t="str">
        <f>"2026-07-29 13:18:01"</f>
        <v>2026-07-29 13:18:01</v>
      </c>
      <c r="L3471" s="1" t="str">
        <f>"2018-04-18 11:38:40"</f>
        <v>2018-04-18 11:38:40</v>
      </c>
      <c r="M3471" s="1" t="s">
        <v>2</v>
      </c>
      <c r="N3471" s="1" t="s">
        <v>38</v>
      </c>
      <c r="O3471" s="1" t="s">
        <v>46</v>
      </c>
    </row>
    <row r="3472" spans="2:15" x14ac:dyDescent="0.3">
      <c r="B3472" s="1" t="s">
        <v>23</v>
      </c>
      <c r="C3472" s="1" t="str">
        <f>"4차"</f>
        <v>4차</v>
      </c>
      <c r="D3472" s="1" t="str">
        <f>"0225X33344"</f>
        <v>0225X33344</v>
      </c>
      <c r="E3472" s="1" t="s">
        <v>10</v>
      </c>
      <c r="F3472" s="1" t="str">
        <f>"10.11.76.42"</f>
        <v>10.11.76.42</v>
      </c>
      <c r="G3472" s="1" t="str">
        <f>"0225X333"</f>
        <v>0225X333</v>
      </c>
      <c r="H3472" s="1" t="str">
        <f>"화성간 77"</f>
        <v>화성간 77</v>
      </c>
      <c r="I3472" s="1" t="s">
        <v>8</v>
      </c>
      <c r="J3472" s="1" t="str">
        <f>"29/29"</f>
        <v>29/29</v>
      </c>
      <c r="K3472" s="1" t="str">
        <f>"2026-07-29 13:18:02"</f>
        <v>2026-07-29 13:18:02</v>
      </c>
      <c r="L3472" s="1" t="str">
        <f>"2019-11-19 23:22:23"</f>
        <v>2019-11-19 23:22:23</v>
      </c>
      <c r="M3472" s="1" t="s">
        <v>2</v>
      </c>
      <c r="N3472" s="1" t="s">
        <v>38</v>
      </c>
      <c r="O3472" s="1" t="s">
        <v>46</v>
      </c>
    </row>
    <row r="3473" spans="2:15" x14ac:dyDescent="0.3">
      <c r="B3473" s="1" t="s">
        <v>23</v>
      </c>
      <c r="C3473" s="1" t="str">
        <f>"4차"</f>
        <v>4차</v>
      </c>
      <c r="D3473" s="1" t="str">
        <f>"0225X34144"</f>
        <v>0225X34144</v>
      </c>
      <c r="E3473" s="1" t="s">
        <v>10</v>
      </c>
      <c r="F3473" s="1" t="str">
        <f>"10.11.78.178"</f>
        <v>10.11.78.178</v>
      </c>
      <c r="G3473" s="1" t="str">
        <f>"0225X341"</f>
        <v>0225X341</v>
      </c>
      <c r="H3473" s="1" t="str">
        <f>"화성간 76R1"</f>
        <v>화성간 76R1</v>
      </c>
      <c r="I3473" s="1" t="s">
        <v>8</v>
      </c>
      <c r="J3473" s="1" t="str">
        <f>"20/20"</f>
        <v>20/20</v>
      </c>
      <c r="K3473" s="1" t="str">
        <f>"2026-07-29 13:18:02"</f>
        <v>2026-07-29 13:18:02</v>
      </c>
      <c r="L3473" s="1" t="str">
        <f>"2019-11-19 23:16:13"</f>
        <v>2019-11-19 23:16:13</v>
      </c>
      <c r="M3473" s="1" t="s">
        <v>2</v>
      </c>
      <c r="N3473" s="1" t="s">
        <v>38</v>
      </c>
      <c r="O3473" s="1" t="s">
        <v>46</v>
      </c>
    </row>
    <row r="3474" spans="2:15" x14ac:dyDescent="0.3">
      <c r="B3474" s="1" t="s">
        <v>23</v>
      </c>
      <c r="C3474" s="1" t="str">
        <f>"4차"</f>
        <v>4차</v>
      </c>
      <c r="D3474" s="1" t="str">
        <f>"0225X34244"</f>
        <v>0225X34244</v>
      </c>
      <c r="E3474" s="1" t="s">
        <v>10</v>
      </c>
      <c r="F3474" s="1" t="str">
        <f>"10.11.76.34"</f>
        <v>10.11.76.34</v>
      </c>
      <c r="G3474" s="1" t="str">
        <f>"0225X342"</f>
        <v>0225X342</v>
      </c>
      <c r="H3474" s="1" t="str">
        <f>"화성간 76R2"</f>
        <v>화성간 76R2</v>
      </c>
      <c r="I3474" s="1" t="s">
        <v>8</v>
      </c>
      <c r="J3474" s="1" t="str">
        <f>"44/44"</f>
        <v>44/44</v>
      </c>
      <c r="K3474" s="1" t="str">
        <f>"2026-07-29 13:18:01"</f>
        <v>2026-07-29 13:18:01</v>
      </c>
      <c r="L3474" s="1" t="str">
        <f>"2019-11-19 23:21:53"</f>
        <v>2019-11-19 23:21:53</v>
      </c>
      <c r="M3474" s="1" t="s">
        <v>2</v>
      </c>
      <c r="N3474" s="1" t="s">
        <v>38</v>
      </c>
      <c r="O3474" s="1" t="s">
        <v>46</v>
      </c>
    </row>
    <row r="3475" spans="2:15" x14ac:dyDescent="0.3">
      <c r="B3475" s="1" t="s">
        <v>23</v>
      </c>
      <c r="C3475" s="1" t="str">
        <f>"4차"</f>
        <v>4차</v>
      </c>
      <c r="D3475" s="1" t="str">
        <f>"0225X36139"</f>
        <v>0225X36139</v>
      </c>
      <c r="E3475" s="1" t="s">
        <v>10</v>
      </c>
      <c r="F3475" s="1" t="str">
        <f>"10.12.131.149"</f>
        <v>10.12.131.149</v>
      </c>
      <c r="G3475" s="1" t="str">
        <f>"0225X361"</f>
        <v>0225X361</v>
      </c>
      <c r="H3475" s="1" t="str">
        <f>"광나루 25-4"</f>
        <v>광나루 25-4</v>
      </c>
      <c r="I3475" s="1" t="s">
        <v>17</v>
      </c>
      <c r="J3475" s="1" t="str">
        <f>"1/1"</f>
        <v>1/1</v>
      </c>
      <c r="K3475" s="1" t="str">
        <f>"2026-07-28 20:03:41"</f>
        <v>2026-07-28 20:03:41</v>
      </c>
      <c r="L3475" s="1" t="str">
        <f>"2018-06-19 12:28:34"</f>
        <v>2018-06-19 12:28:34</v>
      </c>
      <c r="M3475" s="1" t="s">
        <v>0</v>
      </c>
      <c r="N3475" s="1" t="s">
        <v>38</v>
      </c>
      <c r="O3475" s="1" t="s">
        <v>46</v>
      </c>
    </row>
    <row r="3476" spans="2:15" x14ac:dyDescent="0.3">
      <c r="B3476" s="1" t="s">
        <v>23</v>
      </c>
      <c r="C3476" s="1" t="str">
        <f>"4차"</f>
        <v>4차</v>
      </c>
      <c r="D3476" s="1" t="str">
        <f>"0225X42144"</f>
        <v>0225X42144</v>
      </c>
      <c r="E3476" s="1" t="s">
        <v>10</v>
      </c>
      <c r="F3476" s="1" t="str">
        <f>"10.11.75.234"</f>
        <v>10.11.75.234</v>
      </c>
      <c r="G3476" s="1" t="str">
        <f>"0225X421"</f>
        <v>0225X421</v>
      </c>
      <c r="H3476" s="1" t="str">
        <f>"화성간 73"</f>
        <v>화성간 73</v>
      </c>
      <c r="I3476" s="1" t="s">
        <v>8</v>
      </c>
      <c r="J3476" s="1" t="str">
        <f>"18/18"</f>
        <v>18/18</v>
      </c>
      <c r="K3476" s="1" t="str">
        <f>"2026-07-29 13:18:02"</f>
        <v>2026-07-29 13:18:02</v>
      </c>
      <c r="L3476" s="1" t="str">
        <f>"2019-11-19 23:15:30"</f>
        <v>2019-11-19 23:15:30</v>
      </c>
      <c r="M3476" s="1" t="s">
        <v>2</v>
      </c>
      <c r="N3476" s="1" t="s">
        <v>38</v>
      </c>
      <c r="O3476" s="1" t="s">
        <v>46</v>
      </c>
    </row>
    <row r="3477" spans="2:15" x14ac:dyDescent="0.3">
      <c r="B3477" s="1" t="s">
        <v>23</v>
      </c>
      <c r="C3477" s="1" t="str">
        <f>"3차"</f>
        <v>3차</v>
      </c>
      <c r="D3477" s="1" t="str">
        <f>"0225X44139"</f>
        <v>0225X44139</v>
      </c>
      <c r="E3477" s="1" t="s">
        <v>10</v>
      </c>
      <c r="F3477" s="1" t="str">
        <f>"10.11.80.50"</f>
        <v>10.11.80.50</v>
      </c>
      <c r="G3477" s="1" t="str">
        <f>"0225X441"</f>
        <v>0225X441</v>
      </c>
      <c r="H3477" s="1" t="str">
        <f>"화성간 73R2L4"</f>
        <v>화성간 73R2L4</v>
      </c>
      <c r="I3477" s="1" t="s">
        <v>8</v>
      </c>
      <c r="J3477" s="1" t="str">
        <f>"12/12"</f>
        <v>12/12</v>
      </c>
      <c r="K3477" s="1" t="str">
        <f>"2026-07-29 13:18:01"</f>
        <v>2026-07-29 13:18:01</v>
      </c>
      <c r="L3477" s="1" t="str">
        <f>"2018-04-18 11:17:56"</f>
        <v>2018-04-18 11:17:56</v>
      </c>
      <c r="M3477" s="1" t="s">
        <v>2</v>
      </c>
      <c r="N3477" s="1" t="s">
        <v>38</v>
      </c>
      <c r="O3477" s="1" t="s">
        <v>46</v>
      </c>
    </row>
    <row r="3478" spans="2:15" x14ac:dyDescent="0.3">
      <c r="B3478" s="1" t="s">
        <v>23</v>
      </c>
      <c r="C3478" s="1" t="str">
        <f t="shared" ref="C3478:C3494" si="197">"4차"</f>
        <v>4차</v>
      </c>
      <c r="D3478" s="1" t="str">
        <f>"0225X45139"</f>
        <v>0225X45139</v>
      </c>
      <c r="E3478" s="1" t="s">
        <v>10</v>
      </c>
      <c r="F3478" s="1" t="str">
        <f>"10.12.131.146"</f>
        <v>10.12.131.146</v>
      </c>
      <c r="G3478" s="1" t="str">
        <f>"0225X451"</f>
        <v>0225X451</v>
      </c>
      <c r="H3478" s="1" t="str">
        <f>"광나루 25-3"</f>
        <v>광나루 25-3</v>
      </c>
      <c r="I3478" s="1" t="s">
        <v>17</v>
      </c>
      <c r="J3478" s="1" t="str">
        <f>"1/1"</f>
        <v>1/1</v>
      </c>
      <c r="K3478" s="1" t="str">
        <f>"2026-07-29 13:18:03"</f>
        <v>2026-07-29 13:18:03</v>
      </c>
      <c r="L3478" s="1" t="str">
        <f>"2018-06-19 12:17:19"</f>
        <v>2018-06-19 12:17:19</v>
      </c>
      <c r="M3478" s="1" t="s">
        <v>0</v>
      </c>
      <c r="N3478" s="1" t="s">
        <v>38</v>
      </c>
      <c r="O3478" s="1" t="s">
        <v>46</v>
      </c>
    </row>
    <row r="3479" spans="2:15" x14ac:dyDescent="0.3">
      <c r="B3479" s="1" t="s">
        <v>23</v>
      </c>
      <c r="C3479" s="1" t="str">
        <f t="shared" si="197"/>
        <v>4차</v>
      </c>
      <c r="D3479" s="1" t="str">
        <f>"0225X45239"</f>
        <v>0225X45239</v>
      </c>
      <c r="E3479" s="1" t="s">
        <v>10</v>
      </c>
      <c r="F3479" s="1" t="str">
        <f>"10.12.134.22"</f>
        <v>10.12.134.22</v>
      </c>
      <c r="G3479" s="1" t="str">
        <f>"0225X452"</f>
        <v>0225X452</v>
      </c>
      <c r="H3479" s="1" t="str">
        <f>"광나루 24-3"</f>
        <v>광나루 24-3</v>
      </c>
      <c r="I3479" s="1" t="s">
        <v>17</v>
      </c>
      <c r="J3479" s="1" t="str">
        <f>"3/3"</f>
        <v>3/3</v>
      </c>
      <c r="K3479" s="1" t="str">
        <f>"2026-07-29 13:18:02"</f>
        <v>2026-07-29 13:18:02</v>
      </c>
      <c r="L3479" s="1" t="str">
        <f>"2018-06-19 09:03:43"</f>
        <v>2018-06-19 09:03:43</v>
      </c>
      <c r="M3479" s="1" t="s">
        <v>0</v>
      </c>
      <c r="N3479" s="1" t="s">
        <v>38</v>
      </c>
      <c r="O3479" s="1" t="s">
        <v>46</v>
      </c>
    </row>
    <row r="3480" spans="2:15" x14ac:dyDescent="0.3">
      <c r="B3480" s="1" t="s">
        <v>23</v>
      </c>
      <c r="C3480" s="1" t="str">
        <f t="shared" si="197"/>
        <v>4차</v>
      </c>
      <c r="D3480" s="1" t="str">
        <f>"0225X45339"</f>
        <v>0225X45339</v>
      </c>
      <c r="E3480" s="1" t="s">
        <v>10</v>
      </c>
      <c r="F3480" s="1" t="str">
        <f>"10.12.134.39"</f>
        <v>10.12.134.39</v>
      </c>
      <c r="G3480" s="1" t="str">
        <f>"0225X453"</f>
        <v>0225X453</v>
      </c>
      <c r="H3480" s="1" t="str">
        <f>"광나루 24-4"</f>
        <v>광나루 24-4</v>
      </c>
      <c r="I3480" s="1" t="s">
        <v>17</v>
      </c>
      <c r="J3480" s="1" t="str">
        <f>"2/2"</f>
        <v>2/2</v>
      </c>
      <c r="K3480" s="1" t="str">
        <f>"2026-07-29 13:18:03"</f>
        <v>2026-07-29 13:18:03</v>
      </c>
      <c r="L3480" s="1" t="str">
        <f>"2018-07-12 17:59:50"</f>
        <v>2018-07-12 17:59:50</v>
      </c>
      <c r="M3480" s="1" t="s">
        <v>0</v>
      </c>
      <c r="N3480" s="1" t="s">
        <v>38</v>
      </c>
      <c r="O3480" s="1" t="s">
        <v>46</v>
      </c>
    </row>
    <row r="3481" spans="2:15" x14ac:dyDescent="0.3">
      <c r="B3481" s="1" t="s">
        <v>23</v>
      </c>
      <c r="C3481" s="1" t="str">
        <f t="shared" si="197"/>
        <v>4차</v>
      </c>
      <c r="D3481" s="1" t="str">
        <f>"0225X50144"</f>
        <v>0225X50144</v>
      </c>
      <c r="E3481" s="1" t="s">
        <v>10</v>
      </c>
      <c r="F3481" s="1" t="str">
        <f>"10.11.75.226"</f>
        <v>10.11.75.226</v>
      </c>
      <c r="G3481" s="1" t="str">
        <f>"0225X501"</f>
        <v>0225X501</v>
      </c>
      <c r="H3481" s="1" t="str">
        <f>"화성간 70"</f>
        <v>화성간 70</v>
      </c>
      <c r="I3481" s="1" t="s">
        <v>8</v>
      </c>
      <c r="J3481" s="1" t="str">
        <f>"23/23"</f>
        <v>23/23</v>
      </c>
      <c r="K3481" s="1" t="str">
        <f>"2026-07-29 13:18:01"</f>
        <v>2026-07-29 13:18:01</v>
      </c>
      <c r="L3481" s="1" t="str">
        <f>"2019-11-19 23:15:06"</f>
        <v>2019-11-19 23:15:06</v>
      </c>
      <c r="M3481" s="1" t="s">
        <v>2</v>
      </c>
      <c r="N3481" s="1" t="s">
        <v>38</v>
      </c>
      <c r="O3481" s="1" t="s">
        <v>46</v>
      </c>
    </row>
    <row r="3482" spans="2:15" x14ac:dyDescent="0.3">
      <c r="B3482" s="1" t="s">
        <v>23</v>
      </c>
      <c r="C3482" s="1" t="str">
        <f t="shared" si="197"/>
        <v>4차</v>
      </c>
      <c r="D3482" s="1" t="str">
        <f>"0225X52544"</f>
        <v>0225X52544</v>
      </c>
      <c r="E3482" s="1" t="s">
        <v>10</v>
      </c>
      <c r="F3482" s="1" t="str">
        <f>"10.11.75.250"</f>
        <v>10.11.75.250</v>
      </c>
      <c r="G3482" s="1" t="str">
        <f>"0225X525"</f>
        <v>0225X525</v>
      </c>
      <c r="H3482" s="1" t="str">
        <f>"화성간 73R2L1"</f>
        <v>화성간 73R2L1</v>
      </c>
      <c r="I3482" s="1" t="s">
        <v>8</v>
      </c>
      <c r="J3482" s="1" t="str">
        <f>"14/15"</f>
        <v>14/15</v>
      </c>
      <c r="K3482" s="1" t="str">
        <f>"2026-07-29 13:18:02"</f>
        <v>2026-07-29 13:18:02</v>
      </c>
      <c r="L3482" s="1" t="str">
        <f>"2019-11-19 23:15:49"</f>
        <v>2019-11-19 23:15:49</v>
      </c>
      <c r="M3482" s="1" t="s">
        <v>2</v>
      </c>
      <c r="N3482" s="1" t="s">
        <v>38</v>
      </c>
      <c r="O3482" s="1" t="s">
        <v>46</v>
      </c>
    </row>
    <row r="3483" spans="2:15" x14ac:dyDescent="0.3">
      <c r="B3483" s="1" t="s">
        <v>23</v>
      </c>
      <c r="C3483" s="1" t="str">
        <f t="shared" si="197"/>
        <v>4차</v>
      </c>
      <c r="D3483" s="1" t="str">
        <f>"0225X64139"</f>
        <v>0225X64139</v>
      </c>
      <c r="E3483" s="1" t="s">
        <v>14</v>
      </c>
      <c r="F3483" s="1" t="str">
        <f>"10.12.133.80"</f>
        <v>10.12.133.80</v>
      </c>
      <c r="G3483" s="1" t="str">
        <f>"0225X641"</f>
        <v>0225X641</v>
      </c>
      <c r="H3483" s="1" t="str">
        <f>"광나루 25-2"</f>
        <v>광나루 25-2</v>
      </c>
      <c r="I3483" s="1" t="s">
        <v>17</v>
      </c>
      <c r="J3483" s="1" t="str">
        <f>"0/0"</f>
        <v>0/0</v>
      </c>
      <c r="K3483" s="1" t="str">
        <f>"2026-06-10 07:18:01"</f>
        <v>2026-06-10 07:18:01</v>
      </c>
      <c r="L3483" s="1" t="str">
        <f>"2018-06-19 12:17:36"</f>
        <v>2018-06-19 12:17:36</v>
      </c>
      <c r="M3483" s="1" t="s">
        <v>0</v>
      </c>
      <c r="N3483" s="1" t="s">
        <v>39</v>
      </c>
      <c r="O3483" s="1" t="s">
        <v>46</v>
      </c>
    </row>
    <row r="3484" spans="2:15" x14ac:dyDescent="0.3">
      <c r="B3484" s="1" t="s">
        <v>23</v>
      </c>
      <c r="C3484" s="1" t="str">
        <f t="shared" si="197"/>
        <v>4차</v>
      </c>
      <c r="D3484" s="1" t="str">
        <f>"0225X72144"</f>
        <v>0225X72144</v>
      </c>
      <c r="E3484" s="1" t="s">
        <v>10</v>
      </c>
      <c r="F3484" s="1" t="str">
        <f>"10.11.75.194"</f>
        <v>10.11.75.194</v>
      </c>
      <c r="G3484" s="1" t="str">
        <f>"0225X721"</f>
        <v>0225X721</v>
      </c>
      <c r="H3484" s="1" t="str">
        <f>"화성간 68R3"</f>
        <v>화성간 68R3</v>
      </c>
      <c r="I3484" s="1" t="s">
        <v>8</v>
      </c>
      <c r="J3484" s="1" t="str">
        <f>"38/38"</f>
        <v>38/38</v>
      </c>
      <c r="K3484" s="1" t="str">
        <f>"2026-07-29 13:18:01"</f>
        <v>2026-07-29 13:18:01</v>
      </c>
      <c r="L3484" s="1" t="str">
        <f>"2019-11-19 09:13:04"</f>
        <v>2019-11-19 09:13:04</v>
      </c>
      <c r="M3484" s="1" t="s">
        <v>2</v>
      </c>
      <c r="N3484" s="1" t="s">
        <v>38</v>
      </c>
      <c r="O3484" s="1" t="s">
        <v>46</v>
      </c>
    </row>
    <row r="3485" spans="2:15" x14ac:dyDescent="0.3">
      <c r="B3485" s="1" t="s">
        <v>23</v>
      </c>
      <c r="C3485" s="1" t="str">
        <f t="shared" si="197"/>
        <v>4차</v>
      </c>
      <c r="D3485" s="1" t="str">
        <f>"0225X72244"</f>
        <v>0225X72244</v>
      </c>
      <c r="E3485" s="1" t="s">
        <v>10</v>
      </c>
      <c r="F3485" s="1" t="str">
        <f>"10.11.78.162"</f>
        <v>10.11.78.162</v>
      </c>
      <c r="G3485" s="1" t="str">
        <f>"0225X722"</f>
        <v>0225X722</v>
      </c>
      <c r="H3485" s="1" t="str">
        <f>"화성간 68R4"</f>
        <v>화성간 68R4</v>
      </c>
      <c r="I3485" s="1" t="s">
        <v>8</v>
      </c>
      <c r="J3485" s="1" t="str">
        <f>"17/17"</f>
        <v>17/17</v>
      </c>
      <c r="K3485" s="1" t="str">
        <f>"2026-07-29 13:18:01"</f>
        <v>2026-07-29 13:18:01</v>
      </c>
      <c r="L3485" s="1" t="str">
        <f>"2019-11-19 09:19:40"</f>
        <v>2019-11-19 09:19:40</v>
      </c>
      <c r="M3485" s="1" t="s">
        <v>2</v>
      </c>
      <c r="N3485" s="1" t="s">
        <v>38</v>
      </c>
      <c r="O3485" s="1" t="s">
        <v>46</v>
      </c>
    </row>
    <row r="3486" spans="2:15" x14ac:dyDescent="0.3">
      <c r="B3486" s="1" t="s">
        <v>23</v>
      </c>
      <c r="C3486" s="1" t="str">
        <f t="shared" si="197"/>
        <v>4차</v>
      </c>
      <c r="D3486" s="1" t="str">
        <f>"0225X74139"</f>
        <v>0225X74139</v>
      </c>
      <c r="E3486" s="1" t="s">
        <v>10</v>
      </c>
      <c r="F3486" s="1" t="str">
        <f>"10.12.133.63"</f>
        <v>10.12.133.63</v>
      </c>
      <c r="G3486" s="1" t="str">
        <f>"0225X741"</f>
        <v>0225X741</v>
      </c>
      <c r="H3486" s="1" t="str">
        <f>"광나루 25-1"</f>
        <v>광나루 25-1</v>
      </c>
      <c r="I3486" s="1" t="s">
        <v>17</v>
      </c>
      <c r="J3486" s="1" t="str">
        <f>"1/1"</f>
        <v>1/1</v>
      </c>
      <c r="K3486" s="1" t="str">
        <f>"2026-07-29 13:18:01"</f>
        <v>2026-07-29 13:18:01</v>
      </c>
      <c r="L3486" s="1" t="str">
        <f>"2018-06-19 11:56:33"</f>
        <v>2018-06-19 11:56:33</v>
      </c>
      <c r="M3486" s="1" t="s">
        <v>0</v>
      </c>
      <c r="N3486" s="1" t="s">
        <v>38</v>
      </c>
      <c r="O3486" s="1" t="s">
        <v>46</v>
      </c>
    </row>
    <row r="3487" spans="2:15" x14ac:dyDescent="0.3">
      <c r="B3487" s="1" t="s">
        <v>23</v>
      </c>
      <c r="C3487" s="1" t="str">
        <f t="shared" si="197"/>
        <v>4차</v>
      </c>
      <c r="D3487" s="1" t="str">
        <f>"0225X81144"</f>
        <v>0225X81144</v>
      </c>
      <c r="E3487" s="1" t="s">
        <v>10</v>
      </c>
      <c r="F3487" s="1" t="str">
        <f>"10.11.75.210"</f>
        <v>10.11.75.210</v>
      </c>
      <c r="G3487" s="1" t="str">
        <f>"0225X811"</f>
        <v>0225X811</v>
      </c>
      <c r="H3487" s="1" t="str">
        <f>"화성간 68R6"</f>
        <v>화성간 68R6</v>
      </c>
      <c r="I3487" s="1" t="s">
        <v>8</v>
      </c>
      <c r="J3487" s="1" t="str">
        <f>"25/25"</f>
        <v>25/25</v>
      </c>
      <c r="K3487" s="1" t="str">
        <f>"2026-07-29 13:18:01"</f>
        <v>2026-07-29 13:18:01</v>
      </c>
      <c r="L3487" s="1" t="str">
        <f>"2019-11-19 23:13:27"</f>
        <v>2019-11-19 23:13:27</v>
      </c>
      <c r="M3487" s="1" t="s">
        <v>2</v>
      </c>
      <c r="N3487" s="1" t="s">
        <v>38</v>
      </c>
      <c r="O3487" s="1" t="s">
        <v>46</v>
      </c>
    </row>
    <row r="3488" spans="2:15" x14ac:dyDescent="0.3">
      <c r="B3488" s="1" t="s">
        <v>23</v>
      </c>
      <c r="C3488" s="1" t="str">
        <f t="shared" si="197"/>
        <v>4차</v>
      </c>
      <c r="D3488" s="1" t="str">
        <f>"0225X81244"</f>
        <v>0225X81244</v>
      </c>
      <c r="E3488" s="1" t="s">
        <v>10</v>
      </c>
      <c r="F3488" s="1" t="str">
        <f>"10.11.75.178"</f>
        <v>10.11.75.178</v>
      </c>
      <c r="G3488" s="1" t="str">
        <f>"0225X812"</f>
        <v>0225X812</v>
      </c>
      <c r="H3488" s="1" t="str">
        <f>"화성간 68R2R2"</f>
        <v>화성간 68R2R2</v>
      </c>
      <c r="I3488" s="1" t="s">
        <v>8</v>
      </c>
      <c r="J3488" s="1" t="str">
        <f>"25/25"</f>
        <v>25/25</v>
      </c>
      <c r="K3488" s="1" t="str">
        <f>"2026-07-29 13:18:02"</f>
        <v>2026-07-29 13:18:02</v>
      </c>
      <c r="L3488" s="1" t="str">
        <f>"2019-11-19 09:13:04"</f>
        <v>2019-11-19 09:13:04</v>
      </c>
      <c r="M3488" s="1" t="s">
        <v>2</v>
      </c>
      <c r="N3488" s="1" t="s">
        <v>38</v>
      </c>
      <c r="O3488" s="1" t="s">
        <v>46</v>
      </c>
    </row>
    <row r="3489" spans="2:15" x14ac:dyDescent="0.3">
      <c r="B3489" s="1" t="s">
        <v>23</v>
      </c>
      <c r="C3489" s="1" t="str">
        <f t="shared" si="197"/>
        <v>4차</v>
      </c>
      <c r="D3489" s="1" t="str">
        <f>"0225X81344"</f>
        <v>0225X81344</v>
      </c>
      <c r="E3489" s="1" t="s">
        <v>10</v>
      </c>
      <c r="F3489" s="1" t="str">
        <f>"10.11.75.186"</f>
        <v>10.11.75.186</v>
      </c>
      <c r="G3489" s="1" t="str">
        <f>"0225X813"</f>
        <v>0225X813</v>
      </c>
      <c r="H3489" s="1" t="str">
        <f>"화성간 68R2R3"</f>
        <v>화성간 68R2R3</v>
      </c>
      <c r="I3489" s="1" t="s">
        <v>8</v>
      </c>
      <c r="J3489" s="1" t="str">
        <f>"42/42"</f>
        <v>42/42</v>
      </c>
      <c r="K3489" s="1" t="str">
        <f>"2026-07-29 13:18:02"</f>
        <v>2026-07-29 13:18:02</v>
      </c>
      <c r="L3489" s="1" t="str">
        <f>"2019-11-19 09:13:04"</f>
        <v>2019-11-19 09:13:04</v>
      </c>
      <c r="M3489" s="1" t="s">
        <v>2</v>
      </c>
      <c r="N3489" s="1" t="s">
        <v>38</v>
      </c>
      <c r="O3489" s="1" t="s">
        <v>46</v>
      </c>
    </row>
    <row r="3490" spans="2:15" x14ac:dyDescent="0.3">
      <c r="B3490" s="1" t="s">
        <v>23</v>
      </c>
      <c r="C3490" s="1" t="str">
        <f t="shared" si="197"/>
        <v>4차</v>
      </c>
      <c r="D3490" s="1" t="str">
        <f>"0225X82444"</f>
        <v>0225X82444</v>
      </c>
      <c r="E3490" s="1" t="s">
        <v>10</v>
      </c>
      <c r="F3490" s="1" t="str">
        <f>"10.11.75.202"</f>
        <v>10.11.75.202</v>
      </c>
      <c r="G3490" s="1" t="str">
        <f>"0225X824"</f>
        <v>0225X824</v>
      </c>
      <c r="H3490" s="1" t="str">
        <f>"화성간 68R5"</f>
        <v>화성간 68R5</v>
      </c>
      <c r="I3490" s="1" t="s">
        <v>8</v>
      </c>
      <c r="J3490" s="1" t="str">
        <f>"56/56"</f>
        <v>56/56</v>
      </c>
      <c r="K3490" s="1" t="str">
        <f>"2026-07-29 13:18:01"</f>
        <v>2026-07-29 13:18:01</v>
      </c>
      <c r="L3490" s="1" t="str">
        <f>"2021-07-28 16:41:33"</f>
        <v>2021-07-28 16:41:33</v>
      </c>
      <c r="M3490" s="1" t="s">
        <v>2</v>
      </c>
      <c r="N3490" s="1" t="s">
        <v>38</v>
      </c>
      <c r="O3490" s="1" t="s">
        <v>46</v>
      </c>
    </row>
    <row r="3491" spans="2:15" x14ac:dyDescent="0.3">
      <c r="B3491" s="1" t="s">
        <v>23</v>
      </c>
      <c r="C3491" s="1" t="str">
        <f t="shared" si="197"/>
        <v>4차</v>
      </c>
      <c r="D3491" s="1" t="str">
        <f>"0225X83239"</f>
        <v>0225X83239</v>
      </c>
      <c r="E3491" s="1" t="s">
        <v>10</v>
      </c>
      <c r="F3491" s="1" t="str">
        <f>"10.12.137.75"</f>
        <v>10.12.137.75</v>
      </c>
      <c r="G3491" s="1" t="str">
        <f>"0225X832"</f>
        <v>0225X832</v>
      </c>
      <c r="H3491" s="1" t="str">
        <f>"광나루 27-4"</f>
        <v>광나루 27-4</v>
      </c>
      <c r="I3491" s="1" t="s">
        <v>17</v>
      </c>
      <c r="J3491" s="1" t="str">
        <f>"1/1"</f>
        <v>1/1</v>
      </c>
      <c r="K3491" s="1" t="str">
        <f>"2026-07-29 13:18:01"</f>
        <v>2026-07-29 13:18:01</v>
      </c>
      <c r="L3491" s="1" t="str">
        <f>"2018-06-19 11:47:03"</f>
        <v>2018-06-19 11:47:03</v>
      </c>
      <c r="M3491" s="1" t="s">
        <v>0</v>
      </c>
      <c r="N3491" s="1" t="s">
        <v>38</v>
      </c>
      <c r="O3491" s="1" t="s">
        <v>46</v>
      </c>
    </row>
    <row r="3492" spans="2:15" x14ac:dyDescent="0.3">
      <c r="B3492" s="1" t="s">
        <v>23</v>
      </c>
      <c r="C3492" s="1" t="str">
        <f t="shared" si="197"/>
        <v>4차</v>
      </c>
      <c r="D3492" s="1" t="str">
        <f>"0225X83439"</f>
        <v>0225X83439</v>
      </c>
      <c r="E3492" s="1" t="s">
        <v>10</v>
      </c>
      <c r="F3492" s="1" t="str">
        <f>"10.12.133.236"</f>
        <v>10.12.133.236</v>
      </c>
      <c r="G3492" s="1" t="str">
        <f>"0225X834"</f>
        <v>0225X834</v>
      </c>
      <c r="H3492" s="1" t="str">
        <f>"광나루 42-3"</f>
        <v>광나루 42-3</v>
      </c>
      <c r="I3492" s="1" t="s">
        <v>17</v>
      </c>
      <c r="J3492" s="1" t="str">
        <f>"13/13"</f>
        <v>13/13</v>
      </c>
      <c r="K3492" s="1" t="str">
        <f>"2026-07-29 13:18:03"</f>
        <v>2026-07-29 13:18:03</v>
      </c>
      <c r="L3492" s="1" t="str">
        <f>"2018-06-19 09:30:10"</f>
        <v>2018-06-19 09:30:10</v>
      </c>
      <c r="M3492" s="1" t="s">
        <v>0</v>
      </c>
      <c r="N3492" s="1" t="s">
        <v>38</v>
      </c>
      <c r="O3492" s="1" t="s">
        <v>46</v>
      </c>
    </row>
    <row r="3493" spans="2:15" x14ac:dyDescent="0.3">
      <c r="B3493" s="1" t="s">
        <v>23</v>
      </c>
      <c r="C3493" s="1" t="str">
        <f t="shared" si="197"/>
        <v>4차</v>
      </c>
      <c r="D3493" s="1" t="str">
        <f>"0225X91144"</f>
        <v>0225X91144</v>
      </c>
      <c r="E3493" s="1" t="s">
        <v>10</v>
      </c>
      <c r="F3493" s="1" t="str">
        <f>"10.11.75.218"</f>
        <v>10.11.75.218</v>
      </c>
      <c r="G3493" s="1" t="str">
        <f>"0225X911"</f>
        <v>0225X911</v>
      </c>
      <c r="H3493" s="1" t="str">
        <f>"화성간 68R7"</f>
        <v>화성간 68R7</v>
      </c>
      <c r="I3493" s="1" t="s">
        <v>8</v>
      </c>
      <c r="J3493" s="1" t="str">
        <f>"27/29"</f>
        <v>27/29</v>
      </c>
      <c r="K3493" s="1" t="str">
        <f>"2026-07-29 13:18:01"</f>
        <v>2026-07-29 13:18:01</v>
      </c>
      <c r="L3493" s="1" t="str">
        <f>"2019-11-19 23:13:23"</f>
        <v>2019-11-19 23:13:23</v>
      </c>
      <c r="M3493" s="1" t="s">
        <v>2</v>
      </c>
      <c r="N3493" s="1" t="s">
        <v>38</v>
      </c>
      <c r="O3493" s="1" t="s">
        <v>46</v>
      </c>
    </row>
    <row r="3494" spans="2:15" x14ac:dyDescent="0.3">
      <c r="B3494" s="1" t="s">
        <v>23</v>
      </c>
      <c r="C3494" s="1" t="str">
        <f t="shared" si="197"/>
        <v>4차</v>
      </c>
      <c r="D3494" s="1" t="str">
        <f>"0225Y04141"</f>
        <v>0225Y04141</v>
      </c>
      <c r="E3494" s="1" t="s">
        <v>10</v>
      </c>
      <c r="F3494" s="1" t="str">
        <f>"10.14.12.36"</f>
        <v>10.14.12.36</v>
      </c>
      <c r="G3494" s="1" t="str">
        <f>"0225Y041"</f>
        <v>0225Y041</v>
      </c>
      <c r="H3494" s="1" t="str">
        <f>"대종간 32L3L4"</f>
        <v>대종간 32L3L4</v>
      </c>
      <c r="I3494" s="1" t="s">
        <v>17</v>
      </c>
      <c r="J3494" s="1" t="str">
        <f>"34/34"</f>
        <v>34/34</v>
      </c>
      <c r="K3494" s="1" t="str">
        <f>"2026-07-29 13:18:02"</f>
        <v>2026-07-29 13:18:02</v>
      </c>
      <c r="L3494" s="1" t="str">
        <f>"2021-10-08 09:38:38"</f>
        <v>2021-10-08 09:38:38</v>
      </c>
      <c r="M3494" s="1" t="s">
        <v>3</v>
      </c>
      <c r="N3494" s="1" t="s">
        <v>38</v>
      </c>
      <c r="O3494" s="1" t="s">
        <v>46</v>
      </c>
    </row>
    <row r="3495" spans="2:15" x14ac:dyDescent="0.3">
      <c r="B3495" s="1" t="s">
        <v>23</v>
      </c>
      <c r="C3495" s="1" t="str">
        <f>"6차"</f>
        <v>6차</v>
      </c>
      <c r="D3495" s="1" t="str">
        <f>"0225Y0636S"</f>
        <v>0225Y0636S</v>
      </c>
      <c r="E3495" s="1" t="s">
        <v>10</v>
      </c>
      <c r="F3495" s="1" t="str">
        <f>"fde1:103:4:931c:0:0:0:2"</f>
        <v>fde1:103:4:931c:0:0:0:2</v>
      </c>
      <c r="G3495" s="1" t="str">
        <f>"0225Y063"</f>
        <v>0225Y063</v>
      </c>
      <c r="H3495" s="1" t="str">
        <f>"대종간 17L5R6"</f>
        <v>대종간 17L5R6</v>
      </c>
      <c r="I3495" s="1" t="s">
        <v>15</v>
      </c>
      <c r="J3495" s="1" t="str">
        <f>"71/78"</f>
        <v>71/78</v>
      </c>
      <c r="K3495" s="1" t="str">
        <f>"2026-07-29 14:20:40"</f>
        <v>2026-07-29 14:20:40</v>
      </c>
      <c r="L3495" s="1" t="str">
        <f>"2025-02-05 16:32:36"</f>
        <v>2025-02-05 16:32:36</v>
      </c>
      <c r="M3495" s="1" t="s">
        <v>4</v>
      </c>
      <c r="N3495" s="1" t="s">
        <v>38</v>
      </c>
      <c r="O3495" s="1" t="s">
        <v>46</v>
      </c>
    </row>
    <row r="3496" spans="2:15" x14ac:dyDescent="0.3">
      <c r="B3496" s="1" t="s">
        <v>23</v>
      </c>
      <c r="C3496" s="1" t="str">
        <f>"6차"</f>
        <v>6차</v>
      </c>
      <c r="D3496" s="1" t="str">
        <f>"0225Y0716S"</f>
        <v>0225Y0716S</v>
      </c>
      <c r="E3496" s="1" t="s">
        <v>12</v>
      </c>
      <c r="F3496" s="1" t="str">
        <f>"fde1:103:4:c5c9:0:0:0:2"</f>
        <v>fde1:103:4:c5c9:0:0:0:2</v>
      </c>
      <c r="G3496" s="1" t="str">
        <f>"0225Y071"</f>
        <v>0225Y071</v>
      </c>
      <c r="H3496" s="1" t="str">
        <f>"대종간 32"</f>
        <v>대종간 32</v>
      </c>
      <c r="I3496" s="1" t="s">
        <v>15</v>
      </c>
      <c r="J3496" s="1" t="str">
        <f>"0/75"</f>
        <v>0/75</v>
      </c>
      <c r="K3496" s="1" t="str">
        <f>"2026-03-08 02:20:26"</f>
        <v>2026-03-08 02:20:26</v>
      </c>
      <c r="L3496" s="1" t="str">
        <f>"2024-11-18 11:05:12"</f>
        <v>2024-11-18 11:05:12</v>
      </c>
      <c r="M3496" s="1" t="s">
        <v>4</v>
      </c>
      <c r="N3496" s="1" t="s">
        <v>38</v>
      </c>
      <c r="O3496" s="1" t="s">
        <v>46</v>
      </c>
    </row>
    <row r="3497" spans="2:15" x14ac:dyDescent="0.3">
      <c r="B3497" s="1" t="s">
        <v>23</v>
      </c>
      <c r="C3497" s="1" t="str">
        <f>"4차"</f>
        <v>4차</v>
      </c>
      <c r="D3497" s="1" t="str">
        <f>"0225Y07244"</f>
        <v>0225Y07244</v>
      </c>
      <c r="E3497" s="1" t="s">
        <v>10</v>
      </c>
      <c r="F3497" s="1" t="str">
        <f>"10.11.64.234"</f>
        <v>10.11.64.234</v>
      </c>
      <c r="G3497" s="1" t="str">
        <f>"0225Y072"</f>
        <v>0225Y072</v>
      </c>
      <c r="H3497" s="1" t="str">
        <f>"대종간 33"</f>
        <v>대종간 33</v>
      </c>
      <c r="I3497" s="1" t="s">
        <v>8</v>
      </c>
      <c r="J3497" s="1" t="str">
        <f>"16/16"</f>
        <v>16/16</v>
      </c>
      <c r="K3497" s="1" t="str">
        <f>"2026-07-29 13:18:01"</f>
        <v>2026-07-29 13:18:01</v>
      </c>
      <c r="L3497" s="1" t="str">
        <f>"2019-10-29 10:43:08"</f>
        <v>2019-10-29 10:43:08</v>
      </c>
      <c r="M3497" s="1" t="s">
        <v>2</v>
      </c>
      <c r="N3497" s="1" t="s">
        <v>38</v>
      </c>
      <c r="O3497" s="1" t="s">
        <v>46</v>
      </c>
    </row>
    <row r="3498" spans="2:15" x14ac:dyDescent="0.3">
      <c r="B3498" s="1" t="s">
        <v>23</v>
      </c>
      <c r="C3498" s="1" t="str">
        <f>"1차"</f>
        <v>1차</v>
      </c>
      <c r="D3498" s="1" t="str">
        <f>"0225Y07400"</f>
        <v>0225Y07400</v>
      </c>
      <c r="E3498" s="1" t="s">
        <v>10</v>
      </c>
      <c r="F3498" s="1" t="str">
        <f>"10.125.1.58"</f>
        <v>10.125.1.58</v>
      </c>
      <c r="G3498" s="1" t="str">
        <f>"0225Y074"</f>
        <v>0225Y074</v>
      </c>
      <c r="H3498" s="1" t="str">
        <f>"대종간 31"</f>
        <v>대종간 31</v>
      </c>
      <c r="I3498" s="1" t="s">
        <v>8</v>
      </c>
      <c r="J3498" s="1" t="str">
        <f>"31/33"</f>
        <v>31/33</v>
      </c>
      <c r="K3498" s="1" t="str">
        <f>"2026-07-29 13:18:01"</f>
        <v>2026-07-29 13:18:01</v>
      </c>
      <c r="L3498" s="1" t="str">
        <f>"2014-11-10 14:27:14"</f>
        <v>2014-11-10 14:27:14</v>
      </c>
      <c r="M3498" s="1" t="s">
        <v>45</v>
      </c>
      <c r="N3498" s="1" t="s">
        <v>38</v>
      </c>
      <c r="O3498" s="1" t="s">
        <v>46</v>
      </c>
    </row>
    <row r="3499" spans="2:15" x14ac:dyDescent="0.3">
      <c r="B3499" s="1" t="s">
        <v>23</v>
      </c>
      <c r="C3499" s="1" t="str">
        <f>"1차"</f>
        <v>1차</v>
      </c>
      <c r="D3499" s="1" t="str">
        <f>"0225Y25401"</f>
        <v>0225Y25401</v>
      </c>
      <c r="E3499" s="1" t="str">
        <f>"검침실패(3시간 이상)"</f>
        <v>검침실패(3시간 이상)</v>
      </c>
      <c r="F3499" s="1" t="str">
        <f>"10.125.1.52"</f>
        <v>10.125.1.52</v>
      </c>
      <c r="G3499" s="1" t="str">
        <f>"0225Y254"</f>
        <v>0225Y254</v>
      </c>
      <c r="H3499" s="1" t="str">
        <f>"대종간 17L5R2"</f>
        <v>대종간 17L5R2</v>
      </c>
      <c r="I3499" s="1" t="s">
        <v>8</v>
      </c>
      <c r="J3499" s="1" t="str">
        <f>"0/53"</f>
        <v>0/53</v>
      </c>
      <c r="K3499" s="1" t="str">
        <f>"2026-07-29 13:18:01"</f>
        <v>2026-07-29 13:18:01</v>
      </c>
      <c r="L3499" s="1" t="str">
        <f>"2014-11-10 14:11:37"</f>
        <v>2014-11-10 14:11:37</v>
      </c>
      <c r="M3499" s="1" t="s">
        <v>45</v>
      </c>
      <c r="N3499" s="1" t="s">
        <v>38</v>
      </c>
      <c r="O3499" s="1" t="s">
        <v>46</v>
      </c>
    </row>
    <row r="3500" spans="2:15" x14ac:dyDescent="0.3">
      <c r="B3500" s="1" t="s">
        <v>23</v>
      </c>
      <c r="C3500" s="1" t="str">
        <f>"1차"</f>
        <v>1차</v>
      </c>
      <c r="D3500" s="1" t="str">
        <f>"0225Y27100"</f>
        <v>0225Y27100</v>
      </c>
      <c r="E3500" s="1" t="s">
        <v>10</v>
      </c>
      <c r="F3500" s="1" t="str">
        <f>"10.125.1.66"</f>
        <v>10.125.1.66</v>
      </c>
      <c r="G3500" s="1" t="str">
        <f>"0225Y271"</f>
        <v>0225Y271</v>
      </c>
      <c r="H3500" s="1" t="str">
        <f>"대종간 25"</f>
        <v>대종간 25</v>
      </c>
      <c r="I3500" s="1" t="s">
        <v>8</v>
      </c>
      <c r="J3500" s="1" t="str">
        <f>"34/34"</f>
        <v>34/34</v>
      </c>
      <c r="K3500" s="1" t="str">
        <f>"2026-07-29 13:18:02"</f>
        <v>2026-07-29 13:18:02</v>
      </c>
      <c r="L3500" s="1" t="str">
        <f>"2014-11-10 14:41:54"</f>
        <v>2014-11-10 14:41:54</v>
      </c>
      <c r="M3500" s="1" t="s">
        <v>45</v>
      </c>
      <c r="N3500" s="1" t="s">
        <v>38</v>
      </c>
      <c r="O3500" s="1" t="s">
        <v>46</v>
      </c>
    </row>
    <row r="3501" spans="2:15" x14ac:dyDescent="0.3">
      <c r="B3501" s="1" t="s">
        <v>23</v>
      </c>
      <c r="C3501" s="1" t="str">
        <f>"1차"</f>
        <v>1차</v>
      </c>
      <c r="D3501" s="1" t="str">
        <f>"0225Y27300"</f>
        <v>0225Y27300</v>
      </c>
      <c r="E3501" s="1" t="s">
        <v>10</v>
      </c>
      <c r="F3501" s="1" t="str">
        <f>"10.125.113.98"</f>
        <v>10.125.113.98</v>
      </c>
      <c r="G3501" s="1" t="str">
        <f>"0225Y273"</f>
        <v>0225Y273</v>
      </c>
      <c r="H3501" s="1" t="str">
        <f>"대종간 26"</f>
        <v>대종간 26</v>
      </c>
      <c r="I3501" s="1" t="s">
        <v>8</v>
      </c>
      <c r="J3501" s="1" t="str">
        <f>"24/24"</f>
        <v>24/24</v>
      </c>
      <c r="K3501" s="1" t="str">
        <f>"2026-07-29 13:18:02"</f>
        <v>2026-07-29 13:18:02</v>
      </c>
      <c r="L3501" s="1" t="str">
        <f>"2023-11-13 17:36:13"</f>
        <v>2023-11-13 17:36:13</v>
      </c>
      <c r="M3501" s="1" t="s">
        <v>45</v>
      </c>
      <c r="N3501" s="1" t="s">
        <v>38</v>
      </c>
      <c r="O3501" s="1" t="s">
        <v>46</v>
      </c>
    </row>
    <row r="3502" spans="2:15" x14ac:dyDescent="0.3">
      <c r="B3502" s="1" t="s">
        <v>23</v>
      </c>
      <c r="C3502" s="1" t="str">
        <f t="shared" ref="C3502:C3508" si="198">"4차"</f>
        <v>4차</v>
      </c>
      <c r="D3502" s="1" t="str">
        <f>"0225Y34141"</f>
        <v>0225Y34141</v>
      </c>
      <c r="E3502" s="1" t="s">
        <v>10</v>
      </c>
      <c r="F3502" s="1" t="str">
        <f>"10.14.8.41"</f>
        <v>10.14.8.41</v>
      </c>
      <c r="G3502" s="1" t="str">
        <f>"0225Y341"</f>
        <v>0225Y341</v>
      </c>
      <c r="H3502" s="1" t="str">
        <f>"대종간 17L4"</f>
        <v>대종간 17L4</v>
      </c>
      <c r="I3502" s="1" t="s">
        <v>17</v>
      </c>
      <c r="J3502" s="1" t="str">
        <f>"14/14"</f>
        <v>14/14</v>
      </c>
      <c r="K3502" s="1" t="str">
        <f>"2026-07-29 13:18:03"</f>
        <v>2026-07-29 13:18:03</v>
      </c>
      <c r="L3502" s="1" t="str">
        <f>"2021-10-08 08:47:18"</f>
        <v>2021-10-08 08:47:18</v>
      </c>
      <c r="M3502" s="1" t="s">
        <v>3</v>
      </c>
      <c r="N3502" s="1" t="s">
        <v>38</v>
      </c>
      <c r="O3502" s="1" t="s">
        <v>46</v>
      </c>
    </row>
    <row r="3503" spans="2:15" x14ac:dyDescent="0.3">
      <c r="B3503" s="1" t="s">
        <v>23</v>
      </c>
      <c r="C3503" s="1" t="str">
        <f t="shared" si="198"/>
        <v>4차</v>
      </c>
      <c r="D3503" s="1" t="str">
        <f>"0225Y36541"</f>
        <v>0225Y36541</v>
      </c>
      <c r="E3503" s="1" t="s">
        <v>10</v>
      </c>
      <c r="F3503" s="1" t="str">
        <f>"10.14.7.38"</f>
        <v>10.14.7.38</v>
      </c>
      <c r="G3503" s="1" t="str">
        <f>"0225Y365"</f>
        <v>0225Y365</v>
      </c>
      <c r="H3503" s="1" t="str">
        <f>"대종간 22R1"</f>
        <v>대종간 22R1</v>
      </c>
      <c r="I3503" s="1" t="s">
        <v>17</v>
      </c>
      <c r="J3503" s="1" t="str">
        <f>"2/4"</f>
        <v>2/4</v>
      </c>
      <c r="K3503" s="1" t="str">
        <f>"2026-07-29 13:18:03"</f>
        <v>2026-07-29 13:18:03</v>
      </c>
      <c r="L3503" s="1" t="str">
        <f>"2021-10-08 08:05:37"</f>
        <v>2021-10-08 08:05:37</v>
      </c>
      <c r="M3503" s="1" t="s">
        <v>3</v>
      </c>
      <c r="N3503" s="1" t="s">
        <v>38</v>
      </c>
      <c r="O3503" s="1" t="s">
        <v>46</v>
      </c>
    </row>
    <row r="3504" spans="2:15" x14ac:dyDescent="0.3">
      <c r="B3504" s="1" t="s">
        <v>23</v>
      </c>
      <c r="C3504" s="1" t="str">
        <f t="shared" si="198"/>
        <v>4차</v>
      </c>
      <c r="D3504" s="1" t="str">
        <f>"0225Y43144"</f>
        <v>0225Y43144</v>
      </c>
      <c r="E3504" s="1" t="s">
        <v>10</v>
      </c>
      <c r="F3504" s="1" t="str">
        <f>"10.11.64.210"</f>
        <v>10.11.64.210</v>
      </c>
      <c r="G3504" s="1" t="str">
        <f>"0225Y431"</f>
        <v>0225Y431</v>
      </c>
      <c r="H3504" s="1" t="str">
        <f>"대종간 17L1"</f>
        <v>대종간 17L1</v>
      </c>
      <c r="I3504" s="1" t="s">
        <v>8</v>
      </c>
      <c r="J3504" s="1" t="str">
        <f>"22/22"</f>
        <v>22/22</v>
      </c>
      <c r="K3504" s="1" t="str">
        <f>"2026-07-29 13:18:01"</f>
        <v>2026-07-29 13:18:01</v>
      </c>
      <c r="L3504" s="1" t="str">
        <f>"2019-10-29 10:43:05"</f>
        <v>2019-10-29 10:43:05</v>
      </c>
      <c r="M3504" s="1" t="s">
        <v>2</v>
      </c>
      <c r="N3504" s="1" t="s">
        <v>38</v>
      </c>
      <c r="O3504" s="1" t="s">
        <v>46</v>
      </c>
    </row>
    <row r="3505" spans="2:15" x14ac:dyDescent="0.3">
      <c r="B3505" s="1" t="s">
        <v>23</v>
      </c>
      <c r="C3505" s="1" t="str">
        <f t="shared" si="198"/>
        <v>4차</v>
      </c>
      <c r="D3505" s="1" t="str">
        <f>"0225Y44241"</f>
        <v>0225Y44241</v>
      </c>
      <c r="E3505" s="1" t="s">
        <v>10</v>
      </c>
      <c r="F3505" s="1" t="str">
        <f>"10.14.9.36"</f>
        <v>10.14.9.36</v>
      </c>
      <c r="G3505" s="1" t="str">
        <f>"0225Y442"</f>
        <v>0225Y442</v>
      </c>
      <c r="H3505" s="1" t="str">
        <f>"대종간 17L3"</f>
        <v>대종간 17L3</v>
      </c>
      <c r="I3505" s="1" t="s">
        <v>17</v>
      </c>
      <c r="J3505" s="1" t="str">
        <f>"14/19"</f>
        <v>14/19</v>
      </c>
      <c r="K3505" s="1" t="str">
        <f>"2026-07-29 13:18:04"</f>
        <v>2026-07-29 13:18:04</v>
      </c>
      <c r="L3505" s="1" t="str">
        <f>"2021-10-08 09:22:12"</f>
        <v>2021-10-08 09:22:12</v>
      </c>
      <c r="M3505" s="1" t="s">
        <v>3</v>
      </c>
      <c r="N3505" s="1" t="s">
        <v>38</v>
      </c>
      <c r="O3505" s="1" t="s">
        <v>46</v>
      </c>
    </row>
    <row r="3506" spans="2:15" x14ac:dyDescent="0.3">
      <c r="B3506" s="1" t="s">
        <v>23</v>
      </c>
      <c r="C3506" s="1" t="str">
        <f t="shared" si="198"/>
        <v>4차</v>
      </c>
      <c r="D3506" s="1" t="str">
        <f>"0225Y49541"</f>
        <v>0225Y49541</v>
      </c>
      <c r="E3506" s="1" t="s">
        <v>14</v>
      </c>
      <c r="F3506" s="1" t="str">
        <f>"10.14.5.37"</f>
        <v>10.14.5.37</v>
      </c>
      <c r="G3506" s="1" t="str">
        <f>"0225Y495"</f>
        <v>0225Y495</v>
      </c>
      <c r="H3506" s="1" t="str">
        <f>"성지간 68R4L4"</f>
        <v>성지간 68R4L4</v>
      </c>
      <c r="I3506" s="1" t="s">
        <v>17</v>
      </c>
      <c r="J3506" s="1" t="str">
        <f>"0/0"</f>
        <v>0/0</v>
      </c>
      <c r="K3506" s="1" t="str">
        <f>"2026-07-29 13:18:03"</f>
        <v>2026-07-29 13:18:03</v>
      </c>
      <c r="L3506" s="1" t="str">
        <f>"2021-10-13 09:00:30"</f>
        <v>2021-10-13 09:00:30</v>
      </c>
      <c r="M3506" s="1" t="s">
        <v>3</v>
      </c>
      <c r="N3506" s="1" t="s">
        <v>38</v>
      </c>
      <c r="O3506" s="1" t="s">
        <v>44</v>
      </c>
    </row>
    <row r="3507" spans="2:15" x14ac:dyDescent="0.3">
      <c r="B3507" s="1" t="s">
        <v>23</v>
      </c>
      <c r="C3507" s="1" t="str">
        <f t="shared" si="198"/>
        <v>4차</v>
      </c>
      <c r="D3507" s="1" t="str">
        <f>"0225Y56144"</f>
        <v>0225Y56144</v>
      </c>
      <c r="E3507" s="1" t="s">
        <v>10</v>
      </c>
      <c r="F3507" s="1" t="str">
        <f>"10.11.66.210"</f>
        <v>10.11.66.210</v>
      </c>
      <c r="G3507" s="1" t="str">
        <f>"0225Y561"</f>
        <v>0225Y561</v>
      </c>
      <c r="H3507" s="1" t="str">
        <f>"성지간 58"</f>
        <v>성지간 58</v>
      </c>
      <c r="I3507" s="1" t="s">
        <v>8</v>
      </c>
      <c r="J3507" s="1" t="str">
        <f>"30/31"</f>
        <v>30/31</v>
      </c>
      <c r="K3507" s="1" t="str">
        <f>"2026-07-29 13:18:01"</f>
        <v>2026-07-29 13:18:01</v>
      </c>
      <c r="L3507" s="1" t="str">
        <f>"2019-10-29 10:53:05"</f>
        <v>2019-10-29 10:53:05</v>
      </c>
      <c r="M3507" s="1" t="s">
        <v>2</v>
      </c>
      <c r="N3507" s="1" t="s">
        <v>38</v>
      </c>
      <c r="O3507" s="1" t="s">
        <v>46</v>
      </c>
    </row>
    <row r="3508" spans="2:15" x14ac:dyDescent="0.3">
      <c r="B3508" s="1" t="s">
        <v>23</v>
      </c>
      <c r="C3508" s="1" t="str">
        <f t="shared" si="198"/>
        <v>4차</v>
      </c>
      <c r="D3508" s="1" t="str">
        <f>"0225Y58641"</f>
        <v>0225Y58641</v>
      </c>
      <c r="E3508" s="1" t="s">
        <v>10</v>
      </c>
      <c r="F3508" s="1" t="str">
        <f>"10.14.8.40"</f>
        <v>10.14.8.40</v>
      </c>
      <c r="G3508" s="1" t="str">
        <f>"0225Y586"</f>
        <v>0225Y586</v>
      </c>
      <c r="H3508" s="1" t="str">
        <f>"성지간 68R4L3"</f>
        <v>성지간 68R4L3</v>
      </c>
      <c r="I3508" s="1" t="s">
        <v>17</v>
      </c>
      <c r="J3508" s="1" t="str">
        <f>"4/4"</f>
        <v>4/4</v>
      </c>
      <c r="K3508" s="1" t="str">
        <f>"2026-07-29 13:18:03"</f>
        <v>2026-07-29 13:18:03</v>
      </c>
      <c r="L3508" s="1" t="str">
        <f>"2021-10-13 08:20:02"</f>
        <v>2021-10-13 08:20:02</v>
      </c>
      <c r="M3508" s="1" t="s">
        <v>3</v>
      </c>
      <c r="N3508" s="1" t="s">
        <v>38</v>
      </c>
      <c r="O3508" s="1" t="s">
        <v>46</v>
      </c>
    </row>
    <row r="3509" spans="2:15" x14ac:dyDescent="0.3">
      <c r="B3509" s="1" t="s">
        <v>23</v>
      </c>
      <c r="C3509" s="1" t="str">
        <f>"6차"</f>
        <v>6차</v>
      </c>
      <c r="D3509" s="1" t="str">
        <f>"0225Y6116S"</f>
        <v>0225Y6116S</v>
      </c>
      <c r="E3509" s="1" t="s">
        <v>10</v>
      </c>
      <c r="F3509" s="1" t="str">
        <f>"fde1:103:4:c6da:0:0:0:2"</f>
        <v>fde1:103:4:c6da:0:0:0:2</v>
      </c>
      <c r="G3509" s="1" t="str">
        <f>"0225Y611"</f>
        <v>0225Y611</v>
      </c>
      <c r="H3509" s="1" t="str">
        <f>"대종간 14R1"</f>
        <v>대종간 14R1</v>
      </c>
      <c r="I3509" s="1" t="s">
        <v>15</v>
      </c>
      <c r="J3509" s="1" t="str">
        <f>"44/46"</f>
        <v>44/46</v>
      </c>
      <c r="K3509" s="1" t="str">
        <f>"2026-07-29 14:20:40"</f>
        <v>2026-07-29 14:20:40</v>
      </c>
      <c r="L3509" s="1" t="str">
        <f>"2024-11-18 11:06:58"</f>
        <v>2024-11-18 11:06:58</v>
      </c>
      <c r="M3509" s="1" t="s">
        <v>4</v>
      </c>
      <c r="N3509" s="1" t="s">
        <v>38</v>
      </c>
      <c r="O3509" s="1" t="s">
        <v>46</v>
      </c>
    </row>
    <row r="3510" spans="2:15" x14ac:dyDescent="0.3">
      <c r="B3510" s="1" t="s">
        <v>23</v>
      </c>
      <c r="C3510" s="1" t="str">
        <f>"4차"</f>
        <v>4차</v>
      </c>
      <c r="D3510" s="1" t="str">
        <f>"0225Y63441"</f>
        <v>0225Y63441</v>
      </c>
      <c r="E3510" s="1" t="s">
        <v>10</v>
      </c>
      <c r="F3510" s="1" t="str">
        <f>"10.14.10.36"</f>
        <v>10.14.10.36</v>
      </c>
      <c r="G3510" s="1" t="str">
        <f>"0225Y634"</f>
        <v>0225Y634</v>
      </c>
      <c r="H3510" s="1" t="str">
        <f>"대종간 14A5L2"</f>
        <v>대종간 14A5L2</v>
      </c>
      <c r="I3510" s="1" t="s">
        <v>17</v>
      </c>
      <c r="J3510" s="1" t="str">
        <f>"3/3"</f>
        <v>3/3</v>
      </c>
      <c r="K3510" s="1" t="str">
        <f>"2026-07-29 13:18:03"</f>
        <v>2026-07-29 13:18:03</v>
      </c>
      <c r="L3510" s="1" t="str">
        <f>"2021-10-08 07:56:47"</f>
        <v>2021-10-08 07:56:47</v>
      </c>
      <c r="M3510" s="1" t="s">
        <v>3</v>
      </c>
      <c r="N3510" s="1" t="s">
        <v>38</v>
      </c>
      <c r="O3510" s="1" t="s">
        <v>46</v>
      </c>
    </row>
    <row r="3511" spans="2:15" x14ac:dyDescent="0.3">
      <c r="B3511" s="1" t="s">
        <v>23</v>
      </c>
      <c r="C3511" s="1" t="str">
        <f>"4차"</f>
        <v>4차</v>
      </c>
      <c r="D3511" s="1" t="str">
        <f>"0225Y68341"</f>
        <v>0225Y68341</v>
      </c>
      <c r="E3511" s="1" t="s">
        <v>14</v>
      </c>
      <c r="F3511" s="1" t="str">
        <f>"10.14.15.130"</f>
        <v>10.14.15.130</v>
      </c>
      <c r="G3511" s="1" t="str">
        <f>"0225Y683"</f>
        <v>0225Y683</v>
      </c>
      <c r="H3511" s="1" t="str">
        <f>"성지간 68R4"</f>
        <v>성지간 68R4</v>
      </c>
      <c r="I3511" s="1" t="s">
        <v>17</v>
      </c>
      <c r="J3511" s="1" t="str">
        <f>"0/0"</f>
        <v>0/0</v>
      </c>
      <c r="K3511" s="1" t="str">
        <f>"2026-07-29 13:18:02"</f>
        <v>2026-07-29 13:18:02</v>
      </c>
      <c r="L3511" s="1" t="str">
        <f>"2021-07-13 10:50:22"</f>
        <v>2021-07-13 10:50:22</v>
      </c>
      <c r="M3511" s="1" t="s">
        <v>3</v>
      </c>
      <c r="N3511" s="1" t="s">
        <v>38</v>
      </c>
      <c r="O3511" s="1" t="s">
        <v>44</v>
      </c>
    </row>
    <row r="3512" spans="2:15" x14ac:dyDescent="0.3">
      <c r="B3512" s="1" t="s">
        <v>23</v>
      </c>
      <c r="C3512" s="1" t="str">
        <f>"6차"</f>
        <v>6차</v>
      </c>
      <c r="D3512" s="1" t="str">
        <f>"0225Y7116S"</f>
        <v>0225Y7116S</v>
      </c>
      <c r="E3512" s="1" t="s">
        <v>10</v>
      </c>
      <c r="F3512" s="1" t="str">
        <f>"fde1:103:4:c6f0:0:0:0:2"</f>
        <v>fde1:103:4:c6f0:0:0:0:2</v>
      </c>
      <c r="G3512" s="1" t="str">
        <f>"0225Y711"</f>
        <v>0225Y711</v>
      </c>
      <c r="H3512" s="1" t="str">
        <f>"대종간 14R2"</f>
        <v>대종간 14R2</v>
      </c>
      <c r="I3512" s="1" t="s">
        <v>15</v>
      </c>
      <c r="J3512" s="1" t="str">
        <f>"19/19"</f>
        <v>19/19</v>
      </c>
      <c r="K3512" s="1" t="str">
        <f>"2026-07-29 14:20:32"</f>
        <v>2026-07-29 14:20:32</v>
      </c>
      <c r="L3512" s="1" t="str">
        <f>"2024-11-18 11:07:20"</f>
        <v>2024-11-18 11:07:20</v>
      </c>
      <c r="M3512" s="1" t="s">
        <v>4</v>
      </c>
      <c r="N3512" s="1" t="s">
        <v>38</v>
      </c>
      <c r="O3512" s="1" t="s">
        <v>46</v>
      </c>
    </row>
    <row r="3513" spans="2:15" x14ac:dyDescent="0.3">
      <c r="B3513" s="1" t="s">
        <v>23</v>
      </c>
      <c r="C3513" s="1" t="str">
        <f>"3차"</f>
        <v>3차</v>
      </c>
      <c r="D3513" s="1" t="str">
        <f>"0225Y73139"</f>
        <v>0225Y73139</v>
      </c>
      <c r="E3513" s="1" t="s">
        <v>10</v>
      </c>
      <c r="F3513" s="1" t="str">
        <f>"10.11.80.58"</f>
        <v>10.11.80.58</v>
      </c>
      <c r="G3513" s="1" t="str">
        <f>"0225Y731"</f>
        <v>0225Y731</v>
      </c>
      <c r="H3513" s="1" t="str">
        <f>"대종간 14R1L5"</f>
        <v>대종간 14R1L5</v>
      </c>
      <c r="I3513" s="1" t="s">
        <v>8</v>
      </c>
      <c r="J3513" s="1" t="str">
        <f>"46/46"</f>
        <v>46/46</v>
      </c>
      <c r="K3513" s="1" t="str">
        <f>"2026-07-29 13:18:02"</f>
        <v>2026-07-29 13:18:02</v>
      </c>
      <c r="L3513" s="1" t="str">
        <f>"2018-09-12 17:30:04"</f>
        <v>2018-09-12 17:30:04</v>
      </c>
      <c r="M3513" s="1" t="s">
        <v>2</v>
      </c>
      <c r="N3513" s="1" t="s">
        <v>38</v>
      </c>
      <c r="O3513" s="1" t="s">
        <v>46</v>
      </c>
    </row>
    <row r="3514" spans="2:15" x14ac:dyDescent="0.3">
      <c r="B3514" s="1" t="s">
        <v>23</v>
      </c>
      <c r="C3514" s="1" t="str">
        <f>"4차"</f>
        <v>4차</v>
      </c>
      <c r="D3514" s="1" t="str">
        <f>"0225Y82144"</f>
        <v>0225Y82144</v>
      </c>
      <c r="E3514" s="1" t="s">
        <v>10</v>
      </c>
      <c r="F3514" s="1" t="str">
        <f>"10.11.64.202"</f>
        <v>10.11.64.202</v>
      </c>
      <c r="G3514" s="1" t="str">
        <f>"0225Y821"</f>
        <v>0225Y821</v>
      </c>
      <c r="H3514" s="1" t="str">
        <f>"대종간 14R1L4R1"</f>
        <v>대종간 14R1L4R1</v>
      </c>
      <c r="I3514" s="1" t="s">
        <v>8</v>
      </c>
      <c r="J3514" s="1" t="str">
        <f>"99/99"</f>
        <v>99/99</v>
      </c>
      <c r="K3514" s="1" t="str">
        <f>"2026-07-29 13:18:02"</f>
        <v>2026-07-29 13:18:02</v>
      </c>
      <c r="L3514" s="1" t="str">
        <f>"2019-10-29 10:53:05"</f>
        <v>2019-10-29 10:53:05</v>
      </c>
      <c r="M3514" s="1" t="s">
        <v>2</v>
      </c>
      <c r="N3514" s="1" t="s">
        <v>38</v>
      </c>
      <c r="O3514" s="1" t="s">
        <v>46</v>
      </c>
    </row>
    <row r="3515" spans="2:15" x14ac:dyDescent="0.3">
      <c r="B3515" s="1" t="s">
        <v>23</v>
      </c>
      <c r="C3515" s="1" t="str">
        <f>"4차"</f>
        <v>4차</v>
      </c>
      <c r="D3515" s="1" t="str">
        <f>"0225Y88241"</f>
        <v>0225Y88241</v>
      </c>
      <c r="E3515" s="1" t="s">
        <v>14</v>
      </c>
      <c r="F3515" s="1" t="str">
        <f>"10.14.9.114"</f>
        <v>10.14.9.114</v>
      </c>
      <c r="G3515" s="1" t="str">
        <f>"0225Y882"</f>
        <v>0225Y882</v>
      </c>
      <c r="H3515" s="1" t="str">
        <f>"화성간 59L18"</f>
        <v>화성간 59L18</v>
      </c>
      <c r="I3515" s="1" t="s">
        <v>17</v>
      </c>
      <c r="J3515" s="1" t="str">
        <f>"0/0"</f>
        <v>0/0</v>
      </c>
      <c r="K3515" s="1" t="str">
        <f>"2026-07-29 13:18:04"</f>
        <v>2026-07-29 13:18:04</v>
      </c>
      <c r="L3515" s="1" t="str">
        <f>"2022-01-06 13:38:30"</f>
        <v>2022-01-06 13:38:30</v>
      </c>
      <c r="M3515" s="1" t="s">
        <v>3</v>
      </c>
      <c r="N3515" s="1" t="s">
        <v>38</v>
      </c>
      <c r="O3515" s="1" t="s">
        <v>44</v>
      </c>
    </row>
    <row r="3516" spans="2:15" x14ac:dyDescent="0.3">
      <c r="B3516" s="1" t="s">
        <v>23</v>
      </c>
      <c r="C3516" s="1" t="str">
        <f>"6차"</f>
        <v>6차</v>
      </c>
      <c r="D3516" s="1" t="str">
        <f>"0225Y9016S"</f>
        <v>0225Y9016S</v>
      </c>
      <c r="E3516" s="1" t="s">
        <v>10</v>
      </c>
      <c r="F3516" s="1" t="str">
        <f>"fde1:103:4:c5a7:0:0:0:2"</f>
        <v>fde1:103:4:c5a7:0:0:0:2</v>
      </c>
      <c r="G3516" s="1" t="str">
        <f>"0225Y901"</f>
        <v>0225Y901</v>
      </c>
      <c r="H3516" s="1" t="str">
        <f>"대종간 14R4"</f>
        <v>대종간 14R4</v>
      </c>
      <c r="I3516" s="1" t="s">
        <v>15</v>
      </c>
      <c r="J3516" s="1" t="str">
        <f>"14/25"</f>
        <v>14/25</v>
      </c>
      <c r="K3516" s="1" t="str">
        <f>"2026-07-29 14:21:04"</f>
        <v>2026-07-29 14:21:04</v>
      </c>
      <c r="L3516" s="1" t="str">
        <f>"2024-11-18 11:05:02"</f>
        <v>2024-11-18 11:05:02</v>
      </c>
      <c r="M3516" s="1" t="s">
        <v>4</v>
      </c>
      <c r="N3516" s="1" t="s">
        <v>38</v>
      </c>
      <c r="O3516" s="1" t="s">
        <v>46</v>
      </c>
    </row>
    <row r="3517" spans="2:15" x14ac:dyDescent="0.3">
      <c r="B3517" s="1" t="s">
        <v>23</v>
      </c>
      <c r="C3517" s="1" t="str">
        <f>"5-2차"</f>
        <v>5-2차</v>
      </c>
      <c r="D3517" s="1" t="str">
        <f>"0225Y9115M"</f>
        <v>0225Y9115M</v>
      </c>
      <c r="E3517" s="1" t="s">
        <v>10</v>
      </c>
      <c r="F3517" s="1" t="str">
        <f>"fde1:103:4:5700:0:0:0:2"</f>
        <v>fde1:103:4:5700:0:0:0:2</v>
      </c>
      <c r="G3517" s="1" t="str">
        <f>"0225Y911"</f>
        <v>0225Y911</v>
      </c>
      <c r="H3517" s="1" t="str">
        <f>"성지간 46L5"</f>
        <v>성지간 46L5</v>
      </c>
      <c r="I3517" s="1" t="s">
        <v>15</v>
      </c>
      <c r="J3517" s="1" t="str">
        <f>"35/35"</f>
        <v>35/35</v>
      </c>
      <c r="K3517" s="1" t="str">
        <f>"2026-07-29 14:20:33"</f>
        <v>2026-07-29 14:20:33</v>
      </c>
      <c r="L3517" s="1" t="str">
        <f>"2023-09-25 10:02:56"</f>
        <v>2023-09-25 10:02:56</v>
      </c>
      <c r="M3517" s="1" t="s">
        <v>4</v>
      </c>
      <c r="N3517" s="1" t="s">
        <v>38</v>
      </c>
      <c r="O3517" s="1" t="s">
        <v>46</v>
      </c>
    </row>
    <row r="3518" spans="2:15" x14ac:dyDescent="0.3">
      <c r="B3518" s="1" t="s">
        <v>23</v>
      </c>
      <c r="C3518" s="1" t="str">
        <f>"1차"</f>
        <v>1차</v>
      </c>
      <c r="D3518" s="1" t="str">
        <f>"0225Z00101"</f>
        <v>0225Z00101</v>
      </c>
      <c r="E3518" s="1" t="s">
        <v>10</v>
      </c>
      <c r="F3518" s="1" t="str">
        <f>"10.14.4.191"</f>
        <v>10.14.4.191</v>
      </c>
      <c r="G3518" s="1" t="str">
        <f>"0225Z001"</f>
        <v>0225Z001</v>
      </c>
      <c r="H3518" s="1" t="str">
        <f>"대종간 14R5"</f>
        <v>대종간 14R5</v>
      </c>
      <c r="I3518" s="1" t="s">
        <v>8</v>
      </c>
      <c r="J3518" s="1" t="str">
        <f>"1/1"</f>
        <v>1/1</v>
      </c>
      <c r="K3518" s="1" t="str">
        <f>"2026-07-29 13:18:03"</f>
        <v>2026-07-29 13:18:03</v>
      </c>
      <c r="L3518" s="1" t="str">
        <f>"2014-11-10 15:26:43"</f>
        <v>2014-11-10 15:26:43</v>
      </c>
      <c r="M3518" s="1" t="s">
        <v>3</v>
      </c>
      <c r="N3518" s="1" t="s">
        <v>38</v>
      </c>
      <c r="O3518" s="1" t="s">
        <v>46</v>
      </c>
    </row>
    <row r="3519" spans="2:15" x14ac:dyDescent="0.3">
      <c r="B3519" s="1" t="s">
        <v>23</v>
      </c>
      <c r="C3519" s="1" t="str">
        <f>"4차"</f>
        <v>4차</v>
      </c>
      <c r="D3519" s="1" t="str">
        <f>"0225Z09144"</f>
        <v>0225Z09144</v>
      </c>
      <c r="E3519" s="1" t="s">
        <v>10</v>
      </c>
      <c r="F3519" s="1" t="str">
        <f>"10.11.76.66"</f>
        <v>10.11.76.66</v>
      </c>
      <c r="G3519" s="1" t="str">
        <f>"0225Z091"</f>
        <v>0225Z091</v>
      </c>
      <c r="H3519" s="1" t="str">
        <f>"화성간 90"</f>
        <v>화성간 90</v>
      </c>
      <c r="I3519" s="1" t="s">
        <v>8</v>
      </c>
      <c r="J3519" s="1" t="str">
        <f>"11/11"</f>
        <v>11/11</v>
      </c>
      <c r="K3519" s="1" t="str">
        <f>"2026-07-29 13:18:02"</f>
        <v>2026-07-29 13:18:02</v>
      </c>
      <c r="L3519" s="1" t="str">
        <f>"2019-11-19 23:22:46"</f>
        <v>2019-11-19 23:22:46</v>
      </c>
      <c r="M3519" s="1" t="s">
        <v>2</v>
      </c>
      <c r="N3519" s="1" t="s">
        <v>38</v>
      </c>
      <c r="O3519" s="1" t="s">
        <v>46</v>
      </c>
    </row>
    <row r="3520" spans="2:15" x14ac:dyDescent="0.3">
      <c r="B3520" s="1" t="s">
        <v>23</v>
      </c>
      <c r="C3520" s="1" t="str">
        <f>"3차"</f>
        <v>3차</v>
      </c>
      <c r="D3520" s="1" t="str">
        <f>"0225Z41339"</f>
        <v>0225Z41339</v>
      </c>
      <c r="E3520" s="1" t="s">
        <v>10</v>
      </c>
      <c r="F3520" s="1" t="str">
        <f>"10.12.138.41"</f>
        <v>10.12.138.41</v>
      </c>
      <c r="G3520" s="1" t="str">
        <f>"0225Z413"</f>
        <v>0225Z413</v>
      </c>
      <c r="H3520" s="1" t="str">
        <f>"호텔 1"</f>
        <v>호텔 1</v>
      </c>
      <c r="I3520" s="1" t="s">
        <v>17</v>
      </c>
      <c r="J3520" s="1" t="str">
        <f>"22/28"</f>
        <v>22/28</v>
      </c>
      <c r="K3520" s="1" t="str">
        <f>"2026-07-29 13:18:01"</f>
        <v>2026-07-29 13:18:01</v>
      </c>
      <c r="L3520" s="1" t="str">
        <f>"2021-08-31 09:29:20"</f>
        <v>2021-08-31 09:29:20</v>
      </c>
      <c r="M3520" s="1" t="s">
        <v>0</v>
      </c>
      <c r="N3520" s="1" t="s">
        <v>38</v>
      </c>
      <c r="O3520" s="1" t="s">
        <v>46</v>
      </c>
    </row>
    <row r="3521" spans="2:15" x14ac:dyDescent="0.3">
      <c r="B3521" s="1" t="s">
        <v>23</v>
      </c>
      <c r="C3521" s="1" t="str">
        <f t="shared" ref="C3521:C3526" si="199">"4차"</f>
        <v>4차</v>
      </c>
      <c r="D3521" s="1" t="str">
        <f>"0225Z41445"</f>
        <v>0225Z41445</v>
      </c>
      <c r="E3521" s="1" t="s">
        <v>10</v>
      </c>
      <c r="F3521" s="1" t="str">
        <f>"10.12.130.165"</f>
        <v>10.12.130.165</v>
      </c>
      <c r="G3521" s="1" t="str">
        <f>"0225Z414"</f>
        <v>0225Z414</v>
      </c>
      <c r="H3521" s="1" t="str">
        <f>"현대 T1"</f>
        <v>현대 T1</v>
      </c>
      <c r="I3521" s="1" t="s">
        <v>17</v>
      </c>
      <c r="J3521" s="1" t="str">
        <f>"1/1"</f>
        <v>1/1</v>
      </c>
      <c r="K3521" s="1" t="str">
        <f>"2026-07-29 13:18:03"</f>
        <v>2026-07-29 13:18:03</v>
      </c>
      <c r="L3521" s="1" t="str">
        <f>"2021-06-25 09:49:20"</f>
        <v>2021-06-25 09:49:20</v>
      </c>
      <c r="M3521" s="1" t="s">
        <v>0</v>
      </c>
      <c r="N3521" s="1" t="s">
        <v>38</v>
      </c>
      <c r="O3521" s="1" t="s">
        <v>46</v>
      </c>
    </row>
    <row r="3522" spans="2:15" x14ac:dyDescent="0.3">
      <c r="B3522" s="1" t="s">
        <v>23</v>
      </c>
      <c r="C3522" s="1" t="str">
        <f t="shared" si="199"/>
        <v>4차</v>
      </c>
      <c r="D3522" s="1" t="str">
        <f>"0225Z45244"</f>
        <v>0225Z45244</v>
      </c>
      <c r="E3522" s="1" t="str">
        <f>"검침실패(3시간 이상)"</f>
        <v>검침실패(3시간 이상)</v>
      </c>
      <c r="F3522" s="1" t="str">
        <f>"10.11.75.138"</f>
        <v>10.11.75.138</v>
      </c>
      <c r="G3522" s="1" t="str">
        <f>"0225Z452"</f>
        <v>0225Z452</v>
      </c>
      <c r="H3522" s="1" t="str">
        <f>"화성간 59"</f>
        <v>화성간 59</v>
      </c>
      <c r="I3522" s="1" t="s">
        <v>8</v>
      </c>
      <c r="J3522" s="1" t="str">
        <f>"0/14"</f>
        <v>0/14</v>
      </c>
      <c r="K3522" s="1" t="str">
        <f t="shared" ref="K3522:K3528" si="200">"2026-07-29 13:18:02"</f>
        <v>2026-07-29 13:18:02</v>
      </c>
      <c r="L3522" s="1" t="str">
        <f>"2019-11-19 08:48:43"</f>
        <v>2019-11-19 08:48:43</v>
      </c>
      <c r="M3522" s="1" t="s">
        <v>2</v>
      </c>
      <c r="N3522" s="1" t="s">
        <v>38</v>
      </c>
      <c r="O3522" s="1" t="s">
        <v>46</v>
      </c>
    </row>
    <row r="3523" spans="2:15" x14ac:dyDescent="0.3">
      <c r="B3523" s="1" t="s">
        <v>23</v>
      </c>
      <c r="C3523" s="1" t="str">
        <f t="shared" si="199"/>
        <v>4차</v>
      </c>
      <c r="D3523" s="1" t="str">
        <f>"0225Z57144"</f>
        <v>0225Z57144</v>
      </c>
      <c r="E3523" s="1" t="s">
        <v>10</v>
      </c>
      <c r="F3523" s="1" t="str">
        <f>"10.11.75.146"</f>
        <v>10.11.75.146</v>
      </c>
      <c r="G3523" s="1" t="str">
        <f>"0225Z571"</f>
        <v>0225Z571</v>
      </c>
      <c r="H3523" s="1" t="str">
        <f>"화성간 62"</f>
        <v>화성간 62</v>
      </c>
      <c r="I3523" s="1" t="s">
        <v>8</v>
      </c>
      <c r="J3523" s="1" t="str">
        <f>"68/68"</f>
        <v>68/68</v>
      </c>
      <c r="K3523" s="1" t="str">
        <f t="shared" si="200"/>
        <v>2026-07-29 13:18:02</v>
      </c>
      <c r="L3523" s="1" t="str">
        <f>"2019-11-19 08:51:41"</f>
        <v>2019-11-19 08:51:41</v>
      </c>
      <c r="M3523" s="1" t="s">
        <v>2</v>
      </c>
      <c r="N3523" s="1" t="s">
        <v>38</v>
      </c>
      <c r="O3523" s="1" t="s">
        <v>46</v>
      </c>
    </row>
    <row r="3524" spans="2:15" x14ac:dyDescent="0.3">
      <c r="B3524" s="1" t="s">
        <v>23</v>
      </c>
      <c r="C3524" s="1" t="str">
        <f t="shared" si="199"/>
        <v>4차</v>
      </c>
      <c r="D3524" s="1" t="str">
        <f>"0225Z58144"</f>
        <v>0225Z58144</v>
      </c>
      <c r="E3524" s="1" t="s">
        <v>10</v>
      </c>
      <c r="F3524" s="1" t="str">
        <f>"10.11.78.146"</f>
        <v>10.11.78.146</v>
      </c>
      <c r="G3524" s="1" t="str">
        <f>"0225Z581"</f>
        <v>0225Z581</v>
      </c>
      <c r="H3524" s="1" t="str">
        <f>"화성간 63"</f>
        <v>화성간 63</v>
      </c>
      <c r="I3524" s="1" t="s">
        <v>8</v>
      </c>
      <c r="J3524" s="1" t="str">
        <f>"18/18"</f>
        <v>18/18</v>
      </c>
      <c r="K3524" s="1" t="str">
        <f t="shared" si="200"/>
        <v>2026-07-29 13:18:02</v>
      </c>
      <c r="L3524" s="1" t="str">
        <f>"2019-11-19 08:53:04"</f>
        <v>2019-11-19 08:53:04</v>
      </c>
      <c r="M3524" s="1" t="s">
        <v>2</v>
      </c>
      <c r="N3524" s="1" t="s">
        <v>38</v>
      </c>
      <c r="O3524" s="1" t="s">
        <v>46</v>
      </c>
    </row>
    <row r="3525" spans="2:15" x14ac:dyDescent="0.3">
      <c r="B3525" s="1" t="s">
        <v>23</v>
      </c>
      <c r="C3525" s="1" t="str">
        <f t="shared" si="199"/>
        <v>4차</v>
      </c>
      <c r="D3525" s="1" t="str">
        <f>"0225Z59244"</f>
        <v>0225Z59244</v>
      </c>
      <c r="E3525" s="1" t="s">
        <v>10</v>
      </c>
      <c r="F3525" s="1" t="str">
        <f>"10.11.75.162"</f>
        <v>10.11.75.162</v>
      </c>
      <c r="G3525" s="1" t="str">
        <f>"0225Z592"</f>
        <v>0225Z592</v>
      </c>
      <c r="H3525" s="1" t="str">
        <f>"화성간 64L3"</f>
        <v>화성간 64L3</v>
      </c>
      <c r="I3525" s="1" t="s">
        <v>8</v>
      </c>
      <c r="J3525" s="1" t="str">
        <f>"10/10"</f>
        <v>10/10</v>
      </c>
      <c r="K3525" s="1" t="str">
        <f t="shared" si="200"/>
        <v>2026-07-29 13:18:02</v>
      </c>
      <c r="L3525" s="1" t="str">
        <f>"2019-11-19 09:13:04"</f>
        <v>2019-11-19 09:13:04</v>
      </c>
      <c r="M3525" s="1" t="s">
        <v>2</v>
      </c>
      <c r="N3525" s="1" t="s">
        <v>38</v>
      </c>
      <c r="O3525" s="1" t="s">
        <v>46</v>
      </c>
    </row>
    <row r="3526" spans="2:15" x14ac:dyDescent="0.3">
      <c r="B3526" s="1" t="s">
        <v>23</v>
      </c>
      <c r="C3526" s="1" t="str">
        <f t="shared" si="199"/>
        <v>4차</v>
      </c>
      <c r="D3526" s="1" t="str">
        <f>"0225Z60445"</f>
        <v>0225Z60445</v>
      </c>
      <c r="E3526" s="1" t="s">
        <v>10</v>
      </c>
      <c r="F3526" s="1" t="str">
        <f>"10.14.14.58"</f>
        <v>10.14.14.58</v>
      </c>
      <c r="G3526" s="1" t="str">
        <f>"0225Z604"</f>
        <v>0225Z604</v>
      </c>
      <c r="H3526" s="1" t="str">
        <f>"성지간로 1"</f>
        <v>성지간로 1</v>
      </c>
      <c r="I3526" s="1" t="s">
        <v>17</v>
      </c>
      <c r="J3526" s="1" t="str">
        <f>"2/2"</f>
        <v>2/2</v>
      </c>
      <c r="K3526" s="1" t="str">
        <f t="shared" si="200"/>
        <v>2026-07-29 13:18:02</v>
      </c>
      <c r="L3526" s="1" t="str">
        <f>"2021-06-25 09:20:06"</f>
        <v>2021-06-25 09:20:06</v>
      </c>
      <c r="M3526" s="1" t="s">
        <v>3</v>
      </c>
      <c r="N3526" s="1" t="s">
        <v>38</v>
      </c>
      <c r="O3526" s="1" t="s">
        <v>46</v>
      </c>
    </row>
    <row r="3527" spans="2:15" x14ac:dyDescent="0.3">
      <c r="B3527" s="1" t="s">
        <v>23</v>
      </c>
      <c r="C3527" s="1" t="str">
        <f>"3차"</f>
        <v>3차</v>
      </c>
      <c r="D3527" s="1" t="str">
        <f>"0225Z67339"</f>
        <v>0225Z67339</v>
      </c>
      <c r="E3527" s="1" t="s">
        <v>10</v>
      </c>
      <c r="F3527" s="1" t="str">
        <f>"10.11.80.66"</f>
        <v>10.11.80.66</v>
      </c>
      <c r="G3527" s="1" t="str">
        <f>"0225Z673"</f>
        <v>0225Z673</v>
      </c>
      <c r="H3527" s="1" t="str">
        <f>"화성간 64L1R3"</f>
        <v>화성간 64L1R3</v>
      </c>
      <c r="I3527" s="1" t="s">
        <v>8</v>
      </c>
      <c r="J3527" s="1" t="str">
        <f>"49/49"</f>
        <v>49/49</v>
      </c>
      <c r="K3527" s="1" t="str">
        <f t="shared" si="200"/>
        <v>2026-07-29 13:18:02</v>
      </c>
      <c r="L3527" s="1" t="str">
        <f>"2018-10-04 15:02:43"</f>
        <v>2018-10-04 15:02:43</v>
      </c>
      <c r="M3527" s="1" t="s">
        <v>2</v>
      </c>
      <c r="N3527" s="1" t="s">
        <v>38</v>
      </c>
      <c r="O3527" s="1" t="s">
        <v>46</v>
      </c>
    </row>
    <row r="3528" spans="2:15" x14ac:dyDescent="0.3">
      <c r="B3528" s="1" t="s">
        <v>23</v>
      </c>
      <c r="C3528" s="1" t="str">
        <f>"4차"</f>
        <v>4차</v>
      </c>
      <c r="D3528" s="1" t="str">
        <f>"0225Z68344"</f>
        <v>0225Z68344</v>
      </c>
      <c r="E3528" s="1" t="s">
        <v>10</v>
      </c>
      <c r="F3528" s="1" t="str">
        <f>"10.11.75.154"</f>
        <v>10.11.75.154</v>
      </c>
      <c r="G3528" s="1" t="str">
        <f>"0225Z683"</f>
        <v>0225Z683</v>
      </c>
      <c r="H3528" s="1" t="str">
        <f>"화성간 64L1R2"</f>
        <v>화성간 64L1R2</v>
      </c>
      <c r="I3528" s="1" t="s">
        <v>8</v>
      </c>
      <c r="J3528" s="1" t="str">
        <f>"10/10"</f>
        <v>10/10</v>
      </c>
      <c r="K3528" s="1" t="str">
        <f t="shared" si="200"/>
        <v>2026-07-29 13:18:02</v>
      </c>
      <c r="L3528" s="1" t="str">
        <f>"2019-11-19 09:03:05"</f>
        <v>2019-11-19 09:03:05</v>
      </c>
      <c r="M3528" s="1" t="s">
        <v>2</v>
      </c>
      <c r="N3528" s="1" t="s">
        <v>38</v>
      </c>
      <c r="O3528" s="1" t="s">
        <v>46</v>
      </c>
    </row>
    <row r="3529" spans="2:15" x14ac:dyDescent="0.3">
      <c r="B3529" s="1" t="s">
        <v>23</v>
      </c>
      <c r="C3529" s="1" t="str">
        <f>"4차"</f>
        <v>4차</v>
      </c>
      <c r="D3529" s="1" t="str">
        <f>"0225Z70444"</f>
        <v>0225Z70444</v>
      </c>
      <c r="E3529" s="1" t="s">
        <v>10</v>
      </c>
      <c r="F3529" s="1" t="str">
        <f>"10.11.66.186"</f>
        <v>10.11.66.186</v>
      </c>
      <c r="G3529" s="1" t="str">
        <f>"0225Z704"</f>
        <v>0225Z704</v>
      </c>
      <c r="H3529" s="1" t="str">
        <f>"성지간 31L2"</f>
        <v>성지간 31L2</v>
      </c>
      <c r="I3529" s="1" t="s">
        <v>8</v>
      </c>
      <c r="J3529" s="1" t="str">
        <f>"17/17"</f>
        <v>17/17</v>
      </c>
      <c r="K3529" s="1" t="str">
        <f>"2026-07-29 13:18:01"</f>
        <v>2026-07-29 13:18:01</v>
      </c>
      <c r="L3529" s="1" t="str">
        <f>"2019-10-29 10:43:08"</f>
        <v>2019-10-29 10:43:08</v>
      </c>
      <c r="M3529" s="1" t="s">
        <v>2</v>
      </c>
      <c r="N3529" s="1" t="s">
        <v>38</v>
      </c>
      <c r="O3529" s="1" t="s">
        <v>46</v>
      </c>
    </row>
    <row r="3530" spans="2:15" x14ac:dyDescent="0.3">
      <c r="B3530" s="1" t="s">
        <v>23</v>
      </c>
      <c r="C3530" s="1" t="str">
        <f>"5-2차"</f>
        <v>5-2차</v>
      </c>
      <c r="D3530" s="1" t="str">
        <f>"0226C0025M"</f>
        <v>0226C0025M</v>
      </c>
      <c r="E3530" s="1" t="s">
        <v>10</v>
      </c>
      <c r="F3530" s="1" t="str">
        <f>"fde1:103:4:5991:0:0:0:2"</f>
        <v>fde1:103:4:5991:0:0:0:2</v>
      </c>
      <c r="G3530" s="1" t="str">
        <f>"0226C002"</f>
        <v>0226C002</v>
      </c>
      <c r="H3530" s="1" t="str">
        <f>"홍익지 29R3R4"</f>
        <v>홍익지 29R3R4</v>
      </c>
      <c r="I3530" s="1" t="s">
        <v>15</v>
      </c>
      <c r="J3530" s="1" t="str">
        <f>"26/27"</f>
        <v>26/27</v>
      </c>
      <c r="K3530" s="1" t="str">
        <f>"2026-07-29 14:20:34"</f>
        <v>2026-07-29 14:20:34</v>
      </c>
      <c r="L3530" s="1" t="str">
        <f>"2023-09-25 10:04:16"</f>
        <v>2023-09-25 10:04:16</v>
      </c>
      <c r="M3530" s="1" t="s">
        <v>4</v>
      </c>
      <c r="N3530" s="1" t="s">
        <v>38</v>
      </c>
      <c r="O3530" s="1" t="s">
        <v>46</v>
      </c>
    </row>
    <row r="3531" spans="2:15" x14ac:dyDescent="0.3">
      <c r="B3531" s="1" t="s">
        <v>23</v>
      </c>
      <c r="C3531" s="1" t="str">
        <f>"5-1차"</f>
        <v>5-1차</v>
      </c>
      <c r="D3531" s="1" t="str">
        <f>"0226C0225M"</f>
        <v>0226C0225M</v>
      </c>
      <c r="E3531" s="1" t="s">
        <v>10</v>
      </c>
      <c r="F3531" s="1" t="str">
        <f>"fde3:102:1440:5300:0:0:0:3"</f>
        <v>fde3:102:1440:5300:0:0:0:3</v>
      </c>
      <c r="G3531" s="1" t="str">
        <f>"0226C022"</f>
        <v>0226C022</v>
      </c>
      <c r="H3531" s="1" t="str">
        <f>"홍익지 28"</f>
        <v>홍익지 28</v>
      </c>
      <c r="I3531" s="1" t="s">
        <v>15</v>
      </c>
      <c r="J3531" s="1" t="str">
        <f>"30/31"</f>
        <v>30/31</v>
      </c>
      <c r="K3531" s="1" t="str">
        <f>"2026-07-29 14:20:40"</f>
        <v>2026-07-29 14:20:40</v>
      </c>
      <c r="L3531" s="1" t="str">
        <f>"2022-11-01 11:30:01"</f>
        <v>2022-11-01 11:30:01</v>
      </c>
      <c r="M3531" s="1" t="s">
        <v>45</v>
      </c>
      <c r="N3531" s="1" t="s">
        <v>38</v>
      </c>
      <c r="O3531" s="1" t="s">
        <v>46</v>
      </c>
    </row>
    <row r="3532" spans="2:15" x14ac:dyDescent="0.3">
      <c r="B3532" s="1" t="s">
        <v>23</v>
      </c>
      <c r="C3532" s="1" t="str">
        <f t="shared" ref="C3532:C3538" si="201">"5-2차"</f>
        <v>5-2차</v>
      </c>
      <c r="D3532" s="1" t="str">
        <f>"0226C1025M"</f>
        <v>0226C1025M</v>
      </c>
      <c r="E3532" s="1" t="s">
        <v>10</v>
      </c>
      <c r="F3532" s="1" t="str">
        <f>"fde1:103:4:5799:0:0:0:2"</f>
        <v>fde1:103:4:5799:0:0:0:2</v>
      </c>
      <c r="G3532" s="1" t="str">
        <f>"0226C102"</f>
        <v>0226C102</v>
      </c>
      <c r="H3532" s="1" t="str">
        <f>"홍익지 29R5"</f>
        <v>홍익지 29R5</v>
      </c>
      <c r="I3532" s="1" t="s">
        <v>15</v>
      </c>
      <c r="J3532" s="1" t="str">
        <f>"57/58"</f>
        <v>57/58</v>
      </c>
      <c r="K3532" s="1" t="str">
        <f>"2026-07-29 14:20:34"</f>
        <v>2026-07-29 14:20:34</v>
      </c>
      <c r="L3532" s="1" t="str">
        <f>"2023-09-25 10:06:07"</f>
        <v>2023-09-25 10:06:07</v>
      </c>
      <c r="M3532" s="1" t="s">
        <v>4</v>
      </c>
      <c r="N3532" s="1" t="s">
        <v>38</v>
      </c>
      <c r="O3532" s="1" t="s">
        <v>46</v>
      </c>
    </row>
    <row r="3533" spans="2:15" x14ac:dyDescent="0.3">
      <c r="B3533" s="1" t="s">
        <v>23</v>
      </c>
      <c r="C3533" s="1" t="str">
        <f t="shared" si="201"/>
        <v>5-2차</v>
      </c>
      <c r="D3533" s="1" t="str">
        <f>"0226C1145M"</f>
        <v>0226C1145M</v>
      </c>
      <c r="E3533" s="1" t="s">
        <v>10</v>
      </c>
      <c r="F3533" s="1" t="str">
        <f>"fde1:103:4:5a2b:0:0:0:2"</f>
        <v>fde1:103:4:5a2b:0:0:0:2</v>
      </c>
      <c r="G3533" s="1" t="str">
        <f>"0226C114"</f>
        <v>0226C114</v>
      </c>
      <c r="H3533" s="1" t="str">
        <f>"홍익지 29R3R2"</f>
        <v>홍익지 29R3R2</v>
      </c>
      <c r="I3533" s="1" t="s">
        <v>15</v>
      </c>
      <c r="J3533" s="1" t="str">
        <f>"53/53"</f>
        <v>53/53</v>
      </c>
      <c r="K3533" s="1" t="str">
        <f>"2026-07-29 14:20:34"</f>
        <v>2026-07-29 14:20:34</v>
      </c>
      <c r="L3533" s="1" t="str">
        <f>"2023-09-25 10:21:59"</f>
        <v>2023-09-25 10:21:59</v>
      </c>
      <c r="M3533" s="1" t="s">
        <v>4</v>
      </c>
      <c r="N3533" s="1" t="s">
        <v>38</v>
      </c>
      <c r="O3533" s="1" t="s">
        <v>46</v>
      </c>
    </row>
    <row r="3534" spans="2:15" x14ac:dyDescent="0.3">
      <c r="B3534" s="1" t="s">
        <v>23</v>
      </c>
      <c r="C3534" s="1" t="str">
        <f t="shared" si="201"/>
        <v>5-2차</v>
      </c>
      <c r="D3534" s="1" t="str">
        <f>"0226C2025M"</f>
        <v>0226C2025M</v>
      </c>
      <c r="E3534" s="1" t="s">
        <v>10</v>
      </c>
      <c r="F3534" s="1" t="str">
        <f>"fde1:103:4:59ae:0:0:0:2"</f>
        <v>fde1:103:4:59ae:0:0:0:2</v>
      </c>
      <c r="G3534" s="1" t="str">
        <f>"0226C202"</f>
        <v>0226C202</v>
      </c>
      <c r="H3534" s="1" t="str">
        <f>"홍익지 29R5L3"</f>
        <v>홍익지 29R5L3</v>
      </c>
      <c r="I3534" s="1" t="s">
        <v>15</v>
      </c>
      <c r="J3534" s="1" t="str">
        <f>"68/70"</f>
        <v>68/70</v>
      </c>
      <c r="K3534" s="1" t="str">
        <f>"2026-07-29 14:20:34"</f>
        <v>2026-07-29 14:20:34</v>
      </c>
      <c r="L3534" s="1" t="str">
        <f>"2023-09-25 10:23:14"</f>
        <v>2023-09-25 10:23:14</v>
      </c>
      <c r="M3534" s="1" t="s">
        <v>4</v>
      </c>
      <c r="N3534" s="1" t="s">
        <v>38</v>
      </c>
      <c r="O3534" s="1" t="s">
        <v>46</v>
      </c>
    </row>
    <row r="3535" spans="2:15" x14ac:dyDescent="0.3">
      <c r="B3535" s="1" t="s">
        <v>23</v>
      </c>
      <c r="C3535" s="1" t="str">
        <f t="shared" si="201"/>
        <v>5-2차</v>
      </c>
      <c r="D3535" s="1" t="str">
        <f>"0226C2235M"</f>
        <v>0226C2235M</v>
      </c>
      <c r="E3535" s="1" t="s">
        <v>10</v>
      </c>
      <c r="F3535" s="1" t="str">
        <f>"fde1:103:4:58c2:0:0:0:2"</f>
        <v>fde1:103:4:58c2:0:0:0:2</v>
      </c>
      <c r="G3535" s="1" t="str">
        <f>"0226C223"</f>
        <v>0226C223</v>
      </c>
      <c r="H3535" s="1" t="str">
        <f>"홍익지 33R1R2"</f>
        <v>홍익지 33R1R2</v>
      </c>
      <c r="I3535" s="1" t="s">
        <v>15</v>
      </c>
      <c r="J3535" s="1" t="str">
        <f>"25/25"</f>
        <v>25/25</v>
      </c>
      <c r="K3535" s="1" t="str">
        <f>"2026-07-29 14:20:00"</f>
        <v>2026-07-29 14:20:00</v>
      </c>
      <c r="L3535" s="1" t="str">
        <f>"2023-09-25 11:24:45"</f>
        <v>2023-09-25 11:24:45</v>
      </c>
      <c r="M3535" s="1" t="s">
        <v>4</v>
      </c>
      <c r="N3535" s="1" t="s">
        <v>38</v>
      </c>
      <c r="O3535" s="1" t="s">
        <v>46</v>
      </c>
    </row>
    <row r="3536" spans="2:15" x14ac:dyDescent="0.3">
      <c r="B3536" s="1" t="s">
        <v>23</v>
      </c>
      <c r="C3536" s="1" t="str">
        <f t="shared" si="201"/>
        <v>5-2차</v>
      </c>
      <c r="D3536" s="1" t="str">
        <f>"0226C3025M"</f>
        <v>0226C3025M</v>
      </c>
      <c r="E3536" s="1" t="s">
        <v>10</v>
      </c>
      <c r="F3536" s="1" t="str">
        <f>"fde1:103:4:59c2:0:0:0:2"</f>
        <v>fde1:103:4:59c2:0:0:0:2</v>
      </c>
      <c r="G3536" s="1" t="str">
        <f>"0226C302"</f>
        <v>0226C302</v>
      </c>
      <c r="H3536" s="1" t="str">
        <f>"홍익지 29R5L4"</f>
        <v>홍익지 29R5L4</v>
      </c>
      <c r="I3536" s="1" t="s">
        <v>15</v>
      </c>
      <c r="J3536" s="1" t="str">
        <f>"27/27"</f>
        <v>27/27</v>
      </c>
      <c r="K3536" s="1" t="str">
        <f>"2026-07-29 14:20:34"</f>
        <v>2026-07-29 14:20:34</v>
      </c>
      <c r="L3536" s="1" t="str">
        <f>"2023-09-25 10:24:22"</f>
        <v>2023-09-25 10:24:22</v>
      </c>
      <c r="M3536" s="1" t="s">
        <v>4</v>
      </c>
      <c r="N3536" s="1" t="s">
        <v>38</v>
      </c>
      <c r="O3536" s="1" t="s">
        <v>46</v>
      </c>
    </row>
    <row r="3537" spans="2:15" x14ac:dyDescent="0.3">
      <c r="B3537" s="1" t="s">
        <v>23</v>
      </c>
      <c r="C3537" s="1" t="str">
        <f t="shared" si="201"/>
        <v>5-2차</v>
      </c>
      <c r="D3537" s="1" t="str">
        <f>"0226C4125M"</f>
        <v>0226C4125M</v>
      </c>
      <c r="E3537" s="1" t="s">
        <v>10</v>
      </c>
      <c r="F3537" s="1" t="str">
        <f>"fde1:103:4:575e:0:0:0:2"</f>
        <v>fde1:103:4:575e:0:0:0:2</v>
      </c>
      <c r="G3537" s="1" t="str">
        <f>"0226C412"</f>
        <v>0226C412</v>
      </c>
      <c r="H3537" s="1" t="str">
        <f>"홍익지 33R3"</f>
        <v>홍익지 33R3</v>
      </c>
      <c r="I3537" s="1" t="s">
        <v>15</v>
      </c>
      <c r="J3537" s="1" t="str">
        <f>"30/32"</f>
        <v>30/32</v>
      </c>
      <c r="K3537" s="1" t="str">
        <f>"2026-07-29 14:21:11"</f>
        <v>2026-07-29 14:21:11</v>
      </c>
      <c r="L3537" s="1" t="str">
        <f>"2023-09-25 11:03:23"</f>
        <v>2023-09-25 11:03:23</v>
      </c>
      <c r="M3537" s="1" t="s">
        <v>4</v>
      </c>
      <c r="N3537" s="1" t="s">
        <v>38</v>
      </c>
      <c r="O3537" s="1" t="s">
        <v>46</v>
      </c>
    </row>
    <row r="3538" spans="2:15" x14ac:dyDescent="0.3">
      <c r="B3538" s="1" t="s">
        <v>23</v>
      </c>
      <c r="C3538" s="1" t="str">
        <f t="shared" si="201"/>
        <v>5-2차</v>
      </c>
      <c r="D3538" s="1" t="str">
        <f>"0226C4225M"</f>
        <v>0226C4225M</v>
      </c>
      <c r="E3538" s="1" t="s">
        <v>10</v>
      </c>
      <c r="F3538" s="1" t="str">
        <f>"fde1:103:4:5874:0:0:0:2"</f>
        <v>fde1:103:4:5874:0:0:0:2</v>
      </c>
      <c r="G3538" s="1" t="str">
        <f>"0226C422"</f>
        <v>0226C422</v>
      </c>
      <c r="H3538" s="1" t="str">
        <f>"홍익지 33R1"</f>
        <v>홍익지 33R1</v>
      </c>
      <c r="I3538" s="1" t="s">
        <v>15</v>
      </c>
      <c r="J3538" s="1" t="str">
        <f>"48/48"</f>
        <v>48/48</v>
      </c>
      <c r="K3538" s="1" t="str">
        <f>"2026-07-29 14:20:34"</f>
        <v>2026-07-29 14:20:34</v>
      </c>
      <c r="L3538" s="1" t="str">
        <f>"2023-09-25 13:14:40"</f>
        <v>2023-09-25 13:14:40</v>
      </c>
      <c r="M3538" s="1" t="s">
        <v>4</v>
      </c>
      <c r="N3538" s="1" t="s">
        <v>38</v>
      </c>
      <c r="O3538" s="1" t="s">
        <v>46</v>
      </c>
    </row>
    <row r="3539" spans="2:15" x14ac:dyDescent="0.3">
      <c r="B3539" s="1" t="s">
        <v>23</v>
      </c>
      <c r="C3539" s="1" t="str">
        <f>"4차"</f>
        <v>4차</v>
      </c>
      <c r="D3539" s="1" t="str">
        <f>"0226C50539"</f>
        <v>0226C50539</v>
      </c>
      <c r="E3539" s="1" t="s">
        <v>10</v>
      </c>
      <c r="F3539" s="1" t="str">
        <f>"10.12.134.209"</f>
        <v>10.12.134.209</v>
      </c>
      <c r="G3539" s="1" t="str">
        <f>"0226C505"</f>
        <v>0226C505</v>
      </c>
      <c r="H3539" s="1" t="str">
        <f>"고산자로 67-2"</f>
        <v>고산자로 67-2</v>
      </c>
      <c r="I3539" s="1" t="s">
        <v>17</v>
      </c>
      <c r="J3539" s="1" t="str">
        <f>"1/1"</f>
        <v>1/1</v>
      </c>
      <c r="K3539" s="1" t="str">
        <f>"2026-07-29 13:18:04"</f>
        <v>2026-07-29 13:18:04</v>
      </c>
      <c r="L3539" s="1" t="str">
        <f>"2018-05-25 10:57:11"</f>
        <v>2018-05-25 10:57:11</v>
      </c>
      <c r="M3539" s="1" t="s">
        <v>0</v>
      </c>
      <c r="N3539" s="1" t="s">
        <v>38</v>
      </c>
      <c r="O3539" s="1" t="s">
        <v>46</v>
      </c>
    </row>
    <row r="3540" spans="2:15" x14ac:dyDescent="0.3">
      <c r="B3540" s="1" t="s">
        <v>23</v>
      </c>
      <c r="C3540" s="1" t="str">
        <f>"4차"</f>
        <v>4차</v>
      </c>
      <c r="D3540" s="1" t="str">
        <f>"0226C51439"</f>
        <v>0226C51439</v>
      </c>
      <c r="E3540" s="1" t="s">
        <v>10</v>
      </c>
      <c r="F3540" s="1" t="str">
        <f>"10.14.1.26"</f>
        <v>10.14.1.26</v>
      </c>
      <c r="G3540" s="1" t="str">
        <f>"0226C514"</f>
        <v>0226C514</v>
      </c>
      <c r="H3540" s="1" t="str">
        <f>"고산자로 67-4"</f>
        <v>고산자로 67-4</v>
      </c>
      <c r="I3540" s="1" t="s">
        <v>17</v>
      </c>
      <c r="J3540" s="1" t="str">
        <f>"8/8"</f>
        <v>8/8</v>
      </c>
      <c r="K3540" s="1" t="str">
        <f>"2026-07-29 13:18:03"</f>
        <v>2026-07-29 13:18:03</v>
      </c>
      <c r="L3540" s="1" t="str">
        <f>"2018-05-25 10:40:40"</f>
        <v>2018-05-25 10:40:40</v>
      </c>
      <c r="M3540" s="1" t="s">
        <v>3</v>
      </c>
      <c r="N3540" s="1" t="s">
        <v>38</v>
      </c>
      <c r="O3540" s="1" t="s">
        <v>46</v>
      </c>
    </row>
    <row r="3541" spans="2:15" x14ac:dyDescent="0.3">
      <c r="B3541" s="1" t="s">
        <v>23</v>
      </c>
      <c r="C3541" s="1" t="str">
        <f>"4차"</f>
        <v>4차</v>
      </c>
      <c r="D3541" s="1" t="str">
        <f>"0226C51839"</f>
        <v>0226C51839</v>
      </c>
      <c r="E3541" s="1" t="str">
        <f>"검침실패(3시간 이상)"</f>
        <v>검침실패(3시간 이상)</v>
      </c>
      <c r="F3541" s="1" t="str">
        <f>"10.12.134.230"</f>
        <v>10.12.134.230</v>
      </c>
      <c r="G3541" s="1" t="str">
        <f>"0226C518"</f>
        <v>0226C518</v>
      </c>
      <c r="H3541" s="1" t="str">
        <f>"고산자로 67-3"</f>
        <v>고산자로 67-3</v>
      </c>
      <c r="I3541" s="1" t="s">
        <v>17</v>
      </c>
      <c r="J3541" s="1" t="str">
        <f>"0/1"</f>
        <v>0/1</v>
      </c>
      <c r="K3541" s="1" t="str">
        <f>"2026-07-29 13:18:02"</f>
        <v>2026-07-29 13:18:02</v>
      </c>
      <c r="L3541" s="1" t="str">
        <f>"2018-05-25 10:48:40"</f>
        <v>2018-05-25 10:48:40</v>
      </c>
      <c r="M3541" s="1" t="s">
        <v>0</v>
      </c>
      <c r="N3541" s="1" t="s">
        <v>38</v>
      </c>
      <c r="O3541" s="1" t="s">
        <v>46</v>
      </c>
    </row>
    <row r="3542" spans="2:15" x14ac:dyDescent="0.3">
      <c r="B3542" s="1" t="s">
        <v>23</v>
      </c>
      <c r="C3542" s="1" t="str">
        <f>"6차"</f>
        <v>6차</v>
      </c>
      <c r="D3542" s="1" t="str">
        <f>"0226C8116S"</f>
        <v>0226C8116S</v>
      </c>
      <c r="E3542" s="1" t="s">
        <v>10</v>
      </c>
      <c r="F3542" s="1" t="str">
        <f>"fde1:103:4:9271:0:0:0:2"</f>
        <v>fde1:103:4:9271:0:0:0:2</v>
      </c>
      <c r="G3542" s="1" t="str">
        <f>"0226C811"</f>
        <v>0226C811</v>
      </c>
      <c r="H3542" s="1" t="str">
        <f>"홍익지 42L3"</f>
        <v>홍익지 42L3</v>
      </c>
      <c r="I3542" s="1" t="s">
        <v>15</v>
      </c>
      <c r="J3542" s="1" t="str">
        <f>"38/38"</f>
        <v>38/38</v>
      </c>
      <c r="K3542" s="1" t="str">
        <f>"2026-07-29 14:20:40"</f>
        <v>2026-07-29 14:20:40</v>
      </c>
      <c r="L3542" s="1" t="str">
        <f>"2024-09-27 17:06:03"</f>
        <v>2024-09-27 17:06:03</v>
      </c>
      <c r="M3542" s="1" t="s">
        <v>4</v>
      </c>
      <c r="N3542" s="1" t="s">
        <v>38</v>
      </c>
      <c r="O3542" s="1" t="s">
        <v>46</v>
      </c>
    </row>
    <row r="3543" spans="2:15" x14ac:dyDescent="0.3">
      <c r="B3543" s="1" t="s">
        <v>23</v>
      </c>
      <c r="C3543" s="1" t="s">
        <v>16</v>
      </c>
      <c r="D3543" s="1" t="str">
        <f>"0226P03541"</f>
        <v>0226P03541</v>
      </c>
      <c r="E3543" s="1" t="s">
        <v>10</v>
      </c>
      <c r="F3543" s="1" t="str">
        <f>"10.12.129.96"</f>
        <v>10.12.129.96</v>
      </c>
      <c r="G3543" s="1" t="str">
        <f>"0226P035"</f>
        <v>0226P035</v>
      </c>
      <c r="H3543" s="1" t="str">
        <f>"지사간 6R4R1"</f>
        <v>지사간 6R4R1</v>
      </c>
      <c r="I3543" s="1" t="s">
        <v>17</v>
      </c>
      <c r="J3543" s="1" t="str">
        <f>"13/16"</f>
        <v>13/16</v>
      </c>
      <c r="K3543" s="1" t="str">
        <f>"2026-07-29 13:18:04"</f>
        <v>2026-07-29 13:18:04</v>
      </c>
      <c r="L3543" s="1" t="str">
        <f>"2022-11-11 08:51:55"</f>
        <v>2022-11-11 08:51:55</v>
      </c>
      <c r="M3543" s="1" t="s">
        <v>0</v>
      </c>
      <c r="N3543" s="1" t="s">
        <v>38</v>
      </c>
      <c r="O3543" s="1" t="s">
        <v>46</v>
      </c>
    </row>
    <row r="3544" spans="2:15" x14ac:dyDescent="0.3">
      <c r="B3544" s="1" t="s">
        <v>23</v>
      </c>
      <c r="C3544" s="1" t="str">
        <f>"4차"</f>
        <v>4차</v>
      </c>
      <c r="D3544" s="1" t="str">
        <f>"0226P04144"</f>
        <v>0226P04144</v>
      </c>
      <c r="E3544" s="1" t="s">
        <v>10</v>
      </c>
      <c r="F3544" s="1" t="str">
        <f>"10.11.77.2"</f>
        <v>10.11.77.2</v>
      </c>
      <c r="G3544" s="1" t="str">
        <f>"0226P041"</f>
        <v>0226P041</v>
      </c>
      <c r="H3544" s="1" t="str">
        <f>"지사간 6R6R1"</f>
        <v>지사간 6R6R1</v>
      </c>
      <c r="I3544" s="1" t="s">
        <v>8</v>
      </c>
      <c r="J3544" s="1" t="str">
        <f>"12/12"</f>
        <v>12/12</v>
      </c>
      <c r="K3544" s="1" t="str">
        <f>"2026-07-29 13:18:02"</f>
        <v>2026-07-29 13:18:02</v>
      </c>
      <c r="L3544" s="1" t="str">
        <f>"2019-11-04 19:53:05"</f>
        <v>2019-11-04 19:53:05</v>
      </c>
      <c r="M3544" s="1" t="s">
        <v>2</v>
      </c>
      <c r="N3544" s="1" t="s">
        <v>38</v>
      </c>
      <c r="O3544" s="1" t="s">
        <v>46</v>
      </c>
    </row>
    <row r="3545" spans="2:15" x14ac:dyDescent="0.3">
      <c r="B3545" s="1" t="s">
        <v>23</v>
      </c>
      <c r="C3545" s="1" t="str">
        <f>"5-2차"</f>
        <v>5-2차</v>
      </c>
      <c r="D3545" s="1" t="str">
        <f>"0226P0835M"</f>
        <v>0226P0835M</v>
      </c>
      <c r="E3545" s="1" t="s">
        <v>10</v>
      </c>
      <c r="F3545" s="1" t="str">
        <f>"fde1:103:4:59b1:0:0:0:2"</f>
        <v>fde1:103:4:59b1:0:0:0:2</v>
      </c>
      <c r="G3545" s="1" t="str">
        <f>"0226P083"</f>
        <v>0226P083</v>
      </c>
      <c r="H3545" s="1" t="str">
        <f>"홍익지 33R7R6"</f>
        <v>홍익지 33R7R6</v>
      </c>
      <c r="I3545" s="1" t="s">
        <v>15</v>
      </c>
      <c r="J3545" s="1" t="str">
        <f>"32/32"</f>
        <v>32/32</v>
      </c>
      <c r="K3545" s="1" t="str">
        <f>"2026-07-29 14:20:27"</f>
        <v>2026-07-29 14:20:27</v>
      </c>
      <c r="L3545" s="1" t="str">
        <f>"2023-09-25 13:15:07"</f>
        <v>2023-09-25 13:15:07</v>
      </c>
      <c r="M3545" s="1" t="s">
        <v>4</v>
      </c>
      <c r="N3545" s="1" t="s">
        <v>38</v>
      </c>
      <c r="O3545" s="1" t="s">
        <v>46</v>
      </c>
    </row>
    <row r="3546" spans="2:15" x14ac:dyDescent="0.3">
      <c r="B3546" s="1" t="s">
        <v>23</v>
      </c>
      <c r="C3546" s="1" t="s">
        <v>16</v>
      </c>
      <c r="D3546" s="1" t="str">
        <f>"0226P09141"</f>
        <v>0226P09141</v>
      </c>
      <c r="E3546" s="1" t="s">
        <v>10</v>
      </c>
      <c r="F3546" s="1" t="str">
        <f>"10.14.14.129"</f>
        <v>10.14.14.129</v>
      </c>
      <c r="G3546" s="1" t="str">
        <f>"0226P091"</f>
        <v>0226P091</v>
      </c>
      <c r="H3546" s="1" t="str">
        <f>"홍익지 29R7"</f>
        <v>홍익지 29R7</v>
      </c>
      <c r="I3546" s="1" t="s">
        <v>17</v>
      </c>
      <c r="J3546" s="1" t="str">
        <f>"19/19"</f>
        <v>19/19</v>
      </c>
      <c r="K3546" s="1" t="str">
        <f>"2026-07-29 13:18:03"</f>
        <v>2026-07-29 13:18:03</v>
      </c>
      <c r="L3546" s="1" t="str">
        <f>"2022-11-11 10:58:41"</f>
        <v>2022-11-11 10:58:41</v>
      </c>
      <c r="M3546" s="1" t="s">
        <v>3</v>
      </c>
      <c r="N3546" s="1" t="s">
        <v>38</v>
      </c>
      <c r="O3546" s="1" t="s">
        <v>46</v>
      </c>
    </row>
    <row r="3547" spans="2:15" x14ac:dyDescent="0.3">
      <c r="B3547" s="1" t="s">
        <v>23</v>
      </c>
      <c r="C3547" s="1" t="str">
        <f>"6차"</f>
        <v>6차</v>
      </c>
      <c r="D3547" s="1" t="str">
        <f>"0226P1036S"</f>
        <v>0226P1036S</v>
      </c>
      <c r="E3547" s="1" t="s">
        <v>10</v>
      </c>
      <c r="F3547" s="1" t="str">
        <f>"fde1:103:4:910b:0:0:0:2"</f>
        <v>fde1:103:4:910b:0:0:0:2</v>
      </c>
      <c r="G3547" s="1" t="str">
        <f>"0226P103"</f>
        <v>0226P103</v>
      </c>
      <c r="H3547" s="1" t="str">
        <f>"도선간 3L1"</f>
        <v>도선간 3L1</v>
      </c>
      <c r="I3547" s="1" t="s">
        <v>15</v>
      </c>
      <c r="J3547" s="1" t="str">
        <f>"37/43"</f>
        <v>37/43</v>
      </c>
      <c r="K3547" s="1" t="str">
        <f>"2026-07-29 14:20:00"</f>
        <v>2026-07-29 14:20:00</v>
      </c>
      <c r="L3547" s="1" t="str">
        <f>"2024-09-25 19:56:51"</f>
        <v>2024-09-25 19:56:51</v>
      </c>
      <c r="M3547" s="1" t="s">
        <v>4</v>
      </c>
      <c r="N3547" s="1" t="s">
        <v>38</v>
      </c>
      <c r="O3547" s="1" t="s">
        <v>46</v>
      </c>
    </row>
    <row r="3548" spans="2:15" x14ac:dyDescent="0.3">
      <c r="B3548" s="1" t="s">
        <v>23</v>
      </c>
      <c r="C3548" s="1" t="str">
        <f>"6차"</f>
        <v>6차</v>
      </c>
      <c r="D3548" s="1" t="str">
        <f>"0226P1056S"</f>
        <v>0226P1056S</v>
      </c>
      <c r="E3548" s="1" t="s">
        <v>10</v>
      </c>
      <c r="F3548" s="1" t="str">
        <f>"fde1:103:4:9229:0:0:0:2"</f>
        <v>fde1:103:4:9229:0:0:0:2</v>
      </c>
      <c r="G3548" s="1" t="str">
        <f>"0226P105"</f>
        <v>0226P105</v>
      </c>
      <c r="H3548" s="1" t="str">
        <f>"지사간 2"</f>
        <v>지사간 2</v>
      </c>
      <c r="I3548" s="1" t="s">
        <v>15</v>
      </c>
      <c r="J3548" s="1" t="str">
        <f>"30/36"</f>
        <v>30/36</v>
      </c>
      <c r="K3548" s="1" t="str">
        <f>"2026-07-29 14:20:27"</f>
        <v>2026-07-29 14:20:27</v>
      </c>
      <c r="L3548" s="1" t="str">
        <f>"2024-09-27 16:46:17"</f>
        <v>2024-09-27 16:46:17</v>
      </c>
      <c r="M3548" s="1" t="s">
        <v>4</v>
      </c>
      <c r="N3548" s="1" t="s">
        <v>38</v>
      </c>
      <c r="O3548" s="1" t="s">
        <v>46</v>
      </c>
    </row>
    <row r="3549" spans="2:15" x14ac:dyDescent="0.3">
      <c r="B3549" s="1" t="s">
        <v>23</v>
      </c>
      <c r="C3549" s="1" t="s">
        <v>16</v>
      </c>
      <c r="D3549" s="1" t="str">
        <f>"0226P11241"</f>
        <v>0226P11241</v>
      </c>
      <c r="E3549" s="1" t="s">
        <v>10</v>
      </c>
      <c r="F3549" s="1" t="str">
        <f>"10.12.131.225"</f>
        <v>10.12.131.225</v>
      </c>
      <c r="G3549" s="1" t="str">
        <f>"0226P112"</f>
        <v>0226P112</v>
      </c>
      <c r="H3549" s="1" t="str">
        <f>"지사간 4"</f>
        <v>지사간 4</v>
      </c>
      <c r="I3549" s="1" t="s">
        <v>17</v>
      </c>
      <c r="J3549" s="1" t="str">
        <f>"21/25"</f>
        <v>21/25</v>
      </c>
      <c r="K3549" s="1" t="str">
        <f>"2026-07-29 13:18:02"</f>
        <v>2026-07-29 13:18:02</v>
      </c>
      <c r="L3549" s="1" t="str">
        <f>"2022-11-10 13:32:09"</f>
        <v>2022-11-10 13:32:09</v>
      </c>
      <c r="M3549" s="1" t="s">
        <v>0</v>
      </c>
      <c r="N3549" s="1" t="s">
        <v>38</v>
      </c>
      <c r="O3549" s="1" t="s">
        <v>46</v>
      </c>
    </row>
    <row r="3550" spans="2:15" x14ac:dyDescent="0.3">
      <c r="B3550" s="1" t="s">
        <v>23</v>
      </c>
      <c r="C3550" s="1" t="str">
        <f>"4차"</f>
        <v>4차</v>
      </c>
      <c r="D3550" s="1" t="str">
        <f>"0226P12144"</f>
        <v>0226P12144</v>
      </c>
      <c r="E3550" s="1" t="s">
        <v>10</v>
      </c>
      <c r="F3550" s="1" t="str">
        <f>"10.11.77.18"</f>
        <v>10.11.77.18</v>
      </c>
      <c r="G3550" s="1" t="str">
        <f>"0226P121"</f>
        <v>0226P121</v>
      </c>
      <c r="H3550" s="1" t="str">
        <f>"지사간 6R4R2"</f>
        <v>지사간 6R4R2</v>
      </c>
      <c r="I3550" s="1" t="s">
        <v>8</v>
      </c>
      <c r="J3550" s="1" t="str">
        <f>"31/31"</f>
        <v>31/31</v>
      </c>
      <c r="K3550" s="1" t="str">
        <f>"2026-07-29 13:18:02"</f>
        <v>2026-07-29 13:18:02</v>
      </c>
      <c r="L3550" s="1" t="str">
        <f>"2019-11-04 19:43:05"</f>
        <v>2019-11-04 19:43:05</v>
      </c>
      <c r="M3550" s="1" t="s">
        <v>2</v>
      </c>
      <c r="N3550" s="1" t="s">
        <v>38</v>
      </c>
      <c r="O3550" s="1" t="s">
        <v>46</v>
      </c>
    </row>
    <row r="3551" spans="2:15" x14ac:dyDescent="0.3">
      <c r="B3551" s="1" t="s">
        <v>23</v>
      </c>
      <c r="C3551" s="1" t="str">
        <f>"4차"</f>
        <v>4차</v>
      </c>
      <c r="D3551" s="1" t="str">
        <f>"0226P13144"</f>
        <v>0226P13144</v>
      </c>
      <c r="E3551" s="1" t="s">
        <v>10</v>
      </c>
      <c r="F3551" s="1" t="str">
        <f>"10.11.77.106"</f>
        <v>10.11.77.106</v>
      </c>
      <c r="G3551" s="1" t="str">
        <f>"0226P131"</f>
        <v>0226P131</v>
      </c>
      <c r="H3551" s="1" t="str">
        <f>"지사간 6R4R5R2"</f>
        <v>지사간 6R4R5R2</v>
      </c>
      <c r="I3551" s="1" t="s">
        <v>8</v>
      </c>
      <c r="J3551" s="1" t="str">
        <f>"17/17"</f>
        <v>17/17</v>
      </c>
      <c r="K3551" s="1" t="str">
        <f>"2026-07-29 13:18:00"</f>
        <v>2026-07-29 13:18:00</v>
      </c>
      <c r="L3551" s="1" t="str">
        <f>"2019-11-04 19:53:05"</f>
        <v>2019-11-04 19:53:05</v>
      </c>
      <c r="M3551" s="1" t="s">
        <v>2</v>
      </c>
      <c r="N3551" s="1" t="s">
        <v>38</v>
      </c>
      <c r="O3551" s="1" t="s">
        <v>46</v>
      </c>
    </row>
    <row r="3552" spans="2:15" x14ac:dyDescent="0.3">
      <c r="B3552" s="1" t="s">
        <v>23</v>
      </c>
      <c r="C3552" s="1" t="str">
        <f>"5-2차"</f>
        <v>5-2차</v>
      </c>
      <c r="D3552" s="1" t="str">
        <f>"0226P1715M"</f>
        <v>0226P1715M</v>
      </c>
      <c r="E3552" s="1" t="s">
        <v>10</v>
      </c>
      <c r="F3552" s="1" t="str">
        <f>"fde1:103:4:5833:0:0:0:2"</f>
        <v>fde1:103:4:5833:0:0:0:2</v>
      </c>
      <c r="G3552" s="1" t="str">
        <f>"0226P171"</f>
        <v>0226P171</v>
      </c>
      <c r="H3552" s="1" t="str">
        <f>"홍익지 33R13"</f>
        <v>홍익지 33R13</v>
      </c>
      <c r="I3552" s="1" t="s">
        <v>15</v>
      </c>
      <c r="J3552" s="1" t="str">
        <f>"45/46"</f>
        <v>45/46</v>
      </c>
      <c r="K3552" s="1" t="str">
        <f>"2026-07-29 14:20:27"</f>
        <v>2026-07-29 14:20:27</v>
      </c>
      <c r="L3552" s="1" t="str">
        <f>"2023-09-25 13:16:28"</f>
        <v>2023-09-25 13:16:28</v>
      </c>
      <c r="M3552" s="1" t="s">
        <v>4</v>
      </c>
      <c r="N3552" s="1" t="s">
        <v>38</v>
      </c>
      <c r="O3552" s="1" t="s">
        <v>46</v>
      </c>
    </row>
    <row r="3553" spans="2:15" x14ac:dyDescent="0.3">
      <c r="B3553" s="1" t="s">
        <v>23</v>
      </c>
      <c r="C3553" s="1" t="str">
        <f>"5-2차"</f>
        <v>5-2차</v>
      </c>
      <c r="D3553" s="1" t="str">
        <f>"0226P1925M"</f>
        <v>0226P1925M</v>
      </c>
      <c r="E3553" s="1" t="s">
        <v>10</v>
      </c>
      <c r="F3553" s="1" t="str">
        <f>"fde1:103:4:599a:0:0:0:2"</f>
        <v>fde1:103:4:599a:0:0:0:2</v>
      </c>
      <c r="G3553" s="1" t="str">
        <f>"0226P192"</f>
        <v>0226P192</v>
      </c>
      <c r="H3553" s="1" t="str">
        <f>"홍익지 33R7R5"</f>
        <v>홍익지 33R7R5</v>
      </c>
      <c r="I3553" s="1" t="s">
        <v>15</v>
      </c>
      <c r="J3553" s="1" t="str">
        <f>"47/47"</f>
        <v>47/47</v>
      </c>
      <c r="K3553" s="1" t="str">
        <f>"2026-07-29 14:20:32"</f>
        <v>2026-07-29 14:20:32</v>
      </c>
      <c r="L3553" s="1" t="str">
        <f>"2023-09-25 13:37:50"</f>
        <v>2023-09-25 13:37:50</v>
      </c>
      <c r="M3553" s="1" t="s">
        <v>4</v>
      </c>
      <c r="N3553" s="1" t="s">
        <v>38</v>
      </c>
      <c r="O3553" s="1" t="s">
        <v>46</v>
      </c>
    </row>
    <row r="3554" spans="2:15" x14ac:dyDescent="0.3">
      <c r="B3554" s="1" t="s">
        <v>23</v>
      </c>
      <c r="C3554" s="1" t="str">
        <f>"4차"</f>
        <v>4차</v>
      </c>
      <c r="D3554" s="1" t="str">
        <f>"0226P20639"</f>
        <v>0226P20639</v>
      </c>
      <c r="E3554" s="1" t="s">
        <v>10</v>
      </c>
      <c r="F3554" s="1" t="str">
        <f>"10.12.134.212"</f>
        <v>10.12.134.212</v>
      </c>
      <c r="G3554" s="1" t="str">
        <f>"0226P206"</f>
        <v>0226P206</v>
      </c>
      <c r="H3554" s="1" t="str">
        <f>"고산자로 11-1"</f>
        <v>고산자로 11-1</v>
      </c>
      <c r="I3554" s="1" t="s">
        <v>17</v>
      </c>
      <c r="J3554" s="1" t="str">
        <f>"2/2"</f>
        <v>2/2</v>
      </c>
      <c r="K3554" s="1" t="str">
        <f>"2026-07-29 13:18:03"</f>
        <v>2026-07-29 13:18:03</v>
      </c>
      <c r="L3554" s="1" t="str">
        <f>"2018-05-24 12:41:14"</f>
        <v>2018-05-24 12:41:14</v>
      </c>
      <c r="M3554" s="1" t="s">
        <v>0</v>
      </c>
      <c r="N3554" s="1" t="s">
        <v>38</v>
      </c>
      <c r="O3554" s="1" t="s">
        <v>46</v>
      </c>
    </row>
    <row r="3555" spans="2:15" x14ac:dyDescent="0.3">
      <c r="B3555" s="1" t="s">
        <v>23</v>
      </c>
      <c r="C3555" s="1" t="str">
        <f>"4차"</f>
        <v>4차</v>
      </c>
      <c r="D3555" s="1" t="str">
        <f>"0226P21439"</f>
        <v>0226P21439</v>
      </c>
      <c r="E3555" s="1" t="s">
        <v>10</v>
      </c>
      <c r="F3555" s="1" t="str">
        <f>"10.12.134.202"</f>
        <v>10.12.134.202</v>
      </c>
      <c r="G3555" s="1" t="str">
        <f>"0226P214"</f>
        <v>0226P214</v>
      </c>
      <c r="H3555" s="1" t="str">
        <f>"고산자로 63-1"</f>
        <v>고산자로 63-1</v>
      </c>
      <c r="I3555" s="1" t="s">
        <v>17</v>
      </c>
      <c r="J3555" s="1" t="str">
        <f>"6/6"</f>
        <v>6/6</v>
      </c>
      <c r="K3555" s="1" t="str">
        <f>"2026-07-29 13:18:01"</f>
        <v>2026-07-29 13:18:01</v>
      </c>
      <c r="L3555" s="1" t="str">
        <f>"2018-05-24 12:13:13"</f>
        <v>2018-05-24 12:13:13</v>
      </c>
      <c r="M3555" s="1" t="s">
        <v>0</v>
      </c>
      <c r="N3555" s="1" t="s">
        <v>38</v>
      </c>
      <c r="O3555" s="1" t="s">
        <v>46</v>
      </c>
    </row>
    <row r="3556" spans="2:15" x14ac:dyDescent="0.3">
      <c r="B3556" s="1" t="s">
        <v>23</v>
      </c>
      <c r="C3556" s="1" t="str">
        <f>"4차"</f>
        <v>4차</v>
      </c>
      <c r="D3556" s="1" t="str">
        <f>"0226P22144"</f>
        <v>0226P22144</v>
      </c>
      <c r="E3556" s="1" t="s">
        <v>10</v>
      </c>
      <c r="F3556" s="1" t="str">
        <f>"10.11.77.122"</f>
        <v>10.11.77.122</v>
      </c>
      <c r="G3556" s="1" t="str">
        <f>"0226P221"</f>
        <v>0226P221</v>
      </c>
      <c r="H3556" s="1" t="str">
        <f>"지사간 6R4R4"</f>
        <v>지사간 6R4R4</v>
      </c>
      <c r="I3556" s="1" t="s">
        <v>8</v>
      </c>
      <c r="J3556" s="1" t="str">
        <f>"8/8"</f>
        <v>8/8</v>
      </c>
      <c r="K3556" s="1" t="str">
        <f>"2026-07-29 13:18:02"</f>
        <v>2026-07-29 13:18:02</v>
      </c>
      <c r="L3556" s="1" t="str">
        <f>"2019-11-04 19:53:05"</f>
        <v>2019-11-04 19:53:05</v>
      </c>
      <c r="M3556" s="1" t="s">
        <v>2</v>
      </c>
      <c r="N3556" s="1" t="s">
        <v>38</v>
      </c>
      <c r="O3556" s="1" t="s">
        <v>46</v>
      </c>
    </row>
    <row r="3557" spans="2:15" x14ac:dyDescent="0.3">
      <c r="B3557" s="1" t="s">
        <v>23</v>
      </c>
      <c r="C3557" s="1" t="str">
        <f>"4차"</f>
        <v>4차</v>
      </c>
      <c r="D3557" s="1" t="str">
        <f>"0226P24144"</f>
        <v>0226P24144</v>
      </c>
      <c r="E3557" s="1" t="s">
        <v>10</v>
      </c>
      <c r="F3557" s="1" t="str">
        <f>"10.11.77.130"</f>
        <v>10.11.77.130</v>
      </c>
      <c r="G3557" s="1" t="str">
        <f>"0226P241"</f>
        <v>0226P241</v>
      </c>
      <c r="H3557" s="1" t="str">
        <f>"지사간 6R4R6"</f>
        <v>지사간 6R4R6</v>
      </c>
      <c r="I3557" s="1" t="s">
        <v>8</v>
      </c>
      <c r="J3557" s="1" t="str">
        <f>"8/8"</f>
        <v>8/8</v>
      </c>
      <c r="K3557" s="1" t="str">
        <f>"2026-07-29 13:18:00"</f>
        <v>2026-07-29 13:18:00</v>
      </c>
      <c r="L3557" s="1" t="str">
        <f>"2020-02-10 18:36:24"</f>
        <v>2020-02-10 18:36:24</v>
      </c>
      <c r="M3557" s="1" t="s">
        <v>2</v>
      </c>
      <c r="N3557" s="1" t="s">
        <v>38</v>
      </c>
      <c r="O3557" s="1" t="s">
        <v>46</v>
      </c>
    </row>
    <row r="3558" spans="2:15" x14ac:dyDescent="0.3">
      <c r="B3558" s="1" t="s">
        <v>23</v>
      </c>
      <c r="C3558" s="1" t="str">
        <f>"5-2차"</f>
        <v>5-2차</v>
      </c>
      <c r="D3558" s="1" t="str">
        <f>"0226P2545S"</f>
        <v>0226P2545S</v>
      </c>
      <c r="E3558" s="1" t="s">
        <v>10</v>
      </c>
      <c r="F3558" s="1" t="str">
        <f>"fde1:103:4:5a34:0:0:0:2"</f>
        <v>fde1:103:4:5a34:0:0:0:2</v>
      </c>
      <c r="G3558" s="1" t="str">
        <f>"0226P254"</f>
        <v>0226P254</v>
      </c>
      <c r="H3558" s="1" t="str">
        <f>"지사간 6R4R8"</f>
        <v>지사간 6R4R8</v>
      </c>
      <c r="I3558" s="1" t="s">
        <v>15</v>
      </c>
      <c r="J3558" s="1" t="str">
        <f>"45/47"</f>
        <v>45/47</v>
      </c>
      <c r="K3558" s="1" t="str">
        <f>"2026-07-29 14:21:05"</f>
        <v>2026-07-29 14:21:05</v>
      </c>
      <c r="L3558" s="1" t="str">
        <f>"2023-09-25 13:39:29"</f>
        <v>2023-09-25 13:39:29</v>
      </c>
      <c r="M3558" s="1" t="s">
        <v>4</v>
      </c>
      <c r="N3558" s="1" t="s">
        <v>38</v>
      </c>
      <c r="O3558" s="1" t="s">
        <v>46</v>
      </c>
    </row>
    <row r="3559" spans="2:15" x14ac:dyDescent="0.3">
      <c r="B3559" s="1" t="s">
        <v>23</v>
      </c>
      <c r="C3559" s="1" t="str">
        <f>"4차"</f>
        <v>4차</v>
      </c>
      <c r="D3559" s="1" t="str">
        <f>"0226P30145"</f>
        <v>0226P30145</v>
      </c>
      <c r="E3559" s="1" t="s">
        <v>10</v>
      </c>
      <c r="F3559" s="1" t="str">
        <f>"10.14.3.64"</f>
        <v>10.14.3.64</v>
      </c>
      <c r="G3559" s="1" t="str">
        <f>"0226P301"</f>
        <v>0226P301</v>
      </c>
      <c r="H3559" s="1" t="str">
        <f>"고산자로 21-1"</f>
        <v>고산자로 21-1</v>
      </c>
      <c r="I3559" s="1" t="s">
        <v>17</v>
      </c>
      <c r="J3559" s="1" t="str">
        <f>"10/10"</f>
        <v>10/10</v>
      </c>
      <c r="K3559" s="1" t="str">
        <f>"2026-07-29 13:18:02"</f>
        <v>2026-07-29 13:18:02</v>
      </c>
      <c r="L3559" s="1" t="str">
        <f>"2021-06-24 11:03:29"</f>
        <v>2021-06-24 11:03:29</v>
      </c>
      <c r="M3559" s="1" t="s">
        <v>3</v>
      </c>
      <c r="N3559" s="1" t="s">
        <v>38</v>
      </c>
      <c r="O3559" s="1" t="s">
        <v>46</v>
      </c>
    </row>
    <row r="3560" spans="2:15" x14ac:dyDescent="0.3">
      <c r="B3560" s="1" t="s">
        <v>23</v>
      </c>
      <c r="C3560" s="1" t="str">
        <f>"4차"</f>
        <v>4차</v>
      </c>
      <c r="D3560" s="1" t="str">
        <f>"0226P34645"</f>
        <v>0226P34645</v>
      </c>
      <c r="E3560" s="1" t="s">
        <v>10</v>
      </c>
      <c r="F3560" s="1" t="str">
        <f>"10.14.5.56"</f>
        <v>10.14.5.56</v>
      </c>
      <c r="G3560" s="1" t="str">
        <f>"0226P346"</f>
        <v>0226P346</v>
      </c>
      <c r="H3560" s="1" t="str">
        <f>"고산자로 63-2"</f>
        <v>고산자로 63-2</v>
      </c>
      <c r="I3560" s="1" t="s">
        <v>17</v>
      </c>
      <c r="J3560" s="1" t="str">
        <f>"8/8"</f>
        <v>8/8</v>
      </c>
      <c r="K3560" s="1" t="str">
        <f>"2026-07-29 13:18:02"</f>
        <v>2026-07-29 13:18:02</v>
      </c>
      <c r="L3560" s="1" t="str">
        <f>"2021-06-24 11:36:11"</f>
        <v>2021-06-24 11:36:11</v>
      </c>
      <c r="M3560" s="1" t="s">
        <v>3</v>
      </c>
      <c r="N3560" s="1" t="s">
        <v>38</v>
      </c>
      <c r="O3560" s="1" t="s">
        <v>46</v>
      </c>
    </row>
    <row r="3561" spans="2:15" x14ac:dyDescent="0.3">
      <c r="B3561" s="1" t="s">
        <v>23</v>
      </c>
      <c r="C3561" s="1" t="str">
        <f>"5-2차"</f>
        <v>5-2차</v>
      </c>
      <c r="D3561" s="1" t="str">
        <f>"0226P3835M"</f>
        <v>0226P3835M</v>
      </c>
      <c r="E3561" s="1" t="s">
        <v>10</v>
      </c>
      <c r="F3561" s="1" t="str">
        <f>"fde1:103:4:59d7:0:0:0:2"</f>
        <v>fde1:103:4:59d7:0:0:0:2</v>
      </c>
      <c r="G3561" s="1" t="str">
        <f>"0226P383"</f>
        <v>0226P383</v>
      </c>
      <c r="H3561" s="1" t="str">
        <f>"홍익지 33R10"</f>
        <v>홍익지 33R10</v>
      </c>
      <c r="I3561" s="1" t="s">
        <v>15</v>
      </c>
      <c r="J3561" s="1" t="str">
        <f>"47/47"</f>
        <v>47/47</v>
      </c>
      <c r="K3561" s="1" t="str">
        <f>"2026-07-29 14:20:28"</f>
        <v>2026-07-29 14:20:28</v>
      </c>
      <c r="L3561" s="1" t="str">
        <f>"2023-09-25 13:43:37"</f>
        <v>2023-09-25 13:43:37</v>
      </c>
      <c r="M3561" s="1" t="s">
        <v>4</v>
      </c>
      <c r="N3561" s="1" t="s">
        <v>38</v>
      </c>
      <c r="O3561" s="1" t="s">
        <v>46</v>
      </c>
    </row>
    <row r="3562" spans="2:15" x14ac:dyDescent="0.3">
      <c r="B3562" s="1" t="s">
        <v>23</v>
      </c>
      <c r="C3562" s="1" t="str">
        <f>"5-2차"</f>
        <v>5-2차</v>
      </c>
      <c r="D3562" s="1" t="str">
        <f>"0226P3915M"</f>
        <v>0226P3915M</v>
      </c>
      <c r="E3562" s="1" t="s">
        <v>10</v>
      </c>
      <c r="F3562" s="1" t="str">
        <f>"fde1:103:4:5918:0:0:0:2"</f>
        <v>fde1:103:4:5918:0:0:0:2</v>
      </c>
      <c r="G3562" s="1" t="str">
        <f>"0226P391"</f>
        <v>0226P391</v>
      </c>
      <c r="H3562" s="1" t="str">
        <f>"홍익지 33R7"</f>
        <v>홍익지 33R7</v>
      </c>
      <c r="I3562" s="1" t="s">
        <v>15</v>
      </c>
      <c r="J3562" s="1" t="str">
        <f>"98/98"</f>
        <v>98/98</v>
      </c>
      <c r="K3562" s="1" t="str">
        <f>"2026-07-29 14:20:28"</f>
        <v>2026-07-29 14:20:28</v>
      </c>
      <c r="L3562" s="1" t="str">
        <f>"2024-02-28 17:22:55"</f>
        <v>2024-02-28 17:22:55</v>
      </c>
      <c r="M3562" s="1" t="s">
        <v>4</v>
      </c>
      <c r="N3562" s="1" t="s">
        <v>38</v>
      </c>
      <c r="O3562" s="1" t="s">
        <v>46</v>
      </c>
    </row>
    <row r="3563" spans="2:15" x14ac:dyDescent="0.3">
      <c r="B3563" s="1" t="s">
        <v>23</v>
      </c>
      <c r="C3563" s="1" t="str">
        <f>"5-2차"</f>
        <v>5-2차</v>
      </c>
      <c r="D3563" s="1" t="str">
        <f>"0226P4145M"</f>
        <v>0226P4145M</v>
      </c>
      <c r="E3563" s="1" t="s">
        <v>10</v>
      </c>
      <c r="F3563" s="1" t="str">
        <f>"fde1:103:4:57f1:0:0:0:2"</f>
        <v>fde1:103:4:57f1:0:0:0:2</v>
      </c>
      <c r="G3563" s="1" t="str">
        <f>"0226P414"</f>
        <v>0226P414</v>
      </c>
      <c r="H3563" s="1" t="str">
        <f>"홍익지 62"</f>
        <v>홍익지 62</v>
      </c>
      <c r="I3563" s="1" t="s">
        <v>15</v>
      </c>
      <c r="J3563" s="1" t="str">
        <f>"40/41"</f>
        <v>40/41</v>
      </c>
      <c r="K3563" s="1" t="str">
        <f>"2026-07-29 14:20:29"</f>
        <v>2026-07-29 14:20:29</v>
      </c>
      <c r="L3563" s="1" t="str">
        <f>"2023-09-25 14:00:59"</f>
        <v>2023-09-25 14:00:59</v>
      </c>
      <c r="M3563" s="1" t="s">
        <v>4</v>
      </c>
      <c r="N3563" s="1" t="s">
        <v>38</v>
      </c>
      <c r="O3563" s="1" t="s">
        <v>46</v>
      </c>
    </row>
    <row r="3564" spans="2:15" x14ac:dyDescent="0.3">
      <c r="B3564" s="1" t="s">
        <v>23</v>
      </c>
      <c r="C3564" s="1" t="str">
        <f t="shared" ref="C3564:C3570" si="202">"4차"</f>
        <v>4차</v>
      </c>
      <c r="D3564" s="1" t="str">
        <f>"0226P44539"</f>
        <v>0226P44539</v>
      </c>
      <c r="E3564" s="1" t="s">
        <v>10</v>
      </c>
      <c r="F3564" s="1" t="str">
        <f>"10.12.134.216"</f>
        <v>10.12.134.216</v>
      </c>
      <c r="G3564" s="1" t="str">
        <f>"0226P445"</f>
        <v>0226P445</v>
      </c>
      <c r="H3564" s="1" t="str">
        <f>"고산자로 51-1"</f>
        <v>고산자로 51-1</v>
      </c>
      <c r="I3564" s="1" t="s">
        <v>17</v>
      </c>
      <c r="J3564" s="1" t="str">
        <f>"3/3"</f>
        <v>3/3</v>
      </c>
      <c r="K3564" s="1" t="str">
        <f>"2026-07-29 13:18:03"</f>
        <v>2026-07-29 13:18:03</v>
      </c>
      <c r="L3564" s="1" t="str">
        <f>"2018-05-24 13:46:14"</f>
        <v>2018-05-24 13:46:14</v>
      </c>
      <c r="M3564" s="1" t="s">
        <v>0</v>
      </c>
      <c r="N3564" s="1" t="s">
        <v>38</v>
      </c>
      <c r="O3564" s="1" t="s">
        <v>46</v>
      </c>
    </row>
    <row r="3565" spans="2:15" x14ac:dyDescent="0.3">
      <c r="B3565" s="1" t="s">
        <v>23</v>
      </c>
      <c r="C3565" s="1" t="str">
        <f t="shared" si="202"/>
        <v>4차</v>
      </c>
      <c r="D3565" s="1" t="str">
        <f>"0226P46139"</f>
        <v>0226P46139</v>
      </c>
      <c r="E3565" s="1" t="s">
        <v>10</v>
      </c>
      <c r="F3565" s="1" t="str">
        <f>"10.12.134.175"</f>
        <v>10.12.134.175</v>
      </c>
      <c r="G3565" s="1" t="str">
        <f>"0226P461"</f>
        <v>0226P461</v>
      </c>
      <c r="H3565" s="1" t="str">
        <f>"고산자로 51-2"</f>
        <v>고산자로 51-2</v>
      </c>
      <c r="I3565" s="1" t="s">
        <v>17</v>
      </c>
      <c r="J3565" s="1" t="str">
        <f>"5/5"</f>
        <v>5/5</v>
      </c>
      <c r="K3565" s="1" t="str">
        <f>"2026-07-29 13:18:02"</f>
        <v>2026-07-29 13:18:02</v>
      </c>
      <c r="L3565" s="1" t="str">
        <f>"2018-05-24 13:56:59"</f>
        <v>2018-05-24 13:56:59</v>
      </c>
      <c r="M3565" s="1" t="s">
        <v>0</v>
      </c>
      <c r="N3565" s="1" t="s">
        <v>38</v>
      </c>
      <c r="O3565" s="1" t="s">
        <v>46</v>
      </c>
    </row>
    <row r="3566" spans="2:15" x14ac:dyDescent="0.3">
      <c r="B3566" s="1" t="s">
        <v>23</v>
      </c>
      <c r="C3566" s="1" t="str">
        <f t="shared" si="202"/>
        <v>4차</v>
      </c>
      <c r="D3566" s="1" t="str">
        <f>"0226P46639"</f>
        <v>0226P46639</v>
      </c>
      <c r="E3566" s="1" t="s">
        <v>10</v>
      </c>
      <c r="F3566" s="1" t="str">
        <f>"10.12.134.215"</f>
        <v>10.12.134.215</v>
      </c>
      <c r="G3566" s="1" t="str">
        <f>"0226P466"</f>
        <v>0226P466</v>
      </c>
      <c r="H3566" s="1" t="str">
        <f>"고산자로 65-1"</f>
        <v>고산자로 65-1</v>
      </c>
      <c r="I3566" s="1" t="s">
        <v>17</v>
      </c>
      <c r="J3566" s="1" t="str">
        <f>"12/12"</f>
        <v>12/12</v>
      </c>
      <c r="K3566" s="1" t="str">
        <f>"2026-07-29 13:18:02"</f>
        <v>2026-07-29 13:18:02</v>
      </c>
      <c r="L3566" s="1" t="str">
        <f>"2018-05-25 11:52:00"</f>
        <v>2018-05-25 11:52:00</v>
      </c>
      <c r="M3566" s="1" t="s">
        <v>0</v>
      </c>
      <c r="N3566" s="1" t="s">
        <v>38</v>
      </c>
      <c r="O3566" s="1" t="s">
        <v>46</v>
      </c>
    </row>
    <row r="3567" spans="2:15" x14ac:dyDescent="0.3">
      <c r="B3567" s="1" t="s">
        <v>23</v>
      </c>
      <c r="C3567" s="1" t="str">
        <f t="shared" si="202"/>
        <v>4차</v>
      </c>
      <c r="D3567" s="1" t="str">
        <f>"0226P47139"</f>
        <v>0226P47139</v>
      </c>
      <c r="E3567" s="1" t="s">
        <v>10</v>
      </c>
      <c r="F3567" s="1" t="str">
        <f>"10.12.134.177"</f>
        <v>10.12.134.177</v>
      </c>
      <c r="G3567" s="1" t="str">
        <f>"0226P471"</f>
        <v>0226P471</v>
      </c>
      <c r="H3567" s="1" t="str">
        <f>"고산자로 51-3"</f>
        <v>고산자로 51-3</v>
      </c>
      <c r="I3567" s="1" t="s">
        <v>17</v>
      </c>
      <c r="J3567" s="1" t="str">
        <f>"3/3"</f>
        <v>3/3</v>
      </c>
      <c r="K3567" s="1" t="str">
        <f>"2026-07-29 13:18:02"</f>
        <v>2026-07-29 13:18:02</v>
      </c>
      <c r="L3567" s="1" t="str">
        <f>"2018-05-24 14:09:29"</f>
        <v>2018-05-24 14:09:29</v>
      </c>
      <c r="M3567" s="1" t="s">
        <v>0</v>
      </c>
      <c r="N3567" s="1" t="s">
        <v>38</v>
      </c>
      <c r="O3567" s="1" t="s">
        <v>46</v>
      </c>
    </row>
    <row r="3568" spans="2:15" x14ac:dyDescent="0.3">
      <c r="B3568" s="1" t="s">
        <v>23</v>
      </c>
      <c r="C3568" s="1" t="str">
        <f t="shared" si="202"/>
        <v>4차</v>
      </c>
      <c r="D3568" s="1" t="str">
        <f>"0226P47839"</f>
        <v>0226P47839</v>
      </c>
      <c r="E3568" s="1" t="s">
        <v>10</v>
      </c>
      <c r="F3568" s="1" t="str">
        <f>"10.12.134.190"</f>
        <v>10.12.134.190</v>
      </c>
      <c r="G3568" s="1" t="str">
        <f>"0226P478"</f>
        <v>0226P478</v>
      </c>
      <c r="H3568" s="1" t="str">
        <f>"고산자로 65-2"</f>
        <v>고산자로 65-2</v>
      </c>
      <c r="I3568" s="1" t="s">
        <v>17</v>
      </c>
      <c r="J3568" s="1" t="str">
        <f>"24/24"</f>
        <v>24/24</v>
      </c>
      <c r="K3568" s="1" t="str">
        <f>"2026-07-29 13:18:03"</f>
        <v>2026-07-29 13:18:03</v>
      </c>
      <c r="L3568" s="1" t="str">
        <f>"2018-05-25 11:27:56"</f>
        <v>2018-05-25 11:27:56</v>
      </c>
      <c r="M3568" s="1" t="s">
        <v>0</v>
      </c>
      <c r="N3568" s="1" t="s">
        <v>38</v>
      </c>
      <c r="O3568" s="1" t="s">
        <v>46</v>
      </c>
    </row>
    <row r="3569" spans="2:15" x14ac:dyDescent="0.3">
      <c r="B3569" s="1" t="s">
        <v>23</v>
      </c>
      <c r="C3569" s="1" t="str">
        <f t="shared" si="202"/>
        <v>4차</v>
      </c>
      <c r="D3569" s="1" t="str">
        <f>"0226P48739"</f>
        <v>0226P48739</v>
      </c>
      <c r="E3569" s="1" t="s">
        <v>10</v>
      </c>
      <c r="F3569" s="1" t="str">
        <f>"10.12.134.198"</f>
        <v>10.12.134.198</v>
      </c>
      <c r="G3569" s="1" t="str">
        <f>"0226P487"</f>
        <v>0226P487</v>
      </c>
      <c r="H3569" s="1" t="str">
        <f>"고산자로 53-1"</f>
        <v>고산자로 53-1</v>
      </c>
      <c r="I3569" s="1" t="s">
        <v>17</v>
      </c>
      <c r="J3569" s="1" t="str">
        <f>"2/2"</f>
        <v>2/2</v>
      </c>
      <c r="K3569" s="1" t="str">
        <f>"2026-07-29 13:18:03"</f>
        <v>2026-07-29 13:18:03</v>
      </c>
      <c r="L3569" s="1" t="str">
        <f>"2018-05-24 14:20:59"</f>
        <v>2018-05-24 14:20:59</v>
      </c>
      <c r="M3569" s="1" t="s">
        <v>0</v>
      </c>
      <c r="N3569" s="1" t="s">
        <v>38</v>
      </c>
      <c r="O3569" s="1" t="s">
        <v>46</v>
      </c>
    </row>
    <row r="3570" spans="2:15" x14ac:dyDescent="0.3">
      <c r="B3570" s="1" t="s">
        <v>23</v>
      </c>
      <c r="C3570" s="1" t="str">
        <f t="shared" si="202"/>
        <v>4차</v>
      </c>
      <c r="D3570" s="1" t="str">
        <f>"0226P53144"</f>
        <v>0226P53144</v>
      </c>
      <c r="E3570" s="1" t="s">
        <v>10</v>
      </c>
      <c r="F3570" s="1" t="str">
        <f>"10.11.77.138"</f>
        <v>10.11.77.138</v>
      </c>
      <c r="G3570" s="1" t="str">
        <f>"0226P531"</f>
        <v>0226P531</v>
      </c>
      <c r="H3570" s="1" t="str">
        <f>"홍익지 58"</f>
        <v>홍익지 58</v>
      </c>
      <c r="I3570" s="1" t="s">
        <v>8</v>
      </c>
      <c r="J3570" s="1" t="str">
        <f>"14/14"</f>
        <v>14/14</v>
      </c>
      <c r="K3570" s="1" t="str">
        <f>"2026-07-29 13:18:00"</f>
        <v>2026-07-29 13:18:00</v>
      </c>
      <c r="L3570" s="1" t="str">
        <f>"2019-11-18 23:35:01"</f>
        <v>2019-11-18 23:35:01</v>
      </c>
      <c r="M3570" s="1" t="s">
        <v>2</v>
      </c>
      <c r="N3570" s="1" t="s">
        <v>38</v>
      </c>
      <c r="O3570" s="1" t="s">
        <v>46</v>
      </c>
    </row>
    <row r="3571" spans="2:15" x14ac:dyDescent="0.3">
      <c r="B3571" s="1" t="s">
        <v>23</v>
      </c>
      <c r="C3571" s="1" t="str">
        <f>"5-2차"</f>
        <v>5-2차</v>
      </c>
      <c r="D3571" s="1" t="str">
        <f>"0226P5415M"</f>
        <v>0226P5415M</v>
      </c>
      <c r="E3571" s="1" t="s">
        <v>10</v>
      </c>
      <c r="F3571" s="1" t="str">
        <f>"fde1:103:4:575b:0:0:0:2"</f>
        <v>fde1:103:4:575b:0:0:0:2</v>
      </c>
      <c r="G3571" s="1" t="str">
        <f>"0226P541"</f>
        <v>0226P541</v>
      </c>
      <c r="H3571" s="1" t="str">
        <f>"홍익지 56"</f>
        <v>홍익지 56</v>
      </c>
      <c r="I3571" s="1" t="s">
        <v>15</v>
      </c>
      <c r="J3571" s="1" t="str">
        <f>"28/28"</f>
        <v>28/28</v>
      </c>
      <c r="K3571" s="1" t="str">
        <f>"2026-07-29 14:20:29"</f>
        <v>2026-07-29 14:20:29</v>
      </c>
      <c r="L3571" s="1" t="str">
        <f>"2023-09-25 14:01:08"</f>
        <v>2023-09-25 14:01:08</v>
      </c>
      <c r="M3571" s="1" t="s">
        <v>4</v>
      </c>
      <c r="N3571" s="1" t="s">
        <v>38</v>
      </c>
      <c r="O3571" s="1" t="s">
        <v>46</v>
      </c>
    </row>
    <row r="3572" spans="2:15" x14ac:dyDescent="0.3">
      <c r="B3572" s="1" t="s">
        <v>23</v>
      </c>
      <c r="C3572" s="1" t="str">
        <f>"5-2차"</f>
        <v>5-2차</v>
      </c>
      <c r="D3572" s="1" t="str">
        <f>"0226P5525M"</f>
        <v>0226P5525M</v>
      </c>
      <c r="E3572" s="1" t="s">
        <v>10</v>
      </c>
      <c r="F3572" s="1" t="str">
        <f>"fde1:103:4:591b:0:0:0:2"</f>
        <v>fde1:103:4:591b:0:0:0:2</v>
      </c>
      <c r="G3572" s="1" t="str">
        <f>"0226P552"</f>
        <v>0226P552</v>
      </c>
      <c r="H3572" s="1" t="str">
        <f>"홍익지 54"</f>
        <v>홍익지 54</v>
      </c>
      <c r="I3572" s="1" t="s">
        <v>15</v>
      </c>
      <c r="J3572" s="1" t="str">
        <f>"45/45"</f>
        <v>45/45</v>
      </c>
      <c r="K3572" s="1" t="str">
        <f>"2026-07-29 14:20:30"</f>
        <v>2026-07-29 14:20:30</v>
      </c>
      <c r="L3572" s="1" t="str">
        <f>"2023-09-25 14:02:18"</f>
        <v>2023-09-25 14:02:18</v>
      </c>
      <c r="M3572" s="1" t="s">
        <v>4</v>
      </c>
      <c r="N3572" s="1" t="s">
        <v>38</v>
      </c>
      <c r="O3572" s="1" t="s">
        <v>46</v>
      </c>
    </row>
    <row r="3573" spans="2:15" x14ac:dyDescent="0.3">
      <c r="B3573" s="1" t="s">
        <v>23</v>
      </c>
      <c r="C3573" s="1" t="str">
        <f>"3차"</f>
        <v>3차</v>
      </c>
      <c r="D3573" s="1" t="str">
        <f>"0226P78139"</f>
        <v>0226P78139</v>
      </c>
      <c r="E3573" s="1" t="s">
        <v>10</v>
      </c>
      <c r="F3573" s="1" t="str">
        <f>"10.11.54.210"</f>
        <v>10.11.54.210</v>
      </c>
      <c r="G3573" s="1" t="str">
        <f>"0226P781"</f>
        <v>0226P781</v>
      </c>
      <c r="H3573" s="1" t="str">
        <f>"홍익지 46L6R1"</f>
        <v>홍익지 46L6R1</v>
      </c>
      <c r="I3573" s="1" t="s">
        <v>8</v>
      </c>
      <c r="J3573" s="1" t="str">
        <f>"1/1"</f>
        <v>1/1</v>
      </c>
      <c r="K3573" s="1" t="str">
        <f>"2026-07-29 13:18:02"</f>
        <v>2026-07-29 13:18:02</v>
      </c>
      <c r="L3573" s="1" t="str">
        <f>"2018-05-30 10:53:10"</f>
        <v>2018-05-30 10:53:10</v>
      </c>
      <c r="M3573" s="1" t="s">
        <v>2</v>
      </c>
      <c r="N3573" s="1" t="s">
        <v>38</v>
      </c>
      <c r="O3573" s="1" t="s">
        <v>46</v>
      </c>
    </row>
    <row r="3574" spans="2:15" x14ac:dyDescent="0.3">
      <c r="B3574" s="1" t="s">
        <v>23</v>
      </c>
      <c r="C3574" s="1" t="str">
        <f>"4차"</f>
        <v>4차</v>
      </c>
      <c r="D3574" s="1" t="str">
        <f>"0226P78239"</f>
        <v>0226P78239</v>
      </c>
      <c r="E3574" s="1" t="s">
        <v>10</v>
      </c>
      <c r="F3574" s="1" t="str">
        <f>"10.11.61.194"</f>
        <v>10.11.61.194</v>
      </c>
      <c r="G3574" s="1" t="str">
        <f>"0226P782"</f>
        <v>0226P782</v>
      </c>
      <c r="H3574" s="1" t="str">
        <f>"홍익지 46L6R2"</f>
        <v>홍익지 46L6R2</v>
      </c>
      <c r="I3574" s="1" t="s">
        <v>8</v>
      </c>
      <c r="J3574" s="1" t="str">
        <f>"5/5"</f>
        <v>5/5</v>
      </c>
      <c r="K3574" s="1" t="str">
        <f>"2026-07-29 13:18:02"</f>
        <v>2026-07-29 13:18:02</v>
      </c>
      <c r="L3574" s="1" t="str">
        <f>"2025-02-05 09:13:05"</f>
        <v>2025-02-05 09:13:05</v>
      </c>
      <c r="M3574" s="1" t="s">
        <v>2</v>
      </c>
      <c r="N3574" s="1" t="s">
        <v>38</v>
      </c>
      <c r="O3574" s="1" t="s">
        <v>46</v>
      </c>
    </row>
    <row r="3575" spans="2:15" x14ac:dyDescent="0.3">
      <c r="B3575" s="1" t="s">
        <v>23</v>
      </c>
      <c r="C3575" s="1" t="str">
        <f>"3차"</f>
        <v>3차</v>
      </c>
      <c r="D3575" s="1" t="str">
        <f>"0226P87139"</f>
        <v>0226P87139</v>
      </c>
      <c r="E3575" s="1" t="s">
        <v>10</v>
      </c>
      <c r="F3575" s="1" t="str">
        <f>"10.11.54.34"</f>
        <v>10.11.54.34</v>
      </c>
      <c r="G3575" s="1" t="str">
        <f>"0226P871"</f>
        <v>0226P871</v>
      </c>
      <c r="H3575" s="1" t="str">
        <f>"용마간 6L4R1"</f>
        <v>용마간 6L4R1</v>
      </c>
      <c r="I3575" s="1" t="s">
        <v>8</v>
      </c>
      <c r="J3575" s="1" t="str">
        <f>"16/16"</f>
        <v>16/16</v>
      </c>
      <c r="K3575" s="1" t="str">
        <f>"2026-07-29 13:18:02"</f>
        <v>2026-07-29 13:18:02</v>
      </c>
      <c r="L3575" s="1" t="str">
        <f>"2018-06-25 15:58:38"</f>
        <v>2018-06-25 15:58:38</v>
      </c>
      <c r="M3575" s="1" t="s">
        <v>2</v>
      </c>
      <c r="N3575" s="1" t="s">
        <v>38</v>
      </c>
      <c r="O3575" s="1" t="s">
        <v>46</v>
      </c>
    </row>
    <row r="3576" spans="2:15" x14ac:dyDescent="0.3">
      <c r="B3576" s="1" t="s">
        <v>23</v>
      </c>
      <c r="C3576" s="1" t="str">
        <f>"3차"</f>
        <v>3차</v>
      </c>
      <c r="D3576" s="1" t="str">
        <f>"0226P87239"</f>
        <v>0226P87239</v>
      </c>
      <c r="E3576" s="1" t="s">
        <v>10</v>
      </c>
      <c r="F3576" s="1" t="str">
        <f>"10.11.61.34"</f>
        <v>10.11.61.34</v>
      </c>
      <c r="G3576" s="1" t="str">
        <f>"0226P872"</f>
        <v>0226P872</v>
      </c>
      <c r="H3576" s="1" t="str">
        <f>"용마간 6L4R1H1"</f>
        <v>용마간 6L4R1H1</v>
      </c>
      <c r="I3576" s="1" t="s">
        <v>8</v>
      </c>
      <c r="J3576" s="1" t="str">
        <f>"20/22"</f>
        <v>20/22</v>
      </c>
      <c r="K3576" s="1" t="str">
        <f>"2026-07-29 13:18:01"</f>
        <v>2026-07-29 13:18:01</v>
      </c>
      <c r="L3576" s="1" t="str">
        <f>"2018-05-30 10:45:54"</f>
        <v>2018-05-30 10:45:54</v>
      </c>
      <c r="M3576" s="1" t="s">
        <v>2</v>
      </c>
      <c r="N3576" s="1" t="s">
        <v>38</v>
      </c>
      <c r="O3576" s="1" t="s">
        <v>46</v>
      </c>
    </row>
    <row r="3577" spans="2:15" x14ac:dyDescent="0.3">
      <c r="B3577" s="1" t="s">
        <v>23</v>
      </c>
      <c r="C3577" s="1" t="str">
        <f>"6차"</f>
        <v>6차</v>
      </c>
      <c r="D3577" s="1" t="str">
        <f>"0226P8846S"</f>
        <v>0226P8846S</v>
      </c>
      <c r="E3577" s="1" t="s">
        <v>12</v>
      </c>
      <c r="F3577" s="1" t="str">
        <f>"fde3:102:1440:5100:0:0:0:3"</f>
        <v>fde3:102:1440:5100:0:0:0:3</v>
      </c>
      <c r="G3577" s="1" t="str">
        <f>"0226P884"</f>
        <v>0226P884</v>
      </c>
      <c r="H3577" s="1" t="str">
        <f>"홍익지 46L4"</f>
        <v>홍익지 46L4</v>
      </c>
      <c r="I3577" s="1" t="s">
        <v>15</v>
      </c>
      <c r="J3577" s="1" t="str">
        <f>"0/33"</f>
        <v>0/33</v>
      </c>
      <c r="K3577" s="1" t="str">
        <f>"2026-07-16 20:20:23"</f>
        <v>2026-07-16 20:20:23</v>
      </c>
      <c r="L3577" s="1" t="str">
        <f>"2024-12-13 14:02:18"</f>
        <v>2024-12-13 14:02:18</v>
      </c>
      <c r="M3577" s="1" t="s">
        <v>45</v>
      </c>
      <c r="N3577" s="1" t="s">
        <v>38</v>
      </c>
      <c r="O3577" s="1" t="s">
        <v>46</v>
      </c>
    </row>
    <row r="3578" spans="2:15" x14ac:dyDescent="0.3">
      <c r="B3578" s="1" t="s">
        <v>23</v>
      </c>
      <c r="C3578" s="1" t="str">
        <f>"4차"</f>
        <v>4차</v>
      </c>
      <c r="D3578" s="1" t="str">
        <f>"0226P89439"</f>
        <v>0226P89439</v>
      </c>
      <c r="E3578" s="1" t="s">
        <v>10</v>
      </c>
      <c r="F3578" s="1" t="str">
        <f>"10.11.56.203"</f>
        <v>10.11.56.203</v>
      </c>
      <c r="G3578" s="1" t="str">
        <f>"0226P894"</f>
        <v>0226P894</v>
      </c>
      <c r="H3578" s="1" t="str">
        <f>"홍익지 45L3"</f>
        <v>홍익지 45L3</v>
      </c>
      <c r="I3578" s="1" t="s">
        <v>8</v>
      </c>
      <c r="J3578" s="1" t="str">
        <f>"1/8"</f>
        <v>1/8</v>
      </c>
      <c r="K3578" s="1" t="str">
        <f>"2026-07-29 13:18:02"</f>
        <v>2026-07-29 13:18:02</v>
      </c>
      <c r="L3578" s="1" t="str">
        <f>"2018-05-30 10:53:09"</f>
        <v>2018-05-30 10:53:09</v>
      </c>
      <c r="M3578" s="1" t="s">
        <v>2</v>
      </c>
      <c r="N3578" s="1" t="s">
        <v>38</v>
      </c>
      <c r="O3578" s="1" t="s">
        <v>46</v>
      </c>
    </row>
    <row r="3579" spans="2:15" x14ac:dyDescent="0.3">
      <c r="B3579" s="1" t="s">
        <v>23</v>
      </c>
      <c r="C3579" s="1" t="str">
        <f>"5-2차"</f>
        <v>5-2차</v>
      </c>
      <c r="D3579" s="1" t="str">
        <f>"0226P9515M"</f>
        <v>0226P9515M</v>
      </c>
      <c r="E3579" s="1" t="s">
        <v>10</v>
      </c>
      <c r="F3579" s="1" t="str">
        <f>"fde1:103:4:5851:0:0:0:2"</f>
        <v>fde1:103:4:5851:0:0:0:2</v>
      </c>
      <c r="G3579" s="1" t="str">
        <f>"0226P951"</f>
        <v>0226P951</v>
      </c>
      <c r="H3579" s="1" t="str">
        <f>"용마간 6L1H1"</f>
        <v>용마간 6L1H1</v>
      </c>
      <c r="I3579" s="1" t="s">
        <v>15</v>
      </c>
      <c r="J3579" s="1" t="str">
        <f>"18/21"</f>
        <v>18/21</v>
      </c>
      <c r="K3579" s="1" t="str">
        <f>"2026-07-29 14:20:29"</f>
        <v>2026-07-29 14:20:29</v>
      </c>
      <c r="L3579" s="1" t="str">
        <f>"2023-09-25 14:35:59"</f>
        <v>2023-09-25 14:35:59</v>
      </c>
      <c r="M3579" s="1" t="s">
        <v>4</v>
      </c>
      <c r="N3579" s="1" t="s">
        <v>38</v>
      </c>
      <c r="O3579" s="1" t="s">
        <v>46</v>
      </c>
    </row>
    <row r="3580" spans="2:15" x14ac:dyDescent="0.3">
      <c r="B3580" s="1" t="s">
        <v>23</v>
      </c>
      <c r="C3580" s="1" t="str">
        <f>"5-2차"</f>
        <v>5-2차</v>
      </c>
      <c r="D3580" s="1" t="str">
        <f>"0226P9685M"</f>
        <v>0226P9685M</v>
      </c>
      <c r="E3580" s="1" t="s">
        <v>10</v>
      </c>
      <c r="F3580" s="1" t="str">
        <f>"fde1:103:4:5950:0:0:0:2"</f>
        <v>fde1:103:4:5950:0:0:0:2</v>
      </c>
      <c r="G3580" s="1" t="str">
        <f>"0226P968"</f>
        <v>0226P968</v>
      </c>
      <c r="H3580" s="1" t="str">
        <f>"용마간 6L1"</f>
        <v>용마간 6L1</v>
      </c>
      <c r="I3580" s="1" t="s">
        <v>15</v>
      </c>
      <c r="J3580" s="1" t="str">
        <f>"28/29"</f>
        <v>28/29</v>
      </c>
      <c r="K3580" s="1" t="str">
        <f>"2026-07-29 14:20:40"</f>
        <v>2026-07-29 14:20:40</v>
      </c>
      <c r="L3580" s="1" t="str">
        <f>"2023-09-25 15:05:50"</f>
        <v>2023-09-25 15:05:50</v>
      </c>
      <c r="M3580" s="1" t="s">
        <v>4</v>
      </c>
      <c r="N3580" s="1" t="s">
        <v>38</v>
      </c>
      <c r="O3580" s="1" t="s">
        <v>46</v>
      </c>
    </row>
    <row r="3581" spans="2:15" x14ac:dyDescent="0.3">
      <c r="B3581" s="1" t="s">
        <v>23</v>
      </c>
      <c r="C3581" s="1" t="str">
        <f>"4차"</f>
        <v>4차</v>
      </c>
      <c r="D3581" s="1" t="str">
        <f>"0226P98330"</f>
        <v>0226P98330</v>
      </c>
      <c r="E3581" s="1" t="s">
        <v>10</v>
      </c>
      <c r="F3581" s="1" t="str">
        <f>"10.12.136.84"</f>
        <v>10.12.136.84</v>
      </c>
      <c r="G3581" s="1" t="str">
        <f>"0226P983"</f>
        <v>0226P983</v>
      </c>
      <c r="H3581" s="1" t="str">
        <f>"용마간 6L4R3"</f>
        <v>용마간 6L4R3</v>
      </c>
      <c r="I3581" s="1" t="s">
        <v>8</v>
      </c>
      <c r="J3581" s="1" t="str">
        <f>"22/30"</f>
        <v>22/30</v>
      </c>
      <c r="K3581" s="1" t="str">
        <f>"2026-07-29 13:18:02"</f>
        <v>2026-07-29 13:18:02</v>
      </c>
      <c r="L3581" s="1" t="str">
        <f>"2018-05-30 10:38:09"</f>
        <v>2018-05-30 10:38:09</v>
      </c>
      <c r="M3581" s="1" t="s">
        <v>0</v>
      </c>
      <c r="N3581" s="1" t="s">
        <v>38</v>
      </c>
      <c r="O3581" s="1" t="s">
        <v>46</v>
      </c>
    </row>
    <row r="3582" spans="2:15" x14ac:dyDescent="0.3">
      <c r="B3582" s="1" t="s">
        <v>23</v>
      </c>
      <c r="C3582" s="1" t="str">
        <f>"3차"</f>
        <v>3차</v>
      </c>
      <c r="D3582" s="1" t="str">
        <f>"0226P99231"</f>
        <v>0226P99231</v>
      </c>
      <c r="E3582" s="1" t="s">
        <v>10</v>
      </c>
      <c r="F3582" s="1" t="str">
        <f>"10.12.128.70"</f>
        <v>10.12.128.70</v>
      </c>
      <c r="G3582" s="1" t="str">
        <f>"0226P992"</f>
        <v>0226P992</v>
      </c>
      <c r="H3582" s="1" t="str">
        <f>"용마간 6L4R4"</f>
        <v>용마간 6L4R4</v>
      </c>
      <c r="I3582" s="1" t="s">
        <v>8</v>
      </c>
      <c r="J3582" s="1" t="str">
        <f>"4/4"</f>
        <v>4/4</v>
      </c>
      <c r="K3582" s="1" t="str">
        <f>"2026-07-29 13:18:04"</f>
        <v>2026-07-29 13:18:04</v>
      </c>
      <c r="L3582" s="1" t="str">
        <f>"2018-06-04 16:24:53"</f>
        <v>2018-06-04 16:24:53</v>
      </c>
      <c r="M3582" s="1" t="s">
        <v>0</v>
      </c>
      <c r="N3582" s="1" t="s">
        <v>38</v>
      </c>
      <c r="O3582" s="1" t="s">
        <v>46</v>
      </c>
    </row>
    <row r="3583" spans="2:15" x14ac:dyDescent="0.3">
      <c r="B3583" s="1" t="s">
        <v>23</v>
      </c>
      <c r="C3583" s="1" t="str">
        <f>"5-2차"</f>
        <v>5-2차</v>
      </c>
      <c r="D3583" s="1" t="str">
        <f>"0226Q0565M"</f>
        <v>0226Q0565M</v>
      </c>
      <c r="E3583" s="1" t="s">
        <v>10</v>
      </c>
      <c r="F3583" s="1" t="str">
        <f>"fde1:103:4:57ea:0:0:0:2"</f>
        <v>fde1:103:4:57ea:0:0:0:2</v>
      </c>
      <c r="G3583" s="1" t="str">
        <f>"0226Q056"</f>
        <v>0226Q056</v>
      </c>
      <c r="H3583" s="1" t="str">
        <f>"용마간 6H1"</f>
        <v>용마간 6H1</v>
      </c>
      <c r="I3583" s="1" t="s">
        <v>15</v>
      </c>
      <c r="J3583" s="1" t="str">
        <f>"78/83"</f>
        <v>78/83</v>
      </c>
      <c r="K3583" s="1" t="str">
        <f>"2026-07-29 14:20:28"</f>
        <v>2026-07-29 14:20:28</v>
      </c>
      <c r="L3583" s="1" t="str">
        <f>"2023-09-25 15:19:45"</f>
        <v>2023-09-25 15:19:45</v>
      </c>
      <c r="M3583" s="1" t="s">
        <v>4</v>
      </c>
      <c r="N3583" s="1" t="s">
        <v>38</v>
      </c>
      <c r="O3583" s="1" t="s">
        <v>46</v>
      </c>
    </row>
    <row r="3584" spans="2:15" x14ac:dyDescent="0.3">
      <c r="B3584" s="1" t="s">
        <v>23</v>
      </c>
      <c r="C3584" s="1" t="s">
        <v>16</v>
      </c>
      <c r="D3584" s="1" t="str">
        <f>"0226Q31341"</f>
        <v>0226Q31341</v>
      </c>
      <c r="E3584" s="1" t="s">
        <v>10</v>
      </c>
      <c r="F3584" s="1" t="str">
        <f>"10.14.9.131"</f>
        <v>10.14.9.131</v>
      </c>
      <c r="G3584" s="1" t="str">
        <f>"0226Q313"</f>
        <v>0226Q313</v>
      </c>
      <c r="H3584" s="1" t="str">
        <f>"용마간 5R8R4"</f>
        <v>용마간 5R8R4</v>
      </c>
      <c r="I3584" s="1" t="s">
        <v>17</v>
      </c>
      <c r="J3584" s="1" t="str">
        <f>"24/24"</f>
        <v>24/24</v>
      </c>
      <c r="K3584" s="1" t="str">
        <f>"2026-07-29 13:18:02"</f>
        <v>2026-07-29 13:18:02</v>
      </c>
      <c r="L3584" s="1" t="str">
        <f>"2022-11-10 11:33:39"</f>
        <v>2022-11-10 11:33:39</v>
      </c>
      <c r="M3584" s="1" t="s">
        <v>3</v>
      </c>
      <c r="N3584" s="1" t="s">
        <v>38</v>
      </c>
      <c r="O3584" s="1" t="s">
        <v>46</v>
      </c>
    </row>
    <row r="3585" spans="2:15" x14ac:dyDescent="0.3">
      <c r="B3585" s="1" t="s">
        <v>23</v>
      </c>
      <c r="C3585" s="1" t="str">
        <f>"5-2차"</f>
        <v>5-2차</v>
      </c>
      <c r="D3585" s="1" t="str">
        <f>"0226Q6115M"</f>
        <v>0226Q6115M</v>
      </c>
      <c r="E3585" s="1" t="s">
        <v>10</v>
      </c>
      <c r="F3585" s="1" t="str">
        <f>"fde1:103:4:57d8:0:0:0:2"</f>
        <v>fde1:103:4:57d8:0:0:0:2</v>
      </c>
      <c r="G3585" s="1" t="str">
        <f>"0226Q611"</f>
        <v>0226Q611</v>
      </c>
      <c r="H3585" s="1" t="str">
        <f>"선창간 14R3L5"</f>
        <v>선창간 14R3L5</v>
      </c>
      <c r="I3585" s="1" t="s">
        <v>15</v>
      </c>
      <c r="J3585" s="1" t="str">
        <f>"38/38"</f>
        <v>38/38</v>
      </c>
      <c r="K3585" s="1" t="str">
        <f>"2026-07-29 14:20:30"</f>
        <v>2026-07-29 14:20:30</v>
      </c>
      <c r="L3585" s="1" t="str">
        <f>"2023-09-25 15:20:36"</f>
        <v>2023-09-25 15:20:36</v>
      </c>
      <c r="M3585" s="1" t="s">
        <v>4</v>
      </c>
      <c r="N3585" s="1" t="s">
        <v>38</v>
      </c>
      <c r="O3585" s="1" t="s">
        <v>46</v>
      </c>
    </row>
    <row r="3586" spans="2:15" x14ac:dyDescent="0.3">
      <c r="B3586" s="1" t="s">
        <v>23</v>
      </c>
      <c r="C3586" s="1" t="str">
        <f>"4차"</f>
        <v>4차</v>
      </c>
      <c r="D3586" s="1" t="str">
        <f>"0226Q66239"</f>
        <v>0226Q66239</v>
      </c>
      <c r="E3586" s="1" t="s">
        <v>10</v>
      </c>
      <c r="F3586" s="1" t="str">
        <f>"10.12.136.207"</f>
        <v>10.12.136.207</v>
      </c>
      <c r="G3586" s="1" t="str">
        <f>"0226Q662"</f>
        <v>0226Q662</v>
      </c>
      <c r="H3586" s="1" t="str">
        <f>"용마간 5R5L7-T1"</f>
        <v>용마간 5R5L7-T1</v>
      </c>
      <c r="I3586" s="1" t="s">
        <v>17</v>
      </c>
      <c r="J3586" s="1" t="str">
        <f>"3/6"</f>
        <v>3/6</v>
      </c>
      <c r="K3586" s="1" t="str">
        <f>"2026-07-29 13:18:03"</f>
        <v>2026-07-29 13:18:03</v>
      </c>
      <c r="L3586" s="1" t="str">
        <f>"2018-10-17 13:44:12"</f>
        <v>2018-10-17 13:44:12</v>
      </c>
      <c r="M3586" s="1" t="s">
        <v>0</v>
      </c>
      <c r="N3586" s="1" t="s">
        <v>38</v>
      </c>
      <c r="O3586" s="1" t="s">
        <v>46</v>
      </c>
    </row>
    <row r="3587" spans="2:15" x14ac:dyDescent="0.3">
      <c r="B3587" s="1" t="s">
        <v>23</v>
      </c>
      <c r="C3587" s="1" t="str">
        <f>"5-2차"</f>
        <v>5-2차</v>
      </c>
      <c r="D3587" s="1" t="str">
        <f>"0226Q7025S"</f>
        <v>0226Q7025S</v>
      </c>
      <c r="E3587" s="1" t="s">
        <v>10</v>
      </c>
      <c r="F3587" s="1" t="str">
        <f>"fde1:103:4:59ba:0:0:0:2"</f>
        <v>fde1:103:4:59ba:0:0:0:2</v>
      </c>
      <c r="G3587" s="1" t="str">
        <f>"0226Q702"</f>
        <v>0226Q702</v>
      </c>
      <c r="H3587" s="1" t="str">
        <f>"선창간 3R1L9"</f>
        <v>선창간 3R1L9</v>
      </c>
      <c r="I3587" s="1" t="s">
        <v>15</v>
      </c>
      <c r="J3587" s="1" t="str">
        <f>"43/43"</f>
        <v>43/43</v>
      </c>
      <c r="K3587" s="1" t="str">
        <f>"2026-07-29 14:20:23"</f>
        <v>2026-07-29 14:20:23</v>
      </c>
      <c r="L3587" s="1" t="str">
        <f>"2023-09-25 15:39:54"</f>
        <v>2023-09-25 15:39:54</v>
      </c>
      <c r="M3587" s="1" t="s">
        <v>4</v>
      </c>
      <c r="N3587" s="1" t="s">
        <v>38</v>
      </c>
      <c r="O3587" s="1" t="s">
        <v>46</v>
      </c>
    </row>
    <row r="3588" spans="2:15" x14ac:dyDescent="0.3">
      <c r="B3588" s="1" t="s">
        <v>23</v>
      </c>
      <c r="C3588" s="1" t="str">
        <f>"5-2차"</f>
        <v>5-2차</v>
      </c>
      <c r="D3588" s="1" t="str">
        <f>"0226Q7425M"</f>
        <v>0226Q7425M</v>
      </c>
      <c r="E3588" s="1" t="s">
        <v>10</v>
      </c>
      <c r="F3588" s="1" t="str">
        <f>"fde1:103:4:580f:0:0:0:2"</f>
        <v>fde1:103:4:580f:0:0:0:2</v>
      </c>
      <c r="G3588" s="1" t="str">
        <f>"0226Q742"</f>
        <v>0226Q742</v>
      </c>
      <c r="H3588" s="1" t="str">
        <f>"용마간 5R5L6R5"</f>
        <v>용마간 5R5L6R5</v>
      </c>
      <c r="I3588" s="1" t="s">
        <v>15</v>
      </c>
      <c r="J3588" s="1" t="str">
        <f>"60/61"</f>
        <v>60/61</v>
      </c>
      <c r="K3588" s="1" t="str">
        <f>"2026-07-29 14:20:13"</f>
        <v>2026-07-29 14:20:13</v>
      </c>
      <c r="L3588" s="1" t="str">
        <f>"2023-09-25 15:47:40"</f>
        <v>2023-09-25 15:47:40</v>
      </c>
      <c r="M3588" s="1" t="s">
        <v>4</v>
      </c>
      <c r="N3588" s="1" t="s">
        <v>38</v>
      </c>
      <c r="O3588" s="1" t="s">
        <v>46</v>
      </c>
    </row>
    <row r="3589" spans="2:15" x14ac:dyDescent="0.3">
      <c r="B3589" s="1" t="s">
        <v>23</v>
      </c>
      <c r="C3589" s="1" t="str">
        <f>"5-2차"</f>
        <v>5-2차</v>
      </c>
      <c r="D3589" s="1" t="str">
        <f>"0226Q9115M"</f>
        <v>0226Q9115M</v>
      </c>
      <c r="E3589" s="1" t="s">
        <v>10</v>
      </c>
      <c r="F3589" s="1" t="str">
        <f>"fde1:103:4:58d6:0:0:0:2"</f>
        <v>fde1:103:4:58d6:0:0:0:2</v>
      </c>
      <c r="G3589" s="1" t="str">
        <f>"0226Q911"</f>
        <v>0226Q911</v>
      </c>
      <c r="H3589" s="1" t="str">
        <f>"선창간 12L3R8"</f>
        <v>선창간 12L3R8</v>
      </c>
      <c r="I3589" s="1" t="s">
        <v>15</v>
      </c>
      <c r="J3589" s="1" t="str">
        <f>"63/63"</f>
        <v>63/63</v>
      </c>
      <c r="K3589" s="1" t="str">
        <f>"2026-07-29 14:20:29"</f>
        <v>2026-07-29 14:20:29</v>
      </c>
      <c r="L3589" s="1" t="str">
        <f>"2023-09-25 15:48:45"</f>
        <v>2023-09-25 15:48:45</v>
      </c>
      <c r="M3589" s="1" t="s">
        <v>4</v>
      </c>
      <c r="N3589" s="1" t="s">
        <v>38</v>
      </c>
      <c r="O3589" s="1" t="s">
        <v>46</v>
      </c>
    </row>
    <row r="3590" spans="2:15" x14ac:dyDescent="0.3">
      <c r="B3590" s="1" t="s">
        <v>23</v>
      </c>
      <c r="C3590" s="1" t="str">
        <f>"5-1차"</f>
        <v>5-1차</v>
      </c>
      <c r="D3590" s="1" t="str">
        <f>"0226Q9425M"</f>
        <v>0226Q9425M</v>
      </c>
      <c r="E3590" s="1" t="s">
        <v>10</v>
      </c>
      <c r="F3590" s="1" t="str">
        <f>"fde3:102:1440:5200:0:0:0:2"</f>
        <v>fde3:102:1440:5200:0:0:0:2</v>
      </c>
      <c r="G3590" s="1" t="str">
        <f>"0226Q942"</f>
        <v>0226Q942</v>
      </c>
      <c r="H3590" s="1" t="str">
        <f>"선창간 12L3R1L2"</f>
        <v>선창간 12L3R1L2</v>
      </c>
      <c r="I3590" s="1" t="s">
        <v>15</v>
      </c>
      <c r="J3590" s="1" t="str">
        <f>"15/15"</f>
        <v>15/15</v>
      </c>
      <c r="K3590" s="1" t="str">
        <f>"2026-07-29 14:20:50"</f>
        <v>2026-07-29 14:20:50</v>
      </c>
      <c r="L3590" s="1" t="str">
        <f>"2022-11-01 11:24:18"</f>
        <v>2022-11-01 11:24:18</v>
      </c>
      <c r="M3590" s="1" t="s">
        <v>45</v>
      </c>
      <c r="N3590" s="1" t="s">
        <v>38</v>
      </c>
      <c r="O3590" s="1" t="s">
        <v>46</v>
      </c>
    </row>
    <row r="3591" spans="2:15" x14ac:dyDescent="0.3">
      <c r="B3591" s="1" t="s">
        <v>23</v>
      </c>
      <c r="C3591" s="1" t="str">
        <f>"5-2차"</f>
        <v>5-2차</v>
      </c>
      <c r="D3591" s="1" t="str">
        <f>"0226Q9615M"</f>
        <v>0226Q9615M</v>
      </c>
      <c r="E3591" s="1" t="s">
        <v>10</v>
      </c>
      <c r="F3591" s="1" t="str">
        <f>"fde1:103:4:57b6:0:0:0:2"</f>
        <v>fde1:103:4:57b6:0:0:0:2</v>
      </c>
      <c r="G3591" s="1" t="str">
        <f>"0226Q961"</f>
        <v>0226Q961</v>
      </c>
      <c r="H3591" s="1" t="str">
        <f>"용마간 29"</f>
        <v>용마간 29</v>
      </c>
      <c r="I3591" s="1" t="s">
        <v>15</v>
      </c>
      <c r="J3591" s="1" t="str">
        <f>"36/36"</f>
        <v>36/36</v>
      </c>
      <c r="K3591" s="1" t="str">
        <f>"2026-07-29 14:20:30"</f>
        <v>2026-07-29 14:20:30</v>
      </c>
      <c r="L3591" s="1" t="str">
        <f>"2023-09-25 16:00:09"</f>
        <v>2023-09-25 16:00:09</v>
      </c>
      <c r="M3591" s="1" t="s">
        <v>4</v>
      </c>
      <c r="N3591" s="1" t="s">
        <v>38</v>
      </c>
      <c r="O3591" s="1" t="s">
        <v>46</v>
      </c>
    </row>
    <row r="3592" spans="2:15" x14ac:dyDescent="0.3">
      <c r="B3592" s="1" t="s">
        <v>23</v>
      </c>
      <c r="C3592" s="1" t="str">
        <f>"3차"</f>
        <v>3차</v>
      </c>
      <c r="D3592" s="1" t="str">
        <f>"0226R03139"</f>
        <v>0226R03139</v>
      </c>
      <c r="E3592" s="1" t="s">
        <v>10</v>
      </c>
      <c r="F3592" s="1" t="str">
        <f>"10.11.52.194"</f>
        <v>10.11.52.194</v>
      </c>
      <c r="G3592" s="1" t="str">
        <f>"0226R031"</f>
        <v>0226R031</v>
      </c>
      <c r="H3592" s="1" t="str">
        <f>"도선간 5L26L2R2"</f>
        <v>도선간 5L26L2R2</v>
      </c>
      <c r="I3592" s="1" t="s">
        <v>8</v>
      </c>
      <c r="J3592" s="1" t="str">
        <f>"30/30"</f>
        <v>30/30</v>
      </c>
      <c r="K3592" s="1" t="str">
        <f>"2026-07-29 13:18:02"</f>
        <v>2026-07-29 13:18:02</v>
      </c>
      <c r="L3592" s="1" t="str">
        <f>"2018-05-04 13:48:12"</f>
        <v>2018-05-04 13:48:12</v>
      </c>
      <c r="M3592" s="1" t="s">
        <v>2</v>
      </c>
      <c r="N3592" s="1" t="s">
        <v>38</v>
      </c>
      <c r="O3592" s="1" t="s">
        <v>46</v>
      </c>
    </row>
    <row r="3593" spans="2:15" x14ac:dyDescent="0.3">
      <c r="B3593" s="1" t="s">
        <v>23</v>
      </c>
      <c r="C3593" s="1" t="str">
        <f>"3차"</f>
        <v>3차</v>
      </c>
      <c r="D3593" s="1" t="str">
        <f>"0226R03339"</f>
        <v>0226R03339</v>
      </c>
      <c r="E3593" s="1" t="s">
        <v>10</v>
      </c>
      <c r="F3593" s="1" t="str">
        <f>"10.11.59.162"</f>
        <v>10.11.59.162</v>
      </c>
      <c r="G3593" s="1" t="str">
        <f>"0226R033"</f>
        <v>0226R033</v>
      </c>
      <c r="H3593" s="1" t="str">
        <f>"도선간 3L16"</f>
        <v>도선간 3L16</v>
      </c>
      <c r="I3593" s="1" t="s">
        <v>8</v>
      </c>
      <c r="J3593" s="1" t="str">
        <f>"6/6"</f>
        <v>6/6</v>
      </c>
      <c r="K3593" s="1" t="str">
        <f>"2026-07-29 13:18:02"</f>
        <v>2026-07-29 13:18:02</v>
      </c>
      <c r="L3593" s="1" t="str">
        <f>"2018-05-09 13:42:12"</f>
        <v>2018-05-09 13:42:12</v>
      </c>
      <c r="M3593" s="1" t="s">
        <v>2</v>
      </c>
      <c r="N3593" s="1" t="s">
        <v>38</v>
      </c>
      <c r="O3593" s="1" t="s">
        <v>46</v>
      </c>
    </row>
    <row r="3594" spans="2:15" x14ac:dyDescent="0.3">
      <c r="B3594" s="1" t="s">
        <v>23</v>
      </c>
      <c r="C3594" s="1" t="str">
        <f>"4차"</f>
        <v>4차</v>
      </c>
      <c r="D3594" s="1" t="str">
        <f>"0226R04139"</f>
        <v>0226R04139</v>
      </c>
      <c r="E3594" s="1" t="s">
        <v>10</v>
      </c>
      <c r="F3594" s="1" t="str">
        <f>"10.12.132.163"</f>
        <v>10.12.132.163</v>
      </c>
      <c r="G3594" s="1" t="str">
        <f>"0226R041"</f>
        <v>0226R041</v>
      </c>
      <c r="H3594" s="1" t="str">
        <f>"도선간 5L26L2R4"</f>
        <v>도선간 5L26L2R4</v>
      </c>
      <c r="I3594" s="1" t="s">
        <v>8</v>
      </c>
      <c r="J3594" s="1" t="str">
        <f>"8/8"</f>
        <v>8/8</v>
      </c>
      <c r="K3594" s="1" t="str">
        <f>"2026-07-29 13:18:01"</f>
        <v>2026-07-29 13:18:01</v>
      </c>
      <c r="L3594" s="1" t="str">
        <f>"2018-05-08 10:41:25"</f>
        <v>2018-05-08 10:41:25</v>
      </c>
      <c r="M3594" s="1" t="s">
        <v>0</v>
      </c>
      <c r="N3594" s="1" t="s">
        <v>38</v>
      </c>
      <c r="O3594" s="1" t="s">
        <v>46</v>
      </c>
    </row>
    <row r="3595" spans="2:15" x14ac:dyDescent="0.3">
      <c r="B3595" s="1" t="s">
        <v>23</v>
      </c>
      <c r="C3595" s="1" t="str">
        <f>"3차"</f>
        <v>3차</v>
      </c>
      <c r="D3595" s="1" t="str">
        <f>"0226R05130"</f>
        <v>0226R05130</v>
      </c>
      <c r="E3595" s="1" t="s">
        <v>10</v>
      </c>
      <c r="F3595" s="1" t="str">
        <f>"10.11.52.202"</f>
        <v>10.11.52.202</v>
      </c>
      <c r="G3595" s="1" t="str">
        <f>"0226R051"</f>
        <v>0226R051</v>
      </c>
      <c r="H3595" s="1" t="str">
        <f>"도선간 5L26L2R5"</f>
        <v>도선간 5L26L2R5</v>
      </c>
      <c r="I3595" s="1" t="s">
        <v>8</v>
      </c>
      <c r="J3595" s="1" t="str">
        <f>"20/20"</f>
        <v>20/20</v>
      </c>
      <c r="K3595" s="1" t="str">
        <f>"2026-07-29 13:18:02"</f>
        <v>2026-07-29 13:18:02</v>
      </c>
      <c r="L3595" s="1" t="str">
        <f>"2018-05-04 11:17:40"</f>
        <v>2018-05-04 11:17:40</v>
      </c>
      <c r="M3595" s="1" t="s">
        <v>2</v>
      </c>
      <c r="N3595" s="1" t="s">
        <v>38</v>
      </c>
      <c r="O3595" s="1" t="s">
        <v>46</v>
      </c>
    </row>
    <row r="3596" spans="2:15" x14ac:dyDescent="0.3">
      <c r="B3596" s="1" t="s">
        <v>23</v>
      </c>
      <c r="C3596" s="1" t="str">
        <f>"4차"</f>
        <v>4차</v>
      </c>
      <c r="D3596" s="1" t="str">
        <f>"0226R05231"</f>
        <v>0226R05231</v>
      </c>
      <c r="E3596" s="1" t="s">
        <v>10</v>
      </c>
      <c r="F3596" s="1" t="str">
        <f>"10.11.52.203"</f>
        <v>10.11.52.203</v>
      </c>
      <c r="G3596" s="1" t="str">
        <f>"0226R052"</f>
        <v>0226R052</v>
      </c>
      <c r="H3596" s="1" t="str">
        <f>"도선간 5L26L2R6"</f>
        <v>도선간 5L26L2R6</v>
      </c>
      <c r="I3596" s="1" t="s">
        <v>8</v>
      </c>
      <c r="J3596" s="1" t="str">
        <f>"3/3"</f>
        <v>3/3</v>
      </c>
      <c r="K3596" s="1" t="str">
        <f>"2026-07-29 13:18:02"</f>
        <v>2026-07-29 13:18:02</v>
      </c>
      <c r="L3596" s="1" t="str">
        <f>"2018-06-04 14:29:52"</f>
        <v>2018-06-04 14:29:52</v>
      </c>
      <c r="M3596" s="1" t="s">
        <v>2</v>
      </c>
      <c r="N3596" s="1" t="s">
        <v>38</v>
      </c>
      <c r="O3596" s="1" t="s">
        <v>46</v>
      </c>
    </row>
    <row r="3597" spans="2:15" x14ac:dyDescent="0.3">
      <c r="B3597" s="1" t="s">
        <v>23</v>
      </c>
      <c r="C3597" s="1" t="str">
        <f t="shared" ref="C3597:C3602" si="203">"3차"</f>
        <v>3차</v>
      </c>
      <c r="D3597" s="1" t="str">
        <f>"0226R08139"</f>
        <v>0226R08139</v>
      </c>
      <c r="E3597" s="1" t="s">
        <v>10</v>
      </c>
      <c r="F3597" s="1" t="str">
        <f>"10.11.56.194"</f>
        <v>10.11.56.194</v>
      </c>
      <c r="G3597" s="1" t="str">
        <f>"0226R081"</f>
        <v>0226R081</v>
      </c>
      <c r="H3597" s="1" t="str">
        <f>"도선간 5L13L9"</f>
        <v>도선간 5L13L9</v>
      </c>
      <c r="I3597" s="1" t="s">
        <v>8</v>
      </c>
      <c r="J3597" s="1" t="str">
        <f>"16/17"</f>
        <v>16/17</v>
      </c>
      <c r="K3597" s="1" t="str">
        <f>"2026-07-29 13:18:01"</f>
        <v>2026-07-29 13:18:01</v>
      </c>
      <c r="L3597" s="1" t="str">
        <f>"2018-05-30 11:49:10"</f>
        <v>2018-05-30 11:49:10</v>
      </c>
      <c r="M3597" s="1" t="s">
        <v>2</v>
      </c>
      <c r="N3597" s="1" t="s">
        <v>38</v>
      </c>
      <c r="O3597" s="1" t="s">
        <v>46</v>
      </c>
    </row>
    <row r="3598" spans="2:15" x14ac:dyDescent="0.3">
      <c r="B3598" s="1" t="s">
        <v>23</v>
      </c>
      <c r="C3598" s="1" t="str">
        <f t="shared" si="203"/>
        <v>3차</v>
      </c>
      <c r="D3598" s="1" t="str">
        <f>"0226R08339"</f>
        <v>0226R08339</v>
      </c>
      <c r="E3598" s="1" t="s">
        <v>10</v>
      </c>
      <c r="F3598" s="1" t="str">
        <f>"10.11.59.178"</f>
        <v>10.11.59.178</v>
      </c>
      <c r="G3598" s="1" t="str">
        <f>"0226R083"</f>
        <v>0226R083</v>
      </c>
      <c r="H3598" s="1" t="str">
        <f>"도선간 3L3R2"</f>
        <v>도선간 3L3R2</v>
      </c>
      <c r="I3598" s="1" t="s">
        <v>8</v>
      </c>
      <c r="J3598" s="1" t="str">
        <f>"28/28"</f>
        <v>28/28</v>
      </c>
      <c r="K3598" s="1" t="str">
        <f>"2026-07-29 13:18:02"</f>
        <v>2026-07-29 13:18:02</v>
      </c>
      <c r="L3598" s="1" t="str">
        <f>"2018-05-08 15:11:11"</f>
        <v>2018-05-08 15:11:11</v>
      </c>
      <c r="M3598" s="1" t="s">
        <v>2</v>
      </c>
      <c r="N3598" s="1" t="s">
        <v>38</v>
      </c>
      <c r="O3598" s="1" t="s">
        <v>46</v>
      </c>
    </row>
    <row r="3599" spans="2:15" x14ac:dyDescent="0.3">
      <c r="B3599" s="1" t="s">
        <v>23</v>
      </c>
      <c r="C3599" s="1" t="str">
        <f t="shared" si="203"/>
        <v>3차</v>
      </c>
      <c r="D3599" s="1" t="str">
        <f>"0226R14439"</f>
        <v>0226R14439</v>
      </c>
      <c r="E3599" s="1" t="s">
        <v>10</v>
      </c>
      <c r="F3599" s="1" t="str">
        <f>"10.11.52.162"</f>
        <v>10.11.52.162</v>
      </c>
      <c r="G3599" s="1" t="str">
        <f>"0226R144"</f>
        <v>0226R144</v>
      </c>
      <c r="H3599" s="1" t="str">
        <f>"도선간 3L14"</f>
        <v>도선간 3L14</v>
      </c>
      <c r="I3599" s="1" t="s">
        <v>8</v>
      </c>
      <c r="J3599" s="1" t="str">
        <f>"21/21"</f>
        <v>21/21</v>
      </c>
      <c r="K3599" s="1" t="str">
        <f>"2026-07-29 13:18:03"</f>
        <v>2026-07-29 13:18:03</v>
      </c>
      <c r="L3599" s="1" t="str">
        <f>"2018-06-14 11:00:41"</f>
        <v>2018-06-14 11:00:41</v>
      </c>
      <c r="M3599" s="1" t="s">
        <v>2</v>
      </c>
      <c r="N3599" s="1" t="s">
        <v>38</v>
      </c>
      <c r="O3599" s="1" t="s">
        <v>46</v>
      </c>
    </row>
    <row r="3600" spans="2:15" x14ac:dyDescent="0.3">
      <c r="B3600" s="1" t="s">
        <v>23</v>
      </c>
      <c r="C3600" s="1" t="str">
        <f t="shared" si="203"/>
        <v>3차</v>
      </c>
      <c r="D3600" s="1" t="str">
        <f>"0226R16439"</f>
        <v>0226R16439</v>
      </c>
      <c r="E3600" s="1" t="s">
        <v>10</v>
      </c>
      <c r="F3600" s="1" t="str">
        <f>"10.11.56.178"</f>
        <v>10.11.56.178</v>
      </c>
      <c r="G3600" s="1" t="str">
        <f>"0226R164"</f>
        <v>0226R164</v>
      </c>
      <c r="H3600" s="1" t="str">
        <f>"도선간 3L8"</f>
        <v>도선간 3L8</v>
      </c>
      <c r="I3600" s="1" t="s">
        <v>8</v>
      </c>
      <c r="J3600" s="1" t="str">
        <f>"12/13"</f>
        <v>12/13</v>
      </c>
      <c r="K3600" s="1" t="str">
        <f>"2026-07-29 13:18:02"</f>
        <v>2026-07-29 13:18:02</v>
      </c>
      <c r="L3600" s="1" t="str">
        <f>"2018-05-30 10:33:10"</f>
        <v>2018-05-30 10:33:10</v>
      </c>
      <c r="M3600" s="1" t="s">
        <v>2</v>
      </c>
      <c r="N3600" s="1" t="s">
        <v>38</v>
      </c>
      <c r="O3600" s="1" t="s">
        <v>46</v>
      </c>
    </row>
    <row r="3601" spans="2:15" x14ac:dyDescent="0.3">
      <c r="B3601" s="1" t="s">
        <v>23</v>
      </c>
      <c r="C3601" s="1" t="str">
        <f t="shared" si="203"/>
        <v>3차</v>
      </c>
      <c r="D3601" s="1" t="str">
        <f>"0226R18539"</f>
        <v>0226R18539</v>
      </c>
      <c r="E3601" s="1" t="s">
        <v>10</v>
      </c>
      <c r="F3601" s="1" t="str">
        <f>"10.11.52.170"</f>
        <v>10.11.52.170</v>
      </c>
      <c r="G3601" s="1" t="str">
        <f>"0226R185"</f>
        <v>0226R185</v>
      </c>
      <c r="H3601" s="1" t="str">
        <f>"도선간 3L3"</f>
        <v>도선간 3L3</v>
      </c>
      <c r="I3601" s="1" t="s">
        <v>8</v>
      </c>
      <c r="J3601" s="1" t="str">
        <f>"86/86"</f>
        <v>86/86</v>
      </c>
      <c r="K3601" s="1" t="str">
        <f>"2026-07-29 13:18:02"</f>
        <v>2026-07-29 13:18:02</v>
      </c>
      <c r="L3601" s="1" t="str">
        <f>"2018-05-08 15:11:56"</f>
        <v>2018-05-08 15:11:56</v>
      </c>
      <c r="M3601" s="1" t="s">
        <v>2</v>
      </c>
      <c r="N3601" s="1" t="s">
        <v>38</v>
      </c>
      <c r="O3601" s="1" t="s">
        <v>46</v>
      </c>
    </row>
    <row r="3602" spans="2:15" x14ac:dyDescent="0.3">
      <c r="B3602" s="1" t="s">
        <v>23</v>
      </c>
      <c r="C3602" s="1" t="str">
        <f t="shared" si="203"/>
        <v>3차</v>
      </c>
      <c r="D3602" s="1" t="str">
        <f>"0226R19339"</f>
        <v>0226R19339</v>
      </c>
      <c r="E3602" s="1" t="s">
        <v>10</v>
      </c>
      <c r="F3602" s="1" t="str">
        <f>"10.11.59.170"</f>
        <v>10.11.59.170</v>
      </c>
      <c r="G3602" s="1" t="str">
        <f>"0226R193"</f>
        <v>0226R193</v>
      </c>
      <c r="H3602" s="1" t="str">
        <f>"도선간 3L2"</f>
        <v>도선간 3L2</v>
      </c>
      <c r="I3602" s="1" t="s">
        <v>8</v>
      </c>
      <c r="J3602" s="1" t="str">
        <f>"90/91"</f>
        <v>90/91</v>
      </c>
      <c r="K3602" s="1" t="str">
        <f>"2026-07-29 13:18:03"</f>
        <v>2026-07-29 13:18:03</v>
      </c>
      <c r="L3602" s="1" t="str">
        <f>"2018-05-08 15:09:56"</f>
        <v>2018-05-08 15:09:56</v>
      </c>
      <c r="M3602" s="1" t="s">
        <v>2</v>
      </c>
      <c r="N3602" s="1" t="s">
        <v>38</v>
      </c>
      <c r="O3602" s="1" t="s">
        <v>46</v>
      </c>
    </row>
    <row r="3603" spans="2:15" x14ac:dyDescent="0.3">
      <c r="B3603" s="1" t="s">
        <v>23</v>
      </c>
      <c r="C3603" s="1" t="str">
        <f>"4차"</f>
        <v>4차</v>
      </c>
      <c r="D3603" s="1" t="str">
        <f>"0226R27139"</f>
        <v>0226R27139</v>
      </c>
      <c r="E3603" s="1" t="s">
        <v>10</v>
      </c>
      <c r="F3603" s="1" t="str">
        <f>"10.12.134.228"</f>
        <v>10.12.134.228</v>
      </c>
      <c r="G3603" s="1" t="str">
        <f>"0226R271"</f>
        <v>0226R271</v>
      </c>
      <c r="H3603" s="1" t="str">
        <f>"고산자로 11-3"</f>
        <v>고산자로 11-3</v>
      </c>
      <c r="I3603" s="1" t="s">
        <v>17</v>
      </c>
      <c r="J3603" s="1" t="str">
        <f>"4/4"</f>
        <v>4/4</v>
      </c>
      <c r="K3603" s="1" t="str">
        <f>"2026-07-29 13:18:03"</f>
        <v>2026-07-29 13:18:03</v>
      </c>
      <c r="L3603" s="1" t="str">
        <f>"2018-05-24 13:02:13"</f>
        <v>2018-05-24 13:02:13</v>
      </c>
      <c r="M3603" s="1" t="s">
        <v>0</v>
      </c>
      <c r="N3603" s="1" t="s">
        <v>38</v>
      </c>
      <c r="O3603" s="1" t="s">
        <v>46</v>
      </c>
    </row>
    <row r="3604" spans="2:15" x14ac:dyDescent="0.3">
      <c r="B3604" s="1" t="s">
        <v>23</v>
      </c>
      <c r="C3604" s="1" t="str">
        <f>"4차"</f>
        <v>4차</v>
      </c>
      <c r="D3604" s="1" t="str">
        <f>"0226R28139"</f>
        <v>0226R28139</v>
      </c>
      <c r="E3604" s="1" t="s">
        <v>14</v>
      </c>
      <c r="F3604" s="1" t="str">
        <f>"10.12.134.217"</f>
        <v>10.12.134.217</v>
      </c>
      <c r="G3604" s="1" t="str">
        <f>"0226R281"</f>
        <v>0226R281</v>
      </c>
      <c r="H3604" s="1" t="str">
        <f>"고산자로 11-2"</f>
        <v>고산자로 11-2</v>
      </c>
      <c r="I3604" s="1" t="s">
        <v>17</v>
      </c>
      <c r="J3604" s="1" t="str">
        <f>"0/0"</f>
        <v>0/0</v>
      </c>
      <c r="K3604" s="1" t="str">
        <f>"2026-06-18 13:18:02"</f>
        <v>2026-06-18 13:18:02</v>
      </c>
      <c r="L3604" s="1" t="str">
        <f>"2018-05-24 12:52:29"</f>
        <v>2018-05-24 12:52:29</v>
      </c>
      <c r="M3604" s="1" t="s">
        <v>0</v>
      </c>
      <c r="N3604" s="1" t="s">
        <v>39</v>
      </c>
      <c r="O3604" s="1" t="s">
        <v>46</v>
      </c>
    </row>
    <row r="3605" spans="2:15" x14ac:dyDescent="0.3">
      <c r="B3605" s="1" t="s">
        <v>23</v>
      </c>
      <c r="C3605" s="1" t="str">
        <f>"5-2차"</f>
        <v>5-2차</v>
      </c>
      <c r="D3605" s="1" t="str">
        <f>"0226R6835M"</f>
        <v>0226R6835M</v>
      </c>
      <c r="E3605" s="1" t="s">
        <v>10</v>
      </c>
      <c r="F3605" s="1" t="str">
        <f>"fde1:103:4:57da:0:0:0:2"</f>
        <v>fde1:103:4:57da:0:0:0:2</v>
      </c>
      <c r="G3605" s="1" t="str">
        <f>"0226R683"</f>
        <v>0226R683</v>
      </c>
      <c r="H3605" s="1" t="str">
        <f>"사근간 18R3L5"</f>
        <v>사근간 18R3L5</v>
      </c>
      <c r="I3605" s="1" t="s">
        <v>15</v>
      </c>
      <c r="J3605" s="1" t="str">
        <f>"92/92"</f>
        <v>92/92</v>
      </c>
      <c r="K3605" s="1" t="str">
        <f>"2026-07-29 08:20:00"</f>
        <v>2026-07-29 08:20:00</v>
      </c>
      <c r="L3605" s="1" t="str">
        <f>"2023-09-25 16:01:01"</f>
        <v>2023-09-25 16:01:01</v>
      </c>
      <c r="M3605" s="1" t="s">
        <v>4</v>
      </c>
      <c r="N3605" s="1" t="s">
        <v>38</v>
      </c>
      <c r="O3605" s="1" t="s">
        <v>46</v>
      </c>
    </row>
    <row r="3606" spans="2:15" x14ac:dyDescent="0.3">
      <c r="B3606" s="1" t="s">
        <v>23</v>
      </c>
      <c r="C3606" s="1" t="str">
        <f>"6차"</f>
        <v>6차</v>
      </c>
      <c r="D3606" s="1" t="str">
        <f>"0226R7216S"</f>
        <v>0226R7216S</v>
      </c>
      <c r="E3606" s="1" t="s">
        <v>10</v>
      </c>
      <c r="F3606" s="1" t="str">
        <f>"fde1:103:4:c5dd:0:0:0:2"</f>
        <v>fde1:103:4:c5dd:0:0:0:2</v>
      </c>
      <c r="G3606" s="1" t="str">
        <f>"0226R721"</f>
        <v>0226R721</v>
      </c>
      <c r="H3606" s="1" t="str">
        <f>"사근간 39"</f>
        <v>사근간 39</v>
      </c>
      <c r="I3606" s="1" t="s">
        <v>15</v>
      </c>
      <c r="J3606" s="1" t="str">
        <f>"99/101"</f>
        <v>99/101</v>
      </c>
      <c r="K3606" s="1" t="str">
        <f>"2026-07-29 14:20:29"</f>
        <v>2026-07-29 14:20:29</v>
      </c>
      <c r="L3606" s="1" t="str">
        <f>"2024-12-10 15:44:27"</f>
        <v>2024-12-10 15:44:27</v>
      </c>
      <c r="M3606" s="1" t="s">
        <v>4</v>
      </c>
      <c r="N3606" s="1" t="s">
        <v>38</v>
      </c>
      <c r="O3606" s="1" t="s">
        <v>46</v>
      </c>
    </row>
    <row r="3607" spans="2:15" x14ac:dyDescent="0.3">
      <c r="B3607" s="1" t="s">
        <v>23</v>
      </c>
      <c r="C3607" s="1" t="str">
        <f>"5-1차"</f>
        <v>5-1차</v>
      </c>
      <c r="D3607" s="1" t="str">
        <f>"0226R7325M"</f>
        <v>0226R7325M</v>
      </c>
      <c r="E3607" s="1" t="s">
        <v>10</v>
      </c>
      <c r="F3607" s="1" t="str">
        <f>"fde3:102:1440:5300:0:0:0:2"</f>
        <v>fde3:102:1440:5300:0:0:0:2</v>
      </c>
      <c r="G3607" s="1" t="str">
        <f>"0226R732"</f>
        <v>0226R732</v>
      </c>
      <c r="H3607" s="1" t="str">
        <f>"사근간 40L1"</f>
        <v>사근간 40L1</v>
      </c>
      <c r="I3607" s="1" t="s">
        <v>15</v>
      </c>
      <c r="J3607" s="1" t="str">
        <f>"56/56"</f>
        <v>56/56</v>
      </c>
      <c r="K3607" s="1" t="str">
        <f>"2026-07-29 14:20:30"</f>
        <v>2026-07-29 14:20:30</v>
      </c>
      <c r="L3607" s="1" t="str">
        <f>"2022-11-07 14:21:21"</f>
        <v>2022-11-07 14:21:21</v>
      </c>
      <c r="M3607" s="1" t="s">
        <v>45</v>
      </c>
      <c r="N3607" s="1" t="s">
        <v>38</v>
      </c>
      <c r="O3607" s="1" t="s">
        <v>46</v>
      </c>
    </row>
    <row r="3608" spans="2:15" x14ac:dyDescent="0.3">
      <c r="B3608" s="1" t="s">
        <v>23</v>
      </c>
      <c r="C3608" s="1" t="str">
        <f>"5-2차"</f>
        <v>5-2차</v>
      </c>
      <c r="D3608" s="1" t="str">
        <f>"0226R7515M"</f>
        <v>0226R7515M</v>
      </c>
      <c r="E3608" s="1" t="s">
        <v>10</v>
      </c>
      <c r="F3608" s="1" t="str">
        <f>"fde1:103:4:58ea:0:0:0:2"</f>
        <v>fde1:103:4:58ea:0:0:0:2</v>
      </c>
      <c r="G3608" s="1" t="str">
        <f>"0226R751"</f>
        <v>0226R751</v>
      </c>
      <c r="H3608" s="1" t="str">
        <f>"사근간 25R7"</f>
        <v>사근간 25R7</v>
      </c>
      <c r="I3608" s="1" t="s">
        <v>15</v>
      </c>
      <c r="J3608" s="1" t="str">
        <f>"68/68"</f>
        <v>68/68</v>
      </c>
      <c r="K3608" s="1" t="str">
        <f>"2026-07-29 14:20:13"</f>
        <v>2026-07-29 14:20:13</v>
      </c>
      <c r="L3608" s="1" t="str">
        <f>"2023-09-26 13:43:34"</f>
        <v>2023-09-26 13:43:34</v>
      </c>
      <c r="M3608" s="1" t="s">
        <v>4</v>
      </c>
      <c r="N3608" s="1" t="s">
        <v>38</v>
      </c>
      <c r="O3608" s="1" t="s">
        <v>46</v>
      </c>
    </row>
    <row r="3609" spans="2:15" x14ac:dyDescent="0.3">
      <c r="B3609" s="1" t="s">
        <v>23</v>
      </c>
      <c r="C3609" s="1" t="str">
        <f>"5-2차"</f>
        <v>5-2차</v>
      </c>
      <c r="D3609" s="1" t="str">
        <f>"0226R7815M"</f>
        <v>0226R7815M</v>
      </c>
      <c r="E3609" s="1" t="s">
        <v>10</v>
      </c>
      <c r="F3609" s="1" t="str">
        <f>"fde1:103:4:58ae:0:0:0:2"</f>
        <v>fde1:103:4:58ae:0:0:0:2</v>
      </c>
      <c r="G3609" s="1" t="str">
        <f>"0226R781"</f>
        <v>0226R781</v>
      </c>
      <c r="H3609" s="1" t="str">
        <f>"사근간 18R3L3"</f>
        <v>사근간 18R3L3</v>
      </c>
      <c r="I3609" s="1" t="s">
        <v>15</v>
      </c>
      <c r="J3609" s="1" t="str">
        <f>"95/95"</f>
        <v>95/95</v>
      </c>
      <c r="K3609" s="1" t="str">
        <f>"2026-07-29 14:20:40"</f>
        <v>2026-07-29 14:20:40</v>
      </c>
      <c r="L3609" s="1" t="str">
        <f>"2023-09-26 13:45:23"</f>
        <v>2023-09-26 13:45:23</v>
      </c>
      <c r="M3609" s="1" t="s">
        <v>4</v>
      </c>
      <c r="N3609" s="1" t="s">
        <v>38</v>
      </c>
      <c r="O3609" s="1" t="s">
        <v>46</v>
      </c>
    </row>
    <row r="3610" spans="2:15" x14ac:dyDescent="0.3">
      <c r="B3610" s="1" t="s">
        <v>23</v>
      </c>
      <c r="C3610" s="1" t="str">
        <f>"4차"</f>
        <v>4차</v>
      </c>
      <c r="D3610" s="1" t="str">
        <f>"0226R81141"</f>
        <v>0226R81141</v>
      </c>
      <c r="E3610" s="1" t="s">
        <v>10</v>
      </c>
      <c r="F3610" s="1" t="str">
        <f>"10.12.133.149"</f>
        <v>10.12.133.149</v>
      </c>
      <c r="G3610" s="1" t="str">
        <f>"0226R811"</f>
        <v>0226R811</v>
      </c>
      <c r="H3610" s="1" t="str">
        <f>"사근간 36"</f>
        <v>사근간 36</v>
      </c>
      <c r="I3610" s="1" t="s">
        <v>17</v>
      </c>
      <c r="J3610" s="1" t="str">
        <f>"105/116"</f>
        <v>105/116</v>
      </c>
      <c r="K3610" s="1" t="str">
        <f>"2026-07-29 07:18:02"</f>
        <v>2026-07-29 07:18:02</v>
      </c>
      <c r="L3610" s="1" t="str">
        <f>"2021-02-23 15:35:17"</f>
        <v>2021-02-23 15:35:17</v>
      </c>
      <c r="M3610" s="1" t="s">
        <v>0</v>
      </c>
      <c r="N3610" s="1" t="s">
        <v>38</v>
      </c>
      <c r="O3610" s="1" t="s">
        <v>46</v>
      </c>
    </row>
    <row r="3611" spans="2:15" x14ac:dyDescent="0.3">
      <c r="B3611" s="1" t="s">
        <v>23</v>
      </c>
      <c r="C3611" s="1" t="str">
        <f>"5-2차"</f>
        <v>5-2차</v>
      </c>
      <c r="D3611" s="1" t="str">
        <f>"0226R8815M"</f>
        <v>0226R8815M</v>
      </c>
      <c r="E3611" s="1" t="s">
        <v>10</v>
      </c>
      <c r="F3611" s="1" t="str">
        <f>"fde1:103:4:57b3:0:0:0:2"</f>
        <v>fde1:103:4:57b3:0:0:0:2</v>
      </c>
      <c r="G3611" s="1" t="str">
        <f>"0226R881"</f>
        <v>0226R881</v>
      </c>
      <c r="H3611" s="1" t="str">
        <f>"사근간 18R3L2"</f>
        <v>사근간 18R3L2</v>
      </c>
      <c r="I3611" s="1" t="s">
        <v>15</v>
      </c>
      <c r="J3611" s="1" t="str">
        <f>"101/102"</f>
        <v>101/102</v>
      </c>
      <c r="K3611" s="1" t="str">
        <f>"2026-07-29 14:21:05"</f>
        <v>2026-07-29 14:21:05</v>
      </c>
      <c r="L3611" s="1" t="str">
        <f>"2023-09-26 13:46:32"</f>
        <v>2023-09-26 13:46:32</v>
      </c>
      <c r="M3611" s="1" t="s">
        <v>4</v>
      </c>
      <c r="N3611" s="1" t="s">
        <v>38</v>
      </c>
      <c r="O3611" s="1" t="s">
        <v>46</v>
      </c>
    </row>
    <row r="3612" spans="2:15" x14ac:dyDescent="0.3">
      <c r="B3612" s="1" t="s">
        <v>23</v>
      </c>
      <c r="C3612" s="1" t="str">
        <f>"4차"</f>
        <v>4차</v>
      </c>
      <c r="D3612" s="1" t="str">
        <f>"0226R91241"</f>
        <v>0226R91241</v>
      </c>
      <c r="E3612" s="1" t="s">
        <v>10</v>
      </c>
      <c r="F3612" s="1" t="str">
        <f>"10.12.133.124"</f>
        <v>10.12.133.124</v>
      </c>
      <c r="G3612" s="1" t="str">
        <f>"0226R912"</f>
        <v>0226R912</v>
      </c>
      <c r="H3612" s="1" t="str">
        <f>"사근간 35"</f>
        <v>사근간 35</v>
      </c>
      <c r="I3612" s="1" t="s">
        <v>17</v>
      </c>
      <c r="J3612" s="1" t="str">
        <f>"14/14"</f>
        <v>14/14</v>
      </c>
      <c r="K3612" s="1" t="str">
        <f>"2026-07-29 13:18:02"</f>
        <v>2026-07-29 13:18:02</v>
      </c>
      <c r="L3612" s="1" t="str">
        <f>"2021-02-23 15:54:31"</f>
        <v>2021-02-23 15:54:31</v>
      </c>
      <c r="M3612" s="1" t="s">
        <v>0</v>
      </c>
      <c r="N3612" s="1" t="s">
        <v>38</v>
      </c>
      <c r="O3612" s="1" t="s">
        <v>46</v>
      </c>
    </row>
    <row r="3613" spans="2:15" x14ac:dyDescent="0.3">
      <c r="B3613" s="1" t="s">
        <v>23</v>
      </c>
      <c r="C3613" s="1" t="str">
        <f>"5-2차"</f>
        <v>5-2차</v>
      </c>
      <c r="D3613" s="1" t="str">
        <f>"0226R9515M"</f>
        <v>0226R9515M</v>
      </c>
      <c r="E3613" s="1" t="s">
        <v>10</v>
      </c>
      <c r="F3613" s="1" t="str">
        <f>"fde1:103:4:5857:0:0:0:2"</f>
        <v>fde1:103:4:5857:0:0:0:2</v>
      </c>
      <c r="G3613" s="1" t="str">
        <f>"0226R951"</f>
        <v>0226R951</v>
      </c>
      <c r="H3613" s="1" t="str">
        <f>"사근간 25R3"</f>
        <v>사근간 25R3</v>
      </c>
      <c r="I3613" s="1" t="s">
        <v>15</v>
      </c>
      <c r="J3613" s="1" t="str">
        <f>"314/314"</f>
        <v>314/314</v>
      </c>
      <c r="K3613" s="1" t="str">
        <f>"2026-07-29 14:20:29"</f>
        <v>2026-07-29 14:20:29</v>
      </c>
      <c r="L3613" s="1" t="str">
        <f>"2023-09-26 13:47:24"</f>
        <v>2023-09-26 13:47:24</v>
      </c>
      <c r="M3613" s="1" t="s">
        <v>4</v>
      </c>
      <c r="N3613" s="1" t="s">
        <v>38</v>
      </c>
      <c r="O3613" s="1" t="s">
        <v>46</v>
      </c>
    </row>
    <row r="3614" spans="2:15" x14ac:dyDescent="0.3">
      <c r="B3614" s="1" t="s">
        <v>23</v>
      </c>
      <c r="C3614" s="1" t="str">
        <f>"4차"</f>
        <v>4차</v>
      </c>
      <c r="D3614" s="1" t="str">
        <f>"0226S00241"</f>
        <v>0226S00241</v>
      </c>
      <c r="E3614" s="1" t="s">
        <v>10</v>
      </c>
      <c r="F3614" s="1" t="str">
        <f>"10.14.13.41"</f>
        <v>10.14.13.41</v>
      </c>
      <c r="G3614" s="1" t="str">
        <f>"0226S002"</f>
        <v>0226S002</v>
      </c>
      <c r="H3614" s="1" t="str">
        <f>"사근간 33L2"</f>
        <v>사근간 33L2</v>
      </c>
      <c r="I3614" s="1" t="s">
        <v>17</v>
      </c>
      <c r="J3614" s="1" t="str">
        <f>"125/125"</f>
        <v>125/125</v>
      </c>
      <c r="K3614" s="1" t="str">
        <f>"2026-07-29 13:18:03"</f>
        <v>2026-07-29 13:18:03</v>
      </c>
      <c r="L3614" s="1" t="str">
        <f>"2021-10-14 13:30:44"</f>
        <v>2021-10-14 13:30:44</v>
      </c>
      <c r="M3614" s="1" t="s">
        <v>3</v>
      </c>
      <c r="N3614" s="1" t="s">
        <v>38</v>
      </c>
      <c r="O3614" s="1" t="s">
        <v>46</v>
      </c>
    </row>
    <row r="3615" spans="2:15" x14ac:dyDescent="0.3">
      <c r="B3615" s="1" t="s">
        <v>23</v>
      </c>
      <c r="C3615" s="1" t="str">
        <f>"4차"</f>
        <v>4차</v>
      </c>
      <c r="D3615" s="1" t="str">
        <f>"0226S01141"</f>
        <v>0226S01141</v>
      </c>
      <c r="E3615" s="1" t="s">
        <v>10</v>
      </c>
      <c r="F3615" s="1" t="str">
        <f>"10.14.6.40"</f>
        <v>10.14.6.40</v>
      </c>
      <c r="G3615" s="1" t="str">
        <f>"0226S011"</f>
        <v>0226S011</v>
      </c>
      <c r="H3615" s="1" t="str">
        <f>"사근간 33"</f>
        <v>사근간 33</v>
      </c>
      <c r="I3615" s="1" t="s">
        <v>17</v>
      </c>
      <c r="J3615" s="1" t="str">
        <f>"16/16"</f>
        <v>16/16</v>
      </c>
      <c r="K3615" s="1" t="str">
        <f>"2026-07-29 13:18:03"</f>
        <v>2026-07-29 13:18:03</v>
      </c>
      <c r="L3615" s="1" t="str">
        <f>"2021-10-13 13:14:14"</f>
        <v>2021-10-13 13:14:14</v>
      </c>
      <c r="M3615" s="1" t="s">
        <v>3</v>
      </c>
      <c r="N3615" s="1" t="s">
        <v>38</v>
      </c>
      <c r="O3615" s="1" t="s">
        <v>46</v>
      </c>
    </row>
    <row r="3616" spans="2:15" x14ac:dyDescent="0.3">
      <c r="B3616" s="1" t="s">
        <v>23</v>
      </c>
      <c r="C3616" s="1" t="str">
        <f>"4차"</f>
        <v>4차</v>
      </c>
      <c r="D3616" s="1" t="str">
        <f>"0226S01239"</f>
        <v>0226S01239</v>
      </c>
      <c r="E3616" s="1" t="s">
        <v>10</v>
      </c>
      <c r="F3616" s="1" t="str">
        <f>"10.12.130.60"</f>
        <v>10.12.130.60</v>
      </c>
      <c r="G3616" s="1" t="str">
        <f>"0226S012"</f>
        <v>0226S012</v>
      </c>
      <c r="H3616" s="1" t="str">
        <f>"사근간 34"</f>
        <v>사근간 34</v>
      </c>
      <c r="I3616" s="1" t="s">
        <v>17</v>
      </c>
      <c r="J3616" s="1" t="str">
        <f>"76/77"</f>
        <v>76/77</v>
      </c>
      <c r="K3616" s="1" t="str">
        <f>"2026-07-29 13:18:04"</f>
        <v>2026-07-29 13:18:04</v>
      </c>
      <c r="L3616" s="1" t="str">
        <f>"2018-09-20 12:48:12"</f>
        <v>2018-09-20 12:48:12</v>
      </c>
      <c r="M3616" s="1" t="s">
        <v>0</v>
      </c>
      <c r="N3616" s="1" t="s">
        <v>38</v>
      </c>
      <c r="O3616" s="1" t="s">
        <v>46</v>
      </c>
    </row>
    <row r="3617" spans="2:15" x14ac:dyDescent="0.3">
      <c r="B3617" s="1" t="s">
        <v>23</v>
      </c>
      <c r="C3617" s="1" t="str">
        <f>"4차"</f>
        <v>4차</v>
      </c>
      <c r="D3617" s="1" t="str">
        <f>"0226S10345"</f>
        <v>0226S10345</v>
      </c>
      <c r="E3617" s="1" t="s">
        <v>10</v>
      </c>
      <c r="F3617" s="1" t="str">
        <f>"10.14.6.184"</f>
        <v>10.14.6.184</v>
      </c>
      <c r="G3617" s="1" t="str">
        <f>"0226S103"</f>
        <v>0226S103</v>
      </c>
      <c r="H3617" s="1" t="str">
        <f>"한양대 20-1"</f>
        <v>한양대 20-1</v>
      </c>
      <c r="I3617" s="1" t="s">
        <v>17</v>
      </c>
      <c r="J3617" s="1" t="str">
        <f>"18/18"</f>
        <v>18/18</v>
      </c>
      <c r="K3617" s="1" t="str">
        <f>"2026-07-29 13:18:04"</f>
        <v>2026-07-29 13:18:04</v>
      </c>
      <c r="L3617" s="1" t="str">
        <f>"2023-12-06 17:37:08"</f>
        <v>2023-12-06 17:37:08</v>
      </c>
      <c r="M3617" s="1" t="s">
        <v>3</v>
      </c>
      <c r="N3617" s="1" t="s">
        <v>38</v>
      </c>
      <c r="O3617" s="1" t="s">
        <v>46</v>
      </c>
    </row>
    <row r="3618" spans="2:15" x14ac:dyDescent="0.3">
      <c r="B3618" s="1" t="s">
        <v>23</v>
      </c>
      <c r="C3618" s="1" t="str">
        <f>"4차"</f>
        <v>4차</v>
      </c>
      <c r="D3618" s="1" t="str">
        <f>"0226S11141"</f>
        <v>0226S11141</v>
      </c>
      <c r="E3618" s="1" t="s">
        <v>10</v>
      </c>
      <c r="F3618" s="1" t="str">
        <f>"10.14.10.39"</f>
        <v>10.14.10.39</v>
      </c>
      <c r="G3618" s="1" t="str">
        <f>"0226S111"</f>
        <v>0226S111</v>
      </c>
      <c r="H3618" s="1" t="str">
        <f>"사근간 31"</f>
        <v>사근간 31</v>
      </c>
      <c r="I3618" s="1" t="s">
        <v>17</v>
      </c>
      <c r="J3618" s="1" t="str">
        <f>"24/29"</f>
        <v>24/29</v>
      </c>
      <c r="K3618" s="1" t="str">
        <f>"2026-07-29 13:18:03"</f>
        <v>2026-07-29 13:18:03</v>
      </c>
      <c r="L3618" s="1" t="str">
        <f>"2021-10-13 11:51:33"</f>
        <v>2021-10-13 11:51:33</v>
      </c>
      <c r="M3618" s="1" t="s">
        <v>3</v>
      </c>
      <c r="N3618" s="1" t="s">
        <v>38</v>
      </c>
      <c r="O3618" s="1" t="s">
        <v>46</v>
      </c>
    </row>
    <row r="3619" spans="2:15" x14ac:dyDescent="0.3">
      <c r="B3619" s="1" t="s">
        <v>23</v>
      </c>
      <c r="C3619" s="1" t="str">
        <f t="shared" ref="C3619:C3625" si="204">"5-2차"</f>
        <v>5-2차</v>
      </c>
      <c r="D3619" s="1" t="str">
        <f>"0226S1525M"</f>
        <v>0226S1525M</v>
      </c>
      <c r="E3619" s="1" t="s">
        <v>10</v>
      </c>
      <c r="F3619" s="1" t="str">
        <f>"fde1:103:4:581b:0:0:0:2"</f>
        <v>fde1:103:4:581b:0:0:0:2</v>
      </c>
      <c r="G3619" s="1" t="str">
        <f>"0226S152"</f>
        <v>0226S152</v>
      </c>
      <c r="H3619" s="1" t="str">
        <f>"사근간 23R2L1"</f>
        <v>사근간 23R2L1</v>
      </c>
      <c r="I3619" s="1" t="s">
        <v>15</v>
      </c>
      <c r="J3619" s="1" t="str">
        <f>"196/196"</f>
        <v>196/196</v>
      </c>
      <c r="K3619" s="1" t="str">
        <f>"2026-07-29 14:20:30"</f>
        <v>2026-07-29 14:20:30</v>
      </c>
      <c r="L3619" s="1" t="str">
        <f>"2023-09-26 14:04:58"</f>
        <v>2023-09-26 14:04:58</v>
      </c>
      <c r="M3619" s="1" t="s">
        <v>4</v>
      </c>
      <c r="N3619" s="1" t="s">
        <v>38</v>
      </c>
      <c r="O3619" s="1" t="s">
        <v>46</v>
      </c>
    </row>
    <row r="3620" spans="2:15" x14ac:dyDescent="0.3">
      <c r="B3620" s="1" t="s">
        <v>23</v>
      </c>
      <c r="C3620" s="1" t="str">
        <f t="shared" si="204"/>
        <v>5-2차</v>
      </c>
      <c r="D3620" s="1" t="str">
        <f>"0226S1635M"</f>
        <v>0226S1635M</v>
      </c>
      <c r="E3620" s="1" t="s">
        <v>10</v>
      </c>
      <c r="F3620" s="1" t="str">
        <f>"fde1:103:4:5814:0:0:0:2"</f>
        <v>fde1:103:4:5814:0:0:0:2</v>
      </c>
      <c r="G3620" s="1" t="str">
        <f>"0226S163"</f>
        <v>0226S163</v>
      </c>
      <c r="H3620" s="1" t="str">
        <f>"사근간 23R2"</f>
        <v>사근간 23R2</v>
      </c>
      <c r="I3620" s="1" t="s">
        <v>15</v>
      </c>
      <c r="J3620" s="1" t="str">
        <f>"49/50"</f>
        <v>49/50</v>
      </c>
      <c r="K3620" s="1" t="str">
        <f>"2026-07-29 14:20:30"</f>
        <v>2026-07-29 14:20:30</v>
      </c>
      <c r="L3620" s="1" t="str">
        <f>"2023-09-26 14:06:57"</f>
        <v>2023-09-26 14:06:57</v>
      </c>
      <c r="M3620" s="1" t="s">
        <v>4</v>
      </c>
      <c r="N3620" s="1" t="s">
        <v>38</v>
      </c>
      <c r="O3620" s="1" t="s">
        <v>46</v>
      </c>
    </row>
    <row r="3621" spans="2:15" x14ac:dyDescent="0.3">
      <c r="B3621" s="1" t="s">
        <v>23</v>
      </c>
      <c r="C3621" s="1" t="str">
        <f t="shared" si="204"/>
        <v>5-2차</v>
      </c>
      <c r="D3621" s="1" t="str">
        <f>"0226S1715M"</f>
        <v>0226S1715M</v>
      </c>
      <c r="E3621" s="1" t="s">
        <v>10</v>
      </c>
      <c r="F3621" s="1" t="str">
        <f>"fde1:103:4:57c6:0:0:0:2"</f>
        <v>fde1:103:4:57c6:0:0:0:2</v>
      </c>
      <c r="G3621" s="1" t="str">
        <f>"0226S171"</f>
        <v>0226S171</v>
      </c>
      <c r="H3621" s="1" t="str">
        <f>"사근간 23R4"</f>
        <v>사근간 23R4</v>
      </c>
      <c r="I3621" s="1" t="s">
        <v>15</v>
      </c>
      <c r="J3621" s="1" t="str">
        <f>"46/47"</f>
        <v>46/47</v>
      </c>
      <c r="K3621" s="1" t="str">
        <f>"2026-07-29 14:20:31"</f>
        <v>2026-07-29 14:20:31</v>
      </c>
      <c r="L3621" s="1" t="str">
        <f>"2023-09-26 14:07:26"</f>
        <v>2023-09-26 14:07:26</v>
      </c>
      <c r="M3621" s="1" t="s">
        <v>4</v>
      </c>
      <c r="N3621" s="1" t="s">
        <v>38</v>
      </c>
      <c r="O3621" s="1" t="s">
        <v>46</v>
      </c>
    </row>
    <row r="3622" spans="2:15" x14ac:dyDescent="0.3">
      <c r="B3622" s="1" t="s">
        <v>23</v>
      </c>
      <c r="C3622" s="1" t="str">
        <f t="shared" si="204"/>
        <v>5-2차</v>
      </c>
      <c r="D3622" s="1" t="str">
        <f>"0226S2325M"</f>
        <v>0226S2325M</v>
      </c>
      <c r="E3622" s="1" t="s">
        <v>10</v>
      </c>
      <c r="F3622" s="1" t="str">
        <f>"fde1:103:4:579a:0:0:0:2"</f>
        <v>fde1:103:4:579a:0:0:0:2</v>
      </c>
      <c r="G3622" s="1" t="str">
        <f>"0226S232"</f>
        <v>0226S232</v>
      </c>
      <c r="H3622" s="1" t="str">
        <f>"선창간 3R11"</f>
        <v>선창간 3R11</v>
      </c>
      <c r="I3622" s="1" t="s">
        <v>15</v>
      </c>
      <c r="J3622" s="1" t="str">
        <f>"337/339"</f>
        <v>337/339</v>
      </c>
      <c r="K3622" s="1" t="str">
        <f>"2026-07-29 14:20:08"</f>
        <v>2026-07-29 14:20:08</v>
      </c>
      <c r="L3622" s="1" t="str">
        <f>"2023-09-26 14:08:22"</f>
        <v>2023-09-26 14:08:22</v>
      </c>
      <c r="M3622" s="1" t="s">
        <v>4</v>
      </c>
      <c r="N3622" s="1" t="s">
        <v>38</v>
      </c>
      <c r="O3622" s="1" t="s">
        <v>46</v>
      </c>
    </row>
    <row r="3623" spans="2:15" x14ac:dyDescent="0.3">
      <c r="B3623" s="1" t="s">
        <v>23</v>
      </c>
      <c r="C3623" s="1" t="str">
        <f t="shared" si="204"/>
        <v>5-2차</v>
      </c>
      <c r="D3623" s="1" t="str">
        <f>"0226S2515M"</f>
        <v>0226S2515M</v>
      </c>
      <c r="E3623" s="1" t="s">
        <v>10</v>
      </c>
      <c r="F3623" s="1" t="str">
        <f>"fde1:103:4:5804:0:0:0:2"</f>
        <v>fde1:103:4:5804:0:0:0:2</v>
      </c>
      <c r="G3623" s="1" t="str">
        <f>"0226S251"</f>
        <v>0226S251</v>
      </c>
      <c r="H3623" s="1" t="str">
        <f>"사근간 24"</f>
        <v>사근간 24</v>
      </c>
      <c r="I3623" s="1" t="s">
        <v>15</v>
      </c>
      <c r="J3623" s="1" t="str">
        <f>"17/18"</f>
        <v>17/18</v>
      </c>
      <c r="K3623" s="1" t="str">
        <f>"2026-07-29 14:20:29"</f>
        <v>2026-07-29 14:20:29</v>
      </c>
      <c r="L3623" s="1" t="str">
        <f>"2023-09-26 14:26:07"</f>
        <v>2023-09-26 14:26:07</v>
      </c>
      <c r="M3623" s="1" t="s">
        <v>4</v>
      </c>
      <c r="N3623" s="1" t="s">
        <v>38</v>
      </c>
      <c r="O3623" s="1" t="s">
        <v>46</v>
      </c>
    </row>
    <row r="3624" spans="2:15" x14ac:dyDescent="0.3">
      <c r="B3624" s="1" t="s">
        <v>23</v>
      </c>
      <c r="C3624" s="1" t="str">
        <f t="shared" si="204"/>
        <v>5-2차</v>
      </c>
      <c r="D3624" s="1" t="str">
        <f>"0226S2575M"</f>
        <v>0226S2575M</v>
      </c>
      <c r="E3624" s="1" t="s">
        <v>10</v>
      </c>
      <c r="F3624" s="1" t="str">
        <f>"fde1:103:4:576c:0:0:0:2"</f>
        <v>fde1:103:4:576c:0:0:0:2</v>
      </c>
      <c r="G3624" s="1" t="str">
        <f>"0226S257"</f>
        <v>0226S257</v>
      </c>
      <c r="H3624" s="1" t="str">
        <f>"선창간 3R7"</f>
        <v>선창간 3R7</v>
      </c>
      <c r="I3624" s="1" t="s">
        <v>15</v>
      </c>
      <c r="J3624" s="1" t="str">
        <f>"41/41"</f>
        <v>41/41</v>
      </c>
      <c r="K3624" s="1" t="str">
        <f>"2026-07-29 14:20:30"</f>
        <v>2026-07-29 14:20:30</v>
      </c>
      <c r="L3624" s="1" t="str">
        <f>"2023-09-26 14:28:10"</f>
        <v>2023-09-26 14:28:10</v>
      </c>
      <c r="M3624" s="1" t="s">
        <v>4</v>
      </c>
      <c r="N3624" s="1" t="s">
        <v>38</v>
      </c>
      <c r="O3624" s="1" t="s">
        <v>46</v>
      </c>
    </row>
    <row r="3625" spans="2:15" x14ac:dyDescent="0.3">
      <c r="B3625" s="1" t="s">
        <v>23</v>
      </c>
      <c r="C3625" s="1" t="str">
        <f t="shared" si="204"/>
        <v>5-2차</v>
      </c>
      <c r="D3625" s="1" t="str">
        <f>"0226S3225M"</f>
        <v>0226S3225M</v>
      </c>
      <c r="E3625" s="1" t="s">
        <v>10</v>
      </c>
      <c r="F3625" s="1" t="str">
        <f>"fde1:103:4:580e:0:0:0:2"</f>
        <v>fde1:103:4:580e:0:0:0:2</v>
      </c>
      <c r="G3625" s="1" t="str">
        <f>"0226S322"</f>
        <v>0226S322</v>
      </c>
      <c r="H3625" s="1" t="str">
        <f>"선창간 3R12L2"</f>
        <v>선창간 3R12L2</v>
      </c>
      <c r="I3625" s="1" t="s">
        <v>15</v>
      </c>
      <c r="J3625" s="1" t="str">
        <f>"146/161"</f>
        <v>146/161</v>
      </c>
      <c r="K3625" s="1" t="str">
        <f>"2026-07-29 14:20:29"</f>
        <v>2026-07-29 14:20:29</v>
      </c>
      <c r="L3625" s="1" t="str">
        <f>"2023-09-26 14:29:21"</f>
        <v>2023-09-26 14:29:21</v>
      </c>
      <c r="M3625" s="1" t="s">
        <v>4</v>
      </c>
      <c r="N3625" s="1" t="s">
        <v>38</v>
      </c>
      <c r="O3625" s="1" t="s">
        <v>46</v>
      </c>
    </row>
    <row r="3626" spans="2:15" x14ac:dyDescent="0.3">
      <c r="B3626" s="1" t="s">
        <v>23</v>
      </c>
      <c r="C3626" s="1" t="str">
        <f>"4차"</f>
        <v>4차</v>
      </c>
      <c r="D3626" s="1" t="str">
        <f>"0226S36141"</f>
        <v>0226S36141</v>
      </c>
      <c r="E3626" s="1" t="s">
        <v>10</v>
      </c>
      <c r="F3626" s="1" t="str">
        <f>"10.14.4.37"</f>
        <v>10.14.4.37</v>
      </c>
      <c r="G3626" s="1" t="str">
        <f>"0226S361"</f>
        <v>0226S361</v>
      </c>
      <c r="H3626" s="1" t="str">
        <f>"선창간 3R6L2"</f>
        <v>선창간 3R6L2</v>
      </c>
      <c r="I3626" s="1" t="s">
        <v>17</v>
      </c>
      <c r="J3626" s="1" t="str">
        <f>"46/46"</f>
        <v>46/46</v>
      </c>
      <c r="K3626" s="1" t="str">
        <f>"2026-07-29 13:18:03"</f>
        <v>2026-07-29 13:18:03</v>
      </c>
      <c r="L3626" s="1" t="str">
        <f>"2021-10-13 13:48:16"</f>
        <v>2021-10-13 13:48:16</v>
      </c>
      <c r="M3626" s="1" t="s">
        <v>3</v>
      </c>
      <c r="N3626" s="1" t="s">
        <v>38</v>
      </c>
      <c r="O3626" s="1" t="s">
        <v>46</v>
      </c>
    </row>
    <row r="3627" spans="2:15" x14ac:dyDescent="0.3">
      <c r="B3627" s="1" t="s">
        <v>23</v>
      </c>
      <c r="C3627" s="1" t="str">
        <f>"6차"</f>
        <v>6차</v>
      </c>
      <c r="D3627" s="1" t="str">
        <f>"0226S3626S"</f>
        <v>0226S3626S</v>
      </c>
      <c r="E3627" s="1" t="s">
        <v>10</v>
      </c>
      <c r="F3627" s="1" t="str">
        <f>"fde1:103:4:918f:0:0:0:2"</f>
        <v>fde1:103:4:918f:0:0:0:2</v>
      </c>
      <c r="G3627" s="1" t="str">
        <f>"0226S362"</f>
        <v>0226S362</v>
      </c>
      <c r="H3627" s="1" t="str">
        <f>"선창간 3R6L3"</f>
        <v>선창간 3R6L3</v>
      </c>
      <c r="I3627" s="1" t="s">
        <v>15</v>
      </c>
      <c r="J3627" s="1" t="str">
        <f>"76/77"</f>
        <v>76/77</v>
      </c>
      <c r="K3627" s="1" t="str">
        <f>"2026-07-29 14:20:50"</f>
        <v>2026-07-29 14:20:50</v>
      </c>
      <c r="L3627" s="1" t="str">
        <f>"2024-12-11 17:11:04"</f>
        <v>2024-12-11 17:11:04</v>
      </c>
      <c r="M3627" s="1" t="s">
        <v>4</v>
      </c>
      <c r="N3627" s="1" t="s">
        <v>38</v>
      </c>
      <c r="O3627" s="1" t="s">
        <v>46</v>
      </c>
    </row>
    <row r="3628" spans="2:15" x14ac:dyDescent="0.3">
      <c r="B3628" s="1" t="s">
        <v>23</v>
      </c>
      <c r="C3628" s="1" t="str">
        <f>"5-2차"</f>
        <v>5-2차</v>
      </c>
      <c r="D3628" s="1" t="str">
        <f>"0226S3715S"</f>
        <v>0226S3715S</v>
      </c>
      <c r="E3628" s="1" t="s">
        <v>10</v>
      </c>
      <c r="F3628" s="1" t="str">
        <f>"fde1:103:4:5841:0:0:0:2"</f>
        <v>fde1:103:4:5841:0:0:0:2</v>
      </c>
      <c r="G3628" s="1" t="str">
        <f>"0226S371"</f>
        <v>0226S371</v>
      </c>
      <c r="H3628" s="1" t="str">
        <f>"선창간 3R6L2L2"</f>
        <v>선창간 3R6L2L2</v>
      </c>
      <c r="I3628" s="1" t="s">
        <v>15</v>
      </c>
      <c r="J3628" s="1" t="str">
        <f>"34/34"</f>
        <v>34/34</v>
      </c>
      <c r="K3628" s="1" t="str">
        <f>"2026-07-29 14:20:31"</f>
        <v>2026-07-29 14:20:31</v>
      </c>
      <c r="L3628" s="1" t="str">
        <f>"2023-09-26 14:30:11"</f>
        <v>2023-09-26 14:30:11</v>
      </c>
      <c r="M3628" s="1" t="s">
        <v>4</v>
      </c>
      <c r="N3628" s="1" t="s">
        <v>38</v>
      </c>
      <c r="O3628" s="1" t="s">
        <v>46</v>
      </c>
    </row>
    <row r="3629" spans="2:15" x14ac:dyDescent="0.3">
      <c r="B3629" s="1" t="s">
        <v>23</v>
      </c>
      <c r="C3629" s="1" t="str">
        <f>"5-2차"</f>
        <v>5-2차</v>
      </c>
      <c r="D3629" s="1" t="str">
        <f>"0226S4435M"</f>
        <v>0226S4435M</v>
      </c>
      <c r="E3629" s="1" t="s">
        <v>10</v>
      </c>
      <c r="F3629" s="1" t="str">
        <f>"fde1:103:4:5910:0:0:0:2"</f>
        <v>fde1:103:4:5910:0:0:0:2</v>
      </c>
      <c r="G3629" s="1" t="str">
        <f>"0226S443"</f>
        <v>0226S443</v>
      </c>
      <c r="H3629" s="1" t="str">
        <f>"선창간 3R10L3"</f>
        <v>선창간 3R10L3</v>
      </c>
      <c r="I3629" s="1" t="s">
        <v>15</v>
      </c>
      <c r="J3629" s="1" t="str">
        <f>"172/173"</f>
        <v>172/173</v>
      </c>
      <c r="K3629" s="1" t="str">
        <f>"2026-07-29 14:20:30"</f>
        <v>2026-07-29 14:20:30</v>
      </c>
      <c r="L3629" s="1" t="str">
        <f>"2023-09-26 14:57:06"</f>
        <v>2023-09-26 14:57:06</v>
      </c>
      <c r="M3629" s="1" t="s">
        <v>4</v>
      </c>
      <c r="N3629" s="1" t="s">
        <v>38</v>
      </c>
      <c r="O3629" s="1" t="s">
        <v>46</v>
      </c>
    </row>
    <row r="3630" spans="2:15" x14ac:dyDescent="0.3">
      <c r="B3630" s="1" t="s">
        <v>23</v>
      </c>
      <c r="C3630" s="1" t="str">
        <f>"5-2차"</f>
        <v>5-2차</v>
      </c>
      <c r="D3630" s="1" t="str">
        <f>"0226S5715M"</f>
        <v>0226S5715M</v>
      </c>
      <c r="E3630" s="1" t="s">
        <v>10</v>
      </c>
      <c r="F3630" s="1" t="str">
        <f>"fde1:103:4:572c:0:0:0:2"</f>
        <v>fde1:103:4:572c:0:0:0:2</v>
      </c>
      <c r="G3630" s="1" t="str">
        <f>"0226S571"</f>
        <v>0226S571</v>
      </c>
      <c r="H3630" s="1" t="str">
        <f>"선창간 3R1L5R1"</f>
        <v>선창간 3R1L5R1</v>
      </c>
      <c r="I3630" s="1" t="s">
        <v>15</v>
      </c>
      <c r="J3630" s="1" t="str">
        <f>"43/43"</f>
        <v>43/43</v>
      </c>
      <c r="K3630" s="1" t="str">
        <f>"2026-07-29 14:20:31"</f>
        <v>2026-07-29 14:20:31</v>
      </c>
      <c r="L3630" s="1" t="str">
        <f>"2023-09-26 15:00:00"</f>
        <v>2023-09-26 15:00:00</v>
      </c>
      <c r="M3630" s="1" t="s">
        <v>4</v>
      </c>
      <c r="N3630" s="1" t="s">
        <v>38</v>
      </c>
      <c r="O3630" s="1" t="s">
        <v>46</v>
      </c>
    </row>
    <row r="3631" spans="2:15" x14ac:dyDescent="0.3">
      <c r="B3631" s="1" t="s">
        <v>23</v>
      </c>
      <c r="C3631" s="1" t="str">
        <f>"5-2차"</f>
        <v>5-2차</v>
      </c>
      <c r="D3631" s="1" t="str">
        <f>"0226S5725S"</f>
        <v>0226S5725S</v>
      </c>
      <c r="E3631" s="1" t="s">
        <v>10</v>
      </c>
      <c r="F3631" s="1" t="str">
        <f>"fde1:103:4:5708:0:0:0:2"</f>
        <v>fde1:103:4:5708:0:0:0:2</v>
      </c>
      <c r="G3631" s="1" t="str">
        <f>"0226S572"</f>
        <v>0226S572</v>
      </c>
      <c r="H3631" s="1" t="str">
        <f>"선창간 3R1L5R2"</f>
        <v>선창간 3R1L5R2</v>
      </c>
      <c r="I3631" s="1" t="s">
        <v>15</v>
      </c>
      <c r="J3631" s="1" t="str">
        <f>"32/32"</f>
        <v>32/32</v>
      </c>
      <c r="K3631" s="1" t="str">
        <f>"2026-07-29 14:20:36"</f>
        <v>2026-07-29 14:20:36</v>
      </c>
      <c r="L3631" s="1" t="str">
        <f>"2023-09-26 15:09:22"</f>
        <v>2023-09-26 15:09:22</v>
      </c>
      <c r="M3631" s="1" t="s">
        <v>4</v>
      </c>
      <c r="N3631" s="1" t="s">
        <v>38</v>
      </c>
      <c r="O3631" s="1" t="s">
        <v>46</v>
      </c>
    </row>
    <row r="3632" spans="2:15" x14ac:dyDescent="0.3">
      <c r="B3632" s="1" t="s">
        <v>23</v>
      </c>
      <c r="C3632" s="1" t="str">
        <f>"4차"</f>
        <v>4차</v>
      </c>
      <c r="D3632" s="1" t="str">
        <f>"0226S67239"</f>
        <v>0226S67239</v>
      </c>
      <c r="E3632" s="1" t="s">
        <v>10</v>
      </c>
      <c r="F3632" s="1" t="str">
        <f>"10.14.2.26"</f>
        <v>10.14.2.26</v>
      </c>
      <c r="G3632" s="1" t="str">
        <f>"0226S672"</f>
        <v>0226S672</v>
      </c>
      <c r="H3632" s="1" t="str">
        <f>"선창간 3R1L5A2"</f>
        <v>선창간 3R1L5A2</v>
      </c>
      <c r="I3632" s="1" t="s">
        <v>17</v>
      </c>
      <c r="J3632" s="1" t="str">
        <f>"28/28"</f>
        <v>28/28</v>
      </c>
      <c r="K3632" s="1" t="str">
        <f>"2026-07-29 13:18:04"</f>
        <v>2026-07-29 13:18:04</v>
      </c>
      <c r="L3632" s="1" t="str">
        <f>"2020-11-17 16:33:41"</f>
        <v>2020-11-17 16:33:41</v>
      </c>
      <c r="M3632" s="1" t="s">
        <v>3</v>
      </c>
      <c r="N3632" s="1" t="s">
        <v>38</v>
      </c>
      <c r="O3632" s="1" t="s">
        <v>46</v>
      </c>
    </row>
    <row r="3633" spans="2:15" x14ac:dyDescent="0.3">
      <c r="B3633" s="1" t="s">
        <v>23</v>
      </c>
      <c r="C3633" s="1" t="str">
        <f>"5-2차"</f>
        <v>5-2차</v>
      </c>
      <c r="D3633" s="1" t="str">
        <f>"0226S8215S"</f>
        <v>0226S8215S</v>
      </c>
      <c r="E3633" s="1" t="s">
        <v>10</v>
      </c>
      <c r="F3633" s="1" t="str">
        <f>"fde1:103:4:57b9:0:0:0:2"</f>
        <v>fde1:103:4:57b9:0:0:0:2</v>
      </c>
      <c r="G3633" s="1" t="str">
        <f>"0226S821"</f>
        <v>0226S821</v>
      </c>
      <c r="H3633" s="1" t="str">
        <f>"선창간 25R15"</f>
        <v>선창간 25R15</v>
      </c>
      <c r="I3633" s="1" t="s">
        <v>15</v>
      </c>
      <c r="J3633" s="1" t="str">
        <f>"20/20"</f>
        <v>20/20</v>
      </c>
      <c r="K3633" s="1" t="str">
        <f>"2026-07-29 14:21:05"</f>
        <v>2026-07-29 14:21:05</v>
      </c>
      <c r="L3633" s="1" t="str">
        <f>"2023-10-10 13:36:43"</f>
        <v>2023-10-10 13:36:43</v>
      </c>
      <c r="M3633" s="1" t="s">
        <v>4</v>
      </c>
      <c r="N3633" s="1" t="s">
        <v>38</v>
      </c>
      <c r="O3633" s="1" t="s">
        <v>46</v>
      </c>
    </row>
    <row r="3634" spans="2:15" x14ac:dyDescent="0.3">
      <c r="B3634" s="1" t="s">
        <v>23</v>
      </c>
      <c r="C3634" s="1" t="str">
        <f>"5-2차"</f>
        <v>5-2차</v>
      </c>
      <c r="D3634" s="1" t="str">
        <f>"0226S8415S"</f>
        <v>0226S8415S</v>
      </c>
      <c r="E3634" s="1" t="s">
        <v>10</v>
      </c>
      <c r="F3634" s="1" t="str">
        <f>"fde1:103:4:591c:0:0:0:2"</f>
        <v>fde1:103:4:591c:0:0:0:2</v>
      </c>
      <c r="G3634" s="1" t="str">
        <f>"0226S841"</f>
        <v>0226S841</v>
      </c>
      <c r="H3634" s="1" t="str">
        <f>"선창간 25R12"</f>
        <v>선창간 25R12</v>
      </c>
      <c r="I3634" s="1" t="s">
        <v>15</v>
      </c>
      <c r="J3634" s="1" t="str">
        <f>"45/45"</f>
        <v>45/45</v>
      </c>
      <c r="K3634" s="1" t="str">
        <f>"2026-07-29 14:21:06"</f>
        <v>2026-07-29 14:21:06</v>
      </c>
      <c r="L3634" s="1" t="str">
        <f>"2023-10-10 13:36:37"</f>
        <v>2023-10-10 13:36:37</v>
      </c>
      <c r="M3634" s="1" t="s">
        <v>4</v>
      </c>
      <c r="N3634" s="1" t="s">
        <v>38</v>
      </c>
      <c r="O3634" s="1" t="s">
        <v>46</v>
      </c>
    </row>
    <row r="3635" spans="2:15" x14ac:dyDescent="0.3">
      <c r="B3635" s="1" t="s">
        <v>23</v>
      </c>
      <c r="C3635" s="1" t="str">
        <f>"5-2차"</f>
        <v>5-2차</v>
      </c>
      <c r="D3635" s="1" t="str">
        <f>"0226W0235M"</f>
        <v>0226W0235M</v>
      </c>
      <c r="E3635" s="1" t="s">
        <v>10</v>
      </c>
      <c r="F3635" s="1" t="str">
        <f>"fde1:103:4:91aa:0:0:0:2"</f>
        <v>fde1:103:4:91aa:0:0:0:2</v>
      </c>
      <c r="G3635" s="1" t="str">
        <f>"0226W023"</f>
        <v>0226W023</v>
      </c>
      <c r="H3635" s="1" t="str">
        <f>"선창간 24L6"</f>
        <v>선창간 24L6</v>
      </c>
      <c r="I3635" s="1" t="s">
        <v>15</v>
      </c>
      <c r="J3635" s="1" t="str">
        <f>"54/55"</f>
        <v>54/55</v>
      </c>
      <c r="K3635" s="1" t="str">
        <f>"2026-07-29 14:20:31"</f>
        <v>2026-07-29 14:20:31</v>
      </c>
      <c r="L3635" s="1" t="str">
        <f>"2024-01-30 16:34:16"</f>
        <v>2024-01-30 16:34:16</v>
      </c>
      <c r="M3635" s="1" t="s">
        <v>4</v>
      </c>
      <c r="N3635" s="1" t="s">
        <v>38</v>
      </c>
      <c r="O3635" s="1" t="s">
        <v>46</v>
      </c>
    </row>
    <row r="3636" spans="2:15" x14ac:dyDescent="0.3">
      <c r="B3636" s="1" t="s">
        <v>23</v>
      </c>
      <c r="C3636" s="1" t="str">
        <f>"1차"</f>
        <v>1차</v>
      </c>
      <c r="D3636" s="1" t="str">
        <f>"0226W91101"</f>
        <v>0226W91101</v>
      </c>
      <c r="E3636" s="1" t="s">
        <v>10</v>
      </c>
      <c r="F3636" s="1" t="str">
        <f>"10.12.135.213"</f>
        <v>10.12.135.213</v>
      </c>
      <c r="G3636" s="1" t="str">
        <f>"0226W911"</f>
        <v>0226W911</v>
      </c>
      <c r="H3636" s="1" t="str">
        <f>"용답간 16R5"</f>
        <v>용답간 16R5</v>
      </c>
      <c r="I3636" s="1" t="s">
        <v>8</v>
      </c>
      <c r="J3636" s="1" t="str">
        <f>"28/29"</f>
        <v>28/29</v>
      </c>
      <c r="K3636" s="1" t="str">
        <f>"2026-07-29 13:18:03"</f>
        <v>2026-07-29 13:18:03</v>
      </c>
      <c r="L3636" s="1" t="str">
        <f>"2015-01-18 00:08:30"</f>
        <v>2015-01-18 00:08:30</v>
      </c>
      <c r="M3636" s="1" t="s">
        <v>0</v>
      </c>
      <c r="N3636" s="1" t="s">
        <v>38</v>
      </c>
      <c r="O3636" s="1" t="s">
        <v>46</v>
      </c>
    </row>
    <row r="3637" spans="2:15" x14ac:dyDescent="0.3">
      <c r="B3637" s="1" t="s">
        <v>23</v>
      </c>
      <c r="C3637" s="1" t="str">
        <f>"1차"</f>
        <v>1차</v>
      </c>
      <c r="D3637" s="1" t="str">
        <f>"0226X00100"</f>
        <v>0226X00100</v>
      </c>
      <c r="E3637" s="1" t="s">
        <v>10</v>
      </c>
      <c r="F3637" s="1" t="str">
        <f>"10.125.0.234"</f>
        <v>10.125.0.234</v>
      </c>
      <c r="G3637" s="1" t="str">
        <f>"0226X001"</f>
        <v>0226X001</v>
      </c>
      <c r="H3637" s="1" t="str">
        <f>"용답간 16R3"</f>
        <v>용답간 16R3</v>
      </c>
      <c r="I3637" s="1" t="s">
        <v>8</v>
      </c>
      <c r="J3637" s="1" t="str">
        <f>"12/17"</f>
        <v>12/17</v>
      </c>
      <c r="K3637" s="1" t="str">
        <f>"2026-07-29 13:18:02"</f>
        <v>2026-07-29 13:18:02</v>
      </c>
      <c r="L3637" s="1" t="str">
        <f>"2014-11-21 14:31:49"</f>
        <v>2014-11-21 14:31:49</v>
      </c>
      <c r="M3637" s="1" t="s">
        <v>45</v>
      </c>
      <c r="N3637" s="1" t="s">
        <v>38</v>
      </c>
      <c r="O3637" s="1" t="s">
        <v>46</v>
      </c>
    </row>
    <row r="3638" spans="2:15" x14ac:dyDescent="0.3">
      <c r="B3638" s="1" t="s">
        <v>23</v>
      </c>
      <c r="C3638" s="1" t="str">
        <f>"1차"</f>
        <v>1차</v>
      </c>
      <c r="D3638" s="1" t="str">
        <f>"0226X00301"</f>
        <v>0226X00301</v>
      </c>
      <c r="E3638" s="1" t="s">
        <v>10</v>
      </c>
      <c r="F3638" s="1" t="str">
        <f>"10.12.131.23"</f>
        <v>10.12.131.23</v>
      </c>
      <c r="G3638" s="1" t="str">
        <f>"0226X003"</f>
        <v>0226X003</v>
      </c>
      <c r="H3638" s="1" t="str">
        <f>"용답간 19R4R3"</f>
        <v>용답간 19R4R3</v>
      </c>
      <c r="I3638" s="1" t="s">
        <v>8</v>
      </c>
      <c r="J3638" s="1" t="str">
        <f>"27/27"</f>
        <v>27/27</v>
      </c>
      <c r="K3638" s="1" t="str">
        <f>"2026-07-29 13:18:02"</f>
        <v>2026-07-29 13:18:02</v>
      </c>
      <c r="L3638" s="1" t="str">
        <f>"2014-11-12 10:57:00"</f>
        <v>2014-11-12 10:57:00</v>
      </c>
      <c r="M3638" s="1" t="s">
        <v>0</v>
      </c>
      <c r="N3638" s="1" t="s">
        <v>38</v>
      </c>
      <c r="O3638" s="1" t="s">
        <v>46</v>
      </c>
    </row>
    <row r="3639" spans="2:15" x14ac:dyDescent="0.3">
      <c r="B3639" s="1" t="s">
        <v>23</v>
      </c>
      <c r="C3639" s="1" t="str">
        <f>"1차"</f>
        <v>1차</v>
      </c>
      <c r="D3639" s="1" t="str">
        <f>"0226X11101"</f>
        <v>0226X11101</v>
      </c>
      <c r="E3639" s="1" t="s">
        <v>10</v>
      </c>
      <c r="F3639" s="1" t="str">
        <f>"10.14.1.123"</f>
        <v>10.14.1.123</v>
      </c>
      <c r="G3639" s="1" t="str">
        <f>"0226X111"</f>
        <v>0226X111</v>
      </c>
      <c r="H3639" s="1" t="str">
        <f>"용답간 16R2"</f>
        <v>용답간 16R2</v>
      </c>
      <c r="I3639" s="1" t="s">
        <v>8</v>
      </c>
      <c r="J3639" s="1" t="str">
        <f>"53/53"</f>
        <v>53/53</v>
      </c>
      <c r="K3639" s="1" t="str">
        <f>"2026-07-29 13:18:03"</f>
        <v>2026-07-29 13:18:03</v>
      </c>
      <c r="L3639" s="1" t="str">
        <f>"2014-11-15 00:11:37"</f>
        <v>2014-11-15 00:11:37</v>
      </c>
      <c r="M3639" s="1" t="s">
        <v>3</v>
      </c>
      <c r="N3639" s="1" t="s">
        <v>38</v>
      </c>
      <c r="O3639" s="1" t="s">
        <v>46</v>
      </c>
    </row>
    <row r="3640" spans="2:15" x14ac:dyDescent="0.3">
      <c r="B3640" s="1" t="s">
        <v>23</v>
      </c>
      <c r="C3640" s="1" t="str">
        <f t="shared" ref="C3640:C3661" si="205">"5-2차"</f>
        <v>5-2차</v>
      </c>
      <c r="D3640" s="1" t="str">
        <f>"0226Y0125S"</f>
        <v>0226Y0125S</v>
      </c>
      <c r="E3640" s="1" t="s">
        <v>10</v>
      </c>
      <c r="F3640" s="1" t="str">
        <f>"fde1:103:4:590c:0:0:0:2"</f>
        <v>fde1:103:4:590c:0:0:0:2</v>
      </c>
      <c r="G3640" s="1" t="str">
        <f>"0226Y012"</f>
        <v>0226Y012</v>
      </c>
      <c r="H3640" s="1" t="str">
        <f>"한사간 27L5"</f>
        <v>한사간 27L5</v>
      </c>
      <c r="I3640" s="1" t="s">
        <v>15</v>
      </c>
      <c r="J3640" s="1" t="str">
        <f>"101/101"</f>
        <v>101/101</v>
      </c>
      <c r="K3640" s="1" t="str">
        <f>"2026-07-29 14:20:23"</f>
        <v>2026-07-29 14:20:23</v>
      </c>
      <c r="L3640" s="1" t="str">
        <f>"2023-10-10 13:57:36"</f>
        <v>2023-10-10 13:57:36</v>
      </c>
      <c r="M3640" s="1" t="s">
        <v>4</v>
      </c>
      <c r="N3640" s="1" t="s">
        <v>38</v>
      </c>
      <c r="O3640" s="1" t="s">
        <v>46</v>
      </c>
    </row>
    <row r="3641" spans="2:15" x14ac:dyDescent="0.3">
      <c r="B3641" s="1" t="s">
        <v>23</v>
      </c>
      <c r="C3641" s="1" t="str">
        <f t="shared" si="205"/>
        <v>5-2차</v>
      </c>
      <c r="D3641" s="1" t="str">
        <f>"0226Y0415M"</f>
        <v>0226Y0415M</v>
      </c>
      <c r="E3641" s="1" t="s">
        <v>10</v>
      </c>
      <c r="F3641" s="1" t="str">
        <f>"fde1:103:4:59e2:0:0:0:2"</f>
        <v>fde1:103:4:59e2:0:0:0:2</v>
      </c>
      <c r="G3641" s="1" t="str">
        <f>"0226Y041"</f>
        <v>0226Y041</v>
      </c>
      <c r="H3641" s="1" t="str">
        <f>"선창간 25R10"</f>
        <v>선창간 25R10</v>
      </c>
      <c r="I3641" s="1" t="s">
        <v>15</v>
      </c>
      <c r="J3641" s="1" t="str">
        <f>"79/80"</f>
        <v>79/80</v>
      </c>
      <c r="K3641" s="1" t="str">
        <f>"2026-07-29 14:20:50"</f>
        <v>2026-07-29 14:20:50</v>
      </c>
      <c r="L3641" s="1" t="str">
        <f>"2023-12-13 13:32:36"</f>
        <v>2023-12-13 13:32:36</v>
      </c>
      <c r="M3641" s="1" t="s">
        <v>4</v>
      </c>
      <c r="N3641" s="1" t="s">
        <v>38</v>
      </c>
      <c r="O3641" s="1" t="s">
        <v>46</v>
      </c>
    </row>
    <row r="3642" spans="2:15" x14ac:dyDescent="0.3">
      <c r="B3642" s="1" t="s">
        <v>23</v>
      </c>
      <c r="C3642" s="1" t="str">
        <f t="shared" si="205"/>
        <v>5-2차</v>
      </c>
      <c r="D3642" s="1" t="str">
        <f>"0226Y0535M"</f>
        <v>0226Y0535M</v>
      </c>
      <c r="E3642" s="1" t="s">
        <v>10</v>
      </c>
      <c r="F3642" s="1" t="str">
        <f>"fde1:103:4:5975:0:0:0:2"</f>
        <v>fde1:103:4:5975:0:0:0:2</v>
      </c>
      <c r="G3642" s="1" t="str">
        <f>"0226Y053"</f>
        <v>0226Y053</v>
      </c>
      <c r="H3642" s="1" t="str">
        <f>"선창간 25R7"</f>
        <v>선창간 25R7</v>
      </c>
      <c r="I3642" s="1" t="s">
        <v>15</v>
      </c>
      <c r="J3642" s="1" t="str">
        <f>"21/21"</f>
        <v>21/21</v>
      </c>
      <c r="K3642" s="1" t="str">
        <f>"2026-07-29 14:20:02"</f>
        <v>2026-07-29 14:20:02</v>
      </c>
      <c r="L3642" s="1" t="str">
        <f>"2023-12-05 15:58:56"</f>
        <v>2023-12-05 15:58:56</v>
      </c>
      <c r="M3642" s="1" t="s">
        <v>4</v>
      </c>
      <c r="N3642" s="1" t="s">
        <v>38</v>
      </c>
      <c r="O3642" s="1" t="s">
        <v>46</v>
      </c>
    </row>
    <row r="3643" spans="2:15" x14ac:dyDescent="0.3">
      <c r="B3643" s="1" t="s">
        <v>23</v>
      </c>
      <c r="C3643" s="1" t="str">
        <f t="shared" si="205"/>
        <v>5-2차</v>
      </c>
      <c r="D3643" s="1" t="str">
        <f>"0226Y0615M"</f>
        <v>0226Y0615M</v>
      </c>
      <c r="E3643" s="1" t="s">
        <v>10</v>
      </c>
      <c r="F3643" s="1" t="str">
        <f>"fde1:103:4:5766:0:0:0:2"</f>
        <v>fde1:103:4:5766:0:0:0:2</v>
      </c>
      <c r="G3643" s="1" t="str">
        <f>"0226Y061"</f>
        <v>0226Y061</v>
      </c>
      <c r="H3643" s="1" t="str">
        <f>"선창간 25R6"</f>
        <v>선창간 25R6</v>
      </c>
      <c r="I3643" s="1" t="s">
        <v>15</v>
      </c>
      <c r="J3643" s="1" t="str">
        <f>"34/35"</f>
        <v>34/35</v>
      </c>
      <c r="K3643" s="1" t="str">
        <f>"2026-07-29 08:20:30"</f>
        <v>2026-07-29 08:20:30</v>
      </c>
      <c r="L3643" s="1" t="str">
        <f>"2023-10-10 15:03:44"</f>
        <v>2023-10-10 15:03:44</v>
      </c>
      <c r="M3643" s="1" t="s">
        <v>4</v>
      </c>
      <c r="N3643" s="1" t="s">
        <v>38</v>
      </c>
      <c r="O3643" s="1" t="s">
        <v>46</v>
      </c>
    </row>
    <row r="3644" spans="2:15" x14ac:dyDescent="0.3">
      <c r="B3644" s="1" t="s">
        <v>23</v>
      </c>
      <c r="C3644" s="1" t="str">
        <f t="shared" si="205"/>
        <v>5-2차</v>
      </c>
      <c r="D3644" s="1" t="str">
        <f>"0226Y1135S"</f>
        <v>0226Y1135S</v>
      </c>
      <c r="E3644" s="1" t="s">
        <v>10</v>
      </c>
      <c r="F3644" s="1" t="str">
        <f>"fde1:103:4:58d0:0:0:0:2"</f>
        <v>fde1:103:4:58d0:0:0:0:2</v>
      </c>
      <c r="G3644" s="1" t="str">
        <f>"0226Y113"</f>
        <v>0226Y113</v>
      </c>
      <c r="H3644" s="1" t="str">
        <f>"한사간 27L4R2"</f>
        <v>한사간 27L4R2</v>
      </c>
      <c r="I3644" s="1" t="s">
        <v>15</v>
      </c>
      <c r="J3644" s="1" t="str">
        <f>"94/94"</f>
        <v>94/94</v>
      </c>
      <c r="K3644" s="1" t="str">
        <f>"2026-07-29 14:20:31"</f>
        <v>2026-07-29 14:20:31</v>
      </c>
      <c r="L3644" s="1" t="str">
        <f>"2023-10-10 15:04:28"</f>
        <v>2023-10-10 15:04:28</v>
      </c>
      <c r="M3644" s="1" t="s">
        <v>4</v>
      </c>
      <c r="N3644" s="1" t="s">
        <v>38</v>
      </c>
      <c r="O3644" s="1" t="s">
        <v>46</v>
      </c>
    </row>
    <row r="3645" spans="2:15" x14ac:dyDescent="0.3">
      <c r="B3645" s="1" t="s">
        <v>23</v>
      </c>
      <c r="C3645" s="1" t="str">
        <f t="shared" si="205"/>
        <v>5-2차</v>
      </c>
      <c r="D3645" s="1" t="str">
        <f>"0226Y1415S"</f>
        <v>0226Y1415S</v>
      </c>
      <c r="E3645" s="1" t="s">
        <v>10</v>
      </c>
      <c r="F3645" s="1" t="str">
        <f>"fde1:103:4:586f:0:0:0:2"</f>
        <v>fde1:103:4:586f:0:0:0:2</v>
      </c>
      <c r="G3645" s="1" t="str">
        <f>"0226Y141"</f>
        <v>0226Y141</v>
      </c>
      <c r="H3645" s="1" t="str">
        <f>"선창간 25R10L2"</f>
        <v>선창간 25R10L2</v>
      </c>
      <c r="I3645" s="1" t="s">
        <v>15</v>
      </c>
      <c r="J3645" s="1" t="str">
        <f>"106/106"</f>
        <v>106/106</v>
      </c>
      <c r="K3645" s="1" t="str">
        <f>"2026-07-29 14:20:03"</f>
        <v>2026-07-29 14:20:03</v>
      </c>
      <c r="L3645" s="1" t="str">
        <f>"2023-10-10 15:04:54"</f>
        <v>2023-10-10 15:04:54</v>
      </c>
      <c r="M3645" s="1" t="s">
        <v>4</v>
      </c>
      <c r="N3645" s="1" t="s">
        <v>38</v>
      </c>
      <c r="O3645" s="1" t="s">
        <v>46</v>
      </c>
    </row>
    <row r="3646" spans="2:15" x14ac:dyDescent="0.3">
      <c r="B3646" s="1" t="s">
        <v>23</v>
      </c>
      <c r="C3646" s="1" t="str">
        <f t="shared" si="205"/>
        <v>5-2차</v>
      </c>
      <c r="D3646" s="1" t="str">
        <f>"0226Y1545S"</f>
        <v>0226Y1545S</v>
      </c>
      <c r="E3646" s="1" t="s">
        <v>10</v>
      </c>
      <c r="F3646" s="1" t="str">
        <f>"fde1:103:4:57d3:0:0:0:2"</f>
        <v>fde1:103:4:57d3:0:0:0:2</v>
      </c>
      <c r="G3646" s="1" t="str">
        <f>"0226Y154"</f>
        <v>0226Y154</v>
      </c>
      <c r="H3646" s="1" t="str">
        <f>"선창간 25R4L1"</f>
        <v>선창간 25R4L1</v>
      </c>
      <c r="I3646" s="1" t="s">
        <v>15</v>
      </c>
      <c r="J3646" s="1" t="str">
        <f>"74/74"</f>
        <v>74/74</v>
      </c>
      <c r="K3646" s="1" t="str">
        <f>"2026-07-29 14:20:04"</f>
        <v>2026-07-29 14:20:04</v>
      </c>
      <c r="L3646" s="1" t="str">
        <f>"2023-10-10 15:05:22"</f>
        <v>2023-10-10 15:05:22</v>
      </c>
      <c r="M3646" s="1" t="s">
        <v>4</v>
      </c>
      <c r="N3646" s="1" t="s">
        <v>38</v>
      </c>
      <c r="O3646" s="1" t="s">
        <v>46</v>
      </c>
    </row>
    <row r="3647" spans="2:15" x14ac:dyDescent="0.3">
      <c r="B3647" s="1" t="s">
        <v>23</v>
      </c>
      <c r="C3647" s="1" t="str">
        <f t="shared" si="205"/>
        <v>5-2차</v>
      </c>
      <c r="D3647" s="1" t="str">
        <f>"0226Y1725M"</f>
        <v>0226Y1725M</v>
      </c>
      <c r="E3647" s="1" t="s">
        <v>10</v>
      </c>
      <c r="F3647" s="1" t="str">
        <f>"fde1:103:4:5736:0:0:0:2"</f>
        <v>fde1:103:4:5736:0:0:0:2</v>
      </c>
      <c r="G3647" s="1" t="str">
        <f>"0226Y172"</f>
        <v>0226Y172</v>
      </c>
      <c r="H3647" s="1" t="str">
        <f>"선창간 25R2"</f>
        <v>선창간 25R2</v>
      </c>
      <c r="I3647" s="1" t="s">
        <v>15</v>
      </c>
      <c r="J3647" s="1" t="str">
        <f>"64/64"</f>
        <v>64/64</v>
      </c>
      <c r="K3647" s="1" t="str">
        <f>"2026-07-29 14:20:25"</f>
        <v>2026-07-29 14:20:25</v>
      </c>
      <c r="L3647" s="1" t="str">
        <f>"2023-10-10 15:26:16"</f>
        <v>2023-10-10 15:26:16</v>
      </c>
      <c r="M3647" s="1" t="s">
        <v>4</v>
      </c>
      <c r="N3647" s="1" t="s">
        <v>38</v>
      </c>
      <c r="O3647" s="1" t="s">
        <v>46</v>
      </c>
    </row>
    <row r="3648" spans="2:15" x14ac:dyDescent="0.3">
      <c r="B3648" s="1" t="s">
        <v>23</v>
      </c>
      <c r="C3648" s="1" t="str">
        <f t="shared" si="205"/>
        <v>5-2차</v>
      </c>
      <c r="D3648" s="1" t="str">
        <f>"0226Y2015S"</f>
        <v>0226Y2015S</v>
      </c>
      <c r="E3648" s="1" t="s">
        <v>10</v>
      </c>
      <c r="F3648" s="1" t="str">
        <f>"fde1:103:4:57ae:0:0:0:2"</f>
        <v>fde1:103:4:57ae:0:0:0:2</v>
      </c>
      <c r="G3648" s="1" t="str">
        <f>"0226Y201"</f>
        <v>0226Y201</v>
      </c>
      <c r="H3648" s="1" t="str">
        <f>"한사간 27L2"</f>
        <v>한사간 27L2</v>
      </c>
      <c r="I3648" s="1" t="s">
        <v>15</v>
      </c>
      <c r="J3648" s="1" t="str">
        <f>"65/65"</f>
        <v>65/65</v>
      </c>
      <c r="K3648" s="1" t="str">
        <f>"2026-07-29 14:20:04"</f>
        <v>2026-07-29 14:20:04</v>
      </c>
      <c r="L3648" s="1" t="str">
        <f>"2023-10-10 15:26:44"</f>
        <v>2023-10-10 15:26:44</v>
      </c>
      <c r="M3648" s="1" t="s">
        <v>4</v>
      </c>
      <c r="N3648" s="1" t="s">
        <v>38</v>
      </c>
      <c r="O3648" s="1" t="s">
        <v>46</v>
      </c>
    </row>
    <row r="3649" spans="2:15" x14ac:dyDescent="0.3">
      <c r="B3649" s="1" t="s">
        <v>23</v>
      </c>
      <c r="C3649" s="1" t="str">
        <f t="shared" si="205"/>
        <v>5-2차</v>
      </c>
      <c r="D3649" s="1" t="str">
        <f>"0226Y2215S"</f>
        <v>0226Y2215S</v>
      </c>
      <c r="E3649" s="1" t="s">
        <v>10</v>
      </c>
      <c r="F3649" s="1" t="str">
        <f>"fde1:103:4:57bb:0:0:0:2"</f>
        <v>fde1:103:4:57bb:0:0:0:2</v>
      </c>
      <c r="G3649" s="1" t="str">
        <f>"0226Y221"</f>
        <v>0226Y221</v>
      </c>
      <c r="H3649" s="1" t="str">
        <f>"한사간 30L3"</f>
        <v>한사간 30L3</v>
      </c>
      <c r="I3649" s="1" t="s">
        <v>15</v>
      </c>
      <c r="J3649" s="1" t="str">
        <f>"98/98"</f>
        <v>98/98</v>
      </c>
      <c r="K3649" s="1" t="str">
        <f>"2026-07-29 14:20:02"</f>
        <v>2026-07-29 14:20:02</v>
      </c>
      <c r="L3649" s="1" t="str">
        <f>"2023-10-10 15:27:10"</f>
        <v>2023-10-10 15:27:10</v>
      </c>
      <c r="M3649" s="1" t="s">
        <v>4</v>
      </c>
      <c r="N3649" s="1" t="s">
        <v>38</v>
      </c>
      <c r="O3649" s="1" t="s">
        <v>46</v>
      </c>
    </row>
    <row r="3650" spans="2:15" x14ac:dyDescent="0.3">
      <c r="B3650" s="1" t="s">
        <v>23</v>
      </c>
      <c r="C3650" s="1" t="str">
        <f t="shared" si="205"/>
        <v>5-2차</v>
      </c>
      <c r="D3650" s="1" t="str">
        <f>"0226Y2225S"</f>
        <v>0226Y2225S</v>
      </c>
      <c r="E3650" s="1" t="s">
        <v>10</v>
      </c>
      <c r="F3650" s="1" t="str">
        <f>"fde1:103:4:577b:0:0:0:2"</f>
        <v>fde1:103:4:577b:0:0:0:2</v>
      </c>
      <c r="G3650" s="1" t="str">
        <f>"0226Y222"</f>
        <v>0226Y222</v>
      </c>
      <c r="H3650" s="1" t="str">
        <f>"한사간 30L2"</f>
        <v>한사간 30L2</v>
      </c>
      <c r="I3650" s="1" t="s">
        <v>15</v>
      </c>
      <c r="J3650" s="1" t="str">
        <f>"59/60"</f>
        <v>59/60</v>
      </c>
      <c r="K3650" s="1" t="str">
        <f>"2026-07-29 14:20:02"</f>
        <v>2026-07-29 14:20:02</v>
      </c>
      <c r="L3650" s="1" t="str">
        <f>"2023-10-10 15:29:41"</f>
        <v>2023-10-10 15:29:41</v>
      </c>
      <c r="M3650" s="1" t="s">
        <v>4</v>
      </c>
      <c r="N3650" s="1" t="s">
        <v>38</v>
      </c>
      <c r="O3650" s="1" t="s">
        <v>46</v>
      </c>
    </row>
    <row r="3651" spans="2:15" x14ac:dyDescent="0.3">
      <c r="B3651" s="1" t="s">
        <v>23</v>
      </c>
      <c r="C3651" s="1" t="str">
        <f t="shared" si="205"/>
        <v>5-2차</v>
      </c>
      <c r="D3651" s="1" t="str">
        <f>"0226Y2515M"</f>
        <v>0226Y2515M</v>
      </c>
      <c r="E3651" s="1" t="s">
        <v>10</v>
      </c>
      <c r="F3651" s="1" t="str">
        <f>"fde1:103:4:5749:0:0:0:2"</f>
        <v>fde1:103:4:5749:0:0:0:2</v>
      </c>
      <c r="G3651" s="1" t="str">
        <f>"0226Y251"</f>
        <v>0226Y251</v>
      </c>
      <c r="H3651" s="1" t="str">
        <f>"선창간 31R2"</f>
        <v>선창간 31R2</v>
      </c>
      <c r="I3651" s="1" t="s">
        <v>15</v>
      </c>
      <c r="J3651" s="1" t="str">
        <f>"108/108"</f>
        <v>108/108</v>
      </c>
      <c r="K3651" s="1" t="str">
        <f>"2026-07-29 14:20:31"</f>
        <v>2026-07-29 14:20:31</v>
      </c>
      <c r="L3651" s="1" t="str">
        <f>"2023-10-10 16:53:03"</f>
        <v>2023-10-10 16:53:03</v>
      </c>
      <c r="M3651" s="1" t="s">
        <v>4</v>
      </c>
      <c r="N3651" s="1" t="s">
        <v>38</v>
      </c>
      <c r="O3651" s="1" t="s">
        <v>46</v>
      </c>
    </row>
    <row r="3652" spans="2:15" x14ac:dyDescent="0.3">
      <c r="B3652" s="1" t="s">
        <v>23</v>
      </c>
      <c r="C3652" s="1" t="str">
        <f t="shared" si="205"/>
        <v>5-2차</v>
      </c>
      <c r="D3652" s="1" t="str">
        <f>"0226Y2615S"</f>
        <v>0226Y2615S</v>
      </c>
      <c r="E3652" s="1" t="s">
        <v>10</v>
      </c>
      <c r="F3652" s="1" t="str">
        <f>"fde1:103:4:574b:0:0:0:2"</f>
        <v>fde1:103:4:574b:0:0:0:2</v>
      </c>
      <c r="G3652" s="1" t="str">
        <f>"0226Y261"</f>
        <v>0226Y261</v>
      </c>
      <c r="H3652" s="1" t="str">
        <f>"선창간 29R2"</f>
        <v>선창간 29R2</v>
      </c>
      <c r="I3652" s="1" t="s">
        <v>15</v>
      </c>
      <c r="J3652" s="1" t="str">
        <f>"45/45"</f>
        <v>45/45</v>
      </c>
      <c r="K3652" s="1" t="str">
        <f>"2026-07-29 14:20:34"</f>
        <v>2026-07-29 14:20:34</v>
      </c>
      <c r="L3652" s="1" t="str">
        <f>"2023-10-10 16:53:31"</f>
        <v>2023-10-10 16:53:31</v>
      </c>
      <c r="M3652" s="1" t="s">
        <v>4</v>
      </c>
      <c r="N3652" s="1" t="s">
        <v>38</v>
      </c>
      <c r="O3652" s="1" t="s">
        <v>46</v>
      </c>
    </row>
    <row r="3653" spans="2:15" x14ac:dyDescent="0.3">
      <c r="B3653" s="1" t="s">
        <v>23</v>
      </c>
      <c r="C3653" s="1" t="str">
        <f t="shared" si="205"/>
        <v>5-2차</v>
      </c>
      <c r="D3653" s="1" t="str">
        <f>"0226Y3025M"</f>
        <v>0226Y3025M</v>
      </c>
      <c r="E3653" s="1" t="s">
        <v>10</v>
      </c>
      <c r="F3653" s="1" t="str">
        <f>"fde1:103:4:582d:0:0:0:2"</f>
        <v>fde1:103:4:582d:0:0:0:2</v>
      </c>
      <c r="G3653" s="1" t="str">
        <f>"0226Y302"</f>
        <v>0226Y302</v>
      </c>
      <c r="H3653" s="1" t="str">
        <f>"한사간 28"</f>
        <v>한사간 28</v>
      </c>
      <c r="I3653" s="1" t="s">
        <v>15</v>
      </c>
      <c r="J3653" s="1" t="str">
        <f>"85/86"</f>
        <v>85/86</v>
      </c>
      <c r="K3653" s="1" t="str">
        <f>"2026-07-29 14:20:02"</f>
        <v>2026-07-29 14:20:02</v>
      </c>
      <c r="L3653" s="1" t="str">
        <f>"2023-10-10 16:53:56"</f>
        <v>2023-10-10 16:53:56</v>
      </c>
      <c r="M3653" s="1" t="s">
        <v>4</v>
      </c>
      <c r="N3653" s="1" t="s">
        <v>38</v>
      </c>
      <c r="O3653" s="1" t="s">
        <v>46</v>
      </c>
    </row>
    <row r="3654" spans="2:15" x14ac:dyDescent="0.3">
      <c r="B3654" s="1" t="s">
        <v>23</v>
      </c>
      <c r="C3654" s="1" t="str">
        <f t="shared" si="205"/>
        <v>5-2차</v>
      </c>
      <c r="D3654" s="1" t="str">
        <f>"0226Y3645M"</f>
        <v>0226Y3645M</v>
      </c>
      <c r="E3654" s="1" t="s">
        <v>10</v>
      </c>
      <c r="F3654" s="1" t="str">
        <f>"fde1:103:4:57ca:0:0:0:2"</f>
        <v>fde1:103:4:57ca:0:0:0:2</v>
      </c>
      <c r="G3654" s="1" t="str">
        <f>"0226Y364"</f>
        <v>0226Y364</v>
      </c>
      <c r="H3654" s="1" t="str">
        <f>"선창간 29"</f>
        <v>선창간 29</v>
      </c>
      <c r="I3654" s="1" t="s">
        <v>15</v>
      </c>
      <c r="J3654" s="1" t="str">
        <f>"76/76"</f>
        <v>76/76</v>
      </c>
      <c r="K3654" s="1" t="str">
        <f>"2026-07-29 14:20:01"</f>
        <v>2026-07-29 14:20:01</v>
      </c>
      <c r="L3654" s="1" t="str">
        <f>"2023-10-10 16:54:29"</f>
        <v>2023-10-10 16:54:29</v>
      </c>
      <c r="M3654" s="1" t="s">
        <v>4</v>
      </c>
      <c r="N3654" s="1" t="s">
        <v>38</v>
      </c>
      <c r="O3654" s="1" t="s">
        <v>46</v>
      </c>
    </row>
    <row r="3655" spans="2:15" x14ac:dyDescent="0.3">
      <c r="B3655" s="1" t="s">
        <v>23</v>
      </c>
      <c r="C3655" s="1" t="str">
        <f t="shared" si="205"/>
        <v>5-2차</v>
      </c>
      <c r="D3655" s="1" t="str">
        <f>"0226Y4235M"</f>
        <v>0226Y4235M</v>
      </c>
      <c r="E3655" s="1" t="s">
        <v>10</v>
      </c>
      <c r="F3655" s="1" t="str">
        <f>"fde1:103:4:5778:0:0:0:2"</f>
        <v>fde1:103:4:5778:0:0:0:2</v>
      </c>
      <c r="G3655" s="1" t="str">
        <f>"0226Y423"</f>
        <v>0226Y423</v>
      </c>
      <c r="H3655" s="1" t="str">
        <f>"한사간 32"</f>
        <v>한사간 32</v>
      </c>
      <c r="I3655" s="1" t="s">
        <v>15</v>
      </c>
      <c r="J3655" s="1" t="str">
        <f>"31/31"</f>
        <v>31/31</v>
      </c>
      <c r="K3655" s="1" t="str">
        <f>"2026-07-29 08:20:51"</f>
        <v>2026-07-29 08:20:51</v>
      </c>
      <c r="L3655" s="1" t="str">
        <f>"2023-10-10 17:12:25"</f>
        <v>2023-10-10 17:12:25</v>
      </c>
      <c r="M3655" s="1" t="s">
        <v>4</v>
      </c>
      <c r="N3655" s="1" t="s">
        <v>38</v>
      </c>
      <c r="O3655" s="1" t="s">
        <v>46</v>
      </c>
    </row>
    <row r="3656" spans="2:15" x14ac:dyDescent="0.3">
      <c r="B3656" s="1" t="s">
        <v>23</v>
      </c>
      <c r="C3656" s="1" t="str">
        <f t="shared" si="205"/>
        <v>5-2차</v>
      </c>
      <c r="D3656" s="1" t="str">
        <f>"0226Y7615S"</f>
        <v>0226Y7615S</v>
      </c>
      <c r="E3656" s="1" t="s">
        <v>10</v>
      </c>
      <c r="F3656" s="1" t="str">
        <f>"fde1:103:4:57cd:0:0:0:2"</f>
        <v>fde1:103:4:57cd:0:0:0:2</v>
      </c>
      <c r="G3656" s="1" t="str">
        <f>"0226Y761"</f>
        <v>0226Y761</v>
      </c>
      <c r="H3656" s="1" t="str">
        <f>"용답간 23R8R27"</f>
        <v>용답간 23R8R27</v>
      </c>
      <c r="I3656" s="1" t="s">
        <v>15</v>
      </c>
      <c r="J3656" s="1" t="str">
        <f>"78/78"</f>
        <v>78/78</v>
      </c>
      <c r="K3656" s="1" t="str">
        <f>"2026-07-29 14:20:28"</f>
        <v>2026-07-29 14:20:28</v>
      </c>
      <c r="L3656" s="1" t="str">
        <f>"2023-10-10 17:13:14"</f>
        <v>2023-10-10 17:13:14</v>
      </c>
      <c r="M3656" s="1" t="s">
        <v>4</v>
      </c>
      <c r="N3656" s="1" t="s">
        <v>38</v>
      </c>
      <c r="O3656" s="1" t="s">
        <v>46</v>
      </c>
    </row>
    <row r="3657" spans="2:15" x14ac:dyDescent="0.3">
      <c r="B3657" s="1" t="s">
        <v>23</v>
      </c>
      <c r="C3657" s="1" t="str">
        <f t="shared" si="205"/>
        <v>5-2차</v>
      </c>
      <c r="D3657" s="1" t="str">
        <f>"0226Y7715S"</f>
        <v>0226Y7715S</v>
      </c>
      <c r="E3657" s="1" t="s">
        <v>10</v>
      </c>
      <c r="F3657" s="1" t="str">
        <f>"fde1:103:4:6e98:0:0:0:2"</f>
        <v>fde1:103:4:6e98:0:0:0:2</v>
      </c>
      <c r="G3657" s="1" t="str">
        <f>"0226Y771"</f>
        <v>0226Y771</v>
      </c>
      <c r="H3657" s="1" t="str">
        <f>"용답간 23R8R26"</f>
        <v>용답간 23R8R26</v>
      </c>
      <c r="I3657" s="1" t="s">
        <v>15</v>
      </c>
      <c r="J3657" s="1" t="str">
        <f>"54/54"</f>
        <v>54/54</v>
      </c>
      <c r="K3657" s="1" t="str">
        <f>"2026-07-29 14:20:02"</f>
        <v>2026-07-29 14:20:02</v>
      </c>
      <c r="L3657" s="1" t="str">
        <f>"2023-11-14 13:31:06"</f>
        <v>2023-11-14 13:31:06</v>
      </c>
      <c r="M3657" s="1" t="s">
        <v>4</v>
      </c>
      <c r="N3657" s="1" t="s">
        <v>38</v>
      </c>
      <c r="O3657" s="1" t="s">
        <v>46</v>
      </c>
    </row>
    <row r="3658" spans="2:15" x14ac:dyDescent="0.3">
      <c r="B3658" s="1" t="s">
        <v>23</v>
      </c>
      <c r="C3658" s="1" t="str">
        <f t="shared" si="205"/>
        <v>5-2차</v>
      </c>
      <c r="D3658" s="1" t="str">
        <f>"0226Y7735M"</f>
        <v>0226Y7735M</v>
      </c>
      <c r="E3658" s="1" t="s">
        <v>10</v>
      </c>
      <c r="F3658" s="1" t="str">
        <f>"fde1:103:4:6e99:0:0:0:2"</f>
        <v>fde1:103:4:6e99:0:0:0:2</v>
      </c>
      <c r="G3658" s="1" t="str">
        <f>"0226Y773"</f>
        <v>0226Y773</v>
      </c>
      <c r="H3658" s="1" t="str">
        <f>"용답간 23R8R25"</f>
        <v>용답간 23R8R25</v>
      </c>
      <c r="I3658" s="1" t="s">
        <v>15</v>
      </c>
      <c r="J3658" s="1" t="str">
        <f>"50/50"</f>
        <v>50/50</v>
      </c>
      <c r="K3658" s="1" t="str">
        <f>"2026-07-29 14:20:32"</f>
        <v>2026-07-29 14:20:32</v>
      </c>
      <c r="L3658" s="1" t="str">
        <f>"2023-11-14 13:07:30"</f>
        <v>2023-11-14 13:07:30</v>
      </c>
      <c r="M3658" s="1" t="s">
        <v>4</v>
      </c>
      <c r="N3658" s="1" t="s">
        <v>38</v>
      </c>
      <c r="O3658" s="1" t="s">
        <v>46</v>
      </c>
    </row>
    <row r="3659" spans="2:15" x14ac:dyDescent="0.3">
      <c r="B3659" s="1" t="s">
        <v>23</v>
      </c>
      <c r="C3659" s="1" t="str">
        <f t="shared" si="205"/>
        <v>5-2차</v>
      </c>
      <c r="D3659" s="1" t="str">
        <f>"0226Y8535M"</f>
        <v>0226Y8535M</v>
      </c>
      <c r="E3659" s="1" t="s">
        <v>10</v>
      </c>
      <c r="F3659" s="1" t="str">
        <f>"fde3:102:1430:3300:0:0:0:7"</f>
        <v>fde3:102:1430:3300:0:0:0:7</v>
      </c>
      <c r="G3659" s="1" t="str">
        <f>"0226Y853"</f>
        <v>0226Y853</v>
      </c>
      <c r="H3659" s="1" t="str">
        <f>"용답간 19R13"</f>
        <v>용답간 19R13</v>
      </c>
      <c r="I3659" s="1" t="s">
        <v>15</v>
      </c>
      <c r="J3659" s="1" t="str">
        <f>"137/137"</f>
        <v>137/137</v>
      </c>
      <c r="K3659" s="1" t="str">
        <f>"2026-07-29 14:20:02"</f>
        <v>2026-07-29 14:20:02</v>
      </c>
      <c r="L3659" s="1" t="str">
        <f>"2023-12-02 09:17:06"</f>
        <v>2023-12-02 09:17:06</v>
      </c>
      <c r="M3659" s="1" t="s">
        <v>45</v>
      </c>
      <c r="N3659" s="1" t="s">
        <v>38</v>
      </c>
      <c r="O3659" s="1" t="s">
        <v>46</v>
      </c>
    </row>
    <row r="3660" spans="2:15" x14ac:dyDescent="0.3">
      <c r="B3660" s="1" t="s">
        <v>23</v>
      </c>
      <c r="C3660" s="1" t="str">
        <f t="shared" si="205"/>
        <v>5-2차</v>
      </c>
      <c r="D3660" s="1" t="str">
        <f>"0226Y9215M"</f>
        <v>0226Y9215M</v>
      </c>
      <c r="E3660" s="1" t="s">
        <v>10</v>
      </c>
      <c r="F3660" s="1" t="str">
        <f>"fde3:102:1430:3300:0:0:0:6"</f>
        <v>fde3:102:1430:3300:0:0:0:6</v>
      </c>
      <c r="G3660" s="1" t="str">
        <f>"0226Y921"</f>
        <v>0226Y921</v>
      </c>
      <c r="H3660" s="1" t="str">
        <f>"용답간 23R12R1"</f>
        <v>용답간 23R12R1</v>
      </c>
      <c r="I3660" s="1" t="s">
        <v>15</v>
      </c>
      <c r="J3660" s="1" t="str">
        <f>"66/66"</f>
        <v>66/66</v>
      </c>
      <c r="K3660" s="1" t="str">
        <f>"2026-07-29 14:20:03"</f>
        <v>2026-07-29 14:20:03</v>
      </c>
      <c r="L3660" s="1" t="str">
        <f>"2023-12-02 09:03:11"</f>
        <v>2023-12-02 09:03:11</v>
      </c>
      <c r="M3660" s="1" t="s">
        <v>45</v>
      </c>
      <c r="N3660" s="1" t="s">
        <v>38</v>
      </c>
      <c r="O3660" s="1" t="s">
        <v>46</v>
      </c>
    </row>
    <row r="3661" spans="2:15" x14ac:dyDescent="0.3">
      <c r="B3661" s="1" t="s">
        <v>23</v>
      </c>
      <c r="C3661" s="1" t="str">
        <f t="shared" si="205"/>
        <v>5-2차</v>
      </c>
      <c r="D3661" s="1" t="str">
        <f>"0226Y9615M"</f>
        <v>0226Y9615M</v>
      </c>
      <c r="E3661" s="1" t="s">
        <v>10</v>
      </c>
      <c r="F3661" s="1" t="str">
        <f>"fde3:102:1430:3300:0:0:0:5"</f>
        <v>fde3:102:1430:3300:0:0:0:5</v>
      </c>
      <c r="G3661" s="1" t="str">
        <f>"0226Y961"</f>
        <v>0226Y961</v>
      </c>
      <c r="H3661" s="1" t="str">
        <f>"용답간 19R10"</f>
        <v>용답간 19R10</v>
      </c>
      <c r="I3661" s="1" t="s">
        <v>15</v>
      </c>
      <c r="J3661" s="1" t="str">
        <f>"56/56"</f>
        <v>56/56</v>
      </c>
      <c r="K3661" s="1" t="str">
        <f>"2026-07-29 14:20:31"</f>
        <v>2026-07-29 14:20:31</v>
      </c>
      <c r="L3661" s="1" t="str">
        <f>"2023-12-02 10:01:06"</f>
        <v>2023-12-02 10:01:06</v>
      </c>
      <c r="M3661" s="1" t="s">
        <v>45</v>
      </c>
      <c r="N3661" s="1" t="s">
        <v>38</v>
      </c>
      <c r="O3661" s="1" t="s">
        <v>46</v>
      </c>
    </row>
    <row r="3662" spans="2:15" x14ac:dyDescent="0.3">
      <c r="B3662" s="1" t="s">
        <v>23</v>
      </c>
      <c r="C3662" s="1" t="str">
        <f>"1차"</f>
        <v>1차</v>
      </c>
      <c r="D3662" s="1" t="str">
        <f>"0226Y99100"</f>
        <v>0226Y99100</v>
      </c>
      <c r="E3662" s="1" t="s">
        <v>10</v>
      </c>
      <c r="F3662" s="1" t="str">
        <f>"10.125.7.90"</f>
        <v>10.125.7.90</v>
      </c>
      <c r="G3662" s="1" t="str">
        <f>"0226Y991"</f>
        <v>0226Y991</v>
      </c>
      <c r="H3662" s="1" t="str">
        <f>"용답간 23R8R8R2"</f>
        <v>용답간 23R8R8R2</v>
      </c>
      <c r="I3662" s="1" t="s">
        <v>8</v>
      </c>
      <c r="J3662" s="1" t="str">
        <f>"30/30"</f>
        <v>30/30</v>
      </c>
      <c r="K3662" s="1" t="str">
        <f>"2026-07-29 13:18:02"</f>
        <v>2026-07-29 13:18:02</v>
      </c>
      <c r="L3662" s="1" t="str">
        <f>"2014-11-12 13:11:44"</f>
        <v>2014-11-12 13:11:44</v>
      </c>
      <c r="M3662" s="1" t="s">
        <v>45</v>
      </c>
      <c r="N3662" s="1" t="s">
        <v>38</v>
      </c>
      <c r="O3662" s="1" t="s">
        <v>46</v>
      </c>
    </row>
    <row r="3663" spans="2:15" x14ac:dyDescent="0.3">
      <c r="B3663" s="1" t="s">
        <v>23</v>
      </c>
      <c r="C3663" s="1" t="str">
        <f>"1차"</f>
        <v>1차</v>
      </c>
      <c r="D3663" s="1" t="str">
        <f>"0226Z03101"</f>
        <v>0226Z03101</v>
      </c>
      <c r="E3663" s="1" t="s">
        <v>10</v>
      </c>
      <c r="F3663" s="1" t="str">
        <f>"10.125.4.171"</f>
        <v>10.125.4.171</v>
      </c>
      <c r="G3663" s="1" t="str">
        <f>"0226Z031"</f>
        <v>0226Z031</v>
      </c>
      <c r="H3663" s="1" t="str">
        <f>"용답간 23R12"</f>
        <v>용답간 23R12</v>
      </c>
      <c r="I3663" s="1" t="s">
        <v>8</v>
      </c>
      <c r="J3663" s="1" t="str">
        <f>"11/12"</f>
        <v>11/12</v>
      </c>
      <c r="K3663" s="1" t="str">
        <f>"2026-07-29 13:18:02"</f>
        <v>2026-07-29 13:18:02</v>
      </c>
      <c r="L3663" s="1" t="str">
        <f>"2014-11-14 13:56:54"</f>
        <v>2014-11-14 13:56:54</v>
      </c>
      <c r="M3663" s="1" t="s">
        <v>45</v>
      </c>
      <c r="N3663" s="1" t="s">
        <v>38</v>
      </c>
      <c r="O3663" s="1" t="s">
        <v>46</v>
      </c>
    </row>
    <row r="3664" spans="2:15" x14ac:dyDescent="0.3">
      <c r="B3664" s="1" t="s">
        <v>23</v>
      </c>
      <c r="C3664" s="1" t="str">
        <f>"3차"</f>
        <v>3차</v>
      </c>
      <c r="D3664" s="1" t="str">
        <f>"0226Z03239"</f>
        <v>0226Z03239</v>
      </c>
      <c r="E3664" s="1" t="s">
        <v>10</v>
      </c>
      <c r="F3664" s="1" t="str">
        <f>"10.11.60.114"</f>
        <v>10.11.60.114</v>
      </c>
      <c r="G3664" s="1" t="str">
        <f>"0226Z032"</f>
        <v>0226Z032</v>
      </c>
      <c r="H3664" s="1" t="str">
        <f>"용답간 23R14"</f>
        <v>용답간 23R14</v>
      </c>
      <c r="I3664" s="1" t="s">
        <v>8</v>
      </c>
      <c r="J3664" s="1" t="str">
        <f>"92/92"</f>
        <v>92/92</v>
      </c>
      <c r="K3664" s="1" t="str">
        <f>"2026-07-29 13:18:02"</f>
        <v>2026-07-29 13:18:02</v>
      </c>
      <c r="L3664" s="1" t="str">
        <f>"2018-05-08 14:48:26"</f>
        <v>2018-05-08 14:48:26</v>
      </c>
      <c r="M3664" s="1" t="s">
        <v>2</v>
      </c>
      <c r="N3664" s="1" t="s">
        <v>38</v>
      </c>
      <c r="O3664" s="1" t="s">
        <v>46</v>
      </c>
    </row>
    <row r="3665" spans="2:15" x14ac:dyDescent="0.3">
      <c r="B3665" s="1" t="s">
        <v>23</v>
      </c>
      <c r="C3665" s="1" t="str">
        <f>"1차"</f>
        <v>1차</v>
      </c>
      <c r="D3665" s="1" t="str">
        <f>"0226Z04100"</f>
        <v>0226Z04100</v>
      </c>
      <c r="E3665" s="1" t="s">
        <v>10</v>
      </c>
      <c r="F3665" s="1" t="str">
        <f>"10.125.4.170"</f>
        <v>10.125.4.170</v>
      </c>
      <c r="G3665" s="1" t="str">
        <f>"0226Z041"</f>
        <v>0226Z041</v>
      </c>
      <c r="H3665" s="1" t="str">
        <f>"용답간 23R11"</f>
        <v>용답간 23R11</v>
      </c>
      <c r="I3665" s="1" t="s">
        <v>8</v>
      </c>
      <c r="J3665" s="1" t="str">
        <f>"31/31"</f>
        <v>31/31</v>
      </c>
      <c r="K3665" s="1" t="str">
        <f>"2026-07-29 13:18:02"</f>
        <v>2026-07-29 13:18:02</v>
      </c>
      <c r="L3665" s="1" t="str">
        <f>"2014-11-14 13:56:49"</f>
        <v>2014-11-14 13:56:49</v>
      </c>
      <c r="M3665" s="1" t="s">
        <v>45</v>
      </c>
      <c r="N3665" s="1" t="s">
        <v>38</v>
      </c>
      <c r="O3665" s="1" t="s">
        <v>46</v>
      </c>
    </row>
    <row r="3666" spans="2:15" x14ac:dyDescent="0.3">
      <c r="B3666" s="1" t="s">
        <v>23</v>
      </c>
      <c r="C3666" s="1" t="str">
        <f>"1차"</f>
        <v>1차</v>
      </c>
      <c r="D3666" s="1" t="str">
        <f>"0226Z05100"</f>
        <v>0226Z05100</v>
      </c>
      <c r="E3666" s="1" t="s">
        <v>10</v>
      </c>
      <c r="F3666" s="1" t="str">
        <f>"10.125.4.186"</f>
        <v>10.125.4.186</v>
      </c>
      <c r="G3666" s="1" t="str">
        <f>"0226Z051"</f>
        <v>0226Z051</v>
      </c>
      <c r="H3666" s="1" t="str">
        <f>"용답간 23R8R3L1"</f>
        <v>용답간 23R8R3L1</v>
      </c>
      <c r="I3666" s="1" t="s">
        <v>8</v>
      </c>
      <c r="J3666" s="1" t="str">
        <f>"38/38"</f>
        <v>38/38</v>
      </c>
      <c r="K3666" s="1" t="str">
        <f>"2026-07-29 13:18:02"</f>
        <v>2026-07-29 13:18:02</v>
      </c>
      <c r="L3666" s="1" t="str">
        <f>"2014-11-22 10:10:54"</f>
        <v>2014-11-22 10:10:54</v>
      </c>
      <c r="M3666" s="1" t="s">
        <v>45</v>
      </c>
      <c r="N3666" s="1" t="s">
        <v>38</v>
      </c>
      <c r="O3666" s="1" t="s">
        <v>46</v>
      </c>
    </row>
    <row r="3667" spans="2:15" x14ac:dyDescent="0.3">
      <c r="B3667" s="1" t="s">
        <v>23</v>
      </c>
      <c r="C3667" s="1" t="str">
        <f>"1차"</f>
        <v>1차</v>
      </c>
      <c r="D3667" s="1" t="str">
        <f>"0226Z05201"</f>
        <v>0226Z05201</v>
      </c>
      <c r="E3667" s="1" t="s">
        <v>10</v>
      </c>
      <c r="F3667" s="1" t="str">
        <f>"10.125.4.187"</f>
        <v>10.125.4.187</v>
      </c>
      <c r="G3667" s="1" t="str">
        <f>"0226Z052"</f>
        <v>0226Z052</v>
      </c>
      <c r="H3667" s="1" t="str">
        <f>"용답간 23R8R3L2"</f>
        <v>용답간 23R8R3L2</v>
      </c>
      <c r="I3667" s="1" t="s">
        <v>8</v>
      </c>
      <c r="J3667" s="1" t="str">
        <f>"45/45"</f>
        <v>45/45</v>
      </c>
      <c r="K3667" s="1" t="str">
        <f>"2026-07-29 13:18:01"</f>
        <v>2026-07-29 13:18:01</v>
      </c>
      <c r="L3667" s="1" t="str">
        <f>"2014-11-22 10:11:24"</f>
        <v>2014-11-22 10:11:24</v>
      </c>
      <c r="M3667" s="1" t="s">
        <v>45</v>
      </c>
      <c r="N3667" s="1" t="s">
        <v>38</v>
      </c>
      <c r="O3667" s="1" t="s">
        <v>46</v>
      </c>
    </row>
    <row r="3668" spans="2:15" x14ac:dyDescent="0.3">
      <c r="B3668" s="1" t="s">
        <v>23</v>
      </c>
      <c r="C3668" s="1" t="str">
        <f>"1차"</f>
        <v>1차</v>
      </c>
      <c r="D3668" s="1" t="str">
        <f>"0226Z06301"</f>
        <v>0226Z06301</v>
      </c>
      <c r="E3668" s="1" t="s">
        <v>10</v>
      </c>
      <c r="F3668" s="1" t="str">
        <f>"10.125.4.188"</f>
        <v>10.125.4.188</v>
      </c>
      <c r="G3668" s="1" t="str">
        <f>"0226Z063"</f>
        <v>0226Z063</v>
      </c>
      <c r="H3668" s="1" t="str">
        <f>"용답간 23R8R3"</f>
        <v>용답간 23R8R3</v>
      </c>
      <c r="I3668" s="1" t="s">
        <v>8</v>
      </c>
      <c r="J3668" s="1" t="str">
        <f>"67/72"</f>
        <v>67/72</v>
      </c>
      <c r="K3668" s="1" t="str">
        <f t="shared" ref="K3668:K3673" si="206">"2026-07-29 13:18:02"</f>
        <v>2026-07-29 13:18:02</v>
      </c>
      <c r="L3668" s="1" t="str">
        <f>"2014-11-22 10:10:54"</f>
        <v>2014-11-22 10:10:54</v>
      </c>
      <c r="M3668" s="1" t="s">
        <v>45</v>
      </c>
      <c r="N3668" s="1" t="s">
        <v>38</v>
      </c>
      <c r="O3668" s="1" t="s">
        <v>46</v>
      </c>
    </row>
    <row r="3669" spans="2:15" x14ac:dyDescent="0.3">
      <c r="B3669" s="1" t="s">
        <v>23</v>
      </c>
      <c r="C3669" s="1" t="str">
        <f>"4차"</f>
        <v>4차</v>
      </c>
      <c r="D3669" s="1" t="str">
        <f>"0226Z07144"</f>
        <v>0226Z07144</v>
      </c>
      <c r="E3669" s="1" t="s">
        <v>10</v>
      </c>
      <c r="F3669" s="1" t="str">
        <f>"10.125.7.162"</f>
        <v>10.125.7.162</v>
      </c>
      <c r="G3669" s="1" t="str">
        <f>"0226Z071"</f>
        <v>0226Z071</v>
      </c>
      <c r="H3669" s="1" t="str">
        <f>"용답간 19R7"</f>
        <v>용답간 19R7</v>
      </c>
      <c r="I3669" s="1" t="s">
        <v>8</v>
      </c>
      <c r="J3669" s="1" t="str">
        <f>"15/16"</f>
        <v>15/16</v>
      </c>
      <c r="K3669" s="1" t="str">
        <f t="shared" si="206"/>
        <v>2026-07-29 13:18:02</v>
      </c>
      <c r="L3669" s="1" t="str">
        <f>"2023-07-06 16:47:52"</f>
        <v>2023-07-06 16:47:52</v>
      </c>
      <c r="M3669" s="1" t="s">
        <v>45</v>
      </c>
      <c r="N3669" s="1" t="s">
        <v>38</v>
      </c>
      <c r="O3669" s="1" t="s">
        <v>46</v>
      </c>
    </row>
    <row r="3670" spans="2:15" x14ac:dyDescent="0.3">
      <c r="B3670" s="1" t="s">
        <v>23</v>
      </c>
      <c r="C3670" s="1" t="str">
        <f>"1차"</f>
        <v>1차</v>
      </c>
      <c r="D3670" s="1" t="str">
        <f>"0226Z08300"</f>
        <v>0226Z08300</v>
      </c>
      <c r="E3670" s="1" t="s">
        <v>10</v>
      </c>
      <c r="F3670" s="1" t="str">
        <f>"10.125.5.10"</f>
        <v>10.125.5.10</v>
      </c>
      <c r="G3670" s="1" t="str">
        <f>"0226Z083"</f>
        <v>0226Z083</v>
      </c>
      <c r="H3670" s="1" t="str">
        <f>"용답간 19R5R2"</f>
        <v>용답간 19R5R2</v>
      </c>
      <c r="I3670" s="1" t="s">
        <v>8</v>
      </c>
      <c r="J3670" s="1" t="str">
        <f>"67/71"</f>
        <v>67/71</v>
      </c>
      <c r="K3670" s="1" t="str">
        <f t="shared" si="206"/>
        <v>2026-07-29 13:18:02</v>
      </c>
      <c r="L3670" s="1" t="str">
        <f>"2014-11-12 13:41:48"</f>
        <v>2014-11-12 13:41:48</v>
      </c>
      <c r="M3670" s="1" t="s">
        <v>45</v>
      </c>
      <c r="N3670" s="1" t="s">
        <v>38</v>
      </c>
      <c r="O3670" s="1" t="s">
        <v>46</v>
      </c>
    </row>
    <row r="3671" spans="2:15" x14ac:dyDescent="0.3">
      <c r="B3671" s="1" t="s">
        <v>23</v>
      </c>
      <c r="C3671" s="1" t="str">
        <f>"4차"</f>
        <v>4차</v>
      </c>
      <c r="D3671" s="1" t="str">
        <f>"0226Z10139"</f>
        <v>0226Z10139</v>
      </c>
      <c r="E3671" s="1" t="s">
        <v>10</v>
      </c>
      <c r="F3671" s="1" t="str">
        <f>"10.11.60.162"</f>
        <v>10.11.60.162</v>
      </c>
      <c r="G3671" s="1" t="str">
        <f>"0226Z101"</f>
        <v>0226Z101</v>
      </c>
      <c r="H3671" s="1" t="str">
        <f>"용답간 23R19R4"</f>
        <v>용답간 23R19R4</v>
      </c>
      <c r="I3671" s="1" t="s">
        <v>8</v>
      </c>
      <c r="J3671" s="1" t="str">
        <f>"56/56"</f>
        <v>56/56</v>
      </c>
      <c r="K3671" s="1" t="str">
        <f t="shared" si="206"/>
        <v>2026-07-29 13:18:02</v>
      </c>
      <c r="L3671" s="1" t="str">
        <f>"2018-05-08 13:39:55"</f>
        <v>2018-05-08 13:39:55</v>
      </c>
      <c r="M3671" s="1" t="s">
        <v>2</v>
      </c>
      <c r="N3671" s="1" t="s">
        <v>38</v>
      </c>
      <c r="O3671" s="1" t="s">
        <v>46</v>
      </c>
    </row>
    <row r="3672" spans="2:15" x14ac:dyDescent="0.3">
      <c r="B3672" s="1" t="s">
        <v>23</v>
      </c>
      <c r="C3672" s="1" t="str">
        <f>"3차"</f>
        <v>3차</v>
      </c>
      <c r="D3672" s="1" t="str">
        <f>"0226Z12139"</f>
        <v>0226Z12139</v>
      </c>
      <c r="E3672" s="1" t="s">
        <v>10</v>
      </c>
      <c r="F3672" s="1" t="str">
        <f>"10.11.53.138"</f>
        <v>10.11.53.138</v>
      </c>
      <c r="G3672" s="1" t="str">
        <f>"0226Z121"</f>
        <v>0226Z121</v>
      </c>
      <c r="H3672" s="1" t="str">
        <f>"용답간 23R15"</f>
        <v>용답간 23R15</v>
      </c>
      <c r="I3672" s="1" t="s">
        <v>8</v>
      </c>
      <c r="J3672" s="1" t="str">
        <f>"124/126"</f>
        <v>124/126</v>
      </c>
      <c r="K3672" s="1" t="str">
        <f t="shared" si="206"/>
        <v>2026-07-29 13:18:02</v>
      </c>
      <c r="L3672" s="1" t="str">
        <f>"2018-05-08 14:44:33"</f>
        <v>2018-05-08 14:44:33</v>
      </c>
      <c r="M3672" s="1" t="s">
        <v>2</v>
      </c>
      <c r="N3672" s="1" t="s">
        <v>38</v>
      </c>
      <c r="O3672" s="1" t="s">
        <v>46</v>
      </c>
    </row>
    <row r="3673" spans="2:15" x14ac:dyDescent="0.3">
      <c r="B3673" s="1" t="s">
        <v>23</v>
      </c>
      <c r="C3673" s="1" t="str">
        <f>"4차"</f>
        <v>4차</v>
      </c>
      <c r="D3673" s="1" t="str">
        <f>"0226Z12239"</f>
        <v>0226Z12239</v>
      </c>
      <c r="E3673" s="1" t="s">
        <v>10</v>
      </c>
      <c r="F3673" s="1" t="str">
        <f>"10.11.60.122"</f>
        <v>10.11.60.122</v>
      </c>
      <c r="G3673" s="1" t="str">
        <f>"0226Z122"</f>
        <v>0226Z122</v>
      </c>
      <c r="H3673" s="1" t="str">
        <f>"용답간 23R16"</f>
        <v>용답간 23R16</v>
      </c>
      <c r="I3673" s="1" t="s">
        <v>8</v>
      </c>
      <c r="J3673" s="1" t="str">
        <f>"66/66"</f>
        <v>66/66</v>
      </c>
      <c r="K3673" s="1" t="str">
        <f t="shared" si="206"/>
        <v>2026-07-29 13:18:02</v>
      </c>
      <c r="L3673" s="1" t="str">
        <f>"2018-05-08 14:44:34"</f>
        <v>2018-05-08 14:44:34</v>
      </c>
      <c r="M3673" s="1" t="s">
        <v>2</v>
      </c>
      <c r="N3673" s="1" t="s">
        <v>38</v>
      </c>
      <c r="O3673" s="1" t="s">
        <v>46</v>
      </c>
    </row>
    <row r="3674" spans="2:15" x14ac:dyDescent="0.3">
      <c r="B3674" s="1" t="s">
        <v>23</v>
      </c>
      <c r="C3674" s="1" t="str">
        <f>"4차"</f>
        <v>4차</v>
      </c>
      <c r="D3674" s="1" t="str">
        <f>"0226Z14139"</f>
        <v>0226Z14139</v>
      </c>
      <c r="E3674" s="1" t="s">
        <v>10</v>
      </c>
      <c r="F3674" s="1" t="str">
        <f>"10.14.14.199"</f>
        <v>10.14.14.199</v>
      </c>
      <c r="G3674" s="1" t="str">
        <f>"0226Z141"</f>
        <v>0226Z141</v>
      </c>
      <c r="H3674" s="1" t="str">
        <f>"용답간 23R10"</f>
        <v>용답간 23R10</v>
      </c>
      <c r="I3674" s="1" t="s">
        <v>8</v>
      </c>
      <c r="J3674" s="1" t="str">
        <f>"49/49"</f>
        <v>49/49</v>
      </c>
      <c r="K3674" s="1" t="str">
        <f>"2026-07-29 13:18:03"</f>
        <v>2026-07-29 13:18:03</v>
      </c>
      <c r="L3674" s="1" t="str">
        <f>"2024-03-07 12:35:12"</f>
        <v>2024-03-07 12:35:12</v>
      </c>
      <c r="M3674" s="1" t="s">
        <v>3</v>
      </c>
      <c r="N3674" s="1" t="s">
        <v>38</v>
      </c>
      <c r="O3674" s="1" t="s">
        <v>46</v>
      </c>
    </row>
    <row r="3675" spans="2:15" x14ac:dyDescent="0.3">
      <c r="B3675" s="1" t="s">
        <v>23</v>
      </c>
      <c r="C3675" s="1" t="str">
        <f>"1차"</f>
        <v>1차</v>
      </c>
      <c r="D3675" s="1" t="str">
        <f>"0226Z18201"</f>
        <v>0226Z18201</v>
      </c>
      <c r="E3675" s="1" t="str">
        <f>"검침실패(3시간 이상)"</f>
        <v>검침실패(3시간 이상)</v>
      </c>
      <c r="F3675" s="1" t="str">
        <f>"10.125.5.12"</f>
        <v>10.125.5.12</v>
      </c>
      <c r="G3675" s="1" t="str">
        <f>"0226Z182"</f>
        <v>0226Z182</v>
      </c>
      <c r="H3675" s="1" t="str">
        <f>"용답간 19R5"</f>
        <v>용답간 19R5</v>
      </c>
      <c r="I3675" s="1" t="s">
        <v>8</v>
      </c>
      <c r="J3675" s="1" t="str">
        <f>"0/70"</f>
        <v>0/70</v>
      </c>
      <c r="K3675" s="1" t="str">
        <f t="shared" ref="K3675:K3683" si="207">"2026-07-29 13:18:02"</f>
        <v>2026-07-29 13:18:02</v>
      </c>
      <c r="L3675" s="1" t="str">
        <f>"2014-11-12 13:41:12"</f>
        <v>2014-11-12 13:41:12</v>
      </c>
      <c r="M3675" s="1" t="s">
        <v>45</v>
      </c>
      <c r="N3675" s="1" t="s">
        <v>38</v>
      </c>
      <c r="O3675" s="1" t="s">
        <v>46</v>
      </c>
    </row>
    <row r="3676" spans="2:15" x14ac:dyDescent="0.3">
      <c r="B3676" s="1" t="s">
        <v>23</v>
      </c>
      <c r="C3676" s="1" t="str">
        <f>"4차"</f>
        <v>4차</v>
      </c>
      <c r="D3676" s="1" t="str">
        <f>"0226Z19344"</f>
        <v>0226Z19344</v>
      </c>
      <c r="E3676" s="1" t="s">
        <v>10</v>
      </c>
      <c r="F3676" s="1" t="str">
        <f>"10.125.4.162"</f>
        <v>10.125.4.162</v>
      </c>
      <c r="G3676" s="1" t="str">
        <f>"0226Z193"</f>
        <v>0226Z193</v>
      </c>
      <c r="H3676" s="1" t="str">
        <f>"용답간 19R4R3H1"</f>
        <v>용답간 19R4R3H1</v>
      </c>
      <c r="I3676" s="1" t="s">
        <v>8</v>
      </c>
      <c r="J3676" s="1" t="str">
        <f>"76/76"</f>
        <v>76/76</v>
      </c>
      <c r="K3676" s="1" t="str">
        <f t="shared" si="207"/>
        <v>2026-07-29 13:18:02</v>
      </c>
      <c r="L3676" s="1" t="str">
        <f>"2023-07-19 17:27:46"</f>
        <v>2023-07-19 17:27:46</v>
      </c>
      <c r="M3676" s="1" t="s">
        <v>45</v>
      </c>
      <c r="N3676" s="1" t="s">
        <v>38</v>
      </c>
      <c r="O3676" s="1" t="s">
        <v>46</v>
      </c>
    </row>
    <row r="3677" spans="2:15" x14ac:dyDescent="0.3">
      <c r="B3677" s="1" t="s">
        <v>23</v>
      </c>
      <c r="C3677" s="1" t="str">
        <f>"3차"</f>
        <v>3차</v>
      </c>
      <c r="D3677" s="1" t="str">
        <f>"0226Z20139"</f>
        <v>0226Z20139</v>
      </c>
      <c r="E3677" s="1" t="s">
        <v>10</v>
      </c>
      <c r="F3677" s="1" t="str">
        <f>"10.11.53.162"</f>
        <v>10.11.53.162</v>
      </c>
      <c r="G3677" s="1" t="str">
        <f>"0226Z201"</f>
        <v>0226Z201</v>
      </c>
      <c r="H3677" s="1" t="str">
        <f>"용답간 23R19R3"</f>
        <v>용답간 23R19R3</v>
      </c>
      <c r="I3677" s="1" t="s">
        <v>8</v>
      </c>
      <c r="J3677" s="1" t="str">
        <f>"40/40"</f>
        <v>40/40</v>
      </c>
      <c r="K3677" s="1" t="str">
        <f t="shared" si="207"/>
        <v>2026-07-29 13:18:02</v>
      </c>
      <c r="L3677" s="1" t="str">
        <f>"2018-05-08 13:59:12"</f>
        <v>2018-05-08 13:59:12</v>
      </c>
      <c r="M3677" s="1" t="s">
        <v>2</v>
      </c>
      <c r="N3677" s="1" t="s">
        <v>38</v>
      </c>
      <c r="O3677" s="1" t="s">
        <v>46</v>
      </c>
    </row>
    <row r="3678" spans="2:15" x14ac:dyDescent="0.3">
      <c r="B3678" s="1" t="s">
        <v>23</v>
      </c>
      <c r="C3678" s="1" t="str">
        <f>"4차"</f>
        <v>4차</v>
      </c>
      <c r="D3678" s="1" t="str">
        <f>"0226Z21239"</f>
        <v>0226Z21239</v>
      </c>
      <c r="E3678" s="1" t="s">
        <v>10</v>
      </c>
      <c r="F3678" s="1" t="str">
        <f>"10.11.60.130"</f>
        <v>10.11.60.130</v>
      </c>
      <c r="G3678" s="1" t="str">
        <f>"0226Z212"</f>
        <v>0226Z212</v>
      </c>
      <c r="H3678" s="1" t="str">
        <f>"용답간 23R19"</f>
        <v>용답간 23R19</v>
      </c>
      <c r="I3678" s="1" t="s">
        <v>8</v>
      </c>
      <c r="J3678" s="1" t="str">
        <f>"88/88"</f>
        <v>88/88</v>
      </c>
      <c r="K3678" s="1" t="str">
        <f t="shared" si="207"/>
        <v>2026-07-29 13:18:02</v>
      </c>
      <c r="L3678" s="1" t="str">
        <f>"2018-05-08 14:30:56"</f>
        <v>2018-05-08 14:30:56</v>
      </c>
      <c r="M3678" s="1" t="s">
        <v>2</v>
      </c>
      <c r="N3678" s="1" t="s">
        <v>38</v>
      </c>
      <c r="O3678" s="1" t="s">
        <v>46</v>
      </c>
    </row>
    <row r="3679" spans="2:15" x14ac:dyDescent="0.3">
      <c r="B3679" s="1" t="s">
        <v>23</v>
      </c>
      <c r="C3679" s="1" t="str">
        <f>"3차"</f>
        <v>3차</v>
      </c>
      <c r="D3679" s="1" t="str">
        <f>"0226Z21739"</f>
        <v>0226Z21739</v>
      </c>
      <c r="E3679" s="1" t="s">
        <v>10</v>
      </c>
      <c r="F3679" s="1" t="str">
        <f>"10.11.60.154"</f>
        <v>10.11.60.154</v>
      </c>
      <c r="G3679" s="1" t="str">
        <f>"0226Z217"</f>
        <v>0226Z217</v>
      </c>
      <c r="H3679" s="1" t="str">
        <f>"용답간 23R19R2"</f>
        <v>용답간 23R19R2</v>
      </c>
      <c r="I3679" s="1" t="s">
        <v>8</v>
      </c>
      <c r="J3679" s="1" t="str">
        <f>"27/27"</f>
        <v>27/27</v>
      </c>
      <c r="K3679" s="1" t="str">
        <f t="shared" si="207"/>
        <v>2026-07-29 13:18:02</v>
      </c>
      <c r="L3679" s="1" t="str">
        <f>"2021-07-28 15:55:32"</f>
        <v>2021-07-28 15:55:32</v>
      </c>
      <c r="M3679" s="1" t="s">
        <v>2</v>
      </c>
      <c r="N3679" s="1" t="s">
        <v>38</v>
      </c>
      <c r="O3679" s="1" t="s">
        <v>46</v>
      </c>
    </row>
    <row r="3680" spans="2:15" x14ac:dyDescent="0.3">
      <c r="B3680" s="1" t="s">
        <v>23</v>
      </c>
      <c r="C3680" s="1" t="str">
        <f>"3차"</f>
        <v>3차</v>
      </c>
      <c r="D3680" s="1" t="str">
        <f>"0226Z22139"</f>
        <v>0226Z22139</v>
      </c>
      <c r="E3680" s="1" t="s">
        <v>10</v>
      </c>
      <c r="F3680" s="1" t="str">
        <f>"10.11.53.146"</f>
        <v>10.11.53.146</v>
      </c>
      <c r="G3680" s="1" t="str">
        <f>"0226Z221"</f>
        <v>0226Z221</v>
      </c>
      <c r="H3680" s="1" t="str">
        <f>"용답간 23R17"</f>
        <v>용답간 23R17</v>
      </c>
      <c r="I3680" s="1" t="s">
        <v>8</v>
      </c>
      <c r="J3680" s="1" t="str">
        <f>"58/58"</f>
        <v>58/58</v>
      </c>
      <c r="K3680" s="1" t="str">
        <f t="shared" si="207"/>
        <v>2026-07-29 13:18:02</v>
      </c>
      <c r="L3680" s="1" t="str">
        <f>"2018-05-08 14:14:27"</f>
        <v>2018-05-08 14:14:27</v>
      </c>
      <c r="M3680" s="1" t="s">
        <v>2</v>
      </c>
      <c r="N3680" s="1" t="s">
        <v>38</v>
      </c>
      <c r="O3680" s="1" t="s">
        <v>46</v>
      </c>
    </row>
    <row r="3681" spans="2:15" x14ac:dyDescent="0.3">
      <c r="B3681" s="1" t="s">
        <v>23</v>
      </c>
      <c r="C3681" s="1" t="str">
        <f>"3차"</f>
        <v>3차</v>
      </c>
      <c r="D3681" s="1" t="str">
        <f>"0226Z23139"</f>
        <v>0226Z23139</v>
      </c>
      <c r="E3681" s="1" t="s">
        <v>10</v>
      </c>
      <c r="F3681" s="1" t="str">
        <f>"10.11.61.2"</f>
        <v>10.11.61.2</v>
      </c>
      <c r="G3681" s="1" t="str">
        <f>"0226Z231"</f>
        <v>0226Z231</v>
      </c>
      <c r="H3681" s="1" t="str">
        <f>"용답간 23R8L3R1"</f>
        <v>용답간 23R8L3R1</v>
      </c>
      <c r="I3681" s="1" t="s">
        <v>8</v>
      </c>
      <c r="J3681" s="1" t="str">
        <f>"27/27"</f>
        <v>27/27</v>
      </c>
      <c r="K3681" s="1" t="str">
        <f t="shared" si="207"/>
        <v>2026-07-29 13:18:02</v>
      </c>
      <c r="L3681" s="1" t="str">
        <f>"2018-05-30 11:36:41"</f>
        <v>2018-05-30 11:36:41</v>
      </c>
      <c r="M3681" s="1" t="s">
        <v>2</v>
      </c>
      <c r="N3681" s="1" t="s">
        <v>38</v>
      </c>
      <c r="O3681" s="1" t="s">
        <v>46</v>
      </c>
    </row>
    <row r="3682" spans="2:15" x14ac:dyDescent="0.3">
      <c r="B3682" s="1" t="s">
        <v>23</v>
      </c>
      <c r="C3682" s="1" t="str">
        <f>"3차"</f>
        <v>3차</v>
      </c>
      <c r="D3682" s="1" t="str">
        <f>"0226Z24139"</f>
        <v>0226Z24139</v>
      </c>
      <c r="E3682" s="1" t="s">
        <v>10</v>
      </c>
      <c r="F3682" s="1" t="str">
        <f>"10.11.53.234"</f>
        <v>10.11.53.234</v>
      </c>
      <c r="G3682" s="1" t="str">
        <f>"0226Z241"</f>
        <v>0226Z241</v>
      </c>
      <c r="H3682" s="1" t="str">
        <f>"용답간 23R8L1"</f>
        <v>용답간 23R8L1</v>
      </c>
      <c r="I3682" s="1" t="s">
        <v>8</v>
      </c>
      <c r="J3682" s="1" t="str">
        <f>"125/136"</f>
        <v>125/136</v>
      </c>
      <c r="K3682" s="1" t="str">
        <f t="shared" si="207"/>
        <v>2026-07-29 13:18:02</v>
      </c>
      <c r="L3682" s="1" t="str">
        <f>"2018-05-31 14:09:55"</f>
        <v>2018-05-31 14:09:55</v>
      </c>
      <c r="M3682" s="1" t="s">
        <v>2</v>
      </c>
      <c r="N3682" s="1" t="s">
        <v>38</v>
      </c>
      <c r="O3682" s="1" t="s">
        <v>46</v>
      </c>
    </row>
    <row r="3683" spans="2:15" x14ac:dyDescent="0.3">
      <c r="B3683" s="1" t="s">
        <v>23</v>
      </c>
      <c r="C3683" s="1" t="str">
        <f>"3차"</f>
        <v>3차</v>
      </c>
      <c r="D3683" s="1" t="str">
        <f>"0226Z24239"</f>
        <v>0226Z24239</v>
      </c>
      <c r="E3683" s="1" t="s">
        <v>10</v>
      </c>
      <c r="F3683" s="1" t="str">
        <f>"10.11.60.242"</f>
        <v>10.11.60.242</v>
      </c>
      <c r="G3683" s="1" t="str">
        <f>"0226Z242"</f>
        <v>0226Z242</v>
      </c>
      <c r="H3683" s="1" t="str">
        <f>"용답간 23R8L2"</f>
        <v>용답간 23R8L2</v>
      </c>
      <c r="I3683" s="1" t="s">
        <v>8</v>
      </c>
      <c r="J3683" s="1" t="str">
        <f>"47/47"</f>
        <v>47/47</v>
      </c>
      <c r="K3683" s="1" t="str">
        <f t="shared" si="207"/>
        <v>2026-07-29 13:18:02</v>
      </c>
      <c r="L3683" s="1" t="str">
        <f>"2018-05-30 11:37:41"</f>
        <v>2018-05-30 11:37:41</v>
      </c>
      <c r="M3683" s="1" t="s">
        <v>2</v>
      </c>
      <c r="N3683" s="1" t="s">
        <v>38</v>
      </c>
      <c r="O3683" s="1" t="s">
        <v>46</v>
      </c>
    </row>
    <row r="3684" spans="2:15" x14ac:dyDescent="0.3">
      <c r="B3684" s="1" t="s">
        <v>23</v>
      </c>
      <c r="C3684" s="1" t="str">
        <f>"6차"</f>
        <v>6차</v>
      </c>
      <c r="D3684" s="1" t="str">
        <f>"0226Z2516S"</f>
        <v>0226Z2516S</v>
      </c>
      <c r="E3684" s="1" t="s">
        <v>10</v>
      </c>
      <c r="F3684" s="1" t="str">
        <f>"fde3:102:1430:3200:0:0:0:13"</f>
        <v>fde3:102:1430:3200:0:0:0:13</v>
      </c>
      <c r="G3684" s="1" t="str">
        <f>"0226Z251"</f>
        <v>0226Z251</v>
      </c>
      <c r="H3684" s="1" t="str">
        <f>"용답간 23R7"</f>
        <v>용답간 23R7</v>
      </c>
      <c r="I3684" s="1" t="s">
        <v>15</v>
      </c>
      <c r="J3684" s="1" t="str">
        <f>"48/50"</f>
        <v>48/50</v>
      </c>
      <c r="K3684" s="1" t="str">
        <f>"2026-07-29 14:20:09"</f>
        <v>2026-07-29 14:20:09</v>
      </c>
      <c r="L3684" s="1" t="str">
        <f>"2024-10-11 14:37:40"</f>
        <v>2024-10-11 14:37:40</v>
      </c>
      <c r="M3684" s="1" t="s">
        <v>45</v>
      </c>
      <c r="N3684" s="1" t="s">
        <v>38</v>
      </c>
      <c r="O3684" s="1" t="s">
        <v>46</v>
      </c>
    </row>
    <row r="3685" spans="2:15" x14ac:dyDescent="0.3">
      <c r="B3685" s="1" t="s">
        <v>23</v>
      </c>
      <c r="C3685" s="1" t="str">
        <f>"3차"</f>
        <v>3차</v>
      </c>
      <c r="D3685" s="1" t="str">
        <f>"0226Z25239"</f>
        <v>0226Z25239</v>
      </c>
      <c r="E3685" s="1" t="s">
        <v>10</v>
      </c>
      <c r="F3685" s="1" t="str">
        <f>"10.11.60.234"</f>
        <v>10.11.60.234</v>
      </c>
      <c r="G3685" s="1" t="str">
        <f>"0226Z252"</f>
        <v>0226Z252</v>
      </c>
      <c r="H3685" s="1" t="str">
        <f>"용답간 23R8"</f>
        <v>용답간 23R8</v>
      </c>
      <c r="I3685" s="1" t="s">
        <v>8</v>
      </c>
      <c r="J3685" s="1" t="str">
        <f>"15/15"</f>
        <v>15/15</v>
      </c>
      <c r="K3685" s="1" t="str">
        <f>"2026-07-29 13:18:02"</f>
        <v>2026-07-29 13:18:02</v>
      </c>
      <c r="L3685" s="1" t="str">
        <f>"2018-05-30 11:41:40"</f>
        <v>2018-05-30 11:41:40</v>
      </c>
      <c r="M3685" s="1" t="s">
        <v>2</v>
      </c>
      <c r="N3685" s="1" t="s">
        <v>38</v>
      </c>
      <c r="O3685" s="1" t="s">
        <v>46</v>
      </c>
    </row>
    <row r="3686" spans="2:15" x14ac:dyDescent="0.3">
      <c r="B3686" s="1" t="s">
        <v>23</v>
      </c>
      <c r="C3686" s="1" t="str">
        <f>"5-2차"</f>
        <v>5-2차</v>
      </c>
      <c r="D3686" s="1" t="str">
        <f>"0226Z2715M"</f>
        <v>0226Z2715M</v>
      </c>
      <c r="E3686" s="1" t="s">
        <v>10</v>
      </c>
      <c r="F3686" s="1" t="str">
        <f>"fde1:103:4:6e95:0:0:0:2"</f>
        <v>fde1:103:4:6e95:0:0:0:2</v>
      </c>
      <c r="G3686" s="1" t="str">
        <f>"0226Z271"</f>
        <v>0226Z271</v>
      </c>
      <c r="H3686" s="1" t="str">
        <f>"용답간 19R4L2R1"</f>
        <v>용답간 19R4L2R1</v>
      </c>
      <c r="I3686" s="1" t="s">
        <v>15</v>
      </c>
      <c r="J3686" s="1" t="str">
        <f>"44/44"</f>
        <v>44/44</v>
      </c>
      <c r="K3686" s="1" t="str">
        <f>"2026-07-29 14:20:19"</f>
        <v>2026-07-29 14:20:19</v>
      </c>
      <c r="L3686" s="1" t="str">
        <f>"2023-11-14 13:07:34"</f>
        <v>2023-11-14 13:07:34</v>
      </c>
      <c r="M3686" s="1" t="s">
        <v>4</v>
      </c>
      <c r="N3686" s="1" t="s">
        <v>38</v>
      </c>
      <c r="O3686" s="1" t="s">
        <v>46</v>
      </c>
    </row>
    <row r="3687" spans="2:15" x14ac:dyDescent="0.3">
      <c r="B3687" s="1" t="s">
        <v>23</v>
      </c>
      <c r="C3687" s="1" t="str">
        <f>"5-2차"</f>
        <v>5-2차</v>
      </c>
      <c r="D3687" s="1" t="str">
        <f>"0226Z2835M"</f>
        <v>0226Z2835M</v>
      </c>
      <c r="E3687" s="1" t="s">
        <v>10</v>
      </c>
      <c r="F3687" s="1" t="str">
        <f>"fde3:102:1430:3300:0:0:0:4"</f>
        <v>fde3:102:1430:3300:0:0:0:4</v>
      </c>
      <c r="G3687" s="1" t="str">
        <f>"0226Z283"</f>
        <v>0226Z283</v>
      </c>
      <c r="H3687" s="1" t="str">
        <f>"용답간 19R4L1"</f>
        <v>용답간 19R4L1</v>
      </c>
      <c r="I3687" s="1" t="s">
        <v>15</v>
      </c>
      <c r="J3687" s="1" t="str">
        <f>"42/42"</f>
        <v>42/42</v>
      </c>
      <c r="K3687" s="1" t="str">
        <f>"2026-07-29 14:20:03"</f>
        <v>2026-07-29 14:20:03</v>
      </c>
      <c r="L3687" s="1" t="str">
        <f>"2023-12-02 10:21:08"</f>
        <v>2023-12-02 10:21:08</v>
      </c>
      <c r="M3687" s="1" t="s">
        <v>45</v>
      </c>
      <c r="N3687" s="1" t="s">
        <v>38</v>
      </c>
      <c r="O3687" s="1" t="s">
        <v>46</v>
      </c>
    </row>
    <row r="3688" spans="2:15" x14ac:dyDescent="0.3">
      <c r="B3688" s="1" t="s">
        <v>23</v>
      </c>
      <c r="C3688" s="1" t="str">
        <f>"6차"</f>
        <v>6차</v>
      </c>
      <c r="D3688" s="1" t="str">
        <f>"0226Z2916S"</f>
        <v>0226Z2916S</v>
      </c>
      <c r="E3688" s="1" t="s">
        <v>10</v>
      </c>
      <c r="F3688" s="1" t="str">
        <f>"fde1:103:4:931d:0:0:0:2"</f>
        <v>fde1:103:4:931d:0:0:0:2</v>
      </c>
      <c r="G3688" s="1" t="str">
        <f>"0226Z291"</f>
        <v>0226Z291</v>
      </c>
      <c r="H3688" s="1" t="str">
        <f>"용답간 19R2"</f>
        <v>용답간 19R2</v>
      </c>
      <c r="I3688" s="1" t="s">
        <v>15</v>
      </c>
      <c r="J3688" s="1" t="str">
        <f>"71/71"</f>
        <v>71/71</v>
      </c>
      <c r="K3688" s="1" t="str">
        <f>"2026-07-29 14:20:04"</f>
        <v>2026-07-29 14:20:04</v>
      </c>
      <c r="L3688" s="1" t="str">
        <f>"2025-02-05 16:37:11"</f>
        <v>2025-02-05 16:37:11</v>
      </c>
      <c r="M3688" s="1" t="s">
        <v>4</v>
      </c>
      <c r="N3688" s="1" t="s">
        <v>38</v>
      </c>
      <c r="O3688" s="1" t="s">
        <v>46</v>
      </c>
    </row>
    <row r="3689" spans="2:15" x14ac:dyDescent="0.3">
      <c r="B3689" s="1" t="s">
        <v>23</v>
      </c>
      <c r="C3689" s="1" t="str">
        <f>"4차"</f>
        <v>4차</v>
      </c>
      <c r="D3689" s="1" t="str">
        <f>"0226Z30139"</f>
        <v>0226Z30139</v>
      </c>
      <c r="E3689" s="1" t="s">
        <v>10</v>
      </c>
      <c r="F3689" s="1" t="str">
        <f>"10.11.53.186"</f>
        <v>10.11.53.186</v>
      </c>
      <c r="G3689" s="1" t="str">
        <f>"0226Z301"</f>
        <v>0226Z301</v>
      </c>
      <c r="H3689" s="1" t="str">
        <f>"용답간 23R22"</f>
        <v>용답간 23R22</v>
      </c>
      <c r="I3689" s="1" t="s">
        <v>8</v>
      </c>
      <c r="J3689" s="1" t="str">
        <f>"64/64"</f>
        <v>64/64</v>
      </c>
      <c r="K3689" s="1" t="str">
        <f>"2026-07-29 13:18:02"</f>
        <v>2026-07-29 13:18:02</v>
      </c>
      <c r="L3689" s="1" t="str">
        <f>"2018-05-08 13:27:40"</f>
        <v>2018-05-08 13:27:40</v>
      </c>
      <c r="M3689" s="1" t="s">
        <v>2</v>
      </c>
      <c r="N3689" s="1" t="s">
        <v>38</v>
      </c>
      <c r="O3689" s="1" t="s">
        <v>46</v>
      </c>
    </row>
    <row r="3690" spans="2:15" x14ac:dyDescent="0.3">
      <c r="B3690" s="1" t="s">
        <v>23</v>
      </c>
      <c r="C3690" s="1" t="str">
        <f>"6차"</f>
        <v>6차</v>
      </c>
      <c r="D3690" s="1" t="str">
        <f>"0226Z3026S"</f>
        <v>0226Z3026S</v>
      </c>
      <c r="E3690" s="1" t="s">
        <v>10</v>
      </c>
      <c r="F3690" s="1" t="str">
        <f>"fde1:103:4:912c:0:0:0:2"</f>
        <v>fde1:103:4:912c:0:0:0:2</v>
      </c>
      <c r="G3690" s="1" t="str">
        <f>"0226Z302"</f>
        <v>0226Z302</v>
      </c>
      <c r="H3690" s="1" t="str">
        <f>"용답간 23R22R1"</f>
        <v>용답간 23R22R1</v>
      </c>
      <c r="I3690" s="1" t="s">
        <v>15</v>
      </c>
      <c r="J3690" s="1" t="str">
        <f>"68/71"</f>
        <v>68/71</v>
      </c>
      <c r="K3690" s="1" t="str">
        <f>"2026-07-29 14:20:29"</f>
        <v>2026-07-29 14:20:29</v>
      </c>
      <c r="L3690" s="1" t="str">
        <f>"2024-09-27 16:46:35"</f>
        <v>2024-09-27 16:46:35</v>
      </c>
      <c r="M3690" s="1" t="s">
        <v>4</v>
      </c>
      <c r="N3690" s="1" t="s">
        <v>38</v>
      </c>
      <c r="O3690" s="1" t="s">
        <v>46</v>
      </c>
    </row>
    <row r="3691" spans="2:15" x14ac:dyDescent="0.3">
      <c r="B3691" s="1" t="s">
        <v>23</v>
      </c>
      <c r="C3691" s="1" t="str">
        <f>"3차"</f>
        <v>3차</v>
      </c>
      <c r="D3691" s="1" t="str">
        <f>"0226Z30339"</f>
        <v>0226Z30339</v>
      </c>
      <c r="E3691" s="1" t="s">
        <v>10</v>
      </c>
      <c r="F3691" s="1" t="str">
        <f>"10.11.60.178"</f>
        <v>10.11.60.178</v>
      </c>
      <c r="G3691" s="1" t="str">
        <f>"0226Z303"</f>
        <v>0226Z303</v>
      </c>
      <c r="H3691" s="1" t="str">
        <f>"용답간 23R21"</f>
        <v>용답간 23R21</v>
      </c>
      <c r="I3691" s="1" t="s">
        <v>8</v>
      </c>
      <c r="J3691" s="1" t="str">
        <f>"64/64"</f>
        <v>64/64</v>
      </c>
      <c r="K3691" s="1" t="str">
        <f t="shared" ref="K3691:K3698" si="208">"2026-07-29 13:18:02"</f>
        <v>2026-07-29 13:18:02</v>
      </c>
      <c r="L3691" s="1" t="str">
        <f>"2018-05-08 13:37:11"</f>
        <v>2018-05-08 13:37:11</v>
      </c>
      <c r="M3691" s="1" t="s">
        <v>2</v>
      </c>
      <c r="N3691" s="1" t="s">
        <v>38</v>
      </c>
      <c r="O3691" s="1" t="s">
        <v>46</v>
      </c>
    </row>
    <row r="3692" spans="2:15" x14ac:dyDescent="0.3">
      <c r="B3692" s="1" t="s">
        <v>23</v>
      </c>
      <c r="C3692" s="1" t="str">
        <f>"3차"</f>
        <v>3차</v>
      </c>
      <c r="D3692" s="1" t="str">
        <f>"0226Z31139"</f>
        <v>0226Z31139</v>
      </c>
      <c r="E3692" s="1" t="s">
        <v>10</v>
      </c>
      <c r="F3692" s="1" t="str">
        <f>"10.11.53.178"</f>
        <v>10.11.53.178</v>
      </c>
      <c r="G3692" s="1" t="str">
        <f>"0226Z311"</f>
        <v>0226Z311</v>
      </c>
      <c r="H3692" s="1" t="str">
        <f>"용답간 23R20"</f>
        <v>용답간 23R20</v>
      </c>
      <c r="I3692" s="1" t="s">
        <v>8</v>
      </c>
      <c r="J3692" s="1" t="str">
        <f>"17/17"</f>
        <v>17/17</v>
      </c>
      <c r="K3692" s="1" t="str">
        <f t="shared" si="208"/>
        <v>2026-07-29 13:18:02</v>
      </c>
      <c r="L3692" s="1" t="str">
        <f>"2018-05-08 13:29:26"</f>
        <v>2018-05-08 13:29:26</v>
      </c>
      <c r="M3692" s="1" t="s">
        <v>2</v>
      </c>
      <c r="N3692" s="1" t="s">
        <v>38</v>
      </c>
      <c r="O3692" s="1" t="s">
        <v>46</v>
      </c>
    </row>
    <row r="3693" spans="2:15" x14ac:dyDescent="0.3">
      <c r="B3693" s="1" t="s">
        <v>23</v>
      </c>
      <c r="C3693" s="1" t="str">
        <f>"4차"</f>
        <v>4차</v>
      </c>
      <c r="D3693" s="1" t="str">
        <f>"0226Z32139"</f>
        <v>0226Z32139</v>
      </c>
      <c r="E3693" s="1" t="s">
        <v>10</v>
      </c>
      <c r="F3693" s="1" t="str">
        <f>"10.11.60.138"</f>
        <v>10.11.60.138</v>
      </c>
      <c r="G3693" s="1" t="str">
        <f>"0226Z321"</f>
        <v>0226Z321</v>
      </c>
      <c r="H3693" s="1" t="str">
        <f>"용답간 23R19R1L1"</f>
        <v>용답간 23R19R1L1</v>
      </c>
      <c r="I3693" s="1" t="s">
        <v>8</v>
      </c>
      <c r="J3693" s="1" t="str">
        <f>"56/56"</f>
        <v>56/56</v>
      </c>
      <c r="K3693" s="1" t="str">
        <f t="shared" si="208"/>
        <v>2026-07-29 13:18:02</v>
      </c>
      <c r="L3693" s="1" t="str">
        <f>"2018-05-08 14:29:12"</f>
        <v>2018-05-08 14:29:12</v>
      </c>
      <c r="M3693" s="1" t="s">
        <v>2</v>
      </c>
      <c r="N3693" s="1" t="s">
        <v>38</v>
      </c>
      <c r="O3693" s="1" t="s">
        <v>46</v>
      </c>
    </row>
    <row r="3694" spans="2:15" x14ac:dyDescent="0.3">
      <c r="B3694" s="1" t="s">
        <v>23</v>
      </c>
      <c r="C3694" s="1" t="str">
        <f t="shared" ref="C3694:C3713" si="209">"3차"</f>
        <v>3차</v>
      </c>
      <c r="D3694" s="1" t="str">
        <f>"0226Z32239"</f>
        <v>0226Z32239</v>
      </c>
      <c r="E3694" s="1" t="s">
        <v>10</v>
      </c>
      <c r="F3694" s="1" t="str">
        <f>"10.11.53.154"</f>
        <v>10.11.53.154</v>
      </c>
      <c r="G3694" s="1" t="str">
        <f>"0226Z322"</f>
        <v>0226Z322</v>
      </c>
      <c r="H3694" s="1" t="str">
        <f>"용답간 23R19R1L2"</f>
        <v>용답간 23R19R1L2</v>
      </c>
      <c r="I3694" s="1" t="s">
        <v>8</v>
      </c>
      <c r="J3694" s="1" t="str">
        <f>"76/76"</f>
        <v>76/76</v>
      </c>
      <c r="K3694" s="1" t="str">
        <f t="shared" si="208"/>
        <v>2026-07-29 13:18:02</v>
      </c>
      <c r="L3694" s="1" t="str">
        <f>"2018-05-08 13:09:12"</f>
        <v>2018-05-08 13:09:12</v>
      </c>
      <c r="M3694" s="1" t="s">
        <v>2</v>
      </c>
      <c r="N3694" s="1" t="s">
        <v>38</v>
      </c>
      <c r="O3694" s="1" t="s">
        <v>46</v>
      </c>
    </row>
    <row r="3695" spans="2:15" x14ac:dyDescent="0.3">
      <c r="B3695" s="1" t="s">
        <v>23</v>
      </c>
      <c r="C3695" s="1" t="str">
        <f t="shared" si="209"/>
        <v>3차</v>
      </c>
      <c r="D3695" s="1" t="str">
        <f>"0226Z33139"</f>
        <v>0226Z33139</v>
      </c>
      <c r="E3695" s="1" t="s">
        <v>10</v>
      </c>
      <c r="F3695" s="1" t="str">
        <f>"10.11.54.2"</f>
        <v>10.11.54.2</v>
      </c>
      <c r="G3695" s="1" t="str">
        <f>"0226Z331"</f>
        <v>0226Z331</v>
      </c>
      <c r="H3695" s="1" t="str">
        <f>"용답간 23R8L4"</f>
        <v>용답간 23R8L4</v>
      </c>
      <c r="I3695" s="1" t="s">
        <v>8</v>
      </c>
      <c r="J3695" s="1" t="str">
        <f>"26/26"</f>
        <v>26/26</v>
      </c>
      <c r="K3695" s="1" t="str">
        <f t="shared" si="208"/>
        <v>2026-07-29 13:18:02</v>
      </c>
      <c r="L3695" s="1" t="str">
        <f>"2018-05-31 11:35:09"</f>
        <v>2018-05-31 11:35:09</v>
      </c>
      <c r="M3695" s="1" t="s">
        <v>2</v>
      </c>
      <c r="N3695" s="1" t="s">
        <v>38</v>
      </c>
      <c r="O3695" s="1" t="s">
        <v>46</v>
      </c>
    </row>
    <row r="3696" spans="2:15" x14ac:dyDescent="0.3">
      <c r="B3696" s="1" t="s">
        <v>23</v>
      </c>
      <c r="C3696" s="1" t="str">
        <f t="shared" si="209"/>
        <v>3차</v>
      </c>
      <c r="D3696" s="1" t="str">
        <f>"0226Z33239"</f>
        <v>0226Z33239</v>
      </c>
      <c r="E3696" s="1" t="s">
        <v>10</v>
      </c>
      <c r="F3696" s="1" t="str">
        <f>"10.11.60.146"</f>
        <v>10.11.60.146</v>
      </c>
      <c r="G3696" s="1" t="str">
        <f>"0226Z332"</f>
        <v>0226Z332</v>
      </c>
      <c r="H3696" s="1" t="str">
        <f>"용답간 23R19R1L2L1"</f>
        <v>용답간 23R19R1L2L1</v>
      </c>
      <c r="I3696" s="1" t="s">
        <v>8</v>
      </c>
      <c r="J3696" s="1" t="str">
        <f>"25/25"</f>
        <v>25/25</v>
      </c>
      <c r="K3696" s="1" t="str">
        <f t="shared" si="208"/>
        <v>2026-07-29 13:18:02</v>
      </c>
      <c r="L3696" s="1" t="str">
        <f>"2018-06-14 11:01:27"</f>
        <v>2018-06-14 11:01:27</v>
      </c>
      <c r="M3696" s="1" t="s">
        <v>2</v>
      </c>
      <c r="N3696" s="1" t="s">
        <v>38</v>
      </c>
      <c r="O3696" s="1" t="s">
        <v>46</v>
      </c>
    </row>
    <row r="3697" spans="2:15" x14ac:dyDescent="0.3">
      <c r="B3697" s="1" t="s">
        <v>23</v>
      </c>
      <c r="C3697" s="1" t="str">
        <f t="shared" si="209"/>
        <v>3차</v>
      </c>
      <c r="D3697" s="1" t="str">
        <f>"0226Z34139"</f>
        <v>0226Z34139</v>
      </c>
      <c r="E3697" s="1" t="s">
        <v>10</v>
      </c>
      <c r="F3697" s="1" t="str">
        <f>"10.11.60.250"</f>
        <v>10.11.60.250</v>
      </c>
      <c r="G3697" s="1" t="str">
        <f>"0226Z341"</f>
        <v>0226Z341</v>
      </c>
      <c r="H3697" s="1" t="str">
        <f>"용답간 23R8L3"</f>
        <v>용답간 23R8L3</v>
      </c>
      <c r="I3697" s="1" t="s">
        <v>8</v>
      </c>
      <c r="J3697" s="1" t="str">
        <f>"28/28"</f>
        <v>28/28</v>
      </c>
      <c r="K3697" s="1" t="str">
        <f t="shared" si="208"/>
        <v>2026-07-29 13:18:02</v>
      </c>
      <c r="L3697" s="1" t="str">
        <f>"2018-05-30 11:37:39"</f>
        <v>2018-05-30 11:37:39</v>
      </c>
      <c r="M3697" s="1" t="s">
        <v>2</v>
      </c>
      <c r="N3697" s="1" t="s">
        <v>38</v>
      </c>
      <c r="O3697" s="1" t="s">
        <v>46</v>
      </c>
    </row>
    <row r="3698" spans="2:15" x14ac:dyDescent="0.3">
      <c r="B3698" s="1" t="s">
        <v>23</v>
      </c>
      <c r="C3698" s="1" t="str">
        <f t="shared" si="209"/>
        <v>3차</v>
      </c>
      <c r="D3698" s="1" t="str">
        <f>"0226Z35230"</f>
        <v>0226Z35230</v>
      </c>
      <c r="E3698" s="1" t="s">
        <v>10</v>
      </c>
      <c r="F3698" s="1" t="str">
        <f>"10.11.53.242"</f>
        <v>10.11.53.242</v>
      </c>
      <c r="G3698" s="1" t="str">
        <f>"0226Z352"</f>
        <v>0226Z352</v>
      </c>
      <c r="H3698" s="1" t="str">
        <f>"용답간 23R8L2L1"</f>
        <v>용답간 23R8L2L1</v>
      </c>
      <c r="I3698" s="1" t="s">
        <v>8</v>
      </c>
      <c r="J3698" s="1" t="str">
        <f>"51/51"</f>
        <v>51/51</v>
      </c>
      <c r="K3698" s="1" t="str">
        <f t="shared" si="208"/>
        <v>2026-07-29 13:18:02</v>
      </c>
      <c r="L3698" s="1" t="str">
        <f>"2018-05-31 14:31:10"</f>
        <v>2018-05-31 14:31:10</v>
      </c>
      <c r="M3698" s="1" t="s">
        <v>2</v>
      </c>
      <c r="N3698" s="1" t="s">
        <v>38</v>
      </c>
      <c r="O3698" s="1" t="s">
        <v>46</v>
      </c>
    </row>
    <row r="3699" spans="2:15" x14ac:dyDescent="0.3">
      <c r="B3699" s="1" t="s">
        <v>23</v>
      </c>
      <c r="C3699" s="1" t="str">
        <f t="shared" si="209"/>
        <v>3차</v>
      </c>
      <c r="D3699" s="1" t="str">
        <f>"0226Z40239"</f>
        <v>0226Z40239</v>
      </c>
      <c r="E3699" s="1" t="s">
        <v>10</v>
      </c>
      <c r="F3699" s="1" t="str">
        <f>"10.11.60.186"</f>
        <v>10.11.60.186</v>
      </c>
      <c r="G3699" s="1" t="str">
        <f>"0226Z402"</f>
        <v>0226Z402</v>
      </c>
      <c r="H3699" s="1" t="str">
        <f>"용답간 23R23"</f>
        <v>용답간 23R23</v>
      </c>
      <c r="I3699" s="1" t="s">
        <v>8</v>
      </c>
      <c r="J3699" s="1" t="str">
        <f>"70/70"</f>
        <v>70/70</v>
      </c>
      <c r="K3699" s="1" t="str">
        <f>"2026-07-29 13:18:03"</f>
        <v>2026-07-29 13:18:03</v>
      </c>
      <c r="L3699" s="1" t="str">
        <f>"2018-05-08 13:26:56"</f>
        <v>2018-05-08 13:26:56</v>
      </c>
      <c r="M3699" s="1" t="s">
        <v>2</v>
      </c>
      <c r="N3699" s="1" t="s">
        <v>38</v>
      </c>
      <c r="O3699" s="1" t="s">
        <v>46</v>
      </c>
    </row>
    <row r="3700" spans="2:15" x14ac:dyDescent="0.3">
      <c r="B3700" s="1" t="s">
        <v>23</v>
      </c>
      <c r="C3700" s="1" t="str">
        <f t="shared" si="209"/>
        <v>3차</v>
      </c>
      <c r="D3700" s="1" t="str">
        <f>"0226Z43139"</f>
        <v>0226Z43139</v>
      </c>
      <c r="E3700" s="1" t="s">
        <v>10</v>
      </c>
      <c r="F3700" s="1" t="str">
        <f>"10.11.61.10"</f>
        <v>10.11.61.10</v>
      </c>
      <c r="G3700" s="1" t="str">
        <f>"0226Z431"</f>
        <v>0226Z431</v>
      </c>
      <c r="H3700" s="1" t="str">
        <f>"용답간 23R8L5"</f>
        <v>용답간 23R8L5</v>
      </c>
      <c r="I3700" s="1" t="s">
        <v>8</v>
      </c>
      <c r="J3700" s="1" t="str">
        <f>"31/36"</f>
        <v>31/36</v>
      </c>
      <c r="K3700" s="1" t="str">
        <f t="shared" ref="K3700:K3708" si="210">"2026-07-29 13:18:02"</f>
        <v>2026-07-29 13:18:02</v>
      </c>
      <c r="L3700" s="1" t="str">
        <f>"2018-05-30 11:28:56"</f>
        <v>2018-05-30 11:28:56</v>
      </c>
      <c r="M3700" s="1" t="s">
        <v>2</v>
      </c>
      <c r="N3700" s="1" t="s">
        <v>38</v>
      </c>
      <c r="O3700" s="1" t="s">
        <v>46</v>
      </c>
    </row>
    <row r="3701" spans="2:15" x14ac:dyDescent="0.3">
      <c r="B3701" s="1" t="s">
        <v>23</v>
      </c>
      <c r="C3701" s="1" t="str">
        <f t="shared" si="209"/>
        <v>3차</v>
      </c>
      <c r="D3701" s="1" t="str">
        <f>"0226Z44130"</f>
        <v>0226Z44130</v>
      </c>
      <c r="E3701" s="1" t="s">
        <v>10</v>
      </c>
      <c r="F3701" s="1" t="str">
        <f>"10.11.53.210"</f>
        <v>10.11.53.210</v>
      </c>
      <c r="G3701" s="1" t="str">
        <f>"0226Z441"</f>
        <v>0226Z441</v>
      </c>
      <c r="H3701" s="1" t="str">
        <f>"용답간 23R4L5R3"</f>
        <v>용답간 23R4L5R3</v>
      </c>
      <c r="I3701" s="1" t="s">
        <v>8</v>
      </c>
      <c r="J3701" s="1" t="str">
        <f>"37/37"</f>
        <v>37/37</v>
      </c>
      <c r="K3701" s="1" t="str">
        <f t="shared" si="210"/>
        <v>2026-07-29 13:18:02</v>
      </c>
      <c r="L3701" s="1" t="str">
        <f>"2018-05-08 13:05:56"</f>
        <v>2018-05-08 13:05:56</v>
      </c>
      <c r="M3701" s="1" t="s">
        <v>2</v>
      </c>
      <c r="N3701" s="1" t="s">
        <v>38</v>
      </c>
      <c r="O3701" s="1" t="s">
        <v>46</v>
      </c>
    </row>
    <row r="3702" spans="2:15" x14ac:dyDescent="0.3">
      <c r="B3702" s="1" t="s">
        <v>23</v>
      </c>
      <c r="C3702" s="1" t="str">
        <f t="shared" si="209"/>
        <v>3차</v>
      </c>
      <c r="D3702" s="1" t="str">
        <f>"0226Z44332"</f>
        <v>0226Z44332</v>
      </c>
      <c r="E3702" s="1" t="s">
        <v>10</v>
      </c>
      <c r="F3702" s="1" t="str">
        <f>"10.11.53.212"</f>
        <v>10.11.53.212</v>
      </c>
      <c r="G3702" s="1" t="str">
        <f>"0226Z443"</f>
        <v>0226Z443</v>
      </c>
      <c r="H3702" s="1" t="str">
        <f>"용답간 23R4L5R4"</f>
        <v>용답간 23R4L5R4</v>
      </c>
      <c r="I3702" s="1" t="s">
        <v>8</v>
      </c>
      <c r="J3702" s="1" t="str">
        <f>"14/14"</f>
        <v>14/14</v>
      </c>
      <c r="K3702" s="1" t="str">
        <f t="shared" si="210"/>
        <v>2026-07-29 13:18:02</v>
      </c>
      <c r="L3702" s="1" t="str">
        <f>"2018-06-01 13:59:40"</f>
        <v>2018-06-01 13:59:40</v>
      </c>
      <c r="M3702" s="1" t="s">
        <v>2</v>
      </c>
      <c r="N3702" s="1" t="s">
        <v>38</v>
      </c>
      <c r="O3702" s="1" t="s">
        <v>46</v>
      </c>
    </row>
    <row r="3703" spans="2:15" x14ac:dyDescent="0.3">
      <c r="B3703" s="1" t="s">
        <v>23</v>
      </c>
      <c r="C3703" s="1" t="str">
        <f t="shared" si="209"/>
        <v>3차</v>
      </c>
      <c r="D3703" s="1" t="str">
        <f>"0226Z45139"</f>
        <v>0226Z45139</v>
      </c>
      <c r="E3703" s="1" t="s">
        <v>10</v>
      </c>
      <c r="F3703" s="1" t="str">
        <f>"10.11.53.250"</f>
        <v>10.11.53.250</v>
      </c>
      <c r="G3703" s="1" t="str">
        <f>"0226Z451"</f>
        <v>0226Z451</v>
      </c>
      <c r="H3703" s="1" t="str">
        <f>"용답간 23R8L3L2"</f>
        <v>용답간 23R8L3L2</v>
      </c>
      <c r="I3703" s="1" t="s">
        <v>8</v>
      </c>
      <c r="J3703" s="1" t="str">
        <f>"76/76"</f>
        <v>76/76</v>
      </c>
      <c r="K3703" s="1" t="str">
        <f t="shared" si="210"/>
        <v>2026-07-29 13:18:02</v>
      </c>
      <c r="L3703" s="1" t="str">
        <f>"2018-05-31 14:42:55"</f>
        <v>2018-05-31 14:42:55</v>
      </c>
      <c r="M3703" s="1" t="s">
        <v>2</v>
      </c>
      <c r="N3703" s="1" t="s">
        <v>38</v>
      </c>
      <c r="O3703" s="1" t="s">
        <v>46</v>
      </c>
    </row>
    <row r="3704" spans="2:15" x14ac:dyDescent="0.3">
      <c r="B3704" s="1" t="s">
        <v>23</v>
      </c>
      <c r="C3704" s="1" t="str">
        <f t="shared" si="209"/>
        <v>3차</v>
      </c>
      <c r="D3704" s="1" t="str">
        <f>"0226Z45231"</f>
        <v>0226Z45231</v>
      </c>
      <c r="E3704" s="1" t="s">
        <v>10</v>
      </c>
      <c r="F3704" s="1" t="str">
        <f>"10.11.53.211"</f>
        <v>10.11.53.211</v>
      </c>
      <c r="G3704" s="1" t="str">
        <f>"0226Z452"</f>
        <v>0226Z452</v>
      </c>
      <c r="H3704" s="1" t="str">
        <f>"용답간 23R4L5R2"</f>
        <v>용답간 23R4L5R2</v>
      </c>
      <c r="I3704" s="1" t="s">
        <v>8</v>
      </c>
      <c r="J3704" s="1" t="str">
        <f>"19/19"</f>
        <v>19/19</v>
      </c>
      <c r="K3704" s="1" t="str">
        <f t="shared" si="210"/>
        <v>2026-07-29 13:18:02</v>
      </c>
      <c r="L3704" s="1" t="str">
        <f>"2018-06-01 13:50:10"</f>
        <v>2018-06-01 13:50:10</v>
      </c>
      <c r="M3704" s="1" t="s">
        <v>2</v>
      </c>
      <c r="N3704" s="1" t="s">
        <v>38</v>
      </c>
      <c r="O3704" s="1" t="s">
        <v>46</v>
      </c>
    </row>
    <row r="3705" spans="2:15" x14ac:dyDescent="0.3">
      <c r="B3705" s="1" t="s">
        <v>23</v>
      </c>
      <c r="C3705" s="1" t="str">
        <f t="shared" si="209"/>
        <v>3차</v>
      </c>
      <c r="D3705" s="1" t="str">
        <f>"0226Z45331"</f>
        <v>0226Z45331</v>
      </c>
      <c r="E3705" s="1" t="s">
        <v>10</v>
      </c>
      <c r="F3705" s="1" t="str">
        <f>"10.11.80.74"</f>
        <v>10.11.80.74</v>
      </c>
      <c r="G3705" s="1" t="str">
        <f>"0226Z453"</f>
        <v>0226Z453</v>
      </c>
      <c r="H3705" s="1" t="str">
        <f>"용답간 23R8L2L3"</f>
        <v>용답간 23R8L2L3</v>
      </c>
      <c r="I3705" s="1" t="s">
        <v>8</v>
      </c>
      <c r="J3705" s="1" t="str">
        <f>"41/41"</f>
        <v>41/41</v>
      </c>
      <c r="K3705" s="1" t="str">
        <f t="shared" si="210"/>
        <v>2026-07-29 13:18:02</v>
      </c>
      <c r="L3705" s="1" t="str">
        <f>"2018-05-31 14:25:42"</f>
        <v>2018-05-31 14:25:42</v>
      </c>
      <c r="M3705" s="1" t="s">
        <v>2</v>
      </c>
      <c r="N3705" s="1" t="s">
        <v>38</v>
      </c>
      <c r="O3705" s="1" t="s">
        <v>46</v>
      </c>
    </row>
    <row r="3706" spans="2:15" x14ac:dyDescent="0.3">
      <c r="B3706" s="1" t="s">
        <v>23</v>
      </c>
      <c r="C3706" s="1" t="str">
        <f t="shared" si="209"/>
        <v>3차</v>
      </c>
      <c r="D3706" s="1" t="str">
        <f>"0226Z47139"</f>
        <v>0226Z47139</v>
      </c>
      <c r="E3706" s="1" t="s">
        <v>10</v>
      </c>
      <c r="F3706" s="1" t="str">
        <f>"10.11.60.170"</f>
        <v>10.11.60.170</v>
      </c>
      <c r="G3706" s="1" t="str">
        <f>"0226Z471"</f>
        <v>0226Z471</v>
      </c>
      <c r="H3706" s="1" t="str">
        <f>"용답간 23R3"</f>
        <v>용답간 23R3</v>
      </c>
      <c r="I3706" s="1" t="s">
        <v>8</v>
      </c>
      <c r="J3706" s="1" t="str">
        <f>"6/7"</f>
        <v>6/7</v>
      </c>
      <c r="K3706" s="1" t="str">
        <f t="shared" si="210"/>
        <v>2026-07-29 13:18:02</v>
      </c>
      <c r="L3706" s="1" t="str">
        <f>"2018-05-08 14:10:11"</f>
        <v>2018-05-08 14:10:11</v>
      </c>
      <c r="M3706" s="1" t="s">
        <v>2</v>
      </c>
      <c r="N3706" s="1" t="s">
        <v>38</v>
      </c>
      <c r="O3706" s="1" t="s">
        <v>46</v>
      </c>
    </row>
    <row r="3707" spans="2:15" x14ac:dyDescent="0.3">
      <c r="B3707" s="1" t="s">
        <v>23</v>
      </c>
      <c r="C3707" s="1" t="str">
        <f t="shared" si="209"/>
        <v>3차</v>
      </c>
      <c r="D3707" s="1" t="str">
        <f>"0226Z47239"</f>
        <v>0226Z47239</v>
      </c>
      <c r="E3707" s="1" t="s">
        <v>10</v>
      </c>
      <c r="F3707" s="1" t="str">
        <f>"10.11.53.194"</f>
        <v>10.11.53.194</v>
      </c>
      <c r="G3707" s="1" t="str">
        <f>"0226Z472"</f>
        <v>0226Z472</v>
      </c>
      <c r="H3707" s="1" t="str">
        <f>"용답간 23R4L1"</f>
        <v>용답간 23R4L1</v>
      </c>
      <c r="I3707" s="1" t="s">
        <v>8</v>
      </c>
      <c r="J3707" s="1" t="str">
        <f>"21/21"</f>
        <v>21/21</v>
      </c>
      <c r="K3707" s="1" t="str">
        <f t="shared" si="210"/>
        <v>2026-07-29 13:18:02</v>
      </c>
      <c r="L3707" s="1" t="str">
        <f>"2018-05-08 14:08:56"</f>
        <v>2018-05-08 14:08:56</v>
      </c>
      <c r="M3707" s="1" t="s">
        <v>2</v>
      </c>
      <c r="N3707" s="1" t="s">
        <v>38</v>
      </c>
      <c r="O3707" s="1" t="s">
        <v>46</v>
      </c>
    </row>
    <row r="3708" spans="2:15" x14ac:dyDescent="0.3">
      <c r="B3708" s="1" t="s">
        <v>23</v>
      </c>
      <c r="C3708" s="1" t="str">
        <f t="shared" si="209"/>
        <v>3차</v>
      </c>
      <c r="D3708" s="1" t="str">
        <f>"0226Z48639"</f>
        <v>0226Z48639</v>
      </c>
      <c r="E3708" s="1" t="s">
        <v>10</v>
      </c>
      <c r="F3708" s="1" t="str">
        <f>"10.11.53.170"</f>
        <v>10.11.53.170</v>
      </c>
      <c r="G3708" s="1" t="str">
        <f>"0226Z486"</f>
        <v>0226Z486</v>
      </c>
      <c r="H3708" s="1" t="str">
        <f>"용답간 23R2"</f>
        <v>용답간 23R2</v>
      </c>
      <c r="I3708" s="1" t="s">
        <v>8</v>
      </c>
      <c r="J3708" s="1" t="str">
        <f>"12/12"</f>
        <v>12/12</v>
      </c>
      <c r="K3708" s="1" t="str">
        <f t="shared" si="210"/>
        <v>2026-07-29 13:18:02</v>
      </c>
      <c r="L3708" s="1" t="str">
        <f>"2018-05-08 14:07:27"</f>
        <v>2018-05-08 14:07:27</v>
      </c>
      <c r="M3708" s="1" t="s">
        <v>2</v>
      </c>
      <c r="N3708" s="1" t="s">
        <v>38</v>
      </c>
      <c r="O3708" s="1" t="s">
        <v>46</v>
      </c>
    </row>
    <row r="3709" spans="2:15" x14ac:dyDescent="0.3">
      <c r="B3709" s="1" t="s">
        <v>23</v>
      </c>
      <c r="C3709" s="1" t="str">
        <f t="shared" si="209"/>
        <v>3차</v>
      </c>
      <c r="D3709" s="1" t="str">
        <f>"0226Z51339"</f>
        <v>0226Z51339</v>
      </c>
      <c r="E3709" s="1" t="s">
        <v>10</v>
      </c>
      <c r="F3709" s="1" t="str">
        <f>"10.11.54.10"</f>
        <v>10.11.54.10</v>
      </c>
      <c r="G3709" s="1" t="str">
        <f>"0226Z513"</f>
        <v>0226Z513</v>
      </c>
      <c r="H3709" s="1" t="str">
        <f>"용답간 30R10R2"</f>
        <v>용답간 30R10R2</v>
      </c>
      <c r="I3709" s="1" t="s">
        <v>8</v>
      </c>
      <c r="J3709" s="1" t="str">
        <f>"74/74"</f>
        <v>74/74</v>
      </c>
      <c r="K3709" s="1" t="str">
        <f>"2026-07-29 13:18:01"</f>
        <v>2026-07-29 13:18:01</v>
      </c>
      <c r="L3709" s="1" t="str">
        <f>"2018-05-30 11:24:39"</f>
        <v>2018-05-30 11:24:39</v>
      </c>
      <c r="M3709" s="1" t="s">
        <v>2</v>
      </c>
      <c r="N3709" s="1" t="s">
        <v>38</v>
      </c>
      <c r="O3709" s="1" t="s">
        <v>46</v>
      </c>
    </row>
    <row r="3710" spans="2:15" x14ac:dyDescent="0.3">
      <c r="B3710" s="1" t="s">
        <v>23</v>
      </c>
      <c r="C3710" s="1" t="str">
        <f t="shared" si="209"/>
        <v>3차</v>
      </c>
      <c r="D3710" s="1" t="str">
        <f>"0226Z54239"</f>
        <v>0226Z54239</v>
      </c>
      <c r="E3710" s="1" t="s">
        <v>10</v>
      </c>
      <c r="F3710" s="1" t="str">
        <f>"10.11.60.218"</f>
        <v>10.11.60.218</v>
      </c>
      <c r="G3710" s="1" t="str">
        <f>"0226Z542"</f>
        <v>0226Z542</v>
      </c>
      <c r="H3710" s="1" t="str">
        <f>"용답간 23R4L6R2"</f>
        <v>용답간 23R4L6R2</v>
      </c>
      <c r="I3710" s="1" t="s">
        <v>8</v>
      </c>
      <c r="J3710" s="1" t="str">
        <f>"56/56"</f>
        <v>56/56</v>
      </c>
      <c r="K3710" s="1" t="str">
        <f>"2026-07-29 13:18:02"</f>
        <v>2026-07-29 13:18:02</v>
      </c>
      <c r="L3710" s="1" t="str">
        <f>"2018-05-08 15:09:27"</f>
        <v>2018-05-08 15:09:27</v>
      </c>
      <c r="M3710" s="1" t="s">
        <v>2</v>
      </c>
      <c r="N3710" s="1" t="s">
        <v>38</v>
      </c>
      <c r="O3710" s="1" t="s">
        <v>46</v>
      </c>
    </row>
    <row r="3711" spans="2:15" x14ac:dyDescent="0.3">
      <c r="B3711" s="1" t="s">
        <v>23</v>
      </c>
      <c r="C3711" s="1" t="str">
        <f t="shared" si="209"/>
        <v>3차</v>
      </c>
      <c r="D3711" s="1" t="str">
        <f>"0226Z55239"</f>
        <v>0226Z55239</v>
      </c>
      <c r="E3711" s="1" t="s">
        <v>10</v>
      </c>
      <c r="F3711" s="1" t="str">
        <f>"10.11.60.210"</f>
        <v>10.11.60.210</v>
      </c>
      <c r="G3711" s="1" t="str">
        <f>"0226Z552"</f>
        <v>0226Z552</v>
      </c>
      <c r="H3711" s="1" t="str">
        <f>"용답간 23R4L6"</f>
        <v>용답간 23R4L6</v>
      </c>
      <c r="I3711" s="1" t="s">
        <v>8</v>
      </c>
      <c r="J3711" s="1" t="str">
        <f>"57/57"</f>
        <v>57/57</v>
      </c>
      <c r="K3711" s="1" t="str">
        <f>"2026-07-29 13:18:02"</f>
        <v>2026-07-29 13:18:02</v>
      </c>
      <c r="L3711" s="1" t="str">
        <f>"2018-05-08 14:54:27"</f>
        <v>2018-05-08 14:54:27</v>
      </c>
      <c r="M3711" s="1" t="s">
        <v>2</v>
      </c>
      <c r="N3711" s="1" t="s">
        <v>38</v>
      </c>
      <c r="O3711" s="1" t="s">
        <v>46</v>
      </c>
    </row>
    <row r="3712" spans="2:15" x14ac:dyDescent="0.3">
      <c r="B3712" s="1" t="s">
        <v>23</v>
      </c>
      <c r="C3712" s="1" t="str">
        <f t="shared" si="209"/>
        <v>3차</v>
      </c>
      <c r="D3712" s="1" t="str">
        <f>"0226Z55339"</f>
        <v>0226Z55339</v>
      </c>
      <c r="E3712" s="1" t="s">
        <v>10</v>
      </c>
      <c r="F3712" s="1" t="str">
        <f>"10.11.53.218"</f>
        <v>10.11.53.218</v>
      </c>
      <c r="G3712" s="1" t="str">
        <f>"0226Z553"</f>
        <v>0226Z553</v>
      </c>
      <c r="H3712" s="1" t="str">
        <f>"용답간 23R4L6R1"</f>
        <v>용답간 23R4L6R1</v>
      </c>
      <c r="I3712" s="1" t="s">
        <v>8</v>
      </c>
      <c r="J3712" s="1" t="str">
        <f>"18/18"</f>
        <v>18/18</v>
      </c>
      <c r="K3712" s="1" t="str">
        <f>"2026-07-29 13:18:02"</f>
        <v>2026-07-29 13:18:02</v>
      </c>
      <c r="L3712" s="1" t="str">
        <f>"2018-05-08 14:57:56"</f>
        <v>2018-05-08 14:57:56</v>
      </c>
      <c r="M3712" s="1" t="s">
        <v>2</v>
      </c>
      <c r="N3712" s="1" t="s">
        <v>38</v>
      </c>
      <c r="O3712" s="1" t="s">
        <v>46</v>
      </c>
    </row>
    <row r="3713" spans="2:15" x14ac:dyDescent="0.3">
      <c r="B3713" s="1" t="s">
        <v>23</v>
      </c>
      <c r="C3713" s="1" t="str">
        <f t="shared" si="209"/>
        <v>3차</v>
      </c>
      <c r="D3713" s="1" t="str">
        <f>"0226Z55539"</f>
        <v>0226Z55539</v>
      </c>
      <c r="E3713" s="1" t="s">
        <v>10</v>
      </c>
      <c r="F3713" s="1" t="str">
        <f>"10.11.53.202"</f>
        <v>10.11.53.202</v>
      </c>
      <c r="G3713" s="1" t="str">
        <f>"0226Z555"</f>
        <v>0226Z555</v>
      </c>
      <c r="H3713" s="1" t="str">
        <f>"용답간 23R4L4"</f>
        <v>용답간 23R4L4</v>
      </c>
      <c r="I3713" s="1" t="s">
        <v>8</v>
      </c>
      <c r="J3713" s="1" t="str">
        <f>"70/75"</f>
        <v>70/75</v>
      </c>
      <c r="K3713" s="1" t="str">
        <f>"2026-07-29 13:18:02"</f>
        <v>2026-07-29 13:18:02</v>
      </c>
      <c r="L3713" s="1" t="str">
        <f>"2018-05-08 13:59:41"</f>
        <v>2018-05-08 13:59:41</v>
      </c>
      <c r="M3713" s="1" t="s">
        <v>2</v>
      </c>
      <c r="N3713" s="1" t="s">
        <v>38</v>
      </c>
      <c r="O3713" s="1" t="s">
        <v>46</v>
      </c>
    </row>
    <row r="3714" spans="2:15" x14ac:dyDescent="0.3">
      <c r="B3714" s="1" t="s">
        <v>23</v>
      </c>
      <c r="C3714" s="1" t="str">
        <f>"5-2차"</f>
        <v>5-2차</v>
      </c>
      <c r="D3714" s="1" t="str">
        <f>"0226Z6115M"</f>
        <v>0226Z6115M</v>
      </c>
      <c r="E3714" s="1" t="s">
        <v>10</v>
      </c>
      <c r="F3714" s="1" t="str">
        <f>"fde3:102:1430:3200:0:0:0:12"</f>
        <v>fde3:102:1430:3200:0:0:0:12</v>
      </c>
      <c r="G3714" s="1" t="str">
        <f>"0226Z611"</f>
        <v>0226Z611</v>
      </c>
      <c r="H3714" s="1" t="str">
        <f>"용답간 30R9"</f>
        <v>용답간 30R9</v>
      </c>
      <c r="I3714" s="1" t="s">
        <v>15</v>
      </c>
      <c r="J3714" s="1" t="str">
        <f>"45/45"</f>
        <v>45/45</v>
      </c>
      <c r="K3714" s="1" t="str">
        <f>"2026-07-29 14:20:31"</f>
        <v>2026-07-29 14:20:31</v>
      </c>
      <c r="L3714" s="1" t="str">
        <f>"2023-12-02 09:47:56"</f>
        <v>2023-12-02 09:47:56</v>
      </c>
      <c r="M3714" s="1" t="s">
        <v>45</v>
      </c>
      <c r="N3714" s="1" t="s">
        <v>38</v>
      </c>
      <c r="O3714" s="1" t="s">
        <v>46</v>
      </c>
    </row>
    <row r="3715" spans="2:15" x14ac:dyDescent="0.3">
      <c r="B3715" s="1" t="s">
        <v>23</v>
      </c>
      <c r="C3715" s="1" t="str">
        <f>"6차"</f>
        <v>6차</v>
      </c>
      <c r="D3715" s="1" t="str">
        <f>"0226Z6246S"</f>
        <v>0226Z6246S</v>
      </c>
      <c r="E3715" s="1" t="s">
        <v>10</v>
      </c>
      <c r="F3715" s="1" t="str">
        <f>"fde1:103:4:9219:0:0:0:2"</f>
        <v>fde1:103:4:9219:0:0:0:2</v>
      </c>
      <c r="G3715" s="1" t="str">
        <f>"0226Z624"</f>
        <v>0226Z624</v>
      </c>
      <c r="H3715" s="1" t="str">
        <f>"용답간 30R8"</f>
        <v>용답간 30R8</v>
      </c>
      <c r="I3715" s="1" t="s">
        <v>15</v>
      </c>
      <c r="J3715" s="1" t="str">
        <f>"55/56"</f>
        <v>55/56</v>
      </c>
      <c r="K3715" s="1" t="str">
        <f>"2026-07-29 14:20:03"</f>
        <v>2026-07-29 14:20:03</v>
      </c>
      <c r="L3715" s="1" t="str">
        <f>"2024-09-27 16:46:34"</f>
        <v>2024-09-27 16:46:34</v>
      </c>
      <c r="M3715" s="1" t="s">
        <v>4</v>
      </c>
      <c r="N3715" s="1" t="s">
        <v>38</v>
      </c>
      <c r="O3715" s="1" t="s">
        <v>46</v>
      </c>
    </row>
    <row r="3716" spans="2:15" x14ac:dyDescent="0.3">
      <c r="B3716" s="1" t="s">
        <v>23</v>
      </c>
      <c r="C3716" s="1" t="str">
        <f>"3차"</f>
        <v>3차</v>
      </c>
      <c r="D3716" s="1" t="str">
        <f>"0226Z63139"</f>
        <v>0226Z63139</v>
      </c>
      <c r="E3716" s="1" t="s">
        <v>10</v>
      </c>
      <c r="F3716" s="1" t="str">
        <f>"10.11.57.98"</f>
        <v>10.11.57.98</v>
      </c>
      <c r="G3716" s="1" t="str">
        <f>"0226Z631"</f>
        <v>0226Z631</v>
      </c>
      <c r="H3716" s="1" t="str">
        <f>"용답간 30R5"</f>
        <v>용답간 30R5</v>
      </c>
      <c r="I3716" s="1" t="s">
        <v>8</v>
      </c>
      <c r="J3716" s="1" t="str">
        <f>"49/49"</f>
        <v>49/49</v>
      </c>
      <c r="K3716" s="1" t="str">
        <f>"2026-07-29 13:18:02"</f>
        <v>2026-07-29 13:18:02</v>
      </c>
      <c r="L3716" s="1" t="str">
        <f>"2018-05-08 13:08:40"</f>
        <v>2018-05-08 13:08:40</v>
      </c>
      <c r="M3716" s="1" t="s">
        <v>2</v>
      </c>
      <c r="N3716" s="1" t="s">
        <v>38</v>
      </c>
      <c r="O3716" s="1" t="s">
        <v>46</v>
      </c>
    </row>
    <row r="3717" spans="2:15" x14ac:dyDescent="0.3">
      <c r="B3717" s="1" t="s">
        <v>23</v>
      </c>
      <c r="C3717" s="1" t="str">
        <f>"3차"</f>
        <v>3차</v>
      </c>
      <c r="D3717" s="1" t="str">
        <f>"0226Z64139"</f>
        <v>0226Z64139</v>
      </c>
      <c r="E3717" s="1" t="s">
        <v>10</v>
      </c>
      <c r="F3717" s="1" t="str">
        <f>"10.11.53.226"</f>
        <v>10.11.53.226</v>
      </c>
      <c r="G3717" s="1" t="str">
        <f>"0226Z641"</f>
        <v>0226Z641</v>
      </c>
      <c r="H3717" s="1" t="str">
        <f>"용답간 23R4L7"</f>
        <v>용답간 23R4L7</v>
      </c>
      <c r="I3717" s="1" t="s">
        <v>8</v>
      </c>
      <c r="J3717" s="1" t="str">
        <f>"65/65"</f>
        <v>65/65</v>
      </c>
      <c r="K3717" s="1" t="str">
        <f>"2026-07-29 13:18:02"</f>
        <v>2026-07-29 13:18:02</v>
      </c>
      <c r="L3717" s="1" t="str">
        <f>"2018-05-08 14:54:43"</f>
        <v>2018-05-08 14:54:43</v>
      </c>
      <c r="M3717" s="1" t="s">
        <v>2</v>
      </c>
      <c r="N3717" s="1" t="s">
        <v>38</v>
      </c>
      <c r="O3717" s="1" t="s">
        <v>46</v>
      </c>
    </row>
    <row r="3718" spans="2:15" x14ac:dyDescent="0.3">
      <c r="B3718" s="1" t="s">
        <v>23</v>
      </c>
      <c r="C3718" s="1" t="str">
        <f>"3차"</f>
        <v>3차</v>
      </c>
      <c r="D3718" s="1" t="str">
        <f>"0226Z64239"</f>
        <v>0226Z64239</v>
      </c>
      <c r="E3718" s="1" t="s">
        <v>10</v>
      </c>
      <c r="F3718" s="1" t="str">
        <f>"10.11.60.226"</f>
        <v>10.11.60.226</v>
      </c>
      <c r="G3718" s="1" t="str">
        <f>"0226Z642"</f>
        <v>0226Z642</v>
      </c>
      <c r="H3718" s="1" t="str">
        <f>"용답간 23R4L8"</f>
        <v>용답간 23R4L8</v>
      </c>
      <c r="I3718" s="1" t="s">
        <v>8</v>
      </c>
      <c r="J3718" s="1" t="str">
        <f>"37/39"</f>
        <v>37/39</v>
      </c>
      <c r="K3718" s="1" t="str">
        <f>"2026-07-29 13:18:02"</f>
        <v>2026-07-29 13:18:02</v>
      </c>
      <c r="L3718" s="1" t="str">
        <f>"2018-05-08 14:55:42"</f>
        <v>2018-05-08 14:55:42</v>
      </c>
      <c r="M3718" s="1" t="s">
        <v>2</v>
      </c>
      <c r="N3718" s="1" t="s">
        <v>38</v>
      </c>
      <c r="O3718" s="1" t="s">
        <v>46</v>
      </c>
    </row>
    <row r="3719" spans="2:15" x14ac:dyDescent="0.3">
      <c r="B3719" s="1" t="s">
        <v>23</v>
      </c>
      <c r="C3719" s="1" t="str">
        <f>"3차"</f>
        <v>3차</v>
      </c>
      <c r="D3719" s="1" t="str">
        <f>"0226Z66339"</f>
        <v>0226Z66339</v>
      </c>
      <c r="E3719" s="1" t="s">
        <v>10</v>
      </c>
      <c r="F3719" s="1" t="str">
        <f>"10.11.57.90"</f>
        <v>10.11.57.90</v>
      </c>
      <c r="G3719" s="1" t="str">
        <f>"0226Z663"</f>
        <v>0226Z663</v>
      </c>
      <c r="H3719" s="1" t="str">
        <f>"용답간 23R4L5R1L2"</f>
        <v>용답간 23R4L5R1L2</v>
      </c>
      <c r="I3719" s="1" t="s">
        <v>8</v>
      </c>
      <c r="J3719" s="1" t="str">
        <f>"59/59"</f>
        <v>59/59</v>
      </c>
      <c r="K3719" s="1" t="str">
        <f>"2026-07-29 13:18:02"</f>
        <v>2026-07-29 13:18:02</v>
      </c>
      <c r="L3719" s="1" t="str">
        <f>"2018-05-29 16:26:11"</f>
        <v>2018-05-29 16:26:11</v>
      </c>
      <c r="M3719" s="1" t="s">
        <v>2</v>
      </c>
      <c r="N3719" s="1" t="s">
        <v>38</v>
      </c>
      <c r="O3719" s="1" t="s">
        <v>46</v>
      </c>
    </row>
    <row r="3720" spans="2:15" x14ac:dyDescent="0.3">
      <c r="B3720" s="1" t="s">
        <v>23</v>
      </c>
      <c r="C3720" s="1" t="str">
        <f>"3차"</f>
        <v>3차</v>
      </c>
      <c r="D3720" s="1" t="str">
        <f>"0226Z85239"</f>
        <v>0226Z85239</v>
      </c>
      <c r="E3720" s="1" t="s">
        <v>10</v>
      </c>
      <c r="F3720" s="1" t="str">
        <f>"10.11.54.18"</f>
        <v>10.11.54.18</v>
      </c>
      <c r="G3720" s="1" t="str">
        <f>"0226Z852"</f>
        <v>0226Z852</v>
      </c>
      <c r="H3720" s="1" t="str">
        <f>"용답간 30R1"</f>
        <v>용답간 30R1</v>
      </c>
      <c r="I3720" s="1" t="s">
        <v>8</v>
      </c>
      <c r="J3720" s="1" t="str">
        <f>"17/17"</f>
        <v>17/17</v>
      </c>
      <c r="K3720" s="1" t="str">
        <f>"2026-07-29 13:18:02"</f>
        <v>2026-07-29 13:18:02</v>
      </c>
      <c r="L3720" s="1" t="str">
        <f>"2018-05-30 11:50:25"</f>
        <v>2018-05-30 11:50:25</v>
      </c>
      <c r="M3720" s="1" t="s">
        <v>2</v>
      </c>
      <c r="N3720" s="1" t="s">
        <v>38</v>
      </c>
      <c r="O3720" s="1" t="s">
        <v>46</v>
      </c>
    </row>
    <row r="3721" spans="2:15" x14ac:dyDescent="0.3">
      <c r="B3721" s="1" t="s">
        <v>23</v>
      </c>
      <c r="C3721" s="1" t="str">
        <f>"4차"</f>
        <v>4차</v>
      </c>
      <c r="D3721" s="1" t="str">
        <f>"0324A03141"</f>
        <v>0324A03141</v>
      </c>
      <c r="E3721" s="1" t="s">
        <v>14</v>
      </c>
      <c r="F3721" s="1" t="str">
        <f>"10.14.3.38"</f>
        <v>10.14.3.38</v>
      </c>
      <c r="G3721" s="1" t="str">
        <f>"0324A031"</f>
        <v>0324A031</v>
      </c>
      <c r="H3721" s="1" t="str">
        <f>"상원간 18L6R1"</f>
        <v>상원간 18L6R1</v>
      </c>
      <c r="I3721" s="1" t="s">
        <v>17</v>
      </c>
      <c r="J3721" s="1" t="str">
        <f>"0/0"</f>
        <v>0/0</v>
      </c>
      <c r="K3721" s="1" t="str">
        <f>"2025-11-28 07:21:04"</f>
        <v>2025-11-28 07:21:04</v>
      </c>
      <c r="L3721" s="1" t="str">
        <f>"2021-07-13 10:06:15"</f>
        <v>2021-07-13 10:06:15</v>
      </c>
      <c r="M3721" s="1" t="s">
        <v>3</v>
      </c>
      <c r="N3721" s="1" t="s">
        <v>39</v>
      </c>
      <c r="O3721" s="1" t="s">
        <v>46</v>
      </c>
    </row>
    <row r="3722" spans="2:15" x14ac:dyDescent="0.3">
      <c r="B3722" s="1" t="s">
        <v>23</v>
      </c>
      <c r="C3722" s="1" t="str">
        <f>"3차"</f>
        <v>3차</v>
      </c>
      <c r="D3722" s="1" t="str">
        <f>"0324A33139"</f>
        <v>0324A33139</v>
      </c>
      <c r="E3722" s="1" t="str">
        <f>"검침실패(3시간 이상)"</f>
        <v>검침실패(3시간 이상)</v>
      </c>
      <c r="F3722" s="1" t="str">
        <f>"10.11.56.242"</f>
        <v>10.11.56.242</v>
      </c>
      <c r="G3722" s="1" t="str">
        <f>"0324A331"</f>
        <v>0324A331</v>
      </c>
      <c r="H3722" s="1" t="str">
        <f>"상원간 8L5R5"</f>
        <v>상원간 8L5R5</v>
      </c>
      <c r="I3722" s="1" t="s">
        <v>8</v>
      </c>
      <c r="J3722" s="1" t="str">
        <f>"0/4"</f>
        <v>0/4</v>
      </c>
      <c r="K3722" s="1" t="str">
        <f>"2026-07-29 13:18:03"</f>
        <v>2026-07-29 13:18:03</v>
      </c>
      <c r="L3722" s="1" t="str">
        <f>"2018-05-30 11:02:24"</f>
        <v>2018-05-30 11:02:24</v>
      </c>
      <c r="M3722" s="1" t="s">
        <v>2</v>
      </c>
      <c r="N3722" s="1" t="s">
        <v>38</v>
      </c>
      <c r="O3722" s="1" t="s">
        <v>46</v>
      </c>
    </row>
    <row r="3723" spans="2:15" x14ac:dyDescent="0.3">
      <c r="B3723" s="1" t="s">
        <v>23</v>
      </c>
      <c r="C3723" s="1" t="str">
        <f>"6차"</f>
        <v>6차</v>
      </c>
      <c r="D3723" s="1" t="str">
        <f>"0324A4116S"</f>
        <v>0324A4116S</v>
      </c>
      <c r="E3723" s="1" t="s">
        <v>10</v>
      </c>
      <c r="F3723" s="1" t="str">
        <f>"fde1:103:4:9339:0:0:0:2"</f>
        <v>fde1:103:4:9339:0:0:0:2</v>
      </c>
      <c r="G3723" s="1" t="str">
        <f>"0324A411"</f>
        <v>0324A411</v>
      </c>
      <c r="H3723" s="1" t="str">
        <f>"상원간 8L10"</f>
        <v>상원간 8L10</v>
      </c>
      <c r="I3723" s="1" t="s">
        <v>15</v>
      </c>
      <c r="J3723" s="1" t="str">
        <f>"35/35"</f>
        <v>35/35</v>
      </c>
      <c r="K3723" s="1" t="str">
        <f>"2026-07-29 14:21:13"</f>
        <v>2026-07-29 14:21:13</v>
      </c>
      <c r="L3723" s="1" t="str">
        <f>"2025-02-05 16:32:14"</f>
        <v>2025-02-05 16:32:14</v>
      </c>
      <c r="M3723" s="1" t="s">
        <v>4</v>
      </c>
      <c r="N3723" s="1" t="s">
        <v>38</v>
      </c>
      <c r="O3723" s="1" t="s">
        <v>46</v>
      </c>
    </row>
    <row r="3724" spans="2:15" x14ac:dyDescent="0.3">
      <c r="B3724" s="1" t="s">
        <v>23</v>
      </c>
      <c r="C3724" s="1" t="str">
        <f>"1차"</f>
        <v>1차</v>
      </c>
      <c r="D3724" s="1" t="str">
        <f>"0324A41410"</f>
        <v>0324A41410</v>
      </c>
      <c r="E3724" s="1" t="s">
        <v>10</v>
      </c>
      <c r="F3724" s="1" t="str">
        <f>"10.125.1.98"</f>
        <v>10.125.1.98</v>
      </c>
      <c r="G3724" s="1" t="str">
        <f>"0324A414"</f>
        <v>0324A414</v>
      </c>
      <c r="H3724" s="1" t="str">
        <f>"상원간 8L8"</f>
        <v>상원간 8L8</v>
      </c>
      <c r="I3724" s="1" t="s">
        <v>8</v>
      </c>
      <c r="J3724" s="1" t="str">
        <f>"3/3"</f>
        <v>3/3</v>
      </c>
      <c r="K3724" s="1" t="str">
        <f>"2026-07-29 13:18:03"</f>
        <v>2026-07-29 13:18:03</v>
      </c>
      <c r="L3724" s="1" t="str">
        <f>"2017-03-03 10:39:28"</f>
        <v>2017-03-03 10:39:28</v>
      </c>
      <c r="M3724" s="1" t="s">
        <v>45</v>
      </c>
      <c r="N3724" s="1" t="s">
        <v>38</v>
      </c>
      <c r="O3724" s="1" t="s">
        <v>46</v>
      </c>
    </row>
    <row r="3725" spans="2:15" x14ac:dyDescent="0.3">
      <c r="B3725" s="1" t="s">
        <v>23</v>
      </c>
      <c r="C3725" s="1" t="str">
        <f>"4차"</f>
        <v>4차</v>
      </c>
      <c r="D3725" s="1" t="str">
        <f>"0324A44239"</f>
        <v>0324A44239</v>
      </c>
      <c r="E3725" s="1" t="s">
        <v>10</v>
      </c>
      <c r="F3725" s="1" t="str">
        <f>"10.11.59.218"</f>
        <v>10.11.59.218</v>
      </c>
      <c r="G3725" s="1" t="str">
        <f>"0324A442"</f>
        <v>0324A442</v>
      </c>
      <c r="H3725" s="1" t="str">
        <f>"상원간 10L1"</f>
        <v>상원간 10L1</v>
      </c>
      <c r="I3725" s="1" t="s">
        <v>8</v>
      </c>
      <c r="J3725" s="1" t="str">
        <f>"27/29"</f>
        <v>27/29</v>
      </c>
      <c r="K3725" s="1" t="str">
        <f>"2026-07-29 13:18:03"</f>
        <v>2026-07-29 13:18:03</v>
      </c>
      <c r="L3725" s="1" t="str">
        <f>"2018-05-08 12:51:55"</f>
        <v>2018-05-08 12:51:55</v>
      </c>
      <c r="M3725" s="1" t="s">
        <v>2</v>
      </c>
      <c r="N3725" s="1" t="s">
        <v>38</v>
      </c>
      <c r="O3725" s="1" t="s">
        <v>46</v>
      </c>
    </row>
    <row r="3726" spans="2:15" x14ac:dyDescent="0.3">
      <c r="B3726" s="1" t="s">
        <v>23</v>
      </c>
      <c r="C3726" s="1" t="str">
        <f t="shared" ref="C3726:C3731" si="211">"3차"</f>
        <v>3차</v>
      </c>
      <c r="D3726" s="1" t="str">
        <f>"0324A45239"</f>
        <v>0324A45239</v>
      </c>
      <c r="E3726" s="1" t="s">
        <v>10</v>
      </c>
      <c r="F3726" s="1" t="str">
        <f>"10.11.52.235"</f>
        <v>10.11.52.235</v>
      </c>
      <c r="G3726" s="1" t="str">
        <f>"0324A452"</f>
        <v>0324A452</v>
      </c>
      <c r="H3726" s="1" t="str">
        <f>"상원간 10"</f>
        <v>상원간 10</v>
      </c>
      <c r="I3726" s="1" t="s">
        <v>8</v>
      </c>
      <c r="J3726" s="1" t="str">
        <f>"10/11"</f>
        <v>10/11</v>
      </c>
      <c r="K3726" s="1" t="str">
        <f>"2026-07-29 13:18:02"</f>
        <v>2026-07-29 13:18:02</v>
      </c>
      <c r="L3726" s="1" t="str">
        <f>"2018-05-08 13:00:25"</f>
        <v>2018-05-08 13:00:25</v>
      </c>
      <c r="M3726" s="1" t="s">
        <v>2</v>
      </c>
      <c r="N3726" s="1" t="s">
        <v>38</v>
      </c>
      <c r="O3726" s="1" t="s">
        <v>46</v>
      </c>
    </row>
    <row r="3727" spans="2:15" x14ac:dyDescent="0.3">
      <c r="B3727" s="1" t="s">
        <v>23</v>
      </c>
      <c r="C3727" s="1" t="str">
        <f t="shared" si="211"/>
        <v>3차</v>
      </c>
      <c r="D3727" s="1" t="str">
        <f>"0324A53439"</f>
        <v>0324A53439</v>
      </c>
      <c r="E3727" s="1" t="s">
        <v>10</v>
      </c>
      <c r="F3727" s="1" t="str">
        <f>"10.11.59.234"</f>
        <v>10.11.59.234</v>
      </c>
      <c r="G3727" s="1" t="str">
        <f>"0324A534"</f>
        <v>0324A534</v>
      </c>
      <c r="H3727" s="1" t="str">
        <f>"상원간 8L4"</f>
        <v>상원간 8L4</v>
      </c>
      <c r="I3727" s="1" t="s">
        <v>8</v>
      </c>
      <c r="J3727" s="1" t="str">
        <f>"54/65"</f>
        <v>54/65</v>
      </c>
      <c r="K3727" s="1" t="str">
        <f>"2026-07-29 13:18:02"</f>
        <v>2026-07-29 13:18:02</v>
      </c>
      <c r="L3727" s="1" t="str">
        <f>"2018-05-30 11:09:40"</f>
        <v>2018-05-30 11:09:40</v>
      </c>
      <c r="M3727" s="1" t="s">
        <v>2</v>
      </c>
      <c r="N3727" s="1" t="s">
        <v>38</v>
      </c>
      <c r="O3727" s="1" t="s">
        <v>46</v>
      </c>
    </row>
    <row r="3728" spans="2:15" x14ac:dyDescent="0.3">
      <c r="B3728" s="1" t="s">
        <v>23</v>
      </c>
      <c r="C3728" s="1" t="str">
        <f t="shared" si="211"/>
        <v>3차</v>
      </c>
      <c r="D3728" s="1" t="str">
        <f>"0324A64139"</f>
        <v>0324A64139</v>
      </c>
      <c r="E3728" s="1" t="s">
        <v>10</v>
      </c>
      <c r="F3728" s="1" t="str">
        <f>"10.11.59.210"</f>
        <v>10.11.59.210</v>
      </c>
      <c r="G3728" s="1" t="str">
        <f>"0324A641"</f>
        <v>0324A641</v>
      </c>
      <c r="H3728" s="1" t="str">
        <f>"상원간 8"</f>
        <v>상원간 8</v>
      </c>
      <c r="I3728" s="1" t="s">
        <v>8</v>
      </c>
      <c r="J3728" s="1" t="str">
        <f>"5/6"</f>
        <v>5/6</v>
      </c>
      <c r="K3728" s="1" t="str">
        <f>"2026-07-29 13:18:02"</f>
        <v>2026-07-29 13:18:02</v>
      </c>
      <c r="L3728" s="1" t="str">
        <f>"2018-05-08 12:57:57"</f>
        <v>2018-05-08 12:57:57</v>
      </c>
      <c r="M3728" s="1" t="s">
        <v>2</v>
      </c>
      <c r="N3728" s="1" t="s">
        <v>38</v>
      </c>
      <c r="O3728" s="1" t="s">
        <v>46</v>
      </c>
    </row>
    <row r="3729" spans="2:15" x14ac:dyDescent="0.3">
      <c r="B3729" s="1" t="s">
        <v>23</v>
      </c>
      <c r="C3729" s="1" t="str">
        <f t="shared" si="211"/>
        <v>3차</v>
      </c>
      <c r="D3729" s="1" t="str">
        <f>"0324A64232"</f>
        <v>0324A64232</v>
      </c>
      <c r="E3729" s="1" t="s">
        <v>10</v>
      </c>
      <c r="F3729" s="1" t="str">
        <f>"10.12.131.54"</f>
        <v>10.12.131.54</v>
      </c>
      <c r="G3729" s="1" t="str">
        <f>"0324A642"</f>
        <v>0324A642</v>
      </c>
      <c r="H3729" s="1" t="str">
        <f>"상원간 6"</f>
        <v>상원간 6</v>
      </c>
      <c r="I3729" s="1" t="s">
        <v>8</v>
      </c>
      <c r="J3729" s="1" t="str">
        <f>"2/7"</f>
        <v>2/7</v>
      </c>
      <c r="K3729" s="1" t="str">
        <f>"2026-07-29 13:18:02"</f>
        <v>2026-07-29 13:18:02</v>
      </c>
      <c r="L3729" s="1" t="str">
        <f>"2018-06-04 14:56:37"</f>
        <v>2018-06-04 14:56:37</v>
      </c>
      <c r="M3729" s="1" t="s">
        <v>0</v>
      </c>
      <c r="N3729" s="1" t="s">
        <v>38</v>
      </c>
      <c r="O3729" s="1" t="s">
        <v>46</v>
      </c>
    </row>
    <row r="3730" spans="2:15" x14ac:dyDescent="0.3">
      <c r="B3730" s="1" t="s">
        <v>23</v>
      </c>
      <c r="C3730" s="1" t="str">
        <f t="shared" si="211"/>
        <v>3차</v>
      </c>
      <c r="D3730" s="1" t="str">
        <f>"0324A72139"</f>
        <v>0324A72139</v>
      </c>
      <c r="E3730" s="1" t="s">
        <v>10</v>
      </c>
      <c r="F3730" s="1" t="str">
        <f>"10.11.52.242"</f>
        <v>10.11.52.242</v>
      </c>
      <c r="G3730" s="1" t="str">
        <f>"0324A721"</f>
        <v>0324A721</v>
      </c>
      <c r="H3730" s="1" t="str">
        <f>"상원간 5L5"</f>
        <v>상원간 5L5</v>
      </c>
      <c r="I3730" s="1" t="s">
        <v>8</v>
      </c>
      <c r="J3730" s="1" t="str">
        <f>"11/11"</f>
        <v>11/11</v>
      </c>
      <c r="K3730" s="1" t="str">
        <f>"2026-07-29 13:18:02"</f>
        <v>2026-07-29 13:18:02</v>
      </c>
      <c r="L3730" s="1" t="str">
        <f>"2018-05-30 11:03:55"</f>
        <v>2018-05-30 11:03:55</v>
      </c>
      <c r="M3730" s="1" t="s">
        <v>2</v>
      </c>
      <c r="N3730" s="1" t="s">
        <v>38</v>
      </c>
      <c r="O3730" s="1" t="s">
        <v>46</v>
      </c>
    </row>
    <row r="3731" spans="2:15" x14ac:dyDescent="0.3">
      <c r="B3731" s="1" t="s">
        <v>23</v>
      </c>
      <c r="C3731" s="1" t="str">
        <f t="shared" si="211"/>
        <v>3차</v>
      </c>
      <c r="D3731" s="1" t="str">
        <f>"0324A72239"</f>
        <v>0324A72239</v>
      </c>
      <c r="E3731" s="1" t="s">
        <v>10</v>
      </c>
      <c r="F3731" s="1" t="str">
        <f>"10.11.59.226"</f>
        <v>10.11.59.226</v>
      </c>
      <c r="G3731" s="1" t="str">
        <f>"0324A722"</f>
        <v>0324A722</v>
      </c>
      <c r="H3731" s="1" t="str">
        <f>"상원간 5L6"</f>
        <v>상원간 5L6</v>
      </c>
      <c r="I3731" s="1" t="s">
        <v>8</v>
      </c>
      <c r="J3731" s="1" t="str">
        <f>"19/19"</f>
        <v>19/19</v>
      </c>
      <c r="K3731" s="1" t="str">
        <f>"2026-07-29 13:18:01"</f>
        <v>2026-07-29 13:18:01</v>
      </c>
      <c r="L3731" s="1" t="str">
        <f>"2018-05-30 10:55:39"</f>
        <v>2018-05-30 10:55:39</v>
      </c>
      <c r="M3731" s="1" t="s">
        <v>2</v>
      </c>
      <c r="N3731" s="1" t="s">
        <v>38</v>
      </c>
      <c r="O3731" s="1" t="s">
        <v>46</v>
      </c>
    </row>
    <row r="3732" spans="2:15" x14ac:dyDescent="0.3">
      <c r="B3732" s="1" t="s">
        <v>23</v>
      </c>
      <c r="C3732" s="1" t="str">
        <f>"4차"</f>
        <v>4차</v>
      </c>
      <c r="D3732" s="1" t="str">
        <f>"0324A80239"</f>
        <v>0324A80239</v>
      </c>
      <c r="E3732" s="1" t="s">
        <v>10</v>
      </c>
      <c r="F3732" s="1" t="str">
        <f>"10.12.136.12"</f>
        <v>10.12.136.12</v>
      </c>
      <c r="G3732" s="1" t="str">
        <f>"0324A802"</f>
        <v>0324A802</v>
      </c>
      <c r="H3732" s="1" t="str">
        <f>"동이로 16-5"</f>
        <v>동이로 16-5</v>
      </c>
      <c r="I3732" s="1" t="s">
        <v>17</v>
      </c>
      <c r="J3732" s="1" t="str">
        <f>"16/16"</f>
        <v>16/16</v>
      </c>
      <c r="K3732" s="1" t="str">
        <f>"2026-07-29 13:18:04"</f>
        <v>2026-07-29 13:18:04</v>
      </c>
      <c r="L3732" s="1" t="str">
        <f>"2018-05-15 15:16:14"</f>
        <v>2018-05-15 15:16:14</v>
      </c>
      <c r="M3732" s="1" t="s">
        <v>0</v>
      </c>
      <c r="N3732" s="1" t="s">
        <v>38</v>
      </c>
      <c r="O3732" s="1" t="s">
        <v>46</v>
      </c>
    </row>
    <row r="3733" spans="2:15" x14ac:dyDescent="0.3">
      <c r="B3733" s="1" t="s">
        <v>23</v>
      </c>
      <c r="C3733" s="1" t="str">
        <f>"4차"</f>
        <v>4차</v>
      </c>
      <c r="D3733" s="1" t="str">
        <f>"0324A82139"</f>
        <v>0324A82139</v>
      </c>
      <c r="E3733" s="1" t="s">
        <v>10</v>
      </c>
      <c r="F3733" s="1" t="str">
        <f>"10.12.136.24"</f>
        <v>10.12.136.24</v>
      </c>
      <c r="G3733" s="1" t="str">
        <f>"0324A821"</f>
        <v>0324A821</v>
      </c>
      <c r="H3733" s="1" t="str">
        <f>"동이로 16-1"</f>
        <v>동이로 16-1</v>
      </c>
      <c r="I3733" s="1" t="s">
        <v>17</v>
      </c>
      <c r="J3733" s="1" t="str">
        <f>"9/9"</f>
        <v>9/9</v>
      </c>
      <c r="K3733" s="1" t="str">
        <f>"2026-07-29 13:18:03"</f>
        <v>2026-07-29 13:18:03</v>
      </c>
      <c r="L3733" s="1" t="str">
        <f>"2018-07-26 15:04:26"</f>
        <v>2018-07-26 15:04:26</v>
      </c>
      <c r="M3733" s="1" t="s">
        <v>0</v>
      </c>
      <c r="N3733" s="1" t="s">
        <v>38</v>
      </c>
      <c r="O3733" s="1" t="s">
        <v>46</v>
      </c>
    </row>
    <row r="3734" spans="2:15" x14ac:dyDescent="0.3">
      <c r="B3734" s="1" t="s">
        <v>23</v>
      </c>
      <c r="C3734" s="1" t="str">
        <f>"3차"</f>
        <v>3차</v>
      </c>
      <c r="D3734" s="1" t="str">
        <f>"0324A83539"</f>
        <v>0324A83539</v>
      </c>
      <c r="E3734" s="1" t="s">
        <v>10</v>
      </c>
      <c r="F3734" s="1" t="str">
        <f>"10.11.56.122"</f>
        <v>10.11.56.122</v>
      </c>
      <c r="G3734" s="1" t="str">
        <f>"0324A835"</f>
        <v>0324A835</v>
      </c>
      <c r="H3734" s="1" t="str">
        <f>"상원간 2R1"</f>
        <v>상원간 2R1</v>
      </c>
      <c r="I3734" s="1" t="s">
        <v>8</v>
      </c>
      <c r="J3734" s="1" t="str">
        <f>"1/1"</f>
        <v>1/1</v>
      </c>
      <c r="K3734" s="1" t="str">
        <f>"2026-07-29 13:18:01"</f>
        <v>2026-07-29 13:18:01</v>
      </c>
      <c r="L3734" s="1" t="str">
        <f>"2018-05-30 11:18:24"</f>
        <v>2018-05-30 11:18:24</v>
      </c>
      <c r="M3734" s="1" t="s">
        <v>2</v>
      </c>
      <c r="N3734" s="1" t="s">
        <v>38</v>
      </c>
      <c r="O3734" s="1" t="s">
        <v>46</v>
      </c>
    </row>
    <row r="3735" spans="2:15" x14ac:dyDescent="0.3">
      <c r="B3735" s="1" t="s">
        <v>23</v>
      </c>
      <c r="C3735" s="1" t="str">
        <f>"3차"</f>
        <v>3차</v>
      </c>
      <c r="D3735" s="1" t="str">
        <f>"0324A90239"</f>
        <v>0324A90239</v>
      </c>
      <c r="E3735" s="1" t="s">
        <v>10</v>
      </c>
      <c r="F3735" s="1" t="str">
        <f>"10.11.60.66"</f>
        <v>10.11.60.66</v>
      </c>
      <c r="G3735" s="1" t="str">
        <f>"0324A902"</f>
        <v>0324A902</v>
      </c>
      <c r="H3735" s="1" t="str">
        <f>"성노간 20R1L6"</f>
        <v>성노간 20R1L6</v>
      </c>
      <c r="I3735" s="1" t="s">
        <v>8</v>
      </c>
      <c r="J3735" s="1" t="str">
        <f>"13/13"</f>
        <v>13/13</v>
      </c>
      <c r="K3735" s="1" t="str">
        <f>"2026-07-29 13:18:02"</f>
        <v>2026-07-29 13:18:02</v>
      </c>
      <c r="L3735" s="1" t="str">
        <f>"2018-04-27 09:27:10"</f>
        <v>2018-04-27 09:27:10</v>
      </c>
      <c r="M3735" s="1" t="s">
        <v>2</v>
      </c>
      <c r="N3735" s="1" t="s">
        <v>38</v>
      </c>
      <c r="O3735" s="1" t="s">
        <v>46</v>
      </c>
    </row>
    <row r="3736" spans="2:15" x14ac:dyDescent="0.3">
      <c r="B3736" s="1" t="s">
        <v>23</v>
      </c>
      <c r="C3736" s="1" t="str">
        <f>"4차"</f>
        <v>4차</v>
      </c>
      <c r="D3736" s="1" t="str">
        <f>"0324A91139"</f>
        <v>0324A91139</v>
      </c>
      <c r="E3736" s="1" t="s">
        <v>10</v>
      </c>
      <c r="F3736" s="1" t="str">
        <f>"10.12.135.37"</f>
        <v>10.12.135.37</v>
      </c>
      <c r="G3736" s="1" t="str">
        <f>"0324A911"</f>
        <v>0324A911</v>
      </c>
      <c r="H3736" s="1" t="str">
        <f>"동이로 26-4"</f>
        <v>동이로 26-4</v>
      </c>
      <c r="I3736" s="1" t="s">
        <v>17</v>
      </c>
      <c r="J3736" s="1" t="str">
        <f>"5/5"</f>
        <v>5/5</v>
      </c>
      <c r="K3736" s="1" t="str">
        <f>"2026-07-29 13:18:04"</f>
        <v>2026-07-29 13:18:04</v>
      </c>
      <c r="L3736" s="1" t="str">
        <f>"2018-05-15 15:44:30"</f>
        <v>2018-05-15 15:44:30</v>
      </c>
      <c r="M3736" s="1" t="s">
        <v>0</v>
      </c>
      <c r="N3736" s="1" t="s">
        <v>38</v>
      </c>
      <c r="O3736" s="1" t="s">
        <v>46</v>
      </c>
    </row>
    <row r="3737" spans="2:15" x14ac:dyDescent="0.3">
      <c r="B3737" s="1" t="s">
        <v>23</v>
      </c>
      <c r="C3737" s="1" t="str">
        <f>"3차"</f>
        <v>3차</v>
      </c>
      <c r="D3737" s="1" t="str">
        <f>"0324A91239"</f>
        <v>0324A91239</v>
      </c>
      <c r="E3737" s="1" t="s">
        <v>10</v>
      </c>
      <c r="F3737" s="1" t="str">
        <f>"10.11.53.74"</f>
        <v>10.11.53.74</v>
      </c>
      <c r="G3737" s="1" t="str">
        <f>"0324A912"</f>
        <v>0324A912</v>
      </c>
      <c r="H3737" s="1" t="str">
        <f>"성노간 20R1L5"</f>
        <v>성노간 20R1L5</v>
      </c>
      <c r="I3737" s="1" t="s">
        <v>8</v>
      </c>
      <c r="J3737" s="1" t="str">
        <f>"76/76"</f>
        <v>76/76</v>
      </c>
      <c r="K3737" s="1" t="str">
        <f>"2026-07-29 13:18:01"</f>
        <v>2026-07-29 13:18:01</v>
      </c>
      <c r="L3737" s="1" t="str">
        <f>"2018-04-27 09:15:39"</f>
        <v>2018-04-27 09:15:39</v>
      </c>
      <c r="M3737" s="1" t="s">
        <v>2</v>
      </c>
      <c r="N3737" s="1" t="s">
        <v>38</v>
      </c>
      <c r="O3737" s="1" t="s">
        <v>46</v>
      </c>
    </row>
    <row r="3738" spans="2:15" x14ac:dyDescent="0.3">
      <c r="B3738" s="1" t="s">
        <v>23</v>
      </c>
      <c r="C3738" s="1" t="str">
        <f>"3차"</f>
        <v>3차</v>
      </c>
      <c r="D3738" s="1" t="str">
        <f>"0324B01239"</f>
        <v>0324B01239</v>
      </c>
      <c r="E3738" s="1" t="s">
        <v>10</v>
      </c>
      <c r="F3738" s="1" t="str">
        <f>"10.11.53.66"</f>
        <v>10.11.53.66</v>
      </c>
      <c r="G3738" s="1" t="str">
        <f>"0324B012"</f>
        <v>0324B012</v>
      </c>
      <c r="H3738" s="1" t="str">
        <f>"성노간 20R1L4"</f>
        <v>성노간 20R1L4</v>
      </c>
      <c r="I3738" s="1" t="s">
        <v>8</v>
      </c>
      <c r="J3738" s="1" t="str">
        <f>"77/77"</f>
        <v>77/77</v>
      </c>
      <c r="K3738" s="1" t="str">
        <f>"2026-07-29 13:18:02"</f>
        <v>2026-07-29 13:18:02</v>
      </c>
      <c r="L3738" s="1" t="str">
        <f>"2018-04-27 09:28:25"</f>
        <v>2018-04-27 09:28:25</v>
      </c>
      <c r="M3738" s="1" t="s">
        <v>2</v>
      </c>
      <c r="N3738" s="1" t="s">
        <v>38</v>
      </c>
      <c r="O3738" s="1" t="s">
        <v>46</v>
      </c>
    </row>
    <row r="3739" spans="2:15" x14ac:dyDescent="0.3">
      <c r="B3739" s="1" t="s">
        <v>23</v>
      </c>
      <c r="C3739" s="1" t="str">
        <f>"4차"</f>
        <v>4차</v>
      </c>
      <c r="D3739" s="1" t="str">
        <f>"0324B04145"</f>
        <v>0324B04145</v>
      </c>
      <c r="E3739" s="1" t="s">
        <v>10</v>
      </c>
      <c r="F3739" s="1" t="str">
        <f>"10.14.10.57"</f>
        <v>10.14.10.57</v>
      </c>
      <c r="G3739" s="1" t="str">
        <f>"0324B041"</f>
        <v>0324B041</v>
      </c>
      <c r="H3739" s="1" t="str">
        <f>"동이로 17-1"</f>
        <v>동이로 17-1</v>
      </c>
      <c r="I3739" s="1" t="s">
        <v>17</v>
      </c>
      <c r="J3739" s="1" t="str">
        <f>"6/6"</f>
        <v>6/6</v>
      </c>
      <c r="K3739" s="1" t="str">
        <f>"2026-07-29 13:18:02"</f>
        <v>2026-07-29 13:18:02</v>
      </c>
      <c r="L3739" s="1" t="str">
        <f>"2021-06-25 08:50:30"</f>
        <v>2021-06-25 08:50:30</v>
      </c>
      <c r="M3739" s="1" t="s">
        <v>3</v>
      </c>
      <c r="N3739" s="1" t="s">
        <v>38</v>
      </c>
      <c r="O3739" s="1" t="s">
        <v>46</v>
      </c>
    </row>
    <row r="3740" spans="2:15" x14ac:dyDescent="0.3">
      <c r="B3740" s="1" t="s">
        <v>23</v>
      </c>
      <c r="C3740" s="1" t="str">
        <f>"3차"</f>
        <v>3차</v>
      </c>
      <c r="D3740" s="1" t="str">
        <f>"0324B10139"</f>
        <v>0324B10139</v>
      </c>
      <c r="E3740" s="1" t="s">
        <v>10</v>
      </c>
      <c r="F3740" s="1" t="str">
        <f>"10.11.53.42"</f>
        <v>10.11.53.42</v>
      </c>
      <c r="G3740" s="1" t="str">
        <f>"0324B101"</f>
        <v>0324B101</v>
      </c>
      <c r="H3740" s="1" t="str">
        <f>"성노간 20R1L3L1"</f>
        <v>성노간 20R1L3L1</v>
      </c>
      <c r="I3740" s="1" t="s">
        <v>8</v>
      </c>
      <c r="J3740" s="1" t="str">
        <f>"91/91"</f>
        <v>91/91</v>
      </c>
      <c r="K3740" s="1" t="str">
        <f>"2026-07-29 13:18:01"</f>
        <v>2026-07-29 13:18:01</v>
      </c>
      <c r="L3740" s="1" t="str">
        <f>"2018-04-27 15:25:14"</f>
        <v>2018-04-27 15:25:14</v>
      </c>
      <c r="M3740" s="1" t="s">
        <v>2</v>
      </c>
      <c r="N3740" s="1" t="s">
        <v>38</v>
      </c>
      <c r="O3740" s="1" t="s">
        <v>46</v>
      </c>
    </row>
    <row r="3741" spans="2:15" x14ac:dyDescent="0.3">
      <c r="B3741" s="1" t="s">
        <v>23</v>
      </c>
      <c r="C3741" s="1" t="str">
        <f>"4차"</f>
        <v>4차</v>
      </c>
      <c r="D3741" s="1" t="str">
        <f>"0324B12244"</f>
        <v>0324B12244</v>
      </c>
      <c r="E3741" s="1" t="s">
        <v>10</v>
      </c>
      <c r="F3741" s="1" t="str">
        <f>"10.11.66.138"</f>
        <v>10.11.66.138</v>
      </c>
      <c r="G3741" s="1" t="str">
        <f>"0324B122"</f>
        <v>0324B122</v>
      </c>
      <c r="H3741" s="1" t="str">
        <f>"성노간 19"</f>
        <v>성노간 19</v>
      </c>
      <c r="I3741" s="1" t="s">
        <v>8</v>
      </c>
      <c r="J3741" s="1" t="str">
        <f>"36/36"</f>
        <v>36/36</v>
      </c>
      <c r="K3741" s="1" t="str">
        <f>"2026-07-29 13:18:02"</f>
        <v>2026-07-29 13:18:02</v>
      </c>
      <c r="L3741" s="1" t="str">
        <f>"2019-10-29 10:53:05"</f>
        <v>2019-10-29 10:53:05</v>
      </c>
      <c r="M3741" s="1" t="s">
        <v>2</v>
      </c>
      <c r="N3741" s="1" t="s">
        <v>38</v>
      </c>
      <c r="O3741" s="1" t="s">
        <v>46</v>
      </c>
    </row>
    <row r="3742" spans="2:15" x14ac:dyDescent="0.3">
      <c r="B3742" s="1" t="s">
        <v>23</v>
      </c>
      <c r="C3742" s="1" t="str">
        <f>"1차"</f>
        <v>1차</v>
      </c>
      <c r="D3742" s="1" t="str">
        <f>"0324B13101"</f>
        <v>0324B13101</v>
      </c>
      <c r="E3742" s="1" t="s">
        <v>10</v>
      </c>
      <c r="F3742" s="1" t="str">
        <f>"10.12.129.49"</f>
        <v>10.12.129.49</v>
      </c>
      <c r="G3742" s="1" t="str">
        <f>"0324B131"</f>
        <v>0324B131</v>
      </c>
      <c r="H3742" s="1" t="str">
        <f>"성노간 20R2"</f>
        <v>성노간 20R2</v>
      </c>
      <c r="I3742" s="1" t="s">
        <v>8</v>
      </c>
      <c r="J3742" s="1" t="str">
        <f>"82/82"</f>
        <v>82/82</v>
      </c>
      <c r="K3742" s="1" t="str">
        <f>"2026-07-29 13:18:04"</f>
        <v>2026-07-29 13:18:04</v>
      </c>
      <c r="L3742" s="1" t="str">
        <f>"2014-11-10 19:41:31"</f>
        <v>2014-11-10 19:41:31</v>
      </c>
      <c r="M3742" s="1" t="s">
        <v>0</v>
      </c>
      <c r="N3742" s="1" t="s">
        <v>38</v>
      </c>
      <c r="O3742" s="1" t="s">
        <v>46</v>
      </c>
    </row>
    <row r="3743" spans="2:15" x14ac:dyDescent="0.3">
      <c r="B3743" s="1" t="s">
        <v>23</v>
      </c>
      <c r="C3743" s="1" t="str">
        <f>"4차"</f>
        <v>4차</v>
      </c>
      <c r="D3743" s="1" t="str">
        <f>"0324B14144"</f>
        <v>0324B14144</v>
      </c>
      <c r="E3743" s="1" t="s">
        <v>10</v>
      </c>
      <c r="F3743" s="1" t="str">
        <f>"10.125.1.106"</f>
        <v>10.125.1.106</v>
      </c>
      <c r="G3743" s="1" t="str">
        <f>"0324B141"</f>
        <v>0324B141</v>
      </c>
      <c r="H3743" s="1" t="str">
        <f>"성노간 20R3"</f>
        <v>성노간 20R3</v>
      </c>
      <c r="I3743" s="1" t="s">
        <v>8</v>
      </c>
      <c r="J3743" s="1" t="str">
        <f>"47/48"</f>
        <v>47/48</v>
      </c>
      <c r="K3743" s="1" t="str">
        <f>"2026-07-29 13:18:03"</f>
        <v>2026-07-29 13:18:03</v>
      </c>
      <c r="L3743" s="1" t="str">
        <f>"2023-10-16 17:51:52"</f>
        <v>2023-10-16 17:51:52</v>
      </c>
      <c r="M3743" s="1" t="s">
        <v>45</v>
      </c>
      <c r="N3743" s="1" t="s">
        <v>38</v>
      </c>
      <c r="O3743" s="1" t="s">
        <v>46</v>
      </c>
    </row>
    <row r="3744" spans="2:15" x14ac:dyDescent="0.3">
      <c r="B3744" s="1" t="s">
        <v>23</v>
      </c>
      <c r="C3744" s="1" t="str">
        <f>"3차"</f>
        <v>3차</v>
      </c>
      <c r="D3744" s="1" t="str">
        <f>"0324B20339"</f>
        <v>0324B20339</v>
      </c>
      <c r="E3744" s="1" t="s">
        <v>10</v>
      </c>
      <c r="F3744" s="1" t="str">
        <f>"10.11.53.34"</f>
        <v>10.11.53.34</v>
      </c>
      <c r="G3744" s="1" t="str">
        <f>"0324B203"</f>
        <v>0324B203</v>
      </c>
      <c r="H3744" s="1" t="str">
        <f>"성노간 18L2"</f>
        <v>성노간 18L2</v>
      </c>
      <c r="I3744" s="1" t="s">
        <v>8</v>
      </c>
      <c r="J3744" s="1" t="str">
        <f>"52/52"</f>
        <v>52/52</v>
      </c>
      <c r="K3744" s="1" t="str">
        <f>"2026-07-29 13:18:01"</f>
        <v>2026-07-29 13:18:01</v>
      </c>
      <c r="L3744" s="1" t="str">
        <f>"2018-04-28 14:14:13"</f>
        <v>2018-04-28 14:14:13</v>
      </c>
      <c r="M3744" s="1" t="s">
        <v>2</v>
      </c>
      <c r="N3744" s="1" t="s">
        <v>38</v>
      </c>
      <c r="O3744" s="1" t="s">
        <v>46</v>
      </c>
    </row>
    <row r="3745" spans="2:15" x14ac:dyDescent="0.3">
      <c r="B3745" s="1" t="s">
        <v>23</v>
      </c>
      <c r="C3745" s="1" t="str">
        <f>"3차"</f>
        <v>3차</v>
      </c>
      <c r="D3745" s="1" t="str">
        <f>"0324B20439"</f>
        <v>0324B20439</v>
      </c>
      <c r="E3745" s="1" t="s">
        <v>10</v>
      </c>
      <c r="F3745" s="1" t="str">
        <f>"10.11.60.18"</f>
        <v>10.11.60.18</v>
      </c>
      <c r="G3745" s="1" t="str">
        <f>"0324B204"</f>
        <v>0324B204</v>
      </c>
      <c r="H3745" s="1" t="str">
        <f>"성노간 18L3"</f>
        <v>성노간 18L3</v>
      </c>
      <c r="I3745" s="1" t="s">
        <v>8</v>
      </c>
      <c r="J3745" s="1" t="str">
        <f>"40/40"</f>
        <v>40/40</v>
      </c>
      <c r="K3745" s="1" t="str">
        <f>"2026-07-29 13:18:01"</f>
        <v>2026-07-29 13:18:01</v>
      </c>
      <c r="L3745" s="1" t="str">
        <f>"2018-04-27 09:39:25"</f>
        <v>2018-04-27 09:39:25</v>
      </c>
      <c r="M3745" s="1" t="s">
        <v>2</v>
      </c>
      <c r="N3745" s="1" t="s">
        <v>38</v>
      </c>
      <c r="O3745" s="1" t="s">
        <v>46</v>
      </c>
    </row>
    <row r="3746" spans="2:15" x14ac:dyDescent="0.3">
      <c r="B3746" s="1" t="s">
        <v>23</v>
      </c>
      <c r="C3746" s="1" t="str">
        <f>"4차"</f>
        <v>4차</v>
      </c>
      <c r="D3746" s="1" t="str">
        <f>"0324B21139"</f>
        <v>0324B21139</v>
      </c>
      <c r="E3746" s="1" t="s">
        <v>10</v>
      </c>
      <c r="F3746" s="1" t="str">
        <f>"10.11.60.10"</f>
        <v>10.11.60.10</v>
      </c>
      <c r="G3746" s="1" t="str">
        <f>"0324B211"</f>
        <v>0324B211</v>
      </c>
      <c r="H3746" s="1" t="str">
        <f>"성노간 18L1"</f>
        <v>성노간 18L1</v>
      </c>
      <c r="I3746" s="1" t="s">
        <v>8</v>
      </c>
      <c r="J3746" s="1" t="str">
        <f>"31/39"</f>
        <v>31/39</v>
      </c>
      <c r="K3746" s="1" t="str">
        <f>"2026-07-29 13:18:02"</f>
        <v>2026-07-29 13:18:02</v>
      </c>
      <c r="L3746" s="1" t="str">
        <f>"2018-04-27 15:10:42"</f>
        <v>2018-04-27 15:10:42</v>
      </c>
      <c r="M3746" s="1" t="s">
        <v>2</v>
      </c>
      <c r="N3746" s="1" t="s">
        <v>38</v>
      </c>
      <c r="O3746" s="1" t="s">
        <v>46</v>
      </c>
    </row>
    <row r="3747" spans="2:15" x14ac:dyDescent="0.3">
      <c r="B3747" s="1" t="s">
        <v>23</v>
      </c>
      <c r="C3747" s="1" t="str">
        <f>"4차"</f>
        <v>4차</v>
      </c>
      <c r="D3747" s="1" t="str">
        <f>"0324B21339"</f>
        <v>0324B21339</v>
      </c>
      <c r="E3747" s="1" t="s">
        <v>10</v>
      </c>
      <c r="F3747" s="1" t="str">
        <f>"10.12.135.125"</f>
        <v>10.12.135.125</v>
      </c>
      <c r="G3747" s="1" t="str">
        <f>"0324B213"</f>
        <v>0324B213</v>
      </c>
      <c r="H3747" s="1" t="str">
        <f>"패션로 111"</f>
        <v>패션로 111</v>
      </c>
      <c r="I3747" s="1" t="s">
        <v>17</v>
      </c>
      <c r="J3747" s="1" t="str">
        <f>"2/9"</f>
        <v>2/9</v>
      </c>
      <c r="K3747" s="1" t="str">
        <f>"2026-07-29 13:18:04"</f>
        <v>2026-07-29 13:18:04</v>
      </c>
      <c r="L3747" s="1" t="str">
        <f>"2021-12-10 09:14:37"</f>
        <v>2021-12-10 09:14:37</v>
      </c>
      <c r="M3747" s="1" t="s">
        <v>0</v>
      </c>
      <c r="N3747" s="1" t="s">
        <v>38</v>
      </c>
      <c r="O3747" s="1" t="s">
        <v>46</v>
      </c>
    </row>
    <row r="3748" spans="2:15" x14ac:dyDescent="0.3">
      <c r="B3748" s="1" t="s">
        <v>23</v>
      </c>
      <c r="C3748" s="1" t="str">
        <f>"4차"</f>
        <v>4차</v>
      </c>
      <c r="D3748" s="1" t="str">
        <f>"0324B22244"</f>
        <v>0324B22244</v>
      </c>
      <c r="E3748" s="1" t="s">
        <v>10</v>
      </c>
      <c r="F3748" s="1" t="str">
        <f>"10.11.80.90"</f>
        <v>10.11.80.90</v>
      </c>
      <c r="G3748" s="1" t="str">
        <f>"0324B222"</f>
        <v>0324B222</v>
      </c>
      <c r="H3748" s="1" t="str">
        <f>"성노간 16R9L2L6"</f>
        <v>성노간 16R9L2L6</v>
      </c>
      <c r="I3748" s="1" t="s">
        <v>8</v>
      </c>
      <c r="J3748" s="1" t="str">
        <f>"55/55"</f>
        <v>55/55</v>
      </c>
      <c r="K3748" s="1" t="str">
        <f>"2026-07-29 13:18:03"</f>
        <v>2026-07-29 13:18:03</v>
      </c>
      <c r="L3748" s="1" t="str">
        <f>"2023-10-27 09:32:39"</f>
        <v>2023-10-27 09:32:39</v>
      </c>
      <c r="M3748" s="1" t="s">
        <v>2</v>
      </c>
      <c r="N3748" s="1" t="s">
        <v>38</v>
      </c>
      <c r="O3748" s="1" t="s">
        <v>46</v>
      </c>
    </row>
    <row r="3749" spans="2:15" x14ac:dyDescent="0.3">
      <c r="B3749" s="1" t="s">
        <v>23</v>
      </c>
      <c r="C3749" s="1" t="str">
        <f>"6차"</f>
        <v>6차</v>
      </c>
      <c r="D3749" s="1" t="str">
        <f>"0324B2416S"</f>
        <v>0324B2416S</v>
      </c>
      <c r="E3749" s="1" t="s">
        <v>10</v>
      </c>
      <c r="F3749" s="1" t="str">
        <f>"fde1:103:4:92d4:0:0:0:2"</f>
        <v>fde1:103:4:92d4:0:0:0:2</v>
      </c>
      <c r="G3749" s="1" t="str">
        <f>"0324B241"</f>
        <v>0324B241</v>
      </c>
      <c r="H3749" s="1" t="str">
        <f>"성노간 20R4"</f>
        <v>성노간 20R4</v>
      </c>
      <c r="I3749" s="1" t="s">
        <v>15</v>
      </c>
      <c r="J3749" s="1" t="str">
        <f>"84/85"</f>
        <v>84/85</v>
      </c>
      <c r="K3749" s="1" t="str">
        <f>"2026-07-29 14:20:40"</f>
        <v>2026-07-29 14:20:40</v>
      </c>
      <c r="L3749" s="1" t="str">
        <f>"2025-02-24 13:15:07"</f>
        <v>2025-02-24 13:15:07</v>
      </c>
      <c r="M3749" s="1" t="s">
        <v>4</v>
      </c>
      <c r="N3749" s="1" t="s">
        <v>38</v>
      </c>
      <c r="O3749" s="1" t="s">
        <v>46</v>
      </c>
    </row>
    <row r="3750" spans="2:15" x14ac:dyDescent="0.3">
      <c r="B3750" s="1" t="s">
        <v>23</v>
      </c>
      <c r="C3750" s="1" t="str">
        <f>"1차"</f>
        <v>1차</v>
      </c>
      <c r="D3750" s="1" t="str">
        <f>"0324B25300"</f>
        <v>0324B25300</v>
      </c>
      <c r="E3750" s="1" t="s">
        <v>10</v>
      </c>
      <c r="F3750" s="1" t="str">
        <f>"10.125.5.130"</f>
        <v>10.125.5.130</v>
      </c>
      <c r="G3750" s="1" t="str">
        <f>"0324B253"</f>
        <v>0324B253</v>
      </c>
      <c r="H3750" s="1" t="str">
        <f>"성노간 16R9L4L2"</f>
        <v>성노간 16R9L4L2</v>
      </c>
      <c r="I3750" s="1" t="s">
        <v>8</v>
      </c>
      <c r="J3750" s="1" t="str">
        <f>"19/19"</f>
        <v>19/19</v>
      </c>
      <c r="K3750" s="1" t="str">
        <f>"2026-07-29 13:18:02"</f>
        <v>2026-07-29 13:18:02</v>
      </c>
      <c r="L3750" s="1" t="str">
        <f>"2014-11-10 19:41:49"</f>
        <v>2014-11-10 19:41:49</v>
      </c>
      <c r="M3750" s="1" t="s">
        <v>45</v>
      </c>
      <c r="N3750" s="1" t="s">
        <v>38</v>
      </c>
      <c r="O3750" s="1" t="s">
        <v>46</v>
      </c>
    </row>
    <row r="3751" spans="2:15" x14ac:dyDescent="0.3">
      <c r="B3751" s="1" t="s">
        <v>23</v>
      </c>
      <c r="C3751" s="1" t="str">
        <f>"1차"</f>
        <v>1차</v>
      </c>
      <c r="D3751" s="1" t="str">
        <f>"0324B31101"</f>
        <v>0324B31101</v>
      </c>
      <c r="E3751" s="1" t="s">
        <v>10</v>
      </c>
      <c r="F3751" s="1" t="str">
        <f>"10.12.129.85"</f>
        <v>10.12.129.85</v>
      </c>
      <c r="G3751" s="1" t="str">
        <f>"0324B311"</f>
        <v>0324B311</v>
      </c>
      <c r="H3751" s="1" t="str">
        <f>"성노간 17"</f>
        <v>성노간 17</v>
      </c>
      <c r="I3751" s="1" t="s">
        <v>8</v>
      </c>
      <c r="J3751" s="1" t="str">
        <f>"18/25"</f>
        <v>18/25</v>
      </c>
      <c r="K3751" s="1" t="str">
        <f>"2026-07-29 13:18:04"</f>
        <v>2026-07-29 13:18:04</v>
      </c>
      <c r="L3751" s="1" t="str">
        <f>"2015-02-12 11:44:42"</f>
        <v>2015-02-12 11:44:42</v>
      </c>
      <c r="M3751" s="1" t="s">
        <v>0</v>
      </c>
      <c r="N3751" s="1" t="s">
        <v>38</v>
      </c>
      <c r="O3751" s="1" t="s">
        <v>46</v>
      </c>
    </row>
    <row r="3752" spans="2:15" x14ac:dyDescent="0.3">
      <c r="B3752" s="1" t="s">
        <v>23</v>
      </c>
      <c r="C3752" s="1" t="str">
        <f>"6차"</f>
        <v>6차</v>
      </c>
      <c r="D3752" s="1" t="str">
        <f>"0324B3316S"</f>
        <v>0324B3316S</v>
      </c>
      <c r="E3752" s="1" t="s">
        <v>10</v>
      </c>
      <c r="F3752" s="1" t="str">
        <f>"fde1:103:4:c5fe:0:0:0:2"</f>
        <v>fde1:103:4:c5fe:0:0:0:2</v>
      </c>
      <c r="G3752" s="1" t="str">
        <f>"0324B331"</f>
        <v>0324B331</v>
      </c>
      <c r="H3752" s="1" t="str">
        <f>"성노간 16R9L2L3"</f>
        <v>성노간 16R9L2L3</v>
      </c>
      <c r="I3752" s="1" t="s">
        <v>15</v>
      </c>
      <c r="J3752" s="1" t="str">
        <f>"21/21"</f>
        <v>21/21</v>
      </c>
      <c r="K3752" s="1" t="str">
        <f>"2026-07-29 14:20:31"</f>
        <v>2026-07-29 14:20:31</v>
      </c>
      <c r="L3752" s="1" t="str">
        <f>"2024-11-19 16:48:14"</f>
        <v>2024-11-19 16:48:14</v>
      </c>
      <c r="M3752" s="1" t="s">
        <v>4</v>
      </c>
      <c r="N3752" s="1" t="s">
        <v>38</v>
      </c>
      <c r="O3752" s="1" t="s">
        <v>46</v>
      </c>
    </row>
    <row r="3753" spans="2:15" x14ac:dyDescent="0.3">
      <c r="B3753" s="1" t="s">
        <v>23</v>
      </c>
      <c r="C3753" s="1" t="str">
        <f>"6차"</f>
        <v>6차</v>
      </c>
      <c r="D3753" s="1" t="str">
        <f>"0324B3326S"</f>
        <v>0324B3326S</v>
      </c>
      <c r="E3753" s="1" t="s">
        <v>10</v>
      </c>
      <c r="F3753" s="1" t="str">
        <f>"fde1:103:4:c63d:0:0:0:2"</f>
        <v>fde1:103:4:c63d:0:0:0:2</v>
      </c>
      <c r="G3753" s="1" t="str">
        <f>"0324B332"</f>
        <v>0324B332</v>
      </c>
      <c r="H3753" s="1" t="str">
        <f>"성노간 16R9L2L4"</f>
        <v>성노간 16R9L2L4</v>
      </c>
      <c r="I3753" s="1" t="s">
        <v>15</v>
      </c>
      <c r="J3753" s="1" t="str">
        <f>"129/135"</f>
        <v>129/135</v>
      </c>
      <c r="K3753" s="1" t="str">
        <f>"2026-07-29 14:20:38"</f>
        <v>2026-07-29 14:20:38</v>
      </c>
      <c r="L3753" s="1" t="str">
        <f>"2024-11-19 16:44:25"</f>
        <v>2024-11-19 16:44:25</v>
      </c>
      <c r="M3753" s="1" t="s">
        <v>4</v>
      </c>
      <c r="N3753" s="1" t="s">
        <v>38</v>
      </c>
      <c r="O3753" s="1" t="s">
        <v>46</v>
      </c>
    </row>
    <row r="3754" spans="2:15" x14ac:dyDescent="0.3">
      <c r="B3754" s="1" t="s">
        <v>23</v>
      </c>
      <c r="C3754" s="1" t="str">
        <f>"6차"</f>
        <v>6차</v>
      </c>
      <c r="D3754" s="1" t="str">
        <f>"0324B3416S"</f>
        <v>0324B3416S</v>
      </c>
      <c r="E3754" s="1" t="s">
        <v>10</v>
      </c>
      <c r="F3754" s="1" t="str">
        <f>"fde1:103:4:c5ef:0:0:0:2"</f>
        <v>fde1:103:4:c5ef:0:0:0:2</v>
      </c>
      <c r="G3754" s="1" t="str">
        <f>"0324B341"</f>
        <v>0324B341</v>
      </c>
      <c r="H3754" s="1" t="str">
        <f>"성노간 16R9L2L1"</f>
        <v>성노간 16R9L2L1</v>
      </c>
      <c r="I3754" s="1" t="s">
        <v>15</v>
      </c>
      <c r="J3754" s="1" t="str">
        <f>"102/107"</f>
        <v>102/107</v>
      </c>
      <c r="K3754" s="1" t="str">
        <f>"2026-07-29 14:20:58"</f>
        <v>2026-07-29 14:20:58</v>
      </c>
      <c r="L3754" s="1" t="str">
        <f>"2024-11-19 16:44:16"</f>
        <v>2024-11-19 16:44:16</v>
      </c>
      <c r="M3754" s="1" t="s">
        <v>4</v>
      </c>
      <c r="N3754" s="1" t="s">
        <v>38</v>
      </c>
      <c r="O3754" s="1" t="s">
        <v>46</v>
      </c>
    </row>
    <row r="3755" spans="2:15" x14ac:dyDescent="0.3">
      <c r="B3755" s="1" t="s">
        <v>23</v>
      </c>
      <c r="C3755" s="1" t="str">
        <f t="shared" ref="C3755:C3760" si="212">"1차"</f>
        <v>1차</v>
      </c>
      <c r="D3755" s="1" t="str">
        <f>"0324B35101"</f>
        <v>0324B35101</v>
      </c>
      <c r="E3755" s="1" t="s">
        <v>10</v>
      </c>
      <c r="F3755" s="1" t="str">
        <f>"10.14.15.123"</f>
        <v>10.14.15.123</v>
      </c>
      <c r="G3755" s="1" t="str">
        <f>"0324B351"</f>
        <v>0324B351</v>
      </c>
      <c r="H3755" s="1" t="str">
        <f>"성노간 16R9L3"</f>
        <v>성노간 16R9L3</v>
      </c>
      <c r="I3755" s="1" t="s">
        <v>8</v>
      </c>
      <c r="J3755" s="1" t="str">
        <f>"24/24"</f>
        <v>24/24</v>
      </c>
      <c r="K3755" s="1" t="str">
        <f>"2026-07-29 13:18:02"</f>
        <v>2026-07-29 13:18:02</v>
      </c>
      <c r="L3755" s="1" t="str">
        <f>"2014-11-11 00:14:02"</f>
        <v>2014-11-11 00:14:02</v>
      </c>
      <c r="M3755" s="1" t="s">
        <v>3</v>
      </c>
      <c r="N3755" s="1" t="s">
        <v>38</v>
      </c>
      <c r="O3755" s="1" t="s">
        <v>46</v>
      </c>
    </row>
    <row r="3756" spans="2:15" x14ac:dyDescent="0.3">
      <c r="B3756" s="1" t="s">
        <v>23</v>
      </c>
      <c r="C3756" s="1" t="str">
        <f t="shared" si="212"/>
        <v>1차</v>
      </c>
      <c r="D3756" s="1" t="str">
        <f>"0324B41301"</f>
        <v>0324B41301</v>
      </c>
      <c r="E3756" s="1" t="s">
        <v>10</v>
      </c>
      <c r="F3756" s="1" t="str">
        <f>"10.12.131.33"</f>
        <v>10.12.131.33</v>
      </c>
      <c r="G3756" s="1" t="str">
        <f>"0324B413"</f>
        <v>0324B413</v>
      </c>
      <c r="H3756" s="1" t="str">
        <f>"성노간 16R1"</f>
        <v>성노간 16R1</v>
      </c>
      <c r="I3756" s="1" t="s">
        <v>8</v>
      </c>
      <c r="J3756" s="1" t="str">
        <f>"64/64"</f>
        <v>64/64</v>
      </c>
      <c r="K3756" s="1" t="str">
        <f>"2026-07-29 13:18:04"</f>
        <v>2026-07-29 13:18:04</v>
      </c>
      <c r="L3756" s="1" t="str">
        <f>"2014-11-10 19:42:22"</f>
        <v>2014-11-10 19:42:22</v>
      </c>
      <c r="M3756" s="1" t="s">
        <v>0</v>
      </c>
      <c r="N3756" s="1" t="s">
        <v>38</v>
      </c>
      <c r="O3756" s="1" t="s">
        <v>46</v>
      </c>
    </row>
    <row r="3757" spans="2:15" x14ac:dyDescent="0.3">
      <c r="B3757" s="1" t="s">
        <v>23</v>
      </c>
      <c r="C3757" s="1" t="str">
        <f t="shared" si="212"/>
        <v>1차</v>
      </c>
      <c r="D3757" s="1" t="str">
        <f>"0324B41400"</f>
        <v>0324B41400</v>
      </c>
      <c r="E3757" s="1" t="s">
        <v>10</v>
      </c>
      <c r="F3757" s="1" t="str">
        <f>"10.125.1.138"</f>
        <v>10.125.1.138</v>
      </c>
      <c r="G3757" s="1" t="str">
        <f>"0324B414"</f>
        <v>0324B414</v>
      </c>
      <c r="H3757" s="1" t="str">
        <f>"성노간 16R2"</f>
        <v>성노간 16R2</v>
      </c>
      <c r="I3757" s="1" t="s">
        <v>8</v>
      </c>
      <c r="J3757" s="1" t="str">
        <f>"78/78"</f>
        <v>78/78</v>
      </c>
      <c r="K3757" s="1" t="str">
        <f>"2026-07-29 13:18:01"</f>
        <v>2026-07-29 13:18:01</v>
      </c>
      <c r="L3757" s="1" t="str">
        <f>"2014-11-10 19:42:25"</f>
        <v>2014-11-10 19:42:25</v>
      </c>
      <c r="M3757" s="1" t="s">
        <v>45</v>
      </c>
      <c r="N3757" s="1" t="s">
        <v>38</v>
      </c>
      <c r="O3757" s="1" t="s">
        <v>46</v>
      </c>
    </row>
    <row r="3758" spans="2:15" x14ac:dyDescent="0.3">
      <c r="B3758" s="1" t="s">
        <v>23</v>
      </c>
      <c r="C3758" s="1" t="str">
        <f t="shared" si="212"/>
        <v>1차</v>
      </c>
      <c r="D3758" s="1" t="str">
        <f>"0324B42201"</f>
        <v>0324B42201</v>
      </c>
      <c r="E3758" s="1" t="s">
        <v>10</v>
      </c>
      <c r="F3758" s="1" t="str">
        <f>"10.12.130.140"</f>
        <v>10.12.130.140</v>
      </c>
      <c r="G3758" s="1" t="str">
        <f>"0324B422"</f>
        <v>0324B422</v>
      </c>
      <c r="H3758" s="1" t="str">
        <f>"성노간 16R4"</f>
        <v>성노간 16R4</v>
      </c>
      <c r="I3758" s="1" t="s">
        <v>8</v>
      </c>
      <c r="J3758" s="1" t="str">
        <f>"73/73"</f>
        <v>73/73</v>
      </c>
      <c r="K3758" s="1" t="str">
        <f>"2026-07-29 13:18:04"</f>
        <v>2026-07-29 13:18:04</v>
      </c>
      <c r="L3758" s="1" t="str">
        <f>"2014-11-10 19:42:24"</f>
        <v>2014-11-10 19:42:24</v>
      </c>
      <c r="M3758" s="1" t="s">
        <v>0</v>
      </c>
      <c r="N3758" s="1" t="s">
        <v>38</v>
      </c>
      <c r="O3758" s="1" t="s">
        <v>46</v>
      </c>
    </row>
    <row r="3759" spans="2:15" x14ac:dyDescent="0.3">
      <c r="B3759" s="1" t="s">
        <v>23</v>
      </c>
      <c r="C3759" s="1" t="str">
        <f t="shared" si="212"/>
        <v>1차</v>
      </c>
      <c r="D3759" s="1" t="str">
        <f>"0324B43101"</f>
        <v>0324B43101</v>
      </c>
      <c r="E3759" s="1" t="s">
        <v>10</v>
      </c>
      <c r="F3759" s="1" t="str">
        <f>"10.12.131.246"</f>
        <v>10.12.131.246</v>
      </c>
      <c r="G3759" s="1" t="str">
        <f>"0324B431"</f>
        <v>0324B431</v>
      </c>
      <c r="H3759" s="1" t="str">
        <f>"성노간 16R6"</f>
        <v>성노간 16R6</v>
      </c>
      <c r="I3759" s="1" t="s">
        <v>8</v>
      </c>
      <c r="J3759" s="1" t="str">
        <f>"77/77"</f>
        <v>77/77</v>
      </c>
      <c r="K3759" s="1" t="str">
        <f>"2026-07-29 13:18:04"</f>
        <v>2026-07-29 13:18:04</v>
      </c>
      <c r="L3759" s="1" t="str">
        <f>"2015-01-18 00:08:35"</f>
        <v>2015-01-18 00:08:35</v>
      </c>
      <c r="M3759" s="1" t="s">
        <v>0</v>
      </c>
      <c r="N3759" s="1" t="s">
        <v>38</v>
      </c>
      <c r="O3759" s="1" t="s">
        <v>46</v>
      </c>
    </row>
    <row r="3760" spans="2:15" x14ac:dyDescent="0.3">
      <c r="B3760" s="1" t="s">
        <v>23</v>
      </c>
      <c r="C3760" s="1" t="str">
        <f t="shared" si="212"/>
        <v>1차</v>
      </c>
      <c r="D3760" s="1" t="str">
        <f>"0324B45101"</f>
        <v>0324B45101</v>
      </c>
      <c r="E3760" s="1" t="s">
        <v>10</v>
      </c>
      <c r="F3760" s="1" t="str">
        <f>"10.14.1.124"</f>
        <v>10.14.1.124</v>
      </c>
      <c r="G3760" s="1" t="str">
        <f>"0324B451"</f>
        <v>0324B451</v>
      </c>
      <c r="H3760" s="1" t="str">
        <f>"성노간 16R9L1"</f>
        <v>성노간 16R9L1</v>
      </c>
      <c r="I3760" s="1" t="s">
        <v>8</v>
      </c>
      <c r="J3760" s="1" t="str">
        <f>"17/17"</f>
        <v>17/17</v>
      </c>
      <c r="K3760" s="1" t="str">
        <f>"2026-07-29 13:18:04"</f>
        <v>2026-07-29 13:18:04</v>
      </c>
      <c r="L3760" s="1" t="str">
        <f>"2015-02-10 17:54:29"</f>
        <v>2015-02-10 17:54:29</v>
      </c>
      <c r="M3760" s="1" t="s">
        <v>3</v>
      </c>
      <c r="N3760" s="1" t="s">
        <v>38</v>
      </c>
      <c r="O3760" s="1" t="s">
        <v>46</v>
      </c>
    </row>
    <row r="3761" spans="2:15" x14ac:dyDescent="0.3">
      <c r="B3761" s="1" t="s">
        <v>23</v>
      </c>
      <c r="C3761" s="1" t="str">
        <f>"4차"</f>
        <v>4차</v>
      </c>
      <c r="D3761" s="1" t="str">
        <f>"0324B46241"</f>
        <v>0324B46241</v>
      </c>
      <c r="E3761" s="1" t="s">
        <v>10</v>
      </c>
      <c r="F3761" s="1" t="str">
        <f>"10.14.2.40"</f>
        <v>10.14.2.40</v>
      </c>
      <c r="G3761" s="1" t="str">
        <f>"0324B462"</f>
        <v>0324B462</v>
      </c>
      <c r="H3761" s="1" t="str">
        <f>"아남간 17L5"</f>
        <v>아남간 17L5</v>
      </c>
      <c r="I3761" s="1" t="s">
        <v>17</v>
      </c>
      <c r="J3761" s="1" t="str">
        <f>"1/1"</f>
        <v>1/1</v>
      </c>
      <c r="K3761" s="1" t="str">
        <f>"2026-07-29 13:18:04"</f>
        <v>2026-07-29 13:18:04</v>
      </c>
      <c r="L3761" s="1" t="str">
        <f>"2021-07-13 11:26:55"</f>
        <v>2021-07-13 11:26:55</v>
      </c>
      <c r="M3761" s="1" t="s">
        <v>3</v>
      </c>
      <c r="N3761" s="1" t="s">
        <v>38</v>
      </c>
      <c r="O3761" s="1" t="s">
        <v>46</v>
      </c>
    </row>
    <row r="3762" spans="2:15" x14ac:dyDescent="0.3">
      <c r="B3762" s="1" t="s">
        <v>23</v>
      </c>
      <c r="C3762" s="1" t="str">
        <f>"4차"</f>
        <v>4차</v>
      </c>
      <c r="D3762" s="1" t="str">
        <f>"0324B49144"</f>
        <v>0324B49144</v>
      </c>
      <c r="E3762" s="1" t="s">
        <v>10</v>
      </c>
      <c r="F3762" s="1" t="str">
        <f>"10.11.73.122"</f>
        <v>10.11.73.122</v>
      </c>
      <c r="G3762" s="1" t="str">
        <f>"0324B491"</f>
        <v>0324B491</v>
      </c>
      <c r="H3762" s="1" t="str">
        <f>"초원간 62"</f>
        <v>초원간 62</v>
      </c>
      <c r="I3762" s="1" t="s">
        <v>8</v>
      </c>
      <c r="J3762" s="1" t="str">
        <f>"105/111"</f>
        <v>105/111</v>
      </c>
      <c r="K3762" s="1" t="str">
        <f>"2026-07-29 13:18:01"</f>
        <v>2026-07-29 13:18:01</v>
      </c>
      <c r="L3762" s="1" t="str">
        <f>"2019-11-08 17:58:19"</f>
        <v>2019-11-08 17:58:19</v>
      </c>
      <c r="M3762" s="1" t="s">
        <v>2</v>
      </c>
      <c r="N3762" s="1" t="s">
        <v>38</v>
      </c>
      <c r="O3762" s="1" t="s">
        <v>46</v>
      </c>
    </row>
    <row r="3763" spans="2:15" x14ac:dyDescent="0.3">
      <c r="B3763" s="1" t="s">
        <v>23</v>
      </c>
      <c r="C3763" s="1" t="str">
        <f>"4차"</f>
        <v>4차</v>
      </c>
      <c r="D3763" s="1" t="str">
        <f>"0324B49244"</f>
        <v>0324B49244</v>
      </c>
      <c r="E3763" s="1" t="s">
        <v>10</v>
      </c>
      <c r="F3763" s="1" t="str">
        <f>"10.11.73.130"</f>
        <v>10.11.73.130</v>
      </c>
      <c r="G3763" s="1" t="str">
        <f>"0324B492"</f>
        <v>0324B492</v>
      </c>
      <c r="H3763" s="1" t="str">
        <f>"초원간 62L1"</f>
        <v>초원간 62L1</v>
      </c>
      <c r="I3763" s="1" t="s">
        <v>8</v>
      </c>
      <c r="J3763" s="1" t="str">
        <f>"60/60"</f>
        <v>60/60</v>
      </c>
      <c r="K3763" s="1" t="str">
        <f>"2026-07-29 13:18:03"</f>
        <v>2026-07-29 13:18:03</v>
      </c>
      <c r="L3763" s="1" t="str">
        <f>"2019-11-08 18:03:04"</f>
        <v>2019-11-08 18:03:04</v>
      </c>
      <c r="M3763" s="1" t="s">
        <v>2</v>
      </c>
      <c r="N3763" s="1" t="s">
        <v>38</v>
      </c>
      <c r="O3763" s="1" t="s">
        <v>46</v>
      </c>
    </row>
    <row r="3764" spans="2:15" x14ac:dyDescent="0.3">
      <c r="B3764" s="1" t="s">
        <v>23</v>
      </c>
      <c r="C3764" s="1" t="str">
        <f>"1차"</f>
        <v>1차</v>
      </c>
      <c r="D3764" s="1" t="str">
        <f>"0324B50100"</f>
        <v>0324B50100</v>
      </c>
      <c r="E3764" s="1" t="s">
        <v>10</v>
      </c>
      <c r="F3764" s="1" t="str">
        <f>"10.125.1.154"</f>
        <v>10.125.1.154</v>
      </c>
      <c r="G3764" s="1" t="str">
        <f>"0324B501"</f>
        <v>0324B501</v>
      </c>
      <c r="H3764" s="1" t="str">
        <f>"성노간 12"</f>
        <v>성노간 12</v>
      </c>
      <c r="I3764" s="1" t="s">
        <v>8</v>
      </c>
      <c r="J3764" s="1" t="str">
        <f>"39/39"</f>
        <v>39/39</v>
      </c>
      <c r="K3764" s="1" t="str">
        <f>"2026-07-29 13:18:01"</f>
        <v>2026-07-29 13:18:01</v>
      </c>
      <c r="L3764" s="1" t="str">
        <f>"2014-11-10 19:42:25"</f>
        <v>2014-11-10 19:42:25</v>
      </c>
      <c r="M3764" s="1" t="s">
        <v>45</v>
      </c>
      <c r="N3764" s="1" t="s">
        <v>38</v>
      </c>
      <c r="O3764" s="1" t="s">
        <v>46</v>
      </c>
    </row>
    <row r="3765" spans="2:15" x14ac:dyDescent="0.3">
      <c r="B3765" s="1" t="s">
        <v>23</v>
      </c>
      <c r="C3765" s="1" t="str">
        <f>"1차"</f>
        <v>1차</v>
      </c>
      <c r="D3765" s="1" t="str">
        <f>"0324B51301"</f>
        <v>0324B51301</v>
      </c>
      <c r="E3765" s="1" t="s">
        <v>10</v>
      </c>
      <c r="F3765" s="1" t="str">
        <f>"10.12.131.109"</f>
        <v>10.12.131.109</v>
      </c>
      <c r="G3765" s="1" t="str">
        <f>"0324B513"</f>
        <v>0324B513</v>
      </c>
      <c r="H3765" s="1" t="str">
        <f>"성노간 14"</f>
        <v>성노간 14</v>
      </c>
      <c r="I3765" s="1" t="s">
        <v>8</v>
      </c>
      <c r="J3765" s="1" t="str">
        <f>"44/49"</f>
        <v>44/49</v>
      </c>
      <c r="K3765" s="1" t="str">
        <f>"2026-07-29 13:18:02"</f>
        <v>2026-07-29 13:18:02</v>
      </c>
      <c r="L3765" s="1" t="str">
        <f>"2014-11-10 19:42:02"</f>
        <v>2014-11-10 19:42:02</v>
      </c>
      <c r="M3765" s="1" t="s">
        <v>0</v>
      </c>
      <c r="N3765" s="1" t="s">
        <v>38</v>
      </c>
      <c r="O3765" s="1" t="s">
        <v>46</v>
      </c>
    </row>
    <row r="3766" spans="2:15" x14ac:dyDescent="0.3">
      <c r="B3766" s="1" t="s">
        <v>23</v>
      </c>
      <c r="C3766" s="1" t="str">
        <f>"4차"</f>
        <v>4차</v>
      </c>
      <c r="D3766" s="1" t="str">
        <f>"0324B56141"</f>
        <v>0324B56141</v>
      </c>
      <c r="E3766" s="1" t="s">
        <v>10</v>
      </c>
      <c r="F3766" s="1" t="str">
        <f>"10.14.12.37"</f>
        <v>10.14.12.37</v>
      </c>
      <c r="G3766" s="1" t="str">
        <f>"0324B561"</f>
        <v>0324B561</v>
      </c>
      <c r="H3766" s="1" t="str">
        <f>"아남간 17L6"</f>
        <v>아남간 17L6</v>
      </c>
      <c r="I3766" s="1" t="s">
        <v>17</v>
      </c>
      <c r="J3766" s="1" t="str">
        <f>"1/1"</f>
        <v>1/1</v>
      </c>
      <c r="K3766" s="1" t="str">
        <f>"2026-07-29 13:18:01"</f>
        <v>2026-07-29 13:18:01</v>
      </c>
      <c r="L3766" s="1" t="str">
        <f>"2021-10-12 09:25:45"</f>
        <v>2021-10-12 09:25:45</v>
      </c>
      <c r="M3766" s="1" t="s">
        <v>3</v>
      </c>
      <c r="N3766" s="1" t="s">
        <v>38</v>
      </c>
      <c r="O3766" s="1" t="s">
        <v>46</v>
      </c>
    </row>
    <row r="3767" spans="2:15" x14ac:dyDescent="0.3">
      <c r="B3767" s="1" t="s">
        <v>23</v>
      </c>
      <c r="C3767" s="1" t="str">
        <f>"4차"</f>
        <v>4차</v>
      </c>
      <c r="D3767" s="1" t="str">
        <f>"0324B56545"</f>
        <v>0324B56545</v>
      </c>
      <c r="E3767" s="1" t="s">
        <v>10</v>
      </c>
      <c r="F3767" s="1" t="str">
        <f>"10.14.4.55"</f>
        <v>10.14.4.55</v>
      </c>
      <c r="G3767" s="1" t="str">
        <f>"0324B565"</f>
        <v>0324B565</v>
      </c>
      <c r="H3767" s="1" t="str">
        <f>"능동로 67-1"</f>
        <v>능동로 67-1</v>
      </c>
      <c r="I3767" s="1" t="s">
        <v>17</v>
      </c>
      <c r="J3767" s="1" t="str">
        <f>"2/2"</f>
        <v>2/2</v>
      </c>
      <c r="K3767" s="1" t="str">
        <f>"2026-07-29 13:18:04"</f>
        <v>2026-07-29 13:18:04</v>
      </c>
      <c r="L3767" s="1" t="str">
        <f>"2021-06-25 15:40:37"</f>
        <v>2021-06-25 15:40:37</v>
      </c>
      <c r="M3767" s="1" t="s">
        <v>3</v>
      </c>
      <c r="N3767" s="1" t="s">
        <v>38</v>
      </c>
      <c r="O3767" s="1" t="s">
        <v>46</v>
      </c>
    </row>
    <row r="3768" spans="2:15" x14ac:dyDescent="0.3">
      <c r="B3768" s="1" t="s">
        <v>23</v>
      </c>
      <c r="C3768" s="1" t="str">
        <f>"5-1차"</f>
        <v>5-1차</v>
      </c>
      <c r="D3768" s="1" t="str">
        <f>"0324B5915S"</f>
        <v>0324B5915S</v>
      </c>
      <c r="E3768" s="1" t="s">
        <v>10</v>
      </c>
      <c r="F3768" s="1" t="str">
        <f>"fde2:104:0:1ba:0:0:0:2"</f>
        <v>fde2:104:0:1ba:0:0:0:2</v>
      </c>
      <c r="G3768" s="1" t="str">
        <f>"0324B591"</f>
        <v>0324B591</v>
      </c>
      <c r="H3768" s="1" t="str">
        <f>"아남간 15R4"</f>
        <v>아남간 15R4</v>
      </c>
      <c r="I3768" s="1" t="s">
        <v>15</v>
      </c>
      <c r="J3768" s="1" t="str">
        <f>"141/141"</f>
        <v>141/141</v>
      </c>
      <c r="K3768" s="1" t="str">
        <f>"2026-07-29 14:20:16"</f>
        <v>2026-07-29 14:20:16</v>
      </c>
      <c r="L3768" s="1" t="str">
        <f>"2022-11-16 16:58:04"</f>
        <v>2022-11-16 16:58:04</v>
      </c>
      <c r="M3768" s="1" t="s">
        <v>42</v>
      </c>
      <c r="N3768" s="1" t="s">
        <v>38</v>
      </c>
      <c r="O3768" s="1" t="s">
        <v>46</v>
      </c>
    </row>
    <row r="3769" spans="2:15" x14ac:dyDescent="0.3">
      <c r="B3769" s="1" t="s">
        <v>23</v>
      </c>
      <c r="C3769" s="1" t="str">
        <f>"6차"</f>
        <v>6차</v>
      </c>
      <c r="D3769" s="1" t="str">
        <f>"0324B6016S"</f>
        <v>0324B6016S</v>
      </c>
      <c r="E3769" s="1" t="s">
        <v>10</v>
      </c>
      <c r="F3769" s="1" t="str">
        <f>"fde1:103:4:c5b6:0:0:0:2"</f>
        <v>fde1:103:4:c5b6:0:0:0:2</v>
      </c>
      <c r="G3769" s="1" t="str">
        <f>"0324B601"</f>
        <v>0324B601</v>
      </c>
      <c r="H3769" s="1" t="str">
        <f>"성노간 11"</f>
        <v>성노간 11</v>
      </c>
      <c r="I3769" s="1" t="s">
        <v>15</v>
      </c>
      <c r="J3769" s="1" t="str">
        <f>"46/46"</f>
        <v>46/46</v>
      </c>
      <c r="K3769" s="1" t="str">
        <f>"2026-07-29 14:20:14"</f>
        <v>2026-07-29 14:20:14</v>
      </c>
      <c r="L3769" s="1" t="str">
        <f>"2024-11-19 16:43:56"</f>
        <v>2024-11-19 16:43:56</v>
      </c>
      <c r="M3769" s="1" t="s">
        <v>4</v>
      </c>
      <c r="N3769" s="1" t="s">
        <v>38</v>
      </c>
      <c r="O3769" s="1" t="s">
        <v>46</v>
      </c>
    </row>
    <row r="3770" spans="2:15" x14ac:dyDescent="0.3">
      <c r="B3770" s="1" t="s">
        <v>23</v>
      </c>
      <c r="C3770" s="1" t="str">
        <f>"1차"</f>
        <v>1차</v>
      </c>
      <c r="D3770" s="1" t="str">
        <f>"0324B62100"</f>
        <v>0324B62100</v>
      </c>
      <c r="E3770" s="1" t="s">
        <v>10</v>
      </c>
      <c r="F3770" s="1" t="str">
        <f>"10.125.5.138"</f>
        <v>10.125.5.138</v>
      </c>
      <c r="G3770" s="1" t="str">
        <f>"0324B621"</f>
        <v>0324B621</v>
      </c>
      <c r="H3770" s="1" t="str">
        <f>"성노간 12R3"</f>
        <v>성노간 12R3</v>
      </c>
      <c r="I3770" s="1" t="s">
        <v>8</v>
      </c>
      <c r="J3770" s="1" t="str">
        <f>"56/60"</f>
        <v>56/60</v>
      </c>
      <c r="K3770" s="1" t="str">
        <f>"2026-07-29 13:18:03"</f>
        <v>2026-07-29 13:18:03</v>
      </c>
      <c r="L3770" s="1" t="str">
        <f>"2014-11-13 00:14:20"</f>
        <v>2014-11-13 00:14:20</v>
      </c>
      <c r="M3770" s="1" t="s">
        <v>45</v>
      </c>
      <c r="N3770" s="1" t="s">
        <v>38</v>
      </c>
      <c r="O3770" s="1" t="s">
        <v>46</v>
      </c>
    </row>
    <row r="3771" spans="2:15" x14ac:dyDescent="0.3">
      <c r="B3771" s="1" t="s">
        <v>23</v>
      </c>
      <c r="C3771" s="1" t="str">
        <f>"4차"</f>
        <v>4차</v>
      </c>
      <c r="D3771" s="1" t="str">
        <f>"0324B63345"</f>
        <v>0324B63345</v>
      </c>
      <c r="E3771" s="1" t="s">
        <v>10</v>
      </c>
      <c r="F3771" s="1" t="str">
        <f>"10.14.1.53"</f>
        <v>10.14.1.53</v>
      </c>
      <c r="G3771" s="1" t="str">
        <f>"0324B633"</f>
        <v>0324B633</v>
      </c>
      <c r="H3771" s="1" t="str">
        <f>"패션로 12-4"</f>
        <v>패션로 12-4</v>
      </c>
      <c r="I3771" s="1" t="s">
        <v>17</v>
      </c>
      <c r="J3771" s="1" t="str">
        <f>"1/1"</f>
        <v>1/1</v>
      </c>
      <c r="K3771" s="1" t="str">
        <f>"2026-07-29 13:18:04"</f>
        <v>2026-07-29 13:18:04</v>
      </c>
      <c r="L3771" s="1" t="str">
        <f>"2021-06-25 13:18:18"</f>
        <v>2021-06-25 13:18:18</v>
      </c>
      <c r="M3771" s="1" t="s">
        <v>3</v>
      </c>
      <c r="N3771" s="1" t="s">
        <v>38</v>
      </c>
      <c r="O3771" s="1" t="s">
        <v>46</v>
      </c>
    </row>
    <row r="3772" spans="2:15" x14ac:dyDescent="0.3">
      <c r="B3772" s="1" t="s">
        <v>23</v>
      </c>
      <c r="C3772" s="1" t="str">
        <f>"4차"</f>
        <v>4차</v>
      </c>
      <c r="D3772" s="1" t="str">
        <f>"0324B70244"</f>
        <v>0324B70244</v>
      </c>
      <c r="E3772" s="1" t="s">
        <v>10</v>
      </c>
      <c r="F3772" s="1" t="str">
        <f>"10.12.130.169"</f>
        <v>10.12.130.169</v>
      </c>
      <c r="G3772" s="1" t="str">
        <f>"0324B702"</f>
        <v>0324B702</v>
      </c>
      <c r="H3772" s="1" t="str">
        <f>"성노간 10R2"</f>
        <v>성노간 10R2</v>
      </c>
      <c r="I3772" s="1" t="s">
        <v>8</v>
      </c>
      <c r="J3772" s="1" t="str">
        <f>"1/1"</f>
        <v>1/1</v>
      </c>
      <c r="K3772" s="1" t="str">
        <f>"2026-07-29 13:18:02"</f>
        <v>2026-07-29 13:18:02</v>
      </c>
      <c r="L3772" s="1" t="str">
        <f>"2023-10-17 09:30:11"</f>
        <v>2023-10-17 09:30:11</v>
      </c>
      <c r="M3772" s="1" t="s">
        <v>0</v>
      </c>
      <c r="N3772" s="1" t="s">
        <v>38</v>
      </c>
      <c r="O3772" s="1" t="s">
        <v>46</v>
      </c>
    </row>
    <row r="3773" spans="2:15" x14ac:dyDescent="0.3">
      <c r="B3773" s="1" t="s">
        <v>23</v>
      </c>
      <c r="C3773" s="1" t="str">
        <f>"1차"</f>
        <v>1차</v>
      </c>
      <c r="D3773" s="1" t="str">
        <f>"0324B71101"</f>
        <v>0324B71101</v>
      </c>
      <c r="E3773" s="1" t="s">
        <v>10</v>
      </c>
      <c r="F3773" s="1" t="str">
        <f>"10.12.134.58"</f>
        <v>10.12.134.58</v>
      </c>
      <c r="G3773" s="1" t="str">
        <f>"0324B711"</f>
        <v>0324B711</v>
      </c>
      <c r="H3773" s="1" t="str">
        <f>"성노간 7R2L1"</f>
        <v>성노간 7R2L1</v>
      </c>
      <c r="I3773" s="1" t="s">
        <v>8</v>
      </c>
      <c r="J3773" s="1" t="str">
        <f>"26/26"</f>
        <v>26/26</v>
      </c>
      <c r="K3773" s="1" t="str">
        <f>"2026-07-29 13:18:02"</f>
        <v>2026-07-29 13:18:02</v>
      </c>
      <c r="L3773" s="1" t="str">
        <f>"2014-11-11 00:14:32"</f>
        <v>2014-11-11 00:14:32</v>
      </c>
      <c r="M3773" s="1" t="s">
        <v>0</v>
      </c>
      <c r="N3773" s="1" t="s">
        <v>38</v>
      </c>
      <c r="O3773" s="1" t="s">
        <v>46</v>
      </c>
    </row>
    <row r="3774" spans="2:15" x14ac:dyDescent="0.3">
      <c r="B3774" s="1" t="s">
        <v>23</v>
      </c>
      <c r="C3774" s="1" t="str">
        <f>"1차"</f>
        <v>1차</v>
      </c>
      <c r="D3774" s="1" t="str">
        <f>"0324B72101"</f>
        <v>0324B72101</v>
      </c>
      <c r="E3774" s="1" t="s">
        <v>10</v>
      </c>
      <c r="F3774" s="1" t="str">
        <f>"10.125.1.164"</f>
        <v>10.125.1.164</v>
      </c>
      <c r="G3774" s="1" t="str">
        <f>"0324B721"</f>
        <v>0324B721</v>
      </c>
      <c r="H3774" s="1" t="str">
        <f>"성노간 10R6"</f>
        <v>성노간 10R6</v>
      </c>
      <c r="I3774" s="1" t="s">
        <v>8</v>
      </c>
      <c r="J3774" s="1" t="str">
        <f>"35/44"</f>
        <v>35/44</v>
      </c>
      <c r="K3774" s="1" t="str">
        <f>"2026-07-29 13:18:03"</f>
        <v>2026-07-29 13:18:03</v>
      </c>
      <c r="L3774" s="1" t="str">
        <f>"2014-11-11 00:14:25"</f>
        <v>2014-11-11 00:14:25</v>
      </c>
      <c r="M3774" s="1" t="s">
        <v>45</v>
      </c>
      <c r="N3774" s="1" t="s">
        <v>38</v>
      </c>
      <c r="O3774" s="1" t="s">
        <v>46</v>
      </c>
    </row>
    <row r="3775" spans="2:15" x14ac:dyDescent="0.3">
      <c r="B3775" s="1" t="s">
        <v>23</v>
      </c>
      <c r="C3775" s="1" t="str">
        <f>"1차"</f>
        <v>1차</v>
      </c>
      <c r="D3775" s="1" t="str">
        <f>"0324B72200"</f>
        <v>0324B72200</v>
      </c>
      <c r="E3775" s="1" t="s">
        <v>10</v>
      </c>
      <c r="F3775" s="1" t="str">
        <f>"10.125.1.162"</f>
        <v>10.125.1.162</v>
      </c>
      <c r="G3775" s="1" t="str">
        <f>"0324B722"</f>
        <v>0324B722</v>
      </c>
      <c r="H3775" s="1" t="str">
        <f>"성노간 10R4"</f>
        <v>성노간 10R4</v>
      </c>
      <c r="I3775" s="1" t="s">
        <v>8</v>
      </c>
      <c r="J3775" s="1" t="str">
        <f>"12/12"</f>
        <v>12/12</v>
      </c>
      <c r="K3775" s="1" t="str">
        <f>"2026-07-29 13:18:01"</f>
        <v>2026-07-29 13:18:01</v>
      </c>
      <c r="L3775" s="1" t="str">
        <f>"2014-11-12 00:13:23"</f>
        <v>2014-11-12 00:13:23</v>
      </c>
      <c r="M3775" s="1" t="s">
        <v>45</v>
      </c>
      <c r="N3775" s="1" t="s">
        <v>38</v>
      </c>
      <c r="O3775" s="1" t="s">
        <v>46</v>
      </c>
    </row>
    <row r="3776" spans="2:15" x14ac:dyDescent="0.3">
      <c r="B3776" s="1" t="s">
        <v>23</v>
      </c>
      <c r="C3776" s="1" t="str">
        <f>"4차"</f>
        <v>4차</v>
      </c>
      <c r="D3776" s="1" t="str">
        <f>"0324B73145"</f>
        <v>0324B73145</v>
      </c>
      <c r="E3776" s="1" t="s">
        <v>10</v>
      </c>
      <c r="F3776" s="1" t="str">
        <f>"10.14.4.114"</f>
        <v>10.14.4.114</v>
      </c>
      <c r="G3776" s="1" t="str">
        <f>"0324B731"</f>
        <v>0324B731</v>
      </c>
      <c r="H3776" s="1" t="str">
        <f>"패션로 12-3"</f>
        <v>패션로 12-3</v>
      </c>
      <c r="I3776" s="1" t="s">
        <v>17</v>
      </c>
      <c r="J3776" s="1" t="str">
        <f>"5/7"</f>
        <v>5/7</v>
      </c>
      <c r="K3776" s="1" t="str">
        <f>"2026-07-29 13:18:04"</f>
        <v>2026-07-29 13:18:04</v>
      </c>
      <c r="L3776" s="1" t="str">
        <f>"2021-06-25 11:47:59"</f>
        <v>2021-06-25 11:47:59</v>
      </c>
      <c r="M3776" s="1" t="s">
        <v>3</v>
      </c>
      <c r="N3776" s="1" t="s">
        <v>38</v>
      </c>
      <c r="O3776" s="1" t="s">
        <v>46</v>
      </c>
    </row>
    <row r="3777" spans="2:15" x14ac:dyDescent="0.3">
      <c r="B3777" s="1" t="s">
        <v>23</v>
      </c>
      <c r="C3777" s="1" t="str">
        <f>"4차"</f>
        <v>4차</v>
      </c>
      <c r="D3777" s="1" t="str">
        <f>"0324B75739"</f>
        <v>0324B75739</v>
      </c>
      <c r="E3777" s="1" t="s">
        <v>14</v>
      </c>
      <c r="F3777" s="1" t="str">
        <f>"10.12.137.46"</f>
        <v>10.12.137.46</v>
      </c>
      <c r="G3777" s="1" t="str">
        <f>"0324B757"</f>
        <v>0324B757</v>
      </c>
      <c r="H3777" s="1" t="str">
        <f>"구의로 3-1"</f>
        <v>구의로 3-1</v>
      </c>
      <c r="I3777" s="1" t="s">
        <v>17</v>
      </c>
      <c r="J3777" s="1" t="str">
        <f>"0/0"</f>
        <v>0/0</v>
      </c>
      <c r="K3777" s="1" t="str">
        <f>"2026-06-10 07:18:01"</f>
        <v>2026-06-10 07:18:01</v>
      </c>
      <c r="L3777" s="1" t="str">
        <f>"2021-08-02 13:09:26"</f>
        <v>2021-08-02 13:09:26</v>
      </c>
      <c r="M3777" s="1" t="s">
        <v>0</v>
      </c>
      <c r="N3777" s="1" t="s">
        <v>39</v>
      </c>
      <c r="O3777" s="1" t="s">
        <v>46</v>
      </c>
    </row>
    <row r="3778" spans="2:15" x14ac:dyDescent="0.3">
      <c r="B3778" s="1" t="s">
        <v>23</v>
      </c>
      <c r="C3778" s="1" t="str">
        <f>"4차"</f>
        <v>4차</v>
      </c>
      <c r="D3778" s="1" t="str">
        <f>"0324B78139"</f>
        <v>0324B78139</v>
      </c>
      <c r="E3778" s="1" t="s">
        <v>10</v>
      </c>
      <c r="F3778" s="1" t="str">
        <f>"10.12.129.100"</f>
        <v>10.12.129.100</v>
      </c>
      <c r="G3778" s="1" t="str">
        <f>"0324B781"</f>
        <v>0324B781</v>
      </c>
      <c r="H3778" s="1" t="str">
        <f>"아남간 13R3"</f>
        <v>아남간 13R3</v>
      </c>
      <c r="I3778" s="1" t="s">
        <v>8</v>
      </c>
      <c r="J3778" s="1" t="str">
        <f>"35/35"</f>
        <v>35/35</v>
      </c>
      <c r="K3778" s="1" t="str">
        <f>"2026-07-29 13:18:04"</f>
        <v>2026-07-29 13:18:04</v>
      </c>
      <c r="L3778" s="1" t="str">
        <f>"2018-04-17 18:19:30"</f>
        <v>2018-04-17 18:19:30</v>
      </c>
      <c r="M3778" s="1" t="s">
        <v>0</v>
      </c>
      <c r="N3778" s="1" t="s">
        <v>38</v>
      </c>
      <c r="O3778" s="1" t="s">
        <v>46</v>
      </c>
    </row>
    <row r="3779" spans="2:15" x14ac:dyDescent="0.3">
      <c r="B3779" s="1" t="s">
        <v>23</v>
      </c>
      <c r="C3779" s="1" t="str">
        <f>"4차"</f>
        <v>4차</v>
      </c>
      <c r="D3779" s="1" t="str">
        <f>"0324B78239"</f>
        <v>0324B78239</v>
      </c>
      <c r="E3779" s="1" t="s">
        <v>10</v>
      </c>
      <c r="F3779" s="1" t="str">
        <f>"10.11.79.66"</f>
        <v>10.11.79.66</v>
      </c>
      <c r="G3779" s="1" t="str">
        <f>"0324B782"</f>
        <v>0324B782</v>
      </c>
      <c r="H3779" s="1" t="str">
        <f>"아남간 13R4"</f>
        <v>아남간 13R4</v>
      </c>
      <c r="I3779" s="1" t="s">
        <v>8</v>
      </c>
      <c r="J3779" s="1" t="str">
        <f>"111/111"</f>
        <v>111/111</v>
      </c>
      <c r="K3779" s="1" t="str">
        <f>"2026-07-29 13:18:01"</f>
        <v>2026-07-29 13:18:01</v>
      </c>
      <c r="L3779" s="1" t="str">
        <f>"2018-09-13 14:04:42"</f>
        <v>2018-09-13 14:04:42</v>
      </c>
      <c r="M3779" s="1" t="s">
        <v>2</v>
      </c>
      <c r="N3779" s="1" t="s">
        <v>38</v>
      </c>
      <c r="O3779" s="1" t="s">
        <v>46</v>
      </c>
    </row>
    <row r="3780" spans="2:15" x14ac:dyDescent="0.3">
      <c r="B3780" s="1" t="s">
        <v>23</v>
      </c>
      <c r="C3780" s="1" t="str">
        <f>"6차"</f>
        <v>6차</v>
      </c>
      <c r="D3780" s="1" t="str">
        <f>"0324B8026S"</f>
        <v>0324B8026S</v>
      </c>
      <c r="E3780" s="1" t="s">
        <v>10</v>
      </c>
      <c r="F3780" s="1" t="str">
        <f>"fde1:103:4:91d7:0:0:0:2"</f>
        <v>fde1:103:4:91d7:0:0:0:2</v>
      </c>
      <c r="G3780" s="1" t="str">
        <f>"0324B802"</f>
        <v>0324B802</v>
      </c>
      <c r="H3780" s="1" t="str">
        <f>"성노간 7R2"</f>
        <v>성노간 7R2</v>
      </c>
      <c r="I3780" s="1" t="s">
        <v>15</v>
      </c>
      <c r="J3780" s="1" t="str">
        <f>"58/58"</f>
        <v>58/58</v>
      </c>
      <c r="K3780" s="1" t="str">
        <f>"2026-07-29 14:20:58"</f>
        <v>2026-07-29 14:20:58</v>
      </c>
      <c r="L3780" s="1" t="str">
        <f>"2024-10-10 10:48:57"</f>
        <v>2024-10-10 10:48:57</v>
      </c>
      <c r="M3780" s="1" t="s">
        <v>4</v>
      </c>
      <c r="N3780" s="1" t="s">
        <v>38</v>
      </c>
      <c r="O3780" s="1" t="s">
        <v>46</v>
      </c>
    </row>
    <row r="3781" spans="2:15" x14ac:dyDescent="0.3">
      <c r="B3781" s="1" t="s">
        <v>23</v>
      </c>
      <c r="C3781" s="1" t="str">
        <f>"1차"</f>
        <v>1차</v>
      </c>
      <c r="D3781" s="1" t="str">
        <f>"0324B82100"</f>
        <v>0324B82100</v>
      </c>
      <c r="E3781" s="1" t="s">
        <v>10</v>
      </c>
      <c r="F3781" s="1" t="str">
        <f>"10.125.5.146"</f>
        <v>10.125.5.146</v>
      </c>
      <c r="G3781" s="1" t="str">
        <f>"0324B821"</f>
        <v>0324B821</v>
      </c>
      <c r="H3781" s="1" t="str">
        <f>"성노간 7R6"</f>
        <v>성노간 7R6</v>
      </c>
      <c r="I3781" s="1" t="s">
        <v>8</v>
      </c>
      <c r="J3781" s="1" t="str">
        <f>"2/2"</f>
        <v>2/2</v>
      </c>
      <c r="K3781" s="1" t="str">
        <f>"2026-07-29 13:18:01"</f>
        <v>2026-07-29 13:18:01</v>
      </c>
      <c r="L3781" s="1" t="str">
        <f>"2014-11-13 00:14:14"</f>
        <v>2014-11-13 00:14:14</v>
      </c>
      <c r="M3781" s="1" t="s">
        <v>45</v>
      </c>
      <c r="N3781" s="1" t="s">
        <v>38</v>
      </c>
      <c r="O3781" s="1" t="s">
        <v>46</v>
      </c>
    </row>
    <row r="3782" spans="2:15" x14ac:dyDescent="0.3">
      <c r="B3782" s="1" t="s">
        <v>23</v>
      </c>
      <c r="C3782" s="1" t="str">
        <f>"4차"</f>
        <v>4차</v>
      </c>
      <c r="D3782" s="1" t="str">
        <f>"0324B87239"</f>
        <v>0324B87239</v>
      </c>
      <c r="E3782" s="1" t="s">
        <v>10</v>
      </c>
      <c r="F3782" s="1" t="str">
        <f>"10.12.130.64"</f>
        <v>10.12.130.64</v>
      </c>
      <c r="G3782" s="1" t="str">
        <f>"0324B872"</f>
        <v>0324B872</v>
      </c>
      <c r="H3782" s="1" t="str">
        <f>"초원간 34L13L5"</f>
        <v>초원간 34L13L5</v>
      </c>
      <c r="I3782" s="1" t="s">
        <v>17</v>
      </c>
      <c r="J3782" s="1" t="str">
        <f>"26/28"</f>
        <v>26/28</v>
      </c>
      <c r="K3782" s="1" t="str">
        <f>"2026-07-29 13:18:02"</f>
        <v>2026-07-29 13:18:02</v>
      </c>
      <c r="L3782" s="1" t="str">
        <f>"2018-12-27 16:01:00"</f>
        <v>2018-12-27 16:01:00</v>
      </c>
      <c r="M3782" s="1" t="s">
        <v>0</v>
      </c>
      <c r="N3782" s="1" t="s">
        <v>38</v>
      </c>
      <c r="O3782" s="1" t="s">
        <v>46</v>
      </c>
    </row>
    <row r="3783" spans="2:15" x14ac:dyDescent="0.3">
      <c r="B3783" s="1" t="s">
        <v>23</v>
      </c>
      <c r="C3783" s="1" t="str">
        <f>"4차"</f>
        <v>4차</v>
      </c>
      <c r="D3783" s="1" t="str">
        <f>"0324B88239"</f>
        <v>0324B88239</v>
      </c>
      <c r="E3783" s="1" t="s">
        <v>10</v>
      </c>
      <c r="F3783" s="1" t="str">
        <f>"10.11.80.114"</f>
        <v>10.11.80.114</v>
      </c>
      <c r="G3783" s="1" t="str">
        <f>"0324B882"</f>
        <v>0324B882</v>
      </c>
      <c r="H3783" s="1" t="str">
        <f>"초원간 34L13L2"</f>
        <v>초원간 34L13L2</v>
      </c>
      <c r="I3783" s="1" t="s">
        <v>8</v>
      </c>
      <c r="J3783" s="1" t="str">
        <f>"103/123"</f>
        <v>103/123</v>
      </c>
      <c r="K3783" s="1" t="str">
        <f>"2026-07-29 13:18:03"</f>
        <v>2026-07-29 13:18:03</v>
      </c>
      <c r="L3783" s="1" t="str">
        <f>"2018-09-13 13:17:26"</f>
        <v>2018-09-13 13:17:26</v>
      </c>
      <c r="M3783" s="1" t="s">
        <v>2</v>
      </c>
      <c r="N3783" s="1" t="s">
        <v>38</v>
      </c>
      <c r="O3783" s="1" t="s">
        <v>46</v>
      </c>
    </row>
    <row r="3784" spans="2:15" x14ac:dyDescent="0.3">
      <c r="B3784" s="1" t="s">
        <v>23</v>
      </c>
      <c r="C3784" s="1" t="str">
        <f>"4차"</f>
        <v>4차</v>
      </c>
      <c r="D3784" s="1" t="str">
        <f>"0324B89244"</f>
        <v>0324B89244</v>
      </c>
      <c r="E3784" s="1" t="s">
        <v>10</v>
      </c>
      <c r="F3784" s="1" t="str">
        <f>"10.11.71.218"</f>
        <v>10.11.71.218</v>
      </c>
      <c r="G3784" s="1" t="str">
        <f>"0324B892"</f>
        <v>0324B892</v>
      </c>
      <c r="H3784" s="1" t="str">
        <f>"초원간 34L14"</f>
        <v>초원간 34L14</v>
      </c>
      <c r="I3784" s="1" t="s">
        <v>8</v>
      </c>
      <c r="J3784" s="1" t="str">
        <f>"66/67"</f>
        <v>66/67</v>
      </c>
      <c r="K3784" s="1" t="str">
        <f>"2026-07-29 13:18:03"</f>
        <v>2026-07-29 13:18:03</v>
      </c>
      <c r="L3784" s="1" t="str">
        <f>"2019-10-28 17:48:10"</f>
        <v>2019-10-28 17:48:10</v>
      </c>
      <c r="M3784" s="1" t="s">
        <v>2</v>
      </c>
      <c r="N3784" s="1" t="s">
        <v>38</v>
      </c>
      <c r="O3784" s="1" t="s">
        <v>46</v>
      </c>
    </row>
    <row r="3785" spans="2:15" x14ac:dyDescent="0.3">
      <c r="B3785" s="1" t="s">
        <v>23</v>
      </c>
      <c r="C3785" s="1" t="str">
        <f>"1차"</f>
        <v>1차</v>
      </c>
      <c r="D3785" s="1" t="str">
        <f>"0324B91100"</f>
        <v>0324B91100</v>
      </c>
      <c r="E3785" s="1" t="s">
        <v>10</v>
      </c>
      <c r="F3785" s="1" t="str">
        <f>"10.125.5.154"</f>
        <v>10.125.5.154</v>
      </c>
      <c r="G3785" s="1" t="str">
        <f>"0324B911"</f>
        <v>0324B911</v>
      </c>
      <c r="H3785" s="1" t="str">
        <f>"성노간 7R3"</f>
        <v>성노간 7R3</v>
      </c>
      <c r="I3785" s="1" t="s">
        <v>8</v>
      </c>
      <c r="J3785" s="1" t="str">
        <f>"80/80"</f>
        <v>80/80</v>
      </c>
      <c r="K3785" s="1" t="str">
        <f>"2026-07-29 13:18:01"</f>
        <v>2026-07-29 13:18:01</v>
      </c>
      <c r="L3785" s="1" t="str">
        <f>"2014-11-13 00:13:36"</f>
        <v>2014-11-13 00:13:36</v>
      </c>
      <c r="M3785" s="1" t="s">
        <v>45</v>
      </c>
      <c r="N3785" s="1" t="s">
        <v>38</v>
      </c>
      <c r="O3785" s="1" t="s">
        <v>46</v>
      </c>
    </row>
    <row r="3786" spans="2:15" x14ac:dyDescent="0.3">
      <c r="B3786" s="1" t="s">
        <v>23</v>
      </c>
      <c r="C3786" s="1" t="str">
        <f>"4차"</f>
        <v>4차</v>
      </c>
      <c r="D3786" s="1" t="str">
        <f>"0324B91241"</f>
        <v>0324B91241</v>
      </c>
      <c r="E3786" s="1" t="s">
        <v>10</v>
      </c>
      <c r="F3786" s="1" t="str">
        <f>"10.14.2.39"</f>
        <v>10.14.2.39</v>
      </c>
      <c r="G3786" s="1" t="str">
        <f>"0324B912"</f>
        <v>0324B912</v>
      </c>
      <c r="H3786" s="1" t="str">
        <f>"성노간 7R4"</f>
        <v>성노간 7R4</v>
      </c>
      <c r="I3786" s="1" t="s">
        <v>17</v>
      </c>
      <c r="J3786" s="1" t="str">
        <f>"20/20"</f>
        <v>20/20</v>
      </c>
      <c r="K3786" s="1" t="str">
        <f>"2026-07-17 07:18:04"</f>
        <v>2026-07-17 07:18:04</v>
      </c>
      <c r="L3786" s="1" t="str">
        <f>"2021-10-12 08:34:34"</f>
        <v>2021-10-12 08:34:34</v>
      </c>
      <c r="M3786" s="1" t="s">
        <v>3</v>
      </c>
      <c r="N3786" s="1" t="s">
        <v>38</v>
      </c>
      <c r="O3786" s="1" t="s">
        <v>46</v>
      </c>
    </row>
    <row r="3787" spans="2:15" x14ac:dyDescent="0.3">
      <c r="B3787" s="1" t="s">
        <v>23</v>
      </c>
      <c r="C3787" s="1" t="str">
        <f>"4차"</f>
        <v>4차</v>
      </c>
      <c r="D3787" s="1" t="str">
        <f>"0324B93145"</f>
        <v>0324B93145</v>
      </c>
      <c r="E3787" s="1" t="s">
        <v>10</v>
      </c>
      <c r="F3787" s="1" t="str">
        <f>"10.14.13.54"</f>
        <v>10.14.13.54</v>
      </c>
      <c r="G3787" s="1" t="str">
        <f>"0324B931"</f>
        <v>0324B931</v>
      </c>
      <c r="H3787" s="1" t="str">
        <f>"패션로 12-2"</f>
        <v>패션로 12-2</v>
      </c>
      <c r="I3787" s="1" t="s">
        <v>17</v>
      </c>
      <c r="J3787" s="1" t="str">
        <f>"21/31"</f>
        <v>21/31</v>
      </c>
      <c r="K3787" s="1" t="str">
        <f>"2026-07-29 13:18:02"</f>
        <v>2026-07-29 13:18:02</v>
      </c>
      <c r="L3787" s="1" t="str">
        <f>"2021-06-28 15:10:41"</f>
        <v>2021-06-28 15:10:41</v>
      </c>
      <c r="M3787" s="1" t="s">
        <v>3</v>
      </c>
      <c r="N3787" s="1" t="s">
        <v>38</v>
      </c>
      <c r="O3787" s="1" t="s">
        <v>46</v>
      </c>
    </row>
    <row r="3788" spans="2:15" x14ac:dyDescent="0.3">
      <c r="B3788" s="1" t="s">
        <v>23</v>
      </c>
      <c r="C3788" s="1" t="str">
        <f>"4차"</f>
        <v>4차</v>
      </c>
      <c r="D3788" s="1" t="str">
        <f>"0324B97139"</f>
        <v>0324B97139</v>
      </c>
      <c r="E3788" s="1" t="s">
        <v>10</v>
      </c>
      <c r="F3788" s="1" t="str">
        <f>"10.11.80.122"</f>
        <v>10.11.80.122</v>
      </c>
      <c r="G3788" s="1" t="str">
        <f>"0324B971"</f>
        <v>0324B971</v>
      </c>
      <c r="H3788" s="1" t="str">
        <f>"초원간 34L10L4"</f>
        <v>초원간 34L10L4</v>
      </c>
      <c r="I3788" s="1" t="s">
        <v>8</v>
      </c>
      <c r="J3788" s="1" t="str">
        <f>"56/83"</f>
        <v>56/83</v>
      </c>
      <c r="K3788" s="1" t="str">
        <f>"2026-07-29 13:18:03"</f>
        <v>2026-07-29 13:18:03</v>
      </c>
      <c r="L3788" s="1" t="str">
        <f>"2018-09-13 11:38:40"</f>
        <v>2018-09-13 11:38:40</v>
      </c>
      <c r="M3788" s="1" t="s">
        <v>2</v>
      </c>
      <c r="N3788" s="1" t="s">
        <v>38</v>
      </c>
      <c r="O3788" s="1" t="s">
        <v>46</v>
      </c>
    </row>
    <row r="3789" spans="2:15" x14ac:dyDescent="0.3">
      <c r="B3789" s="1" t="s">
        <v>23</v>
      </c>
      <c r="C3789" s="1" t="str">
        <f>"4차"</f>
        <v>4차</v>
      </c>
      <c r="D3789" s="1" t="str">
        <f>"0324B99139"</f>
        <v>0324B99139</v>
      </c>
      <c r="E3789" s="1" t="s">
        <v>10</v>
      </c>
      <c r="F3789" s="1" t="str">
        <f>"10.11.80.130"</f>
        <v>10.11.80.130</v>
      </c>
      <c r="G3789" s="1" t="str">
        <f>"0324B991"</f>
        <v>0324B991</v>
      </c>
      <c r="H3789" s="1" t="str">
        <f>"초원간 34L12"</f>
        <v>초원간 34L12</v>
      </c>
      <c r="I3789" s="1" t="s">
        <v>8</v>
      </c>
      <c r="J3789" s="1" t="str">
        <f>"96/97"</f>
        <v>96/97</v>
      </c>
      <c r="K3789" s="1" t="str">
        <f>"2026-07-29 13:18:01"</f>
        <v>2026-07-29 13:18:01</v>
      </c>
      <c r="L3789" s="1" t="str">
        <f>"2018-09-13 11:48:55"</f>
        <v>2018-09-13 11:48:55</v>
      </c>
      <c r="M3789" s="1" t="s">
        <v>2</v>
      </c>
      <c r="N3789" s="1" t="s">
        <v>38</v>
      </c>
      <c r="O3789" s="1" t="s">
        <v>46</v>
      </c>
    </row>
    <row r="3790" spans="2:15" x14ac:dyDescent="0.3">
      <c r="B3790" s="1" t="s">
        <v>23</v>
      </c>
      <c r="C3790" s="1" t="str">
        <f>"3차"</f>
        <v>3차</v>
      </c>
      <c r="D3790" s="1" t="str">
        <f>"0324B99439"</f>
        <v>0324B99439</v>
      </c>
      <c r="E3790" s="1" t="s">
        <v>10</v>
      </c>
      <c r="F3790" s="1" t="str">
        <f>"10.11.80.138"</f>
        <v>10.11.80.138</v>
      </c>
      <c r="G3790" s="1" t="str">
        <f>"0324B994"</f>
        <v>0324B994</v>
      </c>
      <c r="H3790" s="1" t="str">
        <f>"초원간 34L13L1"</f>
        <v>초원간 34L13L1</v>
      </c>
      <c r="I3790" s="1" t="s">
        <v>8</v>
      </c>
      <c r="J3790" s="1" t="str">
        <f>"28/30"</f>
        <v>28/30</v>
      </c>
      <c r="K3790" s="1" t="str">
        <f>"2026-07-29 13:18:03"</f>
        <v>2026-07-29 13:18:03</v>
      </c>
      <c r="L3790" s="1" t="str">
        <f>"2018-04-17 18:20:45"</f>
        <v>2018-04-17 18:20:45</v>
      </c>
      <c r="M3790" s="1" t="s">
        <v>2</v>
      </c>
      <c r="N3790" s="1" t="s">
        <v>38</v>
      </c>
      <c r="O3790" s="1" t="s">
        <v>46</v>
      </c>
    </row>
    <row r="3791" spans="2:15" x14ac:dyDescent="0.3">
      <c r="B3791" s="1" t="s">
        <v>23</v>
      </c>
      <c r="C3791" s="1" t="str">
        <f>"1차"</f>
        <v>1차</v>
      </c>
      <c r="D3791" s="1" t="str">
        <f>"0324C00101"</f>
        <v>0324C00101</v>
      </c>
      <c r="E3791" s="1" t="s">
        <v>10</v>
      </c>
      <c r="F3791" s="1" t="str">
        <f>"10.14.12.125"</f>
        <v>10.14.12.125</v>
      </c>
      <c r="G3791" s="1" t="str">
        <f>"0324C001"</f>
        <v>0324C001</v>
      </c>
      <c r="H3791" s="1" t="str">
        <f>"수동간 45L1"</f>
        <v>수동간 45L1</v>
      </c>
      <c r="I3791" s="1" t="s">
        <v>8</v>
      </c>
      <c r="J3791" s="1" t="str">
        <f>"9/9"</f>
        <v>9/9</v>
      </c>
      <c r="K3791" s="1" t="str">
        <f>"2026-07-29 13:18:03"</f>
        <v>2026-07-29 13:18:03</v>
      </c>
      <c r="L3791" s="1" t="str">
        <f>"2014-11-11 00:14:08"</f>
        <v>2014-11-11 00:14:08</v>
      </c>
      <c r="M3791" s="1" t="s">
        <v>3</v>
      </c>
      <c r="N3791" s="1" t="s">
        <v>38</v>
      </c>
      <c r="O3791" s="1" t="s">
        <v>46</v>
      </c>
    </row>
    <row r="3792" spans="2:15" x14ac:dyDescent="0.3">
      <c r="B3792" s="1" t="s">
        <v>23</v>
      </c>
      <c r="C3792" s="1" t="str">
        <f>"1차"</f>
        <v>1차</v>
      </c>
      <c r="D3792" s="1" t="str">
        <f>"0324C01100"</f>
        <v>0324C01100</v>
      </c>
      <c r="E3792" s="1" t="s">
        <v>10</v>
      </c>
      <c r="F3792" s="1" t="str">
        <f>"10.125.1.178"</f>
        <v>10.125.1.178</v>
      </c>
      <c r="G3792" s="1" t="str">
        <f>"0324C011"</f>
        <v>0324C011</v>
      </c>
      <c r="H3792" s="1" t="str">
        <f>"수동간 45L2"</f>
        <v>수동간 45L2</v>
      </c>
      <c r="I3792" s="1" t="s">
        <v>8</v>
      </c>
      <c r="J3792" s="1" t="str">
        <f>"54/54"</f>
        <v>54/54</v>
      </c>
      <c r="K3792" s="1" t="str">
        <f>"2026-07-29 13:18:03"</f>
        <v>2026-07-29 13:18:03</v>
      </c>
      <c r="L3792" s="1" t="str">
        <f>"2015-01-13 14:51:50"</f>
        <v>2015-01-13 14:51:50</v>
      </c>
      <c r="M3792" s="1" t="s">
        <v>45</v>
      </c>
      <c r="N3792" s="1" t="s">
        <v>38</v>
      </c>
      <c r="O3792" s="1" t="s">
        <v>46</v>
      </c>
    </row>
    <row r="3793" spans="2:15" x14ac:dyDescent="0.3">
      <c r="B3793" s="1" t="s">
        <v>23</v>
      </c>
      <c r="C3793" s="1" t="str">
        <f>"1차"</f>
        <v>1차</v>
      </c>
      <c r="D3793" s="1" t="str">
        <f>"0324C01201"</f>
        <v>0324C01201</v>
      </c>
      <c r="E3793" s="1" t="s">
        <v>10</v>
      </c>
      <c r="F3793" s="1" t="str">
        <f>"10.14.12.122"</f>
        <v>10.14.12.122</v>
      </c>
      <c r="G3793" s="1" t="str">
        <f>"0324C012"</f>
        <v>0324C012</v>
      </c>
      <c r="H3793" s="1" t="str">
        <f>"수동간 71L2L1"</f>
        <v>수동간 71L2L1</v>
      </c>
      <c r="I3793" s="1" t="s">
        <v>8</v>
      </c>
      <c r="J3793" s="1" t="str">
        <f>"48/48"</f>
        <v>48/48</v>
      </c>
      <c r="K3793" s="1" t="str">
        <f>"2026-07-29 13:18:03"</f>
        <v>2026-07-29 13:18:03</v>
      </c>
      <c r="L3793" s="1" t="str">
        <f>"2014-11-11 00:14:20"</f>
        <v>2014-11-11 00:14:20</v>
      </c>
      <c r="M3793" s="1" t="s">
        <v>3</v>
      </c>
      <c r="N3793" s="1" t="s">
        <v>38</v>
      </c>
      <c r="O3793" s="1" t="s">
        <v>46</v>
      </c>
    </row>
    <row r="3794" spans="2:15" x14ac:dyDescent="0.3">
      <c r="B3794" s="1" t="s">
        <v>23</v>
      </c>
      <c r="C3794" s="1" t="str">
        <f>"5-2차"</f>
        <v>5-2차</v>
      </c>
      <c r="D3794" s="1" t="str">
        <f>"0324C0545M"</f>
        <v>0324C0545M</v>
      </c>
      <c r="E3794" s="1" t="s">
        <v>10</v>
      </c>
      <c r="F3794" s="1" t="str">
        <f>"fde3:102:1440:7300:0:0:0:6"</f>
        <v>fde3:102:1440:7300:0:0:0:6</v>
      </c>
      <c r="G3794" s="1" t="str">
        <f>"0324C054"</f>
        <v>0324C054</v>
      </c>
      <c r="H3794" s="1" t="str">
        <f>"영동간 8R1"</f>
        <v>영동간 8R1</v>
      </c>
      <c r="I3794" s="1" t="s">
        <v>15</v>
      </c>
      <c r="J3794" s="1" t="str">
        <f>"31/31"</f>
        <v>31/31</v>
      </c>
      <c r="K3794" s="1" t="str">
        <f>"2026-07-29 14:20:11"</f>
        <v>2026-07-29 14:20:11</v>
      </c>
      <c r="L3794" s="1" t="str">
        <f>"2023-12-29 08:52:48"</f>
        <v>2023-12-29 08:52:48</v>
      </c>
      <c r="M3794" s="1" t="s">
        <v>45</v>
      </c>
      <c r="N3794" s="1" t="s">
        <v>38</v>
      </c>
      <c r="O3794" s="1" t="s">
        <v>46</v>
      </c>
    </row>
    <row r="3795" spans="2:15" x14ac:dyDescent="0.3">
      <c r="B3795" s="1" t="s">
        <v>23</v>
      </c>
      <c r="C3795" s="1" t="str">
        <f>"5-2차"</f>
        <v>5-2차</v>
      </c>
      <c r="D3795" s="1" t="str">
        <f>"0324C0825M"</f>
        <v>0324C0825M</v>
      </c>
      <c r="E3795" s="1" t="s">
        <v>10</v>
      </c>
      <c r="F3795" s="1" t="str">
        <f>"fde1:103:4:6ea7:0:0:0:2"</f>
        <v>fde1:103:4:6ea7:0:0:0:2</v>
      </c>
      <c r="G3795" s="1" t="str">
        <f>"0324C082"</f>
        <v>0324C082</v>
      </c>
      <c r="H3795" s="1" t="str">
        <f>"뚝도간 9"</f>
        <v>뚝도간 9</v>
      </c>
      <c r="I3795" s="1" t="s">
        <v>15</v>
      </c>
      <c r="J3795" s="1" t="str">
        <f>"53/55"</f>
        <v>53/55</v>
      </c>
      <c r="K3795" s="1" t="str">
        <f>"2026-07-29 14:20:16"</f>
        <v>2026-07-29 14:20:16</v>
      </c>
      <c r="L3795" s="1" t="str">
        <f>"2023-11-14 13:13:03"</f>
        <v>2023-11-14 13:13:03</v>
      </c>
      <c r="M3795" s="1" t="s">
        <v>4</v>
      </c>
      <c r="N3795" s="1" t="s">
        <v>38</v>
      </c>
      <c r="O3795" s="1" t="s">
        <v>46</v>
      </c>
    </row>
    <row r="3796" spans="2:15" x14ac:dyDescent="0.3">
      <c r="B3796" s="1" t="s">
        <v>23</v>
      </c>
      <c r="C3796" s="1" t="str">
        <f>"1차"</f>
        <v>1차</v>
      </c>
      <c r="D3796" s="1" t="str">
        <f>"0324C09200"</f>
        <v>0324C09200</v>
      </c>
      <c r="E3796" s="1" t="s">
        <v>10</v>
      </c>
      <c r="F3796" s="1" t="str">
        <f>"10.125.5.162"</f>
        <v>10.125.5.162</v>
      </c>
      <c r="G3796" s="1" t="str">
        <f>"0324C092"</f>
        <v>0324C092</v>
      </c>
      <c r="H3796" s="1" t="str">
        <f>"상원간 18L12"</f>
        <v>상원간 18L12</v>
      </c>
      <c r="I3796" s="1" t="s">
        <v>8</v>
      </c>
      <c r="J3796" s="1" t="str">
        <f>"29/29"</f>
        <v>29/29</v>
      </c>
      <c r="K3796" s="1" t="str">
        <f>"2026-07-29 13:18:03"</f>
        <v>2026-07-29 13:18:03</v>
      </c>
      <c r="L3796" s="1" t="str">
        <f>"2014-11-13 00:13:35"</f>
        <v>2014-11-13 00:13:35</v>
      </c>
      <c r="M3796" s="1" t="s">
        <v>45</v>
      </c>
      <c r="N3796" s="1" t="s">
        <v>38</v>
      </c>
      <c r="O3796" s="1" t="s">
        <v>46</v>
      </c>
    </row>
    <row r="3797" spans="2:15" x14ac:dyDescent="0.3">
      <c r="B3797" s="1" t="s">
        <v>23</v>
      </c>
      <c r="C3797" s="1" t="str">
        <f>"5-2차"</f>
        <v>5-2차</v>
      </c>
      <c r="D3797" s="1" t="str">
        <f>"0324C1115S"</f>
        <v>0324C1115S</v>
      </c>
      <c r="E3797" s="1" t="s">
        <v>10</v>
      </c>
      <c r="F3797" s="1" t="str">
        <f>"fde3:102:1440:7300:0:0:0:8"</f>
        <v>fde3:102:1440:7300:0:0:0:8</v>
      </c>
      <c r="G3797" s="1" t="str">
        <f>"0324C111"</f>
        <v>0324C111</v>
      </c>
      <c r="H3797" s="1" t="str">
        <f>"수동간 48L2"</f>
        <v>수동간 48L2</v>
      </c>
      <c r="I3797" s="1" t="s">
        <v>15</v>
      </c>
      <c r="J3797" s="1" t="str">
        <f>"61/61"</f>
        <v>61/61</v>
      </c>
      <c r="K3797" s="1" t="str">
        <f>"2026-07-29 14:20:11"</f>
        <v>2026-07-29 14:20:11</v>
      </c>
      <c r="L3797" s="1" t="str">
        <f>"2023-12-02 10:55:09"</f>
        <v>2023-12-02 10:55:09</v>
      </c>
      <c r="M3797" s="1" t="s">
        <v>45</v>
      </c>
      <c r="N3797" s="1" t="s">
        <v>38</v>
      </c>
      <c r="O3797" s="1" t="s">
        <v>46</v>
      </c>
    </row>
    <row r="3798" spans="2:15" x14ac:dyDescent="0.3">
      <c r="B3798" s="1" t="s">
        <v>23</v>
      </c>
      <c r="C3798" s="1" t="str">
        <f>"5-2차"</f>
        <v>5-2차</v>
      </c>
      <c r="D3798" s="1" t="str">
        <f>"0324C1515S"</f>
        <v>0324C1515S</v>
      </c>
      <c r="E3798" s="1" t="s">
        <v>10</v>
      </c>
      <c r="F3798" s="1" t="str">
        <f>"fde3:102:1440:7300:0:0:0:9"</f>
        <v>fde3:102:1440:7300:0:0:0:9</v>
      </c>
      <c r="G3798" s="1" t="str">
        <f>"0324C151"</f>
        <v>0324C151</v>
      </c>
      <c r="H3798" s="1" t="str">
        <f>"영동간 7"</f>
        <v>영동간 7</v>
      </c>
      <c r="I3798" s="1" t="s">
        <v>15</v>
      </c>
      <c r="J3798" s="1" t="str">
        <f>"64/64"</f>
        <v>64/64</v>
      </c>
      <c r="K3798" s="1" t="str">
        <f>"2026-07-29 14:21:14"</f>
        <v>2026-07-29 14:21:14</v>
      </c>
      <c r="L3798" s="1" t="str">
        <f>"2023-12-02 11:16:04"</f>
        <v>2023-12-02 11:16:04</v>
      </c>
      <c r="M3798" s="1" t="s">
        <v>45</v>
      </c>
      <c r="N3798" s="1" t="s">
        <v>38</v>
      </c>
      <c r="O3798" s="1" t="s">
        <v>46</v>
      </c>
    </row>
    <row r="3799" spans="2:15" x14ac:dyDescent="0.3">
      <c r="B3799" s="1" t="s">
        <v>23</v>
      </c>
      <c r="C3799" s="1" t="str">
        <f>"4차"</f>
        <v>4차</v>
      </c>
      <c r="D3799" s="1" t="str">
        <f>"0324C15444"</f>
        <v>0324C15444</v>
      </c>
      <c r="E3799" s="1" t="s">
        <v>10</v>
      </c>
      <c r="F3799" s="1" t="str">
        <f>"10.11.80.146"</f>
        <v>10.11.80.146</v>
      </c>
      <c r="G3799" s="1" t="str">
        <f>"0324C154"</f>
        <v>0324C154</v>
      </c>
      <c r="H3799" s="1" t="str">
        <f>"영동간 6"</f>
        <v>영동간 6</v>
      </c>
      <c r="I3799" s="1" t="s">
        <v>8</v>
      </c>
      <c r="J3799" s="1" t="str">
        <f>"3/6"</f>
        <v>3/6</v>
      </c>
      <c r="K3799" s="1" t="str">
        <f>"2026-07-29 13:18:02"</f>
        <v>2026-07-29 13:18:02</v>
      </c>
      <c r="L3799" s="1" t="str">
        <f>"2023-07-21 17:42:19"</f>
        <v>2023-07-21 17:42:19</v>
      </c>
      <c r="M3799" s="1" t="s">
        <v>2</v>
      </c>
      <c r="N3799" s="1" t="s">
        <v>38</v>
      </c>
      <c r="O3799" s="1" t="s">
        <v>46</v>
      </c>
    </row>
    <row r="3800" spans="2:15" x14ac:dyDescent="0.3">
      <c r="B3800" s="1" t="s">
        <v>23</v>
      </c>
      <c r="C3800" s="1" t="str">
        <f>"5-2차"</f>
        <v>5-2차</v>
      </c>
      <c r="D3800" s="1" t="str">
        <f>"0324C1725M"</f>
        <v>0324C1725M</v>
      </c>
      <c r="E3800" s="1" t="s">
        <v>10</v>
      </c>
      <c r="F3800" s="1" t="str">
        <f>"fde3:102:1440:7300:0:0:0:7"</f>
        <v>fde3:102:1440:7300:0:0:0:7</v>
      </c>
      <c r="G3800" s="1" t="str">
        <f>"0324C172"</f>
        <v>0324C172</v>
      </c>
      <c r="H3800" s="1" t="str">
        <f>"경마간 29L2"</f>
        <v>경마간 29L2</v>
      </c>
      <c r="I3800" s="1" t="s">
        <v>15</v>
      </c>
      <c r="J3800" s="1" t="str">
        <f>"57/57"</f>
        <v>57/57</v>
      </c>
      <c r="K3800" s="1" t="str">
        <f>"2026-07-29 14:20:11"</f>
        <v>2026-07-29 14:20:11</v>
      </c>
      <c r="L3800" s="1" t="str">
        <f>"2024-01-31 13:31:59"</f>
        <v>2024-01-31 13:31:59</v>
      </c>
      <c r="M3800" s="1" t="s">
        <v>45</v>
      </c>
      <c r="N3800" s="1" t="s">
        <v>38</v>
      </c>
      <c r="O3800" s="1" t="s">
        <v>46</v>
      </c>
    </row>
    <row r="3801" spans="2:15" x14ac:dyDescent="0.3">
      <c r="B3801" s="1" t="s">
        <v>23</v>
      </c>
      <c r="C3801" s="1" t="str">
        <f>"4차"</f>
        <v>4차</v>
      </c>
      <c r="D3801" s="1" t="str">
        <f>"0324C22244"</f>
        <v>0324C22244</v>
      </c>
      <c r="E3801" s="1" t="s">
        <v>10</v>
      </c>
      <c r="F3801" s="1" t="str">
        <f>"10.125.1.194"</f>
        <v>10.125.1.194</v>
      </c>
      <c r="G3801" s="1" t="str">
        <f>"0324C222"</f>
        <v>0324C222</v>
      </c>
      <c r="H3801" s="1" t="str">
        <f>"영동간 3L4"</f>
        <v>영동간 3L4</v>
      </c>
      <c r="I3801" s="1" t="s">
        <v>8</v>
      </c>
      <c r="J3801" s="1" t="str">
        <f>"31/31"</f>
        <v>31/31</v>
      </c>
      <c r="K3801" s="1" t="str">
        <f>"2026-07-29 13:18:03"</f>
        <v>2026-07-29 13:18:03</v>
      </c>
      <c r="L3801" s="1" t="str">
        <f>"2023-09-12 17:44:37"</f>
        <v>2023-09-12 17:44:37</v>
      </c>
      <c r="M3801" s="1" t="s">
        <v>45</v>
      </c>
      <c r="N3801" s="1" t="s">
        <v>38</v>
      </c>
      <c r="O3801" s="1" t="s">
        <v>46</v>
      </c>
    </row>
    <row r="3802" spans="2:15" x14ac:dyDescent="0.3">
      <c r="B3802" s="1" t="s">
        <v>23</v>
      </c>
      <c r="C3802" s="1" t="str">
        <f>"4차"</f>
        <v>4차</v>
      </c>
      <c r="D3802" s="1" t="str">
        <f>"0324C24144"</f>
        <v>0324C24144</v>
      </c>
      <c r="E3802" s="1" t="s">
        <v>10</v>
      </c>
      <c r="F3802" s="1" t="str">
        <f>"10.125.1.186"</f>
        <v>10.125.1.186</v>
      </c>
      <c r="G3802" s="1" t="str">
        <f>"0324C241"</f>
        <v>0324C241</v>
      </c>
      <c r="H3802" s="1" t="str">
        <f>"영동간 5"</f>
        <v>영동간 5</v>
      </c>
      <c r="I3802" s="1" t="s">
        <v>8</v>
      </c>
      <c r="J3802" s="1" t="str">
        <f>"18/18"</f>
        <v>18/18</v>
      </c>
      <c r="K3802" s="1" t="str">
        <f>"2026-07-29 13:18:03"</f>
        <v>2026-07-29 13:18:03</v>
      </c>
      <c r="L3802" s="1" t="str">
        <f>"2023-10-18 17:42:13"</f>
        <v>2023-10-18 17:42:13</v>
      </c>
      <c r="M3802" s="1" t="s">
        <v>45</v>
      </c>
      <c r="N3802" s="1" t="s">
        <v>38</v>
      </c>
      <c r="O3802" s="1" t="s">
        <v>46</v>
      </c>
    </row>
    <row r="3803" spans="2:15" x14ac:dyDescent="0.3">
      <c r="B3803" s="1" t="s">
        <v>23</v>
      </c>
      <c r="C3803" s="1" t="str">
        <f>"1차"</f>
        <v>1차</v>
      </c>
      <c r="D3803" s="1" t="str">
        <f>"0324C29101"</f>
        <v>0324C29101</v>
      </c>
      <c r="E3803" s="1" t="s">
        <v>10</v>
      </c>
      <c r="F3803" s="1" t="str">
        <f>"10.125.5.163"</f>
        <v>10.125.5.163</v>
      </c>
      <c r="G3803" s="1" t="str">
        <f>"0324C291"</f>
        <v>0324C291</v>
      </c>
      <c r="H3803" s="1" t="str">
        <f>"상원간 18L14"</f>
        <v>상원간 18L14</v>
      </c>
      <c r="I3803" s="1" t="s">
        <v>8</v>
      </c>
      <c r="J3803" s="1" t="str">
        <f>"38/38"</f>
        <v>38/38</v>
      </c>
      <c r="K3803" s="1" t="str">
        <f>"2026-07-29 13:18:03"</f>
        <v>2026-07-29 13:18:03</v>
      </c>
      <c r="L3803" s="1" t="str">
        <f>"2014-11-14 00:13:41"</f>
        <v>2014-11-14 00:13:41</v>
      </c>
      <c r="M3803" s="1" t="s">
        <v>45</v>
      </c>
      <c r="N3803" s="1" t="s">
        <v>38</v>
      </c>
      <c r="O3803" s="1" t="s">
        <v>46</v>
      </c>
    </row>
    <row r="3804" spans="2:15" x14ac:dyDescent="0.3">
      <c r="B3804" s="1" t="s">
        <v>23</v>
      </c>
      <c r="C3804" s="1" t="str">
        <f>"4차"</f>
        <v>4차</v>
      </c>
      <c r="D3804" s="1" t="str">
        <f>"0324C33244"</f>
        <v>0324C33244</v>
      </c>
      <c r="E3804" s="1" t="s">
        <v>10</v>
      </c>
      <c r="F3804" s="1" t="str">
        <f>"10.12.128.210"</f>
        <v>10.12.128.210</v>
      </c>
      <c r="G3804" s="1" t="str">
        <f>"0324C332"</f>
        <v>0324C332</v>
      </c>
      <c r="H3804" s="1" t="str">
        <f>"영동간 3L3"</f>
        <v>영동간 3L3</v>
      </c>
      <c r="I3804" s="1" t="s">
        <v>8</v>
      </c>
      <c r="J3804" s="1" t="str">
        <f>"18/21"</f>
        <v>18/21</v>
      </c>
      <c r="K3804" s="1" t="str">
        <f>"2026-07-29 07:18:02"</f>
        <v>2026-07-29 07:18:02</v>
      </c>
      <c r="L3804" s="1" t="str">
        <f>"2023-09-12 17:44:06"</f>
        <v>2023-09-12 17:44:06</v>
      </c>
      <c r="M3804" s="1" t="s">
        <v>0</v>
      </c>
      <c r="N3804" s="1" t="s">
        <v>38</v>
      </c>
      <c r="O3804" s="1" t="s">
        <v>46</v>
      </c>
    </row>
    <row r="3805" spans="2:15" x14ac:dyDescent="0.3">
      <c r="B3805" s="1" t="s">
        <v>23</v>
      </c>
      <c r="C3805" s="1" t="str">
        <f>"4차"</f>
        <v>4차</v>
      </c>
      <c r="D3805" s="1" t="str">
        <f>"0324C33344"</f>
        <v>0324C33344</v>
      </c>
      <c r="E3805" s="1" t="s">
        <v>10</v>
      </c>
      <c r="F3805" s="1" t="str">
        <f>"10.125.1.202"</f>
        <v>10.125.1.202</v>
      </c>
      <c r="G3805" s="1" t="str">
        <f>"0324C333"</f>
        <v>0324C333</v>
      </c>
      <c r="H3805" s="1" t="str">
        <f>"영동간 3L2"</f>
        <v>영동간 3L2</v>
      </c>
      <c r="I3805" s="1" t="s">
        <v>8</v>
      </c>
      <c r="J3805" s="1" t="str">
        <f>"92/96"</f>
        <v>92/96</v>
      </c>
      <c r="K3805" s="1" t="str">
        <f>"2026-07-29 13:18:03"</f>
        <v>2026-07-29 13:18:03</v>
      </c>
      <c r="L3805" s="1" t="str">
        <f>"2023-09-12 17:44:26"</f>
        <v>2023-09-12 17:44:26</v>
      </c>
      <c r="M3805" s="1" t="s">
        <v>45</v>
      </c>
      <c r="N3805" s="1" t="s">
        <v>38</v>
      </c>
      <c r="O3805" s="1" t="s">
        <v>46</v>
      </c>
    </row>
    <row r="3806" spans="2:15" x14ac:dyDescent="0.3">
      <c r="B3806" s="1" t="s">
        <v>23</v>
      </c>
      <c r="C3806" s="1" t="str">
        <f>"4차"</f>
        <v>4차</v>
      </c>
      <c r="D3806" s="1" t="str">
        <f>"0324C35239"</f>
        <v>0324C35239</v>
      </c>
      <c r="E3806" s="1" t="s">
        <v>10</v>
      </c>
      <c r="F3806" s="1" t="str">
        <f>"10.12.130.40"</f>
        <v>10.12.130.40</v>
      </c>
      <c r="G3806" s="1" t="str">
        <f>"0324C352"</f>
        <v>0324C352</v>
      </c>
      <c r="H3806" s="1" t="str">
        <f>"경마간 26L5"</f>
        <v>경마간 26L5</v>
      </c>
      <c r="I3806" s="1" t="s">
        <v>17</v>
      </c>
      <c r="J3806" s="1" t="str">
        <f>"30/30"</f>
        <v>30/30</v>
      </c>
      <c r="K3806" s="1" t="str">
        <f>"2026-07-29 13:18:03"</f>
        <v>2026-07-29 13:18:03</v>
      </c>
      <c r="L3806" s="1" t="str">
        <f>"2020-11-17 15:14:07"</f>
        <v>2020-11-17 15:14:07</v>
      </c>
      <c r="M3806" s="1" t="s">
        <v>0</v>
      </c>
      <c r="N3806" s="1" t="s">
        <v>38</v>
      </c>
      <c r="O3806" s="1" t="s">
        <v>46</v>
      </c>
    </row>
    <row r="3807" spans="2:15" x14ac:dyDescent="0.3">
      <c r="B3807" s="1" t="s">
        <v>23</v>
      </c>
      <c r="C3807" s="1" t="str">
        <f>"1차"</f>
        <v>1차</v>
      </c>
      <c r="D3807" s="1" t="str">
        <f>"0324C37400"</f>
        <v>0324C37400</v>
      </c>
      <c r="E3807" s="1" t="s">
        <v>10</v>
      </c>
      <c r="F3807" s="1" t="str">
        <f>"10.125.5.186"</f>
        <v>10.125.5.186</v>
      </c>
      <c r="G3807" s="1" t="str">
        <f>"0324C374"</f>
        <v>0324C374</v>
      </c>
      <c r="H3807" s="1" t="str">
        <f>"경마간 27"</f>
        <v>경마간 27</v>
      </c>
      <c r="I3807" s="1" t="s">
        <v>8</v>
      </c>
      <c r="J3807" s="1" t="str">
        <f>"22/22"</f>
        <v>22/22</v>
      </c>
      <c r="K3807" s="1" t="str">
        <f>"2026-07-29 13:18:03"</f>
        <v>2026-07-29 13:18:03</v>
      </c>
      <c r="L3807" s="1" t="str">
        <f>"2014-11-13 00:13:40"</f>
        <v>2014-11-13 00:13:40</v>
      </c>
      <c r="M3807" s="1" t="s">
        <v>45</v>
      </c>
      <c r="N3807" s="1" t="s">
        <v>38</v>
      </c>
      <c r="O3807" s="1" t="s">
        <v>46</v>
      </c>
    </row>
    <row r="3808" spans="2:15" x14ac:dyDescent="0.3">
      <c r="B3808" s="1" t="s">
        <v>23</v>
      </c>
      <c r="C3808" s="1" t="str">
        <f>"4차"</f>
        <v>4차</v>
      </c>
      <c r="D3808" s="1" t="str">
        <f>"0324C43339"</f>
        <v>0324C43339</v>
      </c>
      <c r="E3808" s="1" t="s">
        <v>14</v>
      </c>
      <c r="F3808" s="1" t="str">
        <f>"10.12.136.23"</f>
        <v>10.12.136.23</v>
      </c>
      <c r="G3808" s="1" t="str">
        <f>"0324C433"</f>
        <v>0324C433</v>
      </c>
      <c r="H3808" s="1" t="str">
        <f>"동이로 10-1"</f>
        <v>동이로 10-1</v>
      </c>
      <c r="I3808" s="1" t="s">
        <v>17</v>
      </c>
      <c r="J3808" s="1" t="str">
        <f>"0/0"</f>
        <v>0/0</v>
      </c>
      <c r="K3808" s="1" t="str">
        <f>"2026-06-10 07:18:02"</f>
        <v>2026-06-10 07:18:02</v>
      </c>
      <c r="L3808" s="1" t="str">
        <f>"2018-07-12 17:59:50"</f>
        <v>2018-07-12 17:59:50</v>
      </c>
      <c r="M3808" s="1" t="s">
        <v>0</v>
      </c>
      <c r="N3808" s="1" t="s">
        <v>39</v>
      </c>
      <c r="O3808" s="1" t="s">
        <v>46</v>
      </c>
    </row>
    <row r="3809" spans="2:15" x14ac:dyDescent="0.3">
      <c r="B3809" s="1" t="s">
        <v>23</v>
      </c>
      <c r="C3809" s="1" t="str">
        <f>"1차"</f>
        <v>1차</v>
      </c>
      <c r="D3809" s="1" t="str">
        <f>"0324C48600"</f>
        <v>0324C48600</v>
      </c>
      <c r="E3809" s="1" t="s">
        <v>10</v>
      </c>
      <c r="F3809" s="1" t="str">
        <f>"10.125.5.194"</f>
        <v>10.125.5.194</v>
      </c>
      <c r="G3809" s="1" t="str">
        <f>"0324C486"</f>
        <v>0324C486</v>
      </c>
      <c r="H3809" s="1" t="str">
        <f>"뚝도간 2R1"</f>
        <v>뚝도간 2R1</v>
      </c>
      <c r="I3809" s="1" t="s">
        <v>8</v>
      </c>
      <c r="J3809" s="1" t="str">
        <f>"36/36"</f>
        <v>36/36</v>
      </c>
      <c r="K3809" s="1" t="str">
        <f>"2026-07-29 13:18:03"</f>
        <v>2026-07-29 13:18:03</v>
      </c>
      <c r="L3809" s="1" t="str">
        <f>"2021-07-27 11:06:53"</f>
        <v>2021-07-27 11:06:53</v>
      </c>
      <c r="M3809" s="1" t="s">
        <v>45</v>
      </c>
      <c r="N3809" s="1" t="s">
        <v>38</v>
      </c>
      <c r="O3809" s="1" t="s">
        <v>46</v>
      </c>
    </row>
    <row r="3810" spans="2:15" x14ac:dyDescent="0.3">
      <c r="B3810" s="1" t="s">
        <v>23</v>
      </c>
      <c r="C3810" s="1" t="str">
        <f>"3차"</f>
        <v>3차</v>
      </c>
      <c r="D3810" s="1" t="str">
        <f>"0324C51139"</f>
        <v>0324C51139</v>
      </c>
      <c r="E3810" s="1" t="s">
        <v>10</v>
      </c>
      <c r="F3810" s="1" t="str">
        <f>"10.11.80.162"</f>
        <v>10.11.80.162</v>
      </c>
      <c r="G3810" s="1" t="str">
        <f>"0324C511"</f>
        <v>0324C511</v>
      </c>
      <c r="H3810" s="1" t="str">
        <f>"한성간 26R5R4"</f>
        <v>한성간 26R5R4</v>
      </c>
      <c r="I3810" s="1" t="s">
        <v>8</v>
      </c>
      <c r="J3810" s="1" t="str">
        <f>"41/41"</f>
        <v>41/41</v>
      </c>
      <c r="K3810" s="1" t="str">
        <f>"2026-07-29 13:18:02"</f>
        <v>2026-07-29 13:18:02</v>
      </c>
      <c r="L3810" s="1" t="str">
        <f>"2018-06-08 08:35:27"</f>
        <v>2018-06-08 08:35:27</v>
      </c>
      <c r="M3810" s="1" t="s">
        <v>2</v>
      </c>
      <c r="N3810" s="1" t="s">
        <v>38</v>
      </c>
      <c r="O3810" s="1" t="s">
        <v>46</v>
      </c>
    </row>
    <row r="3811" spans="2:15" x14ac:dyDescent="0.3">
      <c r="B3811" s="1" t="s">
        <v>23</v>
      </c>
      <c r="C3811" s="1" t="str">
        <f t="shared" ref="C3811:C3816" si="213">"4차"</f>
        <v>4차</v>
      </c>
      <c r="D3811" s="1" t="str">
        <f>"0324C55139"</f>
        <v>0324C55139</v>
      </c>
      <c r="E3811" s="1" t="s">
        <v>10</v>
      </c>
      <c r="F3811" s="1" t="str">
        <f>"10.12.136.14"</f>
        <v>10.12.136.14</v>
      </c>
      <c r="G3811" s="1" t="str">
        <f>"0324C551"</f>
        <v>0324C551</v>
      </c>
      <c r="H3811" s="1" t="str">
        <f>"동이로 11-1"</f>
        <v>동이로 11-1</v>
      </c>
      <c r="I3811" s="1" t="s">
        <v>17</v>
      </c>
      <c r="J3811" s="1" t="str">
        <f>"5/5"</f>
        <v>5/5</v>
      </c>
      <c r="K3811" s="1" t="str">
        <f>"2026-07-29 13:18:04"</f>
        <v>2026-07-29 13:18:04</v>
      </c>
      <c r="L3811" s="1" t="str">
        <f>"2018-05-15 07:16:55"</f>
        <v>2018-05-15 07:16:55</v>
      </c>
      <c r="M3811" s="1" t="s">
        <v>0</v>
      </c>
      <c r="N3811" s="1" t="s">
        <v>38</v>
      </c>
      <c r="O3811" s="1" t="s">
        <v>46</v>
      </c>
    </row>
    <row r="3812" spans="2:15" x14ac:dyDescent="0.3">
      <c r="B3812" s="1" t="s">
        <v>23</v>
      </c>
      <c r="C3812" s="1" t="str">
        <f t="shared" si="213"/>
        <v>4차</v>
      </c>
      <c r="D3812" s="1" t="str">
        <f>"0324C60244"</f>
        <v>0324C60244</v>
      </c>
      <c r="E3812" s="1" t="s">
        <v>10</v>
      </c>
      <c r="F3812" s="1" t="str">
        <f>"10.11.74.50"</f>
        <v>10.11.74.50</v>
      </c>
      <c r="G3812" s="1" t="str">
        <f>"0324C602"</f>
        <v>0324C602</v>
      </c>
      <c r="H3812" s="1" t="str">
        <f>"한성간 26R5R3"</f>
        <v>한성간 26R5R3</v>
      </c>
      <c r="I3812" s="1" t="s">
        <v>8</v>
      </c>
      <c r="J3812" s="1" t="str">
        <f>"34/35"</f>
        <v>34/35</v>
      </c>
      <c r="K3812" s="1" t="str">
        <f>"2026-07-29 13:18:02"</f>
        <v>2026-07-29 13:18:02</v>
      </c>
      <c r="L3812" s="1" t="str">
        <f>"2019-11-13 11:27:29"</f>
        <v>2019-11-13 11:27:29</v>
      </c>
      <c r="M3812" s="1" t="s">
        <v>2</v>
      </c>
      <c r="N3812" s="1" t="s">
        <v>38</v>
      </c>
      <c r="O3812" s="1" t="s">
        <v>46</v>
      </c>
    </row>
    <row r="3813" spans="2:15" x14ac:dyDescent="0.3">
      <c r="B3813" s="1" t="s">
        <v>23</v>
      </c>
      <c r="C3813" s="1" t="str">
        <f t="shared" si="213"/>
        <v>4차</v>
      </c>
      <c r="D3813" s="1" t="str">
        <f>"0324C62144"</f>
        <v>0324C62144</v>
      </c>
      <c r="E3813" s="1" t="s">
        <v>10</v>
      </c>
      <c r="F3813" s="1" t="str">
        <f>"10.11.74.18"</f>
        <v>10.11.74.18</v>
      </c>
      <c r="G3813" s="1" t="str">
        <f>"0324C621"</f>
        <v>0324C621</v>
      </c>
      <c r="H3813" s="1" t="str">
        <f>"한성간 24R9"</f>
        <v>한성간 24R9</v>
      </c>
      <c r="I3813" s="1" t="s">
        <v>8</v>
      </c>
      <c r="J3813" s="1" t="str">
        <f>"19/19"</f>
        <v>19/19</v>
      </c>
      <c r="K3813" s="1" t="str">
        <f>"2026-07-29 13:18:02"</f>
        <v>2026-07-29 13:18:02</v>
      </c>
      <c r="L3813" s="1" t="str">
        <f>"2019-11-08 09:46:15"</f>
        <v>2019-11-08 09:46:15</v>
      </c>
      <c r="M3813" s="1" t="s">
        <v>2</v>
      </c>
      <c r="N3813" s="1" t="s">
        <v>38</v>
      </c>
      <c r="O3813" s="1" t="s">
        <v>46</v>
      </c>
    </row>
    <row r="3814" spans="2:15" x14ac:dyDescent="0.3">
      <c r="B3814" s="1" t="s">
        <v>23</v>
      </c>
      <c r="C3814" s="1" t="str">
        <f t="shared" si="213"/>
        <v>4차</v>
      </c>
      <c r="D3814" s="1" t="str">
        <f>"0324C62244"</f>
        <v>0324C62244</v>
      </c>
      <c r="E3814" s="1" t="s">
        <v>10</v>
      </c>
      <c r="F3814" s="1" t="str">
        <f>"10.11.74.10"</f>
        <v>10.11.74.10</v>
      </c>
      <c r="G3814" s="1" t="str">
        <f>"0324C622"</f>
        <v>0324C622</v>
      </c>
      <c r="H3814" s="1" t="str">
        <f>"한성간 24R8"</f>
        <v>한성간 24R8</v>
      </c>
      <c r="I3814" s="1" t="s">
        <v>8</v>
      </c>
      <c r="J3814" s="1" t="str">
        <f>"42/44"</f>
        <v>42/44</v>
      </c>
      <c r="K3814" s="1" t="str">
        <f>"2026-07-29 13:18:02"</f>
        <v>2026-07-29 13:18:02</v>
      </c>
      <c r="L3814" s="1" t="str">
        <f>"2019-11-08 09:43:03"</f>
        <v>2019-11-08 09:43:03</v>
      </c>
      <c r="M3814" s="1" t="s">
        <v>2</v>
      </c>
      <c r="N3814" s="1" t="s">
        <v>38</v>
      </c>
      <c r="O3814" s="1" t="s">
        <v>46</v>
      </c>
    </row>
    <row r="3815" spans="2:15" x14ac:dyDescent="0.3">
      <c r="B3815" s="1" t="s">
        <v>23</v>
      </c>
      <c r="C3815" s="1" t="str">
        <f t="shared" si="213"/>
        <v>4차</v>
      </c>
      <c r="D3815" s="1" t="str">
        <f>"0324C71144"</f>
        <v>0324C71144</v>
      </c>
      <c r="E3815" s="1" t="s">
        <v>10</v>
      </c>
      <c r="F3815" s="1" t="str">
        <f>"10.11.74.2"</f>
        <v>10.11.74.2</v>
      </c>
      <c r="G3815" s="1" t="str">
        <f>"0324C711"</f>
        <v>0324C711</v>
      </c>
      <c r="H3815" s="1" t="str">
        <f>"한성간 24R6"</f>
        <v>한성간 24R6</v>
      </c>
      <c r="I3815" s="1" t="s">
        <v>8</v>
      </c>
      <c r="J3815" s="1" t="str">
        <f>"38/38"</f>
        <v>38/38</v>
      </c>
      <c r="K3815" s="1" t="str">
        <f>"2026-07-29 13:18:03"</f>
        <v>2026-07-29 13:18:03</v>
      </c>
      <c r="L3815" s="1" t="str">
        <f>"2019-11-08 09:32:58"</f>
        <v>2019-11-08 09:32:58</v>
      </c>
      <c r="M3815" s="1" t="s">
        <v>2</v>
      </c>
      <c r="N3815" s="1" t="s">
        <v>38</v>
      </c>
      <c r="O3815" s="1" t="s">
        <v>46</v>
      </c>
    </row>
    <row r="3816" spans="2:15" x14ac:dyDescent="0.3">
      <c r="B3816" s="1" t="s">
        <v>23</v>
      </c>
      <c r="C3816" s="1" t="str">
        <f t="shared" si="213"/>
        <v>4차</v>
      </c>
      <c r="D3816" s="1" t="str">
        <f>"0324C73144"</f>
        <v>0324C73144</v>
      </c>
      <c r="E3816" s="1" t="s">
        <v>10</v>
      </c>
      <c r="F3816" s="1" t="str">
        <f>"10.11.73.226"</f>
        <v>10.11.73.226</v>
      </c>
      <c r="G3816" s="1" t="str">
        <f>"0324C731"</f>
        <v>0324C731</v>
      </c>
      <c r="H3816" s="1" t="str">
        <f>"한성간 24R11"</f>
        <v>한성간 24R11</v>
      </c>
      <c r="I3816" s="1" t="s">
        <v>8</v>
      </c>
      <c r="J3816" s="1" t="str">
        <f>"11/11"</f>
        <v>11/11</v>
      </c>
      <c r="K3816" s="1" t="str">
        <f>"2026-07-29 13:18:03"</f>
        <v>2026-07-29 13:18:03</v>
      </c>
      <c r="L3816" s="1" t="str">
        <f>"2019-11-08 09:14:14"</f>
        <v>2019-11-08 09:14:14</v>
      </c>
      <c r="M3816" s="1" t="s">
        <v>2</v>
      </c>
      <c r="N3816" s="1" t="s">
        <v>38</v>
      </c>
      <c r="O3816" s="1" t="s">
        <v>46</v>
      </c>
    </row>
    <row r="3817" spans="2:15" x14ac:dyDescent="0.3">
      <c r="B3817" s="1" t="s">
        <v>23</v>
      </c>
      <c r="C3817" s="1" t="str">
        <f>"6차"</f>
        <v>6차</v>
      </c>
      <c r="D3817" s="1" t="str">
        <f>"0324C7326S"</f>
        <v>0324C7326S</v>
      </c>
      <c r="E3817" s="1" t="s">
        <v>10</v>
      </c>
      <c r="F3817" s="1" t="str">
        <f>"fde1:103:4:c6ef:0:0:0:2"</f>
        <v>fde1:103:4:c6ef:0:0:0:2</v>
      </c>
      <c r="G3817" s="1" t="str">
        <f>"0324C732"</f>
        <v>0324C732</v>
      </c>
      <c r="H3817" s="1" t="str">
        <f>"한성간 24R11R1"</f>
        <v>한성간 24R11R1</v>
      </c>
      <c r="I3817" s="1" t="s">
        <v>15</v>
      </c>
      <c r="J3817" s="1" t="str">
        <f>"50/50"</f>
        <v>50/50</v>
      </c>
      <c r="K3817" s="1" t="str">
        <f>"2026-07-29 14:20:12"</f>
        <v>2026-07-29 14:20:12</v>
      </c>
      <c r="L3817" s="1" t="str">
        <f>"2024-12-10 15:44:35"</f>
        <v>2024-12-10 15:44:35</v>
      </c>
      <c r="M3817" s="1" t="s">
        <v>4</v>
      </c>
      <c r="N3817" s="1" t="s">
        <v>38</v>
      </c>
      <c r="O3817" s="1" t="s">
        <v>46</v>
      </c>
    </row>
    <row r="3818" spans="2:15" x14ac:dyDescent="0.3">
      <c r="B3818" s="1" t="s">
        <v>23</v>
      </c>
      <c r="C3818" s="1" t="str">
        <f>"4차"</f>
        <v>4차</v>
      </c>
      <c r="D3818" s="1" t="str">
        <f>"0324C73344"</f>
        <v>0324C73344</v>
      </c>
      <c r="E3818" s="1" t="s">
        <v>10</v>
      </c>
      <c r="F3818" s="1" t="str">
        <f>"10.11.78.26"</f>
        <v>10.11.78.26</v>
      </c>
      <c r="G3818" s="1" t="str">
        <f>"0324C733"</f>
        <v>0324C733</v>
      </c>
      <c r="H3818" s="1" t="str">
        <f>"한성간 24R12"</f>
        <v>한성간 24R12</v>
      </c>
      <c r="I3818" s="1" t="s">
        <v>8</v>
      </c>
      <c r="J3818" s="1" t="str">
        <f>"20/20"</f>
        <v>20/20</v>
      </c>
      <c r="K3818" s="1" t="str">
        <f t="shared" ref="K3818:K3823" si="214">"2026-07-29 13:18:03"</f>
        <v>2026-07-29 13:18:03</v>
      </c>
      <c r="L3818" s="1" t="str">
        <f>"2021-07-28 16:36:50"</f>
        <v>2021-07-28 16:36:50</v>
      </c>
      <c r="M3818" s="1" t="s">
        <v>2</v>
      </c>
      <c r="N3818" s="1" t="s">
        <v>38</v>
      </c>
      <c r="O3818" s="1" t="s">
        <v>46</v>
      </c>
    </row>
    <row r="3819" spans="2:15" x14ac:dyDescent="0.3">
      <c r="B3819" s="1" t="s">
        <v>23</v>
      </c>
      <c r="C3819" s="1" t="str">
        <f>"3차"</f>
        <v>3차</v>
      </c>
      <c r="D3819" s="1" t="str">
        <f>"0324C74139"</f>
        <v>0324C74139</v>
      </c>
      <c r="E3819" s="1" t="s">
        <v>10</v>
      </c>
      <c r="F3819" s="1" t="str">
        <f>"10.125.113.2"</f>
        <v>10.125.113.2</v>
      </c>
      <c r="G3819" s="1" t="str">
        <f>"0324C741"</f>
        <v>0324C741</v>
      </c>
      <c r="H3819" s="1" t="str">
        <f>"한성간 18R7"</f>
        <v>한성간 18R7</v>
      </c>
      <c r="I3819" s="1" t="s">
        <v>8</v>
      </c>
      <c r="J3819" s="1" t="str">
        <f>"13/19"</f>
        <v>13/19</v>
      </c>
      <c r="K3819" s="1" t="str">
        <f t="shared" si="214"/>
        <v>2026-07-29 13:18:03</v>
      </c>
      <c r="L3819" s="1" t="str">
        <f>"2018-04-17 18:25:00"</f>
        <v>2018-04-17 18:25:00</v>
      </c>
      <c r="M3819" s="1" t="s">
        <v>45</v>
      </c>
      <c r="N3819" s="1" t="s">
        <v>38</v>
      </c>
      <c r="O3819" s="1" t="s">
        <v>46</v>
      </c>
    </row>
    <row r="3820" spans="2:15" x14ac:dyDescent="0.3">
      <c r="B3820" s="1" t="s">
        <v>23</v>
      </c>
      <c r="C3820" s="1" t="str">
        <f>"3차"</f>
        <v>3차</v>
      </c>
      <c r="D3820" s="1" t="str">
        <f>"0324C81239"</f>
        <v>0324C81239</v>
      </c>
      <c r="E3820" s="1" t="s">
        <v>10</v>
      </c>
      <c r="F3820" s="1" t="str">
        <f>"10.125.120.194"</f>
        <v>10.125.120.194</v>
      </c>
      <c r="G3820" s="1" t="str">
        <f>"0324C812"</f>
        <v>0324C812</v>
      </c>
      <c r="H3820" s="1" t="str">
        <f>"한성간 24R4"</f>
        <v>한성간 24R4</v>
      </c>
      <c r="I3820" s="1" t="s">
        <v>8</v>
      </c>
      <c r="J3820" s="1" t="str">
        <f>"27/27"</f>
        <v>27/27</v>
      </c>
      <c r="K3820" s="1" t="str">
        <f t="shared" si="214"/>
        <v>2026-07-29 13:18:03</v>
      </c>
      <c r="L3820" s="1" t="str">
        <f>"2018-04-17 18:25:15"</f>
        <v>2018-04-17 18:25:15</v>
      </c>
      <c r="M3820" s="1" t="s">
        <v>45</v>
      </c>
      <c r="N3820" s="1" t="s">
        <v>38</v>
      </c>
      <c r="O3820" s="1" t="s">
        <v>46</v>
      </c>
    </row>
    <row r="3821" spans="2:15" x14ac:dyDescent="0.3">
      <c r="B3821" s="1" t="s">
        <v>23</v>
      </c>
      <c r="C3821" s="1" t="str">
        <f t="shared" ref="C3821:C3828" si="215">"4차"</f>
        <v>4차</v>
      </c>
      <c r="D3821" s="1" t="str">
        <f>"0324C81344"</f>
        <v>0324C81344</v>
      </c>
      <c r="E3821" s="1" t="s">
        <v>10</v>
      </c>
      <c r="F3821" s="1" t="str">
        <f>"10.11.73.242"</f>
        <v>10.11.73.242</v>
      </c>
      <c r="G3821" s="1" t="str">
        <f>"0324C813"</f>
        <v>0324C813</v>
      </c>
      <c r="H3821" s="1" t="str">
        <f>"한성간 24R3R1"</f>
        <v>한성간 24R3R1</v>
      </c>
      <c r="I3821" s="1" t="s">
        <v>8</v>
      </c>
      <c r="J3821" s="1" t="str">
        <f>"89/89"</f>
        <v>89/89</v>
      </c>
      <c r="K3821" s="1" t="str">
        <f t="shared" si="214"/>
        <v>2026-07-29 13:18:03</v>
      </c>
      <c r="L3821" s="1" t="str">
        <f>"2019-11-08 09:28:47"</f>
        <v>2019-11-08 09:28:47</v>
      </c>
      <c r="M3821" s="1" t="s">
        <v>2</v>
      </c>
      <c r="N3821" s="1" t="s">
        <v>38</v>
      </c>
      <c r="O3821" s="1" t="s">
        <v>46</v>
      </c>
    </row>
    <row r="3822" spans="2:15" x14ac:dyDescent="0.3">
      <c r="B3822" s="1" t="s">
        <v>23</v>
      </c>
      <c r="C3822" s="1" t="str">
        <f t="shared" si="215"/>
        <v>4차</v>
      </c>
      <c r="D3822" s="1" t="str">
        <f>"0324C84144"</f>
        <v>0324C84144</v>
      </c>
      <c r="E3822" s="1" t="s">
        <v>10</v>
      </c>
      <c r="F3822" s="1" t="str">
        <f>"10.11.78.18"</f>
        <v>10.11.78.18</v>
      </c>
      <c r="G3822" s="1" t="str">
        <f>"0324C841"</f>
        <v>0324C841</v>
      </c>
      <c r="H3822" s="1" t="str">
        <f>"한성간 15R1L4"</f>
        <v>한성간 15R1L4</v>
      </c>
      <c r="I3822" s="1" t="s">
        <v>8</v>
      </c>
      <c r="J3822" s="1" t="str">
        <f>"17/17"</f>
        <v>17/17</v>
      </c>
      <c r="K3822" s="1" t="str">
        <f t="shared" si="214"/>
        <v>2026-07-29 13:18:03</v>
      </c>
      <c r="L3822" s="1" t="str">
        <f>"2019-11-08 18:13:30"</f>
        <v>2019-11-08 18:13:30</v>
      </c>
      <c r="M3822" s="1" t="s">
        <v>2</v>
      </c>
      <c r="N3822" s="1" t="s">
        <v>38</v>
      </c>
      <c r="O3822" s="1" t="s">
        <v>46</v>
      </c>
    </row>
    <row r="3823" spans="2:15" x14ac:dyDescent="0.3">
      <c r="B3823" s="1" t="s">
        <v>23</v>
      </c>
      <c r="C3823" s="1" t="str">
        <f t="shared" si="215"/>
        <v>4차</v>
      </c>
      <c r="D3823" s="1" t="str">
        <f>"0324C84244"</f>
        <v>0324C84244</v>
      </c>
      <c r="E3823" s="1" t="s">
        <v>10</v>
      </c>
      <c r="F3823" s="1" t="str">
        <f>"10.11.73.162"</f>
        <v>10.11.73.162</v>
      </c>
      <c r="G3823" s="1" t="str">
        <f>"0324C842"</f>
        <v>0324C842</v>
      </c>
      <c r="H3823" s="1" t="str">
        <f>"한성간 18R5"</f>
        <v>한성간 18R5</v>
      </c>
      <c r="I3823" s="1" t="s">
        <v>8</v>
      </c>
      <c r="J3823" s="1" t="str">
        <f>"52/52"</f>
        <v>52/52</v>
      </c>
      <c r="K3823" s="1" t="str">
        <f t="shared" si="214"/>
        <v>2026-07-29 13:18:03</v>
      </c>
      <c r="L3823" s="1" t="str">
        <f>"2021-07-28 16:35:49"</f>
        <v>2021-07-28 16:35:49</v>
      </c>
      <c r="M3823" s="1" t="s">
        <v>2</v>
      </c>
      <c r="N3823" s="1" t="s">
        <v>38</v>
      </c>
      <c r="O3823" s="1" t="s">
        <v>46</v>
      </c>
    </row>
    <row r="3824" spans="2:15" x14ac:dyDescent="0.3">
      <c r="B3824" s="1" t="s">
        <v>23</v>
      </c>
      <c r="C3824" s="1" t="str">
        <f t="shared" si="215"/>
        <v>4차</v>
      </c>
      <c r="D3824" s="1" t="str">
        <f>"0324C90144"</f>
        <v>0324C90144</v>
      </c>
      <c r="E3824" s="1" t="s">
        <v>10</v>
      </c>
      <c r="F3824" s="1" t="str">
        <f>"10.11.73.218"</f>
        <v>10.11.73.218</v>
      </c>
      <c r="G3824" s="1" t="str">
        <f>"0324C901"</f>
        <v>0324C901</v>
      </c>
      <c r="H3824" s="1" t="str">
        <f>"한성간 24"</f>
        <v>한성간 24</v>
      </c>
      <c r="I3824" s="1" t="s">
        <v>8</v>
      </c>
      <c r="J3824" s="1" t="str">
        <f>"26/27"</f>
        <v>26/27</v>
      </c>
      <c r="K3824" s="1" t="str">
        <f>"2026-07-29 13:18:01"</f>
        <v>2026-07-29 13:18:01</v>
      </c>
      <c r="L3824" s="1" t="str">
        <f>"2019-11-08 09:11:13"</f>
        <v>2019-11-08 09:11:13</v>
      </c>
      <c r="M3824" s="1" t="s">
        <v>2</v>
      </c>
      <c r="N3824" s="1" t="s">
        <v>38</v>
      </c>
      <c r="O3824" s="1" t="s">
        <v>46</v>
      </c>
    </row>
    <row r="3825" spans="2:15" x14ac:dyDescent="0.3">
      <c r="B3825" s="1" t="s">
        <v>23</v>
      </c>
      <c r="C3825" s="1" t="str">
        <f t="shared" si="215"/>
        <v>4차</v>
      </c>
      <c r="D3825" s="1" t="str">
        <f>"0324C90344"</f>
        <v>0324C90344</v>
      </c>
      <c r="E3825" s="1" t="s">
        <v>10</v>
      </c>
      <c r="F3825" s="1" t="str">
        <f>"10.11.73.234"</f>
        <v>10.11.73.234</v>
      </c>
      <c r="G3825" s="1" t="str">
        <f>"0324C903"</f>
        <v>0324C903</v>
      </c>
      <c r="H3825" s="1" t="str">
        <f>"한성간 24R2"</f>
        <v>한성간 24R2</v>
      </c>
      <c r="I3825" s="1" t="s">
        <v>8</v>
      </c>
      <c r="J3825" s="1" t="str">
        <f>"27/27"</f>
        <v>27/27</v>
      </c>
      <c r="K3825" s="1" t="str">
        <f>"2026-07-29 13:18:03"</f>
        <v>2026-07-29 13:18:03</v>
      </c>
      <c r="L3825" s="1" t="str">
        <f>"2019-11-08 09:28:38"</f>
        <v>2019-11-08 09:28:38</v>
      </c>
      <c r="M3825" s="1" t="s">
        <v>2</v>
      </c>
      <c r="N3825" s="1" t="s">
        <v>38</v>
      </c>
      <c r="O3825" s="1" t="s">
        <v>46</v>
      </c>
    </row>
    <row r="3826" spans="2:15" x14ac:dyDescent="0.3">
      <c r="B3826" s="1" t="s">
        <v>23</v>
      </c>
      <c r="C3826" s="1" t="str">
        <f t="shared" si="215"/>
        <v>4차</v>
      </c>
      <c r="D3826" s="1" t="str">
        <f>"0324C93244"</f>
        <v>0324C93244</v>
      </c>
      <c r="E3826" s="1" t="s">
        <v>10</v>
      </c>
      <c r="F3826" s="1" t="str">
        <f>"10.12.132.196"</f>
        <v>10.12.132.196</v>
      </c>
      <c r="G3826" s="1" t="str">
        <f>"0324C932"</f>
        <v>0324C932</v>
      </c>
      <c r="H3826" s="1" t="str">
        <f>"한성간 18R5L2"</f>
        <v>한성간 18R5L2</v>
      </c>
      <c r="I3826" s="1" t="s">
        <v>8</v>
      </c>
      <c r="J3826" s="1" t="str">
        <f>"43/43"</f>
        <v>43/43</v>
      </c>
      <c r="K3826" s="1" t="str">
        <f>"2026-07-29 13:18:04"</f>
        <v>2026-07-29 13:18:04</v>
      </c>
      <c r="L3826" s="1" t="str">
        <f>"2019-11-11 08:03:27"</f>
        <v>2019-11-11 08:03:27</v>
      </c>
      <c r="M3826" s="1" t="s">
        <v>0</v>
      </c>
      <c r="N3826" s="1" t="s">
        <v>38</v>
      </c>
      <c r="O3826" s="1" t="s">
        <v>46</v>
      </c>
    </row>
    <row r="3827" spans="2:15" x14ac:dyDescent="0.3">
      <c r="B3827" s="1" t="s">
        <v>23</v>
      </c>
      <c r="C3827" s="1" t="str">
        <f t="shared" si="215"/>
        <v>4차</v>
      </c>
      <c r="D3827" s="1" t="str">
        <f>"0324C95844"</f>
        <v>0324C95844</v>
      </c>
      <c r="E3827" s="1" t="s">
        <v>10</v>
      </c>
      <c r="F3827" s="1" t="str">
        <f>"10.11.73.138"</f>
        <v>10.11.73.138</v>
      </c>
      <c r="G3827" s="1" t="str">
        <f>"0324C958"</f>
        <v>0324C958</v>
      </c>
      <c r="H3827" s="1" t="str">
        <f>"한성간 15R1L2"</f>
        <v>한성간 15R1L2</v>
      </c>
      <c r="I3827" s="1" t="s">
        <v>8</v>
      </c>
      <c r="J3827" s="1" t="str">
        <f>"38/48"</f>
        <v>38/48</v>
      </c>
      <c r="K3827" s="1" t="str">
        <f>"2026-07-29 13:18:02"</f>
        <v>2026-07-29 13:18:02</v>
      </c>
      <c r="L3827" s="1" t="str">
        <f>"2019-11-08 18:03:04"</f>
        <v>2019-11-08 18:03:04</v>
      </c>
      <c r="M3827" s="1" t="s">
        <v>2</v>
      </c>
      <c r="N3827" s="1" t="s">
        <v>38</v>
      </c>
      <c r="O3827" s="1" t="s">
        <v>46</v>
      </c>
    </row>
    <row r="3828" spans="2:15" x14ac:dyDescent="0.3">
      <c r="B3828" s="1" t="s">
        <v>23</v>
      </c>
      <c r="C3828" s="1" t="str">
        <f t="shared" si="215"/>
        <v>4차</v>
      </c>
      <c r="D3828" s="1" t="str">
        <f>"0324D00144"</f>
        <v>0324D00144</v>
      </c>
      <c r="E3828" s="1" t="s">
        <v>10</v>
      </c>
      <c r="F3828" s="1" t="str">
        <f>"10.11.73.202"</f>
        <v>10.11.73.202</v>
      </c>
      <c r="G3828" s="1" t="str">
        <f>"0324D001"</f>
        <v>0324D001</v>
      </c>
      <c r="H3828" s="1" t="str">
        <f>"한성간 23L1"</f>
        <v>한성간 23L1</v>
      </c>
      <c r="I3828" s="1" t="s">
        <v>8</v>
      </c>
      <c r="J3828" s="1" t="str">
        <f>"12/12"</f>
        <v>12/12</v>
      </c>
      <c r="K3828" s="1" t="str">
        <f>"2026-07-29 13:18:03"</f>
        <v>2026-07-29 13:18:03</v>
      </c>
      <c r="L3828" s="1" t="str">
        <f>"2019-11-13 11:23:12"</f>
        <v>2019-11-13 11:23:12</v>
      </c>
      <c r="M3828" s="1" t="s">
        <v>2</v>
      </c>
      <c r="N3828" s="1" t="s">
        <v>38</v>
      </c>
      <c r="O3828" s="1" t="s">
        <v>46</v>
      </c>
    </row>
    <row r="3829" spans="2:15" x14ac:dyDescent="0.3">
      <c r="B3829" s="1" t="s">
        <v>23</v>
      </c>
      <c r="C3829" s="1" t="str">
        <f>"3차"</f>
        <v>3차</v>
      </c>
      <c r="D3829" s="1" t="str">
        <f>"0324D00239"</f>
        <v>0324D00239</v>
      </c>
      <c r="E3829" s="1" t="s">
        <v>10</v>
      </c>
      <c r="F3829" s="1" t="str">
        <f>"10.12.129.156"</f>
        <v>10.12.129.156</v>
      </c>
      <c r="G3829" s="1" t="str">
        <f>"0324D002"</f>
        <v>0324D002</v>
      </c>
      <c r="H3829" s="1" t="str">
        <f>"한성간 23L2"</f>
        <v>한성간 23L2</v>
      </c>
      <c r="I3829" s="1" t="s">
        <v>8</v>
      </c>
      <c r="J3829" s="1" t="str">
        <f>"54/55"</f>
        <v>54/55</v>
      </c>
      <c r="K3829" s="1" t="str">
        <f>"2026-07-29 13:18:04"</f>
        <v>2026-07-29 13:18:04</v>
      </c>
      <c r="L3829" s="1" t="str">
        <f>"2018-04-17 18:20:01"</f>
        <v>2018-04-17 18:20:01</v>
      </c>
      <c r="M3829" s="1" t="s">
        <v>0</v>
      </c>
      <c r="N3829" s="1" t="s">
        <v>38</v>
      </c>
      <c r="O3829" s="1" t="s">
        <v>46</v>
      </c>
    </row>
    <row r="3830" spans="2:15" x14ac:dyDescent="0.3">
      <c r="B3830" s="1" t="s">
        <v>23</v>
      </c>
      <c r="C3830" s="1" t="str">
        <f>"4차"</f>
        <v>4차</v>
      </c>
      <c r="D3830" s="1" t="str">
        <f>"0324D02144"</f>
        <v>0324D02144</v>
      </c>
      <c r="E3830" s="1" t="s">
        <v>10</v>
      </c>
      <c r="F3830" s="1" t="str">
        <f>"10.11.73.194"</f>
        <v>10.11.73.194</v>
      </c>
      <c r="G3830" s="1" t="str">
        <f>"0324D021"</f>
        <v>0324D021</v>
      </c>
      <c r="H3830" s="1" t="str">
        <f>"한성간 20L2"</f>
        <v>한성간 20L2</v>
      </c>
      <c r="I3830" s="1" t="s">
        <v>8</v>
      </c>
      <c r="J3830" s="1" t="str">
        <f>"93/93"</f>
        <v>93/93</v>
      </c>
      <c r="K3830" s="1" t="str">
        <f>"2026-07-29 13:18:03"</f>
        <v>2026-07-29 13:18:03</v>
      </c>
      <c r="L3830" s="1" t="str">
        <f>"2019-11-13 11:20:27"</f>
        <v>2019-11-13 11:20:27</v>
      </c>
      <c r="M3830" s="1" t="s">
        <v>2</v>
      </c>
      <c r="N3830" s="1" t="s">
        <v>38</v>
      </c>
      <c r="O3830" s="1" t="s">
        <v>46</v>
      </c>
    </row>
    <row r="3831" spans="2:15" x14ac:dyDescent="0.3">
      <c r="B3831" s="1" t="s">
        <v>23</v>
      </c>
      <c r="C3831" s="1" t="str">
        <f>"6차"</f>
        <v>6차</v>
      </c>
      <c r="D3831" s="1" t="str">
        <f>"0324D0256S"</f>
        <v>0324D0256S</v>
      </c>
      <c r="E3831" s="1" t="s">
        <v>10</v>
      </c>
      <c r="F3831" s="1" t="str">
        <f>"fde1:103:4:9188:0:0:0:2"</f>
        <v>fde1:103:4:9188:0:0:0:2</v>
      </c>
      <c r="G3831" s="1" t="str">
        <f>"0324D025"</f>
        <v>0324D025</v>
      </c>
      <c r="H3831" s="1" t="str">
        <f>"한성간 20L1"</f>
        <v>한성간 20L1</v>
      </c>
      <c r="I3831" s="1" t="s">
        <v>15</v>
      </c>
      <c r="J3831" s="1" t="str">
        <f>"29/29"</f>
        <v>29/29</v>
      </c>
      <c r="K3831" s="1" t="str">
        <f>"2026-07-29 14:20:53"</f>
        <v>2026-07-29 14:20:53</v>
      </c>
      <c r="L3831" s="1" t="str">
        <f>"2024-12-11 17:46:54"</f>
        <v>2024-12-11 17:46:54</v>
      </c>
      <c r="M3831" s="1" t="s">
        <v>4</v>
      </c>
      <c r="N3831" s="1" t="s">
        <v>38</v>
      </c>
      <c r="O3831" s="1" t="s">
        <v>46</v>
      </c>
    </row>
    <row r="3832" spans="2:15" x14ac:dyDescent="0.3">
      <c r="B3832" s="1" t="s">
        <v>23</v>
      </c>
      <c r="C3832" s="1" t="str">
        <f>"4차"</f>
        <v>4차</v>
      </c>
      <c r="D3832" s="1" t="str">
        <f>"0324D03144"</f>
        <v>0324D03144</v>
      </c>
      <c r="E3832" s="1" t="s">
        <v>10</v>
      </c>
      <c r="F3832" s="1" t="str">
        <f>"10.11.73.186"</f>
        <v>10.11.73.186</v>
      </c>
      <c r="G3832" s="1" t="str">
        <f>"0324D031"</f>
        <v>0324D031</v>
      </c>
      <c r="H3832" s="1" t="str">
        <f>"한성간 19"</f>
        <v>한성간 19</v>
      </c>
      <c r="I3832" s="1" t="s">
        <v>8</v>
      </c>
      <c r="J3832" s="1" t="str">
        <f>"17/17"</f>
        <v>17/17</v>
      </c>
      <c r="K3832" s="1" t="str">
        <f>"2026-07-29 13:18:03"</f>
        <v>2026-07-29 13:18:03</v>
      </c>
      <c r="L3832" s="1" t="str">
        <f>"2019-11-11 08:07:29"</f>
        <v>2019-11-11 08:07:29</v>
      </c>
      <c r="M3832" s="1" t="s">
        <v>2</v>
      </c>
      <c r="N3832" s="1" t="s">
        <v>38</v>
      </c>
      <c r="O3832" s="1" t="s">
        <v>46</v>
      </c>
    </row>
    <row r="3833" spans="2:15" x14ac:dyDescent="0.3">
      <c r="B3833" s="1" t="s">
        <v>23</v>
      </c>
      <c r="C3833" s="1" t="str">
        <f>"4차"</f>
        <v>4차</v>
      </c>
      <c r="D3833" s="1" t="str">
        <f>"0324D03244"</f>
        <v>0324D03244</v>
      </c>
      <c r="E3833" s="1" t="s">
        <v>10</v>
      </c>
      <c r="F3833" s="1" t="str">
        <f>"10.11.73.154"</f>
        <v>10.11.73.154</v>
      </c>
      <c r="G3833" s="1" t="str">
        <f>"0324D032"</f>
        <v>0324D032</v>
      </c>
      <c r="H3833" s="1" t="str">
        <f>"한성간 18R2"</f>
        <v>한성간 18R2</v>
      </c>
      <c r="I3833" s="1" t="s">
        <v>8</v>
      </c>
      <c r="J3833" s="1" t="str">
        <f>"45/45"</f>
        <v>45/45</v>
      </c>
      <c r="K3833" s="1" t="str">
        <f>"2026-07-29 13:18:03"</f>
        <v>2026-07-29 13:18:03</v>
      </c>
      <c r="L3833" s="1" t="str">
        <f>"2021-07-28 16:40:41"</f>
        <v>2021-07-28 16:40:41</v>
      </c>
      <c r="M3833" s="1" t="s">
        <v>2</v>
      </c>
      <c r="N3833" s="1" t="s">
        <v>38</v>
      </c>
      <c r="O3833" s="1" t="s">
        <v>46</v>
      </c>
    </row>
    <row r="3834" spans="2:15" x14ac:dyDescent="0.3">
      <c r="B3834" s="1" t="s">
        <v>23</v>
      </c>
      <c r="C3834" s="1" t="str">
        <f>"3차"</f>
        <v>3차</v>
      </c>
      <c r="D3834" s="1" t="str">
        <f>"0324D09239"</f>
        <v>0324D09239</v>
      </c>
      <c r="E3834" s="1" t="s">
        <v>10</v>
      </c>
      <c r="F3834" s="1" t="str">
        <f>"10.11.60.74"</f>
        <v>10.11.60.74</v>
      </c>
      <c r="G3834" s="1" t="str">
        <f>"0324D092"</f>
        <v>0324D092</v>
      </c>
      <c r="H3834" s="1" t="str">
        <f>"성노간 20R1L5L2"</f>
        <v>성노간 20R1L5L2</v>
      </c>
      <c r="I3834" s="1" t="s">
        <v>8</v>
      </c>
      <c r="J3834" s="1" t="str">
        <f>"42/43"</f>
        <v>42/43</v>
      </c>
      <c r="K3834" s="1" t="str">
        <f>"2026-07-29 13:18:02"</f>
        <v>2026-07-29 13:18:02</v>
      </c>
      <c r="L3834" s="1" t="str">
        <f>"2018-04-27 09:18:10"</f>
        <v>2018-04-27 09:18:10</v>
      </c>
      <c r="M3834" s="1" t="s">
        <v>2</v>
      </c>
      <c r="N3834" s="1" t="s">
        <v>38</v>
      </c>
      <c r="O3834" s="1" t="s">
        <v>46</v>
      </c>
    </row>
    <row r="3835" spans="2:15" x14ac:dyDescent="0.3">
      <c r="B3835" s="1" t="s">
        <v>23</v>
      </c>
      <c r="C3835" s="1" t="str">
        <f>"3차"</f>
        <v>3차</v>
      </c>
      <c r="D3835" s="1" t="str">
        <f>"0324D12139"</f>
        <v>0324D12139</v>
      </c>
      <c r="E3835" s="1" t="s">
        <v>10</v>
      </c>
      <c r="F3835" s="1" t="str">
        <f>"10.12.132.187"</f>
        <v>10.12.132.187</v>
      </c>
      <c r="G3835" s="1" t="str">
        <f>"0324D121"</f>
        <v>0324D121</v>
      </c>
      <c r="H3835" s="1" t="str">
        <f>"한성간 34L11L6L4"</f>
        <v>한성간 34L11L6L4</v>
      </c>
      <c r="I3835" s="1" t="s">
        <v>8</v>
      </c>
      <c r="J3835" s="1" t="str">
        <f>"47/48"</f>
        <v>47/48</v>
      </c>
      <c r="K3835" s="1" t="str">
        <f>"2026-07-29 13:18:02"</f>
        <v>2026-07-29 13:18:02</v>
      </c>
      <c r="L3835" s="1" t="str">
        <f>"2019-01-08 16:54:13"</f>
        <v>2019-01-08 16:54:13</v>
      </c>
      <c r="M3835" s="1" t="s">
        <v>0</v>
      </c>
      <c r="N3835" s="1" t="s">
        <v>38</v>
      </c>
      <c r="O3835" s="1" t="s">
        <v>46</v>
      </c>
    </row>
    <row r="3836" spans="2:15" x14ac:dyDescent="0.3">
      <c r="B3836" s="1" t="s">
        <v>23</v>
      </c>
      <c r="C3836" s="1" t="str">
        <f>"4차"</f>
        <v>4차</v>
      </c>
      <c r="D3836" s="1" t="str">
        <f>"0324D14144"</f>
        <v>0324D14144</v>
      </c>
      <c r="E3836" s="1" t="s">
        <v>10</v>
      </c>
      <c r="F3836" s="1" t="str">
        <f>"10.11.73.146"</f>
        <v>10.11.73.146</v>
      </c>
      <c r="G3836" s="1" t="str">
        <f>"0324D141"</f>
        <v>0324D141</v>
      </c>
      <c r="H3836" s="1" t="str">
        <f>"한성간 17"</f>
        <v>한성간 17</v>
      </c>
      <c r="I3836" s="1" t="s">
        <v>8</v>
      </c>
      <c r="J3836" s="1" t="str">
        <f>"83/83"</f>
        <v>83/83</v>
      </c>
      <c r="K3836" s="1" t="str">
        <f>"2026-07-29 13:18:03"</f>
        <v>2026-07-29 13:18:03</v>
      </c>
      <c r="L3836" s="1" t="str">
        <f>"2019-11-08 18:16:30"</f>
        <v>2019-11-08 18:16:30</v>
      </c>
      <c r="M3836" s="1" t="s">
        <v>2</v>
      </c>
      <c r="N3836" s="1" t="s">
        <v>38</v>
      </c>
      <c r="O3836" s="1" t="s">
        <v>46</v>
      </c>
    </row>
    <row r="3837" spans="2:15" x14ac:dyDescent="0.3">
      <c r="B3837" s="1" t="s">
        <v>23</v>
      </c>
      <c r="C3837" s="1" t="str">
        <f>"4차"</f>
        <v>4차</v>
      </c>
      <c r="D3837" s="1" t="str">
        <f>"0324D18339"</f>
        <v>0324D18339</v>
      </c>
      <c r="E3837" s="1" t="s">
        <v>10</v>
      </c>
      <c r="F3837" s="1" t="str">
        <f>"10.11.60.50"</f>
        <v>10.11.60.50</v>
      </c>
      <c r="G3837" s="1" t="str">
        <f>"0324D183"</f>
        <v>0324D183</v>
      </c>
      <c r="H3837" s="1" t="str">
        <f>"성노간 20R1L3L3R1"</f>
        <v>성노간 20R1L3L3R1</v>
      </c>
      <c r="I3837" s="1" t="s">
        <v>8</v>
      </c>
      <c r="J3837" s="1" t="str">
        <f>"64/70"</f>
        <v>64/70</v>
      </c>
      <c r="K3837" s="1" t="str">
        <f>"2026-07-29 13:18:03"</f>
        <v>2026-07-29 13:18:03</v>
      </c>
      <c r="L3837" s="1" t="str">
        <f>"2021-07-28 15:50:58"</f>
        <v>2021-07-28 15:50:58</v>
      </c>
      <c r="M3837" s="1" t="s">
        <v>2</v>
      </c>
      <c r="N3837" s="1" t="s">
        <v>38</v>
      </c>
      <c r="O3837" s="1" t="s">
        <v>46</v>
      </c>
    </row>
    <row r="3838" spans="2:15" x14ac:dyDescent="0.3">
      <c r="B3838" s="1" t="s">
        <v>23</v>
      </c>
      <c r="C3838" s="1" t="str">
        <f>"6차"</f>
        <v>6차</v>
      </c>
      <c r="D3838" s="1" t="str">
        <f>"0324D1856S"</f>
        <v>0324D1856S</v>
      </c>
      <c r="E3838" s="1" t="s">
        <v>10</v>
      </c>
      <c r="F3838" s="1" t="str">
        <f>"fde1:103:4:9137:0:0:0:2"</f>
        <v>fde1:103:4:9137:0:0:0:2</v>
      </c>
      <c r="G3838" s="1" t="str">
        <f>"0324D185"</f>
        <v>0324D185</v>
      </c>
      <c r="H3838" s="1" t="str">
        <f>"성노간 10L16"</f>
        <v>성노간 10L16</v>
      </c>
      <c r="I3838" s="1" t="s">
        <v>15</v>
      </c>
      <c r="J3838" s="1" t="str">
        <f>"70/72"</f>
        <v>70/72</v>
      </c>
      <c r="K3838" s="1" t="str">
        <f>"2026-07-29 14:20:40"</f>
        <v>2026-07-29 14:20:40</v>
      </c>
      <c r="L3838" s="1" t="str">
        <f>"2024-10-08 16:51:41"</f>
        <v>2024-10-08 16:51:41</v>
      </c>
      <c r="M3838" s="1" t="s">
        <v>4</v>
      </c>
      <c r="N3838" s="1" t="s">
        <v>38</v>
      </c>
      <c r="O3838" s="1" t="s">
        <v>46</v>
      </c>
    </row>
    <row r="3839" spans="2:15" x14ac:dyDescent="0.3">
      <c r="B3839" s="1" t="s">
        <v>23</v>
      </c>
      <c r="C3839" s="1" t="str">
        <f t="shared" ref="C3839:C3844" si="216">"4차"</f>
        <v>4차</v>
      </c>
      <c r="D3839" s="1" t="str">
        <f>"0324D19139"</f>
        <v>0324D19139</v>
      </c>
      <c r="E3839" s="1" t="s">
        <v>10</v>
      </c>
      <c r="F3839" s="1" t="str">
        <f>"10.11.60.42"</f>
        <v>10.11.60.42</v>
      </c>
      <c r="G3839" s="1" t="str">
        <f>"0324D191"</f>
        <v>0324D191</v>
      </c>
      <c r="H3839" s="1" t="str">
        <f>"성노간 20R1L3L2"</f>
        <v>성노간 20R1L3L2</v>
      </c>
      <c r="I3839" s="1" t="s">
        <v>8</v>
      </c>
      <c r="J3839" s="1" t="str">
        <f>"46/46"</f>
        <v>46/46</v>
      </c>
      <c r="K3839" s="1" t="str">
        <f>"2026-07-29 13:18:01"</f>
        <v>2026-07-29 13:18:01</v>
      </c>
      <c r="L3839" s="1" t="str">
        <f>"2018-04-27 15:27:58"</f>
        <v>2018-04-27 15:27:58</v>
      </c>
      <c r="M3839" s="1" t="s">
        <v>2</v>
      </c>
      <c r="N3839" s="1" t="s">
        <v>38</v>
      </c>
      <c r="O3839" s="1" t="s">
        <v>46</v>
      </c>
    </row>
    <row r="3840" spans="2:15" x14ac:dyDescent="0.3">
      <c r="B3840" s="1" t="s">
        <v>23</v>
      </c>
      <c r="C3840" s="1" t="str">
        <f t="shared" si="216"/>
        <v>4차</v>
      </c>
      <c r="D3840" s="1" t="str">
        <f>"0324D20144"</f>
        <v>0324D20144</v>
      </c>
      <c r="E3840" s="1" t="s">
        <v>10</v>
      </c>
      <c r="F3840" s="1" t="str">
        <f>"10.11.74.90"</f>
        <v>10.11.74.90</v>
      </c>
      <c r="G3840" s="1" t="str">
        <f>"0324D201"</f>
        <v>0324D201</v>
      </c>
      <c r="H3840" s="1" t="str">
        <f>"한성간 34L11L6B1"</f>
        <v>한성간 34L11L6B1</v>
      </c>
      <c r="I3840" s="1" t="s">
        <v>8</v>
      </c>
      <c r="J3840" s="1" t="str">
        <f>"16/16"</f>
        <v>16/16</v>
      </c>
      <c r="K3840" s="1" t="str">
        <f>"2026-07-29 13:18:02"</f>
        <v>2026-07-29 13:18:02</v>
      </c>
      <c r="L3840" s="1" t="str">
        <f>"2019-11-13 11:29:39"</f>
        <v>2019-11-13 11:29:39</v>
      </c>
      <c r="M3840" s="1" t="s">
        <v>2</v>
      </c>
      <c r="N3840" s="1" t="s">
        <v>38</v>
      </c>
      <c r="O3840" s="1" t="s">
        <v>46</v>
      </c>
    </row>
    <row r="3841" spans="2:15" x14ac:dyDescent="0.3">
      <c r="B3841" s="1" t="s">
        <v>23</v>
      </c>
      <c r="C3841" s="1" t="str">
        <f t="shared" si="216"/>
        <v>4차</v>
      </c>
      <c r="D3841" s="1" t="str">
        <f>"0324D21144"</f>
        <v>0324D21144</v>
      </c>
      <c r="E3841" s="1" t="s">
        <v>10</v>
      </c>
      <c r="F3841" s="1" t="str">
        <f>"10.11.74.98"</f>
        <v>10.11.74.98</v>
      </c>
      <c r="G3841" s="1" t="str">
        <f>"0324D211"</f>
        <v>0324D211</v>
      </c>
      <c r="H3841" s="1" t="str">
        <f>"한성간 34L11L6D1"</f>
        <v>한성간 34L11L6D1</v>
      </c>
      <c r="I3841" s="1" t="s">
        <v>8</v>
      </c>
      <c r="J3841" s="1" t="str">
        <f>"30/30"</f>
        <v>30/30</v>
      </c>
      <c r="K3841" s="1" t="str">
        <f>"2026-07-29 13:18:03"</f>
        <v>2026-07-29 13:18:03</v>
      </c>
      <c r="L3841" s="1" t="str">
        <f>"2019-11-14 09:57:08"</f>
        <v>2019-11-14 09:57:08</v>
      </c>
      <c r="M3841" s="1" t="s">
        <v>2</v>
      </c>
      <c r="N3841" s="1" t="s">
        <v>38</v>
      </c>
      <c r="O3841" s="1" t="s">
        <v>46</v>
      </c>
    </row>
    <row r="3842" spans="2:15" x14ac:dyDescent="0.3">
      <c r="B3842" s="1" t="s">
        <v>23</v>
      </c>
      <c r="C3842" s="1" t="str">
        <f t="shared" si="216"/>
        <v>4차</v>
      </c>
      <c r="D3842" s="1" t="str">
        <f>"0324D21244"</f>
        <v>0324D21244</v>
      </c>
      <c r="E3842" s="1" t="s">
        <v>10</v>
      </c>
      <c r="F3842" s="1" t="str">
        <f>"10.11.74.114"</f>
        <v>10.11.74.114</v>
      </c>
      <c r="G3842" s="1" t="str">
        <f>"0324D212"</f>
        <v>0324D212</v>
      </c>
      <c r="H3842" s="1" t="str">
        <f>"한성간 34L11L6L2"</f>
        <v>한성간 34L11L6L2</v>
      </c>
      <c r="I3842" s="1" t="s">
        <v>8</v>
      </c>
      <c r="J3842" s="1" t="str">
        <f>"64/73"</f>
        <v>64/73</v>
      </c>
      <c r="K3842" s="1" t="str">
        <f>"2026-07-29 13:18:02"</f>
        <v>2026-07-29 13:18:02</v>
      </c>
      <c r="L3842" s="1" t="str">
        <f>"2021-07-28 16:39:09"</f>
        <v>2021-07-28 16:39:09</v>
      </c>
      <c r="M3842" s="1" t="s">
        <v>2</v>
      </c>
      <c r="N3842" s="1" t="s">
        <v>38</v>
      </c>
      <c r="O3842" s="1" t="s">
        <v>46</v>
      </c>
    </row>
    <row r="3843" spans="2:15" x14ac:dyDescent="0.3">
      <c r="B3843" s="1" t="s">
        <v>23</v>
      </c>
      <c r="C3843" s="1" t="str">
        <f t="shared" si="216"/>
        <v>4차</v>
      </c>
      <c r="D3843" s="1" t="str">
        <f>"0324D22144"</f>
        <v>0324D22144</v>
      </c>
      <c r="E3843" s="1" t="s">
        <v>10</v>
      </c>
      <c r="F3843" s="1" t="str">
        <f>"10.11.74.106"</f>
        <v>10.11.74.106</v>
      </c>
      <c r="G3843" s="1" t="str">
        <f>"0324D221"</f>
        <v>0324D221</v>
      </c>
      <c r="H3843" s="1" t="str">
        <f>"한성간 34L11L6D2"</f>
        <v>한성간 34L11L6D2</v>
      </c>
      <c r="I3843" s="1" t="s">
        <v>8</v>
      </c>
      <c r="J3843" s="1" t="str">
        <f>"31/31"</f>
        <v>31/31</v>
      </c>
      <c r="K3843" s="1" t="str">
        <f>"2026-07-29 13:18:03"</f>
        <v>2026-07-29 13:18:03</v>
      </c>
      <c r="L3843" s="1" t="str">
        <f>"2019-11-14 09:57:20"</f>
        <v>2019-11-14 09:57:20</v>
      </c>
      <c r="M3843" s="1" t="s">
        <v>2</v>
      </c>
      <c r="N3843" s="1" t="s">
        <v>38</v>
      </c>
      <c r="O3843" s="1" t="s">
        <v>46</v>
      </c>
    </row>
    <row r="3844" spans="2:15" x14ac:dyDescent="0.3">
      <c r="B3844" s="1" t="s">
        <v>23</v>
      </c>
      <c r="C3844" s="1" t="str">
        <f t="shared" si="216"/>
        <v>4차</v>
      </c>
      <c r="D3844" s="1" t="str">
        <f>"0324D27239"</f>
        <v>0324D27239</v>
      </c>
      <c r="E3844" s="1" t="s">
        <v>10</v>
      </c>
      <c r="F3844" s="1" t="str">
        <f>"10.11.59.250"</f>
        <v>10.11.59.250</v>
      </c>
      <c r="G3844" s="1" t="str">
        <f>"0324D272"</f>
        <v>0324D272</v>
      </c>
      <c r="H3844" s="1" t="str">
        <f>"성노간 10L6R7"</f>
        <v>성노간 10L6R7</v>
      </c>
      <c r="I3844" s="1" t="s">
        <v>8</v>
      </c>
      <c r="J3844" s="1" t="str">
        <f>"109/135"</f>
        <v>109/135</v>
      </c>
      <c r="K3844" s="1" t="str">
        <f>"2026-07-29 13:18:03"</f>
        <v>2026-07-29 13:18:03</v>
      </c>
      <c r="L3844" s="1" t="str">
        <f>"2018-04-27 09:34:09"</f>
        <v>2018-04-27 09:34:09</v>
      </c>
      <c r="M3844" s="1" t="s">
        <v>2</v>
      </c>
      <c r="N3844" s="1" t="s">
        <v>38</v>
      </c>
      <c r="O3844" s="1" t="s">
        <v>46</v>
      </c>
    </row>
    <row r="3845" spans="2:15" x14ac:dyDescent="0.3">
      <c r="B3845" s="1" t="s">
        <v>23</v>
      </c>
      <c r="C3845" s="1" t="str">
        <f>"3차"</f>
        <v>3차</v>
      </c>
      <c r="D3845" s="1" t="str">
        <f>"0324D29139"</f>
        <v>0324D29139</v>
      </c>
      <c r="E3845" s="1" t="s">
        <v>10</v>
      </c>
      <c r="F3845" s="1" t="str">
        <f>"10.11.53.50"</f>
        <v>10.11.53.50</v>
      </c>
      <c r="G3845" s="1" t="str">
        <f>"0324D291"</f>
        <v>0324D291</v>
      </c>
      <c r="H3845" s="1" t="str">
        <f>"성노간 20R1L3L3"</f>
        <v>성노간 20R1L3L3</v>
      </c>
      <c r="I3845" s="1" t="s">
        <v>8</v>
      </c>
      <c r="J3845" s="1" t="str">
        <f>"63/68"</f>
        <v>63/68</v>
      </c>
      <c r="K3845" s="1" t="str">
        <f>"2026-07-29 13:18:02"</f>
        <v>2026-07-29 13:18:02</v>
      </c>
      <c r="L3845" s="1" t="str">
        <f>"2018-04-27 15:28:43"</f>
        <v>2018-04-27 15:28:43</v>
      </c>
      <c r="M3845" s="1" t="s">
        <v>2</v>
      </c>
      <c r="N3845" s="1" t="s">
        <v>38</v>
      </c>
      <c r="O3845" s="1" t="s">
        <v>46</v>
      </c>
    </row>
    <row r="3846" spans="2:15" x14ac:dyDescent="0.3">
      <c r="B3846" s="1" t="s">
        <v>23</v>
      </c>
      <c r="C3846" s="1" t="str">
        <f>"3차"</f>
        <v>3차</v>
      </c>
      <c r="D3846" s="1" t="str">
        <f>"0324D29239"</f>
        <v>0324D29239</v>
      </c>
      <c r="E3846" s="1" t="s">
        <v>10</v>
      </c>
      <c r="F3846" s="1" t="str">
        <f>"10.11.60.58"</f>
        <v>10.11.60.58</v>
      </c>
      <c r="G3846" s="1" t="str">
        <f>"0324D292"</f>
        <v>0324D292</v>
      </c>
      <c r="H3846" s="1" t="str">
        <f>"성노간 20R1L3L6"</f>
        <v>성노간 20R1L3L6</v>
      </c>
      <c r="I3846" s="1" t="s">
        <v>8</v>
      </c>
      <c r="J3846" s="1" t="str">
        <f>"48/48"</f>
        <v>48/48</v>
      </c>
      <c r="K3846" s="1" t="str">
        <f>"2026-07-29 13:18:02"</f>
        <v>2026-07-29 13:18:02</v>
      </c>
      <c r="L3846" s="1" t="str">
        <f>"2018-04-27 15:41:28"</f>
        <v>2018-04-27 15:41:28</v>
      </c>
      <c r="M3846" s="1" t="s">
        <v>2</v>
      </c>
      <c r="N3846" s="1" t="s">
        <v>38</v>
      </c>
      <c r="O3846" s="1" t="s">
        <v>46</v>
      </c>
    </row>
    <row r="3847" spans="2:15" x14ac:dyDescent="0.3">
      <c r="B3847" s="1" t="s">
        <v>23</v>
      </c>
      <c r="C3847" s="1" t="str">
        <f>"3차"</f>
        <v>3차</v>
      </c>
      <c r="D3847" s="1" t="str">
        <f>"0324D29439"</f>
        <v>0324D29439</v>
      </c>
      <c r="E3847" s="1" t="s">
        <v>10</v>
      </c>
      <c r="F3847" s="1" t="str">
        <f>"10.11.53.58"</f>
        <v>10.11.53.58</v>
      </c>
      <c r="G3847" s="1" t="str">
        <f>"0324D294"</f>
        <v>0324D294</v>
      </c>
      <c r="H3847" s="1" t="str">
        <f>"성노간 20R1L3L5"</f>
        <v>성노간 20R1L3L5</v>
      </c>
      <c r="I3847" s="1" t="s">
        <v>8</v>
      </c>
      <c r="J3847" s="1" t="str">
        <f>"36/37"</f>
        <v>36/37</v>
      </c>
      <c r="K3847" s="1" t="str">
        <f>"2026-07-29 13:18:01"</f>
        <v>2026-07-29 13:18:01</v>
      </c>
      <c r="L3847" s="1" t="str">
        <f>"2018-04-27 15:38:13"</f>
        <v>2018-04-27 15:38:13</v>
      </c>
      <c r="M3847" s="1" t="s">
        <v>2</v>
      </c>
      <c r="N3847" s="1" t="s">
        <v>38</v>
      </c>
      <c r="O3847" s="1" t="s">
        <v>46</v>
      </c>
    </row>
    <row r="3848" spans="2:15" x14ac:dyDescent="0.3">
      <c r="B3848" s="1" t="s">
        <v>23</v>
      </c>
      <c r="C3848" s="1" t="str">
        <f>"4차"</f>
        <v>4차</v>
      </c>
      <c r="D3848" s="1" t="str">
        <f>"0324D30144"</f>
        <v>0324D30144</v>
      </c>
      <c r="E3848" s="1" t="s">
        <v>10</v>
      </c>
      <c r="F3848" s="1" t="str">
        <f>"10.11.74.82"</f>
        <v>10.11.74.82</v>
      </c>
      <c r="G3848" s="1" t="str">
        <f>"0324D301"</f>
        <v>0324D301</v>
      </c>
      <c r="H3848" s="1" t="str">
        <f>"한성간 34L11L5"</f>
        <v>한성간 34L11L5</v>
      </c>
      <c r="I3848" s="1" t="s">
        <v>8</v>
      </c>
      <c r="J3848" s="1" t="str">
        <f>"66/66"</f>
        <v>66/66</v>
      </c>
      <c r="K3848" s="1" t="str">
        <f>"2026-07-29 13:18:02"</f>
        <v>2026-07-29 13:18:02</v>
      </c>
      <c r="L3848" s="1" t="str">
        <f>"2019-11-13 11:30:21"</f>
        <v>2019-11-13 11:30:21</v>
      </c>
      <c r="M3848" s="1" t="s">
        <v>2</v>
      </c>
      <c r="N3848" s="1" t="s">
        <v>38</v>
      </c>
      <c r="O3848" s="1" t="s">
        <v>46</v>
      </c>
    </row>
    <row r="3849" spans="2:15" x14ac:dyDescent="0.3">
      <c r="B3849" s="1" t="s">
        <v>23</v>
      </c>
      <c r="C3849" s="1" t="str">
        <f>"4차"</f>
        <v>4차</v>
      </c>
      <c r="D3849" s="1" t="str">
        <f>"0324D31144"</f>
        <v>0324D31144</v>
      </c>
      <c r="E3849" s="1" t="s">
        <v>10</v>
      </c>
      <c r="F3849" s="1" t="str">
        <f>"10.11.74.130"</f>
        <v>10.11.74.130</v>
      </c>
      <c r="G3849" s="1" t="str">
        <f>"0324D311"</f>
        <v>0324D311</v>
      </c>
      <c r="H3849" s="1" t="str">
        <f>"한성간 34L11L7"</f>
        <v>한성간 34L11L7</v>
      </c>
      <c r="I3849" s="1" t="s">
        <v>8</v>
      </c>
      <c r="J3849" s="1" t="str">
        <f>"95/95"</f>
        <v>95/95</v>
      </c>
      <c r="K3849" s="1" t="str">
        <f>"2026-07-29 13:18:03"</f>
        <v>2026-07-29 13:18:03</v>
      </c>
      <c r="L3849" s="1" t="str">
        <f>"2019-11-14 10:13:30"</f>
        <v>2019-11-14 10:13:30</v>
      </c>
      <c r="M3849" s="1" t="s">
        <v>2</v>
      </c>
      <c r="N3849" s="1" t="s">
        <v>38</v>
      </c>
      <c r="O3849" s="1" t="s">
        <v>46</v>
      </c>
    </row>
    <row r="3850" spans="2:15" x14ac:dyDescent="0.3">
      <c r="B3850" s="1" t="s">
        <v>23</v>
      </c>
      <c r="C3850" s="1" t="str">
        <f>"5-1차"</f>
        <v>5-1차</v>
      </c>
      <c r="D3850" s="1" t="str">
        <f>"0324D3315S"</f>
        <v>0324D3315S</v>
      </c>
      <c r="E3850" s="1" t="s">
        <v>10</v>
      </c>
      <c r="F3850" s="1" t="str">
        <f>"fde2:104:0:1b7:0:0:0:2"</f>
        <v>fde2:104:0:1b7:0:0:0:2</v>
      </c>
      <c r="G3850" s="1" t="str">
        <f>"0324D331"</f>
        <v>0324D331</v>
      </c>
      <c r="H3850" s="1" t="str">
        <f>"한성간 34L19L3"</f>
        <v>한성간 34L19L3</v>
      </c>
      <c r="I3850" s="1" t="s">
        <v>15</v>
      </c>
      <c r="J3850" s="1" t="str">
        <f>"79/82"</f>
        <v>79/82</v>
      </c>
      <c r="K3850" s="1" t="str">
        <f>"2026-07-29 14:20:13"</f>
        <v>2026-07-29 14:20:13</v>
      </c>
      <c r="L3850" s="1" t="str">
        <f>"2022-11-24 12:24:56"</f>
        <v>2022-11-24 12:24:56</v>
      </c>
      <c r="M3850" s="1" t="s">
        <v>42</v>
      </c>
      <c r="N3850" s="1" t="s">
        <v>38</v>
      </c>
      <c r="O3850" s="1" t="s">
        <v>46</v>
      </c>
    </row>
    <row r="3851" spans="2:15" x14ac:dyDescent="0.3">
      <c r="B3851" s="1" t="s">
        <v>23</v>
      </c>
      <c r="C3851" s="1" t="str">
        <f>"5-2차"</f>
        <v>5-2차</v>
      </c>
      <c r="D3851" s="1" t="str">
        <f>"0324D3335S"</f>
        <v>0324D3335S</v>
      </c>
      <c r="E3851" s="1" t="s">
        <v>10</v>
      </c>
      <c r="F3851" s="1" t="str">
        <f>"fde3:102:1440:8200:0:0:0:2"</f>
        <v>fde3:102:1440:8200:0:0:0:2</v>
      </c>
      <c r="G3851" s="1" t="str">
        <f>"0324D333"</f>
        <v>0324D333</v>
      </c>
      <c r="H3851" s="1" t="str">
        <f>"한성간 34L19L2R1"</f>
        <v>한성간 34L19L2R1</v>
      </c>
      <c r="I3851" s="1" t="s">
        <v>15</v>
      </c>
      <c r="J3851" s="1" t="str">
        <f>"44/44"</f>
        <v>44/44</v>
      </c>
      <c r="K3851" s="1" t="str">
        <f>"2026-07-29 14:20:14"</f>
        <v>2026-07-29 14:20:14</v>
      </c>
      <c r="L3851" s="1" t="str">
        <f>"2023-11-08 09:58:23"</f>
        <v>2023-11-08 09:58:23</v>
      </c>
      <c r="M3851" s="1" t="s">
        <v>45</v>
      </c>
      <c r="N3851" s="1" t="s">
        <v>38</v>
      </c>
      <c r="O3851" s="1" t="s">
        <v>46</v>
      </c>
    </row>
    <row r="3852" spans="2:15" x14ac:dyDescent="0.3">
      <c r="B3852" s="1" t="s">
        <v>23</v>
      </c>
      <c r="C3852" s="1" t="str">
        <f>"5-2차"</f>
        <v>5-2차</v>
      </c>
      <c r="D3852" s="1" t="str">
        <f>"0324D3435M"</f>
        <v>0324D3435M</v>
      </c>
      <c r="E3852" s="1" t="s">
        <v>10</v>
      </c>
      <c r="F3852" s="1" t="str">
        <f>"fde3:102:1440:9200:0:0:0:2"</f>
        <v>fde3:102:1440:9200:0:0:0:2</v>
      </c>
      <c r="G3852" s="1" t="str">
        <f>"0324D343"</f>
        <v>0324D343</v>
      </c>
      <c r="H3852" s="1" t="str">
        <f>"경마간 13"</f>
        <v>경마간 13</v>
      </c>
      <c r="I3852" s="1" t="s">
        <v>15</v>
      </c>
      <c r="J3852" s="1" t="str">
        <f>"88/88"</f>
        <v>88/88</v>
      </c>
      <c r="K3852" s="1" t="str">
        <f>"2026-07-29 14:20:12"</f>
        <v>2026-07-29 14:20:12</v>
      </c>
      <c r="L3852" s="1" t="str">
        <f>"2023-06-20 22:35:16"</f>
        <v>2023-06-20 22:35:16</v>
      </c>
      <c r="M3852" s="1" t="s">
        <v>45</v>
      </c>
      <c r="N3852" s="1" t="s">
        <v>38</v>
      </c>
      <c r="O3852" s="1" t="s">
        <v>46</v>
      </c>
    </row>
    <row r="3853" spans="2:15" x14ac:dyDescent="0.3">
      <c r="B3853" s="1" t="s">
        <v>23</v>
      </c>
      <c r="C3853" s="1" t="str">
        <f>"6차"</f>
        <v>6차</v>
      </c>
      <c r="D3853" s="1" t="str">
        <f>"0324D3916S"</f>
        <v>0324D3916S</v>
      </c>
      <c r="E3853" s="1" t="s">
        <v>10</v>
      </c>
      <c r="F3853" s="1" t="str">
        <f>"fde1:103:4:c67b:0:0:0:2"</f>
        <v>fde1:103:4:c67b:0:0:0:2</v>
      </c>
      <c r="G3853" s="1" t="str">
        <f>"0324D391"</f>
        <v>0324D391</v>
      </c>
      <c r="H3853" s="1" t="str">
        <f>"성노간 10L6R2R4L1"</f>
        <v>성노간 10L6R2R4L1</v>
      </c>
      <c r="I3853" s="1" t="s">
        <v>15</v>
      </c>
      <c r="J3853" s="1" t="str">
        <f>"36/59"</f>
        <v>36/59</v>
      </c>
      <c r="K3853" s="1" t="str">
        <f>"2026-07-29 02:20:15"</f>
        <v>2026-07-29 02:20:15</v>
      </c>
      <c r="L3853" s="1" t="str">
        <f>"2024-10-29 10:28:04"</f>
        <v>2024-10-29 10:28:04</v>
      </c>
      <c r="M3853" s="1" t="s">
        <v>4</v>
      </c>
      <c r="N3853" s="1" t="s">
        <v>38</v>
      </c>
      <c r="O3853" s="1" t="s">
        <v>46</v>
      </c>
    </row>
    <row r="3854" spans="2:15" x14ac:dyDescent="0.3">
      <c r="B3854" s="1" t="s">
        <v>23</v>
      </c>
      <c r="C3854" s="1" t="str">
        <f t="shared" ref="C3854:C3861" si="217">"4차"</f>
        <v>4차</v>
      </c>
      <c r="D3854" s="1" t="str">
        <f>"0324D41144"</f>
        <v>0324D41144</v>
      </c>
      <c r="E3854" s="1" t="s">
        <v>10</v>
      </c>
      <c r="F3854" s="1" t="str">
        <f>"10.11.74.210"</f>
        <v>10.11.74.210</v>
      </c>
      <c r="G3854" s="1" t="str">
        <f>"0324D411"</f>
        <v>0324D411</v>
      </c>
      <c r="H3854" s="1" t="str">
        <f>"한성간 34L18"</f>
        <v>한성간 34L18</v>
      </c>
      <c r="I3854" s="1" t="s">
        <v>8</v>
      </c>
      <c r="J3854" s="1" t="str">
        <f>"53/56"</f>
        <v>53/56</v>
      </c>
      <c r="K3854" s="1" t="str">
        <f>"2026-07-29 13:18:03"</f>
        <v>2026-07-29 13:18:03</v>
      </c>
      <c r="L3854" s="1" t="str">
        <f>"2019-11-14 10:30:47"</f>
        <v>2019-11-14 10:30:47</v>
      </c>
      <c r="M3854" s="1" t="s">
        <v>2</v>
      </c>
      <c r="N3854" s="1" t="s">
        <v>38</v>
      </c>
      <c r="O3854" s="1" t="s">
        <v>46</v>
      </c>
    </row>
    <row r="3855" spans="2:15" x14ac:dyDescent="0.3">
      <c r="B3855" s="1" t="s">
        <v>23</v>
      </c>
      <c r="C3855" s="1" t="str">
        <f t="shared" si="217"/>
        <v>4차</v>
      </c>
      <c r="D3855" s="1" t="str">
        <f>"0324D41244"</f>
        <v>0324D41244</v>
      </c>
      <c r="E3855" s="1" t="s">
        <v>10</v>
      </c>
      <c r="F3855" s="1" t="str">
        <f>"10.11.74.146"</f>
        <v>10.11.74.146</v>
      </c>
      <c r="G3855" s="1" t="str">
        <f>"0324D412"</f>
        <v>0324D412</v>
      </c>
      <c r="H3855" s="1" t="str">
        <f>"한성간 34L11L8"</f>
        <v>한성간 34L11L8</v>
      </c>
      <c r="I3855" s="1" t="s">
        <v>8</v>
      </c>
      <c r="J3855" s="1" t="str">
        <f>"41/44"</f>
        <v>41/44</v>
      </c>
      <c r="K3855" s="1" t="str">
        <f>"2026-07-29 13:18:02"</f>
        <v>2026-07-29 13:18:02</v>
      </c>
      <c r="L3855" s="1" t="str">
        <f>"2019-11-14 10:21:30"</f>
        <v>2019-11-14 10:21:30</v>
      </c>
      <c r="M3855" s="1" t="s">
        <v>2</v>
      </c>
      <c r="N3855" s="1" t="s">
        <v>38</v>
      </c>
      <c r="O3855" s="1" t="s">
        <v>46</v>
      </c>
    </row>
    <row r="3856" spans="2:15" x14ac:dyDescent="0.3">
      <c r="B3856" s="1" t="s">
        <v>23</v>
      </c>
      <c r="C3856" s="1" t="str">
        <f t="shared" si="217"/>
        <v>4차</v>
      </c>
      <c r="D3856" s="1" t="str">
        <f>"0324D42144"</f>
        <v>0324D42144</v>
      </c>
      <c r="E3856" s="1" t="s">
        <v>10</v>
      </c>
      <c r="F3856" s="1" t="str">
        <f>"10.11.78.50"</f>
        <v>10.11.78.50</v>
      </c>
      <c r="G3856" s="1" t="str">
        <f>"0324D421"</f>
        <v>0324D421</v>
      </c>
      <c r="H3856" s="1" t="str">
        <f>"한성간 34L19"</f>
        <v>한성간 34L19</v>
      </c>
      <c r="I3856" s="1" t="s">
        <v>8</v>
      </c>
      <c r="J3856" s="1" t="str">
        <f>"9/9"</f>
        <v>9/9</v>
      </c>
      <c r="K3856" s="1" t="str">
        <f>"2026-07-29 13:18:03"</f>
        <v>2026-07-29 13:18:03</v>
      </c>
      <c r="L3856" s="1" t="str">
        <f>"2019-11-14 10:24:37"</f>
        <v>2019-11-14 10:24:37</v>
      </c>
      <c r="M3856" s="1" t="s">
        <v>2</v>
      </c>
      <c r="N3856" s="1" t="s">
        <v>38</v>
      </c>
      <c r="O3856" s="1" t="s">
        <v>46</v>
      </c>
    </row>
    <row r="3857" spans="2:15" x14ac:dyDescent="0.3">
      <c r="B3857" s="1" t="s">
        <v>23</v>
      </c>
      <c r="C3857" s="1" t="str">
        <f t="shared" si="217"/>
        <v>4차</v>
      </c>
      <c r="D3857" s="1" t="str">
        <f>"0324D44144"</f>
        <v>0324D44144</v>
      </c>
      <c r="E3857" s="1" t="s">
        <v>10</v>
      </c>
      <c r="F3857" s="1" t="str">
        <f>"10.11.63.82"</f>
        <v>10.11.63.82</v>
      </c>
      <c r="G3857" s="1" t="str">
        <f>"0324D441"</f>
        <v>0324D441</v>
      </c>
      <c r="H3857" s="1" t="str">
        <f>"경마간 12"</f>
        <v>경마간 12</v>
      </c>
      <c r="I3857" s="1" t="s">
        <v>8</v>
      </c>
      <c r="J3857" s="1" t="str">
        <f>"31/32"</f>
        <v>31/32</v>
      </c>
      <c r="K3857" s="1" t="str">
        <f>"2026-07-29 13:18:02"</f>
        <v>2026-07-29 13:18:02</v>
      </c>
      <c r="L3857" s="1" t="str">
        <f>"2023-03-10 16:55:37"</f>
        <v>2023-03-10 16:55:37</v>
      </c>
      <c r="M3857" s="1" t="s">
        <v>2</v>
      </c>
      <c r="N3857" s="1" t="s">
        <v>38</v>
      </c>
      <c r="O3857" s="1" t="s">
        <v>46</v>
      </c>
    </row>
    <row r="3858" spans="2:15" x14ac:dyDescent="0.3">
      <c r="B3858" s="1" t="s">
        <v>23</v>
      </c>
      <c r="C3858" s="1" t="str">
        <f t="shared" si="217"/>
        <v>4차</v>
      </c>
      <c r="D3858" s="1" t="str">
        <f>"0324D46139"</f>
        <v>0324D46139</v>
      </c>
      <c r="E3858" s="1" t="s">
        <v>10</v>
      </c>
      <c r="F3858" s="1" t="str">
        <f>"10.11.60.2"</f>
        <v>10.11.60.2</v>
      </c>
      <c r="G3858" s="1" t="str">
        <f>"0324D461"</f>
        <v>0324D461</v>
      </c>
      <c r="H3858" s="1" t="str">
        <f>"성노간 10L9"</f>
        <v>성노간 10L9</v>
      </c>
      <c r="I3858" s="1" t="s">
        <v>8</v>
      </c>
      <c r="J3858" s="1" t="str">
        <f>"45/47"</f>
        <v>45/47</v>
      </c>
      <c r="K3858" s="1" t="str">
        <f>"2026-07-29 13:18:02"</f>
        <v>2026-07-29 13:18:02</v>
      </c>
      <c r="L3858" s="1" t="str">
        <f>"2018-04-27 09:46:55"</f>
        <v>2018-04-27 09:46:55</v>
      </c>
      <c r="M3858" s="1" t="s">
        <v>2</v>
      </c>
      <c r="N3858" s="1" t="s">
        <v>38</v>
      </c>
      <c r="O3858" s="1" t="s">
        <v>46</v>
      </c>
    </row>
    <row r="3859" spans="2:15" x14ac:dyDescent="0.3">
      <c r="B3859" s="1" t="s">
        <v>23</v>
      </c>
      <c r="C3859" s="1" t="str">
        <f t="shared" si="217"/>
        <v>4차</v>
      </c>
      <c r="D3859" s="1" t="str">
        <f>"0324D46239"</f>
        <v>0324D46239</v>
      </c>
      <c r="E3859" s="1" t="s">
        <v>10</v>
      </c>
      <c r="F3859" s="1" t="str">
        <f>"10.125.5.242"</f>
        <v>10.125.5.242</v>
      </c>
      <c r="G3859" s="1" t="str">
        <f>"0324D462"</f>
        <v>0324D462</v>
      </c>
      <c r="H3859" s="1" t="str">
        <f>"성노간 10L10"</f>
        <v>성노간 10L10</v>
      </c>
      <c r="I3859" s="1" t="s">
        <v>8</v>
      </c>
      <c r="J3859" s="1" t="str">
        <f>"61/61"</f>
        <v>61/61</v>
      </c>
      <c r="K3859" s="1" t="str">
        <f>"2026-07-29 13:18:03"</f>
        <v>2026-07-29 13:18:03</v>
      </c>
      <c r="L3859" s="1" t="str">
        <f>"2024-03-14 16:52:04"</f>
        <v>2024-03-14 16:52:04</v>
      </c>
      <c r="M3859" s="1" t="s">
        <v>45</v>
      </c>
      <c r="N3859" s="1" t="s">
        <v>38</v>
      </c>
      <c r="O3859" s="1" t="s">
        <v>46</v>
      </c>
    </row>
    <row r="3860" spans="2:15" x14ac:dyDescent="0.3">
      <c r="B3860" s="1" t="s">
        <v>23</v>
      </c>
      <c r="C3860" s="1" t="str">
        <f t="shared" si="217"/>
        <v>4차</v>
      </c>
      <c r="D3860" s="1" t="str">
        <f>"0324D48644"</f>
        <v>0324D48644</v>
      </c>
      <c r="E3860" s="1" t="s">
        <v>10</v>
      </c>
      <c r="F3860" s="1" t="str">
        <f>"10.11.66.98"</f>
        <v>10.11.66.98</v>
      </c>
      <c r="G3860" s="1" t="str">
        <f>"0324D486"</f>
        <v>0324D486</v>
      </c>
      <c r="H3860" s="1" t="str">
        <f>"성노간 10L6R2R1"</f>
        <v>성노간 10L6R2R1</v>
      </c>
      <c r="I3860" s="1" t="s">
        <v>8</v>
      </c>
      <c r="J3860" s="1" t="str">
        <f>"65/68"</f>
        <v>65/68</v>
      </c>
      <c r="K3860" s="1" t="str">
        <f>"2026-07-29 13:18:02"</f>
        <v>2026-07-29 13:18:02</v>
      </c>
      <c r="L3860" s="1" t="str">
        <f>"2019-10-29 10:53:05"</f>
        <v>2019-10-29 10:53:05</v>
      </c>
      <c r="M3860" s="1" t="s">
        <v>2</v>
      </c>
      <c r="N3860" s="1" t="s">
        <v>38</v>
      </c>
      <c r="O3860" s="1" t="s">
        <v>46</v>
      </c>
    </row>
    <row r="3861" spans="2:15" x14ac:dyDescent="0.3">
      <c r="B3861" s="1" t="s">
        <v>23</v>
      </c>
      <c r="C3861" s="1" t="str">
        <f t="shared" si="217"/>
        <v>4차</v>
      </c>
      <c r="D3861" s="1" t="str">
        <f>"0324D49144"</f>
        <v>0324D49144</v>
      </c>
      <c r="E3861" s="1" t="s">
        <v>10</v>
      </c>
      <c r="F3861" s="1" t="str">
        <f>"10.125.1.218"</f>
        <v>10.125.1.218</v>
      </c>
      <c r="G3861" s="1" t="str">
        <f>"0324D491"</f>
        <v>0324D491</v>
      </c>
      <c r="H3861" s="1" t="str">
        <f>"성노간 10L6R2R4"</f>
        <v>성노간 10L6R2R4</v>
      </c>
      <c r="I3861" s="1" t="s">
        <v>8</v>
      </c>
      <c r="J3861" s="1" t="str">
        <f>"74/83"</f>
        <v>74/83</v>
      </c>
      <c r="K3861" s="1" t="str">
        <f>"2026-07-29 13:18:03"</f>
        <v>2026-07-29 13:18:03</v>
      </c>
      <c r="L3861" s="1" t="str">
        <f>"2023-07-12 14:36:57"</f>
        <v>2023-07-12 14:36:57</v>
      </c>
      <c r="M3861" s="1" t="s">
        <v>45</v>
      </c>
      <c r="N3861" s="1" t="s">
        <v>38</v>
      </c>
      <c r="O3861" s="1" t="s">
        <v>46</v>
      </c>
    </row>
    <row r="3862" spans="2:15" x14ac:dyDescent="0.3">
      <c r="B3862" s="1" t="s">
        <v>23</v>
      </c>
      <c r="C3862" s="1" t="s">
        <v>16</v>
      </c>
      <c r="D3862" s="1" t="str">
        <f>"0324D49301"</f>
        <v>0324D49301</v>
      </c>
      <c r="E3862" s="1" t="s">
        <v>10</v>
      </c>
      <c r="F3862" s="1" t="str">
        <f>"10.12.128.94"</f>
        <v>10.12.128.94</v>
      </c>
      <c r="G3862" s="1" t="str">
        <f>"0324D493"</f>
        <v>0324D493</v>
      </c>
      <c r="H3862" s="1" t="str">
        <f>"성노간 10L6R2R3R1"</f>
        <v>성노간 10L6R2R3R1</v>
      </c>
      <c r="I3862" s="1" t="s">
        <v>8</v>
      </c>
      <c r="J3862" s="1" t="str">
        <f>"18/18"</f>
        <v>18/18</v>
      </c>
      <c r="K3862" s="1" t="str">
        <f>"2026-07-29 13:18:04"</f>
        <v>2026-07-29 13:18:04</v>
      </c>
      <c r="L3862" s="1" t="str">
        <f>"2022-09-01 10:53:25"</f>
        <v>2022-09-01 10:53:25</v>
      </c>
      <c r="M3862" s="1" t="s">
        <v>0</v>
      </c>
      <c r="N3862" s="1" t="s">
        <v>38</v>
      </c>
      <c r="O3862" s="1" t="s">
        <v>46</v>
      </c>
    </row>
    <row r="3863" spans="2:15" x14ac:dyDescent="0.3">
      <c r="B3863" s="1" t="s">
        <v>23</v>
      </c>
      <c r="C3863" s="1" t="str">
        <f>"4차"</f>
        <v>4차</v>
      </c>
      <c r="D3863" s="1" t="str">
        <f>"0324D50344"</f>
        <v>0324D50344</v>
      </c>
      <c r="E3863" s="1" t="s">
        <v>10</v>
      </c>
      <c r="F3863" s="1" t="str">
        <f>"10.11.78.42"</f>
        <v>10.11.78.42</v>
      </c>
      <c r="G3863" s="1" t="str">
        <f>"0324D503"</f>
        <v>0324D503</v>
      </c>
      <c r="H3863" s="1" t="str">
        <f>"한성간 34L17"</f>
        <v>한성간 34L17</v>
      </c>
      <c r="I3863" s="1" t="s">
        <v>8</v>
      </c>
      <c r="J3863" s="1" t="str">
        <f>"16/16"</f>
        <v>16/16</v>
      </c>
      <c r="K3863" s="1" t="str">
        <f>"2026-07-29 13:18:02"</f>
        <v>2026-07-29 13:18:02</v>
      </c>
      <c r="L3863" s="1" t="str">
        <f>"2019-11-14 10:27:00"</f>
        <v>2019-11-14 10:27:00</v>
      </c>
      <c r="M3863" s="1" t="s">
        <v>2</v>
      </c>
      <c r="N3863" s="1" t="s">
        <v>38</v>
      </c>
      <c r="O3863" s="1" t="s">
        <v>46</v>
      </c>
    </row>
    <row r="3864" spans="2:15" x14ac:dyDescent="0.3">
      <c r="B3864" s="1" t="s">
        <v>23</v>
      </c>
      <c r="C3864" s="1" t="str">
        <f>"4차"</f>
        <v>4차</v>
      </c>
      <c r="D3864" s="1" t="str">
        <f>"0324D50444"</f>
        <v>0324D50444</v>
      </c>
      <c r="E3864" s="1" t="s">
        <v>10</v>
      </c>
      <c r="F3864" s="1" t="str">
        <f>"10.11.74.194"</f>
        <v>10.11.74.194</v>
      </c>
      <c r="G3864" s="1" t="str">
        <f>"0324D504"</f>
        <v>0324D504</v>
      </c>
      <c r="H3864" s="1" t="str">
        <f>"한성간 34L17R2"</f>
        <v>한성간 34L17R2</v>
      </c>
      <c r="I3864" s="1" t="s">
        <v>8</v>
      </c>
      <c r="J3864" s="1" t="str">
        <f>"44/44"</f>
        <v>44/44</v>
      </c>
      <c r="K3864" s="1" t="str">
        <f>"2026-07-29 13:18:02"</f>
        <v>2026-07-29 13:18:02</v>
      </c>
      <c r="L3864" s="1" t="str">
        <f>"2019-11-18 19:23:26"</f>
        <v>2019-11-18 19:23:26</v>
      </c>
      <c r="M3864" s="1" t="s">
        <v>2</v>
      </c>
      <c r="N3864" s="1" t="s">
        <v>38</v>
      </c>
      <c r="O3864" s="1" t="s">
        <v>46</v>
      </c>
    </row>
    <row r="3865" spans="2:15" x14ac:dyDescent="0.3">
      <c r="B3865" s="1" t="s">
        <v>23</v>
      </c>
      <c r="C3865" s="1" t="str">
        <f>"4차"</f>
        <v>4차</v>
      </c>
      <c r="D3865" s="1" t="str">
        <f>"0324D51244"</f>
        <v>0324D51244</v>
      </c>
      <c r="E3865" s="1" t="s">
        <v>10</v>
      </c>
      <c r="F3865" s="1" t="str">
        <f>"10.11.74.186"</f>
        <v>10.11.74.186</v>
      </c>
      <c r="G3865" s="1" t="str">
        <f>"0324D512"</f>
        <v>0324D512</v>
      </c>
      <c r="H3865" s="1" t="str">
        <f>"한성간 34L17R1"</f>
        <v>한성간 34L17R1</v>
      </c>
      <c r="I3865" s="1" t="s">
        <v>8</v>
      </c>
      <c r="J3865" s="1" t="str">
        <f>"47/50"</f>
        <v>47/50</v>
      </c>
      <c r="K3865" s="1" t="str">
        <f>"2026-07-29 13:18:03"</f>
        <v>2026-07-29 13:18:03</v>
      </c>
      <c r="L3865" s="1" t="str">
        <f>"2019-11-18 19:18:55"</f>
        <v>2019-11-18 19:18:55</v>
      </c>
      <c r="M3865" s="1" t="s">
        <v>2</v>
      </c>
      <c r="N3865" s="1" t="s">
        <v>38</v>
      </c>
      <c r="O3865" s="1" t="s">
        <v>46</v>
      </c>
    </row>
    <row r="3866" spans="2:15" x14ac:dyDescent="0.3">
      <c r="B3866" s="1" t="s">
        <v>23</v>
      </c>
      <c r="C3866" s="1" t="str">
        <f>"3차"</f>
        <v>3차</v>
      </c>
      <c r="D3866" s="1" t="str">
        <f>"0324D52139"</f>
        <v>0324D52139</v>
      </c>
      <c r="E3866" s="1" t="s">
        <v>10</v>
      </c>
      <c r="F3866" s="1" t="str">
        <f>"10.11.80.170"</f>
        <v>10.11.80.170</v>
      </c>
      <c r="G3866" s="1" t="str">
        <f>"0324D521"</f>
        <v>0324D521</v>
      </c>
      <c r="H3866" s="1" t="str">
        <f>"한성간 8L4"</f>
        <v>한성간 8L4</v>
      </c>
      <c r="I3866" s="1" t="s">
        <v>8</v>
      </c>
      <c r="J3866" s="1" t="str">
        <f>"83/84"</f>
        <v>83/84</v>
      </c>
      <c r="K3866" s="1" t="str">
        <f>"2026-07-29 13:18:02"</f>
        <v>2026-07-29 13:18:02</v>
      </c>
      <c r="L3866" s="1" t="str">
        <f>"2021-07-28 15:57:12"</f>
        <v>2021-07-28 15:57:12</v>
      </c>
      <c r="M3866" s="1" t="s">
        <v>2</v>
      </c>
      <c r="N3866" s="1" t="s">
        <v>38</v>
      </c>
      <c r="O3866" s="1" t="s">
        <v>46</v>
      </c>
    </row>
    <row r="3867" spans="2:15" x14ac:dyDescent="0.3">
      <c r="B3867" s="1" t="s">
        <v>23</v>
      </c>
      <c r="C3867" s="1" t="str">
        <f>"4차"</f>
        <v>4차</v>
      </c>
      <c r="D3867" s="1" t="str">
        <f>"0324D52244"</f>
        <v>0324D52244</v>
      </c>
      <c r="E3867" s="1" t="s">
        <v>10</v>
      </c>
      <c r="F3867" s="1" t="str">
        <f>"10.11.75.2"</f>
        <v>10.11.75.2</v>
      </c>
      <c r="G3867" s="1" t="str">
        <f>"0324D522"</f>
        <v>0324D522</v>
      </c>
      <c r="H3867" s="1" t="str">
        <f>"한성간 8L3R1"</f>
        <v>한성간 8L3R1</v>
      </c>
      <c r="I3867" s="1" t="s">
        <v>8</v>
      </c>
      <c r="J3867" s="1" t="str">
        <f>"34/34"</f>
        <v>34/34</v>
      </c>
      <c r="K3867" s="1" t="str">
        <f>"2026-07-29 13:18:03"</f>
        <v>2026-07-29 13:18:03</v>
      </c>
      <c r="L3867" s="1" t="str">
        <f>"2019-11-14 22:33:46"</f>
        <v>2019-11-14 22:33:46</v>
      </c>
      <c r="M3867" s="1" t="s">
        <v>2</v>
      </c>
      <c r="N3867" s="1" t="s">
        <v>38</v>
      </c>
      <c r="O3867" s="1" t="s">
        <v>46</v>
      </c>
    </row>
    <row r="3868" spans="2:15" x14ac:dyDescent="0.3">
      <c r="B3868" s="1" t="s">
        <v>23</v>
      </c>
      <c r="C3868" s="1" t="str">
        <f>"5-2차"</f>
        <v>5-2차</v>
      </c>
      <c r="D3868" s="1" t="str">
        <f>"0324D5345M"</f>
        <v>0324D5345M</v>
      </c>
      <c r="E3868" s="1" t="s">
        <v>10</v>
      </c>
      <c r="F3868" s="1" t="str">
        <f>"fde1:103:4:6ea6:0:0:0:2"</f>
        <v>fde1:103:4:6ea6:0:0:0:2</v>
      </c>
      <c r="G3868" s="1" t="str">
        <f>"0324D534"</f>
        <v>0324D534</v>
      </c>
      <c r="H3868" s="1" t="str">
        <f>"한성간 8L1"</f>
        <v>한성간 8L1</v>
      </c>
      <c r="I3868" s="1" t="s">
        <v>15</v>
      </c>
      <c r="J3868" s="1" t="str">
        <f>"35/35"</f>
        <v>35/35</v>
      </c>
      <c r="K3868" s="1" t="str">
        <f>"2026-07-29 14:20:40"</f>
        <v>2026-07-29 14:20:40</v>
      </c>
      <c r="L3868" s="1" t="str">
        <f>"2023-11-14 13:31:06"</f>
        <v>2023-11-14 13:31:06</v>
      </c>
      <c r="M3868" s="1" t="s">
        <v>4</v>
      </c>
      <c r="N3868" s="1" t="s">
        <v>38</v>
      </c>
      <c r="O3868" s="1" t="s">
        <v>46</v>
      </c>
    </row>
    <row r="3869" spans="2:15" x14ac:dyDescent="0.3">
      <c r="B3869" s="1" t="s">
        <v>23</v>
      </c>
      <c r="C3869" s="1" t="str">
        <f>"3차"</f>
        <v>3차</v>
      </c>
      <c r="D3869" s="1" t="str">
        <f>"0324D56139"</f>
        <v>0324D56139</v>
      </c>
      <c r="E3869" s="1" t="s">
        <v>10</v>
      </c>
      <c r="F3869" s="1" t="str">
        <f>"10.11.53.26"</f>
        <v>10.11.53.26</v>
      </c>
      <c r="G3869" s="1" t="str">
        <f>"0324D561"</f>
        <v>0324D561</v>
      </c>
      <c r="H3869" s="1" t="str">
        <f>"성노간 10L8"</f>
        <v>성노간 10L8</v>
      </c>
      <c r="I3869" s="1" t="s">
        <v>8</v>
      </c>
      <c r="J3869" s="1" t="str">
        <f>"15/15"</f>
        <v>15/15</v>
      </c>
      <c r="K3869" s="1" t="str">
        <f>"2026-07-29 13:18:02"</f>
        <v>2026-07-29 13:18:02</v>
      </c>
      <c r="L3869" s="1" t="str">
        <f>"2018-07-23 10:49:25"</f>
        <v>2018-07-23 10:49:25</v>
      </c>
      <c r="M3869" s="1" t="s">
        <v>2</v>
      </c>
      <c r="N3869" s="1" t="s">
        <v>38</v>
      </c>
      <c r="O3869" s="1" t="s">
        <v>46</v>
      </c>
    </row>
    <row r="3870" spans="2:15" x14ac:dyDescent="0.3">
      <c r="B3870" s="1" t="s">
        <v>23</v>
      </c>
      <c r="C3870" s="1" t="str">
        <f>"4차"</f>
        <v>4차</v>
      </c>
      <c r="D3870" s="1" t="str">
        <f>"0324D56339"</f>
        <v>0324D56339</v>
      </c>
      <c r="E3870" s="1" t="s">
        <v>10</v>
      </c>
      <c r="F3870" s="1" t="str">
        <f>"10.11.57.2"</f>
        <v>10.11.57.2</v>
      </c>
      <c r="G3870" s="1" t="str">
        <f>"0324D563"</f>
        <v>0324D563</v>
      </c>
      <c r="H3870" s="1" t="str">
        <f>"성노간 10L8L2R2R2"</f>
        <v>성노간 10L8L2R2R2</v>
      </c>
      <c r="I3870" s="1" t="s">
        <v>8</v>
      </c>
      <c r="J3870" s="1" t="str">
        <f>"105/123"</f>
        <v>105/123</v>
      </c>
      <c r="K3870" s="1" t="str">
        <f>"2026-07-29 13:18:02"</f>
        <v>2026-07-29 13:18:02</v>
      </c>
      <c r="L3870" s="1" t="str">
        <f>"2018-05-09 12:05:42"</f>
        <v>2018-05-09 12:05:42</v>
      </c>
      <c r="M3870" s="1" t="s">
        <v>2</v>
      </c>
      <c r="N3870" s="1" t="s">
        <v>38</v>
      </c>
      <c r="O3870" s="1" t="s">
        <v>46</v>
      </c>
    </row>
    <row r="3871" spans="2:15" x14ac:dyDescent="0.3">
      <c r="B3871" s="1" t="s">
        <v>23</v>
      </c>
      <c r="C3871" s="1" t="str">
        <f>"1차"</f>
        <v>1차</v>
      </c>
      <c r="D3871" s="1" t="str">
        <f>"0324D57100"</f>
        <v>0324D57100</v>
      </c>
      <c r="E3871" s="1" t="s">
        <v>10</v>
      </c>
      <c r="F3871" s="1" t="str">
        <f>"10.125.5.250"</f>
        <v>10.125.5.250</v>
      </c>
      <c r="G3871" s="1" t="str">
        <f>"0324D571"</f>
        <v>0324D571</v>
      </c>
      <c r="H3871" s="1" t="str">
        <f>"성노간 10L6"</f>
        <v>성노간 10L6</v>
      </c>
      <c r="I3871" s="1" t="s">
        <v>8</v>
      </c>
      <c r="J3871" s="1" t="str">
        <f>"32/32"</f>
        <v>32/32</v>
      </c>
      <c r="K3871" s="1" t="str">
        <f>"2026-07-29 13:18:02"</f>
        <v>2026-07-29 13:18:02</v>
      </c>
      <c r="L3871" s="1" t="str">
        <f>"2016-07-18 13:26:04"</f>
        <v>2016-07-18 13:26:04</v>
      </c>
      <c r="M3871" s="1" t="s">
        <v>45</v>
      </c>
      <c r="N3871" s="1" t="s">
        <v>38</v>
      </c>
      <c r="O3871" s="1" t="s">
        <v>46</v>
      </c>
    </row>
    <row r="3872" spans="2:15" x14ac:dyDescent="0.3">
      <c r="B3872" s="1" t="s">
        <v>23</v>
      </c>
      <c r="C3872" s="1" t="str">
        <f>"4차"</f>
        <v>4차</v>
      </c>
      <c r="D3872" s="1" t="str">
        <f>"0324D61144"</f>
        <v>0324D61144</v>
      </c>
      <c r="E3872" s="1" t="s">
        <v>10</v>
      </c>
      <c r="F3872" s="1" t="str">
        <f>"10.11.75.10"</f>
        <v>10.11.75.10</v>
      </c>
      <c r="G3872" s="1" t="str">
        <f>"0324D611"</f>
        <v>0324D611</v>
      </c>
      <c r="H3872" s="1" t="str">
        <f>"한성간 8L5"</f>
        <v>한성간 8L5</v>
      </c>
      <c r="I3872" s="1" t="s">
        <v>8</v>
      </c>
      <c r="J3872" s="1" t="str">
        <f>"44/47"</f>
        <v>44/47</v>
      </c>
      <c r="K3872" s="1" t="str">
        <f>"2026-07-29 13:18:02"</f>
        <v>2026-07-29 13:18:02</v>
      </c>
      <c r="L3872" s="1" t="str">
        <f>"2019-11-14 22:43:04"</f>
        <v>2019-11-14 22:43:04</v>
      </c>
      <c r="M3872" s="1" t="s">
        <v>2</v>
      </c>
      <c r="N3872" s="1" t="s">
        <v>38</v>
      </c>
      <c r="O3872" s="1" t="s">
        <v>46</v>
      </c>
    </row>
    <row r="3873" spans="2:15" x14ac:dyDescent="0.3">
      <c r="B3873" s="1" t="s">
        <v>23</v>
      </c>
      <c r="C3873" s="1" t="str">
        <f>"4차"</f>
        <v>4차</v>
      </c>
      <c r="D3873" s="1" t="str">
        <f>"0324D61444"</f>
        <v>0324D61444</v>
      </c>
      <c r="E3873" s="1" t="s">
        <v>10</v>
      </c>
      <c r="F3873" s="1" t="str">
        <f>"10.11.74.202"</f>
        <v>10.11.74.202</v>
      </c>
      <c r="G3873" s="1" t="str">
        <f>"0324D614"</f>
        <v>0324D614</v>
      </c>
      <c r="H3873" s="1" t="str">
        <f>"한성간 34L17R2L1"</f>
        <v>한성간 34L17R2L1</v>
      </c>
      <c r="I3873" s="1" t="s">
        <v>8</v>
      </c>
      <c r="J3873" s="1" t="str">
        <f>"54/54"</f>
        <v>54/54</v>
      </c>
      <c r="K3873" s="1" t="str">
        <f>"2026-07-29 13:18:02"</f>
        <v>2026-07-29 13:18:02</v>
      </c>
      <c r="L3873" s="1" t="str">
        <f>"2019-11-18 19:21:57"</f>
        <v>2019-11-18 19:21:57</v>
      </c>
      <c r="M3873" s="1" t="s">
        <v>2</v>
      </c>
      <c r="N3873" s="1" t="s">
        <v>38</v>
      </c>
      <c r="O3873" s="1" t="s">
        <v>46</v>
      </c>
    </row>
    <row r="3874" spans="2:15" x14ac:dyDescent="0.3">
      <c r="B3874" s="1" t="s">
        <v>23</v>
      </c>
      <c r="C3874" s="1" t="str">
        <f>"4차"</f>
        <v>4차</v>
      </c>
      <c r="D3874" s="1" t="str">
        <f>"0324D63244"</f>
        <v>0324D63244</v>
      </c>
      <c r="E3874" s="1" t="s">
        <v>10</v>
      </c>
      <c r="F3874" s="1" t="str">
        <f>"10.12.132.193"</f>
        <v>10.12.132.193</v>
      </c>
      <c r="G3874" s="1" t="str">
        <f>"0324D632"</f>
        <v>0324D632</v>
      </c>
      <c r="H3874" s="1" t="str">
        <f>"한성간 6"</f>
        <v>한성간 6</v>
      </c>
      <c r="I3874" s="1" t="s">
        <v>8</v>
      </c>
      <c r="J3874" s="1" t="str">
        <f>"18/18"</f>
        <v>18/18</v>
      </c>
      <c r="K3874" s="1" t="str">
        <f>"2026-07-29 07:18:04"</f>
        <v>2026-07-29 07:18:04</v>
      </c>
      <c r="L3874" s="1" t="str">
        <f>"2019-11-14 22:31:17"</f>
        <v>2019-11-14 22:31:17</v>
      </c>
      <c r="M3874" s="1" t="s">
        <v>0</v>
      </c>
      <c r="N3874" s="1" t="s">
        <v>38</v>
      </c>
      <c r="O3874" s="1" t="s">
        <v>46</v>
      </c>
    </row>
    <row r="3875" spans="2:15" x14ac:dyDescent="0.3">
      <c r="B3875" s="1" t="s">
        <v>23</v>
      </c>
      <c r="C3875" s="1" t="str">
        <f>"1차"</f>
        <v>1차</v>
      </c>
      <c r="D3875" s="1" t="str">
        <f>"0324D65100"</f>
        <v>0324D65100</v>
      </c>
      <c r="E3875" s="1" t="s">
        <v>10</v>
      </c>
      <c r="F3875" s="1" t="str">
        <f>"10.125.1.226"</f>
        <v>10.125.1.226</v>
      </c>
      <c r="G3875" s="1" t="str">
        <f>"0324D651"</f>
        <v>0324D651</v>
      </c>
      <c r="H3875" s="1" t="str">
        <f>"성노간 10L8L2R2"</f>
        <v>성노간 10L8L2R2</v>
      </c>
      <c r="I3875" s="1" t="s">
        <v>8</v>
      </c>
      <c r="J3875" s="1" t="str">
        <f>"53/53"</f>
        <v>53/53</v>
      </c>
      <c r="K3875" s="1" t="str">
        <f>"2026-07-29 13:18:02"</f>
        <v>2026-07-29 13:18:02</v>
      </c>
      <c r="L3875" s="1" t="str">
        <f>"2014-11-11 00:13:35"</f>
        <v>2014-11-11 00:13:35</v>
      </c>
      <c r="M3875" s="1" t="s">
        <v>45</v>
      </c>
      <c r="N3875" s="1" t="s">
        <v>38</v>
      </c>
      <c r="O3875" s="1" t="s">
        <v>46</v>
      </c>
    </row>
    <row r="3876" spans="2:15" x14ac:dyDescent="0.3">
      <c r="B3876" s="1" t="s">
        <v>23</v>
      </c>
      <c r="C3876" s="1" t="str">
        <f>"4차"</f>
        <v>4차</v>
      </c>
      <c r="D3876" s="1" t="str">
        <f>"0324D65244"</f>
        <v>0324D65244</v>
      </c>
      <c r="E3876" s="1" t="s">
        <v>10</v>
      </c>
      <c r="F3876" s="1" t="str">
        <f>"10.11.66.122"</f>
        <v>10.11.66.122</v>
      </c>
      <c r="G3876" s="1" t="str">
        <f>"0324D652"</f>
        <v>0324D652</v>
      </c>
      <c r="H3876" s="1" t="str">
        <f>"성노간 10L8L2R3"</f>
        <v>성노간 10L8L2R3</v>
      </c>
      <c r="I3876" s="1" t="s">
        <v>8</v>
      </c>
      <c r="J3876" s="1" t="str">
        <f>"59/59"</f>
        <v>59/59</v>
      </c>
      <c r="K3876" s="1" t="str">
        <f>"2026-07-29 13:18:02"</f>
        <v>2026-07-29 13:18:02</v>
      </c>
      <c r="L3876" s="1" t="str">
        <f>"2019-10-29 10:53:05"</f>
        <v>2019-10-29 10:53:05</v>
      </c>
      <c r="M3876" s="1" t="s">
        <v>2</v>
      </c>
      <c r="N3876" s="1" t="s">
        <v>38</v>
      </c>
      <c r="O3876" s="1" t="s">
        <v>46</v>
      </c>
    </row>
    <row r="3877" spans="2:15" x14ac:dyDescent="0.3">
      <c r="B3877" s="1" t="s">
        <v>23</v>
      </c>
      <c r="C3877" s="1" t="str">
        <f>"3차"</f>
        <v>3차</v>
      </c>
      <c r="D3877" s="1" t="str">
        <f>"0324D66139"</f>
        <v>0324D66139</v>
      </c>
      <c r="E3877" s="1" t="s">
        <v>10</v>
      </c>
      <c r="F3877" s="1" t="str">
        <f>"10.11.56.250"</f>
        <v>10.11.56.250</v>
      </c>
      <c r="G3877" s="1" t="str">
        <f>"0324D661"</f>
        <v>0324D661</v>
      </c>
      <c r="H3877" s="1" t="str">
        <f>"성노간 10L8L2R1"</f>
        <v>성노간 10L8L2R1</v>
      </c>
      <c r="I3877" s="1" t="s">
        <v>8</v>
      </c>
      <c r="J3877" s="1" t="str">
        <f>"29/29"</f>
        <v>29/29</v>
      </c>
      <c r="K3877" s="1" t="str">
        <f>"2026-07-29 13:18:01"</f>
        <v>2026-07-29 13:18:01</v>
      </c>
      <c r="L3877" s="1" t="str">
        <f>"2018-05-04 09:46:54"</f>
        <v>2018-05-04 09:46:54</v>
      </c>
      <c r="M3877" s="1" t="s">
        <v>2</v>
      </c>
      <c r="N3877" s="1" t="s">
        <v>38</v>
      </c>
      <c r="O3877" s="1" t="s">
        <v>46</v>
      </c>
    </row>
    <row r="3878" spans="2:15" x14ac:dyDescent="0.3">
      <c r="B3878" s="1" t="s">
        <v>23</v>
      </c>
      <c r="C3878" s="1" t="str">
        <f>"4차"</f>
        <v>4차</v>
      </c>
      <c r="D3878" s="1" t="str">
        <f>"0324D67142"</f>
        <v>0324D67142</v>
      </c>
      <c r="E3878" s="1" t="s">
        <v>10</v>
      </c>
      <c r="F3878" s="1" t="str">
        <f>"10.12.128.229"</f>
        <v>10.12.128.229</v>
      </c>
      <c r="G3878" s="1" t="str">
        <f>"0324D671"</f>
        <v>0324D671</v>
      </c>
      <c r="H3878" s="1" t="str">
        <f>"성노간 10L8L2"</f>
        <v>성노간 10L8L2</v>
      </c>
      <c r="I3878" s="1" t="s">
        <v>8</v>
      </c>
      <c r="J3878" s="1" t="str">
        <f>"47/61"</f>
        <v>47/61</v>
      </c>
      <c r="K3878" s="1" t="str">
        <f>"2026-07-29 13:18:04"</f>
        <v>2026-07-29 13:18:04</v>
      </c>
      <c r="L3878" s="1" t="str">
        <f>"2026-06-19 15:17:40"</f>
        <v>2026-06-19 15:17:40</v>
      </c>
      <c r="M3878" s="1" t="s">
        <v>0</v>
      </c>
      <c r="N3878" s="1" t="s">
        <v>38</v>
      </c>
      <c r="O3878" s="1" t="s">
        <v>46</v>
      </c>
    </row>
    <row r="3879" spans="2:15" x14ac:dyDescent="0.3">
      <c r="B3879" s="1" t="s">
        <v>23</v>
      </c>
      <c r="C3879" s="1" t="str">
        <f>"4차"</f>
        <v>4차</v>
      </c>
      <c r="D3879" s="1" t="str">
        <f>"0324D68139"</f>
        <v>0324D68139</v>
      </c>
      <c r="E3879" s="1" t="s">
        <v>10</v>
      </c>
      <c r="F3879" s="1" t="str">
        <f>"10.11.59.242"</f>
        <v>10.11.59.242</v>
      </c>
      <c r="G3879" s="1" t="str">
        <f>"0324D681"</f>
        <v>0324D681</v>
      </c>
      <c r="H3879" s="1" t="str">
        <f>"성노간 10L4"</f>
        <v>성노간 10L4</v>
      </c>
      <c r="I3879" s="1" t="s">
        <v>8</v>
      </c>
      <c r="J3879" s="1" t="str">
        <f>"75/76"</f>
        <v>75/76</v>
      </c>
      <c r="K3879" s="1" t="str">
        <f>"2026-07-29 13:18:03"</f>
        <v>2026-07-29 13:18:03</v>
      </c>
      <c r="L3879" s="1" t="str">
        <f>"2018-04-27 09:50:54"</f>
        <v>2018-04-27 09:50:54</v>
      </c>
      <c r="M3879" s="1" t="s">
        <v>2</v>
      </c>
      <c r="N3879" s="1" t="s">
        <v>38</v>
      </c>
      <c r="O3879" s="1" t="s">
        <v>46</v>
      </c>
    </row>
    <row r="3880" spans="2:15" x14ac:dyDescent="0.3">
      <c r="B3880" s="1" t="s">
        <v>23</v>
      </c>
      <c r="C3880" s="1" t="str">
        <f>"3차"</f>
        <v>3차</v>
      </c>
      <c r="D3880" s="1" t="str">
        <f>"0324D69139"</f>
        <v>0324D69139</v>
      </c>
      <c r="E3880" s="1" t="s">
        <v>10</v>
      </c>
      <c r="F3880" s="1" t="str">
        <f>"10.11.53.10"</f>
        <v>10.11.53.10</v>
      </c>
      <c r="G3880" s="1" t="str">
        <f>"0324D691"</f>
        <v>0324D691</v>
      </c>
      <c r="H3880" s="1" t="str">
        <f>"성노간 10L2"</f>
        <v>성노간 10L2</v>
      </c>
      <c r="I3880" s="1" t="s">
        <v>8</v>
      </c>
      <c r="J3880" s="1" t="str">
        <f>"46/46"</f>
        <v>46/46</v>
      </c>
      <c r="K3880" s="1" t="str">
        <f>"2026-07-29 13:18:03"</f>
        <v>2026-07-29 13:18:03</v>
      </c>
      <c r="L3880" s="1" t="str">
        <f>"2018-04-27 09:49:26"</f>
        <v>2018-04-27 09:49:26</v>
      </c>
      <c r="M3880" s="1" t="s">
        <v>2</v>
      </c>
      <c r="N3880" s="1" t="s">
        <v>38</v>
      </c>
      <c r="O3880" s="1" t="s">
        <v>46</v>
      </c>
    </row>
    <row r="3881" spans="2:15" x14ac:dyDescent="0.3">
      <c r="B3881" s="1" t="s">
        <v>23</v>
      </c>
      <c r="C3881" s="1" t="str">
        <f t="shared" ref="C3881:C3886" si="218">"4차"</f>
        <v>4차</v>
      </c>
      <c r="D3881" s="1" t="str">
        <f>"0324D70144"</f>
        <v>0324D70144</v>
      </c>
      <c r="E3881" s="1" t="s">
        <v>10</v>
      </c>
      <c r="F3881" s="1" t="str">
        <f>"10.11.74.162"</f>
        <v>10.11.74.162</v>
      </c>
      <c r="G3881" s="1" t="str">
        <f>"0324D701"</f>
        <v>0324D701</v>
      </c>
      <c r="H3881" s="1" t="str">
        <f>"한성간 34L13R2"</f>
        <v>한성간 34L13R2</v>
      </c>
      <c r="I3881" s="1" t="s">
        <v>8</v>
      </c>
      <c r="J3881" s="1" t="str">
        <f>"41/41"</f>
        <v>41/41</v>
      </c>
      <c r="K3881" s="1" t="str">
        <f t="shared" ref="K3881:K3888" si="219">"2026-07-29 13:18:02"</f>
        <v>2026-07-29 13:18:02</v>
      </c>
      <c r="L3881" s="1" t="str">
        <f>"2019-11-18 18:58:40"</f>
        <v>2019-11-18 18:58:40</v>
      </c>
      <c r="M3881" s="1" t="s">
        <v>2</v>
      </c>
      <c r="N3881" s="1" t="s">
        <v>38</v>
      </c>
      <c r="O3881" s="1" t="s">
        <v>46</v>
      </c>
    </row>
    <row r="3882" spans="2:15" x14ac:dyDescent="0.3">
      <c r="B3882" s="1" t="s">
        <v>23</v>
      </c>
      <c r="C3882" s="1" t="str">
        <f t="shared" si="218"/>
        <v>4차</v>
      </c>
      <c r="D3882" s="1" t="str">
        <f>"0324D71144"</f>
        <v>0324D71144</v>
      </c>
      <c r="E3882" s="1" t="s">
        <v>10</v>
      </c>
      <c r="F3882" s="1" t="str">
        <f>"10.11.74.170"</f>
        <v>10.11.74.170</v>
      </c>
      <c r="G3882" s="1" t="str">
        <f>"0324D711"</f>
        <v>0324D711</v>
      </c>
      <c r="H3882" s="1" t="str">
        <f>"한성간 34L13R3"</f>
        <v>한성간 34L13R3</v>
      </c>
      <c r="I3882" s="1" t="s">
        <v>8</v>
      </c>
      <c r="J3882" s="1" t="str">
        <f>"66/66"</f>
        <v>66/66</v>
      </c>
      <c r="K3882" s="1" t="str">
        <f t="shared" si="219"/>
        <v>2026-07-29 13:18:02</v>
      </c>
      <c r="L3882" s="1" t="str">
        <f>"2019-11-18 18:42:31"</f>
        <v>2019-11-18 18:42:31</v>
      </c>
      <c r="M3882" s="1" t="s">
        <v>2</v>
      </c>
      <c r="N3882" s="1" t="s">
        <v>38</v>
      </c>
      <c r="O3882" s="1" t="s">
        <v>46</v>
      </c>
    </row>
    <row r="3883" spans="2:15" x14ac:dyDescent="0.3">
      <c r="B3883" s="1" t="s">
        <v>23</v>
      </c>
      <c r="C3883" s="1" t="str">
        <f t="shared" si="218"/>
        <v>4차</v>
      </c>
      <c r="D3883" s="1" t="str">
        <f>"0324D71244"</f>
        <v>0324D71244</v>
      </c>
      <c r="E3883" s="1" t="s">
        <v>10</v>
      </c>
      <c r="F3883" s="1" t="str">
        <f>"10.11.74.250"</f>
        <v>10.11.74.250</v>
      </c>
      <c r="G3883" s="1" t="str">
        <f>"0324D712"</f>
        <v>0324D712</v>
      </c>
      <c r="H3883" s="1" t="str">
        <f>"한성간 4L3"</f>
        <v>한성간 4L3</v>
      </c>
      <c r="I3883" s="1" t="s">
        <v>8</v>
      </c>
      <c r="J3883" s="1" t="str">
        <f>"55/56"</f>
        <v>55/56</v>
      </c>
      <c r="K3883" s="1" t="str">
        <f t="shared" si="219"/>
        <v>2026-07-29 13:18:02</v>
      </c>
      <c r="L3883" s="1" t="str">
        <f>"2019-11-18 13:07:58"</f>
        <v>2019-11-18 13:07:58</v>
      </c>
      <c r="M3883" s="1" t="s">
        <v>2</v>
      </c>
      <c r="N3883" s="1" t="s">
        <v>38</v>
      </c>
      <c r="O3883" s="1" t="s">
        <v>46</v>
      </c>
    </row>
    <row r="3884" spans="2:15" x14ac:dyDescent="0.3">
      <c r="B3884" s="1" t="s">
        <v>23</v>
      </c>
      <c r="C3884" s="1" t="str">
        <f t="shared" si="218"/>
        <v>4차</v>
      </c>
      <c r="D3884" s="1" t="str">
        <f>"0324D72144"</f>
        <v>0324D72144</v>
      </c>
      <c r="E3884" s="1" t="s">
        <v>10</v>
      </c>
      <c r="F3884" s="1" t="str">
        <f>"10.11.74.242"</f>
        <v>10.11.74.242</v>
      </c>
      <c r="G3884" s="1" t="str">
        <f>"0324D721"</f>
        <v>0324D721</v>
      </c>
      <c r="H3884" s="1" t="str">
        <f>"한성간 4L2"</f>
        <v>한성간 4L2</v>
      </c>
      <c r="I3884" s="1" t="s">
        <v>8</v>
      </c>
      <c r="J3884" s="1" t="str">
        <f>"36/36"</f>
        <v>36/36</v>
      </c>
      <c r="K3884" s="1" t="str">
        <f t="shared" si="219"/>
        <v>2026-07-29 13:18:02</v>
      </c>
      <c r="L3884" s="1" t="str">
        <f>"2019-11-18 13:17:52"</f>
        <v>2019-11-18 13:17:52</v>
      </c>
      <c r="M3884" s="1" t="s">
        <v>2</v>
      </c>
      <c r="N3884" s="1" t="s">
        <v>38</v>
      </c>
      <c r="O3884" s="1" t="s">
        <v>46</v>
      </c>
    </row>
    <row r="3885" spans="2:15" x14ac:dyDescent="0.3">
      <c r="B3885" s="1" t="s">
        <v>23</v>
      </c>
      <c r="C3885" s="1" t="str">
        <f t="shared" si="218"/>
        <v>4차</v>
      </c>
      <c r="D3885" s="1" t="str">
        <f>"0324D73544"</f>
        <v>0324D73544</v>
      </c>
      <c r="E3885" s="1" t="s">
        <v>10</v>
      </c>
      <c r="F3885" s="1" t="str">
        <f>"10.11.66.114"</f>
        <v>10.11.66.114</v>
      </c>
      <c r="G3885" s="1" t="str">
        <f>"0324D735"</f>
        <v>0324D735</v>
      </c>
      <c r="H3885" s="1" t="str">
        <f>"경마간 6R2L1"</f>
        <v>경마간 6R2L1</v>
      </c>
      <c r="I3885" s="1" t="s">
        <v>8</v>
      </c>
      <c r="J3885" s="1" t="str">
        <f>"46/46"</f>
        <v>46/46</v>
      </c>
      <c r="K3885" s="1" t="str">
        <f t="shared" si="219"/>
        <v>2026-07-29 13:18:02</v>
      </c>
      <c r="L3885" s="1" t="str">
        <f>"2019-10-29 10:43:05"</f>
        <v>2019-10-29 10:43:05</v>
      </c>
      <c r="M3885" s="1" t="s">
        <v>2</v>
      </c>
      <c r="N3885" s="1" t="s">
        <v>38</v>
      </c>
      <c r="O3885" s="1" t="s">
        <v>46</v>
      </c>
    </row>
    <row r="3886" spans="2:15" x14ac:dyDescent="0.3">
      <c r="B3886" s="1" t="s">
        <v>23</v>
      </c>
      <c r="C3886" s="1" t="str">
        <f t="shared" si="218"/>
        <v>4차</v>
      </c>
      <c r="D3886" s="1" t="str">
        <f>"0324D76144"</f>
        <v>0324D76144</v>
      </c>
      <c r="E3886" s="1" t="s">
        <v>10</v>
      </c>
      <c r="F3886" s="1" t="str">
        <f>"10.11.66.130"</f>
        <v>10.11.66.130</v>
      </c>
      <c r="G3886" s="1" t="str">
        <f>"0324D761"</f>
        <v>0324D761</v>
      </c>
      <c r="H3886" s="1" t="str">
        <f>"성노간 10L8L3R1"</f>
        <v>성노간 10L8L3R1</v>
      </c>
      <c r="I3886" s="1" t="s">
        <v>8</v>
      </c>
      <c r="J3886" s="1" t="str">
        <f>"49/53"</f>
        <v>49/53</v>
      </c>
      <c r="K3886" s="1" t="str">
        <f t="shared" si="219"/>
        <v>2026-07-29 13:18:02</v>
      </c>
      <c r="L3886" s="1" t="str">
        <f>"2019-10-29 10:53:05"</f>
        <v>2019-10-29 10:53:05</v>
      </c>
      <c r="M3886" s="1" t="s">
        <v>2</v>
      </c>
      <c r="N3886" s="1" t="s">
        <v>38</v>
      </c>
      <c r="O3886" s="1" t="s">
        <v>46</v>
      </c>
    </row>
    <row r="3887" spans="2:15" x14ac:dyDescent="0.3">
      <c r="B3887" s="1" t="s">
        <v>23</v>
      </c>
      <c r="C3887" s="1" t="str">
        <f>"1차"</f>
        <v>1차</v>
      </c>
      <c r="D3887" s="1" t="str">
        <f>"0324D77200"</f>
        <v>0324D77200</v>
      </c>
      <c r="E3887" s="1" t="s">
        <v>10</v>
      </c>
      <c r="F3887" s="1" t="str">
        <f>"10.125.1.234"</f>
        <v>10.125.1.234</v>
      </c>
      <c r="G3887" s="1" t="str">
        <f>"0324D772"</f>
        <v>0324D772</v>
      </c>
      <c r="H3887" s="1" t="str">
        <f>"성노간 10L8L5"</f>
        <v>성노간 10L8L5</v>
      </c>
      <c r="I3887" s="1" t="s">
        <v>8</v>
      </c>
      <c r="J3887" s="1" t="str">
        <f>"72/73"</f>
        <v>72/73</v>
      </c>
      <c r="K3887" s="1" t="str">
        <f t="shared" si="219"/>
        <v>2026-07-29 13:18:02</v>
      </c>
      <c r="L3887" s="1" t="str">
        <f>"2014-11-11 00:13:53"</f>
        <v>2014-11-11 00:13:53</v>
      </c>
      <c r="M3887" s="1" t="s">
        <v>45</v>
      </c>
      <c r="N3887" s="1" t="s">
        <v>38</v>
      </c>
      <c r="O3887" s="1" t="s">
        <v>46</v>
      </c>
    </row>
    <row r="3888" spans="2:15" x14ac:dyDescent="0.3">
      <c r="B3888" s="1" t="s">
        <v>23</v>
      </c>
      <c r="C3888" s="1" t="str">
        <f>"3차"</f>
        <v>3차</v>
      </c>
      <c r="D3888" s="1" t="str">
        <f>"0324D78339"</f>
        <v>0324D78339</v>
      </c>
      <c r="E3888" s="1" t="s">
        <v>10</v>
      </c>
      <c r="F3888" s="1" t="str">
        <f>"10.11.57.18"</f>
        <v>10.11.57.18</v>
      </c>
      <c r="G3888" s="1" t="str">
        <f>"0324D783"</f>
        <v>0324D783</v>
      </c>
      <c r="H3888" s="1" t="str">
        <f>"성노간 10L8L7L4"</f>
        <v>성노간 10L8L7L4</v>
      </c>
      <c r="I3888" s="1" t="s">
        <v>8</v>
      </c>
      <c r="J3888" s="1" t="str">
        <f>"108/109"</f>
        <v>108/109</v>
      </c>
      <c r="K3888" s="1" t="str">
        <f t="shared" si="219"/>
        <v>2026-07-29 13:18:02</v>
      </c>
      <c r="L3888" s="1" t="str">
        <f>"2018-04-27 09:51:40"</f>
        <v>2018-04-27 09:51:40</v>
      </c>
      <c r="M3888" s="1" t="s">
        <v>2</v>
      </c>
      <c r="N3888" s="1" t="s">
        <v>38</v>
      </c>
      <c r="O3888" s="1" t="s">
        <v>46</v>
      </c>
    </row>
    <row r="3889" spans="2:15" x14ac:dyDescent="0.3">
      <c r="B3889" s="1" t="s">
        <v>23</v>
      </c>
      <c r="C3889" s="1" t="str">
        <f>"4차"</f>
        <v>4차</v>
      </c>
      <c r="D3889" s="1" t="str">
        <f>"0324D80345"</f>
        <v>0324D80345</v>
      </c>
      <c r="E3889" s="1" t="s">
        <v>10</v>
      </c>
      <c r="F3889" s="1" t="str">
        <f>"10.14.7.54"</f>
        <v>10.14.7.54</v>
      </c>
      <c r="G3889" s="1" t="str">
        <f>"0324D803"</f>
        <v>0324D803</v>
      </c>
      <c r="H3889" s="1" t="str">
        <f>"능동로 28-1"</f>
        <v>능동로 28-1</v>
      </c>
      <c r="I3889" s="1" t="s">
        <v>17</v>
      </c>
      <c r="J3889" s="1" t="str">
        <f>"5/5"</f>
        <v>5/5</v>
      </c>
      <c r="K3889" s="1" t="str">
        <f>"2026-07-29 13:18:04"</f>
        <v>2026-07-29 13:18:04</v>
      </c>
      <c r="L3889" s="1" t="str">
        <f>"2021-06-25 14:49:18"</f>
        <v>2021-06-25 14:49:18</v>
      </c>
      <c r="M3889" s="1" t="s">
        <v>3</v>
      </c>
      <c r="N3889" s="1" t="s">
        <v>38</v>
      </c>
      <c r="O3889" s="1" t="s">
        <v>46</v>
      </c>
    </row>
    <row r="3890" spans="2:15" x14ac:dyDescent="0.3">
      <c r="B3890" s="1" t="s">
        <v>23</v>
      </c>
      <c r="C3890" s="1" t="str">
        <f>"4차"</f>
        <v>4차</v>
      </c>
      <c r="D3890" s="1" t="str">
        <f>"0324D82439"</f>
        <v>0324D82439</v>
      </c>
      <c r="E3890" s="1" t="s">
        <v>10</v>
      </c>
      <c r="F3890" s="1" t="str">
        <f>"10.11.80.178"</f>
        <v>10.11.80.178</v>
      </c>
      <c r="G3890" s="1" t="str">
        <f>"0324D824"</f>
        <v>0324D824</v>
      </c>
      <c r="H3890" s="1" t="str">
        <f>"경마간 5"</f>
        <v>경마간 5</v>
      </c>
      <c r="I3890" s="1" t="s">
        <v>8</v>
      </c>
      <c r="J3890" s="1" t="str">
        <f>"36/36"</f>
        <v>36/36</v>
      </c>
      <c r="K3890" s="1" t="str">
        <f>"2026-07-29 13:18:02"</f>
        <v>2026-07-29 13:18:02</v>
      </c>
      <c r="L3890" s="1" t="str">
        <f>"2018-04-17 18:16:15"</f>
        <v>2018-04-17 18:16:15</v>
      </c>
      <c r="M3890" s="1" t="s">
        <v>2</v>
      </c>
      <c r="N3890" s="1" t="s">
        <v>38</v>
      </c>
      <c r="O3890" s="1" t="s">
        <v>46</v>
      </c>
    </row>
    <row r="3891" spans="2:15" x14ac:dyDescent="0.3">
      <c r="B3891" s="1" t="s">
        <v>23</v>
      </c>
      <c r="C3891" s="1" t="str">
        <f>"5-2차"</f>
        <v>5-2차</v>
      </c>
      <c r="D3891" s="1" t="str">
        <f>"0324D8525S"</f>
        <v>0324D8525S</v>
      </c>
      <c r="E3891" s="1" t="s">
        <v>10</v>
      </c>
      <c r="F3891" s="1" t="str">
        <f>"fde1:103:4:6ea1:0:0:0:2"</f>
        <v>fde1:103:4:6ea1:0:0:0:2</v>
      </c>
      <c r="G3891" s="1" t="str">
        <f>"0324D852"</f>
        <v>0324D852</v>
      </c>
      <c r="H3891" s="1" t="str">
        <f>"경마간 6R4"</f>
        <v>경마간 6R4</v>
      </c>
      <c r="I3891" s="1" t="s">
        <v>15</v>
      </c>
      <c r="J3891" s="1" t="str">
        <f>"43/43"</f>
        <v>43/43</v>
      </c>
      <c r="K3891" s="1" t="str">
        <f>"2026-07-29 14:20:58"</f>
        <v>2026-07-29 14:20:58</v>
      </c>
      <c r="L3891" s="1" t="str">
        <f>"2023-11-14 13:33:18"</f>
        <v>2023-11-14 13:33:18</v>
      </c>
      <c r="M3891" s="1" t="s">
        <v>4</v>
      </c>
      <c r="N3891" s="1" t="s">
        <v>38</v>
      </c>
      <c r="O3891" s="1" t="s">
        <v>46</v>
      </c>
    </row>
    <row r="3892" spans="2:15" x14ac:dyDescent="0.3">
      <c r="B3892" s="1" t="s">
        <v>23</v>
      </c>
      <c r="C3892" s="1" t="str">
        <f>"4차"</f>
        <v>4차</v>
      </c>
      <c r="D3892" s="1" t="str">
        <f>"0324D87239"</f>
        <v>0324D87239</v>
      </c>
      <c r="E3892" s="1" t="s">
        <v>10</v>
      </c>
      <c r="F3892" s="1" t="str">
        <f>"10.11.63.74"</f>
        <v>10.11.63.74</v>
      </c>
      <c r="G3892" s="1" t="str">
        <f>"0324D872"</f>
        <v>0324D872</v>
      </c>
      <c r="H3892" s="1" t="str">
        <f>"성노간 10L8L7"</f>
        <v>성노간 10L8L7</v>
      </c>
      <c r="I3892" s="1" t="s">
        <v>8</v>
      </c>
      <c r="J3892" s="1" t="str">
        <f>"97/97"</f>
        <v>97/97</v>
      </c>
      <c r="K3892" s="1" t="str">
        <f t="shared" ref="K3892:K3899" si="220">"2026-07-29 13:18:02"</f>
        <v>2026-07-29 13:18:02</v>
      </c>
      <c r="L3892" s="1" t="str">
        <f>"2018-06-14 10:56:26"</f>
        <v>2018-06-14 10:56:26</v>
      </c>
      <c r="M3892" s="1" t="s">
        <v>2</v>
      </c>
      <c r="N3892" s="1" t="s">
        <v>38</v>
      </c>
      <c r="O3892" s="1" t="s">
        <v>46</v>
      </c>
    </row>
    <row r="3893" spans="2:15" x14ac:dyDescent="0.3">
      <c r="B3893" s="1" t="s">
        <v>23</v>
      </c>
      <c r="C3893" s="1" t="str">
        <f>"3차"</f>
        <v>3차</v>
      </c>
      <c r="D3893" s="1" t="str">
        <f>"0324D88139"</f>
        <v>0324D88139</v>
      </c>
      <c r="E3893" s="1" t="s">
        <v>10</v>
      </c>
      <c r="F3893" s="1" t="str">
        <f>"10.11.57.10"</f>
        <v>10.11.57.10</v>
      </c>
      <c r="G3893" s="1" t="str">
        <f>"0324D881"</f>
        <v>0324D881</v>
      </c>
      <c r="H3893" s="1" t="str">
        <f>"성노간 10L8L7L1"</f>
        <v>성노간 10L8L7L1</v>
      </c>
      <c r="I3893" s="1" t="s">
        <v>8</v>
      </c>
      <c r="J3893" s="1" t="str">
        <f>"53/53"</f>
        <v>53/53</v>
      </c>
      <c r="K3893" s="1" t="str">
        <f t="shared" si="220"/>
        <v>2026-07-29 13:18:02</v>
      </c>
      <c r="L3893" s="1" t="str">
        <f>"2018-04-27 09:51:09"</f>
        <v>2018-04-27 09:51:09</v>
      </c>
      <c r="M3893" s="1" t="s">
        <v>2</v>
      </c>
      <c r="N3893" s="1" t="s">
        <v>38</v>
      </c>
      <c r="O3893" s="1" t="s">
        <v>46</v>
      </c>
    </row>
    <row r="3894" spans="2:15" x14ac:dyDescent="0.3">
      <c r="B3894" s="1" t="s">
        <v>23</v>
      </c>
      <c r="C3894" s="1" t="str">
        <f t="shared" ref="C3894:C3901" si="221">"4차"</f>
        <v>4차</v>
      </c>
      <c r="D3894" s="1" t="str">
        <f>"0324D89542"</f>
        <v>0324D89542</v>
      </c>
      <c r="E3894" s="1" t="s">
        <v>10</v>
      </c>
      <c r="F3894" s="1" t="str">
        <f>"10.125.6.2"</f>
        <v>10.125.6.2</v>
      </c>
      <c r="G3894" s="1" t="str">
        <f>"0324D895"</f>
        <v>0324D895</v>
      </c>
      <c r="H3894" s="1" t="str">
        <f>"성노간 6"</f>
        <v>성노간 6</v>
      </c>
      <c r="I3894" s="1" t="s">
        <v>8</v>
      </c>
      <c r="J3894" s="1" t="str">
        <f>"42/42"</f>
        <v>42/42</v>
      </c>
      <c r="K3894" s="1" t="str">
        <f t="shared" si="220"/>
        <v>2026-07-29 13:18:02</v>
      </c>
      <c r="L3894" s="1" t="str">
        <f>"2024-12-24 10:41:58"</f>
        <v>2024-12-24 10:41:58</v>
      </c>
      <c r="M3894" s="1" t="s">
        <v>45</v>
      </c>
      <c r="N3894" s="1" t="s">
        <v>38</v>
      </c>
      <c r="O3894" s="1" t="s">
        <v>46</v>
      </c>
    </row>
    <row r="3895" spans="2:15" x14ac:dyDescent="0.3">
      <c r="B3895" s="1" t="s">
        <v>23</v>
      </c>
      <c r="C3895" s="1" t="str">
        <f t="shared" si="221"/>
        <v>4차</v>
      </c>
      <c r="D3895" s="1" t="str">
        <f>"0324E07144"</f>
        <v>0324E07144</v>
      </c>
      <c r="E3895" s="1" t="s">
        <v>10</v>
      </c>
      <c r="F3895" s="1" t="str">
        <f>"10.11.71.178"</f>
        <v>10.11.71.178</v>
      </c>
      <c r="G3895" s="1" t="str">
        <f>"0324E071"</f>
        <v>0324E071</v>
      </c>
      <c r="H3895" s="1" t="str">
        <f>"초원간 34L10L2"</f>
        <v>초원간 34L10L2</v>
      </c>
      <c r="I3895" s="1" t="s">
        <v>8</v>
      </c>
      <c r="J3895" s="1" t="str">
        <f>"53/54"</f>
        <v>53/54</v>
      </c>
      <c r="K3895" s="1" t="str">
        <f t="shared" si="220"/>
        <v>2026-07-29 13:18:02</v>
      </c>
      <c r="L3895" s="1" t="str">
        <f>"2019-11-04 19:43:05"</f>
        <v>2019-11-04 19:43:05</v>
      </c>
      <c r="M3895" s="1" t="s">
        <v>2</v>
      </c>
      <c r="N3895" s="1" t="s">
        <v>38</v>
      </c>
      <c r="O3895" s="1" t="s">
        <v>46</v>
      </c>
    </row>
    <row r="3896" spans="2:15" x14ac:dyDescent="0.3">
      <c r="B3896" s="1" t="s">
        <v>23</v>
      </c>
      <c r="C3896" s="1" t="str">
        <f t="shared" si="221"/>
        <v>4차</v>
      </c>
      <c r="D3896" s="1" t="str">
        <f>"0324E07344"</f>
        <v>0324E07344</v>
      </c>
      <c r="E3896" s="1" t="s">
        <v>10</v>
      </c>
      <c r="F3896" s="1" t="str">
        <f>"10.11.71.186"</f>
        <v>10.11.71.186</v>
      </c>
      <c r="G3896" s="1" t="str">
        <f>"0324E073"</f>
        <v>0324E073</v>
      </c>
      <c r="H3896" s="1" t="str">
        <f>"초원간 34L10L3"</f>
        <v>초원간 34L10L3</v>
      </c>
      <c r="I3896" s="1" t="s">
        <v>8</v>
      </c>
      <c r="J3896" s="1" t="str">
        <f>"88/88"</f>
        <v>88/88</v>
      </c>
      <c r="K3896" s="1" t="str">
        <f t="shared" si="220"/>
        <v>2026-07-29 13:18:02</v>
      </c>
      <c r="L3896" s="1" t="str">
        <f>"2019-11-04 19:43:05"</f>
        <v>2019-11-04 19:43:05</v>
      </c>
      <c r="M3896" s="1" t="s">
        <v>2</v>
      </c>
      <c r="N3896" s="1" t="s">
        <v>38</v>
      </c>
      <c r="O3896" s="1" t="s">
        <v>46</v>
      </c>
    </row>
    <row r="3897" spans="2:15" x14ac:dyDescent="0.3">
      <c r="B3897" s="1" t="s">
        <v>23</v>
      </c>
      <c r="C3897" s="1" t="str">
        <f t="shared" si="221"/>
        <v>4차</v>
      </c>
      <c r="D3897" s="1" t="str">
        <f>"0324E08244"</f>
        <v>0324E08244</v>
      </c>
      <c r="E3897" s="1" t="s">
        <v>10</v>
      </c>
      <c r="F3897" s="1" t="str">
        <f>"10.11.71.170"</f>
        <v>10.11.71.170</v>
      </c>
      <c r="G3897" s="1" t="str">
        <f>"0324E082"</f>
        <v>0324E082</v>
      </c>
      <c r="H3897" s="1" t="str">
        <f>"초원간 34L10L1"</f>
        <v>초원간 34L10L1</v>
      </c>
      <c r="I3897" s="1" t="s">
        <v>8</v>
      </c>
      <c r="J3897" s="1" t="str">
        <f>"28/36"</f>
        <v>28/36</v>
      </c>
      <c r="K3897" s="1" t="str">
        <f t="shared" si="220"/>
        <v>2026-07-29 13:18:02</v>
      </c>
      <c r="L3897" s="1" t="str">
        <f>"2019-11-04 19:53:05"</f>
        <v>2019-11-04 19:53:05</v>
      </c>
      <c r="M3897" s="1" t="s">
        <v>2</v>
      </c>
      <c r="N3897" s="1" t="s">
        <v>38</v>
      </c>
      <c r="O3897" s="1" t="s">
        <v>46</v>
      </c>
    </row>
    <row r="3898" spans="2:15" x14ac:dyDescent="0.3">
      <c r="B3898" s="1" t="s">
        <v>23</v>
      </c>
      <c r="C3898" s="1" t="str">
        <f t="shared" si="221"/>
        <v>4차</v>
      </c>
      <c r="D3898" s="1" t="str">
        <f>"0324E09144"</f>
        <v>0324E09144</v>
      </c>
      <c r="E3898" s="1" t="s">
        <v>10</v>
      </c>
      <c r="F3898" s="1" t="str">
        <f>"10.11.72.98"</f>
        <v>10.11.72.98</v>
      </c>
      <c r="G3898" s="1" t="str">
        <f>"0324E091"</f>
        <v>0324E091</v>
      </c>
      <c r="H3898" s="1" t="str">
        <f>"초원간 34L9"</f>
        <v>초원간 34L9</v>
      </c>
      <c r="I3898" s="1" t="s">
        <v>8</v>
      </c>
      <c r="J3898" s="1" t="str">
        <f>"91/101"</f>
        <v>91/101</v>
      </c>
      <c r="K3898" s="1" t="str">
        <f t="shared" si="220"/>
        <v>2026-07-29 13:18:02</v>
      </c>
      <c r="L3898" s="1" t="str">
        <f>"2019-11-05 18:03:03"</f>
        <v>2019-11-05 18:03:03</v>
      </c>
      <c r="M3898" s="1" t="s">
        <v>2</v>
      </c>
      <c r="N3898" s="1" t="s">
        <v>38</v>
      </c>
      <c r="O3898" s="1" t="s">
        <v>46</v>
      </c>
    </row>
    <row r="3899" spans="2:15" x14ac:dyDescent="0.3">
      <c r="B3899" s="1" t="s">
        <v>23</v>
      </c>
      <c r="C3899" s="1" t="str">
        <f t="shared" si="221"/>
        <v>4차</v>
      </c>
      <c r="D3899" s="1" t="str">
        <f>"0324E09244"</f>
        <v>0324E09244</v>
      </c>
      <c r="E3899" s="1" t="s">
        <v>10</v>
      </c>
      <c r="F3899" s="1" t="str">
        <f>"10.11.71.194"</f>
        <v>10.11.71.194</v>
      </c>
      <c r="G3899" s="1" t="str">
        <f>"0324E092"</f>
        <v>0324E092</v>
      </c>
      <c r="H3899" s="1" t="str">
        <f>"초원간 34L11"</f>
        <v>초원간 34L11</v>
      </c>
      <c r="I3899" s="1" t="s">
        <v>8</v>
      </c>
      <c r="J3899" s="1" t="str">
        <f>"41/43"</f>
        <v>41/43</v>
      </c>
      <c r="K3899" s="1" t="str">
        <f t="shared" si="220"/>
        <v>2026-07-29 13:18:02</v>
      </c>
      <c r="L3899" s="1" t="str">
        <f>"2019-11-04 19:43:07"</f>
        <v>2019-11-04 19:43:07</v>
      </c>
      <c r="M3899" s="1" t="s">
        <v>2</v>
      </c>
      <c r="N3899" s="1" t="s">
        <v>38</v>
      </c>
      <c r="O3899" s="1" t="s">
        <v>46</v>
      </c>
    </row>
    <row r="3900" spans="2:15" x14ac:dyDescent="0.3">
      <c r="B3900" s="1" t="s">
        <v>23</v>
      </c>
      <c r="C3900" s="1" t="str">
        <f t="shared" si="221"/>
        <v>4차</v>
      </c>
      <c r="D3900" s="1" t="str">
        <f>"0324E12141"</f>
        <v>0324E12141</v>
      </c>
      <c r="E3900" s="1" t="s">
        <v>14</v>
      </c>
      <c r="F3900" s="1" t="str">
        <f>"10.12.137.161"</f>
        <v>10.12.137.161</v>
      </c>
      <c r="G3900" s="1" t="str">
        <f>"0324E121"</f>
        <v>0324E121</v>
      </c>
      <c r="H3900" s="1" t="str">
        <f>"성노간 16R20L2"</f>
        <v>성노간 16R20L2</v>
      </c>
      <c r="I3900" s="1" t="s">
        <v>17</v>
      </c>
      <c r="J3900" s="1" t="str">
        <f>"0/0"</f>
        <v>0/0</v>
      </c>
      <c r="K3900" s="1" t="str">
        <f>"2026-05-08 01:18:01"</f>
        <v>2026-05-08 01:18:01</v>
      </c>
      <c r="L3900" s="1" t="str">
        <f>"2021-10-12 07:48:46"</f>
        <v>2021-10-12 07:48:46</v>
      </c>
      <c r="M3900" s="1" t="s">
        <v>0</v>
      </c>
      <c r="N3900" s="1" t="s">
        <v>39</v>
      </c>
      <c r="O3900" s="1" t="s">
        <v>46</v>
      </c>
    </row>
    <row r="3901" spans="2:15" x14ac:dyDescent="0.3">
      <c r="B3901" s="1" t="s">
        <v>23</v>
      </c>
      <c r="C3901" s="1" t="str">
        <f t="shared" si="221"/>
        <v>4차</v>
      </c>
      <c r="D3901" s="1" t="str">
        <f>"0324E16144"</f>
        <v>0324E16144</v>
      </c>
      <c r="E3901" s="1" t="s">
        <v>10</v>
      </c>
      <c r="F3901" s="1" t="str">
        <f>"10.11.68.202"</f>
        <v>10.11.68.202</v>
      </c>
      <c r="G3901" s="1" t="str">
        <f>"0324E161"</f>
        <v>0324E161</v>
      </c>
      <c r="H3901" s="1" t="str">
        <f>"아남간 6R3"</f>
        <v>아남간 6R3</v>
      </c>
      <c r="I3901" s="1" t="s">
        <v>8</v>
      </c>
      <c r="J3901" s="1" t="str">
        <f>"76/82"</f>
        <v>76/82</v>
      </c>
      <c r="K3901" s="1" t="str">
        <f t="shared" ref="K3901:K3906" si="222">"2026-07-29 13:18:02"</f>
        <v>2026-07-29 13:18:02</v>
      </c>
      <c r="L3901" s="1" t="str">
        <f>"2019-10-29 10:53:05"</f>
        <v>2019-10-29 10:53:05</v>
      </c>
      <c r="M3901" s="1" t="s">
        <v>2</v>
      </c>
      <c r="N3901" s="1" t="s">
        <v>38</v>
      </c>
      <c r="O3901" s="1" t="s">
        <v>46</v>
      </c>
    </row>
    <row r="3902" spans="2:15" x14ac:dyDescent="0.3">
      <c r="B3902" s="1" t="s">
        <v>23</v>
      </c>
      <c r="C3902" s="1" t="str">
        <f>"3차"</f>
        <v>3차</v>
      </c>
      <c r="D3902" s="1" t="str">
        <f>"0324E16339"</f>
        <v>0324E16339</v>
      </c>
      <c r="E3902" s="1" t="s">
        <v>10</v>
      </c>
      <c r="F3902" s="1" t="str">
        <f>"10.11.80.186"</f>
        <v>10.11.80.186</v>
      </c>
      <c r="G3902" s="1" t="str">
        <f>"0324E163"</f>
        <v>0324E163</v>
      </c>
      <c r="H3902" s="1" t="str">
        <f>"아남간 6R2"</f>
        <v>아남간 6R2</v>
      </c>
      <c r="I3902" s="1" t="s">
        <v>8</v>
      </c>
      <c r="J3902" s="1" t="str">
        <f>"5/17"</f>
        <v>5/17</v>
      </c>
      <c r="K3902" s="1" t="str">
        <f t="shared" si="222"/>
        <v>2026-07-29 13:18:02</v>
      </c>
      <c r="L3902" s="1" t="str">
        <f>"2018-04-17 18:16:45"</f>
        <v>2018-04-17 18:16:45</v>
      </c>
      <c r="M3902" s="1" t="s">
        <v>2</v>
      </c>
      <c r="N3902" s="1" t="s">
        <v>38</v>
      </c>
      <c r="O3902" s="1" t="s">
        <v>46</v>
      </c>
    </row>
    <row r="3903" spans="2:15" x14ac:dyDescent="0.3">
      <c r="B3903" s="1" t="s">
        <v>23</v>
      </c>
      <c r="C3903" s="1" t="str">
        <f t="shared" ref="C3903:C3913" si="223">"4차"</f>
        <v>4차</v>
      </c>
      <c r="D3903" s="1" t="str">
        <f>"0324E17144"</f>
        <v>0324E17144</v>
      </c>
      <c r="E3903" s="1" t="s">
        <v>10</v>
      </c>
      <c r="F3903" s="1" t="str">
        <f>"10.11.68.218"</f>
        <v>10.11.68.218</v>
      </c>
      <c r="G3903" s="1" t="str">
        <f>"0324E171"</f>
        <v>0324E171</v>
      </c>
      <c r="H3903" s="1" t="str">
        <f>"아남간 6R5"</f>
        <v>아남간 6R5</v>
      </c>
      <c r="I3903" s="1" t="s">
        <v>8</v>
      </c>
      <c r="J3903" s="1" t="str">
        <f>"52/59"</f>
        <v>52/59</v>
      </c>
      <c r="K3903" s="1" t="str">
        <f t="shared" si="222"/>
        <v>2026-07-29 13:18:02</v>
      </c>
      <c r="L3903" s="1" t="str">
        <f>"2019-10-29 10:53:05"</f>
        <v>2019-10-29 10:53:05</v>
      </c>
      <c r="M3903" s="1" t="s">
        <v>2</v>
      </c>
      <c r="N3903" s="1" t="s">
        <v>38</v>
      </c>
      <c r="O3903" s="1" t="s">
        <v>46</v>
      </c>
    </row>
    <row r="3904" spans="2:15" x14ac:dyDescent="0.3">
      <c r="B3904" s="1" t="s">
        <v>23</v>
      </c>
      <c r="C3904" s="1" t="str">
        <f t="shared" si="223"/>
        <v>4차</v>
      </c>
      <c r="D3904" s="1" t="str">
        <f>"0324E17244"</f>
        <v>0324E17244</v>
      </c>
      <c r="E3904" s="1" t="s">
        <v>10</v>
      </c>
      <c r="F3904" s="1" t="str">
        <f>"10.11.68.210"</f>
        <v>10.11.68.210</v>
      </c>
      <c r="G3904" s="1" t="str">
        <f>"0324E172"</f>
        <v>0324E172</v>
      </c>
      <c r="H3904" s="1" t="str">
        <f>"아남간 6R4"</f>
        <v>아남간 6R4</v>
      </c>
      <c r="I3904" s="1" t="s">
        <v>8</v>
      </c>
      <c r="J3904" s="1" t="str">
        <f>"44/44"</f>
        <v>44/44</v>
      </c>
      <c r="K3904" s="1" t="str">
        <f t="shared" si="222"/>
        <v>2026-07-29 13:18:02</v>
      </c>
      <c r="L3904" s="1" t="str">
        <f>"2019-11-04 19:53:05"</f>
        <v>2019-11-04 19:53:05</v>
      </c>
      <c r="M3904" s="1" t="s">
        <v>2</v>
      </c>
      <c r="N3904" s="1" t="s">
        <v>38</v>
      </c>
      <c r="O3904" s="1" t="s">
        <v>46</v>
      </c>
    </row>
    <row r="3905" spans="2:15" x14ac:dyDescent="0.3">
      <c r="B3905" s="1" t="s">
        <v>23</v>
      </c>
      <c r="C3905" s="1" t="str">
        <f t="shared" si="223"/>
        <v>4차</v>
      </c>
      <c r="D3905" s="1" t="str">
        <f>"0324E18144"</f>
        <v>0324E18144</v>
      </c>
      <c r="E3905" s="1" t="s">
        <v>10</v>
      </c>
      <c r="F3905" s="1" t="str">
        <f>"10.11.68.226"</f>
        <v>10.11.68.226</v>
      </c>
      <c r="G3905" s="1" t="str">
        <f>"0324E181"</f>
        <v>0324E181</v>
      </c>
      <c r="H3905" s="1" t="str">
        <f>"아남간 6R6L1"</f>
        <v>아남간 6R6L1</v>
      </c>
      <c r="I3905" s="1" t="s">
        <v>8</v>
      </c>
      <c r="J3905" s="1" t="str">
        <f>"45/45"</f>
        <v>45/45</v>
      </c>
      <c r="K3905" s="1" t="str">
        <f t="shared" si="222"/>
        <v>2026-07-29 13:18:02</v>
      </c>
      <c r="L3905" s="1" t="str">
        <f>"2019-10-29 10:43:05"</f>
        <v>2019-10-29 10:43:05</v>
      </c>
      <c r="M3905" s="1" t="s">
        <v>2</v>
      </c>
      <c r="N3905" s="1" t="s">
        <v>38</v>
      </c>
      <c r="O3905" s="1" t="s">
        <v>46</v>
      </c>
    </row>
    <row r="3906" spans="2:15" x14ac:dyDescent="0.3">
      <c r="B3906" s="1" t="s">
        <v>23</v>
      </c>
      <c r="C3906" s="1" t="str">
        <f t="shared" si="223"/>
        <v>4차</v>
      </c>
      <c r="D3906" s="1" t="str">
        <f>"0324E18239"</f>
        <v>0324E18239</v>
      </c>
      <c r="E3906" s="1" t="s">
        <v>10</v>
      </c>
      <c r="F3906" s="1" t="str">
        <f>"10.11.80.194"</f>
        <v>10.11.80.194</v>
      </c>
      <c r="G3906" s="1" t="str">
        <f>"0324E182"</f>
        <v>0324E182</v>
      </c>
      <c r="H3906" s="1" t="str">
        <f>"아남간 6R6L2"</f>
        <v>아남간 6R6L2</v>
      </c>
      <c r="I3906" s="1" t="s">
        <v>8</v>
      </c>
      <c r="J3906" s="1" t="str">
        <f>"76/78"</f>
        <v>76/78</v>
      </c>
      <c r="K3906" s="1" t="str">
        <f t="shared" si="222"/>
        <v>2026-07-29 13:18:02</v>
      </c>
      <c r="L3906" s="1" t="str">
        <f>"2018-09-13 09:27:10"</f>
        <v>2018-09-13 09:27:10</v>
      </c>
      <c r="M3906" s="1" t="s">
        <v>2</v>
      </c>
      <c r="N3906" s="1" t="s">
        <v>38</v>
      </c>
      <c r="O3906" s="1" t="s">
        <v>46</v>
      </c>
    </row>
    <row r="3907" spans="2:15" x14ac:dyDescent="0.3">
      <c r="B3907" s="1" t="s">
        <v>23</v>
      </c>
      <c r="C3907" s="1" t="str">
        <f t="shared" si="223"/>
        <v>4차</v>
      </c>
      <c r="D3907" s="1" t="str">
        <f>"0324E21145"</f>
        <v>0324E21145</v>
      </c>
      <c r="E3907" s="1" t="s">
        <v>14</v>
      </c>
      <c r="F3907" s="1" t="str">
        <f>"10.14.14.55"</f>
        <v>10.14.14.55</v>
      </c>
      <c r="G3907" s="1" t="str">
        <f>"0324E211"</f>
        <v>0324E211</v>
      </c>
      <c r="H3907" s="1" t="str">
        <f>"패션로 11-1"</f>
        <v>패션로 11-1</v>
      </c>
      <c r="I3907" s="1" t="s">
        <v>17</v>
      </c>
      <c r="J3907" s="1" t="str">
        <f>"0/0"</f>
        <v>0/0</v>
      </c>
      <c r="K3907" s="1" t="str">
        <f>"2026-07-29 13:18:03"</f>
        <v>2026-07-29 13:18:03</v>
      </c>
      <c r="L3907" s="1" t="str">
        <f>"2021-06-28 13:02:28"</f>
        <v>2021-06-28 13:02:28</v>
      </c>
      <c r="M3907" s="1" t="s">
        <v>3</v>
      </c>
      <c r="N3907" s="1" t="s">
        <v>38</v>
      </c>
      <c r="O3907" s="1" t="s">
        <v>44</v>
      </c>
    </row>
    <row r="3908" spans="2:15" x14ac:dyDescent="0.3">
      <c r="B3908" s="1" t="s">
        <v>23</v>
      </c>
      <c r="C3908" s="1" t="str">
        <f t="shared" si="223"/>
        <v>4차</v>
      </c>
      <c r="D3908" s="1" t="str">
        <f>"0324E22345"</f>
        <v>0324E22345</v>
      </c>
      <c r="E3908" s="1" t="s">
        <v>10</v>
      </c>
      <c r="F3908" s="1" t="str">
        <f>"10.14.15.53"</f>
        <v>10.14.15.53</v>
      </c>
      <c r="G3908" s="1" t="str">
        <f>"0324E223"</f>
        <v>0324E223</v>
      </c>
      <c r="H3908" s="1" t="str">
        <f>"능동로 21-1"</f>
        <v>능동로 21-1</v>
      </c>
      <c r="I3908" s="1" t="s">
        <v>17</v>
      </c>
      <c r="J3908" s="1" t="str">
        <f>"13/15"</f>
        <v>13/15</v>
      </c>
      <c r="K3908" s="1" t="str">
        <f>"2026-07-29 13:18:03"</f>
        <v>2026-07-29 13:18:03</v>
      </c>
      <c r="L3908" s="1" t="str">
        <f>"2021-06-28 14:32:30"</f>
        <v>2021-06-28 14:32:30</v>
      </c>
      <c r="M3908" s="1" t="s">
        <v>3</v>
      </c>
      <c r="N3908" s="1" t="s">
        <v>38</v>
      </c>
      <c r="O3908" s="1" t="s">
        <v>46</v>
      </c>
    </row>
    <row r="3909" spans="2:15" x14ac:dyDescent="0.3">
      <c r="B3909" s="1" t="s">
        <v>23</v>
      </c>
      <c r="C3909" s="1" t="str">
        <f t="shared" si="223"/>
        <v>4차</v>
      </c>
      <c r="D3909" s="1" t="str">
        <f>"0324E25144"</f>
        <v>0324E25144</v>
      </c>
      <c r="E3909" s="1" t="s">
        <v>10</v>
      </c>
      <c r="F3909" s="1" t="str">
        <f>"10.11.71.154"</f>
        <v>10.11.71.154</v>
      </c>
      <c r="G3909" s="1" t="str">
        <f>"0324E251"</f>
        <v>0324E251</v>
      </c>
      <c r="H3909" s="1" t="str">
        <f>"초원간 27L4R8"</f>
        <v>초원간 27L4R8</v>
      </c>
      <c r="I3909" s="1" t="s">
        <v>8</v>
      </c>
      <c r="J3909" s="1" t="str">
        <f>"25/25"</f>
        <v>25/25</v>
      </c>
      <c r="K3909" s="1" t="str">
        <f>"2026-07-29 13:18:02"</f>
        <v>2026-07-29 13:18:02</v>
      </c>
      <c r="L3909" s="1" t="str">
        <f>"2019-11-04 19:43:07"</f>
        <v>2019-11-04 19:43:07</v>
      </c>
      <c r="M3909" s="1" t="s">
        <v>2</v>
      </c>
      <c r="N3909" s="1" t="s">
        <v>38</v>
      </c>
      <c r="O3909" s="1" t="s">
        <v>46</v>
      </c>
    </row>
    <row r="3910" spans="2:15" x14ac:dyDescent="0.3">
      <c r="B3910" s="1" t="s">
        <v>23</v>
      </c>
      <c r="C3910" s="1" t="str">
        <f t="shared" si="223"/>
        <v>4차</v>
      </c>
      <c r="D3910" s="1" t="str">
        <f>"0324E25344"</f>
        <v>0324E25344</v>
      </c>
      <c r="E3910" s="1" t="s">
        <v>10</v>
      </c>
      <c r="F3910" s="1" t="str">
        <f>"10.11.77.218"</f>
        <v>10.11.77.218</v>
      </c>
      <c r="G3910" s="1" t="str">
        <f>"0324E253"</f>
        <v>0324E253</v>
      </c>
      <c r="H3910" s="1" t="str">
        <f>"초원간 27L4R8R1"</f>
        <v>초원간 27L4R8R1</v>
      </c>
      <c r="I3910" s="1" t="s">
        <v>8</v>
      </c>
      <c r="J3910" s="1" t="str">
        <f>"16/16"</f>
        <v>16/16</v>
      </c>
      <c r="K3910" s="1" t="str">
        <f>"2026-07-29 13:18:02"</f>
        <v>2026-07-29 13:18:02</v>
      </c>
      <c r="L3910" s="1" t="str">
        <f>"2019-11-04 19:43:07"</f>
        <v>2019-11-04 19:43:07</v>
      </c>
      <c r="M3910" s="1" t="s">
        <v>2</v>
      </c>
      <c r="N3910" s="1" t="s">
        <v>38</v>
      </c>
      <c r="O3910" s="1" t="s">
        <v>46</v>
      </c>
    </row>
    <row r="3911" spans="2:15" x14ac:dyDescent="0.3">
      <c r="B3911" s="1" t="s">
        <v>23</v>
      </c>
      <c r="C3911" s="1" t="str">
        <f t="shared" si="223"/>
        <v>4차</v>
      </c>
      <c r="D3911" s="1" t="str">
        <f>"0324E26244"</f>
        <v>0324E26244</v>
      </c>
      <c r="E3911" s="1" t="s">
        <v>10</v>
      </c>
      <c r="F3911" s="1" t="str">
        <f>"10.11.71.146"</f>
        <v>10.11.71.146</v>
      </c>
      <c r="G3911" s="1" t="str">
        <f>"0324E262"</f>
        <v>0324E262</v>
      </c>
      <c r="H3911" s="1" t="str">
        <f>"초원간 27L4R7R1"</f>
        <v>초원간 27L4R7R1</v>
      </c>
      <c r="I3911" s="1" t="s">
        <v>8</v>
      </c>
      <c r="J3911" s="1" t="str">
        <f>"61/62"</f>
        <v>61/62</v>
      </c>
      <c r="K3911" s="1" t="str">
        <f>"2026-07-29 13:18:02"</f>
        <v>2026-07-29 13:18:02</v>
      </c>
      <c r="L3911" s="1" t="str">
        <f>"2019-11-04 19:53:05"</f>
        <v>2019-11-04 19:53:05</v>
      </c>
      <c r="M3911" s="1" t="s">
        <v>2</v>
      </c>
      <c r="N3911" s="1" t="s">
        <v>38</v>
      </c>
      <c r="O3911" s="1" t="s">
        <v>46</v>
      </c>
    </row>
    <row r="3912" spans="2:15" x14ac:dyDescent="0.3">
      <c r="B3912" s="1" t="s">
        <v>23</v>
      </c>
      <c r="C3912" s="1" t="str">
        <f t="shared" si="223"/>
        <v>4차</v>
      </c>
      <c r="D3912" s="1" t="str">
        <f>"0324E27144"</f>
        <v>0324E27144</v>
      </c>
      <c r="E3912" s="1" t="s">
        <v>10</v>
      </c>
      <c r="F3912" s="1" t="str">
        <f>"10.11.71.138"</f>
        <v>10.11.71.138</v>
      </c>
      <c r="G3912" s="1" t="str">
        <f>"0324E271"</f>
        <v>0324E271</v>
      </c>
      <c r="H3912" s="1" t="str">
        <f>"초원간 27L4R6R1"</f>
        <v>초원간 27L4R6R1</v>
      </c>
      <c r="I3912" s="1" t="s">
        <v>8</v>
      </c>
      <c r="J3912" s="1" t="str">
        <f>"53/54"</f>
        <v>53/54</v>
      </c>
      <c r="K3912" s="1" t="str">
        <f>"2026-07-29 13:18:02"</f>
        <v>2026-07-29 13:18:02</v>
      </c>
      <c r="L3912" s="1" t="str">
        <f>"2019-11-04 19:53:05"</f>
        <v>2019-11-04 19:53:05</v>
      </c>
      <c r="M3912" s="1" t="s">
        <v>2</v>
      </c>
      <c r="N3912" s="1" t="s">
        <v>38</v>
      </c>
      <c r="O3912" s="1" t="s">
        <v>46</v>
      </c>
    </row>
    <row r="3913" spans="2:15" x14ac:dyDescent="0.3">
      <c r="B3913" s="1" t="s">
        <v>23</v>
      </c>
      <c r="C3913" s="1" t="str">
        <f t="shared" si="223"/>
        <v>4차</v>
      </c>
      <c r="D3913" s="1" t="str">
        <f>"0324E28144"</f>
        <v>0324E28144</v>
      </c>
      <c r="E3913" s="1" t="s">
        <v>10</v>
      </c>
      <c r="F3913" s="1" t="str">
        <f>"10.11.68.234"</f>
        <v>10.11.68.234</v>
      </c>
      <c r="G3913" s="1" t="str">
        <f>"0324E281"</f>
        <v>0324E281</v>
      </c>
      <c r="H3913" s="1" t="str">
        <f>"아남간 6R6R1"</f>
        <v>아남간 6R6R1</v>
      </c>
      <c r="I3913" s="1" t="s">
        <v>8</v>
      </c>
      <c r="J3913" s="1" t="str">
        <f>"82/87"</f>
        <v>82/87</v>
      </c>
      <c r="K3913" s="1" t="str">
        <f>"2026-07-29 13:18:02"</f>
        <v>2026-07-29 13:18:02</v>
      </c>
      <c r="L3913" s="1" t="str">
        <f>"2019-10-29 10:53:05"</f>
        <v>2019-10-29 10:53:05</v>
      </c>
      <c r="M3913" s="1" t="s">
        <v>2</v>
      </c>
      <c r="N3913" s="1" t="s">
        <v>38</v>
      </c>
      <c r="O3913" s="1" t="s">
        <v>46</v>
      </c>
    </row>
    <row r="3914" spans="2:15" x14ac:dyDescent="0.3">
      <c r="B3914" s="1" t="s">
        <v>23</v>
      </c>
      <c r="C3914" s="1" t="str">
        <f>"3차"</f>
        <v>3차</v>
      </c>
      <c r="D3914" s="1" t="str">
        <f>"0324E28239"</f>
        <v>0324E28239</v>
      </c>
      <c r="E3914" s="1" t="s">
        <v>10</v>
      </c>
      <c r="F3914" s="1" t="str">
        <f>"10.12.129.101"</f>
        <v>10.12.129.101</v>
      </c>
      <c r="G3914" s="1" t="str">
        <f>"0324E282"</f>
        <v>0324E282</v>
      </c>
      <c r="H3914" s="1" t="str">
        <f>"아남간 6R6"</f>
        <v>아남간 6R6</v>
      </c>
      <c r="I3914" s="1" t="s">
        <v>8</v>
      </c>
      <c r="J3914" s="1" t="str">
        <f>"41/41"</f>
        <v>41/41</v>
      </c>
      <c r="K3914" s="1" t="str">
        <f>"2026-07-29 13:18:04"</f>
        <v>2026-07-29 13:18:04</v>
      </c>
      <c r="L3914" s="1" t="str">
        <f>"2018-04-17 18:24:15"</f>
        <v>2018-04-17 18:24:15</v>
      </c>
      <c r="M3914" s="1" t="s">
        <v>0</v>
      </c>
      <c r="N3914" s="1" t="s">
        <v>38</v>
      </c>
      <c r="O3914" s="1" t="s">
        <v>46</v>
      </c>
    </row>
    <row r="3915" spans="2:15" x14ac:dyDescent="0.3">
      <c r="B3915" s="1" t="s">
        <v>23</v>
      </c>
      <c r="C3915" s="1" t="str">
        <f t="shared" ref="C3915:C3920" si="224">"4차"</f>
        <v>4차</v>
      </c>
      <c r="D3915" s="1" t="str">
        <f>"0324E29239"</f>
        <v>0324E29239</v>
      </c>
      <c r="E3915" s="1" t="s">
        <v>10</v>
      </c>
      <c r="F3915" s="1" t="str">
        <f>"10.11.80.218"</f>
        <v>10.11.80.218</v>
      </c>
      <c r="G3915" s="1" t="str">
        <f>"0324E292"</f>
        <v>0324E292</v>
      </c>
      <c r="H3915" s="1" t="str">
        <f>"아남간 6R7"</f>
        <v>아남간 6R7</v>
      </c>
      <c r="I3915" s="1" t="s">
        <v>8</v>
      </c>
      <c r="J3915" s="1" t="str">
        <f>"131/132"</f>
        <v>131/132</v>
      </c>
      <c r="K3915" s="1" t="str">
        <f>"2026-07-29 13:18:02"</f>
        <v>2026-07-29 13:18:02</v>
      </c>
      <c r="L3915" s="1" t="str">
        <f>"2018-09-13 10:07:55"</f>
        <v>2018-09-13 10:07:55</v>
      </c>
      <c r="M3915" s="1" t="s">
        <v>2</v>
      </c>
      <c r="N3915" s="1" t="s">
        <v>38</v>
      </c>
      <c r="O3915" s="1" t="s">
        <v>46</v>
      </c>
    </row>
    <row r="3916" spans="2:15" x14ac:dyDescent="0.3">
      <c r="B3916" s="1" t="s">
        <v>23</v>
      </c>
      <c r="C3916" s="1" t="str">
        <f t="shared" si="224"/>
        <v>4차</v>
      </c>
      <c r="D3916" s="1" t="str">
        <f>"0324E36244"</f>
        <v>0324E36244</v>
      </c>
      <c r="E3916" s="1" t="s">
        <v>10</v>
      </c>
      <c r="F3916" s="1" t="str">
        <f>"10.11.77.66"</f>
        <v>10.11.77.66</v>
      </c>
      <c r="G3916" s="1" t="str">
        <f>"0324E362"</f>
        <v>0324E362</v>
      </c>
      <c r="H3916" s="1" t="str">
        <f>"아남간 2A3"</f>
        <v>아남간 2A3</v>
      </c>
      <c r="I3916" s="1" t="s">
        <v>8</v>
      </c>
      <c r="J3916" s="1" t="str">
        <f>"17/17"</f>
        <v>17/17</v>
      </c>
      <c r="K3916" s="1" t="str">
        <f>"2026-07-29 13:18:02"</f>
        <v>2026-07-29 13:18:02</v>
      </c>
      <c r="L3916" s="1" t="str">
        <f>"2019-10-29 10:53:05"</f>
        <v>2019-10-29 10:53:05</v>
      </c>
      <c r="M3916" s="1" t="s">
        <v>2</v>
      </c>
      <c r="N3916" s="1" t="s">
        <v>38</v>
      </c>
      <c r="O3916" s="1" t="s">
        <v>46</v>
      </c>
    </row>
    <row r="3917" spans="2:15" x14ac:dyDescent="0.3">
      <c r="B3917" s="1" t="s">
        <v>23</v>
      </c>
      <c r="C3917" s="1" t="str">
        <f t="shared" si="224"/>
        <v>4차</v>
      </c>
      <c r="D3917" s="1" t="str">
        <f>"0324E38144"</f>
        <v>0324E38144</v>
      </c>
      <c r="E3917" s="1" t="s">
        <v>10</v>
      </c>
      <c r="F3917" s="1" t="str">
        <f>"10.11.71.130"</f>
        <v>10.11.71.130</v>
      </c>
      <c r="G3917" s="1" t="str">
        <f>"0324E381"</f>
        <v>0324E381</v>
      </c>
      <c r="H3917" s="1" t="str">
        <f>"초원간 27L4R4"</f>
        <v>초원간 27L4R4</v>
      </c>
      <c r="I3917" s="1" t="s">
        <v>8</v>
      </c>
      <c r="J3917" s="1" t="str">
        <f>"7/7"</f>
        <v>7/7</v>
      </c>
      <c r="K3917" s="1" t="str">
        <f>"2026-07-29 13:18:02"</f>
        <v>2026-07-29 13:18:02</v>
      </c>
      <c r="L3917" s="1" t="str">
        <f>"2019-11-04 19:53:05"</f>
        <v>2019-11-04 19:53:05</v>
      </c>
      <c r="M3917" s="1" t="s">
        <v>2</v>
      </c>
      <c r="N3917" s="1" t="s">
        <v>38</v>
      </c>
      <c r="O3917" s="1" t="s">
        <v>46</v>
      </c>
    </row>
    <row r="3918" spans="2:15" x14ac:dyDescent="0.3">
      <c r="B3918" s="1" t="s">
        <v>23</v>
      </c>
      <c r="C3918" s="1" t="str">
        <f t="shared" si="224"/>
        <v>4차</v>
      </c>
      <c r="D3918" s="1" t="str">
        <f>"0324E45139"</f>
        <v>0324E45139</v>
      </c>
      <c r="E3918" s="1" t="s">
        <v>14</v>
      </c>
      <c r="F3918" s="1" t="str">
        <f>"10.12.133.163"</f>
        <v>10.12.133.163</v>
      </c>
      <c r="G3918" s="1" t="str">
        <f>"0324E451"</f>
        <v>0324E451</v>
      </c>
      <c r="H3918" s="1" t="str">
        <f>"능동로 51-1"</f>
        <v>능동로 51-1</v>
      </c>
      <c r="I3918" s="1" t="s">
        <v>17</v>
      </c>
      <c r="J3918" s="1" t="str">
        <f>"0/0"</f>
        <v>0/0</v>
      </c>
      <c r="K3918" s="1" t="str">
        <f>"2026-07-28 13:18:01"</f>
        <v>2026-07-28 13:18:01</v>
      </c>
      <c r="L3918" s="1" t="str">
        <f>"2018-06-23 07:49:55"</f>
        <v>2018-06-23 07:49:55</v>
      </c>
      <c r="M3918" s="1" t="s">
        <v>0</v>
      </c>
      <c r="N3918" s="1" t="s">
        <v>39</v>
      </c>
      <c r="O3918" s="1" t="s">
        <v>46</v>
      </c>
    </row>
    <row r="3919" spans="2:15" x14ac:dyDescent="0.3">
      <c r="B3919" s="1" t="s">
        <v>23</v>
      </c>
      <c r="C3919" s="1" t="str">
        <f t="shared" si="224"/>
        <v>4차</v>
      </c>
      <c r="D3919" s="1" t="str">
        <f>"0324E45239"</f>
        <v>0324E45239</v>
      </c>
      <c r="E3919" s="1" t="s">
        <v>10</v>
      </c>
      <c r="F3919" s="1" t="str">
        <f>"10.12.132.129"</f>
        <v>10.12.132.129</v>
      </c>
      <c r="G3919" s="1" t="str">
        <f>"0324E452"</f>
        <v>0324E452</v>
      </c>
      <c r="H3919" s="1" t="str">
        <f>"능동로 51-2"</f>
        <v>능동로 51-2</v>
      </c>
      <c r="I3919" s="1" t="s">
        <v>17</v>
      </c>
      <c r="J3919" s="1" t="str">
        <f>"2/2"</f>
        <v>2/2</v>
      </c>
      <c r="K3919" s="1" t="str">
        <f>"2026-07-29 13:18:04"</f>
        <v>2026-07-29 13:18:04</v>
      </c>
      <c r="L3919" s="1" t="str">
        <f>"2018-06-23 07:51:41"</f>
        <v>2018-06-23 07:51:41</v>
      </c>
      <c r="M3919" s="1" t="s">
        <v>0</v>
      </c>
      <c r="N3919" s="1" t="s">
        <v>38</v>
      </c>
      <c r="O3919" s="1" t="s">
        <v>46</v>
      </c>
    </row>
    <row r="3920" spans="2:15" x14ac:dyDescent="0.3">
      <c r="B3920" s="1" t="s">
        <v>23</v>
      </c>
      <c r="C3920" s="1" t="str">
        <f t="shared" si="224"/>
        <v>4차</v>
      </c>
      <c r="D3920" s="1" t="str">
        <f>"0324E45639"</f>
        <v>0324E45639</v>
      </c>
      <c r="E3920" s="1" t="s">
        <v>10</v>
      </c>
      <c r="F3920" s="1" t="str">
        <f>"10.12.132.135"</f>
        <v>10.12.132.135</v>
      </c>
      <c r="G3920" s="1" t="str">
        <f>"0324E456"</f>
        <v>0324E456</v>
      </c>
      <c r="H3920" s="1" t="str">
        <f>"능동로 51-3"</f>
        <v>능동로 51-3</v>
      </c>
      <c r="I3920" s="1" t="s">
        <v>17</v>
      </c>
      <c r="J3920" s="1" t="str">
        <f>"1/1"</f>
        <v>1/1</v>
      </c>
      <c r="K3920" s="1" t="str">
        <f t="shared" ref="K3920:K3925" si="225">"2026-07-29 13:18:02"</f>
        <v>2026-07-29 13:18:02</v>
      </c>
      <c r="L3920" s="1" t="str">
        <f>"2018-06-23 07:50:41"</f>
        <v>2018-06-23 07:50:41</v>
      </c>
      <c r="M3920" s="1" t="s">
        <v>0</v>
      </c>
      <c r="N3920" s="1" t="s">
        <v>38</v>
      </c>
      <c r="O3920" s="1" t="s">
        <v>46</v>
      </c>
    </row>
    <row r="3921" spans="2:15" x14ac:dyDescent="0.3">
      <c r="B3921" s="1" t="s">
        <v>23</v>
      </c>
      <c r="C3921" s="1" t="str">
        <f>"3차"</f>
        <v>3차</v>
      </c>
      <c r="D3921" s="1" t="str">
        <f>"0324E47139"</f>
        <v>0324E47139</v>
      </c>
      <c r="E3921" s="1" t="s">
        <v>10</v>
      </c>
      <c r="F3921" s="1" t="str">
        <f>"10.11.80.226"</f>
        <v>10.11.80.226</v>
      </c>
      <c r="G3921" s="1" t="str">
        <f>"0324E471"</f>
        <v>0324E471</v>
      </c>
      <c r="H3921" s="1" t="str">
        <f>"초원간 27L4R2L1"</f>
        <v>초원간 27L4R2L1</v>
      </c>
      <c r="I3921" s="1" t="s">
        <v>8</v>
      </c>
      <c r="J3921" s="1" t="str">
        <f>"27/27"</f>
        <v>27/27</v>
      </c>
      <c r="K3921" s="1" t="str">
        <f t="shared" si="225"/>
        <v>2026-07-29 13:18:02</v>
      </c>
      <c r="L3921" s="1" t="str">
        <f>"2018-04-17 18:23:31"</f>
        <v>2018-04-17 18:23:31</v>
      </c>
      <c r="M3921" s="1" t="s">
        <v>2</v>
      </c>
      <c r="N3921" s="1" t="s">
        <v>38</v>
      </c>
      <c r="O3921" s="1" t="s">
        <v>46</v>
      </c>
    </row>
    <row r="3922" spans="2:15" x14ac:dyDescent="0.3">
      <c r="B3922" s="1" t="s">
        <v>23</v>
      </c>
      <c r="C3922" s="1" t="str">
        <f t="shared" ref="C3922:C3928" si="226">"4차"</f>
        <v>4차</v>
      </c>
      <c r="D3922" s="1" t="str">
        <f>"0324E48144"</f>
        <v>0324E48144</v>
      </c>
      <c r="E3922" s="1" t="s">
        <v>10</v>
      </c>
      <c r="F3922" s="1" t="str">
        <f>"10.11.71.50"</f>
        <v>10.11.71.50</v>
      </c>
      <c r="G3922" s="1" t="str">
        <f>"0324E481"</f>
        <v>0324E481</v>
      </c>
      <c r="H3922" s="1" t="str">
        <f>"초원간 27L4R2"</f>
        <v>초원간 27L4R2</v>
      </c>
      <c r="I3922" s="1" t="s">
        <v>8</v>
      </c>
      <c r="J3922" s="1" t="str">
        <f>"17/17"</f>
        <v>17/17</v>
      </c>
      <c r="K3922" s="1" t="str">
        <f t="shared" si="225"/>
        <v>2026-07-29 13:18:02</v>
      </c>
      <c r="L3922" s="1" t="str">
        <f>"2019-11-04 19:43:05"</f>
        <v>2019-11-04 19:43:05</v>
      </c>
      <c r="M3922" s="1" t="s">
        <v>2</v>
      </c>
      <c r="N3922" s="1" t="s">
        <v>38</v>
      </c>
      <c r="O3922" s="1" t="s">
        <v>46</v>
      </c>
    </row>
    <row r="3923" spans="2:15" x14ac:dyDescent="0.3">
      <c r="B3923" s="1" t="s">
        <v>23</v>
      </c>
      <c r="C3923" s="1" t="str">
        <f t="shared" si="226"/>
        <v>4차</v>
      </c>
      <c r="D3923" s="1" t="str">
        <f>"0324E49144"</f>
        <v>0324E49144</v>
      </c>
      <c r="E3923" s="1" t="s">
        <v>10</v>
      </c>
      <c r="F3923" s="1" t="str">
        <f>"10.11.71.74"</f>
        <v>10.11.71.74</v>
      </c>
      <c r="G3923" s="1" t="str">
        <f>"0324E491"</f>
        <v>0324E491</v>
      </c>
      <c r="H3923" s="1" t="str">
        <f>"초원간 27L4R3"</f>
        <v>초원간 27L4R3</v>
      </c>
      <c r="I3923" s="1" t="s">
        <v>8</v>
      </c>
      <c r="J3923" s="1" t="str">
        <f>"17/17"</f>
        <v>17/17</v>
      </c>
      <c r="K3923" s="1" t="str">
        <f t="shared" si="225"/>
        <v>2026-07-29 13:18:02</v>
      </c>
      <c r="L3923" s="1" t="str">
        <f>"2019-11-04 19:53:05"</f>
        <v>2019-11-04 19:53:05</v>
      </c>
      <c r="M3923" s="1" t="s">
        <v>2</v>
      </c>
      <c r="N3923" s="1" t="s">
        <v>38</v>
      </c>
      <c r="O3923" s="1" t="s">
        <v>46</v>
      </c>
    </row>
    <row r="3924" spans="2:15" x14ac:dyDescent="0.3">
      <c r="B3924" s="1" t="s">
        <v>23</v>
      </c>
      <c r="C3924" s="1" t="str">
        <f t="shared" si="226"/>
        <v>4차</v>
      </c>
      <c r="D3924" s="1" t="str">
        <f>"0324E49244"</f>
        <v>0324E49244</v>
      </c>
      <c r="E3924" s="1" t="s">
        <v>10</v>
      </c>
      <c r="F3924" s="1" t="str">
        <f>"10.11.71.58"</f>
        <v>10.11.71.58</v>
      </c>
      <c r="G3924" s="1" t="str">
        <f>"0324E492"</f>
        <v>0324E492</v>
      </c>
      <c r="H3924" s="1" t="str">
        <f>"초원간 27L4R2R1"</f>
        <v>초원간 27L4R2R1</v>
      </c>
      <c r="I3924" s="1" t="s">
        <v>8</v>
      </c>
      <c r="J3924" s="1" t="str">
        <f>"49/49"</f>
        <v>49/49</v>
      </c>
      <c r="K3924" s="1" t="str">
        <f t="shared" si="225"/>
        <v>2026-07-29 13:18:02</v>
      </c>
      <c r="L3924" s="1" t="str">
        <f>"2019-11-04 19:53:05"</f>
        <v>2019-11-04 19:53:05</v>
      </c>
      <c r="M3924" s="1" t="s">
        <v>2</v>
      </c>
      <c r="N3924" s="1" t="s">
        <v>38</v>
      </c>
      <c r="O3924" s="1" t="s">
        <v>46</v>
      </c>
    </row>
    <row r="3925" spans="2:15" x14ac:dyDescent="0.3">
      <c r="B3925" s="1" t="s">
        <v>23</v>
      </c>
      <c r="C3925" s="1" t="str">
        <f t="shared" si="226"/>
        <v>4차</v>
      </c>
      <c r="D3925" s="1" t="str">
        <f>"0324E49344"</f>
        <v>0324E49344</v>
      </c>
      <c r="E3925" s="1" t="s">
        <v>10</v>
      </c>
      <c r="F3925" s="1" t="str">
        <f>"10.11.71.82"</f>
        <v>10.11.71.82</v>
      </c>
      <c r="G3925" s="1" t="str">
        <f>"0324E493"</f>
        <v>0324E493</v>
      </c>
      <c r="H3925" s="1" t="str">
        <f>"초원간 27L4R3A1"</f>
        <v>초원간 27L4R3A1</v>
      </c>
      <c r="I3925" s="1" t="s">
        <v>8</v>
      </c>
      <c r="J3925" s="1" t="str">
        <f>"81/89"</f>
        <v>81/89</v>
      </c>
      <c r="K3925" s="1" t="str">
        <f t="shared" si="225"/>
        <v>2026-07-29 13:18:02</v>
      </c>
      <c r="L3925" s="1" t="str">
        <f>"2019-11-04 19:53:05"</f>
        <v>2019-11-04 19:53:05</v>
      </c>
      <c r="M3925" s="1" t="s">
        <v>2</v>
      </c>
      <c r="N3925" s="1" t="s">
        <v>38</v>
      </c>
      <c r="O3925" s="1" t="s">
        <v>46</v>
      </c>
    </row>
    <row r="3926" spans="2:15" x14ac:dyDescent="0.3">
      <c r="B3926" s="1" t="s">
        <v>23</v>
      </c>
      <c r="C3926" s="1" t="str">
        <f t="shared" si="226"/>
        <v>4차</v>
      </c>
      <c r="D3926" s="1" t="str">
        <f>"0324E58539"</f>
        <v>0324E58539</v>
      </c>
      <c r="E3926" s="1" t="s">
        <v>14</v>
      </c>
      <c r="F3926" s="1" t="str">
        <f>"10.12.133.174"</f>
        <v>10.12.133.174</v>
      </c>
      <c r="G3926" s="1" t="str">
        <f>"0324E585"</f>
        <v>0324E585</v>
      </c>
      <c r="H3926" s="1" t="str">
        <f>"능동로 49-4"</f>
        <v>능동로 49-4</v>
      </c>
      <c r="I3926" s="1" t="s">
        <v>17</v>
      </c>
      <c r="J3926" s="1" t="str">
        <f>"0/0"</f>
        <v>0/0</v>
      </c>
      <c r="K3926" s="1" t="str">
        <f>"2026-07-28 13:18:03"</f>
        <v>2026-07-28 13:18:03</v>
      </c>
      <c r="L3926" s="1" t="str">
        <f>"2018-06-23 07:44:24"</f>
        <v>2018-06-23 07:44:24</v>
      </c>
      <c r="M3926" s="1" t="s">
        <v>0</v>
      </c>
      <c r="N3926" s="1" t="s">
        <v>39</v>
      </c>
      <c r="O3926" s="1" t="s">
        <v>46</v>
      </c>
    </row>
    <row r="3927" spans="2:15" x14ac:dyDescent="0.3">
      <c r="B3927" s="1" t="s">
        <v>23</v>
      </c>
      <c r="C3927" s="1" t="str">
        <f t="shared" si="226"/>
        <v>4차</v>
      </c>
      <c r="D3927" s="1" t="str">
        <f>"0324E59139"</f>
        <v>0324E59139</v>
      </c>
      <c r="E3927" s="1" t="s">
        <v>10</v>
      </c>
      <c r="F3927" s="1" t="str">
        <f>"10.12.133.173"</f>
        <v>10.12.133.173</v>
      </c>
      <c r="G3927" s="1" t="str">
        <f>"0324E591"</f>
        <v>0324E591</v>
      </c>
      <c r="H3927" s="1" t="str">
        <f>"능동로 49-1"</f>
        <v>능동로 49-1</v>
      </c>
      <c r="I3927" s="1" t="s">
        <v>17</v>
      </c>
      <c r="J3927" s="1" t="str">
        <f>"5/5"</f>
        <v>5/5</v>
      </c>
      <c r="K3927" s="1" t="str">
        <f>"2026-07-29 13:18:03"</f>
        <v>2026-07-29 13:18:03</v>
      </c>
      <c r="L3927" s="1" t="str">
        <f>"2018-06-23 07:35:10"</f>
        <v>2018-06-23 07:35:10</v>
      </c>
      <c r="M3927" s="1" t="s">
        <v>0</v>
      </c>
      <c r="N3927" s="1" t="s">
        <v>38</v>
      </c>
      <c r="O3927" s="1" t="s">
        <v>46</v>
      </c>
    </row>
    <row r="3928" spans="2:15" x14ac:dyDescent="0.3">
      <c r="B3928" s="1" t="s">
        <v>23</v>
      </c>
      <c r="C3928" s="1" t="str">
        <f t="shared" si="226"/>
        <v>4차</v>
      </c>
      <c r="D3928" s="1" t="str">
        <f>"0324E59739"</f>
        <v>0324E59739</v>
      </c>
      <c r="E3928" s="1" t="s">
        <v>10</v>
      </c>
      <c r="F3928" s="1" t="str">
        <f>"10.12.133.200"</f>
        <v>10.12.133.200</v>
      </c>
      <c r="G3928" s="1" t="str">
        <f>"0324E597"</f>
        <v>0324E597</v>
      </c>
      <c r="H3928" s="1" t="str">
        <f>"능동로 49-2"</f>
        <v>능동로 49-2</v>
      </c>
      <c r="I3928" s="1" t="s">
        <v>17</v>
      </c>
      <c r="J3928" s="1" t="str">
        <f>"3/3"</f>
        <v>3/3</v>
      </c>
      <c r="K3928" s="1" t="str">
        <f>"2026-07-29 13:18:03"</f>
        <v>2026-07-29 13:18:03</v>
      </c>
      <c r="L3928" s="1" t="str">
        <f>"2018-06-23 07:37:24"</f>
        <v>2018-06-23 07:37:24</v>
      </c>
      <c r="M3928" s="1" t="s">
        <v>0</v>
      </c>
      <c r="N3928" s="1" t="s">
        <v>38</v>
      </c>
      <c r="O3928" s="1" t="s">
        <v>46</v>
      </c>
    </row>
    <row r="3929" spans="2:15" x14ac:dyDescent="0.3">
      <c r="B3929" s="1" t="s">
        <v>23</v>
      </c>
      <c r="C3929" s="1" t="str">
        <f>"5-2차"</f>
        <v>5-2차</v>
      </c>
      <c r="D3929" s="1" t="str">
        <f>"0324F3015M"</f>
        <v>0324F3015M</v>
      </c>
      <c r="E3929" s="1" t="s">
        <v>10</v>
      </c>
      <c r="F3929" s="1" t="str">
        <f>"fde3:102:1440:1300:0:0:0:17"</f>
        <v>fde3:102:1440:1300:0:0:0:17</v>
      </c>
      <c r="G3929" s="1" t="str">
        <f>"0324F301"</f>
        <v>0324F301</v>
      </c>
      <c r="H3929" s="1" t="str">
        <f>"건대간 20R2L2"</f>
        <v>건대간 20R2L2</v>
      </c>
      <c r="I3929" s="1" t="s">
        <v>15</v>
      </c>
      <c r="J3929" s="1" t="str">
        <f>"94/97"</f>
        <v>94/97</v>
      </c>
      <c r="K3929" s="1" t="str">
        <f>"2026-07-28 20:03:27"</f>
        <v>2026-07-28 20:03:27</v>
      </c>
      <c r="L3929" s="1" t="str">
        <f>"2023-06-19 17:47:58"</f>
        <v>2023-06-19 17:47:58</v>
      </c>
      <c r="M3929" s="1" t="s">
        <v>45</v>
      </c>
      <c r="N3929" s="1" t="s">
        <v>38</v>
      </c>
      <c r="O3929" s="1" t="s">
        <v>46</v>
      </c>
    </row>
    <row r="3930" spans="2:15" x14ac:dyDescent="0.3">
      <c r="B3930" s="1" t="s">
        <v>23</v>
      </c>
      <c r="C3930" s="1" t="str">
        <f>"5-2차"</f>
        <v>5-2차</v>
      </c>
      <c r="D3930" s="1" t="str">
        <f>"0324F3025M"</f>
        <v>0324F3025M</v>
      </c>
      <c r="E3930" s="1" t="s">
        <v>10</v>
      </c>
      <c r="F3930" s="1" t="str">
        <f>"fde3:102:1440:1300:0:0:0:18"</f>
        <v>fde3:102:1440:1300:0:0:0:18</v>
      </c>
      <c r="G3930" s="1" t="str">
        <f>"0324F302"</f>
        <v>0324F302</v>
      </c>
      <c r="H3930" s="1" t="str">
        <f>"건대간 20R2L3"</f>
        <v>건대간 20R2L3</v>
      </c>
      <c r="I3930" s="1" t="s">
        <v>15</v>
      </c>
      <c r="J3930" s="1" t="str">
        <f>"66/66"</f>
        <v>66/66</v>
      </c>
      <c r="K3930" s="1" t="str">
        <f>"2026-07-29 14:20:41"</f>
        <v>2026-07-29 14:20:41</v>
      </c>
      <c r="L3930" s="1" t="str">
        <f>"2023-06-19 17:48:36"</f>
        <v>2023-06-19 17:48:36</v>
      </c>
      <c r="M3930" s="1" t="s">
        <v>45</v>
      </c>
      <c r="N3930" s="1" t="s">
        <v>38</v>
      </c>
      <c r="O3930" s="1" t="s">
        <v>46</v>
      </c>
    </row>
    <row r="3931" spans="2:15" x14ac:dyDescent="0.3">
      <c r="B3931" s="1" t="s">
        <v>23</v>
      </c>
      <c r="C3931" s="1" t="str">
        <f>"6차"</f>
        <v>6차</v>
      </c>
      <c r="D3931" s="1" t="str">
        <f>"0324F6016S"</f>
        <v>0324F6016S</v>
      </c>
      <c r="E3931" s="1" t="s">
        <v>10</v>
      </c>
      <c r="F3931" s="1" t="str">
        <f>"fde1:103:4:c5fc:0:0:0:2"</f>
        <v>fde1:103:4:c5fc:0:0:0:2</v>
      </c>
      <c r="G3931" s="1" t="str">
        <f>"0324F601"</f>
        <v>0324F601</v>
      </c>
      <c r="H3931" s="1" t="str">
        <f>"건대간 20R4L2"</f>
        <v>건대간 20R4L2</v>
      </c>
      <c r="I3931" s="1" t="s">
        <v>15</v>
      </c>
      <c r="J3931" s="1" t="str">
        <f>"66/66"</f>
        <v>66/66</v>
      </c>
      <c r="K3931" s="1" t="str">
        <f>"2026-07-29 14:20:10"</f>
        <v>2026-07-29 14:20:10</v>
      </c>
      <c r="L3931" s="1" t="str">
        <f>"2024-12-10 15:44:48"</f>
        <v>2024-12-10 15:44:48</v>
      </c>
      <c r="M3931" s="1" t="s">
        <v>4</v>
      </c>
      <c r="N3931" s="1" t="s">
        <v>38</v>
      </c>
      <c r="O3931" s="1" t="s">
        <v>46</v>
      </c>
    </row>
    <row r="3932" spans="2:15" x14ac:dyDescent="0.3">
      <c r="B3932" s="1" t="s">
        <v>23</v>
      </c>
      <c r="C3932" s="1" t="str">
        <f>"4차"</f>
        <v>4차</v>
      </c>
      <c r="D3932" s="1" t="str">
        <f>"0324G12441"</f>
        <v>0324G12441</v>
      </c>
      <c r="E3932" s="1" t="s">
        <v>10</v>
      </c>
      <c r="F3932" s="1" t="str">
        <f>"10.14.7.20"</f>
        <v>10.14.7.20</v>
      </c>
      <c r="G3932" s="1" t="str">
        <f>"0324G124"</f>
        <v>0324G124</v>
      </c>
      <c r="H3932" s="1" t="str">
        <f>"능동로 16L2L1"</f>
        <v>능동로 16L2L1</v>
      </c>
      <c r="I3932" s="1" t="s">
        <v>17</v>
      </c>
      <c r="J3932" s="1" t="str">
        <f>"23/23"</f>
        <v>23/23</v>
      </c>
      <c r="K3932" s="1" t="str">
        <f>"2026-07-29 13:18:03"</f>
        <v>2026-07-29 13:18:03</v>
      </c>
      <c r="L3932" s="1" t="str">
        <f>"2021-08-30 06:52:23"</f>
        <v>2021-08-30 06:52:23</v>
      </c>
      <c r="M3932" s="1" t="s">
        <v>3</v>
      </c>
      <c r="N3932" s="1" t="s">
        <v>38</v>
      </c>
      <c r="O3932" s="1" t="s">
        <v>46</v>
      </c>
    </row>
    <row r="3933" spans="2:15" x14ac:dyDescent="0.3">
      <c r="B3933" s="1" t="s">
        <v>23</v>
      </c>
      <c r="C3933" s="1" t="str">
        <f>"4차"</f>
        <v>4차</v>
      </c>
      <c r="D3933" s="1" t="str">
        <f>"0324G24341"</f>
        <v>0324G24341</v>
      </c>
      <c r="E3933" s="1" t="s">
        <v>14</v>
      </c>
      <c r="F3933" s="1" t="str">
        <f>"10.12.129.128"</f>
        <v>10.12.129.128</v>
      </c>
      <c r="G3933" s="1" t="str">
        <f>"0324G243"</f>
        <v>0324G243</v>
      </c>
      <c r="H3933" s="1" t="str">
        <f>"능동로 16L2L5"</f>
        <v>능동로 16L2L5</v>
      </c>
      <c r="I3933" s="1" t="s">
        <v>17</v>
      </c>
      <c r="J3933" s="1" t="str">
        <f>"0/0"</f>
        <v>0/0</v>
      </c>
      <c r="K3933" s="1" t="str">
        <f>"2026-03-15 01:18:03"</f>
        <v>2026-03-15 01:18:03</v>
      </c>
      <c r="L3933" s="1" t="str">
        <f>"2021-08-30 07:37:47"</f>
        <v>2021-08-30 07:37:47</v>
      </c>
      <c r="M3933" s="1" t="s">
        <v>0</v>
      </c>
      <c r="N3933" s="1" t="s">
        <v>39</v>
      </c>
      <c r="O3933" s="1" t="s">
        <v>46</v>
      </c>
    </row>
    <row r="3934" spans="2:15" x14ac:dyDescent="0.3">
      <c r="B3934" s="1" t="s">
        <v>23</v>
      </c>
      <c r="C3934" s="1" t="str">
        <f>"4차"</f>
        <v>4차</v>
      </c>
      <c r="D3934" s="1" t="str">
        <f>"0324G25141"</f>
        <v>0324G25141</v>
      </c>
      <c r="E3934" s="1" t="s">
        <v>12</v>
      </c>
      <c r="F3934" s="1" t="str">
        <f>"10.14.5.24"</f>
        <v>10.14.5.24</v>
      </c>
      <c r="G3934" s="1" t="str">
        <f>"0324G251"</f>
        <v>0324G251</v>
      </c>
      <c r="H3934" s="1" t="str">
        <f>"능동로 16L2L6"</f>
        <v>능동로 16L2L6</v>
      </c>
      <c r="I3934" s="1" t="s">
        <v>17</v>
      </c>
      <c r="J3934" s="1" t="str">
        <f>"0/42"</f>
        <v>0/42</v>
      </c>
      <c r="K3934" s="1" t="str">
        <f>"2026-07-26 01:18:04"</f>
        <v>2026-07-26 01:18:04</v>
      </c>
      <c r="L3934" s="1" t="str">
        <f>"2021-08-30 08:30:54"</f>
        <v>2021-08-30 08:30:54</v>
      </c>
      <c r="M3934" s="1" t="s">
        <v>3</v>
      </c>
      <c r="N3934" s="1" t="s">
        <v>38</v>
      </c>
      <c r="O3934" s="1" t="s">
        <v>46</v>
      </c>
    </row>
    <row r="3935" spans="2:15" x14ac:dyDescent="0.3">
      <c r="B3935" s="1" t="s">
        <v>23</v>
      </c>
      <c r="C3935" s="1" t="str">
        <f>"4차"</f>
        <v>4차</v>
      </c>
      <c r="D3935" s="1" t="str">
        <f>"0324G25241"</f>
        <v>0324G25241</v>
      </c>
      <c r="E3935" s="1" t="s">
        <v>10</v>
      </c>
      <c r="F3935" s="1" t="str">
        <f>"10.12.129.247"</f>
        <v>10.12.129.247</v>
      </c>
      <c r="G3935" s="1" t="str">
        <f>"0324G252"</f>
        <v>0324G252</v>
      </c>
      <c r="H3935" s="1" t="str">
        <f>"능동로 16L2L6R1"</f>
        <v>능동로 16L2L6R1</v>
      </c>
      <c r="I3935" s="1" t="s">
        <v>17</v>
      </c>
      <c r="J3935" s="1" t="str">
        <f>"7/7"</f>
        <v>7/7</v>
      </c>
      <c r="K3935" s="1" t="str">
        <f>"2026-07-29 13:18:02"</f>
        <v>2026-07-29 13:18:02</v>
      </c>
      <c r="L3935" s="1" t="str">
        <f>"2021-08-30 09:05:13"</f>
        <v>2021-08-30 09:05:13</v>
      </c>
      <c r="M3935" s="1" t="s">
        <v>0</v>
      </c>
      <c r="N3935" s="1" t="s">
        <v>38</v>
      </c>
      <c r="O3935" s="1" t="s">
        <v>46</v>
      </c>
    </row>
    <row r="3936" spans="2:15" x14ac:dyDescent="0.3">
      <c r="B3936" s="1" t="s">
        <v>23</v>
      </c>
      <c r="C3936" s="1" t="str">
        <f>"4차"</f>
        <v>4차</v>
      </c>
      <c r="D3936" s="1" t="str">
        <f>"0324G31241"</f>
        <v>0324G31241</v>
      </c>
      <c r="E3936" s="1" t="s">
        <v>10</v>
      </c>
      <c r="F3936" s="1" t="str">
        <f>"10.14.2.29"</f>
        <v>10.14.2.29</v>
      </c>
      <c r="G3936" s="1" t="str">
        <f>"0324G312"</f>
        <v>0324G312</v>
      </c>
      <c r="H3936" s="1" t="str">
        <f>"능동로 16L5"</f>
        <v>능동로 16L5</v>
      </c>
      <c r="I3936" s="1" t="s">
        <v>17</v>
      </c>
      <c r="J3936" s="1" t="str">
        <f>"6/6"</f>
        <v>6/6</v>
      </c>
      <c r="K3936" s="1" t="str">
        <f>"2026-07-29 13:18:04"</f>
        <v>2026-07-29 13:18:04</v>
      </c>
      <c r="L3936" s="1" t="str">
        <f>"2021-08-27 07:34:49"</f>
        <v>2021-08-27 07:34:49</v>
      </c>
      <c r="M3936" s="1" t="s">
        <v>3</v>
      </c>
      <c r="N3936" s="1" t="s">
        <v>38</v>
      </c>
      <c r="O3936" s="1" t="s">
        <v>46</v>
      </c>
    </row>
    <row r="3937" spans="2:15" x14ac:dyDescent="0.3">
      <c r="B3937" s="1" t="s">
        <v>23</v>
      </c>
      <c r="C3937" s="1" t="str">
        <f>"3차"</f>
        <v>3차</v>
      </c>
      <c r="D3937" s="1" t="str">
        <f>"0324G33139"</f>
        <v>0324G33139</v>
      </c>
      <c r="E3937" s="1" t="s">
        <v>10</v>
      </c>
      <c r="F3937" s="1" t="str">
        <f>"10.11.80.234"</f>
        <v>10.11.80.234</v>
      </c>
      <c r="G3937" s="1" t="str">
        <f>"0324G331"</f>
        <v>0324G331</v>
      </c>
      <c r="H3937" s="1" t="str">
        <f>"능동로 16L2L6R4R1"</f>
        <v>능동로 16L2L6R4R1</v>
      </c>
      <c r="I3937" s="1" t="s">
        <v>8</v>
      </c>
      <c r="J3937" s="1" t="str">
        <f>"32/32"</f>
        <v>32/32</v>
      </c>
      <c r="K3937" s="1" t="str">
        <f>"2026-07-29 13:18:02"</f>
        <v>2026-07-29 13:18:02</v>
      </c>
      <c r="L3937" s="1" t="str">
        <f>"2018-04-17 18:17:45"</f>
        <v>2018-04-17 18:17:45</v>
      </c>
      <c r="M3937" s="1" t="s">
        <v>2</v>
      </c>
      <c r="N3937" s="1" t="s">
        <v>38</v>
      </c>
      <c r="O3937" s="1" t="s">
        <v>46</v>
      </c>
    </row>
    <row r="3938" spans="2:15" x14ac:dyDescent="0.3">
      <c r="B3938" s="1" t="s">
        <v>23</v>
      </c>
      <c r="C3938" s="1" t="str">
        <f>"4차"</f>
        <v>4차</v>
      </c>
      <c r="D3938" s="1" t="str">
        <f>"0324G34241"</f>
        <v>0324G34241</v>
      </c>
      <c r="E3938" s="1" t="s">
        <v>10</v>
      </c>
      <c r="F3938" s="1" t="str">
        <f>"10.14.3.22"</f>
        <v>10.14.3.22</v>
      </c>
      <c r="G3938" s="1" t="str">
        <f>"0324G342"</f>
        <v>0324G342</v>
      </c>
      <c r="H3938" s="1" t="str">
        <f>"능동로 16L2L6R2"</f>
        <v>능동로 16L2L6R2</v>
      </c>
      <c r="I3938" s="1" t="s">
        <v>17</v>
      </c>
      <c r="J3938" s="1" t="str">
        <f>"46/46"</f>
        <v>46/46</v>
      </c>
      <c r="K3938" s="1" t="str">
        <f>"2026-07-29 13:18:04"</f>
        <v>2026-07-29 13:18:04</v>
      </c>
      <c r="L3938" s="1" t="str">
        <f>"2021-08-30 09:50:31"</f>
        <v>2021-08-30 09:50:31</v>
      </c>
      <c r="M3938" s="1" t="s">
        <v>3</v>
      </c>
      <c r="N3938" s="1" t="s">
        <v>38</v>
      </c>
      <c r="O3938" s="1" t="s">
        <v>46</v>
      </c>
    </row>
    <row r="3939" spans="2:15" x14ac:dyDescent="0.3">
      <c r="B3939" s="1" t="s">
        <v>23</v>
      </c>
      <c r="C3939" s="1" t="str">
        <f>"4차"</f>
        <v>4차</v>
      </c>
      <c r="D3939" s="1" t="str">
        <f>"0324G40241"</f>
        <v>0324G40241</v>
      </c>
      <c r="E3939" s="1" t="s">
        <v>10</v>
      </c>
      <c r="F3939" s="1" t="str">
        <f>"10.14.14.32"</f>
        <v>10.14.14.32</v>
      </c>
      <c r="G3939" s="1" t="str">
        <f>"0324G402"</f>
        <v>0324G402</v>
      </c>
      <c r="H3939" s="1" t="str">
        <f>"능동로 16L6"</f>
        <v>능동로 16L6</v>
      </c>
      <c r="I3939" s="1" t="s">
        <v>17</v>
      </c>
      <c r="J3939" s="1" t="str">
        <f>"17/19"</f>
        <v>17/19</v>
      </c>
      <c r="K3939" s="1" t="str">
        <f>"2026-07-29 13:18:02"</f>
        <v>2026-07-29 13:18:02</v>
      </c>
      <c r="L3939" s="1" t="str">
        <f>"2021-08-27 06:45:23"</f>
        <v>2021-08-27 06:45:23</v>
      </c>
      <c r="M3939" s="1" t="s">
        <v>3</v>
      </c>
      <c r="N3939" s="1" t="s">
        <v>38</v>
      </c>
      <c r="O3939" s="1" t="s">
        <v>46</v>
      </c>
    </row>
    <row r="3940" spans="2:15" x14ac:dyDescent="0.3">
      <c r="B3940" s="1" t="s">
        <v>23</v>
      </c>
      <c r="C3940" s="1" t="str">
        <f>"4차"</f>
        <v>4차</v>
      </c>
      <c r="D3940" s="1" t="str">
        <f>"0324G40341"</f>
        <v>0324G40341</v>
      </c>
      <c r="E3940" s="1" t="s">
        <v>10</v>
      </c>
      <c r="F3940" s="1" t="str">
        <f>"10.14.13.36"</f>
        <v>10.14.13.36</v>
      </c>
      <c r="G3940" s="1" t="str">
        <f>"0324G403"</f>
        <v>0324G403</v>
      </c>
      <c r="H3940" s="1" t="str">
        <f>"능동로 16L7"</f>
        <v>능동로 16L7</v>
      </c>
      <c r="I3940" s="1" t="s">
        <v>17</v>
      </c>
      <c r="J3940" s="1" t="str">
        <f>"41/43"</f>
        <v>41/43</v>
      </c>
      <c r="K3940" s="1" t="str">
        <f>"2026-07-29 13:18:04"</f>
        <v>2026-07-29 13:18:04</v>
      </c>
      <c r="L3940" s="1" t="str">
        <f>"2021-08-25 08:30:05"</f>
        <v>2021-08-25 08:30:05</v>
      </c>
      <c r="M3940" s="1" t="s">
        <v>3</v>
      </c>
      <c r="N3940" s="1" t="s">
        <v>38</v>
      </c>
      <c r="O3940" s="1" t="s">
        <v>46</v>
      </c>
    </row>
    <row r="3941" spans="2:15" x14ac:dyDescent="0.3">
      <c r="B3941" s="1" t="s">
        <v>23</v>
      </c>
      <c r="C3941" s="1" t="str">
        <f>"4차"</f>
        <v>4차</v>
      </c>
      <c r="D3941" s="1" t="str">
        <f>"0324G43141"</f>
        <v>0324G43141</v>
      </c>
      <c r="E3941" s="1" t="s">
        <v>10</v>
      </c>
      <c r="F3941" s="1" t="str">
        <f>"10.12.131.243"</f>
        <v>10.12.131.243</v>
      </c>
      <c r="G3941" s="1" t="str">
        <f>"0324G431"</f>
        <v>0324G431</v>
      </c>
      <c r="H3941" s="1" t="str">
        <f>"능동로 16L2L6R5"</f>
        <v>능동로 16L2L6R5</v>
      </c>
      <c r="I3941" s="1" t="s">
        <v>17</v>
      </c>
      <c r="J3941" s="1" t="str">
        <f>"15/15"</f>
        <v>15/15</v>
      </c>
      <c r="K3941" s="1" t="str">
        <f>"2026-07-29 13:18:03"</f>
        <v>2026-07-29 13:18:03</v>
      </c>
      <c r="L3941" s="1" t="str">
        <f>"2021-08-30 10:23:23"</f>
        <v>2021-08-30 10:23:23</v>
      </c>
      <c r="M3941" s="1" t="s">
        <v>0</v>
      </c>
      <c r="N3941" s="1" t="s">
        <v>38</v>
      </c>
      <c r="O3941" s="1" t="s">
        <v>46</v>
      </c>
    </row>
    <row r="3942" spans="2:15" x14ac:dyDescent="0.3">
      <c r="B3942" s="1" t="s">
        <v>23</v>
      </c>
      <c r="C3942" s="1" t="str">
        <f>"5-1차"</f>
        <v>5-1차</v>
      </c>
      <c r="D3942" s="1" t="str">
        <f>"0324H0715M"</f>
        <v>0324H0715M</v>
      </c>
      <c r="E3942" s="1" t="s">
        <v>10</v>
      </c>
      <c r="F3942" s="1" t="str">
        <f>"fde3:102:1440:2200:0:0:0:2"</f>
        <v>fde3:102:1440:2200:0:0:0:2</v>
      </c>
      <c r="G3942" s="1" t="str">
        <f>"0324H071"</f>
        <v>0324H071</v>
      </c>
      <c r="H3942" s="1" t="str">
        <f>"자양간 15R5R8"</f>
        <v>자양간 15R5R8</v>
      </c>
      <c r="I3942" s="1" t="s">
        <v>15</v>
      </c>
      <c r="J3942" s="1" t="str">
        <f>"35/35"</f>
        <v>35/35</v>
      </c>
      <c r="K3942" s="1" t="str">
        <f>"2026-07-29 14:20:13"</f>
        <v>2026-07-29 14:20:13</v>
      </c>
      <c r="L3942" s="1" t="str">
        <f>"2022-10-24 12:10:05"</f>
        <v>2022-10-24 12:10:05</v>
      </c>
      <c r="M3942" s="1" t="s">
        <v>45</v>
      </c>
      <c r="N3942" s="1" t="s">
        <v>38</v>
      </c>
      <c r="O3942" s="1" t="s">
        <v>46</v>
      </c>
    </row>
    <row r="3943" spans="2:15" x14ac:dyDescent="0.3">
      <c r="B3943" s="1" t="s">
        <v>23</v>
      </c>
      <c r="C3943" s="1" t="str">
        <f>"5-2차"</f>
        <v>5-2차</v>
      </c>
      <c r="D3943" s="1" t="str">
        <f>"0324H0735S"</f>
        <v>0324H0735S</v>
      </c>
      <c r="E3943" s="1" t="s">
        <v>10</v>
      </c>
      <c r="F3943" s="1" t="str">
        <f>"fde3:102:1440:2200:0:0:0:7"</f>
        <v>fde3:102:1440:2200:0:0:0:7</v>
      </c>
      <c r="G3943" s="1" t="str">
        <f>"0324H073"</f>
        <v>0324H073</v>
      </c>
      <c r="H3943" s="1" t="str">
        <f>"자양간 15R5R7"</f>
        <v>자양간 15R5R7</v>
      </c>
      <c r="I3943" s="1" t="s">
        <v>15</v>
      </c>
      <c r="J3943" s="1" t="str">
        <f>"26/27"</f>
        <v>26/27</v>
      </c>
      <c r="K3943" s="1" t="str">
        <f>"2026-07-29 14:20:12"</f>
        <v>2026-07-29 14:20:12</v>
      </c>
      <c r="L3943" s="1" t="str">
        <f>"2023-06-14 11:05:08"</f>
        <v>2023-06-14 11:05:08</v>
      </c>
      <c r="M3943" s="1" t="s">
        <v>45</v>
      </c>
      <c r="N3943" s="1" t="s">
        <v>38</v>
      </c>
      <c r="O3943" s="1" t="s">
        <v>46</v>
      </c>
    </row>
    <row r="3944" spans="2:15" x14ac:dyDescent="0.3">
      <c r="B3944" s="1" t="s">
        <v>23</v>
      </c>
      <c r="C3944" s="1" t="str">
        <f>"5-2차"</f>
        <v>5-2차</v>
      </c>
      <c r="D3944" s="1" t="str">
        <f>"0324H1615M"</f>
        <v>0324H1615M</v>
      </c>
      <c r="E3944" s="1" t="s">
        <v>10</v>
      </c>
      <c r="F3944" s="1" t="str">
        <f>"fde3:102:1440:2200:0:0:0:6"</f>
        <v>fde3:102:1440:2200:0:0:0:6</v>
      </c>
      <c r="G3944" s="1" t="str">
        <f>"0324H161"</f>
        <v>0324H161</v>
      </c>
      <c r="H3944" s="1" t="str">
        <f>"자양간 15R5R6"</f>
        <v>자양간 15R5R6</v>
      </c>
      <c r="I3944" s="1" t="s">
        <v>15</v>
      </c>
      <c r="J3944" s="1" t="str">
        <f>"127/127"</f>
        <v>127/127</v>
      </c>
      <c r="K3944" s="1" t="str">
        <f>"2026-07-29 14:20:13"</f>
        <v>2026-07-29 14:20:13</v>
      </c>
      <c r="L3944" s="1" t="str">
        <f>"2023-06-19 17:47:24"</f>
        <v>2023-06-19 17:47:24</v>
      </c>
      <c r="M3944" s="1" t="s">
        <v>45</v>
      </c>
      <c r="N3944" s="1" t="s">
        <v>38</v>
      </c>
      <c r="O3944" s="1" t="s">
        <v>46</v>
      </c>
    </row>
    <row r="3945" spans="2:15" x14ac:dyDescent="0.3">
      <c r="B3945" s="1" t="s">
        <v>23</v>
      </c>
      <c r="C3945" s="1" t="str">
        <f>"4차"</f>
        <v>4차</v>
      </c>
      <c r="D3945" s="1" t="str">
        <f>"0324H17139"</f>
        <v>0324H17139</v>
      </c>
      <c r="E3945" s="1" t="s">
        <v>10</v>
      </c>
      <c r="F3945" s="1" t="str">
        <f>"10.11.57.106"</f>
        <v>10.11.57.106</v>
      </c>
      <c r="G3945" s="1" t="str">
        <f>"0324H171"</f>
        <v>0324H171</v>
      </c>
      <c r="H3945" s="1" t="str">
        <f>"자양간 15R3R6"</f>
        <v>자양간 15R3R6</v>
      </c>
      <c r="I3945" s="1" t="s">
        <v>8</v>
      </c>
      <c r="J3945" s="1" t="str">
        <f>"46/46"</f>
        <v>46/46</v>
      </c>
      <c r="K3945" s="1" t="str">
        <f>"2026-07-29 13:18:03"</f>
        <v>2026-07-29 13:18:03</v>
      </c>
      <c r="L3945" s="1" t="str">
        <f>"2018-05-30 09:58:24"</f>
        <v>2018-05-30 09:58:24</v>
      </c>
      <c r="M3945" s="1" t="s">
        <v>2</v>
      </c>
      <c r="N3945" s="1" t="s">
        <v>38</v>
      </c>
      <c r="O3945" s="1" t="s">
        <v>46</v>
      </c>
    </row>
    <row r="3946" spans="2:15" x14ac:dyDescent="0.3">
      <c r="B3946" s="1" t="s">
        <v>23</v>
      </c>
      <c r="C3946" s="1" t="str">
        <f>"3차"</f>
        <v>3차</v>
      </c>
      <c r="D3946" s="1" t="str">
        <f>"0324H18339"</f>
        <v>0324H18339</v>
      </c>
      <c r="E3946" s="1" t="s">
        <v>10</v>
      </c>
      <c r="F3946" s="1" t="str">
        <f>"10.11.61.74"</f>
        <v>10.11.61.74</v>
      </c>
      <c r="G3946" s="1" t="str">
        <f>"0324H183"</f>
        <v>0324H183</v>
      </c>
      <c r="H3946" s="1" t="str">
        <f>"자양간 12R1"</f>
        <v>자양간 12R1</v>
      </c>
      <c r="I3946" s="1" t="s">
        <v>8</v>
      </c>
      <c r="J3946" s="1" t="str">
        <f>"44/44"</f>
        <v>44/44</v>
      </c>
      <c r="K3946" s="1" t="str">
        <f>"2026-07-29 13:18:03"</f>
        <v>2026-07-29 13:18:03</v>
      </c>
      <c r="L3946" s="1" t="str">
        <f>"2018-04-25 11:14:55"</f>
        <v>2018-04-25 11:14:55</v>
      </c>
      <c r="M3946" s="1" t="s">
        <v>2</v>
      </c>
      <c r="N3946" s="1" t="s">
        <v>38</v>
      </c>
      <c r="O3946" s="1" t="s">
        <v>46</v>
      </c>
    </row>
    <row r="3947" spans="2:15" x14ac:dyDescent="0.3">
      <c r="B3947" s="1" t="s">
        <v>23</v>
      </c>
      <c r="C3947" s="1" t="str">
        <f>"4차"</f>
        <v>4차</v>
      </c>
      <c r="D3947" s="1" t="str">
        <f>"0324H21141"</f>
        <v>0324H21141</v>
      </c>
      <c r="E3947" s="1" t="s">
        <v>10</v>
      </c>
      <c r="F3947" s="1" t="str">
        <f>"10.14.5.39"</f>
        <v>10.14.5.39</v>
      </c>
      <c r="G3947" s="1" t="str">
        <f>"0324H211"</f>
        <v>0324H211</v>
      </c>
      <c r="H3947" s="1" t="str">
        <f>"자양간 15R13"</f>
        <v>자양간 15R13</v>
      </c>
      <c r="I3947" s="1" t="s">
        <v>17</v>
      </c>
      <c r="J3947" s="1" t="str">
        <f>"15/15"</f>
        <v>15/15</v>
      </c>
      <c r="K3947" s="1" t="str">
        <f>"2026-07-29 13:18:04"</f>
        <v>2026-07-29 13:18:04</v>
      </c>
      <c r="L3947" s="1" t="str">
        <f>"2021-08-26 07:48:20"</f>
        <v>2021-08-26 07:48:20</v>
      </c>
      <c r="M3947" s="1" t="s">
        <v>3</v>
      </c>
      <c r="N3947" s="1" t="s">
        <v>38</v>
      </c>
      <c r="O3947" s="1" t="s">
        <v>46</v>
      </c>
    </row>
    <row r="3948" spans="2:15" x14ac:dyDescent="0.3">
      <c r="B3948" s="1" t="s">
        <v>23</v>
      </c>
      <c r="C3948" s="1" t="str">
        <f>"4차"</f>
        <v>4차</v>
      </c>
      <c r="D3948" s="1" t="str">
        <f>"0324H24142"</f>
        <v>0324H24142</v>
      </c>
      <c r="E3948" s="1" t="s">
        <v>10</v>
      </c>
      <c r="F3948" s="1" t="str">
        <f>"10.125.2.10"</f>
        <v>10.125.2.10</v>
      </c>
      <c r="G3948" s="1" t="str">
        <f>"0324H241"</f>
        <v>0324H241</v>
      </c>
      <c r="H3948" s="1" t="str">
        <f>"자양간 15R9R2"</f>
        <v>자양간 15R9R2</v>
      </c>
      <c r="I3948" s="1" t="s">
        <v>8</v>
      </c>
      <c r="J3948" s="1" t="str">
        <f>"127/128"</f>
        <v>127/128</v>
      </c>
      <c r="K3948" s="1" t="str">
        <f>"2026-07-29 13:18:02"</f>
        <v>2026-07-29 13:18:02</v>
      </c>
      <c r="L3948" s="1" t="str">
        <f>"2024-04-17 17:52:40"</f>
        <v>2024-04-17 17:52:40</v>
      </c>
      <c r="M3948" s="1" t="s">
        <v>45</v>
      </c>
      <c r="N3948" s="1" t="s">
        <v>38</v>
      </c>
      <c r="O3948" s="1" t="s">
        <v>46</v>
      </c>
    </row>
    <row r="3949" spans="2:15" x14ac:dyDescent="0.3">
      <c r="B3949" s="1" t="s">
        <v>23</v>
      </c>
      <c r="C3949" s="1" t="str">
        <f>"1차"</f>
        <v>1차</v>
      </c>
      <c r="D3949" s="1" t="str">
        <f>"0324H25200"</f>
        <v>0324H25200</v>
      </c>
      <c r="E3949" s="1" t="s">
        <v>10</v>
      </c>
      <c r="F3949" s="1" t="str">
        <f>"10.125.7.106"</f>
        <v>10.125.7.106</v>
      </c>
      <c r="G3949" s="1" t="str">
        <f>"0324H252"</f>
        <v>0324H252</v>
      </c>
      <c r="H3949" s="1" t="str">
        <f>"자양간 15R9R5"</f>
        <v>자양간 15R9R5</v>
      </c>
      <c r="I3949" s="1" t="s">
        <v>8</v>
      </c>
      <c r="J3949" s="1" t="str">
        <f>"68/69"</f>
        <v>68/69</v>
      </c>
      <c r="K3949" s="1" t="str">
        <f>"2026-07-29 13:18:02"</f>
        <v>2026-07-29 13:18:02</v>
      </c>
      <c r="L3949" s="1" t="str">
        <f>"2014-11-13 00:13:32"</f>
        <v>2014-11-13 00:13:32</v>
      </c>
      <c r="M3949" s="1" t="s">
        <v>45</v>
      </c>
      <c r="N3949" s="1" t="s">
        <v>38</v>
      </c>
      <c r="O3949" s="1" t="s">
        <v>46</v>
      </c>
    </row>
    <row r="3950" spans="2:15" x14ac:dyDescent="0.3">
      <c r="B3950" s="1" t="s">
        <v>23</v>
      </c>
      <c r="C3950" s="1" t="str">
        <f>"5-1차"</f>
        <v>5-1차</v>
      </c>
      <c r="D3950" s="1" t="str">
        <f>"0324H2615M"</f>
        <v>0324H2615M</v>
      </c>
      <c r="E3950" s="1" t="s">
        <v>10</v>
      </c>
      <c r="F3950" s="1" t="str">
        <f>"fde3:102:1440:2200:0:0:0:3"</f>
        <v>fde3:102:1440:2200:0:0:0:3</v>
      </c>
      <c r="G3950" s="1" t="str">
        <f>"0324H261"</f>
        <v>0324H261</v>
      </c>
      <c r="H3950" s="1" t="str">
        <f>"자양간 15R5R4"</f>
        <v>자양간 15R5R4</v>
      </c>
      <c r="I3950" s="1" t="s">
        <v>15</v>
      </c>
      <c r="J3950" s="1" t="str">
        <f>"52/52"</f>
        <v>52/52</v>
      </c>
      <c r="K3950" s="1" t="str">
        <f>"2026-07-29 14:20:41"</f>
        <v>2026-07-29 14:20:41</v>
      </c>
      <c r="L3950" s="1" t="str">
        <f>"2022-10-24 11:43:24"</f>
        <v>2022-10-24 11:43:24</v>
      </c>
      <c r="M3950" s="1" t="s">
        <v>45</v>
      </c>
      <c r="N3950" s="1" t="s">
        <v>38</v>
      </c>
      <c r="O3950" s="1" t="s">
        <v>46</v>
      </c>
    </row>
    <row r="3951" spans="2:15" x14ac:dyDescent="0.3">
      <c r="B3951" s="1" t="s">
        <v>23</v>
      </c>
      <c r="C3951" s="1" t="str">
        <f>"4차"</f>
        <v>4차</v>
      </c>
      <c r="D3951" s="1" t="str">
        <f>"0324H26244"</f>
        <v>0324H26244</v>
      </c>
      <c r="E3951" s="1" t="s">
        <v>14</v>
      </c>
      <c r="F3951" s="1" t="str">
        <f>"10.125.119.226"</f>
        <v>10.125.119.226</v>
      </c>
      <c r="G3951" s="1" t="str">
        <f>"0324H262"</f>
        <v>0324H262</v>
      </c>
      <c r="H3951" s="1" t="str">
        <f>"자양간 15R5R3"</f>
        <v>자양간 15R5R3</v>
      </c>
      <c r="I3951" s="1" t="s">
        <v>8</v>
      </c>
      <c r="J3951" s="1" t="str">
        <f>"0/0"</f>
        <v>0/0</v>
      </c>
      <c r="K3951" s="1" t="str">
        <f>"2026-07-29 13:18:02"</f>
        <v>2026-07-29 13:18:02</v>
      </c>
      <c r="L3951" s="1" t="str">
        <f>"2024-06-20 07:52:39"</f>
        <v>2024-06-20 07:52:39</v>
      </c>
      <c r="M3951" s="1" t="s">
        <v>45</v>
      </c>
      <c r="N3951" s="1" t="s">
        <v>38</v>
      </c>
      <c r="O3951" s="1" t="s">
        <v>44</v>
      </c>
    </row>
    <row r="3952" spans="2:15" x14ac:dyDescent="0.3">
      <c r="B3952" s="1" t="s">
        <v>23</v>
      </c>
      <c r="C3952" s="1" t="str">
        <f>"1차"</f>
        <v>1차</v>
      </c>
      <c r="D3952" s="1" t="str">
        <f>"0324H27301"</f>
        <v>0324H27301</v>
      </c>
      <c r="E3952" s="1" t="s">
        <v>10</v>
      </c>
      <c r="F3952" s="1" t="str">
        <f>"10.12.130.247"</f>
        <v>10.12.130.247</v>
      </c>
      <c r="G3952" s="1" t="str">
        <f>"0324H273"</f>
        <v>0324H273</v>
      </c>
      <c r="H3952" s="1" t="str">
        <f>"자양간 15R3R5"</f>
        <v>자양간 15R3R5</v>
      </c>
      <c r="I3952" s="1" t="s">
        <v>8</v>
      </c>
      <c r="J3952" s="1" t="str">
        <f>"41/49"</f>
        <v>41/49</v>
      </c>
      <c r="K3952" s="1" t="str">
        <f>"2026-07-29 13:18:00"</f>
        <v>2026-07-29 13:18:00</v>
      </c>
      <c r="L3952" s="1" t="str">
        <f>"2014-11-11 00:12:55"</f>
        <v>2014-11-11 00:12:55</v>
      </c>
      <c r="M3952" s="1" t="s">
        <v>0</v>
      </c>
      <c r="N3952" s="1" t="s">
        <v>38</v>
      </c>
      <c r="O3952" s="1" t="s">
        <v>46</v>
      </c>
    </row>
    <row r="3953" spans="2:15" x14ac:dyDescent="0.3">
      <c r="B3953" s="1" t="s">
        <v>23</v>
      </c>
      <c r="C3953" s="1" t="str">
        <f>"3차"</f>
        <v>3차</v>
      </c>
      <c r="D3953" s="1" t="str">
        <f>"0324H29639"</f>
        <v>0324H29639</v>
      </c>
      <c r="E3953" s="1" t="s">
        <v>10</v>
      </c>
      <c r="F3953" s="1" t="str">
        <f>"10.11.54.74"</f>
        <v>10.11.54.74</v>
      </c>
      <c r="G3953" s="1" t="str">
        <f>"0324H296"</f>
        <v>0324H296</v>
      </c>
      <c r="H3953" s="1" t="str">
        <f>"자양간 13H1"</f>
        <v>자양간 13H1</v>
      </c>
      <c r="I3953" s="1" t="s">
        <v>8</v>
      </c>
      <c r="J3953" s="1" t="str">
        <f>"1/1"</f>
        <v>1/1</v>
      </c>
      <c r="K3953" s="1" t="str">
        <f>"2026-07-29 13:18:01"</f>
        <v>2026-07-29 13:18:01</v>
      </c>
      <c r="L3953" s="1" t="str">
        <f>"2018-04-25 12:05:40"</f>
        <v>2018-04-25 12:05:40</v>
      </c>
      <c r="M3953" s="1" t="s">
        <v>2</v>
      </c>
      <c r="N3953" s="1" t="s">
        <v>38</v>
      </c>
      <c r="O3953" s="1" t="s">
        <v>46</v>
      </c>
    </row>
    <row r="3954" spans="2:15" x14ac:dyDescent="0.3">
      <c r="B3954" s="1" t="s">
        <v>23</v>
      </c>
      <c r="C3954" s="1" t="str">
        <f>"3차"</f>
        <v>3차</v>
      </c>
      <c r="D3954" s="1" t="str">
        <f>"0324H30139"</f>
        <v>0324H30139</v>
      </c>
      <c r="E3954" s="1" t="s">
        <v>10</v>
      </c>
      <c r="F3954" s="1" t="str">
        <f>"10.11.80.242"</f>
        <v>10.11.80.242</v>
      </c>
      <c r="G3954" s="1" t="str">
        <f>"0324H301"</f>
        <v>0324H301</v>
      </c>
      <c r="H3954" s="1" t="str">
        <f>"자양간 20R10R2"</f>
        <v>자양간 20R10R2</v>
      </c>
      <c r="I3954" s="1" t="s">
        <v>8</v>
      </c>
      <c r="J3954" s="1" t="str">
        <f>"59/59"</f>
        <v>59/59</v>
      </c>
      <c r="K3954" s="1" t="str">
        <f>"2026-07-29 13:18:02"</f>
        <v>2026-07-29 13:18:02</v>
      </c>
      <c r="L3954" s="1" t="str">
        <f>"2021-07-28 16:59:37"</f>
        <v>2021-07-28 16:59:37</v>
      </c>
      <c r="M3954" s="1" t="s">
        <v>2</v>
      </c>
      <c r="N3954" s="1" t="s">
        <v>38</v>
      </c>
      <c r="O3954" s="1" t="s">
        <v>46</v>
      </c>
    </row>
    <row r="3955" spans="2:15" x14ac:dyDescent="0.3">
      <c r="B3955" s="1" t="s">
        <v>23</v>
      </c>
      <c r="C3955" s="1" t="str">
        <f>"4차"</f>
        <v>4차</v>
      </c>
      <c r="D3955" s="1" t="str">
        <f>"0324H30441"</f>
        <v>0324H30441</v>
      </c>
      <c r="E3955" s="1" t="s">
        <v>10</v>
      </c>
      <c r="F3955" s="1" t="str">
        <f>"10.12.134.251"</f>
        <v>10.12.134.251</v>
      </c>
      <c r="G3955" s="1" t="str">
        <f>"0324H304"</f>
        <v>0324H304</v>
      </c>
      <c r="H3955" s="1" t="str">
        <f>"자양간 15R14L2"</f>
        <v>자양간 15R14L2</v>
      </c>
      <c r="I3955" s="1" t="s">
        <v>17</v>
      </c>
      <c r="J3955" s="1" t="str">
        <f>"5/5"</f>
        <v>5/5</v>
      </c>
      <c r="K3955" s="1" t="str">
        <f>"2026-07-29 13:18:03"</f>
        <v>2026-07-29 13:18:03</v>
      </c>
      <c r="L3955" s="1" t="str">
        <f>"2023-07-24 16:48:59"</f>
        <v>2023-07-24 16:48:59</v>
      </c>
      <c r="M3955" s="1" t="s">
        <v>0</v>
      </c>
      <c r="N3955" s="1" t="s">
        <v>38</v>
      </c>
      <c r="O3955" s="1" t="s">
        <v>46</v>
      </c>
    </row>
    <row r="3956" spans="2:15" x14ac:dyDescent="0.3">
      <c r="B3956" s="1" t="s">
        <v>23</v>
      </c>
      <c r="C3956" s="1" t="str">
        <f>"1차"</f>
        <v>1차</v>
      </c>
      <c r="D3956" s="1" t="str">
        <f>"0324H33100"</f>
        <v>0324H33100</v>
      </c>
      <c r="E3956" s="1" t="s">
        <v>10</v>
      </c>
      <c r="F3956" s="1" t="str">
        <f>"10.125.2.26"</f>
        <v>10.125.2.26</v>
      </c>
      <c r="G3956" s="1" t="str">
        <f>"0324H331"</f>
        <v>0324H331</v>
      </c>
      <c r="H3956" s="1" t="str">
        <f>"자양간 15R11"</f>
        <v>자양간 15R11</v>
      </c>
      <c r="I3956" s="1" t="s">
        <v>8</v>
      </c>
      <c r="J3956" s="1" t="str">
        <f>"40/40"</f>
        <v>40/40</v>
      </c>
      <c r="K3956" s="1" t="str">
        <f>"2026-07-29 13:18:02"</f>
        <v>2026-07-29 13:18:02</v>
      </c>
      <c r="L3956" s="1" t="str">
        <f>"2014-11-13 00:14:11"</f>
        <v>2014-11-13 00:14:11</v>
      </c>
      <c r="M3956" s="1" t="s">
        <v>45</v>
      </c>
      <c r="N3956" s="1" t="s">
        <v>38</v>
      </c>
      <c r="O3956" s="1" t="s">
        <v>46</v>
      </c>
    </row>
    <row r="3957" spans="2:15" x14ac:dyDescent="0.3">
      <c r="B3957" s="1" t="s">
        <v>23</v>
      </c>
      <c r="C3957" s="1" t="str">
        <f>"5-2차"</f>
        <v>5-2차</v>
      </c>
      <c r="D3957" s="1" t="str">
        <f>"0324H3325M"</f>
        <v>0324H3325M</v>
      </c>
      <c r="E3957" s="1" t="s">
        <v>10</v>
      </c>
      <c r="F3957" s="1" t="str">
        <f>"fde3:102:1440:2300:0:0:0:a"</f>
        <v>fde3:102:1440:2300:0:0:0:a</v>
      </c>
      <c r="G3957" s="1" t="str">
        <f>"0324H332"</f>
        <v>0324H332</v>
      </c>
      <c r="H3957" s="1" t="str">
        <f>"자양간 15R8L1R2"</f>
        <v>자양간 15R8L1R2</v>
      </c>
      <c r="I3957" s="1" t="s">
        <v>15</v>
      </c>
      <c r="J3957" s="1" t="str">
        <f>"92/92"</f>
        <v>92/92</v>
      </c>
      <c r="K3957" s="1" t="str">
        <f>"2026-07-29 14:20:13"</f>
        <v>2026-07-29 14:20:13</v>
      </c>
      <c r="L3957" s="1" t="str">
        <f>"2023-10-16 14:53:03"</f>
        <v>2023-10-16 14:53:03</v>
      </c>
      <c r="M3957" s="1" t="s">
        <v>45</v>
      </c>
      <c r="N3957" s="1" t="s">
        <v>38</v>
      </c>
      <c r="O3957" s="1" t="s">
        <v>46</v>
      </c>
    </row>
    <row r="3958" spans="2:15" x14ac:dyDescent="0.3">
      <c r="B3958" s="1" t="s">
        <v>23</v>
      </c>
      <c r="C3958" s="1" t="str">
        <f>"6차"</f>
        <v>6차</v>
      </c>
      <c r="D3958" s="1" t="str">
        <f>"0324H3426S"</f>
        <v>0324H3426S</v>
      </c>
      <c r="E3958" s="1" t="s">
        <v>10</v>
      </c>
      <c r="F3958" s="1" t="str">
        <f>"fde1:103:4:c5e2:0:0:0:2"</f>
        <v>fde1:103:4:c5e2:0:0:0:2</v>
      </c>
      <c r="G3958" s="1" t="str">
        <f>"0324H342"</f>
        <v>0324H342</v>
      </c>
      <c r="H3958" s="1" t="str">
        <f>"자양간 15R9R1"</f>
        <v>자양간 15R9R1</v>
      </c>
      <c r="I3958" s="1" t="s">
        <v>15</v>
      </c>
      <c r="J3958" s="1" t="str">
        <f>"39/39"</f>
        <v>39/39</v>
      </c>
      <c r="K3958" s="1" t="str">
        <f>"2026-07-29 08:20:26"</f>
        <v>2026-07-29 08:20:26</v>
      </c>
      <c r="L3958" s="1" t="str">
        <f>"2024-11-19 11:26:29"</f>
        <v>2024-11-19 11:26:29</v>
      </c>
      <c r="M3958" s="1" t="s">
        <v>4</v>
      </c>
      <c r="N3958" s="1" t="s">
        <v>38</v>
      </c>
      <c r="O3958" s="1" t="s">
        <v>46</v>
      </c>
    </row>
    <row r="3959" spans="2:15" x14ac:dyDescent="0.3">
      <c r="B3959" s="1" t="s">
        <v>23</v>
      </c>
      <c r="C3959" s="1" t="str">
        <f>"1차"</f>
        <v>1차</v>
      </c>
      <c r="D3959" s="1" t="str">
        <f>"0324H35100"</f>
        <v>0324H35100</v>
      </c>
      <c r="E3959" s="1" t="s">
        <v>10</v>
      </c>
      <c r="F3959" s="1" t="str">
        <f>"10.125.2.34"</f>
        <v>10.125.2.34</v>
      </c>
      <c r="G3959" s="1" t="str">
        <f>"0324H351"</f>
        <v>0324H351</v>
      </c>
      <c r="H3959" s="1" t="str">
        <f>"자양간 15R6"</f>
        <v>자양간 15R6</v>
      </c>
      <c r="I3959" s="1" t="s">
        <v>8</v>
      </c>
      <c r="J3959" s="1" t="str">
        <f>"18/18"</f>
        <v>18/18</v>
      </c>
      <c r="K3959" s="1" t="str">
        <f>"2026-07-29 13:18:02"</f>
        <v>2026-07-29 13:18:02</v>
      </c>
      <c r="L3959" s="1" t="str">
        <f>"2014-11-11 00:12:05"</f>
        <v>2014-11-11 00:12:05</v>
      </c>
      <c r="M3959" s="1" t="s">
        <v>45</v>
      </c>
      <c r="N3959" s="1" t="s">
        <v>38</v>
      </c>
      <c r="O3959" s="1" t="s">
        <v>46</v>
      </c>
    </row>
    <row r="3960" spans="2:15" x14ac:dyDescent="0.3">
      <c r="B3960" s="1" t="s">
        <v>23</v>
      </c>
      <c r="C3960" s="1" t="str">
        <f>"4차"</f>
        <v>4차</v>
      </c>
      <c r="D3960" s="1" t="str">
        <f>"0324H40241"</f>
        <v>0324H40241</v>
      </c>
      <c r="E3960" s="1" t="s">
        <v>10</v>
      </c>
      <c r="F3960" s="1" t="str">
        <f>"10.14.15.41"</f>
        <v>10.14.15.41</v>
      </c>
      <c r="G3960" s="1" t="str">
        <f>"0324H402"</f>
        <v>0324H402</v>
      </c>
      <c r="H3960" s="1" t="str">
        <f>"자양간 20R10R1"</f>
        <v>자양간 20R10R1</v>
      </c>
      <c r="I3960" s="1" t="s">
        <v>17</v>
      </c>
      <c r="J3960" s="1" t="str">
        <f>"49/67"</f>
        <v>49/67</v>
      </c>
      <c r="K3960" s="1" t="str">
        <f>"2026-07-29 13:18:04"</f>
        <v>2026-07-29 13:18:04</v>
      </c>
      <c r="L3960" s="1" t="str">
        <f>"2021-08-26 11:39:15"</f>
        <v>2021-08-26 11:39:15</v>
      </c>
      <c r="M3960" s="1" t="s">
        <v>3</v>
      </c>
      <c r="N3960" s="1" t="s">
        <v>38</v>
      </c>
      <c r="O3960" s="1" t="s">
        <v>46</v>
      </c>
    </row>
    <row r="3961" spans="2:15" x14ac:dyDescent="0.3">
      <c r="B3961" s="1" t="s">
        <v>23</v>
      </c>
      <c r="C3961" s="1" t="str">
        <f>"5-2차"</f>
        <v>5-2차</v>
      </c>
      <c r="D3961" s="1" t="str">
        <f>"0324H4115M"</f>
        <v>0324H4115M</v>
      </c>
      <c r="E3961" s="1" t="s">
        <v>10</v>
      </c>
      <c r="F3961" s="1" t="str">
        <f>"fde3:102:1440:2300:0:0:0:6"</f>
        <v>fde3:102:1440:2300:0:0:0:6</v>
      </c>
      <c r="G3961" s="1" t="str">
        <f>"0324H411"</f>
        <v>0324H411</v>
      </c>
      <c r="H3961" s="1" t="str">
        <f>"자양간 20R10R2R2"</f>
        <v>자양간 20R10R2R2</v>
      </c>
      <c r="I3961" s="1" t="s">
        <v>15</v>
      </c>
      <c r="J3961" s="1" t="str">
        <f>"43/44"</f>
        <v>43/44</v>
      </c>
      <c r="K3961" s="1" t="str">
        <f>"2026-07-29 14:20:10"</f>
        <v>2026-07-29 14:20:10</v>
      </c>
      <c r="L3961" s="1" t="str">
        <f>"2023-09-12 18:19:34"</f>
        <v>2023-09-12 18:19:34</v>
      </c>
      <c r="M3961" s="1" t="s">
        <v>45</v>
      </c>
      <c r="N3961" s="1" t="s">
        <v>38</v>
      </c>
      <c r="O3961" s="1" t="s">
        <v>46</v>
      </c>
    </row>
    <row r="3962" spans="2:15" x14ac:dyDescent="0.3">
      <c r="B3962" s="1" t="s">
        <v>23</v>
      </c>
      <c r="C3962" s="1" t="str">
        <f>"5-2차"</f>
        <v>5-2차</v>
      </c>
      <c r="D3962" s="1" t="str">
        <f>"0324H4315M"</f>
        <v>0324H4315M</v>
      </c>
      <c r="E3962" s="1" t="s">
        <v>10</v>
      </c>
      <c r="F3962" s="1" t="str">
        <f>"fde3:102:1440:2300:0:0:0:9"</f>
        <v>fde3:102:1440:2300:0:0:0:9</v>
      </c>
      <c r="G3962" s="1" t="str">
        <f>"0324H431"</f>
        <v>0324H431</v>
      </c>
      <c r="H3962" s="1" t="str">
        <f>"자양간 15R8L1R1"</f>
        <v>자양간 15R8L1R1</v>
      </c>
      <c r="I3962" s="1" t="s">
        <v>15</v>
      </c>
      <c r="J3962" s="1" t="str">
        <f>"35/35"</f>
        <v>35/35</v>
      </c>
      <c r="K3962" s="1" t="str">
        <f>"2026-07-29 14:20:14"</f>
        <v>2026-07-29 14:20:14</v>
      </c>
      <c r="L3962" s="1" t="str">
        <f>"2023-11-06 16:58:28"</f>
        <v>2023-11-06 16:58:28</v>
      </c>
      <c r="M3962" s="1" t="s">
        <v>45</v>
      </c>
      <c r="N3962" s="1" t="s">
        <v>38</v>
      </c>
      <c r="O3962" s="1" t="s">
        <v>46</v>
      </c>
    </row>
    <row r="3963" spans="2:15" x14ac:dyDescent="0.3">
      <c r="B3963" s="1" t="s">
        <v>23</v>
      </c>
      <c r="C3963" s="1" t="str">
        <f>"5-2차"</f>
        <v>5-2차</v>
      </c>
      <c r="D3963" s="1" t="str">
        <f>"0324H4445S"</f>
        <v>0324H4445S</v>
      </c>
      <c r="E3963" s="1" t="s">
        <v>10</v>
      </c>
      <c r="F3963" s="1" t="str">
        <f>"fde3:102:1440:2300:0:0:0:5"</f>
        <v>fde3:102:1440:2300:0:0:0:5</v>
      </c>
      <c r="G3963" s="1" t="str">
        <f>"0324H444"</f>
        <v>0324H444</v>
      </c>
      <c r="H3963" s="1" t="str">
        <f>"자양간 15R8L4"</f>
        <v>자양간 15R8L4</v>
      </c>
      <c r="I3963" s="1" t="s">
        <v>15</v>
      </c>
      <c r="J3963" s="1" t="str">
        <f>"59/59"</f>
        <v>59/59</v>
      </c>
      <c r="K3963" s="1" t="str">
        <f>"2026-07-29 14:20:13"</f>
        <v>2026-07-29 14:20:13</v>
      </c>
      <c r="L3963" s="1" t="str">
        <f>"2023-08-22 13:23:43"</f>
        <v>2023-08-22 13:23:43</v>
      </c>
      <c r="M3963" s="1" t="s">
        <v>45</v>
      </c>
      <c r="N3963" s="1" t="s">
        <v>38</v>
      </c>
      <c r="O3963" s="1" t="s">
        <v>46</v>
      </c>
    </row>
    <row r="3964" spans="2:15" x14ac:dyDescent="0.3">
      <c r="B3964" s="1" t="s">
        <v>23</v>
      </c>
      <c r="C3964" s="1" t="str">
        <f>"1차"</f>
        <v>1차</v>
      </c>
      <c r="D3964" s="1" t="str">
        <f>"0324H46101"</f>
        <v>0324H46101</v>
      </c>
      <c r="E3964" s="1" t="s">
        <v>10</v>
      </c>
      <c r="F3964" s="1" t="str">
        <f>"10.125.2.35"</f>
        <v>10.125.2.35</v>
      </c>
      <c r="G3964" s="1" t="str">
        <f>"0324H461"</f>
        <v>0324H461</v>
      </c>
      <c r="H3964" s="1" t="str">
        <f>"자양간 15R5"</f>
        <v>자양간 15R5</v>
      </c>
      <c r="I3964" s="1" t="s">
        <v>8</v>
      </c>
      <c r="J3964" s="1" t="str">
        <f>"57/57"</f>
        <v>57/57</v>
      </c>
      <c r="K3964" s="1" t="str">
        <f>"2026-07-29 13:18:02"</f>
        <v>2026-07-29 13:18:02</v>
      </c>
      <c r="L3964" s="1" t="str">
        <f>"2014-11-11 00:12:00"</f>
        <v>2014-11-11 00:12:00</v>
      </c>
      <c r="M3964" s="1" t="s">
        <v>45</v>
      </c>
      <c r="N3964" s="1" t="s">
        <v>38</v>
      </c>
      <c r="O3964" s="1" t="s">
        <v>46</v>
      </c>
    </row>
    <row r="3965" spans="2:15" x14ac:dyDescent="0.3">
      <c r="B3965" s="1" t="s">
        <v>23</v>
      </c>
      <c r="C3965" s="1" t="str">
        <f>"4차"</f>
        <v>4차</v>
      </c>
      <c r="D3965" s="1" t="str">
        <f>"0324H47244"</f>
        <v>0324H47244</v>
      </c>
      <c r="E3965" s="1" t="s">
        <v>10</v>
      </c>
      <c r="F3965" s="1" t="str">
        <f>"10.11.80.250"</f>
        <v>10.11.80.250</v>
      </c>
      <c r="G3965" s="1" t="str">
        <f>"0324H472"</f>
        <v>0324H472</v>
      </c>
      <c r="H3965" s="1" t="str">
        <f>"자양간 15R3"</f>
        <v>자양간 15R3</v>
      </c>
      <c r="I3965" s="1" t="s">
        <v>8</v>
      </c>
      <c r="J3965" s="1" t="str">
        <f>"14/14"</f>
        <v>14/14</v>
      </c>
      <c r="K3965" s="1" t="str">
        <f>"2026-07-29 13:18:02"</f>
        <v>2026-07-29 13:18:02</v>
      </c>
      <c r="L3965" s="1" t="str">
        <f>"2023-10-17 09:32:31"</f>
        <v>2023-10-17 09:32:31</v>
      </c>
      <c r="M3965" s="1" t="s">
        <v>2</v>
      </c>
      <c r="N3965" s="1" t="s">
        <v>38</v>
      </c>
      <c r="O3965" s="1" t="s">
        <v>46</v>
      </c>
    </row>
    <row r="3966" spans="2:15" x14ac:dyDescent="0.3">
      <c r="B3966" s="1" t="s">
        <v>23</v>
      </c>
      <c r="C3966" s="1" t="str">
        <f>"3차"</f>
        <v>3차</v>
      </c>
      <c r="D3966" s="1" t="str">
        <f>"0324H48139"</f>
        <v>0324H48139</v>
      </c>
      <c r="E3966" s="1" t="s">
        <v>10</v>
      </c>
      <c r="F3966" s="1" t="str">
        <f>"10.11.61.50"</f>
        <v>10.11.61.50</v>
      </c>
      <c r="G3966" s="1" t="str">
        <f>"0324H481"</f>
        <v>0324H481</v>
      </c>
      <c r="H3966" s="1" t="str">
        <f>"자양간 15"</f>
        <v>자양간 15</v>
      </c>
      <c r="I3966" s="1" t="s">
        <v>8</v>
      </c>
      <c r="J3966" s="1" t="str">
        <f>"11/11"</f>
        <v>11/11</v>
      </c>
      <c r="K3966" s="1" t="str">
        <f>"2026-07-29 13:18:03"</f>
        <v>2026-07-29 13:18:03</v>
      </c>
      <c r="L3966" s="1" t="str">
        <f>"2018-04-26 11:34:56"</f>
        <v>2018-04-26 11:34:56</v>
      </c>
      <c r="M3966" s="1" t="s">
        <v>2</v>
      </c>
      <c r="N3966" s="1" t="s">
        <v>38</v>
      </c>
      <c r="O3966" s="1" t="s">
        <v>46</v>
      </c>
    </row>
    <row r="3967" spans="2:15" x14ac:dyDescent="0.3">
      <c r="B3967" s="1" t="s">
        <v>23</v>
      </c>
      <c r="C3967" s="1" t="str">
        <f>"5-2차"</f>
        <v>5-2차</v>
      </c>
      <c r="D3967" s="1" t="str">
        <f>"0324H5115M"</f>
        <v>0324H5115M</v>
      </c>
      <c r="E3967" s="1" t="s">
        <v>10</v>
      </c>
      <c r="F3967" s="1" t="str">
        <f>"fde1:103:4:6ea2:0:0:0:2"</f>
        <v>fde1:103:4:6ea2:0:0:0:2</v>
      </c>
      <c r="G3967" s="1" t="str">
        <f>"0324H511"</f>
        <v>0324H511</v>
      </c>
      <c r="H3967" s="1" t="str">
        <f>"자양간 20R8"</f>
        <v>자양간 20R8</v>
      </c>
      <c r="I3967" s="1" t="s">
        <v>15</v>
      </c>
      <c r="J3967" s="1" t="str">
        <f>"106/106"</f>
        <v>106/106</v>
      </c>
      <c r="K3967" s="1" t="str">
        <f>"2026-07-29 14:20:40"</f>
        <v>2026-07-29 14:20:40</v>
      </c>
      <c r="L3967" s="1" t="str">
        <f>"2023-11-14 16:52:50"</f>
        <v>2023-11-14 16:52:50</v>
      </c>
      <c r="M3967" s="1" t="s">
        <v>4</v>
      </c>
      <c r="N3967" s="1" t="s">
        <v>38</v>
      </c>
      <c r="O3967" s="1" t="s">
        <v>46</v>
      </c>
    </row>
    <row r="3968" spans="2:15" x14ac:dyDescent="0.3">
      <c r="B3968" s="1" t="s">
        <v>23</v>
      </c>
      <c r="C3968" s="1" t="str">
        <f>"5-2차"</f>
        <v>5-2차</v>
      </c>
      <c r="D3968" s="1" t="str">
        <f>"0324H5535M"</f>
        <v>0324H5535M</v>
      </c>
      <c r="E3968" s="1" t="s">
        <v>10</v>
      </c>
      <c r="F3968" s="1" t="str">
        <f>"fde3:102:1440:2300:0:0:0:2"</f>
        <v>fde3:102:1440:2300:0:0:0:2</v>
      </c>
      <c r="G3968" s="1" t="str">
        <f>"0324H553"</f>
        <v>0324H553</v>
      </c>
      <c r="H3968" s="1" t="str">
        <f>"자양간 20R4R2"</f>
        <v>자양간 20R4R2</v>
      </c>
      <c r="I3968" s="1" t="s">
        <v>15</v>
      </c>
      <c r="J3968" s="1" t="str">
        <f>"68/69"</f>
        <v>68/69</v>
      </c>
      <c r="K3968" s="1" t="str">
        <f>"2026-07-29 14:20:14"</f>
        <v>2026-07-29 14:20:14</v>
      </c>
      <c r="L3968" s="1" t="str">
        <f>"2023-06-13 16:24:45"</f>
        <v>2023-06-13 16:24:45</v>
      </c>
      <c r="M3968" s="1" t="s">
        <v>45</v>
      </c>
      <c r="N3968" s="1" t="s">
        <v>38</v>
      </c>
      <c r="O3968" s="1" t="s">
        <v>46</v>
      </c>
    </row>
    <row r="3969" spans="2:15" x14ac:dyDescent="0.3">
      <c r="B3969" s="1" t="s">
        <v>23</v>
      </c>
      <c r="C3969" s="1" t="str">
        <f>"1차"</f>
        <v>1차</v>
      </c>
      <c r="D3969" s="1" t="str">
        <f>"0324H59200"</f>
        <v>0324H59200</v>
      </c>
      <c r="E3969" s="1" t="s">
        <v>10</v>
      </c>
      <c r="F3969" s="1" t="str">
        <f>"10.125.2.42"</f>
        <v>10.125.2.42</v>
      </c>
      <c r="G3969" s="1" t="str">
        <f>"0324H592"</f>
        <v>0324H592</v>
      </c>
      <c r="H3969" s="1" t="str">
        <f>"건대간 20R1"</f>
        <v>건대간 20R1</v>
      </c>
      <c r="I3969" s="1" t="s">
        <v>8</v>
      </c>
      <c r="J3969" s="1" t="str">
        <f>"37/37"</f>
        <v>37/37</v>
      </c>
      <c r="K3969" s="1" t="str">
        <f>"2026-07-29 13:18:02"</f>
        <v>2026-07-29 13:18:02</v>
      </c>
      <c r="L3969" s="1" t="str">
        <f>"2014-11-21 14:38:18"</f>
        <v>2014-11-21 14:38:18</v>
      </c>
      <c r="M3969" s="1" t="s">
        <v>45</v>
      </c>
      <c r="N3969" s="1" t="s">
        <v>38</v>
      </c>
      <c r="O3969" s="1" t="s">
        <v>46</v>
      </c>
    </row>
    <row r="3970" spans="2:15" x14ac:dyDescent="0.3">
      <c r="B3970" s="1" t="s">
        <v>23</v>
      </c>
      <c r="C3970" s="1" t="str">
        <f>"5-2차"</f>
        <v>5-2차</v>
      </c>
      <c r="D3970" s="1" t="str">
        <f>"0324H6225M"</f>
        <v>0324H6225M</v>
      </c>
      <c r="E3970" s="1" t="s">
        <v>10</v>
      </c>
      <c r="F3970" s="1" t="str">
        <f>"fde3:102:1440:2300:0:0:0:3"</f>
        <v>fde3:102:1440:2300:0:0:0:3</v>
      </c>
      <c r="G3970" s="1" t="str">
        <f>"0324H622"</f>
        <v>0324H622</v>
      </c>
      <c r="H3970" s="1" t="str">
        <f>"자양간 20R7L1"</f>
        <v>자양간 20R7L1</v>
      </c>
      <c r="I3970" s="1" t="s">
        <v>15</v>
      </c>
      <c r="J3970" s="1" t="str">
        <f>"173/173"</f>
        <v>173/173</v>
      </c>
      <c r="K3970" s="1" t="str">
        <f>"2026-07-29 14:20:14"</f>
        <v>2026-07-29 14:20:14</v>
      </c>
      <c r="L3970" s="1" t="str">
        <f>"2023-06-13 16:26:05"</f>
        <v>2023-06-13 16:26:05</v>
      </c>
      <c r="M3970" s="1" t="s">
        <v>45</v>
      </c>
      <c r="N3970" s="1" t="s">
        <v>38</v>
      </c>
      <c r="O3970" s="1" t="s">
        <v>46</v>
      </c>
    </row>
    <row r="3971" spans="2:15" x14ac:dyDescent="0.3">
      <c r="B3971" s="1" t="s">
        <v>23</v>
      </c>
      <c r="C3971" s="1" t="str">
        <f>"5-2차"</f>
        <v>5-2차</v>
      </c>
      <c r="D3971" s="1" t="str">
        <f>"0324H6315M"</f>
        <v>0324H6315M</v>
      </c>
      <c r="E3971" s="1" t="s">
        <v>10</v>
      </c>
      <c r="F3971" s="1" t="str">
        <f>"fde3:102:1440:2300:0:0:0:4"</f>
        <v>fde3:102:1440:2300:0:0:0:4</v>
      </c>
      <c r="G3971" s="1" t="str">
        <f>"0324H631"</f>
        <v>0324H631</v>
      </c>
      <c r="H3971" s="1" t="str">
        <f>"자양간 20R6"</f>
        <v>자양간 20R6</v>
      </c>
      <c r="I3971" s="1" t="s">
        <v>15</v>
      </c>
      <c r="J3971" s="1" t="str">
        <f>"62/63"</f>
        <v>62/63</v>
      </c>
      <c r="K3971" s="1" t="str">
        <f>"2026-07-29 14:20:14"</f>
        <v>2026-07-29 14:20:14</v>
      </c>
      <c r="L3971" s="1" t="str">
        <f>"2023-06-13 16:27:03"</f>
        <v>2023-06-13 16:27:03</v>
      </c>
      <c r="M3971" s="1" t="s">
        <v>45</v>
      </c>
      <c r="N3971" s="1" t="s">
        <v>38</v>
      </c>
      <c r="O3971" s="1" t="s">
        <v>46</v>
      </c>
    </row>
    <row r="3972" spans="2:15" x14ac:dyDescent="0.3">
      <c r="B3972" s="1" t="s">
        <v>23</v>
      </c>
      <c r="C3972" s="1" t="str">
        <f>"6차"</f>
        <v>6차</v>
      </c>
      <c r="D3972" s="1" t="str">
        <f>"0324H6416S"</f>
        <v>0324H6416S</v>
      </c>
      <c r="E3972" s="1" t="s">
        <v>12</v>
      </c>
      <c r="F3972" s="1" t="str">
        <f>"fde1:103:4:c60d:0:0:0:2"</f>
        <v>fde1:103:4:c60d:0:0:0:2</v>
      </c>
      <c r="G3972" s="1" t="str">
        <f>"0324H641"</f>
        <v>0324H641</v>
      </c>
      <c r="H3972" s="1" t="str">
        <f>"자양간 20R5"</f>
        <v>자양간 20R5</v>
      </c>
      <c r="I3972" s="1" t="s">
        <v>15</v>
      </c>
      <c r="J3972" s="1" t="str">
        <f>"0/57"</f>
        <v>0/57</v>
      </c>
      <c r="K3972" s="1" t="str">
        <f>"2026-07-02 08:20:07"</f>
        <v>2026-07-02 08:20:07</v>
      </c>
      <c r="L3972" s="1" t="str">
        <f>"2024-11-19 11:24:56"</f>
        <v>2024-11-19 11:24:56</v>
      </c>
      <c r="M3972" s="1" t="s">
        <v>4</v>
      </c>
      <c r="N3972" s="1" t="s">
        <v>38</v>
      </c>
      <c r="O3972" s="1" t="s">
        <v>46</v>
      </c>
    </row>
    <row r="3973" spans="2:15" x14ac:dyDescent="0.3">
      <c r="B3973" s="1" t="s">
        <v>23</v>
      </c>
      <c r="C3973" s="1" t="str">
        <f>"6차"</f>
        <v>6차</v>
      </c>
      <c r="D3973" s="1" t="str">
        <f>"0324H6436S"</f>
        <v>0324H6436S</v>
      </c>
      <c r="E3973" s="1" t="s">
        <v>10</v>
      </c>
      <c r="F3973" s="1" t="str">
        <f>"fde1:103:4:c669:0:0:0:2"</f>
        <v>fde1:103:4:c669:0:0:0:2</v>
      </c>
      <c r="G3973" s="1" t="str">
        <f>"0324H643"</f>
        <v>0324H643</v>
      </c>
      <c r="H3973" s="1" t="str">
        <f>"자양간 20R5R2"</f>
        <v>자양간 20R5R2</v>
      </c>
      <c r="I3973" s="1" t="s">
        <v>15</v>
      </c>
      <c r="J3973" s="1" t="str">
        <f>"63/63"</f>
        <v>63/63</v>
      </c>
      <c r="K3973" s="1" t="str">
        <f>"2026-07-29 14:20:14"</f>
        <v>2026-07-29 14:20:14</v>
      </c>
      <c r="L3973" s="1" t="str">
        <f>"2024-11-19 11:26:48"</f>
        <v>2024-11-19 11:26:48</v>
      </c>
      <c r="M3973" s="1" t="s">
        <v>4</v>
      </c>
      <c r="N3973" s="1" t="s">
        <v>38</v>
      </c>
      <c r="O3973" s="1" t="s">
        <v>46</v>
      </c>
    </row>
    <row r="3974" spans="2:15" x14ac:dyDescent="0.3">
      <c r="B3974" s="1" t="s">
        <v>23</v>
      </c>
      <c r="C3974" s="1" t="str">
        <f>"1차"</f>
        <v>1차</v>
      </c>
      <c r="D3974" s="1" t="str">
        <f>"0324H68101"</f>
        <v>0324H68101</v>
      </c>
      <c r="E3974" s="1" t="s">
        <v>10</v>
      </c>
      <c r="F3974" s="1" t="str">
        <f>"10.12.133.152"</f>
        <v>10.12.133.152</v>
      </c>
      <c r="G3974" s="1" t="str">
        <f>"0324H681"</f>
        <v>0324H681</v>
      </c>
      <c r="H3974" s="1" t="str">
        <f>"건대간 18"</f>
        <v>건대간 18</v>
      </c>
      <c r="I3974" s="1" t="s">
        <v>8</v>
      </c>
      <c r="J3974" s="1" t="str">
        <f>"30/30"</f>
        <v>30/30</v>
      </c>
      <c r="K3974" s="1" t="str">
        <f>"2026-07-29 13:18:03"</f>
        <v>2026-07-29 13:18:03</v>
      </c>
      <c r="L3974" s="1" t="str">
        <f>"2014-11-11 00:12:36"</f>
        <v>2014-11-11 00:12:36</v>
      </c>
      <c r="M3974" s="1" t="s">
        <v>0</v>
      </c>
      <c r="N3974" s="1" t="s">
        <v>38</v>
      </c>
      <c r="O3974" s="1" t="s">
        <v>46</v>
      </c>
    </row>
    <row r="3975" spans="2:15" x14ac:dyDescent="0.3">
      <c r="B3975" s="1" t="s">
        <v>23</v>
      </c>
      <c r="C3975" s="1" t="str">
        <f>"6차"</f>
        <v>6차</v>
      </c>
      <c r="D3975" s="1" t="str">
        <f>"0324H7016S"</f>
        <v>0324H7016S</v>
      </c>
      <c r="E3975" s="1" t="s">
        <v>10</v>
      </c>
      <c r="F3975" s="1" t="str">
        <f>"fde1:103:4:c682:0:0:0:2"</f>
        <v>fde1:103:4:c682:0:0:0:2</v>
      </c>
      <c r="G3975" s="1" t="str">
        <f>"0324H701"</f>
        <v>0324H701</v>
      </c>
      <c r="H3975" s="1" t="str">
        <f>"자양간 20R12L3"</f>
        <v>자양간 20R12L3</v>
      </c>
      <c r="I3975" s="1" t="s">
        <v>15</v>
      </c>
      <c r="J3975" s="1" t="str">
        <f>"119/126"</f>
        <v>119/126</v>
      </c>
      <c r="K3975" s="1" t="str">
        <f>"2026-07-29 14:20:14"</f>
        <v>2026-07-29 14:20:14</v>
      </c>
      <c r="L3975" s="1" t="str">
        <f>"2024-11-19 11:26:54"</f>
        <v>2024-11-19 11:26:54</v>
      </c>
      <c r="M3975" s="1" t="s">
        <v>4</v>
      </c>
      <c r="N3975" s="1" t="s">
        <v>38</v>
      </c>
      <c r="O3975" s="1" t="s">
        <v>46</v>
      </c>
    </row>
    <row r="3976" spans="2:15" x14ac:dyDescent="0.3">
      <c r="B3976" s="1" t="s">
        <v>23</v>
      </c>
      <c r="C3976" s="1" t="str">
        <f>"5-2차"</f>
        <v>5-2차</v>
      </c>
      <c r="D3976" s="1" t="str">
        <f>"0324H7315S"</f>
        <v>0324H7315S</v>
      </c>
      <c r="E3976" s="1" t="s">
        <v>10</v>
      </c>
      <c r="F3976" s="1" t="str">
        <f>"fde3:102:1440:2300:0:0:0:c"</f>
        <v>fde3:102:1440:2300:0:0:0:c</v>
      </c>
      <c r="G3976" s="1" t="str">
        <f>"0324H731"</f>
        <v>0324H731</v>
      </c>
      <c r="H3976" s="1" t="str">
        <f>"자양간 20R5L2"</f>
        <v>자양간 20R5L2</v>
      </c>
      <c r="I3976" s="1" t="s">
        <v>15</v>
      </c>
      <c r="J3976" s="1" t="str">
        <f>"46/48"</f>
        <v>46/48</v>
      </c>
      <c r="K3976" s="1" t="str">
        <f>"2026-07-29 14:20:11"</f>
        <v>2026-07-29 14:20:11</v>
      </c>
      <c r="L3976" s="1" t="str">
        <f>"2023-05-31 15:14:44"</f>
        <v>2023-05-31 15:14:44</v>
      </c>
      <c r="M3976" s="1" t="s">
        <v>45</v>
      </c>
      <c r="N3976" s="1" t="s">
        <v>38</v>
      </c>
      <c r="O3976" s="1" t="s">
        <v>46</v>
      </c>
    </row>
    <row r="3977" spans="2:15" x14ac:dyDescent="0.3">
      <c r="B3977" s="1" t="s">
        <v>23</v>
      </c>
      <c r="C3977" s="1" t="str">
        <f>"5-2차"</f>
        <v>5-2차</v>
      </c>
      <c r="D3977" s="1" t="str">
        <f>"0324H7325M"</f>
        <v>0324H7325M</v>
      </c>
      <c r="E3977" s="1" t="s">
        <v>10</v>
      </c>
      <c r="F3977" s="1" t="str">
        <f>"fde3:102:1440:2300:0:0:0:d"</f>
        <v>fde3:102:1440:2300:0:0:0:d</v>
      </c>
      <c r="G3977" s="1" t="str">
        <f>"0324H732"</f>
        <v>0324H732</v>
      </c>
      <c r="H3977" s="1" t="str">
        <f>"자양간 20R5L3"</f>
        <v>자양간 20R5L3</v>
      </c>
      <c r="I3977" s="1" t="s">
        <v>15</v>
      </c>
      <c r="J3977" s="1" t="str">
        <f>"58/58"</f>
        <v>58/58</v>
      </c>
      <c r="K3977" s="1" t="str">
        <f>"2026-07-29 14:20:11"</f>
        <v>2026-07-29 14:20:11</v>
      </c>
      <c r="L3977" s="1" t="str">
        <f>"2023-06-20 18:11:26"</f>
        <v>2023-06-20 18:11:26</v>
      </c>
      <c r="M3977" s="1" t="s">
        <v>45</v>
      </c>
      <c r="N3977" s="1" t="s">
        <v>38</v>
      </c>
      <c r="O3977" s="1" t="s">
        <v>46</v>
      </c>
    </row>
    <row r="3978" spans="2:15" x14ac:dyDescent="0.3">
      <c r="B3978" s="1" t="s">
        <v>23</v>
      </c>
      <c r="C3978" s="1" t="str">
        <f>"6차"</f>
        <v>6차</v>
      </c>
      <c r="D3978" s="1" t="str">
        <f>"0324H7516S"</f>
        <v>0324H7516S</v>
      </c>
      <c r="E3978" s="1" t="s">
        <v>10</v>
      </c>
      <c r="F3978" s="1" t="str">
        <f>"fde1:103:4:c600:0:0:0:2"</f>
        <v>fde1:103:4:c600:0:0:0:2</v>
      </c>
      <c r="G3978" s="1" t="str">
        <f>"0324H751"</f>
        <v>0324H751</v>
      </c>
      <c r="H3978" s="1" t="str">
        <f>"자양간 20R4"</f>
        <v>자양간 20R4</v>
      </c>
      <c r="I3978" s="1" t="s">
        <v>15</v>
      </c>
      <c r="J3978" s="1" t="str">
        <f>"72/72"</f>
        <v>72/72</v>
      </c>
      <c r="K3978" s="1" t="str">
        <f>"2026-07-29 14:20:14"</f>
        <v>2026-07-29 14:20:14</v>
      </c>
      <c r="L3978" s="1" t="str">
        <f>"2024-11-19 11:26:45"</f>
        <v>2024-11-19 11:26:45</v>
      </c>
      <c r="M3978" s="1" t="s">
        <v>4</v>
      </c>
      <c r="N3978" s="1" t="s">
        <v>38</v>
      </c>
      <c r="O3978" s="1" t="s">
        <v>46</v>
      </c>
    </row>
    <row r="3979" spans="2:15" x14ac:dyDescent="0.3">
      <c r="B3979" s="1" t="s">
        <v>23</v>
      </c>
      <c r="C3979" s="1" t="str">
        <f>"1차"</f>
        <v>1차</v>
      </c>
      <c r="D3979" s="1" t="str">
        <f>"0324H77100"</f>
        <v>0324H77100</v>
      </c>
      <c r="E3979" s="1" t="s">
        <v>10</v>
      </c>
      <c r="F3979" s="1" t="str">
        <f>"10.125.6.34"</f>
        <v>10.125.6.34</v>
      </c>
      <c r="G3979" s="1" t="str">
        <f>"0324H771"</f>
        <v>0324H771</v>
      </c>
      <c r="H3979" s="1" t="str">
        <f>"자양간 20"</f>
        <v>자양간 20</v>
      </c>
      <c r="I3979" s="1" t="s">
        <v>8</v>
      </c>
      <c r="J3979" s="1" t="str">
        <f>"41/52"</f>
        <v>41/52</v>
      </c>
      <c r="K3979" s="1" t="str">
        <f>"2026-07-29 13:18:02"</f>
        <v>2026-07-29 13:18:02</v>
      </c>
      <c r="L3979" s="1" t="str">
        <f>"2014-11-11 00:12:46"</f>
        <v>2014-11-11 00:12:46</v>
      </c>
      <c r="M3979" s="1" t="s">
        <v>45</v>
      </c>
      <c r="N3979" s="1" t="s">
        <v>38</v>
      </c>
      <c r="O3979" s="1" t="s">
        <v>46</v>
      </c>
    </row>
    <row r="3980" spans="2:15" x14ac:dyDescent="0.3">
      <c r="B3980" s="1" t="s">
        <v>23</v>
      </c>
      <c r="C3980" s="1" t="str">
        <f>"4차"</f>
        <v>4차</v>
      </c>
      <c r="D3980" s="1" t="str">
        <f>"0324H79142"</f>
        <v>0324H79142</v>
      </c>
      <c r="E3980" s="1" t="s">
        <v>10</v>
      </c>
      <c r="F3980" s="1" t="str">
        <f>"10.125.2.66"</f>
        <v>10.125.2.66</v>
      </c>
      <c r="G3980" s="1" t="str">
        <f>"0324H791"</f>
        <v>0324H791</v>
      </c>
      <c r="H3980" s="1" t="str">
        <f>"건대간 20R6"</f>
        <v>건대간 20R6</v>
      </c>
      <c r="I3980" s="1" t="s">
        <v>8</v>
      </c>
      <c r="J3980" s="1" t="str">
        <f>"135/135"</f>
        <v>135/135</v>
      </c>
      <c r="K3980" s="1" t="str">
        <f>"2026-07-29 13:18:05"</f>
        <v>2026-07-29 13:18:05</v>
      </c>
      <c r="L3980" s="1" t="str">
        <f>"2024-12-23 14:25:51"</f>
        <v>2024-12-23 14:25:51</v>
      </c>
      <c r="M3980" s="1" t="s">
        <v>45</v>
      </c>
      <c r="N3980" s="1" t="s">
        <v>38</v>
      </c>
      <c r="O3980" s="1" t="s">
        <v>46</v>
      </c>
    </row>
    <row r="3981" spans="2:15" x14ac:dyDescent="0.3">
      <c r="B3981" s="1" t="s">
        <v>23</v>
      </c>
      <c r="C3981" s="1" t="str">
        <f>"1차"</f>
        <v>1차</v>
      </c>
      <c r="D3981" s="1" t="str">
        <f>"0324H83100"</f>
        <v>0324H83100</v>
      </c>
      <c r="E3981" s="1" t="s">
        <v>10</v>
      </c>
      <c r="F3981" s="1" t="str">
        <f>"10.125.2.82"</f>
        <v>10.125.2.82</v>
      </c>
      <c r="G3981" s="1" t="str">
        <f>"0324H831"</f>
        <v>0324H831</v>
      </c>
      <c r="H3981" s="1" t="str">
        <f>"자양간 20R5L4"</f>
        <v>자양간 20R5L4</v>
      </c>
      <c r="I3981" s="1" t="s">
        <v>8</v>
      </c>
      <c r="J3981" s="1" t="str">
        <f>"101/101"</f>
        <v>101/101</v>
      </c>
      <c r="K3981" s="1" t="str">
        <f>"2026-07-29 13:18:02"</f>
        <v>2026-07-29 13:18:02</v>
      </c>
      <c r="L3981" s="1" t="str">
        <f>"2014-11-13 00:13:55"</f>
        <v>2014-11-13 00:13:55</v>
      </c>
      <c r="M3981" s="1" t="s">
        <v>45</v>
      </c>
      <c r="N3981" s="1" t="s">
        <v>38</v>
      </c>
      <c r="O3981" s="1" t="s">
        <v>46</v>
      </c>
    </row>
    <row r="3982" spans="2:15" x14ac:dyDescent="0.3">
      <c r="B3982" s="1" t="s">
        <v>23</v>
      </c>
      <c r="C3982" s="1" t="str">
        <f>"1차"</f>
        <v>1차</v>
      </c>
      <c r="D3982" s="1" t="str">
        <f>"0324H84101"</f>
        <v>0324H84101</v>
      </c>
      <c r="E3982" s="1" t="s">
        <v>10</v>
      </c>
      <c r="F3982" s="1" t="str">
        <f>"10.125.2.75"</f>
        <v>10.125.2.75</v>
      </c>
      <c r="G3982" s="1" t="str">
        <f>"0324H841"</f>
        <v>0324H841</v>
      </c>
      <c r="H3982" s="1" t="str">
        <f>"자양간 20R5L1"</f>
        <v>자양간 20R5L1</v>
      </c>
      <c r="I3982" s="1" t="s">
        <v>8</v>
      </c>
      <c r="J3982" s="1" t="str">
        <f>"33/33"</f>
        <v>33/33</v>
      </c>
      <c r="K3982" s="1" t="str">
        <f>"2026-07-29 13:18:02"</f>
        <v>2026-07-29 13:18:02</v>
      </c>
      <c r="L3982" s="1" t="str">
        <f>"2014-11-14 00:14:05"</f>
        <v>2014-11-14 00:14:05</v>
      </c>
      <c r="M3982" s="1" t="s">
        <v>45</v>
      </c>
      <c r="N3982" s="1" t="s">
        <v>38</v>
      </c>
      <c r="O3982" s="1" t="s">
        <v>46</v>
      </c>
    </row>
    <row r="3983" spans="2:15" x14ac:dyDescent="0.3">
      <c r="B3983" s="1" t="s">
        <v>23</v>
      </c>
      <c r="C3983" s="1" t="str">
        <f>"1차"</f>
        <v>1차</v>
      </c>
      <c r="D3983" s="1" t="str">
        <f>"0324H85101"</f>
        <v>0324H85101</v>
      </c>
      <c r="E3983" s="1" t="s">
        <v>10</v>
      </c>
      <c r="F3983" s="1" t="str">
        <f>"10.14.3.29"</f>
        <v>10.14.3.29</v>
      </c>
      <c r="G3983" s="1" t="str">
        <f>"0324H851"</f>
        <v>0324H851</v>
      </c>
      <c r="H3983" s="1" t="str">
        <f>"자양간 20R5L1L2"</f>
        <v>자양간 20R5L1L2</v>
      </c>
      <c r="I3983" s="1" t="s">
        <v>8</v>
      </c>
      <c r="J3983" s="1" t="str">
        <f>"70/70"</f>
        <v>70/70</v>
      </c>
      <c r="K3983" s="1" t="str">
        <f>"2026-07-29 13:18:04"</f>
        <v>2026-07-29 13:18:04</v>
      </c>
      <c r="L3983" s="1" t="str">
        <f>"2014-11-11 00:11:38"</f>
        <v>2014-11-11 00:11:38</v>
      </c>
      <c r="M3983" s="1" t="s">
        <v>3</v>
      </c>
      <c r="N3983" s="1" t="s">
        <v>38</v>
      </c>
      <c r="O3983" s="1" t="s">
        <v>46</v>
      </c>
    </row>
    <row r="3984" spans="2:15" x14ac:dyDescent="0.3">
      <c r="B3984" s="1" t="s">
        <v>23</v>
      </c>
      <c r="C3984" s="1" t="str">
        <f>"1차"</f>
        <v>1차</v>
      </c>
      <c r="D3984" s="1" t="str">
        <f>"0324H91100"</f>
        <v>0324H91100</v>
      </c>
      <c r="E3984" s="1" t="s">
        <v>10</v>
      </c>
      <c r="F3984" s="1" t="str">
        <f>"10.125.6.42"</f>
        <v>10.125.6.42</v>
      </c>
      <c r="G3984" s="1" t="str">
        <f>"0324H911"</f>
        <v>0324H911</v>
      </c>
      <c r="H3984" s="1" t="str">
        <f>"자양간 36R11R7"</f>
        <v>자양간 36R11R7</v>
      </c>
      <c r="I3984" s="1" t="s">
        <v>8</v>
      </c>
      <c r="J3984" s="1" t="str">
        <f>"92/92"</f>
        <v>92/92</v>
      </c>
      <c r="K3984" s="1" t="str">
        <f>"2026-07-29 13:18:02"</f>
        <v>2026-07-29 13:18:02</v>
      </c>
      <c r="L3984" s="1" t="str">
        <f>"2014-11-17 00:14:30"</f>
        <v>2014-11-17 00:14:30</v>
      </c>
      <c r="M3984" s="1" t="s">
        <v>45</v>
      </c>
      <c r="N3984" s="1" t="s">
        <v>38</v>
      </c>
      <c r="O3984" s="1" t="s">
        <v>46</v>
      </c>
    </row>
    <row r="3985" spans="2:15" x14ac:dyDescent="0.3">
      <c r="B3985" s="1" t="s">
        <v>23</v>
      </c>
      <c r="C3985" s="1" t="str">
        <f>"6차"</f>
        <v>6차</v>
      </c>
      <c r="D3985" s="1" t="str">
        <f>"0324H9316S"</f>
        <v>0324H9316S</v>
      </c>
      <c r="E3985" s="1" t="s">
        <v>10</v>
      </c>
      <c r="F3985" s="1" t="str">
        <f>"fde1:103:4:c620:0:0:0:2"</f>
        <v>fde1:103:4:c620:0:0:0:2</v>
      </c>
      <c r="G3985" s="1" t="str">
        <f>"0324H931"</f>
        <v>0324H931</v>
      </c>
      <c r="H3985" s="1" t="str">
        <f>"자양간 20R5L6"</f>
        <v>자양간 20R5L6</v>
      </c>
      <c r="I3985" s="1" t="s">
        <v>15</v>
      </c>
      <c r="J3985" s="1" t="str">
        <f>"84/85"</f>
        <v>84/85</v>
      </c>
      <c r="K3985" s="1" t="str">
        <f>"2026-07-29 08:21:02"</f>
        <v>2026-07-29 08:21:02</v>
      </c>
      <c r="L3985" s="1" t="str">
        <f>"2024-11-19 11:26:30"</f>
        <v>2024-11-19 11:26:30</v>
      </c>
      <c r="M3985" s="1" t="s">
        <v>4</v>
      </c>
      <c r="N3985" s="1" t="s">
        <v>38</v>
      </c>
      <c r="O3985" s="1" t="s">
        <v>46</v>
      </c>
    </row>
    <row r="3986" spans="2:15" x14ac:dyDescent="0.3">
      <c r="B3986" s="1" t="s">
        <v>23</v>
      </c>
      <c r="C3986" s="1" t="str">
        <f>"5-2차"</f>
        <v>5-2차</v>
      </c>
      <c r="D3986" s="1" t="str">
        <f>"0324H9325M"</f>
        <v>0324H9325M</v>
      </c>
      <c r="E3986" s="1" t="s">
        <v>10</v>
      </c>
      <c r="F3986" s="1" t="str">
        <f>"fde3:102:1440:2300:0:0:0:15"</f>
        <v>fde3:102:1440:2300:0:0:0:15</v>
      </c>
      <c r="G3986" s="1" t="str">
        <f>"0324H932"</f>
        <v>0324H932</v>
      </c>
      <c r="H3986" s="1" t="str">
        <f>"자양간 20R5L5"</f>
        <v>자양간 20R5L5</v>
      </c>
      <c r="I3986" s="1" t="s">
        <v>15</v>
      </c>
      <c r="J3986" s="1" t="str">
        <f>"62/62"</f>
        <v>62/62</v>
      </c>
      <c r="K3986" s="1" t="str">
        <f>"2026-07-29 14:20:38"</f>
        <v>2026-07-29 14:20:38</v>
      </c>
      <c r="L3986" s="1" t="str">
        <f>"2023-06-20 22:32:35"</f>
        <v>2023-06-20 22:32:35</v>
      </c>
      <c r="M3986" s="1" t="s">
        <v>45</v>
      </c>
      <c r="N3986" s="1" t="s">
        <v>38</v>
      </c>
      <c r="O3986" s="1" t="s">
        <v>46</v>
      </c>
    </row>
    <row r="3987" spans="2:15" x14ac:dyDescent="0.3">
      <c r="B3987" s="1" t="s">
        <v>23</v>
      </c>
      <c r="C3987" s="1" t="str">
        <f>"1차"</f>
        <v>1차</v>
      </c>
      <c r="D3987" s="1" t="str">
        <f>"0324H96100"</f>
        <v>0324H96100</v>
      </c>
      <c r="E3987" s="1" t="s">
        <v>10</v>
      </c>
      <c r="F3987" s="1" t="str">
        <f>"10.125.2.90"</f>
        <v>10.125.2.90</v>
      </c>
      <c r="G3987" s="1" t="str">
        <f>"0324H961"</f>
        <v>0324H961</v>
      </c>
      <c r="H3987" s="1" t="str">
        <f>"자양간 22"</f>
        <v>자양간 22</v>
      </c>
      <c r="I3987" s="1" t="s">
        <v>8</v>
      </c>
      <c r="J3987" s="1" t="str">
        <f>"54/54"</f>
        <v>54/54</v>
      </c>
      <c r="K3987" s="1" t="str">
        <f>"2026-07-29 13:18:02"</f>
        <v>2026-07-29 13:18:02</v>
      </c>
      <c r="L3987" s="1" t="str">
        <f>"2014-11-12 00:13:52"</f>
        <v>2014-11-12 00:13:52</v>
      </c>
      <c r="M3987" s="1" t="s">
        <v>45</v>
      </c>
      <c r="N3987" s="1" t="s">
        <v>38</v>
      </c>
      <c r="O3987" s="1" t="s">
        <v>46</v>
      </c>
    </row>
    <row r="3988" spans="2:15" x14ac:dyDescent="0.3">
      <c r="B3988" s="1" t="s">
        <v>23</v>
      </c>
      <c r="C3988" s="1" t="str">
        <f>"1차"</f>
        <v>1차</v>
      </c>
      <c r="D3988" s="1" t="str">
        <f>"0324H99110"</f>
        <v>0324H99110</v>
      </c>
      <c r="E3988" s="1" t="s">
        <v>10</v>
      </c>
      <c r="F3988" s="1" t="str">
        <f>"10.125.2.99"</f>
        <v>10.125.2.99</v>
      </c>
      <c r="G3988" s="1" t="str">
        <f>"0324H991"</f>
        <v>0324H991</v>
      </c>
      <c r="H3988" s="1" t="str">
        <f>"건대간 20R8"</f>
        <v>건대간 20R8</v>
      </c>
      <c r="I3988" s="1" t="s">
        <v>8</v>
      </c>
      <c r="J3988" s="1" t="str">
        <f>"59/59"</f>
        <v>59/59</v>
      </c>
      <c r="K3988" s="1" t="str">
        <f>"2026-07-29 13:18:02"</f>
        <v>2026-07-29 13:18:02</v>
      </c>
      <c r="L3988" s="1" t="str">
        <f>"2016-12-01 14:23:59"</f>
        <v>2016-12-01 14:23:59</v>
      </c>
      <c r="M3988" s="1" t="s">
        <v>45</v>
      </c>
      <c r="N3988" s="1" t="s">
        <v>38</v>
      </c>
      <c r="O3988" s="1" t="s">
        <v>46</v>
      </c>
    </row>
    <row r="3989" spans="2:15" x14ac:dyDescent="0.3">
      <c r="B3989" s="1" t="s">
        <v>23</v>
      </c>
      <c r="C3989" s="1" t="str">
        <f t="shared" ref="C3989:C4000" si="227">"4차"</f>
        <v>4차</v>
      </c>
      <c r="D3989" s="1" t="str">
        <f>"0324P69344"</f>
        <v>0324P69344</v>
      </c>
      <c r="E3989" s="1" t="s">
        <v>10</v>
      </c>
      <c r="F3989" s="1" t="str">
        <f>"10.11.74.42"</f>
        <v>10.11.74.42</v>
      </c>
      <c r="G3989" s="1" t="str">
        <f>"0324P693"</f>
        <v>0324P693</v>
      </c>
      <c r="H3989" s="1" t="str">
        <f>"한성간 26R4"</f>
        <v>한성간 26R4</v>
      </c>
      <c r="I3989" s="1" t="s">
        <v>8</v>
      </c>
      <c r="J3989" s="1" t="str">
        <f>"35/35"</f>
        <v>35/35</v>
      </c>
      <c r="K3989" s="1" t="str">
        <f>"2026-07-29 13:18:02"</f>
        <v>2026-07-29 13:18:02</v>
      </c>
      <c r="L3989" s="1" t="str">
        <f>"2019-11-13 11:26:18"</f>
        <v>2019-11-13 11:26:18</v>
      </c>
      <c r="M3989" s="1" t="s">
        <v>2</v>
      </c>
      <c r="N3989" s="1" t="s">
        <v>38</v>
      </c>
      <c r="O3989" s="1" t="s">
        <v>46</v>
      </c>
    </row>
    <row r="3990" spans="2:15" x14ac:dyDescent="0.3">
      <c r="B3990" s="1" t="s">
        <v>23</v>
      </c>
      <c r="C3990" s="1" t="str">
        <f t="shared" si="227"/>
        <v>4차</v>
      </c>
      <c r="D3990" s="1" t="str">
        <f>"0324P89244"</f>
        <v>0324P89244</v>
      </c>
      <c r="E3990" s="1" t="s">
        <v>10</v>
      </c>
      <c r="F3990" s="1" t="str">
        <f>"10.11.74.34"</f>
        <v>10.11.74.34</v>
      </c>
      <c r="G3990" s="1" t="str">
        <f>"0324P892"</f>
        <v>0324P892</v>
      </c>
      <c r="H3990" s="1" t="str">
        <f>"한성간 26R2"</f>
        <v>한성간 26R2</v>
      </c>
      <c r="I3990" s="1" t="s">
        <v>8</v>
      </c>
      <c r="J3990" s="1" t="str">
        <f>"54/54"</f>
        <v>54/54</v>
      </c>
      <c r="K3990" s="1" t="str">
        <f>"2026-07-29 13:18:02"</f>
        <v>2026-07-29 13:18:02</v>
      </c>
      <c r="L3990" s="1" t="str">
        <f>"2019-11-13 11:24:29"</f>
        <v>2019-11-13 11:24:29</v>
      </c>
      <c r="M3990" s="1" t="s">
        <v>2</v>
      </c>
      <c r="N3990" s="1" t="s">
        <v>38</v>
      </c>
      <c r="O3990" s="1" t="s">
        <v>46</v>
      </c>
    </row>
    <row r="3991" spans="2:15" x14ac:dyDescent="0.3">
      <c r="B3991" s="1" t="s">
        <v>23</v>
      </c>
      <c r="C3991" s="1" t="str">
        <f t="shared" si="227"/>
        <v>4차</v>
      </c>
      <c r="D3991" s="1" t="str">
        <f>"0324P96144"</f>
        <v>0324P96144</v>
      </c>
      <c r="E3991" s="1" t="s">
        <v>10</v>
      </c>
      <c r="F3991" s="1" t="str">
        <f>"10.12.134.107"</f>
        <v>10.12.134.107</v>
      </c>
      <c r="G3991" s="1" t="str">
        <f>"0324P961"</f>
        <v>0324P961</v>
      </c>
      <c r="H3991" s="1" t="str">
        <f>"한성간 31"</f>
        <v>한성간 31</v>
      </c>
      <c r="I3991" s="1" t="s">
        <v>8</v>
      </c>
      <c r="J3991" s="1" t="str">
        <f>"46/46"</f>
        <v>46/46</v>
      </c>
      <c r="K3991" s="1" t="str">
        <f>"2026-07-29 13:18:01"</f>
        <v>2026-07-29 13:18:01</v>
      </c>
      <c r="L3991" s="1" t="str">
        <f>"2025-03-21 17:14:44"</f>
        <v>2025-03-21 17:14:44</v>
      </c>
      <c r="M3991" s="1" t="s">
        <v>0</v>
      </c>
      <c r="N3991" s="1" t="s">
        <v>38</v>
      </c>
      <c r="O3991" s="1" t="s">
        <v>46</v>
      </c>
    </row>
    <row r="3992" spans="2:15" x14ac:dyDescent="0.3">
      <c r="B3992" s="1" t="s">
        <v>23</v>
      </c>
      <c r="C3992" s="1" t="str">
        <f t="shared" si="227"/>
        <v>4차</v>
      </c>
      <c r="D3992" s="1" t="str">
        <f>"0324P99144"</f>
        <v>0324P99144</v>
      </c>
      <c r="E3992" s="1" t="s">
        <v>10</v>
      </c>
      <c r="F3992" s="1" t="str">
        <f>"10.11.74.26"</f>
        <v>10.11.74.26</v>
      </c>
      <c r="G3992" s="1" t="str">
        <f>"0324P991"</f>
        <v>0324P991</v>
      </c>
      <c r="H3992" s="1" t="str">
        <f>"한성간 26R1"</f>
        <v>한성간 26R1</v>
      </c>
      <c r="I3992" s="1" t="s">
        <v>8</v>
      </c>
      <c r="J3992" s="1" t="str">
        <f>"73/73"</f>
        <v>73/73</v>
      </c>
      <c r="K3992" s="1" t="str">
        <f>"2026-07-29 13:18:02"</f>
        <v>2026-07-29 13:18:02</v>
      </c>
      <c r="L3992" s="1" t="str">
        <f>"2019-11-13 11:22:11"</f>
        <v>2019-11-13 11:22:11</v>
      </c>
      <c r="M3992" s="1" t="s">
        <v>2</v>
      </c>
      <c r="N3992" s="1" t="s">
        <v>38</v>
      </c>
      <c r="O3992" s="1" t="s">
        <v>46</v>
      </c>
    </row>
    <row r="3993" spans="2:15" x14ac:dyDescent="0.3">
      <c r="B3993" s="1" t="s">
        <v>23</v>
      </c>
      <c r="C3993" s="1" t="str">
        <f t="shared" si="227"/>
        <v>4차</v>
      </c>
      <c r="D3993" s="1" t="str">
        <f>"0324Q17144"</f>
        <v>0324Q17144</v>
      </c>
      <c r="E3993" s="1" t="s">
        <v>10</v>
      </c>
      <c r="F3993" s="1" t="str">
        <f>"10.11.74.218"</f>
        <v>10.11.74.218</v>
      </c>
      <c r="G3993" s="1" t="str">
        <f>"0324Q171"</f>
        <v>0324Q171</v>
      </c>
      <c r="H3993" s="1" t="str">
        <f>"한성간 34L2"</f>
        <v>한성간 34L2</v>
      </c>
      <c r="I3993" s="1" t="s">
        <v>8</v>
      </c>
      <c r="J3993" s="1" t="str">
        <f>"93/93"</f>
        <v>93/93</v>
      </c>
      <c r="K3993" s="1" t="str">
        <f>"2026-07-29 13:18:03"</f>
        <v>2026-07-29 13:18:03</v>
      </c>
      <c r="L3993" s="1" t="str">
        <f>"2019-11-18 13:05:19"</f>
        <v>2019-11-18 13:05:19</v>
      </c>
      <c r="M3993" s="1" t="s">
        <v>2</v>
      </c>
      <c r="N3993" s="1" t="s">
        <v>38</v>
      </c>
      <c r="O3993" s="1" t="s">
        <v>46</v>
      </c>
    </row>
    <row r="3994" spans="2:15" x14ac:dyDescent="0.3">
      <c r="B3994" s="1" t="s">
        <v>23</v>
      </c>
      <c r="C3994" s="1" t="str">
        <f t="shared" si="227"/>
        <v>4차</v>
      </c>
      <c r="D3994" s="1" t="str">
        <f>"0324Q26344"</f>
        <v>0324Q26344</v>
      </c>
      <c r="E3994" s="1" t="s">
        <v>10</v>
      </c>
      <c r="F3994" s="1" t="str">
        <f>"10.11.74.226"</f>
        <v>10.11.74.226</v>
      </c>
      <c r="G3994" s="1" t="str">
        <f>"0324Q263"</f>
        <v>0324Q263</v>
      </c>
      <c r="H3994" s="1" t="str">
        <f>"한성간 34L2R2"</f>
        <v>한성간 34L2R2</v>
      </c>
      <c r="I3994" s="1" t="s">
        <v>8</v>
      </c>
      <c r="J3994" s="1" t="str">
        <f>"34/34"</f>
        <v>34/34</v>
      </c>
      <c r="K3994" s="1" t="str">
        <f>"2026-07-29 13:18:03"</f>
        <v>2026-07-29 13:18:03</v>
      </c>
      <c r="L3994" s="1" t="str">
        <f>"2019-11-18 13:07:37"</f>
        <v>2019-11-18 13:07:37</v>
      </c>
      <c r="M3994" s="1" t="s">
        <v>2</v>
      </c>
      <c r="N3994" s="1" t="s">
        <v>38</v>
      </c>
      <c r="O3994" s="1" t="s">
        <v>46</v>
      </c>
    </row>
    <row r="3995" spans="2:15" x14ac:dyDescent="0.3">
      <c r="B3995" s="1" t="s">
        <v>23</v>
      </c>
      <c r="C3995" s="1" t="str">
        <f t="shared" si="227"/>
        <v>4차</v>
      </c>
      <c r="D3995" s="1" t="str">
        <f>"0324Q27644"</f>
        <v>0324Q27644</v>
      </c>
      <c r="E3995" s="1" t="s">
        <v>10</v>
      </c>
      <c r="F3995" s="1" t="str">
        <f>"10.11.74.66"</f>
        <v>10.11.74.66</v>
      </c>
      <c r="G3995" s="1" t="str">
        <f>"0324Q276"</f>
        <v>0324Q276</v>
      </c>
      <c r="H3995" s="1" t="str">
        <f>"한성간 34L1"</f>
        <v>한성간 34L1</v>
      </c>
      <c r="I3995" s="1" t="s">
        <v>8</v>
      </c>
      <c r="J3995" s="1" t="str">
        <f>"30/30"</f>
        <v>30/30</v>
      </c>
      <c r="K3995" s="1" t="str">
        <f>"2026-07-29 13:18:02"</f>
        <v>2026-07-29 13:18:02</v>
      </c>
      <c r="L3995" s="1" t="str">
        <f>"2021-07-28 16:34:11"</f>
        <v>2021-07-28 16:34:11</v>
      </c>
      <c r="M3995" s="1" t="s">
        <v>2</v>
      </c>
      <c r="N3995" s="1" t="s">
        <v>38</v>
      </c>
      <c r="O3995" s="1" t="s">
        <v>46</v>
      </c>
    </row>
    <row r="3996" spans="2:15" x14ac:dyDescent="0.3">
      <c r="B3996" s="1" t="s">
        <v>23</v>
      </c>
      <c r="C3996" s="1" t="str">
        <f t="shared" si="227"/>
        <v>4차</v>
      </c>
      <c r="D3996" s="1" t="str">
        <f>"0324Q29144"</f>
        <v>0324Q29144</v>
      </c>
      <c r="E3996" s="1" t="s">
        <v>10</v>
      </c>
      <c r="F3996" s="1" t="str">
        <f>"10.11.73.210"</f>
        <v>10.11.73.210</v>
      </c>
      <c r="G3996" s="1" t="str">
        <f>"0324Q291"</f>
        <v>0324Q291</v>
      </c>
      <c r="H3996" s="1" t="str">
        <f>"한성간 23L4"</f>
        <v>한성간 23L4</v>
      </c>
      <c r="I3996" s="1" t="s">
        <v>8</v>
      </c>
      <c r="J3996" s="1" t="str">
        <f>"78/81"</f>
        <v>78/81</v>
      </c>
      <c r="K3996" s="1" t="str">
        <f>"2026-07-29 13:18:02"</f>
        <v>2026-07-29 13:18:02</v>
      </c>
      <c r="L3996" s="1" t="str">
        <f>"2019-11-08 09:13:05"</f>
        <v>2019-11-08 09:13:05</v>
      </c>
      <c r="M3996" s="1" t="s">
        <v>2</v>
      </c>
      <c r="N3996" s="1" t="s">
        <v>38</v>
      </c>
      <c r="O3996" s="1" t="s">
        <v>46</v>
      </c>
    </row>
    <row r="3997" spans="2:15" x14ac:dyDescent="0.3">
      <c r="B3997" s="1" t="s">
        <v>23</v>
      </c>
      <c r="C3997" s="1" t="str">
        <f t="shared" si="227"/>
        <v>4차</v>
      </c>
      <c r="D3997" s="1" t="str">
        <f>"0324Q37241"</f>
        <v>0324Q37241</v>
      </c>
      <c r="E3997" s="1" t="s">
        <v>10</v>
      </c>
      <c r="F3997" s="1" t="str">
        <f>"10.14.14.38"</f>
        <v>10.14.14.38</v>
      </c>
      <c r="G3997" s="1" t="str">
        <f>"0324Q372"</f>
        <v>0324Q372</v>
      </c>
      <c r="H3997" s="1" t="str">
        <f>"한성간 34L6L1"</f>
        <v>한성간 34L6L1</v>
      </c>
      <c r="I3997" s="1" t="s">
        <v>17</v>
      </c>
      <c r="J3997" s="1" t="str">
        <f>"47/47"</f>
        <v>47/47</v>
      </c>
      <c r="K3997" s="1" t="str">
        <f>"2026-07-29 13:18:04"</f>
        <v>2026-07-29 13:18:04</v>
      </c>
      <c r="L3997" s="1" t="str">
        <f>"2021-07-13 15:27:16"</f>
        <v>2021-07-13 15:27:16</v>
      </c>
      <c r="M3997" s="1" t="s">
        <v>3</v>
      </c>
      <c r="N3997" s="1" t="s">
        <v>38</v>
      </c>
      <c r="O3997" s="1" t="s">
        <v>46</v>
      </c>
    </row>
    <row r="3998" spans="2:15" x14ac:dyDescent="0.3">
      <c r="B3998" s="1" t="s">
        <v>23</v>
      </c>
      <c r="C3998" s="1" t="str">
        <f t="shared" si="227"/>
        <v>4차</v>
      </c>
      <c r="D3998" s="1" t="str">
        <f>"0324Q47241"</f>
        <v>0324Q47241</v>
      </c>
      <c r="E3998" s="1" t="s">
        <v>10</v>
      </c>
      <c r="F3998" s="1" t="str">
        <f>"10.14.6.108"</f>
        <v>10.14.6.108</v>
      </c>
      <c r="G3998" s="1" t="str">
        <f>"0324Q472"</f>
        <v>0324Q472</v>
      </c>
      <c r="H3998" s="1" t="str">
        <f>"한성간 34L7R1"</f>
        <v>한성간 34L7R1</v>
      </c>
      <c r="I3998" s="1" t="s">
        <v>17</v>
      </c>
      <c r="J3998" s="1" t="str">
        <f>"21/21"</f>
        <v>21/21</v>
      </c>
      <c r="K3998" s="1" t="str">
        <f>"2026-07-29 13:18:04"</f>
        <v>2026-07-29 13:18:04</v>
      </c>
      <c r="L3998" s="1" t="str">
        <f>"2021-07-13 16:10:03"</f>
        <v>2021-07-13 16:10:03</v>
      </c>
      <c r="M3998" s="1" t="s">
        <v>3</v>
      </c>
      <c r="N3998" s="1" t="s">
        <v>38</v>
      </c>
      <c r="O3998" s="1" t="s">
        <v>46</v>
      </c>
    </row>
    <row r="3999" spans="2:15" x14ac:dyDescent="0.3">
      <c r="B3999" s="1" t="s">
        <v>23</v>
      </c>
      <c r="C3999" s="1" t="str">
        <f t="shared" si="227"/>
        <v>4차</v>
      </c>
      <c r="D3999" s="1" t="str">
        <f>"0324Q48144"</f>
        <v>0324Q48144</v>
      </c>
      <c r="E3999" s="1" t="s">
        <v>10</v>
      </c>
      <c r="F3999" s="1" t="str">
        <f>"10.11.74.234"</f>
        <v>10.11.74.234</v>
      </c>
      <c r="G3999" s="1" t="str">
        <f>"0324Q481"</f>
        <v>0324Q481</v>
      </c>
      <c r="H3999" s="1" t="str">
        <f>"한성간 34L8"</f>
        <v>한성간 34L8</v>
      </c>
      <c r="I3999" s="1" t="s">
        <v>8</v>
      </c>
      <c r="J3999" s="1" t="str">
        <f>"62/62"</f>
        <v>62/62</v>
      </c>
      <c r="K3999" s="1" t="str">
        <f>"2026-07-29 13:18:02"</f>
        <v>2026-07-29 13:18:02</v>
      </c>
      <c r="L3999" s="1" t="str">
        <f>"2019-11-14 22:33:04"</f>
        <v>2019-11-14 22:33:04</v>
      </c>
      <c r="M3999" s="1" t="s">
        <v>2</v>
      </c>
      <c r="N3999" s="1" t="s">
        <v>38</v>
      </c>
      <c r="O3999" s="1" t="s">
        <v>46</v>
      </c>
    </row>
    <row r="4000" spans="2:15" x14ac:dyDescent="0.3">
      <c r="B4000" s="1" t="s">
        <v>23</v>
      </c>
      <c r="C4000" s="1" t="str">
        <f t="shared" si="227"/>
        <v>4차</v>
      </c>
      <c r="D4000" s="1" t="str">
        <f>"0324Q58144"</f>
        <v>0324Q58144</v>
      </c>
      <c r="E4000" s="1" t="s">
        <v>10</v>
      </c>
      <c r="F4000" s="1" t="str">
        <f>"10.11.74.74"</f>
        <v>10.11.74.74</v>
      </c>
      <c r="G4000" s="1" t="str">
        <f>"0324Q581"</f>
        <v>0324Q581</v>
      </c>
      <c r="H4000" s="1" t="str">
        <f>"한성간 34L11"</f>
        <v>한성간 34L11</v>
      </c>
      <c r="I4000" s="1" t="s">
        <v>8</v>
      </c>
      <c r="J4000" s="1" t="str">
        <f>"25/34"</f>
        <v>25/34</v>
      </c>
      <c r="K4000" s="1" t="str">
        <f>"2026-07-29 13:18:02"</f>
        <v>2026-07-29 13:18:02</v>
      </c>
      <c r="L4000" s="1" t="str">
        <f>"2019-11-08 09:41:42"</f>
        <v>2019-11-08 09:41:42</v>
      </c>
      <c r="M4000" s="1" t="s">
        <v>2</v>
      </c>
      <c r="N4000" s="1" t="s">
        <v>38</v>
      </c>
      <c r="O4000" s="1" t="s">
        <v>46</v>
      </c>
    </row>
    <row r="4001" spans="2:15" x14ac:dyDescent="0.3">
      <c r="B4001" s="1" t="s">
        <v>23</v>
      </c>
      <c r="C4001" s="1" t="str">
        <f>"3차"</f>
        <v>3차</v>
      </c>
      <c r="D4001" s="1" t="str">
        <f>"0324Q59139"</f>
        <v>0324Q59139</v>
      </c>
      <c r="E4001" s="1" t="s">
        <v>10</v>
      </c>
      <c r="F4001" s="1" t="str">
        <f>"10.11.81.2"</f>
        <v>10.11.81.2</v>
      </c>
      <c r="G4001" s="1" t="str">
        <f>"0324Q591"</f>
        <v>0324Q591</v>
      </c>
      <c r="H4001" s="1" t="str">
        <f>"한성간 34L11L1"</f>
        <v>한성간 34L11L1</v>
      </c>
      <c r="I4001" s="1" t="s">
        <v>8</v>
      </c>
      <c r="J4001" s="1" t="str">
        <f>"52/52"</f>
        <v>52/52</v>
      </c>
      <c r="K4001" s="1" t="str">
        <f>"2026-07-29 13:18:03"</f>
        <v>2026-07-29 13:18:03</v>
      </c>
      <c r="L4001" s="1" t="str">
        <f>"2018-04-17 18:15:45"</f>
        <v>2018-04-17 18:15:45</v>
      </c>
      <c r="M4001" s="1" t="s">
        <v>2</v>
      </c>
      <c r="N4001" s="1" t="s">
        <v>38</v>
      </c>
      <c r="O4001" s="1" t="s">
        <v>46</v>
      </c>
    </row>
    <row r="4002" spans="2:15" x14ac:dyDescent="0.3">
      <c r="B4002" s="1" t="s">
        <v>23</v>
      </c>
      <c r="C4002" s="1" t="str">
        <f t="shared" ref="C4002:C4007" si="228">"4차"</f>
        <v>4차</v>
      </c>
      <c r="D4002" s="1" t="str">
        <f>"0324Q69344"</f>
        <v>0324Q69344</v>
      </c>
      <c r="E4002" s="1" t="s">
        <v>10</v>
      </c>
      <c r="F4002" s="1" t="str">
        <f>"10.11.74.178"</f>
        <v>10.11.74.178</v>
      </c>
      <c r="G4002" s="1" t="str">
        <f>"0324Q693"</f>
        <v>0324Q693</v>
      </c>
      <c r="H4002" s="1" t="str">
        <f>"한성간 34L14"</f>
        <v>한성간 34L14</v>
      </c>
      <c r="I4002" s="1" t="s">
        <v>8</v>
      </c>
      <c r="J4002" s="1" t="str">
        <f>"60/60"</f>
        <v>60/60</v>
      </c>
      <c r="K4002" s="1" t="str">
        <f>"2026-07-29 13:18:03"</f>
        <v>2026-07-29 13:18:03</v>
      </c>
      <c r="L4002" s="1" t="str">
        <f>"2019-11-18 19:19:25"</f>
        <v>2019-11-18 19:19:25</v>
      </c>
      <c r="M4002" s="1" t="s">
        <v>2</v>
      </c>
      <c r="N4002" s="1" t="s">
        <v>38</v>
      </c>
      <c r="O4002" s="1" t="s">
        <v>46</v>
      </c>
    </row>
    <row r="4003" spans="2:15" x14ac:dyDescent="0.3">
      <c r="B4003" s="1" t="s">
        <v>23</v>
      </c>
      <c r="C4003" s="1" t="str">
        <f t="shared" si="228"/>
        <v>4차</v>
      </c>
      <c r="D4003" s="1" t="str">
        <f>"0324Q79144"</f>
        <v>0324Q79144</v>
      </c>
      <c r="E4003" s="1" t="s">
        <v>10</v>
      </c>
      <c r="F4003" s="1" t="str">
        <f>"10.11.74.154"</f>
        <v>10.11.74.154</v>
      </c>
      <c r="G4003" s="1" t="str">
        <f>"0324Q791"</f>
        <v>0324Q791</v>
      </c>
      <c r="H4003" s="1" t="str">
        <f>"한성간 34L13R1"</f>
        <v>한성간 34L13R1</v>
      </c>
      <c r="I4003" s="1" t="s">
        <v>8</v>
      </c>
      <c r="J4003" s="1" t="str">
        <f>"43/43"</f>
        <v>43/43</v>
      </c>
      <c r="K4003" s="1" t="str">
        <f>"2026-07-29 13:18:03"</f>
        <v>2026-07-29 13:18:03</v>
      </c>
      <c r="L4003" s="1" t="str">
        <f>"2019-12-30 11:21:20"</f>
        <v>2019-12-30 11:21:20</v>
      </c>
      <c r="M4003" s="1" t="s">
        <v>2</v>
      </c>
      <c r="N4003" s="1" t="s">
        <v>38</v>
      </c>
      <c r="O4003" s="1" t="s">
        <v>46</v>
      </c>
    </row>
    <row r="4004" spans="2:15" x14ac:dyDescent="0.3">
      <c r="B4004" s="1" t="s">
        <v>23</v>
      </c>
      <c r="C4004" s="1" t="str">
        <f t="shared" si="228"/>
        <v>4차</v>
      </c>
      <c r="D4004" s="1" t="str">
        <f>"0324Q88245"</f>
        <v>0324Q88245</v>
      </c>
      <c r="E4004" s="1" t="s">
        <v>10</v>
      </c>
      <c r="F4004" s="1" t="str">
        <f>"10.14.11.60"</f>
        <v>10.14.11.60</v>
      </c>
      <c r="G4004" s="1" t="str">
        <f>"0324Q882"</f>
        <v>0324Q882</v>
      </c>
      <c r="H4004" s="1" t="str">
        <f>"능동로 28-3"</f>
        <v>능동로 28-3</v>
      </c>
      <c r="I4004" s="1" t="s">
        <v>17</v>
      </c>
      <c r="J4004" s="1" t="str">
        <f>"35/35"</f>
        <v>35/35</v>
      </c>
      <c r="K4004" s="1" t="str">
        <f>"2026-07-29 13:18:03"</f>
        <v>2026-07-29 13:18:03</v>
      </c>
      <c r="L4004" s="1" t="str">
        <f>"2021-06-28 16:26:31"</f>
        <v>2021-06-28 16:26:31</v>
      </c>
      <c r="M4004" s="1" t="s">
        <v>3</v>
      </c>
      <c r="N4004" s="1" t="s">
        <v>38</v>
      </c>
      <c r="O4004" s="1" t="s">
        <v>46</v>
      </c>
    </row>
    <row r="4005" spans="2:15" x14ac:dyDescent="0.3">
      <c r="B4005" s="1" t="s">
        <v>23</v>
      </c>
      <c r="C4005" s="1" t="str">
        <f t="shared" si="228"/>
        <v>4차</v>
      </c>
      <c r="D4005" s="1" t="str">
        <f>"0324W07445"</f>
        <v>0324W07445</v>
      </c>
      <c r="E4005" s="1" t="s">
        <v>10</v>
      </c>
      <c r="F4005" s="1" t="str">
        <f>"10.14.5.57"</f>
        <v>10.14.5.57</v>
      </c>
      <c r="G4005" s="1" t="str">
        <f>"0324W074"</f>
        <v>0324W074</v>
      </c>
      <c r="H4005" s="1" t="str">
        <f>"능동로 18-6"</f>
        <v>능동로 18-6</v>
      </c>
      <c r="I4005" s="1" t="s">
        <v>17</v>
      </c>
      <c r="J4005" s="1" t="str">
        <f>"11/11"</f>
        <v>11/11</v>
      </c>
      <c r="K4005" s="1" t="str">
        <f>"2026-07-29 13:18:03"</f>
        <v>2026-07-29 13:18:03</v>
      </c>
      <c r="L4005" s="1" t="str">
        <f>"2021-06-28 16:01:34"</f>
        <v>2021-06-28 16:01:34</v>
      </c>
      <c r="M4005" s="1" t="s">
        <v>3</v>
      </c>
      <c r="N4005" s="1" t="s">
        <v>38</v>
      </c>
      <c r="O4005" s="1" t="s">
        <v>46</v>
      </c>
    </row>
    <row r="4006" spans="2:15" x14ac:dyDescent="0.3">
      <c r="B4006" s="1" t="s">
        <v>23</v>
      </c>
      <c r="C4006" s="1" t="str">
        <f t="shared" si="228"/>
        <v>4차</v>
      </c>
      <c r="D4006" s="1" t="str">
        <f>"0324W08545"</f>
        <v>0324W08545</v>
      </c>
      <c r="E4006" s="1" t="s">
        <v>10</v>
      </c>
      <c r="F4006" s="1" t="str">
        <f>"10.14.4.61"</f>
        <v>10.14.4.61</v>
      </c>
      <c r="G4006" s="1" t="str">
        <f>"0324W085"</f>
        <v>0324W085</v>
      </c>
      <c r="H4006" s="1" t="str">
        <f>"능동로 18-5"</f>
        <v>능동로 18-5</v>
      </c>
      <c r="I4006" s="1" t="s">
        <v>17</v>
      </c>
      <c r="J4006" s="1" t="str">
        <f>"8/8"</f>
        <v>8/8</v>
      </c>
      <c r="K4006" s="1" t="str">
        <f>"2026-07-29 01:18:01"</f>
        <v>2026-07-29 01:18:01</v>
      </c>
      <c r="L4006" s="1" t="str">
        <f>"2021-06-28 15:48:24"</f>
        <v>2021-06-28 15:48:24</v>
      </c>
      <c r="M4006" s="1" t="s">
        <v>3</v>
      </c>
      <c r="N4006" s="1" t="s">
        <v>38</v>
      </c>
      <c r="O4006" s="1" t="s">
        <v>46</v>
      </c>
    </row>
    <row r="4007" spans="2:15" x14ac:dyDescent="0.3">
      <c r="B4007" s="1" t="s">
        <v>23</v>
      </c>
      <c r="C4007" s="1" t="str">
        <f t="shared" si="228"/>
        <v>4차</v>
      </c>
      <c r="D4007" s="1" t="str">
        <f>"0324W25545"</f>
        <v>0324W25545</v>
      </c>
      <c r="E4007" s="1" t="s">
        <v>10</v>
      </c>
      <c r="F4007" s="1" t="str">
        <f>"10.14.10.64"</f>
        <v>10.14.10.64</v>
      </c>
      <c r="G4007" s="1" t="str">
        <f>"0324W255"</f>
        <v>0324W255</v>
      </c>
      <c r="H4007" s="1" t="str">
        <f>"능동로 18-7"</f>
        <v>능동로 18-7</v>
      </c>
      <c r="I4007" s="1" t="s">
        <v>17</v>
      </c>
      <c r="J4007" s="1" t="str">
        <f>"13/13"</f>
        <v>13/13</v>
      </c>
      <c r="K4007" s="1" t="str">
        <f>"2026-07-29 13:18:03"</f>
        <v>2026-07-29 13:18:03</v>
      </c>
      <c r="L4007" s="1" t="str">
        <f>"2021-07-02 14:21:20"</f>
        <v>2021-07-02 14:21:20</v>
      </c>
      <c r="M4007" s="1" t="s">
        <v>3</v>
      </c>
      <c r="N4007" s="1" t="s">
        <v>38</v>
      </c>
      <c r="O4007" s="1" t="s">
        <v>46</v>
      </c>
    </row>
    <row r="4008" spans="2:15" x14ac:dyDescent="0.3">
      <c r="B4008" s="1" t="s">
        <v>23</v>
      </c>
      <c r="C4008" s="1" t="str">
        <f>"1차"</f>
        <v>1차</v>
      </c>
      <c r="D4008" s="1" t="str">
        <f>"0324W33100"</f>
        <v>0324W33100</v>
      </c>
      <c r="E4008" s="1" t="s">
        <v>10</v>
      </c>
      <c r="F4008" s="1" t="str">
        <f>"10.125.4.178"</f>
        <v>10.125.4.178</v>
      </c>
      <c r="G4008" s="1" t="str">
        <f>"0324W331"</f>
        <v>0324W331</v>
      </c>
      <c r="H4008" s="1" t="str">
        <f>"한성간 61L4"</f>
        <v>한성간 61L4</v>
      </c>
      <c r="I4008" s="1" t="s">
        <v>8</v>
      </c>
      <c r="J4008" s="1" t="str">
        <f>"52/52"</f>
        <v>52/52</v>
      </c>
      <c r="K4008" s="1" t="str">
        <f>"2026-07-29 13:18:02"</f>
        <v>2026-07-29 13:18:02</v>
      </c>
      <c r="L4008" s="1" t="str">
        <f>"2021-07-27 11:00:49"</f>
        <v>2021-07-27 11:00:49</v>
      </c>
      <c r="M4008" s="1" t="s">
        <v>45</v>
      </c>
      <c r="N4008" s="1" t="s">
        <v>38</v>
      </c>
      <c r="O4008" s="1" t="s">
        <v>46</v>
      </c>
    </row>
    <row r="4009" spans="2:15" x14ac:dyDescent="0.3">
      <c r="B4009" s="1" t="s">
        <v>23</v>
      </c>
      <c r="C4009" s="1" t="str">
        <f>"5-2차"</f>
        <v>5-2차</v>
      </c>
      <c r="D4009" s="1" t="str">
        <f>"0324W3525M"</f>
        <v>0324W3525M</v>
      </c>
      <c r="E4009" s="1" t="s">
        <v>10</v>
      </c>
      <c r="F4009" s="1" t="str">
        <f>"fde3:102:1440:2200:0:0:0:8"</f>
        <v>fde3:102:1440:2200:0:0:0:8</v>
      </c>
      <c r="G4009" s="1" t="str">
        <f>"0324W352"</f>
        <v>0324W352</v>
      </c>
      <c r="H4009" s="1" t="str">
        <f>"한성간 61L6R2"</f>
        <v>한성간 61L6R2</v>
      </c>
      <c r="I4009" s="1" t="s">
        <v>15</v>
      </c>
      <c r="J4009" s="1" t="str">
        <f>"67/67"</f>
        <v>67/67</v>
      </c>
      <c r="K4009" s="1" t="str">
        <f>"2026-07-29 14:20:58"</f>
        <v>2026-07-29 14:20:58</v>
      </c>
      <c r="L4009" s="1" t="str">
        <f>"2023-06-13 16:28:53"</f>
        <v>2023-06-13 16:28:53</v>
      </c>
      <c r="M4009" s="1" t="s">
        <v>45</v>
      </c>
      <c r="N4009" s="1" t="s">
        <v>38</v>
      </c>
      <c r="O4009" s="1" t="s">
        <v>46</v>
      </c>
    </row>
    <row r="4010" spans="2:15" x14ac:dyDescent="0.3">
      <c r="B4010" s="1" t="s">
        <v>23</v>
      </c>
      <c r="C4010" s="1" t="str">
        <f>"1차"</f>
        <v>1차</v>
      </c>
      <c r="D4010" s="1" t="str">
        <f>"0324W43101"</f>
        <v>0324W43101</v>
      </c>
      <c r="E4010" s="1" t="s">
        <v>10</v>
      </c>
      <c r="F4010" s="1" t="str">
        <f>"10.12.138.93"</f>
        <v>10.12.138.93</v>
      </c>
      <c r="G4010" s="1" t="str">
        <f>"0324W431"</f>
        <v>0324W431</v>
      </c>
      <c r="H4010" s="1" t="str">
        <f>"한성간 61L2"</f>
        <v>한성간 61L2</v>
      </c>
      <c r="I4010" s="1" t="s">
        <v>8</v>
      </c>
      <c r="J4010" s="1" t="str">
        <f>"25/25"</f>
        <v>25/25</v>
      </c>
      <c r="K4010" s="1" t="str">
        <f>"2026-07-29 13:18:02"</f>
        <v>2026-07-29 13:18:02</v>
      </c>
      <c r="L4010" s="1" t="str">
        <f>"2014-11-14 00:13:35"</f>
        <v>2014-11-14 00:13:35</v>
      </c>
      <c r="M4010" s="1" t="s">
        <v>0</v>
      </c>
      <c r="N4010" s="1" t="s">
        <v>38</v>
      </c>
      <c r="O4010" s="1" t="s">
        <v>46</v>
      </c>
    </row>
    <row r="4011" spans="2:15" x14ac:dyDescent="0.3">
      <c r="B4011" s="1" t="s">
        <v>23</v>
      </c>
      <c r="C4011" s="1" t="str">
        <f>"6차"</f>
        <v>6차</v>
      </c>
      <c r="D4011" s="1" t="str">
        <f>"0324W4536S"</f>
        <v>0324W4536S</v>
      </c>
      <c r="E4011" s="1" t="s">
        <v>10</v>
      </c>
      <c r="F4011" s="1" t="str">
        <f>"fde1:103:4:c5b0:0:0:0:2"</f>
        <v>fde1:103:4:c5b0:0:0:0:2</v>
      </c>
      <c r="G4011" s="1" t="str">
        <f>"0324W453"</f>
        <v>0324W453</v>
      </c>
      <c r="H4011" s="1" t="str">
        <f>"한성간 61L6R3R4"</f>
        <v>한성간 61L6R3R4</v>
      </c>
      <c r="I4011" s="1" t="s">
        <v>15</v>
      </c>
      <c r="J4011" s="1" t="str">
        <f>"40/40"</f>
        <v>40/40</v>
      </c>
      <c r="K4011" s="1" t="str">
        <f>"2026-07-29 14:20:35"</f>
        <v>2026-07-29 14:20:35</v>
      </c>
      <c r="L4011" s="1" t="str">
        <f>"2024-11-18 15:49:22"</f>
        <v>2024-11-18 15:49:22</v>
      </c>
      <c r="M4011" s="1" t="s">
        <v>4</v>
      </c>
      <c r="N4011" s="1" t="s">
        <v>38</v>
      </c>
      <c r="O4011" s="1" t="s">
        <v>46</v>
      </c>
    </row>
    <row r="4012" spans="2:15" x14ac:dyDescent="0.3">
      <c r="B4012" s="1" t="s">
        <v>23</v>
      </c>
      <c r="C4012" s="1" t="str">
        <f>"5-2차"</f>
        <v>5-2차</v>
      </c>
      <c r="D4012" s="1" t="str">
        <f>"0324W5235M"</f>
        <v>0324W5235M</v>
      </c>
      <c r="E4012" s="1" t="s">
        <v>10</v>
      </c>
      <c r="F4012" s="1" t="str">
        <f>"fde1:103:4:6ea0:0:0:0:2"</f>
        <v>fde1:103:4:6ea0:0:0:0:2</v>
      </c>
      <c r="G4012" s="1" t="str">
        <f>"0324W523"</f>
        <v>0324W523</v>
      </c>
      <c r="H4012" s="1" t="str">
        <f>"한성간 61L1R1H1"</f>
        <v>한성간 61L1R1H1</v>
      </c>
      <c r="I4012" s="1" t="s">
        <v>15</v>
      </c>
      <c r="J4012" s="1" t="str">
        <f>"47/47"</f>
        <v>47/47</v>
      </c>
      <c r="K4012" s="1" t="str">
        <f>"2026-07-29 14:20:41"</f>
        <v>2026-07-29 14:20:41</v>
      </c>
      <c r="L4012" s="1" t="str">
        <f>"2023-11-14 13:52:21"</f>
        <v>2023-11-14 13:52:21</v>
      </c>
      <c r="M4012" s="1" t="s">
        <v>4</v>
      </c>
      <c r="N4012" s="1" t="s">
        <v>38</v>
      </c>
      <c r="O4012" s="1" t="s">
        <v>46</v>
      </c>
    </row>
    <row r="4013" spans="2:15" x14ac:dyDescent="0.3">
      <c r="B4013" s="1" t="s">
        <v>23</v>
      </c>
      <c r="C4013" s="1" t="str">
        <f>"5-2차"</f>
        <v>5-2차</v>
      </c>
      <c r="D4013" s="1" t="str">
        <f>"0324W5315M"</f>
        <v>0324W5315M</v>
      </c>
      <c r="E4013" s="1" t="s">
        <v>10</v>
      </c>
      <c r="F4013" s="1" t="str">
        <f>"fde3:102:1440:2200:0:0:0:a"</f>
        <v>fde3:102:1440:2200:0:0:0:a</v>
      </c>
      <c r="G4013" s="1" t="str">
        <f>"0324W531"</f>
        <v>0324W531</v>
      </c>
      <c r="H4013" s="1" t="str">
        <f>"한성간 61L1R2L2"</f>
        <v>한성간 61L1R2L2</v>
      </c>
      <c r="I4013" s="1" t="s">
        <v>15</v>
      </c>
      <c r="J4013" s="1" t="str">
        <f>"35/35"</f>
        <v>35/35</v>
      </c>
      <c r="K4013" s="1" t="str">
        <f>"2026-07-29 14:20:11"</f>
        <v>2026-07-29 14:20:11</v>
      </c>
      <c r="L4013" s="1" t="str">
        <f>"2023-09-12 18:16:01"</f>
        <v>2023-09-12 18:16:01</v>
      </c>
      <c r="M4013" s="1" t="s">
        <v>45</v>
      </c>
      <c r="N4013" s="1" t="s">
        <v>38</v>
      </c>
      <c r="O4013" s="1" t="s">
        <v>46</v>
      </c>
    </row>
    <row r="4014" spans="2:15" x14ac:dyDescent="0.3">
      <c r="B4014" s="1" t="s">
        <v>23</v>
      </c>
      <c r="C4014" s="1" t="str">
        <f>"1차"</f>
        <v>1차</v>
      </c>
      <c r="D4014" s="1" t="str">
        <f>"0324W53200"</f>
        <v>0324W53200</v>
      </c>
      <c r="E4014" s="1" t="s">
        <v>10</v>
      </c>
      <c r="F4014" s="1" t="str">
        <f>"10.125.6.50"</f>
        <v>10.125.6.50</v>
      </c>
      <c r="G4014" s="1" t="str">
        <f>"0324W532"</f>
        <v>0324W532</v>
      </c>
      <c r="H4014" s="1" t="str">
        <f>"한성간 61L1R2L3"</f>
        <v>한성간 61L1R2L3</v>
      </c>
      <c r="I4014" s="1" t="s">
        <v>8</v>
      </c>
      <c r="J4014" s="1" t="str">
        <f>"30/30"</f>
        <v>30/30</v>
      </c>
      <c r="K4014" s="1" t="str">
        <f>"2026-07-29 13:18:03"</f>
        <v>2026-07-29 13:18:03</v>
      </c>
      <c r="L4014" s="1" t="str">
        <f>"2014-11-13 00:13:59"</f>
        <v>2014-11-13 00:13:59</v>
      </c>
      <c r="M4014" s="1" t="s">
        <v>45</v>
      </c>
      <c r="N4014" s="1" t="s">
        <v>38</v>
      </c>
      <c r="O4014" s="1" t="s">
        <v>46</v>
      </c>
    </row>
    <row r="4015" spans="2:15" x14ac:dyDescent="0.3">
      <c r="B4015" s="1" t="s">
        <v>23</v>
      </c>
      <c r="C4015" s="1" t="str">
        <f>"1차"</f>
        <v>1차</v>
      </c>
      <c r="D4015" s="1" t="str">
        <f>"0324W63200"</f>
        <v>0324W63200</v>
      </c>
      <c r="E4015" s="1" t="s">
        <v>10</v>
      </c>
      <c r="F4015" s="1" t="str">
        <f>"10.125.6.58"</f>
        <v>10.125.6.58</v>
      </c>
      <c r="G4015" s="1" t="str">
        <f>"0324W632"</f>
        <v>0324W632</v>
      </c>
      <c r="H4015" s="1" t="str">
        <f>"한성간 61L1R4L2"</f>
        <v>한성간 61L1R4L2</v>
      </c>
      <c r="I4015" s="1" t="s">
        <v>8</v>
      </c>
      <c r="J4015" s="1" t="str">
        <f>"26/26"</f>
        <v>26/26</v>
      </c>
      <c r="K4015" s="1" t="str">
        <f>"2026-07-29 13:18:03"</f>
        <v>2026-07-29 13:18:03</v>
      </c>
      <c r="L4015" s="1" t="str">
        <f>"2014-11-21 14:40:30"</f>
        <v>2014-11-21 14:40:30</v>
      </c>
      <c r="M4015" s="1" t="s">
        <v>45</v>
      </c>
      <c r="N4015" s="1" t="s">
        <v>38</v>
      </c>
      <c r="O4015" s="1" t="s">
        <v>46</v>
      </c>
    </row>
    <row r="4016" spans="2:15" x14ac:dyDescent="0.3">
      <c r="B4016" s="1" t="s">
        <v>23</v>
      </c>
      <c r="C4016" s="1" t="str">
        <f>"6차"</f>
        <v>6차</v>
      </c>
      <c r="D4016" s="1" t="str">
        <f>"0324W6516S"</f>
        <v>0324W6516S</v>
      </c>
      <c r="E4016" s="1" t="s">
        <v>12</v>
      </c>
      <c r="F4016" s="1" t="str">
        <f>"fde1:103:4:c702:0:0:0:2"</f>
        <v>fde1:103:4:c702:0:0:0:2</v>
      </c>
      <c r="G4016" s="1" t="str">
        <f>"0324W651"</f>
        <v>0324W651</v>
      </c>
      <c r="H4016" s="1" t="str">
        <f>"한성간 61L6R4R4"</f>
        <v>한성간 61L6R4R4</v>
      </c>
      <c r="I4016" s="1" t="s">
        <v>15</v>
      </c>
      <c r="J4016" s="1" t="str">
        <f>"0/31"</f>
        <v>0/31</v>
      </c>
      <c r="K4016" s="1" t="str">
        <f>"2026-03-04 02:20:32"</f>
        <v>2026-03-04 02:20:32</v>
      </c>
      <c r="L4016" s="1" t="str">
        <f>"2024-11-21 11:23:41"</f>
        <v>2024-11-21 11:23:41</v>
      </c>
      <c r="M4016" s="1" t="s">
        <v>4</v>
      </c>
      <c r="N4016" s="1" t="s">
        <v>38</v>
      </c>
      <c r="O4016" s="1" t="s">
        <v>46</v>
      </c>
    </row>
    <row r="4017" spans="2:15" x14ac:dyDescent="0.3">
      <c r="B4017" s="1" t="s">
        <v>23</v>
      </c>
      <c r="C4017" s="1" t="str">
        <f>"6차"</f>
        <v>6차</v>
      </c>
      <c r="D4017" s="1" t="str">
        <f>"0324W7126S"</f>
        <v>0324W7126S</v>
      </c>
      <c r="E4017" s="1" t="s">
        <v>10</v>
      </c>
      <c r="F4017" s="1" t="str">
        <f>"fde1:103:4:c60a:0:0:0:2"</f>
        <v>fde1:103:4:c60a:0:0:0:2</v>
      </c>
      <c r="G4017" s="1" t="str">
        <f>"0324W712"</f>
        <v>0324W712</v>
      </c>
      <c r="H4017" s="1" t="str">
        <f>"한성간 65"</f>
        <v>한성간 65</v>
      </c>
      <c r="I4017" s="1" t="s">
        <v>15</v>
      </c>
      <c r="J4017" s="1" t="str">
        <f>"30/37"</f>
        <v>30/37</v>
      </c>
      <c r="K4017" s="1" t="str">
        <f>"2026-07-29 14:20:38"</f>
        <v>2026-07-29 14:20:38</v>
      </c>
      <c r="L4017" s="1" t="str">
        <f>"2024-11-18 11:04:36"</f>
        <v>2024-11-18 11:04:36</v>
      </c>
      <c r="M4017" s="1" t="s">
        <v>4</v>
      </c>
      <c r="N4017" s="1" t="s">
        <v>38</v>
      </c>
      <c r="O4017" s="1" t="s">
        <v>46</v>
      </c>
    </row>
    <row r="4018" spans="2:15" x14ac:dyDescent="0.3">
      <c r="B4018" s="1" t="s">
        <v>23</v>
      </c>
      <c r="C4018" s="1" t="str">
        <f>"1차"</f>
        <v>1차</v>
      </c>
      <c r="D4018" s="1" t="str">
        <f>"0324W72401"</f>
        <v>0324W72401</v>
      </c>
      <c r="E4018" s="1" t="s">
        <v>10</v>
      </c>
      <c r="F4018" s="1" t="str">
        <f>"10.125.2.115"</f>
        <v>10.125.2.115</v>
      </c>
      <c r="G4018" s="1" t="str">
        <f>"0324W724"</f>
        <v>0324W724</v>
      </c>
      <c r="H4018" s="1" t="str">
        <f>"한성간 67L4L3"</f>
        <v>한성간 67L4L3</v>
      </c>
      <c r="I4018" s="1" t="s">
        <v>8</v>
      </c>
      <c r="J4018" s="1" t="str">
        <f>"1/2"</f>
        <v>1/2</v>
      </c>
      <c r="K4018" s="1" t="str">
        <f>"2026-07-29 13:18:03"</f>
        <v>2026-07-29 13:18:03</v>
      </c>
      <c r="L4018" s="1" t="str">
        <f>"2014-11-11 00:14:15"</f>
        <v>2014-11-11 00:14:15</v>
      </c>
      <c r="M4018" s="1" t="s">
        <v>45</v>
      </c>
      <c r="N4018" s="1" t="s">
        <v>44</v>
      </c>
      <c r="O4018" s="1" t="s">
        <v>44</v>
      </c>
    </row>
    <row r="4019" spans="2:15" x14ac:dyDescent="0.3">
      <c r="B4019" s="1" t="s">
        <v>23</v>
      </c>
      <c r="C4019" s="1" t="str">
        <f>"6차"</f>
        <v>6차</v>
      </c>
      <c r="D4019" s="1" t="str">
        <f>"0324W7316S"</f>
        <v>0324W7316S</v>
      </c>
      <c r="E4019" s="1" t="s">
        <v>10</v>
      </c>
      <c r="F4019" s="1" t="str">
        <f>"fde1:103:4:9244:0:0:0:2"</f>
        <v>fde1:103:4:9244:0:0:0:2</v>
      </c>
      <c r="G4019" s="1" t="str">
        <f>"0324W731"</f>
        <v>0324W731</v>
      </c>
      <c r="H4019" s="1" t="str">
        <f>"한성간 61L1R4"</f>
        <v>한성간 61L1R4</v>
      </c>
      <c r="I4019" s="1" t="s">
        <v>15</v>
      </c>
      <c r="J4019" s="1" t="str">
        <f>"49/49"</f>
        <v>49/49</v>
      </c>
      <c r="K4019" s="1" t="str">
        <f>"2026-07-29 14:20:14"</f>
        <v>2026-07-29 14:20:14</v>
      </c>
      <c r="L4019" s="1" t="str">
        <f>"2025-05-07 18:17:49"</f>
        <v>2025-05-07 18:17:49</v>
      </c>
      <c r="M4019" s="1" t="s">
        <v>4</v>
      </c>
      <c r="N4019" s="1" t="s">
        <v>38</v>
      </c>
      <c r="O4019" s="1" t="s">
        <v>46</v>
      </c>
    </row>
    <row r="4020" spans="2:15" x14ac:dyDescent="0.3">
      <c r="B4020" s="1" t="s">
        <v>23</v>
      </c>
      <c r="C4020" s="1" t="str">
        <f>"1차"</f>
        <v>1차</v>
      </c>
      <c r="D4020" s="1" t="str">
        <f>"0324W73201"</f>
        <v>0324W73201</v>
      </c>
      <c r="E4020" s="1" t="s">
        <v>10</v>
      </c>
      <c r="F4020" s="1" t="str">
        <f>"10.14.14.117"</f>
        <v>10.14.14.117</v>
      </c>
      <c r="G4020" s="1" t="str">
        <f>"0324W732"</f>
        <v>0324W732</v>
      </c>
      <c r="H4020" s="1" t="str">
        <f>"한성간 61L1R6"</f>
        <v>한성간 61L1R6</v>
      </c>
      <c r="I4020" s="1" t="s">
        <v>8</v>
      </c>
      <c r="J4020" s="1" t="str">
        <f>"39/39"</f>
        <v>39/39</v>
      </c>
      <c r="K4020" s="1" t="str">
        <f>"2026-07-29 13:18:04"</f>
        <v>2026-07-29 13:18:04</v>
      </c>
      <c r="L4020" s="1" t="str">
        <f>"2014-11-11 00:13:26"</f>
        <v>2014-11-11 00:13:26</v>
      </c>
      <c r="M4020" s="1" t="s">
        <v>3</v>
      </c>
      <c r="N4020" s="1" t="s">
        <v>38</v>
      </c>
      <c r="O4020" s="1" t="s">
        <v>46</v>
      </c>
    </row>
    <row r="4021" spans="2:15" x14ac:dyDescent="0.3">
      <c r="B4021" s="1" t="s">
        <v>23</v>
      </c>
      <c r="C4021" s="1" t="str">
        <f>"4차"</f>
        <v>4차</v>
      </c>
      <c r="D4021" s="1" t="str">
        <f>"0324W77342"</f>
        <v>0324W77342</v>
      </c>
      <c r="E4021" s="1" t="s">
        <v>10</v>
      </c>
      <c r="F4021" s="1" t="str">
        <f>"10.12.131.222"</f>
        <v>10.12.131.222</v>
      </c>
      <c r="G4021" s="1" t="str">
        <f>"0324W773"</f>
        <v>0324W773</v>
      </c>
      <c r="H4021" s="1" t="str">
        <f>"자양간 15R18R9L4R2"</f>
        <v>자양간 15R18R9L4R2</v>
      </c>
      <c r="I4021" s="1" t="s">
        <v>8</v>
      </c>
      <c r="J4021" s="1" t="str">
        <f>"50/50"</f>
        <v>50/50</v>
      </c>
      <c r="K4021" s="1" t="str">
        <f>"2026-07-29 13:18:04"</f>
        <v>2026-07-29 13:18:04</v>
      </c>
      <c r="L4021" s="1" t="str">
        <f>"2026-01-30 18:28:20"</f>
        <v>2026-01-30 18:28:20</v>
      </c>
      <c r="M4021" s="1" t="s">
        <v>0</v>
      </c>
      <c r="N4021" s="1" t="s">
        <v>38</v>
      </c>
      <c r="O4021" s="1" t="s">
        <v>46</v>
      </c>
    </row>
    <row r="4022" spans="2:15" x14ac:dyDescent="0.3">
      <c r="B4022" s="1" t="s">
        <v>23</v>
      </c>
      <c r="C4022" s="1" t="str">
        <f>"1차"</f>
        <v>1차</v>
      </c>
      <c r="D4022" s="1" t="str">
        <f>"0324W80100"</f>
        <v>0324W80100</v>
      </c>
      <c r="E4022" s="1" t="s">
        <v>10</v>
      </c>
      <c r="F4022" s="1" t="str">
        <f>"10.125.2.130"</f>
        <v>10.125.2.130</v>
      </c>
      <c r="G4022" s="1" t="str">
        <f>"0324W801"</f>
        <v>0324W801</v>
      </c>
      <c r="H4022" s="1" t="str">
        <f>"한성간 68"</f>
        <v>한성간 68</v>
      </c>
      <c r="I4022" s="1" t="s">
        <v>8</v>
      </c>
      <c r="J4022" s="1" t="str">
        <f>"7/7"</f>
        <v>7/7</v>
      </c>
      <c r="K4022" s="1" t="str">
        <f>"2026-07-29 13:18:03"</f>
        <v>2026-07-29 13:18:03</v>
      </c>
      <c r="L4022" s="1" t="str">
        <f>"2014-11-12 00:14:33"</f>
        <v>2014-11-12 00:14:33</v>
      </c>
      <c r="M4022" s="1" t="s">
        <v>45</v>
      </c>
      <c r="N4022" s="1" t="s">
        <v>38</v>
      </c>
      <c r="O4022" s="1" t="s">
        <v>46</v>
      </c>
    </row>
    <row r="4023" spans="2:15" x14ac:dyDescent="0.3">
      <c r="B4023" s="1" t="s">
        <v>23</v>
      </c>
      <c r="C4023" s="1" t="str">
        <f>"1차"</f>
        <v>1차</v>
      </c>
      <c r="D4023" s="1" t="str">
        <f>"0324W82300"</f>
        <v>0324W82300</v>
      </c>
      <c r="E4023" s="1" t="s">
        <v>10</v>
      </c>
      <c r="F4023" s="1" t="str">
        <f>"10.125.2.114"</f>
        <v>10.125.2.114</v>
      </c>
      <c r="G4023" s="1" t="str">
        <f>"0324W823"</f>
        <v>0324W823</v>
      </c>
      <c r="H4023" s="1" t="str">
        <f>"한성간 67L4"</f>
        <v>한성간 67L4</v>
      </c>
      <c r="I4023" s="1" t="s">
        <v>8</v>
      </c>
      <c r="J4023" s="1" t="str">
        <f>"5/5"</f>
        <v>5/5</v>
      </c>
      <c r="K4023" s="1" t="str">
        <f>"2026-07-29 13:18:03"</f>
        <v>2026-07-29 13:18:03</v>
      </c>
      <c r="L4023" s="1" t="str">
        <f>"2014-11-11 00:13:59"</f>
        <v>2014-11-11 00:13:59</v>
      </c>
      <c r="M4023" s="1" t="s">
        <v>45</v>
      </c>
      <c r="N4023" s="1" t="s">
        <v>38</v>
      </c>
      <c r="O4023" s="1" t="s">
        <v>46</v>
      </c>
    </row>
    <row r="4024" spans="2:15" x14ac:dyDescent="0.3">
      <c r="B4024" s="1" t="s">
        <v>23</v>
      </c>
      <c r="C4024" s="1" t="str">
        <f>"5-2차"</f>
        <v>5-2차</v>
      </c>
      <c r="D4024" s="1" t="str">
        <f>"0324W8315S"</f>
        <v>0324W8315S</v>
      </c>
      <c r="E4024" s="1" t="s">
        <v>10</v>
      </c>
      <c r="F4024" s="1" t="str">
        <f>"fde1:103:4:6ea4:0:0:0:2"</f>
        <v>fde1:103:4:6ea4:0:0:0:2</v>
      </c>
      <c r="G4024" s="1" t="str">
        <f>"0324W831"</f>
        <v>0324W831</v>
      </c>
      <c r="H4024" s="1" t="str">
        <f>"한성간 67L5"</f>
        <v>한성간 67L5</v>
      </c>
      <c r="I4024" s="1" t="s">
        <v>15</v>
      </c>
      <c r="J4024" s="1" t="str">
        <f>"66/66"</f>
        <v>66/66</v>
      </c>
      <c r="K4024" s="1" t="str">
        <f>"2026-07-29 14:20:11"</f>
        <v>2026-07-29 14:20:11</v>
      </c>
      <c r="L4024" s="1" t="str">
        <f>"2023-11-14 13:52:31"</f>
        <v>2023-11-14 13:52:31</v>
      </c>
      <c r="M4024" s="1" t="s">
        <v>4</v>
      </c>
      <c r="N4024" s="1" t="s">
        <v>38</v>
      </c>
      <c r="O4024" s="1" t="s">
        <v>46</v>
      </c>
    </row>
    <row r="4025" spans="2:15" x14ac:dyDescent="0.3">
      <c r="B4025" s="1" t="s">
        <v>23</v>
      </c>
      <c r="C4025" s="1" t="str">
        <f>"1차"</f>
        <v>1차</v>
      </c>
      <c r="D4025" s="1" t="str">
        <f>"0324W84100"</f>
        <v>0324W84100</v>
      </c>
      <c r="E4025" s="1" t="s">
        <v>10</v>
      </c>
      <c r="F4025" s="1" t="str">
        <f>"10.125.2.122"</f>
        <v>10.125.2.122</v>
      </c>
      <c r="G4025" s="1" t="str">
        <f>"0324W841"</f>
        <v>0324W841</v>
      </c>
      <c r="H4025" s="1" t="str">
        <f>"한성간 61L1R7"</f>
        <v>한성간 61L1R7</v>
      </c>
      <c r="I4025" s="1" t="s">
        <v>8</v>
      </c>
      <c r="J4025" s="1" t="str">
        <f>"17/18"</f>
        <v>17/18</v>
      </c>
      <c r="K4025" s="1" t="str">
        <f>"2026-07-29 13:18:03"</f>
        <v>2026-07-29 13:18:03</v>
      </c>
      <c r="L4025" s="1" t="str">
        <f>"2014-11-12 00:13:45"</f>
        <v>2014-11-12 00:13:45</v>
      </c>
      <c r="M4025" s="1" t="s">
        <v>45</v>
      </c>
      <c r="N4025" s="1" t="s">
        <v>38</v>
      </c>
      <c r="O4025" s="1" t="s">
        <v>46</v>
      </c>
    </row>
    <row r="4026" spans="2:15" x14ac:dyDescent="0.3">
      <c r="B4026" s="1" t="s">
        <v>23</v>
      </c>
      <c r="C4026" s="1" t="str">
        <f>"5-2차"</f>
        <v>5-2차</v>
      </c>
      <c r="D4026" s="1" t="str">
        <f>"0324W8525M"</f>
        <v>0324W8525M</v>
      </c>
      <c r="E4026" s="1" t="s">
        <v>10</v>
      </c>
      <c r="F4026" s="1" t="str">
        <f>"fde3:102:1440:2200:0:0:0:b"</f>
        <v>fde3:102:1440:2200:0:0:0:b</v>
      </c>
      <c r="G4026" s="1" t="str">
        <f>"0324W852"</f>
        <v>0324W852</v>
      </c>
      <c r="H4026" s="1" t="str">
        <f>"한성간 61L1R9"</f>
        <v>한성간 61L1R9</v>
      </c>
      <c r="I4026" s="1" t="s">
        <v>15</v>
      </c>
      <c r="J4026" s="1" t="str">
        <f>"56/56"</f>
        <v>56/56</v>
      </c>
      <c r="K4026" s="1" t="str">
        <f>"2026-07-29 14:20:17"</f>
        <v>2026-07-29 14:20:17</v>
      </c>
      <c r="L4026" s="1" t="str">
        <f>"2023-06-13 16:29:54"</f>
        <v>2023-06-13 16:29:54</v>
      </c>
      <c r="M4026" s="1" t="s">
        <v>45</v>
      </c>
      <c r="N4026" s="1" t="s">
        <v>38</v>
      </c>
      <c r="O4026" s="1" t="s">
        <v>46</v>
      </c>
    </row>
    <row r="4027" spans="2:15" x14ac:dyDescent="0.3">
      <c r="B4027" s="1" t="s">
        <v>23</v>
      </c>
      <c r="C4027" s="1" t="str">
        <f>"4차"</f>
        <v>4차</v>
      </c>
      <c r="D4027" s="1" t="str">
        <f>"0324W87142"</f>
        <v>0324W87142</v>
      </c>
      <c r="E4027" s="1" t="s">
        <v>10</v>
      </c>
      <c r="F4027" s="1" t="str">
        <f>"10.125.6.98"</f>
        <v>10.125.6.98</v>
      </c>
      <c r="G4027" s="1" t="str">
        <f>"0324W871"</f>
        <v>0324W871</v>
      </c>
      <c r="H4027" s="1" t="str">
        <f>"자양간 15R18R9L4"</f>
        <v>자양간 15R18R9L4</v>
      </c>
      <c r="I4027" s="1" t="s">
        <v>8</v>
      </c>
      <c r="J4027" s="1" t="str">
        <f>"59/59"</f>
        <v>59/59</v>
      </c>
      <c r="K4027" s="1" t="str">
        <f>"2026-07-29 13:18:03"</f>
        <v>2026-07-29 13:18:03</v>
      </c>
      <c r="L4027" s="1" t="str">
        <f>"2024-12-31 17:01:13"</f>
        <v>2024-12-31 17:01:13</v>
      </c>
      <c r="M4027" s="1" t="s">
        <v>45</v>
      </c>
      <c r="N4027" s="1" t="s">
        <v>38</v>
      </c>
      <c r="O4027" s="1" t="s">
        <v>46</v>
      </c>
    </row>
    <row r="4028" spans="2:15" x14ac:dyDescent="0.3">
      <c r="B4028" s="1" t="s">
        <v>23</v>
      </c>
      <c r="C4028" s="1" t="str">
        <f>"1차"</f>
        <v>1차</v>
      </c>
      <c r="D4028" s="1" t="str">
        <f>"0324W91100"</f>
        <v>0324W91100</v>
      </c>
      <c r="E4028" s="1" t="str">
        <f>"검침실패(3시간 이상)"</f>
        <v>검침실패(3시간 이상)</v>
      </c>
      <c r="F4028" s="1" t="str">
        <f>"10.125.2.138"</f>
        <v>10.125.2.138</v>
      </c>
      <c r="G4028" s="1" t="str">
        <f>"0324W911"</f>
        <v>0324W911</v>
      </c>
      <c r="H4028" s="1" t="str">
        <f>"한성간 69L2"</f>
        <v>한성간 69L2</v>
      </c>
      <c r="I4028" s="1" t="s">
        <v>8</v>
      </c>
      <c r="J4028" s="1" t="str">
        <f>"0/71"</f>
        <v>0/71</v>
      </c>
      <c r="K4028" s="1" t="str">
        <f>"2026-07-29 13:18:02"</f>
        <v>2026-07-29 13:18:02</v>
      </c>
      <c r="L4028" s="1" t="str">
        <f>"2014-11-11 00:13:50"</f>
        <v>2014-11-11 00:13:50</v>
      </c>
      <c r="M4028" s="1" t="s">
        <v>45</v>
      </c>
      <c r="N4028" s="1" t="s">
        <v>38</v>
      </c>
      <c r="O4028" s="1" t="s">
        <v>46</v>
      </c>
    </row>
    <row r="4029" spans="2:15" x14ac:dyDescent="0.3">
      <c r="B4029" s="1" t="s">
        <v>23</v>
      </c>
      <c r="C4029" s="1" t="str">
        <f>"1차"</f>
        <v>1차</v>
      </c>
      <c r="D4029" s="1" t="str">
        <f>"0324W92201"</f>
        <v>0324W92201</v>
      </c>
      <c r="E4029" s="1" t="s">
        <v>10</v>
      </c>
      <c r="F4029" s="1" t="str">
        <f>"10.125.2.139"</f>
        <v>10.125.2.139</v>
      </c>
      <c r="G4029" s="1" t="str">
        <f>"0324W922"</f>
        <v>0324W922</v>
      </c>
      <c r="H4029" s="1" t="str">
        <f>"한성간 69L4"</f>
        <v>한성간 69L4</v>
      </c>
      <c r="I4029" s="1" t="s">
        <v>8</v>
      </c>
      <c r="J4029" s="1" t="str">
        <f>"29/29"</f>
        <v>29/29</v>
      </c>
      <c r="K4029" s="1" t="str">
        <f>"2026-07-29 13:18:02"</f>
        <v>2026-07-29 13:18:02</v>
      </c>
      <c r="L4029" s="1" t="str">
        <f>"2014-12-15 18:06:55"</f>
        <v>2014-12-15 18:06:55</v>
      </c>
      <c r="M4029" s="1" t="s">
        <v>45</v>
      </c>
      <c r="N4029" s="1" t="s">
        <v>38</v>
      </c>
      <c r="O4029" s="1" t="s">
        <v>46</v>
      </c>
    </row>
    <row r="4030" spans="2:15" x14ac:dyDescent="0.3">
      <c r="B4030" s="1" t="s">
        <v>23</v>
      </c>
      <c r="C4030" s="1" t="str">
        <f>"5-2차"</f>
        <v>5-2차</v>
      </c>
      <c r="D4030" s="1" t="str">
        <f>"0324X0315S"</f>
        <v>0324X0315S</v>
      </c>
      <c r="E4030" s="1" t="s">
        <v>10</v>
      </c>
      <c r="F4030" s="1" t="str">
        <f>"fde3:102:1440:2200:0:0:0:9"</f>
        <v>fde3:102:1440:2200:0:0:0:9</v>
      </c>
      <c r="G4030" s="1" t="str">
        <f>"0324X031"</f>
        <v>0324X031</v>
      </c>
      <c r="H4030" s="1" t="str">
        <f>"한성간 69L6"</f>
        <v>한성간 69L6</v>
      </c>
      <c r="I4030" s="1" t="s">
        <v>15</v>
      </c>
      <c r="J4030" s="1" t="str">
        <f>"47/47"</f>
        <v>47/47</v>
      </c>
      <c r="K4030" s="1" t="str">
        <f>"2026-07-29 14:20:15"</f>
        <v>2026-07-29 14:20:15</v>
      </c>
      <c r="L4030" s="1" t="str">
        <f>"2023-06-09 17:25:15"</f>
        <v>2023-06-09 17:25:15</v>
      </c>
      <c r="M4030" s="1" t="s">
        <v>45</v>
      </c>
      <c r="N4030" s="1" t="s">
        <v>38</v>
      </c>
      <c r="O4030" s="1" t="s">
        <v>46</v>
      </c>
    </row>
    <row r="4031" spans="2:15" x14ac:dyDescent="0.3">
      <c r="B4031" s="1" t="s">
        <v>23</v>
      </c>
      <c r="C4031" s="1" t="str">
        <f>"4차"</f>
        <v>4차</v>
      </c>
      <c r="D4031" s="1" t="str">
        <f>"0324X08441"</f>
        <v>0324X08441</v>
      </c>
      <c r="E4031" s="1" t="s">
        <v>10</v>
      </c>
      <c r="F4031" s="1" t="str">
        <f>"10.14.5.38"</f>
        <v>10.14.5.38</v>
      </c>
      <c r="G4031" s="1" t="str">
        <f>"0324X084"</f>
        <v>0324X084</v>
      </c>
      <c r="H4031" s="1" t="str">
        <f>"자양간 15R18R3"</f>
        <v>자양간 15R18R3</v>
      </c>
      <c r="I4031" s="1" t="s">
        <v>17</v>
      </c>
      <c r="J4031" s="1" t="str">
        <f>"8/9"</f>
        <v>8/9</v>
      </c>
      <c r="K4031" s="1" t="str">
        <f>"2026-07-29 13:18:04"</f>
        <v>2026-07-29 13:18:04</v>
      </c>
      <c r="L4031" s="1" t="str">
        <f>"2021-11-04 11:11:53"</f>
        <v>2021-11-04 11:11:53</v>
      </c>
      <c r="M4031" s="1" t="s">
        <v>3</v>
      </c>
      <c r="N4031" s="1" t="s">
        <v>38</v>
      </c>
      <c r="O4031" s="1" t="s">
        <v>46</v>
      </c>
    </row>
    <row r="4032" spans="2:15" x14ac:dyDescent="0.3">
      <c r="B4032" s="1" t="s">
        <v>23</v>
      </c>
      <c r="C4032" s="1" t="str">
        <f>"4차"</f>
        <v>4차</v>
      </c>
      <c r="D4032" s="1" t="str">
        <f>"0324X13141"</f>
        <v>0324X13141</v>
      </c>
      <c r="E4032" s="1" t="s">
        <v>10</v>
      </c>
      <c r="F4032" s="1" t="str">
        <f>"10.14.12.40"</f>
        <v>10.14.12.40</v>
      </c>
      <c r="G4032" s="1" t="str">
        <f>"0324X131"</f>
        <v>0324X131</v>
      </c>
      <c r="H4032" s="1" t="str">
        <f>"한성간 78"</f>
        <v>한성간 78</v>
      </c>
      <c r="I4032" s="1" t="s">
        <v>17</v>
      </c>
      <c r="J4032" s="1" t="str">
        <f>"42/51"</f>
        <v>42/51</v>
      </c>
      <c r="K4032" s="1" t="str">
        <f>"2026-07-29 13:18:02"</f>
        <v>2026-07-29 13:18:02</v>
      </c>
      <c r="L4032" s="1" t="str">
        <f>"2021-08-26 09:18:17"</f>
        <v>2021-08-26 09:18:17</v>
      </c>
      <c r="M4032" s="1" t="s">
        <v>3</v>
      </c>
      <c r="N4032" s="1" t="s">
        <v>38</v>
      </c>
      <c r="O4032" s="1" t="s">
        <v>46</v>
      </c>
    </row>
    <row r="4033" spans="2:15" x14ac:dyDescent="0.3">
      <c r="B4033" s="1" t="s">
        <v>23</v>
      </c>
      <c r="C4033" s="1" t="str">
        <f>"4차"</f>
        <v>4차</v>
      </c>
      <c r="D4033" s="1" t="str">
        <f>"0324X13241"</f>
        <v>0324X13241</v>
      </c>
      <c r="E4033" s="1" t="s">
        <v>10</v>
      </c>
      <c r="F4033" s="1" t="str">
        <f>"10.12.131.157"</f>
        <v>10.12.131.157</v>
      </c>
      <c r="G4033" s="1" t="str">
        <f>"0324X132"</f>
        <v>0324X132</v>
      </c>
      <c r="H4033" s="1" t="str">
        <f>"한성간 75R4"</f>
        <v>한성간 75R4</v>
      </c>
      <c r="I4033" s="1" t="s">
        <v>17</v>
      </c>
      <c r="J4033" s="1" t="str">
        <f>"15/15"</f>
        <v>15/15</v>
      </c>
      <c r="K4033" s="1" t="str">
        <f>"2026-07-29 13:18:03"</f>
        <v>2026-07-29 13:18:03</v>
      </c>
      <c r="L4033" s="1" t="str">
        <f>"2021-08-26 09:51:48"</f>
        <v>2021-08-26 09:51:48</v>
      </c>
      <c r="M4033" s="1" t="s">
        <v>0</v>
      </c>
      <c r="N4033" s="1" t="s">
        <v>38</v>
      </c>
      <c r="O4033" s="1" t="s">
        <v>46</v>
      </c>
    </row>
    <row r="4034" spans="2:15" x14ac:dyDescent="0.3">
      <c r="B4034" s="1" t="s">
        <v>23</v>
      </c>
      <c r="C4034" s="1" t="str">
        <f>"4차"</f>
        <v>4차</v>
      </c>
      <c r="D4034" s="1" t="str">
        <f>"0324X14341"</f>
        <v>0324X14341</v>
      </c>
      <c r="E4034" s="1" t="s">
        <v>10</v>
      </c>
      <c r="F4034" s="1" t="str">
        <f>"10.14.12.39"</f>
        <v>10.14.12.39</v>
      </c>
      <c r="G4034" s="1" t="str">
        <f>"0324X143"</f>
        <v>0324X143</v>
      </c>
      <c r="H4034" s="1" t="str">
        <f>"한성간 75R6"</f>
        <v>한성간 75R6</v>
      </c>
      <c r="I4034" s="1" t="s">
        <v>17</v>
      </c>
      <c r="J4034" s="1" t="str">
        <f>"17/17"</f>
        <v>17/17</v>
      </c>
      <c r="K4034" s="1" t="str">
        <f>"2026-07-29 13:18:02"</f>
        <v>2026-07-29 13:18:02</v>
      </c>
      <c r="L4034" s="1" t="str">
        <f>"2021-08-26 10:28:26"</f>
        <v>2021-08-26 10:28:26</v>
      </c>
      <c r="M4034" s="1" t="s">
        <v>3</v>
      </c>
      <c r="N4034" s="1" t="s">
        <v>38</v>
      </c>
      <c r="O4034" s="1" t="s">
        <v>46</v>
      </c>
    </row>
    <row r="4035" spans="2:15" x14ac:dyDescent="0.3">
      <c r="B4035" s="1" t="s">
        <v>23</v>
      </c>
      <c r="C4035" s="1" t="str">
        <f>"6차"</f>
        <v>6차</v>
      </c>
      <c r="D4035" s="1" t="str">
        <f>"0324X1446S"</f>
        <v>0324X1446S</v>
      </c>
      <c r="E4035" s="1" t="s">
        <v>10</v>
      </c>
      <c r="F4035" s="1" t="str">
        <f>"fde1:103:4:c60c:0:0:0:2"</f>
        <v>fde1:103:4:c60c:0:0:0:2</v>
      </c>
      <c r="G4035" s="1" t="str">
        <f>"0324X144"</f>
        <v>0324X144</v>
      </c>
      <c r="H4035" s="1" t="str">
        <f>"한성간 80"</f>
        <v>한성간 80</v>
      </c>
      <c r="I4035" s="1" t="s">
        <v>15</v>
      </c>
      <c r="J4035" s="1" t="str">
        <f>"27/27"</f>
        <v>27/27</v>
      </c>
      <c r="K4035" s="1" t="str">
        <f>"2026-07-29 14:20:59"</f>
        <v>2026-07-29 14:20:59</v>
      </c>
      <c r="L4035" s="1" t="str">
        <f>"2024-11-18 11:04:27"</f>
        <v>2024-11-18 11:04:27</v>
      </c>
      <c r="M4035" s="1" t="s">
        <v>4</v>
      </c>
      <c r="N4035" s="1" t="s">
        <v>38</v>
      </c>
      <c r="O4035" s="1" t="s">
        <v>46</v>
      </c>
    </row>
    <row r="4036" spans="2:15" x14ac:dyDescent="0.3">
      <c r="B4036" s="1" t="s">
        <v>23</v>
      </c>
      <c r="C4036" s="1" t="str">
        <f>"4차"</f>
        <v>4차</v>
      </c>
      <c r="D4036" s="1" t="str">
        <f>"0324X16241"</f>
        <v>0324X16241</v>
      </c>
      <c r="E4036" s="1" t="s">
        <v>10</v>
      </c>
      <c r="F4036" s="1" t="str">
        <f>"10.14.1.38"</f>
        <v>10.14.1.38</v>
      </c>
      <c r="G4036" s="1" t="str">
        <f>"0324X162"</f>
        <v>0324X162</v>
      </c>
      <c r="H4036" s="1" t="str">
        <f>"자양간 15R20R1"</f>
        <v>자양간 15R20R1</v>
      </c>
      <c r="I4036" s="1" t="s">
        <v>17</v>
      </c>
      <c r="J4036" s="1" t="str">
        <f>"38/49"</f>
        <v>38/49</v>
      </c>
      <c r="K4036" s="1" t="str">
        <f>"2026-07-29 13:18:04"</f>
        <v>2026-07-29 13:18:04</v>
      </c>
      <c r="L4036" s="1" t="str">
        <f>"2021-07-13 15:13:29"</f>
        <v>2021-07-13 15:13:29</v>
      </c>
      <c r="M4036" s="1" t="s">
        <v>3</v>
      </c>
      <c r="N4036" s="1" t="s">
        <v>38</v>
      </c>
      <c r="O4036" s="1" t="s">
        <v>46</v>
      </c>
    </row>
    <row r="4037" spans="2:15" x14ac:dyDescent="0.3">
      <c r="B4037" s="1" t="s">
        <v>23</v>
      </c>
      <c r="C4037" s="1" t="str">
        <f>"5-2차"</f>
        <v>5-2차</v>
      </c>
      <c r="D4037" s="1" t="str">
        <f>"0324X2135M"</f>
        <v>0324X2135M</v>
      </c>
      <c r="E4037" s="1" t="s">
        <v>10</v>
      </c>
      <c r="F4037" s="1" t="str">
        <f>"fde3:102:1440:2200:0:0:0:e"</f>
        <v>fde3:102:1440:2200:0:0:0:e</v>
      </c>
      <c r="G4037" s="1" t="str">
        <f>"0324X213"</f>
        <v>0324X213</v>
      </c>
      <c r="H4037" s="1" t="str">
        <f>"자양간 50R30"</f>
        <v>자양간 50R30</v>
      </c>
      <c r="I4037" s="1" t="s">
        <v>15</v>
      </c>
      <c r="J4037" s="1" t="str">
        <f>"89/89"</f>
        <v>89/89</v>
      </c>
      <c r="K4037" s="1" t="str">
        <f>"2026-07-29 14:20:40"</f>
        <v>2026-07-29 14:20:40</v>
      </c>
      <c r="L4037" s="1" t="str">
        <f>"2023-06-13 16:31:08"</f>
        <v>2023-06-13 16:31:08</v>
      </c>
      <c r="M4037" s="1" t="s">
        <v>45</v>
      </c>
      <c r="N4037" s="1" t="s">
        <v>38</v>
      </c>
      <c r="O4037" s="1" t="s">
        <v>46</v>
      </c>
    </row>
    <row r="4038" spans="2:15" x14ac:dyDescent="0.3">
      <c r="B4038" s="1" t="s">
        <v>23</v>
      </c>
      <c r="C4038" s="1" t="str">
        <f>"5-2차"</f>
        <v>5-2차</v>
      </c>
      <c r="D4038" s="1" t="str">
        <f>"0324X2315M"</f>
        <v>0324X2315M</v>
      </c>
      <c r="E4038" s="1" t="s">
        <v>10</v>
      </c>
      <c r="F4038" s="1" t="str">
        <f>"fde3:102:1440:2200:0:0:0:18"</f>
        <v>fde3:102:1440:2200:0:0:0:18</v>
      </c>
      <c r="G4038" s="1" t="str">
        <f>"0324X231"</f>
        <v>0324X231</v>
      </c>
      <c r="H4038" s="1" t="str">
        <f>"자양간 15R27R8"</f>
        <v>자양간 15R27R8</v>
      </c>
      <c r="I4038" s="1" t="s">
        <v>15</v>
      </c>
      <c r="J4038" s="1" t="str">
        <f>"83/83"</f>
        <v>83/83</v>
      </c>
      <c r="K4038" s="1" t="str">
        <f>"2026-07-29 14:20:38"</f>
        <v>2026-07-29 14:20:38</v>
      </c>
      <c r="L4038" s="1" t="str">
        <f>"2023-06-13 16:32:01"</f>
        <v>2023-06-13 16:32:01</v>
      </c>
      <c r="M4038" s="1" t="s">
        <v>45</v>
      </c>
      <c r="N4038" s="1" t="s">
        <v>38</v>
      </c>
      <c r="O4038" s="1" t="s">
        <v>46</v>
      </c>
    </row>
    <row r="4039" spans="2:15" x14ac:dyDescent="0.3">
      <c r="B4039" s="1" t="s">
        <v>23</v>
      </c>
      <c r="C4039" s="1" t="str">
        <f>"5-1차"</f>
        <v>5-1차</v>
      </c>
      <c r="D4039" s="1" t="str">
        <f>"0324X2325S"</f>
        <v>0324X2325S</v>
      </c>
      <c r="E4039" s="1" t="s">
        <v>10</v>
      </c>
      <c r="F4039" s="1" t="str">
        <f>"fde3:102:1440:2200:0:0:0:5"</f>
        <v>fde3:102:1440:2200:0:0:0:5</v>
      </c>
      <c r="G4039" s="1" t="str">
        <f>"0324X232"</f>
        <v>0324X232</v>
      </c>
      <c r="H4039" s="1" t="str">
        <f>"자양간 15R27R9"</f>
        <v>자양간 15R27R9</v>
      </c>
      <c r="I4039" s="1" t="s">
        <v>15</v>
      </c>
      <c r="J4039" s="1" t="str">
        <f>"41/41"</f>
        <v>41/41</v>
      </c>
      <c r="K4039" s="1" t="str">
        <f>"2026-07-29 14:20:41"</f>
        <v>2026-07-29 14:20:41</v>
      </c>
      <c r="L4039" s="1" t="str">
        <f>"2022-10-24 15:50:03"</f>
        <v>2022-10-24 15:50:03</v>
      </c>
      <c r="M4039" s="1" t="s">
        <v>45</v>
      </c>
      <c r="N4039" s="1" t="s">
        <v>38</v>
      </c>
      <c r="O4039" s="1" t="s">
        <v>46</v>
      </c>
    </row>
    <row r="4040" spans="2:15" x14ac:dyDescent="0.3">
      <c r="B4040" s="1" t="s">
        <v>23</v>
      </c>
      <c r="C4040" s="1" t="str">
        <f t="shared" ref="C4040:C4049" si="229">"5-2차"</f>
        <v>5-2차</v>
      </c>
      <c r="D4040" s="1" t="str">
        <f>"0324X2875M"</f>
        <v>0324X2875M</v>
      </c>
      <c r="E4040" s="1" t="s">
        <v>10</v>
      </c>
      <c r="F4040" s="1" t="str">
        <f>"fde1:103:4:6e9e:0:0:0:2"</f>
        <v>fde1:103:4:6e9e:0:0:0:2</v>
      </c>
      <c r="G4040" s="1" t="str">
        <f>"0324X287"</f>
        <v>0324X287</v>
      </c>
      <c r="H4040" s="1" t="str">
        <f>"자양간 15R14L4"</f>
        <v>자양간 15R14L4</v>
      </c>
      <c r="I4040" s="1" t="s">
        <v>15</v>
      </c>
      <c r="J4040" s="1" t="str">
        <f>"38/38"</f>
        <v>38/38</v>
      </c>
      <c r="K4040" s="1" t="str">
        <f>"2026-07-29 14:20:59"</f>
        <v>2026-07-29 14:20:59</v>
      </c>
      <c r="L4040" s="1" t="str">
        <f>"2023-11-14 13:52:55"</f>
        <v>2023-11-14 13:52:55</v>
      </c>
      <c r="M4040" s="1" t="s">
        <v>4</v>
      </c>
      <c r="N4040" s="1" t="s">
        <v>38</v>
      </c>
      <c r="O4040" s="1" t="s">
        <v>46</v>
      </c>
    </row>
    <row r="4041" spans="2:15" x14ac:dyDescent="0.3">
      <c r="B4041" s="1" t="s">
        <v>23</v>
      </c>
      <c r="C4041" s="1" t="str">
        <f t="shared" si="229"/>
        <v>5-2차</v>
      </c>
      <c r="D4041" s="1" t="str">
        <f>"0324X3615M"</f>
        <v>0324X3615M</v>
      </c>
      <c r="E4041" s="1" t="s">
        <v>10</v>
      </c>
      <c r="F4041" s="1" t="str">
        <f>"fde3:102:1440:2200:0:0:0:c"</f>
        <v>fde3:102:1440:2200:0:0:0:c</v>
      </c>
      <c r="G4041" s="1" t="str">
        <f>"0324X361"</f>
        <v>0324X361</v>
      </c>
      <c r="H4041" s="1" t="str">
        <f>"자양간 15R22"</f>
        <v>자양간 15R22</v>
      </c>
      <c r="I4041" s="1" t="s">
        <v>15</v>
      </c>
      <c r="J4041" s="1" t="str">
        <f>"74/74"</f>
        <v>74/74</v>
      </c>
      <c r="K4041" s="1" t="str">
        <f>"2026-07-29 14:20:38"</f>
        <v>2026-07-29 14:20:38</v>
      </c>
      <c r="L4041" s="1" t="str">
        <f>"2023-09-13 13:49:00"</f>
        <v>2023-09-13 13:49:00</v>
      </c>
      <c r="M4041" s="1" t="s">
        <v>45</v>
      </c>
      <c r="N4041" s="1" t="s">
        <v>38</v>
      </c>
      <c r="O4041" s="1" t="s">
        <v>46</v>
      </c>
    </row>
    <row r="4042" spans="2:15" x14ac:dyDescent="0.3">
      <c r="B4042" s="1" t="s">
        <v>23</v>
      </c>
      <c r="C4042" s="1" t="str">
        <f t="shared" si="229"/>
        <v>5-2차</v>
      </c>
      <c r="D4042" s="1" t="str">
        <f>"0324X3735M"</f>
        <v>0324X3735M</v>
      </c>
      <c r="E4042" s="1" t="s">
        <v>10</v>
      </c>
      <c r="F4042" s="1" t="str">
        <f>"fde3:102:1440:2100:0:0:0:19"</f>
        <v>fde3:102:1440:2100:0:0:0:19</v>
      </c>
      <c r="G4042" s="1" t="str">
        <f>"0324X373"</f>
        <v>0324X373</v>
      </c>
      <c r="H4042" s="1" t="str">
        <f>"자양간 15R19L3"</f>
        <v>자양간 15R19L3</v>
      </c>
      <c r="I4042" s="1" t="s">
        <v>15</v>
      </c>
      <c r="J4042" s="1" t="str">
        <f>"56/56"</f>
        <v>56/56</v>
      </c>
      <c r="K4042" s="1" t="str">
        <f>"2026-07-29 14:20:40"</f>
        <v>2026-07-29 14:20:40</v>
      </c>
      <c r="L4042" s="1" t="str">
        <f>"2023-10-11 10:19:30"</f>
        <v>2023-10-11 10:19:30</v>
      </c>
      <c r="M4042" s="1" t="s">
        <v>45</v>
      </c>
      <c r="N4042" s="1" t="s">
        <v>38</v>
      </c>
      <c r="O4042" s="1" t="s">
        <v>46</v>
      </c>
    </row>
    <row r="4043" spans="2:15" x14ac:dyDescent="0.3">
      <c r="B4043" s="1" t="s">
        <v>23</v>
      </c>
      <c r="C4043" s="1" t="str">
        <f t="shared" si="229"/>
        <v>5-2차</v>
      </c>
      <c r="D4043" s="1" t="str">
        <f>"0324X3775M"</f>
        <v>0324X3775M</v>
      </c>
      <c r="E4043" s="1" t="s">
        <v>10</v>
      </c>
      <c r="F4043" s="1" t="str">
        <f>"fde1:103:4:6ea5:0:0:0:2"</f>
        <v>fde1:103:4:6ea5:0:0:0:2</v>
      </c>
      <c r="G4043" s="1" t="str">
        <f>"0324X377"</f>
        <v>0324X377</v>
      </c>
      <c r="H4043" s="1" t="str">
        <f>"자양간 20R16"</f>
        <v>자양간 20R16</v>
      </c>
      <c r="I4043" s="1" t="s">
        <v>15</v>
      </c>
      <c r="J4043" s="1" t="str">
        <f>"47/47"</f>
        <v>47/47</v>
      </c>
      <c r="K4043" s="1" t="str">
        <f>"2026-07-29 14:20:41"</f>
        <v>2026-07-29 14:20:41</v>
      </c>
      <c r="L4043" s="1" t="str">
        <f>"2023-11-14 13:52:51"</f>
        <v>2023-11-14 13:52:51</v>
      </c>
      <c r="M4043" s="1" t="s">
        <v>4</v>
      </c>
      <c r="N4043" s="1" t="s">
        <v>38</v>
      </c>
      <c r="O4043" s="1" t="s">
        <v>46</v>
      </c>
    </row>
    <row r="4044" spans="2:15" x14ac:dyDescent="0.3">
      <c r="B4044" s="1" t="s">
        <v>23</v>
      </c>
      <c r="C4044" s="1" t="str">
        <f t="shared" si="229"/>
        <v>5-2차</v>
      </c>
      <c r="D4044" s="1" t="str">
        <f>"0324X3925S"</f>
        <v>0324X3925S</v>
      </c>
      <c r="E4044" s="1" t="s">
        <v>10</v>
      </c>
      <c r="F4044" s="1" t="str">
        <f>"fde3:102:1440:2100:0:0:0:1a"</f>
        <v>fde3:102:1440:2100:0:0:0:1a</v>
      </c>
      <c r="G4044" s="1" t="str">
        <f>"0324X392"</f>
        <v>0324X392</v>
      </c>
      <c r="H4044" s="1" t="str">
        <f>"자양간 20R10R2L2"</f>
        <v>자양간 20R10R2L2</v>
      </c>
      <c r="I4044" s="1" t="s">
        <v>15</v>
      </c>
      <c r="J4044" s="1" t="str">
        <f>"32/32"</f>
        <v>32/32</v>
      </c>
      <c r="K4044" s="1" t="str">
        <f>"2026-07-29 14:20:11"</f>
        <v>2026-07-29 14:20:11</v>
      </c>
      <c r="L4044" s="1" t="str">
        <f>"2023-06-14 14:20:36"</f>
        <v>2023-06-14 14:20:36</v>
      </c>
      <c r="M4044" s="1" t="s">
        <v>45</v>
      </c>
      <c r="N4044" s="1" t="s">
        <v>38</v>
      </c>
      <c r="O4044" s="1" t="s">
        <v>46</v>
      </c>
    </row>
    <row r="4045" spans="2:15" x14ac:dyDescent="0.3">
      <c r="B4045" s="1" t="s">
        <v>23</v>
      </c>
      <c r="C4045" s="1" t="str">
        <f t="shared" si="229"/>
        <v>5-2차</v>
      </c>
      <c r="D4045" s="1" t="str">
        <f>"0324X4315M"</f>
        <v>0324X4315M</v>
      </c>
      <c r="E4045" s="1" t="s">
        <v>10</v>
      </c>
      <c r="F4045" s="1" t="str">
        <f>"fde3:102:1440:2200:0:0:0:d"</f>
        <v>fde3:102:1440:2200:0:0:0:d</v>
      </c>
      <c r="G4045" s="1" t="str">
        <f>"0324X431"</f>
        <v>0324X431</v>
      </c>
      <c r="H4045" s="1" t="str">
        <f>"자양간 15R27R5"</f>
        <v>자양간 15R27R5</v>
      </c>
      <c r="I4045" s="1" t="s">
        <v>15</v>
      </c>
      <c r="J4045" s="1" t="str">
        <f>"188/188"</f>
        <v>188/188</v>
      </c>
      <c r="K4045" s="1" t="str">
        <f>"2026-07-29 14:20:40"</f>
        <v>2026-07-29 14:20:40</v>
      </c>
      <c r="L4045" s="1" t="str">
        <f>"2023-06-13 16:32:41"</f>
        <v>2023-06-13 16:32:41</v>
      </c>
      <c r="M4045" s="1" t="s">
        <v>45</v>
      </c>
      <c r="N4045" s="1" t="s">
        <v>38</v>
      </c>
      <c r="O4045" s="1" t="s">
        <v>46</v>
      </c>
    </row>
    <row r="4046" spans="2:15" x14ac:dyDescent="0.3">
      <c r="B4046" s="1" t="s">
        <v>23</v>
      </c>
      <c r="C4046" s="1" t="str">
        <f t="shared" si="229"/>
        <v>5-2차</v>
      </c>
      <c r="D4046" s="1" t="str">
        <f>"0324X5335M"</f>
        <v>0324X5335M</v>
      </c>
      <c r="E4046" s="1" t="s">
        <v>10</v>
      </c>
      <c r="F4046" s="1" t="str">
        <f>"fde1:103:4:6e9f:0:0:0:2"</f>
        <v>fde1:103:4:6e9f:0:0:0:2</v>
      </c>
      <c r="G4046" s="1" t="str">
        <f>"0324X533"</f>
        <v>0324X533</v>
      </c>
      <c r="H4046" s="1" t="str">
        <f>"자양간 15R27R4L1"</f>
        <v>자양간 15R27R4L1</v>
      </c>
      <c r="I4046" s="1" t="s">
        <v>15</v>
      </c>
      <c r="J4046" s="1" t="str">
        <f>"169/169"</f>
        <v>169/169</v>
      </c>
      <c r="K4046" s="1" t="str">
        <f>"2026-07-29 14:20:11"</f>
        <v>2026-07-29 14:20:11</v>
      </c>
      <c r="L4046" s="1" t="str">
        <f>"2026-02-13 15:39:15"</f>
        <v>2026-02-13 15:39:15</v>
      </c>
      <c r="M4046" s="1" t="s">
        <v>4</v>
      </c>
      <c r="N4046" s="1" t="s">
        <v>38</v>
      </c>
      <c r="O4046" s="1" t="s">
        <v>46</v>
      </c>
    </row>
    <row r="4047" spans="2:15" x14ac:dyDescent="0.3">
      <c r="B4047" s="1" t="s">
        <v>23</v>
      </c>
      <c r="C4047" s="1" t="str">
        <f t="shared" si="229"/>
        <v>5-2차</v>
      </c>
      <c r="D4047" s="1" t="str">
        <f>"0324X5415M"</f>
        <v>0324X5415M</v>
      </c>
      <c r="E4047" s="1" t="s">
        <v>10</v>
      </c>
      <c r="F4047" s="1" t="str">
        <f>"fde3:102:1440:2200:0:0:0:16"</f>
        <v>fde3:102:1440:2200:0:0:0:16</v>
      </c>
      <c r="G4047" s="1" t="str">
        <f>"0324X541"</f>
        <v>0324X541</v>
      </c>
      <c r="H4047" s="1" t="str">
        <f>"자양간 15R27"</f>
        <v>자양간 15R27</v>
      </c>
      <c r="I4047" s="1" t="s">
        <v>15</v>
      </c>
      <c r="J4047" s="1" t="str">
        <f>"103/103"</f>
        <v>103/103</v>
      </c>
      <c r="K4047" s="1" t="str">
        <f>"2026-07-29 14:20:41"</f>
        <v>2026-07-29 14:20:41</v>
      </c>
      <c r="L4047" s="1" t="str">
        <f>"2023-06-13 16:33:29"</f>
        <v>2023-06-13 16:33:29</v>
      </c>
      <c r="M4047" s="1" t="s">
        <v>45</v>
      </c>
      <c r="N4047" s="1" t="s">
        <v>38</v>
      </c>
      <c r="O4047" s="1" t="s">
        <v>46</v>
      </c>
    </row>
    <row r="4048" spans="2:15" x14ac:dyDescent="0.3">
      <c r="B4048" s="1" t="s">
        <v>23</v>
      </c>
      <c r="C4048" s="1" t="str">
        <f t="shared" si="229"/>
        <v>5-2차</v>
      </c>
      <c r="D4048" s="1" t="str">
        <f>"0324X5625M"</f>
        <v>0324X5625M</v>
      </c>
      <c r="E4048" s="1" t="s">
        <v>10</v>
      </c>
      <c r="F4048" s="1" t="str">
        <f>"fde3:102:1440:2300:0:0:0:12"</f>
        <v>fde3:102:1440:2300:0:0:0:12</v>
      </c>
      <c r="G4048" s="1" t="str">
        <f>"0324X562"</f>
        <v>0324X562</v>
      </c>
      <c r="H4048" s="1" t="str">
        <f>"자양간 36R26"</f>
        <v>자양간 36R26</v>
      </c>
      <c r="I4048" s="1" t="s">
        <v>15</v>
      </c>
      <c r="J4048" s="1" t="str">
        <f>"55/55"</f>
        <v>55/55</v>
      </c>
      <c r="K4048" s="1" t="str">
        <f>"2026-07-29 14:20:41"</f>
        <v>2026-07-29 14:20:41</v>
      </c>
      <c r="L4048" s="1" t="str">
        <f>"2023-06-19 17:49:18"</f>
        <v>2023-06-19 17:49:18</v>
      </c>
      <c r="M4048" s="1" t="s">
        <v>45</v>
      </c>
      <c r="N4048" s="1" t="s">
        <v>38</v>
      </c>
      <c r="O4048" s="1" t="s">
        <v>46</v>
      </c>
    </row>
    <row r="4049" spans="2:15" x14ac:dyDescent="0.3">
      <c r="B4049" s="1" t="s">
        <v>23</v>
      </c>
      <c r="C4049" s="1" t="str">
        <f t="shared" si="229"/>
        <v>5-2차</v>
      </c>
      <c r="D4049" s="1" t="str">
        <f>"0324X5825M"</f>
        <v>0324X5825M</v>
      </c>
      <c r="E4049" s="1" t="s">
        <v>10</v>
      </c>
      <c r="F4049" s="1" t="str">
        <f>"fde3:102:1440:2300:0:0:0:7"</f>
        <v>fde3:102:1440:2300:0:0:0:7</v>
      </c>
      <c r="G4049" s="1" t="str">
        <f>"0324X582"</f>
        <v>0324X582</v>
      </c>
      <c r="H4049" s="1" t="str">
        <f>"자양간 20R14L2"</f>
        <v>자양간 20R14L2</v>
      </c>
      <c r="I4049" s="1" t="s">
        <v>15</v>
      </c>
      <c r="J4049" s="1" t="str">
        <f>"92/92"</f>
        <v>92/92</v>
      </c>
      <c r="K4049" s="1" t="str">
        <f>"2026-07-29 14:20:59"</f>
        <v>2026-07-29 14:20:59</v>
      </c>
      <c r="L4049" s="1" t="str">
        <f>"2023-06-13 16:34:18"</f>
        <v>2023-06-13 16:34:18</v>
      </c>
      <c r="M4049" s="1" t="s">
        <v>45</v>
      </c>
      <c r="N4049" s="1" t="s">
        <v>38</v>
      </c>
      <c r="O4049" s="1" t="s">
        <v>46</v>
      </c>
    </row>
    <row r="4050" spans="2:15" x14ac:dyDescent="0.3">
      <c r="B4050" s="1" t="s">
        <v>23</v>
      </c>
      <c r="C4050" s="1" t="str">
        <f>"1차"</f>
        <v>1차</v>
      </c>
      <c r="D4050" s="1" t="str">
        <f>"0324X59300"</f>
        <v>0324X59300</v>
      </c>
      <c r="E4050" s="1" t="s">
        <v>10</v>
      </c>
      <c r="F4050" s="1" t="str">
        <f>"10.125.6.82"</f>
        <v>10.125.6.82</v>
      </c>
      <c r="G4050" s="1" t="str">
        <f>"0324X593"</f>
        <v>0324X593</v>
      </c>
      <c r="H4050" s="1" t="str">
        <f>"자양간 20R12"</f>
        <v>자양간 20R12</v>
      </c>
      <c r="I4050" s="1" t="s">
        <v>8</v>
      </c>
      <c r="J4050" s="1" t="str">
        <f>"40/40"</f>
        <v>40/40</v>
      </c>
      <c r="K4050" s="1" t="str">
        <f>"2026-07-29 13:18:02"</f>
        <v>2026-07-29 13:18:02</v>
      </c>
      <c r="L4050" s="1" t="str">
        <f>"2014-11-24 14:39:56"</f>
        <v>2014-11-24 14:39:56</v>
      </c>
      <c r="M4050" s="1" t="s">
        <v>45</v>
      </c>
      <c r="N4050" s="1" t="s">
        <v>38</v>
      </c>
      <c r="O4050" s="1" t="s">
        <v>46</v>
      </c>
    </row>
    <row r="4051" spans="2:15" x14ac:dyDescent="0.3">
      <c r="B4051" s="1" t="s">
        <v>23</v>
      </c>
      <c r="C4051" s="1" t="str">
        <f t="shared" ref="C4051:C4059" si="230">"5-2차"</f>
        <v>5-2차</v>
      </c>
      <c r="D4051" s="1" t="str">
        <f>"0324X5945M"</f>
        <v>0324X5945M</v>
      </c>
      <c r="E4051" s="1" t="s">
        <v>10</v>
      </c>
      <c r="F4051" s="1" t="str">
        <f>"fde1:103:4:6ea3:0:0:0:2"</f>
        <v>fde1:103:4:6ea3:0:0:0:2</v>
      </c>
      <c r="G4051" s="1" t="str">
        <f>"0324X594"</f>
        <v>0324X594</v>
      </c>
      <c r="H4051" s="1" t="str">
        <f>"자양간 20R13"</f>
        <v>자양간 20R13</v>
      </c>
      <c r="I4051" s="1" t="s">
        <v>15</v>
      </c>
      <c r="J4051" s="1" t="str">
        <f>"41/41"</f>
        <v>41/41</v>
      </c>
      <c r="K4051" s="1" t="str">
        <f>"2026-07-29 14:20:41"</f>
        <v>2026-07-29 14:20:41</v>
      </c>
      <c r="L4051" s="1" t="str">
        <f>"2023-11-14 14:17:54"</f>
        <v>2023-11-14 14:17:54</v>
      </c>
      <c r="M4051" s="1" t="s">
        <v>4</v>
      </c>
      <c r="N4051" s="1" t="s">
        <v>38</v>
      </c>
      <c r="O4051" s="1" t="s">
        <v>46</v>
      </c>
    </row>
    <row r="4052" spans="2:15" x14ac:dyDescent="0.3">
      <c r="B4052" s="1" t="s">
        <v>23</v>
      </c>
      <c r="C4052" s="1" t="str">
        <f t="shared" si="230"/>
        <v>5-2차</v>
      </c>
      <c r="D4052" s="1" t="str">
        <f>"0324X6015M"</f>
        <v>0324X6015M</v>
      </c>
      <c r="E4052" s="1" t="s">
        <v>10</v>
      </c>
      <c r="F4052" s="1" t="str">
        <f>"fde3:102:1440:2200:0:0:0:15"</f>
        <v>fde3:102:1440:2200:0:0:0:15</v>
      </c>
      <c r="G4052" s="1" t="str">
        <f>"0324X601"</f>
        <v>0324X601</v>
      </c>
      <c r="H4052" s="1" t="str">
        <f>"자양간 50R24"</f>
        <v>자양간 50R24</v>
      </c>
      <c r="I4052" s="1" t="s">
        <v>15</v>
      </c>
      <c r="J4052" s="1" t="str">
        <f>"165/165"</f>
        <v>165/165</v>
      </c>
      <c r="K4052" s="1" t="str">
        <f>"2026-07-29 14:20:41"</f>
        <v>2026-07-29 14:20:41</v>
      </c>
      <c r="L4052" s="1" t="str">
        <f>"2023-06-20 22:30:40"</f>
        <v>2023-06-20 22:30:40</v>
      </c>
      <c r="M4052" s="1" t="s">
        <v>45</v>
      </c>
      <c r="N4052" s="1" t="s">
        <v>38</v>
      </c>
      <c r="O4052" s="1" t="s">
        <v>46</v>
      </c>
    </row>
    <row r="4053" spans="2:15" x14ac:dyDescent="0.3">
      <c r="B4053" s="1" t="s">
        <v>23</v>
      </c>
      <c r="C4053" s="1" t="str">
        <f t="shared" si="230"/>
        <v>5-2차</v>
      </c>
      <c r="D4053" s="1" t="str">
        <f>"0324X6025M"</f>
        <v>0324X6025M</v>
      </c>
      <c r="E4053" s="1" t="s">
        <v>10</v>
      </c>
      <c r="F4053" s="1" t="str">
        <f>"fde3:102:1440:2200:0:0:0:14"</f>
        <v>fde3:102:1440:2200:0:0:0:14</v>
      </c>
      <c r="G4053" s="1" t="str">
        <f>"0324X602"</f>
        <v>0324X602</v>
      </c>
      <c r="H4053" s="1" t="str">
        <f>"자양간 50R23"</f>
        <v>자양간 50R23</v>
      </c>
      <c r="I4053" s="1" t="s">
        <v>15</v>
      </c>
      <c r="J4053" s="1" t="str">
        <f>"71/71"</f>
        <v>71/71</v>
      </c>
      <c r="K4053" s="1" t="str">
        <f>"2026-07-29 14:20:38"</f>
        <v>2026-07-29 14:20:38</v>
      </c>
      <c r="L4053" s="1" t="str">
        <f>"2023-06-13 16:36:24"</f>
        <v>2023-06-13 16:36:24</v>
      </c>
      <c r="M4053" s="1" t="s">
        <v>45</v>
      </c>
      <c r="N4053" s="1" t="s">
        <v>38</v>
      </c>
      <c r="O4053" s="1" t="s">
        <v>46</v>
      </c>
    </row>
    <row r="4054" spans="2:15" x14ac:dyDescent="0.3">
      <c r="B4054" s="1" t="s">
        <v>23</v>
      </c>
      <c r="C4054" s="1" t="str">
        <f t="shared" si="230"/>
        <v>5-2차</v>
      </c>
      <c r="D4054" s="1" t="str">
        <f>"0324X6135S"</f>
        <v>0324X6135S</v>
      </c>
      <c r="E4054" s="1" t="s">
        <v>10</v>
      </c>
      <c r="F4054" s="1" t="str">
        <f>"fde3:102:1440:2200:0:0:0:11"</f>
        <v>fde3:102:1440:2200:0:0:0:11</v>
      </c>
      <c r="G4054" s="1" t="str">
        <f>"0324X613"</f>
        <v>0324X613</v>
      </c>
      <c r="H4054" s="1" t="str">
        <f>"자양간 15R30R4"</f>
        <v>자양간 15R30R4</v>
      </c>
      <c r="I4054" s="1" t="s">
        <v>15</v>
      </c>
      <c r="J4054" s="1" t="str">
        <f>"37/37"</f>
        <v>37/37</v>
      </c>
      <c r="K4054" s="1" t="str">
        <f>"2026-07-29 14:20:41"</f>
        <v>2026-07-29 14:20:41</v>
      </c>
      <c r="L4054" s="1" t="str">
        <f>"2023-06-09 15:09:35"</f>
        <v>2023-06-09 15:09:35</v>
      </c>
      <c r="M4054" s="1" t="s">
        <v>45</v>
      </c>
      <c r="N4054" s="1" t="s">
        <v>38</v>
      </c>
      <c r="O4054" s="1" t="s">
        <v>46</v>
      </c>
    </row>
    <row r="4055" spans="2:15" x14ac:dyDescent="0.3">
      <c r="B4055" s="1" t="s">
        <v>23</v>
      </c>
      <c r="C4055" s="1" t="str">
        <f t="shared" si="230"/>
        <v>5-2차</v>
      </c>
      <c r="D4055" s="1" t="str">
        <f>"0324X6215S"</f>
        <v>0324X6215S</v>
      </c>
      <c r="E4055" s="1" t="s">
        <v>10</v>
      </c>
      <c r="F4055" s="1" t="str">
        <f>"fde3:102:1440:2200:0:0:0:10"</f>
        <v>fde3:102:1440:2200:0:0:0:10</v>
      </c>
      <c r="G4055" s="1" t="str">
        <f>"0324X621"</f>
        <v>0324X621</v>
      </c>
      <c r="H4055" s="1" t="str">
        <f>"자양간 15R30R3"</f>
        <v>자양간 15R30R3</v>
      </c>
      <c r="I4055" s="1" t="s">
        <v>15</v>
      </c>
      <c r="J4055" s="1" t="str">
        <f>"28/28"</f>
        <v>28/28</v>
      </c>
      <c r="K4055" s="1" t="str">
        <f>"2026-07-29 14:20:38"</f>
        <v>2026-07-29 14:20:38</v>
      </c>
      <c r="L4055" s="1" t="str">
        <f>"2023-08-22 14:29:13"</f>
        <v>2023-08-22 14:29:13</v>
      </c>
      <c r="M4055" s="1" t="s">
        <v>45</v>
      </c>
      <c r="N4055" s="1" t="s">
        <v>38</v>
      </c>
      <c r="O4055" s="1" t="s">
        <v>46</v>
      </c>
    </row>
    <row r="4056" spans="2:15" x14ac:dyDescent="0.3">
      <c r="B4056" s="1" t="s">
        <v>23</v>
      </c>
      <c r="C4056" s="1" t="str">
        <f t="shared" si="230"/>
        <v>5-2차</v>
      </c>
      <c r="D4056" s="1" t="str">
        <f>"0324X6445M"</f>
        <v>0324X6445M</v>
      </c>
      <c r="E4056" s="1" t="s">
        <v>10</v>
      </c>
      <c r="F4056" s="1" t="str">
        <f>"fde3:102:1440:2200:0:0:0:17"</f>
        <v>fde3:102:1440:2200:0:0:0:17</v>
      </c>
      <c r="G4056" s="1" t="str">
        <f>"0324X644"</f>
        <v>0324X644</v>
      </c>
      <c r="H4056" s="1" t="str">
        <f>"자양간 15R28"</f>
        <v>자양간 15R28</v>
      </c>
      <c r="I4056" s="1" t="s">
        <v>15</v>
      </c>
      <c r="J4056" s="1" t="str">
        <f>"49/49"</f>
        <v>49/49</v>
      </c>
      <c r="K4056" s="1" t="str">
        <f>"2026-07-29 14:20:41"</f>
        <v>2026-07-29 14:20:41</v>
      </c>
      <c r="L4056" s="1" t="str">
        <f>"2023-06-19 17:53:03"</f>
        <v>2023-06-19 17:53:03</v>
      </c>
      <c r="M4056" s="1" t="s">
        <v>45</v>
      </c>
      <c r="N4056" s="1" t="s">
        <v>38</v>
      </c>
      <c r="O4056" s="1" t="s">
        <v>46</v>
      </c>
    </row>
    <row r="4057" spans="2:15" x14ac:dyDescent="0.3">
      <c r="B4057" s="1" t="s">
        <v>23</v>
      </c>
      <c r="C4057" s="1" t="str">
        <f t="shared" si="230"/>
        <v>5-2차</v>
      </c>
      <c r="D4057" s="1" t="str">
        <f>"0324X6515M"</f>
        <v>0324X6515M</v>
      </c>
      <c r="E4057" s="1" t="s">
        <v>10</v>
      </c>
      <c r="F4057" s="1" t="str">
        <f>"fde3:102:1440:2100:0:0:0:14"</f>
        <v>fde3:102:1440:2100:0:0:0:14</v>
      </c>
      <c r="G4057" s="1" t="str">
        <f>"0324X651"</f>
        <v>0324X651</v>
      </c>
      <c r="H4057" s="1" t="str">
        <f>"자양간 15R30L1"</f>
        <v>자양간 15R30L1</v>
      </c>
      <c r="I4057" s="1" t="s">
        <v>15</v>
      </c>
      <c r="J4057" s="1" t="str">
        <f>"56/58"</f>
        <v>56/58</v>
      </c>
      <c r="K4057" s="1" t="str">
        <f>"2026-07-29 14:20:41"</f>
        <v>2026-07-29 14:20:41</v>
      </c>
      <c r="L4057" s="1" t="str">
        <f>"2023-06-19 17:54:09"</f>
        <v>2023-06-19 17:54:09</v>
      </c>
      <c r="M4057" s="1" t="s">
        <v>45</v>
      </c>
      <c r="N4057" s="1" t="s">
        <v>38</v>
      </c>
      <c r="O4057" s="1" t="s">
        <v>46</v>
      </c>
    </row>
    <row r="4058" spans="2:15" x14ac:dyDescent="0.3">
      <c r="B4058" s="1" t="s">
        <v>23</v>
      </c>
      <c r="C4058" s="1" t="str">
        <f t="shared" si="230"/>
        <v>5-2차</v>
      </c>
      <c r="D4058" s="1" t="str">
        <f>"0324X6725M"</f>
        <v>0324X6725M</v>
      </c>
      <c r="E4058" s="1" t="s">
        <v>10</v>
      </c>
      <c r="F4058" s="1" t="str">
        <f>"fde3:102:1440:2300:0:0:0:b"</f>
        <v>fde3:102:1440:2300:0:0:0:b</v>
      </c>
      <c r="G4058" s="1" t="str">
        <f>"0324X672"</f>
        <v>0324X672</v>
      </c>
      <c r="H4058" s="1" t="str">
        <f>"자양간 36R21R2"</f>
        <v>자양간 36R21R2</v>
      </c>
      <c r="I4058" s="1" t="s">
        <v>15</v>
      </c>
      <c r="J4058" s="1" t="str">
        <f>"135/138"</f>
        <v>135/138</v>
      </c>
      <c r="K4058" s="1" t="str">
        <f>"2026-07-28 20:03:24"</f>
        <v>2026-07-28 20:03:24</v>
      </c>
      <c r="L4058" s="1" t="str">
        <f>"2023-06-19 17:55:28"</f>
        <v>2023-06-19 17:55:28</v>
      </c>
      <c r="M4058" s="1" t="s">
        <v>45</v>
      </c>
      <c r="N4058" s="1" t="s">
        <v>38</v>
      </c>
      <c r="O4058" s="1" t="s">
        <v>46</v>
      </c>
    </row>
    <row r="4059" spans="2:15" x14ac:dyDescent="0.3">
      <c r="B4059" s="1" t="s">
        <v>23</v>
      </c>
      <c r="C4059" s="1" t="str">
        <f t="shared" si="230"/>
        <v>5-2차</v>
      </c>
      <c r="D4059" s="1" t="str">
        <f>"0324X7045M"</f>
        <v>0324X7045M</v>
      </c>
      <c r="E4059" s="1" t="s">
        <v>10</v>
      </c>
      <c r="F4059" s="1" t="str">
        <f>"fde3:102:1440:2100:0:0:0:18"</f>
        <v>fde3:102:1440:2100:0:0:0:18</v>
      </c>
      <c r="G4059" s="1" t="str">
        <f>"0324X704"</f>
        <v>0324X704</v>
      </c>
      <c r="H4059" s="1" t="str">
        <f>"자양간 50R22R2"</f>
        <v>자양간 50R22R2</v>
      </c>
      <c r="I4059" s="1" t="s">
        <v>15</v>
      </c>
      <c r="J4059" s="1" t="str">
        <f>"57/57"</f>
        <v>57/57</v>
      </c>
      <c r="K4059" s="1" t="str">
        <f>"2026-07-29 14:20:42"</f>
        <v>2026-07-29 14:20:42</v>
      </c>
      <c r="L4059" s="1" t="str">
        <f>"2023-06-13 16:37:08"</f>
        <v>2023-06-13 16:37:08</v>
      </c>
      <c r="M4059" s="1" t="s">
        <v>45</v>
      </c>
      <c r="N4059" s="1" t="s">
        <v>38</v>
      </c>
      <c r="O4059" s="1" t="s">
        <v>46</v>
      </c>
    </row>
    <row r="4060" spans="2:15" x14ac:dyDescent="0.3">
      <c r="B4060" s="1" t="s">
        <v>23</v>
      </c>
      <c r="C4060" s="1" t="str">
        <f>"5-1차"</f>
        <v>5-1차</v>
      </c>
      <c r="D4060" s="1" t="str">
        <f>"0324X7115M"</f>
        <v>0324X7115M</v>
      </c>
      <c r="E4060" s="1" t="s">
        <v>10</v>
      </c>
      <c r="F4060" s="1" t="str">
        <f>"fde2:104:0:178:0:0:0:2"</f>
        <v>fde2:104:0:178:0:0:0:2</v>
      </c>
      <c r="G4060" s="1" t="str">
        <f>"0324X711"</f>
        <v>0324X711</v>
      </c>
      <c r="H4060" s="1" t="str">
        <f>"자양간 50R22R3"</f>
        <v>자양간 50R22R3</v>
      </c>
      <c r="I4060" s="1" t="s">
        <v>15</v>
      </c>
      <c r="J4060" s="1" t="str">
        <f>"69/71"</f>
        <v>69/71</v>
      </c>
      <c r="K4060" s="1" t="str">
        <f>"2026-07-29 14:20:13"</f>
        <v>2026-07-29 14:20:13</v>
      </c>
      <c r="L4060" s="1" t="str">
        <f>"2022-11-15 17:03:31"</f>
        <v>2022-11-15 17:03:31</v>
      </c>
      <c r="M4060" s="1" t="s">
        <v>42</v>
      </c>
      <c r="N4060" s="1" t="s">
        <v>38</v>
      </c>
      <c r="O4060" s="1" t="s">
        <v>46</v>
      </c>
    </row>
    <row r="4061" spans="2:15" x14ac:dyDescent="0.3">
      <c r="B4061" s="1" t="s">
        <v>23</v>
      </c>
      <c r="C4061" s="1" t="str">
        <f>"5-2차"</f>
        <v>5-2차</v>
      </c>
      <c r="D4061" s="1" t="str">
        <f>"0324X7415M"</f>
        <v>0324X7415M</v>
      </c>
      <c r="E4061" s="1" t="s">
        <v>10</v>
      </c>
      <c r="F4061" s="1" t="str">
        <f>"fde3:102:1440:2200:0:0:0:12"</f>
        <v>fde3:102:1440:2200:0:0:0:12</v>
      </c>
      <c r="G4061" s="1" t="str">
        <f>"0324X741"</f>
        <v>0324X741</v>
      </c>
      <c r="H4061" s="1" t="str">
        <f>"자양간 15R33"</f>
        <v>자양간 15R33</v>
      </c>
      <c r="I4061" s="1" t="s">
        <v>15</v>
      </c>
      <c r="J4061" s="1" t="str">
        <f>"66/66"</f>
        <v>66/66</v>
      </c>
      <c r="K4061" s="1" t="str">
        <f>"2026-07-29 14:20:12"</f>
        <v>2026-07-29 14:20:12</v>
      </c>
      <c r="L4061" s="1" t="str">
        <f>"2023-06-13 16:37:51"</f>
        <v>2023-06-13 16:37:51</v>
      </c>
      <c r="M4061" s="1" t="s">
        <v>45</v>
      </c>
      <c r="N4061" s="1" t="s">
        <v>38</v>
      </c>
      <c r="O4061" s="1" t="s">
        <v>46</v>
      </c>
    </row>
    <row r="4062" spans="2:15" x14ac:dyDescent="0.3">
      <c r="B4062" s="1" t="s">
        <v>23</v>
      </c>
      <c r="C4062" s="1" t="str">
        <f>"5-2차"</f>
        <v>5-2차</v>
      </c>
      <c r="D4062" s="1" t="str">
        <f>"0324X7425M"</f>
        <v>0324X7425M</v>
      </c>
      <c r="E4062" s="1" t="s">
        <v>10</v>
      </c>
      <c r="F4062" s="1" t="str">
        <f>"fde3:102:1440:2200:0:0:0:13"</f>
        <v>fde3:102:1440:2200:0:0:0:13</v>
      </c>
      <c r="G4062" s="1" t="str">
        <f>"0324X742"</f>
        <v>0324X742</v>
      </c>
      <c r="H4062" s="1" t="str">
        <f>"자양간 15R32"</f>
        <v>자양간 15R32</v>
      </c>
      <c r="I4062" s="1" t="s">
        <v>15</v>
      </c>
      <c r="J4062" s="1" t="str">
        <f>"82/82"</f>
        <v>82/82</v>
      </c>
      <c r="K4062" s="1" t="str">
        <f>"2026-07-29 14:20:12"</f>
        <v>2026-07-29 14:20:12</v>
      </c>
      <c r="L4062" s="1" t="str">
        <f>"2023-06-20 22:37:22"</f>
        <v>2023-06-20 22:37:22</v>
      </c>
      <c r="M4062" s="1" t="s">
        <v>45</v>
      </c>
      <c r="N4062" s="1" t="s">
        <v>38</v>
      </c>
      <c r="O4062" s="1" t="s">
        <v>46</v>
      </c>
    </row>
    <row r="4063" spans="2:15" x14ac:dyDescent="0.3">
      <c r="B4063" s="1" t="s">
        <v>23</v>
      </c>
      <c r="C4063" s="1" t="str">
        <f>"5-2차"</f>
        <v>5-2차</v>
      </c>
      <c r="D4063" s="1" t="str">
        <f>"0324X7715S"</f>
        <v>0324X7715S</v>
      </c>
      <c r="E4063" s="1" t="s">
        <v>10</v>
      </c>
      <c r="F4063" s="1" t="str">
        <f>"fde1:103:4:6eab:0:0:0:2"</f>
        <v>fde1:103:4:6eab:0:0:0:2</v>
      </c>
      <c r="G4063" s="1" t="str">
        <f>"0324X771"</f>
        <v>0324X771</v>
      </c>
      <c r="H4063" s="1" t="str">
        <f>"자양간 36R21"</f>
        <v>자양간 36R21</v>
      </c>
      <c r="I4063" s="1" t="s">
        <v>15</v>
      </c>
      <c r="J4063" s="1" t="str">
        <f>"57/57"</f>
        <v>57/57</v>
      </c>
      <c r="K4063" s="1" t="str">
        <f>"2026-07-29 14:20:53"</f>
        <v>2026-07-29 14:20:53</v>
      </c>
      <c r="L4063" s="1" t="str">
        <f>"2023-11-14 14:17:56"</f>
        <v>2023-11-14 14:17:56</v>
      </c>
      <c r="M4063" s="1" t="s">
        <v>4</v>
      </c>
      <c r="N4063" s="1" t="s">
        <v>38</v>
      </c>
      <c r="O4063" s="1" t="s">
        <v>46</v>
      </c>
    </row>
    <row r="4064" spans="2:15" x14ac:dyDescent="0.3">
      <c r="B4064" s="1" t="s">
        <v>23</v>
      </c>
      <c r="C4064" s="1" t="str">
        <f>"5-2차"</f>
        <v>5-2차</v>
      </c>
      <c r="D4064" s="1" t="str">
        <f>"0324X7915S"</f>
        <v>0324X7915S</v>
      </c>
      <c r="E4064" s="1" t="s">
        <v>10</v>
      </c>
      <c r="F4064" s="1" t="str">
        <f>"fde3:102:1440:2300:0:0:0:e"</f>
        <v>fde3:102:1440:2300:0:0:0:e</v>
      </c>
      <c r="G4064" s="1" t="str">
        <f>"0324X791"</f>
        <v>0324X791</v>
      </c>
      <c r="H4064" s="1" t="str">
        <f>"자양간 36R21R6"</f>
        <v>자양간 36R21R6</v>
      </c>
      <c r="I4064" s="1" t="s">
        <v>15</v>
      </c>
      <c r="J4064" s="1" t="str">
        <f>"85/85"</f>
        <v>85/85</v>
      </c>
      <c r="K4064" s="1" t="str">
        <f>"2026-07-29 14:20:41"</f>
        <v>2026-07-29 14:20:41</v>
      </c>
      <c r="L4064" s="1" t="str">
        <f>"2023-06-14 15:04:23"</f>
        <v>2023-06-14 15:04:23</v>
      </c>
      <c r="M4064" s="1" t="s">
        <v>45</v>
      </c>
      <c r="N4064" s="1" t="s">
        <v>38</v>
      </c>
      <c r="O4064" s="1" t="s">
        <v>46</v>
      </c>
    </row>
    <row r="4065" spans="2:15" x14ac:dyDescent="0.3">
      <c r="B4065" s="1" t="s">
        <v>23</v>
      </c>
      <c r="C4065" s="1" t="str">
        <f>"5-2차"</f>
        <v>5-2차</v>
      </c>
      <c r="D4065" s="1" t="str">
        <f>"0324X8015M"</f>
        <v>0324X8015M</v>
      </c>
      <c r="E4065" s="1" t="s">
        <v>10</v>
      </c>
      <c r="F4065" s="1" t="str">
        <f>"fde3:102:1440:2100:0:0:0:17"</f>
        <v>fde3:102:1440:2100:0:0:0:17</v>
      </c>
      <c r="G4065" s="1" t="str">
        <f>"0324X801"</f>
        <v>0324X801</v>
      </c>
      <c r="H4065" s="1" t="str">
        <f>"자양간 50R21"</f>
        <v>자양간 50R21</v>
      </c>
      <c r="I4065" s="1" t="s">
        <v>15</v>
      </c>
      <c r="J4065" s="1" t="str">
        <f>"115/115"</f>
        <v>115/115</v>
      </c>
      <c r="K4065" s="1" t="str">
        <f>"2026-07-29 14:20:52"</f>
        <v>2026-07-29 14:20:52</v>
      </c>
      <c r="L4065" s="1" t="str">
        <f>"2023-10-11 10:19:51"</f>
        <v>2023-10-11 10:19:51</v>
      </c>
      <c r="M4065" s="1" t="s">
        <v>45</v>
      </c>
      <c r="N4065" s="1" t="s">
        <v>38</v>
      </c>
      <c r="O4065" s="1" t="s">
        <v>46</v>
      </c>
    </row>
    <row r="4066" spans="2:15" x14ac:dyDescent="0.3">
      <c r="B4066" s="1" t="s">
        <v>23</v>
      </c>
      <c r="C4066" s="1" t="str">
        <f>"5-1차"</f>
        <v>5-1차</v>
      </c>
      <c r="D4066" s="1" t="str">
        <f>"0324X8115M"</f>
        <v>0324X8115M</v>
      </c>
      <c r="E4066" s="1" t="s">
        <v>10</v>
      </c>
      <c r="F4066" s="1" t="str">
        <f>"fde3:102:1440:2100:0:0:0:3"</f>
        <v>fde3:102:1440:2100:0:0:0:3</v>
      </c>
      <c r="G4066" s="1" t="str">
        <f>"0324X811"</f>
        <v>0324X811</v>
      </c>
      <c r="H4066" s="1" t="str">
        <f>"자양간 50R19R3L3"</f>
        <v>자양간 50R19R3L3</v>
      </c>
      <c r="I4066" s="1" t="s">
        <v>15</v>
      </c>
      <c r="J4066" s="1" t="str">
        <f>"157/157"</f>
        <v>157/157</v>
      </c>
      <c r="K4066" s="1" t="str">
        <f>"2026-07-29 14:20:13"</f>
        <v>2026-07-29 14:20:13</v>
      </c>
      <c r="L4066" s="1" t="str">
        <f>"2022-10-24 13:50:43"</f>
        <v>2022-10-24 13:50:43</v>
      </c>
      <c r="M4066" s="1" t="s">
        <v>45</v>
      </c>
      <c r="N4066" s="1" t="s">
        <v>38</v>
      </c>
      <c r="O4066" s="1" t="s">
        <v>46</v>
      </c>
    </row>
    <row r="4067" spans="2:15" x14ac:dyDescent="0.3">
      <c r="B4067" s="1" t="s">
        <v>23</v>
      </c>
      <c r="C4067" s="1" t="str">
        <f>"6차"</f>
        <v>6차</v>
      </c>
      <c r="D4067" s="1" t="str">
        <f>"0324X8316S"</f>
        <v>0324X8316S</v>
      </c>
      <c r="E4067" s="1" t="s">
        <v>10</v>
      </c>
      <c r="F4067" s="1" t="str">
        <f>"fde3:102:1440:2200:0:0:0:1a"</f>
        <v>fde3:102:1440:2200:0:0:0:1a</v>
      </c>
      <c r="G4067" s="1" t="str">
        <f>"0324X831"</f>
        <v>0324X831</v>
      </c>
      <c r="H4067" s="1" t="str">
        <f>"자양간 15R34"</f>
        <v>자양간 15R34</v>
      </c>
      <c r="I4067" s="1" t="s">
        <v>15</v>
      </c>
      <c r="J4067" s="1" t="str">
        <f>"66/66"</f>
        <v>66/66</v>
      </c>
      <c r="K4067" s="1" t="str">
        <f>"2026-07-29 14:20:12"</f>
        <v>2026-07-29 14:20:12</v>
      </c>
      <c r="L4067" s="1" t="str">
        <f>"2024-10-10 14:57:36"</f>
        <v>2024-10-10 14:57:36</v>
      </c>
      <c r="M4067" s="1" t="s">
        <v>45</v>
      </c>
      <c r="N4067" s="1" t="s">
        <v>38</v>
      </c>
      <c r="O4067" s="1" t="s">
        <v>46</v>
      </c>
    </row>
    <row r="4068" spans="2:15" x14ac:dyDescent="0.3">
      <c r="B4068" s="1" t="s">
        <v>23</v>
      </c>
      <c r="C4068" s="1" t="str">
        <f t="shared" ref="C4068:C4077" si="231">"5-2차"</f>
        <v>5-2차</v>
      </c>
      <c r="D4068" s="1" t="str">
        <f>"0324X8425M"</f>
        <v>0324X8425M</v>
      </c>
      <c r="E4068" s="1" t="s">
        <v>10</v>
      </c>
      <c r="F4068" s="1" t="str">
        <f>"fde1:103:4:6eaa:0:0:0:2"</f>
        <v>fde1:103:4:6eaa:0:0:0:2</v>
      </c>
      <c r="G4068" s="1" t="str">
        <f>"0324X842"</f>
        <v>0324X842</v>
      </c>
      <c r="H4068" s="1" t="str">
        <f>"자양간 15R19L12R2"</f>
        <v>자양간 15R19L12R2</v>
      </c>
      <c r="I4068" s="1" t="s">
        <v>15</v>
      </c>
      <c r="J4068" s="1" t="str">
        <f>"34/34"</f>
        <v>34/34</v>
      </c>
      <c r="K4068" s="1" t="str">
        <f>"2026-07-29 14:20:17"</f>
        <v>2026-07-29 14:20:17</v>
      </c>
      <c r="L4068" s="1" t="str">
        <f>"2023-11-14 14:12:49"</f>
        <v>2023-11-14 14:12:49</v>
      </c>
      <c r="M4068" s="1" t="s">
        <v>4</v>
      </c>
      <c r="N4068" s="1" t="s">
        <v>38</v>
      </c>
      <c r="O4068" s="1" t="s">
        <v>46</v>
      </c>
    </row>
    <row r="4069" spans="2:15" x14ac:dyDescent="0.3">
      <c r="B4069" s="1" t="s">
        <v>23</v>
      </c>
      <c r="C4069" s="1" t="str">
        <f t="shared" si="231"/>
        <v>5-2차</v>
      </c>
      <c r="D4069" s="1" t="str">
        <f>"0324X8635M"</f>
        <v>0324X8635M</v>
      </c>
      <c r="E4069" s="1" t="s">
        <v>10</v>
      </c>
      <c r="F4069" s="1" t="str">
        <f>"fde3:102:1440:2300:0:0:0:11"</f>
        <v>fde3:102:1440:2300:0:0:0:11</v>
      </c>
      <c r="G4069" s="1" t="str">
        <f>"0324X863"</f>
        <v>0324X863</v>
      </c>
      <c r="H4069" s="1" t="str">
        <f>"자양간 36R22L2"</f>
        <v>자양간 36R22L2</v>
      </c>
      <c r="I4069" s="1" t="s">
        <v>15</v>
      </c>
      <c r="J4069" s="1" t="str">
        <f>"66/69"</f>
        <v>66/69</v>
      </c>
      <c r="K4069" s="1" t="str">
        <f>"2026-07-29 14:20:12"</f>
        <v>2026-07-29 14:20:12</v>
      </c>
      <c r="L4069" s="1" t="str">
        <f>"2023-09-12 18:16:45"</f>
        <v>2023-09-12 18:16:45</v>
      </c>
      <c r="M4069" s="1" t="s">
        <v>45</v>
      </c>
      <c r="N4069" s="1" t="s">
        <v>38</v>
      </c>
      <c r="O4069" s="1" t="s">
        <v>46</v>
      </c>
    </row>
    <row r="4070" spans="2:15" x14ac:dyDescent="0.3">
      <c r="B4070" s="1" t="s">
        <v>23</v>
      </c>
      <c r="C4070" s="1" t="str">
        <f t="shared" si="231"/>
        <v>5-2차</v>
      </c>
      <c r="D4070" s="1" t="str">
        <f>"0324X8915M"</f>
        <v>0324X8915M</v>
      </c>
      <c r="E4070" s="1" t="s">
        <v>10</v>
      </c>
      <c r="F4070" s="1" t="str">
        <f>"fde3:102:1440:2300:0:0:0:f"</f>
        <v>fde3:102:1440:2300:0:0:0:f</v>
      </c>
      <c r="G4070" s="1" t="str">
        <f>"0324X891"</f>
        <v>0324X891</v>
      </c>
      <c r="H4070" s="1" t="str">
        <f>"자양간 36R21R7"</f>
        <v>자양간 36R21R7</v>
      </c>
      <c r="I4070" s="1" t="s">
        <v>15</v>
      </c>
      <c r="J4070" s="1" t="str">
        <f>"37/37"</f>
        <v>37/37</v>
      </c>
      <c r="K4070" s="1" t="str">
        <f>"2026-07-29 14:20:12"</f>
        <v>2026-07-29 14:20:12</v>
      </c>
      <c r="L4070" s="1" t="str">
        <f>"2023-06-19 17:56:30"</f>
        <v>2023-06-19 17:56:30</v>
      </c>
      <c r="M4070" s="1" t="s">
        <v>45</v>
      </c>
      <c r="N4070" s="1" t="s">
        <v>38</v>
      </c>
      <c r="O4070" s="1" t="s">
        <v>46</v>
      </c>
    </row>
    <row r="4071" spans="2:15" x14ac:dyDescent="0.3">
      <c r="B4071" s="1" t="s">
        <v>23</v>
      </c>
      <c r="C4071" s="1" t="str">
        <f t="shared" si="231"/>
        <v>5-2차</v>
      </c>
      <c r="D4071" s="1" t="str">
        <f>"0324X8925M"</f>
        <v>0324X8925M</v>
      </c>
      <c r="E4071" s="1" t="s">
        <v>10</v>
      </c>
      <c r="F4071" s="1" t="str">
        <f>"fde1:103:4:6eb0:0:0:0:2"</f>
        <v>fde1:103:4:6eb0:0:0:0:2</v>
      </c>
      <c r="G4071" s="1" t="str">
        <f>"0324X892"</f>
        <v>0324X892</v>
      </c>
      <c r="H4071" s="1" t="str">
        <f>"자양간 36R21R8"</f>
        <v>자양간 36R21R8</v>
      </c>
      <c r="I4071" s="1" t="s">
        <v>15</v>
      </c>
      <c r="J4071" s="1" t="str">
        <f>"45/45"</f>
        <v>45/45</v>
      </c>
      <c r="K4071" s="1" t="str">
        <f>"2026-07-29 14:20:16"</f>
        <v>2026-07-29 14:20:16</v>
      </c>
      <c r="L4071" s="1" t="str">
        <f>"2023-11-14 14:59:19"</f>
        <v>2023-11-14 14:59:19</v>
      </c>
      <c r="M4071" s="1" t="s">
        <v>4</v>
      </c>
      <c r="N4071" s="1" t="s">
        <v>38</v>
      </c>
      <c r="O4071" s="1" t="s">
        <v>46</v>
      </c>
    </row>
    <row r="4072" spans="2:15" x14ac:dyDescent="0.3">
      <c r="B4072" s="1" t="s">
        <v>23</v>
      </c>
      <c r="C4072" s="1" t="str">
        <f t="shared" si="231"/>
        <v>5-2차</v>
      </c>
      <c r="D4072" s="1" t="str">
        <f>"0324X9315M"</f>
        <v>0324X9315M</v>
      </c>
      <c r="E4072" s="1" t="s">
        <v>10</v>
      </c>
      <c r="F4072" s="1" t="str">
        <f>"fde1:103:4:6ea8:0:0:0:2"</f>
        <v>fde1:103:4:6ea8:0:0:0:2</v>
      </c>
      <c r="G4072" s="1" t="str">
        <f>"0324X931"</f>
        <v>0324X931</v>
      </c>
      <c r="H4072" s="1" t="str">
        <f>"자양간 15R35"</f>
        <v>자양간 15R35</v>
      </c>
      <c r="I4072" s="1" t="s">
        <v>15</v>
      </c>
      <c r="J4072" s="1" t="str">
        <f>"57/57"</f>
        <v>57/57</v>
      </c>
      <c r="K4072" s="1" t="str">
        <f>"2026-07-29 14:20:13"</f>
        <v>2026-07-29 14:20:13</v>
      </c>
      <c r="L4072" s="1" t="str">
        <f>"2023-11-14 14:59:20"</f>
        <v>2023-11-14 14:59:20</v>
      </c>
      <c r="M4072" s="1" t="s">
        <v>4</v>
      </c>
      <c r="N4072" s="1" t="s">
        <v>38</v>
      </c>
      <c r="O4072" s="1" t="s">
        <v>46</v>
      </c>
    </row>
    <row r="4073" spans="2:15" x14ac:dyDescent="0.3">
      <c r="B4073" s="1" t="s">
        <v>23</v>
      </c>
      <c r="C4073" s="1" t="str">
        <f t="shared" si="231"/>
        <v>5-2차</v>
      </c>
      <c r="D4073" s="1" t="str">
        <f>"0324X9325M"</f>
        <v>0324X9325M</v>
      </c>
      <c r="E4073" s="1" t="s">
        <v>10</v>
      </c>
      <c r="F4073" s="1" t="str">
        <f>"fde1:103:4:6eaf:0:0:0:2"</f>
        <v>fde1:103:4:6eaf:0:0:0:2</v>
      </c>
      <c r="G4073" s="1" t="str">
        <f>"0324X932"</f>
        <v>0324X932</v>
      </c>
      <c r="H4073" s="1" t="str">
        <f>"자양간 15R36"</f>
        <v>자양간 15R36</v>
      </c>
      <c r="I4073" s="1" t="s">
        <v>15</v>
      </c>
      <c r="J4073" s="1" t="str">
        <f>"37/37"</f>
        <v>37/37</v>
      </c>
      <c r="K4073" s="1" t="str">
        <f>"2026-07-29 14:20:13"</f>
        <v>2026-07-29 14:20:13</v>
      </c>
      <c r="L4073" s="1" t="str">
        <f>"2023-11-14 14:59:41"</f>
        <v>2023-11-14 14:59:41</v>
      </c>
      <c r="M4073" s="1" t="s">
        <v>4</v>
      </c>
      <c r="N4073" s="1" t="s">
        <v>38</v>
      </c>
      <c r="O4073" s="1" t="s">
        <v>46</v>
      </c>
    </row>
    <row r="4074" spans="2:15" x14ac:dyDescent="0.3">
      <c r="B4074" s="1" t="s">
        <v>23</v>
      </c>
      <c r="C4074" s="1" t="str">
        <f t="shared" si="231"/>
        <v>5-2차</v>
      </c>
      <c r="D4074" s="1" t="str">
        <f>"0324X9415M"</f>
        <v>0324X9415M</v>
      </c>
      <c r="E4074" s="1" t="s">
        <v>10</v>
      </c>
      <c r="F4074" s="1" t="str">
        <f>"fde3:102:1440:2100:0:0:0:12"</f>
        <v>fde3:102:1440:2100:0:0:0:12</v>
      </c>
      <c r="G4074" s="1" t="str">
        <f>"0324X941"</f>
        <v>0324X941</v>
      </c>
      <c r="H4074" s="1" t="str">
        <f>"자양간 15R19L12R1"</f>
        <v>자양간 15R19L12R1</v>
      </c>
      <c r="I4074" s="1" t="s">
        <v>15</v>
      </c>
      <c r="J4074" s="1" t="str">
        <f>"37/37"</f>
        <v>37/37</v>
      </c>
      <c r="K4074" s="1" t="str">
        <f>"2026-07-29 14:20:13"</f>
        <v>2026-07-29 14:20:13</v>
      </c>
      <c r="L4074" s="1" t="str">
        <f>"2023-10-16 13:20:22"</f>
        <v>2023-10-16 13:20:22</v>
      </c>
      <c r="M4074" s="1" t="s">
        <v>45</v>
      </c>
      <c r="N4074" s="1" t="s">
        <v>38</v>
      </c>
      <c r="O4074" s="1" t="s">
        <v>46</v>
      </c>
    </row>
    <row r="4075" spans="2:15" x14ac:dyDescent="0.3">
      <c r="B4075" s="1" t="s">
        <v>23</v>
      </c>
      <c r="C4075" s="1" t="str">
        <f t="shared" si="231"/>
        <v>5-2차</v>
      </c>
      <c r="D4075" s="1" t="str">
        <f>"0324X9715M"</f>
        <v>0324X9715M</v>
      </c>
      <c r="E4075" s="1" t="s">
        <v>10</v>
      </c>
      <c r="F4075" s="1" t="str">
        <f>"fde3:102:1440:2300:0:0:0:10"</f>
        <v>fde3:102:1440:2300:0:0:0:10</v>
      </c>
      <c r="G4075" s="1" t="str">
        <f>"0324X971"</f>
        <v>0324X971</v>
      </c>
      <c r="H4075" s="1" t="str">
        <f>"자양간 36R18"</f>
        <v>자양간 36R18</v>
      </c>
      <c r="I4075" s="1" t="s">
        <v>15</v>
      </c>
      <c r="J4075" s="1" t="str">
        <f>"129/130"</f>
        <v>129/130</v>
      </c>
      <c r="K4075" s="1" t="str">
        <f>"2026-07-29 14:20:14"</f>
        <v>2026-07-29 14:20:14</v>
      </c>
      <c r="L4075" s="1" t="str">
        <f>"2023-06-19 17:57:06"</f>
        <v>2023-06-19 17:57:06</v>
      </c>
      <c r="M4075" s="1" t="s">
        <v>45</v>
      </c>
      <c r="N4075" s="1" t="s">
        <v>38</v>
      </c>
      <c r="O4075" s="1" t="s">
        <v>46</v>
      </c>
    </row>
    <row r="4076" spans="2:15" x14ac:dyDescent="0.3">
      <c r="B4076" s="1" t="s">
        <v>23</v>
      </c>
      <c r="C4076" s="1" t="str">
        <f t="shared" si="231"/>
        <v>5-2차</v>
      </c>
      <c r="D4076" s="1" t="str">
        <f>"0324X9915M"</f>
        <v>0324X9915M</v>
      </c>
      <c r="E4076" s="1" t="s">
        <v>10</v>
      </c>
      <c r="F4076" s="1" t="str">
        <f>"fde3:102:1440:2300:0:0:0:13"</f>
        <v>fde3:102:1440:2300:0:0:0:13</v>
      </c>
      <c r="G4076" s="1" t="str">
        <f>"0324X991"</f>
        <v>0324X991</v>
      </c>
      <c r="H4076" s="1" t="str">
        <f>"자양간 36R16R1"</f>
        <v>자양간 36R16R1</v>
      </c>
      <c r="I4076" s="1" t="s">
        <v>15</v>
      </c>
      <c r="J4076" s="1" t="str">
        <f>"54/54"</f>
        <v>54/54</v>
      </c>
      <c r="K4076" s="1" t="str">
        <f>"2026-07-29 14:20:14"</f>
        <v>2026-07-29 14:20:14</v>
      </c>
      <c r="L4076" s="1" t="str">
        <f>"2023-06-19 17:57:52"</f>
        <v>2023-06-19 17:57:52</v>
      </c>
      <c r="M4076" s="1" t="s">
        <v>45</v>
      </c>
      <c r="N4076" s="1" t="s">
        <v>38</v>
      </c>
      <c r="O4076" s="1" t="s">
        <v>46</v>
      </c>
    </row>
    <row r="4077" spans="2:15" x14ac:dyDescent="0.3">
      <c r="B4077" s="1" t="s">
        <v>23</v>
      </c>
      <c r="C4077" s="1" t="str">
        <f t="shared" si="231"/>
        <v>5-2차</v>
      </c>
      <c r="D4077" s="1" t="str">
        <f>"0324Z3925M"</f>
        <v>0324Z3925M</v>
      </c>
      <c r="E4077" s="1" t="s">
        <v>10</v>
      </c>
      <c r="F4077" s="1" t="str">
        <f>"fde3:102:1440:2200:0:0:0:f"</f>
        <v>fde3:102:1440:2200:0:0:0:f</v>
      </c>
      <c r="G4077" s="1" t="str">
        <f>"0324Z392"</f>
        <v>0324Z392</v>
      </c>
      <c r="H4077" s="1" t="str">
        <f>"자양간 50R28L2"</f>
        <v>자양간 50R28L2</v>
      </c>
      <c r="I4077" s="1" t="s">
        <v>15</v>
      </c>
      <c r="J4077" s="1" t="str">
        <f>"70/109"</f>
        <v>70/109</v>
      </c>
      <c r="K4077" s="1" t="str">
        <f>"2026-07-29 14:20:14"</f>
        <v>2026-07-29 14:20:14</v>
      </c>
      <c r="L4077" s="1" t="str">
        <f>"2023-10-16 14:28:05"</f>
        <v>2023-10-16 14:28:05</v>
      </c>
      <c r="M4077" s="1" t="s">
        <v>45</v>
      </c>
      <c r="N4077" s="1" t="s">
        <v>38</v>
      </c>
      <c r="O4077" s="1" t="s">
        <v>46</v>
      </c>
    </row>
    <row r="4078" spans="2:15" x14ac:dyDescent="0.3">
      <c r="B4078" s="1" t="s">
        <v>23</v>
      </c>
      <c r="C4078" s="1" t="str">
        <f>"5-1차"</f>
        <v>5-1차</v>
      </c>
      <c r="D4078" s="1" t="str">
        <f>"0324Z9625M"</f>
        <v>0324Z9625M</v>
      </c>
      <c r="E4078" s="1" t="s">
        <v>10</v>
      </c>
      <c r="F4078" s="1" t="str">
        <f>"fde3:102:1440:2200:0:0:0:4"</f>
        <v>fde3:102:1440:2200:0:0:0:4</v>
      </c>
      <c r="G4078" s="1" t="str">
        <f>"0324Z962"</f>
        <v>0324Z962</v>
      </c>
      <c r="H4078" s="1" t="str">
        <f>"자양간 50R15L3R2L2"</f>
        <v>자양간 50R15L3R2L2</v>
      </c>
      <c r="I4078" s="1" t="s">
        <v>15</v>
      </c>
      <c r="J4078" s="1" t="str">
        <f>"59/59"</f>
        <v>59/59</v>
      </c>
      <c r="K4078" s="1" t="str">
        <f>"2026-07-29 14:20:39"</f>
        <v>2026-07-29 14:20:39</v>
      </c>
      <c r="L4078" s="1" t="str">
        <f>"2022-10-24 11:48:55"</f>
        <v>2022-10-24 11:48:55</v>
      </c>
      <c r="M4078" s="1" t="s">
        <v>45</v>
      </c>
      <c r="N4078" s="1" t="s">
        <v>38</v>
      </c>
      <c r="O4078" s="1" t="s">
        <v>46</v>
      </c>
    </row>
    <row r="4079" spans="2:15" x14ac:dyDescent="0.3">
      <c r="B4079" s="1" t="s">
        <v>23</v>
      </c>
      <c r="C4079" s="1" t="str">
        <f>"6차"</f>
        <v>6차</v>
      </c>
      <c r="D4079" s="1" t="str">
        <f>"0324Z9836S"</f>
        <v>0324Z9836S</v>
      </c>
      <c r="E4079" s="1" t="s">
        <v>10</v>
      </c>
      <c r="F4079" s="1" t="str">
        <f>"fde1:103:4:91d8:0:0:0:2"</f>
        <v>fde1:103:4:91d8:0:0:0:2</v>
      </c>
      <c r="G4079" s="1" t="str">
        <f>"0324Z983"</f>
        <v>0324Z983</v>
      </c>
      <c r="H4079" s="1" t="str">
        <f>"자양간 50R15L3R3R1"</f>
        <v>자양간 50R15L3R3R1</v>
      </c>
      <c r="I4079" s="1" t="s">
        <v>15</v>
      </c>
      <c r="J4079" s="1" t="str">
        <f>"125/127"</f>
        <v>125/127</v>
      </c>
      <c r="K4079" s="1" t="str">
        <f>"2026-07-29 14:20:14"</f>
        <v>2026-07-29 14:20:14</v>
      </c>
      <c r="L4079" s="1" t="str">
        <f>"2024-10-02 09:41:07"</f>
        <v>2024-10-02 09:41:07</v>
      </c>
      <c r="M4079" s="1" t="s">
        <v>4</v>
      </c>
      <c r="N4079" s="1" t="s">
        <v>38</v>
      </c>
      <c r="O4079" s="1" t="s">
        <v>46</v>
      </c>
    </row>
    <row r="4080" spans="2:15" x14ac:dyDescent="0.3">
      <c r="B4080" s="1" t="s">
        <v>23</v>
      </c>
      <c r="C4080" s="1" t="str">
        <f>"4차"</f>
        <v>4차</v>
      </c>
      <c r="D4080" s="1" t="str">
        <f>"0325D80144"</f>
        <v>0325D80144</v>
      </c>
      <c r="E4080" s="1" t="s">
        <v>10</v>
      </c>
      <c r="F4080" s="1" t="str">
        <f>"10.11.67.154"</f>
        <v>10.11.67.154</v>
      </c>
      <c r="G4080" s="1" t="str">
        <f>"0325D801"</f>
        <v>0325D801</v>
      </c>
      <c r="H4080" s="1" t="str">
        <f>"송정지 15L3"</f>
        <v>송정지 15L3</v>
      </c>
      <c r="I4080" s="1" t="s">
        <v>8</v>
      </c>
      <c r="J4080" s="1" t="str">
        <f>"54/59"</f>
        <v>54/59</v>
      </c>
      <c r="K4080" s="1" t="str">
        <f>"2026-07-29 13:18:02"</f>
        <v>2026-07-29 13:18:02</v>
      </c>
      <c r="L4080" s="1" t="str">
        <f>"2019-10-29 10:43:05"</f>
        <v>2019-10-29 10:43:05</v>
      </c>
      <c r="M4080" s="1" t="s">
        <v>2</v>
      </c>
      <c r="N4080" s="1" t="s">
        <v>38</v>
      </c>
      <c r="O4080" s="1" t="s">
        <v>46</v>
      </c>
    </row>
    <row r="4081" spans="2:15" x14ac:dyDescent="0.3">
      <c r="B4081" s="1" t="s">
        <v>23</v>
      </c>
      <c r="C4081" s="1" t="str">
        <f>"4차"</f>
        <v>4차</v>
      </c>
      <c r="D4081" s="1" t="str">
        <f>"0325D81144"</f>
        <v>0325D81144</v>
      </c>
      <c r="E4081" s="1" t="s">
        <v>10</v>
      </c>
      <c r="F4081" s="1" t="str">
        <f>"10.11.67.178"</f>
        <v>10.11.67.178</v>
      </c>
      <c r="G4081" s="1" t="str">
        <f>"0325D811"</f>
        <v>0325D811</v>
      </c>
      <c r="H4081" s="1" t="str">
        <f>"송정지 18L3"</f>
        <v>송정지 18L3</v>
      </c>
      <c r="I4081" s="1" t="s">
        <v>8</v>
      </c>
      <c r="J4081" s="1" t="str">
        <f>"29/29"</f>
        <v>29/29</v>
      </c>
      <c r="K4081" s="1" t="str">
        <f>"2026-07-29 13:18:03"</f>
        <v>2026-07-29 13:18:03</v>
      </c>
      <c r="L4081" s="1" t="str">
        <f>"2019-10-29 10:53:05"</f>
        <v>2019-10-29 10:53:05</v>
      </c>
      <c r="M4081" s="1" t="s">
        <v>2</v>
      </c>
      <c r="N4081" s="1" t="s">
        <v>38</v>
      </c>
      <c r="O4081" s="1" t="s">
        <v>46</v>
      </c>
    </row>
    <row r="4082" spans="2:15" x14ac:dyDescent="0.3">
      <c r="B4082" s="1" t="s">
        <v>23</v>
      </c>
      <c r="C4082" s="1" t="str">
        <f>"4차"</f>
        <v>4차</v>
      </c>
      <c r="D4082" s="1" t="str">
        <f>"0325D90344"</f>
        <v>0325D90344</v>
      </c>
      <c r="E4082" s="1" t="s">
        <v>10</v>
      </c>
      <c r="F4082" s="1" t="str">
        <f>"10.11.67.170"</f>
        <v>10.11.67.170</v>
      </c>
      <c r="G4082" s="1" t="str">
        <f>"0325D903"</f>
        <v>0325D903</v>
      </c>
      <c r="H4082" s="1" t="str">
        <f>"송정지 18"</f>
        <v>송정지 18</v>
      </c>
      <c r="I4082" s="1" t="s">
        <v>8</v>
      </c>
      <c r="J4082" s="1" t="str">
        <f>"40/40"</f>
        <v>40/40</v>
      </c>
      <c r="K4082" s="1" t="str">
        <f>"2026-07-29 13:18:03"</f>
        <v>2026-07-29 13:18:03</v>
      </c>
      <c r="L4082" s="1" t="str">
        <f>"2019-10-29 10:53:05"</f>
        <v>2019-10-29 10:53:05</v>
      </c>
      <c r="M4082" s="1" t="s">
        <v>2</v>
      </c>
      <c r="N4082" s="1" t="s">
        <v>38</v>
      </c>
      <c r="O4082" s="1" t="s">
        <v>46</v>
      </c>
    </row>
    <row r="4083" spans="2:15" x14ac:dyDescent="0.3">
      <c r="B4083" s="1" t="s">
        <v>23</v>
      </c>
      <c r="C4083" s="1" t="str">
        <f>"3차"</f>
        <v>3차</v>
      </c>
      <c r="D4083" s="1" t="str">
        <f>"0325D91339"</f>
        <v>0325D91339</v>
      </c>
      <c r="E4083" s="1" t="s">
        <v>10</v>
      </c>
      <c r="F4083" s="1" t="str">
        <f>"10.11.81.10"</f>
        <v>10.11.81.10</v>
      </c>
      <c r="G4083" s="1" t="str">
        <f>"0325D913"</f>
        <v>0325D913</v>
      </c>
      <c r="H4083" s="1" t="str">
        <f>"송정지 18L1"</f>
        <v>송정지 18L1</v>
      </c>
      <c r="I4083" s="1" t="s">
        <v>8</v>
      </c>
      <c r="J4083" s="1" t="str">
        <f>"34/34"</f>
        <v>34/34</v>
      </c>
      <c r="K4083" s="1" t="str">
        <f t="shared" ref="K4083:K4088" si="232">"2026-07-29 13:18:02"</f>
        <v>2026-07-29 13:18:02</v>
      </c>
      <c r="L4083" s="1" t="str">
        <f>"2018-04-17 18:22:31"</f>
        <v>2018-04-17 18:22:31</v>
      </c>
      <c r="M4083" s="1" t="s">
        <v>2</v>
      </c>
      <c r="N4083" s="1" t="s">
        <v>38</v>
      </c>
      <c r="O4083" s="1" t="s">
        <v>46</v>
      </c>
    </row>
    <row r="4084" spans="2:15" x14ac:dyDescent="0.3">
      <c r="B4084" s="1" t="s">
        <v>23</v>
      </c>
      <c r="C4084" s="1" t="str">
        <f t="shared" ref="C4084:C4089" si="233">"4차"</f>
        <v>4차</v>
      </c>
      <c r="D4084" s="1" t="str">
        <f>"0325E41244"</f>
        <v>0325E41244</v>
      </c>
      <c r="E4084" s="1" t="s">
        <v>10</v>
      </c>
      <c r="F4084" s="1" t="str">
        <f>"10.11.75.66"</f>
        <v>10.11.75.66</v>
      </c>
      <c r="G4084" s="1" t="str">
        <f>"0325E412"</f>
        <v>0325E412</v>
      </c>
      <c r="H4084" s="1" t="str">
        <f>"화군간 42R4"</f>
        <v>화군간 42R4</v>
      </c>
      <c r="I4084" s="1" t="s">
        <v>8</v>
      </c>
      <c r="J4084" s="1" t="str">
        <f>"50/53"</f>
        <v>50/53</v>
      </c>
      <c r="K4084" s="1" t="str">
        <f t="shared" si="232"/>
        <v>2026-07-29 13:18:02</v>
      </c>
      <c r="L4084" s="1" t="str">
        <f>"2019-11-14 23:07:43"</f>
        <v>2019-11-14 23:07:43</v>
      </c>
      <c r="M4084" s="1" t="s">
        <v>2</v>
      </c>
      <c r="N4084" s="1" t="s">
        <v>38</v>
      </c>
      <c r="O4084" s="1" t="s">
        <v>46</v>
      </c>
    </row>
    <row r="4085" spans="2:15" x14ac:dyDescent="0.3">
      <c r="B4085" s="1" t="s">
        <v>23</v>
      </c>
      <c r="C4085" s="1" t="str">
        <f t="shared" si="233"/>
        <v>4차</v>
      </c>
      <c r="D4085" s="1" t="str">
        <f>"0325E50144"</f>
        <v>0325E50144</v>
      </c>
      <c r="E4085" s="1" t="s">
        <v>10</v>
      </c>
      <c r="F4085" s="1" t="str">
        <f>"10.11.75.42"</f>
        <v>10.11.75.42</v>
      </c>
      <c r="G4085" s="1" t="str">
        <f>"0325E501"</f>
        <v>0325E501</v>
      </c>
      <c r="H4085" s="1" t="str">
        <f>"화군간 42R2"</f>
        <v>화군간 42R2</v>
      </c>
      <c r="I4085" s="1" t="s">
        <v>8</v>
      </c>
      <c r="J4085" s="1" t="str">
        <f>"72/72"</f>
        <v>72/72</v>
      </c>
      <c r="K4085" s="1" t="str">
        <f t="shared" si="232"/>
        <v>2026-07-29 13:18:02</v>
      </c>
      <c r="L4085" s="1" t="str">
        <f>"2019-11-14 23:03:45"</f>
        <v>2019-11-14 23:03:45</v>
      </c>
      <c r="M4085" s="1" t="s">
        <v>2</v>
      </c>
      <c r="N4085" s="1" t="s">
        <v>38</v>
      </c>
      <c r="O4085" s="1" t="s">
        <v>46</v>
      </c>
    </row>
    <row r="4086" spans="2:15" x14ac:dyDescent="0.3">
      <c r="B4086" s="1" t="s">
        <v>23</v>
      </c>
      <c r="C4086" s="1" t="str">
        <f t="shared" si="233"/>
        <v>4차</v>
      </c>
      <c r="D4086" s="1" t="str">
        <f>"0325E50244"</f>
        <v>0325E50244</v>
      </c>
      <c r="E4086" s="1" t="s">
        <v>10</v>
      </c>
      <c r="F4086" s="1" t="str">
        <f>"10.11.75.58"</f>
        <v>10.11.75.58</v>
      </c>
      <c r="G4086" s="1" t="str">
        <f>"0325E502"</f>
        <v>0325E502</v>
      </c>
      <c r="H4086" s="1" t="str">
        <f>"화군간 42R3"</f>
        <v>화군간 42R3</v>
      </c>
      <c r="I4086" s="1" t="s">
        <v>8</v>
      </c>
      <c r="J4086" s="1" t="str">
        <f>"58/58"</f>
        <v>58/58</v>
      </c>
      <c r="K4086" s="1" t="str">
        <f t="shared" si="232"/>
        <v>2026-07-29 13:18:02</v>
      </c>
      <c r="L4086" s="1" t="str">
        <f>"2019-11-14 23:03:04"</f>
        <v>2019-11-14 23:03:04</v>
      </c>
      <c r="M4086" s="1" t="s">
        <v>2</v>
      </c>
      <c r="N4086" s="1" t="s">
        <v>38</v>
      </c>
      <c r="O4086" s="1" t="s">
        <v>46</v>
      </c>
    </row>
    <row r="4087" spans="2:15" x14ac:dyDescent="0.3">
      <c r="B4087" s="1" t="s">
        <v>23</v>
      </c>
      <c r="C4087" s="1" t="str">
        <f t="shared" si="233"/>
        <v>4차</v>
      </c>
      <c r="D4087" s="1" t="str">
        <f>"0325E51144"</f>
        <v>0325E51144</v>
      </c>
      <c r="E4087" s="1" t="s">
        <v>10</v>
      </c>
      <c r="F4087" s="1" t="str">
        <f>"10.11.75.50"</f>
        <v>10.11.75.50</v>
      </c>
      <c r="G4087" s="1" t="str">
        <f>"0325E511"</f>
        <v>0325E511</v>
      </c>
      <c r="H4087" s="1" t="str">
        <f>"화군간 42R2R1"</f>
        <v>화군간 42R2R1</v>
      </c>
      <c r="I4087" s="1" t="s">
        <v>8</v>
      </c>
      <c r="J4087" s="1" t="str">
        <f>"28/29"</f>
        <v>28/29</v>
      </c>
      <c r="K4087" s="1" t="str">
        <f t="shared" si="232"/>
        <v>2026-07-29 13:18:02</v>
      </c>
      <c r="L4087" s="1" t="str">
        <f>"2019-11-14 22:58:30"</f>
        <v>2019-11-14 22:58:30</v>
      </c>
      <c r="M4087" s="1" t="s">
        <v>2</v>
      </c>
      <c r="N4087" s="1" t="s">
        <v>38</v>
      </c>
      <c r="O4087" s="1" t="s">
        <v>46</v>
      </c>
    </row>
    <row r="4088" spans="2:15" x14ac:dyDescent="0.3">
      <c r="B4088" s="1" t="s">
        <v>23</v>
      </c>
      <c r="C4088" s="1" t="str">
        <f t="shared" si="233"/>
        <v>4차</v>
      </c>
      <c r="D4088" s="1" t="str">
        <f>"0325E52144"</f>
        <v>0325E52144</v>
      </c>
      <c r="E4088" s="1" t="s">
        <v>10</v>
      </c>
      <c r="F4088" s="1" t="str">
        <f>"10.11.75.18"</f>
        <v>10.11.75.18</v>
      </c>
      <c r="G4088" s="1" t="str">
        <f>"0325E521"</f>
        <v>0325E521</v>
      </c>
      <c r="H4088" s="1" t="str">
        <f>"화군간 39R3"</f>
        <v>화군간 39R3</v>
      </c>
      <c r="I4088" s="1" t="s">
        <v>8</v>
      </c>
      <c r="J4088" s="1" t="str">
        <f>"96/97"</f>
        <v>96/97</v>
      </c>
      <c r="K4088" s="1" t="str">
        <f t="shared" si="232"/>
        <v>2026-07-29 13:18:02</v>
      </c>
      <c r="L4088" s="1" t="str">
        <f>"2021-07-28 16:37:08"</f>
        <v>2021-07-28 16:37:08</v>
      </c>
      <c r="M4088" s="1" t="s">
        <v>2</v>
      </c>
      <c r="N4088" s="1" t="s">
        <v>38</v>
      </c>
      <c r="O4088" s="1" t="s">
        <v>46</v>
      </c>
    </row>
    <row r="4089" spans="2:15" x14ac:dyDescent="0.3">
      <c r="B4089" s="1" t="s">
        <v>23</v>
      </c>
      <c r="C4089" s="1" t="str">
        <f t="shared" si="233"/>
        <v>4차</v>
      </c>
      <c r="D4089" s="1" t="str">
        <f>"0325E62244"</f>
        <v>0325E62244</v>
      </c>
      <c r="E4089" s="1" t="s">
        <v>10</v>
      </c>
      <c r="F4089" s="1" t="str">
        <f>"10.14.6.126"</f>
        <v>10.14.6.126</v>
      </c>
      <c r="G4089" s="1" t="str">
        <f>"0325E622"</f>
        <v>0325E622</v>
      </c>
      <c r="H4089" s="1" t="str">
        <f>"화군간 39"</f>
        <v>화군간 39</v>
      </c>
      <c r="I4089" s="1" t="s">
        <v>8</v>
      </c>
      <c r="J4089" s="1" t="str">
        <f>"13/13"</f>
        <v>13/13</v>
      </c>
      <c r="K4089" s="1" t="str">
        <f>"2026-07-29 13:18:04"</f>
        <v>2026-07-29 13:18:04</v>
      </c>
      <c r="L4089" s="1" t="str">
        <f>"2022-04-19 13:05:25"</f>
        <v>2022-04-19 13:05:25</v>
      </c>
      <c r="M4089" s="1" t="s">
        <v>3</v>
      </c>
      <c r="N4089" s="1" t="s">
        <v>38</v>
      </c>
      <c r="O4089" s="1" t="s">
        <v>46</v>
      </c>
    </row>
    <row r="4090" spans="2:15" x14ac:dyDescent="0.3">
      <c r="B4090" s="1" t="s">
        <v>23</v>
      </c>
      <c r="C4090" s="1" t="str">
        <f>"3차"</f>
        <v>3차</v>
      </c>
      <c r="D4090" s="1" t="str">
        <f>"0325E63139"</f>
        <v>0325E63139</v>
      </c>
      <c r="E4090" s="1" t="s">
        <v>10</v>
      </c>
      <c r="F4090" s="1" t="str">
        <f>"10.11.81.26"</f>
        <v>10.11.81.26</v>
      </c>
      <c r="G4090" s="1" t="str">
        <f>"0325E631"</f>
        <v>0325E631</v>
      </c>
      <c r="H4090" s="1" t="str">
        <f>"화군간 39R4"</f>
        <v>화군간 39R4</v>
      </c>
      <c r="I4090" s="1" t="s">
        <v>8</v>
      </c>
      <c r="J4090" s="1" t="str">
        <f>"38/38"</f>
        <v>38/38</v>
      </c>
      <c r="K4090" s="1" t="str">
        <f t="shared" ref="K4090:K4096" si="234">"2026-07-29 13:18:02"</f>
        <v>2026-07-29 13:18:02</v>
      </c>
      <c r="L4090" s="1" t="str">
        <f>"2018-04-18 07:55:08"</f>
        <v>2018-04-18 07:55:08</v>
      </c>
      <c r="M4090" s="1" t="s">
        <v>2</v>
      </c>
      <c r="N4090" s="1" t="s">
        <v>38</v>
      </c>
      <c r="O4090" s="1" t="s">
        <v>46</v>
      </c>
    </row>
    <row r="4091" spans="2:15" x14ac:dyDescent="0.3">
      <c r="B4091" s="1" t="s">
        <v>23</v>
      </c>
      <c r="C4091" s="1" t="str">
        <f>"4차"</f>
        <v>4차</v>
      </c>
      <c r="D4091" s="1" t="str">
        <f>"0325E64144"</f>
        <v>0325E64144</v>
      </c>
      <c r="E4091" s="1" t="s">
        <v>10</v>
      </c>
      <c r="F4091" s="1" t="str">
        <f>"10.11.75.26"</f>
        <v>10.11.75.26</v>
      </c>
      <c r="G4091" s="1" t="str">
        <f>"0325E641"</f>
        <v>0325E641</v>
      </c>
      <c r="H4091" s="1" t="str">
        <f>"화군간 39R5"</f>
        <v>화군간 39R5</v>
      </c>
      <c r="I4091" s="1" t="s">
        <v>8</v>
      </c>
      <c r="J4091" s="1" t="str">
        <f>"58/58"</f>
        <v>58/58</v>
      </c>
      <c r="K4091" s="1" t="str">
        <f t="shared" si="234"/>
        <v>2026-07-29 13:18:02</v>
      </c>
      <c r="L4091" s="1" t="str">
        <f>"2019-11-14 22:55:48"</f>
        <v>2019-11-14 22:55:48</v>
      </c>
      <c r="M4091" s="1" t="s">
        <v>2</v>
      </c>
      <c r="N4091" s="1" t="s">
        <v>38</v>
      </c>
      <c r="O4091" s="1" t="s">
        <v>46</v>
      </c>
    </row>
    <row r="4092" spans="2:15" x14ac:dyDescent="0.3">
      <c r="B4092" s="1" t="s">
        <v>23</v>
      </c>
      <c r="C4092" s="1" t="str">
        <f>"3차"</f>
        <v>3차</v>
      </c>
      <c r="D4092" s="1" t="str">
        <f>"0325E70339"</f>
        <v>0325E70339</v>
      </c>
      <c r="E4092" s="1" t="s">
        <v>10</v>
      </c>
      <c r="F4092" s="1" t="str">
        <f>"10.11.62.90"</f>
        <v>10.11.62.90</v>
      </c>
      <c r="G4092" s="1" t="str">
        <f>"0325E703"</f>
        <v>0325E703</v>
      </c>
      <c r="H4092" s="1" t="str">
        <f>"화동간 42L3R8"</f>
        <v>화동간 42L3R8</v>
      </c>
      <c r="I4092" s="1" t="s">
        <v>8</v>
      </c>
      <c r="J4092" s="1" t="str">
        <f>"10/10"</f>
        <v>10/10</v>
      </c>
      <c r="K4092" s="1" t="str">
        <f t="shared" si="234"/>
        <v>2026-07-29 13:18:02</v>
      </c>
      <c r="L4092" s="1" t="str">
        <f>"2018-04-26 11:06:11"</f>
        <v>2018-04-26 11:06:11</v>
      </c>
      <c r="M4092" s="1" t="s">
        <v>2</v>
      </c>
      <c r="N4092" s="1" t="s">
        <v>38</v>
      </c>
      <c r="O4092" s="1" t="s">
        <v>46</v>
      </c>
    </row>
    <row r="4093" spans="2:15" x14ac:dyDescent="0.3">
      <c r="B4093" s="1" t="s">
        <v>23</v>
      </c>
      <c r="C4093" s="1" t="str">
        <f>"3차"</f>
        <v>3차</v>
      </c>
      <c r="D4093" s="1" t="str">
        <f>"0325E71239"</f>
        <v>0325E71239</v>
      </c>
      <c r="E4093" s="1" t="s">
        <v>10</v>
      </c>
      <c r="F4093" s="1" t="str">
        <f>"10.11.61.202"</f>
        <v>10.11.61.202</v>
      </c>
      <c r="G4093" s="1" t="str">
        <f>"0325E712"</f>
        <v>0325E712</v>
      </c>
      <c r="H4093" s="1" t="str">
        <f>"화동간 47"</f>
        <v>화동간 47</v>
      </c>
      <c r="I4093" s="1" t="s">
        <v>8</v>
      </c>
      <c r="J4093" s="1" t="str">
        <f>"22/34"</f>
        <v>22/34</v>
      </c>
      <c r="K4093" s="1" t="str">
        <f t="shared" si="234"/>
        <v>2026-07-29 13:18:02</v>
      </c>
      <c r="L4093" s="1" t="str">
        <f>"2018-05-02 09:07:54"</f>
        <v>2018-05-02 09:07:54</v>
      </c>
      <c r="M4093" s="1" t="s">
        <v>2</v>
      </c>
      <c r="N4093" s="1" t="s">
        <v>38</v>
      </c>
      <c r="O4093" s="1" t="s">
        <v>46</v>
      </c>
    </row>
    <row r="4094" spans="2:15" x14ac:dyDescent="0.3">
      <c r="B4094" s="1" t="s">
        <v>23</v>
      </c>
      <c r="C4094" s="1" t="str">
        <f>"4차"</f>
        <v>4차</v>
      </c>
      <c r="D4094" s="1" t="str">
        <f>"0325E74244"</f>
        <v>0325E74244</v>
      </c>
      <c r="E4094" s="1" t="s">
        <v>10</v>
      </c>
      <c r="F4094" s="1" t="str">
        <f>"10.11.75.34"</f>
        <v>10.11.75.34</v>
      </c>
      <c r="G4094" s="1" t="str">
        <f>"0325E742"</f>
        <v>0325E742</v>
      </c>
      <c r="H4094" s="1" t="str">
        <f>"화군간 39R6"</f>
        <v>화군간 39R6</v>
      </c>
      <c r="I4094" s="1" t="s">
        <v>8</v>
      </c>
      <c r="J4094" s="1" t="str">
        <f>"42/42"</f>
        <v>42/42</v>
      </c>
      <c r="K4094" s="1" t="str">
        <f t="shared" si="234"/>
        <v>2026-07-29 13:18:02</v>
      </c>
      <c r="L4094" s="1" t="str">
        <f>"2019-11-14 22:53:04"</f>
        <v>2019-11-14 22:53:04</v>
      </c>
      <c r="M4094" s="1" t="s">
        <v>2</v>
      </c>
      <c r="N4094" s="1" t="s">
        <v>38</v>
      </c>
      <c r="O4094" s="1" t="s">
        <v>46</v>
      </c>
    </row>
    <row r="4095" spans="2:15" x14ac:dyDescent="0.3">
      <c r="B4095" s="1" t="s">
        <v>23</v>
      </c>
      <c r="C4095" s="1" t="str">
        <f>"3차"</f>
        <v>3차</v>
      </c>
      <c r="D4095" s="1" t="str">
        <f>"0325E80339"</f>
        <v>0325E80339</v>
      </c>
      <c r="E4095" s="1" t="s">
        <v>10</v>
      </c>
      <c r="F4095" s="1" t="str">
        <f>"10.11.55.106"</f>
        <v>10.11.55.106</v>
      </c>
      <c r="G4095" s="1" t="str">
        <f>"0325E803"</f>
        <v>0325E803</v>
      </c>
      <c r="H4095" s="1" t="str">
        <f>"화동간 42L3R7"</f>
        <v>화동간 42L3R7</v>
      </c>
      <c r="I4095" s="1" t="s">
        <v>8</v>
      </c>
      <c r="J4095" s="1" t="str">
        <f>"34/37"</f>
        <v>34/37</v>
      </c>
      <c r="K4095" s="1" t="str">
        <f t="shared" si="234"/>
        <v>2026-07-29 13:18:02</v>
      </c>
      <c r="L4095" s="1" t="str">
        <f>"2018-04-26 11:32:56"</f>
        <v>2018-04-26 11:32:56</v>
      </c>
      <c r="M4095" s="1" t="s">
        <v>2</v>
      </c>
      <c r="N4095" s="1" t="s">
        <v>38</v>
      </c>
      <c r="O4095" s="1" t="s">
        <v>46</v>
      </c>
    </row>
    <row r="4096" spans="2:15" x14ac:dyDescent="0.3">
      <c r="B4096" s="1" t="s">
        <v>23</v>
      </c>
      <c r="C4096" s="1" t="str">
        <f>"3차"</f>
        <v>3차</v>
      </c>
      <c r="D4096" s="1" t="str">
        <f>"0325E81139"</f>
        <v>0325E81139</v>
      </c>
      <c r="E4096" s="1" t="s">
        <v>10</v>
      </c>
      <c r="F4096" s="1" t="str">
        <f>"10.11.55.98"</f>
        <v>10.11.55.98</v>
      </c>
      <c r="G4096" s="1" t="str">
        <f>"0325E811"</f>
        <v>0325E811</v>
      </c>
      <c r="H4096" s="1" t="str">
        <f>"화동간 42L3R5"</f>
        <v>화동간 42L3R5</v>
      </c>
      <c r="I4096" s="1" t="s">
        <v>8</v>
      </c>
      <c r="J4096" s="1" t="str">
        <f>"8/8"</f>
        <v>8/8</v>
      </c>
      <c r="K4096" s="1" t="str">
        <f t="shared" si="234"/>
        <v>2026-07-29 13:18:02</v>
      </c>
      <c r="L4096" s="1" t="str">
        <f>"2018-04-30 16:54:58"</f>
        <v>2018-04-30 16:54:58</v>
      </c>
      <c r="M4096" s="1" t="s">
        <v>2</v>
      </c>
      <c r="N4096" s="1" t="s">
        <v>38</v>
      </c>
      <c r="O4096" s="1" t="s">
        <v>46</v>
      </c>
    </row>
    <row r="4097" spans="2:15" x14ac:dyDescent="0.3">
      <c r="B4097" s="1" t="s">
        <v>23</v>
      </c>
      <c r="C4097" s="1" t="str">
        <f>"6차"</f>
        <v>6차</v>
      </c>
      <c r="D4097" s="1" t="str">
        <f>"0325E8126S"</f>
        <v>0325E8126S</v>
      </c>
      <c r="E4097" s="1" t="s">
        <v>10</v>
      </c>
      <c r="F4097" s="1" t="str">
        <f>"fde3:102:1440:4600:0:0:0:12"</f>
        <v>fde3:102:1440:4600:0:0:0:12</v>
      </c>
      <c r="G4097" s="1" t="str">
        <f>"0325E812"</f>
        <v>0325E812</v>
      </c>
      <c r="H4097" s="1" t="str">
        <f>"화동간 42L3R6"</f>
        <v>화동간 42L3R6</v>
      </c>
      <c r="I4097" s="1" t="s">
        <v>15</v>
      </c>
      <c r="J4097" s="1" t="str">
        <f>"68/68"</f>
        <v>68/68</v>
      </c>
      <c r="K4097" s="1" t="str">
        <f>"2026-07-28 02:20:45"</f>
        <v>2026-07-28 02:20:45</v>
      </c>
      <c r="L4097" s="1" t="str">
        <f>"2024-10-08 17:04:10"</f>
        <v>2024-10-08 17:04:10</v>
      </c>
      <c r="M4097" s="1" t="s">
        <v>45</v>
      </c>
      <c r="N4097" s="1" t="s">
        <v>38</v>
      </c>
      <c r="O4097" s="1" t="s">
        <v>46</v>
      </c>
    </row>
    <row r="4098" spans="2:15" x14ac:dyDescent="0.3">
      <c r="B4098" s="1" t="s">
        <v>23</v>
      </c>
      <c r="C4098" s="1" t="str">
        <f>"4차"</f>
        <v>4차</v>
      </c>
      <c r="D4098" s="1" t="str">
        <f>"0325E81339"</f>
        <v>0325E81339</v>
      </c>
      <c r="E4098" s="1" t="s">
        <v>10</v>
      </c>
      <c r="F4098" s="1" t="str">
        <f>"10.11.62.82"</f>
        <v>10.11.62.82</v>
      </c>
      <c r="G4098" s="1" t="str">
        <f>"0325E813"</f>
        <v>0325E813</v>
      </c>
      <c r="H4098" s="1" t="str">
        <f>"화동간 42L3R6L1"</f>
        <v>화동간 42L3R6L1</v>
      </c>
      <c r="I4098" s="1" t="s">
        <v>8</v>
      </c>
      <c r="J4098" s="1" t="str">
        <f>"83/83"</f>
        <v>83/83</v>
      </c>
      <c r="K4098" s="1" t="str">
        <f>"2026-07-29 13:18:03"</f>
        <v>2026-07-29 13:18:03</v>
      </c>
      <c r="L4098" s="1" t="str">
        <f>"2018-04-26 11:31:42"</f>
        <v>2018-04-26 11:31:42</v>
      </c>
      <c r="M4098" s="1" t="s">
        <v>2</v>
      </c>
      <c r="N4098" s="1" t="s">
        <v>38</v>
      </c>
      <c r="O4098" s="1" t="s">
        <v>46</v>
      </c>
    </row>
    <row r="4099" spans="2:15" x14ac:dyDescent="0.3">
      <c r="B4099" s="1" t="s">
        <v>23</v>
      </c>
      <c r="C4099" s="1" t="str">
        <f>"3차"</f>
        <v>3차</v>
      </c>
      <c r="D4099" s="1" t="str">
        <f>"0325E83139"</f>
        <v>0325E83139</v>
      </c>
      <c r="E4099" s="1" t="s">
        <v>10</v>
      </c>
      <c r="F4099" s="1" t="str">
        <f>"10.12.138.12"</f>
        <v>10.12.138.12</v>
      </c>
      <c r="G4099" s="1" t="str">
        <f>"0325E831"</f>
        <v>0325E831</v>
      </c>
      <c r="H4099" s="1" t="str">
        <f>"화동간 44"</f>
        <v>화동간 44</v>
      </c>
      <c r="I4099" s="1" t="s">
        <v>8</v>
      </c>
      <c r="J4099" s="1" t="str">
        <f>"4/4"</f>
        <v>4/4</v>
      </c>
      <c r="K4099" s="1" t="str">
        <f>"2026-07-29 13:18:04"</f>
        <v>2026-07-29 13:18:04</v>
      </c>
      <c r="L4099" s="1" t="str">
        <f>"2018-04-11 13:18:13"</f>
        <v>2018-04-11 13:18:13</v>
      </c>
      <c r="M4099" s="1" t="s">
        <v>0</v>
      </c>
      <c r="N4099" s="1" t="s">
        <v>38</v>
      </c>
      <c r="O4099" s="1" t="s">
        <v>46</v>
      </c>
    </row>
    <row r="4100" spans="2:15" x14ac:dyDescent="0.3">
      <c r="B4100" s="1" t="s">
        <v>23</v>
      </c>
      <c r="C4100" s="1" t="str">
        <f>"3차"</f>
        <v>3차</v>
      </c>
      <c r="D4100" s="1" t="str">
        <f>"0325E90139"</f>
        <v>0325E90139</v>
      </c>
      <c r="E4100" s="1" t="s">
        <v>10</v>
      </c>
      <c r="F4100" s="1" t="str">
        <f>"10.11.62.42"</f>
        <v>10.11.62.42</v>
      </c>
      <c r="G4100" s="1" t="str">
        <f>"0325E901"</f>
        <v>0325E901</v>
      </c>
      <c r="H4100" s="1" t="str">
        <f>"화동간 42L21R10"</f>
        <v>화동간 42L21R10</v>
      </c>
      <c r="I4100" s="1" t="s">
        <v>8</v>
      </c>
      <c r="J4100" s="1" t="str">
        <f>"19/19"</f>
        <v>19/19</v>
      </c>
      <c r="K4100" s="1" t="str">
        <f>"2026-07-29 13:18:03"</f>
        <v>2026-07-29 13:18:03</v>
      </c>
      <c r="L4100" s="1" t="str">
        <f>"2018-04-26 10:45:11"</f>
        <v>2018-04-26 10:45:11</v>
      </c>
      <c r="M4100" s="1" t="s">
        <v>2</v>
      </c>
      <c r="N4100" s="1" t="s">
        <v>38</v>
      </c>
      <c r="O4100" s="1" t="s">
        <v>46</v>
      </c>
    </row>
    <row r="4101" spans="2:15" x14ac:dyDescent="0.3">
      <c r="B4101" s="1" t="s">
        <v>23</v>
      </c>
      <c r="C4101" s="1" t="str">
        <f>"3차"</f>
        <v>3차</v>
      </c>
      <c r="D4101" s="1" t="str">
        <f>"0325E92139"</f>
        <v>0325E92139</v>
      </c>
      <c r="E4101" s="1" t="s">
        <v>10</v>
      </c>
      <c r="F4101" s="1" t="str">
        <f>"10.11.63.26"</f>
        <v>10.11.63.26</v>
      </c>
      <c r="G4101" s="1" t="str">
        <f>"0325E921"</f>
        <v>0325E921</v>
      </c>
      <c r="H4101" s="1" t="str">
        <f>"화동간 42L3R4"</f>
        <v>화동간 42L3R4</v>
      </c>
      <c r="I4101" s="1" t="s">
        <v>8</v>
      </c>
      <c r="J4101" s="1" t="str">
        <f>"83/85"</f>
        <v>83/85</v>
      </c>
      <c r="K4101" s="1" t="str">
        <f>"2026-07-29 13:18:03"</f>
        <v>2026-07-29 13:18:03</v>
      </c>
      <c r="L4101" s="1" t="str">
        <f>"2018-04-27 08:58:09"</f>
        <v>2018-04-27 08:58:09</v>
      </c>
      <c r="M4101" s="1" t="s">
        <v>2</v>
      </c>
      <c r="N4101" s="1" t="s">
        <v>38</v>
      </c>
      <c r="O4101" s="1" t="s">
        <v>46</v>
      </c>
    </row>
    <row r="4102" spans="2:15" x14ac:dyDescent="0.3">
      <c r="B4102" s="1" t="s">
        <v>23</v>
      </c>
      <c r="C4102" s="1" t="str">
        <f>"4차"</f>
        <v>4차</v>
      </c>
      <c r="D4102" s="1" t="str">
        <f>"0325E93139"</f>
        <v>0325E93139</v>
      </c>
      <c r="E4102" s="1" t="s">
        <v>10</v>
      </c>
      <c r="F4102" s="1" t="str">
        <f>"10.11.62.74"</f>
        <v>10.11.62.74</v>
      </c>
      <c r="G4102" s="1" t="str">
        <f>"0325E931"</f>
        <v>0325E931</v>
      </c>
      <c r="H4102" s="1" t="str">
        <f>"화동간 42L3R2"</f>
        <v>화동간 42L3R2</v>
      </c>
      <c r="I4102" s="1" t="s">
        <v>8</v>
      </c>
      <c r="J4102" s="1" t="str">
        <f>"21/21"</f>
        <v>21/21</v>
      </c>
      <c r="K4102" s="1" t="str">
        <f>"2026-07-29 13:18:02"</f>
        <v>2026-07-29 13:18:02</v>
      </c>
      <c r="L4102" s="1" t="str">
        <f>"2018-04-27 09:09:25"</f>
        <v>2018-04-27 09:09:25</v>
      </c>
      <c r="M4102" s="1" t="s">
        <v>2</v>
      </c>
      <c r="N4102" s="1" t="s">
        <v>38</v>
      </c>
      <c r="O4102" s="1" t="s">
        <v>46</v>
      </c>
    </row>
    <row r="4103" spans="2:15" x14ac:dyDescent="0.3">
      <c r="B4103" s="1" t="s">
        <v>23</v>
      </c>
      <c r="C4103" s="1" t="str">
        <f>"4차"</f>
        <v>4차</v>
      </c>
      <c r="D4103" s="1" t="str">
        <f>"0325E93239"</f>
        <v>0325E93239</v>
      </c>
      <c r="E4103" s="1" t="s">
        <v>10</v>
      </c>
      <c r="F4103" s="1" t="str">
        <f>"10.11.56.26"</f>
        <v>10.11.56.26</v>
      </c>
      <c r="G4103" s="1" t="str">
        <f>"0325E932"</f>
        <v>0325E932</v>
      </c>
      <c r="H4103" s="1" t="str">
        <f>"화동간 42L3R3"</f>
        <v>화동간 42L3R3</v>
      </c>
      <c r="I4103" s="1" t="s">
        <v>8</v>
      </c>
      <c r="J4103" s="1" t="str">
        <f>"14/14"</f>
        <v>14/14</v>
      </c>
      <c r="K4103" s="1" t="str">
        <f t="shared" ref="K4103:K4108" si="235">"2026-07-29 13:18:03"</f>
        <v>2026-07-29 13:18:03</v>
      </c>
      <c r="L4103" s="1" t="str">
        <f>"2018-04-27 09:12:24"</f>
        <v>2018-04-27 09:12:24</v>
      </c>
      <c r="M4103" s="1" t="s">
        <v>2</v>
      </c>
      <c r="N4103" s="1" t="s">
        <v>38</v>
      </c>
      <c r="O4103" s="1" t="s">
        <v>46</v>
      </c>
    </row>
    <row r="4104" spans="2:15" x14ac:dyDescent="0.3">
      <c r="B4104" s="1" t="s">
        <v>23</v>
      </c>
      <c r="C4104" s="1" t="str">
        <f>"3차"</f>
        <v>3차</v>
      </c>
      <c r="D4104" s="1" t="str">
        <f>"0325E93339"</f>
        <v>0325E93339</v>
      </c>
      <c r="E4104" s="1" t="s">
        <v>10</v>
      </c>
      <c r="F4104" s="1" t="str">
        <f>"10.11.61.250"</f>
        <v>10.11.61.250</v>
      </c>
      <c r="G4104" s="1" t="str">
        <f>"0325E933"</f>
        <v>0325E933</v>
      </c>
      <c r="H4104" s="1" t="str">
        <f>"화동간 42L10A2R1"</f>
        <v>화동간 42L10A2R1</v>
      </c>
      <c r="I4104" s="1" t="s">
        <v>8</v>
      </c>
      <c r="J4104" s="1" t="str">
        <f>"18/18"</f>
        <v>18/18</v>
      </c>
      <c r="K4104" s="1" t="str">
        <f t="shared" si="235"/>
        <v>2026-07-29 13:18:03</v>
      </c>
      <c r="L4104" s="1" t="str">
        <f>"2018-04-30 17:18:14"</f>
        <v>2018-04-30 17:18:14</v>
      </c>
      <c r="M4104" s="1" t="s">
        <v>2</v>
      </c>
      <c r="N4104" s="1" t="s">
        <v>38</v>
      </c>
      <c r="O4104" s="1" t="s">
        <v>46</v>
      </c>
    </row>
    <row r="4105" spans="2:15" x14ac:dyDescent="0.3">
      <c r="B4105" s="1" t="s">
        <v>23</v>
      </c>
      <c r="C4105" s="1" t="str">
        <f>"4차"</f>
        <v>4차</v>
      </c>
      <c r="D4105" s="1" t="str">
        <f>"0325E94439"</f>
        <v>0325E94439</v>
      </c>
      <c r="E4105" s="1" t="s">
        <v>10</v>
      </c>
      <c r="F4105" s="1" t="str">
        <f>"10.12.128.238"</f>
        <v>10.12.128.238</v>
      </c>
      <c r="G4105" s="1" t="str">
        <f>"0325E944"</f>
        <v>0325E944</v>
      </c>
      <c r="H4105" s="1" t="str">
        <f>"화동간 42L3H1"</f>
        <v>화동간 42L3H1</v>
      </c>
      <c r="I4105" s="1" t="s">
        <v>8</v>
      </c>
      <c r="J4105" s="1" t="str">
        <f>"7/10"</f>
        <v>7/10</v>
      </c>
      <c r="K4105" s="1" t="str">
        <f t="shared" si="235"/>
        <v>2026-07-29 13:18:03</v>
      </c>
      <c r="L4105" s="1" t="str">
        <f>"2018-04-11 14:07:58"</f>
        <v>2018-04-11 14:07:58</v>
      </c>
      <c r="M4105" s="1" t="s">
        <v>0</v>
      </c>
      <c r="N4105" s="1" t="s">
        <v>38</v>
      </c>
      <c r="O4105" s="1" t="s">
        <v>46</v>
      </c>
    </row>
    <row r="4106" spans="2:15" x14ac:dyDescent="0.3">
      <c r="B4106" s="1" t="s">
        <v>23</v>
      </c>
      <c r="C4106" s="1" t="str">
        <f>"3차"</f>
        <v>3차</v>
      </c>
      <c r="D4106" s="1" t="str">
        <f>"0325F02139"</f>
        <v>0325F02139</v>
      </c>
      <c r="E4106" s="1" t="s">
        <v>10</v>
      </c>
      <c r="F4106" s="1" t="str">
        <f>"10.11.55.10"</f>
        <v>10.11.55.10</v>
      </c>
      <c r="G4106" s="1" t="str">
        <f>"0325F021"</f>
        <v>0325F021</v>
      </c>
      <c r="H4106" s="1" t="str">
        <f>"화동간 42L10A3"</f>
        <v>화동간 42L10A3</v>
      </c>
      <c r="I4106" s="1" t="s">
        <v>8</v>
      </c>
      <c r="J4106" s="1" t="str">
        <f>"120/146"</f>
        <v>120/146</v>
      </c>
      <c r="K4106" s="1" t="str">
        <f t="shared" si="235"/>
        <v>2026-07-29 13:18:03</v>
      </c>
      <c r="L4106" s="1" t="str">
        <f>"2018-04-27 08:54:39"</f>
        <v>2018-04-27 08:54:39</v>
      </c>
      <c r="M4106" s="1" t="s">
        <v>2</v>
      </c>
      <c r="N4106" s="1" t="s">
        <v>38</v>
      </c>
      <c r="O4106" s="1" t="s">
        <v>46</v>
      </c>
    </row>
    <row r="4107" spans="2:15" x14ac:dyDescent="0.3">
      <c r="B4107" s="1" t="s">
        <v>23</v>
      </c>
      <c r="C4107" s="1" t="str">
        <f>"4차"</f>
        <v>4차</v>
      </c>
      <c r="D4107" s="1" t="str">
        <f>"0325F03130"</f>
        <v>0325F03130</v>
      </c>
      <c r="E4107" s="1" t="s">
        <v>10</v>
      </c>
      <c r="F4107" s="1" t="str">
        <f>"10.11.55.2"</f>
        <v>10.11.55.2</v>
      </c>
      <c r="G4107" s="1" t="str">
        <f>"0325F031"</f>
        <v>0325F031</v>
      </c>
      <c r="H4107" s="1" t="str">
        <f>"화동간 42L10A2"</f>
        <v>화동간 42L10A2</v>
      </c>
      <c r="I4107" s="1" t="s">
        <v>8</v>
      </c>
      <c r="J4107" s="1" t="str">
        <f>"20/20"</f>
        <v>20/20</v>
      </c>
      <c r="K4107" s="1" t="str">
        <f t="shared" si="235"/>
        <v>2026-07-29 13:18:03</v>
      </c>
      <c r="L4107" s="1" t="str">
        <f>"2018-05-04 09:18:39"</f>
        <v>2018-05-04 09:18:39</v>
      </c>
      <c r="M4107" s="1" t="s">
        <v>2</v>
      </c>
      <c r="N4107" s="1" t="s">
        <v>38</v>
      </c>
      <c r="O4107" s="1" t="s">
        <v>46</v>
      </c>
    </row>
    <row r="4108" spans="2:15" x14ac:dyDescent="0.3">
      <c r="B4108" s="1" t="s">
        <v>23</v>
      </c>
      <c r="C4108" s="1" t="str">
        <f>"4차"</f>
        <v>4차</v>
      </c>
      <c r="D4108" s="1" t="str">
        <f>"0325F10339"</f>
        <v>0325F10339</v>
      </c>
      <c r="E4108" s="1" t="s">
        <v>10</v>
      </c>
      <c r="F4108" s="1" t="str">
        <f>"10.11.62.26"</f>
        <v>10.11.62.26</v>
      </c>
      <c r="G4108" s="1" t="str">
        <f>"0325F103"</f>
        <v>0325F103</v>
      </c>
      <c r="H4108" s="1" t="str">
        <f>"화동간 42L16R4"</f>
        <v>화동간 42L16R4</v>
      </c>
      <c r="I4108" s="1" t="s">
        <v>8</v>
      </c>
      <c r="J4108" s="1" t="str">
        <f>"35/35"</f>
        <v>35/35</v>
      </c>
      <c r="K4108" s="1" t="str">
        <f t="shared" si="235"/>
        <v>2026-07-29 13:18:03</v>
      </c>
      <c r="L4108" s="1" t="str">
        <f>"2018-04-30 16:52:43"</f>
        <v>2018-04-30 16:52:43</v>
      </c>
      <c r="M4108" s="1" t="s">
        <v>2</v>
      </c>
      <c r="N4108" s="1" t="s">
        <v>38</v>
      </c>
      <c r="O4108" s="1" t="s">
        <v>46</v>
      </c>
    </row>
    <row r="4109" spans="2:15" x14ac:dyDescent="0.3">
      <c r="B4109" s="1" t="s">
        <v>23</v>
      </c>
      <c r="C4109" s="1" t="str">
        <f>"3차"</f>
        <v>3차</v>
      </c>
      <c r="D4109" s="1" t="str">
        <f>"0325F11130"</f>
        <v>0325F11130</v>
      </c>
      <c r="E4109" s="1" t="s">
        <v>10</v>
      </c>
      <c r="F4109" s="1" t="str">
        <f>"10.11.55.18"</f>
        <v>10.11.55.18</v>
      </c>
      <c r="G4109" s="1" t="str">
        <f>"0325F111"</f>
        <v>0325F111</v>
      </c>
      <c r="H4109" s="1" t="str">
        <f>"화동간 42L10R1"</f>
        <v>화동간 42L10R1</v>
      </c>
      <c r="I4109" s="1" t="s">
        <v>8</v>
      </c>
      <c r="J4109" s="1" t="str">
        <f>"16/16"</f>
        <v>16/16</v>
      </c>
      <c r="K4109" s="1" t="str">
        <f>"2026-07-29 13:18:02"</f>
        <v>2026-07-29 13:18:02</v>
      </c>
      <c r="L4109" s="1" t="str">
        <f>"2018-05-04 09:29:09"</f>
        <v>2018-05-04 09:29:09</v>
      </c>
      <c r="M4109" s="1" t="s">
        <v>2</v>
      </c>
      <c r="N4109" s="1" t="s">
        <v>38</v>
      </c>
      <c r="O4109" s="1" t="s">
        <v>46</v>
      </c>
    </row>
    <row r="4110" spans="2:15" x14ac:dyDescent="0.3">
      <c r="B4110" s="1" t="s">
        <v>23</v>
      </c>
      <c r="C4110" s="1" t="str">
        <f>"3차"</f>
        <v>3차</v>
      </c>
      <c r="D4110" s="1" t="str">
        <f>"0325F11231"</f>
        <v>0325F11231</v>
      </c>
      <c r="E4110" s="1" t="s">
        <v>10</v>
      </c>
      <c r="F4110" s="1" t="str">
        <f>"10.11.55.19"</f>
        <v>10.11.55.19</v>
      </c>
      <c r="G4110" s="1" t="str">
        <f>"0325F112"</f>
        <v>0325F112</v>
      </c>
      <c r="H4110" s="1" t="str">
        <f>"화동간 42L10R2"</f>
        <v>화동간 42L10R2</v>
      </c>
      <c r="I4110" s="1" t="s">
        <v>8</v>
      </c>
      <c r="J4110" s="1" t="str">
        <f>"58/58"</f>
        <v>58/58</v>
      </c>
      <c r="K4110" s="1" t="str">
        <f>"2026-07-29 13:18:02"</f>
        <v>2026-07-29 13:18:02</v>
      </c>
      <c r="L4110" s="1" t="str">
        <f>"2018-06-01 14:58:26"</f>
        <v>2018-06-01 14:58:26</v>
      </c>
      <c r="M4110" s="1" t="s">
        <v>2</v>
      </c>
      <c r="N4110" s="1" t="s">
        <v>38</v>
      </c>
      <c r="O4110" s="1" t="s">
        <v>46</v>
      </c>
    </row>
    <row r="4111" spans="2:15" x14ac:dyDescent="0.3">
      <c r="B4111" s="1" t="s">
        <v>23</v>
      </c>
      <c r="C4111" s="1" t="str">
        <f>"4차"</f>
        <v>4차</v>
      </c>
      <c r="D4111" s="1" t="str">
        <f>"0325F12131"</f>
        <v>0325F12131</v>
      </c>
      <c r="E4111" s="1" t="s">
        <v>10</v>
      </c>
      <c r="F4111" s="1" t="str">
        <f>"10.11.55.3"</f>
        <v>10.11.55.3</v>
      </c>
      <c r="G4111" s="1" t="str">
        <f>"0325F121"</f>
        <v>0325F121</v>
      </c>
      <c r="H4111" s="1" t="str">
        <f>"화동간 42L10"</f>
        <v>화동간 42L10</v>
      </c>
      <c r="I4111" s="1" t="s">
        <v>8</v>
      </c>
      <c r="J4111" s="1" t="str">
        <f>"14/14"</f>
        <v>14/14</v>
      </c>
      <c r="K4111" s="1" t="str">
        <f t="shared" ref="K4111:K4116" si="236">"2026-07-29 13:18:03"</f>
        <v>2026-07-29 13:18:03</v>
      </c>
      <c r="L4111" s="1" t="str">
        <f>"2018-06-01 14:41:41"</f>
        <v>2018-06-01 14:41:41</v>
      </c>
      <c r="M4111" s="1" t="s">
        <v>2</v>
      </c>
      <c r="N4111" s="1" t="s">
        <v>38</v>
      </c>
      <c r="O4111" s="1" t="s">
        <v>46</v>
      </c>
    </row>
    <row r="4112" spans="2:15" x14ac:dyDescent="0.3">
      <c r="B4112" s="1" t="s">
        <v>23</v>
      </c>
      <c r="C4112" s="1" t="str">
        <f>"3차"</f>
        <v>3차</v>
      </c>
      <c r="D4112" s="1" t="str">
        <f>"0325F13139"</f>
        <v>0325F13139</v>
      </c>
      <c r="E4112" s="1" t="s">
        <v>10</v>
      </c>
      <c r="F4112" s="1" t="str">
        <f>"10.11.62.106"</f>
        <v>10.11.62.106</v>
      </c>
      <c r="G4112" s="1" t="str">
        <f>"0325F131"</f>
        <v>0325F131</v>
      </c>
      <c r="H4112" s="1" t="str">
        <f>"화동간 42L9"</f>
        <v>화동간 42L9</v>
      </c>
      <c r="I4112" s="1" t="s">
        <v>8</v>
      </c>
      <c r="J4112" s="1" t="str">
        <f>"7/7"</f>
        <v>7/7</v>
      </c>
      <c r="K4112" s="1" t="str">
        <f t="shared" si="236"/>
        <v>2026-07-29 13:18:03</v>
      </c>
      <c r="L4112" s="1" t="str">
        <f>"2018-04-30 17:02:29"</f>
        <v>2018-04-30 17:02:29</v>
      </c>
      <c r="M4112" s="1" t="s">
        <v>2</v>
      </c>
      <c r="N4112" s="1" t="s">
        <v>38</v>
      </c>
      <c r="O4112" s="1" t="s">
        <v>46</v>
      </c>
    </row>
    <row r="4113" spans="2:15" x14ac:dyDescent="0.3">
      <c r="B4113" s="1" t="s">
        <v>23</v>
      </c>
      <c r="C4113" s="1" t="str">
        <f>"3차"</f>
        <v>3차</v>
      </c>
      <c r="D4113" s="1" t="str">
        <f>"0325F14139"</f>
        <v>0325F14139</v>
      </c>
      <c r="E4113" s="1" t="s">
        <v>10</v>
      </c>
      <c r="F4113" s="1" t="str">
        <f>"10.11.62.98"</f>
        <v>10.11.62.98</v>
      </c>
      <c r="G4113" s="1" t="str">
        <f>"0325F141"</f>
        <v>0325F141</v>
      </c>
      <c r="H4113" s="1" t="str">
        <f>"화동간 42L6"</f>
        <v>화동간 42L6</v>
      </c>
      <c r="I4113" s="1" t="s">
        <v>8</v>
      </c>
      <c r="J4113" s="1" t="str">
        <f>"1/1"</f>
        <v>1/1</v>
      </c>
      <c r="K4113" s="1" t="str">
        <f t="shared" si="236"/>
        <v>2026-07-29 13:18:03</v>
      </c>
      <c r="L4113" s="1" t="str">
        <f>"2018-04-27 13:40:56"</f>
        <v>2018-04-27 13:40:56</v>
      </c>
      <c r="M4113" s="1" t="s">
        <v>2</v>
      </c>
      <c r="N4113" s="1" t="s">
        <v>38</v>
      </c>
      <c r="O4113" s="1" t="s">
        <v>46</v>
      </c>
    </row>
    <row r="4114" spans="2:15" x14ac:dyDescent="0.3">
      <c r="B4114" s="1" t="s">
        <v>23</v>
      </c>
      <c r="C4114" s="1" t="str">
        <f>"4차"</f>
        <v>4차</v>
      </c>
      <c r="D4114" s="1" t="str">
        <f>"0325F20239"</f>
        <v>0325F20239</v>
      </c>
      <c r="E4114" s="1" t="s">
        <v>10</v>
      </c>
      <c r="F4114" s="1" t="str">
        <f>"10.11.55.42"</f>
        <v>10.11.55.42</v>
      </c>
      <c r="G4114" s="1" t="str">
        <f>"0325F202"</f>
        <v>0325F202</v>
      </c>
      <c r="H4114" s="1" t="str">
        <f>"화동간 42L16R2"</f>
        <v>화동간 42L16R2</v>
      </c>
      <c r="I4114" s="1" t="s">
        <v>8</v>
      </c>
      <c r="J4114" s="1" t="str">
        <f>"27/34"</f>
        <v>27/34</v>
      </c>
      <c r="K4114" s="1" t="str">
        <f t="shared" si="236"/>
        <v>2026-07-29 13:18:03</v>
      </c>
      <c r="L4114" s="1" t="str">
        <f>"2018-04-27 13:38:26"</f>
        <v>2018-04-27 13:38:26</v>
      </c>
      <c r="M4114" s="1" t="s">
        <v>2</v>
      </c>
      <c r="N4114" s="1" t="s">
        <v>38</v>
      </c>
      <c r="O4114" s="1" t="s">
        <v>46</v>
      </c>
    </row>
    <row r="4115" spans="2:15" x14ac:dyDescent="0.3">
      <c r="B4115" s="1" t="s">
        <v>23</v>
      </c>
      <c r="C4115" s="1" t="str">
        <f>"3차"</f>
        <v>3차</v>
      </c>
      <c r="D4115" s="1" t="str">
        <f>"0325F22139"</f>
        <v>0325F22139</v>
      </c>
      <c r="E4115" s="1" t="s">
        <v>10</v>
      </c>
      <c r="F4115" s="1" t="str">
        <f>"10.11.62.2"</f>
        <v>10.11.62.2</v>
      </c>
      <c r="G4115" s="1" t="str">
        <f>"0325F221"</f>
        <v>0325F221</v>
      </c>
      <c r="H4115" s="1" t="str">
        <f>"화동간 42L11"</f>
        <v>화동간 42L11</v>
      </c>
      <c r="I4115" s="1" t="s">
        <v>8</v>
      </c>
      <c r="J4115" s="1" t="str">
        <f>"34/35"</f>
        <v>34/35</v>
      </c>
      <c r="K4115" s="1" t="str">
        <f t="shared" si="236"/>
        <v>2026-07-29 13:18:03</v>
      </c>
      <c r="L4115" s="1" t="str">
        <f>"2018-04-27 13:39:42"</f>
        <v>2018-04-27 13:39:42</v>
      </c>
      <c r="M4115" s="1" t="s">
        <v>2</v>
      </c>
      <c r="N4115" s="1" t="s">
        <v>38</v>
      </c>
      <c r="O4115" s="1" t="s">
        <v>46</v>
      </c>
    </row>
    <row r="4116" spans="2:15" x14ac:dyDescent="0.3">
      <c r="B4116" s="1" t="s">
        <v>23</v>
      </c>
      <c r="C4116" s="1" t="str">
        <f>"3차"</f>
        <v>3차</v>
      </c>
      <c r="D4116" s="1" t="str">
        <f>"0325F23139"</f>
        <v>0325F23139</v>
      </c>
      <c r="E4116" s="1" t="s">
        <v>10</v>
      </c>
      <c r="F4116" s="1" t="str">
        <f>"10.11.55.114"</f>
        <v>10.11.55.114</v>
      </c>
      <c r="G4116" s="1" t="str">
        <f>"0325F231"</f>
        <v>0325F231</v>
      </c>
      <c r="H4116" s="1" t="str">
        <f>"화동간 42L7"</f>
        <v>화동간 42L7</v>
      </c>
      <c r="I4116" s="1" t="s">
        <v>8</v>
      </c>
      <c r="J4116" s="1" t="str">
        <f>"1/1"</f>
        <v>1/1</v>
      </c>
      <c r="K4116" s="1" t="str">
        <f t="shared" si="236"/>
        <v>2026-07-29 13:18:03</v>
      </c>
      <c r="L4116" s="1" t="str">
        <f>"2018-04-30 17:11:13"</f>
        <v>2018-04-30 17:11:13</v>
      </c>
      <c r="M4116" s="1" t="s">
        <v>2</v>
      </c>
      <c r="N4116" s="1" t="s">
        <v>38</v>
      </c>
      <c r="O4116" s="1" t="s">
        <v>46</v>
      </c>
    </row>
    <row r="4117" spans="2:15" x14ac:dyDescent="0.3">
      <c r="B4117" s="1" t="s">
        <v>23</v>
      </c>
      <c r="C4117" s="1" t="str">
        <f>"5-2차"</f>
        <v>5-2차</v>
      </c>
      <c r="D4117" s="1" t="str">
        <f>"0325F2815M"</f>
        <v>0325F2815M</v>
      </c>
      <c r="E4117" s="1" t="s">
        <v>10</v>
      </c>
      <c r="F4117" s="1" t="str">
        <f>"fde1:103:4:6ead:0:0:0:2"</f>
        <v>fde1:103:4:6ead:0:0:0:2</v>
      </c>
      <c r="G4117" s="1" t="str">
        <f>"0325F281"</f>
        <v>0325F281</v>
      </c>
      <c r="H4117" s="1" t="str">
        <f>"화수간 30R3L9"</f>
        <v>화수간 30R3L9</v>
      </c>
      <c r="I4117" s="1" t="s">
        <v>15</v>
      </c>
      <c r="J4117" s="1" t="str">
        <f>"32/32"</f>
        <v>32/32</v>
      </c>
      <c r="K4117" s="1" t="str">
        <f>"2026-07-29 14:20:15"</f>
        <v>2026-07-29 14:20:15</v>
      </c>
      <c r="L4117" s="1" t="str">
        <f>"2023-11-14 15:20:17"</f>
        <v>2023-11-14 15:20:17</v>
      </c>
      <c r="M4117" s="1" t="s">
        <v>4</v>
      </c>
      <c r="N4117" s="1" t="s">
        <v>38</v>
      </c>
      <c r="O4117" s="1" t="s">
        <v>46</v>
      </c>
    </row>
    <row r="4118" spans="2:15" x14ac:dyDescent="0.3">
      <c r="B4118" s="1" t="s">
        <v>23</v>
      </c>
      <c r="C4118" s="1" t="str">
        <f>"5-2차"</f>
        <v>5-2차</v>
      </c>
      <c r="D4118" s="1" t="str">
        <f>"0325F2915M"</f>
        <v>0325F2915M</v>
      </c>
      <c r="E4118" s="1" t="s">
        <v>10</v>
      </c>
      <c r="F4118" s="1" t="str">
        <f>"fde3:102:1440:4400:0:0:0:1b"</f>
        <v>fde3:102:1440:4400:0:0:0:1b</v>
      </c>
      <c r="G4118" s="1" t="str">
        <f>"0325F291"</f>
        <v>0325F291</v>
      </c>
      <c r="H4118" s="1" t="str">
        <f>"화수간 30R3L11R2"</f>
        <v>화수간 30R3L11R2</v>
      </c>
      <c r="I4118" s="1" t="s">
        <v>15</v>
      </c>
      <c r="J4118" s="1" t="str">
        <f>"57/57"</f>
        <v>57/57</v>
      </c>
      <c r="K4118" s="1" t="str">
        <f>"2026-07-29 14:20:14"</f>
        <v>2026-07-29 14:20:14</v>
      </c>
      <c r="L4118" s="1" t="str">
        <f>"2023-08-23 21:29:41"</f>
        <v>2023-08-23 21:29:41</v>
      </c>
      <c r="M4118" s="1" t="s">
        <v>45</v>
      </c>
      <c r="N4118" s="1" t="s">
        <v>38</v>
      </c>
      <c r="O4118" s="1" t="s">
        <v>46</v>
      </c>
    </row>
    <row r="4119" spans="2:15" x14ac:dyDescent="0.3">
      <c r="B4119" s="1" t="s">
        <v>23</v>
      </c>
      <c r="C4119" s="1" t="str">
        <f>"5-2차"</f>
        <v>5-2차</v>
      </c>
      <c r="D4119" s="1" t="str">
        <f>"0325F2925S"</f>
        <v>0325F2925S</v>
      </c>
      <c r="E4119" s="1" t="s">
        <v>10</v>
      </c>
      <c r="F4119" s="1" t="str">
        <f>"fde1:103:4:6ea9:0:0:0:2"</f>
        <v>fde1:103:4:6ea9:0:0:0:2</v>
      </c>
      <c r="G4119" s="1" t="str">
        <f>"0325F292"</f>
        <v>0325F292</v>
      </c>
      <c r="H4119" s="1" t="str">
        <f>"화수간 30R3L1R4"</f>
        <v>화수간 30R3L1R4</v>
      </c>
      <c r="I4119" s="1" t="s">
        <v>15</v>
      </c>
      <c r="J4119" s="1" t="str">
        <f>"64/64"</f>
        <v>64/64</v>
      </c>
      <c r="K4119" s="1" t="str">
        <f>"2026-07-29 14:20:16"</f>
        <v>2026-07-29 14:20:16</v>
      </c>
      <c r="L4119" s="1" t="str">
        <f>"2023-11-14 15:20:27"</f>
        <v>2023-11-14 15:20:27</v>
      </c>
      <c r="M4119" s="1" t="s">
        <v>4</v>
      </c>
      <c r="N4119" s="1" t="s">
        <v>38</v>
      </c>
      <c r="O4119" s="1" t="s">
        <v>46</v>
      </c>
    </row>
    <row r="4120" spans="2:15" x14ac:dyDescent="0.3">
      <c r="B4120" s="1" t="s">
        <v>23</v>
      </c>
      <c r="C4120" s="1" t="str">
        <f>"4차"</f>
        <v>4차</v>
      </c>
      <c r="D4120" s="1" t="str">
        <f>"0325F30139"</f>
        <v>0325F30139</v>
      </c>
      <c r="E4120" s="1" t="s">
        <v>10</v>
      </c>
      <c r="F4120" s="1" t="str">
        <f>"10.11.55.34"</f>
        <v>10.11.55.34</v>
      </c>
      <c r="G4120" s="1" t="str">
        <f>"0325F301"</f>
        <v>0325F301</v>
      </c>
      <c r="H4120" s="1" t="str">
        <f>"화동간 42L15"</f>
        <v>화동간 42L15</v>
      </c>
      <c r="I4120" s="1" t="s">
        <v>8</v>
      </c>
      <c r="J4120" s="1" t="str">
        <f>"73/73"</f>
        <v>73/73</v>
      </c>
      <c r="K4120" s="1" t="str">
        <f>"2026-07-29 13:18:01"</f>
        <v>2026-07-29 13:18:01</v>
      </c>
      <c r="L4120" s="1" t="str">
        <f>"2018-06-14 11:09:55"</f>
        <v>2018-06-14 11:09:55</v>
      </c>
      <c r="M4120" s="1" t="s">
        <v>2</v>
      </c>
      <c r="N4120" s="1" t="s">
        <v>38</v>
      </c>
      <c r="O4120" s="1" t="s">
        <v>46</v>
      </c>
    </row>
    <row r="4121" spans="2:15" x14ac:dyDescent="0.3">
      <c r="B4121" s="1" t="s">
        <v>23</v>
      </c>
      <c r="C4121" s="1" t="str">
        <f>"3차"</f>
        <v>3차</v>
      </c>
      <c r="D4121" s="1" t="str">
        <f>"0325F31139"</f>
        <v>0325F31139</v>
      </c>
      <c r="E4121" s="1" t="s">
        <v>10</v>
      </c>
      <c r="F4121" s="1" t="str">
        <f>"10.11.62.10"</f>
        <v>10.11.62.10</v>
      </c>
      <c r="G4121" s="1" t="str">
        <f>"0325F311"</f>
        <v>0325F311</v>
      </c>
      <c r="H4121" s="1" t="str">
        <f>"화동간 42L14L1"</f>
        <v>화동간 42L14L1</v>
      </c>
      <c r="I4121" s="1" t="s">
        <v>8</v>
      </c>
      <c r="J4121" s="1" t="str">
        <f>"33/33"</f>
        <v>33/33</v>
      </c>
      <c r="K4121" s="1" t="str">
        <f>"2026-07-29 13:18:01"</f>
        <v>2026-07-29 13:18:01</v>
      </c>
      <c r="L4121" s="1" t="str">
        <f>"2018-04-27 13:36:57"</f>
        <v>2018-04-27 13:36:57</v>
      </c>
      <c r="M4121" s="1" t="s">
        <v>2</v>
      </c>
      <c r="N4121" s="1" t="s">
        <v>38</v>
      </c>
      <c r="O4121" s="1" t="s">
        <v>46</v>
      </c>
    </row>
    <row r="4122" spans="2:15" x14ac:dyDescent="0.3">
      <c r="B4122" s="1" t="s">
        <v>23</v>
      </c>
      <c r="C4122" s="1" t="str">
        <f>"3차"</f>
        <v>3차</v>
      </c>
      <c r="D4122" s="1" t="str">
        <f>"0325F32139"</f>
        <v>0325F32139</v>
      </c>
      <c r="E4122" s="1" t="s">
        <v>10</v>
      </c>
      <c r="F4122" s="1" t="str">
        <f>"10.11.55.26"</f>
        <v>10.11.55.26</v>
      </c>
      <c r="G4122" s="1" t="str">
        <f>"0325F321"</f>
        <v>0325F321</v>
      </c>
      <c r="H4122" s="1" t="str">
        <f>"화동간 42L12"</f>
        <v>화동간 42L12</v>
      </c>
      <c r="I4122" s="1" t="s">
        <v>8</v>
      </c>
      <c r="J4122" s="1" t="str">
        <f>"39/39"</f>
        <v>39/39</v>
      </c>
      <c r="K4122" s="1" t="str">
        <f>"2026-07-29 13:18:01"</f>
        <v>2026-07-29 13:18:01</v>
      </c>
      <c r="L4122" s="1" t="str">
        <f>"2018-04-27 13:30:12"</f>
        <v>2018-04-27 13:30:12</v>
      </c>
      <c r="M4122" s="1" t="s">
        <v>2</v>
      </c>
      <c r="N4122" s="1" t="s">
        <v>38</v>
      </c>
      <c r="O4122" s="1" t="s">
        <v>46</v>
      </c>
    </row>
    <row r="4123" spans="2:15" x14ac:dyDescent="0.3">
      <c r="B4123" s="1" t="s">
        <v>23</v>
      </c>
      <c r="C4123" s="1" t="str">
        <f>"5-2차"</f>
        <v>5-2차</v>
      </c>
      <c r="D4123" s="1" t="str">
        <f>"0325F3635S"</f>
        <v>0325F3635S</v>
      </c>
      <c r="E4123" s="1" t="s">
        <v>10</v>
      </c>
      <c r="F4123" s="1" t="str">
        <f>"fde3:102:1440:4400:0:0:0:1d"</f>
        <v>fde3:102:1440:4400:0:0:0:1d</v>
      </c>
      <c r="G4123" s="1" t="str">
        <f>"0325F363"</f>
        <v>0325F363</v>
      </c>
      <c r="H4123" s="1" t="str">
        <f>"화수간 34R4"</f>
        <v>화수간 34R4</v>
      </c>
      <c r="I4123" s="1" t="s">
        <v>15</v>
      </c>
      <c r="J4123" s="1" t="str">
        <f>"48/48"</f>
        <v>48/48</v>
      </c>
      <c r="K4123" s="1" t="str">
        <f>"2026-07-29 14:20:15"</f>
        <v>2026-07-29 14:20:15</v>
      </c>
      <c r="L4123" s="1" t="str">
        <f>"2023-09-22 15:31:30"</f>
        <v>2023-09-22 15:31:30</v>
      </c>
      <c r="M4123" s="1" t="s">
        <v>45</v>
      </c>
      <c r="N4123" s="1" t="s">
        <v>38</v>
      </c>
      <c r="O4123" s="1" t="s">
        <v>46</v>
      </c>
    </row>
    <row r="4124" spans="2:15" x14ac:dyDescent="0.3">
      <c r="B4124" s="1" t="s">
        <v>23</v>
      </c>
      <c r="C4124" s="1" t="str">
        <f>"4차"</f>
        <v>4차</v>
      </c>
      <c r="D4124" s="1" t="str">
        <f>"0325F41144"</f>
        <v>0325F41144</v>
      </c>
      <c r="E4124" s="1" t="s">
        <v>10</v>
      </c>
      <c r="F4124" s="1" t="str">
        <f>"10.11.75.106"</f>
        <v>10.11.75.106</v>
      </c>
      <c r="G4124" s="1" t="str">
        <f>"0325F411"</f>
        <v>0325F411</v>
      </c>
      <c r="H4124" s="1" t="str">
        <f>"화동간 42L13L1"</f>
        <v>화동간 42L13L1</v>
      </c>
      <c r="I4124" s="1" t="s">
        <v>8</v>
      </c>
      <c r="J4124" s="1" t="str">
        <f>"75/76"</f>
        <v>75/76</v>
      </c>
      <c r="K4124" s="1" t="str">
        <f>"2026-07-29 13:18:01"</f>
        <v>2026-07-29 13:18:01</v>
      </c>
      <c r="L4124" s="1" t="str">
        <f>"2019-11-18 23:36:46"</f>
        <v>2019-11-18 23:36:46</v>
      </c>
      <c r="M4124" s="1" t="s">
        <v>2</v>
      </c>
      <c r="N4124" s="1" t="s">
        <v>38</v>
      </c>
      <c r="O4124" s="1" t="s">
        <v>46</v>
      </c>
    </row>
    <row r="4125" spans="2:15" x14ac:dyDescent="0.3">
      <c r="B4125" s="1" t="s">
        <v>23</v>
      </c>
      <c r="C4125" s="1" t="str">
        <f>"3차"</f>
        <v>3차</v>
      </c>
      <c r="D4125" s="1" t="str">
        <f>"0325F42139"</f>
        <v>0325F42139</v>
      </c>
      <c r="E4125" s="1" t="s">
        <v>10</v>
      </c>
      <c r="F4125" s="1" t="str">
        <f>"10.11.51.202"</f>
        <v>10.11.51.202</v>
      </c>
      <c r="G4125" s="1" t="str">
        <f>"0325F421"</f>
        <v>0325F421</v>
      </c>
      <c r="H4125" s="1" t="str">
        <f>"공원간 4"</f>
        <v>공원간 4</v>
      </c>
      <c r="I4125" s="1" t="s">
        <v>8</v>
      </c>
      <c r="J4125" s="1" t="str">
        <f>"3/3"</f>
        <v>3/3</v>
      </c>
      <c r="K4125" s="1" t="str">
        <f>"2026-07-29 13:18:01"</f>
        <v>2026-07-29 13:18:01</v>
      </c>
      <c r="L4125" s="1" t="str">
        <f>"2018-03-22 09:26:25"</f>
        <v>2018-03-22 09:26:25</v>
      </c>
      <c r="M4125" s="1" t="s">
        <v>2</v>
      </c>
      <c r="N4125" s="1" t="s">
        <v>38</v>
      </c>
      <c r="O4125" s="1" t="s">
        <v>46</v>
      </c>
    </row>
    <row r="4126" spans="2:15" x14ac:dyDescent="0.3">
      <c r="B4126" s="1" t="s">
        <v>23</v>
      </c>
      <c r="C4126" s="1" t="str">
        <f>"5-2차"</f>
        <v>5-2차</v>
      </c>
      <c r="D4126" s="1" t="str">
        <f>"0325F4725S"</f>
        <v>0325F4725S</v>
      </c>
      <c r="E4126" s="1" t="s">
        <v>10</v>
      </c>
      <c r="F4126" s="1" t="str">
        <f>"fde1:103:4:6eae:0:0:0:2"</f>
        <v>fde1:103:4:6eae:0:0:0:2</v>
      </c>
      <c r="G4126" s="1" t="str">
        <f>"0325F472"</f>
        <v>0325F472</v>
      </c>
      <c r="H4126" s="1" t="str">
        <f>"화수간 30R3L4"</f>
        <v>화수간 30R3L4</v>
      </c>
      <c r="I4126" s="1" t="s">
        <v>15</v>
      </c>
      <c r="J4126" s="1" t="str">
        <f>"42/42"</f>
        <v>42/42</v>
      </c>
      <c r="K4126" s="1" t="str">
        <f>"2026-07-29 14:20:15"</f>
        <v>2026-07-29 14:20:15</v>
      </c>
      <c r="L4126" s="1" t="str">
        <f>"2023-11-14 15:20:15"</f>
        <v>2023-11-14 15:20:15</v>
      </c>
      <c r="M4126" s="1" t="s">
        <v>4</v>
      </c>
      <c r="N4126" s="1" t="s">
        <v>38</v>
      </c>
      <c r="O4126" s="1" t="s">
        <v>46</v>
      </c>
    </row>
    <row r="4127" spans="2:15" x14ac:dyDescent="0.3">
      <c r="B4127" s="1" t="s">
        <v>23</v>
      </c>
      <c r="C4127" s="1" t="str">
        <f>"5-2차"</f>
        <v>5-2차</v>
      </c>
      <c r="D4127" s="1" t="str">
        <f>"0325F4915M"</f>
        <v>0325F4915M</v>
      </c>
      <c r="E4127" s="1" t="s">
        <v>10</v>
      </c>
      <c r="F4127" s="1" t="str">
        <f>"fde3:102:1440:4400:0:0:0:1a"</f>
        <v>fde3:102:1440:4400:0:0:0:1a</v>
      </c>
      <c r="G4127" s="1" t="str">
        <f>"0325F491"</f>
        <v>0325F491</v>
      </c>
      <c r="H4127" s="1" t="str">
        <f>"화수간 30R5"</f>
        <v>화수간 30R5</v>
      </c>
      <c r="I4127" s="1" t="s">
        <v>15</v>
      </c>
      <c r="J4127" s="1" t="str">
        <f>"45/45"</f>
        <v>45/45</v>
      </c>
      <c r="K4127" s="1" t="str">
        <f>"2026-07-29 14:20:15"</f>
        <v>2026-07-29 14:20:15</v>
      </c>
      <c r="L4127" s="1" t="str">
        <f>"2023-10-16 16:37:44"</f>
        <v>2023-10-16 16:37:44</v>
      </c>
      <c r="M4127" s="1" t="s">
        <v>45</v>
      </c>
      <c r="N4127" s="1" t="s">
        <v>38</v>
      </c>
      <c r="O4127" s="1" t="s">
        <v>46</v>
      </c>
    </row>
    <row r="4128" spans="2:15" x14ac:dyDescent="0.3">
      <c r="B4128" s="1" t="s">
        <v>23</v>
      </c>
      <c r="C4128" s="1" t="str">
        <f>"4차"</f>
        <v>4차</v>
      </c>
      <c r="D4128" s="1" t="str">
        <f>"0325F55242"</f>
        <v>0325F55242</v>
      </c>
      <c r="E4128" s="1" t="s">
        <v>10</v>
      </c>
      <c r="F4128" s="1" t="str">
        <f>"10.125.8.42"</f>
        <v>10.125.8.42</v>
      </c>
      <c r="G4128" s="1" t="str">
        <f>"0325F552"</f>
        <v>0325F552</v>
      </c>
      <c r="H4128" s="1" t="str">
        <f>"화수간 35"</f>
        <v>화수간 35</v>
      </c>
      <c r="I4128" s="1" t="s">
        <v>8</v>
      </c>
      <c r="J4128" s="1" t="str">
        <f>"30/30"</f>
        <v>30/30</v>
      </c>
      <c r="K4128" s="1" t="str">
        <f>"2026-07-29 13:18:03"</f>
        <v>2026-07-29 13:18:03</v>
      </c>
      <c r="L4128" s="1" t="str">
        <f>"2024-04-16 14:52:55"</f>
        <v>2024-04-16 14:52:55</v>
      </c>
      <c r="M4128" s="1" t="s">
        <v>45</v>
      </c>
      <c r="N4128" s="1" t="s">
        <v>38</v>
      </c>
      <c r="O4128" s="1" t="s">
        <v>46</v>
      </c>
    </row>
    <row r="4129" spans="2:15" x14ac:dyDescent="0.3">
      <c r="B4129" s="1" t="s">
        <v>23</v>
      </c>
      <c r="C4129" s="1" t="str">
        <f>"5-2차"</f>
        <v>5-2차</v>
      </c>
      <c r="D4129" s="1" t="str">
        <f>"0325F5815S"</f>
        <v>0325F5815S</v>
      </c>
      <c r="E4129" s="1" t="s">
        <v>10</v>
      </c>
      <c r="F4129" s="1" t="str">
        <f>"fde3:102:1440:4400:0:0:0:1c"</f>
        <v>fde3:102:1440:4400:0:0:0:1c</v>
      </c>
      <c r="G4129" s="1" t="str">
        <f>"0325F581"</f>
        <v>0325F581</v>
      </c>
      <c r="H4129" s="1" t="str">
        <f>"화수간 30R3L1"</f>
        <v>화수간 30R3L1</v>
      </c>
      <c r="I4129" s="1" t="s">
        <v>15</v>
      </c>
      <c r="J4129" s="1" t="str">
        <f>"42/43"</f>
        <v>42/43</v>
      </c>
      <c r="K4129" s="1" t="str">
        <f>"2026-07-29 14:20:15"</f>
        <v>2026-07-29 14:20:15</v>
      </c>
      <c r="L4129" s="1" t="str">
        <f>"2023-06-20 15:28:50"</f>
        <v>2023-06-20 15:28:50</v>
      </c>
      <c r="M4129" s="1" t="s">
        <v>45</v>
      </c>
      <c r="N4129" s="1" t="s">
        <v>38</v>
      </c>
      <c r="O4129" s="1" t="s">
        <v>46</v>
      </c>
    </row>
    <row r="4130" spans="2:15" x14ac:dyDescent="0.3">
      <c r="B4130" s="1" t="s">
        <v>23</v>
      </c>
      <c r="C4130" s="1" t="str">
        <f>"5-2차"</f>
        <v>5-2차</v>
      </c>
      <c r="D4130" s="1" t="str">
        <f>"0325F5915M"</f>
        <v>0325F5915M</v>
      </c>
      <c r="E4130" s="1" t="s">
        <v>10</v>
      </c>
      <c r="F4130" s="1" t="str">
        <f>"fde3:102:1440:4100:0:0:0:a"</f>
        <v>fde3:102:1440:4100:0:0:0:a</v>
      </c>
      <c r="G4130" s="1" t="str">
        <f>"0325F591"</f>
        <v>0325F591</v>
      </c>
      <c r="H4130" s="1" t="str">
        <f>"화수간 30R3"</f>
        <v>화수간 30R3</v>
      </c>
      <c r="I4130" s="1" t="s">
        <v>15</v>
      </c>
      <c r="J4130" s="1" t="str">
        <f>"51/52"</f>
        <v>51/52</v>
      </c>
      <c r="K4130" s="1" t="str">
        <f>"2026-07-29 14:20:15"</f>
        <v>2026-07-29 14:20:15</v>
      </c>
      <c r="L4130" s="1" t="str">
        <f>"2023-08-21 18:40:10"</f>
        <v>2023-08-21 18:40:10</v>
      </c>
      <c r="M4130" s="1" t="s">
        <v>45</v>
      </c>
      <c r="N4130" s="1" t="s">
        <v>38</v>
      </c>
      <c r="O4130" s="1" t="s">
        <v>46</v>
      </c>
    </row>
    <row r="4131" spans="2:15" x14ac:dyDescent="0.3">
      <c r="B4131" s="1" t="s">
        <v>23</v>
      </c>
      <c r="C4131" s="1" t="str">
        <f>"4차"</f>
        <v>4차</v>
      </c>
      <c r="D4131" s="1" t="str">
        <f>"0325F60144"</f>
        <v>0325F60144</v>
      </c>
      <c r="E4131" s="1" t="s">
        <v>10</v>
      </c>
      <c r="F4131" s="1" t="str">
        <f>"10.11.75.114"</f>
        <v>10.11.75.114</v>
      </c>
      <c r="G4131" s="1" t="str">
        <f>"0325F601"</f>
        <v>0325F601</v>
      </c>
      <c r="H4131" s="1" t="str">
        <f>"화동간 42L13L4"</f>
        <v>화동간 42L13L4</v>
      </c>
      <c r="I4131" s="1" t="s">
        <v>8</v>
      </c>
      <c r="J4131" s="1" t="str">
        <f>"73/78"</f>
        <v>73/78</v>
      </c>
      <c r="K4131" s="1" t="str">
        <f>"2026-07-29 13:18:02"</f>
        <v>2026-07-29 13:18:02</v>
      </c>
      <c r="L4131" s="1" t="str">
        <f>"2019-11-18 23:38:28"</f>
        <v>2019-11-18 23:38:28</v>
      </c>
      <c r="M4131" s="1" t="s">
        <v>2</v>
      </c>
      <c r="N4131" s="1" t="s">
        <v>38</v>
      </c>
      <c r="O4131" s="1" t="s">
        <v>46</v>
      </c>
    </row>
    <row r="4132" spans="2:15" x14ac:dyDescent="0.3">
      <c r="B4132" s="1" t="s">
        <v>23</v>
      </c>
      <c r="C4132" s="1" t="str">
        <f>"6차"</f>
        <v>6차</v>
      </c>
      <c r="D4132" s="1" t="str">
        <f>"0325F6616S"</f>
        <v>0325F6616S</v>
      </c>
      <c r="E4132" s="1" t="s">
        <v>10</v>
      </c>
      <c r="F4132" s="1" t="str">
        <f>"fde3:102:1440:4500:0:0:0:27"</f>
        <v>fde3:102:1440:4500:0:0:0:27</v>
      </c>
      <c r="G4132" s="1" t="str">
        <f>"0325F661"</f>
        <v>0325F661</v>
      </c>
      <c r="H4132" s="1" t="str">
        <f>"화수간 32"</f>
        <v>화수간 32</v>
      </c>
      <c r="I4132" s="1" t="s">
        <v>15</v>
      </c>
      <c r="J4132" s="1" t="str">
        <f>"28/49"</f>
        <v>28/49</v>
      </c>
      <c r="K4132" s="1" t="str">
        <f>"2026-07-25 20:03:34"</f>
        <v>2026-07-25 20:03:34</v>
      </c>
      <c r="L4132" s="1" t="str">
        <f>"2024-10-08 14:24:20"</f>
        <v>2024-10-08 14:24:20</v>
      </c>
      <c r="M4132" s="1" t="s">
        <v>45</v>
      </c>
      <c r="N4132" s="1" t="s">
        <v>38</v>
      </c>
      <c r="O4132" s="1" t="s">
        <v>46</v>
      </c>
    </row>
    <row r="4133" spans="2:15" x14ac:dyDescent="0.3">
      <c r="B4133" s="1" t="s">
        <v>23</v>
      </c>
      <c r="C4133" s="1" t="str">
        <f t="shared" ref="C4133:C4138" si="237">"5-2차"</f>
        <v>5-2차</v>
      </c>
      <c r="D4133" s="1" t="str">
        <f>"0325F7035M"</f>
        <v>0325F7035M</v>
      </c>
      <c r="E4133" s="1" t="s">
        <v>10</v>
      </c>
      <c r="F4133" s="1" t="str">
        <f>"fde1:103:4:6eb8:0:0:0:2"</f>
        <v>fde1:103:4:6eb8:0:0:0:2</v>
      </c>
      <c r="G4133" s="1" t="str">
        <f>"0325F703"</f>
        <v>0325F703</v>
      </c>
      <c r="H4133" s="1" t="str">
        <f>"공원간 12"</f>
        <v>공원간 12</v>
      </c>
      <c r="I4133" s="1" t="s">
        <v>15</v>
      </c>
      <c r="J4133" s="1" t="str">
        <f>"36/36"</f>
        <v>36/36</v>
      </c>
      <c r="K4133" s="1" t="str">
        <f>"2026-07-29 14:20:39"</f>
        <v>2026-07-29 14:20:39</v>
      </c>
      <c r="L4133" s="1" t="str">
        <f>"2023-11-14 15:44:32"</f>
        <v>2023-11-14 15:44:32</v>
      </c>
      <c r="M4133" s="1" t="s">
        <v>4</v>
      </c>
      <c r="N4133" s="1" t="s">
        <v>38</v>
      </c>
      <c r="O4133" s="1" t="s">
        <v>46</v>
      </c>
    </row>
    <row r="4134" spans="2:15" x14ac:dyDescent="0.3">
      <c r="B4134" s="1" t="s">
        <v>23</v>
      </c>
      <c r="C4134" s="1" t="str">
        <f t="shared" si="237"/>
        <v>5-2차</v>
      </c>
      <c r="D4134" s="1" t="str">
        <f>"0325F7835M"</f>
        <v>0325F7835M</v>
      </c>
      <c r="E4134" s="1" t="s">
        <v>10</v>
      </c>
      <c r="F4134" s="1" t="str">
        <f>"fde3:102:1440:4200:0:0:0:1d"</f>
        <v>fde3:102:1440:4200:0:0:0:1d</v>
      </c>
      <c r="G4134" s="1" t="str">
        <f>"0325F783"</f>
        <v>0325F783</v>
      </c>
      <c r="H4134" s="1" t="str">
        <f>"화수간 30R1"</f>
        <v>화수간 30R1</v>
      </c>
      <c r="I4134" s="1" t="s">
        <v>15</v>
      </c>
      <c r="J4134" s="1" t="str">
        <f>"58/58"</f>
        <v>58/58</v>
      </c>
      <c r="K4134" s="1" t="str">
        <f>"2026-07-29 14:20:15"</f>
        <v>2026-07-29 14:20:15</v>
      </c>
      <c r="L4134" s="1" t="str">
        <f>"2023-08-21 18:40:47"</f>
        <v>2023-08-21 18:40:47</v>
      </c>
      <c r="M4134" s="1" t="s">
        <v>45</v>
      </c>
      <c r="N4134" s="1" t="s">
        <v>38</v>
      </c>
      <c r="O4134" s="1" t="s">
        <v>46</v>
      </c>
    </row>
    <row r="4135" spans="2:15" x14ac:dyDescent="0.3">
      <c r="B4135" s="1" t="s">
        <v>23</v>
      </c>
      <c r="C4135" s="1" t="str">
        <f t="shared" si="237"/>
        <v>5-2차</v>
      </c>
      <c r="D4135" s="1" t="str">
        <f>"0325F7915M"</f>
        <v>0325F7915M</v>
      </c>
      <c r="E4135" s="1" t="s">
        <v>10</v>
      </c>
      <c r="F4135" s="1" t="str">
        <f>"fde3:102:1440:4500:0:0:0:20"</f>
        <v>fde3:102:1440:4500:0:0:0:20</v>
      </c>
      <c r="G4135" s="1" t="str">
        <f>"0325F791"</f>
        <v>0325F791</v>
      </c>
      <c r="H4135" s="1" t="str">
        <f>"화수간 27"</f>
        <v>화수간 27</v>
      </c>
      <c r="I4135" s="1" t="s">
        <v>15</v>
      </c>
      <c r="J4135" s="1" t="str">
        <f>"52/52"</f>
        <v>52/52</v>
      </c>
      <c r="K4135" s="1" t="str">
        <f>"2026-07-29 14:20:15"</f>
        <v>2026-07-29 14:20:15</v>
      </c>
      <c r="L4135" s="1" t="str">
        <f>"2023-08-23 21:00:58"</f>
        <v>2023-08-23 21:00:58</v>
      </c>
      <c r="M4135" s="1" t="s">
        <v>45</v>
      </c>
      <c r="N4135" s="1" t="s">
        <v>38</v>
      </c>
      <c r="O4135" s="1" t="s">
        <v>46</v>
      </c>
    </row>
    <row r="4136" spans="2:15" x14ac:dyDescent="0.3">
      <c r="B4136" s="1" t="s">
        <v>23</v>
      </c>
      <c r="C4136" s="1" t="str">
        <f t="shared" si="237"/>
        <v>5-2차</v>
      </c>
      <c r="D4136" s="1" t="str">
        <f>"0325F8615S"</f>
        <v>0325F8615S</v>
      </c>
      <c r="E4136" s="1" t="s">
        <v>10</v>
      </c>
      <c r="F4136" s="1" t="str">
        <f>"fde3:102:1440:4100:0:0:0:7"</f>
        <v>fde3:102:1440:4100:0:0:0:7</v>
      </c>
      <c r="G4136" s="1" t="str">
        <f>"0325F861"</f>
        <v>0325F861</v>
      </c>
      <c r="H4136" s="1" t="str">
        <f>"화수간 29L4L1R1"</f>
        <v>화수간 29L4L1R1</v>
      </c>
      <c r="I4136" s="1" t="s">
        <v>15</v>
      </c>
      <c r="J4136" s="1" t="str">
        <f>"47/47"</f>
        <v>47/47</v>
      </c>
      <c r="K4136" s="1" t="str">
        <f>"2026-07-29 14:20:17"</f>
        <v>2026-07-29 14:20:17</v>
      </c>
      <c r="L4136" s="1" t="str">
        <f>"2023-09-25 15:44:44"</f>
        <v>2023-09-25 15:44:44</v>
      </c>
      <c r="M4136" s="1" t="s">
        <v>45</v>
      </c>
      <c r="N4136" s="1" t="s">
        <v>38</v>
      </c>
      <c r="O4136" s="1" t="s">
        <v>46</v>
      </c>
    </row>
    <row r="4137" spans="2:15" x14ac:dyDescent="0.3">
      <c r="B4137" s="1" t="s">
        <v>23</v>
      </c>
      <c r="C4137" s="1" t="str">
        <f t="shared" si="237"/>
        <v>5-2차</v>
      </c>
      <c r="D4137" s="1" t="str">
        <f>"0325F9435M"</f>
        <v>0325F9435M</v>
      </c>
      <c r="E4137" s="1" t="s">
        <v>10</v>
      </c>
      <c r="F4137" s="1" t="str">
        <f>"fde3:102:1440:4600:0:0:0:b"</f>
        <v>fde3:102:1440:4600:0:0:0:b</v>
      </c>
      <c r="G4137" s="1" t="str">
        <f>"0325F943"</f>
        <v>0325F943</v>
      </c>
      <c r="H4137" s="1" t="str">
        <f>"광장간 29R4"</f>
        <v>광장간 29R4</v>
      </c>
      <c r="I4137" s="1" t="s">
        <v>15</v>
      </c>
      <c r="J4137" s="1" t="str">
        <f>"148/148"</f>
        <v>148/148</v>
      </c>
      <c r="K4137" s="1" t="str">
        <f>"2026-07-29 14:20:16"</f>
        <v>2026-07-29 14:20:16</v>
      </c>
      <c r="L4137" s="1" t="str">
        <f>"2023-06-26 15:46:57"</f>
        <v>2023-06-26 15:46:57</v>
      </c>
      <c r="M4137" s="1" t="s">
        <v>45</v>
      </c>
      <c r="N4137" s="1" t="s">
        <v>38</v>
      </c>
      <c r="O4137" s="1" t="s">
        <v>46</v>
      </c>
    </row>
    <row r="4138" spans="2:15" x14ac:dyDescent="0.3">
      <c r="B4138" s="1" t="s">
        <v>23</v>
      </c>
      <c r="C4138" s="1" t="str">
        <f t="shared" si="237"/>
        <v>5-2차</v>
      </c>
      <c r="D4138" s="1" t="str">
        <f>"0325F9815M"</f>
        <v>0325F9815M</v>
      </c>
      <c r="E4138" s="1" t="s">
        <v>10</v>
      </c>
      <c r="F4138" s="1" t="str">
        <f>"fde3:102:1440:4600:0:0:0:a"</f>
        <v>fde3:102:1440:4600:0:0:0:a</v>
      </c>
      <c r="G4138" s="1" t="str">
        <f>"0325F981"</f>
        <v>0325F981</v>
      </c>
      <c r="H4138" s="1" t="str">
        <f>"화수간 29L4L2"</f>
        <v>화수간 29L4L2</v>
      </c>
      <c r="I4138" s="1" t="s">
        <v>15</v>
      </c>
      <c r="J4138" s="1" t="str">
        <f>"40/40"</f>
        <v>40/40</v>
      </c>
      <c r="K4138" s="1" t="str">
        <f>"2026-07-29 14:20:16"</f>
        <v>2026-07-29 14:20:16</v>
      </c>
      <c r="L4138" s="1" t="str">
        <f>"2023-06-26 15:51:05"</f>
        <v>2023-06-26 15:51:05</v>
      </c>
      <c r="M4138" s="1" t="s">
        <v>45</v>
      </c>
      <c r="N4138" s="1" t="s">
        <v>38</v>
      </c>
      <c r="O4138" s="1" t="s">
        <v>46</v>
      </c>
    </row>
    <row r="4139" spans="2:15" x14ac:dyDescent="0.3">
      <c r="B4139" s="1" t="s">
        <v>23</v>
      </c>
      <c r="C4139" s="1" t="str">
        <f>"4차"</f>
        <v>4차</v>
      </c>
      <c r="D4139" s="1" t="str">
        <f>"0325G02144"</f>
        <v>0325G02144</v>
      </c>
      <c r="E4139" s="1" t="s">
        <v>10</v>
      </c>
      <c r="F4139" s="1" t="str">
        <f>"10.11.67.194"</f>
        <v>10.11.67.194</v>
      </c>
      <c r="G4139" s="1" t="str">
        <f>"0325G021"</f>
        <v>0325G021</v>
      </c>
      <c r="H4139" s="1" t="str">
        <f>"송정지 22"</f>
        <v>송정지 22</v>
      </c>
      <c r="I4139" s="1" t="s">
        <v>8</v>
      </c>
      <c r="J4139" s="1" t="str">
        <f>"49/49"</f>
        <v>49/49</v>
      </c>
      <c r="K4139" s="1" t="str">
        <f>"2026-07-29 13:18:03"</f>
        <v>2026-07-29 13:18:03</v>
      </c>
      <c r="L4139" s="1" t="str">
        <f>"2019-10-29 10:53:05"</f>
        <v>2019-10-29 10:53:05</v>
      </c>
      <c r="M4139" s="1" t="s">
        <v>2</v>
      </c>
      <c r="N4139" s="1" t="s">
        <v>38</v>
      </c>
      <c r="O4139" s="1" t="s">
        <v>46</v>
      </c>
    </row>
    <row r="4140" spans="2:15" x14ac:dyDescent="0.3">
      <c r="B4140" s="1" t="s">
        <v>23</v>
      </c>
      <c r="C4140" s="1" t="str">
        <f>"4차"</f>
        <v>4차</v>
      </c>
      <c r="D4140" s="1" t="str">
        <f>"0325G03444"</f>
        <v>0325G03444</v>
      </c>
      <c r="E4140" s="1" t="s">
        <v>10</v>
      </c>
      <c r="F4140" s="1" t="str">
        <f>"10.11.67.202"</f>
        <v>10.11.67.202</v>
      </c>
      <c r="G4140" s="1" t="str">
        <f>"0325G034"</f>
        <v>0325G034</v>
      </c>
      <c r="H4140" s="1" t="str">
        <f>"송정지 24"</f>
        <v>송정지 24</v>
      </c>
      <c r="I4140" s="1" t="s">
        <v>8</v>
      </c>
      <c r="J4140" s="1" t="str">
        <f>"81/81"</f>
        <v>81/81</v>
      </c>
      <c r="K4140" s="1" t="str">
        <f>"2026-07-29 13:18:02"</f>
        <v>2026-07-29 13:18:02</v>
      </c>
      <c r="L4140" s="1" t="str">
        <f>"2019-10-29 10:53:04"</f>
        <v>2019-10-29 10:53:04</v>
      </c>
      <c r="M4140" s="1" t="s">
        <v>2</v>
      </c>
      <c r="N4140" s="1" t="s">
        <v>38</v>
      </c>
      <c r="O4140" s="1" t="s">
        <v>46</v>
      </c>
    </row>
    <row r="4141" spans="2:15" x14ac:dyDescent="0.3">
      <c r="B4141" s="1" t="s">
        <v>23</v>
      </c>
      <c r="C4141" s="1" t="str">
        <f>"4차"</f>
        <v>4차</v>
      </c>
      <c r="D4141" s="1" t="str">
        <f>"0325G04444"</f>
        <v>0325G04444</v>
      </c>
      <c r="E4141" s="1" t="s">
        <v>10</v>
      </c>
      <c r="F4141" s="1" t="str">
        <f>"10.11.77.34"</f>
        <v>10.11.77.34</v>
      </c>
      <c r="G4141" s="1" t="str">
        <f>"0325G044"</f>
        <v>0325G044</v>
      </c>
      <c r="H4141" s="1" t="str">
        <f>"송정지 26"</f>
        <v>송정지 26</v>
      </c>
      <c r="I4141" s="1" t="s">
        <v>8</v>
      </c>
      <c r="J4141" s="1" t="str">
        <f>"18/18"</f>
        <v>18/18</v>
      </c>
      <c r="K4141" s="1" t="str">
        <f>"2026-07-29 13:18:02"</f>
        <v>2026-07-29 13:18:02</v>
      </c>
      <c r="L4141" s="1" t="str">
        <f>"2019-11-18 12:54:04"</f>
        <v>2019-11-18 12:54:04</v>
      </c>
      <c r="M4141" s="1" t="s">
        <v>2</v>
      </c>
      <c r="N4141" s="1" t="s">
        <v>38</v>
      </c>
      <c r="O4141" s="1" t="s">
        <v>46</v>
      </c>
    </row>
    <row r="4142" spans="2:15" x14ac:dyDescent="0.3">
      <c r="B4142" s="1" t="s">
        <v>23</v>
      </c>
      <c r="C4142" s="1" t="str">
        <f>"4차"</f>
        <v>4차</v>
      </c>
      <c r="D4142" s="1" t="str">
        <f>"0325G15144"</f>
        <v>0325G15144</v>
      </c>
      <c r="E4142" s="1" t="s">
        <v>10</v>
      </c>
      <c r="F4142" s="1" t="str">
        <f>"10.11.67.210"</f>
        <v>10.11.67.210</v>
      </c>
      <c r="G4142" s="1" t="str">
        <f>"0325G151"</f>
        <v>0325G151</v>
      </c>
      <c r="H4142" s="1" t="str">
        <f>"송정지 27"</f>
        <v>송정지 27</v>
      </c>
      <c r="I4142" s="1" t="s">
        <v>8</v>
      </c>
      <c r="J4142" s="1" t="str">
        <f>"55/56"</f>
        <v>55/56</v>
      </c>
      <c r="K4142" s="1" t="str">
        <f>"2026-07-29 13:18:02"</f>
        <v>2026-07-29 13:18:02</v>
      </c>
      <c r="L4142" s="1" t="str">
        <f>"2019-10-29 10:53:05"</f>
        <v>2019-10-29 10:53:05</v>
      </c>
      <c r="M4142" s="1" t="s">
        <v>2</v>
      </c>
      <c r="N4142" s="1" t="s">
        <v>38</v>
      </c>
      <c r="O4142" s="1" t="s">
        <v>46</v>
      </c>
    </row>
    <row r="4143" spans="2:15" x14ac:dyDescent="0.3">
      <c r="B4143" s="1" t="s">
        <v>23</v>
      </c>
      <c r="C4143" s="1" t="str">
        <f>"4차"</f>
        <v>4차</v>
      </c>
      <c r="D4143" s="1" t="str">
        <f>"0325G16444"</f>
        <v>0325G16444</v>
      </c>
      <c r="E4143" s="1" t="s">
        <v>10</v>
      </c>
      <c r="F4143" s="1" t="str">
        <f>"10.11.67.218"</f>
        <v>10.11.67.218</v>
      </c>
      <c r="G4143" s="1" t="str">
        <f>"0325G164"</f>
        <v>0325G164</v>
      </c>
      <c r="H4143" s="1" t="str">
        <f>"송정지 29"</f>
        <v>송정지 29</v>
      </c>
      <c r="I4143" s="1" t="s">
        <v>8</v>
      </c>
      <c r="J4143" s="1" t="str">
        <f>"35/38"</f>
        <v>35/38</v>
      </c>
      <c r="K4143" s="1" t="str">
        <f>"2026-07-29 13:18:02"</f>
        <v>2026-07-29 13:18:02</v>
      </c>
      <c r="L4143" s="1" t="str">
        <f>"2019-11-18 13:11:29"</f>
        <v>2019-11-18 13:11:29</v>
      </c>
      <c r="M4143" s="1" t="s">
        <v>2</v>
      </c>
      <c r="N4143" s="1" t="s">
        <v>38</v>
      </c>
      <c r="O4143" s="1" t="s">
        <v>46</v>
      </c>
    </row>
    <row r="4144" spans="2:15" x14ac:dyDescent="0.3">
      <c r="B4144" s="1" t="s">
        <v>23</v>
      </c>
      <c r="C4144" s="1" t="str">
        <f>"3차"</f>
        <v>3차</v>
      </c>
      <c r="D4144" s="1" t="str">
        <f>"0325G20239"</f>
        <v>0325G20239</v>
      </c>
      <c r="E4144" s="1" t="s">
        <v>10</v>
      </c>
      <c r="F4144" s="1" t="str">
        <f>"10.11.57.154"</f>
        <v>10.11.57.154</v>
      </c>
      <c r="G4144" s="1" t="str">
        <f>"0325G202"</f>
        <v>0325G202</v>
      </c>
      <c r="H4144" s="1" t="str">
        <f>"화동간 63"</f>
        <v>화동간 63</v>
      </c>
      <c r="I4144" s="1" t="s">
        <v>8</v>
      </c>
      <c r="J4144" s="1" t="str">
        <f>"41/41"</f>
        <v>41/41</v>
      </c>
      <c r="K4144" s="1" t="str">
        <f>"2026-07-29 13:18:02"</f>
        <v>2026-07-29 13:18:02</v>
      </c>
      <c r="L4144" s="1" t="str">
        <f>"2018-04-27 13:08:26"</f>
        <v>2018-04-27 13:08:26</v>
      </c>
      <c r="M4144" s="1" t="s">
        <v>2</v>
      </c>
      <c r="N4144" s="1" t="s">
        <v>38</v>
      </c>
      <c r="O4144" s="1" t="s">
        <v>46</v>
      </c>
    </row>
    <row r="4145" spans="2:15" x14ac:dyDescent="0.3">
      <c r="B4145" s="1" t="s">
        <v>23</v>
      </c>
      <c r="C4145" s="1" t="str">
        <f>"3차"</f>
        <v>3차</v>
      </c>
      <c r="D4145" s="1" t="str">
        <f>"0325G23139"</f>
        <v>0325G23139</v>
      </c>
      <c r="E4145" s="1" t="s">
        <v>10</v>
      </c>
      <c r="F4145" s="1" t="str">
        <f>"10.11.81.50"</f>
        <v>10.11.81.50</v>
      </c>
      <c r="G4145" s="1" t="str">
        <f>"0325G231"</f>
        <v>0325G231</v>
      </c>
      <c r="H4145" s="1" t="str">
        <f>"송정지 35"</f>
        <v>송정지 35</v>
      </c>
      <c r="I4145" s="1" t="s">
        <v>8</v>
      </c>
      <c r="J4145" s="1" t="str">
        <f>"35/35"</f>
        <v>35/35</v>
      </c>
      <c r="K4145" s="1" t="str">
        <f>"2026-07-29 13:18:01"</f>
        <v>2026-07-29 13:18:01</v>
      </c>
      <c r="L4145" s="1" t="str">
        <f>"2018-04-18 09:22:11"</f>
        <v>2018-04-18 09:22:11</v>
      </c>
      <c r="M4145" s="1" t="s">
        <v>2</v>
      </c>
      <c r="N4145" s="1" t="s">
        <v>38</v>
      </c>
      <c r="O4145" s="1" t="s">
        <v>46</v>
      </c>
    </row>
    <row r="4146" spans="2:15" x14ac:dyDescent="0.3">
      <c r="B4146" s="1" t="s">
        <v>23</v>
      </c>
      <c r="C4146" s="1" t="str">
        <f>"4차"</f>
        <v>4차</v>
      </c>
      <c r="D4146" s="1" t="str">
        <f>"0325G23244"</f>
        <v>0325G23244</v>
      </c>
      <c r="E4146" s="1" t="s">
        <v>10</v>
      </c>
      <c r="F4146" s="1" t="str">
        <f>"10.11.67.250"</f>
        <v>10.11.67.250</v>
      </c>
      <c r="G4146" s="1" t="str">
        <f>"0325G232"</f>
        <v>0325G232</v>
      </c>
      <c r="H4146" s="1" t="str">
        <f>"송정지 35L1"</f>
        <v>송정지 35L1</v>
      </c>
      <c r="I4146" s="1" t="s">
        <v>8</v>
      </c>
      <c r="J4146" s="1" t="str">
        <f>"51/51"</f>
        <v>51/51</v>
      </c>
      <c r="K4146" s="1" t="str">
        <f>"2026-07-29 13:18:03"</f>
        <v>2026-07-29 13:18:03</v>
      </c>
      <c r="L4146" s="1" t="str">
        <f>"2021-07-28 16:39:43"</f>
        <v>2021-07-28 16:39:43</v>
      </c>
      <c r="M4146" s="1" t="s">
        <v>2</v>
      </c>
      <c r="N4146" s="1" t="s">
        <v>38</v>
      </c>
      <c r="O4146" s="1" t="s">
        <v>46</v>
      </c>
    </row>
    <row r="4147" spans="2:15" x14ac:dyDescent="0.3">
      <c r="B4147" s="1" t="s">
        <v>23</v>
      </c>
      <c r="C4147" s="1" t="str">
        <f>"4차"</f>
        <v>4차</v>
      </c>
      <c r="D4147" s="1" t="str">
        <f>"0325G24244"</f>
        <v>0325G24244</v>
      </c>
      <c r="E4147" s="1" t="s">
        <v>10</v>
      </c>
      <c r="F4147" s="1" t="str">
        <f>"10.11.67.242"</f>
        <v>10.11.67.242</v>
      </c>
      <c r="G4147" s="1" t="str">
        <f>"0325G242"</f>
        <v>0325G242</v>
      </c>
      <c r="H4147" s="1" t="str">
        <f>"송정지 33"</f>
        <v>송정지 33</v>
      </c>
      <c r="I4147" s="1" t="s">
        <v>8</v>
      </c>
      <c r="J4147" s="1" t="str">
        <f>"47/47"</f>
        <v>47/47</v>
      </c>
      <c r="K4147" s="1" t="str">
        <f>"2026-07-29 13:18:02"</f>
        <v>2026-07-29 13:18:02</v>
      </c>
      <c r="L4147" s="1" t="str">
        <f>"2019-10-29 10:53:05"</f>
        <v>2019-10-29 10:53:05</v>
      </c>
      <c r="M4147" s="1" t="s">
        <v>2</v>
      </c>
      <c r="N4147" s="1" t="s">
        <v>38</v>
      </c>
      <c r="O4147" s="1" t="s">
        <v>46</v>
      </c>
    </row>
    <row r="4148" spans="2:15" x14ac:dyDescent="0.3">
      <c r="B4148" s="1" t="s">
        <v>23</v>
      </c>
      <c r="C4148" s="1" t="str">
        <f>"4차"</f>
        <v>4차</v>
      </c>
      <c r="D4148" s="1" t="str">
        <f>"0325G25344"</f>
        <v>0325G25344</v>
      </c>
      <c r="E4148" s="1" t="s">
        <v>10</v>
      </c>
      <c r="F4148" s="1" t="str">
        <f>"10.11.67.226"</f>
        <v>10.11.67.226</v>
      </c>
      <c r="G4148" s="1" t="str">
        <f>"0325G253"</f>
        <v>0325G253</v>
      </c>
      <c r="H4148" s="1" t="str">
        <f>"송정지 32L1"</f>
        <v>송정지 32L1</v>
      </c>
      <c r="I4148" s="1" t="s">
        <v>8</v>
      </c>
      <c r="J4148" s="1" t="str">
        <f>"46/50"</f>
        <v>46/50</v>
      </c>
      <c r="K4148" s="1" t="str">
        <f>"2026-07-29 13:18:02"</f>
        <v>2026-07-29 13:18:02</v>
      </c>
      <c r="L4148" s="1" t="str">
        <f>"2019-10-29 10:53:05"</f>
        <v>2019-10-29 10:53:05</v>
      </c>
      <c r="M4148" s="1" t="s">
        <v>2</v>
      </c>
      <c r="N4148" s="1" t="s">
        <v>38</v>
      </c>
      <c r="O4148" s="1" t="s">
        <v>46</v>
      </c>
    </row>
    <row r="4149" spans="2:15" x14ac:dyDescent="0.3">
      <c r="B4149" s="1" t="s">
        <v>23</v>
      </c>
      <c r="C4149" s="1" t="str">
        <f>"4차"</f>
        <v>4차</v>
      </c>
      <c r="D4149" s="1" t="str">
        <f>"0325G26144"</f>
        <v>0325G26144</v>
      </c>
      <c r="E4149" s="1" t="s">
        <v>10</v>
      </c>
      <c r="F4149" s="1" t="str">
        <f>"10.11.67.234"</f>
        <v>10.11.67.234</v>
      </c>
      <c r="G4149" s="1" t="str">
        <f>"0325G261"</f>
        <v>0325G261</v>
      </c>
      <c r="H4149" s="1" t="str">
        <f>"송정지 32L2"</f>
        <v>송정지 32L2</v>
      </c>
      <c r="I4149" s="1" t="s">
        <v>8</v>
      </c>
      <c r="J4149" s="1" t="str">
        <f>"46/46"</f>
        <v>46/46</v>
      </c>
      <c r="K4149" s="1" t="str">
        <f>"2026-07-29 13:18:01"</f>
        <v>2026-07-29 13:18:01</v>
      </c>
      <c r="L4149" s="1" t="str">
        <f>"2019-10-29 10:53:05"</f>
        <v>2019-10-29 10:53:05</v>
      </c>
      <c r="M4149" s="1" t="s">
        <v>2</v>
      </c>
      <c r="N4149" s="1" t="s">
        <v>38</v>
      </c>
      <c r="O4149" s="1" t="s">
        <v>46</v>
      </c>
    </row>
    <row r="4150" spans="2:15" x14ac:dyDescent="0.3">
      <c r="B4150" s="1" t="s">
        <v>23</v>
      </c>
      <c r="C4150" s="1" t="str">
        <f>"4차"</f>
        <v>4차</v>
      </c>
      <c r="D4150" s="1" t="str">
        <f>"0325G27144"</f>
        <v>0325G27144</v>
      </c>
      <c r="E4150" s="1" t="s">
        <v>10</v>
      </c>
      <c r="F4150" s="1" t="str">
        <f>"10.11.77.42"</f>
        <v>10.11.77.42</v>
      </c>
      <c r="G4150" s="1" t="str">
        <f>"0325G271"</f>
        <v>0325G271</v>
      </c>
      <c r="H4150" s="1" t="str">
        <f>"송정지 32L3"</f>
        <v>송정지 32L3</v>
      </c>
      <c r="I4150" s="1" t="s">
        <v>8</v>
      </c>
      <c r="J4150" s="1" t="str">
        <f>"10/10"</f>
        <v>10/10</v>
      </c>
      <c r="K4150" s="1" t="str">
        <f>"2026-07-29 13:18:02"</f>
        <v>2026-07-29 13:18:02</v>
      </c>
      <c r="L4150" s="1" t="str">
        <f>"2019-10-29 10:43:05"</f>
        <v>2019-10-29 10:43:05</v>
      </c>
      <c r="M4150" s="1" t="s">
        <v>2</v>
      </c>
      <c r="N4150" s="1" t="s">
        <v>38</v>
      </c>
      <c r="O4150" s="1" t="s">
        <v>46</v>
      </c>
    </row>
    <row r="4151" spans="2:15" x14ac:dyDescent="0.3">
      <c r="B4151" s="1" t="s">
        <v>23</v>
      </c>
      <c r="C4151" s="1" t="str">
        <f>"3차"</f>
        <v>3차</v>
      </c>
      <c r="D4151" s="1" t="str">
        <f>"0325G31139"</f>
        <v>0325G31139</v>
      </c>
      <c r="E4151" s="1" t="s">
        <v>10</v>
      </c>
      <c r="F4151" s="1" t="str">
        <f>"10.11.57.186"</f>
        <v>10.11.57.186</v>
      </c>
      <c r="G4151" s="1" t="str">
        <f>"0325G311"</f>
        <v>0325G311</v>
      </c>
      <c r="H4151" s="1" t="str">
        <f>"화동간 61L1"</f>
        <v>화동간 61L1</v>
      </c>
      <c r="I4151" s="1" t="s">
        <v>8</v>
      </c>
      <c r="J4151" s="1" t="str">
        <f>"19/19"</f>
        <v>19/19</v>
      </c>
      <c r="K4151" s="1" t="str">
        <f>"2026-07-29 13:18:03"</f>
        <v>2026-07-29 13:18:03</v>
      </c>
      <c r="L4151" s="1" t="str">
        <f>"2018-04-27 13:10:58"</f>
        <v>2018-04-27 13:10:58</v>
      </c>
      <c r="M4151" s="1" t="s">
        <v>2</v>
      </c>
      <c r="N4151" s="1" t="s">
        <v>38</v>
      </c>
      <c r="O4151" s="1" t="s">
        <v>46</v>
      </c>
    </row>
    <row r="4152" spans="2:15" x14ac:dyDescent="0.3">
      <c r="B4152" s="1" t="s">
        <v>23</v>
      </c>
      <c r="C4152" s="1" t="str">
        <f>"3차"</f>
        <v>3차</v>
      </c>
      <c r="D4152" s="1" t="str">
        <f>"0325G31239"</f>
        <v>0325G31239</v>
      </c>
      <c r="E4152" s="1" t="s">
        <v>10</v>
      </c>
      <c r="F4152" s="1" t="str">
        <f>"10.11.58.50"</f>
        <v>10.11.58.50</v>
      </c>
      <c r="G4152" s="1" t="str">
        <f>"0325G312"</f>
        <v>0325G312</v>
      </c>
      <c r="H4152" s="1" t="str">
        <f>"공원간 38R7L2"</f>
        <v>공원간 38R7L2</v>
      </c>
      <c r="I4152" s="1" t="s">
        <v>8</v>
      </c>
      <c r="J4152" s="1" t="str">
        <f>"40/40"</f>
        <v>40/40</v>
      </c>
      <c r="K4152" s="1" t="str">
        <f>"2026-07-29 13:18:02"</f>
        <v>2026-07-29 13:18:02</v>
      </c>
      <c r="L4152" s="1" t="str">
        <f>"2018-03-23 09:59:24"</f>
        <v>2018-03-23 09:59:24</v>
      </c>
      <c r="M4152" s="1" t="s">
        <v>2</v>
      </c>
      <c r="N4152" s="1" t="s">
        <v>38</v>
      </c>
      <c r="O4152" s="1" t="s">
        <v>46</v>
      </c>
    </row>
    <row r="4153" spans="2:15" x14ac:dyDescent="0.3">
      <c r="B4153" s="1" t="s">
        <v>23</v>
      </c>
      <c r="C4153" s="1" t="str">
        <f>"3차"</f>
        <v>3차</v>
      </c>
      <c r="D4153" s="1" t="str">
        <f>"0325G32139"</f>
        <v>0325G32139</v>
      </c>
      <c r="E4153" s="1" t="s">
        <v>10</v>
      </c>
      <c r="F4153" s="1" t="str">
        <f>"10.11.61.226"</f>
        <v>10.11.61.226</v>
      </c>
      <c r="G4153" s="1" t="str">
        <f>"0325G321"</f>
        <v>0325G321</v>
      </c>
      <c r="H4153" s="1" t="str">
        <f>"화동간 59"</f>
        <v>화동간 59</v>
      </c>
      <c r="I4153" s="1" t="s">
        <v>8</v>
      </c>
      <c r="J4153" s="1" t="str">
        <f>"18/18"</f>
        <v>18/18</v>
      </c>
      <c r="K4153" s="1" t="str">
        <f>"2026-07-29 13:18:03"</f>
        <v>2026-07-29 13:18:03</v>
      </c>
      <c r="L4153" s="1" t="str">
        <f>"2018-04-26 10:23:10"</f>
        <v>2018-04-26 10:23:10</v>
      </c>
      <c r="M4153" s="1" t="s">
        <v>2</v>
      </c>
      <c r="N4153" s="1" t="s">
        <v>38</v>
      </c>
      <c r="O4153" s="1" t="s">
        <v>46</v>
      </c>
    </row>
    <row r="4154" spans="2:15" x14ac:dyDescent="0.3">
      <c r="B4154" s="1" t="s">
        <v>23</v>
      </c>
      <c r="C4154" s="1" t="str">
        <f>"4차"</f>
        <v>4차</v>
      </c>
      <c r="D4154" s="1" t="str">
        <f>"0325G33344"</f>
        <v>0325G33344</v>
      </c>
      <c r="E4154" s="1" t="s">
        <v>10</v>
      </c>
      <c r="F4154" s="1" t="str">
        <f>"10.11.68.2"</f>
        <v>10.11.68.2</v>
      </c>
      <c r="G4154" s="1" t="str">
        <f>"0325G333"</f>
        <v>0325G333</v>
      </c>
      <c r="H4154" s="1" t="str">
        <f>"송정지 35L2"</f>
        <v>송정지 35L2</v>
      </c>
      <c r="I4154" s="1" t="s">
        <v>8</v>
      </c>
      <c r="J4154" s="1" t="str">
        <f>"29/29"</f>
        <v>29/29</v>
      </c>
      <c r="K4154" s="1" t="str">
        <f>"2026-07-29 13:18:02"</f>
        <v>2026-07-29 13:18:02</v>
      </c>
      <c r="L4154" s="1" t="str">
        <f>"2019-10-29 10:53:05"</f>
        <v>2019-10-29 10:53:05</v>
      </c>
      <c r="M4154" s="1" t="s">
        <v>2</v>
      </c>
      <c r="N4154" s="1" t="s">
        <v>38</v>
      </c>
      <c r="O4154" s="1" t="s">
        <v>46</v>
      </c>
    </row>
    <row r="4155" spans="2:15" x14ac:dyDescent="0.3">
      <c r="B4155" s="1" t="s">
        <v>23</v>
      </c>
      <c r="C4155" s="1" t="str">
        <f>"4차"</f>
        <v>4차</v>
      </c>
      <c r="D4155" s="1" t="str">
        <f>"0325G34544"</f>
        <v>0325G34544</v>
      </c>
      <c r="E4155" s="1" t="s">
        <v>10</v>
      </c>
      <c r="F4155" s="1" t="str">
        <f>"10.11.75.90"</f>
        <v>10.11.75.90</v>
      </c>
      <c r="G4155" s="1" t="str">
        <f>"0325G345"</f>
        <v>0325G345</v>
      </c>
      <c r="H4155" s="1" t="str">
        <f>"화군간 53"</f>
        <v>화군간 53</v>
      </c>
      <c r="I4155" s="1" t="s">
        <v>8</v>
      </c>
      <c r="J4155" s="1" t="str">
        <f>"39/39"</f>
        <v>39/39</v>
      </c>
      <c r="K4155" s="1" t="str">
        <f t="shared" ref="K4155:K4160" si="238">"2026-07-29 13:18:03"</f>
        <v>2026-07-29 13:18:03</v>
      </c>
      <c r="L4155" s="1" t="str">
        <f>"2019-11-18 23:36:31"</f>
        <v>2019-11-18 23:36:31</v>
      </c>
      <c r="M4155" s="1" t="s">
        <v>2</v>
      </c>
      <c r="N4155" s="1" t="s">
        <v>38</v>
      </c>
      <c r="O4155" s="1" t="s">
        <v>46</v>
      </c>
    </row>
    <row r="4156" spans="2:15" x14ac:dyDescent="0.3">
      <c r="B4156" s="1" t="s">
        <v>23</v>
      </c>
      <c r="C4156" s="1" t="str">
        <f>"4차"</f>
        <v>4차</v>
      </c>
      <c r="D4156" s="1" t="str">
        <f>"0325G39144"</f>
        <v>0325G39144</v>
      </c>
      <c r="E4156" s="1" t="s">
        <v>10</v>
      </c>
      <c r="F4156" s="1" t="str">
        <f>"10.11.75.82"</f>
        <v>10.11.75.82</v>
      </c>
      <c r="G4156" s="1" t="str">
        <f>"0325G391"</f>
        <v>0325G391</v>
      </c>
      <c r="H4156" s="1" t="str">
        <f>"화군간 44R6"</f>
        <v>화군간 44R6</v>
      </c>
      <c r="I4156" s="1" t="s">
        <v>8</v>
      </c>
      <c r="J4156" s="1" t="str">
        <f>"55/55"</f>
        <v>55/55</v>
      </c>
      <c r="K4156" s="1" t="str">
        <f t="shared" si="238"/>
        <v>2026-07-29 13:18:03</v>
      </c>
      <c r="L4156" s="1" t="str">
        <f>"2019-11-18 23:36:02"</f>
        <v>2019-11-18 23:36:02</v>
      </c>
      <c r="M4156" s="1" t="s">
        <v>2</v>
      </c>
      <c r="N4156" s="1" t="s">
        <v>38</v>
      </c>
      <c r="O4156" s="1" t="s">
        <v>46</v>
      </c>
    </row>
    <row r="4157" spans="2:15" x14ac:dyDescent="0.3">
      <c r="B4157" s="1" t="s">
        <v>23</v>
      </c>
      <c r="C4157" s="1" t="str">
        <f>"4차"</f>
        <v>4차</v>
      </c>
      <c r="D4157" s="1" t="str">
        <f>"0325G39344"</f>
        <v>0325G39344</v>
      </c>
      <c r="E4157" s="1" t="s">
        <v>10</v>
      </c>
      <c r="F4157" s="1" t="str">
        <f>"10.11.75.74"</f>
        <v>10.11.75.74</v>
      </c>
      <c r="G4157" s="1" t="str">
        <f>"0325G393"</f>
        <v>0325G393</v>
      </c>
      <c r="H4157" s="1" t="str">
        <f>"화군간 44R3"</f>
        <v>화군간 44R3</v>
      </c>
      <c r="I4157" s="1" t="s">
        <v>8</v>
      </c>
      <c r="J4157" s="1" t="str">
        <f>"64/64"</f>
        <v>64/64</v>
      </c>
      <c r="K4157" s="1" t="str">
        <f t="shared" si="238"/>
        <v>2026-07-29 13:18:03</v>
      </c>
      <c r="L4157" s="1" t="str">
        <f>"2019-11-18 23:35:56"</f>
        <v>2019-11-18 23:35:56</v>
      </c>
      <c r="M4157" s="1" t="s">
        <v>2</v>
      </c>
      <c r="N4157" s="1" t="s">
        <v>38</v>
      </c>
      <c r="O4157" s="1" t="s">
        <v>46</v>
      </c>
    </row>
    <row r="4158" spans="2:15" x14ac:dyDescent="0.3">
      <c r="B4158" s="1" t="s">
        <v>23</v>
      </c>
      <c r="C4158" s="1" t="str">
        <f>"3차"</f>
        <v>3차</v>
      </c>
      <c r="D4158" s="1" t="str">
        <f>"0325G40139"</f>
        <v>0325G40139</v>
      </c>
      <c r="E4158" s="1" t="s">
        <v>10</v>
      </c>
      <c r="F4158" s="1" t="str">
        <f>"10.11.58.42"</f>
        <v>10.11.58.42</v>
      </c>
      <c r="G4158" s="1" t="str">
        <f>"0325G401"</f>
        <v>0325G401</v>
      </c>
      <c r="H4158" s="1" t="str">
        <f>"공원간 38R6"</f>
        <v>공원간 38R6</v>
      </c>
      <c r="I4158" s="1" t="s">
        <v>8</v>
      </c>
      <c r="J4158" s="1" t="str">
        <f>"13/13"</f>
        <v>13/13</v>
      </c>
      <c r="K4158" s="1" t="str">
        <f t="shared" si="238"/>
        <v>2026-07-29 13:18:03</v>
      </c>
      <c r="L4158" s="1" t="str">
        <f>"2018-03-23 11:54:55"</f>
        <v>2018-03-23 11:54:55</v>
      </c>
      <c r="M4158" s="1" t="s">
        <v>2</v>
      </c>
      <c r="N4158" s="1" t="s">
        <v>38</v>
      </c>
      <c r="O4158" s="1" t="s">
        <v>46</v>
      </c>
    </row>
    <row r="4159" spans="2:15" x14ac:dyDescent="0.3">
      <c r="B4159" s="1" t="s">
        <v>23</v>
      </c>
      <c r="C4159" s="1" t="str">
        <f>"3차"</f>
        <v>3차</v>
      </c>
      <c r="D4159" s="1" t="str">
        <f>"0325G41239"</f>
        <v>0325G41239</v>
      </c>
      <c r="E4159" s="1" t="s">
        <v>10</v>
      </c>
      <c r="F4159" s="1" t="str">
        <f>"10.11.58.18"</f>
        <v>10.11.58.18</v>
      </c>
      <c r="G4159" s="1" t="str">
        <f>"0325G412"</f>
        <v>0325G412</v>
      </c>
      <c r="H4159" s="1" t="str">
        <f>"공원간 38R10"</f>
        <v>공원간 38R10</v>
      </c>
      <c r="I4159" s="1" t="s">
        <v>8</v>
      </c>
      <c r="J4159" s="1" t="str">
        <f>"94/101"</f>
        <v>94/101</v>
      </c>
      <c r="K4159" s="1" t="str">
        <f t="shared" si="238"/>
        <v>2026-07-29 13:18:03</v>
      </c>
      <c r="L4159" s="1" t="str">
        <f>"2018-03-22 16:38:13"</f>
        <v>2018-03-22 16:38:13</v>
      </c>
      <c r="M4159" s="1" t="s">
        <v>2</v>
      </c>
      <c r="N4159" s="1" t="s">
        <v>38</v>
      </c>
      <c r="O4159" s="1" t="s">
        <v>46</v>
      </c>
    </row>
    <row r="4160" spans="2:15" x14ac:dyDescent="0.3">
      <c r="B4160" s="1" t="s">
        <v>23</v>
      </c>
      <c r="C4160" s="1" t="str">
        <f>"4차"</f>
        <v>4차</v>
      </c>
      <c r="D4160" s="1" t="str">
        <f>"0325G43139"</f>
        <v>0325G43139</v>
      </c>
      <c r="E4160" s="1" t="s">
        <v>10</v>
      </c>
      <c r="F4160" s="1" t="str">
        <f>"10.11.57.178"</f>
        <v>10.11.57.178</v>
      </c>
      <c r="G4160" s="1" t="str">
        <f>"0325G431"</f>
        <v>0325G431</v>
      </c>
      <c r="H4160" s="1" t="str">
        <f>"화동간 57L1"</f>
        <v>화동간 57L1</v>
      </c>
      <c r="I4160" s="1" t="s">
        <v>8</v>
      </c>
      <c r="J4160" s="1" t="str">
        <f>"85/87"</f>
        <v>85/87</v>
      </c>
      <c r="K4160" s="1" t="str">
        <f t="shared" si="238"/>
        <v>2026-07-29 13:18:03</v>
      </c>
      <c r="L4160" s="1" t="str">
        <f>"2018-04-30 16:30:59"</f>
        <v>2018-04-30 16:30:59</v>
      </c>
      <c r="M4160" s="1" t="s">
        <v>2</v>
      </c>
      <c r="N4160" s="1" t="s">
        <v>38</v>
      </c>
      <c r="O4160" s="1" t="s">
        <v>46</v>
      </c>
    </row>
    <row r="4161" spans="2:15" x14ac:dyDescent="0.3">
      <c r="B4161" s="1" t="s">
        <v>23</v>
      </c>
      <c r="C4161" s="1" t="str">
        <f t="shared" ref="C4161:C4176" si="239">"3차"</f>
        <v>3차</v>
      </c>
      <c r="D4161" s="1" t="str">
        <f>"0325G45239"</f>
        <v>0325G45239</v>
      </c>
      <c r="E4161" s="1" t="s">
        <v>10</v>
      </c>
      <c r="F4161" s="1" t="str">
        <f>"10.11.57.170"</f>
        <v>10.11.57.170</v>
      </c>
      <c r="G4161" s="1" t="str">
        <f>"0325G452"</f>
        <v>0325G452</v>
      </c>
      <c r="H4161" s="1" t="str">
        <f>"화동간 55L1"</f>
        <v>화동간 55L1</v>
      </c>
      <c r="I4161" s="1" t="s">
        <v>8</v>
      </c>
      <c r="J4161" s="1" t="str">
        <f>"51/51"</f>
        <v>51/51</v>
      </c>
      <c r="K4161" s="1" t="str">
        <f>"2026-07-29 13:18:01"</f>
        <v>2026-07-29 13:18:01</v>
      </c>
      <c r="L4161" s="1" t="str">
        <f>"2018-04-30 16:53:42"</f>
        <v>2018-04-30 16:53:42</v>
      </c>
      <c r="M4161" s="1" t="s">
        <v>2</v>
      </c>
      <c r="N4161" s="1" t="s">
        <v>38</v>
      </c>
      <c r="O4161" s="1" t="s">
        <v>46</v>
      </c>
    </row>
    <row r="4162" spans="2:15" x14ac:dyDescent="0.3">
      <c r="B4162" s="1" t="s">
        <v>23</v>
      </c>
      <c r="C4162" s="1" t="str">
        <f t="shared" si="239"/>
        <v>3차</v>
      </c>
      <c r="D4162" s="1" t="str">
        <f>"0325G45439"</f>
        <v>0325G45439</v>
      </c>
      <c r="E4162" s="1" t="s">
        <v>10</v>
      </c>
      <c r="F4162" s="1" t="str">
        <f>"10.11.81.58"</f>
        <v>10.11.81.58</v>
      </c>
      <c r="G4162" s="1" t="str">
        <f>"0325G454"</f>
        <v>0325G454</v>
      </c>
      <c r="H4162" s="1" t="str">
        <f>"화군간 51"</f>
        <v>화군간 51</v>
      </c>
      <c r="I4162" s="1" t="s">
        <v>8</v>
      </c>
      <c r="J4162" s="1" t="str">
        <f>"31/31"</f>
        <v>31/31</v>
      </c>
      <c r="K4162" s="1" t="str">
        <f>"2026-07-29 13:18:03"</f>
        <v>2026-07-29 13:18:03</v>
      </c>
      <c r="L4162" s="1" t="str">
        <f>"2018-04-18 08:55:39"</f>
        <v>2018-04-18 08:55:39</v>
      </c>
      <c r="M4162" s="1" t="s">
        <v>2</v>
      </c>
      <c r="N4162" s="1" t="s">
        <v>38</v>
      </c>
      <c r="O4162" s="1" t="s">
        <v>46</v>
      </c>
    </row>
    <row r="4163" spans="2:15" x14ac:dyDescent="0.3">
      <c r="B4163" s="1" t="s">
        <v>23</v>
      </c>
      <c r="C4163" s="1" t="str">
        <f t="shared" si="239"/>
        <v>3차</v>
      </c>
      <c r="D4163" s="1" t="str">
        <f>"0325G50539"</f>
        <v>0325G50539</v>
      </c>
      <c r="E4163" s="1" t="s">
        <v>18</v>
      </c>
      <c r="F4163" s="1" t="str">
        <f>"10.11.56.90"</f>
        <v>10.11.56.90</v>
      </c>
      <c r="G4163" s="1" t="str">
        <f>"0325G505"</f>
        <v>0325G505</v>
      </c>
      <c r="H4163" s="1" t="str">
        <f>"공원간 34R1"</f>
        <v>공원간 34R1</v>
      </c>
      <c r="I4163" s="1" t="s">
        <v>8</v>
      </c>
      <c r="J4163" s="1" t="str">
        <f>"0/21"</f>
        <v>0/21</v>
      </c>
      <c r="K4163" s="1" t="str">
        <f>"2026-07-26 20:03:26"</f>
        <v>2026-07-26 20:03:26</v>
      </c>
      <c r="L4163" s="1" t="str">
        <f>"2018-04-25 09:07:55"</f>
        <v>2018-04-25 09:07:55</v>
      </c>
      <c r="M4163" s="1" t="s">
        <v>2</v>
      </c>
      <c r="N4163" s="1" t="s">
        <v>38</v>
      </c>
      <c r="O4163" s="1" t="s">
        <v>46</v>
      </c>
    </row>
    <row r="4164" spans="2:15" x14ac:dyDescent="0.3">
      <c r="B4164" s="1" t="s">
        <v>23</v>
      </c>
      <c r="C4164" s="1" t="str">
        <f t="shared" si="239"/>
        <v>3차</v>
      </c>
      <c r="D4164" s="1" t="str">
        <f>"0325G51139"</f>
        <v>0325G51139</v>
      </c>
      <c r="E4164" s="1" t="s">
        <v>10</v>
      </c>
      <c r="F4164" s="1" t="str">
        <f>"10.11.51.50"</f>
        <v>10.11.51.50</v>
      </c>
      <c r="G4164" s="1" t="str">
        <f>"0325G511"</f>
        <v>0325G511</v>
      </c>
      <c r="H4164" s="1" t="str">
        <f>"공원간 38R8"</f>
        <v>공원간 38R8</v>
      </c>
      <c r="I4164" s="1" t="s">
        <v>8</v>
      </c>
      <c r="J4164" s="1" t="str">
        <f>"48/49"</f>
        <v>48/49</v>
      </c>
      <c r="K4164" s="1" t="str">
        <f>"2026-07-29 13:18:02"</f>
        <v>2026-07-29 13:18:02</v>
      </c>
      <c r="L4164" s="1" t="str">
        <f>"2018-03-22 16:34:14"</f>
        <v>2018-03-22 16:34:14</v>
      </c>
      <c r="M4164" s="1" t="s">
        <v>2</v>
      </c>
      <c r="N4164" s="1" t="s">
        <v>38</v>
      </c>
      <c r="O4164" s="1" t="s">
        <v>46</v>
      </c>
    </row>
    <row r="4165" spans="2:15" x14ac:dyDescent="0.3">
      <c r="B4165" s="1" t="s">
        <v>23</v>
      </c>
      <c r="C4165" s="1" t="str">
        <f t="shared" si="239"/>
        <v>3차</v>
      </c>
      <c r="D4165" s="1" t="str">
        <f>"0325G52130"</f>
        <v>0325G52130</v>
      </c>
      <c r="E4165" s="1" t="s">
        <v>10</v>
      </c>
      <c r="F4165" s="1" t="str">
        <f>"10.11.51.34"</f>
        <v>10.11.51.34</v>
      </c>
      <c r="G4165" s="1" t="str">
        <f>"0325G521"</f>
        <v>0325G521</v>
      </c>
      <c r="H4165" s="1" t="str">
        <f>"공원간 31R3"</f>
        <v>공원간 31R3</v>
      </c>
      <c r="I4165" s="1" t="s">
        <v>8</v>
      </c>
      <c r="J4165" s="1" t="str">
        <f>"52/52"</f>
        <v>52/52</v>
      </c>
      <c r="K4165" s="1" t="str">
        <f>"2026-07-29 13:18:03"</f>
        <v>2026-07-29 13:18:03</v>
      </c>
      <c r="L4165" s="1" t="str">
        <f>"2018-03-22 09:08:55"</f>
        <v>2018-03-22 09:08:55</v>
      </c>
      <c r="M4165" s="1" t="s">
        <v>2</v>
      </c>
      <c r="N4165" s="1" t="s">
        <v>38</v>
      </c>
      <c r="O4165" s="1" t="s">
        <v>46</v>
      </c>
    </row>
    <row r="4166" spans="2:15" x14ac:dyDescent="0.3">
      <c r="B4166" s="1" t="s">
        <v>23</v>
      </c>
      <c r="C4166" s="1" t="str">
        <f t="shared" si="239"/>
        <v>3차</v>
      </c>
      <c r="D4166" s="1" t="str">
        <f>"0325G53231"</f>
        <v>0325G53231</v>
      </c>
      <c r="E4166" s="1" t="s">
        <v>10</v>
      </c>
      <c r="F4166" s="1" t="str">
        <f>"10.11.51.35"</f>
        <v>10.11.51.35</v>
      </c>
      <c r="G4166" s="1" t="str">
        <f>"0325G532"</f>
        <v>0325G532</v>
      </c>
      <c r="H4166" s="1" t="str">
        <f>"공원간 31R4"</f>
        <v>공원간 31R4</v>
      </c>
      <c r="I4166" s="1" t="s">
        <v>8</v>
      </c>
      <c r="J4166" s="1" t="str">
        <f>"20/20"</f>
        <v>20/20</v>
      </c>
      <c r="K4166" s="1" t="str">
        <f>"2026-07-29 13:18:01"</f>
        <v>2026-07-29 13:18:01</v>
      </c>
      <c r="L4166" s="1" t="str">
        <f>"2018-06-01 15:31:12"</f>
        <v>2018-06-01 15:31:12</v>
      </c>
      <c r="M4166" s="1" t="s">
        <v>2</v>
      </c>
      <c r="N4166" s="1" t="s">
        <v>38</v>
      </c>
      <c r="O4166" s="1" t="s">
        <v>46</v>
      </c>
    </row>
    <row r="4167" spans="2:15" x14ac:dyDescent="0.3">
      <c r="B4167" s="1" t="s">
        <v>23</v>
      </c>
      <c r="C4167" s="1" t="str">
        <f t="shared" si="239"/>
        <v>3차</v>
      </c>
      <c r="D4167" s="1" t="str">
        <f>"0325G55130"</f>
        <v>0325G55130</v>
      </c>
      <c r="E4167" s="1" t="s">
        <v>10</v>
      </c>
      <c r="F4167" s="1" t="str">
        <f>"10.11.51.18"</f>
        <v>10.11.51.18</v>
      </c>
      <c r="G4167" s="1" t="str">
        <f>"0325G551"</f>
        <v>0325G551</v>
      </c>
      <c r="H4167" s="1" t="str">
        <f>"공원간 28R7L2"</f>
        <v>공원간 28R7L2</v>
      </c>
      <c r="I4167" s="1" t="s">
        <v>8</v>
      </c>
      <c r="J4167" s="1" t="str">
        <f>"7/7"</f>
        <v>7/7</v>
      </c>
      <c r="K4167" s="1" t="str">
        <f>"2026-07-29 13:18:02"</f>
        <v>2026-07-29 13:18:02</v>
      </c>
      <c r="L4167" s="1" t="str">
        <f>"2018-06-04 19:10:09"</f>
        <v>2018-06-04 19:10:09</v>
      </c>
      <c r="M4167" s="1" t="s">
        <v>2</v>
      </c>
      <c r="N4167" s="1" t="s">
        <v>38</v>
      </c>
      <c r="O4167" s="1" t="s">
        <v>46</v>
      </c>
    </row>
    <row r="4168" spans="2:15" x14ac:dyDescent="0.3">
      <c r="B4168" s="1" t="s">
        <v>23</v>
      </c>
      <c r="C4168" s="1" t="str">
        <f t="shared" si="239"/>
        <v>3차</v>
      </c>
      <c r="D4168" s="1" t="str">
        <f>"0325G56131"</f>
        <v>0325G56131</v>
      </c>
      <c r="E4168" s="1" t="s">
        <v>10</v>
      </c>
      <c r="F4168" s="1" t="str">
        <f>"10.11.51.20"</f>
        <v>10.11.51.20</v>
      </c>
      <c r="G4168" s="1" t="str">
        <f>"0325G561"</f>
        <v>0325G561</v>
      </c>
      <c r="H4168" s="1" t="str">
        <f>"공원간 28R7L3"</f>
        <v>공원간 28R7L3</v>
      </c>
      <c r="I4168" s="1" t="s">
        <v>8</v>
      </c>
      <c r="J4168" s="1" t="str">
        <f>"29/29"</f>
        <v>29/29</v>
      </c>
      <c r="K4168" s="1" t="str">
        <f>"2026-07-29 13:18:02"</f>
        <v>2026-07-29 13:18:02</v>
      </c>
      <c r="L4168" s="1" t="str">
        <f>"2018-03-22 08:58:41"</f>
        <v>2018-03-22 08:58:41</v>
      </c>
      <c r="M4168" s="1" t="s">
        <v>2</v>
      </c>
      <c r="N4168" s="1" t="s">
        <v>38</v>
      </c>
      <c r="O4168" s="1" t="s">
        <v>46</v>
      </c>
    </row>
    <row r="4169" spans="2:15" x14ac:dyDescent="0.3">
      <c r="B4169" s="1" t="s">
        <v>23</v>
      </c>
      <c r="C4169" s="1" t="str">
        <f t="shared" si="239"/>
        <v>3차</v>
      </c>
      <c r="D4169" s="1" t="str">
        <f>"0325G57139"</f>
        <v>0325G57139</v>
      </c>
      <c r="E4169" s="1" t="s">
        <v>10</v>
      </c>
      <c r="F4169" s="1" t="str">
        <f>"10.11.61.218"</f>
        <v>10.11.61.218</v>
      </c>
      <c r="G4169" s="1" t="str">
        <f>"0325G571"</f>
        <v>0325G571</v>
      </c>
      <c r="H4169" s="1" t="str">
        <f>"화동간 52"</f>
        <v>화동간 52</v>
      </c>
      <c r="I4169" s="1" t="s">
        <v>8</v>
      </c>
      <c r="J4169" s="1" t="str">
        <f>"2/2"</f>
        <v>2/2</v>
      </c>
      <c r="K4169" s="1" t="str">
        <f>"2026-07-29 13:18:02"</f>
        <v>2026-07-29 13:18:02</v>
      </c>
      <c r="L4169" s="1" t="str">
        <f>"2018-04-26 10:32:11"</f>
        <v>2018-04-26 10:32:11</v>
      </c>
      <c r="M4169" s="1" t="s">
        <v>2</v>
      </c>
      <c r="N4169" s="1" t="s">
        <v>38</v>
      </c>
      <c r="O4169" s="1" t="s">
        <v>46</v>
      </c>
    </row>
    <row r="4170" spans="2:15" x14ac:dyDescent="0.3">
      <c r="B4170" s="1" t="s">
        <v>23</v>
      </c>
      <c r="C4170" s="1" t="str">
        <f t="shared" si="239"/>
        <v>3차</v>
      </c>
      <c r="D4170" s="1" t="str">
        <f>"0325G58139"</f>
        <v>0325G58139</v>
      </c>
      <c r="E4170" s="1" t="s">
        <v>10</v>
      </c>
      <c r="F4170" s="1" t="str">
        <f>"10.11.61.210"</f>
        <v>10.11.61.210</v>
      </c>
      <c r="G4170" s="1" t="str">
        <f>"0325G581"</f>
        <v>0325G581</v>
      </c>
      <c r="H4170" s="1" t="str">
        <f>"화동간 50"</f>
        <v>화동간 50</v>
      </c>
      <c r="I4170" s="1" t="s">
        <v>8</v>
      </c>
      <c r="J4170" s="1" t="str">
        <f>"7/8"</f>
        <v>7/8</v>
      </c>
      <c r="K4170" s="1" t="str">
        <f>"2026-07-29 13:18:02"</f>
        <v>2026-07-29 13:18:02</v>
      </c>
      <c r="L4170" s="1" t="str">
        <f>"2018-06-01 16:46:28"</f>
        <v>2018-06-01 16:46:28</v>
      </c>
      <c r="M4170" s="1" t="s">
        <v>2</v>
      </c>
      <c r="N4170" s="1" t="s">
        <v>38</v>
      </c>
      <c r="O4170" s="1" t="s">
        <v>46</v>
      </c>
    </row>
    <row r="4171" spans="2:15" x14ac:dyDescent="0.3">
      <c r="B4171" s="1" t="s">
        <v>23</v>
      </c>
      <c r="C4171" s="1" t="str">
        <f t="shared" si="239"/>
        <v>3차</v>
      </c>
      <c r="D4171" s="1" t="str">
        <f>"0325G58239"</f>
        <v>0325G58239</v>
      </c>
      <c r="E4171" s="1" t="s">
        <v>10</v>
      </c>
      <c r="F4171" s="1" t="str">
        <f>"10.11.54.234"</f>
        <v>10.11.54.234</v>
      </c>
      <c r="G4171" s="1" t="str">
        <f>"0325G582"</f>
        <v>0325G582</v>
      </c>
      <c r="H4171" s="1" t="str">
        <f>"화동간 51"</f>
        <v>화동간 51</v>
      </c>
      <c r="I4171" s="1" t="s">
        <v>8</v>
      </c>
      <c r="J4171" s="1" t="str">
        <f>"23/30"</f>
        <v>23/30</v>
      </c>
      <c r="K4171" s="1" t="str">
        <f>"2026-07-29 13:18:02"</f>
        <v>2026-07-29 13:18:02</v>
      </c>
      <c r="L4171" s="1" t="str">
        <f>"2018-06-01 17:02:59"</f>
        <v>2018-06-01 17:02:59</v>
      </c>
      <c r="M4171" s="1" t="s">
        <v>2</v>
      </c>
      <c r="N4171" s="1" t="s">
        <v>38</v>
      </c>
      <c r="O4171" s="1" t="s">
        <v>46</v>
      </c>
    </row>
    <row r="4172" spans="2:15" x14ac:dyDescent="0.3">
      <c r="B4172" s="1" t="s">
        <v>23</v>
      </c>
      <c r="C4172" s="1" t="str">
        <f t="shared" si="239"/>
        <v>3차</v>
      </c>
      <c r="D4172" s="1" t="str">
        <f>"0325G59239"</f>
        <v>0325G59239</v>
      </c>
      <c r="E4172" s="1" t="s">
        <v>10</v>
      </c>
      <c r="F4172" s="1" t="str">
        <f>"10.12.135.27"</f>
        <v>10.12.135.27</v>
      </c>
      <c r="G4172" s="1" t="str">
        <f>"0325G592"</f>
        <v>0325G592</v>
      </c>
      <c r="H4172" s="1" t="str">
        <f>"화군간 44"</f>
        <v>화군간 44</v>
      </c>
      <c r="I4172" s="1" t="s">
        <v>8</v>
      </c>
      <c r="J4172" s="1" t="str">
        <f>"38/38"</f>
        <v>38/38</v>
      </c>
      <c r="K4172" s="1" t="str">
        <f>"2026-07-29 13:18:03"</f>
        <v>2026-07-29 13:18:03</v>
      </c>
      <c r="L4172" s="1" t="str">
        <f>"2018-04-18 08:27:25"</f>
        <v>2018-04-18 08:27:25</v>
      </c>
      <c r="M4172" s="1" t="s">
        <v>0</v>
      </c>
      <c r="N4172" s="1" t="s">
        <v>38</v>
      </c>
      <c r="O4172" s="1" t="s">
        <v>46</v>
      </c>
    </row>
    <row r="4173" spans="2:15" x14ac:dyDescent="0.3">
      <c r="B4173" s="1" t="s">
        <v>23</v>
      </c>
      <c r="C4173" s="1" t="str">
        <f t="shared" si="239"/>
        <v>3차</v>
      </c>
      <c r="D4173" s="1" t="str">
        <f>"0325G61239"</f>
        <v>0325G61239</v>
      </c>
      <c r="E4173" s="1" t="s">
        <v>10</v>
      </c>
      <c r="F4173" s="1" t="str">
        <f>"10.14.5.120"</f>
        <v>10.14.5.120</v>
      </c>
      <c r="G4173" s="1" t="str">
        <f>"0325G612"</f>
        <v>0325G612</v>
      </c>
      <c r="H4173" s="1" t="str">
        <f>"공원간 32"</f>
        <v>공원간 32</v>
      </c>
      <c r="I4173" s="1" t="s">
        <v>8</v>
      </c>
      <c r="J4173" s="1" t="str">
        <f>"19/19"</f>
        <v>19/19</v>
      </c>
      <c r="K4173" s="1" t="str">
        <f>"2026-07-29 13:18:02"</f>
        <v>2026-07-29 13:18:02</v>
      </c>
      <c r="L4173" s="1" t="str">
        <f>"2018-04-17 18:22:00"</f>
        <v>2018-04-17 18:22:00</v>
      </c>
      <c r="M4173" s="1" t="s">
        <v>3</v>
      </c>
      <c r="N4173" s="1" t="s">
        <v>38</v>
      </c>
      <c r="O4173" s="1" t="s">
        <v>46</v>
      </c>
    </row>
    <row r="4174" spans="2:15" x14ac:dyDescent="0.3">
      <c r="B4174" s="1" t="s">
        <v>23</v>
      </c>
      <c r="C4174" s="1" t="str">
        <f t="shared" si="239"/>
        <v>3차</v>
      </c>
      <c r="D4174" s="1" t="str">
        <f>"0325G63139"</f>
        <v>0325G63139</v>
      </c>
      <c r="E4174" s="1" t="s">
        <v>10</v>
      </c>
      <c r="F4174" s="1" t="str">
        <f>"10.11.56.74"</f>
        <v>10.11.56.74</v>
      </c>
      <c r="G4174" s="1" t="str">
        <f>"0325G631"</f>
        <v>0325G631</v>
      </c>
      <c r="H4174" s="1" t="str">
        <f>"공원간 28R5L2"</f>
        <v>공원간 28R5L2</v>
      </c>
      <c r="I4174" s="1" t="s">
        <v>8</v>
      </c>
      <c r="J4174" s="1" t="str">
        <f>"50/50"</f>
        <v>50/50</v>
      </c>
      <c r="K4174" s="1" t="str">
        <f>"2026-07-29 13:18:02"</f>
        <v>2026-07-29 13:18:02</v>
      </c>
      <c r="L4174" s="1" t="str">
        <f>"2018-04-25 09:13:39"</f>
        <v>2018-04-25 09:13:39</v>
      </c>
      <c r="M4174" s="1" t="s">
        <v>2</v>
      </c>
      <c r="N4174" s="1" t="s">
        <v>38</v>
      </c>
      <c r="O4174" s="1" t="s">
        <v>46</v>
      </c>
    </row>
    <row r="4175" spans="2:15" x14ac:dyDescent="0.3">
      <c r="B4175" s="1" t="s">
        <v>23</v>
      </c>
      <c r="C4175" s="1" t="str">
        <f t="shared" si="239"/>
        <v>3차</v>
      </c>
      <c r="D4175" s="1" t="str">
        <f>"0325G65139"</f>
        <v>0325G65139</v>
      </c>
      <c r="E4175" s="1" t="s">
        <v>10</v>
      </c>
      <c r="F4175" s="1" t="str">
        <f>"10.11.57.242"</f>
        <v>10.11.57.242</v>
      </c>
      <c r="G4175" s="1" t="str">
        <f>"0325G651"</f>
        <v>0325G651</v>
      </c>
      <c r="H4175" s="1" t="str">
        <f>"공원간 28R7L1R1"</f>
        <v>공원간 28R7L1R1</v>
      </c>
      <c r="I4175" s="1" t="s">
        <v>8</v>
      </c>
      <c r="J4175" s="1" t="str">
        <f>"25/25"</f>
        <v>25/25</v>
      </c>
      <c r="K4175" s="1" t="str">
        <f>"2026-07-29 13:18:02"</f>
        <v>2026-07-29 13:18:02</v>
      </c>
      <c r="L4175" s="1" t="str">
        <f>"2018-03-22 12:00:41"</f>
        <v>2018-03-22 12:00:41</v>
      </c>
      <c r="M4175" s="1" t="s">
        <v>2</v>
      </c>
      <c r="N4175" s="1" t="s">
        <v>38</v>
      </c>
      <c r="O4175" s="1" t="s">
        <v>46</v>
      </c>
    </row>
    <row r="4176" spans="2:15" x14ac:dyDescent="0.3">
      <c r="B4176" s="1" t="s">
        <v>23</v>
      </c>
      <c r="C4176" s="1" t="str">
        <f t="shared" si="239"/>
        <v>3차</v>
      </c>
      <c r="D4176" s="1" t="str">
        <f>"0325G66239"</f>
        <v>0325G66239</v>
      </c>
      <c r="E4176" s="1" t="s">
        <v>10</v>
      </c>
      <c r="F4176" s="1" t="str">
        <f>"10.11.58.2"</f>
        <v>10.11.58.2</v>
      </c>
      <c r="G4176" s="1" t="str">
        <f>"0325G662"</f>
        <v>0325G662</v>
      </c>
      <c r="H4176" s="1" t="str">
        <f>"공원간 28R9L1"</f>
        <v>공원간 28R9L1</v>
      </c>
      <c r="I4176" s="1" t="s">
        <v>8</v>
      </c>
      <c r="J4176" s="1" t="str">
        <f>"132/132"</f>
        <v>132/132</v>
      </c>
      <c r="K4176" s="1" t="str">
        <f>"2026-07-29 13:18:03"</f>
        <v>2026-07-29 13:18:03</v>
      </c>
      <c r="L4176" s="1" t="str">
        <f>"2018-03-22 12:12:26"</f>
        <v>2018-03-22 12:12:26</v>
      </c>
      <c r="M4176" s="1" t="s">
        <v>2</v>
      </c>
      <c r="N4176" s="1" t="s">
        <v>38</v>
      </c>
      <c r="O4176" s="1" t="s">
        <v>46</v>
      </c>
    </row>
    <row r="4177" spans="2:15" x14ac:dyDescent="0.3">
      <c r="B4177" s="1" t="s">
        <v>23</v>
      </c>
      <c r="C4177" s="1" t="str">
        <f>"4차"</f>
        <v>4차</v>
      </c>
      <c r="D4177" s="1" t="str">
        <f>"0325G68139"</f>
        <v>0325G68139</v>
      </c>
      <c r="E4177" s="1" t="s">
        <v>10</v>
      </c>
      <c r="F4177" s="1" t="str">
        <f>"10.11.55.122"</f>
        <v>10.11.55.122</v>
      </c>
      <c r="G4177" s="1" t="str">
        <f>"0325G681"</f>
        <v>0325G681</v>
      </c>
      <c r="H4177" s="1" t="str">
        <f>"화동간 50L2"</f>
        <v>화동간 50L2</v>
      </c>
      <c r="I4177" s="1" t="s">
        <v>8</v>
      </c>
      <c r="J4177" s="1" t="str">
        <f>"9/9"</f>
        <v>9/9</v>
      </c>
      <c r="K4177" s="1" t="str">
        <f>"2026-07-29 13:18:02"</f>
        <v>2026-07-29 13:18:02</v>
      </c>
      <c r="L4177" s="1" t="str">
        <f>"2018-04-26 11:03:55"</f>
        <v>2018-04-26 11:03:55</v>
      </c>
      <c r="M4177" s="1" t="s">
        <v>2</v>
      </c>
      <c r="N4177" s="1" t="s">
        <v>38</v>
      </c>
      <c r="O4177" s="1" t="s">
        <v>46</v>
      </c>
    </row>
    <row r="4178" spans="2:15" x14ac:dyDescent="0.3">
      <c r="B4178" s="1" t="s">
        <v>23</v>
      </c>
      <c r="C4178" s="1" t="str">
        <f>"4차"</f>
        <v>4차</v>
      </c>
      <c r="D4178" s="1" t="str">
        <f>"0325G69139"</f>
        <v>0325G69139</v>
      </c>
      <c r="E4178" s="1" t="s">
        <v>10</v>
      </c>
      <c r="F4178" s="1" t="str">
        <f>"10.11.54.226"</f>
        <v>10.11.54.226</v>
      </c>
      <c r="G4178" s="1" t="str">
        <f>"0325G691"</f>
        <v>0325G691</v>
      </c>
      <c r="H4178" s="1" t="str">
        <f>"화동간 49"</f>
        <v>화동간 49</v>
      </c>
      <c r="I4178" s="1" t="s">
        <v>8</v>
      </c>
      <c r="J4178" s="1" t="str">
        <f>"2/12"</f>
        <v>2/12</v>
      </c>
      <c r="K4178" s="1" t="str">
        <f>"2026-07-29 13:18:02"</f>
        <v>2026-07-29 13:18:02</v>
      </c>
      <c r="L4178" s="1" t="str">
        <f>"2018-04-26 11:07:40"</f>
        <v>2018-04-26 11:07:40</v>
      </c>
      <c r="M4178" s="1" t="s">
        <v>2</v>
      </c>
      <c r="N4178" s="1" t="s">
        <v>38</v>
      </c>
      <c r="O4178" s="1" t="s">
        <v>46</v>
      </c>
    </row>
    <row r="4179" spans="2:15" x14ac:dyDescent="0.3">
      <c r="B4179" s="1" t="s">
        <v>23</v>
      </c>
      <c r="C4179" s="1" t="str">
        <f>"3차"</f>
        <v>3차</v>
      </c>
      <c r="D4179" s="1" t="str">
        <f>"0325G74339"</f>
        <v>0325G74339</v>
      </c>
      <c r="E4179" s="1" t="s">
        <v>10</v>
      </c>
      <c r="F4179" s="1" t="str">
        <f>"10.11.56.82"</f>
        <v>10.11.56.82</v>
      </c>
      <c r="G4179" s="1" t="str">
        <f>"0325G743"</f>
        <v>0325G743</v>
      </c>
      <c r="H4179" s="1" t="str">
        <f>"공원간 28R6"</f>
        <v>공원간 28R6</v>
      </c>
      <c r="I4179" s="1" t="s">
        <v>8</v>
      </c>
      <c r="J4179" s="1" t="str">
        <f>"48/55"</f>
        <v>48/55</v>
      </c>
      <c r="K4179" s="1" t="str">
        <f>"2026-07-29 13:18:02"</f>
        <v>2026-07-29 13:18:02</v>
      </c>
      <c r="L4179" s="1" t="str">
        <f>"2018-04-26 10:18:55"</f>
        <v>2018-04-26 10:18:55</v>
      </c>
      <c r="M4179" s="1" t="s">
        <v>2</v>
      </c>
      <c r="N4179" s="1" t="s">
        <v>38</v>
      </c>
      <c r="O4179" s="1" t="s">
        <v>46</v>
      </c>
    </row>
    <row r="4180" spans="2:15" x14ac:dyDescent="0.3">
      <c r="B4180" s="1" t="s">
        <v>23</v>
      </c>
      <c r="C4180" s="1" t="str">
        <f>"3차"</f>
        <v>3차</v>
      </c>
      <c r="D4180" s="1" t="str">
        <f>"0325G75139"</f>
        <v>0325G75139</v>
      </c>
      <c r="E4180" s="1" t="s">
        <v>10</v>
      </c>
      <c r="F4180" s="1" t="str">
        <f>"10.11.57.250"</f>
        <v>10.11.57.250</v>
      </c>
      <c r="G4180" s="1" t="str">
        <f>"0325G751"</f>
        <v>0325G751</v>
      </c>
      <c r="H4180" s="1" t="str">
        <f>"공원간 28R8"</f>
        <v>공원간 28R8</v>
      </c>
      <c r="I4180" s="1" t="s">
        <v>8</v>
      </c>
      <c r="J4180" s="1" t="str">
        <f>"26/26"</f>
        <v>26/26</v>
      </c>
      <c r="K4180" s="1" t="str">
        <f>"2026-07-29 13:18:02"</f>
        <v>2026-07-29 13:18:02</v>
      </c>
      <c r="L4180" s="1" t="str">
        <f>"2018-03-22 12:05:41"</f>
        <v>2018-03-22 12:05:41</v>
      </c>
      <c r="M4180" s="1" t="s">
        <v>2</v>
      </c>
      <c r="N4180" s="1" t="s">
        <v>38</v>
      </c>
      <c r="O4180" s="1" t="s">
        <v>46</v>
      </c>
    </row>
    <row r="4181" spans="2:15" x14ac:dyDescent="0.3">
      <c r="B4181" s="1" t="s">
        <v>23</v>
      </c>
      <c r="C4181" s="1" t="str">
        <f>"3차"</f>
        <v>3차</v>
      </c>
      <c r="D4181" s="1" t="str">
        <f>"0325G76439"</f>
        <v>0325G76439</v>
      </c>
      <c r="E4181" s="1" t="s">
        <v>10</v>
      </c>
      <c r="F4181" s="1" t="str">
        <f>"10.11.51.26"</f>
        <v>10.11.51.26</v>
      </c>
      <c r="G4181" s="1" t="str">
        <f>"0325G764"</f>
        <v>0325G764</v>
      </c>
      <c r="H4181" s="1" t="str">
        <f>"공원간 28R9"</f>
        <v>공원간 28R9</v>
      </c>
      <c r="I4181" s="1" t="s">
        <v>8</v>
      </c>
      <c r="J4181" s="1" t="str">
        <f>"50/50"</f>
        <v>50/50</v>
      </c>
      <c r="K4181" s="1" t="str">
        <f>"2026-07-29 13:18:02"</f>
        <v>2026-07-29 13:18:02</v>
      </c>
      <c r="L4181" s="1" t="str">
        <f>"2018-03-22 12:03:28"</f>
        <v>2018-03-22 12:03:28</v>
      </c>
      <c r="M4181" s="1" t="s">
        <v>2</v>
      </c>
      <c r="N4181" s="1" t="s">
        <v>38</v>
      </c>
      <c r="O4181" s="1" t="s">
        <v>46</v>
      </c>
    </row>
    <row r="4182" spans="2:15" x14ac:dyDescent="0.3">
      <c r="B4182" s="1" t="s">
        <v>23</v>
      </c>
      <c r="C4182" s="1" t="str">
        <f>"3차"</f>
        <v>3차</v>
      </c>
      <c r="D4182" s="1" t="str">
        <f>"0325G77231"</f>
        <v>0325G77231</v>
      </c>
      <c r="E4182" s="1" t="s">
        <v>10</v>
      </c>
      <c r="F4182" s="1" t="str">
        <f>"10.11.51.3"</f>
        <v>10.11.51.3</v>
      </c>
      <c r="G4182" s="1" t="str">
        <f>"0325G772"</f>
        <v>0325G772</v>
      </c>
      <c r="H4182" s="1" t="str">
        <f>"공원간 28R12"</f>
        <v>공원간 28R12</v>
      </c>
      <c r="I4182" s="1" t="s">
        <v>8</v>
      </c>
      <c r="J4182" s="1" t="str">
        <f>"50/50"</f>
        <v>50/50</v>
      </c>
      <c r="K4182" s="1" t="str">
        <f>"2026-07-29 13:18:03"</f>
        <v>2026-07-29 13:18:03</v>
      </c>
      <c r="L4182" s="1" t="str">
        <f>"2018-06-01 14:15:10"</f>
        <v>2018-06-01 14:15:10</v>
      </c>
      <c r="M4182" s="1" t="s">
        <v>2</v>
      </c>
      <c r="N4182" s="1" t="s">
        <v>38</v>
      </c>
      <c r="O4182" s="1" t="s">
        <v>46</v>
      </c>
    </row>
    <row r="4183" spans="2:15" x14ac:dyDescent="0.3">
      <c r="B4183" s="1" t="s">
        <v>23</v>
      </c>
      <c r="C4183" s="1" t="str">
        <f>"4차"</f>
        <v>4차</v>
      </c>
      <c r="D4183" s="1" t="str">
        <f>"0325G78239"</f>
        <v>0325G78239</v>
      </c>
      <c r="E4183" s="1" t="s">
        <v>10</v>
      </c>
      <c r="F4183" s="1" t="str">
        <f>"10.11.62.114"</f>
        <v>10.11.62.114</v>
      </c>
      <c r="G4183" s="1" t="str">
        <f>"0325G782"</f>
        <v>0325G782</v>
      </c>
      <c r="H4183" s="1" t="str">
        <f>"화동간 50L3"</f>
        <v>화동간 50L3</v>
      </c>
      <c r="I4183" s="1" t="s">
        <v>8</v>
      </c>
      <c r="J4183" s="1" t="str">
        <f>"36/53"</f>
        <v>36/53</v>
      </c>
      <c r="K4183" s="1" t="str">
        <f>"2026-07-29 13:18:02"</f>
        <v>2026-07-29 13:18:02</v>
      </c>
      <c r="L4183" s="1" t="str">
        <f>"2018-04-26 11:10:27"</f>
        <v>2018-04-26 11:10:27</v>
      </c>
      <c r="M4183" s="1" t="s">
        <v>2</v>
      </c>
      <c r="N4183" s="1" t="s">
        <v>38</v>
      </c>
      <c r="O4183" s="1" t="s">
        <v>46</v>
      </c>
    </row>
    <row r="4184" spans="2:15" x14ac:dyDescent="0.3">
      <c r="B4184" s="1" t="s">
        <v>23</v>
      </c>
      <c r="C4184" s="1" t="str">
        <f t="shared" ref="C4184:C4191" si="240">"3차"</f>
        <v>3차</v>
      </c>
      <c r="D4184" s="1" t="str">
        <f>"0325G78330"</f>
        <v>0325G78330</v>
      </c>
      <c r="E4184" s="1" t="s">
        <v>10</v>
      </c>
      <c r="F4184" s="1" t="str">
        <f>"10.11.51.2"</f>
        <v>10.11.51.2</v>
      </c>
      <c r="G4184" s="1" t="str">
        <f>"0325G783"</f>
        <v>0325G783</v>
      </c>
      <c r="H4184" s="1" t="str">
        <f>"공원간 28R11L1"</f>
        <v>공원간 28R11L1</v>
      </c>
      <c r="I4184" s="1" t="s">
        <v>8</v>
      </c>
      <c r="J4184" s="1" t="str">
        <f>"72/72"</f>
        <v>72/72</v>
      </c>
      <c r="K4184" s="1" t="str">
        <f>"2026-07-29 13:18:02"</f>
        <v>2026-07-29 13:18:02</v>
      </c>
      <c r="L4184" s="1" t="str">
        <f>"2018-03-22 11:54:26"</f>
        <v>2018-03-22 11:54:26</v>
      </c>
      <c r="M4184" s="1" t="s">
        <v>2</v>
      </c>
      <c r="N4184" s="1" t="s">
        <v>38</v>
      </c>
      <c r="O4184" s="1" t="s">
        <v>46</v>
      </c>
    </row>
    <row r="4185" spans="2:15" x14ac:dyDescent="0.3">
      <c r="B4185" s="1" t="s">
        <v>23</v>
      </c>
      <c r="C4185" s="1" t="str">
        <f t="shared" si="240"/>
        <v>3차</v>
      </c>
      <c r="D4185" s="1" t="str">
        <f>"0325G83239"</f>
        <v>0325G83239</v>
      </c>
      <c r="E4185" s="1" t="s">
        <v>10</v>
      </c>
      <c r="F4185" s="1" t="str">
        <f>"10.11.56.66"</f>
        <v>10.11.56.66</v>
      </c>
      <c r="G4185" s="1" t="str">
        <f>"0325G832"</f>
        <v>0325G832</v>
      </c>
      <c r="H4185" s="1" t="str">
        <f>"공원간 28R3R1"</f>
        <v>공원간 28R3R1</v>
      </c>
      <c r="I4185" s="1" t="s">
        <v>8</v>
      </c>
      <c r="J4185" s="1" t="str">
        <f>"77/77"</f>
        <v>77/77</v>
      </c>
      <c r="K4185" s="1" t="str">
        <f>"2026-07-29 13:18:03"</f>
        <v>2026-07-29 13:18:03</v>
      </c>
      <c r="L4185" s="1" t="str">
        <f>"2021-07-27 09:24:17"</f>
        <v>2021-07-27 09:24:17</v>
      </c>
      <c r="M4185" s="1" t="s">
        <v>2</v>
      </c>
      <c r="N4185" s="1" t="s">
        <v>38</v>
      </c>
      <c r="O4185" s="1" t="s">
        <v>46</v>
      </c>
    </row>
    <row r="4186" spans="2:15" x14ac:dyDescent="0.3">
      <c r="B4186" s="1" t="s">
        <v>23</v>
      </c>
      <c r="C4186" s="1" t="str">
        <f t="shared" si="240"/>
        <v>3차</v>
      </c>
      <c r="D4186" s="1" t="str">
        <f>"0325G83839"</f>
        <v>0325G83839</v>
      </c>
      <c r="E4186" s="1" t="s">
        <v>10</v>
      </c>
      <c r="F4186" s="1" t="str">
        <f>"10.11.52.187"</f>
        <v>10.11.52.187</v>
      </c>
      <c r="G4186" s="1" t="str">
        <f>"0325G838"</f>
        <v>0325G838</v>
      </c>
      <c r="H4186" s="1" t="str">
        <f>"공원간 28R3"</f>
        <v>공원간 28R3</v>
      </c>
      <c r="I4186" s="1" t="s">
        <v>8</v>
      </c>
      <c r="J4186" s="1" t="str">
        <f>"37/37"</f>
        <v>37/37</v>
      </c>
      <c r="K4186" s="1" t="str">
        <f>"2026-07-29 13:18:02"</f>
        <v>2026-07-29 13:18:02</v>
      </c>
      <c r="L4186" s="1" t="str">
        <f>"2018-04-25 09:13:25"</f>
        <v>2018-04-25 09:13:25</v>
      </c>
      <c r="M4186" s="1" t="s">
        <v>2</v>
      </c>
      <c r="N4186" s="1" t="s">
        <v>38</v>
      </c>
      <c r="O4186" s="1" t="s">
        <v>46</v>
      </c>
    </row>
    <row r="4187" spans="2:15" x14ac:dyDescent="0.3">
      <c r="B4187" s="1" t="s">
        <v>23</v>
      </c>
      <c r="C4187" s="1" t="str">
        <f t="shared" si="240"/>
        <v>3차</v>
      </c>
      <c r="D4187" s="1" t="str">
        <f>"0325G85139"</f>
        <v>0325G85139</v>
      </c>
      <c r="E4187" s="1" t="s">
        <v>10</v>
      </c>
      <c r="F4187" s="1" t="str">
        <f>"10.11.51.10"</f>
        <v>10.11.51.10</v>
      </c>
      <c r="G4187" s="1" t="str">
        <f>"0325G851"</f>
        <v>0325G851</v>
      </c>
      <c r="H4187" s="1" t="str">
        <f>"공원간 28R15"</f>
        <v>공원간 28R15</v>
      </c>
      <c r="I4187" s="1" t="s">
        <v>8</v>
      </c>
      <c r="J4187" s="1" t="str">
        <f>"60/60"</f>
        <v>60/60</v>
      </c>
      <c r="K4187" s="1" t="str">
        <f>"2026-07-29 13:18:02"</f>
        <v>2026-07-29 13:18:02</v>
      </c>
      <c r="L4187" s="1" t="str">
        <f>"2018-03-22 09:26:55"</f>
        <v>2018-03-22 09:26:55</v>
      </c>
      <c r="M4187" s="1" t="s">
        <v>2</v>
      </c>
      <c r="N4187" s="1" t="s">
        <v>38</v>
      </c>
      <c r="O4187" s="1" t="s">
        <v>46</v>
      </c>
    </row>
    <row r="4188" spans="2:15" x14ac:dyDescent="0.3">
      <c r="B4188" s="1" t="s">
        <v>23</v>
      </c>
      <c r="C4188" s="1" t="str">
        <f t="shared" si="240"/>
        <v>3차</v>
      </c>
      <c r="D4188" s="1" t="str">
        <f>"0325G85239"</f>
        <v>0325G85239</v>
      </c>
      <c r="E4188" s="1" t="s">
        <v>10</v>
      </c>
      <c r="F4188" s="1" t="str">
        <f>"10.11.57.234"</f>
        <v>10.11.57.234</v>
      </c>
      <c r="G4188" s="1" t="str">
        <f>"0325G852"</f>
        <v>0325G852</v>
      </c>
      <c r="H4188" s="1" t="str">
        <f>"공원간 28R16"</f>
        <v>공원간 28R16</v>
      </c>
      <c r="I4188" s="1" t="s">
        <v>8</v>
      </c>
      <c r="J4188" s="1" t="str">
        <f>"120/120"</f>
        <v>120/120</v>
      </c>
      <c r="K4188" s="1" t="str">
        <f>"2026-07-29 13:18:03"</f>
        <v>2026-07-29 13:18:03</v>
      </c>
      <c r="L4188" s="1" t="str">
        <f>"2018-03-22 09:32:10"</f>
        <v>2018-03-22 09:32:10</v>
      </c>
      <c r="M4188" s="1" t="s">
        <v>2</v>
      </c>
      <c r="N4188" s="1" t="s">
        <v>38</v>
      </c>
      <c r="O4188" s="1" t="s">
        <v>46</v>
      </c>
    </row>
    <row r="4189" spans="2:15" x14ac:dyDescent="0.3">
      <c r="B4189" s="1" t="s">
        <v>23</v>
      </c>
      <c r="C4189" s="1" t="str">
        <f t="shared" si="240"/>
        <v>3차</v>
      </c>
      <c r="D4189" s="1" t="str">
        <f>"0325G86139"</f>
        <v>0325G86139</v>
      </c>
      <c r="E4189" s="1" t="s">
        <v>10</v>
      </c>
      <c r="F4189" s="1" t="str">
        <f>"10.11.57.226"</f>
        <v>10.11.57.226</v>
      </c>
      <c r="G4189" s="1" t="str">
        <f>"0325G861"</f>
        <v>0325G861</v>
      </c>
      <c r="H4189" s="1" t="str">
        <f>"공원간 28R14"</f>
        <v>공원간 28R14</v>
      </c>
      <c r="I4189" s="1" t="s">
        <v>8</v>
      </c>
      <c r="J4189" s="1" t="str">
        <f>"78/86"</f>
        <v>78/86</v>
      </c>
      <c r="K4189" s="1" t="str">
        <f>"2026-07-29 13:18:02"</f>
        <v>2026-07-29 13:18:02</v>
      </c>
      <c r="L4189" s="1" t="str">
        <f>"2018-03-22 09:33:55"</f>
        <v>2018-03-22 09:33:55</v>
      </c>
      <c r="M4189" s="1" t="s">
        <v>2</v>
      </c>
      <c r="N4189" s="1" t="s">
        <v>38</v>
      </c>
      <c r="O4189" s="1" t="s">
        <v>46</v>
      </c>
    </row>
    <row r="4190" spans="2:15" x14ac:dyDescent="0.3">
      <c r="B4190" s="1" t="s">
        <v>23</v>
      </c>
      <c r="C4190" s="1" t="str">
        <f t="shared" si="240"/>
        <v>3차</v>
      </c>
      <c r="D4190" s="1" t="str">
        <f>"0325G87232"</f>
        <v>0325G87232</v>
      </c>
      <c r="E4190" s="1" t="s">
        <v>10</v>
      </c>
      <c r="F4190" s="1" t="str">
        <f>"10.11.55.76"</f>
        <v>10.11.55.76</v>
      </c>
      <c r="G4190" s="1" t="str">
        <f>"0325G872"</f>
        <v>0325G872</v>
      </c>
      <c r="H4190" s="1" t="str">
        <f>"화동간 42L21R3L2"</f>
        <v>화동간 42L21R3L2</v>
      </c>
      <c r="I4190" s="1" t="s">
        <v>8</v>
      </c>
      <c r="J4190" s="1" t="str">
        <f>"56/56"</f>
        <v>56/56</v>
      </c>
      <c r="K4190" s="1" t="str">
        <f>"2026-07-29 13:18:03"</f>
        <v>2026-07-29 13:18:03</v>
      </c>
      <c r="L4190" s="1" t="str">
        <f>"2018-05-04 09:15:39"</f>
        <v>2018-05-04 09:15:39</v>
      </c>
      <c r="M4190" s="1" t="s">
        <v>2</v>
      </c>
      <c r="N4190" s="1" t="s">
        <v>38</v>
      </c>
      <c r="O4190" s="1" t="s">
        <v>46</v>
      </c>
    </row>
    <row r="4191" spans="2:15" x14ac:dyDescent="0.3">
      <c r="B4191" s="1" t="s">
        <v>23</v>
      </c>
      <c r="C4191" s="1" t="str">
        <f t="shared" si="240"/>
        <v>3차</v>
      </c>
      <c r="D4191" s="1" t="str">
        <f>"0325G89139"</f>
        <v>0325G89139</v>
      </c>
      <c r="E4191" s="1" t="s">
        <v>10</v>
      </c>
      <c r="F4191" s="1" t="str">
        <f>"10.11.62.50"</f>
        <v>10.11.62.50</v>
      </c>
      <c r="G4191" s="1" t="str">
        <f>"0325G891"</f>
        <v>0325G891</v>
      </c>
      <c r="H4191" s="1" t="str">
        <f>"화동간 42L21R9L2"</f>
        <v>화동간 42L21R9L2</v>
      </c>
      <c r="I4191" s="1" t="s">
        <v>8</v>
      </c>
      <c r="J4191" s="1" t="str">
        <f>"20/20"</f>
        <v>20/20</v>
      </c>
      <c r="K4191" s="1" t="str">
        <f>"2026-07-29 13:18:02"</f>
        <v>2026-07-29 13:18:02</v>
      </c>
      <c r="L4191" s="1" t="str">
        <f>"2018-04-26 10:53:40"</f>
        <v>2018-04-26 10:53:40</v>
      </c>
      <c r="M4191" s="1" t="s">
        <v>2</v>
      </c>
      <c r="N4191" s="1" t="s">
        <v>38</v>
      </c>
      <c r="O4191" s="1" t="s">
        <v>46</v>
      </c>
    </row>
    <row r="4192" spans="2:15" x14ac:dyDescent="0.3">
      <c r="B4192" s="1" t="s">
        <v>23</v>
      </c>
      <c r="C4192" s="1" t="str">
        <f>"4차"</f>
        <v>4차</v>
      </c>
      <c r="D4192" s="1" t="str">
        <f>"0325G92444"</f>
        <v>0325G92444</v>
      </c>
      <c r="E4192" s="1" t="s">
        <v>10</v>
      </c>
      <c r="F4192" s="1" t="str">
        <f>"10.11.63.138"</f>
        <v>10.11.63.138</v>
      </c>
      <c r="G4192" s="1" t="str">
        <f>"0325G924"</f>
        <v>0325G924</v>
      </c>
      <c r="H4192" s="1" t="str">
        <f>"공원간 27L1"</f>
        <v>공원간 27L1</v>
      </c>
      <c r="I4192" s="1" t="s">
        <v>8</v>
      </c>
      <c r="J4192" s="1" t="str">
        <f>"32/32"</f>
        <v>32/32</v>
      </c>
      <c r="K4192" s="1" t="str">
        <f>"2026-07-29 13:18:02"</f>
        <v>2026-07-29 13:18:02</v>
      </c>
      <c r="L4192" s="1" t="str">
        <f>"2019-09-06 11:13:04"</f>
        <v>2019-09-06 11:13:04</v>
      </c>
      <c r="M4192" s="1" t="s">
        <v>2</v>
      </c>
      <c r="N4192" s="1" t="s">
        <v>38</v>
      </c>
      <c r="O4192" s="1" t="s">
        <v>46</v>
      </c>
    </row>
    <row r="4193" spans="2:15" x14ac:dyDescent="0.3">
      <c r="B4193" s="1" t="s">
        <v>23</v>
      </c>
      <c r="C4193" s="1" t="str">
        <f>"4차"</f>
        <v>4차</v>
      </c>
      <c r="D4193" s="1" t="str">
        <f>"0325G93644"</f>
        <v>0325G93644</v>
      </c>
      <c r="E4193" s="1" t="s">
        <v>10</v>
      </c>
      <c r="F4193" s="1" t="str">
        <f>"10.11.63.130"</f>
        <v>10.11.63.130</v>
      </c>
      <c r="G4193" s="1" t="str">
        <f>"0325G936"</f>
        <v>0325G936</v>
      </c>
      <c r="H4193" s="1" t="str">
        <f>"공원간 27"</f>
        <v>공원간 27</v>
      </c>
      <c r="I4193" s="1" t="s">
        <v>8</v>
      </c>
      <c r="J4193" s="1" t="str">
        <f>"76/76"</f>
        <v>76/76</v>
      </c>
      <c r="K4193" s="1" t="str">
        <f t="shared" ref="K4193:K4199" si="241">"2026-07-29 13:18:03"</f>
        <v>2026-07-29 13:18:03</v>
      </c>
      <c r="L4193" s="1" t="str">
        <f>"2019-09-06 11:13:05"</f>
        <v>2019-09-06 11:13:05</v>
      </c>
      <c r="M4193" s="1" t="s">
        <v>2</v>
      </c>
      <c r="N4193" s="1" t="s">
        <v>38</v>
      </c>
      <c r="O4193" s="1" t="s">
        <v>46</v>
      </c>
    </row>
    <row r="4194" spans="2:15" x14ac:dyDescent="0.3">
      <c r="B4194" s="1" t="s">
        <v>23</v>
      </c>
      <c r="C4194" s="1" t="str">
        <f>"4차"</f>
        <v>4차</v>
      </c>
      <c r="D4194" s="1" t="str">
        <f>"0325G97330"</f>
        <v>0325G97330</v>
      </c>
      <c r="E4194" s="1" t="s">
        <v>10</v>
      </c>
      <c r="F4194" s="1" t="str">
        <f>"10.11.55.74"</f>
        <v>10.11.55.74</v>
      </c>
      <c r="G4194" s="1" t="str">
        <f>"0325G973"</f>
        <v>0325G973</v>
      </c>
      <c r="H4194" s="1" t="str">
        <f>"화동간 42L21R3L1"</f>
        <v>화동간 42L21R3L1</v>
      </c>
      <c r="I4194" s="1" t="s">
        <v>8</v>
      </c>
      <c r="J4194" s="1" t="str">
        <f>"91/91"</f>
        <v>91/91</v>
      </c>
      <c r="K4194" s="1" t="str">
        <f t="shared" si="241"/>
        <v>2026-07-29 13:18:03</v>
      </c>
      <c r="L4194" s="1" t="str">
        <f>"2018-05-04 09:24:40"</f>
        <v>2018-05-04 09:24:40</v>
      </c>
      <c r="M4194" s="1" t="s">
        <v>2</v>
      </c>
      <c r="N4194" s="1" t="s">
        <v>38</v>
      </c>
      <c r="O4194" s="1" t="s">
        <v>46</v>
      </c>
    </row>
    <row r="4195" spans="2:15" x14ac:dyDescent="0.3">
      <c r="B4195" s="1" t="s">
        <v>23</v>
      </c>
      <c r="C4195" s="1" t="str">
        <f>"3차"</f>
        <v>3차</v>
      </c>
      <c r="D4195" s="1" t="str">
        <f>"0325G97431"</f>
        <v>0325G97431</v>
      </c>
      <c r="E4195" s="1" t="s">
        <v>10</v>
      </c>
      <c r="F4195" s="1" t="str">
        <f>"10.11.55.75"</f>
        <v>10.11.55.75</v>
      </c>
      <c r="G4195" s="1" t="str">
        <f>"0325G974"</f>
        <v>0325G974</v>
      </c>
      <c r="H4195" s="1" t="str">
        <f>"화동간 42L21R3"</f>
        <v>화동간 42L21R3</v>
      </c>
      <c r="I4195" s="1" t="s">
        <v>8</v>
      </c>
      <c r="J4195" s="1" t="str">
        <f>"45/45"</f>
        <v>45/45</v>
      </c>
      <c r="K4195" s="1" t="str">
        <f t="shared" si="241"/>
        <v>2026-07-29 13:18:03</v>
      </c>
      <c r="L4195" s="1" t="str">
        <f>"2018-05-04 09:24:39"</f>
        <v>2018-05-04 09:24:39</v>
      </c>
      <c r="M4195" s="1" t="s">
        <v>2</v>
      </c>
      <c r="N4195" s="1" t="s">
        <v>38</v>
      </c>
      <c r="O4195" s="1" t="s">
        <v>46</v>
      </c>
    </row>
    <row r="4196" spans="2:15" x14ac:dyDescent="0.3">
      <c r="B4196" s="1" t="s">
        <v>23</v>
      </c>
      <c r="C4196" s="1" t="str">
        <f>"4차"</f>
        <v>4차</v>
      </c>
      <c r="D4196" s="1" t="str">
        <f>"0325G99239"</f>
        <v>0325G99239</v>
      </c>
      <c r="E4196" s="1" t="s">
        <v>10</v>
      </c>
      <c r="F4196" s="1" t="str">
        <f>"10.11.55.66"</f>
        <v>10.11.55.66</v>
      </c>
      <c r="G4196" s="1" t="str">
        <f>"0325G992"</f>
        <v>0325G992</v>
      </c>
      <c r="H4196" s="1" t="str">
        <f>"화동간 42L21R9"</f>
        <v>화동간 42L21R9</v>
      </c>
      <c r="I4196" s="1" t="s">
        <v>8</v>
      </c>
      <c r="J4196" s="1" t="str">
        <f>"14/14"</f>
        <v>14/14</v>
      </c>
      <c r="K4196" s="1" t="str">
        <f t="shared" si="241"/>
        <v>2026-07-29 13:18:03</v>
      </c>
      <c r="L4196" s="1" t="str">
        <f>"2018-04-26 10:41:25"</f>
        <v>2018-04-26 10:41:25</v>
      </c>
      <c r="M4196" s="1" t="s">
        <v>2</v>
      </c>
      <c r="N4196" s="1" t="s">
        <v>38</v>
      </c>
      <c r="O4196" s="1" t="s">
        <v>46</v>
      </c>
    </row>
    <row r="4197" spans="2:15" x14ac:dyDescent="0.3">
      <c r="B4197" s="1" t="s">
        <v>23</v>
      </c>
      <c r="C4197" s="1" t="str">
        <f>"3차"</f>
        <v>3차</v>
      </c>
      <c r="D4197" s="1" t="str">
        <f>"0325H00339"</f>
        <v>0325H00339</v>
      </c>
      <c r="E4197" s="1" t="s">
        <v>10</v>
      </c>
      <c r="F4197" s="1" t="str">
        <f>"10.12.129.153"</f>
        <v>10.12.129.153</v>
      </c>
      <c r="G4197" s="1" t="str">
        <f>"0325H003"</f>
        <v>0325H003</v>
      </c>
      <c r="H4197" s="1" t="str">
        <f>"능동로 118R5R1"</f>
        <v>능동로 118R5R1</v>
      </c>
      <c r="I4197" s="1" t="s">
        <v>8</v>
      </c>
      <c r="J4197" s="1" t="str">
        <f>"31/36"</f>
        <v>31/36</v>
      </c>
      <c r="K4197" s="1" t="str">
        <f t="shared" si="241"/>
        <v>2026-07-29 13:18:03</v>
      </c>
      <c r="L4197" s="1" t="str">
        <f>"2018-04-17 18:19:44"</f>
        <v>2018-04-17 18:19:44</v>
      </c>
      <c r="M4197" s="1" t="s">
        <v>0</v>
      </c>
      <c r="N4197" s="1" t="s">
        <v>38</v>
      </c>
      <c r="O4197" s="1" t="s">
        <v>46</v>
      </c>
    </row>
    <row r="4198" spans="2:15" x14ac:dyDescent="0.3">
      <c r="B4198" s="1" t="s">
        <v>23</v>
      </c>
      <c r="C4198" s="1" t="str">
        <f>"3차"</f>
        <v>3차</v>
      </c>
      <c r="D4198" s="1" t="str">
        <f>"0325H01239"</f>
        <v>0325H01239</v>
      </c>
      <c r="E4198" s="1" t="s">
        <v>10</v>
      </c>
      <c r="F4198" s="1" t="str">
        <f>"10.11.81.90"</f>
        <v>10.11.81.90</v>
      </c>
      <c r="G4198" s="1" t="str">
        <f>"0325H012"</f>
        <v>0325H012</v>
      </c>
      <c r="H4198" s="1" t="str">
        <f>"능동로 114R7"</f>
        <v>능동로 114R7</v>
      </c>
      <c r="I4198" s="1" t="s">
        <v>8</v>
      </c>
      <c r="J4198" s="1" t="str">
        <f>"43/48"</f>
        <v>43/48</v>
      </c>
      <c r="K4198" s="1" t="str">
        <f t="shared" si="241"/>
        <v>2026-07-29 13:18:03</v>
      </c>
      <c r="L4198" s="1" t="str">
        <f>"2018-04-17 18:22:15"</f>
        <v>2018-04-17 18:22:15</v>
      </c>
      <c r="M4198" s="1" t="s">
        <v>2</v>
      </c>
      <c r="N4198" s="1" t="s">
        <v>38</v>
      </c>
      <c r="O4198" s="1" t="s">
        <v>46</v>
      </c>
    </row>
    <row r="4199" spans="2:15" x14ac:dyDescent="0.3">
      <c r="B4199" s="1" t="s">
        <v>23</v>
      </c>
      <c r="C4199" s="1" t="str">
        <f>"4차"</f>
        <v>4차</v>
      </c>
      <c r="D4199" s="1" t="str">
        <f>"0325H02144"</f>
        <v>0325H02144</v>
      </c>
      <c r="E4199" s="1" t="s">
        <v>10</v>
      </c>
      <c r="F4199" s="1" t="str">
        <f>"10.11.64.162"</f>
        <v>10.11.64.162</v>
      </c>
      <c r="G4199" s="1" t="str">
        <f>"0325H021"</f>
        <v>0325H021</v>
      </c>
      <c r="H4199" s="1" t="str">
        <f>"능동로 114R8"</f>
        <v>능동로 114R8</v>
      </c>
      <c r="I4199" s="1" t="s">
        <v>8</v>
      </c>
      <c r="J4199" s="1" t="str">
        <f>"32/32"</f>
        <v>32/32</v>
      </c>
      <c r="K4199" s="1" t="str">
        <f t="shared" si="241"/>
        <v>2026-07-29 13:18:03</v>
      </c>
      <c r="L4199" s="1" t="str">
        <f>"2019-10-29 10:43:05"</f>
        <v>2019-10-29 10:43:05</v>
      </c>
      <c r="M4199" s="1" t="s">
        <v>2</v>
      </c>
      <c r="N4199" s="1" t="s">
        <v>38</v>
      </c>
      <c r="O4199" s="1" t="s">
        <v>46</v>
      </c>
    </row>
    <row r="4200" spans="2:15" x14ac:dyDescent="0.3">
      <c r="B4200" s="1" t="s">
        <v>23</v>
      </c>
      <c r="C4200" s="1" t="str">
        <f>"3차"</f>
        <v>3차</v>
      </c>
      <c r="D4200" s="1" t="str">
        <f>"0325H04239"</f>
        <v>0325H04239</v>
      </c>
      <c r="E4200" s="1" t="s">
        <v>10</v>
      </c>
      <c r="F4200" s="1" t="str">
        <f>"10.11.56.34"</f>
        <v>10.11.56.34</v>
      </c>
      <c r="G4200" s="1" t="str">
        <f>"0325H042"</f>
        <v>0325H042</v>
      </c>
      <c r="H4200" s="1" t="str">
        <f>"화동간 42L25"</f>
        <v>화동간 42L25</v>
      </c>
      <c r="I4200" s="1" t="s">
        <v>8</v>
      </c>
      <c r="J4200" s="1" t="str">
        <f>"25/25"</f>
        <v>25/25</v>
      </c>
      <c r="K4200" s="1" t="str">
        <f>"2026-07-29 13:18:02"</f>
        <v>2026-07-29 13:18:02</v>
      </c>
      <c r="L4200" s="1" t="str">
        <f>"2018-04-27 14:04:12"</f>
        <v>2018-04-27 14:04:12</v>
      </c>
      <c r="M4200" s="1" t="s">
        <v>2</v>
      </c>
      <c r="N4200" s="1" t="s">
        <v>38</v>
      </c>
      <c r="O4200" s="1" t="s">
        <v>46</v>
      </c>
    </row>
    <row r="4201" spans="2:15" x14ac:dyDescent="0.3">
      <c r="B4201" s="1" t="s">
        <v>23</v>
      </c>
      <c r="C4201" s="1" t="str">
        <f>"3차"</f>
        <v>3차</v>
      </c>
      <c r="D4201" s="1" t="str">
        <f>"0325H05139"</f>
        <v>0325H05139</v>
      </c>
      <c r="E4201" s="1" t="s">
        <v>10</v>
      </c>
      <c r="F4201" s="1" t="str">
        <f>"10.11.63.42"</f>
        <v>10.11.63.42</v>
      </c>
      <c r="G4201" s="1" t="str">
        <f>"0325H051"</f>
        <v>0325H051</v>
      </c>
      <c r="H4201" s="1" t="str">
        <f>"화동간 42L26"</f>
        <v>화동간 42L26</v>
      </c>
      <c r="I4201" s="1" t="s">
        <v>8</v>
      </c>
      <c r="J4201" s="1" t="str">
        <f>"106/110"</f>
        <v>106/110</v>
      </c>
      <c r="K4201" s="1" t="str">
        <f>"2026-07-29 13:18:03"</f>
        <v>2026-07-29 13:18:03</v>
      </c>
      <c r="L4201" s="1" t="str">
        <f>"2018-04-27 13:55:13"</f>
        <v>2018-04-27 13:55:13</v>
      </c>
      <c r="M4201" s="1" t="s">
        <v>2</v>
      </c>
      <c r="N4201" s="1" t="s">
        <v>38</v>
      </c>
      <c r="O4201" s="1" t="s">
        <v>46</v>
      </c>
    </row>
    <row r="4202" spans="2:15" x14ac:dyDescent="0.3">
      <c r="B4202" s="1" t="s">
        <v>23</v>
      </c>
      <c r="C4202" s="1" t="str">
        <f>"4차"</f>
        <v>4차</v>
      </c>
      <c r="D4202" s="1" t="str">
        <f>"0325H06239"</f>
        <v>0325H06239</v>
      </c>
      <c r="E4202" s="1" t="s">
        <v>10</v>
      </c>
      <c r="F4202" s="1" t="str">
        <f>"10.11.62.34"</f>
        <v>10.11.62.34</v>
      </c>
      <c r="G4202" s="1" t="str">
        <f>"0325H062"</f>
        <v>0325H062</v>
      </c>
      <c r="H4202" s="1" t="str">
        <f>"화동간 42L21R2L1"</f>
        <v>화동간 42L21R2L1</v>
      </c>
      <c r="I4202" s="1" t="s">
        <v>8</v>
      </c>
      <c r="J4202" s="1" t="str">
        <f>"39/39"</f>
        <v>39/39</v>
      </c>
      <c r="K4202" s="1" t="str">
        <f>"2026-07-29 13:18:03"</f>
        <v>2026-07-29 13:18:03</v>
      </c>
      <c r="L4202" s="1" t="str">
        <f>"2018-04-27 14:14:26"</f>
        <v>2018-04-27 14:14:26</v>
      </c>
      <c r="M4202" s="1" t="s">
        <v>2</v>
      </c>
      <c r="N4202" s="1" t="s">
        <v>38</v>
      </c>
      <c r="O4202" s="1" t="s">
        <v>46</v>
      </c>
    </row>
    <row r="4203" spans="2:15" x14ac:dyDescent="0.3">
      <c r="B4203" s="1" t="s">
        <v>23</v>
      </c>
      <c r="C4203" s="1" t="str">
        <f>"4차"</f>
        <v>4차</v>
      </c>
      <c r="D4203" s="1" t="str">
        <f>"0325H08239"</f>
        <v>0325H08239</v>
      </c>
      <c r="E4203" s="1" t="s">
        <v>10</v>
      </c>
      <c r="F4203" s="1" t="str">
        <f>"10.11.55.82"</f>
        <v>10.11.55.82</v>
      </c>
      <c r="G4203" s="1" t="str">
        <f>"0325H082"</f>
        <v>0325H082</v>
      </c>
      <c r="H4203" s="1" t="str">
        <f>"화동간 42L21R5"</f>
        <v>화동간 42L21R5</v>
      </c>
      <c r="I4203" s="1" t="s">
        <v>8</v>
      </c>
      <c r="J4203" s="1" t="str">
        <f>"106/114"</f>
        <v>106/114</v>
      </c>
      <c r="K4203" s="1" t="str">
        <f>"2026-07-29 13:18:03"</f>
        <v>2026-07-29 13:18:03</v>
      </c>
      <c r="L4203" s="1" t="str">
        <f>"2018-04-27 08:49:24"</f>
        <v>2018-04-27 08:49:24</v>
      </c>
      <c r="M4203" s="1" t="s">
        <v>2</v>
      </c>
      <c r="N4203" s="1" t="s">
        <v>38</v>
      </c>
      <c r="O4203" s="1" t="s">
        <v>46</v>
      </c>
    </row>
    <row r="4204" spans="2:15" x14ac:dyDescent="0.3">
      <c r="B4204" s="1" t="s">
        <v>23</v>
      </c>
      <c r="C4204" s="1" t="str">
        <f>"4차"</f>
        <v>4차</v>
      </c>
      <c r="D4204" s="1" t="str">
        <f>"0325H09139"</f>
        <v>0325H09139</v>
      </c>
      <c r="E4204" s="1" t="s">
        <v>10</v>
      </c>
      <c r="F4204" s="1" t="str">
        <f>"10.11.62.66"</f>
        <v>10.11.62.66</v>
      </c>
      <c r="G4204" s="1" t="str">
        <f>"0325H091"</f>
        <v>0325H091</v>
      </c>
      <c r="H4204" s="1" t="str">
        <f>"화동간 42L21R8"</f>
        <v>화동간 42L21R8</v>
      </c>
      <c r="I4204" s="1" t="s">
        <v>8</v>
      </c>
      <c r="J4204" s="1" t="str">
        <f>"35/35"</f>
        <v>35/35</v>
      </c>
      <c r="K4204" s="1" t="str">
        <f>"2026-07-29 13:18:02"</f>
        <v>2026-07-29 13:18:02</v>
      </c>
      <c r="L4204" s="1" t="str">
        <f>"2018-04-26 11:26:11"</f>
        <v>2018-04-26 11:26:11</v>
      </c>
      <c r="M4204" s="1" t="s">
        <v>2</v>
      </c>
      <c r="N4204" s="1" t="s">
        <v>38</v>
      </c>
      <c r="O4204" s="1" t="s">
        <v>46</v>
      </c>
    </row>
    <row r="4205" spans="2:15" x14ac:dyDescent="0.3">
      <c r="B4205" s="1" t="s">
        <v>23</v>
      </c>
      <c r="C4205" s="1" t="str">
        <f>"4차"</f>
        <v>4차</v>
      </c>
      <c r="D4205" s="1" t="str">
        <f>"0325H09339"</f>
        <v>0325H09339</v>
      </c>
      <c r="E4205" s="1" t="s">
        <v>10</v>
      </c>
      <c r="F4205" s="1" t="str">
        <f>"10.11.55.90"</f>
        <v>10.11.55.90</v>
      </c>
      <c r="G4205" s="1" t="str">
        <f>"0325H093"</f>
        <v>0325H093</v>
      </c>
      <c r="H4205" s="1" t="str">
        <f>"화동간 42L21R7"</f>
        <v>화동간 42L21R7</v>
      </c>
      <c r="I4205" s="1" t="s">
        <v>8</v>
      </c>
      <c r="J4205" s="1" t="str">
        <f>"70/70"</f>
        <v>70/70</v>
      </c>
      <c r="K4205" s="1" t="str">
        <f>"2026-07-29 13:18:02"</f>
        <v>2026-07-29 13:18:02</v>
      </c>
      <c r="L4205" s="1" t="str">
        <f>"2018-04-26 10:39:25"</f>
        <v>2018-04-26 10:39:25</v>
      </c>
      <c r="M4205" s="1" t="s">
        <v>2</v>
      </c>
      <c r="N4205" s="1" t="s">
        <v>38</v>
      </c>
      <c r="O4205" s="1" t="s">
        <v>46</v>
      </c>
    </row>
    <row r="4206" spans="2:15" x14ac:dyDescent="0.3">
      <c r="B4206" s="1" t="s">
        <v>23</v>
      </c>
      <c r="C4206" s="1" t="str">
        <f>"3차"</f>
        <v>3차</v>
      </c>
      <c r="D4206" s="1" t="str">
        <f>"0325H09439"</f>
        <v>0325H09439</v>
      </c>
      <c r="E4206" s="1" t="s">
        <v>10</v>
      </c>
      <c r="F4206" s="1" t="str">
        <f>"10.11.63.34"</f>
        <v>10.11.63.34</v>
      </c>
      <c r="G4206" s="1" t="str">
        <f>"0325H094"</f>
        <v>0325H094</v>
      </c>
      <c r="H4206" s="1" t="str">
        <f>"화동간 42L21R6"</f>
        <v>화동간 42L21R6</v>
      </c>
      <c r="I4206" s="1" t="s">
        <v>8</v>
      </c>
      <c r="J4206" s="1" t="str">
        <f>"21/21"</f>
        <v>21/21</v>
      </c>
      <c r="K4206" s="1" t="str">
        <f>"2026-07-29 13:18:02"</f>
        <v>2026-07-29 13:18:02</v>
      </c>
      <c r="L4206" s="1" t="str">
        <f>"2018-04-26 11:40:40"</f>
        <v>2018-04-26 11:40:40</v>
      </c>
      <c r="M4206" s="1" t="s">
        <v>2</v>
      </c>
      <c r="N4206" s="1" t="s">
        <v>38</v>
      </c>
      <c r="O4206" s="1" t="s">
        <v>46</v>
      </c>
    </row>
    <row r="4207" spans="2:15" x14ac:dyDescent="0.3">
      <c r="B4207" s="1" t="s">
        <v>23</v>
      </c>
      <c r="C4207" s="1" t="str">
        <f>"4차"</f>
        <v>4차</v>
      </c>
      <c r="D4207" s="1" t="str">
        <f>"0325H11444"</f>
        <v>0325H11444</v>
      </c>
      <c r="E4207" s="1" t="s">
        <v>10</v>
      </c>
      <c r="F4207" s="1" t="str">
        <f>"10.11.64.154"</f>
        <v>10.11.64.154</v>
      </c>
      <c r="G4207" s="1" t="str">
        <f>"0325H114"</f>
        <v>0325H114</v>
      </c>
      <c r="H4207" s="1" t="str">
        <f>"능동로 114R6"</f>
        <v>능동로 114R6</v>
      </c>
      <c r="I4207" s="1" t="s">
        <v>8</v>
      </c>
      <c r="J4207" s="1" t="str">
        <f>"7/7"</f>
        <v>7/7</v>
      </c>
      <c r="K4207" s="1" t="str">
        <f>"2026-07-29 13:18:01"</f>
        <v>2026-07-29 13:18:01</v>
      </c>
      <c r="L4207" s="1" t="str">
        <f>"2019-10-29 10:43:05"</f>
        <v>2019-10-29 10:43:05</v>
      </c>
      <c r="M4207" s="1" t="s">
        <v>2</v>
      </c>
      <c r="N4207" s="1" t="s">
        <v>38</v>
      </c>
      <c r="O4207" s="1" t="s">
        <v>46</v>
      </c>
    </row>
    <row r="4208" spans="2:15" x14ac:dyDescent="0.3">
      <c r="B4208" s="1" t="s">
        <v>23</v>
      </c>
      <c r="C4208" s="1" t="str">
        <f>"4차"</f>
        <v>4차</v>
      </c>
      <c r="D4208" s="1" t="str">
        <f>"0325H12244"</f>
        <v>0325H12244</v>
      </c>
      <c r="E4208" s="1" t="s">
        <v>10</v>
      </c>
      <c r="F4208" s="1" t="str">
        <f>"10.11.64.146"</f>
        <v>10.11.64.146</v>
      </c>
      <c r="G4208" s="1" t="str">
        <f>"0325H122"</f>
        <v>0325H122</v>
      </c>
      <c r="H4208" s="1" t="str">
        <f>"능동로 110R5"</f>
        <v>능동로 110R5</v>
      </c>
      <c r="I4208" s="1" t="s">
        <v>8</v>
      </c>
      <c r="J4208" s="1" t="str">
        <f>"80/80"</f>
        <v>80/80</v>
      </c>
      <c r="K4208" s="1" t="str">
        <f>"2026-07-29 13:18:01"</f>
        <v>2026-07-29 13:18:01</v>
      </c>
      <c r="L4208" s="1" t="str">
        <f>"2019-10-29 10:43:05"</f>
        <v>2019-10-29 10:43:05</v>
      </c>
      <c r="M4208" s="1" t="s">
        <v>2</v>
      </c>
      <c r="N4208" s="1" t="s">
        <v>38</v>
      </c>
      <c r="O4208" s="1" t="s">
        <v>46</v>
      </c>
    </row>
    <row r="4209" spans="2:15" x14ac:dyDescent="0.3">
      <c r="B4209" s="1" t="s">
        <v>23</v>
      </c>
      <c r="C4209" s="1" t="str">
        <f>"4차"</f>
        <v>4차</v>
      </c>
      <c r="D4209" s="1" t="str">
        <f>"0325H13244"</f>
        <v>0325H13244</v>
      </c>
      <c r="E4209" s="1" t="s">
        <v>10</v>
      </c>
      <c r="F4209" s="1" t="str">
        <f>"10.11.63.146"</f>
        <v>10.11.63.146</v>
      </c>
      <c r="G4209" s="1" t="str">
        <f>"0325H132"</f>
        <v>0325H132</v>
      </c>
      <c r="H4209" s="1" t="str">
        <f>"공원간 27L4"</f>
        <v>공원간 27L4</v>
      </c>
      <c r="I4209" s="1" t="s">
        <v>8</v>
      </c>
      <c r="J4209" s="1" t="str">
        <f>"36/36"</f>
        <v>36/36</v>
      </c>
      <c r="K4209" s="1" t="str">
        <f>"2026-07-29 13:18:02"</f>
        <v>2026-07-29 13:18:02</v>
      </c>
      <c r="L4209" s="1" t="str">
        <f>"2019-09-06 11:03:04"</f>
        <v>2019-09-06 11:03:04</v>
      </c>
      <c r="M4209" s="1" t="s">
        <v>2</v>
      </c>
      <c r="N4209" s="1" t="s">
        <v>38</v>
      </c>
      <c r="O4209" s="1" t="s">
        <v>46</v>
      </c>
    </row>
    <row r="4210" spans="2:15" x14ac:dyDescent="0.3">
      <c r="B4210" s="1" t="s">
        <v>23</v>
      </c>
      <c r="C4210" s="1" t="str">
        <f>"4차"</f>
        <v>4차</v>
      </c>
      <c r="D4210" s="1" t="str">
        <f>"0325H13344"</f>
        <v>0325H13344</v>
      </c>
      <c r="E4210" s="1" t="s">
        <v>10</v>
      </c>
      <c r="F4210" s="1" t="str">
        <f>"10.11.76.82"</f>
        <v>10.11.76.82</v>
      </c>
      <c r="G4210" s="1" t="str">
        <f>"0325H133"</f>
        <v>0325H133</v>
      </c>
      <c r="H4210" s="1" t="str">
        <f>"공원간 27L6"</f>
        <v>공원간 27L6</v>
      </c>
      <c r="I4210" s="1" t="s">
        <v>8</v>
      </c>
      <c r="J4210" s="1" t="str">
        <f>"8/8"</f>
        <v>8/8</v>
      </c>
      <c r="K4210" s="1" t="str">
        <f>"2026-07-29 13:18:02"</f>
        <v>2026-07-29 13:18:02</v>
      </c>
      <c r="L4210" s="1" t="str">
        <f>"2019-09-06 11:13:05"</f>
        <v>2019-09-06 11:13:05</v>
      </c>
      <c r="M4210" s="1" t="s">
        <v>2</v>
      </c>
      <c r="N4210" s="1" t="s">
        <v>38</v>
      </c>
      <c r="O4210" s="1" t="s">
        <v>46</v>
      </c>
    </row>
    <row r="4211" spans="2:15" x14ac:dyDescent="0.3">
      <c r="B4211" s="1" t="s">
        <v>23</v>
      </c>
      <c r="C4211" s="1" t="str">
        <f>"3차"</f>
        <v>3차</v>
      </c>
      <c r="D4211" s="1" t="str">
        <f>"0325H14239"</f>
        <v>0325H14239</v>
      </c>
      <c r="E4211" s="1" t="s">
        <v>10</v>
      </c>
      <c r="F4211" s="1" t="str">
        <f>"10.11.56.58"</f>
        <v>10.11.56.58</v>
      </c>
      <c r="G4211" s="1" t="str">
        <f>"0325H142"</f>
        <v>0325H142</v>
      </c>
      <c r="H4211" s="1" t="str">
        <f>"화동간 42L24"</f>
        <v>화동간 42L24</v>
      </c>
      <c r="I4211" s="1" t="s">
        <v>8</v>
      </c>
      <c r="J4211" s="1" t="str">
        <f>"38/38"</f>
        <v>38/38</v>
      </c>
      <c r="K4211" s="1" t="str">
        <f>"2026-07-29 13:18:01"</f>
        <v>2026-07-29 13:18:01</v>
      </c>
      <c r="L4211" s="1" t="str">
        <f>"2018-04-27 13:53:42"</f>
        <v>2018-04-27 13:53:42</v>
      </c>
      <c r="M4211" s="1" t="s">
        <v>2</v>
      </c>
      <c r="N4211" s="1" t="s">
        <v>38</v>
      </c>
      <c r="O4211" s="1" t="s">
        <v>46</v>
      </c>
    </row>
    <row r="4212" spans="2:15" x14ac:dyDescent="0.3">
      <c r="B4212" s="1" t="s">
        <v>23</v>
      </c>
      <c r="C4212" s="1" t="str">
        <f>"1차"</f>
        <v>1차</v>
      </c>
      <c r="D4212" s="1" t="str">
        <f>"0325H14300"</f>
        <v>0325H14300</v>
      </c>
      <c r="E4212" s="1" t="s">
        <v>10</v>
      </c>
      <c r="F4212" s="1" t="str">
        <f>"10.125.8.18"</f>
        <v>10.125.8.18</v>
      </c>
      <c r="G4212" s="1" t="str">
        <f>"0325H143"</f>
        <v>0325H143</v>
      </c>
      <c r="H4212" s="1" t="str">
        <f>"공원간 24"</f>
        <v>공원간 24</v>
      </c>
      <c r="I4212" s="1" t="s">
        <v>8</v>
      </c>
      <c r="J4212" s="1" t="str">
        <f>"27/27"</f>
        <v>27/27</v>
      </c>
      <c r="K4212" s="1" t="str">
        <f>"2026-07-29 13:18:02"</f>
        <v>2026-07-29 13:18:02</v>
      </c>
      <c r="L4212" s="1" t="str">
        <f>"2015-07-22 11:15:01"</f>
        <v>2015-07-22 11:15:01</v>
      </c>
      <c r="M4212" s="1" t="s">
        <v>45</v>
      </c>
      <c r="N4212" s="1" t="s">
        <v>38</v>
      </c>
      <c r="O4212" s="1" t="s">
        <v>46</v>
      </c>
    </row>
    <row r="4213" spans="2:15" x14ac:dyDescent="0.3">
      <c r="B4213" s="1" t="s">
        <v>23</v>
      </c>
      <c r="C4213" s="1" t="str">
        <f>"3차"</f>
        <v>3차</v>
      </c>
      <c r="D4213" s="1" t="str">
        <f>"0325H15139"</f>
        <v>0325H15139</v>
      </c>
      <c r="E4213" s="1" t="s">
        <v>10</v>
      </c>
      <c r="F4213" s="1" t="str">
        <f>"10.11.63.66"</f>
        <v>10.11.63.66</v>
      </c>
      <c r="G4213" s="1" t="str">
        <f>"0325H151"</f>
        <v>0325H151</v>
      </c>
      <c r="H4213" s="1" t="str">
        <f>"화동간 42L22"</f>
        <v>화동간 42L22</v>
      </c>
      <c r="I4213" s="1" t="s">
        <v>8</v>
      </c>
      <c r="J4213" s="1" t="str">
        <f>"63/63"</f>
        <v>63/63</v>
      </c>
      <c r="K4213" s="1" t="str">
        <f>"2026-07-29 13:18:01"</f>
        <v>2026-07-29 13:18:01</v>
      </c>
      <c r="L4213" s="1" t="str">
        <f>"2018-04-27 13:49:42"</f>
        <v>2018-04-27 13:49:42</v>
      </c>
      <c r="M4213" s="1" t="s">
        <v>2</v>
      </c>
      <c r="N4213" s="1" t="s">
        <v>38</v>
      </c>
      <c r="O4213" s="1" t="s">
        <v>46</v>
      </c>
    </row>
    <row r="4214" spans="2:15" x14ac:dyDescent="0.3">
      <c r="B4214" s="1" t="s">
        <v>23</v>
      </c>
      <c r="C4214" s="1" t="str">
        <f>"4차"</f>
        <v>4차</v>
      </c>
      <c r="D4214" s="1" t="str">
        <f>"0325H16244"</f>
        <v>0325H16244</v>
      </c>
      <c r="E4214" s="1" t="s">
        <v>10</v>
      </c>
      <c r="F4214" s="1" t="str">
        <f>"10.11.55.58"</f>
        <v>10.11.55.58</v>
      </c>
      <c r="G4214" s="1" t="str">
        <f>"0325H162"</f>
        <v>0325H162</v>
      </c>
      <c r="H4214" s="1" t="str">
        <f>"화동간 42L21R1"</f>
        <v>화동간 42L21R1</v>
      </c>
      <c r="I4214" s="1" t="s">
        <v>8</v>
      </c>
      <c r="J4214" s="1" t="str">
        <f>"56/56"</f>
        <v>56/56</v>
      </c>
      <c r="K4214" s="1" t="str">
        <f>"2026-07-29 13:18:01"</f>
        <v>2026-07-29 13:18:01</v>
      </c>
      <c r="L4214" s="1" t="str">
        <f>"2023-07-04 13:27:13"</f>
        <v>2023-07-04 13:27:13</v>
      </c>
      <c r="M4214" s="1" t="s">
        <v>2</v>
      </c>
      <c r="N4214" s="1" t="s">
        <v>38</v>
      </c>
      <c r="O4214" s="1" t="s">
        <v>46</v>
      </c>
    </row>
    <row r="4215" spans="2:15" x14ac:dyDescent="0.3">
      <c r="B4215" s="1" t="s">
        <v>23</v>
      </c>
      <c r="C4215" s="1" t="str">
        <f>"4차"</f>
        <v>4차</v>
      </c>
      <c r="D4215" s="1" t="str">
        <f>"0325H22144"</f>
        <v>0325H22144</v>
      </c>
      <c r="E4215" s="1" t="s">
        <v>10</v>
      </c>
      <c r="F4215" s="1" t="str">
        <f>"10.11.64.138"</f>
        <v>10.11.64.138</v>
      </c>
      <c r="G4215" s="1" t="str">
        <f>"0325H221"</f>
        <v>0325H221</v>
      </c>
      <c r="H4215" s="1" t="str">
        <f>"능동로 110R4"</f>
        <v>능동로 110R4</v>
      </c>
      <c r="I4215" s="1" t="s">
        <v>8</v>
      </c>
      <c r="J4215" s="1" t="str">
        <f>"28/28"</f>
        <v>28/28</v>
      </c>
      <c r="K4215" s="1" t="str">
        <f>"2026-07-29 13:18:01"</f>
        <v>2026-07-29 13:18:01</v>
      </c>
      <c r="L4215" s="1" t="str">
        <f>"2019-10-29 10:53:05"</f>
        <v>2019-10-29 10:53:05</v>
      </c>
      <c r="M4215" s="1" t="s">
        <v>2</v>
      </c>
      <c r="N4215" s="1" t="s">
        <v>38</v>
      </c>
      <c r="O4215" s="1" t="s">
        <v>46</v>
      </c>
    </row>
    <row r="4216" spans="2:15" x14ac:dyDescent="0.3">
      <c r="B4216" s="1" t="s">
        <v>23</v>
      </c>
      <c r="C4216" s="1" t="str">
        <f>"3차"</f>
        <v>3차</v>
      </c>
      <c r="D4216" s="1" t="str">
        <f>"0325H23139"</f>
        <v>0325H23139</v>
      </c>
      <c r="E4216" s="1" t="s">
        <v>10</v>
      </c>
      <c r="F4216" s="1" t="str">
        <f>"10.11.81.98"</f>
        <v>10.11.81.98</v>
      </c>
      <c r="G4216" s="1" t="str">
        <f>"0325H231"</f>
        <v>0325H231</v>
      </c>
      <c r="H4216" s="1" t="str">
        <f>"공원간 27L7"</f>
        <v>공원간 27L7</v>
      </c>
      <c r="I4216" s="1" t="s">
        <v>8</v>
      </c>
      <c r="J4216" s="1" t="str">
        <f>"18/19"</f>
        <v>18/19</v>
      </c>
      <c r="K4216" s="1" t="str">
        <f>"2026-07-29 13:18:01"</f>
        <v>2026-07-29 13:18:01</v>
      </c>
      <c r="L4216" s="1" t="str">
        <f>"2018-04-17 18:22:45"</f>
        <v>2018-04-17 18:22:45</v>
      </c>
      <c r="M4216" s="1" t="s">
        <v>2</v>
      </c>
      <c r="N4216" s="1" t="s">
        <v>38</v>
      </c>
      <c r="O4216" s="1" t="s">
        <v>46</v>
      </c>
    </row>
    <row r="4217" spans="2:15" x14ac:dyDescent="0.3">
      <c r="B4217" s="1" t="s">
        <v>23</v>
      </c>
      <c r="C4217" s="1" t="str">
        <f>"4차"</f>
        <v>4차</v>
      </c>
      <c r="D4217" s="1" t="str">
        <f>"0325H25244"</f>
        <v>0325H25244</v>
      </c>
      <c r="E4217" s="1" t="s">
        <v>10</v>
      </c>
      <c r="F4217" s="1" t="str">
        <f>"10.125.115.199"</f>
        <v>10.125.115.199</v>
      </c>
      <c r="G4217" s="1" t="str">
        <f>"0325H252"</f>
        <v>0325H252</v>
      </c>
      <c r="H4217" s="1" t="str">
        <f>"공원간 21"</f>
        <v>공원간 21</v>
      </c>
      <c r="I4217" s="1" t="s">
        <v>8</v>
      </c>
      <c r="J4217" s="1" t="str">
        <f>"10/10"</f>
        <v>10/10</v>
      </c>
      <c r="K4217" s="1" t="str">
        <f>"2026-07-29 13:18:01"</f>
        <v>2026-07-29 13:18:01</v>
      </c>
      <c r="L4217" s="1" t="str">
        <f>"2023-09-05 09:45:30"</f>
        <v>2023-09-05 09:45:30</v>
      </c>
      <c r="M4217" s="1" t="s">
        <v>45</v>
      </c>
      <c r="N4217" s="1" t="s">
        <v>38</v>
      </c>
      <c r="O4217" s="1" t="s">
        <v>46</v>
      </c>
    </row>
    <row r="4218" spans="2:15" x14ac:dyDescent="0.3">
      <c r="B4218" s="1" t="s">
        <v>23</v>
      </c>
      <c r="C4218" s="1" t="str">
        <f>"3차"</f>
        <v>3차</v>
      </c>
      <c r="D4218" s="1" t="str">
        <f>"0325H27331"</f>
        <v>0325H27331</v>
      </c>
      <c r="E4218" s="1" t="s">
        <v>10</v>
      </c>
      <c r="F4218" s="1" t="str">
        <f>"10.11.55.51"</f>
        <v>10.11.55.51</v>
      </c>
      <c r="G4218" s="1" t="str">
        <f>"0325H273"</f>
        <v>0325H273</v>
      </c>
      <c r="H4218" s="1" t="str">
        <f>"화동간 42L20"</f>
        <v>화동간 42L20</v>
      </c>
      <c r="I4218" s="1" t="s">
        <v>8</v>
      </c>
      <c r="J4218" s="1" t="str">
        <f>"64/64"</f>
        <v>64/64</v>
      </c>
      <c r="K4218" s="1" t="str">
        <f>"2026-07-29 13:18:02"</f>
        <v>2026-07-29 13:18:02</v>
      </c>
      <c r="L4218" s="1" t="str">
        <f>"2018-05-04 09:22:09"</f>
        <v>2018-05-04 09:22:09</v>
      </c>
      <c r="M4218" s="1" t="s">
        <v>2</v>
      </c>
      <c r="N4218" s="1" t="s">
        <v>38</v>
      </c>
      <c r="O4218" s="1" t="s">
        <v>46</v>
      </c>
    </row>
    <row r="4219" spans="2:15" x14ac:dyDescent="0.3">
      <c r="B4219" s="1" t="s">
        <v>23</v>
      </c>
      <c r="C4219" s="1" t="str">
        <f>"4차"</f>
        <v>4차</v>
      </c>
      <c r="D4219" s="1" t="str">
        <f>"0325H28130"</f>
        <v>0325H28130</v>
      </c>
      <c r="E4219" s="1" t="s">
        <v>10</v>
      </c>
      <c r="F4219" s="1" t="str">
        <f>"10.11.55.50"</f>
        <v>10.11.55.50</v>
      </c>
      <c r="G4219" s="1" t="str">
        <f>"0325H281"</f>
        <v>0325H281</v>
      </c>
      <c r="H4219" s="1" t="str">
        <f>"화동간 42L18"</f>
        <v>화동간 42L18</v>
      </c>
      <c r="I4219" s="1" t="s">
        <v>8</v>
      </c>
      <c r="J4219" s="1" t="str">
        <f>"82/90"</f>
        <v>82/90</v>
      </c>
      <c r="K4219" s="1" t="str">
        <f>"2026-07-29 13:18:02"</f>
        <v>2026-07-29 13:18:02</v>
      </c>
      <c r="L4219" s="1" t="str">
        <f>"2018-06-01 17:29:31"</f>
        <v>2018-06-01 17:29:31</v>
      </c>
      <c r="M4219" s="1" t="s">
        <v>2</v>
      </c>
      <c r="N4219" s="1" t="s">
        <v>38</v>
      </c>
      <c r="O4219" s="1" t="s">
        <v>46</v>
      </c>
    </row>
    <row r="4220" spans="2:15" x14ac:dyDescent="0.3">
      <c r="B4220" s="1" t="s">
        <v>23</v>
      </c>
      <c r="C4220" s="1" t="str">
        <f>"3차"</f>
        <v>3차</v>
      </c>
      <c r="D4220" s="1" t="str">
        <f>"0325H31239"</f>
        <v>0325H31239</v>
      </c>
      <c r="E4220" s="1" t="s">
        <v>10</v>
      </c>
      <c r="F4220" s="1" t="str">
        <f>"10.11.81.106"</f>
        <v>10.11.81.106</v>
      </c>
      <c r="G4220" s="1" t="str">
        <f>"0325H312"</f>
        <v>0325H312</v>
      </c>
      <c r="H4220" s="1" t="str">
        <f>"능동로 114R2"</f>
        <v>능동로 114R2</v>
      </c>
      <c r="I4220" s="1" t="s">
        <v>8</v>
      </c>
      <c r="J4220" s="1" t="str">
        <f>"49/54"</f>
        <v>49/54</v>
      </c>
      <c r="K4220" s="1" t="str">
        <f>"2026-07-29 13:18:01"</f>
        <v>2026-07-29 13:18:01</v>
      </c>
      <c r="L4220" s="1" t="str">
        <f>"2018-09-12 15:34:12"</f>
        <v>2018-09-12 15:34:12</v>
      </c>
      <c r="M4220" s="1" t="s">
        <v>2</v>
      </c>
      <c r="N4220" s="1" t="s">
        <v>38</v>
      </c>
      <c r="O4220" s="1" t="s">
        <v>46</v>
      </c>
    </row>
    <row r="4221" spans="2:15" x14ac:dyDescent="0.3">
      <c r="B4221" s="1" t="s">
        <v>23</v>
      </c>
      <c r="C4221" s="1" t="str">
        <f>"4차"</f>
        <v>4차</v>
      </c>
      <c r="D4221" s="1" t="str">
        <f>"0325H33139"</f>
        <v>0325H33139</v>
      </c>
      <c r="E4221" s="1" t="s">
        <v>10</v>
      </c>
      <c r="F4221" s="1" t="str">
        <f>"10.11.81.114"</f>
        <v>10.11.81.114</v>
      </c>
      <c r="G4221" s="1" t="str">
        <f>"0325H331"</f>
        <v>0325H331</v>
      </c>
      <c r="H4221" s="1" t="str">
        <f>"능동로 110R3"</f>
        <v>능동로 110R3</v>
      </c>
      <c r="I4221" s="1" t="s">
        <v>8</v>
      </c>
      <c r="J4221" s="1" t="str">
        <f>"93/101"</f>
        <v>93/101</v>
      </c>
      <c r="K4221" s="1" t="str">
        <f>"2026-07-29 13:18:01"</f>
        <v>2026-07-29 13:18:01</v>
      </c>
      <c r="L4221" s="1" t="str">
        <f>"2018-09-12 14:33:41"</f>
        <v>2018-09-12 14:33:41</v>
      </c>
      <c r="M4221" s="1" t="s">
        <v>2</v>
      </c>
      <c r="N4221" s="1" t="s">
        <v>38</v>
      </c>
      <c r="O4221" s="1" t="s">
        <v>46</v>
      </c>
    </row>
    <row r="4222" spans="2:15" x14ac:dyDescent="0.3">
      <c r="B4222" s="1" t="s">
        <v>23</v>
      </c>
      <c r="C4222" s="1" t="str">
        <f>"4차"</f>
        <v>4차</v>
      </c>
      <c r="D4222" s="1" t="str">
        <f>"0325H34144"</f>
        <v>0325H34144</v>
      </c>
      <c r="E4222" s="1" t="s">
        <v>10</v>
      </c>
      <c r="F4222" s="1" t="str">
        <f>"10.11.63.154"</f>
        <v>10.11.63.154</v>
      </c>
      <c r="G4222" s="1" t="str">
        <f>"0325H341"</f>
        <v>0325H341</v>
      </c>
      <c r="H4222" s="1" t="str">
        <f>"공원간 27L9"</f>
        <v>공원간 27L9</v>
      </c>
      <c r="I4222" s="1" t="s">
        <v>8</v>
      </c>
      <c r="J4222" s="1" t="str">
        <f>"43/44"</f>
        <v>43/44</v>
      </c>
      <c r="K4222" s="1" t="str">
        <f>"2026-07-29 13:18:03"</f>
        <v>2026-07-29 13:18:03</v>
      </c>
      <c r="L4222" s="1" t="str">
        <f>"2019-11-18 10:07:25"</f>
        <v>2019-11-18 10:07:25</v>
      </c>
      <c r="M4222" s="1" t="s">
        <v>2</v>
      </c>
      <c r="N4222" s="1" t="s">
        <v>38</v>
      </c>
      <c r="O4222" s="1" t="s">
        <v>46</v>
      </c>
    </row>
    <row r="4223" spans="2:15" x14ac:dyDescent="0.3">
      <c r="B4223" s="1" t="s">
        <v>23</v>
      </c>
      <c r="C4223" s="1" t="str">
        <f>"4차"</f>
        <v>4차</v>
      </c>
      <c r="D4223" s="1" t="str">
        <f>"0325H35144"</f>
        <v>0325H35144</v>
      </c>
      <c r="E4223" s="1" t="s">
        <v>10</v>
      </c>
      <c r="F4223" s="1" t="str">
        <f>"10.125.8.26"</f>
        <v>10.125.8.26</v>
      </c>
      <c r="G4223" s="1" t="str">
        <f>"0325H351"</f>
        <v>0325H351</v>
      </c>
      <c r="H4223" s="1" t="str">
        <f>"공원간 20"</f>
        <v>공원간 20</v>
      </c>
      <c r="I4223" s="1" t="s">
        <v>8</v>
      </c>
      <c r="J4223" s="1" t="str">
        <f>"26/26"</f>
        <v>26/26</v>
      </c>
      <c r="K4223" s="1" t="str">
        <f>"2026-07-29 13:18:01"</f>
        <v>2026-07-29 13:18:01</v>
      </c>
      <c r="L4223" s="1" t="str">
        <f>"2023-08-25 16:22:01"</f>
        <v>2023-08-25 16:22:01</v>
      </c>
      <c r="M4223" s="1" t="s">
        <v>45</v>
      </c>
      <c r="N4223" s="1" t="s">
        <v>38</v>
      </c>
      <c r="O4223" s="1" t="s">
        <v>46</v>
      </c>
    </row>
    <row r="4224" spans="2:15" x14ac:dyDescent="0.3">
      <c r="B4224" s="1" t="s">
        <v>23</v>
      </c>
      <c r="C4224" s="1" t="str">
        <f>"4차"</f>
        <v>4차</v>
      </c>
      <c r="D4224" s="1" t="str">
        <f>"0325H37144"</f>
        <v>0325H37144</v>
      </c>
      <c r="E4224" s="1" t="s">
        <v>10</v>
      </c>
      <c r="F4224" s="1" t="str">
        <f>"10.11.63.122"</f>
        <v>10.11.63.122</v>
      </c>
      <c r="G4224" s="1" t="str">
        <f>"0325H371"</f>
        <v>0325H371</v>
      </c>
      <c r="H4224" s="1" t="str">
        <f>"공원간 18R2"</f>
        <v>공원간 18R2</v>
      </c>
      <c r="I4224" s="1" t="s">
        <v>8</v>
      </c>
      <c r="J4224" s="1" t="str">
        <f>"37/37"</f>
        <v>37/37</v>
      </c>
      <c r="K4224" s="1" t="str">
        <f>"2026-07-29 13:18:02"</f>
        <v>2026-07-29 13:18:02</v>
      </c>
      <c r="L4224" s="1" t="str">
        <f>"2019-09-06 11:13:05"</f>
        <v>2019-09-06 11:13:05</v>
      </c>
      <c r="M4224" s="1" t="s">
        <v>2</v>
      </c>
      <c r="N4224" s="1" t="s">
        <v>38</v>
      </c>
      <c r="O4224" s="1" t="s">
        <v>46</v>
      </c>
    </row>
    <row r="4225" spans="2:15" x14ac:dyDescent="0.3">
      <c r="B4225" s="1" t="s">
        <v>23</v>
      </c>
      <c r="C4225" s="1" t="str">
        <f>"3차"</f>
        <v>3차</v>
      </c>
      <c r="D4225" s="1" t="str">
        <f>"0325H38139"</f>
        <v>0325H38139</v>
      </c>
      <c r="E4225" s="1" t="s">
        <v>10</v>
      </c>
      <c r="F4225" s="1" t="str">
        <f>"10.11.81.122"</f>
        <v>10.11.81.122</v>
      </c>
      <c r="G4225" s="1" t="str">
        <f>"0325H381"</f>
        <v>0325H381</v>
      </c>
      <c r="H4225" s="1" t="str">
        <f>"공원간 18H1R4"</f>
        <v>공원간 18H1R4</v>
      </c>
      <c r="I4225" s="1" t="s">
        <v>8</v>
      </c>
      <c r="J4225" s="1" t="str">
        <f>"19/20"</f>
        <v>19/20</v>
      </c>
      <c r="K4225" s="1" t="str">
        <f>"2026-07-29 13:18:03"</f>
        <v>2026-07-29 13:18:03</v>
      </c>
      <c r="L4225" s="1" t="str">
        <f>"2018-04-17 18:20:14"</f>
        <v>2018-04-17 18:20:14</v>
      </c>
      <c r="M4225" s="1" t="s">
        <v>2</v>
      </c>
      <c r="N4225" s="1" t="s">
        <v>38</v>
      </c>
      <c r="O4225" s="1" t="s">
        <v>46</v>
      </c>
    </row>
    <row r="4226" spans="2:15" x14ac:dyDescent="0.3">
      <c r="B4226" s="1" t="s">
        <v>23</v>
      </c>
      <c r="C4226" s="1" t="str">
        <f t="shared" ref="C4226:C4232" si="242">"4차"</f>
        <v>4차</v>
      </c>
      <c r="D4226" s="1" t="str">
        <f>"0325H39139"</f>
        <v>0325H39139</v>
      </c>
      <c r="E4226" s="1" t="s">
        <v>10</v>
      </c>
      <c r="F4226" s="1" t="str">
        <f>"10.11.62.18"</f>
        <v>10.11.62.18</v>
      </c>
      <c r="G4226" s="1" t="str">
        <f>"0325H391"</f>
        <v>0325H391</v>
      </c>
      <c r="H4226" s="1" t="str">
        <f>"화동간 42L16"</f>
        <v>화동간 42L16</v>
      </c>
      <c r="I4226" s="1" t="s">
        <v>8</v>
      </c>
      <c r="J4226" s="1" t="str">
        <f>"52/69"</f>
        <v>52/69</v>
      </c>
      <c r="K4226" s="1" t="str">
        <f>"2026-07-29 13:18:02"</f>
        <v>2026-07-29 13:18:02</v>
      </c>
      <c r="L4226" s="1" t="str">
        <f>"2018-04-27 13:54:27"</f>
        <v>2018-04-27 13:54:27</v>
      </c>
      <c r="M4226" s="1" t="s">
        <v>2</v>
      </c>
      <c r="N4226" s="1" t="s">
        <v>38</v>
      </c>
      <c r="O4226" s="1" t="s">
        <v>46</v>
      </c>
    </row>
    <row r="4227" spans="2:15" x14ac:dyDescent="0.3">
      <c r="B4227" s="1" t="s">
        <v>23</v>
      </c>
      <c r="C4227" s="1" t="str">
        <f t="shared" si="242"/>
        <v>4차</v>
      </c>
      <c r="D4227" s="1" t="str">
        <f>"0325H44144"</f>
        <v>0325H44144</v>
      </c>
      <c r="E4227" s="1" t="s">
        <v>10</v>
      </c>
      <c r="F4227" s="1" t="str">
        <f>"10.11.64.114"</f>
        <v>10.11.64.114</v>
      </c>
      <c r="G4227" s="1" t="str">
        <f>"0325H441"</f>
        <v>0325H441</v>
      </c>
      <c r="H4227" s="1" t="str">
        <f>"능동로 108R2L1"</f>
        <v>능동로 108R2L1</v>
      </c>
      <c r="I4227" s="1" t="s">
        <v>8</v>
      </c>
      <c r="J4227" s="1" t="str">
        <f>"41/41"</f>
        <v>41/41</v>
      </c>
      <c r="K4227" s="1" t="str">
        <f>"2026-07-29 13:18:03"</f>
        <v>2026-07-29 13:18:03</v>
      </c>
      <c r="L4227" s="1" t="str">
        <f>"2019-10-29 10:33:04"</f>
        <v>2019-10-29 10:33:04</v>
      </c>
      <c r="M4227" s="1" t="s">
        <v>2</v>
      </c>
      <c r="N4227" s="1" t="s">
        <v>38</v>
      </c>
      <c r="O4227" s="1" t="s">
        <v>46</v>
      </c>
    </row>
    <row r="4228" spans="2:15" x14ac:dyDescent="0.3">
      <c r="B4228" s="1" t="s">
        <v>23</v>
      </c>
      <c r="C4228" s="1" t="str">
        <f t="shared" si="242"/>
        <v>4차</v>
      </c>
      <c r="D4228" s="1" t="str">
        <f>"0325H45244"</f>
        <v>0325H45244</v>
      </c>
      <c r="E4228" s="1" t="s">
        <v>10</v>
      </c>
      <c r="F4228" s="1" t="str">
        <f>"10.11.64.106"</f>
        <v>10.11.64.106</v>
      </c>
      <c r="G4228" s="1" t="str">
        <f>"0325H452"</f>
        <v>0325H452</v>
      </c>
      <c r="H4228" s="1" t="str">
        <f>"능동로 108R2"</f>
        <v>능동로 108R2</v>
      </c>
      <c r="I4228" s="1" t="s">
        <v>8</v>
      </c>
      <c r="J4228" s="1" t="str">
        <f>"47/47"</f>
        <v>47/47</v>
      </c>
      <c r="K4228" s="1" t="str">
        <f>"2026-07-29 13:18:02"</f>
        <v>2026-07-29 13:18:02</v>
      </c>
      <c r="L4228" s="1" t="str">
        <f>"2019-10-29 10:43:05"</f>
        <v>2019-10-29 10:43:05</v>
      </c>
      <c r="M4228" s="1" t="s">
        <v>2</v>
      </c>
      <c r="N4228" s="1" t="s">
        <v>38</v>
      </c>
      <c r="O4228" s="1" t="s">
        <v>46</v>
      </c>
    </row>
    <row r="4229" spans="2:15" x14ac:dyDescent="0.3">
      <c r="B4229" s="1" t="s">
        <v>23</v>
      </c>
      <c r="C4229" s="1" t="str">
        <f t="shared" si="242"/>
        <v>4차</v>
      </c>
      <c r="D4229" s="1" t="str">
        <f>"0325H46144"</f>
        <v>0325H46144</v>
      </c>
      <c r="E4229" s="1" t="s">
        <v>10</v>
      </c>
      <c r="F4229" s="1" t="str">
        <f>"10.125.115.201"</f>
        <v>10.125.115.201</v>
      </c>
      <c r="G4229" s="1" t="str">
        <f>"0325H461"</f>
        <v>0325H461</v>
      </c>
      <c r="H4229" s="1" t="str">
        <f>"공원간 18"</f>
        <v>공원간 18</v>
      </c>
      <c r="I4229" s="1" t="s">
        <v>8</v>
      </c>
      <c r="J4229" s="1" t="str">
        <f>"55/55"</f>
        <v>55/55</v>
      </c>
      <c r="K4229" s="1" t="str">
        <f>"2026-07-29 13:18:03"</f>
        <v>2026-07-29 13:18:03</v>
      </c>
      <c r="L4229" s="1" t="str">
        <f>"2023-10-27 15:02:22"</f>
        <v>2023-10-27 15:02:22</v>
      </c>
      <c r="M4229" s="1" t="s">
        <v>45</v>
      </c>
      <c r="N4229" s="1" t="s">
        <v>38</v>
      </c>
      <c r="O4229" s="1" t="s">
        <v>46</v>
      </c>
    </row>
    <row r="4230" spans="2:15" x14ac:dyDescent="0.3">
      <c r="B4230" s="1" t="s">
        <v>23</v>
      </c>
      <c r="C4230" s="1" t="str">
        <f t="shared" si="242"/>
        <v>4차</v>
      </c>
      <c r="D4230" s="1" t="str">
        <f>"0325H47144"</f>
        <v>0325H47144</v>
      </c>
      <c r="E4230" s="1" t="s">
        <v>10</v>
      </c>
      <c r="F4230" s="1" t="str">
        <f>"10.11.63.106"</f>
        <v>10.11.63.106</v>
      </c>
      <c r="G4230" s="1" t="str">
        <f>"0325H471"</f>
        <v>0325H471</v>
      </c>
      <c r="H4230" s="1" t="str">
        <f>"공원간 17"</f>
        <v>공원간 17</v>
      </c>
      <c r="I4230" s="1" t="s">
        <v>8</v>
      </c>
      <c r="J4230" s="1" t="str">
        <f>"22/22"</f>
        <v>22/22</v>
      </c>
      <c r="K4230" s="1" t="str">
        <f>"2026-07-29 13:18:03"</f>
        <v>2026-07-29 13:18:03</v>
      </c>
      <c r="L4230" s="1" t="str">
        <f>"2019-09-06 09:33:04"</f>
        <v>2019-09-06 09:33:04</v>
      </c>
      <c r="M4230" s="1" t="s">
        <v>2</v>
      </c>
      <c r="N4230" s="1" t="s">
        <v>38</v>
      </c>
      <c r="O4230" s="1" t="s">
        <v>46</v>
      </c>
    </row>
    <row r="4231" spans="2:15" x14ac:dyDescent="0.3">
      <c r="B4231" s="1" t="s">
        <v>23</v>
      </c>
      <c r="C4231" s="1" t="str">
        <f t="shared" si="242"/>
        <v>4차</v>
      </c>
      <c r="D4231" s="1" t="str">
        <f>"0325H47344"</f>
        <v>0325H47344</v>
      </c>
      <c r="E4231" s="1" t="s">
        <v>10</v>
      </c>
      <c r="F4231" s="1" t="str">
        <f>"10.11.63.114"</f>
        <v>10.11.63.114</v>
      </c>
      <c r="G4231" s="1" t="str">
        <f>"0325H473"</f>
        <v>0325H473</v>
      </c>
      <c r="H4231" s="1" t="str">
        <f>"공원간 18H1R2"</f>
        <v>공원간 18H1R2</v>
      </c>
      <c r="I4231" s="1" t="s">
        <v>8</v>
      </c>
      <c r="J4231" s="1" t="str">
        <f>"37/37"</f>
        <v>37/37</v>
      </c>
      <c r="K4231" s="1" t="str">
        <f>"2026-07-29 13:18:03"</f>
        <v>2026-07-29 13:18:03</v>
      </c>
      <c r="L4231" s="1" t="str">
        <f>"2019-09-06 10:53:03"</f>
        <v>2019-09-06 10:53:03</v>
      </c>
      <c r="M4231" s="1" t="s">
        <v>2</v>
      </c>
      <c r="N4231" s="1" t="s">
        <v>38</v>
      </c>
      <c r="O4231" s="1" t="s">
        <v>46</v>
      </c>
    </row>
    <row r="4232" spans="2:15" x14ac:dyDescent="0.3">
      <c r="B4232" s="1" t="s">
        <v>23</v>
      </c>
      <c r="C4232" s="1" t="str">
        <f t="shared" si="242"/>
        <v>4차</v>
      </c>
      <c r="D4232" s="1" t="str">
        <f>"0325H48144"</f>
        <v>0325H48144</v>
      </c>
      <c r="E4232" s="1" t="s">
        <v>10</v>
      </c>
      <c r="F4232" s="1" t="str">
        <f>"10.11.63.90"</f>
        <v>10.11.63.90</v>
      </c>
      <c r="G4232" s="1" t="str">
        <f>"0325H481"</f>
        <v>0325H481</v>
      </c>
      <c r="H4232" s="1" t="str">
        <f>"공원간 15R2"</f>
        <v>공원간 15R2</v>
      </c>
      <c r="I4232" s="1" t="s">
        <v>8</v>
      </c>
      <c r="J4232" s="1" t="str">
        <f>"28/28"</f>
        <v>28/28</v>
      </c>
      <c r="K4232" s="1" t="str">
        <f>"2026-07-29 13:18:03"</f>
        <v>2026-07-29 13:18:03</v>
      </c>
      <c r="L4232" s="1" t="str">
        <f>"2019-09-06 11:13:05"</f>
        <v>2019-09-06 11:13:05</v>
      </c>
      <c r="M4232" s="1" t="s">
        <v>2</v>
      </c>
      <c r="N4232" s="1" t="s">
        <v>38</v>
      </c>
      <c r="O4232" s="1" t="s">
        <v>46</v>
      </c>
    </row>
    <row r="4233" spans="2:15" x14ac:dyDescent="0.3">
      <c r="B4233" s="1" t="s">
        <v>23</v>
      </c>
      <c r="C4233" s="1" t="str">
        <f>"3차"</f>
        <v>3차</v>
      </c>
      <c r="D4233" s="1" t="str">
        <f>"0325H48239"</f>
        <v>0325H48239</v>
      </c>
      <c r="E4233" s="1" t="s">
        <v>10</v>
      </c>
      <c r="F4233" s="1" t="str">
        <f>"10.11.81.130"</f>
        <v>10.11.81.130</v>
      </c>
      <c r="G4233" s="1" t="str">
        <f>"0325H482"</f>
        <v>0325H482</v>
      </c>
      <c r="H4233" s="1" t="str">
        <f>"공원간 15R3"</f>
        <v>공원간 15R3</v>
      </c>
      <c r="I4233" s="1" t="s">
        <v>8</v>
      </c>
      <c r="J4233" s="1" t="str">
        <f>"52/52"</f>
        <v>52/52</v>
      </c>
      <c r="K4233" s="1" t="str">
        <f>"2026-07-29 13:18:02"</f>
        <v>2026-07-29 13:18:02</v>
      </c>
      <c r="L4233" s="1" t="str">
        <f>"2018-04-17 18:21:46"</f>
        <v>2018-04-17 18:21:46</v>
      </c>
      <c r="M4233" s="1" t="s">
        <v>2</v>
      </c>
      <c r="N4233" s="1" t="s">
        <v>38</v>
      </c>
      <c r="O4233" s="1" t="s">
        <v>46</v>
      </c>
    </row>
    <row r="4234" spans="2:15" x14ac:dyDescent="0.3">
      <c r="B4234" s="1" t="s">
        <v>23</v>
      </c>
      <c r="C4234" s="1" t="str">
        <f t="shared" ref="C4234:C4239" si="243">"4차"</f>
        <v>4차</v>
      </c>
      <c r="D4234" s="1" t="str">
        <f>"0325H49144"</f>
        <v>0325H49144</v>
      </c>
      <c r="E4234" s="1" t="s">
        <v>10</v>
      </c>
      <c r="F4234" s="1" t="str">
        <f>"10.11.63.98"</f>
        <v>10.11.63.98</v>
      </c>
      <c r="G4234" s="1" t="str">
        <f>"0325H491"</f>
        <v>0325H491</v>
      </c>
      <c r="H4234" s="1" t="str">
        <f>"공원간 15R4"</f>
        <v>공원간 15R4</v>
      </c>
      <c r="I4234" s="1" t="s">
        <v>8</v>
      </c>
      <c r="J4234" s="1" t="str">
        <f>"59/78"</f>
        <v>59/78</v>
      </c>
      <c r="K4234" s="1" t="str">
        <f>"2026-07-29 13:18:02"</f>
        <v>2026-07-29 13:18:02</v>
      </c>
      <c r="L4234" s="1" t="str">
        <f>"2019-09-06 11:13:05"</f>
        <v>2019-09-06 11:13:05</v>
      </c>
      <c r="M4234" s="1" t="s">
        <v>2</v>
      </c>
      <c r="N4234" s="1" t="s">
        <v>38</v>
      </c>
      <c r="O4234" s="1" t="s">
        <v>46</v>
      </c>
    </row>
    <row r="4235" spans="2:15" x14ac:dyDescent="0.3">
      <c r="B4235" s="1" t="s">
        <v>23</v>
      </c>
      <c r="C4235" s="1" t="str">
        <f t="shared" si="243"/>
        <v>4차</v>
      </c>
      <c r="D4235" s="1" t="str">
        <f>"0325H51344"</f>
        <v>0325H51344</v>
      </c>
      <c r="E4235" s="1" t="s">
        <v>10</v>
      </c>
      <c r="F4235" s="1" t="str">
        <f>"10.11.64.170"</f>
        <v>10.11.64.170</v>
      </c>
      <c r="G4235" s="1" t="str">
        <f>"0325H513"</f>
        <v>0325H513</v>
      </c>
      <c r="H4235" s="1" t="str">
        <f>"능동로 117L3L4"</f>
        <v>능동로 117L3L4</v>
      </c>
      <c r="I4235" s="1" t="s">
        <v>8</v>
      </c>
      <c r="J4235" s="1" t="str">
        <f>"27/27"</f>
        <v>27/27</v>
      </c>
      <c r="K4235" s="1" t="str">
        <f>"2026-07-29 13:18:03"</f>
        <v>2026-07-29 13:18:03</v>
      </c>
      <c r="L4235" s="1" t="str">
        <f>"2019-10-29 10:33:04"</f>
        <v>2019-10-29 10:33:04</v>
      </c>
      <c r="M4235" s="1" t="s">
        <v>2</v>
      </c>
      <c r="N4235" s="1" t="s">
        <v>38</v>
      </c>
      <c r="O4235" s="1" t="s">
        <v>46</v>
      </c>
    </row>
    <row r="4236" spans="2:15" x14ac:dyDescent="0.3">
      <c r="B4236" s="1" t="s">
        <v>23</v>
      </c>
      <c r="C4236" s="1" t="str">
        <f t="shared" si="243"/>
        <v>4차</v>
      </c>
      <c r="D4236" s="1" t="str">
        <f>"0325H52639"</f>
        <v>0325H52639</v>
      </c>
      <c r="E4236" s="1" t="s">
        <v>10</v>
      </c>
      <c r="F4236" s="1" t="str">
        <f>"10.12.133.186"</f>
        <v>10.12.133.186</v>
      </c>
      <c r="G4236" s="1" t="str">
        <f>"0325H526"</f>
        <v>0325H526</v>
      </c>
      <c r="H4236" s="1" t="str">
        <f>"능동로 84-2"</f>
        <v>능동로 84-2</v>
      </c>
      <c r="I4236" s="1" t="s">
        <v>17</v>
      </c>
      <c r="J4236" s="1" t="str">
        <f>"24/37"</f>
        <v>24/37</v>
      </c>
      <c r="K4236" s="1" t="str">
        <f>"2026-07-29 13:18:03"</f>
        <v>2026-07-29 13:18:03</v>
      </c>
      <c r="L4236" s="1" t="str">
        <f>"2018-06-20 09:50:26"</f>
        <v>2018-06-20 09:50:26</v>
      </c>
      <c r="M4236" s="1" t="s">
        <v>0</v>
      </c>
      <c r="N4236" s="1" t="s">
        <v>38</v>
      </c>
      <c r="O4236" s="1" t="s">
        <v>46</v>
      </c>
    </row>
    <row r="4237" spans="2:15" x14ac:dyDescent="0.3">
      <c r="B4237" s="1" t="s">
        <v>23</v>
      </c>
      <c r="C4237" s="1" t="str">
        <f t="shared" si="243"/>
        <v>4차</v>
      </c>
      <c r="D4237" s="1" t="str">
        <f>"0325H52E39"</f>
        <v>0325H52E39</v>
      </c>
      <c r="E4237" s="1" t="s">
        <v>10</v>
      </c>
      <c r="F4237" s="1" t="str">
        <f>"10.12.133.114"</f>
        <v>10.12.133.114</v>
      </c>
      <c r="G4237" s="1" t="str">
        <f>"0325H52E"</f>
        <v>0325H52E</v>
      </c>
      <c r="H4237" s="1" t="str">
        <f>"능동로 111-1"</f>
        <v>능동로 111-1</v>
      </c>
      <c r="I4237" s="1" t="s">
        <v>17</v>
      </c>
      <c r="J4237" s="1" t="str">
        <f>"1/1"</f>
        <v>1/1</v>
      </c>
      <c r="K4237" s="1" t="str">
        <f>"2026-07-29 13:18:04"</f>
        <v>2026-07-29 13:18:04</v>
      </c>
      <c r="L4237" s="1" t="str">
        <f>"2018-06-19 09:06:57"</f>
        <v>2018-06-19 09:06:57</v>
      </c>
      <c r="M4237" s="1" t="s">
        <v>0</v>
      </c>
      <c r="N4237" s="1" t="s">
        <v>38</v>
      </c>
      <c r="O4237" s="1" t="s">
        <v>46</v>
      </c>
    </row>
    <row r="4238" spans="2:15" x14ac:dyDescent="0.3">
      <c r="B4238" s="1" t="s">
        <v>23</v>
      </c>
      <c r="C4238" s="1" t="str">
        <f t="shared" si="243"/>
        <v>4차</v>
      </c>
      <c r="D4238" s="1" t="str">
        <f>"0325H55344"</f>
        <v>0325H55344</v>
      </c>
      <c r="E4238" s="1" t="s">
        <v>10</v>
      </c>
      <c r="F4238" s="1" t="str">
        <f>"10.11.64.122"</f>
        <v>10.11.64.122</v>
      </c>
      <c r="G4238" s="1" t="str">
        <f>"0325H553"</f>
        <v>0325H553</v>
      </c>
      <c r="H4238" s="1" t="str">
        <f>"능동로 108R4"</f>
        <v>능동로 108R4</v>
      </c>
      <c r="I4238" s="1" t="s">
        <v>8</v>
      </c>
      <c r="J4238" s="1" t="str">
        <f>"49/50"</f>
        <v>49/50</v>
      </c>
      <c r="K4238" s="1" t="str">
        <f>"2026-07-29 13:18:03"</f>
        <v>2026-07-29 13:18:03</v>
      </c>
      <c r="L4238" s="1" t="str">
        <f>"2019-10-29 10:53:05"</f>
        <v>2019-10-29 10:53:05</v>
      </c>
      <c r="M4238" s="1" t="s">
        <v>2</v>
      </c>
      <c r="N4238" s="1" t="s">
        <v>38</v>
      </c>
      <c r="O4238" s="1" t="s">
        <v>46</v>
      </c>
    </row>
    <row r="4239" spans="2:15" x14ac:dyDescent="0.3">
      <c r="B4239" s="1" t="s">
        <v>23</v>
      </c>
      <c r="C4239" s="1" t="str">
        <f t="shared" si="243"/>
        <v>4차</v>
      </c>
      <c r="D4239" s="1" t="str">
        <f>"0325H56144"</f>
        <v>0325H56144</v>
      </c>
      <c r="E4239" s="1" t="s">
        <v>10</v>
      </c>
      <c r="F4239" s="1" t="str">
        <f>"10.11.64.130"</f>
        <v>10.11.64.130</v>
      </c>
      <c r="G4239" s="1" t="str">
        <f>"0325H561"</f>
        <v>0325H561</v>
      </c>
      <c r="H4239" s="1" t="str">
        <f>"능동로 108R6"</f>
        <v>능동로 108R6</v>
      </c>
      <c r="I4239" s="1" t="s">
        <v>8</v>
      </c>
      <c r="J4239" s="1" t="str">
        <f>"71/71"</f>
        <v>71/71</v>
      </c>
      <c r="K4239" s="1" t="str">
        <f>"2026-07-29 13:18:02"</f>
        <v>2026-07-29 13:18:02</v>
      </c>
      <c r="L4239" s="1" t="str">
        <f>"2019-10-29 10:53:05"</f>
        <v>2019-10-29 10:53:05</v>
      </c>
      <c r="M4239" s="1" t="s">
        <v>2</v>
      </c>
      <c r="N4239" s="1" t="s">
        <v>38</v>
      </c>
      <c r="O4239" s="1" t="s">
        <v>46</v>
      </c>
    </row>
    <row r="4240" spans="2:15" x14ac:dyDescent="0.3">
      <c r="B4240" s="1" t="s">
        <v>23</v>
      </c>
      <c r="C4240" s="1" t="str">
        <f>"3차"</f>
        <v>3차</v>
      </c>
      <c r="D4240" s="1" t="str">
        <f>"0325H58139"</f>
        <v>0325H58139</v>
      </c>
      <c r="E4240" s="1" t="s">
        <v>10</v>
      </c>
      <c r="F4240" s="1" t="str">
        <f>"10.11.81.138"</f>
        <v>10.11.81.138</v>
      </c>
      <c r="G4240" s="1" t="str">
        <f>"0325H581"</f>
        <v>0325H581</v>
      </c>
      <c r="H4240" s="1" t="str">
        <f>"공원간 15"</f>
        <v>공원간 15</v>
      </c>
      <c r="I4240" s="1" t="s">
        <v>8</v>
      </c>
      <c r="J4240" s="1" t="str">
        <f>"35/35"</f>
        <v>35/35</v>
      </c>
      <c r="K4240" s="1" t="str">
        <f>"2026-07-29 13:18:02"</f>
        <v>2026-07-29 13:18:02</v>
      </c>
      <c r="L4240" s="1" t="str">
        <f>"2018-09-12 13:48:41"</f>
        <v>2018-09-12 13:48:41</v>
      </c>
      <c r="M4240" s="1" t="s">
        <v>2</v>
      </c>
      <c r="N4240" s="1" t="s">
        <v>38</v>
      </c>
      <c r="O4240" s="1" t="s">
        <v>46</v>
      </c>
    </row>
    <row r="4241" spans="2:15" x14ac:dyDescent="0.3">
      <c r="B4241" s="1" t="s">
        <v>23</v>
      </c>
      <c r="C4241" s="1" t="str">
        <f>"4차"</f>
        <v>4차</v>
      </c>
      <c r="D4241" s="1" t="str">
        <f>"0325H65539"</f>
        <v>0325H65539</v>
      </c>
      <c r="E4241" s="1" t="s">
        <v>14</v>
      </c>
      <c r="F4241" s="1" t="str">
        <f>"10.12.132.243"</f>
        <v>10.12.132.243</v>
      </c>
      <c r="G4241" s="1" t="str">
        <f>"0325H655"</f>
        <v>0325H655</v>
      </c>
      <c r="H4241" s="1" t="str">
        <f>"능동로 96-4"</f>
        <v>능동로 96-4</v>
      </c>
      <c r="I4241" s="1" t="s">
        <v>17</v>
      </c>
      <c r="J4241" s="1" t="str">
        <f>"0/0"</f>
        <v>0/0</v>
      </c>
      <c r="K4241" s="1" t="str">
        <f>"2026-07-28 13:18:04"</f>
        <v>2026-07-28 13:18:04</v>
      </c>
      <c r="L4241" s="1" t="str">
        <f>"2018-06-20 10:16:27"</f>
        <v>2018-06-20 10:16:27</v>
      </c>
      <c r="M4241" s="1" t="s">
        <v>0</v>
      </c>
      <c r="N4241" s="1" t="s">
        <v>39</v>
      </c>
      <c r="O4241" s="1" t="s">
        <v>46</v>
      </c>
    </row>
    <row r="4242" spans="2:15" x14ac:dyDescent="0.3">
      <c r="B4242" s="1" t="s">
        <v>23</v>
      </c>
      <c r="C4242" s="1" t="str">
        <f>"4차"</f>
        <v>4차</v>
      </c>
      <c r="D4242" s="1" t="str">
        <f>"0325H65939"</f>
        <v>0325H65939</v>
      </c>
      <c r="E4242" s="1" t="s">
        <v>10</v>
      </c>
      <c r="F4242" s="1" t="str">
        <f>"10.12.132.139"</f>
        <v>10.12.132.139</v>
      </c>
      <c r="G4242" s="1" t="str">
        <f>"0325H659"</f>
        <v>0325H659</v>
      </c>
      <c r="H4242" s="1" t="str">
        <f>"능동로 106-2"</f>
        <v>능동로 106-2</v>
      </c>
      <c r="I4242" s="1" t="s">
        <v>17</v>
      </c>
      <c r="J4242" s="1" t="str">
        <f>"17/20"</f>
        <v>17/20</v>
      </c>
      <c r="K4242" s="1" t="str">
        <f>"2026-07-29 13:18:03"</f>
        <v>2026-07-29 13:18:03</v>
      </c>
      <c r="L4242" s="1" t="str">
        <f>"2018-06-19 08:20:10"</f>
        <v>2018-06-19 08:20:10</v>
      </c>
      <c r="M4242" s="1" t="s">
        <v>0</v>
      </c>
      <c r="N4242" s="1" t="s">
        <v>38</v>
      </c>
      <c r="O4242" s="1" t="s">
        <v>46</v>
      </c>
    </row>
    <row r="4243" spans="2:15" x14ac:dyDescent="0.3">
      <c r="B4243" s="1" t="s">
        <v>23</v>
      </c>
      <c r="C4243" s="1" t="str">
        <f>"4차"</f>
        <v>4차</v>
      </c>
      <c r="D4243" s="1" t="str">
        <f>"0325H66839"</f>
        <v>0325H66839</v>
      </c>
      <c r="E4243" s="1" t="s">
        <v>10</v>
      </c>
      <c r="F4243" s="1" t="str">
        <f>"10.12.133.120"</f>
        <v>10.12.133.120</v>
      </c>
      <c r="G4243" s="1" t="str">
        <f>"0325H668"</f>
        <v>0325H668</v>
      </c>
      <c r="H4243" s="1" t="str">
        <f>"능동로 106-1"</f>
        <v>능동로 106-1</v>
      </c>
      <c r="I4243" s="1" t="s">
        <v>17</v>
      </c>
      <c r="J4243" s="1" t="str">
        <f>"17/17"</f>
        <v>17/17</v>
      </c>
      <c r="K4243" s="1" t="str">
        <f>"2026-07-29 13:18:04"</f>
        <v>2026-07-29 13:18:04</v>
      </c>
      <c r="L4243" s="1" t="str">
        <f>"2018-06-19 08:10:55"</f>
        <v>2018-06-19 08:10:55</v>
      </c>
      <c r="M4243" s="1" t="s">
        <v>0</v>
      </c>
      <c r="N4243" s="1" t="s">
        <v>38</v>
      </c>
      <c r="O4243" s="1" t="s">
        <v>46</v>
      </c>
    </row>
    <row r="4244" spans="2:15" x14ac:dyDescent="0.3">
      <c r="B4244" s="1" t="s">
        <v>23</v>
      </c>
      <c r="C4244" s="1" t="str">
        <f>"4차"</f>
        <v>4차</v>
      </c>
      <c r="D4244" s="1" t="str">
        <f>"0325H69141"</f>
        <v>0325H69141</v>
      </c>
      <c r="E4244" s="1" t="s">
        <v>10</v>
      </c>
      <c r="F4244" s="1" t="str">
        <f>"10.12.131.91"</f>
        <v>10.12.131.91</v>
      </c>
      <c r="G4244" s="1" t="str">
        <f>"0325H691"</f>
        <v>0325H691</v>
      </c>
      <c r="H4244" s="1" t="str">
        <f>"공원간 13"</f>
        <v>공원간 13</v>
      </c>
      <c r="I4244" s="1" t="s">
        <v>17</v>
      </c>
      <c r="J4244" s="1" t="str">
        <f>"18/18"</f>
        <v>18/18</v>
      </c>
      <c r="K4244" s="1" t="str">
        <f>"2026-07-29 13:18:02"</f>
        <v>2026-07-29 13:18:02</v>
      </c>
      <c r="L4244" s="1" t="str">
        <f>"2021-10-12 13:28:46"</f>
        <v>2021-10-12 13:28:46</v>
      </c>
      <c r="M4244" s="1" t="s">
        <v>0</v>
      </c>
      <c r="N4244" s="1" t="s">
        <v>38</v>
      </c>
      <c r="O4244" s="1" t="s">
        <v>46</v>
      </c>
    </row>
    <row r="4245" spans="2:15" x14ac:dyDescent="0.3">
      <c r="B4245" s="1" t="s">
        <v>23</v>
      </c>
      <c r="C4245" s="1" t="str">
        <f>"4차"</f>
        <v>4차</v>
      </c>
      <c r="D4245" s="1" t="str">
        <f>"0325H69239"</f>
        <v>0325H69239</v>
      </c>
      <c r="E4245" s="1" t="s">
        <v>10</v>
      </c>
      <c r="F4245" s="1" t="str">
        <f>"10.11.81.146"</f>
        <v>10.11.81.146</v>
      </c>
      <c r="G4245" s="1" t="str">
        <f>"0325H692"</f>
        <v>0325H692</v>
      </c>
      <c r="H4245" s="1" t="str">
        <f>"공원간 14"</f>
        <v>공원간 14</v>
      </c>
      <c r="I4245" s="1" t="s">
        <v>8</v>
      </c>
      <c r="J4245" s="1" t="str">
        <f>"55/67"</f>
        <v>55/67</v>
      </c>
      <c r="K4245" s="1" t="str">
        <f>"2026-07-29 13:18:03"</f>
        <v>2026-07-29 13:18:03</v>
      </c>
      <c r="L4245" s="1" t="str">
        <f>"2021-01-14 18:21:39"</f>
        <v>2021-01-14 18:21:39</v>
      </c>
      <c r="M4245" s="1" t="s">
        <v>2</v>
      </c>
      <c r="N4245" s="1" t="s">
        <v>38</v>
      </c>
      <c r="O4245" s="1" t="s">
        <v>46</v>
      </c>
    </row>
    <row r="4246" spans="2:15" x14ac:dyDescent="0.3">
      <c r="B4246" s="1" t="s">
        <v>23</v>
      </c>
      <c r="C4246" s="1" t="str">
        <f>"5-1차"</f>
        <v>5-1차</v>
      </c>
      <c r="D4246" s="1" t="str">
        <f>"0325H7015M"</f>
        <v>0325H7015M</v>
      </c>
      <c r="E4246" s="1" t="s">
        <v>10</v>
      </c>
      <c r="F4246" s="1" t="str">
        <f>"fde3:102:1440:4700:0:0:0:4"</f>
        <v>fde3:102:1440:4700:0:0:0:4</v>
      </c>
      <c r="G4246" s="1" t="str">
        <f>"0325H701"</f>
        <v>0325H701</v>
      </c>
      <c r="H4246" s="1" t="str">
        <f>"능동로 117L3L2"</f>
        <v>능동로 117L3L2</v>
      </c>
      <c r="I4246" s="1" t="s">
        <v>15</v>
      </c>
      <c r="J4246" s="1" t="str">
        <f>"40/40"</f>
        <v>40/40</v>
      </c>
      <c r="K4246" s="1" t="str">
        <f>"2026-07-29 14:20:16"</f>
        <v>2026-07-29 14:20:16</v>
      </c>
      <c r="L4246" s="1" t="str">
        <f>"2022-10-25 11:03:16"</f>
        <v>2022-10-25 11:03:16</v>
      </c>
      <c r="M4246" s="1" t="s">
        <v>45</v>
      </c>
      <c r="N4246" s="1" t="s">
        <v>38</v>
      </c>
      <c r="O4246" s="1" t="s">
        <v>46</v>
      </c>
    </row>
    <row r="4247" spans="2:15" x14ac:dyDescent="0.3">
      <c r="B4247" s="1" t="s">
        <v>23</v>
      </c>
      <c r="C4247" s="1" t="str">
        <f>"3차"</f>
        <v>3차</v>
      </c>
      <c r="D4247" s="1" t="str">
        <f>"0325H71239"</f>
        <v>0325H71239</v>
      </c>
      <c r="E4247" s="1" t="s">
        <v>10</v>
      </c>
      <c r="F4247" s="1" t="str">
        <f>"10.11.56.162"</f>
        <v>10.11.56.162</v>
      </c>
      <c r="G4247" s="1" t="str">
        <f>"0325H712"</f>
        <v>0325H712</v>
      </c>
      <c r="H4247" s="1" t="str">
        <f>"능동로 117L8"</f>
        <v>능동로 117L8</v>
      </c>
      <c r="I4247" s="1" t="s">
        <v>8</v>
      </c>
      <c r="J4247" s="1" t="str">
        <f>"94/94"</f>
        <v>94/94</v>
      </c>
      <c r="K4247" s="1" t="str">
        <f>"2026-07-29 13:18:03"</f>
        <v>2026-07-29 13:18:03</v>
      </c>
      <c r="L4247" s="1" t="str">
        <f>"2018-05-30 09:48:54"</f>
        <v>2018-05-30 09:48:54</v>
      </c>
      <c r="M4247" s="1" t="s">
        <v>2</v>
      </c>
      <c r="N4247" s="1" t="s">
        <v>38</v>
      </c>
      <c r="O4247" s="1" t="s">
        <v>46</v>
      </c>
    </row>
    <row r="4248" spans="2:15" x14ac:dyDescent="0.3">
      <c r="B4248" s="1" t="s">
        <v>23</v>
      </c>
      <c r="C4248" s="1" t="str">
        <f>"4차"</f>
        <v>4차</v>
      </c>
      <c r="D4248" s="1" t="str">
        <f>"0325H74244"</f>
        <v>0325H74244</v>
      </c>
      <c r="E4248" s="1" t="s">
        <v>10</v>
      </c>
      <c r="F4248" s="1" t="str">
        <f>"10.11.64.194"</f>
        <v>10.11.64.194</v>
      </c>
      <c r="G4248" s="1" t="str">
        <f>"0325H742"</f>
        <v>0325H742</v>
      </c>
      <c r="H4248" s="1" t="str">
        <f>"능동로 88L2"</f>
        <v>능동로 88L2</v>
      </c>
      <c r="I4248" s="1" t="s">
        <v>8</v>
      </c>
      <c r="J4248" s="1" t="str">
        <f>"104/104"</f>
        <v>104/104</v>
      </c>
      <c r="K4248" s="1" t="str">
        <f>"2026-07-29 13:18:03"</f>
        <v>2026-07-29 13:18:03</v>
      </c>
      <c r="L4248" s="1" t="str">
        <f>"2019-10-29 10:43:04"</f>
        <v>2019-10-29 10:43:04</v>
      </c>
      <c r="M4248" s="1" t="s">
        <v>2</v>
      </c>
      <c r="N4248" s="1" t="s">
        <v>38</v>
      </c>
      <c r="O4248" s="1" t="s">
        <v>46</v>
      </c>
    </row>
    <row r="4249" spans="2:15" x14ac:dyDescent="0.3">
      <c r="B4249" s="1" t="s">
        <v>23</v>
      </c>
      <c r="C4249" s="1" t="str">
        <f>"3차"</f>
        <v>3차</v>
      </c>
      <c r="D4249" s="1" t="str">
        <f>"0325H74331"</f>
        <v>0325H74331</v>
      </c>
      <c r="E4249" s="1" t="s">
        <v>10</v>
      </c>
      <c r="F4249" s="1" t="str">
        <f>"10.11.52.147"</f>
        <v>10.11.52.147</v>
      </c>
      <c r="G4249" s="1" t="str">
        <f>"0325H743"</f>
        <v>0325H743</v>
      </c>
      <c r="H4249" s="1" t="str">
        <f>"능동로 88L2L1"</f>
        <v>능동로 88L2L1</v>
      </c>
      <c r="I4249" s="1" t="s">
        <v>8</v>
      </c>
      <c r="J4249" s="1" t="str">
        <f>"22/22"</f>
        <v>22/22</v>
      </c>
      <c r="K4249" s="1" t="str">
        <f>"2026-07-29 13:18:02"</f>
        <v>2026-07-29 13:18:02</v>
      </c>
      <c r="L4249" s="1" t="str">
        <f>"2018-03-23 15:32:13"</f>
        <v>2018-03-23 15:32:13</v>
      </c>
      <c r="M4249" s="1" t="s">
        <v>2</v>
      </c>
      <c r="N4249" s="1" t="s">
        <v>38</v>
      </c>
      <c r="O4249" s="1" t="s">
        <v>46</v>
      </c>
    </row>
    <row r="4250" spans="2:15" x14ac:dyDescent="0.3">
      <c r="B4250" s="1" t="s">
        <v>23</v>
      </c>
      <c r="C4250" s="1" t="str">
        <f>"4차"</f>
        <v>4차</v>
      </c>
      <c r="D4250" s="1" t="str">
        <f>"0325H76339"</f>
        <v>0325H76339</v>
      </c>
      <c r="E4250" s="1" t="s">
        <v>10</v>
      </c>
      <c r="F4250" s="1" t="str">
        <f>"10.12.132.244"</f>
        <v>10.12.132.244</v>
      </c>
      <c r="G4250" s="1" t="str">
        <f>"0325H763"</f>
        <v>0325H763</v>
      </c>
      <c r="H4250" s="1" t="str">
        <f>"능동로 96-3"</f>
        <v>능동로 96-3</v>
      </c>
      <c r="I4250" s="1" t="s">
        <v>17</v>
      </c>
      <c r="J4250" s="1" t="str">
        <f>"7/7"</f>
        <v>7/7</v>
      </c>
      <c r="K4250" s="1" t="str">
        <f>"2026-07-29 13:18:03"</f>
        <v>2026-07-29 13:18:03</v>
      </c>
      <c r="L4250" s="1" t="str">
        <f>"2018-06-20 10:27:27"</f>
        <v>2018-06-20 10:27:27</v>
      </c>
      <c r="M4250" s="1" t="s">
        <v>0</v>
      </c>
      <c r="N4250" s="1" t="s">
        <v>38</v>
      </c>
      <c r="O4250" s="1" t="s">
        <v>46</v>
      </c>
    </row>
    <row r="4251" spans="2:15" x14ac:dyDescent="0.3">
      <c r="B4251" s="1" t="s">
        <v>23</v>
      </c>
      <c r="C4251" s="1" t="str">
        <f>"4차"</f>
        <v>4차</v>
      </c>
      <c r="D4251" s="1" t="str">
        <f>"0325H78539"</f>
        <v>0325H78539</v>
      </c>
      <c r="E4251" s="1" t="s">
        <v>10</v>
      </c>
      <c r="F4251" s="1" t="str">
        <f>"10.12.133.118"</f>
        <v>10.12.133.118</v>
      </c>
      <c r="G4251" s="1" t="str">
        <f>"0325H785"</f>
        <v>0325H785</v>
      </c>
      <c r="H4251" s="1" t="str">
        <f>"능동로 101-1"</f>
        <v>능동로 101-1</v>
      </c>
      <c r="I4251" s="1" t="s">
        <v>17</v>
      </c>
      <c r="J4251" s="1" t="str">
        <f>"2/2"</f>
        <v>2/2</v>
      </c>
      <c r="K4251" s="1" t="str">
        <f>"2026-07-29 13:18:03"</f>
        <v>2026-07-29 13:18:03</v>
      </c>
      <c r="L4251" s="1" t="str">
        <f>"2018-06-19 07:53:39"</f>
        <v>2018-06-19 07:53:39</v>
      </c>
      <c r="M4251" s="1" t="s">
        <v>0</v>
      </c>
      <c r="N4251" s="1" t="s">
        <v>38</v>
      </c>
      <c r="O4251" s="1" t="s">
        <v>46</v>
      </c>
    </row>
    <row r="4252" spans="2:15" x14ac:dyDescent="0.3">
      <c r="B4252" s="1" t="s">
        <v>23</v>
      </c>
      <c r="C4252" s="1" t="str">
        <f>"4차"</f>
        <v>4차</v>
      </c>
      <c r="D4252" s="1" t="str">
        <f>"0325H80141"</f>
        <v>0325H80141</v>
      </c>
      <c r="E4252" s="1" t="s">
        <v>10</v>
      </c>
      <c r="F4252" s="1" t="str">
        <f>"10.12.132.182"</f>
        <v>10.12.132.182</v>
      </c>
      <c r="G4252" s="1" t="str">
        <f>"0325H801"</f>
        <v>0325H801</v>
      </c>
      <c r="H4252" s="1" t="str">
        <f>"능동로 117L5"</f>
        <v>능동로 117L5</v>
      </c>
      <c r="I4252" s="1" t="s">
        <v>17</v>
      </c>
      <c r="J4252" s="1" t="str">
        <f>"56/56"</f>
        <v>56/56</v>
      </c>
      <c r="K4252" s="1" t="str">
        <f>"2026-07-29 13:18:04"</f>
        <v>2026-07-29 13:18:04</v>
      </c>
      <c r="L4252" s="1" t="str">
        <f>"2021-06-16 16:27:48"</f>
        <v>2021-06-16 16:27:48</v>
      </c>
      <c r="M4252" s="1" t="s">
        <v>0</v>
      </c>
      <c r="N4252" s="1" t="s">
        <v>38</v>
      </c>
      <c r="O4252" s="1" t="s">
        <v>46</v>
      </c>
    </row>
    <row r="4253" spans="2:15" x14ac:dyDescent="0.3">
      <c r="B4253" s="1" t="s">
        <v>23</v>
      </c>
      <c r="C4253" s="1" t="str">
        <f>"4차"</f>
        <v>4차</v>
      </c>
      <c r="D4253" s="1" t="str">
        <f>"0325H80341"</f>
        <v>0325H80341</v>
      </c>
      <c r="E4253" s="1" t="s">
        <v>10</v>
      </c>
      <c r="F4253" s="1" t="str">
        <f>"10.12.132.4"</f>
        <v>10.12.132.4</v>
      </c>
      <c r="G4253" s="1" t="str">
        <f>"0325H803"</f>
        <v>0325H803</v>
      </c>
      <c r="H4253" s="1" t="str">
        <f>"능동로 117L4"</f>
        <v>능동로 117L4</v>
      </c>
      <c r="I4253" s="1" t="s">
        <v>17</v>
      </c>
      <c r="J4253" s="1" t="str">
        <f>"18/23"</f>
        <v>18/23</v>
      </c>
      <c r="K4253" s="1" t="str">
        <f>"2026-07-29 13:18:02"</f>
        <v>2026-07-29 13:18:02</v>
      </c>
      <c r="L4253" s="1" t="str">
        <f>"2021-06-16 16:16:00"</f>
        <v>2021-06-16 16:16:00</v>
      </c>
      <c r="M4253" s="1" t="s">
        <v>0</v>
      </c>
      <c r="N4253" s="1" t="s">
        <v>38</v>
      </c>
      <c r="O4253" s="1" t="s">
        <v>46</v>
      </c>
    </row>
    <row r="4254" spans="2:15" x14ac:dyDescent="0.3">
      <c r="B4254" s="1" t="s">
        <v>23</v>
      </c>
      <c r="C4254" s="1" t="str">
        <f>"4차"</f>
        <v>4차</v>
      </c>
      <c r="D4254" s="1" t="str">
        <f>"0325H80741"</f>
        <v>0325H80741</v>
      </c>
      <c r="E4254" s="1" t="s">
        <v>10</v>
      </c>
      <c r="F4254" s="1" t="str">
        <f>"10.12.137.118"</f>
        <v>10.12.137.118</v>
      </c>
      <c r="G4254" s="1" t="str">
        <f>"0325H807"</f>
        <v>0325H807</v>
      </c>
      <c r="H4254" s="1" t="str">
        <f>"능동로 117L5H1"</f>
        <v>능동로 117L5H1</v>
      </c>
      <c r="I4254" s="1" t="s">
        <v>17</v>
      </c>
      <c r="J4254" s="1" t="str">
        <f>"39/39"</f>
        <v>39/39</v>
      </c>
      <c r="K4254" s="1" t="str">
        <f>"2026-07-29 13:18:04"</f>
        <v>2026-07-29 13:18:04</v>
      </c>
      <c r="L4254" s="1" t="str">
        <f>"2021-06-16 16:29:14"</f>
        <v>2021-06-16 16:29:14</v>
      </c>
      <c r="M4254" s="1" t="s">
        <v>0</v>
      </c>
      <c r="N4254" s="1" t="s">
        <v>38</v>
      </c>
      <c r="O4254" s="1" t="s">
        <v>46</v>
      </c>
    </row>
    <row r="4255" spans="2:15" x14ac:dyDescent="0.3">
      <c r="B4255" s="1" t="s">
        <v>23</v>
      </c>
      <c r="C4255" s="1" t="str">
        <f>"3차"</f>
        <v>3차</v>
      </c>
      <c r="D4255" s="1" t="str">
        <f>"0325H82339"</f>
        <v>0325H82339</v>
      </c>
      <c r="E4255" s="1" t="s">
        <v>10</v>
      </c>
      <c r="F4255" s="1" t="str">
        <f>"10.11.59.146"</f>
        <v>10.11.59.146</v>
      </c>
      <c r="G4255" s="1" t="str">
        <f>"0325H823"</f>
        <v>0325H823</v>
      </c>
      <c r="H4255" s="1" t="str">
        <f>"능동로 88L5"</f>
        <v>능동로 88L5</v>
      </c>
      <c r="I4255" s="1" t="s">
        <v>8</v>
      </c>
      <c r="J4255" s="1" t="str">
        <f>"41/41"</f>
        <v>41/41</v>
      </c>
      <c r="K4255" s="1" t="str">
        <f>"2026-07-29 13:18:02"</f>
        <v>2026-07-29 13:18:02</v>
      </c>
      <c r="L4255" s="1" t="str">
        <f>"2018-06-04 14:02:23"</f>
        <v>2018-06-04 14:02:23</v>
      </c>
      <c r="M4255" s="1" t="s">
        <v>2</v>
      </c>
      <c r="N4255" s="1" t="s">
        <v>38</v>
      </c>
      <c r="O4255" s="1" t="s">
        <v>46</v>
      </c>
    </row>
    <row r="4256" spans="2:15" x14ac:dyDescent="0.3">
      <c r="B4256" s="1" t="s">
        <v>23</v>
      </c>
      <c r="C4256" s="1" t="str">
        <f>"3차"</f>
        <v>3차</v>
      </c>
      <c r="D4256" s="1" t="str">
        <f>"0325H82430"</f>
        <v>0325H82430</v>
      </c>
      <c r="E4256" s="1" t="s">
        <v>10</v>
      </c>
      <c r="F4256" s="1" t="str">
        <f>"10.11.52.154"</f>
        <v>10.11.52.154</v>
      </c>
      <c r="G4256" s="1" t="str">
        <f>"0325H824"</f>
        <v>0325H824</v>
      </c>
      <c r="H4256" s="1" t="str">
        <f>"능동로 88L6"</f>
        <v>능동로 88L6</v>
      </c>
      <c r="I4256" s="1" t="s">
        <v>8</v>
      </c>
      <c r="J4256" s="1" t="str">
        <f>"18/18"</f>
        <v>18/18</v>
      </c>
      <c r="K4256" s="1" t="str">
        <f>"2026-07-29 13:18:03"</f>
        <v>2026-07-29 13:18:03</v>
      </c>
      <c r="L4256" s="1" t="str">
        <f>"2018-03-23 15:41:43"</f>
        <v>2018-03-23 15:41:43</v>
      </c>
      <c r="M4256" s="1" t="s">
        <v>2</v>
      </c>
      <c r="N4256" s="1" t="s">
        <v>38</v>
      </c>
      <c r="O4256" s="1" t="s">
        <v>46</v>
      </c>
    </row>
    <row r="4257" spans="2:15" x14ac:dyDescent="0.3">
      <c r="B4257" s="1" t="s">
        <v>23</v>
      </c>
      <c r="C4257" s="1" t="str">
        <f>"3차"</f>
        <v>3차</v>
      </c>
      <c r="D4257" s="1" t="str">
        <f>"0325H85239"</f>
        <v>0325H85239</v>
      </c>
      <c r="E4257" s="1" t="s">
        <v>10</v>
      </c>
      <c r="F4257" s="1" t="str">
        <f>"10.11.59.138"</f>
        <v>10.11.59.138</v>
      </c>
      <c r="G4257" s="1" t="str">
        <f>"0325H852"</f>
        <v>0325H852</v>
      </c>
      <c r="H4257" s="1" t="str">
        <f>"능동로 88L2L2R1"</f>
        <v>능동로 88L2L2R1</v>
      </c>
      <c r="I4257" s="1" t="s">
        <v>8</v>
      </c>
      <c r="J4257" s="1" t="str">
        <f>"41/41"</f>
        <v>41/41</v>
      </c>
      <c r="K4257" s="1" t="str">
        <f>"2026-07-29 13:18:03"</f>
        <v>2026-07-29 13:18:03</v>
      </c>
      <c r="L4257" s="1" t="str">
        <f>"2018-03-26 10:08:09"</f>
        <v>2018-03-26 10:08:09</v>
      </c>
      <c r="M4257" s="1" t="s">
        <v>2</v>
      </c>
      <c r="N4257" s="1" t="s">
        <v>38</v>
      </c>
      <c r="O4257" s="1" t="s">
        <v>46</v>
      </c>
    </row>
    <row r="4258" spans="2:15" x14ac:dyDescent="0.3">
      <c r="B4258" s="1" t="s">
        <v>23</v>
      </c>
      <c r="C4258" s="1" t="str">
        <f>"3차"</f>
        <v>3차</v>
      </c>
      <c r="D4258" s="1" t="str">
        <f>"0325H85330"</f>
        <v>0325H85330</v>
      </c>
      <c r="E4258" s="1" t="s">
        <v>10</v>
      </c>
      <c r="F4258" s="1" t="str">
        <f>"10.11.52.146"</f>
        <v>10.11.52.146</v>
      </c>
      <c r="G4258" s="1" t="str">
        <f>"0325H853"</f>
        <v>0325H853</v>
      </c>
      <c r="H4258" s="1" t="str">
        <f>"능동로 88L2L2"</f>
        <v>능동로 88L2L2</v>
      </c>
      <c r="I4258" s="1" t="s">
        <v>8</v>
      </c>
      <c r="J4258" s="1" t="str">
        <f>"84/84"</f>
        <v>84/84</v>
      </c>
      <c r="K4258" s="1" t="str">
        <f>"2026-07-29 13:18:02"</f>
        <v>2026-07-29 13:18:02</v>
      </c>
      <c r="L4258" s="1" t="str">
        <f>"2018-03-23 15:35:42"</f>
        <v>2018-03-23 15:35:42</v>
      </c>
      <c r="M4258" s="1" t="s">
        <v>2</v>
      </c>
      <c r="N4258" s="1" t="s">
        <v>38</v>
      </c>
      <c r="O4258" s="1" t="s">
        <v>46</v>
      </c>
    </row>
    <row r="4259" spans="2:15" x14ac:dyDescent="0.3">
      <c r="B4259" s="1" t="s">
        <v>23</v>
      </c>
      <c r="C4259" s="1" t="str">
        <f>"4차"</f>
        <v>4차</v>
      </c>
      <c r="D4259" s="1" t="str">
        <f>"0325H88239"</f>
        <v>0325H88239</v>
      </c>
      <c r="E4259" s="1" t="s">
        <v>10</v>
      </c>
      <c r="F4259" s="1" t="str">
        <f>"10.12.132.232"</f>
        <v>10.12.132.232</v>
      </c>
      <c r="G4259" s="1" t="str">
        <f>"0325H882"</f>
        <v>0325H882</v>
      </c>
      <c r="H4259" s="1" t="str">
        <f>"능동로 96-2"</f>
        <v>능동로 96-2</v>
      </c>
      <c r="I4259" s="1" t="s">
        <v>17</v>
      </c>
      <c r="J4259" s="1" t="str">
        <f>"1/1"</f>
        <v>1/1</v>
      </c>
      <c r="K4259" s="1" t="str">
        <f>"2026-07-29 13:18:04"</f>
        <v>2026-07-29 13:18:04</v>
      </c>
      <c r="L4259" s="1" t="str">
        <f>"2018-06-20 10:36:57"</f>
        <v>2018-06-20 10:36:57</v>
      </c>
      <c r="M4259" s="1" t="s">
        <v>0</v>
      </c>
      <c r="N4259" s="1" t="s">
        <v>38</v>
      </c>
      <c r="O4259" s="1" t="s">
        <v>46</v>
      </c>
    </row>
    <row r="4260" spans="2:15" x14ac:dyDescent="0.3">
      <c r="B4260" s="1" t="s">
        <v>23</v>
      </c>
      <c r="C4260" s="1" t="str">
        <f>"4차"</f>
        <v>4차</v>
      </c>
      <c r="D4260" s="1" t="str">
        <f>"0325H89639"</f>
        <v>0325H89639</v>
      </c>
      <c r="E4260" s="1" t="s">
        <v>10</v>
      </c>
      <c r="F4260" s="1" t="str">
        <f>"10.12.128.25"</f>
        <v>10.12.128.25</v>
      </c>
      <c r="G4260" s="1" t="str">
        <f>"0325H896"</f>
        <v>0325H896</v>
      </c>
      <c r="H4260" s="1" t="str">
        <f>"능동로 96-1"</f>
        <v>능동로 96-1</v>
      </c>
      <c r="I4260" s="1" t="s">
        <v>17</v>
      </c>
      <c r="J4260" s="1" t="str">
        <f>"1/1"</f>
        <v>1/1</v>
      </c>
      <c r="K4260" s="1" t="str">
        <f>"2026-07-29 13:18:04"</f>
        <v>2026-07-29 13:18:04</v>
      </c>
      <c r="L4260" s="1" t="str">
        <f>"2018-06-20 10:47:58"</f>
        <v>2018-06-20 10:47:58</v>
      </c>
      <c r="M4260" s="1" t="s">
        <v>0</v>
      </c>
      <c r="N4260" s="1" t="s">
        <v>38</v>
      </c>
      <c r="O4260" s="1" t="s">
        <v>46</v>
      </c>
    </row>
    <row r="4261" spans="2:15" x14ac:dyDescent="0.3">
      <c r="B4261" s="1" t="s">
        <v>23</v>
      </c>
      <c r="C4261" s="1" t="str">
        <f>"3차"</f>
        <v>3차</v>
      </c>
      <c r="D4261" s="1" t="str">
        <f>"0325H90139"</f>
        <v>0325H90139</v>
      </c>
      <c r="E4261" s="1" t="s">
        <v>10</v>
      </c>
      <c r="F4261" s="1" t="str">
        <f>"10.12.130.73"</f>
        <v>10.12.130.73</v>
      </c>
      <c r="G4261" s="1" t="str">
        <f>"0325H901"</f>
        <v>0325H901</v>
      </c>
      <c r="H4261" s="1" t="str">
        <f>"능동로 117L6"</f>
        <v>능동로 117L6</v>
      </c>
      <c r="I4261" s="1" t="s">
        <v>17</v>
      </c>
      <c r="J4261" s="1" t="str">
        <f>"41/44"</f>
        <v>41/44</v>
      </c>
      <c r="K4261" s="1" t="str">
        <f>"2026-07-29 13:18:04"</f>
        <v>2026-07-29 13:18:04</v>
      </c>
      <c r="L4261" s="1" t="str">
        <f>"2018-09-20 16:05:59"</f>
        <v>2018-09-20 16:05:59</v>
      </c>
      <c r="M4261" s="1" t="s">
        <v>0</v>
      </c>
      <c r="N4261" s="1" t="s">
        <v>38</v>
      </c>
      <c r="O4261" s="1" t="s">
        <v>46</v>
      </c>
    </row>
    <row r="4262" spans="2:15" x14ac:dyDescent="0.3">
      <c r="B4262" s="1" t="s">
        <v>23</v>
      </c>
      <c r="C4262" s="1" t="str">
        <f>"3차"</f>
        <v>3차</v>
      </c>
      <c r="D4262" s="1" t="str">
        <f>"0325H91131"</f>
        <v>0325H91131</v>
      </c>
      <c r="E4262" s="1" t="s">
        <v>10</v>
      </c>
      <c r="F4262" s="1" t="str">
        <f>"10.11.52.156"</f>
        <v>10.11.52.156</v>
      </c>
      <c r="G4262" s="1" t="str">
        <f>"0325H911"</f>
        <v>0325H911</v>
      </c>
      <c r="H4262" s="1" t="str">
        <f>"능동로 88L7"</f>
        <v>능동로 88L7</v>
      </c>
      <c r="I4262" s="1" t="s">
        <v>8</v>
      </c>
      <c r="J4262" s="1" t="str">
        <f>"51/51"</f>
        <v>51/51</v>
      </c>
      <c r="K4262" s="1" t="str">
        <f>"2026-07-29 13:18:03"</f>
        <v>2026-07-29 13:18:03</v>
      </c>
      <c r="L4262" s="1" t="str">
        <f>"2018-06-04 11:26:37"</f>
        <v>2018-06-04 11:26:37</v>
      </c>
      <c r="M4262" s="1" t="s">
        <v>2</v>
      </c>
      <c r="N4262" s="1" t="s">
        <v>38</v>
      </c>
      <c r="O4262" s="1" t="s">
        <v>46</v>
      </c>
    </row>
    <row r="4263" spans="2:15" x14ac:dyDescent="0.3">
      <c r="B4263" s="1" t="s">
        <v>23</v>
      </c>
      <c r="C4263" s="1" t="str">
        <f>"4차"</f>
        <v>4차</v>
      </c>
      <c r="D4263" s="1" t="str">
        <f>"0325H94331"</f>
        <v>0325H94331</v>
      </c>
      <c r="E4263" s="1" t="s">
        <v>10</v>
      </c>
      <c r="F4263" s="1" t="str">
        <f>"10.11.53.83"</f>
        <v>10.11.53.83</v>
      </c>
      <c r="G4263" s="1" t="str">
        <f>"0325H943"</f>
        <v>0325H943</v>
      </c>
      <c r="H4263" s="1" t="str">
        <f>"세종지 3R2"</f>
        <v>세종지 3R2</v>
      </c>
      <c r="I4263" s="1" t="s">
        <v>8</v>
      </c>
      <c r="J4263" s="1" t="str">
        <f>"91/92"</f>
        <v>91/92</v>
      </c>
      <c r="K4263" s="1" t="str">
        <f>"2026-07-29 13:18:02"</f>
        <v>2026-07-29 13:18:02</v>
      </c>
      <c r="L4263" s="1" t="str">
        <f>"2018-06-04 15:23:07"</f>
        <v>2018-06-04 15:23:07</v>
      </c>
      <c r="M4263" s="1" t="s">
        <v>2</v>
      </c>
      <c r="N4263" s="1" t="s">
        <v>38</v>
      </c>
      <c r="O4263" s="1" t="s">
        <v>46</v>
      </c>
    </row>
    <row r="4264" spans="2:15" x14ac:dyDescent="0.3">
      <c r="B4264" s="1" t="s">
        <v>23</v>
      </c>
      <c r="C4264" s="1" t="str">
        <f>"3차"</f>
        <v>3차</v>
      </c>
      <c r="D4264" s="1" t="str">
        <f>"0325H95130"</f>
        <v>0325H95130</v>
      </c>
      <c r="E4264" s="1" t="s">
        <v>10</v>
      </c>
      <c r="F4264" s="1" t="str">
        <f>"10.11.53.82"</f>
        <v>10.11.53.82</v>
      </c>
      <c r="G4264" s="1" t="str">
        <f>"0325H951"</f>
        <v>0325H951</v>
      </c>
      <c r="H4264" s="1" t="str">
        <f>"세종지 3R1"</f>
        <v>세종지 3R1</v>
      </c>
      <c r="I4264" s="1" t="s">
        <v>8</v>
      </c>
      <c r="J4264" s="1" t="str">
        <f>"27/27"</f>
        <v>27/27</v>
      </c>
      <c r="K4264" s="1" t="str">
        <f>"2026-07-29 13:18:02"</f>
        <v>2026-07-29 13:18:02</v>
      </c>
      <c r="L4264" s="1" t="str">
        <f>"2018-05-30 09:38:54"</f>
        <v>2018-05-30 09:38:54</v>
      </c>
      <c r="M4264" s="1" t="s">
        <v>2</v>
      </c>
      <c r="N4264" s="1" t="s">
        <v>38</v>
      </c>
      <c r="O4264" s="1" t="s">
        <v>46</v>
      </c>
    </row>
    <row r="4265" spans="2:15" x14ac:dyDescent="0.3">
      <c r="B4265" s="1" t="s">
        <v>23</v>
      </c>
      <c r="C4265" s="1" t="str">
        <f>"3차"</f>
        <v>3차</v>
      </c>
      <c r="D4265" s="1" t="str">
        <f>"0325H96139"</f>
        <v>0325H96139</v>
      </c>
      <c r="E4265" s="1" t="s">
        <v>10</v>
      </c>
      <c r="F4265" s="1" t="str">
        <f>"10.11.56.42"</f>
        <v>10.11.56.42</v>
      </c>
      <c r="G4265" s="1" t="str">
        <f>"0325H961"</f>
        <v>0325H961</v>
      </c>
      <c r="H4265" s="1" t="str">
        <f>"세종지 2"</f>
        <v>세종지 2</v>
      </c>
      <c r="I4265" s="1" t="s">
        <v>8</v>
      </c>
      <c r="J4265" s="1" t="str">
        <f>"50/54"</f>
        <v>50/54</v>
      </c>
      <c r="K4265" s="1" t="str">
        <f>"2026-07-29 13:18:03"</f>
        <v>2026-07-29 13:18:03</v>
      </c>
      <c r="L4265" s="1" t="str">
        <f>"2018-05-30 09:39:10"</f>
        <v>2018-05-30 09:39:10</v>
      </c>
      <c r="M4265" s="1" t="s">
        <v>2</v>
      </c>
      <c r="N4265" s="1" t="s">
        <v>38</v>
      </c>
      <c r="O4265" s="1" t="s">
        <v>46</v>
      </c>
    </row>
    <row r="4266" spans="2:15" x14ac:dyDescent="0.3">
      <c r="B4266" s="1" t="s">
        <v>23</v>
      </c>
      <c r="C4266" s="1" t="str">
        <f t="shared" ref="C4266:C4292" si="244">"4차"</f>
        <v>4차</v>
      </c>
      <c r="D4266" s="1" t="str">
        <f>"0325H96239"</f>
        <v>0325H96239</v>
      </c>
      <c r="E4266" s="1" t="s">
        <v>10</v>
      </c>
      <c r="F4266" s="1" t="str">
        <f>"10.11.63.50"</f>
        <v>10.11.63.50</v>
      </c>
      <c r="G4266" s="1" t="str">
        <f>"0325H962"</f>
        <v>0325H962</v>
      </c>
      <c r="H4266" s="1" t="str">
        <f>"세종지 3"</f>
        <v>세종지 3</v>
      </c>
      <c r="I4266" s="1" t="s">
        <v>8</v>
      </c>
      <c r="J4266" s="1" t="str">
        <f>"95/95"</f>
        <v>95/95</v>
      </c>
      <c r="K4266" s="1" t="str">
        <f>"2026-07-29 07:18:02"</f>
        <v>2026-07-29 07:18:02</v>
      </c>
      <c r="L4266" s="1" t="str">
        <f>"2018-05-30 09:32:54"</f>
        <v>2018-05-30 09:32:54</v>
      </c>
      <c r="M4266" s="1" t="s">
        <v>2</v>
      </c>
      <c r="N4266" s="1" t="s">
        <v>38</v>
      </c>
      <c r="O4266" s="1" t="s">
        <v>46</v>
      </c>
    </row>
    <row r="4267" spans="2:15" x14ac:dyDescent="0.3">
      <c r="B4267" s="1" t="s">
        <v>23</v>
      </c>
      <c r="C4267" s="1" t="str">
        <f t="shared" si="244"/>
        <v>4차</v>
      </c>
      <c r="D4267" s="1" t="str">
        <f>"0325P02439"</f>
        <v>0325P02439</v>
      </c>
      <c r="E4267" s="1" t="s">
        <v>12</v>
      </c>
      <c r="F4267" s="1" t="str">
        <f>"10.12.133.224"</f>
        <v>10.12.133.224</v>
      </c>
      <c r="G4267" s="1" t="str">
        <f>"0325P024"</f>
        <v>0325P024</v>
      </c>
      <c r="H4267" s="1" t="str">
        <f>"광나루 42-2"</f>
        <v>광나루 42-2</v>
      </c>
      <c r="I4267" s="1" t="s">
        <v>17</v>
      </c>
      <c r="J4267" s="1" t="str">
        <f>"0/12"</f>
        <v>0/12</v>
      </c>
      <c r="K4267" s="1" t="str">
        <f>"2026-07-09 07:18:04"</f>
        <v>2026-07-09 07:18:04</v>
      </c>
      <c r="L4267" s="1" t="str">
        <f>"2018-06-19 09:45:19"</f>
        <v>2018-06-19 09:45:19</v>
      </c>
      <c r="M4267" s="1" t="s">
        <v>0</v>
      </c>
      <c r="N4267" s="1" t="s">
        <v>38</v>
      </c>
      <c r="O4267" s="1" t="s">
        <v>46</v>
      </c>
    </row>
    <row r="4268" spans="2:15" x14ac:dyDescent="0.3">
      <c r="B4268" s="1" t="s">
        <v>23</v>
      </c>
      <c r="C4268" s="1" t="str">
        <f t="shared" si="244"/>
        <v>4차</v>
      </c>
      <c r="D4268" s="1" t="str">
        <f>"0325P31439"</f>
        <v>0325P31439</v>
      </c>
      <c r="E4268" s="1" t="s">
        <v>10</v>
      </c>
      <c r="F4268" s="1" t="str">
        <f>"10.12.133.203"</f>
        <v>10.12.133.203</v>
      </c>
      <c r="G4268" s="1" t="str">
        <f>"0325P314"</f>
        <v>0325P314</v>
      </c>
      <c r="H4268" s="1" t="str">
        <f>"광나루 33-3"</f>
        <v>광나루 33-3</v>
      </c>
      <c r="I4268" s="1" t="s">
        <v>17</v>
      </c>
      <c r="J4268" s="1" t="str">
        <f>"2/2"</f>
        <v>2/2</v>
      </c>
      <c r="K4268" s="1" t="str">
        <f>"2026-07-29 13:18:04"</f>
        <v>2026-07-29 13:18:04</v>
      </c>
      <c r="L4268" s="1" t="str">
        <f>"2018-06-19 11:31:50"</f>
        <v>2018-06-19 11:31:50</v>
      </c>
      <c r="M4268" s="1" t="s">
        <v>0</v>
      </c>
      <c r="N4268" s="1" t="s">
        <v>38</v>
      </c>
      <c r="O4268" s="1" t="s">
        <v>46</v>
      </c>
    </row>
    <row r="4269" spans="2:15" x14ac:dyDescent="0.3">
      <c r="B4269" s="1" t="s">
        <v>23</v>
      </c>
      <c r="C4269" s="1" t="str">
        <f t="shared" si="244"/>
        <v>4차</v>
      </c>
      <c r="D4269" s="1" t="str">
        <f>"0325P41139"</f>
        <v>0325P41139</v>
      </c>
      <c r="E4269" s="1" t="s">
        <v>10</v>
      </c>
      <c r="F4269" s="1" t="str">
        <f>"10.12.137.80"</f>
        <v>10.12.137.80</v>
      </c>
      <c r="G4269" s="1" t="str">
        <f>"0325P411"</f>
        <v>0325P411</v>
      </c>
      <c r="H4269" s="1" t="str">
        <f>"광나루 33-2"</f>
        <v>광나루 33-2</v>
      </c>
      <c r="I4269" s="1" t="s">
        <v>17</v>
      </c>
      <c r="J4269" s="1" t="str">
        <f>"2/2"</f>
        <v>2/2</v>
      </c>
      <c r="K4269" s="1" t="str">
        <f>"2026-07-29 13:18:04"</f>
        <v>2026-07-29 13:18:04</v>
      </c>
      <c r="L4269" s="1" t="str">
        <f>"2018-06-19 11:22:20"</f>
        <v>2018-06-19 11:22:20</v>
      </c>
      <c r="M4269" s="1" t="s">
        <v>0</v>
      </c>
      <c r="N4269" s="1" t="s">
        <v>38</v>
      </c>
      <c r="O4269" s="1" t="s">
        <v>46</v>
      </c>
    </row>
    <row r="4270" spans="2:15" x14ac:dyDescent="0.3">
      <c r="B4270" s="1" t="s">
        <v>23</v>
      </c>
      <c r="C4270" s="1" t="str">
        <f t="shared" si="244"/>
        <v>4차</v>
      </c>
      <c r="D4270" s="1" t="str">
        <f>"0325P50339"</f>
        <v>0325P50339</v>
      </c>
      <c r="E4270" s="1" t="s">
        <v>14</v>
      </c>
      <c r="F4270" s="1" t="str">
        <f>"10.12.133.108"</f>
        <v>10.12.133.108</v>
      </c>
      <c r="G4270" s="1" t="str">
        <f>"0325P503"</f>
        <v>0325P503</v>
      </c>
      <c r="H4270" s="1" t="str">
        <f>"광나루 44-1"</f>
        <v>광나루 44-1</v>
      </c>
      <c r="I4270" s="1" t="s">
        <v>17</v>
      </c>
      <c r="J4270" s="1" t="str">
        <f>"0/0"</f>
        <v>0/0</v>
      </c>
      <c r="K4270" s="1" t="str">
        <f>"2026-06-10 07:18:01"</f>
        <v>2026-06-10 07:18:01</v>
      </c>
      <c r="L4270" s="1" t="str">
        <f>"2021-12-13 09:22:37"</f>
        <v>2021-12-13 09:22:37</v>
      </c>
      <c r="M4270" s="1" t="s">
        <v>0</v>
      </c>
      <c r="N4270" s="1" t="s">
        <v>39</v>
      </c>
      <c r="O4270" s="1" t="s">
        <v>46</v>
      </c>
    </row>
    <row r="4271" spans="2:15" x14ac:dyDescent="0.3">
      <c r="B4271" s="1" t="s">
        <v>23</v>
      </c>
      <c r="C4271" s="1" t="str">
        <f t="shared" si="244"/>
        <v>4차</v>
      </c>
      <c r="D4271" s="1" t="str">
        <f>"0325P51239"</f>
        <v>0325P51239</v>
      </c>
      <c r="E4271" s="1" t="s">
        <v>14</v>
      </c>
      <c r="F4271" s="1" t="str">
        <f>"10.12.137.70"</f>
        <v>10.12.137.70</v>
      </c>
      <c r="G4271" s="1" t="str">
        <f>"0325P512"</f>
        <v>0325P512</v>
      </c>
      <c r="H4271" s="1" t="str">
        <f>"광나루 33-1"</f>
        <v>광나루 33-1</v>
      </c>
      <c r="I4271" s="1" t="s">
        <v>17</v>
      </c>
      <c r="J4271" s="1" t="str">
        <f>"0/0"</f>
        <v>0/0</v>
      </c>
      <c r="K4271" s="1" t="str">
        <f>"2026-07-28 13:18:04"</f>
        <v>2026-07-28 13:18:04</v>
      </c>
      <c r="L4271" s="1" t="str">
        <f>"2018-06-19 11:12:33"</f>
        <v>2018-06-19 11:12:33</v>
      </c>
      <c r="M4271" s="1" t="s">
        <v>0</v>
      </c>
      <c r="N4271" s="1" t="s">
        <v>39</v>
      </c>
      <c r="O4271" s="1" t="s">
        <v>46</v>
      </c>
    </row>
    <row r="4272" spans="2:15" x14ac:dyDescent="0.3">
      <c r="B4272" s="1" t="s">
        <v>23</v>
      </c>
      <c r="C4272" s="1" t="str">
        <f t="shared" si="244"/>
        <v>4차</v>
      </c>
      <c r="D4272" s="1" t="str">
        <f>"0325P61139"</f>
        <v>0325P61139</v>
      </c>
      <c r="E4272" s="1" t="s">
        <v>10</v>
      </c>
      <c r="F4272" s="1" t="str">
        <f>"10.12.134.74"</f>
        <v>10.12.134.74</v>
      </c>
      <c r="G4272" s="1" t="str">
        <f>"0325P611"</f>
        <v>0325P611</v>
      </c>
      <c r="H4272" s="1" t="str">
        <f>"광나루 35-3"</f>
        <v>광나루 35-3</v>
      </c>
      <c r="I4272" s="1" t="s">
        <v>17</v>
      </c>
      <c r="J4272" s="1" t="str">
        <f>"3/3"</f>
        <v>3/3</v>
      </c>
      <c r="K4272" s="1" t="str">
        <f>"2026-07-29 13:18:04"</f>
        <v>2026-07-29 13:18:04</v>
      </c>
      <c r="L4272" s="1" t="str">
        <f>"2018-06-19 11:02:48"</f>
        <v>2018-06-19 11:02:48</v>
      </c>
      <c r="M4272" s="1" t="s">
        <v>0</v>
      </c>
      <c r="N4272" s="1" t="s">
        <v>38</v>
      </c>
      <c r="O4272" s="1" t="s">
        <v>46</v>
      </c>
    </row>
    <row r="4273" spans="2:15" x14ac:dyDescent="0.3">
      <c r="B4273" s="1" t="s">
        <v>23</v>
      </c>
      <c r="C4273" s="1" t="str">
        <f t="shared" si="244"/>
        <v>4차</v>
      </c>
      <c r="D4273" s="1" t="str">
        <f>"0325P80139"</f>
        <v>0325P80139</v>
      </c>
      <c r="E4273" s="1" t="s">
        <v>10</v>
      </c>
      <c r="F4273" s="1" t="str">
        <f>"10.12.133.212"</f>
        <v>10.12.133.212</v>
      </c>
      <c r="G4273" s="1" t="str">
        <f>"0325P801"</f>
        <v>0325P801</v>
      </c>
      <c r="H4273" s="1" t="str">
        <f>"광나루 47-1"</f>
        <v>광나루 47-1</v>
      </c>
      <c r="I4273" s="1" t="s">
        <v>17</v>
      </c>
      <c r="J4273" s="1" t="str">
        <f>"3/3"</f>
        <v>3/3</v>
      </c>
      <c r="K4273" s="1" t="str">
        <f>"2026-07-29 13:18:04"</f>
        <v>2026-07-29 13:18:04</v>
      </c>
      <c r="L4273" s="1" t="str">
        <f>"2018-06-19 10:19:33"</f>
        <v>2018-06-19 10:19:33</v>
      </c>
      <c r="M4273" s="1" t="s">
        <v>0</v>
      </c>
      <c r="N4273" s="1" t="s">
        <v>38</v>
      </c>
      <c r="O4273" s="1" t="s">
        <v>46</v>
      </c>
    </row>
    <row r="4274" spans="2:15" x14ac:dyDescent="0.3">
      <c r="B4274" s="1" t="s">
        <v>23</v>
      </c>
      <c r="C4274" s="1" t="str">
        <f t="shared" si="244"/>
        <v>4차</v>
      </c>
      <c r="D4274" s="1" t="str">
        <f>"0325Q11139"</f>
        <v>0325Q11139</v>
      </c>
      <c r="E4274" s="1" t="s">
        <v>10</v>
      </c>
      <c r="F4274" s="1" t="str">
        <f>"10.12.133.198"</f>
        <v>10.12.133.198</v>
      </c>
      <c r="G4274" s="1" t="str">
        <f>"0325Q111"</f>
        <v>0325Q111</v>
      </c>
      <c r="H4274" s="1" t="str">
        <f>"광나루 38-3"</f>
        <v>광나루 38-3</v>
      </c>
      <c r="I4274" s="1" t="s">
        <v>17</v>
      </c>
      <c r="J4274" s="1" t="str">
        <f>"21/21"</f>
        <v>21/21</v>
      </c>
      <c r="K4274" s="1" t="str">
        <f>"2026-07-29 13:18:04"</f>
        <v>2026-07-29 13:18:04</v>
      </c>
      <c r="L4274" s="1" t="str">
        <f>"2018-06-19 10:35:34"</f>
        <v>2018-06-19 10:35:34</v>
      </c>
      <c r="M4274" s="1" t="s">
        <v>0</v>
      </c>
      <c r="N4274" s="1" t="s">
        <v>38</v>
      </c>
      <c r="O4274" s="1" t="s">
        <v>46</v>
      </c>
    </row>
    <row r="4275" spans="2:15" x14ac:dyDescent="0.3">
      <c r="B4275" s="1" t="s">
        <v>23</v>
      </c>
      <c r="C4275" s="1" t="str">
        <f t="shared" si="244"/>
        <v>4차</v>
      </c>
      <c r="D4275" s="1" t="str">
        <f>"0325Q11344"</f>
        <v>0325Q11344</v>
      </c>
      <c r="E4275" s="1" t="s">
        <v>10</v>
      </c>
      <c r="F4275" s="1" t="str">
        <f>"10.11.68.58"</f>
        <v>10.11.68.58</v>
      </c>
      <c r="G4275" s="1" t="str">
        <f>"0325Q113"</f>
        <v>0325Q113</v>
      </c>
      <c r="H4275" s="1" t="str">
        <f>"송정지 6L14"</f>
        <v>송정지 6L14</v>
      </c>
      <c r="I4275" s="1" t="s">
        <v>8</v>
      </c>
      <c r="J4275" s="1" t="str">
        <f>"31/31"</f>
        <v>31/31</v>
      </c>
      <c r="K4275" s="1" t="str">
        <f>"2026-07-29 13:18:03"</f>
        <v>2026-07-29 13:18:03</v>
      </c>
      <c r="L4275" s="1" t="str">
        <f>"2019-11-18 13:39:12"</f>
        <v>2019-11-18 13:39:12</v>
      </c>
      <c r="M4275" s="1" t="s">
        <v>2</v>
      </c>
      <c r="N4275" s="1" t="s">
        <v>38</v>
      </c>
      <c r="O4275" s="1" t="s">
        <v>46</v>
      </c>
    </row>
    <row r="4276" spans="2:15" x14ac:dyDescent="0.3">
      <c r="B4276" s="1" t="s">
        <v>23</v>
      </c>
      <c r="C4276" s="1" t="str">
        <f t="shared" si="244"/>
        <v>4차</v>
      </c>
      <c r="D4276" s="1" t="str">
        <f>"0325Q12139"</f>
        <v>0325Q12139</v>
      </c>
      <c r="E4276" s="1" t="s">
        <v>10</v>
      </c>
      <c r="F4276" s="1" t="str">
        <f>"10.11.81.154"</f>
        <v>10.11.81.154</v>
      </c>
      <c r="G4276" s="1" t="str">
        <f>"0325Q121"</f>
        <v>0325Q121</v>
      </c>
      <c r="H4276" s="1" t="str">
        <f>"송정지 6L12"</f>
        <v>송정지 6L12</v>
      </c>
      <c r="I4276" s="1" t="s">
        <v>8</v>
      </c>
      <c r="J4276" s="1" t="str">
        <f>"26/26"</f>
        <v>26/26</v>
      </c>
      <c r="K4276" s="1" t="str">
        <f>"2026-07-29 13:18:02"</f>
        <v>2026-07-29 13:18:02</v>
      </c>
      <c r="L4276" s="1" t="str">
        <f>"2018-04-17 18:20:45"</f>
        <v>2018-04-17 18:20:45</v>
      </c>
      <c r="M4276" s="1" t="s">
        <v>2</v>
      </c>
      <c r="N4276" s="1" t="s">
        <v>38</v>
      </c>
      <c r="O4276" s="1" t="s">
        <v>46</v>
      </c>
    </row>
    <row r="4277" spans="2:15" x14ac:dyDescent="0.3">
      <c r="B4277" s="1" t="s">
        <v>23</v>
      </c>
      <c r="C4277" s="1" t="str">
        <f t="shared" si="244"/>
        <v>4차</v>
      </c>
      <c r="D4277" s="1" t="str">
        <f>"0325Q21244"</f>
        <v>0325Q21244</v>
      </c>
      <c r="E4277" s="1" t="s">
        <v>10</v>
      </c>
      <c r="F4277" s="1" t="str">
        <f>"10.11.68.74"</f>
        <v>10.11.68.74</v>
      </c>
      <c r="G4277" s="1" t="str">
        <f>"0325Q212"</f>
        <v>0325Q212</v>
      </c>
      <c r="H4277" s="1" t="str">
        <f>"송정지 6L16"</f>
        <v>송정지 6L16</v>
      </c>
      <c r="I4277" s="1" t="s">
        <v>8</v>
      </c>
      <c r="J4277" s="1" t="str">
        <f>"50/50"</f>
        <v>50/50</v>
      </c>
      <c r="K4277" s="1" t="str">
        <f>"2026-07-29 13:18:02"</f>
        <v>2026-07-29 13:18:02</v>
      </c>
      <c r="L4277" s="1" t="str">
        <f>"2019-12-11 15:48:43"</f>
        <v>2019-12-11 15:48:43</v>
      </c>
      <c r="M4277" s="1" t="s">
        <v>2</v>
      </c>
      <c r="N4277" s="1" t="s">
        <v>38</v>
      </c>
      <c r="O4277" s="1" t="s">
        <v>46</v>
      </c>
    </row>
    <row r="4278" spans="2:15" x14ac:dyDescent="0.3">
      <c r="B4278" s="1" t="s">
        <v>23</v>
      </c>
      <c r="C4278" s="1" t="str">
        <f t="shared" si="244"/>
        <v>4차</v>
      </c>
      <c r="D4278" s="1" t="str">
        <f>"0325Q21344"</f>
        <v>0325Q21344</v>
      </c>
      <c r="E4278" s="1" t="s">
        <v>10</v>
      </c>
      <c r="F4278" s="1" t="str">
        <f>"10.11.68.66"</f>
        <v>10.11.68.66</v>
      </c>
      <c r="G4278" s="1" t="str">
        <f>"0325Q213"</f>
        <v>0325Q213</v>
      </c>
      <c r="H4278" s="1" t="str">
        <f>"송정지 6L15"</f>
        <v>송정지 6L15</v>
      </c>
      <c r="I4278" s="1" t="s">
        <v>8</v>
      </c>
      <c r="J4278" s="1" t="str">
        <f>"22/29"</f>
        <v>22/29</v>
      </c>
      <c r="K4278" s="1" t="str">
        <f>"2026-07-29 13:18:03"</f>
        <v>2026-07-29 13:18:03</v>
      </c>
      <c r="L4278" s="1" t="str">
        <f>"2020-01-21 15:59:26"</f>
        <v>2020-01-21 15:59:26</v>
      </c>
      <c r="M4278" s="1" t="s">
        <v>2</v>
      </c>
      <c r="N4278" s="1" t="s">
        <v>38</v>
      </c>
      <c r="O4278" s="1" t="s">
        <v>46</v>
      </c>
    </row>
    <row r="4279" spans="2:15" x14ac:dyDescent="0.3">
      <c r="B4279" s="1" t="s">
        <v>23</v>
      </c>
      <c r="C4279" s="1" t="str">
        <f t="shared" si="244"/>
        <v>4차</v>
      </c>
      <c r="D4279" s="1" t="str">
        <f>"0325Q23144"</f>
        <v>0325Q23144</v>
      </c>
      <c r="E4279" s="1" t="s">
        <v>10</v>
      </c>
      <c r="F4279" s="1" t="str">
        <f>"10.11.68.130"</f>
        <v>10.11.68.130</v>
      </c>
      <c r="G4279" s="1" t="str">
        <f>"0325Q231"</f>
        <v>0325Q231</v>
      </c>
      <c r="H4279" s="1" t="str">
        <f>"송정지 6L9"</f>
        <v>송정지 6L9</v>
      </c>
      <c r="I4279" s="1" t="s">
        <v>8</v>
      </c>
      <c r="J4279" s="1" t="str">
        <f>"54/54"</f>
        <v>54/54</v>
      </c>
      <c r="K4279" s="1" t="str">
        <f>"2026-07-29 13:18:02"</f>
        <v>2026-07-29 13:18:02</v>
      </c>
      <c r="L4279" s="1" t="str">
        <f>"2019-10-29 10:53:05"</f>
        <v>2019-10-29 10:53:05</v>
      </c>
      <c r="M4279" s="1" t="s">
        <v>2</v>
      </c>
      <c r="N4279" s="1" t="s">
        <v>38</v>
      </c>
      <c r="O4279" s="1" t="s">
        <v>46</v>
      </c>
    </row>
    <row r="4280" spans="2:15" x14ac:dyDescent="0.3">
      <c r="B4280" s="1" t="s">
        <v>23</v>
      </c>
      <c r="C4280" s="1" t="str">
        <f t="shared" si="244"/>
        <v>4차</v>
      </c>
      <c r="D4280" s="1" t="str">
        <f>"0325Q23344"</f>
        <v>0325Q23344</v>
      </c>
      <c r="E4280" s="1" t="s">
        <v>10</v>
      </c>
      <c r="F4280" s="1" t="str">
        <f>"10.11.68.122"</f>
        <v>10.11.68.122</v>
      </c>
      <c r="G4280" s="1" t="str">
        <f>"0325Q233"</f>
        <v>0325Q233</v>
      </c>
      <c r="H4280" s="1" t="str">
        <f>"송정지 6L8"</f>
        <v>송정지 6L8</v>
      </c>
      <c r="I4280" s="1" t="s">
        <v>8</v>
      </c>
      <c r="J4280" s="1" t="str">
        <f>"37/37"</f>
        <v>37/37</v>
      </c>
      <c r="K4280" s="1" t="str">
        <f>"2026-07-29 13:18:03"</f>
        <v>2026-07-29 13:18:03</v>
      </c>
      <c r="L4280" s="1" t="str">
        <f>"2019-10-29 10:53:05"</f>
        <v>2019-10-29 10:53:05</v>
      </c>
      <c r="M4280" s="1" t="s">
        <v>2</v>
      </c>
      <c r="N4280" s="1" t="s">
        <v>38</v>
      </c>
      <c r="O4280" s="1" t="s">
        <v>46</v>
      </c>
    </row>
    <row r="4281" spans="2:15" x14ac:dyDescent="0.3">
      <c r="B4281" s="1" t="s">
        <v>23</v>
      </c>
      <c r="C4281" s="1" t="str">
        <f t="shared" si="244"/>
        <v>4차</v>
      </c>
      <c r="D4281" s="1" t="str">
        <f>"0325Q24144"</f>
        <v>0325Q24144</v>
      </c>
      <c r="E4281" s="1" t="s">
        <v>10</v>
      </c>
      <c r="F4281" s="1" t="str">
        <f>"10.11.68.114"</f>
        <v>10.11.68.114</v>
      </c>
      <c r="G4281" s="1" t="str">
        <f>"0325Q241"</f>
        <v>0325Q241</v>
      </c>
      <c r="H4281" s="1" t="str">
        <f>"송정지 6L7"</f>
        <v>송정지 6L7</v>
      </c>
      <c r="I4281" s="1" t="s">
        <v>8</v>
      </c>
      <c r="J4281" s="1" t="str">
        <f>"46/56"</f>
        <v>46/56</v>
      </c>
      <c r="K4281" s="1" t="str">
        <f>"2026-07-29 13:18:03"</f>
        <v>2026-07-29 13:18:03</v>
      </c>
      <c r="L4281" s="1" t="str">
        <f>"2019-10-29 10:53:05"</f>
        <v>2019-10-29 10:53:05</v>
      </c>
      <c r="M4281" s="1" t="s">
        <v>2</v>
      </c>
      <c r="N4281" s="1" t="s">
        <v>38</v>
      </c>
      <c r="O4281" s="1" t="s">
        <v>46</v>
      </c>
    </row>
    <row r="4282" spans="2:15" x14ac:dyDescent="0.3">
      <c r="B4282" s="1" t="s">
        <v>23</v>
      </c>
      <c r="C4282" s="1" t="str">
        <f t="shared" si="244"/>
        <v>4차</v>
      </c>
      <c r="D4282" s="1" t="str">
        <f>"0325Q30239"</f>
        <v>0325Q30239</v>
      </c>
      <c r="E4282" s="1" t="s">
        <v>10</v>
      </c>
      <c r="F4282" s="1" t="str">
        <f>"10.12.134.231"</f>
        <v>10.12.134.231</v>
      </c>
      <c r="G4282" s="1" t="str">
        <f>"0325Q302"</f>
        <v>0325Q302</v>
      </c>
      <c r="H4282" s="1" t="str">
        <f>"광나루 49-1"</f>
        <v>광나루 49-1</v>
      </c>
      <c r="I4282" s="1" t="s">
        <v>17</v>
      </c>
      <c r="J4282" s="1" t="str">
        <f>"3/3"</f>
        <v>3/3</v>
      </c>
      <c r="K4282" s="1" t="str">
        <f>"2026-07-29 13:18:03"</f>
        <v>2026-07-29 13:18:03</v>
      </c>
      <c r="L4282" s="1" t="str">
        <f>"2018-05-14 13:54:57"</f>
        <v>2018-05-14 13:54:57</v>
      </c>
      <c r="M4282" s="1" t="s">
        <v>0</v>
      </c>
      <c r="N4282" s="1" t="s">
        <v>38</v>
      </c>
      <c r="O4282" s="1" t="s">
        <v>46</v>
      </c>
    </row>
    <row r="4283" spans="2:15" x14ac:dyDescent="0.3">
      <c r="B4283" s="1" t="s">
        <v>23</v>
      </c>
      <c r="C4283" s="1" t="str">
        <f t="shared" si="244"/>
        <v>4차</v>
      </c>
      <c r="D4283" s="1" t="str">
        <f>"0325Q31245"</f>
        <v>0325Q31245</v>
      </c>
      <c r="E4283" s="1" t="s">
        <v>10</v>
      </c>
      <c r="F4283" s="1" t="str">
        <f>"10.14.13.58"</f>
        <v>10.14.13.58</v>
      </c>
      <c r="G4283" s="1" t="str">
        <f>"0325Q312"</f>
        <v>0325Q312</v>
      </c>
      <c r="H4283" s="1" t="str">
        <f>"광나루 38-1"</f>
        <v>광나루 38-1</v>
      </c>
      <c r="I4283" s="1" t="s">
        <v>17</v>
      </c>
      <c r="J4283" s="1" t="str">
        <f>"14/17"</f>
        <v>14/17</v>
      </c>
      <c r="K4283" s="1" t="str">
        <f>"2026-07-29 13:18:03"</f>
        <v>2026-07-29 13:18:03</v>
      </c>
      <c r="L4283" s="1" t="str">
        <f>"2021-06-28 08:13:24"</f>
        <v>2021-06-28 08:13:24</v>
      </c>
      <c r="M4283" s="1" t="s">
        <v>3</v>
      </c>
      <c r="N4283" s="1" t="s">
        <v>38</v>
      </c>
      <c r="O4283" s="1" t="s">
        <v>46</v>
      </c>
    </row>
    <row r="4284" spans="2:15" x14ac:dyDescent="0.3">
      <c r="B4284" s="1" t="s">
        <v>23</v>
      </c>
      <c r="C4284" s="1" t="str">
        <f t="shared" si="244"/>
        <v>4차</v>
      </c>
      <c r="D4284" s="1" t="str">
        <f>"0325Q34344"</f>
        <v>0325Q34344</v>
      </c>
      <c r="E4284" s="1" t="s">
        <v>10</v>
      </c>
      <c r="F4284" s="1" t="str">
        <f>"10.11.68.106"</f>
        <v>10.11.68.106</v>
      </c>
      <c r="G4284" s="1" t="str">
        <f>"0325Q343"</f>
        <v>0325Q343</v>
      </c>
      <c r="H4284" s="1" t="str">
        <f>"송정지 6L5"</f>
        <v>송정지 6L5</v>
      </c>
      <c r="I4284" s="1" t="s">
        <v>8</v>
      </c>
      <c r="J4284" s="1" t="str">
        <f>"69/86"</f>
        <v>69/86</v>
      </c>
      <c r="K4284" s="1" t="str">
        <f>"2026-07-29 13:18:03"</f>
        <v>2026-07-29 13:18:03</v>
      </c>
      <c r="L4284" s="1" t="str">
        <f>"2019-10-29 10:53:05"</f>
        <v>2019-10-29 10:53:05</v>
      </c>
      <c r="M4284" s="1" t="s">
        <v>2</v>
      </c>
      <c r="N4284" s="1" t="s">
        <v>38</v>
      </c>
      <c r="O4284" s="1" t="s">
        <v>46</v>
      </c>
    </row>
    <row r="4285" spans="2:15" x14ac:dyDescent="0.3">
      <c r="B4285" s="1" t="s">
        <v>23</v>
      </c>
      <c r="C4285" s="1" t="str">
        <f t="shared" si="244"/>
        <v>4차</v>
      </c>
      <c r="D4285" s="1" t="str">
        <f>"0325Q42144"</f>
        <v>0325Q42144</v>
      </c>
      <c r="E4285" s="1" t="s">
        <v>18</v>
      </c>
      <c r="F4285" s="1" t="str">
        <f>"10.11.67.186"</f>
        <v>10.11.67.186</v>
      </c>
      <c r="G4285" s="1" t="str">
        <f>"0325Q421"</f>
        <v>0325Q421</v>
      </c>
      <c r="H4285" s="1" t="str">
        <f>"송정지 2"</f>
        <v>송정지 2</v>
      </c>
      <c r="I4285" s="1" t="s">
        <v>8</v>
      </c>
      <c r="J4285" s="1" t="str">
        <f>"0/39"</f>
        <v>0/39</v>
      </c>
      <c r="K4285" s="1" t="str">
        <f>"2026-07-07 13:18:02"</f>
        <v>2026-07-07 13:18:02</v>
      </c>
      <c r="L4285" s="1" t="str">
        <f>"2019-10-29 10:53:05"</f>
        <v>2019-10-29 10:53:05</v>
      </c>
      <c r="M4285" s="1" t="s">
        <v>2</v>
      </c>
      <c r="N4285" s="1" t="s">
        <v>38</v>
      </c>
      <c r="O4285" s="1" t="s">
        <v>46</v>
      </c>
    </row>
    <row r="4286" spans="2:15" x14ac:dyDescent="0.3">
      <c r="B4286" s="1" t="s">
        <v>23</v>
      </c>
      <c r="C4286" s="1" t="str">
        <f t="shared" si="244"/>
        <v>4차</v>
      </c>
      <c r="D4286" s="1" t="str">
        <f>"0325Q42244"</f>
        <v>0325Q42244</v>
      </c>
      <c r="E4286" s="1" t="s">
        <v>10</v>
      </c>
      <c r="F4286" s="1" t="str">
        <f>"10.11.68.10"</f>
        <v>10.11.68.10</v>
      </c>
      <c r="G4286" s="1" t="str">
        <f>"0325Q422"</f>
        <v>0325Q422</v>
      </c>
      <c r="H4286" s="1" t="str">
        <f>"송정지 4"</f>
        <v>송정지 4</v>
      </c>
      <c r="I4286" s="1" t="s">
        <v>8</v>
      </c>
      <c r="J4286" s="1" t="str">
        <f>"48/51"</f>
        <v>48/51</v>
      </c>
      <c r="K4286" s="1" t="str">
        <f>"2026-07-29 13:18:02"</f>
        <v>2026-07-29 13:18:02</v>
      </c>
      <c r="L4286" s="1" t="str">
        <f>"2019-10-29 10:53:05"</f>
        <v>2019-10-29 10:53:05</v>
      </c>
      <c r="M4286" s="1" t="s">
        <v>2</v>
      </c>
      <c r="N4286" s="1" t="s">
        <v>38</v>
      </c>
      <c r="O4286" s="1" t="s">
        <v>46</v>
      </c>
    </row>
    <row r="4287" spans="2:15" x14ac:dyDescent="0.3">
      <c r="B4287" s="1" t="s">
        <v>23</v>
      </c>
      <c r="C4287" s="1" t="str">
        <f t="shared" si="244"/>
        <v>4차</v>
      </c>
      <c r="D4287" s="1" t="str">
        <f>"0325Q43144"</f>
        <v>0325Q43144</v>
      </c>
      <c r="E4287" s="1" t="s">
        <v>10</v>
      </c>
      <c r="F4287" s="1" t="str">
        <f>"10.11.68.26"</f>
        <v>10.11.68.26</v>
      </c>
      <c r="G4287" s="1" t="str">
        <f>"0325Q431"</f>
        <v>0325Q431</v>
      </c>
      <c r="H4287" s="1" t="str">
        <f>"송정지 5L1"</f>
        <v>송정지 5L1</v>
      </c>
      <c r="I4287" s="1" t="s">
        <v>8</v>
      </c>
      <c r="J4287" s="1" t="str">
        <f>"44/44"</f>
        <v>44/44</v>
      </c>
      <c r="K4287" s="1" t="str">
        <f>"2026-07-29 13:18:02"</f>
        <v>2026-07-29 13:18:02</v>
      </c>
      <c r="L4287" s="1" t="str">
        <f>"2019-10-29 10:53:04"</f>
        <v>2019-10-29 10:53:04</v>
      </c>
      <c r="M4287" s="1" t="s">
        <v>2</v>
      </c>
      <c r="N4287" s="1" t="s">
        <v>38</v>
      </c>
      <c r="O4287" s="1" t="s">
        <v>46</v>
      </c>
    </row>
    <row r="4288" spans="2:15" x14ac:dyDescent="0.3">
      <c r="B4288" s="1" t="s">
        <v>23</v>
      </c>
      <c r="C4288" s="1" t="str">
        <f t="shared" si="244"/>
        <v>4차</v>
      </c>
      <c r="D4288" s="1" t="str">
        <f>"0325Q44144"</f>
        <v>0325Q44144</v>
      </c>
      <c r="E4288" s="1" t="s">
        <v>10</v>
      </c>
      <c r="F4288" s="1" t="str">
        <f>"10.11.68.82"</f>
        <v>10.11.68.82</v>
      </c>
      <c r="G4288" s="1" t="str">
        <f>"0325Q441"</f>
        <v>0325Q441</v>
      </c>
      <c r="H4288" s="1" t="str">
        <f>"송정지 6L2"</f>
        <v>송정지 6L2</v>
      </c>
      <c r="I4288" s="1" t="s">
        <v>8</v>
      </c>
      <c r="J4288" s="1" t="str">
        <f>"55/66"</f>
        <v>55/66</v>
      </c>
      <c r="K4288" s="1" t="str">
        <f>"2026-07-29 13:18:03"</f>
        <v>2026-07-29 13:18:03</v>
      </c>
      <c r="L4288" s="1" t="str">
        <f>"2019-10-01 14:31:32"</f>
        <v>2019-10-01 14:31:32</v>
      </c>
      <c r="M4288" s="1" t="s">
        <v>2</v>
      </c>
      <c r="N4288" s="1" t="s">
        <v>38</v>
      </c>
      <c r="O4288" s="1" t="s">
        <v>46</v>
      </c>
    </row>
    <row r="4289" spans="2:15" x14ac:dyDescent="0.3">
      <c r="B4289" s="1" t="s">
        <v>23</v>
      </c>
      <c r="C4289" s="1" t="str">
        <f t="shared" si="244"/>
        <v>4차</v>
      </c>
      <c r="D4289" s="1" t="str">
        <f>"0325Q45144"</f>
        <v>0325Q45144</v>
      </c>
      <c r="E4289" s="1" t="s">
        <v>10</v>
      </c>
      <c r="F4289" s="1" t="str">
        <f>"10.11.68.90"</f>
        <v>10.11.68.90</v>
      </c>
      <c r="G4289" s="1" t="str">
        <f>"0325Q451"</f>
        <v>0325Q451</v>
      </c>
      <c r="H4289" s="1" t="str">
        <f>"송정지 6L3"</f>
        <v>송정지 6L3</v>
      </c>
      <c r="I4289" s="1" t="s">
        <v>8</v>
      </c>
      <c r="J4289" s="1" t="str">
        <f>"54/56"</f>
        <v>54/56</v>
      </c>
      <c r="K4289" s="1" t="str">
        <f>"2026-07-29 13:18:03"</f>
        <v>2026-07-29 13:18:03</v>
      </c>
      <c r="L4289" s="1" t="str">
        <f>"2019-10-29 10:53:05"</f>
        <v>2019-10-29 10:53:05</v>
      </c>
      <c r="M4289" s="1" t="s">
        <v>2</v>
      </c>
      <c r="N4289" s="1" t="s">
        <v>38</v>
      </c>
      <c r="O4289" s="1" t="s">
        <v>46</v>
      </c>
    </row>
    <row r="4290" spans="2:15" x14ac:dyDescent="0.3">
      <c r="B4290" s="1" t="s">
        <v>23</v>
      </c>
      <c r="C4290" s="1" t="str">
        <f t="shared" si="244"/>
        <v>4차</v>
      </c>
      <c r="D4290" s="1" t="str">
        <f>"0325Q51645"</f>
        <v>0325Q51645</v>
      </c>
      <c r="E4290" s="1" t="s">
        <v>10</v>
      </c>
      <c r="F4290" s="1" t="str">
        <f>"10.14.12.58"</f>
        <v>10.14.12.58</v>
      </c>
      <c r="G4290" s="1" t="str">
        <f>"0325Q516"</f>
        <v>0325Q516</v>
      </c>
      <c r="H4290" s="1" t="str">
        <f>"광나루 39-3"</f>
        <v>광나루 39-3</v>
      </c>
      <c r="I4290" s="1" t="s">
        <v>17</v>
      </c>
      <c r="J4290" s="1" t="str">
        <f>"2/2"</f>
        <v>2/2</v>
      </c>
      <c r="K4290" s="1" t="str">
        <f>"2026-07-29 13:18:05"</f>
        <v>2026-07-29 13:18:05</v>
      </c>
      <c r="L4290" s="1" t="str">
        <f>"2021-06-28 07:40:20"</f>
        <v>2021-06-28 07:40:20</v>
      </c>
      <c r="M4290" s="1" t="s">
        <v>3</v>
      </c>
      <c r="N4290" s="1" t="s">
        <v>38</v>
      </c>
      <c r="O4290" s="1" t="s">
        <v>46</v>
      </c>
    </row>
    <row r="4291" spans="2:15" x14ac:dyDescent="0.3">
      <c r="B4291" s="1" t="s">
        <v>23</v>
      </c>
      <c r="C4291" s="1" t="str">
        <f t="shared" si="244"/>
        <v>4차</v>
      </c>
      <c r="D4291" s="1" t="str">
        <f>"0325Q53144"</f>
        <v>0325Q53144</v>
      </c>
      <c r="E4291" s="1" t="s">
        <v>10</v>
      </c>
      <c r="F4291" s="1" t="str">
        <f>"10.11.68.18"</f>
        <v>10.11.68.18</v>
      </c>
      <c r="G4291" s="1" t="str">
        <f>"0325Q531"</f>
        <v>0325Q531</v>
      </c>
      <c r="H4291" s="1" t="str">
        <f>"송정지 5"</f>
        <v>송정지 5</v>
      </c>
      <c r="I4291" s="1" t="s">
        <v>8</v>
      </c>
      <c r="J4291" s="1" t="str">
        <f>"28/28"</f>
        <v>28/28</v>
      </c>
      <c r="K4291" s="1" t="str">
        <f>"2026-07-29 13:18:02"</f>
        <v>2026-07-29 13:18:02</v>
      </c>
      <c r="L4291" s="1" t="str">
        <f>"2019-10-29 10:53:05"</f>
        <v>2019-10-29 10:53:05</v>
      </c>
      <c r="M4291" s="1" t="s">
        <v>2</v>
      </c>
      <c r="N4291" s="1" t="s">
        <v>38</v>
      </c>
      <c r="O4291" s="1" t="s">
        <v>46</v>
      </c>
    </row>
    <row r="4292" spans="2:15" x14ac:dyDescent="0.3">
      <c r="B4292" s="1" t="s">
        <v>23</v>
      </c>
      <c r="C4292" s="1" t="str">
        <f t="shared" si="244"/>
        <v>4차</v>
      </c>
      <c r="D4292" s="1" t="str">
        <f>"0325Q54144"</f>
        <v>0325Q54144</v>
      </c>
      <c r="E4292" s="1" t="s">
        <v>10</v>
      </c>
      <c r="F4292" s="1" t="str">
        <f>"10.11.68.50"</f>
        <v>10.11.68.50</v>
      </c>
      <c r="G4292" s="1" t="str">
        <f>"0325Q541"</f>
        <v>0325Q541</v>
      </c>
      <c r="H4292" s="1" t="str">
        <f>"송정지 6L1"</f>
        <v>송정지 6L1</v>
      </c>
      <c r="I4292" s="1" t="s">
        <v>8</v>
      </c>
      <c r="J4292" s="1" t="str">
        <f>"52/52"</f>
        <v>52/52</v>
      </c>
      <c r="K4292" s="1" t="str">
        <f>"2026-07-29 13:18:02"</f>
        <v>2026-07-29 13:18:02</v>
      </c>
      <c r="L4292" s="1" t="str">
        <f>"2019-10-29 10:43:08"</f>
        <v>2019-10-29 10:43:08</v>
      </c>
      <c r="M4292" s="1" t="s">
        <v>2</v>
      </c>
      <c r="N4292" s="1" t="s">
        <v>38</v>
      </c>
      <c r="O4292" s="1" t="s">
        <v>46</v>
      </c>
    </row>
    <row r="4293" spans="2:15" x14ac:dyDescent="0.3">
      <c r="B4293" s="1" t="s">
        <v>23</v>
      </c>
      <c r="C4293" s="1" t="str">
        <f>"6차"</f>
        <v>6차</v>
      </c>
      <c r="D4293" s="1" t="str">
        <f>"0325Q5616S"</f>
        <v>0325Q5616S</v>
      </c>
      <c r="E4293" s="1" t="s">
        <v>12</v>
      </c>
      <c r="F4293" s="1" t="str">
        <f>"fde3:102:1440:9100:0:0:0:2"</f>
        <v>fde3:102:1440:9100:0:0:0:2</v>
      </c>
      <c r="G4293" s="1" t="str">
        <f>"0325Q561"</f>
        <v>0325Q561</v>
      </c>
      <c r="H4293" s="1" t="str">
        <f>"송정지 12L6"</f>
        <v>송정지 12L6</v>
      </c>
      <c r="I4293" s="1" t="s">
        <v>15</v>
      </c>
      <c r="J4293" s="1" t="str">
        <f>"0/76"</f>
        <v>0/76</v>
      </c>
      <c r="K4293" s="1" t="str">
        <f>"2026-07-24 08:20:38"</f>
        <v>2026-07-24 08:20:38</v>
      </c>
      <c r="L4293" s="1" t="str">
        <f>"2024-10-15 15:25:41"</f>
        <v>2024-10-15 15:25:41</v>
      </c>
      <c r="M4293" s="1" t="s">
        <v>45</v>
      </c>
      <c r="N4293" s="1" t="s">
        <v>38</v>
      </c>
      <c r="O4293" s="1" t="s">
        <v>46</v>
      </c>
    </row>
    <row r="4294" spans="2:15" x14ac:dyDescent="0.3">
      <c r="B4294" s="1" t="s">
        <v>23</v>
      </c>
      <c r="C4294" s="1" t="str">
        <f>"3차"</f>
        <v>3차</v>
      </c>
      <c r="D4294" s="1" t="str">
        <f>"0325Q62139"</f>
        <v>0325Q62139</v>
      </c>
      <c r="E4294" s="1" t="s">
        <v>10</v>
      </c>
      <c r="F4294" s="1" t="str">
        <f>"10.11.81.162"</f>
        <v>10.11.81.162</v>
      </c>
      <c r="G4294" s="1" t="str">
        <f>"0325Q621"</f>
        <v>0325Q621</v>
      </c>
      <c r="H4294" s="1" t="str">
        <f>"송정지 5R1"</f>
        <v>송정지 5R1</v>
      </c>
      <c r="I4294" s="1" t="s">
        <v>8</v>
      </c>
      <c r="J4294" s="1" t="str">
        <f>"44/48"</f>
        <v>44/48</v>
      </c>
      <c r="K4294" s="1" t="str">
        <f>"2026-07-29 13:18:03"</f>
        <v>2026-07-29 13:18:03</v>
      </c>
      <c r="L4294" s="1" t="str">
        <f>"2018-04-18 10:36:40"</f>
        <v>2018-04-18 10:36:40</v>
      </c>
      <c r="M4294" s="1" t="s">
        <v>2</v>
      </c>
      <c r="N4294" s="1" t="s">
        <v>38</v>
      </c>
      <c r="O4294" s="1" t="s">
        <v>46</v>
      </c>
    </row>
    <row r="4295" spans="2:15" x14ac:dyDescent="0.3">
      <c r="B4295" s="1" t="s">
        <v>23</v>
      </c>
      <c r="C4295" s="1" t="str">
        <f>"4차"</f>
        <v>4차</v>
      </c>
      <c r="D4295" s="1" t="str">
        <f>"0325Q62244"</f>
        <v>0325Q62244</v>
      </c>
      <c r="E4295" s="1" t="s">
        <v>10</v>
      </c>
      <c r="F4295" s="1" t="str">
        <f>"10.11.68.34"</f>
        <v>10.11.68.34</v>
      </c>
      <c r="G4295" s="1" t="str">
        <f>"0325Q622"</f>
        <v>0325Q622</v>
      </c>
      <c r="H4295" s="1" t="str">
        <f>"송정지 5R2"</f>
        <v>송정지 5R2</v>
      </c>
      <c r="I4295" s="1" t="s">
        <v>8</v>
      </c>
      <c r="J4295" s="1" t="str">
        <f>"107/112"</f>
        <v>107/112</v>
      </c>
      <c r="K4295" s="1" t="str">
        <f>"2026-07-29 13:18:03"</f>
        <v>2026-07-29 13:18:03</v>
      </c>
      <c r="L4295" s="1" t="str">
        <f>"2019-10-29 10:53:05"</f>
        <v>2019-10-29 10:53:05</v>
      </c>
      <c r="M4295" s="1" t="s">
        <v>2</v>
      </c>
      <c r="N4295" s="1" t="s">
        <v>38</v>
      </c>
      <c r="O4295" s="1" t="s">
        <v>46</v>
      </c>
    </row>
    <row r="4296" spans="2:15" x14ac:dyDescent="0.3">
      <c r="B4296" s="1" t="s">
        <v>23</v>
      </c>
      <c r="C4296" s="1" t="str">
        <f>"3차"</f>
        <v>3차</v>
      </c>
      <c r="D4296" s="1" t="str">
        <f>"0325Q63139"</f>
        <v>0325Q63139</v>
      </c>
      <c r="E4296" s="1" t="s">
        <v>10</v>
      </c>
      <c r="F4296" s="1" t="str">
        <f>"10.11.81.170"</f>
        <v>10.11.81.170</v>
      </c>
      <c r="G4296" s="1" t="str">
        <f>"0325Q631"</f>
        <v>0325Q631</v>
      </c>
      <c r="H4296" s="1" t="str">
        <f>"송정지 6R1"</f>
        <v>송정지 6R1</v>
      </c>
      <c r="I4296" s="1" t="s">
        <v>8</v>
      </c>
      <c r="J4296" s="1" t="str">
        <f>"45/46"</f>
        <v>45/46</v>
      </c>
      <c r="K4296" s="1" t="str">
        <f>"2026-07-29 13:18:03"</f>
        <v>2026-07-29 13:18:03</v>
      </c>
      <c r="L4296" s="1" t="str">
        <f>"2018-04-17 18:16:30"</f>
        <v>2018-04-17 18:16:30</v>
      </c>
      <c r="M4296" s="1" t="s">
        <v>2</v>
      </c>
      <c r="N4296" s="1" t="s">
        <v>38</v>
      </c>
      <c r="O4296" s="1" t="s">
        <v>46</v>
      </c>
    </row>
    <row r="4297" spans="2:15" x14ac:dyDescent="0.3">
      <c r="B4297" s="1" t="s">
        <v>23</v>
      </c>
      <c r="C4297" s="1" t="str">
        <f>"4차"</f>
        <v>4차</v>
      </c>
      <c r="D4297" s="1" t="str">
        <f>"0325Q64144"</f>
        <v>0325Q64144</v>
      </c>
      <c r="E4297" s="1" t="s">
        <v>10</v>
      </c>
      <c r="F4297" s="1" t="str">
        <f>"10.11.68.42"</f>
        <v>10.11.68.42</v>
      </c>
      <c r="G4297" s="1" t="str">
        <f>"0325Q641"</f>
        <v>0325Q641</v>
      </c>
      <c r="H4297" s="1" t="str">
        <f>"송정지 6"</f>
        <v>송정지 6</v>
      </c>
      <c r="I4297" s="1" t="s">
        <v>8</v>
      </c>
      <c r="J4297" s="1" t="str">
        <f>"86/86"</f>
        <v>86/86</v>
      </c>
      <c r="K4297" s="1" t="str">
        <f>"2026-07-29 13:18:02"</f>
        <v>2026-07-29 13:18:02</v>
      </c>
      <c r="L4297" s="1" t="str">
        <f>"2019-10-29 10:53:05"</f>
        <v>2019-10-29 10:53:05</v>
      </c>
      <c r="M4297" s="1" t="s">
        <v>2</v>
      </c>
      <c r="N4297" s="1" t="s">
        <v>38</v>
      </c>
      <c r="O4297" s="1" t="s">
        <v>46</v>
      </c>
    </row>
    <row r="4298" spans="2:15" x14ac:dyDescent="0.3">
      <c r="B4298" s="1" t="s">
        <v>23</v>
      </c>
      <c r="C4298" s="1" t="str">
        <f>"4차"</f>
        <v>4차</v>
      </c>
      <c r="D4298" s="1" t="str">
        <f>"0325Q65144"</f>
        <v>0325Q65144</v>
      </c>
      <c r="E4298" s="1" t="s">
        <v>10</v>
      </c>
      <c r="F4298" s="1" t="str">
        <f>"10.11.68.154"</f>
        <v>10.11.68.154</v>
      </c>
      <c r="G4298" s="1" t="str">
        <f>"0325Q651"</f>
        <v>0325Q651</v>
      </c>
      <c r="H4298" s="1" t="str">
        <f>"송정지 8"</f>
        <v>송정지 8</v>
      </c>
      <c r="I4298" s="1" t="s">
        <v>8</v>
      </c>
      <c r="J4298" s="1" t="str">
        <f>"14/14"</f>
        <v>14/14</v>
      </c>
      <c r="K4298" s="1" t="str">
        <f>"2026-07-29 13:18:03"</f>
        <v>2026-07-29 13:18:03</v>
      </c>
      <c r="L4298" s="1" t="str">
        <f>"2019-10-29 10:43:05"</f>
        <v>2019-10-29 10:43:05</v>
      </c>
      <c r="M4298" s="1" t="s">
        <v>2</v>
      </c>
      <c r="N4298" s="1" t="s">
        <v>38</v>
      </c>
      <c r="O4298" s="1" t="s">
        <v>46</v>
      </c>
    </row>
    <row r="4299" spans="2:15" x14ac:dyDescent="0.3">
      <c r="B4299" s="1" t="s">
        <v>23</v>
      </c>
      <c r="C4299" s="1" t="str">
        <f>"3차"</f>
        <v>3차</v>
      </c>
      <c r="D4299" s="1" t="str">
        <f>"0325Q66139"</f>
        <v>0325Q66139</v>
      </c>
      <c r="E4299" s="1" t="s">
        <v>10</v>
      </c>
      <c r="F4299" s="1" t="str">
        <f>"10.11.81.178"</f>
        <v>10.11.81.178</v>
      </c>
      <c r="G4299" s="1" t="str">
        <f>"0325Q661"</f>
        <v>0325Q661</v>
      </c>
      <c r="H4299" s="1" t="str">
        <f>"송정지 9L1"</f>
        <v>송정지 9L1</v>
      </c>
      <c r="I4299" s="1" t="s">
        <v>8</v>
      </c>
      <c r="J4299" s="1" t="str">
        <f>"44/44"</f>
        <v>44/44</v>
      </c>
      <c r="K4299" s="1" t="str">
        <f>"2026-07-29 13:18:03"</f>
        <v>2026-07-29 13:18:03</v>
      </c>
      <c r="L4299" s="1" t="str">
        <f>"2018-04-18 10:11:09"</f>
        <v>2018-04-18 10:11:09</v>
      </c>
      <c r="M4299" s="1" t="s">
        <v>2</v>
      </c>
      <c r="N4299" s="1" t="s">
        <v>38</v>
      </c>
      <c r="O4299" s="1" t="s">
        <v>46</v>
      </c>
    </row>
    <row r="4300" spans="2:15" x14ac:dyDescent="0.3">
      <c r="B4300" s="1" t="s">
        <v>23</v>
      </c>
      <c r="C4300" s="1" t="str">
        <f t="shared" ref="C4300:C4320" si="245">"4차"</f>
        <v>4차</v>
      </c>
      <c r="D4300" s="1" t="str">
        <f>"0325Q67244"</f>
        <v>0325Q67244</v>
      </c>
      <c r="E4300" s="1" t="s">
        <v>10</v>
      </c>
      <c r="F4300" s="1" t="str">
        <f>"10.11.67.98"</f>
        <v>10.11.67.98</v>
      </c>
      <c r="G4300" s="1" t="str">
        <f>"0325Q672"</f>
        <v>0325Q672</v>
      </c>
      <c r="H4300" s="1" t="str">
        <f>"송정지 12L5"</f>
        <v>송정지 12L5</v>
      </c>
      <c r="I4300" s="1" t="s">
        <v>8</v>
      </c>
      <c r="J4300" s="1" t="str">
        <f>"46/46"</f>
        <v>46/46</v>
      </c>
      <c r="K4300" s="1" t="str">
        <f>"2026-07-29 13:18:02"</f>
        <v>2026-07-29 13:18:02</v>
      </c>
      <c r="L4300" s="1" t="str">
        <f>"2019-11-20 09:41:09"</f>
        <v>2019-11-20 09:41:09</v>
      </c>
      <c r="M4300" s="1" t="s">
        <v>2</v>
      </c>
      <c r="N4300" s="1" t="s">
        <v>38</v>
      </c>
      <c r="O4300" s="1" t="s">
        <v>46</v>
      </c>
    </row>
    <row r="4301" spans="2:15" x14ac:dyDescent="0.3">
      <c r="B4301" s="1" t="s">
        <v>23</v>
      </c>
      <c r="C4301" s="1" t="str">
        <f t="shared" si="245"/>
        <v>4차</v>
      </c>
      <c r="D4301" s="1" t="str">
        <f>"0325Q68344"</f>
        <v>0325Q68344</v>
      </c>
      <c r="E4301" s="1" t="s">
        <v>10</v>
      </c>
      <c r="F4301" s="1" t="str">
        <f>"10.11.67.90"</f>
        <v>10.11.67.90</v>
      </c>
      <c r="G4301" s="1" t="str">
        <f>"0325Q683"</f>
        <v>0325Q683</v>
      </c>
      <c r="H4301" s="1" t="str">
        <f>"송정지 12L3A1"</f>
        <v>송정지 12L3A1</v>
      </c>
      <c r="I4301" s="1" t="s">
        <v>8</v>
      </c>
      <c r="J4301" s="1" t="str">
        <f>"82/83"</f>
        <v>82/83</v>
      </c>
      <c r="K4301" s="1" t="str">
        <f>"2026-07-29 13:18:03"</f>
        <v>2026-07-29 13:18:03</v>
      </c>
      <c r="L4301" s="1" t="str">
        <f>"2019-11-18 10:07:24"</f>
        <v>2019-11-18 10:07:24</v>
      </c>
      <c r="M4301" s="1" t="s">
        <v>2</v>
      </c>
      <c r="N4301" s="1" t="s">
        <v>38</v>
      </c>
      <c r="O4301" s="1" t="s">
        <v>46</v>
      </c>
    </row>
    <row r="4302" spans="2:15" x14ac:dyDescent="0.3">
      <c r="B4302" s="1" t="s">
        <v>23</v>
      </c>
      <c r="C4302" s="1" t="str">
        <f t="shared" si="245"/>
        <v>4차</v>
      </c>
      <c r="D4302" s="1" t="str">
        <f>"0325Q71245"</f>
        <v>0325Q71245</v>
      </c>
      <c r="E4302" s="1" t="s">
        <v>10</v>
      </c>
      <c r="F4302" s="1" t="str">
        <f>"10.14.8.4"</f>
        <v>10.14.8.4</v>
      </c>
      <c r="G4302" s="1" t="str">
        <f>"0325Q712"</f>
        <v>0325Q712</v>
      </c>
      <c r="H4302" s="1" t="str">
        <f>"광나루 39-1"</f>
        <v>광나루 39-1</v>
      </c>
      <c r="I4302" s="1" t="s">
        <v>17</v>
      </c>
      <c r="J4302" s="1" t="str">
        <f>"14/14"</f>
        <v>14/14</v>
      </c>
      <c r="K4302" s="1" t="str">
        <f>"2026-07-29 13:18:03"</f>
        <v>2026-07-29 13:18:03</v>
      </c>
      <c r="L4302" s="1" t="str">
        <f>"2021-06-28 09:00:15"</f>
        <v>2021-06-28 09:00:15</v>
      </c>
      <c r="M4302" s="1" t="s">
        <v>3</v>
      </c>
      <c r="N4302" s="1" t="s">
        <v>38</v>
      </c>
      <c r="O4302" s="1" t="s">
        <v>46</v>
      </c>
    </row>
    <row r="4303" spans="2:15" x14ac:dyDescent="0.3">
      <c r="B4303" s="1" t="s">
        <v>23</v>
      </c>
      <c r="C4303" s="1" t="str">
        <f t="shared" si="245"/>
        <v>4차</v>
      </c>
      <c r="D4303" s="1" t="str">
        <f>"0325Q73244"</f>
        <v>0325Q73244</v>
      </c>
      <c r="E4303" s="1" t="s">
        <v>10</v>
      </c>
      <c r="F4303" s="1" t="str">
        <f>"10.11.68.146"</f>
        <v>10.11.68.146</v>
      </c>
      <c r="G4303" s="1" t="str">
        <f>"0325Q732"</f>
        <v>0325Q732</v>
      </c>
      <c r="H4303" s="1" t="str">
        <f>"송정지 6R3"</f>
        <v>송정지 6R3</v>
      </c>
      <c r="I4303" s="1" t="s">
        <v>8</v>
      </c>
      <c r="J4303" s="1" t="str">
        <f>"33/33"</f>
        <v>33/33</v>
      </c>
      <c r="K4303" s="1" t="str">
        <f>"2026-07-29 13:18:03"</f>
        <v>2026-07-29 13:18:03</v>
      </c>
      <c r="L4303" s="1" t="str">
        <f>"2019-10-29 10:53:05"</f>
        <v>2019-10-29 10:53:05</v>
      </c>
      <c r="M4303" s="1" t="s">
        <v>2</v>
      </c>
      <c r="N4303" s="1" t="s">
        <v>38</v>
      </c>
      <c r="O4303" s="1" t="s">
        <v>46</v>
      </c>
    </row>
    <row r="4304" spans="2:15" x14ac:dyDescent="0.3">
      <c r="B4304" s="1" t="s">
        <v>23</v>
      </c>
      <c r="C4304" s="1" t="str">
        <f t="shared" si="245"/>
        <v>4차</v>
      </c>
      <c r="D4304" s="1" t="str">
        <f>"0325Q74144"</f>
        <v>0325Q74144</v>
      </c>
      <c r="E4304" s="1" t="s">
        <v>10</v>
      </c>
      <c r="F4304" s="1" t="str">
        <f>"10.11.68.178"</f>
        <v>10.11.68.178</v>
      </c>
      <c r="G4304" s="1" t="str">
        <f>"0325Q741"</f>
        <v>0325Q741</v>
      </c>
      <c r="H4304" s="1" t="str">
        <f>"송정지 9R1R1"</f>
        <v>송정지 9R1R1</v>
      </c>
      <c r="I4304" s="1" t="s">
        <v>8</v>
      </c>
      <c r="J4304" s="1" t="str">
        <f>"25/25"</f>
        <v>25/25</v>
      </c>
      <c r="K4304" s="1" t="str">
        <f>"2026-07-29 13:18:06"</f>
        <v>2026-07-29 13:18:06</v>
      </c>
      <c r="L4304" s="1" t="str">
        <f>"2020-02-10 18:37:57"</f>
        <v>2020-02-10 18:37:57</v>
      </c>
      <c r="M4304" s="1" t="s">
        <v>2</v>
      </c>
      <c r="N4304" s="1" t="s">
        <v>38</v>
      </c>
      <c r="O4304" s="1" t="s">
        <v>46</v>
      </c>
    </row>
    <row r="4305" spans="2:15" x14ac:dyDescent="0.3">
      <c r="B4305" s="1" t="s">
        <v>23</v>
      </c>
      <c r="C4305" s="1" t="str">
        <f t="shared" si="245"/>
        <v>4차</v>
      </c>
      <c r="D4305" s="1" t="str">
        <f>"0325Q74244"</f>
        <v>0325Q74244</v>
      </c>
      <c r="E4305" s="1" t="s">
        <v>10</v>
      </c>
      <c r="F4305" s="1" t="str">
        <f>"10.11.68.138"</f>
        <v>10.11.68.138</v>
      </c>
      <c r="G4305" s="1" t="str">
        <f>"0325Q742"</f>
        <v>0325Q742</v>
      </c>
      <c r="H4305" s="1" t="str">
        <f>"송정지 6R2L1"</f>
        <v>송정지 6R2L1</v>
      </c>
      <c r="I4305" s="1" t="s">
        <v>8</v>
      </c>
      <c r="J4305" s="1" t="str">
        <f>"45/45"</f>
        <v>45/45</v>
      </c>
      <c r="K4305" s="1" t="str">
        <f>"2026-07-29 13:18:02"</f>
        <v>2026-07-29 13:18:02</v>
      </c>
      <c r="L4305" s="1" t="str">
        <f>"2019-12-24 15:27:01"</f>
        <v>2019-12-24 15:27:01</v>
      </c>
      <c r="M4305" s="1" t="s">
        <v>2</v>
      </c>
      <c r="N4305" s="1" t="s">
        <v>38</v>
      </c>
      <c r="O4305" s="1" t="s">
        <v>46</v>
      </c>
    </row>
    <row r="4306" spans="2:15" x14ac:dyDescent="0.3">
      <c r="B4306" s="1" t="s">
        <v>23</v>
      </c>
      <c r="C4306" s="1" t="str">
        <f t="shared" si="245"/>
        <v>4차</v>
      </c>
      <c r="D4306" s="1" t="str">
        <f>"0325Q75144"</f>
        <v>0325Q75144</v>
      </c>
      <c r="E4306" s="1" t="s">
        <v>10</v>
      </c>
      <c r="F4306" s="1" t="str">
        <f>"10.11.68.162"</f>
        <v>10.11.68.162</v>
      </c>
      <c r="G4306" s="1" t="str">
        <f>"0325Q751"</f>
        <v>0325Q751</v>
      </c>
      <c r="H4306" s="1" t="str">
        <f>"송정지 9"</f>
        <v>송정지 9</v>
      </c>
      <c r="I4306" s="1" t="s">
        <v>8</v>
      </c>
      <c r="J4306" s="1" t="str">
        <f>"43/43"</f>
        <v>43/43</v>
      </c>
      <c r="K4306" s="1" t="str">
        <f>"2026-07-29 13:18:03"</f>
        <v>2026-07-29 13:18:03</v>
      </c>
      <c r="L4306" s="1" t="str">
        <f>"2019-10-29 10:53:05"</f>
        <v>2019-10-29 10:53:05</v>
      </c>
      <c r="M4306" s="1" t="s">
        <v>2</v>
      </c>
      <c r="N4306" s="1" t="s">
        <v>38</v>
      </c>
      <c r="O4306" s="1" t="s">
        <v>46</v>
      </c>
    </row>
    <row r="4307" spans="2:15" x14ac:dyDescent="0.3">
      <c r="B4307" s="1" t="s">
        <v>23</v>
      </c>
      <c r="C4307" s="1" t="str">
        <f t="shared" si="245"/>
        <v>4차</v>
      </c>
      <c r="D4307" s="1" t="str">
        <f>"0325Q75244"</f>
        <v>0325Q75244</v>
      </c>
      <c r="E4307" s="1" t="s">
        <v>10</v>
      </c>
      <c r="F4307" s="1" t="str">
        <f>"10.11.68.170"</f>
        <v>10.11.68.170</v>
      </c>
      <c r="G4307" s="1" t="str">
        <f>"0325Q752"</f>
        <v>0325Q752</v>
      </c>
      <c r="H4307" s="1" t="str">
        <f>"송정지 9R1"</f>
        <v>송정지 9R1</v>
      </c>
      <c r="I4307" s="1" t="s">
        <v>8</v>
      </c>
      <c r="J4307" s="1" t="str">
        <f>"56/57"</f>
        <v>56/57</v>
      </c>
      <c r="K4307" s="1" t="str">
        <f>"2026-07-29 13:18:02"</f>
        <v>2026-07-29 13:18:02</v>
      </c>
      <c r="L4307" s="1" t="str">
        <f>"2019-10-29 10:53:05"</f>
        <v>2019-10-29 10:53:05</v>
      </c>
      <c r="M4307" s="1" t="s">
        <v>2</v>
      </c>
      <c r="N4307" s="1" t="s">
        <v>38</v>
      </c>
      <c r="O4307" s="1" t="s">
        <v>46</v>
      </c>
    </row>
    <row r="4308" spans="2:15" x14ac:dyDescent="0.3">
      <c r="B4308" s="1" t="s">
        <v>23</v>
      </c>
      <c r="C4308" s="1" t="str">
        <f t="shared" si="245"/>
        <v>4차</v>
      </c>
      <c r="D4308" s="1" t="str">
        <f>"0325Q76144"</f>
        <v>0325Q76144</v>
      </c>
      <c r="E4308" s="1" t="s">
        <v>10</v>
      </c>
      <c r="F4308" s="1" t="str">
        <f>"10.11.67.58"</f>
        <v>10.11.67.58</v>
      </c>
      <c r="G4308" s="1" t="str">
        <f>"0325Q761"</f>
        <v>0325Q761</v>
      </c>
      <c r="H4308" s="1" t="str">
        <f>"송정지 10"</f>
        <v>송정지 10</v>
      </c>
      <c r="I4308" s="1" t="s">
        <v>8</v>
      </c>
      <c r="J4308" s="1" t="str">
        <f>"40/40"</f>
        <v>40/40</v>
      </c>
      <c r="K4308" s="1" t="str">
        <f>"2026-07-29 13:18:03"</f>
        <v>2026-07-29 13:18:03</v>
      </c>
      <c r="L4308" s="1" t="str">
        <f>"2019-11-20 09:26:40"</f>
        <v>2019-11-20 09:26:40</v>
      </c>
      <c r="M4308" s="1" t="s">
        <v>2</v>
      </c>
      <c r="N4308" s="1" t="s">
        <v>38</v>
      </c>
      <c r="O4308" s="1" t="s">
        <v>46</v>
      </c>
    </row>
    <row r="4309" spans="2:15" x14ac:dyDescent="0.3">
      <c r="B4309" s="1" t="s">
        <v>23</v>
      </c>
      <c r="C4309" s="1" t="str">
        <f t="shared" si="245"/>
        <v>4차</v>
      </c>
      <c r="D4309" s="1" t="str">
        <f>"0325Q77144"</f>
        <v>0325Q77144</v>
      </c>
      <c r="E4309" s="1" t="s">
        <v>10</v>
      </c>
      <c r="F4309" s="1" t="str">
        <f>"10.11.67.66"</f>
        <v>10.11.67.66</v>
      </c>
      <c r="G4309" s="1" t="str">
        <f>"0325Q771"</f>
        <v>0325Q771</v>
      </c>
      <c r="H4309" s="1" t="str">
        <f>"송정지 12L1"</f>
        <v>송정지 12L1</v>
      </c>
      <c r="I4309" s="1" t="s">
        <v>8</v>
      </c>
      <c r="J4309" s="1" t="str">
        <f>"41/41"</f>
        <v>41/41</v>
      </c>
      <c r="K4309" s="1" t="str">
        <f>"2026-07-29 13:18:02"</f>
        <v>2026-07-29 13:18:02</v>
      </c>
      <c r="L4309" s="1" t="str">
        <f>"2019-12-11 15:45:19"</f>
        <v>2019-12-11 15:45:19</v>
      </c>
      <c r="M4309" s="1" t="s">
        <v>2</v>
      </c>
      <c r="N4309" s="1" t="s">
        <v>38</v>
      </c>
      <c r="O4309" s="1" t="s">
        <v>46</v>
      </c>
    </row>
    <row r="4310" spans="2:15" x14ac:dyDescent="0.3">
      <c r="B4310" s="1" t="s">
        <v>23</v>
      </c>
      <c r="C4310" s="1" t="str">
        <f t="shared" si="245"/>
        <v>4차</v>
      </c>
      <c r="D4310" s="1" t="str">
        <f>"0325Q78144"</f>
        <v>0325Q78144</v>
      </c>
      <c r="E4310" s="1" t="s">
        <v>10</v>
      </c>
      <c r="F4310" s="1" t="str">
        <f>"10.11.67.74"</f>
        <v>10.11.67.74</v>
      </c>
      <c r="G4310" s="1" t="str">
        <f>"0325Q781"</f>
        <v>0325Q781</v>
      </c>
      <c r="H4310" s="1" t="str">
        <f>"송정지 12L2"</f>
        <v>송정지 12L2</v>
      </c>
      <c r="I4310" s="1" t="s">
        <v>8</v>
      </c>
      <c r="J4310" s="1" t="str">
        <f>"29/29"</f>
        <v>29/29</v>
      </c>
      <c r="K4310" s="1" t="str">
        <f>"2026-07-29 13:18:02"</f>
        <v>2026-07-29 13:18:02</v>
      </c>
      <c r="L4310" s="1" t="str">
        <f>"2019-12-11 15:17:21"</f>
        <v>2019-12-11 15:17:21</v>
      </c>
      <c r="M4310" s="1" t="s">
        <v>2</v>
      </c>
      <c r="N4310" s="1" t="s">
        <v>38</v>
      </c>
      <c r="O4310" s="1" t="s">
        <v>46</v>
      </c>
    </row>
    <row r="4311" spans="2:15" x14ac:dyDescent="0.3">
      <c r="B4311" s="1" t="s">
        <v>23</v>
      </c>
      <c r="C4311" s="1" t="str">
        <f t="shared" si="245"/>
        <v>4차</v>
      </c>
      <c r="D4311" s="1" t="str">
        <f>"0325Q79144"</f>
        <v>0325Q79144</v>
      </c>
      <c r="E4311" s="1" t="s">
        <v>10</v>
      </c>
      <c r="F4311" s="1" t="str">
        <f>"10.11.67.130"</f>
        <v>10.11.67.130</v>
      </c>
      <c r="G4311" s="1" t="str">
        <f>"0325Q791"</f>
        <v>0325Q791</v>
      </c>
      <c r="H4311" s="1" t="str">
        <f>"송정지 13L3"</f>
        <v>송정지 13L3</v>
      </c>
      <c r="I4311" s="1" t="s">
        <v>8</v>
      </c>
      <c r="J4311" s="1" t="str">
        <f>"48/48"</f>
        <v>48/48</v>
      </c>
      <c r="K4311" s="1" t="str">
        <f>"2026-07-29 13:18:02"</f>
        <v>2026-07-29 13:18:02</v>
      </c>
      <c r="L4311" s="1" t="str">
        <f>"2019-12-11 15:37:32"</f>
        <v>2019-12-11 15:37:32</v>
      </c>
      <c r="M4311" s="1" t="s">
        <v>2</v>
      </c>
      <c r="N4311" s="1" t="s">
        <v>38</v>
      </c>
      <c r="O4311" s="1" t="s">
        <v>46</v>
      </c>
    </row>
    <row r="4312" spans="2:15" x14ac:dyDescent="0.3">
      <c r="B4312" s="1" t="s">
        <v>23</v>
      </c>
      <c r="C4312" s="1" t="str">
        <f t="shared" si="245"/>
        <v>4차</v>
      </c>
      <c r="D4312" s="1" t="str">
        <f>"0325Q81139"</f>
        <v>0325Q81139</v>
      </c>
      <c r="E4312" s="1" t="s">
        <v>10</v>
      </c>
      <c r="F4312" s="1" t="str">
        <f>"10.12.134.254"</f>
        <v>10.12.134.254</v>
      </c>
      <c r="G4312" s="1" t="str">
        <f>"0325Q811"</f>
        <v>0325Q811</v>
      </c>
      <c r="H4312" s="1" t="str">
        <f>"광나루 52-5"</f>
        <v>광나루 52-5</v>
      </c>
      <c r="I4312" s="1" t="s">
        <v>17</v>
      </c>
      <c r="J4312" s="1" t="str">
        <f>"4/4"</f>
        <v>4/4</v>
      </c>
      <c r="K4312" s="1" t="str">
        <f>"2026-07-29 13:18:04"</f>
        <v>2026-07-29 13:18:04</v>
      </c>
      <c r="L4312" s="1" t="str">
        <f>"2018-05-14 14:12:57"</f>
        <v>2018-05-14 14:12:57</v>
      </c>
      <c r="M4312" s="1" t="s">
        <v>0</v>
      </c>
      <c r="N4312" s="1" t="s">
        <v>38</v>
      </c>
      <c r="O4312" s="1" t="s">
        <v>46</v>
      </c>
    </row>
    <row r="4313" spans="2:15" x14ac:dyDescent="0.3">
      <c r="B4313" s="1" t="s">
        <v>23</v>
      </c>
      <c r="C4313" s="1" t="str">
        <f t="shared" si="245"/>
        <v>4차</v>
      </c>
      <c r="D4313" s="1" t="str">
        <f>"0325Q84144"</f>
        <v>0325Q84144</v>
      </c>
      <c r="E4313" s="1" t="s">
        <v>10</v>
      </c>
      <c r="F4313" s="1" t="str">
        <f>"10.11.68.186"</f>
        <v>10.11.68.186</v>
      </c>
      <c r="G4313" s="1" t="str">
        <f>"0325Q841"</f>
        <v>0325Q841</v>
      </c>
      <c r="H4313" s="1" t="str">
        <f>"송정지 9R3"</f>
        <v>송정지 9R3</v>
      </c>
      <c r="I4313" s="1" t="s">
        <v>8</v>
      </c>
      <c r="J4313" s="1" t="str">
        <f>"20/20"</f>
        <v>20/20</v>
      </c>
      <c r="K4313" s="1" t="str">
        <f>"2026-07-29 13:18:02"</f>
        <v>2026-07-29 13:18:02</v>
      </c>
      <c r="L4313" s="1" t="str">
        <f>"2019-10-29 10:53:05"</f>
        <v>2019-10-29 10:53:05</v>
      </c>
      <c r="M4313" s="1" t="s">
        <v>2</v>
      </c>
      <c r="N4313" s="1" t="s">
        <v>38</v>
      </c>
      <c r="O4313" s="1" t="s">
        <v>46</v>
      </c>
    </row>
    <row r="4314" spans="2:15" x14ac:dyDescent="0.3">
      <c r="B4314" s="1" t="s">
        <v>23</v>
      </c>
      <c r="C4314" s="1" t="str">
        <f t="shared" si="245"/>
        <v>4차</v>
      </c>
      <c r="D4314" s="1" t="str">
        <f>"0325Q86244"</f>
        <v>0325Q86244</v>
      </c>
      <c r="E4314" s="1" t="s">
        <v>10</v>
      </c>
      <c r="F4314" s="1" t="str">
        <f>"10.11.77.58"</f>
        <v>10.11.77.58</v>
      </c>
      <c r="G4314" s="1" t="str">
        <f>"0325Q862"</f>
        <v>0325Q862</v>
      </c>
      <c r="H4314" s="1" t="str">
        <f>"송정지 9R1L2"</f>
        <v>송정지 9R1L2</v>
      </c>
      <c r="I4314" s="1" t="s">
        <v>8</v>
      </c>
      <c r="J4314" s="1" t="str">
        <f>"25/25"</f>
        <v>25/25</v>
      </c>
      <c r="K4314" s="1" t="str">
        <f>"2026-07-29 13:18:02"</f>
        <v>2026-07-29 13:18:02</v>
      </c>
      <c r="L4314" s="1" t="str">
        <f>"2019-11-04 19:43:05"</f>
        <v>2019-11-04 19:43:05</v>
      </c>
      <c r="M4314" s="1" t="s">
        <v>2</v>
      </c>
      <c r="N4314" s="1" t="s">
        <v>38</v>
      </c>
      <c r="O4314" s="1" t="s">
        <v>46</v>
      </c>
    </row>
    <row r="4315" spans="2:15" x14ac:dyDescent="0.3">
      <c r="B4315" s="1" t="s">
        <v>23</v>
      </c>
      <c r="C4315" s="1" t="str">
        <f t="shared" si="245"/>
        <v>4차</v>
      </c>
      <c r="D4315" s="1" t="str">
        <f>"0325Q86344"</f>
        <v>0325Q86344</v>
      </c>
      <c r="E4315" s="1" t="s">
        <v>10</v>
      </c>
      <c r="F4315" s="1" t="str">
        <f>"10.11.67.114"</f>
        <v>10.11.67.114</v>
      </c>
      <c r="G4315" s="1" t="str">
        <f>"0325Q863"</f>
        <v>0325Q863</v>
      </c>
      <c r="H4315" s="1" t="str">
        <f>"송정지 12R5"</f>
        <v>송정지 12R5</v>
      </c>
      <c r="I4315" s="1" t="s">
        <v>8</v>
      </c>
      <c r="J4315" s="1" t="str">
        <f>"42/42"</f>
        <v>42/42</v>
      </c>
      <c r="K4315" s="1" t="str">
        <f>"2026-07-29 13:18:02"</f>
        <v>2026-07-29 13:18:02</v>
      </c>
      <c r="L4315" s="1" t="str">
        <f>"2019-12-11 15:36:07"</f>
        <v>2019-12-11 15:36:07</v>
      </c>
      <c r="M4315" s="1" t="s">
        <v>2</v>
      </c>
      <c r="N4315" s="1" t="s">
        <v>38</v>
      </c>
      <c r="O4315" s="1" t="s">
        <v>46</v>
      </c>
    </row>
    <row r="4316" spans="2:15" x14ac:dyDescent="0.3">
      <c r="B4316" s="1" t="s">
        <v>23</v>
      </c>
      <c r="C4316" s="1" t="str">
        <f t="shared" si="245"/>
        <v>4차</v>
      </c>
      <c r="D4316" s="1" t="str">
        <f>"0325Q87344"</f>
        <v>0325Q87344</v>
      </c>
      <c r="E4316" s="1" t="s">
        <v>10</v>
      </c>
      <c r="F4316" s="1" t="str">
        <f>"10.11.67.106"</f>
        <v>10.11.67.106</v>
      </c>
      <c r="G4316" s="1" t="str">
        <f>"0325Q873"</f>
        <v>0325Q873</v>
      </c>
      <c r="H4316" s="1" t="str">
        <f>"송정지 12R1"</f>
        <v>송정지 12R1</v>
      </c>
      <c r="I4316" s="1" t="s">
        <v>8</v>
      </c>
      <c r="J4316" s="1" t="str">
        <f>"77/77"</f>
        <v>77/77</v>
      </c>
      <c r="K4316" s="1" t="str">
        <f>"2026-07-29 13:18:03"</f>
        <v>2026-07-29 13:18:03</v>
      </c>
      <c r="L4316" s="1" t="str">
        <f>"2019-10-29 10:53:05"</f>
        <v>2019-10-29 10:53:05</v>
      </c>
      <c r="M4316" s="1" t="s">
        <v>2</v>
      </c>
      <c r="N4316" s="1" t="s">
        <v>38</v>
      </c>
      <c r="O4316" s="1" t="s">
        <v>46</v>
      </c>
    </row>
    <row r="4317" spans="2:15" x14ac:dyDescent="0.3">
      <c r="B4317" s="1" t="s">
        <v>23</v>
      </c>
      <c r="C4317" s="1" t="str">
        <f t="shared" si="245"/>
        <v>4차</v>
      </c>
      <c r="D4317" s="1" t="str">
        <f>"0325Q88144"</f>
        <v>0325Q88144</v>
      </c>
      <c r="E4317" s="1" t="s">
        <v>10</v>
      </c>
      <c r="F4317" s="1" t="str">
        <f>"10.11.67.122"</f>
        <v>10.11.67.122</v>
      </c>
      <c r="G4317" s="1" t="str">
        <f>"0325Q881"</f>
        <v>0325Q881</v>
      </c>
      <c r="H4317" s="1" t="str">
        <f>"송정지 13"</f>
        <v>송정지 13</v>
      </c>
      <c r="I4317" s="1" t="s">
        <v>8</v>
      </c>
      <c r="J4317" s="1" t="str">
        <f>"25/25"</f>
        <v>25/25</v>
      </c>
      <c r="K4317" s="1" t="str">
        <f>"2026-07-29 13:18:03"</f>
        <v>2026-07-29 13:18:03</v>
      </c>
      <c r="L4317" s="1" t="str">
        <f>"2019-10-29 10:43:08"</f>
        <v>2019-10-29 10:43:08</v>
      </c>
      <c r="M4317" s="1" t="s">
        <v>2</v>
      </c>
      <c r="N4317" s="1" t="s">
        <v>38</v>
      </c>
      <c r="O4317" s="1" t="s">
        <v>46</v>
      </c>
    </row>
    <row r="4318" spans="2:15" x14ac:dyDescent="0.3">
      <c r="B4318" s="1" t="s">
        <v>23</v>
      </c>
      <c r="C4318" s="1" t="str">
        <f t="shared" si="245"/>
        <v>4차</v>
      </c>
      <c r="D4318" s="1" t="str">
        <f>"0325Q89144"</f>
        <v>0325Q89144</v>
      </c>
      <c r="E4318" s="1" t="s">
        <v>10</v>
      </c>
      <c r="F4318" s="1" t="str">
        <f>"10.11.67.146"</f>
        <v>10.11.67.146</v>
      </c>
      <c r="G4318" s="1" t="str">
        <f>"0325Q891"</f>
        <v>0325Q891</v>
      </c>
      <c r="H4318" s="1" t="str">
        <f>"송정지 15L2"</f>
        <v>송정지 15L2</v>
      </c>
      <c r="I4318" s="1" t="s">
        <v>8</v>
      </c>
      <c r="J4318" s="1" t="str">
        <f>"31/31"</f>
        <v>31/31</v>
      </c>
      <c r="K4318" s="1" t="str">
        <f>"2026-07-29 13:18:03"</f>
        <v>2026-07-29 13:18:03</v>
      </c>
      <c r="L4318" s="1" t="str">
        <f>"2019-10-29 10:53:05"</f>
        <v>2019-10-29 10:53:05</v>
      </c>
      <c r="M4318" s="1" t="s">
        <v>2</v>
      </c>
      <c r="N4318" s="1" t="s">
        <v>38</v>
      </c>
      <c r="O4318" s="1" t="s">
        <v>46</v>
      </c>
    </row>
    <row r="4319" spans="2:15" x14ac:dyDescent="0.3">
      <c r="B4319" s="1" t="s">
        <v>23</v>
      </c>
      <c r="C4319" s="1" t="str">
        <f t="shared" si="245"/>
        <v>4차</v>
      </c>
      <c r="D4319" s="1" t="str">
        <f>"0325Q90239"</f>
        <v>0325Q90239</v>
      </c>
      <c r="E4319" s="1" t="s">
        <v>10</v>
      </c>
      <c r="F4319" s="1" t="str">
        <f>"10.14.8.25"</f>
        <v>10.14.8.25</v>
      </c>
      <c r="G4319" s="1" t="str">
        <f>"0325Q902"</f>
        <v>0325Q902</v>
      </c>
      <c r="H4319" s="1" t="str">
        <f>"동이로 45-1"</f>
        <v>동이로 45-1</v>
      </c>
      <c r="I4319" s="1" t="s">
        <v>17</v>
      </c>
      <c r="J4319" s="1" t="str">
        <f>"5/6"</f>
        <v>5/6</v>
      </c>
      <c r="K4319" s="1" t="str">
        <f>"2026-07-29 13:18:04"</f>
        <v>2026-07-29 13:18:04</v>
      </c>
      <c r="L4319" s="1" t="str">
        <f>"2018-05-15 11:09:56"</f>
        <v>2018-05-15 11:09:56</v>
      </c>
      <c r="M4319" s="1" t="s">
        <v>3</v>
      </c>
      <c r="N4319" s="1" t="s">
        <v>38</v>
      </c>
      <c r="O4319" s="1" t="s">
        <v>46</v>
      </c>
    </row>
    <row r="4320" spans="2:15" x14ac:dyDescent="0.3">
      <c r="B4320" s="1" t="s">
        <v>23</v>
      </c>
      <c r="C4320" s="1" t="str">
        <f t="shared" si="245"/>
        <v>4차</v>
      </c>
      <c r="D4320" s="1" t="str">
        <f>"0325Q91139"</f>
        <v>0325Q91139</v>
      </c>
      <c r="E4320" s="1" t="s">
        <v>14</v>
      </c>
      <c r="F4320" s="1" t="str">
        <f>"10.12.134.218"</f>
        <v>10.12.134.218</v>
      </c>
      <c r="G4320" s="1" t="str">
        <f>"0325Q911"</f>
        <v>0325Q911</v>
      </c>
      <c r="H4320" s="1" t="str">
        <f>"광나루 52-4"</f>
        <v>광나루 52-4</v>
      </c>
      <c r="I4320" s="1" t="s">
        <v>17</v>
      </c>
      <c r="J4320" s="1" t="str">
        <f>"0/0"</f>
        <v>0/0</v>
      </c>
      <c r="K4320" s="1" t="str">
        <f>"2026-06-10 07:18:02"</f>
        <v>2026-06-10 07:18:02</v>
      </c>
      <c r="L4320" s="1" t="str">
        <f>"2018-05-15 08:04:10"</f>
        <v>2018-05-15 08:04:10</v>
      </c>
      <c r="M4320" s="1" t="s">
        <v>0</v>
      </c>
      <c r="N4320" s="1" t="s">
        <v>39</v>
      </c>
      <c r="O4320" s="1" t="s">
        <v>46</v>
      </c>
    </row>
    <row r="4321" spans="2:15" x14ac:dyDescent="0.3">
      <c r="B4321" s="1" t="s">
        <v>23</v>
      </c>
      <c r="C4321" s="1" t="str">
        <f>"3차"</f>
        <v>3차</v>
      </c>
      <c r="D4321" s="1" t="str">
        <f>"0325Q94239"</f>
        <v>0325Q94239</v>
      </c>
      <c r="E4321" s="1" t="s">
        <v>10</v>
      </c>
      <c r="F4321" s="1" t="str">
        <f>"10.11.81.186"</f>
        <v>10.11.81.186</v>
      </c>
      <c r="G4321" s="1" t="str">
        <f>"0325Q942"</f>
        <v>0325Q942</v>
      </c>
      <c r="H4321" s="1" t="str">
        <f>"화동간 72"</f>
        <v>화동간 72</v>
      </c>
      <c r="I4321" s="1" t="s">
        <v>8</v>
      </c>
      <c r="J4321" s="1" t="str">
        <f>"15/15"</f>
        <v>15/15</v>
      </c>
      <c r="K4321" s="1" t="str">
        <f>"2026-07-29 13:18:02"</f>
        <v>2026-07-29 13:18:02</v>
      </c>
      <c r="L4321" s="1" t="str">
        <f>"2018-10-04 14:08:43"</f>
        <v>2018-10-04 14:08:43</v>
      </c>
      <c r="M4321" s="1" t="s">
        <v>2</v>
      </c>
      <c r="N4321" s="1" t="s">
        <v>38</v>
      </c>
      <c r="O4321" s="1" t="s">
        <v>46</v>
      </c>
    </row>
    <row r="4322" spans="2:15" x14ac:dyDescent="0.3">
      <c r="B4322" s="1" t="s">
        <v>23</v>
      </c>
      <c r="C4322" s="1" t="str">
        <f>"4차"</f>
        <v>4차</v>
      </c>
      <c r="D4322" s="1" t="str">
        <f>"0325Q96544"</f>
        <v>0325Q96544</v>
      </c>
      <c r="E4322" s="1" t="s">
        <v>10</v>
      </c>
      <c r="F4322" s="1" t="str">
        <f>"10.11.77.26"</f>
        <v>10.11.77.26</v>
      </c>
      <c r="G4322" s="1" t="str">
        <f>"0325Q965"</f>
        <v>0325Q965</v>
      </c>
      <c r="H4322" s="1" t="str">
        <f>"송정지 12R4"</f>
        <v>송정지 12R4</v>
      </c>
      <c r="I4322" s="1" t="s">
        <v>8</v>
      </c>
      <c r="J4322" s="1" t="str">
        <f>"18/18"</f>
        <v>18/18</v>
      </c>
      <c r="K4322" s="1" t="str">
        <f>"2026-07-29 13:18:02"</f>
        <v>2026-07-29 13:18:02</v>
      </c>
      <c r="L4322" s="1" t="str">
        <f>"2019-12-11 15:42:46"</f>
        <v>2019-12-11 15:42:46</v>
      </c>
      <c r="M4322" s="1" t="s">
        <v>2</v>
      </c>
      <c r="N4322" s="1" t="s">
        <v>38</v>
      </c>
      <c r="O4322" s="1" t="s">
        <v>46</v>
      </c>
    </row>
    <row r="4323" spans="2:15" x14ac:dyDescent="0.3">
      <c r="B4323" s="1" t="s">
        <v>23</v>
      </c>
      <c r="C4323" s="1" t="str">
        <f>"3차"</f>
        <v>3차</v>
      </c>
      <c r="D4323" s="1" t="str">
        <f>"0325Q98339"</f>
        <v>0325Q98339</v>
      </c>
      <c r="E4323" s="1" t="s">
        <v>10</v>
      </c>
      <c r="F4323" s="1" t="str">
        <f>"10.11.81.194"</f>
        <v>10.11.81.194</v>
      </c>
      <c r="G4323" s="1" t="str">
        <f>"0325Q983"</f>
        <v>0325Q983</v>
      </c>
      <c r="H4323" s="1" t="str">
        <f>"송정지 14"</f>
        <v>송정지 14</v>
      </c>
      <c r="I4323" s="1" t="s">
        <v>8</v>
      </c>
      <c r="J4323" s="1" t="str">
        <f>"23/23"</f>
        <v>23/23</v>
      </c>
      <c r="K4323" s="1" t="str">
        <f>"2026-07-29 13:18:02"</f>
        <v>2026-07-29 13:18:02</v>
      </c>
      <c r="L4323" s="1" t="str">
        <f>"2018-04-17 18:15:44"</f>
        <v>2018-04-17 18:15:44</v>
      </c>
      <c r="M4323" s="1" t="s">
        <v>2</v>
      </c>
      <c r="N4323" s="1" t="s">
        <v>38</v>
      </c>
      <c r="O4323" s="1" t="s">
        <v>46</v>
      </c>
    </row>
    <row r="4324" spans="2:15" x14ac:dyDescent="0.3">
      <c r="B4324" s="1" t="s">
        <v>23</v>
      </c>
      <c r="C4324" s="1" t="str">
        <f t="shared" ref="C4324:C4335" si="246">"4차"</f>
        <v>4차</v>
      </c>
      <c r="D4324" s="1" t="str">
        <f>"0325Q99344"</f>
        <v>0325Q99344</v>
      </c>
      <c r="E4324" s="1" t="s">
        <v>10</v>
      </c>
      <c r="F4324" s="1" t="str">
        <f>"10.11.67.138"</f>
        <v>10.11.67.138</v>
      </c>
      <c r="G4324" s="1" t="str">
        <f>"0325Q993"</f>
        <v>0325Q993</v>
      </c>
      <c r="H4324" s="1" t="str">
        <f>"송정지 15"</f>
        <v>송정지 15</v>
      </c>
      <c r="I4324" s="1" t="s">
        <v>8</v>
      </c>
      <c r="J4324" s="1" t="str">
        <f>"54/60"</f>
        <v>54/60</v>
      </c>
      <c r="K4324" s="1" t="str">
        <f>"2026-07-29 13:18:03"</f>
        <v>2026-07-29 13:18:03</v>
      </c>
      <c r="L4324" s="1" t="str">
        <f>"2019-10-29 10:43:05"</f>
        <v>2019-10-29 10:43:05</v>
      </c>
      <c r="M4324" s="1" t="s">
        <v>2</v>
      </c>
      <c r="N4324" s="1" t="s">
        <v>38</v>
      </c>
      <c r="O4324" s="1" t="s">
        <v>46</v>
      </c>
    </row>
    <row r="4325" spans="2:15" x14ac:dyDescent="0.3">
      <c r="B4325" s="1" t="s">
        <v>23</v>
      </c>
      <c r="C4325" s="1" t="str">
        <f t="shared" si="246"/>
        <v>4차</v>
      </c>
      <c r="D4325" s="1" t="str">
        <f>"0325R03441"</f>
        <v>0325R03441</v>
      </c>
      <c r="E4325" s="1" t="s">
        <v>14</v>
      </c>
      <c r="F4325" s="1" t="str">
        <f>"10.14.2.200"</f>
        <v>10.14.2.200</v>
      </c>
      <c r="G4325" s="1" t="str">
        <f>"0325R034"</f>
        <v>0325R034</v>
      </c>
      <c r="H4325" s="1" t="str">
        <f>"화성간 39R1H1"</f>
        <v>화성간 39R1H1</v>
      </c>
      <c r="I4325" s="1" t="s">
        <v>17</v>
      </c>
      <c r="J4325" s="1" t="str">
        <f>"0/0"</f>
        <v>0/0</v>
      </c>
      <c r="K4325" s="1" t="str">
        <f>"2026-07-29 13:18:03"</f>
        <v>2026-07-29 13:18:03</v>
      </c>
      <c r="L4325" s="1" t="str">
        <f>"2021-10-13 11:23:51"</f>
        <v>2021-10-13 11:23:51</v>
      </c>
      <c r="M4325" s="1" t="s">
        <v>3</v>
      </c>
      <c r="N4325" s="1" t="s">
        <v>38</v>
      </c>
      <c r="O4325" s="1" t="s">
        <v>44</v>
      </c>
    </row>
    <row r="4326" spans="2:15" x14ac:dyDescent="0.3">
      <c r="B4326" s="1" t="s">
        <v>23</v>
      </c>
      <c r="C4326" s="1" t="str">
        <f t="shared" si="246"/>
        <v>4차</v>
      </c>
      <c r="D4326" s="1" t="str">
        <f>"0325R06241"</f>
        <v>0325R06241</v>
      </c>
      <c r="E4326" s="1" t="s">
        <v>14</v>
      </c>
      <c r="F4326" s="1" t="str">
        <f>"10.14.6.42"</f>
        <v>10.14.6.42</v>
      </c>
      <c r="G4326" s="1" t="str">
        <f>"0325R062"</f>
        <v>0325R062</v>
      </c>
      <c r="H4326" s="1" t="str">
        <f>"화성간 39R7L1L2"</f>
        <v>화성간 39R7L1L2</v>
      </c>
      <c r="I4326" s="1" t="s">
        <v>17</v>
      </c>
      <c r="J4326" s="1" t="str">
        <f>"0/0"</f>
        <v>0/0</v>
      </c>
      <c r="K4326" s="1" t="str">
        <f>"2026-07-29 13:18:02"</f>
        <v>2026-07-29 13:18:02</v>
      </c>
      <c r="L4326" s="1" t="str">
        <f>"2021-07-14 11:03:47"</f>
        <v>2021-07-14 11:03:47</v>
      </c>
      <c r="M4326" s="1" t="s">
        <v>3</v>
      </c>
      <c r="N4326" s="1" t="s">
        <v>38</v>
      </c>
      <c r="O4326" s="1" t="s">
        <v>44</v>
      </c>
    </row>
    <row r="4327" spans="2:15" x14ac:dyDescent="0.3">
      <c r="B4327" s="1" t="s">
        <v>23</v>
      </c>
      <c r="C4327" s="1" t="str">
        <f t="shared" si="246"/>
        <v>4차</v>
      </c>
      <c r="D4327" s="1" t="str">
        <f>"0325R32241"</f>
        <v>0325R32241</v>
      </c>
      <c r="E4327" s="1" t="s">
        <v>10</v>
      </c>
      <c r="F4327" s="1" t="str">
        <f>"10.12.131.158"</f>
        <v>10.12.131.158</v>
      </c>
      <c r="G4327" s="1" t="str">
        <f>"0325R322"</f>
        <v>0325R322</v>
      </c>
      <c r="H4327" s="1" t="str">
        <f>"화성간 28L1"</f>
        <v>화성간 28L1</v>
      </c>
      <c r="I4327" s="1" t="s">
        <v>17</v>
      </c>
      <c r="J4327" s="1" t="str">
        <f>"8/8"</f>
        <v>8/8</v>
      </c>
      <c r="K4327" s="1" t="str">
        <f>"2026-07-29 13:18:03"</f>
        <v>2026-07-29 13:18:03</v>
      </c>
      <c r="L4327" s="1" t="str">
        <f>"2021-11-04 14:16:43"</f>
        <v>2021-11-04 14:16:43</v>
      </c>
      <c r="M4327" s="1" t="s">
        <v>0</v>
      </c>
      <c r="N4327" s="1" t="s">
        <v>38</v>
      </c>
      <c r="O4327" s="1" t="s">
        <v>46</v>
      </c>
    </row>
    <row r="4328" spans="2:15" x14ac:dyDescent="0.3">
      <c r="B4328" s="1" t="s">
        <v>23</v>
      </c>
      <c r="C4328" s="1" t="str">
        <f t="shared" si="246"/>
        <v>4차</v>
      </c>
      <c r="D4328" s="1" t="str">
        <f>"0325R57141"</f>
        <v>0325R57141</v>
      </c>
      <c r="E4328" s="1" t="s">
        <v>10</v>
      </c>
      <c r="F4328" s="1" t="str">
        <f>"10.14.1.111"</f>
        <v>10.14.1.111</v>
      </c>
      <c r="G4328" s="1" t="str">
        <f>"0325R571"</f>
        <v>0325R571</v>
      </c>
      <c r="H4328" s="1" t="str">
        <f>"화성간 29R13"</f>
        <v>화성간 29R13</v>
      </c>
      <c r="I4328" s="1" t="s">
        <v>17</v>
      </c>
      <c r="J4328" s="1" t="str">
        <f>"3/3"</f>
        <v>3/3</v>
      </c>
      <c r="K4328" s="1" t="str">
        <f>"2026-07-29 13:18:03"</f>
        <v>2026-07-29 13:18:03</v>
      </c>
      <c r="L4328" s="1" t="str">
        <f>"2021-10-13 10:42:25"</f>
        <v>2021-10-13 10:42:25</v>
      </c>
      <c r="M4328" s="1" t="s">
        <v>3</v>
      </c>
      <c r="N4328" s="1" t="s">
        <v>38</v>
      </c>
      <c r="O4328" s="1" t="s">
        <v>46</v>
      </c>
    </row>
    <row r="4329" spans="2:15" x14ac:dyDescent="0.3">
      <c r="B4329" s="1" t="s">
        <v>23</v>
      </c>
      <c r="C4329" s="1" t="str">
        <f t="shared" si="246"/>
        <v>4차</v>
      </c>
      <c r="D4329" s="1" t="str">
        <f>"0325S11244"</f>
        <v>0325S11244</v>
      </c>
      <c r="E4329" s="1" t="s">
        <v>14</v>
      </c>
      <c r="F4329" s="1" t="str">
        <f>"10.11.75.122"</f>
        <v>10.11.75.122</v>
      </c>
      <c r="G4329" s="1" t="str">
        <f>"0325S112"</f>
        <v>0325S112</v>
      </c>
      <c r="H4329" s="1" t="str">
        <f>"화성간 22L15R6A2"</f>
        <v>화성간 22L15R6A2</v>
      </c>
      <c r="I4329" s="1" t="s">
        <v>8</v>
      </c>
      <c r="J4329" s="1" t="str">
        <f>"0/0"</f>
        <v>0/0</v>
      </c>
      <c r="K4329" s="4" t="str">
        <f>"2026-07-29 13:18:03"</f>
        <v>2026-07-29 13:18:03</v>
      </c>
      <c r="L4329" s="1" t="str">
        <f>"2025-05-19 17:30:34"</f>
        <v>2025-05-19 17:30:34</v>
      </c>
      <c r="M4329" s="1" t="s">
        <v>2</v>
      </c>
      <c r="N4329" s="1" t="s">
        <v>38</v>
      </c>
      <c r="O4329" s="1" t="s">
        <v>44</v>
      </c>
    </row>
    <row r="4330" spans="2:15" x14ac:dyDescent="0.3">
      <c r="B4330" s="1" t="s">
        <v>23</v>
      </c>
      <c r="C4330" s="1" t="str">
        <f t="shared" si="246"/>
        <v>4차</v>
      </c>
      <c r="D4330" s="1" t="str">
        <f>"0325S21244"</f>
        <v>0325S21244</v>
      </c>
      <c r="E4330" s="1" t="s">
        <v>10</v>
      </c>
      <c r="F4330" s="1" t="str">
        <f>"10.11.75.130"</f>
        <v>10.11.75.130</v>
      </c>
      <c r="G4330" s="1" t="str">
        <f>"0325S212"</f>
        <v>0325S212</v>
      </c>
      <c r="H4330" s="1" t="str">
        <f>"화성간 22L15R6A1"</f>
        <v>화성간 22L15R6A1</v>
      </c>
      <c r="I4330" s="1" t="s">
        <v>8</v>
      </c>
      <c r="J4330" s="1" t="str">
        <f>"38/38"</f>
        <v>38/38</v>
      </c>
      <c r="K4330" s="1" t="str">
        <f>"2026-07-29 13:18:03"</f>
        <v>2026-07-29 13:18:03</v>
      </c>
      <c r="L4330" s="1" t="str">
        <f>"2019-11-18 23:38:37"</f>
        <v>2019-11-18 23:38:37</v>
      </c>
      <c r="M4330" s="1" t="s">
        <v>2</v>
      </c>
      <c r="N4330" s="1" t="s">
        <v>38</v>
      </c>
      <c r="O4330" s="1" t="s">
        <v>46</v>
      </c>
    </row>
    <row r="4331" spans="2:15" x14ac:dyDescent="0.3">
      <c r="B4331" s="1" t="s">
        <v>23</v>
      </c>
      <c r="C4331" s="1" t="str">
        <f t="shared" si="246"/>
        <v>4차</v>
      </c>
      <c r="D4331" s="1" t="str">
        <f>"0325S33339"</f>
        <v>0325S33339</v>
      </c>
      <c r="E4331" s="1" t="s">
        <v>10</v>
      </c>
      <c r="F4331" s="1" t="str">
        <f>"10.12.136.22"</f>
        <v>10.12.136.22</v>
      </c>
      <c r="G4331" s="1" t="str">
        <f>"0325S333"</f>
        <v>0325S333</v>
      </c>
      <c r="H4331" s="1" t="str">
        <f>"동이로 31-6"</f>
        <v>동이로 31-6</v>
      </c>
      <c r="I4331" s="1" t="s">
        <v>17</v>
      </c>
      <c r="J4331" s="1" t="str">
        <f>"6/6"</f>
        <v>6/6</v>
      </c>
      <c r="K4331" s="1" t="str">
        <f>"2026-07-29 13:18:04"</f>
        <v>2026-07-29 13:18:04</v>
      </c>
      <c r="L4331" s="1" t="str">
        <f>"2018-05-15 14:07:12"</f>
        <v>2018-05-15 14:07:12</v>
      </c>
      <c r="M4331" s="1" t="s">
        <v>0</v>
      </c>
      <c r="N4331" s="1" t="s">
        <v>38</v>
      </c>
      <c r="O4331" s="1" t="s">
        <v>46</v>
      </c>
    </row>
    <row r="4332" spans="2:15" x14ac:dyDescent="0.3">
      <c r="B4332" s="1" t="s">
        <v>23</v>
      </c>
      <c r="C4332" s="1" t="str">
        <f t="shared" si="246"/>
        <v>4차</v>
      </c>
      <c r="D4332" s="1" t="str">
        <f>"0325S40144"</f>
        <v>0325S40144</v>
      </c>
      <c r="E4332" s="1" t="s">
        <v>10</v>
      </c>
      <c r="F4332" s="1" t="str">
        <f>"10.11.73.106"</f>
        <v>10.11.73.106</v>
      </c>
      <c r="G4332" s="1" t="str">
        <f>"0325S401"</f>
        <v>0325S401</v>
      </c>
      <c r="H4332" s="1" t="str">
        <f>"초원간 60"</f>
        <v>초원간 60</v>
      </c>
      <c r="I4332" s="1" t="s">
        <v>8</v>
      </c>
      <c r="J4332" s="1" t="str">
        <f>"49/49"</f>
        <v>49/49</v>
      </c>
      <c r="K4332" s="1" t="str">
        <f>"2026-07-29 13:18:03"</f>
        <v>2026-07-29 13:18:03</v>
      </c>
      <c r="L4332" s="1" t="str">
        <f>"2021-07-28 16:34:49"</f>
        <v>2021-07-28 16:34:49</v>
      </c>
      <c r="M4332" s="1" t="s">
        <v>2</v>
      </c>
      <c r="N4332" s="1" t="s">
        <v>38</v>
      </c>
      <c r="O4332" s="1" t="s">
        <v>46</v>
      </c>
    </row>
    <row r="4333" spans="2:15" x14ac:dyDescent="0.3">
      <c r="B4333" s="1" t="s">
        <v>23</v>
      </c>
      <c r="C4333" s="1" t="str">
        <f t="shared" si="246"/>
        <v>4차</v>
      </c>
      <c r="D4333" s="1" t="str">
        <f>"0325S40244"</f>
        <v>0325S40244</v>
      </c>
      <c r="E4333" s="1" t="s">
        <v>10</v>
      </c>
      <c r="F4333" s="1" t="str">
        <f>"10.11.73.114"</f>
        <v>10.11.73.114</v>
      </c>
      <c r="G4333" s="1" t="str">
        <f>"0325S402"</f>
        <v>0325S402</v>
      </c>
      <c r="H4333" s="1" t="str">
        <f>"초원간 61"</f>
        <v>초원간 61</v>
      </c>
      <c r="I4333" s="1" t="s">
        <v>8</v>
      </c>
      <c r="J4333" s="1" t="str">
        <f>"25/25"</f>
        <v>25/25</v>
      </c>
      <c r="K4333" s="1" t="str">
        <f>"2026-07-29 13:18:03"</f>
        <v>2026-07-29 13:18:03</v>
      </c>
      <c r="L4333" s="1" t="str">
        <f>"2019-11-08 09:09:48"</f>
        <v>2019-11-08 09:09:48</v>
      </c>
      <c r="M4333" s="1" t="s">
        <v>2</v>
      </c>
      <c r="N4333" s="1" t="s">
        <v>38</v>
      </c>
      <c r="O4333" s="1" t="s">
        <v>46</v>
      </c>
    </row>
    <row r="4334" spans="2:15" x14ac:dyDescent="0.3">
      <c r="B4334" s="1" t="s">
        <v>23</v>
      </c>
      <c r="C4334" s="1" t="str">
        <f t="shared" si="246"/>
        <v>4차</v>
      </c>
      <c r="D4334" s="1" t="str">
        <f>"0325S43139"</f>
        <v>0325S43139</v>
      </c>
      <c r="E4334" s="1" t="s">
        <v>10</v>
      </c>
      <c r="F4334" s="1" t="str">
        <f>"10.12.135.35"</f>
        <v>10.12.135.35</v>
      </c>
      <c r="G4334" s="1" t="str">
        <f>"0325S431"</f>
        <v>0325S431</v>
      </c>
      <c r="H4334" s="1" t="str">
        <f>"동이로 31-5"</f>
        <v>동이로 31-5</v>
      </c>
      <c r="I4334" s="1" t="s">
        <v>17</v>
      </c>
      <c r="J4334" s="1" t="str">
        <f>"1/1"</f>
        <v>1/1</v>
      </c>
      <c r="K4334" s="1" t="str">
        <f>"2026-07-29 13:18:04"</f>
        <v>2026-07-29 13:18:04</v>
      </c>
      <c r="L4334" s="1" t="str">
        <f>"2018-05-15 14:22:59"</f>
        <v>2018-05-15 14:22:59</v>
      </c>
      <c r="M4334" s="1" t="s">
        <v>0</v>
      </c>
      <c r="N4334" s="1" t="s">
        <v>38</v>
      </c>
      <c r="O4334" s="1" t="s">
        <v>46</v>
      </c>
    </row>
    <row r="4335" spans="2:15" x14ac:dyDescent="0.3">
      <c r="B4335" s="1" t="s">
        <v>23</v>
      </c>
      <c r="C4335" s="1" t="str">
        <f t="shared" si="246"/>
        <v>4차</v>
      </c>
      <c r="D4335" s="1" t="str">
        <f>"0325S51144"</f>
        <v>0325S51144</v>
      </c>
      <c r="E4335" s="1" t="s">
        <v>10</v>
      </c>
      <c r="F4335" s="1" t="str">
        <f>"10.11.71.242"</f>
        <v>10.11.71.242</v>
      </c>
      <c r="G4335" s="1" t="str">
        <f>"0325S511"</f>
        <v>0325S511</v>
      </c>
      <c r="H4335" s="1" t="str">
        <f>"초원간 34L19"</f>
        <v>초원간 34L19</v>
      </c>
      <c r="I4335" s="1" t="s">
        <v>8</v>
      </c>
      <c r="J4335" s="1" t="str">
        <f>"76/76"</f>
        <v>76/76</v>
      </c>
      <c r="K4335" s="1" t="str">
        <f>"2026-07-29 13:18:03"</f>
        <v>2026-07-29 13:18:03</v>
      </c>
      <c r="L4335" s="1" t="str">
        <f>"2019-11-05 17:37:23"</f>
        <v>2019-11-05 17:37:23</v>
      </c>
      <c r="M4335" s="1" t="s">
        <v>2</v>
      </c>
      <c r="N4335" s="1" t="s">
        <v>38</v>
      </c>
      <c r="O4335" s="1" t="s">
        <v>46</v>
      </c>
    </row>
    <row r="4336" spans="2:15" x14ac:dyDescent="0.3">
      <c r="B4336" s="1" t="s">
        <v>23</v>
      </c>
      <c r="C4336" s="1" t="str">
        <f>"3차"</f>
        <v>3차</v>
      </c>
      <c r="D4336" s="1" t="str">
        <f>"0325S51239"</f>
        <v>0325S51239</v>
      </c>
      <c r="E4336" s="1" t="s">
        <v>10</v>
      </c>
      <c r="F4336" s="1" t="str">
        <f>"10.11.81.202"</f>
        <v>10.11.81.202</v>
      </c>
      <c r="G4336" s="1" t="str">
        <f>"0325S512"</f>
        <v>0325S512</v>
      </c>
      <c r="H4336" s="1" t="str">
        <f>"초원간 34L20"</f>
        <v>초원간 34L20</v>
      </c>
      <c r="I4336" s="1" t="s">
        <v>8</v>
      </c>
      <c r="J4336" s="1" t="str">
        <f>"38/44"</f>
        <v>38/44</v>
      </c>
      <c r="K4336" s="1" t="str">
        <f>"2026-07-29 13:18:03"</f>
        <v>2026-07-29 13:18:03</v>
      </c>
      <c r="L4336" s="1" t="str">
        <f>"2018-10-02 14:27:12"</f>
        <v>2018-10-02 14:27:12</v>
      </c>
      <c r="M4336" s="1" t="s">
        <v>2</v>
      </c>
      <c r="N4336" s="1" t="s">
        <v>38</v>
      </c>
      <c r="O4336" s="1" t="s">
        <v>46</v>
      </c>
    </row>
    <row r="4337" spans="2:15" x14ac:dyDescent="0.3">
      <c r="B4337" s="1" t="s">
        <v>23</v>
      </c>
      <c r="C4337" s="1" t="str">
        <f>"4차"</f>
        <v>4차</v>
      </c>
      <c r="D4337" s="1" t="str">
        <f>"0325S51344"</f>
        <v>0325S51344</v>
      </c>
      <c r="E4337" s="1" t="s">
        <v>10</v>
      </c>
      <c r="F4337" s="1" t="str">
        <f>"10.11.73.98"</f>
        <v>10.11.73.98</v>
      </c>
      <c r="G4337" s="1" t="str">
        <f>"0325S513"</f>
        <v>0325S513</v>
      </c>
      <c r="H4337" s="1" t="str">
        <f>"초원간 58"</f>
        <v>초원간 58</v>
      </c>
      <c r="I4337" s="1" t="s">
        <v>8</v>
      </c>
      <c r="J4337" s="1" t="str">
        <f>"69/69"</f>
        <v>69/69</v>
      </c>
      <c r="K4337" s="1" t="str">
        <f>"2026-07-29 13:18:03"</f>
        <v>2026-07-29 13:18:03</v>
      </c>
      <c r="L4337" s="1" t="str">
        <f>"2019-11-08 08:56:57"</f>
        <v>2019-11-08 08:56:57</v>
      </c>
      <c r="M4337" s="1" t="s">
        <v>2</v>
      </c>
      <c r="N4337" s="1" t="s">
        <v>38</v>
      </c>
      <c r="O4337" s="1" t="s">
        <v>46</v>
      </c>
    </row>
    <row r="4338" spans="2:15" x14ac:dyDescent="0.3">
      <c r="B4338" s="1" t="s">
        <v>23</v>
      </c>
      <c r="C4338" s="1" t="str">
        <f>"4차"</f>
        <v>4차</v>
      </c>
      <c r="D4338" s="1" t="str">
        <f>"0325S52244"</f>
        <v>0325S52244</v>
      </c>
      <c r="E4338" s="1" t="s">
        <v>10</v>
      </c>
      <c r="F4338" s="1" t="str">
        <f>"10.11.78.10"</f>
        <v>10.11.78.10</v>
      </c>
      <c r="G4338" s="1" t="str">
        <f>"0325S522"</f>
        <v>0325S522</v>
      </c>
      <c r="H4338" s="1" t="str">
        <f>"초원간 57"</f>
        <v>초원간 57</v>
      </c>
      <c r="I4338" s="1" t="s">
        <v>8</v>
      </c>
      <c r="J4338" s="1" t="str">
        <f>"19/21"</f>
        <v>19/21</v>
      </c>
      <c r="K4338" s="1" t="str">
        <f>"2026-07-29 13:18:03"</f>
        <v>2026-07-29 13:18:03</v>
      </c>
      <c r="L4338" s="1" t="str">
        <f>"2019-11-08 08:55:13"</f>
        <v>2019-11-08 08:55:13</v>
      </c>
      <c r="M4338" s="1" t="s">
        <v>2</v>
      </c>
      <c r="N4338" s="1" t="s">
        <v>38</v>
      </c>
      <c r="O4338" s="1" t="s">
        <v>46</v>
      </c>
    </row>
    <row r="4339" spans="2:15" x14ac:dyDescent="0.3">
      <c r="B4339" s="1" t="s">
        <v>23</v>
      </c>
      <c r="C4339" s="1" t="str">
        <f>"4차"</f>
        <v>4차</v>
      </c>
      <c r="D4339" s="1" t="str">
        <f>"0325S53144"</f>
        <v>0325S53144</v>
      </c>
      <c r="E4339" s="1" t="s">
        <v>10</v>
      </c>
      <c r="F4339" s="1" t="str">
        <f>"10.11.73.90"</f>
        <v>10.11.73.90</v>
      </c>
      <c r="G4339" s="1" t="str">
        <f>"0325S531"</f>
        <v>0325S531</v>
      </c>
      <c r="H4339" s="1" t="str">
        <f>"초원간 55"</f>
        <v>초원간 55</v>
      </c>
      <c r="I4339" s="1" t="s">
        <v>8</v>
      </c>
      <c r="J4339" s="1" t="str">
        <f>"30/30"</f>
        <v>30/30</v>
      </c>
      <c r="K4339" s="1" t="str">
        <f>"2026-07-29 13:18:02"</f>
        <v>2026-07-29 13:18:02</v>
      </c>
      <c r="L4339" s="1" t="str">
        <f>"2019-11-08 08:53:05"</f>
        <v>2019-11-08 08:53:05</v>
      </c>
      <c r="M4339" s="1" t="s">
        <v>2</v>
      </c>
      <c r="N4339" s="1" t="s">
        <v>38</v>
      </c>
      <c r="O4339" s="1" t="s">
        <v>46</v>
      </c>
    </row>
    <row r="4340" spans="2:15" x14ac:dyDescent="0.3">
      <c r="B4340" s="1" t="s">
        <v>23</v>
      </c>
      <c r="C4340" s="1" t="str">
        <f>"4차"</f>
        <v>4차</v>
      </c>
      <c r="D4340" s="1" t="str">
        <f>"0325S60144"</f>
        <v>0325S60144</v>
      </c>
      <c r="E4340" s="1" t="s">
        <v>10</v>
      </c>
      <c r="F4340" s="1" t="str">
        <f>"10.11.71.234"</f>
        <v>10.11.71.234</v>
      </c>
      <c r="G4340" s="1" t="str">
        <f>"0325S601"</f>
        <v>0325S601</v>
      </c>
      <c r="H4340" s="1" t="str">
        <f>"초원간 34L18"</f>
        <v>초원간 34L18</v>
      </c>
      <c r="I4340" s="1" t="s">
        <v>8</v>
      </c>
      <c r="J4340" s="1" t="str">
        <f>"29/29"</f>
        <v>29/29</v>
      </c>
      <c r="K4340" s="1" t="str">
        <f>"2026-07-29 13:18:02"</f>
        <v>2026-07-29 13:18:02</v>
      </c>
      <c r="L4340" s="1" t="str">
        <f>"2019-10-28 18:03:05"</f>
        <v>2019-10-28 18:03:05</v>
      </c>
      <c r="M4340" s="1" t="s">
        <v>2</v>
      </c>
      <c r="N4340" s="1" t="s">
        <v>38</v>
      </c>
      <c r="O4340" s="1" t="s">
        <v>46</v>
      </c>
    </row>
    <row r="4341" spans="2:15" x14ac:dyDescent="0.3">
      <c r="B4341" s="1" t="s">
        <v>23</v>
      </c>
      <c r="C4341" s="1" t="str">
        <f>"5-2차"</f>
        <v>5-2차</v>
      </c>
      <c r="D4341" s="1" t="str">
        <f>"0325S6025S"</f>
        <v>0325S6025S</v>
      </c>
      <c r="E4341" s="1" t="s">
        <v>10</v>
      </c>
      <c r="F4341" s="1" t="str">
        <f>"fde1:103:4:6eb9:0:0:0:2"</f>
        <v>fde1:103:4:6eb9:0:0:0:2</v>
      </c>
      <c r="G4341" s="1" t="str">
        <f>"0325S602"</f>
        <v>0325S602</v>
      </c>
      <c r="H4341" s="1" t="str">
        <f>"아남간 15R5"</f>
        <v>아남간 15R5</v>
      </c>
      <c r="I4341" s="1" t="s">
        <v>15</v>
      </c>
      <c r="J4341" s="1" t="str">
        <f>"66/66"</f>
        <v>66/66</v>
      </c>
      <c r="K4341" s="1" t="str">
        <f>"2026-07-29 14:20:16"</f>
        <v>2026-07-29 14:20:16</v>
      </c>
      <c r="L4341" s="1" t="str">
        <f>"2023-11-14 15:44:55"</f>
        <v>2023-11-14 15:44:55</v>
      </c>
      <c r="M4341" s="1" t="s">
        <v>4</v>
      </c>
      <c r="N4341" s="1" t="s">
        <v>38</v>
      </c>
      <c r="O4341" s="1" t="s">
        <v>46</v>
      </c>
    </row>
    <row r="4342" spans="2:15" x14ac:dyDescent="0.3">
      <c r="B4342" s="1" t="s">
        <v>23</v>
      </c>
      <c r="C4342" s="1" t="str">
        <f t="shared" ref="C4342:C4355" si="247">"4차"</f>
        <v>4차</v>
      </c>
      <c r="D4342" s="1" t="str">
        <f>"0325S61144"</f>
        <v>0325S61144</v>
      </c>
      <c r="E4342" s="1" t="s">
        <v>10</v>
      </c>
      <c r="F4342" s="1" t="str">
        <f>"10.11.77.242"</f>
        <v>10.11.77.242</v>
      </c>
      <c r="G4342" s="1" t="str">
        <f>"0325S611"</f>
        <v>0325S611</v>
      </c>
      <c r="H4342" s="1" t="str">
        <f>"초원간 34L7R9L4"</f>
        <v>초원간 34L7R9L4</v>
      </c>
      <c r="I4342" s="1" t="s">
        <v>8</v>
      </c>
      <c r="J4342" s="1" t="str">
        <f>"26/26"</f>
        <v>26/26</v>
      </c>
      <c r="K4342" s="1" t="str">
        <f>"2026-07-29 13:18:02"</f>
        <v>2026-07-29 13:18:02</v>
      </c>
      <c r="L4342" s="1" t="str">
        <f>"2021-07-28 16:44:00"</f>
        <v>2021-07-28 16:44:00</v>
      </c>
      <c r="M4342" s="1" t="s">
        <v>2</v>
      </c>
      <c r="N4342" s="1" t="s">
        <v>38</v>
      </c>
      <c r="O4342" s="1" t="s">
        <v>46</v>
      </c>
    </row>
    <row r="4343" spans="2:15" x14ac:dyDescent="0.3">
      <c r="B4343" s="1" t="s">
        <v>23</v>
      </c>
      <c r="C4343" s="1" t="str">
        <f t="shared" si="247"/>
        <v>4차</v>
      </c>
      <c r="D4343" s="1" t="str">
        <f>"0325S61239"</f>
        <v>0325S61239</v>
      </c>
      <c r="E4343" s="1" t="s">
        <v>10</v>
      </c>
      <c r="F4343" s="1" t="str">
        <f>"10.11.81.210"</f>
        <v>10.11.81.210</v>
      </c>
      <c r="G4343" s="1" t="str">
        <f>"0325S612"</f>
        <v>0325S612</v>
      </c>
      <c r="H4343" s="1" t="str">
        <f>"초원간 34L7R9L3"</f>
        <v>초원간 34L7R9L3</v>
      </c>
      <c r="I4343" s="1" t="s">
        <v>8</v>
      </c>
      <c r="J4343" s="1" t="str">
        <f>"89/89"</f>
        <v>89/89</v>
      </c>
      <c r="K4343" s="1" t="str">
        <f>"2026-07-29 13:18:03"</f>
        <v>2026-07-29 13:18:03</v>
      </c>
      <c r="L4343" s="1" t="str">
        <f>"2018-10-02 13:33:27"</f>
        <v>2018-10-02 13:33:27</v>
      </c>
      <c r="M4343" s="1" t="s">
        <v>2</v>
      </c>
      <c r="N4343" s="1" t="s">
        <v>38</v>
      </c>
      <c r="O4343" s="1" t="s">
        <v>46</v>
      </c>
    </row>
    <row r="4344" spans="2:15" x14ac:dyDescent="0.3">
      <c r="B4344" s="1" t="s">
        <v>23</v>
      </c>
      <c r="C4344" s="1" t="str">
        <f t="shared" si="247"/>
        <v>4차</v>
      </c>
      <c r="D4344" s="1" t="str">
        <f>"0325S63144"</f>
        <v>0325S63144</v>
      </c>
      <c r="E4344" s="1" t="s">
        <v>10</v>
      </c>
      <c r="F4344" s="1" t="str">
        <f>"10.11.77.226"</f>
        <v>10.11.77.226</v>
      </c>
      <c r="G4344" s="1" t="str">
        <f>"0325S631"</f>
        <v>0325S631</v>
      </c>
      <c r="H4344" s="1" t="str">
        <f>"초원간 34L7R10"</f>
        <v>초원간 34L7R10</v>
      </c>
      <c r="I4344" s="1" t="s">
        <v>8</v>
      </c>
      <c r="J4344" s="1" t="str">
        <f>"17/17"</f>
        <v>17/17</v>
      </c>
      <c r="K4344" s="1" t="str">
        <f>"2026-07-29 13:18:03"</f>
        <v>2026-07-29 13:18:03</v>
      </c>
      <c r="L4344" s="1" t="str">
        <f>"2019-11-05 17:38:17"</f>
        <v>2019-11-05 17:38:17</v>
      </c>
      <c r="M4344" s="1" t="s">
        <v>2</v>
      </c>
      <c r="N4344" s="1" t="s">
        <v>38</v>
      </c>
      <c r="O4344" s="1" t="s">
        <v>46</v>
      </c>
    </row>
    <row r="4345" spans="2:15" x14ac:dyDescent="0.3">
      <c r="B4345" s="1" t="s">
        <v>23</v>
      </c>
      <c r="C4345" s="1" t="str">
        <f t="shared" si="247"/>
        <v>4차</v>
      </c>
      <c r="D4345" s="1" t="str">
        <f>"0325S63244"</f>
        <v>0325S63244</v>
      </c>
      <c r="E4345" s="1" t="s">
        <v>10</v>
      </c>
      <c r="F4345" s="1" t="str">
        <f>"10.11.72.2"</f>
        <v>10.11.72.2</v>
      </c>
      <c r="G4345" s="1" t="str">
        <f>"0325S632"</f>
        <v>0325S632</v>
      </c>
      <c r="H4345" s="1" t="str">
        <f>"초원간 34L7R11"</f>
        <v>초원간 34L7R11</v>
      </c>
      <c r="I4345" s="1" t="s">
        <v>8</v>
      </c>
      <c r="J4345" s="1" t="str">
        <f>"42/42"</f>
        <v>42/42</v>
      </c>
      <c r="K4345" s="1" t="str">
        <f>"2026-07-29 13:18:03"</f>
        <v>2026-07-29 13:18:03</v>
      </c>
      <c r="L4345" s="1" t="str">
        <f>"2019-11-05 17:43:33"</f>
        <v>2019-11-05 17:43:33</v>
      </c>
      <c r="M4345" s="1" t="s">
        <v>2</v>
      </c>
      <c r="N4345" s="1" t="s">
        <v>38</v>
      </c>
      <c r="O4345" s="1" t="s">
        <v>46</v>
      </c>
    </row>
    <row r="4346" spans="2:15" x14ac:dyDescent="0.3">
      <c r="B4346" s="1" t="s">
        <v>23</v>
      </c>
      <c r="C4346" s="1" t="str">
        <f t="shared" si="247"/>
        <v>4차</v>
      </c>
      <c r="D4346" s="1" t="str">
        <f>"0325S64444"</f>
        <v>0325S64444</v>
      </c>
      <c r="E4346" s="1" t="s">
        <v>10</v>
      </c>
      <c r="F4346" s="1" t="str">
        <f>"10.11.73.82"</f>
        <v>10.11.73.82</v>
      </c>
      <c r="G4346" s="1" t="str">
        <f>"0325S644"</f>
        <v>0325S644</v>
      </c>
      <c r="H4346" s="1" t="str">
        <f>"초원간 54"</f>
        <v>초원간 54</v>
      </c>
      <c r="I4346" s="1" t="s">
        <v>8</v>
      </c>
      <c r="J4346" s="1" t="str">
        <f>"100/103"</f>
        <v>100/103</v>
      </c>
      <c r="K4346" s="1" t="str">
        <f>"2026-07-29 13:18:02"</f>
        <v>2026-07-29 13:18:02</v>
      </c>
      <c r="L4346" s="1" t="str">
        <f>"2019-11-08 08:53:05"</f>
        <v>2019-11-08 08:53:05</v>
      </c>
      <c r="M4346" s="1" t="s">
        <v>2</v>
      </c>
      <c r="N4346" s="1" t="s">
        <v>38</v>
      </c>
      <c r="O4346" s="1" t="s">
        <v>46</v>
      </c>
    </row>
    <row r="4347" spans="2:15" x14ac:dyDescent="0.3">
      <c r="B4347" s="1" t="s">
        <v>23</v>
      </c>
      <c r="C4347" s="1" t="str">
        <f t="shared" si="247"/>
        <v>4차</v>
      </c>
      <c r="D4347" s="1" t="str">
        <f>"0325S65144"</f>
        <v>0325S65144</v>
      </c>
      <c r="E4347" s="1" t="s">
        <v>10</v>
      </c>
      <c r="F4347" s="1" t="str">
        <f>"10.11.73.66"</f>
        <v>10.11.73.66</v>
      </c>
      <c r="G4347" s="1" t="str">
        <f>"0325S651"</f>
        <v>0325S651</v>
      </c>
      <c r="H4347" s="1" t="str">
        <f>"초원간 51"</f>
        <v>초원간 51</v>
      </c>
      <c r="I4347" s="1" t="s">
        <v>8</v>
      </c>
      <c r="J4347" s="1" t="str">
        <f>"58/58"</f>
        <v>58/58</v>
      </c>
      <c r="K4347" s="1" t="str">
        <f>"2026-07-29 13:18:03"</f>
        <v>2026-07-29 13:18:03</v>
      </c>
      <c r="L4347" s="1" t="str">
        <f>"2019-11-08 08:37:27"</f>
        <v>2019-11-08 08:37:27</v>
      </c>
      <c r="M4347" s="1" t="s">
        <v>2</v>
      </c>
      <c r="N4347" s="1" t="s">
        <v>38</v>
      </c>
      <c r="O4347" s="1" t="s">
        <v>46</v>
      </c>
    </row>
    <row r="4348" spans="2:15" x14ac:dyDescent="0.3">
      <c r="B4348" s="1" t="s">
        <v>23</v>
      </c>
      <c r="C4348" s="1" t="str">
        <f t="shared" si="247"/>
        <v>4차</v>
      </c>
      <c r="D4348" s="1" t="str">
        <f>"0325S65244"</f>
        <v>0325S65244</v>
      </c>
      <c r="E4348" s="1" t="s">
        <v>10</v>
      </c>
      <c r="F4348" s="1" t="str">
        <f>"10.11.73.74"</f>
        <v>10.11.73.74</v>
      </c>
      <c r="G4348" s="1" t="str">
        <f>"0325S652"</f>
        <v>0325S652</v>
      </c>
      <c r="H4348" s="1" t="str">
        <f>"초원간 52"</f>
        <v>초원간 52</v>
      </c>
      <c r="I4348" s="1" t="s">
        <v>8</v>
      </c>
      <c r="J4348" s="1" t="str">
        <f>"88/109"</f>
        <v>88/109</v>
      </c>
      <c r="K4348" s="1" t="str">
        <f>"2026-07-29 13:18:02"</f>
        <v>2026-07-29 13:18:02</v>
      </c>
      <c r="L4348" s="1" t="str">
        <f>"2019-11-08 08:45:27"</f>
        <v>2019-11-08 08:45:27</v>
      </c>
      <c r="M4348" s="1" t="s">
        <v>2</v>
      </c>
      <c r="N4348" s="1" t="s">
        <v>38</v>
      </c>
      <c r="O4348" s="1" t="s">
        <v>46</v>
      </c>
    </row>
    <row r="4349" spans="2:15" x14ac:dyDescent="0.3">
      <c r="B4349" s="1" t="s">
        <v>23</v>
      </c>
      <c r="C4349" s="1" t="str">
        <f t="shared" si="247"/>
        <v>4차</v>
      </c>
      <c r="D4349" s="1" t="str">
        <f>"0325S66145"</f>
        <v>0325S66145</v>
      </c>
      <c r="E4349" s="1" t="s">
        <v>10</v>
      </c>
      <c r="F4349" s="1" t="str">
        <f>"10.12.135.95"</f>
        <v>10.12.135.95</v>
      </c>
      <c r="G4349" s="1" t="str">
        <f>"0325S661"</f>
        <v>0325S661</v>
      </c>
      <c r="H4349" s="1" t="str">
        <f>"동이로 43-3"</f>
        <v>동이로 43-3</v>
      </c>
      <c r="I4349" s="1" t="s">
        <v>17</v>
      </c>
      <c r="J4349" s="1" t="str">
        <f>"39/39"</f>
        <v>39/39</v>
      </c>
      <c r="K4349" s="1" t="str">
        <f>"2026-07-29 01:18:02"</f>
        <v>2026-07-29 01:18:02</v>
      </c>
      <c r="L4349" s="1" t="str">
        <f>"2026-01-30 18:26:58"</f>
        <v>2026-01-30 18:26:58</v>
      </c>
      <c r="M4349" s="1" t="s">
        <v>0</v>
      </c>
      <c r="N4349" s="1" t="s">
        <v>38</v>
      </c>
      <c r="O4349" s="1" t="s">
        <v>46</v>
      </c>
    </row>
    <row r="4350" spans="2:15" x14ac:dyDescent="0.3">
      <c r="B4350" s="1" t="s">
        <v>23</v>
      </c>
      <c r="C4350" s="1" t="str">
        <f t="shared" si="247"/>
        <v>4차</v>
      </c>
      <c r="D4350" s="1" t="str">
        <f>"0325S69239"</f>
        <v>0325S69239</v>
      </c>
      <c r="E4350" s="1" t="s">
        <v>10</v>
      </c>
      <c r="F4350" s="1" t="str">
        <f>"10.12.136.11"</f>
        <v>10.12.136.11</v>
      </c>
      <c r="G4350" s="1" t="str">
        <f>"0325S692"</f>
        <v>0325S692</v>
      </c>
      <c r="H4350" s="1" t="str">
        <f>"동이로 34-1"</f>
        <v>동이로 34-1</v>
      </c>
      <c r="I4350" s="1" t="s">
        <v>17</v>
      </c>
      <c r="J4350" s="1" t="str">
        <f>"3/3"</f>
        <v>3/3</v>
      </c>
      <c r="K4350" s="1" t="str">
        <f>"2026-07-29 13:18:04"</f>
        <v>2026-07-29 13:18:04</v>
      </c>
      <c r="L4350" s="1" t="str">
        <f>"2018-07-12 17:59:50"</f>
        <v>2018-07-12 17:59:50</v>
      </c>
      <c r="M4350" s="1" t="s">
        <v>0</v>
      </c>
      <c r="N4350" s="1" t="s">
        <v>38</v>
      </c>
      <c r="O4350" s="1" t="s">
        <v>46</v>
      </c>
    </row>
    <row r="4351" spans="2:15" x14ac:dyDescent="0.3">
      <c r="B4351" s="1" t="s">
        <v>23</v>
      </c>
      <c r="C4351" s="1" t="str">
        <f t="shared" si="247"/>
        <v>4차</v>
      </c>
      <c r="D4351" s="1" t="str">
        <f>"0325S70144"</f>
        <v>0325S70144</v>
      </c>
      <c r="E4351" s="1" t="s">
        <v>10</v>
      </c>
      <c r="F4351" s="1" t="str">
        <f>"10.11.71.226"</f>
        <v>10.11.71.226</v>
      </c>
      <c r="G4351" s="1" t="str">
        <f>"0325S701"</f>
        <v>0325S701</v>
      </c>
      <c r="H4351" s="1" t="str">
        <f>"초원간 34L17"</f>
        <v>초원간 34L17</v>
      </c>
      <c r="I4351" s="1" t="s">
        <v>8</v>
      </c>
      <c r="J4351" s="1" t="str">
        <f>"114/130"</f>
        <v>114/130</v>
      </c>
      <c r="K4351" s="1" t="str">
        <f>"2026-07-29 13:18:03"</f>
        <v>2026-07-29 13:18:03</v>
      </c>
      <c r="L4351" s="1" t="str">
        <f>"2019-10-28 17:46:32"</f>
        <v>2019-10-28 17:46:32</v>
      </c>
      <c r="M4351" s="1" t="s">
        <v>2</v>
      </c>
      <c r="N4351" s="1" t="s">
        <v>38</v>
      </c>
      <c r="O4351" s="1" t="s">
        <v>46</v>
      </c>
    </row>
    <row r="4352" spans="2:15" x14ac:dyDescent="0.3">
      <c r="B4352" s="1" t="s">
        <v>23</v>
      </c>
      <c r="C4352" s="1" t="str">
        <f t="shared" si="247"/>
        <v>4차</v>
      </c>
      <c r="D4352" s="1" t="str">
        <f>"0325S72144"</f>
        <v>0325S72144</v>
      </c>
      <c r="E4352" s="1" t="s">
        <v>10</v>
      </c>
      <c r="F4352" s="1" t="str">
        <f>"10.11.72.66"</f>
        <v>10.11.72.66</v>
      </c>
      <c r="G4352" s="1" t="str">
        <f>"0325S721"</f>
        <v>0325S721</v>
      </c>
      <c r="H4352" s="1" t="str">
        <f>"초원간 34L7R9L1"</f>
        <v>초원간 34L7R9L1</v>
      </c>
      <c r="I4352" s="1" t="s">
        <v>8</v>
      </c>
      <c r="J4352" s="1" t="str">
        <f>"79/80"</f>
        <v>79/80</v>
      </c>
      <c r="K4352" s="1" t="str">
        <f>"2026-07-29 13:18:03"</f>
        <v>2026-07-29 13:18:03</v>
      </c>
      <c r="L4352" s="1" t="str">
        <f>"2019-11-05 17:47:32"</f>
        <v>2019-11-05 17:47:32</v>
      </c>
      <c r="M4352" s="1" t="s">
        <v>2</v>
      </c>
      <c r="N4352" s="1" t="s">
        <v>38</v>
      </c>
      <c r="O4352" s="1" t="s">
        <v>46</v>
      </c>
    </row>
    <row r="4353" spans="2:15" x14ac:dyDescent="0.3">
      <c r="B4353" s="1" t="s">
        <v>23</v>
      </c>
      <c r="C4353" s="1" t="str">
        <f t="shared" si="247"/>
        <v>4차</v>
      </c>
      <c r="D4353" s="1" t="str">
        <f>"0325S72244"</f>
        <v>0325S72244</v>
      </c>
      <c r="E4353" s="1" t="s">
        <v>10</v>
      </c>
      <c r="F4353" s="1" t="str">
        <f>"10.11.72.74"</f>
        <v>10.11.72.74</v>
      </c>
      <c r="G4353" s="1" t="str">
        <f>"0325S722"</f>
        <v>0325S722</v>
      </c>
      <c r="H4353" s="1" t="str">
        <f>"초원간 34L7R9L2"</f>
        <v>초원간 34L7R9L2</v>
      </c>
      <c r="I4353" s="1" t="s">
        <v>8</v>
      </c>
      <c r="J4353" s="1" t="str">
        <f>"73/73"</f>
        <v>73/73</v>
      </c>
      <c r="K4353" s="1" t="str">
        <f>"2026-07-29 13:18:02"</f>
        <v>2026-07-29 13:18:02</v>
      </c>
      <c r="L4353" s="1" t="str">
        <f>"2019-11-05 17:47:32"</f>
        <v>2019-11-05 17:47:32</v>
      </c>
      <c r="M4353" s="1" t="s">
        <v>2</v>
      </c>
      <c r="N4353" s="1" t="s">
        <v>38</v>
      </c>
      <c r="O4353" s="1" t="s">
        <v>46</v>
      </c>
    </row>
    <row r="4354" spans="2:15" x14ac:dyDescent="0.3">
      <c r="B4354" s="1" t="s">
        <v>23</v>
      </c>
      <c r="C4354" s="1" t="str">
        <f t="shared" si="247"/>
        <v>4차</v>
      </c>
      <c r="D4354" s="1" t="str">
        <f>"0325S73144"</f>
        <v>0325S73144</v>
      </c>
      <c r="E4354" s="1" t="s">
        <v>10</v>
      </c>
      <c r="F4354" s="1" t="str">
        <f>"10.11.72.58"</f>
        <v>10.11.72.58</v>
      </c>
      <c r="G4354" s="1" t="str">
        <f>"0325S731"</f>
        <v>0325S731</v>
      </c>
      <c r="H4354" s="1" t="str">
        <f>"초원간 34L7R9"</f>
        <v>초원간 34L7R9</v>
      </c>
      <c r="I4354" s="1" t="s">
        <v>8</v>
      </c>
      <c r="J4354" s="1" t="str">
        <f>"118/122"</f>
        <v>118/122</v>
      </c>
      <c r="K4354" s="1" t="str">
        <f>"2026-07-29 13:18:02"</f>
        <v>2026-07-29 13:18:02</v>
      </c>
      <c r="L4354" s="1" t="str">
        <f>"2019-10-28 18:13:05"</f>
        <v>2019-10-28 18:13:05</v>
      </c>
      <c r="M4354" s="1" t="s">
        <v>2</v>
      </c>
      <c r="N4354" s="1" t="s">
        <v>38</v>
      </c>
      <c r="O4354" s="1" t="s">
        <v>46</v>
      </c>
    </row>
    <row r="4355" spans="2:15" x14ac:dyDescent="0.3">
      <c r="B4355" s="1" t="s">
        <v>23</v>
      </c>
      <c r="C4355" s="1" t="str">
        <f t="shared" si="247"/>
        <v>4차</v>
      </c>
      <c r="D4355" s="1" t="str">
        <f>"0325S74144"</f>
        <v>0325S74144</v>
      </c>
      <c r="E4355" s="1" t="s">
        <v>10</v>
      </c>
      <c r="F4355" s="1" t="str">
        <f>"10.11.72.42"</f>
        <v>10.11.72.42</v>
      </c>
      <c r="G4355" s="1" t="str">
        <f>"0325S741"</f>
        <v>0325S741</v>
      </c>
      <c r="H4355" s="1" t="str">
        <f>"초원간 34L7R8"</f>
        <v>초원간 34L7R8</v>
      </c>
      <c r="I4355" s="1" t="s">
        <v>8</v>
      </c>
      <c r="J4355" s="1" t="str">
        <f>"75/76"</f>
        <v>75/76</v>
      </c>
      <c r="K4355" s="1" t="str">
        <f>"2026-07-29 13:18:02"</f>
        <v>2026-07-29 13:18:02</v>
      </c>
      <c r="L4355" s="1" t="str">
        <f>"2019-12-30 11:29:44"</f>
        <v>2019-12-30 11:29:44</v>
      </c>
      <c r="M4355" s="1" t="s">
        <v>2</v>
      </c>
      <c r="N4355" s="1" t="s">
        <v>38</v>
      </c>
      <c r="O4355" s="1" t="s">
        <v>46</v>
      </c>
    </row>
    <row r="4356" spans="2:15" x14ac:dyDescent="0.3">
      <c r="B4356" s="1" t="s">
        <v>23</v>
      </c>
      <c r="C4356" s="1" t="str">
        <f>"3차"</f>
        <v>3차</v>
      </c>
      <c r="D4356" s="1" t="str">
        <f>"0325S76139"</f>
        <v>0325S76139</v>
      </c>
      <c r="E4356" s="1" t="s">
        <v>10</v>
      </c>
      <c r="F4356" s="1" t="str">
        <f>"10.11.81.218"</f>
        <v>10.11.81.218</v>
      </c>
      <c r="G4356" s="1" t="str">
        <f>"0325S761"</f>
        <v>0325S761</v>
      </c>
      <c r="H4356" s="1" t="str">
        <f>"초원간 49"</f>
        <v>초원간 49</v>
      </c>
      <c r="I4356" s="1" t="s">
        <v>8</v>
      </c>
      <c r="J4356" s="1" t="str">
        <f>"82/83"</f>
        <v>82/83</v>
      </c>
      <c r="K4356" s="1" t="str">
        <f>"2026-07-29 13:18:03"</f>
        <v>2026-07-29 13:18:03</v>
      </c>
      <c r="L4356" s="1" t="str">
        <f>"2018-10-04 09:59:39"</f>
        <v>2018-10-04 09:59:39</v>
      </c>
      <c r="M4356" s="1" t="s">
        <v>2</v>
      </c>
      <c r="N4356" s="1" t="s">
        <v>38</v>
      </c>
      <c r="O4356" s="1" t="s">
        <v>46</v>
      </c>
    </row>
    <row r="4357" spans="2:15" x14ac:dyDescent="0.3">
      <c r="B4357" s="1" t="s">
        <v>23</v>
      </c>
      <c r="C4357" s="1" t="str">
        <f>"3차"</f>
        <v>3차</v>
      </c>
      <c r="D4357" s="1" t="str">
        <f>"0325S76439"</f>
        <v>0325S76439</v>
      </c>
      <c r="E4357" s="1" t="s">
        <v>10</v>
      </c>
      <c r="F4357" s="1" t="str">
        <f>"10.11.81.226"</f>
        <v>10.11.81.226</v>
      </c>
      <c r="G4357" s="1" t="str">
        <f>"0325S764"</f>
        <v>0325S764</v>
      </c>
      <c r="H4357" s="1" t="str">
        <f>"초원간 50"</f>
        <v>초원간 50</v>
      </c>
      <c r="I4357" s="1" t="s">
        <v>8</v>
      </c>
      <c r="J4357" s="1" t="str">
        <f>"113/113"</f>
        <v>113/113</v>
      </c>
      <c r="K4357" s="1" t="str">
        <f>"2026-07-29 13:18:03"</f>
        <v>2026-07-29 13:18:03</v>
      </c>
      <c r="L4357" s="1" t="str">
        <f>"2018-12-28 15:25:14"</f>
        <v>2018-12-28 15:25:14</v>
      </c>
      <c r="M4357" s="1" t="s">
        <v>2</v>
      </c>
      <c r="N4357" s="1" t="s">
        <v>38</v>
      </c>
      <c r="O4357" s="1" t="s">
        <v>46</v>
      </c>
    </row>
    <row r="4358" spans="2:15" x14ac:dyDescent="0.3">
      <c r="B4358" s="1" t="s">
        <v>23</v>
      </c>
      <c r="C4358" s="1" t="str">
        <f t="shared" ref="C4358:C4363" si="248">"4차"</f>
        <v>4차</v>
      </c>
      <c r="D4358" s="1" t="str">
        <f>"0325S77244"</f>
        <v>0325S77244</v>
      </c>
      <c r="E4358" s="1" t="s">
        <v>10</v>
      </c>
      <c r="F4358" s="1" t="str">
        <f>"10.11.73.42"</f>
        <v>10.11.73.42</v>
      </c>
      <c r="G4358" s="1" t="str">
        <f>"0325S772"</f>
        <v>0325S772</v>
      </c>
      <c r="H4358" s="1" t="str">
        <f>"초원간 48"</f>
        <v>초원간 48</v>
      </c>
      <c r="I4358" s="1" t="s">
        <v>8</v>
      </c>
      <c r="J4358" s="1" t="str">
        <f>"32/32"</f>
        <v>32/32</v>
      </c>
      <c r="K4358" s="1" t="str">
        <f>"2026-07-29 13:18:03"</f>
        <v>2026-07-29 13:18:03</v>
      </c>
      <c r="L4358" s="1" t="str">
        <f>"2019-11-08 08:35:12"</f>
        <v>2019-11-08 08:35:12</v>
      </c>
      <c r="M4358" s="1" t="s">
        <v>2</v>
      </c>
      <c r="N4358" s="1" t="s">
        <v>38</v>
      </c>
      <c r="O4358" s="1" t="s">
        <v>46</v>
      </c>
    </row>
    <row r="4359" spans="2:15" x14ac:dyDescent="0.3">
      <c r="B4359" s="1" t="s">
        <v>23</v>
      </c>
      <c r="C4359" s="1" t="str">
        <f t="shared" si="248"/>
        <v>4차</v>
      </c>
      <c r="D4359" s="1" t="str">
        <f>"0325S80339"</f>
        <v>0325S80339</v>
      </c>
      <c r="E4359" s="1" t="s">
        <v>10</v>
      </c>
      <c r="F4359" s="1" t="str">
        <f>"10.11.81.234"</f>
        <v>10.11.81.234</v>
      </c>
      <c r="G4359" s="1" t="str">
        <f>"0325S803"</f>
        <v>0325S803</v>
      </c>
      <c r="H4359" s="1" t="str">
        <f>"초원간 34L15"</f>
        <v>초원간 34L15</v>
      </c>
      <c r="I4359" s="1" t="s">
        <v>8</v>
      </c>
      <c r="J4359" s="1" t="str">
        <f>"126/126"</f>
        <v>126/126</v>
      </c>
      <c r="K4359" s="1" t="str">
        <f>"2026-07-29 13:18:03"</f>
        <v>2026-07-29 13:18:03</v>
      </c>
      <c r="L4359" s="1" t="str">
        <f>"2018-10-29 16:02:29"</f>
        <v>2018-10-29 16:02:29</v>
      </c>
      <c r="M4359" s="1" t="s">
        <v>2</v>
      </c>
      <c r="N4359" s="1" t="s">
        <v>38</v>
      </c>
      <c r="O4359" s="1" t="s">
        <v>46</v>
      </c>
    </row>
    <row r="4360" spans="2:15" x14ac:dyDescent="0.3">
      <c r="B4360" s="1" t="s">
        <v>23</v>
      </c>
      <c r="C4360" s="1" t="str">
        <f t="shared" si="248"/>
        <v>4차</v>
      </c>
      <c r="D4360" s="1" t="str">
        <f>"0325S81144"</f>
        <v>0325S81144</v>
      </c>
      <c r="E4360" s="1" t="s">
        <v>10</v>
      </c>
      <c r="F4360" s="1" t="str">
        <f>"10.11.72.26"</f>
        <v>10.11.72.26</v>
      </c>
      <c r="G4360" s="1" t="str">
        <f>"0325S811"</f>
        <v>0325S811</v>
      </c>
      <c r="H4360" s="1" t="str">
        <f>"초원간 34L7R6L4"</f>
        <v>초원간 34L7R6L4</v>
      </c>
      <c r="I4360" s="1" t="s">
        <v>8</v>
      </c>
      <c r="J4360" s="1" t="str">
        <f>"32/32"</f>
        <v>32/32</v>
      </c>
      <c r="K4360" s="1" t="str">
        <f>"2026-07-29 13:18:03"</f>
        <v>2026-07-29 13:18:03</v>
      </c>
      <c r="L4360" s="1" t="str">
        <f>"2021-07-28 16:32:43"</f>
        <v>2021-07-28 16:32:43</v>
      </c>
      <c r="M4360" s="1" t="s">
        <v>2</v>
      </c>
      <c r="N4360" s="1" t="s">
        <v>38</v>
      </c>
      <c r="O4360" s="1" t="s">
        <v>46</v>
      </c>
    </row>
    <row r="4361" spans="2:15" x14ac:dyDescent="0.3">
      <c r="B4361" s="1" t="s">
        <v>23</v>
      </c>
      <c r="C4361" s="1" t="str">
        <f t="shared" si="248"/>
        <v>4차</v>
      </c>
      <c r="D4361" s="1" t="str">
        <f>"0325S82139"</f>
        <v>0325S82139</v>
      </c>
      <c r="E4361" s="1" t="s">
        <v>10</v>
      </c>
      <c r="F4361" s="1" t="str">
        <f>"10.11.81.242"</f>
        <v>10.11.81.242</v>
      </c>
      <c r="G4361" s="1" t="str">
        <f>"0325S821"</f>
        <v>0325S821</v>
      </c>
      <c r="H4361" s="1" t="str">
        <f>"초원간 34L7R6L1"</f>
        <v>초원간 34L7R6L1</v>
      </c>
      <c r="I4361" s="1" t="s">
        <v>8</v>
      </c>
      <c r="J4361" s="1" t="str">
        <f>"163/168"</f>
        <v>163/168</v>
      </c>
      <c r="K4361" s="1" t="str">
        <f>"2026-07-29 13:18:02"</f>
        <v>2026-07-29 13:18:02</v>
      </c>
      <c r="L4361" s="1" t="str">
        <f>"2018-10-02 10:52:40"</f>
        <v>2018-10-02 10:52:40</v>
      </c>
      <c r="M4361" s="1" t="s">
        <v>2</v>
      </c>
      <c r="N4361" s="1" t="s">
        <v>38</v>
      </c>
      <c r="O4361" s="1" t="s">
        <v>46</v>
      </c>
    </row>
    <row r="4362" spans="2:15" x14ac:dyDescent="0.3">
      <c r="B4362" s="1" t="s">
        <v>23</v>
      </c>
      <c r="C4362" s="1" t="str">
        <f t="shared" si="248"/>
        <v>4차</v>
      </c>
      <c r="D4362" s="1" t="str">
        <f>"0325S82239"</f>
        <v>0325S82239</v>
      </c>
      <c r="E4362" s="1" t="s">
        <v>10</v>
      </c>
      <c r="F4362" s="1" t="str">
        <f>"10.11.81.250"</f>
        <v>10.11.81.250</v>
      </c>
      <c r="G4362" s="1" t="str">
        <f>"0325S822"</f>
        <v>0325S822</v>
      </c>
      <c r="H4362" s="1" t="str">
        <f>"초원간 34L7R6L3"</f>
        <v>초원간 34L7R6L3</v>
      </c>
      <c r="I4362" s="1" t="s">
        <v>8</v>
      </c>
      <c r="J4362" s="1" t="str">
        <f>"108/108"</f>
        <v>108/108</v>
      </c>
      <c r="K4362" s="1" t="str">
        <f>"2026-07-29 13:18:03"</f>
        <v>2026-07-29 13:18:03</v>
      </c>
      <c r="L4362" s="1" t="str">
        <f>"2018-10-02 11:26:25"</f>
        <v>2018-10-02 11:26:25</v>
      </c>
      <c r="M4362" s="1" t="s">
        <v>2</v>
      </c>
      <c r="N4362" s="1" t="s">
        <v>38</v>
      </c>
      <c r="O4362" s="1" t="s">
        <v>46</v>
      </c>
    </row>
    <row r="4363" spans="2:15" x14ac:dyDescent="0.3">
      <c r="B4363" s="1" t="s">
        <v>23</v>
      </c>
      <c r="C4363" s="1" t="str">
        <f t="shared" si="248"/>
        <v>4차</v>
      </c>
      <c r="D4363" s="1" t="str">
        <f>"0325S83244"</f>
        <v>0325S83244</v>
      </c>
      <c r="E4363" s="1" t="s">
        <v>10</v>
      </c>
      <c r="F4363" s="1" t="str">
        <f>"10.11.72.34"</f>
        <v>10.11.72.34</v>
      </c>
      <c r="G4363" s="1" t="str">
        <f>"0325S832"</f>
        <v>0325S832</v>
      </c>
      <c r="H4363" s="1" t="str">
        <f>"초원간 34L7R7"</f>
        <v>초원간 34L7R7</v>
      </c>
      <c r="I4363" s="1" t="s">
        <v>8</v>
      </c>
      <c r="J4363" s="1" t="str">
        <f>"60/60"</f>
        <v>60/60</v>
      </c>
      <c r="K4363" s="1" t="str">
        <f>"2026-07-29 13:18:03"</f>
        <v>2026-07-29 13:18:03</v>
      </c>
      <c r="L4363" s="1" t="str">
        <f>"2019-10-28 17:55:30"</f>
        <v>2019-10-28 17:55:30</v>
      </c>
      <c r="M4363" s="1" t="s">
        <v>2</v>
      </c>
      <c r="N4363" s="1" t="s">
        <v>38</v>
      </c>
      <c r="O4363" s="1" t="s">
        <v>46</v>
      </c>
    </row>
    <row r="4364" spans="2:15" x14ac:dyDescent="0.3">
      <c r="B4364" s="1" t="s">
        <v>23</v>
      </c>
      <c r="C4364" s="1" t="str">
        <f>"3차"</f>
        <v>3차</v>
      </c>
      <c r="D4364" s="1" t="str">
        <f>"0325S84239"</f>
        <v>0325S84239</v>
      </c>
      <c r="E4364" s="1" t="s">
        <v>10</v>
      </c>
      <c r="F4364" s="1" t="str">
        <f>"10.11.82.2"</f>
        <v>10.11.82.2</v>
      </c>
      <c r="G4364" s="1" t="str">
        <f>"0325S842"</f>
        <v>0325S842</v>
      </c>
      <c r="H4364" s="1" t="str">
        <f>"초원간 34L7R8R1"</f>
        <v>초원간 34L7R8R1</v>
      </c>
      <c r="I4364" s="1" t="s">
        <v>8</v>
      </c>
      <c r="J4364" s="1" t="str">
        <f>"96/96"</f>
        <v>96/96</v>
      </c>
      <c r="K4364" s="1" t="str">
        <f>"2026-07-29 13:18:03"</f>
        <v>2026-07-29 13:18:03</v>
      </c>
      <c r="L4364" s="1" t="str">
        <f>"2018-10-02 12:14:56"</f>
        <v>2018-10-02 12:14:56</v>
      </c>
      <c r="M4364" s="1" t="s">
        <v>2</v>
      </c>
      <c r="N4364" s="1" t="s">
        <v>38</v>
      </c>
      <c r="O4364" s="1" t="s">
        <v>46</v>
      </c>
    </row>
    <row r="4365" spans="2:15" x14ac:dyDescent="0.3">
      <c r="B4365" s="1" t="s">
        <v>23</v>
      </c>
      <c r="C4365" s="1" t="str">
        <f>"4차"</f>
        <v>4차</v>
      </c>
      <c r="D4365" s="1" t="str">
        <f>"0325S85244"</f>
        <v>0325S85244</v>
      </c>
      <c r="E4365" s="1" t="s">
        <v>10</v>
      </c>
      <c r="F4365" s="1" t="str">
        <f>"10.11.72.50"</f>
        <v>10.11.72.50</v>
      </c>
      <c r="G4365" s="1" t="str">
        <f>"0325S852"</f>
        <v>0325S852</v>
      </c>
      <c r="H4365" s="1" t="str">
        <f>"초원간 34L7R8R3"</f>
        <v>초원간 34L7R8R3</v>
      </c>
      <c r="I4365" s="1" t="s">
        <v>8</v>
      </c>
      <c r="J4365" s="1" t="str">
        <f>"54/54"</f>
        <v>54/54</v>
      </c>
      <c r="K4365" s="1" t="str">
        <f>"2026-07-29 13:18:02"</f>
        <v>2026-07-29 13:18:02</v>
      </c>
      <c r="L4365" s="1" t="str">
        <f>"2021-07-28 16:41:04"</f>
        <v>2021-07-28 16:41:04</v>
      </c>
      <c r="M4365" s="1" t="s">
        <v>2</v>
      </c>
      <c r="N4365" s="1" t="s">
        <v>38</v>
      </c>
      <c r="O4365" s="1" t="s">
        <v>46</v>
      </c>
    </row>
    <row r="4366" spans="2:15" x14ac:dyDescent="0.3">
      <c r="B4366" s="1" t="s">
        <v>23</v>
      </c>
      <c r="C4366" s="1" t="str">
        <f>"4차"</f>
        <v>4차</v>
      </c>
      <c r="D4366" s="1" t="str">
        <f>"0325S88144"</f>
        <v>0325S88144</v>
      </c>
      <c r="E4366" s="1" t="s">
        <v>10</v>
      </c>
      <c r="F4366" s="1" t="str">
        <f>"10.11.73.50"</f>
        <v>10.11.73.50</v>
      </c>
      <c r="G4366" s="1" t="str">
        <f>"0325S881"</f>
        <v>0325S881</v>
      </c>
      <c r="H4366" s="1" t="str">
        <f>"초원간 48R1"</f>
        <v>초원간 48R1</v>
      </c>
      <c r="I4366" s="1" t="s">
        <v>8</v>
      </c>
      <c r="J4366" s="1" t="str">
        <f>"5/5"</f>
        <v>5/5</v>
      </c>
      <c r="K4366" s="1" t="str">
        <f>"2026-07-29 13:18:03"</f>
        <v>2026-07-29 13:18:03</v>
      </c>
      <c r="L4366" s="1" t="str">
        <f>"2019-11-08 08:43:05"</f>
        <v>2019-11-08 08:43:05</v>
      </c>
      <c r="M4366" s="1" t="s">
        <v>2</v>
      </c>
      <c r="N4366" s="1" t="s">
        <v>38</v>
      </c>
      <c r="O4366" s="1" t="s">
        <v>46</v>
      </c>
    </row>
    <row r="4367" spans="2:15" x14ac:dyDescent="0.3">
      <c r="B4367" s="1" t="s">
        <v>23</v>
      </c>
      <c r="C4367" s="1" t="str">
        <f>"3차"</f>
        <v>3차</v>
      </c>
      <c r="D4367" s="1" t="str">
        <f>"0325S88239"</f>
        <v>0325S88239</v>
      </c>
      <c r="E4367" s="1" t="s">
        <v>10</v>
      </c>
      <c r="F4367" s="1" t="str">
        <f>"10.11.82.10"</f>
        <v>10.11.82.10</v>
      </c>
      <c r="G4367" s="1" t="str">
        <f>"0325S882"</f>
        <v>0325S882</v>
      </c>
      <c r="H4367" s="1" t="str">
        <f>"초원간 48R2"</f>
        <v>초원간 48R2</v>
      </c>
      <c r="I4367" s="1" t="s">
        <v>8</v>
      </c>
      <c r="J4367" s="1" t="str">
        <f>"84/84"</f>
        <v>84/84</v>
      </c>
      <c r="K4367" s="1" t="str">
        <f>"2026-07-29 13:18:03"</f>
        <v>2026-07-29 13:18:03</v>
      </c>
      <c r="L4367" s="1" t="str">
        <f>"2018-10-04 09:02:24"</f>
        <v>2018-10-04 09:02:24</v>
      </c>
      <c r="M4367" s="1" t="s">
        <v>2</v>
      </c>
      <c r="N4367" s="1" t="s">
        <v>38</v>
      </c>
      <c r="O4367" s="1" t="s">
        <v>46</v>
      </c>
    </row>
    <row r="4368" spans="2:15" x14ac:dyDescent="0.3">
      <c r="B4368" s="1" t="s">
        <v>23</v>
      </c>
      <c r="C4368" s="1" t="str">
        <f>"4차"</f>
        <v>4차</v>
      </c>
      <c r="D4368" s="1" t="str">
        <f>"0325S89144"</f>
        <v>0325S89144</v>
      </c>
      <c r="E4368" s="1" t="s">
        <v>10</v>
      </c>
      <c r="F4368" s="1" t="str">
        <f>"10.11.73.58"</f>
        <v>10.11.73.58</v>
      </c>
      <c r="G4368" s="1" t="str">
        <f>"0325S891"</f>
        <v>0325S891</v>
      </c>
      <c r="H4368" s="1" t="str">
        <f>"초원간 48R4"</f>
        <v>초원간 48R4</v>
      </c>
      <c r="I4368" s="1" t="s">
        <v>8</v>
      </c>
      <c r="J4368" s="1" t="str">
        <f>"46/46"</f>
        <v>46/46</v>
      </c>
      <c r="K4368" s="1" t="str">
        <f>"2026-07-29 13:18:03"</f>
        <v>2026-07-29 13:18:03</v>
      </c>
      <c r="L4368" s="1" t="str">
        <f>"2019-11-08 08:42:15"</f>
        <v>2019-11-08 08:42:15</v>
      </c>
      <c r="M4368" s="1" t="s">
        <v>2</v>
      </c>
      <c r="N4368" s="1" t="s">
        <v>38</v>
      </c>
      <c r="O4368" s="1" t="s">
        <v>46</v>
      </c>
    </row>
    <row r="4369" spans="2:15" x14ac:dyDescent="0.3">
      <c r="B4369" s="1" t="s">
        <v>23</v>
      </c>
      <c r="C4369" s="1" t="str">
        <f>"5-1차"</f>
        <v>5-1차</v>
      </c>
      <c r="D4369" s="1" t="str">
        <f>"0325S9015S"</f>
        <v>0325S9015S</v>
      </c>
      <c r="E4369" s="1" t="s">
        <v>10</v>
      </c>
      <c r="F4369" s="1" t="str">
        <f>"fde3:102:1440:9300:0:0:0:2"</f>
        <v>fde3:102:1440:9300:0:0:0:2</v>
      </c>
      <c r="G4369" s="1" t="str">
        <f>"0325S901"</f>
        <v>0325S901</v>
      </c>
      <c r="H4369" s="1" t="str">
        <f>"초원간 34L13R2"</f>
        <v>초원간 34L13R2</v>
      </c>
      <c r="I4369" s="1" t="s">
        <v>15</v>
      </c>
      <c r="J4369" s="1" t="str">
        <f>"95/95"</f>
        <v>95/95</v>
      </c>
      <c r="K4369" s="1" t="str">
        <f>"2026-07-29 14:20:17"</f>
        <v>2026-07-29 14:20:17</v>
      </c>
      <c r="L4369" s="1" t="str">
        <f>"2022-10-26 09:59:25"</f>
        <v>2022-10-26 09:59:25</v>
      </c>
      <c r="M4369" s="1" t="s">
        <v>45</v>
      </c>
      <c r="N4369" s="1" t="s">
        <v>38</v>
      </c>
      <c r="O4369" s="1" t="s">
        <v>46</v>
      </c>
    </row>
    <row r="4370" spans="2:15" x14ac:dyDescent="0.3">
      <c r="B4370" s="1" t="s">
        <v>23</v>
      </c>
      <c r="C4370" s="1" t="str">
        <f>"4차"</f>
        <v>4차</v>
      </c>
      <c r="D4370" s="1" t="str">
        <f>"0325S91144"</f>
        <v>0325S91144</v>
      </c>
      <c r="E4370" s="1" t="s">
        <v>10</v>
      </c>
      <c r="F4370" s="1" t="str">
        <f>"10.11.71.202"</f>
        <v>10.11.71.202</v>
      </c>
      <c r="G4370" s="1" t="str">
        <f>"0325S911"</f>
        <v>0325S911</v>
      </c>
      <c r="H4370" s="1" t="str">
        <f>"초원간 34L13R4"</f>
        <v>초원간 34L13R4</v>
      </c>
      <c r="I4370" s="1" t="s">
        <v>8</v>
      </c>
      <c r="J4370" s="1" t="str">
        <f>"100/101"</f>
        <v>100/101</v>
      </c>
      <c r="K4370" s="1" t="str">
        <f>"2026-07-29 13:18:03"</f>
        <v>2026-07-29 13:18:03</v>
      </c>
      <c r="L4370" s="1" t="str">
        <f>"2019-11-04 19:53:05"</f>
        <v>2019-11-04 19:53:05</v>
      </c>
      <c r="M4370" s="1" t="s">
        <v>2</v>
      </c>
      <c r="N4370" s="1" t="s">
        <v>38</v>
      </c>
      <c r="O4370" s="1" t="s">
        <v>46</v>
      </c>
    </row>
    <row r="4371" spans="2:15" x14ac:dyDescent="0.3">
      <c r="B4371" s="1" t="s">
        <v>23</v>
      </c>
      <c r="C4371" s="1" t="str">
        <f>"3차"</f>
        <v>3차</v>
      </c>
      <c r="D4371" s="1" t="str">
        <f>"0325S93239"</f>
        <v>0325S93239</v>
      </c>
      <c r="E4371" s="1" t="s">
        <v>10</v>
      </c>
      <c r="F4371" s="1" t="str">
        <f>"10.11.82.18"</f>
        <v>10.11.82.18</v>
      </c>
      <c r="G4371" s="1" t="str">
        <f>"0325S932"</f>
        <v>0325S932</v>
      </c>
      <c r="H4371" s="1" t="str">
        <f>"초원간 34L7R5"</f>
        <v>초원간 34L7R5</v>
      </c>
      <c r="I4371" s="1" t="s">
        <v>8</v>
      </c>
      <c r="J4371" s="1" t="str">
        <f>"80/81"</f>
        <v>80/81</v>
      </c>
      <c r="K4371" s="1" t="str">
        <f>"2026-07-29 13:18:03"</f>
        <v>2026-07-29 13:18:03</v>
      </c>
      <c r="L4371" s="1" t="str">
        <f>"2018-10-02 10:18:25"</f>
        <v>2018-10-02 10:18:25</v>
      </c>
      <c r="M4371" s="1" t="s">
        <v>2</v>
      </c>
      <c r="N4371" s="1" t="s">
        <v>38</v>
      </c>
      <c r="O4371" s="1" t="s">
        <v>46</v>
      </c>
    </row>
    <row r="4372" spans="2:15" x14ac:dyDescent="0.3">
      <c r="B4372" s="1" t="s">
        <v>23</v>
      </c>
      <c r="C4372" s="1" t="str">
        <f>"4차"</f>
        <v>4차</v>
      </c>
      <c r="D4372" s="1" t="str">
        <f>"0325S94144"</f>
        <v>0325S94144</v>
      </c>
      <c r="E4372" s="1" t="s">
        <v>10</v>
      </c>
      <c r="F4372" s="1" t="str">
        <f>"10.11.72.250"</f>
        <v>10.11.72.250</v>
      </c>
      <c r="G4372" s="1" t="str">
        <f>"0325S941"</f>
        <v>0325S941</v>
      </c>
      <c r="H4372" s="1" t="str">
        <f>"초원간 41L4"</f>
        <v>초원간 41L4</v>
      </c>
      <c r="I4372" s="1" t="s">
        <v>8</v>
      </c>
      <c r="J4372" s="1" t="str">
        <f>"80/81"</f>
        <v>80/81</v>
      </c>
      <c r="K4372" s="1" t="str">
        <f>"2026-07-29 13:18:03"</f>
        <v>2026-07-29 13:18:03</v>
      </c>
      <c r="L4372" s="1" t="str">
        <f>"2019-11-06 05:12:25"</f>
        <v>2019-11-06 05:12:25</v>
      </c>
      <c r="M4372" s="1" t="s">
        <v>2</v>
      </c>
      <c r="N4372" s="1" t="s">
        <v>38</v>
      </c>
      <c r="O4372" s="1" t="s">
        <v>46</v>
      </c>
    </row>
    <row r="4373" spans="2:15" x14ac:dyDescent="0.3">
      <c r="B4373" s="1" t="s">
        <v>23</v>
      </c>
      <c r="C4373" s="1" t="str">
        <f>"4차"</f>
        <v>4차</v>
      </c>
      <c r="D4373" s="1" t="str">
        <f>"0325S95144"</f>
        <v>0325S95144</v>
      </c>
      <c r="E4373" s="1" t="s">
        <v>10</v>
      </c>
      <c r="F4373" s="1" t="str">
        <f>"10.11.73.10"</f>
        <v>10.11.73.10</v>
      </c>
      <c r="G4373" s="1" t="str">
        <f>"0325S951"</f>
        <v>0325S951</v>
      </c>
      <c r="H4373" s="1" t="str">
        <f>"초원간 41L5"</f>
        <v>초원간 41L5</v>
      </c>
      <c r="I4373" s="1" t="s">
        <v>8</v>
      </c>
      <c r="J4373" s="1" t="str">
        <f>"53/63"</f>
        <v>53/63</v>
      </c>
      <c r="K4373" s="1" t="str">
        <f>"2026-07-29 13:18:03"</f>
        <v>2026-07-29 13:18:03</v>
      </c>
      <c r="L4373" s="1" t="str">
        <f>"2019-11-05 18:43:31"</f>
        <v>2019-11-05 18:43:31</v>
      </c>
      <c r="M4373" s="1" t="s">
        <v>2</v>
      </c>
      <c r="N4373" s="1" t="s">
        <v>38</v>
      </c>
      <c r="O4373" s="1" t="s">
        <v>46</v>
      </c>
    </row>
    <row r="4374" spans="2:15" x14ac:dyDescent="0.3">
      <c r="B4374" s="1" t="s">
        <v>23</v>
      </c>
      <c r="C4374" s="1" t="str">
        <f>"4차"</f>
        <v>4차</v>
      </c>
      <c r="D4374" s="1" t="str">
        <f>"0325S96144"</f>
        <v>0325S96144</v>
      </c>
      <c r="E4374" s="1" t="s">
        <v>10</v>
      </c>
      <c r="F4374" s="1" t="str">
        <f>"10.11.73.26"</f>
        <v>10.11.73.26</v>
      </c>
      <c r="G4374" s="1" t="str">
        <f>"0325S961"</f>
        <v>0325S961</v>
      </c>
      <c r="H4374" s="1" t="str">
        <f>"초원간 44"</f>
        <v>초원간 44</v>
      </c>
      <c r="I4374" s="1" t="s">
        <v>8</v>
      </c>
      <c r="J4374" s="1" t="str">
        <f>"64/64"</f>
        <v>64/64</v>
      </c>
      <c r="K4374" s="1" t="str">
        <f>"2026-07-29 13:18:03"</f>
        <v>2026-07-29 13:18:03</v>
      </c>
      <c r="L4374" s="1" t="str">
        <f>"2019-11-05 18:53:46"</f>
        <v>2019-11-05 18:53:46</v>
      </c>
      <c r="M4374" s="1" t="s">
        <v>2</v>
      </c>
      <c r="N4374" s="1" t="s">
        <v>38</v>
      </c>
      <c r="O4374" s="1" t="s">
        <v>46</v>
      </c>
    </row>
    <row r="4375" spans="2:15" x14ac:dyDescent="0.3">
      <c r="B4375" s="1" t="s">
        <v>23</v>
      </c>
      <c r="C4375" s="1" t="str">
        <f>"4차"</f>
        <v>4차</v>
      </c>
      <c r="D4375" s="1" t="str">
        <f>"0325S98144"</f>
        <v>0325S98144</v>
      </c>
      <c r="E4375" s="1" t="s">
        <v>10</v>
      </c>
      <c r="F4375" s="1" t="str">
        <f>"10.11.64.90"</f>
        <v>10.11.64.90</v>
      </c>
      <c r="G4375" s="1" t="str">
        <f>"0325S981"</f>
        <v>0325S981</v>
      </c>
      <c r="H4375" s="1" t="str">
        <f>"광나루 61R6"</f>
        <v>광나루 61R6</v>
      </c>
      <c r="I4375" s="1" t="s">
        <v>8</v>
      </c>
      <c r="J4375" s="1" t="str">
        <f>"60/60"</f>
        <v>60/60</v>
      </c>
      <c r="K4375" s="1" t="str">
        <f>"2026-07-29 13:18:01"</f>
        <v>2026-07-29 13:18:01</v>
      </c>
      <c r="L4375" s="1" t="str">
        <f>"2019-10-29 10:53:05"</f>
        <v>2019-10-29 10:53:05</v>
      </c>
      <c r="M4375" s="1" t="s">
        <v>2</v>
      </c>
      <c r="N4375" s="1" t="s">
        <v>38</v>
      </c>
      <c r="O4375" s="1" t="s">
        <v>46</v>
      </c>
    </row>
    <row r="4376" spans="2:15" x14ac:dyDescent="0.3">
      <c r="B4376" s="1" t="s">
        <v>23</v>
      </c>
      <c r="C4376" s="1" t="str">
        <f>"4차"</f>
        <v>4차</v>
      </c>
      <c r="D4376" s="1" t="str">
        <f>"0325S98344"</f>
        <v>0325S98344</v>
      </c>
      <c r="E4376" s="1" t="s">
        <v>10</v>
      </c>
      <c r="F4376" s="1" t="str">
        <f>"10.11.64.98"</f>
        <v>10.11.64.98</v>
      </c>
      <c r="G4376" s="1" t="str">
        <f>"0325S983"</f>
        <v>0325S983</v>
      </c>
      <c r="H4376" s="1" t="str">
        <f>"광나루 61R8"</f>
        <v>광나루 61R8</v>
      </c>
      <c r="I4376" s="1" t="s">
        <v>8</v>
      </c>
      <c r="J4376" s="1" t="str">
        <f>"72/72"</f>
        <v>72/72</v>
      </c>
      <c r="K4376" s="1" t="str">
        <f>"2026-07-29 13:18:03"</f>
        <v>2026-07-29 13:18:03</v>
      </c>
      <c r="L4376" s="1" t="str">
        <f>"2019-10-29 10:53:05"</f>
        <v>2019-10-29 10:53:05</v>
      </c>
      <c r="M4376" s="1" t="s">
        <v>2</v>
      </c>
      <c r="N4376" s="1" t="s">
        <v>38</v>
      </c>
      <c r="O4376" s="1" t="s">
        <v>46</v>
      </c>
    </row>
    <row r="4377" spans="2:15" x14ac:dyDescent="0.3">
      <c r="B4377" s="1" t="s">
        <v>23</v>
      </c>
      <c r="C4377" s="1" t="str">
        <f>"3차"</f>
        <v>3차</v>
      </c>
      <c r="D4377" s="1" t="str">
        <f>"0325W06139"</f>
        <v>0325W06139</v>
      </c>
      <c r="E4377" s="1" t="s">
        <v>10</v>
      </c>
      <c r="F4377" s="1" t="str">
        <f>"10.11.61.242"</f>
        <v>10.11.61.242</v>
      </c>
      <c r="G4377" s="1" t="str">
        <f>"0325W061"</f>
        <v>0325W061</v>
      </c>
      <c r="H4377" s="1" t="str">
        <f>"화동간 68"</f>
        <v>화동간 68</v>
      </c>
      <c r="I4377" s="1" t="s">
        <v>8</v>
      </c>
      <c r="J4377" s="1" t="str">
        <f>"28/28"</f>
        <v>28/28</v>
      </c>
      <c r="K4377" s="1" t="str">
        <f>"2026-07-29 13:18:03"</f>
        <v>2026-07-29 13:18:03</v>
      </c>
      <c r="L4377" s="1" t="str">
        <f>"2018-04-27 13:16:28"</f>
        <v>2018-04-27 13:16:28</v>
      </c>
      <c r="M4377" s="1" t="s">
        <v>2</v>
      </c>
      <c r="N4377" s="1" t="s">
        <v>38</v>
      </c>
      <c r="O4377" s="1" t="s">
        <v>46</v>
      </c>
    </row>
    <row r="4378" spans="2:15" x14ac:dyDescent="0.3">
      <c r="B4378" s="1" t="s">
        <v>23</v>
      </c>
      <c r="C4378" s="1" t="str">
        <f>"4차"</f>
        <v>4차</v>
      </c>
      <c r="D4378" s="1" t="str">
        <f>"0325W06344"</f>
        <v>0325W06344</v>
      </c>
      <c r="E4378" s="1" t="s">
        <v>10</v>
      </c>
      <c r="F4378" s="1" t="str">
        <f>"10.11.75.98"</f>
        <v>10.11.75.98</v>
      </c>
      <c r="G4378" s="1" t="str">
        <f>"0325W063"</f>
        <v>0325W063</v>
      </c>
      <c r="H4378" s="1" t="str">
        <f>"화군간 67"</f>
        <v>화군간 67</v>
      </c>
      <c r="I4378" s="1" t="s">
        <v>8</v>
      </c>
      <c r="J4378" s="1" t="str">
        <f>"24/24"</f>
        <v>24/24</v>
      </c>
      <c r="K4378" s="1" t="str">
        <f>"2026-07-29 13:18:03"</f>
        <v>2026-07-29 13:18:03</v>
      </c>
      <c r="L4378" s="1" t="str">
        <f>"2019-11-19 13:52:37"</f>
        <v>2019-11-19 13:52:37</v>
      </c>
      <c r="M4378" s="1" t="s">
        <v>2</v>
      </c>
      <c r="N4378" s="1" t="s">
        <v>38</v>
      </c>
      <c r="O4378" s="1" t="s">
        <v>46</v>
      </c>
    </row>
    <row r="4379" spans="2:15" x14ac:dyDescent="0.3">
      <c r="B4379" s="1" t="s">
        <v>23</v>
      </c>
      <c r="C4379" s="1" t="str">
        <f>"3차"</f>
        <v>3차</v>
      </c>
      <c r="D4379" s="1" t="str">
        <f>"0325W07139"</f>
        <v>0325W07139</v>
      </c>
      <c r="E4379" s="1" t="s">
        <v>10</v>
      </c>
      <c r="F4379" s="1" t="str">
        <f>"10.11.54.250"</f>
        <v>10.11.54.250</v>
      </c>
      <c r="G4379" s="1" t="str">
        <f>"0325W071"</f>
        <v>0325W071</v>
      </c>
      <c r="H4379" s="1" t="str">
        <f>"화동간 67"</f>
        <v>화동간 67</v>
      </c>
      <c r="I4379" s="1" t="s">
        <v>8</v>
      </c>
      <c r="J4379" s="1" t="str">
        <f>"110/111"</f>
        <v>110/111</v>
      </c>
      <c r="K4379" s="1" t="str">
        <f>"2026-07-29 13:18:03"</f>
        <v>2026-07-29 13:18:03</v>
      </c>
      <c r="L4379" s="1" t="str">
        <f>"2018-04-27 13:19:42"</f>
        <v>2018-04-27 13:19:42</v>
      </c>
      <c r="M4379" s="1" t="s">
        <v>2</v>
      </c>
      <c r="N4379" s="1" t="s">
        <v>38</v>
      </c>
      <c r="O4379" s="1" t="s">
        <v>46</v>
      </c>
    </row>
    <row r="4380" spans="2:15" x14ac:dyDescent="0.3">
      <c r="B4380" s="1" t="s">
        <v>23</v>
      </c>
      <c r="C4380" s="1" t="str">
        <f>"4차"</f>
        <v>4차</v>
      </c>
      <c r="D4380" s="1" t="str">
        <f>"0325W09144"</f>
        <v>0325W09144</v>
      </c>
      <c r="E4380" s="1" t="s">
        <v>10</v>
      </c>
      <c r="F4380" s="1" t="str">
        <f>"10.11.67.162"</f>
        <v>10.11.67.162</v>
      </c>
      <c r="G4380" s="1" t="str">
        <f>"0325W091"</f>
        <v>0325W091</v>
      </c>
      <c r="H4380" s="1" t="str">
        <f>"송정지 17R1"</f>
        <v>송정지 17R1</v>
      </c>
      <c r="I4380" s="1" t="s">
        <v>8</v>
      </c>
      <c r="J4380" s="1" t="str">
        <f>"55/55"</f>
        <v>55/55</v>
      </c>
      <c r="K4380" s="1" t="str">
        <f>"2026-07-29 13:18:01"</f>
        <v>2026-07-29 13:18:01</v>
      </c>
      <c r="L4380" s="1" t="str">
        <f>"2019-10-29 10:53:04"</f>
        <v>2019-10-29 10:53:04</v>
      </c>
      <c r="M4380" s="1" t="s">
        <v>2</v>
      </c>
      <c r="N4380" s="1" t="s">
        <v>38</v>
      </c>
      <c r="O4380" s="1" t="s">
        <v>46</v>
      </c>
    </row>
    <row r="4381" spans="2:15" x14ac:dyDescent="0.3">
      <c r="B4381" s="1" t="s">
        <v>23</v>
      </c>
      <c r="C4381" s="1" t="str">
        <f>"4차"</f>
        <v>4차</v>
      </c>
      <c r="D4381" s="1" t="str">
        <f>"0325W13144"</f>
        <v>0325W13144</v>
      </c>
      <c r="E4381" s="1" t="s">
        <v>10</v>
      </c>
      <c r="F4381" s="1" t="str">
        <f>"10.11.63.250"</f>
        <v>10.11.63.250</v>
      </c>
      <c r="G4381" s="1" t="str">
        <f>"0325W131"</f>
        <v>0325W131</v>
      </c>
      <c r="H4381" s="1" t="str">
        <f>"공원간 47R2L5L2"</f>
        <v>공원간 47R2L5L2</v>
      </c>
      <c r="I4381" s="1" t="s">
        <v>8</v>
      </c>
      <c r="J4381" s="1" t="str">
        <f>"41/44"</f>
        <v>41/44</v>
      </c>
      <c r="K4381" s="1" t="str">
        <f t="shared" ref="K4381:K4392" si="249">"2026-07-29 13:18:03"</f>
        <v>2026-07-29 13:18:03</v>
      </c>
      <c r="L4381" s="1" t="str">
        <f>"2019-09-06 11:13:05"</f>
        <v>2019-09-06 11:13:05</v>
      </c>
      <c r="M4381" s="1" t="s">
        <v>2</v>
      </c>
      <c r="N4381" s="1" t="s">
        <v>38</v>
      </c>
      <c r="O4381" s="1" t="s">
        <v>46</v>
      </c>
    </row>
    <row r="4382" spans="2:15" x14ac:dyDescent="0.3">
      <c r="B4382" s="1" t="s">
        <v>23</v>
      </c>
      <c r="C4382" s="1" t="str">
        <f>"3차"</f>
        <v>3차</v>
      </c>
      <c r="D4382" s="1" t="str">
        <f>"0325W14132"</f>
        <v>0325W14132</v>
      </c>
      <c r="E4382" s="1" t="s">
        <v>10</v>
      </c>
      <c r="F4382" s="1" t="str">
        <f>"10.11.51.92"</f>
        <v>10.11.51.92</v>
      </c>
      <c r="G4382" s="1" t="str">
        <f>"0325W141"</f>
        <v>0325W141</v>
      </c>
      <c r="H4382" s="1" t="str">
        <f>"공원간 47R12"</f>
        <v>공원간 47R12</v>
      </c>
      <c r="I4382" s="1" t="s">
        <v>8</v>
      </c>
      <c r="J4382" s="1" t="str">
        <f>"7/9"</f>
        <v>7/9</v>
      </c>
      <c r="K4382" s="1" t="str">
        <f t="shared" si="249"/>
        <v>2026-07-29 13:18:03</v>
      </c>
      <c r="L4382" s="1" t="str">
        <f>"2018-05-17 10:04:54"</f>
        <v>2018-05-17 10:04:54</v>
      </c>
      <c r="M4382" s="1" t="s">
        <v>2</v>
      </c>
      <c r="N4382" s="1" t="s">
        <v>38</v>
      </c>
      <c r="O4382" s="1" t="s">
        <v>46</v>
      </c>
    </row>
    <row r="4383" spans="2:15" x14ac:dyDescent="0.3">
      <c r="B4383" s="1" t="s">
        <v>23</v>
      </c>
      <c r="C4383" s="1" t="str">
        <f>"4차"</f>
        <v>4차</v>
      </c>
      <c r="D4383" s="1" t="str">
        <f>"0325W14344"</f>
        <v>0325W14344</v>
      </c>
      <c r="E4383" s="1" t="s">
        <v>10</v>
      </c>
      <c r="F4383" s="1" t="str">
        <f>"10.11.64.2"</f>
        <v>10.11.64.2</v>
      </c>
      <c r="G4383" s="1" t="str">
        <f>"0325W143"</f>
        <v>0325W143</v>
      </c>
      <c r="H4383" s="1" t="str">
        <f>"공원간 47R2L6"</f>
        <v>공원간 47R2L6</v>
      </c>
      <c r="I4383" s="1" t="s">
        <v>8</v>
      </c>
      <c r="J4383" s="1" t="str">
        <f>"21/22"</f>
        <v>21/22</v>
      </c>
      <c r="K4383" s="1" t="str">
        <f t="shared" si="249"/>
        <v>2026-07-29 13:18:03</v>
      </c>
      <c r="L4383" s="1" t="str">
        <f>"2019-09-06 11:13:05"</f>
        <v>2019-09-06 11:13:05</v>
      </c>
      <c r="M4383" s="1" t="s">
        <v>2</v>
      </c>
      <c r="N4383" s="1" t="s">
        <v>38</v>
      </c>
      <c r="O4383" s="1" t="s">
        <v>46</v>
      </c>
    </row>
    <row r="4384" spans="2:15" x14ac:dyDescent="0.3">
      <c r="B4384" s="1" t="s">
        <v>23</v>
      </c>
      <c r="C4384" s="1" t="str">
        <f>"3차"</f>
        <v>3차</v>
      </c>
      <c r="D4384" s="1" t="str">
        <f>"0325W15130"</f>
        <v>0325W15130</v>
      </c>
      <c r="E4384" s="1" t="s">
        <v>10</v>
      </c>
      <c r="F4384" s="1" t="str">
        <f>"10.11.51.90"</f>
        <v>10.11.51.90</v>
      </c>
      <c r="G4384" s="1" t="str">
        <f>"0325W151"</f>
        <v>0325W151</v>
      </c>
      <c r="H4384" s="1" t="str">
        <f>"공원간 47R11"</f>
        <v>공원간 47R11</v>
      </c>
      <c r="I4384" s="1" t="s">
        <v>8</v>
      </c>
      <c r="J4384" s="1" t="str">
        <f>"42/42"</f>
        <v>42/42</v>
      </c>
      <c r="K4384" s="1" t="str">
        <f t="shared" si="249"/>
        <v>2026-07-29 13:18:03</v>
      </c>
      <c r="L4384" s="1" t="str">
        <f>"2018-03-22 09:11:10"</f>
        <v>2018-03-22 09:11:10</v>
      </c>
      <c r="M4384" s="1" t="s">
        <v>2</v>
      </c>
      <c r="N4384" s="1" t="s">
        <v>38</v>
      </c>
      <c r="O4384" s="1" t="s">
        <v>46</v>
      </c>
    </row>
    <row r="4385" spans="2:15" x14ac:dyDescent="0.3">
      <c r="B4385" s="1" t="s">
        <v>23</v>
      </c>
      <c r="C4385" s="1" t="str">
        <f t="shared" ref="C4385:C4390" si="250">"4차"</f>
        <v>4차</v>
      </c>
      <c r="D4385" s="1" t="str">
        <f>"0325W18239"</f>
        <v>0325W18239</v>
      </c>
      <c r="E4385" s="1" t="s">
        <v>10</v>
      </c>
      <c r="F4385" s="1" t="str">
        <f>"10.11.61.234"</f>
        <v>10.11.61.234</v>
      </c>
      <c r="G4385" s="1" t="str">
        <f>"0325W182"</f>
        <v>0325W182</v>
      </c>
      <c r="H4385" s="1" t="str">
        <f>"화동간 66"</f>
        <v>화동간 66</v>
      </c>
      <c r="I4385" s="1" t="s">
        <v>8</v>
      </c>
      <c r="J4385" s="1" t="str">
        <f>"83/83"</f>
        <v>83/83</v>
      </c>
      <c r="K4385" s="1" t="str">
        <f t="shared" si="249"/>
        <v>2026-07-29 13:18:03</v>
      </c>
      <c r="L4385" s="1" t="str">
        <f>"2018-04-27 13:09:57"</f>
        <v>2018-04-27 13:09:57</v>
      </c>
      <c r="M4385" s="1" t="s">
        <v>2</v>
      </c>
      <c r="N4385" s="1" t="s">
        <v>38</v>
      </c>
      <c r="O4385" s="1" t="s">
        <v>46</v>
      </c>
    </row>
    <row r="4386" spans="2:15" x14ac:dyDescent="0.3">
      <c r="B4386" s="1" t="s">
        <v>23</v>
      </c>
      <c r="C4386" s="1" t="str">
        <f t="shared" si="250"/>
        <v>4차</v>
      </c>
      <c r="D4386" s="1" t="str">
        <f>"0325W19644"</f>
        <v>0325W19644</v>
      </c>
      <c r="E4386" s="1" t="s">
        <v>10</v>
      </c>
      <c r="F4386" s="1" t="str">
        <f>"10.11.78.106"</f>
        <v>10.11.78.106</v>
      </c>
      <c r="G4386" s="1" t="str">
        <f>"0325W196"</f>
        <v>0325W196</v>
      </c>
      <c r="H4386" s="1" t="str">
        <f>"화군간 62"</f>
        <v>화군간 62</v>
      </c>
      <c r="I4386" s="1" t="s">
        <v>8</v>
      </c>
      <c r="J4386" s="1" t="str">
        <f>"11/11"</f>
        <v>11/11</v>
      </c>
      <c r="K4386" s="1" t="str">
        <f t="shared" si="249"/>
        <v>2026-07-29 13:18:03</v>
      </c>
      <c r="L4386" s="1" t="str">
        <f>"2019-11-18 23:37:27"</f>
        <v>2019-11-18 23:37:27</v>
      </c>
      <c r="M4386" s="1" t="s">
        <v>2</v>
      </c>
      <c r="N4386" s="1" t="s">
        <v>38</v>
      </c>
      <c r="O4386" s="1" t="s">
        <v>46</v>
      </c>
    </row>
    <row r="4387" spans="2:15" x14ac:dyDescent="0.3">
      <c r="B4387" s="1" t="s">
        <v>23</v>
      </c>
      <c r="C4387" s="1" t="str">
        <f t="shared" si="250"/>
        <v>4차</v>
      </c>
      <c r="D4387" s="1" t="str">
        <f>"0325W20539"</f>
        <v>0325W20539</v>
      </c>
      <c r="E4387" s="1" t="s">
        <v>10</v>
      </c>
      <c r="F4387" s="1" t="str">
        <f>"10.12.135.14"</f>
        <v>10.12.135.14</v>
      </c>
      <c r="G4387" s="1" t="str">
        <f>"0325W205"</f>
        <v>0325W205</v>
      </c>
      <c r="H4387" s="1" t="str">
        <f>"광나루 62-4"</f>
        <v>광나루 62-4</v>
      </c>
      <c r="I4387" s="1" t="s">
        <v>17</v>
      </c>
      <c r="J4387" s="1" t="str">
        <f>"6/6"</f>
        <v>6/6</v>
      </c>
      <c r="K4387" s="1" t="str">
        <f t="shared" si="249"/>
        <v>2026-07-29 13:18:03</v>
      </c>
      <c r="L4387" s="1" t="str">
        <f>"2018-05-15 07:25:24"</f>
        <v>2018-05-15 07:25:24</v>
      </c>
      <c r="M4387" s="1" t="s">
        <v>0</v>
      </c>
      <c r="N4387" s="1" t="s">
        <v>38</v>
      </c>
      <c r="O4387" s="1" t="s">
        <v>46</v>
      </c>
    </row>
    <row r="4388" spans="2:15" x14ac:dyDescent="0.3">
      <c r="B4388" s="1" t="s">
        <v>23</v>
      </c>
      <c r="C4388" s="1" t="str">
        <f t="shared" si="250"/>
        <v>4차</v>
      </c>
      <c r="D4388" s="1" t="str">
        <f>"0325W21539"</f>
        <v>0325W21539</v>
      </c>
      <c r="E4388" s="1" t="s">
        <v>10</v>
      </c>
      <c r="F4388" s="1" t="str">
        <f>"10.12.134.75"</f>
        <v>10.12.134.75</v>
      </c>
      <c r="G4388" s="1" t="str">
        <f>"0325W215"</f>
        <v>0325W215</v>
      </c>
      <c r="H4388" s="1" t="str">
        <f>"광나루 52-1"</f>
        <v>광나루 52-1</v>
      </c>
      <c r="I4388" s="1" t="s">
        <v>17</v>
      </c>
      <c r="J4388" s="1" t="str">
        <f>"3/3"</f>
        <v>3/3</v>
      </c>
      <c r="K4388" s="1" t="str">
        <f t="shared" si="249"/>
        <v>2026-07-29 13:18:03</v>
      </c>
      <c r="L4388" s="1" t="str">
        <f>"2018-10-09 10:43:25"</f>
        <v>2018-10-09 10:43:25</v>
      </c>
      <c r="M4388" s="1" t="s">
        <v>0</v>
      </c>
      <c r="N4388" s="1" t="s">
        <v>38</v>
      </c>
      <c r="O4388" s="1" t="s">
        <v>46</v>
      </c>
    </row>
    <row r="4389" spans="2:15" x14ac:dyDescent="0.3">
      <c r="B4389" s="1" t="s">
        <v>23</v>
      </c>
      <c r="C4389" s="1" t="str">
        <f t="shared" si="250"/>
        <v>4차</v>
      </c>
      <c r="D4389" s="1" t="str">
        <f>"0325W23144"</f>
        <v>0325W23144</v>
      </c>
      <c r="E4389" s="1" t="s">
        <v>10</v>
      </c>
      <c r="F4389" s="1" t="str">
        <f>"10.11.63.226"</f>
        <v>10.11.63.226</v>
      </c>
      <c r="G4389" s="1" t="str">
        <f>"0325W231"</f>
        <v>0325W231</v>
      </c>
      <c r="H4389" s="1" t="str">
        <f>"공원간 47R1A2"</f>
        <v>공원간 47R1A2</v>
      </c>
      <c r="I4389" s="1" t="s">
        <v>8</v>
      </c>
      <c r="J4389" s="1" t="str">
        <f>"46/46"</f>
        <v>46/46</v>
      </c>
      <c r="K4389" s="1" t="str">
        <f t="shared" si="249"/>
        <v>2026-07-29 13:18:03</v>
      </c>
      <c r="L4389" s="1" t="str">
        <f>"2019-09-06 11:13:04"</f>
        <v>2019-09-06 11:13:04</v>
      </c>
      <c r="M4389" s="1" t="s">
        <v>2</v>
      </c>
      <c r="N4389" s="1" t="s">
        <v>38</v>
      </c>
      <c r="O4389" s="1" t="s">
        <v>46</v>
      </c>
    </row>
    <row r="4390" spans="2:15" x14ac:dyDescent="0.3">
      <c r="B4390" s="1" t="s">
        <v>23</v>
      </c>
      <c r="C4390" s="1" t="str">
        <f t="shared" si="250"/>
        <v>4차</v>
      </c>
      <c r="D4390" s="1" t="str">
        <f>"0325W23344"</f>
        <v>0325W23344</v>
      </c>
      <c r="E4390" s="1" t="s">
        <v>10</v>
      </c>
      <c r="F4390" s="1" t="str">
        <f>"10.11.63.234"</f>
        <v>10.11.63.234</v>
      </c>
      <c r="G4390" s="1" t="str">
        <f>"0325W233"</f>
        <v>0325W233</v>
      </c>
      <c r="H4390" s="1" t="str">
        <f>"공원간 47R1A3"</f>
        <v>공원간 47R1A3</v>
      </c>
      <c r="I4390" s="1" t="s">
        <v>8</v>
      </c>
      <c r="J4390" s="1" t="str">
        <f>"79/79"</f>
        <v>79/79</v>
      </c>
      <c r="K4390" s="1" t="str">
        <f t="shared" si="249"/>
        <v>2026-07-29 13:18:03</v>
      </c>
      <c r="L4390" s="1" t="str">
        <f>"2019-09-06 11:13:03"</f>
        <v>2019-09-06 11:13:03</v>
      </c>
      <c r="M4390" s="1" t="s">
        <v>2</v>
      </c>
      <c r="N4390" s="1" t="s">
        <v>38</v>
      </c>
      <c r="O4390" s="1" t="s">
        <v>46</v>
      </c>
    </row>
    <row r="4391" spans="2:15" x14ac:dyDescent="0.3">
      <c r="B4391" s="1" t="s">
        <v>23</v>
      </c>
      <c r="C4391" s="1" t="str">
        <f>"3차"</f>
        <v>3차</v>
      </c>
      <c r="D4391" s="1" t="str">
        <f>"0325W25139"</f>
        <v>0325W25139</v>
      </c>
      <c r="E4391" s="1" t="s">
        <v>10</v>
      </c>
      <c r="F4391" s="1" t="str">
        <f>"10.11.58.74"</f>
        <v>10.11.58.74</v>
      </c>
      <c r="G4391" s="1" t="str">
        <f>"0325W251"</f>
        <v>0325W251</v>
      </c>
      <c r="H4391" s="1" t="str">
        <f>"공원간 47R8L2"</f>
        <v>공원간 47R8L2</v>
      </c>
      <c r="I4391" s="1" t="s">
        <v>8</v>
      </c>
      <c r="J4391" s="1" t="str">
        <f>"24/24"</f>
        <v>24/24</v>
      </c>
      <c r="K4391" s="1" t="str">
        <f t="shared" si="249"/>
        <v>2026-07-29 13:18:03</v>
      </c>
      <c r="L4391" s="1" t="str">
        <f>"2018-03-23 12:27:25"</f>
        <v>2018-03-23 12:27:25</v>
      </c>
      <c r="M4391" s="1" t="s">
        <v>2</v>
      </c>
      <c r="N4391" s="1" t="s">
        <v>38</v>
      </c>
      <c r="O4391" s="1" t="s">
        <v>46</v>
      </c>
    </row>
    <row r="4392" spans="2:15" x14ac:dyDescent="0.3">
      <c r="B4392" s="1" t="s">
        <v>23</v>
      </c>
      <c r="C4392" s="1" t="str">
        <f>"3차"</f>
        <v>3차</v>
      </c>
      <c r="D4392" s="1" t="str">
        <f>"0325W26139"</f>
        <v>0325W26139</v>
      </c>
      <c r="E4392" s="1" t="s">
        <v>10</v>
      </c>
      <c r="F4392" s="1" t="str">
        <f>"10.11.58.82"</f>
        <v>10.11.58.82</v>
      </c>
      <c r="G4392" s="1" t="str">
        <f>"0325W261"</f>
        <v>0325W261</v>
      </c>
      <c r="H4392" s="1" t="str">
        <f>"공원간 47R9"</f>
        <v>공원간 47R9</v>
      </c>
      <c r="I4392" s="1" t="s">
        <v>8</v>
      </c>
      <c r="J4392" s="1" t="str">
        <f>"71/71"</f>
        <v>71/71</v>
      </c>
      <c r="K4392" s="1" t="str">
        <f t="shared" si="249"/>
        <v>2026-07-29 13:18:03</v>
      </c>
      <c r="L4392" s="1" t="str">
        <f>"2018-03-24 13:44:11"</f>
        <v>2018-03-24 13:44:11</v>
      </c>
      <c r="M4392" s="1" t="s">
        <v>2</v>
      </c>
      <c r="N4392" s="1" t="s">
        <v>38</v>
      </c>
      <c r="O4392" s="1" t="s">
        <v>46</v>
      </c>
    </row>
    <row r="4393" spans="2:15" x14ac:dyDescent="0.3">
      <c r="B4393" s="1" t="s">
        <v>23</v>
      </c>
      <c r="C4393" s="1" t="str">
        <f>"3차"</f>
        <v>3차</v>
      </c>
      <c r="D4393" s="1" t="str">
        <f>"0325W26231"</f>
        <v>0325W26231</v>
      </c>
      <c r="E4393" s="1" t="s">
        <v>10</v>
      </c>
      <c r="F4393" s="1" t="str">
        <f>"10.11.51.91"</f>
        <v>10.11.51.91</v>
      </c>
      <c r="G4393" s="1" t="str">
        <f>"0325W262"</f>
        <v>0325W262</v>
      </c>
      <c r="H4393" s="1" t="str">
        <f>"공원간 47R10"</f>
        <v>공원간 47R10</v>
      </c>
      <c r="I4393" s="1" t="s">
        <v>8</v>
      </c>
      <c r="J4393" s="1" t="str">
        <f>"21/21"</f>
        <v>21/21</v>
      </c>
      <c r="K4393" s="1" t="str">
        <f>"2026-07-29 13:18:02"</f>
        <v>2026-07-29 13:18:02</v>
      </c>
      <c r="L4393" s="1" t="str">
        <f>"2018-05-17 10:16:09"</f>
        <v>2018-05-17 10:16:09</v>
      </c>
      <c r="M4393" s="1" t="s">
        <v>2</v>
      </c>
      <c r="N4393" s="1" t="s">
        <v>38</v>
      </c>
      <c r="O4393" s="1" t="s">
        <v>46</v>
      </c>
    </row>
    <row r="4394" spans="2:15" x14ac:dyDescent="0.3">
      <c r="B4394" s="1" t="s">
        <v>23</v>
      </c>
      <c r="C4394" s="1" t="str">
        <f>"4차"</f>
        <v>4차</v>
      </c>
      <c r="D4394" s="1" t="str">
        <f>"0325W28139"</f>
        <v>0325W28139</v>
      </c>
      <c r="E4394" s="1" t="s">
        <v>10</v>
      </c>
      <c r="F4394" s="1" t="str">
        <f>"10.11.58.26"</f>
        <v>10.11.58.26</v>
      </c>
      <c r="G4394" s="1" t="str">
        <f>"0325W281"</f>
        <v>0325W281</v>
      </c>
      <c r="H4394" s="1" t="str">
        <f>"공원간 38R4L1L1"</f>
        <v>공원간 38R4L1L1</v>
      </c>
      <c r="I4394" s="1" t="s">
        <v>8</v>
      </c>
      <c r="J4394" s="1" t="str">
        <f>"34/34"</f>
        <v>34/34</v>
      </c>
      <c r="K4394" s="1" t="str">
        <f>"2026-07-29 13:18:03"</f>
        <v>2026-07-29 13:18:03</v>
      </c>
      <c r="L4394" s="1" t="str">
        <f>"2018-03-22 16:45:58"</f>
        <v>2018-03-22 16:45:58</v>
      </c>
      <c r="M4394" s="1" t="s">
        <v>2</v>
      </c>
      <c r="N4394" s="1" t="s">
        <v>38</v>
      </c>
      <c r="O4394" s="1" t="s">
        <v>46</v>
      </c>
    </row>
    <row r="4395" spans="2:15" x14ac:dyDescent="0.3">
      <c r="B4395" s="1" t="s">
        <v>23</v>
      </c>
      <c r="C4395" s="1" t="str">
        <f>"3차"</f>
        <v>3차</v>
      </c>
      <c r="D4395" s="1" t="str">
        <f>"0325W29139"</f>
        <v>0325W29139</v>
      </c>
      <c r="E4395" s="1" t="s">
        <v>10</v>
      </c>
      <c r="F4395" s="1" t="str">
        <f>"10.11.51.66"</f>
        <v>10.11.51.66</v>
      </c>
      <c r="G4395" s="1" t="str">
        <f>"0325W291"</f>
        <v>0325W291</v>
      </c>
      <c r="H4395" s="1" t="str">
        <f>"공원간 38R4L1"</f>
        <v>공원간 38R4L1</v>
      </c>
      <c r="I4395" s="1" t="s">
        <v>8</v>
      </c>
      <c r="J4395" s="1" t="str">
        <f>"14/14"</f>
        <v>14/14</v>
      </c>
      <c r="K4395" s="1" t="str">
        <f>"2026-07-29 13:18:03"</f>
        <v>2026-07-29 13:18:03</v>
      </c>
      <c r="L4395" s="1" t="str">
        <f>"2018-03-22 16:55:43"</f>
        <v>2018-03-22 16:55:43</v>
      </c>
      <c r="M4395" s="1" t="s">
        <v>2</v>
      </c>
      <c r="N4395" s="1" t="s">
        <v>38</v>
      </c>
      <c r="O4395" s="1" t="s">
        <v>46</v>
      </c>
    </row>
    <row r="4396" spans="2:15" x14ac:dyDescent="0.3">
      <c r="B4396" s="1" t="s">
        <v>23</v>
      </c>
      <c r="C4396" s="1" t="str">
        <f>"3차"</f>
        <v>3차</v>
      </c>
      <c r="D4396" s="1" t="str">
        <f>"0325W29239"</f>
        <v>0325W29239</v>
      </c>
      <c r="E4396" s="1" t="s">
        <v>10</v>
      </c>
      <c r="F4396" s="1" t="str">
        <f>"10.11.58.34"</f>
        <v>10.11.58.34</v>
      </c>
      <c r="G4396" s="1" t="str">
        <f>"0325W292"</f>
        <v>0325W292</v>
      </c>
      <c r="H4396" s="1" t="str">
        <f>"공원간 38R4L2"</f>
        <v>공원간 38R4L2</v>
      </c>
      <c r="I4396" s="1" t="s">
        <v>8</v>
      </c>
      <c r="J4396" s="1" t="str">
        <f>"9/11"</f>
        <v>9/11</v>
      </c>
      <c r="K4396" s="1" t="str">
        <f>"2026-07-29 13:18:03"</f>
        <v>2026-07-29 13:18:03</v>
      </c>
      <c r="L4396" s="1" t="str">
        <f>"2018-03-22 17:10:29"</f>
        <v>2018-03-22 17:10:29</v>
      </c>
      <c r="M4396" s="1" t="s">
        <v>2</v>
      </c>
      <c r="N4396" s="1" t="s">
        <v>38</v>
      </c>
      <c r="O4396" s="1" t="s">
        <v>46</v>
      </c>
    </row>
    <row r="4397" spans="2:15" x14ac:dyDescent="0.3">
      <c r="B4397" s="1" t="s">
        <v>23</v>
      </c>
      <c r="C4397" s="1" t="str">
        <f>"3차"</f>
        <v>3차</v>
      </c>
      <c r="D4397" s="1" t="str">
        <f>"0325W30239"</f>
        <v>0325W30239</v>
      </c>
      <c r="E4397" s="1" t="s">
        <v>10</v>
      </c>
      <c r="F4397" s="1" t="str">
        <f>"10.12.133.90"</f>
        <v>10.12.133.90</v>
      </c>
      <c r="G4397" s="1" t="str">
        <f>"0325W302"</f>
        <v>0325W302</v>
      </c>
      <c r="H4397" s="1" t="str">
        <f>"광나루 62-2"</f>
        <v>광나루 62-2</v>
      </c>
      <c r="I4397" s="1" t="s">
        <v>17</v>
      </c>
      <c r="J4397" s="1" t="str">
        <f>"3/4"</f>
        <v>3/4</v>
      </c>
      <c r="K4397" s="1" t="str">
        <f>"2026-07-29 13:18:04"</f>
        <v>2026-07-29 13:18:04</v>
      </c>
      <c r="L4397" s="1" t="str">
        <f>"2018-06-18 10:56:44"</f>
        <v>2018-06-18 10:56:44</v>
      </c>
      <c r="M4397" s="1" t="s">
        <v>0</v>
      </c>
      <c r="N4397" s="1" t="s">
        <v>38</v>
      </c>
      <c r="O4397" s="1" t="s">
        <v>46</v>
      </c>
    </row>
    <row r="4398" spans="2:15" x14ac:dyDescent="0.3">
      <c r="B4398" s="1" t="s">
        <v>23</v>
      </c>
      <c r="C4398" s="1" t="str">
        <f>"4차"</f>
        <v>4차</v>
      </c>
      <c r="D4398" s="1" t="str">
        <f>"0325W34344"</f>
        <v>0325W34344</v>
      </c>
      <c r="E4398" s="1" t="s">
        <v>10</v>
      </c>
      <c r="F4398" s="1" t="str">
        <f>"10.11.63.242"</f>
        <v>10.11.63.242</v>
      </c>
      <c r="G4398" s="1" t="str">
        <f>"0325W343"</f>
        <v>0325W343</v>
      </c>
      <c r="H4398" s="1" t="str">
        <f>"공원간 47R2L2"</f>
        <v>공원간 47R2L2</v>
      </c>
      <c r="I4398" s="1" t="s">
        <v>8</v>
      </c>
      <c r="J4398" s="1" t="str">
        <f>"52/53"</f>
        <v>52/53</v>
      </c>
      <c r="K4398" s="1" t="str">
        <f t="shared" ref="K4398:K4406" si="251">"2026-07-29 13:18:03"</f>
        <v>2026-07-29 13:18:03</v>
      </c>
      <c r="L4398" s="1" t="str">
        <f>"2019-09-06 11:03:04"</f>
        <v>2019-09-06 11:03:04</v>
      </c>
      <c r="M4398" s="1" t="s">
        <v>2</v>
      </c>
      <c r="N4398" s="1" t="s">
        <v>38</v>
      </c>
      <c r="O4398" s="1" t="s">
        <v>46</v>
      </c>
    </row>
    <row r="4399" spans="2:15" x14ac:dyDescent="0.3">
      <c r="B4399" s="1" t="s">
        <v>23</v>
      </c>
      <c r="C4399" s="1" t="str">
        <f t="shared" ref="C4399:C4404" si="252">"3차"</f>
        <v>3차</v>
      </c>
      <c r="D4399" s="1" t="str">
        <f>"0325W34639"</f>
        <v>0325W34639</v>
      </c>
      <c r="E4399" s="1" t="s">
        <v>10</v>
      </c>
      <c r="F4399" s="1" t="str">
        <f>"10.11.51.98"</f>
        <v>10.11.51.98</v>
      </c>
      <c r="G4399" s="1" t="str">
        <f>"0325W346"</f>
        <v>0325W346</v>
      </c>
      <c r="H4399" s="1" t="str">
        <f>"공원간 47R2"</f>
        <v>공원간 47R2</v>
      </c>
      <c r="I4399" s="1" t="s">
        <v>8</v>
      </c>
      <c r="J4399" s="1" t="str">
        <f>"13/13"</f>
        <v>13/13</v>
      </c>
      <c r="K4399" s="1" t="str">
        <f t="shared" si="251"/>
        <v>2026-07-29 13:18:03</v>
      </c>
      <c r="L4399" s="1" t="str">
        <f>"2018-03-30 16:26:28"</f>
        <v>2018-03-30 16:26:28</v>
      </c>
      <c r="M4399" s="1" t="s">
        <v>2</v>
      </c>
      <c r="N4399" s="1" t="s">
        <v>38</v>
      </c>
      <c r="O4399" s="1" t="s">
        <v>46</v>
      </c>
    </row>
    <row r="4400" spans="2:15" x14ac:dyDescent="0.3">
      <c r="B4400" s="1" t="s">
        <v>23</v>
      </c>
      <c r="C4400" s="1" t="str">
        <f t="shared" si="252"/>
        <v>3차</v>
      </c>
      <c r="D4400" s="1" t="str">
        <f>"0325W35139"</f>
        <v>0325W35139</v>
      </c>
      <c r="E4400" s="1" t="s">
        <v>10</v>
      </c>
      <c r="F4400" s="1" t="str">
        <f>"10.11.58.66"</f>
        <v>10.11.58.66</v>
      </c>
      <c r="G4400" s="1" t="str">
        <f>"0325W351"</f>
        <v>0325W351</v>
      </c>
      <c r="H4400" s="1" t="str">
        <f>"공원간 47R5"</f>
        <v>공원간 47R5</v>
      </c>
      <c r="I4400" s="1" t="s">
        <v>8</v>
      </c>
      <c r="J4400" s="1" t="str">
        <f>"10/10"</f>
        <v>10/10</v>
      </c>
      <c r="K4400" s="1" t="str">
        <f t="shared" si="251"/>
        <v>2026-07-29 13:18:03</v>
      </c>
      <c r="L4400" s="1" t="str">
        <f>"2018-03-23 13:40:11"</f>
        <v>2018-03-23 13:40:11</v>
      </c>
      <c r="M4400" s="1" t="s">
        <v>2</v>
      </c>
      <c r="N4400" s="1" t="s">
        <v>38</v>
      </c>
      <c r="O4400" s="1" t="s">
        <v>46</v>
      </c>
    </row>
    <row r="4401" spans="2:15" x14ac:dyDescent="0.3">
      <c r="B4401" s="1" t="s">
        <v>23</v>
      </c>
      <c r="C4401" s="1" t="str">
        <f t="shared" si="252"/>
        <v>3차</v>
      </c>
      <c r="D4401" s="1" t="str">
        <f>"0325W36139"</f>
        <v>0325W36139</v>
      </c>
      <c r="E4401" s="1" t="s">
        <v>10</v>
      </c>
      <c r="F4401" s="1" t="str">
        <f>"10.11.51.106"</f>
        <v>10.11.51.106</v>
      </c>
      <c r="G4401" s="1" t="str">
        <f>"0325W361"</f>
        <v>0325W361</v>
      </c>
      <c r="H4401" s="1" t="str">
        <f>"공원간 47R7"</f>
        <v>공원간 47R7</v>
      </c>
      <c r="I4401" s="1" t="s">
        <v>8</v>
      </c>
      <c r="J4401" s="1" t="str">
        <f>"35/35"</f>
        <v>35/35</v>
      </c>
      <c r="K4401" s="1" t="str">
        <f t="shared" si="251"/>
        <v>2026-07-29 13:18:03</v>
      </c>
      <c r="L4401" s="1" t="str">
        <f>"2018-03-23 12:48:56"</f>
        <v>2018-03-23 12:48:56</v>
      </c>
      <c r="M4401" s="1" t="s">
        <v>2</v>
      </c>
      <c r="N4401" s="1" t="s">
        <v>38</v>
      </c>
      <c r="O4401" s="1" t="s">
        <v>46</v>
      </c>
    </row>
    <row r="4402" spans="2:15" x14ac:dyDescent="0.3">
      <c r="B4402" s="1" t="s">
        <v>23</v>
      </c>
      <c r="C4402" s="1" t="str">
        <f t="shared" si="252"/>
        <v>3차</v>
      </c>
      <c r="D4402" s="1" t="str">
        <f>"0325W36239"</f>
        <v>0325W36239</v>
      </c>
      <c r="E4402" s="1" t="s">
        <v>10</v>
      </c>
      <c r="F4402" s="1" t="str">
        <f>"10.11.51.114"</f>
        <v>10.11.51.114</v>
      </c>
      <c r="G4402" s="1" t="str">
        <f>"0325W362"</f>
        <v>0325W362</v>
      </c>
      <c r="H4402" s="1" t="str">
        <f>"공원간 47R8"</f>
        <v>공원간 47R8</v>
      </c>
      <c r="I4402" s="1" t="s">
        <v>8</v>
      </c>
      <c r="J4402" s="1" t="str">
        <f>"42/42"</f>
        <v>42/42</v>
      </c>
      <c r="K4402" s="1" t="str">
        <f t="shared" si="251"/>
        <v>2026-07-29 13:18:03</v>
      </c>
      <c r="L4402" s="1" t="str">
        <f>"2018-03-23 11:01:10"</f>
        <v>2018-03-23 11:01:10</v>
      </c>
      <c r="M4402" s="1" t="s">
        <v>2</v>
      </c>
      <c r="N4402" s="1" t="s">
        <v>38</v>
      </c>
      <c r="O4402" s="1" t="s">
        <v>46</v>
      </c>
    </row>
    <row r="4403" spans="2:15" x14ac:dyDescent="0.3">
      <c r="B4403" s="1" t="s">
        <v>23</v>
      </c>
      <c r="C4403" s="1" t="str">
        <f t="shared" si="252"/>
        <v>3차</v>
      </c>
      <c r="D4403" s="1" t="str">
        <f>"0325W38239"</f>
        <v>0325W38239</v>
      </c>
      <c r="E4403" s="1" t="s">
        <v>10</v>
      </c>
      <c r="F4403" s="1" t="str">
        <f>"10.11.51.58"</f>
        <v>10.11.51.58</v>
      </c>
      <c r="G4403" s="1" t="str">
        <f>"0325W382"</f>
        <v>0325W382</v>
      </c>
      <c r="H4403" s="1" t="str">
        <f>"공원간 38R4"</f>
        <v>공원간 38R4</v>
      </c>
      <c r="I4403" s="1" t="s">
        <v>8</v>
      </c>
      <c r="J4403" s="1" t="str">
        <f>"15/15"</f>
        <v>15/15</v>
      </c>
      <c r="K4403" s="1" t="str">
        <f t="shared" si="251"/>
        <v>2026-07-29 13:18:03</v>
      </c>
      <c r="L4403" s="1" t="str">
        <f>"2018-03-22 16:41:43"</f>
        <v>2018-03-22 16:41:43</v>
      </c>
      <c r="M4403" s="1" t="s">
        <v>2</v>
      </c>
      <c r="N4403" s="1" t="s">
        <v>38</v>
      </c>
      <c r="O4403" s="1" t="s">
        <v>46</v>
      </c>
    </row>
    <row r="4404" spans="2:15" x14ac:dyDescent="0.3">
      <c r="B4404" s="1" t="s">
        <v>23</v>
      </c>
      <c r="C4404" s="1" t="str">
        <f t="shared" si="252"/>
        <v>3차</v>
      </c>
      <c r="D4404" s="1" t="str">
        <f>"0325W39139"</f>
        <v>0325W39139</v>
      </c>
      <c r="E4404" s="1" t="s">
        <v>10</v>
      </c>
      <c r="F4404" s="1" t="str">
        <f>"10.11.51.74"</f>
        <v>10.11.51.74</v>
      </c>
      <c r="G4404" s="1" t="str">
        <f>"0325W391"</f>
        <v>0325W391</v>
      </c>
      <c r="H4404" s="1" t="str">
        <f>"공원간 38R5"</f>
        <v>공원간 38R5</v>
      </c>
      <c r="I4404" s="1" t="s">
        <v>8</v>
      </c>
      <c r="J4404" s="1" t="str">
        <f>"66/66"</f>
        <v>66/66</v>
      </c>
      <c r="K4404" s="1" t="str">
        <f t="shared" si="251"/>
        <v>2026-07-29 13:18:03</v>
      </c>
      <c r="L4404" s="1" t="str">
        <f>"2018-03-23 09:16:54"</f>
        <v>2018-03-23 09:16:54</v>
      </c>
      <c r="M4404" s="1" t="s">
        <v>2</v>
      </c>
      <c r="N4404" s="1" t="s">
        <v>38</v>
      </c>
      <c r="O4404" s="1" t="s">
        <v>46</v>
      </c>
    </row>
    <row r="4405" spans="2:15" x14ac:dyDescent="0.3">
      <c r="B4405" s="1" t="s">
        <v>23</v>
      </c>
      <c r="C4405" s="1" t="str">
        <f>"4차"</f>
        <v>4차</v>
      </c>
      <c r="D4405" s="1" t="str">
        <f>"0325W40A39"</f>
        <v>0325W40A39</v>
      </c>
      <c r="E4405" s="1" t="s">
        <v>10</v>
      </c>
      <c r="F4405" s="1" t="str">
        <f>"10.12.133.102"</f>
        <v>10.12.133.102</v>
      </c>
      <c r="G4405" s="1" t="str">
        <f>"0325W40A"</f>
        <v>0325W40A</v>
      </c>
      <c r="H4405" s="1" t="str">
        <f>"광나루 54-5"</f>
        <v>광나루 54-5</v>
      </c>
      <c r="I4405" s="1" t="s">
        <v>17</v>
      </c>
      <c r="J4405" s="1" t="str">
        <f>"4/4"</f>
        <v>4/4</v>
      </c>
      <c r="K4405" s="1" t="str">
        <f t="shared" si="251"/>
        <v>2026-07-29 13:18:03</v>
      </c>
      <c r="L4405" s="1" t="str">
        <f>"2018-06-18 12:52:58"</f>
        <v>2018-06-18 12:52:58</v>
      </c>
      <c r="M4405" s="1" t="s">
        <v>0</v>
      </c>
      <c r="N4405" s="1" t="s">
        <v>38</v>
      </c>
      <c r="O4405" s="1" t="s">
        <v>46</v>
      </c>
    </row>
    <row r="4406" spans="2:15" x14ac:dyDescent="0.3">
      <c r="B4406" s="1" t="s">
        <v>23</v>
      </c>
      <c r="C4406" s="1" t="str">
        <f>"4차"</f>
        <v>4차</v>
      </c>
      <c r="D4406" s="1" t="str">
        <f>"0325W42344"</f>
        <v>0325W42344</v>
      </c>
      <c r="E4406" s="1" t="s">
        <v>10</v>
      </c>
      <c r="F4406" s="1" t="str">
        <f>"10.11.76.98"</f>
        <v>10.11.76.98</v>
      </c>
      <c r="G4406" s="1" t="str">
        <f>"0325W423"</f>
        <v>0325W423</v>
      </c>
      <c r="H4406" s="1" t="str">
        <f>"공원간 50"</f>
        <v>공원간 50</v>
      </c>
      <c r="I4406" s="1" t="s">
        <v>8</v>
      </c>
      <c r="J4406" s="1" t="str">
        <f>"12/12"</f>
        <v>12/12</v>
      </c>
      <c r="K4406" s="1" t="str">
        <f t="shared" si="251"/>
        <v>2026-07-29 13:18:03</v>
      </c>
      <c r="L4406" s="1" t="str">
        <f>"2021-07-28 16:42:21"</f>
        <v>2021-07-28 16:42:21</v>
      </c>
      <c r="M4406" s="1" t="s">
        <v>2</v>
      </c>
      <c r="N4406" s="1" t="s">
        <v>38</v>
      </c>
      <c r="O4406" s="1" t="s">
        <v>46</v>
      </c>
    </row>
    <row r="4407" spans="2:15" x14ac:dyDescent="0.3">
      <c r="B4407" s="1" t="s">
        <v>23</v>
      </c>
      <c r="C4407" s="1" t="str">
        <f>"5-2차"</f>
        <v>5-2차</v>
      </c>
      <c r="D4407" s="1" t="str">
        <f>"0325W4555M"</f>
        <v>0325W4555M</v>
      </c>
      <c r="E4407" s="1" t="s">
        <v>10</v>
      </c>
      <c r="F4407" s="1" t="str">
        <f>"fde1:103:4:6eb5:0:0:0:2"</f>
        <v>fde1:103:4:6eb5:0:0:0:2</v>
      </c>
      <c r="G4407" s="1" t="str">
        <f>"0325W455"</f>
        <v>0325W455</v>
      </c>
      <c r="H4407" s="1" t="str">
        <f>"공원간 43"</f>
        <v>공원간 43</v>
      </c>
      <c r="I4407" s="1" t="s">
        <v>15</v>
      </c>
      <c r="J4407" s="1" t="str">
        <f>"1/1"</f>
        <v>1/1</v>
      </c>
      <c r="K4407" s="1" t="str">
        <f>"2026-07-29 14:20:16"</f>
        <v>2026-07-29 14:20:16</v>
      </c>
      <c r="L4407" s="1" t="str">
        <f>"2023-11-14 15:44:47"</f>
        <v>2023-11-14 15:44:47</v>
      </c>
      <c r="M4407" s="1" t="s">
        <v>4</v>
      </c>
      <c r="N4407" s="1" t="s">
        <v>38</v>
      </c>
      <c r="O4407" s="1" t="s">
        <v>46</v>
      </c>
    </row>
    <row r="4408" spans="2:15" x14ac:dyDescent="0.3">
      <c r="B4408" s="1" t="s">
        <v>23</v>
      </c>
      <c r="C4408" s="1" t="str">
        <f>"4차"</f>
        <v>4차</v>
      </c>
      <c r="D4408" s="1" t="str">
        <f>"0325W47144"</f>
        <v>0325W47144</v>
      </c>
      <c r="E4408" s="1" t="s">
        <v>10</v>
      </c>
      <c r="F4408" s="1" t="str">
        <f>"10.11.63.178"</f>
        <v>10.11.63.178</v>
      </c>
      <c r="G4408" s="1" t="str">
        <f>"0325W471"</f>
        <v>0325W471</v>
      </c>
      <c r="H4408" s="1" t="str">
        <f>"공원간 39"</f>
        <v>공원간 39</v>
      </c>
      <c r="I4408" s="1" t="s">
        <v>8</v>
      </c>
      <c r="J4408" s="1" t="str">
        <f>"45/45"</f>
        <v>45/45</v>
      </c>
      <c r="K4408" s="1" t="str">
        <f t="shared" ref="K4408:K4413" si="253">"2026-07-29 13:18:03"</f>
        <v>2026-07-29 13:18:03</v>
      </c>
      <c r="L4408" s="1" t="str">
        <f>"2019-09-06 11:13:05"</f>
        <v>2019-09-06 11:13:05</v>
      </c>
      <c r="M4408" s="1" t="s">
        <v>2</v>
      </c>
      <c r="N4408" s="1" t="s">
        <v>38</v>
      </c>
      <c r="O4408" s="1" t="s">
        <v>46</v>
      </c>
    </row>
    <row r="4409" spans="2:15" x14ac:dyDescent="0.3">
      <c r="B4409" s="1" t="s">
        <v>23</v>
      </c>
      <c r="C4409" s="1" t="str">
        <f>"3차"</f>
        <v>3차</v>
      </c>
      <c r="D4409" s="1" t="str">
        <f>"0325W47539"</f>
        <v>0325W47539</v>
      </c>
      <c r="E4409" s="1" t="s">
        <v>10</v>
      </c>
      <c r="F4409" s="1" t="str">
        <f>"10.11.58.10"</f>
        <v>10.11.58.10</v>
      </c>
      <c r="G4409" s="1" t="str">
        <f>"0325W475"</f>
        <v>0325W475</v>
      </c>
      <c r="H4409" s="1" t="str">
        <f>"공원간 38R2L1"</f>
        <v>공원간 38R2L1</v>
      </c>
      <c r="I4409" s="1" t="s">
        <v>8</v>
      </c>
      <c r="J4409" s="1" t="str">
        <f>"41/41"</f>
        <v>41/41</v>
      </c>
      <c r="K4409" s="1" t="str">
        <f t="shared" si="253"/>
        <v>2026-07-29 13:18:03</v>
      </c>
      <c r="L4409" s="1" t="str">
        <f>"2018-03-22 16:30:28"</f>
        <v>2018-03-22 16:30:28</v>
      </c>
      <c r="M4409" s="1" t="s">
        <v>2</v>
      </c>
      <c r="N4409" s="1" t="s">
        <v>38</v>
      </c>
      <c r="O4409" s="1" t="s">
        <v>46</v>
      </c>
    </row>
    <row r="4410" spans="2:15" x14ac:dyDescent="0.3">
      <c r="B4410" s="1" t="s">
        <v>23</v>
      </c>
      <c r="C4410" s="1" t="str">
        <f>"3차"</f>
        <v>3차</v>
      </c>
      <c r="D4410" s="1" t="str">
        <f>"0325W48239"</f>
        <v>0325W48239</v>
      </c>
      <c r="E4410" s="1" t="s">
        <v>10</v>
      </c>
      <c r="F4410" s="1" t="str">
        <f>"10.11.51.42"</f>
        <v>10.11.51.42</v>
      </c>
      <c r="G4410" s="1" t="str">
        <f>"0325W482"</f>
        <v>0325W482</v>
      </c>
      <c r="H4410" s="1" t="str">
        <f>"공원간 38R1"</f>
        <v>공원간 38R1</v>
      </c>
      <c r="I4410" s="1" t="s">
        <v>8</v>
      </c>
      <c r="J4410" s="1" t="str">
        <f>"21/21"</f>
        <v>21/21</v>
      </c>
      <c r="K4410" s="1" t="str">
        <f t="shared" si="253"/>
        <v>2026-07-29 13:18:03</v>
      </c>
      <c r="L4410" s="1" t="str">
        <f>"2018-03-22 12:18:43"</f>
        <v>2018-03-22 12:18:43</v>
      </c>
      <c r="M4410" s="1" t="s">
        <v>2</v>
      </c>
      <c r="N4410" s="1" t="s">
        <v>38</v>
      </c>
      <c r="O4410" s="1" t="s">
        <v>46</v>
      </c>
    </row>
    <row r="4411" spans="2:15" x14ac:dyDescent="0.3">
      <c r="B4411" s="1" t="s">
        <v>23</v>
      </c>
      <c r="C4411" s="1" t="str">
        <f>"4차"</f>
        <v>4차</v>
      </c>
      <c r="D4411" s="1" t="str">
        <f>"0325W49144"</f>
        <v>0325W49144</v>
      </c>
      <c r="E4411" s="1" t="s">
        <v>10</v>
      </c>
      <c r="F4411" s="1" t="str">
        <f>"10.11.63.170"</f>
        <v>10.11.63.170</v>
      </c>
      <c r="G4411" s="1" t="str">
        <f>"0325W491"</f>
        <v>0325W491</v>
      </c>
      <c r="H4411" s="1" t="str">
        <f>"공원간 36"</f>
        <v>공원간 36</v>
      </c>
      <c r="I4411" s="1" t="s">
        <v>8</v>
      </c>
      <c r="J4411" s="1" t="str">
        <f>"18/20"</f>
        <v>18/20</v>
      </c>
      <c r="K4411" s="1" t="str">
        <f t="shared" si="253"/>
        <v>2026-07-29 13:18:03</v>
      </c>
      <c r="L4411" s="1" t="str">
        <f>"2019-09-06 11:13:04"</f>
        <v>2019-09-06 11:13:04</v>
      </c>
      <c r="M4411" s="1" t="s">
        <v>2</v>
      </c>
      <c r="N4411" s="1" t="s">
        <v>38</v>
      </c>
      <c r="O4411" s="1" t="s">
        <v>46</v>
      </c>
    </row>
    <row r="4412" spans="2:15" x14ac:dyDescent="0.3">
      <c r="B4412" s="1" t="s">
        <v>23</v>
      </c>
      <c r="C4412" s="1" t="str">
        <f>"4차"</f>
        <v>4차</v>
      </c>
      <c r="D4412" s="1" t="str">
        <f>"0325W50639"</f>
        <v>0325W50639</v>
      </c>
      <c r="E4412" s="1" t="s">
        <v>10</v>
      </c>
      <c r="F4412" s="1" t="str">
        <f>"10.12.132.63"</f>
        <v>10.12.132.63</v>
      </c>
      <c r="G4412" s="1" t="str">
        <f>"0325W506"</f>
        <v>0325W506</v>
      </c>
      <c r="H4412" s="1" t="str">
        <f>"광나루 54-4"</f>
        <v>광나루 54-4</v>
      </c>
      <c r="I4412" s="1" t="s">
        <v>17</v>
      </c>
      <c r="J4412" s="1" t="str">
        <f>"5/5"</f>
        <v>5/5</v>
      </c>
      <c r="K4412" s="1" t="str">
        <f t="shared" si="253"/>
        <v>2026-07-29 13:18:03</v>
      </c>
      <c r="L4412" s="1" t="str">
        <f>"2018-06-18 11:59:27"</f>
        <v>2018-06-18 11:59:27</v>
      </c>
      <c r="M4412" s="1" t="s">
        <v>0</v>
      </c>
      <c r="N4412" s="1" t="s">
        <v>38</v>
      </c>
      <c r="O4412" s="1" t="s">
        <v>46</v>
      </c>
    </row>
    <row r="4413" spans="2:15" x14ac:dyDescent="0.3">
      <c r="B4413" s="1" t="s">
        <v>23</v>
      </c>
      <c r="C4413" s="1" t="str">
        <f>"4차"</f>
        <v>4차</v>
      </c>
      <c r="D4413" s="1" t="str">
        <f>"0325W58144"</f>
        <v>0325W58144</v>
      </c>
      <c r="E4413" s="1" t="s">
        <v>10</v>
      </c>
      <c r="F4413" s="1" t="str">
        <f>"10.11.63.210"</f>
        <v>10.11.63.210</v>
      </c>
      <c r="G4413" s="1" t="str">
        <f>"0325W581"</f>
        <v>0325W581</v>
      </c>
      <c r="H4413" s="1" t="str">
        <f>"공원간 40L8"</f>
        <v>공원간 40L8</v>
      </c>
      <c r="I4413" s="1" t="s">
        <v>8</v>
      </c>
      <c r="J4413" s="1" t="str">
        <f>"27/29"</f>
        <v>27/29</v>
      </c>
      <c r="K4413" s="1" t="str">
        <f t="shared" si="253"/>
        <v>2026-07-29 13:18:03</v>
      </c>
      <c r="L4413" s="1" t="str">
        <f>"2019-09-06 11:03:04"</f>
        <v>2019-09-06 11:03:04</v>
      </c>
      <c r="M4413" s="1" t="s">
        <v>2</v>
      </c>
      <c r="N4413" s="1" t="s">
        <v>38</v>
      </c>
      <c r="O4413" s="1" t="s">
        <v>46</v>
      </c>
    </row>
    <row r="4414" spans="2:15" x14ac:dyDescent="0.3">
      <c r="B4414" s="1" t="s">
        <v>23</v>
      </c>
      <c r="C4414" s="1" t="str">
        <f>"3차"</f>
        <v>3차</v>
      </c>
      <c r="D4414" s="1" t="str">
        <f>"0325W60139"</f>
        <v>0325W60139</v>
      </c>
      <c r="E4414" s="1" t="s">
        <v>10</v>
      </c>
      <c r="F4414" s="1" t="str">
        <f>"10.12.133.205"</f>
        <v>10.12.133.205</v>
      </c>
      <c r="G4414" s="1" t="str">
        <f>"0325W601"</f>
        <v>0325W601</v>
      </c>
      <c r="H4414" s="1" t="str">
        <f>"광나루 54-3"</f>
        <v>광나루 54-3</v>
      </c>
      <c r="I4414" s="1" t="s">
        <v>17</v>
      </c>
      <c r="J4414" s="1" t="str">
        <f>"2/2"</f>
        <v>2/2</v>
      </c>
      <c r="K4414" s="1" t="str">
        <f>"2026-07-29 13:18:02"</f>
        <v>2026-07-29 13:18:02</v>
      </c>
      <c r="L4414" s="1" t="str">
        <f>"2018-06-18 12:14:42"</f>
        <v>2018-06-18 12:14:42</v>
      </c>
      <c r="M4414" s="1" t="s">
        <v>0</v>
      </c>
      <c r="N4414" s="1" t="s">
        <v>38</v>
      </c>
      <c r="O4414" s="1" t="s">
        <v>46</v>
      </c>
    </row>
    <row r="4415" spans="2:15" x14ac:dyDescent="0.3">
      <c r="B4415" s="1" t="s">
        <v>23</v>
      </c>
      <c r="C4415" s="1" t="str">
        <f t="shared" ref="C4415:C4433" si="254">"4차"</f>
        <v>4차</v>
      </c>
      <c r="D4415" s="1" t="str">
        <f>"0325W60339"</f>
        <v>0325W60339</v>
      </c>
      <c r="E4415" s="1" t="s">
        <v>10</v>
      </c>
      <c r="F4415" s="1" t="str">
        <f>"10.12.133.228"</f>
        <v>10.12.133.228</v>
      </c>
      <c r="G4415" s="1" t="str">
        <f>"0325W603"</f>
        <v>0325W603</v>
      </c>
      <c r="H4415" s="1" t="str">
        <f>"광나루 54-1"</f>
        <v>광나루 54-1</v>
      </c>
      <c r="I4415" s="1" t="s">
        <v>17</v>
      </c>
      <c r="J4415" s="1" t="str">
        <f>"1/1"</f>
        <v>1/1</v>
      </c>
      <c r="K4415" s="1" t="str">
        <f>"2026-07-29 13:18:03"</f>
        <v>2026-07-29 13:18:03</v>
      </c>
      <c r="L4415" s="1" t="str">
        <f>"2018-06-18 12:36:42"</f>
        <v>2018-06-18 12:36:42</v>
      </c>
      <c r="M4415" s="1" t="s">
        <v>0</v>
      </c>
      <c r="N4415" s="1" t="s">
        <v>38</v>
      </c>
      <c r="O4415" s="1" t="s">
        <v>46</v>
      </c>
    </row>
    <row r="4416" spans="2:15" x14ac:dyDescent="0.3">
      <c r="B4416" s="1" t="s">
        <v>23</v>
      </c>
      <c r="C4416" s="1" t="str">
        <f t="shared" si="254"/>
        <v>4차</v>
      </c>
      <c r="D4416" s="1" t="str">
        <f>"0325W62144"</f>
        <v>0325W62144</v>
      </c>
      <c r="E4416" s="1" t="s">
        <v>10</v>
      </c>
      <c r="F4416" s="1" t="str">
        <f>"10.11.64.18"</f>
        <v>10.11.64.18</v>
      </c>
      <c r="G4416" s="1" t="str">
        <f>"0325W621"</f>
        <v>0325W621</v>
      </c>
      <c r="H4416" s="1" t="str">
        <f>"공원간 54"</f>
        <v>공원간 54</v>
      </c>
      <c r="I4416" s="1" t="s">
        <v>8</v>
      </c>
      <c r="J4416" s="1" t="str">
        <f>"22/22"</f>
        <v>22/22</v>
      </c>
      <c r="K4416" s="1" t="str">
        <f>"2026-07-29 13:18:02"</f>
        <v>2026-07-29 13:18:02</v>
      </c>
      <c r="L4416" s="1" t="str">
        <f>"2019-09-06 11:13:05"</f>
        <v>2019-09-06 11:13:05</v>
      </c>
      <c r="M4416" s="1" t="s">
        <v>2</v>
      </c>
      <c r="N4416" s="1" t="s">
        <v>38</v>
      </c>
      <c r="O4416" s="1" t="s">
        <v>46</v>
      </c>
    </row>
    <row r="4417" spans="2:15" x14ac:dyDescent="0.3">
      <c r="B4417" s="1" t="s">
        <v>23</v>
      </c>
      <c r="C4417" s="1" t="str">
        <f t="shared" si="254"/>
        <v>4차</v>
      </c>
      <c r="D4417" s="1" t="str">
        <f>"0325W62244"</f>
        <v>0325W62244</v>
      </c>
      <c r="E4417" s="1" t="s">
        <v>10</v>
      </c>
      <c r="F4417" s="1" t="str">
        <f>"10.12.136.171"</f>
        <v>10.12.136.171</v>
      </c>
      <c r="G4417" s="1" t="str">
        <f>"0325W622"</f>
        <v>0325W622</v>
      </c>
      <c r="H4417" s="1" t="str">
        <f>"공원간 54R1"</f>
        <v>공원간 54R1</v>
      </c>
      <c r="I4417" s="1" t="s">
        <v>8</v>
      </c>
      <c r="J4417" s="1" t="str">
        <f>"108/112"</f>
        <v>108/112</v>
      </c>
      <c r="K4417" s="1" t="str">
        <f>"2026-07-29 13:18:03"</f>
        <v>2026-07-29 13:18:03</v>
      </c>
      <c r="L4417" s="1" t="str">
        <f>"2019-09-06 11:13:05"</f>
        <v>2019-09-06 11:13:05</v>
      </c>
      <c r="M4417" s="1" t="s">
        <v>0</v>
      </c>
      <c r="N4417" s="1" t="s">
        <v>38</v>
      </c>
      <c r="O4417" s="1" t="s">
        <v>46</v>
      </c>
    </row>
    <row r="4418" spans="2:15" x14ac:dyDescent="0.3">
      <c r="B4418" s="1" t="s">
        <v>23</v>
      </c>
      <c r="C4418" s="1" t="str">
        <f t="shared" si="254"/>
        <v>4차</v>
      </c>
      <c r="D4418" s="1" t="str">
        <f>"0325W63244"</f>
        <v>0325W63244</v>
      </c>
      <c r="E4418" s="1" t="s">
        <v>10</v>
      </c>
      <c r="F4418" s="1" t="str">
        <f>"10.11.64.42"</f>
        <v>10.11.64.42</v>
      </c>
      <c r="G4418" s="1" t="str">
        <f>"0325W632"</f>
        <v>0325W632</v>
      </c>
      <c r="H4418" s="1" t="str">
        <f>"공원간 56"</f>
        <v>공원간 56</v>
      </c>
      <c r="I4418" s="1" t="s">
        <v>8</v>
      </c>
      <c r="J4418" s="1" t="str">
        <f>"87/87"</f>
        <v>87/87</v>
      </c>
      <c r="K4418" s="1" t="str">
        <f>"2026-07-29 13:18:03"</f>
        <v>2026-07-29 13:18:03</v>
      </c>
      <c r="L4418" s="1" t="str">
        <f>"2019-09-06 11:03:04"</f>
        <v>2019-09-06 11:03:04</v>
      </c>
      <c r="M4418" s="1" t="s">
        <v>2</v>
      </c>
      <c r="N4418" s="1" t="s">
        <v>38</v>
      </c>
      <c r="O4418" s="1" t="s">
        <v>46</v>
      </c>
    </row>
    <row r="4419" spans="2:15" x14ac:dyDescent="0.3">
      <c r="B4419" s="1" t="s">
        <v>23</v>
      </c>
      <c r="C4419" s="1" t="str">
        <f t="shared" si="254"/>
        <v>4차</v>
      </c>
      <c r="D4419" s="1" t="str">
        <f>"0325W63544"</f>
        <v>0325W63544</v>
      </c>
      <c r="E4419" s="1" t="s">
        <v>10</v>
      </c>
      <c r="F4419" s="1" t="str">
        <f>"10.11.64.34"</f>
        <v>10.11.64.34</v>
      </c>
      <c r="G4419" s="1" t="str">
        <f>"0325W635"</f>
        <v>0325W635</v>
      </c>
      <c r="H4419" s="1" t="str">
        <f>"공원간 55"</f>
        <v>공원간 55</v>
      </c>
      <c r="I4419" s="1" t="s">
        <v>8</v>
      </c>
      <c r="J4419" s="1" t="str">
        <f>"65/70"</f>
        <v>65/70</v>
      </c>
      <c r="K4419" s="1" t="str">
        <f>"2026-07-29 13:18:03"</f>
        <v>2026-07-29 13:18:03</v>
      </c>
      <c r="L4419" s="1" t="str">
        <f>"2019-09-06 11:03:04"</f>
        <v>2019-09-06 11:03:04</v>
      </c>
      <c r="M4419" s="1" t="s">
        <v>2</v>
      </c>
      <c r="N4419" s="1" t="s">
        <v>38</v>
      </c>
      <c r="O4419" s="1" t="s">
        <v>46</v>
      </c>
    </row>
    <row r="4420" spans="2:15" x14ac:dyDescent="0.3">
      <c r="B4420" s="1" t="s">
        <v>23</v>
      </c>
      <c r="C4420" s="1" t="str">
        <f t="shared" si="254"/>
        <v>4차</v>
      </c>
      <c r="D4420" s="1" t="str">
        <f>"0325W66144"</f>
        <v>0325W66144</v>
      </c>
      <c r="E4420" s="1" t="s">
        <v>10</v>
      </c>
      <c r="F4420" s="1" t="str">
        <f>"10.11.63.186"</f>
        <v>10.11.63.186</v>
      </c>
      <c r="G4420" s="1" t="str">
        <f>"0325W661"</f>
        <v>0325W661</v>
      </c>
      <c r="H4420" s="1" t="str">
        <f>"공원간 40L3"</f>
        <v>공원간 40L3</v>
      </c>
      <c r="I4420" s="1" t="s">
        <v>8</v>
      </c>
      <c r="J4420" s="1" t="str">
        <f>"148/148"</f>
        <v>148/148</v>
      </c>
      <c r="K4420" s="1" t="str">
        <f>"2026-07-29 13:18:02"</f>
        <v>2026-07-29 13:18:02</v>
      </c>
      <c r="L4420" s="1" t="str">
        <f>"2019-09-06 11:13:05"</f>
        <v>2019-09-06 11:13:05</v>
      </c>
      <c r="M4420" s="1" t="s">
        <v>2</v>
      </c>
      <c r="N4420" s="1" t="s">
        <v>38</v>
      </c>
      <c r="O4420" s="1" t="s">
        <v>46</v>
      </c>
    </row>
    <row r="4421" spans="2:15" x14ac:dyDescent="0.3">
      <c r="B4421" s="1" t="s">
        <v>23</v>
      </c>
      <c r="C4421" s="1" t="str">
        <f t="shared" si="254"/>
        <v>4차</v>
      </c>
      <c r="D4421" s="1" t="str">
        <f>"0325W68144"</f>
        <v>0325W68144</v>
      </c>
      <c r="E4421" s="1" t="s">
        <v>10</v>
      </c>
      <c r="F4421" s="1" t="str">
        <f>"10.11.63.202"</f>
        <v>10.11.63.202</v>
      </c>
      <c r="G4421" s="1" t="str">
        <f>"0325W681"</f>
        <v>0325W681</v>
      </c>
      <c r="H4421" s="1" t="str">
        <f>"공원간 40L7"</f>
        <v>공원간 40L7</v>
      </c>
      <c r="I4421" s="1" t="s">
        <v>8</v>
      </c>
      <c r="J4421" s="1" t="str">
        <f>"21/21"</f>
        <v>21/21</v>
      </c>
      <c r="K4421" s="1" t="str">
        <f>"2026-07-29 13:18:03"</f>
        <v>2026-07-29 13:18:03</v>
      </c>
      <c r="L4421" s="1" t="str">
        <f>"2019-09-06 11:13:04"</f>
        <v>2019-09-06 11:13:04</v>
      </c>
      <c r="M4421" s="1" t="s">
        <v>2</v>
      </c>
      <c r="N4421" s="1" t="s">
        <v>38</v>
      </c>
      <c r="O4421" s="1" t="s">
        <v>46</v>
      </c>
    </row>
    <row r="4422" spans="2:15" x14ac:dyDescent="0.3">
      <c r="B4422" s="1" t="s">
        <v>23</v>
      </c>
      <c r="C4422" s="1" t="str">
        <f t="shared" si="254"/>
        <v>4차</v>
      </c>
      <c r="D4422" s="1" t="str">
        <f>"0325W68344"</f>
        <v>0325W68344</v>
      </c>
      <c r="E4422" s="1" t="s">
        <v>10</v>
      </c>
      <c r="F4422" s="1" t="str">
        <f>"10.11.63.194"</f>
        <v>10.11.63.194</v>
      </c>
      <c r="G4422" s="1" t="str">
        <f>"0325W683"</f>
        <v>0325W683</v>
      </c>
      <c r="H4422" s="1" t="str">
        <f>"공원간 40L6"</f>
        <v>공원간 40L6</v>
      </c>
      <c r="I4422" s="1" t="s">
        <v>8</v>
      </c>
      <c r="J4422" s="1" t="str">
        <f>"182/183"</f>
        <v>182/183</v>
      </c>
      <c r="K4422" s="1" t="str">
        <f>"2026-07-29 13:18:03"</f>
        <v>2026-07-29 13:18:03</v>
      </c>
      <c r="L4422" s="1" t="str">
        <f>"2019-09-06 11:13:05"</f>
        <v>2019-09-06 11:13:05</v>
      </c>
      <c r="M4422" s="1" t="s">
        <v>2</v>
      </c>
      <c r="N4422" s="1" t="s">
        <v>38</v>
      </c>
      <c r="O4422" s="1" t="s">
        <v>46</v>
      </c>
    </row>
    <row r="4423" spans="2:15" x14ac:dyDescent="0.3">
      <c r="B4423" s="1" t="s">
        <v>23</v>
      </c>
      <c r="C4423" s="1" t="str">
        <f t="shared" si="254"/>
        <v>4차</v>
      </c>
      <c r="D4423" s="1" t="str">
        <f>"0325W69244"</f>
        <v>0325W69244</v>
      </c>
      <c r="E4423" s="1" t="s">
        <v>10</v>
      </c>
      <c r="F4423" s="1" t="str">
        <f>"10.11.63.162"</f>
        <v>10.11.63.162</v>
      </c>
      <c r="G4423" s="1" t="str">
        <f>"0325W692"</f>
        <v>0325W692</v>
      </c>
      <c r="H4423" s="1" t="str">
        <f>"공원간 32L3"</f>
        <v>공원간 32L3</v>
      </c>
      <c r="I4423" s="1" t="s">
        <v>8</v>
      </c>
      <c r="J4423" s="1" t="str">
        <f>"34/34"</f>
        <v>34/34</v>
      </c>
      <c r="K4423" s="1" t="str">
        <f>"2026-07-29 13:18:03"</f>
        <v>2026-07-29 13:18:03</v>
      </c>
      <c r="L4423" s="1" t="str">
        <f>"2019-09-06 11:03:04"</f>
        <v>2019-09-06 11:03:04</v>
      </c>
      <c r="M4423" s="1" t="s">
        <v>2</v>
      </c>
      <c r="N4423" s="1" t="s">
        <v>38</v>
      </c>
      <c r="O4423" s="1" t="s">
        <v>46</v>
      </c>
    </row>
    <row r="4424" spans="2:15" x14ac:dyDescent="0.3">
      <c r="B4424" s="1" t="s">
        <v>23</v>
      </c>
      <c r="C4424" s="1" t="str">
        <f t="shared" si="254"/>
        <v>4차</v>
      </c>
      <c r="D4424" s="1" t="str">
        <f>"0325W70339"</f>
        <v>0325W70339</v>
      </c>
      <c r="E4424" s="1" t="s">
        <v>10</v>
      </c>
      <c r="F4424" s="1" t="str">
        <f>"10.12.133.207"</f>
        <v>10.12.133.207</v>
      </c>
      <c r="G4424" s="1" t="str">
        <f>"0325W703"</f>
        <v>0325W703</v>
      </c>
      <c r="H4424" s="1" t="str">
        <f>"광나루 55-1"</f>
        <v>광나루 55-1</v>
      </c>
      <c r="I4424" s="1" t="s">
        <v>17</v>
      </c>
      <c r="J4424" s="1" t="str">
        <f>"4/5"</f>
        <v>4/5</v>
      </c>
      <c r="K4424" s="1" t="str">
        <f>"2026-07-29 07:18:03"</f>
        <v>2026-07-29 07:18:03</v>
      </c>
      <c r="L4424" s="1" t="str">
        <f>"2018-06-18 12:29:42"</f>
        <v>2018-06-18 12:29:42</v>
      </c>
      <c r="M4424" s="1" t="s">
        <v>0</v>
      </c>
      <c r="N4424" s="1" t="s">
        <v>38</v>
      </c>
      <c r="O4424" s="1" t="s">
        <v>46</v>
      </c>
    </row>
    <row r="4425" spans="2:15" x14ac:dyDescent="0.3">
      <c r="B4425" s="1" t="s">
        <v>23</v>
      </c>
      <c r="C4425" s="1" t="str">
        <f t="shared" si="254"/>
        <v>4차</v>
      </c>
      <c r="D4425" s="1" t="str">
        <f>"0325W73244"</f>
        <v>0325W73244</v>
      </c>
      <c r="E4425" s="1" t="s">
        <v>10</v>
      </c>
      <c r="F4425" s="1" t="str">
        <f>"10.11.64.50"</f>
        <v>10.11.64.50</v>
      </c>
      <c r="G4425" s="1" t="str">
        <f>"0325W732"</f>
        <v>0325W732</v>
      </c>
      <c r="H4425" s="1" t="str">
        <f>"공원간 57"</f>
        <v>공원간 57</v>
      </c>
      <c r="I4425" s="1" t="s">
        <v>8</v>
      </c>
      <c r="J4425" s="1" t="str">
        <f>"32/32"</f>
        <v>32/32</v>
      </c>
      <c r="K4425" s="1" t="str">
        <f>"2026-07-29 13:18:03"</f>
        <v>2026-07-29 13:18:03</v>
      </c>
      <c r="L4425" s="1" t="str">
        <f>"2019-09-06 11:13:05"</f>
        <v>2019-09-06 11:13:05</v>
      </c>
      <c r="M4425" s="1" t="s">
        <v>2</v>
      </c>
      <c r="N4425" s="1" t="s">
        <v>38</v>
      </c>
      <c r="O4425" s="1" t="s">
        <v>46</v>
      </c>
    </row>
    <row r="4426" spans="2:15" x14ac:dyDescent="0.3">
      <c r="B4426" s="1" t="s">
        <v>23</v>
      </c>
      <c r="C4426" s="1" t="str">
        <f t="shared" si="254"/>
        <v>4차</v>
      </c>
      <c r="D4426" s="1" t="str">
        <f>"0325W74244"</f>
        <v>0325W74244</v>
      </c>
      <c r="E4426" s="1" t="s">
        <v>10</v>
      </c>
      <c r="F4426" s="1" t="str">
        <f>"10.11.64.58"</f>
        <v>10.11.64.58</v>
      </c>
      <c r="G4426" s="1" t="str">
        <f>"0325W742"</f>
        <v>0325W742</v>
      </c>
      <c r="H4426" s="1" t="str">
        <f>"공원간 58"</f>
        <v>공원간 58</v>
      </c>
      <c r="I4426" s="1" t="s">
        <v>8</v>
      </c>
      <c r="J4426" s="1" t="str">
        <f>"76/76"</f>
        <v>76/76</v>
      </c>
      <c r="K4426" s="1" t="str">
        <f>"2026-07-29 13:18:03"</f>
        <v>2026-07-29 13:18:03</v>
      </c>
      <c r="L4426" s="1" t="str">
        <f>"2019-10-29 10:43:04"</f>
        <v>2019-10-29 10:43:04</v>
      </c>
      <c r="M4426" s="1" t="s">
        <v>2</v>
      </c>
      <c r="N4426" s="1" t="s">
        <v>38</v>
      </c>
      <c r="O4426" s="1" t="s">
        <v>46</v>
      </c>
    </row>
    <row r="4427" spans="2:15" x14ac:dyDescent="0.3">
      <c r="B4427" s="1" t="s">
        <v>23</v>
      </c>
      <c r="C4427" s="1" t="str">
        <f t="shared" si="254"/>
        <v>4차</v>
      </c>
      <c r="D4427" s="1" t="str">
        <f>"0325X00245"</f>
        <v>0325X00245</v>
      </c>
      <c r="E4427" s="1" t="s">
        <v>10</v>
      </c>
      <c r="F4427" s="1" t="str">
        <f>"10.12.134.220"</f>
        <v>10.12.134.220</v>
      </c>
      <c r="G4427" s="1" t="str">
        <f>"0325X002"</f>
        <v>0325X002</v>
      </c>
      <c r="H4427" s="1" t="str">
        <f>"광나루 55-2"</f>
        <v>광나루 55-2</v>
      </c>
      <c r="I4427" s="1" t="s">
        <v>17</v>
      </c>
      <c r="J4427" s="1" t="str">
        <f>"4/4"</f>
        <v>4/4</v>
      </c>
      <c r="K4427" s="1" t="str">
        <f>"2026-07-29 13:18:04"</f>
        <v>2026-07-29 13:18:04</v>
      </c>
      <c r="L4427" s="1" t="str">
        <f>"2024-06-04 17:59:24"</f>
        <v>2024-06-04 17:59:24</v>
      </c>
      <c r="M4427" s="1" t="s">
        <v>0</v>
      </c>
      <c r="N4427" s="1" t="s">
        <v>38</v>
      </c>
      <c r="O4427" s="1" t="s">
        <v>46</v>
      </c>
    </row>
    <row r="4428" spans="2:15" x14ac:dyDescent="0.3">
      <c r="B4428" s="1" t="s">
        <v>23</v>
      </c>
      <c r="C4428" s="1" t="str">
        <f t="shared" si="254"/>
        <v>4차</v>
      </c>
      <c r="D4428" s="1" t="str">
        <f>"0325X09141"</f>
        <v>0325X09141</v>
      </c>
      <c r="E4428" s="1" t="s">
        <v>10</v>
      </c>
      <c r="F4428" s="1" t="str">
        <f>"10.14.7.21"</f>
        <v>10.14.7.21</v>
      </c>
      <c r="G4428" s="1" t="str">
        <f>"0325X091"</f>
        <v>0325X091</v>
      </c>
      <c r="H4428" s="1" t="str">
        <f>"능동로 118R6"</f>
        <v>능동로 118R6</v>
      </c>
      <c r="I4428" s="1" t="s">
        <v>17</v>
      </c>
      <c r="J4428" s="1" t="str">
        <f>"18/18"</f>
        <v>18/18</v>
      </c>
      <c r="K4428" s="1" t="str">
        <f>"2026-07-29 13:18:04"</f>
        <v>2026-07-29 13:18:04</v>
      </c>
      <c r="L4428" s="1" t="str">
        <f>"2021-10-12 11:25:32"</f>
        <v>2021-10-12 11:25:32</v>
      </c>
      <c r="M4428" s="1" t="s">
        <v>3</v>
      </c>
      <c r="N4428" s="1" t="s">
        <v>38</v>
      </c>
      <c r="O4428" s="1" t="s">
        <v>46</v>
      </c>
    </row>
    <row r="4429" spans="2:15" x14ac:dyDescent="0.3">
      <c r="B4429" s="1" t="s">
        <v>23</v>
      </c>
      <c r="C4429" s="1" t="str">
        <f t="shared" si="254"/>
        <v>4차</v>
      </c>
      <c r="D4429" s="1" t="str">
        <f>"0325X19139"</f>
        <v>0325X19139</v>
      </c>
      <c r="E4429" s="1" t="s">
        <v>10</v>
      </c>
      <c r="F4429" s="1" t="str">
        <f>"10.11.82.26"</f>
        <v>10.11.82.26</v>
      </c>
      <c r="G4429" s="1" t="str">
        <f>"0325X191"</f>
        <v>0325X191</v>
      </c>
      <c r="H4429" s="1" t="str">
        <f>"능동로 118R4"</f>
        <v>능동로 118R4</v>
      </c>
      <c r="I4429" s="1" t="s">
        <v>8</v>
      </c>
      <c r="J4429" s="1" t="str">
        <f>"129/129"</f>
        <v>129/129</v>
      </c>
      <c r="K4429" s="1" t="str">
        <f>"2026-07-29 13:18:03"</f>
        <v>2026-07-29 13:18:03</v>
      </c>
      <c r="L4429" s="1" t="str">
        <f>"2018-09-12 16:22:27"</f>
        <v>2018-09-12 16:22:27</v>
      </c>
      <c r="M4429" s="1" t="s">
        <v>2</v>
      </c>
      <c r="N4429" s="1" t="s">
        <v>38</v>
      </c>
      <c r="O4429" s="1" t="s">
        <v>46</v>
      </c>
    </row>
    <row r="4430" spans="2:15" x14ac:dyDescent="0.3">
      <c r="B4430" s="1" t="s">
        <v>23</v>
      </c>
      <c r="C4430" s="1" t="str">
        <f t="shared" si="254"/>
        <v>4차</v>
      </c>
      <c r="D4430" s="1" t="str">
        <f>"0325X38439"</f>
        <v>0325X38439</v>
      </c>
      <c r="E4430" s="1" t="s">
        <v>10</v>
      </c>
      <c r="F4430" s="1" t="str">
        <f>"10.12.132.248"</f>
        <v>10.12.132.248</v>
      </c>
      <c r="G4430" s="1" t="str">
        <f>"0325X384"</f>
        <v>0325X384</v>
      </c>
      <c r="H4430" s="1" t="str">
        <f>"능동로 111-4"</f>
        <v>능동로 111-4</v>
      </c>
      <c r="I4430" s="1" t="s">
        <v>17</v>
      </c>
      <c r="J4430" s="1" t="str">
        <f>"15/15"</f>
        <v>15/15</v>
      </c>
      <c r="K4430" s="1" t="str">
        <f>"2026-07-29 13:18:01"</f>
        <v>2026-07-29 13:18:01</v>
      </c>
      <c r="L4430" s="1" t="str">
        <f>"2018-06-19 09:36:26"</f>
        <v>2018-06-19 09:36:26</v>
      </c>
      <c r="M4430" s="1" t="s">
        <v>0</v>
      </c>
      <c r="N4430" s="1" t="s">
        <v>38</v>
      </c>
      <c r="O4430" s="1" t="s">
        <v>46</v>
      </c>
    </row>
    <row r="4431" spans="2:15" x14ac:dyDescent="0.3">
      <c r="B4431" s="1" t="s">
        <v>23</v>
      </c>
      <c r="C4431" s="1" t="str">
        <f t="shared" si="254"/>
        <v>4차</v>
      </c>
      <c r="D4431" s="1" t="str">
        <f>"0325X49339"</f>
        <v>0325X49339</v>
      </c>
      <c r="E4431" s="1" t="s">
        <v>10</v>
      </c>
      <c r="F4431" s="1" t="str">
        <f>"10.12.132.238"</f>
        <v>10.12.132.238</v>
      </c>
      <c r="G4431" s="1" t="str">
        <f>"0325X493"</f>
        <v>0325X493</v>
      </c>
      <c r="H4431" s="1" t="str">
        <f>"능동로 84-4"</f>
        <v>능동로 84-4</v>
      </c>
      <c r="I4431" s="1" t="s">
        <v>17</v>
      </c>
      <c r="J4431" s="1" t="str">
        <f>"1/1"</f>
        <v>1/1</v>
      </c>
      <c r="K4431" s="1" t="str">
        <f>"2026-07-29 13:18:04"</f>
        <v>2026-07-29 13:18:04</v>
      </c>
      <c r="L4431" s="1" t="str">
        <f>"2018-06-20 09:26:42"</f>
        <v>2018-06-20 09:26:42</v>
      </c>
      <c r="M4431" s="1" t="s">
        <v>0</v>
      </c>
      <c r="N4431" s="1" t="s">
        <v>38</v>
      </c>
      <c r="O4431" s="1" t="s">
        <v>46</v>
      </c>
    </row>
    <row r="4432" spans="2:15" x14ac:dyDescent="0.3">
      <c r="B4432" s="1" t="s">
        <v>23</v>
      </c>
      <c r="C4432" s="1" t="str">
        <f t="shared" si="254"/>
        <v>4차</v>
      </c>
      <c r="D4432" s="1" t="str">
        <f>"0325X49939"</f>
        <v>0325X49939</v>
      </c>
      <c r="E4432" s="1" t="s">
        <v>10</v>
      </c>
      <c r="F4432" s="1" t="str">
        <f>"10.12.133.4"</f>
        <v>10.12.133.4</v>
      </c>
      <c r="G4432" s="1" t="str">
        <f>"0325X499"</f>
        <v>0325X499</v>
      </c>
      <c r="H4432" s="1" t="str">
        <f>"능동로 111-3"</f>
        <v>능동로 111-3</v>
      </c>
      <c r="I4432" s="1" t="s">
        <v>17</v>
      </c>
      <c r="J4432" s="1" t="str">
        <f>"11/14"</f>
        <v>11/14</v>
      </c>
      <c r="K4432" s="1" t="str">
        <f>"2026-07-29 13:18:02"</f>
        <v>2026-07-29 13:18:02</v>
      </c>
      <c r="L4432" s="1" t="str">
        <f>"2018-06-19 09:22:25"</f>
        <v>2018-06-19 09:22:25</v>
      </c>
      <c r="M4432" s="1" t="s">
        <v>0</v>
      </c>
      <c r="N4432" s="1" t="s">
        <v>38</v>
      </c>
      <c r="O4432" s="1" t="s">
        <v>46</v>
      </c>
    </row>
    <row r="4433" spans="2:15" x14ac:dyDescent="0.3">
      <c r="B4433" s="1" t="s">
        <v>23</v>
      </c>
      <c r="C4433" s="1" t="str">
        <f t="shared" si="254"/>
        <v>4차</v>
      </c>
      <c r="D4433" s="1" t="str">
        <f>"0325X69139"</f>
        <v>0325X69139</v>
      </c>
      <c r="E4433" s="1" t="s">
        <v>10</v>
      </c>
      <c r="F4433" s="1" t="str">
        <f>"10.12.130.61"</f>
        <v>10.12.130.61</v>
      </c>
      <c r="G4433" s="1" t="str">
        <f>"0325X691"</f>
        <v>0325X691</v>
      </c>
      <c r="H4433" s="1" t="str">
        <f>"능동로 117L2"</f>
        <v>능동로 117L2</v>
      </c>
      <c r="I4433" s="1" t="s">
        <v>17</v>
      </c>
      <c r="J4433" s="1" t="str">
        <f>"68/86"</f>
        <v>68/86</v>
      </c>
      <c r="K4433" s="1" t="str">
        <f>"2026-07-29 13:18:03"</f>
        <v>2026-07-29 13:18:03</v>
      </c>
      <c r="L4433" s="1" t="str">
        <f>"2018-09-20 14:36:43"</f>
        <v>2018-09-20 14:36:43</v>
      </c>
      <c r="M4433" s="1" t="s">
        <v>0</v>
      </c>
      <c r="N4433" s="1" t="s">
        <v>38</v>
      </c>
      <c r="O4433" s="1" t="s">
        <v>46</v>
      </c>
    </row>
    <row r="4434" spans="2:15" x14ac:dyDescent="0.3">
      <c r="B4434" s="1" t="s">
        <v>23</v>
      </c>
      <c r="C4434" s="1" t="str">
        <f>"3차"</f>
        <v>3차</v>
      </c>
      <c r="D4434" s="1" t="str">
        <f>"0325X79139"</f>
        <v>0325X79139</v>
      </c>
      <c r="E4434" s="1" t="s">
        <v>10</v>
      </c>
      <c r="F4434" s="1" t="str">
        <f>"10.12.130.70"</f>
        <v>10.12.130.70</v>
      </c>
      <c r="G4434" s="1" t="str">
        <f>"0325X791"</f>
        <v>0325X791</v>
      </c>
      <c r="H4434" s="1" t="str">
        <f>"능동로 117L3"</f>
        <v>능동로 117L3</v>
      </c>
      <c r="I4434" s="1" t="s">
        <v>17</v>
      </c>
      <c r="J4434" s="1" t="str">
        <f>"12/13"</f>
        <v>12/13</v>
      </c>
      <c r="K4434" s="1" t="str">
        <f>"2026-07-29 13:18:03"</f>
        <v>2026-07-29 13:18:03</v>
      </c>
      <c r="L4434" s="1" t="str">
        <f>"2018-09-20 12:35:59"</f>
        <v>2018-09-20 12:35:59</v>
      </c>
      <c r="M4434" s="1" t="s">
        <v>0</v>
      </c>
      <c r="N4434" s="1" t="s">
        <v>38</v>
      </c>
      <c r="O4434" s="1" t="s">
        <v>46</v>
      </c>
    </row>
    <row r="4435" spans="2:15" x14ac:dyDescent="0.3">
      <c r="B4435" s="1" t="s">
        <v>23</v>
      </c>
      <c r="C4435" s="1" t="str">
        <f>"4차"</f>
        <v>4차</v>
      </c>
      <c r="D4435" s="1" t="str">
        <f>"0325Y01244"</f>
        <v>0325Y01244</v>
      </c>
      <c r="E4435" s="1" t="s">
        <v>10</v>
      </c>
      <c r="F4435" s="1" t="str">
        <f>"10.11.71.210"</f>
        <v>10.11.71.210</v>
      </c>
      <c r="G4435" s="1" t="str">
        <f>"0325Y012"</f>
        <v>0325Y012</v>
      </c>
      <c r="H4435" s="1" t="str">
        <f>"초원간 34L13R5"</f>
        <v>초원간 34L13R5</v>
      </c>
      <c r="I4435" s="1" t="s">
        <v>8</v>
      </c>
      <c r="J4435" s="1" t="str">
        <f>"80/80"</f>
        <v>80/80</v>
      </c>
      <c r="K4435" s="1" t="str">
        <f>"2026-07-29 13:18:03"</f>
        <v>2026-07-29 13:18:03</v>
      </c>
      <c r="L4435" s="1" t="str">
        <f>"2019-10-28 17:43:48"</f>
        <v>2019-10-28 17:43:48</v>
      </c>
      <c r="M4435" s="1" t="s">
        <v>2</v>
      </c>
      <c r="N4435" s="1" t="s">
        <v>38</v>
      </c>
      <c r="O4435" s="1" t="s">
        <v>46</v>
      </c>
    </row>
    <row r="4436" spans="2:15" x14ac:dyDescent="0.3">
      <c r="B4436" s="1" t="s">
        <v>23</v>
      </c>
      <c r="C4436" s="1" t="str">
        <f>"4차"</f>
        <v>4차</v>
      </c>
      <c r="D4436" s="1" t="str">
        <f>"0325Y02244"</f>
        <v>0325Y02244</v>
      </c>
      <c r="E4436" s="1" t="s">
        <v>10</v>
      </c>
      <c r="F4436" s="1" t="str">
        <f>"10.11.72.18"</f>
        <v>10.11.72.18</v>
      </c>
      <c r="G4436" s="1" t="str">
        <f>"0325Y022"</f>
        <v>0325Y022</v>
      </c>
      <c r="H4436" s="1" t="str">
        <f>"초원간 34L7R3L1"</f>
        <v>초원간 34L7R3L1</v>
      </c>
      <c r="I4436" s="1" t="s">
        <v>8</v>
      </c>
      <c r="J4436" s="1" t="str">
        <f>"47/47"</f>
        <v>47/47</v>
      </c>
      <c r="K4436" s="1" t="str">
        <f>"2026-07-29 13:18:03"</f>
        <v>2026-07-29 13:18:03</v>
      </c>
      <c r="L4436" s="1" t="str">
        <f>"2019-10-28 17:55:13"</f>
        <v>2019-10-28 17:55:13</v>
      </c>
      <c r="M4436" s="1" t="s">
        <v>2</v>
      </c>
      <c r="N4436" s="1" t="s">
        <v>38</v>
      </c>
      <c r="O4436" s="1" t="s">
        <v>46</v>
      </c>
    </row>
    <row r="4437" spans="2:15" x14ac:dyDescent="0.3">
      <c r="B4437" s="1" t="s">
        <v>23</v>
      </c>
      <c r="C4437" s="1" t="str">
        <f>"4차"</f>
        <v>4차</v>
      </c>
      <c r="D4437" s="1" t="str">
        <f>"0325Y03144"</f>
        <v>0325Y03144</v>
      </c>
      <c r="E4437" s="1" t="s">
        <v>10</v>
      </c>
      <c r="F4437" s="1" t="str">
        <f>"10.11.73.2"</f>
        <v>10.11.73.2</v>
      </c>
      <c r="G4437" s="1" t="str">
        <f>"0325Y031"</f>
        <v>0325Y031</v>
      </c>
      <c r="H4437" s="1" t="str">
        <f>"초원간 41L4L2"</f>
        <v>초원간 41L4L2</v>
      </c>
      <c r="I4437" s="1" t="s">
        <v>8</v>
      </c>
      <c r="J4437" s="1" t="str">
        <f>"74/74"</f>
        <v>74/74</v>
      </c>
      <c r="K4437" s="1" t="str">
        <f t="shared" ref="K4437:K4445" si="255">"2026-07-29 13:18:02"</f>
        <v>2026-07-29 13:18:02</v>
      </c>
      <c r="L4437" s="1" t="str">
        <f>"2019-11-05 18:46:48"</f>
        <v>2019-11-05 18:46:48</v>
      </c>
      <c r="M4437" s="1" t="s">
        <v>2</v>
      </c>
      <c r="N4437" s="1" t="s">
        <v>38</v>
      </c>
      <c r="O4437" s="1" t="s">
        <v>46</v>
      </c>
    </row>
    <row r="4438" spans="2:15" x14ac:dyDescent="0.3">
      <c r="B4438" s="1" t="s">
        <v>23</v>
      </c>
      <c r="C4438" s="1" t="str">
        <f>"4차"</f>
        <v>4차</v>
      </c>
      <c r="D4438" s="1" t="str">
        <f>"0325Y05244"</f>
        <v>0325Y05244</v>
      </c>
      <c r="E4438" s="1" t="s">
        <v>10</v>
      </c>
      <c r="F4438" s="1" t="str">
        <f>"10.11.72.242"</f>
        <v>10.11.72.242</v>
      </c>
      <c r="G4438" s="1" t="str">
        <f>"0325Y052"</f>
        <v>0325Y052</v>
      </c>
      <c r="H4438" s="1" t="str">
        <f>"초원간 41L2"</f>
        <v>초원간 41L2</v>
      </c>
      <c r="I4438" s="1" t="s">
        <v>8</v>
      </c>
      <c r="J4438" s="1" t="str">
        <f>"53/53"</f>
        <v>53/53</v>
      </c>
      <c r="K4438" s="1" t="str">
        <f t="shared" si="255"/>
        <v>2026-07-29 13:18:02</v>
      </c>
      <c r="L4438" s="1" t="str">
        <f>"2020-02-12 10:54:23"</f>
        <v>2020-02-12 10:54:23</v>
      </c>
      <c r="M4438" s="1" t="s">
        <v>2</v>
      </c>
      <c r="N4438" s="1" t="s">
        <v>38</v>
      </c>
      <c r="O4438" s="1" t="s">
        <v>46</v>
      </c>
    </row>
    <row r="4439" spans="2:15" x14ac:dyDescent="0.3">
      <c r="B4439" s="1" t="s">
        <v>23</v>
      </c>
      <c r="C4439" s="1" t="str">
        <f>"3차"</f>
        <v>3차</v>
      </c>
      <c r="D4439" s="1" t="str">
        <f>"0325Y06239"</f>
        <v>0325Y06239</v>
      </c>
      <c r="E4439" s="1" t="s">
        <v>10</v>
      </c>
      <c r="F4439" s="1" t="str">
        <f>"10.11.82.34"</f>
        <v>10.11.82.34</v>
      </c>
      <c r="G4439" s="1" t="str">
        <f>"0325Y062"</f>
        <v>0325Y062</v>
      </c>
      <c r="H4439" s="1" t="str">
        <f>"초원간 42"</f>
        <v>초원간 42</v>
      </c>
      <c r="I4439" s="1" t="s">
        <v>8</v>
      </c>
      <c r="J4439" s="1" t="str">
        <f>"138/139"</f>
        <v>138/139</v>
      </c>
      <c r="K4439" s="1" t="str">
        <f t="shared" si="255"/>
        <v>2026-07-29 13:18:02</v>
      </c>
      <c r="L4439" s="1" t="str">
        <f>"2018-10-02 16:33:43"</f>
        <v>2018-10-02 16:33:43</v>
      </c>
      <c r="M4439" s="1" t="s">
        <v>2</v>
      </c>
      <c r="N4439" s="1" t="s">
        <v>38</v>
      </c>
      <c r="O4439" s="1" t="s">
        <v>46</v>
      </c>
    </row>
    <row r="4440" spans="2:15" x14ac:dyDescent="0.3">
      <c r="B4440" s="1" t="s">
        <v>23</v>
      </c>
      <c r="C4440" s="1" t="str">
        <f t="shared" ref="C4440:C4453" si="256">"4차"</f>
        <v>4차</v>
      </c>
      <c r="D4440" s="1" t="str">
        <f>"0325Y07344"</f>
        <v>0325Y07344</v>
      </c>
      <c r="E4440" s="1" t="s">
        <v>10</v>
      </c>
      <c r="F4440" s="1" t="str">
        <f>"10.11.73.18"</f>
        <v>10.11.73.18</v>
      </c>
      <c r="G4440" s="1" t="str">
        <f>"0325Y073"</f>
        <v>0325Y073</v>
      </c>
      <c r="H4440" s="1" t="str">
        <f>"초원간 43R2"</f>
        <v>초원간 43R2</v>
      </c>
      <c r="I4440" s="1" t="s">
        <v>8</v>
      </c>
      <c r="J4440" s="1" t="str">
        <f>"152/152"</f>
        <v>152/152</v>
      </c>
      <c r="K4440" s="1" t="str">
        <f t="shared" si="255"/>
        <v>2026-07-29 13:18:02</v>
      </c>
      <c r="L4440" s="1" t="str">
        <f>"2019-11-05 18:54:32"</f>
        <v>2019-11-05 18:54:32</v>
      </c>
      <c r="M4440" s="1" t="s">
        <v>2</v>
      </c>
      <c r="N4440" s="1" t="s">
        <v>38</v>
      </c>
      <c r="O4440" s="1" t="s">
        <v>46</v>
      </c>
    </row>
    <row r="4441" spans="2:15" x14ac:dyDescent="0.3">
      <c r="B4441" s="1" t="s">
        <v>23</v>
      </c>
      <c r="C4441" s="1" t="str">
        <f t="shared" si="256"/>
        <v>4차</v>
      </c>
      <c r="D4441" s="1" t="str">
        <f>"0325Y08139"</f>
        <v>0325Y08139</v>
      </c>
      <c r="E4441" s="1" t="s">
        <v>10</v>
      </c>
      <c r="F4441" s="1" t="str">
        <f>"10.11.82.42"</f>
        <v>10.11.82.42</v>
      </c>
      <c r="G4441" s="1" t="str">
        <f>"0325Y081"</f>
        <v>0325Y081</v>
      </c>
      <c r="H4441" s="1" t="str">
        <f>"초원간 43R3"</f>
        <v>초원간 43R3</v>
      </c>
      <c r="I4441" s="1" t="s">
        <v>8</v>
      </c>
      <c r="J4441" s="1" t="str">
        <f>"124/145"</f>
        <v>124/145</v>
      </c>
      <c r="K4441" s="1" t="str">
        <f t="shared" si="255"/>
        <v>2026-07-29 13:18:02</v>
      </c>
      <c r="L4441" s="1" t="str">
        <f>"2018-10-02 17:17:44"</f>
        <v>2018-10-02 17:17:44</v>
      </c>
      <c r="M4441" s="1" t="s">
        <v>2</v>
      </c>
      <c r="N4441" s="1" t="s">
        <v>38</v>
      </c>
      <c r="O4441" s="1" t="s">
        <v>46</v>
      </c>
    </row>
    <row r="4442" spans="2:15" x14ac:dyDescent="0.3">
      <c r="B4442" s="1" t="s">
        <v>23</v>
      </c>
      <c r="C4442" s="1" t="str">
        <f t="shared" si="256"/>
        <v>4차</v>
      </c>
      <c r="D4442" s="1" t="str">
        <f>"0325Y09144"</f>
        <v>0325Y09144</v>
      </c>
      <c r="E4442" s="1" t="s">
        <v>10</v>
      </c>
      <c r="F4442" s="1" t="str">
        <f>"10.11.64.82"</f>
        <v>10.11.64.82</v>
      </c>
      <c r="G4442" s="1" t="str">
        <f>"0325Y091"</f>
        <v>0325Y091</v>
      </c>
      <c r="H4442" s="1" t="str">
        <f>"광나루 61R5"</f>
        <v>광나루 61R5</v>
      </c>
      <c r="I4442" s="1" t="s">
        <v>8</v>
      </c>
      <c r="J4442" s="1" t="str">
        <f>"11/11"</f>
        <v>11/11</v>
      </c>
      <c r="K4442" s="1" t="str">
        <f t="shared" si="255"/>
        <v>2026-07-29 13:18:02</v>
      </c>
      <c r="L4442" s="1" t="str">
        <f>"2019-10-29 10:53:05"</f>
        <v>2019-10-29 10:53:05</v>
      </c>
      <c r="M4442" s="1" t="s">
        <v>2</v>
      </c>
      <c r="N4442" s="1" t="s">
        <v>38</v>
      </c>
      <c r="O4442" s="1" t="s">
        <v>46</v>
      </c>
    </row>
    <row r="4443" spans="2:15" x14ac:dyDescent="0.3">
      <c r="B4443" s="1" t="s">
        <v>23</v>
      </c>
      <c r="C4443" s="1" t="str">
        <f t="shared" si="256"/>
        <v>4차</v>
      </c>
      <c r="D4443" s="1" t="str">
        <f>"0325Y11144"</f>
        <v>0325Y11144</v>
      </c>
      <c r="E4443" s="1" t="s">
        <v>10</v>
      </c>
      <c r="F4443" s="1" t="str">
        <f>"10.11.71.250"</f>
        <v>10.11.71.250</v>
      </c>
      <c r="G4443" s="1" t="str">
        <f>"0325Y111"</f>
        <v>0325Y111</v>
      </c>
      <c r="H4443" s="1" t="str">
        <f>"초원간 34L7"</f>
        <v>초원간 34L7</v>
      </c>
      <c r="I4443" s="1" t="s">
        <v>8</v>
      </c>
      <c r="J4443" s="1" t="str">
        <f>"38/46"</f>
        <v>38/46</v>
      </c>
      <c r="K4443" s="1" t="str">
        <f t="shared" si="255"/>
        <v>2026-07-29 13:18:02</v>
      </c>
      <c r="L4443" s="1" t="str">
        <f>"2019-10-28 17:49:30"</f>
        <v>2019-10-28 17:49:30</v>
      </c>
      <c r="M4443" s="1" t="s">
        <v>2</v>
      </c>
      <c r="N4443" s="1" t="s">
        <v>38</v>
      </c>
      <c r="O4443" s="1" t="s">
        <v>46</v>
      </c>
    </row>
    <row r="4444" spans="2:15" x14ac:dyDescent="0.3">
      <c r="B4444" s="1" t="s">
        <v>23</v>
      </c>
      <c r="C4444" s="1" t="str">
        <f t="shared" si="256"/>
        <v>4차</v>
      </c>
      <c r="D4444" s="1" t="str">
        <f>"0325Y11444"</f>
        <v>0325Y11444</v>
      </c>
      <c r="E4444" s="1" t="s">
        <v>10</v>
      </c>
      <c r="F4444" s="1" t="str">
        <f>"10.11.72.90"</f>
        <v>10.11.72.90</v>
      </c>
      <c r="G4444" s="1" t="str">
        <f>"0325Y114"</f>
        <v>0325Y114</v>
      </c>
      <c r="H4444" s="1" t="str">
        <f>"초원간 34L8H1"</f>
        <v>초원간 34L8H1</v>
      </c>
      <c r="I4444" s="1" t="s">
        <v>8</v>
      </c>
      <c r="J4444" s="1" t="str">
        <f>"47/47"</f>
        <v>47/47</v>
      </c>
      <c r="K4444" s="1" t="str">
        <f t="shared" si="255"/>
        <v>2026-07-29 13:18:02</v>
      </c>
      <c r="L4444" s="1" t="str">
        <f>"2019-10-31 08:43:12"</f>
        <v>2019-10-31 08:43:12</v>
      </c>
      <c r="M4444" s="1" t="s">
        <v>2</v>
      </c>
      <c r="N4444" s="1" t="s">
        <v>38</v>
      </c>
      <c r="O4444" s="1" t="s">
        <v>46</v>
      </c>
    </row>
    <row r="4445" spans="2:15" x14ac:dyDescent="0.3">
      <c r="B4445" s="1" t="s">
        <v>23</v>
      </c>
      <c r="C4445" s="1" t="str">
        <f t="shared" si="256"/>
        <v>4차</v>
      </c>
      <c r="D4445" s="1" t="str">
        <f>"0325Y12144"</f>
        <v>0325Y12144</v>
      </c>
      <c r="E4445" s="1" t="s">
        <v>10</v>
      </c>
      <c r="F4445" s="1" t="str">
        <f>"10.11.72.10"</f>
        <v>10.11.72.10</v>
      </c>
      <c r="G4445" s="1" t="str">
        <f>"0325Y121"</f>
        <v>0325Y121</v>
      </c>
      <c r="H4445" s="1" t="str">
        <f>"초원간 34L7R2"</f>
        <v>초원간 34L7R2</v>
      </c>
      <c r="I4445" s="1" t="s">
        <v>8</v>
      </c>
      <c r="J4445" s="1" t="str">
        <f>"47/49"</f>
        <v>47/49</v>
      </c>
      <c r="K4445" s="1" t="str">
        <f t="shared" si="255"/>
        <v>2026-07-29 13:18:02</v>
      </c>
      <c r="L4445" s="1" t="str">
        <f>"2019-10-28 17:55:45"</f>
        <v>2019-10-28 17:55:45</v>
      </c>
      <c r="M4445" s="1" t="s">
        <v>2</v>
      </c>
      <c r="N4445" s="1" t="s">
        <v>38</v>
      </c>
      <c r="O4445" s="1" t="s">
        <v>46</v>
      </c>
    </row>
    <row r="4446" spans="2:15" x14ac:dyDescent="0.3">
      <c r="B4446" s="1" t="s">
        <v>23</v>
      </c>
      <c r="C4446" s="1" t="str">
        <f t="shared" si="256"/>
        <v>4차</v>
      </c>
      <c r="D4446" s="1" t="str">
        <f>"0325Y13144"</f>
        <v>0325Y13144</v>
      </c>
      <c r="E4446" s="1" t="s">
        <v>10</v>
      </c>
      <c r="F4446" s="1" t="str">
        <f>"10.11.72.154"</f>
        <v>10.11.72.154</v>
      </c>
      <c r="G4446" s="1" t="str">
        <f>"0325Y131"</f>
        <v>0325Y131</v>
      </c>
      <c r="H4446" s="1" t="str">
        <f>"초원간 36L4"</f>
        <v>초원간 36L4</v>
      </c>
      <c r="I4446" s="1" t="s">
        <v>8</v>
      </c>
      <c r="J4446" s="1" t="str">
        <f>"122/122"</f>
        <v>122/122</v>
      </c>
      <c r="K4446" s="1" t="str">
        <f>"2026-07-29 13:18:03"</f>
        <v>2026-07-29 13:18:03</v>
      </c>
      <c r="L4446" s="1" t="str">
        <f>"2019-10-31 08:56:42"</f>
        <v>2019-10-31 08:56:42</v>
      </c>
      <c r="M4446" s="1" t="s">
        <v>2</v>
      </c>
      <c r="N4446" s="1" t="s">
        <v>38</v>
      </c>
      <c r="O4446" s="1" t="s">
        <v>46</v>
      </c>
    </row>
    <row r="4447" spans="2:15" x14ac:dyDescent="0.3">
      <c r="B4447" s="1" t="s">
        <v>23</v>
      </c>
      <c r="C4447" s="1" t="str">
        <f t="shared" si="256"/>
        <v>4차</v>
      </c>
      <c r="D4447" s="1" t="str">
        <f>"0325Y14144"</f>
        <v>0325Y14144</v>
      </c>
      <c r="E4447" s="1" t="s">
        <v>10</v>
      </c>
      <c r="F4447" s="1" t="str">
        <f>"10.11.72.138"</f>
        <v>10.11.72.138</v>
      </c>
      <c r="G4447" s="1" t="str">
        <f>"0325Y141"</f>
        <v>0325Y141</v>
      </c>
      <c r="H4447" s="1" t="str">
        <f>"초원간 36L3R1"</f>
        <v>초원간 36L3R1</v>
      </c>
      <c r="I4447" s="1" t="s">
        <v>8</v>
      </c>
      <c r="J4447" s="1" t="str">
        <f>"54/54"</f>
        <v>54/54</v>
      </c>
      <c r="K4447" s="1" t="str">
        <f>"2026-07-29 13:18:02"</f>
        <v>2026-07-29 13:18:02</v>
      </c>
      <c r="L4447" s="1" t="str">
        <f>"2019-10-31 08:53:42"</f>
        <v>2019-10-31 08:53:42</v>
      </c>
      <c r="M4447" s="1" t="s">
        <v>2</v>
      </c>
      <c r="N4447" s="1" t="s">
        <v>38</v>
      </c>
      <c r="O4447" s="1" t="s">
        <v>46</v>
      </c>
    </row>
    <row r="4448" spans="2:15" x14ac:dyDescent="0.3">
      <c r="B4448" s="1" t="s">
        <v>23</v>
      </c>
      <c r="C4448" s="1" t="str">
        <f t="shared" si="256"/>
        <v>4차</v>
      </c>
      <c r="D4448" s="1" t="str">
        <f>"0325Y15144"</f>
        <v>0325Y15144</v>
      </c>
      <c r="E4448" s="1" t="s">
        <v>10</v>
      </c>
      <c r="F4448" s="1" t="str">
        <f>"10.11.72.146"</f>
        <v>10.11.72.146</v>
      </c>
      <c r="G4448" s="1" t="str">
        <f>"0325Y151"</f>
        <v>0325Y151</v>
      </c>
      <c r="H4448" s="1" t="str">
        <f>"초원간 36L3R2"</f>
        <v>초원간 36L3R2</v>
      </c>
      <c r="I4448" s="1" t="s">
        <v>8</v>
      </c>
      <c r="J4448" s="1" t="str">
        <f>"42/42"</f>
        <v>42/42</v>
      </c>
      <c r="K4448" s="1" t="str">
        <f>"2026-07-29 13:18:03"</f>
        <v>2026-07-29 13:18:03</v>
      </c>
      <c r="L4448" s="1" t="str">
        <f>"2019-10-31 09:13:05"</f>
        <v>2019-10-31 09:13:05</v>
      </c>
      <c r="M4448" s="1" t="s">
        <v>2</v>
      </c>
      <c r="N4448" s="1" t="s">
        <v>38</v>
      </c>
      <c r="O4448" s="1" t="s">
        <v>46</v>
      </c>
    </row>
    <row r="4449" spans="2:15" x14ac:dyDescent="0.3">
      <c r="B4449" s="1" t="s">
        <v>23</v>
      </c>
      <c r="C4449" s="1" t="str">
        <f t="shared" si="256"/>
        <v>4차</v>
      </c>
      <c r="D4449" s="1" t="str">
        <f>"0325Y16144"</f>
        <v>0325Y16144</v>
      </c>
      <c r="E4449" s="1" t="s">
        <v>10</v>
      </c>
      <c r="F4449" s="1" t="str">
        <f>"10.11.72.234"</f>
        <v>10.11.72.234</v>
      </c>
      <c r="G4449" s="1" t="str">
        <f>"0325Y161"</f>
        <v>0325Y161</v>
      </c>
      <c r="H4449" s="1" t="str">
        <f>"초원간 41"</f>
        <v>초원간 41</v>
      </c>
      <c r="I4449" s="1" t="s">
        <v>8</v>
      </c>
      <c r="J4449" s="1" t="str">
        <f>"5/16"</f>
        <v>5/16</v>
      </c>
      <c r="K4449" s="1" t="str">
        <f>"2026-07-29 13:18:03"</f>
        <v>2026-07-29 13:18:03</v>
      </c>
      <c r="L4449" s="1" t="str">
        <f>"2019-11-05 18:43:04"</f>
        <v>2019-11-05 18:43:04</v>
      </c>
      <c r="M4449" s="1" t="s">
        <v>2</v>
      </c>
      <c r="N4449" s="1" t="s">
        <v>38</v>
      </c>
      <c r="O4449" s="1" t="s">
        <v>46</v>
      </c>
    </row>
    <row r="4450" spans="2:15" x14ac:dyDescent="0.3">
      <c r="B4450" s="1" t="s">
        <v>23</v>
      </c>
      <c r="C4450" s="1" t="str">
        <f t="shared" si="256"/>
        <v>4차</v>
      </c>
      <c r="D4450" s="1" t="str">
        <f>"0325Y19144"</f>
        <v>0325Y19144</v>
      </c>
      <c r="E4450" s="1" t="s">
        <v>10</v>
      </c>
      <c r="F4450" s="1" t="str">
        <f>"10.11.64.66"</f>
        <v>10.11.64.66</v>
      </c>
      <c r="G4450" s="1" t="str">
        <f>"0325Y191"</f>
        <v>0325Y191</v>
      </c>
      <c r="H4450" s="1" t="str">
        <f>"광나루 61R2"</f>
        <v>광나루 61R2</v>
      </c>
      <c r="I4450" s="1" t="s">
        <v>8</v>
      </c>
      <c r="J4450" s="1" t="str">
        <f>"64/70"</f>
        <v>64/70</v>
      </c>
      <c r="K4450" s="1" t="str">
        <f>"2026-07-29 13:18:01"</f>
        <v>2026-07-29 13:18:01</v>
      </c>
      <c r="L4450" s="1" t="str">
        <f>"2021-07-28 16:34:25"</f>
        <v>2021-07-28 16:34:25</v>
      </c>
      <c r="M4450" s="1" t="s">
        <v>2</v>
      </c>
      <c r="N4450" s="1" t="s">
        <v>38</v>
      </c>
      <c r="O4450" s="1" t="s">
        <v>46</v>
      </c>
    </row>
    <row r="4451" spans="2:15" x14ac:dyDescent="0.3">
      <c r="B4451" s="1" t="s">
        <v>23</v>
      </c>
      <c r="C4451" s="1" t="str">
        <f t="shared" si="256"/>
        <v>4차</v>
      </c>
      <c r="D4451" s="1" t="str">
        <f>"0325Y19244"</f>
        <v>0325Y19244</v>
      </c>
      <c r="E4451" s="1" t="s">
        <v>10</v>
      </c>
      <c r="F4451" s="1" t="str">
        <f>"10.11.64.74"</f>
        <v>10.11.64.74</v>
      </c>
      <c r="G4451" s="1" t="str">
        <f>"0325Y192"</f>
        <v>0325Y192</v>
      </c>
      <c r="H4451" s="1" t="str">
        <f>"광나루 61R3"</f>
        <v>광나루 61R3</v>
      </c>
      <c r="I4451" s="1" t="s">
        <v>8</v>
      </c>
      <c r="J4451" s="1" t="str">
        <f>"77/77"</f>
        <v>77/77</v>
      </c>
      <c r="K4451" s="1" t="str">
        <f t="shared" ref="K4451:K4460" si="257">"2026-07-29 13:18:03"</f>
        <v>2026-07-29 13:18:03</v>
      </c>
      <c r="L4451" s="1" t="str">
        <f>"2019-10-29 10:53:05"</f>
        <v>2019-10-29 10:53:05</v>
      </c>
      <c r="M4451" s="1" t="s">
        <v>2</v>
      </c>
      <c r="N4451" s="1" t="s">
        <v>38</v>
      </c>
      <c r="O4451" s="1" t="s">
        <v>46</v>
      </c>
    </row>
    <row r="4452" spans="2:15" x14ac:dyDescent="0.3">
      <c r="B4452" s="1" t="s">
        <v>23</v>
      </c>
      <c r="C4452" s="1" t="str">
        <f t="shared" si="256"/>
        <v>4차</v>
      </c>
      <c r="D4452" s="1" t="str">
        <f>"0325Y20344"</f>
        <v>0325Y20344</v>
      </c>
      <c r="E4452" s="1" t="s">
        <v>10</v>
      </c>
      <c r="F4452" s="1" t="str">
        <f>"10.11.71.122"</f>
        <v>10.11.71.122</v>
      </c>
      <c r="G4452" s="1" t="str">
        <f>"0325Y203"</f>
        <v>0325Y203</v>
      </c>
      <c r="H4452" s="1" t="str">
        <f>"초원간 27L4R3R3"</f>
        <v>초원간 27L4R3R3</v>
      </c>
      <c r="I4452" s="1" t="s">
        <v>8</v>
      </c>
      <c r="J4452" s="1" t="str">
        <f>"13/13"</f>
        <v>13/13</v>
      </c>
      <c r="K4452" s="1" t="str">
        <f t="shared" si="257"/>
        <v>2026-07-29 13:18:03</v>
      </c>
      <c r="L4452" s="1" t="str">
        <f>"2019-11-04 19:43:05"</f>
        <v>2019-11-04 19:43:05</v>
      </c>
      <c r="M4452" s="1" t="s">
        <v>2</v>
      </c>
      <c r="N4452" s="1" t="s">
        <v>38</v>
      </c>
      <c r="O4452" s="1" t="s">
        <v>46</v>
      </c>
    </row>
    <row r="4453" spans="2:15" x14ac:dyDescent="0.3">
      <c r="B4453" s="1" t="s">
        <v>23</v>
      </c>
      <c r="C4453" s="1" t="str">
        <f t="shared" si="256"/>
        <v>4차</v>
      </c>
      <c r="D4453" s="1" t="str">
        <f>"0325Y22142"</f>
        <v>0325Y22142</v>
      </c>
      <c r="E4453" s="1" t="s">
        <v>10</v>
      </c>
      <c r="F4453" s="1" t="str">
        <f>"10.125.8.50"</f>
        <v>10.125.8.50</v>
      </c>
      <c r="G4453" s="1" t="str">
        <f>"0325Y221"</f>
        <v>0325Y221</v>
      </c>
      <c r="H4453" s="1" t="str">
        <f>"초원간 34L5"</f>
        <v>초원간 34L5</v>
      </c>
      <c r="I4453" s="1" t="s">
        <v>8</v>
      </c>
      <c r="J4453" s="1" t="str">
        <f>"83/87"</f>
        <v>83/87</v>
      </c>
      <c r="K4453" s="1" t="str">
        <f t="shared" si="257"/>
        <v>2026-07-29 13:18:03</v>
      </c>
      <c r="L4453" s="1" t="str">
        <f>"2024-04-16 14:31:47"</f>
        <v>2024-04-16 14:31:47</v>
      </c>
      <c r="M4453" s="1" t="s">
        <v>45</v>
      </c>
      <c r="N4453" s="1" t="s">
        <v>38</v>
      </c>
      <c r="O4453" s="1" t="s">
        <v>46</v>
      </c>
    </row>
    <row r="4454" spans="2:15" x14ac:dyDescent="0.3">
      <c r="B4454" s="1" t="s">
        <v>23</v>
      </c>
      <c r="C4454" s="1" t="str">
        <f>"3차"</f>
        <v>3차</v>
      </c>
      <c r="D4454" s="1" t="str">
        <f>"0325Y22239"</f>
        <v>0325Y22239</v>
      </c>
      <c r="E4454" s="1" t="s">
        <v>10</v>
      </c>
      <c r="F4454" s="1" t="str">
        <f>"10.11.82.50"</f>
        <v>10.11.82.50</v>
      </c>
      <c r="G4454" s="1" t="str">
        <f>"0325Y222"</f>
        <v>0325Y222</v>
      </c>
      <c r="H4454" s="1" t="str">
        <f>"초원간 34L4"</f>
        <v>초원간 34L4</v>
      </c>
      <c r="I4454" s="1" t="s">
        <v>8</v>
      </c>
      <c r="J4454" s="1" t="str">
        <f>"101/101"</f>
        <v>101/101</v>
      </c>
      <c r="K4454" s="1" t="str">
        <f t="shared" si="257"/>
        <v>2026-07-29 13:18:03</v>
      </c>
      <c r="L4454" s="1" t="str">
        <f>"2018-10-02 09:01:54"</f>
        <v>2018-10-02 09:01:54</v>
      </c>
      <c r="M4454" s="1" t="s">
        <v>2</v>
      </c>
      <c r="N4454" s="1" t="s">
        <v>38</v>
      </c>
      <c r="O4454" s="1" t="s">
        <v>46</v>
      </c>
    </row>
    <row r="4455" spans="2:15" x14ac:dyDescent="0.3">
      <c r="B4455" s="1" t="s">
        <v>23</v>
      </c>
      <c r="C4455" s="1" t="str">
        <f t="shared" ref="C4455:C4462" si="258">"4차"</f>
        <v>4차</v>
      </c>
      <c r="D4455" s="1" t="str">
        <f>"0325Y24139"</f>
        <v>0325Y24139</v>
      </c>
      <c r="E4455" s="1" t="s">
        <v>10</v>
      </c>
      <c r="F4455" s="1" t="str">
        <f>"10.11.82.58"</f>
        <v>10.11.82.58</v>
      </c>
      <c r="G4455" s="1" t="str">
        <f>"0325Y241"</f>
        <v>0325Y241</v>
      </c>
      <c r="H4455" s="1" t="str">
        <f>"초원간 36L2"</f>
        <v>초원간 36L2</v>
      </c>
      <c r="I4455" s="1" t="s">
        <v>8</v>
      </c>
      <c r="J4455" s="1" t="str">
        <f>"48/48"</f>
        <v>48/48</v>
      </c>
      <c r="K4455" s="1" t="str">
        <f t="shared" si="257"/>
        <v>2026-07-29 13:18:03</v>
      </c>
      <c r="L4455" s="1" t="str">
        <f>"2018-10-02 15:00:28"</f>
        <v>2018-10-02 15:00:28</v>
      </c>
      <c r="M4455" s="1" t="s">
        <v>2</v>
      </c>
      <c r="N4455" s="1" t="s">
        <v>38</v>
      </c>
      <c r="O4455" s="1" t="s">
        <v>46</v>
      </c>
    </row>
    <row r="4456" spans="2:15" x14ac:dyDescent="0.3">
      <c r="B4456" s="1" t="s">
        <v>23</v>
      </c>
      <c r="C4456" s="1" t="str">
        <f t="shared" si="258"/>
        <v>4차</v>
      </c>
      <c r="D4456" s="1" t="str">
        <f>"0325Y24244"</f>
        <v>0325Y24244</v>
      </c>
      <c r="E4456" s="1" t="s">
        <v>10</v>
      </c>
      <c r="F4456" s="1" t="str">
        <f>"10.11.72.130"</f>
        <v>10.11.72.130</v>
      </c>
      <c r="G4456" s="1" t="str">
        <f>"0325Y242"</f>
        <v>0325Y242</v>
      </c>
      <c r="H4456" s="1" t="str">
        <f>"초원간 36L3"</f>
        <v>초원간 36L3</v>
      </c>
      <c r="I4456" s="1" t="s">
        <v>8</v>
      </c>
      <c r="J4456" s="1" t="str">
        <f>"48/48"</f>
        <v>48/48</v>
      </c>
      <c r="K4456" s="1" t="str">
        <f t="shared" si="257"/>
        <v>2026-07-29 13:18:03</v>
      </c>
      <c r="L4456" s="1" t="str">
        <f>"2021-07-28 16:43:26"</f>
        <v>2021-07-28 16:43:26</v>
      </c>
      <c r="M4456" s="1" t="s">
        <v>2</v>
      </c>
      <c r="N4456" s="1" t="s">
        <v>38</v>
      </c>
      <c r="O4456" s="1" t="s">
        <v>46</v>
      </c>
    </row>
    <row r="4457" spans="2:15" x14ac:dyDescent="0.3">
      <c r="B4457" s="1" t="s">
        <v>23</v>
      </c>
      <c r="C4457" s="1" t="str">
        <f t="shared" si="258"/>
        <v>4차</v>
      </c>
      <c r="D4457" s="1" t="str">
        <f>"0325Y25144"</f>
        <v>0325Y25144</v>
      </c>
      <c r="E4457" s="1" t="s">
        <v>10</v>
      </c>
      <c r="F4457" s="1" t="str">
        <f>"10.11.72.226"</f>
        <v>10.11.72.226</v>
      </c>
      <c r="G4457" s="1" t="str">
        <f>"0325Y251"</f>
        <v>0325Y251</v>
      </c>
      <c r="H4457" s="1" t="str">
        <f>"초원간 40"</f>
        <v>초원간 40</v>
      </c>
      <c r="I4457" s="1" t="s">
        <v>8</v>
      </c>
      <c r="J4457" s="1" t="str">
        <f>"133/134"</f>
        <v>133/134</v>
      </c>
      <c r="K4457" s="1" t="str">
        <f t="shared" si="257"/>
        <v>2026-07-29 13:18:03</v>
      </c>
      <c r="L4457" s="1" t="str">
        <f>"2019-11-05 18:43:04"</f>
        <v>2019-11-05 18:43:04</v>
      </c>
      <c r="M4457" s="1" t="s">
        <v>2</v>
      </c>
      <c r="N4457" s="1" t="s">
        <v>38</v>
      </c>
      <c r="O4457" s="1" t="s">
        <v>46</v>
      </c>
    </row>
    <row r="4458" spans="2:15" x14ac:dyDescent="0.3">
      <c r="B4458" s="1" t="s">
        <v>23</v>
      </c>
      <c r="C4458" s="1" t="str">
        <f t="shared" si="258"/>
        <v>4차</v>
      </c>
      <c r="D4458" s="1" t="str">
        <f>"0325Y26244"</f>
        <v>0325Y26244</v>
      </c>
      <c r="E4458" s="1" t="s">
        <v>10</v>
      </c>
      <c r="F4458" s="1" t="str">
        <f>"10.11.72.186"</f>
        <v>10.11.72.186</v>
      </c>
      <c r="G4458" s="1" t="str">
        <f>"0325Y262"</f>
        <v>0325Y262</v>
      </c>
      <c r="H4458" s="1" t="str">
        <f>"초원간 37R3L1"</f>
        <v>초원간 37R3L1</v>
      </c>
      <c r="I4458" s="1" t="s">
        <v>8</v>
      </c>
      <c r="J4458" s="1" t="str">
        <f>"109/111"</f>
        <v>109/111</v>
      </c>
      <c r="K4458" s="1" t="str">
        <f t="shared" si="257"/>
        <v>2026-07-29 13:18:03</v>
      </c>
      <c r="L4458" s="1" t="str">
        <f>"2019-10-31 09:10:43"</f>
        <v>2019-10-31 09:10:43</v>
      </c>
      <c r="M4458" s="1" t="s">
        <v>2</v>
      </c>
      <c r="N4458" s="1" t="s">
        <v>38</v>
      </c>
      <c r="O4458" s="1" t="s">
        <v>46</v>
      </c>
    </row>
    <row r="4459" spans="2:15" x14ac:dyDescent="0.3">
      <c r="B4459" s="1" t="s">
        <v>23</v>
      </c>
      <c r="C4459" s="1" t="str">
        <f t="shared" si="258"/>
        <v>4차</v>
      </c>
      <c r="D4459" s="1" t="str">
        <f>"0325Y28244"</f>
        <v>0325Y28244</v>
      </c>
      <c r="E4459" s="1" t="s">
        <v>10</v>
      </c>
      <c r="F4459" s="1" t="str">
        <f>"10.11.72.218"</f>
        <v>10.11.72.218</v>
      </c>
      <c r="G4459" s="1" t="str">
        <f>"0325Y282"</f>
        <v>0325Y282</v>
      </c>
      <c r="H4459" s="1" t="str">
        <f>"초원간 37R5"</f>
        <v>초원간 37R5</v>
      </c>
      <c r="I4459" s="1" t="s">
        <v>8</v>
      </c>
      <c r="J4459" s="1" t="str">
        <f>"20/20"</f>
        <v>20/20</v>
      </c>
      <c r="K4459" s="1" t="str">
        <f t="shared" si="257"/>
        <v>2026-07-29 13:18:03</v>
      </c>
      <c r="L4459" s="1" t="str">
        <f>"2019-11-05 18:28:18"</f>
        <v>2019-11-05 18:28:18</v>
      </c>
      <c r="M4459" s="1" t="s">
        <v>2</v>
      </c>
      <c r="N4459" s="1" t="s">
        <v>38</v>
      </c>
      <c r="O4459" s="1" t="s">
        <v>46</v>
      </c>
    </row>
    <row r="4460" spans="2:15" x14ac:dyDescent="0.3">
      <c r="B4460" s="1" t="s">
        <v>23</v>
      </c>
      <c r="C4460" s="1" t="str">
        <f t="shared" si="258"/>
        <v>4차</v>
      </c>
      <c r="D4460" s="1" t="str">
        <f>"0325Y28344"</f>
        <v>0325Y28344</v>
      </c>
      <c r="E4460" s="1" t="s">
        <v>10</v>
      </c>
      <c r="F4460" s="1" t="str">
        <f>"10.11.72.194"</f>
        <v>10.11.72.194</v>
      </c>
      <c r="G4460" s="1" t="str">
        <f>"0325Y283"</f>
        <v>0325Y283</v>
      </c>
      <c r="H4460" s="1" t="str">
        <f>"초원간 37R4"</f>
        <v>초원간 37R4</v>
      </c>
      <c r="I4460" s="1" t="s">
        <v>8</v>
      </c>
      <c r="J4460" s="1" t="str">
        <f>"44/44"</f>
        <v>44/44</v>
      </c>
      <c r="K4460" s="1" t="str">
        <f t="shared" si="257"/>
        <v>2026-07-29 13:18:03</v>
      </c>
      <c r="L4460" s="1" t="str">
        <f>"2019-11-12 13:23:05"</f>
        <v>2019-11-12 13:23:05</v>
      </c>
      <c r="M4460" s="1" t="s">
        <v>2</v>
      </c>
      <c r="N4460" s="1" t="s">
        <v>38</v>
      </c>
      <c r="O4460" s="1" t="s">
        <v>46</v>
      </c>
    </row>
    <row r="4461" spans="2:15" x14ac:dyDescent="0.3">
      <c r="B4461" s="1" t="s">
        <v>23</v>
      </c>
      <c r="C4461" s="1" t="str">
        <f t="shared" si="258"/>
        <v>4차</v>
      </c>
      <c r="D4461" s="1" t="str">
        <f>"0325Y29139"</f>
        <v>0325Y29139</v>
      </c>
      <c r="E4461" s="1" t="s">
        <v>14</v>
      </c>
      <c r="F4461" s="1" t="str">
        <f>"10.12.134.196"</f>
        <v>10.12.134.196</v>
      </c>
      <c r="G4461" s="1" t="str">
        <f>"0325Y291"</f>
        <v>0325Y291</v>
      </c>
      <c r="H4461" s="1" t="str">
        <f>"광나루 62-3"</f>
        <v>광나루 62-3</v>
      </c>
      <c r="I4461" s="1" t="s">
        <v>17</v>
      </c>
      <c r="J4461" s="1" t="str">
        <f>"0/0"</f>
        <v>0/0</v>
      </c>
      <c r="K4461" s="1" t="str">
        <f>"2026-01-29 01:21:04"</f>
        <v>2026-01-29 01:21:04</v>
      </c>
      <c r="L4461" s="1" t="str">
        <f>"2018-05-15 08:45:56"</f>
        <v>2018-05-15 08:45:56</v>
      </c>
      <c r="M4461" s="1" t="s">
        <v>0</v>
      </c>
      <c r="N4461" s="1" t="s">
        <v>39</v>
      </c>
      <c r="O4461" s="1" t="s">
        <v>46</v>
      </c>
    </row>
    <row r="4462" spans="2:15" x14ac:dyDescent="0.3">
      <c r="B4462" s="1" t="s">
        <v>23</v>
      </c>
      <c r="C4462" s="1" t="str">
        <f t="shared" si="258"/>
        <v>4차</v>
      </c>
      <c r="D4462" s="1" t="str">
        <f>"0325Y30144"</f>
        <v>0325Y30144</v>
      </c>
      <c r="E4462" s="1" t="s">
        <v>10</v>
      </c>
      <c r="F4462" s="1" t="str">
        <f>"10.11.71.114"</f>
        <v>10.11.71.114</v>
      </c>
      <c r="G4462" s="1" t="str">
        <f>"0325Y301"</f>
        <v>0325Y301</v>
      </c>
      <c r="H4462" s="1" t="str">
        <f>"초원간 27L4R3R1"</f>
        <v>초원간 27L4R3R1</v>
      </c>
      <c r="I4462" s="1" t="s">
        <v>8</v>
      </c>
      <c r="J4462" s="1" t="str">
        <f>"25/25"</f>
        <v>25/25</v>
      </c>
      <c r="K4462" s="1" t="str">
        <f t="shared" ref="K4462:K4468" si="259">"2026-07-29 13:18:03"</f>
        <v>2026-07-29 13:18:03</v>
      </c>
      <c r="L4462" s="1" t="str">
        <f>"2019-11-04 19:53:05"</f>
        <v>2019-11-04 19:53:05</v>
      </c>
      <c r="M4462" s="1" t="s">
        <v>2</v>
      </c>
      <c r="N4462" s="1" t="s">
        <v>38</v>
      </c>
      <c r="O4462" s="1" t="s">
        <v>46</v>
      </c>
    </row>
    <row r="4463" spans="2:15" x14ac:dyDescent="0.3">
      <c r="B4463" s="1" t="s">
        <v>23</v>
      </c>
      <c r="C4463" s="1" t="str">
        <f>"3차"</f>
        <v>3차</v>
      </c>
      <c r="D4463" s="1" t="str">
        <f>"0325Y31139"</f>
        <v>0325Y31139</v>
      </c>
      <c r="E4463" s="1" t="s">
        <v>10</v>
      </c>
      <c r="F4463" s="1" t="str">
        <f>"10.11.82.66"</f>
        <v>10.11.82.66</v>
      </c>
      <c r="G4463" s="1" t="str">
        <f>"0325Y311"</f>
        <v>0325Y311</v>
      </c>
      <c r="H4463" s="1" t="str">
        <f>"초원간 34L5L2"</f>
        <v>초원간 34L5L2</v>
      </c>
      <c r="I4463" s="1" t="s">
        <v>8</v>
      </c>
      <c r="J4463" s="1" t="str">
        <f>"86/86"</f>
        <v>86/86</v>
      </c>
      <c r="K4463" s="1" t="str">
        <f t="shared" si="259"/>
        <v>2026-07-29 13:18:03</v>
      </c>
      <c r="L4463" s="1" t="str">
        <f>"2018-10-02 09:35:54"</f>
        <v>2018-10-02 09:35:54</v>
      </c>
      <c r="M4463" s="1" t="s">
        <v>2</v>
      </c>
      <c r="N4463" s="1" t="s">
        <v>38</v>
      </c>
      <c r="O4463" s="1" t="s">
        <v>46</v>
      </c>
    </row>
    <row r="4464" spans="2:15" x14ac:dyDescent="0.3">
      <c r="B4464" s="1" t="s">
        <v>23</v>
      </c>
      <c r="C4464" s="1" t="str">
        <f t="shared" ref="C4464:C4476" si="260">"4차"</f>
        <v>4차</v>
      </c>
      <c r="D4464" s="1" t="str">
        <f>"0325Y31244"</f>
        <v>0325Y31244</v>
      </c>
      <c r="E4464" s="1" t="s">
        <v>10</v>
      </c>
      <c r="F4464" s="1" t="str">
        <f>"10.11.71.106"</f>
        <v>10.11.71.106</v>
      </c>
      <c r="G4464" s="1" t="str">
        <f>"0325Y312"</f>
        <v>0325Y312</v>
      </c>
      <c r="H4464" s="1" t="str">
        <f>"초원간 27L4R3A4"</f>
        <v>초원간 27L4R3A4</v>
      </c>
      <c r="I4464" s="1" t="s">
        <v>8</v>
      </c>
      <c r="J4464" s="1" t="str">
        <f>"75/75"</f>
        <v>75/75</v>
      </c>
      <c r="K4464" s="1" t="str">
        <f t="shared" si="259"/>
        <v>2026-07-29 13:18:03</v>
      </c>
      <c r="L4464" s="1" t="str">
        <f>"2019-11-04 19:53:05"</f>
        <v>2019-11-04 19:53:05</v>
      </c>
      <c r="M4464" s="1" t="s">
        <v>2</v>
      </c>
      <c r="N4464" s="1" t="s">
        <v>38</v>
      </c>
      <c r="O4464" s="1" t="s">
        <v>46</v>
      </c>
    </row>
    <row r="4465" spans="2:15" x14ac:dyDescent="0.3">
      <c r="B4465" s="1" t="s">
        <v>23</v>
      </c>
      <c r="C4465" s="1" t="str">
        <f t="shared" si="260"/>
        <v>4차</v>
      </c>
      <c r="D4465" s="1" t="str">
        <f>"0325Y33239"</f>
        <v>0325Y33239</v>
      </c>
      <c r="E4465" s="1" t="s">
        <v>10</v>
      </c>
      <c r="F4465" s="1" t="str">
        <f>"10.11.82.74"</f>
        <v>10.11.82.74</v>
      </c>
      <c r="G4465" s="1" t="str">
        <f>"0325Y332"</f>
        <v>0325Y332</v>
      </c>
      <c r="H4465" s="1" t="str">
        <f>"초원간 34L2"</f>
        <v>초원간 34L2</v>
      </c>
      <c r="I4465" s="1" t="s">
        <v>8</v>
      </c>
      <c r="J4465" s="1" t="str">
        <f>"107/116"</f>
        <v>107/116</v>
      </c>
      <c r="K4465" s="1" t="str">
        <f t="shared" si="259"/>
        <v>2026-07-29 13:18:03</v>
      </c>
      <c r="L4465" s="1" t="str">
        <f>"2018-09-13 14:52:26"</f>
        <v>2018-09-13 14:52:26</v>
      </c>
      <c r="M4465" s="1" t="s">
        <v>2</v>
      </c>
      <c r="N4465" s="1" t="s">
        <v>38</v>
      </c>
      <c r="O4465" s="1" t="s">
        <v>46</v>
      </c>
    </row>
    <row r="4466" spans="2:15" x14ac:dyDescent="0.3">
      <c r="B4466" s="1" t="s">
        <v>23</v>
      </c>
      <c r="C4466" s="1" t="str">
        <f t="shared" si="260"/>
        <v>4차</v>
      </c>
      <c r="D4466" s="1" t="str">
        <f>"0325Y35139"</f>
        <v>0325Y35139</v>
      </c>
      <c r="E4466" s="1" t="s">
        <v>10</v>
      </c>
      <c r="F4466" s="1" t="str">
        <f>"10.11.82.82"</f>
        <v>10.11.82.82</v>
      </c>
      <c r="G4466" s="1" t="str">
        <f>"0325Y351"</f>
        <v>0325Y351</v>
      </c>
      <c r="H4466" s="1" t="str">
        <f>"초원간 37"</f>
        <v>초원간 37</v>
      </c>
      <c r="I4466" s="1" t="s">
        <v>8</v>
      </c>
      <c r="J4466" s="1" t="str">
        <f>"84/88"</f>
        <v>84/88</v>
      </c>
      <c r="K4466" s="1" t="str">
        <f t="shared" si="259"/>
        <v>2026-07-29 13:18:03</v>
      </c>
      <c r="L4466" s="1" t="str">
        <f>"2021-07-28 09:41:38"</f>
        <v>2021-07-28 09:41:38</v>
      </c>
      <c r="M4466" s="1" t="s">
        <v>2</v>
      </c>
      <c r="N4466" s="1" t="s">
        <v>38</v>
      </c>
      <c r="O4466" s="1" t="s">
        <v>46</v>
      </c>
    </row>
    <row r="4467" spans="2:15" x14ac:dyDescent="0.3">
      <c r="B4467" s="1" t="s">
        <v>23</v>
      </c>
      <c r="C4467" s="1" t="str">
        <f t="shared" si="260"/>
        <v>4차</v>
      </c>
      <c r="D4467" s="1" t="str">
        <f>"0325Y37244"</f>
        <v>0325Y37244</v>
      </c>
      <c r="E4467" s="1" t="s">
        <v>10</v>
      </c>
      <c r="F4467" s="1" t="str">
        <f>"10.11.72.178"</f>
        <v>10.11.72.178</v>
      </c>
      <c r="G4467" s="1" t="str">
        <f>"0325Y372"</f>
        <v>0325Y372</v>
      </c>
      <c r="H4467" s="1" t="str">
        <f>"초원간 37R2R2"</f>
        <v>초원간 37R2R2</v>
      </c>
      <c r="I4467" s="1" t="s">
        <v>8</v>
      </c>
      <c r="J4467" s="1" t="str">
        <f>"25/52"</f>
        <v>25/52</v>
      </c>
      <c r="K4467" s="1" t="str">
        <f t="shared" si="259"/>
        <v>2026-07-29 13:18:03</v>
      </c>
      <c r="L4467" s="1" t="str">
        <f>"2019-11-04 11:55:28"</f>
        <v>2019-11-04 11:55:28</v>
      </c>
      <c r="M4467" s="1" t="s">
        <v>2</v>
      </c>
      <c r="N4467" s="1" t="s">
        <v>38</v>
      </c>
      <c r="O4467" s="1" t="s">
        <v>46</v>
      </c>
    </row>
    <row r="4468" spans="2:15" x14ac:dyDescent="0.3">
      <c r="B4468" s="1" t="s">
        <v>23</v>
      </c>
      <c r="C4468" s="1" t="str">
        <f t="shared" si="260"/>
        <v>4차</v>
      </c>
      <c r="D4468" s="1" t="str">
        <f>"0325Y40144"</f>
        <v>0325Y40144</v>
      </c>
      <c r="E4468" s="1" t="s">
        <v>10</v>
      </c>
      <c r="F4468" s="1" t="str">
        <f>"10.11.71.90"</f>
        <v>10.11.71.90</v>
      </c>
      <c r="G4468" s="1" t="str">
        <f>"0325Y401"</f>
        <v>0325Y401</v>
      </c>
      <c r="H4468" s="1" t="str">
        <f>"초원간 27L4R3A2"</f>
        <v>초원간 27L4R3A2</v>
      </c>
      <c r="I4468" s="1" t="s">
        <v>8</v>
      </c>
      <c r="J4468" s="1" t="str">
        <f>"97/101"</f>
        <v>97/101</v>
      </c>
      <c r="K4468" s="1" t="str">
        <f t="shared" si="259"/>
        <v>2026-07-29 13:18:03</v>
      </c>
      <c r="L4468" s="1" t="str">
        <f>"2019-11-04 19:53:05"</f>
        <v>2019-11-04 19:53:05</v>
      </c>
      <c r="M4468" s="1" t="s">
        <v>2</v>
      </c>
      <c r="N4468" s="1" t="s">
        <v>38</v>
      </c>
      <c r="O4468" s="1" t="s">
        <v>46</v>
      </c>
    </row>
    <row r="4469" spans="2:15" x14ac:dyDescent="0.3">
      <c r="B4469" s="1" t="s">
        <v>23</v>
      </c>
      <c r="C4469" s="1" t="str">
        <f t="shared" si="260"/>
        <v>4차</v>
      </c>
      <c r="D4469" s="1" t="str">
        <f>"0325Y41244"</f>
        <v>0325Y41244</v>
      </c>
      <c r="E4469" s="1" t="s">
        <v>10</v>
      </c>
      <c r="F4469" s="1" t="str">
        <f>"10.11.71.98"</f>
        <v>10.11.71.98</v>
      </c>
      <c r="G4469" s="1" t="str">
        <f>"0325Y412"</f>
        <v>0325Y412</v>
      </c>
      <c r="H4469" s="1" t="str">
        <f>"초원간 27L4R3A2R2"</f>
        <v>초원간 27L4R3A2R2</v>
      </c>
      <c r="I4469" s="1" t="s">
        <v>8</v>
      </c>
      <c r="J4469" s="1" t="str">
        <f>"42/42"</f>
        <v>42/42</v>
      </c>
      <c r="K4469" s="1" t="str">
        <f>"2026-07-29 13:18:02"</f>
        <v>2026-07-29 13:18:02</v>
      </c>
      <c r="L4469" s="1" t="str">
        <f>"2019-11-04 19:53:04"</f>
        <v>2019-11-04 19:53:04</v>
      </c>
      <c r="M4469" s="1" t="s">
        <v>2</v>
      </c>
      <c r="N4469" s="1" t="s">
        <v>38</v>
      </c>
      <c r="O4469" s="1" t="s">
        <v>46</v>
      </c>
    </row>
    <row r="4470" spans="2:15" x14ac:dyDescent="0.3">
      <c r="B4470" s="1" t="s">
        <v>23</v>
      </c>
      <c r="C4470" s="1" t="str">
        <f t="shared" si="260"/>
        <v>4차</v>
      </c>
      <c r="D4470" s="1" t="str">
        <f>"0325Y44144"</f>
        <v>0325Y44144</v>
      </c>
      <c r="E4470" s="1" t="s">
        <v>10</v>
      </c>
      <c r="F4470" s="1" t="str">
        <f>"10.11.72.114"</f>
        <v>10.11.72.114</v>
      </c>
      <c r="G4470" s="1" t="str">
        <f>"0325Y441"</f>
        <v>0325Y441</v>
      </c>
      <c r="H4470" s="1" t="str">
        <f>"초원간 35R2"</f>
        <v>초원간 35R2</v>
      </c>
      <c r="I4470" s="1" t="s">
        <v>8</v>
      </c>
      <c r="J4470" s="1" t="str">
        <f>"58/64"</f>
        <v>58/64</v>
      </c>
      <c r="K4470" s="1" t="str">
        <f>"2026-07-29 13:18:03"</f>
        <v>2026-07-29 13:18:03</v>
      </c>
      <c r="L4470" s="1" t="str">
        <f>"2019-11-05 18:07:32"</f>
        <v>2019-11-05 18:07:32</v>
      </c>
      <c r="M4470" s="1" t="s">
        <v>2</v>
      </c>
      <c r="N4470" s="1" t="s">
        <v>38</v>
      </c>
      <c r="O4470" s="1" t="s">
        <v>46</v>
      </c>
    </row>
    <row r="4471" spans="2:15" x14ac:dyDescent="0.3">
      <c r="B4471" s="1" t="s">
        <v>23</v>
      </c>
      <c r="C4471" s="1" t="str">
        <f t="shared" si="260"/>
        <v>4차</v>
      </c>
      <c r="D4471" s="1" t="str">
        <f>"0325Y44244"</f>
        <v>0325Y44244</v>
      </c>
      <c r="E4471" s="1" t="s">
        <v>10</v>
      </c>
      <c r="F4471" s="1" t="str">
        <f>"10.11.72.106"</f>
        <v>10.11.72.106</v>
      </c>
      <c r="G4471" s="1" t="str">
        <f>"0325Y442"</f>
        <v>0325Y442</v>
      </c>
      <c r="H4471" s="1" t="str">
        <f>"초원간 34R2"</f>
        <v>초원간 34R2</v>
      </c>
      <c r="I4471" s="1" t="s">
        <v>8</v>
      </c>
      <c r="J4471" s="1" t="str">
        <f>"124/124"</f>
        <v>124/124</v>
      </c>
      <c r="K4471" s="1" t="str">
        <f>"2026-07-29 13:18:02"</f>
        <v>2026-07-29 13:18:02</v>
      </c>
      <c r="L4471" s="1" t="str">
        <f>"2019-11-05 17:58:18"</f>
        <v>2019-11-05 17:58:18</v>
      </c>
      <c r="M4471" s="1" t="s">
        <v>2</v>
      </c>
      <c r="N4471" s="1" t="s">
        <v>38</v>
      </c>
      <c r="O4471" s="1" t="s">
        <v>46</v>
      </c>
    </row>
    <row r="4472" spans="2:15" x14ac:dyDescent="0.3">
      <c r="B4472" s="1" t="s">
        <v>23</v>
      </c>
      <c r="C4472" s="1" t="str">
        <f t="shared" si="260"/>
        <v>4차</v>
      </c>
      <c r="D4472" s="1" t="str">
        <f>"0325Y45244"</f>
        <v>0325Y45244</v>
      </c>
      <c r="E4472" s="1" t="s">
        <v>10</v>
      </c>
      <c r="F4472" s="1" t="str">
        <f>"10.11.72.162"</f>
        <v>10.11.72.162</v>
      </c>
      <c r="G4472" s="1" t="str">
        <f>"0325Y452"</f>
        <v>0325Y452</v>
      </c>
      <c r="H4472" s="1" t="str">
        <f>"초원간 36R3"</f>
        <v>초원간 36R3</v>
      </c>
      <c r="I4472" s="1" t="s">
        <v>8</v>
      </c>
      <c r="J4472" s="1" t="str">
        <f>"98/102"</f>
        <v>98/102</v>
      </c>
      <c r="K4472" s="1" t="str">
        <f>"2026-07-29 13:18:03"</f>
        <v>2026-07-29 13:18:03</v>
      </c>
      <c r="L4472" s="1" t="str">
        <f>"2019-10-31 09:02:36"</f>
        <v>2019-10-31 09:02:36</v>
      </c>
      <c r="M4472" s="1" t="s">
        <v>2</v>
      </c>
      <c r="N4472" s="1" t="s">
        <v>38</v>
      </c>
      <c r="O4472" s="1" t="s">
        <v>46</v>
      </c>
    </row>
    <row r="4473" spans="2:15" x14ac:dyDescent="0.3">
      <c r="B4473" s="1" t="s">
        <v>23</v>
      </c>
      <c r="C4473" s="1" t="str">
        <f t="shared" si="260"/>
        <v>4차</v>
      </c>
      <c r="D4473" s="1" t="str">
        <f>"0325Y47144"</f>
        <v>0325Y47144</v>
      </c>
      <c r="E4473" s="1" t="s">
        <v>10</v>
      </c>
      <c r="F4473" s="1" t="str">
        <f>"10.11.72.202"</f>
        <v>10.11.72.202</v>
      </c>
      <c r="G4473" s="1" t="str">
        <f>"0325Y471"</f>
        <v>0325Y471</v>
      </c>
      <c r="H4473" s="1" t="str">
        <f>"초원간 37R4R2"</f>
        <v>초원간 37R4R2</v>
      </c>
      <c r="I4473" s="1" t="s">
        <v>8</v>
      </c>
      <c r="J4473" s="1" t="str">
        <f>"40/50"</f>
        <v>40/50</v>
      </c>
      <c r="K4473" s="1" t="str">
        <f>"2026-07-29 13:18:02"</f>
        <v>2026-07-29 13:18:02</v>
      </c>
      <c r="L4473" s="1" t="str">
        <f>"2019-10-31 09:11:43"</f>
        <v>2019-10-31 09:11:43</v>
      </c>
      <c r="M4473" s="1" t="s">
        <v>2</v>
      </c>
      <c r="N4473" s="1" t="s">
        <v>38</v>
      </c>
      <c r="O4473" s="1" t="s">
        <v>46</v>
      </c>
    </row>
    <row r="4474" spans="2:15" x14ac:dyDescent="0.3">
      <c r="B4474" s="1" t="s">
        <v>23</v>
      </c>
      <c r="C4474" s="1" t="str">
        <f t="shared" si="260"/>
        <v>4차</v>
      </c>
      <c r="D4474" s="1" t="str">
        <f>"0325Y49239"</f>
        <v>0325Y49239</v>
      </c>
      <c r="E4474" s="1" t="s">
        <v>14</v>
      </c>
      <c r="F4474" s="1" t="str">
        <f>"10.12.134.54"</f>
        <v>10.12.134.54</v>
      </c>
      <c r="G4474" s="1" t="str">
        <f>"0325Y492"</f>
        <v>0325Y492</v>
      </c>
      <c r="H4474" s="1" t="str">
        <f>"화양로 11-1"</f>
        <v>화양로 11-1</v>
      </c>
      <c r="I4474" s="1" t="s">
        <v>17</v>
      </c>
      <c r="J4474" s="1" t="str">
        <f>"0/0"</f>
        <v>0/0</v>
      </c>
      <c r="K4474" s="1" t="str">
        <f>"2026-07-28 13:18:03"</f>
        <v>2026-07-28 13:18:03</v>
      </c>
      <c r="L4474" s="1" t="str">
        <f>"2018-06-25 10:49:52"</f>
        <v>2018-06-25 10:49:52</v>
      </c>
      <c r="M4474" s="1" t="s">
        <v>0</v>
      </c>
      <c r="N4474" s="1" t="s">
        <v>39</v>
      </c>
      <c r="O4474" s="1" t="s">
        <v>46</v>
      </c>
    </row>
    <row r="4475" spans="2:15" x14ac:dyDescent="0.3">
      <c r="B4475" s="1" t="s">
        <v>23</v>
      </c>
      <c r="C4475" s="1" t="str">
        <f t="shared" si="260"/>
        <v>4차</v>
      </c>
      <c r="D4475" s="1" t="str">
        <f>"0325Y50144"</f>
        <v>0325Y50144</v>
      </c>
      <c r="E4475" s="1" t="s">
        <v>10</v>
      </c>
      <c r="F4475" s="1" t="str">
        <f>"10.11.71.66"</f>
        <v>10.11.71.66</v>
      </c>
      <c r="G4475" s="1" t="str">
        <f>"0325Y501"</f>
        <v>0325Y501</v>
      </c>
      <c r="H4475" s="1" t="str">
        <f>"초원간 27L4R2R2"</f>
        <v>초원간 27L4R2R2</v>
      </c>
      <c r="I4475" s="1" t="s">
        <v>8</v>
      </c>
      <c r="J4475" s="1" t="str">
        <f>"51/57"</f>
        <v>51/57</v>
      </c>
      <c r="K4475" s="1" t="str">
        <f>"2026-07-29 13:18:02"</f>
        <v>2026-07-29 13:18:02</v>
      </c>
      <c r="L4475" s="1" t="str">
        <f>"2019-11-04 19:53:04"</f>
        <v>2019-11-04 19:53:04</v>
      </c>
      <c r="M4475" s="1" t="s">
        <v>2</v>
      </c>
      <c r="N4475" s="1" t="s">
        <v>38</v>
      </c>
      <c r="O4475" s="1" t="s">
        <v>46</v>
      </c>
    </row>
    <row r="4476" spans="2:15" x14ac:dyDescent="0.3">
      <c r="B4476" s="1" t="s">
        <v>23</v>
      </c>
      <c r="C4476" s="1" t="str">
        <f t="shared" si="260"/>
        <v>4차</v>
      </c>
      <c r="D4476" s="1" t="str">
        <f>"0325Y51144"</f>
        <v>0325Y51144</v>
      </c>
      <c r="E4476" s="1" t="s">
        <v>10</v>
      </c>
      <c r="F4476" s="1" t="str">
        <f>"10.11.71.162"</f>
        <v>10.11.71.162</v>
      </c>
      <c r="G4476" s="1" t="str">
        <f>"0325Y511"</f>
        <v>0325Y511</v>
      </c>
      <c r="H4476" s="1" t="str">
        <f>"초원간 30"</f>
        <v>초원간 30</v>
      </c>
      <c r="I4476" s="1" t="s">
        <v>8</v>
      </c>
      <c r="J4476" s="1" t="str">
        <f>"57/57"</f>
        <v>57/57</v>
      </c>
      <c r="K4476" s="1" t="str">
        <f>"2026-07-29 13:18:01"</f>
        <v>2026-07-29 13:18:01</v>
      </c>
      <c r="L4476" s="1" t="str">
        <f>"2019-11-11 14:33:03"</f>
        <v>2019-11-11 14:33:03</v>
      </c>
      <c r="M4476" s="1" t="s">
        <v>2</v>
      </c>
      <c r="N4476" s="1" t="s">
        <v>38</v>
      </c>
      <c r="O4476" s="1" t="s">
        <v>46</v>
      </c>
    </row>
    <row r="4477" spans="2:15" x14ac:dyDescent="0.3">
      <c r="B4477" s="1" t="s">
        <v>23</v>
      </c>
      <c r="C4477" s="1" t="str">
        <f>"3차"</f>
        <v>3차</v>
      </c>
      <c r="D4477" s="1" t="str">
        <f>"0325Y52139"</f>
        <v>0325Y52139</v>
      </c>
      <c r="E4477" s="1" t="s">
        <v>10</v>
      </c>
      <c r="F4477" s="1" t="str">
        <f>"10.11.82.90"</f>
        <v>10.11.82.90</v>
      </c>
      <c r="G4477" s="1" t="str">
        <f>"0325Y521"</f>
        <v>0325Y521</v>
      </c>
      <c r="H4477" s="1" t="str">
        <f>"초원간 32H1"</f>
        <v>초원간 32H1</v>
      </c>
      <c r="I4477" s="1" t="s">
        <v>8</v>
      </c>
      <c r="J4477" s="1" t="str">
        <f>"130/132"</f>
        <v>130/132</v>
      </c>
      <c r="K4477" s="1" t="str">
        <f>"2026-07-29 13:18:02"</f>
        <v>2026-07-29 13:18:02</v>
      </c>
      <c r="L4477" s="1" t="str">
        <f>"2018-09-13 15:54:27"</f>
        <v>2018-09-13 15:54:27</v>
      </c>
      <c r="M4477" s="1" t="s">
        <v>2</v>
      </c>
      <c r="N4477" s="1" t="s">
        <v>38</v>
      </c>
      <c r="O4477" s="1" t="s">
        <v>46</v>
      </c>
    </row>
    <row r="4478" spans="2:15" x14ac:dyDescent="0.3">
      <c r="B4478" s="1" t="s">
        <v>23</v>
      </c>
      <c r="C4478" s="1" t="str">
        <f>"3차"</f>
        <v>3차</v>
      </c>
      <c r="D4478" s="1" t="str">
        <f>"0325Y53239"</f>
        <v>0325Y53239</v>
      </c>
      <c r="E4478" s="1" t="s">
        <v>10</v>
      </c>
      <c r="F4478" s="1" t="str">
        <f>"10.11.82.98"</f>
        <v>10.11.82.98</v>
      </c>
      <c r="G4478" s="1" t="str">
        <f>"0325Y532"</f>
        <v>0325Y532</v>
      </c>
      <c r="H4478" s="1" t="str">
        <f>"초원간 31R3"</f>
        <v>초원간 31R3</v>
      </c>
      <c r="I4478" s="1" t="s">
        <v>8</v>
      </c>
      <c r="J4478" s="1" t="str">
        <f>"109/113"</f>
        <v>109/113</v>
      </c>
      <c r="K4478" s="1" t="str">
        <f>"2026-07-29 13:18:03"</f>
        <v>2026-07-29 13:18:03</v>
      </c>
      <c r="L4478" s="1" t="str">
        <f>"2018-09-14 09:03:39"</f>
        <v>2018-09-14 09:03:39</v>
      </c>
      <c r="M4478" s="1" t="s">
        <v>2</v>
      </c>
      <c r="N4478" s="1" t="s">
        <v>38</v>
      </c>
      <c r="O4478" s="1" t="s">
        <v>46</v>
      </c>
    </row>
    <row r="4479" spans="2:15" x14ac:dyDescent="0.3">
      <c r="B4479" s="1" t="s">
        <v>23</v>
      </c>
      <c r="C4479" s="1" t="str">
        <f t="shared" ref="C4479:C4488" si="261">"4차"</f>
        <v>4차</v>
      </c>
      <c r="D4479" s="1" t="str">
        <f>"0325Y56244"</f>
        <v>0325Y56244</v>
      </c>
      <c r="E4479" s="1" t="s">
        <v>10</v>
      </c>
      <c r="F4479" s="1" t="str">
        <f>"10.11.72.170"</f>
        <v>10.11.72.170</v>
      </c>
      <c r="G4479" s="1" t="str">
        <f>"0325Y562"</f>
        <v>0325Y562</v>
      </c>
      <c r="H4479" s="1" t="str">
        <f>"초원간 36R5"</f>
        <v>초원간 36R5</v>
      </c>
      <c r="I4479" s="1" t="s">
        <v>8</v>
      </c>
      <c r="J4479" s="1" t="str">
        <f>"91/91"</f>
        <v>91/91</v>
      </c>
      <c r="K4479" s="1" t="str">
        <f>"2026-07-29 13:18:03"</f>
        <v>2026-07-29 13:18:03</v>
      </c>
      <c r="L4479" s="1" t="str">
        <f>"2019-10-31 09:13:05"</f>
        <v>2019-10-31 09:13:05</v>
      </c>
      <c r="M4479" s="1" t="s">
        <v>2</v>
      </c>
      <c r="N4479" s="1" t="s">
        <v>38</v>
      </c>
      <c r="O4479" s="1" t="s">
        <v>46</v>
      </c>
    </row>
    <row r="4480" spans="2:15" x14ac:dyDescent="0.3">
      <c r="B4480" s="1" t="s">
        <v>23</v>
      </c>
      <c r="C4480" s="1" t="str">
        <f t="shared" si="261"/>
        <v>4차</v>
      </c>
      <c r="D4480" s="1" t="str">
        <f>"0325Y57144"</f>
        <v>0325Y57144</v>
      </c>
      <c r="E4480" s="1" t="s">
        <v>10</v>
      </c>
      <c r="F4480" s="1" t="str">
        <f>"10.11.72.210"</f>
        <v>10.11.72.210</v>
      </c>
      <c r="G4480" s="1" t="str">
        <f>"0325Y571"</f>
        <v>0325Y571</v>
      </c>
      <c r="H4480" s="1" t="str">
        <f>"초원간 37R4R4"</f>
        <v>초원간 37R4R4</v>
      </c>
      <c r="I4480" s="1" t="s">
        <v>8</v>
      </c>
      <c r="J4480" s="1" t="str">
        <f>"46/46"</f>
        <v>46/46</v>
      </c>
      <c r="K4480" s="1" t="str">
        <f>"2026-07-29 13:18:03"</f>
        <v>2026-07-29 13:18:03</v>
      </c>
      <c r="L4480" s="1" t="str">
        <f>"2019-11-05 18:27:46"</f>
        <v>2019-11-05 18:27:46</v>
      </c>
      <c r="M4480" s="1" t="s">
        <v>2</v>
      </c>
      <c r="N4480" s="1" t="s">
        <v>38</v>
      </c>
      <c r="O4480" s="1" t="s">
        <v>46</v>
      </c>
    </row>
    <row r="4481" spans="2:15" x14ac:dyDescent="0.3">
      <c r="B4481" s="1" t="s">
        <v>23</v>
      </c>
      <c r="C4481" s="1" t="str">
        <f t="shared" si="261"/>
        <v>4차</v>
      </c>
      <c r="D4481" s="1" t="str">
        <f>"0325Y59239"</f>
        <v>0325Y59239</v>
      </c>
      <c r="E4481" s="1" t="s">
        <v>10</v>
      </c>
      <c r="F4481" s="1" t="str">
        <f>"10.12.133.109"</f>
        <v>10.12.133.109</v>
      </c>
      <c r="G4481" s="1" t="str">
        <f>"0325Y592"</f>
        <v>0325Y592</v>
      </c>
      <c r="H4481" s="1" t="str">
        <f>"광나루 65-6"</f>
        <v>광나루 65-6</v>
      </c>
      <c r="I4481" s="1" t="s">
        <v>17</v>
      </c>
      <c r="J4481" s="1" t="str">
        <f>"2/2"</f>
        <v>2/2</v>
      </c>
      <c r="K4481" s="1" t="str">
        <f>"2026-07-29 13:18:03"</f>
        <v>2026-07-29 13:18:03</v>
      </c>
      <c r="L4481" s="1" t="str">
        <f>"2018-06-21 07:41:40"</f>
        <v>2018-06-21 07:41:40</v>
      </c>
      <c r="M4481" s="1" t="s">
        <v>0</v>
      </c>
      <c r="N4481" s="1" t="s">
        <v>38</v>
      </c>
      <c r="O4481" s="1" t="s">
        <v>46</v>
      </c>
    </row>
    <row r="4482" spans="2:15" x14ac:dyDescent="0.3">
      <c r="B4482" s="1" t="s">
        <v>23</v>
      </c>
      <c r="C4482" s="1" t="str">
        <f t="shared" si="261"/>
        <v>4차</v>
      </c>
      <c r="D4482" s="1" t="str">
        <f>"0325Y60339"</f>
        <v>0325Y60339</v>
      </c>
      <c r="E4482" s="1" t="s">
        <v>10</v>
      </c>
      <c r="F4482" s="1" t="str">
        <f>"10.12.132.249"</f>
        <v>10.12.132.249</v>
      </c>
      <c r="G4482" s="1" t="str">
        <f>"0325Y603"</f>
        <v>0325Y603</v>
      </c>
      <c r="H4482" s="1" t="str">
        <f>"능동로 45-3"</f>
        <v>능동로 45-3</v>
      </c>
      <c r="I4482" s="1" t="s">
        <v>17</v>
      </c>
      <c r="J4482" s="1" t="str">
        <f>"10/10"</f>
        <v>10/10</v>
      </c>
      <c r="K4482" s="1" t="str">
        <f>"2026-07-29 13:18:03"</f>
        <v>2026-07-29 13:18:03</v>
      </c>
      <c r="L4482" s="1" t="str">
        <f>"2018-06-23 07:23:56"</f>
        <v>2018-06-23 07:23:56</v>
      </c>
      <c r="M4482" s="1" t="s">
        <v>0</v>
      </c>
      <c r="N4482" s="1" t="s">
        <v>38</v>
      </c>
      <c r="O4482" s="1" t="s">
        <v>46</v>
      </c>
    </row>
    <row r="4483" spans="2:15" x14ac:dyDescent="0.3">
      <c r="B4483" s="1" t="s">
        <v>23</v>
      </c>
      <c r="C4483" s="1" t="str">
        <f t="shared" si="261"/>
        <v>4차</v>
      </c>
      <c r="D4483" s="1" t="str">
        <f>"0325Y61339"</f>
        <v>0325Y61339</v>
      </c>
      <c r="E4483" s="1" t="s">
        <v>10</v>
      </c>
      <c r="F4483" s="1" t="str">
        <f>"10.12.132.251"</f>
        <v>10.12.132.251</v>
      </c>
      <c r="G4483" s="1" t="str">
        <f>"0325Y613"</f>
        <v>0325Y613</v>
      </c>
      <c r="H4483" s="1" t="str">
        <f>"능동로 45-2"</f>
        <v>능동로 45-2</v>
      </c>
      <c r="I4483" s="1" t="s">
        <v>17</v>
      </c>
      <c r="J4483" s="1" t="str">
        <f>"15/16"</f>
        <v>15/16</v>
      </c>
      <c r="K4483" s="1" t="str">
        <f>"2026-07-29 13:18:04"</f>
        <v>2026-07-29 13:18:04</v>
      </c>
      <c r="L4483" s="1" t="str">
        <f>"2018-07-12 17:59:50"</f>
        <v>2018-07-12 17:59:50</v>
      </c>
      <c r="M4483" s="1" t="s">
        <v>0</v>
      </c>
      <c r="N4483" s="1" t="s">
        <v>38</v>
      </c>
      <c r="O4483" s="1" t="s">
        <v>46</v>
      </c>
    </row>
    <row r="4484" spans="2:15" x14ac:dyDescent="0.3">
      <c r="B4484" s="1" t="s">
        <v>23</v>
      </c>
      <c r="C4484" s="1" t="str">
        <f t="shared" si="261"/>
        <v>4차</v>
      </c>
      <c r="D4484" s="1" t="str">
        <f>"0325Y62139"</f>
        <v>0325Y62139</v>
      </c>
      <c r="E4484" s="1" t="s">
        <v>10</v>
      </c>
      <c r="F4484" s="1" t="str">
        <f>"10.12.132.134"</f>
        <v>10.12.132.134</v>
      </c>
      <c r="G4484" s="1" t="str">
        <f>"0325Y621"</f>
        <v>0325Y621</v>
      </c>
      <c r="H4484" s="1" t="str">
        <f>"능동로 45-1"</f>
        <v>능동로 45-1</v>
      </c>
      <c r="I4484" s="1" t="s">
        <v>17</v>
      </c>
      <c r="J4484" s="1" t="str">
        <f>"12/12"</f>
        <v>12/12</v>
      </c>
      <c r="K4484" s="1" t="str">
        <f>"2026-07-29 13:18:02"</f>
        <v>2026-07-29 13:18:02</v>
      </c>
      <c r="L4484" s="1" t="str">
        <f>"2018-06-23 07:15:56"</f>
        <v>2018-06-23 07:15:56</v>
      </c>
      <c r="M4484" s="1" t="s">
        <v>0</v>
      </c>
      <c r="N4484" s="1" t="s">
        <v>38</v>
      </c>
      <c r="O4484" s="1" t="s">
        <v>46</v>
      </c>
    </row>
    <row r="4485" spans="2:15" x14ac:dyDescent="0.3">
      <c r="B4485" s="1" t="s">
        <v>23</v>
      </c>
      <c r="C4485" s="1" t="str">
        <f t="shared" si="261"/>
        <v>4차</v>
      </c>
      <c r="D4485" s="1" t="str">
        <f>"0325Y64244"</f>
        <v>0325Y64244</v>
      </c>
      <c r="E4485" s="1" t="s">
        <v>10</v>
      </c>
      <c r="F4485" s="1" t="str">
        <f>"10.11.72.122"</f>
        <v>10.11.72.122</v>
      </c>
      <c r="G4485" s="1" t="str">
        <f>"0325Y642"</f>
        <v>0325Y642</v>
      </c>
      <c r="H4485" s="1" t="str">
        <f>"초원간 35R3R3"</f>
        <v>초원간 35R3R3</v>
      </c>
      <c r="I4485" s="1" t="s">
        <v>8</v>
      </c>
      <c r="J4485" s="1" t="str">
        <f>"91/91"</f>
        <v>91/91</v>
      </c>
      <c r="K4485" s="1" t="str">
        <f>"2026-07-29 13:18:03"</f>
        <v>2026-07-29 13:18:03</v>
      </c>
      <c r="L4485" s="1" t="str">
        <f>"2022-04-20 14:02:43"</f>
        <v>2022-04-20 14:02:43</v>
      </c>
      <c r="M4485" s="1" t="s">
        <v>2</v>
      </c>
      <c r="N4485" s="1" t="s">
        <v>38</v>
      </c>
      <c r="O4485" s="1" t="s">
        <v>46</v>
      </c>
    </row>
    <row r="4486" spans="2:15" x14ac:dyDescent="0.3">
      <c r="B4486" s="1" t="s">
        <v>23</v>
      </c>
      <c r="C4486" s="1" t="str">
        <f t="shared" si="261"/>
        <v>4차</v>
      </c>
      <c r="D4486" s="1" t="str">
        <f>"0325Y68439"</f>
        <v>0325Y68439</v>
      </c>
      <c r="E4486" s="1" t="s">
        <v>10</v>
      </c>
      <c r="F4486" s="1" t="str">
        <f>"10.12.133.232"</f>
        <v>10.12.133.232</v>
      </c>
      <c r="G4486" s="1" t="str">
        <f>"0325Y684"</f>
        <v>0325Y684</v>
      </c>
      <c r="H4486" s="1" t="str">
        <f>"화양로 15-2"</f>
        <v>화양로 15-2</v>
      </c>
      <c r="I4486" s="1" t="s">
        <v>17</v>
      </c>
      <c r="J4486" s="1" t="str">
        <f>"10/10"</f>
        <v>10/10</v>
      </c>
      <c r="K4486" s="1" t="str">
        <f>"2026-07-29 13:18:03"</f>
        <v>2026-07-29 13:18:03</v>
      </c>
      <c r="L4486" s="1" t="str">
        <f>"2018-06-25 10:55:07"</f>
        <v>2018-06-25 10:55:07</v>
      </c>
      <c r="M4486" s="1" t="s">
        <v>0</v>
      </c>
      <c r="N4486" s="1" t="s">
        <v>38</v>
      </c>
      <c r="O4486" s="1" t="s">
        <v>46</v>
      </c>
    </row>
    <row r="4487" spans="2:15" x14ac:dyDescent="0.3">
      <c r="B4487" s="1" t="s">
        <v>23</v>
      </c>
      <c r="C4487" s="1" t="str">
        <f t="shared" si="261"/>
        <v>4차</v>
      </c>
      <c r="D4487" s="1" t="str">
        <f>"0325Y73239"</f>
        <v>0325Y73239</v>
      </c>
      <c r="E4487" s="1" t="s">
        <v>10</v>
      </c>
      <c r="F4487" s="1" t="str">
        <f>"10.12.134.62"</f>
        <v>10.12.134.62</v>
      </c>
      <c r="G4487" s="1" t="str">
        <f>"0325Y732"</f>
        <v>0325Y732</v>
      </c>
      <c r="H4487" s="1" t="str">
        <f>"능동로 75-1"</f>
        <v>능동로 75-1</v>
      </c>
      <c r="I4487" s="1" t="s">
        <v>17</v>
      </c>
      <c r="J4487" s="1" t="str">
        <f>"6/6"</f>
        <v>6/6</v>
      </c>
      <c r="K4487" s="1" t="str">
        <f>"2026-07-29 13:18:02"</f>
        <v>2026-07-29 13:18:02</v>
      </c>
      <c r="L4487" s="1" t="str">
        <f>"2018-06-21 08:26:41"</f>
        <v>2018-06-21 08:26:41</v>
      </c>
      <c r="M4487" s="1" t="s">
        <v>0</v>
      </c>
      <c r="N4487" s="1" t="s">
        <v>38</v>
      </c>
      <c r="O4487" s="1" t="s">
        <v>46</v>
      </c>
    </row>
    <row r="4488" spans="2:15" x14ac:dyDescent="0.3">
      <c r="B4488" s="1" t="s">
        <v>23</v>
      </c>
      <c r="C4488" s="1" t="str">
        <f t="shared" si="261"/>
        <v>4차</v>
      </c>
      <c r="D4488" s="1" t="str">
        <f>"0325Y75139"</f>
        <v>0325Y75139</v>
      </c>
      <c r="E4488" s="1" t="s">
        <v>10</v>
      </c>
      <c r="F4488" s="1" t="str">
        <f>"10.12.132.226"</f>
        <v>10.12.132.226</v>
      </c>
      <c r="G4488" s="1" t="str">
        <f>"0325Y751"</f>
        <v>0325Y751</v>
      </c>
      <c r="H4488" s="1" t="str">
        <f>"능동로 41-4"</f>
        <v>능동로 41-4</v>
      </c>
      <c r="I4488" s="1" t="s">
        <v>17</v>
      </c>
      <c r="J4488" s="1" t="str">
        <f>"5/5"</f>
        <v>5/5</v>
      </c>
      <c r="K4488" s="1" t="str">
        <f>"2026-07-29 13:18:02"</f>
        <v>2026-07-29 13:18:02</v>
      </c>
      <c r="L4488" s="1" t="str">
        <f>"2018-06-21 09:06:39"</f>
        <v>2018-06-21 09:06:39</v>
      </c>
      <c r="M4488" s="1" t="s">
        <v>0</v>
      </c>
      <c r="N4488" s="1" t="s">
        <v>38</v>
      </c>
      <c r="O4488" s="1" t="s">
        <v>46</v>
      </c>
    </row>
    <row r="4489" spans="2:15" x14ac:dyDescent="0.3">
      <c r="B4489" s="1" t="s">
        <v>23</v>
      </c>
      <c r="C4489" s="1" t="str">
        <f>"6차"</f>
        <v>6차</v>
      </c>
      <c r="D4489" s="1" t="str">
        <f>"0325Y7716S"</f>
        <v>0325Y7716S</v>
      </c>
      <c r="E4489" s="1" t="s">
        <v>10</v>
      </c>
      <c r="F4489" s="1" t="str">
        <f>"fde1:103:4:9299:0:0:0:2"</f>
        <v>fde1:103:4:9299:0:0:0:2</v>
      </c>
      <c r="G4489" s="1" t="str">
        <f>"0325Y771"</f>
        <v>0325Y771</v>
      </c>
      <c r="H4489" s="1" t="str">
        <f>"능동로 40R4"</f>
        <v>능동로 40R4</v>
      </c>
      <c r="I4489" s="1" t="s">
        <v>15</v>
      </c>
      <c r="J4489" s="1" t="str">
        <f>"92/92"</f>
        <v>92/92</v>
      </c>
      <c r="K4489" s="1" t="str">
        <f>"2026-07-29 14:20:40"</f>
        <v>2026-07-29 14:20:40</v>
      </c>
      <c r="L4489" s="1" t="str">
        <f>"2024-09-25 19:44:40"</f>
        <v>2024-09-25 19:44:40</v>
      </c>
      <c r="M4489" s="1" t="s">
        <v>4</v>
      </c>
      <c r="N4489" s="1" t="s">
        <v>38</v>
      </c>
      <c r="O4489" s="1" t="s">
        <v>46</v>
      </c>
    </row>
    <row r="4490" spans="2:15" x14ac:dyDescent="0.3">
      <c r="B4490" s="1" t="s">
        <v>23</v>
      </c>
      <c r="C4490" s="1" t="str">
        <f>"4차"</f>
        <v>4차</v>
      </c>
      <c r="D4490" s="1" t="str">
        <f>"0325Y78144"</f>
        <v>0325Y78144</v>
      </c>
      <c r="E4490" s="1" t="s">
        <v>10</v>
      </c>
      <c r="F4490" s="1" t="str">
        <f>"10.11.64.178"</f>
        <v>10.11.64.178</v>
      </c>
      <c r="G4490" s="1" t="str">
        <f>"0325Y781"</f>
        <v>0325Y781</v>
      </c>
      <c r="H4490" s="1" t="str">
        <f>"능동로 40R1R1"</f>
        <v>능동로 40R1R1</v>
      </c>
      <c r="I4490" s="1" t="s">
        <v>8</v>
      </c>
      <c r="J4490" s="1" t="str">
        <f>"10/10"</f>
        <v>10/10</v>
      </c>
      <c r="K4490" s="1" t="str">
        <f>"2026-07-29 13:18:03"</f>
        <v>2026-07-29 13:18:03</v>
      </c>
      <c r="L4490" s="1" t="str">
        <f>"2019-11-18 10:03:43"</f>
        <v>2019-11-18 10:03:43</v>
      </c>
      <c r="M4490" s="1" t="s">
        <v>2</v>
      </c>
      <c r="N4490" s="1" t="s">
        <v>38</v>
      </c>
      <c r="O4490" s="1" t="s">
        <v>46</v>
      </c>
    </row>
    <row r="4491" spans="2:15" x14ac:dyDescent="0.3">
      <c r="B4491" s="1" t="s">
        <v>23</v>
      </c>
      <c r="C4491" s="1" t="str">
        <f>"4차"</f>
        <v>4차</v>
      </c>
      <c r="D4491" s="1" t="str">
        <f>"0325Y79139"</f>
        <v>0325Y79139</v>
      </c>
      <c r="E4491" s="1" t="s">
        <v>10</v>
      </c>
      <c r="F4491" s="1" t="str">
        <f>"10.12.133.86"</f>
        <v>10.12.133.86</v>
      </c>
      <c r="G4491" s="1" t="str">
        <f>"0325Y791"</f>
        <v>0325Y791</v>
      </c>
      <c r="H4491" s="1" t="str">
        <f>"광나루 65-3"</f>
        <v>광나루 65-3</v>
      </c>
      <c r="I4491" s="1" t="s">
        <v>17</v>
      </c>
      <c r="J4491" s="1" t="str">
        <f>"1/1"</f>
        <v>1/1</v>
      </c>
      <c r="K4491" s="1" t="str">
        <f>"2026-07-29 13:18:03"</f>
        <v>2026-07-29 13:18:03</v>
      </c>
      <c r="L4491" s="1" t="str">
        <f>"2018-06-18 11:28:59"</f>
        <v>2018-06-18 11:28:59</v>
      </c>
      <c r="M4491" s="1" t="s">
        <v>0</v>
      </c>
      <c r="N4491" s="1" t="s">
        <v>38</v>
      </c>
      <c r="O4491" s="1" t="s">
        <v>46</v>
      </c>
    </row>
    <row r="4492" spans="2:15" x14ac:dyDescent="0.3">
      <c r="B4492" s="1" t="s">
        <v>23</v>
      </c>
      <c r="C4492" s="1" t="str">
        <f>"3차"</f>
        <v>3차</v>
      </c>
      <c r="D4492" s="1" t="str">
        <f>"0325Y83139"</f>
        <v>0325Y83139</v>
      </c>
      <c r="E4492" s="1" t="s">
        <v>10</v>
      </c>
      <c r="F4492" s="1" t="str">
        <f>"10.11.54.202"</f>
        <v>10.11.54.202</v>
      </c>
      <c r="G4492" s="1" t="str">
        <f>"0325Y831"</f>
        <v>0325Y831</v>
      </c>
      <c r="H4492" s="1" t="str">
        <f>"초원간 8R2"</f>
        <v>초원간 8R2</v>
      </c>
      <c r="I4492" s="1" t="s">
        <v>8</v>
      </c>
      <c r="J4492" s="1" t="str">
        <f>"14/14"</f>
        <v>14/14</v>
      </c>
      <c r="K4492" s="1" t="str">
        <f>"2026-07-29 13:18:01"</f>
        <v>2026-07-29 13:18:01</v>
      </c>
      <c r="L4492" s="1" t="str">
        <f>"2018-05-30 10:16:24"</f>
        <v>2018-05-30 10:16:24</v>
      </c>
      <c r="M4492" s="1" t="s">
        <v>2</v>
      </c>
      <c r="N4492" s="1" t="s">
        <v>38</v>
      </c>
      <c r="O4492" s="1" t="s">
        <v>46</v>
      </c>
    </row>
    <row r="4493" spans="2:15" x14ac:dyDescent="0.3">
      <c r="B4493" s="1" t="s">
        <v>23</v>
      </c>
      <c r="C4493" s="1" t="str">
        <f>"4차"</f>
        <v>4차</v>
      </c>
      <c r="D4493" s="1" t="str">
        <f>"0325Y83339"</f>
        <v>0325Y83339</v>
      </c>
      <c r="E4493" s="1" t="s">
        <v>10</v>
      </c>
      <c r="F4493" s="1" t="str">
        <f>"10.11.61.186"</f>
        <v>10.11.61.186</v>
      </c>
      <c r="G4493" s="1" t="str">
        <f>"0325Y833"</f>
        <v>0325Y833</v>
      </c>
      <c r="H4493" s="1" t="str">
        <f>"초원간 8R3"</f>
        <v>초원간 8R3</v>
      </c>
      <c r="I4493" s="1" t="s">
        <v>8</v>
      </c>
      <c r="J4493" s="1" t="str">
        <f>"55/55"</f>
        <v>55/55</v>
      </c>
      <c r="K4493" s="1" t="str">
        <f>"2026-07-29 13:18:03"</f>
        <v>2026-07-29 13:18:03</v>
      </c>
      <c r="L4493" s="1" t="str">
        <f>"2018-05-30 10:13:39"</f>
        <v>2018-05-30 10:13:39</v>
      </c>
      <c r="M4493" s="1" t="s">
        <v>2</v>
      </c>
      <c r="N4493" s="1" t="s">
        <v>38</v>
      </c>
      <c r="O4493" s="1" t="s">
        <v>46</v>
      </c>
    </row>
    <row r="4494" spans="2:15" x14ac:dyDescent="0.3">
      <c r="B4494" s="1" t="s">
        <v>23</v>
      </c>
      <c r="C4494" s="1" t="str">
        <f>"4차"</f>
        <v>4차</v>
      </c>
      <c r="D4494" s="1" t="str">
        <f>"0325Y86139"</f>
        <v>0325Y86139</v>
      </c>
      <c r="E4494" s="1" t="s">
        <v>14</v>
      </c>
      <c r="F4494" s="1" t="str">
        <f>"10.12.133.8"</f>
        <v>10.12.133.8</v>
      </c>
      <c r="G4494" s="1" t="str">
        <f>"0325Y861"</f>
        <v>0325Y861</v>
      </c>
      <c r="H4494" s="1" t="str">
        <f>"능동로 41-1"</f>
        <v>능동로 41-1</v>
      </c>
      <c r="I4494" s="1" t="s">
        <v>17</v>
      </c>
      <c r="J4494" s="1" t="str">
        <f>"0/0"</f>
        <v>0/0</v>
      </c>
      <c r="K4494" s="1" t="str">
        <f>"2026-07-28 13:18:03"</f>
        <v>2026-07-28 13:18:03</v>
      </c>
      <c r="L4494" s="1" t="str">
        <f>"2018-06-21 08:44:09"</f>
        <v>2018-06-21 08:44:09</v>
      </c>
      <c r="M4494" s="1" t="s">
        <v>0</v>
      </c>
      <c r="N4494" s="1" t="s">
        <v>39</v>
      </c>
      <c r="O4494" s="1" t="s">
        <v>46</v>
      </c>
    </row>
    <row r="4495" spans="2:15" x14ac:dyDescent="0.3">
      <c r="B4495" s="1" t="s">
        <v>23</v>
      </c>
      <c r="C4495" s="1" t="str">
        <f>"3차"</f>
        <v>3차</v>
      </c>
      <c r="D4495" s="1" t="str">
        <f>"0325Y86539"</f>
        <v>0325Y86539</v>
      </c>
      <c r="E4495" s="1" t="s">
        <v>10</v>
      </c>
      <c r="F4495" s="1" t="str">
        <f>"10.12.132.225"</f>
        <v>10.12.132.225</v>
      </c>
      <c r="G4495" s="1" t="str">
        <f>"0325Y865"</f>
        <v>0325Y865</v>
      </c>
      <c r="H4495" s="1" t="str">
        <f>"능동로 41-3"</f>
        <v>능동로 41-3</v>
      </c>
      <c r="I4495" s="1" t="s">
        <v>17</v>
      </c>
      <c r="J4495" s="1" t="str">
        <f>"28/28"</f>
        <v>28/28</v>
      </c>
      <c r="K4495" s="1" t="str">
        <f>"2026-07-29 13:18:03"</f>
        <v>2026-07-29 13:18:03</v>
      </c>
      <c r="L4495" s="1" t="str">
        <f>"2018-06-21 08:58:39"</f>
        <v>2018-06-21 08:58:39</v>
      </c>
      <c r="M4495" s="1" t="s">
        <v>0</v>
      </c>
      <c r="N4495" s="1" t="s">
        <v>38</v>
      </c>
      <c r="O4495" s="1" t="s">
        <v>46</v>
      </c>
    </row>
    <row r="4496" spans="2:15" x14ac:dyDescent="0.3">
      <c r="B4496" s="1" t="s">
        <v>23</v>
      </c>
      <c r="C4496" s="1" t="str">
        <f>"4차"</f>
        <v>4차</v>
      </c>
      <c r="D4496" s="1" t="str">
        <f>"0325Y86639"</f>
        <v>0325Y86639</v>
      </c>
      <c r="E4496" s="1" t="s">
        <v>14</v>
      </c>
      <c r="F4496" s="1" t="str">
        <f>"10.12.134.64"</f>
        <v>10.12.134.64</v>
      </c>
      <c r="G4496" s="1" t="str">
        <f>"0325Y866"</f>
        <v>0325Y866</v>
      </c>
      <c r="H4496" s="1" t="str">
        <f>"능동로 75-3"</f>
        <v>능동로 75-3</v>
      </c>
      <c r="I4496" s="1" t="s">
        <v>17</v>
      </c>
      <c r="J4496" s="1" t="str">
        <f>"0/0"</f>
        <v>0/0</v>
      </c>
      <c r="K4496" s="1" t="str">
        <f>"2026-06-10 07:18:02"</f>
        <v>2026-06-10 07:18:02</v>
      </c>
      <c r="L4496" s="1" t="str">
        <f>"2018-06-21 08:16:54"</f>
        <v>2018-06-21 08:16:54</v>
      </c>
      <c r="M4496" s="1" t="s">
        <v>0</v>
      </c>
      <c r="N4496" s="1" t="s">
        <v>39</v>
      </c>
      <c r="O4496" s="1" t="s">
        <v>46</v>
      </c>
    </row>
    <row r="4497" spans="2:15" x14ac:dyDescent="0.3">
      <c r="B4497" s="1" t="s">
        <v>23</v>
      </c>
      <c r="C4497" s="1" t="str">
        <f>"4차"</f>
        <v>4차</v>
      </c>
      <c r="D4497" s="1" t="str">
        <f>"0325Y87244"</f>
        <v>0325Y87244</v>
      </c>
      <c r="E4497" s="1" t="s">
        <v>10</v>
      </c>
      <c r="F4497" s="1" t="str">
        <f>"10.11.64.186"</f>
        <v>10.11.64.186</v>
      </c>
      <c r="G4497" s="1" t="str">
        <f>"0325Y872"</f>
        <v>0325Y872</v>
      </c>
      <c r="H4497" s="1" t="str">
        <f>"능동로 40R2"</f>
        <v>능동로 40R2</v>
      </c>
      <c r="I4497" s="1" t="s">
        <v>8</v>
      </c>
      <c r="J4497" s="1" t="str">
        <f>"20/20"</f>
        <v>20/20</v>
      </c>
      <c r="K4497" s="1" t="str">
        <f>"2026-07-29 13:18:03"</f>
        <v>2026-07-29 13:18:03</v>
      </c>
      <c r="L4497" s="1" t="str">
        <f>"2019-10-29 10:43:04"</f>
        <v>2019-10-29 10:43:04</v>
      </c>
      <c r="M4497" s="1" t="s">
        <v>2</v>
      </c>
      <c r="N4497" s="1" t="s">
        <v>38</v>
      </c>
      <c r="O4497" s="1" t="s">
        <v>46</v>
      </c>
    </row>
    <row r="4498" spans="2:15" x14ac:dyDescent="0.3">
      <c r="B4498" s="1" t="s">
        <v>23</v>
      </c>
      <c r="C4498" s="1" t="str">
        <f>"4차"</f>
        <v>4차</v>
      </c>
      <c r="D4498" s="1" t="str">
        <f>"0325Y94139"</f>
        <v>0325Y94139</v>
      </c>
      <c r="E4498" s="1" t="s">
        <v>10</v>
      </c>
      <c r="F4498" s="1" t="str">
        <f>"10.12.138.130"</f>
        <v>10.12.138.130</v>
      </c>
      <c r="G4498" s="1" t="str">
        <f>"0325Y941"</f>
        <v>0325Y941</v>
      </c>
      <c r="H4498" s="1" t="str">
        <f>"광나루 81R3R6"</f>
        <v>광나루 81R3R6</v>
      </c>
      <c r="I4498" s="1" t="s">
        <v>8</v>
      </c>
      <c r="J4498" s="1" t="str">
        <f>"30/31"</f>
        <v>30/31</v>
      </c>
      <c r="K4498" s="1" t="str">
        <f>"2026-07-29 13:18:04"</f>
        <v>2026-07-29 13:18:04</v>
      </c>
      <c r="L4498" s="1" t="str">
        <f>"2024-05-03 11:27:16"</f>
        <v>2024-05-03 11:27:16</v>
      </c>
      <c r="M4498" s="1" t="s">
        <v>0</v>
      </c>
      <c r="N4498" s="1" t="s">
        <v>38</v>
      </c>
      <c r="O4498" s="1" t="s">
        <v>46</v>
      </c>
    </row>
    <row r="4499" spans="2:15" x14ac:dyDescent="0.3">
      <c r="B4499" s="1" t="s">
        <v>23</v>
      </c>
      <c r="C4499" s="1" t="str">
        <f>"5-2차"</f>
        <v>5-2차</v>
      </c>
      <c r="D4499" s="1" t="str">
        <f>"0325Y9565M"</f>
        <v>0325Y9565M</v>
      </c>
      <c r="E4499" s="1" t="s">
        <v>10</v>
      </c>
      <c r="F4499" s="1" t="str">
        <f>"fde1:103:4:6eb2:0:0:0:2"</f>
        <v>fde1:103:4:6eb2:0:0:0:2</v>
      </c>
      <c r="G4499" s="1" t="str">
        <f>"0325Y956"</f>
        <v>0325Y956</v>
      </c>
      <c r="H4499" s="1" t="str">
        <f>"광나루 81R3R4"</f>
        <v>광나루 81R3R4</v>
      </c>
      <c r="I4499" s="1" t="s">
        <v>15</v>
      </c>
      <c r="J4499" s="1" t="str">
        <f>"51/53"</f>
        <v>51/53</v>
      </c>
      <c r="K4499" s="1" t="str">
        <f>"2026-07-29 08:20:34"</f>
        <v>2026-07-29 08:20:34</v>
      </c>
      <c r="L4499" s="1" t="str">
        <f>"2023-11-14 16:06:05"</f>
        <v>2023-11-14 16:06:05</v>
      </c>
      <c r="M4499" s="1" t="s">
        <v>4</v>
      </c>
      <c r="N4499" s="1" t="s">
        <v>38</v>
      </c>
      <c r="O4499" s="1" t="s">
        <v>46</v>
      </c>
    </row>
    <row r="4500" spans="2:15" x14ac:dyDescent="0.3">
      <c r="B4500" s="1" t="s">
        <v>23</v>
      </c>
      <c r="C4500" s="1" t="str">
        <f>"4차"</f>
        <v>4차</v>
      </c>
      <c r="D4500" s="1" t="str">
        <f>"0325Y97239"</f>
        <v>0325Y97239</v>
      </c>
      <c r="E4500" s="1" t="s">
        <v>10</v>
      </c>
      <c r="F4500" s="1" t="str">
        <f>"10.12.134.63"</f>
        <v>10.12.134.63</v>
      </c>
      <c r="G4500" s="1" t="str">
        <f>"0325Y972"</f>
        <v>0325Y972</v>
      </c>
      <c r="H4500" s="1" t="str">
        <f>"능동로 75-4"</f>
        <v>능동로 75-4</v>
      </c>
      <c r="I4500" s="1" t="s">
        <v>17</v>
      </c>
      <c r="J4500" s="1" t="str">
        <f>"8/8"</f>
        <v>8/8</v>
      </c>
      <c r="K4500" s="1" t="str">
        <f>"2026-07-29 13:18:04"</f>
        <v>2026-07-29 13:18:04</v>
      </c>
      <c r="L4500" s="1" t="str">
        <f>"2018-06-21 08:04:54"</f>
        <v>2018-06-21 08:04:54</v>
      </c>
      <c r="M4500" s="1" t="s">
        <v>0</v>
      </c>
      <c r="N4500" s="1" t="s">
        <v>38</v>
      </c>
      <c r="O4500" s="1" t="s">
        <v>46</v>
      </c>
    </row>
    <row r="4501" spans="2:15" x14ac:dyDescent="0.3">
      <c r="B4501" s="1" t="s">
        <v>23</v>
      </c>
      <c r="C4501" s="1" t="str">
        <f>"3차"</f>
        <v>3차</v>
      </c>
      <c r="D4501" s="1" t="str">
        <f>"0325Z03231"</f>
        <v>0325Z03231</v>
      </c>
      <c r="E4501" s="1" t="s">
        <v>10</v>
      </c>
      <c r="F4501" s="1" t="str">
        <f>"10.11.51.139"</f>
        <v>10.11.51.139</v>
      </c>
      <c r="G4501" s="1" t="str">
        <f>"0325Z032"</f>
        <v>0325Z032</v>
      </c>
      <c r="H4501" s="1" t="str">
        <f>"광나루 81R15"</f>
        <v>광나루 81R15</v>
      </c>
      <c r="I4501" s="1" t="s">
        <v>8</v>
      </c>
      <c r="J4501" s="1" t="str">
        <f>"14/15"</f>
        <v>14/15</v>
      </c>
      <c r="K4501" s="1" t="str">
        <f>"2026-07-29 13:18:03"</f>
        <v>2026-07-29 13:18:03</v>
      </c>
      <c r="L4501" s="1" t="str">
        <f>"2018-03-23 15:35:12"</f>
        <v>2018-03-23 15:35:12</v>
      </c>
      <c r="M4501" s="1" t="s">
        <v>2</v>
      </c>
      <c r="N4501" s="1" t="s">
        <v>38</v>
      </c>
      <c r="O4501" s="1" t="s">
        <v>46</v>
      </c>
    </row>
    <row r="4502" spans="2:15" x14ac:dyDescent="0.3">
      <c r="B4502" s="1" t="s">
        <v>23</v>
      </c>
      <c r="C4502" s="1" t="str">
        <f>"3차"</f>
        <v>3차</v>
      </c>
      <c r="D4502" s="1" t="str">
        <f>"0325Z04139"</f>
        <v>0325Z04139</v>
      </c>
      <c r="E4502" s="1" t="s">
        <v>10</v>
      </c>
      <c r="F4502" s="1" t="str">
        <f>"10.11.51.162"</f>
        <v>10.11.51.162</v>
      </c>
      <c r="G4502" s="1" t="str">
        <f>"0325Z041"</f>
        <v>0325Z041</v>
      </c>
      <c r="H4502" s="1" t="str">
        <f>"광나루 81R3R5L1"</f>
        <v>광나루 81R3R5L1</v>
      </c>
      <c r="I4502" s="1" t="s">
        <v>8</v>
      </c>
      <c r="J4502" s="1" t="str">
        <f>"132/133"</f>
        <v>132/133</v>
      </c>
      <c r="K4502" s="1" t="str">
        <f>"2026-07-29 13:18:03"</f>
        <v>2026-07-29 13:18:03</v>
      </c>
      <c r="L4502" s="1" t="str">
        <f>"2018-03-23 16:09:13"</f>
        <v>2018-03-23 16:09:13</v>
      </c>
      <c r="M4502" s="1" t="s">
        <v>2</v>
      </c>
      <c r="N4502" s="1" t="s">
        <v>38</v>
      </c>
      <c r="O4502" s="1" t="s">
        <v>46</v>
      </c>
    </row>
    <row r="4503" spans="2:15" x14ac:dyDescent="0.3">
      <c r="B4503" s="1" t="s">
        <v>23</v>
      </c>
      <c r="C4503" s="1" t="str">
        <f>"4차"</f>
        <v>4차</v>
      </c>
      <c r="D4503" s="1" t="str">
        <f>"0325Z08139"</f>
        <v>0325Z08139</v>
      </c>
      <c r="E4503" s="1" t="s">
        <v>10</v>
      </c>
      <c r="F4503" s="1" t="str">
        <f>"10.12.135.149"</f>
        <v>10.12.135.149</v>
      </c>
      <c r="G4503" s="1" t="str">
        <f>"0325Z081"</f>
        <v>0325Z081</v>
      </c>
      <c r="H4503" s="1" t="str">
        <f>"광나루 80-1"</f>
        <v>광나루 80-1</v>
      </c>
      <c r="I4503" s="1" t="s">
        <v>17</v>
      </c>
      <c r="J4503" s="1" t="str">
        <f>"5/5"</f>
        <v>5/5</v>
      </c>
      <c r="K4503" s="1" t="str">
        <f>"2026-07-29 13:18:03"</f>
        <v>2026-07-29 13:18:03</v>
      </c>
      <c r="L4503" s="1" t="str">
        <f>"2021-12-10 09:10:19"</f>
        <v>2021-12-10 09:10:19</v>
      </c>
      <c r="M4503" s="1" t="s">
        <v>0</v>
      </c>
      <c r="N4503" s="1" t="s">
        <v>38</v>
      </c>
      <c r="O4503" s="1" t="s">
        <v>46</v>
      </c>
    </row>
    <row r="4504" spans="2:15" x14ac:dyDescent="0.3">
      <c r="B4504" s="1" t="s">
        <v>23</v>
      </c>
      <c r="C4504" s="1" t="str">
        <f>"4차"</f>
        <v>4차</v>
      </c>
      <c r="D4504" s="1" t="str">
        <f>"0325Z13130"</f>
        <v>0325Z13130</v>
      </c>
      <c r="E4504" s="1" t="s">
        <v>10</v>
      </c>
      <c r="F4504" s="1" t="str">
        <f>"10.11.51.138"</f>
        <v>10.11.51.138</v>
      </c>
      <c r="G4504" s="1" t="str">
        <f>"0325Z131"</f>
        <v>0325Z131</v>
      </c>
      <c r="H4504" s="1" t="str">
        <f>"광나루 81R14"</f>
        <v>광나루 81R14</v>
      </c>
      <c r="I4504" s="1" t="s">
        <v>8</v>
      </c>
      <c r="J4504" s="1" t="str">
        <f>"67/67"</f>
        <v>67/67</v>
      </c>
      <c r="K4504" s="1" t="str">
        <f>"2026-07-29 13:18:03"</f>
        <v>2026-07-29 13:18:03</v>
      </c>
      <c r="L4504" s="1" t="str">
        <f>"2018-03-23 15:28:27"</f>
        <v>2018-03-23 15:28:27</v>
      </c>
      <c r="M4504" s="1" t="s">
        <v>2</v>
      </c>
      <c r="N4504" s="1" t="s">
        <v>38</v>
      </c>
      <c r="O4504" s="1" t="s">
        <v>46</v>
      </c>
    </row>
    <row r="4505" spans="2:15" x14ac:dyDescent="0.3">
      <c r="B4505" s="1" t="s">
        <v>23</v>
      </c>
      <c r="C4505" s="1" t="str">
        <f>"3차"</f>
        <v>3차</v>
      </c>
      <c r="D4505" s="1" t="str">
        <f>"0325Z16339"</f>
        <v>0325Z16339</v>
      </c>
      <c r="E4505" s="1" t="s">
        <v>14</v>
      </c>
      <c r="F4505" s="1" t="str">
        <f>"10.11.51.146"</f>
        <v>10.11.51.146</v>
      </c>
      <c r="G4505" s="1" t="str">
        <f>"0325Z163"</f>
        <v>0325Z163</v>
      </c>
      <c r="H4505" s="1" t="str">
        <f>"광나루 81R3R1"</f>
        <v>광나루 81R3R1</v>
      </c>
      <c r="I4505" s="1" t="s">
        <v>8</v>
      </c>
      <c r="J4505" s="1" t="str">
        <f>"0/0"</f>
        <v>0/0</v>
      </c>
      <c r="K4505" s="4" t="str">
        <f>"2026-07-29 13:18:02"</f>
        <v>2026-07-29 13:18:02</v>
      </c>
      <c r="L4505" s="1" t="str">
        <f>"2018-03-23 15:53:42"</f>
        <v>2018-03-23 15:53:42</v>
      </c>
      <c r="M4505" s="1" t="s">
        <v>2</v>
      </c>
      <c r="N4505" s="1" t="s">
        <v>38</v>
      </c>
      <c r="O4505" s="1" t="s">
        <v>44</v>
      </c>
    </row>
    <row r="4506" spans="2:15" x14ac:dyDescent="0.3">
      <c r="B4506" s="1" t="s">
        <v>23</v>
      </c>
      <c r="C4506" s="1" t="str">
        <f>"3차"</f>
        <v>3차</v>
      </c>
      <c r="D4506" s="1" t="str">
        <f>"0325Z16439"</f>
        <v>0325Z16439</v>
      </c>
      <c r="E4506" s="1" t="s">
        <v>10</v>
      </c>
      <c r="F4506" s="1" t="str">
        <f>"10.11.58.138"</f>
        <v>10.11.58.138</v>
      </c>
      <c r="G4506" s="1" t="str">
        <f>"0325Z164"</f>
        <v>0325Z164</v>
      </c>
      <c r="H4506" s="1" t="str">
        <f>"광나루 81R4"</f>
        <v>광나루 81R4</v>
      </c>
      <c r="I4506" s="1" t="s">
        <v>8</v>
      </c>
      <c r="J4506" s="1" t="str">
        <f>"116/117"</f>
        <v>116/117</v>
      </c>
      <c r="K4506" s="1" t="str">
        <f>"2026-07-29 13:18:01"</f>
        <v>2026-07-29 13:18:01</v>
      </c>
      <c r="L4506" s="1" t="str">
        <f>"2018-03-23 16:18:58"</f>
        <v>2018-03-23 16:18:58</v>
      </c>
      <c r="M4506" s="1" t="s">
        <v>2</v>
      </c>
      <c r="N4506" s="1" t="s">
        <v>38</v>
      </c>
      <c r="O4506" s="1" t="s">
        <v>46</v>
      </c>
    </row>
    <row r="4507" spans="2:15" x14ac:dyDescent="0.3">
      <c r="B4507" s="1" t="s">
        <v>23</v>
      </c>
      <c r="C4507" s="1" t="str">
        <f>"3차"</f>
        <v>3차</v>
      </c>
      <c r="D4507" s="1" t="str">
        <f>"0325Z16539"</f>
        <v>0325Z16539</v>
      </c>
      <c r="E4507" s="1" t="s">
        <v>10</v>
      </c>
      <c r="F4507" s="1" t="str">
        <f>"10.11.58.114"</f>
        <v>10.11.58.114</v>
      </c>
      <c r="G4507" s="1" t="str">
        <f>"0325Z165"</f>
        <v>0325Z165</v>
      </c>
      <c r="H4507" s="1" t="str">
        <f>"광나루 81R3A1"</f>
        <v>광나루 81R3A1</v>
      </c>
      <c r="I4507" s="1" t="s">
        <v>8</v>
      </c>
      <c r="J4507" s="1" t="str">
        <f>"9/9"</f>
        <v>9/9</v>
      </c>
      <c r="K4507" s="1" t="str">
        <f>"2026-07-29 13:18:02"</f>
        <v>2026-07-29 13:18:02</v>
      </c>
      <c r="L4507" s="1" t="str">
        <f>"2018-03-23 15:56:27"</f>
        <v>2018-03-23 15:56:27</v>
      </c>
      <c r="M4507" s="1" t="s">
        <v>2</v>
      </c>
      <c r="N4507" s="1" t="s">
        <v>38</v>
      </c>
      <c r="O4507" s="1" t="s">
        <v>46</v>
      </c>
    </row>
    <row r="4508" spans="2:15" x14ac:dyDescent="0.3">
      <c r="B4508" s="1" t="s">
        <v>23</v>
      </c>
      <c r="C4508" s="1" t="str">
        <f>"3차"</f>
        <v>3차</v>
      </c>
      <c r="D4508" s="1" t="str">
        <f>"0325Z25139"</f>
        <v>0325Z25139</v>
      </c>
      <c r="E4508" s="1" t="s">
        <v>10</v>
      </c>
      <c r="F4508" s="1" t="str">
        <f>"10.11.58.146"</f>
        <v>10.11.58.146</v>
      </c>
      <c r="G4508" s="1" t="str">
        <f>"0325Z251"</f>
        <v>0325Z251</v>
      </c>
      <c r="H4508" s="1" t="str">
        <f>"광나루 81R6"</f>
        <v>광나루 81R6</v>
      </c>
      <c r="I4508" s="1" t="s">
        <v>8</v>
      </c>
      <c r="J4508" s="1" t="str">
        <f>"2/2"</f>
        <v>2/2</v>
      </c>
      <c r="K4508" s="1" t="str">
        <f>"2026-07-29 13:18:02"</f>
        <v>2026-07-29 13:18:02</v>
      </c>
      <c r="L4508" s="1" t="str">
        <f>"2018-03-23 16:30:57"</f>
        <v>2018-03-23 16:30:57</v>
      </c>
      <c r="M4508" s="1" t="s">
        <v>2</v>
      </c>
      <c r="N4508" s="1" t="s">
        <v>38</v>
      </c>
      <c r="O4508" s="1" t="s">
        <v>46</v>
      </c>
    </row>
    <row r="4509" spans="2:15" x14ac:dyDescent="0.3">
      <c r="B4509" s="1" t="s">
        <v>23</v>
      </c>
      <c r="C4509" s="1" t="str">
        <f>"3차"</f>
        <v>3차</v>
      </c>
      <c r="D4509" s="1" t="str">
        <f>"0325Z26139"</f>
        <v>0325Z26139</v>
      </c>
      <c r="E4509" s="1" t="s">
        <v>10</v>
      </c>
      <c r="F4509" s="1" t="str">
        <f>"10.11.51.170"</f>
        <v>10.11.51.170</v>
      </c>
      <c r="G4509" s="1" t="str">
        <f>"0325Z261"</f>
        <v>0325Z261</v>
      </c>
      <c r="H4509" s="1" t="str">
        <f>"광나루 81R5"</f>
        <v>광나루 81R5</v>
      </c>
      <c r="I4509" s="1" t="s">
        <v>8</v>
      </c>
      <c r="J4509" s="1" t="str">
        <f>"67/67"</f>
        <v>67/67</v>
      </c>
      <c r="K4509" s="1" t="str">
        <f>"2026-07-29 13:18:01"</f>
        <v>2026-07-29 13:18:01</v>
      </c>
      <c r="L4509" s="1" t="str">
        <f>"2018-03-23 16:19:27"</f>
        <v>2018-03-23 16:19:27</v>
      </c>
      <c r="M4509" s="1" t="s">
        <v>2</v>
      </c>
      <c r="N4509" s="1" t="s">
        <v>38</v>
      </c>
      <c r="O4509" s="1" t="s">
        <v>46</v>
      </c>
    </row>
    <row r="4510" spans="2:15" x14ac:dyDescent="0.3">
      <c r="B4510" s="1" t="s">
        <v>23</v>
      </c>
      <c r="C4510" s="1" t="str">
        <f>"4차"</f>
        <v>4차</v>
      </c>
      <c r="D4510" s="1" t="str">
        <f>"0325Z27139"</f>
        <v>0325Z27139</v>
      </c>
      <c r="E4510" s="1" t="s">
        <v>10</v>
      </c>
      <c r="F4510" s="1" t="str">
        <f>"10.12.135.13"</f>
        <v>10.12.135.13</v>
      </c>
      <c r="G4510" s="1" t="str">
        <f>"0325Z271"</f>
        <v>0325Z271</v>
      </c>
      <c r="H4510" s="1" t="str">
        <f>"광나루 80-3"</f>
        <v>광나루 80-3</v>
      </c>
      <c r="I4510" s="1" t="s">
        <v>17</v>
      </c>
      <c r="J4510" s="1" t="str">
        <f>"2/3"</f>
        <v>2/3</v>
      </c>
      <c r="K4510" s="1" t="str">
        <f>"2026-07-29 13:18:04"</f>
        <v>2026-07-29 13:18:04</v>
      </c>
      <c r="L4510" s="1" t="str">
        <f>"2018-05-15 09:14:55"</f>
        <v>2018-05-15 09:14:55</v>
      </c>
      <c r="M4510" s="1" t="s">
        <v>0</v>
      </c>
      <c r="N4510" s="1" t="s">
        <v>38</v>
      </c>
      <c r="O4510" s="1" t="s">
        <v>46</v>
      </c>
    </row>
    <row r="4511" spans="2:15" x14ac:dyDescent="0.3">
      <c r="B4511" s="1" t="s">
        <v>23</v>
      </c>
      <c r="C4511" s="1" t="str">
        <f>"4차"</f>
        <v>4차</v>
      </c>
      <c r="D4511" s="1" t="str">
        <f>"0325Z27239"</f>
        <v>0325Z27239</v>
      </c>
      <c r="E4511" s="1" t="s">
        <v>10</v>
      </c>
      <c r="F4511" s="1" t="str">
        <f>"10.12.135.10"</f>
        <v>10.12.135.10</v>
      </c>
      <c r="G4511" s="1" t="str">
        <f>"0325Z272"</f>
        <v>0325Z272</v>
      </c>
      <c r="H4511" s="1" t="str">
        <f>"광나루 80-4"</f>
        <v>광나루 80-4</v>
      </c>
      <c r="I4511" s="1" t="s">
        <v>17</v>
      </c>
      <c r="J4511" s="1" t="str">
        <f>"20/20"</f>
        <v>20/20</v>
      </c>
      <c r="K4511" s="1" t="str">
        <f>"2026-07-29 13:18:03"</f>
        <v>2026-07-29 13:18:03</v>
      </c>
      <c r="L4511" s="1" t="str">
        <f>"2018-05-15 09:04:42"</f>
        <v>2018-05-15 09:04:42</v>
      </c>
      <c r="M4511" s="1" t="s">
        <v>0</v>
      </c>
      <c r="N4511" s="1" t="s">
        <v>38</v>
      </c>
      <c r="O4511" s="1" t="s">
        <v>46</v>
      </c>
    </row>
    <row r="4512" spans="2:15" x14ac:dyDescent="0.3">
      <c r="B4512" s="1" t="s">
        <v>23</v>
      </c>
      <c r="C4512" s="1" t="str">
        <f>"4차"</f>
        <v>4차</v>
      </c>
      <c r="D4512" s="1" t="str">
        <f>"0325Z34139"</f>
        <v>0325Z34139</v>
      </c>
      <c r="E4512" s="1" t="s">
        <v>10</v>
      </c>
      <c r="F4512" s="1" t="str">
        <f>"10.11.51.130"</f>
        <v>10.11.51.130</v>
      </c>
      <c r="G4512" s="1" t="str">
        <f>"0325Z341"</f>
        <v>0325Z341</v>
      </c>
      <c r="H4512" s="1" t="str">
        <f>"광나루 81R10"</f>
        <v>광나루 81R10</v>
      </c>
      <c r="I4512" s="1" t="s">
        <v>8</v>
      </c>
      <c r="J4512" s="1" t="str">
        <f>"59/59"</f>
        <v>59/59</v>
      </c>
      <c r="K4512" s="1" t="str">
        <f>"2026-07-29 13:18:03"</f>
        <v>2026-07-29 13:18:03</v>
      </c>
      <c r="L4512" s="1" t="str">
        <f>"2018-03-23 15:43:12"</f>
        <v>2018-03-23 15:43:12</v>
      </c>
      <c r="M4512" s="1" t="s">
        <v>2</v>
      </c>
      <c r="N4512" s="1" t="s">
        <v>38</v>
      </c>
      <c r="O4512" s="1" t="s">
        <v>46</v>
      </c>
    </row>
    <row r="4513" spans="2:15" x14ac:dyDescent="0.3">
      <c r="B4513" s="1" t="s">
        <v>23</v>
      </c>
      <c r="C4513" s="1" t="str">
        <f>"3차"</f>
        <v>3차</v>
      </c>
      <c r="D4513" s="1" t="str">
        <f>"0325Z34239"</f>
        <v>0325Z34239</v>
      </c>
      <c r="E4513" s="1" t="s">
        <v>10</v>
      </c>
      <c r="F4513" s="1" t="str">
        <f>"10.11.56.106"</f>
        <v>10.11.56.106</v>
      </c>
      <c r="G4513" s="1" t="str">
        <f>"0325Z342"</f>
        <v>0325Z342</v>
      </c>
      <c r="H4513" s="1" t="str">
        <f>"광나루 81R9"</f>
        <v>광나루 81R9</v>
      </c>
      <c r="I4513" s="1" t="s">
        <v>8</v>
      </c>
      <c r="J4513" s="1" t="str">
        <f>"19/19"</f>
        <v>19/19</v>
      </c>
      <c r="K4513" s="1" t="str">
        <f>"2026-07-29 13:18:02"</f>
        <v>2026-07-29 13:18:02</v>
      </c>
      <c r="L4513" s="1" t="str">
        <f>"2021-07-29 16:54:43"</f>
        <v>2021-07-29 16:54:43</v>
      </c>
      <c r="M4513" s="1" t="s">
        <v>2</v>
      </c>
      <c r="N4513" s="1" t="s">
        <v>38</v>
      </c>
      <c r="O4513" s="1" t="s">
        <v>46</v>
      </c>
    </row>
    <row r="4514" spans="2:15" x14ac:dyDescent="0.3">
      <c r="B4514" s="1" t="s">
        <v>23</v>
      </c>
      <c r="C4514" s="1" t="str">
        <f>"4차"</f>
        <v>4차</v>
      </c>
      <c r="D4514" s="1" t="str">
        <f>"0325Z36239"</f>
        <v>0325Z36239</v>
      </c>
      <c r="E4514" s="1" t="s">
        <v>10</v>
      </c>
      <c r="F4514" s="1" t="str">
        <f>"10.12.135.23"</f>
        <v>10.12.135.23</v>
      </c>
      <c r="G4514" s="1" t="str">
        <f>"0325Z362"</f>
        <v>0325Z362</v>
      </c>
      <c r="H4514" s="1" t="str">
        <f>"광나루 83-1"</f>
        <v>광나루 83-1</v>
      </c>
      <c r="I4514" s="1" t="s">
        <v>17</v>
      </c>
      <c r="J4514" s="1" t="str">
        <f>"5/5"</f>
        <v>5/5</v>
      </c>
      <c r="K4514" s="1" t="str">
        <f>"2026-07-29 13:18:02"</f>
        <v>2026-07-29 13:18:02</v>
      </c>
      <c r="L4514" s="1" t="str">
        <f>"2018-05-15 09:29:11"</f>
        <v>2018-05-15 09:29:11</v>
      </c>
      <c r="M4514" s="1" t="s">
        <v>0</v>
      </c>
      <c r="N4514" s="1" t="s">
        <v>38</v>
      </c>
      <c r="O4514" s="1" t="s">
        <v>46</v>
      </c>
    </row>
    <row r="4515" spans="2:15" x14ac:dyDescent="0.3">
      <c r="B4515" s="1" t="s">
        <v>23</v>
      </c>
      <c r="C4515" s="1" t="str">
        <f>"3차"</f>
        <v>3차</v>
      </c>
      <c r="D4515" s="1" t="str">
        <f>"0325Z44139"</f>
        <v>0325Z44139</v>
      </c>
      <c r="E4515" s="1" t="s">
        <v>10</v>
      </c>
      <c r="F4515" s="1" t="str">
        <f>"10.11.51.178"</f>
        <v>10.11.51.178</v>
      </c>
      <c r="G4515" s="1" t="str">
        <f>"0325Z441"</f>
        <v>0325Z441</v>
      </c>
      <c r="H4515" s="1" t="str">
        <f>"광나루 82R1"</f>
        <v>광나루 82R1</v>
      </c>
      <c r="I4515" s="1" t="s">
        <v>8</v>
      </c>
      <c r="J4515" s="1" t="str">
        <f>"41/41"</f>
        <v>41/41</v>
      </c>
      <c r="K4515" s="1" t="str">
        <f>"2026-07-29 13:18:02"</f>
        <v>2026-07-29 13:18:02</v>
      </c>
      <c r="L4515" s="1" t="str">
        <f>"2018-03-23 16:29:58"</f>
        <v>2018-03-23 16:29:58</v>
      </c>
      <c r="M4515" s="1" t="s">
        <v>2</v>
      </c>
      <c r="N4515" s="1" t="s">
        <v>38</v>
      </c>
      <c r="O4515" s="1" t="s">
        <v>46</v>
      </c>
    </row>
    <row r="4516" spans="2:15" x14ac:dyDescent="0.3">
      <c r="B4516" s="1" t="s">
        <v>23</v>
      </c>
      <c r="C4516" s="1" t="str">
        <f>"4차"</f>
        <v>4차</v>
      </c>
      <c r="D4516" s="1" t="str">
        <f>"0325Z54139"</f>
        <v>0325Z54139</v>
      </c>
      <c r="E4516" s="1" t="s">
        <v>10</v>
      </c>
      <c r="F4516" s="1" t="str">
        <f>"10.11.58.154"</f>
        <v>10.11.58.154</v>
      </c>
      <c r="G4516" s="1" t="str">
        <f>"0325Z541"</f>
        <v>0325Z541</v>
      </c>
      <c r="H4516" s="1" t="str">
        <f>"광나루 82R2"</f>
        <v>광나루 82R2</v>
      </c>
      <c r="I4516" s="1" t="s">
        <v>8</v>
      </c>
      <c r="J4516" s="1" t="str">
        <f>"38/38"</f>
        <v>38/38</v>
      </c>
      <c r="K4516" s="1" t="str">
        <f>"2026-07-29 13:18:03"</f>
        <v>2026-07-29 13:18:03</v>
      </c>
      <c r="L4516" s="1" t="str">
        <f>"2018-03-23 16:34:13"</f>
        <v>2018-03-23 16:34:13</v>
      </c>
      <c r="M4516" s="1" t="s">
        <v>2</v>
      </c>
      <c r="N4516" s="1" t="s">
        <v>38</v>
      </c>
      <c r="O4516" s="1" t="s">
        <v>46</v>
      </c>
    </row>
    <row r="4517" spans="2:15" x14ac:dyDescent="0.3">
      <c r="B4517" s="1" t="s">
        <v>23</v>
      </c>
      <c r="C4517" s="1" t="str">
        <f>"4차"</f>
        <v>4차</v>
      </c>
      <c r="D4517" s="1" t="str">
        <f>"0325Z54231"</f>
        <v>0325Z54231</v>
      </c>
      <c r="E4517" s="1" t="s">
        <v>10</v>
      </c>
      <c r="F4517" s="1" t="str">
        <f>"10.11.51.187"</f>
        <v>10.11.51.187</v>
      </c>
      <c r="G4517" s="1" t="str">
        <f>"0325Z542"</f>
        <v>0325Z542</v>
      </c>
      <c r="H4517" s="1" t="str">
        <f>"광나루길 82R3"</f>
        <v>광나루길 82R3</v>
      </c>
      <c r="I4517" s="1" t="s">
        <v>8</v>
      </c>
      <c r="J4517" s="1" t="str">
        <f>"133/141"</f>
        <v>133/141</v>
      </c>
      <c r="K4517" s="1" t="str">
        <f>"2026-07-29 13:18:03"</f>
        <v>2026-07-29 13:18:03</v>
      </c>
      <c r="L4517" s="1" t="str">
        <f>"2018-06-08 16:18:13"</f>
        <v>2018-06-08 16:18:13</v>
      </c>
      <c r="M4517" s="1" t="s">
        <v>2</v>
      </c>
      <c r="N4517" s="1" t="s">
        <v>38</v>
      </c>
      <c r="O4517" s="1" t="s">
        <v>46</v>
      </c>
    </row>
    <row r="4518" spans="2:15" x14ac:dyDescent="0.3">
      <c r="B4518" s="1" t="s">
        <v>23</v>
      </c>
      <c r="C4518" s="1" t="str">
        <f>"3차"</f>
        <v>3차</v>
      </c>
      <c r="D4518" s="1" t="str">
        <f>"0325Z54330"</f>
        <v>0325Z54330</v>
      </c>
      <c r="E4518" s="1" t="s">
        <v>10</v>
      </c>
      <c r="F4518" s="1" t="str">
        <f>"10.11.51.186"</f>
        <v>10.11.51.186</v>
      </c>
      <c r="G4518" s="1" t="str">
        <f>"0325Z543"</f>
        <v>0325Z543</v>
      </c>
      <c r="H4518" s="1" t="str">
        <f>"광나루 82R2R1"</f>
        <v>광나루 82R2R1</v>
      </c>
      <c r="I4518" s="1" t="s">
        <v>8</v>
      </c>
      <c r="J4518" s="1" t="str">
        <f>"16/19"</f>
        <v>16/19</v>
      </c>
      <c r="K4518" s="1" t="str">
        <f>"2026-07-29 13:18:01"</f>
        <v>2026-07-29 13:18:01</v>
      </c>
      <c r="L4518" s="1" t="str">
        <f>"2018-03-23 15:17:27"</f>
        <v>2018-03-23 15:17:27</v>
      </c>
      <c r="M4518" s="1" t="s">
        <v>2</v>
      </c>
      <c r="N4518" s="1" t="s">
        <v>38</v>
      </c>
      <c r="O4518" s="1" t="s">
        <v>46</v>
      </c>
    </row>
    <row r="4519" spans="2:15" x14ac:dyDescent="0.3">
      <c r="B4519" s="1" t="s">
        <v>23</v>
      </c>
      <c r="C4519" s="1" t="str">
        <f>"4차"</f>
        <v>4차</v>
      </c>
      <c r="D4519" s="1" t="str">
        <f>"0325Z55339"</f>
        <v>0325Z55339</v>
      </c>
      <c r="E4519" s="1" t="s">
        <v>14</v>
      </c>
      <c r="F4519" s="1" t="str">
        <f>"10.12.135.4"</f>
        <v>10.12.135.4</v>
      </c>
      <c r="G4519" s="1" t="str">
        <f>"0325Z553"</f>
        <v>0325Z553</v>
      </c>
      <c r="H4519" s="1" t="str">
        <f>"광나루 83-2"</f>
        <v>광나루 83-2</v>
      </c>
      <c r="I4519" s="1" t="s">
        <v>17</v>
      </c>
      <c r="J4519" s="1" t="str">
        <f>"0/0"</f>
        <v>0/0</v>
      </c>
      <c r="K4519" s="1" t="str">
        <f>"2026-06-10 07:18:02"</f>
        <v>2026-06-10 07:18:02</v>
      </c>
      <c r="L4519" s="1" t="str">
        <f>"2021-08-02 13:12:26"</f>
        <v>2021-08-02 13:12:26</v>
      </c>
      <c r="M4519" s="1" t="s">
        <v>0</v>
      </c>
      <c r="N4519" s="1" t="s">
        <v>39</v>
      </c>
      <c r="O4519" s="1" t="s">
        <v>46</v>
      </c>
    </row>
    <row r="4520" spans="2:15" x14ac:dyDescent="0.3">
      <c r="B4520" s="1" t="s">
        <v>23</v>
      </c>
      <c r="C4520" s="1" t="str">
        <f>"4차"</f>
        <v>4차</v>
      </c>
      <c r="D4520" s="1" t="str">
        <f>"0325Z55439"</f>
        <v>0325Z55439</v>
      </c>
      <c r="E4520" s="1" t="s">
        <v>10</v>
      </c>
      <c r="F4520" s="1" t="str">
        <f>"10.12.134.222"</f>
        <v>10.12.134.222</v>
      </c>
      <c r="G4520" s="1" t="str">
        <f>"0325Z554"</f>
        <v>0325Z554</v>
      </c>
      <c r="H4520" s="1" t="str">
        <f>"광나루 83-3"</f>
        <v>광나루 83-3</v>
      </c>
      <c r="I4520" s="1" t="s">
        <v>17</v>
      </c>
      <c r="J4520" s="1" t="str">
        <f>"13/13"</f>
        <v>13/13</v>
      </c>
      <c r="K4520" s="1" t="str">
        <f>"2026-07-29 13:18:04"</f>
        <v>2026-07-29 13:18:04</v>
      </c>
      <c r="L4520" s="1" t="str">
        <f>"2018-05-15 10:54:56"</f>
        <v>2018-05-15 10:54:56</v>
      </c>
      <c r="M4520" s="1" t="s">
        <v>0</v>
      </c>
      <c r="N4520" s="1" t="s">
        <v>38</v>
      </c>
      <c r="O4520" s="1" t="s">
        <v>46</v>
      </c>
    </row>
    <row r="4521" spans="2:15" x14ac:dyDescent="0.3">
      <c r="B4521" s="1" t="s">
        <v>23</v>
      </c>
      <c r="C4521" s="1" t="str">
        <f>"4차"</f>
        <v>4차</v>
      </c>
      <c r="D4521" s="1" t="str">
        <f>"0325Z84339"</f>
        <v>0325Z84339</v>
      </c>
      <c r="E4521" s="1" t="s">
        <v>10</v>
      </c>
      <c r="F4521" s="1" t="str">
        <f>"10.12.134.204"</f>
        <v>10.12.134.204</v>
      </c>
      <c r="G4521" s="1" t="str">
        <f>"0325Z843"</f>
        <v>0325Z843</v>
      </c>
      <c r="H4521" s="1" t="str">
        <f>"광나루 83-4"</f>
        <v>광나루 83-4</v>
      </c>
      <c r="I4521" s="1" t="s">
        <v>17</v>
      </c>
      <c r="J4521" s="1" t="str">
        <f>"9/9"</f>
        <v>9/9</v>
      </c>
      <c r="K4521" s="1" t="str">
        <f>"2026-07-29 13:18:04"</f>
        <v>2026-07-29 13:18:04</v>
      </c>
      <c r="L4521" s="1" t="str">
        <f>"2018-05-15 14:41:28"</f>
        <v>2018-05-15 14:41:28</v>
      </c>
      <c r="M4521" s="1" t="s">
        <v>0</v>
      </c>
      <c r="N4521" s="1" t="s">
        <v>38</v>
      </c>
      <c r="O4521" s="1" t="s">
        <v>46</v>
      </c>
    </row>
    <row r="4522" spans="2:15" x14ac:dyDescent="0.3">
      <c r="B4522" s="1" t="s">
        <v>23</v>
      </c>
      <c r="C4522" s="1" t="str">
        <f>"4차"</f>
        <v>4차</v>
      </c>
      <c r="D4522" s="1" t="str">
        <f>"0325Z84439"</f>
        <v>0325Z84439</v>
      </c>
      <c r="E4522" s="1" t="s">
        <v>10</v>
      </c>
      <c r="F4522" s="1" t="str">
        <f>"10.12.134.253"</f>
        <v>10.12.134.253</v>
      </c>
      <c r="G4522" s="1" t="str">
        <f>"0325Z844"</f>
        <v>0325Z844</v>
      </c>
      <c r="H4522" s="1" t="str">
        <f>"광나루 83-5"</f>
        <v>광나루 83-5</v>
      </c>
      <c r="I4522" s="1" t="s">
        <v>17</v>
      </c>
      <c r="J4522" s="1" t="str">
        <f>"1/1"</f>
        <v>1/1</v>
      </c>
      <c r="K4522" s="1" t="str">
        <f>"2026-07-29 13:18:04"</f>
        <v>2026-07-29 13:18:04</v>
      </c>
      <c r="L4522" s="1" t="str">
        <f>"2021-07-29 10:23:44"</f>
        <v>2021-07-29 10:23:44</v>
      </c>
      <c r="M4522" s="1" t="s">
        <v>0</v>
      </c>
      <c r="N4522" s="1" t="s">
        <v>38</v>
      </c>
      <c r="O4522" s="1" t="s">
        <v>46</v>
      </c>
    </row>
    <row r="4523" spans="2:15" x14ac:dyDescent="0.3">
      <c r="B4523" s="1" t="s">
        <v>23</v>
      </c>
      <c r="C4523" s="1" t="str">
        <f>"5-2차"</f>
        <v>5-2차</v>
      </c>
      <c r="D4523" s="1" t="str">
        <f>"0326H9025M"</f>
        <v>0326H9025M</v>
      </c>
      <c r="E4523" s="1" t="s">
        <v>10</v>
      </c>
      <c r="F4523" s="1" t="str">
        <f>"fde1:103:4:6eba:0:0:0:2"</f>
        <v>fde1:103:4:6eba:0:0:0:2</v>
      </c>
      <c r="G4523" s="1" t="str">
        <f>"0326H902"</f>
        <v>0326H902</v>
      </c>
      <c r="H4523" s="1" t="str">
        <f>"화군간 1L10"</f>
        <v>화군간 1L10</v>
      </c>
      <c r="I4523" s="1" t="s">
        <v>15</v>
      </c>
      <c r="J4523" s="1" t="str">
        <f>"28/29"</f>
        <v>28/29</v>
      </c>
      <c r="K4523" s="1" t="str">
        <f>"2026-07-29 14:21:00"</f>
        <v>2026-07-29 14:21:00</v>
      </c>
      <c r="L4523" s="1" t="str">
        <f>"2023-11-14 16:05:54"</f>
        <v>2023-11-14 16:05:54</v>
      </c>
      <c r="M4523" s="1" t="s">
        <v>4</v>
      </c>
      <c r="N4523" s="1" t="s">
        <v>38</v>
      </c>
      <c r="O4523" s="1" t="s">
        <v>46</v>
      </c>
    </row>
    <row r="4524" spans="2:15" x14ac:dyDescent="0.3">
      <c r="B4524" s="1" t="s">
        <v>23</v>
      </c>
      <c r="C4524" s="1" t="str">
        <f>"5-2차"</f>
        <v>5-2차</v>
      </c>
      <c r="D4524" s="1" t="str">
        <f>"0326R5015M"</f>
        <v>0326R5015M</v>
      </c>
      <c r="E4524" s="1" t="s">
        <v>10</v>
      </c>
      <c r="F4524" s="1" t="str">
        <f>"fde1:103:4:6ebb:0:0:0:2"</f>
        <v>fde1:103:4:6ebb:0:0:0:2</v>
      </c>
      <c r="G4524" s="1" t="str">
        <f>"0326R501"</f>
        <v>0326R501</v>
      </c>
      <c r="H4524" s="1" t="str">
        <f>"용답간 45R2R2"</f>
        <v>용답간 45R2R2</v>
      </c>
      <c r="I4524" s="1" t="s">
        <v>15</v>
      </c>
      <c r="J4524" s="1" t="str">
        <f>"61/61"</f>
        <v>61/61</v>
      </c>
      <c r="K4524" s="1" t="str">
        <f>"2026-07-29 14:20:15"</f>
        <v>2026-07-29 14:20:15</v>
      </c>
      <c r="L4524" s="1" t="str">
        <f>"2023-11-14 16:08:51"</f>
        <v>2023-11-14 16:08:51</v>
      </c>
      <c r="M4524" s="1" t="s">
        <v>4</v>
      </c>
      <c r="N4524" s="1" t="s">
        <v>38</v>
      </c>
      <c r="O4524" s="1" t="s">
        <v>46</v>
      </c>
    </row>
    <row r="4525" spans="2:15" x14ac:dyDescent="0.3">
      <c r="B4525" s="1" t="s">
        <v>23</v>
      </c>
      <c r="C4525" s="1" t="str">
        <f>"6차"</f>
        <v>6차</v>
      </c>
      <c r="D4525" s="1" t="str">
        <f>"0326X5046S"</f>
        <v>0326X5046S</v>
      </c>
      <c r="E4525" s="1" t="s">
        <v>10</v>
      </c>
      <c r="F4525" s="1" t="str">
        <f>"fde1:103:4:926c:0:0:0:2"</f>
        <v>fde1:103:4:926c:0:0:0:2</v>
      </c>
      <c r="G4525" s="1" t="str">
        <f>"0326X504"</f>
        <v>0326X504</v>
      </c>
      <c r="H4525" s="1" t="str">
        <f>"화군간 11"</f>
        <v>화군간 11</v>
      </c>
      <c r="I4525" s="1" t="s">
        <v>15</v>
      </c>
      <c r="J4525" s="1" t="str">
        <f>"29/29"</f>
        <v>29/29</v>
      </c>
      <c r="K4525" s="1" t="str">
        <f>"2026-07-29 14:20:25"</f>
        <v>2026-07-29 14:20:25</v>
      </c>
      <c r="L4525" s="1" t="str">
        <f>"2024-09-30 13:16:47"</f>
        <v>2024-09-30 13:16:47</v>
      </c>
      <c r="M4525" s="1" t="s">
        <v>4</v>
      </c>
      <c r="N4525" s="1" t="s">
        <v>38</v>
      </c>
      <c r="O4525" s="1" t="s">
        <v>46</v>
      </c>
    </row>
    <row r="4526" spans="2:15" x14ac:dyDescent="0.3">
      <c r="B4526" s="1" t="s">
        <v>23</v>
      </c>
      <c r="C4526" s="1" t="str">
        <f>"5-2차"</f>
        <v>5-2차</v>
      </c>
      <c r="D4526" s="1" t="str">
        <f>"0326X5135M"</f>
        <v>0326X5135M</v>
      </c>
      <c r="E4526" s="1" t="s">
        <v>10</v>
      </c>
      <c r="F4526" s="1" t="str">
        <f>"fde1:103:4:6eb3:0:0:0:2"</f>
        <v>fde1:103:4:6eb3:0:0:0:2</v>
      </c>
      <c r="G4526" s="1" t="str">
        <f>"0326X513"</f>
        <v>0326X513</v>
      </c>
      <c r="H4526" s="1" t="str">
        <f>"화동간 21"</f>
        <v>화동간 21</v>
      </c>
      <c r="I4526" s="1" t="s">
        <v>15</v>
      </c>
      <c r="J4526" s="1" t="str">
        <f>"45/45"</f>
        <v>45/45</v>
      </c>
      <c r="K4526" s="1" t="str">
        <f>"2026-07-29 14:21:12"</f>
        <v>2026-07-29 14:21:12</v>
      </c>
      <c r="L4526" s="1" t="str">
        <f>"2023-11-14 16:08:54"</f>
        <v>2023-11-14 16:08:54</v>
      </c>
      <c r="M4526" s="1" t="s">
        <v>4</v>
      </c>
      <c r="N4526" s="1" t="s">
        <v>38</v>
      </c>
      <c r="O4526" s="1" t="s">
        <v>46</v>
      </c>
    </row>
    <row r="4527" spans="2:15" x14ac:dyDescent="0.3">
      <c r="B4527" s="1" t="s">
        <v>23</v>
      </c>
      <c r="C4527" s="1" t="str">
        <f>"3차"</f>
        <v>3차</v>
      </c>
      <c r="D4527" s="1" t="str">
        <f>"0326X60239"</f>
        <v>0326X60239</v>
      </c>
      <c r="E4527" s="1" t="s">
        <v>10</v>
      </c>
      <c r="F4527" s="1" t="str">
        <f>"10.11.56.211"</f>
        <v>10.11.56.211</v>
      </c>
      <c r="G4527" s="1" t="str">
        <f>"0326X602"</f>
        <v>0326X602</v>
      </c>
      <c r="H4527" s="1" t="str">
        <f>"화수간 15R9"</f>
        <v>화수간 15R9</v>
      </c>
      <c r="I4527" s="1" t="s">
        <v>8</v>
      </c>
      <c r="J4527" s="1" t="str">
        <f>"102/104"</f>
        <v>102/104</v>
      </c>
      <c r="K4527" s="1" t="str">
        <f>"2026-07-29 13:18:02"</f>
        <v>2026-07-29 13:18:02</v>
      </c>
      <c r="L4527" s="1" t="str">
        <f>"2018-05-04 11:37:41"</f>
        <v>2018-05-04 11:37:41</v>
      </c>
      <c r="M4527" s="1" t="s">
        <v>2</v>
      </c>
      <c r="N4527" s="1" t="s">
        <v>38</v>
      </c>
      <c r="O4527" s="1" t="s">
        <v>46</v>
      </c>
    </row>
    <row r="4528" spans="2:15" x14ac:dyDescent="0.3">
      <c r="B4528" s="1" t="s">
        <v>23</v>
      </c>
      <c r="C4528" s="1" t="str">
        <f>"4차"</f>
        <v>4차</v>
      </c>
      <c r="D4528" s="1" t="str">
        <f>"0326X71241"</f>
        <v>0326X71241</v>
      </c>
      <c r="E4528" s="1" t="s">
        <v>10</v>
      </c>
      <c r="F4528" s="1" t="str">
        <f>"10.14.12.108"</f>
        <v>10.14.12.108</v>
      </c>
      <c r="G4528" s="1" t="str">
        <f>"0326X712"</f>
        <v>0326X712</v>
      </c>
      <c r="H4528" s="1" t="str">
        <f>"화수간 15R8R2"</f>
        <v>화수간 15R8R2</v>
      </c>
      <c r="I4528" s="1" t="s">
        <v>17</v>
      </c>
      <c r="J4528" s="1" t="str">
        <f>"11/11"</f>
        <v>11/11</v>
      </c>
      <c r="K4528" s="1" t="str">
        <f>"2026-07-29 13:18:03"</f>
        <v>2026-07-29 13:18:03</v>
      </c>
      <c r="L4528" s="1" t="str">
        <f>"2021-07-14 11:18:47"</f>
        <v>2021-07-14 11:18:47</v>
      </c>
      <c r="M4528" s="1" t="s">
        <v>3</v>
      </c>
      <c r="N4528" s="1" t="s">
        <v>38</v>
      </c>
      <c r="O4528" s="1" t="s">
        <v>46</v>
      </c>
    </row>
    <row r="4529" spans="2:15" x14ac:dyDescent="0.3">
      <c r="B4529" s="1" t="s">
        <v>23</v>
      </c>
      <c r="C4529" s="1" t="str">
        <f>"5-1차"</f>
        <v>5-1차</v>
      </c>
      <c r="D4529" s="1" t="str">
        <f>"0326X7535M"</f>
        <v>0326X7535M</v>
      </c>
      <c r="E4529" s="1" t="s">
        <v>10</v>
      </c>
      <c r="F4529" s="1" t="str">
        <f>"fde3:102:1440:4300:0:0:0:3"</f>
        <v>fde3:102:1440:4300:0:0:0:3</v>
      </c>
      <c r="G4529" s="1" t="str">
        <f>"0326X753"</f>
        <v>0326X753</v>
      </c>
      <c r="H4529" s="1" t="str">
        <f>"화동간 15R2"</f>
        <v>화동간 15R2</v>
      </c>
      <c r="I4529" s="1" t="s">
        <v>15</v>
      </c>
      <c r="J4529" s="1" t="str">
        <f>"17/17"</f>
        <v>17/17</v>
      </c>
      <c r="K4529" s="1" t="str">
        <f>"2026-07-29 14:21:12"</f>
        <v>2026-07-29 14:21:12</v>
      </c>
      <c r="L4529" s="1" t="str">
        <f>"2022-11-01 16:55:44"</f>
        <v>2022-11-01 16:55:44</v>
      </c>
      <c r="M4529" s="1" t="s">
        <v>45</v>
      </c>
      <c r="N4529" s="1" t="s">
        <v>38</v>
      </c>
      <c r="O4529" s="1" t="s">
        <v>46</v>
      </c>
    </row>
    <row r="4530" spans="2:15" x14ac:dyDescent="0.3">
      <c r="B4530" s="1" t="s">
        <v>23</v>
      </c>
      <c r="C4530" s="1" t="str">
        <f>"5-2차"</f>
        <v>5-2차</v>
      </c>
      <c r="D4530" s="1" t="str">
        <f>"0326X8025S"</f>
        <v>0326X8025S</v>
      </c>
      <c r="E4530" s="1" t="s">
        <v>10</v>
      </c>
      <c r="F4530" s="1" t="str">
        <f>"fde3:102:1440:4300:0:0:0:13"</f>
        <v>fde3:102:1440:4300:0:0:0:13</v>
      </c>
      <c r="G4530" s="1" t="str">
        <f>"0326X802"</f>
        <v>0326X802</v>
      </c>
      <c r="H4530" s="1" t="str">
        <f>"화수간 15R5R2"</f>
        <v>화수간 15R5R2</v>
      </c>
      <c r="I4530" s="1" t="s">
        <v>15</v>
      </c>
      <c r="J4530" s="1" t="str">
        <f>"33/33"</f>
        <v>33/33</v>
      </c>
      <c r="K4530" s="1" t="str">
        <f>"2026-07-29 14:20:25"</f>
        <v>2026-07-29 14:20:25</v>
      </c>
      <c r="L4530" s="1" t="str">
        <f>"2023-09-18 15:00:26"</f>
        <v>2023-09-18 15:00:26</v>
      </c>
      <c r="M4530" s="1" t="s">
        <v>45</v>
      </c>
      <c r="N4530" s="1" t="s">
        <v>38</v>
      </c>
      <c r="O4530" s="1" t="s">
        <v>46</v>
      </c>
    </row>
    <row r="4531" spans="2:15" x14ac:dyDescent="0.3">
      <c r="B4531" s="1" t="s">
        <v>23</v>
      </c>
      <c r="C4531" s="1" t="str">
        <f>"5-2차"</f>
        <v>5-2차</v>
      </c>
      <c r="D4531" s="1" t="str">
        <f>"0326X8125S"</f>
        <v>0326X8125S</v>
      </c>
      <c r="E4531" s="1" t="s">
        <v>10</v>
      </c>
      <c r="F4531" s="1" t="str">
        <f>"fde3:102:1440:4300:0:0:0:1a"</f>
        <v>fde3:102:1440:4300:0:0:0:1a</v>
      </c>
      <c r="G4531" s="1" t="str">
        <f>"0326X812"</f>
        <v>0326X812</v>
      </c>
      <c r="H4531" s="1" t="str">
        <f>"화수간 15R5R2L2"</f>
        <v>화수간 15R5R2L2</v>
      </c>
      <c r="I4531" s="1" t="s">
        <v>15</v>
      </c>
      <c r="J4531" s="1" t="str">
        <f>"38/38"</f>
        <v>38/38</v>
      </c>
      <c r="K4531" s="1" t="str">
        <f>"2026-07-29 14:20:54"</f>
        <v>2026-07-29 14:20:54</v>
      </c>
      <c r="L4531" s="1" t="str">
        <f>"2023-08-09 16:51:13"</f>
        <v>2023-08-09 16:51:13</v>
      </c>
      <c r="M4531" s="1" t="s">
        <v>45</v>
      </c>
      <c r="N4531" s="1" t="s">
        <v>38</v>
      </c>
      <c r="O4531" s="1" t="s">
        <v>46</v>
      </c>
    </row>
    <row r="4532" spans="2:15" x14ac:dyDescent="0.3">
      <c r="B4532" s="1" t="s">
        <v>23</v>
      </c>
      <c r="C4532" s="1" t="str">
        <f>"5-1차"</f>
        <v>5-1차</v>
      </c>
      <c r="D4532" s="1" t="str">
        <f>"0326X8315M"</f>
        <v>0326X8315M</v>
      </c>
      <c r="E4532" s="1" t="s">
        <v>10</v>
      </c>
      <c r="F4532" s="1" t="str">
        <f>"fde3:102:1440:4300:0:0:0:5"</f>
        <v>fde3:102:1440:4300:0:0:0:5</v>
      </c>
      <c r="G4532" s="1" t="str">
        <f>"0326X831"</f>
        <v>0326X831</v>
      </c>
      <c r="H4532" s="1" t="str">
        <f>"화수간 15R8R6"</f>
        <v>화수간 15R8R6</v>
      </c>
      <c r="I4532" s="1" t="s">
        <v>15</v>
      </c>
      <c r="J4532" s="1" t="str">
        <f>"54/54"</f>
        <v>54/54</v>
      </c>
      <c r="K4532" s="1" t="str">
        <f>"2026-07-29 14:21:12"</f>
        <v>2026-07-29 14:21:12</v>
      </c>
      <c r="L4532" s="1" t="str">
        <f>"2022-10-26 15:20:44"</f>
        <v>2022-10-26 15:20:44</v>
      </c>
      <c r="M4532" s="1" t="s">
        <v>45</v>
      </c>
      <c r="N4532" s="1" t="s">
        <v>38</v>
      </c>
      <c r="O4532" s="1" t="s">
        <v>46</v>
      </c>
    </row>
    <row r="4533" spans="2:15" x14ac:dyDescent="0.3">
      <c r="B4533" s="1" t="s">
        <v>23</v>
      </c>
      <c r="C4533" s="1" t="str">
        <f>"5-2차"</f>
        <v>5-2차</v>
      </c>
      <c r="D4533" s="1" t="str">
        <f>"0326X8415M"</f>
        <v>0326X8415M</v>
      </c>
      <c r="E4533" s="1" t="s">
        <v>10</v>
      </c>
      <c r="F4533" s="1" t="str">
        <f>"fde3:102:1440:4200:0:0:0:c"</f>
        <v>fde3:102:1440:4200:0:0:0:c</v>
      </c>
      <c r="G4533" s="1" t="str">
        <f>"0326X841"</f>
        <v>0326X841</v>
      </c>
      <c r="H4533" s="1" t="str">
        <f>"화동간 13"</f>
        <v>화동간 13</v>
      </c>
      <c r="I4533" s="1" t="s">
        <v>15</v>
      </c>
      <c r="J4533" s="1" t="str">
        <f>"145/153"</f>
        <v>145/153</v>
      </c>
      <c r="K4533" s="1" t="str">
        <f>"2026-07-29 14:21:12"</f>
        <v>2026-07-29 14:21:12</v>
      </c>
      <c r="L4533" s="1" t="str">
        <f>"2023-10-16 14:55:42"</f>
        <v>2023-10-16 14:55:42</v>
      </c>
      <c r="M4533" s="1" t="s">
        <v>45</v>
      </c>
      <c r="N4533" s="1" t="s">
        <v>38</v>
      </c>
      <c r="O4533" s="1" t="s">
        <v>46</v>
      </c>
    </row>
    <row r="4534" spans="2:15" x14ac:dyDescent="0.3">
      <c r="B4534" s="1" t="s">
        <v>23</v>
      </c>
      <c r="C4534" s="1" t="str">
        <f>"5-2차"</f>
        <v>5-2차</v>
      </c>
      <c r="D4534" s="1" t="str">
        <f>"0326X9325M"</f>
        <v>0326X9325M</v>
      </c>
      <c r="E4534" s="1" t="s">
        <v>10</v>
      </c>
      <c r="F4534" s="1" t="str">
        <f>"fde3:102:1440:4300:0:0:0:12"</f>
        <v>fde3:102:1440:4300:0:0:0:12</v>
      </c>
      <c r="G4534" s="1" t="str">
        <f>"0326X932"</f>
        <v>0326X932</v>
      </c>
      <c r="H4534" s="1" t="str">
        <f>"화수간 10R6"</f>
        <v>화수간 10R6</v>
      </c>
      <c r="I4534" s="1" t="s">
        <v>15</v>
      </c>
      <c r="J4534" s="1" t="str">
        <f>"94/94"</f>
        <v>94/94</v>
      </c>
      <c r="K4534" s="1" t="str">
        <f>"2026-07-29 14:20:25"</f>
        <v>2026-07-29 14:20:25</v>
      </c>
      <c r="L4534" s="1" t="str">
        <f>"2023-10-11 10:24:58"</f>
        <v>2023-10-11 10:24:58</v>
      </c>
      <c r="M4534" s="1" t="s">
        <v>45</v>
      </c>
      <c r="N4534" s="1" t="s">
        <v>38</v>
      </c>
      <c r="O4534" s="1" t="s">
        <v>46</v>
      </c>
    </row>
    <row r="4535" spans="2:15" x14ac:dyDescent="0.3">
      <c r="B4535" s="1" t="s">
        <v>23</v>
      </c>
      <c r="C4535" s="1" t="str">
        <f>"5-1차"</f>
        <v>5-1차</v>
      </c>
      <c r="D4535" s="1" t="str">
        <f>"0326X9615M"</f>
        <v>0326X9615M</v>
      </c>
      <c r="E4535" s="1" t="s">
        <v>10</v>
      </c>
      <c r="F4535" s="1" t="str">
        <f>"fde2:104:0:16b:0:0:0:2"</f>
        <v>fde2:104:0:16b:0:0:0:2</v>
      </c>
      <c r="G4535" s="1" t="str">
        <f>"0326X961"</f>
        <v>0326X961</v>
      </c>
      <c r="H4535" s="1" t="str">
        <f>"화동간 12R4"</f>
        <v>화동간 12R4</v>
      </c>
      <c r="I4535" s="1" t="s">
        <v>15</v>
      </c>
      <c r="J4535" s="1" t="str">
        <f>"1/2"</f>
        <v>1/2</v>
      </c>
      <c r="K4535" s="1" t="str">
        <f>"2026-07-29 14:20:26"</f>
        <v>2026-07-29 14:20:26</v>
      </c>
      <c r="L4535" s="1" t="str">
        <f>"2022-11-15 17:11:47"</f>
        <v>2022-11-15 17:11:47</v>
      </c>
      <c r="M4535" s="1" t="s">
        <v>42</v>
      </c>
      <c r="N4535" s="1" t="s">
        <v>38</v>
      </c>
      <c r="O4535" s="1" t="s">
        <v>46</v>
      </c>
    </row>
    <row r="4536" spans="2:15" x14ac:dyDescent="0.3">
      <c r="B4536" s="1" t="s">
        <v>23</v>
      </c>
      <c r="C4536" s="1" t="str">
        <f>"5-2차"</f>
        <v>5-2차</v>
      </c>
      <c r="D4536" s="1" t="str">
        <f>"0326Z2015M"</f>
        <v>0326Z2015M</v>
      </c>
      <c r="E4536" s="1" t="s">
        <v>10</v>
      </c>
      <c r="F4536" s="1" t="str">
        <f>"fde3:102:1440:4400:0:0:0:20"</f>
        <v>fde3:102:1440:4400:0:0:0:20</v>
      </c>
      <c r="G4536" s="1" t="str">
        <f>"0326Z201"</f>
        <v>0326Z201</v>
      </c>
      <c r="H4536" s="1" t="str">
        <f>"화수간 30R7"</f>
        <v>화수간 30R7</v>
      </c>
      <c r="I4536" s="1" t="s">
        <v>15</v>
      </c>
      <c r="J4536" s="1" t="str">
        <f>"57/57"</f>
        <v>57/57</v>
      </c>
      <c r="K4536" s="1" t="str">
        <f>"2026-07-29 14:20:27"</f>
        <v>2026-07-29 14:20:27</v>
      </c>
      <c r="L4536" s="1" t="str">
        <f>"2023-10-11 11:22:33"</f>
        <v>2023-10-11 11:22:33</v>
      </c>
      <c r="M4536" s="1" t="s">
        <v>45</v>
      </c>
      <c r="N4536" s="1" t="s">
        <v>38</v>
      </c>
      <c r="O4536" s="1" t="s">
        <v>46</v>
      </c>
    </row>
    <row r="4537" spans="2:15" x14ac:dyDescent="0.3">
      <c r="B4537" s="1" t="s">
        <v>23</v>
      </c>
      <c r="C4537" s="1" t="str">
        <f>"5-2차"</f>
        <v>5-2차</v>
      </c>
      <c r="D4537" s="1" t="str">
        <f>"0326Z2115M"</f>
        <v>0326Z2115M</v>
      </c>
      <c r="E4537" s="1" t="s">
        <v>10</v>
      </c>
      <c r="F4537" s="1" t="str">
        <f>"fde3:102:1440:4400:0:0:0:14"</f>
        <v>fde3:102:1440:4400:0:0:0:14</v>
      </c>
      <c r="G4537" s="1" t="str">
        <f>"0326Z211"</f>
        <v>0326Z211</v>
      </c>
      <c r="H4537" s="1" t="str">
        <f>"화수간 30R8"</f>
        <v>화수간 30R8</v>
      </c>
      <c r="I4537" s="1" t="s">
        <v>15</v>
      </c>
      <c r="J4537" s="1" t="str">
        <f>"44/44"</f>
        <v>44/44</v>
      </c>
      <c r="K4537" s="1" t="str">
        <f>"2026-07-29 14:20:27"</f>
        <v>2026-07-29 14:20:27</v>
      </c>
      <c r="L4537" s="1" t="str">
        <f>"2023-10-16 16:38:11"</f>
        <v>2023-10-16 16:38:11</v>
      </c>
      <c r="M4537" s="1" t="s">
        <v>45</v>
      </c>
      <c r="N4537" s="1" t="s">
        <v>38</v>
      </c>
      <c r="O4537" s="1" t="s">
        <v>46</v>
      </c>
    </row>
    <row r="4538" spans="2:15" x14ac:dyDescent="0.3">
      <c r="B4538" s="1" t="s">
        <v>23</v>
      </c>
      <c r="C4538" s="1" t="str">
        <f>"5-1차"</f>
        <v>5-1차</v>
      </c>
      <c r="D4538" s="1" t="str">
        <f>"0326Z3025S"</f>
        <v>0326Z3025S</v>
      </c>
      <c r="E4538" s="1" t="s">
        <v>10</v>
      </c>
      <c r="F4538" s="1" t="str">
        <f>"fde2:104:0:175:0:0:0:2"</f>
        <v>fde2:104:0:175:0:0:0:2</v>
      </c>
      <c r="G4538" s="1" t="str">
        <f>"0326Z302"</f>
        <v>0326Z302</v>
      </c>
      <c r="H4538" s="1" t="str">
        <f>"화수간 30R6R1"</f>
        <v>화수간 30R6R1</v>
      </c>
      <c r="I4538" s="1" t="s">
        <v>15</v>
      </c>
      <c r="J4538" s="1" t="str">
        <f>"24/24"</f>
        <v>24/24</v>
      </c>
      <c r="K4538" s="1" t="str">
        <f>"2026-07-29 14:20:29"</f>
        <v>2026-07-29 14:20:29</v>
      </c>
      <c r="L4538" s="1" t="str">
        <f>"2022-11-22 13:40:51"</f>
        <v>2022-11-22 13:40:51</v>
      </c>
      <c r="M4538" s="1" t="s">
        <v>42</v>
      </c>
      <c r="N4538" s="1" t="s">
        <v>38</v>
      </c>
      <c r="O4538" s="1" t="s">
        <v>46</v>
      </c>
    </row>
    <row r="4539" spans="2:15" x14ac:dyDescent="0.3">
      <c r="B4539" s="1" t="s">
        <v>23</v>
      </c>
      <c r="C4539" s="1" t="str">
        <f>"5-2차"</f>
        <v>5-2차</v>
      </c>
      <c r="D4539" s="1" t="str">
        <f>"0326Z3225S"</f>
        <v>0326Z3225S</v>
      </c>
      <c r="E4539" s="1" t="s">
        <v>10</v>
      </c>
      <c r="F4539" s="1" t="str">
        <f>"fde3:102:1440:4400:0:0:0:18"</f>
        <v>fde3:102:1440:4400:0:0:0:18</v>
      </c>
      <c r="G4539" s="1" t="str">
        <f>"0326Z322"</f>
        <v>0326Z322</v>
      </c>
      <c r="H4539" s="1" t="str">
        <f>"화수간 30R3R12"</f>
        <v>화수간 30R3R12</v>
      </c>
      <c r="I4539" s="1" t="s">
        <v>15</v>
      </c>
      <c r="J4539" s="1" t="str">
        <f>"70/71"</f>
        <v>70/71</v>
      </c>
      <c r="K4539" s="1" t="str">
        <f>"2026-07-29 14:20:27"</f>
        <v>2026-07-29 14:20:27</v>
      </c>
      <c r="L4539" s="1" t="str">
        <f>"2023-06-28 10:21:21"</f>
        <v>2023-06-28 10:21:21</v>
      </c>
      <c r="M4539" s="1" t="s">
        <v>45</v>
      </c>
      <c r="N4539" s="1" t="s">
        <v>38</v>
      </c>
      <c r="O4539" s="1" t="s">
        <v>46</v>
      </c>
    </row>
    <row r="4540" spans="2:15" x14ac:dyDescent="0.3">
      <c r="B4540" s="1" t="s">
        <v>23</v>
      </c>
      <c r="C4540" s="1" t="str">
        <f>"5-2차"</f>
        <v>5-2차</v>
      </c>
      <c r="D4540" s="1" t="str">
        <f>"0326Z3335M"</f>
        <v>0326Z3335M</v>
      </c>
      <c r="E4540" s="1" t="s">
        <v>10</v>
      </c>
      <c r="F4540" s="1" t="str">
        <f>"fde3:102:1440:4400:0:0:0:19"</f>
        <v>fde3:102:1440:4400:0:0:0:19</v>
      </c>
      <c r="G4540" s="1" t="str">
        <f>"0326Z333"</f>
        <v>0326Z333</v>
      </c>
      <c r="H4540" s="1" t="str">
        <f>"화수간 30R3R9"</f>
        <v>화수간 30R3R9</v>
      </c>
      <c r="I4540" s="1" t="s">
        <v>15</v>
      </c>
      <c r="J4540" s="1" t="str">
        <f>"67/67"</f>
        <v>67/67</v>
      </c>
      <c r="K4540" s="1" t="str">
        <f>"2026-07-29 14:20:27"</f>
        <v>2026-07-29 14:20:27</v>
      </c>
      <c r="L4540" s="1" t="str">
        <f>"2023-10-11 11:27:33"</f>
        <v>2023-10-11 11:27:33</v>
      </c>
      <c r="M4540" s="1" t="s">
        <v>45</v>
      </c>
      <c r="N4540" s="1" t="s">
        <v>38</v>
      </c>
      <c r="O4540" s="1" t="s">
        <v>46</v>
      </c>
    </row>
    <row r="4541" spans="2:15" x14ac:dyDescent="0.3">
      <c r="B4541" s="1" t="s">
        <v>23</v>
      </c>
      <c r="C4541" s="1" t="str">
        <f>"5-2차"</f>
        <v>5-2차</v>
      </c>
      <c r="D4541" s="1" t="str">
        <f>"0326Z4315M"</f>
        <v>0326Z4315M</v>
      </c>
      <c r="E4541" s="1" t="s">
        <v>10</v>
      </c>
      <c r="F4541" s="1" t="str">
        <f>"fde3:102:1440:4400:0:0:0:21"</f>
        <v>fde3:102:1440:4400:0:0:0:21</v>
      </c>
      <c r="G4541" s="1" t="str">
        <f>"0326Z431"</f>
        <v>0326Z431</v>
      </c>
      <c r="H4541" s="1" t="str">
        <f>"화수간 30R3R7"</f>
        <v>화수간 30R3R7</v>
      </c>
      <c r="I4541" s="1" t="s">
        <v>15</v>
      </c>
      <c r="J4541" s="1" t="str">
        <f>"157/165"</f>
        <v>157/165</v>
      </c>
      <c r="K4541" s="1" t="str">
        <f>"2026-07-29 14:20:28"</f>
        <v>2026-07-29 14:20:28</v>
      </c>
      <c r="L4541" s="1" t="str">
        <f>"2023-10-11 11:14:14"</f>
        <v>2023-10-11 11:14:14</v>
      </c>
      <c r="M4541" s="1" t="s">
        <v>45</v>
      </c>
      <c r="N4541" s="1" t="s">
        <v>38</v>
      </c>
      <c r="O4541" s="1" t="s">
        <v>46</v>
      </c>
    </row>
    <row r="4542" spans="2:15" x14ac:dyDescent="0.3">
      <c r="B4542" s="1" t="s">
        <v>23</v>
      </c>
      <c r="C4542" s="1" t="str">
        <f>"5-2차"</f>
        <v>5-2차</v>
      </c>
      <c r="D4542" s="1" t="str">
        <f>"0326Z4415S"</f>
        <v>0326Z4415S</v>
      </c>
      <c r="E4542" s="1" t="s">
        <v>10</v>
      </c>
      <c r="F4542" s="1" t="str">
        <f>"fde3:102:1440:4400:0:0:0:13"</f>
        <v>fde3:102:1440:4400:0:0:0:13</v>
      </c>
      <c r="G4542" s="1" t="str">
        <f>"0326Z441"</f>
        <v>0326Z441</v>
      </c>
      <c r="H4542" s="1" t="str">
        <f>"화수간 21R1L8L3"</f>
        <v>화수간 21R1L8L3</v>
      </c>
      <c r="I4542" s="1" t="s">
        <v>15</v>
      </c>
      <c r="J4542" s="1" t="str">
        <f>"54/54"</f>
        <v>54/54</v>
      </c>
      <c r="K4542" s="1" t="str">
        <f>"2026-07-29 14:20:28"</f>
        <v>2026-07-29 14:20:28</v>
      </c>
      <c r="L4542" s="1" t="str">
        <f>"2023-06-28 11:44:49"</f>
        <v>2023-06-28 11:44:49</v>
      </c>
      <c r="M4542" s="1" t="s">
        <v>45</v>
      </c>
      <c r="N4542" s="1" t="s">
        <v>38</v>
      </c>
      <c r="O4542" s="1" t="s">
        <v>46</v>
      </c>
    </row>
    <row r="4543" spans="2:15" x14ac:dyDescent="0.3">
      <c r="B4543" s="1" t="s">
        <v>23</v>
      </c>
      <c r="C4543" s="1" t="str">
        <f>"5-2차"</f>
        <v>5-2차</v>
      </c>
      <c r="D4543" s="1" t="str">
        <f>"0326Z4425M"</f>
        <v>0326Z4425M</v>
      </c>
      <c r="E4543" s="1" t="s">
        <v>10</v>
      </c>
      <c r="F4543" s="1" t="str">
        <f>"fde3:102:1440:4100:0:0:0:6"</f>
        <v>fde3:102:1440:4100:0:0:0:6</v>
      </c>
      <c r="G4543" s="1" t="str">
        <f>"0326Z442"</f>
        <v>0326Z442</v>
      </c>
      <c r="H4543" s="1" t="str">
        <f>"화수간 21R1L8L2"</f>
        <v>화수간 21R1L8L2</v>
      </c>
      <c r="I4543" s="1" t="s">
        <v>15</v>
      </c>
      <c r="J4543" s="1" t="str">
        <f>"82/82"</f>
        <v>82/82</v>
      </c>
      <c r="K4543" s="1" t="str">
        <f>"2026-07-29 14:20:28"</f>
        <v>2026-07-29 14:20:28</v>
      </c>
      <c r="L4543" s="1" t="str">
        <f>"2023-10-16 14:58:36"</f>
        <v>2023-10-16 14:58:36</v>
      </c>
      <c r="M4543" s="1" t="s">
        <v>45</v>
      </c>
      <c r="N4543" s="1" t="s">
        <v>38</v>
      </c>
      <c r="O4543" s="1" t="s">
        <v>46</v>
      </c>
    </row>
    <row r="4544" spans="2:15" x14ac:dyDescent="0.3">
      <c r="B4544" s="1" t="s">
        <v>23</v>
      </c>
      <c r="C4544" s="1" t="str">
        <f>"3차"</f>
        <v>3차</v>
      </c>
      <c r="D4544" s="1" t="str">
        <f>"0326Z48339"</f>
        <v>0326Z48339</v>
      </c>
      <c r="E4544" s="1" t="s">
        <v>10</v>
      </c>
      <c r="F4544" s="1" t="str">
        <f>"10.11.57.146"</f>
        <v>10.11.57.146</v>
      </c>
      <c r="G4544" s="1" t="str">
        <f>"0326Z483"</f>
        <v>0326Z483</v>
      </c>
      <c r="H4544" s="1" t="str">
        <f>"화동간 25"</f>
        <v>화동간 25</v>
      </c>
      <c r="I4544" s="1" t="s">
        <v>8</v>
      </c>
      <c r="J4544" s="1" t="str">
        <f>"4/4"</f>
        <v>4/4</v>
      </c>
      <c r="K4544" s="1" t="str">
        <f>"2026-07-29 13:18:02"</f>
        <v>2026-07-29 13:18:02</v>
      </c>
      <c r="L4544" s="1" t="str">
        <f>"2018-05-04 11:47:10"</f>
        <v>2018-05-04 11:47:10</v>
      </c>
      <c r="M4544" s="1" t="s">
        <v>2</v>
      </c>
      <c r="N4544" s="1" t="s">
        <v>38</v>
      </c>
      <c r="O4544" s="1" t="s">
        <v>46</v>
      </c>
    </row>
    <row r="4545" spans="2:15" x14ac:dyDescent="0.3">
      <c r="B4545" s="1" t="s">
        <v>23</v>
      </c>
      <c r="C4545" s="1" t="str">
        <f>"5-2차"</f>
        <v>5-2차</v>
      </c>
      <c r="D4545" s="1" t="str">
        <f>"0326Z5145M"</f>
        <v>0326Z5145M</v>
      </c>
      <c r="E4545" s="1" t="s">
        <v>10</v>
      </c>
      <c r="F4545" s="1" t="str">
        <f>"fde3:102:1440:4400:0:0:0:15"</f>
        <v>fde3:102:1440:4400:0:0:0:15</v>
      </c>
      <c r="G4545" s="1" t="str">
        <f>"0326Z514"</f>
        <v>0326Z514</v>
      </c>
      <c r="H4545" s="1" t="str">
        <f>"화수간 30R3R5L2"</f>
        <v>화수간 30R3R5L2</v>
      </c>
      <c r="I4545" s="1" t="s">
        <v>15</v>
      </c>
      <c r="J4545" s="1" t="str">
        <f>"136/137"</f>
        <v>136/137</v>
      </c>
      <c r="K4545" s="1" t="str">
        <f>"2026-07-29 14:21:26"</f>
        <v>2026-07-29 14:21:26</v>
      </c>
      <c r="L4545" s="1" t="str">
        <f>"2023-08-23 20:55:54"</f>
        <v>2023-08-23 20:55:54</v>
      </c>
      <c r="M4545" s="1" t="s">
        <v>45</v>
      </c>
      <c r="N4545" s="1" t="s">
        <v>38</v>
      </c>
      <c r="O4545" s="1" t="s">
        <v>46</v>
      </c>
    </row>
    <row r="4546" spans="2:15" x14ac:dyDescent="0.3">
      <c r="B4546" s="1" t="s">
        <v>23</v>
      </c>
      <c r="C4546" s="1" t="str">
        <f>"5-2차"</f>
        <v>5-2차</v>
      </c>
      <c r="D4546" s="1" t="str">
        <f>"0326Z5415M"</f>
        <v>0326Z5415M</v>
      </c>
      <c r="E4546" s="1" t="s">
        <v>10</v>
      </c>
      <c r="F4546" s="1" t="str">
        <f>"fde3:102:1440:4400:0:0:0:12"</f>
        <v>fde3:102:1440:4400:0:0:0:12</v>
      </c>
      <c r="G4546" s="1" t="str">
        <f>"0326Z541"</f>
        <v>0326Z541</v>
      </c>
      <c r="H4546" s="1" t="str">
        <f>"화수간 30R3R7R2"</f>
        <v>화수간 30R3R7R2</v>
      </c>
      <c r="I4546" s="1" t="s">
        <v>15</v>
      </c>
      <c r="J4546" s="1" t="str">
        <f>"81/83"</f>
        <v>81/83</v>
      </c>
      <c r="K4546" s="1" t="str">
        <f>"2026-07-29 14:20:26"</f>
        <v>2026-07-29 14:20:26</v>
      </c>
      <c r="L4546" s="1" t="str">
        <f>"2023-10-11 11:16:45"</f>
        <v>2023-10-11 11:16:45</v>
      </c>
      <c r="M4546" s="1" t="s">
        <v>45</v>
      </c>
      <c r="N4546" s="1" t="s">
        <v>38</v>
      </c>
      <c r="O4546" s="1" t="s">
        <v>46</v>
      </c>
    </row>
    <row r="4547" spans="2:15" x14ac:dyDescent="0.3">
      <c r="B4547" s="1" t="s">
        <v>23</v>
      </c>
      <c r="C4547" s="1" t="str">
        <f>"3차"</f>
        <v>3차</v>
      </c>
      <c r="D4547" s="1" t="str">
        <f>"0326Z57139"</f>
        <v>0326Z57139</v>
      </c>
      <c r="E4547" s="1" t="s">
        <v>10</v>
      </c>
      <c r="F4547" s="1" t="str">
        <f>"10.11.62.154"</f>
        <v>10.11.62.154</v>
      </c>
      <c r="G4547" s="1" t="str">
        <f>"0326Z571"</f>
        <v>0326Z571</v>
      </c>
      <c r="H4547" s="1" t="str">
        <f>"화수간 15R13"</f>
        <v>화수간 15R13</v>
      </c>
      <c r="I4547" s="1" t="s">
        <v>8</v>
      </c>
      <c r="J4547" s="1" t="str">
        <f>"2/2"</f>
        <v>2/2</v>
      </c>
      <c r="K4547" s="1" t="str">
        <f>"2026-07-29 13:18:02"</f>
        <v>2026-07-29 13:18:02</v>
      </c>
      <c r="L4547" s="1" t="str">
        <f>"2018-05-04 11:40:25"</f>
        <v>2018-05-04 11:40:25</v>
      </c>
      <c r="M4547" s="1" t="s">
        <v>2</v>
      </c>
      <c r="N4547" s="1" t="s">
        <v>38</v>
      </c>
      <c r="O4547" s="1" t="s">
        <v>46</v>
      </c>
    </row>
    <row r="4548" spans="2:15" x14ac:dyDescent="0.3">
      <c r="B4548" s="1" t="s">
        <v>23</v>
      </c>
      <c r="C4548" s="1" t="str">
        <f>"5-2차"</f>
        <v>5-2차</v>
      </c>
      <c r="D4548" s="1" t="str">
        <f>"0326Z6115M"</f>
        <v>0326Z6115M</v>
      </c>
      <c r="E4548" s="1" t="s">
        <v>10</v>
      </c>
      <c r="F4548" s="1" t="str">
        <f>"fde3:102:1440:4400:0:0:0:1f"</f>
        <v>fde3:102:1440:4400:0:0:0:1f</v>
      </c>
      <c r="G4548" s="1" t="str">
        <f>"0326Z611"</f>
        <v>0326Z611</v>
      </c>
      <c r="H4548" s="1" t="str">
        <f>"화수간 30R3R2"</f>
        <v>화수간 30R3R2</v>
      </c>
      <c r="I4548" s="1" t="s">
        <v>15</v>
      </c>
      <c r="J4548" s="1" t="str">
        <f>"110/110"</f>
        <v>110/110</v>
      </c>
      <c r="K4548" s="1" t="str">
        <f>"2026-07-29 14:20:28"</f>
        <v>2026-07-29 14:20:28</v>
      </c>
      <c r="L4548" s="1" t="str">
        <f>"2023-08-23 20:56:58"</f>
        <v>2023-08-23 20:56:58</v>
      </c>
      <c r="M4548" s="1" t="s">
        <v>45</v>
      </c>
      <c r="N4548" s="1" t="s">
        <v>38</v>
      </c>
      <c r="O4548" s="1" t="s">
        <v>46</v>
      </c>
    </row>
    <row r="4549" spans="2:15" x14ac:dyDescent="0.3">
      <c r="B4549" s="1" t="s">
        <v>23</v>
      </c>
      <c r="C4549" s="1" t="str">
        <f>"5-2차"</f>
        <v>5-2차</v>
      </c>
      <c r="D4549" s="1" t="str">
        <f>"0326Z6225M"</f>
        <v>0326Z6225M</v>
      </c>
      <c r="E4549" s="1" t="s">
        <v>10</v>
      </c>
      <c r="F4549" s="1" t="str">
        <f>"fde3:102:1440:4400:0:0:0:16"</f>
        <v>fde3:102:1440:4400:0:0:0:16</v>
      </c>
      <c r="G4549" s="1" t="str">
        <f>"0326Z622"</f>
        <v>0326Z622</v>
      </c>
      <c r="H4549" s="1" t="str">
        <f>"화수간 30R3R5R2"</f>
        <v>화수간 30R3R5R2</v>
      </c>
      <c r="I4549" s="1" t="s">
        <v>15</v>
      </c>
      <c r="J4549" s="1" t="str">
        <f>"52/52"</f>
        <v>52/52</v>
      </c>
      <c r="K4549" s="1" t="str">
        <f>"2026-07-29 14:21:12"</f>
        <v>2026-07-29 14:21:12</v>
      </c>
      <c r="L4549" s="1" t="str">
        <f>"2023-10-11 11:34:26"</f>
        <v>2023-10-11 11:34:26</v>
      </c>
      <c r="M4549" s="1" t="s">
        <v>45</v>
      </c>
      <c r="N4549" s="1" t="s">
        <v>38</v>
      </c>
      <c r="O4549" s="1" t="s">
        <v>46</v>
      </c>
    </row>
    <row r="4550" spans="2:15" x14ac:dyDescent="0.3">
      <c r="B4550" s="1" t="s">
        <v>23</v>
      </c>
      <c r="C4550" s="1" t="str">
        <f>"5-2차"</f>
        <v>5-2차</v>
      </c>
      <c r="D4550" s="1" t="str">
        <f>"0326Z6255M"</f>
        <v>0326Z6255M</v>
      </c>
      <c r="E4550" s="1" t="s">
        <v>10</v>
      </c>
      <c r="F4550" s="1" t="str">
        <f>"fde3:102:1440:4400:0:0:0:17"</f>
        <v>fde3:102:1440:4400:0:0:0:17</v>
      </c>
      <c r="G4550" s="1" t="str">
        <f>"0326Z625"</f>
        <v>0326Z625</v>
      </c>
      <c r="H4550" s="1" t="str">
        <f>"화수간 30R3R5R1"</f>
        <v>화수간 30R3R5R1</v>
      </c>
      <c r="I4550" s="1" t="s">
        <v>15</v>
      </c>
      <c r="J4550" s="1" t="str">
        <f>"33/39"</f>
        <v>33/39</v>
      </c>
      <c r="K4550" s="1" t="str">
        <f>"2026-07-29 14:20:28"</f>
        <v>2026-07-29 14:20:28</v>
      </c>
      <c r="L4550" s="1" t="str">
        <f>"2023-10-11 11:35:25"</f>
        <v>2023-10-11 11:35:25</v>
      </c>
      <c r="M4550" s="1" t="s">
        <v>45</v>
      </c>
      <c r="N4550" s="1" t="s">
        <v>38</v>
      </c>
      <c r="O4550" s="1" t="s">
        <v>46</v>
      </c>
    </row>
    <row r="4551" spans="2:15" x14ac:dyDescent="0.3">
      <c r="B4551" s="1" t="s">
        <v>23</v>
      </c>
      <c r="C4551" s="1" t="str">
        <f>"5-2차"</f>
        <v>5-2차</v>
      </c>
      <c r="D4551" s="1" t="str">
        <f>"0326Z6445M"</f>
        <v>0326Z6445M</v>
      </c>
      <c r="E4551" s="1" t="s">
        <v>10</v>
      </c>
      <c r="F4551" s="1" t="str">
        <f>"fde1:103:4:6eb4:0:0:0:2"</f>
        <v>fde1:103:4:6eb4:0:0:0:2</v>
      </c>
      <c r="G4551" s="1" t="str">
        <f>"0326Z644"</f>
        <v>0326Z644</v>
      </c>
      <c r="H4551" s="1" t="str">
        <f>"화수간 30R3R5R4"</f>
        <v>화수간 30R3R5R4</v>
      </c>
      <c r="I4551" s="1" t="s">
        <v>15</v>
      </c>
      <c r="J4551" s="1" t="str">
        <f>"60/60"</f>
        <v>60/60</v>
      </c>
      <c r="K4551" s="1" t="str">
        <f>"2026-07-29 08:21:03"</f>
        <v>2026-07-29 08:21:03</v>
      </c>
      <c r="L4551" s="1" t="str">
        <f>"2023-11-14 14:41:23"</f>
        <v>2023-11-14 14:41:23</v>
      </c>
      <c r="M4551" s="1" t="s">
        <v>4</v>
      </c>
      <c r="N4551" s="1" t="s">
        <v>38</v>
      </c>
      <c r="O4551" s="1" t="s">
        <v>46</v>
      </c>
    </row>
    <row r="4552" spans="2:15" x14ac:dyDescent="0.3">
      <c r="B4552" s="1" t="s">
        <v>23</v>
      </c>
      <c r="C4552" s="1" t="str">
        <f>"5-2차"</f>
        <v>5-2차</v>
      </c>
      <c r="D4552" s="1" t="str">
        <f>"0326Z6535M"</f>
        <v>0326Z6535M</v>
      </c>
      <c r="E4552" s="1" t="s">
        <v>10</v>
      </c>
      <c r="F4552" s="1" t="str">
        <f>"fde1:103:4:6e8d:0:0:0:2"</f>
        <v>fde1:103:4:6e8d:0:0:0:2</v>
      </c>
      <c r="G4552" s="1" t="str">
        <f>"0326Z653"</f>
        <v>0326Z653</v>
      </c>
      <c r="H4552" s="1" t="str">
        <f>"화수간 21R7"</f>
        <v>화수간 21R7</v>
      </c>
      <c r="I4552" s="1" t="s">
        <v>15</v>
      </c>
      <c r="J4552" s="1" t="str">
        <f>"41/41"</f>
        <v>41/41</v>
      </c>
      <c r="K4552" s="1" t="str">
        <f>"2026-07-29 14:20:29"</f>
        <v>2026-07-29 14:20:29</v>
      </c>
      <c r="L4552" s="1" t="str">
        <f>"2023-06-26 15:03:32"</f>
        <v>2023-06-26 15:03:32</v>
      </c>
      <c r="M4552" s="1" t="s">
        <v>4</v>
      </c>
      <c r="N4552" s="1" t="s">
        <v>38</v>
      </c>
      <c r="O4552" s="1" t="s">
        <v>46</v>
      </c>
    </row>
    <row r="4553" spans="2:15" x14ac:dyDescent="0.3">
      <c r="B4553" s="1" t="s">
        <v>23</v>
      </c>
      <c r="C4553" s="1" t="str">
        <f>"3차"</f>
        <v>3차</v>
      </c>
      <c r="D4553" s="1" t="str">
        <f>"0326Z67232"</f>
        <v>0326Z67232</v>
      </c>
      <c r="E4553" s="1" t="s">
        <v>10</v>
      </c>
      <c r="F4553" s="1" t="str">
        <f>"10.11.82.106"</f>
        <v>10.11.82.106</v>
      </c>
      <c r="G4553" s="1" t="str">
        <f>"0326Z672"</f>
        <v>0326Z672</v>
      </c>
      <c r="H4553" s="1" t="str">
        <f>"화수간 15R6L5"</f>
        <v>화수간 15R6L5</v>
      </c>
      <c r="I4553" s="1" t="s">
        <v>8</v>
      </c>
      <c r="J4553" s="1" t="str">
        <f>"17/17"</f>
        <v>17/17</v>
      </c>
      <c r="K4553" s="1" t="str">
        <f>"2026-07-29 13:18:02"</f>
        <v>2026-07-29 13:18:02</v>
      </c>
      <c r="L4553" s="1" t="str">
        <f>"2018-06-11 11:30:41"</f>
        <v>2018-06-11 11:30:41</v>
      </c>
      <c r="M4553" s="1" t="s">
        <v>2</v>
      </c>
      <c r="N4553" s="1" t="s">
        <v>44</v>
      </c>
      <c r="O4553" s="1" t="s">
        <v>44</v>
      </c>
    </row>
    <row r="4554" spans="2:15" x14ac:dyDescent="0.3">
      <c r="B4554" s="1" t="s">
        <v>23</v>
      </c>
      <c r="C4554" s="1" t="str">
        <f>"3차"</f>
        <v>3차</v>
      </c>
      <c r="D4554" s="1" t="str">
        <f>"0326Z67339"</f>
        <v>0326Z67339</v>
      </c>
      <c r="E4554" s="1" t="s">
        <v>10</v>
      </c>
      <c r="F4554" s="1" t="str">
        <f>"10.11.62.186"</f>
        <v>10.11.62.186</v>
      </c>
      <c r="G4554" s="1" t="str">
        <f>"0326Z673"</f>
        <v>0326Z673</v>
      </c>
      <c r="H4554" s="1" t="str">
        <f>"화수간 15R3L9"</f>
        <v>화수간 15R3L9</v>
      </c>
      <c r="I4554" s="1" t="s">
        <v>8</v>
      </c>
      <c r="J4554" s="1" t="str">
        <f>"48/48"</f>
        <v>48/48</v>
      </c>
      <c r="K4554" s="1" t="str">
        <f>"2026-07-29 13:18:03"</f>
        <v>2026-07-29 13:18:03</v>
      </c>
      <c r="L4554" s="1" t="str">
        <f>"2018-05-04 11:30:56"</f>
        <v>2018-05-04 11:30:56</v>
      </c>
      <c r="M4554" s="1" t="s">
        <v>2</v>
      </c>
      <c r="N4554" s="1" t="s">
        <v>38</v>
      </c>
      <c r="O4554" s="1" t="s">
        <v>46</v>
      </c>
    </row>
    <row r="4555" spans="2:15" x14ac:dyDescent="0.3">
      <c r="B4555" s="1" t="s">
        <v>23</v>
      </c>
      <c r="C4555" s="1" t="str">
        <f>"3차"</f>
        <v>3차</v>
      </c>
      <c r="D4555" s="1" t="str">
        <f>"0326Z68139"</f>
        <v>0326Z68139</v>
      </c>
      <c r="E4555" s="1" t="s">
        <v>10</v>
      </c>
      <c r="F4555" s="1" t="str">
        <f>"10.11.55.154"</f>
        <v>10.11.55.154</v>
      </c>
      <c r="G4555" s="1" t="str">
        <f>"0326Z681"</f>
        <v>0326Z681</v>
      </c>
      <c r="H4555" s="1" t="str">
        <f>"화수간 15R12"</f>
        <v>화수간 15R12</v>
      </c>
      <c r="I4555" s="1" t="s">
        <v>8</v>
      </c>
      <c r="J4555" s="1" t="str">
        <f>"86/86"</f>
        <v>86/86</v>
      </c>
      <c r="K4555" s="1" t="str">
        <f>"2026-07-29 13:18:02"</f>
        <v>2026-07-29 13:18:02</v>
      </c>
      <c r="L4555" s="1" t="str">
        <f>"2018-05-04 11:38:11"</f>
        <v>2018-05-04 11:38:11</v>
      </c>
      <c r="M4555" s="1" t="s">
        <v>2</v>
      </c>
      <c r="N4555" s="1" t="s">
        <v>38</v>
      </c>
      <c r="O4555" s="1" t="s">
        <v>46</v>
      </c>
    </row>
    <row r="4556" spans="2:15" x14ac:dyDescent="0.3">
      <c r="B4556" s="1" t="s">
        <v>23</v>
      </c>
      <c r="C4556" s="1" t="str">
        <f>"5-2차"</f>
        <v>5-2차</v>
      </c>
      <c r="D4556" s="1" t="str">
        <f>"0326Z7215M"</f>
        <v>0326Z7215M</v>
      </c>
      <c r="E4556" s="1" t="s">
        <v>10</v>
      </c>
      <c r="F4556" s="1" t="str">
        <f>"fde1:103:4:6eb6:0:0:0:2"</f>
        <v>fde1:103:4:6eb6:0:0:0:2</v>
      </c>
      <c r="G4556" s="1" t="str">
        <f>"0326Z721"</f>
        <v>0326Z721</v>
      </c>
      <c r="H4556" s="1" t="str">
        <f>"화수간 30R3R3"</f>
        <v>화수간 30R3R3</v>
      </c>
      <c r="I4556" s="1" t="s">
        <v>15</v>
      </c>
      <c r="J4556" s="1" t="str">
        <f>"42/42"</f>
        <v>42/42</v>
      </c>
      <c r="K4556" s="1" t="str">
        <f>"2026-07-29 14:20:37"</f>
        <v>2026-07-29 14:20:37</v>
      </c>
      <c r="L4556" s="1" t="str">
        <f>"2023-11-14 14:41:34"</f>
        <v>2023-11-14 14:41:34</v>
      </c>
      <c r="M4556" s="1" t="s">
        <v>4</v>
      </c>
      <c r="N4556" s="1" t="s">
        <v>38</v>
      </c>
      <c r="O4556" s="1" t="s">
        <v>46</v>
      </c>
    </row>
    <row r="4557" spans="2:15" x14ac:dyDescent="0.3">
      <c r="B4557" s="1" t="s">
        <v>23</v>
      </c>
      <c r="C4557" s="1" t="str">
        <f>"5-2차"</f>
        <v>5-2차</v>
      </c>
      <c r="D4557" s="1" t="str">
        <f>"0326Z7325M"</f>
        <v>0326Z7325M</v>
      </c>
      <c r="E4557" s="1" t="s">
        <v>10</v>
      </c>
      <c r="F4557" s="1" t="str">
        <f>"fde3:102:1440:4100:0:0:0:b"</f>
        <v>fde3:102:1440:4100:0:0:0:b</v>
      </c>
      <c r="G4557" s="1" t="str">
        <f>"0326Z732"</f>
        <v>0326Z732</v>
      </c>
      <c r="H4557" s="1" t="str">
        <f>"화수간 30R3R3R1"</f>
        <v>화수간 30R3R3R1</v>
      </c>
      <c r="I4557" s="1" t="s">
        <v>15</v>
      </c>
      <c r="J4557" s="1" t="str">
        <f>"39/39"</f>
        <v>39/39</v>
      </c>
      <c r="K4557" s="1" t="str">
        <f>"2026-07-29 14:20:28"</f>
        <v>2026-07-29 14:20:28</v>
      </c>
      <c r="L4557" s="1" t="str">
        <f>"2023-09-12 18:24:37"</f>
        <v>2023-09-12 18:24:37</v>
      </c>
      <c r="M4557" s="1" t="s">
        <v>45</v>
      </c>
      <c r="N4557" s="1" t="s">
        <v>38</v>
      </c>
      <c r="O4557" s="1" t="s">
        <v>46</v>
      </c>
    </row>
    <row r="4558" spans="2:15" x14ac:dyDescent="0.3">
      <c r="B4558" s="1" t="s">
        <v>23</v>
      </c>
      <c r="C4558" s="1" t="str">
        <f>"5-2차"</f>
        <v>5-2차</v>
      </c>
      <c r="D4558" s="1" t="str">
        <f>"0326Z7525M"</f>
        <v>0326Z7525M</v>
      </c>
      <c r="E4558" s="1" t="s">
        <v>10</v>
      </c>
      <c r="F4558" s="1" t="str">
        <f>"fde3:102:1440:4300:0:0:0:18"</f>
        <v>fde3:102:1440:4300:0:0:0:18</v>
      </c>
      <c r="G4558" s="1" t="str">
        <f>"0326Z752"</f>
        <v>0326Z752</v>
      </c>
      <c r="H4558" s="1" t="str">
        <f>"화수간 21R4"</f>
        <v>화수간 21R4</v>
      </c>
      <c r="I4558" s="1" t="s">
        <v>15</v>
      </c>
      <c r="J4558" s="1" t="str">
        <f>"52/52"</f>
        <v>52/52</v>
      </c>
      <c r="K4558" s="1" t="str">
        <f>"2026-07-29 14:21:13"</f>
        <v>2026-07-29 14:21:13</v>
      </c>
      <c r="L4558" s="1" t="str">
        <f>"2023-10-11 10:27:28"</f>
        <v>2023-10-11 10:27:28</v>
      </c>
      <c r="M4558" s="1" t="s">
        <v>45</v>
      </c>
      <c r="N4558" s="1" t="s">
        <v>38</v>
      </c>
      <c r="O4558" s="1" t="s">
        <v>46</v>
      </c>
    </row>
    <row r="4559" spans="2:15" x14ac:dyDescent="0.3">
      <c r="B4559" s="1" t="s">
        <v>23</v>
      </c>
      <c r="C4559" s="1" t="str">
        <f>"4차"</f>
        <v>4차</v>
      </c>
      <c r="D4559" s="1" t="str">
        <f>"0326Z76139"</f>
        <v>0326Z76139</v>
      </c>
      <c r="E4559" s="1" t="s">
        <v>10</v>
      </c>
      <c r="F4559" s="1" t="str">
        <f>"10.11.55.170"</f>
        <v>10.11.55.170</v>
      </c>
      <c r="G4559" s="1" t="str">
        <f>"0326Z761"</f>
        <v>0326Z761</v>
      </c>
      <c r="H4559" s="1" t="str">
        <f>"화수간 15R3L7"</f>
        <v>화수간 15R3L7</v>
      </c>
      <c r="I4559" s="1" t="s">
        <v>8</v>
      </c>
      <c r="J4559" s="1" t="str">
        <f>"61/61"</f>
        <v>61/61</v>
      </c>
      <c r="K4559" s="1" t="str">
        <f>"2026-07-29 13:18:03"</f>
        <v>2026-07-29 13:18:03</v>
      </c>
      <c r="L4559" s="1" t="str">
        <f>"2024-02-02 17:59:21"</f>
        <v>2024-02-02 17:59:21</v>
      </c>
      <c r="M4559" s="1" t="s">
        <v>2</v>
      </c>
      <c r="N4559" s="1" t="s">
        <v>38</v>
      </c>
      <c r="O4559" s="1" t="s">
        <v>46</v>
      </c>
    </row>
    <row r="4560" spans="2:15" x14ac:dyDescent="0.3">
      <c r="B4560" s="1" t="s">
        <v>23</v>
      </c>
      <c r="C4560" s="1" t="str">
        <f>"3차"</f>
        <v>3차</v>
      </c>
      <c r="D4560" s="1" t="str">
        <f>"0326Z78139"</f>
        <v>0326Z78139</v>
      </c>
      <c r="E4560" s="1" t="s">
        <v>10</v>
      </c>
      <c r="F4560" s="1" t="str">
        <f>"10.11.62.210"</f>
        <v>10.11.62.210</v>
      </c>
      <c r="G4560" s="1" t="str">
        <f>"0326Z781"</f>
        <v>0326Z781</v>
      </c>
      <c r="H4560" s="1" t="str">
        <f>"화수간 15R6L2"</f>
        <v>화수간 15R6L2</v>
      </c>
      <c r="I4560" s="1" t="s">
        <v>8</v>
      </c>
      <c r="J4560" s="1" t="str">
        <f>"70/70"</f>
        <v>70/70</v>
      </c>
      <c r="K4560" s="1" t="str">
        <f>"2026-07-29 13:18:02"</f>
        <v>2026-07-29 13:18:02</v>
      </c>
      <c r="L4560" s="1" t="str">
        <f>"2018-05-04 11:35:11"</f>
        <v>2018-05-04 11:35:11</v>
      </c>
      <c r="M4560" s="1" t="s">
        <v>2</v>
      </c>
      <c r="N4560" s="1" t="s">
        <v>38</v>
      </c>
      <c r="O4560" s="1" t="s">
        <v>46</v>
      </c>
    </row>
    <row r="4561" spans="2:15" x14ac:dyDescent="0.3">
      <c r="B4561" s="1" t="s">
        <v>23</v>
      </c>
      <c r="C4561" s="1" t="str">
        <f>"3차"</f>
        <v>3차</v>
      </c>
      <c r="D4561" s="1" t="str">
        <f>"0326Z78231"</f>
        <v>0326Z78231</v>
      </c>
      <c r="E4561" s="1" t="s">
        <v>10</v>
      </c>
      <c r="F4561" s="1" t="str">
        <f>"10.11.82.114"</f>
        <v>10.11.82.114</v>
      </c>
      <c r="G4561" s="1" t="str">
        <f>"0326Z782"</f>
        <v>0326Z782</v>
      </c>
      <c r="H4561" s="1" t="str">
        <f>"화수간 15R6L3"</f>
        <v>화수간 15R6L3</v>
      </c>
      <c r="I4561" s="1" t="s">
        <v>8</v>
      </c>
      <c r="J4561" s="1" t="str">
        <f>"6/6"</f>
        <v>6/6</v>
      </c>
      <c r="K4561" s="1" t="str">
        <f>"2026-07-29 13:18:02"</f>
        <v>2026-07-29 13:18:02</v>
      </c>
      <c r="L4561" s="1" t="str">
        <f>"2018-06-08 17:12:00"</f>
        <v>2018-06-08 17:12:00</v>
      </c>
      <c r="M4561" s="1" t="s">
        <v>2</v>
      </c>
      <c r="N4561" s="1" t="s">
        <v>44</v>
      </c>
      <c r="O4561" s="1" t="s">
        <v>44</v>
      </c>
    </row>
    <row r="4562" spans="2:15" x14ac:dyDescent="0.3">
      <c r="B4562" s="1" t="s">
        <v>23</v>
      </c>
      <c r="C4562" s="1" t="str">
        <f>"3차"</f>
        <v>3차</v>
      </c>
      <c r="D4562" s="1" t="str">
        <f>"0326Z79139"</f>
        <v>0326Z79139</v>
      </c>
      <c r="E4562" s="1" t="s">
        <v>10</v>
      </c>
      <c r="F4562" s="1" t="str">
        <f>"10.11.55.186"</f>
        <v>10.11.55.186</v>
      </c>
      <c r="G4562" s="1" t="str">
        <f>"0326Z791"</f>
        <v>0326Z791</v>
      </c>
      <c r="H4562" s="1" t="str">
        <f>"화수간 15R6L1"</f>
        <v>화수간 15R6L1</v>
      </c>
      <c r="I4562" s="1" t="s">
        <v>8</v>
      </c>
      <c r="J4562" s="1" t="str">
        <f>"23/23"</f>
        <v>23/23</v>
      </c>
      <c r="K4562" s="1" t="str">
        <f>"2026-07-29 13:18:02"</f>
        <v>2026-07-29 13:18:02</v>
      </c>
      <c r="L4562" s="1" t="str">
        <f>"2018-05-04 11:15:56"</f>
        <v>2018-05-04 11:15:56</v>
      </c>
      <c r="M4562" s="1" t="s">
        <v>2</v>
      </c>
      <c r="N4562" s="1" t="s">
        <v>38</v>
      </c>
      <c r="O4562" s="1" t="s">
        <v>46</v>
      </c>
    </row>
    <row r="4563" spans="2:15" x14ac:dyDescent="0.3">
      <c r="B4563" s="1" t="s">
        <v>23</v>
      </c>
      <c r="C4563" s="1" t="str">
        <f>"5-2차"</f>
        <v>5-2차</v>
      </c>
      <c r="D4563" s="1" t="str">
        <f>"0326Z8015M"</f>
        <v>0326Z8015M</v>
      </c>
      <c r="E4563" s="1" t="s">
        <v>10</v>
      </c>
      <c r="F4563" s="1" t="str">
        <f>"fde3:102:1440:4500:0:0:0:21"</f>
        <v>fde3:102:1440:4500:0:0:0:21</v>
      </c>
      <c r="G4563" s="1" t="str">
        <f>"0326Z801"</f>
        <v>0326Z801</v>
      </c>
      <c r="H4563" s="1" t="str">
        <f>"화수간 26"</f>
        <v>화수간 26</v>
      </c>
      <c r="I4563" s="1" t="s">
        <v>15</v>
      </c>
      <c r="J4563" s="1" t="str">
        <f>"51/51"</f>
        <v>51/51</v>
      </c>
      <c r="K4563" s="1" t="str">
        <f>"2026-07-29 14:20:30"</f>
        <v>2026-07-29 14:20:30</v>
      </c>
      <c r="L4563" s="1" t="str">
        <f>"2023-06-26 15:54:40"</f>
        <v>2023-06-26 15:54:40</v>
      </c>
      <c r="M4563" s="1" t="s">
        <v>45</v>
      </c>
      <c r="N4563" s="1" t="s">
        <v>38</v>
      </c>
      <c r="O4563" s="1" t="s">
        <v>46</v>
      </c>
    </row>
    <row r="4564" spans="2:15" x14ac:dyDescent="0.3">
      <c r="B4564" s="1" t="s">
        <v>23</v>
      </c>
      <c r="C4564" s="1" t="str">
        <f>"5-2차"</f>
        <v>5-2차</v>
      </c>
      <c r="D4564" s="1" t="str">
        <f>"0326Z8215M"</f>
        <v>0326Z8215M</v>
      </c>
      <c r="E4564" s="1" t="s">
        <v>10</v>
      </c>
      <c r="F4564" s="1" t="str">
        <f>"fde3:102:1440:4600:0:0:0:8"</f>
        <v>fde3:102:1440:4600:0:0:0:8</v>
      </c>
      <c r="G4564" s="1" t="str">
        <f>"0326Z821"</f>
        <v>0326Z821</v>
      </c>
      <c r="H4564" s="1" t="str">
        <f>"화수간 24"</f>
        <v>화수간 24</v>
      </c>
      <c r="I4564" s="1" t="s">
        <v>15</v>
      </c>
      <c r="J4564" s="1" t="str">
        <f>"57/57"</f>
        <v>57/57</v>
      </c>
      <c r="K4564" s="1" t="str">
        <f>"2026-07-29 14:20:35"</f>
        <v>2026-07-29 14:20:35</v>
      </c>
      <c r="L4564" s="1" t="str">
        <f>"2023-10-11 11:40:33"</f>
        <v>2023-10-11 11:40:33</v>
      </c>
      <c r="M4564" s="1" t="s">
        <v>45</v>
      </c>
      <c r="N4564" s="1" t="s">
        <v>38</v>
      </c>
      <c r="O4564" s="1" t="s">
        <v>46</v>
      </c>
    </row>
    <row r="4565" spans="2:15" x14ac:dyDescent="0.3">
      <c r="B4565" s="1" t="s">
        <v>23</v>
      </c>
      <c r="C4565" s="1" t="str">
        <f>"5-2차"</f>
        <v>5-2차</v>
      </c>
      <c r="D4565" s="1" t="str">
        <f>"0326Z8415M"</f>
        <v>0326Z8415M</v>
      </c>
      <c r="E4565" s="1" t="s">
        <v>10</v>
      </c>
      <c r="F4565" s="1" t="str">
        <f>"fde3:102:1440:4400:0:0:0:1e"</f>
        <v>fde3:102:1440:4400:0:0:0:1e</v>
      </c>
      <c r="G4565" s="1" t="str">
        <f>"0326Z841"</f>
        <v>0326Z841</v>
      </c>
      <c r="H4565" s="1" t="str">
        <f>"화수간 21R1L2"</f>
        <v>화수간 21R1L2</v>
      </c>
      <c r="I4565" s="1" t="s">
        <v>15</v>
      </c>
      <c r="J4565" s="1" t="str">
        <f>"36/36"</f>
        <v>36/36</v>
      </c>
      <c r="K4565" s="1" t="str">
        <f>"2026-07-29 14:20:28"</f>
        <v>2026-07-29 14:20:28</v>
      </c>
      <c r="L4565" s="1" t="str">
        <f>"2023-10-11 11:44:50"</f>
        <v>2023-10-11 11:44:50</v>
      </c>
      <c r="M4565" s="1" t="s">
        <v>45</v>
      </c>
      <c r="N4565" s="1" t="s">
        <v>38</v>
      </c>
      <c r="O4565" s="1" t="s">
        <v>46</v>
      </c>
    </row>
    <row r="4566" spans="2:15" x14ac:dyDescent="0.3">
      <c r="B4566" s="1" t="s">
        <v>23</v>
      </c>
      <c r="C4566" s="1" t="str">
        <f>"6차"</f>
        <v>6차</v>
      </c>
      <c r="D4566" s="1" t="str">
        <f>"0326Z8516S"</f>
        <v>0326Z8516S</v>
      </c>
      <c r="E4566" s="1" t="s">
        <v>10</v>
      </c>
      <c r="F4566" s="1" t="str">
        <f>"fde3:102:1440:4300:0:0:0:21"</f>
        <v>fde3:102:1440:4300:0:0:0:21</v>
      </c>
      <c r="G4566" s="1" t="str">
        <f>"0326Z851"</f>
        <v>0326Z851</v>
      </c>
      <c r="H4566" s="1" t="str">
        <f>"화수간 21R3"</f>
        <v>화수간 21R3</v>
      </c>
      <c r="I4566" s="1" t="s">
        <v>15</v>
      </c>
      <c r="J4566" s="1" t="str">
        <f>"38/42"</f>
        <v>38/42</v>
      </c>
      <c r="K4566" s="1" t="str">
        <f>"2026-07-29 14:20:15"</f>
        <v>2026-07-29 14:20:15</v>
      </c>
      <c r="L4566" s="1" t="str">
        <f>"2024-10-12 10:34:23"</f>
        <v>2024-10-12 10:34:23</v>
      </c>
      <c r="M4566" s="1" t="s">
        <v>45</v>
      </c>
      <c r="N4566" s="1" t="s">
        <v>38</v>
      </c>
      <c r="O4566" s="1" t="s">
        <v>46</v>
      </c>
    </row>
    <row r="4567" spans="2:15" x14ac:dyDescent="0.3">
      <c r="B4567" s="1" t="s">
        <v>23</v>
      </c>
      <c r="C4567" s="1" t="str">
        <f>"3차"</f>
        <v>3차</v>
      </c>
      <c r="D4567" s="1" t="str">
        <f>"0326Z86239"</f>
        <v>0326Z86239</v>
      </c>
      <c r="E4567" s="1" t="s">
        <v>10</v>
      </c>
      <c r="F4567" s="1" t="str">
        <f>"10.11.62.178"</f>
        <v>10.11.62.178</v>
      </c>
      <c r="G4567" s="1" t="str">
        <f>"0326Z862"</f>
        <v>0326Z862</v>
      </c>
      <c r="H4567" s="1" t="str">
        <f>"화수간 15R3L5"</f>
        <v>화수간 15R3L5</v>
      </c>
      <c r="I4567" s="1" t="s">
        <v>8</v>
      </c>
      <c r="J4567" s="1" t="str">
        <f>"55/67"</f>
        <v>55/67</v>
      </c>
      <c r="K4567" s="1" t="str">
        <f>"2026-07-29 13:18:02"</f>
        <v>2026-07-29 13:18:02</v>
      </c>
      <c r="L4567" s="1" t="str">
        <f>"2018-05-04 11:17:10"</f>
        <v>2018-05-04 11:17:10</v>
      </c>
      <c r="M4567" s="1" t="s">
        <v>2</v>
      </c>
      <c r="N4567" s="1" t="s">
        <v>38</v>
      </c>
      <c r="O4567" s="1" t="s">
        <v>46</v>
      </c>
    </row>
    <row r="4568" spans="2:15" x14ac:dyDescent="0.3">
      <c r="B4568" s="1" t="s">
        <v>23</v>
      </c>
      <c r="C4568" s="1" t="str">
        <f>"4차"</f>
        <v>4차</v>
      </c>
      <c r="D4568" s="1" t="str">
        <f>"0326Z88139"</f>
        <v>0326Z88139</v>
      </c>
      <c r="E4568" s="1" t="s">
        <v>10</v>
      </c>
      <c r="F4568" s="1" t="str">
        <f>"10.11.55.178"</f>
        <v>10.11.55.178</v>
      </c>
      <c r="G4568" s="1" t="str">
        <f>"0326Z881"</f>
        <v>0326Z881</v>
      </c>
      <c r="H4568" s="1" t="str">
        <f>"화수간 15R4L2"</f>
        <v>화수간 15R4L2</v>
      </c>
      <c r="I4568" s="1" t="s">
        <v>8</v>
      </c>
      <c r="J4568" s="1" t="str">
        <f>"34/37"</f>
        <v>34/37</v>
      </c>
      <c r="K4568" s="1" t="str">
        <f>"2026-07-29 13:18:02"</f>
        <v>2026-07-29 13:18:02</v>
      </c>
      <c r="L4568" s="1" t="str">
        <f>"2018-05-02 10:15:10"</f>
        <v>2018-05-02 10:15:10</v>
      </c>
      <c r="M4568" s="1" t="s">
        <v>2</v>
      </c>
      <c r="N4568" s="1" t="s">
        <v>38</v>
      </c>
      <c r="O4568" s="1" t="s">
        <v>46</v>
      </c>
    </row>
    <row r="4569" spans="2:15" x14ac:dyDescent="0.3">
      <c r="B4569" s="1" t="s">
        <v>23</v>
      </c>
      <c r="C4569" s="1" t="str">
        <f>"4차"</f>
        <v>4차</v>
      </c>
      <c r="D4569" s="1" t="str">
        <f>"0326Z88239"</f>
        <v>0326Z88239</v>
      </c>
      <c r="E4569" s="1" t="s">
        <v>10</v>
      </c>
      <c r="F4569" s="1" t="str">
        <f>"10.11.62.194"</f>
        <v>10.11.62.194</v>
      </c>
      <c r="G4569" s="1" t="str">
        <f>"0326Z882"</f>
        <v>0326Z882</v>
      </c>
      <c r="H4569" s="1" t="str">
        <f>"화수간 15R4L3"</f>
        <v>화수간 15R4L3</v>
      </c>
      <c r="I4569" s="1" t="s">
        <v>8</v>
      </c>
      <c r="J4569" s="1" t="str">
        <f>"69/72"</f>
        <v>69/72</v>
      </c>
      <c r="K4569" s="1" t="str">
        <f>"2026-07-29 13:18:02"</f>
        <v>2026-07-29 13:18:02</v>
      </c>
      <c r="L4569" s="1" t="str">
        <f>"2018-05-02 10:14:09"</f>
        <v>2018-05-02 10:14:09</v>
      </c>
      <c r="M4569" s="1" t="s">
        <v>2</v>
      </c>
      <c r="N4569" s="1" t="s">
        <v>38</v>
      </c>
      <c r="O4569" s="1" t="s">
        <v>46</v>
      </c>
    </row>
    <row r="4570" spans="2:15" x14ac:dyDescent="0.3">
      <c r="B4570" s="1" t="s">
        <v>23</v>
      </c>
      <c r="C4570" s="1" t="str">
        <f>"3차"</f>
        <v>3차</v>
      </c>
      <c r="D4570" s="1" t="str">
        <f>"0326Z89139"</f>
        <v>0326Z89139</v>
      </c>
      <c r="E4570" s="1" t="s">
        <v>10</v>
      </c>
      <c r="F4570" s="1" t="str">
        <f>"10.11.62.202"</f>
        <v>10.11.62.202</v>
      </c>
      <c r="G4570" s="1" t="str">
        <f>"0326Z891"</f>
        <v>0326Z891</v>
      </c>
      <c r="H4570" s="1" t="str">
        <f>"화수간 15R5"</f>
        <v>화수간 15R5</v>
      </c>
      <c r="I4570" s="1" t="s">
        <v>8</v>
      </c>
      <c r="J4570" s="1" t="str">
        <f>"22/22"</f>
        <v>22/22</v>
      </c>
      <c r="K4570" s="1" t="str">
        <f>"2026-07-29 13:18:01"</f>
        <v>2026-07-29 13:18:01</v>
      </c>
      <c r="L4570" s="1" t="str">
        <f>"2018-05-04 11:28:10"</f>
        <v>2018-05-04 11:28:10</v>
      </c>
      <c r="M4570" s="1" t="s">
        <v>2</v>
      </c>
      <c r="N4570" s="1" t="s">
        <v>38</v>
      </c>
      <c r="O4570" s="1" t="s">
        <v>46</v>
      </c>
    </row>
    <row r="4571" spans="2:15" x14ac:dyDescent="0.3">
      <c r="B4571" s="1" t="s">
        <v>23</v>
      </c>
      <c r="C4571" s="1" t="str">
        <f>"5-2차"</f>
        <v>5-2차</v>
      </c>
      <c r="D4571" s="1" t="str">
        <f>"0326Z9015M"</f>
        <v>0326Z9015M</v>
      </c>
      <c r="E4571" s="1" t="s">
        <v>10</v>
      </c>
      <c r="F4571" s="1" t="str">
        <f>"fde3:102:1440:4600:0:0:0:5"</f>
        <v>fde3:102:1440:4600:0:0:0:5</v>
      </c>
      <c r="G4571" s="1" t="str">
        <f>"0326Z901"</f>
        <v>0326Z901</v>
      </c>
      <c r="H4571" s="1" t="str">
        <f>"화수간 25L2"</f>
        <v>화수간 25L2</v>
      </c>
      <c r="I4571" s="1" t="s">
        <v>15</v>
      </c>
      <c r="J4571" s="1" t="str">
        <f>"103/103"</f>
        <v>103/103</v>
      </c>
      <c r="K4571" s="1" t="str">
        <f>"2026-07-29 14:20:53"</f>
        <v>2026-07-29 14:20:53</v>
      </c>
      <c r="L4571" s="1" t="str">
        <f>"2023-10-16 16:47:07"</f>
        <v>2023-10-16 16:47:07</v>
      </c>
      <c r="M4571" s="1" t="s">
        <v>45</v>
      </c>
      <c r="N4571" s="1" t="s">
        <v>38</v>
      </c>
      <c r="O4571" s="1" t="s">
        <v>46</v>
      </c>
    </row>
    <row r="4572" spans="2:15" x14ac:dyDescent="0.3">
      <c r="B4572" s="1" t="s">
        <v>23</v>
      </c>
      <c r="C4572" s="1" t="str">
        <f>"5-2차"</f>
        <v>5-2차</v>
      </c>
      <c r="D4572" s="1" t="str">
        <f>"0326Z9055M"</f>
        <v>0326Z9055M</v>
      </c>
      <c r="E4572" s="1" t="s">
        <v>10</v>
      </c>
      <c r="F4572" s="1" t="str">
        <f>"fde3:102:1440:4600:0:0:0:6"</f>
        <v>fde3:102:1440:4600:0:0:0:6</v>
      </c>
      <c r="G4572" s="1" t="str">
        <f>"0326Z905"</f>
        <v>0326Z905</v>
      </c>
      <c r="H4572" s="1" t="str">
        <f>"화수간 25L3"</f>
        <v>화수간 25L3</v>
      </c>
      <c r="I4572" s="1" t="s">
        <v>15</v>
      </c>
      <c r="J4572" s="1" t="str">
        <f>"47/47"</f>
        <v>47/47</v>
      </c>
      <c r="K4572" s="1" t="str">
        <f>"2026-07-29 14:20:28"</f>
        <v>2026-07-29 14:20:28</v>
      </c>
      <c r="L4572" s="1" t="str">
        <f>"2023-06-19 18:26:22"</f>
        <v>2023-06-19 18:26:22</v>
      </c>
      <c r="M4572" s="1" t="s">
        <v>45</v>
      </c>
      <c r="N4572" s="1" t="s">
        <v>38</v>
      </c>
      <c r="O4572" s="1" t="s">
        <v>46</v>
      </c>
    </row>
    <row r="4573" spans="2:15" x14ac:dyDescent="0.3">
      <c r="B4573" s="1" t="s">
        <v>23</v>
      </c>
      <c r="C4573" s="1" t="str">
        <f>"5-2차"</f>
        <v>5-2차</v>
      </c>
      <c r="D4573" s="1" t="str">
        <f>"0326Z9125S"</f>
        <v>0326Z9125S</v>
      </c>
      <c r="E4573" s="1" t="s">
        <v>10</v>
      </c>
      <c r="F4573" s="1" t="str">
        <f>"fde3:102:1440:4600:0:0:0:7"</f>
        <v>fde3:102:1440:4600:0:0:0:7</v>
      </c>
      <c r="G4573" s="1" t="str">
        <f>"0326Z912"</f>
        <v>0326Z912</v>
      </c>
      <c r="H4573" s="1" t="str">
        <f>"화수간 25L1L1"</f>
        <v>화수간 25L1L1</v>
      </c>
      <c r="I4573" s="1" t="s">
        <v>15</v>
      </c>
      <c r="J4573" s="1" t="str">
        <f>"50/59"</f>
        <v>50/59</v>
      </c>
      <c r="K4573" s="1" t="str">
        <f>"2026-07-29 14:20:29"</f>
        <v>2026-07-29 14:20:29</v>
      </c>
      <c r="L4573" s="1" t="str">
        <f>"2023-09-01 16:06:48"</f>
        <v>2023-09-01 16:06:48</v>
      </c>
      <c r="M4573" s="1" t="s">
        <v>45</v>
      </c>
      <c r="N4573" s="1" t="s">
        <v>38</v>
      </c>
      <c r="O4573" s="1" t="s">
        <v>46</v>
      </c>
    </row>
    <row r="4574" spans="2:15" x14ac:dyDescent="0.3">
      <c r="B4574" s="1" t="s">
        <v>23</v>
      </c>
      <c r="C4574" s="1" t="str">
        <f>"5-2차"</f>
        <v>5-2차</v>
      </c>
      <c r="D4574" s="1" t="str">
        <f>"0326Z9435M"</f>
        <v>0326Z9435M</v>
      </c>
      <c r="E4574" s="1" t="s">
        <v>10</v>
      </c>
      <c r="F4574" s="1" t="str">
        <f>"fde3:102:1440:4600:0:0:0:9"</f>
        <v>fde3:102:1440:4600:0:0:0:9</v>
      </c>
      <c r="G4574" s="1" t="str">
        <f>"0326Z943"</f>
        <v>0326Z943</v>
      </c>
      <c r="H4574" s="1" t="str">
        <f>"화수간 22L1"</f>
        <v>화수간 22L1</v>
      </c>
      <c r="I4574" s="1" t="s">
        <v>15</v>
      </c>
      <c r="J4574" s="1" t="str">
        <f>"28/28"</f>
        <v>28/28</v>
      </c>
      <c r="K4574" s="1" t="str">
        <f>"2026-07-29 14:20:29"</f>
        <v>2026-07-29 14:20:29</v>
      </c>
      <c r="L4574" s="1" t="str">
        <f>"2023-08-23 21:01:34"</f>
        <v>2023-08-23 21:01:34</v>
      </c>
      <c r="M4574" s="1" t="s">
        <v>45</v>
      </c>
      <c r="N4574" s="1" t="s">
        <v>38</v>
      </c>
      <c r="O4574" s="1" t="s">
        <v>46</v>
      </c>
    </row>
    <row r="4575" spans="2:15" x14ac:dyDescent="0.3">
      <c r="B4575" s="1" t="s">
        <v>23</v>
      </c>
      <c r="C4575" s="1" t="str">
        <f>"3차"</f>
        <v>3차</v>
      </c>
      <c r="D4575" s="1" t="str">
        <f>"0326Z95139"</f>
        <v>0326Z95139</v>
      </c>
      <c r="E4575" s="1" t="s">
        <v>10</v>
      </c>
      <c r="F4575" s="1" t="str">
        <f>"10.11.57.202"</f>
        <v>10.11.57.202</v>
      </c>
      <c r="G4575" s="1" t="str">
        <f>"0326Z951"</f>
        <v>0326Z951</v>
      </c>
      <c r="H4575" s="1" t="str">
        <f>"화수간 19R1"</f>
        <v>화수간 19R1</v>
      </c>
      <c r="I4575" s="1" t="s">
        <v>8</v>
      </c>
      <c r="J4575" s="1" t="str">
        <f>"19/19"</f>
        <v>19/19</v>
      </c>
      <c r="K4575" s="1" t="str">
        <f>"2026-07-29 13:18:01"</f>
        <v>2026-07-29 13:18:01</v>
      </c>
      <c r="L4575" s="1" t="str">
        <f>"2018-05-04 11:17:56"</f>
        <v>2018-05-04 11:17:56</v>
      </c>
      <c r="M4575" s="1" t="s">
        <v>2</v>
      </c>
      <c r="N4575" s="1" t="s">
        <v>38</v>
      </c>
      <c r="O4575" s="1" t="s">
        <v>46</v>
      </c>
    </row>
    <row r="4576" spans="2:15" x14ac:dyDescent="0.3">
      <c r="B4576" s="1" t="s">
        <v>23</v>
      </c>
      <c r="C4576" s="1" t="str">
        <f>"3차"</f>
        <v>3차</v>
      </c>
      <c r="D4576" s="1" t="str">
        <f>"0326Z97239"</f>
        <v>0326Z97239</v>
      </c>
      <c r="E4576" s="1" t="s">
        <v>10</v>
      </c>
      <c r="F4576" s="1" t="str">
        <f>"10.11.62.170"</f>
        <v>10.11.62.170</v>
      </c>
      <c r="G4576" s="1" t="str">
        <f>"0326Z972"</f>
        <v>0326Z972</v>
      </c>
      <c r="H4576" s="1" t="str">
        <f>"화수간 15R3L3"</f>
        <v>화수간 15R3L3</v>
      </c>
      <c r="I4576" s="1" t="s">
        <v>8</v>
      </c>
      <c r="J4576" s="1" t="str">
        <f>"102/102"</f>
        <v>102/102</v>
      </c>
      <c r="K4576" s="1" t="str">
        <f>"2026-07-29 13:18:01"</f>
        <v>2026-07-29 13:18:01</v>
      </c>
      <c r="L4576" s="1" t="str">
        <f>"2018-05-04 11:16:26"</f>
        <v>2018-05-04 11:16:26</v>
      </c>
      <c r="M4576" s="1" t="s">
        <v>2</v>
      </c>
      <c r="N4576" s="1" t="s">
        <v>38</v>
      </c>
      <c r="O4576" s="1" t="s">
        <v>46</v>
      </c>
    </row>
    <row r="4577" spans="2:15" x14ac:dyDescent="0.3">
      <c r="B4577" s="1" t="s">
        <v>23</v>
      </c>
      <c r="C4577" s="1" t="str">
        <f>"3차"</f>
        <v>3차</v>
      </c>
      <c r="D4577" s="1" t="str">
        <f>"0326Z98139"</f>
        <v>0326Z98139</v>
      </c>
      <c r="E4577" s="1" t="s">
        <v>10</v>
      </c>
      <c r="F4577" s="1" t="str">
        <f>"10.11.55.162"</f>
        <v>10.11.55.162</v>
      </c>
      <c r="G4577" s="1" t="str">
        <f>"0326Z981"</f>
        <v>0326Z981</v>
      </c>
      <c r="H4577" s="1" t="str">
        <f>"화수간 15R3L1"</f>
        <v>화수간 15R3L1</v>
      </c>
      <c r="I4577" s="1" t="s">
        <v>8</v>
      </c>
      <c r="J4577" s="1" t="str">
        <f>"43/43"</f>
        <v>43/43</v>
      </c>
      <c r="K4577" s="1" t="str">
        <f>"2026-07-29 13:18:02"</f>
        <v>2026-07-29 13:18:02</v>
      </c>
      <c r="L4577" s="1" t="str">
        <f>"2018-05-02 10:22:55"</f>
        <v>2018-05-02 10:22:55</v>
      </c>
      <c r="M4577" s="1" t="s">
        <v>2</v>
      </c>
      <c r="N4577" s="1" t="s">
        <v>38</v>
      </c>
      <c r="O4577" s="1" t="s">
        <v>46</v>
      </c>
    </row>
    <row r="4578" spans="2:15" x14ac:dyDescent="0.3">
      <c r="B4578" s="1" t="s">
        <v>23</v>
      </c>
      <c r="C4578" s="1" t="str">
        <f>"5-2차"</f>
        <v>5-2차</v>
      </c>
      <c r="D4578" s="1" t="str">
        <f>"0424A2115M"</f>
        <v>0424A2115M</v>
      </c>
      <c r="E4578" s="1" t="s">
        <v>10</v>
      </c>
      <c r="F4578" s="1" t="str">
        <f>"fde1:103:4:6ebd:0:0:0:2"</f>
        <v>fde1:103:4:6ebd:0:0:0:2</v>
      </c>
      <c r="G4578" s="1" t="str">
        <f>"0424A211"</f>
        <v>0424A211</v>
      </c>
      <c r="H4578" s="1" t="str">
        <f>"구청지 22R3L3"</f>
        <v>구청지 22R3L3</v>
      </c>
      <c r="I4578" s="1" t="s">
        <v>15</v>
      </c>
      <c r="J4578" s="1" t="str">
        <f>"108/108"</f>
        <v>108/108</v>
      </c>
      <c r="K4578" s="1" t="str">
        <f>"2026-07-29 14:21:05"</f>
        <v>2026-07-29 14:21:05</v>
      </c>
      <c r="L4578" s="1" t="str">
        <f>"2023-11-14 14:41:22"</f>
        <v>2023-11-14 14:41:22</v>
      </c>
      <c r="M4578" s="1" t="s">
        <v>4</v>
      </c>
      <c r="N4578" s="1" t="s">
        <v>38</v>
      </c>
      <c r="O4578" s="1" t="s">
        <v>46</v>
      </c>
    </row>
    <row r="4579" spans="2:15" x14ac:dyDescent="0.3">
      <c r="B4579" s="1" t="s">
        <v>23</v>
      </c>
      <c r="C4579" s="1" t="str">
        <f>"5-2차"</f>
        <v>5-2차</v>
      </c>
      <c r="D4579" s="1" t="str">
        <f>"0424A2215M"</f>
        <v>0424A2215M</v>
      </c>
      <c r="E4579" s="1" t="s">
        <v>10</v>
      </c>
      <c r="F4579" s="1" t="str">
        <f>"fde3:102:1440:1300:0:0:0:20"</f>
        <v>fde3:102:1440:1300:0:0:0:20</v>
      </c>
      <c r="G4579" s="1" t="str">
        <f>"0424A221"</f>
        <v>0424A221</v>
      </c>
      <c r="H4579" s="1" t="str">
        <f>"구청지 22R6"</f>
        <v>구청지 22R6</v>
      </c>
      <c r="I4579" s="1" t="s">
        <v>15</v>
      </c>
      <c r="J4579" s="1" t="str">
        <f>"65/65"</f>
        <v>65/65</v>
      </c>
      <c r="K4579" s="1" t="str">
        <f>"2026-07-29 14:20:21"</f>
        <v>2026-07-29 14:20:21</v>
      </c>
      <c r="L4579" s="1" t="str">
        <f>"2023-09-21 17:31:15"</f>
        <v>2023-09-21 17:31:15</v>
      </c>
      <c r="M4579" s="1" t="s">
        <v>45</v>
      </c>
      <c r="N4579" s="1" t="s">
        <v>38</v>
      </c>
      <c r="O4579" s="1" t="s">
        <v>46</v>
      </c>
    </row>
    <row r="4580" spans="2:15" x14ac:dyDescent="0.3">
      <c r="B4580" s="1" t="s">
        <v>23</v>
      </c>
      <c r="C4580" s="1" t="str">
        <f>"5-2차"</f>
        <v>5-2차</v>
      </c>
      <c r="D4580" s="1" t="str">
        <f>"0424A3035S"</f>
        <v>0424A3035S</v>
      </c>
      <c r="E4580" s="1" t="s">
        <v>10</v>
      </c>
      <c r="F4580" s="1" t="str">
        <f>"fde3:102:1440:1300:0:0:0:1a"</f>
        <v>fde3:102:1440:1300:0:0:0:1a</v>
      </c>
      <c r="G4580" s="1" t="str">
        <f>"0424A303"</f>
        <v>0424A303</v>
      </c>
      <c r="H4580" s="1" t="str">
        <f>"건대간 20R18"</f>
        <v>건대간 20R18</v>
      </c>
      <c r="I4580" s="1" t="s">
        <v>15</v>
      </c>
      <c r="J4580" s="1" t="str">
        <f>"33/33"</f>
        <v>33/33</v>
      </c>
      <c r="K4580" s="1" t="str">
        <f>"2026-07-29 14:20:27"</f>
        <v>2026-07-29 14:20:27</v>
      </c>
      <c r="L4580" s="1" t="str">
        <f>"2023-06-22 10:21:21"</f>
        <v>2023-06-22 10:21:21</v>
      </c>
      <c r="M4580" s="1" t="s">
        <v>45</v>
      </c>
      <c r="N4580" s="1" t="s">
        <v>38</v>
      </c>
      <c r="O4580" s="1" t="s">
        <v>46</v>
      </c>
    </row>
    <row r="4581" spans="2:15" x14ac:dyDescent="0.3">
      <c r="B4581" s="1" t="s">
        <v>23</v>
      </c>
      <c r="C4581" s="1" t="str">
        <f>"5-2차"</f>
        <v>5-2차</v>
      </c>
      <c r="D4581" s="1" t="str">
        <f>"0424A3125M"</f>
        <v>0424A3125M</v>
      </c>
      <c r="E4581" s="1" t="s">
        <v>10</v>
      </c>
      <c r="F4581" s="1" t="str">
        <f>"fde3:102:1440:1300:0:0:0:1b"</f>
        <v>fde3:102:1440:1300:0:0:0:1b</v>
      </c>
      <c r="G4581" s="1" t="str">
        <f>"0424A312"</f>
        <v>0424A312</v>
      </c>
      <c r="H4581" s="1" t="str">
        <f>"구청지 22R3L2"</f>
        <v>구청지 22R3L2</v>
      </c>
      <c r="I4581" s="1" t="s">
        <v>15</v>
      </c>
      <c r="J4581" s="1" t="str">
        <f>"54/54"</f>
        <v>54/54</v>
      </c>
      <c r="K4581" s="1" t="str">
        <f>"2026-07-29 14:21:04"</f>
        <v>2026-07-29 14:21:04</v>
      </c>
      <c r="L4581" s="1" t="str">
        <f>"2023-06-26 15:05:04"</f>
        <v>2023-06-26 15:05:04</v>
      </c>
      <c r="M4581" s="1" t="s">
        <v>45</v>
      </c>
      <c r="N4581" s="1" t="s">
        <v>38</v>
      </c>
      <c r="O4581" s="1" t="s">
        <v>46</v>
      </c>
    </row>
    <row r="4582" spans="2:15" x14ac:dyDescent="0.3">
      <c r="B4582" s="1" t="s">
        <v>23</v>
      </c>
      <c r="C4582" s="1" t="str">
        <f>"1차"</f>
        <v>1차</v>
      </c>
      <c r="D4582" s="1" t="str">
        <f>"0424A36201"</f>
        <v>0424A36201</v>
      </c>
      <c r="E4582" s="1" t="s">
        <v>10</v>
      </c>
      <c r="F4582" s="1" t="str">
        <f>"10.125.2.147"</f>
        <v>10.125.2.147</v>
      </c>
      <c r="G4582" s="1" t="str">
        <f>"0424A362"</f>
        <v>0424A362</v>
      </c>
      <c r="H4582" s="1" t="str">
        <f>"구청지 4R11"</f>
        <v>구청지 4R11</v>
      </c>
      <c r="I4582" s="1" t="s">
        <v>8</v>
      </c>
      <c r="J4582" s="1" t="str">
        <f>"39/39"</f>
        <v>39/39</v>
      </c>
      <c r="K4582" s="1" t="str">
        <f>"2026-07-29 13:18:03"</f>
        <v>2026-07-29 13:18:03</v>
      </c>
      <c r="L4582" s="1" t="str">
        <f>"2014-11-25 11:37:21"</f>
        <v>2014-11-25 11:37:21</v>
      </c>
      <c r="M4582" s="1" t="s">
        <v>45</v>
      </c>
      <c r="N4582" s="1" t="s">
        <v>38</v>
      </c>
      <c r="O4582" s="1" t="s">
        <v>46</v>
      </c>
    </row>
    <row r="4583" spans="2:15" x14ac:dyDescent="0.3">
      <c r="B4583" s="1" t="s">
        <v>23</v>
      </c>
      <c r="C4583" s="1" t="str">
        <f>"4차"</f>
        <v>4차</v>
      </c>
      <c r="D4583" s="1" t="str">
        <f>"0424A38139"</f>
        <v>0424A38139</v>
      </c>
      <c r="E4583" s="1" t="s">
        <v>10</v>
      </c>
      <c r="F4583" s="1" t="str">
        <f>"10.11.52.130"</f>
        <v>10.11.52.130</v>
      </c>
      <c r="G4583" s="1" t="str">
        <f>"0424A381"</f>
        <v>0424A381</v>
      </c>
      <c r="H4583" s="1" t="str">
        <f>"구청지 4R8R3"</f>
        <v>구청지 4R8R3</v>
      </c>
      <c r="I4583" s="1" t="s">
        <v>8</v>
      </c>
      <c r="J4583" s="1" t="str">
        <f>"31/31"</f>
        <v>31/31</v>
      </c>
      <c r="K4583" s="1" t="str">
        <f>"2026-07-29 13:18:03"</f>
        <v>2026-07-29 13:18:03</v>
      </c>
      <c r="L4583" s="1" t="str">
        <f>"2018-06-14 09:06:39"</f>
        <v>2018-06-14 09:06:39</v>
      </c>
      <c r="M4583" s="1" t="s">
        <v>2</v>
      </c>
      <c r="N4583" s="1" t="s">
        <v>38</v>
      </c>
      <c r="O4583" s="1" t="s">
        <v>46</v>
      </c>
    </row>
    <row r="4584" spans="2:15" x14ac:dyDescent="0.3">
      <c r="B4584" s="1" t="s">
        <v>23</v>
      </c>
      <c r="C4584" s="1" t="str">
        <f>"3차"</f>
        <v>3차</v>
      </c>
      <c r="D4584" s="1" t="str">
        <f>"0424A38239"</f>
        <v>0424A38239</v>
      </c>
      <c r="E4584" s="1" t="s">
        <v>10</v>
      </c>
      <c r="F4584" s="1" t="str">
        <f>"10.11.59.130"</f>
        <v>10.11.59.130</v>
      </c>
      <c r="G4584" s="1" t="str">
        <f>"0424A382"</f>
        <v>0424A382</v>
      </c>
      <c r="H4584" s="1" t="str">
        <f>"구청지 4R8R4"</f>
        <v>구청지 4R8R4</v>
      </c>
      <c r="I4584" s="1" t="s">
        <v>8</v>
      </c>
      <c r="J4584" s="1" t="str">
        <f>"73/73"</f>
        <v>73/73</v>
      </c>
      <c r="K4584" s="1" t="str">
        <f>"2026-07-29 13:18:03"</f>
        <v>2026-07-29 13:18:03</v>
      </c>
      <c r="L4584" s="1" t="str">
        <f>"2018-03-26 09:59:08"</f>
        <v>2018-03-26 09:59:08</v>
      </c>
      <c r="M4584" s="1" t="s">
        <v>2</v>
      </c>
      <c r="N4584" s="1" t="s">
        <v>38</v>
      </c>
      <c r="O4584" s="1" t="s">
        <v>46</v>
      </c>
    </row>
    <row r="4585" spans="2:15" x14ac:dyDescent="0.3">
      <c r="B4585" s="1" t="s">
        <v>23</v>
      </c>
      <c r="C4585" s="1" t="str">
        <f>"3차"</f>
        <v>3차</v>
      </c>
      <c r="D4585" s="1" t="str">
        <f>"0424A38330"</f>
        <v>0424A38330</v>
      </c>
      <c r="E4585" s="1" t="s">
        <v>10</v>
      </c>
      <c r="F4585" s="1" t="str">
        <f>"10.11.52.138"</f>
        <v>10.11.52.138</v>
      </c>
      <c r="G4585" s="1" t="str">
        <f>"0424A383"</f>
        <v>0424A383</v>
      </c>
      <c r="H4585" s="1" t="str">
        <f>"구청지 4R8R3R1"</f>
        <v>구청지 4R8R3R1</v>
      </c>
      <c r="I4585" s="1" t="s">
        <v>8</v>
      </c>
      <c r="J4585" s="1" t="str">
        <f>"27/27"</f>
        <v>27/27</v>
      </c>
      <c r="K4585" s="1" t="str">
        <f>"2026-07-29 13:18:02"</f>
        <v>2026-07-29 13:18:02</v>
      </c>
      <c r="L4585" s="1" t="str">
        <f>"2018-03-26 10:38:22"</f>
        <v>2018-03-26 10:38:22</v>
      </c>
      <c r="M4585" s="1" t="s">
        <v>2</v>
      </c>
      <c r="N4585" s="1" t="s">
        <v>38</v>
      </c>
      <c r="O4585" s="1" t="s">
        <v>46</v>
      </c>
    </row>
    <row r="4586" spans="2:15" x14ac:dyDescent="0.3">
      <c r="B4586" s="1" t="s">
        <v>23</v>
      </c>
      <c r="C4586" s="1" t="str">
        <f>"5-2차"</f>
        <v>5-2차</v>
      </c>
      <c r="D4586" s="1" t="str">
        <f>"0424A3915S"</f>
        <v>0424A3915S</v>
      </c>
      <c r="E4586" s="1" t="s">
        <v>10</v>
      </c>
      <c r="F4586" s="1" t="str">
        <f>"fde3:102:1440:1500:0:0:0:b"</f>
        <v>fde3:102:1440:1500:0:0:0:b</v>
      </c>
      <c r="G4586" s="1" t="str">
        <f>"0424A391"</f>
        <v>0424A391</v>
      </c>
      <c r="H4586" s="1" t="str">
        <f>"구청지 4R8R3R3"</f>
        <v>구청지 4R8R3R3</v>
      </c>
      <c r="I4586" s="1" t="s">
        <v>15</v>
      </c>
      <c r="J4586" s="1" t="str">
        <f>"33/42"</f>
        <v>33/42</v>
      </c>
      <c r="K4586" s="1" t="str">
        <f>"2026-07-29 14:21:04"</f>
        <v>2026-07-29 14:21:04</v>
      </c>
      <c r="L4586" s="1" t="str">
        <f>"2023-06-22 15:21:52"</f>
        <v>2023-06-22 15:21:52</v>
      </c>
      <c r="M4586" s="1" t="s">
        <v>45</v>
      </c>
      <c r="N4586" s="1" t="s">
        <v>38</v>
      </c>
      <c r="O4586" s="1" t="s">
        <v>46</v>
      </c>
    </row>
    <row r="4587" spans="2:15" x14ac:dyDescent="0.3">
      <c r="B4587" s="1" t="s">
        <v>23</v>
      </c>
      <c r="C4587" s="1" t="str">
        <f>"1차"</f>
        <v>1차</v>
      </c>
      <c r="D4587" s="1" t="str">
        <f>"0424A46200"</f>
        <v>0424A46200</v>
      </c>
      <c r="E4587" s="1" t="s">
        <v>10</v>
      </c>
      <c r="F4587" s="1" t="str">
        <f>"10.125.2.146"</f>
        <v>10.125.2.146</v>
      </c>
      <c r="G4587" s="1" t="str">
        <f>"0424A462"</f>
        <v>0424A462</v>
      </c>
      <c r="H4587" s="1" t="str">
        <f>"구청지 4R10"</f>
        <v>구청지 4R10</v>
      </c>
      <c r="I4587" s="1" t="s">
        <v>8</v>
      </c>
      <c r="J4587" s="1" t="str">
        <f>"37/37"</f>
        <v>37/37</v>
      </c>
      <c r="K4587" s="1" t="str">
        <f>"2026-07-29 13:18:02"</f>
        <v>2026-07-29 13:18:02</v>
      </c>
      <c r="L4587" s="1" t="str">
        <f>"2014-11-24 14:41:28"</f>
        <v>2014-11-24 14:41:28</v>
      </c>
      <c r="M4587" s="1" t="s">
        <v>45</v>
      </c>
      <c r="N4587" s="1" t="s">
        <v>38</v>
      </c>
      <c r="O4587" s="1" t="s">
        <v>46</v>
      </c>
    </row>
    <row r="4588" spans="2:15" x14ac:dyDescent="0.3">
      <c r="B4588" s="1" t="s">
        <v>23</v>
      </c>
      <c r="C4588" s="1" t="str">
        <f>"4차"</f>
        <v>4차</v>
      </c>
      <c r="D4588" s="1" t="str">
        <f>"0424A47139"</f>
        <v>0424A47139</v>
      </c>
      <c r="E4588" s="1" t="s">
        <v>10</v>
      </c>
      <c r="F4588" s="1" t="str">
        <f>"10.11.59.122"</f>
        <v>10.11.59.122</v>
      </c>
      <c r="G4588" s="1" t="str">
        <f>"0424A471"</f>
        <v>0424A471</v>
      </c>
      <c r="H4588" s="1" t="str">
        <f>"구청지 4R8R1"</f>
        <v>구청지 4R8R1</v>
      </c>
      <c r="I4588" s="1" t="s">
        <v>8</v>
      </c>
      <c r="J4588" s="1" t="str">
        <f>"99/121"</f>
        <v>99/121</v>
      </c>
      <c r="K4588" s="1" t="str">
        <f>"2026-07-29 13:18:03"</f>
        <v>2026-07-29 13:18:03</v>
      </c>
      <c r="L4588" s="1" t="str">
        <f>"2018-03-27 09:49:41"</f>
        <v>2018-03-27 09:49:41</v>
      </c>
      <c r="M4588" s="1" t="s">
        <v>2</v>
      </c>
      <c r="N4588" s="1" t="s">
        <v>38</v>
      </c>
      <c r="O4588" s="1" t="s">
        <v>46</v>
      </c>
    </row>
    <row r="4589" spans="2:15" x14ac:dyDescent="0.3">
      <c r="B4589" s="1" t="s">
        <v>23</v>
      </c>
      <c r="C4589" s="1" t="str">
        <f>"4차"</f>
        <v>4차</v>
      </c>
      <c r="D4589" s="1" t="str">
        <f>"0424A49231"</f>
        <v>0424A49231</v>
      </c>
      <c r="E4589" s="1" t="s">
        <v>10</v>
      </c>
      <c r="F4589" s="1" t="str">
        <f>"10.11.52.139"</f>
        <v>10.11.52.139</v>
      </c>
      <c r="G4589" s="1" t="str">
        <f>"0424A492"</f>
        <v>0424A492</v>
      </c>
      <c r="H4589" s="1" t="str">
        <f>"구청지 4R8R3R2"</f>
        <v>구청지 4R8R3R2</v>
      </c>
      <c r="I4589" s="1" t="s">
        <v>8</v>
      </c>
      <c r="J4589" s="1" t="str">
        <f>"27/27"</f>
        <v>27/27</v>
      </c>
      <c r="K4589" s="1" t="str">
        <f>"2026-07-29 13:18:03"</f>
        <v>2026-07-29 13:18:03</v>
      </c>
      <c r="L4589" s="1" t="str">
        <f>"2018-06-08 15:36:44"</f>
        <v>2018-06-08 15:36:44</v>
      </c>
      <c r="M4589" s="1" t="s">
        <v>2</v>
      </c>
      <c r="N4589" s="1" t="s">
        <v>38</v>
      </c>
      <c r="O4589" s="1" t="s">
        <v>46</v>
      </c>
    </row>
    <row r="4590" spans="2:15" x14ac:dyDescent="0.3">
      <c r="B4590" s="1" t="s">
        <v>23</v>
      </c>
      <c r="C4590" s="1" t="str">
        <f>"4차"</f>
        <v>4차</v>
      </c>
      <c r="D4590" s="1" t="str">
        <f>"0424A49331"</f>
        <v>0424A49331</v>
      </c>
      <c r="E4590" s="1" t="s">
        <v>10</v>
      </c>
      <c r="F4590" s="1" t="str">
        <f>"10.11.52.115"</f>
        <v>10.11.52.115</v>
      </c>
      <c r="G4590" s="1" t="str">
        <f>"0424A493"</f>
        <v>0424A493</v>
      </c>
      <c r="H4590" s="1" t="str">
        <f>"구청지 4R6R2"</f>
        <v>구청지 4R6R2</v>
      </c>
      <c r="I4590" s="1" t="s">
        <v>8</v>
      </c>
      <c r="J4590" s="1" t="str">
        <f>"41/41"</f>
        <v>41/41</v>
      </c>
      <c r="K4590" s="1" t="str">
        <f>"2026-07-29 13:18:03"</f>
        <v>2026-07-29 13:18:03</v>
      </c>
      <c r="L4590" s="1" t="str">
        <f>"2018-06-08 15:22:58"</f>
        <v>2018-06-08 15:22:58</v>
      </c>
      <c r="M4590" s="1" t="s">
        <v>2</v>
      </c>
      <c r="N4590" s="1" t="s">
        <v>38</v>
      </c>
      <c r="O4590" s="1" t="s">
        <v>46</v>
      </c>
    </row>
    <row r="4591" spans="2:15" x14ac:dyDescent="0.3">
      <c r="B4591" s="1" t="s">
        <v>23</v>
      </c>
      <c r="C4591" s="1" t="str">
        <f>"6차"</f>
        <v>6차</v>
      </c>
      <c r="D4591" s="1" t="str">
        <f>"0424A5146S"</f>
        <v>0424A5146S</v>
      </c>
      <c r="E4591" s="1" t="s">
        <v>10</v>
      </c>
      <c r="F4591" s="1" t="str">
        <f>"fde1:103:4:91e7:0:0:0:2"</f>
        <v>fde1:103:4:91e7:0:0:0:2</v>
      </c>
      <c r="G4591" s="1" t="str">
        <f>"0424A514"</f>
        <v>0424A514</v>
      </c>
      <c r="H4591" s="1" t="str">
        <f>"양구간 38H1"</f>
        <v>양구간 38H1</v>
      </c>
      <c r="I4591" s="1" t="s">
        <v>15</v>
      </c>
      <c r="J4591" s="1" t="str">
        <f>"36/43"</f>
        <v>36/43</v>
      </c>
      <c r="K4591" s="1" t="str">
        <f>"2026-07-29 14:20:26"</f>
        <v>2026-07-29 14:20:26</v>
      </c>
      <c r="L4591" s="1" t="str">
        <f>"2024-10-10 10:34:22"</f>
        <v>2024-10-10 10:34:22</v>
      </c>
      <c r="M4591" s="1" t="s">
        <v>4</v>
      </c>
      <c r="N4591" s="1" t="s">
        <v>38</v>
      </c>
      <c r="O4591" s="1" t="s">
        <v>46</v>
      </c>
    </row>
    <row r="4592" spans="2:15" x14ac:dyDescent="0.3">
      <c r="B4592" s="1" t="s">
        <v>23</v>
      </c>
      <c r="C4592" s="1" t="str">
        <f>"6차"</f>
        <v>6차</v>
      </c>
      <c r="D4592" s="1" t="str">
        <f>"0424A5526S"</f>
        <v>0424A5526S</v>
      </c>
      <c r="E4592" s="1" t="s">
        <v>10</v>
      </c>
      <c r="F4592" s="1" t="str">
        <f>"fde1:103:4:9102:0:0:0:2"</f>
        <v>fde1:103:4:9102:0:0:0:2</v>
      </c>
      <c r="G4592" s="1" t="str">
        <f>"0424A552"</f>
        <v>0424A552</v>
      </c>
      <c r="H4592" s="1" t="str">
        <f>"구청지 15R1"</f>
        <v>구청지 15R1</v>
      </c>
      <c r="I4592" s="1" t="s">
        <v>15</v>
      </c>
      <c r="J4592" s="1" t="str">
        <f>"56/56"</f>
        <v>56/56</v>
      </c>
      <c r="K4592" s="1" t="str">
        <f>"2026-07-29 14:21:06"</f>
        <v>2026-07-29 14:21:06</v>
      </c>
      <c r="L4592" s="1" t="str">
        <f>"2024-09-25 19:44:10"</f>
        <v>2024-09-25 19:44:10</v>
      </c>
      <c r="M4592" s="1" t="s">
        <v>4</v>
      </c>
      <c r="N4592" s="1" t="s">
        <v>38</v>
      </c>
      <c r="O4592" s="1" t="s">
        <v>46</v>
      </c>
    </row>
    <row r="4593" spans="2:15" x14ac:dyDescent="0.3">
      <c r="B4593" s="1" t="s">
        <v>23</v>
      </c>
      <c r="C4593" s="1" t="str">
        <f>"4차"</f>
        <v>4차</v>
      </c>
      <c r="D4593" s="1" t="str">
        <f>"0424A56339"</f>
        <v>0424A56339</v>
      </c>
      <c r="E4593" s="1" t="s">
        <v>10</v>
      </c>
      <c r="F4593" s="1" t="str">
        <f>"10.11.56.154"</f>
        <v>10.11.56.154</v>
      </c>
      <c r="G4593" s="1" t="str">
        <f>"0424A563"</f>
        <v>0424A563</v>
      </c>
      <c r="H4593" s="1" t="str">
        <f>"구청지 14R2"</f>
        <v>구청지 14R2</v>
      </c>
      <c r="I4593" s="1" t="s">
        <v>8</v>
      </c>
      <c r="J4593" s="1" t="str">
        <f>"60/66"</f>
        <v>60/66</v>
      </c>
      <c r="K4593" s="1" t="str">
        <f>"2026-07-29 13:18:02"</f>
        <v>2026-07-29 13:18:02</v>
      </c>
      <c r="L4593" s="1" t="str">
        <f>"2018-04-24 13:39:10"</f>
        <v>2018-04-24 13:39:10</v>
      </c>
      <c r="M4593" s="1" t="s">
        <v>2</v>
      </c>
      <c r="N4593" s="1" t="s">
        <v>38</v>
      </c>
      <c r="O4593" s="1" t="s">
        <v>46</v>
      </c>
    </row>
    <row r="4594" spans="2:15" x14ac:dyDescent="0.3">
      <c r="B4594" s="1" t="s">
        <v>23</v>
      </c>
      <c r="C4594" s="1" t="str">
        <f>"3차"</f>
        <v>3차</v>
      </c>
      <c r="D4594" s="1" t="str">
        <f>"0424A57139"</f>
        <v>0424A57139</v>
      </c>
      <c r="E4594" s="1" t="s">
        <v>10</v>
      </c>
      <c r="F4594" s="1" t="str">
        <f>"10.11.59.114"</f>
        <v>10.11.59.114</v>
      </c>
      <c r="G4594" s="1" t="str">
        <f>"0424A571"</f>
        <v>0424A571</v>
      </c>
      <c r="H4594" s="1" t="str">
        <f>"구청지 4R8"</f>
        <v>구청지 4R8</v>
      </c>
      <c r="I4594" s="1" t="s">
        <v>8</v>
      </c>
      <c r="J4594" s="1" t="str">
        <f>"33/40"</f>
        <v>33/40</v>
      </c>
      <c r="K4594" s="1" t="str">
        <f>"2026-07-29 13:18:02"</f>
        <v>2026-07-29 13:18:02</v>
      </c>
      <c r="L4594" s="1" t="str">
        <f>"2018-03-26 09:51:37"</f>
        <v>2018-03-26 09:51:37</v>
      </c>
      <c r="M4594" s="1" t="s">
        <v>2</v>
      </c>
      <c r="N4594" s="1" t="s">
        <v>38</v>
      </c>
      <c r="O4594" s="1" t="s">
        <v>46</v>
      </c>
    </row>
    <row r="4595" spans="2:15" x14ac:dyDescent="0.3">
      <c r="B4595" s="1" t="s">
        <v>23</v>
      </c>
      <c r="C4595" s="1" t="str">
        <f>"4차"</f>
        <v>4차</v>
      </c>
      <c r="D4595" s="1" t="str">
        <f>"0424A58139"</f>
        <v>0424A58139</v>
      </c>
      <c r="E4595" s="1" t="s">
        <v>10</v>
      </c>
      <c r="F4595" s="1" t="str">
        <f>"10.11.52.122"</f>
        <v>10.11.52.122</v>
      </c>
      <c r="G4595" s="1" t="str">
        <f>"0424A581"</f>
        <v>0424A581</v>
      </c>
      <c r="H4595" s="1" t="str">
        <f>"구청지 4R7"</f>
        <v>구청지 4R7</v>
      </c>
      <c r="I4595" s="1" t="s">
        <v>8</v>
      </c>
      <c r="J4595" s="1" t="str">
        <f>"49/51"</f>
        <v>49/51</v>
      </c>
      <c r="K4595" s="1" t="str">
        <f>"2026-07-29 13:18:03"</f>
        <v>2026-07-29 13:18:03</v>
      </c>
      <c r="L4595" s="1" t="str">
        <f>"2018-03-26 09:42:53"</f>
        <v>2018-03-26 09:42:53</v>
      </c>
      <c r="M4595" s="1" t="s">
        <v>2</v>
      </c>
      <c r="N4595" s="1" t="s">
        <v>38</v>
      </c>
      <c r="O4595" s="1" t="s">
        <v>46</v>
      </c>
    </row>
    <row r="4596" spans="2:15" x14ac:dyDescent="0.3">
      <c r="B4596" s="1" t="s">
        <v>23</v>
      </c>
      <c r="C4596" s="1" t="str">
        <f>"4차"</f>
        <v>4차</v>
      </c>
      <c r="D4596" s="1" t="str">
        <f>"0424A59130"</f>
        <v>0424A59130</v>
      </c>
      <c r="E4596" s="1" t="s">
        <v>10</v>
      </c>
      <c r="F4596" s="1" t="str">
        <f>"10.11.52.114"</f>
        <v>10.11.52.114</v>
      </c>
      <c r="G4596" s="1" t="str">
        <f>"0424A591"</f>
        <v>0424A591</v>
      </c>
      <c r="H4596" s="1" t="str">
        <f>"구청지 4R6R1"</f>
        <v>구청지 4R6R1</v>
      </c>
      <c r="I4596" s="1" t="s">
        <v>8</v>
      </c>
      <c r="J4596" s="1" t="str">
        <f>"56/56"</f>
        <v>56/56</v>
      </c>
      <c r="K4596" s="1" t="str">
        <f>"2026-07-29 13:18:03"</f>
        <v>2026-07-29 13:18:03</v>
      </c>
      <c r="L4596" s="1" t="str">
        <f>"2018-03-23 15:19:41"</f>
        <v>2018-03-23 15:19:41</v>
      </c>
      <c r="M4596" s="1" t="s">
        <v>2</v>
      </c>
      <c r="N4596" s="1" t="s">
        <v>38</v>
      </c>
      <c r="O4596" s="1" t="s">
        <v>46</v>
      </c>
    </row>
    <row r="4597" spans="2:15" x14ac:dyDescent="0.3">
      <c r="B4597" s="1" t="s">
        <v>23</v>
      </c>
      <c r="C4597" s="1" t="str">
        <f>"5-1차"</f>
        <v>5-1차</v>
      </c>
      <c r="D4597" s="1" t="str">
        <f>"0424A6425M"</f>
        <v>0424A6425M</v>
      </c>
      <c r="E4597" s="1" t="s">
        <v>10</v>
      </c>
      <c r="F4597" s="1" t="str">
        <f>"fde3:102:1440:1300:0:0:0:2"</f>
        <v>fde3:102:1440:1300:0:0:0:2</v>
      </c>
      <c r="G4597" s="1" t="str">
        <f>"0424A642"</f>
        <v>0424A642</v>
      </c>
      <c r="H4597" s="1" t="str">
        <f>"양구간 34"</f>
        <v>양구간 34</v>
      </c>
      <c r="I4597" s="1" t="s">
        <v>15</v>
      </c>
      <c r="J4597" s="1" t="str">
        <f>"52/52"</f>
        <v>52/52</v>
      </c>
      <c r="K4597" s="1" t="str">
        <f>"2026-07-29 14:21:06"</f>
        <v>2026-07-29 14:21:06</v>
      </c>
      <c r="L4597" s="1" t="str">
        <f>"2022-10-25 17:03:57"</f>
        <v>2022-10-25 17:03:57</v>
      </c>
      <c r="M4597" s="1" t="s">
        <v>45</v>
      </c>
      <c r="N4597" s="1" t="s">
        <v>38</v>
      </c>
      <c r="O4597" s="1" t="s">
        <v>46</v>
      </c>
    </row>
    <row r="4598" spans="2:15" x14ac:dyDescent="0.3">
      <c r="B4598" s="1" t="s">
        <v>23</v>
      </c>
      <c r="C4598" s="1" t="str">
        <f>"3차"</f>
        <v>3차</v>
      </c>
      <c r="D4598" s="1" t="str">
        <f>"0424A69139"</f>
        <v>0424A69139</v>
      </c>
      <c r="E4598" s="1" t="s">
        <v>10</v>
      </c>
      <c r="F4598" s="1" t="str">
        <f>"10.11.59.82"</f>
        <v>10.11.59.82</v>
      </c>
      <c r="G4598" s="1" t="str">
        <f>"0424A691"</f>
        <v>0424A691</v>
      </c>
      <c r="H4598" s="1" t="str">
        <f>"구청지 4R5"</f>
        <v>구청지 4R5</v>
      </c>
      <c r="I4598" s="1" t="s">
        <v>8</v>
      </c>
      <c r="J4598" s="1" t="str">
        <f>"45/45"</f>
        <v>45/45</v>
      </c>
      <c r="K4598" s="1" t="str">
        <f>"2026-07-29 13:18:03"</f>
        <v>2026-07-29 13:18:03</v>
      </c>
      <c r="L4598" s="1" t="str">
        <f>"2018-03-26 09:28:07"</f>
        <v>2018-03-26 09:28:07</v>
      </c>
      <c r="M4598" s="1" t="s">
        <v>2</v>
      </c>
      <c r="N4598" s="1" t="s">
        <v>38</v>
      </c>
      <c r="O4598" s="1" t="s">
        <v>46</v>
      </c>
    </row>
    <row r="4599" spans="2:15" x14ac:dyDescent="0.3">
      <c r="B4599" s="1" t="s">
        <v>23</v>
      </c>
      <c r="C4599" s="1" t="str">
        <f>"5-1차"</f>
        <v>5-1차</v>
      </c>
      <c r="D4599" s="1" t="str">
        <f>"0424A7015M"</f>
        <v>0424A7015M</v>
      </c>
      <c r="E4599" s="1" t="s">
        <v>10</v>
      </c>
      <c r="F4599" s="1" t="str">
        <f>"fde3:102:1440:1400:0:0:0:3"</f>
        <v>fde3:102:1440:1400:0:0:0:3</v>
      </c>
      <c r="G4599" s="1" t="str">
        <f>"0424A701"</f>
        <v>0424A701</v>
      </c>
      <c r="H4599" s="1" t="str">
        <f>"양구간 38L3R2"</f>
        <v>양구간 38L3R2</v>
      </c>
      <c r="I4599" s="1" t="s">
        <v>15</v>
      </c>
      <c r="J4599" s="1" t="str">
        <f>"22/23"</f>
        <v>22/23</v>
      </c>
      <c r="K4599" s="1" t="str">
        <f>"2026-07-29 14:20:22"</f>
        <v>2026-07-29 14:20:22</v>
      </c>
      <c r="L4599" s="1" t="str">
        <f>"2022-10-25 15:36:26"</f>
        <v>2022-10-25 15:36:26</v>
      </c>
      <c r="M4599" s="1" t="s">
        <v>45</v>
      </c>
      <c r="N4599" s="1" t="s">
        <v>38</v>
      </c>
      <c r="O4599" s="1" t="s">
        <v>46</v>
      </c>
    </row>
    <row r="4600" spans="2:15" x14ac:dyDescent="0.3">
      <c r="B4600" s="1" t="s">
        <v>23</v>
      </c>
      <c r="C4600" s="1" t="str">
        <f>"4차"</f>
        <v>4차</v>
      </c>
      <c r="D4600" s="1" t="str">
        <f>"0424A71142"</f>
        <v>0424A71142</v>
      </c>
      <c r="E4600" s="1" t="s">
        <v>10</v>
      </c>
      <c r="F4600" s="1" t="str">
        <f>"10.12.133.27"</f>
        <v>10.12.133.27</v>
      </c>
      <c r="G4600" s="1" t="str">
        <f>"0424A711"</f>
        <v>0424A711</v>
      </c>
      <c r="H4600" s="1" t="str">
        <f>"양구간 38L3"</f>
        <v>양구간 38L3</v>
      </c>
      <c r="I4600" s="1" t="s">
        <v>8</v>
      </c>
      <c r="J4600" s="1" t="str">
        <f>"79/79"</f>
        <v>79/79</v>
      </c>
      <c r="K4600" s="1" t="str">
        <f>"2026-07-29 13:18:03"</f>
        <v>2026-07-29 13:18:03</v>
      </c>
      <c r="L4600" s="1" t="str">
        <f>"2024-12-23 17:05:54"</f>
        <v>2024-12-23 17:05:54</v>
      </c>
      <c r="M4600" s="1" t="s">
        <v>0</v>
      </c>
      <c r="N4600" s="1" t="s">
        <v>38</v>
      </c>
      <c r="O4600" s="1" t="s">
        <v>46</v>
      </c>
    </row>
    <row r="4601" spans="2:15" x14ac:dyDescent="0.3">
      <c r="B4601" s="1" t="s">
        <v>23</v>
      </c>
      <c r="C4601" s="1" t="str">
        <f>"5-1차"</f>
        <v>5-1차</v>
      </c>
      <c r="D4601" s="1" t="str">
        <f>"0424A7145M"</f>
        <v>0424A7145M</v>
      </c>
      <c r="E4601" s="1" t="s">
        <v>10</v>
      </c>
      <c r="F4601" s="1" t="str">
        <f>"fde3:102:1440:1400:0:0:0:4"</f>
        <v>fde3:102:1440:1400:0:0:0:4</v>
      </c>
      <c r="G4601" s="1" t="str">
        <f>"0424A714"</f>
        <v>0424A714</v>
      </c>
      <c r="H4601" s="1" t="str">
        <f>"양구간 38L3R2H1"</f>
        <v>양구간 38L3R2H1</v>
      </c>
      <c r="I4601" s="1" t="s">
        <v>15</v>
      </c>
      <c r="J4601" s="1" t="str">
        <f>"106/106"</f>
        <v>106/106</v>
      </c>
      <c r="K4601" s="1" t="str">
        <f>"2026-07-29 14:20:22"</f>
        <v>2026-07-29 14:20:22</v>
      </c>
      <c r="L4601" s="1" t="str">
        <f>"2022-10-25 16:08:57"</f>
        <v>2022-10-25 16:08:57</v>
      </c>
      <c r="M4601" s="1" t="s">
        <v>45</v>
      </c>
      <c r="N4601" s="1" t="s">
        <v>38</v>
      </c>
      <c r="O4601" s="1" t="s">
        <v>46</v>
      </c>
    </row>
    <row r="4602" spans="2:15" x14ac:dyDescent="0.3">
      <c r="B4602" s="1" t="s">
        <v>23</v>
      </c>
      <c r="C4602" s="1" t="str">
        <f>"1차"</f>
        <v>1차</v>
      </c>
      <c r="D4602" s="1" t="str">
        <f>"0424A72200"</f>
        <v>0424A72200</v>
      </c>
      <c r="E4602" s="1" t="str">
        <f>"검침실패(3시간 이상)"</f>
        <v>검침실패(3시간 이상)</v>
      </c>
      <c r="F4602" s="1" t="str">
        <f>"10.125.2.154"</f>
        <v>10.125.2.154</v>
      </c>
      <c r="G4602" s="1" t="str">
        <f>"0424A722"</f>
        <v>0424A722</v>
      </c>
      <c r="H4602" s="1" t="str">
        <f>"양구간 38L3L1"</f>
        <v>양구간 38L3L1</v>
      </c>
      <c r="I4602" s="1" t="s">
        <v>8</v>
      </c>
      <c r="J4602" s="1" t="str">
        <f>"0/49"</f>
        <v>0/49</v>
      </c>
      <c r="K4602" s="1" t="str">
        <f>"2026-07-29 13:18:00"</f>
        <v>2026-07-29 13:18:00</v>
      </c>
      <c r="L4602" s="1" t="str">
        <f>"2014-11-24 14:42:37"</f>
        <v>2014-11-24 14:42:37</v>
      </c>
      <c r="M4602" s="1" t="s">
        <v>45</v>
      </c>
      <c r="N4602" s="1" t="s">
        <v>38</v>
      </c>
      <c r="O4602" s="1" t="s">
        <v>46</v>
      </c>
    </row>
    <row r="4603" spans="2:15" x14ac:dyDescent="0.3">
      <c r="B4603" s="1" t="s">
        <v>23</v>
      </c>
      <c r="C4603" s="1" t="str">
        <f>"4차"</f>
        <v>4차</v>
      </c>
      <c r="D4603" s="1" t="str">
        <f>"0424A75142"</f>
        <v>0424A75142</v>
      </c>
      <c r="E4603" s="1" t="s">
        <v>10</v>
      </c>
      <c r="F4603" s="1" t="str">
        <f>"10.125.2.162"</f>
        <v>10.125.2.162</v>
      </c>
      <c r="G4603" s="1" t="str">
        <f>"0424A751"</f>
        <v>0424A751</v>
      </c>
      <c r="H4603" s="1" t="str">
        <f>"양구간 28L3R3R1"</f>
        <v>양구간 28L3R3R1</v>
      </c>
      <c r="I4603" s="1" t="s">
        <v>8</v>
      </c>
      <c r="J4603" s="1" t="str">
        <f>"37/37"</f>
        <v>37/37</v>
      </c>
      <c r="K4603" s="1" t="str">
        <f>"2026-07-29 13:18:02"</f>
        <v>2026-07-29 13:18:02</v>
      </c>
      <c r="L4603" s="1" t="str">
        <f>"2025-07-28 17:22:52"</f>
        <v>2025-07-28 17:22:52</v>
      </c>
      <c r="M4603" s="1" t="s">
        <v>45</v>
      </c>
      <c r="N4603" s="1" t="s">
        <v>38</v>
      </c>
      <c r="O4603" s="1" t="s">
        <v>46</v>
      </c>
    </row>
    <row r="4604" spans="2:15" x14ac:dyDescent="0.3">
      <c r="B4604" s="1" t="s">
        <v>23</v>
      </c>
      <c r="C4604" s="1" t="str">
        <f>"1차"</f>
        <v>1차</v>
      </c>
      <c r="D4604" s="1" t="str">
        <f>"0424A77101"</f>
        <v>0424A77101</v>
      </c>
      <c r="E4604" s="1" t="s">
        <v>10</v>
      </c>
      <c r="F4604" s="1" t="str">
        <f>"10.125.2.171"</f>
        <v>10.125.2.171</v>
      </c>
      <c r="G4604" s="1" t="str">
        <f>"0424A771"</f>
        <v>0424A771</v>
      </c>
      <c r="H4604" s="1" t="str">
        <f>"양구간 28L1"</f>
        <v>양구간 28L1</v>
      </c>
      <c r="I4604" s="1" t="s">
        <v>8</v>
      </c>
      <c r="J4604" s="1" t="str">
        <f>"14/14"</f>
        <v>14/14</v>
      </c>
      <c r="K4604" s="1" t="str">
        <f>"2026-07-29 13:18:03"</f>
        <v>2026-07-29 13:18:03</v>
      </c>
      <c r="L4604" s="1" t="str">
        <f>"2014-11-26 18:12:38"</f>
        <v>2014-11-26 18:12:38</v>
      </c>
      <c r="M4604" s="1" t="s">
        <v>45</v>
      </c>
      <c r="N4604" s="1" t="s">
        <v>38</v>
      </c>
      <c r="O4604" s="1" t="s">
        <v>46</v>
      </c>
    </row>
    <row r="4605" spans="2:15" x14ac:dyDescent="0.3">
      <c r="B4605" s="1" t="s">
        <v>23</v>
      </c>
      <c r="C4605" s="1" t="str">
        <f>"1차"</f>
        <v>1차</v>
      </c>
      <c r="D4605" s="1" t="str">
        <f>"0424A77200"</f>
        <v>0424A77200</v>
      </c>
      <c r="E4605" s="1" t="s">
        <v>10</v>
      </c>
      <c r="F4605" s="1" t="str">
        <f>"10.125.2.170"</f>
        <v>10.125.2.170</v>
      </c>
      <c r="G4605" s="1" t="str">
        <f>"0424A772"</f>
        <v>0424A772</v>
      </c>
      <c r="H4605" s="1" t="str">
        <f>"양구간 29"</f>
        <v>양구간 29</v>
      </c>
      <c r="I4605" s="1" t="s">
        <v>8</v>
      </c>
      <c r="J4605" s="1" t="str">
        <f>"7/7"</f>
        <v>7/7</v>
      </c>
      <c r="K4605" s="1" t="str">
        <f>"2026-07-29 13:18:02"</f>
        <v>2026-07-29 13:18:02</v>
      </c>
      <c r="L4605" s="1" t="str">
        <f>"2014-11-26 18:13:39"</f>
        <v>2014-11-26 18:13:39</v>
      </c>
      <c r="M4605" s="1" t="s">
        <v>45</v>
      </c>
      <c r="N4605" s="1" t="s">
        <v>38</v>
      </c>
      <c r="O4605" s="1" t="s">
        <v>46</v>
      </c>
    </row>
    <row r="4606" spans="2:15" x14ac:dyDescent="0.3">
      <c r="B4606" s="1" t="s">
        <v>23</v>
      </c>
      <c r="C4606" s="1" t="str">
        <f>"3차"</f>
        <v>3차</v>
      </c>
      <c r="D4606" s="1" t="str">
        <f>"0424A79431"</f>
        <v>0424A79431</v>
      </c>
      <c r="E4606" s="1" t="s">
        <v>10</v>
      </c>
      <c r="F4606" s="1" t="str">
        <f>"10.11.52.67"</f>
        <v>10.11.52.67</v>
      </c>
      <c r="G4606" s="1" t="str">
        <f>"0424A794"</f>
        <v>0424A794</v>
      </c>
      <c r="H4606" s="1" t="str">
        <f>"구청지 8"</f>
        <v>구청지 8</v>
      </c>
      <c r="I4606" s="1" t="s">
        <v>8</v>
      </c>
      <c r="J4606" s="1" t="str">
        <f>"34/34"</f>
        <v>34/34</v>
      </c>
      <c r="K4606" s="1" t="str">
        <f>"2026-07-29 13:18:03"</f>
        <v>2026-07-29 13:18:03</v>
      </c>
      <c r="L4606" s="1" t="str">
        <f>"2021-07-27 10:09:47"</f>
        <v>2021-07-27 10:09:47</v>
      </c>
      <c r="M4606" s="1" t="s">
        <v>2</v>
      </c>
      <c r="N4606" s="1" t="s">
        <v>38</v>
      </c>
      <c r="O4606" s="1" t="s">
        <v>46</v>
      </c>
    </row>
    <row r="4607" spans="2:15" x14ac:dyDescent="0.3">
      <c r="B4607" s="1" t="s">
        <v>23</v>
      </c>
      <c r="C4607" s="1" t="str">
        <f>"6차"</f>
        <v>6차</v>
      </c>
      <c r="D4607" s="1" t="str">
        <f>"0424A8126S"</f>
        <v>0424A8126S</v>
      </c>
      <c r="E4607" s="1" t="s">
        <v>10</v>
      </c>
      <c r="F4607" s="1" t="str">
        <f>"fde1:103:4:c6ec:0:0:0:2"</f>
        <v>fde1:103:4:c6ec:0:0:0:2</v>
      </c>
      <c r="G4607" s="1" t="str">
        <f>"0424A812"</f>
        <v>0424A812</v>
      </c>
      <c r="H4607" s="1" t="str">
        <f>"양구간 38L5"</f>
        <v>양구간 38L5</v>
      </c>
      <c r="I4607" s="1" t="s">
        <v>15</v>
      </c>
      <c r="J4607" s="1" t="str">
        <f>"49/51"</f>
        <v>49/51</v>
      </c>
      <c r="K4607" s="1" t="str">
        <f>"2026-07-29 14:21:05"</f>
        <v>2026-07-29 14:21:05</v>
      </c>
      <c r="L4607" s="1" t="str">
        <f>"2024-11-19 16:44:01"</f>
        <v>2024-11-19 16:44:01</v>
      </c>
      <c r="M4607" s="1" t="s">
        <v>4</v>
      </c>
      <c r="N4607" s="1" t="s">
        <v>38</v>
      </c>
      <c r="O4607" s="1" t="s">
        <v>46</v>
      </c>
    </row>
    <row r="4608" spans="2:15" x14ac:dyDescent="0.3">
      <c r="B4608" s="1" t="s">
        <v>23</v>
      </c>
      <c r="C4608" s="1" t="str">
        <f>"1차"</f>
        <v>1차</v>
      </c>
      <c r="D4608" s="1" t="str">
        <f>"0424A85201"</f>
        <v>0424A85201</v>
      </c>
      <c r="E4608" s="1" t="s">
        <v>10</v>
      </c>
      <c r="F4608" s="1" t="str">
        <f>"10.12.137.163"</f>
        <v>10.12.137.163</v>
      </c>
      <c r="G4608" s="1" t="str">
        <f>"0424A852"</f>
        <v>0424A852</v>
      </c>
      <c r="H4608" s="1" t="str">
        <f>"양구간 28L3R4"</f>
        <v>양구간 28L3R4</v>
      </c>
      <c r="I4608" s="1" t="s">
        <v>8</v>
      </c>
      <c r="J4608" s="1" t="str">
        <f>"34/37"</f>
        <v>34/37</v>
      </c>
      <c r="K4608" s="1" t="str">
        <f>"2026-07-29 13:18:05"</f>
        <v>2026-07-29 13:18:05</v>
      </c>
      <c r="L4608" s="1" t="str">
        <f>"2014-11-25 11:51:03"</f>
        <v>2014-11-25 11:51:03</v>
      </c>
      <c r="M4608" s="1" t="s">
        <v>0</v>
      </c>
      <c r="N4608" s="1" t="s">
        <v>38</v>
      </c>
      <c r="O4608" s="1" t="s">
        <v>46</v>
      </c>
    </row>
    <row r="4609" spans="2:15" x14ac:dyDescent="0.3">
      <c r="B4609" s="1" t="s">
        <v>23</v>
      </c>
      <c r="C4609" s="1" t="str">
        <f>"4차"</f>
        <v>4차</v>
      </c>
      <c r="D4609" s="1" t="str">
        <f>"0424A85442"</f>
        <v>0424A85442</v>
      </c>
      <c r="E4609" s="1" t="s">
        <v>10</v>
      </c>
      <c r="F4609" s="1" t="str">
        <f>"10.12.130.42"</f>
        <v>10.12.130.42</v>
      </c>
      <c r="G4609" s="1" t="str">
        <f>"0424A854"</f>
        <v>0424A854</v>
      </c>
      <c r="H4609" s="1" t="str">
        <f>"양구간 28L3R1"</f>
        <v>양구간 28L3R1</v>
      </c>
      <c r="I4609" s="1" t="s">
        <v>8</v>
      </c>
      <c r="J4609" s="1" t="str">
        <f>"24/24"</f>
        <v>24/24</v>
      </c>
      <c r="K4609" s="1" t="str">
        <f>"2026-07-29 13:18:03"</f>
        <v>2026-07-29 13:18:03</v>
      </c>
      <c r="L4609" s="1" t="str">
        <f>"2024-12-23 14:23:30"</f>
        <v>2024-12-23 14:23:30</v>
      </c>
      <c r="M4609" s="1" t="s">
        <v>0</v>
      </c>
      <c r="N4609" s="1" t="s">
        <v>38</v>
      </c>
      <c r="O4609" s="1" t="s">
        <v>46</v>
      </c>
    </row>
    <row r="4610" spans="2:15" x14ac:dyDescent="0.3">
      <c r="B4610" s="1" t="s">
        <v>23</v>
      </c>
      <c r="C4610" s="1" t="str">
        <f>"1차"</f>
        <v>1차</v>
      </c>
      <c r="D4610" s="1" t="str">
        <f>"0424A86200"</f>
        <v>0424A86200</v>
      </c>
      <c r="E4610" s="1" t="s">
        <v>10</v>
      </c>
      <c r="F4610" s="1" t="str">
        <f>"10.125.2.210"</f>
        <v>10.125.2.210</v>
      </c>
      <c r="G4610" s="1" t="str">
        <f>"0424A862"</f>
        <v>0424A862</v>
      </c>
      <c r="H4610" s="1" t="str">
        <f>"양구간 28L3"</f>
        <v>양구간 28L3</v>
      </c>
      <c r="I4610" s="1" t="s">
        <v>8</v>
      </c>
      <c r="J4610" s="1" t="str">
        <f>"40/46"</f>
        <v>40/46</v>
      </c>
      <c r="K4610" s="1" t="str">
        <f>"2026-07-29 13:18:03"</f>
        <v>2026-07-29 13:18:03</v>
      </c>
      <c r="L4610" s="1" t="str">
        <f>"2014-11-25 11:53:08"</f>
        <v>2014-11-25 11:53:08</v>
      </c>
      <c r="M4610" s="1" t="s">
        <v>45</v>
      </c>
      <c r="N4610" s="1" t="s">
        <v>38</v>
      </c>
      <c r="O4610" s="1" t="s">
        <v>46</v>
      </c>
    </row>
    <row r="4611" spans="2:15" x14ac:dyDescent="0.3">
      <c r="B4611" s="1" t="s">
        <v>23</v>
      </c>
      <c r="C4611" s="1" t="str">
        <f>"6차"</f>
        <v>6차</v>
      </c>
      <c r="D4611" s="1" t="str">
        <f>"0424A9616S"</f>
        <v>0424A9616S</v>
      </c>
      <c r="E4611" s="1" t="s">
        <v>10</v>
      </c>
      <c r="F4611" s="1" t="str">
        <f>"fde1:103:4:c6eb:0:0:0:2"</f>
        <v>fde1:103:4:c6eb:0:0:0:2</v>
      </c>
      <c r="G4611" s="1" t="str">
        <f>"0424A961"</f>
        <v>0424A961</v>
      </c>
      <c r="H4611" s="1" t="str">
        <f>"양구간 28L4"</f>
        <v>양구간 28L4</v>
      </c>
      <c r="I4611" s="1" t="s">
        <v>15</v>
      </c>
      <c r="J4611" s="1" t="str">
        <f>"21/21"</f>
        <v>21/21</v>
      </c>
      <c r="K4611" s="1" t="str">
        <f>"2026-07-29 14:20:27"</f>
        <v>2026-07-29 14:20:27</v>
      </c>
      <c r="L4611" s="1" t="str">
        <f>"2024-11-19 16:44:09"</f>
        <v>2024-11-19 16:44:09</v>
      </c>
      <c r="M4611" s="1" t="s">
        <v>4</v>
      </c>
      <c r="N4611" s="1" t="s">
        <v>38</v>
      </c>
      <c r="O4611" s="1" t="s">
        <v>46</v>
      </c>
    </row>
    <row r="4612" spans="2:15" x14ac:dyDescent="0.3">
      <c r="B4612" s="1" t="s">
        <v>23</v>
      </c>
      <c r="C4612" s="1" t="str">
        <f>"1차"</f>
        <v>1차</v>
      </c>
      <c r="D4612" s="1" t="str">
        <f>"0424A97101"</f>
        <v>0424A97101</v>
      </c>
      <c r="E4612" s="1" t="s">
        <v>10</v>
      </c>
      <c r="F4612" s="1" t="str">
        <f>"10.12.130.252"</f>
        <v>10.12.130.252</v>
      </c>
      <c r="G4612" s="1" t="str">
        <f>"0424A971"</f>
        <v>0424A971</v>
      </c>
      <c r="H4612" s="1" t="str">
        <f>"양구간 24"</f>
        <v>양구간 24</v>
      </c>
      <c r="I4612" s="1" t="s">
        <v>8</v>
      </c>
      <c r="J4612" s="1" t="str">
        <f>"114/119"</f>
        <v>114/119</v>
      </c>
      <c r="K4612" s="1" t="str">
        <f>"2026-07-29 13:18:05"</f>
        <v>2026-07-29 13:18:05</v>
      </c>
      <c r="L4612" s="1" t="str">
        <f>"2014-11-25 14:05:59"</f>
        <v>2014-11-25 14:05:59</v>
      </c>
      <c r="M4612" s="1" t="s">
        <v>0</v>
      </c>
      <c r="N4612" s="1" t="s">
        <v>38</v>
      </c>
      <c r="O4612" s="1" t="s">
        <v>46</v>
      </c>
    </row>
    <row r="4613" spans="2:15" x14ac:dyDescent="0.3">
      <c r="B4613" s="1" t="s">
        <v>23</v>
      </c>
      <c r="C4613" s="1" t="str">
        <f>"1차"</f>
        <v>1차</v>
      </c>
      <c r="D4613" s="1" t="str">
        <f>"0424A99100"</f>
        <v>0424A99100</v>
      </c>
      <c r="E4613" s="1" t="s">
        <v>10</v>
      </c>
      <c r="F4613" s="1" t="str">
        <f>"10.125.2.218"</f>
        <v>10.125.2.218</v>
      </c>
      <c r="G4613" s="1" t="str">
        <f>"0424A991"</f>
        <v>0424A991</v>
      </c>
      <c r="H4613" s="1" t="str">
        <f>"양구간 27R5R6"</f>
        <v>양구간 27R5R6</v>
      </c>
      <c r="I4613" s="1" t="s">
        <v>8</v>
      </c>
      <c r="J4613" s="1" t="str">
        <f>"9/9"</f>
        <v>9/9</v>
      </c>
      <c r="K4613" s="1" t="str">
        <f>"2026-07-29 13:18:03"</f>
        <v>2026-07-29 13:18:03</v>
      </c>
      <c r="L4613" s="1" t="str">
        <f>"2014-11-25 14:06:52"</f>
        <v>2014-11-25 14:06:52</v>
      </c>
      <c r="M4613" s="1" t="s">
        <v>45</v>
      </c>
      <c r="N4613" s="1" t="s">
        <v>38</v>
      </c>
      <c r="O4613" s="1" t="s">
        <v>46</v>
      </c>
    </row>
    <row r="4614" spans="2:15" x14ac:dyDescent="0.3">
      <c r="B4614" s="1" t="s">
        <v>23</v>
      </c>
      <c r="C4614" s="1" t="str">
        <f>"6차"</f>
        <v>6차</v>
      </c>
      <c r="D4614" s="1" t="str">
        <f>"0424A9926S"</f>
        <v>0424A9926S</v>
      </c>
      <c r="E4614" s="1" t="s">
        <v>10</v>
      </c>
      <c r="F4614" s="1" t="str">
        <f>"fde1:103:4:c6b5:0:0:0:2"</f>
        <v>fde1:103:4:c6b5:0:0:0:2</v>
      </c>
      <c r="G4614" s="1" t="str">
        <f>"0424A992"</f>
        <v>0424A992</v>
      </c>
      <c r="H4614" s="1" t="str">
        <f>"양구간 27R5R7"</f>
        <v>양구간 27R5R7</v>
      </c>
      <c r="I4614" s="1" t="s">
        <v>15</v>
      </c>
      <c r="J4614" s="1" t="str">
        <f>"16/23"</f>
        <v>16/23</v>
      </c>
      <c r="K4614" s="1" t="str">
        <f>"2026-07-29 14:20:23"</f>
        <v>2026-07-29 14:20:23</v>
      </c>
      <c r="L4614" s="1" t="str">
        <f>"2024-11-19 16:44:19"</f>
        <v>2024-11-19 16:44:19</v>
      </c>
      <c r="M4614" s="1" t="s">
        <v>4</v>
      </c>
      <c r="N4614" s="1" t="s">
        <v>38</v>
      </c>
      <c r="O4614" s="1" t="s">
        <v>46</v>
      </c>
    </row>
    <row r="4615" spans="2:15" x14ac:dyDescent="0.3">
      <c r="B4615" s="1" t="s">
        <v>23</v>
      </c>
      <c r="C4615" s="1" t="str">
        <f>"1차"</f>
        <v>1차</v>
      </c>
      <c r="D4615" s="1" t="str">
        <f>"0424B02100"</f>
        <v>0424B02100</v>
      </c>
      <c r="E4615" s="1" t="s">
        <v>10</v>
      </c>
      <c r="F4615" s="1" t="str">
        <f>"10.125.6.106"</f>
        <v>10.125.6.106</v>
      </c>
      <c r="G4615" s="1" t="str">
        <f>"0424B021"</f>
        <v>0424B021</v>
      </c>
      <c r="H4615" s="1" t="str">
        <f>"양구간 38L8"</f>
        <v>양구간 38L8</v>
      </c>
      <c r="I4615" s="1" t="s">
        <v>8</v>
      </c>
      <c r="J4615" s="1" t="str">
        <f>"182/183"</f>
        <v>182/183</v>
      </c>
      <c r="K4615" s="1" t="str">
        <f>"2026-07-29 13:18:03"</f>
        <v>2026-07-29 13:18:03</v>
      </c>
      <c r="L4615" s="1" t="str">
        <f>"2014-12-12 14:22:53"</f>
        <v>2014-12-12 14:22:53</v>
      </c>
      <c r="M4615" s="1" t="s">
        <v>45</v>
      </c>
      <c r="N4615" s="1" t="s">
        <v>38</v>
      </c>
      <c r="O4615" s="1" t="s">
        <v>46</v>
      </c>
    </row>
    <row r="4616" spans="2:15" x14ac:dyDescent="0.3">
      <c r="B4616" s="1" t="s">
        <v>23</v>
      </c>
      <c r="C4616" s="1" t="str">
        <f>"5-2차"</f>
        <v>5-2차</v>
      </c>
      <c r="D4616" s="1" t="str">
        <f>"0424B0315S"</f>
        <v>0424B0315S</v>
      </c>
      <c r="E4616" s="1" t="s">
        <v>10</v>
      </c>
      <c r="F4616" s="1" t="str">
        <f>"fde3:102:1440:1300:0:0:0:11"</f>
        <v>fde3:102:1440:1300:0:0:0:11</v>
      </c>
      <c r="G4616" s="1" t="str">
        <f>"0424B031"</f>
        <v>0424B031</v>
      </c>
      <c r="H4616" s="1" t="str">
        <f>"양구간 9L19"</f>
        <v>양구간 9L19</v>
      </c>
      <c r="I4616" s="1" t="s">
        <v>15</v>
      </c>
      <c r="J4616" s="1" t="str">
        <f>"88/88"</f>
        <v>88/88</v>
      </c>
      <c r="K4616" s="1" t="str">
        <f>"2026-07-29 14:21:05"</f>
        <v>2026-07-29 14:21:05</v>
      </c>
      <c r="L4616" s="1" t="str">
        <f>"2023-06-13 09:24:06"</f>
        <v>2023-06-13 09:24:06</v>
      </c>
      <c r="M4616" s="1" t="s">
        <v>45</v>
      </c>
      <c r="N4616" s="1" t="s">
        <v>38</v>
      </c>
      <c r="O4616" s="1" t="s">
        <v>46</v>
      </c>
    </row>
    <row r="4617" spans="2:15" x14ac:dyDescent="0.3">
      <c r="B4617" s="1" t="s">
        <v>23</v>
      </c>
      <c r="C4617" s="1" t="str">
        <f>"5-2차"</f>
        <v>5-2차</v>
      </c>
      <c r="D4617" s="1" t="str">
        <f>"0424B0425M"</f>
        <v>0424B0425M</v>
      </c>
      <c r="E4617" s="1" t="s">
        <v>10</v>
      </c>
      <c r="F4617" s="1" t="str">
        <f>"fde3:102:1440:1300:0:0:0:12"</f>
        <v>fde3:102:1440:1300:0:0:0:12</v>
      </c>
      <c r="G4617" s="1" t="str">
        <f>"0424B042"</f>
        <v>0424B042</v>
      </c>
      <c r="H4617" s="1" t="str">
        <f>"양구간 9L18"</f>
        <v>양구간 9L18</v>
      </c>
      <c r="I4617" s="1" t="s">
        <v>15</v>
      </c>
      <c r="J4617" s="1" t="str">
        <f>"85/85"</f>
        <v>85/85</v>
      </c>
      <c r="K4617" s="1" t="str">
        <f>"2026-07-29 14:20:31"</f>
        <v>2026-07-29 14:20:31</v>
      </c>
      <c r="L4617" s="1" t="str">
        <f>"2023-06-19 17:58:28"</f>
        <v>2023-06-19 17:58:28</v>
      </c>
      <c r="M4617" s="1" t="s">
        <v>45</v>
      </c>
      <c r="N4617" s="1" t="s">
        <v>38</v>
      </c>
      <c r="O4617" s="1" t="s">
        <v>46</v>
      </c>
    </row>
    <row r="4618" spans="2:15" x14ac:dyDescent="0.3">
      <c r="B4618" s="1" t="s">
        <v>23</v>
      </c>
      <c r="C4618" s="1" t="str">
        <f>"5-2차"</f>
        <v>5-2차</v>
      </c>
      <c r="D4618" s="1" t="str">
        <f>"0424B0515M"</f>
        <v>0424B0515M</v>
      </c>
      <c r="E4618" s="1" t="s">
        <v>10</v>
      </c>
      <c r="F4618" s="1" t="str">
        <f>"fde1:103:4:6ec1:0:0:0:2"</f>
        <v>fde1:103:4:6ec1:0:0:0:2</v>
      </c>
      <c r="G4618" s="1" t="str">
        <f>"0424B051"</f>
        <v>0424B051</v>
      </c>
      <c r="H4618" s="1" t="str">
        <f>"양구간 9L16R1"</f>
        <v>양구간 9L16R1</v>
      </c>
      <c r="I4618" s="1" t="s">
        <v>15</v>
      </c>
      <c r="J4618" s="1" t="str">
        <f>"22/22"</f>
        <v>22/22</v>
      </c>
      <c r="K4618" s="1" t="str">
        <f>"2026-07-29 14:20:22"</f>
        <v>2026-07-29 14:20:22</v>
      </c>
      <c r="L4618" s="1" t="str">
        <f>"2023-11-14 14:41:26"</f>
        <v>2023-11-14 14:41:26</v>
      </c>
      <c r="M4618" s="1" t="s">
        <v>4</v>
      </c>
      <c r="N4618" s="1" t="s">
        <v>38</v>
      </c>
      <c r="O4618" s="1" t="s">
        <v>46</v>
      </c>
    </row>
    <row r="4619" spans="2:15" x14ac:dyDescent="0.3">
      <c r="B4619" s="1" t="s">
        <v>23</v>
      </c>
      <c r="C4619" s="1" t="str">
        <f>"1차"</f>
        <v>1차</v>
      </c>
      <c r="D4619" s="1" t="str">
        <f>"0424B10200"</f>
        <v>0424B10200</v>
      </c>
      <c r="E4619" s="1" t="s">
        <v>10</v>
      </c>
      <c r="F4619" s="1" t="str">
        <f>"10.125.2.234"</f>
        <v>10.125.2.234</v>
      </c>
      <c r="G4619" s="1" t="str">
        <f>"0424B102"</f>
        <v>0424B102</v>
      </c>
      <c r="H4619" s="1" t="str">
        <f>"미가로 2R3"</f>
        <v>미가로 2R3</v>
      </c>
      <c r="I4619" s="1" t="s">
        <v>8</v>
      </c>
      <c r="J4619" s="1" t="str">
        <f>"20/21"</f>
        <v>20/21</v>
      </c>
      <c r="K4619" s="1" t="str">
        <f>"2026-07-29 13:18:03"</f>
        <v>2026-07-29 13:18:03</v>
      </c>
      <c r="L4619" s="1" t="str">
        <f>"2014-11-25 14:10:07"</f>
        <v>2014-11-25 14:10:07</v>
      </c>
      <c r="M4619" s="1" t="s">
        <v>45</v>
      </c>
      <c r="N4619" s="1" t="s">
        <v>38</v>
      </c>
      <c r="O4619" s="1" t="s">
        <v>46</v>
      </c>
    </row>
    <row r="4620" spans="2:15" x14ac:dyDescent="0.3">
      <c r="B4620" s="1" t="s">
        <v>23</v>
      </c>
      <c r="C4620" s="1" t="str">
        <f>"1차"</f>
        <v>1차</v>
      </c>
      <c r="D4620" s="1" t="str">
        <f>"0424B10203"</f>
        <v>0424B10203</v>
      </c>
      <c r="E4620" s="1" t="s">
        <v>10</v>
      </c>
      <c r="F4620" s="1" t="str">
        <f>"10.125.2.235"</f>
        <v>10.125.2.235</v>
      </c>
      <c r="G4620" s="1" t="str">
        <f>"0424B102"</f>
        <v>0424B102</v>
      </c>
      <c r="H4620" s="1" t="str">
        <f>"미가로 2R3"</f>
        <v>미가로 2R3</v>
      </c>
      <c r="I4620" s="1" t="s">
        <v>8</v>
      </c>
      <c r="J4620" s="1" t="str">
        <f>"22/38"</f>
        <v>22/38</v>
      </c>
      <c r="K4620" s="1" t="str">
        <f>"2026-07-29 13:18:03"</f>
        <v>2026-07-29 13:18:03</v>
      </c>
      <c r="L4620" s="1" t="str">
        <f>"2016-06-09 14:31:01"</f>
        <v>2016-06-09 14:31:01</v>
      </c>
      <c r="M4620" s="1" t="s">
        <v>45</v>
      </c>
      <c r="N4620" s="1" t="s">
        <v>38</v>
      </c>
      <c r="O4620" s="1" t="s">
        <v>46</v>
      </c>
    </row>
    <row r="4621" spans="2:15" x14ac:dyDescent="0.3">
      <c r="B4621" s="1" t="s">
        <v>23</v>
      </c>
      <c r="C4621" s="1" t="str">
        <f t="shared" ref="C4621:C4626" si="262">"5-2차"</f>
        <v>5-2차</v>
      </c>
      <c r="D4621" s="1" t="str">
        <f>"0424B1325M"</f>
        <v>0424B1325M</v>
      </c>
      <c r="E4621" s="1" t="s">
        <v>10</v>
      </c>
      <c r="F4621" s="1" t="str">
        <f>"fde3:102:1440:1300:0:0:0:21"</f>
        <v>fde3:102:1440:1300:0:0:0:21</v>
      </c>
      <c r="G4621" s="1" t="str">
        <f>"0424B132"</f>
        <v>0424B132</v>
      </c>
      <c r="H4621" s="1" t="str">
        <f>"미가로 2R7"</f>
        <v>미가로 2R7</v>
      </c>
      <c r="I4621" s="1" t="s">
        <v>15</v>
      </c>
      <c r="J4621" s="1" t="str">
        <f>"97/97"</f>
        <v>97/97</v>
      </c>
      <c r="K4621" s="1" t="str">
        <f>"2026-07-29 14:20:45"</f>
        <v>2026-07-29 14:20:45</v>
      </c>
      <c r="L4621" s="1" t="str">
        <f>"2024-01-11 14:40:31"</f>
        <v>2024-01-11 14:40:31</v>
      </c>
      <c r="M4621" s="1" t="s">
        <v>45</v>
      </c>
      <c r="N4621" s="1" t="s">
        <v>38</v>
      </c>
      <c r="O4621" s="1" t="s">
        <v>46</v>
      </c>
    </row>
    <row r="4622" spans="2:15" x14ac:dyDescent="0.3">
      <c r="B4622" s="1" t="s">
        <v>23</v>
      </c>
      <c r="C4622" s="1" t="str">
        <f t="shared" si="262"/>
        <v>5-2차</v>
      </c>
      <c r="D4622" s="1" t="str">
        <f>"0424B1515M"</f>
        <v>0424B1515M</v>
      </c>
      <c r="E4622" s="1" t="s">
        <v>10</v>
      </c>
      <c r="F4622" s="1" t="str">
        <f>"fde3:102:1440:1400:0:0:0:7"</f>
        <v>fde3:102:1440:1400:0:0:0:7</v>
      </c>
      <c r="G4622" s="1" t="str">
        <f>"0424B151"</f>
        <v>0424B151</v>
      </c>
      <c r="H4622" s="1" t="str">
        <f>"양구간 9L15"</f>
        <v>양구간 9L15</v>
      </c>
      <c r="I4622" s="1" t="s">
        <v>15</v>
      </c>
      <c r="J4622" s="1" t="str">
        <f>"38/38"</f>
        <v>38/38</v>
      </c>
      <c r="K4622" s="1" t="str">
        <f>"2026-07-29 14:20:22"</f>
        <v>2026-07-29 14:20:22</v>
      </c>
      <c r="L4622" s="1" t="str">
        <f>"2023-10-16 15:01:07"</f>
        <v>2023-10-16 15:01:07</v>
      </c>
      <c r="M4622" s="1" t="s">
        <v>45</v>
      </c>
      <c r="N4622" s="1" t="s">
        <v>38</v>
      </c>
      <c r="O4622" s="1" t="s">
        <v>46</v>
      </c>
    </row>
    <row r="4623" spans="2:15" x14ac:dyDescent="0.3">
      <c r="B4623" s="1" t="s">
        <v>23</v>
      </c>
      <c r="C4623" s="1" t="str">
        <f t="shared" si="262"/>
        <v>5-2차</v>
      </c>
      <c r="D4623" s="1" t="str">
        <f>"0424B2025S"</f>
        <v>0424B2025S</v>
      </c>
      <c r="E4623" s="1" t="s">
        <v>10</v>
      </c>
      <c r="F4623" s="1" t="str">
        <f>"fde3:102:1440:1300:0:0:0:e"</f>
        <v>fde3:102:1440:1300:0:0:0:e</v>
      </c>
      <c r="G4623" s="1" t="str">
        <f>"0424B202"</f>
        <v>0424B202</v>
      </c>
      <c r="H4623" s="1" t="str">
        <f>"양구간 9L10L8"</f>
        <v>양구간 9L10L8</v>
      </c>
      <c r="I4623" s="1" t="s">
        <v>15</v>
      </c>
      <c r="J4623" s="1" t="str">
        <f>"88/89"</f>
        <v>88/89</v>
      </c>
      <c r="K4623" s="1" t="str">
        <f>"2026-07-29 14:20:23"</f>
        <v>2026-07-29 14:20:23</v>
      </c>
      <c r="L4623" s="1" t="str">
        <f>"2023-08-16 14:03:32"</f>
        <v>2023-08-16 14:03:32</v>
      </c>
      <c r="M4623" s="1" t="s">
        <v>45</v>
      </c>
      <c r="N4623" s="1" t="s">
        <v>38</v>
      </c>
      <c r="O4623" s="1" t="s">
        <v>46</v>
      </c>
    </row>
    <row r="4624" spans="2:15" x14ac:dyDescent="0.3">
      <c r="B4624" s="1" t="s">
        <v>23</v>
      </c>
      <c r="C4624" s="1" t="str">
        <f t="shared" si="262"/>
        <v>5-2차</v>
      </c>
      <c r="D4624" s="1" t="str">
        <f>"0424B2225M"</f>
        <v>0424B2225M</v>
      </c>
      <c r="E4624" s="1" t="s">
        <v>10</v>
      </c>
      <c r="F4624" s="1" t="str">
        <f>"fde3:102:1440:1300:0:0:0:10"</f>
        <v>fde3:102:1440:1300:0:0:0:10</v>
      </c>
      <c r="G4624" s="1" t="str">
        <f>"0424B222"</f>
        <v>0424B222</v>
      </c>
      <c r="H4624" s="1" t="str">
        <f>"양구간 9L10L2R4"</f>
        <v>양구간 9L10L2R4</v>
      </c>
      <c r="I4624" s="1" t="s">
        <v>15</v>
      </c>
      <c r="J4624" s="1" t="str">
        <f>"106/106"</f>
        <v>106/106</v>
      </c>
      <c r="K4624" s="1" t="str">
        <f>"2026-07-29 14:21:05"</f>
        <v>2026-07-29 14:21:05</v>
      </c>
      <c r="L4624" s="1" t="str">
        <f>"2023-10-16 15:05:41"</f>
        <v>2023-10-16 15:05:41</v>
      </c>
      <c r="M4624" s="1" t="s">
        <v>45</v>
      </c>
      <c r="N4624" s="1" t="s">
        <v>38</v>
      </c>
      <c r="O4624" s="1" t="s">
        <v>46</v>
      </c>
    </row>
    <row r="4625" spans="2:15" x14ac:dyDescent="0.3">
      <c r="B4625" s="1" t="s">
        <v>23</v>
      </c>
      <c r="C4625" s="1" t="str">
        <f t="shared" si="262"/>
        <v>5-2차</v>
      </c>
      <c r="D4625" s="1" t="str">
        <f>"0424B2415S"</f>
        <v>0424B2415S</v>
      </c>
      <c r="E4625" s="1" t="s">
        <v>10</v>
      </c>
      <c r="F4625" s="1" t="str">
        <f>"fde3:102:1440:1400:0:0:0:12"</f>
        <v>fde3:102:1440:1400:0:0:0:12</v>
      </c>
      <c r="G4625" s="1" t="str">
        <f>"0424B241"</f>
        <v>0424B241</v>
      </c>
      <c r="H4625" s="1" t="str">
        <f>"미가로 2R9"</f>
        <v>미가로 2R9</v>
      </c>
      <c r="I4625" s="1" t="s">
        <v>15</v>
      </c>
      <c r="J4625" s="1" t="str">
        <f>"65/65"</f>
        <v>65/65</v>
      </c>
      <c r="K4625" s="1" t="str">
        <f>"2026-07-29 14:20:45"</f>
        <v>2026-07-29 14:20:45</v>
      </c>
      <c r="L4625" s="1" t="str">
        <f>"2024-01-15 14:34:35"</f>
        <v>2024-01-15 14:34:35</v>
      </c>
      <c r="M4625" s="1" t="s">
        <v>45</v>
      </c>
      <c r="N4625" s="1" t="s">
        <v>38</v>
      </c>
      <c r="O4625" s="1" t="s">
        <v>46</v>
      </c>
    </row>
    <row r="4626" spans="2:15" x14ac:dyDescent="0.3">
      <c r="B4626" s="1" t="s">
        <v>23</v>
      </c>
      <c r="C4626" s="1" t="str">
        <f t="shared" si="262"/>
        <v>5-2차</v>
      </c>
      <c r="D4626" s="1" t="str">
        <f>"0424B2535M"</f>
        <v>0424B2535M</v>
      </c>
      <c r="E4626" s="1" t="s">
        <v>10</v>
      </c>
      <c r="F4626" s="1" t="str">
        <f>"fde3:102:1440:1400:0:0:0:8"</f>
        <v>fde3:102:1440:1400:0:0:0:8</v>
      </c>
      <c r="G4626" s="1" t="str">
        <f>"0424B253"</f>
        <v>0424B253</v>
      </c>
      <c r="H4626" s="1" t="str">
        <f>"양구간 9L14"</f>
        <v>양구간 9L14</v>
      </c>
      <c r="I4626" s="1" t="s">
        <v>15</v>
      </c>
      <c r="J4626" s="1" t="str">
        <f>"39/39"</f>
        <v>39/39</v>
      </c>
      <c r="K4626" s="1" t="str">
        <f>"2026-07-29 14:21:05"</f>
        <v>2026-07-29 14:21:05</v>
      </c>
      <c r="L4626" s="1" t="str">
        <f>"2023-06-13 16:39:44"</f>
        <v>2023-06-13 16:39:44</v>
      </c>
      <c r="M4626" s="1" t="s">
        <v>45</v>
      </c>
      <c r="N4626" s="1" t="s">
        <v>38</v>
      </c>
      <c r="O4626" s="1" t="s">
        <v>46</v>
      </c>
    </row>
    <row r="4627" spans="2:15" x14ac:dyDescent="0.3">
      <c r="B4627" s="1" t="s">
        <v>23</v>
      </c>
      <c r="C4627" s="1" t="str">
        <f>"5-1차"</f>
        <v>5-1차</v>
      </c>
      <c r="D4627" s="1" t="str">
        <f>"0424B2615M"</f>
        <v>0424B2615M</v>
      </c>
      <c r="E4627" s="1" t="s">
        <v>10</v>
      </c>
      <c r="F4627" s="1" t="str">
        <f>"fde2:104:0:17c:0:0:0:2"</f>
        <v>fde2:104:0:17c:0:0:0:2</v>
      </c>
      <c r="G4627" s="1" t="str">
        <f>"0424B261"</f>
        <v>0424B261</v>
      </c>
      <c r="H4627" s="1" t="str">
        <f>"양구간 18"</f>
        <v>양구간 18</v>
      </c>
      <c r="I4627" s="1" t="s">
        <v>15</v>
      </c>
      <c r="J4627" s="1" t="str">
        <f>"93/98"</f>
        <v>93/98</v>
      </c>
      <c r="K4627" s="1" t="str">
        <f>"2026-07-29 14:21:06"</f>
        <v>2026-07-29 14:21:06</v>
      </c>
      <c r="L4627" s="1" t="str">
        <f>"2022-11-15 17:24:52"</f>
        <v>2022-11-15 17:24:52</v>
      </c>
      <c r="M4627" s="1" t="s">
        <v>42</v>
      </c>
      <c r="N4627" s="1" t="s">
        <v>38</v>
      </c>
      <c r="O4627" s="1" t="s">
        <v>46</v>
      </c>
    </row>
    <row r="4628" spans="2:15" x14ac:dyDescent="0.3">
      <c r="B4628" s="1" t="s">
        <v>23</v>
      </c>
      <c r="C4628" s="1" t="str">
        <f>"5-2차"</f>
        <v>5-2차</v>
      </c>
      <c r="D4628" s="1" t="str">
        <f>"0424B2635M"</f>
        <v>0424B2635M</v>
      </c>
      <c r="E4628" s="1" t="s">
        <v>10</v>
      </c>
      <c r="F4628" s="1" t="str">
        <f>"fde3:102:1440:1300:0:0:0:1d"</f>
        <v>fde3:102:1440:1300:0:0:0:1d</v>
      </c>
      <c r="G4628" s="1" t="str">
        <f>"0424B263"</f>
        <v>0424B263</v>
      </c>
      <c r="H4628" s="1" t="str">
        <f>"양구간 19"</f>
        <v>양구간 19</v>
      </c>
      <c r="I4628" s="1" t="s">
        <v>15</v>
      </c>
      <c r="J4628" s="1" t="str">
        <f>"49/50"</f>
        <v>49/50</v>
      </c>
      <c r="K4628" s="1" t="str">
        <f>"2026-07-28 20:03:23"</f>
        <v>2026-07-28 20:03:23</v>
      </c>
      <c r="L4628" s="1" t="str">
        <f>"2023-10-11 10:30:05"</f>
        <v>2023-10-11 10:30:05</v>
      </c>
      <c r="M4628" s="1" t="s">
        <v>45</v>
      </c>
      <c r="N4628" s="1" t="s">
        <v>38</v>
      </c>
      <c r="O4628" s="1" t="s">
        <v>46</v>
      </c>
    </row>
    <row r="4629" spans="2:15" x14ac:dyDescent="0.3">
      <c r="B4629" s="1" t="s">
        <v>23</v>
      </c>
      <c r="C4629" s="1" t="str">
        <f>"5-2차"</f>
        <v>5-2차</v>
      </c>
      <c r="D4629" s="1" t="str">
        <f>"0424B3035S"</f>
        <v>0424B3035S</v>
      </c>
      <c r="E4629" s="1" t="s">
        <v>10</v>
      </c>
      <c r="F4629" s="1" t="str">
        <f>"fde3:102:1440:1400:0:0:0:d"</f>
        <v>fde3:102:1440:1400:0:0:0:d</v>
      </c>
      <c r="G4629" s="1" t="str">
        <f>"0424B303"</f>
        <v>0424B303</v>
      </c>
      <c r="H4629" s="1" t="str">
        <f>"양구간 9L10L7L1"</f>
        <v>양구간 9L10L7L1</v>
      </c>
      <c r="I4629" s="1" t="s">
        <v>15</v>
      </c>
      <c r="J4629" s="1" t="str">
        <f>"54/54"</f>
        <v>54/54</v>
      </c>
      <c r="K4629" s="1" t="str">
        <f>"2026-07-29 14:20:45"</f>
        <v>2026-07-29 14:20:45</v>
      </c>
      <c r="L4629" s="1" t="str">
        <f>"2023-06-09 11:05:45"</f>
        <v>2023-06-09 11:05:45</v>
      </c>
      <c r="M4629" s="1" t="s">
        <v>45</v>
      </c>
      <c r="N4629" s="1" t="s">
        <v>38</v>
      </c>
      <c r="O4629" s="1" t="s">
        <v>46</v>
      </c>
    </row>
    <row r="4630" spans="2:15" x14ac:dyDescent="0.3">
      <c r="B4630" s="1" t="s">
        <v>23</v>
      </c>
      <c r="C4630" s="1" t="str">
        <f>"5-2차"</f>
        <v>5-2차</v>
      </c>
      <c r="D4630" s="1" t="str">
        <f>"0424B3115S"</f>
        <v>0424B3115S</v>
      </c>
      <c r="E4630" s="1" t="s">
        <v>10</v>
      </c>
      <c r="F4630" s="1" t="str">
        <f>"fde3:102:1440:1400:0:0:0:b"</f>
        <v>fde3:102:1440:1400:0:0:0:b</v>
      </c>
      <c r="G4630" s="1" t="str">
        <f>"0424B311"</f>
        <v>0424B311</v>
      </c>
      <c r="H4630" s="1" t="str">
        <f>"양구간 9L10L2R2L1"</f>
        <v>양구간 9L10L2R2L1</v>
      </c>
      <c r="I4630" s="1" t="s">
        <v>15</v>
      </c>
      <c r="J4630" s="1" t="str">
        <f>"45/45"</f>
        <v>45/45</v>
      </c>
      <c r="K4630" s="1" t="str">
        <f>"2026-07-29 14:20:54"</f>
        <v>2026-07-29 14:20:54</v>
      </c>
      <c r="L4630" s="1" t="str">
        <f>"2023-06-13 09:02:00"</f>
        <v>2023-06-13 09:02:00</v>
      </c>
      <c r="M4630" s="1" t="s">
        <v>45</v>
      </c>
      <c r="N4630" s="1" t="s">
        <v>38</v>
      </c>
      <c r="O4630" s="1" t="s">
        <v>46</v>
      </c>
    </row>
    <row r="4631" spans="2:15" x14ac:dyDescent="0.3">
      <c r="B4631" s="1" t="s">
        <v>23</v>
      </c>
      <c r="C4631" s="1" t="str">
        <f>"5-2차"</f>
        <v>5-2차</v>
      </c>
      <c r="D4631" s="1" t="str">
        <f>"0424B3225M"</f>
        <v>0424B3225M</v>
      </c>
      <c r="E4631" s="1" t="s">
        <v>10</v>
      </c>
      <c r="F4631" s="1" t="str">
        <f>"fde3:102:1440:1300:0:0:0:f"</f>
        <v>fde3:102:1440:1300:0:0:0:f</v>
      </c>
      <c r="G4631" s="1" t="str">
        <f>"0424B322"</f>
        <v>0424B322</v>
      </c>
      <c r="H4631" s="1" t="str">
        <f>"양구간 9L10L2R3"</f>
        <v>양구간 9L10L2R3</v>
      </c>
      <c r="I4631" s="1" t="s">
        <v>15</v>
      </c>
      <c r="J4631" s="1" t="str">
        <f>"44/44"</f>
        <v>44/44</v>
      </c>
      <c r="K4631" s="1" t="str">
        <f>"2026-07-29 14:20:46"</f>
        <v>2026-07-29 14:20:46</v>
      </c>
      <c r="L4631" s="1" t="str">
        <f>"2023-06-19 18:00:23"</f>
        <v>2023-06-19 18:00:23</v>
      </c>
      <c r="M4631" s="1" t="s">
        <v>45</v>
      </c>
      <c r="N4631" s="1" t="s">
        <v>38</v>
      </c>
      <c r="O4631" s="1" t="s">
        <v>46</v>
      </c>
    </row>
    <row r="4632" spans="2:15" x14ac:dyDescent="0.3">
      <c r="B4632" s="1" t="s">
        <v>23</v>
      </c>
      <c r="C4632" s="1" t="str">
        <f>"5-2차"</f>
        <v>5-2차</v>
      </c>
      <c r="D4632" s="1" t="str">
        <f>"0424B3315M"</f>
        <v>0424B3315M</v>
      </c>
      <c r="E4632" s="1" t="s">
        <v>10</v>
      </c>
      <c r="F4632" s="1" t="str">
        <f>"fde3:102:1440:1400:0:0:0:a"</f>
        <v>fde3:102:1440:1400:0:0:0:a</v>
      </c>
      <c r="G4632" s="1" t="str">
        <f>"0424B331"</f>
        <v>0424B331</v>
      </c>
      <c r="H4632" s="1" t="str">
        <f>"양구간 9L12L1"</f>
        <v>양구간 9L12L1</v>
      </c>
      <c r="I4632" s="1" t="s">
        <v>15</v>
      </c>
      <c r="J4632" s="1" t="str">
        <f>"71/71"</f>
        <v>71/71</v>
      </c>
      <c r="K4632" s="1" t="str">
        <f>"2026-07-29 14:20:45"</f>
        <v>2026-07-29 14:20:45</v>
      </c>
      <c r="L4632" s="1" t="str">
        <f>"2023-10-16 15:31:28"</f>
        <v>2023-10-16 15:31:28</v>
      </c>
      <c r="M4632" s="1" t="s">
        <v>45</v>
      </c>
      <c r="N4632" s="1" t="s">
        <v>38</v>
      </c>
      <c r="O4632" s="1" t="s">
        <v>46</v>
      </c>
    </row>
    <row r="4633" spans="2:15" x14ac:dyDescent="0.3">
      <c r="B4633" s="1" t="s">
        <v>23</v>
      </c>
      <c r="C4633" s="1" t="str">
        <f>"3차"</f>
        <v>3차</v>
      </c>
      <c r="D4633" s="1" t="str">
        <f>"0424B36139"</f>
        <v>0424B36139</v>
      </c>
      <c r="E4633" s="1" t="s">
        <v>10</v>
      </c>
      <c r="F4633" s="1" t="str">
        <f>"10.11.57.74"</f>
        <v>10.11.57.74</v>
      </c>
      <c r="G4633" s="1" t="str">
        <f>"0424B361"</f>
        <v>0424B361</v>
      </c>
      <c r="H4633" s="1" t="str">
        <f>"양구간 18L1"</f>
        <v>양구간 18L1</v>
      </c>
      <c r="I4633" s="1" t="s">
        <v>8</v>
      </c>
      <c r="J4633" s="1" t="str">
        <f>"40/40"</f>
        <v>40/40</v>
      </c>
      <c r="K4633" s="1" t="str">
        <f>"2026-07-29 13:18:03"</f>
        <v>2026-07-29 13:18:03</v>
      </c>
      <c r="L4633" s="1" t="str">
        <f>"2018-05-30 08:55:23"</f>
        <v>2018-05-30 08:55:23</v>
      </c>
      <c r="M4633" s="1" t="s">
        <v>2</v>
      </c>
      <c r="N4633" s="1" t="s">
        <v>38</v>
      </c>
      <c r="O4633" s="1" t="s">
        <v>46</v>
      </c>
    </row>
    <row r="4634" spans="2:15" x14ac:dyDescent="0.3">
      <c r="B4634" s="1" t="s">
        <v>23</v>
      </c>
      <c r="C4634" s="1" t="str">
        <f>"3차"</f>
        <v>3차</v>
      </c>
      <c r="D4634" s="1" t="str">
        <f>"0424B38239"</f>
        <v>0424B38239</v>
      </c>
      <c r="E4634" s="1" t="s">
        <v>10</v>
      </c>
      <c r="F4634" s="1" t="str">
        <f>"10.11.57.66"</f>
        <v>10.11.57.66</v>
      </c>
      <c r="G4634" s="1" t="str">
        <f>"0424B382"</f>
        <v>0424B382</v>
      </c>
      <c r="H4634" s="1" t="str">
        <f>"양구간 16"</f>
        <v>양구간 16</v>
      </c>
      <c r="I4634" s="1" t="s">
        <v>8</v>
      </c>
      <c r="J4634" s="1" t="str">
        <f>"16/17"</f>
        <v>16/17</v>
      </c>
      <c r="K4634" s="1" t="str">
        <f>"2026-07-29 13:18:03"</f>
        <v>2026-07-29 13:18:03</v>
      </c>
      <c r="L4634" s="1" t="str">
        <f>"2021-07-27 12:27:44"</f>
        <v>2021-07-27 12:27:44</v>
      </c>
      <c r="M4634" s="1" t="s">
        <v>2</v>
      </c>
      <c r="N4634" s="1" t="s">
        <v>38</v>
      </c>
      <c r="O4634" s="1" t="s">
        <v>46</v>
      </c>
    </row>
    <row r="4635" spans="2:15" x14ac:dyDescent="0.3">
      <c r="B4635" s="1" t="s">
        <v>23</v>
      </c>
      <c r="C4635" s="1" t="str">
        <f>"1차"</f>
        <v>1차</v>
      </c>
      <c r="D4635" s="1" t="str">
        <f>"0424B40101"</f>
        <v>0424B40101</v>
      </c>
      <c r="E4635" s="1" t="s">
        <v>10</v>
      </c>
      <c r="F4635" s="1" t="str">
        <f>"10.125.2.243"</f>
        <v>10.125.2.243</v>
      </c>
      <c r="G4635" s="1" t="str">
        <f>"0424B401"</f>
        <v>0424B401</v>
      </c>
      <c r="H4635" s="1" t="str">
        <f>"양구간 9L10L4"</f>
        <v>양구간 9L10L4</v>
      </c>
      <c r="I4635" s="1" t="s">
        <v>8</v>
      </c>
      <c r="J4635" s="1" t="str">
        <f>"70/76"</f>
        <v>70/76</v>
      </c>
      <c r="K4635" s="1" t="str">
        <f>"2026-07-29 13:18:03"</f>
        <v>2026-07-29 13:18:03</v>
      </c>
      <c r="L4635" s="1" t="str">
        <f>"2014-12-02 16:12:15"</f>
        <v>2014-12-02 16:12:15</v>
      </c>
      <c r="M4635" s="1" t="s">
        <v>45</v>
      </c>
      <c r="N4635" s="1" t="s">
        <v>38</v>
      </c>
      <c r="O4635" s="1" t="s">
        <v>46</v>
      </c>
    </row>
    <row r="4636" spans="2:15" x14ac:dyDescent="0.3">
      <c r="B4636" s="1" t="s">
        <v>23</v>
      </c>
      <c r="C4636" s="1" t="str">
        <f>"1차"</f>
        <v>1차</v>
      </c>
      <c r="D4636" s="1" t="str">
        <f>"0424B41100"</f>
        <v>0424B41100</v>
      </c>
      <c r="E4636" s="1" t="s">
        <v>10</v>
      </c>
      <c r="F4636" s="1" t="str">
        <f>"10.125.2.242"</f>
        <v>10.125.2.242</v>
      </c>
      <c r="G4636" s="1" t="str">
        <f>"0424B411"</f>
        <v>0424B411</v>
      </c>
      <c r="H4636" s="1" t="str">
        <f>"양구간 9L10L3"</f>
        <v>양구간 9L10L3</v>
      </c>
      <c r="I4636" s="1" t="s">
        <v>8</v>
      </c>
      <c r="J4636" s="1" t="str">
        <f>"28/29"</f>
        <v>28/29</v>
      </c>
      <c r="K4636" s="1" t="str">
        <f>"2026-07-29 13:18:03"</f>
        <v>2026-07-29 13:18:03</v>
      </c>
      <c r="L4636" s="1" t="str">
        <f>"2014-11-25 14:11:07"</f>
        <v>2014-11-25 14:11:07</v>
      </c>
      <c r="M4636" s="1" t="s">
        <v>45</v>
      </c>
      <c r="N4636" s="1" t="s">
        <v>38</v>
      </c>
      <c r="O4636" s="1" t="s">
        <v>46</v>
      </c>
    </row>
    <row r="4637" spans="2:15" x14ac:dyDescent="0.3">
      <c r="B4637" s="1" t="s">
        <v>23</v>
      </c>
      <c r="C4637" s="1" t="str">
        <f>"1차"</f>
        <v>1차</v>
      </c>
      <c r="D4637" s="1" t="str">
        <f>"0424B42101"</f>
        <v>0424B42101</v>
      </c>
      <c r="E4637" s="1" t="s">
        <v>10</v>
      </c>
      <c r="F4637" s="1" t="str">
        <f>"10.12.128.241"</f>
        <v>10.12.128.241</v>
      </c>
      <c r="G4637" s="1" t="str">
        <f>"0424B421"</f>
        <v>0424B421</v>
      </c>
      <c r="H4637" s="1" t="str">
        <f>"양구간 9L10L2"</f>
        <v>양구간 9L10L2</v>
      </c>
      <c r="I4637" s="1" t="s">
        <v>8</v>
      </c>
      <c r="J4637" s="1" t="str">
        <f>"60/60"</f>
        <v>60/60</v>
      </c>
      <c r="K4637" s="1" t="str">
        <f>"2026-07-29 13:18:04"</f>
        <v>2026-07-29 13:18:04</v>
      </c>
      <c r="L4637" s="1" t="str">
        <f>"2014-12-02 15:57:45"</f>
        <v>2014-12-02 15:57:45</v>
      </c>
      <c r="M4637" s="1" t="s">
        <v>0</v>
      </c>
      <c r="N4637" s="1" t="s">
        <v>38</v>
      </c>
      <c r="O4637" s="1" t="s">
        <v>46</v>
      </c>
    </row>
    <row r="4638" spans="2:15" x14ac:dyDescent="0.3">
      <c r="B4638" s="1" t="s">
        <v>23</v>
      </c>
      <c r="C4638" s="1" t="str">
        <f>"5-2차"</f>
        <v>5-2차</v>
      </c>
      <c r="D4638" s="1" t="str">
        <f>"0424B4415M"</f>
        <v>0424B4415M</v>
      </c>
      <c r="E4638" s="1" t="s">
        <v>10</v>
      </c>
      <c r="F4638" s="1" t="str">
        <f>"fde3:102:1440:1300:0:0:0:16"</f>
        <v>fde3:102:1440:1300:0:0:0:16</v>
      </c>
      <c r="G4638" s="1" t="str">
        <f>"0424B441"</f>
        <v>0424B441</v>
      </c>
      <c r="H4638" s="1" t="str">
        <f>"양구간 9L11"</f>
        <v>양구간 9L11</v>
      </c>
      <c r="I4638" s="1" t="s">
        <v>15</v>
      </c>
      <c r="J4638" s="1" t="str">
        <f>"82/82"</f>
        <v>82/82</v>
      </c>
      <c r="K4638" s="1" t="str">
        <f>"2026-07-29 14:20:45"</f>
        <v>2026-07-29 14:20:45</v>
      </c>
      <c r="L4638" s="1" t="str">
        <f>"2023-06-13 16:40:32"</f>
        <v>2023-06-13 16:40:32</v>
      </c>
      <c r="M4638" s="1" t="s">
        <v>45</v>
      </c>
      <c r="N4638" s="1" t="s">
        <v>38</v>
      </c>
      <c r="O4638" s="1" t="s">
        <v>46</v>
      </c>
    </row>
    <row r="4639" spans="2:15" x14ac:dyDescent="0.3">
      <c r="B4639" s="1" t="s">
        <v>23</v>
      </c>
      <c r="C4639" s="1" t="str">
        <f>"5-2차"</f>
        <v>5-2차</v>
      </c>
      <c r="D4639" s="1" t="str">
        <f>"0424B4625S"</f>
        <v>0424B4625S</v>
      </c>
      <c r="E4639" s="1" t="s">
        <v>10</v>
      </c>
      <c r="F4639" s="1" t="str">
        <f>"fde3:102:1440:1200:0:0:0:4"</f>
        <v>fde3:102:1440:1200:0:0:0:4</v>
      </c>
      <c r="G4639" s="1" t="str">
        <f>"0424B462"</f>
        <v>0424B462</v>
      </c>
      <c r="H4639" s="1" t="str">
        <f>"양구간 18L2"</f>
        <v>양구간 18L2</v>
      </c>
      <c r="I4639" s="1" t="s">
        <v>15</v>
      </c>
      <c r="J4639" s="1" t="str">
        <f>"30/30"</f>
        <v>30/30</v>
      </c>
      <c r="K4639" s="1" t="str">
        <f>"2026-07-29 14:20:23"</f>
        <v>2026-07-29 14:20:23</v>
      </c>
      <c r="L4639" s="1" t="str">
        <f>"2023-06-09 09:32:21"</f>
        <v>2023-06-09 09:32:21</v>
      </c>
      <c r="M4639" s="1" t="s">
        <v>45</v>
      </c>
      <c r="N4639" s="1" t="s">
        <v>38</v>
      </c>
      <c r="O4639" s="1" t="s">
        <v>46</v>
      </c>
    </row>
    <row r="4640" spans="2:15" x14ac:dyDescent="0.3">
      <c r="B4640" s="1" t="s">
        <v>23</v>
      </c>
      <c r="C4640" s="1" t="str">
        <f>"3차"</f>
        <v>3차</v>
      </c>
      <c r="D4640" s="1" t="str">
        <f>"0424B47139"</f>
        <v>0424B47139</v>
      </c>
      <c r="E4640" s="1" t="s">
        <v>10</v>
      </c>
      <c r="F4640" s="1" t="str">
        <f>"10.11.53.98"</f>
        <v>10.11.53.98</v>
      </c>
      <c r="G4640" s="1" t="str">
        <f>"0424B471"</f>
        <v>0424B471</v>
      </c>
      <c r="H4640" s="1" t="str">
        <f>"양구간 16L2"</f>
        <v>양구간 16L2</v>
      </c>
      <c r="I4640" s="1" t="s">
        <v>8</v>
      </c>
      <c r="J4640" s="1" t="str">
        <f>"114/114"</f>
        <v>114/114</v>
      </c>
      <c r="K4640" s="1" t="str">
        <f>"2026-07-29 13:18:02"</f>
        <v>2026-07-29 13:18:02</v>
      </c>
      <c r="L4640" s="1" t="str">
        <f>"2018-05-30 08:53:24"</f>
        <v>2018-05-30 08:53:24</v>
      </c>
      <c r="M4640" s="1" t="s">
        <v>2</v>
      </c>
      <c r="N4640" s="1" t="s">
        <v>38</v>
      </c>
      <c r="O4640" s="1" t="s">
        <v>46</v>
      </c>
    </row>
    <row r="4641" spans="2:15" x14ac:dyDescent="0.3">
      <c r="B4641" s="1" t="s">
        <v>23</v>
      </c>
      <c r="C4641" s="1" t="str">
        <f>"3차"</f>
        <v>3차</v>
      </c>
      <c r="D4641" s="1" t="str">
        <f>"0424B47239"</f>
        <v>0424B47239</v>
      </c>
      <c r="E4641" s="1" t="s">
        <v>10</v>
      </c>
      <c r="F4641" s="1" t="str">
        <f>"10.11.60.98"</f>
        <v>10.11.60.98</v>
      </c>
      <c r="G4641" s="1" t="str">
        <f>"0424B472"</f>
        <v>0424B472</v>
      </c>
      <c r="H4641" s="1" t="str">
        <f>"양구간 16L3"</f>
        <v>양구간 16L3</v>
      </c>
      <c r="I4641" s="1" t="s">
        <v>8</v>
      </c>
      <c r="J4641" s="1" t="str">
        <f>"11/11"</f>
        <v>11/11</v>
      </c>
      <c r="K4641" s="1" t="str">
        <f>"2026-07-29 13:18:02"</f>
        <v>2026-07-29 13:18:02</v>
      </c>
      <c r="L4641" s="1" t="str">
        <f>"2018-05-30 08:54:23"</f>
        <v>2018-05-30 08:54:23</v>
      </c>
      <c r="M4641" s="1" t="s">
        <v>2</v>
      </c>
      <c r="N4641" s="1" t="s">
        <v>38</v>
      </c>
      <c r="O4641" s="1" t="s">
        <v>46</v>
      </c>
    </row>
    <row r="4642" spans="2:15" x14ac:dyDescent="0.3">
      <c r="B4642" s="1" t="s">
        <v>23</v>
      </c>
      <c r="C4642" s="1" t="str">
        <f>"3차"</f>
        <v>3차</v>
      </c>
      <c r="D4642" s="1" t="str">
        <f>"0424B47539"</f>
        <v>0424B47539</v>
      </c>
      <c r="E4642" s="1" t="s">
        <v>10</v>
      </c>
      <c r="F4642" s="1" t="str">
        <f>"10.11.60.90"</f>
        <v>10.11.60.90</v>
      </c>
      <c r="G4642" s="1" t="str">
        <f>"0424B475"</f>
        <v>0424B475</v>
      </c>
      <c r="H4642" s="1" t="str">
        <f>"양구간 16L2R1"</f>
        <v>양구간 16L2R1</v>
      </c>
      <c r="I4642" s="1" t="s">
        <v>8</v>
      </c>
      <c r="J4642" s="1" t="str">
        <f>"23/23"</f>
        <v>23/23</v>
      </c>
      <c r="K4642" s="1" t="str">
        <f>"2026-07-29 13:18:03"</f>
        <v>2026-07-29 13:18:03</v>
      </c>
      <c r="L4642" s="1" t="str">
        <f>"2018-05-30 08:46:23"</f>
        <v>2018-05-30 08:46:23</v>
      </c>
      <c r="M4642" s="1" t="s">
        <v>2</v>
      </c>
      <c r="N4642" s="1" t="s">
        <v>38</v>
      </c>
      <c r="O4642" s="1" t="s">
        <v>46</v>
      </c>
    </row>
    <row r="4643" spans="2:15" x14ac:dyDescent="0.3">
      <c r="B4643" s="1" t="s">
        <v>23</v>
      </c>
      <c r="C4643" s="1" t="str">
        <f>"6차"</f>
        <v>6차</v>
      </c>
      <c r="D4643" s="1" t="str">
        <f>"0424B5326S"</f>
        <v>0424B5326S</v>
      </c>
      <c r="E4643" s="1" t="s">
        <v>10</v>
      </c>
      <c r="F4643" s="1" t="str">
        <f>"fde1:103:4:9346:0:0:0:2"</f>
        <v>fde1:103:4:9346:0:0:0:2</v>
      </c>
      <c r="G4643" s="1" t="str">
        <f>"0424B532"</f>
        <v>0424B532</v>
      </c>
      <c r="H4643" s="1" t="str">
        <f>"양구간 9L10A1"</f>
        <v>양구간 9L10A1</v>
      </c>
      <c r="I4643" s="1" t="s">
        <v>15</v>
      </c>
      <c r="J4643" s="1" t="str">
        <f>"93/115"</f>
        <v>93/115</v>
      </c>
      <c r="K4643" s="1" t="str">
        <f>"2026-07-29 14:20:46"</f>
        <v>2026-07-29 14:20:46</v>
      </c>
      <c r="L4643" s="1" t="str">
        <f>"2025-02-05 16:43:53"</f>
        <v>2025-02-05 16:43:53</v>
      </c>
      <c r="M4643" s="1" t="s">
        <v>4</v>
      </c>
      <c r="N4643" s="1" t="s">
        <v>38</v>
      </c>
      <c r="O4643" s="1" t="s">
        <v>46</v>
      </c>
    </row>
    <row r="4644" spans="2:15" x14ac:dyDescent="0.3">
      <c r="B4644" s="1" t="s">
        <v>23</v>
      </c>
      <c r="C4644" s="1" t="str">
        <f>"6차"</f>
        <v>6차</v>
      </c>
      <c r="D4644" s="1" t="str">
        <f>"0424B5436S"</f>
        <v>0424B5436S</v>
      </c>
      <c r="E4644" s="1" t="s">
        <v>10</v>
      </c>
      <c r="F4644" s="1" t="str">
        <f>"fde1:103:4:9350:0:0:0:2"</f>
        <v>fde1:103:4:9350:0:0:0:2</v>
      </c>
      <c r="G4644" s="1" t="str">
        <f>"0424B543"</f>
        <v>0424B543</v>
      </c>
      <c r="H4644" s="1" t="str">
        <f>"양구간 9L9H1"</f>
        <v>양구간 9L9H1</v>
      </c>
      <c r="I4644" s="1" t="s">
        <v>15</v>
      </c>
      <c r="J4644" s="1" t="str">
        <f>"75/79"</f>
        <v>75/79</v>
      </c>
      <c r="K4644" s="1" t="str">
        <f>"2026-07-29 14:21:06"</f>
        <v>2026-07-29 14:21:06</v>
      </c>
      <c r="L4644" s="1" t="str">
        <f>"2025-02-05 16:31:43"</f>
        <v>2025-02-05 16:31:43</v>
      </c>
      <c r="M4644" s="1" t="s">
        <v>4</v>
      </c>
      <c r="N4644" s="1" t="s">
        <v>38</v>
      </c>
      <c r="O4644" s="1" t="s">
        <v>46</v>
      </c>
    </row>
    <row r="4645" spans="2:15" x14ac:dyDescent="0.3">
      <c r="B4645" s="1" t="s">
        <v>23</v>
      </c>
      <c r="C4645" s="1" t="str">
        <f>"5-2차"</f>
        <v>5-2차</v>
      </c>
      <c r="D4645" s="1" t="str">
        <f>"0424B5525M"</f>
        <v>0424B5525M</v>
      </c>
      <c r="E4645" s="1" t="s">
        <v>10</v>
      </c>
      <c r="F4645" s="1" t="str">
        <f>"fde3:102:1440:1400:0:0:0:6"</f>
        <v>fde3:102:1440:1400:0:0:0:6</v>
      </c>
      <c r="G4645" s="1" t="str">
        <f>"0424B552"</f>
        <v>0424B552</v>
      </c>
      <c r="H4645" s="1" t="str">
        <f>"양구간 9L8"</f>
        <v>양구간 9L8</v>
      </c>
      <c r="I4645" s="1" t="s">
        <v>15</v>
      </c>
      <c r="J4645" s="1" t="str">
        <f>"119/119"</f>
        <v>119/119</v>
      </c>
      <c r="K4645" s="1" t="str">
        <f>"2026-07-29 14:21:05"</f>
        <v>2026-07-29 14:21:05</v>
      </c>
      <c r="L4645" s="1" t="str">
        <f>"2023-06-20 22:02:28"</f>
        <v>2023-06-20 22:02:28</v>
      </c>
      <c r="M4645" s="1" t="s">
        <v>45</v>
      </c>
      <c r="N4645" s="1" t="s">
        <v>38</v>
      </c>
      <c r="O4645" s="1" t="s">
        <v>46</v>
      </c>
    </row>
    <row r="4646" spans="2:15" x14ac:dyDescent="0.3">
      <c r="B4646" s="1" t="s">
        <v>23</v>
      </c>
      <c r="C4646" s="1" t="str">
        <f>"6차"</f>
        <v>6차</v>
      </c>
      <c r="D4646" s="1" t="str">
        <f>"0424B5636S"</f>
        <v>0424B5636S</v>
      </c>
      <c r="E4646" s="1" t="s">
        <v>10</v>
      </c>
      <c r="F4646" s="1" t="str">
        <f>"fde3:102:1440:1200:0:0:0:7"</f>
        <v>fde3:102:1440:1200:0:0:0:7</v>
      </c>
      <c r="G4646" s="1" t="str">
        <f>"0424B563"</f>
        <v>0424B563</v>
      </c>
      <c r="H4646" s="1" t="str">
        <f>"양구간 9L5"</f>
        <v>양구간 9L5</v>
      </c>
      <c r="I4646" s="1" t="s">
        <v>15</v>
      </c>
      <c r="J4646" s="1" t="str">
        <f>"46/64"</f>
        <v>46/64</v>
      </c>
      <c r="K4646" s="1" t="str">
        <f>"2026-07-25 08:20:55"</f>
        <v>2026-07-25 08:20:55</v>
      </c>
      <c r="L4646" s="1" t="str">
        <f>"2024-10-10 11:02:18"</f>
        <v>2024-10-10 11:02:18</v>
      </c>
      <c r="M4646" s="1" t="s">
        <v>45</v>
      </c>
      <c r="N4646" s="1" t="s">
        <v>38</v>
      </c>
      <c r="O4646" s="1" t="s">
        <v>46</v>
      </c>
    </row>
    <row r="4647" spans="2:15" x14ac:dyDescent="0.3">
      <c r="B4647" s="1" t="s">
        <v>23</v>
      </c>
      <c r="C4647" s="1" t="str">
        <f>"3차"</f>
        <v>3차</v>
      </c>
      <c r="D4647" s="1" t="str">
        <f>"0424B58139"</f>
        <v>0424B58139</v>
      </c>
      <c r="E4647" s="1" t="s">
        <v>10</v>
      </c>
      <c r="F4647" s="1" t="str">
        <f>"10.11.57.82"</f>
        <v>10.11.57.82</v>
      </c>
      <c r="G4647" s="1" t="str">
        <f>"0424B581"</f>
        <v>0424B581</v>
      </c>
      <c r="H4647" s="1" t="str">
        <f>"양구간 9L3R2"</f>
        <v>양구간 9L3R2</v>
      </c>
      <c r="I4647" s="1" t="s">
        <v>8</v>
      </c>
      <c r="J4647" s="1" t="str">
        <f>"65/65"</f>
        <v>65/65</v>
      </c>
      <c r="K4647" s="1" t="str">
        <f>"2026-07-29 13:18:02"</f>
        <v>2026-07-29 13:18:02</v>
      </c>
      <c r="L4647" s="1" t="str">
        <f>"2018-05-28 14:47:25"</f>
        <v>2018-05-28 14:47:25</v>
      </c>
      <c r="M4647" s="1" t="s">
        <v>2</v>
      </c>
      <c r="N4647" s="1" t="s">
        <v>38</v>
      </c>
      <c r="O4647" s="1" t="s">
        <v>46</v>
      </c>
    </row>
    <row r="4648" spans="2:15" x14ac:dyDescent="0.3">
      <c r="B4648" s="1" t="s">
        <v>23</v>
      </c>
      <c r="C4648" s="1" t="str">
        <f>"5-2차"</f>
        <v>5-2차</v>
      </c>
      <c r="D4648" s="1" t="str">
        <f>"0424B5925M"</f>
        <v>0424B5925M</v>
      </c>
      <c r="E4648" s="1" t="s">
        <v>10</v>
      </c>
      <c r="F4648" s="1" t="str">
        <f>"fde3:102:1440:1200:0:0:0:5"</f>
        <v>fde3:102:1440:1200:0:0:0:5</v>
      </c>
      <c r="G4648" s="1" t="str">
        <f>"0424B592"</f>
        <v>0424B592</v>
      </c>
      <c r="H4648" s="1" t="str">
        <f>"양구간 11"</f>
        <v>양구간 11</v>
      </c>
      <c r="I4648" s="1" t="s">
        <v>15</v>
      </c>
      <c r="J4648" s="1" t="str">
        <f>"83/83"</f>
        <v>83/83</v>
      </c>
      <c r="K4648" s="1" t="str">
        <f>"2026-07-29 14:21:05"</f>
        <v>2026-07-29 14:21:05</v>
      </c>
      <c r="L4648" s="1" t="str">
        <f>"2023-10-16 15:12:57"</f>
        <v>2023-10-16 15:12:57</v>
      </c>
      <c r="M4648" s="1" t="s">
        <v>45</v>
      </c>
      <c r="N4648" s="1" t="s">
        <v>38</v>
      </c>
      <c r="O4648" s="1" t="s">
        <v>46</v>
      </c>
    </row>
    <row r="4649" spans="2:15" x14ac:dyDescent="0.3">
      <c r="B4649" s="1" t="s">
        <v>23</v>
      </c>
      <c r="C4649" s="1" t="str">
        <f>"1차"</f>
        <v>1차</v>
      </c>
      <c r="D4649" s="1" t="str">
        <f>"0424B60100"</f>
        <v>0424B60100</v>
      </c>
      <c r="E4649" s="1" t="s">
        <v>10</v>
      </c>
      <c r="F4649" s="1" t="str">
        <f>"10.125.3.2"</f>
        <v>10.125.3.2</v>
      </c>
      <c r="G4649" s="1" t="str">
        <f>"0424B601"</f>
        <v>0424B601</v>
      </c>
      <c r="H4649" s="1" t="str">
        <f>"구의간 21R1"</f>
        <v>구의간 21R1</v>
      </c>
      <c r="I4649" s="1" t="s">
        <v>8</v>
      </c>
      <c r="J4649" s="1" t="str">
        <f>"8/8"</f>
        <v>8/8</v>
      </c>
      <c r="K4649" s="1" t="str">
        <f>"2026-07-29 13:18:03"</f>
        <v>2026-07-29 13:18:03</v>
      </c>
      <c r="L4649" s="1" t="str">
        <f>"2014-12-18 15:55:43"</f>
        <v>2014-12-18 15:55:43</v>
      </c>
      <c r="M4649" s="1" t="s">
        <v>45</v>
      </c>
      <c r="N4649" s="1" t="s">
        <v>38</v>
      </c>
      <c r="O4649" s="1" t="s">
        <v>46</v>
      </c>
    </row>
    <row r="4650" spans="2:15" x14ac:dyDescent="0.3">
      <c r="B4650" s="1" t="s">
        <v>23</v>
      </c>
      <c r="C4650" s="1" t="str">
        <f>"6차"</f>
        <v>6차</v>
      </c>
      <c r="D4650" s="1" t="str">
        <f>"0424B6226S"</f>
        <v>0424B6226S</v>
      </c>
      <c r="E4650" s="1" t="s">
        <v>10</v>
      </c>
      <c r="F4650" s="1" t="str">
        <f>"fde1:103:4:9373:0:0:0:2"</f>
        <v>fde1:103:4:9373:0:0:0:2</v>
      </c>
      <c r="G4650" s="1" t="str">
        <f>"0424B622"</f>
        <v>0424B622</v>
      </c>
      <c r="H4650" s="1" t="str">
        <f>"양구간 6L12"</f>
        <v>양구간 6L12</v>
      </c>
      <c r="I4650" s="1" t="s">
        <v>15</v>
      </c>
      <c r="J4650" s="1" t="str">
        <f>"57/74"</f>
        <v>57/74</v>
      </c>
      <c r="K4650" s="1" t="str">
        <f>"2026-07-29 14:20:32"</f>
        <v>2026-07-29 14:20:32</v>
      </c>
      <c r="L4650" s="1" t="str">
        <f>"2025-02-05 16:31:55"</f>
        <v>2025-02-05 16:31:55</v>
      </c>
      <c r="M4650" s="1" t="s">
        <v>4</v>
      </c>
      <c r="N4650" s="1" t="s">
        <v>38</v>
      </c>
      <c r="O4650" s="1" t="s">
        <v>46</v>
      </c>
    </row>
    <row r="4651" spans="2:15" x14ac:dyDescent="0.3">
      <c r="B4651" s="1" t="s">
        <v>23</v>
      </c>
      <c r="C4651" s="1" t="str">
        <f>"6차"</f>
        <v>6차</v>
      </c>
      <c r="D4651" s="1" t="str">
        <f>"0424B6256S"</f>
        <v>0424B6256S</v>
      </c>
      <c r="E4651" s="1" t="s">
        <v>10</v>
      </c>
      <c r="F4651" s="1" t="str">
        <f>"fde1:103:4:c5cb:0:0:0:2"</f>
        <v>fde1:103:4:c5cb:0:0:0:2</v>
      </c>
      <c r="G4651" s="1" t="str">
        <f>"0424B625"</f>
        <v>0424B625</v>
      </c>
      <c r="H4651" s="1" t="str">
        <f>"양구간 6L11"</f>
        <v>양구간 6L11</v>
      </c>
      <c r="I4651" s="1" t="s">
        <v>15</v>
      </c>
      <c r="J4651" s="1" t="str">
        <f>"70/72"</f>
        <v>70/72</v>
      </c>
      <c r="K4651" s="1" t="str">
        <f>"2026-07-29 14:20:46"</f>
        <v>2026-07-29 14:20:46</v>
      </c>
      <c r="L4651" s="1" t="str">
        <f>"2025-02-05 16:31:31"</f>
        <v>2025-02-05 16:31:31</v>
      </c>
      <c r="M4651" s="1" t="s">
        <v>4</v>
      </c>
      <c r="N4651" s="1" t="s">
        <v>38</v>
      </c>
      <c r="O4651" s="1" t="s">
        <v>46</v>
      </c>
    </row>
    <row r="4652" spans="2:15" x14ac:dyDescent="0.3">
      <c r="B4652" s="1" t="s">
        <v>23</v>
      </c>
      <c r="C4652" s="1" t="str">
        <f>"1차"</f>
        <v>1차</v>
      </c>
      <c r="D4652" s="1" t="str">
        <f>"0424B64101"</f>
        <v>0424B64101</v>
      </c>
      <c r="E4652" s="1" t="s">
        <v>10</v>
      </c>
      <c r="F4652" s="1" t="str">
        <f>"10.12.128.227"</f>
        <v>10.12.128.227</v>
      </c>
      <c r="G4652" s="1" t="str">
        <f>"0424B641"</f>
        <v>0424B641</v>
      </c>
      <c r="H4652" s="1" t="str">
        <f>"양구간 6L4R2L2"</f>
        <v>양구간 6L4R2L2</v>
      </c>
      <c r="I4652" s="1" t="s">
        <v>8</v>
      </c>
      <c r="J4652" s="1" t="str">
        <f>"70/74"</f>
        <v>70/74</v>
      </c>
      <c r="K4652" s="1" t="str">
        <f>"2026-07-29 13:18:04"</f>
        <v>2026-07-29 13:18:04</v>
      </c>
      <c r="L4652" s="1" t="str">
        <f>"2014-12-05 18:10:38"</f>
        <v>2014-12-05 18:10:38</v>
      </c>
      <c r="M4652" s="1" t="s">
        <v>0</v>
      </c>
      <c r="N4652" s="1" t="s">
        <v>38</v>
      </c>
      <c r="O4652" s="1" t="s">
        <v>46</v>
      </c>
    </row>
    <row r="4653" spans="2:15" x14ac:dyDescent="0.3">
      <c r="B4653" s="1" t="s">
        <v>23</v>
      </c>
      <c r="C4653" s="1" t="str">
        <f>"1차"</f>
        <v>1차</v>
      </c>
      <c r="D4653" s="1" t="str">
        <f>"0424B66100"</f>
        <v>0424B66100</v>
      </c>
      <c r="E4653" s="1" t="s">
        <v>10</v>
      </c>
      <c r="F4653" s="1" t="str">
        <f>"10.125.3.18"</f>
        <v>10.125.3.18</v>
      </c>
      <c r="G4653" s="1" t="str">
        <f>"0424B661"</f>
        <v>0424B661</v>
      </c>
      <c r="H4653" s="1" t="str">
        <f>"양구간 6L4R2"</f>
        <v>양구간 6L4R2</v>
      </c>
      <c r="I4653" s="1" t="s">
        <v>8</v>
      </c>
      <c r="J4653" s="1" t="str">
        <f>"127/129"</f>
        <v>127/129</v>
      </c>
      <c r="K4653" s="1" t="str">
        <f>"2026-07-29 13:18:03"</f>
        <v>2026-07-29 13:18:03</v>
      </c>
      <c r="L4653" s="1" t="str">
        <f>"2014-11-25 14:13:09"</f>
        <v>2014-11-25 14:13:09</v>
      </c>
      <c r="M4653" s="1" t="s">
        <v>45</v>
      </c>
      <c r="N4653" s="1" t="s">
        <v>38</v>
      </c>
      <c r="O4653" s="1" t="s">
        <v>46</v>
      </c>
    </row>
    <row r="4654" spans="2:15" x14ac:dyDescent="0.3">
      <c r="B4654" s="1" t="s">
        <v>23</v>
      </c>
      <c r="C4654" s="1" t="str">
        <f>"5-2차"</f>
        <v>5-2차</v>
      </c>
      <c r="D4654" s="1" t="str">
        <f>"0424B6815M"</f>
        <v>0424B6815M</v>
      </c>
      <c r="E4654" s="1" t="s">
        <v>10</v>
      </c>
      <c r="F4654" s="1" t="str">
        <f>"fde3:102:1440:1200:0:0:0:6"</f>
        <v>fde3:102:1440:1200:0:0:0:6</v>
      </c>
      <c r="G4654" s="1" t="str">
        <f>"0424B681"</f>
        <v>0424B681</v>
      </c>
      <c r="H4654" s="1" t="str">
        <f>"양구간 9L2"</f>
        <v>양구간 9L2</v>
      </c>
      <c r="I4654" s="1" t="s">
        <v>15</v>
      </c>
      <c r="J4654" s="1" t="str">
        <f>"177/177"</f>
        <v>177/177</v>
      </c>
      <c r="K4654" s="1" t="str">
        <f>"2026-07-29 14:20:23"</f>
        <v>2026-07-29 14:20:23</v>
      </c>
      <c r="L4654" s="1" t="str">
        <f>"2024-02-27 18:03:44"</f>
        <v>2024-02-27 18:03:44</v>
      </c>
      <c r="M4654" s="1" t="s">
        <v>45</v>
      </c>
      <c r="N4654" s="1" t="s">
        <v>38</v>
      </c>
      <c r="O4654" s="1" t="s">
        <v>46</v>
      </c>
    </row>
    <row r="4655" spans="2:15" x14ac:dyDescent="0.3">
      <c r="B4655" s="1" t="s">
        <v>23</v>
      </c>
      <c r="C4655" s="1" t="str">
        <f>"1차"</f>
        <v>1차</v>
      </c>
      <c r="D4655" s="1" t="str">
        <f>"0424B69101"</f>
        <v>0424B69101</v>
      </c>
      <c r="E4655" s="1" t="s">
        <v>10</v>
      </c>
      <c r="F4655" s="1" t="str">
        <f>"10.14.7.200"</f>
        <v>10.14.7.200</v>
      </c>
      <c r="G4655" s="1" t="str">
        <f>"0424B691"</f>
        <v>0424B691</v>
      </c>
      <c r="H4655" s="1" t="str">
        <f>"양구간 9"</f>
        <v>양구간 9</v>
      </c>
      <c r="I4655" s="1" t="s">
        <v>8</v>
      </c>
      <c r="J4655" s="1" t="str">
        <f>"34/34"</f>
        <v>34/34</v>
      </c>
      <c r="K4655" s="1" t="str">
        <f>"2026-07-29 13:18:02"</f>
        <v>2026-07-29 13:18:02</v>
      </c>
      <c r="L4655" s="1" t="str">
        <f>"2014-12-12 17:59:18"</f>
        <v>2014-12-12 17:59:18</v>
      </c>
      <c r="M4655" s="1" t="s">
        <v>3</v>
      </c>
      <c r="N4655" s="1" t="s">
        <v>38</v>
      </c>
      <c r="O4655" s="1" t="s">
        <v>46</v>
      </c>
    </row>
    <row r="4656" spans="2:15" x14ac:dyDescent="0.3">
      <c r="B4656" s="1" t="s">
        <v>23</v>
      </c>
      <c r="C4656" s="1" t="str">
        <f>"1차"</f>
        <v>1차</v>
      </c>
      <c r="D4656" s="1" t="str">
        <f>"0424B69300"</f>
        <v>0424B69300</v>
      </c>
      <c r="E4656" s="1" t="s">
        <v>10</v>
      </c>
      <c r="F4656" s="1" t="str">
        <f>"10.125.3.26"</f>
        <v>10.125.3.26</v>
      </c>
      <c r="G4656" s="1" t="str">
        <f>"0424B693"</f>
        <v>0424B693</v>
      </c>
      <c r="H4656" s="1" t="str">
        <f>"양구간 8"</f>
        <v>양구간 8</v>
      </c>
      <c r="I4656" s="1" t="s">
        <v>8</v>
      </c>
      <c r="J4656" s="1" t="str">
        <f>"95/97"</f>
        <v>95/97</v>
      </c>
      <c r="K4656" s="1" t="str">
        <f>"2026-07-29 13:18:03"</f>
        <v>2026-07-29 13:18:03</v>
      </c>
      <c r="L4656" s="1" t="str">
        <f>"2014-11-25 14:14:51"</f>
        <v>2014-11-25 14:14:51</v>
      </c>
      <c r="M4656" s="1" t="s">
        <v>45</v>
      </c>
      <c r="N4656" s="1" t="s">
        <v>38</v>
      </c>
      <c r="O4656" s="1" t="s">
        <v>46</v>
      </c>
    </row>
    <row r="4657" spans="2:15" x14ac:dyDescent="0.3">
      <c r="B4657" s="1" t="s">
        <v>23</v>
      </c>
      <c r="C4657" s="1" t="str">
        <f>"6차"</f>
        <v>6차</v>
      </c>
      <c r="D4657" s="1" t="str">
        <f>"0424B7056S"</f>
        <v>0424B7056S</v>
      </c>
      <c r="E4657" s="1" t="s">
        <v>10</v>
      </c>
      <c r="F4657" s="1" t="str">
        <f>"fde1:103:4:9139:0:0:0:2"</f>
        <v>fde1:103:4:9139:0:0:0:2</v>
      </c>
      <c r="G4657" s="1" t="str">
        <f>"0424B705"</f>
        <v>0424B705</v>
      </c>
      <c r="H4657" s="1" t="str">
        <f>"구의간 19H1"</f>
        <v>구의간 19H1</v>
      </c>
      <c r="I4657" s="1" t="s">
        <v>15</v>
      </c>
      <c r="J4657" s="1" t="str">
        <f>"35/35"</f>
        <v>35/35</v>
      </c>
      <c r="K4657" s="1" t="str">
        <f>"2026-07-29 14:20:57"</f>
        <v>2026-07-29 14:20:57</v>
      </c>
      <c r="L4657" s="1" t="str">
        <f>"2024-09-25 19:56:50"</f>
        <v>2024-09-25 19:56:50</v>
      </c>
      <c r="M4657" s="1" t="s">
        <v>4</v>
      </c>
      <c r="N4657" s="1" t="s">
        <v>38</v>
      </c>
      <c r="O4657" s="1" t="s">
        <v>46</v>
      </c>
    </row>
    <row r="4658" spans="2:15" x14ac:dyDescent="0.3">
      <c r="B4658" s="1" t="s">
        <v>23</v>
      </c>
      <c r="C4658" s="1" t="str">
        <f>"1차"</f>
        <v>1차</v>
      </c>
      <c r="D4658" s="1" t="str">
        <f>"0424B74100"</f>
        <v>0424B74100</v>
      </c>
      <c r="E4658" s="1" t="s">
        <v>10</v>
      </c>
      <c r="F4658" s="1" t="str">
        <f>"10.125.3.34"</f>
        <v>10.125.3.34</v>
      </c>
      <c r="G4658" s="1" t="str">
        <f>"0424B741"</f>
        <v>0424B741</v>
      </c>
      <c r="H4658" s="1" t="str">
        <f>"양구간 6L7"</f>
        <v>양구간 6L7</v>
      </c>
      <c r="I4658" s="1" t="s">
        <v>8</v>
      </c>
      <c r="J4658" s="1" t="str">
        <f>"155/156"</f>
        <v>155/156</v>
      </c>
      <c r="K4658" s="1" t="str">
        <f>"2026-07-29 13:18:03"</f>
        <v>2026-07-29 13:18:03</v>
      </c>
      <c r="L4658" s="1" t="str">
        <f>"2014-12-04 16:52:30"</f>
        <v>2014-12-04 16:52:30</v>
      </c>
      <c r="M4658" s="1" t="s">
        <v>45</v>
      </c>
      <c r="N4658" s="1" t="s">
        <v>38</v>
      </c>
      <c r="O4658" s="1" t="s">
        <v>46</v>
      </c>
    </row>
    <row r="4659" spans="2:15" x14ac:dyDescent="0.3">
      <c r="B4659" s="1" t="s">
        <v>23</v>
      </c>
      <c r="C4659" s="1" t="str">
        <f>"1차"</f>
        <v>1차</v>
      </c>
      <c r="D4659" s="1" t="str">
        <f>"0424B74201"</f>
        <v>0424B74201</v>
      </c>
      <c r="E4659" s="1" t="s">
        <v>10</v>
      </c>
      <c r="F4659" s="1" t="str">
        <f>"10.125.3.35"</f>
        <v>10.125.3.35</v>
      </c>
      <c r="G4659" s="1" t="str">
        <f>"0424B742"</f>
        <v>0424B742</v>
      </c>
      <c r="H4659" s="1" t="str">
        <f>"양구간 6L9"</f>
        <v>양구간 6L9</v>
      </c>
      <c r="I4659" s="1" t="s">
        <v>8</v>
      </c>
      <c r="J4659" s="1" t="str">
        <f>"23/23"</f>
        <v>23/23</v>
      </c>
      <c r="K4659" s="1" t="str">
        <f>"2026-07-29 13:18:03"</f>
        <v>2026-07-29 13:18:03</v>
      </c>
      <c r="L4659" s="1" t="str">
        <f>"2014-12-05 10:27:42"</f>
        <v>2014-12-05 10:27:42</v>
      </c>
      <c r="M4659" s="1" t="s">
        <v>45</v>
      </c>
      <c r="N4659" s="1" t="s">
        <v>38</v>
      </c>
      <c r="O4659" s="1" t="s">
        <v>46</v>
      </c>
    </row>
    <row r="4660" spans="2:15" x14ac:dyDescent="0.3">
      <c r="B4660" s="1" t="s">
        <v>23</v>
      </c>
      <c r="C4660" s="1" t="str">
        <f>"6차"</f>
        <v>6차</v>
      </c>
      <c r="D4660" s="1" t="str">
        <f>"0424B7526S"</f>
        <v>0424B7526S</v>
      </c>
      <c r="E4660" s="1" t="s">
        <v>10</v>
      </c>
      <c r="F4660" s="1" t="str">
        <f>"fde1:103:4:92b9:0:0:0:2"</f>
        <v>fde1:103:4:92b9:0:0:0:2</v>
      </c>
      <c r="G4660" s="1" t="str">
        <f>"0424B752"</f>
        <v>0424B752</v>
      </c>
      <c r="H4660" s="1" t="str">
        <f>"양구간 6L5"</f>
        <v>양구간 6L5</v>
      </c>
      <c r="I4660" s="1" t="s">
        <v>15</v>
      </c>
      <c r="J4660" s="1" t="str">
        <f>"46/53"</f>
        <v>46/53</v>
      </c>
      <c r="K4660" s="1" t="str">
        <f>"2026-07-29 14:20:28"</f>
        <v>2026-07-29 14:20:28</v>
      </c>
      <c r="L4660" s="1" t="str">
        <f>"2025-02-24 13:24:59"</f>
        <v>2025-02-24 13:24:59</v>
      </c>
      <c r="M4660" s="1" t="s">
        <v>4</v>
      </c>
      <c r="N4660" s="1" t="s">
        <v>38</v>
      </c>
      <c r="O4660" s="1" t="s">
        <v>46</v>
      </c>
    </row>
    <row r="4661" spans="2:15" x14ac:dyDescent="0.3">
      <c r="B4661" s="1" t="s">
        <v>23</v>
      </c>
      <c r="C4661" s="1" t="str">
        <f>"5-2차"</f>
        <v>5-2차</v>
      </c>
      <c r="D4661" s="1" t="str">
        <f>"0424B7725M"</f>
        <v>0424B7725M</v>
      </c>
      <c r="E4661" s="1" t="s">
        <v>10</v>
      </c>
      <c r="F4661" s="1" t="str">
        <f>"fde3:102:1440:1400:0:0:0:5"</f>
        <v>fde3:102:1440:1400:0:0:0:5</v>
      </c>
      <c r="G4661" s="1" t="str">
        <f>"0424B772"</f>
        <v>0424B772</v>
      </c>
      <c r="H4661" s="1" t="str">
        <f>"양구간 6L3"</f>
        <v>양구간 6L3</v>
      </c>
      <c r="I4661" s="1" t="s">
        <v>15</v>
      </c>
      <c r="J4661" s="1" t="str">
        <f>"42/42"</f>
        <v>42/42</v>
      </c>
      <c r="K4661" s="1" t="str">
        <f>"2026-07-29 14:20:45"</f>
        <v>2026-07-29 14:20:45</v>
      </c>
      <c r="L4661" s="1" t="str">
        <f>"2023-06-19 17:59:03"</f>
        <v>2023-06-19 17:59:03</v>
      </c>
      <c r="M4661" s="1" t="s">
        <v>45</v>
      </c>
      <c r="N4661" s="1" t="s">
        <v>38</v>
      </c>
      <c r="O4661" s="1" t="s">
        <v>46</v>
      </c>
    </row>
    <row r="4662" spans="2:15" x14ac:dyDescent="0.3">
      <c r="B4662" s="1" t="s">
        <v>23</v>
      </c>
      <c r="C4662" s="1" t="str">
        <f>"5-1차"</f>
        <v>5-1차</v>
      </c>
      <c r="D4662" s="1" t="str">
        <f>"0424B7745M"</f>
        <v>0424B7745M</v>
      </c>
      <c r="E4662" s="1" t="s">
        <v>10</v>
      </c>
      <c r="F4662" s="1" t="str">
        <f>"fde3:102:1440:1200:0:0:0:2"</f>
        <v>fde3:102:1440:1200:0:0:0:2</v>
      </c>
      <c r="G4662" s="1" t="str">
        <f>"0424B774"</f>
        <v>0424B774</v>
      </c>
      <c r="H4662" s="1" t="str">
        <f>"양구간 6L2R1"</f>
        <v>양구간 6L2R1</v>
      </c>
      <c r="I4662" s="1" t="s">
        <v>15</v>
      </c>
      <c r="J4662" s="1" t="str">
        <f>"98/98"</f>
        <v>98/98</v>
      </c>
      <c r="K4662" s="1" t="str">
        <f>"2026-07-29 14:20:37"</f>
        <v>2026-07-29 14:20:37</v>
      </c>
      <c r="L4662" s="1" t="str">
        <f>"2022-10-25 16:30:21"</f>
        <v>2022-10-25 16:30:21</v>
      </c>
      <c r="M4662" s="1" t="s">
        <v>45</v>
      </c>
      <c r="N4662" s="1" t="s">
        <v>38</v>
      </c>
      <c r="O4662" s="1" t="s">
        <v>46</v>
      </c>
    </row>
    <row r="4663" spans="2:15" x14ac:dyDescent="0.3">
      <c r="B4663" s="1" t="s">
        <v>23</v>
      </c>
      <c r="C4663" s="1" t="str">
        <f>"3차"</f>
        <v>3차</v>
      </c>
      <c r="D4663" s="1" t="str">
        <f>"0424B81339"</f>
        <v>0424B81339</v>
      </c>
      <c r="E4663" s="1" t="s">
        <v>10</v>
      </c>
      <c r="F4663" s="1" t="str">
        <f>"10.11.59.42"</f>
        <v>10.11.59.42</v>
      </c>
      <c r="G4663" s="1" t="str">
        <f>"0424B813"</f>
        <v>0424B813</v>
      </c>
      <c r="H4663" s="1" t="str">
        <f>"구의간 16R2R1"</f>
        <v>구의간 16R2R1</v>
      </c>
      <c r="I4663" s="1" t="s">
        <v>8</v>
      </c>
      <c r="J4663" s="1" t="str">
        <f>"34/34"</f>
        <v>34/34</v>
      </c>
      <c r="K4663" s="1" t="str">
        <f>"2026-07-29 13:18:02"</f>
        <v>2026-07-29 13:18:02</v>
      </c>
      <c r="L4663" s="1" t="str">
        <f>"2018-04-24 12:56:56"</f>
        <v>2018-04-24 12:56:56</v>
      </c>
      <c r="M4663" s="1" t="s">
        <v>2</v>
      </c>
      <c r="N4663" s="1" t="s">
        <v>38</v>
      </c>
      <c r="O4663" s="1" t="s">
        <v>46</v>
      </c>
    </row>
    <row r="4664" spans="2:15" x14ac:dyDescent="0.3">
      <c r="B4664" s="1" t="s">
        <v>23</v>
      </c>
      <c r="C4664" s="1" t="str">
        <f>"3차"</f>
        <v>3차</v>
      </c>
      <c r="D4664" s="1" t="str">
        <f>"0424B82130"</f>
        <v>0424B82130</v>
      </c>
      <c r="E4664" s="1" t="s">
        <v>10</v>
      </c>
      <c r="F4664" s="1" t="str">
        <f>"10.11.53.114"</f>
        <v>10.11.53.114</v>
      </c>
      <c r="G4664" s="1" t="str">
        <f>"0424B821"</f>
        <v>0424B821</v>
      </c>
      <c r="H4664" s="1" t="str">
        <f>"양구간 6L10L2"</f>
        <v>양구간 6L10L2</v>
      </c>
      <c r="I4664" s="1" t="s">
        <v>8</v>
      </c>
      <c r="J4664" s="1" t="str">
        <f>"74/74"</f>
        <v>74/74</v>
      </c>
      <c r="K4664" s="1" t="str">
        <f>"2026-07-29 13:18:03"</f>
        <v>2026-07-29 13:18:03</v>
      </c>
      <c r="L4664" s="1" t="str">
        <f>"2018-05-28 13:16:40"</f>
        <v>2018-05-28 13:16:40</v>
      </c>
      <c r="M4664" s="1" t="s">
        <v>2</v>
      </c>
      <c r="N4664" s="1" t="s">
        <v>38</v>
      </c>
      <c r="O4664" s="1" t="s">
        <v>46</v>
      </c>
    </row>
    <row r="4665" spans="2:15" x14ac:dyDescent="0.3">
      <c r="B4665" s="1" t="s">
        <v>23</v>
      </c>
      <c r="C4665" s="1" t="str">
        <f>"3차"</f>
        <v>3차</v>
      </c>
      <c r="D4665" s="1" t="str">
        <f>"0424B82231"</f>
        <v>0424B82231</v>
      </c>
      <c r="E4665" s="1" t="s">
        <v>10</v>
      </c>
      <c r="F4665" s="1" t="str">
        <f>"10.11.53.115"</f>
        <v>10.11.53.115</v>
      </c>
      <c r="G4665" s="1" t="str">
        <f>"0424B822"</f>
        <v>0424B822</v>
      </c>
      <c r="H4665" s="1" t="str">
        <f>"양구간 6L10L3"</f>
        <v>양구간 6L10L3</v>
      </c>
      <c r="I4665" s="1" t="s">
        <v>8</v>
      </c>
      <c r="J4665" s="1" t="str">
        <f>"71/72"</f>
        <v>71/72</v>
      </c>
      <c r="K4665" s="1" t="str">
        <f>"2026-07-29 13:18:03"</f>
        <v>2026-07-29 13:18:03</v>
      </c>
      <c r="L4665" s="1" t="str">
        <f>"2018-06-08 14:46:13"</f>
        <v>2018-06-08 14:46:13</v>
      </c>
      <c r="M4665" s="1" t="s">
        <v>2</v>
      </c>
      <c r="N4665" s="1" t="s">
        <v>38</v>
      </c>
      <c r="O4665" s="1" t="s">
        <v>46</v>
      </c>
    </row>
    <row r="4666" spans="2:15" x14ac:dyDescent="0.3">
      <c r="B4666" s="1" t="s">
        <v>23</v>
      </c>
      <c r="C4666" s="1" t="str">
        <f>"5-2차"</f>
        <v>5-2차</v>
      </c>
      <c r="D4666" s="1" t="str">
        <f>"0424B8625M"</f>
        <v>0424B8625M</v>
      </c>
      <c r="E4666" s="1" t="s">
        <v>10</v>
      </c>
      <c r="F4666" s="1" t="str">
        <f>"fde3:102:1440:1400:0:0:0:11"</f>
        <v>fde3:102:1440:1400:0:0:0:11</v>
      </c>
      <c r="G4666" s="1" t="str">
        <f>"0424B862"</f>
        <v>0424B862</v>
      </c>
      <c r="H4666" s="1" t="str">
        <f>"양구간 6L4L3"</f>
        <v>양구간 6L4L3</v>
      </c>
      <c r="I4666" s="1" t="s">
        <v>15</v>
      </c>
      <c r="J4666" s="1" t="str">
        <f>"111/112"</f>
        <v>111/112</v>
      </c>
      <c r="K4666" s="1" t="str">
        <f>"2026-07-29 14:20:45"</f>
        <v>2026-07-29 14:20:45</v>
      </c>
      <c r="L4666" s="1" t="str">
        <f>"2024-01-11 13:40:16"</f>
        <v>2024-01-11 13:40:16</v>
      </c>
      <c r="M4666" s="1" t="s">
        <v>45</v>
      </c>
      <c r="N4666" s="1" t="s">
        <v>38</v>
      </c>
      <c r="O4666" s="1" t="s">
        <v>46</v>
      </c>
    </row>
    <row r="4667" spans="2:15" x14ac:dyDescent="0.3">
      <c r="B4667" s="1" t="s">
        <v>23</v>
      </c>
      <c r="C4667" s="1" t="str">
        <f>"5-1차"</f>
        <v>5-1차</v>
      </c>
      <c r="D4667" s="1" t="str">
        <f>"0424B8715M"</f>
        <v>0424B8715M</v>
      </c>
      <c r="E4667" s="1" t="s">
        <v>10</v>
      </c>
      <c r="F4667" s="1" t="str">
        <f>"fde3:102:1440:1400:0:0:0:2"</f>
        <v>fde3:102:1440:1400:0:0:0:2</v>
      </c>
      <c r="G4667" s="1" t="str">
        <f>"0424B871"</f>
        <v>0424B871</v>
      </c>
      <c r="H4667" s="1" t="str">
        <f>"양구간 6L2L2"</f>
        <v>양구간 6L2L2</v>
      </c>
      <c r="I4667" s="1" t="s">
        <v>15</v>
      </c>
      <c r="J4667" s="1" t="str">
        <f>"105/106"</f>
        <v>105/106</v>
      </c>
      <c r="K4667" s="1" t="str">
        <f>"2026-07-29 14:21:06"</f>
        <v>2026-07-29 14:21:06</v>
      </c>
      <c r="L4667" s="1" t="str">
        <f>"2022-10-25 14:59:49"</f>
        <v>2022-10-25 14:59:49</v>
      </c>
      <c r="M4667" s="1" t="s">
        <v>45</v>
      </c>
      <c r="N4667" s="1" t="s">
        <v>38</v>
      </c>
      <c r="O4667" s="1" t="s">
        <v>46</v>
      </c>
    </row>
    <row r="4668" spans="2:15" x14ac:dyDescent="0.3">
      <c r="B4668" s="1" t="s">
        <v>23</v>
      </c>
      <c r="C4668" s="1" t="str">
        <f>"1차"</f>
        <v>1차</v>
      </c>
      <c r="D4668" s="1" t="str">
        <f>"0424B88100"</f>
        <v>0424B88100</v>
      </c>
      <c r="E4668" s="1" t="s">
        <v>10</v>
      </c>
      <c r="F4668" s="1" t="str">
        <f>"10.125.3.42"</f>
        <v>10.125.3.42</v>
      </c>
      <c r="G4668" s="1" t="str">
        <f>"0424B881"</f>
        <v>0424B881</v>
      </c>
      <c r="H4668" s="1" t="str">
        <f>"양구간 6L1"</f>
        <v>양구간 6L1</v>
      </c>
      <c r="I4668" s="1" t="s">
        <v>8</v>
      </c>
      <c r="J4668" s="1" t="str">
        <f>"32/32"</f>
        <v>32/32</v>
      </c>
      <c r="K4668" s="1" t="str">
        <f>"2026-07-29 13:18:03"</f>
        <v>2026-07-29 13:18:03</v>
      </c>
      <c r="L4668" s="1" t="str">
        <f>"2014-12-04 13:42:50"</f>
        <v>2014-12-04 13:42:50</v>
      </c>
      <c r="M4668" s="1" t="s">
        <v>45</v>
      </c>
      <c r="N4668" s="1" t="s">
        <v>38</v>
      </c>
      <c r="O4668" s="1" t="s">
        <v>46</v>
      </c>
    </row>
    <row r="4669" spans="2:15" x14ac:dyDescent="0.3">
      <c r="B4669" s="1" t="s">
        <v>23</v>
      </c>
      <c r="C4669" s="1" t="str">
        <f>"1차"</f>
        <v>1차</v>
      </c>
      <c r="D4669" s="1" t="str">
        <f>"0424B89101"</f>
        <v>0424B89101</v>
      </c>
      <c r="E4669" s="1" t="s">
        <v>10</v>
      </c>
      <c r="F4669" s="1" t="str">
        <f>"10.125.3.43"</f>
        <v>10.125.3.43</v>
      </c>
      <c r="G4669" s="1" t="str">
        <f>"0424B891"</f>
        <v>0424B891</v>
      </c>
      <c r="H4669" s="1" t="str">
        <f>"양구간 5"</f>
        <v>양구간 5</v>
      </c>
      <c r="I4669" s="1" t="s">
        <v>8</v>
      </c>
      <c r="J4669" s="1" t="str">
        <f>"67/71"</f>
        <v>67/71</v>
      </c>
      <c r="K4669" s="1" t="str">
        <f>"2026-07-29 13:18:03"</f>
        <v>2026-07-29 13:18:03</v>
      </c>
      <c r="L4669" s="1" t="str">
        <f>"2014-12-05 14:43:03"</f>
        <v>2014-12-05 14:43:03</v>
      </c>
      <c r="M4669" s="1" t="s">
        <v>45</v>
      </c>
      <c r="N4669" s="1" t="s">
        <v>38</v>
      </c>
      <c r="O4669" s="1" t="s">
        <v>46</v>
      </c>
    </row>
    <row r="4670" spans="2:15" x14ac:dyDescent="0.3">
      <c r="B4670" s="1" t="s">
        <v>23</v>
      </c>
      <c r="C4670" s="1" t="str">
        <f>"3차"</f>
        <v>3차</v>
      </c>
      <c r="D4670" s="1" t="str">
        <f>"0424B91239"</f>
        <v>0424B91239</v>
      </c>
      <c r="E4670" s="1" t="s">
        <v>10</v>
      </c>
      <c r="F4670" s="1" t="str">
        <f>"10.11.59.26"</f>
        <v>10.11.59.26</v>
      </c>
      <c r="G4670" s="1" t="str">
        <f>"0424B912"</f>
        <v>0424B912</v>
      </c>
      <c r="H4670" s="1" t="str">
        <f>"구의간 14"</f>
        <v>구의간 14</v>
      </c>
      <c r="I4670" s="1" t="s">
        <v>8</v>
      </c>
      <c r="J4670" s="1" t="str">
        <f>"48/48"</f>
        <v>48/48</v>
      </c>
      <c r="K4670" s="1" t="str">
        <f>"2026-07-29 13:18:03"</f>
        <v>2026-07-29 13:18:03</v>
      </c>
      <c r="L4670" s="1" t="str">
        <f>"2018-04-24 11:39:40"</f>
        <v>2018-04-24 11:39:40</v>
      </c>
      <c r="M4670" s="1" t="s">
        <v>2</v>
      </c>
      <c r="N4670" s="1" t="s">
        <v>38</v>
      </c>
      <c r="O4670" s="1" t="s">
        <v>46</v>
      </c>
    </row>
    <row r="4671" spans="2:15" x14ac:dyDescent="0.3">
      <c r="B4671" s="1" t="s">
        <v>23</v>
      </c>
      <c r="C4671" s="1" t="str">
        <f>"3차"</f>
        <v>3차</v>
      </c>
      <c r="D4671" s="1" t="str">
        <f>"0424B91439"</f>
        <v>0424B91439</v>
      </c>
      <c r="E4671" s="1" t="s">
        <v>10</v>
      </c>
      <c r="F4671" s="1" t="str">
        <f>"10.11.59.34"</f>
        <v>10.11.59.34</v>
      </c>
      <c r="G4671" s="1" t="str">
        <f>"0424B914"</f>
        <v>0424B914</v>
      </c>
      <c r="H4671" s="1" t="str">
        <f>"구의간 16R1"</f>
        <v>구의간 16R1</v>
      </c>
      <c r="I4671" s="1" t="s">
        <v>8</v>
      </c>
      <c r="J4671" s="1" t="str">
        <f>"75/75"</f>
        <v>75/75</v>
      </c>
      <c r="K4671" s="1" t="str">
        <f>"2026-07-29 13:18:02"</f>
        <v>2026-07-29 13:18:02</v>
      </c>
      <c r="L4671" s="1" t="str">
        <f>"2018-04-24 11:47:56"</f>
        <v>2018-04-24 11:47:56</v>
      </c>
      <c r="M4671" s="1" t="s">
        <v>2</v>
      </c>
      <c r="N4671" s="1" t="s">
        <v>38</v>
      </c>
      <c r="O4671" s="1" t="s">
        <v>46</v>
      </c>
    </row>
    <row r="4672" spans="2:15" x14ac:dyDescent="0.3">
      <c r="B4672" s="1" t="s">
        <v>23</v>
      </c>
      <c r="C4672" s="1" t="str">
        <f>"3차"</f>
        <v>3차</v>
      </c>
      <c r="D4672" s="1" t="str">
        <f>"0424B93139"</f>
        <v>0424B93139</v>
      </c>
      <c r="E4672" s="1" t="s">
        <v>10</v>
      </c>
      <c r="F4672" s="1" t="str">
        <f>"10.11.58.98"</f>
        <v>10.11.58.98</v>
      </c>
      <c r="G4672" s="1" t="str">
        <f>"0424B931"</f>
        <v>0424B931</v>
      </c>
      <c r="H4672" s="1" t="str">
        <f>"광나루 105R13B1L1"</f>
        <v>광나루 105R13B1L1</v>
      </c>
      <c r="I4672" s="1" t="s">
        <v>8</v>
      </c>
      <c r="J4672" s="1" t="str">
        <f>"22/22"</f>
        <v>22/22</v>
      </c>
      <c r="K4672" s="1" t="str">
        <f>"2026-07-29 13:18:03"</f>
        <v>2026-07-29 13:18:03</v>
      </c>
      <c r="L4672" s="1" t="str">
        <f>"2018-03-26 10:47:08"</f>
        <v>2018-03-26 10:47:08</v>
      </c>
      <c r="M4672" s="1" t="s">
        <v>2</v>
      </c>
      <c r="N4672" s="1" t="s">
        <v>38</v>
      </c>
      <c r="O4672" s="1" t="s">
        <v>46</v>
      </c>
    </row>
    <row r="4673" spans="2:15" x14ac:dyDescent="0.3">
      <c r="B4673" s="1" t="s">
        <v>23</v>
      </c>
      <c r="C4673" s="1" t="str">
        <f>"5-2차"</f>
        <v>5-2차</v>
      </c>
      <c r="D4673" s="1" t="str">
        <f>"0424B9515S"</f>
        <v>0424B9515S</v>
      </c>
      <c r="E4673" s="1" t="s">
        <v>10</v>
      </c>
      <c r="F4673" s="1" t="str">
        <f>"fde3:102:1440:1300:0:0:0:24"</f>
        <v>fde3:102:1440:1300:0:0:0:24</v>
      </c>
      <c r="G4673" s="1" t="str">
        <f>"0424B951"</f>
        <v>0424B951</v>
      </c>
      <c r="H4673" s="1" t="str">
        <f>"양구간 6A3R4"</f>
        <v>양구간 6A3R4</v>
      </c>
      <c r="I4673" s="1" t="s">
        <v>15</v>
      </c>
      <c r="J4673" s="1" t="str">
        <f>"34/41"</f>
        <v>34/41</v>
      </c>
      <c r="K4673" s="1" t="str">
        <f>"2026-07-29 14:21:05"</f>
        <v>2026-07-29 14:21:05</v>
      </c>
      <c r="L4673" s="1" t="str">
        <f>"2024-01-15 14:10:53"</f>
        <v>2024-01-15 14:10:53</v>
      </c>
      <c r="M4673" s="1" t="s">
        <v>45</v>
      </c>
      <c r="N4673" s="1" t="s">
        <v>38</v>
      </c>
      <c r="O4673" s="1" t="s">
        <v>46</v>
      </c>
    </row>
    <row r="4674" spans="2:15" x14ac:dyDescent="0.3">
      <c r="B4674" s="1" t="s">
        <v>23</v>
      </c>
      <c r="C4674" s="1" t="str">
        <f>"5-2차"</f>
        <v>5-2차</v>
      </c>
      <c r="D4674" s="1" t="str">
        <f>"0424B9745M"</f>
        <v>0424B9745M</v>
      </c>
      <c r="E4674" s="1" t="s">
        <v>10</v>
      </c>
      <c r="F4674" s="1" t="str">
        <f>"fde1:103:4:9393:0:0:0:2"</f>
        <v>fde1:103:4:9393:0:0:0:2</v>
      </c>
      <c r="G4674" s="1" t="str">
        <f>"0424B974"</f>
        <v>0424B974</v>
      </c>
      <c r="H4674" s="1" t="str">
        <f>"양구간 6A3R2"</f>
        <v>양구간 6A3R2</v>
      </c>
      <c r="I4674" s="1" t="s">
        <v>15</v>
      </c>
      <c r="J4674" s="1" t="str">
        <f>"57/57"</f>
        <v>57/57</v>
      </c>
      <c r="K4674" s="1" t="str">
        <f>"2026-07-29 14:21:05"</f>
        <v>2026-07-29 14:21:05</v>
      </c>
      <c r="L4674" s="1" t="str">
        <f>"2023-12-15 13:55:23"</f>
        <v>2023-12-15 13:55:23</v>
      </c>
      <c r="M4674" s="1" t="s">
        <v>4</v>
      </c>
      <c r="N4674" s="1" t="s">
        <v>38</v>
      </c>
      <c r="O4674" s="1" t="s">
        <v>46</v>
      </c>
    </row>
    <row r="4675" spans="2:15" x14ac:dyDescent="0.3">
      <c r="B4675" s="1" t="s">
        <v>23</v>
      </c>
      <c r="C4675" s="1" t="str">
        <f>"1차"</f>
        <v>1차</v>
      </c>
      <c r="D4675" s="1" t="str">
        <f>"0424B98101"</f>
        <v>0424B98101</v>
      </c>
      <c r="E4675" s="1" t="s">
        <v>10</v>
      </c>
      <c r="F4675" s="1" t="str">
        <f>"10.125.3.44"</f>
        <v>10.125.3.44</v>
      </c>
      <c r="G4675" s="1" t="str">
        <f>"0424B981"</f>
        <v>0424B981</v>
      </c>
      <c r="H4675" s="1" t="str">
        <f>"양구간 6A1"</f>
        <v>양구간 6A1</v>
      </c>
      <c r="I4675" s="1" t="s">
        <v>8</v>
      </c>
      <c r="J4675" s="1" t="str">
        <f>"76/77"</f>
        <v>76/77</v>
      </c>
      <c r="K4675" s="1" t="str">
        <f>"2026-07-29 13:18:03"</f>
        <v>2026-07-29 13:18:03</v>
      </c>
      <c r="L4675" s="1" t="str">
        <f>"2014-12-05 14:43:11"</f>
        <v>2014-12-05 14:43:11</v>
      </c>
      <c r="M4675" s="1" t="s">
        <v>45</v>
      </c>
      <c r="N4675" s="1" t="s">
        <v>38</v>
      </c>
      <c r="O4675" s="1" t="s">
        <v>46</v>
      </c>
    </row>
    <row r="4676" spans="2:15" x14ac:dyDescent="0.3">
      <c r="B4676" s="1" t="s">
        <v>23</v>
      </c>
      <c r="C4676" s="1" t="str">
        <f>"6차"</f>
        <v>6차</v>
      </c>
      <c r="D4676" s="1" t="str">
        <f>"0424C0016S"</f>
        <v>0424C0016S</v>
      </c>
      <c r="E4676" s="1" t="s">
        <v>10</v>
      </c>
      <c r="F4676" s="1" t="str">
        <f>"fde3:102:1440:2300:0:0:0:1a"</f>
        <v>fde3:102:1440:2300:0:0:0:1a</v>
      </c>
      <c r="G4676" s="1" t="str">
        <f>"0424C001"</f>
        <v>0424C001</v>
      </c>
      <c r="H4676" s="1" t="str">
        <f>"자양간 36R11R2L2"</f>
        <v>자양간 36R11R2L2</v>
      </c>
      <c r="I4676" s="1" t="s">
        <v>15</v>
      </c>
      <c r="J4676" s="1" t="str">
        <f>"140/159"</f>
        <v>140/159</v>
      </c>
      <c r="K4676" s="1" t="str">
        <f>"2026-07-29 02:20:22"</f>
        <v>2026-07-29 02:20:22</v>
      </c>
      <c r="L4676" s="1" t="str">
        <f>"2024-10-10 14:16:10"</f>
        <v>2024-10-10 14:16:10</v>
      </c>
      <c r="M4676" s="1" t="s">
        <v>45</v>
      </c>
      <c r="N4676" s="1" t="s">
        <v>38</v>
      </c>
      <c r="O4676" s="1" t="s">
        <v>46</v>
      </c>
    </row>
    <row r="4677" spans="2:15" x14ac:dyDescent="0.3">
      <c r="B4677" s="1" t="s">
        <v>23</v>
      </c>
      <c r="C4677" s="1" t="str">
        <f>"6차"</f>
        <v>6차</v>
      </c>
      <c r="D4677" s="1" t="str">
        <f>"0424C0216S"</f>
        <v>0424C0216S</v>
      </c>
      <c r="E4677" s="1" t="s">
        <v>10</v>
      </c>
      <c r="F4677" s="1" t="str">
        <f>"fde1:103:4:c748:0:0:0:2"</f>
        <v>fde1:103:4:c748:0:0:0:2</v>
      </c>
      <c r="G4677" s="1" t="str">
        <f>"0424C021"</f>
        <v>0424C021</v>
      </c>
      <c r="H4677" s="1" t="str">
        <f>"자양간 36R11R6"</f>
        <v>자양간 36R11R6</v>
      </c>
      <c r="I4677" s="1" t="s">
        <v>15</v>
      </c>
      <c r="J4677" s="1" t="str">
        <f>"104/106"</f>
        <v>104/106</v>
      </c>
      <c r="K4677" s="1" t="str">
        <f>"2026-07-29 14:21:06"</f>
        <v>2026-07-29 14:21:06</v>
      </c>
      <c r="L4677" s="1" t="str">
        <f>"2024-12-10 15:44:29"</f>
        <v>2024-12-10 15:44:29</v>
      </c>
      <c r="M4677" s="1" t="s">
        <v>4</v>
      </c>
      <c r="N4677" s="1" t="s">
        <v>38</v>
      </c>
      <c r="O4677" s="1" t="s">
        <v>46</v>
      </c>
    </row>
    <row r="4678" spans="2:15" x14ac:dyDescent="0.3">
      <c r="B4678" s="1" t="s">
        <v>23</v>
      </c>
      <c r="C4678" s="1" t="str">
        <f>"4차"</f>
        <v>4차</v>
      </c>
      <c r="D4678" s="1" t="str">
        <f>"0424C05142"</f>
        <v>0424C05142</v>
      </c>
      <c r="E4678" s="1" t="s">
        <v>10</v>
      </c>
      <c r="F4678" s="1" t="str">
        <f>"10.125.3.50"</f>
        <v>10.125.3.50</v>
      </c>
      <c r="G4678" s="1" t="str">
        <f>"0424C051"</f>
        <v>0424C051</v>
      </c>
      <c r="H4678" s="1" t="str">
        <f>"자양간 24R4"</f>
        <v>자양간 24R4</v>
      </c>
      <c r="I4678" s="1" t="s">
        <v>8</v>
      </c>
      <c r="J4678" s="1" t="str">
        <f>"80/80"</f>
        <v>80/80</v>
      </c>
      <c r="K4678" s="1" t="str">
        <f>"2026-07-29 13:18:03"</f>
        <v>2026-07-29 13:18:03</v>
      </c>
      <c r="L4678" s="1" t="str">
        <f>"2024-12-24 10:42:41"</f>
        <v>2024-12-24 10:42:41</v>
      </c>
      <c r="M4678" s="1" t="s">
        <v>45</v>
      </c>
      <c r="N4678" s="1" t="s">
        <v>38</v>
      </c>
      <c r="O4678" s="1" t="s">
        <v>46</v>
      </c>
    </row>
    <row r="4679" spans="2:15" x14ac:dyDescent="0.3">
      <c r="B4679" s="1" t="s">
        <v>23</v>
      </c>
      <c r="C4679" s="1" t="str">
        <f>"4차"</f>
        <v>4차</v>
      </c>
      <c r="D4679" s="1" t="str">
        <f>"0424C08242"</f>
        <v>0424C08242</v>
      </c>
      <c r="E4679" s="1" t="s">
        <v>10</v>
      </c>
      <c r="F4679" s="1" t="str">
        <f>"10.12.129.39"</f>
        <v>10.12.129.39</v>
      </c>
      <c r="G4679" s="1" t="str">
        <f>"0424C082"</f>
        <v>0424C082</v>
      </c>
      <c r="H4679" s="1" t="str">
        <f>"건대간 20R10R1"</f>
        <v>건대간 20R10R1</v>
      </c>
      <c r="I4679" s="1" t="s">
        <v>8</v>
      </c>
      <c r="J4679" s="1" t="str">
        <f>"155/155"</f>
        <v>155/155</v>
      </c>
      <c r="K4679" s="1" t="str">
        <f>"2026-07-29 13:18:02"</f>
        <v>2026-07-29 13:18:02</v>
      </c>
      <c r="L4679" s="1" t="str">
        <f>"2024-04-16 14:53:08"</f>
        <v>2024-04-16 14:53:08</v>
      </c>
      <c r="M4679" s="1" t="s">
        <v>0</v>
      </c>
      <c r="N4679" s="1" t="s">
        <v>38</v>
      </c>
      <c r="O4679" s="1" t="s">
        <v>46</v>
      </c>
    </row>
    <row r="4680" spans="2:15" x14ac:dyDescent="0.3">
      <c r="B4680" s="1" t="s">
        <v>23</v>
      </c>
      <c r="C4680" s="1" t="str">
        <f>"5-2차"</f>
        <v>5-2차</v>
      </c>
      <c r="D4680" s="1" t="str">
        <f>"0424C0915M"</f>
        <v>0424C0915M</v>
      </c>
      <c r="E4680" s="1" t="s">
        <v>10</v>
      </c>
      <c r="F4680" s="1" t="str">
        <f>"fde3:102:1440:1300:0:0:0:1f"</f>
        <v>fde3:102:1440:1300:0:0:0:1f</v>
      </c>
      <c r="G4680" s="1" t="str">
        <f>"0424C091"</f>
        <v>0424C091</v>
      </c>
      <c r="H4680" s="1" t="str">
        <f>"건대간 20R10L1"</f>
        <v>건대간 20R10L1</v>
      </c>
      <c r="I4680" s="1" t="s">
        <v>15</v>
      </c>
      <c r="J4680" s="1" t="str">
        <f>"28/28"</f>
        <v>28/28</v>
      </c>
      <c r="K4680" s="1" t="str">
        <f>"2026-07-29 14:21:05"</f>
        <v>2026-07-29 14:21:05</v>
      </c>
      <c r="L4680" s="1" t="str">
        <f>"2023-10-16 15:15:11"</f>
        <v>2023-10-16 15:15:11</v>
      </c>
      <c r="M4680" s="1" t="s">
        <v>45</v>
      </c>
      <c r="N4680" s="1" t="s">
        <v>38</v>
      </c>
      <c r="O4680" s="1" t="s">
        <v>46</v>
      </c>
    </row>
    <row r="4681" spans="2:15" x14ac:dyDescent="0.3">
      <c r="B4681" s="1" t="s">
        <v>23</v>
      </c>
      <c r="C4681" s="1" t="str">
        <f>"3차"</f>
        <v>3차</v>
      </c>
      <c r="D4681" s="1" t="str">
        <f>"0424C10139"</f>
        <v>0424C10139</v>
      </c>
      <c r="E4681" s="1" t="s">
        <v>10</v>
      </c>
      <c r="F4681" s="1" t="str">
        <f>"10.11.54.122"</f>
        <v>10.11.54.122</v>
      </c>
      <c r="G4681" s="1" t="str">
        <f>"0424C101"</f>
        <v>0424C101</v>
      </c>
      <c r="H4681" s="1" t="str">
        <f>"자양간 36R12"</f>
        <v>자양간 36R12</v>
      </c>
      <c r="I4681" s="1" t="s">
        <v>8</v>
      </c>
      <c r="J4681" s="1" t="str">
        <f>"111/111"</f>
        <v>111/111</v>
      </c>
      <c r="K4681" s="1" t="str">
        <f>"2026-07-29 13:18:03"</f>
        <v>2026-07-29 13:18:03</v>
      </c>
      <c r="L4681" s="1" t="str">
        <f>"2018-05-02 09:53:11"</f>
        <v>2018-05-02 09:53:11</v>
      </c>
      <c r="M4681" s="1" t="s">
        <v>2</v>
      </c>
      <c r="N4681" s="1" t="s">
        <v>38</v>
      </c>
      <c r="O4681" s="1" t="s">
        <v>46</v>
      </c>
    </row>
    <row r="4682" spans="2:15" x14ac:dyDescent="0.3">
      <c r="B4682" s="1" t="s">
        <v>23</v>
      </c>
      <c r="C4682" s="1" t="str">
        <f>"3차"</f>
        <v>3차</v>
      </c>
      <c r="D4682" s="1" t="str">
        <f>"0424C11130"</f>
        <v>0424C11130</v>
      </c>
      <c r="E4682" s="1" t="s">
        <v>10</v>
      </c>
      <c r="F4682" s="1" t="str">
        <f>"10.11.54.114"</f>
        <v>10.11.54.114</v>
      </c>
      <c r="G4682" s="1" t="str">
        <f>"0424C111"</f>
        <v>0424C111</v>
      </c>
      <c r="H4682" s="1" t="str">
        <f>"자양간 36R11R2"</f>
        <v>자양간 36R11R2</v>
      </c>
      <c r="I4682" s="1" t="s">
        <v>8</v>
      </c>
      <c r="J4682" s="1" t="str">
        <f>"46/46"</f>
        <v>46/46</v>
      </c>
      <c r="K4682" s="1" t="str">
        <f>"2026-07-29 13:18:03"</f>
        <v>2026-07-29 13:18:03</v>
      </c>
      <c r="L4682" s="1" t="str">
        <f>"2018-05-09 11:17:25"</f>
        <v>2018-05-09 11:17:25</v>
      </c>
      <c r="M4682" s="1" t="s">
        <v>2</v>
      </c>
      <c r="N4682" s="1" t="s">
        <v>38</v>
      </c>
      <c r="O4682" s="1" t="s">
        <v>46</v>
      </c>
    </row>
    <row r="4683" spans="2:15" x14ac:dyDescent="0.3">
      <c r="B4683" s="1" t="s">
        <v>23</v>
      </c>
      <c r="C4683" s="1" t="str">
        <f>"3차"</f>
        <v>3차</v>
      </c>
      <c r="D4683" s="1" t="str">
        <f>"0424C11232"</f>
        <v>0424C11232</v>
      </c>
      <c r="E4683" s="1" t="s">
        <v>10</v>
      </c>
      <c r="F4683" s="1" t="str">
        <f>"10.11.54.116"</f>
        <v>10.11.54.116</v>
      </c>
      <c r="G4683" s="1" t="str">
        <f>"0424C112"</f>
        <v>0424C112</v>
      </c>
      <c r="H4683" s="1" t="str">
        <f>"자양간 36R11R2L1"</f>
        <v>자양간 36R11R2L1</v>
      </c>
      <c r="I4683" s="1" t="s">
        <v>8</v>
      </c>
      <c r="J4683" s="1" t="str">
        <f>"45/45"</f>
        <v>45/45</v>
      </c>
      <c r="K4683" s="1" t="str">
        <f>"2026-07-29 13:18:03"</f>
        <v>2026-07-29 13:18:03</v>
      </c>
      <c r="L4683" s="1" t="str">
        <f>"2018-06-01 16:40:43"</f>
        <v>2018-06-01 16:40:43</v>
      </c>
      <c r="M4683" s="1" t="s">
        <v>2</v>
      </c>
      <c r="N4683" s="1" t="s">
        <v>38</v>
      </c>
      <c r="O4683" s="1" t="s">
        <v>46</v>
      </c>
    </row>
    <row r="4684" spans="2:15" x14ac:dyDescent="0.3">
      <c r="B4684" s="1" t="s">
        <v>23</v>
      </c>
      <c r="C4684" s="1" t="str">
        <f>"5-2차"</f>
        <v>5-2차</v>
      </c>
      <c r="D4684" s="1" t="str">
        <f>"0424C1235M"</f>
        <v>0424C1235M</v>
      </c>
      <c r="E4684" s="1" t="s">
        <v>10</v>
      </c>
      <c r="F4684" s="1" t="str">
        <f>"fde3:102:1440:2300:0:0:0:8"</f>
        <v>fde3:102:1440:2300:0:0:0:8</v>
      </c>
      <c r="G4684" s="1" t="str">
        <f>"0424C123"</f>
        <v>0424C123</v>
      </c>
      <c r="H4684" s="1" t="str">
        <f>"자양간 36R11R4R1"</f>
        <v>자양간 36R11R4R1</v>
      </c>
      <c r="I4684" s="1" t="s">
        <v>15</v>
      </c>
      <c r="J4684" s="1" t="str">
        <f>"63/63"</f>
        <v>63/63</v>
      </c>
      <c r="K4684" s="1" t="str">
        <f>"2026-07-29 14:21:05"</f>
        <v>2026-07-29 14:21:05</v>
      </c>
      <c r="L4684" s="1" t="str">
        <f>"2023-06-19 17:59:46"</f>
        <v>2023-06-19 17:59:46</v>
      </c>
      <c r="M4684" s="1" t="s">
        <v>45</v>
      </c>
      <c r="N4684" s="1" t="s">
        <v>38</v>
      </c>
      <c r="O4684" s="1" t="s">
        <v>46</v>
      </c>
    </row>
    <row r="4685" spans="2:15" x14ac:dyDescent="0.3">
      <c r="B4685" s="1" t="s">
        <v>23</v>
      </c>
      <c r="C4685" s="1" t="str">
        <f>"5-2차"</f>
        <v>5-2차</v>
      </c>
      <c r="D4685" s="1" t="str">
        <f>"0424C1315S"</f>
        <v>0424C1315S</v>
      </c>
      <c r="E4685" s="1" t="s">
        <v>10</v>
      </c>
      <c r="F4685" s="1" t="str">
        <f>"fde3:102:1440:2300:0:0:0:17"</f>
        <v>fde3:102:1440:2300:0:0:0:17</v>
      </c>
      <c r="G4685" s="1" t="str">
        <f>"0424C131"</f>
        <v>0424C131</v>
      </c>
      <c r="H4685" s="1" t="str">
        <f>"자양간 36R11R4R2"</f>
        <v>자양간 36R11R4R2</v>
      </c>
      <c r="I4685" s="1" t="s">
        <v>15</v>
      </c>
      <c r="J4685" s="1" t="str">
        <f>"28/28"</f>
        <v>28/28</v>
      </c>
      <c r="K4685" s="1" t="str">
        <f>"2026-07-29 14:20:45"</f>
        <v>2026-07-29 14:20:45</v>
      </c>
      <c r="L4685" s="1" t="str">
        <f>"2024-01-22 16:09:36"</f>
        <v>2024-01-22 16:09:36</v>
      </c>
      <c r="M4685" s="1" t="s">
        <v>45</v>
      </c>
      <c r="N4685" s="1" t="s">
        <v>38</v>
      </c>
      <c r="O4685" s="1" t="s">
        <v>46</v>
      </c>
    </row>
    <row r="4686" spans="2:15" x14ac:dyDescent="0.3">
      <c r="B4686" s="1" t="s">
        <v>23</v>
      </c>
      <c r="C4686" s="1" t="str">
        <f>"1차"</f>
        <v>1차</v>
      </c>
      <c r="D4686" s="1" t="str">
        <f>"0424C13200"</f>
        <v>0424C13200</v>
      </c>
      <c r="E4686" s="1" t="s">
        <v>10</v>
      </c>
      <c r="F4686" s="1" t="str">
        <f>"10.125.3.58"</f>
        <v>10.125.3.58</v>
      </c>
      <c r="G4686" s="1" t="str">
        <f>"0424C132"</f>
        <v>0424C132</v>
      </c>
      <c r="H4686" s="1" t="str">
        <f>"자양간 36R11R4R3"</f>
        <v>자양간 36R11R4R3</v>
      </c>
      <c r="I4686" s="1" t="s">
        <v>8</v>
      </c>
      <c r="J4686" s="1" t="str">
        <f>"20/20"</f>
        <v>20/20</v>
      </c>
      <c r="K4686" s="1" t="str">
        <f>"2026-07-29 13:18:03"</f>
        <v>2026-07-29 13:18:03</v>
      </c>
      <c r="L4686" s="1" t="str">
        <f>"2014-12-06 09:13:21"</f>
        <v>2014-12-06 09:13:21</v>
      </c>
      <c r="M4686" s="1" t="s">
        <v>45</v>
      </c>
      <c r="N4686" s="1" t="s">
        <v>38</v>
      </c>
      <c r="O4686" s="1" t="s">
        <v>46</v>
      </c>
    </row>
    <row r="4687" spans="2:15" x14ac:dyDescent="0.3">
      <c r="B4687" s="1" t="s">
        <v>23</v>
      </c>
      <c r="C4687" s="1" t="str">
        <f>"5-2차"</f>
        <v>5-2차</v>
      </c>
      <c r="D4687" s="1" t="str">
        <f>"0424C1725M"</f>
        <v>0424C1725M</v>
      </c>
      <c r="E4687" s="1" t="s">
        <v>10</v>
      </c>
      <c r="F4687" s="1" t="str">
        <f>"fde3:102:1440:1300:0:0:0:19"</f>
        <v>fde3:102:1440:1300:0:0:0:19</v>
      </c>
      <c r="G4687" s="1" t="str">
        <f>"0424C172"</f>
        <v>0424C172</v>
      </c>
      <c r="H4687" s="1" t="str">
        <f>"건대간 10"</f>
        <v>건대간 10</v>
      </c>
      <c r="I4687" s="1" t="s">
        <v>15</v>
      </c>
      <c r="J4687" s="1" t="str">
        <f>"28/29"</f>
        <v>28/29</v>
      </c>
      <c r="K4687" s="1" t="str">
        <f>"2026-07-29 14:21:05"</f>
        <v>2026-07-29 14:21:05</v>
      </c>
      <c r="L4687" s="1" t="str">
        <f>"2023-09-13 14:09:59"</f>
        <v>2023-09-13 14:09:59</v>
      </c>
      <c r="M4687" s="1" t="s">
        <v>45</v>
      </c>
      <c r="N4687" s="1" t="s">
        <v>38</v>
      </c>
      <c r="O4687" s="1" t="s">
        <v>46</v>
      </c>
    </row>
    <row r="4688" spans="2:15" x14ac:dyDescent="0.3">
      <c r="B4688" s="1" t="s">
        <v>23</v>
      </c>
      <c r="C4688" s="1" t="str">
        <f>"5-1차"</f>
        <v>5-1차</v>
      </c>
      <c r="D4688" s="1" t="str">
        <f>"0424C1855M"</f>
        <v>0424C1855M</v>
      </c>
      <c r="E4688" s="1" t="s">
        <v>10</v>
      </c>
      <c r="F4688" s="1" t="str">
        <f>"fde3:102:1440:1300:0:0:0:5"</f>
        <v>fde3:102:1440:1300:0:0:0:5</v>
      </c>
      <c r="G4688" s="1" t="str">
        <f>"0424C185"</f>
        <v>0424C185</v>
      </c>
      <c r="H4688" s="1" t="str">
        <f>"건대간 20R12"</f>
        <v>건대간 20R12</v>
      </c>
      <c r="I4688" s="1" t="s">
        <v>15</v>
      </c>
      <c r="J4688" s="1" t="str">
        <f>"46/46"</f>
        <v>46/46</v>
      </c>
      <c r="K4688" s="1" t="str">
        <f>"2026-07-29 14:20:46"</f>
        <v>2026-07-29 14:20:46</v>
      </c>
      <c r="L4688" s="1" t="str">
        <f>"2022-10-24 17:02:40"</f>
        <v>2022-10-24 17:02:40</v>
      </c>
      <c r="M4688" s="1" t="s">
        <v>45</v>
      </c>
      <c r="N4688" s="1" t="s">
        <v>38</v>
      </c>
      <c r="O4688" s="1" t="s">
        <v>46</v>
      </c>
    </row>
    <row r="4689" spans="2:15" x14ac:dyDescent="0.3">
      <c r="B4689" s="1" t="s">
        <v>23</v>
      </c>
      <c r="C4689" s="1" t="str">
        <f>"5-1차"</f>
        <v>5-1차</v>
      </c>
      <c r="D4689" s="1" t="str">
        <f>"0424C1915S"</f>
        <v>0424C1915S</v>
      </c>
      <c r="E4689" s="1" t="s">
        <v>10</v>
      </c>
      <c r="F4689" s="1" t="str">
        <f>"fde3:102:1440:1300:0:0:0:4"</f>
        <v>fde3:102:1440:1300:0:0:0:4</v>
      </c>
      <c r="G4689" s="1" t="str">
        <f>"0424C191"</f>
        <v>0424C191</v>
      </c>
      <c r="H4689" s="1" t="str">
        <f>"건대간 20R13L1"</f>
        <v>건대간 20R13L1</v>
      </c>
      <c r="I4689" s="1" t="s">
        <v>15</v>
      </c>
      <c r="J4689" s="1" t="str">
        <f>"32/35"</f>
        <v>32/35</v>
      </c>
      <c r="K4689" s="1" t="str">
        <f>"2026-07-29 14:20:47"</f>
        <v>2026-07-29 14:20:47</v>
      </c>
      <c r="L4689" s="1" t="str">
        <f>"2022-10-25 10:37:11"</f>
        <v>2022-10-25 10:37:11</v>
      </c>
      <c r="M4689" s="1" t="s">
        <v>45</v>
      </c>
      <c r="N4689" s="1" t="s">
        <v>38</v>
      </c>
      <c r="O4689" s="1" t="s">
        <v>46</v>
      </c>
    </row>
    <row r="4690" spans="2:15" x14ac:dyDescent="0.3">
      <c r="B4690" s="1" t="s">
        <v>23</v>
      </c>
      <c r="C4690" s="1" t="str">
        <f>"3차"</f>
        <v>3차</v>
      </c>
      <c r="D4690" s="1" t="str">
        <f>"0424C21239"</f>
        <v>0424C21239</v>
      </c>
      <c r="E4690" s="1" t="s">
        <v>10</v>
      </c>
      <c r="F4690" s="1" t="str">
        <f>"10.11.54.106"</f>
        <v>10.11.54.106</v>
      </c>
      <c r="G4690" s="1" t="str">
        <f>"0424C212"</f>
        <v>0424C212</v>
      </c>
      <c r="H4690" s="1" t="str">
        <f>"자양간 36R11A1"</f>
        <v>자양간 36R11A1</v>
      </c>
      <c r="I4690" s="1" t="s">
        <v>8</v>
      </c>
      <c r="J4690" s="1" t="str">
        <f>"81/81"</f>
        <v>81/81</v>
      </c>
      <c r="K4690" s="1" t="str">
        <f>"2026-07-29 13:18:03"</f>
        <v>2026-07-29 13:18:03</v>
      </c>
      <c r="L4690" s="1" t="str">
        <f>"2018-05-02 09:32:40"</f>
        <v>2018-05-02 09:32:40</v>
      </c>
      <c r="M4690" s="1" t="s">
        <v>2</v>
      </c>
      <c r="N4690" s="1" t="s">
        <v>38</v>
      </c>
      <c r="O4690" s="1" t="s">
        <v>46</v>
      </c>
    </row>
    <row r="4691" spans="2:15" x14ac:dyDescent="0.3">
      <c r="B4691" s="1" t="s">
        <v>23</v>
      </c>
      <c r="C4691" s="1" t="str">
        <f>"3차"</f>
        <v>3차</v>
      </c>
      <c r="D4691" s="1" t="str">
        <f>"0424C21331"</f>
        <v>0424C21331</v>
      </c>
      <c r="E4691" s="1" t="s">
        <v>10</v>
      </c>
      <c r="F4691" s="1" t="str">
        <f>"10.11.54.115"</f>
        <v>10.11.54.115</v>
      </c>
      <c r="G4691" s="1" t="str">
        <f>"0424C213"</f>
        <v>0424C213</v>
      </c>
      <c r="H4691" s="1" t="str">
        <f>"자양간 36R11R1"</f>
        <v>자양간 36R11R1</v>
      </c>
      <c r="I4691" s="1" t="s">
        <v>8</v>
      </c>
      <c r="J4691" s="1" t="str">
        <f>"11/11"</f>
        <v>11/11</v>
      </c>
      <c r="K4691" s="1" t="str">
        <f>"2026-07-29 13:18:03"</f>
        <v>2026-07-29 13:18:03</v>
      </c>
      <c r="L4691" s="1" t="str">
        <f>"2018-06-01 16:55:14"</f>
        <v>2018-06-01 16:55:14</v>
      </c>
      <c r="M4691" s="1" t="s">
        <v>2</v>
      </c>
      <c r="N4691" s="1" t="s">
        <v>38</v>
      </c>
      <c r="O4691" s="1" t="s">
        <v>46</v>
      </c>
    </row>
    <row r="4692" spans="2:15" x14ac:dyDescent="0.3">
      <c r="B4692" s="1" t="s">
        <v>23</v>
      </c>
      <c r="C4692" s="1" t="str">
        <f>"1차"</f>
        <v>1차</v>
      </c>
      <c r="D4692" s="1" t="str">
        <f>"0424C23100"</f>
        <v>0424C23100</v>
      </c>
      <c r="E4692" s="1" t="s">
        <v>10</v>
      </c>
      <c r="F4692" s="1" t="str">
        <f>"10.125.6.122"</f>
        <v>10.125.6.122</v>
      </c>
      <c r="G4692" s="1" t="str">
        <f>"0424C231"</f>
        <v>0424C231</v>
      </c>
      <c r="H4692" s="1" t="str">
        <f>"자양간 36R11R4R3R2"</f>
        <v>자양간 36R11R4R3R2</v>
      </c>
      <c r="I4692" s="1" t="s">
        <v>8</v>
      </c>
      <c r="J4692" s="1" t="str">
        <f>"81/81"</f>
        <v>81/81</v>
      </c>
      <c r="K4692" s="1" t="str">
        <f>"2026-07-29 13:18:03"</f>
        <v>2026-07-29 13:18:03</v>
      </c>
      <c r="L4692" s="1" t="str">
        <f>"2014-12-04 15:57:57"</f>
        <v>2014-12-04 15:57:57</v>
      </c>
      <c r="M4692" s="1" t="s">
        <v>45</v>
      </c>
      <c r="N4692" s="1" t="s">
        <v>38</v>
      </c>
      <c r="O4692" s="1" t="s">
        <v>46</v>
      </c>
    </row>
    <row r="4693" spans="2:15" x14ac:dyDescent="0.3">
      <c r="B4693" s="1" t="s">
        <v>23</v>
      </c>
      <c r="C4693" s="1" t="str">
        <f>"6차"</f>
        <v>6차</v>
      </c>
      <c r="D4693" s="1" t="str">
        <f>"0424C2416S"</f>
        <v>0424C2416S</v>
      </c>
      <c r="E4693" s="1" t="s">
        <v>10</v>
      </c>
      <c r="F4693" s="1" t="str">
        <f>"fde1:103:4:9230:0:0:0:2"</f>
        <v>fde1:103:4:9230:0:0:0:2</v>
      </c>
      <c r="G4693" s="1" t="str">
        <f>"0424C241"</f>
        <v>0424C241</v>
      </c>
      <c r="H4693" s="1" t="str">
        <f>"자양간 31R2R6"</f>
        <v>자양간 31R2R6</v>
      </c>
      <c r="I4693" s="1" t="s">
        <v>15</v>
      </c>
      <c r="J4693" s="1" t="str">
        <f>"15/27"</f>
        <v>15/27</v>
      </c>
      <c r="K4693" s="1" t="str">
        <f>"2026-07-29 14:21:06"</f>
        <v>2026-07-29 14:21:06</v>
      </c>
      <c r="L4693" s="1" t="str">
        <f>"2024-09-30 13:16:57"</f>
        <v>2024-09-30 13:16:57</v>
      </c>
      <c r="M4693" s="1" t="s">
        <v>4</v>
      </c>
      <c r="N4693" s="1" t="s">
        <v>38</v>
      </c>
      <c r="O4693" s="1" t="s">
        <v>46</v>
      </c>
    </row>
    <row r="4694" spans="2:15" x14ac:dyDescent="0.3">
      <c r="B4694" s="1" t="s">
        <v>23</v>
      </c>
      <c r="C4694" s="1" t="str">
        <f>"1차"</f>
        <v>1차</v>
      </c>
      <c r="D4694" s="1" t="str">
        <f>"0424C24201"</f>
        <v>0424C24201</v>
      </c>
      <c r="E4694" s="1" t="s">
        <v>10</v>
      </c>
      <c r="F4694" s="1" t="str">
        <f>"10.12.130.213"</f>
        <v>10.12.130.213</v>
      </c>
      <c r="G4694" s="1" t="str">
        <f>"0424C242"</f>
        <v>0424C242</v>
      </c>
      <c r="H4694" s="1" t="str">
        <f>"자양간 31R2R5"</f>
        <v>자양간 31R2R5</v>
      </c>
      <c r="I4694" s="1" t="s">
        <v>8</v>
      </c>
      <c r="J4694" s="1" t="str">
        <f>"13/13"</f>
        <v>13/13</v>
      </c>
      <c r="K4694" s="1" t="str">
        <f>"2026-07-29 13:18:03"</f>
        <v>2026-07-29 13:18:03</v>
      </c>
      <c r="L4694" s="1" t="str">
        <f>"2014-12-12 18:00:28"</f>
        <v>2014-12-12 18:00:28</v>
      </c>
      <c r="M4694" s="1" t="s">
        <v>0</v>
      </c>
      <c r="N4694" s="1" t="s">
        <v>38</v>
      </c>
      <c r="O4694" s="1" t="s">
        <v>46</v>
      </c>
    </row>
    <row r="4695" spans="2:15" x14ac:dyDescent="0.3">
      <c r="B4695" s="1" t="s">
        <v>23</v>
      </c>
      <c r="C4695" s="1" t="str">
        <f>"6차"</f>
        <v>6차</v>
      </c>
      <c r="D4695" s="1" t="str">
        <f>"0424C2546S"</f>
        <v>0424C2546S</v>
      </c>
      <c r="E4695" s="1" t="s">
        <v>10</v>
      </c>
      <c r="F4695" s="1" t="str">
        <f>"fde1:103:4:91db:0:0:0:2"</f>
        <v>fde1:103:4:91db:0:0:0:2</v>
      </c>
      <c r="G4695" s="1" t="str">
        <f>"0424C254"</f>
        <v>0424C254</v>
      </c>
      <c r="H4695" s="1" t="str">
        <f>"자양간 31R2R7"</f>
        <v>자양간 31R2R7</v>
      </c>
      <c r="I4695" s="1" t="s">
        <v>15</v>
      </c>
      <c r="J4695" s="1" t="str">
        <f>"91/107"</f>
        <v>91/107</v>
      </c>
      <c r="K4695" s="1" t="str">
        <f>"2026-07-29 14:20:24"</f>
        <v>2026-07-29 14:20:24</v>
      </c>
      <c r="L4695" s="1" t="str">
        <f>"2024-09-30 13:16:38"</f>
        <v>2024-09-30 13:16:38</v>
      </c>
      <c r="M4695" s="1" t="s">
        <v>4</v>
      </c>
      <c r="N4695" s="1" t="s">
        <v>38</v>
      </c>
      <c r="O4695" s="1" t="s">
        <v>46</v>
      </c>
    </row>
    <row r="4696" spans="2:15" x14ac:dyDescent="0.3">
      <c r="B4696" s="1" t="s">
        <v>23</v>
      </c>
      <c r="C4696" s="1" t="str">
        <f>"1차"</f>
        <v>1차</v>
      </c>
      <c r="D4696" s="1" t="str">
        <f>"0424C26100"</f>
        <v>0424C26100</v>
      </c>
      <c r="E4696" s="1" t="s">
        <v>10</v>
      </c>
      <c r="F4696" s="1" t="str">
        <f>"10.125.6.130"</f>
        <v>10.125.6.130</v>
      </c>
      <c r="G4696" s="1" t="str">
        <f>"0424C261"</f>
        <v>0424C261</v>
      </c>
      <c r="H4696" s="1" t="str">
        <f>"자양간 25"</f>
        <v>자양간 25</v>
      </c>
      <c r="I4696" s="1" t="s">
        <v>8</v>
      </c>
      <c r="J4696" s="1" t="str">
        <f>"1/1"</f>
        <v>1/1</v>
      </c>
      <c r="K4696" s="1" t="str">
        <f>"2026-07-29 13:18:03"</f>
        <v>2026-07-29 13:18:03</v>
      </c>
      <c r="L4696" s="1" t="str">
        <f>"2014-12-10 17:29:04"</f>
        <v>2014-12-10 17:29:04</v>
      </c>
      <c r="M4696" s="1" t="s">
        <v>45</v>
      </c>
      <c r="N4696" s="1" t="s">
        <v>38</v>
      </c>
      <c r="O4696" s="1" t="s">
        <v>46</v>
      </c>
    </row>
    <row r="4697" spans="2:15" x14ac:dyDescent="0.3">
      <c r="B4697" s="1" t="s">
        <v>23</v>
      </c>
      <c r="C4697" s="1" t="str">
        <f>"5-1차"</f>
        <v>5-1차</v>
      </c>
      <c r="D4697" s="1" t="str">
        <f>"0424C2965M"</f>
        <v>0424C2965M</v>
      </c>
      <c r="E4697" s="1" t="s">
        <v>10</v>
      </c>
      <c r="F4697" s="1" t="str">
        <f>"fde2:104:0:185:0:0:0:2"</f>
        <v>fde2:104:0:185:0:0:0:2</v>
      </c>
      <c r="G4697" s="1" t="str">
        <f>"0424C296"</f>
        <v>0424C296</v>
      </c>
      <c r="H4697" s="1" t="str">
        <f>"건대간 20R13"</f>
        <v>건대간 20R13</v>
      </c>
      <c r="I4697" s="1" t="s">
        <v>15</v>
      </c>
      <c r="J4697" s="1" t="str">
        <f>"55/57"</f>
        <v>55/57</v>
      </c>
      <c r="K4697" s="1" t="str">
        <f>"2026-07-29 14:20:25"</f>
        <v>2026-07-29 14:20:25</v>
      </c>
      <c r="L4697" s="1" t="str">
        <f>"2022-11-15 17:31:29"</f>
        <v>2022-11-15 17:31:29</v>
      </c>
      <c r="M4697" s="1" t="s">
        <v>42</v>
      </c>
      <c r="N4697" s="1" t="s">
        <v>38</v>
      </c>
      <c r="O4697" s="1" t="s">
        <v>46</v>
      </c>
    </row>
    <row r="4698" spans="2:15" x14ac:dyDescent="0.3">
      <c r="B4698" s="1" t="s">
        <v>23</v>
      </c>
      <c r="C4698" s="1" t="str">
        <f>"3차"</f>
        <v>3차</v>
      </c>
      <c r="D4698" s="1" t="str">
        <f>"0424C30139"</f>
        <v>0424C30139</v>
      </c>
      <c r="E4698" s="1" t="s">
        <v>10</v>
      </c>
      <c r="F4698" s="1" t="str">
        <f>"10.11.61.146"</f>
        <v>10.11.61.146</v>
      </c>
      <c r="G4698" s="1" t="str">
        <f>"0424C301"</f>
        <v>0424C301</v>
      </c>
      <c r="H4698" s="1" t="str">
        <f>"자양간 36R9"</f>
        <v>자양간 36R9</v>
      </c>
      <c r="I4698" s="1" t="s">
        <v>8</v>
      </c>
      <c r="J4698" s="1" t="str">
        <f>"15/15"</f>
        <v>15/15</v>
      </c>
      <c r="K4698" s="1" t="str">
        <f>"2026-07-29 13:18:03"</f>
        <v>2026-07-29 13:18:03</v>
      </c>
      <c r="L4698" s="1" t="str">
        <f>"2018-04-27 14:48:43"</f>
        <v>2018-04-27 14:48:43</v>
      </c>
      <c r="M4698" s="1" t="s">
        <v>2</v>
      </c>
      <c r="N4698" s="1" t="s">
        <v>38</v>
      </c>
      <c r="O4698" s="1" t="s">
        <v>46</v>
      </c>
    </row>
    <row r="4699" spans="2:15" x14ac:dyDescent="0.3">
      <c r="B4699" s="1" t="s">
        <v>23</v>
      </c>
      <c r="C4699" s="1" t="str">
        <f>"3차"</f>
        <v>3차</v>
      </c>
      <c r="D4699" s="1" t="str">
        <f>"0424C32139"</f>
        <v>0424C32139</v>
      </c>
      <c r="E4699" s="1" t="s">
        <v>10</v>
      </c>
      <c r="F4699" s="1" t="str">
        <f>"10.11.61.106"</f>
        <v>10.11.61.106</v>
      </c>
      <c r="G4699" s="1" t="str">
        <f>"0424C321"</f>
        <v>0424C321</v>
      </c>
      <c r="H4699" s="1" t="str">
        <f>"자양간 36R11A2"</f>
        <v>자양간 36R11A2</v>
      </c>
      <c r="I4699" s="1" t="s">
        <v>8</v>
      </c>
      <c r="J4699" s="1" t="str">
        <f>"43/43"</f>
        <v>43/43</v>
      </c>
      <c r="K4699" s="1" t="str">
        <f>"2026-07-29 13:18:03"</f>
        <v>2026-07-29 13:18:03</v>
      </c>
      <c r="L4699" s="1" t="str">
        <f>"2018-05-02 09:36:40"</f>
        <v>2018-05-02 09:36:40</v>
      </c>
      <c r="M4699" s="1" t="s">
        <v>2</v>
      </c>
      <c r="N4699" s="1" t="s">
        <v>38</v>
      </c>
      <c r="O4699" s="1" t="s">
        <v>46</v>
      </c>
    </row>
    <row r="4700" spans="2:15" x14ac:dyDescent="0.3">
      <c r="B4700" s="1" t="s">
        <v>23</v>
      </c>
      <c r="C4700" s="1" t="str">
        <f>"4차"</f>
        <v>4차</v>
      </c>
      <c r="D4700" s="1" t="str">
        <f>"0424C33139"</f>
        <v>0424C33139</v>
      </c>
      <c r="E4700" s="1" t="s">
        <v>10</v>
      </c>
      <c r="F4700" s="1" t="str">
        <f>"10.11.61.98"</f>
        <v>10.11.61.98</v>
      </c>
      <c r="G4700" s="1" t="str">
        <f>"0424C331"</f>
        <v>0424C331</v>
      </c>
      <c r="H4700" s="1" t="str">
        <f>"자양간 31R6"</f>
        <v>자양간 31R6</v>
      </c>
      <c r="I4700" s="1" t="s">
        <v>8</v>
      </c>
      <c r="J4700" s="1" t="str">
        <f>"33/33"</f>
        <v>33/33</v>
      </c>
      <c r="K4700" s="1" t="str">
        <f>"2026-07-29 13:18:02"</f>
        <v>2026-07-29 13:18:02</v>
      </c>
      <c r="L4700" s="1" t="str">
        <f>"2018-05-17 10:20:26"</f>
        <v>2018-05-17 10:20:26</v>
      </c>
      <c r="M4700" s="1" t="s">
        <v>2</v>
      </c>
      <c r="N4700" s="1" t="s">
        <v>38</v>
      </c>
      <c r="O4700" s="1" t="s">
        <v>46</v>
      </c>
    </row>
    <row r="4701" spans="2:15" x14ac:dyDescent="0.3">
      <c r="B4701" s="1" t="s">
        <v>23</v>
      </c>
      <c r="C4701" s="1" t="str">
        <f>"1차"</f>
        <v>1차</v>
      </c>
      <c r="D4701" s="1" t="str">
        <f>"0424C34200"</f>
        <v>0424C34200</v>
      </c>
      <c r="E4701" s="1" t="s">
        <v>10</v>
      </c>
      <c r="F4701" s="1" t="str">
        <f>"10.125.3.66"</f>
        <v>10.125.3.66</v>
      </c>
      <c r="G4701" s="1" t="str">
        <f>"0424C342"</f>
        <v>0424C342</v>
      </c>
      <c r="H4701" s="1" t="str">
        <f>"자양간 31R2R3"</f>
        <v>자양간 31R2R3</v>
      </c>
      <c r="I4701" s="1" t="s">
        <v>8</v>
      </c>
      <c r="J4701" s="1" t="str">
        <f>"10/21"</f>
        <v>10/21</v>
      </c>
      <c r="K4701" s="1" t="str">
        <f>"2026-07-29 13:18:03"</f>
        <v>2026-07-29 13:18:03</v>
      </c>
      <c r="L4701" s="1" t="str">
        <f>"2014-12-04 16:43:29"</f>
        <v>2014-12-04 16:43:29</v>
      </c>
      <c r="M4701" s="1" t="s">
        <v>45</v>
      </c>
      <c r="N4701" s="1" t="s">
        <v>38</v>
      </c>
      <c r="O4701" s="1" t="s">
        <v>46</v>
      </c>
    </row>
    <row r="4702" spans="2:15" x14ac:dyDescent="0.3">
      <c r="B4702" s="1" t="s">
        <v>23</v>
      </c>
      <c r="C4702" s="1" t="s">
        <v>16</v>
      </c>
      <c r="D4702" s="1" t="str">
        <f>"0424C41439"</f>
        <v>0424C41439</v>
      </c>
      <c r="E4702" s="1" t="s">
        <v>10</v>
      </c>
      <c r="F4702" s="1" t="str">
        <f>"10.11.61.154"</f>
        <v>10.11.61.154</v>
      </c>
      <c r="G4702" s="1" t="str">
        <f>"0424C414"</f>
        <v>0424C414</v>
      </c>
      <c r="H4702" s="1" t="str">
        <f>"자양간 36R9R2"</f>
        <v>자양간 36R9R2</v>
      </c>
      <c r="I4702" s="1" t="s">
        <v>8</v>
      </c>
      <c r="J4702" s="1" t="str">
        <f>"49/49"</f>
        <v>49/49</v>
      </c>
      <c r="K4702" s="1" t="str">
        <f>"2026-07-29 13:18:03"</f>
        <v>2026-07-29 13:18:03</v>
      </c>
      <c r="L4702" s="1" t="str">
        <f>"2024-08-09 10:59:22"</f>
        <v>2024-08-09 10:59:22</v>
      </c>
      <c r="M4702" s="1" t="s">
        <v>2</v>
      </c>
      <c r="N4702" s="1" t="s">
        <v>38</v>
      </c>
      <c r="O4702" s="1" t="s">
        <v>46</v>
      </c>
    </row>
    <row r="4703" spans="2:15" x14ac:dyDescent="0.3">
      <c r="B4703" s="1" t="s">
        <v>23</v>
      </c>
      <c r="C4703" s="1" t="str">
        <f>"3차"</f>
        <v>3차</v>
      </c>
      <c r="D4703" s="1" t="str">
        <f>"0424C43239"</f>
        <v>0424C43239</v>
      </c>
      <c r="E4703" s="1" t="s">
        <v>10</v>
      </c>
      <c r="F4703" s="1" t="str">
        <f>"10.11.54.82"</f>
        <v>10.11.54.82</v>
      </c>
      <c r="G4703" s="1" t="str">
        <f>"0424C432"</f>
        <v>0424C432</v>
      </c>
      <c r="H4703" s="1" t="str">
        <f>"자양간 31R4"</f>
        <v>자양간 31R4</v>
      </c>
      <c r="I4703" s="1" t="s">
        <v>8</v>
      </c>
      <c r="J4703" s="1" t="str">
        <f>"5/5"</f>
        <v>5/5</v>
      </c>
      <c r="K4703" s="1" t="str">
        <f>"2026-07-29 13:18:03"</f>
        <v>2026-07-29 13:18:03</v>
      </c>
      <c r="L4703" s="1" t="str">
        <f>"2018-05-02 09:10:09"</f>
        <v>2018-05-02 09:10:09</v>
      </c>
      <c r="M4703" s="1" t="s">
        <v>2</v>
      </c>
      <c r="N4703" s="1" t="s">
        <v>38</v>
      </c>
      <c r="O4703" s="1" t="s">
        <v>46</v>
      </c>
    </row>
    <row r="4704" spans="2:15" x14ac:dyDescent="0.3">
      <c r="B4704" s="1" t="s">
        <v>23</v>
      </c>
      <c r="C4704" s="1" t="str">
        <f>"3차"</f>
        <v>3차</v>
      </c>
      <c r="D4704" s="1" t="str">
        <f>"0424C43339"</f>
        <v>0424C43339</v>
      </c>
      <c r="E4704" s="1" t="s">
        <v>10</v>
      </c>
      <c r="F4704" s="1" t="str">
        <f>"10.11.54.90"</f>
        <v>10.11.54.90</v>
      </c>
      <c r="G4704" s="1" t="str">
        <f>"0424C433"</f>
        <v>0424C433</v>
      </c>
      <c r="H4704" s="1" t="str">
        <f>"자양간 31R5L1"</f>
        <v>자양간 31R5L1</v>
      </c>
      <c r="I4704" s="1" t="s">
        <v>8</v>
      </c>
      <c r="J4704" s="1" t="str">
        <f>"59/59"</f>
        <v>59/59</v>
      </c>
      <c r="K4704" s="1" t="str">
        <f>"2026-07-29 13:18:03"</f>
        <v>2026-07-29 13:18:03</v>
      </c>
      <c r="L4704" s="1" t="str">
        <f>"2018-05-02 09:47:09"</f>
        <v>2018-05-02 09:47:09</v>
      </c>
      <c r="M4704" s="1" t="s">
        <v>2</v>
      </c>
      <c r="N4704" s="1" t="s">
        <v>38</v>
      </c>
      <c r="O4704" s="1" t="s">
        <v>46</v>
      </c>
    </row>
    <row r="4705" spans="2:15" x14ac:dyDescent="0.3">
      <c r="B4705" s="1" t="s">
        <v>23</v>
      </c>
      <c r="C4705" s="1" t="str">
        <f>"4차"</f>
        <v>4차</v>
      </c>
      <c r="D4705" s="1" t="str">
        <f>"0424C43439"</f>
        <v>0424C43439</v>
      </c>
      <c r="E4705" s="1" t="s">
        <v>10</v>
      </c>
      <c r="F4705" s="1" t="str">
        <f>"10.11.54.98"</f>
        <v>10.11.54.98</v>
      </c>
      <c r="G4705" s="1" t="str">
        <f>"0424C434"</f>
        <v>0424C434</v>
      </c>
      <c r="H4705" s="1" t="str">
        <f>"자양간 31R5"</f>
        <v>자양간 31R5</v>
      </c>
      <c r="I4705" s="1" t="s">
        <v>8</v>
      </c>
      <c r="J4705" s="1" t="str">
        <f>"15/18"</f>
        <v>15/18</v>
      </c>
      <c r="K4705" s="1" t="str">
        <f>"2026-07-29 13:18:03"</f>
        <v>2026-07-29 13:18:03</v>
      </c>
      <c r="L4705" s="1" t="str">
        <f>"2018-05-02 09:09:24"</f>
        <v>2018-05-02 09:09:24</v>
      </c>
      <c r="M4705" s="1" t="s">
        <v>2</v>
      </c>
      <c r="N4705" s="1" t="s">
        <v>38</v>
      </c>
      <c r="O4705" s="1" t="s">
        <v>46</v>
      </c>
    </row>
    <row r="4706" spans="2:15" x14ac:dyDescent="0.3">
      <c r="B4706" s="1" t="s">
        <v>23</v>
      </c>
      <c r="C4706" s="1" t="str">
        <f>"6차"</f>
        <v>6차</v>
      </c>
      <c r="D4706" s="1" t="str">
        <f>"0424C4416S"</f>
        <v>0424C4416S</v>
      </c>
      <c r="E4706" s="1" t="s">
        <v>10</v>
      </c>
      <c r="F4706" s="1" t="str">
        <f>"fde3:102:1440:2300:0:0:0:19"</f>
        <v>fde3:102:1440:2300:0:0:0:19</v>
      </c>
      <c r="G4706" s="1" t="str">
        <f>"0424C441"</f>
        <v>0424C441</v>
      </c>
      <c r="H4706" s="1" t="str">
        <f>"자양간 31R2R2"</f>
        <v>자양간 31R2R2</v>
      </c>
      <c r="I4706" s="1" t="s">
        <v>15</v>
      </c>
      <c r="J4706" s="1" t="str">
        <f>"39/39"</f>
        <v>39/39</v>
      </c>
      <c r="K4706" s="1" t="str">
        <f>"2026-07-29 14:21:06"</f>
        <v>2026-07-29 14:21:06</v>
      </c>
      <c r="L4706" s="1" t="str">
        <f>"2024-10-10 13:29:40"</f>
        <v>2024-10-10 13:29:40</v>
      </c>
      <c r="M4706" s="1" t="s">
        <v>45</v>
      </c>
      <c r="N4706" s="1" t="s">
        <v>38</v>
      </c>
      <c r="O4706" s="1" t="s">
        <v>46</v>
      </c>
    </row>
    <row r="4707" spans="2:15" x14ac:dyDescent="0.3">
      <c r="B4707" s="1" t="s">
        <v>23</v>
      </c>
      <c r="C4707" s="1" t="str">
        <f>"6차"</f>
        <v>6차</v>
      </c>
      <c r="D4707" s="1" t="str">
        <f>"0424C5016S"</f>
        <v>0424C5016S</v>
      </c>
      <c r="E4707" s="1" t="s">
        <v>10</v>
      </c>
      <c r="F4707" s="1" t="str">
        <f>"fde1:103:4:c6d1:0:0:0:2"</f>
        <v>fde1:103:4:c6d1:0:0:0:2</v>
      </c>
      <c r="G4707" s="1" t="str">
        <f>"0424C501"</f>
        <v>0424C501</v>
      </c>
      <c r="H4707" s="1" t="str">
        <f>"자양간 36R4"</f>
        <v>자양간 36R4</v>
      </c>
      <c r="I4707" s="1" t="s">
        <v>15</v>
      </c>
      <c r="J4707" s="1" t="str">
        <f>"28/28"</f>
        <v>28/28</v>
      </c>
      <c r="K4707" s="1" t="str">
        <f>"2026-07-29 14:20:49"</f>
        <v>2026-07-29 14:20:49</v>
      </c>
      <c r="L4707" s="1" t="str">
        <f>"2025-05-07 18:11:58"</f>
        <v>2025-05-07 18:11:58</v>
      </c>
      <c r="M4707" s="1" t="s">
        <v>4</v>
      </c>
      <c r="N4707" s="1" t="s">
        <v>38</v>
      </c>
      <c r="O4707" s="1" t="s">
        <v>46</v>
      </c>
    </row>
    <row r="4708" spans="2:15" x14ac:dyDescent="0.3">
      <c r="B4708" s="1" t="s">
        <v>23</v>
      </c>
      <c r="C4708" s="1" t="str">
        <f>"3차"</f>
        <v>3차</v>
      </c>
      <c r="D4708" s="1" t="str">
        <f>"0424C50530"</f>
        <v>0424C50530</v>
      </c>
      <c r="E4708" s="1" t="s">
        <v>10</v>
      </c>
      <c r="F4708" s="1" t="str">
        <f>"10.11.54.130"</f>
        <v>10.11.54.130</v>
      </c>
      <c r="G4708" s="1" t="str">
        <f>"0424C505"</f>
        <v>0424C505</v>
      </c>
      <c r="H4708" s="1" t="str">
        <f>"자양간 36R5"</f>
        <v>자양간 36R5</v>
      </c>
      <c r="I4708" s="1" t="s">
        <v>8</v>
      </c>
      <c r="J4708" s="1" t="str">
        <f>"98/98"</f>
        <v>98/98</v>
      </c>
      <c r="K4708" s="1" t="str">
        <f>"2026-07-29 13:18:02"</f>
        <v>2026-07-29 13:18:02</v>
      </c>
      <c r="L4708" s="1" t="str">
        <f>"2018-05-08 16:57:27"</f>
        <v>2018-05-08 16:57:27</v>
      </c>
      <c r="M4708" s="1" t="s">
        <v>2</v>
      </c>
      <c r="N4708" s="1" t="s">
        <v>38</v>
      </c>
      <c r="O4708" s="1" t="s">
        <v>46</v>
      </c>
    </row>
    <row r="4709" spans="2:15" x14ac:dyDescent="0.3">
      <c r="B4709" s="1" t="s">
        <v>23</v>
      </c>
      <c r="C4709" s="1" t="str">
        <f>"3차"</f>
        <v>3차</v>
      </c>
      <c r="D4709" s="1" t="str">
        <f>"0424C52239"</f>
        <v>0424C52239</v>
      </c>
      <c r="E4709" s="1" t="s">
        <v>10</v>
      </c>
      <c r="F4709" s="1" t="str">
        <f>"10.11.61.82"</f>
        <v>10.11.61.82</v>
      </c>
      <c r="G4709" s="1" t="str">
        <f>"0424C522"</f>
        <v>0424C522</v>
      </c>
      <c r="H4709" s="1" t="str">
        <f>"자양간 31R4L2"</f>
        <v>자양간 31R4L2</v>
      </c>
      <c r="I4709" s="1" t="s">
        <v>8</v>
      </c>
      <c r="J4709" s="1" t="str">
        <f>"4/4"</f>
        <v>4/4</v>
      </c>
      <c r="K4709" s="1" t="str">
        <f>"2026-07-29 13:18:02"</f>
        <v>2026-07-29 13:18:02</v>
      </c>
      <c r="L4709" s="1" t="str">
        <f>"2018-05-02 09:21:41"</f>
        <v>2018-05-02 09:21:41</v>
      </c>
      <c r="M4709" s="1" t="s">
        <v>2</v>
      </c>
      <c r="N4709" s="1" t="s">
        <v>38</v>
      </c>
      <c r="O4709" s="1" t="s">
        <v>46</v>
      </c>
    </row>
    <row r="4710" spans="2:15" x14ac:dyDescent="0.3">
      <c r="B4710" s="1" t="s">
        <v>23</v>
      </c>
      <c r="C4710" s="1" t="s">
        <v>16</v>
      </c>
      <c r="D4710" s="1" t="str">
        <f>"0424C52341"</f>
        <v>0424C52341</v>
      </c>
      <c r="E4710" s="1" t="s">
        <v>10</v>
      </c>
      <c r="F4710" s="1" t="str">
        <f>"10.12.129.202"</f>
        <v>10.12.129.202</v>
      </c>
      <c r="G4710" s="1" t="str">
        <f>"0424C523"</f>
        <v>0424C523</v>
      </c>
      <c r="H4710" s="1" t="str">
        <f>"자양간 31R4L1"</f>
        <v>자양간 31R4L1</v>
      </c>
      <c r="I4710" s="1" t="s">
        <v>17</v>
      </c>
      <c r="J4710" s="1" t="str">
        <f>"54/64"</f>
        <v>54/64</v>
      </c>
      <c r="K4710" s="1" t="str">
        <f>"2026-07-29 13:18:03"</f>
        <v>2026-07-29 13:18:03</v>
      </c>
      <c r="L4710" s="1" t="str">
        <f>"2022-11-10 08:24:54"</f>
        <v>2022-11-10 08:24:54</v>
      </c>
      <c r="M4710" s="1" t="s">
        <v>0</v>
      </c>
      <c r="N4710" s="1" t="s">
        <v>38</v>
      </c>
      <c r="O4710" s="1" t="s">
        <v>46</v>
      </c>
    </row>
    <row r="4711" spans="2:15" x14ac:dyDescent="0.3">
      <c r="B4711" s="1" t="s">
        <v>23</v>
      </c>
      <c r="C4711" s="1" t="str">
        <f>"4차"</f>
        <v>4차</v>
      </c>
      <c r="D4711" s="1" t="str">
        <f>"0424C60139"</f>
        <v>0424C60139</v>
      </c>
      <c r="E4711" s="1" t="s">
        <v>14</v>
      </c>
      <c r="F4711" s="1" t="str">
        <f>"10.11.57.130"</f>
        <v>10.11.57.130</v>
      </c>
      <c r="G4711" s="1" t="str">
        <f>"0424C601"</f>
        <v>0424C601</v>
      </c>
      <c r="H4711" s="1" t="str">
        <f>"자양간 37H1R2"</f>
        <v>자양간 37H1R2</v>
      </c>
      <c r="I4711" s="1" t="s">
        <v>8</v>
      </c>
      <c r="J4711" s="1" t="str">
        <f>"0/0"</f>
        <v>0/0</v>
      </c>
      <c r="K4711" s="4" t="str">
        <f>"2026-07-29 13:18:02"</f>
        <v>2026-07-29 13:18:02</v>
      </c>
      <c r="L4711" s="1" t="str">
        <f>"2018-05-30 09:59:25"</f>
        <v>2018-05-30 09:59:25</v>
      </c>
      <c r="M4711" s="1" t="s">
        <v>2</v>
      </c>
      <c r="N4711" s="1" t="s">
        <v>38</v>
      </c>
      <c r="O4711" s="1" t="s">
        <v>44</v>
      </c>
    </row>
    <row r="4712" spans="2:15" x14ac:dyDescent="0.3">
      <c r="B4712" s="1" t="s">
        <v>23</v>
      </c>
      <c r="C4712" s="1" t="str">
        <f>"3차"</f>
        <v>3차</v>
      </c>
      <c r="D4712" s="1" t="str">
        <f>"0424C61139"</f>
        <v>0424C61139</v>
      </c>
      <c r="E4712" s="1" t="s">
        <v>10</v>
      </c>
      <c r="F4712" s="1" t="str">
        <f>"10.11.57.122"</f>
        <v>10.11.57.122</v>
      </c>
      <c r="G4712" s="1" t="str">
        <f>"0424C611"</f>
        <v>0424C611</v>
      </c>
      <c r="H4712" s="1" t="str">
        <f>"자양간 36R2"</f>
        <v>자양간 36R2</v>
      </c>
      <c r="I4712" s="1" t="s">
        <v>8</v>
      </c>
      <c r="J4712" s="1" t="str">
        <f>"41/41"</f>
        <v>41/41</v>
      </c>
      <c r="K4712" s="1" t="str">
        <f>"2026-07-29 13:18:03"</f>
        <v>2026-07-29 13:18:03</v>
      </c>
      <c r="L4712" s="1" t="str">
        <f>"2018-05-30 09:56:55"</f>
        <v>2018-05-30 09:56:55</v>
      </c>
      <c r="M4712" s="1" t="s">
        <v>2</v>
      </c>
      <c r="N4712" s="1" t="s">
        <v>38</v>
      </c>
      <c r="O4712" s="1" t="s">
        <v>46</v>
      </c>
    </row>
    <row r="4713" spans="2:15" x14ac:dyDescent="0.3">
      <c r="B4713" s="1" t="s">
        <v>23</v>
      </c>
      <c r="C4713" s="1" t="str">
        <f>"3차"</f>
        <v>3차</v>
      </c>
      <c r="D4713" s="1" t="str">
        <f>"0424C63239"</f>
        <v>0424C63239</v>
      </c>
      <c r="E4713" s="1" t="s">
        <v>10</v>
      </c>
      <c r="F4713" s="1" t="str">
        <f>"10.11.57.114"</f>
        <v>10.11.57.114</v>
      </c>
      <c r="G4713" s="1" t="str">
        <f>"0424C632"</f>
        <v>0424C632</v>
      </c>
      <c r="H4713" s="1" t="str">
        <f>"자양간 32R1"</f>
        <v>자양간 32R1</v>
      </c>
      <c r="I4713" s="1" t="s">
        <v>8</v>
      </c>
      <c r="J4713" s="1" t="str">
        <f>"5/5"</f>
        <v>5/5</v>
      </c>
      <c r="K4713" s="1" t="str">
        <f>"2026-07-29 13:18:03"</f>
        <v>2026-07-29 13:18:03</v>
      </c>
      <c r="L4713" s="1" t="str">
        <f>"2018-05-30 09:58:54"</f>
        <v>2018-05-30 09:58:54</v>
      </c>
      <c r="M4713" s="1" t="s">
        <v>2</v>
      </c>
      <c r="N4713" s="1" t="s">
        <v>38</v>
      </c>
      <c r="O4713" s="1" t="s">
        <v>46</v>
      </c>
    </row>
    <row r="4714" spans="2:15" x14ac:dyDescent="0.3">
      <c r="B4714" s="1" t="s">
        <v>23</v>
      </c>
      <c r="C4714" s="1" t="str">
        <f>"5-2차"</f>
        <v>5-2차</v>
      </c>
      <c r="D4714" s="1" t="str">
        <f>"0424C6425M"</f>
        <v>0424C6425M</v>
      </c>
      <c r="E4714" s="1" t="s">
        <v>10</v>
      </c>
      <c r="F4714" s="1" t="str">
        <f>"fde3:102:1440:1300:0:0:0:13"</f>
        <v>fde3:102:1440:1300:0:0:0:13</v>
      </c>
      <c r="G4714" s="1" t="str">
        <f>"0424C642"</f>
        <v>0424C642</v>
      </c>
      <c r="H4714" s="1" t="str">
        <f>"자양간 32L4"</f>
        <v>자양간 32L4</v>
      </c>
      <c r="I4714" s="1" t="s">
        <v>15</v>
      </c>
      <c r="J4714" s="1" t="str">
        <f>"2/29"</f>
        <v>2/29</v>
      </c>
      <c r="K4714" s="1" t="str">
        <f>"2026-07-29 14:21:06"</f>
        <v>2026-07-29 14:21:06</v>
      </c>
      <c r="L4714" s="1" t="str">
        <f>"2023-10-16 15:30:25"</f>
        <v>2023-10-16 15:30:25</v>
      </c>
      <c r="M4714" s="1" t="s">
        <v>45</v>
      </c>
      <c r="N4714" s="1" t="s">
        <v>38</v>
      </c>
      <c r="O4714" s="1" t="s">
        <v>46</v>
      </c>
    </row>
    <row r="4715" spans="2:15" x14ac:dyDescent="0.3">
      <c r="B4715" s="1" t="s">
        <v>23</v>
      </c>
      <c r="C4715" s="1" t="str">
        <f>"4차"</f>
        <v>4차</v>
      </c>
      <c r="D4715" s="1" t="str">
        <f>"0424C65539"</f>
        <v>0424C65539</v>
      </c>
      <c r="E4715" s="1" t="s">
        <v>10</v>
      </c>
      <c r="F4715" s="1" t="str">
        <f>"10.12.135.136"</f>
        <v>10.12.135.136</v>
      </c>
      <c r="G4715" s="1" t="str">
        <f>"0424C655"</f>
        <v>0424C655</v>
      </c>
      <c r="H4715" s="1" t="str">
        <f>"자양로 11-2"</f>
        <v>자양로 11-2</v>
      </c>
      <c r="I4715" s="1" t="s">
        <v>17</v>
      </c>
      <c r="J4715" s="1" t="str">
        <f>"3/3"</f>
        <v>3/3</v>
      </c>
      <c r="K4715" s="1" t="str">
        <f>"2026-07-29 13:18:03"</f>
        <v>2026-07-29 13:18:03</v>
      </c>
      <c r="L4715" s="1" t="str">
        <f>"2018-05-23 13:38:13"</f>
        <v>2018-05-23 13:38:13</v>
      </c>
      <c r="M4715" s="1" t="s">
        <v>0</v>
      </c>
      <c r="N4715" s="1" t="s">
        <v>38</v>
      </c>
      <c r="O4715" s="1" t="s">
        <v>46</v>
      </c>
    </row>
    <row r="4716" spans="2:15" x14ac:dyDescent="0.3">
      <c r="B4716" s="1" t="s">
        <v>23</v>
      </c>
      <c r="C4716" s="1" t="str">
        <f>"4차"</f>
        <v>4차</v>
      </c>
      <c r="D4716" s="1" t="str">
        <f>"0424C67439"</f>
        <v>0424C67439</v>
      </c>
      <c r="E4716" s="1" t="s">
        <v>14</v>
      </c>
      <c r="F4716" s="1" t="str">
        <f>"10.12.135.134"</f>
        <v>10.12.135.134</v>
      </c>
      <c r="G4716" s="1" t="str">
        <f>"0424C674"</f>
        <v>0424C674</v>
      </c>
      <c r="H4716" s="1" t="str">
        <f>"미가로 1-3"</f>
        <v>미가로 1-3</v>
      </c>
      <c r="I4716" s="1" t="s">
        <v>17</v>
      </c>
      <c r="J4716" s="1" t="str">
        <f>"0/0"</f>
        <v>0/0</v>
      </c>
      <c r="K4716" s="1" t="str">
        <f>"2026-07-28 13:18:03"</f>
        <v>2026-07-28 13:18:03</v>
      </c>
      <c r="L4716" s="1" t="str">
        <f>"2018-05-23 13:59:13"</f>
        <v>2018-05-23 13:59:13</v>
      </c>
      <c r="M4716" s="1" t="s">
        <v>0</v>
      </c>
      <c r="N4716" s="1" t="s">
        <v>39</v>
      </c>
      <c r="O4716" s="1" t="s">
        <v>46</v>
      </c>
    </row>
    <row r="4717" spans="2:15" x14ac:dyDescent="0.3">
      <c r="B4717" s="1" t="s">
        <v>23</v>
      </c>
      <c r="C4717" s="1" t="str">
        <f>"4차"</f>
        <v>4차</v>
      </c>
      <c r="D4717" s="1" t="str">
        <f>"0424C67945"</f>
        <v>0424C67945</v>
      </c>
      <c r="E4717" s="1" t="s">
        <v>14</v>
      </c>
      <c r="F4717" s="1" t="str">
        <f>"10.12.134.121"</f>
        <v>10.12.134.121</v>
      </c>
      <c r="G4717" s="1" t="str">
        <f>"0424C679"</f>
        <v>0424C679</v>
      </c>
      <c r="H4717" s="1" t="str">
        <f>"미가로 1-5"</f>
        <v>미가로 1-5</v>
      </c>
      <c r="I4717" s="1" t="s">
        <v>17</v>
      </c>
      <c r="J4717" s="1" t="str">
        <f>"0/0"</f>
        <v>0/0</v>
      </c>
      <c r="K4717" s="1" t="str">
        <f>"2026-07-28 13:18:04"</f>
        <v>2026-07-28 13:18:04</v>
      </c>
      <c r="L4717" s="1" t="str">
        <f>"2022-05-24 11:31:57"</f>
        <v>2022-05-24 11:31:57</v>
      </c>
      <c r="M4717" s="1" t="s">
        <v>0</v>
      </c>
      <c r="N4717" s="1" t="s">
        <v>39</v>
      </c>
      <c r="O4717" s="1" t="s">
        <v>46</v>
      </c>
    </row>
    <row r="4718" spans="2:15" x14ac:dyDescent="0.3">
      <c r="B4718" s="1" t="s">
        <v>23</v>
      </c>
      <c r="C4718" s="1" t="str">
        <f>"4차"</f>
        <v>4차</v>
      </c>
      <c r="D4718" s="1" t="str">
        <f>"0424C67A39"</f>
        <v>0424C67A39</v>
      </c>
      <c r="E4718" s="1" t="s">
        <v>10</v>
      </c>
      <c r="F4718" s="1" t="str">
        <f>"10.12.132.122"</f>
        <v>10.12.132.122</v>
      </c>
      <c r="G4718" s="1" t="str">
        <f>"0424C67A"</f>
        <v>0424C67A</v>
      </c>
      <c r="H4718" s="1" t="str">
        <f>"미가로 1-4"</f>
        <v>미가로 1-4</v>
      </c>
      <c r="I4718" s="1" t="s">
        <v>17</v>
      </c>
      <c r="J4718" s="1" t="str">
        <f>"11/11"</f>
        <v>11/11</v>
      </c>
      <c r="K4718" s="1" t="str">
        <f>"2026-07-29 13:18:02"</f>
        <v>2026-07-29 13:18:02</v>
      </c>
      <c r="L4718" s="1" t="str">
        <f>"2018-06-20 07:48:56"</f>
        <v>2018-06-20 07:48:56</v>
      </c>
      <c r="M4718" s="1" t="s">
        <v>0</v>
      </c>
      <c r="N4718" s="1" t="s">
        <v>38</v>
      </c>
      <c r="O4718" s="1" t="s">
        <v>46</v>
      </c>
    </row>
    <row r="4719" spans="2:15" x14ac:dyDescent="0.3">
      <c r="B4719" s="1" t="s">
        <v>23</v>
      </c>
      <c r="C4719" s="1" t="str">
        <f>"3차"</f>
        <v>3차</v>
      </c>
      <c r="D4719" s="1" t="str">
        <f>"0424C70239"</f>
        <v>0424C70239</v>
      </c>
      <c r="E4719" s="1" t="s">
        <v>10</v>
      </c>
      <c r="F4719" s="1" t="str">
        <f>"10.11.54.66"</f>
        <v>10.11.54.66</v>
      </c>
      <c r="G4719" s="1" t="str">
        <f>"0424C702"</f>
        <v>0424C702</v>
      </c>
      <c r="H4719" s="1" t="str">
        <f>"자양간 37H1"</f>
        <v>자양간 37H1</v>
      </c>
      <c r="I4719" s="1" t="s">
        <v>8</v>
      </c>
      <c r="J4719" s="1" t="str">
        <f>"18/18"</f>
        <v>18/18</v>
      </c>
      <c r="K4719" s="1" t="str">
        <f>"2026-07-29 13:18:03"</f>
        <v>2026-07-29 13:18:03</v>
      </c>
      <c r="L4719" s="1" t="str">
        <f>"2021-07-26 18:02:30"</f>
        <v>2021-07-26 18:02:30</v>
      </c>
      <c r="M4719" s="1" t="s">
        <v>2</v>
      </c>
      <c r="N4719" s="1" t="s">
        <v>38</v>
      </c>
      <c r="O4719" s="1" t="s">
        <v>46</v>
      </c>
    </row>
    <row r="4720" spans="2:15" x14ac:dyDescent="0.3">
      <c r="B4720" s="1" t="s">
        <v>23</v>
      </c>
      <c r="C4720" s="1" t="str">
        <f>"3차"</f>
        <v>3차</v>
      </c>
      <c r="D4720" s="1" t="str">
        <f>"0424C71139"</f>
        <v>0424C71139</v>
      </c>
      <c r="E4720" s="1" t="s">
        <v>10</v>
      </c>
      <c r="F4720" s="1" t="str">
        <f>"10.11.61.58"</f>
        <v>10.11.61.58</v>
      </c>
      <c r="G4720" s="1" t="str">
        <f>"0424C711"</f>
        <v>0424C711</v>
      </c>
      <c r="H4720" s="1" t="str">
        <f>"자양간 36"</f>
        <v>자양간 36</v>
      </c>
      <c r="I4720" s="1" t="s">
        <v>8</v>
      </c>
      <c r="J4720" s="1" t="str">
        <f>"8/8"</f>
        <v>8/8</v>
      </c>
      <c r="K4720" s="1" t="str">
        <f>"2026-07-29 13:18:03"</f>
        <v>2026-07-29 13:18:03</v>
      </c>
      <c r="L4720" s="1" t="str">
        <f>"2018-04-27 14:21:41"</f>
        <v>2018-04-27 14:21:41</v>
      </c>
      <c r="M4720" s="1" t="s">
        <v>2</v>
      </c>
      <c r="N4720" s="1" t="s">
        <v>38</v>
      </c>
      <c r="O4720" s="1" t="s">
        <v>46</v>
      </c>
    </row>
    <row r="4721" spans="2:15" x14ac:dyDescent="0.3">
      <c r="B4721" s="1" t="s">
        <v>23</v>
      </c>
      <c r="C4721" s="1" t="str">
        <f>"4차"</f>
        <v>4차</v>
      </c>
      <c r="D4721" s="1" t="str">
        <f>"0424C75439"</f>
        <v>0424C75439</v>
      </c>
      <c r="E4721" s="1" t="s">
        <v>10</v>
      </c>
      <c r="F4721" s="1" t="str">
        <f>"10.12.135.124"</f>
        <v>10.12.135.124</v>
      </c>
      <c r="G4721" s="1" t="str">
        <f>"0424C754"</f>
        <v>0424C754</v>
      </c>
      <c r="H4721" s="1" t="str">
        <f>"자양로 11-1"</f>
        <v>자양로 11-1</v>
      </c>
      <c r="I4721" s="1" t="s">
        <v>17</v>
      </c>
      <c r="J4721" s="1" t="str">
        <f>"1/6"</f>
        <v>1/6</v>
      </c>
      <c r="K4721" s="1" t="str">
        <f>"2026-07-29 13:18:04"</f>
        <v>2026-07-29 13:18:04</v>
      </c>
      <c r="L4721" s="1" t="str">
        <f>"2018-05-23 13:21:15"</f>
        <v>2018-05-23 13:21:15</v>
      </c>
      <c r="M4721" s="1" t="s">
        <v>0</v>
      </c>
      <c r="N4721" s="1" t="s">
        <v>38</v>
      </c>
      <c r="O4721" s="1" t="s">
        <v>46</v>
      </c>
    </row>
    <row r="4722" spans="2:15" x14ac:dyDescent="0.3">
      <c r="B4722" s="1" t="s">
        <v>23</v>
      </c>
      <c r="C4722" s="1" t="s">
        <v>16</v>
      </c>
      <c r="D4722" s="1" t="str">
        <f>"0424C85141"</f>
        <v>0424C85141</v>
      </c>
      <c r="E4722" s="1" t="s">
        <v>10</v>
      </c>
      <c r="F4722" s="1" t="str">
        <f>"10.14.1.132"</f>
        <v>10.14.1.132</v>
      </c>
      <c r="G4722" s="1" t="str">
        <f>"0424C851"</f>
        <v>0424C851</v>
      </c>
      <c r="H4722" s="1" t="str">
        <f>"자양간 32L9"</f>
        <v>자양간 32L9</v>
      </c>
      <c r="I4722" s="1" t="s">
        <v>17</v>
      </c>
      <c r="J4722" s="1" t="str">
        <f>"5/5"</f>
        <v>5/5</v>
      </c>
      <c r="K4722" s="1" t="str">
        <f>"2026-07-29 13:18:04"</f>
        <v>2026-07-29 13:18:04</v>
      </c>
      <c r="L4722" s="1" t="str">
        <f>"2022-11-10 09:31:56"</f>
        <v>2022-11-10 09:31:56</v>
      </c>
      <c r="M4722" s="1" t="s">
        <v>3</v>
      </c>
      <c r="N4722" s="1" t="s">
        <v>38</v>
      </c>
      <c r="O4722" s="1" t="s">
        <v>46</v>
      </c>
    </row>
    <row r="4723" spans="2:15" x14ac:dyDescent="0.3">
      <c r="B4723" s="1" t="s">
        <v>23</v>
      </c>
      <c r="C4723" s="1" t="str">
        <f>"4차"</f>
        <v>4차</v>
      </c>
      <c r="D4723" s="1" t="str">
        <f>"0424D06739"</f>
        <v>0424D06739</v>
      </c>
      <c r="E4723" s="1" t="s">
        <v>10</v>
      </c>
      <c r="F4723" s="1" t="str">
        <f>"10.12.133.220"</f>
        <v>10.12.133.220</v>
      </c>
      <c r="G4723" s="1" t="str">
        <f>"0424D067"</f>
        <v>0424D067</v>
      </c>
      <c r="H4723" s="1" t="str">
        <f>"미가로 1-1"</f>
        <v>미가로 1-1</v>
      </c>
      <c r="I4723" s="1" t="s">
        <v>17</v>
      </c>
      <c r="J4723" s="1" t="str">
        <f>"20/22"</f>
        <v>20/22</v>
      </c>
      <c r="K4723" s="1" t="str">
        <f>"2026-07-29 13:18:03"</f>
        <v>2026-07-29 13:18:03</v>
      </c>
      <c r="L4723" s="1" t="str">
        <f>"2018-06-20 08:49:10"</f>
        <v>2018-06-20 08:49:10</v>
      </c>
      <c r="M4723" s="1" t="s">
        <v>0</v>
      </c>
      <c r="N4723" s="1" t="s">
        <v>38</v>
      </c>
      <c r="O4723" s="1" t="s">
        <v>46</v>
      </c>
    </row>
    <row r="4724" spans="2:15" x14ac:dyDescent="0.3">
      <c r="B4724" s="1" t="s">
        <v>23</v>
      </c>
      <c r="C4724" s="1" t="str">
        <f>"4차"</f>
        <v>4차</v>
      </c>
      <c r="D4724" s="1" t="str">
        <f>"0424D06839"</f>
        <v>0424D06839</v>
      </c>
      <c r="E4724" s="1" t="s">
        <v>10</v>
      </c>
      <c r="F4724" s="1" t="str">
        <f>"10.12.132.107"</f>
        <v>10.12.132.107</v>
      </c>
      <c r="G4724" s="1" t="str">
        <f>"0424D068"</f>
        <v>0424D068</v>
      </c>
      <c r="H4724" s="1" t="str">
        <f>"미가로 2-4"</f>
        <v>미가로 2-4</v>
      </c>
      <c r="I4724" s="1" t="s">
        <v>17</v>
      </c>
      <c r="J4724" s="1" t="str">
        <f>"2/2"</f>
        <v>2/2</v>
      </c>
      <c r="K4724" s="1" t="str">
        <f>"2026-07-29 13:18:03"</f>
        <v>2026-07-29 13:18:03</v>
      </c>
      <c r="L4724" s="1" t="str">
        <f>"2018-06-22 07:39:54"</f>
        <v>2018-06-22 07:39:54</v>
      </c>
      <c r="M4724" s="1" t="s">
        <v>0</v>
      </c>
      <c r="N4724" s="1" t="s">
        <v>38</v>
      </c>
      <c r="O4724" s="1" t="s">
        <v>46</v>
      </c>
    </row>
    <row r="4725" spans="2:15" x14ac:dyDescent="0.3">
      <c r="B4725" s="1" t="s">
        <v>23</v>
      </c>
      <c r="C4725" s="1" t="str">
        <f>"4차"</f>
        <v>4차</v>
      </c>
      <c r="D4725" s="1" t="str">
        <f>"0424D17839"</f>
        <v>0424D17839</v>
      </c>
      <c r="E4725" s="1" t="s">
        <v>14</v>
      </c>
      <c r="F4725" s="1" t="str">
        <f>"10.12.134.129"</f>
        <v>10.12.134.129</v>
      </c>
      <c r="G4725" s="1" t="str">
        <f>"0424D178"</f>
        <v>0424D178</v>
      </c>
      <c r="H4725" s="1" t="str">
        <f>"미가로 2-1"</f>
        <v>미가로 2-1</v>
      </c>
      <c r="I4725" s="1" t="s">
        <v>17</v>
      </c>
      <c r="J4725" s="1" t="str">
        <f>"0/0"</f>
        <v>0/0</v>
      </c>
      <c r="K4725" s="1" t="str">
        <f>"2026-07-28 13:18:04"</f>
        <v>2026-07-28 13:18:04</v>
      </c>
      <c r="L4725" s="1" t="str">
        <f>"2018-06-20 08:59:25"</f>
        <v>2018-06-20 08:59:25</v>
      </c>
      <c r="M4725" s="1" t="s">
        <v>0</v>
      </c>
      <c r="N4725" s="1" t="s">
        <v>39</v>
      </c>
      <c r="O4725" s="1" t="s">
        <v>46</v>
      </c>
    </row>
    <row r="4726" spans="2:15" x14ac:dyDescent="0.3">
      <c r="B4726" s="1" t="s">
        <v>23</v>
      </c>
      <c r="C4726" s="1" t="str">
        <f>"4차"</f>
        <v>4차</v>
      </c>
      <c r="D4726" s="1" t="str">
        <f>"0424D17939"</f>
        <v>0424D17939</v>
      </c>
      <c r="E4726" s="1" t="s">
        <v>10</v>
      </c>
      <c r="F4726" s="1" t="str">
        <f>"10.12.132.116"</f>
        <v>10.12.132.116</v>
      </c>
      <c r="G4726" s="1" t="str">
        <f>"0424D179"</f>
        <v>0424D179</v>
      </c>
      <c r="H4726" s="1" t="str">
        <f>"미가로 2-2"</f>
        <v>미가로 2-2</v>
      </c>
      <c r="I4726" s="1" t="s">
        <v>17</v>
      </c>
      <c r="J4726" s="1" t="str">
        <f>"24/26"</f>
        <v>24/26</v>
      </c>
      <c r="K4726" s="1" t="str">
        <f>"2026-07-29 13:18:02"</f>
        <v>2026-07-29 13:18:02</v>
      </c>
      <c r="L4726" s="1" t="str">
        <f>"2018-06-22 08:13:09"</f>
        <v>2018-06-22 08:13:09</v>
      </c>
      <c r="M4726" s="1" t="s">
        <v>0</v>
      </c>
      <c r="N4726" s="1" t="s">
        <v>38</v>
      </c>
      <c r="O4726" s="1" t="s">
        <v>46</v>
      </c>
    </row>
    <row r="4727" spans="2:15" x14ac:dyDescent="0.3">
      <c r="B4727" s="1" t="s">
        <v>23</v>
      </c>
      <c r="C4727" s="1" t="str">
        <f>"5-2차"</f>
        <v>5-2차</v>
      </c>
      <c r="D4727" s="1" t="str">
        <f>"0424D3745M"</f>
        <v>0424D3745M</v>
      </c>
      <c r="E4727" s="1" t="s">
        <v>10</v>
      </c>
      <c r="F4727" s="1" t="str">
        <f>"fde3:102:1440:1400:0:0:0:c"</f>
        <v>fde3:102:1440:1400:0:0:0:c</v>
      </c>
      <c r="G4727" s="1" t="str">
        <f>"0424D374"</f>
        <v>0424D374</v>
      </c>
      <c r="H4727" s="1" t="str">
        <f>"구의간 30"</f>
        <v>구의간 30</v>
      </c>
      <c r="I4727" s="1" t="s">
        <v>15</v>
      </c>
      <c r="J4727" s="1" t="str">
        <f>"29/29"</f>
        <v>29/29</v>
      </c>
      <c r="K4727" s="1" t="str">
        <f>"2026-07-29 14:20:23"</f>
        <v>2026-07-29 14:20:23</v>
      </c>
      <c r="L4727" s="1" t="str">
        <f>"2023-09-13 14:10:44"</f>
        <v>2023-09-13 14:10:44</v>
      </c>
      <c r="M4727" s="1" t="s">
        <v>45</v>
      </c>
      <c r="N4727" s="1" t="s">
        <v>38</v>
      </c>
      <c r="O4727" s="1" t="s">
        <v>46</v>
      </c>
    </row>
    <row r="4728" spans="2:15" x14ac:dyDescent="0.3">
      <c r="B4728" s="1" t="s">
        <v>23</v>
      </c>
      <c r="C4728" s="1" t="str">
        <f>"4차"</f>
        <v>4차</v>
      </c>
      <c r="D4728" s="1" t="str">
        <f>"0424D39445"</f>
        <v>0424D39445</v>
      </c>
      <c r="E4728" s="1" t="s">
        <v>10</v>
      </c>
      <c r="F4728" s="1" t="str">
        <f>"10.12.132.115"</f>
        <v>10.12.132.115</v>
      </c>
      <c r="G4728" s="1" t="str">
        <f>"0424D394"</f>
        <v>0424D394</v>
      </c>
      <c r="H4728" s="1" t="str">
        <f>"미가로 3-4"</f>
        <v>미가로 3-4</v>
      </c>
      <c r="I4728" s="1" t="s">
        <v>17</v>
      </c>
      <c r="J4728" s="1" t="str">
        <f>"31/31"</f>
        <v>31/31</v>
      </c>
      <c r="K4728" s="1" t="str">
        <f>"2026-07-29 13:18:03"</f>
        <v>2026-07-29 13:18:03</v>
      </c>
      <c r="L4728" s="1" t="str">
        <f>"2025-06-18 11:13:03"</f>
        <v>2025-06-18 11:13:03</v>
      </c>
      <c r="M4728" s="1" t="s">
        <v>0</v>
      </c>
      <c r="N4728" s="1" t="s">
        <v>38</v>
      </c>
      <c r="O4728" s="1" t="s">
        <v>46</v>
      </c>
    </row>
    <row r="4729" spans="2:15" x14ac:dyDescent="0.3">
      <c r="B4729" s="1" t="s">
        <v>23</v>
      </c>
      <c r="C4729" s="1" t="str">
        <f>"3차"</f>
        <v>3차</v>
      </c>
      <c r="D4729" s="1" t="str">
        <f>"0424D39B39"</f>
        <v>0424D39B39</v>
      </c>
      <c r="E4729" s="1" t="s">
        <v>10</v>
      </c>
      <c r="F4729" s="1" t="str">
        <f>"10.12.136.156"</f>
        <v>10.12.136.156</v>
      </c>
      <c r="G4729" s="1" t="str">
        <f>"0424D39B"</f>
        <v>0424D39B</v>
      </c>
      <c r="H4729" s="1" t="str">
        <f>"미가로 3-2"</f>
        <v>미가로 3-2</v>
      </c>
      <c r="I4729" s="1" t="s">
        <v>17</v>
      </c>
      <c r="J4729" s="1" t="str">
        <f>"49/49"</f>
        <v>49/49</v>
      </c>
      <c r="K4729" s="1" t="str">
        <f>"2026-07-29 13:18:04"</f>
        <v>2026-07-29 13:18:04</v>
      </c>
      <c r="L4729" s="1" t="str">
        <f>"2018-06-22 09:52:56"</f>
        <v>2018-06-22 09:52:56</v>
      </c>
      <c r="M4729" s="1" t="s">
        <v>0</v>
      </c>
      <c r="N4729" s="1" t="s">
        <v>38</v>
      </c>
      <c r="O4729" s="1" t="s">
        <v>46</v>
      </c>
    </row>
    <row r="4730" spans="2:15" x14ac:dyDescent="0.3">
      <c r="B4730" s="1" t="s">
        <v>23</v>
      </c>
      <c r="C4730" s="1" t="str">
        <f>"4차"</f>
        <v>4차</v>
      </c>
      <c r="D4730" s="1" t="str">
        <f>"0424D39C39"</f>
        <v>0424D39C39</v>
      </c>
      <c r="E4730" s="1" t="s">
        <v>14</v>
      </c>
      <c r="F4730" s="1" t="str">
        <f>"10.12.133.12"</f>
        <v>10.12.133.12</v>
      </c>
      <c r="G4730" s="1" t="str">
        <f>"0424D39C"</f>
        <v>0424D39C</v>
      </c>
      <c r="H4730" s="1" t="str">
        <f>"미가로 3-1"</f>
        <v>미가로 3-1</v>
      </c>
      <c r="I4730" s="1" t="s">
        <v>17</v>
      </c>
      <c r="J4730" s="1" t="str">
        <f>"0/0"</f>
        <v>0/0</v>
      </c>
      <c r="K4730" s="1" t="str">
        <f>"2026-07-28 13:18:04"</f>
        <v>2026-07-28 13:18:04</v>
      </c>
      <c r="L4730" s="1" t="str">
        <f>"2018-06-22 09:44:54"</f>
        <v>2018-06-22 09:44:54</v>
      </c>
      <c r="M4730" s="1" t="s">
        <v>0</v>
      </c>
      <c r="N4730" s="1" t="s">
        <v>39</v>
      </c>
      <c r="O4730" s="1" t="s">
        <v>46</v>
      </c>
    </row>
    <row r="4731" spans="2:15" x14ac:dyDescent="0.3">
      <c r="B4731" s="1" t="s">
        <v>23</v>
      </c>
      <c r="C4731" s="1" t="str">
        <f>"4차"</f>
        <v>4차</v>
      </c>
      <c r="D4731" s="1" t="str">
        <f>"0424D39E39"</f>
        <v>0424D39E39</v>
      </c>
      <c r="E4731" s="1" t="s">
        <v>14</v>
      </c>
      <c r="F4731" s="1" t="str">
        <f>"10.12.136.153"</f>
        <v>10.12.136.153</v>
      </c>
      <c r="G4731" s="1" t="str">
        <f>"0424D39E"</f>
        <v>0424D39E</v>
      </c>
      <c r="H4731" s="1" t="str">
        <f>"미가로 4-2"</f>
        <v>미가로 4-2</v>
      </c>
      <c r="I4731" s="1" t="s">
        <v>17</v>
      </c>
      <c r="J4731" s="1" t="str">
        <f>"0/0"</f>
        <v>0/0</v>
      </c>
      <c r="K4731" s="1" t="str">
        <f>"2026-07-28 13:18:04"</f>
        <v>2026-07-28 13:18:04</v>
      </c>
      <c r="L4731" s="1" t="str">
        <f>"2021-08-03 15:14:29"</f>
        <v>2021-08-03 15:14:29</v>
      </c>
      <c r="M4731" s="1" t="s">
        <v>0</v>
      </c>
      <c r="N4731" s="1" t="s">
        <v>39</v>
      </c>
      <c r="O4731" s="1" t="s">
        <v>46</v>
      </c>
    </row>
    <row r="4732" spans="2:15" x14ac:dyDescent="0.3">
      <c r="B4732" s="1" t="s">
        <v>23</v>
      </c>
      <c r="C4732" s="1" t="str">
        <f>"4차"</f>
        <v>4차</v>
      </c>
      <c r="D4732" s="1" t="str">
        <f>"0424D39F39"</f>
        <v>0424D39F39</v>
      </c>
      <c r="E4732" s="1" t="s">
        <v>14</v>
      </c>
      <c r="F4732" s="1" t="str">
        <f>"10.12.133.76"</f>
        <v>10.12.133.76</v>
      </c>
      <c r="G4732" s="1" t="str">
        <f>"0424D39F"</f>
        <v>0424D39F</v>
      </c>
      <c r="H4732" s="1" t="str">
        <f>"미가로 4-1"</f>
        <v>미가로 4-1</v>
      </c>
      <c r="I4732" s="1" t="s">
        <v>17</v>
      </c>
      <c r="J4732" s="1" t="str">
        <f>"0/0"</f>
        <v>0/0</v>
      </c>
      <c r="K4732" s="1" t="str">
        <f>"2026-07-28 13:18:04"</f>
        <v>2026-07-28 13:18:04</v>
      </c>
      <c r="L4732" s="1" t="str">
        <f>"2018-06-22 09:23:24"</f>
        <v>2018-06-22 09:23:24</v>
      </c>
      <c r="M4732" s="1" t="s">
        <v>0</v>
      </c>
      <c r="N4732" s="1" t="s">
        <v>39</v>
      </c>
      <c r="O4732" s="1" t="s">
        <v>46</v>
      </c>
    </row>
    <row r="4733" spans="2:15" x14ac:dyDescent="0.3">
      <c r="B4733" s="1" t="s">
        <v>23</v>
      </c>
      <c r="C4733" s="1" t="str">
        <f>"4차"</f>
        <v>4차</v>
      </c>
      <c r="D4733" s="1" t="str">
        <f>"0424D48239"</f>
        <v>0424D48239</v>
      </c>
      <c r="E4733" s="1" t="s">
        <v>14</v>
      </c>
      <c r="F4733" s="1" t="str">
        <f>"10.12.133.26"</f>
        <v>10.12.133.26</v>
      </c>
      <c r="G4733" s="1" t="str">
        <f>"0424D482"</f>
        <v>0424D482</v>
      </c>
      <c r="H4733" s="1" t="str">
        <f>"미가로 4-4"</f>
        <v>미가로 4-4</v>
      </c>
      <c r="I4733" s="1" t="s">
        <v>17</v>
      </c>
      <c r="J4733" s="1" t="str">
        <f>"0/0"</f>
        <v>0/0</v>
      </c>
      <c r="K4733" s="1" t="str">
        <f>"2026-07-28 13:18:04"</f>
        <v>2026-07-28 13:18:04</v>
      </c>
      <c r="L4733" s="1" t="str">
        <f>"2018-06-22 10:55:11"</f>
        <v>2018-06-22 10:55:11</v>
      </c>
      <c r="M4733" s="1" t="s">
        <v>0</v>
      </c>
      <c r="N4733" s="1" t="s">
        <v>39</v>
      </c>
      <c r="O4733" s="1" t="s">
        <v>46</v>
      </c>
    </row>
    <row r="4734" spans="2:15" x14ac:dyDescent="0.3">
      <c r="B4734" s="1" t="s">
        <v>23</v>
      </c>
      <c r="C4734" s="1" t="str">
        <f>"5-2차"</f>
        <v>5-2차</v>
      </c>
      <c r="D4734" s="1" t="str">
        <f>"0424D7215S"</f>
        <v>0424D7215S</v>
      </c>
      <c r="E4734" s="1" t="s">
        <v>10</v>
      </c>
      <c r="F4734" s="1" t="str">
        <f>"fde3:102:1440:1300:0:0:0:23"</f>
        <v>fde3:102:1440:1300:0:0:0:23</v>
      </c>
      <c r="G4734" s="1" t="str">
        <f>"0424D721"</f>
        <v>0424D721</v>
      </c>
      <c r="H4734" s="1" t="str">
        <f>"강변간 34R5R2"</f>
        <v>강변간 34R5R2</v>
      </c>
      <c r="I4734" s="1" t="s">
        <v>15</v>
      </c>
      <c r="J4734" s="1" t="str">
        <f>"29/29"</f>
        <v>29/29</v>
      </c>
      <c r="K4734" s="1" t="str">
        <f>"2026-07-29 14:20:49"</f>
        <v>2026-07-29 14:20:49</v>
      </c>
      <c r="L4734" s="1" t="str">
        <f>"2024-01-22 16:34:12"</f>
        <v>2024-01-22 16:34:12</v>
      </c>
      <c r="M4734" s="1" t="s">
        <v>45</v>
      </c>
      <c r="N4734" s="1" t="s">
        <v>38</v>
      </c>
      <c r="O4734" s="1" t="s">
        <v>46</v>
      </c>
    </row>
    <row r="4735" spans="2:15" x14ac:dyDescent="0.3">
      <c r="B4735" s="1" t="s">
        <v>23</v>
      </c>
      <c r="C4735" s="1" t="str">
        <f>"5-2차"</f>
        <v>5-2차</v>
      </c>
      <c r="D4735" s="1" t="str">
        <f>"0424D7315M"</f>
        <v>0424D7315M</v>
      </c>
      <c r="E4735" s="1" t="s">
        <v>10</v>
      </c>
      <c r="F4735" s="1" t="str">
        <f>"fde3:102:1440:1300:0:0:0:b"</f>
        <v>fde3:102:1440:1300:0:0:0:b</v>
      </c>
      <c r="G4735" s="1" t="str">
        <f>"0424D731"</f>
        <v>0424D731</v>
      </c>
      <c r="H4735" s="1" t="str">
        <f>"강변간 26R7"</f>
        <v>강변간 26R7</v>
      </c>
      <c r="I4735" s="1" t="s">
        <v>15</v>
      </c>
      <c r="J4735" s="1" t="str">
        <f>"66/66"</f>
        <v>66/66</v>
      </c>
      <c r="K4735" s="1" t="str">
        <f>"2026-07-29 14:21:06"</f>
        <v>2026-07-29 14:21:06</v>
      </c>
      <c r="L4735" s="1" t="str">
        <f>"2023-06-13 16:41:16"</f>
        <v>2023-06-13 16:41:16</v>
      </c>
      <c r="M4735" s="1" t="s">
        <v>45</v>
      </c>
      <c r="N4735" s="1" t="s">
        <v>38</v>
      </c>
      <c r="O4735" s="1" t="s">
        <v>46</v>
      </c>
    </row>
    <row r="4736" spans="2:15" x14ac:dyDescent="0.3">
      <c r="B4736" s="1" t="s">
        <v>23</v>
      </c>
      <c r="C4736" s="1" t="str">
        <f>"4차"</f>
        <v>4차</v>
      </c>
      <c r="D4736" s="1" t="str">
        <f>"0424D90341"</f>
        <v>0424D90341</v>
      </c>
      <c r="E4736" s="1" t="s">
        <v>10</v>
      </c>
      <c r="F4736" s="1" t="str">
        <f>"10.12.137.39"</f>
        <v>10.12.137.39</v>
      </c>
      <c r="G4736" s="1" t="str">
        <f>"0424D903"</f>
        <v>0424D903</v>
      </c>
      <c r="H4736" s="1" t="str">
        <f>"강변간 30R1"</f>
        <v>강변간 30R1</v>
      </c>
      <c r="I4736" s="1" t="s">
        <v>17</v>
      </c>
      <c r="J4736" s="1" t="str">
        <f>"23/32"</f>
        <v>23/32</v>
      </c>
      <c r="K4736" s="1" t="str">
        <f>"2026-07-29 13:18:05"</f>
        <v>2026-07-29 13:18:05</v>
      </c>
      <c r="L4736" s="1" t="str">
        <f>"2021-06-16 09:56:39"</f>
        <v>2021-06-16 09:56:39</v>
      </c>
      <c r="M4736" s="1" t="s">
        <v>0</v>
      </c>
      <c r="N4736" s="1" t="s">
        <v>38</v>
      </c>
      <c r="O4736" s="1" t="s">
        <v>46</v>
      </c>
    </row>
    <row r="4737" spans="2:15" x14ac:dyDescent="0.3">
      <c r="B4737" s="1" t="s">
        <v>23</v>
      </c>
      <c r="C4737" s="1" t="str">
        <f>"5-2차"</f>
        <v>5-2차</v>
      </c>
      <c r="D4737" s="1" t="str">
        <f>"0424D9045M"</f>
        <v>0424D9045M</v>
      </c>
      <c r="E4737" s="1" t="s">
        <v>10</v>
      </c>
      <c r="F4737" s="1" t="str">
        <f>"fde3:102:1440:1300:0:0:0:a"</f>
        <v>fde3:102:1440:1300:0:0:0:a</v>
      </c>
      <c r="G4737" s="1" t="str">
        <f>"0424D904"</f>
        <v>0424D904</v>
      </c>
      <c r="H4737" s="1" t="str">
        <f>"강변간 30R2"</f>
        <v>강변간 30R2</v>
      </c>
      <c r="I4737" s="1" t="s">
        <v>15</v>
      </c>
      <c r="J4737" s="1" t="str">
        <f>"6/6"</f>
        <v>6/6</v>
      </c>
      <c r="K4737" s="1" t="str">
        <f>"2026-07-29 14:20:28"</f>
        <v>2026-07-29 14:20:28</v>
      </c>
      <c r="L4737" s="1" t="str">
        <f>"2023-06-13 16:42:06"</f>
        <v>2023-06-13 16:42:06</v>
      </c>
      <c r="M4737" s="1" t="s">
        <v>45</v>
      </c>
      <c r="N4737" s="1" t="s">
        <v>38</v>
      </c>
      <c r="O4737" s="1" t="s">
        <v>46</v>
      </c>
    </row>
    <row r="4738" spans="2:15" x14ac:dyDescent="0.3">
      <c r="B4738" s="1" t="s">
        <v>23</v>
      </c>
      <c r="C4738" s="1" t="str">
        <f>"5-2차"</f>
        <v>5-2차</v>
      </c>
      <c r="D4738" s="1" t="str">
        <f>"0424D9345M"</f>
        <v>0424D9345M</v>
      </c>
      <c r="E4738" s="1" t="s">
        <v>10</v>
      </c>
      <c r="F4738" s="1" t="str">
        <f>"fde3:102:1440:1300:0:0:0:c"</f>
        <v>fde3:102:1440:1300:0:0:0:c</v>
      </c>
      <c r="G4738" s="1" t="str">
        <f>"0424D934"</f>
        <v>0424D934</v>
      </c>
      <c r="H4738" s="1" t="str">
        <f>"강변간 26R3"</f>
        <v>강변간 26R3</v>
      </c>
      <c r="I4738" s="1" t="s">
        <v>15</v>
      </c>
      <c r="J4738" s="1" t="str">
        <f>"66/66"</f>
        <v>66/66</v>
      </c>
      <c r="K4738" s="1" t="str">
        <f>"2026-07-29 14:21:06"</f>
        <v>2026-07-29 14:21:06</v>
      </c>
      <c r="L4738" s="1" t="str">
        <f>"2023-09-13 14:11:13"</f>
        <v>2023-09-13 14:11:13</v>
      </c>
      <c r="M4738" s="1" t="s">
        <v>45</v>
      </c>
      <c r="N4738" s="1" t="s">
        <v>38</v>
      </c>
      <c r="O4738" s="1" t="s">
        <v>46</v>
      </c>
    </row>
    <row r="4739" spans="2:15" x14ac:dyDescent="0.3">
      <c r="B4739" s="1" t="s">
        <v>23</v>
      </c>
      <c r="C4739" s="1" t="str">
        <f>"5-2차"</f>
        <v>5-2차</v>
      </c>
      <c r="D4739" s="1" t="str">
        <f>"0424D9375M"</f>
        <v>0424D9375M</v>
      </c>
      <c r="E4739" s="1" t="s">
        <v>10</v>
      </c>
      <c r="F4739" s="1" t="str">
        <f>"fde3:102:1440:1300:0:0:0:22"</f>
        <v>fde3:102:1440:1300:0:0:0:22</v>
      </c>
      <c r="G4739" s="1" t="str">
        <f>"0424D937"</f>
        <v>0424D937</v>
      </c>
      <c r="H4739" s="1" t="str">
        <f>"강변간 26R4"</f>
        <v>강변간 26R4</v>
      </c>
      <c r="I4739" s="1" t="s">
        <v>15</v>
      </c>
      <c r="J4739" s="1" t="str">
        <f>"140/140"</f>
        <v>140/140</v>
      </c>
      <c r="K4739" s="1" t="str">
        <f>"2026-07-29 14:20:28"</f>
        <v>2026-07-29 14:20:28</v>
      </c>
      <c r="L4739" s="1" t="str">
        <f>"2024-01-10 15:00:17"</f>
        <v>2024-01-10 15:00:17</v>
      </c>
      <c r="M4739" s="1" t="s">
        <v>45</v>
      </c>
      <c r="N4739" s="1" t="s">
        <v>38</v>
      </c>
      <c r="O4739" s="1" t="s">
        <v>46</v>
      </c>
    </row>
    <row r="4740" spans="2:15" x14ac:dyDescent="0.3">
      <c r="B4740" s="1" t="s">
        <v>23</v>
      </c>
      <c r="C4740" s="1" t="str">
        <f>"3차"</f>
        <v>3차</v>
      </c>
      <c r="D4740" s="1" t="str">
        <f>"0424E01139"</f>
        <v>0424E01139</v>
      </c>
      <c r="E4740" s="1" t="s">
        <v>10</v>
      </c>
      <c r="F4740" s="1" t="str">
        <f>"10.11.56.98"</f>
        <v>10.11.56.98</v>
      </c>
      <c r="G4740" s="1" t="str">
        <f>"0424E011"</f>
        <v>0424E011</v>
      </c>
      <c r="H4740" s="1" t="str">
        <f>"광나루 105R16"</f>
        <v>광나루 105R16</v>
      </c>
      <c r="I4740" s="1" t="s">
        <v>8</v>
      </c>
      <c r="J4740" s="1" t="str">
        <f>"23/23"</f>
        <v>23/23</v>
      </c>
      <c r="K4740" s="1" t="str">
        <f>"2026-07-29 13:18:03"</f>
        <v>2026-07-29 13:18:03</v>
      </c>
      <c r="L4740" s="1" t="str">
        <f>"2018-05-28 12:03:09"</f>
        <v>2018-05-28 12:03:09</v>
      </c>
      <c r="M4740" s="1" t="s">
        <v>2</v>
      </c>
      <c r="N4740" s="1" t="s">
        <v>38</v>
      </c>
      <c r="O4740" s="1" t="s">
        <v>46</v>
      </c>
    </row>
    <row r="4741" spans="2:15" x14ac:dyDescent="0.3">
      <c r="B4741" s="1" t="s">
        <v>23</v>
      </c>
      <c r="C4741" s="1" t="str">
        <f>"3차"</f>
        <v>3차</v>
      </c>
      <c r="D4741" s="1" t="str">
        <f>"0424E01239"</f>
        <v>0424E01239</v>
      </c>
      <c r="E4741" s="1" t="s">
        <v>10</v>
      </c>
      <c r="F4741" s="1" t="str">
        <f>"10.11.52.50"</f>
        <v>10.11.52.50</v>
      </c>
      <c r="G4741" s="1" t="str">
        <f>"0424E012"</f>
        <v>0424E012</v>
      </c>
      <c r="H4741" s="1" t="str">
        <f>"구의간 13"</f>
        <v>구의간 13</v>
      </c>
      <c r="I4741" s="1" t="s">
        <v>8</v>
      </c>
      <c r="J4741" s="1" t="str">
        <f>"23/23"</f>
        <v>23/23</v>
      </c>
      <c r="K4741" s="1" t="str">
        <f>"2026-07-29 13:18:03"</f>
        <v>2026-07-29 13:18:03</v>
      </c>
      <c r="L4741" s="1" t="str">
        <f>"2018-04-24 11:33:10"</f>
        <v>2018-04-24 11:33:10</v>
      </c>
      <c r="M4741" s="1" t="s">
        <v>2</v>
      </c>
      <c r="N4741" s="1" t="s">
        <v>38</v>
      </c>
      <c r="O4741" s="1" t="s">
        <v>46</v>
      </c>
    </row>
    <row r="4742" spans="2:15" x14ac:dyDescent="0.3">
      <c r="B4742" s="1" t="s">
        <v>23</v>
      </c>
      <c r="C4742" s="1" t="str">
        <f>"5-2차"</f>
        <v>5-2차</v>
      </c>
      <c r="D4742" s="1" t="str">
        <f>"0424E0315M"</f>
        <v>0424E0315M</v>
      </c>
      <c r="E4742" s="1" t="s">
        <v>10</v>
      </c>
      <c r="F4742" s="1" t="str">
        <f>"fde3:102:1440:1400:0:0:0:10"</f>
        <v>fde3:102:1440:1400:0:0:0:10</v>
      </c>
      <c r="G4742" s="1" t="str">
        <f>"0424E031"</f>
        <v>0424E031</v>
      </c>
      <c r="H4742" s="1" t="str">
        <f>"광나루 105R13"</f>
        <v>광나루 105R13</v>
      </c>
      <c r="I4742" s="1" t="s">
        <v>15</v>
      </c>
      <c r="J4742" s="1" t="str">
        <f>"98/101"</f>
        <v>98/101</v>
      </c>
      <c r="K4742" s="1" t="str">
        <f>"2026-07-29 14:21:06"</f>
        <v>2026-07-29 14:21:06</v>
      </c>
      <c r="L4742" s="1" t="str">
        <f>"2023-06-13 16:42:52"</f>
        <v>2023-06-13 16:42:52</v>
      </c>
      <c r="M4742" s="1" t="s">
        <v>45</v>
      </c>
      <c r="N4742" s="1" t="s">
        <v>38</v>
      </c>
      <c r="O4742" s="1" t="s">
        <v>46</v>
      </c>
    </row>
    <row r="4743" spans="2:15" x14ac:dyDescent="0.3">
      <c r="B4743" s="1" t="s">
        <v>23</v>
      </c>
      <c r="C4743" s="1" t="str">
        <f>"3차"</f>
        <v>3차</v>
      </c>
      <c r="D4743" s="1" t="str">
        <f>"0424E03239"</f>
        <v>0424E03239</v>
      </c>
      <c r="E4743" s="1" t="s">
        <v>10</v>
      </c>
      <c r="F4743" s="1" t="str">
        <f>"10.11.51.122"</f>
        <v>10.11.51.122</v>
      </c>
      <c r="G4743" s="1" t="str">
        <f>"0424E032"</f>
        <v>0424E032</v>
      </c>
      <c r="H4743" s="1" t="str">
        <f>"광나루 105R13B1"</f>
        <v>광나루 105R13B1</v>
      </c>
      <c r="I4743" s="1" t="s">
        <v>8</v>
      </c>
      <c r="J4743" s="1" t="str">
        <f>"33/33"</f>
        <v>33/33</v>
      </c>
      <c r="K4743" s="1" t="str">
        <f>"2026-07-29 13:18:03"</f>
        <v>2026-07-29 13:18:03</v>
      </c>
      <c r="L4743" s="1" t="str">
        <f>"2018-06-04 12:20:20"</f>
        <v>2018-06-04 12:20:20</v>
      </c>
      <c r="M4743" s="1" t="s">
        <v>2</v>
      </c>
      <c r="N4743" s="1" t="s">
        <v>38</v>
      </c>
      <c r="O4743" s="1" t="s">
        <v>46</v>
      </c>
    </row>
    <row r="4744" spans="2:15" x14ac:dyDescent="0.3">
      <c r="B4744" s="1" t="s">
        <v>23</v>
      </c>
      <c r="C4744" s="1" t="str">
        <f>"3차"</f>
        <v>3차</v>
      </c>
      <c r="D4744" s="1" t="str">
        <f>"0424E04239"</f>
        <v>0424E04239</v>
      </c>
      <c r="E4744" s="1" t="s">
        <v>10</v>
      </c>
      <c r="F4744" s="1" t="str">
        <f>"10.11.58.90"</f>
        <v>10.11.58.90</v>
      </c>
      <c r="G4744" s="1" t="str">
        <f>"0424E042"</f>
        <v>0424E042</v>
      </c>
      <c r="H4744" s="1" t="str">
        <f>"광나루 105R12"</f>
        <v>광나루 105R12</v>
      </c>
      <c r="I4744" s="1" t="s">
        <v>8</v>
      </c>
      <c r="J4744" s="1" t="str">
        <f>"34/35"</f>
        <v>34/35</v>
      </c>
      <c r="K4744" s="1" t="str">
        <f>"2026-07-29 13:18:03"</f>
        <v>2026-07-29 13:18:03</v>
      </c>
      <c r="L4744" s="1" t="str">
        <f>"2018-03-26 10:46:54"</f>
        <v>2018-03-26 10:46:54</v>
      </c>
      <c r="M4744" s="1" t="s">
        <v>2</v>
      </c>
      <c r="N4744" s="1" t="s">
        <v>38</v>
      </c>
      <c r="O4744" s="1" t="s">
        <v>46</v>
      </c>
    </row>
    <row r="4745" spans="2:15" x14ac:dyDescent="0.3">
      <c r="B4745" s="1" t="s">
        <v>23</v>
      </c>
      <c r="C4745" s="1" t="str">
        <f>"5-1차"</f>
        <v>5-1차</v>
      </c>
      <c r="D4745" s="1" t="str">
        <f>"0424E0445M"</f>
        <v>0424E0445M</v>
      </c>
      <c r="E4745" s="1" t="s">
        <v>10</v>
      </c>
      <c r="F4745" s="1" t="str">
        <f>"fde2:104:0:18e:0:0:0:2"</f>
        <v>fde2:104:0:18e:0:0:0:2</v>
      </c>
      <c r="G4745" s="1" t="str">
        <f>"0424E044"</f>
        <v>0424E044</v>
      </c>
      <c r="H4745" s="1" t="str">
        <f>"광나루 105R13R2"</f>
        <v>광나루 105R13R2</v>
      </c>
      <c r="I4745" s="1" t="s">
        <v>15</v>
      </c>
      <c r="J4745" s="1" t="str">
        <f>"70/72"</f>
        <v>70/72</v>
      </c>
      <c r="K4745" s="1" t="str">
        <f>"2026-07-29 14:20:29"</f>
        <v>2026-07-29 14:20:29</v>
      </c>
      <c r="L4745" s="1" t="str">
        <f>"2022-11-16 09:48:57"</f>
        <v>2022-11-16 09:48:57</v>
      </c>
      <c r="M4745" s="1" t="s">
        <v>42</v>
      </c>
      <c r="N4745" s="1" t="s">
        <v>38</v>
      </c>
      <c r="O4745" s="1" t="s">
        <v>46</v>
      </c>
    </row>
    <row r="4746" spans="2:15" x14ac:dyDescent="0.3">
      <c r="B4746" s="1" t="s">
        <v>23</v>
      </c>
      <c r="C4746" s="1" t="str">
        <f>"5-2차"</f>
        <v>5-2차</v>
      </c>
      <c r="D4746" s="1" t="str">
        <f>"0424E0515S"</f>
        <v>0424E0515S</v>
      </c>
      <c r="E4746" s="1" t="s">
        <v>10</v>
      </c>
      <c r="F4746" s="1" t="str">
        <f>"fde3:102:1440:1400:0:0:0:f"</f>
        <v>fde3:102:1440:1400:0:0:0:f</v>
      </c>
      <c r="G4746" s="1" t="str">
        <f>"0424E051"</f>
        <v>0424E051</v>
      </c>
      <c r="H4746" s="1" t="str">
        <f>"광나루 105R13R3"</f>
        <v>광나루 105R13R3</v>
      </c>
      <c r="I4746" s="1" t="s">
        <v>15</v>
      </c>
      <c r="J4746" s="1" t="str">
        <f>"85/85"</f>
        <v>85/85</v>
      </c>
      <c r="K4746" s="1" t="str">
        <f>"2026-07-29 14:20:46"</f>
        <v>2026-07-29 14:20:46</v>
      </c>
      <c r="L4746" s="1" t="str">
        <f>"2023-06-09 06:29:18"</f>
        <v>2023-06-09 06:29:18</v>
      </c>
      <c r="M4746" s="1" t="s">
        <v>45</v>
      </c>
      <c r="N4746" s="1" t="s">
        <v>38</v>
      </c>
      <c r="O4746" s="1" t="s">
        <v>46</v>
      </c>
    </row>
    <row r="4747" spans="2:15" x14ac:dyDescent="0.3">
      <c r="B4747" s="1" t="s">
        <v>23</v>
      </c>
      <c r="C4747" s="1" t="str">
        <f>"3차"</f>
        <v>3차</v>
      </c>
      <c r="D4747" s="1" t="str">
        <f>"0424E12139"</f>
        <v>0424E12139</v>
      </c>
      <c r="E4747" s="1" t="s">
        <v>10</v>
      </c>
      <c r="F4747" s="1" t="str">
        <f>"10.11.59.18"</f>
        <v>10.11.59.18</v>
      </c>
      <c r="G4747" s="1" t="str">
        <f>"0424E121"</f>
        <v>0424E121</v>
      </c>
      <c r="H4747" s="1" t="str">
        <f>"구의간 12"</f>
        <v>구의간 12</v>
      </c>
      <c r="I4747" s="1" t="s">
        <v>8</v>
      </c>
      <c r="J4747" s="1" t="str">
        <f>"32/32"</f>
        <v>32/32</v>
      </c>
      <c r="K4747" s="1" t="str">
        <f>"2026-07-29 13:18:03"</f>
        <v>2026-07-29 13:18:03</v>
      </c>
      <c r="L4747" s="1" t="str">
        <f>"2018-04-24 11:02:41"</f>
        <v>2018-04-24 11:02:41</v>
      </c>
      <c r="M4747" s="1" t="s">
        <v>2</v>
      </c>
      <c r="N4747" s="1" t="s">
        <v>38</v>
      </c>
      <c r="O4747" s="1" t="s">
        <v>46</v>
      </c>
    </row>
    <row r="4748" spans="2:15" x14ac:dyDescent="0.3">
      <c r="B4748" s="1" t="s">
        <v>23</v>
      </c>
      <c r="C4748" s="1" t="str">
        <f>"3차"</f>
        <v>3차</v>
      </c>
      <c r="D4748" s="1" t="str">
        <f>"0424E12539"</f>
        <v>0424E12539</v>
      </c>
      <c r="E4748" s="1" t="s">
        <v>10</v>
      </c>
      <c r="F4748" s="1" t="str">
        <f>"10.11.52.42"</f>
        <v>10.11.52.42</v>
      </c>
      <c r="G4748" s="1" t="str">
        <f>"0424E125"</f>
        <v>0424E125</v>
      </c>
      <c r="H4748" s="1" t="str">
        <f>"구의간 11"</f>
        <v>구의간 11</v>
      </c>
      <c r="I4748" s="1" t="s">
        <v>8</v>
      </c>
      <c r="J4748" s="1" t="str">
        <f>"86/87"</f>
        <v>86/87</v>
      </c>
      <c r="K4748" s="1" t="str">
        <f>"2026-07-29 13:18:03"</f>
        <v>2026-07-29 13:18:03</v>
      </c>
      <c r="L4748" s="1" t="str">
        <f>"2018-04-24 12:43:25"</f>
        <v>2018-04-24 12:43:25</v>
      </c>
      <c r="M4748" s="1" t="s">
        <v>2</v>
      </c>
      <c r="N4748" s="1" t="s">
        <v>38</v>
      </c>
      <c r="O4748" s="1" t="s">
        <v>46</v>
      </c>
    </row>
    <row r="4749" spans="2:15" x14ac:dyDescent="0.3">
      <c r="B4749" s="1" t="s">
        <v>23</v>
      </c>
      <c r="C4749" s="1" t="str">
        <f>"5-2차"</f>
        <v>5-2차</v>
      </c>
      <c r="D4749" s="1" t="str">
        <f>"0424E1515M"</f>
        <v>0424E1515M</v>
      </c>
      <c r="E4749" s="1" t="s">
        <v>10</v>
      </c>
      <c r="F4749" s="1" t="str">
        <f>"fde1:103:4:93b1:0:0:0:2"</f>
        <v>fde1:103:4:93b1:0:0:0:2</v>
      </c>
      <c r="G4749" s="1" t="str">
        <f>"0424E151"</f>
        <v>0424E151</v>
      </c>
      <c r="H4749" s="1" t="str">
        <f>"광나루 105R9"</f>
        <v>광나루 105R9</v>
      </c>
      <c r="I4749" s="1" t="s">
        <v>15</v>
      </c>
      <c r="J4749" s="1" t="str">
        <f>"34/34"</f>
        <v>34/34</v>
      </c>
      <c r="K4749" s="1" t="str">
        <f>"2026-07-29 14:21:07"</f>
        <v>2026-07-29 14:21:07</v>
      </c>
      <c r="L4749" s="1" t="str">
        <f>"2023-12-15 13:55:52"</f>
        <v>2023-12-15 13:55:52</v>
      </c>
      <c r="M4749" s="1" t="s">
        <v>4</v>
      </c>
      <c r="N4749" s="1" t="s">
        <v>38</v>
      </c>
      <c r="O4749" s="1" t="s">
        <v>46</v>
      </c>
    </row>
    <row r="4750" spans="2:15" x14ac:dyDescent="0.3">
      <c r="B4750" s="1" t="s">
        <v>23</v>
      </c>
      <c r="C4750" s="1" t="str">
        <f>"5-2차"</f>
        <v>5-2차</v>
      </c>
      <c r="D4750" s="1" t="str">
        <f>"0424E1615M"</f>
        <v>0424E1615M</v>
      </c>
      <c r="E4750" s="1" t="s">
        <v>10</v>
      </c>
      <c r="F4750" s="1" t="str">
        <f>"fde3:102:1440:1500:0:0:0:8"</f>
        <v>fde3:102:1440:1500:0:0:0:8</v>
      </c>
      <c r="G4750" s="1" t="str">
        <f>"0424E161"</f>
        <v>0424E161</v>
      </c>
      <c r="H4750" s="1" t="str">
        <f>"광나루 105R8"</f>
        <v>광나루 105R8</v>
      </c>
      <c r="I4750" s="1" t="s">
        <v>15</v>
      </c>
      <c r="J4750" s="1" t="str">
        <f>"60/60"</f>
        <v>60/60</v>
      </c>
      <c r="K4750" s="1" t="str">
        <f>"2026-07-29 14:21:06"</f>
        <v>2026-07-29 14:21:06</v>
      </c>
      <c r="L4750" s="1" t="str">
        <f>"2023-10-16 16:18:06"</f>
        <v>2023-10-16 16:18:06</v>
      </c>
      <c r="M4750" s="1" t="s">
        <v>45</v>
      </c>
      <c r="N4750" s="1" t="s">
        <v>38</v>
      </c>
      <c r="O4750" s="1" t="s">
        <v>46</v>
      </c>
    </row>
    <row r="4751" spans="2:15" x14ac:dyDescent="0.3">
      <c r="B4751" s="1" t="s">
        <v>23</v>
      </c>
      <c r="C4751" s="1" t="str">
        <f>"5-2차"</f>
        <v>5-2차</v>
      </c>
      <c r="D4751" s="1" t="str">
        <f>"0424E1715M"</f>
        <v>0424E1715M</v>
      </c>
      <c r="E4751" s="1" t="s">
        <v>12</v>
      </c>
      <c r="F4751" s="1" t="str">
        <f>"fde1:103:4:9231:0:0:0:2"</f>
        <v>fde1:103:4:9231:0:0:0:2</v>
      </c>
      <c r="G4751" s="1" t="str">
        <f>"0424E171"</f>
        <v>0424E171</v>
      </c>
      <c r="H4751" s="1" t="str">
        <f>"광나루 105R7"</f>
        <v>광나루 105R7</v>
      </c>
      <c r="I4751" s="1" t="s">
        <v>15</v>
      </c>
      <c r="J4751" s="1" t="str">
        <f>"0/35"</f>
        <v>0/35</v>
      </c>
      <c r="K4751" s="1" t="str">
        <f>"2026-07-29 14:20:46"</f>
        <v>2026-07-29 14:20:46</v>
      </c>
      <c r="L4751" s="1" t="str">
        <f>"2024-01-18 15:20:42"</f>
        <v>2024-01-18 15:20:42</v>
      </c>
      <c r="M4751" s="1" t="s">
        <v>4</v>
      </c>
      <c r="N4751" s="1" t="s">
        <v>38</v>
      </c>
      <c r="O4751" s="1" t="s">
        <v>46</v>
      </c>
    </row>
    <row r="4752" spans="2:15" x14ac:dyDescent="0.3">
      <c r="B4752" s="1" t="s">
        <v>23</v>
      </c>
      <c r="C4752" s="1" t="str">
        <f>"5-2차"</f>
        <v>5-2차</v>
      </c>
      <c r="D4752" s="1" t="str">
        <f>"0424E1835M"</f>
        <v>0424E1835M</v>
      </c>
      <c r="E4752" s="1" t="s">
        <v>10</v>
      </c>
      <c r="F4752" s="1" t="str">
        <f>"fde1:103:4:92f7:0:0:0:2"</f>
        <v>fde1:103:4:92f7:0:0:0:2</v>
      </c>
      <c r="G4752" s="1" t="str">
        <f>"0424E183"</f>
        <v>0424E183</v>
      </c>
      <c r="H4752" s="1" t="str">
        <f>"광나루 105R6R1"</f>
        <v>광나루 105R6R1</v>
      </c>
      <c r="I4752" s="1" t="s">
        <v>15</v>
      </c>
      <c r="J4752" s="1" t="str">
        <f>"39/40"</f>
        <v>39/40</v>
      </c>
      <c r="K4752" s="1" t="str">
        <f>"2026-07-29 14:21:07"</f>
        <v>2026-07-29 14:21:07</v>
      </c>
      <c r="L4752" s="1" t="str">
        <f>"2023-12-15 13:56:44"</f>
        <v>2023-12-15 13:56:44</v>
      </c>
      <c r="M4752" s="1" t="s">
        <v>4</v>
      </c>
      <c r="N4752" s="1" t="s">
        <v>38</v>
      </c>
      <c r="O4752" s="1" t="s">
        <v>46</v>
      </c>
    </row>
    <row r="4753" spans="2:15" x14ac:dyDescent="0.3">
      <c r="B4753" s="1" t="s">
        <v>23</v>
      </c>
      <c r="C4753" s="1" t="str">
        <f>"5-2차"</f>
        <v>5-2차</v>
      </c>
      <c r="D4753" s="1" t="str">
        <f>"0424E2535M"</f>
        <v>0424E2535M</v>
      </c>
      <c r="E4753" s="1" t="s">
        <v>10</v>
      </c>
      <c r="F4753" s="1" t="str">
        <f>"fde3:102:1440:1600:0:0:0:a"</f>
        <v>fde3:102:1440:1600:0:0:0:a</v>
      </c>
      <c r="G4753" s="1" t="str">
        <f>"0424E253"</f>
        <v>0424E253</v>
      </c>
      <c r="H4753" s="1" t="str">
        <f>"광나루 105R11L2"</f>
        <v>광나루 105R11L2</v>
      </c>
      <c r="I4753" s="1" t="s">
        <v>15</v>
      </c>
      <c r="J4753" s="1" t="str">
        <f>"107/107"</f>
        <v>107/107</v>
      </c>
      <c r="K4753" s="1" t="str">
        <f>"2026-07-29 14:20:28"</f>
        <v>2026-07-29 14:20:28</v>
      </c>
      <c r="L4753" s="1" t="str">
        <f>"2024-01-11 13:01:21"</f>
        <v>2024-01-11 13:01:21</v>
      </c>
      <c r="M4753" s="1" t="s">
        <v>45</v>
      </c>
      <c r="N4753" s="1" t="s">
        <v>38</v>
      </c>
      <c r="O4753" s="1" t="s">
        <v>46</v>
      </c>
    </row>
    <row r="4754" spans="2:15" x14ac:dyDescent="0.3">
      <c r="B4754" s="1" t="s">
        <v>23</v>
      </c>
      <c r="C4754" s="1" t="str">
        <f>"4차"</f>
        <v>4차</v>
      </c>
      <c r="D4754" s="1" t="str">
        <f>"0424E27239"</f>
        <v>0424E27239</v>
      </c>
      <c r="E4754" s="1" t="s">
        <v>10</v>
      </c>
      <c r="F4754" s="1" t="str">
        <f>"10.125.6.154"</f>
        <v>10.125.6.154</v>
      </c>
      <c r="G4754" s="1" t="str">
        <f>"0424E272"</f>
        <v>0424E272</v>
      </c>
      <c r="H4754" s="1" t="str">
        <f>"광나루 105R6L2"</f>
        <v>광나루 105R6L2</v>
      </c>
      <c r="I4754" s="1" t="s">
        <v>8</v>
      </c>
      <c r="J4754" s="1" t="str">
        <f>"114/114"</f>
        <v>114/114</v>
      </c>
      <c r="K4754" s="1" t="str">
        <f>"2026-07-29 13:18:03"</f>
        <v>2026-07-29 13:18:03</v>
      </c>
      <c r="L4754" s="1" t="str">
        <f>"2024-03-04 17:16:37"</f>
        <v>2024-03-04 17:16:37</v>
      </c>
      <c r="M4754" s="1" t="s">
        <v>45</v>
      </c>
      <c r="N4754" s="1" t="s">
        <v>38</v>
      </c>
      <c r="O4754" s="1" t="s">
        <v>46</v>
      </c>
    </row>
    <row r="4755" spans="2:15" x14ac:dyDescent="0.3">
      <c r="B4755" s="1" t="s">
        <v>23</v>
      </c>
      <c r="C4755" s="1" t="str">
        <f>"5-1차"</f>
        <v>5-1차</v>
      </c>
      <c r="D4755" s="1" t="str">
        <f>"0424E2915M"</f>
        <v>0424E2915M</v>
      </c>
      <c r="E4755" s="1" t="s">
        <v>10</v>
      </c>
      <c r="F4755" s="1" t="str">
        <f>"fde2:104:0:179:0:0:0:2"</f>
        <v>fde2:104:0:179:0:0:0:2</v>
      </c>
      <c r="G4755" s="1" t="str">
        <f>"0424E291"</f>
        <v>0424E291</v>
      </c>
      <c r="H4755" s="1" t="str">
        <f>"광나루 105R4"</f>
        <v>광나루 105R4</v>
      </c>
      <c r="I4755" s="1" t="s">
        <v>15</v>
      </c>
      <c r="J4755" s="1" t="str">
        <f>"52/52"</f>
        <v>52/52</v>
      </c>
      <c r="K4755" s="1" t="str">
        <f>"2026-07-29 14:20:30"</f>
        <v>2026-07-29 14:20:30</v>
      </c>
      <c r="L4755" s="1" t="str">
        <f>"2022-11-16 09:54:58"</f>
        <v>2022-11-16 09:54:58</v>
      </c>
      <c r="M4755" s="1" t="s">
        <v>42</v>
      </c>
      <c r="N4755" s="1" t="s">
        <v>38</v>
      </c>
      <c r="O4755" s="1" t="s">
        <v>46</v>
      </c>
    </row>
    <row r="4756" spans="2:15" x14ac:dyDescent="0.3">
      <c r="B4756" s="1" t="s">
        <v>23</v>
      </c>
      <c r="C4756" s="1" t="str">
        <f>"5-2차"</f>
        <v>5-2차</v>
      </c>
      <c r="D4756" s="1" t="str">
        <f>"0424E3015M"</f>
        <v>0424E3015M</v>
      </c>
      <c r="E4756" s="1" t="s">
        <v>10</v>
      </c>
      <c r="F4756" s="1" t="str">
        <f>"fde3:102:1440:1500:0:0:0:9"</f>
        <v>fde3:102:1440:1500:0:0:0:9</v>
      </c>
      <c r="G4756" s="1" t="str">
        <f>"0424E301"</f>
        <v>0424E301</v>
      </c>
      <c r="H4756" s="1" t="str">
        <f>"강변간 6R8L7"</f>
        <v>강변간 6R8L7</v>
      </c>
      <c r="I4756" s="1" t="s">
        <v>15</v>
      </c>
      <c r="J4756" s="1" t="str">
        <f>"57/57"</f>
        <v>57/57</v>
      </c>
      <c r="K4756" s="1" t="str">
        <f>"2026-07-29 14:20:46"</f>
        <v>2026-07-29 14:20:46</v>
      </c>
      <c r="L4756" s="1" t="str">
        <f>"2023-10-16 16:19:13"</f>
        <v>2023-10-16 16:19:13</v>
      </c>
      <c r="M4756" s="1" t="s">
        <v>45</v>
      </c>
      <c r="N4756" s="1" t="s">
        <v>38</v>
      </c>
      <c r="O4756" s="1" t="s">
        <v>46</v>
      </c>
    </row>
    <row r="4757" spans="2:15" x14ac:dyDescent="0.3">
      <c r="B4757" s="1" t="s">
        <v>23</v>
      </c>
      <c r="C4757" s="1" t="str">
        <f>"5-2차"</f>
        <v>5-2차</v>
      </c>
      <c r="D4757" s="1" t="str">
        <f>"0424E3145M"</f>
        <v>0424E3145M</v>
      </c>
      <c r="E4757" s="1" t="s">
        <v>10</v>
      </c>
      <c r="F4757" s="1" t="str">
        <f>"fde3:102:1440:1300:0:0:0:14"</f>
        <v>fde3:102:1440:1300:0:0:0:14</v>
      </c>
      <c r="G4757" s="1" t="str">
        <f>"0424E314"</f>
        <v>0424E314</v>
      </c>
      <c r="H4757" s="1" t="str">
        <f>"강변간 6R8L9"</f>
        <v>강변간 6R8L9</v>
      </c>
      <c r="I4757" s="1" t="s">
        <v>15</v>
      </c>
      <c r="J4757" s="1" t="str">
        <f>"34/34"</f>
        <v>34/34</v>
      </c>
      <c r="K4757" s="1" t="str">
        <f>"2026-07-29 14:20:46"</f>
        <v>2026-07-29 14:20:46</v>
      </c>
      <c r="L4757" s="1" t="str">
        <f>"2023-06-13 16:43:34"</f>
        <v>2023-06-13 16:43:34</v>
      </c>
      <c r="M4757" s="1" t="s">
        <v>45</v>
      </c>
      <c r="N4757" s="1" t="s">
        <v>38</v>
      </c>
      <c r="O4757" s="1" t="s">
        <v>46</v>
      </c>
    </row>
    <row r="4758" spans="2:15" x14ac:dyDescent="0.3">
      <c r="B4758" s="1" t="s">
        <v>23</v>
      </c>
      <c r="C4758" s="1" t="str">
        <f>"5-2차"</f>
        <v>5-2차</v>
      </c>
      <c r="D4758" s="1" t="str">
        <f>"0424E3325M"</f>
        <v>0424E3325M</v>
      </c>
      <c r="E4758" s="1" t="s">
        <v>10</v>
      </c>
      <c r="F4758" s="1" t="str">
        <f>"fde3:102:1440:1400:0:0:0:e"</f>
        <v>fde3:102:1440:1400:0:0:0:e</v>
      </c>
      <c r="G4758" s="1" t="str">
        <f>"0424E332"</f>
        <v>0424E332</v>
      </c>
      <c r="H4758" s="1" t="str">
        <f>"구의간 10B2"</f>
        <v>구의간 10B2</v>
      </c>
      <c r="I4758" s="1" t="s">
        <v>15</v>
      </c>
      <c r="J4758" s="1" t="str">
        <f>"55/55"</f>
        <v>55/55</v>
      </c>
      <c r="K4758" s="1" t="str">
        <f>"2026-07-29 14:20:46"</f>
        <v>2026-07-29 14:20:46</v>
      </c>
      <c r="L4758" s="1" t="str">
        <f>"2023-06-19 18:06:57"</f>
        <v>2023-06-19 18:06:57</v>
      </c>
      <c r="M4758" s="1" t="s">
        <v>45</v>
      </c>
      <c r="N4758" s="1" t="s">
        <v>38</v>
      </c>
      <c r="O4758" s="1" t="s">
        <v>46</v>
      </c>
    </row>
    <row r="4759" spans="2:15" x14ac:dyDescent="0.3">
      <c r="B4759" s="1" t="s">
        <v>23</v>
      </c>
      <c r="C4759" s="1" t="str">
        <f>"5-2차"</f>
        <v>5-2차</v>
      </c>
      <c r="D4759" s="1" t="str">
        <f>"0424E3515S"</f>
        <v>0424E3515S</v>
      </c>
      <c r="E4759" s="1" t="s">
        <v>10</v>
      </c>
      <c r="F4759" s="1" t="str">
        <f>"fde3:102:1440:1400:0:0:0:9"</f>
        <v>fde3:102:1440:1400:0:0:0:9</v>
      </c>
      <c r="G4759" s="1" t="str">
        <f>"0424E351"</f>
        <v>0424E351</v>
      </c>
      <c r="H4759" s="1" t="str">
        <f>"광나루 105R6L3R2"</f>
        <v>광나루 105R6L3R2</v>
      </c>
      <c r="I4759" s="1" t="s">
        <v>15</v>
      </c>
      <c r="J4759" s="1" t="str">
        <f>"55/55"</f>
        <v>55/55</v>
      </c>
      <c r="K4759" s="1" t="str">
        <f>"2026-07-29 14:20:46"</f>
        <v>2026-07-29 14:20:46</v>
      </c>
      <c r="L4759" s="1" t="str">
        <f>"2023-09-21 16:45:57"</f>
        <v>2023-09-21 16:45:57</v>
      </c>
      <c r="M4759" s="1" t="s">
        <v>45</v>
      </c>
      <c r="N4759" s="1" t="s">
        <v>38</v>
      </c>
      <c r="O4759" s="1" t="s">
        <v>46</v>
      </c>
    </row>
    <row r="4760" spans="2:15" x14ac:dyDescent="0.3">
      <c r="B4760" s="1" t="s">
        <v>23</v>
      </c>
      <c r="C4760" s="1" t="str">
        <f>"6차"</f>
        <v>6차</v>
      </c>
      <c r="D4760" s="1" t="str">
        <f>"0424E3816S"</f>
        <v>0424E3816S</v>
      </c>
      <c r="E4760" s="1" t="s">
        <v>10</v>
      </c>
      <c r="F4760" s="1" t="str">
        <f>"fde1:103:4:9305:0:0:0:2"</f>
        <v>fde1:103:4:9305:0:0:0:2</v>
      </c>
      <c r="G4760" s="1" t="str">
        <f>"0424E381"</f>
        <v>0424E381</v>
      </c>
      <c r="H4760" s="1" t="str">
        <f>"광나루 105R6L2L5"</f>
        <v>광나루 105R6L2L5</v>
      </c>
      <c r="I4760" s="1" t="s">
        <v>15</v>
      </c>
      <c r="J4760" s="1" t="str">
        <f>"40/40"</f>
        <v>40/40</v>
      </c>
      <c r="K4760" s="1" t="str">
        <f>"2026-07-29 14:20:49"</f>
        <v>2026-07-29 14:20:49</v>
      </c>
      <c r="L4760" s="1" t="str">
        <f>"2025-02-05 16:31:48"</f>
        <v>2025-02-05 16:31:48</v>
      </c>
      <c r="M4760" s="1" t="s">
        <v>4</v>
      </c>
      <c r="N4760" s="1" t="s">
        <v>38</v>
      </c>
      <c r="O4760" s="1" t="s">
        <v>46</v>
      </c>
    </row>
    <row r="4761" spans="2:15" x14ac:dyDescent="0.3">
      <c r="B4761" s="1" t="s">
        <v>23</v>
      </c>
      <c r="C4761" s="1" t="str">
        <f>"6차"</f>
        <v>6차</v>
      </c>
      <c r="D4761" s="1" t="str">
        <f>"0424E4426S"</f>
        <v>0424E4426S</v>
      </c>
      <c r="E4761" s="1" t="s">
        <v>10</v>
      </c>
      <c r="F4761" s="1" t="str">
        <f>"fde1:103:4:9322:0:0:0:2"</f>
        <v>fde1:103:4:9322:0:0:0:2</v>
      </c>
      <c r="G4761" s="1" t="str">
        <f>"0424E442"</f>
        <v>0424E442</v>
      </c>
      <c r="H4761" s="1" t="str">
        <f>"광나루 108R7"</f>
        <v>광나루 108R7</v>
      </c>
      <c r="I4761" s="1" t="s">
        <v>15</v>
      </c>
      <c r="J4761" s="1" t="str">
        <f>"50/50"</f>
        <v>50/50</v>
      </c>
      <c r="K4761" s="1" t="str">
        <f>"2026-07-29 14:21:14"</f>
        <v>2026-07-29 14:21:14</v>
      </c>
      <c r="L4761" s="1" t="str">
        <f>"2025-02-05 16:32:00"</f>
        <v>2025-02-05 16:32:00</v>
      </c>
      <c r="M4761" s="1" t="s">
        <v>4</v>
      </c>
      <c r="N4761" s="1" t="s">
        <v>38</v>
      </c>
      <c r="O4761" s="1" t="s">
        <v>46</v>
      </c>
    </row>
    <row r="4762" spans="2:15" x14ac:dyDescent="0.3">
      <c r="B4762" s="1" t="s">
        <v>23</v>
      </c>
      <c r="C4762" s="1" t="str">
        <f>"1차"</f>
        <v>1차</v>
      </c>
      <c r="D4762" s="1" t="str">
        <f>"0424E44301"</f>
        <v>0424E44301</v>
      </c>
      <c r="E4762" s="1" t="s">
        <v>12</v>
      </c>
      <c r="F4762" s="1" t="str">
        <f>"10.125.3.83"</f>
        <v>10.125.3.83</v>
      </c>
      <c r="G4762" s="1" t="str">
        <f>"0424E443"</f>
        <v>0424E443</v>
      </c>
      <c r="H4762" s="1" t="str">
        <f>"광나루 108R5"</f>
        <v>광나루 108R5</v>
      </c>
      <c r="I4762" s="1" t="s">
        <v>8</v>
      </c>
      <c r="J4762" s="1" t="str">
        <f>"0/62"</f>
        <v>0/62</v>
      </c>
      <c r="K4762" s="1" t="str">
        <f>"2026-07-27 19:18:04"</f>
        <v>2026-07-27 19:18:04</v>
      </c>
      <c r="L4762" s="1" t="str">
        <f>"2014-12-06 09:28:22"</f>
        <v>2014-12-06 09:28:22</v>
      </c>
      <c r="M4762" s="1" t="s">
        <v>45</v>
      </c>
      <c r="N4762" s="1" t="s">
        <v>38</v>
      </c>
      <c r="O4762" s="1" t="s">
        <v>46</v>
      </c>
    </row>
    <row r="4763" spans="2:15" x14ac:dyDescent="0.3">
      <c r="B4763" s="1" t="s">
        <v>23</v>
      </c>
      <c r="C4763" s="1" t="str">
        <f>"1차"</f>
        <v>1차</v>
      </c>
      <c r="D4763" s="1" t="str">
        <f>"0424E45100"</f>
        <v>0424E45100</v>
      </c>
      <c r="E4763" s="1" t="s">
        <v>10</v>
      </c>
      <c r="F4763" s="1" t="str">
        <f>"10.125.6.162"</f>
        <v>10.125.6.162</v>
      </c>
      <c r="G4763" s="1" t="str">
        <f>"0424E451"</f>
        <v>0424E451</v>
      </c>
      <c r="H4763" s="1" t="str">
        <f>"광나루 105R6L4"</f>
        <v>광나루 105R6L4</v>
      </c>
      <c r="I4763" s="1" t="s">
        <v>8</v>
      </c>
      <c r="J4763" s="1" t="str">
        <f>"151/158"</f>
        <v>151/158</v>
      </c>
      <c r="K4763" s="1" t="str">
        <f>"2026-07-29 13:18:03"</f>
        <v>2026-07-29 13:18:03</v>
      </c>
      <c r="L4763" s="1" t="str">
        <f>"2014-12-04 17:38:38"</f>
        <v>2014-12-04 17:38:38</v>
      </c>
      <c r="M4763" s="1" t="s">
        <v>45</v>
      </c>
      <c r="N4763" s="1" t="s">
        <v>38</v>
      </c>
      <c r="O4763" s="1" t="s">
        <v>46</v>
      </c>
    </row>
    <row r="4764" spans="2:15" x14ac:dyDescent="0.3">
      <c r="B4764" s="1" t="s">
        <v>23</v>
      </c>
      <c r="C4764" s="1" t="str">
        <f>"1차"</f>
        <v>1차</v>
      </c>
      <c r="D4764" s="1" t="str">
        <f>"0424E46101"</f>
        <v>0424E46101</v>
      </c>
      <c r="E4764" s="1" t="s">
        <v>10</v>
      </c>
      <c r="F4764" s="1" t="str">
        <f>"10.14.12.199"</f>
        <v>10.14.12.199</v>
      </c>
      <c r="G4764" s="1" t="str">
        <f>"0424E461"</f>
        <v>0424E461</v>
      </c>
      <c r="H4764" s="1" t="str">
        <f>"광나루 105R6L2L4R2"</f>
        <v>광나루 105R6L2L4R2</v>
      </c>
      <c r="I4764" s="1" t="s">
        <v>8</v>
      </c>
      <c r="J4764" s="1" t="str">
        <f>"58/58"</f>
        <v>58/58</v>
      </c>
      <c r="K4764" s="1" t="str">
        <f>"2026-07-29 13:18:01"</f>
        <v>2026-07-29 13:18:01</v>
      </c>
      <c r="L4764" s="1" t="str">
        <f>"2014-12-06 09:27:50"</f>
        <v>2014-12-06 09:27:50</v>
      </c>
      <c r="M4764" s="1" t="s">
        <v>3</v>
      </c>
      <c r="N4764" s="1" t="s">
        <v>38</v>
      </c>
      <c r="O4764" s="1" t="s">
        <v>46</v>
      </c>
    </row>
    <row r="4765" spans="2:15" x14ac:dyDescent="0.3">
      <c r="B4765" s="1" t="s">
        <v>23</v>
      </c>
      <c r="C4765" s="1" t="str">
        <f>"1차"</f>
        <v>1차</v>
      </c>
      <c r="D4765" s="1" t="str">
        <f>"0424E48100"</f>
        <v>0424E48100</v>
      </c>
      <c r="E4765" s="1" t="s">
        <v>10</v>
      </c>
      <c r="F4765" s="1" t="str">
        <f>"10.125.3.74"</f>
        <v>10.125.3.74</v>
      </c>
      <c r="G4765" s="1" t="str">
        <f>"0424E481"</f>
        <v>0424E481</v>
      </c>
      <c r="H4765" s="1" t="str">
        <f>"광나루 105R6L2L4"</f>
        <v>광나루 105R6L2L4</v>
      </c>
      <c r="I4765" s="1" t="s">
        <v>8</v>
      </c>
      <c r="J4765" s="1" t="str">
        <f>"18/18"</f>
        <v>18/18</v>
      </c>
      <c r="K4765" s="1" t="str">
        <f>"2026-07-29 13:18:03"</f>
        <v>2026-07-29 13:18:03</v>
      </c>
      <c r="L4765" s="1" t="str">
        <f>"2014-12-06 09:27:51"</f>
        <v>2014-12-06 09:27:51</v>
      </c>
      <c r="M4765" s="1" t="s">
        <v>45</v>
      </c>
      <c r="N4765" s="1" t="s">
        <v>38</v>
      </c>
      <c r="O4765" s="1" t="s">
        <v>46</v>
      </c>
    </row>
    <row r="4766" spans="2:15" x14ac:dyDescent="0.3">
      <c r="B4766" s="1" t="s">
        <v>23</v>
      </c>
      <c r="C4766" s="1" t="str">
        <f>"4차"</f>
        <v>4차</v>
      </c>
      <c r="D4766" s="1" t="str">
        <f>"0424E49239"</f>
        <v>0424E49239</v>
      </c>
      <c r="E4766" s="1" t="s">
        <v>10</v>
      </c>
      <c r="F4766" s="1" t="str">
        <f>"10.12.136.154"</f>
        <v>10.12.136.154</v>
      </c>
      <c r="G4766" s="1" t="str">
        <f>"0424E492"</f>
        <v>0424E492</v>
      </c>
      <c r="H4766" s="1" t="str">
        <f>"광나루 107-2"</f>
        <v>광나루 107-2</v>
      </c>
      <c r="I4766" s="1" t="s">
        <v>17</v>
      </c>
      <c r="J4766" s="1" t="str">
        <f>"2/2"</f>
        <v>2/2</v>
      </c>
      <c r="K4766" s="1" t="str">
        <f>"2026-07-29 13:18:02"</f>
        <v>2026-07-29 13:18:02</v>
      </c>
      <c r="L4766" s="1" t="str">
        <f>"2018-06-19 11:35:48"</f>
        <v>2018-06-19 11:35:48</v>
      </c>
      <c r="M4766" s="1" t="s">
        <v>0</v>
      </c>
      <c r="N4766" s="1" t="s">
        <v>38</v>
      </c>
      <c r="O4766" s="1" t="s">
        <v>46</v>
      </c>
    </row>
    <row r="4767" spans="2:15" x14ac:dyDescent="0.3">
      <c r="B4767" s="1" t="s">
        <v>23</v>
      </c>
      <c r="C4767" s="1" t="str">
        <f>"1차"</f>
        <v>1차</v>
      </c>
      <c r="D4767" s="1" t="str">
        <f>"0424E55100"</f>
        <v>0424E55100</v>
      </c>
      <c r="E4767" s="1" t="s">
        <v>10</v>
      </c>
      <c r="F4767" s="1" t="str">
        <f>"10.125.3.82"</f>
        <v>10.125.3.82</v>
      </c>
      <c r="G4767" s="1" t="str">
        <f>"0424E551"</f>
        <v>0424E551</v>
      </c>
      <c r="H4767" s="1" t="str">
        <f>"광나루 108R3"</f>
        <v>광나루 108R3</v>
      </c>
      <c r="I4767" s="1" t="s">
        <v>8</v>
      </c>
      <c r="J4767" s="1" t="str">
        <f>"36/39"</f>
        <v>36/39</v>
      </c>
      <c r="K4767" s="1" t="str">
        <f>"2026-07-29 13:18:02"</f>
        <v>2026-07-29 13:18:02</v>
      </c>
      <c r="L4767" s="1" t="str">
        <f>"2014-12-06 09:28:16"</f>
        <v>2014-12-06 09:28:16</v>
      </c>
      <c r="M4767" s="1" t="s">
        <v>45</v>
      </c>
      <c r="N4767" s="1" t="s">
        <v>38</v>
      </c>
      <c r="O4767" s="1" t="s">
        <v>46</v>
      </c>
    </row>
    <row r="4768" spans="2:15" x14ac:dyDescent="0.3">
      <c r="B4768" s="1" t="s">
        <v>23</v>
      </c>
      <c r="C4768" s="1" t="str">
        <f>"1차"</f>
        <v>1차</v>
      </c>
      <c r="D4768" s="1" t="str">
        <f>"0424E55201"</f>
        <v>0424E55201</v>
      </c>
      <c r="E4768" s="1" t="s">
        <v>12</v>
      </c>
      <c r="F4768" s="1" t="str">
        <f>"10.125.3.84"</f>
        <v>10.125.3.84</v>
      </c>
      <c r="G4768" s="1" t="str">
        <f>"0424E552"</f>
        <v>0424E552</v>
      </c>
      <c r="H4768" s="1" t="str">
        <f>"광나루 108R2"</f>
        <v>광나루 108R2</v>
      </c>
      <c r="I4768" s="1" t="s">
        <v>8</v>
      </c>
      <c r="J4768" s="1" t="str">
        <f>"0/45"</f>
        <v>0/45</v>
      </c>
      <c r="K4768" s="1" t="str">
        <f>"2026-07-28 07:18:06"</f>
        <v>2026-07-28 07:18:06</v>
      </c>
      <c r="L4768" s="1" t="str">
        <f>"2014-12-12 18:01:00"</f>
        <v>2014-12-12 18:01:00</v>
      </c>
      <c r="M4768" s="1" t="s">
        <v>45</v>
      </c>
      <c r="N4768" s="1" t="s">
        <v>38</v>
      </c>
      <c r="O4768" s="1" t="s">
        <v>46</v>
      </c>
    </row>
    <row r="4769" spans="2:15" x14ac:dyDescent="0.3">
      <c r="B4769" s="1" t="s">
        <v>23</v>
      </c>
      <c r="C4769" s="1" t="str">
        <f t="shared" ref="C4769:C4776" si="263">"4차"</f>
        <v>4차</v>
      </c>
      <c r="D4769" s="1" t="str">
        <f>"0424E64439"</f>
        <v>0424E64439</v>
      </c>
      <c r="E4769" s="1" t="s">
        <v>10</v>
      </c>
      <c r="F4769" s="1" t="str">
        <f>"10.12.134.174"</f>
        <v>10.12.134.174</v>
      </c>
      <c r="G4769" s="1" t="str">
        <f>"0424E644"</f>
        <v>0424E644</v>
      </c>
      <c r="H4769" s="1" t="str">
        <f>"광나루 109-1"</f>
        <v>광나루 109-1</v>
      </c>
      <c r="I4769" s="1" t="s">
        <v>17</v>
      </c>
      <c r="J4769" s="1" t="str">
        <f>"13/13"</f>
        <v>13/13</v>
      </c>
      <c r="K4769" s="1" t="str">
        <f>"2026-07-29 13:18:02"</f>
        <v>2026-07-29 13:18:02</v>
      </c>
      <c r="L4769" s="1" t="str">
        <f>"2018-05-15 15:58:14"</f>
        <v>2018-05-15 15:58:14</v>
      </c>
      <c r="M4769" s="1" t="s">
        <v>0</v>
      </c>
      <c r="N4769" s="1" t="s">
        <v>38</v>
      </c>
      <c r="O4769" s="1" t="s">
        <v>46</v>
      </c>
    </row>
    <row r="4770" spans="2:15" x14ac:dyDescent="0.3">
      <c r="B4770" s="1" t="s">
        <v>23</v>
      </c>
      <c r="C4770" s="1" t="str">
        <f t="shared" si="263"/>
        <v>4차</v>
      </c>
      <c r="D4770" s="1" t="str">
        <f>"0424E74341"</f>
        <v>0424E74341</v>
      </c>
      <c r="E4770" s="1" t="s">
        <v>10</v>
      </c>
      <c r="F4770" s="1" t="str">
        <f>"10.14.5.31"</f>
        <v>10.14.5.31</v>
      </c>
      <c r="G4770" s="1" t="str">
        <f>"0424E743"</f>
        <v>0424E743</v>
      </c>
      <c r="H4770" s="1" t="str">
        <f>"강변간 3L1"</f>
        <v>강변간 3L1</v>
      </c>
      <c r="I4770" s="1" t="s">
        <v>17</v>
      </c>
      <c r="J4770" s="1" t="str">
        <f>"5/5"</f>
        <v>5/5</v>
      </c>
      <c r="K4770" s="1" t="str">
        <f>"2026-07-29 13:18:03"</f>
        <v>2026-07-29 13:18:03</v>
      </c>
      <c r="L4770" s="1" t="str">
        <f>"2021-06-16 09:58:22"</f>
        <v>2021-06-16 09:58:22</v>
      </c>
      <c r="M4770" s="1" t="s">
        <v>3</v>
      </c>
      <c r="N4770" s="1" t="s">
        <v>38</v>
      </c>
      <c r="O4770" s="1" t="s">
        <v>46</v>
      </c>
    </row>
    <row r="4771" spans="2:15" x14ac:dyDescent="0.3">
      <c r="B4771" s="1" t="s">
        <v>23</v>
      </c>
      <c r="C4771" s="1" t="str">
        <f t="shared" si="263"/>
        <v>4차</v>
      </c>
      <c r="D4771" s="1" t="str">
        <f>"0424E76245"</f>
        <v>0424E76245</v>
      </c>
      <c r="E4771" s="1" t="s">
        <v>10</v>
      </c>
      <c r="F4771" s="1" t="str">
        <f>"10.14.10.54"</f>
        <v>10.14.10.54</v>
      </c>
      <c r="G4771" s="1" t="str">
        <f>"0424E762"</f>
        <v>0424E762</v>
      </c>
      <c r="H4771" s="1" t="str">
        <f>"광나루 111-1"</f>
        <v>광나루 111-1</v>
      </c>
      <c r="I4771" s="1" t="s">
        <v>17</v>
      </c>
      <c r="J4771" s="1" t="str">
        <f>"3/6"</f>
        <v>3/6</v>
      </c>
      <c r="K4771" s="1" t="str">
        <f>"2026-07-29 13:18:02"</f>
        <v>2026-07-29 13:18:02</v>
      </c>
      <c r="L4771" s="1" t="str">
        <f>"2021-06-28 09:46:22"</f>
        <v>2021-06-28 09:46:22</v>
      </c>
      <c r="M4771" s="1" t="s">
        <v>3</v>
      </c>
      <c r="N4771" s="1" t="s">
        <v>38</v>
      </c>
      <c r="O4771" s="1" t="s">
        <v>46</v>
      </c>
    </row>
    <row r="4772" spans="2:15" x14ac:dyDescent="0.3">
      <c r="B4772" s="1" t="s">
        <v>23</v>
      </c>
      <c r="C4772" s="1" t="str">
        <f t="shared" si="263"/>
        <v>4차</v>
      </c>
      <c r="D4772" s="1" t="str">
        <f>"0424F28241"</f>
        <v>0424F28241</v>
      </c>
      <c r="E4772" s="1" t="s">
        <v>10</v>
      </c>
      <c r="F4772" s="1" t="str">
        <f>"10.14.14.23"</f>
        <v>10.14.14.23</v>
      </c>
      <c r="G4772" s="1" t="str">
        <f>"0424F282"</f>
        <v>0424F282</v>
      </c>
      <c r="H4772" s="1" t="str">
        <f>"광나루 116L2"</f>
        <v>광나루 116L2</v>
      </c>
      <c r="I4772" s="1" t="s">
        <v>17</v>
      </c>
      <c r="J4772" s="1" t="str">
        <f>"9/9"</f>
        <v>9/9</v>
      </c>
      <c r="K4772" s="1" t="str">
        <f>"2026-07-29 13:18:02"</f>
        <v>2026-07-29 13:18:02</v>
      </c>
      <c r="L4772" s="1" t="str">
        <f>"2021-08-30 09:04:47"</f>
        <v>2021-08-30 09:04:47</v>
      </c>
      <c r="M4772" s="1" t="s">
        <v>3</v>
      </c>
      <c r="N4772" s="1" t="s">
        <v>38</v>
      </c>
      <c r="O4772" s="1" t="s">
        <v>46</v>
      </c>
    </row>
    <row r="4773" spans="2:15" x14ac:dyDescent="0.3">
      <c r="B4773" s="1" t="s">
        <v>23</v>
      </c>
      <c r="C4773" s="1" t="str">
        <f t="shared" si="263"/>
        <v>4차</v>
      </c>
      <c r="D4773" s="1" t="str">
        <f>"0424F58145"</f>
        <v>0424F58145</v>
      </c>
      <c r="E4773" s="1" t="s">
        <v>14</v>
      </c>
      <c r="F4773" s="1" t="str">
        <f>"10.12.137.176"</f>
        <v>10.12.137.176</v>
      </c>
      <c r="G4773" s="1" t="str">
        <f>"0424F581"</f>
        <v>0424F581</v>
      </c>
      <c r="H4773" s="1" t="str">
        <f>"광나루 154-1"</f>
        <v>광나루 154-1</v>
      </c>
      <c r="I4773" s="1" t="s">
        <v>17</v>
      </c>
      <c r="J4773" s="1" t="str">
        <f>"0/0"</f>
        <v>0/0</v>
      </c>
      <c r="K4773" s="1" t="str">
        <f>"2026-04-24 13:18:05"</f>
        <v>2026-04-24 13:18:05</v>
      </c>
      <c r="L4773" s="1" t="str">
        <f>"2021-06-28 10:16:28"</f>
        <v>2021-06-28 10:16:28</v>
      </c>
      <c r="M4773" s="1" t="s">
        <v>0</v>
      </c>
      <c r="N4773" s="1" t="s">
        <v>39</v>
      </c>
      <c r="O4773" s="1" t="s">
        <v>46</v>
      </c>
    </row>
    <row r="4774" spans="2:15" x14ac:dyDescent="0.3">
      <c r="B4774" s="1" t="s">
        <v>23</v>
      </c>
      <c r="C4774" s="1" t="str">
        <f t="shared" si="263"/>
        <v>4차</v>
      </c>
      <c r="D4774" s="1" t="str">
        <f>"0424F76141"</f>
        <v>0424F76141</v>
      </c>
      <c r="E4774" s="1" t="s">
        <v>10</v>
      </c>
      <c r="F4774" s="1" t="str">
        <f>"10.12.128.226"</f>
        <v>10.12.128.226</v>
      </c>
      <c r="G4774" s="1" t="str">
        <f>"0424F761"</f>
        <v>0424F761</v>
      </c>
      <c r="H4774" s="1" t="str">
        <f>"광나루 156R3R2"</f>
        <v>광나루 156R3R2</v>
      </c>
      <c r="I4774" s="1" t="s">
        <v>17</v>
      </c>
      <c r="J4774" s="1" t="str">
        <f>"11/11"</f>
        <v>11/11</v>
      </c>
      <c r="K4774" s="1" t="str">
        <f>"2026-07-29 13:18:05"</f>
        <v>2026-07-29 13:18:05</v>
      </c>
      <c r="L4774" s="1" t="str">
        <f>"2021-08-26 11:43:52"</f>
        <v>2021-08-26 11:43:52</v>
      </c>
      <c r="M4774" s="1" t="s">
        <v>0</v>
      </c>
      <c r="N4774" s="1" t="s">
        <v>38</v>
      </c>
      <c r="O4774" s="1" t="s">
        <v>46</v>
      </c>
    </row>
    <row r="4775" spans="2:15" x14ac:dyDescent="0.3">
      <c r="B4775" s="1" t="s">
        <v>23</v>
      </c>
      <c r="C4775" s="1" t="str">
        <f t="shared" si="263"/>
        <v>4차</v>
      </c>
      <c r="D4775" s="1" t="str">
        <f>"0424F87241"</f>
        <v>0424F87241</v>
      </c>
      <c r="E4775" s="1" t="s">
        <v>10</v>
      </c>
      <c r="F4775" s="1" t="str">
        <f>"10.14.5.23"</f>
        <v>10.14.5.23</v>
      </c>
      <c r="G4775" s="1" t="str">
        <f>"0424F872"</f>
        <v>0424F872</v>
      </c>
      <c r="H4775" s="1" t="str">
        <f>"광나루 156R4"</f>
        <v>광나루 156R4</v>
      </c>
      <c r="I4775" s="1" t="s">
        <v>17</v>
      </c>
      <c r="J4775" s="1" t="str">
        <f>"5/9"</f>
        <v>5/9</v>
      </c>
      <c r="K4775" s="1" t="str">
        <f>"2026-07-29 13:18:02"</f>
        <v>2026-07-29 13:18:02</v>
      </c>
      <c r="L4775" s="1" t="str">
        <f>"2021-08-26 11:05:50"</f>
        <v>2021-08-26 11:05:50</v>
      </c>
      <c r="M4775" s="1" t="s">
        <v>3</v>
      </c>
      <c r="N4775" s="1" t="s">
        <v>38</v>
      </c>
      <c r="O4775" s="1" t="s">
        <v>46</v>
      </c>
    </row>
    <row r="4776" spans="2:15" x14ac:dyDescent="0.3">
      <c r="B4776" s="1" t="s">
        <v>23</v>
      </c>
      <c r="C4776" s="1" t="str">
        <f t="shared" si="263"/>
        <v>4차</v>
      </c>
      <c r="D4776" s="1" t="str">
        <f>"0424G14141"</f>
        <v>0424G14141</v>
      </c>
      <c r="E4776" s="1" t="s">
        <v>10</v>
      </c>
      <c r="F4776" s="1" t="str">
        <f>"10.14.4.33"</f>
        <v>10.14.4.33</v>
      </c>
      <c r="G4776" s="1" t="str">
        <f>"0424G141"</f>
        <v>0424G141</v>
      </c>
      <c r="H4776" s="1" t="str">
        <f>"강변간 24"</f>
        <v>강변간 24</v>
      </c>
      <c r="I4776" s="1" t="s">
        <v>17</v>
      </c>
      <c r="J4776" s="1" t="str">
        <f>"16/16"</f>
        <v>16/16</v>
      </c>
      <c r="K4776" s="1" t="str">
        <f>"2026-07-29 13:18:02"</f>
        <v>2026-07-29 13:18:02</v>
      </c>
      <c r="L4776" s="1" t="str">
        <f>"2021-08-26 07:21:57"</f>
        <v>2021-08-26 07:21:57</v>
      </c>
      <c r="M4776" s="1" t="s">
        <v>3</v>
      </c>
      <c r="N4776" s="1" t="s">
        <v>38</v>
      </c>
      <c r="O4776" s="1" t="s">
        <v>46</v>
      </c>
    </row>
    <row r="4777" spans="2:15" x14ac:dyDescent="0.3">
      <c r="B4777" s="1" t="s">
        <v>23</v>
      </c>
      <c r="C4777" s="1" t="str">
        <f>"5-2차"</f>
        <v>5-2차</v>
      </c>
      <c r="D4777" s="1" t="str">
        <f>"0424G1815M"</f>
        <v>0424G1815M</v>
      </c>
      <c r="E4777" s="1" t="s">
        <v>10</v>
      </c>
      <c r="F4777" s="1" t="str">
        <f>"fde1:103:4:9306:0:0:0:2"</f>
        <v>fde1:103:4:9306:0:0:0:2</v>
      </c>
      <c r="G4777" s="1" t="str">
        <f>"0424G181"</f>
        <v>0424G181</v>
      </c>
      <c r="H4777" s="1" t="str">
        <f>"강변간 6R8L3"</f>
        <v>강변간 6R8L3</v>
      </c>
      <c r="I4777" s="1" t="s">
        <v>15</v>
      </c>
      <c r="J4777" s="1" t="str">
        <f>"21/22"</f>
        <v>21/22</v>
      </c>
      <c r="K4777" s="1" t="str">
        <f>"2026-07-29 14:20:47"</f>
        <v>2026-07-29 14:20:47</v>
      </c>
      <c r="L4777" s="1" t="str">
        <f>"2023-12-15 13:57:04"</f>
        <v>2023-12-15 13:57:04</v>
      </c>
      <c r="M4777" s="1" t="s">
        <v>4</v>
      </c>
      <c r="N4777" s="1" t="s">
        <v>38</v>
      </c>
      <c r="O4777" s="1" t="s">
        <v>46</v>
      </c>
    </row>
    <row r="4778" spans="2:15" x14ac:dyDescent="0.3">
      <c r="B4778" s="1" t="s">
        <v>23</v>
      </c>
      <c r="C4778" s="1" t="str">
        <f>"5-2차"</f>
        <v>5-2차</v>
      </c>
      <c r="D4778" s="1" t="str">
        <f>"0424G2815M"</f>
        <v>0424G2815M</v>
      </c>
      <c r="E4778" s="1" t="s">
        <v>10</v>
      </c>
      <c r="F4778" s="1" t="str">
        <f>"fde3:102:1440:1500:0:0:0:a"</f>
        <v>fde3:102:1440:1500:0:0:0:a</v>
      </c>
      <c r="G4778" s="1" t="str">
        <f>"0424G281"</f>
        <v>0424G281</v>
      </c>
      <c r="H4778" s="1" t="str">
        <f>"강변간 6R8L5R1"</f>
        <v>강변간 6R8L5R1</v>
      </c>
      <c r="I4778" s="1" t="s">
        <v>15</v>
      </c>
      <c r="J4778" s="1" t="str">
        <f>"33/38"</f>
        <v>33/38</v>
      </c>
      <c r="K4778" s="1" t="str">
        <f>"2026-07-29 14:21:07"</f>
        <v>2026-07-29 14:21:07</v>
      </c>
      <c r="L4778" s="1" t="str">
        <f>"2023-06-13 16:44:27"</f>
        <v>2023-06-13 16:44:27</v>
      </c>
      <c r="M4778" s="1" t="s">
        <v>45</v>
      </c>
      <c r="N4778" s="1" t="s">
        <v>38</v>
      </c>
      <c r="O4778" s="1" t="s">
        <v>46</v>
      </c>
    </row>
    <row r="4779" spans="2:15" x14ac:dyDescent="0.3">
      <c r="B4779" s="1" t="s">
        <v>23</v>
      </c>
      <c r="C4779" s="1" t="str">
        <f>"5-1차"</f>
        <v>5-1차</v>
      </c>
      <c r="D4779" s="1" t="str">
        <f>"0424G2915M"</f>
        <v>0424G2915M</v>
      </c>
      <c r="E4779" s="1" t="s">
        <v>10</v>
      </c>
      <c r="F4779" s="1" t="str">
        <f>"fde3:102:1440:1500:0:0:0:3"</f>
        <v>fde3:102:1440:1500:0:0:0:3</v>
      </c>
      <c r="G4779" s="1" t="str">
        <f>"0424G291"</f>
        <v>0424G291</v>
      </c>
      <c r="H4779" s="1" t="str">
        <f>"강변간 6R8L6"</f>
        <v>강변간 6R8L6</v>
      </c>
      <c r="I4779" s="1" t="s">
        <v>15</v>
      </c>
      <c r="J4779" s="1" t="str">
        <f>"81/81"</f>
        <v>81/81</v>
      </c>
      <c r="K4779" s="1" t="str">
        <f>"2026-07-29 14:21:07"</f>
        <v>2026-07-29 14:21:07</v>
      </c>
      <c r="L4779" s="1" t="str">
        <f>"2022-10-26 11:29:03"</f>
        <v>2022-10-26 11:29:03</v>
      </c>
      <c r="M4779" s="1" t="s">
        <v>45</v>
      </c>
      <c r="N4779" s="1" t="s">
        <v>38</v>
      </c>
      <c r="O4779" s="1" t="s">
        <v>46</v>
      </c>
    </row>
    <row r="4780" spans="2:15" x14ac:dyDescent="0.3">
      <c r="B4780" s="1" t="s">
        <v>23</v>
      </c>
      <c r="C4780" s="1" t="str">
        <f>"4차"</f>
        <v>4차</v>
      </c>
      <c r="D4780" s="1" t="str">
        <f>"0424G49241"</f>
        <v>0424G49241</v>
      </c>
      <c r="E4780" s="1" t="s">
        <v>10</v>
      </c>
      <c r="F4780" s="1" t="str">
        <f>"10.14.1.30"</f>
        <v>10.14.1.30</v>
      </c>
      <c r="G4780" s="1" t="str">
        <f>"0424G492"</f>
        <v>0424G492</v>
      </c>
      <c r="H4780" s="1" t="str">
        <f>"강변간 13"</f>
        <v>강변간 13</v>
      </c>
      <c r="I4780" s="1" t="s">
        <v>17</v>
      </c>
      <c r="J4780" s="1" t="str">
        <f>"18/18"</f>
        <v>18/18</v>
      </c>
      <c r="K4780" s="1" t="str">
        <f>"2026-07-29 13:18:02"</f>
        <v>2026-07-29 13:18:02</v>
      </c>
      <c r="L4780" s="1" t="str">
        <f>"2021-06-15 16:02:46"</f>
        <v>2021-06-15 16:02:46</v>
      </c>
      <c r="M4780" s="1" t="s">
        <v>3</v>
      </c>
      <c r="N4780" s="1" t="s">
        <v>38</v>
      </c>
      <c r="O4780" s="1" t="s">
        <v>46</v>
      </c>
    </row>
    <row r="4781" spans="2:15" x14ac:dyDescent="0.3">
      <c r="B4781" s="1" t="s">
        <v>23</v>
      </c>
      <c r="C4781" s="1" t="str">
        <f>"4차"</f>
        <v>4차</v>
      </c>
      <c r="D4781" s="1" t="str">
        <f>"0424G49341"</f>
        <v>0424G49341</v>
      </c>
      <c r="E4781" s="1" t="s">
        <v>10</v>
      </c>
      <c r="F4781" s="1" t="str">
        <f>"10.12.137.91"</f>
        <v>10.12.137.91</v>
      </c>
      <c r="G4781" s="1" t="str">
        <f>"0424G493"</f>
        <v>0424G493</v>
      </c>
      <c r="H4781" s="1" t="str">
        <f>"강변간 14"</f>
        <v>강변간 14</v>
      </c>
      <c r="I4781" s="1" t="s">
        <v>17</v>
      </c>
      <c r="J4781" s="1" t="str">
        <f>"26/26"</f>
        <v>26/26</v>
      </c>
      <c r="K4781" s="1" t="str">
        <f>"2026-07-29 13:18:05"</f>
        <v>2026-07-29 13:18:05</v>
      </c>
      <c r="L4781" s="1" t="str">
        <f>"2021-08-26 08:48:55"</f>
        <v>2021-08-26 08:48:55</v>
      </c>
      <c r="M4781" s="1" t="s">
        <v>0</v>
      </c>
      <c r="N4781" s="1" t="s">
        <v>38</v>
      </c>
      <c r="O4781" s="1" t="s">
        <v>46</v>
      </c>
    </row>
    <row r="4782" spans="2:15" x14ac:dyDescent="0.3">
      <c r="B4782" s="1" t="s">
        <v>23</v>
      </c>
      <c r="C4782" s="1" t="str">
        <f>"4차"</f>
        <v>4차</v>
      </c>
      <c r="D4782" s="1" t="str">
        <f>"0424G57141"</f>
        <v>0424G57141</v>
      </c>
      <c r="E4782" s="1" t="s">
        <v>10</v>
      </c>
      <c r="F4782" s="1" t="str">
        <f>"10.12.130.189"</f>
        <v>10.12.130.189</v>
      </c>
      <c r="G4782" s="1" t="str">
        <f>"0424G571"</f>
        <v>0424G571</v>
      </c>
      <c r="H4782" s="1" t="str">
        <f>"강변간 13L1L3"</f>
        <v>강변간 13L1L3</v>
      </c>
      <c r="I4782" s="1" t="s">
        <v>17</v>
      </c>
      <c r="J4782" s="1" t="str">
        <f>"16/19"</f>
        <v>16/19</v>
      </c>
      <c r="K4782" s="1" t="str">
        <f>"2026-07-29 13:18:02"</f>
        <v>2026-07-29 13:18:02</v>
      </c>
      <c r="L4782" s="1" t="str">
        <f>"2021-08-26 09:27:52"</f>
        <v>2021-08-26 09:27:52</v>
      </c>
      <c r="M4782" s="1" t="s">
        <v>0</v>
      </c>
      <c r="N4782" s="1" t="s">
        <v>38</v>
      </c>
      <c r="O4782" s="1" t="s">
        <v>46</v>
      </c>
    </row>
    <row r="4783" spans="2:15" x14ac:dyDescent="0.3">
      <c r="B4783" s="1" t="s">
        <v>23</v>
      </c>
      <c r="C4783" s="1" t="str">
        <f>"1차"</f>
        <v>1차</v>
      </c>
      <c r="D4783" s="1" t="str">
        <f>"0424P00200"</f>
        <v>0424P00200</v>
      </c>
      <c r="E4783" s="1" t="s">
        <v>10</v>
      </c>
      <c r="F4783" s="1" t="str">
        <f>"10.125.3.90"</f>
        <v>10.125.3.90</v>
      </c>
      <c r="G4783" s="1" t="str">
        <f>"0424P002"</f>
        <v>0424P002</v>
      </c>
      <c r="H4783" s="1" t="str">
        <f>"자양간 50R19R3"</f>
        <v>자양간 50R19R3</v>
      </c>
      <c r="I4783" s="1" t="s">
        <v>8</v>
      </c>
      <c r="J4783" s="1" t="str">
        <f>"95/95"</f>
        <v>95/95</v>
      </c>
      <c r="K4783" s="1" t="str">
        <f>"2026-07-29 13:18:03"</f>
        <v>2026-07-29 13:18:03</v>
      </c>
      <c r="L4783" s="1" t="str">
        <f>"2014-12-11 16:57:37"</f>
        <v>2014-12-11 16:57:37</v>
      </c>
      <c r="M4783" s="1" t="s">
        <v>45</v>
      </c>
      <c r="N4783" s="1" t="s">
        <v>38</v>
      </c>
      <c r="O4783" s="1" t="s">
        <v>46</v>
      </c>
    </row>
    <row r="4784" spans="2:15" x14ac:dyDescent="0.3">
      <c r="B4784" s="1" t="s">
        <v>23</v>
      </c>
      <c r="C4784" s="1" t="str">
        <f>"5-2차"</f>
        <v>5-2차</v>
      </c>
      <c r="D4784" s="1" t="str">
        <f>"0424P0315S"</f>
        <v>0424P0315S</v>
      </c>
      <c r="E4784" s="1" t="s">
        <v>10</v>
      </c>
      <c r="F4784" s="1" t="str">
        <f>"fde3:102:1440:2100:0:0:0:15"</f>
        <v>fde3:102:1440:2100:0:0:0:15</v>
      </c>
      <c r="G4784" s="1" t="str">
        <f>"0424P031"</f>
        <v>0424P031</v>
      </c>
      <c r="H4784" s="1" t="str">
        <f>"자양간 15R37"</f>
        <v>자양간 15R37</v>
      </c>
      <c r="I4784" s="1" t="s">
        <v>15</v>
      </c>
      <c r="J4784" s="1" t="str">
        <f>"54/54"</f>
        <v>54/54</v>
      </c>
      <c r="K4784" s="1" t="str">
        <f>"2026-07-29 14:20:28"</f>
        <v>2026-07-29 14:20:28</v>
      </c>
      <c r="L4784" s="1" t="str">
        <f>"2023-09-14 18:52:33"</f>
        <v>2023-09-14 18:52:33</v>
      </c>
      <c r="M4784" s="1" t="s">
        <v>45</v>
      </c>
      <c r="N4784" s="1" t="s">
        <v>38</v>
      </c>
      <c r="O4784" s="1" t="s">
        <v>46</v>
      </c>
    </row>
    <row r="4785" spans="2:15" x14ac:dyDescent="0.3">
      <c r="B4785" s="1" t="s">
        <v>23</v>
      </c>
      <c r="C4785" s="1" t="str">
        <f>"5-2차"</f>
        <v>5-2차</v>
      </c>
      <c r="D4785" s="1" t="str">
        <f>"0424P0615M"</f>
        <v>0424P0615M</v>
      </c>
      <c r="E4785" s="1" t="s">
        <v>10</v>
      </c>
      <c r="F4785" s="1" t="str">
        <f>"fde3:102:1440:2100:0:0:0:a"</f>
        <v>fde3:102:1440:2100:0:0:0:a</v>
      </c>
      <c r="G4785" s="1" t="str">
        <f>"0424P061"</f>
        <v>0424P061</v>
      </c>
      <c r="H4785" s="1" t="str">
        <f>"자양간 36R20L4"</f>
        <v>자양간 36R20L4</v>
      </c>
      <c r="I4785" s="1" t="s">
        <v>15</v>
      </c>
      <c r="J4785" s="1" t="str">
        <f>"128/129"</f>
        <v>128/129</v>
      </c>
      <c r="K4785" s="1" t="str">
        <f>"2026-07-29 14:20:47"</f>
        <v>2026-07-29 14:20:47</v>
      </c>
      <c r="L4785" s="1" t="str">
        <f>"2023-06-19 18:07:34"</f>
        <v>2023-06-19 18:07:34</v>
      </c>
      <c r="M4785" s="1" t="s">
        <v>45</v>
      </c>
      <c r="N4785" s="1" t="s">
        <v>38</v>
      </c>
      <c r="O4785" s="1" t="s">
        <v>46</v>
      </c>
    </row>
    <row r="4786" spans="2:15" x14ac:dyDescent="0.3">
      <c r="B4786" s="1" t="s">
        <v>23</v>
      </c>
      <c r="C4786" s="1" t="str">
        <f>"5-2차"</f>
        <v>5-2차</v>
      </c>
      <c r="D4786" s="1" t="str">
        <f>"0424P0635M"</f>
        <v>0424P0635M</v>
      </c>
      <c r="E4786" s="1" t="s">
        <v>10</v>
      </c>
      <c r="F4786" s="1" t="str">
        <f>"fde3:102:1440:2100:0:0:0:9"</f>
        <v>fde3:102:1440:2100:0:0:0:9</v>
      </c>
      <c r="G4786" s="1" t="str">
        <f>"0424P063"</f>
        <v>0424P063</v>
      </c>
      <c r="H4786" s="1" t="str">
        <f>"자양간 36R20L3"</f>
        <v>자양간 36R20L3</v>
      </c>
      <c r="I4786" s="1" t="s">
        <v>15</v>
      </c>
      <c r="J4786" s="1" t="str">
        <f>"38/38"</f>
        <v>38/38</v>
      </c>
      <c r="K4786" s="1" t="str">
        <f>"2026-07-29 14:20:46"</f>
        <v>2026-07-29 14:20:46</v>
      </c>
      <c r="L4786" s="1" t="str">
        <f>"2023-06-19 18:08:07"</f>
        <v>2023-06-19 18:08:07</v>
      </c>
      <c r="M4786" s="1" t="s">
        <v>45</v>
      </c>
      <c r="N4786" s="1" t="s">
        <v>38</v>
      </c>
      <c r="O4786" s="1" t="s">
        <v>46</v>
      </c>
    </row>
    <row r="4787" spans="2:15" x14ac:dyDescent="0.3">
      <c r="B4787" s="1" t="s">
        <v>23</v>
      </c>
      <c r="C4787" s="1" t="str">
        <f>"5-2차"</f>
        <v>5-2차</v>
      </c>
      <c r="D4787" s="1" t="str">
        <f>"0424P0715M"</f>
        <v>0424P0715M</v>
      </c>
      <c r="E4787" s="1" t="s">
        <v>10</v>
      </c>
      <c r="F4787" s="1" t="str">
        <f>"fde3:102:1440:2100:0:0:0:8"</f>
        <v>fde3:102:1440:2100:0:0:0:8</v>
      </c>
      <c r="G4787" s="1" t="str">
        <f>"0424P071"</f>
        <v>0424P071</v>
      </c>
      <c r="H4787" s="1" t="str">
        <f>"자양간 36R20L2L2"</f>
        <v>자양간 36R20L2L2</v>
      </c>
      <c r="I4787" s="1" t="s">
        <v>15</v>
      </c>
      <c r="J4787" s="1" t="str">
        <f>"76/76"</f>
        <v>76/76</v>
      </c>
      <c r="K4787" s="1" t="str">
        <f>"2026-07-29 14:20:46"</f>
        <v>2026-07-29 14:20:46</v>
      </c>
      <c r="L4787" s="1" t="str">
        <f>"2023-06-19 18:03:28"</f>
        <v>2023-06-19 18:03:28</v>
      </c>
      <c r="M4787" s="1" t="s">
        <v>45</v>
      </c>
      <c r="N4787" s="1" t="s">
        <v>38</v>
      </c>
      <c r="O4787" s="1" t="s">
        <v>46</v>
      </c>
    </row>
    <row r="4788" spans="2:15" x14ac:dyDescent="0.3">
      <c r="B4788" s="1" t="s">
        <v>23</v>
      </c>
      <c r="C4788" s="1" t="str">
        <f>"5-2차"</f>
        <v>5-2차</v>
      </c>
      <c r="D4788" s="1" t="str">
        <f>"0424P0915M"</f>
        <v>0424P0915M</v>
      </c>
      <c r="E4788" s="1" t="s">
        <v>10</v>
      </c>
      <c r="F4788" s="1" t="str">
        <f>"fde3:102:1440:2300:0:0:0:14"</f>
        <v>fde3:102:1440:2300:0:0:0:14</v>
      </c>
      <c r="G4788" s="1" t="str">
        <f>"0424P091"</f>
        <v>0424P091</v>
      </c>
      <c r="H4788" s="1" t="str">
        <f>"자양간 36R15"</f>
        <v>자양간 36R15</v>
      </c>
      <c r="I4788" s="1" t="s">
        <v>15</v>
      </c>
      <c r="J4788" s="1" t="str">
        <f>"88/88"</f>
        <v>88/88</v>
      </c>
      <c r="K4788" s="1" t="str">
        <f>"2026-07-29 14:20:46"</f>
        <v>2026-07-29 14:20:46</v>
      </c>
      <c r="L4788" s="1" t="str">
        <f>"2023-10-11 13:42:18"</f>
        <v>2023-10-11 13:42:18</v>
      </c>
      <c r="M4788" s="1" t="s">
        <v>45</v>
      </c>
      <c r="N4788" s="1" t="s">
        <v>38</v>
      </c>
      <c r="O4788" s="1" t="s">
        <v>46</v>
      </c>
    </row>
    <row r="4789" spans="2:15" x14ac:dyDescent="0.3">
      <c r="B4789" s="1" t="s">
        <v>23</v>
      </c>
      <c r="C4789" s="1" t="str">
        <f>"5-1차"</f>
        <v>5-1차</v>
      </c>
      <c r="D4789" s="1" t="str">
        <f>"0424P1115S"</f>
        <v>0424P1115S</v>
      </c>
      <c r="E4789" s="1" t="s">
        <v>10</v>
      </c>
      <c r="F4789" s="1" t="str">
        <f>"fde3:102:1440:2100:0:0:0:4"</f>
        <v>fde3:102:1440:2100:0:0:0:4</v>
      </c>
      <c r="G4789" s="1" t="str">
        <f>"0424P111"</f>
        <v>0424P111</v>
      </c>
      <c r="H4789" s="1" t="str">
        <f>"자양간 50R11R2L6"</f>
        <v>자양간 50R11R2L6</v>
      </c>
      <c r="I4789" s="1" t="s">
        <v>15</v>
      </c>
      <c r="J4789" s="1" t="str">
        <f>"77/77"</f>
        <v>77/77</v>
      </c>
      <c r="K4789" s="1" t="str">
        <f>"2026-07-29 14:20:50"</f>
        <v>2026-07-29 14:20:50</v>
      </c>
      <c r="L4789" s="1" t="str">
        <f>"2022-10-24 14:36:47"</f>
        <v>2022-10-24 14:36:47</v>
      </c>
      <c r="M4789" s="1" t="s">
        <v>45</v>
      </c>
      <c r="N4789" s="1" t="s">
        <v>38</v>
      </c>
      <c r="O4789" s="1" t="s">
        <v>46</v>
      </c>
    </row>
    <row r="4790" spans="2:15" x14ac:dyDescent="0.3">
      <c r="B4790" s="1" t="s">
        <v>23</v>
      </c>
      <c r="C4790" s="1" t="str">
        <f>"5-2차"</f>
        <v>5-2차</v>
      </c>
      <c r="D4790" s="1" t="str">
        <f>"0424P1215M"</f>
        <v>0424P1215M</v>
      </c>
      <c r="E4790" s="1" t="s">
        <v>10</v>
      </c>
      <c r="F4790" s="1" t="str">
        <f>"fde3:102:1440:2100:0:0:0:13"</f>
        <v>fde3:102:1440:2100:0:0:0:13</v>
      </c>
      <c r="G4790" s="1" t="str">
        <f>"0424P121"</f>
        <v>0424P121</v>
      </c>
      <c r="H4790" s="1" t="str">
        <f>"자양간 15R39"</f>
        <v>자양간 15R39</v>
      </c>
      <c r="I4790" s="1" t="s">
        <v>15</v>
      </c>
      <c r="J4790" s="1" t="str">
        <f>"82/82"</f>
        <v>82/82</v>
      </c>
      <c r="K4790" s="1" t="str">
        <f>"2026-07-29 14:21:06"</f>
        <v>2026-07-29 14:21:06</v>
      </c>
      <c r="L4790" s="1" t="str">
        <f>"2023-10-16 15:45:43"</f>
        <v>2023-10-16 15:45:43</v>
      </c>
      <c r="M4790" s="1" t="s">
        <v>45</v>
      </c>
      <c r="N4790" s="1" t="s">
        <v>38</v>
      </c>
      <c r="O4790" s="1" t="s">
        <v>46</v>
      </c>
    </row>
    <row r="4791" spans="2:15" x14ac:dyDescent="0.3">
      <c r="B4791" s="1" t="s">
        <v>23</v>
      </c>
      <c r="C4791" s="1" t="str">
        <f>"6차"</f>
        <v>6차</v>
      </c>
      <c r="D4791" s="1" t="str">
        <f>"0424P1316S"</f>
        <v>0424P1316S</v>
      </c>
      <c r="E4791" s="1" t="s">
        <v>10</v>
      </c>
      <c r="F4791" s="1" t="str">
        <f>"fde1:103:4:922c:0:0:0:2"</f>
        <v>fde1:103:4:922c:0:0:0:2</v>
      </c>
      <c r="G4791" s="1" t="str">
        <f>"0424P131"</f>
        <v>0424P131</v>
      </c>
      <c r="H4791" s="1" t="str">
        <f>"자양간 15R38"</f>
        <v>자양간 15R38</v>
      </c>
      <c r="I4791" s="1" t="s">
        <v>15</v>
      </c>
      <c r="J4791" s="1" t="str">
        <f>"72/73"</f>
        <v>72/73</v>
      </c>
      <c r="K4791" s="1" t="str">
        <f>"2026-07-29 14:20:47"</f>
        <v>2026-07-29 14:20:47</v>
      </c>
      <c r="L4791" s="1" t="str">
        <f>"2024-09-30 13:17:02"</f>
        <v>2024-09-30 13:17:02</v>
      </c>
      <c r="M4791" s="1" t="s">
        <v>4</v>
      </c>
      <c r="N4791" s="1" t="s">
        <v>38</v>
      </c>
      <c r="O4791" s="1" t="s">
        <v>46</v>
      </c>
    </row>
    <row r="4792" spans="2:15" x14ac:dyDescent="0.3">
      <c r="B4792" s="1" t="s">
        <v>23</v>
      </c>
      <c r="C4792" s="1" t="str">
        <f>"5-2차"</f>
        <v>5-2차</v>
      </c>
      <c r="D4792" s="1" t="str">
        <f>"0424P1425M"</f>
        <v>0424P1425M</v>
      </c>
      <c r="E4792" s="1" t="s">
        <v>10</v>
      </c>
      <c r="F4792" s="1" t="str">
        <f>"fde3:102:1440:2100:0:0:0:1c"</f>
        <v>fde3:102:1440:2100:0:0:0:1c</v>
      </c>
      <c r="G4792" s="1" t="str">
        <f>"0424P142"</f>
        <v>0424P142</v>
      </c>
      <c r="H4792" s="1" t="str">
        <f>"자양간 15R19L16L1"</f>
        <v>자양간 15R19L16L1</v>
      </c>
      <c r="I4792" s="1" t="s">
        <v>15</v>
      </c>
      <c r="J4792" s="1" t="str">
        <f>"54/54"</f>
        <v>54/54</v>
      </c>
      <c r="K4792" s="1" t="str">
        <f>"2026-07-29 14:21:07"</f>
        <v>2026-07-29 14:21:07</v>
      </c>
      <c r="L4792" s="1" t="str">
        <f>"2024-01-10 14:16:21"</f>
        <v>2024-01-10 14:16:21</v>
      </c>
      <c r="M4792" s="1" t="s">
        <v>45</v>
      </c>
      <c r="N4792" s="1" t="s">
        <v>38</v>
      </c>
      <c r="O4792" s="1" t="s">
        <v>46</v>
      </c>
    </row>
    <row r="4793" spans="2:15" x14ac:dyDescent="0.3">
      <c r="B4793" s="1" t="s">
        <v>23</v>
      </c>
      <c r="C4793" s="1" t="str">
        <f>"5-2차"</f>
        <v>5-2차</v>
      </c>
      <c r="D4793" s="1" t="str">
        <f>"0424P1615S"</f>
        <v>0424P1615S</v>
      </c>
      <c r="E4793" s="1" t="s">
        <v>10</v>
      </c>
      <c r="F4793" s="1" t="str">
        <f>"fde3:102:1440:2100:0:0:0:b"</f>
        <v>fde3:102:1440:2100:0:0:0:b</v>
      </c>
      <c r="G4793" s="1" t="str">
        <f>"0424P161"</f>
        <v>0424P161</v>
      </c>
      <c r="H4793" s="1" t="str">
        <f>"자양간 36R7L4"</f>
        <v>자양간 36R7L4</v>
      </c>
      <c r="I4793" s="1" t="s">
        <v>15</v>
      </c>
      <c r="J4793" s="1" t="str">
        <f>"65/65"</f>
        <v>65/65</v>
      </c>
      <c r="K4793" s="1" t="str">
        <f>"2026-07-29 14:21:07"</f>
        <v>2026-07-29 14:21:07</v>
      </c>
      <c r="L4793" s="1" t="str">
        <f>"2023-06-14 14:36:05"</f>
        <v>2023-06-14 14:36:05</v>
      </c>
      <c r="M4793" s="1" t="s">
        <v>45</v>
      </c>
      <c r="N4793" s="1" t="s">
        <v>38</v>
      </c>
      <c r="O4793" s="1" t="s">
        <v>46</v>
      </c>
    </row>
    <row r="4794" spans="2:15" x14ac:dyDescent="0.3">
      <c r="B4794" s="1" t="s">
        <v>23</v>
      </c>
      <c r="C4794" s="1" t="str">
        <f>"5-2차"</f>
        <v>5-2차</v>
      </c>
      <c r="D4794" s="1" t="str">
        <f>"0424P1815M"</f>
        <v>0424P1815M</v>
      </c>
      <c r="E4794" s="1" t="s">
        <v>10</v>
      </c>
      <c r="F4794" s="1" t="str">
        <f>"fde3:102:1440:2100:0:0:0:7"</f>
        <v>fde3:102:1440:2100:0:0:0:7</v>
      </c>
      <c r="G4794" s="1" t="str">
        <f>"0424P181"</f>
        <v>0424P181</v>
      </c>
      <c r="H4794" s="1" t="str">
        <f>"자양간 36R20L2L4"</f>
        <v>자양간 36R20L2L4</v>
      </c>
      <c r="I4794" s="1" t="s">
        <v>15</v>
      </c>
      <c r="J4794" s="1" t="str">
        <f>"63/63"</f>
        <v>63/63</v>
      </c>
      <c r="K4794" s="1" t="str">
        <f>"2026-07-29 14:21:07"</f>
        <v>2026-07-29 14:21:07</v>
      </c>
      <c r="L4794" s="1" t="str">
        <f>"2023-06-19 18:04:23"</f>
        <v>2023-06-19 18:04:23</v>
      </c>
      <c r="M4794" s="1" t="s">
        <v>45</v>
      </c>
      <c r="N4794" s="1" t="s">
        <v>38</v>
      </c>
      <c r="O4794" s="1" t="s">
        <v>46</v>
      </c>
    </row>
    <row r="4795" spans="2:15" x14ac:dyDescent="0.3">
      <c r="B4795" s="1" t="s">
        <v>23</v>
      </c>
      <c r="C4795" s="1" t="str">
        <f>"3차"</f>
        <v>3차</v>
      </c>
      <c r="D4795" s="1" t="str">
        <f>"0424P19139"</f>
        <v>0424P19139</v>
      </c>
      <c r="E4795" s="1" t="s">
        <v>10</v>
      </c>
      <c r="F4795" s="1" t="str">
        <f>"10.11.61.114"</f>
        <v>10.11.61.114</v>
      </c>
      <c r="G4795" s="1" t="str">
        <f>"0424P191"</f>
        <v>0424P191</v>
      </c>
      <c r="H4795" s="1" t="str">
        <f>"자양간 36R14"</f>
        <v>자양간 36R14</v>
      </c>
      <c r="I4795" s="1" t="s">
        <v>8</v>
      </c>
      <c r="J4795" s="1" t="str">
        <f>"56/56"</f>
        <v>56/56</v>
      </c>
      <c r="K4795" s="1" t="str">
        <f>"2026-07-29 13:18:03"</f>
        <v>2026-07-29 13:18:03</v>
      </c>
      <c r="L4795" s="1" t="str">
        <f>"2018-05-02 09:18:40"</f>
        <v>2018-05-02 09:18:40</v>
      </c>
      <c r="M4795" s="1" t="s">
        <v>2</v>
      </c>
      <c r="N4795" s="1" t="s">
        <v>38</v>
      </c>
      <c r="O4795" s="1" t="s">
        <v>46</v>
      </c>
    </row>
    <row r="4796" spans="2:15" x14ac:dyDescent="0.3">
      <c r="B4796" s="1" t="s">
        <v>23</v>
      </c>
      <c r="C4796" s="1" t="str">
        <f>"6차"</f>
        <v>6차</v>
      </c>
      <c r="D4796" s="1" t="str">
        <f>"0424P2016S"</f>
        <v>0424P2016S</v>
      </c>
      <c r="E4796" s="1" t="s">
        <v>10</v>
      </c>
      <c r="F4796" s="1" t="str">
        <f>"fde1:103:4:9354:0:0:0:2"</f>
        <v>fde1:103:4:9354:0:0:0:2</v>
      </c>
      <c r="G4796" s="1" t="str">
        <f>"0424P201"</f>
        <v>0424P201</v>
      </c>
      <c r="H4796" s="1" t="str">
        <f>"자양간 50R15R3"</f>
        <v>자양간 50R15R3</v>
      </c>
      <c r="I4796" s="1" t="s">
        <v>15</v>
      </c>
      <c r="J4796" s="1" t="str">
        <f>"77/94"</f>
        <v>77/94</v>
      </c>
      <c r="K4796" s="1" t="str">
        <f>"2026-07-29 14:21:08"</f>
        <v>2026-07-29 14:21:08</v>
      </c>
      <c r="L4796" s="1" t="str">
        <f>"2025-02-05 16:32:33"</f>
        <v>2025-02-05 16:32:33</v>
      </c>
      <c r="M4796" s="1" t="s">
        <v>4</v>
      </c>
      <c r="N4796" s="1" t="s">
        <v>38</v>
      </c>
      <c r="O4796" s="1" t="s">
        <v>46</v>
      </c>
    </row>
    <row r="4797" spans="2:15" x14ac:dyDescent="0.3">
      <c r="B4797" s="1" t="s">
        <v>23</v>
      </c>
      <c r="C4797" s="1" t="str">
        <f>"5-1차"</f>
        <v>5-1차</v>
      </c>
      <c r="D4797" s="1" t="str">
        <f>"0424P2115S"</f>
        <v>0424P2115S</v>
      </c>
      <c r="E4797" s="1" t="s">
        <v>10</v>
      </c>
      <c r="F4797" s="1" t="str">
        <f>"fde3:102:1440:2100:0:0:0:5"</f>
        <v>fde3:102:1440:2100:0:0:0:5</v>
      </c>
      <c r="G4797" s="1" t="str">
        <f>"0424P211"</f>
        <v>0424P211</v>
      </c>
      <c r="H4797" s="1" t="str">
        <f>"자양간 50R11R2L4"</f>
        <v>자양간 50R11R2L4</v>
      </c>
      <c r="I4797" s="1" t="s">
        <v>15</v>
      </c>
      <c r="J4797" s="1" t="str">
        <f>"65/65"</f>
        <v>65/65</v>
      </c>
      <c r="K4797" s="1" t="str">
        <f>"2026-07-29 14:21:08"</f>
        <v>2026-07-29 14:21:08</v>
      </c>
      <c r="L4797" s="1" t="str">
        <f>"2022-10-24 15:02:12"</f>
        <v>2022-10-24 15:02:12</v>
      </c>
      <c r="M4797" s="1" t="s">
        <v>45</v>
      </c>
      <c r="N4797" s="1" t="s">
        <v>38</v>
      </c>
      <c r="O4797" s="1" t="s">
        <v>46</v>
      </c>
    </row>
    <row r="4798" spans="2:15" x14ac:dyDescent="0.3">
      <c r="B4798" s="1" t="s">
        <v>23</v>
      </c>
      <c r="C4798" s="1" t="str">
        <f>"5-2차"</f>
        <v>5-2차</v>
      </c>
      <c r="D4798" s="1" t="str">
        <f>"0424P2315M"</f>
        <v>0424P2315M</v>
      </c>
      <c r="E4798" s="1" t="s">
        <v>10</v>
      </c>
      <c r="F4798" s="1" t="str">
        <f>"fde1:103:4:9425:0:0:0:2"</f>
        <v>fde1:103:4:9425:0:0:0:2</v>
      </c>
      <c r="G4798" s="1" t="str">
        <f>"0424P231"</f>
        <v>0424P231</v>
      </c>
      <c r="H4798" s="1" t="str">
        <f>"자양간 15R19L18"</f>
        <v>자양간 15R19L18</v>
      </c>
      <c r="I4798" s="1" t="s">
        <v>15</v>
      </c>
      <c r="J4798" s="1" t="str">
        <f>"37/37"</f>
        <v>37/37</v>
      </c>
      <c r="K4798" s="1" t="str">
        <f>"2026-07-29 14:20:29"</f>
        <v>2026-07-29 14:20:29</v>
      </c>
      <c r="L4798" s="1" t="str">
        <f>"2023-12-15 14:16:18"</f>
        <v>2023-12-15 14:16:18</v>
      </c>
      <c r="M4798" s="1" t="s">
        <v>4</v>
      </c>
      <c r="N4798" s="1" t="s">
        <v>38</v>
      </c>
      <c r="O4798" s="1" t="s">
        <v>46</v>
      </c>
    </row>
    <row r="4799" spans="2:15" x14ac:dyDescent="0.3">
      <c r="B4799" s="1" t="s">
        <v>23</v>
      </c>
      <c r="C4799" s="1" t="str">
        <f>"3차"</f>
        <v>3차</v>
      </c>
      <c r="D4799" s="1" t="str">
        <f>"0424P27139"</f>
        <v>0424P27139</v>
      </c>
      <c r="E4799" s="1" t="s">
        <v>10</v>
      </c>
      <c r="F4799" s="1" t="str">
        <f>"10.11.61.138"</f>
        <v>10.11.61.138</v>
      </c>
      <c r="G4799" s="1" t="str">
        <f>"0424P271"</f>
        <v>0424P271</v>
      </c>
      <c r="H4799" s="1" t="str">
        <f>"자양간 36R7L3"</f>
        <v>자양간 36R7L3</v>
      </c>
      <c r="I4799" s="1" t="s">
        <v>8</v>
      </c>
      <c r="J4799" s="1" t="str">
        <f>"69/72"</f>
        <v>69/72</v>
      </c>
      <c r="K4799" s="1" t="str">
        <f>"2026-07-29 13:18:03"</f>
        <v>2026-07-29 13:18:03</v>
      </c>
      <c r="L4799" s="1" t="str">
        <f>"2018-04-27 14:54:27"</f>
        <v>2018-04-27 14:54:27</v>
      </c>
      <c r="M4799" s="1" t="s">
        <v>2</v>
      </c>
      <c r="N4799" s="1" t="s">
        <v>38</v>
      </c>
      <c r="O4799" s="1" t="s">
        <v>46</v>
      </c>
    </row>
    <row r="4800" spans="2:15" x14ac:dyDescent="0.3">
      <c r="B4800" s="1" t="s">
        <v>23</v>
      </c>
      <c r="C4800" s="1" t="str">
        <f>"3차"</f>
        <v>3차</v>
      </c>
      <c r="D4800" s="1" t="str">
        <f>"0424P29131"</f>
        <v>0424P29131</v>
      </c>
      <c r="E4800" s="1" t="s">
        <v>10</v>
      </c>
      <c r="F4800" s="1" t="str">
        <f>"10.11.54.163"</f>
        <v>10.11.54.163</v>
      </c>
      <c r="G4800" s="1" t="str">
        <f>"0424P291"</f>
        <v>0424P291</v>
      </c>
      <c r="H4800" s="1" t="str">
        <f>"자양간 36R9L2"</f>
        <v>자양간 36R9L2</v>
      </c>
      <c r="I4800" s="1" t="s">
        <v>8</v>
      </c>
      <c r="J4800" s="1" t="str">
        <f>"27/27"</f>
        <v>27/27</v>
      </c>
      <c r="K4800" s="1" t="str">
        <f>"2026-07-29 13:18:03"</f>
        <v>2026-07-29 13:18:03</v>
      </c>
      <c r="L4800" s="1" t="str">
        <f>"2018-06-01 16:29:57"</f>
        <v>2018-06-01 16:29:57</v>
      </c>
      <c r="M4800" s="1" t="s">
        <v>2</v>
      </c>
      <c r="N4800" s="1" t="s">
        <v>38</v>
      </c>
      <c r="O4800" s="1" t="s">
        <v>46</v>
      </c>
    </row>
    <row r="4801" spans="2:15" x14ac:dyDescent="0.3">
      <c r="B4801" s="1" t="s">
        <v>23</v>
      </c>
      <c r="C4801" s="1" t="str">
        <f>"1차"</f>
        <v>1차</v>
      </c>
      <c r="D4801" s="1" t="str">
        <f>"0424P31100"</f>
        <v>0424P31100</v>
      </c>
      <c r="E4801" s="1" t="s">
        <v>10</v>
      </c>
      <c r="F4801" s="1" t="str">
        <f>"10.125.3.106"</f>
        <v>10.125.3.106</v>
      </c>
      <c r="G4801" s="1" t="str">
        <f>"0424P311"</f>
        <v>0424P311</v>
      </c>
      <c r="H4801" s="1" t="str">
        <f>"자양간 50R11R2L2"</f>
        <v>자양간 50R11R2L2</v>
      </c>
      <c r="I4801" s="1" t="s">
        <v>8</v>
      </c>
      <c r="J4801" s="1" t="str">
        <f>"93/93"</f>
        <v>93/93</v>
      </c>
      <c r="K4801" s="1" t="str">
        <f>"2026-07-29 13:18:03"</f>
        <v>2026-07-29 13:18:03</v>
      </c>
      <c r="L4801" s="1" t="str">
        <f>"2014-12-06 11:13:06"</f>
        <v>2014-12-06 11:13:06</v>
      </c>
      <c r="M4801" s="1" t="s">
        <v>45</v>
      </c>
      <c r="N4801" s="1" t="s">
        <v>38</v>
      </c>
      <c r="O4801" s="1" t="s">
        <v>46</v>
      </c>
    </row>
    <row r="4802" spans="2:15" x14ac:dyDescent="0.3">
      <c r="B4802" s="1" t="s">
        <v>23</v>
      </c>
      <c r="C4802" s="1" t="str">
        <f>"5-2차"</f>
        <v>5-2차</v>
      </c>
      <c r="D4802" s="1" t="str">
        <f>"0424P3515S"</f>
        <v>0424P3515S</v>
      </c>
      <c r="E4802" s="1" t="s">
        <v>10</v>
      </c>
      <c r="F4802" s="1" t="str">
        <f>"fde3:102:1440:2100:0:0:0:e"</f>
        <v>fde3:102:1440:2100:0:0:0:e</v>
      </c>
      <c r="G4802" s="1" t="str">
        <f>"0424P351"</f>
        <v>0424P351</v>
      </c>
      <c r="H4802" s="1" t="str">
        <f>"자양간 36R7A5R4R2"</f>
        <v>자양간 36R7A5R4R2</v>
      </c>
      <c r="I4802" s="1" t="s">
        <v>15</v>
      </c>
      <c r="J4802" s="1" t="str">
        <f>"50/50"</f>
        <v>50/50</v>
      </c>
      <c r="K4802" s="1" t="str">
        <f>"2026-07-29 14:21:07"</f>
        <v>2026-07-29 14:21:07</v>
      </c>
      <c r="L4802" s="1" t="str">
        <f>"2023-06-27 14:55:39"</f>
        <v>2023-06-27 14:55:39</v>
      </c>
      <c r="M4802" s="1" t="s">
        <v>45</v>
      </c>
      <c r="N4802" s="1" t="s">
        <v>38</v>
      </c>
      <c r="O4802" s="1" t="s">
        <v>46</v>
      </c>
    </row>
    <row r="4803" spans="2:15" x14ac:dyDescent="0.3">
      <c r="B4803" s="1" t="s">
        <v>23</v>
      </c>
      <c r="C4803" s="1" t="str">
        <f>"5-2차"</f>
        <v>5-2차</v>
      </c>
      <c r="D4803" s="1" t="str">
        <f>"0424P3525S"</f>
        <v>0424P3525S</v>
      </c>
      <c r="E4803" s="1" t="s">
        <v>10</v>
      </c>
      <c r="F4803" s="1" t="str">
        <f>"fde3:102:1440:2100:0:0:0:6"</f>
        <v>fde3:102:1440:2100:0:0:0:6</v>
      </c>
      <c r="G4803" s="1" t="str">
        <f>"0424P352"</f>
        <v>0424P352</v>
      </c>
      <c r="H4803" s="1" t="str">
        <f>"자양간 36R7A5R4R3"</f>
        <v>자양간 36R7A5R4R3</v>
      </c>
      <c r="I4803" s="1" t="s">
        <v>15</v>
      </c>
      <c r="J4803" s="1" t="str">
        <f>"58/58"</f>
        <v>58/58</v>
      </c>
      <c r="K4803" s="1" t="str">
        <f>"2026-07-29 14:21:08"</f>
        <v>2026-07-29 14:21:08</v>
      </c>
      <c r="L4803" s="1" t="str">
        <f>"2023-06-23 16:32:51"</f>
        <v>2023-06-23 16:32:51</v>
      </c>
      <c r="M4803" s="1" t="s">
        <v>45</v>
      </c>
      <c r="N4803" s="1" t="s">
        <v>38</v>
      </c>
      <c r="O4803" s="1" t="s">
        <v>46</v>
      </c>
    </row>
    <row r="4804" spans="2:15" x14ac:dyDescent="0.3">
      <c r="B4804" s="1" t="s">
        <v>23</v>
      </c>
      <c r="C4804" s="1" t="str">
        <f>"3차"</f>
        <v>3차</v>
      </c>
      <c r="D4804" s="1" t="str">
        <f>"0424P36139"</f>
        <v>0424P36139</v>
      </c>
      <c r="E4804" s="1" t="s">
        <v>10</v>
      </c>
      <c r="F4804" s="1" t="str">
        <f>"10.11.54.194"</f>
        <v>10.11.54.194</v>
      </c>
      <c r="G4804" s="1" t="str">
        <f>"0424P361"</f>
        <v>0424P361</v>
      </c>
      <c r="H4804" s="1" t="str">
        <f>"자양간 36R7A5R3R2"</f>
        <v>자양간 36R7A5R3R2</v>
      </c>
      <c r="I4804" s="1" t="s">
        <v>8</v>
      </c>
      <c r="J4804" s="1" t="str">
        <f>"139/158"</f>
        <v>139/158</v>
      </c>
      <c r="K4804" s="1" t="str">
        <f>"2026-07-29 13:18:03"</f>
        <v>2026-07-29 13:18:03</v>
      </c>
      <c r="L4804" s="1" t="str">
        <f>"2018-05-09 11:17:11"</f>
        <v>2018-05-09 11:17:11</v>
      </c>
      <c r="M4804" s="1" t="s">
        <v>2</v>
      </c>
      <c r="N4804" s="1" t="s">
        <v>38</v>
      </c>
      <c r="O4804" s="1" t="s">
        <v>46</v>
      </c>
    </row>
    <row r="4805" spans="2:15" x14ac:dyDescent="0.3">
      <c r="B4805" s="1" t="s">
        <v>23</v>
      </c>
      <c r="C4805" s="1" t="str">
        <f>"3차"</f>
        <v>3차</v>
      </c>
      <c r="D4805" s="1" t="str">
        <f>"0424P38139"</f>
        <v>0424P38139</v>
      </c>
      <c r="E4805" s="1" t="s">
        <v>10</v>
      </c>
      <c r="F4805" s="1" t="str">
        <f>"10.11.61.130"</f>
        <v>10.11.61.130</v>
      </c>
      <c r="G4805" s="1" t="str">
        <f>"0424P381"</f>
        <v>0424P381</v>
      </c>
      <c r="H4805" s="1" t="str">
        <f>"자양간 36R7L1"</f>
        <v>자양간 36R7L1</v>
      </c>
      <c r="I4805" s="1" t="s">
        <v>8</v>
      </c>
      <c r="J4805" s="1" t="str">
        <f>"71/71"</f>
        <v>71/71</v>
      </c>
      <c r="K4805" s="1" t="str">
        <f>"2026-07-29 13:18:04"</f>
        <v>2026-07-29 13:18:04</v>
      </c>
      <c r="L4805" s="1" t="str">
        <f>"2018-04-27 15:09:57"</f>
        <v>2018-04-27 15:09:57</v>
      </c>
      <c r="M4805" s="1" t="s">
        <v>2</v>
      </c>
      <c r="N4805" s="1" t="s">
        <v>38</v>
      </c>
      <c r="O4805" s="1" t="s">
        <v>46</v>
      </c>
    </row>
    <row r="4806" spans="2:15" x14ac:dyDescent="0.3">
      <c r="B4806" s="1" t="s">
        <v>23</v>
      </c>
      <c r="C4806" s="1" t="str">
        <f>"3차"</f>
        <v>3차</v>
      </c>
      <c r="D4806" s="1" t="str">
        <f>"0424P38239"</f>
        <v>0424P38239</v>
      </c>
      <c r="E4806" s="1" t="s">
        <v>10</v>
      </c>
      <c r="F4806" s="1" t="str">
        <f>"10.11.54.146"</f>
        <v>10.11.54.146</v>
      </c>
      <c r="G4806" s="1" t="str">
        <f>"0424P382"</f>
        <v>0424P382</v>
      </c>
      <c r="H4806" s="1" t="str">
        <f>"자양간 36R7L2"</f>
        <v>자양간 36R7L2</v>
      </c>
      <c r="I4806" s="1" t="s">
        <v>8</v>
      </c>
      <c r="J4806" s="1" t="str">
        <f>"66/66"</f>
        <v>66/66</v>
      </c>
      <c r="K4806" s="1" t="str">
        <f>"2026-07-29 13:18:03"</f>
        <v>2026-07-29 13:18:03</v>
      </c>
      <c r="L4806" s="1" t="str">
        <f>"2018-04-27 15:02:58"</f>
        <v>2018-04-27 15:02:58</v>
      </c>
      <c r="M4806" s="1" t="s">
        <v>2</v>
      </c>
      <c r="N4806" s="1" t="s">
        <v>38</v>
      </c>
      <c r="O4806" s="1" t="s">
        <v>46</v>
      </c>
    </row>
    <row r="4807" spans="2:15" x14ac:dyDescent="0.3">
      <c r="B4807" s="1" t="s">
        <v>23</v>
      </c>
      <c r="C4807" s="1" t="str">
        <f>"3차"</f>
        <v>3차</v>
      </c>
      <c r="D4807" s="1" t="str">
        <f>"0424P39139"</f>
        <v>0424P39139</v>
      </c>
      <c r="E4807" s="1" t="s">
        <v>10</v>
      </c>
      <c r="F4807" s="1" t="str">
        <f>"10.11.54.154"</f>
        <v>10.11.54.154</v>
      </c>
      <c r="G4807" s="1" t="str">
        <f>"0424P391"</f>
        <v>0424P391</v>
      </c>
      <c r="H4807" s="1" t="str">
        <f>"자양간 36R8"</f>
        <v>자양간 36R8</v>
      </c>
      <c r="I4807" s="1" t="s">
        <v>8</v>
      </c>
      <c r="J4807" s="1" t="str">
        <f>"61/62"</f>
        <v>61/62</v>
      </c>
      <c r="K4807" s="1" t="str">
        <f>"2026-07-29 13:18:02"</f>
        <v>2026-07-29 13:18:02</v>
      </c>
      <c r="L4807" s="1" t="str">
        <f>"2018-05-04 09:59:11"</f>
        <v>2018-05-04 09:59:11</v>
      </c>
      <c r="M4807" s="1" t="s">
        <v>2</v>
      </c>
      <c r="N4807" s="1" t="s">
        <v>38</v>
      </c>
      <c r="O4807" s="1" t="s">
        <v>46</v>
      </c>
    </row>
    <row r="4808" spans="2:15" x14ac:dyDescent="0.3">
      <c r="B4808" s="1" t="s">
        <v>23</v>
      </c>
      <c r="C4808" s="1" t="str">
        <f>"3차"</f>
        <v>3차</v>
      </c>
      <c r="D4808" s="1" t="str">
        <f>"0424P39230"</f>
        <v>0424P39230</v>
      </c>
      <c r="E4808" s="1" t="s">
        <v>10</v>
      </c>
      <c r="F4808" s="1" t="str">
        <f>"10.11.54.162"</f>
        <v>10.11.54.162</v>
      </c>
      <c r="G4808" s="1" t="str">
        <f>"0424P392"</f>
        <v>0424P392</v>
      </c>
      <c r="H4808" s="1" t="str">
        <f>"자양간 36R9L1"</f>
        <v>자양간 36R9L1</v>
      </c>
      <c r="I4808" s="1" t="s">
        <v>8</v>
      </c>
      <c r="J4808" s="1" t="str">
        <f>"48/48"</f>
        <v>48/48</v>
      </c>
      <c r="K4808" s="1" t="str">
        <f>"2026-07-29 13:18:03"</f>
        <v>2026-07-29 13:18:03</v>
      </c>
      <c r="L4808" s="1" t="str">
        <f>"2018-05-09 11:10:24"</f>
        <v>2018-05-09 11:10:24</v>
      </c>
      <c r="M4808" s="1" t="s">
        <v>2</v>
      </c>
      <c r="N4808" s="1" t="s">
        <v>38</v>
      </c>
      <c r="O4808" s="1" t="s">
        <v>46</v>
      </c>
    </row>
    <row r="4809" spans="2:15" x14ac:dyDescent="0.3">
      <c r="B4809" s="1" t="s">
        <v>23</v>
      </c>
      <c r="C4809" s="1" t="str">
        <f>"1차"</f>
        <v>1차</v>
      </c>
      <c r="D4809" s="1" t="str">
        <f>"0424P40101"</f>
        <v>0424P40101</v>
      </c>
      <c r="E4809" s="1" t="s">
        <v>10</v>
      </c>
      <c r="F4809" s="1" t="str">
        <f>"10.12.134.162"</f>
        <v>10.12.134.162</v>
      </c>
      <c r="G4809" s="1" t="str">
        <f>"0424P401"</f>
        <v>0424P401</v>
      </c>
      <c r="H4809" s="1" t="str">
        <f>"자양간 50R11R2"</f>
        <v>자양간 50R11R2</v>
      </c>
      <c r="I4809" s="1" t="s">
        <v>8</v>
      </c>
      <c r="J4809" s="1" t="str">
        <f>"119/120"</f>
        <v>119/120</v>
      </c>
      <c r="K4809" s="1" t="str">
        <f>"2026-07-29 13:18:04"</f>
        <v>2026-07-29 13:18:04</v>
      </c>
      <c r="L4809" s="1" t="str">
        <f>"2014-12-09 16:28:18"</f>
        <v>2014-12-09 16:28:18</v>
      </c>
      <c r="M4809" s="1" t="s">
        <v>0</v>
      </c>
      <c r="N4809" s="1" t="s">
        <v>38</v>
      </c>
      <c r="O4809" s="1" t="s">
        <v>46</v>
      </c>
    </row>
    <row r="4810" spans="2:15" x14ac:dyDescent="0.3">
      <c r="B4810" s="1" t="s">
        <v>23</v>
      </c>
      <c r="C4810" s="1" t="str">
        <f>"1차"</f>
        <v>1차</v>
      </c>
      <c r="D4810" s="1" t="str">
        <f>"0424P41201"</f>
        <v>0424P41201</v>
      </c>
      <c r="E4810" s="1" t="s">
        <v>10</v>
      </c>
      <c r="F4810" s="1" t="str">
        <f>"10.12.134.112"</f>
        <v>10.12.134.112</v>
      </c>
      <c r="G4810" s="1" t="str">
        <f>"0424P412"</f>
        <v>0424P412</v>
      </c>
      <c r="H4810" s="1" t="str">
        <f>"자양간 50R11R4"</f>
        <v>자양간 50R11R4</v>
      </c>
      <c r="I4810" s="1" t="s">
        <v>8</v>
      </c>
      <c r="J4810" s="1" t="str">
        <f>"32/32"</f>
        <v>32/32</v>
      </c>
      <c r="K4810" s="1" t="str">
        <f>"2026-07-29 13:18:02"</f>
        <v>2026-07-29 13:18:02</v>
      </c>
      <c r="L4810" s="1" t="str">
        <f>"2015-01-22 16:12:11"</f>
        <v>2015-01-22 16:12:11</v>
      </c>
      <c r="M4810" s="1" t="s">
        <v>0</v>
      </c>
      <c r="N4810" s="1" t="s">
        <v>38</v>
      </c>
      <c r="O4810" s="1" t="s">
        <v>46</v>
      </c>
    </row>
    <row r="4811" spans="2:15" x14ac:dyDescent="0.3">
      <c r="B4811" s="1" t="s">
        <v>23</v>
      </c>
      <c r="C4811" s="1" t="str">
        <f>"1차"</f>
        <v>1차</v>
      </c>
      <c r="D4811" s="1" t="str">
        <f>"0424P42300"</f>
        <v>0424P42300</v>
      </c>
      <c r="E4811" s="1" t="s">
        <v>10</v>
      </c>
      <c r="F4811" s="1" t="str">
        <f>"10.125.3.114"</f>
        <v>10.125.3.114</v>
      </c>
      <c r="G4811" s="1" t="str">
        <f>"0424P423"</f>
        <v>0424P423</v>
      </c>
      <c r="H4811" s="1" t="str">
        <f>"자양간 50R11R5"</f>
        <v>자양간 50R11R5</v>
      </c>
      <c r="I4811" s="1" t="s">
        <v>8</v>
      </c>
      <c r="J4811" s="1" t="str">
        <f>"103/103"</f>
        <v>103/103</v>
      </c>
      <c r="K4811" s="1" t="str">
        <f>"2026-07-29 13:18:03"</f>
        <v>2026-07-29 13:18:03</v>
      </c>
      <c r="L4811" s="1" t="str">
        <f>"2014-12-06 10:58:25"</f>
        <v>2014-12-06 10:58:25</v>
      </c>
      <c r="M4811" s="1" t="s">
        <v>45</v>
      </c>
      <c r="N4811" s="1" t="s">
        <v>38</v>
      </c>
      <c r="O4811" s="1" t="s">
        <v>46</v>
      </c>
    </row>
    <row r="4812" spans="2:15" x14ac:dyDescent="0.3">
      <c r="B4812" s="1" t="s">
        <v>23</v>
      </c>
      <c r="C4812" s="1" t="str">
        <f>"5-2차"</f>
        <v>5-2차</v>
      </c>
      <c r="D4812" s="1" t="str">
        <f>"0424P4415S"</f>
        <v>0424P4415S</v>
      </c>
      <c r="E4812" s="1" t="s">
        <v>10</v>
      </c>
      <c r="F4812" s="1" t="str">
        <f>"fde3:102:1440:2100:0:0:0:d"</f>
        <v>fde3:102:1440:2100:0:0:0:d</v>
      </c>
      <c r="G4812" s="1" t="str">
        <f>"0424P441"</f>
        <v>0424P441</v>
      </c>
      <c r="H4812" s="1" t="str">
        <f>"자양간 36R7A5R5"</f>
        <v>자양간 36R7A5R5</v>
      </c>
      <c r="I4812" s="1" t="s">
        <v>15</v>
      </c>
      <c r="J4812" s="1" t="str">
        <f>"38/38"</f>
        <v>38/38</v>
      </c>
      <c r="K4812" s="1" t="str">
        <f>"2026-07-29 14:20:29"</f>
        <v>2026-07-29 14:20:29</v>
      </c>
      <c r="L4812" s="1" t="str">
        <f>"2023-09-22 14:31:13"</f>
        <v>2023-09-22 14:31:13</v>
      </c>
      <c r="M4812" s="1" t="s">
        <v>45</v>
      </c>
      <c r="N4812" s="1" t="s">
        <v>38</v>
      </c>
      <c r="O4812" s="1" t="s">
        <v>46</v>
      </c>
    </row>
    <row r="4813" spans="2:15" x14ac:dyDescent="0.3">
      <c r="B4813" s="1" t="s">
        <v>23</v>
      </c>
      <c r="C4813" s="1" t="str">
        <f>"5-2차"</f>
        <v>5-2차</v>
      </c>
      <c r="D4813" s="1" t="str">
        <f>"0424P4525M"</f>
        <v>0424P4525M</v>
      </c>
      <c r="E4813" s="1" t="s">
        <v>10</v>
      </c>
      <c r="F4813" s="1" t="str">
        <f>"fde3:102:1440:2100:0:0:0:c"</f>
        <v>fde3:102:1440:2100:0:0:0:c</v>
      </c>
      <c r="G4813" s="1" t="str">
        <f>"0424P452"</f>
        <v>0424P452</v>
      </c>
      <c r="H4813" s="1" t="str">
        <f>"자양간 36R7A5R4"</f>
        <v>자양간 36R7A5R4</v>
      </c>
      <c r="I4813" s="1" t="s">
        <v>15</v>
      </c>
      <c r="J4813" s="1" t="str">
        <f>"74/74"</f>
        <v>74/74</v>
      </c>
      <c r="K4813" s="1" t="str">
        <f>"2026-07-29 14:20:49"</f>
        <v>2026-07-29 14:20:49</v>
      </c>
      <c r="L4813" s="1" t="str">
        <f>"2023-06-26 15:09:33"</f>
        <v>2023-06-26 15:09:33</v>
      </c>
      <c r="M4813" s="1" t="s">
        <v>45</v>
      </c>
      <c r="N4813" s="1" t="s">
        <v>38</v>
      </c>
      <c r="O4813" s="1" t="s">
        <v>46</v>
      </c>
    </row>
    <row r="4814" spans="2:15" x14ac:dyDescent="0.3">
      <c r="B4814" s="1" t="s">
        <v>23</v>
      </c>
      <c r="C4814" s="1" t="str">
        <f>"3차"</f>
        <v>3차</v>
      </c>
      <c r="D4814" s="1" t="str">
        <f>"0424P46139"</f>
        <v>0424P46139</v>
      </c>
      <c r="E4814" s="1" t="s">
        <v>10</v>
      </c>
      <c r="F4814" s="1" t="str">
        <f>"10.11.61.170"</f>
        <v>10.11.61.170</v>
      </c>
      <c r="G4814" s="1" t="str">
        <f>"0424P461"</f>
        <v>0424P461</v>
      </c>
      <c r="H4814" s="1" t="str">
        <f>"자양간 36R7A5R2R1"</f>
        <v>자양간 36R7A5R2R1</v>
      </c>
      <c r="I4814" s="1" t="s">
        <v>8</v>
      </c>
      <c r="J4814" s="1" t="str">
        <f>"65/65"</f>
        <v>65/65</v>
      </c>
      <c r="K4814" s="1" t="str">
        <f>"2026-07-29 13:18:03"</f>
        <v>2026-07-29 13:18:03</v>
      </c>
      <c r="L4814" s="1" t="str">
        <f>"2018-06-14 11:03:55"</f>
        <v>2018-06-14 11:03:55</v>
      </c>
      <c r="M4814" s="1" t="s">
        <v>2</v>
      </c>
      <c r="N4814" s="1" t="s">
        <v>38</v>
      </c>
      <c r="O4814" s="1" t="s">
        <v>46</v>
      </c>
    </row>
    <row r="4815" spans="2:15" x14ac:dyDescent="0.3">
      <c r="B4815" s="1" t="s">
        <v>23</v>
      </c>
      <c r="C4815" s="1" t="str">
        <f>"5-2차"</f>
        <v>5-2차</v>
      </c>
      <c r="D4815" s="1" t="str">
        <f>"0424P4625M"</f>
        <v>0424P4625M</v>
      </c>
      <c r="E4815" s="1" t="s">
        <v>10</v>
      </c>
      <c r="F4815" s="1" t="str">
        <f>"fde3:102:1440:2100:0:0:0:f"</f>
        <v>fde3:102:1440:2100:0:0:0:f</v>
      </c>
      <c r="G4815" s="1" t="str">
        <f>"0424P462"</f>
        <v>0424P462</v>
      </c>
      <c r="H4815" s="1" t="str">
        <f>"자양간 36R7A5R2"</f>
        <v>자양간 36R7A5R2</v>
      </c>
      <c r="I4815" s="1" t="s">
        <v>15</v>
      </c>
      <c r="J4815" s="1" t="str">
        <f>"45/45"</f>
        <v>45/45</v>
      </c>
      <c r="K4815" s="1" t="str">
        <f>"2026-07-29 14:21:07"</f>
        <v>2026-07-29 14:21:07</v>
      </c>
      <c r="L4815" s="1" t="str">
        <f>"2023-10-11 10:30:59"</f>
        <v>2023-10-11 10:30:59</v>
      </c>
      <c r="M4815" s="1" t="s">
        <v>45</v>
      </c>
      <c r="N4815" s="1" t="s">
        <v>38</v>
      </c>
      <c r="O4815" s="1" t="s">
        <v>46</v>
      </c>
    </row>
    <row r="4816" spans="2:15" x14ac:dyDescent="0.3">
      <c r="B4816" s="1" t="s">
        <v>23</v>
      </c>
      <c r="C4816" s="1" t="str">
        <f>"4차"</f>
        <v>4차</v>
      </c>
      <c r="D4816" s="1" t="str">
        <f>"0424P47139"</f>
        <v>0424P47139</v>
      </c>
      <c r="E4816" s="1" t="s">
        <v>10</v>
      </c>
      <c r="F4816" s="1" t="str">
        <f>"10.11.61.178"</f>
        <v>10.11.61.178</v>
      </c>
      <c r="G4816" s="1" t="str">
        <f>"0424P471"</f>
        <v>0424P471</v>
      </c>
      <c r="H4816" s="1" t="str">
        <f>"자양간 36R7A5R3R4"</f>
        <v>자양간 36R7A5R3R4</v>
      </c>
      <c r="I4816" s="1" t="s">
        <v>8</v>
      </c>
      <c r="J4816" s="1" t="str">
        <f>"128/128"</f>
        <v>128/128</v>
      </c>
      <c r="K4816" s="1" t="str">
        <f>"2026-07-29 13:18:02"</f>
        <v>2026-07-29 13:18:02</v>
      </c>
      <c r="L4816" s="1" t="str">
        <f>"2018-05-09 11:19:41"</f>
        <v>2018-05-09 11:19:41</v>
      </c>
      <c r="M4816" s="1" t="s">
        <v>2</v>
      </c>
      <c r="N4816" s="1" t="s">
        <v>38</v>
      </c>
      <c r="O4816" s="1" t="s">
        <v>46</v>
      </c>
    </row>
    <row r="4817" spans="2:15" x14ac:dyDescent="0.3">
      <c r="B4817" s="1" t="s">
        <v>23</v>
      </c>
      <c r="C4817" s="1" t="str">
        <f>"3차"</f>
        <v>3차</v>
      </c>
      <c r="D4817" s="1" t="str">
        <f>"0424P48439"</f>
        <v>0424P48439</v>
      </c>
      <c r="E4817" s="1" t="s">
        <v>10</v>
      </c>
      <c r="F4817" s="1" t="str">
        <f>"10.11.61.122"</f>
        <v>10.11.61.122</v>
      </c>
      <c r="G4817" s="1" t="str">
        <f>"0424P484"</f>
        <v>0424P484</v>
      </c>
      <c r="H4817" s="1" t="str">
        <f>"자양간 36R7A2"</f>
        <v>자양간 36R7A2</v>
      </c>
      <c r="I4817" s="1" t="s">
        <v>8</v>
      </c>
      <c r="J4817" s="1" t="str">
        <f>"44/51"</f>
        <v>44/51</v>
      </c>
      <c r="K4817" s="1" t="str">
        <f>"2026-07-29 13:18:03"</f>
        <v>2026-07-29 13:18:03</v>
      </c>
      <c r="L4817" s="1" t="str">
        <f>"2021-07-27 13:42:02"</f>
        <v>2021-07-27 13:42:02</v>
      </c>
      <c r="M4817" s="1" t="s">
        <v>2</v>
      </c>
      <c r="N4817" s="1" t="s">
        <v>38</v>
      </c>
      <c r="O4817" s="1" t="s">
        <v>46</v>
      </c>
    </row>
    <row r="4818" spans="2:15" x14ac:dyDescent="0.3">
      <c r="B4818" s="1" t="s">
        <v>23</v>
      </c>
      <c r="C4818" s="1" t="str">
        <f>"3차"</f>
        <v>3차</v>
      </c>
      <c r="D4818" s="1" t="str">
        <f>"0424P49131"</f>
        <v>0424P49131</v>
      </c>
      <c r="E4818" s="1" t="s">
        <v>10</v>
      </c>
      <c r="F4818" s="1" t="str">
        <f>"10.12.135.216"</f>
        <v>10.12.135.216</v>
      </c>
      <c r="G4818" s="1" t="str">
        <f>"0424P491"</f>
        <v>0424P491</v>
      </c>
      <c r="H4818" s="1" t="str">
        <f>"자양간 36R6"</f>
        <v>자양간 36R6</v>
      </c>
      <c r="I4818" s="1" t="s">
        <v>8</v>
      </c>
      <c r="J4818" s="1" t="str">
        <f>"31/31"</f>
        <v>31/31</v>
      </c>
      <c r="K4818" s="1" t="str">
        <f>"2026-07-29 13:18:01"</f>
        <v>2026-07-29 13:18:01</v>
      </c>
      <c r="L4818" s="1" t="str">
        <f>"2018-06-01 18:07:15"</f>
        <v>2018-06-01 18:07:15</v>
      </c>
      <c r="M4818" s="1" t="s">
        <v>0</v>
      </c>
      <c r="N4818" s="1" t="s">
        <v>38</v>
      </c>
      <c r="O4818" s="1" t="s">
        <v>46</v>
      </c>
    </row>
    <row r="4819" spans="2:15" x14ac:dyDescent="0.3">
      <c r="B4819" s="1" t="s">
        <v>23</v>
      </c>
      <c r="C4819" s="1" t="str">
        <f>"5-2차"</f>
        <v>5-2차</v>
      </c>
      <c r="D4819" s="1" t="str">
        <f>"0424P5515S"</f>
        <v>0424P5515S</v>
      </c>
      <c r="E4819" s="1" t="s">
        <v>10</v>
      </c>
      <c r="F4819" s="1" t="str">
        <f>"fde3:102:1440:2100:0:0:0:10"</f>
        <v>fde3:102:1440:2100:0:0:0:10</v>
      </c>
      <c r="G4819" s="1" t="str">
        <f>"0424P551"</f>
        <v>0424P551</v>
      </c>
      <c r="H4819" s="1" t="str">
        <f>"자양간 36R7A7R1"</f>
        <v>자양간 36R7A7R1</v>
      </c>
      <c r="I4819" s="1" t="s">
        <v>15</v>
      </c>
      <c r="J4819" s="1" t="str">
        <f>"39/39"</f>
        <v>39/39</v>
      </c>
      <c r="K4819" s="1" t="str">
        <f>"2026-07-29 14:21:08"</f>
        <v>2026-07-29 14:21:08</v>
      </c>
      <c r="L4819" s="1" t="str">
        <f>"2023-06-27 13:50:19"</f>
        <v>2023-06-27 13:50:19</v>
      </c>
      <c r="M4819" s="1" t="s">
        <v>45</v>
      </c>
      <c r="N4819" s="1" t="s">
        <v>38</v>
      </c>
      <c r="O4819" s="1" t="s">
        <v>46</v>
      </c>
    </row>
    <row r="4820" spans="2:15" x14ac:dyDescent="0.3">
      <c r="B4820" s="1" t="s">
        <v>23</v>
      </c>
      <c r="C4820" s="1" t="str">
        <f>"3차"</f>
        <v>3차</v>
      </c>
      <c r="D4820" s="1" t="str">
        <f>"0424P57131"</f>
        <v>0424P57131</v>
      </c>
      <c r="E4820" s="1" t="s">
        <v>10</v>
      </c>
      <c r="F4820" s="1" t="str">
        <f>"10.11.54.140"</f>
        <v>10.11.54.140</v>
      </c>
      <c r="G4820" s="1" t="str">
        <f>"0424P571"</f>
        <v>0424P571</v>
      </c>
      <c r="H4820" s="1" t="str">
        <f>"자양간 36R7A4"</f>
        <v>자양간 36R7A4</v>
      </c>
      <c r="I4820" s="1" t="s">
        <v>8</v>
      </c>
      <c r="J4820" s="1" t="str">
        <f>"17/17"</f>
        <v>17/17</v>
      </c>
      <c r="K4820" s="1" t="str">
        <f>"2026-07-29 13:18:03"</f>
        <v>2026-07-29 13:18:03</v>
      </c>
      <c r="L4820" s="1" t="str">
        <f>"2018-06-04 18:02:38"</f>
        <v>2018-06-04 18:02:38</v>
      </c>
      <c r="M4820" s="1" t="s">
        <v>2</v>
      </c>
      <c r="N4820" s="1" t="s">
        <v>38</v>
      </c>
      <c r="O4820" s="1" t="s">
        <v>46</v>
      </c>
    </row>
    <row r="4821" spans="2:15" x14ac:dyDescent="0.3">
      <c r="B4821" s="1" t="s">
        <v>23</v>
      </c>
      <c r="C4821" s="1" t="str">
        <f>"3차"</f>
        <v>3차</v>
      </c>
      <c r="D4821" s="1" t="str">
        <f>"0424P57230"</f>
        <v>0424P57230</v>
      </c>
      <c r="E4821" s="1" t="s">
        <v>10</v>
      </c>
      <c r="F4821" s="1" t="str">
        <f>"10.11.54.138"</f>
        <v>10.11.54.138</v>
      </c>
      <c r="G4821" s="1" t="str">
        <f>"0424P572"</f>
        <v>0424P572</v>
      </c>
      <c r="H4821" s="1" t="str">
        <f>"자양간 36R7A3"</f>
        <v>자양간 36R7A3</v>
      </c>
      <c r="I4821" s="1" t="s">
        <v>8</v>
      </c>
      <c r="J4821" s="1" t="str">
        <f>"51/51"</f>
        <v>51/51</v>
      </c>
      <c r="K4821" s="1" t="str">
        <f>"2026-07-29 13:18:03"</f>
        <v>2026-07-29 13:18:03</v>
      </c>
      <c r="L4821" s="1" t="str">
        <f>"2018-05-04 10:41:54"</f>
        <v>2018-05-04 10:41:54</v>
      </c>
      <c r="M4821" s="1" t="s">
        <v>2</v>
      </c>
      <c r="N4821" s="1" t="s">
        <v>38</v>
      </c>
      <c r="O4821" s="1" t="s">
        <v>46</v>
      </c>
    </row>
    <row r="4822" spans="2:15" x14ac:dyDescent="0.3">
      <c r="B4822" s="1" t="s">
        <v>23</v>
      </c>
      <c r="C4822" s="1" t="str">
        <f>"1차"</f>
        <v>1차</v>
      </c>
      <c r="D4822" s="1" t="str">
        <f>"0424P61101"</f>
        <v>0424P61101</v>
      </c>
      <c r="E4822" s="1" t="s">
        <v>10</v>
      </c>
      <c r="F4822" s="1" t="str">
        <f>"10.125.3.123"</f>
        <v>10.125.3.123</v>
      </c>
      <c r="G4822" s="1" t="str">
        <f>"0424P611"</f>
        <v>0424P611</v>
      </c>
      <c r="H4822" s="1" t="str">
        <f>"자양간 50R8R2"</f>
        <v>자양간 50R8R2</v>
      </c>
      <c r="I4822" s="1" t="s">
        <v>8</v>
      </c>
      <c r="J4822" s="1" t="str">
        <f>"111/111"</f>
        <v>111/111</v>
      </c>
      <c r="K4822" s="1" t="str">
        <f>"2026-07-29 13:18:03"</f>
        <v>2026-07-29 13:18:03</v>
      </c>
      <c r="L4822" s="1" t="str">
        <f>"2014-12-09 17:27:39"</f>
        <v>2014-12-09 17:27:39</v>
      </c>
      <c r="M4822" s="1" t="s">
        <v>45</v>
      </c>
      <c r="N4822" s="1" t="s">
        <v>38</v>
      </c>
      <c r="O4822" s="1" t="s">
        <v>46</v>
      </c>
    </row>
    <row r="4823" spans="2:15" x14ac:dyDescent="0.3">
      <c r="B4823" s="1" t="s">
        <v>23</v>
      </c>
      <c r="C4823" s="1" t="str">
        <f>"6차"</f>
        <v>6차</v>
      </c>
      <c r="D4823" s="1" t="str">
        <f>"0424P6316S"</f>
        <v>0424P6316S</v>
      </c>
      <c r="E4823" s="1" t="s">
        <v>10</v>
      </c>
      <c r="F4823" s="1" t="str">
        <f>"fde1:103:4:9361:0:0:0:2"</f>
        <v>fde1:103:4:9361:0:0:0:2</v>
      </c>
      <c r="G4823" s="1" t="str">
        <f>"0424P631"</f>
        <v>0424P631</v>
      </c>
      <c r="H4823" s="1" t="str">
        <f>"자양간 47R6"</f>
        <v>자양간 47R6</v>
      </c>
      <c r="I4823" s="1" t="s">
        <v>15</v>
      </c>
      <c r="J4823" s="1" t="str">
        <f>"21/21"</f>
        <v>21/21</v>
      </c>
      <c r="K4823" s="1" t="str">
        <f>"2026-07-29 14:20:28"</f>
        <v>2026-07-29 14:20:28</v>
      </c>
      <c r="L4823" s="1" t="str">
        <f>"2025-02-05 16:32:12"</f>
        <v>2025-02-05 16:32:12</v>
      </c>
      <c r="M4823" s="1" t="s">
        <v>4</v>
      </c>
      <c r="N4823" s="1" t="s">
        <v>38</v>
      </c>
      <c r="O4823" s="1" t="s">
        <v>46</v>
      </c>
    </row>
    <row r="4824" spans="2:15" x14ac:dyDescent="0.3">
      <c r="B4824" s="1" t="s">
        <v>23</v>
      </c>
      <c r="C4824" s="1" t="str">
        <f>"1차"</f>
        <v>1차</v>
      </c>
      <c r="D4824" s="1" t="str">
        <f>"0424P64200"</f>
        <v>0424P64200</v>
      </c>
      <c r="E4824" s="1" t="s">
        <v>10</v>
      </c>
      <c r="F4824" s="1" t="str">
        <f>"10.125.6.170"</f>
        <v>10.125.6.170</v>
      </c>
      <c r="G4824" s="1" t="str">
        <f>"0424P642"</f>
        <v>0424P642</v>
      </c>
      <c r="H4824" s="1" t="str">
        <f>"자양간 15R19L25"</f>
        <v>자양간 15R19L25</v>
      </c>
      <c r="I4824" s="1" t="s">
        <v>8</v>
      </c>
      <c r="J4824" s="1" t="str">
        <f>"22/22"</f>
        <v>22/22</v>
      </c>
      <c r="K4824" s="1" t="str">
        <f>"2026-07-29 13:18:03"</f>
        <v>2026-07-29 13:18:03</v>
      </c>
      <c r="L4824" s="1" t="str">
        <f>"2015-01-22 15:55:54"</f>
        <v>2015-01-22 15:55:54</v>
      </c>
      <c r="M4824" s="1" t="s">
        <v>45</v>
      </c>
      <c r="N4824" s="1" t="s">
        <v>38</v>
      </c>
      <c r="O4824" s="1" t="s">
        <v>46</v>
      </c>
    </row>
    <row r="4825" spans="2:15" x14ac:dyDescent="0.3">
      <c r="B4825" s="1" t="s">
        <v>23</v>
      </c>
      <c r="C4825" s="1" t="str">
        <f>"5-1차"</f>
        <v>5-1차</v>
      </c>
      <c r="D4825" s="1" t="str">
        <f>"0424P6525M"</f>
        <v>0424P6525M</v>
      </c>
      <c r="E4825" s="1" t="s">
        <v>10</v>
      </c>
      <c r="F4825" s="1" t="str">
        <f>"fde3:102:1440:2100:0:0:0:2"</f>
        <v>fde3:102:1440:2100:0:0:0:2</v>
      </c>
      <c r="G4825" s="1" t="str">
        <f>"0424P652"</f>
        <v>0424P652</v>
      </c>
      <c r="H4825" s="1" t="str">
        <f>"자양간 36R7A8"</f>
        <v>자양간 36R7A8</v>
      </c>
      <c r="I4825" s="1" t="s">
        <v>15</v>
      </c>
      <c r="J4825" s="1" t="str">
        <f>"50/51"</f>
        <v>50/51</v>
      </c>
      <c r="K4825" s="1" t="str">
        <f>"2026-07-29 14:20:29"</f>
        <v>2026-07-29 14:20:29</v>
      </c>
      <c r="L4825" s="1" t="str">
        <f>"2022-10-24 16:30:12"</f>
        <v>2022-10-24 16:30:12</v>
      </c>
      <c r="M4825" s="1" t="s">
        <v>45</v>
      </c>
      <c r="N4825" s="1" t="s">
        <v>38</v>
      </c>
      <c r="O4825" s="1" t="s">
        <v>46</v>
      </c>
    </row>
    <row r="4826" spans="2:15" x14ac:dyDescent="0.3">
      <c r="B4826" s="1" t="s">
        <v>23</v>
      </c>
      <c r="C4826" s="1" t="str">
        <f>"5-2차"</f>
        <v>5-2차</v>
      </c>
      <c r="D4826" s="1" t="str">
        <f>"0424P6615M"</f>
        <v>0424P6615M</v>
      </c>
      <c r="E4826" s="1" t="s">
        <v>10</v>
      </c>
      <c r="F4826" s="1" t="str">
        <f>"fde3:102:1440:2100:0:0:0:11"</f>
        <v>fde3:102:1440:2100:0:0:0:11</v>
      </c>
      <c r="G4826" s="1" t="str">
        <f>"0424P661"</f>
        <v>0424P661</v>
      </c>
      <c r="H4826" s="1" t="str">
        <f>"자양간 36R7A5R1R1"</f>
        <v>자양간 36R7A5R1R1</v>
      </c>
      <c r="I4826" s="1" t="s">
        <v>15</v>
      </c>
      <c r="J4826" s="1" t="str">
        <f>"67/67"</f>
        <v>67/67</v>
      </c>
      <c r="K4826" s="1" t="str">
        <f>"2026-07-29 14:21:07"</f>
        <v>2026-07-29 14:21:07</v>
      </c>
      <c r="L4826" s="1" t="str">
        <f>"2023-10-11 10:33:56"</f>
        <v>2023-10-11 10:33:56</v>
      </c>
      <c r="M4826" s="1" t="s">
        <v>45</v>
      </c>
      <c r="N4826" s="1" t="s">
        <v>38</v>
      </c>
      <c r="O4826" s="1" t="s">
        <v>46</v>
      </c>
    </row>
    <row r="4827" spans="2:15" x14ac:dyDescent="0.3">
      <c r="B4827" s="1" t="s">
        <v>23</v>
      </c>
      <c r="C4827" s="1" t="str">
        <f>"3차"</f>
        <v>3차</v>
      </c>
      <c r="D4827" s="1" t="str">
        <f>"0424P67239"</f>
        <v>0424P67239</v>
      </c>
      <c r="E4827" s="1" t="s">
        <v>10</v>
      </c>
      <c r="F4827" s="1" t="str">
        <f>"10.11.54.178"</f>
        <v>10.11.54.178</v>
      </c>
      <c r="G4827" s="1" t="str">
        <f>"0424P672"</f>
        <v>0424P672</v>
      </c>
      <c r="H4827" s="1" t="str">
        <f>"자양간 36R7A5R1R2R1L1"</f>
        <v>자양간 36R7A5R1R2R1L1</v>
      </c>
      <c r="I4827" s="1" t="s">
        <v>8</v>
      </c>
      <c r="J4827" s="1" t="str">
        <f>"29/29"</f>
        <v>29/29</v>
      </c>
      <c r="K4827" s="1" t="str">
        <f>"2026-07-29 13:18:03"</f>
        <v>2026-07-29 13:18:03</v>
      </c>
      <c r="L4827" s="1" t="str">
        <f>"2018-04-27 14:36:57"</f>
        <v>2018-04-27 14:36:57</v>
      </c>
      <c r="M4827" s="1" t="s">
        <v>2</v>
      </c>
      <c r="N4827" s="1" t="s">
        <v>38</v>
      </c>
      <c r="O4827" s="1" t="s">
        <v>46</v>
      </c>
    </row>
    <row r="4828" spans="2:15" x14ac:dyDescent="0.3">
      <c r="B4828" s="1" t="s">
        <v>23</v>
      </c>
      <c r="C4828" s="1" t="str">
        <f>"4차"</f>
        <v>4차</v>
      </c>
      <c r="D4828" s="1" t="str">
        <f>"0424P68139"</f>
        <v>0424P68139</v>
      </c>
      <c r="E4828" s="1" t="s">
        <v>10</v>
      </c>
      <c r="F4828" s="1" t="str">
        <f>"10.11.61.162"</f>
        <v>10.11.61.162</v>
      </c>
      <c r="G4828" s="1" t="str">
        <f>"0424P681"</f>
        <v>0424P681</v>
      </c>
      <c r="H4828" s="1" t="str">
        <f>"자양간 36R7A5R1R2R1L2"</f>
        <v>자양간 36R7A5R1R2R1L2</v>
      </c>
      <c r="I4828" s="1" t="s">
        <v>8</v>
      </c>
      <c r="J4828" s="1" t="str">
        <f>"45/45"</f>
        <v>45/45</v>
      </c>
      <c r="K4828" s="1" t="str">
        <f>"2026-07-29 13:18:03"</f>
        <v>2026-07-29 13:18:03</v>
      </c>
      <c r="L4828" s="1" t="str">
        <f>"2018-05-02 09:41:56"</f>
        <v>2018-05-02 09:41:56</v>
      </c>
      <c r="M4828" s="1" t="s">
        <v>2</v>
      </c>
      <c r="N4828" s="1" t="s">
        <v>38</v>
      </c>
      <c r="O4828" s="1" t="s">
        <v>46</v>
      </c>
    </row>
    <row r="4829" spans="2:15" x14ac:dyDescent="0.3">
      <c r="B4829" s="1" t="s">
        <v>23</v>
      </c>
      <c r="C4829" s="1" t="str">
        <f>"4차"</f>
        <v>4차</v>
      </c>
      <c r="D4829" s="1" t="str">
        <f>"0424P69239"</f>
        <v>0424P69239</v>
      </c>
      <c r="E4829" s="1" t="s">
        <v>10</v>
      </c>
      <c r="F4829" s="1" t="str">
        <f>"10.11.54.186"</f>
        <v>10.11.54.186</v>
      </c>
      <c r="G4829" s="1" t="str">
        <f>"0424P692"</f>
        <v>0424P692</v>
      </c>
      <c r="H4829" s="1" t="str">
        <f>"자양간 36R7A5R1R2R1L4"</f>
        <v>자양간 36R7A5R1R2R1L4</v>
      </c>
      <c r="I4829" s="1" t="s">
        <v>8</v>
      </c>
      <c r="J4829" s="1" t="str">
        <f>"134/134"</f>
        <v>134/134</v>
      </c>
      <c r="K4829" s="1" t="str">
        <f>"2026-07-29 13:18:03"</f>
        <v>2026-07-29 13:18:03</v>
      </c>
      <c r="L4829" s="1" t="str">
        <f>"2018-05-02 09:40:25"</f>
        <v>2018-05-02 09:40:25</v>
      </c>
      <c r="M4829" s="1" t="s">
        <v>2</v>
      </c>
      <c r="N4829" s="1" t="s">
        <v>38</v>
      </c>
      <c r="O4829" s="1" t="s">
        <v>46</v>
      </c>
    </row>
    <row r="4830" spans="2:15" x14ac:dyDescent="0.3">
      <c r="B4830" s="1" t="s">
        <v>23</v>
      </c>
      <c r="C4830" s="1" t="str">
        <f>"1차"</f>
        <v>1차</v>
      </c>
      <c r="D4830" s="1" t="str">
        <f>"0424P70100"</f>
        <v>0424P70100</v>
      </c>
      <c r="E4830" s="1" t="s">
        <v>10</v>
      </c>
      <c r="F4830" s="1" t="str">
        <f>"10.125.3.122"</f>
        <v>10.125.3.122</v>
      </c>
      <c r="G4830" s="1" t="str">
        <f>"0424P701"</f>
        <v>0424P701</v>
      </c>
      <c r="H4830" s="1" t="str">
        <f>"자양간 50R8"</f>
        <v>자양간 50R8</v>
      </c>
      <c r="I4830" s="1" t="s">
        <v>8</v>
      </c>
      <c r="J4830" s="1" t="str">
        <f>"54/66"</f>
        <v>54/66</v>
      </c>
      <c r="K4830" s="1" t="str">
        <f>"2026-07-29 13:18:03"</f>
        <v>2026-07-29 13:18:03</v>
      </c>
      <c r="L4830" s="1" t="str">
        <f>"2014-12-07 00:13:43"</f>
        <v>2014-12-07 00:13:43</v>
      </c>
      <c r="M4830" s="1" t="s">
        <v>45</v>
      </c>
      <c r="N4830" s="1" t="s">
        <v>38</v>
      </c>
      <c r="O4830" s="1" t="s">
        <v>46</v>
      </c>
    </row>
    <row r="4831" spans="2:15" x14ac:dyDescent="0.3">
      <c r="B4831" s="1" t="s">
        <v>23</v>
      </c>
      <c r="C4831" s="1" t="str">
        <f>"1차"</f>
        <v>1차</v>
      </c>
      <c r="D4831" s="1" t="str">
        <f>"0424P70401"</f>
        <v>0424P70401</v>
      </c>
      <c r="E4831" s="1" t="s">
        <v>10</v>
      </c>
      <c r="F4831" s="1" t="str">
        <f>"10.125.3.124"</f>
        <v>10.125.3.124</v>
      </c>
      <c r="G4831" s="1" t="str">
        <f>"0424P704"</f>
        <v>0424P704</v>
      </c>
      <c r="H4831" s="1" t="str">
        <f>"자양간 50R8L1"</f>
        <v>자양간 50R8L1</v>
      </c>
      <c r="I4831" s="1" t="s">
        <v>8</v>
      </c>
      <c r="J4831" s="1" t="str">
        <f>"27/27"</f>
        <v>27/27</v>
      </c>
      <c r="K4831" s="1" t="str">
        <f>"2026-07-29 13:18:03"</f>
        <v>2026-07-29 13:18:03</v>
      </c>
      <c r="L4831" s="1" t="str">
        <f>"2014-12-09 17:27:48"</f>
        <v>2014-12-09 17:27:48</v>
      </c>
      <c r="M4831" s="1" t="s">
        <v>45</v>
      </c>
      <c r="N4831" s="1" t="s">
        <v>38</v>
      </c>
      <c r="O4831" s="1" t="s">
        <v>46</v>
      </c>
    </row>
    <row r="4832" spans="2:15" x14ac:dyDescent="0.3">
      <c r="B4832" s="1" t="s">
        <v>23</v>
      </c>
      <c r="C4832" s="1" t="str">
        <f>"5-2차"</f>
        <v>5-2차</v>
      </c>
      <c r="D4832" s="1" t="str">
        <f>"0424P7115M"</f>
        <v>0424P7115M</v>
      </c>
      <c r="E4832" s="1" t="s">
        <v>10</v>
      </c>
      <c r="F4832" s="1" t="str">
        <f>"fde3:102:1440:2100:0:0:0:1b"</f>
        <v>fde3:102:1440:2100:0:0:0:1b</v>
      </c>
      <c r="G4832" s="1" t="str">
        <f>"0424P711"</f>
        <v>0424P711</v>
      </c>
      <c r="H4832" s="1" t="str">
        <f>"자양간 50R6"</f>
        <v>자양간 50R6</v>
      </c>
      <c r="I4832" s="1" t="s">
        <v>15</v>
      </c>
      <c r="J4832" s="1" t="str">
        <f>"29/29"</f>
        <v>29/29</v>
      </c>
      <c r="K4832" s="1" t="str">
        <f>"2026-07-29 14:20:29"</f>
        <v>2026-07-29 14:20:29</v>
      </c>
      <c r="L4832" s="1" t="str">
        <f>"2023-10-11 10:58:35"</f>
        <v>2023-10-11 10:58:35</v>
      </c>
      <c r="M4832" s="1" t="s">
        <v>45</v>
      </c>
      <c r="N4832" s="1" t="s">
        <v>38</v>
      </c>
      <c r="O4832" s="1" t="s">
        <v>46</v>
      </c>
    </row>
    <row r="4833" spans="2:15" x14ac:dyDescent="0.3">
      <c r="B4833" s="1" t="s">
        <v>23</v>
      </c>
      <c r="C4833" s="1" t="str">
        <f>"1차"</f>
        <v>1차</v>
      </c>
      <c r="D4833" s="1" t="str">
        <f>"0424P73101"</f>
        <v>0424P73101</v>
      </c>
      <c r="E4833" s="1" t="s">
        <v>10</v>
      </c>
      <c r="F4833" s="1" t="str">
        <f>"10.12.138.171"</f>
        <v>10.12.138.171</v>
      </c>
      <c r="G4833" s="1" t="str">
        <f>"0424P731"</f>
        <v>0424P731</v>
      </c>
      <c r="H4833" s="1" t="str">
        <f>"자양간 47R5"</f>
        <v>자양간 47R5</v>
      </c>
      <c r="I4833" s="1" t="s">
        <v>8</v>
      </c>
      <c r="J4833" s="1" t="str">
        <f>"58/66"</f>
        <v>58/66</v>
      </c>
      <c r="K4833" s="1" t="str">
        <f>"2026-07-29 13:18:05"</f>
        <v>2026-07-29 13:18:05</v>
      </c>
      <c r="L4833" s="1" t="str">
        <f>"2014-12-12 14:28:04"</f>
        <v>2014-12-12 14:28:04</v>
      </c>
      <c r="M4833" s="1" t="s">
        <v>0</v>
      </c>
      <c r="N4833" s="1" t="s">
        <v>38</v>
      </c>
      <c r="O4833" s="1" t="s">
        <v>46</v>
      </c>
    </row>
    <row r="4834" spans="2:15" x14ac:dyDescent="0.3">
      <c r="B4834" s="1" t="s">
        <v>23</v>
      </c>
      <c r="C4834" s="1" t="str">
        <f>"5-2차"</f>
        <v>5-2차</v>
      </c>
      <c r="D4834" s="1" t="str">
        <f>"0424P7725M"</f>
        <v>0424P7725M</v>
      </c>
      <c r="E4834" s="1" t="s">
        <v>10</v>
      </c>
      <c r="F4834" s="1" t="str">
        <f>"fde3:102:1440:2300:0:0:0:16"</f>
        <v>fde3:102:1440:2300:0:0:0:16</v>
      </c>
      <c r="G4834" s="1" t="str">
        <f>"0424P772"</f>
        <v>0424P772</v>
      </c>
      <c r="H4834" s="1" t="str">
        <f>"자양간 36R7A5R1R3"</f>
        <v>자양간 36R7A5R1R3</v>
      </c>
      <c r="I4834" s="1" t="s">
        <v>15</v>
      </c>
      <c r="J4834" s="1" t="str">
        <f>"94/94"</f>
        <v>94/94</v>
      </c>
      <c r="K4834" s="1" t="str">
        <f>"2026-07-29 14:21:07"</f>
        <v>2026-07-29 14:21:07</v>
      </c>
      <c r="L4834" s="1" t="str">
        <f>"2023-10-16 16:21:43"</f>
        <v>2023-10-16 16:21:43</v>
      </c>
      <c r="M4834" s="1" t="s">
        <v>45</v>
      </c>
      <c r="N4834" s="1" t="s">
        <v>38</v>
      </c>
      <c r="O4834" s="1" t="s">
        <v>46</v>
      </c>
    </row>
    <row r="4835" spans="2:15" x14ac:dyDescent="0.3">
      <c r="B4835" s="1" t="s">
        <v>23</v>
      </c>
      <c r="C4835" s="1" t="str">
        <f>"3차"</f>
        <v>3차</v>
      </c>
      <c r="D4835" s="1" t="str">
        <f>"0424P78139"</f>
        <v>0424P78139</v>
      </c>
      <c r="E4835" s="1" t="s">
        <v>10</v>
      </c>
      <c r="F4835" s="1" t="str">
        <f>"10.11.61.66"</f>
        <v>10.11.61.66</v>
      </c>
      <c r="G4835" s="1" t="str">
        <f>"0424P781"</f>
        <v>0424P781</v>
      </c>
      <c r="H4835" s="1" t="str">
        <f>"자양간 39"</f>
        <v>자양간 39</v>
      </c>
      <c r="I4835" s="1" t="s">
        <v>8</v>
      </c>
      <c r="J4835" s="1" t="str">
        <f>"14/14"</f>
        <v>14/14</v>
      </c>
      <c r="K4835" s="1" t="str">
        <f>"2026-07-29 13:18:03"</f>
        <v>2026-07-29 13:18:03</v>
      </c>
      <c r="L4835" s="1" t="str">
        <f>"2018-04-27 14:38:42"</f>
        <v>2018-04-27 14:38:42</v>
      </c>
      <c r="M4835" s="1" t="s">
        <v>2</v>
      </c>
      <c r="N4835" s="1" t="s">
        <v>38</v>
      </c>
      <c r="O4835" s="1" t="s">
        <v>46</v>
      </c>
    </row>
    <row r="4836" spans="2:15" x14ac:dyDescent="0.3">
      <c r="B4836" s="1" t="s">
        <v>23</v>
      </c>
      <c r="C4836" s="1" t="str">
        <f>"3차"</f>
        <v>3차</v>
      </c>
      <c r="D4836" s="1" t="str">
        <f>"0424P79239"</f>
        <v>0424P79239</v>
      </c>
      <c r="E4836" s="1" t="s">
        <v>10</v>
      </c>
      <c r="F4836" s="1" t="str">
        <f>"10.11.56.187"</f>
        <v>10.11.56.187</v>
      </c>
      <c r="G4836" s="1" t="str">
        <f>"0424P792"</f>
        <v>0424P792</v>
      </c>
      <c r="H4836" s="1" t="str">
        <f>"자양간 38H1"</f>
        <v>자양간 38H1</v>
      </c>
      <c r="I4836" s="1" t="s">
        <v>8</v>
      </c>
      <c r="J4836" s="1" t="str">
        <f>"26/26"</f>
        <v>26/26</v>
      </c>
      <c r="K4836" s="1" t="str">
        <f>"2026-07-29 13:18:03"</f>
        <v>2026-07-29 13:18:03</v>
      </c>
      <c r="L4836" s="1" t="str">
        <f>"2018-05-30 10:06:25"</f>
        <v>2018-05-30 10:06:25</v>
      </c>
      <c r="M4836" s="1" t="s">
        <v>2</v>
      </c>
      <c r="N4836" s="1" t="s">
        <v>38</v>
      </c>
      <c r="O4836" s="1" t="s">
        <v>46</v>
      </c>
    </row>
    <row r="4837" spans="2:15" x14ac:dyDescent="0.3">
      <c r="B4837" s="1" t="s">
        <v>23</v>
      </c>
      <c r="C4837" s="1" t="str">
        <f>"1차"</f>
        <v>1차</v>
      </c>
      <c r="D4837" s="1" t="str">
        <f>"0424P83100"</f>
        <v>0424P83100</v>
      </c>
      <c r="E4837" s="1" t="s">
        <v>10</v>
      </c>
      <c r="F4837" s="1" t="str">
        <f>"10.125.3.138"</f>
        <v>10.125.3.138</v>
      </c>
      <c r="G4837" s="1" t="str">
        <f>"0424P831"</f>
        <v>0424P831</v>
      </c>
      <c r="H4837" s="1" t="str">
        <f>"자양간 47R4"</f>
        <v>자양간 47R4</v>
      </c>
      <c r="I4837" s="1" t="s">
        <v>8</v>
      </c>
      <c r="J4837" s="1" t="str">
        <f>"25/27"</f>
        <v>25/27</v>
      </c>
      <c r="K4837" s="1" t="str">
        <f>"2026-07-29 13:18:03"</f>
        <v>2026-07-29 13:18:03</v>
      </c>
      <c r="L4837" s="1" t="str">
        <f>"2014-12-12 18:02:08"</f>
        <v>2014-12-12 18:02:08</v>
      </c>
      <c r="M4837" s="1" t="s">
        <v>45</v>
      </c>
      <c r="N4837" s="1" t="s">
        <v>38</v>
      </c>
      <c r="O4837" s="1" t="s">
        <v>46</v>
      </c>
    </row>
    <row r="4838" spans="2:15" x14ac:dyDescent="0.3">
      <c r="B4838" s="1" t="s">
        <v>23</v>
      </c>
      <c r="C4838" s="1" t="str">
        <f>"1차"</f>
        <v>1차</v>
      </c>
      <c r="D4838" s="1" t="str">
        <f>"0424P91200"</f>
        <v>0424P91200</v>
      </c>
      <c r="E4838" s="1" t="s">
        <v>10</v>
      </c>
      <c r="F4838" s="1" t="str">
        <f>"10.125.3.146"</f>
        <v>10.125.3.146</v>
      </c>
      <c r="G4838" s="1" t="str">
        <f>"0424P912"</f>
        <v>0424P912</v>
      </c>
      <c r="H4838" s="1" t="str">
        <f>"자양간 50R4"</f>
        <v>자양간 50R4</v>
      </c>
      <c r="I4838" s="1" t="s">
        <v>8</v>
      </c>
      <c r="J4838" s="1" t="str">
        <f>"78/79"</f>
        <v>78/79</v>
      </c>
      <c r="K4838" s="1" t="str">
        <f>"2026-07-29 13:18:03"</f>
        <v>2026-07-29 13:18:03</v>
      </c>
      <c r="L4838" s="1" t="str">
        <f>"2014-12-03 10:52:04"</f>
        <v>2014-12-03 10:52:04</v>
      </c>
      <c r="M4838" s="1" t="s">
        <v>45</v>
      </c>
      <c r="N4838" s="1" t="s">
        <v>38</v>
      </c>
      <c r="O4838" s="1" t="s">
        <v>46</v>
      </c>
    </row>
    <row r="4839" spans="2:15" x14ac:dyDescent="0.3">
      <c r="B4839" s="1" t="s">
        <v>23</v>
      </c>
      <c r="C4839" s="1" t="str">
        <f>"4차"</f>
        <v>4차</v>
      </c>
      <c r="D4839" s="1" t="str">
        <f>"0424P94242"</f>
        <v>0424P94242</v>
      </c>
      <c r="E4839" s="1" t="s">
        <v>10</v>
      </c>
      <c r="F4839" s="1" t="str">
        <f>"10.12.129.95"</f>
        <v>10.12.129.95</v>
      </c>
      <c r="G4839" s="1" t="str">
        <f>"0424P942"</f>
        <v>0424P942</v>
      </c>
      <c r="H4839" s="1" t="str">
        <f>"자양간 47R2"</f>
        <v>자양간 47R2</v>
      </c>
      <c r="I4839" s="1" t="s">
        <v>8</v>
      </c>
      <c r="J4839" s="1" t="str">
        <f>"21/21"</f>
        <v>21/21</v>
      </c>
      <c r="K4839" s="1" t="str">
        <f>"2026-07-29 13:18:05"</f>
        <v>2026-07-29 13:18:05</v>
      </c>
      <c r="L4839" s="1" t="str">
        <f>"2024-12-24 13:57:17"</f>
        <v>2024-12-24 13:57:17</v>
      </c>
      <c r="M4839" s="1" t="s">
        <v>0</v>
      </c>
      <c r="N4839" s="1" t="s">
        <v>38</v>
      </c>
      <c r="O4839" s="1" t="s">
        <v>46</v>
      </c>
    </row>
    <row r="4840" spans="2:15" x14ac:dyDescent="0.3">
      <c r="B4840" s="1" t="s">
        <v>23</v>
      </c>
      <c r="C4840" s="1" t="str">
        <f>"1차"</f>
        <v>1차</v>
      </c>
      <c r="D4840" s="1" t="str">
        <f>"0424P97100"</f>
        <v>0424P97100</v>
      </c>
      <c r="E4840" s="1" t="s">
        <v>10</v>
      </c>
      <c r="F4840" s="1" t="str">
        <f>"10.125.6.186"</f>
        <v>10.125.6.186</v>
      </c>
      <c r="G4840" s="1" t="str">
        <f>"0424P971"</f>
        <v>0424P971</v>
      </c>
      <c r="H4840" s="1" t="str">
        <f>"강변간 70"</f>
        <v>강변간 70</v>
      </c>
      <c r="I4840" s="1" t="s">
        <v>8</v>
      </c>
      <c r="J4840" s="1" t="str">
        <f>"5/5"</f>
        <v>5/5</v>
      </c>
      <c r="K4840" s="1" t="str">
        <f>"2026-07-29 13:18:03"</f>
        <v>2026-07-29 13:18:03</v>
      </c>
      <c r="L4840" s="1" t="str">
        <f>"2014-12-12 14:42:33"</f>
        <v>2014-12-12 14:42:33</v>
      </c>
      <c r="M4840" s="1" t="s">
        <v>45</v>
      </c>
      <c r="N4840" s="1" t="s">
        <v>38</v>
      </c>
      <c r="O4840" s="1" t="s">
        <v>46</v>
      </c>
    </row>
    <row r="4841" spans="2:15" x14ac:dyDescent="0.3">
      <c r="B4841" s="1" t="s">
        <v>23</v>
      </c>
      <c r="C4841" s="1" t="str">
        <f>"4차"</f>
        <v>4차</v>
      </c>
      <c r="D4841" s="1" t="str">
        <f>"0424Q02242"</f>
        <v>0424Q02242</v>
      </c>
      <c r="E4841" s="1" t="s">
        <v>10</v>
      </c>
      <c r="F4841" s="1" t="str">
        <f>"10.125.3.154"</f>
        <v>10.125.3.154</v>
      </c>
      <c r="G4841" s="1" t="str">
        <f>"0424Q022"</f>
        <v>0424Q022</v>
      </c>
      <c r="H4841" s="1" t="str">
        <f>"자양간 50R2"</f>
        <v>자양간 50R2</v>
      </c>
      <c r="I4841" s="1" t="s">
        <v>8</v>
      </c>
      <c r="J4841" s="1" t="str">
        <f>"68/74"</f>
        <v>68/74</v>
      </c>
      <c r="K4841" s="1" t="str">
        <f>"2026-07-29 13:18:03"</f>
        <v>2026-07-29 13:18:03</v>
      </c>
      <c r="L4841" s="1" t="str">
        <f>"2026-06-24 18:24:37"</f>
        <v>2026-06-24 18:24:37</v>
      </c>
      <c r="M4841" s="1" t="s">
        <v>45</v>
      </c>
      <c r="N4841" s="1" t="s">
        <v>38</v>
      </c>
      <c r="O4841" s="1" t="s">
        <v>46</v>
      </c>
    </row>
    <row r="4842" spans="2:15" x14ac:dyDescent="0.3">
      <c r="B4842" s="1" t="s">
        <v>23</v>
      </c>
      <c r="C4842" s="1" t="str">
        <f>"6차"</f>
        <v>6차</v>
      </c>
      <c r="D4842" s="1" t="str">
        <f>"0424Q0536S"</f>
        <v>0424Q0536S</v>
      </c>
      <c r="E4842" s="1" t="s">
        <v>10</v>
      </c>
      <c r="F4842" s="1" t="str">
        <f>"fde1:103:4:9367:0:0:0:2"</f>
        <v>fde1:103:4:9367:0:0:0:2</v>
      </c>
      <c r="G4842" s="1" t="str">
        <f>"0424Q053"</f>
        <v>0424Q053</v>
      </c>
      <c r="H4842" s="1" t="str">
        <f>"강변간 66"</f>
        <v>강변간 66</v>
      </c>
      <c r="I4842" s="1" t="s">
        <v>15</v>
      </c>
      <c r="J4842" s="1" t="str">
        <f>"23/24"</f>
        <v>23/24</v>
      </c>
      <c r="K4842" s="1" t="str">
        <f>"2026-07-29 08:20:30"</f>
        <v>2026-07-29 08:20:30</v>
      </c>
      <c r="L4842" s="1" t="str">
        <f>"2025-02-05 16:31:07"</f>
        <v>2025-02-05 16:31:07</v>
      </c>
      <c r="M4842" s="1" t="s">
        <v>4</v>
      </c>
      <c r="N4842" s="1" t="s">
        <v>38</v>
      </c>
      <c r="O4842" s="1" t="s">
        <v>46</v>
      </c>
    </row>
    <row r="4843" spans="2:15" x14ac:dyDescent="0.3">
      <c r="B4843" s="1" t="s">
        <v>23</v>
      </c>
      <c r="C4843" s="1" t="str">
        <f>"1차"</f>
        <v>1차</v>
      </c>
      <c r="D4843" s="1" t="str">
        <f>"0424Q06201"</f>
        <v>0424Q06201</v>
      </c>
      <c r="E4843" s="1" t="s">
        <v>10</v>
      </c>
      <c r="F4843" s="1" t="str">
        <f>"10.14.11.123"</f>
        <v>10.14.11.123</v>
      </c>
      <c r="G4843" s="1" t="str">
        <f>"0424Q062"</f>
        <v>0424Q062</v>
      </c>
      <c r="H4843" s="1" t="str">
        <f>"강변간 44R10R3"</f>
        <v>강변간 44R10R3</v>
      </c>
      <c r="I4843" s="1" t="s">
        <v>8</v>
      </c>
      <c r="J4843" s="1" t="str">
        <f>"20/21"</f>
        <v>20/21</v>
      </c>
      <c r="K4843" s="1" t="str">
        <f>"2026-07-29 13:18:04"</f>
        <v>2026-07-29 13:18:04</v>
      </c>
      <c r="L4843" s="1" t="str">
        <f>"2014-12-09 11:43:00"</f>
        <v>2014-12-09 11:43:00</v>
      </c>
      <c r="M4843" s="1" t="s">
        <v>3</v>
      </c>
      <c r="N4843" s="1" t="s">
        <v>38</v>
      </c>
      <c r="O4843" s="1" t="s">
        <v>46</v>
      </c>
    </row>
    <row r="4844" spans="2:15" x14ac:dyDescent="0.3">
      <c r="B4844" s="1" t="s">
        <v>23</v>
      </c>
      <c r="C4844" s="1" t="str">
        <f>"5-1차"</f>
        <v>5-1차</v>
      </c>
      <c r="D4844" s="1" t="str">
        <f>"0424Q1355M"</f>
        <v>0424Q1355M</v>
      </c>
      <c r="E4844" s="1" t="s">
        <v>10</v>
      </c>
      <c r="F4844" s="1" t="str">
        <f>"fde2:104:0:173:0:0:0:2"</f>
        <v>fde2:104:0:173:0:0:0:2</v>
      </c>
      <c r="G4844" s="1" t="str">
        <f>"0424Q135"</f>
        <v>0424Q135</v>
      </c>
      <c r="H4844" s="1" t="str">
        <f>"강변간 64"</f>
        <v>강변간 64</v>
      </c>
      <c r="I4844" s="1" t="s">
        <v>15</v>
      </c>
      <c r="J4844" s="1" t="str">
        <f>"49/49"</f>
        <v>49/49</v>
      </c>
      <c r="K4844" s="1" t="str">
        <f>"2026-07-29 14:21:14"</f>
        <v>2026-07-29 14:21:14</v>
      </c>
      <c r="L4844" s="1" t="str">
        <f>"2022-11-16 10:07:13"</f>
        <v>2022-11-16 10:07:13</v>
      </c>
      <c r="M4844" s="1" t="s">
        <v>42</v>
      </c>
      <c r="N4844" s="1" t="s">
        <v>38</v>
      </c>
      <c r="O4844" s="1" t="s">
        <v>46</v>
      </c>
    </row>
    <row r="4845" spans="2:15" x14ac:dyDescent="0.3">
      <c r="B4845" s="1" t="s">
        <v>23</v>
      </c>
      <c r="C4845" s="1" t="str">
        <f t="shared" ref="C4845:C4851" si="264">"1차"</f>
        <v>1차</v>
      </c>
      <c r="D4845" s="1" t="str">
        <f>"0424Q23300"</f>
        <v>0424Q23300</v>
      </c>
      <c r="E4845" s="1" t="s">
        <v>10</v>
      </c>
      <c r="F4845" s="1" t="str">
        <f>"10.125.3.178"</f>
        <v>10.125.3.178</v>
      </c>
      <c r="G4845" s="1" t="str">
        <f>"0424Q233"</f>
        <v>0424Q233</v>
      </c>
      <c r="H4845" s="1" t="str">
        <f>"강변간 63R1"</f>
        <v>강변간 63R1</v>
      </c>
      <c r="I4845" s="1" t="s">
        <v>8</v>
      </c>
      <c r="J4845" s="1" t="str">
        <f>"18/18"</f>
        <v>18/18</v>
      </c>
      <c r="K4845" s="1" t="str">
        <f>"2026-07-29 13:18:03"</f>
        <v>2026-07-29 13:18:03</v>
      </c>
      <c r="L4845" s="1" t="str">
        <f>"2014-12-04 16:57:53"</f>
        <v>2014-12-04 16:57:53</v>
      </c>
      <c r="M4845" s="1" t="s">
        <v>45</v>
      </c>
      <c r="N4845" s="1" t="s">
        <v>38</v>
      </c>
      <c r="O4845" s="1" t="s">
        <v>46</v>
      </c>
    </row>
    <row r="4846" spans="2:15" x14ac:dyDescent="0.3">
      <c r="B4846" s="1" t="s">
        <v>23</v>
      </c>
      <c r="C4846" s="1" t="str">
        <f t="shared" si="264"/>
        <v>1차</v>
      </c>
      <c r="D4846" s="1" t="str">
        <f>"0424Q24501"</f>
        <v>0424Q24501</v>
      </c>
      <c r="E4846" s="1" t="s">
        <v>10</v>
      </c>
      <c r="F4846" s="1" t="str">
        <f>"10.12.131.180"</f>
        <v>10.12.131.180</v>
      </c>
      <c r="G4846" s="1" t="str">
        <f>"0424Q245"</f>
        <v>0424Q245</v>
      </c>
      <c r="H4846" s="1" t="str">
        <f>"강변간 63R1L2"</f>
        <v>강변간 63R1L2</v>
      </c>
      <c r="I4846" s="1" t="s">
        <v>8</v>
      </c>
      <c r="J4846" s="1" t="str">
        <f>"33/33"</f>
        <v>33/33</v>
      </c>
      <c r="K4846" s="1" t="str">
        <f>"2026-07-29 13:18:01"</f>
        <v>2026-07-29 13:18:01</v>
      </c>
      <c r="L4846" s="1" t="str">
        <f>"2021-07-27 11:03:29"</f>
        <v>2021-07-27 11:03:29</v>
      </c>
      <c r="M4846" s="1" t="s">
        <v>0</v>
      </c>
      <c r="N4846" s="1" t="s">
        <v>38</v>
      </c>
      <c r="O4846" s="1" t="s">
        <v>46</v>
      </c>
    </row>
    <row r="4847" spans="2:15" x14ac:dyDescent="0.3">
      <c r="B4847" s="1" t="s">
        <v>23</v>
      </c>
      <c r="C4847" s="1" t="str">
        <f t="shared" si="264"/>
        <v>1차</v>
      </c>
      <c r="D4847" s="1" t="str">
        <f>"0424Q26101"</f>
        <v>0424Q26101</v>
      </c>
      <c r="E4847" s="1" t="s">
        <v>10</v>
      </c>
      <c r="F4847" s="1" t="str">
        <f>"10.14.14.118"</f>
        <v>10.14.14.118</v>
      </c>
      <c r="G4847" s="1" t="str">
        <f>"0424Q261"</f>
        <v>0424Q261</v>
      </c>
      <c r="H4847" s="1" t="str">
        <f>"강변간 44R10R1R1"</f>
        <v>강변간 44R10R1R1</v>
      </c>
      <c r="I4847" s="1" t="s">
        <v>8</v>
      </c>
      <c r="J4847" s="1" t="str">
        <f>"40/40"</f>
        <v>40/40</v>
      </c>
      <c r="K4847" s="1" t="str">
        <f>"2026-07-29 13:18:02"</f>
        <v>2026-07-29 13:18:02</v>
      </c>
      <c r="L4847" s="1" t="str">
        <f>"2014-12-09 00:13:58"</f>
        <v>2014-12-09 00:13:58</v>
      </c>
      <c r="M4847" s="1" t="s">
        <v>3</v>
      </c>
      <c r="N4847" s="1" t="s">
        <v>38</v>
      </c>
      <c r="O4847" s="1" t="s">
        <v>46</v>
      </c>
    </row>
    <row r="4848" spans="2:15" x14ac:dyDescent="0.3">
      <c r="B4848" s="1" t="s">
        <v>23</v>
      </c>
      <c r="C4848" s="1" t="str">
        <f t="shared" si="264"/>
        <v>1차</v>
      </c>
      <c r="D4848" s="1" t="str">
        <f>"0424Q27200"</f>
        <v>0424Q27200</v>
      </c>
      <c r="E4848" s="1" t="s">
        <v>10</v>
      </c>
      <c r="F4848" s="1" t="str">
        <f>"10.125.3.202"</f>
        <v>10.125.3.202</v>
      </c>
      <c r="G4848" s="1" t="str">
        <f>"0424Q272"</f>
        <v>0424Q272</v>
      </c>
      <c r="H4848" s="1" t="str">
        <f>"강변간 44R3R6"</f>
        <v>강변간 44R3R6</v>
      </c>
      <c r="I4848" s="1" t="s">
        <v>8</v>
      </c>
      <c r="J4848" s="1" t="str">
        <f>"21/21"</f>
        <v>21/21</v>
      </c>
      <c r="K4848" s="1" t="str">
        <f>"2026-07-29 13:18:03"</f>
        <v>2026-07-29 13:18:03</v>
      </c>
      <c r="L4848" s="1" t="str">
        <f>"2014-12-06 09:28:27"</f>
        <v>2014-12-06 09:28:27</v>
      </c>
      <c r="M4848" s="1" t="s">
        <v>45</v>
      </c>
      <c r="N4848" s="1" t="s">
        <v>38</v>
      </c>
      <c r="O4848" s="1" t="s">
        <v>46</v>
      </c>
    </row>
    <row r="4849" spans="2:15" x14ac:dyDescent="0.3">
      <c r="B4849" s="1" t="s">
        <v>23</v>
      </c>
      <c r="C4849" s="1" t="str">
        <f t="shared" si="264"/>
        <v>1차</v>
      </c>
      <c r="D4849" s="1" t="str">
        <f>"0424Q35101"</f>
        <v>0424Q35101</v>
      </c>
      <c r="E4849" s="1" t="s">
        <v>10</v>
      </c>
      <c r="F4849" s="1" t="str">
        <f>"10.14.7.3"</f>
        <v>10.14.7.3</v>
      </c>
      <c r="G4849" s="1" t="str">
        <f>"0424Q351"</f>
        <v>0424Q351</v>
      </c>
      <c r="H4849" s="1" t="str">
        <f>"강변간 63R5"</f>
        <v>강변간 63R5</v>
      </c>
      <c r="I4849" s="1" t="s">
        <v>8</v>
      </c>
      <c r="J4849" s="1" t="str">
        <f>"124/124"</f>
        <v>124/124</v>
      </c>
      <c r="K4849" s="1" t="str">
        <f>"2026-07-29 13:18:04"</f>
        <v>2026-07-29 13:18:04</v>
      </c>
      <c r="L4849" s="1" t="str">
        <f>"2014-12-09 14:12:42"</f>
        <v>2014-12-09 14:12:42</v>
      </c>
      <c r="M4849" s="1" t="s">
        <v>3</v>
      </c>
      <c r="N4849" s="1" t="s">
        <v>38</v>
      </c>
      <c r="O4849" s="1" t="s">
        <v>46</v>
      </c>
    </row>
    <row r="4850" spans="2:15" x14ac:dyDescent="0.3">
      <c r="B4850" s="1" t="s">
        <v>23</v>
      </c>
      <c r="C4850" s="1" t="str">
        <f t="shared" si="264"/>
        <v>1차</v>
      </c>
      <c r="D4850" s="1" t="str">
        <f>"0424Q36200"</f>
        <v>0424Q36200</v>
      </c>
      <c r="E4850" s="1" t="s">
        <v>10</v>
      </c>
      <c r="F4850" s="1" t="str">
        <f>"10.125.6.202"</f>
        <v>10.125.6.202</v>
      </c>
      <c r="G4850" s="1" t="str">
        <f>"0424Q362"</f>
        <v>0424Q362</v>
      </c>
      <c r="H4850" s="1" t="str">
        <f>"강변간 44R8"</f>
        <v>강변간 44R8</v>
      </c>
      <c r="I4850" s="1" t="s">
        <v>8</v>
      </c>
      <c r="J4850" s="1" t="str">
        <f>"100/102"</f>
        <v>100/102</v>
      </c>
      <c r="K4850" s="1" t="str">
        <f>"2026-07-29 13:18:03"</f>
        <v>2026-07-29 13:18:03</v>
      </c>
      <c r="L4850" s="1" t="str">
        <f>"2014-12-03 11:58:27"</f>
        <v>2014-12-03 11:58:27</v>
      </c>
      <c r="M4850" s="1" t="s">
        <v>45</v>
      </c>
      <c r="N4850" s="1" t="s">
        <v>38</v>
      </c>
      <c r="O4850" s="1" t="s">
        <v>46</v>
      </c>
    </row>
    <row r="4851" spans="2:15" x14ac:dyDescent="0.3">
      <c r="B4851" s="1" t="s">
        <v>23</v>
      </c>
      <c r="C4851" s="1" t="str">
        <f t="shared" si="264"/>
        <v>1차</v>
      </c>
      <c r="D4851" s="1" t="str">
        <f>"0424Q44100"</f>
        <v>0424Q44100</v>
      </c>
      <c r="E4851" s="1" t="s">
        <v>10</v>
      </c>
      <c r="F4851" s="1" t="str">
        <f>"10.125.6.210"</f>
        <v>10.125.6.210</v>
      </c>
      <c r="G4851" s="1" t="str">
        <f>"0424Q441"</f>
        <v>0424Q441</v>
      </c>
      <c r="H4851" s="1" t="str">
        <f>"강변간 55R2"</f>
        <v>강변간 55R2</v>
      </c>
      <c r="I4851" s="1" t="s">
        <v>8</v>
      </c>
      <c r="J4851" s="1" t="str">
        <f>"4/4"</f>
        <v>4/4</v>
      </c>
      <c r="K4851" s="1" t="str">
        <f>"2026-07-29 13:18:03"</f>
        <v>2026-07-29 13:18:03</v>
      </c>
      <c r="L4851" s="1" t="str">
        <f>"2014-12-04 16:59:09"</f>
        <v>2014-12-04 16:59:09</v>
      </c>
      <c r="M4851" s="1" t="s">
        <v>45</v>
      </c>
      <c r="N4851" s="1" t="s">
        <v>38</v>
      </c>
      <c r="O4851" s="1" t="s">
        <v>46</v>
      </c>
    </row>
    <row r="4852" spans="2:15" x14ac:dyDescent="0.3">
      <c r="B4852" s="1" t="s">
        <v>23</v>
      </c>
      <c r="C4852" s="1" t="str">
        <f>"5-2차"</f>
        <v>5-2차</v>
      </c>
      <c r="D4852" s="1" t="str">
        <f>"0424Q4615M"</f>
        <v>0424Q4615M</v>
      </c>
      <c r="E4852" s="1" t="s">
        <v>10</v>
      </c>
      <c r="F4852" s="1" t="str">
        <f>"fde3:102:1440:1300:0:0:0:6"</f>
        <v>fde3:102:1440:1300:0:0:0:6</v>
      </c>
      <c r="G4852" s="1" t="str">
        <f>"0424Q461"</f>
        <v>0424Q461</v>
      </c>
      <c r="H4852" s="1" t="str">
        <f>"강변간 44R6"</f>
        <v>강변간 44R6</v>
      </c>
      <c r="I4852" s="1" t="s">
        <v>15</v>
      </c>
      <c r="J4852" s="1" t="str">
        <f>"48/48"</f>
        <v>48/48</v>
      </c>
      <c r="K4852" s="1" t="str">
        <f>"2026-07-29 14:21:07"</f>
        <v>2026-07-29 14:21:07</v>
      </c>
      <c r="L4852" s="1" t="str">
        <f>"2023-06-26 15:21:54"</f>
        <v>2023-06-26 15:21:54</v>
      </c>
      <c r="M4852" s="1" t="s">
        <v>45</v>
      </c>
      <c r="N4852" s="1" t="s">
        <v>38</v>
      </c>
      <c r="O4852" s="1" t="s">
        <v>46</v>
      </c>
    </row>
    <row r="4853" spans="2:15" x14ac:dyDescent="0.3">
      <c r="B4853" s="1" t="s">
        <v>23</v>
      </c>
      <c r="C4853" s="1" t="str">
        <f>"1차"</f>
        <v>1차</v>
      </c>
      <c r="D4853" s="1" t="str">
        <f>"0424Q48101"</f>
        <v>0424Q48101</v>
      </c>
      <c r="E4853" s="1" t="s">
        <v>10</v>
      </c>
      <c r="F4853" s="1" t="str">
        <f>"10.12.136.104"</f>
        <v>10.12.136.104</v>
      </c>
      <c r="G4853" s="1" t="str">
        <f>"0424Q481"</f>
        <v>0424Q481</v>
      </c>
      <c r="H4853" s="1" t="str">
        <f>"강변간 44R3R3"</f>
        <v>강변간 44R3R3</v>
      </c>
      <c r="I4853" s="1" t="s">
        <v>8</v>
      </c>
      <c r="J4853" s="1" t="str">
        <f>"8/17"</f>
        <v>8/17</v>
      </c>
      <c r="K4853" s="1" t="str">
        <f>"2026-07-29 13:18:02"</f>
        <v>2026-07-29 13:18:02</v>
      </c>
      <c r="L4853" s="1" t="str">
        <f>"2014-12-08 14:42:30"</f>
        <v>2014-12-08 14:42:30</v>
      </c>
      <c r="M4853" s="1" t="s">
        <v>0</v>
      </c>
      <c r="N4853" s="1" t="s">
        <v>38</v>
      </c>
      <c r="O4853" s="1" t="s">
        <v>46</v>
      </c>
    </row>
    <row r="4854" spans="2:15" x14ac:dyDescent="0.3">
      <c r="B4854" s="1" t="s">
        <v>23</v>
      </c>
      <c r="C4854" s="1" t="str">
        <f>"5-2차"</f>
        <v>5-2차</v>
      </c>
      <c r="D4854" s="1" t="str">
        <f>"0424Q5125S"</f>
        <v>0424Q5125S</v>
      </c>
      <c r="E4854" s="1" t="s">
        <v>10</v>
      </c>
      <c r="F4854" s="1" t="str">
        <f>"fde3:102:1440:1300:0:0:0:9"</f>
        <v>fde3:102:1440:1300:0:0:0:9</v>
      </c>
      <c r="G4854" s="1" t="str">
        <f>"0424Q512"</f>
        <v>0424Q512</v>
      </c>
      <c r="H4854" s="1" t="str">
        <f>"강변간 49L1R2"</f>
        <v>강변간 49L1R2</v>
      </c>
      <c r="I4854" s="1" t="s">
        <v>15</v>
      </c>
      <c r="J4854" s="1" t="str">
        <f>"9/9"</f>
        <v>9/9</v>
      </c>
      <c r="K4854" s="1" t="str">
        <f>"2026-07-29 14:21:08"</f>
        <v>2026-07-29 14:21:08</v>
      </c>
      <c r="L4854" s="1" t="str">
        <f>"2023-06-22 11:40:21"</f>
        <v>2023-06-22 11:40:21</v>
      </c>
      <c r="M4854" s="1" t="s">
        <v>45</v>
      </c>
      <c r="N4854" s="1" t="s">
        <v>38</v>
      </c>
      <c r="O4854" s="1" t="s">
        <v>46</v>
      </c>
    </row>
    <row r="4855" spans="2:15" x14ac:dyDescent="0.3">
      <c r="B4855" s="1" t="s">
        <v>23</v>
      </c>
      <c r="C4855" s="1" t="str">
        <f>"1차"</f>
        <v>1차</v>
      </c>
      <c r="D4855" s="1" t="str">
        <f>"0424Q54100"</f>
        <v>0424Q54100</v>
      </c>
      <c r="E4855" s="1" t="s">
        <v>10</v>
      </c>
      <c r="F4855" s="1" t="str">
        <f>"10.125.6.218"</f>
        <v>10.125.6.218</v>
      </c>
      <c r="G4855" s="1" t="str">
        <f>"0424Q541"</f>
        <v>0424Q541</v>
      </c>
      <c r="H4855" s="1" t="str">
        <f>"강변간 45R1"</f>
        <v>강변간 45R1</v>
      </c>
      <c r="I4855" s="1" t="s">
        <v>8</v>
      </c>
      <c r="J4855" s="1" t="str">
        <f>"31/31"</f>
        <v>31/31</v>
      </c>
      <c r="K4855" s="1" t="str">
        <f>"2026-07-29 13:18:03"</f>
        <v>2026-07-29 13:18:03</v>
      </c>
      <c r="L4855" s="1" t="str">
        <f>"2014-12-04 17:01:36"</f>
        <v>2014-12-04 17:01:36</v>
      </c>
      <c r="M4855" s="1" t="s">
        <v>45</v>
      </c>
      <c r="N4855" s="1" t="s">
        <v>38</v>
      </c>
      <c r="O4855" s="1" t="s">
        <v>46</v>
      </c>
    </row>
    <row r="4856" spans="2:15" x14ac:dyDescent="0.3">
      <c r="B4856" s="1" t="s">
        <v>23</v>
      </c>
      <c r="C4856" s="1" t="str">
        <f>"5-2차"</f>
        <v>5-2차</v>
      </c>
      <c r="D4856" s="1" t="str">
        <f>"0424Q5625M"</f>
        <v>0424Q5625M</v>
      </c>
      <c r="E4856" s="1" t="s">
        <v>10</v>
      </c>
      <c r="F4856" s="1" t="str">
        <f>"fde1:103:4:93b2:0:0:0:2"</f>
        <v>fde1:103:4:93b2:0:0:0:2</v>
      </c>
      <c r="G4856" s="1" t="str">
        <f>"0424Q562"</f>
        <v>0424Q562</v>
      </c>
      <c r="H4856" s="1" t="str">
        <f>"강변간 44R2"</f>
        <v>강변간 44R2</v>
      </c>
      <c r="I4856" s="1" t="s">
        <v>15</v>
      </c>
      <c r="J4856" s="1" t="str">
        <f>"70/71"</f>
        <v>70/71</v>
      </c>
      <c r="K4856" s="1" t="str">
        <f>"2026-07-29 14:21:15"</f>
        <v>2026-07-29 14:21:15</v>
      </c>
      <c r="L4856" s="1" t="str">
        <f>"2023-12-15 14:16:33"</f>
        <v>2023-12-15 14:16:33</v>
      </c>
      <c r="M4856" s="1" t="s">
        <v>4</v>
      </c>
      <c r="N4856" s="1" t="s">
        <v>38</v>
      </c>
      <c r="O4856" s="1" t="s">
        <v>46</v>
      </c>
    </row>
    <row r="4857" spans="2:15" x14ac:dyDescent="0.3">
      <c r="B4857" s="1" t="s">
        <v>23</v>
      </c>
      <c r="C4857" s="1" t="str">
        <f>"5-2차"</f>
        <v>5-2차</v>
      </c>
      <c r="D4857" s="1" t="str">
        <f>"0424Q6315M"</f>
        <v>0424Q6315M</v>
      </c>
      <c r="E4857" s="1" t="s">
        <v>10</v>
      </c>
      <c r="F4857" s="1" t="str">
        <f>"fde3:102:1440:1300:0:0:0:d"</f>
        <v>fde3:102:1440:1300:0:0:0:d</v>
      </c>
      <c r="G4857" s="1" t="str">
        <f>"0424Q631"</f>
        <v>0424Q631</v>
      </c>
      <c r="H4857" s="1" t="str">
        <f>"강변간 48"</f>
        <v>강변간 48</v>
      </c>
      <c r="I4857" s="1" t="s">
        <v>15</v>
      </c>
      <c r="J4857" s="1" t="str">
        <f>"26/26"</f>
        <v>26/26</v>
      </c>
      <c r="K4857" s="1" t="str">
        <f>"2026-07-29 14:21:08"</f>
        <v>2026-07-29 14:21:08</v>
      </c>
      <c r="L4857" s="1" t="str">
        <f>"2023-06-26 15:27:41"</f>
        <v>2023-06-26 15:27:41</v>
      </c>
      <c r="M4857" s="1" t="s">
        <v>45</v>
      </c>
      <c r="N4857" s="1" t="s">
        <v>38</v>
      </c>
      <c r="O4857" s="1" t="s">
        <v>46</v>
      </c>
    </row>
    <row r="4858" spans="2:15" x14ac:dyDescent="0.3">
      <c r="B4858" s="1" t="s">
        <v>23</v>
      </c>
      <c r="C4858" s="1" t="str">
        <f>"5-1차"</f>
        <v>5-1차</v>
      </c>
      <c r="D4858" s="1" t="str">
        <f>"0424Q7945M"</f>
        <v>0424Q7945M</v>
      </c>
      <c r="E4858" s="1" t="s">
        <v>10</v>
      </c>
      <c r="F4858" s="1" t="str">
        <f>"fde3:102:1440:1300:0:0:0:3"</f>
        <v>fde3:102:1440:1300:0:0:0:3</v>
      </c>
      <c r="G4858" s="1" t="str">
        <f>"0424Q794"</f>
        <v>0424Q794</v>
      </c>
      <c r="H4858" s="1" t="str">
        <f>"강변간 34"</f>
        <v>강변간 34</v>
      </c>
      <c r="I4858" s="1" t="s">
        <v>15</v>
      </c>
      <c r="J4858" s="1" t="str">
        <f>"22/22"</f>
        <v>22/22</v>
      </c>
      <c r="K4858" s="1" t="str">
        <f>"2026-07-29 14:21:14"</f>
        <v>2026-07-29 14:21:14</v>
      </c>
      <c r="L4858" s="1" t="str">
        <f>"2022-11-01 10:11:36"</f>
        <v>2022-11-01 10:11:36</v>
      </c>
      <c r="M4858" s="1" t="s">
        <v>45</v>
      </c>
      <c r="N4858" s="1" t="s">
        <v>38</v>
      </c>
      <c r="O4858" s="1" t="s">
        <v>46</v>
      </c>
    </row>
    <row r="4859" spans="2:15" x14ac:dyDescent="0.3">
      <c r="B4859" s="1" t="s">
        <v>23</v>
      </c>
      <c r="C4859" s="1" t="str">
        <f>"5-1차"</f>
        <v>5-1차</v>
      </c>
      <c r="D4859" s="1" t="str">
        <f>"0424Q8815M"</f>
        <v>0424Q8815M</v>
      </c>
      <c r="E4859" s="1" t="s">
        <v>10</v>
      </c>
      <c r="F4859" s="1" t="str">
        <f>"fde2:104:0:16e:0:0:0:2"</f>
        <v>fde2:104:0:16e:0:0:0:2</v>
      </c>
      <c r="G4859" s="1" t="str">
        <f>"0424Q881"</f>
        <v>0424Q881</v>
      </c>
      <c r="H4859" s="1" t="str">
        <f>"강변간 36"</f>
        <v>강변간 36</v>
      </c>
      <c r="I4859" s="1" t="s">
        <v>15</v>
      </c>
      <c r="J4859" s="1" t="str">
        <f>"11/11"</f>
        <v>11/11</v>
      </c>
      <c r="K4859" s="1" t="str">
        <f>"2026-07-29 14:21:09"</f>
        <v>2026-07-29 14:21:09</v>
      </c>
      <c r="L4859" s="1" t="str">
        <f>"2022-11-16 10:20:48"</f>
        <v>2022-11-16 10:20:48</v>
      </c>
      <c r="M4859" s="1" t="s">
        <v>42</v>
      </c>
      <c r="N4859" s="1" t="s">
        <v>38</v>
      </c>
      <c r="O4859" s="1" t="s">
        <v>46</v>
      </c>
    </row>
    <row r="4860" spans="2:15" x14ac:dyDescent="0.3">
      <c r="B4860" s="1" t="s">
        <v>23</v>
      </c>
      <c r="C4860" s="1" t="str">
        <f>"5-1차"</f>
        <v>5-1차</v>
      </c>
      <c r="D4860" s="1" t="str">
        <f>"0424Q8825M"</f>
        <v>0424Q8825M</v>
      </c>
      <c r="E4860" s="1" t="s">
        <v>10</v>
      </c>
      <c r="F4860" s="1" t="str">
        <f>"fde2:104:0:16c:0:0:0:2"</f>
        <v>fde2:104:0:16c:0:0:0:2</v>
      </c>
      <c r="G4860" s="1" t="str">
        <f>"0424Q882"</f>
        <v>0424Q882</v>
      </c>
      <c r="H4860" s="1" t="str">
        <f>"강변간 36L1"</f>
        <v>강변간 36L1</v>
      </c>
      <c r="I4860" s="1" t="s">
        <v>15</v>
      </c>
      <c r="J4860" s="1" t="str">
        <f>"10/10"</f>
        <v>10/10</v>
      </c>
      <c r="K4860" s="1" t="str">
        <f>"2026-07-29 14:21:09"</f>
        <v>2026-07-29 14:21:09</v>
      </c>
      <c r="L4860" s="1" t="str">
        <f>"2022-11-16 10:27:03"</f>
        <v>2022-11-16 10:27:03</v>
      </c>
      <c r="M4860" s="1" t="s">
        <v>42</v>
      </c>
      <c r="N4860" s="1" t="s">
        <v>38</v>
      </c>
      <c r="O4860" s="1" t="s">
        <v>46</v>
      </c>
    </row>
    <row r="4861" spans="2:15" x14ac:dyDescent="0.3">
      <c r="B4861" s="1" t="s">
        <v>23</v>
      </c>
      <c r="C4861" s="1" t="str">
        <f>"5-2차"</f>
        <v>5-2차</v>
      </c>
      <c r="D4861" s="1" t="str">
        <f>"0424R0725M"</f>
        <v>0424R0725M</v>
      </c>
      <c r="E4861" s="1" t="s">
        <v>10</v>
      </c>
      <c r="F4861" s="1" t="str">
        <f>"fde1:103:4:942c:0:0:0:2"</f>
        <v>fde1:103:4:942c:0:0:0:2</v>
      </c>
      <c r="G4861" s="1" t="str">
        <f>"0424R072"</f>
        <v>0424R072</v>
      </c>
      <c r="H4861" s="1" t="str">
        <f>"자양간 50R15L3R1L4"</f>
        <v>자양간 50R15L3R1L4</v>
      </c>
      <c r="I4861" s="1" t="s">
        <v>15</v>
      </c>
      <c r="J4861" s="1" t="str">
        <f>"64/66"</f>
        <v>64/66</v>
      </c>
      <c r="K4861" s="1" t="str">
        <f>"2026-07-29 14:20:50"</f>
        <v>2026-07-29 14:20:50</v>
      </c>
      <c r="L4861" s="1" t="str">
        <f>"2023-12-15 14:16:59"</f>
        <v>2023-12-15 14:16:59</v>
      </c>
      <c r="M4861" s="1" t="s">
        <v>4</v>
      </c>
      <c r="N4861" s="1" t="s">
        <v>38</v>
      </c>
      <c r="O4861" s="1" t="s">
        <v>46</v>
      </c>
    </row>
    <row r="4862" spans="2:15" x14ac:dyDescent="0.3">
      <c r="B4862" s="1" t="s">
        <v>23</v>
      </c>
      <c r="C4862" s="1" t="str">
        <f>"6차"</f>
        <v>6차</v>
      </c>
      <c r="D4862" s="1" t="str">
        <f>"0424R0926S"</f>
        <v>0424R0926S</v>
      </c>
      <c r="E4862" s="1" t="s">
        <v>12</v>
      </c>
      <c r="F4862" s="1" t="str">
        <f>"fde1:103:4:c701:0:0:0:2"</f>
        <v>fde1:103:4:c701:0:0:0:2</v>
      </c>
      <c r="G4862" s="1" t="str">
        <f>"0424R092"</f>
        <v>0424R092</v>
      </c>
      <c r="H4862" s="1" t="str">
        <f>"자양간 50R19"</f>
        <v>자양간 50R19</v>
      </c>
      <c r="I4862" s="1" t="s">
        <v>15</v>
      </c>
      <c r="J4862" s="1" t="str">
        <f>"0/59"</f>
        <v>0/59</v>
      </c>
      <c r="K4862" s="1" t="str">
        <f>"2026-03-06 08:20:00"</f>
        <v>2026-03-06 08:20:00</v>
      </c>
      <c r="L4862" s="1" t="str">
        <f>"2024-11-18 11:04:42"</f>
        <v>2024-11-18 11:04:42</v>
      </c>
      <c r="M4862" s="1" t="s">
        <v>4</v>
      </c>
      <c r="N4862" s="1" t="s">
        <v>38</v>
      </c>
      <c r="O4862" s="1" t="s">
        <v>46</v>
      </c>
    </row>
    <row r="4863" spans="2:15" x14ac:dyDescent="0.3">
      <c r="B4863" s="1" t="s">
        <v>23</v>
      </c>
      <c r="C4863" s="1" t="str">
        <f>"5-2차"</f>
        <v>5-2차</v>
      </c>
      <c r="D4863" s="1" t="str">
        <f>"0424R1715M"</f>
        <v>0424R1715M</v>
      </c>
      <c r="E4863" s="1" t="s">
        <v>10</v>
      </c>
      <c r="F4863" s="1" t="str">
        <f>"fde3:102:1440:2100:0:0:0:16"</f>
        <v>fde3:102:1440:2100:0:0:0:16</v>
      </c>
      <c r="G4863" s="1" t="str">
        <f>"0424R171"</f>
        <v>0424R171</v>
      </c>
      <c r="H4863" s="1" t="str">
        <f>"자양간 50R15L3"</f>
        <v>자양간 50R15L3</v>
      </c>
      <c r="I4863" s="1" t="s">
        <v>15</v>
      </c>
      <c r="J4863" s="1" t="str">
        <f>"53/53"</f>
        <v>53/53</v>
      </c>
      <c r="K4863" s="1" t="str">
        <f>"2026-07-29 14:20:30"</f>
        <v>2026-07-29 14:20:30</v>
      </c>
      <c r="L4863" s="1" t="str">
        <f>"2023-10-11 11:03:11"</f>
        <v>2023-10-11 11:03:11</v>
      </c>
      <c r="M4863" s="1" t="s">
        <v>45</v>
      </c>
      <c r="N4863" s="1" t="s">
        <v>38</v>
      </c>
      <c r="O4863" s="1" t="s">
        <v>46</v>
      </c>
    </row>
    <row r="4864" spans="2:15" x14ac:dyDescent="0.3">
      <c r="B4864" s="1" t="s">
        <v>23</v>
      </c>
      <c r="C4864" s="1" t="str">
        <f>"6차"</f>
        <v>6차</v>
      </c>
      <c r="D4864" s="1" t="str">
        <f>"0424R1916S"</f>
        <v>0424R1916S</v>
      </c>
      <c r="E4864" s="1" t="s">
        <v>10</v>
      </c>
      <c r="F4864" s="1" t="str">
        <f>"fde1:103:4:c6be:0:0:0:2"</f>
        <v>fde1:103:4:c6be:0:0:0:2</v>
      </c>
      <c r="G4864" s="1" t="str">
        <f>"0424R191"</f>
        <v>0424R191</v>
      </c>
      <c r="H4864" s="1" t="str">
        <f>"자양간 50R17"</f>
        <v>자양간 50R17</v>
      </c>
      <c r="I4864" s="1" t="s">
        <v>15</v>
      </c>
      <c r="J4864" s="1" t="str">
        <f>"94/94"</f>
        <v>94/94</v>
      </c>
      <c r="K4864" s="1" t="str">
        <f>"2026-07-29 14:20:32"</f>
        <v>2026-07-29 14:20:32</v>
      </c>
      <c r="L4864" s="1" t="str">
        <f>"2024-11-19 11:36:57"</f>
        <v>2024-11-19 11:36:57</v>
      </c>
      <c r="M4864" s="1" t="s">
        <v>4</v>
      </c>
      <c r="N4864" s="1" t="s">
        <v>38</v>
      </c>
      <c r="O4864" s="1" t="s">
        <v>46</v>
      </c>
    </row>
    <row r="4865" spans="2:15" x14ac:dyDescent="0.3">
      <c r="B4865" s="1" t="s">
        <v>23</v>
      </c>
      <c r="C4865" s="1" t="str">
        <f>"1차"</f>
        <v>1차</v>
      </c>
      <c r="D4865" s="1" t="str">
        <f>"0424R27100"</f>
        <v>0424R27100</v>
      </c>
      <c r="E4865" s="1" t="s">
        <v>10</v>
      </c>
      <c r="F4865" s="1" t="str">
        <f>"10.125.6.226"</f>
        <v>10.125.6.226</v>
      </c>
      <c r="G4865" s="1" t="str">
        <f>"0424R271"</f>
        <v>0424R271</v>
      </c>
      <c r="H4865" s="1" t="str">
        <f>"자양간 50R15L3L1"</f>
        <v>자양간 50R15L3L1</v>
      </c>
      <c r="I4865" s="1" t="s">
        <v>8</v>
      </c>
      <c r="J4865" s="1" t="str">
        <f>"83/83"</f>
        <v>83/83</v>
      </c>
      <c r="K4865" s="1" t="str">
        <f>"2026-07-29 13:18:03"</f>
        <v>2026-07-29 13:18:03</v>
      </c>
      <c r="L4865" s="1" t="str">
        <f>"2014-12-03 16:32:07"</f>
        <v>2014-12-03 16:32:07</v>
      </c>
      <c r="M4865" s="1" t="s">
        <v>45</v>
      </c>
      <c r="N4865" s="1" t="s">
        <v>38</v>
      </c>
      <c r="O4865" s="1" t="s">
        <v>46</v>
      </c>
    </row>
    <row r="4866" spans="2:15" x14ac:dyDescent="0.3">
      <c r="B4866" s="1" t="s">
        <v>23</v>
      </c>
      <c r="C4866" s="1" t="str">
        <f>"4차"</f>
        <v>4차</v>
      </c>
      <c r="D4866" s="1" t="str">
        <f>"0424R38142"</f>
        <v>0424R38142</v>
      </c>
      <c r="E4866" s="1" t="s">
        <v>10</v>
      </c>
      <c r="F4866" s="1" t="str">
        <f>"10.125.3.218"</f>
        <v>10.125.3.218</v>
      </c>
      <c r="G4866" s="1" t="str">
        <f>"0424R381"</f>
        <v>0424R381</v>
      </c>
      <c r="H4866" s="1" t="str">
        <f>"자양간 50R13"</f>
        <v>자양간 50R13</v>
      </c>
      <c r="I4866" s="1" t="s">
        <v>8</v>
      </c>
      <c r="J4866" s="1" t="str">
        <f>"87/87"</f>
        <v>87/87</v>
      </c>
      <c r="K4866" s="1" t="str">
        <f>"2026-07-29 13:18:03"</f>
        <v>2026-07-29 13:18:03</v>
      </c>
      <c r="L4866" s="1" t="str">
        <f>"2024-12-24 13:56:32"</f>
        <v>2024-12-24 13:56:32</v>
      </c>
      <c r="M4866" s="1" t="s">
        <v>45</v>
      </c>
      <c r="N4866" s="1" t="s">
        <v>38</v>
      </c>
      <c r="O4866" s="1" t="s">
        <v>46</v>
      </c>
    </row>
    <row r="4867" spans="2:15" x14ac:dyDescent="0.3">
      <c r="B4867" s="1" t="s">
        <v>23</v>
      </c>
      <c r="C4867" s="1" t="str">
        <f t="shared" ref="C4867:C4872" si="265">"1차"</f>
        <v>1차</v>
      </c>
      <c r="D4867" s="1" t="str">
        <f>"0424R48101"</f>
        <v>0424R48101</v>
      </c>
      <c r="E4867" s="1" t="s">
        <v>12</v>
      </c>
      <c r="F4867" s="1" t="str">
        <f>"10.125.3.226"</f>
        <v>10.125.3.226</v>
      </c>
      <c r="G4867" s="1" t="str">
        <f>"0424R481"</f>
        <v>0424R481</v>
      </c>
      <c r="H4867" s="1" t="str">
        <f>"자양간 50R11L1"</f>
        <v>자양간 50R11L1</v>
      </c>
      <c r="I4867" s="1" t="s">
        <v>8</v>
      </c>
      <c r="J4867" s="1" t="str">
        <f>"0/12"</f>
        <v>0/12</v>
      </c>
      <c r="K4867" s="1" t="str">
        <f>"2026-07-18 07:18:03"</f>
        <v>2026-07-18 07:18:03</v>
      </c>
      <c r="L4867" s="1" t="str">
        <f>"2015-02-25 12:23:44"</f>
        <v>2015-02-25 12:23:44</v>
      </c>
      <c r="M4867" s="1" t="s">
        <v>45</v>
      </c>
      <c r="N4867" s="1" t="s">
        <v>38</v>
      </c>
      <c r="O4867" s="1" t="s">
        <v>46</v>
      </c>
    </row>
    <row r="4868" spans="2:15" x14ac:dyDescent="0.3">
      <c r="B4868" s="1" t="s">
        <v>23</v>
      </c>
      <c r="C4868" s="1" t="str">
        <f t="shared" si="265"/>
        <v>1차</v>
      </c>
      <c r="D4868" s="1" t="str">
        <f>"0424R59100"</f>
        <v>0424R59100</v>
      </c>
      <c r="E4868" s="1" t="s">
        <v>10</v>
      </c>
      <c r="F4868" s="1" t="str">
        <f>"10.125.7.50"</f>
        <v>10.125.7.50</v>
      </c>
      <c r="G4868" s="1" t="str">
        <f>"0424R591"</f>
        <v>0424R591</v>
      </c>
      <c r="H4868" s="1" t="str">
        <f>"자양간 50R10"</f>
        <v>자양간 50R10</v>
      </c>
      <c r="I4868" s="1" t="s">
        <v>8</v>
      </c>
      <c r="J4868" s="1" t="str">
        <f>"36/44"</f>
        <v>36/44</v>
      </c>
      <c r="K4868" s="1" t="str">
        <f>"2026-07-29 13:18:03"</f>
        <v>2026-07-29 13:18:03</v>
      </c>
      <c r="L4868" s="1" t="str">
        <f>"2014-12-03 11:13:20"</f>
        <v>2014-12-03 11:13:20</v>
      </c>
      <c r="M4868" s="1" t="s">
        <v>45</v>
      </c>
      <c r="N4868" s="1" t="s">
        <v>38</v>
      </c>
      <c r="O4868" s="1" t="s">
        <v>46</v>
      </c>
    </row>
    <row r="4869" spans="2:15" x14ac:dyDescent="0.3">
      <c r="B4869" s="1" t="s">
        <v>23</v>
      </c>
      <c r="C4869" s="1" t="str">
        <f t="shared" si="265"/>
        <v>1차</v>
      </c>
      <c r="D4869" s="1" t="str">
        <f>"0424R68400"</f>
        <v>0424R68400</v>
      </c>
      <c r="E4869" s="1" t="s">
        <v>10</v>
      </c>
      <c r="F4869" s="1" t="str">
        <f>"10.125.6.242"</f>
        <v>10.125.6.242</v>
      </c>
      <c r="G4869" s="1" t="str">
        <f>"0424R684"</f>
        <v>0424R684</v>
      </c>
      <c r="H4869" s="1" t="str">
        <f>"자양간 50R11L2L3"</f>
        <v>자양간 50R11L2L3</v>
      </c>
      <c r="I4869" s="1" t="s">
        <v>8</v>
      </c>
      <c r="J4869" s="1" t="str">
        <f>"120/120"</f>
        <v>120/120</v>
      </c>
      <c r="K4869" s="1" t="str">
        <f>"2026-07-29 13:18:03"</f>
        <v>2026-07-29 13:18:03</v>
      </c>
      <c r="L4869" s="1" t="str">
        <f>"2014-12-17 11:27:49"</f>
        <v>2014-12-17 11:27:49</v>
      </c>
      <c r="M4869" s="1" t="s">
        <v>45</v>
      </c>
      <c r="N4869" s="1" t="s">
        <v>38</v>
      </c>
      <c r="O4869" s="1" t="s">
        <v>46</v>
      </c>
    </row>
    <row r="4870" spans="2:15" x14ac:dyDescent="0.3">
      <c r="B4870" s="1" t="s">
        <v>23</v>
      </c>
      <c r="C4870" s="1" t="str">
        <f t="shared" si="265"/>
        <v>1차</v>
      </c>
      <c r="D4870" s="1" t="str">
        <f>"0424R88201"</f>
        <v>0424R88201</v>
      </c>
      <c r="E4870" s="1" t="s">
        <v>10</v>
      </c>
      <c r="F4870" s="1" t="str">
        <f>"10.125.3.235"</f>
        <v>10.125.3.235</v>
      </c>
      <c r="G4870" s="1" t="str">
        <f>"0424R882"</f>
        <v>0424R882</v>
      </c>
      <c r="H4870" s="1" t="str">
        <f>"자양간 50R8L6"</f>
        <v>자양간 50R8L6</v>
      </c>
      <c r="I4870" s="1" t="s">
        <v>8</v>
      </c>
      <c r="J4870" s="1" t="str">
        <f>"73/73"</f>
        <v>73/73</v>
      </c>
      <c r="K4870" s="1" t="str">
        <f>"2026-07-29 13:18:04"</f>
        <v>2026-07-29 13:18:04</v>
      </c>
      <c r="L4870" s="1" t="str">
        <f>"2014-12-16 10:58:23"</f>
        <v>2014-12-16 10:58:23</v>
      </c>
      <c r="M4870" s="1" t="s">
        <v>45</v>
      </c>
      <c r="N4870" s="1" t="s">
        <v>38</v>
      </c>
      <c r="O4870" s="1" t="s">
        <v>46</v>
      </c>
    </row>
    <row r="4871" spans="2:15" x14ac:dyDescent="0.3">
      <c r="B4871" s="1" t="s">
        <v>23</v>
      </c>
      <c r="C4871" s="1" t="str">
        <f t="shared" si="265"/>
        <v>1차</v>
      </c>
      <c r="D4871" s="1" t="str">
        <f>"0424R89100"</f>
        <v>0424R89100</v>
      </c>
      <c r="E4871" s="1" t="s">
        <v>10</v>
      </c>
      <c r="F4871" s="1" t="str">
        <f>"10.125.3.234"</f>
        <v>10.125.3.234</v>
      </c>
      <c r="G4871" s="1" t="str">
        <f>"0424R891"</f>
        <v>0424R891</v>
      </c>
      <c r="H4871" s="1" t="str">
        <f>"자양간 50R8L4"</f>
        <v>자양간 50R8L4</v>
      </c>
      <c r="I4871" s="1" t="s">
        <v>8</v>
      </c>
      <c r="J4871" s="1" t="str">
        <f>"14/14"</f>
        <v>14/14</v>
      </c>
      <c r="K4871" s="1" t="str">
        <f>"2026-07-29 13:18:03"</f>
        <v>2026-07-29 13:18:03</v>
      </c>
      <c r="L4871" s="1" t="str">
        <f>"2014-12-18 15:58:08"</f>
        <v>2014-12-18 15:58:08</v>
      </c>
      <c r="M4871" s="1" t="s">
        <v>45</v>
      </c>
      <c r="N4871" s="1" t="s">
        <v>38</v>
      </c>
      <c r="O4871" s="1" t="s">
        <v>46</v>
      </c>
    </row>
    <row r="4872" spans="2:15" x14ac:dyDescent="0.3">
      <c r="B4872" s="1" t="s">
        <v>23</v>
      </c>
      <c r="C4872" s="1" t="str">
        <f t="shared" si="265"/>
        <v>1차</v>
      </c>
      <c r="D4872" s="1" t="str">
        <f>"0424R89301"</f>
        <v>0424R89301</v>
      </c>
      <c r="E4872" s="1" t="s">
        <v>10</v>
      </c>
      <c r="F4872" s="1" t="str">
        <f>"10.125.3.236"</f>
        <v>10.125.3.236</v>
      </c>
      <c r="G4872" s="1" t="str">
        <f>"0424R893"</f>
        <v>0424R893</v>
      </c>
      <c r="H4872" s="1" t="str">
        <f>"자양간 50R8L4L2"</f>
        <v>자양간 50R8L4L2</v>
      </c>
      <c r="I4872" s="1" t="s">
        <v>8</v>
      </c>
      <c r="J4872" s="1" t="str">
        <f>"85/85"</f>
        <v>85/85</v>
      </c>
      <c r="K4872" s="1" t="str">
        <f>"2026-07-29 13:18:03"</f>
        <v>2026-07-29 13:18:03</v>
      </c>
      <c r="L4872" s="1" t="str">
        <f>"2014-12-16 10:58:27"</f>
        <v>2014-12-16 10:58:27</v>
      </c>
      <c r="M4872" s="1" t="s">
        <v>45</v>
      </c>
      <c r="N4872" s="1" t="s">
        <v>38</v>
      </c>
      <c r="O4872" s="1" t="s">
        <v>46</v>
      </c>
    </row>
    <row r="4873" spans="2:15" x14ac:dyDescent="0.3">
      <c r="B4873" s="1" t="s">
        <v>23</v>
      </c>
      <c r="C4873" s="1" t="str">
        <f>"4차"</f>
        <v>4차</v>
      </c>
      <c r="D4873" s="1" t="str">
        <f>"0424W07141"</f>
        <v>0424W07141</v>
      </c>
      <c r="E4873" s="1" t="s">
        <v>10</v>
      </c>
      <c r="F4873" s="1" t="str">
        <f>"10.12.132.174"</f>
        <v>10.12.132.174</v>
      </c>
      <c r="G4873" s="1" t="str">
        <f>"0424W071"</f>
        <v>0424W071</v>
      </c>
      <c r="H4873" s="1" t="str">
        <f>"강변간 29L6"</f>
        <v>강변간 29L6</v>
      </c>
      <c r="I4873" s="1" t="s">
        <v>17</v>
      </c>
      <c r="J4873" s="1" t="str">
        <f>"18/18"</f>
        <v>18/18</v>
      </c>
      <c r="K4873" s="1" t="str">
        <f>"2026-07-29 13:18:05"</f>
        <v>2026-07-29 13:18:05</v>
      </c>
      <c r="L4873" s="1" t="str">
        <f>"2021-06-16 09:54:51"</f>
        <v>2021-06-16 09:54:51</v>
      </c>
      <c r="M4873" s="1" t="s">
        <v>0</v>
      </c>
      <c r="N4873" s="1" t="s">
        <v>38</v>
      </c>
      <c r="O4873" s="1" t="s">
        <v>46</v>
      </c>
    </row>
    <row r="4874" spans="2:15" x14ac:dyDescent="0.3">
      <c r="B4874" s="1" t="s">
        <v>23</v>
      </c>
      <c r="C4874" s="1" t="str">
        <f>"1차"</f>
        <v>1차</v>
      </c>
      <c r="D4874" s="1" t="str">
        <f>"0425A00200"</f>
        <v>0425A00200</v>
      </c>
      <c r="E4874" s="1" t="s">
        <v>10</v>
      </c>
      <c r="F4874" s="1" t="str">
        <f>"10.125.116.141"</f>
        <v>10.125.116.141</v>
      </c>
      <c r="G4874" s="1" t="str">
        <f>"0425A002"</f>
        <v>0425A002</v>
      </c>
      <c r="H4874" s="1" t="str">
        <f>"광장간 30L12R5"</f>
        <v>광장간 30L12R5</v>
      </c>
      <c r="I4874" s="1" t="s">
        <v>8</v>
      </c>
      <c r="J4874" s="1" t="str">
        <f>"1/1"</f>
        <v>1/1</v>
      </c>
      <c r="K4874" s="1" t="str">
        <f>"2026-07-29 13:18:03"</f>
        <v>2026-07-29 13:18:03</v>
      </c>
      <c r="L4874" s="1" t="str">
        <f>"2021-11-08 10:02:45"</f>
        <v>2021-11-08 10:02:45</v>
      </c>
      <c r="M4874" s="1" t="s">
        <v>45</v>
      </c>
      <c r="N4874" s="1" t="s">
        <v>38</v>
      </c>
      <c r="O4874" s="1" t="s">
        <v>46</v>
      </c>
    </row>
    <row r="4875" spans="2:15" x14ac:dyDescent="0.3">
      <c r="B4875" s="1" t="s">
        <v>23</v>
      </c>
      <c r="C4875" s="1" t="str">
        <f>"1차"</f>
        <v>1차</v>
      </c>
      <c r="D4875" s="1" t="str">
        <f>"0425A03200"</f>
        <v>0425A03200</v>
      </c>
      <c r="E4875" s="1" t="s">
        <v>10</v>
      </c>
      <c r="F4875" s="1" t="str">
        <f>"10.125.118.172"</f>
        <v>10.125.118.172</v>
      </c>
      <c r="G4875" s="1" t="str">
        <f>"0425A032"</f>
        <v>0425A032</v>
      </c>
      <c r="H4875" s="1" t="str">
        <f>"광장간 30L1"</f>
        <v>광장간 30L1</v>
      </c>
      <c r="I4875" s="1" t="s">
        <v>8</v>
      </c>
      <c r="J4875" s="1" t="str">
        <f>"2/3"</f>
        <v>2/3</v>
      </c>
      <c r="K4875" s="1" t="str">
        <f>"2026-07-29 13:18:03"</f>
        <v>2026-07-29 13:18:03</v>
      </c>
      <c r="L4875" s="1" t="str">
        <f>"2015-07-10 17:49:44"</f>
        <v>2015-07-10 17:49:44</v>
      </c>
      <c r="M4875" s="1" t="s">
        <v>45</v>
      </c>
      <c r="N4875" s="1" t="s">
        <v>38</v>
      </c>
      <c r="O4875" s="1" t="s">
        <v>46</v>
      </c>
    </row>
    <row r="4876" spans="2:15" x14ac:dyDescent="0.3">
      <c r="B4876" s="1" t="s">
        <v>23</v>
      </c>
      <c r="C4876" s="1" t="str">
        <f>"6차"</f>
        <v>6차</v>
      </c>
      <c r="D4876" s="1" t="str">
        <f>"0425A0336S"</f>
        <v>0425A0336S</v>
      </c>
      <c r="E4876" s="1" t="s">
        <v>10</v>
      </c>
      <c r="F4876" s="1" t="str">
        <f>"fde1:103:4:c673:0:0:0:2"</f>
        <v>fde1:103:4:c673:0:0:0:2</v>
      </c>
      <c r="G4876" s="1" t="str">
        <f>"0425A033"</f>
        <v>0425A033</v>
      </c>
      <c r="H4876" s="1" t="str">
        <f>"광장간 30L2"</f>
        <v>광장간 30L2</v>
      </c>
      <c r="I4876" s="1" t="s">
        <v>15</v>
      </c>
      <c r="J4876" s="1" t="str">
        <f>"145/150"</f>
        <v>145/150</v>
      </c>
      <c r="K4876" s="1" t="str">
        <f>"2026-07-29 08:20:52"</f>
        <v>2026-07-29 08:20:52</v>
      </c>
      <c r="L4876" s="1" t="str">
        <f>"2024-11-12 15:04:43"</f>
        <v>2024-11-12 15:04:43</v>
      </c>
      <c r="M4876" s="1" t="s">
        <v>4</v>
      </c>
      <c r="N4876" s="1" t="s">
        <v>38</v>
      </c>
      <c r="O4876" s="1" t="s">
        <v>46</v>
      </c>
    </row>
    <row r="4877" spans="2:15" x14ac:dyDescent="0.3">
      <c r="B4877" s="1" t="s">
        <v>23</v>
      </c>
      <c r="C4877" s="1" t="str">
        <f>"6차"</f>
        <v>6차</v>
      </c>
      <c r="D4877" s="1" t="str">
        <f>"0425A0726S"</f>
        <v>0425A0726S</v>
      </c>
      <c r="E4877" s="1" t="s">
        <v>10</v>
      </c>
      <c r="F4877" s="1" t="str">
        <f>"fde1:103:4:c6b6:0:0:0:2"</f>
        <v>fde1:103:4:c6b6:0:0:0:2</v>
      </c>
      <c r="G4877" s="1" t="str">
        <f>"0425A072"</f>
        <v>0425A072</v>
      </c>
      <c r="H4877" s="1" t="str">
        <f>"화수간 29L7"</f>
        <v>화수간 29L7</v>
      </c>
      <c r="I4877" s="1" t="s">
        <v>15</v>
      </c>
      <c r="J4877" s="1" t="str">
        <f>"54/54"</f>
        <v>54/54</v>
      </c>
      <c r="K4877" s="1" t="str">
        <f>"2026-07-29 14:20:47"</f>
        <v>2026-07-29 14:20:47</v>
      </c>
      <c r="L4877" s="1" t="str">
        <f>"2024-11-18 11:04:36"</f>
        <v>2024-11-18 11:04:36</v>
      </c>
      <c r="M4877" s="1" t="s">
        <v>4</v>
      </c>
      <c r="N4877" s="1" t="s">
        <v>38</v>
      </c>
      <c r="O4877" s="1" t="s">
        <v>46</v>
      </c>
    </row>
    <row r="4878" spans="2:15" x14ac:dyDescent="0.3">
      <c r="B4878" s="1" t="s">
        <v>23</v>
      </c>
      <c r="C4878" s="1" t="str">
        <f>"6차"</f>
        <v>6차</v>
      </c>
      <c r="D4878" s="1" t="str">
        <f>"0425A0916S"</f>
        <v>0425A0916S</v>
      </c>
      <c r="E4878" s="1" t="s">
        <v>10</v>
      </c>
      <c r="F4878" s="1" t="str">
        <f>"fde1:103:4:c6ad:0:0:0:2"</f>
        <v>fde1:103:4:c6ad:0:0:0:2</v>
      </c>
      <c r="G4878" s="1" t="str">
        <f>"0425A091"</f>
        <v>0425A091</v>
      </c>
      <c r="H4878" s="1" t="str">
        <f>"화수간 29L4L4"</f>
        <v>화수간 29L4L4</v>
      </c>
      <c r="I4878" s="1" t="s">
        <v>15</v>
      </c>
      <c r="J4878" s="1" t="str">
        <f>"92/97"</f>
        <v>92/97</v>
      </c>
      <c r="K4878" s="1" t="str">
        <f>"2026-07-29 14:21:08"</f>
        <v>2026-07-29 14:21:08</v>
      </c>
      <c r="L4878" s="1" t="str">
        <f>"2024-11-18 11:04:36"</f>
        <v>2024-11-18 11:04:36</v>
      </c>
      <c r="M4878" s="1" t="s">
        <v>4</v>
      </c>
      <c r="N4878" s="1" t="s">
        <v>38</v>
      </c>
      <c r="O4878" s="1" t="s">
        <v>46</v>
      </c>
    </row>
    <row r="4879" spans="2:15" x14ac:dyDescent="0.3">
      <c r="B4879" s="1" t="s">
        <v>23</v>
      </c>
      <c r="C4879" s="1" t="str">
        <f>"1차"</f>
        <v>1차</v>
      </c>
      <c r="D4879" s="1" t="str">
        <f>"0425A11200"</f>
        <v>0425A11200</v>
      </c>
      <c r="E4879" s="1" t="s">
        <v>10</v>
      </c>
      <c r="F4879" s="1" t="str">
        <f>"10.125.118.173"</f>
        <v>10.125.118.173</v>
      </c>
      <c r="G4879" s="1" t="str">
        <f>"0425A112"</f>
        <v>0425A112</v>
      </c>
      <c r="H4879" s="1" t="str">
        <f>"광장간 30L9L1R3"</f>
        <v>광장간 30L9L1R3</v>
      </c>
      <c r="I4879" s="1" t="s">
        <v>8</v>
      </c>
      <c r="J4879" s="1" t="str">
        <f>"25/27"</f>
        <v>25/27</v>
      </c>
      <c r="K4879" s="1" t="str">
        <f>"2026-07-29 13:18:03"</f>
        <v>2026-07-29 13:18:03</v>
      </c>
      <c r="L4879" s="1" t="str">
        <f>"2015-07-10 14:22:49"</f>
        <v>2015-07-10 14:22:49</v>
      </c>
      <c r="M4879" s="1" t="s">
        <v>45</v>
      </c>
      <c r="N4879" s="1" t="s">
        <v>38</v>
      </c>
      <c r="O4879" s="1" t="s">
        <v>46</v>
      </c>
    </row>
    <row r="4880" spans="2:15" x14ac:dyDescent="0.3">
      <c r="B4880" s="1" t="s">
        <v>23</v>
      </c>
      <c r="C4880" s="1" t="str">
        <f>"1차"</f>
        <v>1차</v>
      </c>
      <c r="D4880" s="1" t="str">
        <f>"0425A11601"</f>
        <v>0425A11601</v>
      </c>
      <c r="E4880" s="1" t="s">
        <v>10</v>
      </c>
      <c r="F4880" s="1" t="str">
        <f>"10.125.118.174"</f>
        <v>10.125.118.174</v>
      </c>
      <c r="G4880" s="1" t="str">
        <f>"0425A116"</f>
        <v>0425A116</v>
      </c>
      <c r="H4880" s="1" t="str">
        <f>"광장간 30L9L1R3R1"</f>
        <v>광장간 30L9L1R3R1</v>
      </c>
      <c r="I4880" s="1" t="s">
        <v>8</v>
      </c>
      <c r="J4880" s="1" t="str">
        <f>"20/23"</f>
        <v>20/23</v>
      </c>
      <c r="K4880" s="1" t="str">
        <f>"2026-07-29 13:18:03"</f>
        <v>2026-07-29 13:18:03</v>
      </c>
      <c r="L4880" s="1" t="str">
        <f>"2010-08-30 19:21:11"</f>
        <v>2010-08-30 19:21:11</v>
      </c>
      <c r="M4880" s="1" t="s">
        <v>45</v>
      </c>
      <c r="N4880" s="1" t="s">
        <v>38</v>
      </c>
      <c r="O4880" s="1" t="s">
        <v>46</v>
      </c>
    </row>
    <row r="4881" spans="2:15" x14ac:dyDescent="0.3">
      <c r="B4881" s="1" t="s">
        <v>23</v>
      </c>
      <c r="C4881" s="1" t="str">
        <f>"6차"</f>
        <v>6차</v>
      </c>
      <c r="D4881" s="1" t="str">
        <f>"0425A1316S"</f>
        <v>0425A1316S</v>
      </c>
      <c r="E4881" s="1" t="s">
        <v>10</v>
      </c>
      <c r="F4881" s="1" t="str">
        <f>"fde1:103:4:c6a1:0:0:0:2"</f>
        <v>fde1:103:4:c6a1:0:0:0:2</v>
      </c>
      <c r="G4881" s="1" t="str">
        <f>"0425A131"</f>
        <v>0425A131</v>
      </c>
      <c r="H4881" s="1" t="str">
        <f>"광장간 30L8R5L9"</f>
        <v>광장간 30L8R5L9</v>
      </c>
      <c r="I4881" s="1" t="s">
        <v>15</v>
      </c>
      <c r="J4881" s="1" t="str">
        <f>"51/51"</f>
        <v>51/51</v>
      </c>
      <c r="K4881" s="1" t="str">
        <f>"2026-07-29 14:20:24"</f>
        <v>2026-07-29 14:20:24</v>
      </c>
      <c r="L4881" s="1" t="str">
        <f>"2024-11-12 15:05:05"</f>
        <v>2024-11-12 15:05:05</v>
      </c>
      <c r="M4881" s="1" t="s">
        <v>4</v>
      </c>
      <c r="N4881" s="1" t="s">
        <v>38</v>
      </c>
      <c r="O4881" s="1" t="s">
        <v>46</v>
      </c>
    </row>
    <row r="4882" spans="2:15" x14ac:dyDescent="0.3">
      <c r="B4882" s="1" t="s">
        <v>23</v>
      </c>
      <c r="C4882" s="1" t="str">
        <f>"6차"</f>
        <v>6차</v>
      </c>
      <c r="D4882" s="1" t="str">
        <f>"0425A1416S"</f>
        <v>0425A1416S</v>
      </c>
      <c r="E4882" s="1" t="s">
        <v>10</v>
      </c>
      <c r="F4882" s="1" t="str">
        <f>"fde1:103:4:9382:0:0:0:2"</f>
        <v>fde1:103:4:9382:0:0:0:2</v>
      </c>
      <c r="G4882" s="1" t="str">
        <f>"0425A141"</f>
        <v>0425A141</v>
      </c>
      <c r="H4882" s="1" t="str">
        <f>"광장간 30L8R5L8"</f>
        <v>광장간 30L8R5L8</v>
      </c>
      <c r="I4882" s="1" t="s">
        <v>15</v>
      </c>
      <c r="J4882" s="1" t="str">
        <f>"24/24"</f>
        <v>24/24</v>
      </c>
      <c r="K4882" s="1" t="str">
        <f>"2026-07-29 14:20:47"</f>
        <v>2026-07-29 14:20:47</v>
      </c>
      <c r="L4882" s="1" t="str">
        <f>"2025-01-22 17:51:01"</f>
        <v>2025-01-22 17:51:01</v>
      </c>
      <c r="M4882" s="1" t="s">
        <v>4</v>
      </c>
      <c r="N4882" s="1" t="s">
        <v>38</v>
      </c>
      <c r="O4882" s="1" t="s">
        <v>46</v>
      </c>
    </row>
    <row r="4883" spans="2:15" x14ac:dyDescent="0.3">
      <c r="B4883" s="1" t="s">
        <v>23</v>
      </c>
      <c r="C4883" s="1" t="str">
        <f>"1차"</f>
        <v>1차</v>
      </c>
      <c r="D4883" s="1" t="str">
        <f>"0425A15100"</f>
        <v>0425A15100</v>
      </c>
      <c r="E4883" s="1" t="s">
        <v>10</v>
      </c>
      <c r="F4883" s="1" t="str">
        <f>"10.125.118.175"</f>
        <v>10.125.118.175</v>
      </c>
      <c r="G4883" s="1" t="str">
        <f>"0425A151"</f>
        <v>0425A151</v>
      </c>
      <c r="H4883" s="1" t="str">
        <f>"광장간 30L8R10L7L9"</f>
        <v>광장간 30L8R10L7L9</v>
      </c>
      <c r="I4883" s="1" t="s">
        <v>8</v>
      </c>
      <c r="J4883" s="1" t="str">
        <f>"18/18"</f>
        <v>18/18</v>
      </c>
      <c r="K4883" s="1" t="str">
        <f>"2026-07-29 13:18:03"</f>
        <v>2026-07-29 13:18:03</v>
      </c>
      <c r="L4883" s="1" t="str">
        <f>"2015-07-14 13:50:25"</f>
        <v>2015-07-14 13:50:25</v>
      </c>
      <c r="M4883" s="1" t="s">
        <v>45</v>
      </c>
      <c r="N4883" s="1" t="s">
        <v>38</v>
      </c>
      <c r="O4883" s="1" t="s">
        <v>46</v>
      </c>
    </row>
    <row r="4884" spans="2:15" x14ac:dyDescent="0.3">
      <c r="B4884" s="1" t="s">
        <v>23</v>
      </c>
      <c r="C4884" s="1" t="str">
        <f>"1차"</f>
        <v>1차</v>
      </c>
      <c r="D4884" s="1" t="str">
        <f>"0425A16200"</f>
        <v>0425A16200</v>
      </c>
      <c r="E4884" s="1" t="s">
        <v>10</v>
      </c>
      <c r="F4884" s="1" t="str">
        <f>"10.125.116.194"</f>
        <v>10.125.116.194</v>
      </c>
      <c r="G4884" s="1" t="str">
        <f>"0425A162"</f>
        <v>0425A162</v>
      </c>
      <c r="H4884" s="1" t="str">
        <f>"광장간 30L8R10L7L4"</f>
        <v>광장간 30L8R10L7L4</v>
      </c>
      <c r="I4884" s="1" t="s">
        <v>8</v>
      </c>
      <c r="J4884" s="1" t="str">
        <f>"2/3"</f>
        <v>2/3</v>
      </c>
      <c r="K4884" s="1" t="str">
        <f>"2026-07-29 13:18:03"</f>
        <v>2026-07-29 13:18:03</v>
      </c>
      <c r="L4884" s="1" t="str">
        <f>"2015-07-10 10:54:13"</f>
        <v>2015-07-10 10:54:13</v>
      </c>
      <c r="M4884" s="1" t="s">
        <v>45</v>
      </c>
      <c r="N4884" s="1" t="s">
        <v>38</v>
      </c>
      <c r="O4884" s="1" t="s">
        <v>46</v>
      </c>
    </row>
    <row r="4885" spans="2:15" x14ac:dyDescent="0.3">
      <c r="B4885" s="1" t="s">
        <v>23</v>
      </c>
      <c r="C4885" s="1" t="str">
        <f>"1차"</f>
        <v>1차</v>
      </c>
      <c r="D4885" s="1" t="str">
        <f>"0425A18101"</f>
        <v>0425A18101</v>
      </c>
      <c r="E4885" s="1" t="s">
        <v>10</v>
      </c>
      <c r="F4885" s="1" t="str">
        <f>"10.125.115.197"</f>
        <v>10.125.115.197</v>
      </c>
      <c r="G4885" s="1" t="str">
        <f>"0425A181"</f>
        <v>0425A181</v>
      </c>
      <c r="H4885" s="1" t="str">
        <f>"광장간 23"</f>
        <v>광장간 23</v>
      </c>
      <c r="I4885" s="1" t="s">
        <v>8</v>
      </c>
      <c r="J4885" s="1" t="str">
        <f>"16/16"</f>
        <v>16/16</v>
      </c>
      <c r="K4885" s="1" t="str">
        <f>"2026-07-29 13:18:03"</f>
        <v>2026-07-29 13:18:03</v>
      </c>
      <c r="L4885" s="1" t="str">
        <f>"2010-08-30 19:21:23"</f>
        <v>2010-08-30 19:21:23</v>
      </c>
      <c r="M4885" s="1" t="s">
        <v>45</v>
      </c>
      <c r="N4885" s="1" t="s">
        <v>38</v>
      </c>
      <c r="O4885" s="1" t="s">
        <v>46</v>
      </c>
    </row>
    <row r="4886" spans="2:15" x14ac:dyDescent="0.3">
      <c r="B4886" s="1" t="s">
        <v>23</v>
      </c>
      <c r="C4886" s="1" t="str">
        <f>"6차"</f>
        <v>6차</v>
      </c>
      <c r="D4886" s="1" t="str">
        <f>"0425A1916S"</f>
        <v>0425A1916S</v>
      </c>
      <c r="E4886" s="1" t="s">
        <v>10</v>
      </c>
      <c r="F4886" s="1" t="str">
        <f>"fde1:103:4:c69b:0:0:0:2"</f>
        <v>fde1:103:4:c69b:0:0:0:2</v>
      </c>
      <c r="G4886" s="1" t="str">
        <f>"0425A191"</f>
        <v>0425A191</v>
      </c>
      <c r="H4886" s="1" t="str">
        <f>"화수간 25L6"</f>
        <v>화수간 25L6</v>
      </c>
      <c r="I4886" s="1" t="s">
        <v>15</v>
      </c>
      <c r="J4886" s="1" t="str">
        <f>"32/32"</f>
        <v>32/32</v>
      </c>
      <c r="K4886" s="1" t="str">
        <f>"2026-07-29 14:20:31"</f>
        <v>2026-07-29 14:20:31</v>
      </c>
      <c r="L4886" s="1" t="str">
        <f>"2024-11-18 11:07:10"</f>
        <v>2024-11-18 11:07:10</v>
      </c>
      <c r="M4886" s="1" t="s">
        <v>4</v>
      </c>
      <c r="N4886" s="1" t="s">
        <v>38</v>
      </c>
      <c r="O4886" s="1" t="s">
        <v>46</v>
      </c>
    </row>
    <row r="4887" spans="2:15" x14ac:dyDescent="0.3">
      <c r="B4887" s="1" t="s">
        <v>23</v>
      </c>
      <c r="C4887" s="1" t="str">
        <f>"1차"</f>
        <v>1차</v>
      </c>
      <c r="D4887" s="1" t="str">
        <f>"0425A19200"</f>
        <v>0425A19200</v>
      </c>
      <c r="E4887" s="1" t="s">
        <v>10</v>
      </c>
      <c r="F4887" s="1" t="str">
        <f>"10.125.116.196"</f>
        <v>10.125.116.196</v>
      </c>
      <c r="G4887" s="1" t="str">
        <f>"0425A192"</f>
        <v>0425A192</v>
      </c>
      <c r="H4887" s="1" t="str">
        <f>"화수간 25L6R2"</f>
        <v>화수간 25L6R2</v>
      </c>
      <c r="I4887" s="1" t="s">
        <v>8</v>
      </c>
      <c r="J4887" s="1" t="str">
        <f>"142/142"</f>
        <v>142/142</v>
      </c>
      <c r="K4887" s="1" t="str">
        <f>"2026-07-29 13:18:03"</f>
        <v>2026-07-29 13:18:03</v>
      </c>
      <c r="L4887" s="1" t="str">
        <f>"2015-07-15 14:15:19"</f>
        <v>2015-07-15 14:15:19</v>
      </c>
      <c r="M4887" s="1" t="s">
        <v>45</v>
      </c>
      <c r="N4887" s="1" t="s">
        <v>38</v>
      </c>
      <c r="O4887" s="1" t="s">
        <v>46</v>
      </c>
    </row>
    <row r="4888" spans="2:15" x14ac:dyDescent="0.3">
      <c r="B4888" s="1" t="s">
        <v>23</v>
      </c>
      <c r="C4888" s="1" t="str">
        <f>"6차"</f>
        <v>6차</v>
      </c>
      <c r="D4888" s="1" t="str">
        <f>"0425A2316S"</f>
        <v>0425A2316S</v>
      </c>
      <c r="E4888" s="1" t="s">
        <v>12</v>
      </c>
      <c r="F4888" s="1" t="str">
        <f>"fde1:103:4:c667:0:0:0:2"</f>
        <v>fde1:103:4:c667:0:0:0:2</v>
      </c>
      <c r="G4888" s="1" t="str">
        <f>"0425A231"</f>
        <v>0425A231</v>
      </c>
      <c r="H4888" s="1" t="str">
        <f>"광장간 30L8R5L4L4"</f>
        <v>광장간 30L8R5L4L4</v>
      </c>
      <c r="I4888" s="1" t="s">
        <v>15</v>
      </c>
      <c r="J4888" s="1" t="str">
        <f>"0/138"</f>
        <v>0/138</v>
      </c>
      <c r="K4888" s="1" t="str">
        <f>"2026-07-27 18:22:52"</f>
        <v>2026-07-27 18:22:52</v>
      </c>
      <c r="L4888" s="1" t="str">
        <f>"2024-11-12 15:05:16"</f>
        <v>2024-11-12 15:05:16</v>
      </c>
      <c r="M4888" s="1" t="s">
        <v>4</v>
      </c>
      <c r="N4888" s="1" t="s">
        <v>38</v>
      </c>
      <c r="O4888" s="1" t="s">
        <v>46</v>
      </c>
    </row>
    <row r="4889" spans="2:15" x14ac:dyDescent="0.3">
      <c r="B4889" s="1" t="s">
        <v>23</v>
      </c>
      <c r="C4889" s="1" t="str">
        <f>"1차"</f>
        <v>1차</v>
      </c>
      <c r="D4889" s="1" t="str">
        <f>"0425A26201"</f>
        <v>0425A26201</v>
      </c>
      <c r="E4889" s="1" t="s">
        <v>10</v>
      </c>
      <c r="F4889" s="1" t="str">
        <f>"10.12.131.32"</f>
        <v>10.12.131.32</v>
      </c>
      <c r="G4889" s="1" t="str">
        <f>"0425A262"</f>
        <v>0425A262</v>
      </c>
      <c r="H4889" s="1" t="str">
        <f>"광장간 30L8R5L6"</f>
        <v>광장간 30L8R5L6</v>
      </c>
      <c r="I4889" s="1" t="s">
        <v>8</v>
      </c>
      <c r="J4889" s="1" t="str">
        <f>"6/6"</f>
        <v>6/6</v>
      </c>
      <c r="K4889" s="1" t="str">
        <f>"2026-07-29 13:18:02"</f>
        <v>2026-07-29 13:18:02</v>
      </c>
      <c r="L4889" s="1" t="str">
        <f>"2010-08-30 19:21:14"</f>
        <v>2010-08-30 19:21:14</v>
      </c>
      <c r="M4889" s="1" t="s">
        <v>0</v>
      </c>
      <c r="N4889" s="1" t="s">
        <v>38</v>
      </c>
      <c r="O4889" s="1" t="s">
        <v>46</v>
      </c>
    </row>
    <row r="4890" spans="2:15" x14ac:dyDescent="0.3">
      <c r="B4890" s="1" t="s">
        <v>23</v>
      </c>
      <c r="C4890" s="1" t="str">
        <f>"1차"</f>
        <v>1차</v>
      </c>
      <c r="D4890" s="1" t="str">
        <f>"0425A28300"</f>
        <v>0425A28300</v>
      </c>
      <c r="E4890" s="1" t="s">
        <v>10</v>
      </c>
      <c r="F4890" s="1" t="str">
        <f>"10.125.116.70"</f>
        <v>10.125.116.70</v>
      </c>
      <c r="G4890" s="1" t="str">
        <f>"0425A283"</f>
        <v>0425A283</v>
      </c>
      <c r="H4890" s="1" t="str">
        <f>"광장간 30L8R10L7L1"</f>
        <v>광장간 30L8R10L7L1</v>
      </c>
      <c r="I4890" s="1" t="s">
        <v>8</v>
      </c>
      <c r="J4890" s="1" t="str">
        <f>"20/21"</f>
        <v>20/21</v>
      </c>
      <c r="K4890" s="1" t="str">
        <f>"2026-07-29 13:18:04"</f>
        <v>2026-07-29 13:18:04</v>
      </c>
      <c r="L4890" s="1" t="str">
        <f>"2015-07-10 14:24:49"</f>
        <v>2015-07-10 14:24:49</v>
      </c>
      <c r="M4890" s="1" t="s">
        <v>45</v>
      </c>
      <c r="N4890" s="1" t="s">
        <v>38</v>
      </c>
      <c r="O4890" s="1" t="s">
        <v>46</v>
      </c>
    </row>
    <row r="4891" spans="2:15" x14ac:dyDescent="0.3">
      <c r="B4891" s="1" t="s">
        <v>23</v>
      </c>
      <c r="C4891" s="1" t="str">
        <f>"6차"</f>
        <v>6차</v>
      </c>
      <c r="D4891" s="1" t="str">
        <f>"0425A2926S"</f>
        <v>0425A2926S</v>
      </c>
      <c r="E4891" s="1" t="s">
        <v>10</v>
      </c>
      <c r="F4891" s="1" t="str">
        <f>"fde1:103:4:c69e:0:0:0:2"</f>
        <v>fde1:103:4:c69e:0:0:0:2</v>
      </c>
      <c r="G4891" s="1" t="str">
        <f>"0425A292"</f>
        <v>0425A292</v>
      </c>
      <c r="H4891" s="1" t="str">
        <f>"화수간 25L7"</f>
        <v>화수간 25L7</v>
      </c>
      <c r="I4891" s="1" t="s">
        <v>15</v>
      </c>
      <c r="J4891" s="1" t="str">
        <f>"89/89"</f>
        <v>89/89</v>
      </c>
      <c r="K4891" s="1" t="str">
        <f>"2026-07-29 14:21:08"</f>
        <v>2026-07-29 14:21:08</v>
      </c>
      <c r="L4891" s="1" t="str">
        <f>"2024-11-18 11:04:45"</f>
        <v>2024-11-18 11:04:45</v>
      </c>
      <c r="M4891" s="1" t="s">
        <v>4</v>
      </c>
      <c r="N4891" s="1" t="s">
        <v>38</v>
      </c>
      <c r="O4891" s="1" t="s">
        <v>46</v>
      </c>
    </row>
    <row r="4892" spans="2:15" x14ac:dyDescent="0.3">
      <c r="B4892" s="1" t="s">
        <v>23</v>
      </c>
      <c r="C4892" s="1" t="str">
        <f>"6차"</f>
        <v>6차</v>
      </c>
      <c r="D4892" s="1" t="str">
        <f>"0425A3116S"</f>
        <v>0425A3116S</v>
      </c>
      <c r="E4892" s="1" t="s">
        <v>10</v>
      </c>
      <c r="F4892" s="1" t="str">
        <f>"fde1:103:4:c698:0:0:0:2"</f>
        <v>fde1:103:4:c698:0:0:0:2</v>
      </c>
      <c r="G4892" s="1" t="str">
        <f>"0425A311"</f>
        <v>0425A311</v>
      </c>
      <c r="H4892" s="1" t="str">
        <f>"광장간 30L5"</f>
        <v>광장간 30L5</v>
      </c>
      <c r="I4892" s="1" t="s">
        <v>15</v>
      </c>
      <c r="J4892" s="1" t="str">
        <f>"131/131"</f>
        <v>131/131</v>
      </c>
      <c r="K4892" s="1" t="str">
        <f>"2026-07-29 14:20:25"</f>
        <v>2026-07-29 14:20:25</v>
      </c>
      <c r="L4892" s="1" t="str">
        <f>"2024-11-11 17:26:14"</f>
        <v>2024-11-11 17:26:14</v>
      </c>
      <c r="M4892" s="1" t="s">
        <v>4</v>
      </c>
      <c r="N4892" s="1" t="s">
        <v>38</v>
      </c>
      <c r="O4892" s="1" t="s">
        <v>46</v>
      </c>
    </row>
    <row r="4893" spans="2:15" x14ac:dyDescent="0.3">
      <c r="B4893" s="1" t="s">
        <v>23</v>
      </c>
      <c r="C4893" s="1" t="str">
        <f>"6차"</f>
        <v>6차</v>
      </c>
      <c r="D4893" s="1" t="str">
        <f>"0425A3216S"</f>
        <v>0425A3216S</v>
      </c>
      <c r="E4893" s="1" t="s">
        <v>10</v>
      </c>
      <c r="F4893" s="1" t="str">
        <f>"fde1:103:4:c6ce:0:0:0:2"</f>
        <v>fde1:103:4:c6ce:0:0:0:2</v>
      </c>
      <c r="G4893" s="1" t="str">
        <f>"0425A321"</f>
        <v>0425A321</v>
      </c>
      <c r="H4893" s="1" t="str">
        <f>"광장간 30L5L1"</f>
        <v>광장간 30L5L1</v>
      </c>
      <c r="I4893" s="1" t="s">
        <v>15</v>
      </c>
      <c r="J4893" s="1" t="str">
        <f>"46/46"</f>
        <v>46/46</v>
      </c>
      <c r="K4893" s="1" t="str">
        <f>"2026-07-29 14:20:25"</f>
        <v>2026-07-29 14:20:25</v>
      </c>
      <c r="L4893" s="1" t="str">
        <f>"2024-11-11 17:13:31"</f>
        <v>2024-11-11 17:13:31</v>
      </c>
      <c r="M4893" s="1" t="s">
        <v>4</v>
      </c>
      <c r="N4893" s="1" t="s">
        <v>38</v>
      </c>
      <c r="O4893" s="1" t="s">
        <v>46</v>
      </c>
    </row>
    <row r="4894" spans="2:15" x14ac:dyDescent="0.3">
      <c r="B4894" s="1" t="s">
        <v>23</v>
      </c>
      <c r="C4894" s="1" t="str">
        <f>"1차"</f>
        <v>1차</v>
      </c>
      <c r="D4894" s="1" t="str">
        <f>"0425A35300"</f>
        <v>0425A35300</v>
      </c>
      <c r="E4894" s="1" t="s">
        <v>10</v>
      </c>
      <c r="F4894" s="1" t="str">
        <f>"10.125.116.68"</f>
        <v>10.125.116.68</v>
      </c>
      <c r="G4894" s="1" t="str">
        <f>"0425A353"</f>
        <v>0425A353</v>
      </c>
      <c r="H4894" s="1" t="str">
        <f>"광장간 30L8R5L4"</f>
        <v>광장간 30L8R5L4</v>
      </c>
      <c r="I4894" s="1" t="s">
        <v>8</v>
      </c>
      <c r="J4894" s="1" t="str">
        <f>"49/49"</f>
        <v>49/49</v>
      </c>
      <c r="K4894" s="1" t="str">
        <f>"2026-07-29 13:18:04"</f>
        <v>2026-07-29 13:18:04</v>
      </c>
      <c r="L4894" s="1" t="str">
        <f>"2021-07-27 11:04:32"</f>
        <v>2021-07-27 11:04:32</v>
      </c>
      <c r="M4894" s="1" t="s">
        <v>45</v>
      </c>
      <c r="N4894" s="1" t="s">
        <v>38</v>
      </c>
      <c r="O4894" s="1" t="s">
        <v>46</v>
      </c>
    </row>
    <row r="4895" spans="2:15" x14ac:dyDescent="0.3">
      <c r="B4895" s="1" t="s">
        <v>23</v>
      </c>
      <c r="C4895" s="1" t="str">
        <f>"6차"</f>
        <v>6차</v>
      </c>
      <c r="D4895" s="1" t="str">
        <f>"0425A3716S"</f>
        <v>0425A3716S</v>
      </c>
      <c r="E4895" s="1" t="s">
        <v>10</v>
      </c>
      <c r="F4895" s="1" t="str">
        <f>"fde1:103:4:c68d:0:0:0:2"</f>
        <v>fde1:103:4:c68d:0:0:0:2</v>
      </c>
      <c r="G4895" s="1" t="str">
        <f>"0425A371"</f>
        <v>0425A371</v>
      </c>
      <c r="H4895" s="1" t="str">
        <f>"광장간 30L8R5L6R2"</f>
        <v>광장간 30L8R5L6R2</v>
      </c>
      <c r="I4895" s="1" t="s">
        <v>15</v>
      </c>
      <c r="J4895" s="1" t="str">
        <f>"54/55"</f>
        <v>54/55</v>
      </c>
      <c r="K4895" s="1" t="str">
        <f>"2026-07-29 08:20:57"</f>
        <v>2026-07-29 08:20:57</v>
      </c>
      <c r="L4895" s="1" t="str">
        <f>"2024-11-12 15:05:07"</f>
        <v>2024-11-12 15:05:07</v>
      </c>
      <c r="M4895" s="1" t="s">
        <v>4</v>
      </c>
      <c r="N4895" s="1" t="s">
        <v>38</v>
      </c>
      <c r="O4895" s="1" t="s">
        <v>46</v>
      </c>
    </row>
    <row r="4896" spans="2:15" x14ac:dyDescent="0.3">
      <c r="B4896" s="1" t="s">
        <v>23</v>
      </c>
      <c r="C4896" s="1" t="str">
        <f>"1차"</f>
        <v>1차</v>
      </c>
      <c r="D4896" s="1" t="str">
        <f>"0425A40300"</f>
        <v>0425A40300</v>
      </c>
      <c r="E4896" s="1" t="s">
        <v>10</v>
      </c>
      <c r="F4896" s="1" t="str">
        <f>"10.125.114.34"</f>
        <v>10.125.114.34</v>
      </c>
      <c r="G4896" s="1" t="str">
        <f>"0425A403"</f>
        <v>0425A403</v>
      </c>
      <c r="H4896" s="1" t="str">
        <f>"광장간 30L9L2"</f>
        <v>광장간 30L9L2</v>
      </c>
      <c r="I4896" s="1" t="s">
        <v>8</v>
      </c>
      <c r="J4896" s="1" t="str">
        <f>"3/3"</f>
        <v>3/3</v>
      </c>
      <c r="K4896" s="1" t="str">
        <f>"2026-07-29 13:18:04"</f>
        <v>2026-07-29 13:18:04</v>
      </c>
      <c r="L4896" s="1" t="str">
        <f>"2015-07-10 15:28:05"</f>
        <v>2015-07-10 15:28:05</v>
      </c>
      <c r="M4896" s="1" t="s">
        <v>45</v>
      </c>
      <c r="N4896" s="1" t="s">
        <v>38</v>
      </c>
      <c r="O4896" s="1" t="s">
        <v>46</v>
      </c>
    </row>
    <row r="4897" spans="2:15" x14ac:dyDescent="0.3">
      <c r="B4897" s="1" t="s">
        <v>23</v>
      </c>
      <c r="C4897" s="1" t="str">
        <f>"6차"</f>
        <v>6차</v>
      </c>
      <c r="D4897" s="1" t="str">
        <f>"0425A4216S"</f>
        <v>0425A4216S</v>
      </c>
      <c r="E4897" s="1" t="s">
        <v>10</v>
      </c>
      <c r="F4897" s="1" t="str">
        <f>"fde1:103:4:c6ff:0:0:0:2"</f>
        <v>fde1:103:4:c6ff:0:0:0:2</v>
      </c>
      <c r="G4897" s="1" t="str">
        <f>"0425A421"</f>
        <v>0425A421</v>
      </c>
      <c r="H4897" s="1" t="str">
        <f>"광장간 30L8R1"</f>
        <v>광장간 30L8R1</v>
      </c>
      <c r="I4897" s="1" t="s">
        <v>15</v>
      </c>
      <c r="J4897" s="1" t="str">
        <f>"53/59"</f>
        <v>53/59</v>
      </c>
      <c r="K4897" s="1" t="str">
        <f>"2026-07-29 14:21:08"</f>
        <v>2026-07-29 14:21:08</v>
      </c>
      <c r="L4897" s="1" t="str">
        <f>"2024-11-12 15:05:05"</f>
        <v>2024-11-12 15:05:05</v>
      </c>
      <c r="M4897" s="1" t="s">
        <v>4</v>
      </c>
      <c r="N4897" s="1" t="s">
        <v>38</v>
      </c>
      <c r="O4897" s="1" t="s">
        <v>46</v>
      </c>
    </row>
    <row r="4898" spans="2:15" x14ac:dyDescent="0.3">
      <c r="B4898" s="1" t="s">
        <v>23</v>
      </c>
      <c r="C4898" s="1" t="str">
        <f>"4차"</f>
        <v>4차</v>
      </c>
      <c r="D4898" s="1" t="str">
        <f>"0425A43142"</f>
        <v>0425A43142</v>
      </c>
      <c r="E4898" s="1" t="s">
        <v>10</v>
      </c>
      <c r="F4898" s="1" t="str">
        <f>"10.125.118.170"</f>
        <v>10.125.118.170</v>
      </c>
      <c r="G4898" s="1" t="str">
        <f>"0425A431"</f>
        <v>0425A431</v>
      </c>
      <c r="H4898" s="1" t="str">
        <f>"광장간 30L5L3"</f>
        <v>광장간 30L5L3</v>
      </c>
      <c r="I4898" s="1" t="s">
        <v>8</v>
      </c>
      <c r="J4898" s="1" t="str">
        <f>"46/46"</f>
        <v>46/46</v>
      </c>
      <c r="K4898" s="1" t="str">
        <f>"2026-07-29 13:18:04"</f>
        <v>2026-07-29 13:18:04</v>
      </c>
      <c r="L4898" s="1" t="str">
        <f>"2025-01-02 17:17:15"</f>
        <v>2025-01-02 17:17:15</v>
      </c>
      <c r="M4898" s="1" t="s">
        <v>45</v>
      </c>
      <c r="N4898" s="1" t="s">
        <v>38</v>
      </c>
      <c r="O4898" s="1" t="s">
        <v>46</v>
      </c>
    </row>
    <row r="4899" spans="2:15" x14ac:dyDescent="0.3">
      <c r="B4899" s="1" t="s">
        <v>23</v>
      </c>
      <c r="C4899" s="1" t="str">
        <f>"1차"</f>
        <v>1차</v>
      </c>
      <c r="D4899" s="1" t="str">
        <f>"0425A45400"</f>
        <v>0425A45400</v>
      </c>
      <c r="E4899" s="1" t="s">
        <v>10</v>
      </c>
      <c r="F4899" s="1" t="str">
        <f>"10.125.118.171"</f>
        <v>10.125.118.171</v>
      </c>
      <c r="G4899" s="1" t="str">
        <f>"0425A454"</f>
        <v>0425A454</v>
      </c>
      <c r="H4899" s="1" t="str">
        <f>"광장간 30L8R5L2R2"</f>
        <v>광장간 30L8R5L2R2</v>
      </c>
      <c r="I4899" s="1" t="s">
        <v>8</v>
      </c>
      <c r="J4899" s="1" t="str">
        <f>"24/31"</f>
        <v>24/31</v>
      </c>
      <c r="K4899" s="1" t="str">
        <f>"2026-07-29 13:18:06"</f>
        <v>2026-07-29 13:18:06</v>
      </c>
      <c r="L4899" s="1" t="str">
        <f>"2015-07-14 16:32:03"</f>
        <v>2015-07-14 16:32:03</v>
      </c>
      <c r="M4899" s="1" t="s">
        <v>45</v>
      </c>
      <c r="N4899" s="1" t="s">
        <v>38</v>
      </c>
      <c r="O4899" s="1" t="s">
        <v>46</v>
      </c>
    </row>
    <row r="4900" spans="2:15" x14ac:dyDescent="0.3">
      <c r="B4900" s="1" t="s">
        <v>23</v>
      </c>
      <c r="C4900" s="1" t="str">
        <f>"6차"</f>
        <v>6차</v>
      </c>
      <c r="D4900" s="1" t="str">
        <f>"0425A4716S"</f>
        <v>0425A4716S</v>
      </c>
      <c r="E4900" s="1" t="s">
        <v>10</v>
      </c>
      <c r="F4900" s="1" t="str">
        <f>"fde1:103:4:92b3:0:0:0:2"</f>
        <v>fde1:103:4:92b3:0:0:0:2</v>
      </c>
      <c r="G4900" s="1" t="str">
        <f>"0425A471"</f>
        <v>0425A471</v>
      </c>
      <c r="H4900" s="1" t="str">
        <f>"광장간 30L8R10L4L2"</f>
        <v>광장간 30L8R10L4L2</v>
      </c>
      <c r="I4900" s="1" t="s">
        <v>15</v>
      </c>
      <c r="J4900" s="1" t="str">
        <f>"74/74"</f>
        <v>74/74</v>
      </c>
      <c r="K4900" s="1" t="str">
        <f>"2026-07-29 14:20:25"</f>
        <v>2026-07-29 14:20:25</v>
      </c>
      <c r="L4900" s="1" t="str">
        <f>"2025-02-21 17:45:18"</f>
        <v>2025-02-21 17:45:18</v>
      </c>
      <c r="M4900" s="1" t="s">
        <v>4</v>
      </c>
      <c r="N4900" s="1" t="s">
        <v>38</v>
      </c>
      <c r="O4900" s="1" t="s">
        <v>46</v>
      </c>
    </row>
    <row r="4901" spans="2:15" x14ac:dyDescent="0.3">
      <c r="B4901" s="1" t="s">
        <v>23</v>
      </c>
      <c r="C4901" s="1" t="str">
        <f>"6차"</f>
        <v>6차</v>
      </c>
      <c r="D4901" s="1" t="str">
        <f>"0425A4816S"</f>
        <v>0425A4816S</v>
      </c>
      <c r="E4901" s="1" t="s">
        <v>10</v>
      </c>
      <c r="F4901" s="1" t="str">
        <f>"fde3:102:1440:4200:0:0:0:28"</f>
        <v>fde3:102:1440:4200:0:0:0:28</v>
      </c>
      <c r="G4901" s="1" t="str">
        <f>"0425A481"</f>
        <v>0425A481</v>
      </c>
      <c r="H4901" s="1" t="str">
        <f>"광장간 30L8R10L4"</f>
        <v>광장간 30L8R10L4</v>
      </c>
      <c r="I4901" s="1" t="s">
        <v>15</v>
      </c>
      <c r="J4901" s="1" t="str">
        <f>"48/48"</f>
        <v>48/48</v>
      </c>
      <c r="K4901" s="1" t="str">
        <f>"2026-07-29 14:20:31"</f>
        <v>2026-07-29 14:20:31</v>
      </c>
      <c r="L4901" s="1" t="str">
        <f>"2024-10-14 10:59:41"</f>
        <v>2024-10-14 10:59:41</v>
      </c>
      <c r="M4901" s="1" t="s">
        <v>45</v>
      </c>
      <c r="N4901" s="1" t="s">
        <v>38</v>
      </c>
      <c r="O4901" s="1" t="s">
        <v>46</v>
      </c>
    </row>
    <row r="4902" spans="2:15" x14ac:dyDescent="0.3">
      <c r="B4902" s="1" t="s">
        <v>23</v>
      </c>
      <c r="C4902" s="1" t="str">
        <f>"1차"</f>
        <v>1차</v>
      </c>
      <c r="D4902" s="1" t="str">
        <f>"0425A48200"</f>
        <v>0425A48200</v>
      </c>
      <c r="E4902" s="1" t="s">
        <v>10</v>
      </c>
      <c r="F4902" s="1" t="str">
        <f>"10.125.116.75"</f>
        <v>10.125.116.75</v>
      </c>
      <c r="G4902" s="1" t="str">
        <f>"0425A482"</f>
        <v>0425A482</v>
      </c>
      <c r="H4902" s="1" t="str">
        <f>"광장간 30L8R10L5"</f>
        <v>광장간 30L8R10L5</v>
      </c>
      <c r="I4902" s="1" t="s">
        <v>8</v>
      </c>
      <c r="J4902" s="1" t="str">
        <f>"38/38"</f>
        <v>38/38</v>
      </c>
      <c r="K4902" s="1" t="str">
        <f>"2026-07-29 13:18:04"</f>
        <v>2026-07-29 13:18:04</v>
      </c>
      <c r="L4902" s="1" t="str">
        <f>"2015-07-10 18:07:20"</f>
        <v>2015-07-10 18:07:20</v>
      </c>
      <c r="M4902" s="1" t="s">
        <v>45</v>
      </c>
      <c r="N4902" s="1" t="s">
        <v>38</v>
      </c>
      <c r="O4902" s="1" t="s">
        <v>46</v>
      </c>
    </row>
    <row r="4903" spans="2:15" x14ac:dyDescent="0.3">
      <c r="B4903" s="1" t="s">
        <v>23</v>
      </c>
      <c r="C4903" s="1" t="str">
        <f>"1차"</f>
        <v>1차</v>
      </c>
      <c r="D4903" s="1" t="str">
        <f>"0425A51200"</f>
        <v>0425A51200</v>
      </c>
      <c r="E4903" s="1" t="s">
        <v>10</v>
      </c>
      <c r="F4903" s="1" t="str">
        <f>"10.125.117.37"</f>
        <v>10.125.117.37</v>
      </c>
      <c r="G4903" s="1" t="str">
        <f>"0425A512"</f>
        <v>0425A512</v>
      </c>
      <c r="H4903" s="1" t="str">
        <f>"광장간 30L7R2"</f>
        <v>광장간 30L7R2</v>
      </c>
      <c r="I4903" s="1" t="s">
        <v>8</v>
      </c>
      <c r="J4903" s="1" t="str">
        <f>"78/78"</f>
        <v>78/78</v>
      </c>
      <c r="K4903" s="1" t="str">
        <f>"2026-07-29 13:18:04"</f>
        <v>2026-07-29 13:18:04</v>
      </c>
      <c r="L4903" s="1" t="str">
        <f>"2015-07-15 13:31:17"</f>
        <v>2015-07-15 13:31:17</v>
      </c>
      <c r="M4903" s="1" t="s">
        <v>45</v>
      </c>
      <c r="N4903" s="1" t="s">
        <v>38</v>
      </c>
      <c r="O4903" s="1" t="s">
        <v>46</v>
      </c>
    </row>
    <row r="4904" spans="2:15" x14ac:dyDescent="0.3">
      <c r="B4904" s="1" t="s">
        <v>23</v>
      </c>
      <c r="C4904" s="1" t="str">
        <f>"6차"</f>
        <v>6차</v>
      </c>
      <c r="D4904" s="1" t="str">
        <f>"0425A5136S"</f>
        <v>0425A5136S</v>
      </c>
      <c r="E4904" s="1" t="s">
        <v>10</v>
      </c>
      <c r="F4904" s="1" t="str">
        <f>"fde1:103:4:c76b:0:0:0:2"</f>
        <v>fde1:103:4:c76b:0:0:0:2</v>
      </c>
      <c r="G4904" s="1" t="str">
        <f>"0425A513"</f>
        <v>0425A513</v>
      </c>
      <c r="H4904" s="1" t="str">
        <f>"광장간 30L7R1R1"</f>
        <v>광장간 30L7R1R1</v>
      </c>
      <c r="I4904" s="1" t="s">
        <v>15</v>
      </c>
      <c r="J4904" s="1" t="str">
        <f>"67/67"</f>
        <v>67/67</v>
      </c>
      <c r="K4904" s="1" t="str">
        <f>"2026-07-29 14:21:15"</f>
        <v>2026-07-29 14:21:15</v>
      </c>
      <c r="L4904" s="1" t="str">
        <f>"2025-01-08 17:03:40"</f>
        <v>2025-01-08 17:03:40</v>
      </c>
      <c r="M4904" s="1" t="s">
        <v>4</v>
      </c>
      <c r="N4904" s="1" t="s">
        <v>38</v>
      </c>
      <c r="O4904" s="1" t="s">
        <v>46</v>
      </c>
    </row>
    <row r="4905" spans="2:15" x14ac:dyDescent="0.3">
      <c r="B4905" s="1" t="s">
        <v>23</v>
      </c>
      <c r="C4905" s="1" t="str">
        <f>"1차"</f>
        <v>1차</v>
      </c>
      <c r="D4905" s="1" t="str">
        <f>"0425A52200"</f>
        <v>0425A52200</v>
      </c>
      <c r="E4905" s="1" t="s">
        <v>10</v>
      </c>
      <c r="F4905" s="1" t="str">
        <f>"10.125.117.39"</f>
        <v>10.125.117.39</v>
      </c>
      <c r="G4905" s="1" t="str">
        <f>"0425A522"</f>
        <v>0425A522</v>
      </c>
      <c r="H4905" s="1" t="str">
        <f>"광장간 30L8R5R1R4"</f>
        <v>광장간 30L8R5R1R4</v>
      </c>
      <c r="I4905" s="1" t="s">
        <v>8</v>
      </c>
      <c r="J4905" s="1" t="str">
        <f>"23/25"</f>
        <v>23/25</v>
      </c>
      <c r="K4905" s="1" t="str">
        <f>"2026-07-29 13:18:00"</f>
        <v>2026-07-29 13:18:00</v>
      </c>
      <c r="L4905" s="1" t="str">
        <f>"2015-07-10 14:59:39"</f>
        <v>2015-07-10 14:59:39</v>
      </c>
      <c r="M4905" s="1" t="s">
        <v>45</v>
      </c>
      <c r="N4905" s="1" t="s">
        <v>38</v>
      </c>
      <c r="O4905" s="1" t="s">
        <v>46</v>
      </c>
    </row>
    <row r="4906" spans="2:15" x14ac:dyDescent="0.3">
      <c r="B4906" s="1" t="s">
        <v>23</v>
      </c>
      <c r="C4906" s="1" t="str">
        <f>"6차"</f>
        <v>6차</v>
      </c>
      <c r="D4906" s="1" t="str">
        <f>"0425A5316S"</f>
        <v>0425A5316S</v>
      </c>
      <c r="E4906" s="1" t="s">
        <v>10</v>
      </c>
      <c r="F4906" s="1" t="str">
        <f>"fde1:103:4:c5dc:0:0:0:2"</f>
        <v>fde1:103:4:c5dc:0:0:0:2</v>
      </c>
      <c r="G4906" s="1" t="str">
        <f>"0425A531"</f>
        <v>0425A531</v>
      </c>
      <c r="H4906" s="1" t="str">
        <f>"광장간 30L8R3"</f>
        <v>광장간 30L8R3</v>
      </c>
      <c r="I4906" s="1" t="s">
        <v>15</v>
      </c>
      <c r="J4906" s="1" t="str">
        <f>"39/39"</f>
        <v>39/39</v>
      </c>
      <c r="K4906" s="1" t="str">
        <f>"2026-07-29 14:21:08"</f>
        <v>2026-07-29 14:21:08</v>
      </c>
      <c r="L4906" s="1" t="str">
        <f>"2024-11-12 15:04:47"</f>
        <v>2024-11-12 15:04:47</v>
      </c>
      <c r="M4906" s="1" t="s">
        <v>4</v>
      </c>
      <c r="N4906" s="1" t="s">
        <v>38</v>
      </c>
      <c r="O4906" s="1" t="s">
        <v>46</v>
      </c>
    </row>
    <row r="4907" spans="2:15" x14ac:dyDescent="0.3">
      <c r="B4907" s="1" t="s">
        <v>23</v>
      </c>
      <c r="C4907" s="1" t="str">
        <f>"6차"</f>
        <v>6차</v>
      </c>
      <c r="D4907" s="1" t="str">
        <f>"0425A5416S"</f>
        <v>0425A5416S</v>
      </c>
      <c r="E4907" s="1" t="s">
        <v>10</v>
      </c>
      <c r="F4907" s="1" t="str">
        <f>"fde1:103:4:c6c6:0:0:0:2"</f>
        <v>fde1:103:4:c6c6:0:0:0:2</v>
      </c>
      <c r="G4907" s="1" t="str">
        <f>"0425A541"</f>
        <v>0425A541</v>
      </c>
      <c r="H4907" s="1" t="str">
        <f>"광장간 30L8R6"</f>
        <v>광장간 30L8R6</v>
      </c>
      <c r="I4907" s="1" t="s">
        <v>15</v>
      </c>
      <c r="J4907" s="1" t="str">
        <f>"96/96"</f>
        <v>96/96</v>
      </c>
      <c r="K4907" s="1" t="str">
        <f>"2026-07-29 14:21:09"</f>
        <v>2026-07-29 14:21:09</v>
      </c>
      <c r="L4907" s="1" t="str">
        <f>"2024-11-12 15:05:24"</f>
        <v>2024-11-12 15:05:24</v>
      </c>
      <c r="M4907" s="1" t="s">
        <v>4</v>
      </c>
      <c r="N4907" s="1" t="s">
        <v>38</v>
      </c>
      <c r="O4907" s="1" t="s">
        <v>46</v>
      </c>
    </row>
    <row r="4908" spans="2:15" x14ac:dyDescent="0.3">
      <c r="B4908" s="1" t="s">
        <v>23</v>
      </c>
      <c r="C4908" s="1" t="str">
        <f>"6차"</f>
        <v>6차</v>
      </c>
      <c r="D4908" s="1" t="str">
        <f>"0425A5426S"</f>
        <v>0425A5426S</v>
      </c>
      <c r="E4908" s="1" t="s">
        <v>10</v>
      </c>
      <c r="F4908" s="1" t="str">
        <f>"fde1:103:4:c63a:0:0:0:2"</f>
        <v>fde1:103:4:c63a:0:0:0:2</v>
      </c>
      <c r="G4908" s="1" t="str">
        <f>"0425A542"</f>
        <v>0425A542</v>
      </c>
      <c r="H4908" s="1" t="str">
        <f>"광장간 30L8R5"</f>
        <v>광장간 30L8R5</v>
      </c>
      <c r="I4908" s="1" t="s">
        <v>15</v>
      </c>
      <c r="J4908" s="1" t="str">
        <f>"51/51"</f>
        <v>51/51</v>
      </c>
      <c r="K4908" s="1" t="str">
        <f>"2026-07-29 14:21:09"</f>
        <v>2026-07-29 14:21:09</v>
      </c>
      <c r="L4908" s="1" t="str">
        <f>"2024-11-12 15:04:49"</f>
        <v>2024-11-12 15:04:49</v>
      </c>
      <c r="M4908" s="1" t="s">
        <v>4</v>
      </c>
      <c r="N4908" s="1" t="s">
        <v>38</v>
      </c>
      <c r="O4908" s="1" t="s">
        <v>46</v>
      </c>
    </row>
    <row r="4909" spans="2:15" x14ac:dyDescent="0.3">
      <c r="B4909" s="1" t="s">
        <v>23</v>
      </c>
      <c r="C4909" s="1" t="str">
        <f>"4차"</f>
        <v>4차</v>
      </c>
      <c r="D4909" s="1" t="str">
        <f>"0425A57144"</f>
        <v>0425A57144</v>
      </c>
      <c r="E4909" s="1" t="s">
        <v>10</v>
      </c>
      <c r="F4909" s="1" t="str">
        <f>"10.125.116.80"</f>
        <v>10.125.116.80</v>
      </c>
      <c r="G4909" s="1" t="str">
        <f>"0425A571"</f>
        <v>0425A571</v>
      </c>
      <c r="H4909" s="1" t="str">
        <f>"광장간 30L8R10L2L2"</f>
        <v>광장간 30L8R10L2L2</v>
      </c>
      <c r="I4909" s="1" t="s">
        <v>8</v>
      </c>
      <c r="J4909" s="1" t="str">
        <f>"41/41"</f>
        <v>41/41</v>
      </c>
      <c r="K4909" s="1" t="str">
        <f>"2026-07-29 13:18:04"</f>
        <v>2026-07-29 13:18:04</v>
      </c>
      <c r="L4909" s="1" t="str">
        <f>"2023-07-20 17:44:29"</f>
        <v>2023-07-20 17:44:29</v>
      </c>
      <c r="M4909" s="1" t="s">
        <v>45</v>
      </c>
      <c r="N4909" s="1" t="s">
        <v>38</v>
      </c>
      <c r="O4909" s="1" t="s">
        <v>46</v>
      </c>
    </row>
    <row r="4910" spans="2:15" x14ac:dyDescent="0.3">
      <c r="B4910" s="1" t="s">
        <v>23</v>
      </c>
      <c r="C4910" s="1" t="str">
        <f>"1차"</f>
        <v>1차</v>
      </c>
      <c r="D4910" s="1" t="str">
        <f>"0425A57201"</f>
        <v>0425A57201</v>
      </c>
      <c r="E4910" s="1" t="s">
        <v>10</v>
      </c>
      <c r="F4910" s="1" t="str">
        <f>"10.125.116.81"</f>
        <v>10.125.116.81</v>
      </c>
      <c r="G4910" s="1" t="str">
        <f>"0425A572"</f>
        <v>0425A572</v>
      </c>
      <c r="H4910" s="1" t="str">
        <f>"광장간 30L8R10L2L1"</f>
        <v>광장간 30L8R10L2L1</v>
      </c>
      <c r="I4910" s="1" t="s">
        <v>8</v>
      </c>
      <c r="J4910" s="1" t="str">
        <f>"11/11"</f>
        <v>11/11</v>
      </c>
      <c r="K4910" s="1" t="str">
        <f>"2026-07-29 13:18:04"</f>
        <v>2026-07-29 13:18:04</v>
      </c>
      <c r="L4910" s="1" t="str">
        <f>"2010-08-30 19:21:28"</f>
        <v>2010-08-30 19:21:28</v>
      </c>
      <c r="M4910" s="1" t="s">
        <v>45</v>
      </c>
      <c r="N4910" s="1" t="s">
        <v>38</v>
      </c>
      <c r="O4910" s="1" t="s">
        <v>46</v>
      </c>
    </row>
    <row r="4911" spans="2:15" x14ac:dyDescent="0.3">
      <c r="B4911" s="1" t="s">
        <v>23</v>
      </c>
      <c r="C4911" s="1" t="str">
        <f>"1차"</f>
        <v>1차</v>
      </c>
      <c r="D4911" s="1" t="str">
        <f>"0425A58100"</f>
        <v>0425A58100</v>
      </c>
      <c r="E4911" s="1" t="s">
        <v>10</v>
      </c>
      <c r="F4911" s="1" t="str">
        <f>"10.125.116.93"</f>
        <v>10.125.116.93</v>
      </c>
      <c r="G4911" s="1" t="str">
        <f>"0425A581"</f>
        <v>0425A581</v>
      </c>
      <c r="H4911" s="1" t="str">
        <f>"광장간 30L8R10L3"</f>
        <v>광장간 30L8R10L3</v>
      </c>
      <c r="I4911" s="1" t="s">
        <v>8</v>
      </c>
      <c r="J4911" s="1" t="str">
        <f>"9/9"</f>
        <v>9/9</v>
      </c>
      <c r="K4911" s="1" t="str">
        <f>"2026-07-29 13:18:04"</f>
        <v>2026-07-29 13:18:04</v>
      </c>
      <c r="L4911" s="1" t="str">
        <f>"2015-07-16 11:15:48"</f>
        <v>2015-07-16 11:15:48</v>
      </c>
      <c r="M4911" s="1" t="s">
        <v>45</v>
      </c>
      <c r="N4911" s="1" t="s">
        <v>38</v>
      </c>
      <c r="O4911" s="1" t="s">
        <v>46</v>
      </c>
    </row>
    <row r="4912" spans="2:15" x14ac:dyDescent="0.3">
      <c r="B4912" s="1" t="s">
        <v>23</v>
      </c>
      <c r="C4912" s="1" t="str">
        <f>"1차"</f>
        <v>1차</v>
      </c>
      <c r="D4912" s="1" t="str">
        <f>"0425A60200"</f>
        <v>0425A60200</v>
      </c>
      <c r="E4912" s="1" t="s">
        <v>10</v>
      </c>
      <c r="F4912" s="1" t="str">
        <f>"10.125.118.130"</f>
        <v>10.125.118.130</v>
      </c>
      <c r="G4912" s="1" t="str">
        <f>"0425A602"</f>
        <v>0425A602</v>
      </c>
      <c r="H4912" s="1" t="str">
        <f>"광장간 30L7R1R3"</f>
        <v>광장간 30L7R1R3</v>
      </c>
      <c r="I4912" s="1" t="s">
        <v>8</v>
      </c>
      <c r="J4912" s="1" t="str">
        <f>"90/90"</f>
        <v>90/90</v>
      </c>
      <c r="K4912" s="1" t="str">
        <f>"2026-07-29 13:18:04"</f>
        <v>2026-07-29 13:18:04</v>
      </c>
      <c r="L4912" s="1" t="str">
        <f>"2015-07-10 13:08:19"</f>
        <v>2015-07-10 13:08:19</v>
      </c>
      <c r="M4912" s="1" t="s">
        <v>45</v>
      </c>
      <c r="N4912" s="1" t="s">
        <v>38</v>
      </c>
      <c r="O4912" s="1" t="s">
        <v>46</v>
      </c>
    </row>
    <row r="4913" spans="2:15" x14ac:dyDescent="0.3">
      <c r="B4913" s="1" t="s">
        <v>23</v>
      </c>
      <c r="C4913" s="1" t="str">
        <f>"1차"</f>
        <v>1차</v>
      </c>
      <c r="D4913" s="1" t="str">
        <f>"0425A63100"</f>
        <v>0425A63100</v>
      </c>
      <c r="E4913" s="1" t="s">
        <v>10</v>
      </c>
      <c r="F4913" s="1" t="str">
        <f>"10.125.117.41"</f>
        <v>10.125.117.41</v>
      </c>
      <c r="G4913" s="1" t="str">
        <f>"0425A631"</f>
        <v>0425A631</v>
      </c>
      <c r="H4913" s="1" t="str">
        <f>"광장간 30L8R5R1R1"</f>
        <v>광장간 30L8R5R1R1</v>
      </c>
      <c r="I4913" s="1" t="s">
        <v>8</v>
      </c>
      <c r="J4913" s="1" t="str">
        <f>"30/37"</f>
        <v>30/37</v>
      </c>
      <c r="K4913" s="1" t="str">
        <f>"2026-07-29 13:18:03"</f>
        <v>2026-07-29 13:18:03</v>
      </c>
      <c r="L4913" s="1" t="str">
        <f>"2015-07-14 10:34:48"</f>
        <v>2015-07-14 10:34:48</v>
      </c>
      <c r="M4913" s="1" t="s">
        <v>45</v>
      </c>
      <c r="N4913" s="1" t="s">
        <v>38</v>
      </c>
      <c r="O4913" s="1" t="s">
        <v>46</v>
      </c>
    </row>
    <row r="4914" spans="2:15" x14ac:dyDescent="0.3">
      <c r="B4914" s="1" t="s">
        <v>23</v>
      </c>
      <c r="C4914" s="1" t="str">
        <f>"1차"</f>
        <v>1차</v>
      </c>
      <c r="D4914" s="1" t="str">
        <f>"0425A66100"</f>
        <v>0425A66100</v>
      </c>
      <c r="E4914" s="1" t="s">
        <v>10</v>
      </c>
      <c r="F4914" s="1" t="str">
        <f>"10.125.116.146"</f>
        <v>10.125.116.146</v>
      </c>
      <c r="G4914" s="1" t="str">
        <f>"0425A661"</f>
        <v>0425A661</v>
      </c>
      <c r="H4914" s="1" t="str">
        <f>"광장간 30L8R8"</f>
        <v>광장간 30L8R8</v>
      </c>
      <c r="I4914" s="1" t="s">
        <v>8</v>
      </c>
      <c r="J4914" s="1" t="str">
        <f>"6/6"</f>
        <v>6/6</v>
      </c>
      <c r="K4914" s="1" t="str">
        <f>"2026-07-29 13:18:02"</f>
        <v>2026-07-29 13:18:02</v>
      </c>
      <c r="L4914" s="1" t="str">
        <f>"2015-07-15 10:12:32"</f>
        <v>2015-07-15 10:12:32</v>
      </c>
      <c r="M4914" s="1" t="s">
        <v>45</v>
      </c>
      <c r="N4914" s="1" t="s">
        <v>38</v>
      </c>
      <c r="O4914" s="1" t="s">
        <v>46</v>
      </c>
    </row>
    <row r="4915" spans="2:15" x14ac:dyDescent="0.3">
      <c r="B4915" s="1" t="s">
        <v>23</v>
      </c>
      <c r="C4915" s="1" t="str">
        <f>"6차"</f>
        <v>6차</v>
      </c>
      <c r="D4915" s="1" t="str">
        <f>"0425A6736S"</f>
        <v>0425A6736S</v>
      </c>
      <c r="E4915" s="1" t="s">
        <v>10</v>
      </c>
      <c r="F4915" s="1" t="str">
        <f>"fde3:102:1440:4300:0:0:0:1f"</f>
        <v>fde3:102:1440:4300:0:0:0:1f</v>
      </c>
      <c r="G4915" s="1" t="str">
        <f>"0425A673"</f>
        <v>0425A673</v>
      </c>
      <c r="H4915" s="1" t="str">
        <f>"광장간 30L8R9"</f>
        <v>광장간 30L8R9</v>
      </c>
      <c r="I4915" s="1" t="s">
        <v>15</v>
      </c>
      <c r="J4915" s="1" t="str">
        <f>"24/24"</f>
        <v>24/24</v>
      </c>
      <c r="K4915" s="1" t="str">
        <f>"2026-07-29 14:20:31"</f>
        <v>2026-07-29 14:20:31</v>
      </c>
      <c r="L4915" s="1" t="str">
        <f>"2024-10-14 11:21:10"</f>
        <v>2024-10-14 11:21:10</v>
      </c>
      <c r="M4915" s="1" t="s">
        <v>45</v>
      </c>
      <c r="N4915" s="1" t="s">
        <v>38</v>
      </c>
      <c r="O4915" s="1" t="s">
        <v>46</v>
      </c>
    </row>
    <row r="4916" spans="2:15" x14ac:dyDescent="0.3">
      <c r="B4916" s="1" t="s">
        <v>23</v>
      </c>
      <c r="C4916" s="1" t="str">
        <f>"1차"</f>
        <v>1차</v>
      </c>
      <c r="D4916" s="1" t="str">
        <f>"0425A68100"</f>
        <v>0425A68100</v>
      </c>
      <c r="E4916" s="1" t="s">
        <v>10</v>
      </c>
      <c r="F4916" s="1" t="str">
        <f>"10.125.116.95"</f>
        <v>10.125.116.95</v>
      </c>
      <c r="G4916" s="1" t="str">
        <f>"0425A681"</f>
        <v>0425A681</v>
      </c>
      <c r="H4916" s="1" t="str">
        <f>"광장간 30L8R10L2"</f>
        <v>광장간 30L8R10L2</v>
      </c>
      <c r="I4916" s="1" t="s">
        <v>8</v>
      </c>
      <c r="J4916" s="1" t="str">
        <f>"7/7"</f>
        <v>7/7</v>
      </c>
      <c r="K4916" s="1" t="str">
        <f>"2026-07-29 13:18:02"</f>
        <v>2026-07-29 13:18:02</v>
      </c>
      <c r="L4916" s="1" t="str">
        <f>"2015-07-15 15:24:46"</f>
        <v>2015-07-15 15:24:46</v>
      </c>
      <c r="M4916" s="1" t="s">
        <v>45</v>
      </c>
      <c r="N4916" s="1" t="s">
        <v>38</v>
      </c>
      <c r="O4916" s="1" t="s">
        <v>46</v>
      </c>
    </row>
    <row r="4917" spans="2:15" x14ac:dyDescent="0.3">
      <c r="B4917" s="1" t="s">
        <v>23</v>
      </c>
      <c r="C4917" s="1" t="str">
        <f>"1차"</f>
        <v>1차</v>
      </c>
      <c r="D4917" s="1" t="str">
        <f>"0425A69201"</f>
        <v>0425A69201</v>
      </c>
      <c r="E4917" s="1" t="s">
        <v>10</v>
      </c>
      <c r="F4917" s="1" t="str">
        <f>"10.14.5.194"</f>
        <v>10.14.5.194</v>
      </c>
      <c r="G4917" s="1" t="str">
        <f>"0425A692"</f>
        <v>0425A692</v>
      </c>
      <c r="H4917" s="1" t="str">
        <f>"광장간 30L8R10L3R2"</f>
        <v>광장간 30L8R10L3R2</v>
      </c>
      <c r="I4917" s="1" t="s">
        <v>8</v>
      </c>
      <c r="J4917" s="1" t="str">
        <f>"57/57"</f>
        <v>57/57</v>
      </c>
      <c r="K4917" s="1" t="str">
        <f>"2026-07-29 13:18:04"</f>
        <v>2026-07-29 13:18:04</v>
      </c>
      <c r="L4917" s="1" t="str">
        <f>"2010-08-30 19:21:20"</f>
        <v>2010-08-30 19:21:20</v>
      </c>
      <c r="M4917" s="1" t="s">
        <v>3</v>
      </c>
      <c r="N4917" s="1" t="s">
        <v>38</v>
      </c>
      <c r="O4917" s="1" t="s">
        <v>46</v>
      </c>
    </row>
    <row r="4918" spans="2:15" x14ac:dyDescent="0.3">
      <c r="B4918" s="1" t="s">
        <v>23</v>
      </c>
      <c r="C4918" s="1" t="str">
        <f>"6차"</f>
        <v>6차</v>
      </c>
      <c r="D4918" s="1" t="str">
        <f>"0425A7126S"</f>
        <v>0425A7126S</v>
      </c>
      <c r="E4918" s="1" t="s">
        <v>10</v>
      </c>
      <c r="F4918" s="1" t="str">
        <f>"fde1:103:4:c6f1:0:0:0:2"</f>
        <v>fde1:103:4:c6f1:0:0:0:2</v>
      </c>
      <c r="G4918" s="1" t="str">
        <f>"0425A712"</f>
        <v>0425A712</v>
      </c>
      <c r="H4918" s="1" t="str">
        <f>"광장간 30L7R5"</f>
        <v>광장간 30L7R5</v>
      </c>
      <c r="I4918" s="1" t="s">
        <v>15</v>
      </c>
      <c r="J4918" s="1" t="str">
        <f>"91/91"</f>
        <v>91/91</v>
      </c>
      <c r="K4918" s="1" t="str">
        <f>"2026-07-29 14:20:26"</f>
        <v>2026-07-29 14:20:26</v>
      </c>
      <c r="L4918" s="1" t="str">
        <f>"2024-11-13 15:30:04"</f>
        <v>2024-11-13 15:30:04</v>
      </c>
      <c r="M4918" s="1" t="s">
        <v>4</v>
      </c>
      <c r="N4918" s="1" t="s">
        <v>38</v>
      </c>
      <c r="O4918" s="1" t="s">
        <v>46</v>
      </c>
    </row>
    <row r="4919" spans="2:15" x14ac:dyDescent="0.3">
      <c r="B4919" s="1" t="s">
        <v>23</v>
      </c>
      <c r="C4919" s="1" t="str">
        <f>"1차"</f>
        <v>1차</v>
      </c>
      <c r="D4919" s="1" t="str">
        <f>"0425A73100"</f>
        <v>0425A73100</v>
      </c>
      <c r="E4919" s="1" t="s">
        <v>10</v>
      </c>
      <c r="F4919" s="1" t="str">
        <f>"10.125.117.42"</f>
        <v>10.125.117.42</v>
      </c>
      <c r="G4919" s="1" t="str">
        <f>"0425A731"</f>
        <v>0425A731</v>
      </c>
      <c r="H4919" s="1" t="str">
        <f>"광장간 30L8R5R2"</f>
        <v>광장간 30L8R5R2</v>
      </c>
      <c r="I4919" s="1" t="s">
        <v>8</v>
      </c>
      <c r="J4919" s="1" t="str">
        <f>"18/18"</f>
        <v>18/18</v>
      </c>
      <c r="K4919" s="1" t="str">
        <f>"2026-07-29 13:18:03"</f>
        <v>2026-07-29 13:18:03</v>
      </c>
      <c r="L4919" s="1" t="str">
        <f>"2015-07-10 18:03:32"</f>
        <v>2015-07-10 18:03:32</v>
      </c>
      <c r="M4919" s="1" t="s">
        <v>45</v>
      </c>
      <c r="N4919" s="1" t="s">
        <v>38</v>
      </c>
      <c r="O4919" s="1" t="s">
        <v>46</v>
      </c>
    </row>
    <row r="4920" spans="2:15" x14ac:dyDescent="0.3">
      <c r="B4920" s="1" t="s">
        <v>23</v>
      </c>
      <c r="C4920" s="1" t="str">
        <f>"1차"</f>
        <v>1차</v>
      </c>
      <c r="D4920" s="1" t="str">
        <f>"0425A73201"</f>
        <v>0425A73201</v>
      </c>
      <c r="E4920" s="1" t="s">
        <v>10</v>
      </c>
      <c r="F4920" s="1" t="str">
        <f>"10.12.136.137"</f>
        <v>10.12.136.137</v>
      </c>
      <c r="G4920" s="1" t="str">
        <f>"0425A732"</f>
        <v>0425A732</v>
      </c>
      <c r="H4920" s="1" t="str">
        <f>"광장간 30L8R5R3"</f>
        <v>광장간 30L8R5R3</v>
      </c>
      <c r="I4920" s="1" t="s">
        <v>8</v>
      </c>
      <c r="J4920" s="1" t="str">
        <f>"18/18"</f>
        <v>18/18</v>
      </c>
      <c r="K4920" s="1" t="str">
        <f>"2026-07-29 13:18:01"</f>
        <v>2026-07-29 13:18:01</v>
      </c>
      <c r="L4920" s="1" t="str">
        <f>"2010-08-30 19:21:10"</f>
        <v>2010-08-30 19:21:10</v>
      </c>
      <c r="M4920" s="1" t="s">
        <v>0</v>
      </c>
      <c r="N4920" s="1" t="s">
        <v>38</v>
      </c>
      <c r="O4920" s="1" t="s">
        <v>46</v>
      </c>
    </row>
    <row r="4921" spans="2:15" x14ac:dyDescent="0.3">
      <c r="B4921" s="1" t="s">
        <v>23</v>
      </c>
      <c r="C4921" s="1" t="str">
        <f>"1차"</f>
        <v>1차</v>
      </c>
      <c r="D4921" s="1" t="str">
        <f>"0425A77100"</f>
        <v>0425A77100</v>
      </c>
      <c r="E4921" s="1" t="s">
        <v>10</v>
      </c>
      <c r="F4921" s="1" t="str">
        <f>"10.125.116.97"</f>
        <v>10.125.116.97</v>
      </c>
      <c r="G4921" s="1" t="str">
        <f>"0425A771"</f>
        <v>0425A771</v>
      </c>
      <c r="H4921" s="1" t="str">
        <f>"광장간 30L8R12"</f>
        <v>광장간 30L8R12</v>
      </c>
      <c r="I4921" s="1" t="s">
        <v>8</v>
      </c>
      <c r="J4921" s="1" t="str">
        <f>"31/31"</f>
        <v>31/31</v>
      </c>
      <c r="K4921" s="1" t="str">
        <f>"2026-07-29 13:18:02"</f>
        <v>2026-07-29 13:18:02</v>
      </c>
      <c r="L4921" s="1" t="str">
        <f>"2015-07-14 15:54:55"</f>
        <v>2015-07-14 15:54:55</v>
      </c>
      <c r="M4921" s="1" t="s">
        <v>45</v>
      </c>
      <c r="N4921" s="1" t="s">
        <v>38</v>
      </c>
      <c r="O4921" s="1" t="s">
        <v>46</v>
      </c>
    </row>
    <row r="4922" spans="2:15" x14ac:dyDescent="0.3">
      <c r="B4922" s="1" t="s">
        <v>23</v>
      </c>
      <c r="C4922" s="1" t="str">
        <f>"1차"</f>
        <v>1차</v>
      </c>
      <c r="D4922" s="1" t="str">
        <f>"0425A78100"</f>
        <v>0425A78100</v>
      </c>
      <c r="E4922" s="1" t="s">
        <v>10</v>
      </c>
      <c r="F4922" s="1" t="str">
        <f>"10.125.116.147"</f>
        <v>10.125.116.147</v>
      </c>
      <c r="G4922" s="1" t="str">
        <f>"0425A781"</f>
        <v>0425A781</v>
      </c>
      <c r="H4922" s="1" t="str">
        <f>"광장간 30L8R10A1"</f>
        <v>광장간 30L8R10A1</v>
      </c>
      <c r="I4922" s="1" t="s">
        <v>8</v>
      </c>
      <c r="J4922" s="1" t="str">
        <f>"1/4"</f>
        <v>1/4</v>
      </c>
      <c r="K4922" s="1" t="str">
        <f>"2026-07-29 07:18:01"</f>
        <v>2026-07-29 07:18:01</v>
      </c>
      <c r="L4922" s="1" t="str">
        <f>"2015-07-14 13:42:16"</f>
        <v>2015-07-14 13:42:16</v>
      </c>
      <c r="M4922" s="1" t="s">
        <v>45</v>
      </c>
      <c r="N4922" s="1" t="s">
        <v>38</v>
      </c>
      <c r="O4922" s="1" t="s">
        <v>46</v>
      </c>
    </row>
    <row r="4923" spans="2:15" x14ac:dyDescent="0.3">
      <c r="B4923" s="1" t="s">
        <v>23</v>
      </c>
      <c r="C4923" s="1" t="str">
        <f>"6차"</f>
        <v>6차</v>
      </c>
      <c r="D4923" s="1" t="str">
        <f>"0425A7916S"</f>
        <v>0425A7916S</v>
      </c>
      <c r="E4923" s="1" t="s">
        <v>10</v>
      </c>
      <c r="F4923" s="1" t="str">
        <f>"fde1:103:4:c700:0:0:0:2"</f>
        <v>fde1:103:4:c700:0:0:0:2</v>
      </c>
      <c r="G4923" s="1" t="str">
        <f>"0425A791"</f>
        <v>0425A791</v>
      </c>
      <c r="H4923" s="1" t="str">
        <f>"화중지 9"</f>
        <v>화중지 9</v>
      </c>
      <c r="I4923" s="1" t="s">
        <v>15</v>
      </c>
      <c r="J4923" s="1" t="str">
        <f>"61/61"</f>
        <v>61/61</v>
      </c>
      <c r="K4923" s="1" t="str">
        <f>"2026-07-29 14:21:08"</f>
        <v>2026-07-29 14:21:08</v>
      </c>
      <c r="L4923" s="1" t="str">
        <f>"2024-11-18 10:59:58"</f>
        <v>2024-11-18 10:59:58</v>
      </c>
      <c r="M4923" s="1" t="s">
        <v>4</v>
      </c>
      <c r="N4923" s="1" t="s">
        <v>38</v>
      </c>
      <c r="O4923" s="1" t="s">
        <v>46</v>
      </c>
    </row>
    <row r="4924" spans="2:15" x14ac:dyDescent="0.3">
      <c r="B4924" s="1" t="s">
        <v>23</v>
      </c>
      <c r="C4924" s="1" t="str">
        <f>"1차"</f>
        <v>1차</v>
      </c>
      <c r="D4924" s="1" t="str">
        <f>"0425A79300"</f>
        <v>0425A79300</v>
      </c>
      <c r="E4924" s="1" t="s">
        <v>10</v>
      </c>
      <c r="F4924" s="1" t="str">
        <f>"10.125.116.102"</f>
        <v>10.125.116.102</v>
      </c>
      <c r="G4924" s="1" t="str">
        <f>"0425A793"</f>
        <v>0425A793</v>
      </c>
      <c r="H4924" s="1" t="str">
        <f>"명작간 9"</f>
        <v>명작간 9</v>
      </c>
      <c r="I4924" s="1" t="s">
        <v>8</v>
      </c>
      <c r="J4924" s="1" t="str">
        <f>"7/7"</f>
        <v>7/7</v>
      </c>
      <c r="K4924" s="1" t="str">
        <f>"2026-07-29 13:18:02"</f>
        <v>2026-07-29 13:18:02</v>
      </c>
      <c r="L4924" s="1" t="str">
        <f>"2015-07-14 13:01:48"</f>
        <v>2015-07-14 13:01:48</v>
      </c>
      <c r="M4924" s="1" t="s">
        <v>45</v>
      </c>
      <c r="N4924" s="1" t="s">
        <v>38</v>
      </c>
      <c r="O4924" s="1" t="s">
        <v>46</v>
      </c>
    </row>
    <row r="4925" spans="2:15" x14ac:dyDescent="0.3">
      <c r="B4925" s="1" t="s">
        <v>23</v>
      </c>
      <c r="C4925" s="1" t="str">
        <f>"6차"</f>
        <v>6차</v>
      </c>
      <c r="D4925" s="1" t="str">
        <f>"0425A8116S"</f>
        <v>0425A8116S</v>
      </c>
      <c r="E4925" s="1" t="s">
        <v>10</v>
      </c>
      <c r="F4925" s="1" t="str">
        <f>"fde1:103:4:c6c0:0:0:0:2"</f>
        <v>fde1:103:4:c6c0:0:0:0:2</v>
      </c>
      <c r="G4925" s="1" t="str">
        <f>"0425A811"</f>
        <v>0425A811</v>
      </c>
      <c r="H4925" s="1" t="str">
        <f>"명작간 27R8"</f>
        <v>명작간 27R8</v>
      </c>
      <c r="I4925" s="1" t="s">
        <v>15</v>
      </c>
      <c r="J4925" s="1" t="str">
        <f>"66/70"</f>
        <v>66/70</v>
      </c>
      <c r="K4925" s="1" t="str">
        <f>"2026-07-29 14:20:47"</f>
        <v>2026-07-29 14:20:47</v>
      </c>
      <c r="L4925" s="1" t="str">
        <f>"2024-11-13 15:13:27"</f>
        <v>2024-11-13 15:13:27</v>
      </c>
      <c r="M4925" s="1" t="s">
        <v>4</v>
      </c>
      <c r="N4925" s="1" t="s">
        <v>38</v>
      </c>
      <c r="O4925" s="1" t="s">
        <v>46</v>
      </c>
    </row>
    <row r="4926" spans="2:15" x14ac:dyDescent="0.3">
      <c r="B4926" s="1" t="s">
        <v>23</v>
      </c>
      <c r="C4926" s="1" t="str">
        <f t="shared" ref="C4926:C4932" si="266">"1차"</f>
        <v>1차</v>
      </c>
      <c r="D4926" s="1" t="str">
        <f>"0425A83200"</f>
        <v>0425A83200</v>
      </c>
      <c r="E4926" s="1" t="s">
        <v>10</v>
      </c>
      <c r="F4926" s="1" t="str">
        <f>"10.125.116.104"</f>
        <v>10.125.116.104</v>
      </c>
      <c r="G4926" s="1" t="str">
        <f>"0425A832"</f>
        <v>0425A832</v>
      </c>
      <c r="H4926" s="1" t="str">
        <f>"광장간 30L8R5R5"</f>
        <v>광장간 30L8R5R5</v>
      </c>
      <c r="I4926" s="1" t="s">
        <v>8</v>
      </c>
      <c r="J4926" s="1" t="str">
        <f>"87/87"</f>
        <v>87/87</v>
      </c>
      <c r="K4926" s="1" t="str">
        <f>"2026-07-29 13:18:02"</f>
        <v>2026-07-29 13:18:02</v>
      </c>
      <c r="L4926" s="1" t="str">
        <f>"2015-07-14 13:28:05"</f>
        <v>2015-07-14 13:28:05</v>
      </c>
      <c r="M4926" s="1" t="s">
        <v>45</v>
      </c>
      <c r="N4926" s="1" t="s">
        <v>38</v>
      </c>
      <c r="O4926" s="1" t="s">
        <v>46</v>
      </c>
    </row>
    <row r="4927" spans="2:15" x14ac:dyDescent="0.3">
      <c r="B4927" s="1" t="s">
        <v>23</v>
      </c>
      <c r="C4927" s="1" t="str">
        <f t="shared" si="266"/>
        <v>1차</v>
      </c>
      <c r="D4927" s="1" t="str">
        <f>"0425A84300"</f>
        <v>0425A84300</v>
      </c>
      <c r="E4927" s="1" t="s">
        <v>10</v>
      </c>
      <c r="F4927" s="1" t="str">
        <f>"10.125.116.148"</f>
        <v>10.125.116.148</v>
      </c>
      <c r="G4927" s="1" t="str">
        <f>"0425A843"</f>
        <v>0425A843</v>
      </c>
      <c r="H4927" s="1" t="str">
        <f>"광장간 30L8R14R3"</f>
        <v>광장간 30L8R14R3</v>
      </c>
      <c r="I4927" s="1" t="s">
        <v>8</v>
      </c>
      <c r="J4927" s="1" t="str">
        <f>"111/111"</f>
        <v>111/111</v>
      </c>
      <c r="K4927" s="1" t="str">
        <f>"2026-07-29 13:18:02"</f>
        <v>2026-07-29 13:18:02</v>
      </c>
      <c r="L4927" s="1" t="str">
        <f>"2015-07-15 17:13:28"</f>
        <v>2015-07-15 17:13:28</v>
      </c>
      <c r="M4927" s="1" t="s">
        <v>45</v>
      </c>
      <c r="N4927" s="1" t="s">
        <v>38</v>
      </c>
      <c r="O4927" s="1" t="s">
        <v>46</v>
      </c>
    </row>
    <row r="4928" spans="2:15" x14ac:dyDescent="0.3">
      <c r="B4928" s="1" t="s">
        <v>23</v>
      </c>
      <c r="C4928" s="1" t="str">
        <f t="shared" si="266"/>
        <v>1차</v>
      </c>
      <c r="D4928" s="1" t="str">
        <f>"0425A85100"</f>
        <v>0425A85100</v>
      </c>
      <c r="E4928" s="1" t="s">
        <v>10</v>
      </c>
      <c r="F4928" s="1" t="str">
        <f>"10.125.116.149"</f>
        <v>10.125.116.149</v>
      </c>
      <c r="G4928" s="1" t="str">
        <f>"0425A851"</f>
        <v>0425A851</v>
      </c>
      <c r="H4928" s="1" t="str">
        <f>"광장간 30L8R14R1"</f>
        <v>광장간 30L8R14R1</v>
      </c>
      <c r="I4928" s="1" t="s">
        <v>8</v>
      </c>
      <c r="J4928" s="1" t="str">
        <f>"45/45"</f>
        <v>45/45</v>
      </c>
      <c r="K4928" s="1" t="str">
        <f>"2026-07-29 13:18:02"</f>
        <v>2026-07-29 13:18:02</v>
      </c>
      <c r="L4928" s="1" t="str">
        <f>"2015-07-15 16:58:32"</f>
        <v>2015-07-15 16:58:32</v>
      </c>
      <c r="M4928" s="1" t="s">
        <v>45</v>
      </c>
      <c r="N4928" s="1" t="s">
        <v>38</v>
      </c>
      <c r="O4928" s="1" t="s">
        <v>46</v>
      </c>
    </row>
    <row r="4929" spans="2:15" x14ac:dyDescent="0.3">
      <c r="B4929" s="1" t="s">
        <v>23</v>
      </c>
      <c r="C4929" s="1" t="str">
        <f t="shared" si="266"/>
        <v>1차</v>
      </c>
      <c r="D4929" s="1" t="str">
        <f>"0425A88101"</f>
        <v>0425A88101</v>
      </c>
      <c r="E4929" s="1" t="s">
        <v>10</v>
      </c>
      <c r="F4929" s="1" t="str">
        <f>"10.12.134.82"</f>
        <v>10.12.134.82</v>
      </c>
      <c r="G4929" s="1" t="str">
        <f>"0425A881"</f>
        <v>0425A881</v>
      </c>
      <c r="H4929" s="1" t="str">
        <f>"광장간 30L8R16L2"</f>
        <v>광장간 30L8R16L2</v>
      </c>
      <c r="I4929" s="1" t="s">
        <v>8</v>
      </c>
      <c r="J4929" s="1" t="str">
        <f>"2/2"</f>
        <v>2/2</v>
      </c>
      <c r="K4929" s="1" t="str">
        <f>"2026-07-29 13:18:02"</f>
        <v>2026-07-29 13:18:02</v>
      </c>
      <c r="L4929" s="1" t="str">
        <f>"2010-08-30 19:21:32"</f>
        <v>2010-08-30 19:21:32</v>
      </c>
      <c r="M4929" s="1" t="s">
        <v>0</v>
      </c>
      <c r="N4929" s="1" t="s">
        <v>38</v>
      </c>
      <c r="O4929" s="1" t="s">
        <v>46</v>
      </c>
    </row>
    <row r="4930" spans="2:15" x14ac:dyDescent="0.3">
      <c r="B4930" s="1" t="s">
        <v>23</v>
      </c>
      <c r="C4930" s="1" t="str">
        <f t="shared" si="266"/>
        <v>1차</v>
      </c>
      <c r="D4930" s="1" t="str">
        <f>"0425A90200"</f>
        <v>0425A90200</v>
      </c>
      <c r="E4930" s="1" t="s">
        <v>10</v>
      </c>
      <c r="F4930" s="1" t="str">
        <f>"10.125.116.84"</f>
        <v>10.125.116.84</v>
      </c>
      <c r="G4930" s="1" t="str">
        <f>"0425A902"</f>
        <v>0425A902</v>
      </c>
      <c r="H4930" s="1" t="str">
        <f>"명작간 27R7L1"</f>
        <v>명작간 27R7L1</v>
      </c>
      <c r="I4930" s="1" t="s">
        <v>8</v>
      </c>
      <c r="J4930" s="1" t="str">
        <f>"26/26"</f>
        <v>26/26</v>
      </c>
      <c r="K4930" s="1" t="str">
        <f>"2026-07-29 13:18:03"</f>
        <v>2026-07-29 13:18:03</v>
      </c>
      <c r="L4930" s="1" t="str">
        <f>"2015-07-14 14:19:30"</f>
        <v>2015-07-14 14:19:30</v>
      </c>
      <c r="M4930" s="1" t="s">
        <v>45</v>
      </c>
      <c r="N4930" s="1" t="s">
        <v>38</v>
      </c>
      <c r="O4930" s="1" t="s">
        <v>46</v>
      </c>
    </row>
    <row r="4931" spans="2:15" x14ac:dyDescent="0.3">
      <c r="B4931" s="1" t="s">
        <v>23</v>
      </c>
      <c r="C4931" s="1" t="str">
        <f t="shared" si="266"/>
        <v>1차</v>
      </c>
      <c r="D4931" s="1" t="str">
        <f>"0425A91101"</f>
        <v>0425A91101</v>
      </c>
      <c r="E4931" s="1" t="s">
        <v>10</v>
      </c>
      <c r="F4931" s="1" t="str">
        <f>"10.12.136.180"</f>
        <v>10.12.136.180</v>
      </c>
      <c r="G4931" s="1" t="str">
        <f>"0425A911"</f>
        <v>0425A911</v>
      </c>
      <c r="H4931" s="1" t="str">
        <f>"명작간 27R7"</f>
        <v>명작간 27R7</v>
      </c>
      <c r="I4931" s="1" t="s">
        <v>8</v>
      </c>
      <c r="J4931" s="1" t="str">
        <f>"16/23"</f>
        <v>16/23</v>
      </c>
      <c r="K4931" s="1" t="str">
        <f>"2026-07-29 13:18:02"</f>
        <v>2026-07-29 13:18:02</v>
      </c>
      <c r="L4931" s="1" t="str">
        <f>"2010-08-30 19:21:32"</f>
        <v>2010-08-30 19:21:32</v>
      </c>
      <c r="M4931" s="1" t="s">
        <v>0</v>
      </c>
      <c r="N4931" s="1" t="s">
        <v>38</v>
      </c>
      <c r="O4931" s="1" t="s">
        <v>46</v>
      </c>
    </row>
    <row r="4932" spans="2:15" x14ac:dyDescent="0.3">
      <c r="B4932" s="1" t="s">
        <v>23</v>
      </c>
      <c r="C4932" s="1" t="str">
        <f t="shared" si="266"/>
        <v>1차</v>
      </c>
      <c r="D4932" s="1" t="str">
        <f>"0425A98300"</f>
        <v>0425A98300</v>
      </c>
      <c r="E4932" s="1" t="s">
        <v>10</v>
      </c>
      <c r="F4932" s="1" t="str">
        <f>"10.125.116.99"</f>
        <v>10.125.116.99</v>
      </c>
      <c r="G4932" s="1" t="str">
        <f>"0425A983"</f>
        <v>0425A983</v>
      </c>
      <c r="H4932" s="1" t="str">
        <f>"화중지 11"</f>
        <v>화중지 11</v>
      </c>
      <c r="I4932" s="1" t="s">
        <v>8</v>
      </c>
      <c r="J4932" s="1" t="str">
        <f>"35/35"</f>
        <v>35/35</v>
      </c>
      <c r="K4932" s="1" t="str">
        <f>"2026-07-29 13:18:02"</f>
        <v>2026-07-29 13:18:02</v>
      </c>
      <c r="L4932" s="1" t="str">
        <f>"2015-07-14 11:22:55"</f>
        <v>2015-07-14 11:22:55</v>
      </c>
      <c r="M4932" s="1" t="s">
        <v>45</v>
      </c>
      <c r="N4932" s="1" t="s">
        <v>38</v>
      </c>
      <c r="O4932" s="1" t="s">
        <v>46</v>
      </c>
    </row>
    <row r="4933" spans="2:15" x14ac:dyDescent="0.3">
      <c r="B4933" s="1" t="s">
        <v>23</v>
      </c>
      <c r="C4933" s="1" t="str">
        <f>"6차"</f>
        <v>6차</v>
      </c>
      <c r="D4933" s="1" t="str">
        <f>"0425B0026S"</f>
        <v>0425B0026S</v>
      </c>
      <c r="E4933" s="1" t="s">
        <v>10</v>
      </c>
      <c r="F4933" s="1" t="str">
        <f>"fde1:103:4:c697:0:0:0:2"</f>
        <v>fde1:103:4:c697:0:0:0:2</v>
      </c>
      <c r="G4933" s="1" t="str">
        <f>"0425B002"</f>
        <v>0425B002</v>
      </c>
      <c r="H4933" s="1" t="str">
        <f>"명작간 27R6L2"</f>
        <v>명작간 27R6L2</v>
      </c>
      <c r="I4933" s="1" t="s">
        <v>15</v>
      </c>
      <c r="J4933" s="1" t="str">
        <f>"161/162"</f>
        <v>161/162</v>
      </c>
      <c r="K4933" s="1" t="str">
        <f>"2026-07-29 14:21:08"</f>
        <v>2026-07-29 14:21:08</v>
      </c>
      <c r="L4933" s="1" t="str">
        <f>"2024-11-13 15:13:20"</f>
        <v>2024-11-13 15:13:20</v>
      </c>
      <c r="M4933" s="1" t="s">
        <v>4</v>
      </c>
      <c r="N4933" s="1" t="s">
        <v>38</v>
      </c>
      <c r="O4933" s="1" t="s">
        <v>46</v>
      </c>
    </row>
    <row r="4934" spans="2:15" x14ac:dyDescent="0.3">
      <c r="B4934" s="1" t="s">
        <v>23</v>
      </c>
      <c r="C4934" s="1" t="str">
        <f>"6차"</f>
        <v>6차</v>
      </c>
      <c r="D4934" s="1" t="str">
        <f>"0425B0116S"</f>
        <v>0425B0116S</v>
      </c>
      <c r="E4934" s="1" t="s">
        <v>10</v>
      </c>
      <c r="F4934" s="1" t="str">
        <f>"fde1:103:4:c665:0:0:0:2"</f>
        <v>fde1:103:4:c665:0:0:0:2</v>
      </c>
      <c r="G4934" s="1" t="str">
        <f>"0425B011"</f>
        <v>0425B011</v>
      </c>
      <c r="H4934" s="1" t="str">
        <f>"명작간 27R5"</f>
        <v>명작간 27R5</v>
      </c>
      <c r="I4934" s="1" t="s">
        <v>15</v>
      </c>
      <c r="J4934" s="1" t="str">
        <f>"59/62"</f>
        <v>59/62</v>
      </c>
      <c r="K4934" s="1" t="str">
        <f>"2026-07-29 14:20:26"</f>
        <v>2026-07-29 14:20:26</v>
      </c>
      <c r="L4934" s="1" t="str">
        <f>"2024-11-13 15:13:22"</f>
        <v>2024-11-13 15:13:22</v>
      </c>
      <c r="M4934" s="1" t="s">
        <v>4</v>
      </c>
      <c r="N4934" s="1" t="s">
        <v>38</v>
      </c>
      <c r="O4934" s="1" t="s">
        <v>46</v>
      </c>
    </row>
    <row r="4935" spans="2:15" x14ac:dyDescent="0.3">
      <c r="B4935" s="1" t="s">
        <v>23</v>
      </c>
      <c r="C4935" s="1" t="str">
        <f>"1차"</f>
        <v>1차</v>
      </c>
      <c r="D4935" s="1" t="str">
        <f>"0425B05300"</f>
        <v>0425B05300</v>
      </c>
      <c r="E4935" s="1" t="s">
        <v>12</v>
      </c>
      <c r="F4935" s="1" t="str">
        <f>"10.125.116.90"</f>
        <v>10.125.116.90</v>
      </c>
      <c r="G4935" s="1" t="str">
        <f>"0425B053"</f>
        <v>0425B053</v>
      </c>
      <c r="H4935" s="1" t="str">
        <f>"명작간 22R5"</f>
        <v>명작간 22R5</v>
      </c>
      <c r="I4935" s="1" t="s">
        <v>8</v>
      </c>
      <c r="J4935" s="1" t="str">
        <f>"0/10"</f>
        <v>0/10</v>
      </c>
      <c r="K4935" s="1" t="str">
        <f>"2026-07-29 01:18:02"</f>
        <v>2026-07-29 01:18:02</v>
      </c>
      <c r="L4935" s="1" t="str">
        <f>"2015-07-15 16:00:15"</f>
        <v>2015-07-15 16:00:15</v>
      </c>
      <c r="M4935" s="1" t="s">
        <v>45</v>
      </c>
      <c r="N4935" s="1" t="s">
        <v>38</v>
      </c>
      <c r="O4935" s="1" t="s">
        <v>46</v>
      </c>
    </row>
    <row r="4936" spans="2:15" x14ac:dyDescent="0.3">
      <c r="B4936" s="1" t="s">
        <v>23</v>
      </c>
      <c r="C4936" s="1" t="str">
        <f>"1차"</f>
        <v>1차</v>
      </c>
      <c r="D4936" s="1" t="str">
        <f>"0425B06301"</f>
        <v>0425B06301</v>
      </c>
      <c r="E4936" s="1" t="s">
        <v>10</v>
      </c>
      <c r="F4936" s="1" t="str">
        <f>"10.12.129.246"</f>
        <v>10.12.129.246</v>
      </c>
      <c r="G4936" s="1" t="str">
        <f>"0425B063"</f>
        <v>0425B063</v>
      </c>
      <c r="H4936" s="1" t="str">
        <f>"광장간 30L8R14A1"</f>
        <v>광장간 30L8R14A1</v>
      </c>
      <c r="I4936" s="1" t="s">
        <v>8</v>
      </c>
      <c r="J4936" s="1" t="str">
        <f>"46/52"</f>
        <v>46/52</v>
      </c>
      <c r="K4936" s="1" t="str">
        <f>"2026-07-29 13:18:02"</f>
        <v>2026-07-29 13:18:02</v>
      </c>
      <c r="L4936" s="1" t="str">
        <f>"2010-08-30 19:21:07"</f>
        <v>2010-08-30 19:21:07</v>
      </c>
      <c r="M4936" s="1" t="s">
        <v>0</v>
      </c>
      <c r="N4936" s="1" t="s">
        <v>38</v>
      </c>
      <c r="O4936" s="1" t="s">
        <v>46</v>
      </c>
    </row>
    <row r="4937" spans="2:15" x14ac:dyDescent="0.3">
      <c r="B4937" s="1" t="s">
        <v>23</v>
      </c>
      <c r="C4937" s="1" t="str">
        <f>"1차"</f>
        <v>1차</v>
      </c>
      <c r="D4937" s="1" t="str">
        <f>"0425B08200"</f>
        <v>0425B08200</v>
      </c>
      <c r="E4937" s="1" t="s">
        <v>10</v>
      </c>
      <c r="F4937" s="1" t="str">
        <f>"10.125.116.92"</f>
        <v>10.125.116.92</v>
      </c>
      <c r="G4937" s="1" t="str">
        <f>"0425B082"</f>
        <v>0425B082</v>
      </c>
      <c r="H4937" s="1" t="str">
        <f>"화중지 14L2"</f>
        <v>화중지 14L2</v>
      </c>
      <c r="I4937" s="1" t="s">
        <v>8</v>
      </c>
      <c r="J4937" s="1" t="str">
        <f>"61/61"</f>
        <v>61/61</v>
      </c>
      <c r="K4937" s="1" t="str">
        <f>"2026-07-29 13:18:02"</f>
        <v>2026-07-29 13:18:02</v>
      </c>
      <c r="L4937" s="1" t="str">
        <f>"2015-07-14 09:41:11"</f>
        <v>2015-07-14 09:41:11</v>
      </c>
      <c r="M4937" s="1" t="s">
        <v>45</v>
      </c>
      <c r="N4937" s="1" t="s">
        <v>38</v>
      </c>
      <c r="O4937" s="1" t="s">
        <v>46</v>
      </c>
    </row>
    <row r="4938" spans="2:15" x14ac:dyDescent="0.3">
      <c r="B4938" s="1" t="s">
        <v>23</v>
      </c>
      <c r="C4938" s="1" t="str">
        <f>"6차"</f>
        <v>6차</v>
      </c>
      <c r="D4938" s="1" t="str">
        <f>"0425B1116S"</f>
        <v>0425B1116S</v>
      </c>
      <c r="E4938" s="1" t="s">
        <v>10</v>
      </c>
      <c r="F4938" s="1" t="str">
        <f>"fde1:103:4:c646:0:0:0:2"</f>
        <v>fde1:103:4:c646:0:0:0:2</v>
      </c>
      <c r="G4938" s="1" t="str">
        <f>"0425B111"</f>
        <v>0425B111</v>
      </c>
      <c r="H4938" s="1" t="str">
        <f>"명작간 27R4"</f>
        <v>명작간 27R4</v>
      </c>
      <c r="I4938" s="1" t="s">
        <v>15</v>
      </c>
      <c r="J4938" s="1" t="str">
        <f>"63/63"</f>
        <v>63/63</v>
      </c>
      <c r="K4938" s="1" t="str">
        <f>"2026-07-29 14:20:29"</f>
        <v>2026-07-29 14:20:29</v>
      </c>
      <c r="L4938" s="1" t="str">
        <f>"2024-11-13 15:13:38"</f>
        <v>2024-11-13 15:13:38</v>
      </c>
      <c r="M4938" s="1" t="s">
        <v>4</v>
      </c>
      <c r="N4938" s="1" t="s">
        <v>38</v>
      </c>
      <c r="O4938" s="1" t="s">
        <v>46</v>
      </c>
    </row>
    <row r="4939" spans="2:15" x14ac:dyDescent="0.3">
      <c r="B4939" s="1" t="s">
        <v>23</v>
      </c>
      <c r="C4939" s="1" t="str">
        <f>"6차"</f>
        <v>6차</v>
      </c>
      <c r="D4939" s="1" t="str">
        <f>"0425B1316S"</f>
        <v>0425B1316S</v>
      </c>
      <c r="E4939" s="1" t="s">
        <v>10</v>
      </c>
      <c r="F4939" s="1" t="str">
        <f>"fde1:103:4:9127:0:0:0:2"</f>
        <v>fde1:103:4:9127:0:0:0:2</v>
      </c>
      <c r="G4939" s="1" t="str">
        <f>"0425B131"</f>
        <v>0425B131</v>
      </c>
      <c r="H4939" s="1" t="str">
        <f>"명작간 27R4R3"</f>
        <v>명작간 27R4R3</v>
      </c>
      <c r="I4939" s="1" t="s">
        <v>15</v>
      </c>
      <c r="J4939" s="1" t="str">
        <f>"55/55"</f>
        <v>55/55</v>
      </c>
      <c r="K4939" s="1" t="str">
        <f>"2026-07-29 14:21:09"</f>
        <v>2026-07-29 14:21:09</v>
      </c>
      <c r="L4939" s="1" t="str">
        <f>"2024-09-25 19:54:47"</f>
        <v>2024-09-25 19:54:47</v>
      </c>
      <c r="M4939" s="1" t="s">
        <v>4</v>
      </c>
      <c r="N4939" s="1" t="s">
        <v>38</v>
      </c>
      <c r="O4939" s="1" t="s">
        <v>46</v>
      </c>
    </row>
    <row r="4940" spans="2:15" x14ac:dyDescent="0.3">
      <c r="B4940" s="1" t="s">
        <v>23</v>
      </c>
      <c r="C4940" s="1" t="str">
        <f>"5-2차"</f>
        <v>5-2차</v>
      </c>
      <c r="D4940" s="1" t="str">
        <f>"0425B1615M"</f>
        <v>0425B1615M</v>
      </c>
      <c r="E4940" s="1" t="s">
        <v>10</v>
      </c>
      <c r="F4940" s="1" t="str">
        <f>"fde1:103:4:9440:0:0:0:2"</f>
        <v>fde1:103:4:9440:0:0:0:2</v>
      </c>
      <c r="G4940" s="1" t="str">
        <f>"0425B161"</f>
        <v>0425B161</v>
      </c>
      <c r="H4940" s="1" t="str">
        <f>"명작간 17"</f>
        <v>명작간 17</v>
      </c>
      <c r="I4940" s="1" t="s">
        <v>15</v>
      </c>
      <c r="J4940" s="1" t="str">
        <f>"37/37"</f>
        <v>37/37</v>
      </c>
      <c r="K4940" s="1" t="str">
        <f>"2026-07-29 14:21:02"</f>
        <v>2026-07-29 14:21:02</v>
      </c>
      <c r="L4940" s="1" t="str">
        <f>"2023-12-15 14:17:25"</f>
        <v>2023-12-15 14:17:25</v>
      </c>
      <c r="M4940" s="1" t="s">
        <v>4</v>
      </c>
      <c r="N4940" s="1" t="s">
        <v>38</v>
      </c>
      <c r="O4940" s="1" t="s">
        <v>46</v>
      </c>
    </row>
    <row r="4941" spans="2:15" x14ac:dyDescent="0.3">
      <c r="B4941" s="1" t="s">
        <v>23</v>
      </c>
      <c r="C4941" s="1" t="str">
        <f>"5-2차"</f>
        <v>5-2차</v>
      </c>
      <c r="D4941" s="1" t="str">
        <f>"0425B1825M"</f>
        <v>0425B1825M</v>
      </c>
      <c r="E4941" s="1" t="s">
        <v>10</v>
      </c>
      <c r="F4941" s="1" t="str">
        <f>"fde1:103:4:929c:0:0:0:2"</f>
        <v>fde1:103:4:929c:0:0:0:2</v>
      </c>
      <c r="G4941" s="1" t="str">
        <f>"0425B182"</f>
        <v>0425B182</v>
      </c>
      <c r="H4941" s="1" t="str">
        <f>"화중지 12L4R4"</f>
        <v>화중지 12L4R4</v>
      </c>
      <c r="I4941" s="1" t="s">
        <v>15</v>
      </c>
      <c r="J4941" s="1" t="str">
        <f>"64/64"</f>
        <v>64/64</v>
      </c>
      <c r="K4941" s="1" t="str">
        <f>"2026-07-29 14:21:00"</f>
        <v>2026-07-29 14:21:00</v>
      </c>
      <c r="L4941" s="1" t="str">
        <f>"2024-01-08 11:15:51"</f>
        <v>2024-01-08 11:15:51</v>
      </c>
      <c r="M4941" s="1" t="s">
        <v>4</v>
      </c>
      <c r="N4941" s="1" t="s">
        <v>38</v>
      </c>
      <c r="O4941" s="1" t="s">
        <v>46</v>
      </c>
    </row>
    <row r="4942" spans="2:15" x14ac:dyDescent="0.3">
      <c r="B4942" s="1" t="s">
        <v>23</v>
      </c>
      <c r="C4942" s="1" t="str">
        <f>"4차"</f>
        <v>4차</v>
      </c>
      <c r="D4942" s="1" t="str">
        <f>"0425B20220"</f>
        <v>0425B20220</v>
      </c>
      <c r="E4942" s="1" t="s">
        <v>10</v>
      </c>
      <c r="F4942" s="1" t="str">
        <f>"10.125.114.105"</f>
        <v>10.125.114.105</v>
      </c>
      <c r="G4942" s="1" t="str">
        <f>"0425B202"</f>
        <v>0425B202</v>
      </c>
      <c r="H4942" s="1" t="str">
        <f>"명작간 27R3L1"</f>
        <v>명작간 27R3L1</v>
      </c>
      <c r="I4942" s="1" t="s">
        <v>8</v>
      </c>
      <c r="J4942" s="1" t="str">
        <f>"22/22"</f>
        <v>22/22</v>
      </c>
      <c r="K4942" s="1" t="str">
        <f>"2026-07-29 13:18:02"</f>
        <v>2026-07-29 13:18:02</v>
      </c>
      <c r="L4942" s="1" t="str">
        <f>"2017-07-18 09:28:11"</f>
        <v>2017-07-18 09:28:11</v>
      </c>
      <c r="M4942" s="1" t="s">
        <v>45</v>
      </c>
      <c r="N4942" s="1" t="s">
        <v>38</v>
      </c>
      <c r="O4942" s="1" t="s">
        <v>46</v>
      </c>
    </row>
    <row r="4943" spans="2:15" x14ac:dyDescent="0.3">
      <c r="B4943" s="1" t="s">
        <v>23</v>
      </c>
      <c r="C4943" s="1" t="str">
        <f>"4차"</f>
        <v>4차</v>
      </c>
      <c r="D4943" s="1" t="str">
        <f>"0425B21121"</f>
        <v>0425B21121</v>
      </c>
      <c r="E4943" s="1" t="s">
        <v>10</v>
      </c>
      <c r="F4943" s="1" t="str">
        <f>"10.12.128.29"</f>
        <v>10.12.128.29</v>
      </c>
      <c r="G4943" s="1" t="str">
        <f>"0425B211"</f>
        <v>0425B211</v>
      </c>
      <c r="H4943" s="1" t="str">
        <f>"명작간 27R3"</f>
        <v>명작간 27R3</v>
      </c>
      <c r="I4943" s="1" t="s">
        <v>8</v>
      </c>
      <c r="J4943" s="1" t="str">
        <f>"103/103"</f>
        <v>103/103</v>
      </c>
      <c r="K4943" s="1" t="str">
        <f>"2026-07-28 20:03:24"</f>
        <v>2026-07-28 20:03:24</v>
      </c>
      <c r="L4943" s="1" t="str">
        <f>"2017-07-18 09:27:41"</f>
        <v>2017-07-18 09:27:41</v>
      </c>
      <c r="M4943" s="1" t="s">
        <v>0</v>
      </c>
      <c r="N4943" s="1" t="s">
        <v>38</v>
      </c>
      <c r="O4943" s="1" t="s">
        <v>46</v>
      </c>
    </row>
    <row r="4944" spans="2:15" x14ac:dyDescent="0.3">
      <c r="B4944" s="1" t="s">
        <v>23</v>
      </c>
      <c r="C4944" s="1" t="str">
        <f>"5-2차"</f>
        <v>5-2차</v>
      </c>
      <c r="D4944" s="1" t="str">
        <f>"0425B2315M"</f>
        <v>0425B2315M</v>
      </c>
      <c r="E4944" s="1" t="s">
        <v>10</v>
      </c>
      <c r="F4944" s="1" t="str">
        <f>"fde3:102:1440:4300:0:0:0:b"</f>
        <v>fde3:102:1440:4300:0:0:0:b</v>
      </c>
      <c r="G4944" s="1" t="str">
        <f>"0425B231"</f>
        <v>0425B231</v>
      </c>
      <c r="H4944" s="1" t="str">
        <f>"명작간 27R3R2"</f>
        <v>명작간 27R3R2</v>
      </c>
      <c r="I4944" s="1" t="s">
        <v>15</v>
      </c>
      <c r="J4944" s="1" t="str">
        <f>"48/48"</f>
        <v>48/48</v>
      </c>
      <c r="K4944" s="1" t="str">
        <f>"2026-07-29 14:20:31"</f>
        <v>2026-07-29 14:20:31</v>
      </c>
      <c r="L4944" s="1" t="str">
        <f>"2023-06-19 18:29:16"</f>
        <v>2023-06-19 18:29:16</v>
      </c>
      <c r="M4944" s="1" t="s">
        <v>45</v>
      </c>
      <c r="N4944" s="1" t="s">
        <v>38</v>
      </c>
      <c r="O4944" s="1" t="s">
        <v>46</v>
      </c>
    </row>
    <row r="4945" spans="2:15" x14ac:dyDescent="0.3">
      <c r="B4945" s="1" t="s">
        <v>23</v>
      </c>
      <c r="C4945" s="1" t="str">
        <f>"5-2차"</f>
        <v>5-2차</v>
      </c>
      <c r="D4945" s="1" t="str">
        <f>"0425B3215M"</f>
        <v>0425B3215M</v>
      </c>
      <c r="E4945" s="1" t="s">
        <v>10</v>
      </c>
      <c r="F4945" s="1" t="str">
        <f>"fde1:103:4:943a:0:0:0:2"</f>
        <v>fde1:103:4:943a:0:0:0:2</v>
      </c>
      <c r="G4945" s="1" t="str">
        <f>"0425B321"</f>
        <v>0425B321</v>
      </c>
      <c r="H4945" s="1" t="str">
        <f>"명작간 26"</f>
        <v>명작간 26</v>
      </c>
      <c r="I4945" s="1" t="s">
        <v>15</v>
      </c>
      <c r="J4945" s="1" t="str">
        <f>"22/22"</f>
        <v>22/22</v>
      </c>
      <c r="K4945" s="1" t="str">
        <f>"2026-07-29 14:21:08"</f>
        <v>2026-07-29 14:21:08</v>
      </c>
      <c r="L4945" s="1" t="str">
        <f>"2023-12-15 14:17:55"</f>
        <v>2023-12-15 14:17:55</v>
      </c>
      <c r="M4945" s="1" t="s">
        <v>4</v>
      </c>
      <c r="N4945" s="1" t="s">
        <v>38</v>
      </c>
      <c r="O4945" s="1" t="s">
        <v>46</v>
      </c>
    </row>
    <row r="4946" spans="2:15" x14ac:dyDescent="0.3">
      <c r="B4946" s="1" t="s">
        <v>23</v>
      </c>
      <c r="C4946" s="1" t="str">
        <f>"5-2차"</f>
        <v>5-2차</v>
      </c>
      <c r="D4946" s="1" t="str">
        <f>"0425B3815M"</f>
        <v>0425B3815M</v>
      </c>
      <c r="E4946" s="1" t="s">
        <v>10</v>
      </c>
      <c r="F4946" s="1" t="str">
        <f>"fde1:103:4:9431:0:0:0:2"</f>
        <v>fde1:103:4:9431:0:0:0:2</v>
      </c>
      <c r="G4946" s="1" t="str">
        <f>"0425B381"</f>
        <v>0425B381</v>
      </c>
      <c r="H4946" s="1" t="str">
        <f>"화중지 21"</f>
        <v>화중지 21</v>
      </c>
      <c r="I4946" s="1" t="s">
        <v>15</v>
      </c>
      <c r="J4946" s="1" t="str">
        <f>"59/59"</f>
        <v>59/59</v>
      </c>
      <c r="K4946" s="1" t="str">
        <f>"2026-07-29 14:21:10"</f>
        <v>2026-07-29 14:21:10</v>
      </c>
      <c r="L4946" s="1" t="str">
        <f>"2023-12-15 15:05:08"</f>
        <v>2023-12-15 15:05:08</v>
      </c>
      <c r="M4946" s="1" t="s">
        <v>4</v>
      </c>
      <c r="N4946" s="1" t="s">
        <v>38</v>
      </c>
      <c r="O4946" s="1" t="s">
        <v>46</v>
      </c>
    </row>
    <row r="4947" spans="2:15" x14ac:dyDescent="0.3">
      <c r="B4947" s="1" t="s">
        <v>23</v>
      </c>
      <c r="C4947" s="1" t="str">
        <f>"4차"</f>
        <v>4차</v>
      </c>
      <c r="D4947" s="1" t="str">
        <f>"0425B41429"</f>
        <v>0425B41429</v>
      </c>
      <c r="E4947" s="1" t="s">
        <v>10</v>
      </c>
      <c r="F4947" s="1" t="str">
        <f>"10.125.114.98"</f>
        <v>10.125.114.98</v>
      </c>
      <c r="G4947" s="1" t="str">
        <f>"0425B414"</f>
        <v>0425B414</v>
      </c>
      <c r="H4947" s="1" t="str">
        <f>"대원간 49"</f>
        <v>대원간 49</v>
      </c>
      <c r="I4947" s="1" t="s">
        <v>8</v>
      </c>
      <c r="J4947" s="1" t="str">
        <f>"27/27"</f>
        <v>27/27</v>
      </c>
      <c r="K4947" s="1" t="str">
        <f>"2026-07-28 20:03:17"</f>
        <v>2026-07-28 20:03:17</v>
      </c>
      <c r="L4947" s="1" t="str">
        <f>"2017-07-20 16:53:57"</f>
        <v>2017-07-20 16:53:57</v>
      </c>
      <c r="M4947" s="1" t="s">
        <v>45</v>
      </c>
      <c r="N4947" s="1" t="s">
        <v>38</v>
      </c>
      <c r="O4947" s="1" t="s">
        <v>46</v>
      </c>
    </row>
    <row r="4948" spans="2:15" x14ac:dyDescent="0.3">
      <c r="B4948" s="1" t="s">
        <v>23</v>
      </c>
      <c r="C4948" s="1" t="str">
        <f>"5-2차"</f>
        <v>5-2차</v>
      </c>
      <c r="D4948" s="1" t="str">
        <f>"0425B4445M"</f>
        <v>0425B4445M</v>
      </c>
      <c r="E4948" s="1" t="s">
        <v>10</v>
      </c>
      <c r="F4948" s="1" t="str">
        <f>"fde1:103:4:93a1:0:0:0:2"</f>
        <v>fde1:103:4:93a1:0:0:0:2</v>
      </c>
      <c r="G4948" s="1" t="str">
        <f>"0425B444"</f>
        <v>0425B444</v>
      </c>
      <c r="H4948" s="1" t="str">
        <f>"고랑지 2"</f>
        <v>고랑지 2</v>
      </c>
      <c r="I4948" s="1" t="s">
        <v>15</v>
      </c>
      <c r="J4948" s="1" t="str">
        <f>"35/35"</f>
        <v>35/35</v>
      </c>
      <c r="K4948" s="1" t="str">
        <f>"2026-07-29 14:21:09"</f>
        <v>2026-07-29 14:21:09</v>
      </c>
      <c r="L4948" s="1" t="str">
        <f>"2023-12-15 15:05:38"</f>
        <v>2023-12-15 15:05:38</v>
      </c>
      <c r="M4948" s="1" t="s">
        <v>4</v>
      </c>
      <c r="N4948" s="1" t="s">
        <v>38</v>
      </c>
      <c r="O4948" s="1" t="s">
        <v>46</v>
      </c>
    </row>
    <row r="4949" spans="2:15" x14ac:dyDescent="0.3">
      <c r="B4949" s="1" t="s">
        <v>23</v>
      </c>
      <c r="C4949" s="1" t="str">
        <f>"5-1차"</f>
        <v>5-1차</v>
      </c>
      <c r="D4949" s="1" t="str">
        <f>"0425B4615S"</f>
        <v>0425B4615S</v>
      </c>
      <c r="E4949" s="1" t="s">
        <v>10</v>
      </c>
      <c r="F4949" s="1" t="str">
        <f>"fde2:104:0:17a:0:0:0:2"</f>
        <v>fde2:104:0:17a:0:0:0:2</v>
      </c>
      <c r="G4949" s="1" t="str">
        <f>"0425B461"</f>
        <v>0425B461</v>
      </c>
      <c r="H4949" s="1" t="str">
        <f>"대원간 37L9R1"</f>
        <v>대원간 37L9R1</v>
      </c>
      <c r="I4949" s="1" t="s">
        <v>15</v>
      </c>
      <c r="J4949" s="1" t="str">
        <f>"144/144"</f>
        <v>144/144</v>
      </c>
      <c r="K4949" s="1" t="str">
        <f>"2026-07-29 14:20:34"</f>
        <v>2026-07-29 14:20:34</v>
      </c>
      <c r="L4949" s="1" t="str">
        <f>"2022-11-23 08:24:28"</f>
        <v>2022-11-23 08:24:28</v>
      </c>
      <c r="M4949" s="1" t="s">
        <v>42</v>
      </c>
      <c r="N4949" s="1" t="s">
        <v>38</v>
      </c>
      <c r="O4949" s="1" t="s">
        <v>46</v>
      </c>
    </row>
    <row r="4950" spans="2:15" x14ac:dyDescent="0.3">
      <c r="B4950" s="1" t="s">
        <v>23</v>
      </c>
      <c r="C4950" s="1" t="str">
        <f>"5-2차"</f>
        <v>5-2차</v>
      </c>
      <c r="D4950" s="1" t="str">
        <f>"0425B4925M"</f>
        <v>0425B4925M</v>
      </c>
      <c r="E4950" s="1" t="s">
        <v>10</v>
      </c>
      <c r="F4950" s="1" t="str">
        <f>"fde3:102:1440:4200:0:0:0:24"</f>
        <v>fde3:102:1440:4200:0:0:0:24</v>
      </c>
      <c r="G4950" s="1" t="str">
        <f>"0425B492"</f>
        <v>0425B492</v>
      </c>
      <c r="H4950" s="1" t="str">
        <f>"대원간 37L2R1"</f>
        <v>대원간 37L2R1</v>
      </c>
      <c r="I4950" s="1" t="s">
        <v>15</v>
      </c>
      <c r="J4950" s="1" t="str">
        <f>"117/123"</f>
        <v>117/123</v>
      </c>
      <c r="K4950" s="1" t="str">
        <f>"2026-07-29 14:21:09"</f>
        <v>2026-07-29 14:21:09</v>
      </c>
      <c r="L4950" s="1" t="str">
        <f>"2024-01-10 16:46:15"</f>
        <v>2024-01-10 16:46:15</v>
      </c>
      <c r="M4950" s="1" t="s">
        <v>45</v>
      </c>
      <c r="N4950" s="1" t="s">
        <v>38</v>
      </c>
      <c r="O4950" s="1" t="s">
        <v>46</v>
      </c>
    </row>
    <row r="4951" spans="2:15" x14ac:dyDescent="0.3">
      <c r="B4951" s="1" t="s">
        <v>23</v>
      </c>
      <c r="C4951" s="1" t="str">
        <f>"5-1차"</f>
        <v>5-1차</v>
      </c>
      <c r="D4951" s="1" t="str">
        <f>"0425B5425M"</f>
        <v>0425B5425M</v>
      </c>
      <c r="E4951" s="1" t="s">
        <v>10</v>
      </c>
      <c r="F4951" s="1" t="str">
        <f>"fde3:102:1440:4200:0:0:0:b"</f>
        <v>fde3:102:1440:4200:0:0:0:b</v>
      </c>
      <c r="G4951" s="1" t="str">
        <f>"0425B542"</f>
        <v>0425B542</v>
      </c>
      <c r="H4951" s="1" t="str">
        <f>"고랑지 3L1"</f>
        <v>고랑지 3L1</v>
      </c>
      <c r="I4951" s="1" t="s">
        <v>15</v>
      </c>
      <c r="J4951" s="1" t="str">
        <f>"39/39"</f>
        <v>39/39</v>
      </c>
      <c r="K4951" s="1" t="str">
        <f>"2026-07-29 14:21:14"</f>
        <v>2026-07-29 14:21:14</v>
      </c>
      <c r="L4951" s="1" t="str">
        <f>"2022-11-01 11:36:31"</f>
        <v>2022-11-01 11:36:31</v>
      </c>
      <c r="M4951" s="1" t="s">
        <v>45</v>
      </c>
      <c r="N4951" s="1" t="s">
        <v>38</v>
      </c>
      <c r="O4951" s="1" t="s">
        <v>46</v>
      </c>
    </row>
    <row r="4952" spans="2:15" x14ac:dyDescent="0.3">
      <c r="B4952" s="1" t="s">
        <v>23</v>
      </c>
      <c r="C4952" s="1" t="str">
        <f>"5-2차"</f>
        <v>5-2차</v>
      </c>
      <c r="D4952" s="1" t="str">
        <f>"0425B5645M"</f>
        <v>0425B5645M</v>
      </c>
      <c r="E4952" s="1" t="s">
        <v>10</v>
      </c>
      <c r="F4952" s="1" t="str">
        <f>"fde1:103:4:933c:0:0:0:2"</f>
        <v>fde1:103:4:933c:0:0:0:2</v>
      </c>
      <c r="G4952" s="1" t="str">
        <f>"0425B564"</f>
        <v>0425B564</v>
      </c>
      <c r="H4952" s="1" t="str">
        <f>"대원간 37L10"</f>
        <v>대원간 37L10</v>
      </c>
      <c r="I4952" s="1" t="s">
        <v>15</v>
      </c>
      <c r="J4952" s="1" t="str">
        <f>"48/48"</f>
        <v>48/48</v>
      </c>
      <c r="K4952" s="1" t="str">
        <f>"2026-07-29 14:21:09"</f>
        <v>2026-07-29 14:21:09</v>
      </c>
      <c r="L4952" s="1" t="str">
        <f>"2023-12-15 15:06:01"</f>
        <v>2023-12-15 15:06:01</v>
      </c>
      <c r="M4952" s="1" t="s">
        <v>4</v>
      </c>
      <c r="N4952" s="1" t="s">
        <v>38</v>
      </c>
      <c r="O4952" s="1" t="s">
        <v>46</v>
      </c>
    </row>
    <row r="4953" spans="2:15" x14ac:dyDescent="0.3">
      <c r="B4953" s="1" t="s">
        <v>23</v>
      </c>
      <c r="C4953" s="1" t="str">
        <f>"5-2차"</f>
        <v>5-2차</v>
      </c>
      <c r="D4953" s="1" t="str">
        <f>"0425B5725M"</f>
        <v>0425B5725M</v>
      </c>
      <c r="E4953" s="1" t="s">
        <v>10</v>
      </c>
      <c r="F4953" s="1" t="str">
        <f>"fde1:103:4:558d:0:0:0:2"</f>
        <v>fde1:103:4:558d:0:0:0:2</v>
      </c>
      <c r="G4953" s="1" t="str">
        <f>"0425B572"</f>
        <v>0425B572</v>
      </c>
      <c r="H4953" s="1" t="str">
        <f>"대원간 37L6"</f>
        <v>대원간 37L6</v>
      </c>
      <c r="I4953" s="1" t="s">
        <v>15</v>
      </c>
      <c r="J4953" s="1" t="str">
        <f>"96/98"</f>
        <v>96/98</v>
      </c>
      <c r="K4953" s="1" t="str">
        <f>"2026-07-29 14:21:09"</f>
        <v>2026-07-29 14:21:09</v>
      </c>
      <c r="L4953" s="1" t="str">
        <f>"2024-02-28 17:29:13"</f>
        <v>2024-02-28 17:29:13</v>
      </c>
      <c r="M4953" s="1" t="s">
        <v>4</v>
      </c>
      <c r="N4953" s="1" t="s">
        <v>38</v>
      </c>
      <c r="O4953" s="1" t="s">
        <v>46</v>
      </c>
    </row>
    <row r="4954" spans="2:15" x14ac:dyDescent="0.3">
      <c r="B4954" s="1" t="s">
        <v>23</v>
      </c>
      <c r="C4954" s="1" t="str">
        <f>"5-2차"</f>
        <v>5-2차</v>
      </c>
      <c r="D4954" s="1" t="str">
        <f>"0425B6315M"</f>
        <v>0425B6315M</v>
      </c>
      <c r="E4954" s="1" t="s">
        <v>10</v>
      </c>
      <c r="F4954" s="1" t="str">
        <f>"fde1:103:4:9334:0:0:0:2"</f>
        <v>fde1:103:4:9334:0:0:0:2</v>
      </c>
      <c r="G4954" s="1" t="str">
        <f>"0425B631"</f>
        <v>0425B631</v>
      </c>
      <c r="H4954" s="1" t="str">
        <f>"고랑지 6R4"</f>
        <v>고랑지 6R4</v>
      </c>
      <c r="I4954" s="1" t="s">
        <v>15</v>
      </c>
      <c r="J4954" s="1" t="str">
        <f>"63/77"</f>
        <v>63/77</v>
      </c>
      <c r="K4954" s="1" t="str">
        <f>"2026-07-29 14:20:53"</f>
        <v>2026-07-29 14:20:53</v>
      </c>
      <c r="L4954" s="1" t="str">
        <f>"2023-12-15 15:06:29"</f>
        <v>2023-12-15 15:06:29</v>
      </c>
      <c r="M4954" s="1" t="s">
        <v>4</v>
      </c>
      <c r="N4954" s="1" t="s">
        <v>38</v>
      </c>
      <c r="O4954" s="1" t="s">
        <v>46</v>
      </c>
    </row>
    <row r="4955" spans="2:15" x14ac:dyDescent="0.3">
      <c r="B4955" s="1" t="s">
        <v>23</v>
      </c>
      <c r="C4955" s="1" t="str">
        <f>"5-2차"</f>
        <v>5-2차</v>
      </c>
      <c r="D4955" s="1" t="str">
        <f>"0425B6415M"</f>
        <v>0425B6415M</v>
      </c>
      <c r="E4955" s="1" t="s">
        <v>10</v>
      </c>
      <c r="F4955" s="1" t="str">
        <f>"fde1:103:4:9337:0:0:0:2"</f>
        <v>fde1:103:4:9337:0:0:0:2</v>
      </c>
      <c r="G4955" s="1" t="str">
        <f>"0425B641"</f>
        <v>0425B641</v>
      </c>
      <c r="H4955" s="1" t="str">
        <f>"고랑지 3L3"</f>
        <v>고랑지 3L3</v>
      </c>
      <c r="I4955" s="1" t="s">
        <v>15</v>
      </c>
      <c r="J4955" s="1" t="str">
        <f>"45/49"</f>
        <v>45/49</v>
      </c>
      <c r="K4955" s="1" t="str">
        <f>"2026-07-29 14:20:37"</f>
        <v>2026-07-29 14:20:37</v>
      </c>
      <c r="L4955" s="1" t="str">
        <f>"2023-12-15 15:07:01"</f>
        <v>2023-12-15 15:07:01</v>
      </c>
      <c r="M4955" s="1" t="s">
        <v>4</v>
      </c>
      <c r="N4955" s="1" t="s">
        <v>38</v>
      </c>
      <c r="O4955" s="1" t="s">
        <v>46</v>
      </c>
    </row>
    <row r="4956" spans="2:15" x14ac:dyDescent="0.3">
      <c r="B4956" s="1" t="s">
        <v>23</v>
      </c>
      <c r="C4956" s="1" t="str">
        <f>"5-1차"</f>
        <v>5-1차</v>
      </c>
      <c r="D4956" s="1" t="str">
        <f>"0425B6815S"</f>
        <v>0425B6815S</v>
      </c>
      <c r="E4956" s="1" t="s">
        <v>10</v>
      </c>
      <c r="F4956" s="1" t="str">
        <f>"fde3:102:1440:4100:0:0:0:2"</f>
        <v>fde3:102:1440:4100:0:0:0:2</v>
      </c>
      <c r="G4956" s="1" t="str">
        <f>"0425B681"</f>
        <v>0425B681</v>
      </c>
      <c r="H4956" s="1" t="str">
        <f>"대원간 37L5L1"</f>
        <v>대원간 37L5L1</v>
      </c>
      <c r="I4956" s="1" t="s">
        <v>15</v>
      </c>
      <c r="J4956" s="1" t="str">
        <f>"58/58"</f>
        <v>58/58</v>
      </c>
      <c r="K4956" s="1" t="str">
        <f>"2026-07-29 14:20:54"</f>
        <v>2026-07-29 14:20:54</v>
      </c>
      <c r="L4956" s="1" t="str">
        <f>"2022-10-26 14:36:42"</f>
        <v>2022-10-26 14:36:42</v>
      </c>
      <c r="M4956" s="1" t="s">
        <v>45</v>
      </c>
      <c r="N4956" s="1" t="s">
        <v>38</v>
      </c>
      <c r="O4956" s="1" t="s">
        <v>46</v>
      </c>
    </row>
    <row r="4957" spans="2:15" x14ac:dyDescent="0.3">
      <c r="B4957" s="1" t="s">
        <v>23</v>
      </c>
      <c r="C4957" s="1" t="str">
        <f>"5-2차"</f>
        <v>5-2차</v>
      </c>
      <c r="D4957" s="1" t="str">
        <f>"0425B7215M"</f>
        <v>0425B7215M</v>
      </c>
      <c r="E4957" s="1" t="s">
        <v>10</v>
      </c>
      <c r="F4957" s="1" t="str">
        <f>"fde1:103:4:93d1:0:0:0:2"</f>
        <v>fde1:103:4:93d1:0:0:0:2</v>
      </c>
      <c r="G4957" s="1" t="str">
        <f>"0425B721"</f>
        <v>0425B721</v>
      </c>
      <c r="H4957" s="1" t="str">
        <f>"고랑지 6R4L1"</f>
        <v>고랑지 6R4L1</v>
      </c>
      <c r="I4957" s="1" t="s">
        <v>15</v>
      </c>
      <c r="J4957" s="1" t="str">
        <f>"1/42"</f>
        <v>1/42</v>
      </c>
      <c r="K4957" s="1" t="str">
        <f>"2026-07-29 14:20:54"</f>
        <v>2026-07-29 14:20:54</v>
      </c>
      <c r="L4957" s="1" t="str">
        <f>"2023-12-15 14:42:10"</f>
        <v>2023-12-15 14:42:10</v>
      </c>
      <c r="M4957" s="1" t="s">
        <v>4</v>
      </c>
      <c r="N4957" s="1" t="s">
        <v>38</v>
      </c>
      <c r="O4957" s="1" t="s">
        <v>46</v>
      </c>
    </row>
    <row r="4958" spans="2:15" x14ac:dyDescent="0.3">
      <c r="B4958" s="1" t="s">
        <v>23</v>
      </c>
      <c r="C4958" s="1" t="str">
        <f>"5-2차"</f>
        <v>5-2차</v>
      </c>
      <c r="D4958" s="1" t="str">
        <f>"0425B7315M"</f>
        <v>0425B7315M</v>
      </c>
      <c r="E4958" s="1" t="s">
        <v>10</v>
      </c>
      <c r="F4958" s="1" t="str">
        <f>"fde3:102:1440:4700:0:0:0:2f"</f>
        <v>fde3:102:1440:4700:0:0:0:2f</v>
      </c>
      <c r="G4958" s="1" t="str">
        <f>"0425B731"</f>
        <v>0425B731</v>
      </c>
      <c r="H4958" s="1" t="str">
        <f>"고랑지 6R3"</f>
        <v>고랑지 6R3</v>
      </c>
      <c r="I4958" s="1" t="s">
        <v>15</v>
      </c>
      <c r="J4958" s="1" t="str">
        <f>"61/61"</f>
        <v>61/61</v>
      </c>
      <c r="K4958" s="1" t="str">
        <f>"2026-07-29 14:21:13"</f>
        <v>2026-07-29 14:21:13</v>
      </c>
      <c r="L4958" s="1" t="str">
        <f>"2023-12-01 13:11:35"</f>
        <v>2023-12-01 13:11:35</v>
      </c>
      <c r="M4958" s="1" t="s">
        <v>45</v>
      </c>
      <c r="N4958" s="1" t="s">
        <v>38</v>
      </c>
      <c r="O4958" s="1" t="s">
        <v>46</v>
      </c>
    </row>
    <row r="4959" spans="2:15" x14ac:dyDescent="0.3">
      <c r="B4959" s="1" t="s">
        <v>23</v>
      </c>
      <c r="C4959" s="1" t="str">
        <f>"6차"</f>
        <v>6차</v>
      </c>
      <c r="D4959" s="1" t="str">
        <f>"0425B7436S"</f>
        <v>0425B7436S</v>
      </c>
      <c r="E4959" s="1" t="s">
        <v>10</v>
      </c>
      <c r="F4959" s="1" t="str">
        <f>"fde3:102:1440:4900:0:0:0:2"</f>
        <v>fde3:102:1440:4900:0:0:0:2</v>
      </c>
      <c r="G4959" s="1" t="str">
        <f>"0425B743"</f>
        <v>0425B743</v>
      </c>
      <c r="H4959" s="1" t="str">
        <f>"고랑지 6R1"</f>
        <v>고랑지 6R1</v>
      </c>
      <c r="I4959" s="1" t="s">
        <v>15</v>
      </c>
      <c r="J4959" s="1" t="str">
        <f>"101/101"</f>
        <v>101/101</v>
      </c>
      <c r="K4959" s="1" t="str">
        <f>"2026-07-29 14:20:53"</f>
        <v>2026-07-29 14:20:53</v>
      </c>
      <c r="L4959" s="1" t="str">
        <f>"2024-10-15 10:08:47"</f>
        <v>2024-10-15 10:08:47</v>
      </c>
      <c r="M4959" s="1" t="s">
        <v>45</v>
      </c>
      <c r="N4959" s="1" t="s">
        <v>38</v>
      </c>
      <c r="O4959" s="1" t="s">
        <v>46</v>
      </c>
    </row>
    <row r="4960" spans="2:15" x14ac:dyDescent="0.3">
      <c r="B4960" s="1" t="s">
        <v>23</v>
      </c>
      <c r="C4960" s="1" t="str">
        <f>"5-2차"</f>
        <v>5-2차</v>
      </c>
      <c r="D4960" s="1" t="str">
        <f>"0425B7615M"</f>
        <v>0425B7615M</v>
      </c>
      <c r="E4960" s="1" t="s">
        <v>10</v>
      </c>
      <c r="F4960" s="1" t="str">
        <f>"fde3:102:1440:4100:0:0:0:11"</f>
        <v>fde3:102:1440:4100:0:0:0:11</v>
      </c>
      <c r="G4960" s="1" t="str">
        <f>"0425B761"</f>
        <v>0425B761</v>
      </c>
      <c r="H4960" s="1" t="str">
        <f>"대원간 37L14"</f>
        <v>대원간 37L14</v>
      </c>
      <c r="I4960" s="1" t="s">
        <v>15</v>
      </c>
      <c r="J4960" s="1" t="str">
        <f>"48/48"</f>
        <v>48/48</v>
      </c>
      <c r="K4960" s="1" t="str">
        <f>"2026-07-29 14:20:53"</f>
        <v>2026-07-29 14:20:53</v>
      </c>
      <c r="L4960" s="1" t="str">
        <f>"2023-10-16 16:50:20"</f>
        <v>2023-10-16 16:50:20</v>
      </c>
      <c r="M4960" s="1" t="s">
        <v>45</v>
      </c>
      <c r="N4960" s="1" t="s">
        <v>38</v>
      </c>
      <c r="O4960" s="1" t="s">
        <v>46</v>
      </c>
    </row>
    <row r="4961" spans="2:15" x14ac:dyDescent="0.3">
      <c r="B4961" s="1" t="s">
        <v>23</v>
      </c>
      <c r="C4961" s="1" t="str">
        <f>"5-2차"</f>
        <v>5-2차</v>
      </c>
      <c r="D4961" s="1" t="str">
        <f>"0425B7625M"</f>
        <v>0425B7625M</v>
      </c>
      <c r="E4961" s="1" t="s">
        <v>10</v>
      </c>
      <c r="F4961" s="1" t="str">
        <f>"fde1:103:4:938c:0:0:0:2"</f>
        <v>fde1:103:4:938c:0:0:0:2</v>
      </c>
      <c r="G4961" s="1" t="str">
        <f>"0425B762"</f>
        <v>0425B762</v>
      </c>
      <c r="H4961" s="1" t="str">
        <f>"대원간 37L13"</f>
        <v>대원간 37L13</v>
      </c>
      <c r="I4961" s="1" t="s">
        <v>15</v>
      </c>
      <c r="J4961" s="1" t="str">
        <f>"59/59"</f>
        <v>59/59</v>
      </c>
      <c r="K4961" s="1" t="str">
        <f>"2026-07-29 14:20:54"</f>
        <v>2026-07-29 14:20:54</v>
      </c>
      <c r="L4961" s="1" t="str">
        <f>"2023-12-15 14:43:47"</f>
        <v>2023-12-15 14:43:47</v>
      </c>
      <c r="M4961" s="1" t="s">
        <v>4</v>
      </c>
      <c r="N4961" s="1" t="s">
        <v>38</v>
      </c>
      <c r="O4961" s="1" t="s">
        <v>46</v>
      </c>
    </row>
    <row r="4962" spans="2:15" x14ac:dyDescent="0.3">
      <c r="B4962" s="1" t="s">
        <v>23</v>
      </c>
      <c r="C4962" s="1" t="str">
        <f>"5-2차"</f>
        <v>5-2차</v>
      </c>
      <c r="D4962" s="1" t="str">
        <f>"0425B7715M"</f>
        <v>0425B7715M</v>
      </c>
      <c r="E4962" s="1" t="s">
        <v>10</v>
      </c>
      <c r="F4962" s="1" t="str">
        <f>"fde1:103:4:9341:0:0:0:2"</f>
        <v>fde1:103:4:9341:0:0:0:2</v>
      </c>
      <c r="G4962" s="1" t="str">
        <f>"0425B771"</f>
        <v>0425B771</v>
      </c>
      <c r="H4962" s="1" t="str">
        <f>"대원간 37L5L3"</f>
        <v>대원간 37L5L3</v>
      </c>
      <c r="I4962" s="1" t="s">
        <v>15</v>
      </c>
      <c r="J4962" s="1" t="str">
        <f>"52/53"</f>
        <v>52/53</v>
      </c>
      <c r="K4962" s="1" t="str">
        <f>"2026-07-29 14:20:54"</f>
        <v>2026-07-29 14:20:54</v>
      </c>
      <c r="L4962" s="1" t="str">
        <f>"2023-12-15 14:44:25"</f>
        <v>2023-12-15 14:44:25</v>
      </c>
      <c r="M4962" s="1" t="s">
        <v>4</v>
      </c>
      <c r="N4962" s="1" t="s">
        <v>38</v>
      </c>
      <c r="O4962" s="1" t="s">
        <v>46</v>
      </c>
    </row>
    <row r="4963" spans="2:15" x14ac:dyDescent="0.3">
      <c r="B4963" s="1" t="s">
        <v>23</v>
      </c>
      <c r="C4963" s="1" t="str">
        <f>"5-2차"</f>
        <v>5-2차</v>
      </c>
      <c r="D4963" s="1" t="str">
        <f>"0425B8135M"</f>
        <v>0425B8135M</v>
      </c>
      <c r="E4963" s="1" t="s">
        <v>10</v>
      </c>
      <c r="F4963" s="1" t="str">
        <f>"fde1:103:4:9418:0:0:0:2"</f>
        <v>fde1:103:4:9418:0:0:0:2</v>
      </c>
      <c r="G4963" s="1" t="str">
        <f>"0425B813"</f>
        <v>0425B813</v>
      </c>
      <c r="H4963" s="1" t="str">
        <f>"고랑지 6R2L5R1"</f>
        <v>고랑지 6R2L5R1</v>
      </c>
      <c r="I4963" s="1" t="s">
        <v>15</v>
      </c>
      <c r="J4963" s="1" t="str">
        <f>"82/88"</f>
        <v>82/88</v>
      </c>
      <c r="K4963" s="1" t="str">
        <f>"2026-07-29 14:20:47"</f>
        <v>2026-07-29 14:20:47</v>
      </c>
      <c r="L4963" s="1" t="str">
        <f>"2023-12-15 14:44:59"</f>
        <v>2023-12-15 14:44:59</v>
      </c>
      <c r="M4963" s="1" t="s">
        <v>4</v>
      </c>
      <c r="N4963" s="1" t="s">
        <v>38</v>
      </c>
      <c r="O4963" s="1" t="s">
        <v>46</v>
      </c>
    </row>
    <row r="4964" spans="2:15" x14ac:dyDescent="0.3">
      <c r="B4964" s="1" t="s">
        <v>23</v>
      </c>
      <c r="C4964" s="1" t="str">
        <f>"4차"</f>
        <v>4차</v>
      </c>
      <c r="D4964" s="1" t="str">
        <f>"0425B83220"</f>
        <v>0425B83220</v>
      </c>
      <c r="E4964" s="1" t="s">
        <v>14</v>
      </c>
      <c r="F4964" s="1" t="str">
        <f>"10.125.116.5"</f>
        <v>10.125.116.5</v>
      </c>
      <c r="G4964" s="1" t="str">
        <f>"0425B832"</f>
        <v>0425B832</v>
      </c>
      <c r="H4964" s="1" t="str">
        <f>"고랑지 6R2L1"</f>
        <v>고랑지 6R2L1</v>
      </c>
      <c r="I4964" s="1" t="s">
        <v>8</v>
      </c>
      <c r="J4964" s="1" t="str">
        <f>"0/0"</f>
        <v>0/0</v>
      </c>
      <c r="K4964" s="1" t="str">
        <f>"2026-07-29 13:18:02"</f>
        <v>2026-07-29 13:18:02</v>
      </c>
      <c r="L4964" s="1" t="str">
        <f>"2024-12-05 10:11:37"</f>
        <v>2024-12-05 10:11:37</v>
      </c>
      <c r="M4964" s="1" t="s">
        <v>45</v>
      </c>
      <c r="N4964" s="1" t="s">
        <v>38</v>
      </c>
      <c r="O4964" s="1" t="s">
        <v>44</v>
      </c>
    </row>
    <row r="4965" spans="2:15" x14ac:dyDescent="0.3">
      <c r="B4965" s="1" t="s">
        <v>23</v>
      </c>
      <c r="C4965" s="1" t="str">
        <f>"2차"</f>
        <v>2차</v>
      </c>
      <c r="D4965" s="1" t="str">
        <f>"0425B90120"</f>
        <v>0425B90120</v>
      </c>
      <c r="E4965" s="1" t="s">
        <v>10</v>
      </c>
      <c r="F4965" s="1" t="str">
        <f>"10.125.114.107"</f>
        <v>10.125.114.107</v>
      </c>
      <c r="G4965" s="1" t="str">
        <f>"0425B901"</f>
        <v>0425B901</v>
      </c>
      <c r="H4965" s="1" t="str">
        <f>"고랑지 6R2L7"</f>
        <v>고랑지 6R2L7</v>
      </c>
      <c r="I4965" s="1" t="s">
        <v>8</v>
      </c>
      <c r="J4965" s="1" t="str">
        <f>"8/8"</f>
        <v>8/8</v>
      </c>
      <c r="K4965" s="1" t="str">
        <f>"2026-07-29 13:18:02"</f>
        <v>2026-07-29 13:18:02</v>
      </c>
      <c r="L4965" s="1" t="str">
        <f>"2017-07-18 09:48:26"</f>
        <v>2017-07-18 09:48:26</v>
      </c>
      <c r="M4965" s="1" t="s">
        <v>45</v>
      </c>
      <c r="N4965" s="1" t="s">
        <v>38</v>
      </c>
      <c r="O4965" s="1" t="s">
        <v>46</v>
      </c>
    </row>
    <row r="4966" spans="2:15" x14ac:dyDescent="0.3">
      <c r="B4966" s="1" t="s">
        <v>23</v>
      </c>
      <c r="C4966" s="1" t="str">
        <f>"2차"</f>
        <v>2차</v>
      </c>
      <c r="D4966" s="1" t="str">
        <f>"0425B90221"</f>
        <v>0425B90221</v>
      </c>
      <c r="E4966" s="1" t="s">
        <v>10</v>
      </c>
      <c r="F4966" s="1" t="str">
        <f>"10.125.114.108"</f>
        <v>10.125.114.108</v>
      </c>
      <c r="G4966" s="1" t="str">
        <f>"0425B902"</f>
        <v>0425B902</v>
      </c>
      <c r="H4966" s="1" t="str">
        <f>"고랑지 6R2L8"</f>
        <v>고랑지 6R2L8</v>
      </c>
      <c r="I4966" s="1" t="s">
        <v>8</v>
      </c>
      <c r="J4966" s="1" t="str">
        <f>"7/7"</f>
        <v>7/7</v>
      </c>
      <c r="K4966" s="1" t="str">
        <f>"2026-07-29 13:18:03"</f>
        <v>2026-07-29 13:18:03</v>
      </c>
      <c r="L4966" s="1" t="str">
        <f>"2017-07-18 09:48:27"</f>
        <v>2017-07-18 09:48:27</v>
      </c>
      <c r="M4966" s="1" t="s">
        <v>45</v>
      </c>
      <c r="N4966" s="1" t="s">
        <v>38</v>
      </c>
      <c r="O4966" s="1" t="s">
        <v>46</v>
      </c>
    </row>
    <row r="4967" spans="2:15" x14ac:dyDescent="0.3">
      <c r="B4967" s="1" t="s">
        <v>23</v>
      </c>
      <c r="C4967" s="1" t="str">
        <f>"5-2차"</f>
        <v>5-2차</v>
      </c>
      <c r="D4967" s="1" t="str">
        <f>"0425B9225M"</f>
        <v>0425B9225M</v>
      </c>
      <c r="E4967" s="1" t="s">
        <v>10</v>
      </c>
      <c r="F4967" s="1" t="str">
        <f>"fde3:102:1440:4600:0:0:0:e"</f>
        <v>fde3:102:1440:4600:0:0:0:e</v>
      </c>
      <c r="G4967" s="1" t="str">
        <f>"0425B922"</f>
        <v>0425B922</v>
      </c>
      <c r="H4967" s="1" t="str">
        <f>"고랑지 6R2L4"</f>
        <v>고랑지 6R2L4</v>
      </c>
      <c r="I4967" s="1" t="s">
        <v>15</v>
      </c>
      <c r="J4967" s="1" t="str">
        <f>"126/126"</f>
        <v>126/126</v>
      </c>
      <c r="K4967" s="1" t="str">
        <f>"2026-07-29 14:21:00"</f>
        <v>2026-07-29 14:21:00</v>
      </c>
      <c r="L4967" s="1" t="str">
        <f>"2024-01-22 16:25:50"</f>
        <v>2024-01-22 16:25:50</v>
      </c>
      <c r="M4967" s="1" t="s">
        <v>45</v>
      </c>
      <c r="N4967" s="1" t="s">
        <v>38</v>
      </c>
      <c r="O4967" s="1" t="s">
        <v>46</v>
      </c>
    </row>
    <row r="4968" spans="2:15" x14ac:dyDescent="0.3">
      <c r="B4968" s="1" t="s">
        <v>23</v>
      </c>
      <c r="C4968" s="1" t="str">
        <f>"4차"</f>
        <v>4차</v>
      </c>
      <c r="D4968" s="1" t="str">
        <f>"0425B93121"</f>
        <v>0425B93121</v>
      </c>
      <c r="E4968" s="1" t="s">
        <v>10</v>
      </c>
      <c r="F4968" s="1" t="str">
        <f>"10.12.134.80"</f>
        <v>10.12.134.80</v>
      </c>
      <c r="G4968" s="1" t="str">
        <f>"0425B931"</f>
        <v>0425B931</v>
      </c>
      <c r="H4968" s="1" t="str">
        <f>"고랑지 6R2L2"</f>
        <v>고랑지 6R2L2</v>
      </c>
      <c r="I4968" s="1" t="s">
        <v>8</v>
      </c>
      <c r="J4968" s="1" t="str">
        <f>"44/44"</f>
        <v>44/44</v>
      </c>
      <c r="K4968" s="1" t="str">
        <f>"2026-07-28 20:03:24"</f>
        <v>2026-07-28 20:03:24</v>
      </c>
      <c r="L4968" s="1" t="str">
        <f>"2017-07-18 09:42:26"</f>
        <v>2017-07-18 09:42:26</v>
      </c>
      <c r="M4968" s="1" t="s">
        <v>0</v>
      </c>
      <c r="N4968" s="1" t="s">
        <v>38</v>
      </c>
      <c r="O4968" s="1" t="s">
        <v>46</v>
      </c>
    </row>
    <row r="4969" spans="2:15" x14ac:dyDescent="0.3">
      <c r="B4969" s="1" t="s">
        <v>23</v>
      </c>
      <c r="C4969" s="1" t="str">
        <f>"5-2차"</f>
        <v>5-2차</v>
      </c>
      <c r="D4969" s="1" t="str">
        <f>"0425B9445M"</f>
        <v>0425B9445M</v>
      </c>
      <c r="E4969" s="1" t="s">
        <v>10</v>
      </c>
      <c r="F4969" s="1" t="str">
        <f>"fde1:103:4:93b3:0:0:0:2"</f>
        <v>fde1:103:4:93b3:0:0:0:2</v>
      </c>
      <c r="G4969" s="1" t="str">
        <f>"0425B944"</f>
        <v>0425B944</v>
      </c>
      <c r="H4969" s="1" t="str">
        <f>"고랑지 9L1"</f>
        <v>고랑지 9L1</v>
      </c>
      <c r="I4969" s="1" t="s">
        <v>15</v>
      </c>
      <c r="J4969" s="1" t="str">
        <f>"48/50"</f>
        <v>48/50</v>
      </c>
      <c r="K4969" s="1" t="str">
        <f>"2026-07-29 14:20:59"</f>
        <v>2026-07-29 14:20:59</v>
      </c>
      <c r="L4969" s="1" t="str">
        <f>"2023-12-15 14:45:26"</f>
        <v>2023-12-15 14:45:26</v>
      </c>
      <c r="M4969" s="1" t="s">
        <v>4</v>
      </c>
      <c r="N4969" s="1" t="s">
        <v>38</v>
      </c>
      <c r="O4969" s="1" t="s">
        <v>46</v>
      </c>
    </row>
    <row r="4970" spans="2:15" x14ac:dyDescent="0.3">
      <c r="B4970" s="1" t="s">
        <v>23</v>
      </c>
      <c r="C4970" s="1" t="str">
        <f>"5-2차"</f>
        <v>5-2차</v>
      </c>
      <c r="D4970" s="1" t="str">
        <f>"0425B9915M"</f>
        <v>0425B9915M</v>
      </c>
      <c r="E4970" s="1" t="s">
        <v>10</v>
      </c>
      <c r="F4970" s="1" t="str">
        <f>"fde1:103:4:934a:0:0:0:2"</f>
        <v>fde1:103:4:934a:0:0:0:2</v>
      </c>
      <c r="G4970" s="1" t="str">
        <f>"0425B991"</f>
        <v>0425B991</v>
      </c>
      <c r="H4970" s="1" t="str">
        <f>"대원간 37L4L5L3"</f>
        <v>대원간 37L4L5L3</v>
      </c>
      <c r="I4970" s="1" t="s">
        <v>15</v>
      </c>
      <c r="J4970" s="1" t="str">
        <f>"72/72"</f>
        <v>72/72</v>
      </c>
      <c r="K4970" s="1" t="str">
        <f>"2026-07-29 14:21:14"</f>
        <v>2026-07-29 14:21:14</v>
      </c>
      <c r="L4970" s="1" t="str">
        <f>"2023-12-18 15:45:47"</f>
        <v>2023-12-18 15:45:47</v>
      </c>
      <c r="M4970" s="1" t="s">
        <v>4</v>
      </c>
      <c r="N4970" s="1" t="s">
        <v>38</v>
      </c>
      <c r="O4970" s="1" t="s">
        <v>46</v>
      </c>
    </row>
    <row r="4971" spans="2:15" x14ac:dyDescent="0.3">
      <c r="B4971" s="1" t="s">
        <v>23</v>
      </c>
      <c r="C4971" s="1" t="s">
        <v>16</v>
      </c>
      <c r="D4971" s="1" t="str">
        <f>"0425C01241"</f>
        <v>0425C01241</v>
      </c>
      <c r="E4971" s="1" t="s">
        <v>10</v>
      </c>
      <c r="F4971" s="1" t="str">
        <f>"10.14.2.132"</f>
        <v>10.14.2.132</v>
      </c>
      <c r="G4971" s="1" t="str">
        <f>"0425C012"</f>
        <v>0425C012</v>
      </c>
      <c r="H4971" s="1" t="str">
        <f>"세종지 9R6"</f>
        <v>세종지 9R6</v>
      </c>
      <c r="I4971" s="1" t="s">
        <v>17</v>
      </c>
      <c r="J4971" s="1" t="str">
        <f>"54/54"</f>
        <v>54/54</v>
      </c>
      <c r="K4971" s="1" t="str">
        <f>"2026-07-29 13:18:02"</f>
        <v>2026-07-29 13:18:02</v>
      </c>
      <c r="L4971" s="1" t="str">
        <f>"2022-11-28 17:11:30"</f>
        <v>2022-11-28 17:11:30</v>
      </c>
      <c r="M4971" s="1" t="s">
        <v>3</v>
      </c>
      <c r="N4971" s="1" t="s">
        <v>38</v>
      </c>
      <c r="O4971" s="1" t="s">
        <v>46</v>
      </c>
    </row>
    <row r="4972" spans="2:15" x14ac:dyDescent="0.3">
      <c r="B4972" s="1" t="s">
        <v>23</v>
      </c>
      <c r="C4972" s="1" t="str">
        <f>"5-2차"</f>
        <v>5-2차</v>
      </c>
      <c r="D4972" s="1" t="str">
        <f>"0425C0345M"</f>
        <v>0425C0345M</v>
      </c>
      <c r="E4972" s="1" t="s">
        <v>10</v>
      </c>
      <c r="F4972" s="1" t="str">
        <f>"fde3:102:1440:4100:0:0:0:14"</f>
        <v>fde3:102:1440:4100:0:0:0:14</v>
      </c>
      <c r="G4972" s="1" t="str">
        <f>"0425C034"</f>
        <v>0425C034</v>
      </c>
      <c r="H4972" s="1" t="str">
        <f>"세종지 7R3"</f>
        <v>세종지 7R3</v>
      </c>
      <c r="I4972" s="1" t="s">
        <v>15</v>
      </c>
      <c r="J4972" s="1" t="str">
        <f>"86/86"</f>
        <v>86/86</v>
      </c>
      <c r="K4972" s="1" t="str">
        <f>"2026-07-29 14:20:32"</f>
        <v>2026-07-29 14:20:32</v>
      </c>
      <c r="L4972" s="1" t="str">
        <f>"2024-01-11 14:58:43"</f>
        <v>2024-01-11 14:58:43</v>
      </c>
      <c r="M4972" s="1" t="s">
        <v>45</v>
      </c>
      <c r="N4972" s="1" t="s">
        <v>38</v>
      </c>
      <c r="O4972" s="1" t="s">
        <v>46</v>
      </c>
    </row>
    <row r="4973" spans="2:15" x14ac:dyDescent="0.3">
      <c r="B4973" s="1" t="s">
        <v>23</v>
      </c>
      <c r="C4973" s="1" t="str">
        <f>"5-2차"</f>
        <v>5-2차</v>
      </c>
      <c r="D4973" s="1" t="str">
        <f>"0425C0615M"</f>
        <v>0425C0615M</v>
      </c>
      <c r="E4973" s="1" t="s">
        <v>10</v>
      </c>
      <c r="F4973" s="1" t="str">
        <f>"fde1:103:4:937b:0:0:0:2"</f>
        <v>fde1:103:4:937b:0:0:0:2</v>
      </c>
      <c r="G4973" s="1" t="str">
        <f>"0425C061"</f>
        <v>0425C061</v>
      </c>
      <c r="H4973" s="1" t="str">
        <f>"세종지 7L3"</f>
        <v>세종지 7L3</v>
      </c>
      <c r="I4973" s="1" t="s">
        <v>15</v>
      </c>
      <c r="J4973" s="1" t="str">
        <f>"83/83"</f>
        <v>83/83</v>
      </c>
      <c r="K4973" s="1" t="str">
        <f>"2026-07-29 14:21:03"</f>
        <v>2026-07-29 14:21:03</v>
      </c>
      <c r="L4973" s="1" t="str">
        <f>"2023-12-18 15:45:55"</f>
        <v>2023-12-18 15:45:55</v>
      </c>
      <c r="M4973" s="1" t="s">
        <v>4</v>
      </c>
      <c r="N4973" s="1" t="s">
        <v>38</v>
      </c>
      <c r="O4973" s="1" t="s">
        <v>46</v>
      </c>
    </row>
    <row r="4974" spans="2:15" x14ac:dyDescent="0.3">
      <c r="B4974" s="1" t="s">
        <v>23</v>
      </c>
      <c r="C4974" s="1" t="str">
        <f>"5-2차"</f>
        <v>5-2차</v>
      </c>
      <c r="D4974" s="1" t="str">
        <f>"0425C0715M"</f>
        <v>0425C0715M</v>
      </c>
      <c r="E4974" s="1" t="s">
        <v>10</v>
      </c>
      <c r="F4974" s="1" t="str">
        <f>"fde1:103:4:5930:0:0:0:2"</f>
        <v>fde1:103:4:5930:0:0:0:2</v>
      </c>
      <c r="G4974" s="1" t="str">
        <f>"0425C071"</f>
        <v>0425C071</v>
      </c>
      <c r="H4974" s="1" t="str">
        <f>"세종지 7L4"</f>
        <v>세종지 7L4</v>
      </c>
      <c r="I4974" s="1" t="s">
        <v>15</v>
      </c>
      <c r="J4974" s="1" t="str">
        <f>"94/94"</f>
        <v>94/94</v>
      </c>
      <c r="K4974" s="1" t="str">
        <f>"2026-07-29 14:20:55"</f>
        <v>2026-07-29 14:20:55</v>
      </c>
      <c r="L4974" s="1" t="str">
        <f>"2023-12-18 15:46:32"</f>
        <v>2023-12-18 15:46:32</v>
      </c>
      <c r="M4974" s="1" t="s">
        <v>4</v>
      </c>
      <c r="N4974" s="1" t="s">
        <v>38</v>
      </c>
      <c r="O4974" s="1" t="s">
        <v>46</v>
      </c>
    </row>
    <row r="4975" spans="2:15" x14ac:dyDescent="0.3">
      <c r="B4975" s="1" t="s">
        <v>23</v>
      </c>
      <c r="C4975" s="1" t="str">
        <f>"5-2차"</f>
        <v>5-2차</v>
      </c>
      <c r="D4975" s="1" t="str">
        <f>"0425C0815M"</f>
        <v>0425C0815M</v>
      </c>
      <c r="E4975" s="1" t="s">
        <v>10</v>
      </c>
      <c r="F4975" s="1" t="str">
        <f>"fde3:102:1440:4100:0:0:0:c"</f>
        <v>fde3:102:1440:4100:0:0:0:c</v>
      </c>
      <c r="G4975" s="1" t="str">
        <f>"0425C081"</f>
        <v>0425C081</v>
      </c>
      <c r="H4975" s="1" t="str">
        <f>"광장간 38R2"</f>
        <v>광장간 38R2</v>
      </c>
      <c r="I4975" s="1" t="s">
        <v>15</v>
      </c>
      <c r="J4975" s="1" t="str">
        <f>"23/23"</f>
        <v>23/23</v>
      </c>
      <c r="K4975" s="1" t="str">
        <f>"2026-07-29 14:20:35"</f>
        <v>2026-07-29 14:20:35</v>
      </c>
      <c r="L4975" s="1" t="str">
        <f>"2023-10-16 16:24:08"</f>
        <v>2023-10-16 16:24:08</v>
      </c>
      <c r="M4975" s="1" t="s">
        <v>45</v>
      </c>
      <c r="N4975" s="1" t="s">
        <v>38</v>
      </c>
      <c r="O4975" s="1" t="s">
        <v>46</v>
      </c>
    </row>
    <row r="4976" spans="2:15" x14ac:dyDescent="0.3">
      <c r="B4976" s="1" t="s">
        <v>23</v>
      </c>
      <c r="C4976" s="1" t="str">
        <f>"3차"</f>
        <v>3차</v>
      </c>
      <c r="D4976" s="1" t="str">
        <f>"0425C09139"</f>
        <v>0425C09139</v>
      </c>
      <c r="E4976" s="1" t="s">
        <v>10</v>
      </c>
      <c r="F4976" s="1" t="str">
        <f>"10.11.58.162"</f>
        <v>10.11.58.162</v>
      </c>
      <c r="G4976" s="1" t="str">
        <f>"0425C091"</f>
        <v>0425C091</v>
      </c>
      <c r="H4976" s="1" t="str">
        <f>"광장간 38"</f>
        <v>광장간 38</v>
      </c>
      <c r="I4976" s="1" t="s">
        <v>8</v>
      </c>
      <c r="J4976" s="1" t="str">
        <f>"3/3"</f>
        <v>3/3</v>
      </c>
      <c r="K4976" s="1" t="str">
        <f>"2026-07-29 13:18:03"</f>
        <v>2026-07-29 13:18:03</v>
      </c>
      <c r="L4976" s="1" t="str">
        <f>"2018-04-25 11:15:26"</f>
        <v>2018-04-25 11:15:26</v>
      </c>
      <c r="M4976" s="1" t="s">
        <v>2</v>
      </c>
      <c r="N4976" s="1" t="s">
        <v>38</v>
      </c>
      <c r="O4976" s="1" t="s">
        <v>46</v>
      </c>
    </row>
    <row r="4977" spans="2:15" x14ac:dyDescent="0.3">
      <c r="B4977" s="1" t="s">
        <v>23</v>
      </c>
      <c r="C4977" s="1" t="str">
        <f>"5-2차"</f>
        <v>5-2차</v>
      </c>
      <c r="D4977" s="1" t="str">
        <f>"0425C1215M"</f>
        <v>0425C1215M</v>
      </c>
      <c r="E4977" s="1" t="s">
        <v>10</v>
      </c>
      <c r="F4977" s="1" t="str">
        <f>"fde1:103:4:9142:0:0:0:2"</f>
        <v>fde1:103:4:9142:0:0:0:2</v>
      </c>
      <c r="G4977" s="1" t="str">
        <f>"0425C121"</f>
        <v>0425C121</v>
      </c>
      <c r="H4977" s="1" t="str">
        <f>"세종지 9R5"</f>
        <v>세종지 9R5</v>
      </c>
      <c r="I4977" s="1" t="s">
        <v>15</v>
      </c>
      <c r="J4977" s="1" t="str">
        <f>"35/35"</f>
        <v>35/35</v>
      </c>
      <c r="K4977" s="1" t="str">
        <f>"2026-07-29 08:21:19"</f>
        <v>2026-07-29 08:21:19</v>
      </c>
      <c r="L4977" s="1" t="str">
        <f>"2024-01-18 08:42:07"</f>
        <v>2024-01-18 08:42:07</v>
      </c>
      <c r="M4977" s="1" t="s">
        <v>4</v>
      </c>
      <c r="N4977" s="1" t="s">
        <v>38</v>
      </c>
      <c r="O4977" s="1" t="s">
        <v>46</v>
      </c>
    </row>
    <row r="4978" spans="2:15" x14ac:dyDescent="0.3">
      <c r="B4978" s="1" t="s">
        <v>23</v>
      </c>
      <c r="C4978" s="1" t="str">
        <f>"5-2차"</f>
        <v>5-2차</v>
      </c>
      <c r="D4978" s="1" t="str">
        <f>"0425C1315S"</f>
        <v>0425C1315S</v>
      </c>
      <c r="E4978" s="1" t="s">
        <v>10</v>
      </c>
      <c r="F4978" s="1" t="str">
        <f>"fde3:102:1440:4700:0:0:0:30"</f>
        <v>fde3:102:1440:4700:0:0:0:30</v>
      </c>
      <c r="G4978" s="1" t="str">
        <f>"0425C131"</f>
        <v>0425C131</v>
      </c>
      <c r="H4978" s="1" t="str">
        <f>"세종지 9R3"</f>
        <v>세종지 9R3</v>
      </c>
      <c r="I4978" s="1" t="s">
        <v>15</v>
      </c>
      <c r="J4978" s="1" t="str">
        <f>"78/79"</f>
        <v>78/79</v>
      </c>
      <c r="K4978" s="1" t="str">
        <f>"2026-07-29 14:20:55"</f>
        <v>2026-07-29 14:20:55</v>
      </c>
      <c r="L4978" s="1" t="str">
        <f>"2024-01-11 15:36:56"</f>
        <v>2024-01-11 15:36:56</v>
      </c>
      <c r="M4978" s="1" t="s">
        <v>45</v>
      </c>
      <c r="N4978" s="1" t="s">
        <v>38</v>
      </c>
      <c r="O4978" s="1" t="s">
        <v>46</v>
      </c>
    </row>
    <row r="4979" spans="2:15" x14ac:dyDescent="0.3">
      <c r="B4979" s="1" t="s">
        <v>23</v>
      </c>
      <c r="C4979" s="1" t="str">
        <f>"3차"</f>
        <v>3차</v>
      </c>
      <c r="D4979" s="1" t="str">
        <f>"0425C14139"</f>
        <v>0425C14139</v>
      </c>
      <c r="E4979" s="1" t="s">
        <v>10</v>
      </c>
      <c r="F4979" s="1" t="str">
        <f>"10.12.130.65"</f>
        <v>10.12.130.65</v>
      </c>
      <c r="G4979" s="1" t="str">
        <f>"0425C141"</f>
        <v>0425C141</v>
      </c>
      <c r="H4979" s="1" t="str">
        <f>"세종지 7R1"</f>
        <v>세종지 7R1</v>
      </c>
      <c r="I4979" s="1" t="s">
        <v>17</v>
      </c>
      <c r="J4979" s="1" t="str">
        <f>"75/75"</f>
        <v>75/75</v>
      </c>
      <c r="K4979" s="1" t="str">
        <f>"2026-07-29 13:18:04"</f>
        <v>2026-07-29 13:18:04</v>
      </c>
      <c r="L4979" s="1" t="str">
        <f>"2018-09-20 16:54:14"</f>
        <v>2018-09-20 16:54:14</v>
      </c>
      <c r="M4979" s="1" t="s">
        <v>0</v>
      </c>
      <c r="N4979" s="1" t="s">
        <v>38</v>
      </c>
      <c r="O4979" s="1" t="s">
        <v>46</v>
      </c>
    </row>
    <row r="4980" spans="2:15" x14ac:dyDescent="0.3">
      <c r="B4980" s="1" t="s">
        <v>23</v>
      </c>
      <c r="C4980" s="1" t="str">
        <f>"4차"</f>
        <v>4차</v>
      </c>
      <c r="D4980" s="1" t="str">
        <f>"0425C16345"</f>
        <v>0425C16345</v>
      </c>
      <c r="E4980" s="1" t="s">
        <v>10</v>
      </c>
      <c r="F4980" s="1" t="str">
        <f>"10.14.4.54"</f>
        <v>10.14.4.54</v>
      </c>
      <c r="G4980" s="1" t="str">
        <f>"0425C163"</f>
        <v>0425C163</v>
      </c>
      <c r="H4980" s="1" t="str">
        <f>"능동로 5-1"</f>
        <v>능동로 5-1</v>
      </c>
      <c r="I4980" s="1" t="s">
        <v>17</v>
      </c>
      <c r="J4980" s="1" t="str">
        <f>"11/11"</f>
        <v>11/11</v>
      </c>
      <c r="K4980" s="1" t="str">
        <f>"2026-07-29 13:18:02"</f>
        <v>2026-07-29 13:18:02</v>
      </c>
      <c r="L4980" s="1" t="str">
        <f>"2021-06-29 10:10:14"</f>
        <v>2021-06-29 10:10:14</v>
      </c>
      <c r="M4980" s="1" t="s">
        <v>3</v>
      </c>
      <c r="N4980" s="1" t="s">
        <v>38</v>
      </c>
      <c r="O4980" s="1" t="s">
        <v>46</v>
      </c>
    </row>
    <row r="4981" spans="2:15" x14ac:dyDescent="0.3">
      <c r="B4981" s="1" t="s">
        <v>23</v>
      </c>
      <c r="C4981" s="1" t="str">
        <f>"5-2차"</f>
        <v>5-2차</v>
      </c>
      <c r="D4981" s="1" t="str">
        <f>"0425C2415M"</f>
        <v>0425C2415M</v>
      </c>
      <c r="E4981" s="1" t="s">
        <v>10</v>
      </c>
      <c r="F4981" s="1" t="str">
        <f>"fde3:102:1440:4700:0:0:0:14"</f>
        <v>fde3:102:1440:4700:0:0:0:14</v>
      </c>
      <c r="G4981" s="1" t="str">
        <f>"0425C241"</f>
        <v>0425C241</v>
      </c>
      <c r="H4981" s="1" t="str">
        <f>"세종지 9"</f>
        <v>세종지 9</v>
      </c>
      <c r="I4981" s="1" t="s">
        <v>15</v>
      </c>
      <c r="J4981" s="1" t="str">
        <f>"46/46"</f>
        <v>46/46</v>
      </c>
      <c r="K4981" s="1" t="str">
        <f>"2026-07-29 14:20:36"</f>
        <v>2026-07-29 14:20:36</v>
      </c>
      <c r="L4981" s="1" t="str">
        <f>"2023-06-19 18:13:21"</f>
        <v>2023-06-19 18:13:21</v>
      </c>
      <c r="M4981" s="1" t="s">
        <v>45</v>
      </c>
      <c r="N4981" s="1" t="s">
        <v>38</v>
      </c>
      <c r="O4981" s="1" t="s">
        <v>46</v>
      </c>
    </row>
    <row r="4982" spans="2:15" x14ac:dyDescent="0.3">
      <c r="B4982" s="1" t="s">
        <v>23</v>
      </c>
      <c r="C4982" s="1" t="str">
        <f>"4차"</f>
        <v>4차</v>
      </c>
      <c r="D4982" s="1" t="str">
        <f>"0425C34139"</f>
        <v>0425C34139</v>
      </c>
      <c r="E4982" s="1" t="s">
        <v>10</v>
      </c>
      <c r="F4982" s="1" t="str">
        <f>"10.11.57.34"</f>
        <v>10.11.57.34</v>
      </c>
      <c r="G4982" s="1" t="str">
        <f>"0425C341"</f>
        <v>0425C341</v>
      </c>
      <c r="H4982" s="1" t="str">
        <f>"세종지 10"</f>
        <v>세종지 10</v>
      </c>
      <c r="I4982" s="1" t="s">
        <v>8</v>
      </c>
      <c r="J4982" s="1" t="str">
        <f>"159/159"</f>
        <v>159/159</v>
      </c>
      <c r="K4982" s="1" t="str">
        <f>"2026-07-29 13:18:03"</f>
        <v>2026-07-29 13:18:03</v>
      </c>
      <c r="L4982" s="1" t="str">
        <f>"2018-05-30 09:43:39"</f>
        <v>2018-05-30 09:43:39</v>
      </c>
      <c r="M4982" s="1" t="s">
        <v>2</v>
      </c>
      <c r="N4982" s="1" t="s">
        <v>38</v>
      </c>
      <c r="O4982" s="1" t="s">
        <v>46</v>
      </c>
    </row>
    <row r="4983" spans="2:15" x14ac:dyDescent="0.3">
      <c r="B4983" s="1" t="s">
        <v>23</v>
      </c>
      <c r="C4983" s="1" t="str">
        <f>"4차"</f>
        <v>4차</v>
      </c>
      <c r="D4983" s="1" t="str">
        <f>"0425C39339"</f>
        <v>0425C39339</v>
      </c>
      <c r="E4983" s="1" t="s">
        <v>10</v>
      </c>
      <c r="F4983" s="1" t="str">
        <f>"10.11.56.130"</f>
        <v>10.11.56.130</v>
      </c>
      <c r="G4983" s="1" t="str">
        <f>"0425C393"</f>
        <v>0425C393</v>
      </c>
      <c r="H4983" s="1" t="str">
        <f>"광장간 30L10"</f>
        <v>광장간 30L10</v>
      </c>
      <c r="I4983" s="1" t="s">
        <v>8</v>
      </c>
      <c r="J4983" s="1" t="str">
        <f>"20/20"</f>
        <v>20/20</v>
      </c>
      <c r="K4983" s="1" t="str">
        <f>"2026-07-29 13:18:03"</f>
        <v>2026-07-29 13:18:03</v>
      </c>
      <c r="L4983" s="1" t="str">
        <f>"2018-05-02 10:58:40"</f>
        <v>2018-05-02 10:58:40</v>
      </c>
      <c r="M4983" s="1" t="s">
        <v>2</v>
      </c>
      <c r="N4983" s="1" t="s">
        <v>38</v>
      </c>
      <c r="O4983" s="1" t="s">
        <v>46</v>
      </c>
    </row>
    <row r="4984" spans="2:15" x14ac:dyDescent="0.3">
      <c r="B4984" s="1" t="s">
        <v>23</v>
      </c>
      <c r="C4984" s="1" t="str">
        <f>"5-2차"</f>
        <v>5-2차</v>
      </c>
      <c r="D4984" s="1" t="str">
        <f>"0425C4025S"</f>
        <v>0425C4025S</v>
      </c>
      <c r="E4984" s="1" t="s">
        <v>10</v>
      </c>
      <c r="F4984" s="1" t="str">
        <f>"fde3:102:1440:4700:0:0:0:d"</f>
        <v>fde3:102:1440:4700:0:0:0:d</v>
      </c>
      <c r="G4984" s="1" t="str">
        <f>"0425C402"</f>
        <v>0425C402</v>
      </c>
      <c r="H4984" s="1" t="str">
        <f>"세종지 9R14"</f>
        <v>세종지 9R14</v>
      </c>
      <c r="I4984" s="1" t="s">
        <v>15</v>
      </c>
      <c r="J4984" s="1" t="str">
        <f>"34/34"</f>
        <v>34/34</v>
      </c>
      <c r="K4984" s="1" t="str">
        <f>"2026-07-29 14:20:56"</f>
        <v>2026-07-29 14:20:56</v>
      </c>
      <c r="L4984" s="1" t="str">
        <f>"2023-06-12 11:28:30"</f>
        <v>2023-06-12 11:28:30</v>
      </c>
      <c r="M4984" s="1" t="s">
        <v>45</v>
      </c>
      <c r="N4984" s="1" t="s">
        <v>38</v>
      </c>
      <c r="O4984" s="1" t="s">
        <v>46</v>
      </c>
    </row>
    <row r="4985" spans="2:15" x14ac:dyDescent="0.3">
      <c r="B4985" s="1" t="s">
        <v>23</v>
      </c>
      <c r="C4985" s="1" t="str">
        <f>"5-1차"</f>
        <v>5-1차</v>
      </c>
      <c r="D4985" s="1" t="str">
        <f>"0425C4215S"</f>
        <v>0425C4215S</v>
      </c>
      <c r="E4985" s="1" t="s">
        <v>10</v>
      </c>
      <c r="F4985" s="1" t="str">
        <f>"fde2:104:0:19e:0:0:0:2"</f>
        <v>fde2:104:0:19e:0:0:0:2</v>
      </c>
      <c r="G4985" s="1" t="str">
        <f>"0425C421"</f>
        <v>0425C421</v>
      </c>
      <c r="H4985" s="1" t="str">
        <f>"세종지 12R2"</f>
        <v>세종지 12R2</v>
      </c>
      <c r="I4985" s="1" t="s">
        <v>15</v>
      </c>
      <c r="J4985" s="1" t="str">
        <f>"122/135"</f>
        <v>122/135</v>
      </c>
      <c r="K4985" s="1" t="str">
        <f>"2026-07-29 14:20:33"</f>
        <v>2026-07-29 14:20:33</v>
      </c>
      <c r="L4985" s="1" t="str">
        <f>"2022-11-30 15:11:01"</f>
        <v>2022-11-30 15:11:01</v>
      </c>
      <c r="M4985" s="1" t="s">
        <v>42</v>
      </c>
      <c r="N4985" s="1" t="s">
        <v>38</v>
      </c>
      <c r="O4985" s="1" t="s">
        <v>46</v>
      </c>
    </row>
    <row r="4986" spans="2:15" x14ac:dyDescent="0.3">
      <c r="B4986" s="1" t="s">
        <v>23</v>
      </c>
      <c r="C4986" s="1" t="str">
        <f>"5-2차"</f>
        <v>5-2차</v>
      </c>
      <c r="D4986" s="1" t="str">
        <f>"0425C4515M"</f>
        <v>0425C4515M</v>
      </c>
      <c r="E4986" s="1" t="s">
        <v>10</v>
      </c>
      <c r="F4986" s="1" t="str">
        <f>"fde3:102:1440:4700:0:0:0:e"</f>
        <v>fde3:102:1440:4700:0:0:0:e</v>
      </c>
      <c r="G4986" s="1" t="str">
        <f>"0425C451"</f>
        <v>0425C451</v>
      </c>
      <c r="H4986" s="1" t="str">
        <f>"광장간 46R3L1"</f>
        <v>광장간 46R3L1</v>
      </c>
      <c r="I4986" s="1" t="s">
        <v>15</v>
      </c>
      <c r="J4986" s="1" t="str">
        <f>"113/113"</f>
        <v>113/113</v>
      </c>
      <c r="K4986" s="1" t="str">
        <f>"2026-07-29 14:21:14"</f>
        <v>2026-07-29 14:21:14</v>
      </c>
      <c r="L4986" s="1" t="str">
        <f>"2023-09-12 18:26:16"</f>
        <v>2023-09-12 18:26:16</v>
      </c>
      <c r="M4986" s="1" t="s">
        <v>45</v>
      </c>
      <c r="N4986" s="1" t="s">
        <v>38</v>
      </c>
      <c r="O4986" s="1" t="s">
        <v>46</v>
      </c>
    </row>
    <row r="4987" spans="2:15" x14ac:dyDescent="0.3">
      <c r="B4987" s="1" t="s">
        <v>23</v>
      </c>
      <c r="C4987" s="1" t="str">
        <f>"4차"</f>
        <v>4차</v>
      </c>
      <c r="D4987" s="1" t="str">
        <f>"0425C46239"</f>
        <v>0425C46239</v>
      </c>
      <c r="E4987" s="1" t="s">
        <v>10</v>
      </c>
      <c r="F4987" s="1" t="str">
        <f>"10.11.52.26"</f>
        <v>10.11.52.26</v>
      </c>
      <c r="G4987" s="1" t="str">
        <f>"0425C462"</f>
        <v>0425C462</v>
      </c>
      <c r="H4987" s="1" t="str">
        <f>"광장간 46R4"</f>
        <v>광장간 46R4</v>
      </c>
      <c r="I4987" s="1" t="s">
        <v>8</v>
      </c>
      <c r="J4987" s="1" t="str">
        <f>"108/134"</f>
        <v>108/134</v>
      </c>
      <c r="K4987" s="1" t="str">
        <f>"2026-07-29 13:18:03"</f>
        <v>2026-07-29 13:18:03</v>
      </c>
      <c r="L4987" s="1" t="str">
        <f>"2018-04-25 11:02:25"</f>
        <v>2018-04-25 11:02:25</v>
      </c>
      <c r="M4987" s="1" t="s">
        <v>2</v>
      </c>
      <c r="N4987" s="1" t="s">
        <v>38</v>
      </c>
      <c r="O4987" s="1" t="s">
        <v>46</v>
      </c>
    </row>
    <row r="4988" spans="2:15" x14ac:dyDescent="0.3">
      <c r="B4988" s="1" t="s">
        <v>23</v>
      </c>
      <c r="C4988" s="1" t="str">
        <f>"4차"</f>
        <v>4차</v>
      </c>
      <c r="D4988" s="1" t="str">
        <f>"0425C48439"</f>
        <v>0425C48439</v>
      </c>
      <c r="E4988" s="1" t="s">
        <v>14</v>
      </c>
      <c r="F4988" s="1" t="str">
        <f>"10.11.57.218"</f>
        <v>10.11.57.218</v>
      </c>
      <c r="G4988" s="1" t="str">
        <f>"0425C484"</f>
        <v>0425C484</v>
      </c>
      <c r="H4988" s="1" t="str">
        <f>"광장간 30L14H1"</f>
        <v>광장간 30L14H1</v>
      </c>
      <c r="I4988" s="1" t="s">
        <v>8</v>
      </c>
      <c r="J4988" s="1" t="str">
        <f>"0/0"</f>
        <v>0/0</v>
      </c>
      <c r="K4988" s="4" t="str">
        <f>"2026-07-29 13:18:03"</f>
        <v>2026-07-29 13:18:03</v>
      </c>
      <c r="L4988" s="1" t="str">
        <f>"2018-05-02 10:27:39"</f>
        <v>2018-05-02 10:27:39</v>
      </c>
      <c r="M4988" s="1" t="s">
        <v>2</v>
      </c>
      <c r="N4988" s="1" t="s">
        <v>38</v>
      </c>
      <c r="O4988" s="1" t="s">
        <v>44</v>
      </c>
    </row>
    <row r="4989" spans="2:15" x14ac:dyDescent="0.3">
      <c r="B4989" s="1" t="s">
        <v>23</v>
      </c>
      <c r="C4989" s="1" t="str">
        <f>"5-2차"</f>
        <v>5-2차</v>
      </c>
      <c r="D4989" s="1" t="str">
        <f>"0425C5215M"</f>
        <v>0425C5215M</v>
      </c>
      <c r="E4989" s="1" t="s">
        <v>10</v>
      </c>
      <c r="F4989" s="1" t="str">
        <f>"fde3:102:1440:4700:0:0:0:31"</f>
        <v>fde3:102:1440:4700:0:0:0:31</v>
      </c>
      <c r="G4989" s="1" t="str">
        <f>"0425C521"</f>
        <v>0425C521</v>
      </c>
      <c r="H4989" s="1" t="str">
        <f>"세종지 9R17"</f>
        <v>세종지 9R17</v>
      </c>
      <c r="I4989" s="1" t="s">
        <v>15</v>
      </c>
      <c r="J4989" s="1" t="str">
        <f>"93/93"</f>
        <v>93/93</v>
      </c>
      <c r="K4989" s="1" t="str">
        <f>"2026-07-29 14:20:56"</f>
        <v>2026-07-29 14:20:56</v>
      </c>
      <c r="L4989" s="1" t="str">
        <f>"2024-01-11 15:57:46"</f>
        <v>2024-01-11 15:57:46</v>
      </c>
      <c r="M4989" s="1" t="s">
        <v>45</v>
      </c>
      <c r="N4989" s="1" t="s">
        <v>38</v>
      </c>
      <c r="O4989" s="1" t="s">
        <v>46</v>
      </c>
    </row>
    <row r="4990" spans="2:15" x14ac:dyDescent="0.3">
      <c r="B4990" s="1" t="s">
        <v>23</v>
      </c>
      <c r="C4990" s="1" t="str">
        <f>"3차"</f>
        <v>3차</v>
      </c>
      <c r="D4990" s="1" t="str">
        <f>"0425C59139"</f>
        <v>0425C59139</v>
      </c>
      <c r="E4990" s="1" t="s">
        <v>10</v>
      </c>
      <c r="F4990" s="1" t="str">
        <f>"10.11.58.226"</f>
        <v>10.11.58.226</v>
      </c>
      <c r="G4990" s="1" t="str">
        <f>"0425C591"</f>
        <v>0425C591</v>
      </c>
      <c r="H4990" s="1" t="str">
        <f>"광장간 30L9L3"</f>
        <v>광장간 30L9L3</v>
      </c>
      <c r="I4990" s="1" t="s">
        <v>8</v>
      </c>
      <c r="J4990" s="1" t="str">
        <f>"26/26"</f>
        <v>26/26</v>
      </c>
      <c r="K4990" s="1" t="str">
        <f>"2026-07-29 13:18:03"</f>
        <v>2026-07-29 13:18:03</v>
      </c>
      <c r="L4990" s="1" t="str">
        <f>"2018-05-02 10:50:40"</f>
        <v>2018-05-02 10:50:40</v>
      </c>
      <c r="M4990" s="1" t="s">
        <v>2</v>
      </c>
      <c r="N4990" s="1" t="s">
        <v>38</v>
      </c>
      <c r="O4990" s="1" t="s">
        <v>46</v>
      </c>
    </row>
    <row r="4991" spans="2:15" x14ac:dyDescent="0.3">
      <c r="B4991" s="1" t="s">
        <v>23</v>
      </c>
      <c r="C4991" s="1" t="str">
        <f>"5-2차"</f>
        <v>5-2차</v>
      </c>
      <c r="D4991" s="1" t="str">
        <f>"0425C6425M"</f>
        <v>0425C6425M</v>
      </c>
      <c r="E4991" s="1" t="s">
        <v>10</v>
      </c>
      <c r="F4991" s="1" t="str">
        <f>"fde3:102:1440:4700:0:0:0:9"</f>
        <v>fde3:102:1440:4700:0:0:0:9</v>
      </c>
      <c r="G4991" s="1" t="str">
        <f>"0425C642"</f>
        <v>0425C642</v>
      </c>
      <c r="H4991" s="1" t="str">
        <f>"세종지 13L3"</f>
        <v>세종지 13L3</v>
      </c>
      <c r="I4991" s="1" t="s">
        <v>15</v>
      </c>
      <c r="J4991" s="1" t="str">
        <f>"109/109"</f>
        <v>109/109</v>
      </c>
      <c r="K4991" s="1" t="str">
        <f>"2026-07-29 14:21:14"</f>
        <v>2026-07-29 14:21:14</v>
      </c>
      <c r="L4991" s="1" t="str">
        <f>"2023-06-26 15:39:29"</f>
        <v>2023-06-26 15:39:29</v>
      </c>
      <c r="M4991" s="1" t="s">
        <v>45</v>
      </c>
      <c r="N4991" s="1" t="s">
        <v>38</v>
      </c>
      <c r="O4991" s="1" t="s">
        <v>46</v>
      </c>
    </row>
    <row r="4992" spans="2:15" x14ac:dyDescent="0.3">
      <c r="B4992" s="1" t="s">
        <v>23</v>
      </c>
      <c r="C4992" s="1" t="str">
        <f>"5-2차"</f>
        <v>5-2차</v>
      </c>
      <c r="D4992" s="1" t="str">
        <f>"0425C6515S"</f>
        <v>0425C6515S</v>
      </c>
      <c r="E4992" s="1" t="s">
        <v>10</v>
      </c>
      <c r="F4992" s="1" t="str">
        <f>"fde3:102:1440:4700:0:0:0:a"</f>
        <v>fde3:102:1440:4700:0:0:0:a</v>
      </c>
      <c r="G4992" s="1" t="str">
        <f>"0425C651"</f>
        <v>0425C651</v>
      </c>
      <c r="H4992" s="1" t="str">
        <f>"세종지 13L4L1"</f>
        <v>세종지 13L4L1</v>
      </c>
      <c r="I4992" s="1" t="s">
        <v>15</v>
      </c>
      <c r="J4992" s="1" t="str">
        <f>"77/77"</f>
        <v>77/77</v>
      </c>
      <c r="K4992" s="1" t="str">
        <f>"2026-07-29 14:20:56"</f>
        <v>2026-07-29 14:20:56</v>
      </c>
      <c r="L4992" s="1" t="str">
        <f>"2023-06-14 17:45:04"</f>
        <v>2023-06-14 17:45:04</v>
      </c>
      <c r="M4992" s="1" t="s">
        <v>45</v>
      </c>
      <c r="N4992" s="1" t="s">
        <v>38</v>
      </c>
      <c r="O4992" s="1" t="s">
        <v>46</v>
      </c>
    </row>
    <row r="4993" spans="2:15" x14ac:dyDescent="0.3">
      <c r="B4993" s="1" t="s">
        <v>23</v>
      </c>
      <c r="C4993" s="1" t="str">
        <f>"3차"</f>
        <v>3차</v>
      </c>
      <c r="D4993" s="1" t="str">
        <f>"0425C67139"</f>
        <v>0425C67139</v>
      </c>
      <c r="E4993" s="1" t="s">
        <v>10</v>
      </c>
      <c r="F4993" s="1" t="str">
        <f>"10.11.52.178"</f>
        <v>10.11.52.178</v>
      </c>
      <c r="G4993" s="1" t="str">
        <f>"0425C671"</f>
        <v>0425C671</v>
      </c>
      <c r="H4993" s="1" t="str">
        <f>"광장간 30L16"</f>
        <v>광장간 30L16</v>
      </c>
      <c r="I4993" s="1" t="s">
        <v>8</v>
      </c>
      <c r="J4993" s="1" t="str">
        <f>"2/2"</f>
        <v>2/2</v>
      </c>
      <c r="K4993" s="1" t="str">
        <f>"2026-07-29 13:18:03"</f>
        <v>2026-07-29 13:18:03</v>
      </c>
      <c r="L4993" s="1" t="str">
        <f>"2018-05-02 10:46:09"</f>
        <v>2018-05-02 10:46:09</v>
      </c>
      <c r="M4993" s="1" t="s">
        <v>2</v>
      </c>
      <c r="N4993" s="1" t="s">
        <v>38</v>
      </c>
      <c r="O4993" s="1" t="s">
        <v>46</v>
      </c>
    </row>
    <row r="4994" spans="2:15" x14ac:dyDescent="0.3">
      <c r="B4994" s="1" t="s">
        <v>23</v>
      </c>
      <c r="C4994" s="1" t="str">
        <f>"3차"</f>
        <v>3차</v>
      </c>
      <c r="D4994" s="1" t="str">
        <f>"0425C69239"</f>
        <v>0425C69239</v>
      </c>
      <c r="E4994" s="1" t="s">
        <v>10</v>
      </c>
      <c r="F4994" s="1" t="str">
        <f>"10.11.52.10"</f>
        <v>10.11.52.10</v>
      </c>
      <c r="G4994" s="1" t="str">
        <f>"0425C692"</f>
        <v>0425C692</v>
      </c>
      <c r="H4994" s="1" t="str">
        <f>"광장간 30L9L5"</f>
        <v>광장간 30L9L5</v>
      </c>
      <c r="I4994" s="1" t="s">
        <v>8</v>
      </c>
      <c r="J4994" s="1" t="str">
        <f>"106/106"</f>
        <v>106/106</v>
      </c>
      <c r="K4994" s="1" t="str">
        <f>"2026-07-29 13:18:03"</f>
        <v>2026-07-29 13:18:03</v>
      </c>
      <c r="L4994" s="1" t="str">
        <f>"2018-05-02 10:53:12"</f>
        <v>2018-05-02 10:53:12</v>
      </c>
      <c r="M4994" s="1" t="s">
        <v>2</v>
      </c>
      <c r="N4994" s="1" t="s">
        <v>38</v>
      </c>
      <c r="O4994" s="1" t="s">
        <v>46</v>
      </c>
    </row>
    <row r="4995" spans="2:15" x14ac:dyDescent="0.3">
      <c r="B4995" s="1" t="s">
        <v>23</v>
      </c>
      <c r="C4995" s="1" t="str">
        <f>"5-2차"</f>
        <v>5-2차</v>
      </c>
      <c r="D4995" s="1" t="str">
        <f>"0425C7215M"</f>
        <v>0425C7215M</v>
      </c>
      <c r="E4995" s="1" t="s">
        <v>10</v>
      </c>
      <c r="F4995" s="1" t="str">
        <f>"fde3:102:1440:4700:0:0:0:b"</f>
        <v>fde3:102:1440:4700:0:0:0:b</v>
      </c>
      <c r="G4995" s="1" t="str">
        <f>"0425C721"</f>
        <v>0425C721</v>
      </c>
      <c r="H4995" s="1" t="str">
        <f>"세종지 15"</f>
        <v>세종지 15</v>
      </c>
      <c r="I4995" s="1" t="s">
        <v>15</v>
      </c>
      <c r="J4995" s="1" t="str">
        <f>"85/85"</f>
        <v>85/85</v>
      </c>
      <c r="K4995" s="1" t="str">
        <f>"2026-07-29 14:20:32"</f>
        <v>2026-07-29 14:20:32</v>
      </c>
      <c r="L4995" s="1" t="str">
        <f>"2023-06-19 18:13:51"</f>
        <v>2023-06-19 18:13:51</v>
      </c>
      <c r="M4995" s="1" t="s">
        <v>45</v>
      </c>
      <c r="N4995" s="1" t="s">
        <v>38</v>
      </c>
      <c r="O4995" s="1" t="s">
        <v>46</v>
      </c>
    </row>
    <row r="4996" spans="2:15" x14ac:dyDescent="0.3">
      <c r="B4996" s="1" t="s">
        <v>23</v>
      </c>
      <c r="C4996" s="1" t="str">
        <f>"5-2차"</f>
        <v>5-2차</v>
      </c>
      <c r="D4996" s="1" t="str">
        <f>"0425C7325M"</f>
        <v>0425C7325M</v>
      </c>
      <c r="E4996" s="1" t="s">
        <v>10</v>
      </c>
      <c r="F4996" s="1" t="str">
        <f>"fde3:102:1440:4700:0:0:0:11"</f>
        <v>fde3:102:1440:4700:0:0:0:11</v>
      </c>
      <c r="G4996" s="1" t="str">
        <f>"0425C732"</f>
        <v>0425C732</v>
      </c>
      <c r="H4996" s="1" t="str">
        <f>"세종지 19R1L6"</f>
        <v>세종지 19R1L6</v>
      </c>
      <c r="I4996" s="1" t="s">
        <v>15</v>
      </c>
      <c r="J4996" s="1" t="str">
        <f>"109/109"</f>
        <v>109/109</v>
      </c>
      <c r="K4996" s="1" t="str">
        <f>"2026-07-29 14:20:26"</f>
        <v>2026-07-29 14:20:26</v>
      </c>
      <c r="L4996" s="1" t="str">
        <f>"2023-06-19 18:17:25"</f>
        <v>2023-06-19 18:17:25</v>
      </c>
      <c r="M4996" s="1" t="s">
        <v>45</v>
      </c>
      <c r="N4996" s="1" t="s">
        <v>38</v>
      </c>
      <c r="O4996" s="1" t="s">
        <v>46</v>
      </c>
    </row>
    <row r="4997" spans="2:15" x14ac:dyDescent="0.3">
      <c r="B4997" s="1" t="s">
        <v>23</v>
      </c>
      <c r="C4997" s="1" t="s">
        <v>16</v>
      </c>
      <c r="D4997" s="1" t="str">
        <f>"0425C75141"</f>
        <v>0425C75141</v>
      </c>
      <c r="E4997" s="1" t="s">
        <v>10</v>
      </c>
      <c r="F4997" s="1" t="str">
        <f>"10.14.1.202"</f>
        <v>10.14.1.202</v>
      </c>
      <c r="G4997" s="1" t="str">
        <f>"0425C751"</f>
        <v>0425C751</v>
      </c>
      <c r="H4997" s="1" t="str">
        <f>"세종지 13L4"</f>
        <v>세종지 13L4</v>
      </c>
      <c r="I4997" s="1" t="s">
        <v>17</v>
      </c>
      <c r="J4997" s="1" t="str">
        <f>"16/16"</f>
        <v>16/16</v>
      </c>
      <c r="K4997" s="1" t="str">
        <f>"2026-07-29 13:18:02"</f>
        <v>2026-07-29 13:18:02</v>
      </c>
      <c r="L4997" s="1" t="str">
        <f>"2022-11-09 14:38:21"</f>
        <v>2022-11-09 14:38:21</v>
      </c>
      <c r="M4997" s="1" t="s">
        <v>3</v>
      </c>
      <c r="N4997" s="1" t="s">
        <v>38</v>
      </c>
      <c r="O4997" s="1" t="s">
        <v>46</v>
      </c>
    </row>
    <row r="4998" spans="2:15" x14ac:dyDescent="0.3">
      <c r="B4998" s="1" t="s">
        <v>23</v>
      </c>
      <c r="C4998" s="1" t="str">
        <f>"3차"</f>
        <v>3차</v>
      </c>
      <c r="D4998" s="1" t="str">
        <f>"0425C77139"</f>
        <v>0425C77139</v>
      </c>
      <c r="E4998" s="1" t="str">
        <f>"검침실패(3시간 이상)"</f>
        <v>검침실패(3시간 이상)</v>
      </c>
      <c r="F4998" s="1" t="str">
        <f>"10.11.58.218"</f>
        <v>10.11.58.218</v>
      </c>
      <c r="G4998" s="1" t="str">
        <f>"0425C771"</f>
        <v>0425C771</v>
      </c>
      <c r="H4998" s="1" t="str">
        <f>"광장간 30L18"</f>
        <v>광장간 30L18</v>
      </c>
      <c r="I4998" s="1" t="s">
        <v>8</v>
      </c>
      <c r="J4998" s="1" t="str">
        <f>"0/3"</f>
        <v>0/3</v>
      </c>
      <c r="K4998" s="1" t="str">
        <f>"2026-07-29 13:18:03"</f>
        <v>2026-07-29 13:18:03</v>
      </c>
      <c r="L4998" s="1" t="str">
        <f>"2018-05-02 10:46:24"</f>
        <v>2018-05-02 10:46:24</v>
      </c>
      <c r="M4998" s="1" t="s">
        <v>2</v>
      </c>
      <c r="N4998" s="1" t="s">
        <v>38</v>
      </c>
      <c r="O4998" s="1" t="s">
        <v>46</v>
      </c>
    </row>
    <row r="4999" spans="2:15" x14ac:dyDescent="0.3">
      <c r="B4999" s="1" t="s">
        <v>23</v>
      </c>
      <c r="C4999" s="1" t="str">
        <f>"4차"</f>
        <v>4차</v>
      </c>
      <c r="D4999" s="1" t="str">
        <f>"0425C78139"</f>
        <v>0425C78139</v>
      </c>
      <c r="E4999" s="1" t="s">
        <v>10</v>
      </c>
      <c r="F4999" s="1" t="str">
        <f>"10.11.58.234"</f>
        <v>10.11.58.234</v>
      </c>
      <c r="G4999" s="1" t="str">
        <f>"0425C781"</f>
        <v>0425C781</v>
      </c>
      <c r="H4999" s="1" t="str">
        <f>"광장간 30L9L6"</f>
        <v>광장간 30L9L6</v>
      </c>
      <c r="I4999" s="1" t="s">
        <v>8</v>
      </c>
      <c r="J4999" s="1" t="str">
        <f>"83/83"</f>
        <v>83/83</v>
      </c>
      <c r="K4999" s="1" t="str">
        <f>"2026-07-29 13:18:03"</f>
        <v>2026-07-29 13:18:03</v>
      </c>
      <c r="L4999" s="1" t="str">
        <f>"2018-05-30 10:14:24"</f>
        <v>2018-05-30 10:14:24</v>
      </c>
      <c r="M4999" s="1" t="s">
        <v>2</v>
      </c>
      <c r="N4999" s="1" t="s">
        <v>38</v>
      </c>
      <c r="O4999" s="1" t="s">
        <v>46</v>
      </c>
    </row>
    <row r="5000" spans="2:15" x14ac:dyDescent="0.3">
      <c r="B5000" s="1" t="s">
        <v>23</v>
      </c>
      <c r="C5000" s="1" t="str">
        <f>"4차"</f>
        <v>4차</v>
      </c>
      <c r="D5000" s="1" t="str">
        <f>"0425C79131"</f>
        <v>0425C79131</v>
      </c>
      <c r="E5000" s="1" t="s">
        <v>10</v>
      </c>
      <c r="F5000" s="1" t="str">
        <f>"10.11.51.236"</f>
        <v>10.11.51.236</v>
      </c>
      <c r="G5000" s="1" t="str">
        <f>"0425C791"</f>
        <v>0425C791</v>
      </c>
      <c r="H5000" s="1" t="str">
        <f>"광장간 30L18L3L2"</f>
        <v>광장간 30L18L3L2</v>
      </c>
      <c r="I5000" s="1" t="s">
        <v>8</v>
      </c>
      <c r="J5000" s="1" t="str">
        <f>"55/55"</f>
        <v>55/55</v>
      </c>
      <c r="K5000" s="1" t="str">
        <f>"2026-07-29 13:18:03"</f>
        <v>2026-07-29 13:18:03</v>
      </c>
      <c r="L5000" s="1" t="str">
        <f>"2018-03-22 09:18:40"</f>
        <v>2018-03-22 09:18:40</v>
      </c>
      <c r="M5000" s="1" t="s">
        <v>2</v>
      </c>
      <c r="N5000" s="1" t="s">
        <v>38</v>
      </c>
      <c r="O5000" s="1" t="s">
        <v>46</v>
      </c>
    </row>
    <row r="5001" spans="2:15" x14ac:dyDescent="0.3">
      <c r="B5001" s="1" t="s">
        <v>23</v>
      </c>
      <c r="C5001" s="1" t="str">
        <f>"5-2차"</f>
        <v>5-2차</v>
      </c>
      <c r="D5001" s="1" t="str">
        <f>"0425C8115M"</f>
        <v>0425C8115M</v>
      </c>
      <c r="E5001" s="1" t="s">
        <v>10</v>
      </c>
      <c r="F5001" s="1" t="str">
        <f>"fde1:103:4:936b:0:0:0:2"</f>
        <v>fde1:103:4:936b:0:0:0:2</v>
      </c>
      <c r="G5001" s="1" t="str">
        <f>"0425C811"</f>
        <v>0425C811</v>
      </c>
      <c r="H5001" s="1" t="str">
        <f>"세종지 16"</f>
        <v>세종지 16</v>
      </c>
      <c r="I5001" s="1" t="s">
        <v>15</v>
      </c>
      <c r="J5001" s="1" t="str">
        <f>"51/51"</f>
        <v>51/51</v>
      </c>
      <c r="K5001" s="1" t="str">
        <f>"2026-07-29 14:20:27"</f>
        <v>2026-07-29 14:20:27</v>
      </c>
      <c r="L5001" s="1" t="str">
        <f>"2023-12-18 15:47:33"</f>
        <v>2023-12-18 15:47:33</v>
      </c>
      <c r="M5001" s="1" t="s">
        <v>4</v>
      </c>
      <c r="N5001" s="1" t="s">
        <v>38</v>
      </c>
      <c r="O5001" s="1" t="s">
        <v>46</v>
      </c>
    </row>
    <row r="5002" spans="2:15" x14ac:dyDescent="0.3">
      <c r="B5002" s="1" t="s">
        <v>23</v>
      </c>
      <c r="C5002" s="1" t="str">
        <f>"5-2차"</f>
        <v>5-2차</v>
      </c>
      <c r="D5002" s="1" t="str">
        <f>"0425C8125M"</f>
        <v>0425C8125M</v>
      </c>
      <c r="E5002" s="1" t="s">
        <v>10</v>
      </c>
      <c r="F5002" s="1" t="str">
        <f>"fde3:102:1440:4700:0:0:0:8"</f>
        <v>fde3:102:1440:4700:0:0:0:8</v>
      </c>
      <c r="G5002" s="1" t="str">
        <f>"0425C812"</f>
        <v>0425C812</v>
      </c>
      <c r="H5002" s="1" t="str">
        <f>"세종지 17"</f>
        <v>세종지 17</v>
      </c>
      <c r="I5002" s="1" t="s">
        <v>15</v>
      </c>
      <c r="J5002" s="1" t="str">
        <f>"46/46"</f>
        <v>46/46</v>
      </c>
      <c r="K5002" s="1" t="str">
        <f>"2026-07-29 14:20:57"</f>
        <v>2026-07-29 14:20:57</v>
      </c>
      <c r="L5002" s="1" t="str">
        <f>"2023-10-11 11:10:46"</f>
        <v>2023-10-11 11:10:46</v>
      </c>
      <c r="M5002" s="1" t="s">
        <v>45</v>
      </c>
      <c r="N5002" s="1" t="s">
        <v>38</v>
      </c>
      <c r="O5002" s="1" t="s">
        <v>46</v>
      </c>
    </row>
    <row r="5003" spans="2:15" x14ac:dyDescent="0.3">
      <c r="B5003" s="1" t="s">
        <v>23</v>
      </c>
      <c r="C5003" s="1" t="str">
        <f>"5-2차"</f>
        <v>5-2차</v>
      </c>
      <c r="D5003" s="1" t="str">
        <f>"0425C8215S"</f>
        <v>0425C8215S</v>
      </c>
      <c r="E5003" s="1" t="s">
        <v>10</v>
      </c>
      <c r="F5003" s="1" t="str">
        <f>"fde3:102:1440:4700:0:0:0:c"</f>
        <v>fde3:102:1440:4700:0:0:0:c</v>
      </c>
      <c r="G5003" s="1" t="str">
        <f>"0425C821"</f>
        <v>0425C821</v>
      </c>
      <c r="H5003" s="1" t="str">
        <f>"세종지 16L1"</f>
        <v>세종지 16L1</v>
      </c>
      <c r="I5003" s="1" t="s">
        <v>15</v>
      </c>
      <c r="J5003" s="1" t="str">
        <f>"59/60"</f>
        <v>59/60</v>
      </c>
      <c r="K5003" s="1" t="str">
        <f>"2026-07-29 14:20:57"</f>
        <v>2026-07-29 14:20:57</v>
      </c>
      <c r="L5003" s="1" t="str">
        <f>"2023-06-12 17:22:52"</f>
        <v>2023-06-12 17:22:52</v>
      </c>
      <c r="M5003" s="1" t="s">
        <v>45</v>
      </c>
      <c r="N5003" s="1" t="s">
        <v>38</v>
      </c>
      <c r="O5003" s="1" t="s">
        <v>46</v>
      </c>
    </row>
    <row r="5004" spans="2:15" x14ac:dyDescent="0.3">
      <c r="B5004" s="1" t="s">
        <v>23</v>
      </c>
      <c r="C5004" s="1" t="str">
        <f>"5-2차"</f>
        <v>5-2차</v>
      </c>
      <c r="D5004" s="1" t="str">
        <f>"0425C8315M"</f>
        <v>0425C8315M</v>
      </c>
      <c r="E5004" s="1" t="s">
        <v>10</v>
      </c>
      <c r="F5004" s="1" t="str">
        <f>"fde3:102:1440:4700:0:0:0:10"</f>
        <v>fde3:102:1440:4700:0:0:0:10</v>
      </c>
      <c r="G5004" s="1" t="str">
        <f>"0425C831"</f>
        <v>0425C831</v>
      </c>
      <c r="H5004" s="1" t="str">
        <f>"세종지 19R1L5"</f>
        <v>세종지 19R1L5</v>
      </c>
      <c r="I5004" s="1" t="s">
        <v>15</v>
      </c>
      <c r="J5004" s="1" t="str">
        <f>"61/61"</f>
        <v>61/61</v>
      </c>
      <c r="K5004" s="1" t="str">
        <f>"2026-07-29 14:20:59"</f>
        <v>2026-07-29 14:20:59</v>
      </c>
      <c r="L5004" s="1" t="str">
        <f>"2023-06-19 18:18:34"</f>
        <v>2023-06-19 18:18:34</v>
      </c>
      <c r="M5004" s="1" t="s">
        <v>45</v>
      </c>
      <c r="N5004" s="1" t="s">
        <v>38</v>
      </c>
      <c r="O5004" s="1" t="s">
        <v>46</v>
      </c>
    </row>
    <row r="5005" spans="2:15" x14ac:dyDescent="0.3">
      <c r="B5005" s="1" t="s">
        <v>23</v>
      </c>
      <c r="C5005" s="1" t="str">
        <f>"3차"</f>
        <v>3차</v>
      </c>
      <c r="D5005" s="1" t="str">
        <f>"0425C86139"</f>
        <v>0425C86139</v>
      </c>
      <c r="E5005" s="1" t="s">
        <v>10</v>
      </c>
      <c r="F5005" s="1" t="str">
        <f>"10.11.52.2"</f>
        <v>10.11.52.2</v>
      </c>
      <c r="G5005" s="1" t="str">
        <f>"0425C861"</f>
        <v>0425C861</v>
      </c>
      <c r="H5005" s="1" t="str">
        <f>"광장간 30L19"</f>
        <v>광장간 30L19</v>
      </c>
      <c r="I5005" s="1" t="s">
        <v>8</v>
      </c>
      <c r="J5005" s="1" t="str">
        <f>"1/1"</f>
        <v>1/1</v>
      </c>
      <c r="K5005" s="1" t="str">
        <f>"2026-07-29 13:18:03"</f>
        <v>2026-07-29 13:18:03</v>
      </c>
      <c r="L5005" s="1" t="str">
        <f>"2018-05-02 10:38:10"</f>
        <v>2018-05-02 10:38:10</v>
      </c>
      <c r="M5005" s="1" t="s">
        <v>2</v>
      </c>
      <c r="N5005" s="1" t="s">
        <v>38</v>
      </c>
      <c r="O5005" s="1" t="s">
        <v>46</v>
      </c>
    </row>
    <row r="5006" spans="2:15" x14ac:dyDescent="0.3">
      <c r="B5006" s="1" t="s">
        <v>23</v>
      </c>
      <c r="C5006" s="1" t="str">
        <f>"3차"</f>
        <v>3차</v>
      </c>
      <c r="D5006" s="1" t="str">
        <f>"0425C88130"</f>
        <v>0425C88130</v>
      </c>
      <c r="E5006" s="1" t="s">
        <v>10</v>
      </c>
      <c r="F5006" s="1" t="str">
        <f>"10.11.51.226"</f>
        <v>10.11.51.226</v>
      </c>
      <c r="G5006" s="1" t="str">
        <f>"0425C881"</f>
        <v>0425C881</v>
      </c>
      <c r="H5006" s="1" t="str">
        <f>"광장간 30L18L1"</f>
        <v>광장간 30L18L1</v>
      </c>
      <c r="I5006" s="1" t="s">
        <v>8</v>
      </c>
      <c r="J5006" s="1" t="str">
        <f>"24/24"</f>
        <v>24/24</v>
      </c>
      <c r="K5006" s="1" t="str">
        <f>"2026-07-29 13:18:04"</f>
        <v>2026-07-29 13:18:04</v>
      </c>
      <c r="L5006" s="1" t="str">
        <f>"2018-05-08 11:25:24"</f>
        <v>2018-05-08 11:25:24</v>
      </c>
      <c r="M5006" s="1" t="s">
        <v>2</v>
      </c>
      <c r="N5006" s="1" t="s">
        <v>38</v>
      </c>
      <c r="O5006" s="1" t="s">
        <v>46</v>
      </c>
    </row>
    <row r="5007" spans="2:15" x14ac:dyDescent="0.3">
      <c r="B5007" s="1" t="s">
        <v>23</v>
      </c>
      <c r="C5007" s="1" t="str">
        <f>"1차"</f>
        <v>1차</v>
      </c>
      <c r="D5007" s="1" t="str">
        <f>"0425C88200"</f>
        <v>0425C88200</v>
      </c>
      <c r="E5007" s="1" t="s">
        <v>10</v>
      </c>
      <c r="F5007" s="1" t="str">
        <f>"10.125.8.34"</f>
        <v>10.125.8.34</v>
      </c>
      <c r="G5007" s="1" t="str">
        <f>"0425C882"</f>
        <v>0425C882</v>
      </c>
      <c r="H5007" s="1" t="str">
        <f>"광장간 30L18L2"</f>
        <v>광장간 30L18L2</v>
      </c>
      <c r="I5007" s="1" t="s">
        <v>8</v>
      </c>
      <c r="J5007" s="1" t="str">
        <f>"9/9"</f>
        <v>9/9</v>
      </c>
      <c r="K5007" s="1" t="str">
        <f t="shared" ref="K5007:K5012" si="267">"2026-07-29 13:18:03"</f>
        <v>2026-07-29 13:18:03</v>
      </c>
      <c r="L5007" s="1" t="str">
        <f>"2015-07-22 08:45:58"</f>
        <v>2015-07-22 08:45:58</v>
      </c>
      <c r="M5007" s="1" t="s">
        <v>45</v>
      </c>
      <c r="N5007" s="1" t="s">
        <v>38</v>
      </c>
      <c r="O5007" s="1" t="s">
        <v>46</v>
      </c>
    </row>
    <row r="5008" spans="2:15" x14ac:dyDescent="0.3">
      <c r="B5008" s="1" t="s">
        <v>23</v>
      </c>
      <c r="C5008" s="1" t="str">
        <f>"3차"</f>
        <v>3차</v>
      </c>
      <c r="D5008" s="1" t="str">
        <f>"0425C89139"</f>
        <v>0425C89139</v>
      </c>
      <c r="E5008" s="1" t="s">
        <v>10</v>
      </c>
      <c r="F5008" s="1" t="str">
        <f>"10.11.58.186"</f>
        <v>10.11.58.186</v>
      </c>
      <c r="G5008" s="1" t="str">
        <f>"0425C891"</f>
        <v>0425C891</v>
      </c>
      <c r="H5008" s="1" t="str">
        <f>"광장간 30L18L3"</f>
        <v>광장간 30L18L3</v>
      </c>
      <c r="I5008" s="1" t="s">
        <v>8</v>
      </c>
      <c r="J5008" s="1" t="str">
        <f>"9/9"</f>
        <v>9/9</v>
      </c>
      <c r="K5008" s="1" t="str">
        <f t="shared" si="267"/>
        <v>2026-07-29 13:18:03</v>
      </c>
      <c r="L5008" s="1" t="str">
        <f>"2018-03-23 11:05:09"</f>
        <v>2018-03-23 11:05:09</v>
      </c>
      <c r="M5008" s="1" t="s">
        <v>2</v>
      </c>
      <c r="N5008" s="1" t="s">
        <v>38</v>
      </c>
      <c r="O5008" s="1" t="s">
        <v>46</v>
      </c>
    </row>
    <row r="5009" spans="2:15" x14ac:dyDescent="0.3">
      <c r="B5009" s="1" t="s">
        <v>23</v>
      </c>
      <c r="C5009" s="1" t="str">
        <f>"3차"</f>
        <v>3차</v>
      </c>
      <c r="D5009" s="1" t="str">
        <f>"0425C89230"</f>
        <v>0425C89230</v>
      </c>
      <c r="E5009" s="1" t="s">
        <v>10</v>
      </c>
      <c r="F5009" s="1" t="str">
        <f>"10.11.51.234"</f>
        <v>10.11.51.234</v>
      </c>
      <c r="G5009" s="1" t="str">
        <f>"0425C892"</f>
        <v>0425C892</v>
      </c>
      <c r="H5009" s="1" t="str">
        <f>"광장간 30L18L3L1"</f>
        <v>광장간 30L18L3L1</v>
      </c>
      <c r="I5009" s="1" t="s">
        <v>8</v>
      </c>
      <c r="J5009" s="1" t="str">
        <f>"26/26"</f>
        <v>26/26</v>
      </c>
      <c r="K5009" s="1" t="str">
        <f t="shared" si="267"/>
        <v>2026-07-29 13:18:03</v>
      </c>
      <c r="L5009" s="1" t="str">
        <f>"2018-03-22 09:19:25"</f>
        <v>2018-03-22 09:19:25</v>
      </c>
      <c r="M5009" s="1" t="s">
        <v>2</v>
      </c>
      <c r="N5009" s="1" t="s">
        <v>38</v>
      </c>
      <c r="O5009" s="1" t="s">
        <v>46</v>
      </c>
    </row>
    <row r="5010" spans="2:15" x14ac:dyDescent="0.3">
      <c r="B5010" s="1" t="s">
        <v>23</v>
      </c>
      <c r="C5010" s="1" t="str">
        <f>"3차"</f>
        <v>3차</v>
      </c>
      <c r="D5010" s="1" t="str">
        <f>"0425C97131"</f>
        <v>0425C97131</v>
      </c>
      <c r="E5010" s="1" t="s">
        <v>10</v>
      </c>
      <c r="F5010" s="1" t="str">
        <f>"10.11.51.227"</f>
        <v>10.11.51.227</v>
      </c>
      <c r="G5010" s="1" t="str">
        <f>"0425C971"</f>
        <v>0425C971</v>
      </c>
      <c r="H5010" s="1" t="str">
        <f>"광장간 30L18L1L1R1"</f>
        <v>광장간 30L18L1L1R1</v>
      </c>
      <c r="I5010" s="1" t="s">
        <v>8</v>
      </c>
      <c r="J5010" s="1" t="str">
        <f>"31/32"</f>
        <v>31/32</v>
      </c>
      <c r="K5010" s="1" t="str">
        <f t="shared" si="267"/>
        <v>2026-07-29 13:18:03</v>
      </c>
      <c r="L5010" s="1" t="str">
        <f>"2018-06-08 18:38:00"</f>
        <v>2018-06-08 18:38:00</v>
      </c>
      <c r="M5010" s="1" t="s">
        <v>2</v>
      </c>
      <c r="N5010" s="1" t="s">
        <v>38</v>
      </c>
      <c r="O5010" s="1" t="s">
        <v>46</v>
      </c>
    </row>
    <row r="5011" spans="2:15" x14ac:dyDescent="0.3">
      <c r="B5011" s="1" t="s">
        <v>23</v>
      </c>
      <c r="C5011" s="1" t="str">
        <f>"3차"</f>
        <v>3차</v>
      </c>
      <c r="D5011" s="1" t="str">
        <f>"0425C98139"</f>
        <v>0425C98139</v>
      </c>
      <c r="E5011" s="1" t="s">
        <v>10</v>
      </c>
      <c r="F5011" s="1" t="str">
        <f>"10.11.51.242"</f>
        <v>10.11.51.242</v>
      </c>
      <c r="G5011" s="1" t="str">
        <f>"0425C981"</f>
        <v>0425C981</v>
      </c>
      <c r="H5011" s="1" t="str">
        <f>"광장간 30L18L4"</f>
        <v>광장간 30L18L4</v>
      </c>
      <c r="I5011" s="1" t="s">
        <v>8</v>
      </c>
      <c r="J5011" s="1" t="str">
        <f>"71/71"</f>
        <v>71/71</v>
      </c>
      <c r="K5011" s="1" t="str">
        <f t="shared" si="267"/>
        <v>2026-07-29 13:18:03</v>
      </c>
      <c r="L5011" s="1" t="str">
        <f>"2018-03-23 11:41:10"</f>
        <v>2018-03-23 11:41:10</v>
      </c>
      <c r="M5011" s="1" t="s">
        <v>2</v>
      </c>
      <c r="N5011" s="1" t="s">
        <v>38</v>
      </c>
      <c r="O5011" s="1" t="s">
        <v>46</v>
      </c>
    </row>
    <row r="5012" spans="2:15" x14ac:dyDescent="0.3">
      <c r="B5012" s="1" t="s">
        <v>23</v>
      </c>
      <c r="C5012" s="1" t="str">
        <f>"3차"</f>
        <v>3차</v>
      </c>
      <c r="D5012" s="1" t="str">
        <f>"0425C99139"</f>
        <v>0425C99139</v>
      </c>
      <c r="E5012" s="1" t="s">
        <v>10</v>
      </c>
      <c r="F5012" s="1" t="str">
        <f>"10.11.58.194"</f>
        <v>10.11.58.194</v>
      </c>
      <c r="G5012" s="1" t="str">
        <f>"0425C991"</f>
        <v>0425C991</v>
      </c>
      <c r="H5012" s="1" t="str">
        <f>"광장간 30L18L4L1"</f>
        <v>광장간 30L18L4L1</v>
      </c>
      <c r="I5012" s="1" t="s">
        <v>8</v>
      </c>
      <c r="J5012" s="1" t="str">
        <f>"64/78"</f>
        <v>64/78</v>
      </c>
      <c r="K5012" s="1" t="str">
        <f t="shared" si="267"/>
        <v>2026-07-29 13:18:03</v>
      </c>
      <c r="L5012" s="1" t="str">
        <f>"2018-03-23 11:25:25"</f>
        <v>2018-03-23 11:25:25</v>
      </c>
      <c r="M5012" s="1" t="s">
        <v>2</v>
      </c>
      <c r="N5012" s="1" t="s">
        <v>38</v>
      </c>
      <c r="O5012" s="1" t="s">
        <v>46</v>
      </c>
    </row>
    <row r="5013" spans="2:15" x14ac:dyDescent="0.3">
      <c r="B5013" s="1" t="s">
        <v>23</v>
      </c>
      <c r="C5013" s="1" t="str">
        <f>"5-2차"</f>
        <v>5-2차</v>
      </c>
      <c r="D5013" s="1" t="str">
        <f>"0425D0215M"</f>
        <v>0425D0215M</v>
      </c>
      <c r="E5013" s="1" t="s">
        <v>10</v>
      </c>
      <c r="F5013" s="1" t="str">
        <f>"fde3:102:1440:4700:0:0:0:12"</f>
        <v>fde3:102:1440:4700:0:0:0:12</v>
      </c>
      <c r="G5013" s="1" t="str">
        <f>"0425D021"</f>
        <v>0425D021</v>
      </c>
      <c r="H5013" s="1" t="str">
        <f>"세종지 19R1L3"</f>
        <v>세종지 19R1L3</v>
      </c>
      <c r="I5013" s="1" t="s">
        <v>15</v>
      </c>
      <c r="J5013" s="1" t="str">
        <f>"145/145"</f>
        <v>145/145</v>
      </c>
      <c r="K5013" s="1" t="str">
        <f>"2026-07-29 14:21:00"</f>
        <v>2026-07-29 14:21:00</v>
      </c>
      <c r="L5013" s="1" t="str">
        <f>"2023-06-19 18:19:14"</f>
        <v>2023-06-19 18:19:14</v>
      </c>
      <c r="M5013" s="1" t="s">
        <v>45</v>
      </c>
      <c r="N5013" s="1" t="s">
        <v>38</v>
      </c>
      <c r="O5013" s="1" t="s">
        <v>46</v>
      </c>
    </row>
    <row r="5014" spans="2:15" x14ac:dyDescent="0.3">
      <c r="B5014" s="1" t="s">
        <v>23</v>
      </c>
      <c r="C5014" s="1" t="str">
        <f>"5-1차"</f>
        <v>5-1차</v>
      </c>
      <c r="D5014" s="1" t="str">
        <f>"0425D0315M"</f>
        <v>0425D0315M</v>
      </c>
      <c r="E5014" s="1" t="s">
        <v>10</v>
      </c>
      <c r="F5014" s="1" t="str">
        <f>"fde3:102:1440:4700:0:0:0:2"</f>
        <v>fde3:102:1440:4700:0:0:0:2</v>
      </c>
      <c r="G5014" s="1" t="str">
        <f>"0425D031"</f>
        <v>0425D031</v>
      </c>
      <c r="H5014" s="1" t="str">
        <f>"세종지 28L4"</f>
        <v>세종지 28L4</v>
      </c>
      <c r="I5014" s="1" t="s">
        <v>15</v>
      </c>
      <c r="J5014" s="1" t="str">
        <f>"60/61"</f>
        <v>60/61</v>
      </c>
      <c r="K5014" s="1" t="str">
        <f>"2026-07-29 14:21:04"</f>
        <v>2026-07-29 14:21:04</v>
      </c>
      <c r="L5014" s="1" t="str">
        <f>"2022-10-25 10:07:06"</f>
        <v>2022-10-25 10:07:06</v>
      </c>
      <c r="M5014" s="1" t="s">
        <v>45</v>
      </c>
      <c r="N5014" s="1" t="s">
        <v>38</v>
      </c>
      <c r="O5014" s="1" t="s">
        <v>46</v>
      </c>
    </row>
    <row r="5015" spans="2:15" x14ac:dyDescent="0.3">
      <c r="B5015" s="1" t="s">
        <v>23</v>
      </c>
      <c r="C5015" s="1" t="str">
        <f>"4차"</f>
        <v>4차</v>
      </c>
      <c r="D5015" s="1" t="str">
        <f>"0425D06239"</f>
        <v>0425D06239</v>
      </c>
      <c r="E5015" s="1" t="s">
        <v>10</v>
      </c>
      <c r="F5015" s="1" t="str">
        <f>"10.11.56.138"</f>
        <v>10.11.56.138</v>
      </c>
      <c r="G5015" s="1" t="str">
        <f>"0425D062"</f>
        <v>0425D062</v>
      </c>
      <c r="H5015" s="1" t="str">
        <f>"광장간 30L23L2"</f>
        <v>광장간 30L23L2</v>
      </c>
      <c r="I5015" s="1" t="s">
        <v>8</v>
      </c>
      <c r="J5015" s="1" t="str">
        <f>"8/8"</f>
        <v>8/8</v>
      </c>
      <c r="K5015" s="1" t="str">
        <f>"2026-07-29 13:18:03"</f>
        <v>2026-07-29 13:18:03</v>
      </c>
      <c r="L5015" s="1" t="str">
        <f>"2018-05-02 10:38:25"</f>
        <v>2018-05-02 10:38:25</v>
      </c>
      <c r="M5015" s="1" t="s">
        <v>2</v>
      </c>
      <c r="N5015" s="1" t="s">
        <v>38</v>
      </c>
      <c r="O5015" s="1" t="s">
        <v>46</v>
      </c>
    </row>
    <row r="5016" spans="2:15" x14ac:dyDescent="0.3">
      <c r="B5016" s="1" t="s">
        <v>23</v>
      </c>
      <c r="C5016" s="1" t="s">
        <v>16</v>
      </c>
      <c r="D5016" s="1" t="str">
        <f>"0425D07141"</f>
        <v>0425D07141</v>
      </c>
      <c r="E5016" s="1" t="s">
        <v>10</v>
      </c>
      <c r="F5016" s="1" t="str">
        <f>"10.14.13.129"</f>
        <v>10.14.13.129</v>
      </c>
      <c r="G5016" s="1" t="str">
        <f>"0425D071"</f>
        <v>0425D071</v>
      </c>
      <c r="H5016" s="1" t="str">
        <f>"광장간 30L26L7"</f>
        <v>광장간 30L26L7</v>
      </c>
      <c r="I5016" s="1" t="s">
        <v>17</v>
      </c>
      <c r="J5016" s="1" t="str">
        <f>"46/64"</f>
        <v>46/64</v>
      </c>
      <c r="K5016" s="1" t="str">
        <f>"2026-07-29 13:18:05"</f>
        <v>2026-07-29 13:18:05</v>
      </c>
      <c r="L5016" s="1" t="str">
        <f>"2022-11-08 14:22:35"</f>
        <v>2022-11-08 14:22:35</v>
      </c>
      <c r="M5016" s="1" t="s">
        <v>3</v>
      </c>
      <c r="N5016" s="1" t="s">
        <v>38</v>
      </c>
      <c r="O5016" s="1" t="s">
        <v>46</v>
      </c>
    </row>
    <row r="5017" spans="2:15" x14ac:dyDescent="0.3">
      <c r="B5017" s="1" t="s">
        <v>23</v>
      </c>
      <c r="C5017" s="1" t="str">
        <f>"3차"</f>
        <v>3차</v>
      </c>
      <c r="D5017" s="1" t="str">
        <f>"0425D08139"</f>
        <v>0425D08139</v>
      </c>
      <c r="E5017" s="1" t="s">
        <v>10</v>
      </c>
      <c r="F5017" s="1" t="str">
        <f>"10.11.58.202"</f>
        <v>10.11.58.202</v>
      </c>
      <c r="G5017" s="1" t="str">
        <f>"0425D081"</f>
        <v>0425D081</v>
      </c>
      <c r="H5017" s="1" t="str">
        <f>"광장간 30L18L5"</f>
        <v>광장간 30L18L5</v>
      </c>
      <c r="I5017" s="1" t="s">
        <v>8</v>
      </c>
      <c r="J5017" s="1" t="str">
        <f>"72/72"</f>
        <v>72/72</v>
      </c>
      <c r="K5017" s="1" t="str">
        <f>"2026-07-29 13:18:03"</f>
        <v>2026-07-29 13:18:03</v>
      </c>
      <c r="L5017" s="1" t="str">
        <f>"2018-03-23 13:09:25"</f>
        <v>2018-03-23 13:09:25</v>
      </c>
      <c r="M5017" s="1" t="s">
        <v>2</v>
      </c>
      <c r="N5017" s="1" t="s">
        <v>38</v>
      </c>
      <c r="O5017" s="1" t="s">
        <v>46</v>
      </c>
    </row>
    <row r="5018" spans="2:15" x14ac:dyDescent="0.3">
      <c r="B5018" s="1" t="s">
        <v>23</v>
      </c>
      <c r="C5018" s="1" t="str">
        <f>"3차"</f>
        <v>3차</v>
      </c>
      <c r="D5018" s="1" t="str">
        <f>"0425D09139"</f>
        <v>0425D09139</v>
      </c>
      <c r="E5018" s="1" t="s">
        <v>10</v>
      </c>
      <c r="F5018" s="1" t="str">
        <f>"10.11.58.210"</f>
        <v>10.11.58.210</v>
      </c>
      <c r="G5018" s="1" t="str">
        <f>"0425D091"</f>
        <v>0425D091</v>
      </c>
      <c r="H5018" s="1" t="str">
        <f>"광장간 30L18L7L1"</f>
        <v>광장간 30L18L7L1</v>
      </c>
      <c r="I5018" s="1" t="s">
        <v>8</v>
      </c>
      <c r="J5018" s="1" t="str">
        <f>"38/38"</f>
        <v>38/38</v>
      </c>
      <c r="K5018" s="1" t="str">
        <f>"2026-07-29 13:18:03"</f>
        <v>2026-07-29 13:18:03</v>
      </c>
      <c r="L5018" s="1" t="str">
        <f>"2018-05-02 10:37:10"</f>
        <v>2018-05-02 10:37:10</v>
      </c>
      <c r="M5018" s="1" t="s">
        <v>2</v>
      </c>
      <c r="N5018" s="1" t="s">
        <v>38</v>
      </c>
      <c r="O5018" s="1" t="s">
        <v>46</v>
      </c>
    </row>
    <row r="5019" spans="2:15" x14ac:dyDescent="0.3">
      <c r="B5019" s="1" t="s">
        <v>23</v>
      </c>
      <c r="C5019" s="1" t="str">
        <f>"5-2차"</f>
        <v>5-2차</v>
      </c>
      <c r="D5019" s="1" t="str">
        <f>"0425D1135M"</f>
        <v>0425D1135M</v>
      </c>
      <c r="E5019" s="1" t="s">
        <v>10</v>
      </c>
      <c r="F5019" s="1" t="str">
        <f>"fde3:102:1440:4700:0:0:0:13"</f>
        <v>fde3:102:1440:4700:0:0:0:13</v>
      </c>
      <c r="G5019" s="1" t="str">
        <f>"0425D113"</f>
        <v>0425D113</v>
      </c>
      <c r="H5019" s="1" t="str">
        <f>"세종지 19R1L2R1"</f>
        <v>세종지 19R1L2R1</v>
      </c>
      <c r="I5019" s="1" t="s">
        <v>15</v>
      </c>
      <c r="J5019" s="1" t="str">
        <f>"33/34"</f>
        <v>33/34</v>
      </c>
      <c r="K5019" s="1" t="str">
        <f>"2026-07-29 14:21:00"</f>
        <v>2026-07-29 14:21:00</v>
      </c>
      <c r="L5019" s="1" t="str">
        <f>"2023-06-19 18:14:28"</f>
        <v>2023-06-19 18:14:28</v>
      </c>
      <c r="M5019" s="1" t="s">
        <v>45</v>
      </c>
      <c r="N5019" s="1" t="s">
        <v>38</v>
      </c>
      <c r="O5019" s="1" t="s">
        <v>46</v>
      </c>
    </row>
    <row r="5020" spans="2:15" x14ac:dyDescent="0.3">
      <c r="B5020" s="1" t="s">
        <v>23</v>
      </c>
      <c r="C5020" s="1" t="str">
        <f>"5-1차"</f>
        <v>5-1차</v>
      </c>
      <c r="D5020" s="1" t="str">
        <f>"0425D1315M"</f>
        <v>0425D1315M</v>
      </c>
      <c r="E5020" s="1" t="s">
        <v>10</v>
      </c>
      <c r="F5020" s="1" t="str">
        <f>"fde3:102:1440:4700:0:0:0:5"</f>
        <v>fde3:102:1440:4700:0:0:0:5</v>
      </c>
      <c r="G5020" s="1" t="str">
        <f>"0425D131"</f>
        <v>0425D131</v>
      </c>
      <c r="H5020" s="1" t="str">
        <f>"광장간 55R2"</f>
        <v>광장간 55R2</v>
      </c>
      <c r="I5020" s="1" t="s">
        <v>15</v>
      </c>
      <c r="J5020" s="1" t="str">
        <f>"15/15"</f>
        <v>15/15</v>
      </c>
      <c r="K5020" s="1" t="str">
        <f>"2026-07-29 14:20:59"</f>
        <v>2026-07-29 14:20:59</v>
      </c>
      <c r="L5020" s="1" t="str">
        <f>"2022-10-25 13:26:40"</f>
        <v>2022-10-25 13:26:40</v>
      </c>
      <c r="M5020" s="1" t="s">
        <v>45</v>
      </c>
      <c r="N5020" s="1" t="s">
        <v>38</v>
      </c>
      <c r="O5020" s="1" t="s">
        <v>46</v>
      </c>
    </row>
    <row r="5021" spans="2:15" x14ac:dyDescent="0.3">
      <c r="B5021" s="1" t="s">
        <v>23</v>
      </c>
      <c r="C5021" s="1" t="str">
        <f>"5-2차"</f>
        <v>5-2차</v>
      </c>
      <c r="D5021" s="1" t="str">
        <f>"0425D1515M"</f>
        <v>0425D1515M</v>
      </c>
      <c r="E5021" s="1" t="s">
        <v>10</v>
      </c>
      <c r="F5021" s="1" t="str">
        <f>"fde3:102:1440:4600:0:0:0:d"</f>
        <v>fde3:102:1440:4600:0:0:0:d</v>
      </c>
      <c r="G5021" s="1" t="str">
        <f>"0425D151"</f>
        <v>0425D151</v>
      </c>
      <c r="H5021" s="1" t="str">
        <f>"광장간 30L24"</f>
        <v>광장간 30L24</v>
      </c>
      <c r="I5021" s="1" t="s">
        <v>15</v>
      </c>
      <c r="J5021" s="1" t="str">
        <f>"20/23"</f>
        <v>20/23</v>
      </c>
      <c r="K5021" s="1" t="str">
        <f>"2026-07-29 14:20:58"</f>
        <v>2026-07-29 14:20:58</v>
      </c>
      <c r="L5021" s="1" t="str">
        <f>"2023-10-16 16:42:48"</f>
        <v>2023-10-16 16:42:48</v>
      </c>
      <c r="M5021" s="1" t="s">
        <v>45</v>
      </c>
      <c r="N5021" s="1" t="s">
        <v>38</v>
      </c>
      <c r="O5021" s="1" t="s">
        <v>46</v>
      </c>
    </row>
    <row r="5022" spans="2:15" x14ac:dyDescent="0.3">
      <c r="B5022" s="1" t="s">
        <v>23</v>
      </c>
      <c r="C5022" s="1" t="str">
        <f>"5-1차"</f>
        <v>5-1차</v>
      </c>
      <c r="D5022" s="1" t="str">
        <f>"0425D1825M"</f>
        <v>0425D1825M</v>
      </c>
      <c r="E5022" s="1" t="s">
        <v>10</v>
      </c>
      <c r="F5022" s="1" t="str">
        <f>"fde3:102:1440:4400:0:0:0:2"</f>
        <v>fde3:102:1440:4400:0:0:0:2</v>
      </c>
      <c r="G5022" s="1" t="str">
        <f>"0425D182"</f>
        <v>0425D182</v>
      </c>
      <c r="H5022" s="1" t="str">
        <f>"광장간 30L18L8"</f>
        <v>광장간 30L18L8</v>
      </c>
      <c r="I5022" s="1" t="s">
        <v>15</v>
      </c>
      <c r="J5022" s="1" t="str">
        <f>"27/27"</f>
        <v>27/27</v>
      </c>
      <c r="K5022" s="1" t="str">
        <f>"2026-07-29 14:20:47"</f>
        <v>2026-07-29 14:20:47</v>
      </c>
      <c r="L5022" s="1" t="str">
        <f>"2022-10-26 11:14:36"</f>
        <v>2022-10-26 11:14:36</v>
      </c>
      <c r="M5022" s="1" t="s">
        <v>45</v>
      </c>
      <c r="N5022" s="1" t="s">
        <v>38</v>
      </c>
      <c r="O5022" s="1" t="s">
        <v>46</v>
      </c>
    </row>
    <row r="5023" spans="2:15" x14ac:dyDescent="0.3">
      <c r="B5023" s="1" t="s">
        <v>23</v>
      </c>
      <c r="C5023" s="1" t="str">
        <f>"5-2차"</f>
        <v>5-2차</v>
      </c>
      <c r="D5023" s="1" t="str">
        <f>"0425D2635M"</f>
        <v>0425D2635M</v>
      </c>
      <c r="E5023" s="1" t="s">
        <v>10</v>
      </c>
      <c r="F5023" s="1" t="str">
        <f>"fde3:102:1440:4800:0:0:0:25"</f>
        <v>fde3:102:1440:4800:0:0:0:25</v>
      </c>
      <c r="G5023" s="1" t="str">
        <f>"0425D263"</f>
        <v>0425D263</v>
      </c>
      <c r="H5023" s="1" t="str">
        <f>"광장간 30L26L4"</f>
        <v>광장간 30L26L4</v>
      </c>
      <c r="I5023" s="1" t="s">
        <v>15</v>
      </c>
      <c r="J5023" s="1" t="str">
        <f>"150/150"</f>
        <v>150/150</v>
      </c>
      <c r="K5023" s="1" t="str">
        <f>"2026-07-29 14:20:26"</f>
        <v>2026-07-29 14:20:26</v>
      </c>
      <c r="L5023" s="1" t="str">
        <f>"2024-01-11 10:03:52"</f>
        <v>2024-01-11 10:03:52</v>
      </c>
      <c r="M5023" s="1" t="s">
        <v>45</v>
      </c>
      <c r="N5023" s="1" t="s">
        <v>38</v>
      </c>
      <c r="O5023" s="1" t="s">
        <v>46</v>
      </c>
    </row>
    <row r="5024" spans="2:15" x14ac:dyDescent="0.3">
      <c r="B5024" s="1" t="s">
        <v>23</v>
      </c>
      <c r="C5024" s="1" t="str">
        <f>"5-2차"</f>
        <v>5-2차</v>
      </c>
      <c r="D5024" s="1" t="str">
        <f>"0425D2835M"</f>
        <v>0425D2835M</v>
      </c>
      <c r="E5024" s="1" t="s">
        <v>10</v>
      </c>
      <c r="F5024" s="1" t="str">
        <f>"fde3:102:1440:4300:0:0:0:c"</f>
        <v>fde3:102:1440:4300:0:0:0:c</v>
      </c>
      <c r="G5024" s="1" t="str">
        <f>"0425D283"</f>
        <v>0425D283</v>
      </c>
      <c r="H5024" s="1" t="str">
        <f>"명작간 27R3L3R1"</f>
        <v>명작간 27R3L3R1</v>
      </c>
      <c r="I5024" s="1" t="s">
        <v>15</v>
      </c>
      <c r="J5024" s="1" t="str">
        <f>"97/97"</f>
        <v>97/97</v>
      </c>
      <c r="K5024" s="1" t="str">
        <f>"2026-07-29 14:20:59"</f>
        <v>2026-07-29 14:20:59</v>
      </c>
      <c r="L5024" s="1" t="str">
        <f>"2024-04-11 16:30:08"</f>
        <v>2024-04-11 16:30:08</v>
      </c>
      <c r="M5024" s="1" t="s">
        <v>45</v>
      </c>
      <c r="N5024" s="1" t="s">
        <v>38</v>
      </c>
      <c r="O5024" s="1" t="s">
        <v>46</v>
      </c>
    </row>
    <row r="5025" spans="2:15" x14ac:dyDescent="0.3">
      <c r="B5025" s="1" t="s">
        <v>23</v>
      </c>
      <c r="C5025" s="1" t="str">
        <f>"5-2차"</f>
        <v>5-2차</v>
      </c>
      <c r="D5025" s="1" t="str">
        <f>"0425D3015M"</f>
        <v>0425D3015M</v>
      </c>
      <c r="E5025" s="1" t="s">
        <v>10</v>
      </c>
      <c r="F5025" s="1" t="str">
        <f>"fde3:102:1440:4700:0:0:0:7"</f>
        <v>fde3:102:1440:4700:0:0:0:7</v>
      </c>
      <c r="G5025" s="1" t="str">
        <f>"0425D301"</f>
        <v>0425D301</v>
      </c>
      <c r="H5025" s="1" t="str">
        <f>"세종지 26"</f>
        <v>세종지 26</v>
      </c>
      <c r="I5025" s="1" t="s">
        <v>15</v>
      </c>
      <c r="J5025" s="1" t="str">
        <f>"93/93"</f>
        <v>93/93</v>
      </c>
      <c r="K5025" s="1" t="str">
        <f>"2026-07-29 14:20:59"</f>
        <v>2026-07-29 14:20:59</v>
      </c>
      <c r="L5025" s="1" t="str">
        <f>"2023-06-19 18:15:01"</f>
        <v>2023-06-19 18:15:01</v>
      </c>
      <c r="M5025" s="1" t="s">
        <v>45</v>
      </c>
      <c r="N5025" s="1" t="s">
        <v>38</v>
      </c>
      <c r="O5025" s="1" t="s">
        <v>46</v>
      </c>
    </row>
    <row r="5026" spans="2:15" x14ac:dyDescent="0.3">
      <c r="B5026" s="1" t="s">
        <v>23</v>
      </c>
      <c r="C5026" s="1" t="str">
        <f>"5-1차"</f>
        <v>5-1차</v>
      </c>
      <c r="D5026" s="1" t="str">
        <f>"0425D3615M"</f>
        <v>0425D3615M</v>
      </c>
      <c r="E5026" s="1" t="s">
        <v>10</v>
      </c>
      <c r="F5026" s="1" t="str">
        <f>"fde3:102:1440:4300:0:0:0:7"</f>
        <v>fde3:102:1440:4300:0:0:0:7</v>
      </c>
      <c r="G5026" s="1" t="str">
        <f>"0425D361"</f>
        <v>0425D361</v>
      </c>
      <c r="H5026" s="1" t="str">
        <f>"광장간 30L26L3"</f>
        <v>광장간 30L26L3</v>
      </c>
      <c r="I5026" s="1" t="s">
        <v>15</v>
      </c>
      <c r="J5026" s="1" t="str">
        <f>"108/113"</f>
        <v>108/113</v>
      </c>
      <c r="K5026" s="1" t="str">
        <f>"2026-07-29 14:21:00"</f>
        <v>2026-07-29 14:21:00</v>
      </c>
      <c r="L5026" s="1" t="str">
        <f>"2022-11-02 10:10:15"</f>
        <v>2022-11-02 10:10:15</v>
      </c>
      <c r="M5026" s="1" t="s">
        <v>45</v>
      </c>
      <c r="N5026" s="1" t="s">
        <v>38</v>
      </c>
      <c r="O5026" s="1" t="s">
        <v>46</v>
      </c>
    </row>
    <row r="5027" spans="2:15" x14ac:dyDescent="0.3">
      <c r="B5027" s="1" t="s">
        <v>23</v>
      </c>
      <c r="C5027" s="1" t="str">
        <f>"5-1차"</f>
        <v>5-1차</v>
      </c>
      <c r="D5027" s="1" t="str">
        <f>"0425D3715S"</f>
        <v>0425D3715S</v>
      </c>
      <c r="E5027" s="1" t="s">
        <v>10</v>
      </c>
      <c r="F5027" s="1" t="str">
        <f>"fde3:102:1440:4300:0:0:0:2"</f>
        <v>fde3:102:1440:4300:0:0:0:2</v>
      </c>
      <c r="G5027" s="1" t="str">
        <f>"0425D371"</f>
        <v>0425D371</v>
      </c>
      <c r="H5027" s="1" t="str">
        <f>"명작간 27R3L5"</f>
        <v>명작간 27R3L5</v>
      </c>
      <c r="I5027" s="1" t="s">
        <v>15</v>
      </c>
      <c r="J5027" s="1" t="str">
        <f>"46/46"</f>
        <v>46/46</v>
      </c>
      <c r="K5027" s="1" t="str">
        <f>"2026-07-29 14:21:00"</f>
        <v>2026-07-29 14:21:00</v>
      </c>
      <c r="L5027" s="1" t="str">
        <f>"2022-11-01 14:19:55"</f>
        <v>2022-11-01 14:19:55</v>
      </c>
      <c r="M5027" s="1" t="s">
        <v>45</v>
      </c>
      <c r="N5027" s="1" t="s">
        <v>38</v>
      </c>
      <c r="O5027" s="1" t="s">
        <v>46</v>
      </c>
    </row>
    <row r="5028" spans="2:15" x14ac:dyDescent="0.3">
      <c r="B5028" s="1" t="s">
        <v>23</v>
      </c>
      <c r="C5028" s="1" t="str">
        <f>"5-1차"</f>
        <v>5-1차</v>
      </c>
      <c r="D5028" s="1" t="str">
        <f>"0425D3815M"</f>
        <v>0425D3815M</v>
      </c>
      <c r="E5028" s="1" t="s">
        <v>10</v>
      </c>
      <c r="F5028" s="1" t="str">
        <f>"fde3:102:1440:4300:0:0:0:6"</f>
        <v>fde3:102:1440:4300:0:0:0:6</v>
      </c>
      <c r="G5028" s="1" t="str">
        <f>"0425D381"</f>
        <v>0425D381</v>
      </c>
      <c r="H5028" s="1" t="str">
        <f>"명작간 27R3L4"</f>
        <v>명작간 27R3L4</v>
      </c>
      <c r="I5028" s="1" t="s">
        <v>15</v>
      </c>
      <c r="J5028" s="1" t="str">
        <f>"60/60"</f>
        <v>60/60</v>
      </c>
      <c r="K5028" s="1" t="str">
        <f>"2026-07-29 14:21:15"</f>
        <v>2026-07-29 14:21:15</v>
      </c>
      <c r="L5028" s="1" t="str">
        <f>"2022-11-01 14:01:58"</f>
        <v>2022-11-01 14:01:58</v>
      </c>
      <c r="M5028" s="1" t="s">
        <v>45</v>
      </c>
      <c r="N5028" s="1" t="s">
        <v>38</v>
      </c>
      <c r="O5028" s="1" t="s">
        <v>46</v>
      </c>
    </row>
    <row r="5029" spans="2:15" x14ac:dyDescent="0.3">
      <c r="B5029" s="1" t="s">
        <v>23</v>
      </c>
      <c r="C5029" s="1" t="str">
        <f>"5-1차"</f>
        <v>5-1차</v>
      </c>
      <c r="D5029" s="1" t="str">
        <f>"0425D4125S"</f>
        <v>0425D4125S</v>
      </c>
      <c r="E5029" s="1" t="s">
        <v>10</v>
      </c>
      <c r="F5029" s="1" t="str">
        <f>"fde2:104:0:1a9:0:0:0:2"</f>
        <v>fde2:104:0:1a9:0:0:0:2</v>
      </c>
      <c r="G5029" s="1" t="str">
        <f>"0425D412"</f>
        <v>0425D412</v>
      </c>
      <c r="H5029" s="1" t="str">
        <f>"세종지 28R1"</f>
        <v>세종지 28R1</v>
      </c>
      <c r="I5029" s="1" t="s">
        <v>15</v>
      </c>
      <c r="J5029" s="1" t="str">
        <f>"95/95"</f>
        <v>95/95</v>
      </c>
      <c r="K5029" s="1" t="str">
        <f>"2026-07-29 14:21:16"</f>
        <v>2026-07-29 14:21:16</v>
      </c>
      <c r="L5029" s="1" t="str">
        <f>"2022-11-29 10:44:17"</f>
        <v>2022-11-29 10:44:17</v>
      </c>
      <c r="M5029" s="1" t="s">
        <v>42</v>
      </c>
      <c r="N5029" s="1" t="s">
        <v>38</v>
      </c>
      <c r="O5029" s="1" t="s">
        <v>46</v>
      </c>
    </row>
    <row r="5030" spans="2:15" x14ac:dyDescent="0.3">
      <c r="B5030" s="1" t="s">
        <v>23</v>
      </c>
      <c r="C5030" s="1" t="str">
        <f>"5-1차"</f>
        <v>5-1차</v>
      </c>
      <c r="D5030" s="1" t="str">
        <f>"0425D4625M"</f>
        <v>0425D4625M</v>
      </c>
      <c r="E5030" s="1" t="s">
        <v>10</v>
      </c>
      <c r="F5030" s="1" t="str">
        <f>"fde3:102:1440:4300:0:0:0:4"</f>
        <v>fde3:102:1440:4300:0:0:0:4</v>
      </c>
      <c r="G5030" s="1" t="str">
        <f>"0425D462"</f>
        <v>0425D462</v>
      </c>
      <c r="H5030" s="1" t="str">
        <f>"명작간 36"</f>
        <v>명작간 36</v>
      </c>
      <c r="I5030" s="1" t="s">
        <v>15</v>
      </c>
      <c r="J5030" s="1" t="str">
        <f>"20/20"</f>
        <v>20/20</v>
      </c>
      <c r="K5030" s="1" t="str">
        <f>"2026-07-29 14:20:47"</f>
        <v>2026-07-29 14:20:47</v>
      </c>
      <c r="L5030" s="1" t="str">
        <f>"2022-10-26 14:37:12"</f>
        <v>2022-10-26 14:37:12</v>
      </c>
      <c r="M5030" s="1" t="s">
        <v>45</v>
      </c>
      <c r="N5030" s="1" t="s">
        <v>38</v>
      </c>
      <c r="O5030" s="1" t="s">
        <v>46</v>
      </c>
    </row>
    <row r="5031" spans="2:15" x14ac:dyDescent="0.3">
      <c r="B5031" s="1" t="s">
        <v>23</v>
      </c>
      <c r="C5031" s="1" t="str">
        <f t="shared" ref="C5031:C5044" si="268">"5-2차"</f>
        <v>5-2차</v>
      </c>
      <c r="D5031" s="1" t="str">
        <f>"0425D5625M"</f>
        <v>0425D5625M</v>
      </c>
      <c r="E5031" s="1" t="s">
        <v>10</v>
      </c>
      <c r="F5031" s="1" t="str">
        <f>"fde3:102:1440:4800:0:0:0:23"</f>
        <v>fde3:102:1440:4800:0:0:0:23</v>
      </c>
      <c r="G5031" s="1" t="str">
        <f>"0425D562"</f>
        <v>0425D562</v>
      </c>
      <c r="H5031" s="1" t="str">
        <f>"대원간 57L1"</f>
        <v>대원간 57L1</v>
      </c>
      <c r="I5031" s="1" t="s">
        <v>15</v>
      </c>
      <c r="J5031" s="1" t="str">
        <f>"44/44"</f>
        <v>44/44</v>
      </c>
      <c r="K5031" s="1" t="str">
        <f>"2026-07-29 14:20:59"</f>
        <v>2026-07-29 14:20:59</v>
      </c>
      <c r="L5031" s="1" t="str">
        <f>"2023-11-27 15:41:34"</f>
        <v>2023-11-27 15:41:34</v>
      </c>
      <c r="M5031" s="1" t="s">
        <v>45</v>
      </c>
      <c r="N5031" s="1" t="s">
        <v>38</v>
      </c>
      <c r="O5031" s="1" t="s">
        <v>46</v>
      </c>
    </row>
    <row r="5032" spans="2:15" x14ac:dyDescent="0.3">
      <c r="B5032" s="1" t="s">
        <v>23</v>
      </c>
      <c r="C5032" s="1" t="str">
        <f t="shared" si="268"/>
        <v>5-2차</v>
      </c>
      <c r="D5032" s="1" t="str">
        <f>"0425D5915M"</f>
        <v>0425D5915M</v>
      </c>
      <c r="E5032" s="1" t="s">
        <v>10</v>
      </c>
      <c r="F5032" s="1" t="str">
        <f>"fde3:102:1440:4300:0:0:0:1b"</f>
        <v>fde3:102:1440:4300:0:0:0:1b</v>
      </c>
      <c r="G5032" s="1" t="str">
        <f>"0425D591"</f>
        <v>0425D591</v>
      </c>
      <c r="H5032" s="1" t="str">
        <f>"대원간 49L6R2"</f>
        <v>대원간 49L6R2</v>
      </c>
      <c r="I5032" s="1" t="s">
        <v>15</v>
      </c>
      <c r="J5032" s="1" t="str">
        <f>"54/58"</f>
        <v>54/58</v>
      </c>
      <c r="K5032" s="1" t="str">
        <f>"2026-07-29 14:20:32"</f>
        <v>2026-07-29 14:20:32</v>
      </c>
      <c r="L5032" s="1" t="str">
        <f>"2023-12-12 14:50:18"</f>
        <v>2023-12-12 14:50:18</v>
      </c>
      <c r="M5032" s="1" t="s">
        <v>45</v>
      </c>
      <c r="N5032" s="1" t="s">
        <v>38</v>
      </c>
      <c r="O5032" s="1" t="s">
        <v>46</v>
      </c>
    </row>
    <row r="5033" spans="2:15" x14ac:dyDescent="0.3">
      <c r="B5033" s="1" t="s">
        <v>23</v>
      </c>
      <c r="C5033" s="1" t="str">
        <f t="shared" si="268"/>
        <v>5-2차</v>
      </c>
      <c r="D5033" s="1" t="str">
        <f>"0425D6335M"</f>
        <v>0425D6335M</v>
      </c>
      <c r="E5033" s="1" t="s">
        <v>10</v>
      </c>
      <c r="F5033" s="1" t="str">
        <f>"fde3:102:1440:4700:0:0:0:2c"</f>
        <v>fde3:102:1440:4700:0:0:0:2c</v>
      </c>
      <c r="G5033" s="1" t="str">
        <f>"0425D633"</f>
        <v>0425D633</v>
      </c>
      <c r="H5033" s="1" t="str">
        <f>"산성간 39L9L1R1"</f>
        <v>산성간 39L9L1R1</v>
      </c>
      <c r="I5033" s="1" t="s">
        <v>15</v>
      </c>
      <c r="J5033" s="1" t="str">
        <f>"64/65"</f>
        <v>64/65</v>
      </c>
      <c r="K5033" s="1" t="str">
        <f>"2026-07-29 14:20:59"</f>
        <v>2026-07-29 14:20:59</v>
      </c>
      <c r="L5033" s="1" t="str">
        <f>"2023-11-29 14:51:39"</f>
        <v>2023-11-29 14:51:39</v>
      </c>
      <c r="M5033" s="1" t="s">
        <v>45</v>
      </c>
      <c r="N5033" s="1" t="s">
        <v>38</v>
      </c>
      <c r="O5033" s="1" t="s">
        <v>46</v>
      </c>
    </row>
    <row r="5034" spans="2:15" x14ac:dyDescent="0.3">
      <c r="B5034" s="1" t="s">
        <v>23</v>
      </c>
      <c r="C5034" s="1" t="str">
        <f t="shared" si="268"/>
        <v>5-2차</v>
      </c>
      <c r="D5034" s="1" t="str">
        <f>"0425D6455M"</f>
        <v>0425D6455M</v>
      </c>
      <c r="E5034" s="1" t="s">
        <v>10</v>
      </c>
      <c r="F5034" s="1" t="str">
        <f>"fde1:103:4:9321:0:0:0:2"</f>
        <v>fde1:103:4:9321:0:0:0:2</v>
      </c>
      <c r="G5034" s="1" t="str">
        <f>"0425D645"</f>
        <v>0425D645</v>
      </c>
      <c r="H5034" s="1" t="str">
        <f>"산성간 39L9L1R3"</f>
        <v>산성간 39L9L1R3</v>
      </c>
      <c r="I5034" s="1" t="s">
        <v>15</v>
      </c>
      <c r="J5034" s="1" t="str">
        <f>"34/34"</f>
        <v>34/34</v>
      </c>
      <c r="K5034" s="1" t="str">
        <f>"2026-07-29 14:21:01"</f>
        <v>2026-07-29 14:21:01</v>
      </c>
      <c r="L5034" s="1" t="str">
        <f>"2023-12-18 16:09:43"</f>
        <v>2023-12-18 16:09:43</v>
      </c>
      <c r="M5034" s="1" t="s">
        <v>4</v>
      </c>
      <c r="N5034" s="1" t="s">
        <v>38</v>
      </c>
      <c r="O5034" s="1" t="s">
        <v>46</v>
      </c>
    </row>
    <row r="5035" spans="2:15" x14ac:dyDescent="0.3">
      <c r="B5035" s="1" t="s">
        <v>23</v>
      </c>
      <c r="C5035" s="1" t="str">
        <f t="shared" si="268"/>
        <v>5-2차</v>
      </c>
      <c r="D5035" s="1" t="str">
        <f>"0425D6635M"</f>
        <v>0425D6635M</v>
      </c>
      <c r="E5035" s="1" t="s">
        <v>10</v>
      </c>
      <c r="F5035" s="1" t="str">
        <f>"fde3:102:1440:4700:0:0:0:2a"</f>
        <v>fde3:102:1440:4700:0:0:0:2a</v>
      </c>
      <c r="G5035" s="1" t="str">
        <f>"0425D663"</f>
        <v>0425D663</v>
      </c>
      <c r="H5035" s="1" t="str">
        <f>"산성간 44L10L1"</f>
        <v>산성간 44L10L1</v>
      </c>
      <c r="I5035" s="1" t="s">
        <v>15</v>
      </c>
      <c r="J5035" s="1" t="str">
        <f>"45/45"</f>
        <v>45/45</v>
      </c>
      <c r="K5035" s="1" t="str">
        <f>"2026-07-29 14:21:15"</f>
        <v>2026-07-29 14:21:15</v>
      </c>
      <c r="L5035" s="1" t="str">
        <f>"2023-11-29 15:27:51"</f>
        <v>2023-11-29 15:27:51</v>
      </c>
      <c r="M5035" s="1" t="s">
        <v>45</v>
      </c>
      <c r="N5035" s="1" t="s">
        <v>38</v>
      </c>
      <c r="O5035" s="1" t="s">
        <v>46</v>
      </c>
    </row>
    <row r="5036" spans="2:15" x14ac:dyDescent="0.3">
      <c r="B5036" s="1" t="s">
        <v>23</v>
      </c>
      <c r="C5036" s="1" t="str">
        <f t="shared" si="268"/>
        <v>5-2차</v>
      </c>
      <c r="D5036" s="1" t="str">
        <f>"0425D6915M"</f>
        <v>0425D6915M</v>
      </c>
      <c r="E5036" s="1" t="s">
        <v>10</v>
      </c>
      <c r="F5036" s="1" t="str">
        <f>"fde1:103:4:9398:0:0:0:2"</f>
        <v>fde1:103:4:9398:0:0:0:2</v>
      </c>
      <c r="G5036" s="1" t="str">
        <f>"0425D691"</f>
        <v>0425D691</v>
      </c>
      <c r="H5036" s="1" t="str">
        <f>"대원간 49L6R1"</f>
        <v>대원간 49L6R1</v>
      </c>
      <c r="I5036" s="1" t="s">
        <v>15</v>
      </c>
      <c r="J5036" s="1" t="str">
        <f>"53/53"</f>
        <v>53/53</v>
      </c>
      <c r="K5036" s="1" t="str">
        <f>"2026-07-29 14:21:05"</f>
        <v>2026-07-29 14:21:05</v>
      </c>
      <c r="L5036" s="1" t="str">
        <f>"2023-12-18 16:10:15"</f>
        <v>2023-12-18 16:10:15</v>
      </c>
      <c r="M5036" s="1" t="s">
        <v>4</v>
      </c>
      <c r="N5036" s="1" t="s">
        <v>38</v>
      </c>
      <c r="O5036" s="1" t="s">
        <v>46</v>
      </c>
    </row>
    <row r="5037" spans="2:15" x14ac:dyDescent="0.3">
      <c r="B5037" s="1" t="s">
        <v>23</v>
      </c>
      <c r="C5037" s="1" t="str">
        <f t="shared" si="268"/>
        <v>5-2차</v>
      </c>
      <c r="D5037" s="1" t="str">
        <f>"0425D7115M"</f>
        <v>0425D7115M</v>
      </c>
      <c r="E5037" s="1" t="s">
        <v>10</v>
      </c>
      <c r="F5037" s="1" t="str">
        <f>"fde3:102:1440:4800:0:0:0:c"</f>
        <v>fde3:102:1440:4800:0:0:0:c</v>
      </c>
      <c r="G5037" s="1" t="str">
        <f>"0425D711"</f>
        <v>0425D711</v>
      </c>
      <c r="H5037" s="1" t="str">
        <f>"산성간 39L9L3"</f>
        <v>산성간 39L9L3</v>
      </c>
      <c r="I5037" s="1" t="s">
        <v>15</v>
      </c>
      <c r="J5037" s="1" t="str">
        <f>"57/62"</f>
        <v>57/62</v>
      </c>
      <c r="K5037" s="1" t="str">
        <f>"2026-07-29 14:21:00"</f>
        <v>2026-07-29 14:21:00</v>
      </c>
      <c r="L5037" s="1" t="str">
        <f>"2023-10-16 16:51:42"</f>
        <v>2023-10-16 16:51:42</v>
      </c>
      <c r="M5037" s="1" t="s">
        <v>45</v>
      </c>
      <c r="N5037" s="1" t="s">
        <v>38</v>
      </c>
      <c r="O5037" s="1" t="s">
        <v>46</v>
      </c>
    </row>
    <row r="5038" spans="2:15" x14ac:dyDescent="0.3">
      <c r="B5038" s="1" t="s">
        <v>23</v>
      </c>
      <c r="C5038" s="1" t="str">
        <f t="shared" si="268"/>
        <v>5-2차</v>
      </c>
      <c r="D5038" s="1" t="str">
        <f>"0425D7225M"</f>
        <v>0425D7225M</v>
      </c>
      <c r="E5038" s="1" t="s">
        <v>10</v>
      </c>
      <c r="F5038" s="1" t="str">
        <f>"fde3:102:1440:4800:0:0:0:3"</f>
        <v>fde3:102:1440:4800:0:0:0:3</v>
      </c>
      <c r="G5038" s="1" t="str">
        <f>"0425D722"</f>
        <v>0425D722</v>
      </c>
      <c r="H5038" s="1" t="str">
        <f>"산성간 39L9L1"</f>
        <v>산성간 39L9L1</v>
      </c>
      <c r="I5038" s="1" t="s">
        <v>15</v>
      </c>
      <c r="J5038" s="1" t="str">
        <f>"46/46"</f>
        <v>46/46</v>
      </c>
      <c r="K5038" s="1" t="str">
        <f>"2026-07-29 14:21:00"</f>
        <v>2026-07-29 14:21:00</v>
      </c>
      <c r="L5038" s="1" t="str">
        <f>"2023-10-16 16:54:10"</f>
        <v>2023-10-16 16:54:10</v>
      </c>
      <c r="M5038" s="1" t="s">
        <v>45</v>
      </c>
      <c r="N5038" s="1" t="s">
        <v>38</v>
      </c>
      <c r="O5038" s="1" t="s">
        <v>46</v>
      </c>
    </row>
    <row r="5039" spans="2:15" x14ac:dyDescent="0.3">
      <c r="B5039" s="1" t="s">
        <v>23</v>
      </c>
      <c r="C5039" s="1" t="str">
        <f t="shared" si="268"/>
        <v>5-2차</v>
      </c>
      <c r="D5039" s="1" t="str">
        <f>"0425D7735M"</f>
        <v>0425D7735M</v>
      </c>
      <c r="E5039" s="1" t="s">
        <v>10</v>
      </c>
      <c r="F5039" s="1" t="str">
        <f>"fde3:102:1440:4300:0:0:0:1d"</f>
        <v>fde3:102:1440:4300:0:0:0:1d</v>
      </c>
      <c r="G5039" s="1" t="str">
        <f>"0425D773"</f>
        <v>0425D773</v>
      </c>
      <c r="H5039" s="1" t="str">
        <f>"산성간 44L11"</f>
        <v>산성간 44L11</v>
      </c>
      <c r="I5039" s="1" t="s">
        <v>15</v>
      </c>
      <c r="J5039" s="1" t="str">
        <f>"101/101"</f>
        <v>101/101</v>
      </c>
      <c r="K5039" s="1" t="str">
        <f>"2026-07-29 14:21:00"</f>
        <v>2026-07-29 14:21:00</v>
      </c>
      <c r="L5039" s="1" t="str">
        <f>"2024-01-11 09:38:51"</f>
        <v>2024-01-11 09:38:51</v>
      </c>
      <c r="M5039" s="1" t="s">
        <v>45</v>
      </c>
      <c r="N5039" s="1" t="s">
        <v>38</v>
      </c>
      <c r="O5039" s="1" t="s">
        <v>46</v>
      </c>
    </row>
    <row r="5040" spans="2:15" x14ac:dyDescent="0.3">
      <c r="B5040" s="1" t="s">
        <v>23</v>
      </c>
      <c r="C5040" s="1" t="str">
        <f t="shared" si="268"/>
        <v>5-2차</v>
      </c>
      <c r="D5040" s="1" t="str">
        <f>"0425D8215S"</f>
        <v>0425D8215S</v>
      </c>
      <c r="E5040" s="1" t="s">
        <v>10</v>
      </c>
      <c r="F5040" s="1" t="str">
        <f>"fde3:102:1440:4700:0:0:0:17"</f>
        <v>fde3:102:1440:4700:0:0:0:17</v>
      </c>
      <c r="G5040" s="1" t="str">
        <f>"0425D821"</f>
        <v>0425D821</v>
      </c>
      <c r="H5040" s="1" t="str">
        <f>"산성간 39L6"</f>
        <v>산성간 39L6</v>
      </c>
      <c r="I5040" s="1" t="s">
        <v>15</v>
      </c>
      <c r="J5040" s="1" t="str">
        <f>"61/61"</f>
        <v>61/61</v>
      </c>
      <c r="K5040" s="1" t="str">
        <f>"2026-07-29 14:21:00"</f>
        <v>2026-07-29 14:21:00</v>
      </c>
      <c r="L5040" s="1" t="str">
        <f>"2023-06-17 06:38:33"</f>
        <v>2023-06-17 06:38:33</v>
      </c>
      <c r="M5040" s="1" t="s">
        <v>45</v>
      </c>
      <c r="N5040" s="1" t="s">
        <v>38</v>
      </c>
      <c r="O5040" s="1" t="s">
        <v>46</v>
      </c>
    </row>
    <row r="5041" spans="2:15" x14ac:dyDescent="0.3">
      <c r="B5041" s="1" t="s">
        <v>23</v>
      </c>
      <c r="C5041" s="1" t="str">
        <f t="shared" si="268"/>
        <v>5-2차</v>
      </c>
      <c r="D5041" s="1" t="str">
        <f>"0425D8325M"</f>
        <v>0425D8325M</v>
      </c>
      <c r="E5041" s="1" t="s">
        <v>10</v>
      </c>
      <c r="F5041" s="1" t="str">
        <f>"fde3:102:1440:4800:0:0:0:5"</f>
        <v>fde3:102:1440:4800:0:0:0:5</v>
      </c>
      <c r="G5041" s="1" t="str">
        <f>"0425D832"</f>
        <v>0425D832</v>
      </c>
      <c r="H5041" s="1" t="str">
        <f>"산성간 39L7"</f>
        <v>산성간 39L7</v>
      </c>
      <c r="I5041" s="1" t="s">
        <v>15</v>
      </c>
      <c r="J5041" s="1" t="str">
        <f>"168/169"</f>
        <v>168/169</v>
      </c>
      <c r="K5041" s="1" t="str">
        <f>"2026-07-29 14:21:00"</f>
        <v>2026-07-29 14:21:00</v>
      </c>
      <c r="L5041" s="1" t="str">
        <f>"2023-10-11 12:59:21"</f>
        <v>2023-10-11 12:59:21</v>
      </c>
      <c r="M5041" s="1" t="s">
        <v>45</v>
      </c>
      <c r="N5041" s="1" t="s">
        <v>38</v>
      </c>
      <c r="O5041" s="1" t="s">
        <v>46</v>
      </c>
    </row>
    <row r="5042" spans="2:15" x14ac:dyDescent="0.3">
      <c r="B5042" s="1" t="s">
        <v>23</v>
      </c>
      <c r="C5042" s="1" t="str">
        <f t="shared" si="268"/>
        <v>5-2차</v>
      </c>
      <c r="D5042" s="1" t="str">
        <f>"0425D8525M"</f>
        <v>0425D8525M</v>
      </c>
      <c r="E5042" s="1" t="s">
        <v>10</v>
      </c>
      <c r="F5042" s="1" t="str">
        <f>"fde1:103:4:93ed:0:0:0:2"</f>
        <v>fde1:103:4:93ed:0:0:0:2</v>
      </c>
      <c r="G5042" s="1" t="str">
        <f>"0425D852"</f>
        <v>0425D852</v>
      </c>
      <c r="H5042" s="1" t="str">
        <f>"산성간 39L8R3"</f>
        <v>산성간 39L8R3</v>
      </c>
      <c r="I5042" s="1" t="s">
        <v>15</v>
      </c>
      <c r="J5042" s="1" t="str">
        <f>"78/78"</f>
        <v>78/78</v>
      </c>
      <c r="K5042" s="1" t="str">
        <f>"2026-07-29 14:21:15"</f>
        <v>2026-07-29 14:21:15</v>
      </c>
      <c r="L5042" s="1" t="str">
        <f>"2023-12-18 16:10:40"</f>
        <v>2023-12-18 16:10:40</v>
      </c>
      <c r="M5042" s="1" t="s">
        <v>4</v>
      </c>
      <c r="N5042" s="1" t="s">
        <v>38</v>
      </c>
      <c r="O5042" s="1" t="s">
        <v>46</v>
      </c>
    </row>
    <row r="5043" spans="2:15" x14ac:dyDescent="0.3">
      <c r="B5043" s="1" t="s">
        <v>23</v>
      </c>
      <c r="C5043" s="1" t="str">
        <f t="shared" si="268"/>
        <v>5-2차</v>
      </c>
      <c r="D5043" s="1" t="str">
        <f>"0425D8625M"</f>
        <v>0425D8625M</v>
      </c>
      <c r="E5043" s="1" t="s">
        <v>10</v>
      </c>
      <c r="F5043" s="1" t="str">
        <f>"fde3:102:1440:4700:0:0:0:2d"</f>
        <v>fde3:102:1440:4700:0:0:0:2d</v>
      </c>
      <c r="G5043" s="1" t="str">
        <f>"0425D862"</f>
        <v>0425D862</v>
      </c>
      <c r="H5043" s="1" t="str">
        <f>"산성간 44L8"</f>
        <v>산성간 44L8</v>
      </c>
      <c r="I5043" s="1" t="s">
        <v>15</v>
      </c>
      <c r="J5043" s="1" t="str">
        <f>"131/132"</f>
        <v>131/132</v>
      </c>
      <c r="K5043" s="1" t="str">
        <f>"2026-07-29 14:21:14"</f>
        <v>2026-07-29 14:21:14</v>
      </c>
      <c r="L5043" s="1" t="str">
        <f>"2023-11-29 15:55:40"</f>
        <v>2023-11-29 15:55:40</v>
      </c>
      <c r="M5043" s="1" t="s">
        <v>45</v>
      </c>
      <c r="N5043" s="1" t="s">
        <v>38</v>
      </c>
      <c r="O5043" s="1" t="s">
        <v>46</v>
      </c>
    </row>
    <row r="5044" spans="2:15" x14ac:dyDescent="0.3">
      <c r="B5044" s="1" t="s">
        <v>23</v>
      </c>
      <c r="C5044" s="1" t="str">
        <f t="shared" si="268"/>
        <v>5-2차</v>
      </c>
      <c r="D5044" s="1" t="str">
        <f>"0425D8815M"</f>
        <v>0425D8815M</v>
      </c>
      <c r="E5044" s="1" t="s">
        <v>10</v>
      </c>
      <c r="F5044" s="1" t="str">
        <f>"fde1:103:4:939e:0:0:0:2"</f>
        <v>fde1:103:4:939e:0:0:0:2</v>
      </c>
      <c r="G5044" s="1" t="str">
        <f>"0425D881"</f>
        <v>0425D881</v>
      </c>
      <c r="H5044" s="1" t="str">
        <f>"대원간 49L8"</f>
        <v>대원간 49L8</v>
      </c>
      <c r="I5044" s="1" t="s">
        <v>15</v>
      </c>
      <c r="J5044" s="1" t="str">
        <f>"66/66"</f>
        <v>66/66</v>
      </c>
      <c r="K5044" s="1" t="str">
        <f>"2026-07-29 14:21:01"</f>
        <v>2026-07-29 14:21:01</v>
      </c>
      <c r="L5044" s="1" t="str">
        <f>"2023-12-18 16:11:16"</f>
        <v>2023-12-18 16:11:16</v>
      </c>
      <c r="M5044" s="1" t="s">
        <v>4</v>
      </c>
      <c r="N5044" s="1" t="s">
        <v>38</v>
      </c>
      <c r="O5044" s="1" t="s">
        <v>46</v>
      </c>
    </row>
    <row r="5045" spans="2:15" x14ac:dyDescent="0.3">
      <c r="B5045" s="1" t="s">
        <v>23</v>
      </c>
      <c r="C5045" s="1" t="str">
        <f>"1차"</f>
        <v>1차</v>
      </c>
      <c r="D5045" s="1" t="str">
        <f>"0425D91201"</f>
        <v>0425D91201</v>
      </c>
      <c r="E5045" s="1" t="s">
        <v>10</v>
      </c>
      <c r="F5045" s="1" t="str">
        <f>"10.125.4.99"</f>
        <v>10.125.4.99</v>
      </c>
      <c r="G5045" s="1" t="str">
        <f>"0425D912"</f>
        <v>0425D912</v>
      </c>
      <c r="H5045" s="1" t="str">
        <f>"산성간 39L4"</f>
        <v>산성간 39L4</v>
      </c>
      <c r="I5045" s="1" t="s">
        <v>8</v>
      </c>
      <c r="J5045" s="1" t="str">
        <f>"44/50"</f>
        <v>44/50</v>
      </c>
      <c r="K5045" s="1" t="str">
        <f>"2026-07-28 18:22:27"</f>
        <v>2026-07-28 18:22:27</v>
      </c>
      <c r="L5045" s="1" t="str">
        <f>"2014-12-13 00:13:49"</f>
        <v>2014-12-13 00:13:49</v>
      </c>
      <c r="M5045" s="1" t="s">
        <v>45</v>
      </c>
      <c r="N5045" s="1" t="s">
        <v>38</v>
      </c>
      <c r="O5045" s="1" t="s">
        <v>46</v>
      </c>
    </row>
    <row r="5046" spans="2:15" x14ac:dyDescent="0.3">
      <c r="B5046" s="1" t="s">
        <v>23</v>
      </c>
      <c r="C5046" s="1" t="str">
        <f>"1차"</f>
        <v>1차</v>
      </c>
      <c r="D5046" s="1" t="str">
        <f>"0425D91301"</f>
        <v>0425D91301</v>
      </c>
      <c r="E5046" s="1" t="s">
        <v>10</v>
      </c>
      <c r="F5046" s="1" t="str">
        <f>"10.125.3.243"</f>
        <v>10.125.3.243</v>
      </c>
      <c r="G5046" s="1" t="str">
        <f>"0425D913"</f>
        <v>0425D913</v>
      </c>
      <c r="H5046" s="1" t="str">
        <f>"산성간 44L2L5"</f>
        <v>산성간 44L2L5</v>
      </c>
      <c r="I5046" s="1" t="s">
        <v>8</v>
      </c>
      <c r="J5046" s="1" t="str">
        <f>"7/7"</f>
        <v>7/7</v>
      </c>
      <c r="K5046" s="1" t="str">
        <f>"2026-07-29 13:18:03"</f>
        <v>2026-07-29 13:18:03</v>
      </c>
      <c r="L5046" s="1" t="str">
        <f>"2014-12-17 09:58:06"</f>
        <v>2014-12-17 09:58:06</v>
      </c>
      <c r="M5046" s="1" t="s">
        <v>45</v>
      </c>
      <c r="N5046" s="1" t="s">
        <v>38</v>
      </c>
      <c r="O5046" s="1" t="s">
        <v>46</v>
      </c>
    </row>
    <row r="5047" spans="2:15" x14ac:dyDescent="0.3">
      <c r="B5047" s="1" t="s">
        <v>23</v>
      </c>
      <c r="C5047" s="1" t="str">
        <f>"5-2차"</f>
        <v>5-2차</v>
      </c>
      <c r="D5047" s="1" t="str">
        <f>"0425D9715M"</f>
        <v>0425D9715M</v>
      </c>
      <c r="E5047" s="1" t="s">
        <v>10</v>
      </c>
      <c r="F5047" s="1" t="str">
        <f>"fde3:102:1440:4700:0:0:0:2e"</f>
        <v>fde3:102:1440:4700:0:0:0:2e</v>
      </c>
      <c r="G5047" s="1" t="str">
        <f>"0425D971"</f>
        <v>0425D971</v>
      </c>
      <c r="H5047" s="1" t="str">
        <f>"대원간 49L10"</f>
        <v>대원간 49L10</v>
      </c>
      <c r="I5047" s="1" t="s">
        <v>15</v>
      </c>
      <c r="J5047" s="1" t="str">
        <f>"98/99"</f>
        <v>98/99</v>
      </c>
      <c r="K5047" s="1" t="str">
        <f>"2026-07-29 14:21:14"</f>
        <v>2026-07-29 14:21:14</v>
      </c>
      <c r="L5047" s="1" t="str">
        <f>"2023-11-27 16:19:24"</f>
        <v>2023-11-27 16:19:24</v>
      </c>
      <c r="M5047" s="1" t="s">
        <v>45</v>
      </c>
      <c r="N5047" s="1" t="s">
        <v>38</v>
      </c>
      <c r="O5047" s="1" t="s">
        <v>46</v>
      </c>
    </row>
    <row r="5048" spans="2:15" x14ac:dyDescent="0.3">
      <c r="B5048" s="1" t="s">
        <v>23</v>
      </c>
      <c r="C5048" s="1" t="str">
        <f>"5-2차"</f>
        <v>5-2차</v>
      </c>
      <c r="D5048" s="1" t="str">
        <f>"0425E0125M"</f>
        <v>0425E0125M</v>
      </c>
      <c r="E5048" s="1" t="s">
        <v>10</v>
      </c>
      <c r="F5048" s="1" t="str">
        <f>"fde3:102:1440:4300:0:0:0:16"</f>
        <v>fde3:102:1440:4300:0:0:0:16</v>
      </c>
      <c r="G5048" s="1" t="str">
        <f>"0425E012"</f>
        <v>0425E012</v>
      </c>
      <c r="H5048" s="1" t="str">
        <f>"고랑지 11R7"</f>
        <v>고랑지 11R7</v>
      </c>
      <c r="I5048" s="1" t="s">
        <v>15</v>
      </c>
      <c r="J5048" s="1" t="str">
        <f>"62/62"</f>
        <v>62/62</v>
      </c>
      <c r="K5048" s="1" t="str">
        <f>"2026-07-29 14:21:15"</f>
        <v>2026-07-29 14:21:15</v>
      </c>
      <c r="L5048" s="1" t="str">
        <f>"2023-10-16 15:39:19"</f>
        <v>2023-10-16 15:39:19</v>
      </c>
      <c r="M5048" s="1" t="s">
        <v>45</v>
      </c>
      <c r="N5048" s="1" t="s">
        <v>38</v>
      </c>
      <c r="O5048" s="1" t="s">
        <v>46</v>
      </c>
    </row>
    <row r="5049" spans="2:15" x14ac:dyDescent="0.3">
      <c r="B5049" s="1" t="s">
        <v>23</v>
      </c>
      <c r="C5049" s="1" t="str">
        <f>"5-1차"</f>
        <v>5-1차</v>
      </c>
      <c r="D5049" s="1" t="str">
        <f>"0425E0215S"</f>
        <v>0425E0215S</v>
      </c>
      <c r="E5049" s="1" t="s">
        <v>10</v>
      </c>
      <c r="F5049" s="1" t="str">
        <f>"fde2:104:0:1b4:0:0:0:2"</f>
        <v>fde2:104:0:1b4:0:0:0:2</v>
      </c>
      <c r="G5049" s="1" t="str">
        <f>"0425E021"</f>
        <v>0425E021</v>
      </c>
      <c r="H5049" s="1" t="str">
        <f>"고랑지 6R2L3L1"</f>
        <v>고랑지 6R2L3L1</v>
      </c>
      <c r="I5049" s="1" t="s">
        <v>15</v>
      </c>
      <c r="J5049" s="1" t="str">
        <f>"77/79"</f>
        <v>77/79</v>
      </c>
      <c r="K5049" s="1" t="str">
        <f>"2026-07-29 14:20:27"</f>
        <v>2026-07-29 14:20:27</v>
      </c>
      <c r="L5049" s="1" t="str">
        <f>"2022-11-23 09:35:12"</f>
        <v>2022-11-23 09:35:12</v>
      </c>
      <c r="M5049" s="1" t="s">
        <v>42</v>
      </c>
      <c r="N5049" s="1" t="s">
        <v>38</v>
      </c>
      <c r="O5049" s="1" t="s">
        <v>46</v>
      </c>
    </row>
    <row r="5050" spans="2:15" x14ac:dyDescent="0.3">
      <c r="B5050" s="1" t="s">
        <v>23</v>
      </c>
      <c r="C5050" s="1" t="str">
        <f>"5-2차"</f>
        <v>5-2차</v>
      </c>
      <c r="D5050" s="1" t="str">
        <f>"0425E0315M"</f>
        <v>0425E0315M</v>
      </c>
      <c r="E5050" s="1" t="s">
        <v>10</v>
      </c>
      <c r="F5050" s="1" t="str">
        <f>"fde3:102:1440:4600:0:0:0:10"</f>
        <v>fde3:102:1440:4600:0:0:0:10</v>
      </c>
      <c r="G5050" s="1" t="str">
        <f>"0425E031"</f>
        <v>0425E031</v>
      </c>
      <c r="H5050" s="1" t="str">
        <f>"고랑지 11R2"</f>
        <v>고랑지 11R2</v>
      </c>
      <c r="I5050" s="1" t="s">
        <v>15</v>
      </c>
      <c r="J5050" s="1" t="str">
        <f>"53/53"</f>
        <v>53/53</v>
      </c>
      <c r="K5050" s="1" t="str">
        <f>"2026-07-29 14:21:15"</f>
        <v>2026-07-29 14:21:15</v>
      </c>
      <c r="L5050" s="1" t="str">
        <f>"2023-11-29 16:05:50"</f>
        <v>2023-11-29 16:05:50</v>
      </c>
      <c r="M5050" s="1" t="s">
        <v>45</v>
      </c>
      <c r="N5050" s="1" t="s">
        <v>38</v>
      </c>
      <c r="O5050" s="1" t="s">
        <v>46</v>
      </c>
    </row>
    <row r="5051" spans="2:15" x14ac:dyDescent="0.3">
      <c r="B5051" s="1" t="s">
        <v>23</v>
      </c>
      <c r="C5051" s="1" t="str">
        <f>"5-2차"</f>
        <v>5-2차</v>
      </c>
      <c r="D5051" s="1" t="str">
        <f>"0425E0425M"</f>
        <v>0425E0425M</v>
      </c>
      <c r="E5051" s="1" t="s">
        <v>10</v>
      </c>
      <c r="F5051" s="1" t="str">
        <f>"fde3:102:1440:4600:0:0:0:11"</f>
        <v>fde3:102:1440:4600:0:0:0:11</v>
      </c>
      <c r="G5051" s="1" t="str">
        <f>"0425E042"</f>
        <v>0425E042</v>
      </c>
      <c r="H5051" s="1" t="str">
        <f>"고랑지 12L2"</f>
        <v>고랑지 12L2</v>
      </c>
      <c r="I5051" s="1" t="s">
        <v>15</v>
      </c>
      <c r="J5051" s="1" t="str">
        <f>"84/84"</f>
        <v>84/84</v>
      </c>
      <c r="K5051" s="1" t="str">
        <f>"2026-07-29 14:21:15"</f>
        <v>2026-07-29 14:21:15</v>
      </c>
      <c r="L5051" s="1" t="str">
        <f>"2023-11-29 17:12:43"</f>
        <v>2023-11-29 17:12:43</v>
      </c>
      <c r="M5051" s="1" t="s">
        <v>45</v>
      </c>
      <c r="N5051" s="1" t="s">
        <v>38</v>
      </c>
      <c r="O5051" s="1" t="s">
        <v>46</v>
      </c>
    </row>
    <row r="5052" spans="2:15" x14ac:dyDescent="0.3">
      <c r="B5052" s="1" t="s">
        <v>23</v>
      </c>
      <c r="C5052" s="1" t="str">
        <f>"5-1차"</f>
        <v>5-1차</v>
      </c>
      <c r="D5052" s="1" t="str">
        <f>"0425E0535M"</f>
        <v>0425E0535M</v>
      </c>
      <c r="E5052" s="1" t="s">
        <v>10</v>
      </c>
      <c r="F5052" s="1" t="str">
        <f>"fde2:104:0:181:0:0:0:2"</f>
        <v>fde2:104:0:181:0:0:0:2</v>
      </c>
      <c r="G5052" s="1" t="str">
        <f>"0425E053"</f>
        <v>0425E053</v>
      </c>
      <c r="H5052" s="1" t="str">
        <f>"고랑지 12L6"</f>
        <v>고랑지 12L6</v>
      </c>
      <c r="I5052" s="1" t="s">
        <v>15</v>
      </c>
      <c r="J5052" s="1" t="str">
        <f>"79/80"</f>
        <v>79/80</v>
      </c>
      <c r="K5052" s="1" t="str">
        <f>"2026-07-29 14:20:28"</f>
        <v>2026-07-29 14:20:28</v>
      </c>
      <c r="L5052" s="1" t="str">
        <f>"2022-11-16 10:40:20"</f>
        <v>2022-11-16 10:40:20</v>
      </c>
      <c r="M5052" s="1" t="s">
        <v>42</v>
      </c>
      <c r="N5052" s="1" t="s">
        <v>38</v>
      </c>
      <c r="O5052" s="1" t="s">
        <v>46</v>
      </c>
    </row>
    <row r="5053" spans="2:15" x14ac:dyDescent="0.3">
      <c r="B5053" s="1" t="s">
        <v>23</v>
      </c>
      <c r="C5053" s="1" t="str">
        <f>"5-2차"</f>
        <v>5-2차</v>
      </c>
      <c r="D5053" s="1" t="str">
        <f>"0425E1215S"</f>
        <v>0425E1215S</v>
      </c>
      <c r="E5053" s="1" t="s">
        <v>10</v>
      </c>
      <c r="F5053" s="1" t="str">
        <f>"fde3:102:1440:4300:0:0:0:1c"</f>
        <v>fde3:102:1440:4300:0:0:0:1c</v>
      </c>
      <c r="G5053" s="1" t="str">
        <f>"0425E121"</f>
        <v>0425E121</v>
      </c>
      <c r="H5053" s="1" t="str">
        <f>"고랑지 11R4"</f>
        <v>고랑지 11R4</v>
      </c>
      <c r="I5053" s="1" t="s">
        <v>15</v>
      </c>
      <c r="J5053" s="1" t="str">
        <f>"61/61"</f>
        <v>61/61</v>
      </c>
      <c r="K5053" s="1" t="str">
        <f>"2026-07-29 14:21:15"</f>
        <v>2026-07-29 14:21:15</v>
      </c>
      <c r="L5053" s="1" t="str">
        <f>"2023-12-04 14:37:10"</f>
        <v>2023-12-04 14:37:10</v>
      </c>
      <c r="M5053" s="1" t="s">
        <v>45</v>
      </c>
      <c r="N5053" s="1" t="s">
        <v>38</v>
      </c>
      <c r="O5053" s="1" t="s">
        <v>46</v>
      </c>
    </row>
    <row r="5054" spans="2:15" x14ac:dyDescent="0.3">
      <c r="B5054" s="1" t="s">
        <v>23</v>
      </c>
      <c r="C5054" s="1" t="str">
        <f>"5-2차"</f>
        <v>5-2차</v>
      </c>
      <c r="D5054" s="1" t="str">
        <f>"0425E1425M"</f>
        <v>0425E1425M</v>
      </c>
      <c r="E5054" s="1" t="s">
        <v>10</v>
      </c>
      <c r="F5054" s="1" t="str">
        <f>"fde3:102:1440:4100:0:0:0:13"</f>
        <v>fde3:102:1440:4100:0:0:0:13</v>
      </c>
      <c r="G5054" s="1" t="str">
        <f>"0425E142"</f>
        <v>0425E142</v>
      </c>
      <c r="H5054" s="1" t="str">
        <f>"고랑지 13"</f>
        <v>고랑지 13</v>
      </c>
      <c r="I5054" s="1" t="s">
        <v>15</v>
      </c>
      <c r="J5054" s="1" t="str">
        <f>"32/32"</f>
        <v>32/32</v>
      </c>
      <c r="K5054" s="1" t="str">
        <f>"2026-07-29 14:21:16"</f>
        <v>2026-07-29 14:21:16</v>
      </c>
      <c r="L5054" s="1" t="str">
        <f>"2023-11-29 13:11:27"</f>
        <v>2023-11-29 13:11:27</v>
      </c>
      <c r="M5054" s="1" t="s">
        <v>45</v>
      </c>
      <c r="N5054" s="1" t="s">
        <v>38</v>
      </c>
      <c r="O5054" s="1" t="s">
        <v>46</v>
      </c>
    </row>
    <row r="5055" spans="2:15" x14ac:dyDescent="0.3">
      <c r="B5055" s="1" t="s">
        <v>23</v>
      </c>
      <c r="C5055" s="1" t="str">
        <f>"5-2차"</f>
        <v>5-2차</v>
      </c>
      <c r="D5055" s="1" t="str">
        <f>"0425E1615M"</f>
        <v>0425E1615M</v>
      </c>
      <c r="E5055" s="1" t="s">
        <v>10</v>
      </c>
      <c r="F5055" s="1" t="str">
        <f>"fde3:102:1440:4100:0:0:0:10"</f>
        <v>fde3:102:1440:4100:0:0:0:10</v>
      </c>
      <c r="G5055" s="1" t="str">
        <f>"0425E161"</f>
        <v>0425E161</v>
      </c>
      <c r="H5055" s="1" t="str">
        <f>"대원간 37L4L10"</f>
        <v>대원간 37L4L10</v>
      </c>
      <c r="I5055" s="1" t="s">
        <v>15</v>
      </c>
      <c r="J5055" s="1" t="str">
        <f>"59/61"</f>
        <v>59/61</v>
      </c>
      <c r="K5055" s="1" t="str">
        <f>"2026-07-29 14:20:47"</f>
        <v>2026-07-29 14:20:47</v>
      </c>
      <c r="L5055" s="1" t="str">
        <f>"2023-10-16 15:42:40"</f>
        <v>2023-10-16 15:42:40</v>
      </c>
      <c r="M5055" s="1" t="s">
        <v>45</v>
      </c>
      <c r="N5055" s="1" t="s">
        <v>38</v>
      </c>
      <c r="O5055" s="1" t="s">
        <v>46</v>
      </c>
    </row>
    <row r="5056" spans="2:15" x14ac:dyDescent="0.3">
      <c r="B5056" s="1" t="s">
        <v>23</v>
      </c>
      <c r="C5056" s="1" t="str">
        <f>"5-2차"</f>
        <v>5-2차</v>
      </c>
      <c r="D5056" s="1" t="str">
        <f>"0425E2015S"</f>
        <v>0425E2015S</v>
      </c>
      <c r="E5056" s="1" t="s">
        <v>10</v>
      </c>
      <c r="F5056" s="1" t="str">
        <f>"fde3:102:1440:4800:0:0:0:1d"</f>
        <v>fde3:102:1440:4800:0:0:0:1d</v>
      </c>
      <c r="G5056" s="1" t="str">
        <f>"0425E201"</f>
        <v>0425E201</v>
      </c>
      <c r="H5056" s="1" t="str">
        <f>"고랑지 15R10"</f>
        <v>고랑지 15R10</v>
      </c>
      <c r="I5056" s="1" t="s">
        <v>15</v>
      </c>
      <c r="J5056" s="1" t="str">
        <f>"72/72"</f>
        <v>72/72</v>
      </c>
      <c r="K5056" s="1" t="str">
        <f>"2026-07-29 14:20:27"</f>
        <v>2026-07-29 14:20:27</v>
      </c>
      <c r="L5056" s="1" t="str">
        <f>"2023-06-17 08:12:39"</f>
        <v>2023-06-17 08:12:39</v>
      </c>
      <c r="M5056" s="1" t="s">
        <v>45</v>
      </c>
      <c r="N5056" s="1" t="s">
        <v>38</v>
      </c>
      <c r="O5056" s="1" t="s">
        <v>46</v>
      </c>
    </row>
    <row r="5057" spans="2:15" x14ac:dyDescent="0.3">
      <c r="B5057" s="1" t="s">
        <v>23</v>
      </c>
      <c r="C5057" s="1" t="str">
        <f>"6차"</f>
        <v>6차</v>
      </c>
      <c r="D5057" s="1" t="str">
        <f>"0425E2026S"</f>
        <v>0425E2026S</v>
      </c>
      <c r="E5057" s="1" t="s">
        <v>10</v>
      </c>
      <c r="F5057" s="1" t="str">
        <f>"fde1:103:4:c606:0:0:0:2"</f>
        <v>fde1:103:4:c606:0:0:0:2</v>
      </c>
      <c r="G5057" s="1" t="str">
        <f>"0425E202"</f>
        <v>0425E202</v>
      </c>
      <c r="H5057" s="1" t="str">
        <f>"고랑지 15R11"</f>
        <v>고랑지 15R11</v>
      </c>
      <c r="I5057" s="1" t="s">
        <v>15</v>
      </c>
      <c r="J5057" s="1" t="str">
        <f>"63/63"</f>
        <v>63/63</v>
      </c>
      <c r="K5057" s="1" t="str">
        <f>"2026-07-29 14:21:16"</f>
        <v>2026-07-29 14:21:16</v>
      </c>
      <c r="L5057" s="1" t="str">
        <f>"2024-12-10 15:44:33"</f>
        <v>2024-12-10 15:44:33</v>
      </c>
      <c r="M5057" s="1" t="s">
        <v>4</v>
      </c>
      <c r="N5057" s="1" t="s">
        <v>38</v>
      </c>
      <c r="O5057" s="1" t="s">
        <v>46</v>
      </c>
    </row>
    <row r="5058" spans="2:15" x14ac:dyDescent="0.3">
      <c r="B5058" s="1" t="s">
        <v>23</v>
      </c>
      <c r="C5058" s="1" t="str">
        <f t="shared" ref="C5058:C5064" si="269">"5-2차"</f>
        <v>5-2차</v>
      </c>
      <c r="D5058" s="1" t="str">
        <f>"0425E2115M"</f>
        <v>0425E2115M</v>
      </c>
      <c r="E5058" s="1" t="s">
        <v>10</v>
      </c>
      <c r="F5058" s="1" t="str">
        <f>"fde3:102:1440:4800:0:0:0:6"</f>
        <v>fde3:102:1440:4800:0:0:0:6</v>
      </c>
      <c r="G5058" s="1" t="str">
        <f>"0425E211"</f>
        <v>0425E211</v>
      </c>
      <c r="H5058" s="1" t="str">
        <f>"고랑지 15R5R2"</f>
        <v>고랑지 15R5R2</v>
      </c>
      <c r="I5058" s="1" t="s">
        <v>15</v>
      </c>
      <c r="J5058" s="1" t="str">
        <f>"121/121"</f>
        <v>121/121</v>
      </c>
      <c r="K5058" s="1" t="str">
        <f>"2026-07-29 14:21:16"</f>
        <v>2026-07-29 14:21:16</v>
      </c>
      <c r="L5058" s="1" t="str">
        <f>"2024-01-29 15:13:45"</f>
        <v>2024-01-29 15:13:45</v>
      </c>
      <c r="M5058" s="1" t="s">
        <v>45</v>
      </c>
      <c r="N5058" s="1" t="s">
        <v>38</v>
      </c>
      <c r="O5058" s="1" t="s">
        <v>46</v>
      </c>
    </row>
    <row r="5059" spans="2:15" x14ac:dyDescent="0.3">
      <c r="B5059" s="1" t="s">
        <v>23</v>
      </c>
      <c r="C5059" s="1" t="str">
        <f t="shared" si="269"/>
        <v>5-2차</v>
      </c>
      <c r="D5059" s="1" t="str">
        <f>"0425E2345M"</f>
        <v>0425E2345M</v>
      </c>
      <c r="E5059" s="1" t="s">
        <v>10</v>
      </c>
      <c r="F5059" s="1" t="str">
        <f>"fde3:102:1440:4800:0:0:0:13"</f>
        <v>fde3:102:1440:4800:0:0:0:13</v>
      </c>
      <c r="G5059" s="1" t="str">
        <f>"0425E234"</f>
        <v>0425E234</v>
      </c>
      <c r="H5059" s="1" t="str">
        <f>"고랑지 15R4"</f>
        <v>고랑지 15R4</v>
      </c>
      <c r="I5059" s="1" t="s">
        <v>15</v>
      </c>
      <c r="J5059" s="1" t="str">
        <f>"103/103"</f>
        <v>103/103</v>
      </c>
      <c r="K5059" s="1" t="str">
        <f>"2026-07-29 14:20:47"</f>
        <v>2026-07-29 14:20:47</v>
      </c>
      <c r="L5059" s="1" t="str">
        <f>"2023-10-16 16:26:36"</f>
        <v>2023-10-16 16:26:36</v>
      </c>
      <c r="M5059" s="1" t="s">
        <v>45</v>
      </c>
      <c r="N5059" s="1" t="s">
        <v>38</v>
      </c>
      <c r="O5059" s="1" t="s">
        <v>46</v>
      </c>
    </row>
    <row r="5060" spans="2:15" x14ac:dyDescent="0.3">
      <c r="B5060" s="1" t="s">
        <v>23</v>
      </c>
      <c r="C5060" s="1" t="str">
        <f t="shared" si="269"/>
        <v>5-2차</v>
      </c>
      <c r="D5060" s="1" t="str">
        <f>"0425E3135S"</f>
        <v>0425E3135S</v>
      </c>
      <c r="E5060" s="1" t="s">
        <v>10</v>
      </c>
      <c r="F5060" s="1" t="str">
        <f>"fde3:102:1440:4800:0:0:0:18"</f>
        <v>fde3:102:1440:4800:0:0:0:18</v>
      </c>
      <c r="G5060" s="1" t="str">
        <f>"0425E313"</f>
        <v>0425E313</v>
      </c>
      <c r="H5060" s="1" t="str">
        <f>"고랑지 15R9"</f>
        <v>고랑지 15R9</v>
      </c>
      <c r="I5060" s="1" t="s">
        <v>15</v>
      </c>
      <c r="J5060" s="1" t="str">
        <f>"61/61"</f>
        <v>61/61</v>
      </c>
      <c r="K5060" s="1" t="str">
        <f>"2026-07-29 14:21:16"</f>
        <v>2026-07-29 14:21:16</v>
      </c>
      <c r="L5060" s="1" t="str">
        <f>"2023-06-17 07:08:03"</f>
        <v>2023-06-17 07:08:03</v>
      </c>
      <c r="M5060" s="1" t="s">
        <v>45</v>
      </c>
      <c r="N5060" s="1" t="s">
        <v>38</v>
      </c>
      <c r="O5060" s="1" t="s">
        <v>46</v>
      </c>
    </row>
    <row r="5061" spans="2:15" x14ac:dyDescent="0.3">
      <c r="B5061" s="1" t="s">
        <v>23</v>
      </c>
      <c r="C5061" s="1" t="str">
        <f t="shared" si="269"/>
        <v>5-2차</v>
      </c>
      <c r="D5061" s="1" t="str">
        <f>"0425E3215S"</f>
        <v>0425E3215S</v>
      </c>
      <c r="E5061" s="1" t="s">
        <v>10</v>
      </c>
      <c r="F5061" s="1" t="str">
        <f>"fde3:102:1440:4800:0:0:0:14"</f>
        <v>fde3:102:1440:4800:0:0:0:14</v>
      </c>
      <c r="G5061" s="1" t="str">
        <f>"0425E321"</f>
        <v>0425E321</v>
      </c>
      <c r="H5061" s="1" t="str">
        <f>"고랑지 15R6"</f>
        <v>고랑지 15R6</v>
      </c>
      <c r="I5061" s="1" t="s">
        <v>15</v>
      </c>
      <c r="J5061" s="1" t="str">
        <f>"83/83"</f>
        <v>83/83</v>
      </c>
      <c r="K5061" s="1" t="str">
        <f>"2026-07-29 14:21:16"</f>
        <v>2026-07-29 14:21:16</v>
      </c>
      <c r="L5061" s="1" t="str">
        <f>"2023-06-17 07:50:08"</f>
        <v>2023-06-17 07:50:08</v>
      </c>
      <c r="M5061" s="1" t="s">
        <v>45</v>
      </c>
      <c r="N5061" s="1" t="s">
        <v>38</v>
      </c>
      <c r="O5061" s="1" t="s">
        <v>46</v>
      </c>
    </row>
    <row r="5062" spans="2:15" x14ac:dyDescent="0.3">
      <c r="B5062" s="1" t="s">
        <v>23</v>
      </c>
      <c r="C5062" s="1" t="str">
        <f t="shared" si="269"/>
        <v>5-2차</v>
      </c>
      <c r="D5062" s="1" t="str">
        <f>"0425E3315M"</f>
        <v>0425E3315M</v>
      </c>
      <c r="E5062" s="1" t="s">
        <v>10</v>
      </c>
      <c r="F5062" s="1" t="str">
        <f>"fde3:102:1440:4800:0:0:0:12"</f>
        <v>fde3:102:1440:4800:0:0:0:12</v>
      </c>
      <c r="G5062" s="1" t="str">
        <f>"0425E331"</f>
        <v>0425E331</v>
      </c>
      <c r="H5062" s="1" t="str">
        <f>"고랑지 15R2"</f>
        <v>고랑지 15R2</v>
      </c>
      <c r="I5062" s="1" t="s">
        <v>15</v>
      </c>
      <c r="J5062" s="1" t="str">
        <f>"46/46"</f>
        <v>46/46</v>
      </c>
      <c r="K5062" s="1" t="str">
        <f>"2026-07-29 14:21:16"</f>
        <v>2026-07-29 14:21:16</v>
      </c>
      <c r="L5062" s="1" t="str">
        <f>"2023-06-26 15:36:21"</f>
        <v>2023-06-26 15:36:21</v>
      </c>
      <c r="M5062" s="1" t="s">
        <v>45</v>
      </c>
      <c r="N5062" s="1" t="s">
        <v>38</v>
      </c>
      <c r="O5062" s="1" t="s">
        <v>46</v>
      </c>
    </row>
    <row r="5063" spans="2:15" x14ac:dyDescent="0.3">
      <c r="B5063" s="1" t="s">
        <v>23</v>
      </c>
      <c r="C5063" s="1" t="str">
        <f t="shared" si="269"/>
        <v>5-2차</v>
      </c>
      <c r="D5063" s="1" t="str">
        <f>"0425E4025S"</f>
        <v>0425E4025S</v>
      </c>
      <c r="E5063" s="1" t="s">
        <v>10</v>
      </c>
      <c r="F5063" s="1" t="str">
        <f>"fde3:102:1440:4800:0:0:0:17"</f>
        <v>fde3:102:1440:4800:0:0:0:17</v>
      </c>
      <c r="G5063" s="1" t="str">
        <f>"0425E402"</f>
        <v>0425E402</v>
      </c>
      <c r="H5063" s="1" t="str">
        <f>"고랑지 15R7L2"</f>
        <v>고랑지 15R7L2</v>
      </c>
      <c r="I5063" s="1" t="s">
        <v>15</v>
      </c>
      <c r="J5063" s="1" t="str">
        <f>"15/15"</f>
        <v>15/15</v>
      </c>
      <c r="K5063" s="1" t="str">
        <f>"2026-07-29 14:20:33"</f>
        <v>2026-07-29 14:20:33</v>
      </c>
      <c r="L5063" s="1" t="str">
        <f>"2023-09-26 16:02:49"</f>
        <v>2023-09-26 16:02:49</v>
      </c>
      <c r="M5063" s="1" t="s">
        <v>45</v>
      </c>
      <c r="N5063" s="1" t="s">
        <v>38</v>
      </c>
      <c r="O5063" s="1" t="s">
        <v>46</v>
      </c>
    </row>
    <row r="5064" spans="2:15" x14ac:dyDescent="0.3">
      <c r="B5064" s="1" t="s">
        <v>23</v>
      </c>
      <c r="C5064" s="1" t="str">
        <f t="shared" si="269"/>
        <v>5-2차</v>
      </c>
      <c r="D5064" s="1" t="str">
        <f>"0425E4325S"</f>
        <v>0425E4325S</v>
      </c>
      <c r="E5064" s="1" t="s">
        <v>10</v>
      </c>
      <c r="F5064" s="1" t="str">
        <f>"fde3:102:1440:4700:0:0:0:15"</f>
        <v>fde3:102:1440:4700:0:0:0:15</v>
      </c>
      <c r="G5064" s="1" t="str">
        <f>"0425E432"</f>
        <v>0425E432</v>
      </c>
      <c r="H5064" s="1" t="str">
        <f>"고랑지 15R2L3"</f>
        <v>고랑지 15R2L3</v>
      </c>
      <c r="I5064" s="1" t="s">
        <v>15</v>
      </c>
      <c r="J5064" s="1" t="str">
        <f>"22/22"</f>
        <v>22/22</v>
      </c>
      <c r="K5064" s="1" t="str">
        <f>"2026-07-29 14:21:16"</f>
        <v>2026-07-29 14:21:16</v>
      </c>
      <c r="L5064" s="1" t="str">
        <f>"2023-09-22 13:42:55"</f>
        <v>2023-09-22 13:42:55</v>
      </c>
      <c r="M5064" s="1" t="s">
        <v>45</v>
      </c>
      <c r="N5064" s="1" t="s">
        <v>38</v>
      </c>
      <c r="O5064" s="1" t="s">
        <v>46</v>
      </c>
    </row>
    <row r="5065" spans="2:15" x14ac:dyDescent="0.3">
      <c r="B5065" s="1" t="s">
        <v>23</v>
      </c>
      <c r="C5065" s="1" t="str">
        <f>"5-1차"</f>
        <v>5-1차</v>
      </c>
      <c r="D5065" s="1" t="str">
        <f>"0425E4415M"</f>
        <v>0425E4415M</v>
      </c>
      <c r="E5065" s="1" t="s">
        <v>10</v>
      </c>
      <c r="F5065" s="1" t="str">
        <f>"fde3:102:1440:4100:0:0:0:3"</f>
        <v>fde3:102:1440:4100:0:0:0:3</v>
      </c>
      <c r="G5065" s="1" t="str">
        <f>"0425E441"</f>
        <v>0425E441</v>
      </c>
      <c r="H5065" s="1" t="str">
        <f>"고랑지 16"</f>
        <v>고랑지 16</v>
      </c>
      <c r="I5065" s="1" t="s">
        <v>15</v>
      </c>
      <c r="J5065" s="1" t="str">
        <f>"29/29"</f>
        <v>29/29</v>
      </c>
      <c r="K5065" s="1" t="str">
        <f>"2026-07-29 14:21:16"</f>
        <v>2026-07-29 14:21:16</v>
      </c>
      <c r="L5065" s="1" t="str">
        <f>"2022-11-01 14:47:09"</f>
        <v>2022-11-01 14:47:09</v>
      </c>
      <c r="M5065" s="1" t="s">
        <v>45</v>
      </c>
      <c r="N5065" s="1" t="s">
        <v>38</v>
      </c>
      <c r="O5065" s="1" t="s">
        <v>46</v>
      </c>
    </row>
    <row r="5066" spans="2:15" x14ac:dyDescent="0.3">
      <c r="B5066" s="1" t="s">
        <v>23</v>
      </c>
      <c r="C5066" s="1" t="str">
        <f t="shared" ref="C5066:C5079" si="270">"5-2차"</f>
        <v>5-2차</v>
      </c>
      <c r="D5066" s="1" t="str">
        <f>"0425E5015S"</f>
        <v>0425E5015S</v>
      </c>
      <c r="E5066" s="1" t="s">
        <v>10</v>
      </c>
      <c r="F5066" s="1" t="str">
        <f>"fde3:102:1440:4800:0:0:0:1b"</f>
        <v>fde3:102:1440:4800:0:0:0:1b</v>
      </c>
      <c r="G5066" s="1" t="str">
        <f>"0425E501"</f>
        <v>0425E501</v>
      </c>
      <c r="H5066" s="1" t="str">
        <f>"고랑지 6R22L8"</f>
        <v>고랑지 6R22L8</v>
      </c>
      <c r="I5066" s="1" t="s">
        <v>15</v>
      </c>
      <c r="J5066" s="1" t="str">
        <f>"64/64"</f>
        <v>64/64</v>
      </c>
      <c r="K5066" s="1" t="str">
        <f>"2026-07-29 14:21:15"</f>
        <v>2026-07-29 14:21:15</v>
      </c>
      <c r="L5066" s="1" t="str">
        <f>"2023-09-26 15:41:14"</f>
        <v>2023-09-26 15:41:14</v>
      </c>
      <c r="M5066" s="1" t="s">
        <v>45</v>
      </c>
      <c r="N5066" s="1" t="s">
        <v>38</v>
      </c>
      <c r="O5066" s="1" t="s">
        <v>46</v>
      </c>
    </row>
    <row r="5067" spans="2:15" x14ac:dyDescent="0.3">
      <c r="B5067" s="1" t="s">
        <v>23</v>
      </c>
      <c r="C5067" s="1" t="str">
        <f t="shared" si="270"/>
        <v>5-2차</v>
      </c>
      <c r="D5067" s="1" t="str">
        <f>"0425E5315M"</f>
        <v>0425E5315M</v>
      </c>
      <c r="E5067" s="1" t="s">
        <v>10</v>
      </c>
      <c r="F5067" s="1" t="str">
        <f>"fde3:102:1440:4700:0:0:0:18"</f>
        <v>fde3:102:1440:4700:0:0:0:18</v>
      </c>
      <c r="G5067" s="1" t="str">
        <f>"0425E531"</f>
        <v>0425E531</v>
      </c>
      <c r="H5067" s="1" t="str">
        <f>"고랑지 15R2L4"</f>
        <v>고랑지 15R2L4</v>
      </c>
      <c r="I5067" s="1" t="s">
        <v>15</v>
      </c>
      <c r="J5067" s="1" t="str">
        <f>"57/57"</f>
        <v>57/57</v>
      </c>
      <c r="K5067" s="1" t="str">
        <f>"2026-07-29 14:21:28"</f>
        <v>2026-07-29 14:21:28</v>
      </c>
      <c r="L5067" s="1" t="str">
        <f>"2023-10-16 16:25:06"</f>
        <v>2023-10-16 16:25:06</v>
      </c>
      <c r="M5067" s="1" t="s">
        <v>45</v>
      </c>
      <c r="N5067" s="1" t="s">
        <v>38</v>
      </c>
      <c r="O5067" s="1" t="s">
        <v>46</v>
      </c>
    </row>
    <row r="5068" spans="2:15" x14ac:dyDescent="0.3">
      <c r="B5068" s="1" t="s">
        <v>23</v>
      </c>
      <c r="C5068" s="1" t="str">
        <f t="shared" si="270"/>
        <v>5-2차</v>
      </c>
      <c r="D5068" s="1" t="str">
        <f>"0425E5545M"</f>
        <v>0425E5545M</v>
      </c>
      <c r="E5068" s="1" t="s">
        <v>10</v>
      </c>
      <c r="F5068" s="1" t="str">
        <f>"fde1:103:4:9441:0:0:0:2"</f>
        <v>fde1:103:4:9441:0:0:0:2</v>
      </c>
      <c r="G5068" s="1" t="str">
        <f>"0425E554"</f>
        <v>0425E554</v>
      </c>
      <c r="H5068" s="1" t="str">
        <f>"고랑지 18"</f>
        <v>고랑지 18</v>
      </c>
      <c r="I5068" s="1" t="s">
        <v>15</v>
      </c>
      <c r="J5068" s="1" t="str">
        <f>"43/43"</f>
        <v>43/43</v>
      </c>
      <c r="K5068" s="1" t="str">
        <f>"2026-07-29 14:20:48"</f>
        <v>2026-07-29 14:20:48</v>
      </c>
      <c r="L5068" s="1" t="str">
        <f>"2023-12-18 16:11:32"</f>
        <v>2023-12-18 16:11:32</v>
      </c>
      <c r="M5068" s="1" t="s">
        <v>4</v>
      </c>
      <c r="N5068" s="1" t="s">
        <v>38</v>
      </c>
      <c r="O5068" s="1" t="s">
        <v>46</v>
      </c>
    </row>
    <row r="5069" spans="2:15" x14ac:dyDescent="0.3">
      <c r="B5069" s="1" t="s">
        <v>23</v>
      </c>
      <c r="C5069" s="1" t="str">
        <f t="shared" si="270"/>
        <v>5-2차</v>
      </c>
      <c r="D5069" s="1" t="str">
        <f>"0425E5645M"</f>
        <v>0425E5645M</v>
      </c>
      <c r="E5069" s="1" t="s">
        <v>10</v>
      </c>
      <c r="F5069" s="1" t="str">
        <f>"fde3:102:1440:4100:0:0:0:12"</f>
        <v>fde3:102:1440:4100:0:0:0:12</v>
      </c>
      <c r="G5069" s="1" t="str">
        <f>"0425E564"</f>
        <v>0425E564</v>
      </c>
      <c r="H5069" s="1" t="str">
        <f>"고랑지 21"</f>
        <v>고랑지 21</v>
      </c>
      <c r="I5069" s="1" t="s">
        <v>15</v>
      </c>
      <c r="J5069" s="1" t="str">
        <f>"59/59"</f>
        <v>59/59</v>
      </c>
      <c r="K5069" s="1" t="str">
        <f>"2026-07-29 14:20:27"</f>
        <v>2026-07-29 14:20:27</v>
      </c>
      <c r="L5069" s="1" t="str">
        <f>"2023-10-11 10:36:54"</f>
        <v>2023-10-11 10:36:54</v>
      </c>
      <c r="M5069" s="1" t="s">
        <v>45</v>
      </c>
      <c r="N5069" s="1" t="s">
        <v>38</v>
      </c>
      <c r="O5069" s="1" t="s">
        <v>46</v>
      </c>
    </row>
    <row r="5070" spans="2:15" x14ac:dyDescent="0.3">
      <c r="B5070" s="1" t="s">
        <v>23</v>
      </c>
      <c r="C5070" s="1" t="str">
        <f t="shared" si="270"/>
        <v>5-2차</v>
      </c>
      <c r="D5070" s="1" t="str">
        <f>"0425E6025S"</f>
        <v>0425E6025S</v>
      </c>
      <c r="E5070" s="1" t="s">
        <v>10</v>
      </c>
      <c r="F5070" s="1" t="str">
        <f>"fde3:102:1440:4800:0:0:0:1c"</f>
        <v>fde3:102:1440:4800:0:0:0:1c</v>
      </c>
      <c r="G5070" s="1" t="str">
        <f>"0425E602"</f>
        <v>0425E602</v>
      </c>
      <c r="H5070" s="1" t="str">
        <f>"고랑지 6R22L10"</f>
        <v>고랑지 6R22L10</v>
      </c>
      <c r="I5070" s="1" t="s">
        <v>15</v>
      </c>
      <c r="J5070" s="1" t="str">
        <f>"40/40"</f>
        <v>40/40</v>
      </c>
      <c r="K5070" s="1" t="str">
        <f>"2026-07-29 14:20:27"</f>
        <v>2026-07-29 14:20:27</v>
      </c>
      <c r="L5070" s="1" t="str">
        <f>"2023-06-17 08:14:58"</f>
        <v>2023-06-17 08:14:58</v>
      </c>
      <c r="M5070" s="1" t="s">
        <v>45</v>
      </c>
      <c r="N5070" s="1" t="s">
        <v>38</v>
      </c>
      <c r="O5070" s="1" t="s">
        <v>46</v>
      </c>
    </row>
    <row r="5071" spans="2:15" x14ac:dyDescent="0.3">
      <c r="B5071" s="1" t="s">
        <v>23</v>
      </c>
      <c r="C5071" s="1" t="str">
        <f t="shared" si="270"/>
        <v>5-2차</v>
      </c>
      <c r="D5071" s="1" t="str">
        <f>"0425E6115M"</f>
        <v>0425E6115M</v>
      </c>
      <c r="E5071" s="1" t="s">
        <v>10</v>
      </c>
      <c r="F5071" s="1" t="str">
        <f>"fde3:102:1440:4800:0:0:0:a"</f>
        <v>fde3:102:1440:4800:0:0:0:a</v>
      </c>
      <c r="G5071" s="1" t="str">
        <f>"0425E611"</f>
        <v>0425E611</v>
      </c>
      <c r="H5071" s="1" t="str">
        <f>"고랑지 15R2L7"</f>
        <v>고랑지 15R2L7</v>
      </c>
      <c r="I5071" s="1" t="s">
        <v>15</v>
      </c>
      <c r="J5071" s="1" t="str">
        <f>"150/150"</f>
        <v>150/150</v>
      </c>
      <c r="K5071" s="1" t="str">
        <f>"2026-07-29 14:21:15"</f>
        <v>2026-07-29 14:21:15</v>
      </c>
      <c r="L5071" s="1" t="str">
        <f>"2023-10-11 11:20:38"</f>
        <v>2023-10-11 11:20:38</v>
      </c>
      <c r="M5071" s="1" t="s">
        <v>45</v>
      </c>
      <c r="N5071" s="1" t="s">
        <v>38</v>
      </c>
      <c r="O5071" s="1" t="s">
        <v>46</v>
      </c>
    </row>
    <row r="5072" spans="2:15" x14ac:dyDescent="0.3">
      <c r="B5072" s="1" t="s">
        <v>23</v>
      </c>
      <c r="C5072" s="1" t="str">
        <f t="shared" si="270"/>
        <v>5-2차</v>
      </c>
      <c r="D5072" s="1" t="str">
        <f>"0425E6315M"</f>
        <v>0425E6315M</v>
      </c>
      <c r="E5072" s="1" t="s">
        <v>10</v>
      </c>
      <c r="F5072" s="1" t="str">
        <f>"fde3:102:1440:4800:0:0:0:4"</f>
        <v>fde3:102:1440:4800:0:0:0:4</v>
      </c>
      <c r="G5072" s="1" t="str">
        <f>"0425E631"</f>
        <v>0425E631</v>
      </c>
      <c r="H5072" s="1" t="str">
        <f>"고랑지 15R2L5"</f>
        <v>고랑지 15R2L5</v>
      </c>
      <c r="I5072" s="1" t="s">
        <v>15</v>
      </c>
      <c r="J5072" s="1" t="str">
        <f>"68/68"</f>
        <v>68/68</v>
      </c>
      <c r="K5072" s="1" t="str">
        <f>"2026-07-29 14:21:24"</f>
        <v>2026-07-29 14:21:24</v>
      </c>
      <c r="L5072" s="1" t="str">
        <f>"2023-08-22 17:33:07"</f>
        <v>2023-08-22 17:33:07</v>
      </c>
      <c r="M5072" s="1" t="s">
        <v>45</v>
      </c>
      <c r="N5072" s="1" t="s">
        <v>38</v>
      </c>
      <c r="O5072" s="1" t="s">
        <v>46</v>
      </c>
    </row>
    <row r="5073" spans="2:15" x14ac:dyDescent="0.3">
      <c r="B5073" s="1" t="s">
        <v>23</v>
      </c>
      <c r="C5073" s="1" t="str">
        <f t="shared" si="270"/>
        <v>5-2차</v>
      </c>
      <c r="D5073" s="1" t="str">
        <f>"0425E6335M"</f>
        <v>0425E6335M</v>
      </c>
      <c r="E5073" s="1" t="s">
        <v>10</v>
      </c>
      <c r="F5073" s="1" t="str">
        <f>"fde1:103:4:9207:0:0:0:2"</f>
        <v>fde1:103:4:9207:0:0:0:2</v>
      </c>
      <c r="G5073" s="1" t="str">
        <f>"0425E633"</f>
        <v>0425E633</v>
      </c>
      <c r="H5073" s="1" t="str">
        <f>"고랑지 15R2L5L2"</f>
        <v>고랑지 15R2L5L2</v>
      </c>
      <c r="I5073" s="1" t="s">
        <v>15</v>
      </c>
      <c r="J5073" s="1" t="str">
        <f>"37/37"</f>
        <v>37/37</v>
      </c>
      <c r="K5073" s="1" t="str">
        <f>"2026-07-29 14:21:16"</f>
        <v>2026-07-29 14:21:16</v>
      </c>
      <c r="L5073" s="1" t="str">
        <f>"2023-12-21 11:03:13"</f>
        <v>2023-12-21 11:03:13</v>
      </c>
      <c r="M5073" s="1" t="s">
        <v>4</v>
      </c>
      <c r="N5073" s="1" t="s">
        <v>38</v>
      </c>
      <c r="O5073" s="1" t="s">
        <v>46</v>
      </c>
    </row>
    <row r="5074" spans="2:15" x14ac:dyDescent="0.3">
      <c r="B5074" s="1" t="s">
        <v>23</v>
      </c>
      <c r="C5074" s="1" t="str">
        <f t="shared" si="270"/>
        <v>5-2차</v>
      </c>
      <c r="D5074" s="1" t="str">
        <f>"0425E6535M"</f>
        <v>0425E6535M</v>
      </c>
      <c r="E5074" s="1" t="s">
        <v>10</v>
      </c>
      <c r="F5074" s="1" t="str">
        <f>"fde3:102:1440:4700:0:0:0:19"</f>
        <v>fde3:102:1440:4700:0:0:0:19</v>
      </c>
      <c r="G5074" s="1" t="str">
        <f>"0425E653"</f>
        <v>0425E653</v>
      </c>
      <c r="H5074" s="1" t="str">
        <f>"고랑지 15R2L4L3"</f>
        <v>고랑지 15R2L4L3</v>
      </c>
      <c r="I5074" s="1" t="s">
        <v>15</v>
      </c>
      <c r="J5074" s="1" t="str">
        <f>"58/58"</f>
        <v>58/58</v>
      </c>
      <c r="K5074" s="1" t="str">
        <f>"2026-07-29 14:21:16"</f>
        <v>2026-07-29 14:21:16</v>
      </c>
      <c r="L5074" s="1" t="str">
        <f>"2023-11-06 17:01:44"</f>
        <v>2023-11-06 17:01:44</v>
      </c>
      <c r="M5074" s="1" t="s">
        <v>45</v>
      </c>
      <c r="N5074" s="1" t="s">
        <v>38</v>
      </c>
      <c r="O5074" s="1" t="s">
        <v>46</v>
      </c>
    </row>
    <row r="5075" spans="2:15" x14ac:dyDescent="0.3">
      <c r="B5075" s="1" t="s">
        <v>23</v>
      </c>
      <c r="C5075" s="1" t="str">
        <f t="shared" si="270"/>
        <v>5-2차</v>
      </c>
      <c r="D5075" s="1" t="str">
        <f>"0425E6545S"</f>
        <v>0425E6545S</v>
      </c>
      <c r="E5075" s="1" t="s">
        <v>10</v>
      </c>
      <c r="F5075" s="1" t="str">
        <f>"fde3:102:1440:4800:0:0:0:16"</f>
        <v>fde3:102:1440:4800:0:0:0:16</v>
      </c>
      <c r="G5075" s="1" t="str">
        <f>"0425E654"</f>
        <v>0425E654</v>
      </c>
      <c r="H5075" s="1" t="str">
        <f>"고랑지 15R2L4L4"</f>
        <v>고랑지 15R2L4L4</v>
      </c>
      <c r="I5075" s="1" t="s">
        <v>15</v>
      </c>
      <c r="J5075" s="1" t="str">
        <f>"78/78"</f>
        <v>78/78</v>
      </c>
      <c r="K5075" s="1" t="str">
        <f>"2026-07-29 14:20:47"</f>
        <v>2026-07-29 14:20:47</v>
      </c>
      <c r="L5075" s="1" t="str">
        <f>"2023-06-20 14:17:31"</f>
        <v>2023-06-20 14:17:31</v>
      </c>
      <c r="M5075" s="1" t="s">
        <v>45</v>
      </c>
      <c r="N5075" s="1" t="s">
        <v>38</v>
      </c>
      <c r="O5075" s="1" t="s">
        <v>46</v>
      </c>
    </row>
    <row r="5076" spans="2:15" x14ac:dyDescent="0.3">
      <c r="B5076" s="1" t="s">
        <v>23</v>
      </c>
      <c r="C5076" s="1" t="str">
        <f t="shared" si="270"/>
        <v>5-2차</v>
      </c>
      <c r="D5076" s="1" t="str">
        <f>"0425E7115S"</f>
        <v>0425E7115S</v>
      </c>
      <c r="E5076" s="1" t="s">
        <v>10</v>
      </c>
      <c r="F5076" s="1" t="str">
        <f>"fde3:102:1440:4800:0:0:0:19"</f>
        <v>fde3:102:1440:4800:0:0:0:19</v>
      </c>
      <c r="G5076" s="1" t="str">
        <f>"0425E711"</f>
        <v>0425E711</v>
      </c>
      <c r="H5076" s="1" t="str">
        <f>"고랑지 15R2L8"</f>
        <v>고랑지 15R2L8</v>
      </c>
      <c r="I5076" s="1" t="s">
        <v>15</v>
      </c>
      <c r="J5076" s="1" t="str">
        <f>"58/59"</f>
        <v>58/59</v>
      </c>
      <c r="K5076" s="1" t="str">
        <f>"2026-07-29 14:20:47"</f>
        <v>2026-07-29 14:20:47</v>
      </c>
      <c r="L5076" s="1" t="str">
        <f>"2023-06-17 08:31:01"</f>
        <v>2023-06-17 08:31:01</v>
      </c>
      <c r="M5076" s="1" t="s">
        <v>45</v>
      </c>
      <c r="N5076" s="1" t="s">
        <v>38</v>
      </c>
      <c r="O5076" s="1" t="s">
        <v>46</v>
      </c>
    </row>
    <row r="5077" spans="2:15" x14ac:dyDescent="0.3">
      <c r="B5077" s="1" t="s">
        <v>23</v>
      </c>
      <c r="C5077" s="1" t="str">
        <f t="shared" si="270"/>
        <v>5-2차</v>
      </c>
      <c r="D5077" s="1" t="str">
        <f>"0425E7625S"</f>
        <v>0425E7625S</v>
      </c>
      <c r="E5077" s="1" t="s">
        <v>10</v>
      </c>
      <c r="F5077" s="1" t="str">
        <f>"fde3:102:1440:4800:0:0:0:11"</f>
        <v>fde3:102:1440:4800:0:0:0:11</v>
      </c>
      <c r="G5077" s="1" t="str">
        <f>"0425E762"</f>
        <v>0425E762</v>
      </c>
      <c r="H5077" s="1" t="str">
        <f>"고랑지 22R4"</f>
        <v>고랑지 22R4</v>
      </c>
      <c r="I5077" s="1" t="s">
        <v>15</v>
      </c>
      <c r="J5077" s="1" t="str">
        <f>"58/58"</f>
        <v>58/58</v>
      </c>
      <c r="K5077" s="1" t="str">
        <f>"2026-07-29 14:21:01"</f>
        <v>2026-07-29 14:21:01</v>
      </c>
      <c r="L5077" s="1" t="str">
        <f>"2023-07-28 15:50:32"</f>
        <v>2023-07-28 15:50:32</v>
      </c>
      <c r="M5077" s="1" t="s">
        <v>45</v>
      </c>
      <c r="N5077" s="1" t="s">
        <v>38</v>
      </c>
      <c r="O5077" s="1" t="s">
        <v>46</v>
      </c>
    </row>
    <row r="5078" spans="2:15" x14ac:dyDescent="0.3">
      <c r="B5078" s="1" t="s">
        <v>23</v>
      </c>
      <c r="C5078" s="1" t="str">
        <f t="shared" si="270"/>
        <v>5-2차</v>
      </c>
      <c r="D5078" s="1" t="str">
        <f>"0425E7715M"</f>
        <v>0425E7715M</v>
      </c>
      <c r="E5078" s="1" t="s">
        <v>10</v>
      </c>
      <c r="F5078" s="1" t="str">
        <f>"fde3:102:1440:4800:0:0:0:f"</f>
        <v>fde3:102:1440:4800:0:0:0:f</v>
      </c>
      <c r="G5078" s="1" t="str">
        <f>"0425E771"</f>
        <v>0425E771</v>
      </c>
      <c r="H5078" s="1" t="str">
        <f>"고랑지 22R2"</f>
        <v>고랑지 22R2</v>
      </c>
      <c r="I5078" s="1" t="s">
        <v>15</v>
      </c>
      <c r="J5078" s="1" t="str">
        <f>"66/66"</f>
        <v>66/66</v>
      </c>
      <c r="K5078" s="1" t="str">
        <f>"2026-07-29 14:21:16"</f>
        <v>2026-07-29 14:21:16</v>
      </c>
      <c r="L5078" s="1" t="str">
        <f>"2023-08-22 17:34:58"</f>
        <v>2023-08-22 17:34:58</v>
      </c>
      <c r="M5078" s="1" t="s">
        <v>45</v>
      </c>
      <c r="N5078" s="1" t="s">
        <v>38</v>
      </c>
      <c r="O5078" s="1" t="s">
        <v>46</v>
      </c>
    </row>
    <row r="5079" spans="2:15" x14ac:dyDescent="0.3">
      <c r="B5079" s="1" t="s">
        <v>23</v>
      </c>
      <c r="C5079" s="1" t="str">
        <f t="shared" si="270"/>
        <v>5-2차</v>
      </c>
      <c r="D5079" s="1" t="str">
        <f>"0425E7725M"</f>
        <v>0425E7725M</v>
      </c>
      <c r="E5079" s="1" t="s">
        <v>10</v>
      </c>
      <c r="F5079" s="1" t="str">
        <f>"fde3:102:1440:4800:0:0:0:10"</f>
        <v>fde3:102:1440:4800:0:0:0:10</v>
      </c>
      <c r="G5079" s="1" t="str">
        <f>"0425E772"</f>
        <v>0425E772</v>
      </c>
      <c r="H5079" s="1" t="str">
        <f>"고랑지 22R2L1"</f>
        <v>고랑지 22R2L1</v>
      </c>
      <c r="I5079" s="1" t="s">
        <v>15</v>
      </c>
      <c r="J5079" s="1" t="str">
        <f>"39/39"</f>
        <v>39/39</v>
      </c>
      <c r="K5079" s="1" t="str">
        <f>"2026-07-29 14:21:16"</f>
        <v>2026-07-29 14:21:16</v>
      </c>
      <c r="L5079" s="1" t="str">
        <f>"2023-09-12 18:26:57"</f>
        <v>2023-09-12 18:26:57</v>
      </c>
      <c r="M5079" s="1" t="s">
        <v>45</v>
      </c>
      <c r="N5079" s="1" t="s">
        <v>38</v>
      </c>
      <c r="O5079" s="1" t="s">
        <v>46</v>
      </c>
    </row>
    <row r="5080" spans="2:15" x14ac:dyDescent="0.3">
      <c r="B5080" s="1" t="s">
        <v>23</v>
      </c>
      <c r="C5080" s="1" t="str">
        <f>"1차"</f>
        <v>1차</v>
      </c>
      <c r="D5080" s="1" t="str">
        <f>"0425G02300"</f>
        <v>0425G02300</v>
      </c>
      <c r="E5080" s="1" t="s">
        <v>10</v>
      </c>
      <c r="F5080" s="1" t="str">
        <f>"10.125.3.242"</f>
        <v>10.125.3.242</v>
      </c>
      <c r="G5080" s="1" t="str">
        <f>"0425G023"</f>
        <v>0425G023</v>
      </c>
      <c r="H5080" s="1" t="str">
        <f>"산성간 44L2L4"</f>
        <v>산성간 44L2L4</v>
      </c>
      <c r="I5080" s="1" t="s">
        <v>8</v>
      </c>
      <c r="J5080" s="1" t="str">
        <f>"79/80"</f>
        <v>79/80</v>
      </c>
      <c r="K5080" s="1" t="str">
        <f>"2026-07-29 13:18:03"</f>
        <v>2026-07-29 13:18:03</v>
      </c>
      <c r="L5080" s="1" t="str">
        <f>"2014-12-17 09:57:45"</f>
        <v>2014-12-17 09:57:45</v>
      </c>
      <c r="M5080" s="1" t="s">
        <v>45</v>
      </c>
      <c r="N5080" s="1" t="s">
        <v>38</v>
      </c>
      <c r="O5080" s="1" t="s">
        <v>46</v>
      </c>
    </row>
    <row r="5081" spans="2:15" x14ac:dyDescent="0.3">
      <c r="B5081" s="1" t="s">
        <v>23</v>
      </c>
      <c r="C5081" s="1" t="str">
        <f>"6차"</f>
        <v>6차</v>
      </c>
      <c r="D5081" s="1" t="str">
        <f>"0425G0316S"</f>
        <v>0425G0316S</v>
      </c>
      <c r="E5081" s="1" t="s">
        <v>10</v>
      </c>
      <c r="F5081" s="1" t="str">
        <f>"fde3:102:1440:4800:0:0:0:27"</f>
        <v>fde3:102:1440:4800:0:0:0:27</v>
      </c>
      <c r="G5081" s="1" t="str">
        <f>"0425G031"</f>
        <v>0425G031</v>
      </c>
      <c r="H5081" s="1" t="str">
        <f>"산성간 44L2L2R2"</f>
        <v>산성간 44L2L2R2</v>
      </c>
      <c r="I5081" s="1" t="s">
        <v>15</v>
      </c>
      <c r="J5081" s="1" t="str">
        <f>"13/95"</f>
        <v>13/95</v>
      </c>
      <c r="K5081" s="1" t="str">
        <f>"2026-07-28 18:22:28"</f>
        <v>2026-07-28 18:22:28</v>
      </c>
      <c r="L5081" s="1" t="str">
        <f>"2024-10-11 09:17:54"</f>
        <v>2024-10-11 09:17:54</v>
      </c>
      <c r="M5081" s="1" t="s">
        <v>45</v>
      </c>
      <c r="N5081" s="1" t="s">
        <v>38</v>
      </c>
      <c r="O5081" s="1" t="s">
        <v>46</v>
      </c>
    </row>
    <row r="5082" spans="2:15" x14ac:dyDescent="0.3">
      <c r="B5082" s="1" t="s">
        <v>23</v>
      </c>
      <c r="C5082" s="1" t="str">
        <f>"5-2차"</f>
        <v>5-2차</v>
      </c>
      <c r="D5082" s="1" t="str">
        <f>"0425G0415S"</f>
        <v>0425G0415S</v>
      </c>
      <c r="E5082" s="1" t="s">
        <v>10</v>
      </c>
      <c r="F5082" s="1" t="str">
        <f>"fde3:102:1440:4800:0:0:0:8"</f>
        <v>fde3:102:1440:4800:0:0:0:8</v>
      </c>
      <c r="G5082" s="1" t="str">
        <f>"0425G041"</f>
        <v>0425G041</v>
      </c>
      <c r="H5082" s="1" t="str">
        <f>"산성간 44L4H1"</f>
        <v>산성간 44L4H1</v>
      </c>
      <c r="I5082" s="1" t="s">
        <v>15</v>
      </c>
      <c r="J5082" s="1" t="str">
        <f>"33/33"</f>
        <v>33/33</v>
      </c>
      <c r="K5082" s="1" t="str">
        <f>"2026-07-29 14:20:48"</f>
        <v>2026-07-29 14:20:48</v>
      </c>
      <c r="L5082" s="1" t="str">
        <f>"2023-06-17 06:53:30"</f>
        <v>2023-06-17 06:53:30</v>
      </c>
      <c r="M5082" s="1" t="s">
        <v>45</v>
      </c>
      <c r="N5082" s="1" t="s">
        <v>38</v>
      </c>
      <c r="O5082" s="1" t="s">
        <v>46</v>
      </c>
    </row>
    <row r="5083" spans="2:15" x14ac:dyDescent="0.3">
      <c r="B5083" s="1" t="s">
        <v>23</v>
      </c>
      <c r="C5083" s="1" t="str">
        <f>"5-2차"</f>
        <v>5-2차</v>
      </c>
      <c r="D5083" s="1" t="str">
        <f>"0425G0515S"</f>
        <v>0425G0515S</v>
      </c>
      <c r="E5083" s="1" t="s">
        <v>10</v>
      </c>
      <c r="F5083" s="1" t="str">
        <f>"fde3:102:1440:4800:0:0:0:9"</f>
        <v>fde3:102:1440:4800:0:0:0:9</v>
      </c>
      <c r="G5083" s="1" t="str">
        <f>"0425G051"</f>
        <v>0425G051</v>
      </c>
      <c r="H5083" s="1" t="str">
        <f>"산성간 44L4"</f>
        <v>산성간 44L4</v>
      </c>
      <c r="I5083" s="1" t="s">
        <v>15</v>
      </c>
      <c r="J5083" s="1" t="str">
        <f>"45/45"</f>
        <v>45/45</v>
      </c>
      <c r="K5083" s="1" t="str">
        <f>"2026-07-29 14:21:16"</f>
        <v>2026-07-29 14:21:16</v>
      </c>
      <c r="L5083" s="1" t="str">
        <f>"2023-06-17 07:26:42"</f>
        <v>2023-06-17 07:26:42</v>
      </c>
      <c r="M5083" s="1" t="s">
        <v>45</v>
      </c>
      <c r="N5083" s="1" t="s">
        <v>38</v>
      </c>
      <c r="O5083" s="1" t="s">
        <v>46</v>
      </c>
    </row>
    <row r="5084" spans="2:15" x14ac:dyDescent="0.3">
      <c r="B5084" s="1" t="s">
        <v>23</v>
      </c>
      <c r="C5084" s="1" t="str">
        <f>"1차"</f>
        <v>1차</v>
      </c>
      <c r="D5084" s="1" t="str">
        <f>"0425G10100"</f>
        <v>0425G10100</v>
      </c>
      <c r="E5084" s="1" t="s">
        <v>10</v>
      </c>
      <c r="F5084" s="1" t="str">
        <f>"10.125.3.251"</f>
        <v>10.125.3.251</v>
      </c>
      <c r="G5084" s="1" t="str">
        <f>"0425G101"</f>
        <v>0425G101</v>
      </c>
      <c r="H5084" s="1" t="str">
        <f>"산성간 38"</f>
        <v>산성간 38</v>
      </c>
      <c r="I5084" s="1" t="s">
        <v>8</v>
      </c>
      <c r="J5084" s="1" t="str">
        <f>"42/43"</f>
        <v>42/43</v>
      </c>
      <c r="K5084" s="1" t="str">
        <f>"2026-07-29 13:18:03"</f>
        <v>2026-07-29 13:18:03</v>
      </c>
      <c r="L5084" s="1" t="str">
        <f>"2015-01-26 18:39:58"</f>
        <v>2015-01-26 18:39:58</v>
      </c>
      <c r="M5084" s="1" t="s">
        <v>45</v>
      </c>
      <c r="N5084" s="1" t="s">
        <v>38</v>
      </c>
      <c r="O5084" s="1" t="s">
        <v>46</v>
      </c>
    </row>
    <row r="5085" spans="2:15" x14ac:dyDescent="0.3">
      <c r="B5085" s="1" t="s">
        <v>23</v>
      </c>
      <c r="C5085" s="1" t="str">
        <f>"4차"</f>
        <v>4차</v>
      </c>
      <c r="D5085" s="1" t="str">
        <f>"0425G11142"</f>
        <v>0425G11142</v>
      </c>
      <c r="E5085" s="1" t="s">
        <v>10</v>
      </c>
      <c r="F5085" s="1" t="str">
        <f>"10.12.138.83"</f>
        <v>10.12.138.83</v>
      </c>
      <c r="G5085" s="1" t="str">
        <f>"0425G111"</f>
        <v>0425G111</v>
      </c>
      <c r="H5085" s="1" t="str">
        <f>"산성간 40"</f>
        <v>산성간 40</v>
      </c>
      <c r="I5085" s="1" t="s">
        <v>8</v>
      </c>
      <c r="J5085" s="1" t="str">
        <f>"98/116"</f>
        <v>98/116</v>
      </c>
      <c r="K5085" s="1" t="str">
        <f>"2026-07-29 13:18:04"</f>
        <v>2026-07-29 13:18:04</v>
      </c>
      <c r="L5085" s="1" t="str">
        <f>"2025-09-01 11:58:56"</f>
        <v>2025-09-01 11:58:56</v>
      </c>
      <c r="M5085" s="1" t="s">
        <v>0</v>
      </c>
      <c r="N5085" s="1" t="s">
        <v>38</v>
      </c>
      <c r="O5085" s="1" t="s">
        <v>46</v>
      </c>
    </row>
    <row r="5086" spans="2:15" x14ac:dyDescent="0.3">
      <c r="B5086" s="1" t="s">
        <v>23</v>
      </c>
      <c r="C5086" s="1" t="str">
        <f>"5-2차"</f>
        <v>5-2차</v>
      </c>
      <c r="D5086" s="1" t="str">
        <f>"0425G1325M"</f>
        <v>0425G1325M</v>
      </c>
      <c r="E5086" s="1" t="s">
        <v>10</v>
      </c>
      <c r="F5086" s="1" t="str">
        <f>"fde3:102:1440:4800:0:0:0:b"</f>
        <v>fde3:102:1440:4800:0:0:0:b</v>
      </c>
      <c r="G5086" s="1" t="str">
        <f>"0425G132"</f>
        <v>0425G132</v>
      </c>
      <c r="H5086" s="1" t="str">
        <f>"산성간 44L2L2"</f>
        <v>산성간 44L2L2</v>
      </c>
      <c r="I5086" s="1" t="s">
        <v>15</v>
      </c>
      <c r="J5086" s="1" t="str">
        <f>"84/85"</f>
        <v>84/85</v>
      </c>
      <c r="K5086" s="1" t="str">
        <f>"2026-07-29 14:21:16"</f>
        <v>2026-07-29 14:21:16</v>
      </c>
      <c r="L5086" s="1" t="str">
        <f>"2023-06-19 18:20:47"</f>
        <v>2023-06-19 18:20:47</v>
      </c>
      <c r="M5086" s="1" t="s">
        <v>45</v>
      </c>
      <c r="N5086" s="1" t="s">
        <v>38</v>
      </c>
      <c r="O5086" s="1" t="s">
        <v>46</v>
      </c>
    </row>
    <row r="5087" spans="2:15" x14ac:dyDescent="0.3">
      <c r="B5087" s="1" t="s">
        <v>23</v>
      </c>
      <c r="C5087" s="1" t="str">
        <f>"1차"</f>
        <v>1차</v>
      </c>
      <c r="D5087" s="1" t="str">
        <f>"0425G14200"</f>
        <v>0425G14200</v>
      </c>
      <c r="E5087" s="1" t="s">
        <v>10</v>
      </c>
      <c r="F5087" s="1" t="str">
        <f>"10.125.6.250"</f>
        <v>10.125.6.250</v>
      </c>
      <c r="G5087" s="1" t="str">
        <f>"0425G142"</f>
        <v>0425G142</v>
      </c>
      <c r="H5087" s="1" t="str">
        <f>"산성간 44L3"</f>
        <v>산성간 44L3</v>
      </c>
      <c r="I5087" s="1" t="s">
        <v>8</v>
      </c>
      <c r="J5087" s="1" t="str">
        <f>"111/111"</f>
        <v>111/111</v>
      </c>
      <c r="K5087" s="1" t="str">
        <f>"2026-07-29 13:18:03"</f>
        <v>2026-07-29 13:18:03</v>
      </c>
      <c r="L5087" s="1" t="str">
        <f>"2014-12-17 10:12:40"</f>
        <v>2014-12-17 10:12:40</v>
      </c>
      <c r="M5087" s="1" t="s">
        <v>45</v>
      </c>
      <c r="N5087" s="1" t="s">
        <v>38</v>
      </c>
      <c r="O5087" s="1" t="s">
        <v>46</v>
      </c>
    </row>
    <row r="5088" spans="2:15" x14ac:dyDescent="0.3">
      <c r="B5088" s="1" t="s">
        <v>23</v>
      </c>
      <c r="C5088" s="1" t="str">
        <f>"1차"</f>
        <v>1차</v>
      </c>
      <c r="D5088" s="1" t="str">
        <f>"0425G20100"</f>
        <v>0425G20100</v>
      </c>
      <c r="E5088" s="1" t="s">
        <v>10</v>
      </c>
      <c r="F5088" s="1" t="str">
        <f>"10.125.4.10"</f>
        <v>10.125.4.10</v>
      </c>
      <c r="G5088" s="1" t="str">
        <f>"0425G201"</f>
        <v>0425G201</v>
      </c>
      <c r="H5088" s="1" t="str">
        <f>"산성간 35R2L1"</f>
        <v>산성간 35R2L1</v>
      </c>
      <c r="I5088" s="1" t="s">
        <v>8</v>
      </c>
      <c r="J5088" s="1" t="str">
        <f>"66/69"</f>
        <v>66/69</v>
      </c>
      <c r="K5088" s="1" t="str">
        <f>"2026-07-29 13:18:03"</f>
        <v>2026-07-29 13:18:03</v>
      </c>
      <c r="L5088" s="1" t="str">
        <f>"2014-12-17 09:27:50"</f>
        <v>2014-12-17 09:27:50</v>
      </c>
      <c r="M5088" s="1" t="s">
        <v>45</v>
      </c>
      <c r="N5088" s="1" t="s">
        <v>38</v>
      </c>
      <c r="O5088" s="1" t="s">
        <v>46</v>
      </c>
    </row>
    <row r="5089" spans="2:15" x14ac:dyDescent="0.3">
      <c r="B5089" s="1" t="s">
        <v>23</v>
      </c>
      <c r="C5089" s="1" t="str">
        <f>"6차"</f>
        <v>6차</v>
      </c>
      <c r="D5089" s="1" t="str">
        <f>"0425G2116S"</f>
        <v>0425G2116S</v>
      </c>
      <c r="E5089" s="1" t="s">
        <v>10</v>
      </c>
      <c r="F5089" s="1" t="str">
        <f>"fde1:103:4:93c5:0:0:0:2"</f>
        <v>fde1:103:4:93c5:0:0:0:2</v>
      </c>
      <c r="G5089" s="1" t="str">
        <f>"0425G211"</f>
        <v>0425G211</v>
      </c>
      <c r="H5089" s="1" t="str">
        <f>"산성간 35R2L2"</f>
        <v>산성간 35R2L2</v>
      </c>
      <c r="I5089" s="1" t="s">
        <v>15</v>
      </c>
      <c r="J5089" s="1" t="str">
        <f>"23/23"</f>
        <v>23/23</v>
      </c>
      <c r="K5089" s="1" t="str">
        <f>"2026-07-29 14:21:17"</f>
        <v>2026-07-29 14:21:17</v>
      </c>
      <c r="L5089" s="1" t="str">
        <f>"2025-01-22 17:55:06"</f>
        <v>2025-01-22 17:55:06</v>
      </c>
      <c r="M5089" s="1" t="s">
        <v>4</v>
      </c>
      <c r="N5089" s="1" t="s">
        <v>38</v>
      </c>
      <c r="O5089" s="1" t="s">
        <v>46</v>
      </c>
    </row>
    <row r="5090" spans="2:15" x14ac:dyDescent="0.3">
      <c r="B5090" s="1" t="s">
        <v>23</v>
      </c>
      <c r="C5090" s="1" t="str">
        <f>"1차"</f>
        <v>1차</v>
      </c>
      <c r="D5090" s="1" t="str">
        <f>"0425G22100"</f>
        <v>0425G22100</v>
      </c>
      <c r="E5090" s="1" t="s">
        <v>10</v>
      </c>
      <c r="F5090" s="1" t="str">
        <f>"10.125.4.2"</f>
        <v>10.125.4.2</v>
      </c>
      <c r="G5090" s="1" t="str">
        <f>"0425G221"</f>
        <v>0425G221</v>
      </c>
      <c r="H5090" s="1" t="str">
        <f>"산성간 43"</f>
        <v>산성간 43</v>
      </c>
      <c r="I5090" s="1" t="s">
        <v>8</v>
      </c>
      <c r="J5090" s="1" t="str">
        <f>"77/77"</f>
        <v>77/77</v>
      </c>
      <c r="K5090" s="1" t="str">
        <f>"2026-07-29 13:18:03"</f>
        <v>2026-07-29 13:18:03</v>
      </c>
      <c r="L5090" s="1" t="str">
        <f>"2015-01-19 09:48:55"</f>
        <v>2015-01-19 09:48:55</v>
      </c>
      <c r="M5090" s="1" t="s">
        <v>45</v>
      </c>
      <c r="N5090" s="1" t="s">
        <v>38</v>
      </c>
      <c r="O5090" s="1" t="s">
        <v>46</v>
      </c>
    </row>
    <row r="5091" spans="2:15" x14ac:dyDescent="0.3">
      <c r="B5091" s="1" t="s">
        <v>23</v>
      </c>
      <c r="C5091" s="1" t="str">
        <f>"1차"</f>
        <v>1차</v>
      </c>
      <c r="D5091" s="1" t="str">
        <f>"0425G25201"</f>
        <v>0425G25201</v>
      </c>
      <c r="E5091" s="1" t="s">
        <v>10</v>
      </c>
      <c r="F5091" s="1" t="str">
        <f>"10.125.4.19"</f>
        <v>10.125.4.19</v>
      </c>
      <c r="G5091" s="1" t="str">
        <f>"0425G252"</f>
        <v>0425G252</v>
      </c>
      <c r="H5091" s="1" t="str">
        <f>"산성간 44L2R4"</f>
        <v>산성간 44L2R4</v>
      </c>
      <c r="I5091" s="1" t="s">
        <v>8</v>
      </c>
      <c r="J5091" s="1" t="str">
        <f>"23/23"</f>
        <v>23/23</v>
      </c>
      <c r="K5091" s="1" t="str">
        <f>"2026-07-29 13:18:08"</f>
        <v>2026-07-29 13:18:08</v>
      </c>
      <c r="L5091" s="1" t="str">
        <f>"2014-12-17 10:13:22"</f>
        <v>2014-12-17 10:13:22</v>
      </c>
      <c r="M5091" s="1" t="s">
        <v>45</v>
      </c>
      <c r="N5091" s="1" t="s">
        <v>38</v>
      </c>
      <c r="O5091" s="1" t="s">
        <v>46</v>
      </c>
    </row>
    <row r="5092" spans="2:15" x14ac:dyDescent="0.3">
      <c r="B5092" s="1" t="s">
        <v>23</v>
      </c>
      <c r="C5092" s="1" t="str">
        <f>"5-2차"</f>
        <v>5-2차</v>
      </c>
      <c r="D5092" s="1" t="str">
        <f>"0425G2815M"</f>
        <v>0425G2815M</v>
      </c>
      <c r="E5092" s="1" t="s">
        <v>10</v>
      </c>
      <c r="F5092" s="1" t="str">
        <f>"fde1:103:4:91c4:0:0:0:2"</f>
        <v>fde1:103:4:91c4:0:0:0:2</v>
      </c>
      <c r="G5092" s="1" t="str">
        <f>"0425G281"</f>
        <v>0425G281</v>
      </c>
      <c r="H5092" s="1" t="str">
        <f>"고랑지 6R22L2L2"</f>
        <v>고랑지 6R22L2L2</v>
      </c>
      <c r="I5092" s="1" t="s">
        <v>15</v>
      </c>
      <c r="J5092" s="1" t="str">
        <f>"39/39"</f>
        <v>39/39</v>
      </c>
      <c r="K5092" s="1" t="str">
        <f>"2026-07-29 14:20:28"</f>
        <v>2026-07-29 14:20:28</v>
      </c>
      <c r="L5092" s="1" t="str">
        <f>"2023-12-21 11:03:39"</f>
        <v>2023-12-21 11:03:39</v>
      </c>
      <c r="M5092" s="1" t="s">
        <v>4</v>
      </c>
      <c r="N5092" s="1" t="s">
        <v>38</v>
      </c>
      <c r="O5092" s="1" t="s">
        <v>46</v>
      </c>
    </row>
    <row r="5093" spans="2:15" x14ac:dyDescent="0.3">
      <c r="B5093" s="1" t="s">
        <v>23</v>
      </c>
      <c r="C5093" s="1" t="str">
        <f>"4차"</f>
        <v>4차</v>
      </c>
      <c r="D5093" s="1" t="str">
        <f>"0425G30244"</f>
        <v>0425G30244</v>
      </c>
      <c r="E5093" s="1" t="s">
        <v>10</v>
      </c>
      <c r="F5093" s="1" t="str">
        <f>"10.11.82.130"</f>
        <v>10.11.82.130</v>
      </c>
      <c r="G5093" s="1" t="str">
        <f>"0425G302"</f>
        <v>0425G302</v>
      </c>
      <c r="H5093" s="1" t="str">
        <f>"산성간 45R2R2"</f>
        <v>산성간 45R2R2</v>
      </c>
      <c r="I5093" s="1" t="s">
        <v>8</v>
      </c>
      <c r="J5093" s="1" t="str">
        <f>"42/42"</f>
        <v>42/42</v>
      </c>
      <c r="K5093" s="1" t="str">
        <f>"2026-07-29 13:18:03"</f>
        <v>2026-07-29 13:18:03</v>
      </c>
      <c r="L5093" s="1" t="str">
        <f>"2023-10-24 10:09:09"</f>
        <v>2023-10-24 10:09:09</v>
      </c>
      <c r="M5093" s="1" t="s">
        <v>2</v>
      </c>
      <c r="N5093" s="1" t="s">
        <v>38</v>
      </c>
      <c r="O5093" s="1" t="s">
        <v>46</v>
      </c>
    </row>
    <row r="5094" spans="2:15" x14ac:dyDescent="0.3">
      <c r="B5094" s="1" t="s">
        <v>23</v>
      </c>
      <c r="C5094" s="1" t="str">
        <f>"1차"</f>
        <v>1차</v>
      </c>
      <c r="D5094" s="1" t="str">
        <f>"0425G32301"</f>
        <v>0425G32301</v>
      </c>
      <c r="E5094" s="1" t="s">
        <v>10</v>
      </c>
      <c r="F5094" s="1" t="str">
        <f>"10.12.128.57"</f>
        <v>10.12.128.57</v>
      </c>
      <c r="G5094" s="1" t="str">
        <f>"0425G323"</f>
        <v>0425G323</v>
      </c>
      <c r="H5094" s="1" t="str">
        <f>"산성간 45"</f>
        <v>산성간 45</v>
      </c>
      <c r="I5094" s="1" t="s">
        <v>8</v>
      </c>
      <c r="J5094" s="1" t="str">
        <f>"69/102"</f>
        <v>69/102</v>
      </c>
      <c r="K5094" s="1" t="str">
        <f>"2026-07-29 13:18:04"</f>
        <v>2026-07-29 13:18:04</v>
      </c>
      <c r="L5094" s="1" t="str">
        <f>"2014-12-17 09:28:04"</f>
        <v>2014-12-17 09:28:04</v>
      </c>
      <c r="M5094" s="1" t="s">
        <v>0</v>
      </c>
      <c r="N5094" s="1" t="s">
        <v>38</v>
      </c>
      <c r="O5094" s="1" t="s">
        <v>46</v>
      </c>
    </row>
    <row r="5095" spans="2:15" x14ac:dyDescent="0.3">
      <c r="B5095" s="1" t="s">
        <v>23</v>
      </c>
      <c r="C5095" s="1" t="str">
        <f>"1차"</f>
        <v>1차</v>
      </c>
      <c r="D5095" s="1" t="str">
        <f>"0425G34100"</f>
        <v>0425G34100</v>
      </c>
      <c r="E5095" s="1" t="s">
        <v>10</v>
      </c>
      <c r="F5095" s="1" t="str">
        <f>"10.125.4.18"</f>
        <v>10.125.4.18</v>
      </c>
      <c r="G5095" s="1" t="str">
        <f>"0425G341"</f>
        <v>0425G341</v>
      </c>
      <c r="H5095" s="1" t="str">
        <f>"산성간 44L2R4R1"</f>
        <v>산성간 44L2R4R1</v>
      </c>
      <c r="I5095" s="1" t="s">
        <v>8</v>
      </c>
      <c r="J5095" s="1" t="str">
        <f>"39/39"</f>
        <v>39/39</v>
      </c>
      <c r="K5095" s="1" t="str">
        <f>"2026-07-29 13:18:03"</f>
        <v>2026-07-29 13:18:03</v>
      </c>
      <c r="L5095" s="1" t="str">
        <f>"2014-12-17 10:13:01"</f>
        <v>2014-12-17 10:13:01</v>
      </c>
      <c r="M5095" s="1" t="s">
        <v>45</v>
      </c>
      <c r="N5095" s="1" t="s">
        <v>38</v>
      </c>
      <c r="O5095" s="1" t="s">
        <v>46</v>
      </c>
    </row>
    <row r="5096" spans="2:15" x14ac:dyDescent="0.3">
      <c r="B5096" s="1" t="s">
        <v>23</v>
      </c>
      <c r="C5096" s="1" t="str">
        <f>"1차"</f>
        <v>1차</v>
      </c>
      <c r="D5096" s="1" t="str">
        <f>"0425G34201"</f>
        <v>0425G34201</v>
      </c>
      <c r="E5096" s="1" t="s">
        <v>10</v>
      </c>
      <c r="F5096" s="1" t="str">
        <f>"10.125.4.20"</f>
        <v>10.125.4.20</v>
      </c>
      <c r="G5096" s="1" t="str">
        <f>"0425G342"</f>
        <v>0425G342</v>
      </c>
      <c r="H5096" s="1" t="str">
        <f>"산성간 44L2R4R2"</f>
        <v>산성간 44L2R4R2</v>
      </c>
      <c r="I5096" s="1" t="s">
        <v>8</v>
      </c>
      <c r="J5096" s="1" t="str">
        <f>"3/47"</f>
        <v>3/47</v>
      </c>
      <c r="K5096" s="1" t="str">
        <f>"2026-07-25 18:23:46"</f>
        <v>2026-07-25 18:23:46</v>
      </c>
      <c r="L5096" s="1" t="str">
        <f>"2014-12-17 10:12:44"</f>
        <v>2014-12-17 10:12:44</v>
      </c>
      <c r="M5096" s="1" t="s">
        <v>45</v>
      </c>
      <c r="N5096" s="1" t="s">
        <v>38</v>
      </c>
      <c r="O5096" s="1" t="s">
        <v>46</v>
      </c>
    </row>
    <row r="5097" spans="2:15" x14ac:dyDescent="0.3">
      <c r="B5097" s="1" t="s">
        <v>23</v>
      </c>
      <c r="C5097" s="1" t="str">
        <f>"5-2차"</f>
        <v>5-2차</v>
      </c>
      <c r="D5097" s="1" t="str">
        <f>"0425G3715M"</f>
        <v>0425G3715M</v>
      </c>
      <c r="E5097" s="1" t="s">
        <v>10</v>
      </c>
      <c r="F5097" s="1" t="str">
        <f>"fde3:102:1440:4800:0:0:0:15"</f>
        <v>fde3:102:1440:4800:0:0:0:15</v>
      </c>
      <c r="G5097" s="1" t="str">
        <f>"0425G371"</f>
        <v>0425G371</v>
      </c>
      <c r="H5097" s="1" t="str">
        <f>"고랑지 6R22L2"</f>
        <v>고랑지 6R22L2</v>
      </c>
      <c r="I5097" s="1" t="s">
        <v>15</v>
      </c>
      <c r="J5097" s="1" t="str">
        <f>"33/33"</f>
        <v>33/33</v>
      </c>
      <c r="K5097" s="1" t="str">
        <f>"2026-07-28 20:03:27"</f>
        <v>2026-07-28 20:03:27</v>
      </c>
      <c r="L5097" s="1" t="str">
        <f>"2023-10-16 16:38:35"</f>
        <v>2023-10-16 16:38:35</v>
      </c>
      <c r="M5097" s="1" t="s">
        <v>45</v>
      </c>
      <c r="N5097" s="1" t="s">
        <v>38</v>
      </c>
      <c r="O5097" s="1" t="s">
        <v>46</v>
      </c>
    </row>
    <row r="5098" spans="2:15" x14ac:dyDescent="0.3">
      <c r="B5098" s="1" t="s">
        <v>23</v>
      </c>
      <c r="C5098" s="1" t="str">
        <f>"1차"</f>
        <v>1차</v>
      </c>
      <c r="D5098" s="1" t="str">
        <f>"0425G41400"</f>
        <v>0425G41400</v>
      </c>
      <c r="E5098" s="1" t="s">
        <v>10</v>
      </c>
      <c r="F5098" s="1" t="str">
        <f>"10.125.4.42"</f>
        <v>10.125.4.42</v>
      </c>
      <c r="G5098" s="1" t="str">
        <f>"0425G414"</f>
        <v>0425G414</v>
      </c>
      <c r="H5098" s="1" t="str">
        <f>"산성간 45R2R1"</f>
        <v>산성간 45R2R1</v>
      </c>
      <c r="I5098" s="1" t="s">
        <v>8</v>
      </c>
      <c r="J5098" s="1" t="str">
        <f>"32/32"</f>
        <v>32/32</v>
      </c>
      <c r="K5098" s="1" t="str">
        <f>"2026-07-29 13:18:03"</f>
        <v>2026-07-29 13:18:03</v>
      </c>
      <c r="L5098" s="1" t="str">
        <f>"2014-12-16 16:57:41"</f>
        <v>2014-12-16 16:57:41</v>
      </c>
      <c r="M5098" s="1" t="s">
        <v>45</v>
      </c>
      <c r="N5098" s="1" t="s">
        <v>38</v>
      </c>
      <c r="O5098" s="1" t="s">
        <v>46</v>
      </c>
    </row>
    <row r="5099" spans="2:15" x14ac:dyDescent="0.3">
      <c r="B5099" s="1" t="s">
        <v>23</v>
      </c>
      <c r="C5099" s="1" t="str">
        <f>"1차"</f>
        <v>1차</v>
      </c>
      <c r="D5099" s="1" t="str">
        <f>"0425G42200"</f>
        <v>0425G42200</v>
      </c>
      <c r="E5099" s="1" t="s">
        <v>10</v>
      </c>
      <c r="F5099" s="1" t="str">
        <f>"10.125.4.34"</f>
        <v>10.125.4.34</v>
      </c>
      <c r="G5099" s="1" t="str">
        <f>"0425G422"</f>
        <v>0425G422</v>
      </c>
      <c r="H5099" s="1" t="str">
        <f>"산성간 45R2L2"</f>
        <v>산성간 45R2L2</v>
      </c>
      <c r="I5099" s="1" t="s">
        <v>8</v>
      </c>
      <c r="J5099" s="1" t="str">
        <f>"27/27"</f>
        <v>27/27</v>
      </c>
      <c r="K5099" s="1" t="str">
        <f>"2026-07-29 13:18:03"</f>
        <v>2026-07-29 13:18:03</v>
      </c>
      <c r="L5099" s="1" t="str">
        <f>"2015-01-19 13:13:26"</f>
        <v>2015-01-19 13:13:26</v>
      </c>
      <c r="M5099" s="1" t="s">
        <v>45</v>
      </c>
      <c r="N5099" s="1" t="s">
        <v>38</v>
      </c>
      <c r="O5099" s="1" t="s">
        <v>46</v>
      </c>
    </row>
    <row r="5100" spans="2:15" x14ac:dyDescent="0.3">
      <c r="B5100" s="1" t="s">
        <v>23</v>
      </c>
      <c r="C5100" s="1" t="str">
        <f>"1차"</f>
        <v>1차</v>
      </c>
      <c r="D5100" s="1" t="str">
        <f>"0425G43100"</f>
        <v>0425G43100</v>
      </c>
      <c r="E5100" s="1" t="s">
        <v>10</v>
      </c>
      <c r="F5100" s="1" t="str">
        <f>"10.125.7.122"</f>
        <v>10.125.7.122</v>
      </c>
      <c r="G5100" s="1" t="str">
        <f>"0425G431"</f>
        <v>0425G431</v>
      </c>
      <c r="H5100" s="1" t="str">
        <f>"산성간 47"</f>
        <v>산성간 47</v>
      </c>
      <c r="I5100" s="1" t="s">
        <v>8</v>
      </c>
      <c r="J5100" s="1" t="str">
        <f>"16/16"</f>
        <v>16/16</v>
      </c>
      <c r="K5100" s="1" t="str">
        <f>"2026-07-29 13:18:03"</f>
        <v>2026-07-29 13:18:03</v>
      </c>
      <c r="L5100" s="1" t="str">
        <f>"2014-12-17 10:43:09"</f>
        <v>2014-12-17 10:43:09</v>
      </c>
      <c r="M5100" s="1" t="s">
        <v>45</v>
      </c>
      <c r="N5100" s="1" t="s">
        <v>38</v>
      </c>
      <c r="O5100" s="1" t="s">
        <v>46</v>
      </c>
    </row>
    <row r="5101" spans="2:15" x14ac:dyDescent="0.3">
      <c r="B5101" s="1" t="s">
        <v>23</v>
      </c>
      <c r="C5101" s="1" t="str">
        <f>"4차"</f>
        <v>4차</v>
      </c>
      <c r="D5101" s="1" t="str">
        <f>"0425G44242"</f>
        <v>0425G44242</v>
      </c>
      <c r="E5101" s="1" t="s">
        <v>10</v>
      </c>
      <c r="F5101" s="1" t="str">
        <f>"10.125.7.130"</f>
        <v>10.125.7.130</v>
      </c>
      <c r="G5101" s="1" t="str">
        <f>"0425G442"</f>
        <v>0425G442</v>
      </c>
      <c r="H5101" s="1" t="str">
        <f>"산성간 48R1"</f>
        <v>산성간 48R1</v>
      </c>
      <c r="I5101" s="1" t="s">
        <v>8</v>
      </c>
      <c r="J5101" s="1" t="str">
        <f>"4/9"</f>
        <v>4/9</v>
      </c>
      <c r="K5101" s="1" t="str">
        <f>"2026-07-29 13:18:03"</f>
        <v>2026-07-29 13:18:03</v>
      </c>
      <c r="L5101" s="1" t="str">
        <f>"2024-12-23 14:24:18"</f>
        <v>2024-12-23 14:24:18</v>
      </c>
      <c r="M5101" s="1" t="s">
        <v>45</v>
      </c>
      <c r="N5101" s="1" t="s">
        <v>38</v>
      </c>
      <c r="O5101" s="1" t="s">
        <v>46</v>
      </c>
    </row>
    <row r="5102" spans="2:15" x14ac:dyDescent="0.3">
      <c r="B5102" s="1" t="s">
        <v>23</v>
      </c>
      <c r="C5102" s="1" t="str">
        <f>"5-2차"</f>
        <v>5-2차</v>
      </c>
      <c r="D5102" s="1" t="str">
        <f>"0425G4815S"</f>
        <v>0425G4815S</v>
      </c>
      <c r="E5102" s="1" t="s">
        <v>10</v>
      </c>
      <c r="F5102" s="1" t="str">
        <f>"fde3:102:1440:4700:0:0:0:16"</f>
        <v>fde3:102:1440:4700:0:0:0:16</v>
      </c>
      <c r="G5102" s="1" t="str">
        <f>"0425G481"</f>
        <v>0425G481</v>
      </c>
      <c r="H5102" s="1" t="str">
        <f>"고랑지 6R22L4L1"</f>
        <v>고랑지 6R22L4L1</v>
      </c>
      <c r="I5102" s="1" t="s">
        <v>15</v>
      </c>
      <c r="J5102" s="1" t="str">
        <f>"46/46"</f>
        <v>46/46</v>
      </c>
      <c r="K5102" s="1" t="str">
        <f>"2026-07-29 14:20:48"</f>
        <v>2026-07-29 14:20:48</v>
      </c>
      <c r="L5102" s="1" t="str">
        <f>"2023-06-17 08:33:29"</f>
        <v>2023-06-17 08:33:29</v>
      </c>
      <c r="M5102" s="1" t="s">
        <v>45</v>
      </c>
      <c r="N5102" s="1" t="s">
        <v>38</v>
      </c>
      <c r="O5102" s="1" t="s">
        <v>46</v>
      </c>
    </row>
    <row r="5103" spans="2:15" x14ac:dyDescent="0.3">
      <c r="B5103" s="1" t="s">
        <v>23</v>
      </c>
      <c r="C5103" s="1" t="str">
        <f>"5-2차"</f>
        <v>5-2차</v>
      </c>
      <c r="D5103" s="1" t="str">
        <f>"0425G4835S"</f>
        <v>0425G4835S</v>
      </c>
      <c r="E5103" s="1" t="s">
        <v>10</v>
      </c>
      <c r="F5103" s="1" t="str">
        <f>"fde3:102:1440:4800:0:0:0:d"</f>
        <v>fde3:102:1440:4800:0:0:0:d</v>
      </c>
      <c r="G5103" s="1" t="str">
        <f>"0425G483"</f>
        <v>0425G483</v>
      </c>
      <c r="H5103" s="1" t="str">
        <f>"고랑지 6R22L4L2"</f>
        <v>고랑지 6R22L4L2</v>
      </c>
      <c r="I5103" s="1" t="s">
        <v>15</v>
      </c>
      <c r="J5103" s="1" t="str">
        <f>"66/66"</f>
        <v>66/66</v>
      </c>
      <c r="K5103" s="1" t="str">
        <f>"2026-07-29 14:21:16"</f>
        <v>2026-07-29 14:21:16</v>
      </c>
      <c r="L5103" s="1" t="str">
        <f>"2023-06-17 08:22:36"</f>
        <v>2023-06-17 08:22:36</v>
      </c>
      <c r="M5103" s="1" t="s">
        <v>45</v>
      </c>
      <c r="N5103" s="1" t="s">
        <v>38</v>
      </c>
      <c r="O5103" s="1" t="s">
        <v>46</v>
      </c>
    </row>
    <row r="5104" spans="2:15" x14ac:dyDescent="0.3">
      <c r="B5104" s="1" t="s">
        <v>23</v>
      </c>
      <c r="C5104" s="1" t="str">
        <f>"5-2차"</f>
        <v>5-2차</v>
      </c>
      <c r="D5104" s="1" t="str">
        <f>"0425G4935S"</f>
        <v>0425G4935S</v>
      </c>
      <c r="E5104" s="1" t="s">
        <v>10</v>
      </c>
      <c r="F5104" s="1" t="str">
        <f>"fde3:102:1440:4800:0:0:0:e"</f>
        <v>fde3:102:1440:4800:0:0:0:e</v>
      </c>
      <c r="G5104" s="1" t="str">
        <f>"0425G493"</f>
        <v>0425G493</v>
      </c>
      <c r="H5104" s="1" t="str">
        <f>"고랑지 6R22L4L3"</f>
        <v>고랑지 6R22L4L3</v>
      </c>
      <c r="I5104" s="1" t="s">
        <v>15</v>
      </c>
      <c r="J5104" s="1" t="str">
        <f>"61/61"</f>
        <v>61/61</v>
      </c>
      <c r="K5104" s="1" t="str">
        <f>"2026-07-29 14:21:16"</f>
        <v>2026-07-29 14:21:16</v>
      </c>
      <c r="L5104" s="1" t="str">
        <f>"2023-06-17 08:51:40"</f>
        <v>2023-06-17 08:51:40</v>
      </c>
      <c r="M5104" s="1" t="s">
        <v>45</v>
      </c>
      <c r="N5104" s="1" t="s">
        <v>38</v>
      </c>
      <c r="O5104" s="1" t="s">
        <v>46</v>
      </c>
    </row>
    <row r="5105" spans="2:15" x14ac:dyDescent="0.3">
      <c r="B5105" s="1" t="s">
        <v>23</v>
      </c>
      <c r="C5105" s="1" t="str">
        <f>"5-2차"</f>
        <v>5-2차</v>
      </c>
      <c r="D5105" s="1" t="str">
        <f>"0425G5025M"</f>
        <v>0425G5025M</v>
      </c>
      <c r="E5105" s="1" t="s">
        <v>10</v>
      </c>
      <c r="F5105" s="1" t="str">
        <f>"fde3:102:1440:4800:0:0:0:1f"</f>
        <v>fde3:102:1440:4800:0:0:0:1f</v>
      </c>
      <c r="G5105" s="1" t="str">
        <f>"0425G502"</f>
        <v>0425G502</v>
      </c>
      <c r="H5105" s="1" t="str">
        <f>"산성간 35R7"</f>
        <v>산성간 35R7</v>
      </c>
      <c r="I5105" s="1" t="s">
        <v>15</v>
      </c>
      <c r="J5105" s="1" t="str">
        <f>"47/47"</f>
        <v>47/47</v>
      </c>
      <c r="K5105" s="1" t="str">
        <f>"2026-07-29 14:20:48"</f>
        <v>2026-07-29 14:20:48</v>
      </c>
      <c r="L5105" s="1" t="str">
        <f>"2023-06-26 15:40:09"</f>
        <v>2023-06-26 15:40:09</v>
      </c>
      <c r="M5105" s="1" t="s">
        <v>45</v>
      </c>
      <c r="N5105" s="1" t="s">
        <v>38</v>
      </c>
      <c r="O5105" s="1" t="s">
        <v>46</v>
      </c>
    </row>
    <row r="5106" spans="2:15" x14ac:dyDescent="0.3">
      <c r="B5106" s="1" t="s">
        <v>23</v>
      </c>
      <c r="C5106" s="1" t="str">
        <f>"4차"</f>
        <v>4차</v>
      </c>
      <c r="D5106" s="1" t="str">
        <f>"0425G51142"</f>
        <v>0425G51142</v>
      </c>
      <c r="E5106" s="1" t="s">
        <v>10</v>
      </c>
      <c r="F5106" s="1" t="str">
        <f>"10.125.7.138"</f>
        <v>10.125.7.138</v>
      </c>
      <c r="G5106" s="1" t="str">
        <f>"0425G511"</f>
        <v>0425G511</v>
      </c>
      <c r="H5106" s="1" t="str">
        <f>"산성간 45R3"</f>
        <v>산성간 45R3</v>
      </c>
      <c r="I5106" s="1" t="s">
        <v>8</v>
      </c>
      <c r="J5106" s="1" t="str">
        <f>"68/68"</f>
        <v>68/68</v>
      </c>
      <c r="K5106" s="1" t="str">
        <f>"2026-07-29 13:18:03"</f>
        <v>2026-07-29 13:18:03</v>
      </c>
      <c r="L5106" s="1" t="str">
        <f>"2025-11-14 15:18:30"</f>
        <v>2025-11-14 15:18:30</v>
      </c>
      <c r="M5106" s="1" t="s">
        <v>45</v>
      </c>
      <c r="N5106" s="1" t="s">
        <v>38</v>
      </c>
      <c r="O5106" s="1" t="s">
        <v>46</v>
      </c>
    </row>
    <row r="5107" spans="2:15" x14ac:dyDescent="0.3">
      <c r="B5107" s="1" t="s">
        <v>23</v>
      </c>
      <c r="C5107" s="1" t="str">
        <f>"5-2차"</f>
        <v>5-2차</v>
      </c>
      <c r="D5107" s="1" t="str">
        <f>"0425G5145S"</f>
        <v>0425G5145S</v>
      </c>
      <c r="E5107" s="1" t="s">
        <v>10</v>
      </c>
      <c r="F5107" s="1" t="str">
        <f>"fde3:102:1440:4500:0:0:0:c"</f>
        <v>fde3:102:1440:4500:0:0:0:c</v>
      </c>
      <c r="G5107" s="1" t="str">
        <f>"0425G514"</f>
        <v>0425G514</v>
      </c>
      <c r="H5107" s="1" t="str">
        <f>"산성간 45R6"</f>
        <v>산성간 45R6</v>
      </c>
      <c r="I5107" s="1" t="s">
        <v>15</v>
      </c>
      <c r="J5107" s="1" t="str">
        <f>"22/22"</f>
        <v>22/22</v>
      </c>
      <c r="K5107" s="1" t="str">
        <f>"2026-07-29 14:20:34"</f>
        <v>2026-07-29 14:20:34</v>
      </c>
      <c r="L5107" s="1" t="str">
        <f>"2023-06-22 17:06:33"</f>
        <v>2023-06-22 17:06:33</v>
      </c>
      <c r="M5107" s="1" t="s">
        <v>45</v>
      </c>
      <c r="N5107" s="1" t="s">
        <v>38</v>
      </c>
      <c r="O5107" s="1" t="s">
        <v>46</v>
      </c>
    </row>
    <row r="5108" spans="2:15" x14ac:dyDescent="0.3">
      <c r="B5108" s="1" t="s">
        <v>23</v>
      </c>
      <c r="C5108" s="1" t="str">
        <f>"5-2차"</f>
        <v>5-2차</v>
      </c>
      <c r="D5108" s="1" t="str">
        <f>"0425G5235S"</f>
        <v>0425G5235S</v>
      </c>
      <c r="E5108" s="1" t="s">
        <v>10</v>
      </c>
      <c r="F5108" s="1" t="str">
        <f>"fde3:102:1440:4500:0:0:0:b"</f>
        <v>fde3:102:1440:4500:0:0:0:b</v>
      </c>
      <c r="G5108" s="1" t="str">
        <f>"0425G523"</f>
        <v>0425G523</v>
      </c>
      <c r="H5108" s="1" t="str">
        <f>"산성간 45R3L2"</f>
        <v>산성간 45R3L2</v>
      </c>
      <c r="I5108" s="1" t="s">
        <v>15</v>
      </c>
      <c r="J5108" s="1" t="str">
        <f>"49/49"</f>
        <v>49/49</v>
      </c>
      <c r="K5108" s="1" t="str">
        <f>"2026-07-29 14:21:29"</f>
        <v>2026-07-29 14:21:29</v>
      </c>
      <c r="L5108" s="1" t="str">
        <f>"2023-07-28 12:37:52"</f>
        <v>2023-07-28 12:37:52</v>
      </c>
      <c r="M5108" s="1" t="s">
        <v>45</v>
      </c>
      <c r="N5108" s="1" t="s">
        <v>38</v>
      </c>
      <c r="O5108" s="1" t="s">
        <v>46</v>
      </c>
    </row>
    <row r="5109" spans="2:15" x14ac:dyDescent="0.3">
      <c r="B5109" s="1" t="s">
        <v>23</v>
      </c>
      <c r="C5109" s="1" t="str">
        <f>"1차"</f>
        <v>1차</v>
      </c>
      <c r="D5109" s="1" t="str">
        <f>"0425G53200"</f>
        <v>0425G53200</v>
      </c>
      <c r="E5109" s="1" t="s">
        <v>10</v>
      </c>
      <c r="F5109" s="1" t="str">
        <f>"10.125.7.2"</f>
        <v>10.125.7.2</v>
      </c>
      <c r="G5109" s="1" t="str">
        <f>"0425G532"</f>
        <v>0425G532</v>
      </c>
      <c r="H5109" s="1" t="str">
        <f>"산성간 45R1L3"</f>
        <v>산성간 45R1L3</v>
      </c>
      <c r="I5109" s="1" t="s">
        <v>8</v>
      </c>
      <c r="J5109" s="1" t="str">
        <f>"27/27"</f>
        <v>27/27</v>
      </c>
      <c r="K5109" s="1" t="str">
        <f>"2026-07-29 13:18:03"</f>
        <v>2026-07-29 13:18:03</v>
      </c>
      <c r="L5109" s="1" t="str">
        <f>"2014-12-17 10:57:48"</f>
        <v>2014-12-17 10:57:48</v>
      </c>
      <c r="M5109" s="1" t="s">
        <v>45</v>
      </c>
      <c r="N5109" s="1" t="s">
        <v>38</v>
      </c>
      <c r="O5109" s="1" t="s">
        <v>46</v>
      </c>
    </row>
    <row r="5110" spans="2:15" x14ac:dyDescent="0.3">
      <c r="B5110" s="1" t="s">
        <v>23</v>
      </c>
      <c r="C5110" s="1" t="str">
        <f>"1차"</f>
        <v>1차</v>
      </c>
      <c r="D5110" s="1" t="str">
        <f>"0425G53401"</f>
        <v>0425G53401</v>
      </c>
      <c r="E5110" s="1" t="s">
        <v>10</v>
      </c>
      <c r="F5110" s="1" t="str">
        <f>"10.125.4.35"</f>
        <v>10.125.4.35</v>
      </c>
      <c r="G5110" s="1" t="str">
        <f>"0425G534"</f>
        <v>0425G534</v>
      </c>
      <c r="H5110" s="1" t="str">
        <f>"산성간 45R2L4"</f>
        <v>산성간 45R2L4</v>
      </c>
      <c r="I5110" s="1" t="s">
        <v>8</v>
      </c>
      <c r="J5110" s="1" t="str">
        <f>"49/49"</f>
        <v>49/49</v>
      </c>
      <c r="K5110" s="1" t="str">
        <f>"2026-07-29 13:18:03"</f>
        <v>2026-07-29 13:18:03</v>
      </c>
      <c r="L5110" s="1" t="str">
        <f>"2015-01-19 13:29:31"</f>
        <v>2015-01-19 13:29:31</v>
      </c>
      <c r="M5110" s="1" t="s">
        <v>45</v>
      </c>
      <c r="N5110" s="1" t="s">
        <v>38</v>
      </c>
      <c r="O5110" s="1" t="s">
        <v>46</v>
      </c>
    </row>
    <row r="5111" spans="2:15" x14ac:dyDescent="0.3">
      <c r="B5111" s="1" t="s">
        <v>23</v>
      </c>
      <c r="C5111" s="1" t="str">
        <f>"1차"</f>
        <v>1차</v>
      </c>
      <c r="D5111" s="1" t="str">
        <f>"0425G56100"</f>
        <v>0425G56100</v>
      </c>
      <c r="E5111" s="1" t="s">
        <v>10</v>
      </c>
      <c r="F5111" s="1" t="str">
        <f>"10.125.4.50"</f>
        <v>10.125.4.50</v>
      </c>
      <c r="G5111" s="1" t="str">
        <f>"0425G561"</f>
        <v>0425G561</v>
      </c>
      <c r="H5111" s="1" t="str">
        <f>"고랑지 6R23L3"</f>
        <v>고랑지 6R23L3</v>
      </c>
      <c r="I5111" s="1" t="s">
        <v>8</v>
      </c>
      <c r="J5111" s="1" t="str">
        <f>"86/104"</f>
        <v>86/104</v>
      </c>
      <c r="K5111" s="1" t="str">
        <f>"2026-07-29 13:18:03"</f>
        <v>2026-07-29 13:18:03</v>
      </c>
      <c r="L5111" s="1" t="str">
        <f>"2014-12-17 10:13:08"</f>
        <v>2014-12-17 10:13:08</v>
      </c>
      <c r="M5111" s="1" t="s">
        <v>45</v>
      </c>
      <c r="N5111" s="1" t="s">
        <v>38</v>
      </c>
      <c r="O5111" s="1" t="s">
        <v>46</v>
      </c>
    </row>
    <row r="5112" spans="2:15" x14ac:dyDescent="0.3">
      <c r="B5112" s="1" t="s">
        <v>23</v>
      </c>
      <c r="C5112" s="1" t="str">
        <f>"4차"</f>
        <v>4차</v>
      </c>
      <c r="D5112" s="1" t="str">
        <f>"0425G56241"</f>
        <v>0425G56241</v>
      </c>
      <c r="E5112" s="1" t="s">
        <v>10</v>
      </c>
      <c r="F5112" s="1" t="str">
        <f>"10.12.134.200"</f>
        <v>10.12.134.200</v>
      </c>
      <c r="G5112" s="1" t="str">
        <f>"0425G562"</f>
        <v>0425G562</v>
      </c>
      <c r="H5112" s="1" t="str">
        <f>"고랑지 6R23L3R1"</f>
        <v>고랑지 6R23L3R1</v>
      </c>
      <c r="I5112" s="1" t="s">
        <v>17</v>
      </c>
      <c r="J5112" s="1" t="str">
        <f>"44/45"</f>
        <v>44/45</v>
      </c>
      <c r="K5112" s="1" t="str">
        <f>"2026-07-29 13:18:03"</f>
        <v>2026-07-29 13:18:03</v>
      </c>
      <c r="L5112" s="1" t="str">
        <f>"2021-08-27 06:46:57"</f>
        <v>2021-08-27 06:46:57</v>
      </c>
      <c r="M5112" s="1" t="s">
        <v>0</v>
      </c>
      <c r="N5112" s="1" t="s">
        <v>38</v>
      </c>
      <c r="O5112" s="1" t="s">
        <v>46</v>
      </c>
    </row>
    <row r="5113" spans="2:15" x14ac:dyDescent="0.3">
      <c r="B5113" s="1" t="s">
        <v>23</v>
      </c>
      <c r="C5113" s="1" t="str">
        <f>"5-2차"</f>
        <v>5-2차</v>
      </c>
      <c r="D5113" s="1" t="str">
        <f>"0425G5815S"</f>
        <v>0425G5815S</v>
      </c>
      <c r="E5113" s="1" t="s">
        <v>10</v>
      </c>
      <c r="F5113" s="1" t="str">
        <f>"fde3:102:1440:4800:0:0:0:1a"</f>
        <v>fde3:102:1440:4800:0:0:0:1a</v>
      </c>
      <c r="G5113" s="1" t="str">
        <f>"0425G581"</f>
        <v>0425G581</v>
      </c>
      <c r="H5113" s="1" t="str">
        <f>"고랑지 6R22L5"</f>
        <v>고랑지 6R22L5</v>
      </c>
      <c r="I5113" s="1" t="s">
        <v>15</v>
      </c>
      <c r="J5113" s="1" t="str">
        <f>"110/110"</f>
        <v>110/110</v>
      </c>
      <c r="K5113" s="1" t="str">
        <f>"2026-07-29 14:21:28"</f>
        <v>2026-07-29 14:21:28</v>
      </c>
      <c r="L5113" s="1" t="str">
        <f>"2023-06-17 08:52:26"</f>
        <v>2023-06-17 08:52:26</v>
      </c>
      <c r="M5113" s="1" t="s">
        <v>45</v>
      </c>
      <c r="N5113" s="1" t="s">
        <v>38</v>
      </c>
      <c r="O5113" s="1" t="s">
        <v>46</v>
      </c>
    </row>
    <row r="5114" spans="2:15" x14ac:dyDescent="0.3">
      <c r="B5114" s="1" t="s">
        <v>23</v>
      </c>
      <c r="C5114" s="1" t="str">
        <f>"5-1차"</f>
        <v>5-1차</v>
      </c>
      <c r="D5114" s="1" t="str">
        <f>"0425G6215S"</f>
        <v>0425G6215S</v>
      </c>
      <c r="E5114" s="1" t="s">
        <v>10</v>
      </c>
      <c r="F5114" s="1" t="str">
        <f>"fde3:102:1440:4500:0:0:0:2"</f>
        <v>fde3:102:1440:4500:0:0:0:2</v>
      </c>
      <c r="G5114" s="1" t="str">
        <f>"0425G621"</f>
        <v>0425G621</v>
      </c>
      <c r="H5114" s="1" t="str">
        <f>"산성간 45R7"</f>
        <v>산성간 45R7</v>
      </c>
      <c r="I5114" s="1" t="s">
        <v>15</v>
      </c>
      <c r="J5114" s="1" t="str">
        <f>"18/18"</f>
        <v>18/18</v>
      </c>
      <c r="K5114" s="1" t="str">
        <f>"2026-07-29 14:20:48"</f>
        <v>2026-07-29 14:20:48</v>
      </c>
      <c r="L5114" s="1" t="str">
        <f>"2022-10-24 14:01:03"</f>
        <v>2022-10-24 14:01:03</v>
      </c>
      <c r="M5114" s="1" t="s">
        <v>45</v>
      </c>
      <c r="N5114" s="1" t="s">
        <v>38</v>
      </c>
      <c r="O5114" s="1" t="s">
        <v>46</v>
      </c>
    </row>
    <row r="5115" spans="2:15" x14ac:dyDescent="0.3">
      <c r="B5115" s="1" t="s">
        <v>23</v>
      </c>
      <c r="C5115" s="1" t="str">
        <f>"4차"</f>
        <v>4차</v>
      </c>
      <c r="D5115" s="1" t="str">
        <f>"0425G67339"</f>
        <v>0425G67339</v>
      </c>
      <c r="E5115" s="1" t="s">
        <v>10</v>
      </c>
      <c r="F5115" s="1" t="str">
        <f>"10.14.11.63"</f>
        <v>10.14.11.63</v>
      </c>
      <c r="G5115" s="1" t="str">
        <f>"0425G673"</f>
        <v>0425G673</v>
      </c>
      <c r="H5115" s="1" t="str">
        <f>"고랑지 6R23L6"</f>
        <v>고랑지 6R23L6</v>
      </c>
      <c r="I5115" s="1" t="s">
        <v>17</v>
      </c>
      <c r="J5115" s="1" t="str">
        <f>"74/74"</f>
        <v>74/74</v>
      </c>
      <c r="K5115" s="1" t="str">
        <f>"2026-07-29 13:18:05"</f>
        <v>2026-07-29 13:18:05</v>
      </c>
      <c r="L5115" s="1" t="str">
        <f>"2018-09-20 12:45:13"</f>
        <v>2018-09-20 12:45:13</v>
      </c>
      <c r="M5115" s="1" t="s">
        <v>3</v>
      </c>
      <c r="N5115" s="1" t="s">
        <v>38</v>
      </c>
      <c r="O5115" s="1" t="s">
        <v>46</v>
      </c>
    </row>
    <row r="5116" spans="2:15" x14ac:dyDescent="0.3">
      <c r="B5116" s="1" t="s">
        <v>23</v>
      </c>
      <c r="C5116" s="1" t="str">
        <f>"4차"</f>
        <v>4차</v>
      </c>
      <c r="D5116" s="1" t="str">
        <f>"0425G68141"</f>
        <v>0425G68141</v>
      </c>
      <c r="E5116" s="1" t="s">
        <v>10</v>
      </c>
      <c r="F5116" s="1" t="str">
        <f>"10.12.131.133"</f>
        <v>10.12.131.133</v>
      </c>
      <c r="G5116" s="1" t="str">
        <f>"0425G681"</f>
        <v>0425G681</v>
      </c>
      <c r="H5116" s="1" t="str">
        <f>"고랑지 6R23L7"</f>
        <v>고랑지 6R23L7</v>
      </c>
      <c r="I5116" s="1" t="s">
        <v>17</v>
      </c>
      <c r="J5116" s="1" t="str">
        <f>"32/40"</f>
        <v>32/40</v>
      </c>
      <c r="K5116" s="1" t="str">
        <f>"2026-07-29 13:18:02"</f>
        <v>2026-07-29 13:18:02</v>
      </c>
      <c r="L5116" s="1" t="str">
        <f>"2021-08-27 07:32:36"</f>
        <v>2021-08-27 07:32:36</v>
      </c>
      <c r="M5116" s="1" t="s">
        <v>0</v>
      </c>
      <c r="N5116" s="1" t="s">
        <v>38</v>
      </c>
      <c r="O5116" s="1" t="s">
        <v>46</v>
      </c>
    </row>
    <row r="5117" spans="2:15" x14ac:dyDescent="0.3">
      <c r="B5117" s="1" t="s">
        <v>23</v>
      </c>
      <c r="C5117" s="1" t="str">
        <f>"5-2차"</f>
        <v>5-2차</v>
      </c>
      <c r="D5117" s="1" t="str">
        <f>"0425G7025S"</f>
        <v>0425G7025S</v>
      </c>
      <c r="E5117" s="1" t="s">
        <v>10</v>
      </c>
      <c r="F5117" s="1" t="str">
        <f>"fde3:102:1440:4800:0:0:0:20"</f>
        <v>fde3:102:1440:4800:0:0:0:20</v>
      </c>
      <c r="G5117" s="1" t="str">
        <f>"0425G702"</f>
        <v>0425G702</v>
      </c>
      <c r="H5117" s="1" t="str">
        <f>"산성간 35R9R2"</f>
        <v>산성간 35R9R2</v>
      </c>
      <c r="I5117" s="1" t="s">
        <v>15</v>
      </c>
      <c r="J5117" s="1" t="str">
        <f>"83/83"</f>
        <v>83/83</v>
      </c>
      <c r="K5117" s="1" t="str">
        <f>"2026-07-29 14:21:01"</f>
        <v>2026-07-29 14:21:01</v>
      </c>
      <c r="L5117" s="1" t="str">
        <f>"2023-06-13 05:42:35"</f>
        <v>2023-06-13 05:42:35</v>
      </c>
      <c r="M5117" s="1" t="s">
        <v>45</v>
      </c>
      <c r="N5117" s="1" t="s">
        <v>38</v>
      </c>
      <c r="O5117" s="1" t="s">
        <v>46</v>
      </c>
    </row>
    <row r="5118" spans="2:15" x14ac:dyDescent="0.3">
      <c r="B5118" s="1" t="s">
        <v>23</v>
      </c>
      <c r="C5118" s="1" t="str">
        <f>"5-2차"</f>
        <v>5-2차</v>
      </c>
      <c r="D5118" s="1" t="str">
        <f>"0425G7215S"</f>
        <v>0425G7215S</v>
      </c>
      <c r="E5118" s="1" t="s">
        <v>10</v>
      </c>
      <c r="F5118" s="1" t="str">
        <f>"fde3:102:1440:4800:0:0:0:22"</f>
        <v>fde3:102:1440:4800:0:0:0:22</v>
      </c>
      <c r="G5118" s="1" t="str">
        <f>"0425G721"</f>
        <v>0425G721</v>
      </c>
      <c r="H5118" s="1" t="str">
        <f>"산성간 35R9L4"</f>
        <v>산성간 35R9L4</v>
      </c>
      <c r="I5118" s="1" t="s">
        <v>15</v>
      </c>
      <c r="J5118" s="1" t="str">
        <f>"33/33"</f>
        <v>33/33</v>
      </c>
      <c r="K5118" s="1" t="str">
        <f>"2026-07-29 14:21:16"</f>
        <v>2026-07-29 14:21:16</v>
      </c>
      <c r="L5118" s="1" t="str">
        <f>"2023-06-09 13:30:34"</f>
        <v>2023-06-09 13:30:34</v>
      </c>
      <c r="M5118" s="1" t="s">
        <v>45</v>
      </c>
      <c r="N5118" s="1" t="s">
        <v>38</v>
      </c>
      <c r="O5118" s="1" t="s">
        <v>46</v>
      </c>
    </row>
    <row r="5119" spans="2:15" x14ac:dyDescent="0.3">
      <c r="B5119" s="1" t="s">
        <v>23</v>
      </c>
      <c r="C5119" s="1" t="str">
        <f>"5-2차"</f>
        <v>5-2차</v>
      </c>
      <c r="D5119" s="1" t="str">
        <f>"0425G7415M"</f>
        <v>0425G7415M</v>
      </c>
      <c r="E5119" s="1" t="s">
        <v>10</v>
      </c>
      <c r="F5119" s="1" t="str">
        <f>"fde3:102:1440:4500:0:0:0:24"</f>
        <v>fde3:102:1440:4500:0:0:0:24</v>
      </c>
      <c r="G5119" s="1" t="str">
        <f>"0425G741"</f>
        <v>0425G741</v>
      </c>
      <c r="H5119" s="1" t="str">
        <f>"고랑지 6R26R4"</f>
        <v>고랑지 6R26R4</v>
      </c>
      <c r="I5119" s="1" t="s">
        <v>15</v>
      </c>
      <c r="J5119" s="1" t="str">
        <f>"130/132"</f>
        <v>130/132</v>
      </c>
      <c r="K5119" s="1" t="str">
        <f>"2026-07-29 14:21:17"</f>
        <v>2026-07-29 14:21:17</v>
      </c>
      <c r="L5119" s="1" t="str">
        <f>"2024-01-10 16:28:14"</f>
        <v>2024-01-10 16:28:14</v>
      </c>
      <c r="M5119" s="1" t="s">
        <v>45</v>
      </c>
      <c r="N5119" s="1" t="s">
        <v>38</v>
      </c>
      <c r="O5119" s="1" t="s">
        <v>46</v>
      </c>
    </row>
    <row r="5120" spans="2:15" x14ac:dyDescent="0.3">
      <c r="B5120" s="1" t="s">
        <v>23</v>
      </c>
      <c r="C5120" s="1" t="str">
        <f>"5-2차"</f>
        <v>5-2차</v>
      </c>
      <c r="D5120" s="1" t="str">
        <f>"0425G7425M"</f>
        <v>0425G7425M</v>
      </c>
      <c r="E5120" s="1" t="s">
        <v>10</v>
      </c>
      <c r="F5120" s="1" t="str">
        <f>"fde3:102:1440:4500:0:0:0:a"</f>
        <v>fde3:102:1440:4500:0:0:0:a</v>
      </c>
      <c r="G5120" s="1" t="str">
        <f>"0425G742"</f>
        <v>0425G742</v>
      </c>
      <c r="H5120" s="1" t="str">
        <f>"고랑지 6R26R5"</f>
        <v>고랑지 6R26R5</v>
      </c>
      <c r="I5120" s="1" t="s">
        <v>15</v>
      </c>
      <c r="J5120" s="1" t="str">
        <f>"104/104"</f>
        <v>104/104</v>
      </c>
      <c r="K5120" s="1" t="str">
        <f>"2026-07-29 14:21:16"</f>
        <v>2026-07-29 14:21:16</v>
      </c>
      <c r="L5120" s="1" t="str">
        <f>"2023-06-13 16:45:13"</f>
        <v>2023-06-13 16:45:13</v>
      </c>
      <c r="M5120" s="1" t="s">
        <v>45</v>
      </c>
      <c r="N5120" s="1" t="s">
        <v>38</v>
      </c>
      <c r="O5120" s="1" t="s">
        <v>46</v>
      </c>
    </row>
    <row r="5121" spans="2:15" x14ac:dyDescent="0.3">
      <c r="B5121" s="1" t="s">
        <v>23</v>
      </c>
      <c r="C5121" s="1" t="str">
        <f>"5-2차"</f>
        <v>5-2차</v>
      </c>
      <c r="D5121" s="1" t="str">
        <f>"0425G8425M"</f>
        <v>0425G8425M</v>
      </c>
      <c r="E5121" s="1" t="s">
        <v>10</v>
      </c>
      <c r="F5121" s="1" t="str">
        <f>"fde3:102:1440:4500:0:0:0:25"</f>
        <v>fde3:102:1440:4500:0:0:0:25</v>
      </c>
      <c r="G5121" s="1" t="str">
        <f>"0425G842"</f>
        <v>0425G842</v>
      </c>
      <c r="H5121" s="1" t="str">
        <f>"고랑지 6R26R7"</f>
        <v>고랑지 6R26R7</v>
      </c>
      <c r="I5121" s="1" t="s">
        <v>15</v>
      </c>
      <c r="J5121" s="1" t="str">
        <f>"100/100"</f>
        <v>100/100</v>
      </c>
      <c r="K5121" s="1" t="str">
        <f>"2026-07-29 14:21:24"</f>
        <v>2026-07-29 14:21:24</v>
      </c>
      <c r="L5121" s="1" t="str">
        <f>"2024-01-10 15:46:33"</f>
        <v>2024-01-10 15:46:33</v>
      </c>
      <c r="M5121" s="1" t="s">
        <v>45</v>
      </c>
      <c r="N5121" s="1" t="s">
        <v>38</v>
      </c>
      <c r="O5121" s="1" t="s">
        <v>46</v>
      </c>
    </row>
    <row r="5122" spans="2:15" x14ac:dyDescent="0.3">
      <c r="B5122" s="1" t="s">
        <v>23</v>
      </c>
      <c r="C5122" s="1" t="str">
        <f>"4차"</f>
        <v>4차</v>
      </c>
      <c r="D5122" s="1" t="str">
        <f>"0425G85141"</f>
        <v>0425G85141</v>
      </c>
      <c r="E5122" s="1" t="s">
        <v>10</v>
      </c>
      <c r="F5122" s="1" t="str">
        <f>"10.14.4.34"</f>
        <v>10.14.4.34</v>
      </c>
      <c r="G5122" s="1" t="str">
        <f>"0425G851"</f>
        <v>0425G851</v>
      </c>
      <c r="H5122" s="1" t="str">
        <f>"고랑지 6R31"</f>
        <v>고랑지 6R31</v>
      </c>
      <c r="I5122" s="1" t="s">
        <v>17</v>
      </c>
      <c r="J5122" s="1" t="str">
        <f>"20/20"</f>
        <v>20/20</v>
      </c>
      <c r="K5122" s="1" t="str">
        <f>"2026-07-29 13:18:02"</f>
        <v>2026-07-29 13:18:02</v>
      </c>
      <c r="L5122" s="1" t="str">
        <f>"2021-08-27 08:04:44"</f>
        <v>2021-08-27 08:04:44</v>
      </c>
      <c r="M5122" s="1" t="s">
        <v>3</v>
      </c>
      <c r="N5122" s="1" t="s">
        <v>38</v>
      </c>
      <c r="O5122" s="1" t="s">
        <v>46</v>
      </c>
    </row>
    <row r="5123" spans="2:15" x14ac:dyDescent="0.3">
      <c r="B5123" s="1" t="s">
        <v>23</v>
      </c>
      <c r="C5123" s="1" t="str">
        <f>"3차"</f>
        <v>3차</v>
      </c>
      <c r="D5123" s="1" t="str">
        <f>"0425G85239"</f>
        <v>0425G85239</v>
      </c>
      <c r="E5123" s="1" t="str">
        <f>"검침실패(3시간 이상)"</f>
        <v>검침실패(3시간 이상)</v>
      </c>
      <c r="F5123" s="1" t="str">
        <f>"10.12.130.68"</f>
        <v>10.12.130.68</v>
      </c>
      <c r="G5123" s="1" t="str">
        <f>"0425G852"</f>
        <v>0425G852</v>
      </c>
      <c r="H5123" s="1" t="str">
        <f>"고랑지 6R30"</f>
        <v>고랑지 6R30</v>
      </c>
      <c r="I5123" s="1" t="s">
        <v>17</v>
      </c>
      <c r="J5123" s="1" t="str">
        <f>"0/44"</f>
        <v>0/44</v>
      </c>
      <c r="K5123" s="1" t="str">
        <f>"2026-07-03 01:18:02"</f>
        <v>2026-07-03 01:18:02</v>
      </c>
      <c r="L5123" s="1" t="str">
        <f>"2018-09-20 13:26:42"</f>
        <v>2018-09-20 13:26:42</v>
      </c>
      <c r="M5123" s="1" t="s">
        <v>0</v>
      </c>
      <c r="N5123" s="1" t="s">
        <v>38</v>
      </c>
      <c r="O5123" s="1" t="s">
        <v>46</v>
      </c>
    </row>
    <row r="5124" spans="2:15" x14ac:dyDescent="0.3">
      <c r="B5124" s="1" t="s">
        <v>23</v>
      </c>
      <c r="C5124" s="1" t="str">
        <f>"4차"</f>
        <v>4차</v>
      </c>
      <c r="D5124" s="1" t="str">
        <f>"0425G95441"</f>
        <v>0425G95441</v>
      </c>
      <c r="E5124" s="1" t="s">
        <v>10</v>
      </c>
      <c r="F5124" s="1" t="str">
        <f>"10.12.130.229"</f>
        <v>10.12.130.229</v>
      </c>
      <c r="G5124" s="1" t="str">
        <f>"0425G954"</f>
        <v>0425G954</v>
      </c>
      <c r="H5124" s="1" t="str">
        <f>"고랑지 6R33"</f>
        <v>고랑지 6R33</v>
      </c>
      <c r="I5124" s="1" t="s">
        <v>17</v>
      </c>
      <c r="J5124" s="1" t="str">
        <f>"6/6"</f>
        <v>6/6</v>
      </c>
      <c r="K5124" s="1" t="str">
        <f>"2026-07-29 13:18:03"</f>
        <v>2026-07-29 13:18:03</v>
      </c>
      <c r="L5124" s="1" t="str">
        <f>"2021-08-30 07:03:58"</f>
        <v>2021-08-30 07:03:58</v>
      </c>
      <c r="M5124" s="1" t="s">
        <v>0</v>
      </c>
      <c r="N5124" s="1" t="s">
        <v>38</v>
      </c>
      <c r="O5124" s="1" t="s">
        <v>46</v>
      </c>
    </row>
    <row r="5125" spans="2:15" x14ac:dyDescent="0.3">
      <c r="B5125" s="1" t="s">
        <v>23</v>
      </c>
      <c r="C5125" s="1" t="str">
        <f>"5-2차"</f>
        <v>5-2차</v>
      </c>
      <c r="D5125" s="1" t="str">
        <f>"0425H0215M"</f>
        <v>0425H0215M</v>
      </c>
      <c r="E5125" s="1" t="s">
        <v>10</v>
      </c>
      <c r="F5125" s="1" t="str">
        <f>"fde3:102:1440:4800:0:0:0:21"</f>
        <v>fde3:102:1440:4800:0:0:0:21</v>
      </c>
      <c r="G5125" s="1" t="str">
        <f>"0425H021"</f>
        <v>0425H021</v>
      </c>
      <c r="H5125" s="1" t="str">
        <f>"산성간 35R13"</f>
        <v>산성간 35R13</v>
      </c>
      <c r="I5125" s="1" t="s">
        <v>15</v>
      </c>
      <c r="J5125" s="1" t="str">
        <f>"39/39"</f>
        <v>39/39</v>
      </c>
      <c r="K5125" s="1" t="str">
        <f>"2026-07-29 14:21:17"</f>
        <v>2026-07-29 14:21:17</v>
      </c>
      <c r="L5125" s="1" t="str">
        <f>"2023-06-26 15:55:24"</f>
        <v>2023-06-26 15:55:24</v>
      </c>
      <c r="M5125" s="1" t="s">
        <v>45</v>
      </c>
      <c r="N5125" s="1" t="s">
        <v>38</v>
      </c>
      <c r="O5125" s="1" t="s">
        <v>46</v>
      </c>
    </row>
    <row r="5126" spans="2:15" x14ac:dyDescent="0.3">
      <c r="B5126" s="1" t="s">
        <v>23</v>
      </c>
      <c r="C5126" s="1" t="str">
        <f>"5-1차"</f>
        <v>5-1차</v>
      </c>
      <c r="D5126" s="1" t="str">
        <f>"0425P9915S"</f>
        <v>0425P9915S</v>
      </c>
      <c r="E5126" s="1" t="s">
        <v>10</v>
      </c>
      <c r="F5126" s="1" t="str">
        <f>"fde3:102:1440:4700:0:0:0:3"</f>
        <v>fde3:102:1440:4700:0:0:0:3</v>
      </c>
      <c r="G5126" s="1" t="str">
        <f>"0425P991"</f>
        <v>0425P991</v>
      </c>
      <c r="H5126" s="1" t="str">
        <f>"세종지 19R2R1"</f>
        <v>세종지 19R2R1</v>
      </c>
      <c r="I5126" s="1" t="s">
        <v>15</v>
      </c>
      <c r="J5126" s="1" t="str">
        <f>"45/45"</f>
        <v>45/45</v>
      </c>
      <c r="K5126" s="1" t="str">
        <f>"2026-07-29 14:21:02"</f>
        <v>2026-07-29 14:21:02</v>
      </c>
      <c r="L5126" s="1" t="str">
        <f>"2022-10-25 10:37:14"</f>
        <v>2022-10-25 10:37:14</v>
      </c>
      <c r="M5126" s="1" t="s">
        <v>45</v>
      </c>
      <c r="N5126" s="1" t="s">
        <v>38</v>
      </c>
      <c r="O5126" s="1" t="s">
        <v>46</v>
      </c>
    </row>
    <row r="5127" spans="2:15" x14ac:dyDescent="0.3">
      <c r="B5127" s="1" t="s">
        <v>23</v>
      </c>
      <c r="C5127" s="1" t="str">
        <f>"5-2차"</f>
        <v>5-2차</v>
      </c>
      <c r="D5127" s="1" t="str">
        <f>"0425Q0015M"</f>
        <v>0425Q0015M</v>
      </c>
      <c r="E5127" s="1" t="s">
        <v>10</v>
      </c>
      <c r="F5127" s="1" t="str">
        <f>"fde3:102:1440:1500:0:0:0:10"</f>
        <v>fde3:102:1440:1500:0:0:0:10</v>
      </c>
      <c r="G5127" s="1" t="str">
        <f>"0425Q001"</f>
        <v>0425Q001</v>
      </c>
      <c r="H5127" s="1" t="str">
        <f>"산성간 28L10R1L8"</f>
        <v>산성간 28L10R1L8</v>
      </c>
      <c r="I5127" s="1" t="s">
        <v>15</v>
      </c>
      <c r="J5127" s="1" t="str">
        <f>"91/91"</f>
        <v>91/91</v>
      </c>
      <c r="K5127" s="1" t="str">
        <f>"2026-07-29 14:21:17"</f>
        <v>2026-07-29 14:21:17</v>
      </c>
      <c r="L5127" s="1" t="str">
        <f>"2023-08-22 16:24:33"</f>
        <v>2023-08-22 16:24:33</v>
      </c>
      <c r="M5127" s="1" t="s">
        <v>45</v>
      </c>
      <c r="N5127" s="1" t="s">
        <v>38</v>
      </c>
      <c r="O5127" s="1" t="s">
        <v>46</v>
      </c>
    </row>
    <row r="5128" spans="2:15" x14ac:dyDescent="0.3">
      <c r="B5128" s="1" t="s">
        <v>23</v>
      </c>
      <c r="C5128" s="1" t="str">
        <f>"5-2차"</f>
        <v>5-2차</v>
      </c>
      <c r="D5128" s="1" t="str">
        <f>"0425Q0915M"</f>
        <v>0425Q0915M</v>
      </c>
      <c r="E5128" s="1" t="s">
        <v>10</v>
      </c>
      <c r="F5128" s="1" t="str">
        <f>"fde3:102:1440:4700:0:0:0:f"</f>
        <v>fde3:102:1440:4700:0:0:0:f</v>
      </c>
      <c r="G5128" s="1" t="str">
        <f>"0425Q091"</f>
        <v>0425Q091</v>
      </c>
      <c r="H5128" s="1" t="str">
        <f>"세종지 19R2"</f>
        <v>세종지 19R2</v>
      </c>
      <c r="I5128" s="1" t="s">
        <v>15</v>
      </c>
      <c r="J5128" s="1" t="str">
        <f>"98/98"</f>
        <v>98/98</v>
      </c>
      <c r="K5128" s="1" t="str">
        <f>"2026-07-29 14:20:48"</f>
        <v>2026-07-29 14:20:48</v>
      </c>
      <c r="L5128" s="1" t="str">
        <f>"2023-06-19 18:21:49"</f>
        <v>2023-06-19 18:21:49</v>
      </c>
      <c r="M5128" s="1" t="s">
        <v>45</v>
      </c>
      <c r="N5128" s="1" t="s">
        <v>38</v>
      </c>
      <c r="O5128" s="1" t="s">
        <v>46</v>
      </c>
    </row>
    <row r="5129" spans="2:15" x14ac:dyDescent="0.3">
      <c r="B5129" s="1" t="s">
        <v>23</v>
      </c>
      <c r="C5129" s="1" t="str">
        <f>"5-2차"</f>
        <v>5-2차</v>
      </c>
      <c r="D5129" s="1" t="str">
        <f>"0425Q1225M"</f>
        <v>0425Q1225M</v>
      </c>
      <c r="E5129" s="1" t="s">
        <v>10</v>
      </c>
      <c r="F5129" s="1" t="str">
        <f>"fde3:102:1440:1600:0:0:0:8"</f>
        <v>fde3:102:1440:1600:0:0:0:8</v>
      </c>
      <c r="G5129" s="1" t="str">
        <f>"0425Q122"</f>
        <v>0425Q122</v>
      </c>
      <c r="H5129" s="1" t="str">
        <f>"산성간 28L10R6"</f>
        <v>산성간 28L10R6</v>
      </c>
      <c r="I5129" s="1" t="s">
        <v>15</v>
      </c>
      <c r="J5129" s="1" t="str">
        <f>"79/79"</f>
        <v>79/79</v>
      </c>
      <c r="K5129" s="1" t="str">
        <f>"2026-07-29 14:20:48"</f>
        <v>2026-07-29 14:20:48</v>
      </c>
      <c r="L5129" s="1" t="str">
        <f>"2023-08-22 16:25:05"</f>
        <v>2023-08-22 16:25:05</v>
      </c>
      <c r="M5129" s="1" t="s">
        <v>45</v>
      </c>
      <c r="N5129" s="1" t="s">
        <v>38</v>
      </c>
      <c r="O5129" s="1" t="s">
        <v>46</v>
      </c>
    </row>
    <row r="5130" spans="2:15" x14ac:dyDescent="0.3">
      <c r="B5130" s="1" t="s">
        <v>23</v>
      </c>
      <c r="C5130" s="1" t="str">
        <f>"5-2차"</f>
        <v>5-2차</v>
      </c>
      <c r="D5130" s="1" t="str">
        <f>"0425Q2915M"</f>
        <v>0425Q2915M</v>
      </c>
      <c r="E5130" s="1" t="s">
        <v>10</v>
      </c>
      <c r="F5130" s="1" t="str">
        <f>"fde3:102:1440:4700:0:0:0:6"</f>
        <v>fde3:102:1440:4700:0:0:0:6</v>
      </c>
      <c r="G5130" s="1" t="str">
        <f>"0425Q291"</f>
        <v>0425Q291</v>
      </c>
      <c r="H5130" s="1" t="str">
        <f>"세종지 24"</f>
        <v>세종지 24</v>
      </c>
      <c r="I5130" s="1" t="s">
        <v>15</v>
      </c>
      <c r="J5130" s="1" t="str">
        <f>"24/24"</f>
        <v>24/24</v>
      </c>
      <c r="K5130" s="1" t="str">
        <f>"2026-07-28 20:03:35"</f>
        <v>2026-07-28 20:03:35</v>
      </c>
      <c r="L5130" s="1" t="str">
        <f>"2023-06-19 18:23:13"</f>
        <v>2023-06-19 18:23:13</v>
      </c>
      <c r="M5130" s="1" t="s">
        <v>45</v>
      </c>
      <c r="N5130" s="1" t="s">
        <v>38</v>
      </c>
      <c r="O5130" s="1" t="s">
        <v>46</v>
      </c>
    </row>
    <row r="5131" spans="2:15" x14ac:dyDescent="0.3">
      <c r="B5131" s="1" t="s">
        <v>23</v>
      </c>
      <c r="C5131" s="1" t="str">
        <f>"5-2차"</f>
        <v>5-2차</v>
      </c>
      <c r="D5131" s="1" t="str">
        <f>"0425Q3015M"</f>
        <v>0425Q3015M</v>
      </c>
      <c r="E5131" s="1" t="s">
        <v>10</v>
      </c>
      <c r="F5131" s="1" t="str">
        <f>"fde3:102:1440:1500:0:0:0:f"</f>
        <v>fde3:102:1440:1500:0:0:0:f</v>
      </c>
      <c r="G5131" s="1" t="str">
        <f>"0425Q301"</f>
        <v>0425Q301</v>
      </c>
      <c r="H5131" s="1" t="str">
        <f>"산성간 28L10R1"</f>
        <v>산성간 28L10R1</v>
      </c>
      <c r="I5131" s="1" t="s">
        <v>15</v>
      </c>
      <c r="J5131" s="1" t="str">
        <f>"83/83"</f>
        <v>83/83</v>
      </c>
      <c r="K5131" s="1" t="str">
        <f>"2026-07-29 14:21:16"</f>
        <v>2026-07-29 14:21:16</v>
      </c>
      <c r="L5131" s="1" t="str">
        <f>"2023-06-26 15:11:34"</f>
        <v>2023-06-26 15:11:34</v>
      </c>
      <c r="M5131" s="1" t="s">
        <v>45</v>
      </c>
      <c r="N5131" s="1" t="s">
        <v>38</v>
      </c>
      <c r="O5131" s="1" t="s">
        <v>46</v>
      </c>
    </row>
    <row r="5132" spans="2:15" x14ac:dyDescent="0.3">
      <c r="B5132" s="1" t="s">
        <v>23</v>
      </c>
      <c r="C5132" s="1" t="str">
        <f>"5-1차"</f>
        <v>5-1차</v>
      </c>
      <c r="D5132" s="1" t="str">
        <f>"0425Q3325M"</f>
        <v>0425Q3325M</v>
      </c>
      <c r="E5132" s="1" t="s">
        <v>10</v>
      </c>
      <c r="F5132" s="1" t="str">
        <f>"fde3:102:1440:1600:0:0:0:2"</f>
        <v>fde3:102:1440:1600:0:0:0:2</v>
      </c>
      <c r="G5132" s="1" t="str">
        <f>"0425Q332"</f>
        <v>0425Q332</v>
      </c>
      <c r="H5132" s="1" t="str">
        <f>"광장간 74"</f>
        <v>광장간 74</v>
      </c>
      <c r="I5132" s="1" t="s">
        <v>15</v>
      </c>
      <c r="J5132" s="1" t="str">
        <f>"55/55"</f>
        <v>55/55</v>
      </c>
      <c r="K5132" s="1" t="str">
        <f>"2026-07-29 14:20:49"</f>
        <v>2026-07-29 14:20:49</v>
      </c>
      <c r="L5132" s="1" t="str">
        <f>"2022-10-26 16:17:37"</f>
        <v>2022-10-26 16:17:37</v>
      </c>
      <c r="M5132" s="1" t="s">
        <v>45</v>
      </c>
      <c r="N5132" s="1" t="s">
        <v>38</v>
      </c>
      <c r="O5132" s="1" t="s">
        <v>46</v>
      </c>
    </row>
    <row r="5133" spans="2:15" x14ac:dyDescent="0.3">
      <c r="B5133" s="1" t="s">
        <v>23</v>
      </c>
      <c r="C5133" s="1" t="str">
        <f>"1차"</f>
        <v>1차</v>
      </c>
      <c r="D5133" s="1" t="str">
        <f>"0425Q43100"</f>
        <v>0425Q43100</v>
      </c>
      <c r="E5133" s="1" t="s">
        <v>10</v>
      </c>
      <c r="F5133" s="1" t="str">
        <f>"10.125.4.58"</f>
        <v>10.125.4.58</v>
      </c>
      <c r="G5133" s="1" t="str">
        <f>"0425Q431"</f>
        <v>0425Q431</v>
      </c>
      <c r="H5133" s="1" t="str">
        <f>"산성간 28A2L6"</f>
        <v>산성간 28A2L6</v>
      </c>
      <c r="I5133" s="1" t="s">
        <v>8</v>
      </c>
      <c r="J5133" s="1" t="str">
        <f>"40/48"</f>
        <v>40/48</v>
      </c>
      <c r="K5133" s="1" t="str">
        <f>"2026-07-29 13:18:03"</f>
        <v>2026-07-29 13:18:03</v>
      </c>
      <c r="L5133" s="1" t="str">
        <f>"2014-12-11 13:58:37"</f>
        <v>2014-12-11 13:58:37</v>
      </c>
      <c r="M5133" s="1" t="s">
        <v>45</v>
      </c>
      <c r="N5133" s="1" t="s">
        <v>38</v>
      </c>
      <c r="O5133" s="1" t="s">
        <v>46</v>
      </c>
    </row>
    <row r="5134" spans="2:15" x14ac:dyDescent="0.3">
      <c r="B5134" s="1" t="s">
        <v>23</v>
      </c>
      <c r="C5134" s="1" t="str">
        <f>"1차"</f>
        <v>1차</v>
      </c>
      <c r="D5134" s="1" t="str">
        <f>"0425Q50401"</f>
        <v>0425Q50401</v>
      </c>
      <c r="E5134" s="1" t="s">
        <v>10</v>
      </c>
      <c r="F5134" s="1" t="str">
        <f>"10.14.6.193"</f>
        <v>10.14.6.193</v>
      </c>
      <c r="G5134" s="1" t="str">
        <f>"0425Q504"</f>
        <v>0425Q504</v>
      </c>
      <c r="H5134" s="1" t="str">
        <f>"광나루 90L13"</f>
        <v>광나루 90L13</v>
      </c>
      <c r="I5134" s="1" t="s">
        <v>8</v>
      </c>
      <c r="J5134" s="1" t="str">
        <f>"19/19"</f>
        <v>19/19</v>
      </c>
      <c r="K5134" s="1" t="str">
        <f>"2026-07-29 13:18:02"</f>
        <v>2026-07-29 13:18:02</v>
      </c>
      <c r="L5134" s="1" t="str">
        <f>"2017-10-10 17:40:13"</f>
        <v>2017-10-10 17:40:13</v>
      </c>
      <c r="M5134" s="1" t="s">
        <v>3</v>
      </c>
      <c r="N5134" s="1" t="s">
        <v>38</v>
      </c>
      <c r="O5134" s="1" t="s">
        <v>46</v>
      </c>
    </row>
    <row r="5135" spans="2:15" x14ac:dyDescent="0.3">
      <c r="B5135" s="1" t="s">
        <v>23</v>
      </c>
      <c r="C5135" s="1" t="str">
        <f>"1차"</f>
        <v>1차</v>
      </c>
      <c r="D5135" s="1" t="str">
        <f>"0425Q52101"</f>
        <v>0425Q52101</v>
      </c>
      <c r="E5135" s="1" t="s">
        <v>10</v>
      </c>
      <c r="F5135" s="1" t="str">
        <f>"10.125.8.178"</f>
        <v>10.125.8.178</v>
      </c>
      <c r="G5135" s="1" t="str">
        <f>"0425Q521"</f>
        <v>0425Q521</v>
      </c>
      <c r="H5135" s="1" t="str">
        <f>"산성간 28A2L7"</f>
        <v>산성간 28A2L7</v>
      </c>
      <c r="I5135" s="1" t="s">
        <v>8</v>
      </c>
      <c r="J5135" s="1" t="str">
        <f>"62/62"</f>
        <v>62/62</v>
      </c>
      <c r="K5135" s="1" t="str">
        <f t="shared" ref="K5135:K5140" si="271">"2026-07-29 13:18:03"</f>
        <v>2026-07-29 13:18:03</v>
      </c>
      <c r="L5135" s="1" t="str">
        <f>"2014-12-11 13:58:44"</f>
        <v>2014-12-11 13:58:44</v>
      </c>
      <c r="M5135" s="1" t="s">
        <v>45</v>
      </c>
      <c r="N5135" s="1" t="s">
        <v>38</v>
      </c>
      <c r="O5135" s="1" t="s">
        <v>46</v>
      </c>
    </row>
    <row r="5136" spans="2:15" x14ac:dyDescent="0.3">
      <c r="B5136" s="1" t="s">
        <v>23</v>
      </c>
      <c r="C5136" s="1" t="str">
        <f>"3차"</f>
        <v>3차</v>
      </c>
      <c r="D5136" s="1" t="str">
        <f>"0425Q53139"</f>
        <v>0425Q53139</v>
      </c>
      <c r="E5136" s="1" t="s">
        <v>10</v>
      </c>
      <c r="F5136" s="1" t="str">
        <f>"10.11.82.138"</f>
        <v>10.11.82.138</v>
      </c>
      <c r="G5136" s="1" t="str">
        <f>"0425Q531"</f>
        <v>0425Q531</v>
      </c>
      <c r="H5136" s="1" t="str">
        <f>"산성간 28A2L5"</f>
        <v>산성간 28A2L5</v>
      </c>
      <c r="I5136" s="1" t="s">
        <v>8</v>
      </c>
      <c r="J5136" s="1" t="str">
        <f>"30/30"</f>
        <v>30/30</v>
      </c>
      <c r="K5136" s="1" t="str">
        <f t="shared" si="271"/>
        <v>2026-07-29 13:18:03</v>
      </c>
      <c r="L5136" s="1" t="str">
        <f>"2023-07-24 14:02:07"</f>
        <v>2023-07-24 14:02:07</v>
      </c>
      <c r="M5136" s="1" t="s">
        <v>2</v>
      </c>
      <c r="N5136" s="1" t="s">
        <v>38</v>
      </c>
      <c r="O5136" s="1" t="s">
        <v>46</v>
      </c>
    </row>
    <row r="5137" spans="2:15" x14ac:dyDescent="0.3">
      <c r="B5137" s="1" t="s">
        <v>23</v>
      </c>
      <c r="C5137" s="1" t="str">
        <f t="shared" ref="C5137:C5143" si="272">"1차"</f>
        <v>1차</v>
      </c>
      <c r="D5137" s="1" t="str">
        <f>"0425Q56100"</f>
        <v>0425Q56100</v>
      </c>
      <c r="E5137" s="1" t="s">
        <v>10</v>
      </c>
      <c r="F5137" s="1" t="str">
        <f>"10.125.7.66"</f>
        <v>10.125.7.66</v>
      </c>
      <c r="G5137" s="1" t="str">
        <f>"0425Q561"</f>
        <v>0425Q561</v>
      </c>
      <c r="H5137" s="1" t="str">
        <f>"광장간 70"</f>
        <v>광장간 70</v>
      </c>
      <c r="I5137" s="1" t="s">
        <v>8</v>
      </c>
      <c r="J5137" s="1" t="str">
        <f>"108/108"</f>
        <v>108/108</v>
      </c>
      <c r="K5137" s="1" t="str">
        <f t="shared" si="271"/>
        <v>2026-07-29 13:18:03</v>
      </c>
      <c r="L5137" s="1" t="str">
        <f>"2014-12-11 15:57:47"</f>
        <v>2014-12-11 15:57:47</v>
      </c>
      <c r="M5137" s="1" t="s">
        <v>45</v>
      </c>
      <c r="N5137" s="1" t="s">
        <v>38</v>
      </c>
      <c r="O5137" s="1" t="s">
        <v>46</v>
      </c>
    </row>
    <row r="5138" spans="2:15" x14ac:dyDescent="0.3">
      <c r="B5138" s="1" t="s">
        <v>23</v>
      </c>
      <c r="C5138" s="1" t="str">
        <f t="shared" si="272"/>
        <v>1차</v>
      </c>
      <c r="D5138" s="1" t="str">
        <f>"0425Q60100"</f>
        <v>0425Q60100</v>
      </c>
      <c r="E5138" s="1" t="s">
        <v>10</v>
      </c>
      <c r="F5138" s="1" t="str">
        <f>"10.125.4.66"</f>
        <v>10.125.4.66</v>
      </c>
      <c r="G5138" s="1" t="str">
        <f>"0425Q601"</f>
        <v>0425Q601</v>
      </c>
      <c r="H5138" s="1" t="str">
        <f>"광나루 93L11L3"</f>
        <v>광나루 93L11L3</v>
      </c>
      <c r="I5138" s="1" t="s">
        <v>8</v>
      </c>
      <c r="J5138" s="1" t="str">
        <f>"44/44"</f>
        <v>44/44</v>
      </c>
      <c r="K5138" s="1" t="str">
        <f t="shared" si="271"/>
        <v>2026-07-29 13:18:03</v>
      </c>
      <c r="L5138" s="1" t="str">
        <f>"2014-12-11 11:43:42"</f>
        <v>2014-12-11 11:43:42</v>
      </c>
      <c r="M5138" s="1" t="s">
        <v>45</v>
      </c>
      <c r="N5138" s="1" t="s">
        <v>38</v>
      </c>
      <c r="O5138" s="1" t="s">
        <v>46</v>
      </c>
    </row>
    <row r="5139" spans="2:15" x14ac:dyDescent="0.3">
      <c r="B5139" s="1" t="s">
        <v>23</v>
      </c>
      <c r="C5139" s="1" t="str">
        <f t="shared" si="272"/>
        <v>1차</v>
      </c>
      <c r="D5139" s="1" t="str">
        <f>"0425Q61100"</f>
        <v>0425Q61100</v>
      </c>
      <c r="E5139" s="1" t="s">
        <v>10</v>
      </c>
      <c r="F5139" s="1" t="str">
        <f>"10.125.4.74"</f>
        <v>10.125.4.74</v>
      </c>
      <c r="G5139" s="1" t="str">
        <f>"0425Q611"</f>
        <v>0425Q611</v>
      </c>
      <c r="H5139" s="1" t="str">
        <f>"산성간 28L6"</f>
        <v>산성간 28L6</v>
      </c>
      <c r="I5139" s="1" t="s">
        <v>8</v>
      </c>
      <c r="J5139" s="1" t="str">
        <f>"23/23"</f>
        <v>23/23</v>
      </c>
      <c r="K5139" s="1" t="str">
        <f t="shared" si="271"/>
        <v>2026-07-29 13:18:03</v>
      </c>
      <c r="L5139" s="1" t="str">
        <f>"2014-12-11 14:27:55"</f>
        <v>2014-12-11 14:27:55</v>
      </c>
      <c r="M5139" s="1" t="s">
        <v>45</v>
      </c>
      <c r="N5139" s="1" t="s">
        <v>38</v>
      </c>
      <c r="O5139" s="1" t="s">
        <v>46</v>
      </c>
    </row>
    <row r="5140" spans="2:15" x14ac:dyDescent="0.3">
      <c r="B5140" s="1" t="s">
        <v>23</v>
      </c>
      <c r="C5140" s="1" t="str">
        <f t="shared" si="272"/>
        <v>1차</v>
      </c>
      <c r="D5140" s="1" t="str">
        <f>"0425Q61300"</f>
        <v>0425Q61300</v>
      </c>
      <c r="E5140" s="1" t="s">
        <v>10</v>
      </c>
      <c r="F5140" s="1" t="str">
        <f>"10.125.6.178"</f>
        <v>10.125.6.178</v>
      </c>
      <c r="G5140" s="1" t="str">
        <f>"0425Q613"</f>
        <v>0425Q613</v>
      </c>
      <c r="H5140" s="1" t="str">
        <f>"광나루 90L16"</f>
        <v>광나루 90L16</v>
      </c>
      <c r="I5140" s="1" t="s">
        <v>8</v>
      </c>
      <c r="J5140" s="1" t="str">
        <f>"11/11"</f>
        <v>11/11</v>
      </c>
      <c r="K5140" s="1" t="str">
        <f t="shared" si="271"/>
        <v>2026-07-29 13:18:03</v>
      </c>
      <c r="L5140" s="1" t="str">
        <f>"2014-12-11 11:58:43"</f>
        <v>2014-12-11 11:58:43</v>
      </c>
      <c r="M5140" s="1" t="s">
        <v>45</v>
      </c>
      <c r="N5140" s="1" t="s">
        <v>38</v>
      </c>
      <c r="O5140" s="1" t="s">
        <v>46</v>
      </c>
    </row>
    <row r="5141" spans="2:15" x14ac:dyDescent="0.3">
      <c r="B5141" s="1" t="s">
        <v>23</v>
      </c>
      <c r="C5141" s="1" t="str">
        <f t="shared" si="272"/>
        <v>1차</v>
      </c>
      <c r="D5141" s="1" t="str">
        <f>"0425Q62101"</f>
        <v>0425Q62101</v>
      </c>
      <c r="E5141" s="1" t="s">
        <v>10</v>
      </c>
      <c r="F5141" s="1" t="str">
        <f>"10.125.4.75"</f>
        <v>10.125.4.75</v>
      </c>
      <c r="G5141" s="1" t="str">
        <f>"0425Q621"</f>
        <v>0425Q621</v>
      </c>
      <c r="H5141" s="1" t="str">
        <f>"산성간 28L5"</f>
        <v>산성간 28L5</v>
      </c>
      <c r="I5141" s="1" t="s">
        <v>8</v>
      </c>
      <c r="J5141" s="1" t="str">
        <f>"20/20"</f>
        <v>20/20</v>
      </c>
      <c r="K5141" s="1" t="str">
        <f>"2026-07-29 07:18:01"</f>
        <v>2026-07-29 07:18:01</v>
      </c>
      <c r="L5141" s="1" t="str">
        <f>"2014-12-11 14:28:27"</f>
        <v>2014-12-11 14:28:27</v>
      </c>
      <c r="M5141" s="1" t="s">
        <v>45</v>
      </c>
      <c r="N5141" s="1" t="s">
        <v>38</v>
      </c>
      <c r="O5141" s="1" t="s">
        <v>46</v>
      </c>
    </row>
    <row r="5142" spans="2:15" x14ac:dyDescent="0.3">
      <c r="B5142" s="1" t="s">
        <v>23</v>
      </c>
      <c r="C5142" s="1" t="str">
        <f t="shared" si="272"/>
        <v>1차</v>
      </c>
      <c r="D5142" s="1" t="str">
        <f>"0425Q64200"</f>
        <v>0425Q64200</v>
      </c>
      <c r="E5142" s="1" t="s">
        <v>10</v>
      </c>
      <c r="F5142" s="1" t="str">
        <f>"10.125.4.82"</f>
        <v>10.125.4.82</v>
      </c>
      <c r="G5142" s="1" t="str">
        <f>"0425Q642"</f>
        <v>0425Q642</v>
      </c>
      <c r="H5142" s="1" t="str">
        <f>"산성간 28A2L4"</f>
        <v>산성간 28A2L4</v>
      </c>
      <c r="I5142" s="1" t="s">
        <v>8</v>
      </c>
      <c r="J5142" s="1" t="str">
        <f>"72/72"</f>
        <v>72/72</v>
      </c>
      <c r="K5142" s="1" t="str">
        <f>"2026-07-29 13:18:02"</f>
        <v>2026-07-29 13:18:02</v>
      </c>
      <c r="L5142" s="1" t="str">
        <f>"2014-12-11 14:13:16"</f>
        <v>2014-12-11 14:13:16</v>
      </c>
      <c r="M5142" s="1" t="s">
        <v>45</v>
      </c>
      <c r="N5142" s="1" t="s">
        <v>38</v>
      </c>
      <c r="O5142" s="1" t="s">
        <v>46</v>
      </c>
    </row>
    <row r="5143" spans="2:15" x14ac:dyDescent="0.3">
      <c r="B5143" s="1" t="s">
        <v>23</v>
      </c>
      <c r="C5143" s="1" t="str">
        <f t="shared" si="272"/>
        <v>1차</v>
      </c>
      <c r="D5143" s="1" t="str">
        <f>"0425Q65201"</f>
        <v>0425Q65201</v>
      </c>
      <c r="E5143" s="1" t="s">
        <v>10</v>
      </c>
      <c r="F5143" s="1" t="str">
        <f>"10.125.4.83"</f>
        <v>10.125.4.83</v>
      </c>
      <c r="G5143" s="1" t="str">
        <f>"0425Q652"</f>
        <v>0425Q652</v>
      </c>
      <c r="H5143" s="1" t="str">
        <f>"산성간 28A2L3R2"</f>
        <v>산성간 28A2L3R2</v>
      </c>
      <c r="I5143" s="1" t="s">
        <v>8</v>
      </c>
      <c r="J5143" s="1" t="str">
        <f>"132/139"</f>
        <v>132/139</v>
      </c>
      <c r="K5143" s="1" t="str">
        <f>"2026-07-29 13:18:03"</f>
        <v>2026-07-29 13:18:03</v>
      </c>
      <c r="L5143" s="1" t="str">
        <f>"2014-12-11 14:13:18"</f>
        <v>2014-12-11 14:13:18</v>
      </c>
      <c r="M5143" s="1" t="s">
        <v>45</v>
      </c>
      <c r="N5143" s="1" t="s">
        <v>38</v>
      </c>
      <c r="O5143" s="1" t="s">
        <v>46</v>
      </c>
    </row>
    <row r="5144" spans="2:15" x14ac:dyDescent="0.3">
      <c r="B5144" s="1" t="s">
        <v>23</v>
      </c>
      <c r="C5144" s="1" t="str">
        <f>"5-1차"</f>
        <v>5-1차</v>
      </c>
      <c r="D5144" s="1" t="str">
        <f>"0425Q7215S"</f>
        <v>0425Q7215S</v>
      </c>
      <c r="E5144" s="1" t="s">
        <v>10</v>
      </c>
      <c r="F5144" s="1" t="str">
        <f>"fde3:102:1440:1500:0:0:0:4"</f>
        <v>fde3:102:1440:1500:0:0:0:4</v>
      </c>
      <c r="G5144" s="1" t="str">
        <f>"0425Q721"</f>
        <v>0425Q721</v>
      </c>
      <c r="H5144" s="1" t="str">
        <f>"광나루 90L18"</f>
        <v>광나루 90L18</v>
      </c>
      <c r="I5144" s="1" t="s">
        <v>15</v>
      </c>
      <c r="J5144" s="1" t="str">
        <f>"40/40"</f>
        <v>40/40</v>
      </c>
      <c r="K5144" s="1" t="str">
        <f>"2026-07-29 14:21:06"</f>
        <v>2026-07-29 14:21:06</v>
      </c>
      <c r="L5144" s="1" t="str">
        <f>"2022-10-25 11:41:38"</f>
        <v>2022-10-25 11:41:38</v>
      </c>
      <c r="M5144" s="1" t="s">
        <v>45</v>
      </c>
      <c r="N5144" s="1" t="s">
        <v>38</v>
      </c>
      <c r="O5144" s="1" t="s">
        <v>46</v>
      </c>
    </row>
    <row r="5145" spans="2:15" x14ac:dyDescent="0.3">
      <c r="B5145" s="1" t="s">
        <v>23</v>
      </c>
      <c r="C5145" s="1" t="str">
        <f>"6차"</f>
        <v>6차</v>
      </c>
      <c r="D5145" s="1" t="str">
        <f>"0425Q7326S"</f>
        <v>0425Q7326S</v>
      </c>
      <c r="E5145" s="1" t="s">
        <v>12</v>
      </c>
      <c r="F5145" s="1" t="str">
        <f>"fde1:103:4:92b4:0:0:0:2"</f>
        <v>fde1:103:4:92b4:0:0:0:2</v>
      </c>
      <c r="G5145" s="1" t="str">
        <f>"0425Q732"</f>
        <v>0425Q732</v>
      </c>
      <c r="H5145" s="1" t="str">
        <f>"산성간 28L3"</f>
        <v>산성간 28L3</v>
      </c>
      <c r="I5145" s="1" t="s">
        <v>15</v>
      </c>
      <c r="J5145" s="1" t="str">
        <f>"0/59"</f>
        <v>0/59</v>
      </c>
      <c r="K5145" s="1" t="str">
        <f>"2026-07-27 02:20:57"</f>
        <v>2026-07-27 02:20:57</v>
      </c>
      <c r="L5145" s="1" t="str">
        <f>"2025-02-24 13:15:37"</f>
        <v>2025-02-24 13:15:37</v>
      </c>
      <c r="M5145" s="1" t="s">
        <v>4</v>
      </c>
      <c r="N5145" s="1" t="s">
        <v>38</v>
      </c>
      <c r="O5145" s="1" t="s">
        <v>46</v>
      </c>
    </row>
    <row r="5146" spans="2:15" x14ac:dyDescent="0.3">
      <c r="B5146" s="1" t="s">
        <v>23</v>
      </c>
      <c r="C5146" s="1" t="str">
        <f>"1차"</f>
        <v>1차</v>
      </c>
      <c r="D5146" s="1" t="str">
        <f>"0425Q80101"</f>
        <v>0425Q80101</v>
      </c>
      <c r="E5146" s="1" t="s">
        <v>10</v>
      </c>
      <c r="F5146" s="1" t="str">
        <f>"10.125.4.67"</f>
        <v>10.125.4.67</v>
      </c>
      <c r="G5146" s="1" t="str">
        <f>"0425Q801"</f>
        <v>0425Q801</v>
      </c>
      <c r="H5146" s="1" t="str">
        <f>"광나루 93L11"</f>
        <v>광나루 93L11</v>
      </c>
      <c r="I5146" s="1" t="s">
        <v>8</v>
      </c>
      <c r="J5146" s="1" t="str">
        <f>"55/59"</f>
        <v>55/59</v>
      </c>
      <c r="K5146" s="1" t="str">
        <f>"2026-07-29 13:18:03"</f>
        <v>2026-07-29 13:18:03</v>
      </c>
      <c r="L5146" s="1" t="str">
        <f>"2014-12-11 11:44:00"</f>
        <v>2014-12-11 11:44:00</v>
      </c>
      <c r="M5146" s="1" t="s">
        <v>45</v>
      </c>
      <c r="N5146" s="1" t="s">
        <v>38</v>
      </c>
      <c r="O5146" s="1" t="s">
        <v>46</v>
      </c>
    </row>
    <row r="5147" spans="2:15" x14ac:dyDescent="0.3">
      <c r="B5147" s="1" t="s">
        <v>23</v>
      </c>
      <c r="C5147" s="1" t="str">
        <f>"5-2차"</f>
        <v>5-2차</v>
      </c>
      <c r="D5147" s="1" t="str">
        <f>"0425Q8025S"</f>
        <v>0425Q8025S</v>
      </c>
      <c r="E5147" s="1" t="s">
        <v>10</v>
      </c>
      <c r="F5147" s="1" t="str">
        <f>"fde3:102:1440:1500:0:0:0:11"</f>
        <v>fde3:102:1440:1500:0:0:0:11</v>
      </c>
      <c r="G5147" s="1" t="str">
        <f>"0425Q802"</f>
        <v>0425Q802</v>
      </c>
      <c r="H5147" s="1" t="str">
        <f>"광나루 93L12"</f>
        <v>광나루 93L12</v>
      </c>
      <c r="I5147" s="1" t="s">
        <v>15</v>
      </c>
      <c r="J5147" s="1" t="str">
        <f>"27/27"</f>
        <v>27/27</v>
      </c>
      <c r="K5147" s="1" t="str">
        <f>"2026-07-29 14:20:34"</f>
        <v>2026-07-29 14:20:34</v>
      </c>
      <c r="L5147" s="1" t="str">
        <f>"2023-09-04 15:08:43"</f>
        <v>2023-09-04 15:08:43</v>
      </c>
      <c r="M5147" s="1" t="s">
        <v>45</v>
      </c>
      <c r="N5147" s="1" t="s">
        <v>38</v>
      </c>
      <c r="O5147" s="1" t="s">
        <v>46</v>
      </c>
    </row>
    <row r="5148" spans="2:15" x14ac:dyDescent="0.3">
      <c r="B5148" s="1" t="s">
        <v>23</v>
      </c>
      <c r="C5148" s="1" t="str">
        <f>"5-2차"</f>
        <v>5-2차</v>
      </c>
      <c r="D5148" s="1" t="str">
        <f>"0425Q8225M"</f>
        <v>0425Q8225M</v>
      </c>
      <c r="E5148" s="1" t="s">
        <v>10</v>
      </c>
      <c r="F5148" s="1" t="str">
        <f>"fde3:102:1440:1600:0:0:0:7"</f>
        <v>fde3:102:1440:1600:0:0:0:7</v>
      </c>
      <c r="G5148" s="1" t="str">
        <f>"0425Q822"</f>
        <v>0425Q822</v>
      </c>
      <c r="H5148" s="1" t="str">
        <f>"광나루 93L15L5"</f>
        <v>광나루 93L15L5</v>
      </c>
      <c r="I5148" s="1" t="s">
        <v>15</v>
      </c>
      <c r="J5148" s="1" t="str">
        <f>"103/103"</f>
        <v>103/103</v>
      </c>
      <c r="K5148" s="1" t="str">
        <f>"2026-07-28 20:03:35"</f>
        <v>2026-07-28 20:03:35</v>
      </c>
      <c r="L5148" s="1" t="str">
        <f>"2023-06-26 15:18:18"</f>
        <v>2023-06-26 15:18:18</v>
      </c>
      <c r="M5148" s="1" t="s">
        <v>45</v>
      </c>
      <c r="N5148" s="1" t="s">
        <v>38</v>
      </c>
      <c r="O5148" s="1" t="s">
        <v>46</v>
      </c>
    </row>
    <row r="5149" spans="2:15" x14ac:dyDescent="0.3">
      <c r="B5149" s="1" t="s">
        <v>23</v>
      </c>
      <c r="C5149" s="1" t="str">
        <f>"1차"</f>
        <v>1차</v>
      </c>
      <c r="D5149" s="1" t="str">
        <f>"0425Q84200"</f>
        <v>0425Q84200</v>
      </c>
      <c r="E5149" s="1" t="s">
        <v>10</v>
      </c>
      <c r="F5149" s="1" t="str">
        <f>"10.125.4.90"</f>
        <v>10.125.4.90</v>
      </c>
      <c r="G5149" s="1" t="str">
        <f>"0425Q842"</f>
        <v>0425Q842</v>
      </c>
      <c r="H5149" s="1" t="str">
        <f>"산성간 28L2"</f>
        <v>산성간 28L2</v>
      </c>
      <c r="I5149" s="1" t="s">
        <v>8</v>
      </c>
      <c r="J5149" s="1" t="str">
        <f>"18/18"</f>
        <v>18/18</v>
      </c>
      <c r="K5149" s="1" t="str">
        <f>"2026-07-29 13:18:03"</f>
        <v>2026-07-29 13:18:03</v>
      </c>
      <c r="L5149" s="1" t="str">
        <f>"2014-12-11 14:13:10"</f>
        <v>2014-12-11 14:13:10</v>
      </c>
      <c r="M5149" s="1" t="s">
        <v>45</v>
      </c>
      <c r="N5149" s="1" t="s">
        <v>38</v>
      </c>
      <c r="O5149" s="1" t="s">
        <v>46</v>
      </c>
    </row>
    <row r="5150" spans="2:15" x14ac:dyDescent="0.3">
      <c r="B5150" s="1" t="s">
        <v>23</v>
      </c>
      <c r="C5150" s="1" t="str">
        <f>"5-1차"</f>
        <v>5-1차</v>
      </c>
      <c r="D5150" s="1" t="str">
        <f>"0425Q8815M"</f>
        <v>0425Q8815M</v>
      </c>
      <c r="E5150" s="1" t="s">
        <v>10</v>
      </c>
      <c r="F5150" s="1" t="str">
        <f>"fde3:102:1440:4800:0:0:0:2"</f>
        <v>fde3:102:1440:4800:0:0:0:2</v>
      </c>
      <c r="G5150" s="1" t="str">
        <f>"0425Q881"</f>
        <v>0425Q881</v>
      </c>
      <c r="H5150" s="1" t="str">
        <f>"산성간 39L9L9"</f>
        <v>산성간 39L9L9</v>
      </c>
      <c r="I5150" s="1" t="s">
        <v>15</v>
      </c>
      <c r="J5150" s="1" t="str">
        <f>"9/33"</f>
        <v>9/33</v>
      </c>
      <c r="K5150" s="1" t="str">
        <f>"2026-07-29 14:20:49"</f>
        <v>2026-07-29 14:20:49</v>
      </c>
      <c r="L5150" s="1" t="str">
        <f>"2022-10-24 16:56:19"</f>
        <v>2022-10-24 16:56:19</v>
      </c>
      <c r="M5150" s="1" t="s">
        <v>45</v>
      </c>
      <c r="N5150" s="1" t="s">
        <v>38</v>
      </c>
      <c r="O5150" s="1" t="s">
        <v>46</v>
      </c>
    </row>
    <row r="5151" spans="2:15" x14ac:dyDescent="0.3">
      <c r="B5151" s="1" t="s">
        <v>23</v>
      </c>
      <c r="C5151" s="1" t="str">
        <f>"5-2차"</f>
        <v>5-2차</v>
      </c>
      <c r="D5151" s="1" t="str">
        <f>"0425Q9125M"</f>
        <v>0425Q9125M</v>
      </c>
      <c r="E5151" s="1" t="s">
        <v>10</v>
      </c>
      <c r="F5151" s="1" t="str">
        <f>"fde3:102:1440:1600:0:0:0:5"</f>
        <v>fde3:102:1440:1600:0:0:0:5</v>
      </c>
      <c r="G5151" s="1" t="str">
        <f>"0425Q912"</f>
        <v>0425Q912</v>
      </c>
      <c r="H5151" s="1" t="str">
        <f>"광나루 93L14"</f>
        <v>광나루 93L14</v>
      </c>
      <c r="I5151" s="1" t="s">
        <v>15</v>
      </c>
      <c r="J5151" s="1" t="str">
        <f>"129/129"</f>
        <v>129/129</v>
      </c>
      <c r="K5151" s="1" t="str">
        <f>"2026-07-29 14:21:17"</f>
        <v>2026-07-29 14:21:17</v>
      </c>
      <c r="L5151" s="1" t="str">
        <f>"2023-06-13 16:51:47"</f>
        <v>2023-06-13 16:51:47</v>
      </c>
      <c r="M5151" s="1" t="s">
        <v>45</v>
      </c>
      <c r="N5151" s="1" t="s">
        <v>38</v>
      </c>
      <c r="O5151" s="1" t="s">
        <v>46</v>
      </c>
    </row>
    <row r="5152" spans="2:15" x14ac:dyDescent="0.3">
      <c r="B5152" s="1" t="s">
        <v>23</v>
      </c>
      <c r="C5152" s="1" t="str">
        <f>"5-1차"</f>
        <v>5-1차</v>
      </c>
      <c r="D5152" s="1" t="str">
        <f>"0425Q9645M"</f>
        <v>0425Q9645M</v>
      </c>
      <c r="E5152" s="1" t="s">
        <v>10</v>
      </c>
      <c r="F5152" s="1" t="str">
        <f>"fde3:102:1440:4500:0:0:0:3"</f>
        <v>fde3:102:1440:4500:0:0:0:3</v>
      </c>
      <c r="G5152" s="1" t="str">
        <f>"0425Q964"</f>
        <v>0425Q964</v>
      </c>
      <c r="H5152" s="1" t="str">
        <f>"산성간 32"</f>
        <v>산성간 32</v>
      </c>
      <c r="I5152" s="1" t="s">
        <v>15</v>
      </c>
      <c r="J5152" s="1" t="str">
        <f>"11/11"</f>
        <v>11/11</v>
      </c>
      <c r="K5152" s="1" t="str">
        <f>"2026-07-29 14:20:49"</f>
        <v>2026-07-29 14:20:49</v>
      </c>
      <c r="L5152" s="1" t="str">
        <f>"2022-10-24 20:10:29"</f>
        <v>2022-10-24 20:10:29</v>
      </c>
      <c r="M5152" s="1" t="s">
        <v>45</v>
      </c>
      <c r="N5152" s="1" t="s">
        <v>38</v>
      </c>
      <c r="O5152" s="1" t="s">
        <v>46</v>
      </c>
    </row>
    <row r="5153" spans="2:15" x14ac:dyDescent="0.3">
      <c r="B5153" s="1" t="s">
        <v>23</v>
      </c>
      <c r="C5153" s="1" t="str">
        <f>"1차"</f>
        <v>1차</v>
      </c>
      <c r="D5153" s="1" t="str">
        <f>"0425Q99200"</f>
        <v>0425Q99200</v>
      </c>
      <c r="E5153" s="1" t="s">
        <v>10</v>
      </c>
      <c r="F5153" s="1" t="str">
        <f>"10.125.4.98"</f>
        <v>10.125.4.98</v>
      </c>
      <c r="G5153" s="1" t="str">
        <f>"0425Q992"</f>
        <v>0425Q992</v>
      </c>
      <c r="H5153" s="1" t="str">
        <f>"산성간 39L2"</f>
        <v>산성간 39L2</v>
      </c>
      <c r="I5153" s="1" t="s">
        <v>8</v>
      </c>
      <c r="J5153" s="1" t="str">
        <f>"55/60"</f>
        <v>55/60</v>
      </c>
      <c r="K5153" s="1" t="str">
        <f t="shared" ref="K5153:K5161" si="273">"2026-07-29 13:18:03"</f>
        <v>2026-07-29 13:18:03</v>
      </c>
      <c r="L5153" s="1" t="str">
        <f>"2014-12-12 09:28:34"</f>
        <v>2014-12-12 09:28:34</v>
      </c>
      <c r="M5153" s="1" t="s">
        <v>45</v>
      </c>
      <c r="N5153" s="1" t="s">
        <v>38</v>
      </c>
      <c r="O5153" s="1" t="s">
        <v>46</v>
      </c>
    </row>
    <row r="5154" spans="2:15" x14ac:dyDescent="0.3">
      <c r="B5154" s="1" t="s">
        <v>23</v>
      </c>
      <c r="C5154" s="1" t="str">
        <f>"3차"</f>
        <v>3차</v>
      </c>
      <c r="D5154" s="1" t="str">
        <f>"0425R40139"</f>
        <v>0425R40139</v>
      </c>
      <c r="E5154" s="1" t="s">
        <v>10</v>
      </c>
      <c r="F5154" s="1" t="str">
        <f>"10.11.59.98"</f>
        <v>10.11.59.98</v>
      </c>
      <c r="G5154" s="1" t="str">
        <f>"0425R401"</f>
        <v>0425R401</v>
      </c>
      <c r="H5154" s="1" t="str">
        <f>"구청지 4R5R3"</f>
        <v>구청지 4R5R3</v>
      </c>
      <c r="I5154" s="1" t="s">
        <v>8</v>
      </c>
      <c r="J5154" s="1" t="str">
        <f>"31/31"</f>
        <v>31/31</v>
      </c>
      <c r="K5154" s="1" t="str">
        <f t="shared" si="273"/>
        <v>2026-07-29 13:18:03</v>
      </c>
      <c r="L5154" s="1" t="str">
        <f>"2018-03-26 09:40:23"</f>
        <v>2018-03-26 09:40:23</v>
      </c>
      <c r="M5154" s="1" t="s">
        <v>2</v>
      </c>
      <c r="N5154" s="1" t="s">
        <v>38</v>
      </c>
      <c r="O5154" s="1" t="s">
        <v>46</v>
      </c>
    </row>
    <row r="5155" spans="2:15" x14ac:dyDescent="0.3">
      <c r="B5155" s="1" t="s">
        <v>23</v>
      </c>
      <c r="C5155" s="1" t="str">
        <f>"4차"</f>
        <v>4차</v>
      </c>
      <c r="D5155" s="1" t="str">
        <f>"0425R40239"</f>
        <v>0425R40239</v>
      </c>
      <c r="E5155" s="1" t="s">
        <v>10</v>
      </c>
      <c r="F5155" s="1" t="str">
        <f>"10.11.59.106"</f>
        <v>10.11.59.106</v>
      </c>
      <c r="G5155" s="1" t="str">
        <f>"0425R402"</f>
        <v>0425R402</v>
      </c>
      <c r="H5155" s="1" t="str">
        <f>"구청지 4R5R4"</f>
        <v>구청지 4R5R4</v>
      </c>
      <c r="I5155" s="1" t="s">
        <v>8</v>
      </c>
      <c r="J5155" s="1" t="str">
        <f>"58/67"</f>
        <v>58/67</v>
      </c>
      <c r="K5155" s="1" t="str">
        <f t="shared" si="273"/>
        <v>2026-07-29 13:18:03</v>
      </c>
      <c r="L5155" s="1" t="str">
        <f>"2018-03-26 09:44:07"</f>
        <v>2018-03-26 09:44:07</v>
      </c>
      <c r="M5155" s="1" t="s">
        <v>2</v>
      </c>
      <c r="N5155" s="1" t="s">
        <v>38</v>
      </c>
      <c r="O5155" s="1" t="s">
        <v>46</v>
      </c>
    </row>
    <row r="5156" spans="2:15" x14ac:dyDescent="0.3">
      <c r="B5156" s="1" t="s">
        <v>23</v>
      </c>
      <c r="C5156" s="1" t="str">
        <f>"4차"</f>
        <v>4차</v>
      </c>
      <c r="D5156" s="1" t="str">
        <f>"0425R41139"</f>
        <v>0425R41139</v>
      </c>
      <c r="E5156" s="1" t="s">
        <v>10</v>
      </c>
      <c r="F5156" s="1" t="str">
        <f>"10.11.52.106"</f>
        <v>10.11.52.106</v>
      </c>
      <c r="G5156" s="1" t="str">
        <f>"0425R411"</f>
        <v>0425R411</v>
      </c>
      <c r="H5156" s="1" t="str">
        <f>"구청지 4R5R3R1"</f>
        <v>구청지 4R5R3R1</v>
      </c>
      <c r="I5156" s="1" t="s">
        <v>8</v>
      </c>
      <c r="J5156" s="1" t="str">
        <f>"41/45"</f>
        <v>41/45</v>
      </c>
      <c r="K5156" s="1" t="str">
        <f t="shared" si="273"/>
        <v>2026-07-29 13:18:03</v>
      </c>
      <c r="L5156" s="1" t="str">
        <f>"2018-03-26 09:32:07"</f>
        <v>2018-03-26 09:32:07</v>
      </c>
      <c r="M5156" s="1" t="s">
        <v>2</v>
      </c>
      <c r="N5156" s="1" t="s">
        <v>38</v>
      </c>
      <c r="O5156" s="1" t="s">
        <v>46</v>
      </c>
    </row>
    <row r="5157" spans="2:15" x14ac:dyDescent="0.3">
      <c r="B5157" s="1" t="s">
        <v>23</v>
      </c>
      <c r="C5157" s="1" t="str">
        <f>"4차"</f>
        <v>4차</v>
      </c>
      <c r="D5157" s="1" t="str">
        <f>"0425R50139"</f>
        <v>0425R50139</v>
      </c>
      <c r="E5157" s="1" t="s">
        <v>10</v>
      </c>
      <c r="F5157" s="1" t="str">
        <f>"10.11.52.98"</f>
        <v>10.11.52.98</v>
      </c>
      <c r="G5157" s="1" t="str">
        <f>"0425R501"</f>
        <v>0425R501</v>
      </c>
      <c r="H5157" s="1" t="str">
        <f>"구청지 4R5R1"</f>
        <v>구청지 4R5R1</v>
      </c>
      <c r="I5157" s="1" t="s">
        <v>8</v>
      </c>
      <c r="J5157" s="1" t="str">
        <f>"51/51"</f>
        <v>51/51</v>
      </c>
      <c r="K5157" s="1" t="str">
        <f t="shared" si="273"/>
        <v>2026-07-29 13:18:03</v>
      </c>
      <c r="L5157" s="1" t="str">
        <f>"2018-03-26 10:50:23"</f>
        <v>2018-03-26 10:50:23</v>
      </c>
      <c r="M5157" s="1" t="s">
        <v>2</v>
      </c>
      <c r="N5157" s="1" t="s">
        <v>38</v>
      </c>
      <c r="O5157" s="1" t="s">
        <v>46</v>
      </c>
    </row>
    <row r="5158" spans="2:15" x14ac:dyDescent="0.3">
      <c r="B5158" s="1" t="s">
        <v>23</v>
      </c>
      <c r="C5158" s="1" t="str">
        <f>"3차"</f>
        <v>3차</v>
      </c>
      <c r="D5158" s="1" t="str">
        <f>"0425R50239"</f>
        <v>0425R50239</v>
      </c>
      <c r="E5158" s="1" t="s">
        <v>10</v>
      </c>
      <c r="F5158" s="1" t="str">
        <f>"10.11.59.90"</f>
        <v>10.11.59.90</v>
      </c>
      <c r="G5158" s="1" t="str">
        <f>"0425R502"</f>
        <v>0425R502</v>
      </c>
      <c r="H5158" s="1" t="str">
        <f>"구청지 4R5R2"</f>
        <v>구청지 4R5R2</v>
      </c>
      <c r="I5158" s="1" t="s">
        <v>8</v>
      </c>
      <c r="J5158" s="1" t="str">
        <f>"68/69"</f>
        <v>68/69</v>
      </c>
      <c r="K5158" s="1" t="str">
        <f t="shared" si="273"/>
        <v>2026-07-29 13:18:03</v>
      </c>
      <c r="L5158" s="1" t="str">
        <f>"2018-03-26 09:30:38"</f>
        <v>2018-03-26 09:30:38</v>
      </c>
      <c r="M5158" s="1" t="s">
        <v>2</v>
      </c>
      <c r="N5158" s="1" t="s">
        <v>38</v>
      </c>
      <c r="O5158" s="1" t="s">
        <v>46</v>
      </c>
    </row>
    <row r="5159" spans="2:15" x14ac:dyDescent="0.3">
      <c r="B5159" s="1" t="s">
        <v>23</v>
      </c>
      <c r="C5159" s="1" t="str">
        <f>"3차"</f>
        <v>3차</v>
      </c>
      <c r="D5159" s="1" t="str">
        <f>"0425R61139"</f>
        <v>0425R61139</v>
      </c>
      <c r="E5159" s="1" t="s">
        <v>10</v>
      </c>
      <c r="F5159" s="1" t="str">
        <f>"10.11.59.66"</f>
        <v>10.11.59.66</v>
      </c>
      <c r="G5159" s="1" t="str">
        <f>"0425R611"</f>
        <v>0425R611</v>
      </c>
      <c r="H5159" s="1" t="str">
        <f>"구청지 4R3"</f>
        <v>구청지 4R3</v>
      </c>
      <c r="I5159" s="1" t="s">
        <v>8</v>
      </c>
      <c r="J5159" s="1" t="str">
        <f>"29/29"</f>
        <v>29/29</v>
      </c>
      <c r="K5159" s="1" t="str">
        <f t="shared" si="273"/>
        <v>2026-07-29 13:18:03</v>
      </c>
      <c r="L5159" s="1" t="str">
        <f>"2018-03-26 11:35:24"</f>
        <v>2018-03-26 11:35:24</v>
      </c>
      <c r="M5159" s="1" t="s">
        <v>2</v>
      </c>
      <c r="N5159" s="1" t="s">
        <v>38</v>
      </c>
      <c r="O5159" s="1" t="s">
        <v>46</v>
      </c>
    </row>
    <row r="5160" spans="2:15" x14ac:dyDescent="0.3">
      <c r="B5160" s="1" t="s">
        <v>23</v>
      </c>
      <c r="C5160" s="1" t="str">
        <f>"3차"</f>
        <v>3차</v>
      </c>
      <c r="D5160" s="1" t="str">
        <f>"0425R61239"</f>
        <v>0425R61239</v>
      </c>
      <c r="E5160" s="1" t="s">
        <v>10</v>
      </c>
      <c r="F5160" s="1" t="str">
        <f>"10.11.59.74"</f>
        <v>10.11.59.74</v>
      </c>
      <c r="G5160" s="1" t="str">
        <f>"0425R612"</f>
        <v>0425R612</v>
      </c>
      <c r="H5160" s="1" t="str">
        <f>"구청지 4R4"</f>
        <v>구청지 4R4</v>
      </c>
      <c r="I5160" s="1" t="s">
        <v>8</v>
      </c>
      <c r="J5160" s="1" t="str">
        <f>"33/33"</f>
        <v>33/33</v>
      </c>
      <c r="K5160" s="1" t="str">
        <f t="shared" si="273"/>
        <v>2026-07-29 13:18:03</v>
      </c>
      <c r="L5160" s="1" t="str">
        <f>"2018-03-26 09:29:07"</f>
        <v>2018-03-26 09:29:07</v>
      </c>
      <c r="M5160" s="1" t="s">
        <v>2</v>
      </c>
      <c r="N5160" s="1" t="s">
        <v>38</v>
      </c>
      <c r="O5160" s="1" t="s">
        <v>46</v>
      </c>
    </row>
    <row r="5161" spans="2:15" x14ac:dyDescent="0.3">
      <c r="B5161" s="1" t="s">
        <v>23</v>
      </c>
      <c r="C5161" s="1" t="str">
        <f>"3차"</f>
        <v>3차</v>
      </c>
      <c r="D5161" s="1" t="str">
        <f>"0425R62139"</f>
        <v>0425R62139</v>
      </c>
      <c r="E5161" s="1" t="s">
        <v>10</v>
      </c>
      <c r="F5161" s="1" t="str">
        <f>"10.11.52.82"</f>
        <v>10.11.52.82</v>
      </c>
      <c r="G5161" s="1" t="str">
        <f>"0425R621"</f>
        <v>0425R621</v>
      </c>
      <c r="H5161" s="1" t="str">
        <f>"구청지 4R2R1"</f>
        <v>구청지 4R2R1</v>
      </c>
      <c r="I5161" s="1" t="s">
        <v>8</v>
      </c>
      <c r="J5161" s="1" t="str">
        <f>"13/13"</f>
        <v>13/13</v>
      </c>
      <c r="K5161" s="1" t="str">
        <f t="shared" si="273"/>
        <v>2026-07-29 13:18:03</v>
      </c>
      <c r="L5161" s="1" t="str">
        <f>"2018-06-12 15:46:28"</f>
        <v>2018-06-12 15:46:28</v>
      </c>
      <c r="M5161" s="1" t="s">
        <v>2</v>
      </c>
      <c r="N5161" s="1" t="s">
        <v>38</v>
      </c>
      <c r="O5161" s="1" t="s">
        <v>46</v>
      </c>
    </row>
    <row r="5162" spans="2:15" x14ac:dyDescent="0.3">
      <c r="B5162" s="1" t="s">
        <v>23</v>
      </c>
      <c r="C5162" s="1" t="str">
        <f>"4차"</f>
        <v>4차</v>
      </c>
      <c r="D5162" s="1" t="str">
        <f>"0425R62239"</f>
        <v>0425R62239</v>
      </c>
      <c r="E5162" s="1" t="s">
        <v>10</v>
      </c>
      <c r="F5162" s="1" t="str">
        <f>"10.11.52.90"</f>
        <v>10.11.52.90</v>
      </c>
      <c r="G5162" s="1" t="str">
        <f>"0425R622"</f>
        <v>0425R622</v>
      </c>
      <c r="H5162" s="1" t="str">
        <f>"구청지 4R3R1"</f>
        <v>구청지 4R3R1</v>
      </c>
      <c r="I5162" s="1" t="s">
        <v>8</v>
      </c>
      <c r="J5162" s="1" t="str">
        <f>"42/43"</f>
        <v>42/43</v>
      </c>
      <c r="K5162" s="1" t="str">
        <f>"2026-07-29 13:18:04"</f>
        <v>2026-07-29 13:18:04</v>
      </c>
      <c r="L5162" s="1" t="str">
        <f>"2018-04-24 13:46:11"</f>
        <v>2018-04-24 13:46:11</v>
      </c>
      <c r="M5162" s="1" t="s">
        <v>2</v>
      </c>
      <c r="N5162" s="1" t="s">
        <v>38</v>
      </c>
      <c r="O5162" s="1" t="s">
        <v>46</v>
      </c>
    </row>
    <row r="5163" spans="2:15" x14ac:dyDescent="0.3">
      <c r="B5163" s="1" t="s">
        <v>23</v>
      </c>
      <c r="C5163" s="1" t="str">
        <f>"3차"</f>
        <v>3차</v>
      </c>
      <c r="D5163" s="1" t="str">
        <f>"0425R62339"</f>
        <v>0425R62339</v>
      </c>
      <c r="E5163" s="1" t="s">
        <v>10</v>
      </c>
      <c r="F5163" s="1" t="str">
        <f>"10.11.59.58"</f>
        <v>10.11.59.58</v>
      </c>
      <c r="G5163" s="1" t="str">
        <f>"0425R623"</f>
        <v>0425R623</v>
      </c>
      <c r="H5163" s="1" t="str">
        <f>"구청지 4R2R2"</f>
        <v>구청지 4R2R2</v>
      </c>
      <c r="I5163" s="1" t="s">
        <v>8</v>
      </c>
      <c r="J5163" s="1" t="str">
        <f>"25/25"</f>
        <v>25/25</v>
      </c>
      <c r="K5163" s="1" t="str">
        <f>"2026-07-29 13:18:03"</f>
        <v>2026-07-29 13:18:03</v>
      </c>
      <c r="L5163" s="1" t="str">
        <f>"2018-04-24 13:34:56"</f>
        <v>2018-04-24 13:34:56</v>
      </c>
      <c r="M5163" s="1" t="s">
        <v>2</v>
      </c>
      <c r="N5163" s="1" t="s">
        <v>38</v>
      </c>
      <c r="O5163" s="1" t="s">
        <v>46</v>
      </c>
    </row>
    <row r="5164" spans="2:15" x14ac:dyDescent="0.3">
      <c r="B5164" s="1" t="s">
        <v>23</v>
      </c>
      <c r="C5164" s="1" t="str">
        <f>"3차"</f>
        <v>3차</v>
      </c>
      <c r="D5164" s="1" t="str">
        <f>"0425R71139"</f>
        <v>0425R71139</v>
      </c>
      <c r="E5164" s="1" t="s">
        <v>10</v>
      </c>
      <c r="F5164" s="1" t="str">
        <f>"10.11.52.74"</f>
        <v>10.11.52.74</v>
      </c>
      <c r="G5164" s="1" t="str">
        <f>"0425R711"</f>
        <v>0425R711</v>
      </c>
      <c r="H5164" s="1" t="str">
        <f>"구청지 4R1"</f>
        <v>구청지 4R1</v>
      </c>
      <c r="I5164" s="1" t="s">
        <v>8</v>
      </c>
      <c r="J5164" s="1" t="str">
        <f>"55/55"</f>
        <v>55/55</v>
      </c>
      <c r="K5164" s="1" t="str">
        <f>"2026-07-29 13:18:03"</f>
        <v>2026-07-29 13:18:03</v>
      </c>
      <c r="L5164" s="1" t="str">
        <f>"2018-04-24 13:08:55"</f>
        <v>2018-04-24 13:08:55</v>
      </c>
      <c r="M5164" s="1" t="s">
        <v>2</v>
      </c>
      <c r="N5164" s="1" t="s">
        <v>38</v>
      </c>
      <c r="O5164" s="1" t="s">
        <v>46</v>
      </c>
    </row>
    <row r="5165" spans="2:15" x14ac:dyDescent="0.3">
      <c r="B5165" s="1" t="s">
        <v>23</v>
      </c>
      <c r="C5165" s="1" t="str">
        <f>"3차"</f>
        <v>3차</v>
      </c>
      <c r="D5165" s="1" t="str">
        <f>"0425R72139"</f>
        <v>0425R72139</v>
      </c>
      <c r="E5165" s="1" t="s">
        <v>10</v>
      </c>
      <c r="F5165" s="1" t="str">
        <f>"10.11.59.50"</f>
        <v>10.11.59.50</v>
      </c>
      <c r="G5165" s="1" t="str">
        <f>"0425R721"</f>
        <v>0425R721</v>
      </c>
      <c r="H5165" s="1" t="str">
        <f>"구청지 4R2"</f>
        <v>구청지 4R2</v>
      </c>
      <c r="I5165" s="1" t="s">
        <v>8</v>
      </c>
      <c r="J5165" s="1" t="str">
        <f>"44/44"</f>
        <v>44/44</v>
      </c>
      <c r="K5165" s="1" t="str">
        <f>"2026-07-29 13:18:03"</f>
        <v>2026-07-29 13:18:03</v>
      </c>
      <c r="L5165" s="1" t="str">
        <f>"2018-04-24 13:29:26"</f>
        <v>2018-04-24 13:29:26</v>
      </c>
      <c r="M5165" s="1" t="s">
        <v>2</v>
      </c>
      <c r="N5165" s="1" t="s">
        <v>38</v>
      </c>
      <c r="O5165" s="1" t="s">
        <v>46</v>
      </c>
    </row>
    <row r="5166" spans="2:15" x14ac:dyDescent="0.3">
      <c r="B5166" s="1" t="s">
        <v>23</v>
      </c>
      <c r="C5166" s="1" t="str">
        <f>"4차"</f>
        <v>4차</v>
      </c>
      <c r="D5166" s="1" t="str">
        <f>"0425R74345"</f>
        <v>0425R74345</v>
      </c>
      <c r="E5166" s="1" t="str">
        <f>"검침실패(3시간 이상)"</f>
        <v>검침실패(3시간 이상)</v>
      </c>
      <c r="F5166" s="1" t="str">
        <f>"10.14.14.60"</f>
        <v>10.14.14.60</v>
      </c>
      <c r="G5166" s="1" t="str">
        <f>"0425R743"</f>
        <v>0425R743</v>
      </c>
      <c r="H5166" s="1" t="str">
        <f>"광나루 84-4"</f>
        <v>광나루 84-4</v>
      </c>
      <c r="I5166" s="1" t="s">
        <v>17</v>
      </c>
      <c r="J5166" s="1" t="str">
        <f>"0/9"</f>
        <v>0/9</v>
      </c>
      <c r="K5166" s="1" t="str">
        <f>"2026-07-29 13:18:02"</f>
        <v>2026-07-29 13:18:02</v>
      </c>
      <c r="L5166" s="1" t="str">
        <f>"2021-06-29 10:51:24"</f>
        <v>2021-06-29 10:51:24</v>
      </c>
      <c r="M5166" s="1" t="s">
        <v>3</v>
      </c>
      <c r="N5166" s="1" t="s">
        <v>38</v>
      </c>
      <c r="O5166" s="1" t="s">
        <v>46</v>
      </c>
    </row>
    <row r="5167" spans="2:15" x14ac:dyDescent="0.3">
      <c r="B5167" s="1" t="s">
        <v>23</v>
      </c>
      <c r="C5167" s="1" t="str">
        <f>"1차"</f>
        <v>1차</v>
      </c>
      <c r="D5167" s="1" t="str">
        <f>"0425R80200"</f>
        <v>0425R80200</v>
      </c>
      <c r="E5167" s="1" t="s">
        <v>10</v>
      </c>
      <c r="F5167" s="1" t="str">
        <f>"10.125.7.18"</f>
        <v>10.125.7.18</v>
      </c>
      <c r="G5167" s="1" t="str">
        <f>"0425R802"</f>
        <v>0425R802</v>
      </c>
      <c r="H5167" s="1" t="str">
        <f>"양구간 27R3"</f>
        <v>양구간 27R3</v>
      </c>
      <c r="I5167" s="1" t="s">
        <v>8</v>
      </c>
      <c r="J5167" s="1" t="str">
        <f>"46/49"</f>
        <v>46/49</v>
      </c>
      <c r="K5167" s="1" t="str">
        <f>"2026-07-29 13:18:03"</f>
        <v>2026-07-29 13:18:03</v>
      </c>
      <c r="L5167" s="1" t="str">
        <f>"2014-12-12 11:28:10"</f>
        <v>2014-12-12 11:28:10</v>
      </c>
      <c r="M5167" s="1" t="s">
        <v>45</v>
      </c>
      <c r="N5167" s="1" t="s">
        <v>38</v>
      </c>
      <c r="O5167" s="1" t="s">
        <v>46</v>
      </c>
    </row>
    <row r="5168" spans="2:15" x14ac:dyDescent="0.3">
      <c r="B5168" s="1" t="s">
        <v>23</v>
      </c>
      <c r="C5168" s="1" t="str">
        <f>"3차"</f>
        <v>3차</v>
      </c>
      <c r="D5168" s="1" t="str">
        <f>"0425R80330"</f>
        <v>0425R80330</v>
      </c>
      <c r="E5168" s="1" t="s">
        <v>10</v>
      </c>
      <c r="F5168" s="1" t="str">
        <f>"10.11.52.66"</f>
        <v>10.11.52.66</v>
      </c>
      <c r="G5168" s="1" t="str">
        <f>"0425R803"</f>
        <v>0425R803</v>
      </c>
      <c r="H5168" s="1" t="str">
        <f>"구청지 6"</f>
        <v>구청지 6</v>
      </c>
      <c r="I5168" s="1" t="s">
        <v>8</v>
      </c>
      <c r="J5168" s="1" t="str">
        <f>"12/12"</f>
        <v>12/12</v>
      </c>
      <c r="K5168" s="1" t="str">
        <f>"2026-07-29 13:18:03"</f>
        <v>2026-07-29 13:18:03</v>
      </c>
      <c r="L5168" s="1" t="str">
        <f>"2018-05-04 09:08:24"</f>
        <v>2018-05-04 09:08:24</v>
      </c>
      <c r="M5168" s="1" t="s">
        <v>2</v>
      </c>
      <c r="N5168" s="1" t="s">
        <v>38</v>
      </c>
      <c r="O5168" s="1" t="s">
        <v>46</v>
      </c>
    </row>
    <row r="5169" spans="2:15" x14ac:dyDescent="0.3">
      <c r="B5169" s="1" t="s">
        <v>23</v>
      </c>
      <c r="C5169" s="1" t="str">
        <f>"5-2차"</f>
        <v>5-2차</v>
      </c>
      <c r="D5169" s="1" t="str">
        <f>"0425R8215M"</f>
        <v>0425R8215M</v>
      </c>
      <c r="E5169" s="1" t="s">
        <v>10</v>
      </c>
      <c r="F5169" s="1" t="str">
        <f>"fde3:102:1440:1500:0:0:0:c"</f>
        <v>fde3:102:1440:1500:0:0:0:c</v>
      </c>
      <c r="G5169" s="1" t="str">
        <f>"0425R821"</f>
        <v>0425R821</v>
      </c>
      <c r="H5169" s="1" t="str">
        <f>"구청지 3"</f>
        <v>구청지 3</v>
      </c>
      <c r="I5169" s="1" t="s">
        <v>15</v>
      </c>
      <c r="J5169" s="1" t="str">
        <f>"44/44"</f>
        <v>44/44</v>
      </c>
      <c r="K5169" s="1" t="str">
        <f>"2026-07-29 14:21:17"</f>
        <v>2026-07-29 14:21:17</v>
      </c>
      <c r="L5169" s="1" t="str">
        <f>"2023-06-26 15:10:32"</f>
        <v>2023-06-26 15:10:32</v>
      </c>
      <c r="M5169" s="1" t="s">
        <v>45</v>
      </c>
      <c r="N5169" s="1" t="s">
        <v>38</v>
      </c>
      <c r="O5169" s="1" t="s">
        <v>46</v>
      </c>
    </row>
    <row r="5170" spans="2:15" x14ac:dyDescent="0.3">
      <c r="B5170" s="1" t="s">
        <v>23</v>
      </c>
      <c r="C5170" s="1" t="str">
        <f>"1차"</f>
        <v>1차</v>
      </c>
      <c r="D5170" s="1" t="str">
        <f>"0425R90101"</f>
        <v>0425R90101</v>
      </c>
      <c r="E5170" s="1" t="s">
        <v>10</v>
      </c>
      <c r="F5170" s="1" t="str">
        <f>"10.125.4.107"</f>
        <v>10.125.4.107</v>
      </c>
      <c r="G5170" s="1" t="str">
        <f>"0425R901"</f>
        <v>0425R901</v>
      </c>
      <c r="H5170" s="1" t="str">
        <f>"양구간 27R5R5"</f>
        <v>양구간 27R5R5</v>
      </c>
      <c r="I5170" s="1" t="s">
        <v>8</v>
      </c>
      <c r="J5170" s="1" t="str">
        <f>"52/53"</f>
        <v>52/53</v>
      </c>
      <c r="K5170" s="1" t="str">
        <f>"2026-07-29 13:18:03"</f>
        <v>2026-07-29 13:18:03</v>
      </c>
      <c r="L5170" s="1" t="str">
        <f>"2014-12-12 11:13:36"</f>
        <v>2014-12-12 11:13:36</v>
      </c>
      <c r="M5170" s="1" t="s">
        <v>45</v>
      </c>
      <c r="N5170" s="1" t="s">
        <v>38</v>
      </c>
      <c r="O5170" s="1" t="s">
        <v>46</v>
      </c>
    </row>
    <row r="5171" spans="2:15" x14ac:dyDescent="0.3">
      <c r="B5171" s="1" t="s">
        <v>23</v>
      </c>
      <c r="C5171" s="1" t="str">
        <f>"1차"</f>
        <v>1차</v>
      </c>
      <c r="D5171" s="1" t="str">
        <f>"0425R91100"</f>
        <v>0425R91100</v>
      </c>
      <c r="E5171" s="1" t="s">
        <v>10</v>
      </c>
      <c r="F5171" s="1" t="str">
        <f>"10.125.4.106"</f>
        <v>10.125.4.106</v>
      </c>
      <c r="G5171" s="1" t="str">
        <f>"0425R911"</f>
        <v>0425R911</v>
      </c>
      <c r="H5171" s="1" t="str">
        <f>"양구간 27R5R3"</f>
        <v>양구간 27R5R3</v>
      </c>
      <c r="I5171" s="1" t="s">
        <v>8</v>
      </c>
      <c r="J5171" s="1" t="str">
        <f>"50/50"</f>
        <v>50/50</v>
      </c>
      <c r="K5171" s="1" t="str">
        <f>"2026-07-29 13:18:03"</f>
        <v>2026-07-29 13:18:03</v>
      </c>
      <c r="L5171" s="1" t="str">
        <f>"2014-12-12 11:13:40"</f>
        <v>2014-12-12 11:13:40</v>
      </c>
      <c r="M5171" s="1" t="s">
        <v>45</v>
      </c>
      <c r="N5171" s="1" t="s">
        <v>38</v>
      </c>
      <c r="O5171" s="1" t="s">
        <v>46</v>
      </c>
    </row>
    <row r="5172" spans="2:15" x14ac:dyDescent="0.3">
      <c r="B5172" s="1" t="s">
        <v>23</v>
      </c>
      <c r="C5172" s="1" t="str">
        <f>"4차"</f>
        <v>4차</v>
      </c>
      <c r="D5172" s="1" t="str">
        <f>"0425R91342"</f>
        <v>0425R91342</v>
      </c>
      <c r="E5172" s="1" t="s">
        <v>10</v>
      </c>
      <c r="F5172" s="1" t="str">
        <f>"10.12.128.134"</f>
        <v>10.12.128.134</v>
      </c>
      <c r="G5172" s="1" t="str">
        <f>"0425R913"</f>
        <v>0425R913</v>
      </c>
      <c r="H5172" s="1" t="str">
        <f>"양구간 27R5R2"</f>
        <v>양구간 27R5R2</v>
      </c>
      <c r="I5172" s="1" t="s">
        <v>8</v>
      </c>
      <c r="J5172" s="1" t="str">
        <f>"24/24"</f>
        <v>24/24</v>
      </c>
      <c r="K5172" s="1" t="str">
        <f>"2026-07-29 13:18:02"</f>
        <v>2026-07-29 13:18:02</v>
      </c>
      <c r="L5172" s="1" t="str">
        <f>"2026-06-11 17:54:37"</f>
        <v>2026-06-11 17:54:37</v>
      </c>
      <c r="M5172" s="1" t="s">
        <v>0</v>
      </c>
      <c r="N5172" s="1" t="s">
        <v>38</v>
      </c>
      <c r="O5172" s="1" t="s">
        <v>46</v>
      </c>
    </row>
    <row r="5173" spans="2:15" x14ac:dyDescent="0.3">
      <c r="B5173" s="1" t="s">
        <v>23</v>
      </c>
      <c r="C5173" s="1" t="str">
        <f>"5-2차"</f>
        <v>5-2차</v>
      </c>
      <c r="D5173" s="1" t="str">
        <f>"0425R9215M"</f>
        <v>0425R9215M</v>
      </c>
      <c r="E5173" s="1" t="s">
        <v>10</v>
      </c>
      <c r="F5173" s="1" t="str">
        <f>"fde3:102:1440:1300:0:0:0:1c"</f>
        <v>fde3:102:1440:1300:0:0:0:1c</v>
      </c>
      <c r="G5173" s="1" t="str">
        <f>"0425R921"</f>
        <v>0425R921</v>
      </c>
      <c r="H5173" s="1" t="str">
        <f>"양구간 27R7R2"</f>
        <v>양구간 27R7R2</v>
      </c>
      <c r="I5173" s="1" t="s">
        <v>15</v>
      </c>
      <c r="J5173" s="1" t="str">
        <f>"54/54"</f>
        <v>54/54</v>
      </c>
      <c r="K5173" s="1" t="str">
        <f>"2026-07-29 14:21:17"</f>
        <v>2026-07-29 14:21:17</v>
      </c>
      <c r="L5173" s="1" t="str">
        <f>"2023-06-13 16:52:33"</f>
        <v>2023-06-13 16:52:33</v>
      </c>
      <c r="M5173" s="1" t="s">
        <v>45</v>
      </c>
      <c r="N5173" s="1" t="s">
        <v>38</v>
      </c>
      <c r="O5173" s="1" t="s">
        <v>46</v>
      </c>
    </row>
    <row r="5174" spans="2:15" x14ac:dyDescent="0.3">
      <c r="B5174" s="1" t="s">
        <v>23</v>
      </c>
      <c r="C5174" s="1" t="str">
        <f>"4차"</f>
        <v>4차</v>
      </c>
      <c r="D5174" s="1" t="str">
        <f>"0425S03239"</f>
        <v>0425S03239</v>
      </c>
      <c r="E5174" s="1" t="s">
        <v>10</v>
      </c>
      <c r="F5174" s="1" t="str">
        <f>"10.12.137.102"</f>
        <v>10.12.137.102</v>
      </c>
      <c r="G5174" s="1" t="str">
        <f>"0425S032"</f>
        <v>0425S032</v>
      </c>
      <c r="H5174" s="1" t="str">
        <f>"광나루 102-7"</f>
        <v>광나루 102-7</v>
      </c>
      <c r="I5174" s="1" t="s">
        <v>17</v>
      </c>
      <c r="J5174" s="1" t="str">
        <f>"8/8"</f>
        <v>8/8</v>
      </c>
      <c r="K5174" s="1" t="str">
        <f>"2026-07-29 13:18:02"</f>
        <v>2026-07-29 13:18:02</v>
      </c>
      <c r="L5174" s="1" t="str">
        <f>"2018-06-19 13:03:34"</f>
        <v>2018-06-19 13:03:34</v>
      </c>
      <c r="M5174" s="1" t="s">
        <v>0</v>
      </c>
      <c r="N5174" s="1" t="s">
        <v>38</v>
      </c>
      <c r="O5174" s="1" t="s">
        <v>46</v>
      </c>
    </row>
    <row r="5175" spans="2:15" x14ac:dyDescent="0.3">
      <c r="B5175" s="1" t="s">
        <v>23</v>
      </c>
      <c r="C5175" s="1" t="str">
        <f>"4차"</f>
        <v>4차</v>
      </c>
      <c r="D5175" s="1" t="str">
        <f>"0425S04239"</f>
        <v>0425S04239</v>
      </c>
      <c r="E5175" s="1" t="s">
        <v>10</v>
      </c>
      <c r="F5175" s="1" t="str">
        <f>"10.12.133.167"</f>
        <v>10.12.133.167</v>
      </c>
      <c r="G5175" s="1" t="str">
        <f>"0425S042"</f>
        <v>0425S042</v>
      </c>
      <c r="H5175" s="1" t="str">
        <f>"광나루 93-4"</f>
        <v>광나루 93-4</v>
      </c>
      <c r="I5175" s="1" t="s">
        <v>17</v>
      </c>
      <c r="J5175" s="1" t="str">
        <f>"2/2"</f>
        <v>2/2</v>
      </c>
      <c r="K5175" s="1" t="str">
        <f>"2026-07-29 13:18:03"</f>
        <v>2026-07-29 13:18:03</v>
      </c>
      <c r="L5175" s="1" t="str">
        <f>"2018-06-18 14:47:00"</f>
        <v>2018-06-18 14:47:00</v>
      </c>
      <c r="M5175" s="1" t="s">
        <v>0</v>
      </c>
      <c r="N5175" s="1" t="s">
        <v>38</v>
      </c>
      <c r="O5175" s="1" t="s">
        <v>46</v>
      </c>
    </row>
    <row r="5176" spans="2:15" x14ac:dyDescent="0.3">
      <c r="B5176" s="1" t="s">
        <v>23</v>
      </c>
      <c r="C5176" s="1" t="str">
        <f>"5-2차"</f>
        <v>5-2차</v>
      </c>
      <c r="D5176" s="1" t="str">
        <f>"0425S0535M"</f>
        <v>0425S0535M</v>
      </c>
      <c r="E5176" s="1" t="s">
        <v>10</v>
      </c>
      <c r="F5176" s="1" t="str">
        <f>"fde3:102:1440:1500:0:0:0:d"</f>
        <v>fde3:102:1440:1500:0:0:0:d</v>
      </c>
      <c r="G5176" s="1" t="str">
        <f>"0425S053"</f>
        <v>0425S053</v>
      </c>
      <c r="H5176" s="1" t="str">
        <f>"산성간 28L19"</f>
        <v>산성간 28L19</v>
      </c>
      <c r="I5176" s="1" t="s">
        <v>15</v>
      </c>
      <c r="J5176" s="1" t="str">
        <f>"53/53"</f>
        <v>53/53</v>
      </c>
      <c r="K5176" s="1" t="str">
        <f>"2026-07-29 14:20:49"</f>
        <v>2026-07-29 14:20:49</v>
      </c>
      <c r="L5176" s="1" t="str">
        <f>"2023-10-16 17:30:37"</f>
        <v>2023-10-16 17:30:37</v>
      </c>
      <c r="M5176" s="1" t="s">
        <v>45</v>
      </c>
      <c r="N5176" s="1" t="s">
        <v>38</v>
      </c>
      <c r="O5176" s="1" t="s">
        <v>46</v>
      </c>
    </row>
    <row r="5177" spans="2:15" x14ac:dyDescent="0.3">
      <c r="B5177" s="1" t="s">
        <v>23</v>
      </c>
      <c r="C5177" s="1" t="str">
        <f>"5-1차"</f>
        <v>5-1차</v>
      </c>
      <c r="D5177" s="1" t="str">
        <f>"0425S1025S"</f>
        <v>0425S1025S</v>
      </c>
      <c r="E5177" s="1" t="s">
        <v>10</v>
      </c>
      <c r="F5177" s="1" t="str">
        <f>"fde3:102:1440:1200:0:0:0:3"</f>
        <v>fde3:102:1440:1200:0:0:0:3</v>
      </c>
      <c r="G5177" s="1" t="str">
        <f>"0425S102"</f>
        <v>0425S102</v>
      </c>
      <c r="H5177" s="1" t="str">
        <f>"광나루 101R5L1"</f>
        <v>광나루 101R5L1</v>
      </c>
      <c r="I5177" s="1" t="s">
        <v>15</v>
      </c>
      <c r="J5177" s="1" t="str">
        <f>"62/62"</f>
        <v>62/62</v>
      </c>
      <c r="K5177" s="1" t="str">
        <f>"2026-07-29 14:21:02"</f>
        <v>2026-07-29 14:21:02</v>
      </c>
      <c r="L5177" s="1" t="str">
        <f>"2022-11-08 09:26:31"</f>
        <v>2022-11-08 09:26:31</v>
      </c>
      <c r="M5177" s="1" t="s">
        <v>45</v>
      </c>
      <c r="N5177" s="1" t="s">
        <v>38</v>
      </c>
      <c r="O5177" s="1" t="s">
        <v>46</v>
      </c>
    </row>
    <row r="5178" spans="2:15" x14ac:dyDescent="0.3">
      <c r="B5178" s="1" t="s">
        <v>23</v>
      </c>
      <c r="C5178" s="1" t="str">
        <f>"4차"</f>
        <v>4차</v>
      </c>
      <c r="D5178" s="1" t="str">
        <f>"0425S13439"</f>
        <v>0425S13439</v>
      </c>
      <c r="E5178" s="1" t="s">
        <v>10</v>
      </c>
      <c r="F5178" s="1" t="str">
        <f>"10.12.133.13"</f>
        <v>10.12.133.13</v>
      </c>
      <c r="G5178" s="1" t="str">
        <f>"0425S134"</f>
        <v>0425S134</v>
      </c>
      <c r="H5178" s="1" t="str">
        <f>"동대부 3-2"</f>
        <v>동대부 3-2</v>
      </c>
      <c r="I5178" s="1" t="s">
        <v>17</v>
      </c>
      <c r="J5178" s="1" t="str">
        <f>"6/6"</f>
        <v>6/6</v>
      </c>
      <c r="K5178" s="1" t="str">
        <f>"2026-07-29 13:18:02"</f>
        <v>2026-07-29 13:18:02</v>
      </c>
      <c r="L5178" s="1" t="str">
        <f>"2018-06-18 11:03:12"</f>
        <v>2018-06-18 11:03:12</v>
      </c>
      <c r="M5178" s="1" t="s">
        <v>0</v>
      </c>
      <c r="N5178" s="1" t="s">
        <v>38</v>
      </c>
      <c r="O5178" s="1" t="s">
        <v>46</v>
      </c>
    </row>
    <row r="5179" spans="2:15" x14ac:dyDescent="0.3">
      <c r="B5179" s="1" t="s">
        <v>23</v>
      </c>
      <c r="C5179" s="1" t="str">
        <f>"5-1차"</f>
        <v>5-1차</v>
      </c>
      <c r="D5179" s="1" t="str">
        <f>"0425S1815M"</f>
        <v>0425S1815M</v>
      </c>
      <c r="E5179" s="1" t="s">
        <v>10</v>
      </c>
      <c r="F5179" s="1" t="str">
        <f>"fde3:102:1440:1500:0:0:0:6"</f>
        <v>fde3:102:1440:1500:0:0:0:6</v>
      </c>
      <c r="G5179" s="1" t="str">
        <f>"0425S181"</f>
        <v>0425S181</v>
      </c>
      <c r="H5179" s="1" t="str">
        <f>"산성간 28L10R1L3"</f>
        <v>산성간 28L10R1L3</v>
      </c>
      <c r="I5179" s="1" t="s">
        <v>15</v>
      </c>
      <c r="J5179" s="1" t="str">
        <f>"74/81"</f>
        <v>74/81</v>
      </c>
      <c r="K5179" s="1" t="str">
        <f>"2026-07-29 14:20:49"</f>
        <v>2026-07-29 14:20:49</v>
      </c>
      <c r="L5179" s="1" t="str">
        <f>"2022-10-27 10:58:17"</f>
        <v>2022-10-27 10:58:17</v>
      </c>
      <c r="M5179" s="1" t="s">
        <v>45</v>
      </c>
      <c r="N5179" s="1" t="s">
        <v>38</v>
      </c>
      <c r="O5179" s="1" t="s">
        <v>46</v>
      </c>
    </row>
    <row r="5180" spans="2:15" x14ac:dyDescent="0.3">
      <c r="B5180" s="1" t="s">
        <v>23</v>
      </c>
      <c r="C5180" s="1" t="str">
        <f>"5-2차"</f>
        <v>5-2차</v>
      </c>
      <c r="D5180" s="1" t="str">
        <f>"0425S1825M"</f>
        <v>0425S1825M</v>
      </c>
      <c r="E5180" s="1" t="s">
        <v>10</v>
      </c>
      <c r="F5180" s="1" t="str">
        <f>"fde3:102:1440:1500:0:0:0:e"</f>
        <v>fde3:102:1440:1500:0:0:0:e</v>
      </c>
      <c r="G5180" s="1" t="str">
        <f>"0425S182"</f>
        <v>0425S182</v>
      </c>
      <c r="H5180" s="1" t="str">
        <f>"산성간 28L10R1L4"</f>
        <v>산성간 28L10R1L4</v>
      </c>
      <c r="I5180" s="1" t="s">
        <v>15</v>
      </c>
      <c r="J5180" s="1" t="str">
        <f>"55/55"</f>
        <v>55/55</v>
      </c>
      <c r="K5180" s="1" t="str">
        <f>"2026-07-29 14:20:29"</f>
        <v>2026-07-29 14:20:29</v>
      </c>
      <c r="L5180" s="1" t="str">
        <f>"2023-08-22 16:35:42"</f>
        <v>2023-08-22 16:35:42</v>
      </c>
      <c r="M5180" s="1" t="s">
        <v>45</v>
      </c>
      <c r="N5180" s="1" t="s">
        <v>38</v>
      </c>
      <c r="O5180" s="1" t="s">
        <v>46</v>
      </c>
    </row>
    <row r="5181" spans="2:15" x14ac:dyDescent="0.3">
      <c r="B5181" s="1" t="s">
        <v>23</v>
      </c>
      <c r="C5181" s="1" t="str">
        <f>"4차"</f>
        <v>4차</v>
      </c>
      <c r="D5181" s="1" t="str">
        <f>"0425S24139"</f>
        <v>0425S24139</v>
      </c>
      <c r="E5181" s="1" t="s">
        <v>10</v>
      </c>
      <c r="F5181" s="1" t="str">
        <f>"10.12.133.168"</f>
        <v>10.12.133.168</v>
      </c>
      <c r="G5181" s="1" t="str">
        <f>"0425S241"</f>
        <v>0425S241</v>
      </c>
      <c r="H5181" s="1" t="str">
        <f>"광나루 93-2"</f>
        <v>광나루 93-2</v>
      </c>
      <c r="I5181" s="1" t="s">
        <v>17</v>
      </c>
      <c r="J5181" s="1" t="str">
        <f>"17/18"</f>
        <v>17/18</v>
      </c>
      <c r="K5181" s="1" t="str">
        <f>"2026-07-29 13:18:05"</f>
        <v>2026-07-29 13:18:05</v>
      </c>
      <c r="L5181" s="1" t="str">
        <f>"2018-06-18 14:33:59"</f>
        <v>2018-06-18 14:33:59</v>
      </c>
      <c r="M5181" s="1" t="s">
        <v>0</v>
      </c>
      <c r="N5181" s="1" t="s">
        <v>38</v>
      </c>
      <c r="O5181" s="1" t="s">
        <v>46</v>
      </c>
    </row>
    <row r="5182" spans="2:15" x14ac:dyDescent="0.3">
      <c r="B5182" s="1" t="s">
        <v>23</v>
      </c>
      <c r="C5182" s="1" t="str">
        <f>"5-2차"</f>
        <v>5-2차</v>
      </c>
      <c r="D5182" s="1" t="str">
        <f>"0425S2515M"</f>
        <v>0425S2515M</v>
      </c>
      <c r="E5182" s="1" t="s">
        <v>10</v>
      </c>
      <c r="F5182" s="1" t="str">
        <f>"fde3:102:1440:1600:0:0:0:9"</f>
        <v>fde3:102:1440:1600:0:0:0:9</v>
      </c>
      <c r="G5182" s="1" t="str">
        <f>"0425S251"</f>
        <v>0425S251</v>
      </c>
      <c r="H5182" s="1" t="str">
        <f>"광나루 91L3"</f>
        <v>광나루 91L3</v>
      </c>
      <c r="I5182" s="1" t="s">
        <v>15</v>
      </c>
      <c r="J5182" s="1" t="str">
        <f>"60/60"</f>
        <v>60/60</v>
      </c>
      <c r="K5182" s="1" t="str">
        <f>"2026-07-29 14:21:01"</f>
        <v>2026-07-29 14:21:01</v>
      </c>
      <c r="L5182" s="1" t="str">
        <f>"2023-09-13 14:17:36"</f>
        <v>2023-09-13 14:17:36</v>
      </c>
      <c r="M5182" s="1" t="s">
        <v>45</v>
      </c>
      <c r="N5182" s="1" t="s">
        <v>38</v>
      </c>
      <c r="O5182" s="1" t="s">
        <v>46</v>
      </c>
    </row>
    <row r="5183" spans="2:15" x14ac:dyDescent="0.3">
      <c r="B5183" s="1" t="s">
        <v>23</v>
      </c>
      <c r="C5183" s="1" t="str">
        <f>"6차"</f>
        <v>6차</v>
      </c>
      <c r="D5183" s="1" t="str">
        <f>"0425S2736S"</f>
        <v>0425S2736S</v>
      </c>
      <c r="E5183" s="1" t="s">
        <v>10</v>
      </c>
      <c r="F5183" s="1" t="str">
        <f>"fde1:103:4:c5d1:0:0:0:2"</f>
        <v>fde1:103:4:c5d1:0:0:0:2</v>
      </c>
      <c r="G5183" s="1" t="str">
        <f>"0425S273"</f>
        <v>0425S273</v>
      </c>
      <c r="H5183" s="1" t="str">
        <f>"광나루 90L7"</f>
        <v>광나루 90L7</v>
      </c>
      <c r="I5183" s="1" t="s">
        <v>15</v>
      </c>
      <c r="J5183" s="1" t="str">
        <f>"27/28"</f>
        <v>27/28</v>
      </c>
      <c r="K5183" s="1" t="str">
        <f>"2026-07-29 14:21:02"</f>
        <v>2026-07-29 14:21:02</v>
      </c>
      <c r="L5183" s="1" t="str">
        <f>"2024-11-13 15:15:47"</f>
        <v>2024-11-13 15:15:47</v>
      </c>
      <c r="M5183" s="1" t="s">
        <v>4</v>
      </c>
      <c r="N5183" s="1" t="s">
        <v>38</v>
      </c>
      <c r="O5183" s="1" t="s">
        <v>46</v>
      </c>
    </row>
    <row r="5184" spans="2:15" x14ac:dyDescent="0.3">
      <c r="B5184" s="1" t="s">
        <v>23</v>
      </c>
      <c r="C5184" s="1" t="str">
        <f>"5-1차"</f>
        <v>5-1차</v>
      </c>
      <c r="D5184" s="1" t="str">
        <f>"0425S2915S"</f>
        <v>0425S2915S</v>
      </c>
      <c r="E5184" s="1" t="s">
        <v>10</v>
      </c>
      <c r="F5184" s="1" t="str">
        <f>"fde3:102:1440:1500:0:0:0:7"</f>
        <v>fde3:102:1440:1500:0:0:0:7</v>
      </c>
      <c r="G5184" s="1" t="str">
        <f>"0425S291"</f>
        <v>0425S291</v>
      </c>
      <c r="H5184" s="1" t="str">
        <f>"산성간 28L10R1L1"</f>
        <v>산성간 28L10R1L1</v>
      </c>
      <c r="I5184" s="1" t="s">
        <v>15</v>
      </c>
      <c r="J5184" s="1" t="str">
        <f>"44/44"</f>
        <v>44/44</v>
      </c>
      <c r="K5184" s="1" t="str">
        <f>"2026-07-29 14:21:02"</f>
        <v>2026-07-29 14:21:02</v>
      </c>
      <c r="L5184" s="1" t="str">
        <f>"2022-10-24 16:16:10"</f>
        <v>2022-10-24 16:16:10</v>
      </c>
      <c r="M5184" s="1" t="s">
        <v>45</v>
      </c>
      <c r="N5184" s="1" t="s">
        <v>38</v>
      </c>
      <c r="O5184" s="1" t="s">
        <v>46</v>
      </c>
    </row>
    <row r="5185" spans="2:15" x14ac:dyDescent="0.3">
      <c r="B5185" s="1" t="s">
        <v>23</v>
      </c>
      <c r="C5185" s="1" t="str">
        <f>"1차"</f>
        <v>1차</v>
      </c>
      <c r="D5185" s="1" t="str">
        <f>"0425S30300"</f>
        <v>0425S30300</v>
      </c>
      <c r="E5185" s="1" t="s">
        <v>10</v>
      </c>
      <c r="F5185" s="1" t="str">
        <f>"10.125.7.26"</f>
        <v>10.125.7.26</v>
      </c>
      <c r="G5185" s="1" t="str">
        <f>"0425S303"</f>
        <v>0425S303</v>
      </c>
      <c r="H5185" s="1" t="str">
        <f>"양구간 13A1"</f>
        <v>양구간 13A1</v>
      </c>
      <c r="I5185" s="1" t="s">
        <v>8</v>
      </c>
      <c r="J5185" s="1" t="str">
        <f>"16/16"</f>
        <v>16/16</v>
      </c>
      <c r="K5185" s="1" t="str">
        <f>"2026-07-29 13:18:03"</f>
        <v>2026-07-29 13:18:03</v>
      </c>
      <c r="L5185" s="1" t="str">
        <f>"2014-12-12 10:14:05"</f>
        <v>2014-12-12 10:14:05</v>
      </c>
      <c r="M5185" s="1" t="s">
        <v>45</v>
      </c>
      <c r="N5185" s="1" t="s">
        <v>38</v>
      </c>
      <c r="O5185" s="1" t="s">
        <v>46</v>
      </c>
    </row>
    <row r="5186" spans="2:15" x14ac:dyDescent="0.3">
      <c r="B5186" s="1" t="s">
        <v>23</v>
      </c>
      <c r="C5186" s="1" t="str">
        <f>"4차"</f>
        <v>4차</v>
      </c>
      <c r="D5186" s="1" t="str">
        <f>"0425S33439"</f>
        <v>0425S33439</v>
      </c>
      <c r="E5186" s="1" t="s">
        <v>14</v>
      </c>
      <c r="F5186" s="1" t="str">
        <f>"10.12.133.24"</f>
        <v>10.12.133.24</v>
      </c>
      <c r="G5186" s="1" t="str">
        <f>"0425S334"</f>
        <v>0425S334</v>
      </c>
      <c r="H5186" s="1" t="str">
        <f>"동대부 4-1"</f>
        <v>동대부 4-1</v>
      </c>
      <c r="I5186" s="1" t="s">
        <v>17</v>
      </c>
      <c r="J5186" s="1" t="str">
        <f>"0/0"</f>
        <v>0/0</v>
      </c>
      <c r="K5186" s="1" t="str">
        <f>"2024-09-16 20:03:38"</f>
        <v>2024-09-16 20:03:38</v>
      </c>
      <c r="L5186" s="1" t="str">
        <f>"2018-06-18 13:24:29"</f>
        <v>2018-06-18 13:24:29</v>
      </c>
      <c r="M5186" s="1" t="s">
        <v>0</v>
      </c>
      <c r="N5186" s="1" t="s">
        <v>39</v>
      </c>
      <c r="O5186" s="1" t="s">
        <v>46</v>
      </c>
    </row>
    <row r="5187" spans="2:15" x14ac:dyDescent="0.3">
      <c r="B5187" s="1" t="s">
        <v>23</v>
      </c>
      <c r="C5187" s="1" t="str">
        <f>"4차"</f>
        <v>4차</v>
      </c>
      <c r="D5187" s="1" t="str">
        <f>"0425S34239"</f>
        <v>0425S34239</v>
      </c>
      <c r="E5187" s="1" t="s">
        <v>10</v>
      </c>
      <c r="F5187" s="1" t="str">
        <f>"10.12.133.233"</f>
        <v>10.12.133.233</v>
      </c>
      <c r="G5187" s="1" t="str">
        <f>"0425S342"</f>
        <v>0425S342</v>
      </c>
      <c r="H5187" s="1" t="str">
        <f>"광나루 93-1"</f>
        <v>광나루 93-1</v>
      </c>
      <c r="I5187" s="1" t="s">
        <v>17</v>
      </c>
      <c r="J5187" s="1" t="str">
        <f>"1/1"</f>
        <v>1/1</v>
      </c>
      <c r="K5187" s="1" t="str">
        <f>"2026-07-29 13:18:02"</f>
        <v>2026-07-29 13:18:02</v>
      </c>
      <c r="L5187" s="1" t="str">
        <f>"2018-06-18 14:23:28"</f>
        <v>2018-06-18 14:23:28</v>
      </c>
      <c r="M5187" s="1" t="s">
        <v>0</v>
      </c>
      <c r="N5187" s="1" t="s">
        <v>38</v>
      </c>
      <c r="O5187" s="1" t="s">
        <v>46</v>
      </c>
    </row>
    <row r="5188" spans="2:15" x14ac:dyDescent="0.3">
      <c r="B5188" s="1" t="s">
        <v>23</v>
      </c>
      <c r="C5188" s="1" t="str">
        <f>"6차"</f>
        <v>6차</v>
      </c>
      <c r="D5188" s="1" t="str">
        <f>"0425S3526S"</f>
        <v>0425S3526S</v>
      </c>
      <c r="E5188" s="1" t="s">
        <v>10</v>
      </c>
      <c r="F5188" s="1" t="str">
        <f>"fde3:102:1440:1600:0:0:0:b"</f>
        <v>fde3:102:1440:1600:0:0:0:b</v>
      </c>
      <c r="G5188" s="1" t="str">
        <f>"0425S352"</f>
        <v>0425S352</v>
      </c>
      <c r="H5188" s="1" t="str">
        <f>"광나루 93L3"</f>
        <v>광나루 93L3</v>
      </c>
      <c r="I5188" s="1" t="s">
        <v>15</v>
      </c>
      <c r="J5188" s="1" t="str">
        <f>"81/81"</f>
        <v>81/81</v>
      </c>
      <c r="K5188" s="1" t="str">
        <f>"2026-07-29 14:20:35"</f>
        <v>2026-07-29 14:20:35</v>
      </c>
      <c r="L5188" s="1" t="str">
        <f>"2024-10-10 12:51:48"</f>
        <v>2024-10-10 12:51:48</v>
      </c>
      <c r="M5188" s="1" t="s">
        <v>45</v>
      </c>
      <c r="N5188" s="1" t="s">
        <v>38</v>
      </c>
      <c r="O5188" s="1" t="s">
        <v>46</v>
      </c>
    </row>
    <row r="5189" spans="2:15" x14ac:dyDescent="0.3">
      <c r="B5189" s="1" t="s">
        <v>23</v>
      </c>
      <c r="C5189" s="1" t="str">
        <f>"1차"</f>
        <v>1차</v>
      </c>
      <c r="D5189" s="1" t="str">
        <f>"0425S36101"</f>
        <v>0425S36101</v>
      </c>
      <c r="E5189" s="1" t="s">
        <v>10</v>
      </c>
      <c r="F5189" s="1" t="str">
        <f>"10.12.131.29"</f>
        <v>10.12.131.29</v>
      </c>
      <c r="G5189" s="1" t="str">
        <f>"0425S361"</f>
        <v>0425S361</v>
      </c>
      <c r="H5189" s="1" t="str">
        <f>"광나루 91L4"</f>
        <v>광나루 91L4</v>
      </c>
      <c r="I5189" s="1" t="s">
        <v>8</v>
      </c>
      <c r="J5189" s="1" t="str">
        <f>"147/147"</f>
        <v>147/147</v>
      </c>
      <c r="K5189" s="1" t="str">
        <f>"2026-07-29 13:18:02"</f>
        <v>2026-07-29 13:18:02</v>
      </c>
      <c r="L5189" s="1" t="str">
        <f>"2014-12-11 10:13:39"</f>
        <v>2014-12-11 10:13:39</v>
      </c>
      <c r="M5189" s="1" t="s">
        <v>0</v>
      </c>
      <c r="N5189" s="1" t="s">
        <v>38</v>
      </c>
      <c r="O5189" s="1" t="s">
        <v>46</v>
      </c>
    </row>
    <row r="5190" spans="2:15" x14ac:dyDescent="0.3">
      <c r="B5190" s="1" t="s">
        <v>23</v>
      </c>
      <c r="C5190" s="1" t="str">
        <f>"3차"</f>
        <v>3차</v>
      </c>
      <c r="D5190" s="1" t="str">
        <f>"0425S41139"</f>
        <v>0425S41139</v>
      </c>
      <c r="E5190" s="1" t="s">
        <v>10</v>
      </c>
      <c r="F5190" s="1" t="str">
        <f>"10.11.60.82"</f>
        <v>10.11.60.82</v>
      </c>
      <c r="G5190" s="1" t="str">
        <f>"0425S411"</f>
        <v>0425S411</v>
      </c>
      <c r="H5190" s="1" t="str">
        <f>"양구간 13R3"</f>
        <v>양구간 13R3</v>
      </c>
      <c r="I5190" s="1" t="s">
        <v>8</v>
      </c>
      <c r="J5190" s="1" t="str">
        <f>"45/45"</f>
        <v>45/45</v>
      </c>
      <c r="K5190" s="1" t="str">
        <f>"2026-07-29 13:18:03"</f>
        <v>2026-07-29 13:18:03</v>
      </c>
      <c r="L5190" s="1" t="str">
        <f>"2018-05-29 11:27:09"</f>
        <v>2018-05-29 11:27:09</v>
      </c>
      <c r="M5190" s="1" t="s">
        <v>2</v>
      </c>
      <c r="N5190" s="1" t="s">
        <v>38</v>
      </c>
      <c r="O5190" s="1" t="s">
        <v>46</v>
      </c>
    </row>
    <row r="5191" spans="2:15" x14ac:dyDescent="0.3">
      <c r="B5191" s="1" t="s">
        <v>23</v>
      </c>
      <c r="C5191" s="1" t="str">
        <f>"4차"</f>
        <v>4차</v>
      </c>
      <c r="D5191" s="1" t="str">
        <f>"0425S43139"</f>
        <v>0425S43139</v>
      </c>
      <c r="E5191" s="1" t="s">
        <v>10</v>
      </c>
      <c r="F5191" s="1" t="str">
        <f>"10.12.136.152"</f>
        <v>10.12.136.152</v>
      </c>
      <c r="G5191" s="1" t="str">
        <f>"0425S431"</f>
        <v>0425S431</v>
      </c>
      <c r="H5191" s="1" t="str">
        <f>"광나루 102-6"</f>
        <v>광나루 102-6</v>
      </c>
      <c r="I5191" s="1" t="s">
        <v>17</v>
      </c>
      <c r="J5191" s="1" t="str">
        <f>"22/22"</f>
        <v>22/22</v>
      </c>
      <c r="K5191" s="1" t="str">
        <f>"2026-07-29 13:18:02"</f>
        <v>2026-07-29 13:18:02</v>
      </c>
      <c r="L5191" s="1" t="str">
        <f>"2018-06-19 10:33:18"</f>
        <v>2018-06-19 10:33:18</v>
      </c>
      <c r="M5191" s="1" t="s">
        <v>0</v>
      </c>
      <c r="N5191" s="1" t="s">
        <v>38</v>
      </c>
      <c r="O5191" s="1" t="s">
        <v>46</v>
      </c>
    </row>
    <row r="5192" spans="2:15" x14ac:dyDescent="0.3">
      <c r="B5192" s="1" t="s">
        <v>23</v>
      </c>
      <c r="C5192" s="1" t="str">
        <f>"4차"</f>
        <v>4차</v>
      </c>
      <c r="D5192" s="1" t="str">
        <f>"0425S43245"</f>
        <v>0425S43245</v>
      </c>
      <c r="E5192" s="1" t="s">
        <v>10</v>
      </c>
      <c r="F5192" s="1" t="str">
        <f>"10.12.134.153"</f>
        <v>10.12.134.153</v>
      </c>
      <c r="G5192" s="1" t="str">
        <f>"0425S432"</f>
        <v>0425S432</v>
      </c>
      <c r="H5192" s="1" t="str">
        <f>"광나루 102-5"</f>
        <v>광나루 102-5</v>
      </c>
      <c r="I5192" s="1" t="s">
        <v>17</v>
      </c>
      <c r="J5192" s="1" t="str">
        <f>"24/24"</f>
        <v>24/24</v>
      </c>
      <c r="K5192" s="1" t="str">
        <f>"2026-07-29 13:18:04"</f>
        <v>2026-07-29 13:18:04</v>
      </c>
      <c r="L5192" s="1" t="str">
        <f>"2025-03-26 18:06:41"</f>
        <v>2025-03-26 18:06:41</v>
      </c>
      <c r="M5192" s="1" t="s">
        <v>0</v>
      </c>
      <c r="N5192" s="1" t="s">
        <v>38</v>
      </c>
      <c r="O5192" s="1" t="s">
        <v>46</v>
      </c>
    </row>
    <row r="5193" spans="2:15" x14ac:dyDescent="0.3">
      <c r="B5193" s="1" t="s">
        <v>23</v>
      </c>
      <c r="C5193" s="1" t="str">
        <f>"4차"</f>
        <v>4차</v>
      </c>
      <c r="D5193" s="1" t="str">
        <f>"0425S44239"</f>
        <v>0425S44239</v>
      </c>
      <c r="E5193" s="1" t="s">
        <v>10</v>
      </c>
      <c r="F5193" s="1" t="str">
        <f>"10.12.133.176"</f>
        <v>10.12.133.176</v>
      </c>
      <c r="G5193" s="1" t="str">
        <f>"0425S442"</f>
        <v>0425S442</v>
      </c>
      <c r="H5193" s="1" t="str">
        <f>"광나루 95-3"</f>
        <v>광나루 95-3</v>
      </c>
      <c r="I5193" s="1" t="s">
        <v>17</v>
      </c>
      <c r="J5193" s="1" t="str">
        <f>"7/7"</f>
        <v>7/7</v>
      </c>
      <c r="K5193" s="1" t="str">
        <f>"2026-07-29 13:18:05"</f>
        <v>2026-07-29 13:18:05</v>
      </c>
      <c r="L5193" s="1" t="str">
        <f>"2018-06-18 14:07:28"</f>
        <v>2018-06-18 14:07:28</v>
      </c>
      <c r="M5193" s="1" t="s">
        <v>0</v>
      </c>
      <c r="N5193" s="1" t="s">
        <v>38</v>
      </c>
      <c r="O5193" s="1" t="s">
        <v>46</v>
      </c>
    </row>
    <row r="5194" spans="2:15" x14ac:dyDescent="0.3">
      <c r="B5194" s="1" t="s">
        <v>23</v>
      </c>
      <c r="C5194" s="1" t="str">
        <f>"6차"</f>
        <v>6차</v>
      </c>
      <c r="D5194" s="1" t="str">
        <f>"0425S4516S"</f>
        <v>0425S4516S</v>
      </c>
      <c r="E5194" s="1" t="s">
        <v>10</v>
      </c>
      <c r="F5194" s="1" t="str">
        <f>"fde1:103:4:c660:0:0:0:2"</f>
        <v>fde1:103:4:c660:0:0:0:2</v>
      </c>
      <c r="G5194" s="1" t="str">
        <f>"0425S451"</f>
        <v>0425S451</v>
      </c>
      <c r="H5194" s="1" t="str">
        <f>"광나루 93L4"</f>
        <v>광나루 93L4</v>
      </c>
      <c r="I5194" s="1" t="s">
        <v>15</v>
      </c>
      <c r="J5194" s="1" t="str">
        <f>"86/86"</f>
        <v>86/86</v>
      </c>
      <c r="K5194" s="1" t="str">
        <f>"2026-07-29 14:20:28"</f>
        <v>2026-07-29 14:20:28</v>
      </c>
      <c r="L5194" s="1" t="str">
        <f>"2024-11-13 15:15:20"</f>
        <v>2024-11-13 15:15:20</v>
      </c>
      <c r="M5194" s="1" t="s">
        <v>4</v>
      </c>
      <c r="N5194" s="1" t="s">
        <v>38</v>
      </c>
      <c r="O5194" s="1" t="s">
        <v>46</v>
      </c>
    </row>
    <row r="5195" spans="2:15" x14ac:dyDescent="0.3">
      <c r="B5195" s="1" t="s">
        <v>23</v>
      </c>
      <c r="C5195" s="1" t="str">
        <f>"1차"</f>
        <v>1차</v>
      </c>
      <c r="D5195" s="1" t="str">
        <f>"0425S47301"</f>
        <v>0425S47301</v>
      </c>
      <c r="E5195" s="1" t="s">
        <v>12</v>
      </c>
      <c r="F5195" s="1" t="str">
        <f>"10.12.131.28"</f>
        <v>10.12.131.28</v>
      </c>
      <c r="G5195" s="1" t="str">
        <f>"0425S473"</f>
        <v>0425S473</v>
      </c>
      <c r="H5195" s="1" t="str">
        <f>"광나루 91L7R1"</f>
        <v>광나루 91L7R1</v>
      </c>
      <c r="I5195" s="1" t="s">
        <v>8</v>
      </c>
      <c r="J5195" s="1" t="str">
        <f>"0/15"</f>
        <v>0/15</v>
      </c>
      <c r="K5195" s="1" t="str">
        <f>"2026-07-23 20:03:24"</f>
        <v>2026-07-23 20:03:24</v>
      </c>
      <c r="L5195" s="1" t="str">
        <f>"2014-12-11 10:13:38"</f>
        <v>2014-12-11 10:13:38</v>
      </c>
      <c r="M5195" s="1" t="s">
        <v>0</v>
      </c>
      <c r="N5195" s="1" t="s">
        <v>38</v>
      </c>
      <c r="O5195" s="1" t="s">
        <v>46</v>
      </c>
    </row>
    <row r="5196" spans="2:15" x14ac:dyDescent="0.3">
      <c r="B5196" s="1" t="s">
        <v>23</v>
      </c>
      <c r="C5196" s="1" t="str">
        <f>"1차"</f>
        <v>1차</v>
      </c>
      <c r="D5196" s="1" t="str">
        <f>"0425S48100"</f>
        <v>0425S48100</v>
      </c>
      <c r="E5196" s="1" t="s">
        <v>10</v>
      </c>
      <c r="F5196" s="1" t="str">
        <f>"10.125.7.234"</f>
        <v>10.125.7.234</v>
      </c>
      <c r="G5196" s="1" t="str">
        <f>"0425S481"</f>
        <v>0425S481</v>
      </c>
      <c r="H5196" s="1" t="str">
        <f>"광나루 91L8"</f>
        <v>광나루 91L8</v>
      </c>
      <c r="I5196" s="1" t="s">
        <v>8</v>
      </c>
      <c r="J5196" s="1" t="str">
        <f>"68/68"</f>
        <v>68/68</v>
      </c>
      <c r="K5196" s="1" t="str">
        <f>"2026-07-29 13:18:03"</f>
        <v>2026-07-29 13:18:03</v>
      </c>
      <c r="L5196" s="1" t="str">
        <f>"2015-07-22 14:34:08"</f>
        <v>2015-07-22 14:34:08</v>
      </c>
      <c r="M5196" s="1" t="s">
        <v>45</v>
      </c>
      <c r="N5196" s="1" t="s">
        <v>38</v>
      </c>
      <c r="O5196" s="1" t="s">
        <v>46</v>
      </c>
    </row>
    <row r="5197" spans="2:15" x14ac:dyDescent="0.3">
      <c r="B5197" s="1" t="s">
        <v>23</v>
      </c>
      <c r="C5197" s="1" t="str">
        <f>"3차"</f>
        <v>3차</v>
      </c>
      <c r="D5197" s="1" t="str">
        <f>"0425S51239"</f>
        <v>0425S51239</v>
      </c>
      <c r="E5197" s="1" t="s">
        <v>10</v>
      </c>
      <c r="F5197" s="1" t="str">
        <f>"10.11.60.106"</f>
        <v>10.11.60.106</v>
      </c>
      <c r="G5197" s="1" t="str">
        <f>"0425S512"</f>
        <v>0425S512</v>
      </c>
      <c r="H5197" s="1" t="str">
        <f>"양구간 2R7"</f>
        <v>양구간 2R7</v>
      </c>
      <c r="I5197" s="1" t="s">
        <v>8</v>
      </c>
      <c r="J5197" s="1" t="str">
        <f>"60/60"</f>
        <v>60/60</v>
      </c>
      <c r="K5197" s="1" t="str">
        <f>"2026-07-29 13:18:03"</f>
        <v>2026-07-29 13:18:03</v>
      </c>
      <c r="L5197" s="1" t="str">
        <f>"2018-05-28 13:59:12"</f>
        <v>2018-05-28 13:59:12</v>
      </c>
      <c r="M5197" s="1" t="s">
        <v>2</v>
      </c>
      <c r="N5197" s="1" t="s">
        <v>38</v>
      </c>
      <c r="O5197" s="1" t="s">
        <v>46</v>
      </c>
    </row>
    <row r="5198" spans="2:15" x14ac:dyDescent="0.3">
      <c r="B5198" s="1" t="s">
        <v>23</v>
      </c>
      <c r="C5198" s="1" t="str">
        <f>"6차"</f>
        <v>6차</v>
      </c>
      <c r="D5198" s="1" t="str">
        <f>"0425S5716S"</f>
        <v>0425S5716S</v>
      </c>
      <c r="E5198" s="1" t="s">
        <v>10</v>
      </c>
      <c r="F5198" s="1" t="str">
        <f>"fde3:102:1440:1200:0:0:0:8"</f>
        <v>fde3:102:1440:1200:0:0:0:8</v>
      </c>
      <c r="G5198" s="1" t="str">
        <f>"0425S571"</f>
        <v>0425S571</v>
      </c>
      <c r="H5198" s="1" t="str">
        <f>"광나루 93L7"</f>
        <v>광나루 93L7</v>
      </c>
      <c r="I5198" s="1" t="s">
        <v>15</v>
      </c>
      <c r="J5198" s="1" t="str">
        <f>"54/54"</f>
        <v>54/54</v>
      </c>
      <c r="K5198" s="1" t="str">
        <f>"2026-07-29 14:21:17"</f>
        <v>2026-07-29 14:21:17</v>
      </c>
      <c r="L5198" s="1" t="str">
        <f>"2024-10-10 11:40:01"</f>
        <v>2024-10-10 11:40:01</v>
      </c>
      <c r="M5198" s="1" t="s">
        <v>45</v>
      </c>
      <c r="N5198" s="1" t="s">
        <v>38</v>
      </c>
      <c r="O5198" s="1" t="s">
        <v>46</v>
      </c>
    </row>
    <row r="5199" spans="2:15" x14ac:dyDescent="0.3">
      <c r="B5199" s="1" t="s">
        <v>23</v>
      </c>
      <c r="C5199" s="1" t="str">
        <f>"6차"</f>
        <v>6차</v>
      </c>
      <c r="D5199" s="1" t="str">
        <f>"0425S6026S"</f>
        <v>0425S6026S</v>
      </c>
      <c r="E5199" s="1" t="s">
        <v>10</v>
      </c>
      <c r="F5199" s="1" t="str">
        <f>"fde1:103:4:93db:0:0:0:2"</f>
        <v>fde1:103:4:93db:0:0:0:2</v>
      </c>
      <c r="G5199" s="1" t="str">
        <f>"0425S602"</f>
        <v>0425S602</v>
      </c>
      <c r="H5199" s="1" t="str">
        <f>"양구간 9R1"</f>
        <v>양구간 9R1</v>
      </c>
      <c r="I5199" s="1" t="s">
        <v>15</v>
      </c>
      <c r="J5199" s="1" t="str">
        <f>"150/163"</f>
        <v>150/163</v>
      </c>
      <c r="K5199" s="1" t="str">
        <f>"2026-07-29 14:20:28"</f>
        <v>2026-07-29 14:20:28</v>
      </c>
      <c r="L5199" s="1" t="str">
        <f>"2025-02-05 16:31:48"</f>
        <v>2025-02-05 16:31:48</v>
      </c>
      <c r="M5199" s="1" t="s">
        <v>4</v>
      </c>
      <c r="N5199" s="1" t="s">
        <v>38</v>
      </c>
      <c r="O5199" s="1" t="s">
        <v>46</v>
      </c>
    </row>
    <row r="5200" spans="2:15" x14ac:dyDescent="0.3">
      <c r="B5200" s="1" t="s">
        <v>23</v>
      </c>
      <c r="C5200" s="1" t="str">
        <f>"3차"</f>
        <v>3차</v>
      </c>
      <c r="D5200" s="1" t="str">
        <f>"0425S61339"</f>
        <v>0425S61339</v>
      </c>
      <c r="E5200" s="1" t="s">
        <v>10</v>
      </c>
      <c r="F5200" s="1" t="str">
        <f>"10.11.53.106"</f>
        <v>10.11.53.106</v>
      </c>
      <c r="G5200" s="1" t="str">
        <f>"0425S613"</f>
        <v>0425S613</v>
      </c>
      <c r="H5200" s="1" t="str">
        <f>"양구간 2R6"</f>
        <v>양구간 2R6</v>
      </c>
      <c r="I5200" s="1" t="s">
        <v>8</v>
      </c>
      <c r="J5200" s="1" t="str">
        <f>"35/46"</f>
        <v>35/46</v>
      </c>
      <c r="K5200" s="1" t="str">
        <f>"2026-07-29 13:18:03"</f>
        <v>2026-07-29 13:18:03</v>
      </c>
      <c r="L5200" s="1" t="str">
        <f>"2018-05-28 13:26:12"</f>
        <v>2018-05-28 13:26:12</v>
      </c>
      <c r="M5200" s="1" t="s">
        <v>2</v>
      </c>
      <c r="N5200" s="1" t="s">
        <v>38</v>
      </c>
      <c r="O5200" s="1" t="s">
        <v>46</v>
      </c>
    </row>
    <row r="5201" spans="2:15" x14ac:dyDescent="0.3">
      <c r="B5201" s="1" t="s">
        <v>23</v>
      </c>
      <c r="C5201" s="1" t="str">
        <f>"4차"</f>
        <v>4차</v>
      </c>
      <c r="D5201" s="1" t="str">
        <f>"0425S63339"</f>
        <v>0425S63339</v>
      </c>
      <c r="E5201" s="1" t="s">
        <v>10</v>
      </c>
      <c r="F5201" s="1" t="str">
        <f>"10.12.133.14"</f>
        <v>10.12.133.14</v>
      </c>
      <c r="G5201" s="1" t="str">
        <f>"0425S633"</f>
        <v>0425S633</v>
      </c>
      <c r="H5201" s="1" t="str">
        <f>"광나루 102-3"</f>
        <v>광나루 102-3</v>
      </c>
      <c r="I5201" s="1" t="s">
        <v>17</v>
      </c>
      <c r="J5201" s="1" t="str">
        <f>"35/39"</f>
        <v>35/39</v>
      </c>
      <c r="K5201" s="1" t="str">
        <f>"2026-07-29 13:18:02"</f>
        <v>2026-07-29 13:18:02</v>
      </c>
      <c r="L5201" s="1" t="str">
        <f>"2018-06-19 10:52:04"</f>
        <v>2018-06-19 10:52:04</v>
      </c>
      <c r="M5201" s="1" t="s">
        <v>0</v>
      </c>
      <c r="N5201" s="1" t="s">
        <v>38</v>
      </c>
      <c r="O5201" s="1" t="s">
        <v>46</v>
      </c>
    </row>
    <row r="5202" spans="2:15" x14ac:dyDescent="0.3">
      <c r="B5202" s="1" t="s">
        <v>23</v>
      </c>
      <c r="C5202" s="1" t="str">
        <f>"1차"</f>
        <v>1차</v>
      </c>
      <c r="D5202" s="1" t="str">
        <f>"0425S67500"</f>
        <v>0425S67500</v>
      </c>
      <c r="E5202" s="1" t="s">
        <v>10</v>
      </c>
      <c r="F5202" s="1" t="str">
        <f>"10.125.8.90"</f>
        <v>10.125.8.90</v>
      </c>
      <c r="G5202" s="1" t="str">
        <f>"0425S675"</f>
        <v>0425S675</v>
      </c>
      <c r="H5202" s="1" t="str">
        <f>"광나루 93L8R2"</f>
        <v>광나루 93L8R2</v>
      </c>
      <c r="I5202" s="1" t="s">
        <v>8</v>
      </c>
      <c r="J5202" s="1" t="str">
        <f>"10/10"</f>
        <v>10/10</v>
      </c>
      <c r="K5202" s="1" t="str">
        <f>"2026-07-29 13:18:03"</f>
        <v>2026-07-29 13:18:03</v>
      </c>
      <c r="L5202" s="1" t="str">
        <f>"2015-08-11 16:49:09"</f>
        <v>2015-08-11 16:49:09</v>
      </c>
      <c r="M5202" s="1" t="s">
        <v>45</v>
      </c>
      <c r="N5202" s="1" t="s">
        <v>38</v>
      </c>
      <c r="O5202" s="1" t="s">
        <v>46</v>
      </c>
    </row>
    <row r="5203" spans="2:15" x14ac:dyDescent="0.3">
      <c r="B5203" s="1" t="s">
        <v>23</v>
      </c>
      <c r="C5203" s="1" t="str">
        <f>"4차"</f>
        <v>4차</v>
      </c>
      <c r="D5203" s="1" t="str">
        <f>"0425S68144"</f>
        <v>0425S68144</v>
      </c>
      <c r="E5203" s="1" t="s">
        <v>10</v>
      </c>
      <c r="F5203" s="1" t="str">
        <f>"10.125.7.154"</f>
        <v>10.125.7.154</v>
      </c>
      <c r="G5203" s="1" t="str">
        <f>"0425S681"</f>
        <v>0425S681</v>
      </c>
      <c r="H5203" s="1" t="str">
        <f>"광나루 93L8"</f>
        <v>광나루 93L8</v>
      </c>
      <c r="I5203" s="1" t="s">
        <v>8</v>
      </c>
      <c r="J5203" s="1" t="str">
        <f>"67/95"</f>
        <v>67/95</v>
      </c>
      <c r="K5203" s="1" t="str">
        <f>"2026-07-29 13:18:03"</f>
        <v>2026-07-29 13:18:03</v>
      </c>
      <c r="L5203" s="1" t="str">
        <f>"2023-07-28 17:17:05"</f>
        <v>2023-07-28 17:17:05</v>
      </c>
      <c r="M5203" s="1" t="s">
        <v>45</v>
      </c>
      <c r="N5203" s="1" t="s">
        <v>38</v>
      </c>
      <c r="O5203" s="1" t="s">
        <v>46</v>
      </c>
    </row>
    <row r="5204" spans="2:15" x14ac:dyDescent="0.3">
      <c r="B5204" s="1" t="s">
        <v>23</v>
      </c>
      <c r="C5204" s="1" t="str">
        <f>"1차"</f>
        <v>1차</v>
      </c>
      <c r="D5204" s="1" t="str">
        <f>"0425S69100"</f>
        <v>0425S69100</v>
      </c>
      <c r="E5204" s="1" t="s">
        <v>10</v>
      </c>
      <c r="F5204" s="1" t="str">
        <f>"10.125.7.218"</f>
        <v>10.125.7.218</v>
      </c>
      <c r="G5204" s="1" t="str">
        <f>"0425S691"</f>
        <v>0425S691</v>
      </c>
      <c r="H5204" s="1" t="str">
        <f>"광나루 91L11"</f>
        <v>광나루 91L11</v>
      </c>
      <c r="I5204" s="1" t="s">
        <v>8</v>
      </c>
      <c r="J5204" s="1" t="str">
        <f>"88/88"</f>
        <v>88/88</v>
      </c>
      <c r="K5204" s="1" t="str">
        <f>"2026-07-29 13:18:03"</f>
        <v>2026-07-29 13:18:03</v>
      </c>
      <c r="L5204" s="1" t="str">
        <f>"2015-07-22 15:28:09"</f>
        <v>2015-07-22 15:28:09</v>
      </c>
      <c r="M5204" s="1" t="s">
        <v>45</v>
      </c>
      <c r="N5204" s="1" t="s">
        <v>38</v>
      </c>
      <c r="O5204" s="1" t="s">
        <v>46</v>
      </c>
    </row>
    <row r="5205" spans="2:15" x14ac:dyDescent="0.3">
      <c r="B5205" s="1" t="s">
        <v>23</v>
      </c>
      <c r="C5205" s="1" t="str">
        <f>"1차"</f>
        <v>1차</v>
      </c>
      <c r="D5205" s="1" t="str">
        <f>"0425S71200"</f>
        <v>0425S71200</v>
      </c>
      <c r="E5205" s="1" t="s">
        <v>10</v>
      </c>
      <c r="F5205" s="1" t="str">
        <f>"10.125.4.147"</f>
        <v>10.125.4.147</v>
      </c>
      <c r="G5205" s="1" t="str">
        <f>"0425S712"</f>
        <v>0425S712</v>
      </c>
      <c r="H5205" s="1" t="str">
        <f>"양구간 2R3"</f>
        <v>양구간 2R3</v>
      </c>
      <c r="I5205" s="1" t="s">
        <v>8</v>
      </c>
      <c r="J5205" s="1" t="str">
        <f>"35/38"</f>
        <v>35/38</v>
      </c>
      <c r="K5205" s="1" t="str">
        <f>"2026-07-29 13:18:03"</f>
        <v>2026-07-29 13:18:03</v>
      </c>
      <c r="L5205" s="1" t="str">
        <f>"2015-01-27 00:10:55"</f>
        <v>2015-01-27 00:10:55</v>
      </c>
      <c r="M5205" s="1" t="s">
        <v>45</v>
      </c>
      <c r="N5205" s="1" t="s">
        <v>38</v>
      </c>
      <c r="O5205" s="1" t="s">
        <v>46</v>
      </c>
    </row>
    <row r="5206" spans="2:15" x14ac:dyDescent="0.3">
      <c r="B5206" s="1" t="s">
        <v>23</v>
      </c>
      <c r="C5206" s="1" t="str">
        <f>"4차"</f>
        <v>4차</v>
      </c>
      <c r="D5206" s="1" t="str">
        <f>"0425S73145"</f>
        <v>0425S73145</v>
      </c>
      <c r="E5206" s="1" t="s">
        <v>10</v>
      </c>
      <c r="F5206" s="1" t="str">
        <f>"10.12.133.18"</f>
        <v>10.12.133.18</v>
      </c>
      <c r="G5206" s="1" t="str">
        <f>"0425S731"</f>
        <v>0425S731</v>
      </c>
      <c r="H5206" s="1" t="str">
        <f>"광나루 102-2"</f>
        <v>광나루 102-2</v>
      </c>
      <c r="I5206" s="1" t="s">
        <v>17</v>
      </c>
      <c r="J5206" s="1" t="str">
        <f>"7/7"</f>
        <v>7/7</v>
      </c>
      <c r="K5206" s="1" t="str">
        <f>"2026-07-29 13:18:02"</f>
        <v>2026-07-29 13:18:02</v>
      </c>
      <c r="L5206" s="1" t="str">
        <f>"2023-06-21 14:50:51"</f>
        <v>2023-06-21 14:50:51</v>
      </c>
      <c r="M5206" s="1" t="s">
        <v>0</v>
      </c>
      <c r="N5206" s="1" t="s">
        <v>38</v>
      </c>
      <c r="O5206" s="1" t="s">
        <v>46</v>
      </c>
    </row>
    <row r="5207" spans="2:15" x14ac:dyDescent="0.3">
      <c r="B5207" s="1" t="s">
        <v>23</v>
      </c>
      <c r="C5207" s="1" t="str">
        <f>"4차"</f>
        <v>4차</v>
      </c>
      <c r="D5207" s="1" t="str">
        <f>"0425S73239"</f>
        <v>0425S73239</v>
      </c>
      <c r="E5207" s="1" t="s">
        <v>10</v>
      </c>
      <c r="F5207" s="1" t="str">
        <f>"10.12.136.155"</f>
        <v>10.12.136.155</v>
      </c>
      <c r="G5207" s="1" t="str">
        <f>"0425S732"</f>
        <v>0425S732</v>
      </c>
      <c r="H5207" s="1" t="str">
        <f>"광나루 102-1"</f>
        <v>광나루 102-1</v>
      </c>
      <c r="I5207" s="1" t="s">
        <v>17</v>
      </c>
      <c r="J5207" s="1" t="str">
        <f>"6/6"</f>
        <v>6/6</v>
      </c>
      <c r="K5207" s="1" t="str">
        <f>"2026-07-29 13:18:02"</f>
        <v>2026-07-29 13:18:02</v>
      </c>
      <c r="L5207" s="1" t="str">
        <f>"2018-06-19 11:09:33"</f>
        <v>2018-06-19 11:09:33</v>
      </c>
      <c r="M5207" s="1" t="s">
        <v>0</v>
      </c>
      <c r="N5207" s="1" t="s">
        <v>38</v>
      </c>
      <c r="O5207" s="1" t="s">
        <v>46</v>
      </c>
    </row>
    <row r="5208" spans="2:15" x14ac:dyDescent="0.3">
      <c r="B5208" s="1" t="s">
        <v>23</v>
      </c>
      <c r="C5208" s="1" t="str">
        <f>"1차"</f>
        <v>1차</v>
      </c>
      <c r="D5208" s="1" t="str">
        <f>"0425S79200"</f>
        <v>0425S79200</v>
      </c>
      <c r="E5208" s="1" t="s">
        <v>10</v>
      </c>
      <c r="F5208" s="1" t="str">
        <f>"10.125.7.226"</f>
        <v>10.125.7.226</v>
      </c>
      <c r="G5208" s="1" t="str">
        <f>"0425S792"</f>
        <v>0425S792</v>
      </c>
      <c r="H5208" s="1" t="str">
        <f>"광나루 93L10"</f>
        <v>광나루 93L10</v>
      </c>
      <c r="I5208" s="1" t="s">
        <v>8</v>
      </c>
      <c r="J5208" s="1" t="str">
        <f>"36/40"</f>
        <v>36/40</v>
      </c>
      <c r="K5208" s="1" t="str">
        <f>"2026-07-29 13:18:03"</f>
        <v>2026-07-29 13:18:03</v>
      </c>
      <c r="L5208" s="1" t="str">
        <f>"2021-07-27 11:05:41"</f>
        <v>2021-07-27 11:05:41</v>
      </c>
      <c r="M5208" s="1" t="s">
        <v>45</v>
      </c>
      <c r="N5208" s="1" t="s">
        <v>38</v>
      </c>
      <c r="O5208" s="1" t="s">
        <v>46</v>
      </c>
    </row>
    <row r="5209" spans="2:15" x14ac:dyDescent="0.3">
      <c r="B5209" s="1" t="s">
        <v>23</v>
      </c>
      <c r="C5209" s="1" t="str">
        <f>"1차"</f>
        <v>1차</v>
      </c>
      <c r="D5209" s="1" t="str">
        <f>"0425S80100"</f>
        <v>0425S80100</v>
      </c>
      <c r="E5209" s="1" t="s">
        <v>10</v>
      </c>
      <c r="F5209" s="1" t="str">
        <f>"10.125.7.186"</f>
        <v>10.125.7.186</v>
      </c>
      <c r="G5209" s="1" t="str">
        <f>"0425S801"</f>
        <v>0425S801</v>
      </c>
      <c r="H5209" s="1" t="str">
        <f>"양구간 3"</f>
        <v>양구간 3</v>
      </c>
      <c r="I5209" s="1" t="s">
        <v>8</v>
      </c>
      <c r="J5209" s="1" t="str">
        <f>"97/106"</f>
        <v>97/106</v>
      </c>
      <c r="K5209" s="1" t="str">
        <f>"2026-07-29 13:18:03"</f>
        <v>2026-07-29 13:18:03</v>
      </c>
      <c r="L5209" s="1" t="str">
        <f>"2015-07-22 13:13:40"</f>
        <v>2015-07-22 13:13:40</v>
      </c>
      <c r="M5209" s="1" t="s">
        <v>45</v>
      </c>
      <c r="N5209" s="1" t="s">
        <v>38</v>
      </c>
      <c r="O5209" s="1" t="s">
        <v>46</v>
      </c>
    </row>
    <row r="5210" spans="2:15" x14ac:dyDescent="0.3">
      <c r="B5210" s="1" t="s">
        <v>23</v>
      </c>
      <c r="C5210" s="1" t="str">
        <f>"6차"</f>
        <v>6차</v>
      </c>
      <c r="D5210" s="1" t="str">
        <f>"0425S8126S"</f>
        <v>0425S8126S</v>
      </c>
      <c r="E5210" s="1" t="s">
        <v>10</v>
      </c>
      <c r="F5210" s="1" t="str">
        <f>"fde1:103:4:c66b:0:0:0:2"</f>
        <v>fde1:103:4:c66b:0:0:0:2</v>
      </c>
      <c r="G5210" s="1" t="str">
        <f>"0425S812"</f>
        <v>0425S812</v>
      </c>
      <c r="H5210" s="1" t="str">
        <f>"양구간 2"</f>
        <v>양구간 2</v>
      </c>
      <c r="I5210" s="1" t="s">
        <v>15</v>
      </c>
      <c r="J5210" s="1" t="str">
        <f>"36/38"</f>
        <v>36/38</v>
      </c>
      <c r="K5210" s="1" t="str">
        <f>"2026-07-29 14:21:18"</f>
        <v>2026-07-29 14:21:18</v>
      </c>
      <c r="L5210" s="1" t="str">
        <f>"2024-11-19 16:56:31"</f>
        <v>2024-11-19 16:56:31</v>
      </c>
      <c r="M5210" s="1" t="s">
        <v>4</v>
      </c>
      <c r="N5210" s="1" t="s">
        <v>38</v>
      </c>
      <c r="O5210" s="1" t="s">
        <v>46</v>
      </c>
    </row>
    <row r="5211" spans="2:15" x14ac:dyDescent="0.3">
      <c r="B5211" s="1" t="s">
        <v>23</v>
      </c>
      <c r="C5211" s="1" t="str">
        <f>"5-2차"</f>
        <v>5-2차</v>
      </c>
      <c r="D5211" s="1" t="str">
        <f>"0425S8735M"</f>
        <v>0425S8735M</v>
      </c>
      <c r="E5211" s="1" t="s">
        <v>10</v>
      </c>
      <c r="F5211" s="1" t="str">
        <f>"fde1:103:4:910d:0:0:0:2"</f>
        <v>fde1:103:4:910d:0:0:0:2</v>
      </c>
      <c r="G5211" s="1" t="str">
        <f>"0425S873"</f>
        <v>0425S873</v>
      </c>
      <c r="H5211" s="1" t="str">
        <f>"광나루 93L8R5"</f>
        <v>광나루 93L8R5</v>
      </c>
      <c r="I5211" s="1" t="s">
        <v>15</v>
      </c>
      <c r="J5211" s="1" t="str">
        <f>"72/72"</f>
        <v>72/72</v>
      </c>
      <c r="K5211" s="1" t="str">
        <f>"2026-07-29 08:21:02"</f>
        <v>2026-07-29 08:21:02</v>
      </c>
      <c r="L5211" s="1" t="str">
        <f>"2023-12-21 11:04:05"</f>
        <v>2023-12-21 11:04:05</v>
      </c>
      <c r="M5211" s="1" t="s">
        <v>4</v>
      </c>
      <c r="N5211" s="1" t="s">
        <v>38</v>
      </c>
      <c r="O5211" s="1" t="s">
        <v>46</v>
      </c>
    </row>
    <row r="5212" spans="2:15" x14ac:dyDescent="0.3">
      <c r="B5212" s="1" t="s">
        <v>23</v>
      </c>
      <c r="C5212" s="1" t="str">
        <f>"5-2차"</f>
        <v>5-2차</v>
      </c>
      <c r="D5212" s="1" t="str">
        <f>"0425S8815M"</f>
        <v>0425S8815M</v>
      </c>
      <c r="E5212" s="1" t="s">
        <v>10</v>
      </c>
      <c r="F5212" s="1" t="str">
        <f>"fde3:102:1440:1600:0:0:0:6"</f>
        <v>fde3:102:1440:1600:0:0:0:6</v>
      </c>
      <c r="G5212" s="1" t="str">
        <f>"0425S881"</f>
        <v>0425S881</v>
      </c>
      <c r="H5212" s="1" t="str">
        <f>"광나루 93L11R3"</f>
        <v>광나루 93L11R3</v>
      </c>
      <c r="I5212" s="1" t="s">
        <v>15</v>
      </c>
      <c r="J5212" s="1" t="str">
        <f>"37/37"</f>
        <v>37/37</v>
      </c>
      <c r="K5212" s="1" t="str">
        <f>"2026-07-29 14:20:28"</f>
        <v>2026-07-29 14:20:28</v>
      </c>
      <c r="L5212" s="1" t="str">
        <f>"2023-10-11 11:06:00"</f>
        <v>2023-10-11 11:06:00</v>
      </c>
      <c r="M5212" s="1" t="s">
        <v>45</v>
      </c>
      <c r="N5212" s="1" t="s">
        <v>38</v>
      </c>
      <c r="O5212" s="1" t="s">
        <v>46</v>
      </c>
    </row>
    <row r="5213" spans="2:15" x14ac:dyDescent="0.3">
      <c r="B5213" s="1" t="s">
        <v>23</v>
      </c>
      <c r="C5213" s="1" t="str">
        <f>"4차"</f>
        <v>4차</v>
      </c>
      <c r="D5213" s="1" t="str">
        <f>"0425S92239"</f>
        <v>0425S92239</v>
      </c>
      <c r="E5213" s="1" t="s">
        <v>14</v>
      </c>
      <c r="F5213" s="1" t="str">
        <f>"10.12.133.74"</f>
        <v>10.12.133.74</v>
      </c>
      <c r="G5213" s="1" t="str">
        <f>"0425S922"</f>
        <v>0425S922</v>
      </c>
      <c r="H5213" s="1" t="str">
        <f>"광나루 103-1"</f>
        <v>광나루 103-1</v>
      </c>
      <c r="I5213" s="1" t="s">
        <v>17</v>
      </c>
      <c r="J5213" s="1" t="str">
        <f>"0/0"</f>
        <v>0/0</v>
      </c>
      <c r="K5213" s="1" t="str">
        <f>"2026-06-10 07:18:04"</f>
        <v>2026-06-10 07:18:04</v>
      </c>
      <c r="L5213" s="1" t="str">
        <f>"2018-06-18 14:55:14"</f>
        <v>2018-06-18 14:55:14</v>
      </c>
      <c r="M5213" s="1" t="s">
        <v>0</v>
      </c>
      <c r="N5213" s="1" t="s">
        <v>39</v>
      </c>
      <c r="O5213" s="1" t="s">
        <v>46</v>
      </c>
    </row>
    <row r="5214" spans="2:15" x14ac:dyDescent="0.3">
      <c r="B5214" s="1" t="s">
        <v>23</v>
      </c>
      <c r="C5214" s="1" t="str">
        <f>"5-2차"</f>
        <v>5-2차</v>
      </c>
      <c r="D5214" s="1" t="str">
        <f>"0425W0715M"</f>
        <v>0425W0715M</v>
      </c>
      <c r="E5214" s="1" t="s">
        <v>10</v>
      </c>
      <c r="F5214" s="1" t="str">
        <f>"fde3:102:1440:4500:0:0:0:d"</f>
        <v>fde3:102:1440:4500:0:0:0:d</v>
      </c>
      <c r="G5214" s="1" t="str">
        <f>"0425W071"</f>
        <v>0425W071</v>
      </c>
      <c r="H5214" s="1" t="str">
        <f>"산성간 33"</f>
        <v>산성간 33</v>
      </c>
      <c r="I5214" s="1" t="s">
        <v>15</v>
      </c>
      <c r="J5214" s="1" t="str">
        <f>"68/69"</f>
        <v>68/69</v>
      </c>
      <c r="K5214" s="1" t="str">
        <f>"2026-07-29 14:21:01"</f>
        <v>2026-07-29 14:21:01</v>
      </c>
      <c r="L5214" s="1" t="str">
        <f>"2023-06-19 18:23:45"</f>
        <v>2023-06-19 18:23:45</v>
      </c>
      <c r="M5214" s="1" t="s">
        <v>45</v>
      </c>
      <c r="N5214" s="1" t="s">
        <v>38</v>
      </c>
      <c r="O5214" s="1" t="s">
        <v>46</v>
      </c>
    </row>
    <row r="5215" spans="2:15" x14ac:dyDescent="0.3">
      <c r="B5215" s="1" t="s">
        <v>23</v>
      </c>
      <c r="C5215" s="1" t="str">
        <f>"1차"</f>
        <v>1차</v>
      </c>
      <c r="D5215" s="1" t="str">
        <f>"0425W07300"</f>
        <v>0425W07300</v>
      </c>
      <c r="E5215" s="1" t="s">
        <v>10</v>
      </c>
      <c r="F5215" s="1" t="str">
        <f>"10.125.4.154"</f>
        <v>10.125.4.154</v>
      </c>
      <c r="G5215" s="1" t="str">
        <f>"0425W073"</f>
        <v>0425W073</v>
      </c>
      <c r="H5215" s="1" t="str">
        <f>"산성간 34H1"</f>
        <v>산성간 34H1</v>
      </c>
      <c r="I5215" s="1" t="s">
        <v>8</v>
      </c>
      <c r="J5215" s="1" t="str">
        <f>"18/19"</f>
        <v>18/19</v>
      </c>
      <c r="K5215" s="1" t="str">
        <f>"2026-07-29 13:18:03"</f>
        <v>2026-07-29 13:18:03</v>
      </c>
      <c r="L5215" s="1" t="str">
        <f>"2014-12-11 14:43:07"</f>
        <v>2014-12-11 14:43:07</v>
      </c>
      <c r="M5215" s="1" t="s">
        <v>45</v>
      </c>
      <c r="N5215" s="1" t="s">
        <v>38</v>
      </c>
      <c r="O5215" s="1" t="s">
        <v>46</v>
      </c>
    </row>
    <row r="5216" spans="2:15" x14ac:dyDescent="0.3">
      <c r="B5216" s="1" t="s">
        <v>23</v>
      </c>
      <c r="C5216" s="1" t="str">
        <f>"6차"</f>
        <v>6차</v>
      </c>
      <c r="D5216" s="1" t="str">
        <f>"0425W0816S"</f>
        <v>0425W0816S</v>
      </c>
      <c r="E5216" s="1" t="s">
        <v>10</v>
      </c>
      <c r="F5216" s="1" t="str">
        <f>"fde1:103:4:93e6:0:0:0:2"</f>
        <v>fde1:103:4:93e6:0:0:0:2</v>
      </c>
      <c r="G5216" s="1" t="str">
        <f>"0425W081"</f>
        <v>0425W081</v>
      </c>
      <c r="H5216" s="1" t="str">
        <f>"산성간 39L2L1"</f>
        <v>산성간 39L2L1</v>
      </c>
      <c r="I5216" s="1" t="s">
        <v>15</v>
      </c>
      <c r="J5216" s="1" t="str">
        <f>"40/51"</f>
        <v>40/51</v>
      </c>
      <c r="K5216" s="1" t="str">
        <f>"2026-07-29 14:21:02"</f>
        <v>2026-07-29 14:21:02</v>
      </c>
      <c r="L5216" s="1" t="str">
        <f>"2025-01-22 17:51:37"</f>
        <v>2025-01-22 17:51:37</v>
      </c>
      <c r="M5216" s="1" t="s">
        <v>4</v>
      </c>
      <c r="N5216" s="1" t="s">
        <v>38</v>
      </c>
      <c r="O5216" s="1" t="s">
        <v>46</v>
      </c>
    </row>
    <row r="5217" spans="2:15" x14ac:dyDescent="0.3">
      <c r="B5217" s="1" t="s">
        <v>23</v>
      </c>
      <c r="C5217" s="1" t="str">
        <f>"5-2차"</f>
        <v>5-2차</v>
      </c>
      <c r="D5217" s="1" t="str">
        <f>"0425W1025S"</f>
        <v>0425W1025S</v>
      </c>
      <c r="E5217" s="1" t="s">
        <v>10</v>
      </c>
      <c r="F5217" s="1" t="str">
        <f>"fde3:102:1440:1600:0:0:0:4"</f>
        <v>fde3:102:1440:1600:0:0:0:4</v>
      </c>
      <c r="G5217" s="1" t="str">
        <f>"0425W102"</f>
        <v>0425W102</v>
      </c>
      <c r="H5217" s="1" t="str">
        <f>"광나루 93L18R1"</f>
        <v>광나루 93L18R1</v>
      </c>
      <c r="I5217" s="1" t="s">
        <v>15</v>
      </c>
      <c r="J5217" s="1" t="str">
        <f>"45/45"</f>
        <v>45/45</v>
      </c>
      <c r="K5217" s="1" t="str">
        <f>"2026-07-29 14:20:28"</f>
        <v>2026-07-29 14:20:28</v>
      </c>
      <c r="L5217" s="1" t="str">
        <f>"2023-09-04 14:33:24"</f>
        <v>2023-09-04 14:33:24</v>
      </c>
      <c r="M5217" s="1" t="s">
        <v>45</v>
      </c>
      <c r="N5217" s="1" t="s">
        <v>38</v>
      </c>
      <c r="O5217" s="1" t="s">
        <v>46</v>
      </c>
    </row>
    <row r="5218" spans="2:15" x14ac:dyDescent="0.3">
      <c r="B5218" s="1" t="s">
        <v>23</v>
      </c>
      <c r="C5218" s="1" t="str">
        <f>"5-2차"</f>
        <v>5-2차</v>
      </c>
      <c r="D5218" s="1" t="str">
        <f>"0425W1115M"</f>
        <v>0425W1115M</v>
      </c>
      <c r="E5218" s="1" t="s">
        <v>10</v>
      </c>
      <c r="F5218" s="1" t="str">
        <f>"fde3:102:1440:1600:0:0:0:3"</f>
        <v>fde3:102:1440:1600:0:0:0:3</v>
      </c>
      <c r="G5218" s="1" t="str">
        <f>"0425W111"</f>
        <v>0425W111</v>
      </c>
      <c r="H5218" s="1" t="str">
        <f>"광나루 93L18"</f>
        <v>광나루 93L18</v>
      </c>
      <c r="I5218" s="1" t="s">
        <v>15</v>
      </c>
      <c r="J5218" s="1" t="str">
        <f>"62/62"</f>
        <v>62/62</v>
      </c>
      <c r="K5218" s="1" t="str">
        <f>"2026-07-29 14:21:01"</f>
        <v>2026-07-29 14:21:01</v>
      </c>
      <c r="L5218" s="1" t="str">
        <f>"2023-06-26 15:34:47"</f>
        <v>2023-06-26 15:34:47</v>
      </c>
      <c r="M5218" s="1" t="s">
        <v>45</v>
      </c>
      <c r="N5218" s="1" t="s">
        <v>38</v>
      </c>
      <c r="O5218" s="1" t="s">
        <v>46</v>
      </c>
    </row>
    <row r="5219" spans="2:15" x14ac:dyDescent="0.3">
      <c r="B5219" s="1" t="s">
        <v>23</v>
      </c>
      <c r="C5219" s="1" t="str">
        <f>"1차"</f>
        <v>1차</v>
      </c>
      <c r="D5219" s="1" t="str">
        <f>"0425W14201"</f>
        <v>0425W14201</v>
      </c>
      <c r="E5219" s="1" t="s">
        <v>10</v>
      </c>
      <c r="F5219" s="1" t="str">
        <f>"10.12.131.136"</f>
        <v>10.12.131.136</v>
      </c>
      <c r="G5219" s="1" t="str">
        <f>"0425W142"</f>
        <v>0425W142</v>
      </c>
      <c r="H5219" s="1" t="str">
        <f>"산성간 33R2R2"</f>
        <v>산성간 33R2R2</v>
      </c>
      <c r="I5219" s="1" t="s">
        <v>8</v>
      </c>
      <c r="J5219" s="1" t="str">
        <f>"57/57"</f>
        <v>57/57</v>
      </c>
      <c r="K5219" s="1" t="str">
        <f>"2026-07-29 13:18:03"</f>
        <v>2026-07-29 13:18:03</v>
      </c>
      <c r="L5219" s="1" t="str">
        <f>"2015-07-22 09:32:22"</f>
        <v>2015-07-22 09:32:22</v>
      </c>
      <c r="M5219" s="1" t="s">
        <v>0</v>
      </c>
      <c r="N5219" s="1" t="s">
        <v>38</v>
      </c>
      <c r="O5219" s="1" t="s">
        <v>46</v>
      </c>
    </row>
    <row r="5220" spans="2:15" x14ac:dyDescent="0.3">
      <c r="B5220" s="1" t="s">
        <v>23</v>
      </c>
      <c r="C5220" s="1" t="str">
        <f>"4차"</f>
        <v>4차</v>
      </c>
      <c r="D5220" s="1" t="str">
        <f>"0425W15142"</f>
        <v>0425W15142</v>
      </c>
      <c r="E5220" s="1" t="s">
        <v>10</v>
      </c>
      <c r="F5220" s="1" t="str">
        <f>"10.125.7.210"</f>
        <v>10.125.7.210</v>
      </c>
      <c r="G5220" s="1" t="str">
        <f>"0425W151"</f>
        <v>0425W151</v>
      </c>
      <c r="H5220" s="1" t="str">
        <f>"산성간 33R2R1"</f>
        <v>산성간 33R2R1</v>
      </c>
      <c r="I5220" s="1" t="s">
        <v>8</v>
      </c>
      <c r="J5220" s="1" t="str">
        <f>"139/142"</f>
        <v>139/142</v>
      </c>
      <c r="K5220" s="1" t="str">
        <f>"2026-07-29 13:18:03"</f>
        <v>2026-07-29 13:18:03</v>
      </c>
      <c r="L5220" s="1" t="str">
        <f>"2024-04-16 15:11:17"</f>
        <v>2024-04-16 15:11:17</v>
      </c>
      <c r="M5220" s="1" t="s">
        <v>45</v>
      </c>
      <c r="N5220" s="1" t="s">
        <v>38</v>
      </c>
      <c r="O5220" s="1" t="s">
        <v>46</v>
      </c>
    </row>
    <row r="5221" spans="2:15" x14ac:dyDescent="0.3">
      <c r="B5221" s="1" t="s">
        <v>23</v>
      </c>
      <c r="C5221" s="1" t="str">
        <f>"1차"</f>
        <v>1차</v>
      </c>
      <c r="D5221" s="1" t="str">
        <f>"0425W16100"</f>
        <v>0425W16100</v>
      </c>
      <c r="E5221" s="1" t="s">
        <v>10</v>
      </c>
      <c r="F5221" s="1" t="str">
        <f>"10.125.7.242"</f>
        <v>10.125.7.242</v>
      </c>
      <c r="G5221" s="1" t="str">
        <f>"0425W161"</f>
        <v>0425W161</v>
      </c>
      <c r="H5221" s="1" t="str">
        <f>"산성간 33R1"</f>
        <v>산성간 33R1</v>
      </c>
      <c r="I5221" s="1" t="s">
        <v>8</v>
      </c>
      <c r="J5221" s="1" t="str">
        <f>"22/22"</f>
        <v>22/22</v>
      </c>
      <c r="K5221" s="1" t="str">
        <f>"2026-07-29 13:18:03"</f>
        <v>2026-07-29 13:18:03</v>
      </c>
      <c r="L5221" s="1" t="str">
        <f>"2015-07-22 10:03:32"</f>
        <v>2015-07-22 10:03:32</v>
      </c>
      <c r="M5221" s="1" t="s">
        <v>45</v>
      </c>
      <c r="N5221" s="1" t="s">
        <v>38</v>
      </c>
      <c r="O5221" s="1" t="s">
        <v>46</v>
      </c>
    </row>
    <row r="5222" spans="2:15" x14ac:dyDescent="0.3">
      <c r="B5222" s="1" t="s">
        <v>23</v>
      </c>
      <c r="C5222" s="1" t="str">
        <f>"1차"</f>
        <v>1차</v>
      </c>
      <c r="D5222" s="1" t="str">
        <f>"0425W16201"</f>
        <v>0425W16201</v>
      </c>
      <c r="E5222" s="1" t="s">
        <v>10</v>
      </c>
      <c r="F5222" s="1" t="str">
        <f>"10.125.7.243"</f>
        <v>10.125.7.243</v>
      </c>
      <c r="G5222" s="1" t="str">
        <f>"0425W162"</f>
        <v>0425W162</v>
      </c>
      <c r="H5222" s="1" t="str">
        <f>"산성간 33R2"</f>
        <v>산성간 33R2</v>
      </c>
      <c r="I5222" s="1" t="s">
        <v>8</v>
      </c>
      <c r="J5222" s="1" t="str">
        <f>"26/26"</f>
        <v>26/26</v>
      </c>
      <c r="K5222" s="1" t="str">
        <f>"2026-07-29 13:18:03"</f>
        <v>2026-07-29 13:18:03</v>
      </c>
      <c r="L5222" s="1" t="str">
        <f>"2015-07-22 10:47:52"</f>
        <v>2015-07-22 10:47:52</v>
      </c>
      <c r="M5222" s="1" t="s">
        <v>45</v>
      </c>
      <c r="N5222" s="1" t="s">
        <v>38</v>
      </c>
      <c r="O5222" s="1" t="s">
        <v>46</v>
      </c>
    </row>
    <row r="5223" spans="2:15" x14ac:dyDescent="0.3">
      <c r="B5223" s="1" t="s">
        <v>23</v>
      </c>
      <c r="C5223" s="1" t="str">
        <f>"1차"</f>
        <v>1차</v>
      </c>
      <c r="D5223" s="1" t="str">
        <f>"0425W19100"</f>
        <v>0425W19100</v>
      </c>
      <c r="E5223" s="1" t="s">
        <v>10</v>
      </c>
      <c r="F5223" s="1" t="str">
        <f>"10.125.7.250"</f>
        <v>10.125.7.250</v>
      </c>
      <c r="G5223" s="1" t="str">
        <f>"0425W191"</f>
        <v>0425W191</v>
      </c>
      <c r="H5223" s="1" t="str">
        <f>"산성간 37"</f>
        <v>산성간 37</v>
      </c>
      <c r="I5223" s="1" t="s">
        <v>8</v>
      </c>
      <c r="J5223" s="1" t="str">
        <f>"14/15"</f>
        <v>14/15</v>
      </c>
      <c r="K5223" s="1" t="str">
        <f>"2026-07-29 13:18:03"</f>
        <v>2026-07-29 13:18:03</v>
      </c>
      <c r="L5223" s="1" t="str">
        <f>"2015-07-31 12:13:09"</f>
        <v>2015-07-31 12:13:09</v>
      </c>
      <c r="M5223" s="1" t="s">
        <v>45</v>
      </c>
      <c r="N5223" s="1" t="s">
        <v>38</v>
      </c>
      <c r="O5223" s="1" t="s">
        <v>46</v>
      </c>
    </row>
    <row r="5224" spans="2:15" x14ac:dyDescent="0.3">
      <c r="B5224" s="1" t="s">
        <v>23</v>
      </c>
      <c r="C5224" s="1" t="str">
        <f>"6차"</f>
        <v>6차</v>
      </c>
      <c r="D5224" s="1" t="str">
        <f>"0425W1936S"</f>
        <v>0425W1936S</v>
      </c>
      <c r="E5224" s="1" t="s">
        <v>10</v>
      </c>
      <c r="F5224" s="1" t="str">
        <f>"fde1:103:4:c6d5:0:0:0:2"</f>
        <v>fde1:103:4:c6d5:0:0:0:2</v>
      </c>
      <c r="G5224" s="1" t="str">
        <f>"0425W193"</f>
        <v>0425W193</v>
      </c>
      <c r="H5224" s="1" t="str">
        <f>"산성간 35R1"</f>
        <v>산성간 35R1</v>
      </c>
      <c r="I5224" s="1" t="s">
        <v>15</v>
      </c>
      <c r="J5224" s="1" t="str">
        <f>"23/30"</f>
        <v>23/30</v>
      </c>
      <c r="K5224" s="1" t="str">
        <f>"2026-07-29 14:20:22"</f>
        <v>2026-07-29 14:20:22</v>
      </c>
      <c r="L5224" s="1" t="str">
        <f>"2024-11-13 15:14:00"</f>
        <v>2024-11-13 15:14:00</v>
      </c>
      <c r="M5224" s="1" t="s">
        <v>4</v>
      </c>
      <c r="N5224" s="1" t="s">
        <v>38</v>
      </c>
      <c r="O5224" s="1" t="s">
        <v>46</v>
      </c>
    </row>
    <row r="5225" spans="2:15" x14ac:dyDescent="0.3">
      <c r="B5225" s="1" t="s">
        <v>23</v>
      </c>
      <c r="C5225" s="1" t="str">
        <f>"1차"</f>
        <v>1차</v>
      </c>
      <c r="D5225" s="1" t="str">
        <f>"0425W26100"</f>
        <v>0425W26100</v>
      </c>
      <c r="E5225" s="1" t="s">
        <v>10</v>
      </c>
      <c r="F5225" s="1" t="str">
        <f>"10.125.8.2"</f>
        <v>10.125.8.2</v>
      </c>
      <c r="G5225" s="1" t="str">
        <f>"0425W261"</f>
        <v>0425W261</v>
      </c>
      <c r="H5225" s="1" t="str">
        <f>"산성간 33R3"</f>
        <v>산성간 33R3</v>
      </c>
      <c r="I5225" s="1" t="s">
        <v>8</v>
      </c>
      <c r="J5225" s="1" t="str">
        <f>"17/22"</f>
        <v>17/22</v>
      </c>
      <c r="K5225" s="1" t="str">
        <f>"2026-07-29 13:18:03"</f>
        <v>2026-07-29 13:18:03</v>
      </c>
      <c r="L5225" s="1" t="str">
        <f>"2015-07-22 10:28:21"</f>
        <v>2015-07-22 10:28:21</v>
      </c>
      <c r="M5225" s="1" t="s">
        <v>45</v>
      </c>
      <c r="N5225" s="1" t="s">
        <v>38</v>
      </c>
      <c r="O5225" s="1" t="s">
        <v>46</v>
      </c>
    </row>
    <row r="5226" spans="2:15" x14ac:dyDescent="0.3">
      <c r="B5226" s="1" t="s">
        <v>23</v>
      </c>
      <c r="C5226" s="1" t="str">
        <f>"1차"</f>
        <v>1차</v>
      </c>
      <c r="D5226" s="1" t="str">
        <f>"0425W28101"</f>
        <v>0425W28101</v>
      </c>
      <c r="E5226" s="1" t="s">
        <v>10</v>
      </c>
      <c r="F5226" s="1" t="str">
        <f>"10.12.134.87"</f>
        <v>10.12.134.87</v>
      </c>
      <c r="G5226" s="1" t="str">
        <f>"0425W281"</f>
        <v>0425W281</v>
      </c>
      <c r="H5226" s="1" t="str">
        <f>"산성간 35R4R2R3"</f>
        <v>산성간 35R4R2R3</v>
      </c>
      <c r="I5226" s="1" t="s">
        <v>8</v>
      </c>
      <c r="J5226" s="1" t="str">
        <f>"37/38"</f>
        <v>37/38</v>
      </c>
      <c r="K5226" s="1" t="str">
        <f>"2026-07-29 13:18:02"</f>
        <v>2026-07-29 13:18:02</v>
      </c>
      <c r="L5226" s="1" t="str">
        <f>"2015-07-22 11:54:08"</f>
        <v>2015-07-22 11:54:08</v>
      </c>
      <c r="M5226" s="1" t="s">
        <v>0</v>
      </c>
      <c r="N5226" s="1" t="s">
        <v>38</v>
      </c>
      <c r="O5226" s="1" t="s">
        <v>46</v>
      </c>
    </row>
    <row r="5227" spans="2:15" x14ac:dyDescent="0.3">
      <c r="B5227" s="1" t="s">
        <v>23</v>
      </c>
      <c r="C5227" s="1" t="str">
        <f>"1차"</f>
        <v>1차</v>
      </c>
      <c r="D5227" s="1" t="str">
        <f>"0425W28300"</f>
        <v>0425W28300</v>
      </c>
      <c r="E5227" s="1" t="s">
        <v>10</v>
      </c>
      <c r="F5227" s="1" t="str">
        <f>"10.125.7.194"</f>
        <v>10.125.7.194</v>
      </c>
      <c r="G5227" s="1" t="str">
        <f>"0425W283"</f>
        <v>0425W283</v>
      </c>
      <c r="H5227" s="1" t="str">
        <f>"산성간 35R4R2R2"</f>
        <v>산성간 35R4R2R2</v>
      </c>
      <c r="I5227" s="1" t="s">
        <v>8</v>
      </c>
      <c r="J5227" s="1" t="str">
        <f>"63/63"</f>
        <v>63/63</v>
      </c>
      <c r="K5227" s="1" t="str">
        <f>"2026-07-29 13:18:03"</f>
        <v>2026-07-29 13:18:03</v>
      </c>
      <c r="L5227" s="1" t="str">
        <f>"2024-11-11 14:48:56"</f>
        <v>2024-11-11 14:48:56</v>
      </c>
      <c r="M5227" s="1" t="s">
        <v>45</v>
      </c>
      <c r="N5227" s="1" t="s">
        <v>38</v>
      </c>
      <c r="O5227" s="1" t="s">
        <v>46</v>
      </c>
    </row>
    <row r="5228" spans="2:15" x14ac:dyDescent="0.3">
      <c r="B5228" s="1" t="s">
        <v>23</v>
      </c>
      <c r="C5228" s="1" t="str">
        <f>"1차"</f>
        <v>1차</v>
      </c>
      <c r="D5228" s="1" t="str">
        <f>"0425W35101"</f>
        <v>0425W35101</v>
      </c>
      <c r="E5228" s="1" t="s">
        <v>10</v>
      </c>
      <c r="F5228" s="1" t="str">
        <f>"10.12.137.153"</f>
        <v>10.12.137.153</v>
      </c>
      <c r="G5228" s="1" t="str">
        <f>"0425W351"</f>
        <v>0425W351</v>
      </c>
      <c r="H5228" s="1" t="str">
        <f>"산성간 33R4"</f>
        <v>산성간 33R4</v>
      </c>
      <c r="I5228" s="1" t="s">
        <v>8</v>
      </c>
      <c r="J5228" s="1" t="str">
        <f>"59/60"</f>
        <v>59/60</v>
      </c>
      <c r="K5228" s="1" t="str">
        <f>"2026-07-29 13:18:05"</f>
        <v>2026-07-29 13:18:05</v>
      </c>
      <c r="L5228" s="1" t="str">
        <f>"2015-07-22 10:30:19"</f>
        <v>2015-07-22 10:30:19</v>
      </c>
      <c r="M5228" s="1" t="s">
        <v>0</v>
      </c>
      <c r="N5228" s="1" t="s">
        <v>38</v>
      </c>
      <c r="O5228" s="1" t="s">
        <v>46</v>
      </c>
    </row>
    <row r="5229" spans="2:15" x14ac:dyDescent="0.3">
      <c r="B5229" s="1" t="s">
        <v>23</v>
      </c>
      <c r="C5229" s="1" t="str">
        <f>"5-2차"</f>
        <v>5-2차</v>
      </c>
      <c r="D5229" s="1" t="str">
        <f>"0425W3525S"</f>
        <v>0425W3525S</v>
      </c>
      <c r="E5229" s="1" t="s">
        <v>10</v>
      </c>
      <c r="F5229" s="1" t="str">
        <f>"fde3:102:1440:4500:0:0:0:f"</f>
        <v>fde3:102:1440:4500:0:0:0:f</v>
      </c>
      <c r="G5229" s="1" t="str">
        <f>"0425W352"</f>
        <v>0425W352</v>
      </c>
      <c r="H5229" s="1" t="str">
        <f>"산성간 33R5"</f>
        <v>산성간 33R5</v>
      </c>
      <c r="I5229" s="1" t="s">
        <v>15</v>
      </c>
      <c r="J5229" s="1" t="str">
        <f>"38/38"</f>
        <v>38/38</v>
      </c>
      <c r="K5229" s="1" t="str">
        <f>"2026-07-29 14:20:28"</f>
        <v>2026-07-29 14:20:28</v>
      </c>
      <c r="L5229" s="1" t="str">
        <f>"2023-09-21 13:30:16"</f>
        <v>2023-09-21 13:30:16</v>
      </c>
      <c r="M5229" s="1" t="s">
        <v>45</v>
      </c>
      <c r="N5229" s="1" t="s">
        <v>38</v>
      </c>
      <c r="O5229" s="1" t="s">
        <v>46</v>
      </c>
    </row>
    <row r="5230" spans="2:15" x14ac:dyDescent="0.3">
      <c r="B5230" s="1" t="s">
        <v>23</v>
      </c>
      <c r="C5230" s="1" t="str">
        <f>"1차"</f>
        <v>1차</v>
      </c>
      <c r="D5230" s="1" t="str">
        <f>"0425W37301"</f>
        <v>0425W37301</v>
      </c>
      <c r="E5230" s="1" t="s">
        <v>10</v>
      </c>
      <c r="F5230" s="1" t="str">
        <f>"10.12.129.32"</f>
        <v>10.12.129.32</v>
      </c>
      <c r="G5230" s="1" t="str">
        <f>"0425W373"</f>
        <v>0425W373</v>
      </c>
      <c r="H5230" s="1" t="str">
        <f>"산성간 35R4R2A2"</f>
        <v>산성간 35R4R2A2</v>
      </c>
      <c r="I5230" s="1" t="s">
        <v>8</v>
      </c>
      <c r="J5230" s="1" t="str">
        <f>"81/81"</f>
        <v>81/81</v>
      </c>
      <c r="K5230" s="1" t="str">
        <f>"2026-07-29 13:18:04"</f>
        <v>2026-07-29 13:18:04</v>
      </c>
      <c r="L5230" s="1" t="str">
        <f>"2015-07-22 11:40:45"</f>
        <v>2015-07-22 11:40:45</v>
      </c>
      <c r="M5230" s="1" t="s">
        <v>0</v>
      </c>
      <c r="N5230" s="1" t="s">
        <v>38</v>
      </c>
      <c r="O5230" s="1" t="s">
        <v>46</v>
      </c>
    </row>
    <row r="5231" spans="2:15" x14ac:dyDescent="0.3">
      <c r="B5231" s="1" t="s">
        <v>23</v>
      </c>
      <c r="C5231" s="1" t="str">
        <f>"1차"</f>
        <v>1차</v>
      </c>
      <c r="D5231" s="1" t="str">
        <f>"0425W38100"</f>
        <v>0425W38100</v>
      </c>
      <c r="E5231" s="1" t="s">
        <v>10</v>
      </c>
      <c r="F5231" s="1" t="str">
        <f>"10.125.8.10"</f>
        <v>10.125.8.10</v>
      </c>
      <c r="G5231" s="1" t="str">
        <f>"0425W381"</f>
        <v>0425W381</v>
      </c>
      <c r="H5231" s="1" t="str">
        <f>"산성간 35R4R2"</f>
        <v>산성간 35R4R2</v>
      </c>
      <c r="I5231" s="1" t="s">
        <v>8</v>
      </c>
      <c r="J5231" s="1" t="str">
        <f>"83/83"</f>
        <v>83/83</v>
      </c>
      <c r="K5231" s="1" t="str">
        <f>"2026-07-29 13:18:03"</f>
        <v>2026-07-29 13:18:03</v>
      </c>
      <c r="L5231" s="1" t="str">
        <f>"2015-07-22 11:26:07"</f>
        <v>2015-07-22 11:26:07</v>
      </c>
      <c r="M5231" s="1" t="s">
        <v>45</v>
      </c>
      <c r="N5231" s="1" t="s">
        <v>38</v>
      </c>
      <c r="O5231" s="1" t="s">
        <v>46</v>
      </c>
    </row>
    <row r="5232" spans="2:15" x14ac:dyDescent="0.3">
      <c r="B5232" s="1" t="s">
        <v>23</v>
      </c>
      <c r="C5232" s="1" t="str">
        <f>"1차"</f>
        <v>1차</v>
      </c>
      <c r="D5232" s="1" t="str">
        <f>"0425W39100"</f>
        <v>0425W39100</v>
      </c>
      <c r="E5232" s="1" t="s">
        <v>10</v>
      </c>
      <c r="F5232" s="1" t="str">
        <f>"10.125.7.58"</f>
        <v>10.125.7.58</v>
      </c>
      <c r="G5232" s="1" t="str">
        <f>"0425W391"</f>
        <v>0425W391</v>
      </c>
      <c r="H5232" s="1" t="str">
        <f>"산성간 35R4"</f>
        <v>산성간 35R4</v>
      </c>
      <c r="I5232" s="1" t="s">
        <v>8</v>
      </c>
      <c r="J5232" s="1" t="str">
        <f>"63/63"</f>
        <v>63/63</v>
      </c>
      <c r="K5232" s="1" t="str">
        <f>"2026-07-29 13:18:03"</f>
        <v>2026-07-29 13:18:03</v>
      </c>
      <c r="L5232" s="1" t="str">
        <f>"2014-12-11 15:43:28"</f>
        <v>2014-12-11 15:43:28</v>
      </c>
      <c r="M5232" s="1" t="s">
        <v>45</v>
      </c>
      <c r="N5232" s="1" t="s">
        <v>38</v>
      </c>
      <c r="O5232" s="1" t="s">
        <v>46</v>
      </c>
    </row>
    <row r="5233" spans="2:15" x14ac:dyDescent="0.3">
      <c r="B5233" s="1" t="s">
        <v>23</v>
      </c>
      <c r="C5233" s="1" t="str">
        <f>"6차"</f>
        <v>6차</v>
      </c>
      <c r="D5233" s="1" t="str">
        <f>"0425W3936S"</f>
        <v>0425W3936S</v>
      </c>
      <c r="E5233" s="1" t="s">
        <v>10</v>
      </c>
      <c r="F5233" s="1" t="str">
        <f>"fde1:103:4:9118:0:0:0:2"</f>
        <v>fde1:103:4:9118:0:0:0:2</v>
      </c>
      <c r="G5233" s="1" t="str">
        <f>"0425W393"</f>
        <v>0425W393</v>
      </c>
      <c r="H5233" s="1" t="str">
        <f>"산성간 35R5"</f>
        <v>산성간 35R5</v>
      </c>
      <c r="I5233" s="1" t="s">
        <v>15</v>
      </c>
      <c r="J5233" s="1" t="str">
        <f>"58/59"</f>
        <v>58/59</v>
      </c>
      <c r="K5233" s="1" t="str">
        <f>"2026-07-29 14:20:29"</f>
        <v>2026-07-29 14:20:29</v>
      </c>
      <c r="L5233" s="1" t="str">
        <f>"2024-09-25 19:44:28"</f>
        <v>2024-09-25 19:44:28</v>
      </c>
      <c r="M5233" s="1" t="s">
        <v>4</v>
      </c>
      <c r="N5233" s="1" t="s">
        <v>38</v>
      </c>
      <c r="O5233" s="1" t="s">
        <v>46</v>
      </c>
    </row>
    <row r="5234" spans="2:15" x14ac:dyDescent="0.3">
      <c r="B5234" s="1" t="s">
        <v>23</v>
      </c>
      <c r="C5234" s="1" t="str">
        <f>"5-2차"</f>
        <v>5-2차</v>
      </c>
      <c r="D5234" s="1" t="str">
        <f>"0425W4515M"</f>
        <v>0425W4515M</v>
      </c>
      <c r="E5234" s="1" t="s">
        <v>10</v>
      </c>
      <c r="F5234" s="1" t="str">
        <f>"fde3:102:1440:4500:0:0:0:e"</f>
        <v>fde3:102:1440:4500:0:0:0:e</v>
      </c>
      <c r="G5234" s="1" t="str">
        <f>"0425W451"</f>
        <v>0425W451</v>
      </c>
      <c r="H5234" s="1" t="str">
        <f>"산성간 33R6"</f>
        <v>산성간 33R6</v>
      </c>
      <c r="I5234" s="1" t="s">
        <v>15</v>
      </c>
      <c r="J5234" s="1" t="str">
        <f>"86/86"</f>
        <v>86/86</v>
      </c>
      <c r="K5234" s="1" t="str">
        <f>"2026-07-29 14:20:29"</f>
        <v>2026-07-29 14:20:29</v>
      </c>
      <c r="L5234" s="1" t="str">
        <f>"2023-08-23 20:58:14"</f>
        <v>2023-08-23 20:58:14</v>
      </c>
      <c r="M5234" s="1" t="s">
        <v>45</v>
      </c>
      <c r="N5234" s="1" t="s">
        <v>38</v>
      </c>
      <c r="O5234" s="1" t="s">
        <v>46</v>
      </c>
    </row>
    <row r="5235" spans="2:15" x14ac:dyDescent="0.3">
      <c r="B5235" s="1" t="s">
        <v>23</v>
      </c>
      <c r="C5235" s="1" t="str">
        <f>"3차"</f>
        <v>3차</v>
      </c>
      <c r="D5235" s="1" t="str">
        <f>"0425W47139"</f>
        <v>0425W47139</v>
      </c>
      <c r="E5235" s="1" t="s">
        <v>10</v>
      </c>
      <c r="F5235" s="1" t="str">
        <f>"10.11.56.218"</f>
        <v>10.11.56.218</v>
      </c>
      <c r="G5235" s="1" t="str">
        <f>"0425W471"</f>
        <v>0425W471</v>
      </c>
      <c r="H5235" s="1" t="str">
        <f>"산성간 35R4R4R2"</f>
        <v>산성간 35R4R4R2</v>
      </c>
      <c r="I5235" s="1" t="s">
        <v>8</v>
      </c>
      <c r="J5235" s="1" t="str">
        <f>"101/102"</f>
        <v>101/102</v>
      </c>
      <c r="K5235" s="1" t="str">
        <f>"2026-07-29 13:18:04"</f>
        <v>2026-07-29 13:18:04</v>
      </c>
      <c r="L5235" s="1" t="str">
        <f>"2018-05-30 09:27:54"</f>
        <v>2018-05-30 09:27:54</v>
      </c>
      <c r="M5235" s="1" t="s">
        <v>2</v>
      </c>
      <c r="N5235" s="1" t="s">
        <v>38</v>
      </c>
      <c r="O5235" s="1" t="s">
        <v>46</v>
      </c>
    </row>
    <row r="5236" spans="2:15" x14ac:dyDescent="0.3">
      <c r="B5236" s="1" t="s">
        <v>23</v>
      </c>
      <c r="C5236" s="1" t="str">
        <f>"1차"</f>
        <v>1차</v>
      </c>
      <c r="D5236" s="1" t="str">
        <f>"0425W48101"</f>
        <v>0425W48101</v>
      </c>
      <c r="E5236" s="1" t="s">
        <v>10</v>
      </c>
      <c r="F5236" s="1" t="str">
        <f>"10.12.133.178"</f>
        <v>10.12.133.178</v>
      </c>
      <c r="G5236" s="1" t="str">
        <f>"0425W481"</f>
        <v>0425W481</v>
      </c>
      <c r="H5236" s="1" t="str">
        <f>"산성간 35R4R3"</f>
        <v>산성간 35R4R3</v>
      </c>
      <c r="I5236" s="1" t="s">
        <v>8</v>
      </c>
      <c r="J5236" s="1" t="str">
        <f>"116/116"</f>
        <v>116/116</v>
      </c>
      <c r="K5236" s="1" t="str">
        <f>"2026-07-29 13:18:05"</f>
        <v>2026-07-29 13:18:05</v>
      </c>
      <c r="L5236" s="1" t="str">
        <f>"2015-07-22 11:17:32"</f>
        <v>2015-07-22 11:17:32</v>
      </c>
      <c r="M5236" s="1" t="s">
        <v>0</v>
      </c>
      <c r="N5236" s="1" t="s">
        <v>38</v>
      </c>
      <c r="O5236" s="1" t="s">
        <v>46</v>
      </c>
    </row>
    <row r="5237" spans="2:15" x14ac:dyDescent="0.3">
      <c r="B5237" s="1" t="s">
        <v>23</v>
      </c>
      <c r="C5237" s="1" t="str">
        <f>"3차"</f>
        <v>3차</v>
      </c>
      <c r="D5237" s="1" t="str">
        <f>"0425W58231"</f>
        <v>0425W58231</v>
      </c>
      <c r="E5237" s="1" t="s">
        <v>10</v>
      </c>
      <c r="F5237" s="1" t="str">
        <f>"10.12.131.58"</f>
        <v>10.12.131.58</v>
      </c>
      <c r="G5237" s="1" t="str">
        <f>"0425W582"</f>
        <v>0425W582</v>
      </c>
      <c r="H5237" s="1" t="str">
        <f>"산성간 35R4R6"</f>
        <v>산성간 35R4R6</v>
      </c>
      <c r="I5237" s="1" t="s">
        <v>8</v>
      </c>
      <c r="J5237" s="1" t="str">
        <f>"29/29"</f>
        <v>29/29</v>
      </c>
      <c r="K5237" s="1" t="str">
        <f>"2026-07-29 07:18:01"</f>
        <v>2026-07-29 07:18:01</v>
      </c>
      <c r="L5237" s="1" t="str">
        <f>"2018-06-04 14:49:22"</f>
        <v>2018-06-04 14:49:22</v>
      </c>
      <c r="M5237" s="1" t="s">
        <v>0</v>
      </c>
      <c r="N5237" s="1" t="s">
        <v>38</v>
      </c>
      <c r="O5237" s="1" t="s">
        <v>46</v>
      </c>
    </row>
    <row r="5238" spans="2:15" x14ac:dyDescent="0.3">
      <c r="B5238" s="1" t="s">
        <v>23</v>
      </c>
      <c r="C5238" s="1" t="str">
        <f>"4차"</f>
        <v>4차</v>
      </c>
      <c r="D5238" s="1" t="str">
        <f>"0425W64241"</f>
        <v>0425W64241</v>
      </c>
      <c r="E5238" s="1" t="s">
        <v>10</v>
      </c>
      <c r="F5238" s="1" t="str">
        <f>"10.14.14.36"</f>
        <v>10.14.14.36</v>
      </c>
      <c r="G5238" s="1" t="str">
        <f>"0425W642"</f>
        <v>0425W642</v>
      </c>
      <c r="H5238" s="1" t="str">
        <f>"산성간 35R4R11"</f>
        <v>산성간 35R4R11</v>
      </c>
      <c r="I5238" s="1" t="s">
        <v>17</v>
      </c>
      <c r="J5238" s="1" t="str">
        <f>"4/4"</f>
        <v>4/4</v>
      </c>
      <c r="K5238" s="1" t="str">
        <f>"2026-07-29 13:18:05"</f>
        <v>2026-07-29 13:18:05</v>
      </c>
      <c r="L5238" s="1" t="str">
        <f>"2021-08-30 08:16:38"</f>
        <v>2021-08-30 08:16:38</v>
      </c>
      <c r="M5238" s="1" t="s">
        <v>3</v>
      </c>
      <c r="N5238" s="1" t="s">
        <v>38</v>
      </c>
      <c r="O5238" s="1" t="s">
        <v>46</v>
      </c>
    </row>
    <row r="5239" spans="2:15" x14ac:dyDescent="0.3">
      <c r="B5239" s="1" t="s">
        <v>23</v>
      </c>
      <c r="C5239" s="1" t="str">
        <f>"3차"</f>
        <v>3차</v>
      </c>
      <c r="D5239" s="1" t="str">
        <f>"0425W66232"</f>
        <v>0425W66232</v>
      </c>
      <c r="E5239" s="1" t="s">
        <v>10</v>
      </c>
      <c r="F5239" s="1" t="str">
        <f>"10.11.52.212"</f>
        <v>10.11.52.212</v>
      </c>
      <c r="G5239" s="1" t="str">
        <f>"0425W662"</f>
        <v>0425W662</v>
      </c>
      <c r="H5239" s="1" t="str">
        <f>"산성간 35R4R8"</f>
        <v>산성간 35R4R8</v>
      </c>
      <c r="I5239" s="1" t="s">
        <v>8</v>
      </c>
      <c r="J5239" s="1" t="str">
        <f>"36/36"</f>
        <v>36/36</v>
      </c>
      <c r="K5239" s="1" t="str">
        <f>"2026-07-29 13:18:03"</f>
        <v>2026-07-29 13:18:03</v>
      </c>
      <c r="L5239" s="1" t="str">
        <f>"2018-06-04 14:48:07"</f>
        <v>2018-06-04 14:48:07</v>
      </c>
      <c r="M5239" s="1" t="s">
        <v>2</v>
      </c>
      <c r="N5239" s="1" t="s">
        <v>38</v>
      </c>
      <c r="O5239" s="1" t="s">
        <v>46</v>
      </c>
    </row>
    <row r="5240" spans="2:15" x14ac:dyDescent="0.3">
      <c r="B5240" s="1" t="s">
        <v>23</v>
      </c>
      <c r="C5240" s="1" t="str">
        <f>"3차"</f>
        <v>3차</v>
      </c>
      <c r="D5240" s="1" t="str">
        <f>"0425W66339"</f>
        <v>0425W66339</v>
      </c>
      <c r="E5240" s="1" t="s">
        <v>10</v>
      </c>
      <c r="F5240" s="1" t="str">
        <f>"10.11.59.194"</f>
        <v>10.11.59.194</v>
      </c>
      <c r="G5240" s="1" t="str">
        <f>"0425W663"</f>
        <v>0425W663</v>
      </c>
      <c r="H5240" s="1" t="str">
        <f>"산성간 35R4R8L1"</f>
        <v>산성간 35R4R8L1</v>
      </c>
      <c r="I5240" s="1" t="s">
        <v>8</v>
      </c>
      <c r="J5240" s="1" t="str">
        <f>"22/22"</f>
        <v>22/22</v>
      </c>
      <c r="K5240" s="1" t="str">
        <f>"2026-07-29 13:18:03"</f>
        <v>2026-07-29 13:18:03</v>
      </c>
      <c r="L5240" s="1" t="str">
        <f>"2018-04-24 13:33:11"</f>
        <v>2018-04-24 13:33:11</v>
      </c>
      <c r="M5240" s="1" t="s">
        <v>2</v>
      </c>
      <c r="N5240" s="1" t="s">
        <v>38</v>
      </c>
      <c r="O5240" s="1" t="s">
        <v>46</v>
      </c>
    </row>
    <row r="5241" spans="2:15" x14ac:dyDescent="0.3">
      <c r="B5241" s="1" t="s">
        <v>23</v>
      </c>
      <c r="C5241" s="1" t="str">
        <f>"3차"</f>
        <v>3차</v>
      </c>
      <c r="D5241" s="1" t="str">
        <f>"0425W67130"</f>
        <v>0425W67130</v>
      </c>
      <c r="E5241" s="1" t="s">
        <v>10</v>
      </c>
      <c r="F5241" s="1" t="str">
        <f>"10.11.52.210"</f>
        <v>10.11.52.210</v>
      </c>
      <c r="G5241" s="1" t="str">
        <f>"0425W671"</f>
        <v>0425W671</v>
      </c>
      <c r="H5241" s="1" t="str">
        <f>"산성간 35R4R7"</f>
        <v>산성간 35R4R7</v>
      </c>
      <c r="I5241" s="1" t="s">
        <v>8</v>
      </c>
      <c r="J5241" s="1" t="str">
        <f>"51/52"</f>
        <v>51/52</v>
      </c>
      <c r="K5241" s="1" t="str">
        <f>"2026-07-29 13:18:03"</f>
        <v>2026-07-29 13:18:03</v>
      </c>
      <c r="L5241" s="1" t="str">
        <f>"2018-05-09 10:39:56"</f>
        <v>2018-05-09 10:39:56</v>
      </c>
      <c r="M5241" s="1" t="s">
        <v>2</v>
      </c>
      <c r="N5241" s="1" t="s">
        <v>38</v>
      </c>
      <c r="O5241" s="1" t="s">
        <v>46</v>
      </c>
    </row>
    <row r="5242" spans="2:15" x14ac:dyDescent="0.3">
      <c r="B5242" s="1" t="s">
        <v>23</v>
      </c>
      <c r="C5242" s="1" t="str">
        <f>"5-2차"</f>
        <v>5-2차</v>
      </c>
      <c r="D5242" s="1" t="str">
        <f>"0425W7415M"</f>
        <v>0425W7415M</v>
      </c>
      <c r="E5242" s="1" t="s">
        <v>10</v>
      </c>
      <c r="F5242" s="1" t="str">
        <f>"fde3:102:1440:4800:0:0:0:1e"</f>
        <v>fde3:102:1440:4800:0:0:0:1e</v>
      </c>
      <c r="G5242" s="1" t="str">
        <f>"0425W741"</f>
        <v>0425W741</v>
      </c>
      <c r="H5242" s="1" t="str">
        <f>"산성간 35R4R14"</f>
        <v>산성간 35R4R14</v>
      </c>
      <c r="I5242" s="1" t="s">
        <v>15</v>
      </c>
      <c r="J5242" s="1" t="str">
        <f>"74/75"</f>
        <v>74/75</v>
      </c>
      <c r="K5242" s="1" t="str">
        <f>"2026-07-29 14:21:17"</f>
        <v>2026-07-29 14:21:17</v>
      </c>
      <c r="L5242" s="1" t="str">
        <f>"2023-06-13 16:54:52"</f>
        <v>2023-06-13 16:54:52</v>
      </c>
      <c r="M5242" s="1" t="s">
        <v>45</v>
      </c>
      <c r="N5242" s="1" t="s">
        <v>38</v>
      </c>
      <c r="O5242" s="1" t="s">
        <v>46</v>
      </c>
    </row>
    <row r="5243" spans="2:15" x14ac:dyDescent="0.3">
      <c r="B5243" s="1" t="s">
        <v>23</v>
      </c>
      <c r="C5243" s="1" t="str">
        <f>"3차"</f>
        <v>3차</v>
      </c>
      <c r="D5243" s="1" t="str">
        <f>"0425W76239"</f>
        <v>0425W76239</v>
      </c>
      <c r="E5243" s="1" t="s">
        <v>10</v>
      </c>
      <c r="F5243" s="1" t="str">
        <f>"10.11.54.219"</f>
        <v>10.11.54.219</v>
      </c>
      <c r="G5243" s="1" t="str">
        <f>"0425W762"</f>
        <v>0425W762</v>
      </c>
      <c r="H5243" s="1" t="str">
        <f>"산성간 35R4R8L4R1"</f>
        <v>산성간 35R4R8L4R1</v>
      </c>
      <c r="I5243" s="1" t="s">
        <v>8</v>
      </c>
      <c r="J5243" s="1" t="str">
        <f>"49/49"</f>
        <v>49/49</v>
      </c>
      <c r="K5243" s="1" t="str">
        <f>"2026-07-29 13:18:03"</f>
        <v>2026-07-29 13:18:03</v>
      </c>
      <c r="L5243" s="1" t="str">
        <f>"2018-05-30 09:17:56"</f>
        <v>2018-05-30 09:17:56</v>
      </c>
      <c r="M5243" s="1" t="s">
        <v>2</v>
      </c>
      <c r="N5243" s="1" t="s">
        <v>38</v>
      </c>
      <c r="O5243" s="1" t="s">
        <v>46</v>
      </c>
    </row>
    <row r="5244" spans="2:15" x14ac:dyDescent="0.3">
      <c r="B5244" s="1" t="s">
        <v>23</v>
      </c>
      <c r="C5244" s="1" t="str">
        <f>"3차"</f>
        <v>3차</v>
      </c>
      <c r="D5244" s="1" t="str">
        <f>"0425W76539"</f>
        <v>0425W76539</v>
      </c>
      <c r="E5244" s="1" t="s">
        <v>10</v>
      </c>
      <c r="F5244" s="1" t="str">
        <f>"10.11.52.218"</f>
        <v>10.11.52.218</v>
      </c>
      <c r="G5244" s="1" t="str">
        <f>"0425W765"</f>
        <v>0425W765</v>
      </c>
      <c r="H5244" s="1" t="str">
        <f>"산성간 35R4R8L3"</f>
        <v>산성간 35R4R8L3</v>
      </c>
      <c r="I5244" s="1" t="s">
        <v>8</v>
      </c>
      <c r="J5244" s="1" t="str">
        <f>"35/35"</f>
        <v>35/35</v>
      </c>
      <c r="K5244" s="1" t="str">
        <f>"2026-07-29 13:18:04"</f>
        <v>2026-07-29 13:18:04</v>
      </c>
      <c r="L5244" s="1" t="str">
        <f>"2018-04-24 13:42:11"</f>
        <v>2018-04-24 13:42:11</v>
      </c>
      <c r="M5244" s="1" t="s">
        <v>2</v>
      </c>
      <c r="N5244" s="1" t="s">
        <v>38</v>
      </c>
      <c r="O5244" s="1" t="s">
        <v>46</v>
      </c>
    </row>
    <row r="5245" spans="2:15" x14ac:dyDescent="0.3">
      <c r="B5245" s="1" t="s">
        <v>23</v>
      </c>
      <c r="C5245" s="1" t="str">
        <f>"3차"</f>
        <v>3차</v>
      </c>
      <c r="D5245" s="1" t="str">
        <f>"0425W86139"</f>
        <v>0425W86139</v>
      </c>
      <c r="E5245" s="1" t="s">
        <v>10</v>
      </c>
      <c r="F5245" s="1" t="str">
        <f>"10.11.59.202"</f>
        <v>10.11.59.202</v>
      </c>
      <c r="G5245" s="1" t="str">
        <f>"0425W861"</f>
        <v>0425W861</v>
      </c>
      <c r="H5245" s="1" t="str">
        <f>"산성간 35R4R8L4"</f>
        <v>산성간 35R4R8L4</v>
      </c>
      <c r="I5245" s="1" t="s">
        <v>8</v>
      </c>
      <c r="J5245" s="1" t="str">
        <f>"149/149"</f>
        <v>149/149</v>
      </c>
      <c r="K5245" s="1" t="str">
        <f>"2026-07-29 13:18:03"</f>
        <v>2026-07-29 13:18:03</v>
      </c>
      <c r="L5245" s="1" t="str">
        <f>"2018-04-24 13:39:56"</f>
        <v>2018-04-24 13:39:56</v>
      </c>
      <c r="M5245" s="1" t="s">
        <v>2</v>
      </c>
      <c r="N5245" s="1" t="s">
        <v>38</v>
      </c>
      <c r="O5245" s="1" t="s">
        <v>46</v>
      </c>
    </row>
    <row r="5246" spans="2:15" x14ac:dyDescent="0.3">
      <c r="B5246" s="1" t="s">
        <v>23</v>
      </c>
      <c r="C5246" s="1" t="str">
        <f>"3차"</f>
        <v>3차</v>
      </c>
      <c r="D5246" s="1" t="str">
        <f>"0425W95239"</f>
        <v>0425W95239</v>
      </c>
      <c r="E5246" s="1" t="s">
        <v>10</v>
      </c>
      <c r="F5246" s="1" t="str">
        <f>"10.11.56.234"</f>
        <v>10.11.56.234</v>
      </c>
      <c r="G5246" s="1" t="str">
        <f>"0425W952"</f>
        <v>0425W952</v>
      </c>
      <c r="H5246" s="1" t="str">
        <f>"산성간 35R4R8L7"</f>
        <v>산성간 35R4R8L7</v>
      </c>
      <c r="I5246" s="1" t="s">
        <v>8</v>
      </c>
      <c r="J5246" s="1" t="str">
        <f>"24/24"</f>
        <v>24/24</v>
      </c>
      <c r="K5246" s="1" t="str">
        <f>"2026-07-29 13:18:03"</f>
        <v>2026-07-29 13:18:03</v>
      </c>
      <c r="L5246" s="1" t="str">
        <f>"2018-05-30 09:02:54"</f>
        <v>2018-05-30 09:02:54</v>
      </c>
      <c r="M5246" s="1" t="s">
        <v>2</v>
      </c>
      <c r="N5246" s="1" t="s">
        <v>38</v>
      </c>
      <c r="O5246" s="1" t="s">
        <v>46</v>
      </c>
    </row>
    <row r="5247" spans="2:15" x14ac:dyDescent="0.3">
      <c r="B5247" s="1" t="s">
        <v>23</v>
      </c>
      <c r="C5247" s="1" t="str">
        <f>"4차"</f>
        <v>4차</v>
      </c>
      <c r="D5247" s="1" t="str">
        <f>"0425W97341"</f>
        <v>0425W97341</v>
      </c>
      <c r="E5247" s="1" t="s">
        <v>10</v>
      </c>
      <c r="F5247" s="1" t="str">
        <f>"10.14.4.40"</f>
        <v>10.14.4.40</v>
      </c>
      <c r="G5247" s="1" t="str">
        <f>"0425W973"</f>
        <v>0425W973</v>
      </c>
      <c r="H5247" s="1" t="str">
        <f>"산성간 35R4R8L4L3"</f>
        <v>산성간 35R4R8L4L3</v>
      </c>
      <c r="I5247" s="1" t="s">
        <v>17</v>
      </c>
      <c r="J5247" s="1" t="str">
        <f>"21/21"</f>
        <v>21/21</v>
      </c>
      <c r="K5247" s="1" t="str">
        <f>"2026-07-29 13:18:05"</f>
        <v>2026-07-29 13:18:05</v>
      </c>
      <c r="L5247" s="1" t="str">
        <f>"2021-07-13 10:04:56"</f>
        <v>2021-07-13 10:04:56</v>
      </c>
      <c r="M5247" s="1" t="s">
        <v>3</v>
      </c>
      <c r="N5247" s="1" t="s">
        <v>38</v>
      </c>
      <c r="O5247" s="1" t="s">
        <v>46</v>
      </c>
    </row>
    <row r="5248" spans="2:15" x14ac:dyDescent="0.3">
      <c r="B5248" s="1" t="s">
        <v>23</v>
      </c>
      <c r="C5248" s="1" t="str">
        <f>"4차"</f>
        <v>4차</v>
      </c>
      <c r="D5248" s="1" t="str">
        <f>"0425X70141"</f>
        <v>0425X70141</v>
      </c>
      <c r="E5248" s="1" t="s">
        <v>10</v>
      </c>
      <c r="F5248" s="1" t="str">
        <f>"10.12.135.28"</f>
        <v>10.12.135.28</v>
      </c>
      <c r="G5248" s="1" t="str">
        <f>"0425X701"</f>
        <v>0425X701</v>
      </c>
      <c r="H5248" s="1" t="str">
        <f>"아차지 16L8H1"</f>
        <v>아차지 16L8H1</v>
      </c>
      <c r="I5248" s="1" t="s">
        <v>17</v>
      </c>
      <c r="J5248" s="1" t="str">
        <f>"2/2"</f>
        <v>2/2</v>
      </c>
      <c r="K5248" s="1" t="str">
        <f>"2026-07-29 13:18:02"</f>
        <v>2026-07-29 13:18:02</v>
      </c>
      <c r="L5248" s="1" t="str">
        <f>"2021-10-12 15:12:35"</f>
        <v>2021-10-12 15:12:35</v>
      </c>
      <c r="M5248" s="1" t="s">
        <v>0</v>
      </c>
      <c r="N5248" s="1" t="s">
        <v>38</v>
      </c>
      <c r="O5248" s="1" t="s">
        <v>46</v>
      </c>
    </row>
    <row r="5249" spans="2:15" x14ac:dyDescent="0.3">
      <c r="B5249" s="1" t="s">
        <v>23</v>
      </c>
      <c r="C5249" s="1" t="str">
        <f>"4차"</f>
        <v>4차</v>
      </c>
      <c r="D5249" s="1" t="str">
        <f>"0425X81244"</f>
        <v>0425X81244</v>
      </c>
      <c r="E5249" s="1" t="s">
        <v>10</v>
      </c>
      <c r="F5249" s="1" t="str">
        <f>"10.11.77.82"</f>
        <v>10.11.77.82</v>
      </c>
      <c r="G5249" s="1" t="str">
        <f>"0425X812"</f>
        <v>0425X812</v>
      </c>
      <c r="H5249" s="1" t="str">
        <f>"아차지 20A1"</f>
        <v>아차지 20A1</v>
      </c>
      <c r="I5249" s="1" t="s">
        <v>8</v>
      </c>
      <c r="J5249" s="1" t="str">
        <f>"17/17"</f>
        <v>17/17</v>
      </c>
      <c r="K5249" s="1" t="str">
        <f>"2026-07-29 13:18:03"</f>
        <v>2026-07-29 13:18:03</v>
      </c>
      <c r="L5249" s="1" t="str">
        <f>"2019-11-04 19:53:04"</f>
        <v>2019-11-04 19:53:04</v>
      </c>
      <c r="M5249" s="1" t="s">
        <v>2</v>
      </c>
      <c r="N5249" s="1" t="s">
        <v>38</v>
      </c>
      <c r="O5249" s="1" t="s">
        <v>46</v>
      </c>
    </row>
    <row r="5250" spans="2:15" x14ac:dyDescent="0.3">
      <c r="B5250" s="1" t="s">
        <v>23</v>
      </c>
      <c r="C5250" s="1" t="str">
        <f>"4차"</f>
        <v>4차</v>
      </c>
      <c r="D5250" s="1" t="str">
        <f>"0425X95144"</f>
        <v>0425X95144</v>
      </c>
      <c r="E5250" s="1" t="s">
        <v>10</v>
      </c>
      <c r="F5250" s="1" t="str">
        <f>"10.11.77.90"</f>
        <v>10.11.77.90</v>
      </c>
      <c r="G5250" s="1" t="str">
        <f>"0425X951"</f>
        <v>0425X951</v>
      </c>
      <c r="H5250" s="1" t="str">
        <f>"아차지 28"</f>
        <v>아차지 28</v>
      </c>
      <c r="I5250" s="1" t="s">
        <v>8</v>
      </c>
      <c r="J5250" s="1" t="str">
        <f>"8/8"</f>
        <v>8/8</v>
      </c>
      <c r="K5250" s="1" t="str">
        <f>"2026-07-29 13:18:03"</f>
        <v>2026-07-29 13:18:03</v>
      </c>
      <c r="L5250" s="1" t="str">
        <f>"2019-11-04 19:53:05"</f>
        <v>2019-11-04 19:53:05</v>
      </c>
      <c r="M5250" s="1" t="s">
        <v>2</v>
      </c>
      <c r="N5250" s="1" t="s">
        <v>38</v>
      </c>
      <c r="O5250" s="1" t="s">
        <v>46</v>
      </c>
    </row>
    <row r="5251" spans="2:15" x14ac:dyDescent="0.3">
      <c r="B5251" s="1" t="s">
        <v>23</v>
      </c>
      <c r="C5251" s="1" t="str">
        <f>"5-2차"</f>
        <v>5-2차</v>
      </c>
      <c r="D5251" s="1" t="str">
        <f>"0425Y0015M"</f>
        <v>0425Y0015M</v>
      </c>
      <c r="E5251" s="1" t="s">
        <v>10</v>
      </c>
      <c r="F5251" s="1" t="str">
        <f>"fde3:102:1440:1300:0:0:0:15"</f>
        <v>fde3:102:1440:1300:0:0:0:15</v>
      </c>
      <c r="G5251" s="1" t="str">
        <f>"0425Y001"</f>
        <v>0425Y001</v>
      </c>
      <c r="H5251" s="1" t="str">
        <f>"양구간 6A5"</f>
        <v>양구간 6A5</v>
      </c>
      <c r="I5251" s="1" t="s">
        <v>15</v>
      </c>
      <c r="J5251" s="1" t="str">
        <f>"43/43"</f>
        <v>43/43</v>
      </c>
      <c r="K5251" s="1" t="str">
        <f>"2026-07-28 20:03:27"</f>
        <v>2026-07-28 20:03:27</v>
      </c>
      <c r="L5251" s="1" t="str">
        <f>"2023-10-16 15:45:04"</f>
        <v>2023-10-16 15:45:04</v>
      </c>
      <c r="M5251" s="1" t="s">
        <v>45</v>
      </c>
      <c r="N5251" s="1" t="s">
        <v>38</v>
      </c>
      <c r="O5251" s="1" t="s">
        <v>46</v>
      </c>
    </row>
    <row r="5252" spans="2:15" x14ac:dyDescent="0.3">
      <c r="B5252" s="1" t="s">
        <v>23</v>
      </c>
      <c r="C5252" s="1" t="str">
        <f>"5-2차"</f>
        <v>5-2차</v>
      </c>
      <c r="D5252" s="1" t="str">
        <f>"0425Y0745M"</f>
        <v>0425Y0745M</v>
      </c>
      <c r="E5252" s="1" t="s">
        <v>10</v>
      </c>
      <c r="F5252" s="1" t="str">
        <f>"fde1:103:4:9106:0:0:0:2"</f>
        <v>fde1:103:4:9106:0:0:0:2</v>
      </c>
      <c r="G5252" s="1" t="str">
        <f>"0425Y074"</f>
        <v>0425Y074</v>
      </c>
      <c r="H5252" s="1" t="str">
        <f>"광나루 93L8R9"</f>
        <v>광나루 93L8R9</v>
      </c>
      <c r="I5252" s="1" t="s">
        <v>15</v>
      </c>
      <c r="J5252" s="1" t="str">
        <f>"48/48"</f>
        <v>48/48</v>
      </c>
      <c r="K5252" s="1" t="str">
        <f>"2026-07-29 14:20:30"</f>
        <v>2026-07-29 14:20:30</v>
      </c>
      <c r="L5252" s="1" t="str">
        <f>"2023-12-21 11:04:36"</f>
        <v>2023-12-21 11:04:36</v>
      </c>
      <c r="M5252" s="1" t="s">
        <v>4</v>
      </c>
      <c r="N5252" s="1" t="s">
        <v>38</v>
      </c>
      <c r="O5252" s="1" t="s">
        <v>46</v>
      </c>
    </row>
    <row r="5253" spans="2:15" x14ac:dyDescent="0.3">
      <c r="B5253" s="1" t="s">
        <v>23</v>
      </c>
      <c r="C5253" s="1" t="str">
        <f>"4차"</f>
        <v>4차</v>
      </c>
      <c r="D5253" s="1" t="str">
        <f>"0425Y12239"</f>
        <v>0425Y12239</v>
      </c>
      <c r="E5253" s="1" t="s">
        <v>10</v>
      </c>
      <c r="F5253" s="1" t="str">
        <f>"10.12.133.88"</f>
        <v>10.12.133.88</v>
      </c>
      <c r="G5253" s="1" t="str">
        <f>"0425Y122"</f>
        <v>0425Y122</v>
      </c>
      <c r="H5253" s="1" t="str">
        <f>"광나루 103-2"</f>
        <v>광나루 103-2</v>
      </c>
      <c r="I5253" s="1" t="s">
        <v>17</v>
      </c>
      <c r="J5253" s="1" t="str">
        <f>"6/6"</f>
        <v>6/6</v>
      </c>
      <c r="K5253" s="1" t="str">
        <f>"2026-07-29 13:18:05"</f>
        <v>2026-07-29 13:18:05</v>
      </c>
      <c r="L5253" s="1" t="str">
        <f>"2018-06-18 14:42:01"</f>
        <v>2018-06-18 14:42:01</v>
      </c>
      <c r="M5253" s="1" t="s">
        <v>0</v>
      </c>
      <c r="N5253" s="1" t="s">
        <v>38</v>
      </c>
      <c r="O5253" s="1" t="s">
        <v>46</v>
      </c>
    </row>
    <row r="5254" spans="2:15" x14ac:dyDescent="0.3">
      <c r="B5254" s="1" t="s">
        <v>23</v>
      </c>
      <c r="C5254" s="1" t="str">
        <f>"5-1차"</f>
        <v>5-1차</v>
      </c>
      <c r="D5254" s="1" t="str">
        <f>"0425Y2045M"</f>
        <v>0425Y2045M</v>
      </c>
      <c r="E5254" s="1" t="s">
        <v>10</v>
      </c>
      <c r="F5254" s="1" t="str">
        <f>"fde3:102:1440:1500:0:0:0:2"</f>
        <v>fde3:102:1440:1500:0:0:0:2</v>
      </c>
      <c r="G5254" s="1" t="str">
        <f>"0425Y204"</f>
        <v>0425Y204</v>
      </c>
      <c r="H5254" s="1" t="str">
        <f>"광나루 105R3"</f>
        <v>광나루 105R3</v>
      </c>
      <c r="I5254" s="1" t="s">
        <v>15</v>
      </c>
      <c r="J5254" s="1" t="str">
        <f>"61/61"</f>
        <v>61/61</v>
      </c>
      <c r="K5254" s="1" t="str">
        <f>"2026-07-29 14:20:36"</f>
        <v>2026-07-29 14:20:36</v>
      </c>
      <c r="L5254" s="1" t="str">
        <f>"2022-10-25 14:33:18"</f>
        <v>2022-10-25 14:33:18</v>
      </c>
      <c r="M5254" s="1" t="s">
        <v>45</v>
      </c>
      <c r="N5254" s="1" t="s">
        <v>38</v>
      </c>
      <c r="O5254" s="1" t="s">
        <v>46</v>
      </c>
    </row>
    <row r="5255" spans="2:15" x14ac:dyDescent="0.3">
      <c r="B5255" s="1" t="s">
        <v>23</v>
      </c>
      <c r="C5255" s="1" t="str">
        <f t="shared" ref="C5255:C5260" si="274">"4차"</f>
        <v>4차</v>
      </c>
      <c r="D5255" s="1" t="str">
        <f>"0425Y21239"</f>
        <v>0425Y21239</v>
      </c>
      <c r="E5255" s="1" t="s">
        <v>10</v>
      </c>
      <c r="F5255" s="1" t="str">
        <f>"10.12.136.151"</f>
        <v>10.12.136.151</v>
      </c>
      <c r="G5255" s="1" t="str">
        <f>"0425Y212"</f>
        <v>0425Y212</v>
      </c>
      <c r="H5255" s="1" t="str">
        <f>"광나루 107-3"</f>
        <v>광나루 107-3</v>
      </c>
      <c r="I5255" s="1" t="s">
        <v>17</v>
      </c>
      <c r="J5255" s="1" t="str">
        <f>"1/1"</f>
        <v>1/1</v>
      </c>
      <c r="K5255" s="1" t="str">
        <f>"2026-07-29 13:18:02"</f>
        <v>2026-07-29 13:18:02</v>
      </c>
      <c r="L5255" s="1" t="str">
        <f>"2018-06-19 11:24:49"</f>
        <v>2018-06-19 11:24:49</v>
      </c>
      <c r="M5255" s="1" t="s">
        <v>0</v>
      </c>
      <c r="N5255" s="1" t="s">
        <v>38</v>
      </c>
      <c r="O5255" s="1" t="s">
        <v>46</v>
      </c>
    </row>
    <row r="5256" spans="2:15" x14ac:dyDescent="0.3">
      <c r="B5256" s="1" t="s">
        <v>23</v>
      </c>
      <c r="C5256" s="1" t="str">
        <f t="shared" si="274"/>
        <v>4차</v>
      </c>
      <c r="D5256" s="1" t="str">
        <f>"0425Y70241"</f>
        <v>0425Y70241</v>
      </c>
      <c r="E5256" s="1" t="s">
        <v>10</v>
      </c>
      <c r="F5256" s="1" t="str">
        <f>"10.14.13.17"</f>
        <v>10.14.13.17</v>
      </c>
      <c r="G5256" s="1" t="str">
        <f>"0425Y702"</f>
        <v>0425Y702</v>
      </c>
      <c r="H5256" s="1" t="str">
        <f>"광나루 99L4"</f>
        <v>광나루 99L4</v>
      </c>
      <c r="I5256" s="1" t="s">
        <v>17</v>
      </c>
      <c r="J5256" s="1" t="str">
        <f>"19/19"</f>
        <v>19/19</v>
      </c>
      <c r="K5256" s="1" t="str">
        <f>"2026-07-29 13:18:02"</f>
        <v>2026-07-29 13:18:02</v>
      </c>
      <c r="L5256" s="1" t="str">
        <f>"2021-08-26 13:25:37"</f>
        <v>2021-08-26 13:25:37</v>
      </c>
      <c r="M5256" s="1" t="s">
        <v>3</v>
      </c>
      <c r="N5256" s="1" t="s">
        <v>38</v>
      </c>
      <c r="O5256" s="1" t="s">
        <v>46</v>
      </c>
    </row>
    <row r="5257" spans="2:15" x14ac:dyDescent="0.3">
      <c r="B5257" s="1" t="s">
        <v>23</v>
      </c>
      <c r="C5257" s="1" t="str">
        <f t="shared" si="274"/>
        <v>4차</v>
      </c>
      <c r="D5257" s="1" t="str">
        <f>"0425Z79244"</f>
        <v>0425Z79244</v>
      </c>
      <c r="E5257" s="1" t="s">
        <v>10</v>
      </c>
      <c r="F5257" s="1" t="str">
        <f>"10.11.69.82"</f>
        <v>10.11.69.82</v>
      </c>
      <c r="G5257" s="1" t="str">
        <f>"0425Z792"</f>
        <v>0425Z792</v>
      </c>
      <c r="H5257" s="1" t="str">
        <f>"아차지 16L6"</f>
        <v>아차지 16L6</v>
      </c>
      <c r="I5257" s="1" t="s">
        <v>8</v>
      </c>
      <c r="J5257" s="1" t="str">
        <f>"35/36"</f>
        <v>35/36</v>
      </c>
      <c r="K5257" s="1" t="str">
        <f>"2026-07-29 13:18:03"</f>
        <v>2026-07-29 13:18:03</v>
      </c>
      <c r="L5257" s="1" t="str">
        <f>"2019-10-29 10:53:05"</f>
        <v>2019-10-29 10:53:05</v>
      </c>
      <c r="M5257" s="1" t="s">
        <v>2</v>
      </c>
      <c r="N5257" s="1" t="s">
        <v>38</v>
      </c>
      <c r="O5257" s="1" t="s">
        <v>46</v>
      </c>
    </row>
    <row r="5258" spans="2:15" x14ac:dyDescent="0.3">
      <c r="B5258" s="1" t="s">
        <v>23</v>
      </c>
      <c r="C5258" s="1" t="str">
        <f t="shared" si="274"/>
        <v>4차</v>
      </c>
      <c r="D5258" s="1" t="str">
        <f>"0425Z95339"</f>
        <v>0425Z95339</v>
      </c>
      <c r="E5258" s="1" t="s">
        <v>10</v>
      </c>
      <c r="F5258" s="1" t="str">
        <f>"10.12.136.222"</f>
        <v>10.12.136.222</v>
      </c>
      <c r="G5258" s="1" t="str">
        <f>"0425Z953"</f>
        <v>0425Z953</v>
      </c>
      <c r="H5258" s="1" t="str">
        <f>"천호로 390-1"</f>
        <v>천호로 390-1</v>
      </c>
      <c r="I5258" s="1" t="s">
        <v>17</v>
      </c>
      <c r="J5258" s="1" t="str">
        <f>"1/1"</f>
        <v>1/1</v>
      </c>
      <c r="K5258" s="1" t="str">
        <f>"2026-07-29 13:18:02"</f>
        <v>2026-07-29 13:18:02</v>
      </c>
      <c r="L5258" s="1" t="str">
        <f>"2018-10-17 13:02:12"</f>
        <v>2018-10-17 13:02:12</v>
      </c>
      <c r="M5258" s="1" t="s">
        <v>0</v>
      </c>
      <c r="N5258" s="1" t="s">
        <v>38</v>
      </c>
      <c r="O5258" s="1" t="s">
        <v>46</v>
      </c>
    </row>
    <row r="5259" spans="2:15" x14ac:dyDescent="0.3">
      <c r="B5259" s="1" t="s">
        <v>23</v>
      </c>
      <c r="C5259" s="1" t="str">
        <f t="shared" si="274"/>
        <v>4차</v>
      </c>
      <c r="D5259" s="1" t="str">
        <f>"0425Z98239"</f>
        <v>0425Z98239</v>
      </c>
      <c r="E5259" s="1" t="s">
        <v>10</v>
      </c>
      <c r="F5259" s="1" t="str">
        <f>"10.11.82.146"</f>
        <v>10.11.82.146</v>
      </c>
      <c r="G5259" s="1" t="str">
        <f>"0425Z982"</f>
        <v>0425Z982</v>
      </c>
      <c r="H5259" s="1" t="str">
        <f>"아차지 11"</f>
        <v>아차지 11</v>
      </c>
      <c r="I5259" s="1" t="s">
        <v>8</v>
      </c>
      <c r="J5259" s="1" t="str">
        <f>"54/54"</f>
        <v>54/54</v>
      </c>
      <c r="K5259" s="1" t="str">
        <f>"2026-07-29 13:18:03"</f>
        <v>2026-07-29 13:18:03</v>
      </c>
      <c r="L5259" s="1" t="str">
        <f>"2018-09-14 16:27:12"</f>
        <v>2018-09-14 16:27:12</v>
      </c>
      <c r="M5259" s="1" t="s">
        <v>2</v>
      </c>
      <c r="N5259" s="1" t="s">
        <v>38</v>
      </c>
      <c r="O5259" s="1" t="s">
        <v>46</v>
      </c>
    </row>
    <row r="5260" spans="2:15" x14ac:dyDescent="0.3">
      <c r="B5260" s="1" t="s">
        <v>23</v>
      </c>
      <c r="C5260" s="1" t="str">
        <f t="shared" si="274"/>
        <v>4차</v>
      </c>
      <c r="D5260" s="1" t="str">
        <f>"0425Z99244"</f>
        <v>0425Z99244</v>
      </c>
      <c r="E5260" s="1" t="s">
        <v>10</v>
      </c>
      <c r="F5260" s="1" t="str">
        <f>"10.11.69.74"</f>
        <v>10.11.69.74</v>
      </c>
      <c r="G5260" s="1" t="str">
        <f>"0425Z992"</f>
        <v>0425Z992</v>
      </c>
      <c r="H5260" s="1" t="str">
        <f>"아차지 16L4"</f>
        <v>아차지 16L4</v>
      </c>
      <c r="I5260" s="1" t="s">
        <v>8</v>
      </c>
      <c r="J5260" s="1" t="str">
        <f>"28/28"</f>
        <v>28/28</v>
      </c>
      <c r="K5260" s="1" t="str">
        <f>"2026-07-29 13:18:03"</f>
        <v>2026-07-29 13:18:03</v>
      </c>
      <c r="L5260" s="1" t="str">
        <f>"2019-10-29 10:53:05"</f>
        <v>2019-10-29 10:53:05</v>
      </c>
      <c r="M5260" s="1" t="s">
        <v>2</v>
      </c>
      <c r="N5260" s="1" t="s">
        <v>38</v>
      </c>
      <c r="O5260" s="1" t="s">
        <v>46</v>
      </c>
    </row>
    <row r="5261" spans="2:15" x14ac:dyDescent="0.3">
      <c r="B5261" s="1" t="s">
        <v>23</v>
      </c>
      <c r="C5261" s="1" t="str">
        <f>"5-1차"</f>
        <v>5-1차</v>
      </c>
      <c r="D5261" s="1" t="str">
        <f>"0426C1025S"</f>
        <v>0426C1025S</v>
      </c>
      <c r="E5261" s="1" t="s">
        <v>10</v>
      </c>
      <c r="F5261" s="1" t="str">
        <f>"fde3:102:1440:4500:0:0:0:7"</f>
        <v>fde3:102:1440:4500:0:0:0:7</v>
      </c>
      <c r="G5261" s="1" t="str">
        <f>"0426C102"</f>
        <v>0426C102</v>
      </c>
      <c r="H5261" s="1" t="str">
        <f>"화동간 15R14R3"</f>
        <v>화동간 15R14R3</v>
      </c>
      <c r="I5261" s="1" t="s">
        <v>15</v>
      </c>
      <c r="J5261" s="1" t="str">
        <f>"24/26"</f>
        <v>24/26</v>
      </c>
      <c r="K5261" s="1" t="str">
        <f>"2026-07-29 14:21:26"</f>
        <v>2026-07-29 14:21:26</v>
      </c>
      <c r="L5261" s="1" t="str">
        <f>"2022-11-02 10:03:17"</f>
        <v>2022-11-02 10:03:17</v>
      </c>
      <c r="M5261" s="1" t="s">
        <v>45</v>
      </c>
      <c r="N5261" s="1" t="s">
        <v>38</v>
      </c>
      <c r="O5261" s="1" t="s">
        <v>46</v>
      </c>
    </row>
    <row r="5262" spans="2:15" x14ac:dyDescent="0.3">
      <c r="B5262" s="1" t="s">
        <v>23</v>
      </c>
      <c r="C5262" s="1" t="str">
        <f>"5-1차"</f>
        <v>5-1차</v>
      </c>
      <c r="D5262" s="1" t="str">
        <f>"0426C1225S"</f>
        <v>0426C1225S</v>
      </c>
      <c r="E5262" s="1" t="s">
        <v>10</v>
      </c>
      <c r="F5262" s="1" t="str">
        <f>"fde3:102:1440:4500:0:0:0:8"</f>
        <v>fde3:102:1440:4500:0:0:0:8</v>
      </c>
      <c r="G5262" s="1" t="str">
        <f>"0426C122"</f>
        <v>0426C122</v>
      </c>
      <c r="H5262" s="1" t="str">
        <f>"화동간 15R14R1"</f>
        <v>화동간 15R14R1</v>
      </c>
      <c r="I5262" s="1" t="s">
        <v>15</v>
      </c>
      <c r="J5262" s="1" t="str">
        <f>"14/14"</f>
        <v>14/14</v>
      </c>
      <c r="K5262" s="1" t="str">
        <f>"2026-07-29 14:21:26"</f>
        <v>2026-07-29 14:21:26</v>
      </c>
      <c r="L5262" s="1" t="str">
        <f>"2022-11-08 09:45:59"</f>
        <v>2022-11-08 09:45:59</v>
      </c>
      <c r="M5262" s="1" t="s">
        <v>45</v>
      </c>
      <c r="N5262" s="1" t="s">
        <v>38</v>
      </c>
      <c r="O5262" s="1" t="s">
        <v>46</v>
      </c>
    </row>
    <row r="5263" spans="2:15" x14ac:dyDescent="0.3">
      <c r="B5263" s="1" t="s">
        <v>23</v>
      </c>
      <c r="C5263" s="1" t="str">
        <f>"5-2차"</f>
        <v>5-2차</v>
      </c>
      <c r="D5263" s="1" t="str">
        <f>"0426C2025M"</f>
        <v>0426C2025M</v>
      </c>
      <c r="E5263" s="1" t="s">
        <v>10</v>
      </c>
      <c r="F5263" s="1" t="str">
        <f>"fde1:103:4:91a4:0:0:0:2"</f>
        <v>fde1:103:4:91a4:0:0:0:2</v>
      </c>
      <c r="G5263" s="1" t="str">
        <f>"0426C202"</f>
        <v>0426C202</v>
      </c>
      <c r="H5263" s="1" t="str">
        <f>"화동간 15R15R4R1"</f>
        <v>화동간 15R15R4R1</v>
      </c>
      <c r="I5263" s="1" t="s">
        <v>15</v>
      </c>
      <c r="J5263" s="1" t="str">
        <f>"40/40"</f>
        <v>40/40</v>
      </c>
      <c r="K5263" s="1" t="str">
        <f>"2026-07-29 14:21:02"</f>
        <v>2026-07-29 14:21:02</v>
      </c>
      <c r="L5263" s="1" t="str">
        <f>"2023-12-21 11:05:07"</f>
        <v>2023-12-21 11:05:07</v>
      </c>
      <c r="M5263" s="1" t="s">
        <v>4</v>
      </c>
      <c r="N5263" s="1" t="s">
        <v>38</v>
      </c>
      <c r="O5263" s="1" t="s">
        <v>46</v>
      </c>
    </row>
    <row r="5264" spans="2:15" x14ac:dyDescent="0.3">
      <c r="B5264" s="1" t="s">
        <v>23</v>
      </c>
      <c r="C5264" s="1" t="str">
        <f>"5-2차"</f>
        <v>5-2차</v>
      </c>
      <c r="D5264" s="1" t="str">
        <f>"0426C2235M"</f>
        <v>0426C2235M</v>
      </c>
      <c r="E5264" s="1" t="s">
        <v>10</v>
      </c>
      <c r="F5264" s="1" t="str">
        <f>"fde3:102:1440:4200:0:0:0:23"</f>
        <v>fde3:102:1440:4200:0:0:0:23</v>
      </c>
      <c r="G5264" s="1" t="str">
        <f>"0426C223"</f>
        <v>0426C223</v>
      </c>
      <c r="H5264" s="1" t="str">
        <f>"화동간 15R16"</f>
        <v>화동간 15R16</v>
      </c>
      <c r="I5264" s="1" t="s">
        <v>15</v>
      </c>
      <c r="J5264" s="1" t="str">
        <f>"54/55"</f>
        <v>54/55</v>
      </c>
      <c r="K5264" s="1" t="str">
        <f>"2026-07-29 14:21:35"</f>
        <v>2026-07-29 14:21:35</v>
      </c>
      <c r="L5264" s="1" t="str">
        <f>"2023-10-11 13:07:28"</f>
        <v>2023-10-11 13:07:28</v>
      </c>
      <c r="M5264" s="1" t="s">
        <v>45</v>
      </c>
      <c r="N5264" s="1" t="s">
        <v>38</v>
      </c>
      <c r="O5264" s="1" t="s">
        <v>46</v>
      </c>
    </row>
    <row r="5265" spans="2:15" x14ac:dyDescent="0.3">
      <c r="B5265" s="1" t="s">
        <v>23</v>
      </c>
      <c r="C5265" s="1" t="str">
        <f>"5-2차"</f>
        <v>5-2차</v>
      </c>
      <c r="D5265" s="1" t="str">
        <f>"0426C3015M"</f>
        <v>0426C3015M</v>
      </c>
      <c r="E5265" s="1" t="s">
        <v>10</v>
      </c>
      <c r="F5265" s="1" t="str">
        <f>"fde3:102:1440:4500:0:0:0:14"</f>
        <v>fde3:102:1440:4500:0:0:0:14</v>
      </c>
      <c r="G5265" s="1" t="str">
        <f>"0426C301"</f>
        <v>0426C301</v>
      </c>
      <c r="H5265" s="1" t="str">
        <f>"화동간 15R15R4L2"</f>
        <v>화동간 15R15R4L2</v>
      </c>
      <c r="I5265" s="1" t="s">
        <v>15</v>
      </c>
      <c r="J5265" s="1" t="str">
        <f>"44/44"</f>
        <v>44/44</v>
      </c>
      <c r="K5265" s="1" t="str">
        <f>"2026-07-29 14:21:25"</f>
        <v>2026-07-29 14:21:25</v>
      </c>
      <c r="L5265" s="1" t="str">
        <f>"2023-09-12 18:39:53"</f>
        <v>2023-09-12 18:39:53</v>
      </c>
      <c r="M5265" s="1" t="s">
        <v>45</v>
      </c>
      <c r="N5265" s="1" t="s">
        <v>38</v>
      </c>
      <c r="O5265" s="1" t="s">
        <v>46</v>
      </c>
    </row>
    <row r="5266" spans="2:15" x14ac:dyDescent="0.3">
      <c r="B5266" s="1" t="s">
        <v>23</v>
      </c>
      <c r="C5266" s="1" t="str">
        <f>"5-2차"</f>
        <v>5-2차</v>
      </c>
      <c r="D5266" s="1" t="str">
        <f>"0426C3135M"</f>
        <v>0426C3135M</v>
      </c>
      <c r="E5266" s="1" t="s">
        <v>10</v>
      </c>
      <c r="F5266" s="1" t="str">
        <f>"fde3:102:1440:4500:0:0:0:15"</f>
        <v>fde3:102:1440:4500:0:0:0:15</v>
      </c>
      <c r="G5266" s="1" t="str">
        <f>"0426C313"</f>
        <v>0426C313</v>
      </c>
      <c r="H5266" s="1" t="str">
        <f>"화동간 15R15R2L2"</f>
        <v>화동간 15R15R2L2</v>
      </c>
      <c r="I5266" s="1" t="s">
        <v>15</v>
      </c>
      <c r="J5266" s="1" t="str">
        <f>"39/39"</f>
        <v>39/39</v>
      </c>
      <c r="K5266" s="1" t="str">
        <f>"2026-07-29 14:20:37"</f>
        <v>2026-07-29 14:20:37</v>
      </c>
      <c r="L5266" s="1" t="str">
        <f>"2023-10-11 13:07:55"</f>
        <v>2023-10-11 13:07:55</v>
      </c>
      <c r="M5266" s="1" t="s">
        <v>45</v>
      </c>
      <c r="N5266" s="1" t="s">
        <v>38</v>
      </c>
      <c r="O5266" s="1" t="s">
        <v>46</v>
      </c>
    </row>
    <row r="5267" spans="2:15" x14ac:dyDescent="0.3">
      <c r="B5267" s="1" t="s">
        <v>23</v>
      </c>
      <c r="C5267" s="1" t="str">
        <f>"5-1차"</f>
        <v>5-1차</v>
      </c>
      <c r="D5267" s="1" t="str">
        <f>"0426C4215M"</f>
        <v>0426C4215M</v>
      </c>
      <c r="E5267" s="1" t="s">
        <v>10</v>
      </c>
      <c r="F5267" s="1" t="str">
        <f>"fde2:104:0:c5:0:0:0:2"</f>
        <v>fde2:104:0:c5:0:0:0:2</v>
      </c>
      <c r="G5267" s="1" t="str">
        <f>"0426C421"</f>
        <v>0426C421</v>
      </c>
      <c r="H5267" s="1" t="str">
        <f>"화동간 15R19"</f>
        <v>화동간 15R19</v>
      </c>
      <c r="I5267" s="1" t="s">
        <v>15</v>
      </c>
      <c r="J5267" s="1" t="str">
        <f>"33/33"</f>
        <v>33/33</v>
      </c>
      <c r="K5267" s="1" t="str">
        <f>"2026-07-29 14:20:39"</f>
        <v>2026-07-29 14:20:39</v>
      </c>
      <c r="L5267" s="1" t="str">
        <f>"2022-11-28 10:00:12"</f>
        <v>2022-11-28 10:00:12</v>
      </c>
      <c r="M5267" s="1" t="s">
        <v>42</v>
      </c>
      <c r="N5267" s="1" t="s">
        <v>38</v>
      </c>
      <c r="O5267" s="1" t="s">
        <v>46</v>
      </c>
    </row>
    <row r="5268" spans="2:15" x14ac:dyDescent="0.3">
      <c r="B5268" s="1" t="s">
        <v>23</v>
      </c>
      <c r="C5268" s="1" t="s">
        <v>16</v>
      </c>
      <c r="D5268" s="1" t="str">
        <f>"0426C50341"</f>
        <v>0426C50341</v>
      </c>
      <c r="E5268" s="1" t="s">
        <v>10</v>
      </c>
      <c r="F5268" s="1" t="str">
        <f>"10.14.4.132"</f>
        <v>10.14.4.132</v>
      </c>
      <c r="G5268" s="1" t="str">
        <f>"0426C503"</f>
        <v>0426C503</v>
      </c>
      <c r="H5268" s="1" t="str">
        <f>"상봉간 8L2"</f>
        <v>상봉간 8L2</v>
      </c>
      <c r="I5268" s="1" t="s">
        <v>17</v>
      </c>
      <c r="J5268" s="1" t="str">
        <f>"22/23"</f>
        <v>22/23</v>
      </c>
      <c r="K5268" s="1" t="str">
        <f>"2026-07-29 13:18:02"</f>
        <v>2026-07-29 13:18:02</v>
      </c>
      <c r="L5268" s="1" t="str">
        <f>"2022-11-08 15:39:59"</f>
        <v>2022-11-08 15:39:59</v>
      </c>
      <c r="M5268" s="1" t="s">
        <v>3</v>
      </c>
      <c r="N5268" s="1" t="s">
        <v>38</v>
      </c>
      <c r="O5268" s="1" t="s">
        <v>46</v>
      </c>
    </row>
    <row r="5269" spans="2:15" x14ac:dyDescent="0.3">
      <c r="B5269" s="1" t="s">
        <v>23</v>
      </c>
      <c r="C5269" s="1" t="str">
        <f>"5-2차"</f>
        <v>5-2차</v>
      </c>
      <c r="D5269" s="1" t="str">
        <f>"0426C6015M"</f>
        <v>0426C6015M</v>
      </c>
      <c r="E5269" s="1" t="s">
        <v>10</v>
      </c>
      <c r="F5269" s="1" t="str">
        <f>"fde3:102:1440:3100:0:0:0:5"</f>
        <v>fde3:102:1440:3100:0:0:0:5</v>
      </c>
      <c r="G5269" s="1" t="str">
        <f>"0426C601"</f>
        <v>0426C601</v>
      </c>
      <c r="H5269" s="1" t="str">
        <f>"상봉간 2R3H1L6"</f>
        <v>상봉간 2R3H1L6</v>
      </c>
      <c r="I5269" s="1" t="s">
        <v>15</v>
      </c>
      <c r="J5269" s="1" t="str">
        <f>"115/115"</f>
        <v>115/115</v>
      </c>
      <c r="K5269" s="1" t="str">
        <f>"2026-07-29 14:21:26"</f>
        <v>2026-07-29 14:21:26</v>
      </c>
      <c r="L5269" s="1" t="str">
        <f>"2023-10-11 10:43:24"</f>
        <v>2023-10-11 10:43:24</v>
      </c>
      <c r="M5269" s="1" t="s">
        <v>45</v>
      </c>
      <c r="N5269" s="1" t="s">
        <v>38</v>
      </c>
      <c r="O5269" s="1" t="s">
        <v>46</v>
      </c>
    </row>
    <row r="5270" spans="2:15" x14ac:dyDescent="0.3">
      <c r="B5270" s="1" t="s">
        <v>23</v>
      </c>
      <c r="C5270" s="1" t="str">
        <f>"6차"</f>
        <v>6차</v>
      </c>
      <c r="D5270" s="1" t="str">
        <f>"0426C8116S"</f>
        <v>0426C8116S</v>
      </c>
      <c r="E5270" s="1" t="s">
        <v>10</v>
      </c>
      <c r="F5270" s="1" t="str">
        <f>"fde1:103:4:c6ee:0:0:0:2"</f>
        <v>fde1:103:4:c6ee:0:0:0:2</v>
      </c>
      <c r="G5270" s="1" t="str">
        <f>"0426C811"</f>
        <v>0426C811</v>
      </c>
      <c r="H5270" s="1" t="str">
        <f>"대원간 5L5"</f>
        <v>대원간 5L5</v>
      </c>
      <c r="I5270" s="1" t="s">
        <v>15</v>
      </c>
      <c r="J5270" s="1" t="str">
        <f>"47/47"</f>
        <v>47/47</v>
      </c>
      <c r="K5270" s="1" t="str">
        <f>"2026-07-29 14:20:34"</f>
        <v>2026-07-29 14:20:34</v>
      </c>
      <c r="L5270" s="1" t="str">
        <f>"2024-12-10 15:44:39"</f>
        <v>2024-12-10 15:44:39</v>
      </c>
      <c r="M5270" s="1" t="s">
        <v>4</v>
      </c>
      <c r="N5270" s="1" t="s">
        <v>38</v>
      </c>
      <c r="O5270" s="1" t="s">
        <v>46</v>
      </c>
    </row>
    <row r="5271" spans="2:15" x14ac:dyDescent="0.3">
      <c r="B5271" s="1" t="s">
        <v>23</v>
      </c>
      <c r="C5271" s="1" t="str">
        <f>"5-1차"</f>
        <v>5-1차</v>
      </c>
      <c r="D5271" s="1" t="str">
        <f>"0426C9125M"</f>
        <v>0426C9125M</v>
      </c>
      <c r="E5271" s="1" t="s">
        <v>10</v>
      </c>
      <c r="F5271" s="1" t="str">
        <f>"fde3:102:1440:3100:0:0:0:3"</f>
        <v>fde3:102:1440:3100:0:0:0:3</v>
      </c>
      <c r="G5271" s="1" t="str">
        <f>"0426C912"</f>
        <v>0426C912</v>
      </c>
      <c r="H5271" s="1" t="str">
        <f>"대원간 5L3"</f>
        <v>대원간 5L3</v>
      </c>
      <c r="I5271" s="1" t="s">
        <v>15</v>
      </c>
      <c r="J5271" s="1" t="str">
        <f>"27/29"</f>
        <v>27/29</v>
      </c>
      <c r="K5271" s="1" t="str">
        <f>"2026-07-29 14:21:28"</f>
        <v>2026-07-29 14:21:28</v>
      </c>
      <c r="L5271" s="1" t="str">
        <f>"2022-11-08 09:37:10"</f>
        <v>2022-11-08 09:37:10</v>
      </c>
      <c r="M5271" s="1" t="s">
        <v>45</v>
      </c>
      <c r="N5271" s="1" t="s">
        <v>38</v>
      </c>
      <c r="O5271" s="1" t="s">
        <v>46</v>
      </c>
    </row>
    <row r="5272" spans="2:15" x14ac:dyDescent="0.3">
      <c r="B5272" s="1" t="s">
        <v>23</v>
      </c>
      <c r="C5272" s="1" t="str">
        <f>"5-2차"</f>
        <v>5-2차</v>
      </c>
      <c r="D5272" s="1" t="str">
        <f>"0426D0035M"</f>
        <v>0426D0035M</v>
      </c>
      <c r="E5272" s="1" t="s">
        <v>10</v>
      </c>
      <c r="F5272" s="1" t="str">
        <f>"fde3:102:1440:4200:0:0:0:1f"</f>
        <v>fde3:102:1440:4200:0:0:0:1f</v>
      </c>
      <c r="G5272" s="1" t="str">
        <f>"0426D003"</f>
        <v>0426D003</v>
      </c>
      <c r="H5272" s="1" t="str">
        <f>"대원간 4"</f>
        <v>대원간 4</v>
      </c>
      <c r="I5272" s="1" t="s">
        <v>15</v>
      </c>
      <c r="J5272" s="1" t="str">
        <f>"42/53"</f>
        <v>42/53</v>
      </c>
      <c r="K5272" s="1" t="str">
        <f>"2026-07-29 14:21:02"</f>
        <v>2026-07-29 14:21:02</v>
      </c>
      <c r="L5272" s="1" t="str">
        <f>"2023-08-23 21:02:09"</f>
        <v>2023-08-23 21:02:09</v>
      </c>
      <c r="M5272" s="1" t="s">
        <v>45</v>
      </c>
      <c r="N5272" s="1" t="s">
        <v>38</v>
      </c>
      <c r="O5272" s="1" t="s">
        <v>46</v>
      </c>
    </row>
    <row r="5273" spans="2:15" x14ac:dyDescent="0.3">
      <c r="B5273" s="1" t="s">
        <v>23</v>
      </c>
      <c r="C5273" s="1" t="str">
        <f>"5-2차"</f>
        <v>5-2차</v>
      </c>
      <c r="D5273" s="1" t="str">
        <f>"0426D0045M"</f>
        <v>0426D0045M</v>
      </c>
      <c r="E5273" s="1" t="s">
        <v>10</v>
      </c>
      <c r="F5273" s="1" t="str">
        <f>"fde3:102:1440:4200:0:0:0:20"</f>
        <v>fde3:102:1440:4200:0:0:0:20</v>
      </c>
      <c r="G5273" s="1" t="str">
        <f>"0426D004"</f>
        <v>0426D004</v>
      </c>
      <c r="H5273" s="1" t="str">
        <f>"대원간 6L1"</f>
        <v>대원간 6L1</v>
      </c>
      <c r="I5273" s="1" t="s">
        <v>15</v>
      </c>
      <c r="J5273" s="1" t="str">
        <f>"1/2"</f>
        <v>1/2</v>
      </c>
      <c r="K5273" s="1" t="str">
        <f>"2026-07-29 14:20:35"</f>
        <v>2026-07-29 14:20:35</v>
      </c>
      <c r="L5273" s="1" t="str">
        <f>"2023-10-11 12:58:04"</f>
        <v>2023-10-11 12:58:04</v>
      </c>
      <c r="M5273" s="1" t="s">
        <v>45</v>
      </c>
      <c r="N5273" s="1" t="s">
        <v>38</v>
      </c>
      <c r="O5273" s="1" t="s">
        <v>46</v>
      </c>
    </row>
    <row r="5274" spans="2:15" x14ac:dyDescent="0.3">
      <c r="B5274" s="1" t="s">
        <v>23</v>
      </c>
      <c r="C5274" s="1" t="str">
        <f>"5-2차"</f>
        <v>5-2차</v>
      </c>
      <c r="D5274" s="1" t="str">
        <f>"0426D2015S"</f>
        <v>0426D2015S</v>
      </c>
      <c r="E5274" s="1" t="s">
        <v>10</v>
      </c>
      <c r="F5274" s="1" t="str">
        <f>"fde3:102:1440:4200:0:0:0:1e"</f>
        <v>fde3:102:1440:4200:0:0:0:1e</v>
      </c>
      <c r="G5274" s="1" t="str">
        <f>"0426D201"</f>
        <v>0426D201</v>
      </c>
      <c r="H5274" s="1" t="str">
        <f>"대원간 8L3L1"</f>
        <v>대원간 8L3L1</v>
      </c>
      <c r="I5274" s="1" t="s">
        <v>15</v>
      </c>
      <c r="J5274" s="1" t="str">
        <f>"49/49"</f>
        <v>49/49</v>
      </c>
      <c r="K5274" s="1" t="str">
        <f>"2026-07-29 14:21:27"</f>
        <v>2026-07-29 14:21:27</v>
      </c>
      <c r="L5274" s="1" t="str">
        <f>"2023-09-21 16:26:26"</f>
        <v>2023-09-21 16:26:26</v>
      </c>
      <c r="M5274" s="1" t="s">
        <v>45</v>
      </c>
      <c r="N5274" s="1" t="s">
        <v>38</v>
      </c>
      <c r="O5274" s="1" t="s">
        <v>46</v>
      </c>
    </row>
    <row r="5275" spans="2:15" x14ac:dyDescent="0.3">
      <c r="B5275" s="1" t="s">
        <v>23</v>
      </c>
      <c r="C5275" s="1" t="str">
        <f>"5-1차"</f>
        <v>5-1차</v>
      </c>
      <c r="D5275" s="1" t="str">
        <f>"0426D4125S"</f>
        <v>0426D4125S</v>
      </c>
      <c r="E5275" s="1" t="s">
        <v>10</v>
      </c>
      <c r="F5275" s="1" t="str">
        <f>"fde2:104:0:123:0:0:0:2"</f>
        <v>fde2:104:0:123:0:0:0:2</v>
      </c>
      <c r="G5275" s="1" t="str">
        <f>"0426D412"</f>
        <v>0426D412</v>
      </c>
      <c r="H5275" s="1" t="str">
        <f>"대원간 8L6L3"</f>
        <v>대원간 8L6L3</v>
      </c>
      <c r="I5275" s="1" t="s">
        <v>15</v>
      </c>
      <c r="J5275" s="1" t="str">
        <f>"114/115"</f>
        <v>114/115</v>
      </c>
      <c r="K5275" s="1" t="str">
        <f>"2026-07-29 14:21:04"</f>
        <v>2026-07-29 14:21:04</v>
      </c>
      <c r="L5275" s="1" t="str">
        <f>"2022-09-30 15:49:49"</f>
        <v>2022-09-30 15:49:49</v>
      </c>
      <c r="M5275" s="1" t="s">
        <v>42</v>
      </c>
      <c r="N5275" s="1" t="s">
        <v>38</v>
      </c>
      <c r="O5275" s="1" t="s">
        <v>46</v>
      </c>
    </row>
    <row r="5276" spans="2:15" x14ac:dyDescent="0.3">
      <c r="B5276" s="1" t="s">
        <v>23</v>
      </c>
      <c r="C5276" s="1" t="str">
        <f t="shared" ref="C5276:C5283" si="275">"5-2차"</f>
        <v>5-2차</v>
      </c>
      <c r="D5276" s="1" t="str">
        <f>"0426P0115S"</f>
        <v>0426P0115S</v>
      </c>
      <c r="E5276" s="1" t="s">
        <v>10</v>
      </c>
      <c r="F5276" s="1" t="str">
        <f>"fde3:102:1440:4300:0:0:0:15"</f>
        <v>fde3:102:1440:4300:0:0:0:15</v>
      </c>
      <c r="G5276" s="1" t="str">
        <f>"0426P011"</f>
        <v>0426P011</v>
      </c>
      <c r="H5276" s="1" t="str">
        <f>"화수간 15R3R5"</f>
        <v>화수간 15R3R5</v>
      </c>
      <c r="I5276" s="1" t="s">
        <v>15</v>
      </c>
      <c r="J5276" s="1" t="str">
        <f>"55/55"</f>
        <v>55/55</v>
      </c>
      <c r="K5276" s="1" t="str">
        <f>"2026-07-29 14:20:44"</f>
        <v>2026-07-29 14:20:44</v>
      </c>
      <c r="L5276" s="1" t="str">
        <f>"2023-08-07 18:25:16"</f>
        <v>2023-08-07 18:25:16</v>
      </c>
      <c r="M5276" s="1" t="s">
        <v>45</v>
      </c>
      <c r="N5276" s="1" t="s">
        <v>38</v>
      </c>
      <c r="O5276" s="1" t="s">
        <v>46</v>
      </c>
    </row>
    <row r="5277" spans="2:15" x14ac:dyDescent="0.3">
      <c r="B5277" s="1" t="s">
        <v>23</v>
      </c>
      <c r="C5277" s="1" t="str">
        <f t="shared" si="275"/>
        <v>5-2차</v>
      </c>
      <c r="D5277" s="1" t="str">
        <f>"0426P0615M"</f>
        <v>0426P0615M</v>
      </c>
      <c r="E5277" s="1" t="s">
        <v>10</v>
      </c>
      <c r="F5277" s="1" t="str">
        <f>"fde3:102:1440:4500:0:0:0:16"</f>
        <v>fde3:102:1440:4500:0:0:0:16</v>
      </c>
      <c r="G5277" s="1" t="str">
        <f>"0426P061"</f>
        <v>0426P061</v>
      </c>
      <c r="H5277" s="1" t="str">
        <f>"상봉간 1L5L1"</f>
        <v>상봉간 1L5L1</v>
      </c>
      <c r="I5277" s="1" t="s">
        <v>15</v>
      </c>
      <c r="J5277" s="1" t="str">
        <f>"36/36"</f>
        <v>36/36</v>
      </c>
      <c r="K5277" s="1" t="str">
        <f>"2026-07-29 14:20:44"</f>
        <v>2026-07-29 14:20:44</v>
      </c>
      <c r="L5277" s="1" t="str">
        <f>"2023-06-26 15:37:00"</f>
        <v>2023-06-26 15:37:00</v>
      </c>
      <c r="M5277" s="1" t="s">
        <v>45</v>
      </c>
      <c r="N5277" s="1" t="s">
        <v>38</v>
      </c>
      <c r="O5277" s="1" t="s">
        <v>46</v>
      </c>
    </row>
    <row r="5278" spans="2:15" x14ac:dyDescent="0.3">
      <c r="B5278" s="1" t="s">
        <v>23</v>
      </c>
      <c r="C5278" s="1" t="str">
        <f t="shared" si="275"/>
        <v>5-2차</v>
      </c>
      <c r="D5278" s="1" t="str">
        <f>"0426P0715M"</f>
        <v>0426P0715M</v>
      </c>
      <c r="E5278" s="1" t="s">
        <v>10</v>
      </c>
      <c r="F5278" s="1" t="str">
        <f>"fde3:102:1440:4500:0:0:0:17"</f>
        <v>fde3:102:1440:4500:0:0:0:17</v>
      </c>
      <c r="G5278" s="1" t="str">
        <f>"0426P071"</f>
        <v>0426P071</v>
      </c>
      <c r="H5278" s="1" t="str">
        <f>"상봉간 1L6"</f>
        <v>상봉간 1L6</v>
      </c>
      <c r="I5278" s="1" t="s">
        <v>15</v>
      </c>
      <c r="J5278" s="1" t="str">
        <f>"58/58"</f>
        <v>58/58</v>
      </c>
      <c r="K5278" s="1" t="str">
        <f>"2026-07-29 14:20:47"</f>
        <v>2026-07-29 14:20:47</v>
      </c>
      <c r="L5278" s="1" t="str">
        <f>"2023-10-11 11:11:23"</f>
        <v>2023-10-11 11:11:23</v>
      </c>
      <c r="M5278" s="1" t="s">
        <v>45</v>
      </c>
      <c r="N5278" s="1" t="s">
        <v>38</v>
      </c>
      <c r="O5278" s="1" t="s">
        <v>46</v>
      </c>
    </row>
    <row r="5279" spans="2:15" x14ac:dyDescent="0.3">
      <c r="B5279" s="1" t="s">
        <v>23</v>
      </c>
      <c r="C5279" s="1" t="str">
        <f t="shared" si="275"/>
        <v>5-2차</v>
      </c>
      <c r="D5279" s="1" t="str">
        <f>"0426P0815M"</f>
        <v>0426P0815M</v>
      </c>
      <c r="E5279" s="1" t="s">
        <v>10</v>
      </c>
      <c r="F5279" s="1" t="str">
        <f>"fde3:102:1440:4500:0:0:0:18"</f>
        <v>fde3:102:1440:4500:0:0:0:18</v>
      </c>
      <c r="G5279" s="1" t="str">
        <f>"0426P081"</f>
        <v>0426P081</v>
      </c>
      <c r="H5279" s="1" t="str">
        <f>"상봉간 1L7"</f>
        <v>상봉간 1L7</v>
      </c>
      <c r="I5279" s="1" t="s">
        <v>15</v>
      </c>
      <c r="J5279" s="1" t="str">
        <f>"36/36"</f>
        <v>36/36</v>
      </c>
      <c r="K5279" s="1" t="str">
        <f>"2026-07-29 14:21:29"</f>
        <v>2026-07-29 14:21:29</v>
      </c>
      <c r="L5279" s="1" t="str">
        <f>"2023-08-22 17:33:56"</f>
        <v>2023-08-22 17:33:56</v>
      </c>
      <c r="M5279" s="1" t="s">
        <v>45</v>
      </c>
      <c r="N5279" s="1" t="s">
        <v>38</v>
      </c>
      <c r="O5279" s="1" t="s">
        <v>46</v>
      </c>
    </row>
    <row r="5280" spans="2:15" x14ac:dyDescent="0.3">
      <c r="B5280" s="1" t="s">
        <v>23</v>
      </c>
      <c r="C5280" s="1" t="str">
        <f t="shared" si="275"/>
        <v>5-2차</v>
      </c>
      <c r="D5280" s="1" t="str">
        <f>"0426P0935S"</f>
        <v>0426P0935S</v>
      </c>
      <c r="E5280" s="1" t="s">
        <v>10</v>
      </c>
      <c r="F5280" s="1" t="str">
        <f>"fde3:102:1440:4500:0:0:0:19"</f>
        <v>fde3:102:1440:4500:0:0:0:19</v>
      </c>
      <c r="G5280" s="1" t="str">
        <f>"0426P093"</f>
        <v>0426P093</v>
      </c>
      <c r="H5280" s="1" t="str">
        <f>"상봉간 1L8"</f>
        <v>상봉간 1L8</v>
      </c>
      <c r="I5280" s="1" t="s">
        <v>15</v>
      </c>
      <c r="J5280" s="1" t="str">
        <f>"66/66"</f>
        <v>66/66</v>
      </c>
      <c r="K5280" s="1" t="str">
        <f>"2026-07-29 14:20:44"</f>
        <v>2026-07-29 14:20:44</v>
      </c>
      <c r="L5280" s="1" t="str">
        <f>"2023-07-05 16:52:51"</f>
        <v>2023-07-05 16:52:51</v>
      </c>
      <c r="M5280" s="1" t="s">
        <v>45</v>
      </c>
      <c r="N5280" s="1" t="s">
        <v>38</v>
      </c>
      <c r="O5280" s="1" t="s">
        <v>46</v>
      </c>
    </row>
    <row r="5281" spans="2:15" x14ac:dyDescent="0.3">
      <c r="B5281" s="1" t="s">
        <v>23</v>
      </c>
      <c r="C5281" s="1" t="str">
        <f t="shared" si="275"/>
        <v>5-2차</v>
      </c>
      <c r="D5281" s="1" t="str">
        <f>"0426P1225S"</f>
        <v>0426P1225S</v>
      </c>
      <c r="E5281" s="1" t="s">
        <v>10</v>
      </c>
      <c r="F5281" s="1" t="str">
        <f>"fde3:102:1440:4100:0:0:0:5"</f>
        <v>fde3:102:1440:4100:0:0:0:5</v>
      </c>
      <c r="G5281" s="1" t="str">
        <f>"0426P122"</f>
        <v>0426P122</v>
      </c>
      <c r="H5281" s="1" t="str">
        <f>"화수간 10R3"</f>
        <v>화수간 10R3</v>
      </c>
      <c r="I5281" s="1" t="s">
        <v>15</v>
      </c>
      <c r="J5281" s="1" t="str">
        <f>"62/62"</f>
        <v>62/62</v>
      </c>
      <c r="K5281" s="1" t="str">
        <f>"2026-07-29 14:20:44"</f>
        <v>2026-07-29 14:20:44</v>
      </c>
      <c r="L5281" s="1" t="str">
        <f>"2023-09-27 11:27:09"</f>
        <v>2023-09-27 11:27:09</v>
      </c>
      <c r="M5281" s="1" t="s">
        <v>45</v>
      </c>
      <c r="N5281" s="1" t="s">
        <v>38</v>
      </c>
      <c r="O5281" s="1" t="s">
        <v>46</v>
      </c>
    </row>
    <row r="5282" spans="2:15" x14ac:dyDescent="0.3">
      <c r="B5282" s="1" t="s">
        <v>23</v>
      </c>
      <c r="C5282" s="1" t="str">
        <f t="shared" si="275"/>
        <v>5-2차</v>
      </c>
      <c r="D5282" s="1" t="str">
        <f>"0426P1335M"</f>
        <v>0426P1335M</v>
      </c>
      <c r="E5282" s="1" t="s">
        <v>10</v>
      </c>
      <c r="F5282" s="1" t="str">
        <f>"fde1:103:4:915f:0:0:0:2"</f>
        <v>fde1:103:4:915f:0:0:0:2</v>
      </c>
      <c r="G5282" s="1" t="str">
        <f>"0426P133"</f>
        <v>0426P133</v>
      </c>
      <c r="H5282" s="1" t="str">
        <f>"화수간 10R4R2"</f>
        <v>화수간 10R4R2</v>
      </c>
      <c r="I5282" s="1" t="s">
        <v>15</v>
      </c>
      <c r="J5282" s="1" t="str">
        <f>"74/74"</f>
        <v>74/74</v>
      </c>
      <c r="K5282" s="1" t="str">
        <f>"2026-07-29 14:20:45"</f>
        <v>2026-07-29 14:20:45</v>
      </c>
      <c r="L5282" s="1" t="str">
        <f>"2024-01-08 10:56:14"</f>
        <v>2024-01-08 10:56:14</v>
      </c>
      <c r="M5282" s="1" t="s">
        <v>4</v>
      </c>
      <c r="N5282" s="1" t="s">
        <v>38</v>
      </c>
      <c r="O5282" s="1" t="s">
        <v>46</v>
      </c>
    </row>
    <row r="5283" spans="2:15" x14ac:dyDescent="0.3">
      <c r="B5283" s="1" t="s">
        <v>23</v>
      </c>
      <c r="C5283" s="1" t="str">
        <f t="shared" si="275"/>
        <v>5-2차</v>
      </c>
      <c r="D5283" s="1" t="str">
        <f>"0426P1415M"</f>
        <v>0426P1415M</v>
      </c>
      <c r="E5283" s="1" t="s">
        <v>10</v>
      </c>
      <c r="F5283" s="1" t="str">
        <f>"fde3:102:1440:4500:0:0:0:1b"</f>
        <v>fde3:102:1440:4500:0:0:0:1b</v>
      </c>
      <c r="G5283" s="1" t="str">
        <f>"0426P141"</f>
        <v>0426P141</v>
      </c>
      <c r="H5283" s="1" t="str">
        <f>"화동간 8"</f>
        <v>화동간 8</v>
      </c>
      <c r="I5283" s="1" t="s">
        <v>15</v>
      </c>
      <c r="J5283" s="1" t="str">
        <f>"107/107"</f>
        <v>107/107</v>
      </c>
      <c r="K5283" s="1" t="str">
        <f>"2026-07-29 14:21:29"</f>
        <v>2026-07-29 14:21:29</v>
      </c>
      <c r="L5283" s="1" t="str">
        <f>"2023-10-11 11:31:20"</f>
        <v>2023-10-11 11:31:20</v>
      </c>
      <c r="M5283" s="1" t="s">
        <v>45</v>
      </c>
      <c r="N5283" s="1" t="s">
        <v>38</v>
      </c>
      <c r="O5283" s="1" t="s">
        <v>46</v>
      </c>
    </row>
    <row r="5284" spans="2:15" x14ac:dyDescent="0.3">
      <c r="B5284" s="1" t="s">
        <v>23</v>
      </c>
      <c r="C5284" s="1" t="str">
        <f>"5-1차"</f>
        <v>5-1차</v>
      </c>
      <c r="D5284" s="1" t="str">
        <f>"0426P1715M"</f>
        <v>0426P1715M</v>
      </c>
      <c r="E5284" s="1" t="s">
        <v>10</v>
      </c>
      <c r="F5284" s="1" t="str">
        <f>"fde3:102:1440:4500:0:0:0:9"</f>
        <v>fde3:102:1440:4500:0:0:0:9</v>
      </c>
      <c r="G5284" s="1" t="str">
        <f>"0426P171"</f>
        <v>0426P171</v>
      </c>
      <c r="H5284" s="1" t="str">
        <f>"상봉간 1L5"</f>
        <v>상봉간 1L5</v>
      </c>
      <c r="I5284" s="1" t="s">
        <v>15</v>
      </c>
      <c r="J5284" s="1" t="str">
        <f>"8/8"</f>
        <v>8/8</v>
      </c>
      <c r="K5284" s="1" t="str">
        <f>"2026-07-29 14:21:32"</f>
        <v>2026-07-29 14:21:32</v>
      </c>
      <c r="L5284" s="1" t="str">
        <f>"2022-11-01 11:09:40"</f>
        <v>2022-11-01 11:09:40</v>
      </c>
      <c r="M5284" s="1" t="s">
        <v>45</v>
      </c>
      <c r="N5284" s="1" t="s">
        <v>38</v>
      </c>
      <c r="O5284" s="1" t="s">
        <v>46</v>
      </c>
    </row>
    <row r="5285" spans="2:15" x14ac:dyDescent="0.3">
      <c r="B5285" s="1" t="s">
        <v>23</v>
      </c>
      <c r="C5285" s="1" t="str">
        <f>"5-1차"</f>
        <v>5-1차</v>
      </c>
      <c r="D5285" s="1" t="str">
        <f>"0426P1915M"</f>
        <v>0426P1915M</v>
      </c>
      <c r="E5285" s="1" t="s">
        <v>10</v>
      </c>
      <c r="F5285" s="1" t="str">
        <f>"fde3:102:1440:4500:0:0:0:4"</f>
        <v>fde3:102:1440:4500:0:0:0:4</v>
      </c>
      <c r="G5285" s="1" t="str">
        <f>"0426P191"</f>
        <v>0426P191</v>
      </c>
      <c r="H5285" s="1" t="str">
        <f>"상봉간 1L5R2"</f>
        <v>상봉간 1L5R2</v>
      </c>
      <c r="I5285" s="1" t="s">
        <v>15</v>
      </c>
      <c r="J5285" s="1" t="str">
        <f>"25/25"</f>
        <v>25/25</v>
      </c>
      <c r="K5285" s="1" t="str">
        <f>"2026-07-29 14:20:45"</f>
        <v>2026-07-29 14:20:45</v>
      </c>
      <c r="L5285" s="1" t="str">
        <f>"2022-10-27 11:00:59"</f>
        <v>2022-10-27 11:00:59</v>
      </c>
      <c r="M5285" s="1" t="s">
        <v>45</v>
      </c>
      <c r="N5285" s="1" t="s">
        <v>38</v>
      </c>
      <c r="O5285" s="1" t="s">
        <v>46</v>
      </c>
    </row>
    <row r="5286" spans="2:15" x14ac:dyDescent="0.3">
      <c r="B5286" s="1" t="s">
        <v>23</v>
      </c>
      <c r="C5286" s="1" t="str">
        <f>"5-1차"</f>
        <v>5-1차</v>
      </c>
      <c r="D5286" s="1" t="str">
        <f>"0426P2115M"</f>
        <v>0426P2115M</v>
      </c>
      <c r="E5286" s="1" t="s">
        <v>10</v>
      </c>
      <c r="F5286" s="1" t="str">
        <f>"fde3:102:1440:4400:0:0:0:5"</f>
        <v>fde3:102:1440:4400:0:0:0:5</v>
      </c>
      <c r="G5286" s="1" t="str">
        <f>"0426P211"</f>
        <v>0426P211</v>
      </c>
      <c r="H5286" s="1" t="str">
        <f>"화수간 11"</f>
        <v>화수간 11</v>
      </c>
      <c r="I5286" s="1" t="s">
        <v>15</v>
      </c>
      <c r="J5286" s="1" t="str">
        <f>"20/20"</f>
        <v>20/20</v>
      </c>
      <c r="K5286" s="1" t="str">
        <f>"2026-07-29 14:21:03"</f>
        <v>2026-07-29 14:21:03</v>
      </c>
      <c r="L5286" s="1" t="str">
        <f>"2022-10-26 16:05:00"</f>
        <v>2022-10-26 16:05:00</v>
      </c>
      <c r="M5286" s="1" t="s">
        <v>45</v>
      </c>
      <c r="N5286" s="1" t="s">
        <v>38</v>
      </c>
      <c r="O5286" s="1" t="s">
        <v>46</v>
      </c>
    </row>
    <row r="5287" spans="2:15" x14ac:dyDescent="0.3">
      <c r="B5287" s="1" t="s">
        <v>23</v>
      </c>
      <c r="C5287" s="1" t="str">
        <f t="shared" ref="C5287:C5293" si="276">"5-2차"</f>
        <v>5-2차</v>
      </c>
      <c r="D5287" s="1" t="str">
        <f>"0426P2415M"</f>
        <v>0426P2415M</v>
      </c>
      <c r="E5287" s="1" t="s">
        <v>10</v>
      </c>
      <c r="F5287" s="1" t="str">
        <f>"fde3:102:1440:4300:0:0:0:10"</f>
        <v>fde3:102:1440:4300:0:0:0:10</v>
      </c>
      <c r="G5287" s="1" t="str">
        <f>"0426P241"</f>
        <v>0426P241</v>
      </c>
      <c r="H5287" s="1" t="str">
        <f>"화동간 6"</f>
        <v>화동간 6</v>
      </c>
      <c r="I5287" s="1" t="s">
        <v>15</v>
      </c>
      <c r="J5287" s="1" t="str">
        <f>"109/118"</f>
        <v>109/118</v>
      </c>
      <c r="K5287" s="1" t="str">
        <f>"2026-07-29 14:20:45"</f>
        <v>2026-07-29 14:20:45</v>
      </c>
      <c r="L5287" s="1" t="str">
        <f>"2023-06-20 22:04:56"</f>
        <v>2023-06-20 22:04:56</v>
      </c>
      <c r="M5287" s="1" t="s">
        <v>45</v>
      </c>
      <c r="N5287" s="1" t="s">
        <v>38</v>
      </c>
      <c r="O5287" s="1" t="s">
        <v>46</v>
      </c>
    </row>
    <row r="5288" spans="2:15" x14ac:dyDescent="0.3">
      <c r="B5288" s="1" t="s">
        <v>23</v>
      </c>
      <c r="C5288" s="1" t="str">
        <f t="shared" si="276"/>
        <v>5-2차</v>
      </c>
      <c r="D5288" s="1" t="str">
        <f>"0426P2435S"</f>
        <v>0426P2435S</v>
      </c>
      <c r="E5288" s="1" t="s">
        <v>10</v>
      </c>
      <c r="F5288" s="1" t="str">
        <f>"fde3:102:1440:4300:0:0:0:11"</f>
        <v>fde3:102:1440:4300:0:0:0:11</v>
      </c>
      <c r="G5288" s="1" t="str">
        <f>"0426P243"</f>
        <v>0426P243</v>
      </c>
      <c r="H5288" s="1" t="str">
        <f>"화동간 6L1"</f>
        <v>화동간 6L1</v>
      </c>
      <c r="I5288" s="1" t="s">
        <v>15</v>
      </c>
      <c r="J5288" s="1" t="str">
        <f>"41/43"</f>
        <v>41/43</v>
      </c>
      <c r="K5288" s="1" t="str">
        <f>"2026-07-29 14:20:57"</f>
        <v>2026-07-29 14:20:57</v>
      </c>
      <c r="L5288" s="1" t="str">
        <f>"2023-09-26 15:05:49"</f>
        <v>2023-09-26 15:05:49</v>
      </c>
      <c r="M5288" s="1" t="s">
        <v>45</v>
      </c>
      <c r="N5288" s="1" t="s">
        <v>38</v>
      </c>
      <c r="O5288" s="1" t="s">
        <v>46</v>
      </c>
    </row>
    <row r="5289" spans="2:15" x14ac:dyDescent="0.3">
      <c r="B5289" s="1" t="s">
        <v>23</v>
      </c>
      <c r="C5289" s="1" t="str">
        <f t="shared" si="276"/>
        <v>5-2차</v>
      </c>
      <c r="D5289" s="1" t="str">
        <f>"0426P2515M"</f>
        <v>0426P2515M</v>
      </c>
      <c r="E5289" s="1" t="s">
        <v>10</v>
      </c>
      <c r="F5289" s="1" t="str">
        <f>"fde3:102:1440:4800:0:0:0:26"</f>
        <v>fde3:102:1440:4800:0:0:0:26</v>
      </c>
      <c r="G5289" s="1" t="str">
        <f>"0426P251"</f>
        <v>0426P251</v>
      </c>
      <c r="H5289" s="1" t="str">
        <f>"화동간 6R1"</f>
        <v>화동간 6R1</v>
      </c>
      <c r="I5289" s="1" t="s">
        <v>15</v>
      </c>
      <c r="J5289" s="1" t="str">
        <f>"102/105"</f>
        <v>102/105</v>
      </c>
      <c r="K5289" s="1" t="str">
        <f>"2026-07-29 14:20:45"</f>
        <v>2026-07-29 14:20:45</v>
      </c>
      <c r="L5289" s="1" t="str">
        <f>"2024-01-09 10:42:47"</f>
        <v>2024-01-09 10:42:47</v>
      </c>
      <c r="M5289" s="1" t="s">
        <v>45</v>
      </c>
      <c r="N5289" s="1" t="s">
        <v>38</v>
      </c>
      <c r="O5289" s="1" t="s">
        <v>46</v>
      </c>
    </row>
    <row r="5290" spans="2:15" x14ac:dyDescent="0.3">
      <c r="B5290" s="1" t="s">
        <v>23</v>
      </c>
      <c r="C5290" s="1" t="str">
        <f t="shared" si="276"/>
        <v>5-2차</v>
      </c>
      <c r="D5290" s="1" t="str">
        <f>"0426P2635S"</f>
        <v>0426P2635S</v>
      </c>
      <c r="E5290" s="1" t="s">
        <v>10</v>
      </c>
      <c r="F5290" s="1" t="str">
        <f>"fde1:103:4:5903:0:0:0:2"</f>
        <v>fde1:103:4:5903:0:0:0:2</v>
      </c>
      <c r="G5290" s="1" t="str">
        <f>"0426P263"</f>
        <v>0426P263</v>
      </c>
      <c r="H5290" s="1" t="str">
        <f>"상봉간 1L3"</f>
        <v>상봉간 1L3</v>
      </c>
      <c r="I5290" s="1" t="s">
        <v>15</v>
      </c>
      <c r="J5290" s="1" t="str">
        <f>"109/109"</f>
        <v>109/109</v>
      </c>
      <c r="K5290" s="1" t="str">
        <f>"2026-07-29 14:20:46"</f>
        <v>2026-07-29 14:20:46</v>
      </c>
      <c r="L5290" s="1" t="str">
        <f>"2024-02-29 09:07:01"</f>
        <v>2024-02-29 09:07:01</v>
      </c>
      <c r="M5290" s="1" t="s">
        <v>4</v>
      </c>
      <c r="N5290" s="1" t="s">
        <v>38</v>
      </c>
      <c r="O5290" s="1" t="s">
        <v>46</v>
      </c>
    </row>
    <row r="5291" spans="2:15" x14ac:dyDescent="0.3">
      <c r="B5291" s="1" t="s">
        <v>23</v>
      </c>
      <c r="C5291" s="1" t="str">
        <f t="shared" si="276"/>
        <v>5-2차</v>
      </c>
      <c r="D5291" s="1" t="str">
        <f>"0426P2665M"</f>
        <v>0426P2665M</v>
      </c>
      <c r="E5291" s="1" t="s">
        <v>10</v>
      </c>
      <c r="F5291" s="1" t="str">
        <f>"fde1:103:4:91a0:0:0:0:2"</f>
        <v>fde1:103:4:91a0:0:0:0:2</v>
      </c>
      <c r="G5291" s="1" t="str">
        <f>"0426P266"</f>
        <v>0426P266</v>
      </c>
      <c r="H5291" s="1" t="str">
        <f>"상봉간 1L2"</f>
        <v>상봉간 1L2</v>
      </c>
      <c r="I5291" s="1" t="s">
        <v>15</v>
      </c>
      <c r="J5291" s="1" t="str">
        <f>"78/78"</f>
        <v>78/78</v>
      </c>
      <c r="K5291" s="1" t="str">
        <f>"2026-07-29 14:20:36"</f>
        <v>2026-07-29 14:20:36</v>
      </c>
      <c r="L5291" s="1" t="str">
        <f>"2023-12-21 11:26:27"</f>
        <v>2023-12-21 11:26:27</v>
      </c>
      <c r="M5291" s="1" t="s">
        <v>4</v>
      </c>
      <c r="N5291" s="1" t="s">
        <v>38</v>
      </c>
      <c r="O5291" s="1" t="s">
        <v>46</v>
      </c>
    </row>
    <row r="5292" spans="2:15" x14ac:dyDescent="0.3">
      <c r="B5292" s="1" t="s">
        <v>23</v>
      </c>
      <c r="C5292" s="1" t="str">
        <f t="shared" si="276"/>
        <v>5-2차</v>
      </c>
      <c r="D5292" s="1" t="str">
        <f>"0426P2715M"</f>
        <v>0426P2715M</v>
      </c>
      <c r="E5292" s="1" t="s">
        <v>10</v>
      </c>
      <c r="F5292" s="1" t="str">
        <f>"fde3:102:1440:4500:0:0:0:1a"</f>
        <v>fde3:102:1440:4500:0:0:0:1a</v>
      </c>
      <c r="G5292" s="1" t="str">
        <f>"0426P271"</f>
        <v>0426P271</v>
      </c>
      <c r="H5292" s="1" t="str">
        <f>"상봉간 1L4"</f>
        <v>상봉간 1L4</v>
      </c>
      <c r="I5292" s="1" t="s">
        <v>15</v>
      </c>
      <c r="J5292" s="1" t="str">
        <f>"153/156"</f>
        <v>153/156</v>
      </c>
      <c r="K5292" s="1" t="str">
        <f>"2026-07-29 14:20:45"</f>
        <v>2026-07-29 14:20:45</v>
      </c>
      <c r="L5292" s="1" t="str">
        <f>"2023-10-16 16:31:11"</f>
        <v>2023-10-16 16:31:11</v>
      </c>
      <c r="M5292" s="1" t="s">
        <v>45</v>
      </c>
      <c r="N5292" s="1" t="s">
        <v>38</v>
      </c>
      <c r="O5292" s="1" t="s">
        <v>46</v>
      </c>
    </row>
    <row r="5293" spans="2:15" x14ac:dyDescent="0.3">
      <c r="B5293" s="1" t="s">
        <v>23</v>
      </c>
      <c r="C5293" s="1" t="str">
        <f t="shared" si="276"/>
        <v>5-2차</v>
      </c>
      <c r="D5293" s="1" t="str">
        <f>"0426P2925S"</f>
        <v>0426P2925S</v>
      </c>
      <c r="E5293" s="1" t="s">
        <v>10</v>
      </c>
      <c r="F5293" s="1" t="str">
        <f>"fde3:102:1440:4500:0:0:0:10"</f>
        <v>fde3:102:1440:4500:0:0:0:10</v>
      </c>
      <c r="G5293" s="1" t="str">
        <f>"0426P292"</f>
        <v>0426P292</v>
      </c>
      <c r="H5293" s="1" t="str">
        <f>"상봉간 1L5R4"</f>
        <v>상봉간 1L5R4</v>
      </c>
      <c r="I5293" s="1" t="s">
        <v>15</v>
      </c>
      <c r="J5293" s="1" t="str">
        <f>"43/43"</f>
        <v>43/43</v>
      </c>
      <c r="K5293" s="1" t="str">
        <f>"2026-07-29 14:20:45"</f>
        <v>2026-07-29 14:20:45</v>
      </c>
      <c r="L5293" s="1" t="str">
        <f>"2023-07-05 16:34:06"</f>
        <v>2023-07-05 16:34:06</v>
      </c>
      <c r="M5293" s="1" t="s">
        <v>45</v>
      </c>
      <c r="N5293" s="1" t="s">
        <v>38</v>
      </c>
      <c r="O5293" s="1" t="s">
        <v>46</v>
      </c>
    </row>
    <row r="5294" spans="2:15" x14ac:dyDescent="0.3">
      <c r="B5294" s="1" t="s">
        <v>23</v>
      </c>
      <c r="C5294" s="1" t="str">
        <f>"6차"</f>
        <v>6차</v>
      </c>
      <c r="D5294" s="1" t="str">
        <f>"0426P3226S"</f>
        <v>0426P3226S</v>
      </c>
      <c r="E5294" s="1" t="s">
        <v>10</v>
      </c>
      <c r="F5294" s="1" t="str">
        <f>"fde3:102:1440:4300:0:0:0:20"</f>
        <v>fde3:102:1440:4300:0:0:0:20</v>
      </c>
      <c r="G5294" s="1" t="str">
        <f>"0426P322"</f>
        <v>0426P322</v>
      </c>
      <c r="H5294" s="1" t="str">
        <f>"화수간 10"</f>
        <v>화수간 10</v>
      </c>
      <c r="I5294" s="1" t="s">
        <v>15</v>
      </c>
      <c r="J5294" s="1" t="str">
        <f>"79/86"</f>
        <v>79/86</v>
      </c>
      <c r="K5294" s="1" t="str">
        <f>"2026-07-29 14:21:29"</f>
        <v>2026-07-29 14:21:29</v>
      </c>
      <c r="L5294" s="1" t="str">
        <f>"2024-10-12 10:04:27"</f>
        <v>2024-10-12 10:04:27</v>
      </c>
      <c r="M5294" s="1" t="s">
        <v>45</v>
      </c>
      <c r="N5294" s="1" t="s">
        <v>38</v>
      </c>
      <c r="O5294" s="1" t="s">
        <v>46</v>
      </c>
    </row>
    <row r="5295" spans="2:15" x14ac:dyDescent="0.3">
      <c r="B5295" s="1" t="s">
        <v>23</v>
      </c>
      <c r="C5295" s="1" t="s">
        <v>16</v>
      </c>
      <c r="D5295" s="1" t="str">
        <f>"0426P33241"</f>
        <v>0426P33241</v>
      </c>
      <c r="E5295" s="1" t="s">
        <v>10</v>
      </c>
      <c r="F5295" s="1" t="str">
        <f>"10.14.10.201"</f>
        <v>10.14.10.201</v>
      </c>
      <c r="G5295" s="1" t="str">
        <f>"0426P332"</f>
        <v>0426P332</v>
      </c>
      <c r="H5295" s="1" t="str">
        <f>"화수간 7"</f>
        <v>화수간 7</v>
      </c>
      <c r="I5295" s="1" t="s">
        <v>17</v>
      </c>
      <c r="J5295" s="1" t="str">
        <f>"16/24"</f>
        <v>16/24</v>
      </c>
      <c r="K5295" s="1" t="str">
        <f>"2026-07-29 13:18:01"</f>
        <v>2026-07-29 13:18:01</v>
      </c>
      <c r="L5295" s="1" t="str">
        <f>"2022-11-08 16:43:39"</f>
        <v>2022-11-08 16:43:39</v>
      </c>
      <c r="M5295" s="1" t="s">
        <v>3</v>
      </c>
      <c r="N5295" s="1" t="s">
        <v>38</v>
      </c>
      <c r="O5295" s="1" t="s">
        <v>46</v>
      </c>
    </row>
    <row r="5296" spans="2:15" x14ac:dyDescent="0.3">
      <c r="B5296" s="1" t="s">
        <v>23</v>
      </c>
      <c r="C5296" s="1" t="str">
        <f>"5-2차"</f>
        <v>5-2차</v>
      </c>
      <c r="D5296" s="1" t="str">
        <f>"0426P3415M"</f>
        <v>0426P3415M</v>
      </c>
      <c r="E5296" s="1" t="s">
        <v>10</v>
      </c>
      <c r="F5296" s="1" t="str">
        <f>"fde3:102:1440:4400:0:0:0:a"</f>
        <v>fde3:102:1440:4400:0:0:0:a</v>
      </c>
      <c r="G5296" s="1" t="str">
        <f>"0426P341"</f>
        <v>0426P341</v>
      </c>
      <c r="H5296" s="1" t="str">
        <f>"화수간 6"</f>
        <v>화수간 6</v>
      </c>
      <c r="I5296" s="1" t="s">
        <v>15</v>
      </c>
      <c r="J5296" s="1" t="str">
        <f>"29/32"</f>
        <v>29/32</v>
      </c>
      <c r="K5296" s="1" t="str">
        <f>"2026-07-29 14:21:37"</f>
        <v>2026-07-29 14:21:37</v>
      </c>
      <c r="L5296" s="1" t="str">
        <f>"2023-06-19 18:19:46"</f>
        <v>2023-06-19 18:19:46</v>
      </c>
      <c r="M5296" s="1" t="s">
        <v>45</v>
      </c>
      <c r="N5296" s="1" t="s">
        <v>38</v>
      </c>
      <c r="O5296" s="1" t="s">
        <v>46</v>
      </c>
    </row>
    <row r="5297" spans="2:15" x14ac:dyDescent="0.3">
      <c r="B5297" s="1" t="s">
        <v>23</v>
      </c>
      <c r="C5297" s="1" t="str">
        <f>"5-2차"</f>
        <v>5-2차</v>
      </c>
      <c r="D5297" s="1" t="str">
        <f>"0426P3615M"</f>
        <v>0426P3615M</v>
      </c>
      <c r="E5297" s="1" t="s">
        <v>10</v>
      </c>
      <c r="F5297" s="1" t="str">
        <f>"fde1:103:4:9178:0:0:0:2"</f>
        <v>fde1:103:4:9178:0:0:0:2</v>
      </c>
      <c r="G5297" s="1" t="str">
        <f>"0426P361"</f>
        <v>0426P361</v>
      </c>
      <c r="H5297" s="1" t="str">
        <f>"상봉간 1L1"</f>
        <v>상봉간 1L1</v>
      </c>
      <c r="I5297" s="1" t="s">
        <v>15</v>
      </c>
      <c r="J5297" s="1" t="str">
        <f>"66/66"</f>
        <v>66/66</v>
      </c>
      <c r="K5297" s="1" t="str">
        <f>"2026-07-29 14:21:29"</f>
        <v>2026-07-29 14:21:29</v>
      </c>
      <c r="L5297" s="1" t="str">
        <f>"2023-12-21 11:26:40"</f>
        <v>2023-12-21 11:26:40</v>
      </c>
      <c r="M5297" s="1" t="s">
        <v>4</v>
      </c>
      <c r="N5297" s="1" t="s">
        <v>38</v>
      </c>
      <c r="O5297" s="1" t="s">
        <v>46</v>
      </c>
    </row>
    <row r="5298" spans="2:15" x14ac:dyDescent="0.3">
      <c r="B5298" s="1" t="s">
        <v>23</v>
      </c>
      <c r="C5298" s="1" t="str">
        <f>"5-2차"</f>
        <v>5-2차</v>
      </c>
      <c r="D5298" s="1" t="str">
        <f>"0426P3835S"</f>
        <v>0426P3835S</v>
      </c>
      <c r="E5298" s="1" t="s">
        <v>10</v>
      </c>
      <c r="F5298" s="1" t="str">
        <f>"fde3:102:1440:4500:0:0:0:11"</f>
        <v>fde3:102:1440:4500:0:0:0:11</v>
      </c>
      <c r="G5298" s="1" t="str">
        <f>"0426P383"</f>
        <v>0426P383</v>
      </c>
      <c r="H5298" s="1" t="str">
        <f>"상봉간 1L5R6"</f>
        <v>상봉간 1L5R6</v>
      </c>
      <c r="I5298" s="1" t="s">
        <v>15</v>
      </c>
      <c r="J5298" s="1" t="str">
        <f>"59/59"</f>
        <v>59/59</v>
      </c>
      <c r="K5298" s="1" t="str">
        <f>"2026-07-29 14:21:03"</f>
        <v>2026-07-29 14:21:03</v>
      </c>
      <c r="L5298" s="1" t="str">
        <f>"2023-06-21 15:49:51"</f>
        <v>2023-06-21 15:49:51</v>
      </c>
      <c r="M5298" s="1" t="s">
        <v>45</v>
      </c>
      <c r="N5298" s="1" t="s">
        <v>38</v>
      </c>
      <c r="O5298" s="1" t="s">
        <v>46</v>
      </c>
    </row>
    <row r="5299" spans="2:15" x14ac:dyDescent="0.3">
      <c r="B5299" s="1" t="s">
        <v>23</v>
      </c>
      <c r="C5299" s="1" t="str">
        <f>"5-2차"</f>
        <v>5-2차</v>
      </c>
      <c r="D5299" s="1" t="str">
        <f>"0426P3935M"</f>
        <v>0426P3935M</v>
      </c>
      <c r="E5299" s="1" t="s">
        <v>10</v>
      </c>
      <c r="F5299" s="1" t="str">
        <f>"fde3:102:1440:4500:0:0:0:12"</f>
        <v>fde3:102:1440:4500:0:0:0:12</v>
      </c>
      <c r="G5299" s="1" t="str">
        <f>"0426P393"</f>
        <v>0426P393</v>
      </c>
      <c r="H5299" s="1" t="str">
        <f>"상봉간 1L5R5L2"</f>
        <v>상봉간 1L5R5L2</v>
      </c>
      <c r="I5299" s="1" t="s">
        <v>15</v>
      </c>
      <c r="J5299" s="1" t="str">
        <f>"74/80"</f>
        <v>74/80</v>
      </c>
      <c r="K5299" s="1" t="str">
        <f>"2026-07-29 14:21:29"</f>
        <v>2026-07-29 14:21:29</v>
      </c>
      <c r="L5299" s="1" t="str">
        <f>"2023-10-11 11:22:00"</f>
        <v>2023-10-11 11:22:00</v>
      </c>
      <c r="M5299" s="1" t="s">
        <v>45</v>
      </c>
      <c r="N5299" s="1" t="s">
        <v>38</v>
      </c>
      <c r="O5299" s="1" t="s">
        <v>46</v>
      </c>
    </row>
    <row r="5300" spans="2:15" x14ac:dyDescent="0.3">
      <c r="B5300" s="1" t="s">
        <v>23</v>
      </c>
      <c r="C5300" s="1" t="str">
        <f>"5-2차"</f>
        <v>5-2차</v>
      </c>
      <c r="D5300" s="1" t="str">
        <f>"0426P4055M"</f>
        <v>0426P4055M</v>
      </c>
      <c r="E5300" s="1" t="s">
        <v>10</v>
      </c>
      <c r="F5300" s="1" t="str">
        <f>"fde3:102:1440:4400:0:0:0:f"</f>
        <v>fde3:102:1440:4400:0:0:0:f</v>
      </c>
      <c r="G5300" s="1" t="str">
        <f>"0426P405"</f>
        <v>0426P405</v>
      </c>
      <c r="H5300" s="1" t="str">
        <f>"화수간 15L16"</f>
        <v>화수간 15L16</v>
      </c>
      <c r="I5300" s="1" t="s">
        <v>15</v>
      </c>
      <c r="J5300" s="1" t="str">
        <f>"134/134"</f>
        <v>134/134</v>
      </c>
      <c r="K5300" s="1" t="str">
        <f>"2026-07-29 14:21:03"</f>
        <v>2026-07-29 14:21:03</v>
      </c>
      <c r="L5300" s="1" t="str">
        <f>"2023-06-19 18:30:42"</f>
        <v>2023-06-19 18:30:42</v>
      </c>
      <c r="M5300" s="1" t="s">
        <v>45</v>
      </c>
      <c r="N5300" s="1" t="s">
        <v>38</v>
      </c>
      <c r="O5300" s="1" t="s">
        <v>46</v>
      </c>
    </row>
    <row r="5301" spans="2:15" x14ac:dyDescent="0.3">
      <c r="B5301" s="1" t="s">
        <v>23</v>
      </c>
      <c r="C5301" s="1" t="str">
        <f>"5-1차"</f>
        <v>5-1차</v>
      </c>
      <c r="D5301" s="1" t="str">
        <f>"0426P4215M"</f>
        <v>0426P4215M</v>
      </c>
      <c r="E5301" s="1" t="s">
        <v>10</v>
      </c>
      <c r="F5301" s="1" t="str">
        <f>"fde3:102:1440:4400:0:0:0:7"</f>
        <v>fde3:102:1440:4400:0:0:0:7</v>
      </c>
      <c r="G5301" s="1" t="str">
        <f>"0426P421"</f>
        <v>0426P421</v>
      </c>
      <c r="H5301" s="1" t="str">
        <f>"화수간 2L2R2"</f>
        <v>화수간 2L2R2</v>
      </c>
      <c r="I5301" s="1" t="s">
        <v>15</v>
      </c>
      <c r="J5301" s="1" t="str">
        <f>"66/66"</f>
        <v>66/66</v>
      </c>
      <c r="K5301" s="1" t="str">
        <f>"2026-07-29 14:21:10"</f>
        <v>2026-07-29 14:21:10</v>
      </c>
      <c r="L5301" s="1" t="str">
        <f>"2022-10-26 14:03:42"</f>
        <v>2022-10-26 14:03:42</v>
      </c>
      <c r="M5301" s="1" t="s">
        <v>45</v>
      </c>
      <c r="N5301" s="1" t="s">
        <v>38</v>
      </c>
      <c r="O5301" s="1" t="s">
        <v>46</v>
      </c>
    </row>
    <row r="5302" spans="2:15" x14ac:dyDescent="0.3">
      <c r="B5302" s="1" t="s">
        <v>23</v>
      </c>
      <c r="C5302" s="1" t="str">
        <f>"5-2차"</f>
        <v>5-2차</v>
      </c>
      <c r="D5302" s="1" t="str">
        <f>"0426P4325M"</f>
        <v>0426P4325M</v>
      </c>
      <c r="E5302" s="1" t="s">
        <v>10</v>
      </c>
      <c r="F5302" s="1" t="str">
        <f>"fde3:102:1440:4400:0:0:0:9"</f>
        <v>fde3:102:1440:4400:0:0:0:9</v>
      </c>
      <c r="G5302" s="1" t="str">
        <f>"0426P432"</f>
        <v>0426P432</v>
      </c>
      <c r="H5302" s="1" t="str">
        <f>"화수간 5"</f>
        <v>화수간 5</v>
      </c>
      <c r="I5302" s="1" t="s">
        <v>15</v>
      </c>
      <c r="J5302" s="1" t="str">
        <f>"49/49"</f>
        <v>49/49</v>
      </c>
      <c r="K5302" s="1" t="str">
        <f>"2026-07-29 14:21:30"</f>
        <v>2026-07-29 14:21:30</v>
      </c>
      <c r="L5302" s="1" t="str">
        <f>"2023-06-19 18:21:19"</f>
        <v>2023-06-19 18:21:19</v>
      </c>
      <c r="M5302" s="1" t="s">
        <v>45</v>
      </c>
      <c r="N5302" s="1" t="s">
        <v>38</v>
      </c>
      <c r="O5302" s="1" t="s">
        <v>46</v>
      </c>
    </row>
    <row r="5303" spans="2:15" x14ac:dyDescent="0.3">
      <c r="B5303" s="1" t="s">
        <v>23</v>
      </c>
      <c r="C5303" s="1" t="str">
        <f>"5-2차"</f>
        <v>5-2차</v>
      </c>
      <c r="D5303" s="1" t="str">
        <f>"0426P4815M"</f>
        <v>0426P4815M</v>
      </c>
      <c r="E5303" s="1" t="s">
        <v>10</v>
      </c>
      <c r="F5303" s="1" t="str">
        <f>"fde3:102:1440:4500:0:0:0:13"</f>
        <v>fde3:102:1440:4500:0:0:0:13</v>
      </c>
      <c r="G5303" s="1" t="str">
        <f>"0426P481"</f>
        <v>0426P481</v>
      </c>
      <c r="H5303" s="1" t="str">
        <f>"상봉간 1L5R8"</f>
        <v>상봉간 1L5R8</v>
      </c>
      <c r="I5303" s="1" t="s">
        <v>15</v>
      </c>
      <c r="J5303" s="1" t="str">
        <f>"73/86"</f>
        <v>73/86</v>
      </c>
      <c r="K5303" s="1" t="str">
        <f>"2026-07-29 14:21:30"</f>
        <v>2026-07-29 14:21:30</v>
      </c>
      <c r="L5303" s="1" t="str">
        <f>"2023-08-22 17:37:45"</f>
        <v>2023-08-22 17:37:45</v>
      </c>
      <c r="M5303" s="1" t="s">
        <v>45</v>
      </c>
      <c r="N5303" s="1" t="s">
        <v>38</v>
      </c>
      <c r="O5303" s="1" t="s">
        <v>46</v>
      </c>
    </row>
    <row r="5304" spans="2:15" x14ac:dyDescent="0.3">
      <c r="B5304" s="1" t="s">
        <v>23</v>
      </c>
      <c r="C5304" s="1" t="str">
        <f>"6차"</f>
        <v>6차</v>
      </c>
      <c r="D5304" s="1" t="str">
        <f>"0426P5016S"</f>
        <v>0426P5016S</v>
      </c>
      <c r="E5304" s="1" t="s">
        <v>10</v>
      </c>
      <c r="F5304" s="1" t="str">
        <f>"fde3:102:1440:4400:0:0:0:25"</f>
        <v>fde3:102:1440:4400:0:0:0:25</v>
      </c>
      <c r="G5304" s="1" t="str">
        <f>"0426P501"</f>
        <v>0426P501</v>
      </c>
      <c r="H5304" s="1" t="str">
        <f>"화수간 15L14"</f>
        <v>화수간 15L14</v>
      </c>
      <c r="I5304" s="1" t="s">
        <v>15</v>
      </c>
      <c r="J5304" s="1" t="str">
        <f>"120/120"</f>
        <v>120/120</v>
      </c>
      <c r="K5304" s="1" t="str">
        <f>"2026-07-29 14:20:47"</f>
        <v>2026-07-29 14:20:47</v>
      </c>
      <c r="L5304" s="1" t="str">
        <f>"2024-10-08 15:14:13"</f>
        <v>2024-10-08 15:14:13</v>
      </c>
      <c r="M5304" s="1" t="s">
        <v>45</v>
      </c>
      <c r="N5304" s="1" t="s">
        <v>38</v>
      </c>
      <c r="O5304" s="1" t="s">
        <v>46</v>
      </c>
    </row>
    <row r="5305" spans="2:15" x14ac:dyDescent="0.3">
      <c r="B5305" s="1" t="s">
        <v>23</v>
      </c>
      <c r="C5305" s="1" t="str">
        <f t="shared" ref="C5305:C5311" si="277">"5-2차"</f>
        <v>5-2차</v>
      </c>
      <c r="D5305" s="1" t="str">
        <f>"0426P5225M"</f>
        <v>0426P5225M</v>
      </c>
      <c r="E5305" s="1" t="s">
        <v>10</v>
      </c>
      <c r="F5305" s="1" t="str">
        <f>"fde1:103:4:932f:0:0:0:2"</f>
        <v>fde1:103:4:932f:0:0:0:2</v>
      </c>
      <c r="G5305" s="1" t="str">
        <f>"0426P522"</f>
        <v>0426P522</v>
      </c>
      <c r="H5305" s="1" t="str">
        <f>"화수간 2L1"</f>
        <v>화수간 2L1</v>
      </c>
      <c r="I5305" s="1" t="s">
        <v>15</v>
      </c>
      <c r="J5305" s="1" t="str">
        <f>"42/42"</f>
        <v>42/42</v>
      </c>
      <c r="K5305" s="1" t="str">
        <f>"2026-07-29 14:21:31"</f>
        <v>2026-07-29 14:21:31</v>
      </c>
      <c r="L5305" s="1" t="str">
        <f>"2024-01-08 10:45:39"</f>
        <v>2024-01-08 10:45:39</v>
      </c>
      <c r="M5305" s="1" t="s">
        <v>4</v>
      </c>
      <c r="N5305" s="1" t="s">
        <v>38</v>
      </c>
      <c r="O5305" s="1" t="s">
        <v>46</v>
      </c>
    </row>
    <row r="5306" spans="2:15" x14ac:dyDescent="0.3">
      <c r="B5306" s="1" t="s">
        <v>23</v>
      </c>
      <c r="C5306" s="1" t="str">
        <f t="shared" si="277"/>
        <v>5-2차</v>
      </c>
      <c r="D5306" s="1" t="str">
        <f>"0426P5415S"</f>
        <v>0426P5415S</v>
      </c>
      <c r="E5306" s="1" t="s">
        <v>10</v>
      </c>
      <c r="F5306" s="1" t="str">
        <f>"fde3:102:1440:4400:0:0:0:c"</f>
        <v>fde3:102:1440:4400:0:0:0:c</v>
      </c>
      <c r="G5306" s="1" t="str">
        <f>"0426P541"</f>
        <v>0426P541</v>
      </c>
      <c r="H5306" s="1" t="str">
        <f>"화동간 2"</f>
        <v>화동간 2</v>
      </c>
      <c r="I5306" s="1" t="s">
        <v>15</v>
      </c>
      <c r="J5306" s="1" t="str">
        <f>"49/49"</f>
        <v>49/49</v>
      </c>
      <c r="K5306" s="1" t="str">
        <f>"2026-07-29 14:21:03"</f>
        <v>2026-07-29 14:21:03</v>
      </c>
      <c r="L5306" s="1" t="str">
        <f>"2023-06-17 13:25:17"</f>
        <v>2023-06-17 13:25:17</v>
      </c>
      <c r="M5306" s="1" t="s">
        <v>45</v>
      </c>
      <c r="N5306" s="1" t="s">
        <v>38</v>
      </c>
      <c r="O5306" s="1" t="s">
        <v>46</v>
      </c>
    </row>
    <row r="5307" spans="2:15" x14ac:dyDescent="0.3">
      <c r="B5307" s="1" t="s">
        <v>23</v>
      </c>
      <c r="C5307" s="1" t="str">
        <f t="shared" si="277"/>
        <v>5-2차</v>
      </c>
      <c r="D5307" s="1" t="str">
        <f>"0426P5425M"</f>
        <v>0426P5425M</v>
      </c>
      <c r="E5307" s="1" t="s">
        <v>10</v>
      </c>
      <c r="F5307" s="1" t="str">
        <f>"fde3:102:1440:4400:0:0:0:b"</f>
        <v>fde3:102:1440:4400:0:0:0:b</v>
      </c>
      <c r="G5307" s="1" t="str">
        <f>"0426P542"</f>
        <v>0426P542</v>
      </c>
      <c r="H5307" s="1" t="str">
        <f>"화동간 3"</f>
        <v>화동간 3</v>
      </c>
      <c r="I5307" s="1" t="s">
        <v>15</v>
      </c>
      <c r="J5307" s="1" t="str">
        <f>"38/38"</f>
        <v>38/38</v>
      </c>
      <c r="K5307" s="1" t="str">
        <f>"2026-07-29 14:21:30"</f>
        <v>2026-07-29 14:21:30</v>
      </c>
      <c r="L5307" s="1" t="str">
        <f>"2023-10-16 16:44:06"</f>
        <v>2023-10-16 16:44:06</v>
      </c>
      <c r="M5307" s="1" t="s">
        <v>45</v>
      </c>
      <c r="N5307" s="1" t="s">
        <v>38</v>
      </c>
      <c r="O5307" s="1" t="s">
        <v>46</v>
      </c>
    </row>
    <row r="5308" spans="2:15" x14ac:dyDescent="0.3">
      <c r="B5308" s="1" t="s">
        <v>23</v>
      </c>
      <c r="C5308" s="1" t="str">
        <f t="shared" si="277"/>
        <v>5-2차</v>
      </c>
      <c r="D5308" s="1" t="str">
        <f>"0426P5625M"</f>
        <v>0426P5625M</v>
      </c>
      <c r="E5308" s="1" t="s">
        <v>10</v>
      </c>
      <c r="F5308" s="1" t="str">
        <f>"fde3:102:1440:3100:0:0:0:6"</f>
        <v>fde3:102:1440:3100:0:0:0:6</v>
      </c>
      <c r="G5308" s="1" t="str">
        <f>"0426P562"</f>
        <v>0426P562</v>
      </c>
      <c r="H5308" s="1" t="str">
        <f>"상봉간 2R2"</f>
        <v>상봉간 2R2</v>
      </c>
      <c r="I5308" s="1" t="s">
        <v>15</v>
      </c>
      <c r="J5308" s="1" t="str">
        <f>"44/46"</f>
        <v>44/46</v>
      </c>
      <c r="K5308" s="1" t="str">
        <f>"2026-07-29 14:21:30"</f>
        <v>2026-07-29 14:21:30</v>
      </c>
      <c r="L5308" s="1" t="str">
        <f>"2023-06-19 18:04:58"</f>
        <v>2023-06-19 18:04:58</v>
      </c>
      <c r="M5308" s="1" t="s">
        <v>45</v>
      </c>
      <c r="N5308" s="1" t="s">
        <v>38</v>
      </c>
      <c r="O5308" s="1" t="s">
        <v>46</v>
      </c>
    </row>
    <row r="5309" spans="2:15" x14ac:dyDescent="0.3">
      <c r="B5309" s="1" t="s">
        <v>23</v>
      </c>
      <c r="C5309" s="1" t="str">
        <f t="shared" si="277"/>
        <v>5-2차</v>
      </c>
      <c r="D5309" s="1" t="str">
        <f>"0426P5735M"</f>
        <v>0426P5735M</v>
      </c>
      <c r="E5309" s="1" t="s">
        <v>10</v>
      </c>
      <c r="F5309" s="1" t="str">
        <f>"fde1:103:4:917f:0:0:0:2"</f>
        <v>fde1:103:4:917f:0:0:0:2</v>
      </c>
      <c r="G5309" s="1" t="str">
        <f>"0426P573"</f>
        <v>0426P573</v>
      </c>
      <c r="H5309" s="1" t="str">
        <f>"상봉간 3"</f>
        <v>상봉간 3</v>
      </c>
      <c r="I5309" s="1" t="s">
        <v>15</v>
      </c>
      <c r="J5309" s="1" t="str">
        <f>"29/29"</f>
        <v>29/29</v>
      </c>
      <c r="K5309" s="1" t="str">
        <f>"2026-07-29 14:21:30"</f>
        <v>2026-07-29 14:21:30</v>
      </c>
      <c r="L5309" s="1" t="str">
        <f>"2023-12-21 11:27:03"</f>
        <v>2023-12-21 11:27:03</v>
      </c>
      <c r="M5309" s="1" t="s">
        <v>4</v>
      </c>
      <c r="N5309" s="1" t="s">
        <v>38</v>
      </c>
      <c r="O5309" s="1" t="s">
        <v>46</v>
      </c>
    </row>
    <row r="5310" spans="2:15" x14ac:dyDescent="0.3">
      <c r="B5310" s="1" t="s">
        <v>23</v>
      </c>
      <c r="C5310" s="1" t="str">
        <f t="shared" si="277"/>
        <v>5-2차</v>
      </c>
      <c r="D5310" s="1" t="str">
        <f>"0426P5825M"</f>
        <v>0426P5825M</v>
      </c>
      <c r="E5310" s="1" t="s">
        <v>10</v>
      </c>
      <c r="F5310" s="1" t="str">
        <f>"fde1:103:4:91f2:0:0:0:2"</f>
        <v>fde1:103:4:91f2:0:0:0:2</v>
      </c>
      <c r="G5310" s="1" t="str">
        <f>"0426P582"</f>
        <v>0426P582</v>
      </c>
      <c r="H5310" s="1" t="str">
        <f>"상봉간 5R1"</f>
        <v>상봉간 5R1</v>
      </c>
      <c r="I5310" s="1" t="s">
        <v>15</v>
      </c>
      <c r="J5310" s="1" t="str">
        <f>"75/75"</f>
        <v>75/75</v>
      </c>
      <c r="K5310" s="1" t="str">
        <f>"2026-07-29 14:21:30"</f>
        <v>2026-07-29 14:21:30</v>
      </c>
      <c r="L5310" s="1" t="str">
        <f>"2023-12-21 11:27:30"</f>
        <v>2023-12-21 11:27:30</v>
      </c>
      <c r="M5310" s="1" t="s">
        <v>4</v>
      </c>
      <c r="N5310" s="1" t="s">
        <v>38</v>
      </c>
      <c r="O5310" s="1" t="s">
        <v>46</v>
      </c>
    </row>
    <row r="5311" spans="2:15" x14ac:dyDescent="0.3">
      <c r="B5311" s="1" t="s">
        <v>23</v>
      </c>
      <c r="C5311" s="1" t="str">
        <f t="shared" si="277"/>
        <v>5-2차</v>
      </c>
      <c r="D5311" s="1" t="str">
        <f>"0426P6115S"</f>
        <v>0426P6115S</v>
      </c>
      <c r="E5311" s="1" t="s">
        <v>10</v>
      </c>
      <c r="F5311" s="1" t="str">
        <f>"fde3:102:1440:4400:0:0:0:e"</f>
        <v>fde3:102:1440:4400:0:0:0:e</v>
      </c>
      <c r="G5311" s="1" t="str">
        <f>"0426P611"</f>
        <v>0426P611</v>
      </c>
      <c r="H5311" s="1" t="str">
        <f>"화수간 2L3"</f>
        <v>화수간 2L3</v>
      </c>
      <c r="I5311" s="1" t="s">
        <v>15</v>
      </c>
      <c r="J5311" s="1" t="str">
        <f>"30/30"</f>
        <v>30/30</v>
      </c>
      <c r="K5311" s="1" t="str">
        <f>"2026-07-29 14:21:30"</f>
        <v>2026-07-29 14:21:30</v>
      </c>
      <c r="L5311" s="1" t="str">
        <f>"2023-06-17 14:18:57"</f>
        <v>2023-06-17 14:18:57</v>
      </c>
      <c r="M5311" s="1" t="s">
        <v>45</v>
      </c>
      <c r="N5311" s="1" t="s">
        <v>38</v>
      </c>
      <c r="O5311" s="1" t="s">
        <v>46</v>
      </c>
    </row>
    <row r="5312" spans="2:15" x14ac:dyDescent="0.3">
      <c r="B5312" s="1" t="s">
        <v>23</v>
      </c>
      <c r="C5312" s="1" t="str">
        <f>"6차"</f>
        <v>6차</v>
      </c>
      <c r="D5312" s="1" t="str">
        <f>"0426P6176S"</f>
        <v>0426P6176S</v>
      </c>
      <c r="E5312" s="1" t="s">
        <v>10</v>
      </c>
      <c r="F5312" s="1" t="str">
        <f>"fde1:103:4:926d:0:0:0:2"</f>
        <v>fde1:103:4:926d:0:0:0:2</v>
      </c>
      <c r="G5312" s="1" t="str">
        <f>"0426P617"</f>
        <v>0426P617</v>
      </c>
      <c r="H5312" s="1" t="str">
        <f>"화수간 2L4"</f>
        <v>화수간 2L4</v>
      </c>
      <c r="I5312" s="1" t="s">
        <v>15</v>
      </c>
      <c r="J5312" s="1" t="str">
        <f>"74/74"</f>
        <v>74/74</v>
      </c>
      <c r="K5312" s="1" t="str">
        <f>"2026-07-29 14:20:37"</f>
        <v>2026-07-29 14:20:37</v>
      </c>
      <c r="L5312" s="1" t="str">
        <f>"2024-09-30 13:46:58"</f>
        <v>2024-09-30 13:46:58</v>
      </c>
      <c r="M5312" s="1" t="s">
        <v>4</v>
      </c>
      <c r="N5312" s="1" t="s">
        <v>38</v>
      </c>
      <c r="O5312" s="1" t="s">
        <v>46</v>
      </c>
    </row>
    <row r="5313" spans="2:15" x14ac:dyDescent="0.3">
      <c r="B5313" s="1" t="s">
        <v>23</v>
      </c>
      <c r="C5313" s="1" t="str">
        <f>"5-2차"</f>
        <v>5-2차</v>
      </c>
      <c r="D5313" s="1" t="str">
        <f>"0426P6325M"</f>
        <v>0426P6325M</v>
      </c>
      <c r="E5313" s="1" t="s">
        <v>10</v>
      </c>
      <c r="F5313" s="1" t="str">
        <f>"fde3:102:1440:4100:0:0:0:9"</f>
        <v>fde3:102:1440:4100:0:0:0:9</v>
      </c>
      <c r="G5313" s="1" t="str">
        <f>"0426P632"</f>
        <v>0426P632</v>
      </c>
      <c r="H5313" s="1" t="str">
        <f>"화수간 2"</f>
        <v>화수간 2</v>
      </c>
      <c r="I5313" s="1" t="s">
        <v>15</v>
      </c>
      <c r="J5313" s="1" t="str">
        <f>"84/84"</f>
        <v>84/84</v>
      </c>
      <c r="K5313" s="1" t="str">
        <f>"2026-07-29 14:21:18"</f>
        <v>2026-07-29 14:21:18</v>
      </c>
      <c r="L5313" s="1" t="str">
        <f>"2023-10-16 15:56:34"</f>
        <v>2023-10-16 15:56:34</v>
      </c>
      <c r="M5313" s="1" t="s">
        <v>45</v>
      </c>
      <c r="N5313" s="1" t="s">
        <v>38</v>
      </c>
      <c r="O5313" s="1" t="s">
        <v>46</v>
      </c>
    </row>
    <row r="5314" spans="2:15" x14ac:dyDescent="0.3">
      <c r="B5314" s="1" t="s">
        <v>23</v>
      </c>
      <c r="C5314" s="1" t="str">
        <f>"5-2차"</f>
        <v>5-2차</v>
      </c>
      <c r="D5314" s="1" t="str">
        <f>"0426P6715M"</f>
        <v>0426P6715M</v>
      </c>
      <c r="E5314" s="1" t="s">
        <v>10</v>
      </c>
      <c r="F5314" s="1" t="str">
        <f>"fde3:102:1440:3100:0:0:0:4"</f>
        <v>fde3:102:1440:3100:0:0:0:4</v>
      </c>
      <c r="G5314" s="1" t="str">
        <f>"0426P671"</f>
        <v>0426P671</v>
      </c>
      <c r="H5314" s="1" t="str">
        <f>"상봉간 2R3H1L2"</f>
        <v>상봉간 2R3H1L2</v>
      </c>
      <c r="I5314" s="1" t="s">
        <v>15</v>
      </c>
      <c r="J5314" s="1" t="str">
        <f>"49/49"</f>
        <v>49/49</v>
      </c>
      <c r="K5314" s="1" t="str">
        <f>"2026-07-29 14:21:12"</f>
        <v>2026-07-29 14:21:12</v>
      </c>
      <c r="L5314" s="1" t="str">
        <f>"2023-08-22 17:27:05"</f>
        <v>2023-08-22 17:27:05</v>
      </c>
      <c r="M5314" s="1" t="s">
        <v>45</v>
      </c>
      <c r="N5314" s="1" t="s">
        <v>38</v>
      </c>
      <c r="O5314" s="1" t="s">
        <v>46</v>
      </c>
    </row>
    <row r="5315" spans="2:15" x14ac:dyDescent="0.3">
      <c r="B5315" s="1" t="s">
        <v>23</v>
      </c>
      <c r="C5315" s="1" t="str">
        <f>"5-1차"</f>
        <v>5-1차</v>
      </c>
      <c r="D5315" s="1" t="str">
        <f>"0426P7615M"</f>
        <v>0426P7615M</v>
      </c>
      <c r="E5315" s="1" t="s">
        <v>10</v>
      </c>
      <c r="F5315" s="1" t="str">
        <f>"fde3:102:1440:3100:0:0:0:2"</f>
        <v>fde3:102:1440:3100:0:0:0:2</v>
      </c>
      <c r="G5315" s="1" t="str">
        <f>"0426P761"</f>
        <v>0426P761</v>
      </c>
      <c r="H5315" s="1" t="str">
        <f>"상봉간 2R3R2"</f>
        <v>상봉간 2R3R2</v>
      </c>
      <c r="I5315" s="1" t="s">
        <v>15</v>
      </c>
      <c r="J5315" s="1" t="str">
        <f>"54/54"</f>
        <v>54/54</v>
      </c>
      <c r="K5315" s="1" t="str">
        <f>"2026-07-29 14:21:19"</f>
        <v>2026-07-29 14:21:19</v>
      </c>
      <c r="L5315" s="1" t="str">
        <f>"2022-10-26 09:36:14"</f>
        <v>2022-10-26 09:36:14</v>
      </c>
      <c r="M5315" s="1" t="s">
        <v>45</v>
      </c>
      <c r="N5315" s="1" t="s">
        <v>38</v>
      </c>
      <c r="O5315" s="1" t="s">
        <v>46</v>
      </c>
    </row>
    <row r="5316" spans="2:15" x14ac:dyDescent="0.3">
      <c r="B5316" s="1" t="s">
        <v>23</v>
      </c>
      <c r="C5316" s="1" t="str">
        <f t="shared" ref="C5316:C5326" si="278">"5-2차"</f>
        <v>5-2차</v>
      </c>
      <c r="D5316" s="1" t="str">
        <f>"0426P7735M"</f>
        <v>0426P7735M</v>
      </c>
      <c r="E5316" s="1" t="s">
        <v>10</v>
      </c>
      <c r="F5316" s="1" t="str">
        <f>"fde1:103:4:9275:0:0:0:2"</f>
        <v>fde1:103:4:9275:0:0:0:2</v>
      </c>
      <c r="G5316" s="1" t="str">
        <f>"0426P773"</f>
        <v>0426P773</v>
      </c>
      <c r="H5316" s="1" t="str">
        <f>"상봉간 2R4L1"</f>
        <v>상봉간 2R4L1</v>
      </c>
      <c r="I5316" s="1" t="s">
        <v>15</v>
      </c>
      <c r="J5316" s="1" t="str">
        <f>"1/1"</f>
        <v>1/1</v>
      </c>
      <c r="K5316" s="1" t="str">
        <f>"2026-07-29 14:21:04"</f>
        <v>2026-07-29 14:21:04</v>
      </c>
      <c r="L5316" s="1" t="str">
        <f>"2023-12-21 14:22:00"</f>
        <v>2023-12-21 14:22:00</v>
      </c>
      <c r="M5316" s="1" t="s">
        <v>4</v>
      </c>
      <c r="N5316" s="1" t="s">
        <v>38</v>
      </c>
      <c r="O5316" s="1" t="s">
        <v>46</v>
      </c>
    </row>
    <row r="5317" spans="2:15" x14ac:dyDescent="0.3">
      <c r="B5317" s="1" t="s">
        <v>23</v>
      </c>
      <c r="C5317" s="1" t="str">
        <f t="shared" si="278"/>
        <v>5-2차</v>
      </c>
      <c r="D5317" s="1" t="str">
        <f>"0426P7845M"</f>
        <v>0426P7845M</v>
      </c>
      <c r="E5317" s="1" t="s">
        <v>10</v>
      </c>
      <c r="F5317" s="1" t="str">
        <f>"fde3:102:1440:3100:0:0:0:9"</f>
        <v>fde3:102:1440:3100:0:0:0:9</v>
      </c>
      <c r="G5317" s="1" t="str">
        <f>"0426P784"</f>
        <v>0426P784</v>
      </c>
      <c r="H5317" s="1" t="str">
        <f>"상봉간 2R4L2"</f>
        <v>상봉간 2R4L2</v>
      </c>
      <c r="I5317" s="1" t="s">
        <v>15</v>
      </c>
      <c r="J5317" s="1" t="str">
        <f>"30/30"</f>
        <v>30/30</v>
      </c>
      <c r="K5317" s="1" t="str">
        <f>"2026-07-29 14:20:46"</f>
        <v>2026-07-29 14:20:46</v>
      </c>
      <c r="L5317" s="1" t="str">
        <f>"2023-10-16 16:00:25"</f>
        <v>2023-10-16 16:00:25</v>
      </c>
      <c r="M5317" s="1" t="s">
        <v>45</v>
      </c>
      <c r="N5317" s="1" t="s">
        <v>38</v>
      </c>
      <c r="O5317" s="1" t="s">
        <v>46</v>
      </c>
    </row>
    <row r="5318" spans="2:15" x14ac:dyDescent="0.3">
      <c r="B5318" s="1" t="s">
        <v>23</v>
      </c>
      <c r="C5318" s="1" t="str">
        <f t="shared" si="278"/>
        <v>5-2차</v>
      </c>
      <c r="D5318" s="1" t="str">
        <f>"0426P8115M"</f>
        <v>0426P8115M</v>
      </c>
      <c r="E5318" s="1" t="s">
        <v>10</v>
      </c>
      <c r="F5318" s="1" t="str">
        <f>"fde3:102:1440:4500:0:0:0:23"</f>
        <v>fde3:102:1440:4500:0:0:0:23</v>
      </c>
      <c r="G5318" s="1" t="str">
        <f>"0426P811"</f>
        <v>0426P811</v>
      </c>
      <c r="H5318" s="1" t="str">
        <f>"화중지 1L15"</f>
        <v>화중지 1L15</v>
      </c>
      <c r="I5318" s="1" t="s">
        <v>15</v>
      </c>
      <c r="J5318" s="1" t="str">
        <f>"34/40"</f>
        <v>34/40</v>
      </c>
      <c r="K5318" s="1" t="str">
        <f>"2026-07-28 20:03:26"</f>
        <v>2026-07-28 20:03:26</v>
      </c>
      <c r="L5318" s="1" t="str">
        <f>"2023-06-19 18:26:52"</f>
        <v>2023-06-19 18:26:52</v>
      </c>
      <c r="M5318" s="1" t="s">
        <v>45</v>
      </c>
      <c r="N5318" s="1" t="s">
        <v>38</v>
      </c>
      <c r="O5318" s="1" t="s">
        <v>46</v>
      </c>
    </row>
    <row r="5319" spans="2:15" x14ac:dyDescent="0.3">
      <c r="B5319" s="1" t="s">
        <v>23</v>
      </c>
      <c r="C5319" s="1" t="str">
        <f t="shared" si="278"/>
        <v>5-2차</v>
      </c>
      <c r="D5319" s="1" t="str">
        <f>"0426P8525S"</f>
        <v>0426P8525S</v>
      </c>
      <c r="E5319" s="1" t="s">
        <v>10</v>
      </c>
      <c r="F5319" s="1" t="str">
        <f>"fde3:102:1440:4400:0:0:0:d"</f>
        <v>fde3:102:1440:4400:0:0:0:d</v>
      </c>
      <c r="G5319" s="1" t="str">
        <f>"0426P852"</f>
        <v>0426P852</v>
      </c>
      <c r="H5319" s="1" t="str">
        <f>"화동간 1R3"</f>
        <v>화동간 1R3</v>
      </c>
      <c r="I5319" s="1" t="s">
        <v>15</v>
      </c>
      <c r="J5319" s="1" t="str">
        <f>"36/36"</f>
        <v>36/36</v>
      </c>
      <c r="K5319" s="1" t="str">
        <f>"2026-07-29 14:21:03"</f>
        <v>2026-07-29 14:21:03</v>
      </c>
      <c r="L5319" s="1" t="str">
        <f>"2023-06-17 12:42:17"</f>
        <v>2023-06-17 12:42:17</v>
      </c>
      <c r="M5319" s="1" t="s">
        <v>45</v>
      </c>
      <c r="N5319" s="1" t="s">
        <v>38</v>
      </c>
      <c r="O5319" s="1" t="s">
        <v>46</v>
      </c>
    </row>
    <row r="5320" spans="2:15" x14ac:dyDescent="0.3">
      <c r="B5320" s="1" t="s">
        <v>23</v>
      </c>
      <c r="C5320" s="1" t="str">
        <f t="shared" si="278"/>
        <v>5-2차</v>
      </c>
      <c r="D5320" s="1" t="str">
        <f>"0426P8815M"</f>
        <v>0426P8815M</v>
      </c>
      <c r="E5320" s="1" t="s">
        <v>10</v>
      </c>
      <c r="F5320" s="1" t="str">
        <f>"fde3:102:1440:3100:0:0:0:8"</f>
        <v>fde3:102:1440:3100:0:0:0:8</v>
      </c>
      <c r="G5320" s="1" t="str">
        <f>"0426P881"</f>
        <v>0426P881</v>
      </c>
      <c r="H5320" s="1" t="str">
        <f>"상봉간 2R7L1"</f>
        <v>상봉간 2R7L1</v>
      </c>
      <c r="I5320" s="1" t="s">
        <v>15</v>
      </c>
      <c r="J5320" s="1" t="str">
        <f>"45/45"</f>
        <v>45/45</v>
      </c>
      <c r="K5320" s="1" t="str">
        <f>"2026-07-29 14:21:35"</f>
        <v>2026-07-29 14:21:35</v>
      </c>
      <c r="L5320" s="1" t="str">
        <f>"2023-10-11 10:46:43"</f>
        <v>2023-10-11 10:46:43</v>
      </c>
      <c r="M5320" s="1" t="s">
        <v>45</v>
      </c>
      <c r="N5320" s="1" t="s">
        <v>38</v>
      </c>
      <c r="O5320" s="1" t="s">
        <v>46</v>
      </c>
    </row>
    <row r="5321" spans="2:15" x14ac:dyDescent="0.3">
      <c r="B5321" s="1" t="s">
        <v>23</v>
      </c>
      <c r="C5321" s="1" t="str">
        <f t="shared" si="278"/>
        <v>5-2차</v>
      </c>
      <c r="D5321" s="1" t="str">
        <f>"0426P9215S"</f>
        <v>0426P9215S</v>
      </c>
      <c r="E5321" s="1" t="s">
        <v>10</v>
      </c>
      <c r="F5321" s="1" t="str">
        <f>"fde3:102:1440:4500:0:0:0:1d"</f>
        <v>fde3:102:1440:4500:0:0:0:1d</v>
      </c>
      <c r="G5321" s="1" t="str">
        <f>"0426P921"</f>
        <v>0426P921</v>
      </c>
      <c r="H5321" s="1" t="str">
        <f>"화중지 49"</f>
        <v>화중지 49</v>
      </c>
      <c r="I5321" s="1" t="s">
        <v>15</v>
      </c>
      <c r="J5321" s="1" t="str">
        <f>"44/44"</f>
        <v>44/44</v>
      </c>
      <c r="K5321" s="1" t="str">
        <f>"2026-07-29 14:21:31"</f>
        <v>2026-07-29 14:21:31</v>
      </c>
      <c r="L5321" s="1" t="str">
        <f>"2023-06-17 13:07:35"</f>
        <v>2023-06-17 13:07:35</v>
      </c>
      <c r="M5321" s="1" t="s">
        <v>45</v>
      </c>
      <c r="N5321" s="1" t="s">
        <v>38</v>
      </c>
      <c r="O5321" s="1" t="s">
        <v>46</v>
      </c>
    </row>
    <row r="5322" spans="2:15" x14ac:dyDescent="0.3">
      <c r="B5322" s="1" t="s">
        <v>23</v>
      </c>
      <c r="C5322" s="1" t="str">
        <f t="shared" si="278"/>
        <v>5-2차</v>
      </c>
      <c r="D5322" s="1" t="str">
        <f>"0426P9225M"</f>
        <v>0426P9225M</v>
      </c>
      <c r="E5322" s="1" t="s">
        <v>10</v>
      </c>
      <c r="F5322" s="1" t="str">
        <f>"fde3:102:1440:4500:0:0:0:1f"</f>
        <v>fde3:102:1440:4500:0:0:0:1f</v>
      </c>
      <c r="G5322" s="1" t="str">
        <f>"0426P922"</f>
        <v>0426P922</v>
      </c>
      <c r="H5322" s="1" t="str">
        <f>"화중지 46R1L4"</f>
        <v>화중지 46R1L4</v>
      </c>
      <c r="I5322" s="1" t="s">
        <v>15</v>
      </c>
      <c r="J5322" s="1" t="str">
        <f>"59/59"</f>
        <v>59/59</v>
      </c>
      <c r="K5322" s="1" t="str">
        <f>"2026-07-29 14:21:10"</f>
        <v>2026-07-29 14:21:10</v>
      </c>
      <c r="L5322" s="1" t="str">
        <f>"2023-06-19 18:27:30"</f>
        <v>2023-06-19 18:27:30</v>
      </c>
      <c r="M5322" s="1" t="s">
        <v>45</v>
      </c>
      <c r="N5322" s="1" t="s">
        <v>38</v>
      </c>
      <c r="O5322" s="1" t="s">
        <v>46</v>
      </c>
    </row>
    <row r="5323" spans="2:15" x14ac:dyDescent="0.3">
      <c r="B5323" s="1" t="s">
        <v>23</v>
      </c>
      <c r="C5323" s="1" t="str">
        <f t="shared" si="278"/>
        <v>5-2차</v>
      </c>
      <c r="D5323" s="1" t="str">
        <f>"0426P9235M"</f>
        <v>0426P9235M</v>
      </c>
      <c r="E5323" s="1" t="s">
        <v>10</v>
      </c>
      <c r="F5323" s="1" t="str">
        <f>"fde3:102:1440:4500:0:0:0:1e"</f>
        <v>fde3:102:1440:4500:0:0:0:1e</v>
      </c>
      <c r="G5323" s="1" t="str">
        <f>"0426P923"</f>
        <v>0426P923</v>
      </c>
      <c r="H5323" s="1" t="str">
        <f>"화중지 46R1L5"</f>
        <v>화중지 46R1L5</v>
      </c>
      <c r="I5323" s="1" t="s">
        <v>15</v>
      </c>
      <c r="J5323" s="1" t="str">
        <f>"41/41"</f>
        <v>41/41</v>
      </c>
      <c r="K5323" s="1" t="str">
        <f>"2026-07-29 14:21:03"</f>
        <v>2026-07-29 14:21:03</v>
      </c>
      <c r="L5323" s="1" t="str">
        <f>"2023-06-26 16:04:48"</f>
        <v>2023-06-26 16:04:48</v>
      </c>
      <c r="M5323" s="1" t="s">
        <v>45</v>
      </c>
      <c r="N5323" s="1" t="s">
        <v>38</v>
      </c>
      <c r="O5323" s="1" t="s">
        <v>46</v>
      </c>
    </row>
    <row r="5324" spans="2:15" x14ac:dyDescent="0.3">
      <c r="B5324" s="1" t="s">
        <v>23</v>
      </c>
      <c r="C5324" s="1" t="str">
        <f t="shared" si="278"/>
        <v>5-2차</v>
      </c>
      <c r="D5324" s="1" t="str">
        <f>"0426P9715M"</f>
        <v>0426P9715M</v>
      </c>
      <c r="E5324" s="1" t="s">
        <v>10</v>
      </c>
      <c r="F5324" s="1" t="str">
        <f>"fde3:102:1440:3100:0:0:0:7"</f>
        <v>fde3:102:1440:3100:0:0:0:7</v>
      </c>
      <c r="G5324" s="1" t="str">
        <f>"0426P971"</f>
        <v>0426P971</v>
      </c>
      <c r="H5324" s="1" t="str">
        <f>"상봉간 2R8"</f>
        <v>상봉간 2R8</v>
      </c>
      <c r="I5324" s="1" t="s">
        <v>15</v>
      </c>
      <c r="J5324" s="1" t="str">
        <f>"89/90"</f>
        <v>89/90</v>
      </c>
      <c r="K5324" s="1" t="str">
        <f>"2026-07-29 14:21:31"</f>
        <v>2026-07-29 14:21:31</v>
      </c>
      <c r="L5324" s="1" t="str">
        <f>"2023-10-11 10:52:44"</f>
        <v>2023-10-11 10:52:44</v>
      </c>
      <c r="M5324" s="1" t="s">
        <v>45</v>
      </c>
      <c r="N5324" s="1" t="s">
        <v>38</v>
      </c>
      <c r="O5324" s="1" t="s">
        <v>46</v>
      </c>
    </row>
    <row r="5325" spans="2:15" x14ac:dyDescent="0.3">
      <c r="B5325" s="1" t="s">
        <v>23</v>
      </c>
      <c r="C5325" s="1" t="str">
        <f t="shared" si="278"/>
        <v>5-2차</v>
      </c>
      <c r="D5325" s="1" t="str">
        <f>"0426P9925M"</f>
        <v>0426P9925M</v>
      </c>
      <c r="E5325" s="1" t="s">
        <v>10</v>
      </c>
      <c r="F5325" s="1" t="str">
        <f>"fde3:102:1440:3100:0:0:0:a"</f>
        <v>fde3:102:1440:3100:0:0:0:a</v>
      </c>
      <c r="G5325" s="1" t="str">
        <f>"0426P992"</f>
        <v>0426P992</v>
      </c>
      <c r="H5325" s="1" t="str">
        <f>"대원간 3L2"</f>
        <v>대원간 3L2</v>
      </c>
      <c r="I5325" s="1" t="s">
        <v>15</v>
      </c>
      <c r="J5325" s="1" t="str">
        <f>"137/137"</f>
        <v>137/137</v>
      </c>
      <c r="K5325" s="1" t="str">
        <f>"2026-07-29 14:21:03"</f>
        <v>2026-07-29 14:21:03</v>
      </c>
      <c r="L5325" s="1" t="str">
        <f>"2024-01-11 15:29:47"</f>
        <v>2024-01-11 15:29:47</v>
      </c>
      <c r="M5325" s="1" t="s">
        <v>45</v>
      </c>
      <c r="N5325" s="1" t="s">
        <v>38</v>
      </c>
      <c r="O5325" s="1" t="s">
        <v>46</v>
      </c>
    </row>
    <row r="5326" spans="2:15" x14ac:dyDescent="0.3">
      <c r="B5326" s="1" t="s">
        <v>23</v>
      </c>
      <c r="C5326" s="1" t="str">
        <f t="shared" si="278"/>
        <v>5-2차</v>
      </c>
      <c r="D5326" s="1" t="str">
        <f>"0426Q0315M"</f>
        <v>0426Q0315M</v>
      </c>
      <c r="E5326" s="1" t="s">
        <v>10</v>
      </c>
      <c r="F5326" s="1" t="str">
        <f>"fde3:102:1440:4500:0:0:0:1c"</f>
        <v>fde3:102:1440:4500:0:0:0:1c</v>
      </c>
      <c r="G5326" s="1" t="str">
        <f>"0426Q031"</f>
        <v>0426Q031</v>
      </c>
      <c r="H5326" s="1" t="str">
        <f>"화중지 48"</f>
        <v>화중지 48</v>
      </c>
      <c r="I5326" s="1" t="s">
        <v>15</v>
      </c>
      <c r="J5326" s="1" t="str">
        <f>"52/53"</f>
        <v>52/53</v>
      </c>
      <c r="K5326" s="1" t="str">
        <f>"2026-07-29 14:21:31"</f>
        <v>2026-07-29 14:21:31</v>
      </c>
      <c r="L5326" s="1" t="str">
        <f>"2023-09-12 18:27:33"</f>
        <v>2023-09-12 18:27:33</v>
      </c>
      <c r="M5326" s="1" t="s">
        <v>45</v>
      </c>
      <c r="N5326" s="1" t="s">
        <v>38</v>
      </c>
      <c r="O5326" s="1" t="s">
        <v>46</v>
      </c>
    </row>
    <row r="5327" spans="2:15" x14ac:dyDescent="0.3">
      <c r="B5327" s="1" t="s">
        <v>23</v>
      </c>
      <c r="C5327" s="1" t="str">
        <f>"5-1차"</f>
        <v>5-1차</v>
      </c>
      <c r="D5327" s="1" t="str">
        <f>"0426Q0935M"</f>
        <v>0426Q0935M</v>
      </c>
      <c r="E5327" s="1" t="s">
        <v>10</v>
      </c>
      <c r="F5327" s="1" t="str">
        <f>"fde3:102:1440:4300:0:0:0:a"</f>
        <v>fde3:102:1440:4300:0:0:0:a</v>
      </c>
      <c r="G5327" s="1" t="str">
        <f>"0426Q093"</f>
        <v>0426Q093</v>
      </c>
      <c r="H5327" s="1" t="str">
        <f>"대원간 7"</f>
        <v>대원간 7</v>
      </c>
      <c r="I5327" s="1" t="s">
        <v>15</v>
      </c>
      <c r="J5327" s="1" t="str">
        <f>"30/30"</f>
        <v>30/30</v>
      </c>
      <c r="K5327" s="1" t="str">
        <f>"2026-07-29 14:21:33"</f>
        <v>2026-07-29 14:21:33</v>
      </c>
      <c r="L5327" s="1" t="str">
        <f>"2022-11-08 09:42:40"</f>
        <v>2022-11-08 09:42:40</v>
      </c>
      <c r="M5327" s="1" t="s">
        <v>45</v>
      </c>
      <c r="N5327" s="1" t="s">
        <v>38</v>
      </c>
      <c r="O5327" s="1" t="s">
        <v>46</v>
      </c>
    </row>
    <row r="5328" spans="2:15" x14ac:dyDescent="0.3">
      <c r="B5328" s="1" t="s">
        <v>23</v>
      </c>
      <c r="C5328" s="1" t="str">
        <f>"5-2차"</f>
        <v>5-2차</v>
      </c>
      <c r="D5328" s="1" t="str">
        <f>"0426Q2515M"</f>
        <v>0426Q2515M</v>
      </c>
      <c r="E5328" s="1" t="s">
        <v>10</v>
      </c>
      <c r="F5328" s="1" t="str">
        <f>"fde1:103:4:91d3:0:0:0:2"</f>
        <v>fde1:103:4:91d3:0:0:0:2</v>
      </c>
      <c r="G5328" s="1" t="str">
        <f>"0426Q251"</f>
        <v>0426Q251</v>
      </c>
      <c r="H5328" s="1" t="str">
        <f>"대원간 15L2L1"</f>
        <v>대원간 15L2L1</v>
      </c>
      <c r="I5328" s="1" t="s">
        <v>15</v>
      </c>
      <c r="J5328" s="1" t="str">
        <f>"40/40"</f>
        <v>40/40</v>
      </c>
      <c r="K5328" s="1" t="str">
        <f>"2026-07-29 08:20:47"</f>
        <v>2026-07-29 08:20:47</v>
      </c>
      <c r="L5328" s="1" t="str">
        <f>"2024-01-08 09:33:34"</f>
        <v>2024-01-08 09:33:34</v>
      </c>
      <c r="M5328" s="1" t="s">
        <v>4</v>
      </c>
      <c r="N5328" s="1" t="s">
        <v>38</v>
      </c>
      <c r="O5328" s="1" t="s">
        <v>46</v>
      </c>
    </row>
    <row r="5329" spans="2:15" x14ac:dyDescent="0.3">
      <c r="B5329" s="1" t="s">
        <v>23</v>
      </c>
      <c r="C5329" s="1" t="str">
        <f>"5-2차"</f>
        <v>5-2차</v>
      </c>
      <c r="D5329" s="1" t="str">
        <f>"0426Q2525M"</f>
        <v>0426Q2525M</v>
      </c>
      <c r="E5329" s="1" t="s">
        <v>10</v>
      </c>
      <c r="F5329" s="1" t="str">
        <f>"fde1:103:4:928d:0:0:0:2"</f>
        <v>fde1:103:4:928d:0:0:0:2</v>
      </c>
      <c r="G5329" s="1" t="str">
        <f>"0426Q252"</f>
        <v>0426Q252</v>
      </c>
      <c r="H5329" s="1" t="str">
        <f>"대원간 15L2L2"</f>
        <v>대원간 15L2L2</v>
      </c>
      <c r="I5329" s="1" t="s">
        <v>15</v>
      </c>
      <c r="J5329" s="1" t="str">
        <f>"58/58"</f>
        <v>58/58</v>
      </c>
      <c r="K5329" s="1" t="str">
        <f>"2026-07-29 14:21:32"</f>
        <v>2026-07-29 14:21:32</v>
      </c>
      <c r="L5329" s="1" t="str">
        <f>"2024-01-08 09:34:07"</f>
        <v>2024-01-08 09:34:07</v>
      </c>
      <c r="M5329" s="1" t="s">
        <v>4</v>
      </c>
      <c r="N5329" s="1" t="s">
        <v>38</v>
      </c>
      <c r="O5329" s="1" t="s">
        <v>46</v>
      </c>
    </row>
    <row r="5330" spans="2:15" x14ac:dyDescent="0.3">
      <c r="B5330" s="1" t="s">
        <v>23</v>
      </c>
      <c r="C5330" s="1" t="str">
        <f>"5-1차"</f>
        <v>5-1차</v>
      </c>
      <c r="D5330" s="1" t="str">
        <f>"0426Q2815S"</f>
        <v>0426Q2815S</v>
      </c>
      <c r="E5330" s="1" t="s">
        <v>10</v>
      </c>
      <c r="F5330" s="1" t="str">
        <f>"fde3:102:1440:4300:0:0:0:8"</f>
        <v>fde3:102:1440:4300:0:0:0:8</v>
      </c>
      <c r="G5330" s="1" t="str">
        <f>"0426Q281"</f>
        <v>0426Q281</v>
      </c>
      <c r="H5330" s="1" t="str">
        <f>"대원간 8L3R1"</f>
        <v>대원간 8L3R1</v>
      </c>
      <c r="I5330" s="1" t="s">
        <v>15</v>
      </c>
      <c r="J5330" s="1" t="str">
        <f>"32/37"</f>
        <v>32/37</v>
      </c>
      <c r="K5330" s="1" t="str">
        <f>"2026-07-29 14:20:36"</f>
        <v>2026-07-29 14:20:36</v>
      </c>
      <c r="L5330" s="1" t="str">
        <f>"2022-11-01 12:28:26"</f>
        <v>2022-11-01 12:28:26</v>
      </c>
      <c r="M5330" s="1" t="s">
        <v>45</v>
      </c>
      <c r="N5330" s="1" t="s">
        <v>38</v>
      </c>
      <c r="O5330" s="1" t="s">
        <v>46</v>
      </c>
    </row>
    <row r="5331" spans="2:15" x14ac:dyDescent="0.3">
      <c r="B5331" s="1" t="s">
        <v>23</v>
      </c>
      <c r="C5331" s="1" t="str">
        <f t="shared" ref="C5331:C5343" si="279">"5-2차"</f>
        <v>5-2차</v>
      </c>
      <c r="D5331" s="1" t="str">
        <f>"0426Q2825M"</f>
        <v>0426Q2825M</v>
      </c>
      <c r="E5331" s="1" t="s">
        <v>10</v>
      </c>
      <c r="F5331" s="1" t="str">
        <f>"fde3:102:1440:4300:0:0:0:f"</f>
        <v>fde3:102:1440:4300:0:0:0:f</v>
      </c>
      <c r="G5331" s="1" t="str">
        <f>"0426Q282"</f>
        <v>0426Q282</v>
      </c>
      <c r="H5331" s="1" t="str">
        <f>"대원간 8L3R2"</f>
        <v>대원간 8L3R2</v>
      </c>
      <c r="I5331" s="1" t="s">
        <v>15</v>
      </c>
      <c r="J5331" s="1" t="str">
        <f>"65/65"</f>
        <v>65/65</v>
      </c>
      <c r="K5331" s="1" t="str">
        <f>"2026-07-29 14:21:19"</f>
        <v>2026-07-29 14:21:19</v>
      </c>
      <c r="L5331" s="1" t="str">
        <f>"2023-08-23 20:59:06"</f>
        <v>2023-08-23 20:59:06</v>
      </c>
      <c r="M5331" s="1" t="s">
        <v>45</v>
      </c>
      <c r="N5331" s="1" t="s">
        <v>38</v>
      </c>
      <c r="O5331" s="1" t="s">
        <v>46</v>
      </c>
    </row>
    <row r="5332" spans="2:15" x14ac:dyDescent="0.3">
      <c r="B5332" s="1" t="s">
        <v>23</v>
      </c>
      <c r="C5332" s="1" t="str">
        <f t="shared" si="279"/>
        <v>5-2차</v>
      </c>
      <c r="D5332" s="1" t="str">
        <f>"0426Q2915M"</f>
        <v>0426Q2915M</v>
      </c>
      <c r="E5332" s="1" t="s">
        <v>10</v>
      </c>
      <c r="F5332" s="1" t="str">
        <f>"fde1:103:4:90fe:0:0:0:2"</f>
        <v>fde1:103:4:90fe:0:0:0:2</v>
      </c>
      <c r="G5332" s="1" t="str">
        <f>"0426Q291"</f>
        <v>0426Q291</v>
      </c>
      <c r="H5332" s="1" t="str">
        <f>"대원간 8L2"</f>
        <v>대원간 8L2</v>
      </c>
      <c r="I5332" s="1" t="s">
        <v>15</v>
      </c>
      <c r="J5332" s="1" t="str">
        <f>"51/51"</f>
        <v>51/51</v>
      </c>
      <c r="K5332" s="1" t="str">
        <f>"2026-07-29 14:21:32"</f>
        <v>2026-07-29 14:21:32</v>
      </c>
      <c r="L5332" s="1" t="str">
        <f>"2023-12-21 14:23:20"</f>
        <v>2023-12-21 14:23:20</v>
      </c>
      <c r="M5332" s="1" t="s">
        <v>4</v>
      </c>
      <c r="N5332" s="1" t="s">
        <v>38</v>
      </c>
      <c r="O5332" s="1" t="s">
        <v>46</v>
      </c>
    </row>
    <row r="5333" spans="2:15" x14ac:dyDescent="0.3">
      <c r="B5333" s="1" t="s">
        <v>23</v>
      </c>
      <c r="C5333" s="1" t="str">
        <f t="shared" si="279"/>
        <v>5-2차</v>
      </c>
      <c r="D5333" s="1" t="str">
        <f>"0426Q2925M"</f>
        <v>0426Q2925M</v>
      </c>
      <c r="E5333" s="1" t="s">
        <v>10</v>
      </c>
      <c r="F5333" s="1" t="str">
        <f>"fde3:102:1440:4300:0:0:0:1e"</f>
        <v>fde3:102:1440:4300:0:0:0:1e</v>
      </c>
      <c r="G5333" s="1" t="str">
        <f>"0426Q292"</f>
        <v>0426Q292</v>
      </c>
      <c r="H5333" s="1" t="str">
        <f>"대원간 8L3"</f>
        <v>대원간 8L3</v>
      </c>
      <c r="I5333" s="1" t="s">
        <v>15</v>
      </c>
      <c r="J5333" s="1" t="str">
        <f>"91/93"</f>
        <v>91/93</v>
      </c>
      <c r="K5333" s="1" t="str">
        <f>"2026-07-29 14:21:19"</f>
        <v>2026-07-29 14:21:19</v>
      </c>
      <c r="L5333" s="1" t="str">
        <f>"2024-01-11 15:51:42"</f>
        <v>2024-01-11 15:51:42</v>
      </c>
      <c r="M5333" s="1" t="s">
        <v>45</v>
      </c>
      <c r="N5333" s="1" t="s">
        <v>38</v>
      </c>
      <c r="O5333" s="1" t="s">
        <v>46</v>
      </c>
    </row>
    <row r="5334" spans="2:15" x14ac:dyDescent="0.3">
      <c r="B5334" s="1" t="s">
        <v>23</v>
      </c>
      <c r="C5334" s="1" t="str">
        <f t="shared" si="279"/>
        <v>5-2차</v>
      </c>
      <c r="D5334" s="1" t="str">
        <f>"0426Q3415M"</f>
        <v>0426Q3415M</v>
      </c>
      <c r="E5334" s="1" t="s">
        <v>10</v>
      </c>
      <c r="F5334" s="1" t="str">
        <f>"fde3:102:1440:4200:0:0:0:11"</f>
        <v>fde3:102:1440:4200:0:0:0:11</v>
      </c>
      <c r="G5334" s="1" t="str">
        <f>"0426Q341"</f>
        <v>0426Q341</v>
      </c>
      <c r="H5334" s="1" t="str">
        <f>"대원간 15L3"</f>
        <v>대원간 15L3</v>
      </c>
      <c r="I5334" s="1" t="s">
        <v>15</v>
      </c>
      <c r="J5334" s="1" t="str">
        <f>"50/50"</f>
        <v>50/50</v>
      </c>
      <c r="K5334" s="1" t="str">
        <f>"2026-07-29 14:21:32"</f>
        <v>2026-07-29 14:21:32</v>
      </c>
      <c r="L5334" s="1" t="str">
        <f>"2023-08-23 20:59:50"</f>
        <v>2023-08-23 20:59:50</v>
      </c>
      <c r="M5334" s="1" t="s">
        <v>45</v>
      </c>
      <c r="N5334" s="1" t="s">
        <v>38</v>
      </c>
      <c r="O5334" s="1" t="s">
        <v>46</v>
      </c>
    </row>
    <row r="5335" spans="2:15" x14ac:dyDescent="0.3">
      <c r="B5335" s="1" t="s">
        <v>23</v>
      </c>
      <c r="C5335" s="1" t="str">
        <f t="shared" si="279"/>
        <v>5-2차</v>
      </c>
      <c r="D5335" s="1" t="str">
        <f>"0426Q3715S"</f>
        <v>0426Q3715S</v>
      </c>
      <c r="E5335" s="1" t="s">
        <v>10</v>
      </c>
      <c r="F5335" s="1" t="str">
        <f>"fde3:102:1440:4200:0:0:0:21"</f>
        <v>fde3:102:1440:4200:0:0:0:21</v>
      </c>
      <c r="G5335" s="1" t="str">
        <f>"0426Q371"</f>
        <v>0426Q371</v>
      </c>
      <c r="H5335" s="1" t="str">
        <f>"대원간 8L3R3R1"</f>
        <v>대원간 8L3R3R1</v>
      </c>
      <c r="I5335" s="1" t="s">
        <v>15</v>
      </c>
      <c r="J5335" s="1" t="str">
        <f>"55/55"</f>
        <v>55/55</v>
      </c>
      <c r="K5335" s="1" t="str">
        <f>"2026-07-29 14:21:04"</f>
        <v>2026-07-29 14:21:04</v>
      </c>
      <c r="L5335" s="1" t="str">
        <f>"2023-07-04 11:53:12"</f>
        <v>2023-07-04 11:53:12</v>
      </c>
      <c r="M5335" s="1" t="s">
        <v>45</v>
      </c>
      <c r="N5335" s="1" t="s">
        <v>38</v>
      </c>
      <c r="O5335" s="1" t="s">
        <v>46</v>
      </c>
    </row>
    <row r="5336" spans="2:15" x14ac:dyDescent="0.3">
      <c r="B5336" s="1" t="s">
        <v>23</v>
      </c>
      <c r="C5336" s="1" t="str">
        <f t="shared" si="279"/>
        <v>5-2차</v>
      </c>
      <c r="D5336" s="1" t="str">
        <f>"0426Q3815S"</f>
        <v>0426Q3815S</v>
      </c>
      <c r="E5336" s="1" t="s">
        <v>10</v>
      </c>
      <c r="F5336" s="1" t="str">
        <f>"fde3:102:1440:4300:0:0:0:17"</f>
        <v>fde3:102:1440:4300:0:0:0:17</v>
      </c>
      <c r="G5336" s="1" t="str">
        <f>"0426Q381"</f>
        <v>0426Q381</v>
      </c>
      <c r="H5336" s="1" t="str">
        <f>"대원간 8L3R3"</f>
        <v>대원간 8L3R3</v>
      </c>
      <c r="I5336" s="1" t="s">
        <v>15</v>
      </c>
      <c r="J5336" s="1" t="str">
        <f>"30/30"</f>
        <v>30/30</v>
      </c>
      <c r="K5336" s="1" t="str">
        <f>"2026-07-29 14:21:12"</f>
        <v>2026-07-29 14:21:12</v>
      </c>
      <c r="L5336" s="1" t="str">
        <f>"2023-07-04 12:19:48"</f>
        <v>2023-07-04 12:19:48</v>
      </c>
      <c r="M5336" s="1" t="s">
        <v>45</v>
      </c>
      <c r="N5336" s="1" t="s">
        <v>38</v>
      </c>
      <c r="O5336" s="1" t="s">
        <v>46</v>
      </c>
    </row>
    <row r="5337" spans="2:15" x14ac:dyDescent="0.3">
      <c r="B5337" s="1" t="s">
        <v>23</v>
      </c>
      <c r="C5337" s="1" t="str">
        <f t="shared" si="279"/>
        <v>5-2차</v>
      </c>
      <c r="D5337" s="1" t="str">
        <f>"0426Q4815S"</f>
        <v>0426Q4815S</v>
      </c>
      <c r="E5337" s="1" t="s">
        <v>10</v>
      </c>
      <c r="F5337" s="1" t="str">
        <f>"fde3:102:1440:4200:0:0:0:22"</f>
        <v>fde3:102:1440:4200:0:0:0:22</v>
      </c>
      <c r="G5337" s="1" t="str">
        <f>"0426Q481"</f>
        <v>0426Q481</v>
      </c>
      <c r="H5337" s="1" t="str">
        <f>"대원간 8L3R4"</f>
        <v>대원간 8L3R4</v>
      </c>
      <c r="I5337" s="1" t="s">
        <v>15</v>
      </c>
      <c r="J5337" s="1" t="str">
        <f>"103/103"</f>
        <v>103/103</v>
      </c>
      <c r="K5337" s="1" t="str">
        <f>"2026-07-29 14:21:33"</f>
        <v>2026-07-29 14:21:33</v>
      </c>
      <c r="L5337" s="1" t="str">
        <f>"2023-07-04 11:16:51"</f>
        <v>2023-07-04 11:16:51</v>
      </c>
      <c r="M5337" s="1" t="s">
        <v>45</v>
      </c>
      <c r="N5337" s="1" t="s">
        <v>38</v>
      </c>
      <c r="O5337" s="1" t="s">
        <v>46</v>
      </c>
    </row>
    <row r="5338" spans="2:15" x14ac:dyDescent="0.3">
      <c r="B5338" s="1" t="s">
        <v>23</v>
      </c>
      <c r="C5338" s="1" t="str">
        <f t="shared" si="279"/>
        <v>5-2차</v>
      </c>
      <c r="D5338" s="1" t="str">
        <f>"0426Q4925S"</f>
        <v>0426Q4925S</v>
      </c>
      <c r="E5338" s="1" t="s">
        <v>10</v>
      </c>
      <c r="F5338" s="1" t="str">
        <f>"fde3:102:1440:4300:0:0:0:e"</f>
        <v>fde3:102:1440:4300:0:0:0:e</v>
      </c>
      <c r="G5338" s="1" t="str">
        <f>"0426Q492"</f>
        <v>0426Q492</v>
      </c>
      <c r="H5338" s="1" t="str">
        <f>"대원간 8L6"</f>
        <v>대원간 8L6</v>
      </c>
      <c r="I5338" s="1" t="s">
        <v>15</v>
      </c>
      <c r="J5338" s="1" t="str">
        <f>"67/67"</f>
        <v>67/67</v>
      </c>
      <c r="K5338" s="1" t="str">
        <f>"2026-07-29 14:21:36"</f>
        <v>2026-07-29 14:21:36</v>
      </c>
      <c r="L5338" s="1" t="str">
        <f>"2023-07-31 14:05:47"</f>
        <v>2023-07-31 14:05:47</v>
      </c>
      <c r="M5338" s="1" t="s">
        <v>45</v>
      </c>
      <c r="N5338" s="1" t="s">
        <v>38</v>
      </c>
      <c r="O5338" s="1" t="s">
        <v>46</v>
      </c>
    </row>
    <row r="5339" spans="2:15" x14ac:dyDescent="0.3">
      <c r="B5339" s="1" t="s">
        <v>23</v>
      </c>
      <c r="C5339" s="1" t="str">
        <f t="shared" si="279"/>
        <v>5-2차</v>
      </c>
      <c r="D5339" s="1" t="str">
        <f>"0426Q5725M"</f>
        <v>0426Q5725M</v>
      </c>
      <c r="E5339" s="1" t="s">
        <v>10</v>
      </c>
      <c r="F5339" s="1" t="str">
        <f>"fde3:102:1440:4600:0:0:0:2"</f>
        <v>fde3:102:1440:4600:0:0:0:2</v>
      </c>
      <c r="G5339" s="1" t="str">
        <f>"0426Q572"</f>
        <v>0426Q572</v>
      </c>
      <c r="H5339" s="1" t="str">
        <f>"대원간 8L9"</f>
        <v>대원간 8L9</v>
      </c>
      <c r="I5339" s="1" t="s">
        <v>15</v>
      </c>
      <c r="J5339" s="1" t="str">
        <f>"35/35"</f>
        <v>35/35</v>
      </c>
      <c r="K5339" s="1" t="str">
        <f>"2026-07-29 14:21:32"</f>
        <v>2026-07-29 14:21:32</v>
      </c>
      <c r="L5339" s="1" t="str">
        <f>"2023-08-23 21:00:25"</f>
        <v>2023-08-23 21:00:25</v>
      </c>
      <c r="M5339" s="1" t="s">
        <v>45</v>
      </c>
      <c r="N5339" s="1" t="s">
        <v>38</v>
      </c>
      <c r="O5339" s="1" t="s">
        <v>46</v>
      </c>
    </row>
    <row r="5340" spans="2:15" x14ac:dyDescent="0.3">
      <c r="B5340" s="1" t="s">
        <v>23</v>
      </c>
      <c r="C5340" s="1" t="str">
        <f t="shared" si="279"/>
        <v>5-2차</v>
      </c>
      <c r="D5340" s="1" t="str">
        <f>"0426Q7325S"</f>
        <v>0426Q7325S</v>
      </c>
      <c r="E5340" s="1" t="s">
        <v>10</v>
      </c>
      <c r="F5340" s="1" t="str">
        <f>"fde3:102:1440:4100:0:0:0:4"</f>
        <v>fde3:102:1440:4100:0:0:0:4</v>
      </c>
      <c r="G5340" s="1" t="str">
        <f>"0426Q732"</f>
        <v>0426Q732</v>
      </c>
      <c r="H5340" s="1" t="str">
        <f>"대원간 15L10"</f>
        <v>대원간 15L10</v>
      </c>
      <c r="I5340" s="1" t="s">
        <v>15</v>
      </c>
      <c r="J5340" s="1" t="str">
        <f>"43/43"</f>
        <v>43/43</v>
      </c>
      <c r="K5340" s="1" t="str">
        <f>"2026-07-29 14:21:33"</f>
        <v>2026-07-29 14:21:33</v>
      </c>
      <c r="L5340" s="1" t="str">
        <f>"2023-07-05 15:53:02"</f>
        <v>2023-07-05 15:53:02</v>
      </c>
      <c r="M5340" s="1" t="s">
        <v>45</v>
      </c>
      <c r="N5340" s="1" t="s">
        <v>38</v>
      </c>
      <c r="O5340" s="1" t="s">
        <v>46</v>
      </c>
    </row>
    <row r="5341" spans="2:15" x14ac:dyDescent="0.3">
      <c r="B5341" s="1" t="s">
        <v>23</v>
      </c>
      <c r="C5341" s="1" t="str">
        <f t="shared" si="279"/>
        <v>5-2차</v>
      </c>
      <c r="D5341" s="1" t="str">
        <f>"0426R0125S"</f>
        <v>0426R0125S</v>
      </c>
      <c r="E5341" s="1" t="s">
        <v>10</v>
      </c>
      <c r="F5341" s="1" t="str">
        <f>"fde3:102:1440:4100:0:0:0:8"</f>
        <v>fde3:102:1440:4100:0:0:0:8</v>
      </c>
      <c r="G5341" s="1" t="str">
        <f>"0426R012"</f>
        <v>0426R012</v>
      </c>
      <c r="H5341" s="1" t="str">
        <f>"화수간 25L3L2"</f>
        <v>화수간 25L3L2</v>
      </c>
      <c r="I5341" s="1" t="s">
        <v>15</v>
      </c>
      <c r="J5341" s="1" t="str">
        <f>"53/53"</f>
        <v>53/53</v>
      </c>
      <c r="K5341" s="1" t="str">
        <f>"2026-07-29 14:20:46"</f>
        <v>2026-07-29 14:20:46</v>
      </c>
      <c r="L5341" s="1" t="str">
        <f>"2023-06-28 15:54:39"</f>
        <v>2023-06-28 15:54:39</v>
      </c>
      <c r="M5341" s="1" t="s">
        <v>45</v>
      </c>
      <c r="N5341" s="1" t="s">
        <v>38</v>
      </c>
      <c r="O5341" s="1" t="s">
        <v>46</v>
      </c>
    </row>
    <row r="5342" spans="2:15" x14ac:dyDescent="0.3">
      <c r="B5342" s="1" t="s">
        <v>23</v>
      </c>
      <c r="C5342" s="1" t="str">
        <f t="shared" si="279"/>
        <v>5-2차</v>
      </c>
      <c r="D5342" s="1" t="str">
        <f>"0426R0315M"</f>
        <v>0426R0315M</v>
      </c>
      <c r="E5342" s="1" t="s">
        <v>10</v>
      </c>
      <c r="F5342" s="1" t="str">
        <f>"fde1:103:4:92a1:0:0:0:2"</f>
        <v>fde1:103:4:92a1:0:0:0:2</v>
      </c>
      <c r="G5342" s="1" t="str">
        <f>"0426R031"</f>
        <v>0426R031</v>
      </c>
      <c r="H5342" s="1" t="str">
        <f>"화수간 22L2"</f>
        <v>화수간 22L2</v>
      </c>
      <c r="I5342" s="1" t="s">
        <v>15</v>
      </c>
      <c r="J5342" s="1" t="str">
        <f>"81/81"</f>
        <v>81/81</v>
      </c>
      <c r="K5342" s="1" t="str">
        <f>"2026-07-29 14:21:04"</f>
        <v>2026-07-29 14:21:04</v>
      </c>
      <c r="L5342" s="1" t="str">
        <f>"2023-12-21 15:16:47"</f>
        <v>2023-12-21 15:16:47</v>
      </c>
      <c r="M5342" s="1" t="s">
        <v>4</v>
      </c>
      <c r="N5342" s="1" t="s">
        <v>38</v>
      </c>
      <c r="O5342" s="1" t="s">
        <v>46</v>
      </c>
    </row>
    <row r="5343" spans="2:15" x14ac:dyDescent="0.3">
      <c r="B5343" s="1" t="s">
        <v>23</v>
      </c>
      <c r="C5343" s="1" t="str">
        <f t="shared" si="279"/>
        <v>5-2차</v>
      </c>
      <c r="D5343" s="1" t="str">
        <f>"0426R0515M"</f>
        <v>0426R0515M</v>
      </c>
      <c r="E5343" s="1" t="s">
        <v>10</v>
      </c>
      <c r="F5343" s="1" t="str">
        <f>"fde3:102:1440:4400:0:0:0:23"</f>
        <v>fde3:102:1440:4400:0:0:0:23</v>
      </c>
      <c r="G5343" s="1" t="str">
        <f>"0426R051"</f>
        <v>0426R051</v>
      </c>
      <c r="H5343" s="1" t="str">
        <f>"화수간 19"</f>
        <v>화수간 19</v>
      </c>
      <c r="I5343" s="1" t="s">
        <v>15</v>
      </c>
      <c r="J5343" s="1" t="str">
        <f>"44/44"</f>
        <v>44/44</v>
      </c>
      <c r="K5343" s="1" t="str">
        <f>"2026-07-29 14:21:09"</f>
        <v>2026-07-29 14:21:09</v>
      </c>
      <c r="L5343" s="1" t="str">
        <f>"2024-01-17 11:06:02"</f>
        <v>2024-01-17 11:06:02</v>
      </c>
      <c r="M5343" s="1" t="s">
        <v>45</v>
      </c>
      <c r="N5343" s="1" t="s">
        <v>38</v>
      </c>
      <c r="O5343" s="1" t="s">
        <v>46</v>
      </c>
    </row>
    <row r="5344" spans="2:15" x14ac:dyDescent="0.3">
      <c r="B5344" s="1" t="s">
        <v>23</v>
      </c>
      <c r="C5344" s="1" t="str">
        <f>"3차"</f>
        <v>3차</v>
      </c>
      <c r="D5344" s="1" t="str">
        <f>"0426R06239"</f>
        <v>0426R06239</v>
      </c>
      <c r="E5344" s="1" t="s">
        <v>10</v>
      </c>
      <c r="F5344" s="1" t="str">
        <f>"10.11.57.162"</f>
        <v>10.11.57.162</v>
      </c>
      <c r="G5344" s="1" t="str">
        <f>"0426R062"</f>
        <v>0426R062</v>
      </c>
      <c r="H5344" s="1" t="str">
        <f>"화수간 18R1"</f>
        <v>화수간 18R1</v>
      </c>
      <c r="I5344" s="1" t="s">
        <v>8</v>
      </c>
      <c r="J5344" s="1" t="str">
        <f>"26/26"</f>
        <v>26/26</v>
      </c>
      <c r="K5344" s="1" t="str">
        <f>"2026-07-29 13:18:04"</f>
        <v>2026-07-29 13:18:04</v>
      </c>
      <c r="L5344" s="1" t="str">
        <f>"2018-05-04 11:11:10"</f>
        <v>2018-05-04 11:11:10</v>
      </c>
      <c r="M5344" s="1" t="s">
        <v>2</v>
      </c>
      <c r="N5344" s="1" t="s">
        <v>38</v>
      </c>
      <c r="O5344" s="1" t="s">
        <v>46</v>
      </c>
    </row>
    <row r="5345" spans="2:15" x14ac:dyDescent="0.3">
      <c r="B5345" s="1" t="s">
        <v>23</v>
      </c>
      <c r="C5345" s="1" t="str">
        <f>"3차"</f>
        <v>3차</v>
      </c>
      <c r="D5345" s="1" t="str">
        <f>"0426R07139"</f>
        <v>0426R07139</v>
      </c>
      <c r="E5345" s="1" t="s">
        <v>10</v>
      </c>
      <c r="F5345" s="1" t="str">
        <f>"10.11.57.194"</f>
        <v>10.11.57.194</v>
      </c>
      <c r="G5345" s="1" t="str">
        <f>"0426R071"</f>
        <v>0426R071</v>
      </c>
      <c r="H5345" s="1" t="str">
        <f>"화수간 17"</f>
        <v>화수간 17</v>
      </c>
      <c r="I5345" s="1" t="s">
        <v>8</v>
      </c>
      <c r="J5345" s="1" t="str">
        <f>"14/14"</f>
        <v>14/14</v>
      </c>
      <c r="K5345" s="1" t="str">
        <f>"2026-07-29 13:18:04"</f>
        <v>2026-07-29 13:18:04</v>
      </c>
      <c r="L5345" s="1" t="str">
        <f>"2018-05-02 10:10:40"</f>
        <v>2018-05-02 10:10:40</v>
      </c>
      <c r="M5345" s="1" t="s">
        <v>2</v>
      </c>
      <c r="N5345" s="1" t="s">
        <v>38</v>
      </c>
      <c r="O5345" s="1" t="s">
        <v>46</v>
      </c>
    </row>
    <row r="5346" spans="2:15" x14ac:dyDescent="0.3">
      <c r="B5346" s="1" t="s">
        <v>23</v>
      </c>
      <c r="C5346" s="1" t="str">
        <f>"3차"</f>
        <v>3차</v>
      </c>
      <c r="D5346" s="1" t="str">
        <f>"0426R09139"</f>
        <v>0426R09139</v>
      </c>
      <c r="E5346" s="1" t="s">
        <v>10</v>
      </c>
      <c r="F5346" s="1" t="str">
        <f>"10.11.62.162"</f>
        <v>10.11.62.162</v>
      </c>
      <c r="G5346" s="1" t="str">
        <f>"0426R091"</f>
        <v>0426R091</v>
      </c>
      <c r="H5346" s="1" t="str">
        <f>"화수간 15R3"</f>
        <v>화수간 15R3</v>
      </c>
      <c r="I5346" s="1" t="s">
        <v>8</v>
      </c>
      <c r="J5346" s="1" t="str">
        <f>"66/66"</f>
        <v>66/66</v>
      </c>
      <c r="K5346" s="1" t="str">
        <f>"2026-07-29 13:18:03"</f>
        <v>2026-07-29 13:18:03</v>
      </c>
      <c r="L5346" s="1" t="str">
        <f>"2018-05-04 10:43:55"</f>
        <v>2018-05-04 10:43:55</v>
      </c>
      <c r="M5346" s="1" t="s">
        <v>2</v>
      </c>
      <c r="N5346" s="1" t="s">
        <v>38</v>
      </c>
      <c r="O5346" s="1" t="s">
        <v>46</v>
      </c>
    </row>
    <row r="5347" spans="2:15" x14ac:dyDescent="0.3">
      <c r="B5347" s="1" t="s">
        <v>23</v>
      </c>
      <c r="C5347" s="1" t="str">
        <f>"6차"</f>
        <v>6차</v>
      </c>
      <c r="D5347" s="1" t="str">
        <f>"0426R1016S"</f>
        <v>0426R1016S</v>
      </c>
      <c r="E5347" s="1" t="s">
        <v>10</v>
      </c>
      <c r="F5347" s="1" t="str">
        <f>"fde1:103:4:927d:0:0:0:2"</f>
        <v>fde1:103:4:927d:0:0:0:2</v>
      </c>
      <c r="G5347" s="1" t="str">
        <f>"0426R101"</f>
        <v>0426R101</v>
      </c>
      <c r="H5347" s="1" t="str">
        <f>"화수간 25L6L2"</f>
        <v>화수간 25L6L2</v>
      </c>
      <c r="I5347" s="1" t="s">
        <v>15</v>
      </c>
      <c r="J5347" s="1" t="str">
        <f>"53/60"</f>
        <v>53/60</v>
      </c>
      <c r="K5347" s="1" t="str">
        <f>"2026-07-29 14:21:05"</f>
        <v>2026-07-29 14:21:05</v>
      </c>
      <c r="L5347" s="1" t="str">
        <f>"2024-09-27 16:46:07"</f>
        <v>2024-09-27 16:46:07</v>
      </c>
      <c r="M5347" s="1" t="s">
        <v>4</v>
      </c>
      <c r="N5347" s="1" t="s">
        <v>38</v>
      </c>
      <c r="O5347" s="1" t="s">
        <v>46</v>
      </c>
    </row>
    <row r="5348" spans="2:15" x14ac:dyDescent="0.3">
      <c r="B5348" s="1" t="s">
        <v>23</v>
      </c>
      <c r="C5348" s="1" t="str">
        <f>"5-2차"</f>
        <v>5-2차</v>
      </c>
      <c r="D5348" s="1" t="str">
        <f>"0426R1315M"</f>
        <v>0426R1315M</v>
      </c>
      <c r="E5348" s="1" t="s">
        <v>10</v>
      </c>
      <c r="F5348" s="1" t="str">
        <f>"fde1:103:4:9266:0:0:0:2"</f>
        <v>fde1:103:4:9266:0:0:0:2</v>
      </c>
      <c r="G5348" s="1" t="str">
        <f>"0426R131"</f>
        <v>0426R131</v>
      </c>
      <c r="H5348" s="1" t="str">
        <f>"화수간 22L4"</f>
        <v>화수간 22L4</v>
      </c>
      <c r="I5348" s="1" t="s">
        <v>15</v>
      </c>
      <c r="J5348" s="1" t="str">
        <f>"71/71"</f>
        <v>71/71</v>
      </c>
      <c r="K5348" s="1" t="str">
        <f>"2026-07-29 14:21:10"</f>
        <v>2026-07-29 14:21:10</v>
      </c>
      <c r="L5348" s="1" t="str">
        <f>"2023-12-21 15:18:01"</f>
        <v>2023-12-21 15:18:01</v>
      </c>
      <c r="M5348" s="1" t="s">
        <v>4</v>
      </c>
      <c r="N5348" s="1" t="s">
        <v>38</v>
      </c>
      <c r="O5348" s="1" t="s">
        <v>46</v>
      </c>
    </row>
    <row r="5349" spans="2:15" x14ac:dyDescent="0.3">
      <c r="B5349" s="1" t="s">
        <v>23</v>
      </c>
      <c r="C5349" s="1" t="str">
        <f>"5-2차"</f>
        <v>5-2차</v>
      </c>
      <c r="D5349" s="1" t="str">
        <f>"0426R1325M"</f>
        <v>0426R1325M</v>
      </c>
      <c r="E5349" s="1" t="s">
        <v>10</v>
      </c>
      <c r="F5349" s="1" t="str">
        <f>"fde3:102:1440:4400:0:0:0:11"</f>
        <v>fde3:102:1440:4400:0:0:0:11</v>
      </c>
      <c r="G5349" s="1" t="str">
        <f>"0426R132"</f>
        <v>0426R132</v>
      </c>
      <c r="H5349" s="1" t="str">
        <f>"광장간 16R4"</f>
        <v>광장간 16R4</v>
      </c>
      <c r="I5349" s="1" t="s">
        <v>15</v>
      </c>
      <c r="J5349" s="1" t="str">
        <f>"30/30"</f>
        <v>30/30</v>
      </c>
      <c r="K5349" s="1" t="str">
        <f>"2026-07-29 14:20:35"</f>
        <v>2026-07-29 14:20:35</v>
      </c>
      <c r="L5349" s="1" t="str">
        <f>"2023-09-12 18:28:31"</f>
        <v>2023-09-12 18:28:31</v>
      </c>
      <c r="M5349" s="1" t="s">
        <v>45</v>
      </c>
      <c r="N5349" s="1" t="s">
        <v>38</v>
      </c>
      <c r="O5349" s="1" t="s">
        <v>46</v>
      </c>
    </row>
    <row r="5350" spans="2:15" x14ac:dyDescent="0.3">
      <c r="B5350" s="1" t="s">
        <v>23</v>
      </c>
      <c r="C5350" s="1" t="s">
        <v>16</v>
      </c>
      <c r="D5350" s="1" t="str">
        <f>"0426R18241"</f>
        <v>0426R18241</v>
      </c>
      <c r="E5350" s="1" t="s">
        <v>10</v>
      </c>
      <c r="F5350" s="1" t="str">
        <f>"10.14.12.131"</f>
        <v>10.14.12.131</v>
      </c>
      <c r="G5350" s="1" t="str">
        <f>"0426R182"</f>
        <v>0426R182</v>
      </c>
      <c r="H5350" s="1" t="str">
        <f>"화수간 15"</f>
        <v>화수간 15</v>
      </c>
      <c r="I5350" s="1" t="s">
        <v>17</v>
      </c>
      <c r="J5350" s="1" t="str">
        <f>"32/32"</f>
        <v>32/32</v>
      </c>
      <c r="K5350" s="1" t="str">
        <f>"2026-07-29 13:18:02"</f>
        <v>2026-07-29 13:18:02</v>
      </c>
      <c r="L5350" s="1" t="str">
        <f>"2022-11-09 08:42:01"</f>
        <v>2022-11-09 08:42:01</v>
      </c>
      <c r="M5350" s="1" t="s">
        <v>3</v>
      </c>
      <c r="N5350" s="1" t="s">
        <v>38</v>
      </c>
      <c r="O5350" s="1" t="s">
        <v>46</v>
      </c>
    </row>
    <row r="5351" spans="2:15" x14ac:dyDescent="0.3">
      <c r="B5351" s="1" t="s">
        <v>23</v>
      </c>
      <c r="C5351" s="1" t="str">
        <f>"5-1차"</f>
        <v>5-1차</v>
      </c>
      <c r="D5351" s="1" t="str">
        <f>"0426R1915M"</f>
        <v>0426R1915M</v>
      </c>
      <c r="E5351" s="1" t="s">
        <v>10</v>
      </c>
      <c r="F5351" s="1" t="str">
        <f>"fde3:102:1440:4400:0:0:0:4"</f>
        <v>fde3:102:1440:4400:0:0:0:4</v>
      </c>
      <c r="G5351" s="1" t="str">
        <f>"0426R191"</f>
        <v>0426R191</v>
      </c>
      <c r="H5351" s="1" t="str">
        <f>"화수간 14"</f>
        <v>화수간 14</v>
      </c>
      <c r="I5351" s="1" t="s">
        <v>15</v>
      </c>
      <c r="J5351" s="1" t="str">
        <f>"38/38"</f>
        <v>38/38</v>
      </c>
      <c r="K5351" s="1" t="str">
        <f>"2026-07-29 14:21:05"</f>
        <v>2026-07-29 14:21:05</v>
      </c>
      <c r="L5351" s="1" t="str">
        <f>"2022-11-08 09:48:21"</f>
        <v>2022-11-08 09:48:21</v>
      </c>
      <c r="M5351" s="1" t="s">
        <v>45</v>
      </c>
      <c r="N5351" s="1" t="s">
        <v>38</v>
      </c>
      <c r="O5351" s="1" t="s">
        <v>46</v>
      </c>
    </row>
    <row r="5352" spans="2:15" x14ac:dyDescent="0.3">
      <c r="B5352" s="1" t="s">
        <v>23</v>
      </c>
      <c r="C5352" s="1" t="str">
        <f>"5-2차"</f>
        <v>5-2차</v>
      </c>
      <c r="D5352" s="1" t="str">
        <f>"0426R2115M"</f>
        <v>0426R2115M</v>
      </c>
      <c r="E5352" s="1" t="s">
        <v>10</v>
      </c>
      <c r="F5352" s="1" t="str">
        <f>"fde3:102:1440:4600:0:0:0:3"</f>
        <v>fde3:102:1440:4600:0:0:0:3</v>
      </c>
      <c r="G5352" s="1" t="str">
        <f>"0426R211"</f>
        <v>0426R211</v>
      </c>
      <c r="H5352" s="1" t="str">
        <f>"화수간 25L6L3"</f>
        <v>화수간 25L6L3</v>
      </c>
      <c r="I5352" s="1" t="s">
        <v>15</v>
      </c>
      <c r="J5352" s="1" t="str">
        <f>"36/36"</f>
        <v>36/36</v>
      </c>
      <c r="K5352" s="1" t="str">
        <f>"2026-07-29 14:21:04"</f>
        <v>2026-07-29 14:21:04</v>
      </c>
      <c r="L5352" s="1" t="str">
        <f>"2023-09-12 18:33:05"</f>
        <v>2023-09-12 18:33:05</v>
      </c>
      <c r="M5352" s="1" t="s">
        <v>45</v>
      </c>
      <c r="N5352" s="1" t="s">
        <v>38</v>
      </c>
      <c r="O5352" s="1" t="s">
        <v>46</v>
      </c>
    </row>
    <row r="5353" spans="2:15" x14ac:dyDescent="0.3">
      <c r="B5353" s="1" t="s">
        <v>23</v>
      </c>
      <c r="C5353" s="1" t="str">
        <f>"5-2차"</f>
        <v>5-2차</v>
      </c>
      <c r="D5353" s="1" t="str">
        <f>"0426R2245S"</f>
        <v>0426R2245S</v>
      </c>
      <c r="E5353" s="1" t="s">
        <v>10</v>
      </c>
      <c r="F5353" s="1" t="str">
        <f>"fde3:102:1440:4600:0:0:0:4"</f>
        <v>fde3:102:1440:4600:0:0:0:4</v>
      </c>
      <c r="G5353" s="1" t="str">
        <f>"0426R224"</f>
        <v>0426R224</v>
      </c>
      <c r="H5353" s="1" t="str">
        <f>"화수간 25L6L4"</f>
        <v>화수간 25L6L4</v>
      </c>
      <c r="I5353" s="1" t="s">
        <v>15</v>
      </c>
      <c r="J5353" s="1" t="str">
        <f>"34/34"</f>
        <v>34/34</v>
      </c>
      <c r="K5353" s="1" t="str">
        <f>"2026-07-29 14:21:19"</f>
        <v>2026-07-29 14:21:19</v>
      </c>
      <c r="L5353" s="1" t="str">
        <f>"2023-09-12 17:16:02"</f>
        <v>2023-09-12 17:16:02</v>
      </c>
      <c r="M5353" s="1" t="s">
        <v>45</v>
      </c>
      <c r="N5353" s="1" t="s">
        <v>38</v>
      </c>
      <c r="O5353" s="1" t="s">
        <v>46</v>
      </c>
    </row>
    <row r="5354" spans="2:15" x14ac:dyDescent="0.3">
      <c r="B5354" s="1" t="s">
        <v>23</v>
      </c>
      <c r="C5354" s="1" t="str">
        <f>"4차"</f>
        <v>4차</v>
      </c>
      <c r="D5354" s="1" t="str">
        <f>"0426R27139"</f>
        <v>0426R27139</v>
      </c>
      <c r="E5354" s="1" t="s">
        <v>10</v>
      </c>
      <c r="F5354" s="1" t="str">
        <f>"10.11.62.122"</f>
        <v>10.11.62.122</v>
      </c>
      <c r="G5354" s="1" t="str">
        <f>"0426R271"</f>
        <v>0426R271</v>
      </c>
      <c r="H5354" s="1" t="str">
        <f>"화수간 15L2"</f>
        <v>화수간 15L2</v>
      </c>
      <c r="I5354" s="1" t="s">
        <v>8</v>
      </c>
      <c r="J5354" s="1" t="str">
        <f>"64/64"</f>
        <v>64/64</v>
      </c>
      <c r="K5354" s="1" t="str">
        <f>"2026-07-29 13:18:04"</f>
        <v>2026-07-29 13:18:04</v>
      </c>
      <c r="L5354" s="1" t="str">
        <f>"2018-05-04 10:43:55"</f>
        <v>2018-05-04 10:43:55</v>
      </c>
      <c r="M5354" s="1" t="s">
        <v>2</v>
      </c>
      <c r="N5354" s="1" t="s">
        <v>38</v>
      </c>
      <c r="O5354" s="1" t="s">
        <v>46</v>
      </c>
    </row>
    <row r="5355" spans="2:15" x14ac:dyDescent="0.3">
      <c r="B5355" s="1" t="s">
        <v>23</v>
      </c>
      <c r="C5355" s="1" t="str">
        <f>"4차"</f>
        <v>4차</v>
      </c>
      <c r="D5355" s="1" t="str">
        <f>"0426R27239"</f>
        <v>0426R27239</v>
      </c>
      <c r="E5355" s="1" t="s">
        <v>10</v>
      </c>
      <c r="F5355" s="1" t="str">
        <f>"10.11.55.130"</f>
        <v>10.11.55.130</v>
      </c>
      <c r="G5355" s="1" t="str">
        <f>"0426R272"</f>
        <v>0426R272</v>
      </c>
      <c r="H5355" s="1" t="str">
        <f>"화수간 15L3"</f>
        <v>화수간 15L3</v>
      </c>
      <c r="I5355" s="1" t="s">
        <v>8</v>
      </c>
      <c r="J5355" s="1" t="str">
        <f>"52/52"</f>
        <v>52/52</v>
      </c>
      <c r="K5355" s="1" t="str">
        <f>"2026-07-29 13:18:04"</f>
        <v>2026-07-29 13:18:04</v>
      </c>
      <c r="L5355" s="1" t="str">
        <f>"2018-05-08 11:37:41"</f>
        <v>2018-05-08 11:37:41</v>
      </c>
      <c r="M5355" s="1" t="s">
        <v>2</v>
      </c>
      <c r="N5355" s="1" t="s">
        <v>38</v>
      </c>
      <c r="O5355" s="1" t="s">
        <v>46</v>
      </c>
    </row>
    <row r="5356" spans="2:15" x14ac:dyDescent="0.3">
      <c r="B5356" s="1" t="s">
        <v>23</v>
      </c>
      <c r="C5356" s="1" t="str">
        <f>"5-2차"</f>
        <v>5-2차</v>
      </c>
      <c r="D5356" s="1" t="str">
        <f>"0426R3045S"</f>
        <v>0426R3045S</v>
      </c>
      <c r="E5356" s="1" t="s">
        <v>10</v>
      </c>
      <c r="F5356" s="1" t="str">
        <f>"fde3:102:1440:4400:0:0:0:24"</f>
        <v>fde3:102:1440:4400:0:0:0:24</v>
      </c>
      <c r="G5356" s="1" t="str">
        <f>"0426R304"</f>
        <v>0426R304</v>
      </c>
      <c r="H5356" s="1" t="str">
        <f>"광장간 30L8R10L9"</f>
        <v>광장간 30L8R10L9</v>
      </c>
      <c r="I5356" s="1" t="s">
        <v>15</v>
      </c>
      <c r="J5356" s="1" t="str">
        <f>"11/11"</f>
        <v>11/11</v>
      </c>
      <c r="K5356" s="1" t="str">
        <f>"2026-07-29 14:21:33"</f>
        <v>2026-07-29 14:21:33</v>
      </c>
      <c r="L5356" s="1" t="str">
        <f>"2024-01-22 16:47:02"</f>
        <v>2024-01-22 16:47:02</v>
      </c>
      <c r="M5356" s="1" t="s">
        <v>45</v>
      </c>
      <c r="N5356" s="1" t="s">
        <v>38</v>
      </c>
      <c r="O5356" s="1" t="s">
        <v>46</v>
      </c>
    </row>
    <row r="5357" spans="2:15" x14ac:dyDescent="0.3">
      <c r="B5357" s="1" t="s">
        <v>23</v>
      </c>
      <c r="C5357" s="1" t="str">
        <f>"3차"</f>
        <v>3차</v>
      </c>
      <c r="D5357" s="1" t="str">
        <f>"0426R33139"</f>
        <v>0426R33139</v>
      </c>
      <c r="E5357" s="1" t="s">
        <v>10</v>
      </c>
      <c r="F5357" s="1" t="str">
        <f>"10.11.51.210"</f>
        <v>10.11.51.210</v>
      </c>
      <c r="G5357" s="1" t="str">
        <f>"0426R331"</f>
        <v>0426R331</v>
      </c>
      <c r="H5357" s="1" t="str">
        <f>"광장간 16R2R3R1"</f>
        <v>광장간 16R2R3R1</v>
      </c>
      <c r="I5357" s="1" t="s">
        <v>8</v>
      </c>
      <c r="J5357" s="1" t="str">
        <f>"21/21"</f>
        <v>21/21</v>
      </c>
      <c r="K5357" s="1" t="str">
        <f>"2026-07-29 13:18:02"</f>
        <v>2026-07-29 13:18:02</v>
      </c>
      <c r="L5357" s="1" t="str">
        <f>"2018-05-04 10:44:55"</f>
        <v>2018-05-04 10:44:55</v>
      </c>
      <c r="M5357" s="1" t="s">
        <v>2</v>
      </c>
      <c r="N5357" s="1" t="s">
        <v>38</v>
      </c>
      <c r="O5357" s="1" t="s">
        <v>46</v>
      </c>
    </row>
    <row r="5358" spans="2:15" x14ac:dyDescent="0.3">
      <c r="B5358" s="1" t="s">
        <v>23</v>
      </c>
      <c r="C5358" s="1" t="str">
        <f>"5-2차"</f>
        <v>5-2차</v>
      </c>
      <c r="D5358" s="1" t="str">
        <f>"0426R3335M"</f>
        <v>0426R3335M</v>
      </c>
      <c r="E5358" s="1" t="s">
        <v>10</v>
      </c>
      <c r="F5358" s="1" t="str">
        <f>"fde3:102:1440:4400:0:0:0:10"</f>
        <v>fde3:102:1440:4400:0:0:0:10</v>
      </c>
      <c r="G5358" s="1" t="str">
        <f>"0426R333"</f>
        <v>0426R333</v>
      </c>
      <c r="H5358" s="1" t="str">
        <f>"광장간 16R2R1"</f>
        <v>광장간 16R2R1</v>
      </c>
      <c r="I5358" s="1" t="s">
        <v>15</v>
      </c>
      <c r="J5358" s="1" t="str">
        <f>"40/40"</f>
        <v>40/40</v>
      </c>
      <c r="K5358" s="1" t="str">
        <f>"2026-07-29 14:21:05"</f>
        <v>2026-07-29 14:21:05</v>
      </c>
      <c r="L5358" s="1" t="str">
        <f>"2023-10-11 13:08:25"</f>
        <v>2023-10-11 13:08:25</v>
      </c>
      <c r="M5358" s="1" t="s">
        <v>45</v>
      </c>
      <c r="N5358" s="1" t="s">
        <v>38</v>
      </c>
      <c r="O5358" s="1" t="s">
        <v>46</v>
      </c>
    </row>
    <row r="5359" spans="2:15" x14ac:dyDescent="0.3">
      <c r="B5359" s="1" t="s">
        <v>23</v>
      </c>
      <c r="C5359" s="1" t="str">
        <f>"4차"</f>
        <v>4차</v>
      </c>
      <c r="D5359" s="1" t="str">
        <f>"0426R34239"</f>
        <v>0426R34239</v>
      </c>
      <c r="E5359" s="1" t="s">
        <v>10</v>
      </c>
      <c r="F5359" s="1" t="str">
        <f>"10.11.58.170"</f>
        <v>10.11.58.170</v>
      </c>
      <c r="G5359" s="1" t="str">
        <f>"0426R342"</f>
        <v>0426R342</v>
      </c>
      <c r="H5359" s="1" t="str">
        <f>"광장간 16R2R3"</f>
        <v>광장간 16R2R3</v>
      </c>
      <c r="I5359" s="1" t="s">
        <v>8</v>
      </c>
      <c r="J5359" s="1" t="str">
        <f>"43/43"</f>
        <v>43/43</v>
      </c>
      <c r="K5359" s="1" t="str">
        <f>"2026-07-29 13:18:04"</f>
        <v>2026-07-29 13:18:04</v>
      </c>
      <c r="L5359" s="1" t="str">
        <f>"2018-05-08 11:32:39"</f>
        <v>2018-05-08 11:32:39</v>
      </c>
      <c r="M5359" s="1" t="s">
        <v>2</v>
      </c>
      <c r="N5359" s="1" t="s">
        <v>38</v>
      </c>
      <c r="O5359" s="1" t="s">
        <v>46</v>
      </c>
    </row>
    <row r="5360" spans="2:15" x14ac:dyDescent="0.3">
      <c r="B5360" s="1" t="s">
        <v>23</v>
      </c>
      <c r="C5360" s="1" t="str">
        <f>"3차"</f>
        <v>3차</v>
      </c>
      <c r="D5360" s="1" t="str">
        <f>"0426R34339"</f>
        <v>0426R34339</v>
      </c>
      <c r="E5360" s="1" t="s">
        <v>10</v>
      </c>
      <c r="F5360" s="1" t="str">
        <f>"10.11.58.178"</f>
        <v>10.11.58.178</v>
      </c>
      <c r="G5360" s="1" t="str">
        <f>"0426R343"</f>
        <v>0426R343</v>
      </c>
      <c r="H5360" s="1" t="str">
        <f>"광장간 16R2R4"</f>
        <v>광장간 16R2R4</v>
      </c>
      <c r="I5360" s="1" t="s">
        <v>8</v>
      </c>
      <c r="J5360" s="1" t="str">
        <f>"23/30"</f>
        <v>23/30</v>
      </c>
      <c r="K5360" s="1" t="str">
        <f>"2026-07-29 13:18:03"</f>
        <v>2026-07-29 13:18:03</v>
      </c>
      <c r="L5360" s="1" t="str">
        <f>"2018-05-04 10:59:25"</f>
        <v>2018-05-04 10:59:25</v>
      </c>
      <c r="M5360" s="1" t="s">
        <v>2</v>
      </c>
      <c r="N5360" s="1" t="s">
        <v>38</v>
      </c>
      <c r="O5360" s="1" t="s">
        <v>46</v>
      </c>
    </row>
    <row r="5361" spans="2:15" x14ac:dyDescent="0.3">
      <c r="B5361" s="1" t="s">
        <v>23</v>
      </c>
      <c r="C5361" s="1" t="str">
        <f>"3차"</f>
        <v>3차</v>
      </c>
      <c r="D5361" s="1" t="str">
        <f>"0426R36139"</f>
        <v>0426R36139</v>
      </c>
      <c r="E5361" s="1" t="s">
        <v>10</v>
      </c>
      <c r="F5361" s="1" t="str">
        <f>"10.11.55.138"</f>
        <v>10.11.55.138</v>
      </c>
      <c r="G5361" s="1" t="str">
        <f>"0426R361"</f>
        <v>0426R361</v>
      </c>
      <c r="H5361" s="1" t="str">
        <f>"화수간 15L4R2"</f>
        <v>화수간 15L4R2</v>
      </c>
      <c r="I5361" s="1" t="s">
        <v>8</v>
      </c>
      <c r="J5361" s="1" t="str">
        <f>"40/40"</f>
        <v>40/40</v>
      </c>
      <c r="K5361" s="1" t="str">
        <f>"2026-07-29 13:18:03"</f>
        <v>2026-07-29 13:18:03</v>
      </c>
      <c r="L5361" s="1" t="str">
        <f>"2018-05-04 10:50:10"</f>
        <v>2018-05-04 10:50:10</v>
      </c>
      <c r="M5361" s="1" t="s">
        <v>2</v>
      </c>
      <c r="N5361" s="1" t="s">
        <v>38</v>
      </c>
      <c r="O5361" s="1" t="s">
        <v>46</v>
      </c>
    </row>
    <row r="5362" spans="2:15" x14ac:dyDescent="0.3">
      <c r="B5362" s="1" t="s">
        <v>23</v>
      </c>
      <c r="C5362" s="1" t="str">
        <f>"4차"</f>
        <v>4차</v>
      </c>
      <c r="D5362" s="1" t="str">
        <f>"0426R37239"</f>
        <v>0426R37239</v>
      </c>
      <c r="E5362" s="1" t="s">
        <v>10</v>
      </c>
      <c r="F5362" s="1" t="str">
        <f>"10.11.62.138"</f>
        <v>10.11.62.138</v>
      </c>
      <c r="G5362" s="1" t="str">
        <f>"0426R372"</f>
        <v>0426R372</v>
      </c>
      <c r="H5362" s="1" t="str">
        <f>"화수간 15L5"</f>
        <v>화수간 15L5</v>
      </c>
      <c r="I5362" s="1" t="s">
        <v>8</v>
      </c>
      <c r="J5362" s="1" t="str">
        <f>"38/38"</f>
        <v>38/38</v>
      </c>
      <c r="K5362" s="1" t="str">
        <f>"2026-07-29 13:18:03"</f>
        <v>2026-07-29 13:18:03</v>
      </c>
      <c r="L5362" s="1" t="str">
        <f>"2022-04-05 15:55:29"</f>
        <v>2022-04-05 15:55:29</v>
      </c>
      <c r="M5362" s="1" t="s">
        <v>2</v>
      </c>
      <c r="N5362" s="1" t="s">
        <v>38</v>
      </c>
      <c r="O5362" s="1" t="s">
        <v>46</v>
      </c>
    </row>
    <row r="5363" spans="2:15" x14ac:dyDescent="0.3">
      <c r="B5363" s="1" t="s">
        <v>23</v>
      </c>
      <c r="C5363" s="1" t="str">
        <f>"3차"</f>
        <v>3차</v>
      </c>
      <c r="D5363" s="1" t="str">
        <f>"0426R37339"</f>
        <v>0426R37339</v>
      </c>
      <c r="E5363" s="1" t="s">
        <v>10</v>
      </c>
      <c r="F5363" s="1" t="str">
        <f>"10.11.62.130"</f>
        <v>10.11.62.130</v>
      </c>
      <c r="G5363" s="1" t="str">
        <f>"0426R373"</f>
        <v>0426R373</v>
      </c>
      <c r="H5363" s="1" t="str">
        <f>"화수간 15L4"</f>
        <v>화수간 15L4</v>
      </c>
      <c r="I5363" s="1" t="s">
        <v>8</v>
      </c>
      <c r="J5363" s="1" t="str">
        <f>"46/49"</f>
        <v>46/49</v>
      </c>
      <c r="K5363" s="1" t="str">
        <f>"2026-07-29 13:18:03"</f>
        <v>2026-07-29 13:18:03</v>
      </c>
      <c r="L5363" s="1" t="str">
        <f>"2018-05-04 11:01:55"</f>
        <v>2018-05-04 11:01:55</v>
      </c>
      <c r="M5363" s="1" t="s">
        <v>2</v>
      </c>
      <c r="N5363" s="1" t="s">
        <v>38</v>
      </c>
      <c r="O5363" s="1" t="s">
        <v>46</v>
      </c>
    </row>
    <row r="5364" spans="2:15" x14ac:dyDescent="0.3">
      <c r="B5364" s="1" t="s">
        <v>23</v>
      </c>
      <c r="C5364" s="1" t="str">
        <f>"5-1차"</f>
        <v>5-1차</v>
      </c>
      <c r="D5364" s="1" t="str">
        <f>"0426R3915M"</f>
        <v>0426R3915M</v>
      </c>
      <c r="E5364" s="1" t="s">
        <v>10</v>
      </c>
      <c r="F5364" s="1" t="str">
        <f>"fde3:102:1440:4400:0:0:0:6"</f>
        <v>fde3:102:1440:4400:0:0:0:6</v>
      </c>
      <c r="G5364" s="1" t="str">
        <f>"0426R391"</f>
        <v>0426R391</v>
      </c>
      <c r="H5364" s="1" t="str">
        <f>"화수간 15L20"</f>
        <v>화수간 15L20</v>
      </c>
      <c r="I5364" s="1" t="s">
        <v>15</v>
      </c>
      <c r="J5364" s="1" t="str">
        <f>"137/138"</f>
        <v>137/138</v>
      </c>
      <c r="K5364" s="1" t="str">
        <f>"2026-07-29 14:21:06"</f>
        <v>2026-07-29 14:21:06</v>
      </c>
      <c r="L5364" s="1" t="str">
        <f>"2022-11-08 09:44:12"</f>
        <v>2022-11-08 09:44:12</v>
      </c>
      <c r="M5364" s="1" t="s">
        <v>45</v>
      </c>
      <c r="N5364" s="1" t="s">
        <v>38</v>
      </c>
      <c r="O5364" s="1" t="s">
        <v>46</v>
      </c>
    </row>
    <row r="5365" spans="2:15" x14ac:dyDescent="0.3">
      <c r="B5365" s="1" t="s">
        <v>23</v>
      </c>
      <c r="C5365" s="1" t="str">
        <f>"5-1차"</f>
        <v>5-1차</v>
      </c>
      <c r="D5365" s="1" t="str">
        <f>"0426R4035M"</f>
        <v>0426R4035M</v>
      </c>
      <c r="E5365" s="1" t="s">
        <v>10</v>
      </c>
      <c r="F5365" s="1" t="str">
        <f>"fde3:102:1440:4300:0:0:0:9"</f>
        <v>fde3:102:1440:4300:0:0:0:9</v>
      </c>
      <c r="G5365" s="1" t="str">
        <f>"0426R403"</f>
        <v>0426R403</v>
      </c>
      <c r="H5365" s="1" t="str">
        <f>"광장간 30L8R10L5R4"</f>
        <v>광장간 30L8R10L5R4</v>
      </c>
      <c r="I5365" s="1" t="s">
        <v>15</v>
      </c>
      <c r="J5365" s="1" t="str">
        <f>"136/136"</f>
        <v>136/136</v>
      </c>
      <c r="K5365" s="1" t="str">
        <f>"2026-07-29 14:20:36"</f>
        <v>2026-07-29 14:20:36</v>
      </c>
      <c r="L5365" s="1" t="str">
        <f>"2022-11-08 09:40:48"</f>
        <v>2022-11-08 09:40:48</v>
      </c>
      <c r="M5365" s="1" t="s">
        <v>45</v>
      </c>
      <c r="N5365" s="1" t="s">
        <v>38</v>
      </c>
      <c r="O5365" s="1" t="s">
        <v>46</v>
      </c>
    </row>
    <row r="5366" spans="2:15" x14ac:dyDescent="0.3">
      <c r="B5366" s="1" t="s">
        <v>23</v>
      </c>
      <c r="C5366" s="1" t="str">
        <f t="shared" ref="C5366:C5377" si="280">"3차"</f>
        <v>3차</v>
      </c>
      <c r="D5366" s="1" t="str">
        <f>"0426R42530"</f>
        <v>0426R42530</v>
      </c>
      <c r="E5366" s="1" t="s">
        <v>10</v>
      </c>
      <c r="F5366" s="1" t="str">
        <f>"10.11.55.202"</f>
        <v>10.11.55.202</v>
      </c>
      <c r="G5366" s="1" t="str">
        <f>"0426R425"</f>
        <v>0426R425</v>
      </c>
      <c r="H5366" s="1" t="str">
        <f>"화중지 1L1"</f>
        <v>화중지 1L1</v>
      </c>
      <c r="I5366" s="1" t="s">
        <v>8</v>
      </c>
      <c r="J5366" s="1" t="str">
        <f>"2/2"</f>
        <v>2/2</v>
      </c>
      <c r="K5366" s="1" t="str">
        <f>"2026-07-29 13:18:04"</f>
        <v>2026-07-29 13:18:04</v>
      </c>
      <c r="L5366" s="1" t="str">
        <f>"2018-05-08 12:09:24"</f>
        <v>2018-05-08 12:09:24</v>
      </c>
      <c r="M5366" s="1" t="s">
        <v>2</v>
      </c>
      <c r="N5366" s="1" t="s">
        <v>38</v>
      </c>
      <c r="O5366" s="1" t="s">
        <v>46</v>
      </c>
    </row>
    <row r="5367" spans="2:15" x14ac:dyDescent="0.3">
      <c r="B5367" s="1" t="s">
        <v>23</v>
      </c>
      <c r="C5367" s="1" t="str">
        <f t="shared" si="280"/>
        <v>3차</v>
      </c>
      <c r="D5367" s="1" t="str">
        <f>"0426R43331"</f>
        <v>0426R43331</v>
      </c>
      <c r="E5367" s="1" t="s">
        <v>10</v>
      </c>
      <c r="F5367" s="1" t="str">
        <f>"10.11.55.203"</f>
        <v>10.11.55.203</v>
      </c>
      <c r="G5367" s="1" t="str">
        <f>"0426R433"</f>
        <v>0426R433</v>
      </c>
      <c r="H5367" s="1" t="str">
        <f>"화중지 1L3"</f>
        <v>화중지 1L3</v>
      </c>
      <c r="I5367" s="1" t="s">
        <v>8</v>
      </c>
      <c r="J5367" s="1" t="str">
        <f>"18/19"</f>
        <v>18/19</v>
      </c>
      <c r="K5367" s="1" t="str">
        <f>"2026-07-29 13:18:04"</f>
        <v>2026-07-29 13:18:04</v>
      </c>
      <c r="L5367" s="1" t="str">
        <f>"2018-05-08 12:07:10"</f>
        <v>2018-05-08 12:07:10</v>
      </c>
      <c r="M5367" s="1" t="s">
        <v>2</v>
      </c>
      <c r="N5367" s="1" t="s">
        <v>38</v>
      </c>
      <c r="O5367" s="1" t="s">
        <v>46</v>
      </c>
    </row>
    <row r="5368" spans="2:15" x14ac:dyDescent="0.3">
      <c r="B5368" s="1" t="s">
        <v>23</v>
      </c>
      <c r="C5368" s="1" t="str">
        <f t="shared" si="280"/>
        <v>3차</v>
      </c>
      <c r="D5368" s="1" t="str">
        <f>"0426R45239"</f>
        <v>0426R45239</v>
      </c>
      <c r="E5368" s="1" t="s">
        <v>10</v>
      </c>
      <c r="F5368" s="1" t="str">
        <f>"10.11.62.146"</f>
        <v>10.11.62.146</v>
      </c>
      <c r="G5368" s="1" t="str">
        <f>"0426R452"</f>
        <v>0426R452</v>
      </c>
      <c r="H5368" s="1" t="str">
        <f>"화수간 15L6R3"</f>
        <v>화수간 15L6R3</v>
      </c>
      <c r="I5368" s="1" t="s">
        <v>8</v>
      </c>
      <c r="J5368" s="1" t="str">
        <f>"42/42"</f>
        <v>42/42</v>
      </c>
      <c r="K5368" s="1" t="str">
        <f>"2026-07-29 13:18:03"</f>
        <v>2026-07-29 13:18:03</v>
      </c>
      <c r="L5368" s="1" t="str">
        <f>"2018-05-04 11:41:40"</f>
        <v>2018-05-04 11:41:40</v>
      </c>
      <c r="M5368" s="1" t="s">
        <v>2</v>
      </c>
      <c r="N5368" s="1" t="s">
        <v>38</v>
      </c>
      <c r="O5368" s="1" t="s">
        <v>46</v>
      </c>
    </row>
    <row r="5369" spans="2:15" x14ac:dyDescent="0.3">
      <c r="B5369" s="1" t="s">
        <v>23</v>
      </c>
      <c r="C5369" s="1" t="str">
        <f t="shared" si="280"/>
        <v>3차</v>
      </c>
      <c r="D5369" s="1" t="str">
        <f>"0426R46230"</f>
        <v>0426R46230</v>
      </c>
      <c r="E5369" s="1" t="s">
        <v>10</v>
      </c>
      <c r="F5369" s="1" t="str">
        <f>"10.11.55.146"</f>
        <v>10.11.55.146</v>
      </c>
      <c r="G5369" s="1" t="str">
        <f>"0426R462"</f>
        <v>0426R462</v>
      </c>
      <c r="H5369" s="1" t="str">
        <f>"화수간 15L6R2"</f>
        <v>화수간 15L6R2</v>
      </c>
      <c r="I5369" s="1" t="s">
        <v>8</v>
      </c>
      <c r="J5369" s="1" t="str">
        <f>"38/38"</f>
        <v>38/38</v>
      </c>
      <c r="K5369" s="1" t="str">
        <f>"2026-07-29 13:18:03"</f>
        <v>2026-07-29 13:18:03</v>
      </c>
      <c r="L5369" s="1" t="str">
        <f>"2018-05-08 11:26:40"</f>
        <v>2018-05-08 11:26:40</v>
      </c>
      <c r="M5369" s="1" t="s">
        <v>2</v>
      </c>
      <c r="N5369" s="1" t="s">
        <v>38</v>
      </c>
      <c r="O5369" s="1" t="s">
        <v>46</v>
      </c>
    </row>
    <row r="5370" spans="2:15" x14ac:dyDescent="0.3">
      <c r="B5370" s="1" t="s">
        <v>23</v>
      </c>
      <c r="C5370" s="1" t="str">
        <f t="shared" si="280"/>
        <v>3차</v>
      </c>
      <c r="D5370" s="1" t="str">
        <f>"0426R46331"</f>
        <v>0426R46331</v>
      </c>
      <c r="E5370" s="1" t="s">
        <v>10</v>
      </c>
      <c r="F5370" s="1" t="str">
        <f>"10.11.55.147"</f>
        <v>10.11.55.147</v>
      </c>
      <c r="G5370" s="1" t="str">
        <f>"0426R463"</f>
        <v>0426R463</v>
      </c>
      <c r="H5370" s="1" t="str">
        <f>"화수간 15L6R1"</f>
        <v>화수간 15L6R1</v>
      </c>
      <c r="I5370" s="1" t="s">
        <v>8</v>
      </c>
      <c r="J5370" s="1" t="str">
        <f>"7/7"</f>
        <v>7/7</v>
      </c>
      <c r="K5370" s="1" t="str">
        <f>"2026-07-29 13:18:03"</f>
        <v>2026-07-29 13:18:03</v>
      </c>
      <c r="L5370" s="1" t="str">
        <f>"2018-05-08 11:28:29"</f>
        <v>2018-05-08 11:28:29</v>
      </c>
      <c r="M5370" s="1" t="s">
        <v>2</v>
      </c>
      <c r="N5370" s="1" t="s">
        <v>38</v>
      </c>
      <c r="O5370" s="1" t="s">
        <v>46</v>
      </c>
    </row>
    <row r="5371" spans="2:15" x14ac:dyDescent="0.3">
      <c r="B5371" s="1" t="s">
        <v>23</v>
      </c>
      <c r="C5371" s="1" t="str">
        <f t="shared" si="280"/>
        <v>3차</v>
      </c>
      <c r="D5371" s="1" t="str">
        <f>"0426R51139"</f>
        <v>0426R51139</v>
      </c>
      <c r="E5371" s="1" t="s">
        <v>10</v>
      </c>
      <c r="F5371" s="1" t="str">
        <f>"10.11.55.210"</f>
        <v>10.11.55.210</v>
      </c>
      <c r="G5371" s="1" t="str">
        <f>"0426R511"</f>
        <v>0426R511</v>
      </c>
      <c r="H5371" s="1" t="str">
        <f>"화중지 3"</f>
        <v>화중지 3</v>
      </c>
      <c r="I5371" s="1" t="s">
        <v>8</v>
      </c>
      <c r="J5371" s="1" t="str">
        <f>"57/57"</f>
        <v>57/57</v>
      </c>
      <c r="K5371" s="1" t="str">
        <f>"2026-07-29 13:18:04"</f>
        <v>2026-07-29 13:18:04</v>
      </c>
      <c r="L5371" s="1" t="str">
        <f>"2018-05-04 13:30:44"</f>
        <v>2018-05-04 13:30:44</v>
      </c>
      <c r="M5371" s="1" t="s">
        <v>2</v>
      </c>
      <c r="N5371" s="1" t="s">
        <v>38</v>
      </c>
      <c r="O5371" s="1" t="s">
        <v>46</v>
      </c>
    </row>
    <row r="5372" spans="2:15" x14ac:dyDescent="0.3">
      <c r="B5372" s="1" t="s">
        <v>23</v>
      </c>
      <c r="C5372" s="1" t="str">
        <f t="shared" si="280"/>
        <v>3차</v>
      </c>
      <c r="D5372" s="1" t="str">
        <f>"0426R51239"</f>
        <v>0426R51239</v>
      </c>
      <c r="E5372" s="1" t="s">
        <v>10</v>
      </c>
      <c r="F5372" s="1" t="str">
        <f>"10.11.62.218"</f>
        <v>10.11.62.218</v>
      </c>
      <c r="G5372" s="1" t="str">
        <f>"0426R512"</f>
        <v>0426R512</v>
      </c>
      <c r="H5372" s="1" t="str">
        <f>"화중지 5"</f>
        <v>화중지 5</v>
      </c>
      <c r="I5372" s="1" t="s">
        <v>8</v>
      </c>
      <c r="J5372" s="1" t="str">
        <f>"8/8"</f>
        <v>8/8</v>
      </c>
      <c r="K5372" s="1" t="str">
        <f>"2026-07-29 13:18:04"</f>
        <v>2026-07-29 13:18:04</v>
      </c>
      <c r="L5372" s="1" t="str">
        <f>"2018-05-04 13:11:11"</f>
        <v>2018-05-04 13:11:11</v>
      </c>
      <c r="M5372" s="1" t="s">
        <v>2</v>
      </c>
      <c r="N5372" s="1" t="s">
        <v>38</v>
      </c>
      <c r="O5372" s="1" t="s">
        <v>46</v>
      </c>
    </row>
    <row r="5373" spans="2:15" x14ac:dyDescent="0.3">
      <c r="B5373" s="1" t="s">
        <v>23</v>
      </c>
      <c r="C5373" s="1" t="str">
        <f t="shared" si="280"/>
        <v>3차</v>
      </c>
      <c r="D5373" s="1" t="str">
        <f>"0426R52239"</f>
        <v>0426R52239</v>
      </c>
      <c r="E5373" s="1" t="s">
        <v>10</v>
      </c>
      <c r="F5373" s="1" t="str">
        <f>"10.11.62.226"</f>
        <v>10.11.62.226</v>
      </c>
      <c r="G5373" s="1" t="str">
        <f>"0426R522"</f>
        <v>0426R522</v>
      </c>
      <c r="H5373" s="1" t="str">
        <f>"화중지 3L1"</f>
        <v>화중지 3L1</v>
      </c>
      <c r="I5373" s="1" t="s">
        <v>8</v>
      </c>
      <c r="J5373" s="1" t="str">
        <f>"46/48"</f>
        <v>46/48</v>
      </c>
      <c r="K5373" s="1" t="str">
        <f>"2026-07-29 13:18:03"</f>
        <v>2026-07-29 13:18:03</v>
      </c>
      <c r="L5373" s="1" t="str">
        <f>"2018-05-04 13:32:27"</f>
        <v>2018-05-04 13:32:27</v>
      </c>
      <c r="M5373" s="1" t="s">
        <v>2</v>
      </c>
      <c r="N5373" s="1" t="s">
        <v>38</v>
      </c>
      <c r="O5373" s="1" t="s">
        <v>46</v>
      </c>
    </row>
    <row r="5374" spans="2:15" x14ac:dyDescent="0.3">
      <c r="B5374" s="1" t="s">
        <v>23</v>
      </c>
      <c r="C5374" s="1" t="str">
        <f t="shared" si="280"/>
        <v>3차</v>
      </c>
      <c r="D5374" s="1" t="str">
        <f>"0426R53239"</f>
        <v>0426R53239</v>
      </c>
      <c r="E5374" s="1" t="s">
        <v>10</v>
      </c>
      <c r="F5374" s="1" t="str">
        <f>"10.11.62.234"</f>
        <v>10.11.62.234</v>
      </c>
      <c r="G5374" s="1" t="str">
        <f>"0426R532"</f>
        <v>0426R532</v>
      </c>
      <c r="H5374" s="1" t="str">
        <f>"화중지 3L3L1"</f>
        <v>화중지 3L3L1</v>
      </c>
      <c r="I5374" s="1" t="s">
        <v>8</v>
      </c>
      <c r="J5374" s="1" t="str">
        <f>"11/11"</f>
        <v>11/11</v>
      </c>
      <c r="K5374" s="1" t="str">
        <f>"2026-07-29 13:18:03"</f>
        <v>2026-07-29 13:18:03</v>
      </c>
      <c r="L5374" s="1" t="str">
        <f>"2018-05-04 13:30:41"</f>
        <v>2018-05-04 13:30:41</v>
      </c>
      <c r="M5374" s="1" t="s">
        <v>2</v>
      </c>
      <c r="N5374" s="1" t="s">
        <v>38</v>
      </c>
      <c r="O5374" s="1" t="s">
        <v>46</v>
      </c>
    </row>
    <row r="5375" spans="2:15" x14ac:dyDescent="0.3">
      <c r="B5375" s="1" t="s">
        <v>23</v>
      </c>
      <c r="C5375" s="1" t="str">
        <f t="shared" si="280"/>
        <v>3차</v>
      </c>
      <c r="D5375" s="1" t="str">
        <f>"0426R55139"</f>
        <v>0426R55139</v>
      </c>
      <c r="E5375" s="1" t="s">
        <v>10</v>
      </c>
      <c r="F5375" s="1" t="str">
        <f>"10.11.56.114"</f>
        <v>10.11.56.114</v>
      </c>
      <c r="G5375" s="1" t="str">
        <f>"0426R551"</f>
        <v>0426R551</v>
      </c>
      <c r="H5375" s="1" t="str">
        <f>"광장간 11"</f>
        <v>광장간 11</v>
      </c>
      <c r="I5375" s="1" t="s">
        <v>8</v>
      </c>
      <c r="J5375" s="1" t="str">
        <f>"9/24"</f>
        <v>9/24</v>
      </c>
      <c r="K5375" s="1" t="str">
        <f>"2026-07-29 13:18:04"</f>
        <v>2026-07-29 13:18:04</v>
      </c>
      <c r="L5375" s="1" t="str">
        <f>"2018-05-02 09:55:54"</f>
        <v>2018-05-02 09:55:54</v>
      </c>
      <c r="M5375" s="1" t="s">
        <v>2</v>
      </c>
      <c r="N5375" s="1" t="s">
        <v>38</v>
      </c>
      <c r="O5375" s="1" t="s">
        <v>46</v>
      </c>
    </row>
    <row r="5376" spans="2:15" x14ac:dyDescent="0.3">
      <c r="B5376" s="1" t="s">
        <v>23</v>
      </c>
      <c r="C5376" s="1" t="str">
        <f t="shared" si="280"/>
        <v>3차</v>
      </c>
      <c r="D5376" s="1" t="str">
        <f>"0426R55230"</f>
        <v>0426R55230</v>
      </c>
      <c r="E5376" s="1" t="s">
        <v>10</v>
      </c>
      <c r="F5376" s="1" t="str">
        <f>"10.11.55.226"</f>
        <v>10.11.55.226</v>
      </c>
      <c r="G5376" s="1" t="str">
        <f>"0426R552"</f>
        <v>0426R552</v>
      </c>
      <c r="H5376" s="1" t="str">
        <f>"화중지 1L5"</f>
        <v>화중지 1L5</v>
      </c>
      <c r="I5376" s="1" t="s">
        <v>8</v>
      </c>
      <c r="J5376" s="1" t="str">
        <f>"72/76"</f>
        <v>72/76</v>
      </c>
      <c r="K5376" s="1" t="str">
        <f>"2026-07-29 13:18:04"</f>
        <v>2026-07-29 13:18:04</v>
      </c>
      <c r="L5376" s="1" t="str">
        <f>"2018-05-08 11:46:41"</f>
        <v>2018-05-08 11:46:41</v>
      </c>
      <c r="M5376" s="1" t="s">
        <v>2</v>
      </c>
      <c r="N5376" s="1" t="s">
        <v>38</v>
      </c>
      <c r="O5376" s="1" t="s">
        <v>46</v>
      </c>
    </row>
    <row r="5377" spans="2:15" x14ac:dyDescent="0.3">
      <c r="B5377" s="1" t="s">
        <v>23</v>
      </c>
      <c r="C5377" s="1" t="str">
        <f t="shared" si="280"/>
        <v>3차</v>
      </c>
      <c r="D5377" s="1" t="str">
        <f>"0426R55331"</f>
        <v>0426R55331</v>
      </c>
      <c r="E5377" s="1" t="s">
        <v>10</v>
      </c>
      <c r="F5377" s="1" t="str">
        <f>"10.11.55.227"</f>
        <v>10.11.55.227</v>
      </c>
      <c r="G5377" s="1" t="str">
        <f>"0426R553"</f>
        <v>0426R553</v>
      </c>
      <c r="H5377" s="1" t="str">
        <f>"화중지 1L6"</f>
        <v>화중지 1L6</v>
      </c>
      <c r="I5377" s="1" t="s">
        <v>8</v>
      </c>
      <c r="J5377" s="1" t="str">
        <f>"12/13"</f>
        <v>12/13</v>
      </c>
      <c r="K5377" s="1" t="str">
        <f>"2026-07-29 13:18:04"</f>
        <v>2026-07-29 13:18:04</v>
      </c>
      <c r="L5377" s="1" t="str">
        <f>"2018-05-08 11:44:39"</f>
        <v>2018-05-08 11:44:39</v>
      </c>
      <c r="M5377" s="1" t="s">
        <v>2</v>
      </c>
      <c r="N5377" s="1" t="s">
        <v>38</v>
      </c>
      <c r="O5377" s="1" t="s">
        <v>46</v>
      </c>
    </row>
    <row r="5378" spans="2:15" x14ac:dyDescent="0.3">
      <c r="B5378" s="1" t="s">
        <v>23</v>
      </c>
      <c r="C5378" s="1" t="str">
        <f>"6차"</f>
        <v>6차</v>
      </c>
      <c r="D5378" s="1" t="str">
        <f>"0426R5846S"</f>
        <v>0426R5846S</v>
      </c>
      <c r="E5378" s="1" t="s">
        <v>10</v>
      </c>
      <c r="F5378" s="1" t="str">
        <f>"fde1:103:4:9291:0:0:0:2"</f>
        <v>fde1:103:4:9291:0:0:0:2</v>
      </c>
      <c r="G5378" s="1" t="str">
        <f>"0426R584"</f>
        <v>0426R584</v>
      </c>
      <c r="H5378" s="1" t="str">
        <f>"화수간 15L9"</f>
        <v>화수간 15L9</v>
      </c>
      <c r="I5378" s="1" t="s">
        <v>15</v>
      </c>
      <c r="J5378" s="1" t="str">
        <f>"43/43"</f>
        <v>43/43</v>
      </c>
      <c r="K5378" s="1" t="str">
        <f>"2026-07-29 14:21:05"</f>
        <v>2026-07-29 14:21:05</v>
      </c>
      <c r="L5378" s="1" t="str">
        <f>"2024-09-30 13:17:09"</f>
        <v>2024-09-30 13:17:09</v>
      </c>
      <c r="M5378" s="1" t="s">
        <v>4</v>
      </c>
      <c r="N5378" s="1" t="s">
        <v>38</v>
      </c>
      <c r="O5378" s="1" t="s">
        <v>46</v>
      </c>
    </row>
    <row r="5379" spans="2:15" x14ac:dyDescent="0.3">
      <c r="B5379" s="1" t="s">
        <v>23</v>
      </c>
      <c r="C5379" s="1" t="str">
        <f>"5-1차"</f>
        <v>5-1차</v>
      </c>
      <c r="D5379" s="1" t="str">
        <f>"0426R5925M"</f>
        <v>0426R5925M</v>
      </c>
      <c r="E5379" s="1" t="s">
        <v>10</v>
      </c>
      <c r="F5379" s="1" t="str">
        <f>"fde3:102:1440:4400:0:0:0:3"</f>
        <v>fde3:102:1440:4400:0:0:0:3</v>
      </c>
      <c r="G5379" s="1" t="str">
        <f>"0426R592"</f>
        <v>0426R592</v>
      </c>
      <c r="H5379" s="1" t="str">
        <f>"화수간 15L11"</f>
        <v>화수간 15L11</v>
      </c>
      <c r="I5379" s="1" t="s">
        <v>15</v>
      </c>
      <c r="J5379" s="1" t="str">
        <f>"90/90"</f>
        <v>90/90</v>
      </c>
      <c r="K5379" s="1" t="str">
        <f>"2026-07-29 14:20:50"</f>
        <v>2026-07-29 14:20:50</v>
      </c>
      <c r="L5379" s="1" t="str">
        <f>"2022-10-25 15:23:35"</f>
        <v>2022-10-25 15:23:35</v>
      </c>
      <c r="M5379" s="1" t="s">
        <v>45</v>
      </c>
      <c r="N5379" s="1" t="s">
        <v>38</v>
      </c>
      <c r="O5379" s="1" t="s">
        <v>46</v>
      </c>
    </row>
    <row r="5380" spans="2:15" x14ac:dyDescent="0.3">
      <c r="B5380" s="1" t="s">
        <v>23</v>
      </c>
      <c r="C5380" s="1" t="str">
        <f>"3차"</f>
        <v>3차</v>
      </c>
      <c r="D5380" s="1" t="str">
        <f>"0426R60139"</f>
        <v>0426R60139</v>
      </c>
      <c r="E5380" s="1" t="s">
        <v>10</v>
      </c>
      <c r="F5380" s="1" t="str">
        <f>"10.11.55.234"</f>
        <v>10.11.55.234</v>
      </c>
      <c r="G5380" s="1" t="str">
        <f>"0426R601"</f>
        <v>0426R601</v>
      </c>
      <c r="H5380" s="1" t="str">
        <f>"화중지 7"</f>
        <v>화중지 7</v>
      </c>
      <c r="I5380" s="1" t="s">
        <v>8</v>
      </c>
      <c r="J5380" s="1" t="str">
        <f>"2/2"</f>
        <v>2/2</v>
      </c>
      <c r="K5380" s="1" t="str">
        <f>"2026-07-29 13:18:04"</f>
        <v>2026-07-29 13:18:04</v>
      </c>
      <c r="L5380" s="1" t="str">
        <f>"2018-05-04 13:10:26"</f>
        <v>2018-05-04 13:10:26</v>
      </c>
      <c r="M5380" s="1" t="s">
        <v>2</v>
      </c>
      <c r="N5380" s="1" t="s">
        <v>38</v>
      </c>
      <c r="O5380" s="1" t="s">
        <v>46</v>
      </c>
    </row>
    <row r="5381" spans="2:15" x14ac:dyDescent="0.3">
      <c r="B5381" s="1" t="s">
        <v>23</v>
      </c>
      <c r="C5381" s="1" t="str">
        <f>"4차"</f>
        <v>4차</v>
      </c>
      <c r="D5381" s="1" t="str">
        <f>"0426R60439"</f>
        <v>0426R60439</v>
      </c>
      <c r="E5381" s="1" t="s">
        <v>10</v>
      </c>
      <c r="F5381" s="1" t="str">
        <f>"10.11.62.242"</f>
        <v>10.11.62.242</v>
      </c>
      <c r="G5381" s="1" t="str">
        <f>"0426R604"</f>
        <v>0426R604</v>
      </c>
      <c r="H5381" s="1" t="str">
        <f>"화중지 7L2"</f>
        <v>화중지 7L2</v>
      </c>
      <c r="I5381" s="1" t="s">
        <v>8</v>
      </c>
      <c r="J5381" s="1" t="str">
        <f>"55/55"</f>
        <v>55/55</v>
      </c>
      <c r="K5381" s="1" t="str">
        <f>"2026-07-29 13:18:04"</f>
        <v>2026-07-29 13:18:04</v>
      </c>
      <c r="L5381" s="1" t="str">
        <f>"2018-05-04 13:07:27"</f>
        <v>2018-05-04 13:07:27</v>
      </c>
      <c r="M5381" s="1" t="s">
        <v>2</v>
      </c>
      <c r="N5381" s="1" t="s">
        <v>38</v>
      </c>
      <c r="O5381" s="1" t="s">
        <v>46</v>
      </c>
    </row>
    <row r="5382" spans="2:15" x14ac:dyDescent="0.3">
      <c r="B5382" s="1" t="s">
        <v>23</v>
      </c>
      <c r="C5382" s="1" t="str">
        <f>"4차"</f>
        <v>4차</v>
      </c>
      <c r="D5382" s="1" t="str">
        <f>"0426R62139"</f>
        <v>0426R62139</v>
      </c>
      <c r="E5382" s="1" t="s">
        <v>10</v>
      </c>
      <c r="F5382" s="1" t="str">
        <f>"10.11.55.242"</f>
        <v>10.11.55.242</v>
      </c>
      <c r="G5382" s="1" t="str">
        <f>"0426R621"</f>
        <v>0426R621</v>
      </c>
      <c r="H5382" s="1" t="str">
        <f>"화중지 7L4L1"</f>
        <v>화중지 7L4L1</v>
      </c>
      <c r="I5382" s="1" t="s">
        <v>8</v>
      </c>
      <c r="J5382" s="1" t="str">
        <f>"101/101"</f>
        <v>101/101</v>
      </c>
      <c r="K5382" s="1" t="str">
        <f>"2026-07-29 13:18:01"</f>
        <v>2026-07-29 13:18:01</v>
      </c>
      <c r="L5382" s="1" t="str">
        <f>"2018-05-04 12:46:12"</f>
        <v>2018-05-04 12:46:12</v>
      </c>
      <c r="M5382" s="1" t="s">
        <v>2</v>
      </c>
      <c r="N5382" s="1" t="s">
        <v>38</v>
      </c>
      <c r="O5382" s="1" t="s">
        <v>46</v>
      </c>
    </row>
    <row r="5383" spans="2:15" x14ac:dyDescent="0.3">
      <c r="B5383" s="1" t="s">
        <v>23</v>
      </c>
      <c r="C5383" s="1" t="str">
        <f>"3차"</f>
        <v>3차</v>
      </c>
      <c r="D5383" s="1" t="str">
        <f>"0426R62239"</f>
        <v>0426R62239</v>
      </c>
      <c r="E5383" s="1" t="s">
        <v>10</v>
      </c>
      <c r="F5383" s="1" t="str">
        <f>"10.11.63.2"</f>
        <v>10.11.63.2</v>
      </c>
      <c r="G5383" s="1" t="str">
        <f>"0426R622"</f>
        <v>0426R622</v>
      </c>
      <c r="H5383" s="1" t="str">
        <f>"화중지 7L4L2"</f>
        <v>화중지 7L4L2</v>
      </c>
      <c r="I5383" s="1" t="s">
        <v>8</v>
      </c>
      <c r="J5383" s="1" t="str">
        <f>"83/86"</f>
        <v>83/86</v>
      </c>
      <c r="K5383" s="1" t="str">
        <f>"2026-07-29 13:18:04"</f>
        <v>2026-07-29 13:18:04</v>
      </c>
      <c r="L5383" s="1" t="str">
        <f>"2018-05-04 12:39:41"</f>
        <v>2018-05-04 12:39:41</v>
      </c>
      <c r="M5383" s="1" t="s">
        <v>2</v>
      </c>
      <c r="N5383" s="1" t="s">
        <v>38</v>
      </c>
      <c r="O5383" s="1" t="s">
        <v>46</v>
      </c>
    </row>
    <row r="5384" spans="2:15" x14ac:dyDescent="0.3">
      <c r="B5384" s="1" t="s">
        <v>23</v>
      </c>
      <c r="C5384" s="1" t="str">
        <f>"3차"</f>
        <v>3차</v>
      </c>
      <c r="D5384" s="1" t="str">
        <f>"0426R64130"</f>
        <v>0426R64130</v>
      </c>
      <c r="E5384" s="1" t="s">
        <v>10</v>
      </c>
      <c r="F5384" s="1" t="str">
        <f>"10.11.55.250"</f>
        <v>10.11.55.250</v>
      </c>
      <c r="G5384" s="1" t="str">
        <f>"0426R641"</f>
        <v>0426R641</v>
      </c>
      <c r="H5384" s="1" t="str">
        <f>"화중지 3L4"</f>
        <v>화중지 3L4</v>
      </c>
      <c r="I5384" s="1" t="s">
        <v>8</v>
      </c>
      <c r="J5384" s="1" t="str">
        <f>"9/9"</f>
        <v>9/9</v>
      </c>
      <c r="K5384" s="1" t="str">
        <f>"2026-07-29 13:18:04"</f>
        <v>2026-07-29 13:18:04</v>
      </c>
      <c r="L5384" s="1" t="str">
        <f>"2018-05-08 11:48:40"</f>
        <v>2018-05-08 11:48:40</v>
      </c>
      <c r="M5384" s="1" t="s">
        <v>2</v>
      </c>
      <c r="N5384" s="1" t="s">
        <v>38</v>
      </c>
      <c r="O5384" s="1" t="s">
        <v>46</v>
      </c>
    </row>
    <row r="5385" spans="2:15" x14ac:dyDescent="0.3">
      <c r="B5385" s="1" t="s">
        <v>23</v>
      </c>
      <c r="C5385" s="1" t="str">
        <f>"3차"</f>
        <v>3차</v>
      </c>
      <c r="D5385" s="1" t="str">
        <f>"0426R64331"</f>
        <v>0426R64331</v>
      </c>
      <c r="E5385" s="1" t="s">
        <v>10</v>
      </c>
      <c r="F5385" s="1" t="str">
        <f>"10.11.55.251"</f>
        <v>10.11.55.251</v>
      </c>
      <c r="G5385" s="1" t="str">
        <f>"0426R643"</f>
        <v>0426R643</v>
      </c>
      <c r="H5385" s="1" t="str">
        <f>"화중지 3L5"</f>
        <v>화중지 3L5</v>
      </c>
      <c r="I5385" s="1" t="s">
        <v>8</v>
      </c>
      <c r="J5385" s="1" t="str">
        <f>"76/76"</f>
        <v>76/76</v>
      </c>
      <c r="K5385" s="1" t="str">
        <f>"2026-07-29 13:18:03"</f>
        <v>2026-07-29 13:18:03</v>
      </c>
      <c r="L5385" s="1" t="str">
        <f>"2018-05-08 11:48:10"</f>
        <v>2018-05-08 11:48:10</v>
      </c>
      <c r="M5385" s="1" t="s">
        <v>2</v>
      </c>
      <c r="N5385" s="1" t="s">
        <v>38</v>
      </c>
      <c r="O5385" s="1" t="s">
        <v>46</v>
      </c>
    </row>
    <row r="5386" spans="2:15" x14ac:dyDescent="0.3">
      <c r="B5386" s="1" t="s">
        <v>23</v>
      </c>
      <c r="C5386" s="1" t="str">
        <f>"5-2차"</f>
        <v>5-2차</v>
      </c>
      <c r="D5386" s="1" t="str">
        <f>"0426R6835M"</f>
        <v>0426R6835M</v>
      </c>
      <c r="E5386" s="1" t="s">
        <v>10</v>
      </c>
      <c r="F5386" s="1" t="str">
        <f>"fde3:102:1440:4500:0:0:0:22"</f>
        <v>fde3:102:1440:4500:0:0:0:22</v>
      </c>
      <c r="G5386" s="1" t="str">
        <f>"0426R683"</f>
        <v>0426R683</v>
      </c>
      <c r="H5386" s="1" t="str">
        <f>"광장간 5"</f>
        <v>광장간 5</v>
      </c>
      <c r="I5386" s="1" t="s">
        <v>15</v>
      </c>
      <c r="J5386" s="1" t="str">
        <f>"37/38"</f>
        <v>37/38</v>
      </c>
      <c r="K5386" s="1" t="str">
        <f>"2026-07-29 14:21:07"</f>
        <v>2026-07-29 14:21:07</v>
      </c>
      <c r="L5386" s="1" t="str">
        <f>"2023-06-19 18:28:40"</f>
        <v>2023-06-19 18:28:40</v>
      </c>
      <c r="M5386" s="1" t="s">
        <v>45</v>
      </c>
      <c r="N5386" s="1" t="s">
        <v>38</v>
      </c>
      <c r="O5386" s="1" t="s">
        <v>46</v>
      </c>
    </row>
    <row r="5387" spans="2:15" x14ac:dyDescent="0.3">
      <c r="B5387" s="1" t="s">
        <v>23</v>
      </c>
      <c r="C5387" s="1" t="str">
        <f>"3차"</f>
        <v>3차</v>
      </c>
      <c r="D5387" s="1" t="str">
        <f>"0426R70139"</f>
        <v>0426R70139</v>
      </c>
      <c r="E5387" s="1" t="s">
        <v>10</v>
      </c>
      <c r="F5387" s="1" t="str">
        <f>"10.11.62.250"</f>
        <v>10.11.62.250</v>
      </c>
      <c r="G5387" s="1" t="str">
        <f>"0426R701"</f>
        <v>0426R701</v>
      </c>
      <c r="H5387" s="1" t="str">
        <f>"화중지 8"</f>
        <v>화중지 8</v>
      </c>
      <c r="I5387" s="1" t="s">
        <v>8</v>
      </c>
      <c r="J5387" s="1" t="str">
        <f>"8/8"</f>
        <v>8/8</v>
      </c>
      <c r="K5387" s="1" t="str">
        <f>"2026-07-29 13:18:03"</f>
        <v>2026-07-29 13:18:03</v>
      </c>
      <c r="L5387" s="1" t="str">
        <f>"2018-05-04 12:58:56"</f>
        <v>2018-05-04 12:58:56</v>
      </c>
      <c r="M5387" s="1" t="s">
        <v>2</v>
      </c>
      <c r="N5387" s="1" t="s">
        <v>38</v>
      </c>
      <c r="O5387" s="1" t="s">
        <v>46</v>
      </c>
    </row>
    <row r="5388" spans="2:15" x14ac:dyDescent="0.3">
      <c r="B5388" s="1" t="s">
        <v>23</v>
      </c>
      <c r="C5388" s="1" t="str">
        <f>"3차"</f>
        <v>3차</v>
      </c>
      <c r="D5388" s="1" t="str">
        <f>"0426R71139"</f>
        <v>0426R71139</v>
      </c>
      <c r="E5388" s="1" t="s">
        <v>10</v>
      </c>
      <c r="F5388" s="1" t="str">
        <f>"10.11.56.50"</f>
        <v>10.11.56.50</v>
      </c>
      <c r="G5388" s="1" t="str">
        <f>"0426R711"</f>
        <v>0426R711</v>
      </c>
      <c r="H5388" s="1" t="str">
        <f>"화중지 7L3"</f>
        <v>화중지 7L3</v>
      </c>
      <c r="I5388" s="1" t="s">
        <v>8</v>
      </c>
      <c r="J5388" s="1" t="str">
        <f>"37/37"</f>
        <v>37/37</v>
      </c>
      <c r="K5388" s="1" t="str">
        <f t="shared" ref="K5388:K5393" si="281">"2026-07-29 13:18:04"</f>
        <v>2026-07-29 13:18:04</v>
      </c>
      <c r="L5388" s="1" t="str">
        <f>"2018-05-04 13:13:05"</f>
        <v>2018-05-04 13:13:05</v>
      </c>
      <c r="M5388" s="1" t="s">
        <v>2</v>
      </c>
      <c r="N5388" s="1" t="s">
        <v>38</v>
      </c>
      <c r="O5388" s="1" t="s">
        <v>46</v>
      </c>
    </row>
    <row r="5389" spans="2:15" x14ac:dyDescent="0.3">
      <c r="B5389" s="1" t="s">
        <v>23</v>
      </c>
      <c r="C5389" s="1" t="str">
        <f>"4차"</f>
        <v>4차</v>
      </c>
      <c r="D5389" s="1" t="str">
        <f>"0426R72139"</f>
        <v>0426R72139</v>
      </c>
      <c r="E5389" s="1" t="s">
        <v>10</v>
      </c>
      <c r="F5389" s="1" t="str">
        <f>"10.11.63.58"</f>
        <v>10.11.63.58</v>
      </c>
      <c r="G5389" s="1" t="str">
        <f>"0426R721"</f>
        <v>0426R721</v>
      </c>
      <c r="H5389" s="1" t="str">
        <f>"화중지 7L4"</f>
        <v>화중지 7L4</v>
      </c>
      <c r="I5389" s="1" t="s">
        <v>8</v>
      </c>
      <c r="J5389" s="1" t="str">
        <f>"41/41"</f>
        <v>41/41</v>
      </c>
      <c r="K5389" s="1" t="str">
        <f t="shared" si="281"/>
        <v>2026-07-29 13:18:04</v>
      </c>
      <c r="L5389" s="1" t="str">
        <f>"2018-05-04 12:42:40"</f>
        <v>2018-05-04 12:42:40</v>
      </c>
      <c r="M5389" s="1" t="s">
        <v>2</v>
      </c>
      <c r="N5389" s="1" t="s">
        <v>38</v>
      </c>
      <c r="O5389" s="1" t="s">
        <v>46</v>
      </c>
    </row>
    <row r="5390" spans="2:15" x14ac:dyDescent="0.3">
      <c r="B5390" s="1" t="s">
        <v>23</v>
      </c>
      <c r="C5390" s="1" t="str">
        <f>"3차"</f>
        <v>3차</v>
      </c>
      <c r="D5390" s="1" t="str">
        <f>"0426R73132"</f>
        <v>0426R73132</v>
      </c>
      <c r="E5390" s="1" t="s">
        <v>10</v>
      </c>
      <c r="F5390" s="1" t="str">
        <f>"10.11.56.20"</f>
        <v>10.11.56.20</v>
      </c>
      <c r="G5390" s="1" t="str">
        <f>"0426R731"</f>
        <v>0426R731</v>
      </c>
      <c r="H5390" s="1" t="str">
        <f>"화중지 1L8R4R3"</f>
        <v>화중지 1L8R4R3</v>
      </c>
      <c r="I5390" s="1" t="s">
        <v>8</v>
      </c>
      <c r="J5390" s="1" t="str">
        <f>"37/37"</f>
        <v>37/37</v>
      </c>
      <c r="K5390" s="1" t="str">
        <f t="shared" si="281"/>
        <v>2026-07-29 13:18:04</v>
      </c>
      <c r="L5390" s="1" t="str">
        <f>"2018-06-11 12:37:44"</f>
        <v>2018-06-11 12:37:44</v>
      </c>
      <c r="M5390" s="1" t="s">
        <v>2</v>
      </c>
      <c r="N5390" s="1" t="s">
        <v>38</v>
      </c>
      <c r="O5390" s="1" t="s">
        <v>46</v>
      </c>
    </row>
    <row r="5391" spans="2:15" x14ac:dyDescent="0.3">
      <c r="B5391" s="1" t="s">
        <v>23</v>
      </c>
      <c r="C5391" s="1" t="str">
        <f>"3차"</f>
        <v>3차</v>
      </c>
      <c r="D5391" s="1" t="str">
        <f>"0426R74131"</f>
        <v>0426R74131</v>
      </c>
      <c r="E5391" s="1" t="s">
        <v>10</v>
      </c>
      <c r="F5391" s="1" t="str">
        <f>"10.11.56.19"</f>
        <v>10.11.56.19</v>
      </c>
      <c r="G5391" s="1" t="str">
        <f>"0426R741"</f>
        <v>0426R741</v>
      </c>
      <c r="H5391" s="1" t="str">
        <f>"화중지 1L8R4R1"</f>
        <v>화중지 1L8R4R1</v>
      </c>
      <c r="I5391" s="1" t="s">
        <v>8</v>
      </c>
      <c r="J5391" s="1" t="str">
        <f>"43/43"</f>
        <v>43/43</v>
      </c>
      <c r="K5391" s="1" t="str">
        <f t="shared" si="281"/>
        <v>2026-07-29 13:18:04</v>
      </c>
      <c r="L5391" s="1" t="str">
        <f>"2018-05-09 10:22:25"</f>
        <v>2018-05-09 10:22:25</v>
      </c>
      <c r="M5391" s="1" t="s">
        <v>2</v>
      </c>
      <c r="N5391" s="1" t="s">
        <v>38</v>
      </c>
      <c r="O5391" s="1" t="s">
        <v>46</v>
      </c>
    </row>
    <row r="5392" spans="2:15" x14ac:dyDescent="0.3">
      <c r="B5392" s="1" t="s">
        <v>23</v>
      </c>
      <c r="C5392" s="1" t="str">
        <f>"4차"</f>
        <v>4차</v>
      </c>
      <c r="D5392" s="1" t="str">
        <f>"0426R74230"</f>
        <v>0426R74230</v>
      </c>
      <c r="E5392" s="1" t="s">
        <v>10</v>
      </c>
      <c r="F5392" s="1" t="str">
        <f>"10.11.56.18"</f>
        <v>10.11.56.18</v>
      </c>
      <c r="G5392" s="1" t="str">
        <f>"0426R742"</f>
        <v>0426R742</v>
      </c>
      <c r="H5392" s="1" t="str">
        <f>"화중지 1L8R4R2"</f>
        <v>화중지 1L8R4R2</v>
      </c>
      <c r="I5392" s="1" t="s">
        <v>8</v>
      </c>
      <c r="J5392" s="1" t="str">
        <f>"41/41"</f>
        <v>41/41</v>
      </c>
      <c r="K5392" s="1" t="str">
        <f t="shared" si="281"/>
        <v>2026-07-29 13:18:04</v>
      </c>
      <c r="L5392" s="1" t="str">
        <f>"2018-05-09 10:27:54"</f>
        <v>2018-05-09 10:27:54</v>
      </c>
      <c r="M5392" s="1" t="s">
        <v>2</v>
      </c>
      <c r="N5392" s="1" t="s">
        <v>38</v>
      </c>
      <c r="O5392" s="1" t="s">
        <v>46</v>
      </c>
    </row>
    <row r="5393" spans="2:15" x14ac:dyDescent="0.3">
      <c r="B5393" s="1" t="s">
        <v>23</v>
      </c>
      <c r="C5393" s="1" t="str">
        <f>"3차"</f>
        <v>3차</v>
      </c>
      <c r="D5393" s="1" t="str">
        <f>"0426R75139"</f>
        <v>0426R75139</v>
      </c>
      <c r="E5393" s="1" t="s">
        <v>10</v>
      </c>
      <c r="F5393" s="1" t="str">
        <f>"10.11.56.2"</f>
        <v>10.11.56.2</v>
      </c>
      <c r="G5393" s="1" t="str">
        <f>"0426R751"</f>
        <v>0426R751</v>
      </c>
      <c r="H5393" s="1" t="str">
        <f>"화중지 1L8R4"</f>
        <v>화중지 1L8R4</v>
      </c>
      <c r="I5393" s="1" t="s">
        <v>8</v>
      </c>
      <c r="J5393" s="1" t="str">
        <f>"126/132"</f>
        <v>126/132</v>
      </c>
      <c r="K5393" s="1" t="str">
        <f t="shared" si="281"/>
        <v>2026-07-29 13:18:04</v>
      </c>
      <c r="L5393" s="1" t="str">
        <f>"2021-08-24 10:20:07"</f>
        <v>2021-08-24 10:20:07</v>
      </c>
      <c r="M5393" s="1" t="s">
        <v>2</v>
      </c>
      <c r="N5393" s="1" t="s">
        <v>38</v>
      </c>
      <c r="O5393" s="1" t="s">
        <v>46</v>
      </c>
    </row>
    <row r="5394" spans="2:15" x14ac:dyDescent="0.3">
      <c r="B5394" s="1" t="s">
        <v>23</v>
      </c>
      <c r="C5394" s="1" t="str">
        <f>"5-2차"</f>
        <v>5-2차</v>
      </c>
      <c r="D5394" s="1" t="str">
        <f>"0426R8115M"</f>
        <v>0426R8115M</v>
      </c>
      <c r="E5394" s="1" t="s">
        <v>10</v>
      </c>
      <c r="F5394" s="1" t="str">
        <f>"fde3:102:1440:4200:0:0:0:12"</f>
        <v>fde3:102:1440:4200:0:0:0:12</v>
      </c>
      <c r="G5394" s="1" t="str">
        <f>"0426R811"</f>
        <v>0426R811</v>
      </c>
      <c r="H5394" s="1" t="str">
        <f>"화중지 9L2"</f>
        <v>화중지 9L2</v>
      </c>
      <c r="I5394" s="1" t="s">
        <v>15</v>
      </c>
      <c r="J5394" s="1" t="str">
        <f>"44/44"</f>
        <v>44/44</v>
      </c>
      <c r="K5394" s="1" t="str">
        <f>"2026-07-29 14:21:05"</f>
        <v>2026-07-29 14:21:05</v>
      </c>
      <c r="L5394" s="1" t="str">
        <f>"2023-06-26 15:35:43"</f>
        <v>2023-06-26 15:35:43</v>
      </c>
      <c r="M5394" s="1" t="s">
        <v>45</v>
      </c>
      <c r="N5394" s="1" t="s">
        <v>38</v>
      </c>
      <c r="O5394" s="1" t="s">
        <v>46</v>
      </c>
    </row>
    <row r="5395" spans="2:15" x14ac:dyDescent="0.3">
      <c r="B5395" s="1" t="s">
        <v>23</v>
      </c>
      <c r="C5395" s="1" t="str">
        <f>"3차"</f>
        <v>3차</v>
      </c>
      <c r="D5395" s="1" t="str">
        <f>"0426R82139"</f>
        <v>0426R82139</v>
      </c>
      <c r="E5395" s="1" t="s">
        <v>10</v>
      </c>
      <c r="F5395" s="1" t="str">
        <f>"10.11.57.210"</f>
        <v>10.11.57.210</v>
      </c>
      <c r="G5395" s="1" t="str">
        <f>"0426R821"</f>
        <v>0426R821</v>
      </c>
      <c r="H5395" s="1" t="str">
        <f>"화중지 36L8"</f>
        <v>화중지 36L8</v>
      </c>
      <c r="I5395" s="1" t="s">
        <v>8</v>
      </c>
      <c r="J5395" s="1" t="str">
        <f>"34/34"</f>
        <v>34/34</v>
      </c>
      <c r="K5395" s="1" t="str">
        <f>"2026-07-29 13:18:03"</f>
        <v>2026-07-29 13:18:03</v>
      </c>
      <c r="L5395" s="1" t="str">
        <f>"2018-05-04 12:56:10"</f>
        <v>2018-05-04 12:56:10</v>
      </c>
      <c r="M5395" s="1" t="s">
        <v>2</v>
      </c>
      <c r="N5395" s="1" t="s">
        <v>38</v>
      </c>
      <c r="O5395" s="1" t="s">
        <v>46</v>
      </c>
    </row>
    <row r="5396" spans="2:15" x14ac:dyDescent="0.3">
      <c r="B5396" s="1" t="s">
        <v>23</v>
      </c>
      <c r="C5396" s="1" t="str">
        <f>"3차"</f>
        <v>3차</v>
      </c>
      <c r="D5396" s="1" t="str">
        <f>"0426R83131"</f>
        <v>0426R83131</v>
      </c>
      <c r="E5396" s="1" t="s">
        <v>10</v>
      </c>
      <c r="F5396" s="1" t="str">
        <f>"10.11.56.11"</f>
        <v>10.11.56.11</v>
      </c>
      <c r="G5396" s="1" t="str">
        <f>"0426R831"</f>
        <v>0426R831</v>
      </c>
      <c r="H5396" s="1" t="str">
        <f>"화중지 7L5"</f>
        <v>화중지 7L5</v>
      </c>
      <c r="I5396" s="1" t="s">
        <v>8</v>
      </c>
      <c r="J5396" s="1" t="str">
        <f>"42/46"</f>
        <v>42/46</v>
      </c>
      <c r="K5396" s="1" t="str">
        <f>"2026-07-29 13:18:04"</f>
        <v>2026-07-29 13:18:04</v>
      </c>
      <c r="L5396" s="1" t="str">
        <f>"2018-05-08 11:51:41"</f>
        <v>2018-05-08 11:51:41</v>
      </c>
      <c r="M5396" s="1" t="s">
        <v>2</v>
      </c>
      <c r="N5396" s="1" t="s">
        <v>38</v>
      </c>
      <c r="O5396" s="1" t="s">
        <v>46</v>
      </c>
    </row>
    <row r="5397" spans="2:15" x14ac:dyDescent="0.3">
      <c r="B5397" s="1" t="s">
        <v>23</v>
      </c>
      <c r="C5397" s="1" t="str">
        <f>"3차"</f>
        <v>3차</v>
      </c>
      <c r="D5397" s="1" t="str">
        <f>"0426R84130"</f>
        <v>0426R84130</v>
      </c>
      <c r="E5397" s="1" t="s">
        <v>10</v>
      </c>
      <c r="F5397" s="1" t="str">
        <f>"10.11.56.10"</f>
        <v>10.11.56.10</v>
      </c>
      <c r="G5397" s="1" t="str">
        <f>"0426R841"</f>
        <v>0426R841</v>
      </c>
      <c r="H5397" s="1" t="str">
        <f>"화중지 7L6"</f>
        <v>화중지 7L6</v>
      </c>
      <c r="I5397" s="1" t="s">
        <v>8</v>
      </c>
      <c r="J5397" s="1" t="str">
        <f>"46/46"</f>
        <v>46/46</v>
      </c>
      <c r="K5397" s="1" t="str">
        <f>"2026-07-29 13:18:04"</f>
        <v>2026-07-29 13:18:04</v>
      </c>
      <c r="L5397" s="1" t="str">
        <f>"2018-05-08 11:50:54"</f>
        <v>2018-05-08 11:50:54</v>
      </c>
      <c r="M5397" s="1" t="s">
        <v>2</v>
      </c>
      <c r="N5397" s="1" t="s">
        <v>38</v>
      </c>
      <c r="O5397" s="1" t="s">
        <v>46</v>
      </c>
    </row>
    <row r="5398" spans="2:15" x14ac:dyDescent="0.3">
      <c r="B5398" s="1" t="s">
        <v>23</v>
      </c>
      <c r="C5398" s="1" t="str">
        <f>"3차"</f>
        <v>3차</v>
      </c>
      <c r="D5398" s="1" t="str">
        <f>"0426R84239"</f>
        <v>0426R84239</v>
      </c>
      <c r="E5398" s="1" t="s">
        <v>10</v>
      </c>
      <c r="F5398" s="1" t="str">
        <f>"10.11.63.18"</f>
        <v>10.11.63.18</v>
      </c>
      <c r="G5398" s="1" t="str">
        <f>"0426R842"</f>
        <v>0426R842</v>
      </c>
      <c r="H5398" s="1" t="str">
        <f>"화중지 7L7"</f>
        <v>화중지 7L7</v>
      </c>
      <c r="I5398" s="1" t="s">
        <v>8</v>
      </c>
      <c r="J5398" s="1" t="str">
        <f>"34/34"</f>
        <v>34/34</v>
      </c>
      <c r="K5398" s="1" t="str">
        <f>"2026-07-29 13:18:05"</f>
        <v>2026-07-29 13:18:05</v>
      </c>
      <c r="L5398" s="1" t="str">
        <f>"2018-05-04 12:56:12"</f>
        <v>2018-05-04 12:56:12</v>
      </c>
      <c r="M5398" s="1" t="s">
        <v>2</v>
      </c>
      <c r="N5398" s="1" t="s">
        <v>38</v>
      </c>
      <c r="O5398" s="1" t="s">
        <v>46</v>
      </c>
    </row>
    <row r="5399" spans="2:15" x14ac:dyDescent="0.3">
      <c r="B5399" s="1" t="s">
        <v>23</v>
      </c>
      <c r="C5399" s="1" t="str">
        <f>"5-1차"</f>
        <v>5-1차</v>
      </c>
      <c r="D5399" s="1" t="str">
        <f>"0426R9125S"</f>
        <v>0426R9125S</v>
      </c>
      <c r="E5399" s="1" t="s">
        <v>10</v>
      </c>
      <c r="F5399" s="1" t="str">
        <f>"fde3:102:1440:4200:0:0:0:6"</f>
        <v>fde3:102:1440:4200:0:0:0:6</v>
      </c>
      <c r="G5399" s="1" t="str">
        <f>"0426R912"</f>
        <v>0426R912</v>
      </c>
      <c r="H5399" s="1" t="str">
        <f>"화중지 12L4L4"</f>
        <v>화중지 12L4L4</v>
      </c>
      <c r="I5399" s="1" t="s">
        <v>15</v>
      </c>
      <c r="J5399" s="1" t="str">
        <f>"88/88"</f>
        <v>88/88</v>
      </c>
      <c r="K5399" s="1" t="str">
        <f>"2026-07-29 14:21:13"</f>
        <v>2026-07-29 14:21:13</v>
      </c>
      <c r="L5399" s="1" t="str">
        <f>"2022-11-08 09:38:27"</f>
        <v>2022-11-08 09:38:27</v>
      </c>
      <c r="M5399" s="1" t="s">
        <v>45</v>
      </c>
      <c r="N5399" s="1" t="s">
        <v>38</v>
      </c>
      <c r="O5399" s="1" t="s">
        <v>46</v>
      </c>
    </row>
    <row r="5400" spans="2:15" x14ac:dyDescent="0.3">
      <c r="B5400" s="1" t="s">
        <v>23</v>
      </c>
      <c r="C5400" s="1" t="str">
        <f>"5-1차"</f>
        <v>5-1차</v>
      </c>
      <c r="D5400" s="1" t="str">
        <f>"0426R9315M"</f>
        <v>0426R9315M</v>
      </c>
      <c r="E5400" s="1" t="s">
        <v>10</v>
      </c>
      <c r="F5400" s="1" t="str">
        <f>"fde3:102:1440:4200:0:0:0:8"</f>
        <v>fde3:102:1440:4200:0:0:0:8</v>
      </c>
      <c r="G5400" s="1" t="str">
        <f>"0426R931"</f>
        <v>0426R931</v>
      </c>
      <c r="H5400" s="1" t="str">
        <f>"화중지 36L6"</f>
        <v>화중지 36L6</v>
      </c>
      <c r="I5400" s="1" t="s">
        <v>15</v>
      </c>
      <c r="J5400" s="1" t="str">
        <f>"45/45"</f>
        <v>45/45</v>
      </c>
      <c r="K5400" s="1" t="str">
        <f>"2026-07-29 14:21:06"</f>
        <v>2026-07-29 14:21:06</v>
      </c>
      <c r="L5400" s="1" t="str">
        <f>"2022-11-08 09:39:26"</f>
        <v>2022-11-08 09:39:26</v>
      </c>
      <c r="M5400" s="1" t="s">
        <v>45</v>
      </c>
      <c r="N5400" s="1" t="s">
        <v>38</v>
      </c>
      <c r="O5400" s="1" t="s">
        <v>46</v>
      </c>
    </row>
    <row r="5401" spans="2:15" x14ac:dyDescent="0.3">
      <c r="B5401" s="1" t="s">
        <v>23</v>
      </c>
      <c r="C5401" s="1" t="str">
        <f>"5-1차"</f>
        <v>5-1차</v>
      </c>
      <c r="D5401" s="1" t="str">
        <f>"0426R9325S"</f>
        <v>0426R9325S</v>
      </c>
      <c r="E5401" s="1" t="s">
        <v>10</v>
      </c>
      <c r="F5401" s="1" t="str">
        <f>"fde3:102:1440:4200:0:0:0:9"</f>
        <v>fde3:102:1440:4200:0:0:0:9</v>
      </c>
      <c r="G5401" s="1" t="str">
        <f>"0426R932"</f>
        <v>0426R932</v>
      </c>
      <c r="H5401" s="1" t="str">
        <f>"화중지 36L7"</f>
        <v>화중지 36L7</v>
      </c>
      <c r="I5401" s="1" t="s">
        <v>15</v>
      </c>
      <c r="J5401" s="1" t="str">
        <f>"31/31"</f>
        <v>31/31</v>
      </c>
      <c r="K5401" s="1" t="str">
        <f>"2026-07-29 14:20:47"</f>
        <v>2026-07-29 14:20:47</v>
      </c>
      <c r="L5401" s="1" t="str">
        <f>"2022-11-01 15:53:11"</f>
        <v>2022-11-01 15:53:11</v>
      </c>
      <c r="M5401" s="1" t="s">
        <v>45</v>
      </c>
      <c r="N5401" s="1" t="s">
        <v>38</v>
      </c>
      <c r="O5401" s="1" t="s">
        <v>46</v>
      </c>
    </row>
    <row r="5402" spans="2:15" x14ac:dyDescent="0.3">
      <c r="B5402" s="1" t="s">
        <v>23</v>
      </c>
      <c r="C5402" s="1" t="str">
        <f>"5-2차"</f>
        <v>5-2차</v>
      </c>
      <c r="D5402" s="1" t="str">
        <f>"0426R9515M"</f>
        <v>0426R9515M</v>
      </c>
      <c r="E5402" s="1" t="s">
        <v>10</v>
      </c>
      <c r="F5402" s="1" t="str">
        <f>"fde3:102:1440:4500:0:0:0:26"</f>
        <v>fde3:102:1440:4500:0:0:0:26</v>
      </c>
      <c r="G5402" s="1" t="str">
        <f>"0426R951"</f>
        <v>0426R951</v>
      </c>
      <c r="H5402" s="1" t="str">
        <f>"화중지 1L8R6"</f>
        <v>화중지 1L8R6</v>
      </c>
      <c r="I5402" s="1" t="s">
        <v>15</v>
      </c>
      <c r="J5402" s="1" t="str">
        <f>"114/114"</f>
        <v>114/114</v>
      </c>
      <c r="K5402" s="1" t="str">
        <f>"2026-07-29 14:21:05"</f>
        <v>2026-07-29 14:21:05</v>
      </c>
      <c r="L5402" s="1" t="str">
        <f>"2024-01-10 16:25:42"</f>
        <v>2024-01-10 16:25:42</v>
      </c>
      <c r="M5402" s="1" t="s">
        <v>45</v>
      </c>
      <c r="N5402" s="1" t="s">
        <v>38</v>
      </c>
      <c r="O5402" s="1" t="s">
        <v>46</v>
      </c>
    </row>
    <row r="5403" spans="2:15" x14ac:dyDescent="0.3">
      <c r="B5403" s="1" t="s">
        <v>23</v>
      </c>
      <c r="C5403" s="1" t="str">
        <f>"5-1차"</f>
        <v>5-1차</v>
      </c>
      <c r="D5403" s="1" t="str">
        <f>"0426R9555M"</f>
        <v>0426R9555M</v>
      </c>
      <c r="E5403" s="1" t="s">
        <v>10</v>
      </c>
      <c r="F5403" s="1" t="str">
        <f>"fde3:102:1440:4500:0:0:0:6"</f>
        <v>fde3:102:1440:4500:0:0:0:6</v>
      </c>
      <c r="G5403" s="1" t="str">
        <f>"0426R955"</f>
        <v>0426R955</v>
      </c>
      <c r="H5403" s="1" t="str">
        <f>"화중지 1L8R8"</f>
        <v>화중지 1L8R8</v>
      </c>
      <c r="I5403" s="1" t="s">
        <v>15</v>
      </c>
      <c r="J5403" s="1" t="str">
        <f>"68/68"</f>
        <v>68/68</v>
      </c>
      <c r="K5403" s="1" t="str">
        <f>"2026-07-29 14:21:14"</f>
        <v>2026-07-29 14:21:14</v>
      </c>
      <c r="L5403" s="1" t="str">
        <f>"2022-11-01 16:24:38"</f>
        <v>2022-11-01 16:24:38</v>
      </c>
      <c r="M5403" s="1" t="s">
        <v>45</v>
      </c>
      <c r="N5403" s="1" t="s">
        <v>38</v>
      </c>
      <c r="O5403" s="1" t="s">
        <v>46</v>
      </c>
    </row>
    <row r="5404" spans="2:15" x14ac:dyDescent="0.3">
      <c r="B5404" s="1" t="s">
        <v>23</v>
      </c>
      <c r="C5404" s="1" t="str">
        <f>"5-2차"</f>
        <v>5-2차</v>
      </c>
      <c r="D5404" s="1" t="str">
        <f>"0426S0015M"</f>
        <v>0426S0015M</v>
      </c>
      <c r="E5404" s="1" t="s">
        <v>10</v>
      </c>
      <c r="F5404" s="1" t="str">
        <f>"fde3:102:1440:4200:0:0:0:10"</f>
        <v>fde3:102:1440:4200:0:0:0:10</v>
      </c>
      <c r="G5404" s="1" t="str">
        <f>"0426S001"</f>
        <v>0426S001</v>
      </c>
      <c r="H5404" s="1" t="str">
        <f>"화중지 12L2"</f>
        <v>화중지 12L2</v>
      </c>
      <c r="I5404" s="1" t="s">
        <v>15</v>
      </c>
      <c r="J5404" s="1" t="str">
        <f>"36/36"</f>
        <v>36/36</v>
      </c>
      <c r="K5404" s="1" t="str">
        <f>"2026-07-29 14:21:06"</f>
        <v>2026-07-29 14:21:06</v>
      </c>
      <c r="L5404" s="1" t="str">
        <f>"2023-06-19 18:10:36"</f>
        <v>2023-06-19 18:10:36</v>
      </c>
      <c r="M5404" s="1" t="s">
        <v>45</v>
      </c>
      <c r="N5404" s="1" t="s">
        <v>38</v>
      </c>
      <c r="O5404" s="1" t="s">
        <v>46</v>
      </c>
    </row>
    <row r="5405" spans="2:15" x14ac:dyDescent="0.3">
      <c r="B5405" s="1" t="s">
        <v>23</v>
      </c>
      <c r="C5405" s="1" t="str">
        <f>"5-1차"</f>
        <v>5-1차</v>
      </c>
      <c r="D5405" s="1" t="str">
        <f>"0426S0115M"</f>
        <v>0426S0115M</v>
      </c>
      <c r="E5405" s="1" t="s">
        <v>10</v>
      </c>
      <c r="F5405" s="1" t="str">
        <f>"fde3:102:1440:4200:0:0:0:a"</f>
        <v>fde3:102:1440:4200:0:0:0:a</v>
      </c>
      <c r="G5405" s="1" t="str">
        <f>"0426S011"</f>
        <v>0426S011</v>
      </c>
      <c r="H5405" s="1" t="str">
        <f>"화중지 12L4L1"</f>
        <v>화중지 12L4L1</v>
      </c>
      <c r="I5405" s="1" t="s">
        <v>15</v>
      </c>
      <c r="J5405" s="1" t="str">
        <f>"66/71"</f>
        <v>66/71</v>
      </c>
      <c r="K5405" s="1" t="str">
        <f>"2026-07-29 14:21:07"</f>
        <v>2026-07-29 14:21:07</v>
      </c>
      <c r="L5405" s="1" t="str">
        <f>"2022-11-01 10:27:58"</f>
        <v>2022-11-01 10:27:58</v>
      </c>
      <c r="M5405" s="1" t="s">
        <v>45</v>
      </c>
      <c r="N5405" s="1" t="s">
        <v>38</v>
      </c>
      <c r="O5405" s="1" t="s">
        <v>46</v>
      </c>
    </row>
    <row r="5406" spans="2:15" x14ac:dyDescent="0.3">
      <c r="B5406" s="1" t="s">
        <v>23</v>
      </c>
      <c r="C5406" s="1" t="str">
        <f>"5-2차"</f>
        <v>5-2차</v>
      </c>
      <c r="D5406" s="1" t="str">
        <f>"0426S0225S"</f>
        <v>0426S0225S</v>
      </c>
      <c r="E5406" s="1" t="s">
        <v>10</v>
      </c>
      <c r="F5406" s="1" t="str">
        <f>"fde3:102:1440:4200:0:0:0:f"</f>
        <v>fde3:102:1440:4200:0:0:0:f</v>
      </c>
      <c r="G5406" s="1" t="str">
        <f>"0426S022"</f>
        <v>0426S022</v>
      </c>
      <c r="H5406" s="1" t="str">
        <f>"화중지 1L8R12"</f>
        <v>화중지 1L8R12</v>
      </c>
      <c r="I5406" s="1" t="s">
        <v>15</v>
      </c>
      <c r="J5406" s="1" t="str">
        <f>"58/58"</f>
        <v>58/58</v>
      </c>
      <c r="K5406" s="1" t="str">
        <f>"2026-07-29 14:21:06"</f>
        <v>2026-07-29 14:21:06</v>
      </c>
      <c r="L5406" s="1" t="str">
        <f>"2023-06-20 12:14:43"</f>
        <v>2023-06-20 12:14:43</v>
      </c>
      <c r="M5406" s="1" t="s">
        <v>45</v>
      </c>
      <c r="N5406" s="1" t="s">
        <v>38</v>
      </c>
      <c r="O5406" s="1" t="s">
        <v>46</v>
      </c>
    </row>
    <row r="5407" spans="2:15" x14ac:dyDescent="0.3">
      <c r="B5407" s="1" t="s">
        <v>23</v>
      </c>
      <c r="C5407" s="1" t="str">
        <f>"5-1차"</f>
        <v>5-1차</v>
      </c>
      <c r="D5407" s="1" t="str">
        <f>"0426S0315S"</f>
        <v>0426S0315S</v>
      </c>
      <c r="E5407" s="1" t="str">
        <f>"검침실패(3시간 이상)"</f>
        <v>검침실패(3시간 이상)</v>
      </c>
      <c r="F5407" s="1" t="str">
        <f>"fde3:102:1440:4200:0:0:0:7"</f>
        <v>fde3:102:1440:4200:0:0:0:7</v>
      </c>
      <c r="G5407" s="1" t="str">
        <f>"0426S031"</f>
        <v>0426S031</v>
      </c>
      <c r="H5407" s="1" t="str">
        <f>"화중지 1L8R10"</f>
        <v>화중지 1L8R10</v>
      </c>
      <c r="I5407" s="1" t="s">
        <v>15</v>
      </c>
      <c r="J5407" s="1" t="str">
        <f>"0/92"</f>
        <v>0/92</v>
      </c>
      <c r="K5407" s="1" t="str">
        <f>"2026-07-29 14:21:07"</f>
        <v>2026-07-29 14:21:07</v>
      </c>
      <c r="L5407" s="1" t="str">
        <f>"2022-11-01 16:55:37"</f>
        <v>2022-11-01 16:55:37</v>
      </c>
      <c r="M5407" s="1" t="s">
        <v>45</v>
      </c>
      <c r="N5407" s="1" t="s">
        <v>38</v>
      </c>
      <c r="O5407" s="1" t="s">
        <v>46</v>
      </c>
    </row>
    <row r="5408" spans="2:15" x14ac:dyDescent="0.3">
      <c r="B5408" s="1" t="s">
        <v>23</v>
      </c>
      <c r="C5408" s="1" t="str">
        <f>"5-1차"</f>
        <v>5-1차</v>
      </c>
      <c r="D5408" s="1" t="str">
        <f>"0426S0415M"</f>
        <v>0426S0415M</v>
      </c>
      <c r="E5408" s="1" t="s">
        <v>10</v>
      </c>
      <c r="F5408" s="1" t="str">
        <f>"fde3:102:1440:4500:0:0:0:5"</f>
        <v>fde3:102:1440:4500:0:0:0:5</v>
      </c>
      <c r="G5408" s="1" t="str">
        <f>"0426S041"</f>
        <v>0426S041</v>
      </c>
      <c r="H5408" s="1" t="str">
        <f>"화중지 12L8"</f>
        <v>화중지 12L8</v>
      </c>
      <c r="I5408" s="1" t="s">
        <v>15</v>
      </c>
      <c r="J5408" s="1" t="str">
        <f>"43/44"</f>
        <v>43/44</v>
      </c>
      <c r="K5408" s="1" t="str">
        <f>"2026-07-29 14:20:42"</f>
        <v>2026-07-29 14:20:42</v>
      </c>
      <c r="L5408" s="1" t="str">
        <f>"2022-11-01 14:11:54"</f>
        <v>2022-11-01 14:11:54</v>
      </c>
      <c r="M5408" s="1" t="s">
        <v>45</v>
      </c>
      <c r="N5408" s="1" t="s">
        <v>38</v>
      </c>
      <c r="O5408" s="1" t="s">
        <v>46</v>
      </c>
    </row>
    <row r="5409" spans="2:15" x14ac:dyDescent="0.3">
      <c r="B5409" s="1" t="s">
        <v>23</v>
      </c>
      <c r="C5409" s="1" t="str">
        <f>"5-1차"</f>
        <v>5-1차</v>
      </c>
      <c r="D5409" s="1" t="str">
        <f>"0426S0515M"</f>
        <v>0426S0515M</v>
      </c>
      <c r="E5409" s="1" t="s">
        <v>10</v>
      </c>
      <c r="F5409" s="1" t="str">
        <f>"fde3:102:1440:4400:0:0:0:8"</f>
        <v>fde3:102:1440:4400:0:0:0:8</v>
      </c>
      <c r="G5409" s="1" t="str">
        <f>"0426S051"</f>
        <v>0426S051</v>
      </c>
      <c r="H5409" s="1" t="str">
        <f>"화중지 36L4"</f>
        <v>화중지 36L4</v>
      </c>
      <c r="I5409" s="1" t="s">
        <v>15</v>
      </c>
      <c r="J5409" s="1" t="str">
        <f>"49/50"</f>
        <v>49/50</v>
      </c>
      <c r="K5409" s="1" t="str">
        <f>"2026-07-29 14:20:42"</f>
        <v>2026-07-29 14:20:42</v>
      </c>
      <c r="L5409" s="1" t="str">
        <f>"2022-11-01 14:47:43"</f>
        <v>2022-11-01 14:47:43</v>
      </c>
      <c r="M5409" s="1" t="s">
        <v>45</v>
      </c>
      <c r="N5409" s="1" t="s">
        <v>38</v>
      </c>
      <c r="O5409" s="1" t="s">
        <v>46</v>
      </c>
    </row>
    <row r="5410" spans="2:15" x14ac:dyDescent="0.3">
      <c r="B5410" s="1" t="s">
        <v>23</v>
      </c>
      <c r="C5410" s="1" t="str">
        <f>"5-2차"</f>
        <v>5-2차</v>
      </c>
      <c r="D5410" s="1" t="str">
        <f>"0426S0615M"</f>
        <v>0426S0615M</v>
      </c>
      <c r="E5410" s="1" t="s">
        <v>10</v>
      </c>
      <c r="F5410" s="1" t="str">
        <f>"fde3:102:1440:4200:0:0:0:d"</f>
        <v>fde3:102:1440:4200:0:0:0:d</v>
      </c>
      <c r="G5410" s="1" t="str">
        <f>"0426S061"</f>
        <v>0426S061</v>
      </c>
      <c r="H5410" s="1" t="str">
        <f>"화중지 36L3"</f>
        <v>화중지 36L3</v>
      </c>
      <c r="I5410" s="1" t="s">
        <v>15</v>
      </c>
      <c r="J5410" s="1" t="str">
        <f>"76/78"</f>
        <v>76/78</v>
      </c>
      <c r="K5410" s="1" t="str">
        <f>"2026-07-29 14:21:07"</f>
        <v>2026-07-29 14:21:07</v>
      </c>
      <c r="L5410" s="1" t="str">
        <f>"2023-06-19 18:11:09"</f>
        <v>2023-06-19 18:11:09</v>
      </c>
      <c r="M5410" s="1" t="s">
        <v>45</v>
      </c>
      <c r="N5410" s="1" t="s">
        <v>38</v>
      </c>
      <c r="O5410" s="1" t="s">
        <v>46</v>
      </c>
    </row>
    <row r="5411" spans="2:15" x14ac:dyDescent="0.3">
      <c r="B5411" s="1" t="s">
        <v>23</v>
      </c>
      <c r="C5411" s="1" t="str">
        <f>"5-2차"</f>
        <v>5-2차</v>
      </c>
      <c r="D5411" s="1" t="str">
        <f>"0426S1015M"</f>
        <v>0426S1015M</v>
      </c>
      <c r="E5411" s="1" t="s">
        <v>10</v>
      </c>
      <c r="F5411" s="1" t="str">
        <f>"fde3:102:1440:4200:0:0:0:e"</f>
        <v>fde3:102:1440:4200:0:0:0:e</v>
      </c>
      <c r="G5411" s="1" t="str">
        <f>"0426S101"</f>
        <v>0426S101</v>
      </c>
      <c r="H5411" s="1" t="str">
        <f>"화중지 12L3"</f>
        <v>화중지 12L3</v>
      </c>
      <c r="I5411" s="1" t="s">
        <v>15</v>
      </c>
      <c r="J5411" s="1" t="str">
        <f>"50/50"</f>
        <v>50/50</v>
      </c>
      <c r="K5411" s="1" t="str">
        <f>"2026-07-29 14:20:46"</f>
        <v>2026-07-29 14:20:46</v>
      </c>
      <c r="L5411" s="1" t="str">
        <f>"2023-06-19 18:12:06"</f>
        <v>2023-06-19 18:12:06</v>
      </c>
      <c r="M5411" s="1" t="s">
        <v>45</v>
      </c>
      <c r="N5411" s="1" t="s">
        <v>38</v>
      </c>
      <c r="O5411" s="1" t="s">
        <v>46</v>
      </c>
    </row>
    <row r="5412" spans="2:15" x14ac:dyDescent="0.3">
      <c r="B5412" s="1" t="s">
        <v>23</v>
      </c>
      <c r="C5412" s="1" t="str">
        <f>"5-1차"</f>
        <v>5-1차</v>
      </c>
      <c r="D5412" s="1" t="str">
        <f>"0426S1025S"</f>
        <v>0426S1025S</v>
      </c>
      <c r="E5412" s="1" t="s">
        <v>10</v>
      </c>
      <c r="F5412" s="1" t="str">
        <f>"fde3:102:1440:4200:0:0:0:3"</f>
        <v>fde3:102:1440:4200:0:0:0:3</v>
      </c>
      <c r="G5412" s="1" t="str">
        <f>"0426S102"</f>
        <v>0426S102</v>
      </c>
      <c r="H5412" s="1" t="str">
        <f>"화중지 12L4R1"</f>
        <v>화중지 12L4R1</v>
      </c>
      <c r="I5412" s="1" t="s">
        <v>15</v>
      </c>
      <c r="J5412" s="1" t="str">
        <f>"48/48"</f>
        <v>48/48</v>
      </c>
      <c r="K5412" s="1" t="str">
        <f>"2026-07-29 14:20:47"</f>
        <v>2026-07-29 14:20:47</v>
      </c>
      <c r="L5412" s="1" t="str">
        <f>"2022-11-01 11:42:28"</f>
        <v>2022-11-01 11:42:28</v>
      </c>
      <c r="M5412" s="1" t="s">
        <v>45</v>
      </c>
      <c r="N5412" s="1" t="s">
        <v>38</v>
      </c>
      <c r="O5412" s="1" t="s">
        <v>46</v>
      </c>
    </row>
    <row r="5413" spans="2:15" x14ac:dyDescent="0.3">
      <c r="B5413" s="1" t="s">
        <v>23</v>
      </c>
      <c r="C5413" s="1" t="str">
        <f>"5-1차"</f>
        <v>5-1차</v>
      </c>
      <c r="D5413" s="1" t="str">
        <f>"0426S1115M"</f>
        <v>0426S1115M</v>
      </c>
      <c r="E5413" s="1" t="s">
        <v>10</v>
      </c>
      <c r="F5413" s="1" t="str">
        <f>"fde3:102:1440:4200:0:0:0:2"</f>
        <v>fde3:102:1440:4200:0:0:0:2</v>
      </c>
      <c r="G5413" s="1" t="str">
        <f>"0426S111"</f>
        <v>0426S111</v>
      </c>
      <c r="H5413" s="1" t="str">
        <f>"화중지 12L4"</f>
        <v>화중지 12L4</v>
      </c>
      <c r="I5413" s="1" t="s">
        <v>15</v>
      </c>
      <c r="J5413" s="1" t="str">
        <f>"81/81"</f>
        <v>81/81</v>
      </c>
      <c r="K5413" s="1" t="str">
        <f>"2026-07-29 14:20:42"</f>
        <v>2026-07-29 14:20:42</v>
      </c>
      <c r="L5413" s="1" t="str">
        <f>"2022-11-01 10:58:48"</f>
        <v>2022-11-01 10:58:48</v>
      </c>
      <c r="M5413" s="1" t="s">
        <v>45</v>
      </c>
      <c r="N5413" s="1" t="s">
        <v>38</v>
      </c>
      <c r="O5413" s="1" t="s">
        <v>46</v>
      </c>
    </row>
    <row r="5414" spans="2:15" x14ac:dyDescent="0.3">
      <c r="B5414" s="1" t="s">
        <v>23</v>
      </c>
      <c r="C5414" s="1" t="str">
        <f>"5-2차"</f>
        <v>5-2차</v>
      </c>
      <c r="D5414" s="1" t="str">
        <f>"0426S2225M"</f>
        <v>0426S2225M</v>
      </c>
      <c r="E5414" s="1" t="s">
        <v>10</v>
      </c>
      <c r="F5414" s="1" t="str">
        <f>"fde3:102:1440:4200:0:0:0:27"</f>
        <v>fde3:102:1440:4200:0:0:0:27</v>
      </c>
      <c r="G5414" s="1" t="str">
        <f>"0426S222"</f>
        <v>0426S222</v>
      </c>
      <c r="H5414" s="1" t="str">
        <f>"대원간 34"</f>
        <v>대원간 34</v>
      </c>
      <c r="I5414" s="1" t="s">
        <v>15</v>
      </c>
      <c r="J5414" s="1" t="str">
        <f>"29/29"</f>
        <v>29/29</v>
      </c>
      <c r="K5414" s="1" t="str">
        <f>"2026-07-29 14:21:07"</f>
        <v>2026-07-29 14:21:07</v>
      </c>
      <c r="L5414" s="1" t="str">
        <f>"2024-02-28 12:33:17"</f>
        <v>2024-02-28 12:33:17</v>
      </c>
      <c r="M5414" s="1" t="s">
        <v>45</v>
      </c>
      <c r="N5414" s="1" t="s">
        <v>38</v>
      </c>
      <c r="O5414" s="1" t="s">
        <v>46</v>
      </c>
    </row>
    <row r="5415" spans="2:15" x14ac:dyDescent="0.3">
      <c r="B5415" s="1" t="s">
        <v>23</v>
      </c>
      <c r="C5415" s="1" t="str">
        <f>"5-1차"</f>
        <v>5-1차</v>
      </c>
      <c r="D5415" s="1" t="str">
        <f>"0426S2415M"</f>
        <v>0426S2415M</v>
      </c>
      <c r="E5415" s="1" t="s">
        <v>10</v>
      </c>
      <c r="F5415" s="1" t="str">
        <f>"fde2:104:0:8e:0:0:0:2"</f>
        <v>fde2:104:0:8e:0:0:0:2</v>
      </c>
      <c r="G5415" s="1" t="str">
        <f>"0426S241"</f>
        <v>0426S241</v>
      </c>
      <c r="H5415" s="1" t="str">
        <f>"화중지 30"</f>
        <v>화중지 30</v>
      </c>
      <c r="I5415" s="1" t="s">
        <v>15</v>
      </c>
      <c r="J5415" s="1" t="str">
        <f>"31/32"</f>
        <v>31/32</v>
      </c>
      <c r="K5415" s="1" t="str">
        <f>"2026-07-29 14:20:43"</f>
        <v>2026-07-29 14:20:43</v>
      </c>
      <c r="L5415" s="1" t="str">
        <f>"2022-07-08 17:38:46"</f>
        <v>2022-07-08 17:38:46</v>
      </c>
      <c r="M5415" s="1" t="s">
        <v>42</v>
      </c>
      <c r="N5415" s="1" t="s">
        <v>38</v>
      </c>
      <c r="O5415" s="1" t="s">
        <v>46</v>
      </c>
    </row>
    <row r="5416" spans="2:15" x14ac:dyDescent="0.3">
      <c r="B5416" s="1" t="s">
        <v>23</v>
      </c>
      <c r="C5416" s="1" t="str">
        <f>"5-1차"</f>
        <v>5-1차</v>
      </c>
      <c r="D5416" s="1" t="str">
        <f>"0426S2515M"</f>
        <v>0426S2515M</v>
      </c>
      <c r="E5416" s="1" t="s">
        <v>10</v>
      </c>
      <c r="F5416" s="1" t="str">
        <f>"fde3:102:1440:4200:0:0:0:4"</f>
        <v>fde3:102:1440:4200:0:0:0:4</v>
      </c>
      <c r="G5416" s="1" t="str">
        <f>"0426S251"</f>
        <v>0426S251</v>
      </c>
      <c r="H5416" s="1" t="str">
        <f>"대원간 37L2L7L1"</f>
        <v>대원간 37L2L7L1</v>
      </c>
      <c r="I5416" s="1" t="s">
        <v>15</v>
      </c>
      <c r="J5416" s="1" t="str">
        <f>"14/14"</f>
        <v>14/14</v>
      </c>
      <c r="K5416" s="1" t="str">
        <f>"2026-07-29 14:20:42"</f>
        <v>2026-07-29 14:20:42</v>
      </c>
      <c r="L5416" s="1" t="str">
        <f>"2022-10-27 10:56:50"</f>
        <v>2022-10-27 10:56:50</v>
      </c>
      <c r="M5416" s="1" t="s">
        <v>45</v>
      </c>
      <c r="N5416" s="1" t="s">
        <v>38</v>
      </c>
      <c r="O5416" s="1" t="s">
        <v>46</v>
      </c>
    </row>
    <row r="5417" spans="2:15" x14ac:dyDescent="0.3">
      <c r="B5417" s="1" t="s">
        <v>23</v>
      </c>
      <c r="C5417" s="1" t="str">
        <f t="shared" ref="C5417:C5425" si="282">"5-2차"</f>
        <v>5-2차</v>
      </c>
      <c r="D5417" s="1" t="str">
        <f>"0426S2825M"</f>
        <v>0426S2825M</v>
      </c>
      <c r="E5417" s="1" t="s">
        <v>10</v>
      </c>
      <c r="F5417" s="1" t="str">
        <f>"fde3:102:1440:4200:0:0:0:1c"</f>
        <v>fde3:102:1440:4200:0:0:0:1c</v>
      </c>
      <c r="G5417" s="1" t="str">
        <f>"0426S282"</f>
        <v>0426S282</v>
      </c>
      <c r="H5417" s="1" t="str">
        <f>"대원간 37L2L15L1"</f>
        <v>대원간 37L2L15L1</v>
      </c>
      <c r="I5417" s="1" t="s">
        <v>15</v>
      </c>
      <c r="J5417" s="1" t="str">
        <f>"37/37"</f>
        <v>37/37</v>
      </c>
      <c r="K5417" s="1" t="str">
        <f>"2026-07-29 14:21:07"</f>
        <v>2026-07-29 14:21:07</v>
      </c>
      <c r="L5417" s="1" t="str">
        <f>"2023-10-16 16:04:30"</f>
        <v>2023-10-16 16:04:30</v>
      </c>
      <c r="M5417" s="1" t="s">
        <v>45</v>
      </c>
      <c r="N5417" s="1" t="s">
        <v>38</v>
      </c>
      <c r="O5417" s="1" t="s">
        <v>46</v>
      </c>
    </row>
    <row r="5418" spans="2:15" x14ac:dyDescent="0.3">
      <c r="B5418" s="1" t="s">
        <v>23</v>
      </c>
      <c r="C5418" s="1" t="str">
        <f t="shared" si="282"/>
        <v>5-2차</v>
      </c>
      <c r="D5418" s="1" t="str">
        <f>"0426S3025M"</f>
        <v>0426S3025M</v>
      </c>
      <c r="E5418" s="1" t="s">
        <v>10</v>
      </c>
      <c r="F5418" s="1" t="str">
        <f>"fde3:102:1440:4200:0:0:0:1a"</f>
        <v>fde3:102:1440:4200:0:0:0:1a</v>
      </c>
      <c r="G5418" s="1" t="str">
        <f>"0426S302"</f>
        <v>0426S302</v>
      </c>
      <c r="H5418" s="1" t="str">
        <f>"대원간 36"</f>
        <v>대원간 36</v>
      </c>
      <c r="I5418" s="1" t="s">
        <v>15</v>
      </c>
      <c r="J5418" s="1" t="str">
        <f>"50/51"</f>
        <v>50/51</v>
      </c>
      <c r="K5418" s="1" t="str">
        <f>"2026-07-29 14:20:47"</f>
        <v>2026-07-29 14:20:47</v>
      </c>
      <c r="L5418" s="1" t="str">
        <f>"2023-06-19 18:16:12"</f>
        <v>2023-06-19 18:16:12</v>
      </c>
      <c r="M5418" s="1" t="s">
        <v>45</v>
      </c>
      <c r="N5418" s="1" t="s">
        <v>38</v>
      </c>
      <c r="O5418" s="1" t="s">
        <v>46</v>
      </c>
    </row>
    <row r="5419" spans="2:15" x14ac:dyDescent="0.3">
      <c r="B5419" s="1" t="s">
        <v>23</v>
      </c>
      <c r="C5419" s="1" t="str">
        <f t="shared" si="282"/>
        <v>5-2차</v>
      </c>
      <c r="D5419" s="1" t="str">
        <f>"0426S3215M"</f>
        <v>0426S3215M</v>
      </c>
      <c r="E5419" s="1" t="s">
        <v>10</v>
      </c>
      <c r="F5419" s="1" t="str">
        <f>"fde3:102:1440:4200:0:0:0:19"</f>
        <v>fde3:102:1440:4200:0:0:0:19</v>
      </c>
      <c r="G5419" s="1" t="str">
        <f>"0426S321"</f>
        <v>0426S321</v>
      </c>
      <c r="H5419" s="1" t="str">
        <f>"대원간 37L2L3"</f>
        <v>대원간 37L2L3</v>
      </c>
      <c r="I5419" s="1" t="s">
        <v>15</v>
      </c>
      <c r="J5419" s="1" t="str">
        <f>"113/113"</f>
        <v>113/113</v>
      </c>
      <c r="K5419" s="1" t="str">
        <f>"2026-07-29 14:21:07"</f>
        <v>2026-07-29 14:21:07</v>
      </c>
      <c r="L5419" s="1" t="str">
        <f>"2023-06-19 18:12:45"</f>
        <v>2023-06-19 18:12:45</v>
      </c>
      <c r="M5419" s="1" t="s">
        <v>45</v>
      </c>
      <c r="N5419" s="1" t="s">
        <v>38</v>
      </c>
      <c r="O5419" s="1" t="s">
        <v>46</v>
      </c>
    </row>
    <row r="5420" spans="2:15" x14ac:dyDescent="0.3">
      <c r="B5420" s="1" t="s">
        <v>23</v>
      </c>
      <c r="C5420" s="1" t="str">
        <f t="shared" si="282"/>
        <v>5-2차</v>
      </c>
      <c r="D5420" s="1" t="str">
        <f>"0426S3315S"</f>
        <v>0426S3315S</v>
      </c>
      <c r="E5420" s="1" t="s">
        <v>10</v>
      </c>
      <c r="F5420" s="1" t="str">
        <f>"fde3:102:1440:4200:0:0:0:26"</f>
        <v>fde3:102:1440:4200:0:0:0:26</v>
      </c>
      <c r="G5420" s="1" t="str">
        <f>"0426S331"</f>
        <v>0426S331</v>
      </c>
      <c r="H5420" s="1" t="str">
        <f>"대원간 37L2L5"</f>
        <v>대원간 37L2L5</v>
      </c>
      <c r="I5420" s="1" t="s">
        <v>15</v>
      </c>
      <c r="J5420" s="1" t="str">
        <f>"60/60"</f>
        <v>60/60</v>
      </c>
      <c r="K5420" s="1" t="str">
        <f>"2026-07-29 14:20:41"</f>
        <v>2026-07-29 14:20:41</v>
      </c>
      <c r="L5420" s="1" t="str">
        <f>"2024-01-22 16:56:09"</f>
        <v>2024-01-22 16:56:09</v>
      </c>
      <c r="M5420" s="1" t="s">
        <v>45</v>
      </c>
      <c r="N5420" s="1" t="s">
        <v>38</v>
      </c>
      <c r="O5420" s="1" t="s">
        <v>46</v>
      </c>
    </row>
    <row r="5421" spans="2:15" x14ac:dyDescent="0.3">
      <c r="B5421" s="1" t="s">
        <v>23</v>
      </c>
      <c r="C5421" s="1" t="str">
        <f t="shared" si="282"/>
        <v>5-2차</v>
      </c>
      <c r="D5421" s="1" t="str">
        <f>"0426S3415M"</f>
        <v>0426S3415M</v>
      </c>
      <c r="E5421" s="1" t="s">
        <v>10</v>
      </c>
      <c r="F5421" s="1" t="str">
        <f>"fde3:102:1440:4200:0:0:0:17"</f>
        <v>fde3:102:1440:4200:0:0:0:17</v>
      </c>
      <c r="G5421" s="1" t="str">
        <f>"0426S341"</f>
        <v>0426S341</v>
      </c>
      <c r="H5421" s="1" t="str">
        <f>"대원간 37L2L6"</f>
        <v>대원간 37L2L6</v>
      </c>
      <c r="I5421" s="1" t="s">
        <v>15</v>
      </c>
      <c r="J5421" s="1" t="str">
        <f>"64/66"</f>
        <v>64/66</v>
      </c>
      <c r="K5421" s="1" t="str">
        <f>"2026-07-29 14:20:42"</f>
        <v>2026-07-29 14:20:42</v>
      </c>
      <c r="L5421" s="1" t="str">
        <f>"2023-10-16 16:25:30"</f>
        <v>2023-10-16 16:25:30</v>
      </c>
      <c r="M5421" s="1" t="s">
        <v>45</v>
      </c>
      <c r="N5421" s="1" t="s">
        <v>38</v>
      </c>
      <c r="O5421" s="1" t="s">
        <v>46</v>
      </c>
    </row>
    <row r="5422" spans="2:15" x14ac:dyDescent="0.3">
      <c r="B5422" s="1" t="s">
        <v>23</v>
      </c>
      <c r="C5422" s="1" t="str">
        <f t="shared" si="282"/>
        <v>5-2차</v>
      </c>
      <c r="D5422" s="1" t="str">
        <f>"0426S3525M"</f>
        <v>0426S3525M</v>
      </c>
      <c r="E5422" s="1" t="s">
        <v>10</v>
      </c>
      <c r="F5422" s="1" t="str">
        <f>"fde3:102:1440:4200:0:0:0:25"</f>
        <v>fde3:102:1440:4200:0:0:0:25</v>
      </c>
      <c r="G5422" s="1" t="str">
        <f>"0426S352"</f>
        <v>0426S352</v>
      </c>
      <c r="H5422" s="1" t="str">
        <f>"대원간 37L2L8"</f>
        <v>대원간 37L2L8</v>
      </c>
      <c r="I5422" s="1" t="s">
        <v>15</v>
      </c>
      <c r="J5422" s="1" t="str">
        <f>"33/33"</f>
        <v>33/33</v>
      </c>
      <c r="K5422" s="1" t="str">
        <f>"2026-07-29 14:21:07"</f>
        <v>2026-07-29 14:21:07</v>
      </c>
      <c r="L5422" s="1" t="str">
        <f>"2024-01-17 10:35:43"</f>
        <v>2024-01-17 10:35:43</v>
      </c>
      <c r="M5422" s="1" t="s">
        <v>45</v>
      </c>
      <c r="N5422" s="1" t="s">
        <v>38</v>
      </c>
      <c r="O5422" s="1" t="s">
        <v>46</v>
      </c>
    </row>
    <row r="5423" spans="2:15" x14ac:dyDescent="0.3">
      <c r="B5423" s="1" t="s">
        <v>23</v>
      </c>
      <c r="C5423" s="1" t="str">
        <f t="shared" si="282"/>
        <v>5-2차</v>
      </c>
      <c r="D5423" s="1" t="str">
        <f>"0426S3615M"</f>
        <v>0426S3615M</v>
      </c>
      <c r="E5423" s="1" t="s">
        <v>10</v>
      </c>
      <c r="F5423" s="1" t="str">
        <f>"fde3:102:1440:4200:0:0:0:15"</f>
        <v>fde3:102:1440:4200:0:0:0:15</v>
      </c>
      <c r="G5423" s="1" t="str">
        <f>"0426S361"</f>
        <v>0426S361</v>
      </c>
      <c r="H5423" s="1" t="str">
        <f>"대원간 37L2L8L1"</f>
        <v>대원간 37L2L8L1</v>
      </c>
      <c r="I5423" s="1" t="s">
        <v>15</v>
      </c>
      <c r="J5423" s="1" t="str">
        <f>"45/45"</f>
        <v>45/45</v>
      </c>
      <c r="K5423" s="1" t="str">
        <f>"2026-07-29 14:20:42"</f>
        <v>2026-07-29 14:20:42</v>
      </c>
      <c r="L5423" s="1" t="str">
        <f>"2023-10-11 10:40:39"</f>
        <v>2023-10-11 10:40:39</v>
      </c>
      <c r="M5423" s="1" t="s">
        <v>45</v>
      </c>
      <c r="N5423" s="1" t="s">
        <v>38</v>
      </c>
      <c r="O5423" s="1" t="s">
        <v>46</v>
      </c>
    </row>
    <row r="5424" spans="2:15" x14ac:dyDescent="0.3">
      <c r="B5424" s="1" t="s">
        <v>23</v>
      </c>
      <c r="C5424" s="1" t="str">
        <f t="shared" si="282"/>
        <v>5-2차</v>
      </c>
      <c r="D5424" s="1" t="str">
        <f>"0426S3715M"</f>
        <v>0426S3715M</v>
      </c>
      <c r="E5424" s="1" t="s">
        <v>10</v>
      </c>
      <c r="F5424" s="1" t="str">
        <f>"fde3:102:1440:4200:0:0:0:16"</f>
        <v>fde3:102:1440:4200:0:0:0:16</v>
      </c>
      <c r="G5424" s="1" t="str">
        <f>"0426S371"</f>
        <v>0426S371</v>
      </c>
      <c r="H5424" s="1" t="str">
        <f>"대원간 37L2L8L2"</f>
        <v>대원간 37L2L8L2</v>
      </c>
      <c r="I5424" s="1" t="s">
        <v>15</v>
      </c>
      <c r="J5424" s="1" t="str">
        <f>"71/71"</f>
        <v>71/71</v>
      </c>
      <c r="K5424" s="1" t="str">
        <f>"2026-07-29 14:20:42"</f>
        <v>2026-07-29 14:20:42</v>
      </c>
      <c r="L5424" s="1" t="str">
        <f>"2023-06-19 18:00:56"</f>
        <v>2023-06-19 18:00:56</v>
      </c>
      <c r="M5424" s="1" t="s">
        <v>45</v>
      </c>
      <c r="N5424" s="1" t="s">
        <v>38</v>
      </c>
      <c r="O5424" s="1" t="s">
        <v>46</v>
      </c>
    </row>
    <row r="5425" spans="2:15" x14ac:dyDescent="0.3">
      <c r="B5425" s="1" t="s">
        <v>23</v>
      </c>
      <c r="C5425" s="1" t="str">
        <f t="shared" si="282"/>
        <v>5-2차</v>
      </c>
      <c r="D5425" s="1" t="str">
        <f>"0426S3825M"</f>
        <v>0426S3825M</v>
      </c>
      <c r="E5425" s="1" t="s">
        <v>10</v>
      </c>
      <c r="F5425" s="1" t="str">
        <f>"fde3:102:1440:4200:0:0:0:13"</f>
        <v>fde3:102:1440:4200:0:0:0:13</v>
      </c>
      <c r="G5425" s="1" t="str">
        <f>"0426S382"</f>
        <v>0426S382</v>
      </c>
      <c r="H5425" s="1" t="str">
        <f>"대원간 37L2L14"</f>
        <v>대원간 37L2L14</v>
      </c>
      <c r="I5425" s="1" t="s">
        <v>15</v>
      </c>
      <c r="J5425" s="1" t="str">
        <f>"82/82"</f>
        <v>82/82</v>
      </c>
      <c r="K5425" s="1" t="str">
        <f>"2026-07-28 20:03:27"</f>
        <v>2026-07-28 20:03:27</v>
      </c>
      <c r="L5425" s="1" t="str">
        <f>"2023-06-19 18:05:38"</f>
        <v>2023-06-19 18:05:38</v>
      </c>
      <c r="M5425" s="1" t="s">
        <v>45</v>
      </c>
      <c r="N5425" s="1" t="s">
        <v>38</v>
      </c>
      <c r="O5425" s="1" t="s">
        <v>46</v>
      </c>
    </row>
    <row r="5426" spans="2:15" x14ac:dyDescent="0.3">
      <c r="B5426" s="1" t="s">
        <v>23</v>
      </c>
      <c r="C5426" s="1" t="str">
        <f>"5-1차"</f>
        <v>5-1차</v>
      </c>
      <c r="D5426" s="1" t="str">
        <f>"0426S3925M"</f>
        <v>0426S3925M</v>
      </c>
      <c r="E5426" s="1" t="s">
        <v>10</v>
      </c>
      <c r="F5426" s="1" t="str">
        <f>"fde3:102:1440:4200:0:0:0:5"</f>
        <v>fde3:102:1440:4200:0:0:0:5</v>
      </c>
      <c r="G5426" s="1" t="str">
        <f>"0426S392"</f>
        <v>0426S392</v>
      </c>
      <c r="H5426" s="1" t="str">
        <f>"대원간 37L2L15L2"</f>
        <v>대원간 37L2L15L2</v>
      </c>
      <c r="I5426" s="1" t="s">
        <v>15</v>
      </c>
      <c r="J5426" s="1" t="str">
        <f>"19/19"</f>
        <v>19/19</v>
      </c>
      <c r="K5426" s="1" t="str">
        <f>"2026-07-29 14:20:43"</f>
        <v>2026-07-29 14:20:43</v>
      </c>
      <c r="L5426" s="1" t="str">
        <f>"2022-10-31 19:24:10"</f>
        <v>2022-10-31 19:24:10</v>
      </c>
      <c r="M5426" s="1" t="s">
        <v>45</v>
      </c>
      <c r="N5426" s="1" t="s">
        <v>38</v>
      </c>
      <c r="O5426" s="1" t="s">
        <v>46</v>
      </c>
    </row>
    <row r="5427" spans="2:15" x14ac:dyDescent="0.3">
      <c r="B5427" s="1" t="s">
        <v>23</v>
      </c>
      <c r="C5427" s="1" t="str">
        <f t="shared" ref="C5427:C5434" si="283">"5-2차"</f>
        <v>5-2차</v>
      </c>
      <c r="D5427" s="1" t="str">
        <f>"0426S4015M"</f>
        <v>0426S4015M</v>
      </c>
      <c r="E5427" s="1" t="s">
        <v>10</v>
      </c>
      <c r="F5427" s="1" t="str">
        <f>"fde3:102:1440:4400:0:0:0:22"</f>
        <v>fde3:102:1440:4400:0:0:0:22</v>
      </c>
      <c r="G5427" s="1" t="str">
        <f>"0426S401"</f>
        <v>0426S401</v>
      </c>
      <c r="H5427" s="1" t="str">
        <f>"대원간 37L2L1"</f>
        <v>대원간 37L2L1</v>
      </c>
      <c r="I5427" s="1" t="s">
        <v>15</v>
      </c>
      <c r="J5427" s="1" t="str">
        <f>"121/121"</f>
        <v>121/121</v>
      </c>
      <c r="K5427" s="1" t="str">
        <f>"2026-07-29 14:20:42"</f>
        <v>2026-07-29 14:20:42</v>
      </c>
      <c r="L5427" s="1" t="str">
        <f>"2023-10-16 16:30:27"</f>
        <v>2023-10-16 16:30:27</v>
      </c>
      <c r="M5427" s="1" t="s">
        <v>45</v>
      </c>
      <c r="N5427" s="1" t="s">
        <v>38</v>
      </c>
      <c r="O5427" s="1" t="s">
        <v>46</v>
      </c>
    </row>
    <row r="5428" spans="2:15" x14ac:dyDescent="0.3">
      <c r="B5428" s="1" t="s">
        <v>23</v>
      </c>
      <c r="C5428" s="1" t="str">
        <f t="shared" si="283"/>
        <v>5-2차</v>
      </c>
      <c r="D5428" s="1" t="str">
        <f>"0426S4435M"</f>
        <v>0426S4435M</v>
      </c>
      <c r="E5428" s="1" t="s">
        <v>10</v>
      </c>
      <c r="F5428" s="1" t="str">
        <f>"fde3:102:1440:4200:0:0:0:18"</f>
        <v>fde3:102:1440:4200:0:0:0:18</v>
      </c>
      <c r="G5428" s="1" t="str">
        <f>"0426S443"</f>
        <v>0426S443</v>
      </c>
      <c r="H5428" s="1" t="str">
        <f>"대원간 37L2L10R2"</f>
        <v>대원간 37L2L10R2</v>
      </c>
      <c r="I5428" s="1" t="s">
        <v>15</v>
      </c>
      <c r="J5428" s="1" t="str">
        <f>"60/60"</f>
        <v>60/60</v>
      </c>
      <c r="K5428" s="1" t="str">
        <f>"2026-07-29 14:20:42"</f>
        <v>2026-07-29 14:20:42</v>
      </c>
      <c r="L5428" s="1" t="str">
        <f>"2023-08-22 17:30:26"</f>
        <v>2023-08-22 17:30:26</v>
      </c>
      <c r="M5428" s="1" t="s">
        <v>45</v>
      </c>
      <c r="N5428" s="1" t="s">
        <v>38</v>
      </c>
      <c r="O5428" s="1" t="s">
        <v>46</v>
      </c>
    </row>
    <row r="5429" spans="2:15" x14ac:dyDescent="0.3">
      <c r="B5429" s="1" t="s">
        <v>23</v>
      </c>
      <c r="C5429" s="1" t="str">
        <f t="shared" si="283"/>
        <v>5-2차</v>
      </c>
      <c r="D5429" s="1" t="str">
        <f>"0426S4515M"</f>
        <v>0426S4515M</v>
      </c>
      <c r="E5429" s="1" t="s">
        <v>10</v>
      </c>
      <c r="F5429" s="1" t="str">
        <f>"fde3:102:1440:4200:0:0:0:1b"</f>
        <v>fde3:102:1440:4200:0:0:0:1b</v>
      </c>
      <c r="G5429" s="1" t="str">
        <f>"0426S451"</f>
        <v>0426S451</v>
      </c>
      <c r="H5429" s="1" t="str">
        <f>"대원간 37L2L9"</f>
        <v>대원간 37L2L9</v>
      </c>
      <c r="I5429" s="1" t="s">
        <v>15</v>
      </c>
      <c r="J5429" s="1" t="str">
        <f>"45/45"</f>
        <v>45/45</v>
      </c>
      <c r="K5429" s="1" t="str">
        <f>"2026-07-29 14:20:42"</f>
        <v>2026-07-29 14:20:42</v>
      </c>
      <c r="L5429" s="1" t="str">
        <f>"2023-06-19 18:06:11"</f>
        <v>2023-06-19 18:06:11</v>
      </c>
      <c r="M5429" s="1" t="s">
        <v>45</v>
      </c>
      <c r="N5429" s="1" t="s">
        <v>38</v>
      </c>
      <c r="O5429" s="1" t="s">
        <v>46</v>
      </c>
    </row>
    <row r="5430" spans="2:15" x14ac:dyDescent="0.3">
      <c r="B5430" s="1" t="s">
        <v>23</v>
      </c>
      <c r="C5430" s="1" t="str">
        <f t="shared" si="283"/>
        <v>5-2차</v>
      </c>
      <c r="D5430" s="1" t="str">
        <f>"0426S4615M"</f>
        <v>0426S4615M</v>
      </c>
      <c r="E5430" s="1" t="s">
        <v>10</v>
      </c>
      <c r="F5430" s="1" t="str">
        <f>"fde3:102:1440:4200:0:0:0:14"</f>
        <v>fde3:102:1440:4200:0:0:0:14</v>
      </c>
      <c r="G5430" s="1" t="str">
        <f>"0426S461"</f>
        <v>0426S461</v>
      </c>
      <c r="H5430" s="1" t="str">
        <f>"대원간 37L2L11"</f>
        <v>대원간 37L2L11</v>
      </c>
      <c r="I5430" s="1" t="s">
        <v>15</v>
      </c>
      <c r="J5430" s="1" t="str">
        <f>"81/81"</f>
        <v>81/81</v>
      </c>
      <c r="K5430" s="1" t="str">
        <f>"2026-07-29 14:20:43"</f>
        <v>2026-07-29 14:20:43</v>
      </c>
      <c r="L5430" s="1" t="str">
        <f>"2023-10-11 10:53:17"</f>
        <v>2023-10-11 10:53:17</v>
      </c>
      <c r="M5430" s="1" t="s">
        <v>45</v>
      </c>
      <c r="N5430" s="1" t="s">
        <v>38</v>
      </c>
      <c r="O5430" s="1" t="s">
        <v>46</v>
      </c>
    </row>
    <row r="5431" spans="2:15" x14ac:dyDescent="0.3">
      <c r="B5431" s="1" t="s">
        <v>23</v>
      </c>
      <c r="C5431" s="1" t="str">
        <f t="shared" si="283"/>
        <v>5-2차</v>
      </c>
      <c r="D5431" s="1" t="str">
        <f>"0426S5015M"</f>
        <v>0426S5015M</v>
      </c>
      <c r="E5431" s="1" t="s">
        <v>10</v>
      </c>
      <c r="F5431" s="1" t="str">
        <f>"fde3:102:1440:4100:0:0:0:e"</f>
        <v>fde3:102:1440:4100:0:0:0:e</v>
      </c>
      <c r="G5431" s="1" t="str">
        <f>"0426S501"</f>
        <v>0426S501</v>
      </c>
      <c r="H5431" s="1" t="str">
        <f>"대원간 37L3"</f>
        <v>대원간 37L3</v>
      </c>
      <c r="I5431" s="1" t="s">
        <v>15</v>
      </c>
      <c r="J5431" s="1" t="str">
        <f>"74/74"</f>
        <v>74/74</v>
      </c>
      <c r="K5431" s="1" t="str">
        <f>"2026-07-29 14:20:42"</f>
        <v>2026-07-29 14:20:42</v>
      </c>
      <c r="L5431" s="1" t="str">
        <f>"2023-10-16 16:07:29"</f>
        <v>2023-10-16 16:07:29</v>
      </c>
      <c r="M5431" s="1" t="s">
        <v>45</v>
      </c>
      <c r="N5431" s="1" t="s">
        <v>38</v>
      </c>
      <c r="O5431" s="1" t="s">
        <v>46</v>
      </c>
    </row>
    <row r="5432" spans="2:15" x14ac:dyDescent="0.3">
      <c r="B5432" s="1" t="s">
        <v>23</v>
      </c>
      <c r="C5432" s="1" t="str">
        <f t="shared" si="283"/>
        <v>5-2차</v>
      </c>
      <c r="D5432" s="1" t="str">
        <f>"0426S5115S"</f>
        <v>0426S5115S</v>
      </c>
      <c r="E5432" s="1" t="s">
        <v>10</v>
      </c>
      <c r="F5432" s="1" t="str">
        <f>"fde3:102:1440:4100:0:0:0:d"</f>
        <v>fde3:102:1440:4100:0:0:0:d</v>
      </c>
      <c r="G5432" s="1" t="str">
        <f>"0426S511"</f>
        <v>0426S511</v>
      </c>
      <c r="H5432" s="1" t="str">
        <f>"대원간 37L3L1"</f>
        <v>대원간 37L3L1</v>
      </c>
      <c r="I5432" s="1" t="s">
        <v>15</v>
      </c>
      <c r="J5432" s="1" t="str">
        <f>"99/99"</f>
        <v>99/99</v>
      </c>
      <c r="K5432" s="1" t="str">
        <f>"2026-07-29 14:20:35"</f>
        <v>2026-07-29 14:20:35</v>
      </c>
      <c r="L5432" s="1" t="str">
        <f>"2023-09-27 16:49:00"</f>
        <v>2023-09-27 16:49:00</v>
      </c>
      <c r="M5432" s="1" t="s">
        <v>45</v>
      </c>
      <c r="N5432" s="1" t="s">
        <v>38</v>
      </c>
      <c r="O5432" s="1" t="s">
        <v>46</v>
      </c>
    </row>
    <row r="5433" spans="2:15" x14ac:dyDescent="0.3">
      <c r="B5433" s="1" t="s">
        <v>23</v>
      </c>
      <c r="C5433" s="1" t="str">
        <f t="shared" si="283"/>
        <v>5-2차</v>
      </c>
      <c r="D5433" s="1" t="str">
        <f>"0426S6015M"</f>
        <v>0426S6015M</v>
      </c>
      <c r="E5433" s="1" t="s">
        <v>10</v>
      </c>
      <c r="F5433" s="1" t="str">
        <f>"fde3:102:1440:4100:0:0:0:f"</f>
        <v>fde3:102:1440:4100:0:0:0:f</v>
      </c>
      <c r="G5433" s="1" t="str">
        <f>"0426S601"</f>
        <v>0426S601</v>
      </c>
      <c r="H5433" s="1" t="str">
        <f>"대원간 37L4L1L3"</f>
        <v>대원간 37L4L1L3</v>
      </c>
      <c r="I5433" s="1" t="s">
        <v>15</v>
      </c>
      <c r="J5433" s="1" t="str">
        <f>"251/251"</f>
        <v>251/251</v>
      </c>
      <c r="K5433" s="1" t="str">
        <f>"2026-07-29 14:20:42"</f>
        <v>2026-07-29 14:20:42</v>
      </c>
      <c r="L5433" s="1" t="str">
        <f>"2023-10-16 16:15:22"</f>
        <v>2023-10-16 16:15:22</v>
      </c>
      <c r="M5433" s="1" t="s">
        <v>45</v>
      </c>
      <c r="N5433" s="1" t="s">
        <v>38</v>
      </c>
      <c r="O5433" s="1" t="s">
        <v>46</v>
      </c>
    </row>
    <row r="5434" spans="2:15" x14ac:dyDescent="0.3">
      <c r="B5434" s="1" t="s">
        <v>23</v>
      </c>
      <c r="C5434" s="1" t="str">
        <f t="shared" si="283"/>
        <v>5-2차</v>
      </c>
      <c r="D5434" s="1" t="str">
        <f>"0426Y7125S"</f>
        <v>0426Y7125S</v>
      </c>
      <c r="E5434" s="1" t="s">
        <v>10</v>
      </c>
      <c r="F5434" s="1" t="str">
        <f>"fde3:102:1440:4600:0:0:0:c"</f>
        <v>fde3:102:1440:4600:0:0:0:c</v>
      </c>
      <c r="G5434" s="1" t="str">
        <f>"0426Y712"</f>
        <v>0426Y712</v>
      </c>
      <c r="H5434" s="1" t="str">
        <f>"고랑지 32"</f>
        <v>고랑지 32</v>
      </c>
      <c r="I5434" s="1" t="s">
        <v>15</v>
      </c>
      <c r="J5434" s="1" t="str">
        <f>"57/57"</f>
        <v>57/57</v>
      </c>
      <c r="K5434" s="1" t="str">
        <f>"2026-07-29 14:20:43"</f>
        <v>2026-07-29 14:20:43</v>
      </c>
      <c r="L5434" s="1" t="str">
        <f>"2023-09-26 13:15:34"</f>
        <v>2023-09-26 13:15:34</v>
      </c>
      <c r="M5434" s="1" t="s">
        <v>45</v>
      </c>
      <c r="N5434" s="1" t="s">
        <v>38</v>
      </c>
      <c r="O5434" s="1" t="s">
        <v>46</v>
      </c>
    </row>
    <row r="5435" spans="2:15" x14ac:dyDescent="0.3">
      <c r="B5435" s="1" t="s">
        <v>23</v>
      </c>
      <c r="C5435" s="1" t="str">
        <f>"4차"</f>
        <v>4차</v>
      </c>
      <c r="D5435" s="1" t="str">
        <f>"0525P00241"</f>
        <v>0525P00241</v>
      </c>
      <c r="E5435" s="1" t="s">
        <v>10</v>
      </c>
      <c r="F5435" s="1" t="str">
        <f>"10.14.5.46"</f>
        <v>10.14.5.46</v>
      </c>
      <c r="G5435" s="1" t="str">
        <f>"0525P002"</f>
        <v>0525P002</v>
      </c>
      <c r="H5435" s="1" t="str">
        <f>"아차지 18R1"</f>
        <v>아차지 18R1</v>
      </c>
      <c r="I5435" s="1" t="s">
        <v>17</v>
      </c>
      <c r="J5435" s="1" t="str">
        <f>"13/13"</f>
        <v>13/13</v>
      </c>
      <c r="K5435" s="1" t="str">
        <f>"2026-07-29 13:18:05"</f>
        <v>2026-07-29 13:18:05</v>
      </c>
      <c r="L5435" s="1" t="str">
        <f>"2021-08-30 11:55:04"</f>
        <v>2021-08-30 11:55:04</v>
      </c>
      <c r="M5435" s="1" t="s">
        <v>3</v>
      </c>
      <c r="N5435" s="1" t="s">
        <v>38</v>
      </c>
      <c r="O5435" s="1" t="s">
        <v>46</v>
      </c>
    </row>
    <row r="5436" spans="2:15" x14ac:dyDescent="0.3">
      <c r="B5436" s="1" t="s">
        <v>23</v>
      </c>
      <c r="C5436" s="1" t="str">
        <f>"4차"</f>
        <v>4차</v>
      </c>
      <c r="D5436" s="1" t="str">
        <f>"0525P01141"</f>
        <v>0525P01141</v>
      </c>
      <c r="E5436" s="1" t="s">
        <v>10</v>
      </c>
      <c r="F5436" s="1" t="str">
        <f>"10.12.134.40"</f>
        <v>10.12.134.40</v>
      </c>
      <c r="G5436" s="1" t="str">
        <f>"0525P011"</f>
        <v>0525P011</v>
      </c>
      <c r="H5436" s="1" t="str">
        <f>"아차지 21"</f>
        <v>아차지 21</v>
      </c>
      <c r="I5436" s="1" t="s">
        <v>17</v>
      </c>
      <c r="J5436" s="1" t="str">
        <f>"33/33"</f>
        <v>33/33</v>
      </c>
      <c r="K5436" s="1" t="str">
        <f>"2026-07-29 13:18:06"</f>
        <v>2026-07-29 13:18:06</v>
      </c>
      <c r="L5436" s="1" t="str">
        <f>"2021-10-12 15:47:20"</f>
        <v>2021-10-12 15:47:20</v>
      </c>
      <c r="M5436" s="1" t="s">
        <v>0</v>
      </c>
      <c r="N5436" s="1" t="s">
        <v>38</v>
      </c>
      <c r="O5436" s="1" t="s">
        <v>46</v>
      </c>
    </row>
    <row r="5437" spans="2:15" x14ac:dyDescent="0.3">
      <c r="B5437" s="1" t="s">
        <v>23</v>
      </c>
      <c r="C5437" s="1" t="str">
        <f>"4차"</f>
        <v>4차</v>
      </c>
      <c r="D5437" s="1" t="str">
        <f>"0525P01241"</f>
        <v>0525P01241</v>
      </c>
      <c r="E5437" s="1" t="s">
        <v>10</v>
      </c>
      <c r="F5437" s="1" t="str">
        <f>"10.14.2.41"</f>
        <v>10.14.2.41</v>
      </c>
      <c r="G5437" s="1" t="str">
        <f>"0525P012"</f>
        <v>0525P012</v>
      </c>
      <c r="H5437" s="1" t="str">
        <f>"아차지 22"</f>
        <v>아차지 22</v>
      </c>
      <c r="I5437" s="1" t="s">
        <v>17</v>
      </c>
      <c r="J5437" s="1" t="str">
        <f>"6/6"</f>
        <v>6/6</v>
      </c>
      <c r="K5437" s="1" t="str">
        <f>"2026-07-29 13:18:05"</f>
        <v>2026-07-29 13:18:05</v>
      </c>
      <c r="L5437" s="1" t="str">
        <f>"2021-07-13 12:22:20"</f>
        <v>2021-07-13 12:22:20</v>
      </c>
      <c r="M5437" s="1" t="s">
        <v>3</v>
      </c>
      <c r="N5437" s="1" t="s">
        <v>38</v>
      </c>
      <c r="O5437" s="1" t="s">
        <v>46</v>
      </c>
    </row>
    <row r="5438" spans="2:15" x14ac:dyDescent="0.3">
      <c r="B5438" s="1" t="s">
        <v>23</v>
      </c>
      <c r="C5438" s="1" t="str">
        <f>"3차"</f>
        <v>3차</v>
      </c>
      <c r="D5438" s="1" t="str">
        <f>"0525P03239"</f>
        <v>0525P03239</v>
      </c>
      <c r="E5438" s="1" t="s">
        <v>10</v>
      </c>
      <c r="F5438" s="1" t="str">
        <f>"10.11.82.154"</f>
        <v>10.11.82.154</v>
      </c>
      <c r="G5438" s="1" t="str">
        <f>"0525P032"</f>
        <v>0525P032</v>
      </c>
      <c r="H5438" s="1" t="str">
        <f>"아차지 24"</f>
        <v>아차지 24</v>
      </c>
      <c r="I5438" s="1" t="s">
        <v>8</v>
      </c>
      <c r="J5438" s="1" t="str">
        <f>"39/39"</f>
        <v>39/39</v>
      </c>
      <c r="K5438" s="1" t="str">
        <f>"2026-07-29 13:18:05"</f>
        <v>2026-07-29 13:18:05</v>
      </c>
      <c r="L5438" s="1" t="str">
        <f>"2018-06-05 11:54:43"</f>
        <v>2018-06-05 11:54:43</v>
      </c>
      <c r="M5438" s="1" t="s">
        <v>2</v>
      </c>
      <c r="N5438" s="1" t="s">
        <v>38</v>
      </c>
      <c r="O5438" s="1" t="s">
        <v>46</v>
      </c>
    </row>
    <row r="5439" spans="2:15" x14ac:dyDescent="0.3">
      <c r="B5439" s="1" t="s">
        <v>23</v>
      </c>
      <c r="C5439" s="1" t="str">
        <f t="shared" ref="C5439:C5444" si="284">"4차"</f>
        <v>4차</v>
      </c>
      <c r="D5439" s="1" t="str">
        <f>"0525P11141"</f>
        <v>0525P11141</v>
      </c>
      <c r="E5439" s="1" t="s">
        <v>10</v>
      </c>
      <c r="F5439" s="1" t="str">
        <f>"10.14.9.37"</f>
        <v>10.14.9.37</v>
      </c>
      <c r="G5439" s="1" t="str">
        <f>"0525P111"</f>
        <v>0525P111</v>
      </c>
      <c r="H5439" s="1" t="str">
        <f>"아차지 22R1"</f>
        <v>아차지 22R1</v>
      </c>
      <c r="I5439" s="1" t="s">
        <v>17</v>
      </c>
      <c r="J5439" s="1" t="str">
        <f>"22/22"</f>
        <v>22/22</v>
      </c>
      <c r="K5439" s="1" t="str">
        <f>"2026-07-29 13:18:03"</f>
        <v>2026-07-29 13:18:03</v>
      </c>
      <c r="L5439" s="1" t="str">
        <f>"2021-08-30 11:11:07"</f>
        <v>2021-08-30 11:11:07</v>
      </c>
      <c r="M5439" s="1" t="s">
        <v>3</v>
      </c>
      <c r="N5439" s="1" t="s">
        <v>38</v>
      </c>
      <c r="O5439" s="1" t="s">
        <v>46</v>
      </c>
    </row>
    <row r="5440" spans="2:15" x14ac:dyDescent="0.3">
      <c r="B5440" s="1" t="s">
        <v>23</v>
      </c>
      <c r="C5440" s="1" t="str">
        <f t="shared" si="284"/>
        <v>4차</v>
      </c>
      <c r="D5440" s="1" t="str">
        <f>"0525P21141"</f>
        <v>0525P21141</v>
      </c>
      <c r="E5440" s="1" t="s">
        <v>10</v>
      </c>
      <c r="F5440" s="1" t="str">
        <f>"10.14.3.41"</f>
        <v>10.14.3.41</v>
      </c>
      <c r="G5440" s="1" t="str">
        <f>"0525P211"</f>
        <v>0525P211</v>
      </c>
      <c r="H5440" s="1" t="str">
        <f>"아차지 14R3L4"</f>
        <v>아차지 14R3L4</v>
      </c>
      <c r="I5440" s="1" t="s">
        <v>17</v>
      </c>
      <c r="J5440" s="1" t="str">
        <f>"2/2"</f>
        <v>2/2</v>
      </c>
      <c r="K5440" s="1" t="str">
        <f>"2026-07-29 13:18:04"</f>
        <v>2026-07-29 13:18:04</v>
      </c>
      <c r="L5440" s="1" t="str">
        <f>"2021-08-30 13:04:38"</f>
        <v>2021-08-30 13:04:38</v>
      </c>
      <c r="M5440" s="1" t="s">
        <v>3</v>
      </c>
      <c r="N5440" s="1" t="s">
        <v>38</v>
      </c>
      <c r="O5440" s="1" t="s">
        <v>46</v>
      </c>
    </row>
    <row r="5441" spans="2:15" x14ac:dyDescent="0.3">
      <c r="B5441" s="1" t="s">
        <v>23</v>
      </c>
      <c r="C5441" s="1" t="str">
        <f t="shared" si="284"/>
        <v>4차</v>
      </c>
      <c r="D5441" s="1" t="str">
        <f>"0525P40244"</f>
        <v>0525P40244</v>
      </c>
      <c r="E5441" s="1" t="s">
        <v>10</v>
      </c>
      <c r="F5441" s="1" t="str">
        <f>"10.11.69.42"</f>
        <v>10.11.69.42</v>
      </c>
      <c r="G5441" s="1" t="str">
        <f>"0525P402"</f>
        <v>0525P402</v>
      </c>
      <c r="H5441" s="1" t="str">
        <f>"아차지 14R6L2"</f>
        <v>아차지 14R6L2</v>
      </c>
      <c r="I5441" s="1" t="s">
        <v>8</v>
      </c>
      <c r="J5441" s="1" t="str">
        <f>"89/89"</f>
        <v>89/89</v>
      </c>
      <c r="K5441" s="1" t="str">
        <f>"2026-07-29 13:18:05"</f>
        <v>2026-07-29 13:18:05</v>
      </c>
      <c r="L5441" s="1" t="str">
        <f>"2019-10-30 18:46:52"</f>
        <v>2019-10-30 18:46:52</v>
      </c>
      <c r="M5441" s="1" t="s">
        <v>2</v>
      </c>
      <c r="N5441" s="1" t="s">
        <v>38</v>
      </c>
      <c r="O5441" s="1" t="s">
        <v>46</v>
      </c>
    </row>
    <row r="5442" spans="2:15" x14ac:dyDescent="0.3">
      <c r="B5442" s="1" t="s">
        <v>23</v>
      </c>
      <c r="C5442" s="1" t="str">
        <f t="shared" si="284"/>
        <v>4차</v>
      </c>
      <c r="D5442" s="1" t="str">
        <f>"0525P42144"</f>
        <v>0525P42144</v>
      </c>
      <c r="E5442" s="1" t="s">
        <v>10</v>
      </c>
      <c r="F5442" s="1" t="str">
        <f>"10.11.77.74"</f>
        <v>10.11.77.74</v>
      </c>
      <c r="G5442" s="1" t="str">
        <f>"0525P421"</f>
        <v>0525P421</v>
      </c>
      <c r="H5442" s="1" t="str">
        <f>"아차지 14R6L4"</f>
        <v>아차지 14R6L4</v>
      </c>
      <c r="I5442" s="1" t="s">
        <v>8</v>
      </c>
      <c r="J5442" s="1" t="str">
        <f>"30/33"</f>
        <v>30/33</v>
      </c>
      <c r="K5442" s="1" t="str">
        <f>"2026-07-29 13:18:05"</f>
        <v>2026-07-29 13:18:05</v>
      </c>
      <c r="L5442" s="1" t="str">
        <f>"2019-10-30 18:31:10"</f>
        <v>2019-10-30 18:31:10</v>
      </c>
      <c r="M5442" s="1" t="s">
        <v>2</v>
      </c>
      <c r="N5442" s="1" t="s">
        <v>38</v>
      </c>
      <c r="O5442" s="1" t="s">
        <v>46</v>
      </c>
    </row>
    <row r="5443" spans="2:15" x14ac:dyDescent="0.3">
      <c r="B5443" s="1" t="s">
        <v>23</v>
      </c>
      <c r="C5443" s="1" t="str">
        <f t="shared" si="284"/>
        <v>4차</v>
      </c>
      <c r="D5443" s="1" t="str">
        <f>"0525P50141"</f>
        <v>0525P50141</v>
      </c>
      <c r="E5443" s="1" t="s">
        <v>10</v>
      </c>
      <c r="F5443" s="1" t="str">
        <f>"10.12.128.205"</f>
        <v>10.12.128.205</v>
      </c>
      <c r="G5443" s="1" t="str">
        <f>"0525P501"</f>
        <v>0525P501</v>
      </c>
      <c r="H5443" s="1" t="str">
        <f>"아차지 14R7"</f>
        <v>아차지 14R7</v>
      </c>
      <c r="I5443" s="1" t="s">
        <v>17</v>
      </c>
      <c r="J5443" s="1" t="str">
        <f>"24/27"</f>
        <v>24/27</v>
      </c>
      <c r="K5443" s="1" t="str">
        <f>"2026-07-29 13:18:06"</f>
        <v>2026-07-29 13:18:06</v>
      </c>
      <c r="L5443" s="1" t="str">
        <f>"2021-08-30 13:44:52"</f>
        <v>2021-08-30 13:44:52</v>
      </c>
      <c r="M5443" s="1" t="s">
        <v>0</v>
      </c>
      <c r="N5443" s="1" t="s">
        <v>38</v>
      </c>
      <c r="O5443" s="1" t="s">
        <v>46</v>
      </c>
    </row>
    <row r="5444" spans="2:15" x14ac:dyDescent="0.3">
      <c r="B5444" s="1" t="s">
        <v>23</v>
      </c>
      <c r="C5444" s="1" t="str">
        <f t="shared" si="284"/>
        <v>4차</v>
      </c>
      <c r="D5444" s="1" t="str">
        <f>"0525P51244"</f>
        <v>0525P51244</v>
      </c>
      <c r="E5444" s="1" t="s">
        <v>10</v>
      </c>
      <c r="F5444" s="1" t="str">
        <f>"10.11.69.50"</f>
        <v>10.11.69.50</v>
      </c>
      <c r="G5444" s="1" t="str">
        <f>"0525P512"</f>
        <v>0525P512</v>
      </c>
      <c r="H5444" s="1" t="str">
        <f>"아차지 14R7L3"</f>
        <v>아차지 14R7L3</v>
      </c>
      <c r="I5444" s="1" t="s">
        <v>8</v>
      </c>
      <c r="J5444" s="1" t="str">
        <f>"58/58"</f>
        <v>58/58</v>
      </c>
      <c r="K5444" s="1" t="str">
        <f>"2026-07-29 13:18:05"</f>
        <v>2026-07-29 13:18:05</v>
      </c>
      <c r="L5444" s="1" t="str">
        <f>"2019-10-29 10:53:05"</f>
        <v>2019-10-29 10:53:05</v>
      </c>
      <c r="M5444" s="1" t="s">
        <v>2</v>
      </c>
      <c r="N5444" s="1" t="s">
        <v>38</v>
      </c>
      <c r="O5444" s="1" t="s">
        <v>46</v>
      </c>
    </row>
    <row r="5445" spans="2:15" x14ac:dyDescent="0.3">
      <c r="B5445" s="1" t="s">
        <v>23</v>
      </c>
      <c r="C5445" s="1" t="s">
        <v>16</v>
      </c>
      <c r="D5445" s="1" t="str">
        <f>"0525P60441"</f>
        <v>0525P60441</v>
      </c>
      <c r="E5445" s="1" t="s">
        <v>10</v>
      </c>
      <c r="F5445" s="1" t="str">
        <f>"10.14.9.130"</f>
        <v>10.14.9.130</v>
      </c>
      <c r="G5445" s="1" t="str">
        <f>"0525P604"</f>
        <v>0525P604</v>
      </c>
      <c r="H5445" s="1" t="str">
        <f>"아차지 14R8"</f>
        <v>아차지 14R8</v>
      </c>
      <c r="I5445" s="1" t="s">
        <v>17</v>
      </c>
      <c r="J5445" s="1" t="str">
        <f>"9/9"</f>
        <v>9/9</v>
      </c>
      <c r="K5445" s="1" t="str">
        <f>"2026-07-29 13:18:07"</f>
        <v>2026-07-29 13:18:07</v>
      </c>
      <c r="L5445" s="1" t="str">
        <f>"2022-11-09 12:43:54"</f>
        <v>2022-11-09 12:43:54</v>
      </c>
      <c r="M5445" s="1" t="s">
        <v>3</v>
      </c>
      <c r="N5445" s="1" t="s">
        <v>38</v>
      </c>
      <c r="O5445" s="1" t="s">
        <v>46</v>
      </c>
    </row>
    <row r="5446" spans="2:15" x14ac:dyDescent="0.3">
      <c r="B5446" s="1" t="s">
        <v>23</v>
      </c>
      <c r="C5446" s="1" t="str">
        <f t="shared" ref="C5446:C5467" si="285">"4차"</f>
        <v>4차</v>
      </c>
      <c r="D5446" s="1" t="str">
        <f>"0525P61344"</f>
        <v>0525P61344</v>
      </c>
      <c r="E5446" s="1" t="s">
        <v>10</v>
      </c>
      <c r="F5446" s="1" t="str">
        <f>"10.11.69.58"</f>
        <v>10.11.69.58</v>
      </c>
      <c r="G5446" s="1" t="str">
        <f>"0525P613"</f>
        <v>0525P613</v>
      </c>
      <c r="H5446" s="1" t="str">
        <f>"아차지 14R8L3"</f>
        <v>아차지 14R8L3</v>
      </c>
      <c r="I5446" s="1" t="s">
        <v>8</v>
      </c>
      <c r="J5446" s="1" t="str">
        <f>"53/53"</f>
        <v>53/53</v>
      </c>
      <c r="K5446" s="1" t="str">
        <f>"2026-07-29 13:18:05"</f>
        <v>2026-07-29 13:18:05</v>
      </c>
      <c r="L5446" s="1" t="str">
        <f>"2019-10-29 10:53:05"</f>
        <v>2019-10-29 10:53:05</v>
      </c>
      <c r="M5446" s="1" t="s">
        <v>2</v>
      </c>
      <c r="N5446" s="1" t="s">
        <v>38</v>
      </c>
      <c r="O5446" s="1" t="s">
        <v>46</v>
      </c>
    </row>
    <row r="5447" spans="2:15" x14ac:dyDescent="0.3">
      <c r="B5447" s="1" t="s">
        <v>23</v>
      </c>
      <c r="C5447" s="1" t="str">
        <f t="shared" si="285"/>
        <v>4차</v>
      </c>
      <c r="D5447" s="1" t="str">
        <f>"0525P80541"</f>
        <v>0525P80541</v>
      </c>
      <c r="E5447" s="1" t="s">
        <v>10</v>
      </c>
      <c r="F5447" s="1" t="str">
        <f>"10.12.131.241"</f>
        <v>10.12.131.241</v>
      </c>
      <c r="G5447" s="1" t="str">
        <f>"0525P805"</f>
        <v>0525P805</v>
      </c>
      <c r="H5447" s="1" t="str">
        <f>"아차성 21R3"</f>
        <v>아차성 21R3</v>
      </c>
      <c r="I5447" s="1" t="s">
        <v>17</v>
      </c>
      <c r="J5447" s="1" t="str">
        <f>"9/10"</f>
        <v>9/10</v>
      </c>
      <c r="K5447" s="1" t="str">
        <f>"2026-07-29 13:18:05"</f>
        <v>2026-07-29 13:18:05</v>
      </c>
      <c r="L5447" s="1" t="str">
        <f>"2021-08-30 12:57:13"</f>
        <v>2021-08-30 12:57:13</v>
      </c>
      <c r="M5447" s="1" t="s">
        <v>0</v>
      </c>
      <c r="N5447" s="1" t="s">
        <v>38</v>
      </c>
      <c r="O5447" s="1" t="s">
        <v>46</v>
      </c>
    </row>
    <row r="5448" spans="2:15" x14ac:dyDescent="0.3">
      <c r="B5448" s="1" t="s">
        <v>23</v>
      </c>
      <c r="C5448" s="1" t="str">
        <f t="shared" si="285"/>
        <v>4차</v>
      </c>
      <c r="D5448" s="1" t="str">
        <f>"0525P82145"</f>
        <v>0525P82145</v>
      </c>
      <c r="E5448" s="1" t="s">
        <v>10</v>
      </c>
      <c r="F5448" s="1" t="str">
        <f>"10.14.4.60"</f>
        <v>10.14.4.60</v>
      </c>
      <c r="G5448" s="1" t="str">
        <f>"0525P821"</f>
        <v>0525P821</v>
      </c>
      <c r="H5448" s="1" t="str">
        <f>"아차성 13-1"</f>
        <v>아차성 13-1</v>
      </c>
      <c r="I5448" s="1" t="s">
        <v>17</v>
      </c>
      <c r="J5448" s="1" t="str">
        <f>"1/1"</f>
        <v>1/1</v>
      </c>
      <c r="K5448" s="1" t="str">
        <f>"2026-07-29 13:18:05"</f>
        <v>2026-07-29 13:18:05</v>
      </c>
      <c r="L5448" s="1" t="str">
        <f>"2021-06-28 14:22:06"</f>
        <v>2021-06-28 14:22:06</v>
      </c>
      <c r="M5448" s="1" t="s">
        <v>3</v>
      </c>
      <c r="N5448" s="1" t="s">
        <v>38</v>
      </c>
      <c r="O5448" s="1" t="s">
        <v>46</v>
      </c>
    </row>
    <row r="5449" spans="2:15" x14ac:dyDescent="0.3">
      <c r="B5449" s="1" t="s">
        <v>23</v>
      </c>
      <c r="C5449" s="1" t="str">
        <f t="shared" si="285"/>
        <v>4차</v>
      </c>
      <c r="D5449" s="1" t="str">
        <f>"0525Q00141"</f>
        <v>0525Q00141</v>
      </c>
      <c r="E5449" s="1" t="s">
        <v>10</v>
      </c>
      <c r="F5449" s="1" t="str">
        <f>"10.14.9.41"</f>
        <v>10.14.9.41</v>
      </c>
      <c r="G5449" s="1" t="str">
        <f>"0525Q001"</f>
        <v>0525Q001</v>
      </c>
      <c r="H5449" s="1" t="str">
        <f>"아차성 21R7"</f>
        <v>아차성 21R7</v>
      </c>
      <c r="I5449" s="1" t="s">
        <v>17</v>
      </c>
      <c r="J5449" s="1" t="str">
        <f>"8/8"</f>
        <v>8/8</v>
      </c>
      <c r="K5449" s="1" t="str">
        <f>"2026-07-29 13:18:04"</f>
        <v>2026-07-29 13:18:04</v>
      </c>
      <c r="L5449" s="1" t="str">
        <f>"2021-09-06 14:08:12"</f>
        <v>2021-09-06 14:08:12</v>
      </c>
      <c r="M5449" s="1" t="s">
        <v>3</v>
      </c>
      <c r="N5449" s="1" t="s">
        <v>38</v>
      </c>
      <c r="O5449" s="1" t="s">
        <v>46</v>
      </c>
    </row>
    <row r="5450" spans="2:15" x14ac:dyDescent="0.3">
      <c r="B5450" s="1" t="s">
        <v>23</v>
      </c>
      <c r="C5450" s="1" t="str">
        <f t="shared" si="285"/>
        <v>4차</v>
      </c>
      <c r="D5450" s="1" t="str">
        <f>"0525Q00541"</f>
        <v>0525Q00541</v>
      </c>
      <c r="E5450" s="1" t="s">
        <v>10</v>
      </c>
      <c r="F5450" s="1" t="str">
        <f>"10.12.131.205"</f>
        <v>10.12.131.205</v>
      </c>
      <c r="G5450" s="1" t="str">
        <f>"0525Q005"</f>
        <v>0525Q005</v>
      </c>
      <c r="H5450" s="1" t="str">
        <f>"아차성 21R6"</f>
        <v>아차성 21R6</v>
      </c>
      <c r="I5450" s="1" t="s">
        <v>17</v>
      </c>
      <c r="J5450" s="1" t="str">
        <f>"8/8"</f>
        <v>8/8</v>
      </c>
      <c r="K5450" s="1" t="str">
        <f>"2026-07-29 13:18:03"</f>
        <v>2026-07-29 13:18:03</v>
      </c>
      <c r="L5450" s="1" t="str">
        <f>"2021-08-30 10:24:09"</f>
        <v>2021-08-30 10:24:09</v>
      </c>
      <c r="M5450" s="1" t="s">
        <v>0</v>
      </c>
      <c r="N5450" s="1" t="s">
        <v>38</v>
      </c>
      <c r="O5450" s="1" t="s">
        <v>46</v>
      </c>
    </row>
    <row r="5451" spans="2:15" x14ac:dyDescent="0.3">
      <c r="B5451" s="1" t="s">
        <v>23</v>
      </c>
      <c r="C5451" s="1" t="str">
        <f t="shared" si="285"/>
        <v>4차</v>
      </c>
      <c r="D5451" s="1" t="str">
        <f>"0525Q01144"</f>
        <v>0525Q01144</v>
      </c>
      <c r="E5451" s="1" t="s">
        <v>10</v>
      </c>
      <c r="F5451" s="1" t="str">
        <f>"10.11.68.242"</f>
        <v>10.11.68.242</v>
      </c>
      <c r="G5451" s="1" t="str">
        <f>"0525Q011"</f>
        <v>0525Q011</v>
      </c>
      <c r="H5451" s="1" t="str">
        <f>"아차성 21R11L1"</f>
        <v>아차성 21R11L1</v>
      </c>
      <c r="I5451" s="1" t="s">
        <v>8</v>
      </c>
      <c r="J5451" s="1" t="str">
        <f>"78/79"</f>
        <v>78/79</v>
      </c>
      <c r="K5451" s="1" t="str">
        <f>"2026-07-29 13:18:05"</f>
        <v>2026-07-29 13:18:05</v>
      </c>
      <c r="L5451" s="1" t="str">
        <f>"2019-10-29 10:53:05"</f>
        <v>2019-10-29 10:53:05</v>
      </c>
      <c r="M5451" s="1" t="s">
        <v>2</v>
      </c>
      <c r="N5451" s="1" t="s">
        <v>38</v>
      </c>
      <c r="O5451" s="1" t="s">
        <v>46</v>
      </c>
    </row>
    <row r="5452" spans="2:15" x14ac:dyDescent="0.3">
      <c r="B5452" s="1" t="s">
        <v>23</v>
      </c>
      <c r="C5452" s="1" t="str">
        <f t="shared" si="285"/>
        <v>4차</v>
      </c>
      <c r="D5452" s="1" t="str">
        <f>"0525Q11541"</f>
        <v>0525Q11541</v>
      </c>
      <c r="E5452" s="1" t="s">
        <v>10</v>
      </c>
      <c r="F5452" s="1" t="str">
        <f>"10.14.10.41"</f>
        <v>10.14.10.41</v>
      </c>
      <c r="G5452" s="1" t="str">
        <f>"0525Q115"</f>
        <v>0525Q115</v>
      </c>
      <c r="H5452" s="1" t="str">
        <f>"아차성 21R9"</f>
        <v>아차성 21R9</v>
      </c>
      <c r="I5452" s="1" t="s">
        <v>17</v>
      </c>
      <c r="J5452" s="1" t="str">
        <f>"2/2"</f>
        <v>2/2</v>
      </c>
      <c r="K5452" s="1" t="str">
        <f>"2026-07-29 13:18:04"</f>
        <v>2026-07-29 13:18:04</v>
      </c>
      <c r="L5452" s="1" t="str">
        <f>"2021-08-30 11:50:11"</f>
        <v>2021-08-30 11:50:11</v>
      </c>
      <c r="M5452" s="1" t="s">
        <v>3</v>
      </c>
      <c r="N5452" s="1" t="s">
        <v>38</v>
      </c>
      <c r="O5452" s="1" t="s">
        <v>46</v>
      </c>
    </row>
    <row r="5453" spans="2:15" x14ac:dyDescent="0.3">
      <c r="B5453" s="1" t="s">
        <v>23</v>
      </c>
      <c r="C5453" s="1" t="str">
        <f t="shared" si="285"/>
        <v>4차</v>
      </c>
      <c r="D5453" s="1" t="str">
        <f>"0525Q28145"</f>
        <v>0525Q28145</v>
      </c>
      <c r="E5453" s="1" t="s">
        <v>10</v>
      </c>
      <c r="F5453" s="1" t="str">
        <f>"10.14.1.55"</f>
        <v>10.14.1.55</v>
      </c>
      <c r="G5453" s="1" t="str">
        <f>"0525Q281"</f>
        <v>0525Q281</v>
      </c>
      <c r="H5453" s="1" t="str">
        <f>"아차성 32-2"</f>
        <v>아차성 32-2</v>
      </c>
      <c r="I5453" s="1" t="s">
        <v>17</v>
      </c>
      <c r="J5453" s="1" t="str">
        <f>"1/1"</f>
        <v>1/1</v>
      </c>
      <c r="K5453" s="1" t="str">
        <f>"2026-07-29 13:18:04"</f>
        <v>2026-07-29 13:18:04</v>
      </c>
      <c r="L5453" s="1" t="str">
        <f>"2021-06-28 15:13:56"</f>
        <v>2021-06-28 15:13:56</v>
      </c>
      <c r="M5453" s="1" t="s">
        <v>3</v>
      </c>
      <c r="N5453" s="1" t="s">
        <v>38</v>
      </c>
      <c r="O5453" s="1" t="s">
        <v>46</v>
      </c>
    </row>
    <row r="5454" spans="2:15" x14ac:dyDescent="0.3">
      <c r="B5454" s="1" t="s">
        <v>23</v>
      </c>
      <c r="C5454" s="1" t="str">
        <f t="shared" si="285"/>
        <v>4차</v>
      </c>
      <c r="D5454" s="1" t="str">
        <f>"0525Q38145"</f>
        <v>0525Q38145</v>
      </c>
      <c r="E5454" s="1" t="s">
        <v>10</v>
      </c>
      <c r="F5454" s="1" t="str">
        <f>"10.14.13.1"</f>
        <v>10.14.13.1</v>
      </c>
      <c r="G5454" s="1" t="str">
        <f>"0525Q381"</f>
        <v>0525Q381</v>
      </c>
      <c r="H5454" s="1" t="str">
        <f>"아차성 32-1"</f>
        <v>아차성 32-1</v>
      </c>
      <c r="I5454" s="1" t="s">
        <v>17</v>
      </c>
      <c r="J5454" s="1" t="str">
        <f>"18/18"</f>
        <v>18/18</v>
      </c>
      <c r="K5454" s="1" t="str">
        <f>"2026-07-29 13:18:06"</f>
        <v>2026-07-29 13:18:06</v>
      </c>
      <c r="L5454" s="1" t="str">
        <f>"2021-06-28 15:00:41"</f>
        <v>2021-06-28 15:00:41</v>
      </c>
      <c r="M5454" s="1" t="s">
        <v>3</v>
      </c>
      <c r="N5454" s="1" t="s">
        <v>38</v>
      </c>
      <c r="O5454" s="1" t="s">
        <v>46</v>
      </c>
    </row>
    <row r="5455" spans="2:15" x14ac:dyDescent="0.3">
      <c r="B5455" s="1" t="s">
        <v>23</v>
      </c>
      <c r="C5455" s="1" t="str">
        <f t="shared" si="285"/>
        <v>4차</v>
      </c>
      <c r="D5455" s="1" t="str">
        <f>"0525R09344"</f>
        <v>0525R09344</v>
      </c>
      <c r="E5455" s="1" t="s">
        <v>10</v>
      </c>
      <c r="F5455" s="1" t="str">
        <f>"10.11.69.66"</f>
        <v>10.11.69.66</v>
      </c>
      <c r="G5455" s="1" t="str">
        <f>"0525R093"</f>
        <v>0525R093</v>
      </c>
      <c r="H5455" s="1" t="str">
        <f>"아차지 16"</f>
        <v>아차지 16</v>
      </c>
      <c r="I5455" s="1" t="s">
        <v>8</v>
      </c>
      <c r="J5455" s="1" t="str">
        <f>"49/54"</f>
        <v>49/54</v>
      </c>
      <c r="K5455" s="1" t="str">
        <f t="shared" ref="K5455:K5460" si="286">"2026-07-29 13:18:05"</f>
        <v>2026-07-29 13:18:05</v>
      </c>
      <c r="L5455" s="1" t="str">
        <f>"2019-10-29 10:53:05"</f>
        <v>2019-10-29 10:53:05</v>
      </c>
      <c r="M5455" s="1" t="s">
        <v>2</v>
      </c>
      <c r="N5455" s="1" t="s">
        <v>38</v>
      </c>
      <c r="O5455" s="1" t="s">
        <v>46</v>
      </c>
    </row>
    <row r="5456" spans="2:15" x14ac:dyDescent="0.3">
      <c r="B5456" s="1" t="s">
        <v>23</v>
      </c>
      <c r="C5456" s="1" t="str">
        <f t="shared" si="285"/>
        <v>4차</v>
      </c>
      <c r="D5456" s="1" t="str">
        <f>"0525R16144"</f>
        <v>0525R16144</v>
      </c>
      <c r="E5456" s="1" t="s">
        <v>10</v>
      </c>
      <c r="F5456" s="1" t="str">
        <f>"10.11.69.98"</f>
        <v>10.11.69.98</v>
      </c>
      <c r="G5456" s="1" t="str">
        <f>"0525R161"</f>
        <v>0525R161</v>
      </c>
      <c r="H5456" s="1" t="str">
        <f>"아차지 6"</f>
        <v>아차지 6</v>
      </c>
      <c r="I5456" s="1" t="s">
        <v>8</v>
      </c>
      <c r="J5456" s="1" t="str">
        <f>"31/36"</f>
        <v>31/36</v>
      </c>
      <c r="K5456" s="1" t="str">
        <f t="shared" si="286"/>
        <v>2026-07-29 13:18:05</v>
      </c>
      <c r="L5456" s="1" t="str">
        <f>"2019-11-04 19:53:05"</f>
        <v>2019-11-04 19:53:05</v>
      </c>
      <c r="M5456" s="1" t="s">
        <v>2</v>
      </c>
      <c r="N5456" s="1" t="s">
        <v>38</v>
      </c>
      <c r="O5456" s="1" t="s">
        <v>46</v>
      </c>
    </row>
    <row r="5457" spans="2:15" x14ac:dyDescent="0.3">
      <c r="B5457" s="1" t="s">
        <v>23</v>
      </c>
      <c r="C5457" s="1" t="str">
        <f t="shared" si="285"/>
        <v>4차</v>
      </c>
      <c r="D5457" s="1" t="str">
        <f>"0525R17244"</f>
        <v>0525R17244</v>
      </c>
      <c r="E5457" s="1" t="s">
        <v>14</v>
      </c>
      <c r="F5457" s="1" t="str">
        <f>"10.11.69.2"</f>
        <v>10.11.69.2</v>
      </c>
      <c r="G5457" s="1" t="str">
        <f>"0525R172"</f>
        <v>0525R172</v>
      </c>
      <c r="H5457" s="1" t="str">
        <f>"아차지 12R2R1"</f>
        <v>아차지 12R2R1</v>
      </c>
      <c r="I5457" s="1" t="s">
        <v>8</v>
      </c>
      <c r="J5457" s="1" t="str">
        <f>"0/0"</f>
        <v>0/0</v>
      </c>
      <c r="K5457" s="4" t="str">
        <f t="shared" si="286"/>
        <v>2026-07-29 13:18:05</v>
      </c>
      <c r="L5457" s="1" t="str">
        <f>"2019-10-29 10:53:05"</f>
        <v>2019-10-29 10:53:05</v>
      </c>
      <c r="M5457" s="1" t="s">
        <v>2</v>
      </c>
      <c r="N5457" s="1" t="s">
        <v>38</v>
      </c>
      <c r="O5457" s="1" t="s">
        <v>44</v>
      </c>
    </row>
    <row r="5458" spans="2:15" x14ac:dyDescent="0.3">
      <c r="B5458" s="1" t="s">
        <v>23</v>
      </c>
      <c r="C5458" s="1" t="str">
        <f t="shared" si="285"/>
        <v>4차</v>
      </c>
      <c r="D5458" s="1" t="str">
        <f>"0525R17539"</f>
        <v>0525R17539</v>
      </c>
      <c r="E5458" s="1" t="s">
        <v>10</v>
      </c>
      <c r="F5458" s="1" t="str">
        <f>"10.11.82.162"</f>
        <v>10.11.82.162</v>
      </c>
      <c r="G5458" s="1" t="str">
        <f>"0525R175"</f>
        <v>0525R175</v>
      </c>
      <c r="H5458" s="1" t="str">
        <f>"아차지 12R2"</f>
        <v>아차지 12R2</v>
      </c>
      <c r="I5458" s="1" t="s">
        <v>8</v>
      </c>
      <c r="J5458" s="1" t="str">
        <f>"36/39"</f>
        <v>36/39</v>
      </c>
      <c r="K5458" s="1" t="str">
        <f t="shared" si="286"/>
        <v>2026-07-29 13:18:05</v>
      </c>
      <c r="L5458" s="1" t="str">
        <f>"2018-09-14 15:55:56"</f>
        <v>2018-09-14 15:55:56</v>
      </c>
      <c r="M5458" s="1" t="s">
        <v>2</v>
      </c>
      <c r="N5458" s="1" t="s">
        <v>38</v>
      </c>
      <c r="O5458" s="1" t="s">
        <v>46</v>
      </c>
    </row>
    <row r="5459" spans="2:15" x14ac:dyDescent="0.3">
      <c r="B5459" s="1" t="s">
        <v>23</v>
      </c>
      <c r="C5459" s="1" t="str">
        <f t="shared" si="285"/>
        <v>4차</v>
      </c>
      <c r="D5459" s="1" t="str">
        <f>"0525R18344"</f>
        <v>0525R18344</v>
      </c>
      <c r="E5459" s="1" t="s">
        <v>10</v>
      </c>
      <c r="F5459" s="1" t="str">
        <f>"10.11.69.18"</f>
        <v>10.11.69.18</v>
      </c>
      <c r="G5459" s="1" t="str">
        <f>"0525R183"</f>
        <v>0525R183</v>
      </c>
      <c r="H5459" s="1" t="str">
        <f>"아차지 14R1"</f>
        <v>아차지 14R1</v>
      </c>
      <c r="I5459" s="1" t="s">
        <v>8</v>
      </c>
      <c r="J5459" s="1" t="str">
        <f>"36/36"</f>
        <v>36/36</v>
      </c>
      <c r="K5459" s="1" t="str">
        <f t="shared" si="286"/>
        <v>2026-07-29 13:18:05</v>
      </c>
      <c r="L5459" s="1" t="str">
        <f>"2019-10-29 10:43:05"</f>
        <v>2019-10-29 10:43:05</v>
      </c>
      <c r="M5459" s="1" t="s">
        <v>2</v>
      </c>
      <c r="N5459" s="1" t="s">
        <v>38</v>
      </c>
      <c r="O5459" s="1" t="s">
        <v>46</v>
      </c>
    </row>
    <row r="5460" spans="2:15" x14ac:dyDescent="0.3">
      <c r="B5460" s="1" t="s">
        <v>23</v>
      </c>
      <c r="C5460" s="1" t="str">
        <f t="shared" si="285"/>
        <v>4차</v>
      </c>
      <c r="D5460" s="1" t="str">
        <f>"0525R26244"</f>
        <v>0525R26244</v>
      </c>
      <c r="E5460" s="1" t="s">
        <v>10</v>
      </c>
      <c r="F5460" s="1" t="str">
        <f>"10.11.69.90"</f>
        <v>10.11.69.90</v>
      </c>
      <c r="G5460" s="1" t="str">
        <f>"0525R262"</f>
        <v>0525R262</v>
      </c>
      <c r="H5460" s="1" t="str">
        <f>"아차지 4"</f>
        <v>아차지 4</v>
      </c>
      <c r="I5460" s="1" t="s">
        <v>8</v>
      </c>
      <c r="J5460" s="1" t="str">
        <f>"33/36"</f>
        <v>33/36</v>
      </c>
      <c r="K5460" s="1" t="str">
        <f t="shared" si="286"/>
        <v>2026-07-29 13:18:05</v>
      </c>
      <c r="L5460" s="1" t="str">
        <f>"2019-11-12 11:30:31"</f>
        <v>2019-11-12 11:30:31</v>
      </c>
      <c r="M5460" s="1" t="s">
        <v>2</v>
      </c>
      <c r="N5460" s="1" t="s">
        <v>38</v>
      </c>
      <c r="O5460" s="1" t="s">
        <v>46</v>
      </c>
    </row>
    <row r="5461" spans="2:15" x14ac:dyDescent="0.3">
      <c r="B5461" s="1" t="s">
        <v>23</v>
      </c>
      <c r="C5461" s="1" t="str">
        <f t="shared" si="285"/>
        <v>4차</v>
      </c>
      <c r="D5461" s="1" t="str">
        <f>"0525R26344"</f>
        <v>0525R26344</v>
      </c>
      <c r="E5461" s="1" t="s">
        <v>10</v>
      </c>
      <c r="F5461" s="1" t="str">
        <f>"10.11.77.98"</f>
        <v>10.11.77.98</v>
      </c>
      <c r="G5461" s="1" t="str">
        <f>"0525R263"</f>
        <v>0525R263</v>
      </c>
      <c r="H5461" s="1" t="str">
        <f>"아차지 3"</f>
        <v>아차지 3</v>
      </c>
      <c r="I5461" s="1" t="s">
        <v>8</v>
      </c>
      <c r="J5461" s="1" t="str">
        <f>"15/15"</f>
        <v>15/15</v>
      </c>
      <c r="K5461" s="1" t="str">
        <f>"2026-07-29 13:18:02"</f>
        <v>2026-07-29 13:18:02</v>
      </c>
      <c r="L5461" s="1" t="str">
        <f>"2019-11-04 19:53:05"</f>
        <v>2019-11-04 19:53:05</v>
      </c>
      <c r="M5461" s="1" t="s">
        <v>2</v>
      </c>
      <c r="N5461" s="1" t="s">
        <v>38</v>
      </c>
      <c r="O5461" s="1" t="s">
        <v>46</v>
      </c>
    </row>
    <row r="5462" spans="2:15" x14ac:dyDescent="0.3">
      <c r="B5462" s="1" t="s">
        <v>23</v>
      </c>
      <c r="C5462" s="1" t="str">
        <f t="shared" si="285"/>
        <v>4차</v>
      </c>
      <c r="D5462" s="1" t="str">
        <f>"0525R27244"</f>
        <v>0525R27244</v>
      </c>
      <c r="E5462" s="1" t="s">
        <v>10</v>
      </c>
      <c r="F5462" s="1" t="str">
        <f>"10.11.69.10"</f>
        <v>10.11.69.10</v>
      </c>
      <c r="G5462" s="1" t="str">
        <f>"0525R272"</f>
        <v>0525R272</v>
      </c>
      <c r="H5462" s="1" t="str">
        <f>"아차지 12R5"</f>
        <v>아차지 12R5</v>
      </c>
      <c r="I5462" s="1" t="s">
        <v>8</v>
      </c>
      <c r="J5462" s="1" t="str">
        <f>"15/16"</f>
        <v>15/16</v>
      </c>
      <c r="K5462" s="1" t="str">
        <f>"2026-07-29 13:18:02"</f>
        <v>2026-07-29 13:18:02</v>
      </c>
      <c r="L5462" s="1" t="str">
        <f>"2019-10-29 10:43:05"</f>
        <v>2019-10-29 10:43:05</v>
      </c>
      <c r="M5462" s="1" t="s">
        <v>2</v>
      </c>
      <c r="N5462" s="1" t="s">
        <v>38</v>
      </c>
      <c r="O5462" s="1" t="s">
        <v>46</v>
      </c>
    </row>
    <row r="5463" spans="2:15" x14ac:dyDescent="0.3">
      <c r="B5463" s="1" t="s">
        <v>23</v>
      </c>
      <c r="C5463" s="1" t="str">
        <f t="shared" si="285"/>
        <v>4차</v>
      </c>
      <c r="D5463" s="1" t="str">
        <f>"0525R29144"</f>
        <v>0525R29144</v>
      </c>
      <c r="E5463" s="1" t="s">
        <v>10</v>
      </c>
      <c r="F5463" s="1" t="str">
        <f>"10.11.69.26"</f>
        <v>10.11.69.26</v>
      </c>
      <c r="G5463" s="1" t="str">
        <f>"0525R291"</f>
        <v>0525R291</v>
      </c>
      <c r="H5463" s="1" t="str">
        <f>"아차지 14R3"</f>
        <v>아차지 14R3</v>
      </c>
      <c r="I5463" s="1" t="s">
        <v>8</v>
      </c>
      <c r="J5463" s="1" t="str">
        <f>"10/10"</f>
        <v>10/10</v>
      </c>
      <c r="K5463" s="1" t="str">
        <f>"2026-07-29 13:18:02"</f>
        <v>2026-07-29 13:18:02</v>
      </c>
      <c r="L5463" s="1" t="str">
        <f>"2019-10-30 16:01:06"</f>
        <v>2019-10-30 16:01:06</v>
      </c>
      <c r="M5463" s="1" t="s">
        <v>2</v>
      </c>
      <c r="N5463" s="1" t="s">
        <v>38</v>
      </c>
      <c r="O5463" s="1" t="s">
        <v>46</v>
      </c>
    </row>
    <row r="5464" spans="2:15" x14ac:dyDescent="0.3">
      <c r="B5464" s="1" t="s">
        <v>23</v>
      </c>
      <c r="C5464" s="1" t="str">
        <f t="shared" si="285"/>
        <v>4차</v>
      </c>
      <c r="D5464" s="1" t="str">
        <f>"0525R35145"</f>
        <v>0525R35145</v>
      </c>
      <c r="E5464" s="1" t="s">
        <v>14</v>
      </c>
      <c r="F5464" s="1" t="str">
        <f>"10.14.15.60"</f>
        <v>10.14.15.60</v>
      </c>
      <c r="G5464" s="1" t="str">
        <f>"0525R351"</f>
        <v>0525R351</v>
      </c>
      <c r="H5464" s="1" t="str">
        <f>"천호로 397-3"</f>
        <v>천호로 397-3</v>
      </c>
      <c r="I5464" s="1" t="s">
        <v>17</v>
      </c>
      <c r="J5464" s="1" t="str">
        <f>"0/0"</f>
        <v>0/0</v>
      </c>
      <c r="K5464" s="1" t="str">
        <f>"2025-12-13 01:21:04"</f>
        <v>2025-12-13 01:21:04</v>
      </c>
      <c r="L5464" s="1" t="str">
        <f>"2021-06-29 09:04:58"</f>
        <v>2021-06-29 09:04:58</v>
      </c>
      <c r="M5464" s="1" t="s">
        <v>3</v>
      </c>
      <c r="N5464" s="1" t="s">
        <v>39</v>
      </c>
      <c r="O5464" s="1" t="s">
        <v>46</v>
      </c>
    </row>
    <row r="5465" spans="2:15" x14ac:dyDescent="0.3">
      <c r="B5465" s="1" t="s">
        <v>23</v>
      </c>
      <c r="C5465" s="1" t="str">
        <f t="shared" si="285"/>
        <v>4차</v>
      </c>
      <c r="D5465" s="1" t="str">
        <f>"0525R39344"</f>
        <v>0525R39344</v>
      </c>
      <c r="E5465" s="1" t="s">
        <v>10</v>
      </c>
      <c r="F5465" s="1" t="str">
        <f>"10.11.69.34"</f>
        <v>10.11.69.34</v>
      </c>
      <c r="G5465" s="1" t="str">
        <f>"0525R393"</f>
        <v>0525R393</v>
      </c>
      <c r="H5465" s="1" t="str">
        <f>"아차지 14R5"</f>
        <v>아차지 14R5</v>
      </c>
      <c r="I5465" s="1" t="s">
        <v>8</v>
      </c>
      <c r="J5465" s="1" t="str">
        <f>"38/38"</f>
        <v>38/38</v>
      </c>
      <c r="K5465" s="1" t="str">
        <f>"2026-07-29 13:18:02"</f>
        <v>2026-07-29 13:18:02</v>
      </c>
      <c r="L5465" s="1" t="str">
        <f>"2019-10-29 10:53:05"</f>
        <v>2019-10-29 10:53:05</v>
      </c>
      <c r="M5465" s="1" t="s">
        <v>2</v>
      </c>
      <c r="N5465" s="1" t="s">
        <v>38</v>
      </c>
      <c r="O5465" s="1" t="s">
        <v>46</v>
      </c>
    </row>
    <row r="5466" spans="2:15" x14ac:dyDescent="0.3">
      <c r="B5466" s="1" t="s">
        <v>23</v>
      </c>
      <c r="C5466" s="1" t="str">
        <f t="shared" si="285"/>
        <v>4차</v>
      </c>
      <c r="D5466" s="1" t="str">
        <f>"0525R78144"</f>
        <v>0525R78144</v>
      </c>
      <c r="E5466" s="1" t="s">
        <v>10</v>
      </c>
      <c r="F5466" s="1" t="str">
        <f>"10.11.68.250"</f>
        <v>10.11.68.250</v>
      </c>
      <c r="G5466" s="1" t="str">
        <f>"0525R781"</f>
        <v>0525R781</v>
      </c>
      <c r="H5466" s="1" t="str">
        <f>"아차성 21R5R3"</f>
        <v>아차성 21R5R3</v>
      </c>
      <c r="I5466" s="1" t="s">
        <v>8</v>
      </c>
      <c r="J5466" s="1" t="str">
        <f>"11/11"</f>
        <v>11/11</v>
      </c>
      <c r="K5466" s="1" t="str">
        <f>"2026-07-29 13:18:02"</f>
        <v>2026-07-29 13:18:02</v>
      </c>
      <c r="L5466" s="1" t="str">
        <f>"2019-10-29 10:53:05"</f>
        <v>2019-10-29 10:53:05</v>
      </c>
      <c r="M5466" s="1" t="s">
        <v>2</v>
      </c>
      <c r="N5466" s="1" t="s">
        <v>38</v>
      </c>
      <c r="O5466" s="1" t="s">
        <v>46</v>
      </c>
    </row>
    <row r="5467" spans="2:15" x14ac:dyDescent="0.3">
      <c r="B5467" s="1" t="s">
        <v>23</v>
      </c>
      <c r="C5467" s="1" t="str">
        <f t="shared" si="285"/>
        <v>4차</v>
      </c>
      <c r="D5467" s="1" t="str">
        <f>"0525R99441"</f>
        <v>0525R99441</v>
      </c>
      <c r="E5467" s="1" t="s">
        <v>10</v>
      </c>
      <c r="F5467" s="1" t="str">
        <f>"10.14.1.39"</f>
        <v>10.14.1.39</v>
      </c>
      <c r="G5467" s="1" t="str">
        <f>"0525R994"</f>
        <v>0525R994</v>
      </c>
      <c r="H5467" s="1" t="str">
        <f>"아차성 21R5"</f>
        <v>아차성 21R5</v>
      </c>
      <c r="I5467" s="1" t="s">
        <v>17</v>
      </c>
      <c r="J5467" s="1" t="str">
        <f>"5/5"</f>
        <v>5/5</v>
      </c>
      <c r="K5467" s="1" t="str">
        <f>"2026-07-29 13:18:04"</f>
        <v>2026-07-29 13:18:04</v>
      </c>
      <c r="L5467" s="1" t="str">
        <f>"2021-08-30 10:00:18"</f>
        <v>2021-08-30 10:00:18</v>
      </c>
      <c r="M5467" s="1" t="s">
        <v>3</v>
      </c>
      <c r="N5467" s="1" t="s">
        <v>38</v>
      </c>
      <c r="O5467" s="1" t="s">
        <v>46</v>
      </c>
    </row>
    <row r="5468" spans="2:15" x14ac:dyDescent="0.3">
      <c r="B5468" s="1" t="s">
        <v>22</v>
      </c>
      <c r="C5468" s="1" t="str">
        <f>"2차"</f>
        <v>2차</v>
      </c>
      <c r="D5468" s="1" t="str">
        <f>"0130A19120"</f>
        <v>0130A19120</v>
      </c>
      <c r="E5468" s="1" t="s">
        <v>10</v>
      </c>
      <c r="F5468" s="1" t="str">
        <f>"10.10.4.210"</f>
        <v>10.10.4.210</v>
      </c>
      <c r="G5468" s="1" t="str">
        <f>"0130A191"</f>
        <v>0130A191</v>
      </c>
      <c r="H5468" s="1" t="str">
        <f>"쌍덕간 79"</f>
        <v>쌍덕간 79</v>
      </c>
      <c r="I5468" s="1" t="s">
        <v>8</v>
      </c>
      <c r="J5468" s="1" t="str">
        <f>"9/9"</f>
        <v>9/9</v>
      </c>
      <c r="K5468" s="1" t="str">
        <f>"2026-07-29 13:18:02"</f>
        <v>2026-07-29 13:18:02</v>
      </c>
      <c r="L5468" s="1" t="str">
        <f>"2017-06-21 17:41:04"</f>
        <v>2017-06-21 17:41:04</v>
      </c>
      <c r="M5468" s="1" t="s">
        <v>1</v>
      </c>
      <c r="N5468" s="1" t="s">
        <v>38</v>
      </c>
      <c r="O5468" s="1" t="s">
        <v>46</v>
      </c>
    </row>
    <row r="5469" spans="2:15" x14ac:dyDescent="0.3">
      <c r="B5469" s="1" t="s">
        <v>22</v>
      </c>
      <c r="C5469" s="1" t="str">
        <f>"2차"</f>
        <v>2차</v>
      </c>
      <c r="D5469" s="1" t="str">
        <f>"0130A28122"</f>
        <v>0130A28122</v>
      </c>
      <c r="E5469" s="1" t="s">
        <v>10</v>
      </c>
      <c r="F5469" s="1" t="str">
        <f>"10.10.4.212"</f>
        <v>10.10.4.212</v>
      </c>
      <c r="G5469" s="1" t="str">
        <f>"0130A281"</f>
        <v>0130A281</v>
      </c>
      <c r="H5469" s="1" t="str">
        <f>"쌍덕간 80"</f>
        <v>쌍덕간 80</v>
      </c>
      <c r="I5469" s="1" t="s">
        <v>8</v>
      </c>
      <c r="J5469" s="1" t="str">
        <f>"40/40"</f>
        <v>40/40</v>
      </c>
      <c r="K5469" s="1" t="str">
        <f>"2026-07-29 13:18:01"</f>
        <v>2026-07-29 13:18:01</v>
      </c>
      <c r="L5469" s="1" t="str">
        <f>"2017-06-21 17:41:04"</f>
        <v>2017-06-21 17:41:04</v>
      </c>
      <c r="M5469" s="1" t="s">
        <v>1</v>
      </c>
      <c r="N5469" s="1" t="s">
        <v>38</v>
      </c>
      <c r="O5469" s="1" t="s">
        <v>46</v>
      </c>
    </row>
    <row r="5470" spans="2:15" x14ac:dyDescent="0.3">
      <c r="B5470" s="1" t="s">
        <v>22</v>
      </c>
      <c r="C5470" s="1" t="str">
        <f t="shared" ref="C5470:C5475" si="287">"5-1차"</f>
        <v>5-1차</v>
      </c>
      <c r="D5470" s="1" t="str">
        <f>"0130A2915M"</f>
        <v>0130A2915M</v>
      </c>
      <c r="E5470" s="1" t="s">
        <v>10</v>
      </c>
      <c r="F5470" s="1" t="str">
        <f>"fde3:102:1420:6200:0:0:0:9"</f>
        <v>fde3:102:1420:6200:0:0:0:9</v>
      </c>
      <c r="G5470" s="1" t="str">
        <f>"0130A291"</f>
        <v>0130A291</v>
      </c>
      <c r="H5470" s="1" t="str">
        <f>"쌍덕간 78L4"</f>
        <v>쌍덕간 78L4</v>
      </c>
      <c r="I5470" s="1" t="s">
        <v>15</v>
      </c>
      <c r="J5470" s="1" t="str">
        <f>"117/117"</f>
        <v>117/117</v>
      </c>
      <c r="K5470" s="1" t="str">
        <f>"2026-07-29 14:20:26"</f>
        <v>2026-07-29 14:20:26</v>
      </c>
      <c r="L5470" s="1" t="str">
        <f>"2022-11-21 11:11:04"</f>
        <v>2022-11-21 11:11:04</v>
      </c>
      <c r="M5470" s="1" t="s">
        <v>45</v>
      </c>
      <c r="N5470" s="1" t="s">
        <v>38</v>
      </c>
      <c r="O5470" s="1" t="s">
        <v>46</v>
      </c>
    </row>
    <row r="5471" spans="2:15" x14ac:dyDescent="0.3">
      <c r="B5471" s="1" t="s">
        <v>22</v>
      </c>
      <c r="C5471" s="1" t="str">
        <f t="shared" si="287"/>
        <v>5-1차</v>
      </c>
      <c r="D5471" s="1" t="str">
        <f>"0130B1425M"</f>
        <v>0130B1425M</v>
      </c>
      <c r="E5471" s="1" t="s">
        <v>10</v>
      </c>
      <c r="F5471" s="1" t="str">
        <f>"fde3:102:1410:4500:0:0:0:13"</f>
        <v>fde3:102:1410:4500:0:0:0:13</v>
      </c>
      <c r="G5471" s="1" t="str">
        <f>"0130B142"</f>
        <v>0130B142</v>
      </c>
      <c r="H5471" s="1" t="str">
        <f>"쌍덕간 17L3"</f>
        <v>쌍덕간 17L3</v>
      </c>
      <c r="I5471" s="1" t="s">
        <v>15</v>
      </c>
      <c r="J5471" s="1" t="str">
        <f>"89/89"</f>
        <v>89/89</v>
      </c>
      <c r="K5471" s="1" t="str">
        <f>"2026-07-29 14:20:28"</f>
        <v>2026-07-29 14:20:28</v>
      </c>
      <c r="L5471" s="1" t="str">
        <f>"2022-11-18 11:41:42"</f>
        <v>2022-11-18 11:41:42</v>
      </c>
      <c r="M5471" s="1" t="s">
        <v>45</v>
      </c>
      <c r="N5471" s="1" t="s">
        <v>38</v>
      </c>
      <c r="O5471" s="1" t="s">
        <v>46</v>
      </c>
    </row>
    <row r="5472" spans="2:15" x14ac:dyDescent="0.3">
      <c r="B5472" s="1" t="s">
        <v>22</v>
      </c>
      <c r="C5472" s="1" t="str">
        <f t="shared" si="287"/>
        <v>5-1차</v>
      </c>
      <c r="D5472" s="1" t="str">
        <f>"0130B2525M"</f>
        <v>0130B2525M</v>
      </c>
      <c r="E5472" s="1" t="s">
        <v>10</v>
      </c>
      <c r="F5472" s="1" t="str">
        <f>"fde3:102:1410:4500:0:0:0:7"</f>
        <v>fde3:102:1410:4500:0:0:0:7</v>
      </c>
      <c r="G5472" s="1" t="str">
        <f>"0130B252"</f>
        <v>0130B252</v>
      </c>
      <c r="H5472" s="1" t="str">
        <f>"쌍덕간 17L2R2"</f>
        <v>쌍덕간 17L2R2</v>
      </c>
      <c r="I5472" s="1" t="s">
        <v>15</v>
      </c>
      <c r="J5472" s="1" t="str">
        <f>"47/47"</f>
        <v>47/47</v>
      </c>
      <c r="K5472" s="1" t="str">
        <f>"2026-07-29 02:20:03"</f>
        <v>2026-07-29 02:20:03</v>
      </c>
      <c r="L5472" s="1" t="str">
        <f>"2022-11-18 12:03:10"</f>
        <v>2022-11-18 12:03:10</v>
      </c>
      <c r="M5472" s="1" t="s">
        <v>45</v>
      </c>
      <c r="N5472" s="1" t="s">
        <v>38</v>
      </c>
      <c r="O5472" s="1" t="s">
        <v>46</v>
      </c>
    </row>
    <row r="5473" spans="2:15" x14ac:dyDescent="0.3">
      <c r="B5473" s="1" t="s">
        <v>22</v>
      </c>
      <c r="C5473" s="1" t="str">
        <f t="shared" si="287"/>
        <v>5-1차</v>
      </c>
      <c r="D5473" s="1" t="str">
        <f>"0130B3515S"</f>
        <v>0130B3515S</v>
      </c>
      <c r="E5473" s="1" t="s">
        <v>10</v>
      </c>
      <c r="F5473" s="1" t="str">
        <f>"fde3:102:1410:4500:0:0:0:8"</f>
        <v>fde3:102:1410:4500:0:0:0:8</v>
      </c>
      <c r="G5473" s="1" t="str">
        <f>"0130B351"</f>
        <v>0130B351</v>
      </c>
      <c r="H5473" s="1" t="str">
        <f>"쌍덕간 18"</f>
        <v>쌍덕간 18</v>
      </c>
      <c r="I5473" s="1" t="s">
        <v>15</v>
      </c>
      <c r="J5473" s="1" t="str">
        <f>"28/28"</f>
        <v>28/28</v>
      </c>
      <c r="K5473" s="1" t="str">
        <f>"2026-07-29 14:20:29"</f>
        <v>2026-07-29 14:20:29</v>
      </c>
      <c r="L5473" s="1" t="str">
        <f>"2022-11-18 12:24:15"</f>
        <v>2022-11-18 12:24:15</v>
      </c>
      <c r="M5473" s="1" t="s">
        <v>45</v>
      </c>
      <c r="N5473" s="1" t="s">
        <v>38</v>
      </c>
      <c r="O5473" s="1" t="s">
        <v>46</v>
      </c>
    </row>
    <row r="5474" spans="2:15" x14ac:dyDescent="0.3">
      <c r="B5474" s="1" t="s">
        <v>22</v>
      </c>
      <c r="C5474" s="1" t="str">
        <f t="shared" si="287"/>
        <v>5-1차</v>
      </c>
      <c r="D5474" s="1" t="str">
        <f>"0130B3615M"</f>
        <v>0130B3615M</v>
      </c>
      <c r="E5474" s="1" t="s">
        <v>10</v>
      </c>
      <c r="F5474" s="1" t="str">
        <f>"fde3:102:1410:4500:0:0:0:9"</f>
        <v>fde3:102:1410:4500:0:0:0:9</v>
      </c>
      <c r="G5474" s="1" t="str">
        <f>"0130B361"</f>
        <v>0130B361</v>
      </c>
      <c r="H5474" s="1" t="str">
        <f>"쌍덕간 21"</f>
        <v>쌍덕간 21</v>
      </c>
      <c r="I5474" s="1" t="s">
        <v>15</v>
      </c>
      <c r="J5474" s="1" t="str">
        <f>"26/26"</f>
        <v>26/26</v>
      </c>
      <c r="K5474" s="1" t="str">
        <f>"2026-07-29 14:20:42"</f>
        <v>2026-07-29 14:20:42</v>
      </c>
      <c r="L5474" s="1" t="str">
        <f>"2022-11-18 11:55:18"</f>
        <v>2022-11-18 11:55:18</v>
      </c>
      <c r="M5474" s="1" t="s">
        <v>45</v>
      </c>
      <c r="N5474" s="1" t="s">
        <v>38</v>
      </c>
      <c r="O5474" s="1" t="s">
        <v>46</v>
      </c>
    </row>
    <row r="5475" spans="2:15" x14ac:dyDescent="0.3">
      <c r="B5475" s="1" t="s">
        <v>22</v>
      </c>
      <c r="C5475" s="1" t="str">
        <f t="shared" si="287"/>
        <v>5-1차</v>
      </c>
      <c r="D5475" s="1" t="str">
        <f>"0130B4525S"</f>
        <v>0130B4525S</v>
      </c>
      <c r="E5475" s="1" t="s">
        <v>10</v>
      </c>
      <c r="F5475" s="1" t="str">
        <f>"fde3:102:1410:4500:0:0:0:a"</f>
        <v>fde3:102:1410:4500:0:0:0:a</v>
      </c>
      <c r="G5475" s="1" t="str">
        <f>"0130B452"</f>
        <v>0130B452</v>
      </c>
      <c r="H5475" s="1" t="str">
        <f>"쌍덕간 15"</f>
        <v>쌍덕간 15</v>
      </c>
      <c r="I5475" s="1" t="s">
        <v>15</v>
      </c>
      <c r="J5475" s="1" t="str">
        <f>"42/43"</f>
        <v>42/43</v>
      </c>
      <c r="K5475" s="1" t="str">
        <f>"2026-07-29 14:20:06"</f>
        <v>2026-07-29 14:20:06</v>
      </c>
      <c r="L5475" s="1" t="str">
        <f>"2022-11-18 12:22:01"</f>
        <v>2022-11-18 12:22:01</v>
      </c>
      <c r="M5475" s="1" t="s">
        <v>45</v>
      </c>
      <c r="N5475" s="1" t="s">
        <v>38</v>
      </c>
      <c r="O5475" s="1" t="s">
        <v>46</v>
      </c>
    </row>
    <row r="5476" spans="2:15" x14ac:dyDescent="0.3">
      <c r="B5476" s="1" t="s">
        <v>22</v>
      </c>
      <c r="C5476" s="1" t="str">
        <f>"1차"</f>
        <v>1차</v>
      </c>
      <c r="D5476" s="1" t="str">
        <f>"0130B78300"</f>
        <v>0130B78300</v>
      </c>
      <c r="E5476" s="1" t="s">
        <v>10</v>
      </c>
      <c r="F5476" s="1" t="str">
        <f>"10.107.124.125"</f>
        <v>10.107.124.125</v>
      </c>
      <c r="G5476" s="1" t="str">
        <f>"0130B783"</f>
        <v>0130B783</v>
      </c>
      <c r="H5476" s="1" t="str">
        <f>"선덕간 1L18L4"</f>
        <v>선덕간 1L18L4</v>
      </c>
      <c r="I5476" s="1" t="s">
        <v>8</v>
      </c>
      <c r="J5476" s="1" t="str">
        <f>"29/29"</f>
        <v>29/29</v>
      </c>
      <c r="K5476" s="1" t="str">
        <f>"2026-07-29 13:18:01"</f>
        <v>2026-07-29 13:18:01</v>
      </c>
      <c r="L5476" s="1" t="str">
        <f>"2015-08-12 10:51:51"</f>
        <v>2015-08-12 10:51:51</v>
      </c>
      <c r="M5476" s="1" t="s">
        <v>45</v>
      </c>
      <c r="N5476" s="1" t="s">
        <v>38</v>
      </c>
      <c r="O5476" s="1" t="s">
        <v>46</v>
      </c>
    </row>
    <row r="5477" spans="2:15" x14ac:dyDescent="0.3">
      <c r="B5477" s="1" t="s">
        <v>22</v>
      </c>
      <c r="C5477" s="1" t="str">
        <f>"5-1차"</f>
        <v>5-1차</v>
      </c>
      <c r="D5477" s="1" t="str">
        <f>"0130B8615M"</f>
        <v>0130B8615M</v>
      </c>
      <c r="E5477" s="1" t="s">
        <v>10</v>
      </c>
      <c r="F5477" s="1" t="str">
        <f>"fde3:102:1410:4500:0:0:0:3"</f>
        <v>fde3:102:1410:4500:0:0:0:3</v>
      </c>
      <c r="G5477" s="1" t="str">
        <f>"0130B861"</f>
        <v>0130B861</v>
      </c>
      <c r="H5477" s="1" t="str">
        <f>"선덕간 1L18L1L2"</f>
        <v>선덕간 1L18L1L2</v>
      </c>
      <c r="I5477" s="1" t="s">
        <v>15</v>
      </c>
      <c r="J5477" s="1" t="str">
        <f>"34/34"</f>
        <v>34/34</v>
      </c>
      <c r="K5477" s="1" t="str">
        <f>"2026-07-29 14:20:30"</f>
        <v>2026-07-29 14:20:30</v>
      </c>
      <c r="L5477" s="1" t="str">
        <f>"2022-10-26 12:31:04"</f>
        <v>2022-10-26 12:31:04</v>
      </c>
      <c r="M5477" s="1" t="s">
        <v>45</v>
      </c>
      <c r="N5477" s="1" t="s">
        <v>38</v>
      </c>
      <c r="O5477" s="1" t="s">
        <v>46</v>
      </c>
    </row>
    <row r="5478" spans="2:15" x14ac:dyDescent="0.3">
      <c r="B5478" s="1" t="s">
        <v>22</v>
      </c>
      <c r="C5478" s="1" t="str">
        <f>"1차"</f>
        <v>1차</v>
      </c>
      <c r="D5478" s="1" t="str">
        <f>"0130B87100"</f>
        <v>0130B87100</v>
      </c>
      <c r="E5478" s="1" t="s">
        <v>10</v>
      </c>
      <c r="F5478" s="1" t="str">
        <f>"10.107.124.117"</f>
        <v>10.107.124.117</v>
      </c>
      <c r="G5478" s="1" t="str">
        <f>"0130B871"</f>
        <v>0130B871</v>
      </c>
      <c r="H5478" s="1" t="str">
        <f>"선덕간 1L18L1"</f>
        <v>선덕간 1L18L1</v>
      </c>
      <c r="I5478" s="1" t="s">
        <v>8</v>
      </c>
      <c r="J5478" s="1" t="str">
        <f>"53/53"</f>
        <v>53/53</v>
      </c>
      <c r="K5478" s="1" t="str">
        <f>"2026-07-29 13:18:01"</f>
        <v>2026-07-29 13:18:01</v>
      </c>
      <c r="L5478" s="1" t="str">
        <f>"2014-12-19 15:57:59"</f>
        <v>2014-12-19 15:57:59</v>
      </c>
      <c r="M5478" s="1" t="s">
        <v>45</v>
      </c>
      <c r="N5478" s="1" t="s">
        <v>38</v>
      </c>
      <c r="O5478" s="1" t="s">
        <v>46</v>
      </c>
    </row>
    <row r="5479" spans="2:15" x14ac:dyDescent="0.3">
      <c r="B5479" s="1" t="s">
        <v>22</v>
      </c>
      <c r="C5479" s="1" t="str">
        <f>"1차"</f>
        <v>1차</v>
      </c>
      <c r="D5479" s="1" t="str">
        <f>"0130B87201"</f>
        <v>0130B87201</v>
      </c>
      <c r="E5479" s="1" t="s">
        <v>10</v>
      </c>
      <c r="F5479" s="1" t="str">
        <f>"10.107.124.118"</f>
        <v>10.107.124.118</v>
      </c>
      <c r="G5479" s="1" t="str">
        <f>"0130B872"</f>
        <v>0130B872</v>
      </c>
      <c r="H5479" s="1" t="str">
        <f>"선덕간 1L18L1HL1"</f>
        <v>선덕간 1L18L1HL1</v>
      </c>
      <c r="I5479" s="1" t="s">
        <v>8</v>
      </c>
      <c r="J5479" s="1" t="str">
        <f>"20/21"</f>
        <v>20/21</v>
      </c>
      <c r="K5479" s="1" t="str">
        <f>"2026-07-29 13:18:01"</f>
        <v>2026-07-29 13:18:01</v>
      </c>
      <c r="L5479" s="1" t="str">
        <f>"2014-12-19 15:58:05"</f>
        <v>2014-12-19 15:58:05</v>
      </c>
      <c r="M5479" s="1" t="s">
        <v>45</v>
      </c>
      <c r="N5479" s="1" t="s">
        <v>38</v>
      </c>
      <c r="O5479" s="1" t="s">
        <v>46</v>
      </c>
    </row>
    <row r="5480" spans="2:15" x14ac:dyDescent="0.3">
      <c r="B5480" s="1" t="s">
        <v>22</v>
      </c>
      <c r="C5480" s="1" t="str">
        <f>"1차"</f>
        <v>1차</v>
      </c>
      <c r="D5480" s="1" t="str">
        <f>"0130B88201"</f>
        <v>0130B88201</v>
      </c>
      <c r="E5480" s="1" t="s">
        <v>10</v>
      </c>
      <c r="F5480" s="1" t="str">
        <f>"10.107.124.119"</f>
        <v>10.107.124.119</v>
      </c>
      <c r="G5480" s="1" t="str">
        <f>"0130B882"</f>
        <v>0130B882</v>
      </c>
      <c r="H5480" s="1" t="str">
        <f>"선덕간 1L18"</f>
        <v>선덕간 1L18</v>
      </c>
      <c r="I5480" s="1" t="s">
        <v>8</v>
      </c>
      <c r="J5480" s="1" t="str">
        <f>"11/13"</f>
        <v>11/13</v>
      </c>
      <c r="K5480" s="1" t="str">
        <f>"2026-07-29 13:18:01"</f>
        <v>2026-07-29 13:18:01</v>
      </c>
      <c r="L5480" s="1" t="str">
        <f>"2014-12-19 15:58:39"</f>
        <v>2014-12-19 15:58:39</v>
      </c>
      <c r="M5480" s="1" t="s">
        <v>45</v>
      </c>
      <c r="N5480" s="1" t="s">
        <v>38</v>
      </c>
      <c r="O5480" s="1" t="s">
        <v>46</v>
      </c>
    </row>
    <row r="5481" spans="2:15" x14ac:dyDescent="0.3">
      <c r="B5481" s="1" t="s">
        <v>22</v>
      </c>
      <c r="C5481" s="1" t="str">
        <f>"5-1차"</f>
        <v>5-1차</v>
      </c>
      <c r="D5481" s="1" t="str">
        <f>"0130B8915M"</f>
        <v>0130B8915M</v>
      </c>
      <c r="E5481" s="1" t="s">
        <v>10</v>
      </c>
      <c r="F5481" s="1" t="str">
        <f>"fde3:102:1410:4500:0:0:0:b"</f>
        <v>fde3:102:1410:4500:0:0:0:b</v>
      </c>
      <c r="G5481" s="1" t="str">
        <f>"0130B891"</f>
        <v>0130B891</v>
      </c>
      <c r="H5481" s="1" t="str">
        <f>"선덕간 1L20L2"</f>
        <v>선덕간 1L20L2</v>
      </c>
      <c r="I5481" s="1" t="s">
        <v>15</v>
      </c>
      <c r="J5481" s="1" t="str">
        <f>"65/65"</f>
        <v>65/65</v>
      </c>
      <c r="K5481" s="1" t="str">
        <f>"2026-07-29 14:20:58"</f>
        <v>2026-07-29 14:20:58</v>
      </c>
      <c r="L5481" s="1" t="str">
        <f>"2022-11-18 13:31:54"</f>
        <v>2022-11-18 13:31:54</v>
      </c>
      <c r="M5481" s="1" t="s">
        <v>45</v>
      </c>
      <c r="N5481" s="1" t="s">
        <v>38</v>
      </c>
      <c r="O5481" s="1" t="s">
        <v>46</v>
      </c>
    </row>
    <row r="5482" spans="2:15" x14ac:dyDescent="0.3">
      <c r="B5482" s="1" t="s">
        <v>22</v>
      </c>
      <c r="C5482" s="1" t="str">
        <f>"1차"</f>
        <v>1차</v>
      </c>
      <c r="D5482" s="1" t="str">
        <f>"0130B96100"</f>
        <v>0130B96100</v>
      </c>
      <c r="E5482" s="1" t="s">
        <v>10</v>
      </c>
      <c r="F5482" s="1" t="str">
        <f>"10.107.124.115"</f>
        <v>10.107.124.115</v>
      </c>
      <c r="G5482" s="1" t="str">
        <f>"0130B961"</f>
        <v>0130B961</v>
      </c>
      <c r="H5482" s="1" t="str">
        <f>"선덕간 1L14"</f>
        <v>선덕간 1L14</v>
      </c>
      <c r="I5482" s="1" t="s">
        <v>8</v>
      </c>
      <c r="J5482" s="1" t="str">
        <f>"18/18"</f>
        <v>18/18</v>
      </c>
      <c r="K5482" s="1" t="str">
        <f>"2026-07-29 13:18:01"</f>
        <v>2026-07-29 13:18:01</v>
      </c>
      <c r="L5482" s="1" t="str">
        <f>"2014-12-19 15:13:15"</f>
        <v>2014-12-19 15:13:15</v>
      </c>
      <c r="M5482" s="1" t="s">
        <v>45</v>
      </c>
      <c r="N5482" s="1" t="s">
        <v>38</v>
      </c>
      <c r="O5482" s="1" t="s">
        <v>46</v>
      </c>
    </row>
    <row r="5483" spans="2:15" x14ac:dyDescent="0.3">
      <c r="B5483" s="1" t="s">
        <v>22</v>
      </c>
      <c r="C5483" s="1" t="str">
        <f>"5-1차"</f>
        <v>5-1차</v>
      </c>
      <c r="D5483" s="1" t="str">
        <f>"0130B9725M"</f>
        <v>0130B9725M</v>
      </c>
      <c r="E5483" s="1" t="s">
        <v>10</v>
      </c>
      <c r="F5483" s="1" t="str">
        <f>"fde3:102:1410:4500:0:0:0:c"</f>
        <v>fde3:102:1410:4500:0:0:0:c</v>
      </c>
      <c r="G5483" s="1" t="str">
        <f>"0130B972"</f>
        <v>0130B972</v>
      </c>
      <c r="H5483" s="1" t="str">
        <f>"선덕간 1HL18"</f>
        <v>선덕간 1HL18</v>
      </c>
      <c r="I5483" s="1" t="s">
        <v>15</v>
      </c>
      <c r="J5483" s="1" t="str">
        <f>"54/54"</f>
        <v>54/54</v>
      </c>
      <c r="K5483" s="1" t="str">
        <f>"2026-07-29 14:20:30"</f>
        <v>2026-07-29 14:20:30</v>
      </c>
      <c r="L5483" s="1" t="str">
        <f>"2022-11-18 13:42:37"</f>
        <v>2022-11-18 13:42:37</v>
      </c>
      <c r="M5483" s="1" t="s">
        <v>45</v>
      </c>
      <c r="N5483" s="1" t="s">
        <v>38</v>
      </c>
      <c r="O5483" s="1" t="s">
        <v>46</v>
      </c>
    </row>
    <row r="5484" spans="2:15" x14ac:dyDescent="0.3">
      <c r="B5484" s="1" t="s">
        <v>22</v>
      </c>
      <c r="C5484" s="1" t="str">
        <f>"5-2차"</f>
        <v>5-2차</v>
      </c>
      <c r="D5484" s="1" t="str">
        <f>"0130B9815M"</f>
        <v>0130B9815M</v>
      </c>
      <c r="E5484" s="1" t="s">
        <v>10</v>
      </c>
      <c r="F5484" s="1" t="str">
        <f>"fde3:102:1410:4500:0:0:0:29"</f>
        <v>fde3:102:1410:4500:0:0:0:29</v>
      </c>
      <c r="G5484" s="1" t="str">
        <f>"0130B981"</f>
        <v>0130B981</v>
      </c>
      <c r="H5484" s="1" t="str">
        <f>"선덕간 1L20"</f>
        <v>선덕간 1L20</v>
      </c>
      <c r="I5484" s="1" t="s">
        <v>15</v>
      </c>
      <c r="J5484" s="1" t="str">
        <f>"45/45"</f>
        <v>45/45</v>
      </c>
      <c r="K5484" s="1" t="str">
        <f>"2026-07-29 14:20:29"</f>
        <v>2026-07-29 14:20:29</v>
      </c>
      <c r="L5484" s="1" t="str">
        <f>"2023-12-12 15:31:27"</f>
        <v>2023-12-12 15:31:27</v>
      </c>
      <c r="M5484" s="1" t="s">
        <v>45</v>
      </c>
      <c r="N5484" s="1" t="s">
        <v>38</v>
      </c>
      <c r="O5484" s="1" t="s">
        <v>46</v>
      </c>
    </row>
    <row r="5485" spans="2:15" x14ac:dyDescent="0.3">
      <c r="B5485" s="1" t="s">
        <v>22</v>
      </c>
      <c r="C5485" s="1" t="str">
        <f>"5-1차"</f>
        <v>5-1차</v>
      </c>
      <c r="D5485" s="1" t="str">
        <f>"0130B9915M"</f>
        <v>0130B9915M</v>
      </c>
      <c r="E5485" s="1" t="s">
        <v>10</v>
      </c>
      <c r="F5485" s="1" t="str">
        <f>"fde3:102:1410:4500:0:0:0:d"</f>
        <v>fde3:102:1410:4500:0:0:0:d</v>
      </c>
      <c r="G5485" s="1" t="str">
        <f>"0130B991"</f>
        <v>0130B991</v>
      </c>
      <c r="H5485" s="1" t="str">
        <f>"선덕간 1L21"</f>
        <v>선덕간 1L21</v>
      </c>
      <c r="I5485" s="1" t="s">
        <v>15</v>
      </c>
      <c r="J5485" s="1" t="str">
        <f>"58/58"</f>
        <v>58/58</v>
      </c>
      <c r="K5485" s="1" t="str">
        <f>"2026-07-29 14:20:52"</f>
        <v>2026-07-29 14:20:52</v>
      </c>
      <c r="L5485" s="1" t="str">
        <f>"2022-11-18 13:23:28"</f>
        <v>2022-11-18 13:23:28</v>
      </c>
      <c r="M5485" s="1" t="s">
        <v>45</v>
      </c>
      <c r="N5485" s="1" t="s">
        <v>38</v>
      </c>
      <c r="O5485" s="1" t="s">
        <v>46</v>
      </c>
    </row>
    <row r="5486" spans="2:15" x14ac:dyDescent="0.3">
      <c r="B5486" s="1" t="s">
        <v>22</v>
      </c>
      <c r="C5486" s="1" t="str">
        <f>"5-1차"</f>
        <v>5-1차</v>
      </c>
      <c r="D5486" s="1" t="str">
        <f>"0130E0625M"</f>
        <v>0130E0625M</v>
      </c>
      <c r="E5486" s="1" t="s">
        <v>10</v>
      </c>
      <c r="F5486" s="1" t="str">
        <f>"fde3:102:1410:4500:0:0:0:2"</f>
        <v>fde3:102:1410:4500:0:0:0:2</v>
      </c>
      <c r="G5486" s="1" t="str">
        <f>"0130E062"</f>
        <v>0130E062</v>
      </c>
      <c r="H5486" s="1" t="str">
        <f>"선덕간 1L15B1"</f>
        <v>선덕간 1L15B1</v>
      </c>
      <c r="I5486" s="1" t="s">
        <v>15</v>
      </c>
      <c r="J5486" s="1" t="str">
        <f>"58/58"</f>
        <v>58/58</v>
      </c>
      <c r="K5486" s="1" t="str">
        <f>"2026-07-29 14:20:23"</f>
        <v>2026-07-29 14:20:23</v>
      </c>
      <c r="L5486" s="1" t="str">
        <f>"2022-10-31 19:28:40"</f>
        <v>2022-10-31 19:28:40</v>
      </c>
      <c r="M5486" s="1" t="s">
        <v>45</v>
      </c>
      <c r="N5486" s="1" t="s">
        <v>38</v>
      </c>
      <c r="O5486" s="1" t="s">
        <v>46</v>
      </c>
    </row>
    <row r="5487" spans="2:15" x14ac:dyDescent="0.3">
      <c r="B5487" s="1" t="s">
        <v>22</v>
      </c>
      <c r="C5487" s="1" t="str">
        <f>"5-2차"</f>
        <v>5-2차</v>
      </c>
      <c r="D5487" s="1" t="str">
        <f>"0130E0725M"</f>
        <v>0130E0725M</v>
      </c>
      <c r="E5487" s="1" t="s">
        <v>10</v>
      </c>
      <c r="F5487" s="1" t="str">
        <f>"fde3:102:1410:4500:0:0:0:2a"</f>
        <v>fde3:102:1410:4500:0:0:0:2a</v>
      </c>
      <c r="G5487" s="1" t="str">
        <f>"0130E072"</f>
        <v>0130E072</v>
      </c>
      <c r="H5487" s="1" t="str">
        <f>"선덕간 1L15R2"</f>
        <v>선덕간 1L15R2</v>
      </c>
      <c r="I5487" s="1" t="s">
        <v>15</v>
      </c>
      <c r="J5487" s="1" t="str">
        <f>"44/44"</f>
        <v>44/44</v>
      </c>
      <c r="K5487" s="1" t="str">
        <f>"2026-07-29 14:20:19"</f>
        <v>2026-07-29 14:20:19</v>
      </c>
      <c r="L5487" s="1" t="str">
        <f>"2023-12-13 16:03:06"</f>
        <v>2023-12-13 16:03:06</v>
      </c>
      <c r="M5487" s="1" t="s">
        <v>45</v>
      </c>
      <c r="N5487" s="1" t="s">
        <v>38</v>
      </c>
      <c r="O5487" s="1" t="s">
        <v>46</v>
      </c>
    </row>
    <row r="5488" spans="2:15" x14ac:dyDescent="0.3">
      <c r="B5488" s="1" t="s">
        <v>22</v>
      </c>
      <c r="C5488" s="1" t="str">
        <f>"5-1차"</f>
        <v>5-1차</v>
      </c>
      <c r="D5488" s="1" t="str">
        <f>"0130E0825S"</f>
        <v>0130E0825S</v>
      </c>
      <c r="E5488" s="1" t="s">
        <v>10</v>
      </c>
      <c r="F5488" s="1" t="str">
        <f>"fde3:102:1410:4500:0:0:0:e"</f>
        <v>fde3:102:1410:4500:0:0:0:e</v>
      </c>
      <c r="G5488" s="1" t="str">
        <f>"0130E082"</f>
        <v>0130E082</v>
      </c>
      <c r="H5488" s="1" t="str">
        <f>"선덕간 1L15R8"</f>
        <v>선덕간 1L15R8</v>
      </c>
      <c r="I5488" s="1" t="s">
        <v>15</v>
      </c>
      <c r="J5488" s="1" t="str">
        <f>"74/74"</f>
        <v>74/74</v>
      </c>
      <c r="K5488" s="1" t="str">
        <f>"2026-07-29 08:20:16"</f>
        <v>2026-07-29 08:20:16</v>
      </c>
      <c r="L5488" s="1" t="str">
        <f>"2022-11-18 13:52:12"</f>
        <v>2022-11-18 13:52:12</v>
      </c>
      <c r="M5488" s="1" t="s">
        <v>45</v>
      </c>
      <c r="N5488" s="1" t="s">
        <v>38</v>
      </c>
      <c r="O5488" s="1" t="s">
        <v>46</v>
      </c>
    </row>
    <row r="5489" spans="2:15" x14ac:dyDescent="0.3">
      <c r="B5489" s="1" t="s">
        <v>22</v>
      </c>
      <c r="C5489" s="1" t="str">
        <f>"5-1차"</f>
        <v>5-1차</v>
      </c>
      <c r="D5489" s="1" t="str">
        <f>"0130E0915S"</f>
        <v>0130E0915S</v>
      </c>
      <c r="E5489" s="1" t="s">
        <v>10</v>
      </c>
      <c r="F5489" s="1" t="str">
        <f>"fde3:102:1410:4500:0:0:0:f"</f>
        <v>fde3:102:1410:4500:0:0:0:f</v>
      </c>
      <c r="G5489" s="1" t="str">
        <f>"0130E091"</f>
        <v>0130E091</v>
      </c>
      <c r="H5489" s="1" t="str">
        <f>"선덕간 1L15R7"</f>
        <v>선덕간 1L15R7</v>
      </c>
      <c r="I5489" s="1" t="s">
        <v>15</v>
      </c>
      <c r="J5489" s="1" t="str">
        <f>"49/49"</f>
        <v>49/49</v>
      </c>
      <c r="K5489" s="1" t="str">
        <f>"2026-07-29 14:20:24"</f>
        <v>2026-07-29 14:20:24</v>
      </c>
      <c r="L5489" s="1" t="str">
        <f>"2022-11-18 14:01:38"</f>
        <v>2022-11-18 14:01:38</v>
      </c>
      <c r="M5489" s="1" t="s">
        <v>45</v>
      </c>
      <c r="N5489" s="1" t="s">
        <v>38</v>
      </c>
      <c r="O5489" s="1" t="s">
        <v>46</v>
      </c>
    </row>
    <row r="5490" spans="2:15" x14ac:dyDescent="0.3">
      <c r="B5490" s="1" t="s">
        <v>22</v>
      </c>
      <c r="C5490" s="1" t="str">
        <f>"5-1차"</f>
        <v>5-1차</v>
      </c>
      <c r="D5490" s="1" t="str">
        <f>"0130E1525S"</f>
        <v>0130E1525S</v>
      </c>
      <c r="E5490" s="1" t="s">
        <v>10</v>
      </c>
      <c r="F5490" s="1" t="str">
        <f>"fde3:102:1410:4500:0:0:0:10"</f>
        <v>fde3:102:1410:4500:0:0:0:10</v>
      </c>
      <c r="G5490" s="1" t="str">
        <f>"0130E152"</f>
        <v>0130E152</v>
      </c>
      <c r="H5490" s="1" t="str">
        <f>"선덕간 1L15B3"</f>
        <v>선덕간 1L15B3</v>
      </c>
      <c r="I5490" s="1" t="s">
        <v>15</v>
      </c>
      <c r="J5490" s="1" t="str">
        <f>"46/46"</f>
        <v>46/46</v>
      </c>
      <c r="K5490" s="1" t="str">
        <f>"2026-07-29 14:20:43"</f>
        <v>2026-07-29 14:20:43</v>
      </c>
      <c r="L5490" s="1" t="str">
        <f>"2022-11-18 14:28:06"</f>
        <v>2022-11-18 14:28:06</v>
      </c>
      <c r="M5490" s="1" t="s">
        <v>45</v>
      </c>
      <c r="N5490" s="1" t="s">
        <v>38</v>
      </c>
      <c r="O5490" s="1" t="s">
        <v>46</v>
      </c>
    </row>
    <row r="5491" spans="2:15" x14ac:dyDescent="0.3">
      <c r="B5491" s="1" t="s">
        <v>22</v>
      </c>
      <c r="C5491" s="1" t="str">
        <f>"5-1차"</f>
        <v>5-1차</v>
      </c>
      <c r="D5491" s="1" t="str">
        <f>"0130E1825M"</f>
        <v>0130E1825M</v>
      </c>
      <c r="E5491" s="1" t="s">
        <v>10</v>
      </c>
      <c r="F5491" s="1" t="str">
        <f>"fde3:102:1410:4500:0:0:0:11"</f>
        <v>fde3:102:1410:4500:0:0:0:11</v>
      </c>
      <c r="G5491" s="1" t="str">
        <f>"0130E182"</f>
        <v>0130E182</v>
      </c>
      <c r="H5491" s="1" t="str">
        <f>"선덕간 1L15R4"</f>
        <v>선덕간 1L15R4</v>
      </c>
      <c r="I5491" s="1" t="s">
        <v>15</v>
      </c>
      <c r="J5491" s="1" t="str">
        <f>"50/55"</f>
        <v>50/55</v>
      </c>
      <c r="K5491" s="1" t="str">
        <f>"2026-07-29 14:20:19"</f>
        <v>2026-07-29 14:20:19</v>
      </c>
      <c r="L5491" s="1" t="str">
        <f>"2022-11-18 14:12:36"</f>
        <v>2022-11-18 14:12:36</v>
      </c>
      <c r="M5491" s="1" t="s">
        <v>45</v>
      </c>
      <c r="N5491" s="1" t="s">
        <v>38</v>
      </c>
      <c r="O5491" s="1" t="s">
        <v>46</v>
      </c>
    </row>
    <row r="5492" spans="2:15" x14ac:dyDescent="0.3">
      <c r="B5492" s="1" t="s">
        <v>22</v>
      </c>
      <c r="C5492" s="1" t="str">
        <f>"6차"</f>
        <v>6차</v>
      </c>
      <c r="D5492" s="1" t="str">
        <f>"0130E2626S"</f>
        <v>0130E2626S</v>
      </c>
      <c r="E5492" s="1" t="s">
        <v>10</v>
      </c>
      <c r="F5492" s="1" t="str">
        <f>"fde3:102:1410:4800:0:0:0:9"</f>
        <v>fde3:102:1410:4800:0:0:0:9</v>
      </c>
      <c r="G5492" s="1" t="str">
        <f>"0130E262"</f>
        <v>0130E262</v>
      </c>
      <c r="H5492" s="1" t="str">
        <f>"선덕간 4L6L1"</f>
        <v>선덕간 4L6L1</v>
      </c>
      <c r="I5492" s="1" t="s">
        <v>15</v>
      </c>
      <c r="J5492" s="1" t="str">
        <f>"33/34"</f>
        <v>33/34</v>
      </c>
      <c r="K5492" s="1" t="str">
        <f>"2026-07-29 14:20:17"</f>
        <v>2026-07-29 14:20:17</v>
      </c>
      <c r="L5492" s="1" t="str">
        <f>"2024-12-05 14:56:34"</f>
        <v>2024-12-05 14:56:34</v>
      </c>
      <c r="M5492" s="1" t="s">
        <v>45</v>
      </c>
      <c r="N5492" s="1" t="s">
        <v>38</v>
      </c>
      <c r="O5492" s="1" t="s">
        <v>46</v>
      </c>
    </row>
    <row r="5493" spans="2:15" x14ac:dyDescent="0.3">
      <c r="B5493" s="1" t="s">
        <v>22</v>
      </c>
      <c r="C5493" s="1" t="str">
        <f>"5-1차"</f>
        <v>5-1차</v>
      </c>
      <c r="D5493" s="1" t="str">
        <f>"0130E2765M"</f>
        <v>0130E2765M</v>
      </c>
      <c r="E5493" s="1" t="s">
        <v>10</v>
      </c>
      <c r="F5493" s="1" t="str">
        <f>"fde3:102:1410:4500:0:0:0:12"</f>
        <v>fde3:102:1410:4500:0:0:0:12</v>
      </c>
      <c r="G5493" s="1" t="str">
        <f>"0130E276"</f>
        <v>0130E276</v>
      </c>
      <c r="H5493" s="1" t="str">
        <f>"선덕간 4L6C2"</f>
        <v>선덕간 4L6C2</v>
      </c>
      <c r="I5493" s="1" t="s">
        <v>15</v>
      </c>
      <c r="J5493" s="1" t="str">
        <f>"73/73"</f>
        <v>73/73</v>
      </c>
      <c r="K5493" s="1" t="str">
        <f>"2026-07-29 14:20:58"</f>
        <v>2026-07-29 14:20:58</v>
      </c>
      <c r="L5493" s="1" t="str">
        <f>"2022-11-18 14:19:52"</f>
        <v>2022-11-18 14:19:52</v>
      </c>
      <c r="M5493" s="1" t="s">
        <v>45</v>
      </c>
      <c r="N5493" s="1" t="s">
        <v>38</v>
      </c>
      <c r="O5493" s="1" t="s">
        <v>46</v>
      </c>
    </row>
    <row r="5494" spans="2:15" x14ac:dyDescent="0.3">
      <c r="B5494" s="1" t="s">
        <v>22</v>
      </c>
      <c r="C5494" s="1" t="str">
        <f>"1차"</f>
        <v>1차</v>
      </c>
      <c r="D5494" s="1" t="str">
        <f>"0130E30400"</f>
        <v>0130E30400</v>
      </c>
      <c r="E5494" s="1" t="s">
        <v>10</v>
      </c>
      <c r="F5494" s="1" t="str">
        <f>"10.107.129.27"</f>
        <v>10.107.129.27</v>
      </c>
      <c r="G5494" s="1" t="str">
        <f>"0130E304"</f>
        <v>0130E304</v>
      </c>
      <c r="H5494" s="1" t="str">
        <f>"쌍문간 31L10"</f>
        <v>쌍문간 31L10</v>
      </c>
      <c r="I5494" s="1" t="s">
        <v>8</v>
      </c>
      <c r="J5494" s="1" t="str">
        <f>"9/11"</f>
        <v>9/11</v>
      </c>
      <c r="K5494" s="1" t="str">
        <f>"2026-07-29 13:18:01"</f>
        <v>2026-07-29 13:18:01</v>
      </c>
      <c r="L5494" s="1" t="str">
        <f>"2014-12-22 12:43:13"</f>
        <v>2014-12-22 12:43:13</v>
      </c>
      <c r="M5494" s="1" t="s">
        <v>45</v>
      </c>
      <c r="N5494" s="1" t="s">
        <v>38</v>
      </c>
      <c r="O5494" s="1" t="s">
        <v>46</v>
      </c>
    </row>
    <row r="5495" spans="2:15" x14ac:dyDescent="0.3">
      <c r="B5495" s="1" t="s">
        <v>22</v>
      </c>
      <c r="C5495" s="1" t="str">
        <f>"4차"</f>
        <v>4차</v>
      </c>
      <c r="D5495" s="1" t="str">
        <f>"0130E32142"</f>
        <v>0130E32142</v>
      </c>
      <c r="E5495" s="1" t="s">
        <v>10</v>
      </c>
      <c r="F5495" s="1" t="str">
        <f>"10.107.124.110"</f>
        <v>10.107.124.110</v>
      </c>
      <c r="G5495" s="1" t="str">
        <f>"0130E321"</f>
        <v>0130E321</v>
      </c>
      <c r="H5495" s="1" t="str">
        <f>"선덕간 1L3R2"</f>
        <v>선덕간 1L3R2</v>
      </c>
      <c r="I5495" s="1" t="s">
        <v>8</v>
      </c>
      <c r="J5495" s="1" t="str">
        <f>"23/23"</f>
        <v>23/23</v>
      </c>
      <c r="K5495" s="1" t="str">
        <f>"2026-07-29 13:18:01"</f>
        <v>2026-07-29 13:18:01</v>
      </c>
      <c r="L5495" s="1" t="str">
        <f>"2024-12-23 10:36:20"</f>
        <v>2024-12-23 10:36:20</v>
      </c>
      <c r="M5495" s="1" t="s">
        <v>45</v>
      </c>
      <c r="N5495" s="1" t="s">
        <v>38</v>
      </c>
      <c r="O5495" s="1" t="s">
        <v>46</v>
      </c>
    </row>
    <row r="5496" spans="2:15" x14ac:dyDescent="0.3">
      <c r="B5496" s="1" t="s">
        <v>22</v>
      </c>
      <c r="C5496" s="1" t="str">
        <f>"1차"</f>
        <v>1차</v>
      </c>
      <c r="D5496" s="1" t="str">
        <f>"0130E32201"</f>
        <v>0130E32201</v>
      </c>
      <c r="E5496" s="1" t="s">
        <v>10</v>
      </c>
      <c r="F5496" s="1" t="str">
        <f>"10.14.13.126"</f>
        <v>10.14.13.126</v>
      </c>
      <c r="G5496" s="1" t="str">
        <f>"0130E322"</f>
        <v>0130E322</v>
      </c>
      <c r="H5496" s="1" t="str">
        <f>"선덕간 1L3R3"</f>
        <v>선덕간 1L3R3</v>
      </c>
      <c r="I5496" s="1" t="s">
        <v>8</v>
      </c>
      <c r="J5496" s="1" t="str">
        <f>"47/47"</f>
        <v>47/47</v>
      </c>
      <c r="K5496" s="1" t="str">
        <f>"2026-07-29 13:18:01"</f>
        <v>2026-07-29 13:18:01</v>
      </c>
      <c r="L5496" s="1" t="str">
        <f>"2014-12-19 14:58:07"</f>
        <v>2014-12-19 14:58:07</v>
      </c>
      <c r="M5496" s="1" t="s">
        <v>3</v>
      </c>
      <c r="N5496" s="1" t="s">
        <v>38</v>
      </c>
      <c r="O5496" s="1" t="s">
        <v>46</v>
      </c>
    </row>
    <row r="5497" spans="2:15" x14ac:dyDescent="0.3">
      <c r="B5497" s="1" t="s">
        <v>22</v>
      </c>
      <c r="C5497" s="1" t="str">
        <f>"5-2차"</f>
        <v>5-2차</v>
      </c>
      <c r="D5497" s="1" t="str">
        <f>"0130E3615M"</f>
        <v>0130E3615M</v>
      </c>
      <c r="E5497" s="1" t="s">
        <v>10</v>
      </c>
      <c r="F5497" s="1" t="str">
        <f>"fde3:102:1410:4800:0:0:0:7"</f>
        <v>fde3:102:1410:4800:0:0:0:7</v>
      </c>
      <c r="G5497" s="1" t="str">
        <f>"0130E361"</f>
        <v>0130E361</v>
      </c>
      <c r="H5497" s="1" t="str">
        <f>"선덕간 4L5"</f>
        <v>선덕간 4L5</v>
      </c>
      <c r="I5497" s="1" t="s">
        <v>15</v>
      </c>
      <c r="J5497" s="1" t="str">
        <f>"52/52"</f>
        <v>52/52</v>
      </c>
      <c r="K5497" s="1" t="str">
        <f>"2026-07-29 14:20:42"</f>
        <v>2026-07-29 14:20:42</v>
      </c>
      <c r="L5497" s="1" t="str">
        <f>"2024-01-10 13:58:33"</f>
        <v>2024-01-10 13:58:33</v>
      </c>
      <c r="M5497" s="1" t="s">
        <v>45</v>
      </c>
      <c r="N5497" s="1" t="s">
        <v>38</v>
      </c>
      <c r="O5497" s="1" t="s">
        <v>46</v>
      </c>
    </row>
    <row r="5498" spans="2:15" x14ac:dyDescent="0.3">
      <c r="B5498" s="1" t="s">
        <v>22</v>
      </c>
      <c r="C5498" s="1" t="str">
        <f>"5-1차"</f>
        <v>5-1차</v>
      </c>
      <c r="D5498" s="1" t="str">
        <f>"0130E3815M"</f>
        <v>0130E3815M</v>
      </c>
      <c r="E5498" s="1" t="s">
        <v>10</v>
      </c>
      <c r="F5498" s="1" t="str">
        <f>"fde3:102:1410:4300:0:0:0:5"</f>
        <v>fde3:102:1410:4300:0:0:0:5</v>
      </c>
      <c r="G5498" s="1" t="str">
        <f>"0130E381"</f>
        <v>0130E381</v>
      </c>
      <c r="H5498" s="1" t="str">
        <f>"선덕간 4L10R1"</f>
        <v>선덕간 4L10R1</v>
      </c>
      <c r="I5498" s="1" t="s">
        <v>15</v>
      </c>
      <c r="J5498" s="1" t="str">
        <f>"56/56"</f>
        <v>56/56</v>
      </c>
      <c r="K5498" s="1" t="str">
        <f>"2026-07-29 14:20:26"</f>
        <v>2026-07-29 14:20:26</v>
      </c>
      <c r="L5498" s="1" t="str">
        <f>"2022-11-18 14:50:46"</f>
        <v>2022-11-18 14:50:46</v>
      </c>
      <c r="M5498" s="1" t="s">
        <v>45</v>
      </c>
      <c r="N5498" s="1" t="s">
        <v>38</v>
      </c>
      <c r="O5498" s="1" t="s">
        <v>46</v>
      </c>
    </row>
    <row r="5499" spans="2:15" x14ac:dyDescent="0.3">
      <c r="B5499" s="1" t="s">
        <v>22</v>
      </c>
      <c r="C5499" s="1" t="str">
        <f>"1차"</f>
        <v>1차</v>
      </c>
      <c r="D5499" s="1" t="str">
        <f>"0130E42100"</f>
        <v>0130E42100</v>
      </c>
      <c r="E5499" s="1" t="s">
        <v>10</v>
      </c>
      <c r="F5499" s="1" t="str">
        <f>"10.107.124.73"</f>
        <v>10.107.124.73</v>
      </c>
      <c r="G5499" s="1" t="str">
        <f>"0130E421"</f>
        <v>0130E421</v>
      </c>
      <c r="H5499" s="1" t="str">
        <f>"선덕간 1"</f>
        <v>선덕간 1</v>
      </c>
      <c r="I5499" s="1" t="s">
        <v>8</v>
      </c>
      <c r="J5499" s="1" t="str">
        <f>"16/16"</f>
        <v>16/16</v>
      </c>
      <c r="K5499" s="1" t="str">
        <f>"2026-07-29 13:18:01"</f>
        <v>2026-07-29 13:18:01</v>
      </c>
      <c r="L5499" s="1" t="str">
        <f>"2015-01-15 17:11:56"</f>
        <v>2015-01-15 17:11:56</v>
      </c>
      <c r="M5499" s="1" t="s">
        <v>45</v>
      </c>
      <c r="N5499" s="1" t="s">
        <v>38</v>
      </c>
      <c r="O5499" s="1" t="s">
        <v>46</v>
      </c>
    </row>
    <row r="5500" spans="2:15" x14ac:dyDescent="0.3">
      <c r="B5500" s="1" t="s">
        <v>22</v>
      </c>
      <c r="C5500" s="1" t="str">
        <f>"1차"</f>
        <v>1차</v>
      </c>
      <c r="D5500" s="1" t="str">
        <f>"0130E43200"</f>
        <v>0130E43200</v>
      </c>
      <c r="E5500" s="1" t="s">
        <v>10</v>
      </c>
      <c r="F5500" s="1" t="str">
        <f>"10.107.124.113"</f>
        <v>10.107.124.113</v>
      </c>
      <c r="G5500" s="1" t="str">
        <f>"0130E432"</f>
        <v>0130E432</v>
      </c>
      <c r="H5500" s="1" t="str">
        <f>"선덕간 1L3R4"</f>
        <v>선덕간 1L3R4</v>
      </c>
      <c r="I5500" s="1" t="s">
        <v>8</v>
      </c>
      <c r="J5500" s="1" t="str">
        <f>"6/6"</f>
        <v>6/6</v>
      </c>
      <c r="K5500" s="1" t="str">
        <f>"2026-07-29 13:18:01"</f>
        <v>2026-07-29 13:18:01</v>
      </c>
      <c r="L5500" s="1" t="str">
        <f>"2014-12-19 14:02:00"</f>
        <v>2014-12-19 14:02:00</v>
      </c>
      <c r="M5500" s="1" t="s">
        <v>45</v>
      </c>
      <c r="N5500" s="1" t="s">
        <v>38</v>
      </c>
      <c r="O5500" s="1" t="s">
        <v>46</v>
      </c>
    </row>
    <row r="5501" spans="2:15" x14ac:dyDescent="0.3">
      <c r="B5501" s="1" t="s">
        <v>22</v>
      </c>
      <c r="C5501" s="1" t="str">
        <f>"1차"</f>
        <v>1차</v>
      </c>
      <c r="D5501" s="1" t="str">
        <f>"0130E44100"</f>
        <v>0130E44100</v>
      </c>
      <c r="E5501" s="1" t="s">
        <v>10</v>
      </c>
      <c r="F5501" s="1" t="str">
        <f>"10.107.121.162"</f>
        <v>10.107.121.162</v>
      </c>
      <c r="G5501" s="1" t="str">
        <f>"0130E441"</f>
        <v>0130E441</v>
      </c>
      <c r="H5501" s="1" t="str">
        <f>"선덕간 4L2L3"</f>
        <v>선덕간 4L2L3</v>
      </c>
      <c r="I5501" s="1" t="s">
        <v>8</v>
      </c>
      <c r="J5501" s="1" t="str">
        <f>"2/2"</f>
        <v>2/2</v>
      </c>
      <c r="K5501" s="1" t="str">
        <f>"2026-07-29 13:18:01"</f>
        <v>2026-07-29 13:18:01</v>
      </c>
      <c r="L5501" s="1" t="str">
        <f>"2014-12-19 11:43:31"</f>
        <v>2014-12-19 11:43:31</v>
      </c>
      <c r="M5501" s="1" t="s">
        <v>45</v>
      </c>
      <c r="N5501" s="1" t="s">
        <v>38</v>
      </c>
      <c r="O5501" s="1" t="s">
        <v>46</v>
      </c>
    </row>
    <row r="5502" spans="2:15" x14ac:dyDescent="0.3">
      <c r="B5502" s="1" t="s">
        <v>22</v>
      </c>
      <c r="C5502" s="1" t="str">
        <f>"1차"</f>
        <v>1차</v>
      </c>
      <c r="D5502" s="1" t="str">
        <f>"0130E46100"</f>
        <v>0130E46100</v>
      </c>
      <c r="E5502" s="1" t="s">
        <v>10</v>
      </c>
      <c r="F5502" s="1" t="str">
        <f>"10.107.121.163"</f>
        <v>10.107.121.163</v>
      </c>
      <c r="G5502" s="1" t="str">
        <f>"0130E461"</f>
        <v>0130E461</v>
      </c>
      <c r="H5502" s="1" t="str">
        <f>"선덕간 4L4"</f>
        <v>선덕간 4L4</v>
      </c>
      <c r="I5502" s="1" t="s">
        <v>8</v>
      </c>
      <c r="J5502" s="1" t="str">
        <f>"51/54"</f>
        <v>51/54</v>
      </c>
      <c r="K5502" s="1" t="str">
        <f>"2026-07-29 13:18:01"</f>
        <v>2026-07-29 13:18:01</v>
      </c>
      <c r="L5502" s="1" t="str">
        <f>"2014-12-19 11:42:50"</f>
        <v>2014-12-19 11:42:50</v>
      </c>
      <c r="M5502" s="1" t="s">
        <v>45</v>
      </c>
      <c r="N5502" s="1" t="s">
        <v>38</v>
      </c>
      <c r="O5502" s="1" t="s">
        <v>46</v>
      </c>
    </row>
    <row r="5503" spans="2:15" x14ac:dyDescent="0.3">
      <c r="B5503" s="1" t="s">
        <v>22</v>
      </c>
      <c r="C5503" s="1" t="str">
        <f>"5-2차"</f>
        <v>5-2차</v>
      </c>
      <c r="D5503" s="1" t="str">
        <f>"0130E4845S"</f>
        <v>0130E4845S</v>
      </c>
      <c r="E5503" s="1" t="s">
        <v>10</v>
      </c>
      <c r="F5503" s="1" t="str">
        <f>"fde3:102:1410:4800:0:0:0:6"</f>
        <v>fde3:102:1410:4800:0:0:0:6</v>
      </c>
      <c r="G5503" s="1" t="str">
        <f>"0130E484"</f>
        <v>0130E484</v>
      </c>
      <c r="H5503" s="1" t="str">
        <f>"선덕간 4L10R3R1"</f>
        <v>선덕간 4L10R3R1</v>
      </c>
      <c r="I5503" s="1" t="s">
        <v>15</v>
      </c>
      <c r="J5503" s="1" t="str">
        <f>"41/41"</f>
        <v>41/41</v>
      </c>
      <c r="K5503" s="1" t="str">
        <f>"2026-07-29 14:20:42"</f>
        <v>2026-07-29 14:20:42</v>
      </c>
      <c r="L5503" s="1" t="str">
        <f>"2024-01-10 13:58:59"</f>
        <v>2024-01-10 13:58:59</v>
      </c>
      <c r="M5503" s="1" t="s">
        <v>45</v>
      </c>
      <c r="N5503" s="1" t="s">
        <v>38</v>
      </c>
      <c r="O5503" s="1" t="s">
        <v>46</v>
      </c>
    </row>
    <row r="5504" spans="2:15" x14ac:dyDescent="0.3">
      <c r="B5504" s="1" t="s">
        <v>22</v>
      </c>
      <c r="C5504" s="1" t="str">
        <f>"5-2차"</f>
        <v>5-2차</v>
      </c>
      <c r="D5504" s="1" t="str">
        <f>"0130E5445S"</f>
        <v>0130E5445S</v>
      </c>
      <c r="E5504" s="1" t="s">
        <v>10</v>
      </c>
      <c r="F5504" s="1" t="str">
        <f>"fde3:102:1410:4800:0:0:0:8"</f>
        <v>fde3:102:1410:4800:0:0:0:8</v>
      </c>
      <c r="G5504" s="1" t="str">
        <f>"0130E544"</f>
        <v>0130E544</v>
      </c>
      <c r="H5504" s="1" t="str">
        <f>"선덕간 4L2L2"</f>
        <v>선덕간 4L2L2</v>
      </c>
      <c r="I5504" s="1" t="s">
        <v>15</v>
      </c>
      <c r="J5504" s="1" t="str">
        <f>"58/58"</f>
        <v>58/58</v>
      </c>
      <c r="K5504" s="1" t="str">
        <f>"2026-07-29 14:20:17"</f>
        <v>2026-07-29 14:20:17</v>
      </c>
      <c r="L5504" s="1" t="str">
        <f>"2024-01-10 14:00:38"</f>
        <v>2024-01-10 14:00:38</v>
      </c>
      <c r="M5504" s="1" t="s">
        <v>45</v>
      </c>
      <c r="N5504" s="1" t="s">
        <v>38</v>
      </c>
      <c r="O5504" s="1" t="s">
        <v>46</v>
      </c>
    </row>
    <row r="5505" spans="2:15" x14ac:dyDescent="0.3">
      <c r="B5505" s="1" t="s">
        <v>22</v>
      </c>
      <c r="C5505" s="1" t="str">
        <f>"5-2차"</f>
        <v>5-2차</v>
      </c>
      <c r="D5505" s="1" t="str">
        <f>"0130E5925M"</f>
        <v>0130E5925M</v>
      </c>
      <c r="E5505" s="1" t="s">
        <v>10</v>
      </c>
      <c r="F5505" s="1" t="str">
        <f>"fde3:102:1410:4800:0:0:0:2"</f>
        <v>fde3:102:1410:4800:0:0:0:2</v>
      </c>
      <c r="G5505" s="1" t="str">
        <f>"0130E592"</f>
        <v>0130E592</v>
      </c>
      <c r="H5505" s="1" t="str">
        <f>"선덕간 4L10R11"</f>
        <v>선덕간 4L10R11</v>
      </c>
      <c r="I5505" s="1" t="s">
        <v>15</v>
      </c>
      <c r="J5505" s="1" t="str">
        <f>"97/97"</f>
        <v>97/97</v>
      </c>
      <c r="K5505" s="1" t="str">
        <f>"2026-07-29 14:20:42"</f>
        <v>2026-07-29 14:20:42</v>
      </c>
      <c r="L5505" s="1" t="str">
        <f>"2024-01-10 13:56:38"</f>
        <v>2024-01-10 13:56:38</v>
      </c>
      <c r="M5505" s="1" t="s">
        <v>45</v>
      </c>
      <c r="N5505" s="1" t="s">
        <v>38</v>
      </c>
      <c r="O5505" s="1" t="s">
        <v>46</v>
      </c>
    </row>
    <row r="5506" spans="2:15" x14ac:dyDescent="0.3">
      <c r="B5506" s="1" t="s">
        <v>22</v>
      </c>
      <c r="C5506" s="1" t="str">
        <f>"1차"</f>
        <v>1차</v>
      </c>
      <c r="D5506" s="1" t="str">
        <f>"0130E66300"</f>
        <v>0130E66300</v>
      </c>
      <c r="E5506" s="1" t="s">
        <v>12</v>
      </c>
      <c r="F5506" s="1" t="str">
        <f>"10.107.121.167"</f>
        <v>10.107.121.167</v>
      </c>
      <c r="G5506" s="1" t="str">
        <f>"0130E663"</f>
        <v>0130E663</v>
      </c>
      <c r="H5506" s="1" t="str">
        <f>"선덕간 4L2R2"</f>
        <v>선덕간 4L2R2</v>
      </c>
      <c r="I5506" s="1" t="s">
        <v>8</v>
      </c>
      <c r="J5506" s="1" t="str">
        <f>"0/31"</f>
        <v>0/31</v>
      </c>
      <c r="K5506" s="1" t="str">
        <f>"2026-07-29 07:18:02"</f>
        <v>2026-07-29 07:18:02</v>
      </c>
      <c r="L5506" s="1" t="str">
        <f>"2014-12-19 11:57:45"</f>
        <v>2014-12-19 11:57:45</v>
      </c>
      <c r="M5506" s="1" t="s">
        <v>45</v>
      </c>
      <c r="N5506" s="1" t="s">
        <v>38</v>
      </c>
      <c r="O5506" s="1" t="s">
        <v>46</v>
      </c>
    </row>
    <row r="5507" spans="2:15" x14ac:dyDescent="0.3">
      <c r="B5507" s="1" t="s">
        <v>22</v>
      </c>
      <c r="C5507" s="1" t="str">
        <f>"5-1차"</f>
        <v>5-1차</v>
      </c>
      <c r="D5507" s="1" t="str">
        <f>"0130E7415S"</f>
        <v>0130E7415S</v>
      </c>
      <c r="E5507" s="1" t="s">
        <v>10</v>
      </c>
      <c r="F5507" s="1" t="str">
        <f>"fde2:104:0:14d:0:0:0:2"</f>
        <v>fde2:104:0:14d:0:0:0:2</v>
      </c>
      <c r="G5507" s="1" t="str">
        <f>"0130E741"</f>
        <v>0130E741</v>
      </c>
      <c r="H5507" s="1" t="str">
        <f>"쌍문간 31L5L4"</f>
        <v>쌍문간 31L5L4</v>
      </c>
      <c r="I5507" s="1" t="s">
        <v>15</v>
      </c>
      <c r="J5507" s="1" t="str">
        <f>"67/67"</f>
        <v>67/67</v>
      </c>
      <c r="K5507" s="1" t="str">
        <f>"2026-07-29 14:20:44"</f>
        <v>2026-07-29 14:20:44</v>
      </c>
      <c r="L5507" s="1" t="str">
        <f>"2022-10-06 09:52:27"</f>
        <v>2022-10-06 09:52:27</v>
      </c>
      <c r="M5507" s="1" t="s">
        <v>42</v>
      </c>
      <c r="N5507" s="1" t="s">
        <v>38</v>
      </c>
      <c r="O5507" s="1" t="s">
        <v>46</v>
      </c>
    </row>
    <row r="5508" spans="2:15" x14ac:dyDescent="0.3">
      <c r="B5508" s="1" t="s">
        <v>22</v>
      </c>
      <c r="C5508" s="1" t="str">
        <f>"5-2차"</f>
        <v>5-2차</v>
      </c>
      <c r="D5508" s="1" t="str">
        <f>"0130E7515M"</f>
        <v>0130E7515M</v>
      </c>
      <c r="E5508" s="1" t="s">
        <v>10</v>
      </c>
      <c r="F5508" s="1" t="str">
        <f>"fde1:103:4:913a:0:0:0:2"</f>
        <v>fde1:103:4:913a:0:0:0:2</v>
      </c>
      <c r="G5508" s="1" t="str">
        <f>"0130E751"</f>
        <v>0130E751</v>
      </c>
      <c r="H5508" s="1" t="str">
        <f>"쌍문간 31L2"</f>
        <v>쌍문간 31L2</v>
      </c>
      <c r="I5508" s="1" t="s">
        <v>15</v>
      </c>
      <c r="J5508" s="1" t="str">
        <f>"81/81"</f>
        <v>81/81</v>
      </c>
      <c r="K5508" s="1" t="str">
        <f>"2026-07-29 14:20:26"</f>
        <v>2026-07-29 14:20:26</v>
      </c>
      <c r="L5508" s="1" t="str">
        <f>"2023-12-27 10:35:09"</f>
        <v>2023-12-27 10:35:09</v>
      </c>
      <c r="M5508" s="1" t="s">
        <v>4</v>
      </c>
      <c r="N5508" s="1" t="s">
        <v>38</v>
      </c>
      <c r="O5508" s="1" t="s">
        <v>46</v>
      </c>
    </row>
    <row r="5509" spans="2:15" x14ac:dyDescent="0.3">
      <c r="B5509" s="1" t="s">
        <v>22</v>
      </c>
      <c r="C5509" s="1" t="str">
        <f>"1차"</f>
        <v>1차</v>
      </c>
      <c r="D5509" s="1" t="str">
        <f>"0130E83100"</f>
        <v>0130E83100</v>
      </c>
      <c r="E5509" s="1" t="s">
        <v>10</v>
      </c>
      <c r="F5509" s="1" t="str">
        <f>"10.107.249.37"</f>
        <v>10.107.249.37</v>
      </c>
      <c r="G5509" s="1" t="str">
        <f>"0130E831"</f>
        <v>0130E831</v>
      </c>
      <c r="H5509" s="1" t="str">
        <f>"쌍문간 28L9"</f>
        <v>쌍문간 28L9</v>
      </c>
      <c r="I5509" s="1" t="s">
        <v>8</v>
      </c>
      <c r="J5509" s="1" t="str">
        <f>"87/87"</f>
        <v>87/87</v>
      </c>
      <c r="K5509" s="1" t="str">
        <f>"2026-07-29 13:18:01"</f>
        <v>2026-07-29 13:18:01</v>
      </c>
      <c r="L5509" s="1" t="str">
        <f>"2015-01-02 17:57:44"</f>
        <v>2015-01-02 17:57:44</v>
      </c>
      <c r="M5509" s="1" t="s">
        <v>45</v>
      </c>
      <c r="N5509" s="1" t="s">
        <v>38</v>
      </c>
      <c r="O5509" s="1" t="s">
        <v>46</v>
      </c>
    </row>
    <row r="5510" spans="2:15" x14ac:dyDescent="0.3">
      <c r="B5510" s="1" t="s">
        <v>22</v>
      </c>
      <c r="C5510" s="1" t="str">
        <f>"5-1차"</f>
        <v>5-1차</v>
      </c>
      <c r="D5510" s="1" t="str">
        <f>"0130E8415M"</f>
        <v>0130E8415M</v>
      </c>
      <c r="E5510" s="1" t="s">
        <v>10</v>
      </c>
      <c r="F5510" s="1" t="str">
        <f>"fde3:102:1420:6200:0:0:0:4"</f>
        <v>fde3:102:1420:6200:0:0:0:4</v>
      </c>
      <c r="G5510" s="1" t="str">
        <f>"0130E841"</f>
        <v>0130E841</v>
      </c>
      <c r="H5510" s="1" t="str">
        <f>"쌍문간 28L4R1"</f>
        <v>쌍문간 28L4R1</v>
      </c>
      <c r="I5510" s="1" t="s">
        <v>15</v>
      </c>
      <c r="J5510" s="1" t="str">
        <f>"67/68"</f>
        <v>67/68</v>
      </c>
      <c r="K5510" s="1" t="str">
        <f>"2026-07-29 14:20:53"</f>
        <v>2026-07-29 14:20:53</v>
      </c>
      <c r="L5510" s="1" t="str">
        <f>"2022-11-18 14:55:02"</f>
        <v>2022-11-18 14:55:02</v>
      </c>
      <c r="M5510" s="1" t="s">
        <v>45</v>
      </c>
      <c r="N5510" s="1" t="s">
        <v>38</v>
      </c>
      <c r="O5510" s="1" t="s">
        <v>46</v>
      </c>
    </row>
    <row r="5511" spans="2:15" x14ac:dyDescent="0.3">
      <c r="B5511" s="1" t="s">
        <v>22</v>
      </c>
      <c r="C5511" s="1" t="str">
        <f>"5-2차"</f>
        <v>5-2차</v>
      </c>
      <c r="D5511" s="1" t="str">
        <f>"0130E8925M"</f>
        <v>0130E8925M</v>
      </c>
      <c r="E5511" s="1" t="s">
        <v>10</v>
      </c>
      <c r="F5511" s="1" t="str">
        <f>"fde1:103:4:915c:0:0:0:2"</f>
        <v>fde1:103:4:915c:0:0:0:2</v>
      </c>
      <c r="G5511" s="1" t="str">
        <f>"0130E892"</f>
        <v>0130E892</v>
      </c>
      <c r="H5511" s="1" t="str">
        <f>"자연간 2L1"</f>
        <v>자연간 2L1</v>
      </c>
      <c r="I5511" s="1" t="s">
        <v>15</v>
      </c>
      <c r="J5511" s="1" t="str">
        <f>"94/94"</f>
        <v>94/94</v>
      </c>
      <c r="K5511" s="1" t="str">
        <f>"2026-07-29 14:20:43"</f>
        <v>2026-07-29 14:20:43</v>
      </c>
      <c r="L5511" s="1" t="str">
        <f>"2024-01-12 09:47:21"</f>
        <v>2024-01-12 09:47:21</v>
      </c>
      <c r="M5511" s="1" t="s">
        <v>4</v>
      </c>
      <c r="N5511" s="1" t="s">
        <v>38</v>
      </c>
      <c r="O5511" s="1" t="s">
        <v>46</v>
      </c>
    </row>
    <row r="5512" spans="2:15" x14ac:dyDescent="0.3">
      <c r="B5512" s="1" t="s">
        <v>22</v>
      </c>
      <c r="C5512" s="1" t="str">
        <f>"5-1차"</f>
        <v>5-1차</v>
      </c>
      <c r="D5512" s="1" t="str">
        <f>"0130E9325M"</f>
        <v>0130E9325M</v>
      </c>
      <c r="E5512" s="1" t="s">
        <v>10</v>
      </c>
      <c r="F5512" s="1" t="str">
        <f>"fde3:102:1420:6200:0:0:0:5"</f>
        <v>fde3:102:1420:6200:0:0:0:5</v>
      </c>
      <c r="G5512" s="1" t="str">
        <f>"0130E932"</f>
        <v>0130E932</v>
      </c>
      <c r="H5512" s="1" t="str">
        <f>"쌍문간 28L4"</f>
        <v>쌍문간 28L4</v>
      </c>
      <c r="I5512" s="1" t="s">
        <v>15</v>
      </c>
      <c r="J5512" s="1" t="str">
        <f>"38/40"</f>
        <v>38/40</v>
      </c>
      <c r="K5512" s="1" t="str">
        <f>"2026-07-29 14:20:43"</f>
        <v>2026-07-29 14:20:43</v>
      </c>
      <c r="L5512" s="1" t="str">
        <f>"2022-11-18 15:05:35"</f>
        <v>2022-11-18 15:05:35</v>
      </c>
      <c r="M5512" s="1" t="s">
        <v>45</v>
      </c>
      <c r="N5512" s="1" t="s">
        <v>38</v>
      </c>
      <c r="O5512" s="1" t="s">
        <v>46</v>
      </c>
    </row>
    <row r="5513" spans="2:15" x14ac:dyDescent="0.3">
      <c r="B5513" s="1" t="s">
        <v>22</v>
      </c>
      <c r="C5513" s="1" t="str">
        <f>"5-1차"</f>
        <v>5-1차</v>
      </c>
      <c r="D5513" s="1" t="str">
        <f>"0130E9415S"</f>
        <v>0130E9415S</v>
      </c>
      <c r="E5513" s="1" t="s">
        <v>10</v>
      </c>
      <c r="F5513" s="1" t="str">
        <f>"fde3:102:1420:6200:0:0:0:6"</f>
        <v>fde3:102:1420:6200:0:0:0:6</v>
      </c>
      <c r="G5513" s="1" t="str">
        <f>"0130E941"</f>
        <v>0130E941</v>
      </c>
      <c r="H5513" s="1" t="str">
        <f>"쌍문간 28L2"</f>
        <v>쌍문간 28L2</v>
      </c>
      <c r="I5513" s="1" t="s">
        <v>15</v>
      </c>
      <c r="J5513" s="1" t="str">
        <f>"52/52"</f>
        <v>52/52</v>
      </c>
      <c r="K5513" s="1" t="str">
        <f>"2026-07-29 14:20:18"</f>
        <v>2026-07-29 14:20:18</v>
      </c>
      <c r="L5513" s="1" t="str">
        <f>"2022-11-18 15:26:27"</f>
        <v>2022-11-18 15:26:27</v>
      </c>
      <c r="M5513" s="1" t="s">
        <v>45</v>
      </c>
      <c r="N5513" s="1" t="s">
        <v>38</v>
      </c>
      <c r="O5513" s="1" t="s">
        <v>46</v>
      </c>
    </row>
    <row r="5514" spans="2:15" x14ac:dyDescent="0.3">
      <c r="B5514" s="1" t="s">
        <v>22</v>
      </c>
      <c r="C5514" s="1" t="str">
        <f>"5-1차"</f>
        <v>5-1차</v>
      </c>
      <c r="D5514" s="1" t="str">
        <f>"0130E9425S"</f>
        <v>0130E9425S</v>
      </c>
      <c r="E5514" s="1" t="s">
        <v>10</v>
      </c>
      <c r="F5514" s="1" t="str">
        <f>"fde3:102:1420:6200:0:0:0:3"</f>
        <v>fde3:102:1420:6200:0:0:0:3</v>
      </c>
      <c r="G5514" s="1" t="str">
        <f>"0130E942"</f>
        <v>0130E942</v>
      </c>
      <c r="H5514" s="1" t="str">
        <f>"쌍문간 28L3"</f>
        <v>쌍문간 28L3</v>
      </c>
      <c r="I5514" s="1" t="s">
        <v>15</v>
      </c>
      <c r="J5514" s="1" t="str">
        <f>"52/54"</f>
        <v>52/54</v>
      </c>
      <c r="K5514" s="1" t="str">
        <f>"2026-07-29 14:20:19"</f>
        <v>2026-07-29 14:20:19</v>
      </c>
      <c r="L5514" s="1" t="str">
        <f>"2022-10-31 19:19:11"</f>
        <v>2022-10-31 19:19:11</v>
      </c>
      <c r="M5514" s="1" t="s">
        <v>45</v>
      </c>
      <c r="N5514" s="1" t="s">
        <v>38</v>
      </c>
      <c r="O5514" s="1" t="s">
        <v>46</v>
      </c>
    </row>
    <row r="5515" spans="2:15" x14ac:dyDescent="0.3">
      <c r="B5515" s="1" t="s">
        <v>22</v>
      </c>
      <c r="C5515" s="1" t="str">
        <f>"5-1차"</f>
        <v>5-1차</v>
      </c>
      <c r="D5515" s="1" t="str">
        <f>"0130E9625M"</f>
        <v>0130E9625M</v>
      </c>
      <c r="E5515" s="1" t="s">
        <v>10</v>
      </c>
      <c r="F5515" s="1" t="str">
        <f>"fde3:102:1420:6200:0:0:0:7"</f>
        <v>fde3:102:1420:6200:0:0:0:7</v>
      </c>
      <c r="G5515" s="1" t="str">
        <f>"0130E962"</f>
        <v>0130E962</v>
      </c>
      <c r="H5515" s="1" t="str">
        <f>"쌍문간 29"</f>
        <v>쌍문간 29</v>
      </c>
      <c r="I5515" s="1" t="s">
        <v>15</v>
      </c>
      <c r="J5515" s="1" t="str">
        <f>"56/56"</f>
        <v>56/56</v>
      </c>
      <c r="K5515" s="1" t="str">
        <f>"2026-07-29 14:20:19"</f>
        <v>2026-07-29 14:20:19</v>
      </c>
      <c r="L5515" s="1" t="str">
        <f>"2022-11-18 15:32:46"</f>
        <v>2022-11-18 15:32:46</v>
      </c>
      <c r="M5515" s="1" t="s">
        <v>45</v>
      </c>
      <c r="N5515" s="1" t="s">
        <v>38</v>
      </c>
      <c r="O5515" s="1" t="s">
        <v>46</v>
      </c>
    </row>
    <row r="5516" spans="2:15" x14ac:dyDescent="0.3">
      <c r="B5516" s="1" t="s">
        <v>22</v>
      </c>
      <c r="C5516" s="1" t="str">
        <f>"5-2차"</f>
        <v>5-2차</v>
      </c>
      <c r="D5516" s="1" t="str">
        <f>"0130F0215M"</f>
        <v>0130F0215M</v>
      </c>
      <c r="E5516" s="1" t="s">
        <v>10</v>
      </c>
      <c r="F5516" s="1" t="str">
        <f>"fde3:102:1420:6200:0:0:0:10"</f>
        <v>fde3:102:1420:6200:0:0:0:10</v>
      </c>
      <c r="G5516" s="1" t="str">
        <f>"0130F021"</f>
        <v>0130F021</v>
      </c>
      <c r="H5516" s="1" t="str">
        <f>"쌍문간 28L6L1"</f>
        <v>쌍문간 28L6L1</v>
      </c>
      <c r="I5516" s="1" t="s">
        <v>15</v>
      </c>
      <c r="J5516" s="1" t="str">
        <f>"84/84"</f>
        <v>84/84</v>
      </c>
      <c r="K5516" s="1" t="str">
        <f>"2026-07-29 14:20:43"</f>
        <v>2026-07-29 14:20:43</v>
      </c>
      <c r="L5516" s="1" t="str">
        <f>"2024-01-05 08:54:31"</f>
        <v>2024-01-05 08:54:31</v>
      </c>
      <c r="M5516" s="1" t="s">
        <v>45</v>
      </c>
      <c r="N5516" s="1" t="s">
        <v>38</v>
      </c>
      <c r="O5516" s="1" t="s">
        <v>46</v>
      </c>
    </row>
    <row r="5517" spans="2:15" x14ac:dyDescent="0.3">
      <c r="B5517" s="1" t="s">
        <v>22</v>
      </c>
      <c r="C5517" s="1" t="str">
        <f>"4차"</f>
        <v>4차</v>
      </c>
      <c r="D5517" s="1" t="str">
        <f>"0130F03121"</f>
        <v>0130F03121</v>
      </c>
      <c r="E5517" s="1" t="s">
        <v>10</v>
      </c>
      <c r="F5517" s="1" t="str">
        <f>"10.107.249.39"</f>
        <v>10.107.249.39</v>
      </c>
      <c r="G5517" s="1" t="str">
        <f>"0130F031"</f>
        <v>0130F031</v>
      </c>
      <c r="H5517" s="1" t="str">
        <f>"쌍문간 28L5A1"</f>
        <v>쌍문간 28L5A1</v>
      </c>
      <c r="I5517" s="1" t="s">
        <v>8</v>
      </c>
      <c r="J5517" s="1" t="str">
        <f>"38/38"</f>
        <v>38/38</v>
      </c>
      <c r="K5517" s="1" t="str">
        <f>"2026-07-29 13:18:02"</f>
        <v>2026-07-29 13:18:02</v>
      </c>
      <c r="L5517" s="1" t="str">
        <f>"2017-07-04 09:55:52"</f>
        <v>2017-07-04 09:55:52</v>
      </c>
      <c r="M5517" s="1" t="s">
        <v>45</v>
      </c>
      <c r="N5517" s="1" t="s">
        <v>38</v>
      </c>
      <c r="O5517" s="1" t="s">
        <v>46</v>
      </c>
    </row>
    <row r="5518" spans="2:15" x14ac:dyDescent="0.3">
      <c r="B5518" s="1" t="s">
        <v>22</v>
      </c>
      <c r="C5518" s="1" t="str">
        <f>"2차"</f>
        <v>2차</v>
      </c>
      <c r="D5518" s="1" t="str">
        <f>"0130F03220"</f>
        <v>0130F03220</v>
      </c>
      <c r="E5518" s="1" t="s">
        <v>10</v>
      </c>
      <c r="F5518" s="1" t="str">
        <f>"10.107.249.38"</f>
        <v>10.107.249.38</v>
      </c>
      <c r="G5518" s="1" t="str">
        <f>"0130F032"</f>
        <v>0130F032</v>
      </c>
      <c r="H5518" s="1" t="str">
        <f>"쌍문간 28L5"</f>
        <v>쌍문간 28L5</v>
      </c>
      <c r="I5518" s="1" t="s">
        <v>8</v>
      </c>
      <c r="J5518" s="1" t="str">
        <f>"27/27"</f>
        <v>27/27</v>
      </c>
      <c r="K5518" s="1" t="str">
        <f>"2026-07-29 13:18:01"</f>
        <v>2026-07-29 13:18:01</v>
      </c>
      <c r="L5518" s="1" t="str">
        <f>"2017-07-04 10:00:07"</f>
        <v>2017-07-04 10:00:07</v>
      </c>
      <c r="M5518" s="1" t="s">
        <v>45</v>
      </c>
      <c r="N5518" s="1" t="s">
        <v>38</v>
      </c>
      <c r="O5518" s="1" t="s">
        <v>46</v>
      </c>
    </row>
    <row r="5519" spans="2:15" x14ac:dyDescent="0.3">
      <c r="B5519" s="1" t="s">
        <v>22</v>
      </c>
      <c r="C5519" s="1" t="str">
        <f>"2차"</f>
        <v>2차</v>
      </c>
      <c r="D5519" s="1" t="str">
        <f>"0130F03422"</f>
        <v>0130F03422</v>
      </c>
      <c r="E5519" s="1" t="s">
        <v>10</v>
      </c>
      <c r="F5519" s="1" t="str">
        <f>"10.107.249.40"</f>
        <v>10.107.249.40</v>
      </c>
      <c r="G5519" s="1" t="str">
        <f>"0130F034"</f>
        <v>0130F034</v>
      </c>
      <c r="H5519" s="1" t="str">
        <f>"쌍문간 28L5C1"</f>
        <v>쌍문간 28L5C1</v>
      </c>
      <c r="I5519" s="1" t="s">
        <v>8</v>
      </c>
      <c r="J5519" s="1" t="str">
        <f>"124/124"</f>
        <v>124/124</v>
      </c>
      <c r="K5519" s="1" t="str">
        <f>"2026-07-29 13:18:01"</f>
        <v>2026-07-29 13:18:01</v>
      </c>
      <c r="L5519" s="1" t="str">
        <f>"2017-07-04 10:06:07"</f>
        <v>2017-07-04 10:06:07</v>
      </c>
      <c r="M5519" s="1" t="s">
        <v>45</v>
      </c>
      <c r="N5519" s="1" t="s">
        <v>38</v>
      </c>
      <c r="O5519" s="1" t="s">
        <v>46</v>
      </c>
    </row>
    <row r="5520" spans="2:15" x14ac:dyDescent="0.3">
      <c r="B5520" s="1" t="s">
        <v>22</v>
      </c>
      <c r="C5520" s="1" t="str">
        <f>"5-1차"</f>
        <v>5-1차</v>
      </c>
      <c r="D5520" s="1" t="str">
        <f>"0130F0515S"</f>
        <v>0130F0515S</v>
      </c>
      <c r="E5520" s="1" t="s">
        <v>10</v>
      </c>
      <c r="F5520" s="1" t="str">
        <f>"fde3:102:1420:6200:0:0:0:8"</f>
        <v>fde3:102:1420:6200:0:0:0:8</v>
      </c>
      <c r="G5520" s="1" t="str">
        <f>"0130F051"</f>
        <v>0130F051</v>
      </c>
      <c r="H5520" s="1" t="str">
        <f>"쌍문간 28L1"</f>
        <v>쌍문간 28L1</v>
      </c>
      <c r="I5520" s="1" t="s">
        <v>15</v>
      </c>
      <c r="J5520" s="1" t="str">
        <f>"54/54"</f>
        <v>54/54</v>
      </c>
      <c r="K5520" s="1" t="str">
        <f>"2026-07-29 14:20:43"</f>
        <v>2026-07-29 14:20:43</v>
      </c>
      <c r="L5520" s="1" t="str">
        <f>"2022-11-18 15:24:46"</f>
        <v>2022-11-18 15:24:46</v>
      </c>
      <c r="M5520" s="1" t="s">
        <v>45</v>
      </c>
      <c r="N5520" s="1" t="s">
        <v>38</v>
      </c>
      <c r="O5520" s="1" t="s">
        <v>46</v>
      </c>
    </row>
    <row r="5521" spans="2:15" x14ac:dyDescent="0.3">
      <c r="B5521" s="1" t="s">
        <v>22</v>
      </c>
      <c r="C5521" s="1" t="str">
        <f>"5-2차"</f>
        <v>5-2차</v>
      </c>
      <c r="D5521" s="1" t="str">
        <f>"0130F0625S"</f>
        <v>0130F0625S</v>
      </c>
      <c r="E5521" s="1" t="s">
        <v>10</v>
      </c>
      <c r="F5521" s="1" t="str">
        <f>"fde3:102:1420:6200:0:0:0:f"</f>
        <v>fde3:102:1420:6200:0:0:0:f</v>
      </c>
      <c r="G5521" s="1" t="str">
        <f>"0130F062"</f>
        <v>0130F062</v>
      </c>
      <c r="H5521" s="1" t="str">
        <f>"쌍문간 28R1"</f>
        <v>쌍문간 28R1</v>
      </c>
      <c r="I5521" s="1" t="s">
        <v>15</v>
      </c>
      <c r="J5521" s="1" t="str">
        <f>"104/104"</f>
        <v>104/104</v>
      </c>
      <c r="K5521" s="1" t="str">
        <f>"2026-07-29 14:20:25"</f>
        <v>2026-07-29 14:20:25</v>
      </c>
      <c r="L5521" s="1" t="str">
        <f>"2024-01-05 08:22:03"</f>
        <v>2024-01-05 08:22:03</v>
      </c>
      <c r="M5521" s="1" t="s">
        <v>45</v>
      </c>
      <c r="N5521" s="1" t="s">
        <v>38</v>
      </c>
      <c r="O5521" s="1" t="s">
        <v>46</v>
      </c>
    </row>
    <row r="5522" spans="2:15" x14ac:dyDescent="0.3">
      <c r="B5522" s="1" t="s">
        <v>22</v>
      </c>
      <c r="C5522" s="1" t="str">
        <f>"5-2차"</f>
        <v>5-2차</v>
      </c>
      <c r="D5522" s="1" t="str">
        <f>"0130F1055M"</f>
        <v>0130F1055M</v>
      </c>
      <c r="E5522" s="1" t="s">
        <v>10</v>
      </c>
      <c r="F5522" s="1" t="str">
        <f>"fde3:102:1420:6400:0:0:0:a"</f>
        <v>fde3:102:1420:6400:0:0:0:a</v>
      </c>
      <c r="G5522" s="1" t="str">
        <f>"0130F105"</f>
        <v>0130F105</v>
      </c>
      <c r="H5522" s="1" t="str">
        <f>"쌍문간 20"</f>
        <v>쌍문간 20</v>
      </c>
      <c r="I5522" s="1" t="s">
        <v>15</v>
      </c>
      <c r="J5522" s="1" t="str">
        <f>"81/81"</f>
        <v>81/81</v>
      </c>
      <c r="K5522" s="1" t="str">
        <f>"2026-07-29 14:20:48"</f>
        <v>2026-07-29 14:20:48</v>
      </c>
      <c r="L5522" s="1" t="str">
        <f>"2023-12-18 15:27:20"</f>
        <v>2023-12-18 15:27:20</v>
      </c>
      <c r="M5522" s="1" t="s">
        <v>45</v>
      </c>
      <c r="N5522" s="1" t="s">
        <v>38</v>
      </c>
      <c r="O5522" s="1" t="s">
        <v>46</v>
      </c>
    </row>
    <row r="5523" spans="2:15" x14ac:dyDescent="0.3">
      <c r="B5523" s="1" t="s">
        <v>22</v>
      </c>
      <c r="C5523" s="1" t="str">
        <f>"5-2차"</f>
        <v>5-2차</v>
      </c>
      <c r="D5523" s="1" t="str">
        <f>"0130F1115S"</f>
        <v>0130F1115S</v>
      </c>
      <c r="E5523" s="1" t="s">
        <v>10</v>
      </c>
      <c r="F5523" s="1" t="str">
        <f>"fde3:102:1420:6400:0:0:0:6"</f>
        <v>fde3:102:1420:6400:0:0:0:6</v>
      </c>
      <c r="G5523" s="1" t="str">
        <f>"0130F111"</f>
        <v>0130F111</v>
      </c>
      <c r="H5523" s="1" t="str">
        <f>"쌍문간 21L1"</f>
        <v>쌍문간 21L1</v>
      </c>
      <c r="I5523" s="1" t="s">
        <v>15</v>
      </c>
      <c r="J5523" s="1" t="str">
        <f>"91/91"</f>
        <v>91/91</v>
      </c>
      <c r="K5523" s="1" t="str">
        <f>"2026-07-29 14:20:43"</f>
        <v>2026-07-29 14:20:43</v>
      </c>
      <c r="L5523" s="1" t="str">
        <f>"2023-12-24 16:55:27"</f>
        <v>2023-12-24 16:55:27</v>
      </c>
      <c r="M5523" s="1" t="s">
        <v>45</v>
      </c>
      <c r="N5523" s="1" t="s">
        <v>38</v>
      </c>
      <c r="O5523" s="1" t="s">
        <v>46</v>
      </c>
    </row>
    <row r="5524" spans="2:15" x14ac:dyDescent="0.3">
      <c r="B5524" s="1" t="s">
        <v>22</v>
      </c>
      <c r="C5524" s="1" t="str">
        <f>"2차"</f>
        <v>2차</v>
      </c>
      <c r="D5524" s="1" t="str">
        <f>"0130F15121"</f>
        <v>0130F15121</v>
      </c>
      <c r="E5524" s="1" t="s">
        <v>10</v>
      </c>
      <c r="F5524" s="1" t="str">
        <f>"10.26.96.59"</f>
        <v>10.26.96.59</v>
      </c>
      <c r="G5524" s="1" t="str">
        <f>"0130F151"</f>
        <v>0130F151</v>
      </c>
      <c r="H5524" s="1" t="str">
        <f>"쌍문간 45R1R2"</f>
        <v>쌍문간 45R1R2</v>
      </c>
      <c r="I5524" s="1" t="s">
        <v>8</v>
      </c>
      <c r="J5524" s="1" t="str">
        <f>"113/115"</f>
        <v>113/115</v>
      </c>
      <c r="K5524" s="1" t="str">
        <f>"2026-07-29 13:18:02"</f>
        <v>2026-07-29 13:18:02</v>
      </c>
      <c r="L5524" s="1" t="str">
        <f>"2017-06-26 16:59:31"</f>
        <v>2017-06-26 16:59:31</v>
      </c>
      <c r="M5524" s="1" t="s">
        <v>45</v>
      </c>
      <c r="N5524" s="1" t="s">
        <v>38</v>
      </c>
      <c r="O5524" s="1" t="s">
        <v>46</v>
      </c>
    </row>
    <row r="5525" spans="2:15" x14ac:dyDescent="0.3">
      <c r="B5525" s="1" t="s">
        <v>22</v>
      </c>
      <c r="C5525" s="1" t="str">
        <f>"2차"</f>
        <v>2차</v>
      </c>
      <c r="D5525" s="1" t="str">
        <f>"0130F15221"</f>
        <v>0130F15221</v>
      </c>
      <c r="E5525" s="1" t="s">
        <v>10</v>
      </c>
      <c r="F5525" s="1" t="str">
        <f>"10.107.249.36"</f>
        <v>10.107.249.36</v>
      </c>
      <c r="G5525" s="1" t="str">
        <f>"0130F152"</f>
        <v>0130F152</v>
      </c>
      <c r="H5525" s="1" t="str">
        <f>"쌍문간 27"</f>
        <v>쌍문간 27</v>
      </c>
      <c r="I5525" s="1" t="s">
        <v>8</v>
      </c>
      <c r="J5525" s="1" t="str">
        <f>"43/43"</f>
        <v>43/43</v>
      </c>
      <c r="K5525" s="1" t="str">
        <f>"2026-07-29 13:18:02"</f>
        <v>2026-07-29 13:18:02</v>
      </c>
      <c r="L5525" s="1" t="str">
        <f>"2017-07-05 16:46:55"</f>
        <v>2017-07-05 16:46:55</v>
      </c>
      <c r="M5525" s="1" t="s">
        <v>45</v>
      </c>
      <c r="N5525" s="1" t="s">
        <v>38</v>
      </c>
      <c r="O5525" s="1" t="s">
        <v>46</v>
      </c>
    </row>
    <row r="5526" spans="2:15" x14ac:dyDescent="0.3">
      <c r="B5526" s="1" t="s">
        <v>22</v>
      </c>
      <c r="C5526" s="1" t="str">
        <f>"2차"</f>
        <v>2차</v>
      </c>
      <c r="D5526" s="1" t="str">
        <f>"0130F15420"</f>
        <v>0130F15420</v>
      </c>
      <c r="E5526" s="1" t="s">
        <v>10</v>
      </c>
      <c r="F5526" s="1" t="str">
        <f>"10.107.249.35"</f>
        <v>10.107.249.35</v>
      </c>
      <c r="G5526" s="1" t="str">
        <f>"0130F154"</f>
        <v>0130F154</v>
      </c>
      <c r="H5526" s="1" t="str">
        <f>"쌍문간 26"</f>
        <v>쌍문간 26</v>
      </c>
      <c r="I5526" s="1" t="s">
        <v>8</v>
      </c>
      <c r="J5526" s="1" t="str">
        <f>"80/80"</f>
        <v>80/80</v>
      </c>
      <c r="K5526" s="1" t="str">
        <f>"2026-07-29 13:18:02"</f>
        <v>2026-07-29 13:18:02</v>
      </c>
      <c r="L5526" s="1" t="str">
        <f>"2017-07-04 09:35:51"</f>
        <v>2017-07-04 09:35:51</v>
      </c>
      <c r="M5526" s="1" t="s">
        <v>45</v>
      </c>
      <c r="N5526" s="1" t="s">
        <v>38</v>
      </c>
      <c r="O5526" s="1" t="s">
        <v>46</v>
      </c>
    </row>
    <row r="5527" spans="2:15" x14ac:dyDescent="0.3">
      <c r="B5527" s="1" t="s">
        <v>22</v>
      </c>
      <c r="C5527" s="1" t="str">
        <f>"4차"</f>
        <v>4차</v>
      </c>
      <c r="D5527" s="1" t="str">
        <f>"0130F25120"</f>
        <v>0130F25120</v>
      </c>
      <c r="E5527" s="1" t="s">
        <v>10</v>
      </c>
      <c r="F5527" s="1" t="str">
        <f>"10.26.96.58"</f>
        <v>10.26.96.58</v>
      </c>
      <c r="G5527" s="1" t="str">
        <f>"0130F251"</f>
        <v>0130F251</v>
      </c>
      <c r="H5527" s="1" t="str">
        <f>"쌍문간 45R1R1"</f>
        <v>쌍문간 45R1R1</v>
      </c>
      <c r="I5527" s="1" t="s">
        <v>8</v>
      </c>
      <c r="J5527" s="1" t="str">
        <f>"65/69"</f>
        <v>65/69</v>
      </c>
      <c r="K5527" s="1" t="str">
        <f>"2026-07-29 13:18:01"</f>
        <v>2026-07-29 13:18:01</v>
      </c>
      <c r="L5527" s="1" t="str">
        <f>"2017-06-26 17:02:43"</f>
        <v>2017-06-26 17:02:43</v>
      </c>
      <c r="M5527" s="1" t="s">
        <v>45</v>
      </c>
      <c r="N5527" s="1" t="s">
        <v>38</v>
      </c>
      <c r="O5527" s="1" t="s">
        <v>46</v>
      </c>
    </row>
    <row r="5528" spans="2:15" x14ac:dyDescent="0.3">
      <c r="B5528" s="1" t="s">
        <v>22</v>
      </c>
      <c r="C5528" s="1" t="str">
        <f>"5-2차"</f>
        <v>5-2차</v>
      </c>
      <c r="D5528" s="1" t="str">
        <f>"0130F2715M"</f>
        <v>0130F2715M</v>
      </c>
      <c r="E5528" s="1" t="s">
        <v>10</v>
      </c>
      <c r="F5528" s="1" t="str">
        <f>"fde1:103:4:92da:0:0:0:2"</f>
        <v>fde1:103:4:92da:0:0:0:2</v>
      </c>
      <c r="G5528" s="1" t="str">
        <f>"0130F271"</f>
        <v>0130F271</v>
      </c>
      <c r="H5528" s="1" t="str">
        <f>"쌍문간 43R2"</f>
        <v>쌍문간 43R2</v>
      </c>
      <c r="I5528" s="1" t="s">
        <v>15</v>
      </c>
      <c r="J5528" s="1" t="str">
        <f>"155/159"</f>
        <v>155/159</v>
      </c>
      <c r="K5528" s="1" t="str">
        <f>"2026-07-29 14:20:58"</f>
        <v>2026-07-29 14:20:58</v>
      </c>
      <c r="L5528" s="1" t="str">
        <f>"2023-12-19 09:13:06"</f>
        <v>2023-12-19 09:13:06</v>
      </c>
      <c r="M5528" s="1" t="s">
        <v>4</v>
      </c>
      <c r="N5528" s="1" t="s">
        <v>38</v>
      </c>
      <c r="O5528" s="1" t="s">
        <v>46</v>
      </c>
    </row>
    <row r="5529" spans="2:15" x14ac:dyDescent="0.3">
      <c r="B5529" s="1" t="s">
        <v>22</v>
      </c>
      <c r="C5529" s="1" t="str">
        <f>"5-2차"</f>
        <v>5-2차</v>
      </c>
      <c r="D5529" s="1" t="str">
        <f>"0130F2915M"</f>
        <v>0130F2915M</v>
      </c>
      <c r="E5529" s="1" t="s">
        <v>10</v>
      </c>
      <c r="F5529" s="1" t="str">
        <f>"fde3:102:1420:6100:0:0:0:7"</f>
        <v>fde3:102:1420:6100:0:0:0:7</v>
      </c>
      <c r="G5529" s="1" t="str">
        <f>"0130F291"</f>
        <v>0130F291</v>
      </c>
      <c r="H5529" s="1" t="str">
        <f>"선덕간 12"</f>
        <v>선덕간 12</v>
      </c>
      <c r="I5529" s="1" t="s">
        <v>15</v>
      </c>
      <c r="J5529" s="1" t="str">
        <f>"45/45"</f>
        <v>45/45</v>
      </c>
      <c r="K5529" s="1" t="str">
        <f>"2026-07-29 14:20:27"</f>
        <v>2026-07-29 14:20:27</v>
      </c>
      <c r="L5529" s="1" t="str">
        <f>"2023-12-13 14:49:22"</f>
        <v>2023-12-13 14:49:22</v>
      </c>
      <c r="M5529" s="1" t="s">
        <v>45</v>
      </c>
      <c r="N5529" s="1" t="s">
        <v>38</v>
      </c>
      <c r="O5529" s="1" t="s">
        <v>46</v>
      </c>
    </row>
    <row r="5530" spans="2:15" x14ac:dyDescent="0.3">
      <c r="B5530" s="1" t="s">
        <v>22</v>
      </c>
      <c r="C5530" s="1" t="str">
        <f>"5-2차"</f>
        <v>5-2차</v>
      </c>
      <c r="D5530" s="1" t="str">
        <f>"0130F3025M"</f>
        <v>0130F3025M</v>
      </c>
      <c r="E5530" s="1" t="s">
        <v>10</v>
      </c>
      <c r="F5530" s="1" t="str">
        <f>"fde1:103:4:93f4:0:0:0:2"</f>
        <v>fde1:103:4:93f4:0:0:0:2</v>
      </c>
      <c r="G5530" s="1" t="str">
        <f>"0130F302"</f>
        <v>0130F302</v>
      </c>
      <c r="H5530" s="1" t="str">
        <f>"쌍문간 16H1"</f>
        <v>쌍문간 16H1</v>
      </c>
      <c r="I5530" s="1" t="s">
        <v>15</v>
      </c>
      <c r="J5530" s="1" t="str">
        <f>"47/47"</f>
        <v>47/47</v>
      </c>
      <c r="K5530" s="1" t="str">
        <f>"2026-07-29 14:20:19"</f>
        <v>2026-07-29 14:20:19</v>
      </c>
      <c r="L5530" s="1" t="str">
        <f>"2023-12-19 09:13:19"</f>
        <v>2023-12-19 09:13:19</v>
      </c>
      <c r="M5530" s="1" t="s">
        <v>4</v>
      </c>
      <c r="N5530" s="1" t="s">
        <v>38</v>
      </c>
      <c r="O5530" s="1" t="s">
        <v>46</v>
      </c>
    </row>
    <row r="5531" spans="2:15" x14ac:dyDescent="0.3">
      <c r="B5531" s="1" t="s">
        <v>22</v>
      </c>
      <c r="C5531" s="1" t="str">
        <f>"4차"</f>
        <v>4차</v>
      </c>
      <c r="D5531" s="1" t="str">
        <f>"0130F35120"</f>
        <v>0130F35120</v>
      </c>
      <c r="E5531" s="1" t="s">
        <v>10</v>
      </c>
      <c r="F5531" s="1" t="str">
        <f>"10.26.96.66"</f>
        <v>10.26.96.66</v>
      </c>
      <c r="G5531" s="1" t="str">
        <f>"0130F351"</f>
        <v>0130F351</v>
      </c>
      <c r="H5531" s="1" t="str">
        <f>"쌍문간 45R3"</f>
        <v>쌍문간 45R3</v>
      </c>
      <c r="I5531" s="1" t="s">
        <v>8</v>
      </c>
      <c r="J5531" s="1" t="str">
        <f>"27/27"</f>
        <v>27/27</v>
      </c>
      <c r="K5531" s="1" t="str">
        <f>"2026-07-29 13:18:02"</f>
        <v>2026-07-29 13:18:02</v>
      </c>
      <c r="L5531" s="1" t="str">
        <f>"2017-06-26 17:15:13"</f>
        <v>2017-06-26 17:15:13</v>
      </c>
      <c r="M5531" s="1" t="s">
        <v>45</v>
      </c>
      <c r="N5531" s="1" t="s">
        <v>38</v>
      </c>
      <c r="O5531" s="1" t="s">
        <v>46</v>
      </c>
    </row>
    <row r="5532" spans="2:15" x14ac:dyDescent="0.3">
      <c r="B5532" s="1" t="s">
        <v>22</v>
      </c>
      <c r="C5532" s="1" t="str">
        <f>"5-2차"</f>
        <v>5-2차</v>
      </c>
      <c r="D5532" s="1" t="str">
        <f>"0130F3615M"</f>
        <v>0130F3615M</v>
      </c>
      <c r="E5532" s="1" t="s">
        <v>10</v>
      </c>
      <c r="F5532" s="1" t="str">
        <f>"fde1:103:4:92df:0:0:0:2"</f>
        <v>fde1:103:4:92df:0:0:0:2</v>
      </c>
      <c r="G5532" s="1" t="str">
        <f>"0130F361"</f>
        <v>0130F361</v>
      </c>
      <c r="H5532" s="1" t="str">
        <f>"쌍문간 45"</f>
        <v>쌍문간 45</v>
      </c>
      <c r="I5532" s="1" t="s">
        <v>15</v>
      </c>
      <c r="J5532" s="1" t="str">
        <f>"113/113"</f>
        <v>113/113</v>
      </c>
      <c r="K5532" s="1" t="str">
        <f>"2026-07-29 14:20:44"</f>
        <v>2026-07-29 14:20:44</v>
      </c>
      <c r="L5532" s="1" t="str">
        <f>"2023-12-19 09:13:43"</f>
        <v>2023-12-19 09:13:43</v>
      </c>
      <c r="M5532" s="1" t="s">
        <v>4</v>
      </c>
      <c r="N5532" s="1" t="s">
        <v>38</v>
      </c>
      <c r="O5532" s="1" t="s">
        <v>46</v>
      </c>
    </row>
    <row r="5533" spans="2:15" x14ac:dyDescent="0.3">
      <c r="B5533" s="1" t="s">
        <v>22</v>
      </c>
      <c r="C5533" s="1" t="str">
        <f>"5-2차"</f>
        <v>5-2차</v>
      </c>
      <c r="D5533" s="1" t="str">
        <f>"0130F3715M"</f>
        <v>0130F3715M</v>
      </c>
      <c r="E5533" s="1" t="s">
        <v>10</v>
      </c>
      <c r="F5533" s="1" t="str">
        <f>"fde1:103:4:91a2:0:0:0:2"</f>
        <v>fde1:103:4:91a2:0:0:0:2</v>
      </c>
      <c r="G5533" s="1" t="str">
        <f>"0130F371"</f>
        <v>0130F371</v>
      </c>
      <c r="H5533" s="1" t="str">
        <f>"쌍문간 43"</f>
        <v>쌍문간 43</v>
      </c>
      <c r="I5533" s="1" t="s">
        <v>15</v>
      </c>
      <c r="J5533" s="1" t="str">
        <f>"65/65"</f>
        <v>65/65</v>
      </c>
      <c r="K5533" s="1" t="str">
        <f>"2026-07-29 14:20:27"</f>
        <v>2026-07-29 14:20:27</v>
      </c>
      <c r="L5533" s="1" t="str">
        <f>"2024-01-12 09:48:13"</f>
        <v>2024-01-12 09:48:13</v>
      </c>
      <c r="M5533" s="1" t="s">
        <v>4</v>
      </c>
      <c r="N5533" s="1" t="s">
        <v>38</v>
      </c>
      <c r="O5533" s="1" t="s">
        <v>46</v>
      </c>
    </row>
    <row r="5534" spans="2:15" x14ac:dyDescent="0.3">
      <c r="B5534" s="1" t="s">
        <v>22</v>
      </c>
      <c r="C5534" s="1" t="str">
        <f>"5-2차"</f>
        <v>5-2차</v>
      </c>
      <c r="D5534" s="1" t="str">
        <f>"0130F4035M"</f>
        <v>0130F4035M</v>
      </c>
      <c r="E5534" s="1" t="s">
        <v>10</v>
      </c>
      <c r="F5534" s="1" t="str">
        <f>"fde1:103:4:55ba:0:0:0:2"</f>
        <v>fde1:103:4:55ba:0:0:0:2</v>
      </c>
      <c r="G5534" s="1" t="str">
        <f>"0130F403"</f>
        <v>0130F403</v>
      </c>
      <c r="H5534" s="1" t="str">
        <f>"쌍문간 44L8"</f>
        <v>쌍문간 44L8</v>
      </c>
      <c r="I5534" s="1" t="s">
        <v>15</v>
      </c>
      <c r="J5534" s="1" t="str">
        <f>"93/93"</f>
        <v>93/93</v>
      </c>
      <c r="K5534" s="1" t="str">
        <f>"2026-07-29 14:20:44"</f>
        <v>2026-07-29 14:20:44</v>
      </c>
      <c r="L5534" s="1" t="str">
        <f>"2024-02-28 17:40:54"</f>
        <v>2024-02-28 17:40:54</v>
      </c>
      <c r="M5534" s="1" t="s">
        <v>4</v>
      </c>
      <c r="N5534" s="1" t="s">
        <v>38</v>
      </c>
      <c r="O5534" s="1" t="s">
        <v>46</v>
      </c>
    </row>
    <row r="5535" spans="2:15" x14ac:dyDescent="0.3">
      <c r="B5535" s="1" t="s">
        <v>22</v>
      </c>
      <c r="C5535" s="1" t="str">
        <f>"4차"</f>
        <v>4차</v>
      </c>
      <c r="D5535" s="1" t="str">
        <f>"0130F43220"</f>
        <v>0130F43220</v>
      </c>
      <c r="E5535" s="1" t="s">
        <v>10</v>
      </c>
      <c r="F5535" s="1" t="str">
        <f>"10.26.96.146"</f>
        <v>10.26.96.146</v>
      </c>
      <c r="G5535" s="1" t="str">
        <f>"0130F432"</f>
        <v>0130F432</v>
      </c>
      <c r="H5535" s="1" t="str">
        <f>"쌍문간 44L3"</f>
        <v>쌍문간 44L3</v>
      </c>
      <c r="I5535" s="1" t="s">
        <v>8</v>
      </c>
      <c r="J5535" s="1" t="str">
        <f>"73/73"</f>
        <v>73/73</v>
      </c>
      <c r="K5535" s="1" t="str">
        <f>"2026-07-29 13:18:01"</f>
        <v>2026-07-29 13:18:01</v>
      </c>
      <c r="L5535" s="1" t="str">
        <f>"2017-06-26 15:41:57"</f>
        <v>2017-06-26 15:41:57</v>
      </c>
      <c r="M5535" s="1" t="s">
        <v>45</v>
      </c>
      <c r="N5535" s="1" t="s">
        <v>38</v>
      </c>
      <c r="O5535" s="1" t="s">
        <v>46</v>
      </c>
    </row>
    <row r="5536" spans="2:15" x14ac:dyDescent="0.3">
      <c r="B5536" s="1" t="s">
        <v>22</v>
      </c>
      <c r="C5536" s="1" t="str">
        <f>"2차"</f>
        <v>2차</v>
      </c>
      <c r="D5536" s="1" t="str">
        <f>"0130F43421"</f>
        <v>0130F43421</v>
      </c>
      <c r="E5536" s="1" t="s">
        <v>10</v>
      </c>
      <c r="F5536" s="1" t="str">
        <f>"10.14.5.117"</f>
        <v>10.14.5.117</v>
      </c>
      <c r="G5536" s="1" t="str">
        <f>"0130F434"</f>
        <v>0130F434</v>
      </c>
      <c r="H5536" s="1" t="str">
        <f>"쌍문간 44L4"</f>
        <v>쌍문간 44L4</v>
      </c>
      <c r="I5536" s="1" t="s">
        <v>8</v>
      </c>
      <c r="J5536" s="1" t="str">
        <f>"34/34"</f>
        <v>34/34</v>
      </c>
      <c r="K5536" s="1" t="str">
        <f>"2026-07-29 13:18:02"</f>
        <v>2026-07-29 13:18:02</v>
      </c>
      <c r="L5536" s="1" t="str">
        <f>"2017-06-26 15:38:27"</f>
        <v>2017-06-26 15:38:27</v>
      </c>
      <c r="M5536" s="1" t="s">
        <v>3</v>
      </c>
      <c r="N5536" s="1" t="s">
        <v>38</v>
      </c>
      <c r="O5536" s="1" t="s">
        <v>46</v>
      </c>
    </row>
    <row r="5537" spans="2:15" x14ac:dyDescent="0.3">
      <c r="B5537" s="1" t="s">
        <v>22</v>
      </c>
      <c r="C5537" s="1" t="str">
        <f>"5-2차"</f>
        <v>5-2차</v>
      </c>
      <c r="D5537" s="1" t="str">
        <f>"0130F4415M"</f>
        <v>0130F4415M</v>
      </c>
      <c r="E5537" s="1" t="s">
        <v>10</v>
      </c>
      <c r="F5537" s="1" t="str">
        <f>"fde1:103:4:92d7:0:0:0:2"</f>
        <v>fde1:103:4:92d7:0:0:0:2</v>
      </c>
      <c r="G5537" s="1" t="str">
        <f>"0130F441"</f>
        <v>0130F441</v>
      </c>
      <c r="H5537" s="1" t="str">
        <f>"쌍문간 44L2"</f>
        <v>쌍문간 44L2</v>
      </c>
      <c r="I5537" s="1" t="s">
        <v>15</v>
      </c>
      <c r="J5537" s="1" t="str">
        <f>"56/56"</f>
        <v>56/56</v>
      </c>
      <c r="K5537" s="1" t="str">
        <f>"2026-07-29 14:20:45"</f>
        <v>2026-07-29 14:20:45</v>
      </c>
      <c r="L5537" s="1" t="str">
        <f>"2023-12-19 09:14:35"</f>
        <v>2023-12-19 09:14:35</v>
      </c>
      <c r="M5537" s="1" t="s">
        <v>4</v>
      </c>
      <c r="N5537" s="1" t="s">
        <v>38</v>
      </c>
      <c r="O5537" s="1" t="s">
        <v>46</v>
      </c>
    </row>
    <row r="5538" spans="2:15" x14ac:dyDescent="0.3">
      <c r="B5538" s="1" t="s">
        <v>22</v>
      </c>
      <c r="C5538" s="1" t="str">
        <f>"5-2차"</f>
        <v>5-2차</v>
      </c>
      <c r="D5538" s="1" t="str">
        <f>"0130F4615M"</f>
        <v>0130F4615M</v>
      </c>
      <c r="E5538" s="1" t="s">
        <v>10</v>
      </c>
      <c r="F5538" s="1" t="str">
        <f>"fde1:103:4:562e:0:0:0:2"</f>
        <v>fde1:103:4:562e:0:0:0:2</v>
      </c>
      <c r="G5538" s="1" t="str">
        <f>"0130F461"</f>
        <v>0130F461</v>
      </c>
      <c r="H5538" s="1" t="str">
        <f>"쌍문간 47"</f>
        <v>쌍문간 47</v>
      </c>
      <c r="I5538" s="1" t="s">
        <v>15</v>
      </c>
      <c r="J5538" s="1" t="str">
        <f>"191/195"</f>
        <v>191/195</v>
      </c>
      <c r="K5538" s="1" t="str">
        <f>"2026-07-29 14:20:45"</f>
        <v>2026-07-29 14:20:45</v>
      </c>
      <c r="L5538" s="1" t="str">
        <f>"2024-02-28 17:40:25"</f>
        <v>2024-02-28 17:40:25</v>
      </c>
      <c r="M5538" s="1" t="s">
        <v>4</v>
      </c>
      <c r="N5538" s="1" t="s">
        <v>38</v>
      </c>
      <c r="O5538" s="1" t="s">
        <v>46</v>
      </c>
    </row>
    <row r="5539" spans="2:15" x14ac:dyDescent="0.3">
      <c r="B5539" s="1" t="s">
        <v>22</v>
      </c>
      <c r="C5539" s="1" t="str">
        <f>"4차"</f>
        <v>4차</v>
      </c>
      <c r="D5539" s="1" t="str">
        <f>"0130F51120"</f>
        <v>0130F51120</v>
      </c>
      <c r="E5539" s="1" t="s">
        <v>10</v>
      </c>
      <c r="F5539" s="1" t="str">
        <f>"10.107.249.99"</f>
        <v>10.107.249.99</v>
      </c>
      <c r="G5539" s="1" t="str">
        <f>"0130F511"</f>
        <v>0130F511</v>
      </c>
      <c r="H5539" s="1" t="str">
        <f>"쌍문간 44L6L2"</f>
        <v>쌍문간 44L6L2</v>
      </c>
      <c r="I5539" s="1" t="s">
        <v>8</v>
      </c>
      <c r="J5539" s="1" t="str">
        <f>"124/124"</f>
        <v>124/124</v>
      </c>
      <c r="K5539" s="1" t="str">
        <f>"2026-07-29 13:18:02"</f>
        <v>2026-07-29 13:18:02</v>
      </c>
      <c r="L5539" s="1" t="str">
        <f>"2017-07-04 10:39:22"</f>
        <v>2017-07-04 10:39:22</v>
      </c>
      <c r="M5539" s="1" t="s">
        <v>45</v>
      </c>
      <c r="N5539" s="1" t="s">
        <v>38</v>
      </c>
      <c r="O5539" s="1" t="s">
        <v>46</v>
      </c>
    </row>
    <row r="5540" spans="2:15" x14ac:dyDescent="0.3">
      <c r="B5540" s="1" t="s">
        <v>22</v>
      </c>
      <c r="C5540" s="1" t="str">
        <f>"5-2차"</f>
        <v>5-2차</v>
      </c>
      <c r="D5540" s="1" t="str">
        <f>"0130F5415M"</f>
        <v>0130F5415M</v>
      </c>
      <c r="E5540" s="1" t="s">
        <v>10</v>
      </c>
      <c r="F5540" s="1" t="str">
        <f>"fde1:103:4:9388:0:0:0:2"</f>
        <v>fde1:103:4:9388:0:0:0:2</v>
      </c>
      <c r="G5540" s="1" t="str">
        <f>"0130F541"</f>
        <v>0130F541</v>
      </c>
      <c r="H5540" s="1" t="str">
        <f>"쌍문간 48R2"</f>
        <v>쌍문간 48R2</v>
      </c>
      <c r="I5540" s="1" t="s">
        <v>15</v>
      </c>
      <c r="J5540" s="1" t="str">
        <f>"78/79"</f>
        <v>78/79</v>
      </c>
      <c r="K5540" s="1" t="str">
        <f>"2026-07-29 14:20:45"</f>
        <v>2026-07-29 14:20:45</v>
      </c>
      <c r="L5540" s="1" t="str">
        <f>"2023-12-19 09:14:58"</f>
        <v>2023-12-19 09:14:58</v>
      </c>
      <c r="M5540" s="1" t="s">
        <v>4</v>
      </c>
      <c r="N5540" s="1" t="s">
        <v>38</v>
      </c>
      <c r="O5540" s="1" t="s">
        <v>46</v>
      </c>
    </row>
    <row r="5541" spans="2:15" x14ac:dyDescent="0.3">
      <c r="B5541" s="1" t="s">
        <v>22</v>
      </c>
      <c r="C5541" s="1" t="str">
        <f>"5-1차"</f>
        <v>5-1차</v>
      </c>
      <c r="D5541" s="1" t="str">
        <f>"0130F5425M"</f>
        <v>0130F5425M</v>
      </c>
      <c r="E5541" s="1" t="s">
        <v>10</v>
      </c>
      <c r="F5541" s="1" t="str">
        <f>"fde2:104:0:14a:0:0:0:2"</f>
        <v>fde2:104:0:14a:0:0:0:2</v>
      </c>
      <c r="G5541" s="1" t="str">
        <f>"0130F542"</f>
        <v>0130F542</v>
      </c>
      <c r="H5541" s="1" t="str">
        <f>"쌍문간 48R3"</f>
        <v>쌍문간 48R3</v>
      </c>
      <c r="I5541" s="1" t="s">
        <v>15</v>
      </c>
      <c r="J5541" s="1" t="str">
        <f>"59/60"</f>
        <v>59/60</v>
      </c>
      <c r="K5541" s="1" t="str">
        <f>"2026-07-29 14:21:00"</f>
        <v>2026-07-29 14:21:00</v>
      </c>
      <c r="L5541" s="1" t="str">
        <f>"2022-10-06 11:26:44"</f>
        <v>2022-10-06 11:26:44</v>
      </c>
      <c r="M5541" s="1" t="s">
        <v>42</v>
      </c>
      <c r="N5541" s="1" t="s">
        <v>38</v>
      </c>
      <c r="O5541" s="1" t="s">
        <v>46</v>
      </c>
    </row>
    <row r="5542" spans="2:15" x14ac:dyDescent="0.3">
      <c r="B5542" s="1" t="s">
        <v>22</v>
      </c>
      <c r="C5542" s="1" t="str">
        <f>"5-2차"</f>
        <v>5-2차</v>
      </c>
      <c r="D5542" s="1" t="str">
        <f>"0130F5615M"</f>
        <v>0130F5615M</v>
      </c>
      <c r="E5542" s="1" t="s">
        <v>10</v>
      </c>
      <c r="F5542" s="1" t="str">
        <f>"fde1:103:4:939a:0:0:0:2"</f>
        <v>fde1:103:4:939a:0:0:0:2</v>
      </c>
      <c r="G5542" s="1" t="str">
        <f>"0130F561"</f>
        <v>0130F561</v>
      </c>
      <c r="H5542" s="1" t="str">
        <f>"쌍문간 48"</f>
        <v>쌍문간 48</v>
      </c>
      <c r="I5542" s="1" t="s">
        <v>15</v>
      </c>
      <c r="J5542" s="1" t="str">
        <f>"54/54"</f>
        <v>54/54</v>
      </c>
      <c r="K5542" s="1" t="str">
        <f>"2026-07-29 14:20:18"</f>
        <v>2026-07-29 14:20:18</v>
      </c>
      <c r="L5542" s="1" t="str">
        <f>"2023-12-19 09:53:49"</f>
        <v>2023-12-19 09:53:49</v>
      </c>
      <c r="M5542" s="1" t="s">
        <v>4</v>
      </c>
      <c r="N5542" s="1" t="s">
        <v>38</v>
      </c>
      <c r="O5542" s="1" t="s">
        <v>46</v>
      </c>
    </row>
    <row r="5543" spans="2:15" x14ac:dyDescent="0.3">
      <c r="B5543" s="1" t="s">
        <v>22</v>
      </c>
      <c r="C5543" s="1" t="str">
        <f>"2차"</f>
        <v>2차</v>
      </c>
      <c r="D5543" s="1" t="str">
        <f>"0130F57322"</f>
        <v>0130F57322</v>
      </c>
      <c r="E5543" s="1" t="s">
        <v>10</v>
      </c>
      <c r="F5543" s="1" t="str">
        <f>"10.26.96.212"</f>
        <v>10.26.96.212</v>
      </c>
      <c r="G5543" s="1" t="str">
        <f>"0130F573"</f>
        <v>0130F573</v>
      </c>
      <c r="H5543" s="1" t="str">
        <f>"쌍문간 49L1"</f>
        <v>쌍문간 49L1</v>
      </c>
      <c r="I5543" s="1" t="s">
        <v>8</v>
      </c>
      <c r="J5543" s="1" t="str">
        <f>"45/45"</f>
        <v>45/45</v>
      </c>
      <c r="K5543" s="1" t="str">
        <f>"2026-07-29 13:18:01"</f>
        <v>2026-07-29 13:18:01</v>
      </c>
      <c r="L5543" s="1" t="str">
        <f>"2017-07-04 10:17:25"</f>
        <v>2017-07-04 10:17:25</v>
      </c>
      <c r="M5543" s="1" t="s">
        <v>45</v>
      </c>
      <c r="N5543" s="1" t="s">
        <v>38</v>
      </c>
      <c r="O5543" s="1" t="s">
        <v>46</v>
      </c>
    </row>
    <row r="5544" spans="2:15" x14ac:dyDescent="0.3">
      <c r="B5544" s="1" t="s">
        <v>22</v>
      </c>
      <c r="C5544" s="1" t="str">
        <f>"5-2차"</f>
        <v>5-2차</v>
      </c>
      <c r="D5544" s="1" t="str">
        <f>"0130F5935M"</f>
        <v>0130F5935M</v>
      </c>
      <c r="E5544" s="1" t="s">
        <v>10</v>
      </c>
      <c r="F5544" s="1" t="str">
        <f>"fde3:102:1420:6100:0:0:0:8"</f>
        <v>fde3:102:1420:6100:0:0:0:8</v>
      </c>
      <c r="G5544" s="1" t="str">
        <f>"0130F593"</f>
        <v>0130F593</v>
      </c>
      <c r="H5544" s="1" t="str">
        <f>"쌍문간 40L2"</f>
        <v>쌍문간 40L2</v>
      </c>
      <c r="I5544" s="1" t="s">
        <v>15</v>
      </c>
      <c r="J5544" s="1" t="str">
        <f>"27/27"</f>
        <v>27/27</v>
      </c>
      <c r="K5544" s="1" t="str">
        <f>"2026-07-29 14:20:18"</f>
        <v>2026-07-29 14:20:18</v>
      </c>
      <c r="L5544" s="1" t="str">
        <f>"2023-12-18 16:11:07"</f>
        <v>2023-12-18 16:11:07</v>
      </c>
      <c r="M5544" s="1" t="s">
        <v>45</v>
      </c>
      <c r="N5544" s="1" t="s">
        <v>38</v>
      </c>
      <c r="O5544" s="1" t="s">
        <v>46</v>
      </c>
    </row>
    <row r="5545" spans="2:15" x14ac:dyDescent="0.3">
      <c r="B5545" s="1" t="s">
        <v>22</v>
      </c>
      <c r="C5545" s="1" t="str">
        <f>"5-2차"</f>
        <v>5-2차</v>
      </c>
      <c r="D5545" s="1" t="str">
        <f>"0130F6015M"</f>
        <v>0130F6015M</v>
      </c>
      <c r="E5545" s="1" t="s">
        <v>10</v>
      </c>
      <c r="F5545" s="1" t="str">
        <f>"fde3:102:1420:6400:0:0:0:8"</f>
        <v>fde3:102:1420:6400:0:0:0:8</v>
      </c>
      <c r="G5545" s="1" t="str">
        <f>"0130F601"</f>
        <v>0130F601</v>
      </c>
      <c r="H5545" s="1" t="str">
        <f>"쌍문간 12R6"</f>
        <v>쌍문간 12R6</v>
      </c>
      <c r="I5545" s="1" t="s">
        <v>15</v>
      </c>
      <c r="J5545" s="1" t="str">
        <f>"40/40"</f>
        <v>40/40</v>
      </c>
      <c r="K5545" s="1" t="str">
        <f>"2026-07-29 14:20:19"</f>
        <v>2026-07-29 14:20:19</v>
      </c>
      <c r="L5545" s="1" t="str">
        <f>"2024-01-10 14:49:59"</f>
        <v>2024-01-10 14:49:59</v>
      </c>
      <c r="M5545" s="1" t="s">
        <v>45</v>
      </c>
      <c r="N5545" s="1" t="s">
        <v>38</v>
      </c>
      <c r="O5545" s="1" t="s">
        <v>46</v>
      </c>
    </row>
    <row r="5546" spans="2:15" x14ac:dyDescent="0.3">
      <c r="B5546" s="1" t="s">
        <v>22</v>
      </c>
      <c r="C5546" s="1" t="str">
        <f>"2차"</f>
        <v>2차</v>
      </c>
      <c r="D5546" s="1" t="str">
        <f>"0130F61121"</f>
        <v>0130F61121</v>
      </c>
      <c r="E5546" s="1" t="s">
        <v>10</v>
      </c>
      <c r="F5546" s="1" t="str">
        <f>"10.107.249.100"</f>
        <v>10.107.249.100</v>
      </c>
      <c r="G5546" s="1" t="str">
        <f>"0130F611"</f>
        <v>0130F611</v>
      </c>
      <c r="H5546" s="1" t="str">
        <f>"쌍문간 44L6L3"</f>
        <v>쌍문간 44L6L3</v>
      </c>
      <c r="I5546" s="1" t="s">
        <v>8</v>
      </c>
      <c r="J5546" s="1" t="str">
        <f>"88/88"</f>
        <v>88/88</v>
      </c>
      <c r="K5546" s="1" t="str">
        <f>"2026-07-29 13:18:02"</f>
        <v>2026-07-29 13:18:02</v>
      </c>
      <c r="L5546" s="1" t="str">
        <f>"2017-07-12 14:11:23"</f>
        <v>2017-07-12 14:11:23</v>
      </c>
      <c r="M5546" s="1" t="s">
        <v>45</v>
      </c>
      <c r="N5546" s="1" t="s">
        <v>38</v>
      </c>
      <c r="O5546" s="1" t="s">
        <v>46</v>
      </c>
    </row>
    <row r="5547" spans="2:15" x14ac:dyDescent="0.3">
      <c r="B5547" s="1" t="s">
        <v>22</v>
      </c>
      <c r="C5547" s="1" t="str">
        <f>"2차"</f>
        <v>2차</v>
      </c>
      <c r="D5547" s="1" t="str">
        <f>"0130F66121"</f>
        <v>0130F66121</v>
      </c>
      <c r="E5547" s="1" t="s">
        <v>10</v>
      </c>
      <c r="F5547" s="1" t="str">
        <f>"10.26.96.211"</f>
        <v>10.26.96.211</v>
      </c>
      <c r="G5547" s="1" t="str">
        <f>"0130F661"</f>
        <v>0130F661</v>
      </c>
      <c r="H5547" s="1" t="str">
        <f>"쌍문간 50"</f>
        <v>쌍문간 50</v>
      </c>
      <c r="I5547" s="1" t="s">
        <v>8</v>
      </c>
      <c r="J5547" s="1" t="str">
        <f>"54/54"</f>
        <v>54/54</v>
      </c>
      <c r="K5547" s="1" t="str">
        <f>"2026-07-29 13:18:01"</f>
        <v>2026-07-29 13:18:01</v>
      </c>
      <c r="L5547" s="1" t="str">
        <f>"2017-07-04 10:20:22"</f>
        <v>2017-07-04 10:20:22</v>
      </c>
      <c r="M5547" s="1" t="s">
        <v>45</v>
      </c>
      <c r="N5547" s="1" t="s">
        <v>38</v>
      </c>
      <c r="O5547" s="1" t="s">
        <v>46</v>
      </c>
    </row>
    <row r="5548" spans="2:15" x14ac:dyDescent="0.3">
      <c r="B5548" s="1" t="s">
        <v>22</v>
      </c>
      <c r="C5548" s="1" t="str">
        <f>"2차"</f>
        <v>2차</v>
      </c>
      <c r="D5548" s="1" t="str">
        <f>"0130F66320"</f>
        <v>0130F66320</v>
      </c>
      <c r="E5548" s="1" t="s">
        <v>14</v>
      </c>
      <c r="F5548" s="1" t="str">
        <f>"10.26.96.210"</f>
        <v>10.26.96.210</v>
      </c>
      <c r="G5548" s="1" t="str">
        <f>"0130F663"</f>
        <v>0130F663</v>
      </c>
      <c r="H5548" s="1" t="str">
        <f>"쌍문간 49"</f>
        <v>쌍문간 49</v>
      </c>
      <c r="I5548" s="1" t="s">
        <v>8</v>
      </c>
      <c r="J5548" s="1" t="str">
        <f>"0/0"</f>
        <v>0/0</v>
      </c>
      <c r="K5548" s="1" t="str">
        <f>"2026-07-29 13:18:01"</f>
        <v>2026-07-29 13:18:01</v>
      </c>
      <c r="L5548" s="1" t="str">
        <f>"2017-07-04 10:18:36"</f>
        <v>2017-07-04 10:18:36</v>
      </c>
      <c r="M5548" s="1" t="s">
        <v>45</v>
      </c>
      <c r="N5548" s="1" t="s">
        <v>38</v>
      </c>
      <c r="O5548" s="1" t="s">
        <v>44</v>
      </c>
    </row>
    <row r="5549" spans="2:15" x14ac:dyDescent="0.3">
      <c r="B5549" s="1" t="s">
        <v>22</v>
      </c>
      <c r="C5549" s="1" t="str">
        <f>"6차"</f>
        <v>6차</v>
      </c>
      <c r="D5549" s="1" t="str">
        <f>"0130F6926S"</f>
        <v>0130F6926S</v>
      </c>
      <c r="E5549" s="1" t="s">
        <v>10</v>
      </c>
      <c r="F5549" s="1" t="str">
        <f>"fde3:102:1420:6100:0:0:0:9"</f>
        <v>fde3:102:1420:6100:0:0:0:9</v>
      </c>
      <c r="G5549" s="1" t="str">
        <f>"0130F692"</f>
        <v>0130F692</v>
      </c>
      <c r="H5549" s="1" t="str">
        <f>"선덕간 16"</f>
        <v>선덕간 16</v>
      </c>
      <c r="I5549" s="1" t="s">
        <v>15</v>
      </c>
      <c r="J5549" s="1" t="str">
        <f>"36/36"</f>
        <v>36/36</v>
      </c>
      <c r="K5549" s="1" t="str">
        <f>"2026-07-29 14:20:44"</f>
        <v>2026-07-29 14:20:44</v>
      </c>
      <c r="L5549" s="1" t="str">
        <f>"2024-12-05 14:57:08"</f>
        <v>2024-12-05 14:57:08</v>
      </c>
      <c r="M5549" s="1" t="s">
        <v>45</v>
      </c>
      <c r="N5549" s="1" t="s">
        <v>38</v>
      </c>
      <c r="O5549" s="1" t="s">
        <v>46</v>
      </c>
    </row>
    <row r="5550" spans="2:15" x14ac:dyDescent="0.3">
      <c r="B5550" s="1" t="s">
        <v>22</v>
      </c>
      <c r="C5550" s="1" t="str">
        <f>"5-2차"</f>
        <v>5-2차</v>
      </c>
      <c r="D5550" s="1" t="str">
        <f>"0130F7125M"</f>
        <v>0130F7125M</v>
      </c>
      <c r="E5550" s="1" t="s">
        <v>10</v>
      </c>
      <c r="F5550" s="1" t="str">
        <f>"fde3:102:1420:6400:0:0:0:9"</f>
        <v>fde3:102:1420:6400:0:0:0:9</v>
      </c>
      <c r="G5550" s="1" t="str">
        <f>"0130F712"</f>
        <v>0130F712</v>
      </c>
      <c r="H5550" s="1" t="str">
        <f>"쌍문간 12R6R2"</f>
        <v>쌍문간 12R6R2</v>
      </c>
      <c r="I5550" s="1" t="s">
        <v>15</v>
      </c>
      <c r="J5550" s="1" t="str">
        <f>"43/43"</f>
        <v>43/43</v>
      </c>
      <c r="K5550" s="1" t="str">
        <f>"2026-07-29 14:20:44"</f>
        <v>2026-07-29 14:20:44</v>
      </c>
      <c r="L5550" s="1" t="str">
        <f>"2023-12-19 11:03:19"</f>
        <v>2023-12-19 11:03:19</v>
      </c>
      <c r="M5550" s="1" t="s">
        <v>45</v>
      </c>
      <c r="N5550" s="1" t="s">
        <v>38</v>
      </c>
      <c r="O5550" s="1" t="s">
        <v>46</v>
      </c>
    </row>
    <row r="5551" spans="2:15" x14ac:dyDescent="0.3">
      <c r="B5551" s="1" t="s">
        <v>22</v>
      </c>
      <c r="C5551" s="1" t="str">
        <f>"2차"</f>
        <v>2차</v>
      </c>
      <c r="D5551" s="1" t="str">
        <f>"0130F76321"</f>
        <v>0130F76321</v>
      </c>
      <c r="E5551" s="1" t="s">
        <v>10</v>
      </c>
      <c r="F5551" s="1" t="str">
        <f>"10.107.249.5"</f>
        <v>10.107.249.5</v>
      </c>
      <c r="G5551" s="1" t="str">
        <f>"0130F763"</f>
        <v>0130F763</v>
      </c>
      <c r="H5551" s="1" t="str">
        <f>"쌍문간 51L1"</f>
        <v>쌍문간 51L1</v>
      </c>
      <c r="I5551" s="1" t="s">
        <v>8</v>
      </c>
      <c r="J5551" s="1" t="str">
        <f>"52/53"</f>
        <v>52/53</v>
      </c>
      <c r="K5551" s="1" t="str">
        <f>"2026-07-29 13:18:02"</f>
        <v>2026-07-29 13:18:02</v>
      </c>
      <c r="L5551" s="1" t="str">
        <f>"2017-07-04 10:18:07"</f>
        <v>2017-07-04 10:18:07</v>
      </c>
      <c r="M5551" s="1" t="s">
        <v>45</v>
      </c>
      <c r="N5551" s="1" t="s">
        <v>38</v>
      </c>
      <c r="O5551" s="1" t="s">
        <v>46</v>
      </c>
    </row>
    <row r="5552" spans="2:15" x14ac:dyDescent="0.3">
      <c r="B5552" s="1" t="s">
        <v>22</v>
      </c>
      <c r="C5552" s="1" t="str">
        <f>"4차"</f>
        <v>4차</v>
      </c>
      <c r="D5552" s="1" t="str">
        <f>"0130F81745"</f>
        <v>0130F81745</v>
      </c>
      <c r="E5552" s="1" t="s">
        <v>10</v>
      </c>
      <c r="F5552" s="1" t="str">
        <f>"10.14.12.63"</f>
        <v>10.14.12.63</v>
      </c>
      <c r="G5552" s="1" t="str">
        <f>"0130F817"</f>
        <v>0130F817</v>
      </c>
      <c r="H5552" s="1" t="str">
        <f>"쌍문 2"</f>
        <v>쌍문 2</v>
      </c>
      <c r="I5552" s="1" t="s">
        <v>17</v>
      </c>
      <c r="J5552" s="1" t="str">
        <f>"9/9"</f>
        <v>9/9</v>
      </c>
      <c r="K5552" s="1" t="str">
        <f>"2026-07-29 13:18:02"</f>
        <v>2026-07-29 13:18:02</v>
      </c>
      <c r="L5552" s="1" t="str">
        <f>"2021-06-22 13:15:25"</f>
        <v>2021-06-22 13:15:25</v>
      </c>
      <c r="M5552" s="1" t="s">
        <v>3</v>
      </c>
      <c r="N5552" s="1" t="s">
        <v>38</v>
      </c>
      <c r="O5552" s="1" t="s">
        <v>46</v>
      </c>
    </row>
    <row r="5553" spans="2:15" x14ac:dyDescent="0.3">
      <c r="B5553" s="1" t="s">
        <v>22</v>
      </c>
      <c r="C5553" s="1" t="str">
        <f>"5-2차"</f>
        <v>5-2차</v>
      </c>
      <c r="D5553" s="1" t="str">
        <f>"0130F8415M"</f>
        <v>0130F8415M</v>
      </c>
      <c r="E5553" s="1" t="s">
        <v>10</v>
      </c>
      <c r="F5553" s="1" t="str">
        <f>"fde3:102:1420:6300:0:0:0:8"</f>
        <v>fde3:102:1420:6300:0:0:0:8</v>
      </c>
      <c r="G5553" s="1" t="str">
        <f>"0130F841"</f>
        <v>0130F841</v>
      </c>
      <c r="H5553" s="1" t="str">
        <f>"쌍문간 53R3"</f>
        <v>쌍문간 53R3</v>
      </c>
      <c r="I5553" s="1" t="s">
        <v>15</v>
      </c>
      <c r="J5553" s="1" t="str">
        <f>"67/67"</f>
        <v>67/67</v>
      </c>
      <c r="K5553" s="1" t="str">
        <f>"2026-07-29 14:20:45"</f>
        <v>2026-07-29 14:20:45</v>
      </c>
      <c r="L5553" s="1" t="str">
        <f>"2023-12-19 11:18:43"</f>
        <v>2023-12-19 11:18:43</v>
      </c>
      <c r="M5553" s="1" t="s">
        <v>45</v>
      </c>
      <c r="N5553" s="1" t="s">
        <v>38</v>
      </c>
      <c r="O5553" s="1" t="s">
        <v>46</v>
      </c>
    </row>
    <row r="5554" spans="2:15" x14ac:dyDescent="0.3">
      <c r="B5554" s="1" t="s">
        <v>22</v>
      </c>
      <c r="C5554" s="1" t="str">
        <f>"5-2차"</f>
        <v>5-2차</v>
      </c>
      <c r="D5554" s="1" t="str">
        <f>"0130F8935M"</f>
        <v>0130F8935M</v>
      </c>
      <c r="E5554" s="1" t="s">
        <v>10</v>
      </c>
      <c r="F5554" s="1" t="str">
        <f>"fde3:102:1420:6100:0:0:0:2"</f>
        <v>fde3:102:1420:6100:0:0:0:2</v>
      </c>
      <c r="G5554" s="1" t="str">
        <f>"0130F893"</f>
        <v>0130F893</v>
      </c>
      <c r="H5554" s="1" t="str">
        <f>"쌍문간 40L7"</f>
        <v>쌍문간 40L7</v>
      </c>
      <c r="I5554" s="1" t="s">
        <v>15</v>
      </c>
      <c r="J5554" s="1" t="str">
        <f>"48/48"</f>
        <v>48/48</v>
      </c>
      <c r="K5554" s="1" t="str">
        <f>"2026-07-29 14:20:25"</f>
        <v>2026-07-29 14:20:25</v>
      </c>
      <c r="L5554" s="1" t="str">
        <f>"2023-12-18 16:39:19"</f>
        <v>2023-12-18 16:39:19</v>
      </c>
      <c r="M5554" s="1" t="s">
        <v>45</v>
      </c>
      <c r="N5554" s="1" t="s">
        <v>38</v>
      </c>
      <c r="O5554" s="1" t="s">
        <v>46</v>
      </c>
    </row>
    <row r="5555" spans="2:15" x14ac:dyDescent="0.3">
      <c r="B5555" s="1" t="s">
        <v>22</v>
      </c>
      <c r="C5555" s="1" t="str">
        <f>"4차"</f>
        <v>4차</v>
      </c>
      <c r="D5555" s="1" t="str">
        <f>"0130F94639"</f>
        <v>0130F94639</v>
      </c>
      <c r="E5555" s="1" t="s">
        <v>10</v>
      </c>
      <c r="F5555" s="1" t="str">
        <f>"10.12.137.37"</f>
        <v>10.12.137.37</v>
      </c>
      <c r="G5555" s="1" t="str">
        <f>"0130F946"</f>
        <v>0130F946</v>
      </c>
      <c r="H5555" s="1" t="str">
        <f>"쌍문 4"</f>
        <v>쌍문 4</v>
      </c>
      <c r="I5555" s="1" t="s">
        <v>17</v>
      </c>
      <c r="J5555" s="1" t="str">
        <f>"18/18"</f>
        <v>18/18</v>
      </c>
      <c r="K5555" s="1" t="str">
        <f>"2026-07-29 13:18:02"</f>
        <v>2026-07-29 13:18:02</v>
      </c>
      <c r="L5555" s="1" t="str">
        <f>"2018-12-20 08:36:10"</f>
        <v>2018-12-20 08:36:10</v>
      </c>
      <c r="M5555" s="1" t="s">
        <v>0</v>
      </c>
      <c r="N5555" s="1" t="s">
        <v>38</v>
      </c>
      <c r="O5555" s="1" t="s">
        <v>46</v>
      </c>
    </row>
    <row r="5556" spans="2:15" x14ac:dyDescent="0.3">
      <c r="B5556" s="1" t="s">
        <v>22</v>
      </c>
      <c r="C5556" s="1" t="str">
        <f>"1차"</f>
        <v>1차</v>
      </c>
      <c r="D5556" s="1" t="str">
        <f>"0130F96201"</f>
        <v>0130F96201</v>
      </c>
      <c r="E5556" s="1" t="s">
        <v>10</v>
      </c>
      <c r="F5556" s="1" t="str">
        <f>"10.107.249.147"</f>
        <v>10.107.249.147</v>
      </c>
      <c r="G5556" s="1" t="str">
        <f>"0130F962"</f>
        <v>0130F962</v>
      </c>
      <c r="H5556" s="1" t="str">
        <f>"쌍문간 53L2"</f>
        <v>쌍문간 53L2</v>
      </c>
      <c r="I5556" s="1" t="s">
        <v>8</v>
      </c>
      <c r="J5556" s="1" t="str">
        <f>"177/177"</f>
        <v>177/177</v>
      </c>
      <c r="K5556" s="1" t="str">
        <f>"2026-07-29 13:18:01"</f>
        <v>2026-07-29 13:18:01</v>
      </c>
      <c r="L5556" s="1" t="str">
        <f>"2014-12-26 15:43:03"</f>
        <v>2014-12-26 15:43:03</v>
      </c>
      <c r="M5556" s="1" t="s">
        <v>45</v>
      </c>
      <c r="N5556" s="1" t="s">
        <v>38</v>
      </c>
      <c r="O5556" s="1" t="s">
        <v>46</v>
      </c>
    </row>
    <row r="5557" spans="2:15" x14ac:dyDescent="0.3">
      <c r="B5557" s="1" t="s">
        <v>22</v>
      </c>
      <c r="C5557" s="1" t="str">
        <f>"5-1차"</f>
        <v>5-1차</v>
      </c>
      <c r="D5557" s="1" t="str">
        <f>"0130F9715M"</f>
        <v>0130F9715M</v>
      </c>
      <c r="E5557" s="1" t="s">
        <v>10</v>
      </c>
      <c r="F5557" s="1" t="str">
        <f>"fde2:104:0:147:0:0:0:2"</f>
        <v>fde2:104:0:147:0:0:0:2</v>
      </c>
      <c r="G5557" s="1" t="str">
        <f>"0130F971"</f>
        <v>0130F971</v>
      </c>
      <c r="H5557" s="1" t="str">
        <f>"쌍문간 53L3"</f>
        <v>쌍문간 53L3</v>
      </c>
      <c r="I5557" s="1" t="s">
        <v>15</v>
      </c>
      <c r="J5557" s="1" t="str">
        <f>"107/107"</f>
        <v>107/107</v>
      </c>
      <c r="K5557" s="1" t="str">
        <f>"2026-07-29 14:20:26"</f>
        <v>2026-07-29 14:20:26</v>
      </c>
      <c r="L5557" s="1" t="str">
        <f>"2022-10-06 13:03:55"</f>
        <v>2022-10-06 13:03:55</v>
      </c>
      <c r="M5557" s="1" t="s">
        <v>42</v>
      </c>
      <c r="N5557" s="1" t="s">
        <v>38</v>
      </c>
      <c r="O5557" s="1" t="s">
        <v>46</v>
      </c>
    </row>
    <row r="5558" spans="2:15" x14ac:dyDescent="0.3">
      <c r="B5558" s="1" t="s">
        <v>22</v>
      </c>
      <c r="C5558" s="1" t="str">
        <f>"1차"</f>
        <v>1차</v>
      </c>
      <c r="D5558" s="1" t="str">
        <f>"0130F97200"</f>
        <v>0130F97200</v>
      </c>
      <c r="E5558" s="1" t="s">
        <v>10</v>
      </c>
      <c r="F5558" s="1" t="str">
        <f>"10.107.249.148"</f>
        <v>10.107.249.148</v>
      </c>
      <c r="G5558" s="1" t="str">
        <f>"0130F972"</f>
        <v>0130F972</v>
      </c>
      <c r="H5558" s="1" t="str">
        <f>"쌍문간 53L4L1"</f>
        <v>쌍문간 53L4L1</v>
      </c>
      <c r="I5558" s="1" t="s">
        <v>8</v>
      </c>
      <c r="J5558" s="1" t="str">
        <f>"110/110"</f>
        <v>110/110</v>
      </c>
      <c r="K5558" s="1" t="str">
        <f>"2026-07-29 13:18:01"</f>
        <v>2026-07-29 13:18:01</v>
      </c>
      <c r="L5558" s="1" t="str">
        <f>"2015-08-13 09:22:55"</f>
        <v>2015-08-13 09:22:55</v>
      </c>
      <c r="M5558" s="1" t="s">
        <v>45</v>
      </c>
      <c r="N5558" s="1" t="s">
        <v>38</v>
      </c>
      <c r="O5558" s="1" t="s">
        <v>46</v>
      </c>
    </row>
    <row r="5559" spans="2:15" x14ac:dyDescent="0.3">
      <c r="B5559" s="1" t="s">
        <v>22</v>
      </c>
      <c r="C5559" s="1" t="str">
        <f>"1차"</f>
        <v>1차</v>
      </c>
      <c r="D5559" s="1" t="str">
        <f>"0130F98300"</f>
        <v>0130F98300</v>
      </c>
      <c r="E5559" s="1" t="s">
        <v>10</v>
      </c>
      <c r="F5559" s="1" t="str">
        <f>"10.107.249.146"</f>
        <v>10.107.249.146</v>
      </c>
      <c r="G5559" s="1" t="str">
        <f>"0130F983"</f>
        <v>0130F983</v>
      </c>
      <c r="H5559" s="1" t="str">
        <f>"쌍문간 53L5"</f>
        <v>쌍문간 53L5</v>
      </c>
      <c r="I5559" s="1" t="s">
        <v>8</v>
      </c>
      <c r="J5559" s="1" t="str">
        <f>"117/117"</f>
        <v>117/117</v>
      </c>
      <c r="K5559" s="1" t="str">
        <f>"2026-07-29 13:18:01"</f>
        <v>2026-07-29 13:18:01</v>
      </c>
      <c r="L5559" s="1" t="str">
        <f>"2016-05-26 11:09:38"</f>
        <v>2016-05-26 11:09:38</v>
      </c>
      <c r="M5559" s="1" t="s">
        <v>45</v>
      </c>
      <c r="N5559" s="1" t="s">
        <v>38</v>
      </c>
      <c r="O5559" s="1" t="s">
        <v>46</v>
      </c>
    </row>
    <row r="5560" spans="2:15" x14ac:dyDescent="0.3">
      <c r="B5560" s="1" t="s">
        <v>22</v>
      </c>
      <c r="C5560" s="1" t="str">
        <f>"1차"</f>
        <v>1차</v>
      </c>
      <c r="D5560" s="1" t="str">
        <f>"0130G48200"</f>
        <v>0130G48200</v>
      </c>
      <c r="E5560" s="1" t="s">
        <v>10</v>
      </c>
      <c r="F5560" s="1" t="str">
        <f>"10.107.129.83"</f>
        <v>10.107.129.83</v>
      </c>
      <c r="G5560" s="1" t="str">
        <f>"0130G482"</f>
        <v>0130G482</v>
      </c>
      <c r="H5560" s="1" t="str">
        <f>"쌍문간 31L11R11"</f>
        <v>쌍문간 31L11R11</v>
      </c>
      <c r="I5560" s="1" t="s">
        <v>8</v>
      </c>
      <c r="J5560" s="1" t="str">
        <f>"29/29"</f>
        <v>29/29</v>
      </c>
      <c r="K5560" s="1" t="str">
        <f>"2026-07-29 13:18:02"</f>
        <v>2026-07-29 13:18:02</v>
      </c>
      <c r="L5560" s="1" t="str">
        <f>"2014-12-21 15:43:48"</f>
        <v>2014-12-21 15:43:48</v>
      </c>
      <c r="M5560" s="1" t="s">
        <v>45</v>
      </c>
      <c r="N5560" s="1" t="s">
        <v>38</v>
      </c>
      <c r="O5560" s="1" t="s">
        <v>46</v>
      </c>
    </row>
    <row r="5561" spans="2:15" x14ac:dyDescent="0.3">
      <c r="B5561" s="1" t="s">
        <v>22</v>
      </c>
      <c r="C5561" s="1" t="str">
        <f>"4차"</f>
        <v>4차</v>
      </c>
      <c r="D5561" s="1" t="str">
        <f>"0130G49444"</f>
        <v>0130G49444</v>
      </c>
      <c r="E5561" s="1" t="s">
        <v>10</v>
      </c>
      <c r="F5561" s="1" t="str">
        <f>"10.107.129.28"</f>
        <v>10.107.129.28</v>
      </c>
      <c r="G5561" s="1" t="str">
        <f>"0130G494"</f>
        <v>0130G494</v>
      </c>
      <c r="H5561" s="1" t="str">
        <f>"쌍문간 31L11R1"</f>
        <v>쌍문간 31L11R1</v>
      </c>
      <c r="I5561" s="1" t="s">
        <v>8</v>
      </c>
      <c r="J5561" s="1" t="str">
        <f>"9/14"</f>
        <v>9/14</v>
      </c>
      <c r="K5561" s="1" t="str">
        <f>"2026-07-29 13:18:01"</f>
        <v>2026-07-29 13:18:01</v>
      </c>
      <c r="L5561" s="1" t="str">
        <f>"2023-08-07 10:34:08"</f>
        <v>2023-08-07 10:34:08</v>
      </c>
      <c r="M5561" s="1" t="s">
        <v>45</v>
      </c>
      <c r="N5561" s="1" t="s">
        <v>38</v>
      </c>
      <c r="O5561" s="1" t="s">
        <v>46</v>
      </c>
    </row>
    <row r="5562" spans="2:15" x14ac:dyDescent="0.3">
      <c r="B5562" s="1" t="s">
        <v>22</v>
      </c>
      <c r="C5562" s="1" t="str">
        <f>"5-2차"</f>
        <v>5-2차</v>
      </c>
      <c r="D5562" s="1" t="str">
        <f>"0130G6735M"</f>
        <v>0130G6735M</v>
      </c>
      <c r="E5562" s="1" t="s">
        <v>10</v>
      </c>
      <c r="F5562" s="1" t="str">
        <f>"fde1:103:4:9108:0:0:0:2"</f>
        <v>fde1:103:4:9108:0:0:0:2</v>
      </c>
      <c r="G5562" s="1" t="str">
        <f>"0130G673"</f>
        <v>0130G673</v>
      </c>
      <c r="H5562" s="1" t="str">
        <f>"쌍문간 31L11R7"</f>
        <v>쌍문간 31L11R7</v>
      </c>
      <c r="I5562" s="1" t="s">
        <v>15</v>
      </c>
      <c r="J5562" s="1" t="str">
        <f>"18/18"</f>
        <v>18/18</v>
      </c>
      <c r="K5562" s="1" t="str">
        <f>"2026-07-29 14:20:19"</f>
        <v>2026-07-29 14:20:19</v>
      </c>
      <c r="L5562" s="1" t="str">
        <f>"2024-01-08 11:17:28"</f>
        <v>2024-01-08 11:17:28</v>
      </c>
      <c r="M5562" s="1" t="s">
        <v>4</v>
      </c>
      <c r="N5562" s="1" t="s">
        <v>38</v>
      </c>
      <c r="O5562" s="1" t="s">
        <v>46</v>
      </c>
    </row>
    <row r="5563" spans="2:15" x14ac:dyDescent="0.3">
      <c r="B5563" s="1" t="s">
        <v>22</v>
      </c>
      <c r="C5563" s="1" t="str">
        <f t="shared" ref="C5563:C5568" si="288">"1차"</f>
        <v>1차</v>
      </c>
      <c r="D5563" s="1" t="str">
        <f>"0130G68600"</f>
        <v>0130G68600</v>
      </c>
      <c r="E5563" s="1" t="s">
        <v>10</v>
      </c>
      <c r="F5563" s="1" t="str">
        <f>"10.107.129.85"</f>
        <v>10.107.129.85</v>
      </c>
      <c r="G5563" s="1" t="str">
        <f>"0130G686"</f>
        <v>0130G686</v>
      </c>
      <c r="H5563" s="1" t="str">
        <f>"쌍문간 31L11R5"</f>
        <v>쌍문간 31L11R5</v>
      </c>
      <c r="I5563" s="1" t="s">
        <v>8</v>
      </c>
      <c r="J5563" s="1" t="str">
        <f>"7/9"</f>
        <v>7/9</v>
      </c>
      <c r="K5563" s="1" t="str">
        <f>"2026-07-29 13:18:02"</f>
        <v>2026-07-29 13:18:02</v>
      </c>
      <c r="L5563" s="1" t="str">
        <f>"2014-12-21 15:28:50"</f>
        <v>2014-12-21 15:28:50</v>
      </c>
      <c r="M5563" s="1" t="s">
        <v>45</v>
      </c>
      <c r="N5563" s="1" t="s">
        <v>38</v>
      </c>
      <c r="O5563" s="1" t="s">
        <v>46</v>
      </c>
    </row>
    <row r="5564" spans="2:15" x14ac:dyDescent="0.3">
      <c r="B5564" s="1" t="s">
        <v>22</v>
      </c>
      <c r="C5564" s="1" t="str">
        <f t="shared" si="288"/>
        <v>1차</v>
      </c>
      <c r="D5564" s="1" t="str">
        <f>"0130H03100"</f>
        <v>0130H03100</v>
      </c>
      <c r="E5564" s="1" t="s">
        <v>10</v>
      </c>
      <c r="F5564" s="1" t="str">
        <f>"10.107.249.108"</f>
        <v>10.107.249.108</v>
      </c>
      <c r="G5564" s="1" t="str">
        <f>"0130H031"</f>
        <v>0130H031</v>
      </c>
      <c r="H5564" s="1" t="str">
        <f>"쌍문간 6L10"</f>
        <v>쌍문간 6L10</v>
      </c>
      <c r="I5564" s="1" t="s">
        <v>8</v>
      </c>
      <c r="J5564" s="1" t="str">
        <f>"3/9"</f>
        <v>3/9</v>
      </c>
      <c r="K5564" s="1" t="str">
        <f>"2026-07-29 13:18:01"</f>
        <v>2026-07-29 13:18:01</v>
      </c>
      <c r="L5564" s="1" t="str">
        <f>"2014-12-26 14:28:01"</f>
        <v>2014-12-26 14:28:01</v>
      </c>
      <c r="M5564" s="1" t="s">
        <v>45</v>
      </c>
      <c r="N5564" s="1" t="s">
        <v>38</v>
      </c>
      <c r="O5564" s="1" t="s">
        <v>46</v>
      </c>
    </row>
    <row r="5565" spans="2:15" x14ac:dyDescent="0.3">
      <c r="B5565" s="1" t="s">
        <v>22</v>
      </c>
      <c r="C5565" s="1" t="str">
        <f t="shared" si="288"/>
        <v>1차</v>
      </c>
      <c r="D5565" s="1" t="str">
        <f>"0130H14301"</f>
        <v>0130H14301</v>
      </c>
      <c r="E5565" s="1" t="s">
        <v>14</v>
      </c>
      <c r="F5565" s="1" t="str">
        <f>"10.107.249.111"</f>
        <v>10.107.249.111</v>
      </c>
      <c r="G5565" s="1" t="str">
        <f>"0130H143"</f>
        <v>0130H143</v>
      </c>
      <c r="H5565" s="1" t="str">
        <f>"쌍문간 6L7R5"</f>
        <v>쌍문간 6L7R5</v>
      </c>
      <c r="I5565" s="1" t="s">
        <v>8</v>
      </c>
      <c r="J5565" s="1" t="str">
        <f>"0/0"</f>
        <v>0/0</v>
      </c>
      <c r="K5565" s="1" t="str">
        <f>"2025-02-17 01:21:01"</f>
        <v>2025-02-17 01:21:01</v>
      </c>
      <c r="L5565" s="1" t="str">
        <f>"2014-12-26 14:58:35"</f>
        <v>2014-12-26 14:58:35</v>
      </c>
      <c r="M5565" s="1" t="s">
        <v>45</v>
      </c>
      <c r="N5565" s="1" t="s">
        <v>44</v>
      </c>
      <c r="O5565" s="1" t="s">
        <v>44</v>
      </c>
    </row>
    <row r="5566" spans="2:15" x14ac:dyDescent="0.3">
      <c r="B5566" s="1" t="s">
        <v>22</v>
      </c>
      <c r="C5566" s="1" t="str">
        <f t="shared" si="288"/>
        <v>1차</v>
      </c>
      <c r="D5566" s="1" t="str">
        <f>"0130H23300"</f>
        <v>0130H23300</v>
      </c>
      <c r="E5566" s="1" t="s">
        <v>10</v>
      </c>
      <c r="F5566" s="1" t="str">
        <f>"10.107.249.109"</f>
        <v>10.107.249.109</v>
      </c>
      <c r="G5566" s="1" t="str">
        <f>"0130H233"</f>
        <v>0130H233</v>
      </c>
      <c r="H5566" s="1" t="str">
        <f>"쌍문간 6L7R1"</f>
        <v>쌍문간 6L7R1</v>
      </c>
      <c r="I5566" s="1" t="s">
        <v>8</v>
      </c>
      <c r="J5566" s="1" t="str">
        <f>"12/15"</f>
        <v>12/15</v>
      </c>
      <c r="K5566" s="1" t="str">
        <f>"2026-07-29 13:18:01"</f>
        <v>2026-07-29 13:18:01</v>
      </c>
      <c r="L5566" s="1" t="str">
        <f>"2014-12-26 14:28:28"</f>
        <v>2014-12-26 14:28:28</v>
      </c>
      <c r="M5566" s="1" t="s">
        <v>45</v>
      </c>
      <c r="N5566" s="1" t="s">
        <v>38</v>
      </c>
      <c r="O5566" s="1" t="s">
        <v>46</v>
      </c>
    </row>
    <row r="5567" spans="2:15" x14ac:dyDescent="0.3">
      <c r="B5567" s="1" t="s">
        <v>22</v>
      </c>
      <c r="C5567" s="1" t="str">
        <f t="shared" si="288"/>
        <v>1차</v>
      </c>
      <c r="D5567" s="1" t="str">
        <f>"0130H24200"</f>
        <v>0130H24200</v>
      </c>
      <c r="E5567" s="1" t="s">
        <v>12</v>
      </c>
      <c r="F5567" s="1" t="str">
        <f>"10.107.249.104"</f>
        <v>10.107.249.104</v>
      </c>
      <c r="G5567" s="1" t="str">
        <f>"0130H242"</f>
        <v>0130H242</v>
      </c>
      <c r="H5567" s="1" t="str">
        <f>"쌍문간 6L7R4"</f>
        <v>쌍문간 6L7R4</v>
      </c>
      <c r="I5567" s="1" t="s">
        <v>8</v>
      </c>
      <c r="J5567" s="1" t="str">
        <f>"0/30"</f>
        <v>0/30</v>
      </c>
      <c r="K5567" s="1" t="str">
        <f>"2026-06-30 07:18:01"</f>
        <v>2026-06-30 07:18:01</v>
      </c>
      <c r="L5567" s="1" t="str">
        <f>"2014-12-26 14:58:17"</f>
        <v>2014-12-26 14:58:17</v>
      </c>
      <c r="M5567" s="1" t="s">
        <v>45</v>
      </c>
      <c r="N5567" s="1" t="s">
        <v>38</v>
      </c>
      <c r="O5567" s="1" t="s">
        <v>46</v>
      </c>
    </row>
    <row r="5568" spans="2:15" x14ac:dyDescent="0.3">
      <c r="B5568" s="1" t="s">
        <v>22</v>
      </c>
      <c r="C5568" s="1" t="str">
        <f t="shared" si="288"/>
        <v>1차</v>
      </c>
      <c r="D5568" s="1" t="str">
        <f>"0130H26200"</f>
        <v>0130H26200</v>
      </c>
      <c r="E5568" s="1" t="s">
        <v>10</v>
      </c>
      <c r="F5568" s="1" t="str">
        <f>"10.107.249.112"</f>
        <v>10.107.249.112</v>
      </c>
      <c r="G5568" s="1" t="str">
        <f>"0130H262"</f>
        <v>0130H262</v>
      </c>
      <c r="H5568" s="1" t="str">
        <f>"쌍문간 9L2"</f>
        <v>쌍문간 9L2</v>
      </c>
      <c r="I5568" s="1" t="s">
        <v>8</v>
      </c>
      <c r="J5568" s="1" t="str">
        <f>"3/3"</f>
        <v>3/3</v>
      </c>
      <c r="K5568" s="1" t="str">
        <f>"2026-07-29 13:18:01"</f>
        <v>2026-07-29 13:18:01</v>
      </c>
      <c r="L5568" s="1" t="str">
        <f>"2014-12-30 17:13:15"</f>
        <v>2014-12-30 17:13:15</v>
      </c>
      <c r="M5568" s="1" t="s">
        <v>45</v>
      </c>
      <c r="N5568" s="1" t="s">
        <v>38</v>
      </c>
      <c r="O5568" s="1" t="s">
        <v>46</v>
      </c>
    </row>
    <row r="5569" spans="2:15" x14ac:dyDescent="0.3">
      <c r="B5569" s="1" t="s">
        <v>22</v>
      </c>
      <c r="C5569" s="1" t="str">
        <f>"5-1차"</f>
        <v>5-1차</v>
      </c>
      <c r="D5569" s="1" t="str">
        <f>"0130H3425M"</f>
        <v>0130H3425M</v>
      </c>
      <c r="E5569" s="1" t="s">
        <v>10</v>
      </c>
      <c r="F5569" s="1" t="str">
        <f>"fde3:102:1420:6400:0:0:0:3"</f>
        <v>fde3:102:1420:6400:0:0:0:3</v>
      </c>
      <c r="G5569" s="1" t="str">
        <f>"0130H342"</f>
        <v>0130H342</v>
      </c>
      <c r="H5569" s="1" t="str">
        <f>"쌍문간 6L7R2R1"</f>
        <v>쌍문간 6L7R2R1</v>
      </c>
      <c r="I5569" s="1" t="s">
        <v>15</v>
      </c>
      <c r="J5569" s="1" t="str">
        <f>"81/87"</f>
        <v>81/87</v>
      </c>
      <c r="K5569" s="1" t="str">
        <f>"2026-07-29 14:20:03"</f>
        <v>2026-07-29 14:20:03</v>
      </c>
      <c r="L5569" s="1" t="str">
        <f>"2022-10-26 16:18:26"</f>
        <v>2022-10-26 16:18:26</v>
      </c>
      <c r="M5569" s="1" t="s">
        <v>45</v>
      </c>
      <c r="N5569" s="1" t="s">
        <v>38</v>
      </c>
      <c r="O5569" s="1" t="s">
        <v>46</v>
      </c>
    </row>
    <row r="5570" spans="2:15" x14ac:dyDescent="0.3">
      <c r="B5570" s="1" t="s">
        <v>22</v>
      </c>
      <c r="C5570" s="1" t="str">
        <f>"6차"</f>
        <v>6차</v>
      </c>
      <c r="D5570" s="1" t="str">
        <f>"0130H3546S"</f>
        <v>0130H3546S</v>
      </c>
      <c r="E5570" s="1" t="s">
        <v>10</v>
      </c>
      <c r="F5570" s="1" t="str">
        <f>"fde1:103:4:c799:0:0:0:2"</f>
        <v>fde1:103:4:c799:0:0:0:2</v>
      </c>
      <c r="G5570" s="1" t="str">
        <f>"0130H354"</f>
        <v>0130H354</v>
      </c>
      <c r="H5570" s="1" t="str">
        <f>"쌍문간 9L1"</f>
        <v>쌍문간 9L1</v>
      </c>
      <c r="I5570" s="1" t="s">
        <v>15</v>
      </c>
      <c r="J5570" s="1" t="str">
        <f>"40/40"</f>
        <v>40/40</v>
      </c>
      <c r="K5570" s="1" t="str">
        <f>"2026-07-29 14:20:26"</f>
        <v>2026-07-29 14:20:26</v>
      </c>
      <c r="L5570" s="1" t="str">
        <f>"2025-01-21 17:07:44"</f>
        <v>2025-01-21 17:07:44</v>
      </c>
      <c r="M5570" s="1" t="s">
        <v>4</v>
      </c>
      <c r="N5570" s="1" t="s">
        <v>38</v>
      </c>
      <c r="O5570" s="1" t="s">
        <v>46</v>
      </c>
    </row>
    <row r="5571" spans="2:15" x14ac:dyDescent="0.3">
      <c r="B5571" s="1" t="s">
        <v>22</v>
      </c>
      <c r="C5571" s="1" t="str">
        <f>"1차"</f>
        <v>1차</v>
      </c>
      <c r="D5571" s="1" t="str">
        <f>"0130H45100"</f>
        <v>0130H45100</v>
      </c>
      <c r="E5571" s="1" t="s">
        <v>10</v>
      </c>
      <c r="F5571" s="1" t="str">
        <f>"10.107.249.107"</f>
        <v>10.107.249.107</v>
      </c>
      <c r="G5571" s="1" t="str">
        <f>"0130H451"</f>
        <v>0130H451</v>
      </c>
      <c r="H5571" s="1" t="str">
        <f>"쌍문간 8"</f>
        <v>쌍문간 8</v>
      </c>
      <c r="I5571" s="1" t="s">
        <v>8</v>
      </c>
      <c r="J5571" s="1" t="str">
        <f>"66/66"</f>
        <v>66/66</v>
      </c>
      <c r="K5571" s="1" t="str">
        <f>"2026-07-29 13:18:01"</f>
        <v>2026-07-29 13:18:01</v>
      </c>
      <c r="L5571" s="1" t="str">
        <f>"2014-12-26 15:13:37"</f>
        <v>2014-12-26 15:13:37</v>
      </c>
      <c r="M5571" s="1" t="s">
        <v>45</v>
      </c>
      <c r="N5571" s="1" t="s">
        <v>38</v>
      </c>
      <c r="O5571" s="1" t="s">
        <v>46</v>
      </c>
    </row>
    <row r="5572" spans="2:15" x14ac:dyDescent="0.3">
      <c r="B5572" s="1" t="s">
        <v>22</v>
      </c>
      <c r="C5572" s="1" t="str">
        <f>"5-1차"</f>
        <v>5-1차</v>
      </c>
      <c r="D5572" s="1" t="str">
        <f>"0130H4725M"</f>
        <v>0130H4725M</v>
      </c>
      <c r="E5572" s="1" t="s">
        <v>10</v>
      </c>
      <c r="F5572" s="1" t="str">
        <f>"fde3:102:1420:6400:0:0:0:4"</f>
        <v>fde3:102:1420:6400:0:0:0:4</v>
      </c>
      <c r="G5572" s="1" t="str">
        <f>"0130H472"</f>
        <v>0130H472</v>
      </c>
      <c r="H5572" s="1" t="str">
        <f>"쌍문간 12"</f>
        <v>쌍문간 12</v>
      </c>
      <c r="I5572" s="1" t="s">
        <v>15</v>
      </c>
      <c r="J5572" s="1" t="str">
        <f>"61/62"</f>
        <v>61/62</v>
      </c>
      <c r="K5572" s="1" t="str">
        <f>"2026-07-29 14:20:20"</f>
        <v>2026-07-29 14:20:20</v>
      </c>
      <c r="L5572" s="1" t="str">
        <f>"2022-10-31 19:32:19"</f>
        <v>2022-10-31 19:32:19</v>
      </c>
      <c r="M5572" s="1" t="s">
        <v>45</v>
      </c>
      <c r="N5572" s="1" t="s">
        <v>38</v>
      </c>
      <c r="O5572" s="1" t="s">
        <v>46</v>
      </c>
    </row>
    <row r="5573" spans="2:15" x14ac:dyDescent="0.3">
      <c r="B5573" s="1" t="s">
        <v>22</v>
      </c>
      <c r="C5573" s="1" t="str">
        <f>"6차"</f>
        <v>6차</v>
      </c>
      <c r="D5573" s="1" t="str">
        <f>"0130H4816S"</f>
        <v>0130H4816S</v>
      </c>
      <c r="E5573" s="1" t="s">
        <v>10</v>
      </c>
      <c r="F5573" s="1" t="str">
        <f>"fde1:103:4:93bd:0:0:0:2"</f>
        <v>fde1:103:4:93bd:0:0:0:2</v>
      </c>
      <c r="G5573" s="1" t="str">
        <f>"0130H481"</f>
        <v>0130H481</v>
      </c>
      <c r="H5573" s="1" t="str">
        <f>"쌍문간 13"</f>
        <v>쌍문간 13</v>
      </c>
      <c r="I5573" s="1" t="s">
        <v>15</v>
      </c>
      <c r="J5573" s="1" t="str">
        <f>"29/29"</f>
        <v>29/29</v>
      </c>
      <c r="K5573" s="1" t="str">
        <f>"2026-07-29 14:20:02"</f>
        <v>2026-07-29 14:20:02</v>
      </c>
      <c r="L5573" s="1" t="str">
        <f>"2025-02-18 15:57:05"</f>
        <v>2025-02-18 15:57:05</v>
      </c>
      <c r="M5573" s="1" t="s">
        <v>4</v>
      </c>
      <c r="N5573" s="1" t="s">
        <v>38</v>
      </c>
      <c r="O5573" s="1" t="s">
        <v>46</v>
      </c>
    </row>
    <row r="5574" spans="2:15" x14ac:dyDescent="0.3">
      <c r="B5574" s="1" t="s">
        <v>22</v>
      </c>
      <c r="C5574" s="1" t="str">
        <f>"1차"</f>
        <v>1차</v>
      </c>
      <c r="D5574" s="1" t="str">
        <f>"0130H58101"</f>
        <v>0130H58101</v>
      </c>
      <c r="E5574" s="1" t="s">
        <v>10</v>
      </c>
      <c r="F5574" s="1" t="str">
        <f>"10.12.129.208"</f>
        <v>10.12.129.208</v>
      </c>
      <c r="G5574" s="1" t="str">
        <f>"0130H581"</f>
        <v>0130H581</v>
      </c>
      <c r="H5574" s="1" t="str">
        <f>"쌍문간 12R2"</f>
        <v>쌍문간 12R2</v>
      </c>
      <c r="I5574" s="1" t="s">
        <v>8</v>
      </c>
      <c r="J5574" s="1" t="str">
        <f>"37/37"</f>
        <v>37/37</v>
      </c>
      <c r="K5574" s="1" t="str">
        <f>"2026-07-29 13:18:01"</f>
        <v>2026-07-29 13:18:01</v>
      </c>
      <c r="L5574" s="1" t="str">
        <f>"2014-12-22 12:13:57"</f>
        <v>2014-12-22 12:13:57</v>
      </c>
      <c r="M5574" s="1" t="s">
        <v>0</v>
      </c>
      <c r="N5574" s="1" t="s">
        <v>38</v>
      </c>
      <c r="O5574" s="1" t="s">
        <v>46</v>
      </c>
    </row>
    <row r="5575" spans="2:15" x14ac:dyDescent="0.3">
      <c r="B5575" s="1" t="s">
        <v>22</v>
      </c>
      <c r="C5575" s="1" t="str">
        <f>"1차"</f>
        <v>1차</v>
      </c>
      <c r="D5575" s="1" t="str">
        <f>"0130H58200"</f>
        <v>0130H58200</v>
      </c>
      <c r="E5575" s="1" t="s">
        <v>10</v>
      </c>
      <c r="F5575" s="1" t="str">
        <f>"10.107.249.105"</f>
        <v>10.107.249.105</v>
      </c>
      <c r="G5575" s="1" t="str">
        <f>"0130H582"</f>
        <v>0130H582</v>
      </c>
      <c r="H5575" s="1" t="str">
        <f>"쌍문간 12R3"</f>
        <v>쌍문간 12R3</v>
      </c>
      <c r="I5575" s="1" t="s">
        <v>8</v>
      </c>
      <c r="J5575" s="1" t="str">
        <f>"64/65"</f>
        <v>64/65</v>
      </c>
      <c r="K5575" s="1" t="str">
        <f>"2026-07-29 13:18:01"</f>
        <v>2026-07-29 13:18:01</v>
      </c>
      <c r="L5575" s="1" t="str">
        <f>"2014-12-22 11:43:24"</f>
        <v>2014-12-22 11:43:24</v>
      </c>
      <c r="M5575" s="1" t="s">
        <v>45</v>
      </c>
      <c r="N5575" s="1" t="s">
        <v>38</v>
      </c>
      <c r="O5575" s="1" t="s">
        <v>46</v>
      </c>
    </row>
    <row r="5576" spans="2:15" x14ac:dyDescent="0.3">
      <c r="B5576" s="1" t="s">
        <v>22</v>
      </c>
      <c r="C5576" s="1" t="str">
        <f>"1차"</f>
        <v>1차</v>
      </c>
      <c r="D5576" s="1" t="str">
        <f>"0130H59101"</f>
        <v>0130H59101</v>
      </c>
      <c r="E5576" s="1" t="s">
        <v>10</v>
      </c>
      <c r="F5576" s="1" t="str">
        <f>"10.12.136.167"</f>
        <v>10.12.136.167</v>
      </c>
      <c r="G5576" s="1" t="str">
        <f>"0130H591"</f>
        <v>0130H591</v>
      </c>
      <c r="H5576" s="1" t="str">
        <f>"쌍문간 12R4"</f>
        <v>쌍문간 12R4</v>
      </c>
      <c r="I5576" s="1" t="s">
        <v>8</v>
      </c>
      <c r="J5576" s="1" t="str">
        <f>"39/39"</f>
        <v>39/39</v>
      </c>
      <c r="K5576" s="1" t="str">
        <f>"2026-07-29 13:18:01"</f>
        <v>2026-07-29 13:18:01</v>
      </c>
      <c r="L5576" s="1" t="str">
        <f>"2014-12-22 11:43:21"</f>
        <v>2014-12-22 11:43:21</v>
      </c>
      <c r="M5576" s="1" t="s">
        <v>0</v>
      </c>
      <c r="N5576" s="1" t="s">
        <v>38</v>
      </c>
      <c r="O5576" s="1" t="s">
        <v>46</v>
      </c>
    </row>
    <row r="5577" spans="2:15" x14ac:dyDescent="0.3">
      <c r="B5577" s="1" t="s">
        <v>22</v>
      </c>
      <c r="C5577" s="1" t="str">
        <f>"4차"</f>
        <v>4차</v>
      </c>
      <c r="D5577" s="1" t="str">
        <f>"0130H67745"</f>
        <v>0130H67745</v>
      </c>
      <c r="E5577" s="1" t="s">
        <v>10</v>
      </c>
      <c r="F5577" s="1" t="str">
        <f>"10.14.15.57"</f>
        <v>10.14.15.57</v>
      </c>
      <c r="G5577" s="1" t="str">
        <f>"0130H677"</f>
        <v>0130H677</v>
      </c>
      <c r="H5577" s="1" t="str">
        <f>"쌍문 21"</f>
        <v>쌍문 21</v>
      </c>
      <c r="I5577" s="1" t="s">
        <v>17</v>
      </c>
      <c r="J5577" s="1" t="str">
        <f>"1/1"</f>
        <v>1/1</v>
      </c>
      <c r="K5577" s="1" t="str">
        <f>"2026-07-29 13:18:02"</f>
        <v>2026-07-29 13:18:02</v>
      </c>
      <c r="L5577" s="1" t="str">
        <f>"2021-06-22 14:19:34"</f>
        <v>2021-06-22 14:19:34</v>
      </c>
      <c r="M5577" s="1" t="s">
        <v>3</v>
      </c>
      <c r="N5577" s="1" t="s">
        <v>38</v>
      </c>
      <c r="O5577" s="1" t="s">
        <v>46</v>
      </c>
    </row>
    <row r="5578" spans="2:15" x14ac:dyDescent="0.3">
      <c r="B5578" s="1" t="s">
        <v>22</v>
      </c>
      <c r="C5578" s="1" t="str">
        <f>"5-2차"</f>
        <v>5-2차</v>
      </c>
      <c r="D5578" s="1" t="str">
        <f>"0130H7535M"</f>
        <v>0130H7535M</v>
      </c>
      <c r="E5578" s="1" t="s">
        <v>10</v>
      </c>
      <c r="F5578" s="1" t="str">
        <f>"fde3:102:1420:6400:0:0:0:5"</f>
        <v>fde3:102:1420:6400:0:0:0:5</v>
      </c>
      <c r="G5578" s="1" t="str">
        <f>"0130H753"</f>
        <v>0130H753</v>
      </c>
      <c r="H5578" s="1" t="str">
        <f>"쌍문SW 32R2"</f>
        <v>쌍문SW 32R2</v>
      </c>
      <c r="I5578" s="1" t="s">
        <v>15</v>
      </c>
      <c r="J5578" s="1" t="str">
        <f>"59/59"</f>
        <v>59/59</v>
      </c>
      <c r="K5578" s="1" t="str">
        <f>"2026-07-29 14:20:28"</f>
        <v>2026-07-29 14:20:28</v>
      </c>
      <c r="L5578" s="1" t="str">
        <f>"2023-12-19 12:09:19"</f>
        <v>2023-12-19 12:09:19</v>
      </c>
      <c r="M5578" s="1" t="s">
        <v>45</v>
      </c>
      <c r="N5578" s="1" t="s">
        <v>38</v>
      </c>
      <c r="O5578" s="1" t="s">
        <v>46</v>
      </c>
    </row>
    <row r="5579" spans="2:15" x14ac:dyDescent="0.3">
      <c r="B5579" s="1" t="s">
        <v>22</v>
      </c>
      <c r="C5579" s="1" t="str">
        <f>"4차"</f>
        <v>4차</v>
      </c>
      <c r="D5579" s="1" t="str">
        <f>"0130H78A45"</f>
        <v>0130H78A45</v>
      </c>
      <c r="E5579" s="1" t="s">
        <v>10</v>
      </c>
      <c r="F5579" s="1" t="str">
        <f>"10.14.15.56"</f>
        <v>10.14.15.56</v>
      </c>
      <c r="G5579" s="1" t="str">
        <f>"0130H78A"</f>
        <v>0130H78A</v>
      </c>
      <c r="H5579" s="1" t="str">
        <f>"쌍문 24"</f>
        <v>쌍문 24</v>
      </c>
      <c r="I5579" s="1" t="s">
        <v>17</v>
      </c>
      <c r="J5579" s="1" t="str">
        <f>"6/6"</f>
        <v>6/6</v>
      </c>
      <c r="K5579" s="1" t="str">
        <f>"2026-07-29 13:18:02"</f>
        <v>2026-07-29 13:18:02</v>
      </c>
      <c r="L5579" s="1" t="str">
        <f>"2021-06-22 10:17:42"</f>
        <v>2021-06-22 10:17:42</v>
      </c>
      <c r="M5579" s="1" t="s">
        <v>3</v>
      </c>
      <c r="N5579" s="1" t="s">
        <v>38</v>
      </c>
      <c r="O5579" s="1" t="s">
        <v>46</v>
      </c>
    </row>
    <row r="5580" spans="2:15" x14ac:dyDescent="0.3">
      <c r="B5580" s="1" t="s">
        <v>22</v>
      </c>
      <c r="C5580" s="1" t="str">
        <f>"5-1차"</f>
        <v>5-1차</v>
      </c>
      <c r="D5580" s="1" t="str">
        <f>"0130H8835M"</f>
        <v>0130H8835M</v>
      </c>
      <c r="E5580" s="1" t="s">
        <v>10</v>
      </c>
      <c r="F5580" s="1" t="str">
        <f>"fde2:104:0:143:0:0:0:2"</f>
        <v>fde2:104:0:143:0:0:0:2</v>
      </c>
      <c r="G5580" s="1" t="str">
        <f>"0130H883"</f>
        <v>0130H883</v>
      </c>
      <c r="H5580" s="1" t="str">
        <f>"신창간 7L5L4"</f>
        <v>신창간 7L5L4</v>
      </c>
      <c r="I5580" s="1" t="s">
        <v>15</v>
      </c>
      <c r="J5580" s="1" t="str">
        <f>"16/16"</f>
        <v>16/16</v>
      </c>
      <c r="K5580" s="1" t="str">
        <f>"2026-07-29 14:21:01"</f>
        <v>2026-07-29 14:21:01</v>
      </c>
      <c r="L5580" s="1" t="str">
        <f>"2022-10-06 15:18:29"</f>
        <v>2022-10-06 15:18:29</v>
      </c>
      <c r="M5580" s="1" t="s">
        <v>42</v>
      </c>
      <c r="N5580" s="1" t="s">
        <v>38</v>
      </c>
      <c r="O5580" s="1" t="s">
        <v>46</v>
      </c>
    </row>
    <row r="5581" spans="2:15" x14ac:dyDescent="0.3">
      <c r="B5581" s="1" t="s">
        <v>22</v>
      </c>
      <c r="C5581" s="1" t="str">
        <f>"4차"</f>
        <v>4차</v>
      </c>
      <c r="D5581" s="1" t="str">
        <f>"0130H89645"</f>
        <v>0130H89645</v>
      </c>
      <c r="E5581" s="1" t="s">
        <v>10</v>
      </c>
      <c r="F5581" s="1" t="str">
        <f>"10.14.1.2"</f>
        <v>10.14.1.2</v>
      </c>
      <c r="G5581" s="1" t="str">
        <f>"0130H896"</f>
        <v>0130H896</v>
      </c>
      <c r="H5581" s="1" t="str">
        <f>"쌍문 15"</f>
        <v>쌍문 15</v>
      </c>
      <c r="I5581" s="1" t="s">
        <v>17</v>
      </c>
      <c r="J5581" s="1" t="str">
        <f>"7/7"</f>
        <v>7/7</v>
      </c>
      <c r="K5581" s="1" t="str">
        <f>"2026-07-29 13:18:02"</f>
        <v>2026-07-29 13:18:02</v>
      </c>
      <c r="L5581" s="1" t="str">
        <f>"2021-06-22 10:39:41"</f>
        <v>2021-06-22 10:39:41</v>
      </c>
      <c r="M5581" s="1" t="s">
        <v>3</v>
      </c>
      <c r="N5581" s="1" t="s">
        <v>38</v>
      </c>
      <c r="O5581" s="1" t="s">
        <v>46</v>
      </c>
    </row>
    <row r="5582" spans="2:15" x14ac:dyDescent="0.3">
      <c r="B5582" s="1" t="s">
        <v>22</v>
      </c>
      <c r="C5582" s="1" t="str">
        <f>"5-1차"</f>
        <v>5-1차</v>
      </c>
      <c r="D5582" s="1" t="str">
        <f>"0130H9115M"</f>
        <v>0130H9115M</v>
      </c>
      <c r="E5582" s="1" t="s">
        <v>10</v>
      </c>
      <c r="F5582" s="1" t="str">
        <f>"fde3:102:1420:6300:0:0:0:2"</f>
        <v>fde3:102:1420:6300:0:0:0:2</v>
      </c>
      <c r="G5582" s="1" t="str">
        <f>"0130H911"</f>
        <v>0130H911</v>
      </c>
      <c r="H5582" s="1" t="str">
        <f>"신창간 7L15R1"</f>
        <v>신창간 7L15R1</v>
      </c>
      <c r="I5582" s="1" t="s">
        <v>15</v>
      </c>
      <c r="J5582" s="1" t="str">
        <f>"50/50"</f>
        <v>50/50</v>
      </c>
      <c r="K5582" s="1" t="str">
        <f>"2026-07-29 14:20:28"</f>
        <v>2026-07-29 14:20:28</v>
      </c>
      <c r="L5582" s="1" t="str">
        <f>"2022-11-14 16:44:45"</f>
        <v>2022-11-14 16:44:45</v>
      </c>
      <c r="M5582" s="1" t="s">
        <v>45</v>
      </c>
      <c r="N5582" s="1" t="s">
        <v>38</v>
      </c>
      <c r="O5582" s="1" t="s">
        <v>46</v>
      </c>
    </row>
    <row r="5583" spans="2:15" x14ac:dyDescent="0.3">
      <c r="B5583" s="1" t="s">
        <v>22</v>
      </c>
      <c r="C5583" s="1" t="str">
        <f>"6차"</f>
        <v>6차</v>
      </c>
      <c r="D5583" s="1" t="str">
        <f>"0130H9316S"</f>
        <v>0130H9316S</v>
      </c>
      <c r="E5583" s="1" t="s">
        <v>10</v>
      </c>
      <c r="F5583" s="1" t="str">
        <f>"fde1:103:4:c717:0:0:0:2"</f>
        <v>fde1:103:4:c717:0:0:0:2</v>
      </c>
      <c r="G5583" s="1" t="str">
        <f>"0130H931"</f>
        <v>0130H931</v>
      </c>
      <c r="H5583" s="1" t="str">
        <f>"신창간 7L13"</f>
        <v>신창간 7L13</v>
      </c>
      <c r="I5583" s="1" t="s">
        <v>15</v>
      </c>
      <c r="J5583" s="1" t="str">
        <f>"54/69"</f>
        <v>54/69</v>
      </c>
      <c r="K5583" s="1" t="str">
        <f>"2026-07-29 14:20:03"</f>
        <v>2026-07-29 14:20:03</v>
      </c>
      <c r="L5583" s="1" t="str">
        <f>"2025-01-17 17:35:30"</f>
        <v>2025-01-17 17:35:30</v>
      </c>
      <c r="M5583" s="1" t="s">
        <v>4</v>
      </c>
      <c r="N5583" s="1" t="s">
        <v>38</v>
      </c>
      <c r="O5583" s="1" t="s">
        <v>46</v>
      </c>
    </row>
    <row r="5584" spans="2:15" x14ac:dyDescent="0.3">
      <c r="B5584" s="1" t="s">
        <v>22</v>
      </c>
      <c r="C5584" s="1" t="str">
        <f>"1차"</f>
        <v>1차</v>
      </c>
      <c r="D5584" s="1" t="str">
        <f>"0130H95100"</f>
        <v>0130H95100</v>
      </c>
      <c r="E5584" s="1" t="s">
        <v>10</v>
      </c>
      <c r="F5584" s="1" t="str">
        <f>"10.107.249.25"</f>
        <v>10.107.249.25</v>
      </c>
      <c r="G5584" s="1" t="str">
        <f>"0130H951"</f>
        <v>0130H951</v>
      </c>
      <c r="H5584" s="1" t="str">
        <f>"신창간 7L10"</f>
        <v>신창간 7L10</v>
      </c>
      <c r="I5584" s="1" t="s">
        <v>8</v>
      </c>
      <c r="J5584" s="1" t="str">
        <f>"36/37"</f>
        <v>36/37</v>
      </c>
      <c r="K5584" s="1" t="str">
        <f>"2026-07-29 13:18:01"</f>
        <v>2026-07-29 13:18:01</v>
      </c>
      <c r="L5584" s="1" t="str">
        <f>"2014-12-20 12:13:19"</f>
        <v>2014-12-20 12:13:19</v>
      </c>
      <c r="M5584" s="1" t="s">
        <v>45</v>
      </c>
      <c r="N5584" s="1" t="s">
        <v>38</v>
      </c>
      <c r="O5584" s="1" t="s">
        <v>46</v>
      </c>
    </row>
    <row r="5585" spans="2:15" x14ac:dyDescent="0.3">
      <c r="B5585" s="1" t="s">
        <v>22</v>
      </c>
      <c r="C5585" s="1" t="str">
        <f>"5-2차"</f>
        <v>5-2차</v>
      </c>
      <c r="D5585" s="1" t="str">
        <f>"0130H9915M"</f>
        <v>0130H9915M</v>
      </c>
      <c r="E5585" s="1" t="s">
        <v>10</v>
      </c>
      <c r="F5585" s="1" t="str">
        <f>"fde1:103:4:916b:0:0:0:2"</f>
        <v>fde1:103:4:916b:0:0:0:2</v>
      </c>
      <c r="G5585" s="1" t="str">
        <f>"0130H991"</f>
        <v>0130H991</v>
      </c>
      <c r="H5585" s="1" t="str">
        <f>"신창간 79R7"</f>
        <v>신창간 79R7</v>
      </c>
      <c r="I5585" s="1" t="s">
        <v>15</v>
      </c>
      <c r="J5585" s="1" t="str">
        <f>"12/12"</f>
        <v>12/12</v>
      </c>
      <c r="K5585" s="1" t="str">
        <f>"2026-07-29 14:21:01"</f>
        <v>2026-07-29 14:21:01</v>
      </c>
      <c r="L5585" s="1" t="str">
        <f>"2024-01-18 08:41:39"</f>
        <v>2024-01-18 08:41:39</v>
      </c>
      <c r="M5585" s="1" t="s">
        <v>4</v>
      </c>
      <c r="N5585" s="1" t="s">
        <v>38</v>
      </c>
      <c r="O5585" s="1" t="s">
        <v>46</v>
      </c>
    </row>
    <row r="5586" spans="2:15" x14ac:dyDescent="0.3">
      <c r="B5586" s="1" t="s">
        <v>22</v>
      </c>
      <c r="C5586" s="1" t="str">
        <f>"5-1차"</f>
        <v>5-1차</v>
      </c>
      <c r="D5586" s="1" t="str">
        <f>"0130H9925M"</f>
        <v>0130H9925M</v>
      </c>
      <c r="E5586" s="1" t="s">
        <v>10</v>
      </c>
      <c r="F5586" s="1" t="str">
        <f>"fde2:104:0:15e:0:0:0:2"</f>
        <v>fde2:104:0:15e:0:0:0:2</v>
      </c>
      <c r="G5586" s="1" t="str">
        <f>"0130H992"</f>
        <v>0130H992</v>
      </c>
      <c r="H5586" s="1" t="str">
        <f>"신창간 79R8"</f>
        <v>신창간 79R8</v>
      </c>
      <c r="I5586" s="1" t="s">
        <v>15</v>
      </c>
      <c r="J5586" s="1" t="str">
        <f>"48/48"</f>
        <v>48/48</v>
      </c>
      <c r="K5586" s="1" t="str">
        <f>"2026-07-29 14:20:20"</f>
        <v>2026-07-29 14:20:20</v>
      </c>
      <c r="L5586" s="1" t="str">
        <f>"2022-10-07 07:51:57"</f>
        <v>2022-10-07 07:51:57</v>
      </c>
      <c r="M5586" s="1" t="s">
        <v>42</v>
      </c>
      <c r="N5586" s="1" t="s">
        <v>38</v>
      </c>
      <c r="O5586" s="1" t="s">
        <v>46</v>
      </c>
    </row>
    <row r="5587" spans="2:15" x14ac:dyDescent="0.3">
      <c r="B5587" s="1" t="s">
        <v>22</v>
      </c>
      <c r="C5587" s="1" t="str">
        <f>"1차"</f>
        <v>1차</v>
      </c>
      <c r="D5587" s="1" t="str">
        <f>"0130X84500"</f>
        <v>0130X84500</v>
      </c>
      <c r="E5587" s="1" t="s">
        <v>10</v>
      </c>
      <c r="F5587" s="1" t="str">
        <f>"10.107.252.42"</f>
        <v>10.107.252.42</v>
      </c>
      <c r="G5587" s="1" t="str">
        <f>"0130X845"</f>
        <v>0130X845</v>
      </c>
      <c r="H5587" s="1" t="str">
        <f>"신창간 26"</f>
        <v>신창간 26</v>
      </c>
      <c r="I5587" s="1" t="s">
        <v>8</v>
      </c>
      <c r="J5587" s="1" t="str">
        <f>"12/12"</f>
        <v>12/12</v>
      </c>
      <c r="K5587" s="1" t="str">
        <f>"2026-07-29 13:18:01"</f>
        <v>2026-07-29 13:18:01</v>
      </c>
      <c r="L5587" s="1" t="str">
        <f>"2014-12-20 09:27:56"</f>
        <v>2014-12-20 09:27:56</v>
      </c>
      <c r="M5587" s="1" t="s">
        <v>45</v>
      </c>
      <c r="N5587" s="1" t="s">
        <v>38</v>
      </c>
      <c r="O5587" s="1" t="s">
        <v>46</v>
      </c>
    </row>
    <row r="5588" spans="2:15" x14ac:dyDescent="0.3">
      <c r="B5588" s="1" t="s">
        <v>22</v>
      </c>
      <c r="C5588" s="1" t="str">
        <f>"1차"</f>
        <v>1차</v>
      </c>
      <c r="D5588" s="1" t="str">
        <f>"0130X84600"</f>
        <v>0130X84600</v>
      </c>
      <c r="E5588" s="1" t="s">
        <v>10</v>
      </c>
      <c r="F5588" s="1" t="str">
        <f>"10.107.252.45"</f>
        <v>10.107.252.45</v>
      </c>
      <c r="G5588" s="1" t="str">
        <f>"0130X846"</f>
        <v>0130X846</v>
      </c>
      <c r="H5588" s="1" t="str">
        <f>"신창간 27"</f>
        <v>신창간 27</v>
      </c>
      <c r="I5588" s="1" t="s">
        <v>8</v>
      </c>
      <c r="J5588" s="1" t="str">
        <f>"8/16"</f>
        <v>8/16</v>
      </c>
      <c r="K5588" s="1" t="str">
        <f>"2026-07-29 13:18:02"</f>
        <v>2026-07-29 13:18:02</v>
      </c>
      <c r="L5588" s="1" t="str">
        <f>"2021-07-27 09:55:35"</f>
        <v>2021-07-27 09:55:35</v>
      </c>
      <c r="M5588" s="1" t="s">
        <v>45</v>
      </c>
      <c r="N5588" s="1" t="s">
        <v>38</v>
      </c>
      <c r="O5588" s="1" t="s">
        <v>46</v>
      </c>
    </row>
    <row r="5589" spans="2:15" x14ac:dyDescent="0.3">
      <c r="B5589" s="1" t="s">
        <v>22</v>
      </c>
      <c r="C5589" s="1" t="str">
        <f>"5-2차"</f>
        <v>5-2차</v>
      </c>
      <c r="D5589" s="1" t="str">
        <f>"0130X8915M"</f>
        <v>0130X8915M</v>
      </c>
      <c r="E5589" s="1" t="s">
        <v>10</v>
      </c>
      <c r="F5589" s="1" t="str">
        <f>"fde3:102:1420:6300:0:0:0:7"</f>
        <v>fde3:102:1420:6300:0:0:0:7</v>
      </c>
      <c r="G5589" s="1" t="str">
        <f>"0130X891"</f>
        <v>0130X891</v>
      </c>
      <c r="H5589" s="1" t="str">
        <f>"신창간 128"</f>
        <v>신창간 128</v>
      </c>
      <c r="I5589" s="1" t="s">
        <v>15</v>
      </c>
      <c r="J5589" s="1" t="str">
        <f>"60/60"</f>
        <v>60/60</v>
      </c>
      <c r="K5589" s="1" t="str">
        <f>"2026-07-29 14:20:24"</f>
        <v>2026-07-29 14:20:24</v>
      </c>
      <c r="L5589" s="1" t="str">
        <f>"2023-12-18 14:01:42"</f>
        <v>2023-12-18 14:01:42</v>
      </c>
      <c r="M5589" s="1" t="s">
        <v>45</v>
      </c>
      <c r="N5589" s="1" t="s">
        <v>38</v>
      </c>
      <c r="O5589" s="1" t="s">
        <v>46</v>
      </c>
    </row>
    <row r="5590" spans="2:15" x14ac:dyDescent="0.3">
      <c r="B5590" s="1" t="s">
        <v>22</v>
      </c>
      <c r="C5590" s="1" t="str">
        <f>"5-2차"</f>
        <v>5-2차</v>
      </c>
      <c r="D5590" s="1" t="str">
        <f>"0130X8965M"</f>
        <v>0130X8965M</v>
      </c>
      <c r="E5590" s="1" t="s">
        <v>10</v>
      </c>
      <c r="F5590" s="1" t="str">
        <f>"fde3:102:1420:6300:0:0:0:6"</f>
        <v>fde3:102:1420:6300:0:0:0:6</v>
      </c>
      <c r="G5590" s="1" t="str">
        <f>"0130X896"</f>
        <v>0130X896</v>
      </c>
      <c r="H5590" s="1" t="str">
        <f>"신창간 129"</f>
        <v>신창간 129</v>
      </c>
      <c r="I5590" s="1" t="s">
        <v>15</v>
      </c>
      <c r="J5590" s="1" t="str">
        <f>"46/46"</f>
        <v>46/46</v>
      </c>
      <c r="K5590" s="1" t="str">
        <f>"2026-07-29 14:20:06"</f>
        <v>2026-07-29 14:20:06</v>
      </c>
      <c r="L5590" s="1" t="str">
        <f>"2023-12-18 13:27:23"</f>
        <v>2023-12-18 13:27:23</v>
      </c>
      <c r="M5590" s="1" t="s">
        <v>45</v>
      </c>
      <c r="N5590" s="1" t="s">
        <v>38</v>
      </c>
      <c r="O5590" s="1" t="s">
        <v>46</v>
      </c>
    </row>
    <row r="5591" spans="2:15" x14ac:dyDescent="0.3">
      <c r="B5591" s="1" t="s">
        <v>22</v>
      </c>
      <c r="C5591" s="1" t="str">
        <f>"1차"</f>
        <v>1차</v>
      </c>
      <c r="D5591" s="1" t="str">
        <f>"0130X90100"</f>
        <v>0130X90100</v>
      </c>
      <c r="E5591" s="1" t="s">
        <v>10</v>
      </c>
      <c r="F5591" s="1" t="str">
        <f>"10.107.249.23"</f>
        <v>10.107.249.23</v>
      </c>
      <c r="G5591" s="1" t="str">
        <f>"0130X901"</f>
        <v>0130X901</v>
      </c>
      <c r="H5591" s="1" t="str">
        <f>"신창간 32H1"</f>
        <v>신창간 32H1</v>
      </c>
      <c r="I5591" s="1" t="s">
        <v>8</v>
      </c>
      <c r="J5591" s="1" t="str">
        <f>"32/33"</f>
        <v>32/33</v>
      </c>
      <c r="K5591" s="1" t="str">
        <f>"2026-07-29 13:18:01"</f>
        <v>2026-07-29 13:18:01</v>
      </c>
      <c r="L5591" s="1" t="str">
        <f>"2014-12-24 11:58:05"</f>
        <v>2014-12-24 11:58:05</v>
      </c>
      <c r="M5591" s="1" t="s">
        <v>45</v>
      </c>
      <c r="N5591" s="1" t="s">
        <v>38</v>
      </c>
      <c r="O5591" s="1" t="s">
        <v>46</v>
      </c>
    </row>
    <row r="5592" spans="2:15" x14ac:dyDescent="0.3">
      <c r="B5592" s="1" t="s">
        <v>22</v>
      </c>
      <c r="C5592" s="1" t="str">
        <f>"1차"</f>
        <v>1차</v>
      </c>
      <c r="D5592" s="1" t="str">
        <f>"0130X91101"</f>
        <v>0130X91101</v>
      </c>
      <c r="E5592" s="1" t="s">
        <v>10</v>
      </c>
      <c r="F5592" s="1" t="str">
        <f>"10.12.128.7"</f>
        <v>10.12.128.7</v>
      </c>
      <c r="G5592" s="1" t="str">
        <f>"0130X911"</f>
        <v>0130X911</v>
      </c>
      <c r="H5592" s="1" t="str">
        <f>"신창간 31"</f>
        <v>신창간 31</v>
      </c>
      <c r="I5592" s="1" t="s">
        <v>8</v>
      </c>
      <c r="J5592" s="1" t="str">
        <f>"37/37"</f>
        <v>37/37</v>
      </c>
      <c r="K5592" s="1" t="str">
        <f>"2026-07-29 13:18:02"</f>
        <v>2026-07-29 13:18:02</v>
      </c>
      <c r="L5592" s="1" t="str">
        <f>"2014-12-24 12:12:50"</f>
        <v>2014-12-24 12:12:50</v>
      </c>
      <c r="M5592" s="1" t="s">
        <v>0</v>
      </c>
      <c r="N5592" s="1" t="s">
        <v>38</v>
      </c>
      <c r="O5592" s="1" t="s">
        <v>46</v>
      </c>
    </row>
    <row r="5593" spans="2:15" x14ac:dyDescent="0.3">
      <c r="B5593" s="1" t="s">
        <v>22</v>
      </c>
      <c r="C5593" s="1" t="str">
        <f>"5-1차"</f>
        <v>5-1차</v>
      </c>
      <c r="D5593" s="1" t="str">
        <f>"0130X9715M"</f>
        <v>0130X9715M</v>
      </c>
      <c r="E5593" s="1" t="s">
        <v>10</v>
      </c>
      <c r="F5593" s="1" t="str">
        <f>"fde3:102:1420:6300:0:0:0:3"</f>
        <v>fde3:102:1420:6300:0:0:0:3</v>
      </c>
      <c r="G5593" s="1" t="str">
        <f>"0130X971"</f>
        <v>0130X971</v>
      </c>
      <c r="H5593" s="1" t="str">
        <f>"신창간 28L8"</f>
        <v>신창간 28L8</v>
      </c>
      <c r="I5593" s="1" t="s">
        <v>15</v>
      </c>
      <c r="J5593" s="1" t="str">
        <f>"28/28"</f>
        <v>28/28</v>
      </c>
      <c r="K5593" s="1" t="str">
        <f>"2026-07-29 14:20:47"</f>
        <v>2026-07-29 14:20:47</v>
      </c>
      <c r="L5593" s="1" t="str">
        <f>"2022-11-14 15:58:38"</f>
        <v>2022-11-14 15:58:38</v>
      </c>
      <c r="M5593" s="1" t="s">
        <v>45</v>
      </c>
      <c r="N5593" s="1" t="s">
        <v>38</v>
      </c>
      <c r="O5593" s="1" t="s">
        <v>46</v>
      </c>
    </row>
    <row r="5594" spans="2:15" x14ac:dyDescent="0.3">
      <c r="B5594" s="1" t="s">
        <v>22</v>
      </c>
      <c r="C5594" s="1" t="str">
        <f>"5-1차"</f>
        <v>5-1차</v>
      </c>
      <c r="D5594" s="1" t="str">
        <f>"0130X9915M"</f>
        <v>0130X9915M</v>
      </c>
      <c r="E5594" s="1" t="s">
        <v>10</v>
      </c>
      <c r="F5594" s="1" t="str">
        <f>"fde3:102:1420:6300:0:0:0:4"</f>
        <v>fde3:102:1420:6300:0:0:0:4</v>
      </c>
      <c r="G5594" s="1" t="str">
        <f>"0130X991"</f>
        <v>0130X991</v>
      </c>
      <c r="H5594" s="1" t="str">
        <f>"신창간 125"</f>
        <v>신창간 125</v>
      </c>
      <c r="I5594" s="1" t="s">
        <v>15</v>
      </c>
      <c r="J5594" s="1" t="str">
        <f>"49/49"</f>
        <v>49/49</v>
      </c>
      <c r="K5594" s="1" t="str">
        <f>"2026-07-29 14:20:47"</f>
        <v>2026-07-29 14:20:47</v>
      </c>
      <c r="L5594" s="1" t="str">
        <f>"2022-11-14 17:05:35"</f>
        <v>2022-11-14 17:05:35</v>
      </c>
      <c r="M5594" s="1" t="s">
        <v>45</v>
      </c>
      <c r="N5594" s="1" t="s">
        <v>38</v>
      </c>
      <c r="O5594" s="1" t="s">
        <v>46</v>
      </c>
    </row>
    <row r="5595" spans="2:15" x14ac:dyDescent="0.3">
      <c r="B5595" s="1" t="s">
        <v>22</v>
      </c>
      <c r="C5595" s="1" t="str">
        <f>"5-1차"</f>
        <v>5-1차</v>
      </c>
      <c r="D5595" s="1" t="str">
        <f>"0131C5215M"</f>
        <v>0131C5215M</v>
      </c>
      <c r="E5595" s="1" t="s">
        <v>10</v>
      </c>
      <c r="F5595" s="1" t="str">
        <f>"fde3:102:1420:5200:0:0:0:2"</f>
        <v>fde3:102:1420:5200:0:0:0:2</v>
      </c>
      <c r="G5595" s="1" t="str">
        <f>"0131C521"</f>
        <v>0131C521</v>
      </c>
      <c r="H5595" s="1" t="str">
        <f>"쌍덕간 56R1R2L17"</f>
        <v>쌍덕간 56R1R2L17</v>
      </c>
      <c r="I5595" s="1" t="s">
        <v>15</v>
      </c>
      <c r="J5595" s="1" t="str">
        <f>"51/51"</f>
        <v>51/51</v>
      </c>
      <c r="K5595" s="1" t="str">
        <f>"2026-07-29 14:20:10"</f>
        <v>2026-07-29 14:20:10</v>
      </c>
      <c r="L5595" s="1" t="str">
        <f>"2022-11-18 10:36:33"</f>
        <v>2022-11-18 10:36:33</v>
      </c>
      <c r="M5595" s="1" t="s">
        <v>45</v>
      </c>
      <c r="N5595" s="1" t="s">
        <v>38</v>
      </c>
      <c r="O5595" s="1" t="s">
        <v>46</v>
      </c>
    </row>
    <row r="5596" spans="2:15" x14ac:dyDescent="0.3">
      <c r="B5596" s="1" t="s">
        <v>22</v>
      </c>
      <c r="C5596" s="1" t="str">
        <f>"5-1차"</f>
        <v>5-1차</v>
      </c>
      <c r="D5596" s="1" t="str">
        <f>"0131C5225M"</f>
        <v>0131C5225M</v>
      </c>
      <c r="E5596" s="1" t="s">
        <v>10</v>
      </c>
      <c r="F5596" s="1" t="str">
        <f>"fde3:102:1420:5200:0:0:0:3"</f>
        <v>fde3:102:1420:5200:0:0:0:3</v>
      </c>
      <c r="G5596" s="1" t="str">
        <f>"0131C522"</f>
        <v>0131C522</v>
      </c>
      <c r="H5596" s="1" t="str">
        <f>"쌍덕간 56R1R2L16"</f>
        <v>쌍덕간 56R1R2L16</v>
      </c>
      <c r="I5596" s="1" t="s">
        <v>15</v>
      </c>
      <c r="J5596" s="1" t="str">
        <f>"38/38"</f>
        <v>38/38</v>
      </c>
      <c r="K5596" s="1" t="str">
        <f>"2026-07-29 14:20:13"</f>
        <v>2026-07-29 14:20:13</v>
      </c>
      <c r="L5596" s="1" t="str">
        <f>"2022-09-27 08:53:56"</f>
        <v>2022-09-27 08:53:56</v>
      </c>
      <c r="M5596" s="1" t="s">
        <v>45</v>
      </c>
      <c r="N5596" s="1" t="s">
        <v>38</v>
      </c>
      <c r="O5596" s="1" t="s">
        <v>46</v>
      </c>
    </row>
    <row r="5597" spans="2:15" x14ac:dyDescent="0.3">
      <c r="B5597" s="1" t="s">
        <v>22</v>
      </c>
      <c r="C5597" s="1" t="str">
        <f>"5-1차"</f>
        <v>5-1차</v>
      </c>
      <c r="D5597" s="1" t="str">
        <f>"0131C6025M"</f>
        <v>0131C6025M</v>
      </c>
      <c r="E5597" s="1" t="s">
        <v>10</v>
      </c>
      <c r="F5597" s="1" t="str">
        <f>"fde2:104:0:158:0:0:0:2"</f>
        <v>fde2:104:0:158:0:0:0:2</v>
      </c>
      <c r="G5597" s="1" t="str">
        <f>"0131C602"</f>
        <v>0131C602</v>
      </c>
      <c r="H5597" s="1" t="str">
        <f>"쌍덕간 56R1R2L13"</f>
        <v>쌍덕간 56R1R2L13</v>
      </c>
      <c r="I5597" s="1" t="s">
        <v>15</v>
      </c>
      <c r="J5597" s="1" t="str">
        <f>"58/59"</f>
        <v>58/59</v>
      </c>
      <c r="K5597" s="1" t="str">
        <f>"2026-07-29 14:20:13"</f>
        <v>2026-07-29 14:20:13</v>
      </c>
      <c r="L5597" s="1" t="str">
        <f>"2022-10-07 08:43:24"</f>
        <v>2022-10-07 08:43:24</v>
      </c>
      <c r="M5597" s="1" t="s">
        <v>42</v>
      </c>
      <c r="N5597" s="1" t="s">
        <v>38</v>
      </c>
      <c r="O5597" s="1" t="s">
        <v>46</v>
      </c>
    </row>
    <row r="5598" spans="2:15" x14ac:dyDescent="0.3">
      <c r="B5598" s="1" t="s">
        <v>22</v>
      </c>
      <c r="C5598" s="1" t="str">
        <f>"2차"</f>
        <v>2차</v>
      </c>
      <c r="D5598" s="1" t="str">
        <f>"0131D83129"</f>
        <v>0131D83129</v>
      </c>
      <c r="E5598" s="1" t="s">
        <v>14</v>
      </c>
      <c r="F5598" s="1" t="str">
        <f>"10.107.250.130"</f>
        <v>10.107.250.130</v>
      </c>
      <c r="G5598" s="1" t="str">
        <f>"0131D831"</f>
        <v>0131D831</v>
      </c>
      <c r="H5598" s="1" t="str">
        <f>"도우지 47"</f>
        <v>도우지 47</v>
      </c>
      <c r="I5598" s="1" t="s">
        <v>8</v>
      </c>
      <c r="J5598" s="1" t="str">
        <f>"0/0"</f>
        <v>0/0</v>
      </c>
      <c r="K5598" s="1" t="str">
        <f>"2026-07-29 13:18:01"</f>
        <v>2026-07-29 13:18:01</v>
      </c>
      <c r="L5598" s="1" t="str">
        <f>"2017-08-02 10:21:03"</f>
        <v>2017-08-02 10:21:03</v>
      </c>
      <c r="M5598" s="1" t="s">
        <v>45</v>
      </c>
      <c r="N5598" s="1" t="s">
        <v>38</v>
      </c>
      <c r="O5598" s="1" t="s">
        <v>44</v>
      </c>
    </row>
    <row r="5599" spans="2:15" x14ac:dyDescent="0.3">
      <c r="B5599" s="1" t="s">
        <v>22</v>
      </c>
      <c r="C5599" s="1" t="str">
        <f>"5-1차"</f>
        <v>5-1차</v>
      </c>
      <c r="D5599" s="1" t="str">
        <f>"0131D9125S"</f>
        <v>0131D9125S</v>
      </c>
      <c r="E5599" s="1" t="s">
        <v>10</v>
      </c>
      <c r="F5599" s="1" t="str">
        <f>"fde2:104:0:153:0:0:0:2"</f>
        <v>fde2:104:0:153:0:0:0:2</v>
      </c>
      <c r="G5599" s="1" t="str">
        <f>"0131D912"</f>
        <v>0131D912</v>
      </c>
      <c r="H5599" s="1" t="str">
        <f>"도우지 44L3R4"</f>
        <v>도우지 44L3R4</v>
      </c>
      <c r="I5599" s="1" t="s">
        <v>15</v>
      </c>
      <c r="J5599" s="1" t="str">
        <f>"51/52"</f>
        <v>51/52</v>
      </c>
      <c r="K5599" s="1" t="str">
        <f>"2026-07-29 14:20:13"</f>
        <v>2026-07-29 14:20:13</v>
      </c>
      <c r="L5599" s="1" t="str">
        <f>"2022-10-07 09:39:42"</f>
        <v>2022-10-07 09:39:42</v>
      </c>
      <c r="M5599" s="1" t="s">
        <v>42</v>
      </c>
      <c r="N5599" s="1" t="s">
        <v>38</v>
      </c>
      <c r="O5599" s="1" t="s">
        <v>46</v>
      </c>
    </row>
    <row r="5600" spans="2:15" x14ac:dyDescent="0.3">
      <c r="B5600" s="1" t="s">
        <v>22</v>
      </c>
      <c r="C5600" s="1" t="str">
        <f>"2차"</f>
        <v>2차</v>
      </c>
      <c r="D5600" s="1" t="str">
        <f>"0131E70120"</f>
        <v>0131E70120</v>
      </c>
      <c r="E5600" s="1" t="s">
        <v>10</v>
      </c>
      <c r="F5600" s="1" t="str">
        <f>"10.10.4.18"</f>
        <v>10.10.4.18</v>
      </c>
      <c r="G5600" s="1" t="str">
        <f>"0131E701"</f>
        <v>0131E701</v>
      </c>
      <c r="H5600" s="1" t="str">
        <f>"방학지 55R12R4"</f>
        <v>방학지 55R12R4</v>
      </c>
      <c r="I5600" s="1" t="s">
        <v>8</v>
      </c>
      <c r="J5600" s="1" t="str">
        <f>"17/28"</f>
        <v>17/28</v>
      </c>
      <c r="K5600" s="1" t="str">
        <f>"2026-07-29 13:18:01"</f>
        <v>2026-07-29 13:18:01</v>
      </c>
      <c r="L5600" s="1" t="str">
        <f>"2017-08-04 14:31:01"</f>
        <v>2017-08-04 14:31:01</v>
      </c>
      <c r="M5600" s="1" t="s">
        <v>1</v>
      </c>
      <c r="N5600" s="1" t="s">
        <v>38</v>
      </c>
      <c r="O5600" s="1" t="s">
        <v>46</v>
      </c>
    </row>
    <row r="5601" spans="2:15" x14ac:dyDescent="0.3">
      <c r="B5601" s="1" t="s">
        <v>22</v>
      </c>
      <c r="C5601" s="1" t="str">
        <f>"5-2차"</f>
        <v>5-2차</v>
      </c>
      <c r="D5601" s="1" t="str">
        <f>"0131E9945S"</f>
        <v>0131E9945S</v>
      </c>
      <c r="E5601" s="1" t="s">
        <v>10</v>
      </c>
      <c r="F5601" s="1" t="str">
        <f>"fde3:102:1420:5300:0:0:0:d"</f>
        <v>fde3:102:1420:5300:0:0:0:d</v>
      </c>
      <c r="G5601" s="1" t="str">
        <f>"0131E994"</f>
        <v>0131E994</v>
      </c>
      <c r="H5601" s="1" t="str">
        <f>"방학지 45R2"</f>
        <v>방학지 45R2</v>
      </c>
      <c r="I5601" s="1" t="s">
        <v>15</v>
      </c>
      <c r="J5601" s="1" t="str">
        <f>"74/74"</f>
        <v>74/74</v>
      </c>
      <c r="K5601" s="1" t="str">
        <f>"2026-07-29 14:20:48"</f>
        <v>2026-07-29 14:20:48</v>
      </c>
      <c r="L5601" s="1" t="str">
        <f>"2023-06-14 11:46:01"</f>
        <v>2023-06-14 11:46:01</v>
      </c>
      <c r="M5601" s="1" t="s">
        <v>45</v>
      </c>
      <c r="N5601" s="1" t="s">
        <v>38</v>
      </c>
      <c r="O5601" s="1" t="s">
        <v>46</v>
      </c>
    </row>
    <row r="5602" spans="2:15" x14ac:dyDescent="0.3">
      <c r="B5602" s="1" t="s">
        <v>22</v>
      </c>
      <c r="C5602" s="1" t="str">
        <f>"5-2차"</f>
        <v>5-2차</v>
      </c>
      <c r="D5602" s="1" t="str">
        <f>"0131F0915M"</f>
        <v>0131F0915M</v>
      </c>
      <c r="E5602" s="1" t="s">
        <v>10</v>
      </c>
      <c r="F5602" s="1" t="str">
        <f>"fde3:102:1420:5300:0:0:0:e"</f>
        <v>fde3:102:1420:5300:0:0:0:e</v>
      </c>
      <c r="G5602" s="1" t="str">
        <f>"0131F091"</f>
        <v>0131F091</v>
      </c>
      <c r="H5602" s="1" t="str">
        <f>"방학지 45"</f>
        <v>방학지 45</v>
      </c>
      <c r="I5602" s="1" t="s">
        <v>15</v>
      </c>
      <c r="J5602" s="1" t="str">
        <f>"34/34"</f>
        <v>34/34</v>
      </c>
      <c r="K5602" s="1" t="str">
        <f>"2026-07-29 14:20:31"</f>
        <v>2026-07-29 14:20:31</v>
      </c>
      <c r="L5602" s="1" t="str">
        <f>"2023-10-11 13:10:35"</f>
        <v>2023-10-11 13:10:35</v>
      </c>
      <c r="M5602" s="1" t="s">
        <v>45</v>
      </c>
      <c r="N5602" s="1" t="s">
        <v>38</v>
      </c>
      <c r="O5602" s="1" t="s">
        <v>46</v>
      </c>
    </row>
    <row r="5603" spans="2:15" x14ac:dyDescent="0.3">
      <c r="B5603" s="1" t="s">
        <v>22</v>
      </c>
      <c r="C5603" s="1" t="str">
        <f>"6차"</f>
        <v>6차</v>
      </c>
      <c r="D5603" s="1" t="str">
        <f>"0131F1736S"</f>
        <v>0131F1736S</v>
      </c>
      <c r="E5603" s="1" t="s">
        <v>10</v>
      </c>
      <c r="F5603" s="1" t="str">
        <f>"fde3:102:1420:5100:0:0:0:4"</f>
        <v>fde3:102:1420:5100:0:0:0:4</v>
      </c>
      <c r="G5603" s="1" t="str">
        <f>"0131F173"</f>
        <v>0131F173</v>
      </c>
      <c r="H5603" s="1" t="str">
        <f>"방학지 48"</f>
        <v>방학지 48</v>
      </c>
      <c r="I5603" s="1" t="s">
        <v>15</v>
      </c>
      <c r="J5603" s="1" t="str">
        <f>"66/74"</f>
        <v>66/74</v>
      </c>
      <c r="K5603" s="1" t="str">
        <f>"2026-07-29 14:20:48"</f>
        <v>2026-07-29 14:20:48</v>
      </c>
      <c r="L5603" s="1" t="str">
        <f>"2024-11-23 10:47:28"</f>
        <v>2024-11-23 10:47:28</v>
      </c>
      <c r="M5603" s="1" t="s">
        <v>45</v>
      </c>
      <c r="N5603" s="1" t="s">
        <v>38</v>
      </c>
      <c r="O5603" s="1" t="s">
        <v>46</v>
      </c>
    </row>
    <row r="5604" spans="2:15" x14ac:dyDescent="0.3">
      <c r="B5604" s="1" t="s">
        <v>22</v>
      </c>
      <c r="C5604" s="1" t="str">
        <f>"5-1차"</f>
        <v>5-1차</v>
      </c>
      <c r="D5604" s="1" t="str">
        <f>"0131F1815S"</f>
        <v>0131F1815S</v>
      </c>
      <c r="E5604" s="1" t="s">
        <v>10</v>
      </c>
      <c r="F5604" s="1" t="str">
        <f>"fde3:102:1420:5300:0:0:0:3"</f>
        <v>fde3:102:1420:5300:0:0:0:3</v>
      </c>
      <c r="G5604" s="1" t="str">
        <f>"0131F181"</f>
        <v>0131F181</v>
      </c>
      <c r="H5604" s="1" t="str">
        <f>"방학지 47"</f>
        <v>방학지 47</v>
      </c>
      <c r="I5604" s="1" t="s">
        <v>15</v>
      </c>
      <c r="J5604" s="1" t="str">
        <f>"34/35"</f>
        <v>34/35</v>
      </c>
      <c r="K5604" s="1" t="str">
        <f>"2026-07-29 14:20:13"</f>
        <v>2026-07-29 14:20:13</v>
      </c>
      <c r="L5604" s="1" t="str">
        <f>"2022-11-10 01:59:01"</f>
        <v>2022-11-10 01:59:01</v>
      </c>
      <c r="M5604" s="1" t="s">
        <v>45</v>
      </c>
      <c r="N5604" s="1" t="s">
        <v>38</v>
      </c>
      <c r="O5604" s="1" t="s">
        <v>46</v>
      </c>
    </row>
    <row r="5605" spans="2:15" x14ac:dyDescent="0.3">
      <c r="B5605" s="1" t="s">
        <v>22</v>
      </c>
      <c r="C5605" s="1" t="str">
        <f>"5-2차"</f>
        <v>5-2차</v>
      </c>
      <c r="D5605" s="1" t="str">
        <f>"0131F1915S"</f>
        <v>0131F1915S</v>
      </c>
      <c r="E5605" s="1" t="s">
        <v>10</v>
      </c>
      <c r="F5605" s="1" t="str">
        <f>"fde3:102:1420:5300:0:0:0:c"</f>
        <v>fde3:102:1420:5300:0:0:0:c</v>
      </c>
      <c r="G5605" s="1" t="str">
        <f>"0131F191"</f>
        <v>0131F191</v>
      </c>
      <c r="H5605" s="1" t="str">
        <f>"방학지 44"</f>
        <v>방학지 44</v>
      </c>
      <c r="I5605" s="1" t="s">
        <v>15</v>
      </c>
      <c r="J5605" s="1" t="str">
        <f>"104/105"</f>
        <v>104/105</v>
      </c>
      <c r="K5605" s="1" t="str">
        <f>"2026-07-29 14:20:48"</f>
        <v>2026-07-29 14:20:48</v>
      </c>
      <c r="L5605" s="1" t="str">
        <f>"2023-06-14 11:34:54"</f>
        <v>2023-06-14 11:34:54</v>
      </c>
      <c r="M5605" s="1" t="s">
        <v>45</v>
      </c>
      <c r="N5605" s="1" t="s">
        <v>38</v>
      </c>
      <c r="O5605" s="1" t="s">
        <v>46</v>
      </c>
    </row>
    <row r="5606" spans="2:15" x14ac:dyDescent="0.3">
      <c r="B5606" s="1" t="s">
        <v>22</v>
      </c>
      <c r="C5606" s="1" t="str">
        <f>"2차"</f>
        <v>2차</v>
      </c>
      <c r="D5606" s="1" t="str">
        <f>"0131F20329"</f>
        <v>0131F20329</v>
      </c>
      <c r="E5606" s="1" t="str">
        <f>"검침실패(3시간 이상)"</f>
        <v>검침실패(3시간 이상)</v>
      </c>
      <c r="F5606" s="1" t="str">
        <f>"10.10.4.50"</f>
        <v>10.10.4.50</v>
      </c>
      <c r="G5606" s="1" t="str">
        <f>"0131F203"</f>
        <v>0131F203</v>
      </c>
      <c r="H5606" s="1" t="str">
        <f>"방학지 62L1"</f>
        <v>방학지 62L1</v>
      </c>
      <c r="I5606" s="1" t="s">
        <v>8</v>
      </c>
      <c r="J5606" s="1" t="str">
        <f>"0/2"</f>
        <v>0/2</v>
      </c>
      <c r="K5606" s="1" t="str">
        <f>"2026-07-29 13:18:01"</f>
        <v>2026-07-29 13:18:01</v>
      </c>
      <c r="L5606" s="1" t="str">
        <f>"2017-07-12 17:15:25"</f>
        <v>2017-07-12 17:15:25</v>
      </c>
      <c r="M5606" s="1" t="s">
        <v>1</v>
      </c>
      <c r="N5606" s="1" t="s">
        <v>38</v>
      </c>
      <c r="O5606" s="1" t="s">
        <v>46</v>
      </c>
    </row>
    <row r="5607" spans="2:15" x14ac:dyDescent="0.3">
      <c r="B5607" s="1" t="s">
        <v>22</v>
      </c>
      <c r="C5607" s="1" t="str">
        <f>"5-2차"</f>
        <v>5-2차</v>
      </c>
      <c r="D5607" s="1" t="str">
        <f>"0131F2525M"</f>
        <v>0131F2525M</v>
      </c>
      <c r="E5607" s="1" t="s">
        <v>10</v>
      </c>
      <c r="F5607" s="1" t="str">
        <f>"fde3:102:1420:5300:0:0:0:f"</f>
        <v>fde3:102:1420:5300:0:0:0:f</v>
      </c>
      <c r="G5607" s="1" t="str">
        <f>"0131F252"</f>
        <v>0131F252</v>
      </c>
      <c r="H5607" s="1" t="str">
        <f>"방학지 50R3"</f>
        <v>방학지 50R3</v>
      </c>
      <c r="I5607" s="1" t="s">
        <v>15</v>
      </c>
      <c r="J5607" s="1" t="str">
        <f>"52/52"</f>
        <v>52/52</v>
      </c>
      <c r="K5607" s="1" t="str">
        <f>"2026-07-29 14:20:26"</f>
        <v>2026-07-29 14:20:26</v>
      </c>
      <c r="L5607" s="1" t="str">
        <f>"2023-06-19 18:31:16"</f>
        <v>2023-06-19 18:31:16</v>
      </c>
      <c r="M5607" s="1" t="s">
        <v>45</v>
      </c>
      <c r="N5607" s="1" t="s">
        <v>38</v>
      </c>
      <c r="O5607" s="1" t="s">
        <v>46</v>
      </c>
    </row>
    <row r="5608" spans="2:15" x14ac:dyDescent="0.3">
      <c r="B5608" s="1" t="s">
        <v>22</v>
      </c>
      <c r="C5608" s="1" t="str">
        <f>"5-2차"</f>
        <v>5-2차</v>
      </c>
      <c r="D5608" s="1" t="str">
        <f>"0131F2545M"</f>
        <v>0131F2545M</v>
      </c>
      <c r="E5608" s="1" t="s">
        <v>10</v>
      </c>
      <c r="F5608" s="1" t="str">
        <f>"fde3:102:1420:5300:0:0:0:10"</f>
        <v>fde3:102:1420:5300:0:0:0:10</v>
      </c>
      <c r="G5608" s="1" t="str">
        <f>"0131F254"</f>
        <v>0131F254</v>
      </c>
      <c r="H5608" s="1" t="str">
        <f>"방학지 50R1"</f>
        <v>방학지 50R1</v>
      </c>
      <c r="I5608" s="1" t="s">
        <v>15</v>
      </c>
      <c r="J5608" s="1" t="str">
        <f>"51/52"</f>
        <v>51/52</v>
      </c>
      <c r="K5608" s="1" t="str">
        <f>"2026-07-29 14:20:48"</f>
        <v>2026-07-29 14:20:48</v>
      </c>
      <c r="L5608" s="1" t="str">
        <f>"2023-10-11 13:13:14"</f>
        <v>2023-10-11 13:13:14</v>
      </c>
      <c r="M5608" s="1" t="s">
        <v>45</v>
      </c>
      <c r="N5608" s="1" t="s">
        <v>38</v>
      </c>
      <c r="O5608" s="1" t="s">
        <v>46</v>
      </c>
    </row>
    <row r="5609" spans="2:15" x14ac:dyDescent="0.3">
      <c r="B5609" s="1" t="s">
        <v>22</v>
      </c>
      <c r="C5609" s="1" t="str">
        <f>"5-1차"</f>
        <v>5-1차</v>
      </c>
      <c r="D5609" s="1" t="str">
        <f>"0131F2815M"</f>
        <v>0131F2815M</v>
      </c>
      <c r="E5609" s="1" t="s">
        <v>10</v>
      </c>
      <c r="F5609" s="1" t="str">
        <f>"fde3:102:1420:5300:0:0:0:6"</f>
        <v>fde3:102:1420:5300:0:0:0:6</v>
      </c>
      <c r="G5609" s="1" t="str">
        <f>"0131F281"</f>
        <v>0131F281</v>
      </c>
      <c r="H5609" s="1" t="str">
        <f>"방학지 41L4R1R4"</f>
        <v>방학지 41L4R1R4</v>
      </c>
      <c r="I5609" s="1" t="s">
        <v>15</v>
      </c>
      <c r="J5609" s="1" t="str">
        <f>"73/73"</f>
        <v>73/73</v>
      </c>
      <c r="K5609" s="1" t="str">
        <f>"2026-07-29 14:20:29"</f>
        <v>2026-07-29 14:20:29</v>
      </c>
      <c r="L5609" s="1" t="str">
        <f>"2022-11-10 01:57:46"</f>
        <v>2022-11-10 01:57:46</v>
      </c>
      <c r="M5609" s="1" t="s">
        <v>45</v>
      </c>
      <c r="N5609" s="1" t="s">
        <v>38</v>
      </c>
      <c r="O5609" s="1" t="s">
        <v>46</v>
      </c>
    </row>
    <row r="5610" spans="2:15" x14ac:dyDescent="0.3">
      <c r="B5610" s="1" t="s">
        <v>22</v>
      </c>
      <c r="C5610" s="1" t="str">
        <f>"5-1차"</f>
        <v>5-1차</v>
      </c>
      <c r="D5610" s="1" t="str">
        <f>"0131F3515S"</f>
        <v>0131F3515S</v>
      </c>
      <c r="E5610" s="1" t="s">
        <v>10</v>
      </c>
      <c r="F5610" s="1" t="str">
        <f>"fde3:102:1420:5300:0:0:0:4"</f>
        <v>fde3:102:1420:5300:0:0:0:4</v>
      </c>
      <c r="G5610" s="1" t="str">
        <f>"0131F351"</f>
        <v>0131F351</v>
      </c>
      <c r="H5610" s="1" t="str">
        <f>"방학지 51"</f>
        <v>방학지 51</v>
      </c>
      <c r="I5610" s="1" t="s">
        <v>15</v>
      </c>
      <c r="J5610" s="1" t="str">
        <f>"36/36"</f>
        <v>36/36</v>
      </c>
      <c r="K5610" s="1" t="str">
        <f>"2026-07-29 14:20:13"</f>
        <v>2026-07-29 14:20:13</v>
      </c>
      <c r="L5610" s="1" t="str">
        <f>"2022-11-10 02:02:53"</f>
        <v>2022-11-10 02:02:53</v>
      </c>
      <c r="M5610" s="1" t="s">
        <v>45</v>
      </c>
      <c r="N5610" s="1" t="s">
        <v>38</v>
      </c>
      <c r="O5610" s="1" t="s">
        <v>46</v>
      </c>
    </row>
    <row r="5611" spans="2:15" x14ac:dyDescent="0.3">
      <c r="B5611" s="1" t="s">
        <v>22</v>
      </c>
      <c r="C5611" s="1" t="str">
        <f>"5-2차"</f>
        <v>5-2차</v>
      </c>
      <c r="D5611" s="1" t="str">
        <f>"0131F3625M"</f>
        <v>0131F3625M</v>
      </c>
      <c r="E5611" s="1" t="s">
        <v>10</v>
      </c>
      <c r="F5611" s="1" t="str">
        <f>"fde3:102:1420:5300:0:0:0:11"</f>
        <v>fde3:102:1420:5300:0:0:0:11</v>
      </c>
      <c r="G5611" s="1" t="str">
        <f>"0131F362"</f>
        <v>0131F362</v>
      </c>
      <c r="H5611" s="1" t="str">
        <f>"방학지 50"</f>
        <v>방학지 50</v>
      </c>
      <c r="I5611" s="1" t="s">
        <v>15</v>
      </c>
      <c r="J5611" s="1" t="str">
        <f>"76/76"</f>
        <v>76/76</v>
      </c>
      <c r="K5611" s="1" t="str">
        <f>"2026-07-28 20:03:27"</f>
        <v>2026-07-28 20:03:27</v>
      </c>
      <c r="L5611" s="1" t="str">
        <f>"2023-06-19 18:31:58"</f>
        <v>2023-06-19 18:31:58</v>
      </c>
      <c r="M5611" s="1" t="s">
        <v>45</v>
      </c>
      <c r="N5611" s="1" t="s">
        <v>38</v>
      </c>
      <c r="O5611" s="1" t="s">
        <v>46</v>
      </c>
    </row>
    <row r="5612" spans="2:15" x14ac:dyDescent="0.3">
      <c r="B5612" s="1" t="s">
        <v>22</v>
      </c>
      <c r="C5612" s="1" t="str">
        <f>"5-2차"</f>
        <v>5-2차</v>
      </c>
      <c r="D5612" s="1" t="str">
        <f>"0131F3715M"</f>
        <v>0131F3715M</v>
      </c>
      <c r="E5612" s="1" t="s">
        <v>10</v>
      </c>
      <c r="F5612" s="1" t="str">
        <f>"fde3:102:1420:5300:0:0:0:8"</f>
        <v>fde3:102:1420:5300:0:0:0:8</v>
      </c>
      <c r="G5612" s="1" t="str">
        <f>"0131F371"</f>
        <v>0131F371</v>
      </c>
      <c r="H5612" s="1" t="str">
        <f>"방학지 41L4R3"</f>
        <v>방학지 41L4R3</v>
      </c>
      <c r="I5612" s="1" t="s">
        <v>15</v>
      </c>
      <c r="J5612" s="1" t="str">
        <f>"33/33"</f>
        <v>33/33</v>
      </c>
      <c r="K5612" s="1" t="str">
        <f>"2026-07-29 14:20:55"</f>
        <v>2026-07-29 14:20:55</v>
      </c>
      <c r="L5612" s="1" t="str">
        <f>"2023-10-11 13:16:12"</f>
        <v>2023-10-11 13:16:12</v>
      </c>
      <c r="M5612" s="1" t="s">
        <v>45</v>
      </c>
      <c r="N5612" s="1" t="s">
        <v>38</v>
      </c>
      <c r="O5612" s="1" t="s">
        <v>46</v>
      </c>
    </row>
    <row r="5613" spans="2:15" x14ac:dyDescent="0.3">
      <c r="B5613" s="1" t="s">
        <v>22</v>
      </c>
      <c r="C5613" s="1" t="str">
        <f>"5-2차"</f>
        <v>5-2차</v>
      </c>
      <c r="D5613" s="1" t="str">
        <f>"0131F4415S"</f>
        <v>0131F4415S</v>
      </c>
      <c r="E5613" s="1" t="s">
        <v>10</v>
      </c>
      <c r="F5613" s="1" t="str">
        <f>"fde3:102:1420:5100:0:0:0:2"</f>
        <v>fde3:102:1420:5100:0:0:0:2</v>
      </c>
      <c r="G5613" s="1" t="str">
        <f>"0131F441"</f>
        <v>0131F441</v>
      </c>
      <c r="H5613" s="1" t="str">
        <f>"방학지 53R1"</f>
        <v>방학지 53R1</v>
      </c>
      <c r="I5613" s="1" t="s">
        <v>15</v>
      </c>
      <c r="J5613" s="1" t="str">
        <f>"1/2"</f>
        <v>1/2</v>
      </c>
      <c r="K5613" s="1" t="str">
        <f>"2026-07-29 14:20:28"</f>
        <v>2026-07-29 14:20:28</v>
      </c>
      <c r="L5613" s="1" t="str">
        <f>"2024-01-08 08:51:29"</f>
        <v>2024-01-08 08:51:29</v>
      </c>
      <c r="M5613" s="1" t="s">
        <v>45</v>
      </c>
      <c r="N5613" s="1" t="s">
        <v>38</v>
      </c>
      <c r="O5613" s="1" t="s">
        <v>46</v>
      </c>
    </row>
    <row r="5614" spans="2:15" x14ac:dyDescent="0.3">
      <c r="B5614" s="1" t="s">
        <v>22</v>
      </c>
      <c r="C5614" s="1" t="str">
        <f>"5-1차"</f>
        <v>5-1차</v>
      </c>
      <c r="D5614" s="1" t="str">
        <f>"0131F4535M"</f>
        <v>0131F4535M</v>
      </c>
      <c r="E5614" s="1" t="s">
        <v>10</v>
      </c>
      <c r="F5614" s="1" t="str">
        <f>"fde3:102:1420:5300:0:0:0:5"</f>
        <v>fde3:102:1420:5300:0:0:0:5</v>
      </c>
      <c r="G5614" s="1" t="str">
        <f>"0131F453"</f>
        <v>0131F453</v>
      </c>
      <c r="H5614" s="1" t="str">
        <f>"방학지 51L1"</f>
        <v>방학지 51L1</v>
      </c>
      <c r="I5614" s="1" t="s">
        <v>15</v>
      </c>
      <c r="J5614" s="1" t="str">
        <f>"46/46"</f>
        <v>46/46</v>
      </c>
      <c r="K5614" s="1" t="str">
        <f>"2026-07-29 14:20:15"</f>
        <v>2026-07-29 14:20:15</v>
      </c>
      <c r="L5614" s="1" t="str">
        <f>"2022-11-10 01:55:38"</f>
        <v>2022-11-10 01:55:38</v>
      </c>
      <c r="M5614" s="1" t="s">
        <v>45</v>
      </c>
      <c r="N5614" s="1" t="s">
        <v>38</v>
      </c>
      <c r="O5614" s="1" t="s">
        <v>46</v>
      </c>
    </row>
    <row r="5615" spans="2:15" x14ac:dyDescent="0.3">
      <c r="B5615" s="1" t="s">
        <v>22</v>
      </c>
      <c r="C5615" s="1" t="str">
        <f>"3차"</f>
        <v>3차</v>
      </c>
      <c r="D5615" s="1" t="str">
        <f>"0131F46139"</f>
        <v>0131F46139</v>
      </c>
      <c r="E5615" s="1" t="s">
        <v>10</v>
      </c>
      <c r="F5615" s="1" t="str">
        <f>"10.10.14.74"</f>
        <v>10.10.14.74</v>
      </c>
      <c r="G5615" s="1" t="str">
        <f>"0131F461"</f>
        <v>0131F461</v>
      </c>
      <c r="H5615" s="1" t="str">
        <f>"방학지 51L2"</f>
        <v>방학지 51L2</v>
      </c>
      <c r="I5615" s="1" t="s">
        <v>8</v>
      </c>
      <c r="J5615" s="1" t="str">
        <f>"27/27"</f>
        <v>27/27</v>
      </c>
      <c r="K5615" s="1" t="str">
        <f>"2026-07-29 13:18:01"</f>
        <v>2026-07-29 13:18:01</v>
      </c>
      <c r="L5615" s="1" t="str">
        <f>"2018-01-04 15:03:11"</f>
        <v>2018-01-04 15:03:11</v>
      </c>
      <c r="M5615" s="1" t="s">
        <v>1</v>
      </c>
      <c r="N5615" s="1" t="s">
        <v>38</v>
      </c>
      <c r="O5615" s="1" t="s">
        <v>46</v>
      </c>
    </row>
    <row r="5616" spans="2:15" x14ac:dyDescent="0.3">
      <c r="B5616" s="1" t="s">
        <v>22</v>
      </c>
      <c r="C5616" s="1" t="str">
        <f>"3차"</f>
        <v>3차</v>
      </c>
      <c r="D5616" s="1" t="str">
        <f>"0131F47139"</f>
        <v>0131F47139</v>
      </c>
      <c r="E5616" s="1" t="s">
        <v>10</v>
      </c>
      <c r="F5616" s="1" t="str">
        <f>"10.10.40.18"</f>
        <v>10.10.40.18</v>
      </c>
      <c r="G5616" s="1" t="str">
        <f>"0131F471"</f>
        <v>0131F471</v>
      </c>
      <c r="H5616" s="1" t="str">
        <f>"방학지 41L4R2"</f>
        <v>방학지 41L4R2</v>
      </c>
      <c r="I5616" s="1" t="s">
        <v>8</v>
      </c>
      <c r="J5616" s="1" t="str">
        <f>"25/25"</f>
        <v>25/25</v>
      </c>
      <c r="K5616" s="1" t="str">
        <f>"2026-07-29 13:18:01"</f>
        <v>2026-07-29 13:18:01</v>
      </c>
      <c r="L5616" s="1" t="str">
        <f>"2018-01-04 13:57:10"</f>
        <v>2018-01-04 13:57:10</v>
      </c>
      <c r="M5616" s="1" t="s">
        <v>1</v>
      </c>
      <c r="N5616" s="1" t="s">
        <v>38</v>
      </c>
      <c r="O5616" s="1" t="s">
        <v>46</v>
      </c>
    </row>
    <row r="5617" spans="2:15" x14ac:dyDescent="0.3">
      <c r="B5617" s="1" t="s">
        <v>22</v>
      </c>
      <c r="C5617" s="1" t="str">
        <f>"3차"</f>
        <v>3차</v>
      </c>
      <c r="D5617" s="1" t="str">
        <f>"0131F49431"</f>
        <v>0131F49431</v>
      </c>
      <c r="E5617" s="1" t="s">
        <v>10</v>
      </c>
      <c r="F5617" s="1" t="str">
        <f>"10.10.21.163"</f>
        <v>10.10.21.163</v>
      </c>
      <c r="G5617" s="1" t="str">
        <f>"0131F494"</f>
        <v>0131F494</v>
      </c>
      <c r="H5617" s="1" t="str">
        <f>"방학지 41"</f>
        <v>방학지 41</v>
      </c>
      <c r="I5617" s="1" t="s">
        <v>8</v>
      </c>
      <c r="J5617" s="1" t="str">
        <f>"78/78"</f>
        <v>78/78</v>
      </c>
      <c r="K5617" s="1" t="str">
        <f>"2026-07-29 13:18:01"</f>
        <v>2026-07-29 13:18:01</v>
      </c>
      <c r="L5617" s="1" t="str">
        <f>"2018-01-20 15:43:57"</f>
        <v>2018-01-20 15:43:57</v>
      </c>
      <c r="M5617" s="1" t="s">
        <v>1</v>
      </c>
      <c r="N5617" s="1" t="s">
        <v>38</v>
      </c>
      <c r="O5617" s="1" t="s">
        <v>46</v>
      </c>
    </row>
    <row r="5618" spans="2:15" x14ac:dyDescent="0.3">
      <c r="B5618" s="1" t="s">
        <v>22</v>
      </c>
      <c r="C5618" s="1" t="str">
        <f>"3차"</f>
        <v>3차</v>
      </c>
      <c r="D5618" s="1" t="str">
        <f>"0131F49630"</f>
        <v>0131F49630</v>
      </c>
      <c r="E5618" s="1" t="s">
        <v>10</v>
      </c>
      <c r="F5618" s="1" t="str">
        <f>"10.10.21.234"</f>
        <v>10.10.21.234</v>
      </c>
      <c r="G5618" s="1" t="str">
        <f>"0131F496"</f>
        <v>0131F496</v>
      </c>
      <c r="H5618" s="1" t="str">
        <f>"방학지 41L2"</f>
        <v>방학지 41L2</v>
      </c>
      <c r="I5618" s="1" t="s">
        <v>8</v>
      </c>
      <c r="J5618" s="1" t="str">
        <f>"61/67"</f>
        <v>61/67</v>
      </c>
      <c r="K5618" s="1" t="str">
        <f>"2026-07-29 13:18:01"</f>
        <v>2026-07-29 13:18:01</v>
      </c>
      <c r="L5618" s="1" t="str">
        <f>"2021-07-27 11:53:50"</f>
        <v>2021-07-27 11:53:50</v>
      </c>
      <c r="M5618" s="1" t="s">
        <v>1</v>
      </c>
      <c r="N5618" s="1" t="s">
        <v>38</v>
      </c>
      <c r="O5618" s="1" t="s">
        <v>46</v>
      </c>
    </row>
    <row r="5619" spans="2:15" x14ac:dyDescent="0.3">
      <c r="B5619" s="1" t="s">
        <v>22</v>
      </c>
      <c r="C5619" s="1" t="str">
        <f>"6차"</f>
        <v>6차</v>
      </c>
      <c r="D5619" s="1" t="str">
        <f>"0131F5336S"</f>
        <v>0131F5336S</v>
      </c>
      <c r="E5619" s="1" t="s">
        <v>10</v>
      </c>
      <c r="F5619" s="1" t="str">
        <f>"fde1:103:4:c79a:0:0:0:2"</f>
        <v>fde1:103:4:c79a:0:0:0:2</v>
      </c>
      <c r="G5619" s="1" t="str">
        <f>"0131F533"</f>
        <v>0131F533</v>
      </c>
      <c r="H5619" s="1" t="str">
        <f>"방학지 54"</f>
        <v>방학지 54</v>
      </c>
      <c r="I5619" s="1" t="s">
        <v>15</v>
      </c>
      <c r="J5619" s="1" t="str">
        <f>"66/70"</f>
        <v>66/70</v>
      </c>
      <c r="K5619" s="1" t="str">
        <f>"2026-07-29 14:20:12"</f>
        <v>2026-07-29 14:20:12</v>
      </c>
      <c r="L5619" s="1" t="str">
        <f>"2025-01-20 14:07:01"</f>
        <v>2025-01-20 14:07:01</v>
      </c>
      <c r="M5619" s="1" t="s">
        <v>4</v>
      </c>
      <c r="N5619" s="1" t="s">
        <v>38</v>
      </c>
      <c r="O5619" s="1" t="s">
        <v>46</v>
      </c>
    </row>
    <row r="5620" spans="2:15" x14ac:dyDescent="0.3">
      <c r="B5620" s="1" t="s">
        <v>22</v>
      </c>
      <c r="C5620" s="1" t="str">
        <f>"5-1차"</f>
        <v>5-1차</v>
      </c>
      <c r="D5620" s="1" t="str">
        <f>"0131F5365M"</f>
        <v>0131F5365M</v>
      </c>
      <c r="E5620" s="1" t="s">
        <v>10</v>
      </c>
      <c r="F5620" s="1" t="str">
        <f>"fde3:102:1420:5600:0:0:0:2"</f>
        <v>fde3:102:1420:5600:0:0:0:2</v>
      </c>
      <c r="G5620" s="1" t="str">
        <f>"0131F536"</f>
        <v>0131F536</v>
      </c>
      <c r="H5620" s="1" t="str">
        <f>"방학지 25L9R4"</f>
        <v>방학지 25L9R4</v>
      </c>
      <c r="I5620" s="1" t="s">
        <v>15</v>
      </c>
      <c r="J5620" s="1" t="str">
        <f>"31/31"</f>
        <v>31/31</v>
      </c>
      <c r="K5620" s="1" t="str">
        <f>"2026-07-29 14:20:14"</f>
        <v>2026-07-29 14:20:14</v>
      </c>
      <c r="L5620" s="1" t="str">
        <f>"2022-10-27 11:13:03"</f>
        <v>2022-10-27 11:13:03</v>
      </c>
      <c r="M5620" s="1" t="s">
        <v>45</v>
      </c>
      <c r="N5620" s="1" t="s">
        <v>38</v>
      </c>
      <c r="O5620" s="1" t="s">
        <v>46</v>
      </c>
    </row>
    <row r="5621" spans="2:15" x14ac:dyDescent="0.3">
      <c r="B5621" s="1" t="s">
        <v>22</v>
      </c>
      <c r="C5621" s="1" t="str">
        <f>"1차"</f>
        <v>1차</v>
      </c>
      <c r="D5621" s="1" t="str">
        <f>"0131F55200"</f>
        <v>0131F55200</v>
      </c>
      <c r="E5621" s="1" t="s">
        <v>10</v>
      </c>
      <c r="F5621" s="1" t="str">
        <f>"10.107.251.238"</f>
        <v>10.107.251.238</v>
      </c>
      <c r="G5621" s="1" t="str">
        <f>"0131F552"</f>
        <v>0131F552</v>
      </c>
      <c r="H5621" s="1" t="str">
        <f>"방학지 41L9"</f>
        <v>방학지 41L9</v>
      </c>
      <c r="I5621" s="1" t="s">
        <v>8</v>
      </c>
      <c r="J5621" s="1" t="str">
        <f>"54/56"</f>
        <v>54/56</v>
      </c>
      <c r="K5621" s="1" t="str">
        <f>"2026-07-29 13:18:01"</f>
        <v>2026-07-29 13:18:01</v>
      </c>
      <c r="L5621" s="1" t="str">
        <f>"2014-12-24 15:13:06"</f>
        <v>2014-12-24 15:13:06</v>
      </c>
      <c r="M5621" s="1" t="s">
        <v>45</v>
      </c>
      <c r="N5621" s="1" t="s">
        <v>38</v>
      </c>
      <c r="O5621" s="1" t="s">
        <v>46</v>
      </c>
    </row>
    <row r="5622" spans="2:15" x14ac:dyDescent="0.3">
      <c r="B5622" s="1" t="s">
        <v>22</v>
      </c>
      <c r="C5622" s="1" t="str">
        <f>"3차"</f>
        <v>3차</v>
      </c>
      <c r="D5622" s="1" t="str">
        <f>"0131F56139"</f>
        <v>0131F56139</v>
      </c>
      <c r="E5622" s="1" t="s">
        <v>10</v>
      </c>
      <c r="F5622" s="1" t="str">
        <f>"10.10.41.138"</f>
        <v>10.10.41.138</v>
      </c>
      <c r="G5622" s="1" t="str">
        <f>"0131F561"</f>
        <v>0131F561</v>
      </c>
      <c r="H5622" s="1" t="str">
        <f>"방학지 51L3"</f>
        <v>방학지 51L3</v>
      </c>
      <c r="I5622" s="1" t="s">
        <v>8</v>
      </c>
      <c r="J5622" s="1" t="str">
        <f>"56/56"</f>
        <v>56/56</v>
      </c>
      <c r="K5622" s="1" t="str">
        <f>"2026-07-29 13:18:01"</f>
        <v>2026-07-29 13:18:01</v>
      </c>
      <c r="L5622" s="1" t="str">
        <f>"2018-01-11 17:36:58"</f>
        <v>2018-01-11 17:36:58</v>
      </c>
      <c r="M5622" s="1" t="s">
        <v>1</v>
      </c>
      <c r="N5622" s="1" t="s">
        <v>38</v>
      </c>
      <c r="O5622" s="1" t="s">
        <v>46</v>
      </c>
    </row>
    <row r="5623" spans="2:15" x14ac:dyDescent="0.3">
      <c r="B5623" s="1" t="s">
        <v>22</v>
      </c>
      <c r="C5623" s="1" t="str">
        <f>"3차"</f>
        <v>3차</v>
      </c>
      <c r="D5623" s="1" t="str">
        <f>"0131F57339"</f>
        <v>0131F57339</v>
      </c>
      <c r="E5623" s="1" t="s">
        <v>10</v>
      </c>
      <c r="F5623" s="1" t="str">
        <f>"10.12.131.56"</f>
        <v>10.12.131.56</v>
      </c>
      <c r="G5623" s="1" t="str">
        <f>"0131F573"</f>
        <v>0131F573</v>
      </c>
      <c r="H5623" s="1" t="str">
        <f>"방학지 41L5"</f>
        <v>방학지 41L5</v>
      </c>
      <c r="I5623" s="1" t="s">
        <v>8</v>
      </c>
      <c r="J5623" s="1" t="str">
        <f>"63/63"</f>
        <v>63/63</v>
      </c>
      <c r="K5623" s="1" t="str">
        <f>"2026-07-29 13:18:01"</f>
        <v>2026-07-29 13:18:01</v>
      </c>
      <c r="L5623" s="1" t="str">
        <f>"2020-09-25 16:33:50"</f>
        <v>2020-09-25 16:33:50</v>
      </c>
      <c r="M5623" s="1" t="s">
        <v>0</v>
      </c>
      <c r="N5623" s="1" t="s">
        <v>38</v>
      </c>
      <c r="O5623" s="1" t="s">
        <v>46</v>
      </c>
    </row>
    <row r="5624" spans="2:15" x14ac:dyDescent="0.3">
      <c r="B5624" s="1" t="s">
        <v>22</v>
      </c>
      <c r="C5624" s="1" t="str">
        <f>"3차"</f>
        <v>3차</v>
      </c>
      <c r="D5624" s="1" t="str">
        <f>"0131F58131"</f>
        <v>0131F58131</v>
      </c>
      <c r="E5624" s="1" t="s">
        <v>10</v>
      </c>
      <c r="F5624" s="1" t="str">
        <f>"10.10.21.235"</f>
        <v>10.10.21.235</v>
      </c>
      <c r="G5624" s="1" t="str">
        <f>"0131F581"</f>
        <v>0131F581</v>
      </c>
      <c r="H5624" s="1" t="str">
        <f>"방학지 41L4"</f>
        <v>방학지 41L4</v>
      </c>
      <c r="I5624" s="1" t="s">
        <v>8</v>
      </c>
      <c r="J5624" s="1" t="str">
        <f>"12/12"</f>
        <v>12/12</v>
      </c>
      <c r="K5624" s="1" t="str">
        <f>"2026-07-29 13:18:03"</f>
        <v>2026-07-29 13:18:03</v>
      </c>
      <c r="L5624" s="1" t="str">
        <f>"2021-07-27 12:50:15"</f>
        <v>2021-07-27 12:50:15</v>
      </c>
      <c r="M5624" s="1" t="s">
        <v>1</v>
      </c>
      <c r="N5624" s="1" t="s">
        <v>38</v>
      </c>
      <c r="O5624" s="1" t="s">
        <v>46</v>
      </c>
    </row>
    <row r="5625" spans="2:15" x14ac:dyDescent="0.3">
      <c r="B5625" s="1" t="s">
        <v>22</v>
      </c>
      <c r="C5625" s="1" t="str">
        <f>"4차"</f>
        <v>4차</v>
      </c>
      <c r="D5625" s="1" t="str">
        <f>"0131F58231"</f>
        <v>0131F58231</v>
      </c>
      <c r="E5625" s="1" t="s">
        <v>10</v>
      </c>
      <c r="F5625" s="1" t="str">
        <f>"10.10.21.211"</f>
        <v>10.10.21.211</v>
      </c>
      <c r="G5625" s="1" t="str">
        <f>"0131F582"</f>
        <v>0131F582</v>
      </c>
      <c r="H5625" s="1" t="str">
        <f>"방학지 34L5"</f>
        <v>방학지 34L5</v>
      </c>
      <c r="I5625" s="1" t="s">
        <v>8</v>
      </c>
      <c r="J5625" s="1" t="str">
        <f>"66/66"</f>
        <v>66/66</v>
      </c>
      <c r="K5625" s="1" t="str">
        <f>"2026-07-29 13:18:03"</f>
        <v>2026-07-29 13:18:03</v>
      </c>
      <c r="L5625" s="1" t="str">
        <f>"2018-03-15 14:01:46"</f>
        <v>2018-03-15 14:01:46</v>
      </c>
      <c r="M5625" s="1" t="s">
        <v>1</v>
      </c>
      <c r="N5625" s="1" t="s">
        <v>38</v>
      </c>
      <c r="O5625" s="1" t="s">
        <v>46</v>
      </c>
    </row>
    <row r="5626" spans="2:15" x14ac:dyDescent="0.3">
      <c r="B5626" s="1" t="s">
        <v>22</v>
      </c>
      <c r="C5626" s="1" t="str">
        <f>"3차"</f>
        <v>3차</v>
      </c>
      <c r="D5626" s="1" t="str">
        <f>"0131F59239"</f>
        <v>0131F59239</v>
      </c>
      <c r="E5626" s="1" t="s">
        <v>10</v>
      </c>
      <c r="F5626" s="1" t="str">
        <f>"10.10.9.170"</f>
        <v>10.10.9.170</v>
      </c>
      <c r="G5626" s="1" t="str">
        <f>"0131F592"</f>
        <v>0131F592</v>
      </c>
      <c r="H5626" s="1" t="str">
        <f>"방학지 39L2"</f>
        <v>방학지 39L2</v>
      </c>
      <c r="I5626" s="1" t="s">
        <v>8</v>
      </c>
      <c r="J5626" s="1" t="str">
        <f>"19/19"</f>
        <v>19/19</v>
      </c>
      <c r="K5626" s="1" t="str">
        <f>"2026-07-29 13:18:01"</f>
        <v>2026-07-29 13:18:01</v>
      </c>
      <c r="L5626" s="1" t="str">
        <f>"2018-01-23 11:20:09"</f>
        <v>2018-01-23 11:20:09</v>
      </c>
      <c r="M5626" s="1" t="s">
        <v>1</v>
      </c>
      <c r="N5626" s="1" t="s">
        <v>38</v>
      </c>
      <c r="O5626" s="1" t="s">
        <v>46</v>
      </c>
    </row>
    <row r="5627" spans="2:15" x14ac:dyDescent="0.3">
      <c r="B5627" s="1" t="s">
        <v>22</v>
      </c>
      <c r="C5627" s="1" t="str">
        <f>"4차"</f>
        <v>4차</v>
      </c>
      <c r="D5627" s="1" t="str">
        <f>"0131F59330"</f>
        <v>0131F59330</v>
      </c>
      <c r="E5627" s="1" t="s">
        <v>10</v>
      </c>
      <c r="F5627" s="1" t="str">
        <f>"10.10.21.162"</f>
        <v>10.10.21.162</v>
      </c>
      <c r="G5627" s="1" t="str">
        <f>"0131F593"</f>
        <v>0131F593</v>
      </c>
      <c r="H5627" s="1" t="str">
        <f>"방학지 39"</f>
        <v>방학지 39</v>
      </c>
      <c r="I5627" s="1" t="s">
        <v>8</v>
      </c>
      <c r="J5627" s="1" t="str">
        <f>"92/92"</f>
        <v>92/92</v>
      </c>
      <c r="K5627" s="1" t="str">
        <f>"2026-07-29 13:18:01"</f>
        <v>2026-07-29 13:18:01</v>
      </c>
      <c r="L5627" s="1" t="str">
        <f>"2018-01-19 15:22:57"</f>
        <v>2018-01-19 15:22:57</v>
      </c>
      <c r="M5627" s="1" t="s">
        <v>1</v>
      </c>
      <c r="N5627" s="1" t="s">
        <v>38</v>
      </c>
      <c r="O5627" s="1" t="s">
        <v>46</v>
      </c>
    </row>
    <row r="5628" spans="2:15" x14ac:dyDescent="0.3">
      <c r="B5628" s="1" t="s">
        <v>22</v>
      </c>
      <c r="C5628" s="1" t="str">
        <f>"5-2차"</f>
        <v>5-2차</v>
      </c>
      <c r="D5628" s="1" t="str">
        <f>"0131F6135M"</f>
        <v>0131F6135M</v>
      </c>
      <c r="E5628" s="1" t="s">
        <v>10</v>
      </c>
      <c r="F5628" s="1" t="str">
        <f>"fde1:103:4:92e2:0:0:0:2"</f>
        <v>fde1:103:4:92e2:0:0:0:2</v>
      </c>
      <c r="G5628" s="1" t="str">
        <f>"0131F613"</f>
        <v>0131F613</v>
      </c>
      <c r="H5628" s="1" t="str">
        <f>"방학지 25L10"</f>
        <v>방학지 25L10</v>
      </c>
      <c r="I5628" s="1" t="s">
        <v>15</v>
      </c>
      <c r="J5628" s="1" t="str">
        <f>"32/32"</f>
        <v>32/32</v>
      </c>
      <c r="K5628" s="1" t="str">
        <f>"2026-07-29 14:20:29"</f>
        <v>2026-07-29 14:20:29</v>
      </c>
      <c r="L5628" s="1" t="str">
        <f>"2023-12-19 09:55:32"</f>
        <v>2023-12-19 09:55:32</v>
      </c>
      <c r="M5628" s="1" t="s">
        <v>4</v>
      </c>
      <c r="N5628" s="1" t="s">
        <v>38</v>
      </c>
      <c r="O5628" s="1" t="s">
        <v>46</v>
      </c>
    </row>
    <row r="5629" spans="2:15" x14ac:dyDescent="0.3">
      <c r="B5629" s="1" t="s">
        <v>22</v>
      </c>
      <c r="C5629" s="1" t="str">
        <f>"5-2차"</f>
        <v>5-2차</v>
      </c>
      <c r="D5629" s="1" t="str">
        <f>"0131F6235S"</f>
        <v>0131F6235S</v>
      </c>
      <c r="E5629" s="1" t="s">
        <v>10</v>
      </c>
      <c r="F5629" s="1" t="str">
        <f>"fde3:102:1420:5600:0:0:0:7"</f>
        <v>fde3:102:1420:5600:0:0:0:7</v>
      </c>
      <c r="G5629" s="1" t="str">
        <f>"0131F623"</f>
        <v>0131F623</v>
      </c>
      <c r="H5629" s="1" t="str">
        <f>"방학지 25L9R3"</f>
        <v>방학지 25L9R3</v>
      </c>
      <c r="I5629" s="1" t="s">
        <v>15</v>
      </c>
      <c r="J5629" s="1" t="str">
        <f>"43/43"</f>
        <v>43/43</v>
      </c>
      <c r="K5629" s="1" t="str">
        <f>"2026-07-29 14:20:13"</f>
        <v>2026-07-29 14:20:13</v>
      </c>
      <c r="L5629" s="1" t="str">
        <f>"2024-01-08 14:30:54"</f>
        <v>2024-01-08 14:30:54</v>
      </c>
      <c r="M5629" s="1" t="s">
        <v>45</v>
      </c>
      <c r="N5629" s="1" t="s">
        <v>38</v>
      </c>
      <c r="O5629" s="1" t="s">
        <v>46</v>
      </c>
    </row>
    <row r="5630" spans="2:15" x14ac:dyDescent="0.3">
      <c r="B5630" s="1" t="s">
        <v>22</v>
      </c>
      <c r="C5630" s="1" t="str">
        <f>"5-2차"</f>
        <v>5-2차</v>
      </c>
      <c r="D5630" s="1" t="str">
        <f>"0131F6245M"</f>
        <v>0131F6245M</v>
      </c>
      <c r="E5630" s="1" t="s">
        <v>10</v>
      </c>
      <c r="F5630" s="1" t="str">
        <f>"fde3:102:1420:5600:0:0:0:8"</f>
        <v>fde3:102:1420:5600:0:0:0:8</v>
      </c>
      <c r="G5630" s="1" t="str">
        <f>"0131F624"</f>
        <v>0131F624</v>
      </c>
      <c r="H5630" s="1" t="str">
        <f>"방학지 25L9R1"</f>
        <v>방학지 25L9R1</v>
      </c>
      <c r="I5630" s="1" t="s">
        <v>15</v>
      </c>
      <c r="J5630" s="1" t="str">
        <f>"66/66"</f>
        <v>66/66</v>
      </c>
      <c r="K5630" s="1" t="str">
        <f>"2026-07-29 14:20:17"</f>
        <v>2026-07-29 14:20:17</v>
      </c>
      <c r="L5630" s="1" t="str">
        <f>"2024-01-12 08:12:40"</f>
        <v>2024-01-12 08:12:40</v>
      </c>
      <c r="M5630" s="1" t="s">
        <v>45</v>
      </c>
      <c r="N5630" s="1" t="s">
        <v>38</v>
      </c>
      <c r="O5630" s="1" t="s">
        <v>46</v>
      </c>
    </row>
    <row r="5631" spans="2:15" x14ac:dyDescent="0.3">
      <c r="B5631" s="1" t="s">
        <v>22</v>
      </c>
      <c r="C5631" s="1" t="str">
        <f>"1차"</f>
        <v>1차</v>
      </c>
      <c r="D5631" s="1" t="str">
        <f>"0131F65101"</f>
        <v>0131F65101</v>
      </c>
      <c r="E5631" s="1" t="s">
        <v>10</v>
      </c>
      <c r="F5631" s="1" t="str">
        <f>"10.107.248.100"</f>
        <v>10.107.248.100</v>
      </c>
      <c r="G5631" s="1" t="str">
        <f>"0131F651"</f>
        <v>0131F651</v>
      </c>
      <c r="H5631" s="1" t="str">
        <f>"방학지 55L3"</f>
        <v>방학지 55L3</v>
      </c>
      <c r="I5631" s="1" t="s">
        <v>8</v>
      </c>
      <c r="J5631" s="1" t="str">
        <f>"32/32"</f>
        <v>32/32</v>
      </c>
      <c r="K5631" s="1" t="str">
        <f>"2026-07-29 13:18:01"</f>
        <v>2026-07-29 13:18:01</v>
      </c>
      <c r="L5631" s="1" t="str">
        <f>"2014-12-18 12:44:00"</f>
        <v>2014-12-18 12:44:00</v>
      </c>
      <c r="M5631" s="1" t="s">
        <v>45</v>
      </c>
      <c r="N5631" s="1" t="s">
        <v>38</v>
      </c>
      <c r="O5631" s="1" t="s">
        <v>46</v>
      </c>
    </row>
    <row r="5632" spans="2:15" x14ac:dyDescent="0.3">
      <c r="B5632" s="1" t="s">
        <v>22</v>
      </c>
      <c r="C5632" s="1" t="str">
        <f>"3차"</f>
        <v>3차</v>
      </c>
      <c r="D5632" s="1" t="str">
        <f>"0131F67330"</f>
        <v>0131F67330</v>
      </c>
      <c r="E5632" s="1" t="s">
        <v>10</v>
      </c>
      <c r="F5632" s="1" t="str">
        <f>"10.10.21.210"</f>
        <v>10.10.21.210</v>
      </c>
      <c r="G5632" s="1" t="str">
        <f>"0131F673"</f>
        <v>0131F673</v>
      </c>
      <c r="H5632" s="1" t="str">
        <f>"방학지 34L3"</f>
        <v>방학지 34L3</v>
      </c>
      <c r="I5632" s="1" t="s">
        <v>8</v>
      </c>
      <c r="J5632" s="1" t="str">
        <f>"74/74"</f>
        <v>74/74</v>
      </c>
      <c r="K5632" s="1" t="str">
        <f>"2026-07-29 13:18:01"</f>
        <v>2026-07-29 13:18:01</v>
      </c>
      <c r="L5632" s="1" t="str">
        <f>"2018-01-19 13:22:26"</f>
        <v>2018-01-19 13:22:26</v>
      </c>
      <c r="M5632" s="1" t="s">
        <v>1</v>
      </c>
      <c r="N5632" s="1" t="s">
        <v>38</v>
      </c>
      <c r="O5632" s="1" t="s">
        <v>46</v>
      </c>
    </row>
    <row r="5633" spans="2:15" x14ac:dyDescent="0.3">
      <c r="B5633" s="1" t="s">
        <v>22</v>
      </c>
      <c r="C5633" s="1" t="str">
        <f>"5-2차"</f>
        <v>5-2차</v>
      </c>
      <c r="D5633" s="1" t="str">
        <f>"0131F7215M"</f>
        <v>0131F7215M</v>
      </c>
      <c r="E5633" s="1" t="s">
        <v>10</v>
      </c>
      <c r="F5633" s="1" t="str">
        <f>"fde3:102:1420:5600:0:0:0:12"</f>
        <v>fde3:102:1420:5600:0:0:0:12</v>
      </c>
      <c r="G5633" s="1" t="str">
        <f>"0131F721"</f>
        <v>0131F721</v>
      </c>
      <c r="H5633" s="1" t="str">
        <f>"방학지 25L7"</f>
        <v>방학지 25L7</v>
      </c>
      <c r="I5633" s="1" t="s">
        <v>15</v>
      </c>
      <c r="J5633" s="1" t="str">
        <f>"62/62"</f>
        <v>62/62</v>
      </c>
      <c r="K5633" s="1" t="str">
        <f>"2026-07-29 14:20:29"</f>
        <v>2026-07-29 14:20:29</v>
      </c>
      <c r="L5633" s="1" t="str">
        <f>"2024-01-08 16:51:33"</f>
        <v>2024-01-08 16:51:33</v>
      </c>
      <c r="M5633" s="1" t="s">
        <v>45</v>
      </c>
      <c r="N5633" s="1" t="s">
        <v>38</v>
      </c>
      <c r="O5633" s="1" t="s">
        <v>46</v>
      </c>
    </row>
    <row r="5634" spans="2:15" x14ac:dyDescent="0.3">
      <c r="B5634" s="1" t="s">
        <v>22</v>
      </c>
      <c r="C5634" s="1" t="str">
        <f>"5-2차"</f>
        <v>5-2차</v>
      </c>
      <c r="D5634" s="1" t="str">
        <f>"0131F7315S"</f>
        <v>0131F7315S</v>
      </c>
      <c r="E5634" s="1" t="s">
        <v>10</v>
      </c>
      <c r="F5634" s="1" t="str">
        <f>"fde3:102:1420:5300:0:0:0:14"</f>
        <v>fde3:102:1420:5300:0:0:0:14</v>
      </c>
      <c r="G5634" s="1" t="str">
        <f>"0131F731"</f>
        <v>0131F731</v>
      </c>
      <c r="H5634" s="1" t="str">
        <f>"방학지 25L4R1L2"</f>
        <v>방학지 25L4R1L2</v>
      </c>
      <c r="I5634" s="1" t="s">
        <v>15</v>
      </c>
      <c r="J5634" s="1" t="str">
        <f>"41/41"</f>
        <v>41/41</v>
      </c>
      <c r="K5634" s="1" t="str">
        <f>"2026-07-29 14:20:14"</f>
        <v>2026-07-29 14:20:14</v>
      </c>
      <c r="L5634" s="1" t="str">
        <f>"2023-12-09 11:56:20"</f>
        <v>2023-12-09 11:56:20</v>
      </c>
      <c r="M5634" s="1" t="s">
        <v>45</v>
      </c>
      <c r="N5634" s="1" t="s">
        <v>38</v>
      </c>
      <c r="O5634" s="1" t="s">
        <v>46</v>
      </c>
    </row>
    <row r="5635" spans="2:15" x14ac:dyDescent="0.3">
      <c r="B5635" s="1" t="s">
        <v>22</v>
      </c>
      <c r="C5635" s="1" t="str">
        <f>"5-2차"</f>
        <v>5-2차</v>
      </c>
      <c r="D5635" s="1" t="str">
        <f>"0131F7325S"</f>
        <v>0131F7325S</v>
      </c>
      <c r="E5635" s="1" t="s">
        <v>10</v>
      </c>
      <c r="F5635" s="1" t="str">
        <f>"fde3:102:1420:5300:0:0:0:13"</f>
        <v>fde3:102:1420:5300:0:0:0:13</v>
      </c>
      <c r="G5635" s="1" t="str">
        <f>"0131F732"</f>
        <v>0131F732</v>
      </c>
      <c r="H5635" s="1" t="str">
        <f>"방학지 25L4R1L1"</f>
        <v>방학지 25L4R1L1</v>
      </c>
      <c r="I5635" s="1" t="s">
        <v>15</v>
      </c>
      <c r="J5635" s="1" t="str">
        <f>"66/66"</f>
        <v>66/66</v>
      </c>
      <c r="K5635" s="1" t="str">
        <f>"2026-07-29 14:20:15"</f>
        <v>2026-07-29 14:20:15</v>
      </c>
      <c r="L5635" s="1" t="str">
        <f>"2023-12-09 12:36:36"</f>
        <v>2023-12-09 12:36:36</v>
      </c>
      <c r="M5635" s="1" t="s">
        <v>45</v>
      </c>
      <c r="N5635" s="1" t="s">
        <v>38</v>
      </c>
      <c r="O5635" s="1" t="s">
        <v>46</v>
      </c>
    </row>
    <row r="5636" spans="2:15" x14ac:dyDescent="0.3">
      <c r="B5636" s="1" t="s">
        <v>22</v>
      </c>
      <c r="C5636" s="1" t="str">
        <f>"3차"</f>
        <v>3차</v>
      </c>
      <c r="D5636" s="1" t="str">
        <f>"0131F75131"</f>
        <v>0131F75131</v>
      </c>
      <c r="E5636" s="1" t="s">
        <v>10</v>
      </c>
      <c r="F5636" s="1" t="str">
        <f>"10.10.21.179"</f>
        <v>10.10.21.179</v>
      </c>
      <c r="G5636" s="1" t="str">
        <f>"0131F751"</f>
        <v>0131F751</v>
      </c>
      <c r="H5636" s="1" t="str">
        <f>"방학지 28L4"</f>
        <v>방학지 28L4</v>
      </c>
      <c r="I5636" s="1" t="s">
        <v>8</v>
      </c>
      <c r="J5636" s="1" t="str">
        <f>"37/38"</f>
        <v>37/38</v>
      </c>
      <c r="K5636" s="1" t="str">
        <f>"2026-07-29 13:18:01"</f>
        <v>2026-07-29 13:18:01</v>
      </c>
      <c r="L5636" s="1" t="str">
        <f>"2018-06-12 18:35:28"</f>
        <v>2018-06-12 18:35:28</v>
      </c>
      <c r="M5636" s="1" t="s">
        <v>1</v>
      </c>
      <c r="N5636" s="1" t="s">
        <v>38</v>
      </c>
      <c r="O5636" s="1" t="s">
        <v>46</v>
      </c>
    </row>
    <row r="5637" spans="2:15" x14ac:dyDescent="0.3">
      <c r="B5637" s="1" t="s">
        <v>22</v>
      </c>
      <c r="C5637" s="1" t="str">
        <f>"3차"</f>
        <v>3차</v>
      </c>
      <c r="D5637" s="1" t="str">
        <f>"0131F75430"</f>
        <v>0131F75430</v>
      </c>
      <c r="E5637" s="1" t="s">
        <v>10</v>
      </c>
      <c r="F5637" s="1" t="str">
        <f>"10.10.21.242"</f>
        <v>10.10.21.242</v>
      </c>
      <c r="G5637" s="1" t="str">
        <f>"0131F754"</f>
        <v>0131F754</v>
      </c>
      <c r="H5637" s="1" t="str">
        <f>"방학지 55L5"</f>
        <v>방학지 55L5</v>
      </c>
      <c r="I5637" s="1" t="s">
        <v>8</v>
      </c>
      <c r="J5637" s="1" t="str">
        <f>"3/3"</f>
        <v>3/3</v>
      </c>
      <c r="K5637" s="1" t="str">
        <f>"2026-07-29 13:18:01"</f>
        <v>2026-07-29 13:18:01</v>
      </c>
      <c r="L5637" s="1" t="str">
        <f>"2018-01-04 16:15:41"</f>
        <v>2018-01-04 16:15:41</v>
      </c>
      <c r="M5637" s="1" t="s">
        <v>1</v>
      </c>
      <c r="N5637" s="1" t="s">
        <v>38</v>
      </c>
      <c r="O5637" s="1" t="s">
        <v>46</v>
      </c>
    </row>
    <row r="5638" spans="2:15" x14ac:dyDescent="0.3">
      <c r="B5638" s="1" t="s">
        <v>22</v>
      </c>
      <c r="C5638" s="1" t="str">
        <f>"3차"</f>
        <v>3차</v>
      </c>
      <c r="D5638" s="1" t="str">
        <f>"0131F76130"</f>
        <v>0131F76130</v>
      </c>
      <c r="E5638" s="1" t="s">
        <v>10</v>
      </c>
      <c r="F5638" s="1" t="str">
        <f>"10.10.23.234"</f>
        <v>10.10.23.234</v>
      </c>
      <c r="G5638" s="1" t="str">
        <f>"0131F761"</f>
        <v>0131F761</v>
      </c>
      <c r="H5638" s="1" t="str">
        <f>"방학지 55L5L2"</f>
        <v>방학지 55L5L2</v>
      </c>
      <c r="I5638" s="1" t="s">
        <v>8</v>
      </c>
      <c r="J5638" s="1" t="str">
        <f>"34/34"</f>
        <v>34/34</v>
      </c>
      <c r="K5638" s="1" t="str">
        <f>"2026-07-29 13:18:01"</f>
        <v>2026-07-29 13:18:01</v>
      </c>
      <c r="L5638" s="1" t="str">
        <f>"2018-01-04 16:03:41"</f>
        <v>2018-01-04 16:03:41</v>
      </c>
      <c r="M5638" s="1" t="s">
        <v>1</v>
      </c>
      <c r="N5638" s="1" t="s">
        <v>38</v>
      </c>
      <c r="O5638" s="1" t="s">
        <v>46</v>
      </c>
    </row>
    <row r="5639" spans="2:15" x14ac:dyDescent="0.3">
      <c r="B5639" s="1" t="s">
        <v>22</v>
      </c>
      <c r="C5639" s="1" t="str">
        <f>"4차"</f>
        <v>4차</v>
      </c>
      <c r="D5639" s="1" t="str">
        <f>"0131F76331"</f>
        <v>0131F76331</v>
      </c>
      <c r="E5639" s="1" t="s">
        <v>10</v>
      </c>
      <c r="F5639" s="1" t="str">
        <f>"10.10.23.235"</f>
        <v>10.10.23.235</v>
      </c>
      <c r="G5639" s="1" t="str">
        <f>"0131F763"</f>
        <v>0131F763</v>
      </c>
      <c r="H5639" s="1" t="str">
        <f>"방학지 55L5L1"</f>
        <v>방학지 55L5L1</v>
      </c>
      <c r="I5639" s="1" t="s">
        <v>8</v>
      </c>
      <c r="J5639" s="1" t="str">
        <f>"32/32"</f>
        <v>32/32</v>
      </c>
      <c r="K5639" s="1" t="str">
        <f>"2026-07-29 13:18:01"</f>
        <v>2026-07-29 13:18:01</v>
      </c>
      <c r="L5639" s="1" t="str">
        <f>"2018-02-05 11:36:27"</f>
        <v>2018-02-05 11:36:27</v>
      </c>
      <c r="M5639" s="1" t="s">
        <v>1</v>
      </c>
      <c r="N5639" s="1" t="s">
        <v>38</v>
      </c>
      <c r="O5639" s="1" t="s">
        <v>46</v>
      </c>
    </row>
    <row r="5640" spans="2:15" x14ac:dyDescent="0.3">
      <c r="B5640" s="1" t="s">
        <v>22</v>
      </c>
      <c r="C5640" s="1" t="str">
        <f>"4차"</f>
        <v>4차</v>
      </c>
      <c r="D5640" s="1" t="str">
        <f>"0131F77132"</f>
        <v>0131F77132</v>
      </c>
      <c r="E5640" s="1" t="s">
        <v>10</v>
      </c>
      <c r="F5640" s="1" t="str">
        <f>"10.10.23.236"</f>
        <v>10.10.23.236</v>
      </c>
      <c r="G5640" s="1" t="str">
        <f>"0131F771"</f>
        <v>0131F771</v>
      </c>
      <c r="H5640" s="1" t="str">
        <f>"방학지 55L5L3"</f>
        <v>방학지 55L5L3</v>
      </c>
      <c r="I5640" s="1" t="s">
        <v>8</v>
      </c>
      <c r="J5640" s="1" t="str">
        <f>"68/68"</f>
        <v>68/68</v>
      </c>
      <c r="K5640" s="1" t="str">
        <f>"2026-07-29 13:18:02"</f>
        <v>2026-07-29 13:18:02</v>
      </c>
      <c r="L5640" s="1" t="str">
        <f>"2018-02-05 11:59:26"</f>
        <v>2018-02-05 11:59:26</v>
      </c>
      <c r="M5640" s="1" t="s">
        <v>1</v>
      </c>
      <c r="N5640" s="1" t="s">
        <v>38</v>
      </c>
      <c r="O5640" s="1" t="s">
        <v>46</v>
      </c>
    </row>
    <row r="5641" spans="2:15" x14ac:dyDescent="0.3">
      <c r="B5641" s="1" t="s">
        <v>22</v>
      </c>
      <c r="C5641" s="1" t="str">
        <f>"4차"</f>
        <v>4차</v>
      </c>
      <c r="D5641" s="1" t="str">
        <f>"0131F79139"</f>
        <v>0131F79139</v>
      </c>
      <c r="E5641" s="1" t="s">
        <v>10</v>
      </c>
      <c r="F5641" s="1" t="str">
        <f>"10.10.39.34"</f>
        <v>10.10.39.34</v>
      </c>
      <c r="G5641" s="1" t="str">
        <f>"0131F791"</f>
        <v>0131F791</v>
      </c>
      <c r="H5641" s="1" t="str">
        <f>"방학지 34"</f>
        <v>방학지 34</v>
      </c>
      <c r="I5641" s="1" t="s">
        <v>8</v>
      </c>
      <c r="J5641" s="1" t="str">
        <f>"36/36"</f>
        <v>36/36</v>
      </c>
      <c r="K5641" s="1" t="str">
        <f>"2026-07-29 13:18:01"</f>
        <v>2026-07-29 13:18:01</v>
      </c>
      <c r="L5641" s="1" t="str">
        <f>"2018-01-19 13:20:42"</f>
        <v>2018-01-19 13:20:42</v>
      </c>
      <c r="M5641" s="1" t="s">
        <v>1</v>
      </c>
      <c r="N5641" s="1" t="s">
        <v>38</v>
      </c>
      <c r="O5641" s="1" t="s">
        <v>46</v>
      </c>
    </row>
    <row r="5642" spans="2:15" x14ac:dyDescent="0.3">
      <c r="B5642" s="1" t="s">
        <v>22</v>
      </c>
      <c r="C5642" s="1" t="str">
        <f>"5-2차"</f>
        <v>5-2차</v>
      </c>
      <c r="D5642" s="1" t="str">
        <f>"0131F8015S"</f>
        <v>0131F8015S</v>
      </c>
      <c r="E5642" s="1" t="s">
        <v>10</v>
      </c>
      <c r="F5642" s="1" t="str">
        <f>"fde3:102:1420:5600:0:0:0:9"</f>
        <v>fde3:102:1420:5600:0:0:0:9</v>
      </c>
      <c r="G5642" s="1" t="str">
        <f>"0131F801"</f>
        <v>0131F801</v>
      </c>
      <c r="H5642" s="1" t="str">
        <f>"방학지 25L8L1"</f>
        <v>방학지 25L8L1</v>
      </c>
      <c r="I5642" s="1" t="s">
        <v>15</v>
      </c>
      <c r="J5642" s="1" t="str">
        <f>"52/52"</f>
        <v>52/52</v>
      </c>
      <c r="K5642" s="1" t="str">
        <f>"2026-07-29 14:20:14"</f>
        <v>2026-07-29 14:20:14</v>
      </c>
      <c r="L5642" s="1" t="str">
        <f>"2024-01-08 14:33:15"</f>
        <v>2024-01-08 14:33:15</v>
      </c>
      <c r="M5642" s="1" t="s">
        <v>45</v>
      </c>
      <c r="N5642" s="1" t="s">
        <v>38</v>
      </c>
      <c r="O5642" s="1" t="s">
        <v>46</v>
      </c>
    </row>
    <row r="5643" spans="2:15" x14ac:dyDescent="0.3">
      <c r="B5643" s="1" t="s">
        <v>22</v>
      </c>
      <c r="C5643" s="1" t="str">
        <f>"5-2차"</f>
        <v>5-2차</v>
      </c>
      <c r="D5643" s="1" t="str">
        <f>"0131F8025M"</f>
        <v>0131F8025M</v>
      </c>
      <c r="E5643" s="1" t="s">
        <v>10</v>
      </c>
      <c r="F5643" s="1" t="str">
        <f>"fde3:102:1420:5600:0:0:0:b"</f>
        <v>fde3:102:1420:5600:0:0:0:b</v>
      </c>
      <c r="G5643" s="1" t="str">
        <f>"0131F802"</f>
        <v>0131F802</v>
      </c>
      <c r="H5643" s="1" t="str">
        <f>"방학지 25L7L2"</f>
        <v>방학지 25L7L2</v>
      </c>
      <c r="I5643" s="1" t="s">
        <v>15</v>
      </c>
      <c r="J5643" s="1" t="str">
        <f>"45/49"</f>
        <v>45/49</v>
      </c>
      <c r="K5643" s="1" t="str">
        <f>"2026-07-29 14:20:14"</f>
        <v>2026-07-29 14:20:14</v>
      </c>
      <c r="L5643" s="1" t="str">
        <f>"2024-01-08 14:36:54"</f>
        <v>2024-01-08 14:36:54</v>
      </c>
      <c r="M5643" s="1" t="s">
        <v>45</v>
      </c>
      <c r="N5643" s="1" t="s">
        <v>38</v>
      </c>
      <c r="O5643" s="1" t="s">
        <v>46</v>
      </c>
    </row>
    <row r="5644" spans="2:15" x14ac:dyDescent="0.3">
      <c r="B5644" s="1" t="s">
        <v>22</v>
      </c>
      <c r="C5644" s="1" t="str">
        <f>"6차"</f>
        <v>6차</v>
      </c>
      <c r="D5644" s="1" t="str">
        <f>"0131F8126S"</f>
        <v>0131F8126S</v>
      </c>
      <c r="E5644" s="1" t="s">
        <v>10</v>
      </c>
      <c r="F5644" s="1" t="str">
        <f>"fde1:103:4:c845:0:0:0:2"</f>
        <v>fde1:103:4:c845:0:0:0:2</v>
      </c>
      <c r="G5644" s="1" t="str">
        <f>"0131F812"</f>
        <v>0131F812</v>
      </c>
      <c r="H5644" s="1" t="str">
        <f>"방학지 25L6L1"</f>
        <v>방학지 25L6L1</v>
      </c>
      <c r="I5644" s="1" t="s">
        <v>15</v>
      </c>
      <c r="J5644" s="1" t="str">
        <f>"24/24"</f>
        <v>24/24</v>
      </c>
      <c r="K5644" s="1" t="str">
        <f>"2026-07-29 14:20:07"</f>
        <v>2026-07-29 14:20:07</v>
      </c>
      <c r="L5644" s="1" t="str">
        <f>"2024-12-10 11:23:28"</f>
        <v>2024-12-10 11:23:28</v>
      </c>
      <c r="M5644" s="1" t="s">
        <v>4</v>
      </c>
      <c r="N5644" s="1" t="s">
        <v>38</v>
      </c>
      <c r="O5644" s="1" t="s">
        <v>46</v>
      </c>
    </row>
    <row r="5645" spans="2:15" x14ac:dyDescent="0.3">
      <c r="B5645" s="1" t="s">
        <v>22</v>
      </c>
      <c r="C5645" s="1" t="str">
        <f>"1차"</f>
        <v>1차</v>
      </c>
      <c r="D5645" s="1" t="str">
        <f>"0131F82101"</f>
        <v>0131F82101</v>
      </c>
      <c r="E5645" s="1" t="s">
        <v>10</v>
      </c>
      <c r="F5645" s="1" t="str">
        <f>"10.12.128.138"</f>
        <v>10.12.128.138</v>
      </c>
      <c r="G5645" s="1" t="str">
        <f>"0131F821"</f>
        <v>0131F821</v>
      </c>
      <c r="H5645" s="1" t="str">
        <f>"방학지 25L6"</f>
        <v>방학지 25L6</v>
      </c>
      <c r="I5645" s="1" t="s">
        <v>8</v>
      </c>
      <c r="J5645" s="1" t="str">
        <f>"17/17"</f>
        <v>17/17</v>
      </c>
      <c r="K5645" s="1" t="str">
        <f>"2026-07-29 13:18:03"</f>
        <v>2026-07-29 13:18:03</v>
      </c>
      <c r="L5645" s="1" t="str">
        <f>"2014-12-22 10:43:09"</f>
        <v>2014-12-22 10:43:09</v>
      </c>
      <c r="M5645" s="1" t="s">
        <v>0</v>
      </c>
      <c r="N5645" s="1" t="s">
        <v>38</v>
      </c>
      <c r="O5645" s="1" t="s">
        <v>46</v>
      </c>
    </row>
    <row r="5646" spans="2:15" x14ac:dyDescent="0.3">
      <c r="B5646" s="1" t="s">
        <v>22</v>
      </c>
      <c r="C5646" s="1" t="str">
        <f>"5-2차"</f>
        <v>5-2차</v>
      </c>
      <c r="D5646" s="1" t="str">
        <f>"0131F8315M"</f>
        <v>0131F8315M</v>
      </c>
      <c r="E5646" s="1" t="s">
        <v>10</v>
      </c>
      <c r="F5646" s="1" t="str">
        <f>"fde3:102:1420:5600:0:0:0:c"</f>
        <v>fde3:102:1420:5600:0:0:0:c</v>
      </c>
      <c r="G5646" s="1" t="str">
        <f>"0131F831"</f>
        <v>0131F831</v>
      </c>
      <c r="H5646" s="1" t="str">
        <f>"방학지 25L5"</f>
        <v>방학지 25L5</v>
      </c>
      <c r="I5646" s="1" t="s">
        <v>15</v>
      </c>
      <c r="J5646" s="1" t="str">
        <f>"61/61"</f>
        <v>61/61</v>
      </c>
      <c r="K5646" s="1" t="str">
        <f>"2026-07-29 14:20:17"</f>
        <v>2026-07-29 14:20:17</v>
      </c>
      <c r="L5646" s="1" t="str">
        <f>"2024-01-08 14:38:39"</f>
        <v>2024-01-08 14:38:39</v>
      </c>
      <c r="M5646" s="1" t="s">
        <v>45</v>
      </c>
      <c r="N5646" s="1" t="s">
        <v>38</v>
      </c>
      <c r="O5646" s="1" t="s">
        <v>46</v>
      </c>
    </row>
    <row r="5647" spans="2:15" x14ac:dyDescent="0.3">
      <c r="B5647" s="1" t="s">
        <v>22</v>
      </c>
      <c r="C5647" s="1" t="str">
        <f>"6차"</f>
        <v>6차</v>
      </c>
      <c r="D5647" s="1" t="str">
        <f>"0131F8416S"</f>
        <v>0131F8416S</v>
      </c>
      <c r="E5647" s="1" t="s">
        <v>10</v>
      </c>
      <c r="F5647" s="1" t="str">
        <f>"fde1:103:4:93cd:0:0:0:2"</f>
        <v>fde1:103:4:93cd:0:0:0:2</v>
      </c>
      <c r="G5647" s="1" t="str">
        <f>"0131F841"</f>
        <v>0131F841</v>
      </c>
      <c r="H5647" s="1" t="str">
        <f>"방학지 25L4R1"</f>
        <v>방학지 25L4R1</v>
      </c>
      <c r="I5647" s="1" t="s">
        <v>15</v>
      </c>
      <c r="J5647" s="1" t="str">
        <f>"61/61"</f>
        <v>61/61</v>
      </c>
      <c r="K5647" s="1" t="str">
        <f>"2026-07-29 08:20:23"</f>
        <v>2026-07-29 08:20:23</v>
      </c>
      <c r="L5647" s="1" t="str">
        <f>"2025-01-21 10:53:32"</f>
        <v>2025-01-21 10:53:32</v>
      </c>
      <c r="M5647" s="1" t="s">
        <v>4</v>
      </c>
      <c r="N5647" s="1" t="s">
        <v>38</v>
      </c>
      <c r="O5647" s="1" t="s">
        <v>46</v>
      </c>
    </row>
    <row r="5648" spans="2:15" x14ac:dyDescent="0.3">
      <c r="B5648" s="1" t="s">
        <v>22</v>
      </c>
      <c r="C5648" s="1" t="str">
        <f>"3차"</f>
        <v>3차</v>
      </c>
      <c r="D5648" s="1" t="str">
        <f>"0131F86231"</f>
        <v>0131F86231</v>
      </c>
      <c r="E5648" s="1" t="s">
        <v>10</v>
      </c>
      <c r="F5648" s="1" t="str">
        <f>"10.10.21.243"</f>
        <v>10.10.21.243</v>
      </c>
      <c r="G5648" s="1" t="str">
        <f>"0131F862"</f>
        <v>0131F862</v>
      </c>
      <c r="H5648" s="1" t="str">
        <f>"방학지 55L7"</f>
        <v>방학지 55L7</v>
      </c>
      <c r="I5648" s="1" t="s">
        <v>8</v>
      </c>
      <c r="J5648" s="1" t="str">
        <f>"25/25"</f>
        <v>25/25</v>
      </c>
      <c r="K5648" s="1" t="str">
        <f>"2026-07-29 13:18:01"</f>
        <v>2026-07-29 13:18:01</v>
      </c>
      <c r="L5648" s="1" t="str">
        <f>"2018-05-15 15:52:27"</f>
        <v>2018-05-15 15:52:27</v>
      </c>
      <c r="M5648" s="1" t="s">
        <v>1</v>
      </c>
      <c r="N5648" s="1" t="s">
        <v>38</v>
      </c>
      <c r="O5648" s="1" t="s">
        <v>46</v>
      </c>
    </row>
    <row r="5649" spans="2:15" x14ac:dyDescent="0.3">
      <c r="B5649" s="1" t="s">
        <v>22</v>
      </c>
      <c r="C5649" s="1" t="str">
        <f>"4차"</f>
        <v>4차</v>
      </c>
      <c r="D5649" s="1" t="str">
        <f>"0131F87142"</f>
        <v>0131F87142</v>
      </c>
      <c r="E5649" s="1" t="s">
        <v>10</v>
      </c>
      <c r="F5649" s="1" t="str">
        <f>"10.12.130.143"</f>
        <v>10.12.130.143</v>
      </c>
      <c r="G5649" s="1" t="str">
        <f>"0131F871"</f>
        <v>0131F871</v>
      </c>
      <c r="H5649" s="1" t="str">
        <f>"방학지 29"</f>
        <v>방학지 29</v>
      </c>
      <c r="I5649" s="1" t="s">
        <v>8</v>
      </c>
      <c r="J5649" s="1" t="str">
        <f>"70/70"</f>
        <v>70/70</v>
      </c>
      <c r="K5649" s="1" t="str">
        <f>"2026-07-29 13:18:01"</f>
        <v>2026-07-29 13:18:01</v>
      </c>
      <c r="L5649" s="1" t="str">
        <f>"2024-12-23 10:17:22"</f>
        <v>2024-12-23 10:17:22</v>
      </c>
      <c r="M5649" s="1" t="s">
        <v>0</v>
      </c>
      <c r="N5649" s="1" t="s">
        <v>38</v>
      </c>
      <c r="O5649" s="1" t="s">
        <v>46</v>
      </c>
    </row>
    <row r="5650" spans="2:15" x14ac:dyDescent="0.3">
      <c r="B5650" s="1" t="s">
        <v>22</v>
      </c>
      <c r="C5650" s="1" t="str">
        <f>"1차"</f>
        <v>1차</v>
      </c>
      <c r="D5650" s="1" t="str">
        <f>"0131F88200"</f>
        <v>0131F88200</v>
      </c>
      <c r="E5650" s="1" t="s">
        <v>10</v>
      </c>
      <c r="F5650" s="1" t="str">
        <f>"10.107.248.130"</f>
        <v>10.107.248.130</v>
      </c>
      <c r="G5650" s="1" t="str">
        <f>"0131F882"</f>
        <v>0131F882</v>
      </c>
      <c r="H5650" s="1" t="str">
        <f>"방학지 31"</f>
        <v>방학지 31</v>
      </c>
      <c r="I5650" s="1" t="s">
        <v>8</v>
      </c>
      <c r="J5650" s="1" t="str">
        <f>"49/53"</f>
        <v>49/53</v>
      </c>
      <c r="K5650" s="1" t="str">
        <f>"2026-07-29 13:18:01"</f>
        <v>2026-07-29 13:18:01</v>
      </c>
      <c r="L5650" s="1" t="str">
        <f>"2015-01-01 00:28:02"</f>
        <v>2015-01-01 00:28:02</v>
      </c>
      <c r="M5650" s="1" t="s">
        <v>45</v>
      </c>
      <c r="N5650" s="1" t="s">
        <v>38</v>
      </c>
      <c r="O5650" s="1" t="s">
        <v>46</v>
      </c>
    </row>
    <row r="5651" spans="2:15" x14ac:dyDescent="0.3">
      <c r="B5651" s="1" t="s">
        <v>22</v>
      </c>
      <c r="C5651" s="1" t="str">
        <f>"5-2차"</f>
        <v>5-2차</v>
      </c>
      <c r="D5651" s="1" t="str">
        <f>"0131F9025S"</f>
        <v>0131F9025S</v>
      </c>
      <c r="E5651" s="1" t="s">
        <v>10</v>
      </c>
      <c r="F5651" s="1" t="str">
        <f>"fde3:102:1420:5600:0:0:0:a"</f>
        <v>fde3:102:1420:5600:0:0:0:a</v>
      </c>
      <c r="G5651" s="1" t="str">
        <f>"0131F902"</f>
        <v>0131F902</v>
      </c>
      <c r="H5651" s="1" t="str">
        <f>"방학지 25L8L2"</f>
        <v>방학지 25L8L2</v>
      </c>
      <c r="I5651" s="1" t="s">
        <v>15</v>
      </c>
      <c r="J5651" s="1" t="str">
        <f>"56/59"</f>
        <v>56/59</v>
      </c>
      <c r="K5651" s="1" t="str">
        <f>"2026-07-29 14:20:14"</f>
        <v>2026-07-29 14:20:14</v>
      </c>
      <c r="L5651" s="1" t="str">
        <f>"2024-01-08 14:35:27"</f>
        <v>2024-01-08 14:35:27</v>
      </c>
      <c r="M5651" s="1" t="s">
        <v>45</v>
      </c>
      <c r="N5651" s="1" t="s">
        <v>38</v>
      </c>
      <c r="O5651" s="1" t="s">
        <v>46</v>
      </c>
    </row>
    <row r="5652" spans="2:15" x14ac:dyDescent="0.3">
      <c r="B5652" s="1" t="s">
        <v>22</v>
      </c>
      <c r="C5652" s="1" t="str">
        <f>"6차"</f>
        <v>6차</v>
      </c>
      <c r="D5652" s="1" t="str">
        <f>"0131F9126S"</f>
        <v>0131F9126S</v>
      </c>
      <c r="E5652" s="1" t="s">
        <v>10</v>
      </c>
      <c r="F5652" s="1" t="str">
        <f>"fde1:103:4:c73f:0:0:0:2"</f>
        <v>fde1:103:4:c73f:0:0:0:2</v>
      </c>
      <c r="G5652" s="1" t="str">
        <f>"0131F912"</f>
        <v>0131F912</v>
      </c>
      <c r="H5652" s="1" t="str">
        <f>"방학지 25L6L2"</f>
        <v>방학지 25L6L2</v>
      </c>
      <c r="I5652" s="1" t="s">
        <v>15</v>
      </c>
      <c r="J5652" s="1" t="str">
        <f>"41/41"</f>
        <v>41/41</v>
      </c>
      <c r="K5652" s="1" t="str">
        <f>"2026-07-29 14:20:15"</f>
        <v>2026-07-29 14:20:15</v>
      </c>
      <c r="L5652" s="1" t="str">
        <f>"2025-01-20 14:16:51"</f>
        <v>2025-01-20 14:16:51</v>
      </c>
      <c r="M5652" s="1" t="s">
        <v>4</v>
      </c>
      <c r="N5652" s="1" t="s">
        <v>38</v>
      </c>
      <c r="O5652" s="1" t="s">
        <v>46</v>
      </c>
    </row>
    <row r="5653" spans="2:15" x14ac:dyDescent="0.3">
      <c r="B5653" s="1" t="s">
        <v>22</v>
      </c>
      <c r="C5653" s="1" t="str">
        <f>"5-2차"</f>
        <v>5-2차</v>
      </c>
      <c r="D5653" s="1" t="str">
        <f>"0131F9215M"</f>
        <v>0131F9215M</v>
      </c>
      <c r="E5653" s="1" t="s">
        <v>10</v>
      </c>
      <c r="F5653" s="1" t="str">
        <f>"fde3:102:1420:5600:0:0:0:d"</f>
        <v>fde3:102:1420:5600:0:0:0:d</v>
      </c>
      <c r="G5653" s="1" t="str">
        <f>"0131F921"</f>
        <v>0131F921</v>
      </c>
      <c r="H5653" s="1" t="str">
        <f>"방학지 25L5L1"</f>
        <v>방학지 25L5L1</v>
      </c>
      <c r="I5653" s="1" t="s">
        <v>15</v>
      </c>
      <c r="J5653" s="1" t="str">
        <f>"49/49"</f>
        <v>49/49</v>
      </c>
      <c r="K5653" s="1" t="str">
        <f>"2026-07-29 14:20:20"</f>
        <v>2026-07-29 14:20:20</v>
      </c>
      <c r="L5653" s="1" t="str">
        <f>"2024-01-08 14:42:14"</f>
        <v>2024-01-08 14:42:14</v>
      </c>
      <c r="M5653" s="1" t="s">
        <v>45</v>
      </c>
      <c r="N5653" s="1" t="s">
        <v>38</v>
      </c>
      <c r="O5653" s="1" t="s">
        <v>46</v>
      </c>
    </row>
    <row r="5654" spans="2:15" x14ac:dyDescent="0.3">
      <c r="B5654" s="1" t="s">
        <v>22</v>
      </c>
      <c r="C5654" s="1" t="str">
        <f>"1차"</f>
        <v>1차</v>
      </c>
      <c r="D5654" s="1" t="str">
        <f>"0131F93100"</f>
        <v>0131F93100</v>
      </c>
      <c r="E5654" s="1" t="s">
        <v>10</v>
      </c>
      <c r="F5654" s="1" t="str">
        <f>"10.107.251.243"</f>
        <v>10.107.251.243</v>
      </c>
      <c r="G5654" s="1" t="str">
        <f>"0131F931"</f>
        <v>0131F931</v>
      </c>
      <c r="H5654" s="1" t="str">
        <f>"방학지 25L4"</f>
        <v>방학지 25L4</v>
      </c>
      <c r="I5654" s="1" t="s">
        <v>8</v>
      </c>
      <c r="J5654" s="1" t="str">
        <f>"24/25"</f>
        <v>24/25</v>
      </c>
      <c r="K5654" s="1" t="str">
        <f>"2026-07-29 13:18:01"</f>
        <v>2026-07-29 13:18:01</v>
      </c>
      <c r="L5654" s="1" t="str">
        <f>"2014-12-18 14:12:59"</f>
        <v>2014-12-18 14:12:59</v>
      </c>
      <c r="M5654" s="1" t="s">
        <v>45</v>
      </c>
      <c r="N5654" s="1" t="s">
        <v>38</v>
      </c>
      <c r="O5654" s="1" t="s">
        <v>46</v>
      </c>
    </row>
    <row r="5655" spans="2:15" x14ac:dyDescent="0.3">
      <c r="B5655" s="1" t="s">
        <v>22</v>
      </c>
      <c r="C5655" s="1" t="str">
        <f>"1차"</f>
        <v>1차</v>
      </c>
      <c r="D5655" s="1" t="str">
        <f>"0131F95101"</f>
        <v>0131F95101</v>
      </c>
      <c r="E5655" s="1" t="s">
        <v>10</v>
      </c>
      <c r="F5655" s="1" t="str">
        <f>"10.107.248.163"</f>
        <v>10.107.248.163</v>
      </c>
      <c r="G5655" s="1" t="str">
        <f>"0131F951"</f>
        <v>0131F951</v>
      </c>
      <c r="H5655" s="1" t="str">
        <f>"방학지 25L4R2"</f>
        <v>방학지 25L4R2</v>
      </c>
      <c r="I5655" s="1" t="s">
        <v>8</v>
      </c>
      <c r="J5655" s="1" t="str">
        <f>"45/47"</f>
        <v>45/47</v>
      </c>
      <c r="K5655" s="1" t="str">
        <f>"2026-07-29 13:18:01"</f>
        <v>2026-07-29 13:18:01</v>
      </c>
      <c r="L5655" s="1" t="str">
        <f>"2014-12-19 16:42:57"</f>
        <v>2014-12-19 16:42:57</v>
      </c>
      <c r="M5655" s="1" t="s">
        <v>45</v>
      </c>
      <c r="N5655" s="1" t="s">
        <v>38</v>
      </c>
      <c r="O5655" s="1" t="s">
        <v>46</v>
      </c>
    </row>
    <row r="5656" spans="2:15" x14ac:dyDescent="0.3">
      <c r="B5656" s="1" t="s">
        <v>22</v>
      </c>
      <c r="C5656" s="1" t="str">
        <f>"3차"</f>
        <v>3차</v>
      </c>
      <c r="D5656" s="1" t="str">
        <f>"0131F96130"</f>
        <v>0131F96130</v>
      </c>
      <c r="E5656" s="1" t="s">
        <v>10</v>
      </c>
      <c r="F5656" s="1" t="str">
        <f>"10.10.21.178"</f>
        <v>10.10.21.178</v>
      </c>
      <c r="G5656" s="1" t="str">
        <f>"0131F961"</f>
        <v>0131F961</v>
      </c>
      <c r="H5656" s="1" t="str">
        <f>"방학지 28L1"</f>
        <v>방학지 28L1</v>
      </c>
      <c r="I5656" s="1" t="s">
        <v>8</v>
      </c>
      <c r="J5656" s="1" t="str">
        <f>"10/10"</f>
        <v>10/10</v>
      </c>
      <c r="K5656" s="1" t="str">
        <f>"2026-07-29 13:18:01"</f>
        <v>2026-07-29 13:18:01</v>
      </c>
      <c r="L5656" s="1" t="str">
        <f>"2021-07-27 12:58:39"</f>
        <v>2021-07-27 12:58:39</v>
      </c>
      <c r="M5656" s="1" t="s">
        <v>1</v>
      </c>
      <c r="N5656" s="1" t="s">
        <v>38</v>
      </c>
      <c r="O5656" s="1" t="s">
        <v>46</v>
      </c>
    </row>
    <row r="5657" spans="2:15" x14ac:dyDescent="0.3">
      <c r="B5657" s="1" t="s">
        <v>22</v>
      </c>
      <c r="C5657" s="1" t="str">
        <f>"4차"</f>
        <v>4차</v>
      </c>
      <c r="D5657" s="1" t="str">
        <f>"0131G10529"</f>
        <v>0131G10529</v>
      </c>
      <c r="E5657" s="1" t="s">
        <v>10</v>
      </c>
      <c r="F5657" s="1" t="str">
        <f>"10.107.137.79"</f>
        <v>10.107.137.79</v>
      </c>
      <c r="G5657" s="1" t="str">
        <f>"0131G105"</f>
        <v>0131G105</v>
      </c>
      <c r="H5657" s="1" t="str">
        <f>"도우지 44L5"</f>
        <v>도우지 44L5</v>
      </c>
      <c r="I5657" s="1" t="s">
        <v>8</v>
      </c>
      <c r="J5657" s="1" t="str">
        <f>"17/17"</f>
        <v>17/17</v>
      </c>
      <c r="K5657" s="1" t="str">
        <f>"2026-07-29 13:18:02"</f>
        <v>2026-07-29 13:18:02</v>
      </c>
      <c r="L5657" s="1" t="str">
        <f>"2017-07-27 13:31:03"</f>
        <v>2017-07-27 13:31:03</v>
      </c>
      <c r="M5657" s="1" t="s">
        <v>45</v>
      </c>
      <c r="N5657" s="1" t="s">
        <v>38</v>
      </c>
      <c r="O5657" s="1" t="s">
        <v>46</v>
      </c>
    </row>
    <row r="5658" spans="2:15" x14ac:dyDescent="0.3">
      <c r="B5658" s="1" t="s">
        <v>22</v>
      </c>
      <c r="C5658" s="1" t="str">
        <f t="shared" ref="C5658:C5672" si="289">"2차"</f>
        <v>2차</v>
      </c>
      <c r="D5658" s="1" t="str">
        <f>"0131G13129"</f>
        <v>0131G13129</v>
      </c>
      <c r="E5658" s="1" t="s">
        <v>10</v>
      </c>
      <c r="F5658" s="1" t="str">
        <f>"10.107.137.81"</f>
        <v>10.107.137.81</v>
      </c>
      <c r="G5658" s="1" t="str">
        <f>"0131G131"</f>
        <v>0131G131</v>
      </c>
      <c r="H5658" s="1" t="str">
        <f>"도우지 44R1"</f>
        <v>도우지 44R1</v>
      </c>
      <c r="I5658" s="1" t="s">
        <v>8</v>
      </c>
      <c r="J5658" s="1" t="str">
        <f>"2/2"</f>
        <v>2/2</v>
      </c>
      <c r="K5658" s="1" t="str">
        <f>"2026-07-29 13:18:01"</f>
        <v>2026-07-29 13:18:01</v>
      </c>
      <c r="L5658" s="1" t="str">
        <f>"2017-07-27 14:11:03"</f>
        <v>2017-07-27 14:11:03</v>
      </c>
      <c r="M5658" s="1" t="s">
        <v>45</v>
      </c>
      <c r="N5658" s="1" t="s">
        <v>38</v>
      </c>
      <c r="O5658" s="1" t="s">
        <v>46</v>
      </c>
    </row>
    <row r="5659" spans="2:15" x14ac:dyDescent="0.3">
      <c r="B5659" s="1" t="s">
        <v>22</v>
      </c>
      <c r="C5659" s="1" t="str">
        <f t="shared" si="289"/>
        <v>2차</v>
      </c>
      <c r="D5659" s="1" t="str">
        <f>"0131G22129"</f>
        <v>0131G22129</v>
      </c>
      <c r="E5659" s="1" t="s">
        <v>10</v>
      </c>
      <c r="F5659" s="1" t="str">
        <f>"10.10.2.26"</f>
        <v>10.10.2.26</v>
      </c>
      <c r="G5659" s="1" t="str">
        <f>"0131G221"</f>
        <v>0131G221</v>
      </c>
      <c r="H5659" s="1" t="str">
        <f>"도우지 42"</f>
        <v>도우지 42</v>
      </c>
      <c r="I5659" s="1" t="s">
        <v>8</v>
      </c>
      <c r="J5659" s="1" t="str">
        <f>"6/6"</f>
        <v>6/6</v>
      </c>
      <c r="K5659" s="1" t="str">
        <f>"2026-07-29 13:18:01"</f>
        <v>2026-07-29 13:18:01</v>
      </c>
      <c r="L5659" s="1" t="str">
        <f>"2017-06-28 17:22:26"</f>
        <v>2017-06-28 17:22:26</v>
      </c>
      <c r="M5659" s="1" t="s">
        <v>1</v>
      </c>
      <c r="N5659" s="1" t="s">
        <v>38</v>
      </c>
      <c r="O5659" s="1" t="s">
        <v>46</v>
      </c>
    </row>
    <row r="5660" spans="2:15" x14ac:dyDescent="0.3">
      <c r="B5660" s="1" t="s">
        <v>22</v>
      </c>
      <c r="C5660" s="1" t="str">
        <f t="shared" si="289"/>
        <v>2차</v>
      </c>
      <c r="D5660" s="1" t="str">
        <f>"0131G67229"</f>
        <v>0131G67229</v>
      </c>
      <c r="E5660" s="1" t="s">
        <v>10</v>
      </c>
      <c r="F5660" s="1" t="str">
        <f>"10.10.4.42"</f>
        <v>10.10.4.42</v>
      </c>
      <c r="G5660" s="1" t="str">
        <f>"0131G672"</f>
        <v>0131G672</v>
      </c>
      <c r="H5660" s="1" t="str">
        <f>"방학지 55R16R4"</f>
        <v>방학지 55R16R4</v>
      </c>
      <c r="I5660" s="1" t="s">
        <v>8</v>
      </c>
      <c r="J5660" s="1" t="str">
        <f>"11/11"</f>
        <v>11/11</v>
      </c>
      <c r="K5660" s="1" t="str">
        <f>"2026-07-29 13:18:01"</f>
        <v>2026-07-29 13:18:01</v>
      </c>
      <c r="L5660" s="1" t="str">
        <f>"2017-06-21 17:41:03"</f>
        <v>2017-06-21 17:41:03</v>
      </c>
      <c r="M5660" s="1" t="s">
        <v>1</v>
      </c>
      <c r="N5660" s="1" t="s">
        <v>38</v>
      </c>
      <c r="O5660" s="1" t="s">
        <v>46</v>
      </c>
    </row>
    <row r="5661" spans="2:15" x14ac:dyDescent="0.3">
      <c r="B5661" s="1" t="s">
        <v>22</v>
      </c>
      <c r="C5661" s="1" t="str">
        <f t="shared" si="289"/>
        <v>2차</v>
      </c>
      <c r="D5661" s="1" t="str">
        <f>"0131G67329"</f>
        <v>0131G67329</v>
      </c>
      <c r="E5661" s="1" t="s">
        <v>10</v>
      </c>
      <c r="F5661" s="1" t="str">
        <f>"10.107.251.254"</f>
        <v>10.107.251.254</v>
      </c>
      <c r="G5661" s="1" t="str">
        <f>"0131G673"</f>
        <v>0131G673</v>
      </c>
      <c r="H5661" s="1" t="str">
        <f>"방학지 55R16R2"</f>
        <v>방학지 55R16R2</v>
      </c>
      <c r="I5661" s="1" t="s">
        <v>8</v>
      </c>
      <c r="J5661" s="1" t="str">
        <f>"10/10"</f>
        <v>10/10</v>
      </c>
      <c r="K5661" s="1" t="str">
        <f>"2026-07-29 13:18:01"</f>
        <v>2026-07-29 13:18:01</v>
      </c>
      <c r="L5661" s="1" t="str">
        <f>"2017-07-27 18:11:03"</f>
        <v>2017-07-27 18:11:03</v>
      </c>
      <c r="M5661" s="1" t="s">
        <v>45</v>
      </c>
      <c r="N5661" s="1" t="s">
        <v>38</v>
      </c>
      <c r="O5661" s="1" t="s">
        <v>46</v>
      </c>
    </row>
    <row r="5662" spans="2:15" x14ac:dyDescent="0.3">
      <c r="B5662" s="1" t="s">
        <v>22</v>
      </c>
      <c r="C5662" s="1" t="str">
        <f t="shared" si="289"/>
        <v>2차</v>
      </c>
      <c r="D5662" s="1" t="str">
        <f>"0131G68221"</f>
        <v>0131G68221</v>
      </c>
      <c r="E5662" s="1" t="s">
        <v>10</v>
      </c>
      <c r="F5662" s="1" t="str">
        <f>"10.10.4.27"</f>
        <v>10.10.4.27</v>
      </c>
      <c r="G5662" s="1" t="str">
        <f>"0131G682"</f>
        <v>0131G682</v>
      </c>
      <c r="H5662" s="1" t="str">
        <f>"방학지 55R13R6"</f>
        <v>방학지 55R13R6</v>
      </c>
      <c r="I5662" s="1" t="s">
        <v>8</v>
      </c>
      <c r="J5662" s="1" t="str">
        <f>"16/16"</f>
        <v>16/16</v>
      </c>
      <c r="K5662" s="1" t="str">
        <f>"2026-07-29 13:18:02"</f>
        <v>2026-07-29 13:18:02</v>
      </c>
      <c r="L5662" s="1" t="str">
        <f>"2017-06-21 17:41:03"</f>
        <v>2017-06-21 17:41:03</v>
      </c>
      <c r="M5662" s="1" t="s">
        <v>1</v>
      </c>
      <c r="N5662" s="1" t="s">
        <v>38</v>
      </c>
      <c r="O5662" s="1" t="s">
        <v>46</v>
      </c>
    </row>
    <row r="5663" spans="2:15" x14ac:dyDescent="0.3">
      <c r="B5663" s="1" t="s">
        <v>22</v>
      </c>
      <c r="C5663" s="1" t="str">
        <f t="shared" si="289"/>
        <v>2차</v>
      </c>
      <c r="D5663" s="1" t="str">
        <f>"0131G78120"</f>
        <v>0131G78120</v>
      </c>
      <c r="E5663" s="1" t="s">
        <v>10</v>
      </c>
      <c r="F5663" s="1" t="str">
        <f>"10.10.4.26"</f>
        <v>10.10.4.26</v>
      </c>
      <c r="G5663" s="1" t="str">
        <f>"0131G781"</f>
        <v>0131G781</v>
      </c>
      <c r="H5663" s="1" t="str">
        <f>"방학지 55R13R4"</f>
        <v>방학지 55R13R4</v>
      </c>
      <c r="I5663" s="1" t="s">
        <v>8</v>
      </c>
      <c r="J5663" s="1" t="str">
        <f>"9/9"</f>
        <v>9/9</v>
      </c>
      <c r="K5663" s="1" t="str">
        <f>"2026-07-29 13:18:01"</f>
        <v>2026-07-29 13:18:01</v>
      </c>
      <c r="L5663" s="1" t="str">
        <f>"2017-06-21 17:41:03"</f>
        <v>2017-06-21 17:41:03</v>
      </c>
      <c r="M5663" s="1" t="s">
        <v>1</v>
      </c>
      <c r="N5663" s="1" t="s">
        <v>38</v>
      </c>
      <c r="O5663" s="1" t="s">
        <v>46</v>
      </c>
    </row>
    <row r="5664" spans="2:15" x14ac:dyDescent="0.3">
      <c r="B5664" s="1" t="s">
        <v>22</v>
      </c>
      <c r="C5664" s="1" t="str">
        <f t="shared" si="289"/>
        <v>2차</v>
      </c>
      <c r="D5664" s="1" t="str">
        <f>"0131G87129"</f>
        <v>0131G87129</v>
      </c>
      <c r="E5664" s="1" t="s">
        <v>14</v>
      </c>
      <c r="F5664" s="1" t="str">
        <f>"10.12.128.196"</f>
        <v>10.12.128.196</v>
      </c>
      <c r="G5664" s="1" t="str">
        <f>"0131G871"</f>
        <v>0131G871</v>
      </c>
      <c r="H5664" s="1" t="str">
        <f>"방학지 69"</f>
        <v>방학지 69</v>
      </c>
      <c r="I5664" s="1" t="s">
        <v>8</v>
      </c>
      <c r="J5664" s="1" t="str">
        <f>"0/0"</f>
        <v>0/0</v>
      </c>
      <c r="K5664" s="1" t="str">
        <f>"2026-07-28 13:18:02"</f>
        <v>2026-07-28 13:18:02</v>
      </c>
      <c r="L5664" s="1" t="str">
        <f>"2017-08-30 10:51:09"</f>
        <v>2017-08-30 10:51:09</v>
      </c>
      <c r="M5664" s="1" t="s">
        <v>0</v>
      </c>
      <c r="N5664" s="1" t="s">
        <v>39</v>
      </c>
      <c r="O5664" s="1" t="s">
        <v>46</v>
      </c>
    </row>
    <row r="5665" spans="2:15" x14ac:dyDescent="0.3">
      <c r="B5665" s="1" t="s">
        <v>22</v>
      </c>
      <c r="C5665" s="1" t="str">
        <f t="shared" si="289"/>
        <v>2차</v>
      </c>
      <c r="D5665" s="1" t="str">
        <f>"0131G88120"</f>
        <v>0131G88120</v>
      </c>
      <c r="E5665" s="1" t="s">
        <v>10</v>
      </c>
      <c r="F5665" s="1" t="str">
        <f>"10.10.4.2"</f>
        <v>10.10.4.2</v>
      </c>
      <c r="G5665" s="1" t="str">
        <f>"0131G881"</f>
        <v>0131G881</v>
      </c>
      <c r="H5665" s="1" t="str">
        <f>"방학지 55R12R2"</f>
        <v>방학지 55R12R2</v>
      </c>
      <c r="I5665" s="1" t="s">
        <v>8</v>
      </c>
      <c r="J5665" s="1" t="str">
        <f>"10/10"</f>
        <v>10/10</v>
      </c>
      <c r="K5665" s="1" t="str">
        <f>"2026-07-29 13:18:02"</f>
        <v>2026-07-29 13:18:02</v>
      </c>
      <c r="L5665" s="1" t="str">
        <f>"2017-06-28 18:08:11"</f>
        <v>2017-06-28 18:08:11</v>
      </c>
      <c r="M5665" s="1" t="s">
        <v>1</v>
      </c>
      <c r="N5665" s="1" t="s">
        <v>38</v>
      </c>
      <c r="O5665" s="1" t="s">
        <v>46</v>
      </c>
    </row>
    <row r="5666" spans="2:15" x14ac:dyDescent="0.3">
      <c r="B5666" s="1" t="s">
        <v>22</v>
      </c>
      <c r="C5666" s="1" t="str">
        <f t="shared" si="289"/>
        <v>2차</v>
      </c>
      <c r="D5666" s="1" t="str">
        <f>"0131G89121"</f>
        <v>0131G89121</v>
      </c>
      <c r="E5666" s="1" t="s">
        <v>10</v>
      </c>
      <c r="F5666" s="1" t="str">
        <f>"10.10.4.3"</f>
        <v>10.10.4.3</v>
      </c>
      <c r="G5666" s="1" t="str">
        <f>"0131G891"</f>
        <v>0131G891</v>
      </c>
      <c r="H5666" s="1" t="str">
        <f>"방학지 55R12R3"</f>
        <v>방학지 55R12R3</v>
      </c>
      <c r="I5666" s="1" t="s">
        <v>8</v>
      </c>
      <c r="J5666" s="1" t="str">
        <f>"10/10"</f>
        <v>10/10</v>
      </c>
      <c r="K5666" s="1" t="str">
        <f>"2026-07-29 13:18:01"</f>
        <v>2026-07-29 13:18:01</v>
      </c>
      <c r="L5666" s="1" t="str">
        <f>"2017-06-28 18:13:12"</f>
        <v>2017-06-28 18:13:12</v>
      </c>
      <c r="M5666" s="1" t="s">
        <v>1</v>
      </c>
      <c r="N5666" s="1" t="s">
        <v>38</v>
      </c>
      <c r="O5666" s="1" t="s">
        <v>46</v>
      </c>
    </row>
    <row r="5667" spans="2:15" x14ac:dyDescent="0.3">
      <c r="B5667" s="1" t="s">
        <v>22</v>
      </c>
      <c r="C5667" s="1" t="str">
        <f t="shared" si="289"/>
        <v>2차</v>
      </c>
      <c r="D5667" s="1" t="str">
        <f>"0131H13129"</f>
        <v>0131H13129</v>
      </c>
      <c r="E5667" s="1" t="s">
        <v>10</v>
      </c>
      <c r="F5667" s="1" t="str">
        <f>"10.107.251.250"</f>
        <v>10.107.251.250</v>
      </c>
      <c r="G5667" s="1" t="str">
        <f>"0131H131"</f>
        <v>0131H131</v>
      </c>
      <c r="H5667" s="1" t="str">
        <f>"도우지 31"</f>
        <v>도우지 31</v>
      </c>
      <c r="I5667" s="1" t="s">
        <v>8</v>
      </c>
      <c r="J5667" s="1" t="str">
        <f>"9/9"</f>
        <v>9/9</v>
      </c>
      <c r="K5667" s="1" t="str">
        <f>"2026-07-29 13:18:02"</f>
        <v>2026-07-29 13:18:02</v>
      </c>
      <c r="L5667" s="1" t="str">
        <f>"2017-07-27 17:21:04"</f>
        <v>2017-07-27 17:21:04</v>
      </c>
      <c r="M5667" s="1" t="s">
        <v>45</v>
      </c>
      <c r="N5667" s="1" t="s">
        <v>38</v>
      </c>
      <c r="O5667" s="1" t="s">
        <v>46</v>
      </c>
    </row>
    <row r="5668" spans="2:15" x14ac:dyDescent="0.3">
      <c r="B5668" s="1" t="s">
        <v>22</v>
      </c>
      <c r="C5668" s="1" t="str">
        <f t="shared" si="289"/>
        <v>2차</v>
      </c>
      <c r="D5668" s="1" t="str">
        <f>"0131H26329"</f>
        <v>0131H26329</v>
      </c>
      <c r="E5668" s="1" t="s">
        <v>10</v>
      </c>
      <c r="F5668" s="1" t="str">
        <f>"10.10.1.202"</f>
        <v>10.10.1.202</v>
      </c>
      <c r="G5668" s="1" t="str">
        <f>"0131H263"</f>
        <v>0131H263</v>
      </c>
      <c r="H5668" s="1" t="str">
        <f>"도우지 27R2L3"</f>
        <v>도우지 27R2L3</v>
      </c>
      <c r="I5668" s="1" t="s">
        <v>8</v>
      </c>
      <c r="J5668" s="1" t="str">
        <f>"30/30"</f>
        <v>30/30</v>
      </c>
      <c r="K5668" s="1" t="str">
        <f t="shared" ref="K5668:K5676" si="290">"2026-07-29 13:18:01"</f>
        <v>2026-07-29 13:18:01</v>
      </c>
      <c r="L5668" s="1" t="str">
        <f>"2017-06-21 17:41:03"</f>
        <v>2017-06-21 17:41:03</v>
      </c>
      <c r="M5668" s="1" t="s">
        <v>1</v>
      </c>
      <c r="N5668" s="1" t="s">
        <v>38</v>
      </c>
      <c r="O5668" s="1" t="s">
        <v>46</v>
      </c>
    </row>
    <row r="5669" spans="2:15" x14ac:dyDescent="0.3">
      <c r="B5669" s="1" t="s">
        <v>22</v>
      </c>
      <c r="C5669" s="1" t="str">
        <f t="shared" si="289"/>
        <v>2차</v>
      </c>
      <c r="D5669" s="1" t="str">
        <f>"0131H29329"</f>
        <v>0131H29329</v>
      </c>
      <c r="E5669" s="1" t="s">
        <v>10</v>
      </c>
      <c r="F5669" s="1" t="str">
        <f>"10.10.3.90"</f>
        <v>10.10.3.90</v>
      </c>
      <c r="G5669" s="1" t="str">
        <f>"0131H293"</f>
        <v>0131H293</v>
      </c>
      <c r="H5669" s="1" t="str">
        <f>"방학지 25L22"</f>
        <v>방학지 25L22</v>
      </c>
      <c r="I5669" s="1" t="s">
        <v>8</v>
      </c>
      <c r="J5669" s="1" t="str">
        <f>"45/45"</f>
        <v>45/45</v>
      </c>
      <c r="K5669" s="1" t="str">
        <f t="shared" si="290"/>
        <v>2026-07-29 13:18:01</v>
      </c>
      <c r="L5669" s="1" t="str">
        <f>"2017-06-21 17:41:03"</f>
        <v>2017-06-21 17:41:03</v>
      </c>
      <c r="M5669" s="1" t="s">
        <v>1</v>
      </c>
      <c r="N5669" s="1" t="s">
        <v>38</v>
      </c>
      <c r="O5669" s="1" t="s">
        <v>46</v>
      </c>
    </row>
    <row r="5670" spans="2:15" x14ac:dyDescent="0.3">
      <c r="B5670" s="1" t="s">
        <v>22</v>
      </c>
      <c r="C5670" s="1" t="str">
        <f t="shared" si="289"/>
        <v>2차</v>
      </c>
      <c r="D5670" s="1" t="str">
        <f>"0131H34220"</f>
        <v>0131H34220</v>
      </c>
      <c r="E5670" s="1" t="s">
        <v>10</v>
      </c>
      <c r="F5670" s="1" t="str">
        <f>"10.10.3.250"</f>
        <v>10.10.3.250</v>
      </c>
      <c r="G5670" s="1" t="str">
        <f>"0131H342"</f>
        <v>0131H342</v>
      </c>
      <c r="H5670" s="1" t="str">
        <f>"도우지 27R1"</f>
        <v>도우지 27R1</v>
      </c>
      <c r="I5670" s="1" t="s">
        <v>8</v>
      </c>
      <c r="J5670" s="1" t="str">
        <f>"23/23"</f>
        <v>23/23</v>
      </c>
      <c r="K5670" s="1" t="str">
        <f t="shared" si="290"/>
        <v>2026-07-29 13:18:01</v>
      </c>
      <c r="L5670" s="1" t="str">
        <f>"2017-06-21 17:41:04"</f>
        <v>2017-06-21 17:41:04</v>
      </c>
      <c r="M5670" s="1" t="s">
        <v>1</v>
      </c>
      <c r="N5670" s="1" t="s">
        <v>38</v>
      </c>
      <c r="O5670" s="1" t="s">
        <v>46</v>
      </c>
    </row>
    <row r="5671" spans="2:15" x14ac:dyDescent="0.3">
      <c r="B5671" s="1" t="s">
        <v>22</v>
      </c>
      <c r="C5671" s="1" t="str">
        <f t="shared" si="289"/>
        <v>2차</v>
      </c>
      <c r="D5671" s="1" t="str">
        <f>"0131H35121"</f>
        <v>0131H35121</v>
      </c>
      <c r="E5671" s="1" t="s">
        <v>10</v>
      </c>
      <c r="F5671" s="1" t="str">
        <f>"10.10.3.251"</f>
        <v>10.10.3.251</v>
      </c>
      <c r="G5671" s="1" t="str">
        <f>"0131H351"</f>
        <v>0131H351</v>
      </c>
      <c r="H5671" s="1" t="str">
        <f>"도우지 27R3"</f>
        <v>도우지 27R3</v>
      </c>
      <c r="I5671" s="1" t="s">
        <v>8</v>
      </c>
      <c r="J5671" s="1" t="str">
        <f>"7/7"</f>
        <v>7/7</v>
      </c>
      <c r="K5671" s="1" t="str">
        <f t="shared" si="290"/>
        <v>2026-07-29 13:18:01</v>
      </c>
      <c r="L5671" s="1" t="str">
        <f>"2017-06-21 17:51:01"</f>
        <v>2017-06-21 17:51:01</v>
      </c>
      <c r="M5671" s="1" t="s">
        <v>1</v>
      </c>
      <c r="N5671" s="1" t="s">
        <v>38</v>
      </c>
      <c r="O5671" s="1" t="s">
        <v>46</v>
      </c>
    </row>
    <row r="5672" spans="2:15" x14ac:dyDescent="0.3">
      <c r="B5672" s="1" t="s">
        <v>22</v>
      </c>
      <c r="C5672" s="1" t="str">
        <f t="shared" si="289"/>
        <v>2차</v>
      </c>
      <c r="D5672" s="1" t="str">
        <f>"0131H38429"</f>
        <v>0131H38429</v>
      </c>
      <c r="E5672" s="1" t="s">
        <v>10</v>
      </c>
      <c r="F5672" s="1" t="str">
        <f>"10.107.249.70"</f>
        <v>10.107.249.70</v>
      </c>
      <c r="G5672" s="1" t="str">
        <f>"0131H384"</f>
        <v>0131H384</v>
      </c>
      <c r="H5672" s="1" t="str">
        <f>"방학지 25L19"</f>
        <v>방학지 25L19</v>
      </c>
      <c r="I5672" s="1" t="s">
        <v>8</v>
      </c>
      <c r="J5672" s="1" t="str">
        <f>"15/15"</f>
        <v>15/15</v>
      </c>
      <c r="K5672" s="1" t="str">
        <f t="shared" si="290"/>
        <v>2026-07-29 13:18:01</v>
      </c>
      <c r="L5672" s="1" t="str">
        <f>"2017-07-27 09:31:03"</f>
        <v>2017-07-27 09:31:03</v>
      </c>
      <c r="M5672" s="1" t="s">
        <v>45</v>
      </c>
      <c r="N5672" s="1" t="s">
        <v>38</v>
      </c>
      <c r="O5672" s="1" t="s">
        <v>46</v>
      </c>
    </row>
    <row r="5673" spans="2:15" x14ac:dyDescent="0.3">
      <c r="B5673" s="1" t="s">
        <v>22</v>
      </c>
      <c r="C5673" s="1" t="str">
        <f>"4차"</f>
        <v>4차</v>
      </c>
      <c r="D5673" s="1" t="str">
        <f>"0131H38529"</f>
        <v>0131H38529</v>
      </c>
      <c r="E5673" s="1" t="s">
        <v>10</v>
      </c>
      <c r="F5673" s="1" t="str">
        <f>"10.107.249.71"</f>
        <v>10.107.249.71</v>
      </c>
      <c r="G5673" s="1" t="str">
        <f>"0131H385"</f>
        <v>0131H385</v>
      </c>
      <c r="H5673" s="1" t="str">
        <f>"방학지 25L19L2"</f>
        <v>방학지 25L19L2</v>
      </c>
      <c r="I5673" s="1" t="s">
        <v>8</v>
      </c>
      <c r="J5673" s="1" t="str">
        <f>"43/71"</f>
        <v>43/71</v>
      </c>
      <c r="K5673" s="1" t="str">
        <f t="shared" si="290"/>
        <v>2026-07-29 13:18:01</v>
      </c>
      <c r="L5673" s="1" t="str">
        <f>"2017-08-01 15:31:03"</f>
        <v>2017-08-01 15:31:03</v>
      </c>
      <c r="M5673" s="1" t="s">
        <v>45</v>
      </c>
      <c r="N5673" s="1" t="s">
        <v>38</v>
      </c>
      <c r="O5673" s="1" t="s">
        <v>46</v>
      </c>
    </row>
    <row r="5674" spans="2:15" x14ac:dyDescent="0.3">
      <c r="B5674" s="1" t="s">
        <v>22</v>
      </c>
      <c r="C5674" s="1" t="str">
        <f>"2차"</f>
        <v>2차</v>
      </c>
      <c r="D5674" s="1" t="str">
        <f>"0131H39229"</f>
        <v>0131H39229</v>
      </c>
      <c r="E5674" s="1" t="s">
        <v>10</v>
      </c>
      <c r="F5674" s="1" t="str">
        <f>"10.107.249.69"</f>
        <v>10.107.249.69</v>
      </c>
      <c r="G5674" s="1" t="str">
        <f>"0131H392"</f>
        <v>0131H392</v>
      </c>
      <c r="H5674" s="1" t="str">
        <f>"방학지 25L17"</f>
        <v>방학지 25L17</v>
      </c>
      <c r="I5674" s="1" t="s">
        <v>8</v>
      </c>
      <c r="J5674" s="1" t="str">
        <f>"32/32"</f>
        <v>32/32</v>
      </c>
      <c r="K5674" s="1" t="str">
        <f t="shared" si="290"/>
        <v>2026-07-29 13:18:01</v>
      </c>
      <c r="L5674" s="1" t="str">
        <f>"2017-08-01 16:01:02"</f>
        <v>2017-08-01 16:01:02</v>
      </c>
      <c r="M5674" s="1" t="s">
        <v>45</v>
      </c>
      <c r="N5674" s="1" t="s">
        <v>38</v>
      </c>
      <c r="O5674" s="1" t="s">
        <v>46</v>
      </c>
    </row>
    <row r="5675" spans="2:15" x14ac:dyDescent="0.3">
      <c r="B5675" s="1" t="s">
        <v>22</v>
      </c>
      <c r="C5675" s="1" t="str">
        <f>"2차"</f>
        <v>2차</v>
      </c>
      <c r="D5675" s="1" t="str">
        <f>"0131H45121"</f>
        <v>0131H45121</v>
      </c>
      <c r="E5675" s="1" t="s">
        <v>10</v>
      </c>
      <c r="F5675" s="1" t="str">
        <f>"10.10.1.219"</f>
        <v>10.10.1.219</v>
      </c>
      <c r="G5675" s="1" t="str">
        <f>"0131H451"</f>
        <v>0131H451</v>
      </c>
      <c r="H5675" s="1" t="str">
        <f>"도우지 27R4"</f>
        <v>도우지 27R4</v>
      </c>
      <c r="I5675" s="1" t="s">
        <v>8</v>
      </c>
      <c r="J5675" s="1" t="str">
        <f>"51/51"</f>
        <v>51/51</v>
      </c>
      <c r="K5675" s="1" t="str">
        <f t="shared" si="290"/>
        <v>2026-07-29 13:18:01</v>
      </c>
      <c r="L5675" s="1" t="str">
        <f>"2017-08-17 15:21:02"</f>
        <v>2017-08-17 15:21:02</v>
      </c>
      <c r="M5675" s="1" t="s">
        <v>1</v>
      </c>
      <c r="N5675" s="1" t="s">
        <v>38</v>
      </c>
      <c r="O5675" s="1" t="s">
        <v>46</v>
      </c>
    </row>
    <row r="5676" spans="2:15" x14ac:dyDescent="0.3">
      <c r="B5676" s="1" t="s">
        <v>22</v>
      </c>
      <c r="C5676" s="1" t="str">
        <f>"2차"</f>
        <v>2차</v>
      </c>
      <c r="D5676" s="1" t="str">
        <f>"0131H45220"</f>
        <v>0131H45220</v>
      </c>
      <c r="E5676" s="1" t="s">
        <v>10</v>
      </c>
      <c r="F5676" s="1" t="str">
        <f>"10.10.1.218"</f>
        <v>10.10.1.218</v>
      </c>
      <c r="G5676" s="1" t="str">
        <f>"0131H452"</f>
        <v>0131H452</v>
      </c>
      <c r="H5676" s="1" t="str">
        <f>"도우지 27R5"</f>
        <v>도우지 27R5</v>
      </c>
      <c r="I5676" s="1" t="s">
        <v>8</v>
      </c>
      <c r="J5676" s="1" t="str">
        <f>"86/91"</f>
        <v>86/91</v>
      </c>
      <c r="K5676" s="1" t="str">
        <f t="shared" si="290"/>
        <v>2026-07-29 13:18:01</v>
      </c>
      <c r="L5676" s="1" t="str">
        <f>"2017-06-21 17:41:04"</f>
        <v>2017-06-21 17:41:04</v>
      </c>
      <c r="M5676" s="1" t="s">
        <v>1</v>
      </c>
      <c r="N5676" s="1" t="s">
        <v>38</v>
      </c>
      <c r="O5676" s="1" t="s">
        <v>46</v>
      </c>
    </row>
    <row r="5677" spans="2:15" x14ac:dyDescent="0.3">
      <c r="B5677" s="1" t="s">
        <v>22</v>
      </c>
      <c r="C5677" s="1" t="str">
        <f>"5-2차"</f>
        <v>5-2차</v>
      </c>
      <c r="D5677" s="1" t="str">
        <f>"0131H5215M"</f>
        <v>0131H5215M</v>
      </c>
      <c r="E5677" s="1" t="s">
        <v>10</v>
      </c>
      <c r="F5677" s="1" t="str">
        <f>"fde1:103:4:914b:0:0:0:2"</f>
        <v>fde1:103:4:914b:0:0:0:2</v>
      </c>
      <c r="G5677" s="1" t="str">
        <f>"0131H521"</f>
        <v>0131H521</v>
      </c>
      <c r="H5677" s="1" t="str">
        <f>"자연간 41"</f>
        <v>자연간 41</v>
      </c>
      <c r="I5677" s="1" t="s">
        <v>15</v>
      </c>
      <c r="J5677" s="1" t="str">
        <f>"41/41"</f>
        <v>41/41</v>
      </c>
      <c r="K5677" s="1" t="str">
        <f>"2026-07-29 14:20:15"</f>
        <v>2026-07-29 14:20:15</v>
      </c>
      <c r="L5677" s="1" t="str">
        <f>"2024-01-18 08:41:46"</f>
        <v>2024-01-18 08:41:46</v>
      </c>
      <c r="M5677" s="1" t="s">
        <v>4</v>
      </c>
      <c r="N5677" s="1" t="s">
        <v>38</v>
      </c>
      <c r="O5677" s="1" t="s">
        <v>46</v>
      </c>
    </row>
    <row r="5678" spans="2:15" x14ac:dyDescent="0.3">
      <c r="B5678" s="1" t="s">
        <v>22</v>
      </c>
      <c r="C5678" s="1" t="str">
        <f>"2차"</f>
        <v>2차</v>
      </c>
      <c r="D5678" s="1" t="str">
        <f>"0131H53220"</f>
        <v>0131H53220</v>
      </c>
      <c r="E5678" s="1" t="s">
        <v>14</v>
      </c>
      <c r="F5678" s="1" t="str">
        <f>"10.10.4.242"</f>
        <v>10.10.4.242</v>
      </c>
      <c r="G5678" s="1" t="str">
        <f>"0131H532"</f>
        <v>0131H532</v>
      </c>
      <c r="H5678" s="1" t="str">
        <f>"자연간 45"</f>
        <v>자연간 45</v>
      </c>
      <c r="I5678" s="1" t="s">
        <v>8</v>
      </c>
      <c r="J5678" s="1" t="str">
        <f>"0/0"</f>
        <v>0/0</v>
      </c>
      <c r="K5678" s="1" t="str">
        <f>"2026-07-29 13:18:03"</f>
        <v>2026-07-29 13:18:03</v>
      </c>
      <c r="L5678" s="1" t="str">
        <f>"2017-06-21 17:51:01"</f>
        <v>2017-06-21 17:51:01</v>
      </c>
      <c r="M5678" s="1" t="s">
        <v>1</v>
      </c>
      <c r="N5678" s="1" t="s">
        <v>38</v>
      </c>
      <c r="O5678" s="1" t="s">
        <v>44</v>
      </c>
    </row>
    <row r="5679" spans="2:15" x14ac:dyDescent="0.3">
      <c r="B5679" s="1" t="s">
        <v>22</v>
      </c>
      <c r="C5679" s="1" t="str">
        <f>"2차"</f>
        <v>2차</v>
      </c>
      <c r="D5679" s="1" t="str">
        <f>"0131H55222"</f>
        <v>0131H55222</v>
      </c>
      <c r="E5679" s="1" t="s">
        <v>10</v>
      </c>
      <c r="F5679" s="1" t="str">
        <f>"10.10.1.220"</f>
        <v>10.10.1.220</v>
      </c>
      <c r="G5679" s="1" t="str">
        <f>"0131H552"</f>
        <v>0131H552</v>
      </c>
      <c r="H5679" s="1" t="str">
        <f>"도우지 27R5R1"</f>
        <v>도우지 27R5R1</v>
      </c>
      <c r="I5679" s="1" t="s">
        <v>8</v>
      </c>
      <c r="J5679" s="1" t="str">
        <f>"34/34"</f>
        <v>34/34</v>
      </c>
      <c r="K5679" s="1" t="str">
        <f>"2026-07-29 13:18:03"</f>
        <v>2026-07-29 13:18:03</v>
      </c>
      <c r="L5679" s="1" t="str">
        <f>"2017-06-21 17:41:04"</f>
        <v>2017-06-21 17:41:04</v>
      </c>
      <c r="M5679" s="1" t="s">
        <v>1</v>
      </c>
      <c r="N5679" s="1" t="s">
        <v>38</v>
      </c>
      <c r="O5679" s="1" t="s">
        <v>46</v>
      </c>
    </row>
    <row r="5680" spans="2:15" x14ac:dyDescent="0.3">
      <c r="B5680" s="1" t="s">
        <v>22</v>
      </c>
      <c r="C5680" s="1" t="str">
        <f>"6차"</f>
        <v>6차</v>
      </c>
      <c r="D5680" s="1" t="str">
        <f>"0131H5936S"</f>
        <v>0131H5936S</v>
      </c>
      <c r="E5680" s="1" t="s">
        <v>10</v>
      </c>
      <c r="F5680" s="1" t="str">
        <f>"fde1:103:4:9201:0:0:0:2"</f>
        <v>fde1:103:4:9201:0:0:0:2</v>
      </c>
      <c r="G5680" s="1" t="str">
        <f>"0131H593"</f>
        <v>0131H593</v>
      </c>
      <c r="H5680" s="1" t="str">
        <f>"방학지 25L14L2"</f>
        <v>방학지 25L14L2</v>
      </c>
      <c r="I5680" s="1" t="s">
        <v>15</v>
      </c>
      <c r="J5680" s="1" t="str">
        <f>"63/63"</f>
        <v>63/63</v>
      </c>
      <c r="K5680" s="1" t="str">
        <f>"2026-07-29 14:20:30"</f>
        <v>2026-07-29 14:20:30</v>
      </c>
      <c r="L5680" s="1" t="str">
        <f>"2024-10-10 10:38:20"</f>
        <v>2024-10-10 10:38:20</v>
      </c>
      <c r="M5680" s="1" t="s">
        <v>4</v>
      </c>
      <c r="N5680" s="1" t="s">
        <v>38</v>
      </c>
      <c r="O5680" s="1" t="s">
        <v>46</v>
      </c>
    </row>
    <row r="5681" spans="2:15" x14ac:dyDescent="0.3">
      <c r="B5681" s="1" t="s">
        <v>22</v>
      </c>
      <c r="C5681" s="1" t="str">
        <f>"2차"</f>
        <v>2차</v>
      </c>
      <c r="D5681" s="1" t="str">
        <f>"0131H61129"</f>
        <v>0131H61129</v>
      </c>
      <c r="E5681" s="1" t="s">
        <v>10</v>
      </c>
      <c r="F5681" s="1" t="str">
        <f>"10.107.250.194"</f>
        <v>10.107.250.194</v>
      </c>
      <c r="G5681" s="1" t="str">
        <f>"0131H611"</f>
        <v>0131H611</v>
      </c>
      <c r="H5681" s="1" t="str">
        <f>"자연간 39"</f>
        <v>자연간 39</v>
      </c>
      <c r="I5681" s="1" t="s">
        <v>8</v>
      </c>
      <c r="J5681" s="1" t="str">
        <f>"5/7"</f>
        <v>5/7</v>
      </c>
      <c r="K5681" s="1" t="str">
        <f>"2026-07-29 13:18:01"</f>
        <v>2026-07-29 13:18:01</v>
      </c>
      <c r="L5681" s="1" t="str">
        <f>"2017-07-19 12:37:55"</f>
        <v>2017-07-19 12:37:55</v>
      </c>
      <c r="M5681" s="1" t="s">
        <v>45</v>
      </c>
      <c r="N5681" s="1" t="s">
        <v>38</v>
      </c>
      <c r="O5681" s="1" t="s">
        <v>46</v>
      </c>
    </row>
    <row r="5682" spans="2:15" x14ac:dyDescent="0.3">
      <c r="B5682" s="1" t="s">
        <v>22</v>
      </c>
      <c r="C5682" s="1" t="str">
        <f>"1차"</f>
        <v>1차</v>
      </c>
      <c r="D5682" s="1" t="str">
        <f>"0131H64100"</f>
        <v>0131H64100</v>
      </c>
      <c r="E5682" s="1" t="s">
        <v>10</v>
      </c>
      <c r="F5682" s="1" t="str">
        <f>"10.107.248.131"</f>
        <v>10.107.248.131</v>
      </c>
      <c r="G5682" s="1" t="str">
        <f>"0131H641"</f>
        <v>0131H641</v>
      </c>
      <c r="H5682" s="1" t="str">
        <f>"도우지 24"</f>
        <v>도우지 24</v>
      </c>
      <c r="I5682" s="1" t="s">
        <v>8</v>
      </c>
      <c r="J5682" s="1" t="str">
        <f>"18/19"</f>
        <v>18/19</v>
      </c>
      <c r="K5682" s="1" t="str">
        <f>"2026-07-29 13:18:01"</f>
        <v>2026-07-29 13:18:01</v>
      </c>
      <c r="L5682" s="1" t="str">
        <f>"2014-12-22 11:02:19"</f>
        <v>2014-12-22 11:02:19</v>
      </c>
      <c r="M5682" s="1" t="s">
        <v>45</v>
      </c>
      <c r="N5682" s="1" t="s">
        <v>38</v>
      </c>
      <c r="O5682" s="1" t="s">
        <v>46</v>
      </c>
    </row>
    <row r="5683" spans="2:15" x14ac:dyDescent="0.3">
      <c r="B5683" s="1" t="s">
        <v>22</v>
      </c>
      <c r="C5683" s="1" t="str">
        <f>"2차"</f>
        <v>2차</v>
      </c>
      <c r="D5683" s="1" t="str">
        <f>"0131H64221"</f>
        <v>0131H64221</v>
      </c>
      <c r="E5683" s="1" t="s">
        <v>14</v>
      </c>
      <c r="F5683" s="1" t="str">
        <f>"10.10.4.243"</f>
        <v>10.10.4.243</v>
      </c>
      <c r="G5683" s="1" t="str">
        <f>"0131H642"</f>
        <v>0131H642</v>
      </c>
      <c r="H5683" s="1" t="str">
        <f>"자연간 46"</f>
        <v>자연간 46</v>
      </c>
      <c r="I5683" s="1" t="s">
        <v>8</v>
      </c>
      <c r="J5683" s="1" t="str">
        <f>"0/0"</f>
        <v>0/0</v>
      </c>
      <c r="K5683" s="1" t="str">
        <f>"2026-07-29 13:18:02"</f>
        <v>2026-07-29 13:18:02</v>
      </c>
      <c r="L5683" s="1" t="str">
        <f>"2017-06-21 17:41:03"</f>
        <v>2017-06-21 17:41:03</v>
      </c>
      <c r="M5683" s="1" t="s">
        <v>1</v>
      </c>
      <c r="N5683" s="1" t="s">
        <v>38</v>
      </c>
      <c r="O5683" s="1" t="s">
        <v>44</v>
      </c>
    </row>
    <row r="5684" spans="2:15" x14ac:dyDescent="0.3">
      <c r="B5684" s="1" t="s">
        <v>22</v>
      </c>
      <c r="C5684" s="1" t="str">
        <f>"2차"</f>
        <v>2차</v>
      </c>
      <c r="D5684" s="1" t="str">
        <f>"0131H65229"</f>
        <v>0131H65229</v>
      </c>
      <c r="E5684" s="1" t="s">
        <v>10</v>
      </c>
      <c r="F5684" s="1" t="str">
        <f>"10.10.3.178"</f>
        <v>10.10.3.178</v>
      </c>
      <c r="G5684" s="1" t="str">
        <f>"0131H652"</f>
        <v>0131H652</v>
      </c>
      <c r="H5684" s="1" t="str">
        <f>"방학지 15L18R6"</f>
        <v>방학지 15L18R6</v>
      </c>
      <c r="I5684" s="1" t="s">
        <v>8</v>
      </c>
      <c r="J5684" s="1" t="str">
        <f>"25/26"</f>
        <v>25/26</v>
      </c>
      <c r="K5684" s="1" t="str">
        <f>"2026-07-29 13:18:01"</f>
        <v>2026-07-29 13:18:01</v>
      </c>
      <c r="L5684" s="1" t="str">
        <f>"2017-06-21 17:41:03"</f>
        <v>2017-06-21 17:41:03</v>
      </c>
      <c r="M5684" s="1" t="s">
        <v>1</v>
      </c>
      <c r="N5684" s="1" t="s">
        <v>38</v>
      </c>
      <c r="O5684" s="1" t="s">
        <v>46</v>
      </c>
    </row>
    <row r="5685" spans="2:15" x14ac:dyDescent="0.3">
      <c r="B5685" s="1" t="s">
        <v>22</v>
      </c>
      <c r="C5685" s="1" t="str">
        <f>"1차"</f>
        <v>1차</v>
      </c>
      <c r="D5685" s="1" t="str">
        <f>"0131H68200"</f>
        <v>0131H68200</v>
      </c>
      <c r="E5685" s="1" t="s">
        <v>10</v>
      </c>
      <c r="F5685" s="1" t="str">
        <f>"10.107.248.69"</f>
        <v>10.107.248.69</v>
      </c>
      <c r="G5685" s="1" t="str">
        <f>"0131H682"</f>
        <v>0131H682</v>
      </c>
      <c r="H5685" s="1" t="str">
        <f>"방학지 25L14L3"</f>
        <v>방학지 25L14L3</v>
      </c>
      <c r="I5685" s="1" t="s">
        <v>8</v>
      </c>
      <c r="J5685" s="1" t="str">
        <f>"68/68"</f>
        <v>68/68</v>
      </c>
      <c r="K5685" s="1" t="str">
        <f>"2026-07-29 13:18:03"</f>
        <v>2026-07-29 13:18:03</v>
      </c>
      <c r="L5685" s="1" t="str">
        <f>"2014-12-15 14:12:33"</f>
        <v>2014-12-15 14:12:33</v>
      </c>
      <c r="M5685" s="1" t="s">
        <v>45</v>
      </c>
      <c r="N5685" s="1" t="s">
        <v>38</v>
      </c>
      <c r="O5685" s="1" t="s">
        <v>46</v>
      </c>
    </row>
    <row r="5686" spans="2:15" x14ac:dyDescent="0.3">
      <c r="B5686" s="1" t="s">
        <v>22</v>
      </c>
      <c r="C5686" s="1" t="str">
        <f>"2차"</f>
        <v>2차</v>
      </c>
      <c r="D5686" s="1" t="str">
        <f>"0131H74220"</f>
        <v>0131H74220</v>
      </c>
      <c r="E5686" s="1" t="s">
        <v>10</v>
      </c>
      <c r="F5686" s="1" t="str">
        <f>"10.10.4.218"</f>
        <v>10.10.4.218</v>
      </c>
      <c r="G5686" s="1" t="str">
        <f>"0131H742"</f>
        <v>0131H742</v>
      </c>
      <c r="H5686" s="1" t="str">
        <f>"자연간 47"</f>
        <v>자연간 47</v>
      </c>
      <c r="I5686" s="1" t="s">
        <v>8</v>
      </c>
      <c r="J5686" s="1" t="str">
        <f>"8/11"</f>
        <v>8/11</v>
      </c>
      <c r="K5686" s="1" t="str">
        <f>"2026-07-29 13:18:03"</f>
        <v>2026-07-29 13:18:03</v>
      </c>
      <c r="L5686" s="1" t="str">
        <f>"2017-06-28 17:56:26"</f>
        <v>2017-06-28 17:56:26</v>
      </c>
      <c r="M5686" s="1" t="s">
        <v>1</v>
      </c>
      <c r="N5686" s="1" t="s">
        <v>38</v>
      </c>
      <c r="O5686" s="1" t="s">
        <v>46</v>
      </c>
    </row>
    <row r="5687" spans="2:15" x14ac:dyDescent="0.3">
      <c r="B5687" s="1" t="s">
        <v>22</v>
      </c>
      <c r="C5687" s="1" t="str">
        <f>"6차"</f>
        <v>6차</v>
      </c>
      <c r="D5687" s="1" t="str">
        <f>"0131H7516S"</f>
        <v>0131H7516S</v>
      </c>
      <c r="E5687" s="1" t="s">
        <v>10</v>
      </c>
      <c r="F5687" s="1" t="str">
        <f>"fde3:102:1420:5700:0:0:0:2"</f>
        <v>fde3:102:1420:5700:0:0:0:2</v>
      </c>
      <c r="G5687" s="1" t="str">
        <f>"0131H751"</f>
        <v>0131H751</v>
      </c>
      <c r="H5687" s="1" t="str">
        <f>"방학지 15L18R4"</f>
        <v>방학지 15L18R4</v>
      </c>
      <c r="I5687" s="1" t="s">
        <v>15</v>
      </c>
      <c r="J5687" s="1" t="str">
        <f>"33/33"</f>
        <v>33/33</v>
      </c>
      <c r="K5687" s="1" t="str">
        <f>"2026-07-29 14:20:15"</f>
        <v>2026-07-29 14:20:15</v>
      </c>
      <c r="L5687" s="1" t="str">
        <f>"2024-12-03 10:18:12"</f>
        <v>2024-12-03 10:18:12</v>
      </c>
      <c r="M5687" s="1" t="s">
        <v>45</v>
      </c>
      <c r="N5687" s="1" t="s">
        <v>38</v>
      </c>
      <c r="O5687" s="1" t="s">
        <v>46</v>
      </c>
    </row>
    <row r="5688" spans="2:15" x14ac:dyDescent="0.3">
      <c r="B5688" s="1" t="s">
        <v>22</v>
      </c>
      <c r="C5688" s="1" t="str">
        <f>"1차"</f>
        <v>1차</v>
      </c>
      <c r="D5688" s="1" t="str">
        <f>"0131H84101"</f>
        <v>0131H84101</v>
      </c>
      <c r="E5688" s="1" t="s">
        <v>10</v>
      </c>
      <c r="F5688" s="1" t="str">
        <f>"10.12.132.13"</f>
        <v>10.12.132.13</v>
      </c>
      <c r="G5688" s="1" t="str">
        <f>"0131H841"</f>
        <v>0131H841</v>
      </c>
      <c r="H5688" s="1" t="str">
        <f>"도우지 22"</f>
        <v>도우지 22</v>
      </c>
      <c r="I5688" s="1" t="s">
        <v>8</v>
      </c>
      <c r="J5688" s="1" t="str">
        <f>"18/19"</f>
        <v>18/19</v>
      </c>
      <c r="K5688" s="1" t="str">
        <f>"2026-07-29 13:18:01"</f>
        <v>2026-07-29 13:18:01</v>
      </c>
      <c r="L5688" s="1" t="str">
        <f>"2014-12-22 10:56:24"</f>
        <v>2014-12-22 10:56:24</v>
      </c>
      <c r="M5688" s="1" t="s">
        <v>0</v>
      </c>
      <c r="N5688" s="1" t="s">
        <v>38</v>
      </c>
      <c r="O5688" s="1" t="s">
        <v>46</v>
      </c>
    </row>
    <row r="5689" spans="2:15" x14ac:dyDescent="0.3">
      <c r="B5689" s="1" t="s">
        <v>22</v>
      </c>
      <c r="C5689" s="1" t="str">
        <f>"2차"</f>
        <v>2차</v>
      </c>
      <c r="D5689" s="1" t="str">
        <f>"0131H84221"</f>
        <v>0131H84221</v>
      </c>
      <c r="E5689" s="1" t="s">
        <v>10</v>
      </c>
      <c r="F5689" s="1" t="str">
        <f>"10.10.4.219"</f>
        <v>10.10.4.219</v>
      </c>
      <c r="G5689" s="1" t="str">
        <f>"0131H842"</f>
        <v>0131H842</v>
      </c>
      <c r="H5689" s="1" t="str">
        <f>"자연간 48"</f>
        <v>자연간 48</v>
      </c>
      <c r="I5689" s="1" t="s">
        <v>8</v>
      </c>
      <c r="J5689" s="1" t="str">
        <f>"6/6"</f>
        <v>6/6</v>
      </c>
      <c r="K5689" s="1" t="str">
        <f>"2026-07-29 13:18:02"</f>
        <v>2026-07-29 13:18:02</v>
      </c>
      <c r="L5689" s="1" t="str">
        <f>"2017-06-28 17:57:56"</f>
        <v>2017-06-28 17:57:56</v>
      </c>
      <c r="M5689" s="1" t="s">
        <v>1</v>
      </c>
      <c r="N5689" s="1" t="s">
        <v>38</v>
      </c>
      <c r="O5689" s="1" t="s">
        <v>46</v>
      </c>
    </row>
    <row r="5690" spans="2:15" x14ac:dyDescent="0.3">
      <c r="B5690" s="1" t="s">
        <v>22</v>
      </c>
      <c r="C5690" s="1" t="str">
        <f>"6차"</f>
        <v>6차</v>
      </c>
      <c r="D5690" s="1" t="str">
        <f>"0131H8516S"</f>
        <v>0131H8516S</v>
      </c>
      <c r="E5690" s="1" t="s">
        <v>10</v>
      </c>
      <c r="F5690" s="1" t="str">
        <f>"fde1:103:4:c71f:0:0:0:2"</f>
        <v>fde1:103:4:c71f:0:0:0:2</v>
      </c>
      <c r="G5690" s="1" t="str">
        <f>"0131H851"</f>
        <v>0131H851</v>
      </c>
      <c r="H5690" s="1" t="str">
        <f>"방학지 15L18R2"</f>
        <v>방학지 15L18R2</v>
      </c>
      <c r="I5690" s="1" t="s">
        <v>15</v>
      </c>
      <c r="J5690" s="1" t="str">
        <f>"36/36"</f>
        <v>36/36</v>
      </c>
      <c r="K5690" s="1" t="str">
        <f>"2026-07-29 14:20:16"</f>
        <v>2026-07-29 14:20:16</v>
      </c>
      <c r="L5690" s="1" t="str">
        <f>"2024-12-10 11:23:53"</f>
        <v>2024-12-10 11:23:53</v>
      </c>
      <c r="M5690" s="1" t="s">
        <v>4</v>
      </c>
      <c r="N5690" s="1" t="s">
        <v>38</v>
      </c>
      <c r="O5690" s="1" t="s">
        <v>46</v>
      </c>
    </row>
    <row r="5691" spans="2:15" x14ac:dyDescent="0.3">
      <c r="B5691" s="1" t="s">
        <v>22</v>
      </c>
      <c r="C5691" s="1" t="str">
        <f>"5-1차"</f>
        <v>5-1차</v>
      </c>
      <c r="D5691" s="1" t="str">
        <f>"0131H8625M"</f>
        <v>0131H8625M</v>
      </c>
      <c r="E5691" s="1" t="s">
        <v>10</v>
      </c>
      <c r="F5691" s="1" t="str">
        <f>"fde2:104:0:14e:0:0:0:2"</f>
        <v>fde2:104:0:14e:0:0:0:2</v>
      </c>
      <c r="G5691" s="1" t="str">
        <f>"0131H862"</f>
        <v>0131H862</v>
      </c>
      <c r="H5691" s="1" t="str">
        <f>"방학지 25L14L7"</f>
        <v>방학지 25L14L7</v>
      </c>
      <c r="I5691" s="1" t="s">
        <v>15</v>
      </c>
      <c r="J5691" s="1" t="str">
        <f>"41/41"</f>
        <v>41/41</v>
      </c>
      <c r="K5691" s="1" t="str">
        <f>"2026-07-29 14:20:02"</f>
        <v>2026-07-29 14:20:02</v>
      </c>
      <c r="L5691" s="1" t="str">
        <f>"2022-10-07 10:37:32"</f>
        <v>2022-10-07 10:37:32</v>
      </c>
      <c r="M5691" s="1" t="s">
        <v>42</v>
      </c>
      <c r="N5691" s="1" t="s">
        <v>38</v>
      </c>
      <c r="O5691" s="1" t="s">
        <v>46</v>
      </c>
    </row>
    <row r="5692" spans="2:15" x14ac:dyDescent="0.3">
      <c r="B5692" s="1" t="s">
        <v>22</v>
      </c>
      <c r="C5692" s="1" t="str">
        <f>"1차"</f>
        <v>1차</v>
      </c>
      <c r="D5692" s="1" t="str">
        <f>"0131H88300"</f>
        <v>0131H88300</v>
      </c>
      <c r="E5692" s="1" t="s">
        <v>10</v>
      </c>
      <c r="F5692" s="1" t="str">
        <f>"10.107.248.72"</f>
        <v>10.107.248.72</v>
      </c>
      <c r="G5692" s="1" t="str">
        <f>"0131H883"</f>
        <v>0131H883</v>
      </c>
      <c r="H5692" s="1" t="str">
        <f>"방학지 25L14L9"</f>
        <v>방학지 25L14L9</v>
      </c>
      <c r="I5692" s="1" t="s">
        <v>8</v>
      </c>
      <c r="J5692" s="1" t="str">
        <f>"47/47"</f>
        <v>47/47</v>
      </c>
      <c r="K5692" s="1" t="str">
        <f>"2026-07-29 13:18:00"</f>
        <v>2026-07-29 13:18:00</v>
      </c>
      <c r="L5692" s="1" t="str">
        <f>"2015-01-13 20:40:17"</f>
        <v>2015-01-13 20:40:17</v>
      </c>
      <c r="M5692" s="1" t="s">
        <v>45</v>
      </c>
      <c r="N5692" s="1" t="s">
        <v>38</v>
      </c>
      <c r="O5692" s="1" t="s">
        <v>46</v>
      </c>
    </row>
    <row r="5693" spans="2:15" x14ac:dyDescent="0.3">
      <c r="B5693" s="1" t="s">
        <v>22</v>
      </c>
      <c r="C5693" s="1" t="str">
        <f>"1차"</f>
        <v>1차</v>
      </c>
      <c r="D5693" s="1" t="str">
        <f>"0131H88401"</f>
        <v>0131H88401</v>
      </c>
      <c r="E5693" s="1" t="s">
        <v>10</v>
      </c>
      <c r="F5693" s="1" t="str">
        <f>"10.107.249.68"</f>
        <v>10.107.249.68</v>
      </c>
      <c r="G5693" s="1" t="str">
        <f>"0131H884"</f>
        <v>0131H884</v>
      </c>
      <c r="H5693" s="1" t="str">
        <f>"방학지 25L14L6L3"</f>
        <v>방학지 25L14L6L3</v>
      </c>
      <c r="I5693" s="1" t="s">
        <v>8</v>
      </c>
      <c r="J5693" s="1" t="str">
        <f>"62/63"</f>
        <v>62/63</v>
      </c>
      <c r="K5693" s="1" t="str">
        <f>"2026-07-29 13:18:03"</f>
        <v>2026-07-29 13:18:03</v>
      </c>
      <c r="L5693" s="1" t="str">
        <f>"2014-12-30 14:23:49"</f>
        <v>2014-12-30 14:23:49</v>
      </c>
      <c r="M5693" s="1" t="s">
        <v>45</v>
      </c>
      <c r="N5693" s="1" t="s">
        <v>38</v>
      </c>
      <c r="O5693" s="1" t="s">
        <v>46</v>
      </c>
    </row>
    <row r="5694" spans="2:15" x14ac:dyDescent="0.3">
      <c r="B5694" s="1" t="s">
        <v>22</v>
      </c>
      <c r="C5694" s="1" t="str">
        <f>"2차"</f>
        <v>2차</v>
      </c>
      <c r="D5694" s="1" t="str">
        <f>"0131H92129"</f>
        <v>0131H92129</v>
      </c>
      <c r="E5694" s="1" t="s">
        <v>10</v>
      </c>
      <c r="F5694" s="1" t="str">
        <f>"10.10.3.154"</f>
        <v>10.10.3.154</v>
      </c>
      <c r="G5694" s="1" t="str">
        <f>"0131H921"</f>
        <v>0131H921</v>
      </c>
      <c r="H5694" s="1" t="str">
        <f>"자연간 50R3"</f>
        <v>자연간 50R3</v>
      </c>
      <c r="I5694" s="1" t="s">
        <v>8</v>
      </c>
      <c r="J5694" s="1" t="str">
        <f>"6/6"</f>
        <v>6/6</v>
      </c>
      <c r="K5694" s="1" t="str">
        <f>"2026-07-29 13:18:02"</f>
        <v>2026-07-29 13:18:02</v>
      </c>
      <c r="L5694" s="1" t="str">
        <f>"2017-06-21 17:41:04"</f>
        <v>2017-06-21 17:41:04</v>
      </c>
      <c r="M5694" s="1" t="s">
        <v>1</v>
      </c>
      <c r="N5694" s="1" t="s">
        <v>38</v>
      </c>
      <c r="O5694" s="1" t="s">
        <v>46</v>
      </c>
    </row>
    <row r="5695" spans="2:15" x14ac:dyDescent="0.3">
      <c r="B5695" s="1" t="s">
        <v>22</v>
      </c>
      <c r="C5695" s="1" t="str">
        <f>"1차"</f>
        <v>1차</v>
      </c>
      <c r="D5695" s="1" t="str">
        <f>"0131H95100"</f>
        <v>0131H95100</v>
      </c>
      <c r="E5695" s="1" t="s">
        <v>10</v>
      </c>
      <c r="F5695" s="1" t="str">
        <f>"10.107.248.132"</f>
        <v>10.107.248.132</v>
      </c>
      <c r="G5695" s="1" t="str">
        <f>"0131H951"</f>
        <v>0131H951</v>
      </c>
      <c r="H5695" s="1" t="str">
        <f>"방학지 15L18R1"</f>
        <v>방학지 15L18R1</v>
      </c>
      <c r="I5695" s="1" t="s">
        <v>8</v>
      </c>
      <c r="J5695" s="1" t="str">
        <f>"47/58"</f>
        <v>47/58</v>
      </c>
      <c r="K5695" s="1" t="str">
        <f>"2026-07-29 13:18:03"</f>
        <v>2026-07-29 13:18:03</v>
      </c>
      <c r="L5695" s="1" t="str">
        <f>"2014-12-15 15:12:31"</f>
        <v>2014-12-15 15:12:31</v>
      </c>
      <c r="M5695" s="1" t="s">
        <v>45</v>
      </c>
      <c r="N5695" s="1" t="s">
        <v>38</v>
      </c>
      <c r="O5695" s="1" t="s">
        <v>46</v>
      </c>
    </row>
    <row r="5696" spans="2:15" x14ac:dyDescent="0.3">
      <c r="B5696" s="1" t="s">
        <v>22</v>
      </c>
      <c r="C5696" s="1" t="str">
        <f>"2차"</f>
        <v>2차</v>
      </c>
      <c r="D5696" s="1" t="str">
        <f>"0131H97129"</f>
        <v>0131H97129</v>
      </c>
      <c r="E5696" s="1" t="s">
        <v>10</v>
      </c>
      <c r="F5696" s="1" t="str">
        <f>"10.10.3.170"</f>
        <v>10.10.3.170</v>
      </c>
      <c r="G5696" s="1" t="str">
        <f>"0131H971"</f>
        <v>0131H971</v>
      </c>
      <c r="H5696" s="1" t="str">
        <f>"방학지 15L16"</f>
        <v>방학지 15L16</v>
      </c>
      <c r="I5696" s="1" t="s">
        <v>8</v>
      </c>
      <c r="J5696" s="1" t="str">
        <f>"29/29"</f>
        <v>29/29</v>
      </c>
      <c r="K5696" s="1" t="str">
        <f>"2026-07-29 13:18:02"</f>
        <v>2026-07-29 13:18:02</v>
      </c>
      <c r="L5696" s="1" t="str">
        <f>"2017-06-21 17:41:04"</f>
        <v>2017-06-21 17:41:04</v>
      </c>
      <c r="M5696" s="1" t="s">
        <v>1</v>
      </c>
      <c r="N5696" s="1" t="s">
        <v>38</v>
      </c>
      <c r="O5696" s="1" t="s">
        <v>46</v>
      </c>
    </row>
    <row r="5697" spans="2:15" x14ac:dyDescent="0.3">
      <c r="B5697" s="1" t="s">
        <v>22</v>
      </c>
      <c r="C5697" s="1" t="str">
        <f>"2차"</f>
        <v>2차</v>
      </c>
      <c r="D5697" s="1" t="str">
        <f>"0131H98120"</f>
        <v>0131H98120</v>
      </c>
      <c r="E5697" s="1" t="s">
        <v>10</v>
      </c>
      <c r="F5697" s="1" t="str">
        <f>"10.10.3.58"</f>
        <v>10.10.3.58</v>
      </c>
      <c r="G5697" s="1" t="str">
        <f>"0131H981"</f>
        <v>0131H981</v>
      </c>
      <c r="H5697" s="1" t="str">
        <f>"방학지 15L15R2"</f>
        <v>방학지 15L15R2</v>
      </c>
      <c r="I5697" s="1" t="s">
        <v>8</v>
      </c>
      <c r="J5697" s="1" t="str">
        <f>"23/23"</f>
        <v>23/23</v>
      </c>
      <c r="K5697" s="1" t="str">
        <f>"2026-07-29 13:18:03"</f>
        <v>2026-07-29 13:18:03</v>
      </c>
      <c r="L5697" s="1" t="str">
        <f>"2017-06-21 17:51:01"</f>
        <v>2017-06-21 17:51:01</v>
      </c>
      <c r="M5697" s="1" t="s">
        <v>1</v>
      </c>
      <c r="N5697" s="1" t="s">
        <v>38</v>
      </c>
      <c r="O5697" s="1" t="s">
        <v>46</v>
      </c>
    </row>
    <row r="5698" spans="2:15" x14ac:dyDescent="0.3">
      <c r="B5698" s="1" t="s">
        <v>22</v>
      </c>
      <c r="C5698" s="1" t="str">
        <f>"2차"</f>
        <v>2차</v>
      </c>
      <c r="D5698" s="1" t="str">
        <f>"0131H98221"</f>
        <v>0131H98221</v>
      </c>
      <c r="E5698" s="1" t="s">
        <v>10</v>
      </c>
      <c r="F5698" s="1" t="str">
        <f>"10.10.3.59"</f>
        <v>10.10.3.59</v>
      </c>
      <c r="G5698" s="1" t="str">
        <f>"0131H982"</f>
        <v>0131H982</v>
      </c>
      <c r="H5698" s="1" t="str">
        <f>"방학지 15L15R3"</f>
        <v>방학지 15L15R3</v>
      </c>
      <c r="I5698" s="1" t="s">
        <v>8</v>
      </c>
      <c r="J5698" s="1" t="str">
        <f>"50/50"</f>
        <v>50/50</v>
      </c>
      <c r="K5698" s="1" t="str">
        <f>"2026-07-29 13:18:02"</f>
        <v>2026-07-29 13:18:02</v>
      </c>
      <c r="L5698" s="1" t="str">
        <f>"2017-06-21 17:51:01"</f>
        <v>2017-06-21 17:51:01</v>
      </c>
      <c r="M5698" s="1" t="s">
        <v>1</v>
      </c>
      <c r="N5698" s="1" t="s">
        <v>38</v>
      </c>
      <c r="O5698" s="1" t="s">
        <v>46</v>
      </c>
    </row>
    <row r="5699" spans="2:15" x14ac:dyDescent="0.3">
      <c r="B5699" s="1" t="s">
        <v>22</v>
      </c>
      <c r="C5699" s="1" t="str">
        <f>"2차"</f>
        <v>2차</v>
      </c>
      <c r="D5699" s="1" t="str">
        <f>"0131P36229"</f>
        <v>0131P36229</v>
      </c>
      <c r="E5699" s="1" t="s">
        <v>10</v>
      </c>
      <c r="F5699" s="1" t="str">
        <f>"10.107.124.83"</f>
        <v>10.107.124.83</v>
      </c>
      <c r="G5699" s="1" t="str">
        <f>"0131P362"</f>
        <v>0131P362</v>
      </c>
      <c r="H5699" s="1" t="str">
        <f>"쌍덕간 56R3"</f>
        <v>쌍덕간 56R3</v>
      </c>
      <c r="I5699" s="1" t="s">
        <v>8</v>
      </c>
      <c r="J5699" s="1" t="str">
        <f>"6/6"</f>
        <v>6/6</v>
      </c>
      <c r="K5699" s="1" t="str">
        <f>"2026-07-29 13:18:02"</f>
        <v>2026-07-29 13:18:02</v>
      </c>
      <c r="L5699" s="1" t="str">
        <f>"2017-07-27 19:01:02"</f>
        <v>2017-07-27 19:01:02</v>
      </c>
      <c r="M5699" s="1" t="s">
        <v>45</v>
      </c>
      <c r="N5699" s="1" t="s">
        <v>38</v>
      </c>
      <c r="O5699" s="1" t="s">
        <v>46</v>
      </c>
    </row>
    <row r="5700" spans="2:15" x14ac:dyDescent="0.3">
      <c r="B5700" s="1" t="s">
        <v>22</v>
      </c>
      <c r="C5700" s="1" t="str">
        <f>"2차"</f>
        <v>2차</v>
      </c>
      <c r="D5700" s="1" t="str">
        <f>"0131P37129"</f>
        <v>0131P37129</v>
      </c>
      <c r="E5700" s="1" t="s">
        <v>10</v>
      </c>
      <c r="F5700" s="1" t="str">
        <f>"10.107.124.84"</f>
        <v>10.107.124.84</v>
      </c>
      <c r="G5700" s="1" t="str">
        <f>"0131P371"</f>
        <v>0131P371</v>
      </c>
      <c r="H5700" s="1" t="str">
        <f>"쌍덕간 56R5"</f>
        <v>쌍덕간 56R5</v>
      </c>
      <c r="I5700" s="1" t="s">
        <v>8</v>
      </c>
      <c r="J5700" s="1" t="str">
        <f>"9/12"</f>
        <v>9/12</v>
      </c>
      <c r="K5700" s="1" t="str">
        <f>"2026-07-29 13:18:02"</f>
        <v>2026-07-29 13:18:02</v>
      </c>
      <c r="L5700" s="1" t="str">
        <f>"2017-07-27 19:21:02"</f>
        <v>2017-07-27 19:21:02</v>
      </c>
      <c r="M5700" s="1" t="s">
        <v>45</v>
      </c>
      <c r="N5700" s="1" t="s">
        <v>38</v>
      </c>
      <c r="O5700" s="1" t="s">
        <v>46</v>
      </c>
    </row>
    <row r="5701" spans="2:15" x14ac:dyDescent="0.3">
      <c r="B5701" s="1" t="s">
        <v>22</v>
      </c>
      <c r="C5701" s="1" t="str">
        <f>"6차"</f>
        <v>6차</v>
      </c>
      <c r="D5701" s="1" t="str">
        <f>"0131P4816S"</f>
        <v>0131P4816S</v>
      </c>
      <c r="E5701" s="1" t="s">
        <v>10</v>
      </c>
      <c r="F5701" s="1" t="str">
        <f>"fde1:103:4:9338:0:0:0:2"</f>
        <v>fde1:103:4:9338:0:0:0:2</v>
      </c>
      <c r="G5701" s="1" t="str">
        <f>"0131P481"</f>
        <v>0131P481</v>
      </c>
      <c r="H5701" s="1" t="str">
        <f>"쌍덕간 56R1R2L5"</f>
        <v>쌍덕간 56R1R2L5</v>
      </c>
      <c r="I5701" s="1" t="s">
        <v>15</v>
      </c>
      <c r="J5701" s="1" t="str">
        <f>"58/58"</f>
        <v>58/58</v>
      </c>
      <c r="K5701" s="1" t="str">
        <f>"2026-07-29 14:20:09"</f>
        <v>2026-07-29 14:20:09</v>
      </c>
      <c r="L5701" s="1" t="str">
        <f>"2024-10-10 10:30:00"</f>
        <v>2024-10-10 10:30:00</v>
      </c>
      <c r="M5701" s="1" t="s">
        <v>4</v>
      </c>
      <c r="N5701" s="1" t="s">
        <v>38</v>
      </c>
      <c r="O5701" s="1" t="s">
        <v>46</v>
      </c>
    </row>
    <row r="5702" spans="2:15" x14ac:dyDescent="0.3">
      <c r="B5702" s="1" t="s">
        <v>22</v>
      </c>
      <c r="C5702" s="1" t="str">
        <f>"5-1차"</f>
        <v>5-1차</v>
      </c>
      <c r="D5702" s="1" t="str">
        <f>"0131P4945M"</f>
        <v>0131P4945M</v>
      </c>
      <c r="E5702" s="1" t="s">
        <v>10</v>
      </c>
      <c r="F5702" s="1" t="str">
        <f>"fde2:104:0:151:0:0:0:2"</f>
        <v>fde2:104:0:151:0:0:0:2</v>
      </c>
      <c r="G5702" s="1" t="str">
        <f>"0131P494"</f>
        <v>0131P494</v>
      </c>
      <c r="H5702" s="1" t="str">
        <f>"쌍덕간 56R1R2L7"</f>
        <v>쌍덕간 56R1R2L7</v>
      </c>
      <c r="I5702" s="1" t="s">
        <v>15</v>
      </c>
      <c r="J5702" s="1" t="str">
        <f>"5/5"</f>
        <v>5/5</v>
      </c>
      <c r="K5702" s="1" t="str">
        <f>"2026-07-29 14:20:18"</f>
        <v>2026-07-29 14:20:18</v>
      </c>
      <c r="L5702" s="1" t="str">
        <f>"2022-10-11 07:46:55"</f>
        <v>2022-10-11 07:46:55</v>
      </c>
      <c r="M5702" s="1" t="s">
        <v>42</v>
      </c>
      <c r="N5702" s="1" t="s">
        <v>38</v>
      </c>
      <c r="O5702" s="1" t="s">
        <v>46</v>
      </c>
    </row>
    <row r="5703" spans="2:15" x14ac:dyDescent="0.3">
      <c r="B5703" s="1" t="s">
        <v>22</v>
      </c>
      <c r="C5703" s="1" t="str">
        <f>"5-1차"</f>
        <v>5-1차</v>
      </c>
      <c r="D5703" s="1" t="str">
        <f>"0131P5425S"</f>
        <v>0131P5425S</v>
      </c>
      <c r="E5703" s="1" t="s">
        <v>10</v>
      </c>
      <c r="F5703" s="1" t="str">
        <f>"fde3:102:1410:4400:0:0:0:2"</f>
        <v>fde3:102:1410:4400:0:0:0:2</v>
      </c>
      <c r="G5703" s="1" t="str">
        <f>"0131P542"</f>
        <v>0131P542</v>
      </c>
      <c r="H5703" s="1" t="str">
        <f>"쌍덕간 56R1R4"</f>
        <v>쌍덕간 56R1R4</v>
      </c>
      <c r="I5703" s="1" t="s">
        <v>15</v>
      </c>
      <c r="J5703" s="1" t="str">
        <f>"34/34"</f>
        <v>34/34</v>
      </c>
      <c r="K5703" s="1" t="str">
        <f>"2026-07-29 14:20:38"</f>
        <v>2026-07-29 14:20:38</v>
      </c>
      <c r="L5703" s="1" t="str">
        <f>"2022-10-26 14:28:12"</f>
        <v>2022-10-26 14:28:12</v>
      </c>
      <c r="M5703" s="1" t="s">
        <v>45</v>
      </c>
      <c r="N5703" s="1" t="s">
        <v>38</v>
      </c>
      <c r="O5703" s="1" t="s">
        <v>46</v>
      </c>
    </row>
    <row r="5704" spans="2:15" x14ac:dyDescent="0.3">
      <c r="B5704" s="1" t="s">
        <v>22</v>
      </c>
      <c r="C5704" s="1" t="str">
        <f>"2차"</f>
        <v>2차</v>
      </c>
      <c r="D5704" s="1" t="str">
        <f>"0131P54329"</f>
        <v>0131P54329</v>
      </c>
      <c r="E5704" s="1" t="s">
        <v>10</v>
      </c>
      <c r="F5704" s="1" t="str">
        <f>"10.107.251.104"</f>
        <v>10.107.251.104</v>
      </c>
      <c r="G5704" s="1" t="str">
        <f>"0131P543"</f>
        <v>0131P543</v>
      </c>
      <c r="H5704" s="1" t="str">
        <f>"쌍덕간 56R1R3"</f>
        <v>쌍덕간 56R1R3</v>
      </c>
      <c r="I5704" s="1" t="s">
        <v>8</v>
      </c>
      <c r="J5704" s="1" t="str">
        <f>"8/8"</f>
        <v>8/8</v>
      </c>
      <c r="K5704" s="1" t="str">
        <f>"2026-07-29 13:18:02"</f>
        <v>2026-07-29 13:18:02</v>
      </c>
      <c r="L5704" s="1" t="str">
        <f>"2017-07-18 14:03:28"</f>
        <v>2017-07-18 14:03:28</v>
      </c>
      <c r="M5704" s="1" t="s">
        <v>45</v>
      </c>
      <c r="N5704" s="1" t="s">
        <v>38</v>
      </c>
      <c r="O5704" s="1" t="s">
        <v>46</v>
      </c>
    </row>
    <row r="5705" spans="2:15" x14ac:dyDescent="0.3">
      <c r="B5705" s="1" t="s">
        <v>22</v>
      </c>
      <c r="C5705" s="1" t="str">
        <f>"5-1차"</f>
        <v>5-1차</v>
      </c>
      <c r="D5705" s="1" t="str">
        <f>"0131P5525S"</f>
        <v>0131P5525S</v>
      </c>
      <c r="E5705" s="1" t="s">
        <v>10</v>
      </c>
      <c r="F5705" s="1" t="str">
        <f>"fde2:104:0:f6:0:0:0:2"</f>
        <v>fde2:104:0:f6:0:0:0:2</v>
      </c>
      <c r="G5705" s="1" t="str">
        <f>"0131P552"</f>
        <v>0131P552</v>
      </c>
      <c r="H5705" s="1" t="str">
        <f>"쌍덕간 56R1R3L2"</f>
        <v>쌍덕간 56R1R3L2</v>
      </c>
      <c r="I5705" s="1" t="s">
        <v>15</v>
      </c>
      <c r="J5705" s="1" t="str">
        <f>"35/35"</f>
        <v>35/35</v>
      </c>
      <c r="K5705" s="1" t="str">
        <f>"2026-07-29 14:20:31"</f>
        <v>2026-07-29 14:20:31</v>
      </c>
      <c r="L5705" s="1" t="str">
        <f>"2022-10-11 10:13:27"</f>
        <v>2022-10-11 10:13:27</v>
      </c>
      <c r="M5705" s="1" t="s">
        <v>42</v>
      </c>
      <c r="N5705" s="1" t="s">
        <v>38</v>
      </c>
      <c r="O5705" s="1" t="s">
        <v>46</v>
      </c>
    </row>
    <row r="5706" spans="2:15" x14ac:dyDescent="0.3">
      <c r="B5706" s="1" t="s">
        <v>22</v>
      </c>
      <c r="C5706" s="1" t="str">
        <f>"6차"</f>
        <v>6차</v>
      </c>
      <c r="D5706" s="1" t="str">
        <f>"0131P5626S"</f>
        <v>0131P5626S</v>
      </c>
      <c r="E5706" s="1" t="s">
        <v>10</v>
      </c>
      <c r="F5706" s="1" t="str">
        <f>"fde3:102:1410:4200:0:0:0:7"</f>
        <v>fde3:102:1410:4200:0:0:0:7</v>
      </c>
      <c r="G5706" s="1" t="str">
        <f>"0131P562"</f>
        <v>0131P562</v>
      </c>
      <c r="H5706" s="1" t="str">
        <f>"쌍덕간 56R1R3L3"</f>
        <v>쌍덕간 56R1R3L3</v>
      </c>
      <c r="I5706" s="1" t="s">
        <v>15</v>
      </c>
      <c r="J5706" s="1" t="str">
        <f>"38/38"</f>
        <v>38/38</v>
      </c>
      <c r="K5706" s="1" t="str">
        <f>"2026-07-29 14:20:35"</f>
        <v>2026-07-29 14:20:35</v>
      </c>
      <c r="L5706" s="1" t="str">
        <f>"2024-11-26 16:34:32"</f>
        <v>2024-11-26 16:34:32</v>
      </c>
      <c r="M5706" s="1" t="s">
        <v>45</v>
      </c>
      <c r="N5706" s="1" t="s">
        <v>38</v>
      </c>
      <c r="O5706" s="1" t="s">
        <v>46</v>
      </c>
    </row>
    <row r="5707" spans="2:15" x14ac:dyDescent="0.3">
      <c r="B5707" s="1" t="s">
        <v>22</v>
      </c>
      <c r="C5707" s="1" t="str">
        <f>"5-1차"</f>
        <v>5-1차</v>
      </c>
      <c r="D5707" s="1" t="str">
        <f>"0131P5935M"</f>
        <v>0131P5935M</v>
      </c>
      <c r="E5707" s="1" t="s">
        <v>10</v>
      </c>
      <c r="F5707" s="1" t="str">
        <f>"fde2:104:0:105:0:0:0:2"</f>
        <v>fde2:104:0:105:0:0:0:2</v>
      </c>
      <c r="G5707" s="1" t="str">
        <f>"0131P593"</f>
        <v>0131P593</v>
      </c>
      <c r="H5707" s="1" t="str">
        <f>"쌍덕간 56R1R2L9"</f>
        <v>쌍덕간 56R1R2L9</v>
      </c>
      <c r="I5707" s="1" t="s">
        <v>15</v>
      </c>
      <c r="J5707" s="1" t="str">
        <f>"165/165"</f>
        <v>165/165</v>
      </c>
      <c r="K5707" s="1" t="str">
        <f>"2026-07-29 14:20:31"</f>
        <v>2026-07-29 14:20:31</v>
      </c>
      <c r="L5707" s="1" t="str">
        <f>"2022-10-11 08:55:16"</f>
        <v>2022-10-11 08:55:16</v>
      </c>
      <c r="M5707" s="1" t="s">
        <v>42</v>
      </c>
      <c r="N5707" s="1" t="s">
        <v>38</v>
      </c>
      <c r="O5707" s="1" t="s">
        <v>46</v>
      </c>
    </row>
    <row r="5708" spans="2:15" x14ac:dyDescent="0.3">
      <c r="B5708" s="1" t="s">
        <v>22</v>
      </c>
      <c r="C5708" s="1" t="str">
        <f>"5-2차"</f>
        <v>5-2차</v>
      </c>
      <c r="D5708" s="1" t="str">
        <f>"0131P6025M"</f>
        <v>0131P6025M</v>
      </c>
      <c r="E5708" s="1" t="s">
        <v>10</v>
      </c>
      <c r="F5708" s="1" t="str">
        <f>"fde1:103:4:9417:0:0:0:2"</f>
        <v>fde1:103:4:9417:0:0:0:2</v>
      </c>
      <c r="G5708" s="1" t="str">
        <f>"0131P602"</f>
        <v>0131P602</v>
      </c>
      <c r="H5708" s="1" t="str">
        <f>"쌍덕간 48"</f>
        <v>쌍덕간 48</v>
      </c>
      <c r="I5708" s="1" t="s">
        <v>15</v>
      </c>
      <c r="J5708" s="1" t="str">
        <f>"70/70"</f>
        <v>70/70</v>
      </c>
      <c r="K5708" s="1" t="str">
        <f>"2026-07-29 14:20:16"</f>
        <v>2026-07-29 14:20:16</v>
      </c>
      <c r="L5708" s="1" t="str">
        <f>"2023-12-19 09:56:21"</f>
        <v>2023-12-19 09:56:21</v>
      </c>
      <c r="M5708" s="1" t="s">
        <v>4</v>
      </c>
      <c r="N5708" s="1" t="s">
        <v>38</v>
      </c>
      <c r="O5708" s="1" t="s">
        <v>46</v>
      </c>
    </row>
    <row r="5709" spans="2:15" x14ac:dyDescent="0.3">
      <c r="B5709" s="1" t="s">
        <v>22</v>
      </c>
      <c r="C5709" s="1" t="str">
        <f>"5-2차"</f>
        <v>5-2차</v>
      </c>
      <c r="D5709" s="1" t="str">
        <f>"0131P6225M"</f>
        <v>0131P6225M</v>
      </c>
      <c r="E5709" s="1" t="s">
        <v>10</v>
      </c>
      <c r="F5709" s="1" t="str">
        <f>"fde3:102:1410:4200:0:0:0:3"</f>
        <v>fde3:102:1410:4200:0:0:0:3</v>
      </c>
      <c r="G5709" s="1" t="str">
        <f>"0131P622"</f>
        <v>0131P622</v>
      </c>
      <c r="H5709" s="1" t="str">
        <f>"쌍덕간 49R1"</f>
        <v>쌍덕간 49R1</v>
      </c>
      <c r="I5709" s="1" t="s">
        <v>15</v>
      </c>
      <c r="J5709" s="1" t="str">
        <f>"109/109"</f>
        <v>109/109</v>
      </c>
      <c r="K5709" s="1" t="str">
        <f>"2026-07-29 14:20:24"</f>
        <v>2026-07-29 14:20:24</v>
      </c>
      <c r="L5709" s="1" t="str">
        <f>"2023-12-12 16:24:21"</f>
        <v>2023-12-12 16:24:21</v>
      </c>
      <c r="M5709" s="1" t="s">
        <v>45</v>
      </c>
      <c r="N5709" s="1" t="s">
        <v>38</v>
      </c>
      <c r="O5709" s="1" t="s">
        <v>46</v>
      </c>
    </row>
    <row r="5710" spans="2:15" x14ac:dyDescent="0.3">
      <c r="B5710" s="1" t="s">
        <v>22</v>
      </c>
      <c r="C5710" s="1" t="str">
        <f>"5-2차"</f>
        <v>5-2차</v>
      </c>
      <c r="D5710" s="1" t="str">
        <f>"0131P6425S"</f>
        <v>0131P6425S</v>
      </c>
      <c r="E5710" s="1" t="s">
        <v>10</v>
      </c>
      <c r="F5710" s="1" t="str">
        <f>"fde3:102:1410:4400:0:0:0:13"</f>
        <v>fde3:102:1410:4400:0:0:0:13</v>
      </c>
      <c r="G5710" s="1" t="str">
        <f>"0131P642"</f>
        <v>0131P642</v>
      </c>
      <c r="H5710" s="1" t="str">
        <f>"쌍덕간 56R1R5"</f>
        <v>쌍덕간 56R1R5</v>
      </c>
      <c r="I5710" s="1" t="s">
        <v>15</v>
      </c>
      <c r="J5710" s="1" t="str">
        <f>"48/48"</f>
        <v>48/48</v>
      </c>
      <c r="K5710" s="1" t="str">
        <f>"2026-07-29 14:20:30"</f>
        <v>2026-07-29 14:20:30</v>
      </c>
      <c r="L5710" s="1" t="str">
        <f>"2023-12-21 13:30:45"</f>
        <v>2023-12-21 13:30:45</v>
      </c>
      <c r="M5710" s="1" t="s">
        <v>45</v>
      </c>
      <c r="N5710" s="1" t="s">
        <v>38</v>
      </c>
      <c r="O5710" s="1" t="s">
        <v>46</v>
      </c>
    </row>
    <row r="5711" spans="2:15" x14ac:dyDescent="0.3">
      <c r="B5711" s="1" t="s">
        <v>22</v>
      </c>
      <c r="C5711" s="1" t="str">
        <f>"6차"</f>
        <v>6차</v>
      </c>
      <c r="D5711" s="1" t="str">
        <f>"0131P6916S"</f>
        <v>0131P6916S</v>
      </c>
      <c r="E5711" s="1" t="s">
        <v>10</v>
      </c>
      <c r="F5711" s="1" t="str">
        <f>"fde1:103:4:935f:0:0:0:2"</f>
        <v>fde1:103:4:935f:0:0:0:2</v>
      </c>
      <c r="G5711" s="1" t="str">
        <f>"0131P691"</f>
        <v>0131P691</v>
      </c>
      <c r="H5711" s="1" t="str">
        <f>"쌍덕간 56R1R2L10"</f>
        <v>쌍덕간 56R1R2L10</v>
      </c>
      <c r="I5711" s="1" t="s">
        <v>15</v>
      </c>
      <c r="J5711" s="1" t="str">
        <f>"72/72"</f>
        <v>72/72</v>
      </c>
      <c r="K5711" s="1" t="str">
        <f>"2026-07-29 14:20:10"</f>
        <v>2026-07-29 14:20:10</v>
      </c>
      <c r="L5711" s="1" t="str">
        <f>"2024-10-10 10:29:19"</f>
        <v>2024-10-10 10:29:19</v>
      </c>
      <c r="M5711" s="1" t="s">
        <v>4</v>
      </c>
      <c r="N5711" s="1" t="s">
        <v>38</v>
      </c>
      <c r="O5711" s="1" t="s">
        <v>46</v>
      </c>
    </row>
    <row r="5712" spans="2:15" x14ac:dyDescent="0.3">
      <c r="B5712" s="1" t="s">
        <v>22</v>
      </c>
      <c r="C5712" s="1" t="str">
        <f>"5-1차"</f>
        <v>5-1차</v>
      </c>
      <c r="D5712" s="1" t="str">
        <f>"0131P7315M"</f>
        <v>0131P7315M</v>
      </c>
      <c r="E5712" s="1" t="s">
        <v>10</v>
      </c>
      <c r="F5712" s="1" t="str">
        <f>"fde2:104:0:fc:0:0:0:2"</f>
        <v>fde2:104:0:fc:0:0:0:2</v>
      </c>
      <c r="G5712" s="1" t="str">
        <f>"0131P731"</f>
        <v>0131P731</v>
      </c>
      <c r="H5712" s="1" t="str">
        <f>"쌍덕간 52R6R1"</f>
        <v>쌍덕간 52R6R1</v>
      </c>
      <c r="I5712" s="1" t="s">
        <v>15</v>
      </c>
      <c r="J5712" s="1" t="str">
        <f>"44/44"</f>
        <v>44/44</v>
      </c>
      <c r="K5712" s="1" t="str">
        <f>"2026-07-29 14:20:31"</f>
        <v>2026-07-29 14:20:31</v>
      </c>
      <c r="L5712" s="1" t="str">
        <f>"2022-10-11 12:03:08"</f>
        <v>2022-10-11 12:03:08</v>
      </c>
      <c r="M5712" s="1" t="s">
        <v>42</v>
      </c>
      <c r="N5712" s="1" t="s">
        <v>38</v>
      </c>
      <c r="O5712" s="1" t="s">
        <v>46</v>
      </c>
    </row>
    <row r="5713" spans="2:15" x14ac:dyDescent="0.3">
      <c r="B5713" s="1" t="s">
        <v>22</v>
      </c>
      <c r="C5713" s="1" t="str">
        <f>"5-2차"</f>
        <v>5-2차</v>
      </c>
      <c r="D5713" s="1" t="str">
        <f>"0131P7415M"</f>
        <v>0131P7415M</v>
      </c>
      <c r="E5713" s="1" t="s">
        <v>10</v>
      </c>
      <c r="F5713" s="1" t="str">
        <f>"fde3:102:1410:4400:0:0:0:12"</f>
        <v>fde3:102:1410:4400:0:0:0:12</v>
      </c>
      <c r="G5713" s="1" t="str">
        <f>"0131P741"</f>
        <v>0131P741</v>
      </c>
      <c r="H5713" s="1" t="str">
        <f>"쌍덕간 56R1R6"</f>
        <v>쌍덕간 56R1R6</v>
      </c>
      <c r="I5713" s="1" t="s">
        <v>15</v>
      </c>
      <c r="J5713" s="1" t="str">
        <f>"39/39"</f>
        <v>39/39</v>
      </c>
      <c r="K5713" s="1" t="str">
        <f>"2026-07-29 14:20:48"</f>
        <v>2026-07-29 14:20:48</v>
      </c>
      <c r="L5713" s="1" t="str">
        <f>"2023-12-21 13:50:20"</f>
        <v>2023-12-21 13:50:20</v>
      </c>
      <c r="M5713" s="1" t="s">
        <v>45</v>
      </c>
      <c r="N5713" s="1" t="s">
        <v>38</v>
      </c>
      <c r="O5713" s="1" t="s">
        <v>46</v>
      </c>
    </row>
    <row r="5714" spans="2:15" x14ac:dyDescent="0.3">
      <c r="B5714" s="1" t="s">
        <v>22</v>
      </c>
      <c r="C5714" s="1" t="str">
        <f>"5-2차"</f>
        <v>5-2차</v>
      </c>
      <c r="D5714" s="1" t="str">
        <f>"0131P8015M"</f>
        <v>0131P8015M</v>
      </c>
      <c r="E5714" s="1" t="s">
        <v>10</v>
      </c>
      <c r="F5714" s="1" t="str">
        <f>"fde1:103:4:9158:0:0:0:2"</f>
        <v>fde1:103:4:9158:0:0:0:2</v>
      </c>
      <c r="G5714" s="1" t="str">
        <f>"0131P801"</f>
        <v>0131P801</v>
      </c>
      <c r="H5714" s="1" t="str">
        <f>"쌍덕간 42R17"</f>
        <v>쌍덕간 42R17</v>
      </c>
      <c r="I5714" s="1" t="s">
        <v>15</v>
      </c>
      <c r="J5714" s="1" t="str">
        <f>"74/74"</f>
        <v>74/74</v>
      </c>
      <c r="K5714" s="1" t="str">
        <f>"2026-07-29 14:20:30"</f>
        <v>2026-07-29 14:20:30</v>
      </c>
      <c r="L5714" s="1" t="str">
        <f>"2024-01-08 11:17:58"</f>
        <v>2024-01-08 11:17:58</v>
      </c>
      <c r="M5714" s="1" t="s">
        <v>4</v>
      </c>
      <c r="N5714" s="1" t="s">
        <v>38</v>
      </c>
      <c r="O5714" s="1" t="s">
        <v>46</v>
      </c>
    </row>
    <row r="5715" spans="2:15" x14ac:dyDescent="0.3">
      <c r="B5715" s="1" t="s">
        <v>22</v>
      </c>
      <c r="C5715" s="1" t="str">
        <f>"5-2차"</f>
        <v>5-2차</v>
      </c>
      <c r="D5715" s="1" t="str">
        <f>"0131P8155M"</f>
        <v>0131P8155M</v>
      </c>
      <c r="E5715" s="1" t="s">
        <v>10</v>
      </c>
      <c r="F5715" s="1" t="str">
        <f>"fde3:102:1410:4200:0:0:0:6"</f>
        <v>fde3:102:1410:4200:0:0:0:6</v>
      </c>
      <c r="G5715" s="1" t="str">
        <f>"0131P815"</f>
        <v>0131P815</v>
      </c>
      <c r="H5715" s="1" t="str">
        <f>"쌍덕간 46R4"</f>
        <v>쌍덕간 46R4</v>
      </c>
      <c r="I5715" s="1" t="s">
        <v>15</v>
      </c>
      <c r="J5715" s="1" t="str">
        <f>"66/66"</f>
        <v>66/66</v>
      </c>
      <c r="K5715" s="1" t="str">
        <f>"2026-07-29 14:20:30"</f>
        <v>2026-07-29 14:20:30</v>
      </c>
      <c r="L5715" s="1" t="str">
        <f>"2023-12-13 15:45:54"</f>
        <v>2023-12-13 15:45:54</v>
      </c>
      <c r="M5715" s="1" t="s">
        <v>45</v>
      </c>
      <c r="N5715" s="1" t="s">
        <v>38</v>
      </c>
      <c r="O5715" s="1" t="s">
        <v>46</v>
      </c>
    </row>
    <row r="5716" spans="2:15" x14ac:dyDescent="0.3">
      <c r="B5716" s="1" t="s">
        <v>22</v>
      </c>
      <c r="C5716" s="1" t="str">
        <f>"5-1차"</f>
        <v>5-1차</v>
      </c>
      <c r="D5716" s="1" t="str">
        <f>"0131P8515M"</f>
        <v>0131P8515M</v>
      </c>
      <c r="E5716" s="1" t="s">
        <v>10</v>
      </c>
      <c r="F5716" s="1" t="str">
        <f>"fde3:102:1410:4400:0:0:0:3"</f>
        <v>fde3:102:1410:4400:0:0:0:3</v>
      </c>
      <c r="G5716" s="1" t="str">
        <f>"0131P851"</f>
        <v>0131P851</v>
      </c>
      <c r="H5716" s="1" t="str">
        <f>"쌍덕간 56R1R11"</f>
        <v>쌍덕간 56R1R11</v>
      </c>
      <c r="I5716" s="1" t="s">
        <v>15</v>
      </c>
      <c r="J5716" s="1" t="str">
        <f>"84/84"</f>
        <v>84/84</v>
      </c>
      <c r="K5716" s="1" t="str">
        <f>"2026-07-29 14:20:31"</f>
        <v>2026-07-29 14:20:31</v>
      </c>
      <c r="L5716" s="1" t="str">
        <f>"2022-10-26 14:42:20"</f>
        <v>2022-10-26 14:42:20</v>
      </c>
      <c r="M5716" s="1" t="s">
        <v>45</v>
      </c>
      <c r="N5716" s="1" t="s">
        <v>38</v>
      </c>
      <c r="O5716" s="1" t="s">
        <v>46</v>
      </c>
    </row>
    <row r="5717" spans="2:15" x14ac:dyDescent="0.3">
      <c r="B5717" s="1" t="s">
        <v>22</v>
      </c>
      <c r="C5717" s="1" t="str">
        <f>"5-2차"</f>
        <v>5-2차</v>
      </c>
      <c r="D5717" s="1" t="str">
        <f>"0131P9235M"</f>
        <v>0131P9235M</v>
      </c>
      <c r="E5717" s="1" t="s">
        <v>10</v>
      </c>
      <c r="F5717" s="1" t="str">
        <f>"fde3:102:1410:4200:0:0:0:4"</f>
        <v>fde3:102:1410:4200:0:0:0:4</v>
      </c>
      <c r="G5717" s="1" t="str">
        <f>"0131P923"</f>
        <v>0131P923</v>
      </c>
      <c r="H5717" s="1" t="str">
        <f>"쌍덕간 46R6"</f>
        <v>쌍덕간 46R6</v>
      </c>
      <c r="I5717" s="1" t="s">
        <v>15</v>
      </c>
      <c r="J5717" s="1" t="str">
        <f>"49/49"</f>
        <v>49/49</v>
      </c>
      <c r="K5717" s="1" t="str">
        <f>"2026-07-29 14:20:31"</f>
        <v>2026-07-29 14:20:31</v>
      </c>
      <c r="L5717" s="1" t="str">
        <f>"2024-01-17 11:05:34"</f>
        <v>2024-01-17 11:05:34</v>
      </c>
      <c r="M5717" s="1" t="s">
        <v>45</v>
      </c>
      <c r="N5717" s="1" t="s">
        <v>38</v>
      </c>
      <c r="O5717" s="1" t="s">
        <v>46</v>
      </c>
    </row>
    <row r="5718" spans="2:15" x14ac:dyDescent="0.3">
      <c r="B5718" s="1" t="s">
        <v>22</v>
      </c>
      <c r="C5718" s="1" t="str">
        <f>"5-1차"</f>
        <v>5-1차</v>
      </c>
      <c r="D5718" s="1" t="str">
        <f>"0131Q0115S"</f>
        <v>0131Q0115S</v>
      </c>
      <c r="E5718" s="1" t="s">
        <v>10</v>
      </c>
      <c r="F5718" s="1" t="str">
        <f>"fde2:104:0:f8:0:0:0:2"</f>
        <v>fde2:104:0:f8:0:0:0:2</v>
      </c>
      <c r="G5718" s="1" t="str">
        <f>"0131Q011"</f>
        <v>0131Q011</v>
      </c>
      <c r="H5718" s="1" t="str">
        <f>"쌍덕간 42R14R2"</f>
        <v>쌍덕간 42R14R2</v>
      </c>
      <c r="I5718" s="1" t="s">
        <v>15</v>
      </c>
      <c r="J5718" s="1" t="str">
        <f>"42/42"</f>
        <v>42/42</v>
      </c>
      <c r="K5718" s="1" t="str">
        <f>"2026-07-29 14:20:33"</f>
        <v>2026-07-29 14:20:33</v>
      </c>
      <c r="L5718" s="1" t="str">
        <f>"2022-10-11 13:38:45"</f>
        <v>2022-10-11 13:38:45</v>
      </c>
      <c r="M5718" s="1" t="s">
        <v>42</v>
      </c>
      <c r="N5718" s="1" t="s">
        <v>38</v>
      </c>
      <c r="O5718" s="1" t="s">
        <v>46</v>
      </c>
    </row>
    <row r="5719" spans="2:15" x14ac:dyDescent="0.3">
      <c r="B5719" s="1" t="s">
        <v>22</v>
      </c>
      <c r="C5719" s="1" t="str">
        <f>"5-2차"</f>
        <v>5-2차</v>
      </c>
      <c r="D5719" s="1" t="str">
        <f>"0131Q0215S"</f>
        <v>0131Q0215S</v>
      </c>
      <c r="E5719" s="1" t="s">
        <v>10</v>
      </c>
      <c r="F5719" s="1" t="str">
        <f>"fde3:102:1410:4200:0:0:0:5"</f>
        <v>fde3:102:1410:4200:0:0:0:5</v>
      </c>
      <c r="G5719" s="1" t="str">
        <f>"0131Q021"</f>
        <v>0131Q021</v>
      </c>
      <c r="H5719" s="1" t="str">
        <f>"쌍덕간 46R7"</f>
        <v>쌍덕간 46R7</v>
      </c>
      <c r="I5719" s="1" t="s">
        <v>15</v>
      </c>
      <c r="J5719" s="1" t="str">
        <f>"56/56"</f>
        <v>56/56</v>
      </c>
      <c r="K5719" s="1" t="str">
        <f>"2026-07-29 14:20:16"</f>
        <v>2026-07-29 14:20:16</v>
      </c>
      <c r="L5719" s="1" t="str">
        <f>"2023-12-21 13:00:08"</f>
        <v>2023-12-21 13:00:08</v>
      </c>
      <c r="M5719" s="1" t="s">
        <v>45</v>
      </c>
      <c r="N5719" s="1" t="s">
        <v>38</v>
      </c>
      <c r="O5719" s="1" t="s">
        <v>46</v>
      </c>
    </row>
    <row r="5720" spans="2:15" x14ac:dyDescent="0.3">
      <c r="B5720" s="1" t="s">
        <v>22</v>
      </c>
      <c r="C5720" s="1" t="str">
        <f>"5-2차"</f>
        <v>5-2차</v>
      </c>
      <c r="D5720" s="1" t="str">
        <f>"0131Q1015M"</f>
        <v>0131Q1015M</v>
      </c>
      <c r="E5720" s="1" t="s">
        <v>10</v>
      </c>
      <c r="F5720" s="1" t="str">
        <f>"fde1:103:4:914c:0:0:0:2"</f>
        <v>fde1:103:4:914c:0:0:0:2</v>
      </c>
      <c r="G5720" s="1" t="str">
        <f>"0131Q101"</f>
        <v>0131Q101</v>
      </c>
      <c r="H5720" s="1" t="str">
        <f>"쌍덕간 52R12R6"</f>
        <v>쌍덕간 52R12R6</v>
      </c>
      <c r="I5720" s="1" t="s">
        <v>15</v>
      </c>
      <c r="J5720" s="1" t="str">
        <f>"33/33"</f>
        <v>33/33</v>
      </c>
      <c r="K5720" s="1" t="str">
        <f>"2026-07-29 14:20:32"</f>
        <v>2026-07-29 14:20:32</v>
      </c>
      <c r="L5720" s="1" t="str">
        <f>"2024-01-08 11:16:22"</f>
        <v>2024-01-08 11:16:22</v>
      </c>
      <c r="M5720" s="1" t="s">
        <v>4</v>
      </c>
      <c r="N5720" s="1" t="s">
        <v>38</v>
      </c>
      <c r="O5720" s="1" t="s">
        <v>46</v>
      </c>
    </row>
    <row r="5721" spans="2:15" x14ac:dyDescent="0.3">
      <c r="B5721" s="1" t="s">
        <v>22</v>
      </c>
      <c r="C5721" s="1" t="str">
        <f>"5-1차"</f>
        <v>5-1차</v>
      </c>
      <c r="D5721" s="1" t="str">
        <f>"0131Q2115S"</f>
        <v>0131Q2115S</v>
      </c>
      <c r="E5721" s="1" t="s">
        <v>10</v>
      </c>
      <c r="F5721" s="1" t="str">
        <f>"fde2:104:0:f7:0:0:0:2"</f>
        <v>fde2:104:0:f7:0:0:0:2</v>
      </c>
      <c r="G5721" s="1" t="str">
        <f>"0131Q211"</f>
        <v>0131Q211</v>
      </c>
      <c r="H5721" s="1" t="str">
        <f>"쌍덕간 52R12R2R1"</f>
        <v>쌍덕간 52R12R2R1</v>
      </c>
      <c r="I5721" s="1" t="s">
        <v>15</v>
      </c>
      <c r="J5721" s="1" t="str">
        <f>"52/52"</f>
        <v>52/52</v>
      </c>
      <c r="K5721" s="1" t="str">
        <f>"2026-07-29 14:20:50"</f>
        <v>2026-07-29 14:20:50</v>
      </c>
      <c r="L5721" s="1" t="str">
        <f>"2022-10-11 14:24:30"</f>
        <v>2022-10-11 14:24:30</v>
      </c>
      <c r="M5721" s="1" t="s">
        <v>42</v>
      </c>
      <c r="N5721" s="1" t="s">
        <v>38</v>
      </c>
      <c r="O5721" s="1" t="s">
        <v>46</v>
      </c>
    </row>
    <row r="5722" spans="2:15" x14ac:dyDescent="0.3">
      <c r="B5722" s="1" t="s">
        <v>22</v>
      </c>
      <c r="C5722" s="1" t="str">
        <f>"5-2차"</f>
        <v>5-2차</v>
      </c>
      <c r="D5722" s="1" t="str">
        <f>"0131Q7325M"</f>
        <v>0131Q7325M</v>
      </c>
      <c r="E5722" s="1" t="s">
        <v>10</v>
      </c>
      <c r="F5722" s="1" t="str">
        <f>"fde1:103:4:93a7:0:0:0:2"</f>
        <v>fde1:103:4:93a7:0:0:0:2</v>
      </c>
      <c r="G5722" s="1" t="str">
        <f>"0131Q732"</f>
        <v>0131Q732</v>
      </c>
      <c r="H5722" s="1" t="str">
        <f>"자연간 22L17"</f>
        <v>자연간 22L17</v>
      </c>
      <c r="I5722" s="1" t="s">
        <v>15</v>
      </c>
      <c r="J5722" s="1" t="str">
        <f>"30/30"</f>
        <v>30/30</v>
      </c>
      <c r="K5722" s="1" t="str">
        <f>"2026-07-29 14:20:15"</f>
        <v>2026-07-29 14:20:15</v>
      </c>
      <c r="L5722" s="1" t="str">
        <f>"2023-12-19 10:16:41"</f>
        <v>2023-12-19 10:16:41</v>
      </c>
      <c r="M5722" s="1" t="s">
        <v>4</v>
      </c>
      <c r="N5722" s="1" t="s">
        <v>38</v>
      </c>
      <c r="O5722" s="1" t="s">
        <v>46</v>
      </c>
    </row>
    <row r="5723" spans="2:15" x14ac:dyDescent="0.3">
      <c r="B5723" s="1" t="s">
        <v>22</v>
      </c>
      <c r="C5723" s="1" t="str">
        <f t="shared" ref="C5723:C5730" si="291">"2차"</f>
        <v>2차</v>
      </c>
      <c r="D5723" s="1" t="str">
        <f>"0131Q81229"</f>
        <v>0131Q81229</v>
      </c>
      <c r="E5723" s="1" t="s">
        <v>10</v>
      </c>
      <c r="F5723" s="1" t="str">
        <f>"10.107.129.164"</f>
        <v>10.107.129.164</v>
      </c>
      <c r="G5723" s="1" t="str">
        <f>"0131Q812"</f>
        <v>0131Q812</v>
      </c>
      <c r="H5723" s="1" t="str">
        <f>"쌍덕간 52R21"</f>
        <v>쌍덕간 52R21</v>
      </c>
      <c r="I5723" s="1" t="s">
        <v>8</v>
      </c>
      <c r="J5723" s="1" t="str">
        <f>"1/1"</f>
        <v>1/1</v>
      </c>
      <c r="K5723" s="1" t="str">
        <f>"2026-07-29 13:18:02"</f>
        <v>2026-07-29 13:18:02</v>
      </c>
      <c r="L5723" s="1" t="str">
        <f>"2017-07-18 13:31:28"</f>
        <v>2017-07-18 13:31:28</v>
      </c>
      <c r="M5723" s="1" t="s">
        <v>45</v>
      </c>
      <c r="N5723" s="1" t="s">
        <v>38</v>
      </c>
      <c r="O5723" s="1" t="s">
        <v>46</v>
      </c>
    </row>
    <row r="5724" spans="2:15" x14ac:dyDescent="0.3">
      <c r="B5724" s="1" t="s">
        <v>22</v>
      </c>
      <c r="C5724" s="1" t="str">
        <f t="shared" si="291"/>
        <v>2차</v>
      </c>
      <c r="D5724" s="1" t="str">
        <f>"0131Q84121"</f>
        <v>0131Q84121</v>
      </c>
      <c r="E5724" s="1" t="s">
        <v>10</v>
      </c>
      <c r="F5724" s="1" t="str">
        <f>"10.107.129.163"</f>
        <v>10.107.129.163</v>
      </c>
      <c r="G5724" s="1" t="str">
        <f>"0131Q841"</f>
        <v>0131Q841</v>
      </c>
      <c r="H5724" s="1" t="str">
        <f>"자연간 22L14"</f>
        <v>자연간 22L14</v>
      </c>
      <c r="I5724" s="1" t="s">
        <v>8</v>
      </c>
      <c r="J5724" s="1" t="str">
        <f>"9/11"</f>
        <v>9/11</v>
      </c>
      <c r="K5724" s="1" t="str">
        <f>"2026-07-29 13:18:02"</f>
        <v>2026-07-29 13:18:02</v>
      </c>
      <c r="L5724" s="1" t="str">
        <f>"2017-07-18 12:37:57"</f>
        <v>2017-07-18 12:37:57</v>
      </c>
      <c r="M5724" s="1" t="s">
        <v>45</v>
      </c>
      <c r="N5724" s="1" t="s">
        <v>38</v>
      </c>
      <c r="O5724" s="1" t="s">
        <v>46</v>
      </c>
    </row>
    <row r="5725" spans="2:15" x14ac:dyDescent="0.3">
      <c r="B5725" s="1" t="s">
        <v>22</v>
      </c>
      <c r="C5725" s="1" t="str">
        <f t="shared" si="291"/>
        <v>2차</v>
      </c>
      <c r="D5725" s="1" t="str">
        <f>"0131Q85120"</f>
        <v>0131Q85120</v>
      </c>
      <c r="E5725" s="1" t="s">
        <v>14</v>
      </c>
      <c r="F5725" s="1" t="str">
        <f>"10.107.129.165"</f>
        <v>10.107.129.165</v>
      </c>
      <c r="G5725" s="1" t="str">
        <f>"0131Q851"</f>
        <v>0131Q851</v>
      </c>
      <c r="H5725" s="1" t="str">
        <f>"자연간 22L13"</f>
        <v>자연간 22L13</v>
      </c>
      <c r="I5725" s="1" t="s">
        <v>8</v>
      </c>
      <c r="J5725" s="1" t="str">
        <f>"0/0"</f>
        <v>0/0</v>
      </c>
      <c r="K5725" s="1" t="str">
        <f>"2026-07-29 13:18:02"</f>
        <v>2026-07-29 13:18:02</v>
      </c>
      <c r="L5725" s="1" t="str">
        <f>"2017-07-18 12:40:42"</f>
        <v>2017-07-18 12:40:42</v>
      </c>
      <c r="M5725" s="1" t="s">
        <v>45</v>
      </c>
      <c r="N5725" s="1" t="s">
        <v>38</v>
      </c>
      <c r="O5725" s="1" t="s">
        <v>44</v>
      </c>
    </row>
    <row r="5726" spans="2:15" x14ac:dyDescent="0.3">
      <c r="B5726" s="1" t="s">
        <v>22</v>
      </c>
      <c r="C5726" s="1" t="str">
        <f t="shared" si="291"/>
        <v>2차</v>
      </c>
      <c r="D5726" s="1" t="str">
        <f>"0131Q88120"</f>
        <v>0131Q88120</v>
      </c>
      <c r="E5726" s="1" t="s">
        <v>10</v>
      </c>
      <c r="F5726" s="1" t="str">
        <f>"10.10.2.114"</f>
        <v>10.10.2.114</v>
      </c>
      <c r="G5726" s="1" t="str">
        <f>"0131Q881"</f>
        <v>0131Q881</v>
      </c>
      <c r="H5726" s="1" t="str">
        <f>"도우지 44L7R2"</f>
        <v>도우지 44L7R2</v>
      </c>
      <c r="I5726" s="1" t="s">
        <v>8</v>
      </c>
      <c r="J5726" s="1" t="str">
        <f>"2/2"</f>
        <v>2/2</v>
      </c>
      <c r="K5726" s="1" t="str">
        <f>"2026-07-29 13:18:01"</f>
        <v>2026-07-29 13:18:01</v>
      </c>
      <c r="L5726" s="1" t="str">
        <f>"2017-06-21 17:41:04"</f>
        <v>2017-06-21 17:41:04</v>
      </c>
      <c r="M5726" s="1" t="s">
        <v>1</v>
      </c>
      <c r="N5726" s="1" t="s">
        <v>38</v>
      </c>
      <c r="O5726" s="1" t="s">
        <v>46</v>
      </c>
    </row>
    <row r="5727" spans="2:15" x14ac:dyDescent="0.3">
      <c r="B5727" s="1" t="s">
        <v>22</v>
      </c>
      <c r="C5727" s="1" t="str">
        <f t="shared" si="291"/>
        <v>2차</v>
      </c>
      <c r="D5727" s="1" t="str">
        <f>"0131R10122"</f>
        <v>0131R10122</v>
      </c>
      <c r="E5727" s="1" t="s">
        <v>10</v>
      </c>
      <c r="F5727" s="1" t="str">
        <f>"10.12.135.51"</f>
        <v>10.12.135.51</v>
      </c>
      <c r="G5727" s="1" t="str">
        <f>"0131R101"</f>
        <v>0131R101</v>
      </c>
      <c r="H5727" s="1" t="str">
        <f>"쌍덕간 77"</f>
        <v>쌍덕간 77</v>
      </c>
      <c r="I5727" s="1" t="s">
        <v>8</v>
      </c>
      <c r="J5727" s="1" t="str">
        <f>"25/25"</f>
        <v>25/25</v>
      </c>
      <c r="K5727" s="1" t="str">
        <f>"2026-07-29 13:18:03"</f>
        <v>2026-07-29 13:18:03</v>
      </c>
      <c r="L5727" s="1" t="str">
        <f>"2017-08-01 11:11:02"</f>
        <v>2017-08-01 11:11:02</v>
      </c>
      <c r="M5727" s="1" t="s">
        <v>0</v>
      </c>
      <c r="N5727" s="1" t="s">
        <v>38</v>
      </c>
      <c r="O5727" s="1" t="s">
        <v>46</v>
      </c>
    </row>
    <row r="5728" spans="2:15" x14ac:dyDescent="0.3">
      <c r="B5728" s="1" t="s">
        <v>22</v>
      </c>
      <c r="C5728" s="1" t="str">
        <f t="shared" si="291"/>
        <v>2차</v>
      </c>
      <c r="D5728" s="1" t="str">
        <f>"0131R11221"</f>
        <v>0131R11221</v>
      </c>
      <c r="E5728" s="1" t="s">
        <v>10</v>
      </c>
      <c r="F5728" s="1" t="str">
        <f>"10.12.129.237"</f>
        <v>10.12.129.237</v>
      </c>
      <c r="G5728" s="1" t="str">
        <f>"0131R112"</f>
        <v>0131R112</v>
      </c>
      <c r="H5728" s="1" t="str">
        <f>"쌍덕간 75L1"</f>
        <v>쌍덕간 75L1</v>
      </c>
      <c r="I5728" s="1" t="s">
        <v>8</v>
      </c>
      <c r="J5728" s="1" t="str">
        <f>"53/53"</f>
        <v>53/53</v>
      </c>
      <c r="K5728" s="1" t="str">
        <f>"2026-07-29 13:18:03"</f>
        <v>2026-07-29 13:18:03</v>
      </c>
      <c r="L5728" s="1" t="str">
        <f>"2017-08-01 11:21:02"</f>
        <v>2017-08-01 11:21:02</v>
      </c>
      <c r="M5728" s="1" t="s">
        <v>0</v>
      </c>
      <c r="N5728" s="1" t="s">
        <v>38</v>
      </c>
      <c r="O5728" s="1" t="s">
        <v>46</v>
      </c>
    </row>
    <row r="5729" spans="2:15" x14ac:dyDescent="0.3">
      <c r="B5729" s="1" t="s">
        <v>22</v>
      </c>
      <c r="C5729" s="1" t="str">
        <f t="shared" si="291"/>
        <v>2차</v>
      </c>
      <c r="D5729" s="1" t="str">
        <f>"0131R18429"</f>
        <v>0131R18429</v>
      </c>
      <c r="E5729" s="1" t="s">
        <v>10</v>
      </c>
      <c r="F5729" s="1" t="str">
        <f>"10.12.128.183"</f>
        <v>10.12.128.183</v>
      </c>
      <c r="G5729" s="1" t="str">
        <f>"0131R184"</f>
        <v>0131R184</v>
      </c>
      <c r="H5729" s="1" t="str">
        <f>"쌍덕간 64"</f>
        <v>쌍덕간 64</v>
      </c>
      <c r="I5729" s="1" t="s">
        <v>8</v>
      </c>
      <c r="J5729" s="1" t="str">
        <f>"6/6"</f>
        <v>6/6</v>
      </c>
      <c r="K5729" s="1" t="str">
        <f>"2026-07-29 13:18:08"</f>
        <v>2026-07-29 13:18:08</v>
      </c>
      <c r="L5729" s="1" t="str">
        <f>"2017-07-27 18:01:04"</f>
        <v>2017-07-27 18:01:04</v>
      </c>
      <c r="M5729" s="1" t="s">
        <v>0</v>
      </c>
      <c r="N5729" s="1" t="s">
        <v>38</v>
      </c>
      <c r="O5729" s="1" t="s">
        <v>46</v>
      </c>
    </row>
    <row r="5730" spans="2:15" x14ac:dyDescent="0.3">
      <c r="B5730" s="1" t="s">
        <v>22</v>
      </c>
      <c r="C5730" s="1" t="str">
        <f t="shared" si="291"/>
        <v>2차</v>
      </c>
      <c r="D5730" s="1" t="str">
        <f>"0131R20121"</f>
        <v>0131R20121</v>
      </c>
      <c r="E5730" s="1" t="s">
        <v>10</v>
      </c>
      <c r="F5730" s="1" t="str">
        <f>"10.10.4.211"</f>
        <v>10.10.4.211</v>
      </c>
      <c r="G5730" s="1" t="str">
        <f>"0131R201"</f>
        <v>0131R201</v>
      </c>
      <c r="H5730" s="1" t="str">
        <f>"쌍덕간 78L1"</f>
        <v>쌍덕간 78L1</v>
      </c>
      <c r="I5730" s="1" t="s">
        <v>8</v>
      </c>
      <c r="J5730" s="1" t="str">
        <f>"10/10"</f>
        <v>10/10</v>
      </c>
      <c r="K5730" s="1" t="str">
        <f>"2026-07-29 13:18:02"</f>
        <v>2026-07-29 13:18:02</v>
      </c>
      <c r="L5730" s="1" t="str">
        <f>"2017-06-21 17:51:01"</f>
        <v>2017-06-21 17:51:01</v>
      </c>
      <c r="M5730" s="1" t="s">
        <v>1</v>
      </c>
      <c r="N5730" s="1" t="s">
        <v>38</v>
      </c>
      <c r="O5730" s="1" t="s">
        <v>46</v>
      </c>
    </row>
    <row r="5731" spans="2:15" x14ac:dyDescent="0.3">
      <c r="B5731" s="1" t="s">
        <v>22</v>
      </c>
      <c r="C5731" s="1" t="str">
        <f>"5-2차"</f>
        <v>5-2차</v>
      </c>
      <c r="D5731" s="1" t="str">
        <f>"0131R2125M"</f>
        <v>0131R2125M</v>
      </c>
      <c r="E5731" s="1" t="s">
        <v>10</v>
      </c>
      <c r="F5731" s="1" t="str">
        <f>"fde3:102:1410:3300:0:0:0:2"</f>
        <v>fde3:102:1410:3300:0:0:0:2</v>
      </c>
      <c r="G5731" s="1" t="str">
        <f>"0131R212"</f>
        <v>0131R212</v>
      </c>
      <c r="H5731" s="1" t="str">
        <f>"쌍덕간 75L2"</f>
        <v>쌍덕간 75L2</v>
      </c>
      <c r="I5731" s="1" t="s">
        <v>15</v>
      </c>
      <c r="J5731" s="1" t="str">
        <f>"123/123"</f>
        <v>123/123</v>
      </c>
      <c r="K5731" s="1" t="str">
        <f>"2026-07-29 14:20:49"</f>
        <v>2026-07-29 14:20:49</v>
      </c>
      <c r="L5731" s="1" t="str">
        <f>"2024-01-10 10:46:04"</f>
        <v>2024-01-10 10:46:04</v>
      </c>
      <c r="M5731" s="1" t="s">
        <v>45</v>
      </c>
      <c r="N5731" s="1" t="s">
        <v>38</v>
      </c>
      <c r="O5731" s="1" t="s">
        <v>46</v>
      </c>
    </row>
    <row r="5732" spans="2:15" x14ac:dyDescent="0.3">
      <c r="B5732" s="1" t="s">
        <v>22</v>
      </c>
      <c r="C5732" s="1" t="str">
        <f>"5-2차"</f>
        <v>5-2차</v>
      </c>
      <c r="D5732" s="1" t="str">
        <f>"0131R2615M"</f>
        <v>0131R2615M</v>
      </c>
      <c r="E5732" s="1" t="s">
        <v>10</v>
      </c>
      <c r="F5732" s="1" t="str">
        <f>"fde3:102:1410:4400:0:0:0:10"</f>
        <v>fde3:102:1410:4400:0:0:0:10</v>
      </c>
      <c r="G5732" s="1" t="str">
        <f>"0131R261"</f>
        <v>0131R261</v>
      </c>
      <c r="H5732" s="1" t="str">
        <f>"쌍덕간 65L2R1"</f>
        <v>쌍덕간 65L2R1</v>
      </c>
      <c r="I5732" s="1" t="s">
        <v>15</v>
      </c>
      <c r="J5732" s="1" t="str">
        <f>"67/67"</f>
        <v>67/67</v>
      </c>
      <c r="K5732" s="1" t="str">
        <f>"2026-07-29 14:20:38"</f>
        <v>2026-07-29 14:20:38</v>
      </c>
      <c r="L5732" s="1" t="str">
        <f>"2023-12-13 14:29:02"</f>
        <v>2023-12-13 14:29:02</v>
      </c>
      <c r="M5732" s="1" t="s">
        <v>45</v>
      </c>
      <c r="N5732" s="1" t="s">
        <v>38</v>
      </c>
      <c r="O5732" s="1" t="s">
        <v>46</v>
      </c>
    </row>
    <row r="5733" spans="2:15" x14ac:dyDescent="0.3">
      <c r="B5733" s="1" t="s">
        <v>22</v>
      </c>
      <c r="C5733" s="1" t="str">
        <f>"5-2차"</f>
        <v>5-2차</v>
      </c>
      <c r="D5733" s="1" t="str">
        <f>"0131R2725M"</f>
        <v>0131R2725M</v>
      </c>
      <c r="E5733" s="1" t="s">
        <v>10</v>
      </c>
      <c r="F5733" s="1" t="str">
        <f>"fde1:103:4:92fb:0:0:0:2"</f>
        <v>fde1:103:4:92fb:0:0:0:2</v>
      </c>
      <c r="G5733" s="1" t="str">
        <f>"0131R272"</f>
        <v>0131R272</v>
      </c>
      <c r="H5733" s="1" t="str">
        <f>"쌍덕간 65L1"</f>
        <v>쌍덕간 65L1</v>
      </c>
      <c r="I5733" s="1" t="s">
        <v>15</v>
      </c>
      <c r="J5733" s="1" t="str">
        <f>"60/60"</f>
        <v>60/60</v>
      </c>
      <c r="K5733" s="1" t="str">
        <f>"2026-07-29 14:20:16"</f>
        <v>2026-07-29 14:20:16</v>
      </c>
      <c r="L5733" s="1" t="str">
        <f>"2023-12-19 10:17:19"</f>
        <v>2023-12-19 10:17:19</v>
      </c>
      <c r="M5733" s="1" t="s">
        <v>4</v>
      </c>
      <c r="N5733" s="1" t="s">
        <v>38</v>
      </c>
      <c r="O5733" s="1" t="s">
        <v>46</v>
      </c>
    </row>
    <row r="5734" spans="2:15" x14ac:dyDescent="0.3">
      <c r="B5734" s="1" t="s">
        <v>22</v>
      </c>
      <c r="C5734" s="1" t="str">
        <f>"5-1차"</f>
        <v>5-1차</v>
      </c>
      <c r="D5734" s="1" t="str">
        <f>"0131R2915S"</f>
        <v>0131R2915S</v>
      </c>
      <c r="E5734" s="1" t="s">
        <v>10</v>
      </c>
      <c r="F5734" s="1" t="str">
        <f>"fde2:104:0:f9:0:0:0:2"</f>
        <v>fde2:104:0:f9:0:0:0:2</v>
      </c>
      <c r="G5734" s="1" t="str">
        <f>"0131R291"</f>
        <v>0131R291</v>
      </c>
      <c r="H5734" s="1" t="str">
        <f>"쌍덕간 61"</f>
        <v>쌍덕간 61</v>
      </c>
      <c r="I5734" s="1" t="s">
        <v>15</v>
      </c>
      <c r="J5734" s="1" t="str">
        <f>"2/2"</f>
        <v>2/2</v>
      </c>
      <c r="K5734" s="1" t="str">
        <f>"2026-07-29 14:20:36"</f>
        <v>2026-07-29 14:20:36</v>
      </c>
      <c r="L5734" s="1" t="str">
        <f>"2022-10-11 14:56:52"</f>
        <v>2022-10-11 14:56:52</v>
      </c>
      <c r="M5734" s="1" t="s">
        <v>42</v>
      </c>
      <c r="N5734" s="1" t="s">
        <v>38</v>
      </c>
      <c r="O5734" s="1" t="s">
        <v>46</v>
      </c>
    </row>
    <row r="5735" spans="2:15" x14ac:dyDescent="0.3">
      <c r="B5735" s="1" t="s">
        <v>22</v>
      </c>
      <c r="C5735" s="1" t="str">
        <f>"2차"</f>
        <v>2차</v>
      </c>
      <c r="D5735" s="1" t="str">
        <f>"0131R29529"</f>
        <v>0131R29529</v>
      </c>
      <c r="E5735" s="1" t="s">
        <v>10</v>
      </c>
      <c r="F5735" s="1" t="str">
        <f>"10.107.124.85"</f>
        <v>10.107.124.85</v>
      </c>
      <c r="G5735" s="1" t="str">
        <f>"0131R295"</f>
        <v>0131R295</v>
      </c>
      <c r="H5735" s="1" t="str">
        <f>"쌍덕간 62L1"</f>
        <v>쌍덕간 62L1</v>
      </c>
      <c r="I5735" s="1" t="s">
        <v>8</v>
      </c>
      <c r="J5735" s="1" t="str">
        <f>"14/14"</f>
        <v>14/14</v>
      </c>
      <c r="K5735" s="1" t="str">
        <f>"2026-07-29 13:18:02"</f>
        <v>2026-07-29 13:18:02</v>
      </c>
      <c r="L5735" s="1" t="str">
        <f>"2017-07-27 18:31:03"</f>
        <v>2017-07-27 18:31:03</v>
      </c>
      <c r="M5735" s="1" t="s">
        <v>45</v>
      </c>
      <c r="N5735" s="1" t="s">
        <v>38</v>
      </c>
      <c r="O5735" s="1" t="s">
        <v>46</v>
      </c>
    </row>
    <row r="5736" spans="2:15" x14ac:dyDescent="0.3">
      <c r="B5736" s="1" t="s">
        <v>22</v>
      </c>
      <c r="C5736" s="1" t="str">
        <f>"5-2차"</f>
        <v>5-2차</v>
      </c>
      <c r="D5736" s="1" t="str">
        <f>"0131R3115M"</f>
        <v>0131R3115M</v>
      </c>
      <c r="E5736" s="1" t="s">
        <v>10</v>
      </c>
      <c r="F5736" s="1" t="str">
        <f>"fde3:102:1410:3300:0:0:0:5"</f>
        <v>fde3:102:1410:3300:0:0:0:5</v>
      </c>
      <c r="G5736" s="1" t="str">
        <f>"0131R311"</f>
        <v>0131R311</v>
      </c>
      <c r="H5736" s="1" t="str">
        <f>"쌍덕간 75L3R1"</f>
        <v>쌍덕간 75L3R1</v>
      </c>
      <c r="I5736" s="1" t="s">
        <v>15</v>
      </c>
      <c r="J5736" s="1" t="str">
        <f>"45/45"</f>
        <v>45/45</v>
      </c>
      <c r="K5736" s="1" t="str">
        <f>"2026-07-29 14:20:33"</f>
        <v>2026-07-29 14:20:33</v>
      </c>
      <c r="L5736" s="1" t="str">
        <f>"2024-01-08 10:43:57"</f>
        <v>2024-01-08 10:43:57</v>
      </c>
      <c r="M5736" s="1" t="s">
        <v>45</v>
      </c>
      <c r="N5736" s="1" t="s">
        <v>38</v>
      </c>
      <c r="O5736" s="1" t="s">
        <v>46</v>
      </c>
    </row>
    <row r="5737" spans="2:15" x14ac:dyDescent="0.3">
      <c r="B5737" s="1" t="s">
        <v>22</v>
      </c>
      <c r="C5737" s="1" t="str">
        <f>"5-2차"</f>
        <v>5-2차</v>
      </c>
      <c r="D5737" s="1" t="str">
        <f>"0131R3225S"</f>
        <v>0131R3225S</v>
      </c>
      <c r="E5737" s="1" t="s">
        <v>10</v>
      </c>
      <c r="F5737" s="1" t="str">
        <f>"fde3:102:1410:3300:0:0:0:6"</f>
        <v>fde3:102:1410:3300:0:0:0:6</v>
      </c>
      <c r="G5737" s="1" t="str">
        <f>"0131R322"</f>
        <v>0131R322</v>
      </c>
      <c r="H5737" s="1" t="str">
        <f>"쌍덕간 75L4"</f>
        <v>쌍덕간 75L4</v>
      </c>
      <c r="I5737" s="1" t="s">
        <v>15</v>
      </c>
      <c r="J5737" s="1" t="str">
        <f>"64/65"</f>
        <v>64/65</v>
      </c>
      <c r="K5737" s="1" t="str">
        <f>"2026-07-29 14:21:03"</f>
        <v>2026-07-29 14:21:03</v>
      </c>
      <c r="L5737" s="1" t="str">
        <f>"2024-01-08 10:46:47"</f>
        <v>2024-01-08 10:46:47</v>
      </c>
      <c r="M5737" s="1" t="s">
        <v>45</v>
      </c>
      <c r="N5737" s="1" t="s">
        <v>38</v>
      </c>
      <c r="O5737" s="1" t="s">
        <v>46</v>
      </c>
    </row>
    <row r="5738" spans="2:15" x14ac:dyDescent="0.3">
      <c r="B5738" s="1" t="s">
        <v>22</v>
      </c>
      <c r="C5738" s="1" t="str">
        <f>"5-2차"</f>
        <v>5-2차</v>
      </c>
      <c r="D5738" s="1" t="str">
        <f>"0131R3945M"</f>
        <v>0131R3945M</v>
      </c>
      <c r="E5738" s="1" t="s">
        <v>10</v>
      </c>
      <c r="F5738" s="1" t="str">
        <f>"fde1:103:4:932d:0:0:0:2"</f>
        <v>fde1:103:4:932d:0:0:0:2</v>
      </c>
      <c r="G5738" s="1" t="str">
        <f>"0131R394"</f>
        <v>0131R394</v>
      </c>
      <c r="H5738" s="1" t="str">
        <f>"쌍덕간 46L4"</f>
        <v>쌍덕간 46L4</v>
      </c>
      <c r="I5738" s="1" t="s">
        <v>15</v>
      </c>
      <c r="J5738" s="1" t="str">
        <f>"10/11"</f>
        <v>10/11</v>
      </c>
      <c r="K5738" s="1" t="str">
        <f>"2026-07-29 14:20:33"</f>
        <v>2026-07-29 14:20:33</v>
      </c>
      <c r="L5738" s="1" t="str">
        <f>"2023-12-19 10:18:06"</f>
        <v>2023-12-19 10:18:06</v>
      </c>
      <c r="M5738" s="1" t="s">
        <v>4</v>
      </c>
      <c r="N5738" s="1" t="s">
        <v>38</v>
      </c>
      <c r="O5738" s="1" t="s">
        <v>46</v>
      </c>
    </row>
    <row r="5739" spans="2:15" x14ac:dyDescent="0.3">
      <c r="B5739" s="1" t="s">
        <v>22</v>
      </c>
      <c r="C5739" s="1" t="str">
        <f>"5-2차"</f>
        <v>5-2차</v>
      </c>
      <c r="D5739" s="1" t="str">
        <f>"0131R4615M"</f>
        <v>0131R4615M</v>
      </c>
      <c r="E5739" s="1" t="s">
        <v>10</v>
      </c>
      <c r="F5739" s="1" t="str">
        <f>"fde1:103:4:910f:0:0:0:2"</f>
        <v>fde1:103:4:910f:0:0:0:2</v>
      </c>
      <c r="G5739" s="1" t="str">
        <f>"0131R461"</f>
        <v>0131R461</v>
      </c>
      <c r="H5739" s="1" t="str">
        <f>"쌍덕간 42L4"</f>
        <v>쌍덕간 42L4</v>
      </c>
      <c r="I5739" s="1" t="s">
        <v>15</v>
      </c>
      <c r="J5739" s="1" t="str">
        <f>"55/55"</f>
        <v>55/55</v>
      </c>
      <c r="K5739" s="1" t="str">
        <f>"2026-07-29 14:20:00"</f>
        <v>2026-07-29 14:20:00</v>
      </c>
      <c r="L5739" s="1" t="str">
        <f>"2024-01-08 11:16:59"</f>
        <v>2024-01-08 11:16:59</v>
      </c>
      <c r="M5739" s="1" t="s">
        <v>4</v>
      </c>
      <c r="N5739" s="1" t="s">
        <v>38</v>
      </c>
      <c r="O5739" s="1" t="s">
        <v>46</v>
      </c>
    </row>
    <row r="5740" spans="2:15" x14ac:dyDescent="0.3">
      <c r="B5740" s="1" t="s">
        <v>22</v>
      </c>
      <c r="C5740" s="1" t="str">
        <f>"5-2차"</f>
        <v>5-2차</v>
      </c>
      <c r="D5740" s="1" t="str">
        <f>"0131R4715M"</f>
        <v>0131R4715M</v>
      </c>
      <c r="E5740" s="1" t="s">
        <v>10</v>
      </c>
      <c r="F5740" s="1" t="str">
        <f>"fde1:103:4:93da:0:0:0:2"</f>
        <v>fde1:103:4:93da:0:0:0:2</v>
      </c>
      <c r="G5740" s="1" t="str">
        <f>"0131R471"</f>
        <v>0131R471</v>
      </c>
      <c r="H5740" s="1" t="str">
        <f>"쌍덕간 43L4"</f>
        <v>쌍덕간 43L4</v>
      </c>
      <c r="I5740" s="1" t="s">
        <v>15</v>
      </c>
      <c r="J5740" s="1" t="str">
        <f>"63/63"</f>
        <v>63/63</v>
      </c>
      <c r="K5740" s="1" t="str">
        <f>"2026-07-29 14:20:16"</f>
        <v>2026-07-29 14:20:16</v>
      </c>
      <c r="L5740" s="1" t="str">
        <f>"2023-12-19 10:18:31"</f>
        <v>2023-12-19 10:18:31</v>
      </c>
      <c r="M5740" s="1" t="s">
        <v>4</v>
      </c>
      <c r="N5740" s="1" t="s">
        <v>38</v>
      </c>
      <c r="O5740" s="1" t="s">
        <v>46</v>
      </c>
    </row>
    <row r="5741" spans="2:15" x14ac:dyDescent="0.3">
      <c r="B5741" s="1" t="s">
        <v>22</v>
      </c>
      <c r="C5741" s="1" t="str">
        <f>"2차"</f>
        <v>2차</v>
      </c>
      <c r="D5741" s="1" t="str">
        <f>"0131R48122"</f>
        <v>0131R48122</v>
      </c>
      <c r="E5741" s="1" t="s">
        <v>10</v>
      </c>
      <c r="F5741" s="1" t="str">
        <f>"10.10.4.92"</f>
        <v>10.10.4.92</v>
      </c>
      <c r="G5741" s="1" t="str">
        <f>"0131R481"</f>
        <v>0131R481</v>
      </c>
      <c r="H5741" s="1" t="str">
        <f>"쌍덕간 46L2L1"</f>
        <v>쌍덕간 46L2L1</v>
      </c>
      <c r="I5741" s="1" t="s">
        <v>8</v>
      </c>
      <c r="J5741" s="1" t="str">
        <f>"46/46"</f>
        <v>46/46</v>
      </c>
      <c r="K5741" s="1" t="str">
        <f>"2026-07-29 13:18:02"</f>
        <v>2026-07-29 13:18:02</v>
      </c>
      <c r="L5741" s="1" t="str">
        <f>"2017-06-21 17:41:04"</f>
        <v>2017-06-21 17:41:04</v>
      </c>
      <c r="M5741" s="1" t="s">
        <v>1</v>
      </c>
      <c r="N5741" s="1" t="s">
        <v>38</v>
      </c>
      <c r="O5741" s="1" t="s">
        <v>46</v>
      </c>
    </row>
    <row r="5742" spans="2:15" x14ac:dyDescent="0.3">
      <c r="B5742" s="1" t="s">
        <v>22</v>
      </c>
      <c r="C5742" s="1" t="str">
        <f>"2차"</f>
        <v>2차</v>
      </c>
      <c r="D5742" s="1" t="str">
        <f>"0131R49120"</f>
        <v>0131R49120</v>
      </c>
      <c r="E5742" s="1" t="s">
        <v>10</v>
      </c>
      <c r="F5742" s="1" t="str">
        <f>"10.10.4.90"</f>
        <v>10.10.4.90</v>
      </c>
      <c r="G5742" s="1" t="str">
        <f>"0131R491"</f>
        <v>0131R491</v>
      </c>
      <c r="H5742" s="1" t="str">
        <f>"쌍덕간 46L2"</f>
        <v>쌍덕간 46L2</v>
      </c>
      <c r="I5742" s="1" t="s">
        <v>8</v>
      </c>
      <c r="J5742" s="1" t="str">
        <f>"1/1"</f>
        <v>1/1</v>
      </c>
      <c r="K5742" s="1" t="str">
        <f>"2026-07-29 13:18:03"</f>
        <v>2026-07-29 13:18:03</v>
      </c>
      <c r="L5742" s="1" t="str">
        <f>"2017-06-21 17:41:04"</f>
        <v>2017-06-21 17:41:04</v>
      </c>
      <c r="M5742" s="1" t="s">
        <v>1</v>
      </c>
      <c r="N5742" s="1" t="s">
        <v>38</v>
      </c>
      <c r="O5742" s="1" t="s">
        <v>46</v>
      </c>
    </row>
    <row r="5743" spans="2:15" x14ac:dyDescent="0.3">
      <c r="B5743" s="1" t="s">
        <v>22</v>
      </c>
      <c r="C5743" s="1" t="str">
        <f>"5-2차"</f>
        <v>5-2차</v>
      </c>
      <c r="D5743" s="1" t="str">
        <f>"0131R5625M"</f>
        <v>0131R5625M</v>
      </c>
      <c r="E5743" s="1" t="s">
        <v>10</v>
      </c>
      <c r="F5743" s="1" t="str">
        <f>"fde3:102:1410:4500:0:0:0:2c"</f>
        <v>fde3:102:1410:4500:0:0:0:2c</v>
      </c>
      <c r="G5743" s="1" t="str">
        <f>"0131R562"</f>
        <v>0131R562</v>
      </c>
      <c r="H5743" s="1" t="str">
        <f>"쌍덕간 42L2"</f>
        <v>쌍덕간 42L2</v>
      </c>
      <c r="I5743" s="1" t="s">
        <v>15</v>
      </c>
      <c r="J5743" s="1" t="str">
        <f>"59/59"</f>
        <v>59/59</v>
      </c>
      <c r="K5743" s="1" t="str">
        <f>"2026-07-29 14:20:33"</f>
        <v>2026-07-29 14:20:33</v>
      </c>
      <c r="L5743" s="1" t="str">
        <f>"2023-12-13 18:16:34"</f>
        <v>2023-12-13 18:16:34</v>
      </c>
      <c r="M5743" s="1" t="s">
        <v>45</v>
      </c>
      <c r="N5743" s="1" t="s">
        <v>38</v>
      </c>
      <c r="O5743" s="1" t="s">
        <v>46</v>
      </c>
    </row>
    <row r="5744" spans="2:15" x14ac:dyDescent="0.3">
      <c r="B5744" s="1" t="s">
        <v>22</v>
      </c>
      <c r="C5744" s="1" t="str">
        <f>"5-2차"</f>
        <v>5-2차</v>
      </c>
      <c r="D5744" s="1" t="str">
        <f>"0131R5715M"</f>
        <v>0131R5715M</v>
      </c>
      <c r="E5744" s="1" t="s">
        <v>10</v>
      </c>
      <c r="F5744" s="1" t="str">
        <f>"fde3:102:1410:4500:0:0:0:23"</f>
        <v>fde3:102:1410:4500:0:0:0:23</v>
      </c>
      <c r="G5744" s="1" t="str">
        <f>"0131R571"</f>
        <v>0131R571</v>
      </c>
      <c r="H5744" s="1" t="str">
        <f>"쌍덕간 43L2"</f>
        <v>쌍덕간 43L2</v>
      </c>
      <c r="I5744" s="1" t="s">
        <v>15</v>
      </c>
      <c r="J5744" s="1" t="str">
        <f>"74/74"</f>
        <v>74/74</v>
      </c>
      <c r="K5744" s="1" t="str">
        <f>"2026-07-29 14:20:17"</f>
        <v>2026-07-29 14:20:17</v>
      </c>
      <c r="L5744" s="1" t="str">
        <f>"2023-12-13 18:47:40"</f>
        <v>2023-12-13 18:47:40</v>
      </c>
      <c r="M5744" s="1" t="s">
        <v>45</v>
      </c>
      <c r="N5744" s="1" t="s">
        <v>38</v>
      </c>
      <c r="O5744" s="1" t="s">
        <v>46</v>
      </c>
    </row>
    <row r="5745" spans="2:15" x14ac:dyDescent="0.3">
      <c r="B5745" s="1" t="s">
        <v>22</v>
      </c>
      <c r="C5745" s="1" t="str">
        <f>"2차"</f>
        <v>2차</v>
      </c>
      <c r="D5745" s="1" t="str">
        <f>"0131R59121"</f>
        <v>0131R59121</v>
      </c>
      <c r="E5745" s="1" t="s">
        <v>10</v>
      </c>
      <c r="F5745" s="1" t="str">
        <f>"10.12.138.184"</f>
        <v>10.12.138.184</v>
      </c>
      <c r="G5745" s="1" t="str">
        <f>"0131R591"</f>
        <v>0131R591</v>
      </c>
      <c r="H5745" s="1" t="str">
        <f>"쌍덕간 46L1"</f>
        <v>쌍덕간 46L1</v>
      </c>
      <c r="I5745" s="1" t="s">
        <v>8</v>
      </c>
      <c r="J5745" s="1" t="str">
        <f>"32/32"</f>
        <v>32/32</v>
      </c>
      <c r="K5745" s="1" t="str">
        <f>"2026-07-29 13:18:02"</f>
        <v>2026-07-29 13:18:02</v>
      </c>
      <c r="L5745" s="1" t="str">
        <f>"2017-06-21 17:41:04"</f>
        <v>2017-06-21 17:41:04</v>
      </c>
      <c r="M5745" s="1" t="s">
        <v>0</v>
      </c>
      <c r="N5745" s="1" t="s">
        <v>38</v>
      </c>
      <c r="O5745" s="1" t="s">
        <v>46</v>
      </c>
    </row>
    <row r="5746" spans="2:15" x14ac:dyDescent="0.3">
      <c r="B5746" s="1" t="s">
        <v>22</v>
      </c>
      <c r="C5746" s="1" t="str">
        <f>"2차"</f>
        <v>2차</v>
      </c>
      <c r="D5746" s="1" t="str">
        <f>"0131R69120"</f>
        <v>0131R69120</v>
      </c>
      <c r="E5746" s="1" t="s">
        <v>10</v>
      </c>
      <c r="F5746" s="1" t="str">
        <f>"10.10.4.74"</f>
        <v>10.10.4.74</v>
      </c>
      <c r="G5746" s="1" t="str">
        <f>"0131R691"</f>
        <v>0131R691</v>
      </c>
      <c r="H5746" s="1" t="str">
        <f>"쌍덕간 46"</f>
        <v>쌍덕간 46</v>
      </c>
      <c r="I5746" s="1" t="s">
        <v>8</v>
      </c>
      <c r="J5746" s="1" t="str">
        <f>"44/44"</f>
        <v>44/44</v>
      </c>
      <c r="K5746" s="1" t="str">
        <f>"2026-07-29 13:18:03"</f>
        <v>2026-07-29 13:18:03</v>
      </c>
      <c r="L5746" s="1" t="str">
        <f>"2017-06-21 17:41:03"</f>
        <v>2017-06-21 17:41:03</v>
      </c>
      <c r="M5746" s="1" t="s">
        <v>1</v>
      </c>
      <c r="N5746" s="1" t="s">
        <v>38</v>
      </c>
      <c r="O5746" s="1" t="s">
        <v>46</v>
      </c>
    </row>
    <row r="5747" spans="2:15" x14ac:dyDescent="0.3">
      <c r="B5747" s="1" t="s">
        <v>22</v>
      </c>
      <c r="C5747" s="1" t="str">
        <f>"5-2차"</f>
        <v>5-2차</v>
      </c>
      <c r="D5747" s="1" t="str">
        <f>"0131R6935M"</f>
        <v>0131R6935M</v>
      </c>
      <c r="E5747" s="1" t="s">
        <v>10</v>
      </c>
      <c r="F5747" s="1" t="str">
        <f>"fde1:103:4:926b:0:0:0:2"</f>
        <v>fde1:103:4:926b:0:0:0:2</v>
      </c>
      <c r="G5747" s="1" t="str">
        <f>"0131R693"</f>
        <v>0131R693</v>
      </c>
      <c r="H5747" s="1" t="str">
        <f>"쌍덕간 45"</f>
        <v>쌍덕간 45</v>
      </c>
      <c r="I5747" s="1" t="s">
        <v>15</v>
      </c>
      <c r="J5747" s="1" t="str">
        <f>"60/60"</f>
        <v>60/60</v>
      </c>
      <c r="K5747" s="1" t="str">
        <f>"2026-07-29 14:20:33"</f>
        <v>2026-07-29 14:20:33</v>
      </c>
      <c r="L5747" s="1" t="str">
        <f>"2024-01-08 11:27:16"</f>
        <v>2024-01-08 11:27:16</v>
      </c>
      <c r="M5747" s="1" t="s">
        <v>4</v>
      </c>
      <c r="N5747" s="1" t="s">
        <v>38</v>
      </c>
      <c r="O5747" s="1" t="s">
        <v>46</v>
      </c>
    </row>
    <row r="5748" spans="2:15" x14ac:dyDescent="0.3">
      <c r="B5748" s="1" t="s">
        <v>22</v>
      </c>
      <c r="C5748" s="1" t="str">
        <f>"5-2차"</f>
        <v>5-2차</v>
      </c>
      <c r="D5748" s="1" t="str">
        <f>"0131R7725M"</f>
        <v>0131R7725M</v>
      </c>
      <c r="E5748" s="1" t="s">
        <v>10</v>
      </c>
      <c r="F5748" s="1" t="str">
        <f>"fde1:103:4:913d:0:0:0:2"</f>
        <v>fde1:103:4:913d:0:0:0:2</v>
      </c>
      <c r="G5748" s="1" t="str">
        <f>"0131R772"</f>
        <v>0131R772</v>
      </c>
      <c r="H5748" s="1" t="str">
        <f>"쌍덕간 42R2"</f>
        <v>쌍덕간 42R2</v>
      </c>
      <c r="I5748" s="1" t="s">
        <v>15</v>
      </c>
      <c r="J5748" s="1" t="str">
        <f>"69/69"</f>
        <v>69/69</v>
      </c>
      <c r="K5748" s="1" t="str">
        <f>"2026-07-29 14:20:33"</f>
        <v>2026-07-29 14:20:33</v>
      </c>
      <c r="L5748" s="1" t="str">
        <f>"2024-01-08 11:28:13"</f>
        <v>2024-01-08 11:28:13</v>
      </c>
      <c r="M5748" s="1" t="s">
        <v>4</v>
      </c>
      <c r="N5748" s="1" t="s">
        <v>38</v>
      </c>
      <c r="O5748" s="1" t="s">
        <v>46</v>
      </c>
    </row>
    <row r="5749" spans="2:15" x14ac:dyDescent="0.3">
      <c r="B5749" s="1" t="s">
        <v>22</v>
      </c>
      <c r="C5749" s="1" t="str">
        <f>"5-2차"</f>
        <v>5-2차</v>
      </c>
      <c r="D5749" s="1" t="str">
        <f>"0131R7825S"</f>
        <v>0131R7825S</v>
      </c>
      <c r="E5749" s="1" t="s">
        <v>10</v>
      </c>
      <c r="F5749" s="1" t="str">
        <f>"fde3:102:1410:4500:0:0:0:22"</f>
        <v>fde3:102:1410:4500:0:0:0:22</v>
      </c>
      <c r="G5749" s="1" t="str">
        <f>"0131R782"</f>
        <v>0131R782</v>
      </c>
      <c r="H5749" s="1" t="str">
        <f>"쌍덕간 46R1R2"</f>
        <v>쌍덕간 46R1R2</v>
      </c>
      <c r="I5749" s="1" t="s">
        <v>15</v>
      </c>
      <c r="J5749" s="1" t="str">
        <f>"57/57"</f>
        <v>57/57</v>
      </c>
      <c r="K5749" s="1" t="str">
        <f>"2026-07-29 08:20:19"</f>
        <v>2026-07-29 08:20:19</v>
      </c>
      <c r="L5749" s="1" t="str">
        <f>"2023-12-13 14:44:47"</f>
        <v>2023-12-13 14:44:47</v>
      </c>
      <c r="M5749" s="1" t="s">
        <v>45</v>
      </c>
      <c r="N5749" s="1" t="s">
        <v>38</v>
      </c>
      <c r="O5749" s="1" t="s">
        <v>46</v>
      </c>
    </row>
    <row r="5750" spans="2:15" x14ac:dyDescent="0.3">
      <c r="B5750" s="1" t="s">
        <v>22</v>
      </c>
      <c r="C5750" s="1" t="str">
        <f>"5-2차"</f>
        <v>5-2차</v>
      </c>
      <c r="D5750" s="1" t="str">
        <f>"0131R7925S"</f>
        <v>0131R7925S</v>
      </c>
      <c r="E5750" s="1" t="s">
        <v>10</v>
      </c>
      <c r="F5750" s="1" t="str">
        <f>"fde3:102:1410:4500:0:0:0:21"</f>
        <v>fde3:102:1410:4500:0:0:0:21</v>
      </c>
      <c r="G5750" s="1" t="str">
        <f>"0131R792"</f>
        <v>0131R792</v>
      </c>
      <c r="H5750" s="1" t="str">
        <f>"쌍덕간 46R1R1L1"</f>
        <v>쌍덕간 46R1R1L1</v>
      </c>
      <c r="I5750" s="1" t="s">
        <v>15</v>
      </c>
      <c r="J5750" s="1" t="str">
        <f>"75/75"</f>
        <v>75/75</v>
      </c>
      <c r="K5750" s="1" t="str">
        <f>"2026-07-29 14:20:33"</f>
        <v>2026-07-29 14:20:33</v>
      </c>
      <c r="L5750" s="1" t="str">
        <f>"2023-12-13 15:15:00"</f>
        <v>2023-12-13 15:15:00</v>
      </c>
      <c r="M5750" s="1" t="s">
        <v>45</v>
      </c>
      <c r="N5750" s="1" t="s">
        <v>38</v>
      </c>
      <c r="O5750" s="1" t="s">
        <v>46</v>
      </c>
    </row>
    <row r="5751" spans="2:15" x14ac:dyDescent="0.3">
      <c r="B5751" s="1" t="s">
        <v>22</v>
      </c>
      <c r="C5751" s="1" t="str">
        <f>"2차"</f>
        <v>2차</v>
      </c>
      <c r="D5751" s="1" t="str">
        <f>"0131R79321"</f>
        <v>0131R79321</v>
      </c>
      <c r="E5751" s="1" t="s">
        <v>10</v>
      </c>
      <c r="F5751" s="1" t="str">
        <f>"10.14.13.122"</f>
        <v>10.14.13.122</v>
      </c>
      <c r="G5751" s="1" t="str">
        <f>"0131R793"</f>
        <v>0131R793</v>
      </c>
      <c r="H5751" s="1" t="str">
        <f>"쌍덕간 46R1"</f>
        <v>쌍덕간 46R1</v>
      </c>
      <c r="I5751" s="1" t="s">
        <v>8</v>
      </c>
      <c r="J5751" s="1" t="str">
        <f>"35/36"</f>
        <v>35/36</v>
      </c>
      <c r="K5751" s="1" t="str">
        <f>"2026-07-29 13:18:01"</f>
        <v>2026-07-29 13:18:01</v>
      </c>
      <c r="L5751" s="1" t="str">
        <f>"2017-06-21 17:41:04"</f>
        <v>2017-06-21 17:41:04</v>
      </c>
      <c r="M5751" s="1" t="s">
        <v>3</v>
      </c>
      <c r="N5751" s="1" t="s">
        <v>38</v>
      </c>
      <c r="O5751" s="1" t="s">
        <v>46</v>
      </c>
    </row>
    <row r="5752" spans="2:15" x14ac:dyDescent="0.3">
      <c r="B5752" s="1" t="s">
        <v>22</v>
      </c>
      <c r="C5752" s="1" t="str">
        <f>"5-2차"</f>
        <v>5-2차</v>
      </c>
      <c r="D5752" s="1" t="str">
        <f>"0131R8315M"</f>
        <v>0131R8315M</v>
      </c>
      <c r="E5752" s="1" t="s">
        <v>10</v>
      </c>
      <c r="F5752" s="1" t="str">
        <f>"fde3:102:1410:4500:0:0:0:27"</f>
        <v>fde3:102:1410:4500:0:0:0:27</v>
      </c>
      <c r="G5752" s="1" t="str">
        <f>"0131R831"</f>
        <v>0131R831</v>
      </c>
      <c r="H5752" s="1" t="str">
        <f>"쌍덕간 37"</f>
        <v>쌍덕간 37</v>
      </c>
      <c r="I5752" s="1" t="s">
        <v>15</v>
      </c>
      <c r="J5752" s="1" t="str">
        <f>"30/30"</f>
        <v>30/30</v>
      </c>
      <c r="K5752" s="1" t="str">
        <f>"2026-07-29 14:20:24"</f>
        <v>2026-07-29 14:20:24</v>
      </c>
      <c r="L5752" s="1" t="str">
        <f>"2023-12-13 13:31:41"</f>
        <v>2023-12-13 13:31:41</v>
      </c>
      <c r="M5752" s="1" t="s">
        <v>45</v>
      </c>
      <c r="N5752" s="1" t="s">
        <v>38</v>
      </c>
      <c r="O5752" s="1" t="s">
        <v>46</v>
      </c>
    </row>
    <row r="5753" spans="2:15" x14ac:dyDescent="0.3">
      <c r="B5753" s="1" t="s">
        <v>22</v>
      </c>
      <c r="C5753" s="1" t="str">
        <f>"5-2차"</f>
        <v>5-2차</v>
      </c>
      <c r="D5753" s="1" t="str">
        <f>"0131R8525S"</f>
        <v>0131R8525S</v>
      </c>
      <c r="E5753" s="1" t="s">
        <v>10</v>
      </c>
      <c r="F5753" s="1" t="str">
        <f>"fde3:102:1410:4500:0:0:0:26"</f>
        <v>fde3:102:1410:4500:0:0:0:26</v>
      </c>
      <c r="G5753" s="1" t="str">
        <f>"0131R852"</f>
        <v>0131R852</v>
      </c>
      <c r="H5753" s="1" t="str">
        <f>"쌍덕간 40R2"</f>
        <v>쌍덕간 40R2</v>
      </c>
      <c r="I5753" s="1" t="s">
        <v>15</v>
      </c>
      <c r="J5753" s="1" t="str">
        <f>"77/77"</f>
        <v>77/77</v>
      </c>
      <c r="K5753" s="1" t="str">
        <f>"2026-07-29 14:20:33"</f>
        <v>2026-07-29 14:20:33</v>
      </c>
      <c r="L5753" s="1" t="str">
        <f>"2023-12-13 14:12:07"</f>
        <v>2023-12-13 14:12:07</v>
      </c>
      <c r="M5753" s="1" t="s">
        <v>45</v>
      </c>
      <c r="N5753" s="1" t="s">
        <v>38</v>
      </c>
      <c r="O5753" s="1" t="s">
        <v>46</v>
      </c>
    </row>
    <row r="5754" spans="2:15" x14ac:dyDescent="0.3">
      <c r="B5754" s="1" t="s">
        <v>22</v>
      </c>
      <c r="C5754" s="1" t="str">
        <f>"5-2차"</f>
        <v>5-2차</v>
      </c>
      <c r="D5754" s="1" t="str">
        <f>"0131R8625M"</f>
        <v>0131R8625M</v>
      </c>
      <c r="E5754" s="1" t="s">
        <v>10</v>
      </c>
      <c r="F5754" s="1" t="str">
        <f>"fde1:103:4:913e:0:0:0:2"</f>
        <v>fde1:103:4:913e:0:0:0:2</v>
      </c>
      <c r="G5754" s="1" t="str">
        <f>"0131R862"</f>
        <v>0131R862</v>
      </c>
      <c r="H5754" s="1" t="str">
        <f>"쌍덕간 42R6"</f>
        <v>쌍덕간 42R6</v>
      </c>
      <c r="I5754" s="1" t="s">
        <v>15</v>
      </c>
      <c r="J5754" s="1" t="str">
        <f>"14/14"</f>
        <v>14/14</v>
      </c>
      <c r="K5754" s="1" t="str">
        <f>"2026-07-29 14:20:34"</f>
        <v>2026-07-29 14:20:34</v>
      </c>
      <c r="L5754" s="1" t="str">
        <f>"2024-01-08 11:27:47"</f>
        <v>2024-01-08 11:27:47</v>
      </c>
      <c r="M5754" s="1" t="s">
        <v>4</v>
      </c>
      <c r="N5754" s="1" t="s">
        <v>38</v>
      </c>
      <c r="O5754" s="1" t="s">
        <v>46</v>
      </c>
    </row>
    <row r="5755" spans="2:15" x14ac:dyDescent="0.3">
      <c r="B5755" s="1" t="s">
        <v>22</v>
      </c>
      <c r="C5755" s="1" t="str">
        <f>"5-2차"</f>
        <v>5-2차</v>
      </c>
      <c r="D5755" s="1" t="str">
        <f>"0131R8815S"</f>
        <v>0131R8815S</v>
      </c>
      <c r="E5755" s="1" t="s">
        <v>10</v>
      </c>
      <c r="F5755" s="1" t="str">
        <f>"fde3:102:1410:4500:0:0:0:20"</f>
        <v>fde3:102:1410:4500:0:0:0:20</v>
      </c>
      <c r="G5755" s="1" t="str">
        <f>"0131R881"</f>
        <v>0131R881</v>
      </c>
      <c r="H5755" s="1" t="str">
        <f>"쌍덕간 46R1R1L2"</f>
        <v>쌍덕간 46R1R1L2</v>
      </c>
      <c r="I5755" s="1" t="s">
        <v>15</v>
      </c>
      <c r="J5755" s="1" t="str">
        <f>"81/81"</f>
        <v>81/81</v>
      </c>
      <c r="K5755" s="1" t="str">
        <f>"2026-07-29 14:20:19"</f>
        <v>2026-07-29 14:20:19</v>
      </c>
      <c r="L5755" s="1" t="str">
        <f>"2023-12-19 18:09:40"</f>
        <v>2023-12-19 18:09:40</v>
      </c>
      <c r="M5755" s="1" t="s">
        <v>45</v>
      </c>
      <c r="N5755" s="1" t="s">
        <v>38</v>
      </c>
      <c r="O5755" s="1" t="s">
        <v>46</v>
      </c>
    </row>
    <row r="5756" spans="2:15" x14ac:dyDescent="0.3">
      <c r="B5756" s="1" t="s">
        <v>22</v>
      </c>
      <c r="C5756" s="1" t="str">
        <f>"5-2차"</f>
        <v>5-2차</v>
      </c>
      <c r="D5756" s="1" t="str">
        <f>"0131S1615S"</f>
        <v>0131S1615S</v>
      </c>
      <c r="E5756" s="1" t="s">
        <v>10</v>
      </c>
      <c r="F5756" s="1" t="str">
        <f>"fde3:102:1410:4500:0:0:0:25"</f>
        <v>fde3:102:1410:4500:0:0:0:25</v>
      </c>
      <c r="G5756" s="1" t="str">
        <f>"0131S161"</f>
        <v>0131S161</v>
      </c>
      <c r="H5756" s="1" t="str">
        <f>"쌍덕간 42R11R5"</f>
        <v>쌍덕간 42R11R5</v>
      </c>
      <c r="I5756" s="1" t="s">
        <v>15</v>
      </c>
      <c r="J5756" s="1" t="str">
        <f>"45/46"</f>
        <v>45/46</v>
      </c>
      <c r="K5756" s="1" t="str">
        <f>"2026-07-29 14:20:17"</f>
        <v>2026-07-29 14:20:17</v>
      </c>
      <c r="L5756" s="1" t="str">
        <f>"2023-12-18 16:22:05"</f>
        <v>2023-12-18 16:22:05</v>
      </c>
      <c r="M5756" s="1" t="s">
        <v>45</v>
      </c>
      <c r="N5756" s="1" t="s">
        <v>38</v>
      </c>
      <c r="O5756" s="1" t="s">
        <v>46</v>
      </c>
    </row>
    <row r="5757" spans="2:15" x14ac:dyDescent="0.3">
      <c r="B5757" s="1" t="s">
        <v>22</v>
      </c>
      <c r="C5757" s="1" t="str">
        <f>"5-1차"</f>
        <v>5-1차</v>
      </c>
      <c r="D5757" s="1" t="str">
        <f>"0131S1825M"</f>
        <v>0131S1825M</v>
      </c>
      <c r="E5757" s="1" t="s">
        <v>10</v>
      </c>
      <c r="F5757" s="1" t="str">
        <f>"fde2:104:0:10d:0:0:0:2"</f>
        <v>fde2:104:0:10d:0:0:0:2</v>
      </c>
      <c r="G5757" s="1" t="str">
        <f>"0131S182"</f>
        <v>0131S182</v>
      </c>
      <c r="H5757" s="1" t="str">
        <f>"쌍덕간 42R10"</f>
        <v>쌍덕간 42R10</v>
      </c>
      <c r="I5757" s="1" t="s">
        <v>15</v>
      </c>
      <c r="J5757" s="1" t="str">
        <f>"135/142"</f>
        <v>135/142</v>
      </c>
      <c r="K5757" s="1" t="str">
        <f>"2026-07-29 14:20:35"</f>
        <v>2026-07-29 14:20:35</v>
      </c>
      <c r="L5757" s="1" t="str">
        <f>"2022-10-12 08:05:04"</f>
        <v>2022-10-12 08:05:04</v>
      </c>
      <c r="M5757" s="1" t="s">
        <v>42</v>
      </c>
      <c r="N5757" s="1" t="s">
        <v>38</v>
      </c>
      <c r="O5757" s="1" t="s">
        <v>46</v>
      </c>
    </row>
    <row r="5758" spans="2:15" x14ac:dyDescent="0.3">
      <c r="B5758" s="1" t="s">
        <v>22</v>
      </c>
      <c r="C5758" s="1" t="str">
        <f>"5-2차"</f>
        <v>5-2차</v>
      </c>
      <c r="D5758" s="1" t="str">
        <f>"0131S1925M"</f>
        <v>0131S1925M</v>
      </c>
      <c r="E5758" s="1" t="s">
        <v>10</v>
      </c>
      <c r="F5758" s="1" t="str">
        <f>"fde3:102:1410:4500:0:0:0:2d"</f>
        <v>fde3:102:1410:4500:0:0:0:2d</v>
      </c>
      <c r="G5758" s="1" t="str">
        <f>"0131S192"</f>
        <v>0131S192</v>
      </c>
      <c r="H5758" s="1" t="str">
        <f>"쌍덕간 42R13"</f>
        <v>쌍덕간 42R13</v>
      </c>
      <c r="I5758" s="1" t="s">
        <v>15</v>
      </c>
      <c r="J5758" s="1" t="str">
        <f>"62/62"</f>
        <v>62/62</v>
      </c>
      <c r="K5758" s="1" t="str">
        <f>"2026-07-29 14:20:17"</f>
        <v>2026-07-29 14:20:17</v>
      </c>
      <c r="L5758" s="1" t="str">
        <f>"2023-12-18 17:15:28"</f>
        <v>2023-12-18 17:15:28</v>
      </c>
      <c r="M5758" s="1" t="s">
        <v>45</v>
      </c>
      <c r="N5758" s="1" t="s">
        <v>38</v>
      </c>
      <c r="O5758" s="1" t="s">
        <v>46</v>
      </c>
    </row>
    <row r="5759" spans="2:15" x14ac:dyDescent="0.3">
      <c r="B5759" s="1" t="s">
        <v>22</v>
      </c>
      <c r="C5759" s="1" t="str">
        <f>"5-2차"</f>
        <v>5-2차</v>
      </c>
      <c r="D5759" s="1" t="str">
        <f>"0131S2615M"</f>
        <v>0131S2615M</v>
      </c>
      <c r="E5759" s="1" t="s">
        <v>10</v>
      </c>
      <c r="F5759" s="1" t="str">
        <f>"fde3:102:1410:4500:0:0:0:24"</f>
        <v>fde3:102:1410:4500:0:0:0:24</v>
      </c>
      <c r="G5759" s="1" t="str">
        <f>"0131S261"</f>
        <v>0131S261</v>
      </c>
      <c r="H5759" s="1" t="str">
        <f>"쌍덕간 42R11R3"</f>
        <v>쌍덕간 42R11R3</v>
      </c>
      <c r="I5759" s="1" t="s">
        <v>15</v>
      </c>
      <c r="J5759" s="1" t="str">
        <f>"78/78"</f>
        <v>78/78</v>
      </c>
      <c r="K5759" s="1" t="str">
        <f>"2026-07-29 14:20:00"</f>
        <v>2026-07-29 14:20:00</v>
      </c>
      <c r="L5759" s="1" t="str">
        <f>"2023-12-18 16:45:19"</f>
        <v>2023-12-18 16:45:19</v>
      </c>
      <c r="M5759" s="1" t="s">
        <v>45</v>
      </c>
      <c r="N5759" s="1" t="s">
        <v>38</v>
      </c>
      <c r="O5759" s="1" t="s">
        <v>46</v>
      </c>
    </row>
    <row r="5760" spans="2:15" x14ac:dyDescent="0.3">
      <c r="B5760" s="1" t="s">
        <v>22</v>
      </c>
      <c r="C5760" s="1" t="str">
        <f>"5-1차"</f>
        <v>5-1차</v>
      </c>
      <c r="D5760" s="1" t="str">
        <f>"0131S2715M"</f>
        <v>0131S2715M</v>
      </c>
      <c r="E5760" s="1" t="s">
        <v>10</v>
      </c>
      <c r="F5760" s="1" t="str">
        <f>"fde2:104:0:10e:0:0:0:2"</f>
        <v>fde2:104:0:10e:0:0:0:2</v>
      </c>
      <c r="G5760" s="1" t="str">
        <f>"0131S271"</f>
        <v>0131S271</v>
      </c>
      <c r="H5760" s="1" t="str">
        <f>"쌍덕간 42R11R1"</f>
        <v>쌍덕간 42R11R1</v>
      </c>
      <c r="I5760" s="1" t="s">
        <v>15</v>
      </c>
      <c r="J5760" s="1" t="str">
        <f>"37/37"</f>
        <v>37/37</v>
      </c>
      <c r="K5760" s="1" t="str">
        <f>"2026-07-29 14:20:31"</f>
        <v>2026-07-29 14:20:31</v>
      </c>
      <c r="L5760" s="1" t="str">
        <f>"2022-10-12 08:57:49"</f>
        <v>2022-10-12 08:57:49</v>
      </c>
      <c r="M5760" s="1" t="s">
        <v>42</v>
      </c>
      <c r="N5760" s="1" t="s">
        <v>38</v>
      </c>
      <c r="O5760" s="1" t="s">
        <v>46</v>
      </c>
    </row>
    <row r="5761" spans="2:15" x14ac:dyDescent="0.3">
      <c r="B5761" s="1" t="s">
        <v>22</v>
      </c>
      <c r="C5761" s="1" t="str">
        <f>"5-1차"</f>
        <v>5-1차</v>
      </c>
      <c r="D5761" s="1" t="str">
        <f>"0131S7015M"</f>
        <v>0131S7015M</v>
      </c>
      <c r="E5761" s="1" t="s">
        <v>10</v>
      </c>
      <c r="F5761" s="1" t="str">
        <f>"fde2:104:0:112:0:0:0:2"</f>
        <v>fde2:104:0:112:0:0:0:2</v>
      </c>
      <c r="G5761" s="1" t="str">
        <f>"0131S701"</f>
        <v>0131S701</v>
      </c>
      <c r="H5761" s="1" t="str">
        <f>"선덕간 1L24L2"</f>
        <v>선덕간 1L24L2</v>
      </c>
      <c r="I5761" s="1" t="s">
        <v>15</v>
      </c>
      <c r="J5761" s="1" t="str">
        <f>"112/115"</f>
        <v>112/115</v>
      </c>
      <c r="K5761" s="1" t="str">
        <f>"2026-07-29 14:20:35"</f>
        <v>2026-07-29 14:20:35</v>
      </c>
      <c r="L5761" s="1" t="str">
        <f>"2022-10-12 09:49:23"</f>
        <v>2022-10-12 09:49:23</v>
      </c>
      <c r="M5761" s="1" t="s">
        <v>42</v>
      </c>
      <c r="N5761" s="1" t="s">
        <v>38</v>
      </c>
      <c r="O5761" s="1" t="s">
        <v>46</v>
      </c>
    </row>
    <row r="5762" spans="2:15" x14ac:dyDescent="0.3">
      <c r="B5762" s="1" t="s">
        <v>22</v>
      </c>
      <c r="C5762" s="1" t="str">
        <f>"5-2차"</f>
        <v>5-2차</v>
      </c>
      <c r="D5762" s="1" t="str">
        <f>"0131S7315M"</f>
        <v>0131S7315M</v>
      </c>
      <c r="E5762" s="1" t="s">
        <v>10</v>
      </c>
      <c r="F5762" s="1" t="str">
        <f>"fde3:102:1410:4700:0:0:0:f"</f>
        <v>fde3:102:1410:4700:0:0:0:f</v>
      </c>
      <c r="G5762" s="1" t="str">
        <f>"0131S731"</f>
        <v>0131S731</v>
      </c>
      <c r="H5762" s="1" t="str">
        <f>"선덕간 1L26L1"</f>
        <v>선덕간 1L26L1</v>
      </c>
      <c r="I5762" s="1" t="s">
        <v>15</v>
      </c>
      <c r="J5762" s="1" t="str">
        <f>"69/70"</f>
        <v>69/70</v>
      </c>
      <c r="K5762" s="1" t="str">
        <f>"2026-07-29 14:20:30"</f>
        <v>2026-07-29 14:20:30</v>
      </c>
      <c r="L5762" s="1" t="str">
        <f>"2023-12-13 13:40:22"</f>
        <v>2023-12-13 13:40:22</v>
      </c>
      <c r="M5762" s="1" t="s">
        <v>45</v>
      </c>
      <c r="N5762" s="1" t="s">
        <v>38</v>
      </c>
      <c r="O5762" s="1" t="s">
        <v>46</v>
      </c>
    </row>
    <row r="5763" spans="2:15" x14ac:dyDescent="0.3">
      <c r="B5763" s="1" t="s">
        <v>22</v>
      </c>
      <c r="C5763" s="1" t="str">
        <f>"5-2차"</f>
        <v>5-2차</v>
      </c>
      <c r="D5763" s="1" t="str">
        <f>"0131S7415M"</f>
        <v>0131S7415M</v>
      </c>
      <c r="E5763" s="1" t="s">
        <v>10</v>
      </c>
      <c r="F5763" s="1" t="str">
        <f>"fde3:102:1410:4700:0:0:0:10"</f>
        <v>fde3:102:1410:4700:0:0:0:10</v>
      </c>
      <c r="G5763" s="1" t="str">
        <f>"0131S741"</f>
        <v>0131S741</v>
      </c>
      <c r="H5763" s="1" t="str">
        <f>"선덕간 1L26L2"</f>
        <v>선덕간 1L26L2</v>
      </c>
      <c r="I5763" s="1" t="s">
        <v>15</v>
      </c>
      <c r="J5763" s="1" t="str">
        <f>"65/65"</f>
        <v>65/65</v>
      </c>
      <c r="K5763" s="1" t="str">
        <f>"2026-07-29 14:20:34"</f>
        <v>2026-07-29 14:20:34</v>
      </c>
      <c r="L5763" s="1" t="str">
        <f>"2023-12-13 13:12:03"</f>
        <v>2023-12-13 13:12:03</v>
      </c>
      <c r="M5763" s="1" t="s">
        <v>45</v>
      </c>
      <c r="N5763" s="1" t="s">
        <v>38</v>
      </c>
      <c r="O5763" s="1" t="s">
        <v>46</v>
      </c>
    </row>
    <row r="5764" spans="2:15" x14ac:dyDescent="0.3">
      <c r="B5764" s="1" t="s">
        <v>22</v>
      </c>
      <c r="C5764" s="1" t="str">
        <f>"5-2차"</f>
        <v>5-2차</v>
      </c>
      <c r="D5764" s="1" t="str">
        <f>"0131S7525M"</f>
        <v>0131S7525M</v>
      </c>
      <c r="E5764" s="1" t="s">
        <v>10</v>
      </c>
      <c r="F5764" s="1" t="str">
        <f>"fde3:102:1410:4700:0:0:0:11"</f>
        <v>fde3:102:1410:4700:0:0:0:11</v>
      </c>
      <c r="G5764" s="1" t="str">
        <f>"0131S752"</f>
        <v>0131S752</v>
      </c>
      <c r="H5764" s="1" t="str">
        <f>"선덕간 1L26L4"</f>
        <v>선덕간 1L26L4</v>
      </c>
      <c r="I5764" s="1" t="s">
        <v>15</v>
      </c>
      <c r="J5764" s="1" t="str">
        <f>"56/56"</f>
        <v>56/56</v>
      </c>
      <c r="K5764" s="1" t="str">
        <f>"2026-07-29 14:20:30"</f>
        <v>2026-07-29 14:20:30</v>
      </c>
      <c r="L5764" s="1" t="str">
        <f>"2023-12-13 12:44:48"</f>
        <v>2023-12-13 12:44:48</v>
      </c>
      <c r="M5764" s="1" t="s">
        <v>45</v>
      </c>
      <c r="N5764" s="1" t="s">
        <v>38</v>
      </c>
      <c r="O5764" s="1" t="s">
        <v>46</v>
      </c>
    </row>
    <row r="5765" spans="2:15" x14ac:dyDescent="0.3">
      <c r="B5765" s="1" t="s">
        <v>22</v>
      </c>
      <c r="C5765" s="1" t="str">
        <f>"5-1차"</f>
        <v>5-1차</v>
      </c>
      <c r="D5765" s="1" t="str">
        <f>"0131S8125M"</f>
        <v>0131S8125M</v>
      </c>
      <c r="E5765" s="1" t="s">
        <v>10</v>
      </c>
      <c r="F5765" s="1" t="str">
        <f>"fde2:104:0:fd:0:0:0:2"</f>
        <v>fde2:104:0:fd:0:0:0:2</v>
      </c>
      <c r="G5765" s="1" t="str">
        <f>"0131S812"</f>
        <v>0131S812</v>
      </c>
      <c r="H5765" s="1" t="str">
        <f>"선덕간 1L24L1"</f>
        <v>선덕간 1L24L1</v>
      </c>
      <c r="I5765" s="1" t="s">
        <v>15</v>
      </c>
      <c r="J5765" s="1" t="str">
        <f>"100/101"</f>
        <v>100/101</v>
      </c>
      <c r="K5765" s="1" t="str">
        <f>"2026-07-29 14:20:35"</f>
        <v>2026-07-29 14:20:35</v>
      </c>
      <c r="L5765" s="1" t="str">
        <f>"2022-10-12 10:43:56"</f>
        <v>2022-10-12 10:43:56</v>
      </c>
      <c r="M5765" s="1" t="s">
        <v>42</v>
      </c>
      <c r="N5765" s="1" t="s">
        <v>38</v>
      </c>
      <c r="O5765" s="1" t="s">
        <v>46</v>
      </c>
    </row>
    <row r="5766" spans="2:15" x14ac:dyDescent="0.3">
      <c r="B5766" s="1" t="s">
        <v>22</v>
      </c>
      <c r="C5766" s="1" t="str">
        <f>"5-1차"</f>
        <v>5-1차</v>
      </c>
      <c r="D5766" s="1" t="str">
        <f>"0131S8215M"</f>
        <v>0131S8215M</v>
      </c>
      <c r="E5766" s="1" t="s">
        <v>10</v>
      </c>
      <c r="F5766" s="1" t="str">
        <f>"fde3:102:1410:4700:0:0:0:2"</f>
        <v>fde3:102:1410:4700:0:0:0:2</v>
      </c>
      <c r="G5766" s="1" t="str">
        <f>"0131S821"</f>
        <v>0131S821</v>
      </c>
      <c r="H5766" s="1" t="str">
        <f>"선덕간 1L25"</f>
        <v>선덕간 1L25</v>
      </c>
      <c r="I5766" s="1" t="s">
        <v>15</v>
      </c>
      <c r="J5766" s="1" t="str">
        <f>"46/47"</f>
        <v>46/47</v>
      </c>
      <c r="K5766" s="1" t="str">
        <f>"2026-07-29 14:20:35"</f>
        <v>2026-07-29 14:20:35</v>
      </c>
      <c r="L5766" s="1" t="str">
        <f>"2022-12-20 11:45:00"</f>
        <v>2022-12-20 11:45:00</v>
      </c>
      <c r="M5766" s="1" t="s">
        <v>45</v>
      </c>
      <c r="N5766" s="1" t="s">
        <v>38</v>
      </c>
      <c r="O5766" s="1" t="s">
        <v>46</v>
      </c>
    </row>
    <row r="5767" spans="2:15" x14ac:dyDescent="0.3">
      <c r="B5767" s="1" t="s">
        <v>22</v>
      </c>
      <c r="C5767" s="1" t="str">
        <f>"5-2차"</f>
        <v>5-2차</v>
      </c>
      <c r="D5767" s="1" t="str">
        <f>"0131S8315M"</f>
        <v>0131S8315M</v>
      </c>
      <c r="E5767" s="1" t="s">
        <v>10</v>
      </c>
      <c r="F5767" s="1" t="str">
        <f>"fde3:102:1410:4700:0:0:0:e"</f>
        <v>fde3:102:1410:4700:0:0:0:e</v>
      </c>
      <c r="G5767" s="1" t="str">
        <f>"0131S831"</f>
        <v>0131S831</v>
      </c>
      <c r="H5767" s="1" t="str">
        <f>"선덕간 1L26"</f>
        <v>선덕간 1L26</v>
      </c>
      <c r="I5767" s="1" t="s">
        <v>15</v>
      </c>
      <c r="J5767" s="1" t="str">
        <f>"111/111"</f>
        <v>111/111</v>
      </c>
      <c r="K5767" s="1" t="str">
        <f>"2026-07-29 14:20:34"</f>
        <v>2026-07-29 14:20:34</v>
      </c>
      <c r="L5767" s="1" t="str">
        <f>"2023-12-13 14:09:38"</f>
        <v>2023-12-13 14:09:38</v>
      </c>
      <c r="M5767" s="1" t="s">
        <v>45</v>
      </c>
      <c r="N5767" s="1" t="s">
        <v>38</v>
      </c>
      <c r="O5767" s="1" t="s">
        <v>46</v>
      </c>
    </row>
    <row r="5768" spans="2:15" x14ac:dyDescent="0.3">
      <c r="B5768" s="1" t="s">
        <v>22</v>
      </c>
      <c r="C5768" s="1" t="str">
        <f>"5-1차"</f>
        <v>5-1차</v>
      </c>
      <c r="D5768" s="1" t="str">
        <f>"0131S9125S"</f>
        <v>0131S9125S</v>
      </c>
      <c r="E5768" s="1" t="s">
        <v>10</v>
      </c>
      <c r="F5768" s="1" t="str">
        <f>"fde3:102:1410:4700:0:0:0:3"</f>
        <v>fde3:102:1410:4700:0:0:0:3</v>
      </c>
      <c r="G5768" s="1" t="str">
        <f>"0131S912"</f>
        <v>0131S912</v>
      </c>
      <c r="H5768" s="1" t="str">
        <f>"선덕간 1L24"</f>
        <v>선덕간 1L24</v>
      </c>
      <c r="I5768" s="1" t="s">
        <v>15</v>
      </c>
      <c r="J5768" s="1" t="str">
        <f>"62/63"</f>
        <v>62/63</v>
      </c>
      <c r="K5768" s="1" t="str">
        <f>"2026-07-29 14:20:35"</f>
        <v>2026-07-29 14:20:35</v>
      </c>
      <c r="L5768" s="1" t="str">
        <f>"2022-10-27 11:02:36"</f>
        <v>2022-10-27 11:02:36</v>
      </c>
      <c r="M5768" s="1" t="s">
        <v>45</v>
      </c>
      <c r="N5768" s="1" t="s">
        <v>38</v>
      </c>
      <c r="O5768" s="1" t="s">
        <v>46</v>
      </c>
    </row>
    <row r="5769" spans="2:15" x14ac:dyDescent="0.3">
      <c r="B5769" s="1" t="s">
        <v>22</v>
      </c>
      <c r="C5769" s="1" t="str">
        <f>"5-1차"</f>
        <v>5-1차</v>
      </c>
      <c r="D5769" s="1" t="str">
        <f>"0131S9555M"</f>
        <v>0131S9555M</v>
      </c>
      <c r="E5769" s="1" t="s">
        <v>10</v>
      </c>
      <c r="F5769" s="1" t="str">
        <f>"fde2:104:0:10f:0:0:0:2"</f>
        <v>fde2:104:0:10f:0:0:0:2</v>
      </c>
      <c r="G5769" s="1" t="str">
        <f>"0131S955"</f>
        <v>0131S955</v>
      </c>
      <c r="H5769" s="1" t="str">
        <f>"선덕간 1L30"</f>
        <v>선덕간 1L30</v>
      </c>
      <c r="I5769" s="1" t="s">
        <v>15</v>
      </c>
      <c r="J5769" s="1" t="str">
        <f>"88/91"</f>
        <v>88/91</v>
      </c>
      <c r="K5769" s="1" t="str">
        <f>"2026-07-29 14:20:50"</f>
        <v>2026-07-29 14:20:50</v>
      </c>
      <c r="L5769" s="1" t="str">
        <f>"2022-10-12 15:56:23"</f>
        <v>2022-10-12 15:56:23</v>
      </c>
      <c r="M5769" s="1" t="s">
        <v>42</v>
      </c>
      <c r="N5769" s="1" t="s">
        <v>38</v>
      </c>
      <c r="O5769" s="1" t="s">
        <v>46</v>
      </c>
    </row>
    <row r="5770" spans="2:15" x14ac:dyDescent="0.3">
      <c r="B5770" s="1" t="s">
        <v>22</v>
      </c>
      <c r="C5770" s="1" t="str">
        <f>"5-2차"</f>
        <v>5-2차</v>
      </c>
      <c r="D5770" s="1" t="str">
        <f>"0131S9655M"</f>
        <v>0131S9655M</v>
      </c>
      <c r="E5770" s="1" t="s">
        <v>10</v>
      </c>
      <c r="F5770" s="1" t="str">
        <f>"fde3:102:1410:4700:0:0:0:12"</f>
        <v>fde3:102:1410:4700:0:0:0:12</v>
      </c>
      <c r="G5770" s="1" t="str">
        <f>"0131S965"</f>
        <v>0131S965</v>
      </c>
      <c r="H5770" s="1" t="str">
        <f>"선덕간 1L31"</f>
        <v>선덕간 1L31</v>
      </c>
      <c r="I5770" s="1" t="s">
        <v>15</v>
      </c>
      <c r="J5770" s="1" t="str">
        <f>"39/39"</f>
        <v>39/39</v>
      </c>
      <c r="K5770" s="1" t="str">
        <f>"2026-07-29 14:20:34"</f>
        <v>2026-07-29 14:20:34</v>
      </c>
      <c r="L5770" s="1" t="str">
        <f>"2023-12-13 12:08:34"</f>
        <v>2023-12-13 12:08:34</v>
      </c>
      <c r="M5770" s="1" t="s">
        <v>45</v>
      </c>
      <c r="N5770" s="1" t="s">
        <v>38</v>
      </c>
      <c r="O5770" s="1" t="s">
        <v>46</v>
      </c>
    </row>
    <row r="5771" spans="2:15" x14ac:dyDescent="0.3">
      <c r="B5771" s="1" t="s">
        <v>22</v>
      </c>
      <c r="C5771" s="1" t="str">
        <f t="shared" ref="C5771:C5777" si="292">"2차"</f>
        <v>2차</v>
      </c>
      <c r="D5771" s="1" t="str">
        <f>"0131W71220"</f>
        <v>0131W71220</v>
      </c>
      <c r="E5771" s="1" t="s">
        <v>14</v>
      </c>
      <c r="F5771" s="1" t="str">
        <f>"10.10.4.170"</f>
        <v>10.10.4.170</v>
      </c>
      <c r="G5771" s="1" t="str">
        <f>"0131W712"</f>
        <v>0131W712</v>
      </c>
      <c r="H5771" s="1" t="str">
        <f>"자연간 17"</f>
        <v>자연간 17</v>
      </c>
      <c r="I5771" s="1" t="s">
        <v>8</v>
      </c>
      <c r="J5771" s="1" t="str">
        <f>"0/0"</f>
        <v>0/0</v>
      </c>
      <c r="K5771" s="1" t="str">
        <f>"2026-07-29 13:18:02"</f>
        <v>2026-07-29 13:18:02</v>
      </c>
      <c r="L5771" s="1" t="str">
        <f>"2017-07-05 15:08:24"</f>
        <v>2017-07-05 15:08:24</v>
      </c>
      <c r="M5771" s="1" t="s">
        <v>1</v>
      </c>
      <c r="N5771" s="1" t="s">
        <v>38</v>
      </c>
      <c r="O5771" s="1" t="s">
        <v>44</v>
      </c>
    </row>
    <row r="5772" spans="2:15" x14ac:dyDescent="0.3">
      <c r="B5772" s="1" t="s">
        <v>22</v>
      </c>
      <c r="C5772" s="1" t="str">
        <f t="shared" si="292"/>
        <v>2차</v>
      </c>
      <c r="D5772" s="1" t="str">
        <f>"0131W71321"</f>
        <v>0131W71321</v>
      </c>
      <c r="E5772" s="1" t="s">
        <v>10</v>
      </c>
      <c r="F5772" s="1" t="str">
        <f>"10.10.4.171"</f>
        <v>10.10.4.171</v>
      </c>
      <c r="G5772" s="1" t="str">
        <f>"0131W713"</f>
        <v>0131W713</v>
      </c>
      <c r="H5772" s="1" t="str">
        <f>"자연간 17L1"</f>
        <v>자연간 17L1</v>
      </c>
      <c r="I5772" s="1" t="s">
        <v>8</v>
      </c>
      <c r="J5772" s="1" t="str">
        <f>"12/12"</f>
        <v>12/12</v>
      </c>
      <c r="K5772" s="1" t="str">
        <f>"2026-07-29 13:18:01"</f>
        <v>2026-07-29 13:18:01</v>
      </c>
      <c r="L5772" s="1" t="str">
        <f>"2017-07-05 15:03:39"</f>
        <v>2017-07-05 15:03:39</v>
      </c>
      <c r="M5772" s="1" t="s">
        <v>1</v>
      </c>
      <c r="N5772" s="1" t="s">
        <v>38</v>
      </c>
      <c r="O5772" s="1" t="s">
        <v>46</v>
      </c>
    </row>
    <row r="5773" spans="2:15" x14ac:dyDescent="0.3">
      <c r="B5773" s="1" t="s">
        <v>22</v>
      </c>
      <c r="C5773" s="1" t="str">
        <f t="shared" si="292"/>
        <v>2차</v>
      </c>
      <c r="D5773" s="1" t="str">
        <f>"0131W77129"</f>
        <v>0131W77129</v>
      </c>
      <c r="E5773" s="1" t="s">
        <v>10</v>
      </c>
      <c r="F5773" s="1" t="str">
        <f>"10.14.8.184"</f>
        <v>10.14.8.184</v>
      </c>
      <c r="G5773" s="1" t="str">
        <f>"0131W771"</f>
        <v>0131W771</v>
      </c>
      <c r="H5773" s="1" t="str">
        <f>"자연간 22C3"</f>
        <v>자연간 22C3</v>
      </c>
      <c r="I5773" s="1" t="s">
        <v>8</v>
      </c>
      <c r="J5773" s="1" t="str">
        <f>"5/5"</f>
        <v>5/5</v>
      </c>
      <c r="K5773" s="1" t="str">
        <f>"2026-07-29 13:18:03"</f>
        <v>2026-07-29 13:18:03</v>
      </c>
      <c r="L5773" s="1" t="str">
        <f>"2017-07-25 10:21:04"</f>
        <v>2017-07-25 10:21:04</v>
      </c>
      <c r="M5773" s="1" t="s">
        <v>3</v>
      </c>
      <c r="N5773" s="1" t="s">
        <v>38</v>
      </c>
      <c r="O5773" s="1" t="s">
        <v>46</v>
      </c>
    </row>
    <row r="5774" spans="2:15" x14ac:dyDescent="0.3">
      <c r="B5774" s="1" t="s">
        <v>22</v>
      </c>
      <c r="C5774" s="1" t="str">
        <f t="shared" si="292"/>
        <v>2차</v>
      </c>
      <c r="D5774" s="1" t="str">
        <f>"0131W86129"</f>
        <v>0131W86129</v>
      </c>
      <c r="E5774" s="1" t="s">
        <v>10</v>
      </c>
      <c r="F5774" s="1" t="str">
        <f>"10.107.129.168"</f>
        <v>10.107.129.168</v>
      </c>
      <c r="G5774" s="1" t="str">
        <f>"0131W861"</f>
        <v>0131W861</v>
      </c>
      <c r="H5774" s="1" t="str">
        <f>"자연간 23"</f>
        <v>자연간 23</v>
      </c>
      <c r="I5774" s="1" t="s">
        <v>8</v>
      </c>
      <c r="J5774" s="1" t="str">
        <f>"23/23"</f>
        <v>23/23</v>
      </c>
      <c r="K5774" s="1" t="str">
        <f>"2026-07-29 13:18:02"</f>
        <v>2026-07-29 13:18:02</v>
      </c>
      <c r="L5774" s="1" t="str">
        <f>"2017-07-18 12:03:12"</f>
        <v>2017-07-18 12:03:12</v>
      </c>
      <c r="M5774" s="1" t="s">
        <v>45</v>
      </c>
      <c r="N5774" s="1" t="s">
        <v>38</v>
      </c>
      <c r="O5774" s="1" t="s">
        <v>46</v>
      </c>
    </row>
    <row r="5775" spans="2:15" x14ac:dyDescent="0.3">
      <c r="B5775" s="1" t="s">
        <v>22</v>
      </c>
      <c r="C5775" s="1" t="str">
        <f t="shared" si="292"/>
        <v>2차</v>
      </c>
      <c r="D5775" s="1" t="str">
        <f>"0131X15129"</f>
        <v>0131X15129</v>
      </c>
      <c r="E5775" s="1" t="s">
        <v>10</v>
      </c>
      <c r="F5775" s="1" t="str">
        <f>"10.12.128.93"</f>
        <v>10.12.128.93</v>
      </c>
      <c r="G5775" s="1" t="str">
        <f>"0131X151"</f>
        <v>0131X151</v>
      </c>
      <c r="H5775" s="1" t="str">
        <f>"자연간 32R11"</f>
        <v>자연간 32R11</v>
      </c>
      <c r="I5775" s="1" t="s">
        <v>8</v>
      </c>
      <c r="J5775" s="1" t="str">
        <f>"19/19"</f>
        <v>19/19</v>
      </c>
      <c r="K5775" s="1" t="str">
        <f>"2026-07-29 13:18:01"</f>
        <v>2026-07-29 13:18:01</v>
      </c>
      <c r="L5775" s="1" t="str">
        <f>"2017-07-25 12:51:02"</f>
        <v>2017-07-25 12:51:02</v>
      </c>
      <c r="M5775" s="1" t="s">
        <v>0</v>
      </c>
      <c r="N5775" s="1" t="s">
        <v>38</v>
      </c>
      <c r="O5775" s="1" t="s">
        <v>46</v>
      </c>
    </row>
    <row r="5776" spans="2:15" x14ac:dyDescent="0.3">
      <c r="B5776" s="1" t="s">
        <v>22</v>
      </c>
      <c r="C5776" s="1" t="str">
        <f t="shared" si="292"/>
        <v>2차</v>
      </c>
      <c r="D5776" s="1" t="str">
        <f>"0131X17129"</f>
        <v>0131X17129</v>
      </c>
      <c r="E5776" s="1" t="s">
        <v>10</v>
      </c>
      <c r="F5776" s="1" t="str">
        <f>"10.12.133.126"</f>
        <v>10.12.133.126</v>
      </c>
      <c r="G5776" s="1" t="str">
        <f>"0131X171"</f>
        <v>0131X171</v>
      </c>
      <c r="H5776" s="1" t="str">
        <f>"자연간 27"</f>
        <v>자연간 27</v>
      </c>
      <c r="I5776" s="1" t="s">
        <v>8</v>
      </c>
      <c r="J5776" s="1" t="str">
        <f>"15/15"</f>
        <v>15/15</v>
      </c>
      <c r="K5776" s="1" t="str">
        <f>"2026-07-29 13:18:04"</f>
        <v>2026-07-29 13:18:04</v>
      </c>
      <c r="L5776" s="1" t="str">
        <f>"2017-07-26 14:51:02"</f>
        <v>2017-07-26 14:51:02</v>
      </c>
      <c r="M5776" s="1" t="s">
        <v>0</v>
      </c>
      <c r="N5776" s="1" t="s">
        <v>38</v>
      </c>
      <c r="O5776" s="1" t="s">
        <v>46</v>
      </c>
    </row>
    <row r="5777" spans="2:15" x14ac:dyDescent="0.3">
      <c r="B5777" s="1" t="s">
        <v>22</v>
      </c>
      <c r="C5777" s="1" t="str">
        <f t="shared" si="292"/>
        <v>2차</v>
      </c>
      <c r="D5777" s="1" t="str">
        <f>"0131X66429"</f>
        <v>0131X66429</v>
      </c>
      <c r="E5777" s="1" t="s">
        <v>10</v>
      </c>
      <c r="F5777" s="1" t="str">
        <f>"10.10.2.162"</f>
        <v>10.10.2.162</v>
      </c>
      <c r="G5777" s="1" t="str">
        <f>"0131X664"</f>
        <v>0131X664</v>
      </c>
      <c r="H5777" s="1" t="str">
        <f>"자연간 32H1"</f>
        <v>자연간 32H1</v>
      </c>
      <c r="I5777" s="1" t="s">
        <v>8</v>
      </c>
      <c r="J5777" s="1" t="str">
        <f>"19/30"</f>
        <v>19/30</v>
      </c>
      <c r="K5777" s="1" t="str">
        <f>"2026-07-29 13:18:02"</f>
        <v>2026-07-29 13:18:02</v>
      </c>
      <c r="L5777" s="1" t="str">
        <f>"2017-08-19 14:01:03"</f>
        <v>2017-08-19 14:01:03</v>
      </c>
      <c r="M5777" s="1" t="s">
        <v>1</v>
      </c>
      <c r="N5777" s="1" t="s">
        <v>38</v>
      </c>
      <c r="O5777" s="1" t="s">
        <v>46</v>
      </c>
    </row>
    <row r="5778" spans="2:15" x14ac:dyDescent="0.3">
      <c r="B5778" s="1" t="s">
        <v>22</v>
      </c>
      <c r="C5778" s="1" t="str">
        <f>"4차"</f>
        <v>4차</v>
      </c>
      <c r="D5778" s="1" t="str">
        <f>"0131X68229"</f>
        <v>0131X68229</v>
      </c>
      <c r="E5778" s="1" t="s">
        <v>10</v>
      </c>
      <c r="F5778" s="1" t="str">
        <f>"10.10.2.194"</f>
        <v>10.10.2.194</v>
      </c>
      <c r="G5778" s="1" t="str">
        <f>"0131X682"</f>
        <v>0131X682</v>
      </c>
      <c r="H5778" s="1" t="str">
        <f>"자연간 34H1"</f>
        <v>자연간 34H1</v>
      </c>
      <c r="I5778" s="1" t="s">
        <v>8</v>
      </c>
      <c r="J5778" s="1" t="str">
        <f>"29/29"</f>
        <v>29/29</v>
      </c>
      <c r="K5778" s="1" t="str">
        <f>"2026-07-29 13:18:02"</f>
        <v>2026-07-29 13:18:02</v>
      </c>
      <c r="L5778" s="1" t="str">
        <f>"2017-06-27 03:51:03"</f>
        <v>2017-06-27 03:51:03</v>
      </c>
      <c r="M5778" s="1" t="s">
        <v>1</v>
      </c>
      <c r="N5778" s="1" t="s">
        <v>38</v>
      </c>
      <c r="O5778" s="1" t="s">
        <v>46</v>
      </c>
    </row>
    <row r="5779" spans="2:15" x14ac:dyDescent="0.3">
      <c r="B5779" s="1" t="s">
        <v>22</v>
      </c>
      <c r="C5779" s="1" t="str">
        <f>"2차"</f>
        <v>2차</v>
      </c>
      <c r="D5779" s="1" t="str">
        <f>"0131X71229"</f>
        <v>0131X71229</v>
      </c>
      <c r="E5779" s="1" t="s">
        <v>10</v>
      </c>
      <c r="F5779" s="1" t="str">
        <f>"10.107.249.41"</f>
        <v>10.107.249.41</v>
      </c>
      <c r="G5779" s="1" t="str">
        <f>"0131X712"</f>
        <v>0131X712</v>
      </c>
      <c r="H5779" s="1" t="str">
        <f>"쌍이간 15L11"</f>
        <v>쌍이간 15L11</v>
      </c>
      <c r="I5779" s="1" t="s">
        <v>8</v>
      </c>
      <c r="J5779" s="1" t="str">
        <f>"18/18"</f>
        <v>18/18</v>
      </c>
      <c r="K5779" s="1" t="str">
        <f>"2026-07-29 13:18:03"</f>
        <v>2026-07-29 13:18:03</v>
      </c>
      <c r="L5779" s="1" t="str">
        <f>"2017-07-18 10:54:57"</f>
        <v>2017-07-18 10:54:57</v>
      </c>
      <c r="M5779" s="1" t="s">
        <v>45</v>
      </c>
      <c r="N5779" s="1" t="s">
        <v>38</v>
      </c>
      <c r="O5779" s="1" t="s">
        <v>46</v>
      </c>
    </row>
    <row r="5780" spans="2:15" x14ac:dyDescent="0.3">
      <c r="B5780" s="1" t="s">
        <v>22</v>
      </c>
      <c r="C5780" s="1" t="str">
        <f>"2차"</f>
        <v>2차</v>
      </c>
      <c r="D5780" s="1" t="str">
        <f>"0131X95229"</f>
        <v>0131X95229</v>
      </c>
      <c r="E5780" s="1" t="s">
        <v>10</v>
      </c>
      <c r="F5780" s="1" t="str">
        <f>"10.107.137.87"</f>
        <v>10.107.137.87</v>
      </c>
      <c r="G5780" s="1" t="str">
        <f>"0131X952"</f>
        <v>0131X952</v>
      </c>
      <c r="H5780" s="1" t="str">
        <f>"노해간 1L12"</f>
        <v>노해간 1L12</v>
      </c>
      <c r="I5780" s="1" t="s">
        <v>8</v>
      </c>
      <c r="J5780" s="1" t="str">
        <f>"24/24"</f>
        <v>24/24</v>
      </c>
      <c r="K5780" s="1" t="str">
        <f>"2026-07-29 13:18:02"</f>
        <v>2026-07-29 13:18:02</v>
      </c>
      <c r="L5780" s="1" t="str">
        <f>"2017-07-27 13:51:02"</f>
        <v>2017-07-27 13:51:02</v>
      </c>
      <c r="M5780" s="1" t="s">
        <v>45</v>
      </c>
      <c r="N5780" s="1" t="s">
        <v>38</v>
      </c>
      <c r="O5780" s="1" t="s">
        <v>46</v>
      </c>
    </row>
    <row r="5781" spans="2:15" x14ac:dyDescent="0.3">
      <c r="B5781" s="1" t="s">
        <v>22</v>
      </c>
      <c r="C5781" s="1" t="str">
        <f>"2차"</f>
        <v>2차</v>
      </c>
      <c r="D5781" s="1" t="str">
        <f>"0131X96529"</f>
        <v>0131X96529</v>
      </c>
      <c r="E5781" s="1" t="s">
        <v>10</v>
      </c>
      <c r="F5781" s="1" t="str">
        <f>"10.10.1.106"</f>
        <v>10.10.1.106</v>
      </c>
      <c r="G5781" s="1" t="str">
        <f>"0131X965"</f>
        <v>0131X965</v>
      </c>
      <c r="H5781" s="1" t="str">
        <f>"노해간 1L9R4L1"</f>
        <v>노해간 1L9R4L1</v>
      </c>
      <c r="I5781" s="1" t="s">
        <v>8</v>
      </c>
      <c r="J5781" s="1" t="str">
        <f>"8/8"</f>
        <v>8/8</v>
      </c>
      <c r="K5781" s="1" t="str">
        <f>"2026-07-29 13:18:01"</f>
        <v>2026-07-29 13:18:01</v>
      </c>
      <c r="L5781" s="1" t="str">
        <f>"2017-06-28 17:32:26"</f>
        <v>2017-06-28 17:32:26</v>
      </c>
      <c r="M5781" s="1" t="s">
        <v>1</v>
      </c>
      <c r="N5781" s="1" t="s">
        <v>38</v>
      </c>
      <c r="O5781" s="1" t="s">
        <v>46</v>
      </c>
    </row>
    <row r="5782" spans="2:15" x14ac:dyDescent="0.3">
      <c r="B5782" s="1" t="s">
        <v>22</v>
      </c>
      <c r="C5782" s="1" t="str">
        <f>"2차"</f>
        <v>2차</v>
      </c>
      <c r="D5782" s="1" t="str">
        <f>"0131X97129"</f>
        <v>0131X97129</v>
      </c>
      <c r="E5782" s="1" t="s">
        <v>10</v>
      </c>
      <c r="F5782" s="1" t="str">
        <f>"10.12.128.120"</f>
        <v>10.12.128.120</v>
      </c>
      <c r="G5782" s="1" t="str">
        <f>"0131X971"</f>
        <v>0131X971</v>
      </c>
      <c r="H5782" s="1" t="str">
        <f>"노해간 1L9R6"</f>
        <v>노해간 1L9R6</v>
      </c>
      <c r="I5782" s="1" t="s">
        <v>8</v>
      </c>
      <c r="J5782" s="1" t="str">
        <f>"19/19"</f>
        <v>19/19</v>
      </c>
      <c r="K5782" s="1" t="str">
        <f>"2026-07-29 13:18:02"</f>
        <v>2026-07-29 13:18:02</v>
      </c>
      <c r="L5782" s="1" t="str">
        <f>"2017-07-27 14:41:03"</f>
        <v>2017-07-27 14:41:03</v>
      </c>
      <c r="M5782" s="1" t="s">
        <v>0</v>
      </c>
      <c r="N5782" s="1" t="s">
        <v>38</v>
      </c>
      <c r="O5782" s="1" t="s">
        <v>46</v>
      </c>
    </row>
    <row r="5783" spans="2:15" x14ac:dyDescent="0.3">
      <c r="B5783" s="1" t="s">
        <v>22</v>
      </c>
      <c r="C5783" s="1" t="str">
        <f t="shared" ref="C5783:C5789" si="293">"5-2차"</f>
        <v>5-2차</v>
      </c>
      <c r="D5783" s="1" t="str">
        <f>"0131Y0035M"</f>
        <v>0131Y0035M</v>
      </c>
      <c r="E5783" s="1" t="s">
        <v>10</v>
      </c>
      <c r="F5783" s="1" t="str">
        <f>"fde3:102:1410:4500:0:0:0:28"</f>
        <v>fde3:102:1410:4500:0:0:0:28</v>
      </c>
      <c r="G5783" s="1" t="str">
        <f>"0131Y003"</f>
        <v>0131Y003</v>
      </c>
      <c r="H5783" s="1" t="str">
        <f>"선덕간 1L22"</f>
        <v>선덕간 1L22</v>
      </c>
      <c r="I5783" s="1" t="s">
        <v>15</v>
      </c>
      <c r="J5783" s="1" t="str">
        <f>"96/96"</f>
        <v>96/96</v>
      </c>
      <c r="K5783" s="1" t="str">
        <f>"2026-07-29 14:20:49"</f>
        <v>2026-07-29 14:20:49</v>
      </c>
      <c r="L5783" s="1" t="str">
        <f>"2023-12-13 11:42:15"</f>
        <v>2023-12-13 11:42:15</v>
      </c>
      <c r="M5783" s="1" t="s">
        <v>45</v>
      </c>
      <c r="N5783" s="1" t="s">
        <v>38</v>
      </c>
      <c r="O5783" s="1" t="s">
        <v>46</v>
      </c>
    </row>
    <row r="5784" spans="2:15" x14ac:dyDescent="0.3">
      <c r="B5784" s="1" t="s">
        <v>22</v>
      </c>
      <c r="C5784" s="1" t="str">
        <f t="shared" si="293"/>
        <v>5-2차</v>
      </c>
      <c r="D5784" s="1" t="str">
        <f>"0131Y0225M"</f>
        <v>0131Y0225M</v>
      </c>
      <c r="E5784" s="1" t="s">
        <v>10</v>
      </c>
      <c r="F5784" s="1" t="str">
        <f>"fde3:102:1410:4700:0:0:0:c"</f>
        <v>fde3:102:1410:4700:0:0:0:c</v>
      </c>
      <c r="G5784" s="1" t="str">
        <f>"0131Y022"</f>
        <v>0131Y022</v>
      </c>
      <c r="H5784" s="1" t="str">
        <f>"선덕간 1L23R1"</f>
        <v>선덕간 1L23R1</v>
      </c>
      <c r="I5784" s="1" t="s">
        <v>15</v>
      </c>
      <c r="J5784" s="1" t="str">
        <f>"114/114"</f>
        <v>114/114</v>
      </c>
      <c r="K5784" s="1" t="str">
        <f>"2026-07-29 14:20:34"</f>
        <v>2026-07-29 14:20:34</v>
      </c>
      <c r="L5784" s="1" t="str">
        <f>"2024-01-18 11:39:22"</f>
        <v>2024-01-18 11:39:22</v>
      </c>
      <c r="M5784" s="1" t="s">
        <v>45</v>
      </c>
      <c r="N5784" s="1" t="s">
        <v>38</v>
      </c>
      <c r="O5784" s="1" t="s">
        <v>46</v>
      </c>
    </row>
    <row r="5785" spans="2:15" x14ac:dyDescent="0.3">
      <c r="B5785" s="1" t="s">
        <v>22</v>
      </c>
      <c r="C5785" s="1" t="str">
        <f t="shared" si="293"/>
        <v>5-2차</v>
      </c>
      <c r="D5785" s="1" t="str">
        <f>"0131Y0315M"</f>
        <v>0131Y0315M</v>
      </c>
      <c r="E5785" s="1" t="s">
        <v>10</v>
      </c>
      <c r="F5785" s="1" t="str">
        <f>"fde3:102:1410:4700:0:0:0:d"</f>
        <v>fde3:102:1410:4700:0:0:0:d</v>
      </c>
      <c r="G5785" s="1" t="str">
        <f>"0131Y031"</f>
        <v>0131Y031</v>
      </c>
      <c r="H5785" s="1" t="str">
        <f>"선덕간 1L23R3"</f>
        <v>선덕간 1L23R3</v>
      </c>
      <c r="I5785" s="1" t="s">
        <v>15</v>
      </c>
      <c r="J5785" s="1" t="str">
        <f>"58/60"</f>
        <v>58/60</v>
      </c>
      <c r="K5785" s="1" t="str">
        <f>"2026-07-29 14:20:24"</f>
        <v>2026-07-29 14:20:24</v>
      </c>
      <c r="L5785" s="1" t="str">
        <f>"2023-12-13 11:10:25"</f>
        <v>2023-12-13 11:10:25</v>
      </c>
      <c r="M5785" s="1" t="s">
        <v>45</v>
      </c>
      <c r="N5785" s="1" t="s">
        <v>38</v>
      </c>
      <c r="O5785" s="1" t="s">
        <v>46</v>
      </c>
    </row>
    <row r="5786" spans="2:15" x14ac:dyDescent="0.3">
      <c r="B5786" s="1" t="s">
        <v>22</v>
      </c>
      <c r="C5786" s="1" t="str">
        <f t="shared" si="293"/>
        <v>5-2차</v>
      </c>
      <c r="D5786" s="1" t="str">
        <f>"0131Y4025S"</f>
        <v>0131Y4025S</v>
      </c>
      <c r="E5786" s="1" t="s">
        <v>10</v>
      </c>
      <c r="F5786" s="1" t="str">
        <f>"fde3:102:1410:4800:0:0:0:5"</f>
        <v>fde3:102:1410:4800:0:0:0:5</v>
      </c>
      <c r="G5786" s="1" t="str">
        <f>"0131Y402"</f>
        <v>0131Y402</v>
      </c>
      <c r="H5786" s="1" t="str">
        <f>"선덕간 4L10R6"</f>
        <v>선덕간 4L10R6</v>
      </c>
      <c r="I5786" s="1" t="s">
        <v>15</v>
      </c>
      <c r="J5786" s="1" t="str">
        <f>"50/50"</f>
        <v>50/50</v>
      </c>
      <c r="K5786" s="1" t="str">
        <f>"2026-07-29 14:21:03"</f>
        <v>2026-07-29 14:21:03</v>
      </c>
      <c r="L5786" s="1" t="str">
        <f>"2024-01-10 14:01:28"</f>
        <v>2024-01-10 14:01:28</v>
      </c>
      <c r="M5786" s="1" t="s">
        <v>45</v>
      </c>
      <c r="N5786" s="1" t="s">
        <v>38</v>
      </c>
      <c r="O5786" s="1" t="s">
        <v>46</v>
      </c>
    </row>
    <row r="5787" spans="2:15" x14ac:dyDescent="0.3">
      <c r="B5787" s="1" t="s">
        <v>22</v>
      </c>
      <c r="C5787" s="1" t="str">
        <f t="shared" si="293"/>
        <v>5-2차</v>
      </c>
      <c r="D5787" s="1" t="str">
        <f>"0131Y5015S"</f>
        <v>0131Y5015S</v>
      </c>
      <c r="E5787" s="1" t="s">
        <v>10</v>
      </c>
      <c r="F5787" s="1" t="str">
        <f>"fde3:102:1410:4800:0:0:0:4"</f>
        <v>fde3:102:1410:4800:0:0:0:4</v>
      </c>
      <c r="G5787" s="1" t="str">
        <f>"0131Y501"</f>
        <v>0131Y501</v>
      </c>
      <c r="H5787" s="1" t="str">
        <f>"선덕간 4L10R7"</f>
        <v>선덕간 4L10R7</v>
      </c>
      <c r="I5787" s="1" t="s">
        <v>15</v>
      </c>
      <c r="J5787" s="1" t="str">
        <f>"43/43"</f>
        <v>43/43</v>
      </c>
      <c r="K5787" s="1" t="str">
        <f>"2026-07-29 14:20:17"</f>
        <v>2026-07-29 14:20:17</v>
      </c>
      <c r="L5787" s="1" t="str">
        <f>"2024-01-10 13:55:56"</f>
        <v>2024-01-10 13:55:56</v>
      </c>
      <c r="M5787" s="1" t="s">
        <v>45</v>
      </c>
      <c r="N5787" s="1" t="s">
        <v>38</v>
      </c>
      <c r="O5787" s="1" t="s">
        <v>46</v>
      </c>
    </row>
    <row r="5788" spans="2:15" x14ac:dyDescent="0.3">
      <c r="B5788" s="1" t="s">
        <v>22</v>
      </c>
      <c r="C5788" s="1" t="str">
        <f t="shared" si="293"/>
        <v>5-2차</v>
      </c>
      <c r="D5788" s="1" t="str">
        <f>"0131Y6025M"</f>
        <v>0131Y6025M</v>
      </c>
      <c r="E5788" s="1" t="s">
        <v>10</v>
      </c>
      <c r="F5788" s="1" t="str">
        <f>"fde1:103:4:9284:0:0:0:2"</f>
        <v>fde1:103:4:9284:0:0:0:2</v>
      </c>
      <c r="G5788" s="1" t="str">
        <f>"0131Y602"</f>
        <v>0131Y602</v>
      </c>
      <c r="H5788" s="1" t="str">
        <f>"선덕간 4L10R9"</f>
        <v>선덕간 4L10R9</v>
      </c>
      <c r="I5788" s="1" t="s">
        <v>15</v>
      </c>
      <c r="J5788" s="1" t="str">
        <f>"72/72"</f>
        <v>72/72</v>
      </c>
      <c r="K5788" s="1" t="str">
        <f>"2026-07-29 14:20:17"</f>
        <v>2026-07-29 14:20:17</v>
      </c>
      <c r="L5788" s="1" t="str">
        <f>"2024-01-08 11:27:04"</f>
        <v>2024-01-08 11:27:04</v>
      </c>
      <c r="M5788" s="1" t="s">
        <v>4</v>
      </c>
      <c r="N5788" s="1" t="s">
        <v>38</v>
      </c>
      <c r="O5788" s="1" t="s">
        <v>46</v>
      </c>
    </row>
    <row r="5789" spans="2:15" x14ac:dyDescent="0.3">
      <c r="B5789" s="1" t="s">
        <v>22</v>
      </c>
      <c r="C5789" s="1" t="str">
        <f t="shared" si="293"/>
        <v>5-2차</v>
      </c>
      <c r="D5789" s="1" t="str">
        <f>"0131Y6125M"</f>
        <v>0131Y6125M</v>
      </c>
      <c r="E5789" s="1" t="s">
        <v>10</v>
      </c>
      <c r="F5789" s="1" t="str">
        <f>"fde3:102:1410:4800:0:0:0:3"</f>
        <v>fde3:102:1410:4800:0:0:0:3</v>
      </c>
      <c r="G5789" s="1" t="str">
        <f>"0131Y612"</f>
        <v>0131Y612</v>
      </c>
      <c r="H5789" s="1" t="str">
        <f>"선덕간 4L10R8L1"</f>
        <v>선덕간 4L10R8L1</v>
      </c>
      <c r="I5789" s="1" t="s">
        <v>15</v>
      </c>
      <c r="J5789" s="1" t="str">
        <f>"80/80"</f>
        <v>80/80</v>
      </c>
      <c r="K5789" s="1" t="str">
        <f>"2026-07-29 14:20:18"</f>
        <v>2026-07-29 14:20:18</v>
      </c>
      <c r="L5789" s="1" t="str">
        <f>"2024-01-10 13:58:41"</f>
        <v>2024-01-10 13:58:41</v>
      </c>
      <c r="M5789" s="1" t="s">
        <v>45</v>
      </c>
      <c r="N5789" s="1" t="s">
        <v>38</v>
      </c>
      <c r="O5789" s="1" t="s">
        <v>46</v>
      </c>
    </row>
    <row r="5790" spans="2:15" x14ac:dyDescent="0.3">
      <c r="B5790" s="1" t="s">
        <v>22</v>
      </c>
      <c r="C5790" s="1" t="str">
        <f>"3차"</f>
        <v>3차</v>
      </c>
      <c r="D5790" s="1" t="str">
        <f>"0131Z00239"</f>
        <v>0131Z00239</v>
      </c>
      <c r="E5790" s="1" t="s">
        <v>10</v>
      </c>
      <c r="F5790" s="1" t="str">
        <f>"10.10.9.186"</f>
        <v>10.10.9.186</v>
      </c>
      <c r="G5790" s="1" t="str">
        <f>"0131Z002"</f>
        <v>0131Z002</v>
      </c>
      <c r="H5790" s="1" t="str">
        <f>"선덕간 14L3L4"</f>
        <v>선덕간 14L3L4</v>
      </c>
      <c r="I5790" s="1" t="s">
        <v>8</v>
      </c>
      <c r="J5790" s="1" t="str">
        <f>"46/46"</f>
        <v>46/46</v>
      </c>
      <c r="K5790" s="1" t="str">
        <f>"2026-07-29 13:18:03"</f>
        <v>2026-07-29 13:18:03</v>
      </c>
      <c r="L5790" s="1" t="str">
        <f>"2018-05-11 16:31:14"</f>
        <v>2018-05-11 16:31:14</v>
      </c>
      <c r="M5790" s="1" t="s">
        <v>1</v>
      </c>
      <c r="N5790" s="1" t="s">
        <v>38</v>
      </c>
      <c r="O5790" s="1" t="s">
        <v>46</v>
      </c>
    </row>
    <row r="5791" spans="2:15" x14ac:dyDescent="0.3">
      <c r="B5791" s="1" t="s">
        <v>22</v>
      </c>
      <c r="C5791" s="1" t="str">
        <f>"4차"</f>
        <v>4차</v>
      </c>
      <c r="D5791" s="1" t="str">
        <f>"0131Z10132"</f>
        <v>0131Z10132</v>
      </c>
      <c r="E5791" s="1" t="s">
        <v>10</v>
      </c>
      <c r="F5791" s="1" t="str">
        <f>"10.10.23.188"</f>
        <v>10.10.23.188</v>
      </c>
      <c r="G5791" s="1" t="str">
        <f>"0131Z101"</f>
        <v>0131Z101</v>
      </c>
      <c r="H5791" s="1" t="str">
        <f>"선덕간 14L3L2"</f>
        <v>선덕간 14L3L2</v>
      </c>
      <c r="I5791" s="1" t="s">
        <v>8</v>
      </c>
      <c r="J5791" s="1" t="str">
        <f>"83/83"</f>
        <v>83/83</v>
      </c>
      <c r="K5791" s="1" t="str">
        <f>"2026-07-29 13:18:02"</f>
        <v>2026-07-29 13:18:02</v>
      </c>
      <c r="L5791" s="1" t="str">
        <f>"2018-03-16 14:06:57"</f>
        <v>2018-03-16 14:06:57</v>
      </c>
      <c r="M5791" s="1" t="s">
        <v>1</v>
      </c>
      <c r="N5791" s="1" t="s">
        <v>38</v>
      </c>
      <c r="O5791" s="1" t="s">
        <v>46</v>
      </c>
    </row>
    <row r="5792" spans="2:15" x14ac:dyDescent="0.3">
      <c r="B5792" s="1" t="s">
        <v>22</v>
      </c>
      <c r="C5792" s="1" t="str">
        <f>"4차"</f>
        <v>4차</v>
      </c>
      <c r="D5792" s="1" t="str">
        <f>"0131Z11239"</f>
        <v>0131Z11239</v>
      </c>
      <c r="E5792" s="1" t="s">
        <v>10</v>
      </c>
      <c r="F5792" s="1" t="str">
        <f>"10.10.9.194"</f>
        <v>10.10.9.194</v>
      </c>
      <c r="G5792" s="1" t="str">
        <f>"0131Z112"</f>
        <v>0131Z112</v>
      </c>
      <c r="H5792" s="1" t="str">
        <f>"선덕간 14L5L3"</f>
        <v>선덕간 14L5L3</v>
      </c>
      <c r="I5792" s="1" t="s">
        <v>8</v>
      </c>
      <c r="J5792" s="1" t="str">
        <f>"32/32"</f>
        <v>32/32</v>
      </c>
      <c r="K5792" s="1" t="str">
        <f>"2026-07-29 13:18:03"</f>
        <v>2026-07-29 13:18:03</v>
      </c>
      <c r="L5792" s="1" t="str">
        <f>"2018-02-05 17:20:27"</f>
        <v>2018-02-05 17:20:27</v>
      </c>
      <c r="M5792" s="1" t="s">
        <v>1</v>
      </c>
      <c r="N5792" s="1" t="s">
        <v>38</v>
      </c>
      <c r="O5792" s="1" t="s">
        <v>46</v>
      </c>
    </row>
    <row r="5793" spans="2:15" x14ac:dyDescent="0.3">
      <c r="B5793" s="1" t="s">
        <v>22</v>
      </c>
      <c r="C5793" s="1" t="str">
        <f>"3차"</f>
        <v>3차</v>
      </c>
      <c r="D5793" s="1" t="str">
        <f>"0131Z20130"</f>
        <v>0131Z20130</v>
      </c>
      <c r="E5793" s="1" t="s">
        <v>10</v>
      </c>
      <c r="F5793" s="1" t="str">
        <f>"10.10.23.186"</f>
        <v>10.10.23.186</v>
      </c>
      <c r="G5793" s="1" t="str">
        <f>"0131Z201"</f>
        <v>0131Z201</v>
      </c>
      <c r="H5793" s="1" t="str">
        <f>"선덕간 14L3L1"</f>
        <v>선덕간 14L3L1</v>
      </c>
      <c r="I5793" s="1" t="s">
        <v>8</v>
      </c>
      <c r="J5793" s="1" t="str">
        <f>"93/93"</f>
        <v>93/93</v>
      </c>
      <c r="K5793" s="1" t="str">
        <f>"2026-07-29 13:18:03"</f>
        <v>2026-07-29 13:18:03</v>
      </c>
      <c r="L5793" s="1" t="str">
        <f>"2018-03-15 14:51:05"</f>
        <v>2018-03-15 14:51:05</v>
      </c>
      <c r="M5793" s="1" t="s">
        <v>1</v>
      </c>
      <c r="N5793" s="1" t="s">
        <v>38</v>
      </c>
      <c r="O5793" s="1" t="s">
        <v>46</v>
      </c>
    </row>
    <row r="5794" spans="2:15" x14ac:dyDescent="0.3">
      <c r="B5794" s="1" t="s">
        <v>22</v>
      </c>
      <c r="C5794" s="1" t="str">
        <f>"3차"</f>
        <v>3차</v>
      </c>
      <c r="D5794" s="1" t="str">
        <f>"0131Z30131"</f>
        <v>0131Z30131</v>
      </c>
      <c r="E5794" s="1" t="s">
        <v>10</v>
      </c>
      <c r="F5794" s="1" t="str">
        <f>"10.10.23.187"</f>
        <v>10.10.23.187</v>
      </c>
      <c r="G5794" s="1" t="str">
        <f>"0131Z301"</f>
        <v>0131Z301</v>
      </c>
      <c r="H5794" s="1" t="str">
        <f>"선덕간 14L3"</f>
        <v>선덕간 14L3</v>
      </c>
      <c r="I5794" s="1" t="s">
        <v>8</v>
      </c>
      <c r="J5794" s="1" t="str">
        <f>"32/32"</f>
        <v>32/32</v>
      </c>
      <c r="K5794" s="1" t="str">
        <f>"2026-07-29 13:18:03"</f>
        <v>2026-07-29 13:18:03</v>
      </c>
      <c r="L5794" s="1" t="str">
        <f>"2018-03-15 14:59:42"</f>
        <v>2018-03-15 14:59:42</v>
      </c>
      <c r="M5794" s="1" t="s">
        <v>1</v>
      </c>
      <c r="N5794" s="1" t="s">
        <v>38</v>
      </c>
      <c r="O5794" s="1" t="s">
        <v>46</v>
      </c>
    </row>
    <row r="5795" spans="2:15" x14ac:dyDescent="0.3">
      <c r="B5795" s="1" t="s">
        <v>22</v>
      </c>
      <c r="C5795" s="1" t="str">
        <f>"3차"</f>
        <v>3차</v>
      </c>
      <c r="D5795" s="1" t="str">
        <f>"0131Z31230"</f>
        <v>0131Z31230</v>
      </c>
      <c r="E5795" s="1" t="s">
        <v>10</v>
      </c>
      <c r="F5795" s="1" t="str">
        <f>"10.10.22.18"</f>
        <v>10.10.22.18</v>
      </c>
      <c r="G5795" s="1" t="str">
        <f>"0131Z312"</f>
        <v>0131Z312</v>
      </c>
      <c r="H5795" s="1" t="str">
        <f>"선덕간 14L5"</f>
        <v>선덕간 14L5</v>
      </c>
      <c r="I5795" s="1" t="s">
        <v>8</v>
      </c>
      <c r="J5795" s="1" t="str">
        <f>"30/30"</f>
        <v>30/30</v>
      </c>
      <c r="K5795" s="1" t="str">
        <f>"2026-07-29 13:18:03"</f>
        <v>2026-07-29 13:18:03</v>
      </c>
      <c r="L5795" s="1" t="str">
        <f>"2018-03-29 16:29:28"</f>
        <v>2018-03-29 16:29:28</v>
      </c>
      <c r="M5795" s="1" t="s">
        <v>1</v>
      </c>
      <c r="N5795" s="1" t="s">
        <v>38</v>
      </c>
      <c r="O5795" s="1" t="s">
        <v>46</v>
      </c>
    </row>
    <row r="5796" spans="2:15" x14ac:dyDescent="0.3">
      <c r="B5796" s="1" t="s">
        <v>22</v>
      </c>
      <c r="C5796" s="1" t="str">
        <f>"5-2차"</f>
        <v>5-2차</v>
      </c>
      <c r="D5796" s="1" t="str">
        <f>"0131Z4015M"</f>
        <v>0131Z4015M</v>
      </c>
      <c r="E5796" s="1" t="s">
        <v>10</v>
      </c>
      <c r="F5796" s="1" t="str">
        <f>"fde3:102:1420:6200:0:0:0:a"</f>
        <v>fde3:102:1420:6200:0:0:0:a</v>
      </c>
      <c r="G5796" s="1" t="str">
        <f>"0131Z401"</f>
        <v>0131Z401</v>
      </c>
      <c r="H5796" s="1" t="str">
        <f>"선덕간 14L2"</f>
        <v>선덕간 14L2</v>
      </c>
      <c r="I5796" s="1" t="s">
        <v>15</v>
      </c>
      <c r="J5796" s="1" t="str">
        <f>"63/63"</f>
        <v>63/63</v>
      </c>
      <c r="K5796" s="1" t="str">
        <f>"2026-07-29 14:20:22"</f>
        <v>2026-07-29 14:20:22</v>
      </c>
      <c r="L5796" s="1" t="str">
        <f>"2023-12-19 14:48:06"</f>
        <v>2023-12-19 14:48:06</v>
      </c>
      <c r="M5796" s="1" t="s">
        <v>45</v>
      </c>
      <c r="N5796" s="1" t="s">
        <v>38</v>
      </c>
      <c r="O5796" s="1" t="s">
        <v>46</v>
      </c>
    </row>
    <row r="5797" spans="2:15" x14ac:dyDescent="0.3">
      <c r="B5797" s="1" t="s">
        <v>22</v>
      </c>
      <c r="C5797" s="1" t="str">
        <f>"5-2차"</f>
        <v>5-2차</v>
      </c>
      <c r="D5797" s="1" t="str">
        <f>"0131Z4215M"</f>
        <v>0131Z4215M</v>
      </c>
      <c r="E5797" s="1" t="s">
        <v>10</v>
      </c>
      <c r="F5797" s="1" t="str">
        <f>"fde3:102:1420:6200:0:0:0:c"</f>
        <v>fde3:102:1420:6200:0:0:0:c</v>
      </c>
      <c r="G5797" s="1" t="str">
        <f>"0131Z421"</f>
        <v>0131Z421</v>
      </c>
      <c r="H5797" s="1" t="str">
        <f>"선덕간 14L7"</f>
        <v>선덕간 14L7</v>
      </c>
      <c r="I5797" s="1" t="s">
        <v>15</v>
      </c>
      <c r="J5797" s="1" t="str">
        <f>"51/51"</f>
        <v>51/51</v>
      </c>
      <c r="K5797" s="1" t="str">
        <f>"2026-07-29 14:20:35"</f>
        <v>2026-07-29 14:20:35</v>
      </c>
      <c r="L5797" s="1" t="str">
        <f>"2024-01-05 09:01:41"</f>
        <v>2024-01-05 09:01:41</v>
      </c>
      <c r="M5797" s="1" t="s">
        <v>45</v>
      </c>
      <c r="N5797" s="1" t="s">
        <v>38</v>
      </c>
      <c r="O5797" s="1" t="s">
        <v>46</v>
      </c>
    </row>
    <row r="5798" spans="2:15" x14ac:dyDescent="0.3">
      <c r="B5798" s="1" t="s">
        <v>22</v>
      </c>
      <c r="C5798" s="1" t="str">
        <f>"5-2차"</f>
        <v>5-2차</v>
      </c>
      <c r="D5798" s="1" t="str">
        <f>"0131Z4935M"</f>
        <v>0131Z4935M</v>
      </c>
      <c r="E5798" s="1" t="s">
        <v>10</v>
      </c>
      <c r="F5798" s="1" t="str">
        <f>"fde1:103:4:92f8:0:0:0:2"</f>
        <v>fde1:103:4:92f8:0:0:0:2</v>
      </c>
      <c r="G5798" s="1" t="str">
        <f>"0131Z493"</f>
        <v>0131Z493</v>
      </c>
      <c r="H5798" s="1" t="str">
        <f>"쌍이간 15L19"</f>
        <v>쌍이간 15L19</v>
      </c>
      <c r="I5798" s="1" t="s">
        <v>15</v>
      </c>
      <c r="J5798" s="1" t="str">
        <f>"148/148"</f>
        <v>148/148</v>
      </c>
      <c r="K5798" s="1" t="str">
        <f>"2026-07-29 14:20:00"</f>
        <v>2026-07-29 14:20:00</v>
      </c>
      <c r="L5798" s="1" t="str">
        <f>"2023-12-19 10:19:03"</f>
        <v>2023-12-19 10:19:03</v>
      </c>
      <c r="M5798" s="1" t="s">
        <v>4</v>
      </c>
      <c r="N5798" s="1" t="s">
        <v>38</v>
      </c>
      <c r="O5798" s="1" t="s">
        <v>46</v>
      </c>
    </row>
    <row r="5799" spans="2:15" x14ac:dyDescent="0.3">
      <c r="B5799" s="1" t="s">
        <v>22</v>
      </c>
      <c r="C5799" s="1" t="str">
        <f>"3차"</f>
        <v>3차</v>
      </c>
      <c r="D5799" s="1" t="str">
        <f>"0131Z50139"</f>
        <v>0131Z50139</v>
      </c>
      <c r="E5799" s="1" t="s">
        <v>10</v>
      </c>
      <c r="F5799" s="1" t="str">
        <f>"10.10.9.202"</f>
        <v>10.10.9.202</v>
      </c>
      <c r="G5799" s="1" t="str">
        <f>"0131Z501"</f>
        <v>0131Z501</v>
      </c>
      <c r="H5799" s="1" t="str">
        <f>"선덕간 17L6"</f>
        <v>선덕간 17L6</v>
      </c>
      <c r="I5799" s="1" t="s">
        <v>8</v>
      </c>
      <c r="J5799" s="1" t="str">
        <f>"31/31"</f>
        <v>31/31</v>
      </c>
      <c r="K5799" s="1" t="str">
        <f>"2026-07-29 13:18:02"</f>
        <v>2026-07-29 13:18:02</v>
      </c>
      <c r="L5799" s="1" t="str">
        <f>"2018-03-28 14:21:27"</f>
        <v>2018-03-28 14:21:27</v>
      </c>
      <c r="M5799" s="1" t="s">
        <v>1</v>
      </c>
      <c r="N5799" s="1" t="s">
        <v>38</v>
      </c>
      <c r="O5799" s="1" t="s">
        <v>46</v>
      </c>
    </row>
    <row r="5800" spans="2:15" x14ac:dyDescent="0.3">
      <c r="B5800" s="1" t="s">
        <v>22</v>
      </c>
      <c r="C5800" s="1" t="str">
        <f>"5-2차"</f>
        <v>5-2차</v>
      </c>
      <c r="D5800" s="1" t="str">
        <f>"0131Z5215S"</f>
        <v>0131Z5215S</v>
      </c>
      <c r="E5800" s="1" t="s">
        <v>10</v>
      </c>
      <c r="F5800" s="1" t="str">
        <f>"fde3:102:1420:6200:0:0:0:e"</f>
        <v>fde3:102:1420:6200:0:0:0:e</v>
      </c>
      <c r="G5800" s="1" t="str">
        <f>"0131Z521"</f>
        <v>0131Z521</v>
      </c>
      <c r="H5800" s="1" t="str">
        <f>"선덕간 14L8"</f>
        <v>선덕간 14L8</v>
      </c>
      <c r="I5800" s="1" t="s">
        <v>15</v>
      </c>
      <c r="J5800" s="1" t="str">
        <f>"56/56"</f>
        <v>56/56</v>
      </c>
      <c r="K5800" s="1" t="str">
        <f>"2026-07-29 14:20:35"</f>
        <v>2026-07-29 14:20:35</v>
      </c>
      <c r="L5800" s="1" t="str">
        <f>"2024-01-05 08:51:58"</f>
        <v>2024-01-05 08:51:58</v>
      </c>
      <c r="M5800" s="1" t="s">
        <v>45</v>
      </c>
      <c r="N5800" s="1" t="s">
        <v>38</v>
      </c>
      <c r="O5800" s="1" t="s">
        <v>46</v>
      </c>
    </row>
    <row r="5801" spans="2:15" x14ac:dyDescent="0.3">
      <c r="B5801" s="1" t="s">
        <v>22</v>
      </c>
      <c r="C5801" s="1" t="str">
        <f>"5-2차"</f>
        <v>5-2차</v>
      </c>
      <c r="D5801" s="1" t="str">
        <f>"0131Z5225M"</f>
        <v>0131Z5225M</v>
      </c>
      <c r="E5801" s="1" t="s">
        <v>10</v>
      </c>
      <c r="F5801" s="1" t="str">
        <f>"fde3:102:1420:6200:0:0:0:d"</f>
        <v>fde3:102:1420:6200:0:0:0:d</v>
      </c>
      <c r="G5801" s="1" t="str">
        <f>"0131Z522"</f>
        <v>0131Z522</v>
      </c>
      <c r="H5801" s="1" t="str">
        <f>"선덕간 14L9"</f>
        <v>선덕간 14L9</v>
      </c>
      <c r="I5801" s="1" t="s">
        <v>15</v>
      </c>
      <c r="J5801" s="1" t="str">
        <f>"34/34"</f>
        <v>34/34</v>
      </c>
      <c r="K5801" s="1" t="str">
        <f>"2026-07-29 14:20:18"</f>
        <v>2026-07-29 14:20:18</v>
      </c>
      <c r="L5801" s="1" t="str">
        <f>"2024-01-05 08:49:14"</f>
        <v>2024-01-05 08:49:14</v>
      </c>
      <c r="M5801" s="1" t="s">
        <v>45</v>
      </c>
      <c r="N5801" s="1" t="s">
        <v>38</v>
      </c>
      <c r="O5801" s="1" t="s">
        <v>46</v>
      </c>
    </row>
    <row r="5802" spans="2:15" x14ac:dyDescent="0.3">
      <c r="B5802" s="1" t="s">
        <v>22</v>
      </c>
      <c r="C5802" s="1" t="str">
        <f>"5-1차"</f>
        <v>5-1차</v>
      </c>
      <c r="D5802" s="1" t="str">
        <f>"0131Z6035M"</f>
        <v>0131Z6035M</v>
      </c>
      <c r="E5802" s="1" t="s">
        <v>10</v>
      </c>
      <c r="F5802" s="1" t="str">
        <f>"fde3:102:1420:6200:0:0:0:2"</f>
        <v>fde3:102:1420:6200:0:0:0:2</v>
      </c>
      <c r="G5802" s="1" t="str">
        <f>"0131Z603"</f>
        <v>0131Z603</v>
      </c>
      <c r="H5802" s="1" t="str">
        <f>"선덕간 17L5"</f>
        <v>선덕간 17L5</v>
      </c>
      <c r="I5802" s="1" t="s">
        <v>15</v>
      </c>
      <c r="J5802" s="1" t="str">
        <f>"90/90"</f>
        <v>90/90</v>
      </c>
      <c r="K5802" s="1" t="str">
        <f>"2026-07-29 14:20:18"</f>
        <v>2026-07-29 14:20:18</v>
      </c>
      <c r="L5802" s="1" t="str">
        <f>"2022-10-31 19:16:57"</f>
        <v>2022-10-31 19:16:57</v>
      </c>
      <c r="M5802" s="1" t="s">
        <v>45</v>
      </c>
      <c r="N5802" s="1" t="s">
        <v>38</v>
      </c>
      <c r="O5802" s="1" t="s">
        <v>46</v>
      </c>
    </row>
    <row r="5803" spans="2:15" x14ac:dyDescent="0.3">
      <c r="B5803" s="1" t="s">
        <v>22</v>
      </c>
      <c r="C5803" s="1" t="str">
        <f>"5-2차"</f>
        <v>5-2차</v>
      </c>
      <c r="D5803" s="1" t="str">
        <f>"0131Z7015S"</f>
        <v>0131Z7015S</v>
      </c>
      <c r="E5803" s="1" t="s">
        <v>10</v>
      </c>
      <c r="F5803" s="1" t="str">
        <f>"fde3:102:1420:6200:0:0:0:b"</f>
        <v>fde3:102:1420:6200:0:0:0:b</v>
      </c>
      <c r="G5803" s="1" t="str">
        <f>"0131Z701"</f>
        <v>0131Z701</v>
      </c>
      <c r="H5803" s="1" t="str">
        <f>"선덕간 17L3"</f>
        <v>선덕간 17L3</v>
      </c>
      <c r="I5803" s="1" t="s">
        <v>15</v>
      </c>
      <c r="J5803" s="1" t="str">
        <f>"38/38"</f>
        <v>38/38</v>
      </c>
      <c r="K5803" s="1" t="str">
        <f>"2026-07-29 14:20:18"</f>
        <v>2026-07-29 14:20:18</v>
      </c>
      <c r="L5803" s="1" t="str">
        <f>"2024-01-05 08:46:41"</f>
        <v>2024-01-05 08:46:41</v>
      </c>
      <c r="M5803" s="1" t="s">
        <v>45</v>
      </c>
      <c r="N5803" s="1" t="s">
        <v>38</v>
      </c>
      <c r="O5803" s="1" t="s">
        <v>46</v>
      </c>
    </row>
    <row r="5804" spans="2:15" x14ac:dyDescent="0.3">
      <c r="B5804" s="1" t="s">
        <v>22</v>
      </c>
      <c r="C5804" s="1" t="str">
        <f>"5-2차"</f>
        <v>5-2차</v>
      </c>
      <c r="D5804" s="1" t="str">
        <f>"0131Z7215M"</f>
        <v>0131Z7215M</v>
      </c>
      <c r="E5804" s="1" t="s">
        <v>10</v>
      </c>
      <c r="F5804" s="1" t="str">
        <f>"fde3:102:1420:6100:0:0:0:4"</f>
        <v>fde3:102:1420:6100:0:0:0:4</v>
      </c>
      <c r="G5804" s="1" t="str">
        <f>"0131Z721"</f>
        <v>0131Z721</v>
      </c>
      <c r="H5804" s="1" t="str">
        <f>"쌍이간 6L12L1"</f>
        <v>쌍이간 6L12L1</v>
      </c>
      <c r="I5804" s="1" t="s">
        <v>15</v>
      </c>
      <c r="J5804" s="1" t="str">
        <f>"80/81"</f>
        <v>80/81</v>
      </c>
      <c r="K5804" s="1" t="str">
        <f>"2026-07-29 14:20:18"</f>
        <v>2026-07-29 14:20:18</v>
      </c>
      <c r="L5804" s="1" t="str">
        <f>"2023-12-12 15:23:26"</f>
        <v>2023-12-12 15:23:26</v>
      </c>
      <c r="M5804" s="1" t="s">
        <v>45</v>
      </c>
      <c r="N5804" s="1" t="s">
        <v>38</v>
      </c>
      <c r="O5804" s="1" t="s">
        <v>46</v>
      </c>
    </row>
    <row r="5805" spans="2:15" x14ac:dyDescent="0.3">
      <c r="B5805" s="1" t="s">
        <v>22</v>
      </c>
      <c r="C5805" s="1" t="str">
        <f>"6차"</f>
        <v>6차</v>
      </c>
      <c r="D5805" s="1" t="str">
        <f>"0131Z7316S"</f>
        <v>0131Z7316S</v>
      </c>
      <c r="E5805" s="1" t="s">
        <v>10</v>
      </c>
      <c r="F5805" s="1" t="str">
        <f>"fde1:103:4:93a3:0:0:0:2"</f>
        <v>fde1:103:4:93a3:0:0:0:2</v>
      </c>
      <c r="G5805" s="1" t="str">
        <f>"0131Z731"</f>
        <v>0131Z731</v>
      </c>
      <c r="H5805" s="1" t="str">
        <f>"쌍이간 6L13"</f>
        <v>쌍이간 6L13</v>
      </c>
      <c r="I5805" s="1" t="s">
        <v>15</v>
      </c>
      <c r="J5805" s="1" t="str">
        <f>"91/92"</f>
        <v>91/92</v>
      </c>
      <c r="K5805" s="1" t="str">
        <f>"2026-07-29 14:20:35"</f>
        <v>2026-07-29 14:20:35</v>
      </c>
      <c r="L5805" s="1" t="str">
        <f>"2024-10-08 16:59:21"</f>
        <v>2024-10-08 16:59:21</v>
      </c>
      <c r="M5805" s="1" t="s">
        <v>4</v>
      </c>
      <c r="N5805" s="1" t="s">
        <v>38</v>
      </c>
      <c r="O5805" s="1" t="s">
        <v>46</v>
      </c>
    </row>
    <row r="5806" spans="2:15" x14ac:dyDescent="0.3">
      <c r="B5806" s="1" t="s">
        <v>22</v>
      </c>
      <c r="C5806" s="1" t="str">
        <f>"5-2차"</f>
        <v>5-2차</v>
      </c>
      <c r="D5806" s="1" t="str">
        <f>"0131Z8235M"</f>
        <v>0131Z8235M</v>
      </c>
      <c r="E5806" s="1" t="s">
        <v>10</v>
      </c>
      <c r="F5806" s="1" t="str">
        <f>"fde3:102:1420:6100:0:0:0:3"</f>
        <v>fde3:102:1420:6100:0:0:0:3</v>
      </c>
      <c r="G5806" s="1" t="str">
        <f>"0131Z823"</f>
        <v>0131Z823</v>
      </c>
      <c r="H5806" s="1" t="str">
        <f>"쌍이간 6L12"</f>
        <v>쌍이간 6L12</v>
      </c>
      <c r="I5806" s="1" t="s">
        <v>15</v>
      </c>
      <c r="J5806" s="1" t="str">
        <f>"61/61"</f>
        <v>61/61</v>
      </c>
      <c r="K5806" s="1" t="str">
        <f>"2026-07-29 14:20:18"</f>
        <v>2026-07-29 14:20:18</v>
      </c>
      <c r="L5806" s="1" t="str">
        <f>"2023-12-12 13:52:59"</f>
        <v>2023-12-12 13:52:59</v>
      </c>
      <c r="M5806" s="1" t="s">
        <v>45</v>
      </c>
      <c r="N5806" s="1" t="s">
        <v>38</v>
      </c>
      <c r="O5806" s="1" t="s">
        <v>46</v>
      </c>
    </row>
    <row r="5807" spans="2:15" x14ac:dyDescent="0.3">
      <c r="B5807" s="1" t="s">
        <v>22</v>
      </c>
      <c r="C5807" s="1" t="str">
        <f>"3차"</f>
        <v>3차</v>
      </c>
      <c r="D5807" s="1" t="str">
        <f>"0131Z83230"</f>
        <v>0131Z83230</v>
      </c>
      <c r="E5807" s="1" t="s">
        <v>10</v>
      </c>
      <c r="F5807" s="1" t="str">
        <f>"10.10.21.82"</f>
        <v>10.10.21.82</v>
      </c>
      <c r="G5807" s="1" t="str">
        <f>"0131Z832"</f>
        <v>0131Z832</v>
      </c>
      <c r="H5807" s="1" t="str">
        <f>"쌍이간 6L12R1"</f>
        <v>쌍이간 6L12R1</v>
      </c>
      <c r="I5807" s="1" t="s">
        <v>8</v>
      </c>
      <c r="J5807" s="1" t="str">
        <f>"37/37"</f>
        <v>37/37</v>
      </c>
      <c r="K5807" s="1" t="str">
        <f>"2026-07-29 13:18:02"</f>
        <v>2026-07-29 13:18:02</v>
      </c>
      <c r="L5807" s="1" t="str">
        <f>"2018-03-24 15:12:42"</f>
        <v>2018-03-24 15:12:42</v>
      </c>
      <c r="M5807" s="1" t="s">
        <v>1</v>
      </c>
      <c r="N5807" s="1" t="s">
        <v>38</v>
      </c>
      <c r="O5807" s="1" t="s">
        <v>46</v>
      </c>
    </row>
    <row r="5808" spans="2:15" x14ac:dyDescent="0.3">
      <c r="B5808" s="1" t="s">
        <v>22</v>
      </c>
      <c r="C5808" s="1" t="str">
        <f>"3차"</f>
        <v>3차</v>
      </c>
      <c r="D5808" s="1" t="str">
        <f>"0131Z84131"</f>
        <v>0131Z84131</v>
      </c>
      <c r="E5808" s="1" t="s">
        <v>10</v>
      </c>
      <c r="F5808" s="1" t="str">
        <f>"10.10.21.83"</f>
        <v>10.10.21.83</v>
      </c>
      <c r="G5808" s="1" t="str">
        <f>"0131Z841"</f>
        <v>0131Z841</v>
      </c>
      <c r="H5808" s="1" t="str">
        <f>"쌍이간 6L12R2"</f>
        <v>쌍이간 6L12R2</v>
      </c>
      <c r="I5808" s="1" t="s">
        <v>8</v>
      </c>
      <c r="J5808" s="1" t="str">
        <f>"44/44"</f>
        <v>44/44</v>
      </c>
      <c r="K5808" s="1" t="str">
        <f>"2026-07-29 13:18:03"</f>
        <v>2026-07-29 13:18:03</v>
      </c>
      <c r="L5808" s="1" t="str">
        <f>"2018-05-03 11:16:55"</f>
        <v>2018-05-03 11:16:55</v>
      </c>
      <c r="M5808" s="1" t="s">
        <v>1</v>
      </c>
      <c r="N5808" s="1" t="s">
        <v>38</v>
      </c>
      <c r="O5808" s="1" t="s">
        <v>46</v>
      </c>
    </row>
    <row r="5809" spans="2:15" x14ac:dyDescent="0.3">
      <c r="B5809" s="1" t="s">
        <v>22</v>
      </c>
      <c r="C5809" s="1" t="str">
        <f>"3차"</f>
        <v>3차</v>
      </c>
      <c r="D5809" s="1" t="str">
        <f>"0131Z84230"</f>
        <v>0131Z84230</v>
      </c>
      <c r="E5809" s="1" t="s">
        <v>10</v>
      </c>
      <c r="F5809" s="1" t="str">
        <f>"10.10.40.66"</f>
        <v>10.10.40.66</v>
      </c>
      <c r="G5809" s="1" t="str">
        <f>"0131Z842"</f>
        <v>0131Z842</v>
      </c>
      <c r="H5809" s="1" t="str">
        <f>"쌍이간 6L12R3"</f>
        <v>쌍이간 6L12R3</v>
      </c>
      <c r="I5809" s="1" t="s">
        <v>8</v>
      </c>
      <c r="J5809" s="1" t="str">
        <f>"11/11"</f>
        <v>11/11</v>
      </c>
      <c r="K5809" s="1" t="str">
        <f>"2026-07-29 13:18:02"</f>
        <v>2026-07-29 13:18:02</v>
      </c>
      <c r="L5809" s="1" t="str">
        <f>"2018-03-13 16:04:26"</f>
        <v>2018-03-13 16:04:26</v>
      </c>
      <c r="M5809" s="1" t="s">
        <v>1</v>
      </c>
      <c r="N5809" s="1" t="s">
        <v>38</v>
      </c>
      <c r="O5809" s="1" t="s">
        <v>46</v>
      </c>
    </row>
    <row r="5810" spans="2:15" x14ac:dyDescent="0.3">
      <c r="B5810" s="1" t="s">
        <v>22</v>
      </c>
      <c r="C5810" s="1" t="str">
        <f>"3차"</f>
        <v>3차</v>
      </c>
      <c r="D5810" s="1" t="str">
        <f>"0131Z84332"</f>
        <v>0131Z84332</v>
      </c>
      <c r="E5810" s="1" t="s">
        <v>10</v>
      </c>
      <c r="F5810" s="1" t="str">
        <f>"10.10.40.68"</f>
        <v>10.10.40.68</v>
      </c>
      <c r="G5810" s="1" t="str">
        <f>"0131Z843"</f>
        <v>0131Z843</v>
      </c>
      <c r="H5810" s="1" t="str">
        <f>"쌍이간 6L12R4"</f>
        <v>쌍이간 6L12R4</v>
      </c>
      <c r="I5810" s="1" t="s">
        <v>8</v>
      </c>
      <c r="J5810" s="1" t="str">
        <f>"40/40"</f>
        <v>40/40</v>
      </c>
      <c r="K5810" s="1" t="str">
        <f>"2026-07-29 13:18:01"</f>
        <v>2026-07-29 13:18:01</v>
      </c>
      <c r="L5810" s="1" t="str">
        <f>"2018-03-13 16:16:27"</f>
        <v>2018-03-13 16:16:27</v>
      </c>
      <c r="M5810" s="1" t="s">
        <v>1</v>
      </c>
      <c r="N5810" s="1" t="s">
        <v>38</v>
      </c>
      <c r="O5810" s="1" t="s">
        <v>46</v>
      </c>
    </row>
    <row r="5811" spans="2:15" x14ac:dyDescent="0.3">
      <c r="B5811" s="1" t="s">
        <v>22</v>
      </c>
      <c r="C5811" s="1" t="str">
        <f>"6차"</f>
        <v>6차</v>
      </c>
      <c r="D5811" s="1" t="str">
        <f>"0131Z9156S"</f>
        <v>0131Z9156S</v>
      </c>
      <c r="E5811" s="1" t="s">
        <v>10</v>
      </c>
      <c r="F5811" s="1" t="str">
        <f>"fde1:103:4:942e:0:0:0:2"</f>
        <v>fde1:103:4:942e:0:0:0:2</v>
      </c>
      <c r="G5811" s="1" t="str">
        <f>"0131Z915"</f>
        <v>0131Z915</v>
      </c>
      <c r="H5811" s="1" t="str">
        <f>"쌍이간 6L10D3"</f>
        <v>쌍이간 6L10D3</v>
      </c>
      <c r="I5811" s="1" t="s">
        <v>15</v>
      </c>
      <c r="J5811" s="1" t="str">
        <f>"67/67"</f>
        <v>67/67</v>
      </c>
      <c r="K5811" s="1" t="str">
        <f>"2026-07-29 14:20:14"</f>
        <v>2026-07-29 14:20:14</v>
      </c>
      <c r="L5811" s="1" t="str">
        <f>"2024-10-08 16:59:19"</f>
        <v>2024-10-08 16:59:19</v>
      </c>
      <c r="M5811" s="1" t="s">
        <v>4</v>
      </c>
      <c r="N5811" s="1" t="s">
        <v>38</v>
      </c>
      <c r="O5811" s="1" t="s">
        <v>46</v>
      </c>
    </row>
    <row r="5812" spans="2:15" x14ac:dyDescent="0.3">
      <c r="B5812" s="1" t="s">
        <v>22</v>
      </c>
      <c r="C5812" s="1" t="str">
        <f>"6차"</f>
        <v>6차</v>
      </c>
      <c r="D5812" s="1" t="str">
        <f>"0131Z9216S"</f>
        <v>0131Z9216S</v>
      </c>
      <c r="E5812" s="1" t="s">
        <v>10</v>
      </c>
      <c r="F5812" s="1" t="str">
        <f>"fde1:103:4:c605:0:0:0:2"</f>
        <v>fde1:103:4:c605:0:0:0:2</v>
      </c>
      <c r="G5812" s="1" t="str">
        <f>"0131Z921"</f>
        <v>0131Z921</v>
      </c>
      <c r="H5812" s="1" t="str">
        <f>"쌍이간 6L10"</f>
        <v>쌍이간 6L10</v>
      </c>
      <c r="I5812" s="1" t="s">
        <v>15</v>
      </c>
      <c r="J5812" s="1" t="str">
        <f>"58/58"</f>
        <v>58/58</v>
      </c>
      <c r="K5812" s="1" t="str">
        <f>"2026-07-29 14:20:36"</f>
        <v>2026-07-29 14:20:36</v>
      </c>
      <c r="L5812" s="1" t="str">
        <f>"2024-12-10 15:44:43"</f>
        <v>2024-12-10 15:44:43</v>
      </c>
      <c r="M5812" s="1" t="s">
        <v>4</v>
      </c>
      <c r="N5812" s="1" t="s">
        <v>38</v>
      </c>
      <c r="O5812" s="1" t="s">
        <v>46</v>
      </c>
    </row>
    <row r="5813" spans="2:15" x14ac:dyDescent="0.3">
      <c r="B5813" s="1" t="s">
        <v>22</v>
      </c>
      <c r="C5813" s="1" t="str">
        <f>"4차"</f>
        <v>4차</v>
      </c>
      <c r="D5813" s="1" t="str">
        <f>"0131Z92239"</f>
        <v>0131Z92239</v>
      </c>
      <c r="E5813" s="1" t="s">
        <v>10</v>
      </c>
      <c r="F5813" s="1" t="str">
        <f>"10.10.12.138"</f>
        <v>10.10.12.138</v>
      </c>
      <c r="G5813" s="1" t="str">
        <f>"0131Z922"</f>
        <v>0131Z922</v>
      </c>
      <c r="H5813" s="1" t="str">
        <f>"쌍이간 6L9"</f>
        <v>쌍이간 6L9</v>
      </c>
      <c r="I5813" s="1" t="s">
        <v>8</v>
      </c>
      <c r="J5813" s="1" t="str">
        <f>"50/50"</f>
        <v>50/50</v>
      </c>
      <c r="K5813" s="1" t="str">
        <f>"2026-07-29 13:18:03"</f>
        <v>2026-07-29 13:18:03</v>
      </c>
      <c r="L5813" s="1" t="str">
        <f>"2018-02-12 18:01:11"</f>
        <v>2018-02-12 18:01:11</v>
      </c>
      <c r="M5813" s="1" t="s">
        <v>1</v>
      </c>
      <c r="N5813" s="1" t="s">
        <v>38</v>
      </c>
      <c r="O5813" s="1" t="s">
        <v>46</v>
      </c>
    </row>
    <row r="5814" spans="2:15" x14ac:dyDescent="0.3">
      <c r="B5814" s="1" t="s">
        <v>22</v>
      </c>
      <c r="C5814" s="1" t="str">
        <f>"5-2차"</f>
        <v>5-2차</v>
      </c>
      <c r="D5814" s="1" t="str">
        <f>"0131Z9235M"</f>
        <v>0131Z9235M</v>
      </c>
      <c r="E5814" s="1" t="s">
        <v>10</v>
      </c>
      <c r="F5814" s="1" t="str">
        <f>"fde3:102:1420:6100:0:0:0:5"</f>
        <v>fde3:102:1420:6100:0:0:0:5</v>
      </c>
      <c r="G5814" s="1" t="str">
        <f>"0131Z923"</f>
        <v>0131Z923</v>
      </c>
      <c r="H5814" s="1" t="str">
        <f>"쌍이간 6L11"</f>
        <v>쌍이간 6L11</v>
      </c>
      <c r="I5814" s="1" t="s">
        <v>15</v>
      </c>
      <c r="J5814" s="1" t="str">
        <f>"157/157"</f>
        <v>157/157</v>
      </c>
      <c r="K5814" s="1" t="str">
        <f>"2026-07-29 14:20:26"</f>
        <v>2026-07-29 14:20:26</v>
      </c>
      <c r="L5814" s="1" t="str">
        <f>"2023-12-12 14:38:07"</f>
        <v>2023-12-12 14:38:07</v>
      </c>
      <c r="M5814" s="1" t="s">
        <v>45</v>
      </c>
      <c r="N5814" s="1" t="s">
        <v>38</v>
      </c>
      <c r="O5814" s="1" t="s">
        <v>46</v>
      </c>
    </row>
    <row r="5815" spans="2:15" x14ac:dyDescent="0.3">
      <c r="B5815" s="1" t="s">
        <v>22</v>
      </c>
      <c r="C5815" s="1" t="str">
        <f>"3차"</f>
        <v>3차</v>
      </c>
      <c r="D5815" s="1" t="str">
        <f>"0131Z94231"</f>
        <v>0131Z94231</v>
      </c>
      <c r="E5815" s="1" t="s">
        <v>10</v>
      </c>
      <c r="F5815" s="1" t="str">
        <f>"10.10.40.67"</f>
        <v>10.10.40.67</v>
      </c>
      <c r="G5815" s="1" t="str">
        <f>"0131Z942"</f>
        <v>0131Z942</v>
      </c>
      <c r="H5815" s="1" t="str">
        <f>"쌍이간 6L12R3R1"</f>
        <v>쌍이간 6L12R3R1</v>
      </c>
      <c r="I5815" s="1" t="s">
        <v>8</v>
      </c>
      <c r="J5815" s="1" t="str">
        <f>"98/98"</f>
        <v>98/98</v>
      </c>
      <c r="K5815" s="1" t="str">
        <f>"2026-07-29 13:18:03"</f>
        <v>2026-07-29 13:18:03</v>
      </c>
      <c r="L5815" s="1" t="str">
        <f>"2018-03-13 16:04:26"</f>
        <v>2018-03-13 16:04:26</v>
      </c>
      <c r="M5815" s="1" t="s">
        <v>1</v>
      </c>
      <c r="N5815" s="1" t="s">
        <v>38</v>
      </c>
      <c r="O5815" s="1" t="s">
        <v>46</v>
      </c>
    </row>
    <row r="5816" spans="2:15" x14ac:dyDescent="0.3">
      <c r="B5816" s="1" t="s">
        <v>22</v>
      </c>
      <c r="C5816" s="1" t="str">
        <f>"1차"</f>
        <v>1차</v>
      </c>
      <c r="D5816" s="1" t="str">
        <f>"0131Z96100"</f>
        <v>0131Z96100</v>
      </c>
      <c r="E5816" s="1" t="s">
        <v>10</v>
      </c>
      <c r="F5816" s="1" t="str">
        <f>"10.107.255.82"</f>
        <v>10.107.255.82</v>
      </c>
      <c r="G5816" s="1" t="str">
        <f>"0131Z961"</f>
        <v>0131Z961</v>
      </c>
      <c r="H5816" s="1" t="str">
        <f>"쌍이간 6L4R2"</f>
        <v>쌍이간 6L4R2</v>
      </c>
      <c r="I5816" s="1" t="s">
        <v>8</v>
      </c>
      <c r="J5816" s="1" t="str">
        <f>"48/48"</f>
        <v>48/48</v>
      </c>
      <c r="K5816" s="1" t="str">
        <f>"2026-07-29 13:18:03"</f>
        <v>2026-07-29 13:18:03</v>
      </c>
      <c r="L5816" s="1" t="str">
        <f>"2014-12-27 08:58:25"</f>
        <v>2014-12-27 08:58:25</v>
      </c>
      <c r="M5816" s="1" t="s">
        <v>45</v>
      </c>
      <c r="N5816" s="1" t="s">
        <v>38</v>
      </c>
      <c r="O5816" s="1" t="s">
        <v>46</v>
      </c>
    </row>
    <row r="5817" spans="2:15" x14ac:dyDescent="0.3">
      <c r="B5817" s="1" t="s">
        <v>22</v>
      </c>
      <c r="C5817" s="1" t="str">
        <f>"1차"</f>
        <v>1차</v>
      </c>
      <c r="D5817" s="1" t="str">
        <f>"0131Z97201"</f>
        <v>0131Z97201</v>
      </c>
      <c r="E5817" s="1" t="s">
        <v>10</v>
      </c>
      <c r="F5817" s="1" t="str">
        <f>"10.12.129.143"</f>
        <v>10.12.129.143</v>
      </c>
      <c r="G5817" s="1" t="str">
        <f>"0131Z972"</f>
        <v>0131Z972</v>
      </c>
      <c r="H5817" s="1" t="str">
        <f>"쌍이간 6L4R4"</f>
        <v>쌍이간 6L4R4</v>
      </c>
      <c r="I5817" s="1" t="s">
        <v>8</v>
      </c>
      <c r="J5817" s="1" t="str">
        <f>"4/4"</f>
        <v>4/4</v>
      </c>
      <c r="K5817" s="1" t="str">
        <f>"2026-07-29 13:18:02"</f>
        <v>2026-07-29 13:18:02</v>
      </c>
      <c r="L5817" s="1" t="str">
        <f>"2015-01-09 15:04:52"</f>
        <v>2015-01-09 15:04:52</v>
      </c>
      <c r="M5817" s="1" t="s">
        <v>0</v>
      </c>
      <c r="N5817" s="1" t="s">
        <v>38</v>
      </c>
      <c r="O5817" s="1" t="s">
        <v>46</v>
      </c>
    </row>
    <row r="5818" spans="2:15" x14ac:dyDescent="0.3">
      <c r="B5818" s="1" t="s">
        <v>22</v>
      </c>
      <c r="C5818" s="1" t="str">
        <f>"5-2차"</f>
        <v>5-2차</v>
      </c>
      <c r="D5818" s="1" t="str">
        <f>"0132Z2015S"</f>
        <v>0132Z2015S</v>
      </c>
      <c r="E5818" s="1" t="s">
        <v>10</v>
      </c>
      <c r="F5818" s="1" t="str">
        <f>"fde3:102:1420:5300:0:0:0:9"</f>
        <v>fde3:102:1420:5300:0:0:0:9</v>
      </c>
      <c r="G5818" s="1" t="str">
        <f>"0132Z201"</f>
        <v>0132Z201</v>
      </c>
      <c r="H5818" s="1" t="str">
        <f>"방학지 42R2L1"</f>
        <v>방학지 42R2L1</v>
      </c>
      <c r="I5818" s="1" t="s">
        <v>15</v>
      </c>
      <c r="J5818" s="1" t="str">
        <f>"67/67"</f>
        <v>67/67</v>
      </c>
      <c r="K5818" s="1" t="str">
        <f>"2026-07-29 14:20:18"</f>
        <v>2026-07-29 14:20:18</v>
      </c>
      <c r="L5818" s="1" t="str">
        <f>"2023-06-27 13:36:41"</f>
        <v>2023-06-27 13:36:41</v>
      </c>
      <c r="M5818" s="1" t="s">
        <v>45</v>
      </c>
      <c r="N5818" s="1" t="s">
        <v>38</v>
      </c>
      <c r="O5818" s="1" t="s">
        <v>46</v>
      </c>
    </row>
    <row r="5819" spans="2:15" x14ac:dyDescent="0.3">
      <c r="B5819" s="1" t="s">
        <v>22</v>
      </c>
      <c r="C5819" s="1" t="str">
        <f>"5-2차"</f>
        <v>5-2차</v>
      </c>
      <c r="D5819" s="1" t="str">
        <f>"0132Z2115S"</f>
        <v>0132Z2115S</v>
      </c>
      <c r="E5819" s="1" t="s">
        <v>10</v>
      </c>
      <c r="F5819" s="1" t="str">
        <f>"fde3:102:1420:5300:0:0:0:b"</f>
        <v>fde3:102:1420:5300:0:0:0:b</v>
      </c>
      <c r="G5819" s="1" t="str">
        <f>"0132Z211"</f>
        <v>0132Z211</v>
      </c>
      <c r="H5819" s="1" t="str">
        <f>"방학지 42R2"</f>
        <v>방학지 42R2</v>
      </c>
      <c r="I5819" s="1" t="s">
        <v>15</v>
      </c>
      <c r="J5819" s="1" t="str">
        <f>"45/45"</f>
        <v>45/45</v>
      </c>
      <c r="K5819" s="1" t="str">
        <f>"2026-07-29 14:20:00"</f>
        <v>2026-07-29 14:20:00</v>
      </c>
      <c r="L5819" s="1" t="str">
        <f>"2023-06-14 11:13:56"</f>
        <v>2023-06-14 11:13:56</v>
      </c>
      <c r="M5819" s="1" t="s">
        <v>45</v>
      </c>
      <c r="N5819" s="1" t="s">
        <v>38</v>
      </c>
      <c r="O5819" s="1" t="s">
        <v>46</v>
      </c>
    </row>
    <row r="5820" spans="2:15" x14ac:dyDescent="0.3">
      <c r="B5820" s="1" t="s">
        <v>22</v>
      </c>
      <c r="C5820" s="1" t="str">
        <f>"5-2차"</f>
        <v>5-2차</v>
      </c>
      <c r="D5820" s="1" t="str">
        <f>"0132Z3015M"</f>
        <v>0132Z3015M</v>
      </c>
      <c r="E5820" s="1" t="s">
        <v>10</v>
      </c>
      <c r="F5820" s="1" t="str">
        <f>"fde3:102:1420:5300:0:0:0:a"</f>
        <v>fde3:102:1420:5300:0:0:0:a</v>
      </c>
      <c r="G5820" s="1" t="str">
        <f>"0132Z301"</f>
        <v>0132Z301</v>
      </c>
      <c r="H5820" s="1" t="str">
        <f>"방학지 42R1"</f>
        <v>방학지 42R1</v>
      </c>
      <c r="I5820" s="1" t="s">
        <v>15</v>
      </c>
      <c r="J5820" s="1" t="str">
        <f>"65/65"</f>
        <v>65/65</v>
      </c>
      <c r="K5820" s="1" t="str">
        <f>"2026-07-29 14:20:19"</f>
        <v>2026-07-29 14:20:19</v>
      </c>
      <c r="L5820" s="1" t="str">
        <f>"2023-10-11 13:19:50"</f>
        <v>2023-10-11 13:19:50</v>
      </c>
      <c r="M5820" s="1" t="s">
        <v>45</v>
      </c>
      <c r="N5820" s="1" t="s">
        <v>38</v>
      </c>
      <c r="O5820" s="1" t="s">
        <v>46</v>
      </c>
    </row>
    <row r="5821" spans="2:15" x14ac:dyDescent="0.3">
      <c r="B5821" s="1" t="s">
        <v>22</v>
      </c>
      <c r="C5821" s="1" t="str">
        <f>"6차"</f>
        <v>6차</v>
      </c>
      <c r="D5821" s="1" t="str">
        <f>"0132Z3116S"</f>
        <v>0132Z3116S</v>
      </c>
      <c r="E5821" s="1" t="s">
        <v>10</v>
      </c>
      <c r="F5821" s="1" t="str">
        <f>"fde3:102:1420:5300:0:0:0:16"</f>
        <v>fde3:102:1420:5300:0:0:0:16</v>
      </c>
      <c r="G5821" s="1" t="str">
        <f>"0132Z311"</f>
        <v>0132Z311</v>
      </c>
      <c r="H5821" s="1" t="str">
        <f>"방학지 42R4"</f>
        <v>방학지 42R4</v>
      </c>
      <c r="I5821" s="1" t="s">
        <v>15</v>
      </c>
      <c r="J5821" s="1" t="str">
        <f>"30/42"</f>
        <v>30/42</v>
      </c>
      <c r="K5821" s="1" t="str">
        <f>"2026-07-28 20:03:23"</f>
        <v>2026-07-28 20:03:23</v>
      </c>
      <c r="L5821" s="1" t="str">
        <f>"2024-11-23 10:20:20"</f>
        <v>2024-11-23 10:20:20</v>
      </c>
      <c r="M5821" s="1" t="s">
        <v>45</v>
      </c>
      <c r="N5821" s="1" t="s">
        <v>38</v>
      </c>
      <c r="O5821" s="1" t="s">
        <v>46</v>
      </c>
    </row>
    <row r="5822" spans="2:15" x14ac:dyDescent="0.3">
      <c r="B5822" s="1" t="s">
        <v>22</v>
      </c>
      <c r="C5822" s="1" t="str">
        <f>"3차"</f>
        <v>3차</v>
      </c>
      <c r="D5822" s="1" t="str">
        <f>"0132Z50130"</f>
        <v>0132Z50130</v>
      </c>
      <c r="E5822" s="1" t="s">
        <v>10</v>
      </c>
      <c r="F5822" s="1" t="str">
        <f>"10.10.21.226"</f>
        <v>10.10.21.226</v>
      </c>
      <c r="G5822" s="1" t="str">
        <f>"0132Z501"</f>
        <v>0132Z501</v>
      </c>
      <c r="H5822" s="1" t="str">
        <f>"방학지 38R1"</f>
        <v>방학지 38R1</v>
      </c>
      <c r="I5822" s="1" t="s">
        <v>8</v>
      </c>
      <c r="J5822" s="1" t="str">
        <f>"10/10"</f>
        <v>10/10</v>
      </c>
      <c r="K5822" s="1" t="str">
        <f>"2026-07-29 13:18:03"</f>
        <v>2026-07-29 13:18:03</v>
      </c>
      <c r="L5822" s="1" t="str">
        <f>"2018-01-19 14:53:42"</f>
        <v>2018-01-19 14:53:42</v>
      </c>
      <c r="M5822" s="1" t="s">
        <v>1</v>
      </c>
      <c r="N5822" s="1" t="s">
        <v>38</v>
      </c>
      <c r="O5822" s="1" t="s">
        <v>46</v>
      </c>
    </row>
    <row r="5823" spans="2:15" x14ac:dyDescent="0.3">
      <c r="B5823" s="1" t="s">
        <v>22</v>
      </c>
      <c r="C5823" s="1" t="str">
        <f>"4차"</f>
        <v>4차</v>
      </c>
      <c r="D5823" s="1" t="str">
        <f>"0132Z51231"</f>
        <v>0132Z51231</v>
      </c>
      <c r="E5823" s="1" t="s">
        <v>10</v>
      </c>
      <c r="F5823" s="1" t="str">
        <f>"10.10.21.227"</f>
        <v>10.10.21.227</v>
      </c>
      <c r="G5823" s="1" t="str">
        <f>"0132Z512"</f>
        <v>0132Z512</v>
      </c>
      <c r="H5823" s="1" t="str">
        <f>"방학지 38R3"</f>
        <v>방학지 38R3</v>
      </c>
      <c r="I5823" s="1" t="s">
        <v>8</v>
      </c>
      <c r="J5823" s="1" t="str">
        <f>"42/42"</f>
        <v>42/42</v>
      </c>
      <c r="K5823" s="1" t="str">
        <f>"2026-07-29 13:18:03"</f>
        <v>2026-07-29 13:18:03</v>
      </c>
      <c r="L5823" s="1" t="str">
        <f>"2018-01-30 14:09:29"</f>
        <v>2018-01-30 14:09:29</v>
      </c>
      <c r="M5823" s="1" t="s">
        <v>1</v>
      </c>
      <c r="N5823" s="1" t="s">
        <v>38</v>
      </c>
      <c r="O5823" s="1" t="s">
        <v>46</v>
      </c>
    </row>
    <row r="5824" spans="2:15" x14ac:dyDescent="0.3">
      <c r="B5824" s="1" t="s">
        <v>22</v>
      </c>
      <c r="C5824" s="1" t="str">
        <f>"3차"</f>
        <v>3차</v>
      </c>
      <c r="D5824" s="1" t="str">
        <f>"0132Z52130"</f>
        <v>0132Z52130</v>
      </c>
      <c r="E5824" s="1" t="s">
        <v>10</v>
      </c>
      <c r="F5824" s="1" t="str">
        <f>"10.10.23.250"</f>
        <v>10.10.23.250</v>
      </c>
      <c r="G5824" s="1" t="str">
        <f>"0132Z521"</f>
        <v>0132Z521</v>
      </c>
      <c r="H5824" s="1" t="str">
        <f>"방학지 34R6"</f>
        <v>방학지 34R6</v>
      </c>
      <c r="I5824" s="1" t="s">
        <v>8</v>
      </c>
      <c r="J5824" s="1" t="str">
        <f>"41/41"</f>
        <v>41/41</v>
      </c>
      <c r="K5824" s="1" t="str">
        <f>"2026-07-29 13:18:03"</f>
        <v>2026-07-29 13:18:03</v>
      </c>
      <c r="L5824" s="1" t="str">
        <f>"2018-03-16 10:18:12"</f>
        <v>2018-03-16 10:18:12</v>
      </c>
      <c r="M5824" s="1" t="s">
        <v>1</v>
      </c>
      <c r="N5824" s="1" t="s">
        <v>38</v>
      </c>
      <c r="O5824" s="1" t="s">
        <v>46</v>
      </c>
    </row>
    <row r="5825" spans="2:15" x14ac:dyDescent="0.3">
      <c r="B5825" s="1" t="s">
        <v>22</v>
      </c>
      <c r="C5825" s="1" t="str">
        <f>"3차"</f>
        <v>3차</v>
      </c>
      <c r="D5825" s="1" t="str">
        <f>"0132Z53232"</f>
        <v>0132Z53232</v>
      </c>
      <c r="E5825" s="1" t="s">
        <v>10</v>
      </c>
      <c r="F5825" s="1" t="str">
        <f>"10.12.131.233"</f>
        <v>10.12.131.233</v>
      </c>
      <c r="G5825" s="1" t="str">
        <f>"0132Z532"</f>
        <v>0132Z532</v>
      </c>
      <c r="H5825" s="1" t="str">
        <f>"방학지 34R7"</f>
        <v>방학지 34R7</v>
      </c>
      <c r="I5825" s="1" t="s">
        <v>8</v>
      </c>
      <c r="J5825" s="1" t="str">
        <f>"38/38"</f>
        <v>38/38</v>
      </c>
      <c r="K5825" s="1" t="str">
        <f>"2026-07-29 13:18:03"</f>
        <v>2026-07-29 13:18:03</v>
      </c>
      <c r="L5825" s="1" t="str">
        <f>"2018-01-20 14:16:27"</f>
        <v>2018-01-20 14:16:27</v>
      </c>
      <c r="M5825" s="1" t="s">
        <v>0</v>
      </c>
      <c r="N5825" s="1" t="s">
        <v>38</v>
      </c>
      <c r="O5825" s="1" t="s">
        <v>46</v>
      </c>
    </row>
    <row r="5826" spans="2:15" x14ac:dyDescent="0.3">
      <c r="B5826" s="1" t="s">
        <v>22</v>
      </c>
      <c r="C5826" s="1" t="str">
        <f>"4차"</f>
        <v>4차</v>
      </c>
      <c r="D5826" s="1" t="str">
        <f>"0132Z60139"</f>
        <v>0132Z60139</v>
      </c>
      <c r="E5826" s="1" t="s">
        <v>10</v>
      </c>
      <c r="F5826" s="1" t="str">
        <f>"10.10.9.162"</f>
        <v>10.10.9.162</v>
      </c>
      <c r="G5826" s="1" t="str">
        <f>"0132Z601"</f>
        <v>0132Z601</v>
      </c>
      <c r="H5826" s="1" t="str">
        <f>"방학지 35R2"</f>
        <v>방학지 35R2</v>
      </c>
      <c r="I5826" s="1" t="s">
        <v>8</v>
      </c>
      <c r="J5826" s="1" t="str">
        <f>"77/77"</f>
        <v>77/77</v>
      </c>
      <c r="K5826" s="1" t="str">
        <f>"2026-07-29 13:18:01"</f>
        <v>2026-07-29 13:18:01</v>
      </c>
      <c r="L5826" s="1" t="str">
        <f>"2018-01-23 10:54:09"</f>
        <v>2018-01-23 10:54:09</v>
      </c>
      <c r="M5826" s="1" t="s">
        <v>1</v>
      </c>
      <c r="N5826" s="1" t="s">
        <v>38</v>
      </c>
      <c r="O5826" s="1" t="s">
        <v>46</v>
      </c>
    </row>
    <row r="5827" spans="2:15" x14ac:dyDescent="0.3">
      <c r="B5827" s="1" t="s">
        <v>22</v>
      </c>
      <c r="C5827" s="1" t="str">
        <f>"3차"</f>
        <v>3차</v>
      </c>
      <c r="D5827" s="1" t="str">
        <f>"0132Z61239"</f>
        <v>0132Z61239</v>
      </c>
      <c r="E5827" s="1" t="s">
        <v>10</v>
      </c>
      <c r="F5827" s="1" t="str">
        <f>"10.10.8.74"</f>
        <v>10.10.8.74</v>
      </c>
      <c r="G5827" s="1" t="str">
        <f>"0132Z612"</f>
        <v>0132Z612</v>
      </c>
      <c r="H5827" s="1" t="str">
        <f>"방학지 34R3"</f>
        <v>방학지 34R3</v>
      </c>
      <c r="I5827" s="1" t="s">
        <v>8</v>
      </c>
      <c r="J5827" s="1" t="str">
        <f>"23/23"</f>
        <v>23/23</v>
      </c>
      <c r="K5827" s="1" t="str">
        <f>"2026-07-29 13:18:01"</f>
        <v>2026-07-29 13:18:01</v>
      </c>
      <c r="L5827" s="1" t="str">
        <f>"2018-05-11 14:58:59"</f>
        <v>2018-05-11 14:58:59</v>
      </c>
      <c r="M5827" s="1" t="s">
        <v>1</v>
      </c>
      <c r="N5827" s="1" t="s">
        <v>38</v>
      </c>
      <c r="O5827" s="1" t="s">
        <v>46</v>
      </c>
    </row>
    <row r="5828" spans="2:15" x14ac:dyDescent="0.3">
      <c r="B5828" s="1" t="s">
        <v>22</v>
      </c>
      <c r="C5828" s="1" t="str">
        <f>"3차"</f>
        <v>3차</v>
      </c>
      <c r="D5828" s="1" t="str">
        <f>"0132Z62131"</f>
        <v>0132Z62131</v>
      </c>
      <c r="E5828" s="1" t="s">
        <v>10</v>
      </c>
      <c r="F5828" s="1" t="str">
        <f>"10.12.131.236"</f>
        <v>10.12.131.236</v>
      </c>
      <c r="G5828" s="1" t="str">
        <f>"0132Z621"</f>
        <v>0132Z621</v>
      </c>
      <c r="H5828" s="1" t="str">
        <f>"방학지 34R5"</f>
        <v>방학지 34R5</v>
      </c>
      <c r="I5828" s="1" t="s">
        <v>8</v>
      </c>
      <c r="J5828" s="1" t="str">
        <f>"45/45"</f>
        <v>45/45</v>
      </c>
      <c r="K5828" s="1" t="str">
        <f>"2026-07-29 13:18:01"</f>
        <v>2026-07-29 13:18:01</v>
      </c>
      <c r="L5828" s="1" t="str">
        <f>"2018-06-05 11:08:57"</f>
        <v>2018-06-05 11:08:57</v>
      </c>
      <c r="M5828" s="1" t="s">
        <v>0</v>
      </c>
      <c r="N5828" s="1" t="s">
        <v>38</v>
      </c>
      <c r="O5828" s="1" t="s">
        <v>46</v>
      </c>
    </row>
    <row r="5829" spans="2:15" x14ac:dyDescent="0.3">
      <c r="B5829" s="1" t="s">
        <v>22</v>
      </c>
      <c r="C5829" s="1" t="str">
        <f>"4차"</f>
        <v>4차</v>
      </c>
      <c r="D5829" s="1" t="str">
        <f>"0132Z70239"</f>
        <v>0132Z70239</v>
      </c>
      <c r="E5829" s="1" t="s">
        <v>10</v>
      </c>
      <c r="F5829" s="1" t="str">
        <f>"10.12.128.39"</f>
        <v>10.12.128.39</v>
      </c>
      <c r="G5829" s="1" t="str">
        <f>"0132Z702"</f>
        <v>0132Z702</v>
      </c>
      <c r="H5829" s="1" t="str">
        <f>"방학지 34R2"</f>
        <v>방학지 34R2</v>
      </c>
      <c r="I5829" s="1" t="s">
        <v>8</v>
      </c>
      <c r="J5829" s="1" t="str">
        <f>"33/33"</f>
        <v>33/33</v>
      </c>
      <c r="K5829" s="1" t="str">
        <f>"2026-07-29 13:18:02"</f>
        <v>2026-07-29 13:18:02</v>
      </c>
      <c r="L5829" s="1" t="str">
        <f>"2018-03-28 08:59:41"</f>
        <v>2018-03-28 08:59:41</v>
      </c>
      <c r="M5829" s="1" t="s">
        <v>0</v>
      </c>
      <c r="N5829" s="1" t="s">
        <v>38</v>
      </c>
      <c r="O5829" s="1" t="s">
        <v>46</v>
      </c>
    </row>
    <row r="5830" spans="2:15" x14ac:dyDescent="0.3">
      <c r="B5830" s="1" t="s">
        <v>22</v>
      </c>
      <c r="C5830" s="1" t="str">
        <f>"3차"</f>
        <v>3차</v>
      </c>
      <c r="D5830" s="1" t="str">
        <f>"0132Z71131"</f>
        <v>0132Z71131</v>
      </c>
      <c r="E5830" s="1" t="s">
        <v>10</v>
      </c>
      <c r="F5830" s="1" t="str">
        <f>"10.10.21.219"</f>
        <v>10.10.21.219</v>
      </c>
      <c r="G5830" s="1" t="str">
        <f>"0132Z711"</f>
        <v>0132Z711</v>
      </c>
      <c r="H5830" s="1" t="str">
        <f>"방학지 34R4R2"</f>
        <v>방학지 34R4R2</v>
      </c>
      <c r="I5830" s="1" t="s">
        <v>8</v>
      </c>
      <c r="J5830" s="1" t="str">
        <f>"47/47"</f>
        <v>47/47</v>
      </c>
      <c r="K5830" s="1" t="str">
        <f>"2026-07-29 13:18:03"</f>
        <v>2026-07-29 13:18:03</v>
      </c>
      <c r="L5830" s="1" t="str">
        <f>"2018-01-20 14:47:12"</f>
        <v>2018-01-20 14:47:12</v>
      </c>
      <c r="M5830" s="1" t="s">
        <v>1</v>
      </c>
      <c r="N5830" s="1" t="s">
        <v>38</v>
      </c>
      <c r="O5830" s="1" t="s">
        <v>46</v>
      </c>
    </row>
    <row r="5831" spans="2:15" x14ac:dyDescent="0.3">
      <c r="B5831" s="1" t="s">
        <v>22</v>
      </c>
      <c r="C5831" s="1" t="str">
        <f>"3차"</f>
        <v>3차</v>
      </c>
      <c r="D5831" s="1" t="str">
        <f>"0132Z72130"</f>
        <v>0132Z72130</v>
      </c>
      <c r="E5831" s="1" t="s">
        <v>10</v>
      </c>
      <c r="F5831" s="1" t="str">
        <f>"10.10.21.218"</f>
        <v>10.10.21.218</v>
      </c>
      <c r="G5831" s="1" t="str">
        <f>"0132Z721"</f>
        <v>0132Z721</v>
      </c>
      <c r="H5831" s="1" t="str">
        <f>"방학지 34R4R1"</f>
        <v>방학지 34R4R1</v>
      </c>
      <c r="I5831" s="1" t="s">
        <v>8</v>
      </c>
      <c r="J5831" s="1" t="str">
        <f>"26/26"</f>
        <v>26/26</v>
      </c>
      <c r="K5831" s="1" t="str">
        <f>"2026-07-29 13:18:01"</f>
        <v>2026-07-29 13:18:01</v>
      </c>
      <c r="L5831" s="1" t="str">
        <f>"2018-01-19 14:03:42"</f>
        <v>2018-01-19 14:03:42</v>
      </c>
      <c r="M5831" s="1" t="s">
        <v>1</v>
      </c>
      <c r="N5831" s="1" t="s">
        <v>38</v>
      </c>
      <c r="O5831" s="1" t="s">
        <v>46</v>
      </c>
    </row>
    <row r="5832" spans="2:15" x14ac:dyDescent="0.3">
      <c r="B5832" s="1" t="s">
        <v>22</v>
      </c>
      <c r="C5832" s="1" t="str">
        <f>"6차"</f>
        <v>6차</v>
      </c>
      <c r="D5832" s="1" t="str">
        <f>"0132Z8016S"</f>
        <v>0132Z8016S</v>
      </c>
      <c r="E5832" s="1" t="s">
        <v>10</v>
      </c>
      <c r="F5832" s="1" t="str">
        <f>"fde1:103:4:c777:0:0:0:2"</f>
        <v>fde1:103:4:c777:0:0:0:2</v>
      </c>
      <c r="G5832" s="1" t="str">
        <f>"0132Z801"</f>
        <v>0132Z801</v>
      </c>
      <c r="H5832" s="1" t="str">
        <f>"방학지 34R1R2"</f>
        <v>방학지 34R1R2</v>
      </c>
      <c r="I5832" s="1" t="s">
        <v>15</v>
      </c>
      <c r="J5832" s="1" t="str">
        <f>"17/17"</f>
        <v>17/17</v>
      </c>
      <c r="K5832" s="1" t="str">
        <f>"2026-07-29 14:20:01"</f>
        <v>2026-07-29 14:20:01</v>
      </c>
      <c r="L5832" s="1" t="str">
        <f>"2025-01-20 14:07:30"</f>
        <v>2025-01-20 14:07:30</v>
      </c>
      <c r="M5832" s="1" t="s">
        <v>4</v>
      </c>
      <c r="N5832" s="1" t="s">
        <v>38</v>
      </c>
      <c r="O5832" s="1" t="s">
        <v>46</v>
      </c>
    </row>
    <row r="5833" spans="2:15" x14ac:dyDescent="0.3">
      <c r="B5833" s="1" t="s">
        <v>22</v>
      </c>
      <c r="C5833" s="1" t="str">
        <f>"4차"</f>
        <v>4차</v>
      </c>
      <c r="D5833" s="1" t="str">
        <f>"0132Z82139"</f>
        <v>0132Z82139</v>
      </c>
      <c r="E5833" s="1" t="s">
        <v>10</v>
      </c>
      <c r="F5833" s="1" t="str">
        <f>"10.10.9.154"</f>
        <v>10.10.9.154</v>
      </c>
      <c r="G5833" s="1" t="str">
        <f>"0132Z821"</f>
        <v>0132Z821</v>
      </c>
      <c r="H5833" s="1" t="str">
        <f>"방학지 34R1R4"</f>
        <v>방학지 34R1R4</v>
      </c>
      <c r="I5833" s="1" t="s">
        <v>8</v>
      </c>
      <c r="J5833" s="1" t="str">
        <f>"22/22"</f>
        <v>22/22</v>
      </c>
      <c r="K5833" s="1" t="str">
        <f>"2026-07-29 13:18:01"</f>
        <v>2026-07-29 13:18:01</v>
      </c>
      <c r="L5833" s="1" t="str">
        <f>"2018-01-23 10:55:39"</f>
        <v>2018-01-23 10:55:39</v>
      </c>
      <c r="M5833" s="1" t="s">
        <v>1</v>
      </c>
      <c r="N5833" s="1" t="s">
        <v>38</v>
      </c>
      <c r="O5833" s="1" t="s">
        <v>46</v>
      </c>
    </row>
    <row r="5834" spans="2:15" x14ac:dyDescent="0.3">
      <c r="B5834" s="1" t="s">
        <v>22</v>
      </c>
      <c r="C5834" s="1" t="str">
        <f>"5-2차"</f>
        <v>5-2차</v>
      </c>
      <c r="D5834" s="1" t="str">
        <f>"0229B0015M"</f>
        <v>0229B0015M</v>
      </c>
      <c r="E5834" s="1" t="s">
        <v>10</v>
      </c>
      <c r="F5834" s="1" t="str">
        <f>"fde1:103:4:9369:0:0:0:2"</f>
        <v>fde1:103:4:9369:0:0:0:2</v>
      </c>
      <c r="G5834" s="1" t="str">
        <f>"0229B001"</f>
        <v>0229B001</v>
      </c>
      <c r="H5834" s="1" t="str">
        <f>"말미간 46"</f>
        <v>말미간 46</v>
      </c>
      <c r="I5834" s="1" t="s">
        <v>15</v>
      </c>
      <c r="J5834" s="1" t="str">
        <f>"29/29"</f>
        <v>29/29</v>
      </c>
      <c r="K5834" s="1" t="str">
        <f>"2026-07-29 14:20:48"</f>
        <v>2026-07-29 14:20:48</v>
      </c>
      <c r="L5834" s="1" t="str">
        <f>"2023-12-19 10:48:58"</f>
        <v>2023-12-19 10:48:58</v>
      </c>
      <c r="M5834" s="1" t="s">
        <v>4</v>
      </c>
      <c r="N5834" s="1" t="s">
        <v>38</v>
      </c>
      <c r="O5834" s="1" t="s">
        <v>46</v>
      </c>
    </row>
    <row r="5835" spans="2:15" x14ac:dyDescent="0.3">
      <c r="B5835" s="1" t="s">
        <v>22</v>
      </c>
      <c r="C5835" s="1" t="str">
        <f>"4차"</f>
        <v>4차</v>
      </c>
      <c r="D5835" s="1" t="str">
        <f>"0229B35145"</f>
        <v>0229B35145</v>
      </c>
      <c r="E5835" s="1" t="s">
        <v>10</v>
      </c>
      <c r="F5835" s="1" t="str">
        <f>"10.12.135.198"</f>
        <v>10.12.135.198</v>
      </c>
      <c r="G5835" s="1" t="str">
        <f>"0229B351"</f>
        <v>0229B351</v>
      </c>
      <c r="H5835" s="1" t="str">
        <f>"월계 63"</f>
        <v>월계 63</v>
      </c>
      <c r="I5835" s="1" t="s">
        <v>17</v>
      </c>
      <c r="J5835" s="1" t="str">
        <f>"163/166"</f>
        <v>163/166</v>
      </c>
      <c r="K5835" s="1" t="str">
        <f>"2026-07-29 13:18:02"</f>
        <v>2026-07-29 13:18:02</v>
      </c>
      <c r="L5835" s="1" t="str">
        <f>"2021-06-23 10:29:37"</f>
        <v>2021-06-23 10:29:37</v>
      </c>
      <c r="M5835" s="1" t="s">
        <v>0</v>
      </c>
      <c r="N5835" s="1" t="s">
        <v>38</v>
      </c>
      <c r="O5835" s="1" t="s">
        <v>46</v>
      </c>
    </row>
    <row r="5836" spans="2:15" x14ac:dyDescent="0.3">
      <c r="B5836" s="1" t="s">
        <v>22</v>
      </c>
      <c r="C5836" s="1" t="str">
        <f>"4차"</f>
        <v>4차</v>
      </c>
      <c r="D5836" s="1" t="str">
        <f>"0229B36139"</f>
        <v>0229B36139</v>
      </c>
      <c r="E5836" s="1" t="s">
        <v>10</v>
      </c>
      <c r="F5836" s="1" t="str">
        <f>"10.12.137.20"</f>
        <v>10.12.137.20</v>
      </c>
      <c r="G5836" s="1" t="str">
        <f>"0229B361"</f>
        <v>0229B361</v>
      </c>
      <c r="H5836" s="1" t="str">
        <f>"월계 61"</f>
        <v>월계 61</v>
      </c>
      <c r="I5836" s="1" t="s">
        <v>17</v>
      </c>
      <c r="J5836" s="1" t="str">
        <f>"58/70"</f>
        <v>58/70</v>
      </c>
      <c r="K5836" s="1" t="str">
        <f>"2026-07-29 13:18:01"</f>
        <v>2026-07-29 13:18:01</v>
      </c>
      <c r="L5836" s="1" t="str">
        <f>"2018-10-09 09:27:26"</f>
        <v>2018-10-09 09:27:26</v>
      </c>
      <c r="M5836" s="1" t="s">
        <v>0</v>
      </c>
      <c r="N5836" s="1" t="s">
        <v>38</v>
      </c>
      <c r="O5836" s="1" t="s">
        <v>46</v>
      </c>
    </row>
    <row r="5837" spans="2:15" x14ac:dyDescent="0.3">
      <c r="B5837" s="1" t="s">
        <v>22</v>
      </c>
      <c r="C5837" s="1" t="str">
        <f>"4차"</f>
        <v>4차</v>
      </c>
      <c r="D5837" s="1" t="str">
        <f>"0229B36245"</f>
        <v>0229B36245</v>
      </c>
      <c r="E5837" s="1" t="s">
        <v>10</v>
      </c>
      <c r="F5837" s="1" t="str">
        <f>"10.14.9.5"</f>
        <v>10.14.9.5</v>
      </c>
      <c r="G5837" s="1" t="str">
        <f>"0229B362"</f>
        <v>0229B362</v>
      </c>
      <c r="H5837" s="1" t="str">
        <f>"월계 62"</f>
        <v>월계 62</v>
      </c>
      <c r="I5837" s="1" t="s">
        <v>17</v>
      </c>
      <c r="J5837" s="1" t="str">
        <f>"177/177"</f>
        <v>177/177</v>
      </c>
      <c r="K5837" s="1" t="str">
        <f>"2026-07-29 13:18:03"</f>
        <v>2026-07-29 13:18:03</v>
      </c>
      <c r="L5837" s="1" t="str">
        <f>"2021-06-23 10:52:31"</f>
        <v>2021-06-23 10:52:31</v>
      </c>
      <c r="M5837" s="1" t="s">
        <v>3</v>
      </c>
      <c r="N5837" s="1" t="s">
        <v>38</v>
      </c>
      <c r="O5837" s="1" t="s">
        <v>46</v>
      </c>
    </row>
    <row r="5838" spans="2:15" x14ac:dyDescent="0.3">
      <c r="B5838" s="1" t="s">
        <v>22</v>
      </c>
      <c r="C5838" s="1" t="str">
        <f>"5-1차"</f>
        <v>5-1차</v>
      </c>
      <c r="D5838" s="1" t="str">
        <f>"0229B3715S"</f>
        <v>0229B3715S</v>
      </c>
      <c r="E5838" s="1" t="s">
        <v>10</v>
      </c>
      <c r="F5838" s="1" t="str">
        <f>"fde2:104:0:113:0:0:0:2"</f>
        <v>fde2:104:0:113:0:0:0:2</v>
      </c>
      <c r="G5838" s="1" t="str">
        <f>"0229B371"</f>
        <v>0229B371</v>
      </c>
      <c r="H5838" s="1" t="str">
        <f>"말미간 51L4L7"</f>
        <v>말미간 51L4L7</v>
      </c>
      <c r="I5838" s="1" t="s">
        <v>15</v>
      </c>
      <c r="J5838" s="1" t="str">
        <f>"53/53"</f>
        <v>53/53</v>
      </c>
      <c r="K5838" s="1" t="str">
        <f>"2026-07-29 14:20:49"</f>
        <v>2026-07-29 14:20:49</v>
      </c>
      <c r="L5838" s="1" t="str">
        <f>"2022-10-14 07:51:55"</f>
        <v>2022-10-14 07:51:55</v>
      </c>
      <c r="M5838" s="1" t="s">
        <v>42</v>
      </c>
      <c r="N5838" s="1" t="s">
        <v>38</v>
      </c>
      <c r="O5838" s="1" t="s">
        <v>46</v>
      </c>
    </row>
    <row r="5839" spans="2:15" x14ac:dyDescent="0.3">
      <c r="B5839" s="1" t="s">
        <v>22</v>
      </c>
      <c r="C5839" s="1" t="str">
        <f>"4차"</f>
        <v>4차</v>
      </c>
      <c r="D5839" s="1" t="str">
        <f>"0229B47139"</f>
        <v>0229B47139</v>
      </c>
      <c r="E5839" s="1" t="s">
        <v>10</v>
      </c>
      <c r="F5839" s="1" t="str">
        <f>"10.12.137.17"</f>
        <v>10.12.137.17</v>
      </c>
      <c r="G5839" s="1" t="str">
        <f>"0229B471"</f>
        <v>0229B471</v>
      </c>
      <c r="H5839" s="1" t="str">
        <f>"월계 60"</f>
        <v>월계 60</v>
      </c>
      <c r="I5839" s="1" t="s">
        <v>17</v>
      </c>
      <c r="J5839" s="1" t="str">
        <f>"8/8"</f>
        <v>8/8</v>
      </c>
      <c r="K5839" s="1" t="str">
        <f>"2026-07-29 13:18:03"</f>
        <v>2026-07-29 13:18:03</v>
      </c>
      <c r="L5839" s="1" t="str">
        <f>"2018-05-24 14:28:58"</f>
        <v>2018-05-24 14:28:58</v>
      </c>
      <c r="M5839" s="1" t="s">
        <v>0</v>
      </c>
      <c r="N5839" s="1" t="s">
        <v>38</v>
      </c>
      <c r="O5839" s="1" t="s">
        <v>46</v>
      </c>
    </row>
    <row r="5840" spans="2:15" x14ac:dyDescent="0.3">
      <c r="B5840" s="1" t="s">
        <v>22</v>
      </c>
      <c r="C5840" s="1" t="str">
        <f>"5-2차"</f>
        <v>5-2차</v>
      </c>
      <c r="D5840" s="1" t="str">
        <f>"0229B5615M"</f>
        <v>0229B5615M</v>
      </c>
      <c r="E5840" s="1" t="s">
        <v>10</v>
      </c>
      <c r="F5840" s="1" t="str">
        <f>"fde1:103:4:9374:0:0:0:2"</f>
        <v>fde1:103:4:9374:0:0:0:2</v>
      </c>
      <c r="G5840" s="1" t="str">
        <f>"0229B561"</f>
        <v>0229B561</v>
      </c>
      <c r="H5840" s="1" t="str">
        <f>"말미간 42L3"</f>
        <v>말미간 42L3</v>
      </c>
      <c r="I5840" s="1" t="s">
        <v>15</v>
      </c>
      <c r="J5840" s="1" t="str">
        <f>"53/53"</f>
        <v>53/53</v>
      </c>
      <c r="K5840" s="1" t="str">
        <f>"2026-07-29 14:20:37"</f>
        <v>2026-07-29 14:20:37</v>
      </c>
      <c r="L5840" s="1" t="str">
        <f>"2023-12-19 10:49:15"</f>
        <v>2023-12-19 10:49:15</v>
      </c>
      <c r="M5840" s="1" t="s">
        <v>4</v>
      </c>
      <c r="N5840" s="1" t="s">
        <v>38</v>
      </c>
      <c r="O5840" s="1" t="s">
        <v>46</v>
      </c>
    </row>
    <row r="5841" spans="2:15" x14ac:dyDescent="0.3">
      <c r="B5841" s="1" t="s">
        <v>22</v>
      </c>
      <c r="C5841" s="1" t="str">
        <f>"5-2차"</f>
        <v>5-2차</v>
      </c>
      <c r="D5841" s="1" t="str">
        <f>"0229B5715S"</f>
        <v>0229B5715S</v>
      </c>
      <c r="E5841" s="1" t="s">
        <v>10</v>
      </c>
      <c r="F5841" s="1" t="str">
        <f>"fde3:102:1410:4300:0:0:0:b"</f>
        <v>fde3:102:1410:4300:0:0:0:b</v>
      </c>
      <c r="G5841" s="1" t="str">
        <f>"0229B571"</f>
        <v>0229B571</v>
      </c>
      <c r="H5841" s="1" t="str">
        <f>"말미간 43L1"</f>
        <v>말미간 43L1</v>
      </c>
      <c r="I5841" s="1" t="s">
        <v>15</v>
      </c>
      <c r="J5841" s="1" t="str">
        <f>"29/29"</f>
        <v>29/29</v>
      </c>
      <c r="K5841" s="1" t="str">
        <f>"2026-07-29 14:20:54"</f>
        <v>2026-07-29 14:20:54</v>
      </c>
      <c r="L5841" s="1" t="str">
        <f>"2023-06-19 14:53:39"</f>
        <v>2023-06-19 14:53:39</v>
      </c>
      <c r="M5841" s="1" t="s">
        <v>45</v>
      </c>
      <c r="N5841" s="1" t="s">
        <v>38</v>
      </c>
      <c r="O5841" s="1" t="s">
        <v>46</v>
      </c>
    </row>
    <row r="5842" spans="2:15" x14ac:dyDescent="0.3">
      <c r="B5842" s="1" t="s">
        <v>22</v>
      </c>
      <c r="C5842" s="1" t="str">
        <f t="shared" ref="C5842:C5858" si="294">"4차"</f>
        <v>4차</v>
      </c>
      <c r="D5842" s="1" t="str">
        <f>"0229B78145"</f>
        <v>0229B78145</v>
      </c>
      <c r="E5842" s="1" t="s">
        <v>10</v>
      </c>
      <c r="F5842" s="1" t="str">
        <f>"10.14.12.65"</f>
        <v>10.14.12.65</v>
      </c>
      <c r="G5842" s="1" t="str">
        <f>"0229B781"</f>
        <v>0229B781</v>
      </c>
      <c r="H5842" s="1" t="str">
        <f>"월계 66"</f>
        <v>월계 66</v>
      </c>
      <c r="I5842" s="1" t="s">
        <v>17</v>
      </c>
      <c r="J5842" s="1" t="str">
        <f>"2/8"</f>
        <v>2/8</v>
      </c>
      <c r="K5842" s="1" t="str">
        <f>"2026-07-29 13:18:03"</f>
        <v>2026-07-29 13:18:03</v>
      </c>
      <c r="L5842" s="1" t="str">
        <f>"2021-06-23 11:30:16"</f>
        <v>2021-06-23 11:30:16</v>
      </c>
      <c r="M5842" s="1" t="s">
        <v>3</v>
      </c>
      <c r="N5842" s="1" t="s">
        <v>38</v>
      </c>
      <c r="O5842" s="1" t="s">
        <v>46</v>
      </c>
    </row>
    <row r="5843" spans="2:15" x14ac:dyDescent="0.3">
      <c r="B5843" s="1" t="s">
        <v>22</v>
      </c>
      <c r="C5843" s="1" t="str">
        <f t="shared" si="294"/>
        <v>4차</v>
      </c>
      <c r="D5843" s="1" t="str">
        <f>"0229B80241"</f>
        <v>0229B80241</v>
      </c>
      <c r="E5843" s="1" t="s">
        <v>10</v>
      </c>
      <c r="F5843" s="1" t="str">
        <f>"10.14.7.110"</f>
        <v>10.14.7.110</v>
      </c>
      <c r="G5843" s="1" t="str">
        <f>"0229B802"</f>
        <v>0229B802</v>
      </c>
      <c r="H5843" s="1" t="str">
        <f>"말미간 55L32L1L1"</f>
        <v>말미간 55L32L1L1</v>
      </c>
      <c r="I5843" s="1" t="s">
        <v>17</v>
      </c>
      <c r="J5843" s="1" t="str">
        <f>"1/2"</f>
        <v>1/2</v>
      </c>
      <c r="K5843" s="1" t="str">
        <f>"2026-07-29 13:18:02"</f>
        <v>2026-07-29 13:18:02</v>
      </c>
      <c r="L5843" s="1" t="str">
        <f>"2021-07-14 14:50:10"</f>
        <v>2021-07-14 14:50:10</v>
      </c>
      <c r="M5843" s="1" t="s">
        <v>3</v>
      </c>
      <c r="N5843" s="1" t="s">
        <v>38</v>
      </c>
      <c r="O5843" s="1" t="s">
        <v>46</v>
      </c>
    </row>
    <row r="5844" spans="2:15" x14ac:dyDescent="0.3">
      <c r="B5844" s="1" t="s">
        <v>22</v>
      </c>
      <c r="C5844" s="1" t="str">
        <f t="shared" si="294"/>
        <v>4차</v>
      </c>
      <c r="D5844" s="1" t="str">
        <f>"0229B90141"</f>
        <v>0229B90141</v>
      </c>
      <c r="E5844" s="1" t="s">
        <v>10</v>
      </c>
      <c r="F5844" s="1" t="str">
        <f>"10.14.3.44"</f>
        <v>10.14.3.44</v>
      </c>
      <c r="G5844" s="1" t="str">
        <f>"0229B901"</f>
        <v>0229B901</v>
      </c>
      <c r="H5844" s="1" t="str">
        <f>"말미간 55L32L1"</f>
        <v>말미간 55L32L1</v>
      </c>
      <c r="I5844" s="1" t="s">
        <v>17</v>
      </c>
      <c r="J5844" s="1" t="str">
        <f>"18/30"</f>
        <v>18/30</v>
      </c>
      <c r="K5844" s="1" t="str">
        <f>"2026-07-29 13:18:02"</f>
        <v>2026-07-29 13:18:02</v>
      </c>
      <c r="L5844" s="1" t="str">
        <f>"2021-08-06 15:25:34"</f>
        <v>2021-08-06 15:25:34</v>
      </c>
      <c r="M5844" s="1" t="s">
        <v>3</v>
      </c>
      <c r="N5844" s="1" t="s">
        <v>38</v>
      </c>
      <c r="O5844" s="1" t="s">
        <v>46</v>
      </c>
    </row>
    <row r="5845" spans="2:15" x14ac:dyDescent="0.3">
      <c r="B5845" s="1" t="s">
        <v>22</v>
      </c>
      <c r="C5845" s="1" t="str">
        <f t="shared" si="294"/>
        <v>4차</v>
      </c>
      <c r="D5845" s="1" t="str">
        <f>"0229B92241"</f>
        <v>0229B92241</v>
      </c>
      <c r="E5845" s="1" t="s">
        <v>10</v>
      </c>
      <c r="F5845" s="1" t="str">
        <f>"10.14.6.111"</f>
        <v>10.14.6.111</v>
      </c>
      <c r="G5845" s="1" t="str">
        <f>"0229B922"</f>
        <v>0229B922</v>
      </c>
      <c r="H5845" s="1" t="str">
        <f>"말미간 37"</f>
        <v>말미간 37</v>
      </c>
      <c r="I5845" s="1" t="s">
        <v>17</v>
      </c>
      <c r="J5845" s="1" t="str">
        <f>"10/18"</f>
        <v>10/18</v>
      </c>
      <c r="K5845" s="1" t="str">
        <f>"2026-07-29 13:18:03"</f>
        <v>2026-07-29 13:18:03</v>
      </c>
      <c r="L5845" s="1" t="str">
        <f>"2021-08-04 10:35:50"</f>
        <v>2021-08-04 10:35:50</v>
      </c>
      <c r="M5845" s="1" t="s">
        <v>3</v>
      </c>
      <c r="N5845" s="1" t="s">
        <v>38</v>
      </c>
      <c r="O5845" s="1" t="s">
        <v>46</v>
      </c>
    </row>
    <row r="5846" spans="2:15" x14ac:dyDescent="0.3">
      <c r="B5846" s="1" t="s">
        <v>22</v>
      </c>
      <c r="C5846" s="1" t="str">
        <f t="shared" si="294"/>
        <v>4차</v>
      </c>
      <c r="D5846" s="1" t="str">
        <f>"0229E80145"</f>
        <v>0229E80145</v>
      </c>
      <c r="E5846" s="1" t="s">
        <v>10</v>
      </c>
      <c r="F5846" s="1" t="str">
        <f>"10.14.13.4"</f>
        <v>10.14.13.4</v>
      </c>
      <c r="G5846" s="1" t="str">
        <f>"0229E801"</f>
        <v>0229E801</v>
      </c>
      <c r="H5846" s="1" t="str">
        <f>"월계 210"</f>
        <v>월계 210</v>
      </c>
      <c r="I5846" s="1" t="s">
        <v>17</v>
      </c>
      <c r="J5846" s="1" t="str">
        <f>"32/34"</f>
        <v>32/34</v>
      </c>
      <c r="K5846" s="1" t="str">
        <f>"2026-07-29 13:18:02"</f>
        <v>2026-07-29 13:18:02</v>
      </c>
      <c r="L5846" s="1" t="str">
        <f>"2021-06-23 08:24:24"</f>
        <v>2021-06-23 08:24:24</v>
      </c>
      <c r="M5846" s="1" t="s">
        <v>3</v>
      </c>
      <c r="N5846" s="1" t="s">
        <v>38</v>
      </c>
      <c r="O5846" s="1" t="s">
        <v>46</v>
      </c>
    </row>
    <row r="5847" spans="2:15" x14ac:dyDescent="0.3">
      <c r="B5847" s="1" t="s">
        <v>22</v>
      </c>
      <c r="C5847" s="1" t="str">
        <f t="shared" si="294"/>
        <v>4차</v>
      </c>
      <c r="D5847" s="1" t="str">
        <f>"0229E87345"</f>
        <v>0229E87345</v>
      </c>
      <c r="E5847" s="1" t="s">
        <v>12</v>
      </c>
      <c r="F5847" s="1" t="str">
        <f>"10.12.128.168"</f>
        <v>10.12.128.168</v>
      </c>
      <c r="G5847" s="1" t="str">
        <f>"0229E873"</f>
        <v>0229E873</v>
      </c>
      <c r="H5847" s="1" t="str">
        <f>"월계 510"</f>
        <v>월계 510</v>
      </c>
      <c r="I5847" s="1" t="s">
        <v>17</v>
      </c>
      <c r="J5847" s="1" t="str">
        <f>"0/1"</f>
        <v>0/1</v>
      </c>
      <c r="K5847" s="1" t="str">
        <f>"2026-07-10 13:18:02"</f>
        <v>2026-07-10 13:18:02</v>
      </c>
      <c r="L5847" s="1" t="str">
        <f>"2021-06-24 10:24:25"</f>
        <v>2021-06-24 10:24:25</v>
      </c>
      <c r="M5847" s="1" t="s">
        <v>0</v>
      </c>
      <c r="N5847" s="1" t="s">
        <v>38</v>
      </c>
      <c r="O5847" s="1" t="s">
        <v>46</v>
      </c>
    </row>
    <row r="5848" spans="2:15" x14ac:dyDescent="0.3">
      <c r="B5848" s="1" t="s">
        <v>22</v>
      </c>
      <c r="C5848" s="1" t="str">
        <f t="shared" si="294"/>
        <v>4차</v>
      </c>
      <c r="D5848" s="1" t="str">
        <f>"0229E90145"</f>
        <v>0229E90145</v>
      </c>
      <c r="E5848" s="1" t="s">
        <v>10</v>
      </c>
      <c r="F5848" s="1" t="str">
        <f>"10.14.14.14"</f>
        <v>10.14.14.14</v>
      </c>
      <c r="G5848" s="1" t="str">
        <f>"0229E901"</f>
        <v>0229E901</v>
      </c>
      <c r="H5848" s="1" t="str">
        <f>"월계 211"</f>
        <v>월계 211</v>
      </c>
      <c r="I5848" s="1" t="s">
        <v>17</v>
      </c>
      <c r="J5848" s="1" t="str">
        <f>"110/110"</f>
        <v>110/110</v>
      </c>
      <c r="K5848" s="1" t="str">
        <f>"2026-07-29 13:18:04"</f>
        <v>2026-07-29 13:18:04</v>
      </c>
      <c r="L5848" s="1" t="str">
        <f>"2021-06-21 10:32:12"</f>
        <v>2021-06-21 10:32:12</v>
      </c>
      <c r="M5848" s="1" t="s">
        <v>3</v>
      </c>
      <c r="N5848" s="1" t="s">
        <v>38</v>
      </c>
      <c r="O5848" s="1" t="s">
        <v>46</v>
      </c>
    </row>
    <row r="5849" spans="2:15" x14ac:dyDescent="0.3">
      <c r="B5849" s="1" t="s">
        <v>22</v>
      </c>
      <c r="C5849" s="1" t="str">
        <f t="shared" si="294"/>
        <v>4차</v>
      </c>
      <c r="D5849" s="1" t="str">
        <f>"0229F00145"</f>
        <v>0229F00145</v>
      </c>
      <c r="E5849" s="1" t="s">
        <v>10</v>
      </c>
      <c r="F5849" s="1" t="str">
        <f>"10.14.11.54"</f>
        <v>10.14.11.54</v>
      </c>
      <c r="G5849" s="1" t="str">
        <f>"0229F001"</f>
        <v>0229F001</v>
      </c>
      <c r="H5849" s="1" t="str">
        <f>"월계 212"</f>
        <v>월계 212</v>
      </c>
      <c r="I5849" s="1" t="s">
        <v>17</v>
      </c>
      <c r="J5849" s="1" t="str">
        <f>"116/116"</f>
        <v>116/116</v>
      </c>
      <c r="K5849" s="1" t="str">
        <f>"2026-07-29 13:18:03"</f>
        <v>2026-07-29 13:18:03</v>
      </c>
      <c r="L5849" s="1" t="str">
        <f>"2021-06-23 09:29:15"</f>
        <v>2021-06-23 09:29:15</v>
      </c>
      <c r="M5849" s="1" t="s">
        <v>3</v>
      </c>
      <c r="N5849" s="1" t="s">
        <v>38</v>
      </c>
      <c r="O5849" s="1" t="s">
        <v>46</v>
      </c>
    </row>
    <row r="5850" spans="2:15" x14ac:dyDescent="0.3">
      <c r="B5850" s="1" t="s">
        <v>22</v>
      </c>
      <c r="C5850" s="1" t="str">
        <f t="shared" si="294"/>
        <v>4차</v>
      </c>
      <c r="D5850" s="1" t="str">
        <f>"0229F05145"</f>
        <v>0229F05145</v>
      </c>
      <c r="E5850" s="1" t="s">
        <v>10</v>
      </c>
      <c r="F5850" s="1" t="str">
        <f>"10.14.1.60"</f>
        <v>10.14.1.60</v>
      </c>
      <c r="G5850" s="1" t="str">
        <f>"0229F051"</f>
        <v>0229F051</v>
      </c>
      <c r="H5850" s="1" t="str">
        <f>"월계 503"</f>
        <v>월계 503</v>
      </c>
      <c r="I5850" s="1" t="s">
        <v>17</v>
      </c>
      <c r="J5850" s="1" t="str">
        <f>"34/40"</f>
        <v>34/40</v>
      </c>
      <c r="K5850" s="1" t="str">
        <f>"2026-07-29 13:18:04"</f>
        <v>2026-07-29 13:18:04</v>
      </c>
      <c r="L5850" s="1" t="str">
        <f>"2021-06-04 13:58:55"</f>
        <v>2021-06-04 13:58:55</v>
      </c>
      <c r="M5850" s="1" t="s">
        <v>3</v>
      </c>
      <c r="N5850" s="1" t="s">
        <v>38</v>
      </c>
      <c r="O5850" s="1" t="s">
        <v>46</v>
      </c>
    </row>
    <row r="5851" spans="2:15" x14ac:dyDescent="0.3">
      <c r="B5851" s="1" t="s">
        <v>22</v>
      </c>
      <c r="C5851" s="1" t="str">
        <f t="shared" si="294"/>
        <v>4차</v>
      </c>
      <c r="D5851" s="1" t="str">
        <f>"0229F05245"</f>
        <v>0229F05245</v>
      </c>
      <c r="E5851" s="1" t="s">
        <v>10</v>
      </c>
      <c r="F5851" s="1" t="str">
        <f>"10.14.13.62"</f>
        <v>10.14.13.62</v>
      </c>
      <c r="G5851" s="1" t="str">
        <f>"0229F052"</f>
        <v>0229F052</v>
      </c>
      <c r="H5851" s="1" t="str">
        <f>"월계 504"</f>
        <v>월계 504</v>
      </c>
      <c r="I5851" s="1" t="s">
        <v>17</v>
      </c>
      <c r="J5851" s="1" t="str">
        <f>"38/40"</f>
        <v>38/40</v>
      </c>
      <c r="K5851" s="1" t="str">
        <f>"2026-07-29 13:18:02"</f>
        <v>2026-07-29 13:18:02</v>
      </c>
      <c r="L5851" s="1" t="str">
        <f>"2021-06-24 11:03:22"</f>
        <v>2021-06-24 11:03:22</v>
      </c>
      <c r="M5851" s="1" t="s">
        <v>3</v>
      </c>
      <c r="N5851" s="1" t="s">
        <v>38</v>
      </c>
      <c r="O5851" s="1" t="s">
        <v>46</v>
      </c>
    </row>
    <row r="5852" spans="2:15" x14ac:dyDescent="0.3">
      <c r="B5852" s="1" t="s">
        <v>22</v>
      </c>
      <c r="C5852" s="1" t="str">
        <f t="shared" si="294"/>
        <v>4차</v>
      </c>
      <c r="D5852" s="1" t="str">
        <f>"0229F07145"</f>
        <v>0229F07145</v>
      </c>
      <c r="E5852" s="1" t="s">
        <v>10</v>
      </c>
      <c r="F5852" s="1" t="str">
        <f>"10.14.15.28"</f>
        <v>10.14.15.28</v>
      </c>
      <c r="G5852" s="1" t="str">
        <f>"0229F071"</f>
        <v>0229F071</v>
      </c>
      <c r="H5852" s="1" t="str">
        <f>"월계 512"</f>
        <v>월계 512</v>
      </c>
      <c r="I5852" s="1" t="s">
        <v>17</v>
      </c>
      <c r="J5852" s="1" t="str">
        <f>"77/85"</f>
        <v>77/85</v>
      </c>
      <c r="K5852" s="1" t="str">
        <f>"2026-07-29 13:18:03"</f>
        <v>2026-07-29 13:18:03</v>
      </c>
      <c r="L5852" s="1" t="str">
        <f>"2021-06-21 14:21:39"</f>
        <v>2021-06-21 14:21:39</v>
      </c>
      <c r="M5852" s="1" t="s">
        <v>3</v>
      </c>
      <c r="N5852" s="1" t="s">
        <v>38</v>
      </c>
      <c r="O5852" s="1" t="s">
        <v>46</v>
      </c>
    </row>
    <row r="5853" spans="2:15" x14ac:dyDescent="0.3">
      <c r="B5853" s="1" t="s">
        <v>22</v>
      </c>
      <c r="C5853" s="1" t="str">
        <f t="shared" si="294"/>
        <v>4차</v>
      </c>
      <c r="D5853" s="1" t="str">
        <f>"0229F20145"</f>
        <v>0229F20145</v>
      </c>
      <c r="E5853" s="1" t="s">
        <v>10</v>
      </c>
      <c r="F5853" s="1" t="str">
        <f>"10.12.129.127"</f>
        <v>10.12.129.127</v>
      </c>
      <c r="G5853" s="1" t="str">
        <f>"0229F201"</f>
        <v>0229F201</v>
      </c>
      <c r="H5853" s="1" t="str">
        <f>"월계 213"</f>
        <v>월계 213</v>
      </c>
      <c r="I5853" s="1" t="s">
        <v>17</v>
      </c>
      <c r="J5853" s="1" t="str">
        <f>"115/116"</f>
        <v>115/116</v>
      </c>
      <c r="K5853" s="1" t="str">
        <f>"2026-07-29 13:18:03"</f>
        <v>2026-07-29 13:18:03</v>
      </c>
      <c r="L5853" s="1" t="str">
        <f>"2021-06-23 08:54:01"</f>
        <v>2021-06-23 08:54:01</v>
      </c>
      <c r="M5853" s="1" t="s">
        <v>0</v>
      </c>
      <c r="N5853" s="1" t="s">
        <v>38</v>
      </c>
      <c r="O5853" s="1" t="s">
        <v>46</v>
      </c>
    </row>
    <row r="5854" spans="2:15" x14ac:dyDescent="0.3">
      <c r="B5854" s="1" t="s">
        <v>22</v>
      </c>
      <c r="C5854" s="1" t="str">
        <f t="shared" si="294"/>
        <v>4차</v>
      </c>
      <c r="D5854" s="1" t="str">
        <f>"0229F20245"</f>
        <v>0229F20245</v>
      </c>
      <c r="E5854" s="1" t="s">
        <v>10</v>
      </c>
      <c r="F5854" s="1" t="str">
        <f>"10.12.132.104"</f>
        <v>10.12.132.104</v>
      </c>
      <c r="G5854" s="1" t="str">
        <f>"0229F202"</f>
        <v>0229F202</v>
      </c>
      <c r="H5854" s="1" t="str">
        <f>"월계 214"</f>
        <v>월계 214</v>
      </c>
      <c r="I5854" s="1" t="s">
        <v>17</v>
      </c>
      <c r="J5854" s="1" t="str">
        <f>"58/58"</f>
        <v>58/58</v>
      </c>
      <c r="K5854" s="1" t="str">
        <f>"2026-07-29 13:18:02"</f>
        <v>2026-07-29 13:18:02</v>
      </c>
      <c r="L5854" s="1" t="str">
        <f>"2024-06-13 18:46:43"</f>
        <v>2024-06-13 18:46:43</v>
      </c>
      <c r="M5854" s="1" t="s">
        <v>0</v>
      </c>
      <c r="N5854" s="1" t="s">
        <v>38</v>
      </c>
      <c r="O5854" s="1" t="s">
        <v>46</v>
      </c>
    </row>
    <row r="5855" spans="2:15" x14ac:dyDescent="0.3">
      <c r="B5855" s="1" t="s">
        <v>22</v>
      </c>
      <c r="C5855" s="1" t="str">
        <f t="shared" si="294"/>
        <v>4차</v>
      </c>
      <c r="D5855" s="1" t="str">
        <f>"0229F30145"</f>
        <v>0229F30145</v>
      </c>
      <c r="E5855" s="1" t="s">
        <v>10</v>
      </c>
      <c r="F5855" s="1" t="str">
        <f>"10.14.2.24"</f>
        <v>10.14.2.24</v>
      </c>
      <c r="G5855" s="1" t="str">
        <f>"0229F301"</f>
        <v>0229F301</v>
      </c>
      <c r="H5855" s="1" t="str">
        <f>"월계 215"</f>
        <v>월계 215</v>
      </c>
      <c r="I5855" s="1" t="s">
        <v>17</v>
      </c>
      <c r="J5855" s="1" t="str">
        <f>"97/99"</f>
        <v>97/99</v>
      </c>
      <c r="K5855" s="1" t="str">
        <f>"2026-07-29 13:18:03"</f>
        <v>2026-07-29 13:18:03</v>
      </c>
      <c r="L5855" s="1" t="str">
        <f>"2021-06-21 09:56:51"</f>
        <v>2021-06-21 09:56:51</v>
      </c>
      <c r="M5855" s="1" t="s">
        <v>3</v>
      </c>
      <c r="N5855" s="1" t="s">
        <v>38</v>
      </c>
      <c r="O5855" s="1" t="s">
        <v>46</v>
      </c>
    </row>
    <row r="5856" spans="2:15" x14ac:dyDescent="0.3">
      <c r="B5856" s="1" t="s">
        <v>22</v>
      </c>
      <c r="C5856" s="1" t="str">
        <f t="shared" si="294"/>
        <v>4차</v>
      </c>
      <c r="D5856" s="1" t="str">
        <f>"0229F40145"</f>
        <v>0229F40145</v>
      </c>
      <c r="E5856" s="1" t="s">
        <v>10</v>
      </c>
      <c r="F5856" s="1" t="str">
        <f>"10.14.1.11"</f>
        <v>10.14.1.11</v>
      </c>
      <c r="G5856" s="1" t="str">
        <f>"0229F401"</f>
        <v>0229F401</v>
      </c>
      <c r="H5856" s="1" t="str">
        <f>"월계 216"</f>
        <v>월계 216</v>
      </c>
      <c r="I5856" s="1" t="s">
        <v>17</v>
      </c>
      <c r="J5856" s="1" t="str">
        <f>"62/64"</f>
        <v>62/64</v>
      </c>
      <c r="K5856" s="1" t="str">
        <f>"2026-07-29 13:18:02"</f>
        <v>2026-07-29 13:18:02</v>
      </c>
      <c r="L5856" s="1" t="str">
        <f>"2021-06-23 09:52:26"</f>
        <v>2021-06-23 09:52:26</v>
      </c>
      <c r="M5856" s="1" t="s">
        <v>3</v>
      </c>
      <c r="N5856" s="1" t="s">
        <v>38</v>
      </c>
      <c r="O5856" s="1" t="s">
        <v>46</v>
      </c>
    </row>
    <row r="5857" spans="2:15" x14ac:dyDescent="0.3">
      <c r="B5857" s="1" t="s">
        <v>22</v>
      </c>
      <c r="C5857" s="1" t="str">
        <f t="shared" si="294"/>
        <v>4차</v>
      </c>
      <c r="D5857" s="1" t="str">
        <f>"0229F60145"</f>
        <v>0229F60145</v>
      </c>
      <c r="E5857" s="1" t="s">
        <v>10</v>
      </c>
      <c r="F5857" s="1" t="str">
        <f>"10.14.12.9"</f>
        <v>10.14.12.9</v>
      </c>
      <c r="G5857" s="1" t="str">
        <f>"0229F601"</f>
        <v>0229F601</v>
      </c>
      <c r="H5857" s="1" t="str">
        <f>"월계 102"</f>
        <v>월계 102</v>
      </c>
      <c r="I5857" s="1" t="s">
        <v>17</v>
      </c>
      <c r="J5857" s="1" t="str">
        <f>"124/131"</f>
        <v>124/131</v>
      </c>
      <c r="K5857" s="1" t="str">
        <f>"2026-07-29 13:18:02"</f>
        <v>2026-07-29 13:18:02</v>
      </c>
      <c r="L5857" s="1" t="str">
        <f>"2021-06-21 14:54:59"</f>
        <v>2021-06-21 14:54:59</v>
      </c>
      <c r="M5857" s="1" t="s">
        <v>3</v>
      </c>
      <c r="N5857" s="1" t="s">
        <v>38</v>
      </c>
      <c r="O5857" s="1" t="s">
        <v>46</v>
      </c>
    </row>
    <row r="5858" spans="2:15" x14ac:dyDescent="0.3">
      <c r="B5858" s="1" t="s">
        <v>22</v>
      </c>
      <c r="C5858" s="1" t="str">
        <f t="shared" si="294"/>
        <v>4차</v>
      </c>
      <c r="D5858" s="1" t="str">
        <f>"0229F71145"</f>
        <v>0229F71145</v>
      </c>
      <c r="E5858" s="1" t="s">
        <v>10</v>
      </c>
      <c r="F5858" s="1" t="str">
        <f>"10.14.6.189"</f>
        <v>10.14.6.189</v>
      </c>
      <c r="G5858" s="1" t="str">
        <f>"0229F711"</f>
        <v>0229F711</v>
      </c>
      <c r="H5858" s="1" t="str">
        <f>"월계 101"</f>
        <v>월계 101</v>
      </c>
      <c r="I5858" s="1" t="s">
        <v>17</v>
      </c>
      <c r="J5858" s="1" t="str">
        <f>"35/36"</f>
        <v>35/36</v>
      </c>
      <c r="K5858" s="1" t="str">
        <f>"2026-07-29 13:18:01"</f>
        <v>2026-07-29 13:18:01</v>
      </c>
      <c r="L5858" s="1" t="str">
        <f>"2021-11-18 17:53:22"</f>
        <v>2021-11-18 17:53:22</v>
      </c>
      <c r="M5858" s="1" t="s">
        <v>3</v>
      </c>
      <c r="N5858" s="1" t="s">
        <v>38</v>
      </c>
      <c r="O5858" s="1" t="s">
        <v>46</v>
      </c>
    </row>
    <row r="5859" spans="2:15" x14ac:dyDescent="0.3">
      <c r="B5859" s="1" t="s">
        <v>22</v>
      </c>
      <c r="C5859" s="1" t="str">
        <f>"3차"</f>
        <v>3차</v>
      </c>
      <c r="D5859" s="1" t="str">
        <f>"0229F88439"</f>
        <v>0229F88439</v>
      </c>
      <c r="E5859" s="1" t="s">
        <v>10</v>
      </c>
      <c r="F5859" s="1" t="str">
        <f>"10.12.129.31"</f>
        <v>10.12.129.31</v>
      </c>
      <c r="G5859" s="1" t="str">
        <f>"0229F884"</f>
        <v>0229F884</v>
      </c>
      <c r="H5859" s="1" t="str">
        <f>"말미간 3R10L1"</f>
        <v>말미간 3R10L1</v>
      </c>
      <c r="I5859" s="1" t="s">
        <v>8</v>
      </c>
      <c r="J5859" s="1" t="str">
        <f>"28/29"</f>
        <v>28/29</v>
      </c>
      <c r="K5859" s="1" t="str">
        <f>"2026-07-29 13:18:01"</f>
        <v>2026-07-29 13:18:01</v>
      </c>
      <c r="L5859" s="1" t="str">
        <f>"2018-04-20 15:29:01"</f>
        <v>2018-04-20 15:29:01</v>
      </c>
      <c r="M5859" s="1" t="s">
        <v>0</v>
      </c>
      <c r="N5859" s="1" t="s">
        <v>38</v>
      </c>
      <c r="O5859" s="1" t="s">
        <v>46</v>
      </c>
    </row>
    <row r="5860" spans="2:15" x14ac:dyDescent="0.3">
      <c r="B5860" s="1" t="s">
        <v>22</v>
      </c>
      <c r="C5860" s="1" t="str">
        <f t="shared" ref="C5860:C5874" si="295">"4차"</f>
        <v>4차</v>
      </c>
      <c r="D5860" s="1" t="str">
        <f>"0229F97344"</f>
        <v>0229F97344</v>
      </c>
      <c r="E5860" s="1" t="s">
        <v>12</v>
      </c>
      <c r="F5860" s="1" t="str">
        <f>"10.107.253.40"</f>
        <v>10.107.253.40</v>
      </c>
      <c r="G5860" s="1" t="str">
        <f>"0229F973"</f>
        <v>0229F973</v>
      </c>
      <c r="H5860" s="1" t="str">
        <f>"말미간 3R11H1"</f>
        <v>말미간 3R11H1</v>
      </c>
      <c r="I5860" s="1" t="s">
        <v>8</v>
      </c>
      <c r="J5860" s="1" t="str">
        <f>"0/48"</f>
        <v>0/48</v>
      </c>
      <c r="K5860" s="1" t="str">
        <f>"2026-07-16 07:18:01"</f>
        <v>2026-07-16 07:18:01</v>
      </c>
      <c r="L5860" s="1" t="str">
        <f>"2019-12-13 09:10:23"</f>
        <v>2019-12-13 09:10:23</v>
      </c>
      <c r="M5860" s="1" t="s">
        <v>45</v>
      </c>
      <c r="N5860" s="1" t="s">
        <v>38</v>
      </c>
      <c r="O5860" s="1" t="s">
        <v>46</v>
      </c>
    </row>
    <row r="5861" spans="2:15" x14ac:dyDescent="0.3">
      <c r="B5861" s="1" t="s">
        <v>22</v>
      </c>
      <c r="C5861" s="1" t="str">
        <f t="shared" si="295"/>
        <v>4차</v>
      </c>
      <c r="D5861" s="1" t="str">
        <f>"0229F98144"</f>
        <v>0229F98144</v>
      </c>
      <c r="E5861" s="1" t="s">
        <v>10</v>
      </c>
      <c r="F5861" s="1" t="str">
        <f>"10.107.253.39"</f>
        <v>10.107.253.39</v>
      </c>
      <c r="G5861" s="1" t="str">
        <f>"0229F981"</f>
        <v>0229F981</v>
      </c>
      <c r="H5861" s="1" t="str">
        <f>"말미간 3R11"</f>
        <v>말미간 3R11</v>
      </c>
      <c r="I5861" s="1" t="s">
        <v>8</v>
      </c>
      <c r="J5861" s="1" t="str">
        <f>"64/67"</f>
        <v>64/67</v>
      </c>
      <c r="K5861" s="1" t="str">
        <f>"2026-07-29 13:18:02"</f>
        <v>2026-07-29 13:18:02</v>
      </c>
      <c r="L5861" s="1" t="str">
        <f>"2019-12-13 09:05:19"</f>
        <v>2019-12-13 09:05:19</v>
      </c>
      <c r="M5861" s="1" t="s">
        <v>45</v>
      </c>
      <c r="N5861" s="1" t="s">
        <v>38</v>
      </c>
      <c r="O5861" s="1" t="s">
        <v>46</v>
      </c>
    </row>
    <row r="5862" spans="2:15" x14ac:dyDescent="0.3">
      <c r="B5862" s="1" t="s">
        <v>22</v>
      </c>
      <c r="C5862" s="1" t="str">
        <f t="shared" si="295"/>
        <v>4차</v>
      </c>
      <c r="D5862" s="1" t="str">
        <f>"0229G19241"</f>
        <v>0229G19241</v>
      </c>
      <c r="E5862" s="1" t="s">
        <v>10</v>
      </c>
      <c r="F5862" s="1" t="str">
        <f>"10.14.2.109"</f>
        <v>10.14.2.109</v>
      </c>
      <c r="G5862" s="1" t="str">
        <f>"0229G192"</f>
        <v>0229G192</v>
      </c>
      <c r="H5862" s="1" t="str">
        <f>"말미간 32"</f>
        <v>말미간 32</v>
      </c>
      <c r="I5862" s="1" t="s">
        <v>17</v>
      </c>
      <c r="J5862" s="1" t="str">
        <f>"42/49"</f>
        <v>42/49</v>
      </c>
      <c r="K5862" s="1" t="str">
        <f>"2026-07-29 13:18:02"</f>
        <v>2026-07-29 13:18:02</v>
      </c>
      <c r="L5862" s="1" t="str">
        <f>"2021-07-14 14:15:37"</f>
        <v>2021-07-14 14:15:37</v>
      </c>
      <c r="M5862" s="1" t="s">
        <v>3</v>
      </c>
      <c r="N5862" s="1" t="s">
        <v>38</v>
      </c>
      <c r="O5862" s="1" t="s">
        <v>46</v>
      </c>
    </row>
    <row r="5863" spans="2:15" x14ac:dyDescent="0.3">
      <c r="B5863" s="1" t="s">
        <v>22</v>
      </c>
      <c r="C5863" s="1" t="str">
        <f t="shared" si="295"/>
        <v>4차</v>
      </c>
      <c r="D5863" s="1" t="str">
        <f>"0229G89145"</f>
        <v>0229G89145</v>
      </c>
      <c r="E5863" s="1" t="s">
        <v>10</v>
      </c>
      <c r="F5863" s="1" t="str">
        <f>"10.14.9.60"</f>
        <v>10.14.9.60</v>
      </c>
      <c r="G5863" s="1" t="str">
        <f>"0229G891"</f>
        <v>0229G891</v>
      </c>
      <c r="H5863" s="1" t="str">
        <f>"월계 209"</f>
        <v>월계 209</v>
      </c>
      <c r="I5863" s="1" t="s">
        <v>17</v>
      </c>
      <c r="J5863" s="1" t="str">
        <f>"73/75"</f>
        <v>73/75</v>
      </c>
      <c r="K5863" s="1" t="str">
        <f>"2026-07-29 13:18:04"</f>
        <v>2026-07-29 13:18:04</v>
      </c>
      <c r="L5863" s="1" t="str">
        <f>"2021-06-23 08:04:50"</f>
        <v>2021-06-23 08:04:50</v>
      </c>
      <c r="M5863" s="1" t="s">
        <v>3</v>
      </c>
      <c r="N5863" s="1" t="s">
        <v>38</v>
      </c>
      <c r="O5863" s="1" t="s">
        <v>46</v>
      </c>
    </row>
    <row r="5864" spans="2:15" x14ac:dyDescent="0.3">
      <c r="B5864" s="1" t="s">
        <v>22</v>
      </c>
      <c r="C5864" s="1" t="str">
        <f t="shared" si="295"/>
        <v>4차</v>
      </c>
      <c r="D5864" s="1" t="str">
        <f>"0229G94145"</f>
        <v>0229G94145</v>
      </c>
      <c r="E5864" s="1" t="s">
        <v>10</v>
      </c>
      <c r="F5864" s="1" t="str">
        <f>"10.14.2.4"</f>
        <v>10.14.2.4</v>
      </c>
      <c r="G5864" s="1" t="str">
        <f>"0229G941"</f>
        <v>0229G941</v>
      </c>
      <c r="H5864" s="1" t="str">
        <f>"월계 108A"</f>
        <v>월계 108A</v>
      </c>
      <c r="I5864" s="1" t="s">
        <v>17</v>
      </c>
      <c r="J5864" s="1" t="str">
        <f>"112/112"</f>
        <v>112/112</v>
      </c>
      <c r="K5864" s="1" t="str">
        <f>"2026-07-29 13:18:01"</f>
        <v>2026-07-29 13:18:01</v>
      </c>
      <c r="L5864" s="1" t="str">
        <f>"2021-06-08 13:16:19"</f>
        <v>2021-06-08 13:16:19</v>
      </c>
      <c r="M5864" s="1" t="s">
        <v>3</v>
      </c>
      <c r="N5864" s="1" t="s">
        <v>38</v>
      </c>
      <c r="O5864" s="1" t="s">
        <v>46</v>
      </c>
    </row>
    <row r="5865" spans="2:15" x14ac:dyDescent="0.3">
      <c r="B5865" s="1" t="s">
        <v>22</v>
      </c>
      <c r="C5865" s="1" t="str">
        <f t="shared" si="295"/>
        <v>4차</v>
      </c>
      <c r="D5865" s="1" t="str">
        <f>"0229G94245"</f>
        <v>0229G94245</v>
      </c>
      <c r="E5865" s="1" t="s">
        <v>10</v>
      </c>
      <c r="F5865" s="1" t="str">
        <f>"10.14.14.66"</f>
        <v>10.14.14.66</v>
      </c>
      <c r="G5865" s="1" t="str">
        <f>"0229G942"</f>
        <v>0229G942</v>
      </c>
      <c r="H5865" s="1" t="str">
        <f>"월계 108"</f>
        <v>월계 108</v>
      </c>
      <c r="I5865" s="1" t="s">
        <v>17</v>
      </c>
      <c r="J5865" s="1" t="str">
        <f>"56/80"</f>
        <v>56/80</v>
      </c>
      <c r="K5865" s="1" t="str">
        <f>"2026-07-29 13:18:02"</f>
        <v>2026-07-29 13:18:02</v>
      </c>
      <c r="L5865" s="1" t="str">
        <f>"2021-06-21 11:45:27"</f>
        <v>2021-06-21 11:45:27</v>
      </c>
      <c r="M5865" s="1" t="s">
        <v>3</v>
      </c>
      <c r="N5865" s="1" t="s">
        <v>38</v>
      </c>
      <c r="O5865" s="1" t="s">
        <v>46</v>
      </c>
    </row>
    <row r="5866" spans="2:15" x14ac:dyDescent="0.3">
      <c r="B5866" s="1" t="s">
        <v>22</v>
      </c>
      <c r="C5866" s="1" t="str">
        <f t="shared" si="295"/>
        <v>4차</v>
      </c>
      <c r="D5866" s="1" t="str">
        <f>"0229G94345"</f>
        <v>0229G94345</v>
      </c>
      <c r="E5866" s="1" t="s">
        <v>10</v>
      </c>
      <c r="F5866" s="1" t="str">
        <f>"10.14.9.63"</f>
        <v>10.14.9.63</v>
      </c>
      <c r="G5866" s="1" t="str">
        <f>"0229G943"</f>
        <v>0229G943</v>
      </c>
      <c r="H5866" s="1" t="str">
        <f>"월계 108B"</f>
        <v>월계 108B</v>
      </c>
      <c r="I5866" s="1" t="s">
        <v>17</v>
      </c>
      <c r="J5866" s="1" t="str">
        <f>"10/10"</f>
        <v>10/10</v>
      </c>
      <c r="K5866" s="1" t="str">
        <f>"2026-07-29 13:18:02"</f>
        <v>2026-07-29 13:18:02</v>
      </c>
      <c r="L5866" s="1" t="str">
        <f>"2021-06-17 15:23:06"</f>
        <v>2021-06-17 15:23:06</v>
      </c>
      <c r="M5866" s="1" t="s">
        <v>3</v>
      </c>
      <c r="N5866" s="1" t="s">
        <v>38</v>
      </c>
      <c r="O5866" s="1" t="s">
        <v>46</v>
      </c>
    </row>
    <row r="5867" spans="2:15" x14ac:dyDescent="0.3">
      <c r="B5867" s="1" t="s">
        <v>22</v>
      </c>
      <c r="C5867" s="1" t="str">
        <f t="shared" si="295"/>
        <v>4차</v>
      </c>
      <c r="D5867" s="1" t="str">
        <f>"0229G97239"</f>
        <v>0229G97239</v>
      </c>
      <c r="E5867" s="1" t="s">
        <v>10</v>
      </c>
      <c r="F5867" s="1" t="str">
        <f>"10.12.137.21"</f>
        <v>10.12.137.21</v>
      </c>
      <c r="G5867" s="1" t="str">
        <f>"0229G972"</f>
        <v>0229G972</v>
      </c>
      <c r="H5867" s="1" t="str">
        <f>"월계 205"</f>
        <v>월계 205</v>
      </c>
      <c r="I5867" s="1" t="s">
        <v>17</v>
      </c>
      <c r="J5867" s="1" t="str">
        <f>"56/56"</f>
        <v>56/56</v>
      </c>
      <c r="K5867" s="1" t="str">
        <f>"2026-07-29 13:18:03"</f>
        <v>2026-07-29 13:18:03</v>
      </c>
      <c r="L5867" s="1" t="str">
        <f>"2018-12-18 10:15:41"</f>
        <v>2018-12-18 10:15:41</v>
      </c>
      <c r="M5867" s="1" t="s">
        <v>0</v>
      </c>
      <c r="N5867" s="1" t="s">
        <v>38</v>
      </c>
      <c r="O5867" s="1" t="s">
        <v>46</v>
      </c>
    </row>
    <row r="5868" spans="2:15" x14ac:dyDescent="0.3">
      <c r="B5868" s="1" t="s">
        <v>22</v>
      </c>
      <c r="C5868" s="1" t="str">
        <f t="shared" si="295"/>
        <v>4차</v>
      </c>
      <c r="D5868" s="1" t="str">
        <f>"0229G98139"</f>
        <v>0229G98139</v>
      </c>
      <c r="E5868" s="1" t="s">
        <v>10</v>
      </c>
      <c r="F5868" s="1" t="str">
        <f>"10.14.9.28"</f>
        <v>10.14.9.28</v>
      </c>
      <c r="G5868" s="1" t="str">
        <f>"0229G981"</f>
        <v>0229G981</v>
      </c>
      <c r="H5868" s="1" t="str">
        <f>"월계 207"</f>
        <v>월계 207</v>
      </c>
      <c r="I5868" s="1" t="s">
        <v>17</v>
      </c>
      <c r="J5868" s="1" t="str">
        <f>"58/58"</f>
        <v>58/58</v>
      </c>
      <c r="K5868" s="1" t="str">
        <f>"2026-07-29 13:18:03"</f>
        <v>2026-07-29 13:18:03</v>
      </c>
      <c r="L5868" s="1" t="str">
        <f>"2018-12-18 10:43:26"</f>
        <v>2018-12-18 10:43:26</v>
      </c>
      <c r="M5868" s="1" t="s">
        <v>3</v>
      </c>
      <c r="N5868" s="1" t="s">
        <v>38</v>
      </c>
      <c r="O5868" s="1" t="s">
        <v>46</v>
      </c>
    </row>
    <row r="5869" spans="2:15" x14ac:dyDescent="0.3">
      <c r="B5869" s="1" t="s">
        <v>22</v>
      </c>
      <c r="C5869" s="1" t="str">
        <f t="shared" si="295"/>
        <v>4차</v>
      </c>
      <c r="D5869" s="1" t="str">
        <f>"0229G99145"</f>
        <v>0229G99145</v>
      </c>
      <c r="E5869" s="1" t="s">
        <v>10</v>
      </c>
      <c r="F5869" s="1" t="str">
        <f>"10.14.13.3"</f>
        <v>10.14.13.3</v>
      </c>
      <c r="G5869" s="1" t="str">
        <f>"0229G991"</f>
        <v>0229G991</v>
      </c>
      <c r="H5869" s="1" t="str">
        <f>"월계 208"</f>
        <v>월계 208</v>
      </c>
      <c r="I5869" s="1" t="s">
        <v>17</v>
      </c>
      <c r="J5869" s="1" t="str">
        <f>"43/43"</f>
        <v>43/43</v>
      </c>
      <c r="K5869" s="1" t="str">
        <f>"2026-07-29 13:18:02"</f>
        <v>2026-07-29 13:18:02</v>
      </c>
      <c r="L5869" s="1" t="str">
        <f>"2021-06-21 10:39:59"</f>
        <v>2021-06-21 10:39:59</v>
      </c>
      <c r="M5869" s="1" t="s">
        <v>3</v>
      </c>
      <c r="N5869" s="1" t="s">
        <v>38</v>
      </c>
      <c r="O5869" s="1" t="s">
        <v>46</v>
      </c>
    </row>
    <row r="5870" spans="2:15" x14ac:dyDescent="0.3">
      <c r="B5870" s="1" t="s">
        <v>22</v>
      </c>
      <c r="C5870" s="1" t="str">
        <f t="shared" si="295"/>
        <v>4차</v>
      </c>
      <c r="D5870" s="1" t="str">
        <f>"0229H06245"</f>
        <v>0229H06245</v>
      </c>
      <c r="E5870" s="1" t="s">
        <v>10</v>
      </c>
      <c r="F5870" s="1" t="str">
        <f>"10.14.5.26"</f>
        <v>10.14.5.26</v>
      </c>
      <c r="G5870" s="1" t="str">
        <f>"0229H062"</f>
        <v>0229H062</v>
      </c>
      <c r="H5870" s="1" t="str">
        <f>"월계 107"</f>
        <v>월계 107</v>
      </c>
      <c r="I5870" s="1" t="s">
        <v>17</v>
      </c>
      <c r="J5870" s="1" t="str">
        <f>"66/70"</f>
        <v>66/70</v>
      </c>
      <c r="K5870" s="1" t="str">
        <f>"2026-07-29 13:18:04"</f>
        <v>2026-07-29 13:18:04</v>
      </c>
      <c r="L5870" s="1" t="str">
        <f>"2021-06-21 11:24:58"</f>
        <v>2021-06-21 11:24:58</v>
      </c>
      <c r="M5870" s="1" t="s">
        <v>3</v>
      </c>
      <c r="N5870" s="1" t="s">
        <v>38</v>
      </c>
      <c r="O5870" s="1" t="s">
        <v>46</v>
      </c>
    </row>
    <row r="5871" spans="2:15" x14ac:dyDescent="0.3">
      <c r="B5871" s="1" t="s">
        <v>22</v>
      </c>
      <c r="C5871" s="1" t="str">
        <f t="shared" si="295"/>
        <v>4차</v>
      </c>
      <c r="D5871" s="1" t="str">
        <f>"0229H18145"</f>
        <v>0229H18145</v>
      </c>
      <c r="E5871" s="1" t="s">
        <v>10</v>
      </c>
      <c r="F5871" s="1" t="str">
        <f>"10.14.5.55"</f>
        <v>10.14.5.55</v>
      </c>
      <c r="G5871" s="1" t="str">
        <f>"0229H181"</f>
        <v>0229H181</v>
      </c>
      <c r="H5871" s="1" t="str">
        <f>"월계 203"</f>
        <v>월계 203</v>
      </c>
      <c r="I5871" s="1" t="s">
        <v>17</v>
      </c>
      <c r="J5871" s="1" t="str">
        <f>"52/54"</f>
        <v>52/54</v>
      </c>
      <c r="K5871" s="1" t="str">
        <f>"2026-07-29 13:18:03"</f>
        <v>2026-07-29 13:18:03</v>
      </c>
      <c r="L5871" s="1" t="str">
        <f>"2021-06-04 14:30:19"</f>
        <v>2021-06-04 14:30:19</v>
      </c>
      <c r="M5871" s="1" t="s">
        <v>3</v>
      </c>
      <c r="N5871" s="1" t="s">
        <v>38</v>
      </c>
      <c r="O5871" s="1" t="s">
        <v>46</v>
      </c>
    </row>
    <row r="5872" spans="2:15" x14ac:dyDescent="0.3">
      <c r="B5872" s="1" t="s">
        <v>22</v>
      </c>
      <c r="C5872" s="1" t="str">
        <f t="shared" si="295"/>
        <v>4차</v>
      </c>
      <c r="D5872" s="1" t="str">
        <f>"0229H27145"</f>
        <v>0229H27145</v>
      </c>
      <c r="E5872" s="1" t="s">
        <v>10</v>
      </c>
      <c r="F5872" s="1" t="str">
        <f>"10.14.3.57"</f>
        <v>10.14.3.57</v>
      </c>
      <c r="G5872" s="1" t="str">
        <f>"0229H271"</f>
        <v>0229H271</v>
      </c>
      <c r="H5872" s="1" t="str">
        <f>"월계 106"</f>
        <v>월계 106</v>
      </c>
      <c r="I5872" s="1" t="s">
        <v>17</v>
      </c>
      <c r="J5872" s="1" t="str">
        <f>"134/140"</f>
        <v>134/140</v>
      </c>
      <c r="K5872" s="1" t="str">
        <f>"2026-07-29 13:18:01"</f>
        <v>2026-07-29 13:18:01</v>
      </c>
      <c r="L5872" s="1" t="str">
        <f>"2021-06-17 11:33:35"</f>
        <v>2021-06-17 11:33:35</v>
      </c>
      <c r="M5872" s="1" t="s">
        <v>3</v>
      </c>
      <c r="N5872" s="1" t="s">
        <v>38</v>
      </c>
      <c r="O5872" s="1" t="s">
        <v>46</v>
      </c>
    </row>
    <row r="5873" spans="2:15" x14ac:dyDescent="0.3">
      <c r="B5873" s="1" t="s">
        <v>22</v>
      </c>
      <c r="C5873" s="1" t="str">
        <f t="shared" si="295"/>
        <v>4차</v>
      </c>
      <c r="D5873" s="1" t="str">
        <f>"0229H27245"</f>
        <v>0229H27245</v>
      </c>
      <c r="E5873" s="1" t="s">
        <v>10</v>
      </c>
      <c r="F5873" s="1" t="str">
        <f>"10.14.14.63"</f>
        <v>10.14.14.63</v>
      </c>
      <c r="G5873" s="1" t="str">
        <f>"0229H272"</f>
        <v>0229H272</v>
      </c>
      <c r="H5873" s="1" t="str">
        <f>"월계 106A"</f>
        <v>월계 106A</v>
      </c>
      <c r="I5873" s="1" t="s">
        <v>17</v>
      </c>
      <c r="J5873" s="1" t="str">
        <f>"99/102"</f>
        <v>99/102</v>
      </c>
      <c r="K5873" s="1" t="str">
        <f>"2026-07-29 13:18:04"</f>
        <v>2026-07-29 13:18:04</v>
      </c>
      <c r="L5873" s="1" t="str">
        <f>"2021-06-21 11:08:12"</f>
        <v>2021-06-21 11:08:12</v>
      </c>
      <c r="M5873" s="1" t="s">
        <v>3</v>
      </c>
      <c r="N5873" s="1" t="s">
        <v>38</v>
      </c>
      <c r="O5873" s="1" t="s">
        <v>46</v>
      </c>
    </row>
    <row r="5874" spans="2:15" x14ac:dyDescent="0.3">
      <c r="B5874" s="1" t="s">
        <v>22</v>
      </c>
      <c r="C5874" s="1" t="str">
        <f t="shared" si="295"/>
        <v>4차</v>
      </c>
      <c r="D5874" s="1" t="str">
        <f>"0229H28145"</f>
        <v>0229H28145</v>
      </c>
      <c r="E5874" s="1" t="s">
        <v>10</v>
      </c>
      <c r="F5874" s="1" t="str">
        <f>"10.14.7.16"</f>
        <v>10.14.7.16</v>
      </c>
      <c r="G5874" s="1" t="str">
        <f>"0229H281"</f>
        <v>0229H281</v>
      </c>
      <c r="H5874" s="1" t="str">
        <f>"월계 202"</f>
        <v>월계 202</v>
      </c>
      <c r="I5874" s="1" t="s">
        <v>17</v>
      </c>
      <c r="J5874" s="1" t="str">
        <f>"123/127"</f>
        <v>123/127</v>
      </c>
      <c r="K5874" s="1" t="str">
        <f>"2026-07-29 13:18:04"</f>
        <v>2026-07-29 13:18:04</v>
      </c>
      <c r="L5874" s="1" t="str">
        <f>"2021-06-21 09:32:49"</f>
        <v>2021-06-21 09:32:49</v>
      </c>
      <c r="M5874" s="1" t="s">
        <v>3</v>
      </c>
      <c r="N5874" s="1" t="s">
        <v>38</v>
      </c>
      <c r="O5874" s="1" t="s">
        <v>46</v>
      </c>
    </row>
    <row r="5875" spans="2:15" x14ac:dyDescent="0.3">
      <c r="B5875" s="1" t="s">
        <v>22</v>
      </c>
      <c r="C5875" s="1" t="str">
        <f>"3차"</f>
        <v>3차</v>
      </c>
      <c r="D5875" s="1" t="str">
        <f>"0229H31139"</f>
        <v>0229H31139</v>
      </c>
      <c r="E5875" s="1" t="s">
        <v>10</v>
      </c>
      <c r="F5875" s="1" t="str">
        <f>"10.12.131.234"</f>
        <v>10.12.131.234</v>
      </c>
      <c r="G5875" s="1" t="str">
        <f>"0229H311"</f>
        <v>0229H311</v>
      </c>
      <c r="H5875" s="1" t="str">
        <f>"교육간 30L6L3"</f>
        <v>교육간 30L6L3</v>
      </c>
      <c r="I5875" s="1" t="s">
        <v>8</v>
      </c>
      <c r="J5875" s="1" t="str">
        <f>"51/65"</f>
        <v>51/65</v>
      </c>
      <c r="K5875" s="1" t="str">
        <f>"2026-07-29 13:18:02"</f>
        <v>2026-07-29 13:18:02</v>
      </c>
      <c r="L5875" s="1" t="str">
        <f>"2021-03-12 15:16:22"</f>
        <v>2021-03-12 15:16:22</v>
      </c>
      <c r="M5875" s="1" t="s">
        <v>0</v>
      </c>
      <c r="N5875" s="1" t="s">
        <v>38</v>
      </c>
      <c r="O5875" s="1" t="s">
        <v>46</v>
      </c>
    </row>
    <row r="5876" spans="2:15" x14ac:dyDescent="0.3">
      <c r="B5876" s="1" t="s">
        <v>22</v>
      </c>
      <c r="C5876" s="1" t="str">
        <f>"4차"</f>
        <v>4차</v>
      </c>
      <c r="D5876" s="1" t="str">
        <f>"0229H38145"</f>
        <v>0229H38145</v>
      </c>
      <c r="E5876" s="1" t="s">
        <v>10</v>
      </c>
      <c r="F5876" s="1" t="str">
        <f>"10.14.12.64"</f>
        <v>10.14.12.64</v>
      </c>
      <c r="G5876" s="1" t="str">
        <f>"0229H381"</f>
        <v>0229H381</v>
      </c>
      <c r="H5876" s="1" t="str">
        <f>"월계 105"</f>
        <v>월계 105</v>
      </c>
      <c r="I5876" s="1" t="s">
        <v>17</v>
      </c>
      <c r="J5876" s="1" t="str">
        <f>"88/95"</f>
        <v>88/95</v>
      </c>
      <c r="K5876" s="1" t="str">
        <f>"2026-07-29 13:18:03"</f>
        <v>2026-07-29 13:18:03</v>
      </c>
      <c r="L5876" s="1" t="str">
        <f>"2021-06-17 15:04:09"</f>
        <v>2021-06-17 15:04:09</v>
      </c>
      <c r="M5876" s="1" t="s">
        <v>3</v>
      </c>
      <c r="N5876" s="1" t="s">
        <v>38</v>
      </c>
      <c r="O5876" s="1" t="s">
        <v>46</v>
      </c>
    </row>
    <row r="5877" spans="2:15" x14ac:dyDescent="0.3">
      <c r="B5877" s="1" t="s">
        <v>22</v>
      </c>
      <c r="C5877" s="1" t="str">
        <f>"4차"</f>
        <v>4차</v>
      </c>
      <c r="D5877" s="1" t="str">
        <f>"0229H38245"</f>
        <v>0229H38245</v>
      </c>
      <c r="E5877" s="1" t="s">
        <v>10</v>
      </c>
      <c r="F5877" s="1" t="str">
        <f>"10.12.138.173"</f>
        <v>10.12.138.173</v>
      </c>
      <c r="G5877" s="1" t="str">
        <f>"0229H382"</f>
        <v>0229H382</v>
      </c>
      <c r="H5877" s="1" t="str">
        <f>"월계 105A"</f>
        <v>월계 105A</v>
      </c>
      <c r="I5877" s="1" t="s">
        <v>17</v>
      </c>
      <c r="J5877" s="1" t="str">
        <f>"62/65"</f>
        <v>62/65</v>
      </c>
      <c r="K5877" s="1" t="str">
        <f>"2026-07-29 13:18:03"</f>
        <v>2026-07-29 13:18:03</v>
      </c>
      <c r="L5877" s="1" t="str">
        <f>"2024-05-14 17:46:38"</f>
        <v>2024-05-14 17:46:38</v>
      </c>
      <c r="M5877" s="1" t="s">
        <v>0</v>
      </c>
      <c r="N5877" s="1" t="s">
        <v>38</v>
      </c>
      <c r="O5877" s="1" t="s">
        <v>46</v>
      </c>
    </row>
    <row r="5878" spans="2:15" x14ac:dyDescent="0.3">
      <c r="B5878" s="1" t="s">
        <v>22</v>
      </c>
      <c r="C5878" s="1" t="str">
        <f>"4차"</f>
        <v>4차</v>
      </c>
      <c r="D5878" s="1" t="str">
        <f>"0229H48145"</f>
        <v>0229H48145</v>
      </c>
      <c r="E5878" s="1" t="s">
        <v>10</v>
      </c>
      <c r="F5878" s="1" t="str">
        <f>"10.14.3.20"</f>
        <v>10.14.3.20</v>
      </c>
      <c r="G5878" s="1" t="str">
        <f>"0229H481"</f>
        <v>0229H481</v>
      </c>
      <c r="H5878" s="1" t="str">
        <f>"월계 104"</f>
        <v>월계 104</v>
      </c>
      <c r="I5878" s="1" t="s">
        <v>17</v>
      </c>
      <c r="J5878" s="1" t="str">
        <f>"119/119"</f>
        <v>119/119</v>
      </c>
      <c r="K5878" s="1" t="str">
        <f>"2026-07-29 13:18:02"</f>
        <v>2026-07-29 13:18:02</v>
      </c>
      <c r="L5878" s="1" t="str">
        <f>"2021-06-21 08:35:02"</f>
        <v>2021-06-21 08:35:02</v>
      </c>
      <c r="M5878" s="1" t="s">
        <v>3</v>
      </c>
      <c r="N5878" s="1" t="s">
        <v>38</v>
      </c>
      <c r="O5878" s="1" t="s">
        <v>46</v>
      </c>
    </row>
    <row r="5879" spans="2:15" x14ac:dyDescent="0.3">
      <c r="B5879" s="1" t="s">
        <v>22</v>
      </c>
      <c r="C5879" s="1" t="str">
        <f>"4차"</f>
        <v>4차</v>
      </c>
      <c r="D5879" s="1" t="str">
        <f>"0229H49145"</f>
        <v>0229H49145</v>
      </c>
      <c r="E5879" s="1" t="s">
        <v>10</v>
      </c>
      <c r="F5879" s="1" t="str">
        <f>"10.14.7.13"</f>
        <v>10.14.7.13</v>
      </c>
      <c r="G5879" s="1" t="str">
        <f>"0229H491"</f>
        <v>0229H491</v>
      </c>
      <c r="H5879" s="1" t="str">
        <f>"월계 201"</f>
        <v>월계 201</v>
      </c>
      <c r="I5879" s="1" t="s">
        <v>17</v>
      </c>
      <c r="J5879" s="1" t="str">
        <f>"81/81"</f>
        <v>81/81</v>
      </c>
      <c r="K5879" s="1" t="str">
        <f>"2026-07-29 13:18:02"</f>
        <v>2026-07-29 13:18:02</v>
      </c>
      <c r="L5879" s="1" t="str">
        <f>"2021-06-21 09:14:15"</f>
        <v>2021-06-21 09:14:15</v>
      </c>
      <c r="M5879" s="1" t="s">
        <v>3</v>
      </c>
      <c r="N5879" s="1" t="s">
        <v>38</v>
      </c>
      <c r="O5879" s="1" t="s">
        <v>46</v>
      </c>
    </row>
    <row r="5880" spans="2:15" x14ac:dyDescent="0.3">
      <c r="B5880" s="1" t="s">
        <v>22</v>
      </c>
      <c r="C5880" s="1" t="str">
        <f>"3차"</f>
        <v>3차</v>
      </c>
      <c r="D5880" s="1" t="str">
        <f>"0229H50132"</f>
        <v>0229H50132</v>
      </c>
      <c r="E5880" s="1" t="s">
        <v>10</v>
      </c>
      <c r="F5880" s="1" t="str">
        <f>"10.10.21.68"</f>
        <v>10.10.21.68</v>
      </c>
      <c r="G5880" s="1" t="str">
        <f>"0229H501"</f>
        <v>0229H501</v>
      </c>
      <c r="H5880" s="1" t="str">
        <f>"교육간 30L7"</f>
        <v>교육간 30L7</v>
      </c>
      <c r="I5880" s="1" t="s">
        <v>8</v>
      </c>
      <c r="J5880" s="1" t="str">
        <f>"49/49"</f>
        <v>49/49</v>
      </c>
      <c r="K5880" s="1" t="str">
        <f>"2026-07-29 13:18:01"</f>
        <v>2026-07-29 13:18:01</v>
      </c>
      <c r="L5880" s="1" t="str">
        <f>"2018-01-18 11:46:26"</f>
        <v>2018-01-18 11:46:26</v>
      </c>
      <c r="M5880" s="1" t="s">
        <v>1</v>
      </c>
      <c r="N5880" s="1" t="s">
        <v>38</v>
      </c>
      <c r="O5880" s="1" t="s">
        <v>46</v>
      </c>
    </row>
    <row r="5881" spans="2:15" x14ac:dyDescent="0.3">
      <c r="B5881" s="1" t="s">
        <v>22</v>
      </c>
      <c r="C5881" s="1" t="str">
        <f>"4차"</f>
        <v>4차</v>
      </c>
      <c r="D5881" s="1" t="str">
        <f>"0229H50230"</f>
        <v>0229H50230</v>
      </c>
      <c r="E5881" s="1" t="s">
        <v>10</v>
      </c>
      <c r="F5881" s="1" t="str">
        <f>"10.10.19.114"</f>
        <v>10.10.19.114</v>
      </c>
      <c r="G5881" s="1" t="str">
        <f>"0229H502"</f>
        <v>0229H502</v>
      </c>
      <c r="H5881" s="1" t="str">
        <f>"교육간 30L8"</f>
        <v>교육간 30L8</v>
      </c>
      <c r="I5881" s="1" t="s">
        <v>8</v>
      </c>
      <c r="J5881" s="1" t="str">
        <f>"28/34"</f>
        <v>28/34</v>
      </c>
      <c r="K5881" s="1" t="str">
        <f>"2026-07-29 13:18:02"</f>
        <v>2026-07-29 13:18:02</v>
      </c>
      <c r="L5881" s="1" t="str">
        <f>"2018-01-02 15:12:26"</f>
        <v>2018-01-02 15:12:26</v>
      </c>
      <c r="M5881" s="1" t="s">
        <v>1</v>
      </c>
      <c r="N5881" s="1" t="s">
        <v>38</v>
      </c>
      <c r="O5881" s="1" t="s">
        <v>46</v>
      </c>
    </row>
    <row r="5882" spans="2:15" x14ac:dyDescent="0.3">
      <c r="B5882" s="1" t="s">
        <v>22</v>
      </c>
      <c r="C5882" s="1" t="str">
        <f>"3차"</f>
        <v>3차</v>
      </c>
      <c r="D5882" s="1" t="str">
        <f>"0229H50639"</f>
        <v>0229H50639</v>
      </c>
      <c r="E5882" s="1" t="s">
        <v>10</v>
      </c>
      <c r="F5882" s="1" t="str">
        <f>"10.12.129.144"</f>
        <v>10.12.129.144</v>
      </c>
      <c r="G5882" s="1" t="str">
        <f>"0229H506"</f>
        <v>0229H506</v>
      </c>
      <c r="H5882" s="1" t="str">
        <f>"교육간 30L8L1"</f>
        <v>교육간 30L8L1</v>
      </c>
      <c r="I5882" s="1" t="s">
        <v>8</v>
      </c>
      <c r="J5882" s="1" t="str">
        <f>"21/21"</f>
        <v>21/21</v>
      </c>
      <c r="K5882" s="1" t="str">
        <f>"2026-07-29 13:18:03"</f>
        <v>2026-07-29 13:18:03</v>
      </c>
      <c r="L5882" s="1" t="str">
        <f>"2018-04-11 15:54:59"</f>
        <v>2018-04-11 15:54:59</v>
      </c>
      <c r="M5882" s="1" t="s">
        <v>0</v>
      </c>
      <c r="N5882" s="1" t="s">
        <v>38</v>
      </c>
      <c r="O5882" s="1" t="s">
        <v>46</v>
      </c>
    </row>
    <row r="5883" spans="2:15" x14ac:dyDescent="0.3">
      <c r="B5883" s="1" t="s">
        <v>22</v>
      </c>
      <c r="C5883" s="1" t="str">
        <f>"4차"</f>
        <v>4차</v>
      </c>
      <c r="D5883" s="1" t="str">
        <f>"0229H58145"</f>
        <v>0229H58145</v>
      </c>
      <c r="E5883" s="1" t="s">
        <v>10</v>
      </c>
      <c r="F5883" s="1" t="str">
        <f>"10.14.1.64"</f>
        <v>10.14.1.64</v>
      </c>
      <c r="G5883" s="1" t="str">
        <f>"0229H581"</f>
        <v>0229H581</v>
      </c>
      <c r="H5883" s="1" t="str">
        <f>"월계 103"</f>
        <v>월계 103</v>
      </c>
      <c r="I5883" s="1" t="s">
        <v>17</v>
      </c>
      <c r="J5883" s="1" t="str">
        <f>"14/14"</f>
        <v>14/14</v>
      </c>
      <c r="K5883" s="1" t="str">
        <f>"2026-07-29 13:18:04"</f>
        <v>2026-07-29 13:18:04</v>
      </c>
      <c r="L5883" s="1" t="str">
        <f>"2021-06-17 14:07:16"</f>
        <v>2021-06-17 14:07:16</v>
      </c>
      <c r="M5883" s="1" t="s">
        <v>3</v>
      </c>
      <c r="N5883" s="1" t="s">
        <v>38</v>
      </c>
      <c r="O5883" s="1" t="s">
        <v>46</v>
      </c>
    </row>
    <row r="5884" spans="2:15" x14ac:dyDescent="0.3">
      <c r="B5884" s="1" t="s">
        <v>22</v>
      </c>
      <c r="C5884" s="1" t="str">
        <f>"3차"</f>
        <v>3차</v>
      </c>
      <c r="D5884" s="1" t="str">
        <f>"0229H60331"</f>
        <v>0229H60331</v>
      </c>
      <c r="E5884" s="1" t="s">
        <v>10</v>
      </c>
      <c r="F5884" s="1" t="str">
        <f>"10.10.19.115"</f>
        <v>10.10.19.115</v>
      </c>
      <c r="G5884" s="1" t="str">
        <f>"0229H603"</f>
        <v>0229H603</v>
      </c>
      <c r="H5884" s="1" t="str">
        <f>"교육간 30L8R1"</f>
        <v>교육간 30L8R1</v>
      </c>
      <c r="I5884" s="1" t="s">
        <v>8</v>
      </c>
      <c r="J5884" s="1" t="str">
        <f>"8/8"</f>
        <v>8/8</v>
      </c>
      <c r="K5884" s="1" t="str">
        <f t="shared" ref="K5884:K5890" si="296">"2026-07-29 13:18:01"</f>
        <v>2026-07-29 13:18:01</v>
      </c>
      <c r="L5884" s="1" t="str">
        <f>"2018-03-15 10:44:41"</f>
        <v>2018-03-15 10:44:41</v>
      </c>
      <c r="M5884" s="1" t="s">
        <v>1</v>
      </c>
      <c r="N5884" s="1" t="s">
        <v>38</v>
      </c>
      <c r="O5884" s="1" t="s">
        <v>46</v>
      </c>
    </row>
    <row r="5885" spans="2:15" x14ac:dyDescent="0.3">
      <c r="B5885" s="1" t="s">
        <v>22</v>
      </c>
      <c r="C5885" s="1" t="str">
        <f>"3차"</f>
        <v>3차</v>
      </c>
      <c r="D5885" s="1" t="str">
        <f>"0229H61139"</f>
        <v>0229H61139</v>
      </c>
      <c r="E5885" s="1" t="s">
        <v>10</v>
      </c>
      <c r="F5885" s="1" t="str">
        <f>"10.10.9.2"</f>
        <v>10.10.9.2</v>
      </c>
      <c r="G5885" s="1" t="str">
        <f>"0229H611"</f>
        <v>0229H611</v>
      </c>
      <c r="H5885" s="1" t="str">
        <f>"교육간 30L11"</f>
        <v>교육간 30L11</v>
      </c>
      <c r="I5885" s="1" t="s">
        <v>8</v>
      </c>
      <c r="J5885" s="1" t="str">
        <f>"30/32"</f>
        <v>30/32</v>
      </c>
      <c r="K5885" s="1" t="str">
        <f t="shared" si="296"/>
        <v>2026-07-29 13:18:01</v>
      </c>
      <c r="L5885" s="1" t="str">
        <f>"2018-03-29 13:13:58"</f>
        <v>2018-03-29 13:13:58</v>
      </c>
      <c r="M5885" s="1" t="s">
        <v>1</v>
      </c>
      <c r="N5885" s="1" t="s">
        <v>38</v>
      </c>
      <c r="O5885" s="1" t="s">
        <v>46</v>
      </c>
    </row>
    <row r="5886" spans="2:15" x14ac:dyDescent="0.3">
      <c r="B5886" s="1" t="s">
        <v>22</v>
      </c>
      <c r="C5886" s="1" t="str">
        <f>"3차"</f>
        <v>3차</v>
      </c>
      <c r="D5886" s="1" t="str">
        <f>"0229W99139"</f>
        <v>0229W99139</v>
      </c>
      <c r="E5886" s="1" t="s">
        <v>10</v>
      </c>
      <c r="F5886" s="1" t="str">
        <f>"10.10.1.194"</f>
        <v>10.10.1.194</v>
      </c>
      <c r="G5886" s="1" t="str">
        <f>"0229W991"</f>
        <v>0229W991</v>
      </c>
      <c r="H5886" s="1" t="str">
        <f>"교육간 24"</f>
        <v>교육간 24</v>
      </c>
      <c r="I5886" s="1" t="s">
        <v>8</v>
      </c>
      <c r="J5886" s="1" t="str">
        <f>"4/4"</f>
        <v>4/4</v>
      </c>
      <c r="K5886" s="1" t="str">
        <f t="shared" si="296"/>
        <v>2026-07-29 13:18:01</v>
      </c>
      <c r="L5886" s="1" t="str">
        <f>"2018-01-29 09:15:23"</f>
        <v>2018-01-29 09:15:23</v>
      </c>
      <c r="M5886" s="1" t="s">
        <v>1</v>
      </c>
      <c r="N5886" s="1" t="s">
        <v>38</v>
      </c>
      <c r="O5886" s="1" t="s">
        <v>46</v>
      </c>
    </row>
    <row r="5887" spans="2:15" x14ac:dyDescent="0.3">
      <c r="B5887" s="1" t="s">
        <v>22</v>
      </c>
      <c r="C5887" s="1" t="str">
        <f>"4차"</f>
        <v>4차</v>
      </c>
      <c r="D5887" s="1" t="str">
        <f>"0229X06244"</f>
        <v>0229X06244</v>
      </c>
      <c r="E5887" s="1" t="s">
        <v>10</v>
      </c>
      <c r="F5887" s="1" t="str">
        <f>"10.107.123.124"</f>
        <v>10.107.123.124</v>
      </c>
      <c r="G5887" s="1" t="str">
        <f>"0229X062"</f>
        <v>0229X062</v>
      </c>
      <c r="H5887" s="1" t="str">
        <f>"교육간 35R2"</f>
        <v>교육간 35R2</v>
      </c>
      <c r="I5887" s="1" t="s">
        <v>8</v>
      </c>
      <c r="J5887" s="1" t="str">
        <f>"16/16"</f>
        <v>16/16</v>
      </c>
      <c r="K5887" s="1" t="str">
        <f t="shared" si="296"/>
        <v>2026-07-29 13:18:01</v>
      </c>
      <c r="L5887" s="1" t="str">
        <f>"2020-01-10 11:44:34"</f>
        <v>2020-01-10 11:44:34</v>
      </c>
      <c r="M5887" s="1" t="s">
        <v>45</v>
      </c>
      <c r="N5887" s="1" t="s">
        <v>38</v>
      </c>
      <c r="O5887" s="1" t="s">
        <v>46</v>
      </c>
    </row>
    <row r="5888" spans="2:15" x14ac:dyDescent="0.3">
      <c r="B5888" s="1" t="s">
        <v>22</v>
      </c>
      <c r="C5888" s="1" t="str">
        <f>"4차"</f>
        <v>4차</v>
      </c>
      <c r="D5888" s="1" t="str">
        <f>"0229X08144"</f>
        <v>0229X08144</v>
      </c>
      <c r="E5888" s="1" t="s">
        <v>10</v>
      </c>
      <c r="F5888" s="1" t="str">
        <f>"10.107.123.125"</f>
        <v>10.107.123.125</v>
      </c>
      <c r="G5888" s="1" t="str">
        <f>"0229X081"</f>
        <v>0229X081</v>
      </c>
      <c r="H5888" s="1" t="str">
        <f>"교육간 27"</f>
        <v>교육간 27</v>
      </c>
      <c r="I5888" s="1" t="s">
        <v>8</v>
      </c>
      <c r="J5888" s="1" t="str">
        <f>"52/52"</f>
        <v>52/52</v>
      </c>
      <c r="K5888" s="1" t="str">
        <f t="shared" si="296"/>
        <v>2026-07-29 13:18:01</v>
      </c>
      <c r="L5888" s="1" t="str">
        <f>"2025-05-26 18:12:56"</f>
        <v>2025-05-26 18:12:56</v>
      </c>
      <c r="M5888" s="1" t="s">
        <v>45</v>
      </c>
      <c r="N5888" s="1" t="s">
        <v>38</v>
      </c>
      <c r="O5888" s="1" t="s">
        <v>46</v>
      </c>
    </row>
    <row r="5889" spans="2:15" x14ac:dyDescent="0.3">
      <c r="B5889" s="1" t="s">
        <v>22</v>
      </c>
      <c r="C5889" s="1" t="str">
        <f>"4차"</f>
        <v>4차</v>
      </c>
      <c r="D5889" s="1" t="str">
        <f>"0229X16244"</f>
        <v>0229X16244</v>
      </c>
      <c r="E5889" s="1" t="s">
        <v>10</v>
      </c>
      <c r="F5889" s="1" t="str">
        <f>"10.107.253.45"</f>
        <v>10.107.253.45</v>
      </c>
      <c r="G5889" s="1" t="str">
        <f>"0229X162"</f>
        <v>0229X162</v>
      </c>
      <c r="H5889" s="1" t="str">
        <f>"교육간 30"</f>
        <v>교육간 30</v>
      </c>
      <c r="I5889" s="1" t="s">
        <v>8</v>
      </c>
      <c r="J5889" s="1" t="str">
        <f>"60/60"</f>
        <v>60/60</v>
      </c>
      <c r="K5889" s="1" t="str">
        <f t="shared" si="296"/>
        <v>2026-07-29 13:18:01</v>
      </c>
      <c r="L5889" s="1" t="str">
        <f>"2020-01-10 11:29:29"</f>
        <v>2020-01-10 11:29:29</v>
      </c>
      <c r="M5889" s="1" t="s">
        <v>45</v>
      </c>
      <c r="N5889" s="1" t="s">
        <v>38</v>
      </c>
      <c r="O5889" s="1" t="s">
        <v>46</v>
      </c>
    </row>
    <row r="5890" spans="2:15" x14ac:dyDescent="0.3">
      <c r="B5890" s="1" t="s">
        <v>22</v>
      </c>
      <c r="C5890" s="1" t="str">
        <f>"4차"</f>
        <v>4차</v>
      </c>
      <c r="D5890" s="1" t="str">
        <f>"0229X17230"</f>
        <v>0229X17230</v>
      </c>
      <c r="E5890" s="1" t="s">
        <v>10</v>
      </c>
      <c r="F5890" s="1" t="str">
        <f>"10.10.19.138"</f>
        <v>10.10.19.138</v>
      </c>
      <c r="G5890" s="1" t="str">
        <f>"0229X172"</f>
        <v>0229X172</v>
      </c>
      <c r="H5890" s="1" t="str">
        <f>"교육간 30L1"</f>
        <v>교육간 30L1</v>
      </c>
      <c r="I5890" s="1" t="s">
        <v>8</v>
      </c>
      <c r="J5890" s="1" t="str">
        <f>"41/48"</f>
        <v>41/48</v>
      </c>
      <c r="K5890" s="1" t="str">
        <f t="shared" si="296"/>
        <v>2026-07-29 13:18:01</v>
      </c>
      <c r="L5890" s="1" t="str">
        <f>"2018-01-02 13:09:25"</f>
        <v>2018-01-02 13:09:25</v>
      </c>
      <c r="M5890" s="1" t="s">
        <v>1</v>
      </c>
      <c r="N5890" s="1" t="s">
        <v>38</v>
      </c>
      <c r="O5890" s="1" t="s">
        <v>46</v>
      </c>
    </row>
    <row r="5891" spans="2:15" x14ac:dyDescent="0.3">
      <c r="B5891" s="1" t="s">
        <v>22</v>
      </c>
      <c r="C5891" s="1" t="str">
        <f>"4차"</f>
        <v>4차</v>
      </c>
      <c r="D5891" s="1" t="str">
        <f>"0229X25345"</f>
        <v>0229X25345</v>
      </c>
      <c r="E5891" s="1" t="s">
        <v>10</v>
      </c>
      <c r="F5891" s="1" t="str">
        <f>"10.14.3.5"</f>
        <v>10.14.3.5</v>
      </c>
      <c r="G5891" s="1" t="str">
        <f>"0229X253"</f>
        <v>0229X253</v>
      </c>
      <c r="H5891" s="1" t="str">
        <f>"광운 16"</f>
        <v>광운 16</v>
      </c>
      <c r="I5891" s="1" t="s">
        <v>17</v>
      </c>
      <c r="J5891" s="1" t="str">
        <f>"11/11"</f>
        <v>11/11</v>
      </c>
      <c r="K5891" s="1" t="str">
        <f>"2026-07-29 13:18:03"</f>
        <v>2026-07-29 13:18:03</v>
      </c>
      <c r="L5891" s="1" t="str">
        <f>"2021-06-24 14:11:31"</f>
        <v>2021-06-24 14:11:31</v>
      </c>
      <c r="M5891" s="1" t="s">
        <v>3</v>
      </c>
      <c r="N5891" s="1" t="s">
        <v>38</v>
      </c>
      <c r="O5891" s="1" t="s">
        <v>46</v>
      </c>
    </row>
    <row r="5892" spans="2:15" x14ac:dyDescent="0.3">
      <c r="B5892" s="1" t="s">
        <v>22</v>
      </c>
      <c r="C5892" s="1" t="str">
        <f>"3차"</f>
        <v>3차</v>
      </c>
      <c r="D5892" s="1" t="str">
        <f>"0229X26131"</f>
        <v>0229X26131</v>
      </c>
      <c r="E5892" s="1" t="s">
        <v>10</v>
      </c>
      <c r="F5892" s="1" t="str">
        <f>"10.10.19.139"</f>
        <v>10.10.19.139</v>
      </c>
      <c r="G5892" s="1" t="str">
        <f>"0229X261"</f>
        <v>0229X261</v>
      </c>
      <c r="H5892" s="1" t="str">
        <f>"교육간 30L1R1"</f>
        <v>교육간 30L1R1</v>
      </c>
      <c r="I5892" s="1" t="s">
        <v>8</v>
      </c>
      <c r="J5892" s="1" t="str">
        <f>"46/46"</f>
        <v>46/46</v>
      </c>
      <c r="K5892" s="1" t="str">
        <f>"2026-07-29 13:18:01"</f>
        <v>2026-07-29 13:18:01</v>
      </c>
      <c r="L5892" s="1" t="str">
        <f>"2018-03-14 18:37:58"</f>
        <v>2018-03-14 18:37:58</v>
      </c>
      <c r="M5892" s="1" t="s">
        <v>1</v>
      </c>
      <c r="N5892" s="1" t="s">
        <v>38</v>
      </c>
      <c r="O5892" s="1" t="s">
        <v>46</v>
      </c>
    </row>
    <row r="5893" spans="2:15" x14ac:dyDescent="0.3">
      <c r="B5893" s="1" t="s">
        <v>22</v>
      </c>
      <c r="C5893" s="1" t="str">
        <f>"4차"</f>
        <v>4차</v>
      </c>
      <c r="D5893" s="1" t="str">
        <f>"0229X27339"</f>
        <v>0229X27339</v>
      </c>
      <c r="E5893" s="1" t="s">
        <v>10</v>
      </c>
      <c r="F5893" s="1" t="str">
        <f>"10.12.128.10"</f>
        <v>10.12.128.10</v>
      </c>
      <c r="G5893" s="1" t="str">
        <f>"0229X273"</f>
        <v>0229X273</v>
      </c>
      <c r="H5893" s="1" t="str">
        <f>"교육간 30L2"</f>
        <v>교육간 30L2</v>
      </c>
      <c r="I5893" s="1" t="s">
        <v>8</v>
      </c>
      <c r="J5893" s="1" t="str">
        <f>"46/46"</f>
        <v>46/46</v>
      </c>
      <c r="K5893" s="1" t="str">
        <f>"2026-07-29 13:18:03"</f>
        <v>2026-07-29 13:18:03</v>
      </c>
      <c r="L5893" s="1" t="str">
        <f>"2018-03-29 12:10:28"</f>
        <v>2018-03-29 12:10:28</v>
      </c>
      <c r="M5893" s="1" t="s">
        <v>0</v>
      </c>
      <c r="N5893" s="1" t="s">
        <v>38</v>
      </c>
      <c r="O5893" s="1" t="s">
        <v>46</v>
      </c>
    </row>
    <row r="5894" spans="2:15" x14ac:dyDescent="0.3">
      <c r="B5894" s="1" t="s">
        <v>22</v>
      </c>
      <c r="C5894" s="1" t="str">
        <f>"4차"</f>
        <v>4차</v>
      </c>
      <c r="D5894" s="1" t="str">
        <f>"0229X28130"</f>
        <v>0229X28130</v>
      </c>
      <c r="E5894" s="1" t="s">
        <v>10</v>
      </c>
      <c r="F5894" s="1" t="str">
        <f>"10.10.19.130"</f>
        <v>10.10.19.130</v>
      </c>
      <c r="G5894" s="1" t="str">
        <f>"0229X281"</f>
        <v>0229X281</v>
      </c>
      <c r="H5894" s="1" t="str">
        <f>"교육간 30L3"</f>
        <v>교육간 30L3</v>
      </c>
      <c r="I5894" s="1" t="s">
        <v>8</v>
      </c>
      <c r="J5894" s="1" t="str">
        <f>"84/84"</f>
        <v>84/84</v>
      </c>
      <c r="K5894" s="1" t="str">
        <f>"2026-07-29 13:18:01"</f>
        <v>2026-07-29 13:18:01</v>
      </c>
      <c r="L5894" s="1" t="str">
        <f>"2018-01-02 14:16:26"</f>
        <v>2018-01-02 14:16:26</v>
      </c>
      <c r="M5894" s="1" t="s">
        <v>1</v>
      </c>
      <c r="N5894" s="1" t="s">
        <v>38</v>
      </c>
      <c r="O5894" s="1" t="s">
        <v>46</v>
      </c>
    </row>
    <row r="5895" spans="2:15" x14ac:dyDescent="0.3">
      <c r="B5895" s="1" t="s">
        <v>22</v>
      </c>
      <c r="C5895" s="1" t="str">
        <f>"3차"</f>
        <v>3차</v>
      </c>
      <c r="D5895" s="1" t="str">
        <f>"0229X38131"</f>
        <v>0229X38131</v>
      </c>
      <c r="E5895" s="1" t="s">
        <v>10</v>
      </c>
      <c r="F5895" s="1" t="str">
        <f>"10.10.19.131"</f>
        <v>10.10.19.131</v>
      </c>
      <c r="G5895" s="1" t="str">
        <f>"0229X381"</f>
        <v>0229X381</v>
      </c>
      <c r="H5895" s="1" t="str">
        <f>"교육간 30L4"</f>
        <v>교육간 30L4</v>
      </c>
      <c r="I5895" s="1" t="s">
        <v>8</v>
      </c>
      <c r="J5895" s="1" t="str">
        <f>"89/89"</f>
        <v>89/89</v>
      </c>
      <c r="K5895" s="1" t="str">
        <f>"2026-07-29 13:18:01"</f>
        <v>2026-07-29 13:18:01</v>
      </c>
      <c r="L5895" s="1" t="str">
        <f>"2018-01-18 14:35:57"</f>
        <v>2018-01-18 14:35:57</v>
      </c>
      <c r="M5895" s="1" t="s">
        <v>1</v>
      </c>
      <c r="N5895" s="1" t="s">
        <v>38</v>
      </c>
      <c r="O5895" s="1" t="s">
        <v>46</v>
      </c>
    </row>
    <row r="5896" spans="2:15" x14ac:dyDescent="0.3">
      <c r="B5896" s="1" t="s">
        <v>22</v>
      </c>
      <c r="C5896" s="1" t="str">
        <f>"3차"</f>
        <v>3차</v>
      </c>
      <c r="D5896" s="1" t="str">
        <f>"0229X39131"</f>
        <v>0229X39131</v>
      </c>
      <c r="E5896" s="1" t="s">
        <v>10</v>
      </c>
      <c r="F5896" s="1" t="str">
        <f>"10.10.19.123"</f>
        <v>10.10.19.123</v>
      </c>
      <c r="G5896" s="1" t="str">
        <f>"0229X391"</f>
        <v>0229X391</v>
      </c>
      <c r="H5896" s="1" t="str">
        <f>"교육간 30L5L1"</f>
        <v>교육간 30L5L1</v>
      </c>
      <c r="I5896" s="1" t="s">
        <v>8</v>
      </c>
      <c r="J5896" s="1" t="str">
        <f>"30/30"</f>
        <v>30/30</v>
      </c>
      <c r="K5896" s="1" t="str">
        <f>"2026-07-29 13:18:03"</f>
        <v>2026-07-29 13:18:03</v>
      </c>
      <c r="L5896" s="1" t="str">
        <f>"2018-03-19 12:01:02"</f>
        <v>2018-03-19 12:01:02</v>
      </c>
      <c r="M5896" s="1" t="s">
        <v>1</v>
      </c>
      <c r="N5896" s="1" t="s">
        <v>38</v>
      </c>
      <c r="O5896" s="1" t="s">
        <v>46</v>
      </c>
    </row>
    <row r="5897" spans="2:15" x14ac:dyDescent="0.3">
      <c r="B5897" s="1" t="s">
        <v>22</v>
      </c>
      <c r="C5897" s="1" t="str">
        <f>"4차"</f>
        <v>4차</v>
      </c>
      <c r="D5897" s="1" t="str">
        <f>"0229X49130"</f>
        <v>0229X49130</v>
      </c>
      <c r="E5897" s="1" t="s">
        <v>10</v>
      </c>
      <c r="F5897" s="1" t="str">
        <f>"10.10.19.122"</f>
        <v>10.10.19.122</v>
      </c>
      <c r="G5897" s="1" t="str">
        <f>"0229X491"</f>
        <v>0229X491</v>
      </c>
      <c r="H5897" s="1" t="str">
        <f>"교육간 30L5"</f>
        <v>교육간 30L5</v>
      </c>
      <c r="I5897" s="1" t="s">
        <v>8</v>
      </c>
      <c r="J5897" s="1" t="str">
        <f>"24/24"</f>
        <v>24/24</v>
      </c>
      <c r="K5897" s="1" t="str">
        <f>"2026-07-29 13:18:03"</f>
        <v>2026-07-29 13:18:03</v>
      </c>
      <c r="L5897" s="1" t="str">
        <f>"2018-01-02 15:18:56"</f>
        <v>2018-01-02 15:18:56</v>
      </c>
      <c r="M5897" s="1" t="s">
        <v>1</v>
      </c>
      <c r="N5897" s="1" t="s">
        <v>38</v>
      </c>
      <c r="O5897" s="1" t="s">
        <v>46</v>
      </c>
    </row>
    <row r="5898" spans="2:15" x14ac:dyDescent="0.3">
      <c r="B5898" s="1" t="s">
        <v>22</v>
      </c>
      <c r="C5898" s="1" t="str">
        <f>"3차"</f>
        <v>3차</v>
      </c>
      <c r="D5898" s="1" t="str">
        <f>"0229X49230"</f>
        <v>0229X49230</v>
      </c>
      <c r="E5898" s="1" t="s">
        <v>10</v>
      </c>
      <c r="F5898" s="1" t="str">
        <f>"10.10.21.66"</f>
        <v>10.10.21.66</v>
      </c>
      <c r="G5898" s="1" t="str">
        <f>"0229X492"</f>
        <v>0229X492</v>
      </c>
      <c r="H5898" s="1" t="str">
        <f>"교육간 30L6"</f>
        <v>교육간 30L6</v>
      </c>
      <c r="I5898" s="1" t="s">
        <v>8</v>
      </c>
      <c r="J5898" s="1" t="str">
        <f>"24/24"</f>
        <v>24/24</v>
      </c>
      <c r="K5898" s="1" t="str">
        <f>"2026-07-29 13:18:02"</f>
        <v>2026-07-29 13:18:02</v>
      </c>
      <c r="L5898" s="1" t="str">
        <f>"2018-01-02 14:43:41"</f>
        <v>2018-01-02 14:43:41</v>
      </c>
      <c r="M5898" s="1" t="s">
        <v>1</v>
      </c>
      <c r="N5898" s="1" t="s">
        <v>38</v>
      </c>
      <c r="O5898" s="1" t="s">
        <v>46</v>
      </c>
    </row>
    <row r="5899" spans="2:15" x14ac:dyDescent="0.3">
      <c r="B5899" s="1" t="s">
        <v>22</v>
      </c>
      <c r="C5899" s="1" t="str">
        <f t="shared" ref="C5899:C5907" si="297">"4차"</f>
        <v>4차</v>
      </c>
      <c r="D5899" s="1" t="str">
        <f>"0229X84144"</f>
        <v>0229X84144</v>
      </c>
      <c r="E5899" s="1" t="s">
        <v>10</v>
      </c>
      <c r="F5899" s="1" t="str">
        <f>"10.107.123.122"</f>
        <v>10.107.123.122</v>
      </c>
      <c r="G5899" s="1" t="str">
        <f>"0229X841"</f>
        <v>0229X841</v>
      </c>
      <c r="H5899" s="1" t="str">
        <f>"광운SW 1R11R3"</f>
        <v>광운SW 1R11R3</v>
      </c>
      <c r="I5899" s="1" t="s">
        <v>8</v>
      </c>
      <c r="J5899" s="1" t="str">
        <f>"32/32"</f>
        <v>32/32</v>
      </c>
      <c r="K5899" s="1" t="str">
        <f>"2026-07-29 13:18:02"</f>
        <v>2026-07-29 13:18:02</v>
      </c>
      <c r="L5899" s="1" t="str">
        <f>"2020-01-10 11:25:22"</f>
        <v>2020-01-10 11:25:22</v>
      </c>
      <c r="M5899" s="1" t="s">
        <v>45</v>
      </c>
      <c r="N5899" s="1" t="s">
        <v>38</v>
      </c>
      <c r="O5899" s="1" t="s">
        <v>46</v>
      </c>
    </row>
    <row r="5900" spans="2:15" x14ac:dyDescent="0.3">
      <c r="B5900" s="1" t="s">
        <v>22</v>
      </c>
      <c r="C5900" s="1" t="str">
        <f t="shared" si="297"/>
        <v>4차</v>
      </c>
      <c r="D5900" s="1" t="str">
        <f>"0229X86344"</f>
        <v>0229X86344</v>
      </c>
      <c r="E5900" s="1" t="s">
        <v>10</v>
      </c>
      <c r="F5900" s="1" t="str">
        <f>"10.107.253.44"</f>
        <v>10.107.253.44</v>
      </c>
      <c r="G5900" s="1" t="str">
        <f>"0229X863"</f>
        <v>0229X863</v>
      </c>
      <c r="H5900" s="1" t="str">
        <f>"광운SW 1R8R2"</f>
        <v>광운SW 1R8R2</v>
      </c>
      <c r="I5900" s="1" t="s">
        <v>8</v>
      </c>
      <c r="J5900" s="1" t="str">
        <f>"46/46"</f>
        <v>46/46</v>
      </c>
      <c r="K5900" s="1" t="str">
        <f>"2026-07-29 13:18:02"</f>
        <v>2026-07-29 13:18:02</v>
      </c>
      <c r="L5900" s="1" t="str">
        <f>"2020-01-10 11:40:16"</f>
        <v>2020-01-10 11:40:16</v>
      </c>
      <c r="M5900" s="1" t="s">
        <v>45</v>
      </c>
      <c r="N5900" s="1" t="s">
        <v>38</v>
      </c>
      <c r="O5900" s="1" t="s">
        <v>46</v>
      </c>
    </row>
    <row r="5901" spans="2:15" x14ac:dyDescent="0.3">
      <c r="B5901" s="1" t="s">
        <v>22</v>
      </c>
      <c r="C5901" s="1" t="str">
        <f t="shared" si="297"/>
        <v>4차</v>
      </c>
      <c r="D5901" s="1" t="str">
        <f>"0229X94244"</f>
        <v>0229X94244</v>
      </c>
      <c r="E5901" s="1" t="s">
        <v>10</v>
      </c>
      <c r="F5901" s="1" t="str">
        <f>"10.107.123.123"</f>
        <v>10.107.123.123</v>
      </c>
      <c r="G5901" s="1" t="str">
        <f>"0229X942"</f>
        <v>0229X942</v>
      </c>
      <c r="H5901" s="1" t="str">
        <f>"광운SW 1R11R2"</f>
        <v>광운SW 1R11R2</v>
      </c>
      <c r="I5901" s="1" t="s">
        <v>8</v>
      </c>
      <c r="J5901" s="1" t="str">
        <f>"96/112"</f>
        <v>96/112</v>
      </c>
      <c r="K5901" s="1" t="str">
        <f>"2026-07-29 13:18:01"</f>
        <v>2026-07-29 13:18:01</v>
      </c>
      <c r="L5901" s="1" t="str">
        <f>"2020-01-10 11:43:55"</f>
        <v>2020-01-10 11:43:55</v>
      </c>
      <c r="M5901" s="1" t="s">
        <v>45</v>
      </c>
      <c r="N5901" s="1" t="s">
        <v>38</v>
      </c>
      <c r="O5901" s="1" t="s">
        <v>46</v>
      </c>
    </row>
    <row r="5902" spans="2:15" x14ac:dyDescent="0.3">
      <c r="B5902" s="1" t="s">
        <v>22</v>
      </c>
      <c r="C5902" s="1" t="str">
        <f t="shared" si="297"/>
        <v>4차</v>
      </c>
      <c r="D5902" s="1" t="str">
        <f>"0229X95139"</f>
        <v>0229X95139</v>
      </c>
      <c r="E5902" s="1" t="s">
        <v>10</v>
      </c>
      <c r="F5902" s="1" t="str">
        <f>"10.12.131.141"</f>
        <v>10.12.131.141</v>
      </c>
      <c r="G5902" s="1" t="str">
        <f>"0229X951"</f>
        <v>0229X951</v>
      </c>
      <c r="H5902" s="1" t="str">
        <f>"광운SW 1R8"</f>
        <v>광운SW 1R8</v>
      </c>
      <c r="I5902" s="1" t="s">
        <v>8</v>
      </c>
      <c r="J5902" s="1" t="str">
        <f>"101/101"</f>
        <v>101/101</v>
      </c>
      <c r="K5902" s="1" t="str">
        <f>"2026-07-29 13:18:03"</f>
        <v>2026-07-29 13:18:03</v>
      </c>
      <c r="L5902" s="1" t="str">
        <f>"2018-03-28 15:08:15"</f>
        <v>2018-03-28 15:08:15</v>
      </c>
      <c r="M5902" s="1" t="s">
        <v>0</v>
      </c>
      <c r="N5902" s="1" t="s">
        <v>38</v>
      </c>
      <c r="O5902" s="1" t="s">
        <v>46</v>
      </c>
    </row>
    <row r="5903" spans="2:15" x14ac:dyDescent="0.3">
      <c r="B5903" s="1" t="s">
        <v>22</v>
      </c>
      <c r="C5903" s="1" t="str">
        <f t="shared" si="297"/>
        <v>4차</v>
      </c>
      <c r="D5903" s="1" t="str">
        <f>"0229X95244"</f>
        <v>0229X95244</v>
      </c>
      <c r="E5903" s="1" t="s">
        <v>10</v>
      </c>
      <c r="F5903" s="1" t="str">
        <f>"10.107.121.73"</f>
        <v>10.107.121.73</v>
      </c>
      <c r="G5903" s="1" t="str">
        <f>"0229X952"</f>
        <v>0229X952</v>
      </c>
      <c r="H5903" s="1" t="str">
        <f>"광운SW 1R7"</f>
        <v>광운SW 1R7</v>
      </c>
      <c r="I5903" s="1" t="s">
        <v>8</v>
      </c>
      <c r="J5903" s="1" t="str">
        <f>"45/47"</f>
        <v>45/47</v>
      </c>
      <c r="K5903" s="1" t="str">
        <f>"2026-07-29 13:18:02"</f>
        <v>2026-07-29 13:18:02</v>
      </c>
      <c r="L5903" s="1" t="str">
        <f>"2020-01-10 11:29:53"</f>
        <v>2020-01-10 11:29:53</v>
      </c>
      <c r="M5903" s="1" t="s">
        <v>45</v>
      </c>
      <c r="N5903" s="1" t="s">
        <v>38</v>
      </c>
      <c r="O5903" s="1" t="s">
        <v>46</v>
      </c>
    </row>
    <row r="5904" spans="2:15" x14ac:dyDescent="0.3">
      <c r="B5904" s="1" t="s">
        <v>22</v>
      </c>
      <c r="C5904" s="1" t="str">
        <f t="shared" si="297"/>
        <v>4차</v>
      </c>
      <c r="D5904" s="1" t="str">
        <f>"0229Z69445"</f>
        <v>0229Z69445</v>
      </c>
      <c r="E5904" s="1" t="s">
        <v>10</v>
      </c>
      <c r="F5904" s="1" t="str">
        <f>"10.14.14.189"</f>
        <v>10.14.14.189</v>
      </c>
      <c r="G5904" s="1" t="str">
        <f>"0229Z694"</f>
        <v>0229Z694</v>
      </c>
      <c r="H5904" s="1" t="str">
        <f>"광운 19"</f>
        <v>광운 19</v>
      </c>
      <c r="I5904" s="1" t="s">
        <v>17</v>
      </c>
      <c r="J5904" s="1" t="str">
        <f>"11/11"</f>
        <v>11/11</v>
      </c>
      <c r="K5904" s="1" t="str">
        <f>"2026-07-29 13:18:03"</f>
        <v>2026-07-29 13:18:03</v>
      </c>
      <c r="L5904" s="1" t="str">
        <f>"2021-11-18 17:48:24"</f>
        <v>2021-11-18 17:48:24</v>
      </c>
      <c r="M5904" s="1" t="s">
        <v>3</v>
      </c>
      <c r="N5904" s="1" t="s">
        <v>38</v>
      </c>
      <c r="O5904" s="1" t="s">
        <v>46</v>
      </c>
    </row>
    <row r="5905" spans="2:15" x14ac:dyDescent="0.3">
      <c r="B5905" s="1" t="s">
        <v>22</v>
      </c>
      <c r="C5905" s="1" t="str">
        <f t="shared" si="297"/>
        <v>4차</v>
      </c>
      <c r="D5905" s="1" t="str">
        <f>"0229Z98239"</f>
        <v>0229Z98239</v>
      </c>
      <c r="E5905" s="1" t="s">
        <v>10</v>
      </c>
      <c r="F5905" s="1" t="str">
        <f>"10.12.132.192"</f>
        <v>10.12.132.192</v>
      </c>
      <c r="G5905" s="1" t="str">
        <f>"0229Z982"</f>
        <v>0229Z982</v>
      </c>
      <c r="H5905" s="1" t="str">
        <f>"광운SW 18R2"</f>
        <v>광운SW 18R2</v>
      </c>
      <c r="I5905" s="1" t="s">
        <v>8</v>
      </c>
      <c r="J5905" s="1" t="str">
        <f>"156/157"</f>
        <v>156/157</v>
      </c>
      <c r="K5905" s="1" t="str">
        <f>"2026-07-29 13:18:03"</f>
        <v>2026-07-29 13:18:03</v>
      </c>
      <c r="L5905" s="1" t="str">
        <f>"2018-12-18 08:12:24"</f>
        <v>2018-12-18 08:12:24</v>
      </c>
      <c r="M5905" s="1" t="s">
        <v>0</v>
      </c>
      <c r="N5905" s="1" t="s">
        <v>38</v>
      </c>
      <c r="O5905" s="1" t="s">
        <v>46</v>
      </c>
    </row>
    <row r="5906" spans="2:15" x14ac:dyDescent="0.3">
      <c r="B5906" s="1" t="s">
        <v>22</v>
      </c>
      <c r="C5906" s="1" t="str">
        <f t="shared" si="297"/>
        <v>4차</v>
      </c>
      <c r="D5906" s="1" t="str">
        <f>"0230A04545"</f>
        <v>0230A04545</v>
      </c>
      <c r="E5906" s="1" t="s">
        <v>10</v>
      </c>
      <c r="F5906" s="1" t="str">
        <f>"10.14.5.2"</f>
        <v>10.14.5.2</v>
      </c>
      <c r="G5906" s="1" t="str">
        <f>"0230A045"</f>
        <v>0230A045</v>
      </c>
      <c r="H5906" s="1" t="str">
        <f>"쌍문 11"</f>
        <v>쌍문 11</v>
      </c>
      <c r="I5906" s="1" t="s">
        <v>17</v>
      </c>
      <c r="J5906" s="1" t="str">
        <f>"12/12"</f>
        <v>12/12</v>
      </c>
      <c r="K5906" s="1" t="str">
        <f>"2026-07-29 13:18:04"</f>
        <v>2026-07-29 13:18:04</v>
      </c>
      <c r="L5906" s="1" t="str">
        <f>"2021-06-22 11:08:29"</f>
        <v>2021-06-22 11:08:29</v>
      </c>
      <c r="M5906" s="1" t="s">
        <v>3</v>
      </c>
      <c r="N5906" s="1" t="s">
        <v>38</v>
      </c>
      <c r="O5906" s="1" t="s">
        <v>46</v>
      </c>
    </row>
    <row r="5907" spans="2:15" x14ac:dyDescent="0.3">
      <c r="B5907" s="1" t="s">
        <v>22</v>
      </c>
      <c r="C5907" s="1" t="str">
        <f t="shared" si="297"/>
        <v>4차</v>
      </c>
      <c r="D5907" s="1" t="str">
        <f>"0230A08141"</f>
        <v>0230A08141</v>
      </c>
      <c r="E5907" s="1" t="s">
        <v>10</v>
      </c>
      <c r="F5907" s="1" t="str">
        <f>"10.12.132.77"</f>
        <v>10.12.132.77</v>
      </c>
      <c r="G5907" s="1" t="str">
        <f>"0230A081"</f>
        <v>0230A081</v>
      </c>
      <c r="H5907" s="1" t="str">
        <f>"쌍문간 53L6"</f>
        <v>쌍문간 53L6</v>
      </c>
      <c r="I5907" s="1" t="s">
        <v>17</v>
      </c>
      <c r="J5907" s="1" t="str">
        <f>"26/26"</f>
        <v>26/26</v>
      </c>
      <c r="K5907" s="1" t="str">
        <f>"2026-07-29 13:18:03"</f>
        <v>2026-07-29 13:18:03</v>
      </c>
      <c r="L5907" s="1" t="str">
        <f>"2021-08-04 08:41:30"</f>
        <v>2021-08-04 08:41:30</v>
      </c>
      <c r="M5907" s="1" t="s">
        <v>0</v>
      </c>
      <c r="N5907" s="1" t="s">
        <v>38</v>
      </c>
      <c r="O5907" s="1" t="s">
        <v>46</v>
      </c>
    </row>
    <row r="5908" spans="2:15" x14ac:dyDescent="0.3">
      <c r="B5908" s="1" t="s">
        <v>22</v>
      </c>
      <c r="C5908" s="1" t="str">
        <f>"1차"</f>
        <v>1차</v>
      </c>
      <c r="D5908" s="1" t="str">
        <f>"0230A09100"</f>
        <v>0230A09100</v>
      </c>
      <c r="E5908" s="1" t="s">
        <v>10</v>
      </c>
      <c r="F5908" s="1" t="str">
        <f>"10.107.126.178"</f>
        <v>10.107.126.178</v>
      </c>
      <c r="G5908" s="1" t="str">
        <f>"0230A091"</f>
        <v>0230A091</v>
      </c>
      <c r="H5908" s="1" t="str">
        <f>"쌍문간 40L11"</f>
        <v>쌍문간 40L11</v>
      </c>
      <c r="I5908" s="1" t="s">
        <v>8</v>
      </c>
      <c r="J5908" s="1" t="str">
        <f>"2/2"</f>
        <v>2/2</v>
      </c>
      <c r="K5908" s="1" t="str">
        <f>"2026-07-29 13:18:02"</f>
        <v>2026-07-29 13:18:02</v>
      </c>
      <c r="L5908" s="1" t="str">
        <f>"2014-12-26 13:58:09"</f>
        <v>2014-12-26 13:58:09</v>
      </c>
      <c r="M5908" s="1" t="s">
        <v>45</v>
      </c>
      <c r="N5908" s="1" t="s">
        <v>38</v>
      </c>
      <c r="O5908" s="1" t="s">
        <v>46</v>
      </c>
    </row>
    <row r="5909" spans="2:15" x14ac:dyDescent="0.3">
      <c r="B5909" s="1" t="s">
        <v>22</v>
      </c>
      <c r="C5909" s="1" t="str">
        <f>"1차"</f>
        <v>1차</v>
      </c>
      <c r="D5909" s="1" t="str">
        <f>"0230A10100"</f>
        <v>0230A10100</v>
      </c>
      <c r="E5909" s="1" t="s">
        <v>10</v>
      </c>
      <c r="F5909" s="1" t="str">
        <f>"10.107.249.101"</f>
        <v>10.107.249.101</v>
      </c>
      <c r="G5909" s="1" t="str">
        <f>"0230A101"</f>
        <v>0230A101</v>
      </c>
      <c r="H5909" s="1" t="str">
        <f>"신창간 79R2"</f>
        <v>신창간 79R2</v>
      </c>
      <c r="I5909" s="1" t="s">
        <v>8</v>
      </c>
      <c r="J5909" s="1" t="str">
        <f>"24/37"</f>
        <v>24/37</v>
      </c>
      <c r="K5909" s="1" t="str">
        <f>"2026-07-29 13:18:02"</f>
        <v>2026-07-29 13:18:02</v>
      </c>
      <c r="L5909" s="1" t="str">
        <f>"2014-12-26 11:13:33"</f>
        <v>2014-12-26 11:13:33</v>
      </c>
      <c r="M5909" s="1" t="s">
        <v>45</v>
      </c>
      <c r="N5909" s="1" t="s">
        <v>38</v>
      </c>
      <c r="O5909" s="1" t="s">
        <v>46</v>
      </c>
    </row>
    <row r="5910" spans="2:15" x14ac:dyDescent="0.3">
      <c r="B5910" s="1" t="s">
        <v>22</v>
      </c>
      <c r="C5910" s="1" t="str">
        <f>"6차"</f>
        <v>6차</v>
      </c>
      <c r="D5910" s="1" t="str">
        <f>"0230A1246S"</f>
        <v>0230A1246S</v>
      </c>
      <c r="E5910" s="1" t="s">
        <v>10</v>
      </c>
      <c r="F5910" s="1" t="str">
        <f>"fde1:103:4:c7f6:0:0:0:2"</f>
        <v>fde1:103:4:c7f6:0:0:0:2</v>
      </c>
      <c r="G5910" s="1" t="str">
        <f>"0230A124"</f>
        <v>0230A124</v>
      </c>
      <c r="H5910" s="1" t="str">
        <f>"창동간 9R15"</f>
        <v>창동간 9R15</v>
      </c>
      <c r="I5910" s="1" t="s">
        <v>15</v>
      </c>
      <c r="J5910" s="1" t="str">
        <f>"19/23"</f>
        <v>19/23</v>
      </c>
      <c r="K5910" s="1" t="str">
        <f>"2026-07-29 14:21:08"</f>
        <v>2026-07-29 14:21:08</v>
      </c>
      <c r="L5910" s="1" t="str">
        <f>"2025-01-17 17:36:11"</f>
        <v>2025-01-17 17:36:11</v>
      </c>
      <c r="M5910" s="1" t="s">
        <v>4</v>
      </c>
      <c r="N5910" s="1" t="s">
        <v>38</v>
      </c>
      <c r="O5910" s="1" t="s">
        <v>46</v>
      </c>
    </row>
    <row r="5911" spans="2:15" x14ac:dyDescent="0.3">
      <c r="B5911" s="1" t="s">
        <v>22</v>
      </c>
      <c r="C5911" s="1" t="str">
        <f>"4차"</f>
        <v>4차</v>
      </c>
      <c r="D5911" s="1" t="str">
        <f>"0230A13539"</f>
        <v>0230A13539</v>
      </c>
      <c r="E5911" s="1" t="s">
        <v>10</v>
      </c>
      <c r="F5911" s="1" t="str">
        <f>"10.10.8.138"</f>
        <v>10.10.8.138</v>
      </c>
      <c r="G5911" s="1" t="str">
        <f>"0230A135"</f>
        <v>0230A135</v>
      </c>
      <c r="H5911" s="1" t="str">
        <f>"창동간 9R15R2"</f>
        <v>창동간 9R15R2</v>
      </c>
      <c r="I5911" s="1" t="s">
        <v>8</v>
      </c>
      <c r="J5911" s="1" t="str">
        <f>"81/87"</f>
        <v>81/87</v>
      </c>
      <c r="K5911" s="1" t="str">
        <f>"2026-07-29 13:18:02"</f>
        <v>2026-07-29 13:18:02</v>
      </c>
      <c r="L5911" s="1" t="str">
        <f>"2018-05-11 17:11:29"</f>
        <v>2018-05-11 17:11:29</v>
      </c>
      <c r="M5911" s="1" t="s">
        <v>1</v>
      </c>
      <c r="N5911" s="1" t="s">
        <v>38</v>
      </c>
      <c r="O5911" s="1" t="s">
        <v>46</v>
      </c>
    </row>
    <row r="5912" spans="2:15" x14ac:dyDescent="0.3">
      <c r="B5912" s="1" t="s">
        <v>22</v>
      </c>
      <c r="C5912" s="1" t="str">
        <f>"3차"</f>
        <v>3차</v>
      </c>
      <c r="D5912" s="1" t="str">
        <f>"0230A14139"</f>
        <v>0230A14139</v>
      </c>
      <c r="E5912" s="1" t="s">
        <v>10</v>
      </c>
      <c r="F5912" s="1" t="str">
        <f>"10.10.14.10"</f>
        <v>10.10.14.10</v>
      </c>
      <c r="G5912" s="1" t="str">
        <f>"0230A141"</f>
        <v>0230A141</v>
      </c>
      <c r="H5912" s="1" t="str">
        <f>"창동간 9R3"</f>
        <v>창동간 9R3</v>
      </c>
      <c r="I5912" s="1" t="s">
        <v>8</v>
      </c>
      <c r="J5912" s="1" t="str">
        <f>"29/29"</f>
        <v>29/29</v>
      </c>
      <c r="K5912" s="1" t="str">
        <f>"2026-07-29 13:18:02"</f>
        <v>2026-07-29 13:18:02</v>
      </c>
      <c r="L5912" s="1" t="str">
        <f>"2018-01-17 13:49:26"</f>
        <v>2018-01-17 13:49:26</v>
      </c>
      <c r="M5912" s="1" t="s">
        <v>1</v>
      </c>
      <c r="N5912" s="1" t="s">
        <v>38</v>
      </c>
      <c r="O5912" s="1" t="s">
        <v>46</v>
      </c>
    </row>
    <row r="5913" spans="2:15" x14ac:dyDescent="0.3">
      <c r="B5913" s="1" t="s">
        <v>22</v>
      </c>
      <c r="C5913" s="1" t="str">
        <f>"1차"</f>
        <v>1차</v>
      </c>
      <c r="D5913" s="1" t="str">
        <f>"0230A20100"</f>
        <v>0230A20100</v>
      </c>
      <c r="E5913" s="1" t="s">
        <v>10</v>
      </c>
      <c r="F5913" s="1" t="str">
        <f>"10.107.249.125"</f>
        <v>10.107.249.125</v>
      </c>
      <c r="G5913" s="1" t="str">
        <f>"0230A201"</f>
        <v>0230A201</v>
      </c>
      <c r="H5913" s="1" t="str">
        <f>"창동간 17R14R11"</f>
        <v>창동간 17R14R11</v>
      </c>
      <c r="I5913" s="1" t="s">
        <v>8</v>
      </c>
      <c r="J5913" s="1" t="str">
        <f>"16/17"</f>
        <v>16/17</v>
      </c>
      <c r="K5913" s="1" t="str">
        <f>"2026-07-29 13:18:02"</f>
        <v>2026-07-29 13:18:02</v>
      </c>
      <c r="L5913" s="1" t="str">
        <f>"2014-12-21 14:59:55"</f>
        <v>2014-12-21 14:59:55</v>
      </c>
      <c r="M5913" s="1" t="s">
        <v>45</v>
      </c>
      <c r="N5913" s="1" t="s">
        <v>38</v>
      </c>
      <c r="O5913" s="1" t="s">
        <v>46</v>
      </c>
    </row>
    <row r="5914" spans="2:15" x14ac:dyDescent="0.3">
      <c r="B5914" s="1" t="s">
        <v>22</v>
      </c>
      <c r="C5914" s="1" t="str">
        <f>"6차"</f>
        <v>6차</v>
      </c>
      <c r="D5914" s="1" t="str">
        <f>"0230A2036S"</f>
        <v>0230A2036S</v>
      </c>
      <c r="E5914" s="1" t="s">
        <v>10</v>
      </c>
      <c r="F5914" s="1" t="str">
        <f>"fde1:103:4:c7bc:0:0:0:2"</f>
        <v>fde1:103:4:c7bc:0:0:0:2</v>
      </c>
      <c r="G5914" s="1" t="str">
        <f>"0230A203"</f>
        <v>0230A203</v>
      </c>
      <c r="H5914" s="1" t="str">
        <f>"창동간 17R14R10"</f>
        <v>창동간 17R14R10</v>
      </c>
      <c r="I5914" s="1" t="s">
        <v>15</v>
      </c>
      <c r="J5914" s="1" t="str">
        <f>"30/31"</f>
        <v>30/31</v>
      </c>
      <c r="K5914" s="1" t="str">
        <f>"2026-07-29 14:21:07"</f>
        <v>2026-07-29 14:21:07</v>
      </c>
      <c r="L5914" s="1" t="str">
        <f>"2025-01-17 17:35:26"</f>
        <v>2025-01-17 17:35:26</v>
      </c>
      <c r="M5914" s="1" t="s">
        <v>4</v>
      </c>
      <c r="N5914" s="1" t="s">
        <v>38</v>
      </c>
      <c r="O5914" s="1" t="s">
        <v>46</v>
      </c>
    </row>
    <row r="5915" spans="2:15" x14ac:dyDescent="0.3">
      <c r="B5915" s="1" t="s">
        <v>22</v>
      </c>
      <c r="C5915" s="1" t="str">
        <f>"6차"</f>
        <v>6차</v>
      </c>
      <c r="D5915" s="1" t="str">
        <f>"0230A2116S"</f>
        <v>0230A2116S</v>
      </c>
      <c r="E5915" s="1" t="s">
        <v>10</v>
      </c>
      <c r="F5915" s="1" t="str">
        <f>"fde1:103:4:93d2:0:0:0:2"</f>
        <v>fde1:103:4:93d2:0:0:0:2</v>
      </c>
      <c r="G5915" s="1" t="str">
        <f>"0230A211"</f>
        <v>0230A211</v>
      </c>
      <c r="H5915" s="1" t="str">
        <f>"창동간 17R14R4R3"</f>
        <v>창동간 17R14R4R3</v>
      </c>
      <c r="I5915" s="1" t="s">
        <v>15</v>
      </c>
      <c r="J5915" s="1" t="str">
        <f>"35/35"</f>
        <v>35/35</v>
      </c>
      <c r="K5915" s="1" t="str">
        <f>"2026-07-29 14:20:02"</f>
        <v>2026-07-29 14:20:02</v>
      </c>
      <c r="L5915" s="1" t="str">
        <f>"2025-01-22 14:34:02"</f>
        <v>2025-01-22 14:34:02</v>
      </c>
      <c r="M5915" s="1" t="s">
        <v>4</v>
      </c>
      <c r="N5915" s="1" t="s">
        <v>38</v>
      </c>
      <c r="O5915" s="1" t="s">
        <v>46</v>
      </c>
    </row>
    <row r="5916" spans="2:15" x14ac:dyDescent="0.3">
      <c r="B5916" s="1" t="s">
        <v>22</v>
      </c>
      <c r="C5916" s="1" t="str">
        <f>"1차"</f>
        <v>1차</v>
      </c>
      <c r="D5916" s="1" t="str">
        <f>"0230A22101"</f>
        <v>0230A22101</v>
      </c>
      <c r="E5916" s="1" t="s">
        <v>10</v>
      </c>
      <c r="F5916" s="1" t="str">
        <f>"10.12.132.133"</f>
        <v>10.12.132.133</v>
      </c>
      <c r="G5916" s="1" t="str">
        <f>"0230A221"</f>
        <v>0230A221</v>
      </c>
      <c r="H5916" s="1" t="str">
        <f>"창동간 9R13"</f>
        <v>창동간 9R13</v>
      </c>
      <c r="I5916" s="1" t="s">
        <v>8</v>
      </c>
      <c r="J5916" s="1" t="str">
        <f>"77/78"</f>
        <v>77/78</v>
      </c>
      <c r="K5916" s="1" t="str">
        <f>"2026-07-29 13:18:02"</f>
        <v>2026-07-29 13:18:02</v>
      </c>
      <c r="L5916" s="1" t="str">
        <f>"2014-12-26 11:42:39"</f>
        <v>2014-12-26 11:42:39</v>
      </c>
      <c r="M5916" s="1" t="s">
        <v>0</v>
      </c>
      <c r="N5916" s="1" t="s">
        <v>38</v>
      </c>
      <c r="O5916" s="1" t="s">
        <v>46</v>
      </c>
    </row>
    <row r="5917" spans="2:15" x14ac:dyDescent="0.3">
      <c r="B5917" s="1" t="s">
        <v>22</v>
      </c>
      <c r="C5917" s="1" t="str">
        <f>"4차"</f>
        <v>4차</v>
      </c>
      <c r="D5917" s="1" t="str">
        <f>"0230A22231"</f>
        <v>0230A22231</v>
      </c>
      <c r="E5917" s="1" t="s">
        <v>10</v>
      </c>
      <c r="F5917" s="1" t="str">
        <f>"10.12.135.248"</f>
        <v>10.12.135.248</v>
      </c>
      <c r="G5917" s="1" t="str">
        <f>"0230A222"</f>
        <v>0230A222</v>
      </c>
      <c r="H5917" s="1" t="str">
        <f>"창동간 9R12"</f>
        <v>창동간 9R12</v>
      </c>
      <c r="I5917" s="1" t="s">
        <v>8</v>
      </c>
      <c r="J5917" s="1" t="str">
        <f>"23/50"</f>
        <v>23/50</v>
      </c>
      <c r="K5917" s="1" t="str">
        <f>"2026-07-29 13:18:01"</f>
        <v>2026-07-29 13:18:01</v>
      </c>
      <c r="L5917" s="1" t="str">
        <f>"2024-07-12 10:48:11"</f>
        <v>2024-07-12 10:48:11</v>
      </c>
      <c r="M5917" s="1" t="s">
        <v>0</v>
      </c>
      <c r="N5917" s="1" t="s">
        <v>38</v>
      </c>
      <c r="O5917" s="1" t="s">
        <v>46</v>
      </c>
    </row>
    <row r="5918" spans="2:15" x14ac:dyDescent="0.3">
      <c r="B5918" s="1" t="s">
        <v>22</v>
      </c>
      <c r="C5918" s="1" t="str">
        <f>"3차"</f>
        <v>3차</v>
      </c>
      <c r="D5918" s="1" t="str">
        <f>"0230A24131"</f>
        <v>0230A24131</v>
      </c>
      <c r="E5918" s="1" t="s">
        <v>10</v>
      </c>
      <c r="F5918" s="1" t="str">
        <f>"10.10.6.187"</f>
        <v>10.10.6.187</v>
      </c>
      <c r="G5918" s="1" t="str">
        <f>"0230A241"</f>
        <v>0230A241</v>
      </c>
      <c r="H5918" s="1" t="str">
        <f>"창동간 9R4R1"</f>
        <v>창동간 9R4R1</v>
      </c>
      <c r="I5918" s="1" t="s">
        <v>8</v>
      </c>
      <c r="J5918" s="1" t="str">
        <f>"39/39"</f>
        <v>39/39</v>
      </c>
      <c r="K5918" s="1" t="str">
        <f>"2026-07-29 13:18:02"</f>
        <v>2026-07-29 13:18:02</v>
      </c>
      <c r="L5918" s="1" t="str">
        <f>"2018-01-22 08:37:40"</f>
        <v>2018-01-22 08:37:40</v>
      </c>
      <c r="M5918" s="1" t="s">
        <v>1</v>
      </c>
      <c r="N5918" s="1" t="s">
        <v>38</v>
      </c>
      <c r="O5918" s="1" t="s">
        <v>46</v>
      </c>
    </row>
    <row r="5919" spans="2:15" x14ac:dyDescent="0.3">
      <c r="B5919" s="1" t="s">
        <v>22</v>
      </c>
      <c r="C5919" s="1" t="str">
        <f>"3차"</f>
        <v>3차</v>
      </c>
      <c r="D5919" s="1" t="str">
        <f>"0230A24230"</f>
        <v>0230A24230</v>
      </c>
      <c r="E5919" s="1" t="s">
        <v>10</v>
      </c>
      <c r="F5919" s="1" t="str">
        <f>"10.10.6.186"</f>
        <v>10.10.6.186</v>
      </c>
      <c r="G5919" s="1" t="str">
        <f>"0230A242"</f>
        <v>0230A242</v>
      </c>
      <c r="H5919" s="1" t="str">
        <f>"창동간 9R4"</f>
        <v>창동간 9R4</v>
      </c>
      <c r="I5919" s="1" t="s">
        <v>8</v>
      </c>
      <c r="J5919" s="1" t="str">
        <f>"20/23"</f>
        <v>20/23</v>
      </c>
      <c r="K5919" s="1" t="str">
        <f>"2026-07-29 13:18:02"</f>
        <v>2026-07-29 13:18:02</v>
      </c>
      <c r="L5919" s="1" t="str">
        <f>"2018-01-17 14:09:41"</f>
        <v>2018-01-17 14:09:41</v>
      </c>
      <c r="M5919" s="1" t="s">
        <v>1</v>
      </c>
      <c r="N5919" s="1" t="s">
        <v>38</v>
      </c>
      <c r="O5919" s="1" t="s">
        <v>46</v>
      </c>
    </row>
    <row r="5920" spans="2:15" x14ac:dyDescent="0.3">
      <c r="B5920" s="1" t="s">
        <v>22</v>
      </c>
      <c r="C5920" s="1" t="str">
        <f>"4차"</f>
        <v>4차</v>
      </c>
      <c r="D5920" s="1" t="str">
        <f>"0230A25130"</f>
        <v>0230A25130</v>
      </c>
      <c r="E5920" s="1" t="s">
        <v>10</v>
      </c>
      <c r="F5920" s="1" t="str">
        <f>"10.10.7.50"</f>
        <v>10.10.7.50</v>
      </c>
      <c r="G5920" s="1" t="str">
        <f>"0230A251"</f>
        <v>0230A251</v>
      </c>
      <c r="H5920" s="1" t="str">
        <f>"창동간 9R3L1"</f>
        <v>창동간 9R3L1</v>
      </c>
      <c r="I5920" s="1" t="s">
        <v>8</v>
      </c>
      <c r="J5920" s="1" t="str">
        <f>"47/47"</f>
        <v>47/47</v>
      </c>
      <c r="K5920" s="1" t="str">
        <f>"2026-07-29 13:18:02"</f>
        <v>2026-07-29 13:18:02</v>
      </c>
      <c r="L5920" s="1" t="str">
        <f>"2018-01-17 13:49:41"</f>
        <v>2018-01-17 13:49:41</v>
      </c>
      <c r="M5920" s="1" t="s">
        <v>1</v>
      </c>
      <c r="N5920" s="1" t="s">
        <v>38</v>
      </c>
      <c r="O5920" s="1" t="s">
        <v>46</v>
      </c>
    </row>
    <row r="5921" spans="2:15" x14ac:dyDescent="0.3">
      <c r="B5921" s="1" t="s">
        <v>22</v>
      </c>
      <c r="C5921" s="1" t="str">
        <f>"3차"</f>
        <v>3차</v>
      </c>
      <c r="D5921" s="1" t="str">
        <f>"0230A26131"</f>
        <v>0230A26131</v>
      </c>
      <c r="E5921" s="1" t="s">
        <v>10</v>
      </c>
      <c r="F5921" s="1" t="str">
        <f>"10.10.7.51"</f>
        <v>10.10.7.51</v>
      </c>
      <c r="G5921" s="1" t="str">
        <f>"0230A261"</f>
        <v>0230A261</v>
      </c>
      <c r="H5921" s="1" t="str">
        <f>"창동간 9R3L2"</f>
        <v>창동간 9R3L2</v>
      </c>
      <c r="I5921" s="1" t="s">
        <v>8</v>
      </c>
      <c r="J5921" s="1" t="str">
        <f>"24/24"</f>
        <v>24/24</v>
      </c>
      <c r="K5921" s="1" t="str">
        <f>"2026-07-29 13:18:02"</f>
        <v>2026-07-29 13:18:02</v>
      </c>
      <c r="L5921" s="1" t="str">
        <f>"2018-01-22 09:02:11"</f>
        <v>2018-01-22 09:02:11</v>
      </c>
      <c r="M5921" s="1" t="s">
        <v>1</v>
      </c>
      <c r="N5921" s="1" t="s">
        <v>38</v>
      </c>
      <c r="O5921" s="1" t="s">
        <v>46</v>
      </c>
    </row>
    <row r="5922" spans="2:15" x14ac:dyDescent="0.3">
      <c r="B5922" s="1" t="s">
        <v>22</v>
      </c>
      <c r="C5922" s="1" t="str">
        <f>"4차"</f>
        <v>4차</v>
      </c>
      <c r="D5922" s="1" t="str">
        <f>"0230A26539"</f>
        <v>0230A26539</v>
      </c>
      <c r="E5922" s="1" t="s">
        <v>10</v>
      </c>
      <c r="F5922" s="1" t="str">
        <f>"10.107.249.98"</f>
        <v>10.107.249.98</v>
      </c>
      <c r="G5922" s="1" t="str">
        <f>"0230A265"</f>
        <v>0230A265</v>
      </c>
      <c r="H5922" s="1" t="str">
        <f>"창동간 9R3L3"</f>
        <v>창동간 9R3L3</v>
      </c>
      <c r="I5922" s="1" t="s">
        <v>17</v>
      </c>
      <c r="J5922" s="1" t="str">
        <f>"85/94"</f>
        <v>85/94</v>
      </c>
      <c r="K5922" s="1" t="str">
        <f>"2026-07-29 13:18:02"</f>
        <v>2026-07-29 13:18:02</v>
      </c>
      <c r="L5922" s="1" t="str">
        <f>"2018-09-20 12:48:43"</f>
        <v>2018-09-20 12:48:43</v>
      </c>
      <c r="M5922" s="1" t="s">
        <v>45</v>
      </c>
      <c r="N5922" s="1" t="s">
        <v>38</v>
      </c>
      <c r="O5922" s="1" t="s">
        <v>46</v>
      </c>
    </row>
    <row r="5923" spans="2:15" x14ac:dyDescent="0.3">
      <c r="B5923" s="1" t="s">
        <v>22</v>
      </c>
      <c r="C5923" s="1" t="str">
        <f>"4차"</f>
        <v>4차</v>
      </c>
      <c r="D5923" s="1" t="str">
        <f>"0230A27345"</f>
        <v>0230A27345</v>
      </c>
      <c r="E5923" s="1" t="s">
        <v>10</v>
      </c>
      <c r="F5923" s="1" t="str">
        <f>"10.14.1.59"</f>
        <v>10.14.1.59</v>
      </c>
      <c r="G5923" s="1" t="str">
        <f>"0230A273"</f>
        <v>0230A273</v>
      </c>
      <c r="H5923" s="1" t="str">
        <f>"쌍문 10"</f>
        <v>쌍문 10</v>
      </c>
      <c r="I5923" s="1" t="s">
        <v>17</v>
      </c>
      <c r="J5923" s="1" t="str">
        <f>"16/20"</f>
        <v>16/20</v>
      </c>
      <c r="K5923" s="1" t="str">
        <f>"2026-07-29 13:18:03"</f>
        <v>2026-07-29 13:18:03</v>
      </c>
      <c r="L5923" s="1" t="str">
        <f>"2021-06-22 11:32:57"</f>
        <v>2021-06-22 11:32:57</v>
      </c>
      <c r="M5923" s="1" t="s">
        <v>3</v>
      </c>
      <c r="N5923" s="1" t="s">
        <v>38</v>
      </c>
      <c r="O5923" s="1" t="s">
        <v>46</v>
      </c>
    </row>
    <row r="5924" spans="2:15" x14ac:dyDescent="0.3">
      <c r="B5924" s="1" t="s">
        <v>22</v>
      </c>
      <c r="C5924" s="1" t="str">
        <f>"4차"</f>
        <v>4차</v>
      </c>
      <c r="D5924" s="1" t="str">
        <f>"0230A28639"</f>
        <v>0230A28639</v>
      </c>
      <c r="E5924" s="1" t="s">
        <v>10</v>
      </c>
      <c r="F5924" s="1" t="str">
        <f>"10.12.137.47"</f>
        <v>10.12.137.47</v>
      </c>
      <c r="G5924" s="1" t="str">
        <f>"0230A286"</f>
        <v>0230A286</v>
      </c>
      <c r="H5924" s="1" t="str">
        <f>"쌍문 T9"</f>
        <v>쌍문 T9</v>
      </c>
      <c r="I5924" s="1" t="s">
        <v>17</v>
      </c>
      <c r="J5924" s="1" t="str">
        <f>"45/46"</f>
        <v>45/46</v>
      </c>
      <c r="K5924" s="1" t="str">
        <f>"2026-07-29 13:18:04"</f>
        <v>2026-07-29 13:18:04</v>
      </c>
      <c r="L5924" s="1" t="str">
        <f>"2018-12-19 17:21:58"</f>
        <v>2018-12-19 17:21:58</v>
      </c>
      <c r="M5924" s="1" t="s">
        <v>0</v>
      </c>
      <c r="N5924" s="1" t="s">
        <v>38</v>
      </c>
      <c r="O5924" s="1" t="s">
        <v>46</v>
      </c>
    </row>
    <row r="5925" spans="2:15" x14ac:dyDescent="0.3">
      <c r="B5925" s="1" t="s">
        <v>22</v>
      </c>
      <c r="C5925" s="1" t="str">
        <f>"1차"</f>
        <v>1차</v>
      </c>
      <c r="D5925" s="1" t="str">
        <f>"0230A30100"</f>
        <v>0230A30100</v>
      </c>
      <c r="E5925" s="1" t="s">
        <v>10</v>
      </c>
      <c r="F5925" s="1" t="str">
        <f>"10.107.249.116"</f>
        <v>10.107.249.116</v>
      </c>
      <c r="G5925" s="1" t="str">
        <f>"0230A301"</f>
        <v>0230A301</v>
      </c>
      <c r="H5925" s="1" t="str">
        <f>"창동간 17R14R9"</f>
        <v>창동간 17R14R9</v>
      </c>
      <c r="I5925" s="1" t="s">
        <v>8</v>
      </c>
      <c r="J5925" s="1" t="str">
        <f>"30/30"</f>
        <v>30/30</v>
      </c>
      <c r="K5925" s="1" t="str">
        <f>"2026-07-29 13:18:01"</f>
        <v>2026-07-29 13:18:01</v>
      </c>
      <c r="L5925" s="1" t="str">
        <f>"2014-12-22 09:47:49"</f>
        <v>2014-12-22 09:47:49</v>
      </c>
      <c r="M5925" s="1" t="s">
        <v>45</v>
      </c>
      <c r="N5925" s="1" t="s">
        <v>38</v>
      </c>
      <c r="O5925" s="1" t="s">
        <v>46</v>
      </c>
    </row>
    <row r="5926" spans="2:15" x14ac:dyDescent="0.3">
      <c r="B5926" s="1" t="s">
        <v>22</v>
      </c>
      <c r="C5926" s="1" t="str">
        <f>"5-2차"</f>
        <v>5-2차</v>
      </c>
      <c r="D5926" s="1" t="str">
        <f>"0230A3025M"</f>
        <v>0230A3025M</v>
      </c>
      <c r="E5926" s="1" t="s">
        <v>10</v>
      </c>
      <c r="F5926" s="1" t="str">
        <f>"fde3:102:1420:6400:0:0:0:7"</f>
        <v>fde3:102:1420:6400:0:0:0:7</v>
      </c>
      <c r="G5926" s="1" t="str">
        <f>"0230A302"</f>
        <v>0230A302</v>
      </c>
      <c r="H5926" s="1" t="str">
        <f>"창동간 17R14R8"</f>
        <v>창동간 17R14R8</v>
      </c>
      <c r="I5926" s="1" t="s">
        <v>15</v>
      </c>
      <c r="J5926" s="1" t="str">
        <f>"49/49"</f>
        <v>49/49</v>
      </c>
      <c r="K5926" s="1" t="str">
        <f>"2026-07-29 14:20:02"</f>
        <v>2026-07-29 14:20:02</v>
      </c>
      <c r="L5926" s="1" t="str">
        <f>"2023-12-19 12:22:26"</f>
        <v>2023-12-19 12:22:26</v>
      </c>
      <c r="M5926" s="1" t="s">
        <v>45</v>
      </c>
      <c r="N5926" s="1" t="s">
        <v>38</v>
      </c>
      <c r="O5926" s="1" t="s">
        <v>46</v>
      </c>
    </row>
    <row r="5927" spans="2:15" x14ac:dyDescent="0.3">
      <c r="B5927" s="1" t="s">
        <v>22</v>
      </c>
      <c r="C5927" s="1" t="str">
        <f>"1차"</f>
        <v>1차</v>
      </c>
      <c r="D5927" s="1" t="str">
        <f>"0230A31100"</f>
        <v>0230A31100</v>
      </c>
      <c r="E5927" s="1" t="s">
        <v>10</v>
      </c>
      <c r="F5927" s="1" t="str">
        <f>"10.107.249.114"</f>
        <v>10.107.249.114</v>
      </c>
      <c r="G5927" s="1" t="str">
        <f>"0230A311"</f>
        <v>0230A311</v>
      </c>
      <c r="H5927" s="1" t="str">
        <f>"창동간 17R14R4R2"</f>
        <v>창동간 17R14R4R2</v>
      </c>
      <c r="I5927" s="1" t="s">
        <v>8</v>
      </c>
      <c r="J5927" s="1" t="str">
        <f>"16/16"</f>
        <v>16/16</v>
      </c>
      <c r="K5927" s="1" t="str">
        <f>"2026-07-29 13:18:02"</f>
        <v>2026-07-29 13:18:02</v>
      </c>
      <c r="L5927" s="1" t="str">
        <f>"2014-12-19 11:20:41"</f>
        <v>2014-12-19 11:20:41</v>
      </c>
      <c r="M5927" s="1" t="s">
        <v>45</v>
      </c>
      <c r="N5927" s="1" t="s">
        <v>38</v>
      </c>
      <c r="O5927" s="1" t="s">
        <v>46</v>
      </c>
    </row>
    <row r="5928" spans="2:15" x14ac:dyDescent="0.3">
      <c r="B5928" s="1" t="s">
        <v>22</v>
      </c>
      <c r="C5928" s="1" t="str">
        <f>"4차"</f>
        <v>4차</v>
      </c>
      <c r="D5928" s="1" t="str">
        <f>"0230A32130"</f>
        <v>0230A32130</v>
      </c>
      <c r="E5928" s="1" t="s">
        <v>10</v>
      </c>
      <c r="F5928" s="1" t="str">
        <f>"10.10.7.74"</f>
        <v>10.10.7.74</v>
      </c>
      <c r="G5928" s="1" t="str">
        <f>"0230A321"</f>
        <v>0230A321</v>
      </c>
      <c r="H5928" s="1" t="str">
        <f>"창동간 9R11"</f>
        <v>창동간 9R11</v>
      </c>
      <c r="I5928" s="1" t="s">
        <v>8</v>
      </c>
      <c r="J5928" s="1" t="str">
        <f>"92/94"</f>
        <v>92/94</v>
      </c>
      <c r="K5928" s="1" t="str">
        <f>"2026-07-29 13:18:01"</f>
        <v>2026-07-29 13:18:01</v>
      </c>
      <c r="L5928" s="1" t="str">
        <f>"2018-01-17 15:56:00"</f>
        <v>2018-01-17 15:56:00</v>
      </c>
      <c r="M5928" s="1" t="s">
        <v>1</v>
      </c>
      <c r="N5928" s="1" t="s">
        <v>38</v>
      </c>
      <c r="O5928" s="1" t="s">
        <v>46</v>
      </c>
    </row>
    <row r="5929" spans="2:15" x14ac:dyDescent="0.3">
      <c r="B5929" s="1" t="s">
        <v>22</v>
      </c>
      <c r="C5929" s="1" t="str">
        <f>"4차"</f>
        <v>4차</v>
      </c>
      <c r="D5929" s="1" t="str">
        <f>"0230A34130"</f>
        <v>0230A34130</v>
      </c>
      <c r="E5929" s="1" t="s">
        <v>10</v>
      </c>
      <c r="F5929" s="1" t="str">
        <f>"10.10.7.162"</f>
        <v>10.10.7.162</v>
      </c>
      <c r="G5929" s="1" t="str">
        <f>"0230A341"</f>
        <v>0230A341</v>
      </c>
      <c r="H5929" s="1" t="str">
        <f>"창동간 9R5"</f>
        <v>창동간 9R5</v>
      </c>
      <c r="I5929" s="1" t="s">
        <v>8</v>
      </c>
      <c r="J5929" s="1" t="str">
        <f>"34/39"</f>
        <v>34/39</v>
      </c>
      <c r="K5929" s="1" t="str">
        <f>"2026-07-29 13:18:01"</f>
        <v>2026-07-29 13:18:01</v>
      </c>
      <c r="L5929" s="1" t="str">
        <f>"2018-06-04 12:05:51"</f>
        <v>2018-06-04 12:05:51</v>
      </c>
      <c r="M5929" s="1" t="s">
        <v>1</v>
      </c>
      <c r="N5929" s="1" t="s">
        <v>38</v>
      </c>
      <c r="O5929" s="1" t="s">
        <v>46</v>
      </c>
    </row>
    <row r="5930" spans="2:15" x14ac:dyDescent="0.3">
      <c r="B5930" s="1" t="s">
        <v>22</v>
      </c>
      <c r="C5930" s="1" t="str">
        <f>"3차"</f>
        <v>3차</v>
      </c>
      <c r="D5930" s="1" t="str">
        <f>"0230A36130"</f>
        <v>0230A36130</v>
      </c>
      <c r="E5930" s="1" t="s">
        <v>10</v>
      </c>
      <c r="F5930" s="1" t="str">
        <f>"10.10.7.146"</f>
        <v>10.10.7.146</v>
      </c>
      <c r="G5930" s="1" t="str">
        <f>"0230A361"</f>
        <v>0230A361</v>
      </c>
      <c r="H5930" s="1" t="str">
        <f>"창동간 9R7L2"</f>
        <v>창동간 9R7L2</v>
      </c>
      <c r="I5930" s="1" t="s">
        <v>8</v>
      </c>
      <c r="J5930" s="1" t="str">
        <f>"3/3"</f>
        <v>3/3</v>
      </c>
      <c r="K5930" s="1" t="str">
        <f>"2026-07-29 13:18:01"</f>
        <v>2026-07-29 13:18:01</v>
      </c>
      <c r="L5930" s="1" t="str">
        <f>"2018-01-17 14:25:56"</f>
        <v>2018-01-17 14:25:56</v>
      </c>
      <c r="M5930" s="1" t="s">
        <v>1</v>
      </c>
      <c r="N5930" s="1" t="s">
        <v>38</v>
      </c>
      <c r="O5930" s="1" t="s">
        <v>46</v>
      </c>
    </row>
    <row r="5931" spans="2:15" x14ac:dyDescent="0.3">
      <c r="B5931" s="1" t="s">
        <v>22</v>
      </c>
      <c r="C5931" s="1" t="str">
        <f>"3차"</f>
        <v>3차</v>
      </c>
      <c r="D5931" s="1" t="str">
        <f>"0230A37232"</f>
        <v>0230A37232</v>
      </c>
      <c r="E5931" s="1" t="s">
        <v>10</v>
      </c>
      <c r="F5931" s="1" t="str">
        <f>"10.12.133.214"</f>
        <v>10.12.133.214</v>
      </c>
      <c r="G5931" s="1" t="str">
        <f>"0230A372"</f>
        <v>0230A372</v>
      </c>
      <c r="H5931" s="1" t="str">
        <f>"창동간 9R7L3"</f>
        <v>창동간 9R7L3</v>
      </c>
      <c r="I5931" s="1" t="s">
        <v>8</v>
      </c>
      <c r="J5931" s="1" t="str">
        <f>"6/6"</f>
        <v>6/6</v>
      </c>
      <c r="K5931" s="1" t="str">
        <f>"2026-07-29 13:18:03"</f>
        <v>2026-07-29 13:18:03</v>
      </c>
      <c r="L5931" s="1" t="str">
        <f>"2018-01-22 09:33:56"</f>
        <v>2018-01-22 09:33:56</v>
      </c>
      <c r="M5931" s="1" t="s">
        <v>0</v>
      </c>
      <c r="N5931" s="1" t="s">
        <v>38</v>
      </c>
      <c r="O5931" s="1" t="s">
        <v>46</v>
      </c>
    </row>
    <row r="5932" spans="2:15" x14ac:dyDescent="0.3">
      <c r="B5932" s="1" t="s">
        <v>22</v>
      </c>
      <c r="C5932" s="1" t="str">
        <f>"5-2차"</f>
        <v>5-2차</v>
      </c>
      <c r="D5932" s="1" t="str">
        <f>"0230A4015M"</f>
        <v>0230A4015M</v>
      </c>
      <c r="E5932" s="1" t="s">
        <v>10</v>
      </c>
      <c r="F5932" s="1" t="str">
        <f>"fde1:103:4:9352:0:0:0:2"</f>
        <v>fde1:103:4:9352:0:0:0:2</v>
      </c>
      <c r="G5932" s="1" t="str">
        <f>"0230A401"</f>
        <v>0230A401</v>
      </c>
      <c r="H5932" s="1" t="str">
        <f>"창동간 17R14R6"</f>
        <v>창동간 17R14R6</v>
      </c>
      <c r="I5932" s="1" t="s">
        <v>15</v>
      </c>
      <c r="J5932" s="1" t="str">
        <f>"42/43"</f>
        <v>42/43</v>
      </c>
      <c r="K5932" s="1" t="str">
        <f>"2026-07-29 14:21:07"</f>
        <v>2026-07-29 14:21:07</v>
      </c>
      <c r="L5932" s="1" t="str">
        <f>"2023-12-19 10:49:43"</f>
        <v>2023-12-19 10:49:43</v>
      </c>
      <c r="M5932" s="1" t="s">
        <v>4</v>
      </c>
      <c r="N5932" s="1" t="s">
        <v>38</v>
      </c>
      <c r="O5932" s="1" t="s">
        <v>46</v>
      </c>
    </row>
    <row r="5933" spans="2:15" x14ac:dyDescent="0.3">
      <c r="B5933" s="1" t="s">
        <v>22</v>
      </c>
      <c r="C5933" s="1" t="str">
        <f>"1차"</f>
        <v>1차</v>
      </c>
      <c r="D5933" s="1" t="str">
        <f>"0230A40301"</f>
        <v>0230A40301</v>
      </c>
      <c r="E5933" s="1" t="s">
        <v>10</v>
      </c>
      <c r="F5933" s="1" t="str">
        <f>"10.12.133.21"</f>
        <v>10.12.133.21</v>
      </c>
      <c r="G5933" s="1" t="str">
        <f>"0230A403"</f>
        <v>0230A403</v>
      </c>
      <c r="H5933" s="1" t="str">
        <f>"창동간 17R14R5"</f>
        <v>창동간 17R14R5</v>
      </c>
      <c r="I5933" s="1" t="s">
        <v>8</v>
      </c>
      <c r="J5933" s="1" t="str">
        <f>"5/7"</f>
        <v>5/7</v>
      </c>
      <c r="K5933" s="1" t="str">
        <f>"2026-07-29 13:18:03"</f>
        <v>2026-07-29 13:18:03</v>
      </c>
      <c r="L5933" s="1" t="str">
        <f>"2017-10-10 17:45:19"</f>
        <v>2017-10-10 17:45:19</v>
      </c>
      <c r="M5933" s="1" t="s">
        <v>0</v>
      </c>
      <c r="N5933" s="1" t="s">
        <v>38</v>
      </c>
      <c r="O5933" s="1" t="s">
        <v>46</v>
      </c>
    </row>
    <row r="5934" spans="2:15" x14ac:dyDescent="0.3">
      <c r="B5934" s="1" t="s">
        <v>22</v>
      </c>
      <c r="C5934" s="1" t="str">
        <f>"1차"</f>
        <v>1차</v>
      </c>
      <c r="D5934" s="1" t="str">
        <f>"0230A41200"</f>
        <v>0230A41200</v>
      </c>
      <c r="E5934" s="1" t="s">
        <v>10</v>
      </c>
      <c r="F5934" s="1" t="str">
        <f>"10.107.249.123"</f>
        <v>10.107.249.123</v>
      </c>
      <c r="G5934" s="1" t="str">
        <f>"0230A412"</f>
        <v>0230A412</v>
      </c>
      <c r="H5934" s="1" t="str">
        <f>"창동간 17R14R4"</f>
        <v>창동간 17R14R4</v>
      </c>
      <c r="I5934" s="1" t="s">
        <v>8</v>
      </c>
      <c r="J5934" s="1" t="str">
        <f>"20/25"</f>
        <v>20/25</v>
      </c>
      <c r="K5934" s="1" t="str">
        <f>"2026-07-29 13:18:01"</f>
        <v>2026-07-29 13:18:01</v>
      </c>
      <c r="L5934" s="1" t="str">
        <f>"2014-12-19 14:30:42"</f>
        <v>2014-12-19 14:30:42</v>
      </c>
      <c r="M5934" s="1" t="s">
        <v>45</v>
      </c>
      <c r="N5934" s="1" t="s">
        <v>38</v>
      </c>
      <c r="O5934" s="1" t="s">
        <v>46</v>
      </c>
    </row>
    <row r="5935" spans="2:15" x14ac:dyDescent="0.3">
      <c r="B5935" s="1" t="s">
        <v>22</v>
      </c>
      <c r="C5935" s="1" t="str">
        <f>"3차"</f>
        <v>3차</v>
      </c>
      <c r="D5935" s="1" t="str">
        <f>"0230A43239"</f>
        <v>0230A43239</v>
      </c>
      <c r="E5935" s="1" t="s">
        <v>10</v>
      </c>
      <c r="F5935" s="1" t="str">
        <f>"10.10.8.114"</f>
        <v>10.10.8.114</v>
      </c>
      <c r="G5935" s="1" t="str">
        <f>"0230A432"</f>
        <v>0230A432</v>
      </c>
      <c r="H5935" s="1" t="str">
        <f>"창동간 9R9"</f>
        <v>창동간 9R9</v>
      </c>
      <c r="I5935" s="1" t="s">
        <v>8</v>
      </c>
      <c r="J5935" s="1" t="str">
        <f>"129/134"</f>
        <v>129/134</v>
      </c>
      <c r="K5935" s="1" t="str">
        <f>"2026-07-29 13:18:01"</f>
        <v>2026-07-29 13:18:01</v>
      </c>
      <c r="L5935" s="1" t="str">
        <f>"2018-01-17 15:51:27"</f>
        <v>2018-01-17 15:51:27</v>
      </c>
      <c r="M5935" s="1" t="s">
        <v>1</v>
      </c>
      <c r="N5935" s="1" t="s">
        <v>38</v>
      </c>
      <c r="O5935" s="1" t="s">
        <v>46</v>
      </c>
    </row>
    <row r="5936" spans="2:15" x14ac:dyDescent="0.3">
      <c r="B5936" s="1" t="s">
        <v>22</v>
      </c>
      <c r="C5936" s="1" t="str">
        <f>"4차"</f>
        <v>4차</v>
      </c>
      <c r="D5936" s="1" t="str">
        <f>"0230A44131"</f>
        <v>0230A44131</v>
      </c>
      <c r="E5936" s="1" t="s">
        <v>10</v>
      </c>
      <c r="F5936" s="1" t="str">
        <f>"10.10.7.163"</f>
        <v>10.10.7.163</v>
      </c>
      <c r="G5936" s="1" t="str">
        <f>"0230A441"</f>
        <v>0230A441</v>
      </c>
      <c r="H5936" s="1" t="str">
        <f>"창동간 9R6"</f>
        <v>창동간 9R6</v>
      </c>
      <c r="I5936" s="1" t="s">
        <v>8</v>
      </c>
      <c r="J5936" s="1" t="str">
        <f>"8/8"</f>
        <v>8/8</v>
      </c>
      <c r="K5936" s="1" t="str">
        <f>"2026-07-29 13:18:02"</f>
        <v>2026-07-29 13:18:02</v>
      </c>
      <c r="L5936" s="1" t="str">
        <f>"2018-06-05 10:29:55"</f>
        <v>2018-06-05 10:29:55</v>
      </c>
      <c r="M5936" s="1" t="s">
        <v>1</v>
      </c>
      <c r="N5936" s="1" t="s">
        <v>38</v>
      </c>
      <c r="O5936" s="1" t="s">
        <v>46</v>
      </c>
    </row>
    <row r="5937" spans="2:15" x14ac:dyDescent="0.3">
      <c r="B5937" s="1" t="s">
        <v>22</v>
      </c>
      <c r="C5937" s="1" t="str">
        <f>"4차"</f>
        <v>4차</v>
      </c>
      <c r="D5937" s="1" t="str">
        <f>"0230A44639"</f>
        <v>0230A44639</v>
      </c>
      <c r="E5937" s="1" t="s">
        <v>10</v>
      </c>
      <c r="F5937" s="1" t="str">
        <f>"10.12.128.230"</f>
        <v>10.12.128.230</v>
      </c>
      <c r="G5937" s="1" t="str">
        <f>"0230A446"</f>
        <v>0230A446</v>
      </c>
      <c r="H5937" s="1" t="str">
        <f>"창동간 9R6L2"</f>
        <v>창동간 9R6L2</v>
      </c>
      <c r="I5937" s="1" t="s">
        <v>8</v>
      </c>
      <c r="J5937" s="1" t="str">
        <f>"44/44"</f>
        <v>44/44</v>
      </c>
      <c r="K5937" s="1" t="str">
        <f>"2026-07-29 07:18:02"</f>
        <v>2026-07-29 07:18:02</v>
      </c>
      <c r="L5937" s="1" t="str">
        <f>"2018-03-29 16:54:45"</f>
        <v>2018-03-29 16:54:45</v>
      </c>
      <c r="M5937" s="1" t="s">
        <v>0</v>
      </c>
      <c r="N5937" s="1" t="s">
        <v>38</v>
      </c>
      <c r="O5937" s="1" t="s">
        <v>46</v>
      </c>
    </row>
    <row r="5938" spans="2:15" x14ac:dyDescent="0.3">
      <c r="B5938" s="1" t="s">
        <v>22</v>
      </c>
      <c r="C5938" s="1" t="s">
        <v>16</v>
      </c>
      <c r="D5938" s="1" t="str">
        <f>"0230A45131"</f>
        <v>0230A45131</v>
      </c>
      <c r="E5938" s="1" t="s">
        <v>10</v>
      </c>
      <c r="F5938" s="1" t="str">
        <f>"10.12.138.108"</f>
        <v>10.12.138.108</v>
      </c>
      <c r="G5938" s="1" t="str">
        <f>"0230A451"</f>
        <v>0230A451</v>
      </c>
      <c r="H5938" s="1" t="str">
        <f>"창동간 9R7L1"</f>
        <v>창동간 9R7L1</v>
      </c>
      <c r="I5938" s="1" t="s">
        <v>8</v>
      </c>
      <c r="J5938" s="1" t="str">
        <f>"2/3"</f>
        <v>2/3</v>
      </c>
      <c r="K5938" s="1" t="str">
        <f>"2026-07-29 13:18:04"</f>
        <v>2026-07-29 13:18:04</v>
      </c>
      <c r="L5938" s="1" t="str">
        <f>"2024-07-15 15:09:37"</f>
        <v>2024-07-15 15:09:37</v>
      </c>
      <c r="M5938" s="1" t="s">
        <v>0</v>
      </c>
      <c r="N5938" s="1" t="s">
        <v>38</v>
      </c>
      <c r="O5938" s="1" t="s">
        <v>46</v>
      </c>
    </row>
    <row r="5939" spans="2:15" x14ac:dyDescent="0.3">
      <c r="B5939" s="1" t="s">
        <v>22</v>
      </c>
      <c r="C5939" s="1" t="str">
        <f>"5-1차"</f>
        <v>5-1차</v>
      </c>
      <c r="D5939" s="1" t="str">
        <f>"0230A5015M"</f>
        <v>0230A5015M</v>
      </c>
      <c r="E5939" s="1" t="s">
        <v>10</v>
      </c>
      <c r="F5939" s="1" t="str">
        <f>"fde3:102:1420:6400:0:0:0:2"</f>
        <v>fde3:102:1420:6400:0:0:0:2</v>
      </c>
      <c r="G5939" s="1" t="str">
        <f>"0230A501"</f>
        <v>0230A501</v>
      </c>
      <c r="H5939" s="1" t="str">
        <f>"창동간 17R14R6A2"</f>
        <v>창동간 17R14R6A2</v>
      </c>
      <c r="I5939" s="1" t="s">
        <v>15</v>
      </c>
      <c r="J5939" s="1" t="str">
        <f>"44/44"</f>
        <v>44/44</v>
      </c>
      <c r="K5939" s="1" t="str">
        <f>"2026-07-29 14:20:33"</f>
        <v>2026-07-29 14:20:33</v>
      </c>
      <c r="L5939" s="1" t="str">
        <f>"2022-11-21 11:22:13"</f>
        <v>2022-11-21 11:22:13</v>
      </c>
      <c r="M5939" s="1" t="s">
        <v>45</v>
      </c>
      <c r="N5939" s="1" t="s">
        <v>38</v>
      </c>
      <c r="O5939" s="1" t="s">
        <v>46</v>
      </c>
    </row>
    <row r="5940" spans="2:15" x14ac:dyDescent="0.3">
      <c r="B5940" s="1" t="s">
        <v>22</v>
      </c>
      <c r="C5940" s="1" t="str">
        <f>"3차"</f>
        <v>3차</v>
      </c>
      <c r="D5940" s="1" t="str">
        <f>"0230A50239"</f>
        <v>0230A50239</v>
      </c>
      <c r="E5940" s="1" t="s">
        <v>10</v>
      </c>
      <c r="F5940" s="1" t="str">
        <f>"10.10.12.170"</f>
        <v>10.10.12.170</v>
      </c>
      <c r="G5940" s="1" t="str">
        <f>"0230A502"</f>
        <v>0230A502</v>
      </c>
      <c r="H5940" s="1" t="str">
        <f>"창동간 17R14R6A1"</f>
        <v>창동간 17R14R6A1</v>
      </c>
      <c r="I5940" s="1" t="s">
        <v>8</v>
      </c>
      <c r="J5940" s="1" t="str">
        <f>"66/68"</f>
        <v>66/68</v>
      </c>
      <c r="K5940" s="1" t="str">
        <f>"2026-07-29 13:18:01"</f>
        <v>2026-07-29 13:18:01</v>
      </c>
      <c r="L5940" s="1" t="str">
        <f>"2018-02-05 14:47:06"</f>
        <v>2018-02-05 14:47:06</v>
      </c>
      <c r="M5940" s="1" t="s">
        <v>1</v>
      </c>
      <c r="N5940" s="1" t="s">
        <v>38</v>
      </c>
      <c r="O5940" s="1" t="s">
        <v>46</v>
      </c>
    </row>
    <row r="5941" spans="2:15" x14ac:dyDescent="0.3">
      <c r="B5941" s="1" t="s">
        <v>22</v>
      </c>
      <c r="C5941" s="1" t="str">
        <f>"4차"</f>
        <v>4차</v>
      </c>
      <c r="D5941" s="1" t="str">
        <f>"0230A51131"</f>
        <v>0230A51131</v>
      </c>
      <c r="E5941" s="1" t="s">
        <v>10</v>
      </c>
      <c r="F5941" s="1" t="str">
        <f>"10.12.132.45"</f>
        <v>10.12.132.45</v>
      </c>
      <c r="G5941" s="1" t="str">
        <f>"0230A511"</f>
        <v>0230A511</v>
      </c>
      <c r="H5941" s="1" t="str">
        <f>"창동간 17R14R3"</f>
        <v>창동간 17R14R3</v>
      </c>
      <c r="I5941" s="1" t="s">
        <v>8</v>
      </c>
      <c r="J5941" s="1" t="str">
        <f>"82/97"</f>
        <v>82/97</v>
      </c>
      <c r="K5941" s="1" t="str">
        <f>"2026-07-29 13:18:04"</f>
        <v>2026-07-29 13:18:04</v>
      </c>
      <c r="L5941" s="1" t="str">
        <f>"2018-01-21 15:55:28"</f>
        <v>2018-01-21 15:55:28</v>
      </c>
      <c r="M5941" s="1" t="s">
        <v>0</v>
      </c>
      <c r="N5941" s="1" t="s">
        <v>38</v>
      </c>
      <c r="O5941" s="1" t="s">
        <v>46</v>
      </c>
    </row>
    <row r="5942" spans="2:15" x14ac:dyDescent="0.3">
      <c r="B5942" s="1" t="s">
        <v>22</v>
      </c>
      <c r="C5942" s="1" t="str">
        <f>"4차"</f>
        <v>4차</v>
      </c>
      <c r="D5942" s="1" t="str">
        <f>"0230A53139"</f>
        <v>0230A53139</v>
      </c>
      <c r="E5942" s="1" t="s">
        <v>10</v>
      </c>
      <c r="F5942" s="1" t="str">
        <f>"10.10.8.154"</f>
        <v>10.10.8.154</v>
      </c>
      <c r="G5942" s="1" t="str">
        <f>"0230A531"</f>
        <v>0230A531</v>
      </c>
      <c r="H5942" s="1" t="str">
        <f>"창동간 9R10L2"</f>
        <v>창동간 9R10L2</v>
      </c>
      <c r="I5942" s="1" t="s">
        <v>8</v>
      </c>
      <c r="J5942" s="1" t="str">
        <f>"113/113"</f>
        <v>113/113</v>
      </c>
      <c r="K5942" s="1" t="str">
        <f>"2026-07-29 13:18:02"</f>
        <v>2026-07-29 13:18:02</v>
      </c>
      <c r="L5942" s="1" t="str">
        <f>"2018-03-13 16:11:57"</f>
        <v>2018-03-13 16:11:57</v>
      </c>
      <c r="M5942" s="1" t="s">
        <v>1</v>
      </c>
      <c r="N5942" s="1" t="s">
        <v>38</v>
      </c>
      <c r="O5942" s="1" t="s">
        <v>46</v>
      </c>
    </row>
    <row r="5943" spans="2:15" x14ac:dyDescent="0.3">
      <c r="B5943" s="1" t="s">
        <v>22</v>
      </c>
      <c r="C5943" s="1" t="str">
        <f>"3차"</f>
        <v>3차</v>
      </c>
      <c r="D5943" s="1" t="str">
        <f>"0230A55239"</f>
        <v>0230A55239</v>
      </c>
      <c r="E5943" s="1" t="s">
        <v>10</v>
      </c>
      <c r="F5943" s="1" t="str">
        <f>"10.12.138.175"</f>
        <v>10.12.138.175</v>
      </c>
      <c r="G5943" s="1" t="str">
        <f>"0230A552"</f>
        <v>0230A552</v>
      </c>
      <c r="H5943" s="1" t="str">
        <f>"창동간 17R9R1"</f>
        <v>창동간 17R9R1</v>
      </c>
      <c r="I5943" s="1" t="s">
        <v>8</v>
      </c>
      <c r="J5943" s="1" t="str">
        <f>"10/16"</f>
        <v>10/16</v>
      </c>
      <c r="K5943" s="1" t="str">
        <f>"2026-07-29 13:18:03"</f>
        <v>2026-07-29 13:18:03</v>
      </c>
      <c r="L5943" s="1" t="str">
        <f>"2018-03-30 14:23:14"</f>
        <v>2018-03-30 14:23:14</v>
      </c>
      <c r="M5943" s="1" t="s">
        <v>0</v>
      </c>
      <c r="N5943" s="1" t="s">
        <v>38</v>
      </c>
      <c r="O5943" s="1" t="s">
        <v>46</v>
      </c>
    </row>
    <row r="5944" spans="2:15" x14ac:dyDescent="0.3">
      <c r="B5944" s="1" t="s">
        <v>22</v>
      </c>
      <c r="C5944" s="1" t="str">
        <f>"3차"</f>
        <v>3차</v>
      </c>
      <c r="D5944" s="1" t="str">
        <f>"0230A56239"</f>
        <v>0230A56239</v>
      </c>
      <c r="E5944" s="1" t="s">
        <v>12</v>
      </c>
      <c r="F5944" s="1" t="str">
        <f>"10.10.12.186"</f>
        <v>10.10.12.186</v>
      </c>
      <c r="G5944" s="1" t="str">
        <f>"0230A562"</f>
        <v>0230A562</v>
      </c>
      <c r="H5944" s="1" t="str">
        <f>"창동간 17R8R1"</f>
        <v>창동간 17R8R1</v>
      </c>
      <c r="I5944" s="1" t="s">
        <v>8</v>
      </c>
      <c r="J5944" s="1" t="str">
        <f>"0/1"</f>
        <v>0/1</v>
      </c>
      <c r="K5944" s="1" t="str">
        <f>"2026-07-28 13:18:03"</f>
        <v>2026-07-28 13:18:03</v>
      </c>
      <c r="L5944" s="1" t="str">
        <f>"2018-01-19 16:48:59"</f>
        <v>2018-01-19 16:48:59</v>
      </c>
      <c r="M5944" s="1" t="s">
        <v>1</v>
      </c>
      <c r="N5944" s="1" t="s">
        <v>38</v>
      </c>
      <c r="O5944" s="1" t="s">
        <v>46</v>
      </c>
    </row>
    <row r="5945" spans="2:15" x14ac:dyDescent="0.3">
      <c r="B5945" s="1" t="s">
        <v>22</v>
      </c>
      <c r="C5945" s="1" t="str">
        <f>"1차"</f>
        <v>1차</v>
      </c>
      <c r="D5945" s="1" t="str">
        <f>"0230A58101"</f>
        <v>0230A58101</v>
      </c>
      <c r="E5945" s="1" t="s">
        <v>10</v>
      </c>
      <c r="F5945" s="1" t="str">
        <f>"10.107.249.121"</f>
        <v>10.107.249.121</v>
      </c>
      <c r="G5945" s="1" t="str">
        <f>"0230A581"</f>
        <v>0230A581</v>
      </c>
      <c r="H5945" s="1" t="str">
        <f>"창동간 17R6"</f>
        <v>창동간 17R6</v>
      </c>
      <c r="I5945" s="1" t="s">
        <v>8</v>
      </c>
      <c r="J5945" s="1" t="str">
        <f>"18/19"</f>
        <v>18/19</v>
      </c>
      <c r="K5945" s="1" t="str">
        <f>"2026-07-29 13:18:03"</f>
        <v>2026-07-29 13:18:03</v>
      </c>
      <c r="L5945" s="1" t="str">
        <f>"2014-12-26 12:29:20"</f>
        <v>2014-12-26 12:29:20</v>
      </c>
      <c r="M5945" s="1" t="s">
        <v>45</v>
      </c>
      <c r="N5945" s="1" t="s">
        <v>38</v>
      </c>
      <c r="O5945" s="1" t="s">
        <v>46</v>
      </c>
    </row>
    <row r="5946" spans="2:15" x14ac:dyDescent="0.3">
      <c r="B5946" s="1" t="s">
        <v>22</v>
      </c>
      <c r="C5946" s="1" t="str">
        <f>"1차"</f>
        <v>1차</v>
      </c>
      <c r="D5946" s="1" t="str">
        <f>"0230A59100"</f>
        <v>0230A59100</v>
      </c>
      <c r="E5946" s="1" t="s">
        <v>10</v>
      </c>
      <c r="F5946" s="1" t="str">
        <f>"10.107.249.122"</f>
        <v>10.107.249.122</v>
      </c>
      <c r="G5946" s="1" t="str">
        <f>"0230A591"</f>
        <v>0230A591</v>
      </c>
      <c r="H5946" s="1" t="str">
        <f>"창동간 17R5"</f>
        <v>창동간 17R5</v>
      </c>
      <c r="I5946" s="1" t="s">
        <v>8</v>
      </c>
      <c r="J5946" s="1" t="str">
        <f>"13/13"</f>
        <v>13/13</v>
      </c>
      <c r="K5946" s="1" t="str">
        <f t="shared" ref="K5946:K5951" si="298">"2026-07-29 13:18:01"</f>
        <v>2026-07-29 13:18:01</v>
      </c>
      <c r="L5946" s="1" t="str">
        <f>"2014-12-26 12:20:17"</f>
        <v>2014-12-26 12:20:17</v>
      </c>
      <c r="M5946" s="1" t="s">
        <v>45</v>
      </c>
      <c r="N5946" s="1" t="s">
        <v>38</v>
      </c>
      <c r="O5946" s="1" t="s">
        <v>46</v>
      </c>
    </row>
    <row r="5947" spans="2:15" x14ac:dyDescent="0.3">
      <c r="B5947" s="1" t="s">
        <v>22</v>
      </c>
      <c r="C5947" s="1" t="str">
        <f>"1차"</f>
        <v>1차</v>
      </c>
      <c r="D5947" s="1" t="str">
        <f>"0230A60200"</f>
        <v>0230A60200</v>
      </c>
      <c r="E5947" s="1" t="s">
        <v>10</v>
      </c>
      <c r="F5947" s="1" t="str">
        <f>"10.107.249.126"</f>
        <v>10.107.249.126</v>
      </c>
      <c r="G5947" s="1" t="str">
        <f>"0230A602"</f>
        <v>0230A602</v>
      </c>
      <c r="H5947" s="1" t="str">
        <f>"창동간 17R14R6A3"</f>
        <v>창동간 17R14R6A3</v>
      </c>
      <c r="I5947" s="1" t="s">
        <v>8</v>
      </c>
      <c r="J5947" s="1" t="str">
        <f>"69/70"</f>
        <v>69/70</v>
      </c>
      <c r="K5947" s="1" t="str">
        <f t="shared" si="298"/>
        <v>2026-07-29 13:18:01</v>
      </c>
      <c r="L5947" s="1" t="str">
        <f>"2015-01-02 18:02:12"</f>
        <v>2015-01-02 18:02:12</v>
      </c>
      <c r="M5947" s="1" t="s">
        <v>45</v>
      </c>
      <c r="N5947" s="1" t="s">
        <v>38</v>
      </c>
      <c r="O5947" s="1" t="s">
        <v>46</v>
      </c>
    </row>
    <row r="5948" spans="2:15" x14ac:dyDescent="0.3">
      <c r="B5948" s="1" t="s">
        <v>22</v>
      </c>
      <c r="C5948" s="1" t="str">
        <f>"3차"</f>
        <v>3차</v>
      </c>
      <c r="D5948" s="1" t="str">
        <f>"0230A61130"</f>
        <v>0230A61130</v>
      </c>
      <c r="E5948" s="1" t="s">
        <v>10</v>
      </c>
      <c r="F5948" s="1" t="str">
        <f>"10.10.5.106"</f>
        <v>10.10.5.106</v>
      </c>
      <c r="G5948" s="1" t="str">
        <f>"0230A611"</f>
        <v>0230A611</v>
      </c>
      <c r="H5948" s="1" t="str">
        <f>"창동간 17R14R2"</f>
        <v>창동간 17R14R2</v>
      </c>
      <c r="I5948" s="1" t="s">
        <v>8</v>
      </c>
      <c r="J5948" s="1" t="str">
        <f>"57/57"</f>
        <v>57/57</v>
      </c>
      <c r="K5948" s="1" t="str">
        <f t="shared" si="298"/>
        <v>2026-07-29 13:18:01</v>
      </c>
      <c r="L5948" s="1" t="str">
        <f>"2018-01-15 16:32:43"</f>
        <v>2018-01-15 16:32:43</v>
      </c>
      <c r="M5948" s="1" t="s">
        <v>1</v>
      </c>
      <c r="N5948" s="1" t="s">
        <v>38</v>
      </c>
      <c r="O5948" s="1" t="s">
        <v>46</v>
      </c>
    </row>
    <row r="5949" spans="2:15" x14ac:dyDescent="0.3">
      <c r="B5949" s="1" t="s">
        <v>22</v>
      </c>
      <c r="C5949" s="1" t="str">
        <f>"3차"</f>
        <v>3차</v>
      </c>
      <c r="D5949" s="1" t="str">
        <f>"0230A61339"</f>
        <v>0230A61339</v>
      </c>
      <c r="E5949" s="1" t="s">
        <v>10</v>
      </c>
      <c r="F5949" s="1" t="str">
        <f>"10.10.14.26"</f>
        <v>10.10.14.26</v>
      </c>
      <c r="G5949" s="1" t="str">
        <f>"0230A613"</f>
        <v>0230A613</v>
      </c>
      <c r="H5949" s="1" t="str">
        <f>"창동간 17R14R1"</f>
        <v>창동간 17R14R1</v>
      </c>
      <c r="I5949" s="1" t="s">
        <v>8</v>
      </c>
      <c r="J5949" s="1" t="str">
        <f>"38/38"</f>
        <v>38/38</v>
      </c>
      <c r="K5949" s="1" t="str">
        <f t="shared" si="298"/>
        <v>2026-07-29 13:18:01</v>
      </c>
      <c r="L5949" s="1" t="str">
        <f>"2018-01-15 17:11:12"</f>
        <v>2018-01-15 17:11:12</v>
      </c>
      <c r="M5949" s="1" t="s">
        <v>1</v>
      </c>
      <c r="N5949" s="1" t="s">
        <v>38</v>
      </c>
      <c r="O5949" s="1" t="s">
        <v>46</v>
      </c>
    </row>
    <row r="5950" spans="2:15" x14ac:dyDescent="0.3">
      <c r="B5950" s="1" t="s">
        <v>22</v>
      </c>
      <c r="C5950" s="1" t="str">
        <f>"3차"</f>
        <v>3차</v>
      </c>
      <c r="D5950" s="1" t="str">
        <f>"0230A63130"</f>
        <v>0230A63130</v>
      </c>
      <c r="E5950" s="1" t="s">
        <v>10</v>
      </c>
      <c r="F5950" s="1" t="str">
        <f>"10.10.6.154"</f>
        <v>10.10.6.154</v>
      </c>
      <c r="G5950" s="1" t="str">
        <f>"0230A631"</f>
        <v>0230A631</v>
      </c>
      <c r="H5950" s="1" t="str">
        <f>"창동간 17R11"</f>
        <v>창동간 17R11</v>
      </c>
      <c r="I5950" s="1" t="s">
        <v>8</v>
      </c>
      <c r="J5950" s="1" t="str">
        <f>"4/6"</f>
        <v>4/6</v>
      </c>
      <c r="K5950" s="1" t="str">
        <f t="shared" si="298"/>
        <v>2026-07-29 13:18:01</v>
      </c>
      <c r="L5950" s="1" t="str">
        <f>"2018-01-15 15:33:11"</f>
        <v>2018-01-15 15:33:11</v>
      </c>
      <c r="M5950" s="1" t="s">
        <v>1</v>
      </c>
      <c r="N5950" s="1" t="s">
        <v>38</v>
      </c>
      <c r="O5950" s="1" t="s">
        <v>46</v>
      </c>
    </row>
    <row r="5951" spans="2:15" x14ac:dyDescent="0.3">
      <c r="B5951" s="1" t="s">
        <v>22</v>
      </c>
      <c r="C5951" s="1" t="str">
        <f>"3차"</f>
        <v>3차</v>
      </c>
      <c r="D5951" s="1" t="str">
        <f>"0230A63231"</f>
        <v>0230A63231</v>
      </c>
      <c r="E5951" s="1" t="s">
        <v>10</v>
      </c>
      <c r="F5951" s="1" t="str">
        <f>"10.10.6.155"</f>
        <v>10.10.6.155</v>
      </c>
      <c r="G5951" s="1" t="str">
        <f>"0230A632"</f>
        <v>0230A632</v>
      </c>
      <c r="H5951" s="1" t="str">
        <f>"창동간 17R12"</f>
        <v>창동간 17R12</v>
      </c>
      <c r="I5951" s="1" t="s">
        <v>8</v>
      </c>
      <c r="J5951" s="1" t="str">
        <f>"61/63"</f>
        <v>61/63</v>
      </c>
      <c r="K5951" s="1" t="str">
        <f t="shared" si="298"/>
        <v>2026-07-29 13:18:01</v>
      </c>
      <c r="L5951" s="1" t="str">
        <f>"2018-01-21 16:47:44"</f>
        <v>2018-01-21 16:47:44</v>
      </c>
      <c r="M5951" s="1" t="s">
        <v>1</v>
      </c>
      <c r="N5951" s="1" t="s">
        <v>38</v>
      </c>
      <c r="O5951" s="1" t="s">
        <v>46</v>
      </c>
    </row>
    <row r="5952" spans="2:15" x14ac:dyDescent="0.3">
      <c r="B5952" s="1" t="s">
        <v>22</v>
      </c>
      <c r="C5952" s="1" t="str">
        <f>"5-2차"</f>
        <v>5-2차</v>
      </c>
      <c r="D5952" s="1" t="str">
        <f>"0230A7145M"</f>
        <v>0230A7145M</v>
      </c>
      <c r="E5952" s="1" t="s">
        <v>10</v>
      </c>
      <c r="F5952" s="1" t="str">
        <f>"fde1:103:4:9357:0:0:0:2"</f>
        <v>fde1:103:4:9357:0:0:0:2</v>
      </c>
      <c r="G5952" s="1" t="str">
        <f>"0230A714"</f>
        <v>0230A714</v>
      </c>
      <c r="H5952" s="1" t="str">
        <f>"창동간 17R15"</f>
        <v>창동간 17R15</v>
      </c>
      <c r="I5952" s="1" t="s">
        <v>15</v>
      </c>
      <c r="J5952" s="1" t="str">
        <f>"29/31"</f>
        <v>29/31</v>
      </c>
      <c r="K5952" s="1" t="str">
        <f>"2026-07-29 14:20:02"</f>
        <v>2026-07-29 14:20:02</v>
      </c>
      <c r="L5952" s="1" t="str">
        <f>"2023-12-19 10:50:12"</f>
        <v>2023-12-19 10:50:12</v>
      </c>
      <c r="M5952" s="1" t="s">
        <v>4</v>
      </c>
      <c r="N5952" s="1" t="s">
        <v>38</v>
      </c>
      <c r="O5952" s="1" t="s">
        <v>46</v>
      </c>
    </row>
    <row r="5953" spans="2:15" x14ac:dyDescent="0.3">
      <c r="B5953" s="1" t="s">
        <v>22</v>
      </c>
      <c r="C5953" s="1" t="str">
        <f>"4차"</f>
        <v>4차</v>
      </c>
      <c r="D5953" s="1" t="str">
        <f>"0230B26139"</f>
        <v>0230B26139</v>
      </c>
      <c r="E5953" s="1" t="s">
        <v>10</v>
      </c>
      <c r="F5953" s="1" t="str">
        <f>"10.12.132.19"</f>
        <v>10.12.132.19</v>
      </c>
      <c r="G5953" s="1" t="str">
        <f>"0230B261"</f>
        <v>0230B261</v>
      </c>
      <c r="H5953" s="1" t="str">
        <f>"창동 40A"</f>
        <v>창동 40A</v>
      </c>
      <c r="I5953" s="1" t="s">
        <v>17</v>
      </c>
      <c r="J5953" s="1" t="str">
        <f>"47/47"</f>
        <v>47/47</v>
      </c>
      <c r="K5953" s="1" t="str">
        <f>"2026-07-29 13:18:03"</f>
        <v>2026-07-29 13:18:03</v>
      </c>
      <c r="L5953" s="1" t="str">
        <f>"2018-07-04 16:20:11"</f>
        <v>2018-07-04 16:20:11</v>
      </c>
      <c r="M5953" s="1" t="s">
        <v>0</v>
      </c>
      <c r="N5953" s="1" t="s">
        <v>38</v>
      </c>
      <c r="O5953" s="1" t="s">
        <v>46</v>
      </c>
    </row>
    <row r="5954" spans="2:15" x14ac:dyDescent="0.3">
      <c r="B5954" s="1" t="s">
        <v>22</v>
      </c>
      <c r="C5954" s="1" t="str">
        <f>"4차"</f>
        <v>4차</v>
      </c>
      <c r="D5954" s="1" t="str">
        <f>"0230B29139"</f>
        <v>0230B29139</v>
      </c>
      <c r="E5954" s="1" t="s">
        <v>10</v>
      </c>
      <c r="F5954" s="1" t="str">
        <f>"10.12.136.76"</f>
        <v>10.12.136.76</v>
      </c>
      <c r="G5954" s="1" t="str">
        <f>"0230B291"</f>
        <v>0230B291</v>
      </c>
      <c r="H5954" s="1" t="str">
        <f>"창동 26"</f>
        <v>창동 26</v>
      </c>
      <c r="I5954" s="1" t="s">
        <v>17</v>
      </c>
      <c r="J5954" s="1" t="str">
        <f>"2/2"</f>
        <v>2/2</v>
      </c>
      <c r="K5954" s="1" t="str">
        <f>"2026-07-29 13:18:03"</f>
        <v>2026-07-29 13:18:03</v>
      </c>
      <c r="L5954" s="1" t="str">
        <f>"2018-05-25 14:56:57"</f>
        <v>2018-05-25 14:56:57</v>
      </c>
      <c r="M5954" s="1" t="s">
        <v>0</v>
      </c>
      <c r="N5954" s="1" t="s">
        <v>38</v>
      </c>
      <c r="O5954" s="1" t="s">
        <v>46</v>
      </c>
    </row>
    <row r="5955" spans="2:15" x14ac:dyDescent="0.3">
      <c r="B5955" s="1" t="s">
        <v>22</v>
      </c>
      <c r="C5955" s="1" t="str">
        <f>"3차"</f>
        <v>3차</v>
      </c>
      <c r="D5955" s="1" t="str">
        <f>"0230B40139"</f>
        <v>0230B40139</v>
      </c>
      <c r="E5955" s="1" t="s">
        <v>14</v>
      </c>
      <c r="F5955" s="1" t="str">
        <f>"10.12.137.158"</f>
        <v>10.12.137.158</v>
      </c>
      <c r="G5955" s="1" t="str">
        <f>"0230B401"</f>
        <v>0230B401</v>
      </c>
      <c r="H5955" s="1" t="str">
        <f>"창동 37"</f>
        <v>창동 37</v>
      </c>
      <c r="I5955" s="1" t="s">
        <v>17</v>
      </c>
      <c r="J5955" s="1" t="str">
        <f>"0/0"</f>
        <v>0/0</v>
      </c>
      <c r="K5955" s="1" t="str">
        <f>"2023-09-11 20:03:25"</f>
        <v>2023-09-11 20:03:25</v>
      </c>
      <c r="L5955" s="1" t="str">
        <f>"2018-07-04 13:18:22"</f>
        <v>2018-07-04 13:18:22</v>
      </c>
      <c r="M5955" s="1" t="s">
        <v>0</v>
      </c>
      <c r="N5955" s="1" t="s">
        <v>39</v>
      </c>
      <c r="O5955" s="1" t="s">
        <v>46</v>
      </c>
    </row>
    <row r="5956" spans="2:15" x14ac:dyDescent="0.3">
      <c r="B5956" s="1" t="s">
        <v>22</v>
      </c>
      <c r="C5956" s="1" t="str">
        <f>"4차"</f>
        <v>4차</v>
      </c>
      <c r="D5956" s="1" t="str">
        <f>"0230B52139"</f>
        <v>0230B52139</v>
      </c>
      <c r="E5956" s="1" t="s">
        <v>10</v>
      </c>
      <c r="F5956" s="1" t="str">
        <f>"10.12.136.67"</f>
        <v>10.12.136.67</v>
      </c>
      <c r="G5956" s="1" t="str">
        <f>"0230B521"</f>
        <v>0230B521</v>
      </c>
      <c r="H5956" s="1" t="str">
        <f>"창동 28"</f>
        <v>창동 28</v>
      </c>
      <c r="I5956" s="1" t="s">
        <v>17</v>
      </c>
      <c r="J5956" s="1" t="str">
        <f>"6/6"</f>
        <v>6/6</v>
      </c>
      <c r="K5956" s="1" t="str">
        <f>"2026-07-29 13:18:02"</f>
        <v>2026-07-29 13:18:02</v>
      </c>
      <c r="L5956" s="1" t="str">
        <f>"2018-05-28 08:44:54"</f>
        <v>2018-05-28 08:44:54</v>
      </c>
      <c r="M5956" s="1" t="s">
        <v>0</v>
      </c>
      <c r="N5956" s="1" t="s">
        <v>38</v>
      </c>
      <c r="O5956" s="1" t="s">
        <v>46</v>
      </c>
    </row>
    <row r="5957" spans="2:15" x14ac:dyDescent="0.3">
      <c r="B5957" s="1" t="s">
        <v>22</v>
      </c>
      <c r="C5957" s="1" t="str">
        <f>"4차"</f>
        <v>4차</v>
      </c>
      <c r="D5957" s="1" t="str">
        <f>"0230B53139"</f>
        <v>0230B53139</v>
      </c>
      <c r="E5957" s="1" t="s">
        <v>10</v>
      </c>
      <c r="F5957" s="1" t="str">
        <f>"10.12.132.10"</f>
        <v>10.12.132.10</v>
      </c>
      <c r="G5957" s="1" t="str">
        <f>"0230B531"</f>
        <v>0230B531</v>
      </c>
      <c r="H5957" s="1" t="str">
        <f>"창동 29"</f>
        <v>창동 29</v>
      </c>
      <c r="I5957" s="1" t="s">
        <v>17</v>
      </c>
      <c r="J5957" s="1" t="str">
        <f>"23/23"</f>
        <v>23/23</v>
      </c>
      <c r="K5957" s="1" t="str">
        <f t="shared" ref="K5957:K5962" si="299">"2026-07-29 13:18:03"</f>
        <v>2026-07-29 13:18:03</v>
      </c>
      <c r="L5957" s="1" t="str">
        <f>"2018-07-04 15:06:23"</f>
        <v>2018-07-04 15:06:23</v>
      </c>
      <c r="M5957" s="1" t="s">
        <v>0</v>
      </c>
      <c r="N5957" s="1" t="s">
        <v>38</v>
      </c>
      <c r="O5957" s="1" t="s">
        <v>46</v>
      </c>
    </row>
    <row r="5958" spans="2:15" x14ac:dyDescent="0.3">
      <c r="B5958" s="1" t="s">
        <v>22</v>
      </c>
      <c r="C5958" s="1" t="str">
        <f>"4차"</f>
        <v>4차</v>
      </c>
      <c r="D5958" s="1" t="str">
        <f>"0230B60139"</f>
        <v>0230B60139</v>
      </c>
      <c r="E5958" s="1" t="s">
        <v>10</v>
      </c>
      <c r="F5958" s="1" t="str">
        <f>"10.12.136.74"</f>
        <v>10.12.136.74</v>
      </c>
      <c r="G5958" s="1" t="str">
        <f>"0230B601"</f>
        <v>0230B601</v>
      </c>
      <c r="H5958" s="1" t="str">
        <f>"창동 43"</f>
        <v>창동 43</v>
      </c>
      <c r="I5958" s="1" t="s">
        <v>17</v>
      </c>
      <c r="J5958" s="1" t="str">
        <f>"74/74"</f>
        <v>74/74</v>
      </c>
      <c r="K5958" s="1" t="str">
        <f t="shared" si="299"/>
        <v>2026-07-29 13:18:03</v>
      </c>
      <c r="L5958" s="1" t="str">
        <f>"2018-05-28 11:53:11"</f>
        <v>2018-05-28 11:53:11</v>
      </c>
      <c r="M5958" s="1" t="s">
        <v>0</v>
      </c>
      <c r="N5958" s="1" t="s">
        <v>38</v>
      </c>
      <c r="O5958" s="1" t="s">
        <v>46</v>
      </c>
    </row>
    <row r="5959" spans="2:15" x14ac:dyDescent="0.3">
      <c r="B5959" s="1" t="s">
        <v>22</v>
      </c>
      <c r="C5959" s="1" t="str">
        <f>"4차"</f>
        <v>4차</v>
      </c>
      <c r="D5959" s="1" t="str">
        <f>"0230B60239"</f>
        <v>0230B60239</v>
      </c>
      <c r="E5959" s="1" t="s">
        <v>10</v>
      </c>
      <c r="F5959" s="1" t="str">
        <f>"10.12.136.2"</f>
        <v>10.12.136.2</v>
      </c>
      <c r="G5959" s="1" t="str">
        <f>"0230B602"</f>
        <v>0230B602</v>
      </c>
      <c r="H5959" s="1" t="str">
        <f>"창동 43A"</f>
        <v>창동 43A</v>
      </c>
      <c r="I5959" s="1" t="s">
        <v>17</v>
      </c>
      <c r="J5959" s="1" t="str">
        <f>"14/14"</f>
        <v>14/14</v>
      </c>
      <c r="K5959" s="1" t="str">
        <f t="shared" si="299"/>
        <v>2026-07-29 13:18:03</v>
      </c>
      <c r="L5959" s="1" t="str">
        <f>"2018-05-28 09:02:10"</f>
        <v>2018-05-28 09:02:10</v>
      </c>
      <c r="M5959" s="1" t="s">
        <v>0</v>
      </c>
      <c r="N5959" s="1" t="s">
        <v>38</v>
      </c>
      <c r="O5959" s="1" t="s">
        <v>46</v>
      </c>
    </row>
    <row r="5960" spans="2:15" x14ac:dyDescent="0.3">
      <c r="B5960" s="1" t="s">
        <v>22</v>
      </c>
      <c r="C5960" s="1" t="str">
        <f>"3차"</f>
        <v>3차</v>
      </c>
      <c r="D5960" s="1" t="str">
        <f>"0230B62239"</f>
        <v>0230B62239</v>
      </c>
      <c r="E5960" s="1" t="s">
        <v>10</v>
      </c>
      <c r="F5960" s="1" t="str">
        <f>"10.12.132.8"</f>
        <v>10.12.132.8</v>
      </c>
      <c r="G5960" s="1" t="str">
        <f>"0230B622"</f>
        <v>0230B622</v>
      </c>
      <c r="H5960" s="1" t="str">
        <f>"창동 42"</f>
        <v>창동 42</v>
      </c>
      <c r="I5960" s="1" t="s">
        <v>17</v>
      </c>
      <c r="J5960" s="1" t="str">
        <f>"63/63"</f>
        <v>63/63</v>
      </c>
      <c r="K5960" s="1" t="str">
        <f t="shared" si="299"/>
        <v>2026-07-29 13:18:03</v>
      </c>
      <c r="L5960" s="1" t="str">
        <f>"2018-07-04 14:39:38"</f>
        <v>2018-07-04 14:39:38</v>
      </c>
      <c r="M5960" s="1" t="s">
        <v>0</v>
      </c>
      <c r="N5960" s="1" t="s">
        <v>38</v>
      </c>
      <c r="O5960" s="1" t="s">
        <v>46</v>
      </c>
    </row>
    <row r="5961" spans="2:15" x14ac:dyDescent="0.3">
      <c r="B5961" s="1" t="s">
        <v>22</v>
      </c>
      <c r="C5961" s="1" t="str">
        <f>"4차"</f>
        <v>4차</v>
      </c>
      <c r="D5961" s="1" t="str">
        <f>"0230B89139"</f>
        <v>0230B89139</v>
      </c>
      <c r="E5961" s="1" t="s">
        <v>10</v>
      </c>
      <c r="F5961" s="1" t="str">
        <f>"10.12.132.11"</f>
        <v>10.12.132.11</v>
      </c>
      <c r="G5961" s="1" t="str">
        <f>"0230B891"</f>
        <v>0230B891</v>
      </c>
      <c r="H5961" s="1" t="str">
        <f>"창동 25"</f>
        <v>창동 25</v>
      </c>
      <c r="I5961" s="1" t="s">
        <v>17</v>
      </c>
      <c r="J5961" s="1" t="str">
        <f>"8/8"</f>
        <v>8/8</v>
      </c>
      <c r="K5961" s="1" t="str">
        <f t="shared" si="299"/>
        <v>2026-07-29 13:18:03</v>
      </c>
      <c r="L5961" s="1" t="str">
        <f>"2018-08-24 11:35:40"</f>
        <v>2018-08-24 11:35:40</v>
      </c>
      <c r="M5961" s="1" t="s">
        <v>0</v>
      </c>
      <c r="N5961" s="1" t="s">
        <v>38</v>
      </c>
      <c r="O5961" s="1" t="s">
        <v>46</v>
      </c>
    </row>
    <row r="5962" spans="2:15" x14ac:dyDescent="0.3">
      <c r="B5962" s="1" t="s">
        <v>22</v>
      </c>
      <c r="C5962" s="1" t="str">
        <f>"3차"</f>
        <v>3차</v>
      </c>
      <c r="D5962" s="1" t="str">
        <f>"0230C00539"</f>
        <v>0230C00539</v>
      </c>
      <c r="E5962" s="1" t="s">
        <v>10</v>
      </c>
      <c r="F5962" s="1" t="str">
        <f>"10.14.12.26"</f>
        <v>10.14.12.26</v>
      </c>
      <c r="G5962" s="1" t="str">
        <f>"0230C005"</f>
        <v>0230C005</v>
      </c>
      <c r="H5962" s="1" t="str">
        <f>"신창간 124R1L3L1"</f>
        <v>신창간 124R1L3L1</v>
      </c>
      <c r="I5962" s="1" t="s">
        <v>8</v>
      </c>
      <c r="J5962" s="1" t="str">
        <f>"47/47"</f>
        <v>47/47</v>
      </c>
      <c r="K5962" s="1" t="str">
        <f t="shared" si="299"/>
        <v>2026-07-29 13:18:03</v>
      </c>
      <c r="L5962" s="1" t="str">
        <f>"2018-03-30 09:52:43"</f>
        <v>2018-03-30 09:52:43</v>
      </c>
      <c r="M5962" s="1" t="s">
        <v>3</v>
      </c>
      <c r="N5962" s="1" t="s">
        <v>38</v>
      </c>
      <c r="O5962" s="1" t="s">
        <v>46</v>
      </c>
    </row>
    <row r="5963" spans="2:15" x14ac:dyDescent="0.3">
      <c r="B5963" s="1" t="s">
        <v>22</v>
      </c>
      <c r="C5963" s="1" t="str">
        <f>"1차"</f>
        <v>1차</v>
      </c>
      <c r="D5963" s="1" t="str">
        <f>"0230C03201"</f>
        <v>0230C03201</v>
      </c>
      <c r="E5963" s="1" t="s">
        <v>10</v>
      </c>
      <c r="F5963" s="1" t="str">
        <f>"10.107.249.3"</f>
        <v>10.107.249.3</v>
      </c>
      <c r="G5963" s="1" t="str">
        <f>"0230C032"</f>
        <v>0230C032</v>
      </c>
      <c r="H5963" s="1" t="str">
        <f>"신창간 7L20"</f>
        <v>신창간 7L20</v>
      </c>
      <c r="I5963" s="1" t="s">
        <v>8</v>
      </c>
      <c r="J5963" s="1" t="str">
        <f>"54/54"</f>
        <v>54/54</v>
      </c>
      <c r="K5963" s="1" t="str">
        <f>"2026-07-29 13:18:01"</f>
        <v>2026-07-29 13:18:01</v>
      </c>
      <c r="L5963" s="1" t="str">
        <f>"2014-12-20 12:28:19"</f>
        <v>2014-12-20 12:28:19</v>
      </c>
      <c r="M5963" s="1" t="s">
        <v>45</v>
      </c>
      <c r="N5963" s="1" t="s">
        <v>38</v>
      </c>
      <c r="O5963" s="1" t="s">
        <v>46</v>
      </c>
    </row>
    <row r="5964" spans="2:15" x14ac:dyDescent="0.3">
      <c r="B5964" s="1" t="s">
        <v>22</v>
      </c>
      <c r="C5964" s="1" t="str">
        <f>"1차"</f>
        <v>1차</v>
      </c>
      <c r="D5964" s="1" t="str">
        <f>"0230C05100"</f>
        <v>0230C05100</v>
      </c>
      <c r="E5964" s="1" t="s">
        <v>10</v>
      </c>
      <c r="F5964" s="1" t="str">
        <f>"10.107.249.2"</f>
        <v>10.107.249.2</v>
      </c>
      <c r="G5964" s="1" t="str">
        <f>"0230C051"</f>
        <v>0230C051</v>
      </c>
      <c r="H5964" s="1" t="str">
        <f>"신창간 7L22"</f>
        <v>신창간 7L22</v>
      </c>
      <c r="I5964" s="1" t="s">
        <v>8</v>
      </c>
      <c r="J5964" s="1" t="str">
        <f>"49/51"</f>
        <v>49/51</v>
      </c>
      <c r="K5964" s="1" t="str">
        <f>"2026-07-29 13:18:02"</f>
        <v>2026-07-29 13:18:02</v>
      </c>
      <c r="L5964" s="1" t="str">
        <f>"2014-12-20 12:28:28"</f>
        <v>2014-12-20 12:28:28</v>
      </c>
      <c r="M5964" s="1" t="s">
        <v>45</v>
      </c>
      <c r="N5964" s="1" t="s">
        <v>38</v>
      </c>
      <c r="O5964" s="1" t="s">
        <v>46</v>
      </c>
    </row>
    <row r="5965" spans="2:15" x14ac:dyDescent="0.3">
      <c r="B5965" s="1" t="s">
        <v>22</v>
      </c>
      <c r="C5965" s="1" t="str">
        <f t="shared" ref="C5965:C5971" si="300">"3차"</f>
        <v>3차</v>
      </c>
      <c r="D5965" s="1" t="str">
        <f>"0230C06139"</f>
        <v>0230C06139</v>
      </c>
      <c r="E5965" s="1" t="s">
        <v>10</v>
      </c>
      <c r="F5965" s="1" t="str">
        <f>"10.10.12.58"</f>
        <v>10.10.12.58</v>
      </c>
      <c r="G5965" s="1" t="str">
        <f>"0230C061"</f>
        <v>0230C061</v>
      </c>
      <c r="H5965" s="1" t="str">
        <f>"신창간 82R2"</f>
        <v>신창간 82R2</v>
      </c>
      <c r="I5965" s="1" t="s">
        <v>8</v>
      </c>
      <c r="J5965" s="1" t="str">
        <f>"54/64"</f>
        <v>54/64</v>
      </c>
      <c r="K5965" s="1" t="str">
        <f>"2026-07-29 13:18:03"</f>
        <v>2026-07-29 13:18:03</v>
      </c>
      <c r="L5965" s="1" t="str">
        <f>"2018-01-15 12:10:54"</f>
        <v>2018-01-15 12:10:54</v>
      </c>
      <c r="M5965" s="1" t="s">
        <v>1</v>
      </c>
      <c r="N5965" s="1" t="s">
        <v>38</v>
      </c>
      <c r="O5965" s="1" t="s">
        <v>46</v>
      </c>
    </row>
    <row r="5966" spans="2:15" x14ac:dyDescent="0.3">
      <c r="B5966" s="1" t="s">
        <v>22</v>
      </c>
      <c r="C5966" s="1" t="str">
        <f t="shared" si="300"/>
        <v>3차</v>
      </c>
      <c r="D5966" s="1" t="str">
        <f>"0230C09139"</f>
        <v>0230C09139</v>
      </c>
      <c r="E5966" s="1" t="s">
        <v>10</v>
      </c>
      <c r="F5966" s="1" t="str">
        <f>"10.10.12.34"</f>
        <v>10.10.12.34</v>
      </c>
      <c r="G5966" s="1" t="str">
        <f>"0230C091"</f>
        <v>0230C091</v>
      </c>
      <c r="H5966" s="1" t="str">
        <f>"신창간 79R6"</f>
        <v>신창간 79R6</v>
      </c>
      <c r="I5966" s="1" t="s">
        <v>8</v>
      </c>
      <c r="J5966" s="1" t="str">
        <f>"13/13"</f>
        <v>13/13</v>
      </c>
      <c r="K5966" s="1" t="str">
        <f>"2026-07-29 13:18:03"</f>
        <v>2026-07-29 13:18:03</v>
      </c>
      <c r="L5966" s="1" t="str">
        <f>"2018-01-11 17:41:57"</f>
        <v>2018-01-11 17:41:57</v>
      </c>
      <c r="M5966" s="1" t="s">
        <v>1</v>
      </c>
      <c r="N5966" s="1" t="s">
        <v>38</v>
      </c>
      <c r="O5966" s="1" t="s">
        <v>46</v>
      </c>
    </row>
    <row r="5967" spans="2:15" x14ac:dyDescent="0.3">
      <c r="B5967" s="1" t="s">
        <v>22</v>
      </c>
      <c r="C5967" s="1" t="str">
        <f t="shared" si="300"/>
        <v>3차</v>
      </c>
      <c r="D5967" s="1" t="str">
        <f>"0230C10139"</f>
        <v>0230C10139</v>
      </c>
      <c r="E5967" s="1" t="s">
        <v>10</v>
      </c>
      <c r="F5967" s="1" t="str">
        <f>"10.107.249.28"</f>
        <v>10.107.249.28</v>
      </c>
      <c r="G5967" s="1" t="str">
        <f>"0230C101"</f>
        <v>0230C101</v>
      </c>
      <c r="H5967" s="1" t="str">
        <f>"신창간 124R1L4"</f>
        <v>신창간 124R1L4</v>
      </c>
      <c r="I5967" s="1" t="s">
        <v>8</v>
      </c>
      <c r="J5967" s="1" t="str">
        <f>"7/31"</f>
        <v>7/31</v>
      </c>
      <c r="K5967" s="1" t="str">
        <f>"2026-07-29 13:18:03"</f>
        <v>2026-07-29 13:18:03</v>
      </c>
      <c r="L5967" s="1" t="str">
        <f>"2018-01-10 13:22:25"</f>
        <v>2018-01-10 13:22:25</v>
      </c>
      <c r="M5967" s="1" t="s">
        <v>45</v>
      </c>
      <c r="N5967" s="1" t="s">
        <v>38</v>
      </c>
      <c r="O5967" s="1" t="s">
        <v>46</v>
      </c>
    </row>
    <row r="5968" spans="2:15" x14ac:dyDescent="0.3">
      <c r="B5968" s="1" t="s">
        <v>22</v>
      </c>
      <c r="C5968" s="1" t="str">
        <f t="shared" si="300"/>
        <v>3차</v>
      </c>
      <c r="D5968" s="1" t="str">
        <f>"0230C15339"</f>
        <v>0230C15339</v>
      </c>
      <c r="E5968" s="1" t="s">
        <v>10</v>
      </c>
      <c r="F5968" s="1" t="str">
        <f>"10.10.12.42"</f>
        <v>10.10.12.42</v>
      </c>
      <c r="G5968" s="1" t="str">
        <f>"0230C153"</f>
        <v>0230C153</v>
      </c>
      <c r="H5968" s="1" t="str">
        <f>"신창간 7L23"</f>
        <v>신창간 7L23</v>
      </c>
      <c r="I5968" s="1" t="s">
        <v>8</v>
      </c>
      <c r="J5968" s="1" t="str">
        <f>"39/39"</f>
        <v>39/39</v>
      </c>
      <c r="K5968" s="1" t="str">
        <f>"2026-07-29 13:18:03"</f>
        <v>2026-07-29 13:18:03</v>
      </c>
      <c r="L5968" s="1" t="str">
        <f>"2018-05-11 16:38:00"</f>
        <v>2018-05-11 16:38:00</v>
      </c>
      <c r="M5968" s="1" t="s">
        <v>1</v>
      </c>
      <c r="N5968" s="1" t="s">
        <v>38</v>
      </c>
      <c r="O5968" s="1" t="s">
        <v>46</v>
      </c>
    </row>
    <row r="5969" spans="2:15" x14ac:dyDescent="0.3">
      <c r="B5969" s="1" t="s">
        <v>22</v>
      </c>
      <c r="C5969" s="1" t="str">
        <f t="shared" si="300"/>
        <v>3차</v>
      </c>
      <c r="D5969" s="1" t="str">
        <f>"0230C16139"</f>
        <v>0230C16139</v>
      </c>
      <c r="E5969" s="1" t="s">
        <v>10</v>
      </c>
      <c r="F5969" s="1" t="str">
        <f>"10.10.9.226"</f>
        <v>10.10.9.226</v>
      </c>
      <c r="G5969" s="1" t="str">
        <f>"0230C161"</f>
        <v>0230C161</v>
      </c>
      <c r="H5969" s="1" t="str">
        <f>"신창간 82"</f>
        <v>신창간 82</v>
      </c>
      <c r="I5969" s="1" t="s">
        <v>8</v>
      </c>
      <c r="J5969" s="1" t="str">
        <f>"51/59"</f>
        <v>51/59</v>
      </c>
      <c r="K5969" s="1" t="str">
        <f>"2026-07-29 13:18:01"</f>
        <v>2026-07-29 13:18:01</v>
      </c>
      <c r="L5969" s="1" t="str">
        <f>"2018-01-11 17:08:13"</f>
        <v>2018-01-11 17:08:13</v>
      </c>
      <c r="M5969" s="1" t="s">
        <v>1</v>
      </c>
      <c r="N5969" s="1" t="s">
        <v>38</v>
      </c>
      <c r="O5969" s="1" t="s">
        <v>46</v>
      </c>
    </row>
    <row r="5970" spans="2:15" x14ac:dyDescent="0.3">
      <c r="B5970" s="1" t="s">
        <v>22</v>
      </c>
      <c r="C5970" s="1" t="str">
        <f t="shared" si="300"/>
        <v>3차</v>
      </c>
      <c r="D5970" s="1" t="str">
        <f>"0230C18439"</f>
        <v>0230C18439</v>
      </c>
      <c r="E5970" s="1" t="s">
        <v>10</v>
      </c>
      <c r="F5970" s="1" t="str">
        <f>"10.12.132.33"</f>
        <v>10.12.132.33</v>
      </c>
      <c r="G5970" s="1" t="str">
        <f>"0230C184"</f>
        <v>0230C184</v>
      </c>
      <c r="H5970" s="1" t="str">
        <f>"신창간 79"</f>
        <v>신창간 79</v>
      </c>
      <c r="I5970" s="1" t="s">
        <v>8</v>
      </c>
      <c r="J5970" s="1" t="str">
        <f>"23/23"</f>
        <v>23/23</v>
      </c>
      <c r="K5970" s="1" t="str">
        <f>"2026-07-29 13:18:02"</f>
        <v>2026-07-29 13:18:02</v>
      </c>
      <c r="L5970" s="1" t="str">
        <f>"2018-07-27 19:17:37"</f>
        <v>2018-07-27 19:17:37</v>
      </c>
      <c r="M5970" s="1" t="s">
        <v>0</v>
      </c>
      <c r="N5970" s="1" t="s">
        <v>38</v>
      </c>
      <c r="O5970" s="1" t="s">
        <v>46</v>
      </c>
    </row>
    <row r="5971" spans="2:15" x14ac:dyDescent="0.3">
      <c r="B5971" s="1" t="s">
        <v>22</v>
      </c>
      <c r="C5971" s="1" t="str">
        <f t="shared" si="300"/>
        <v>3차</v>
      </c>
      <c r="D5971" s="1" t="str">
        <f>"0230C19139"</f>
        <v>0230C19139</v>
      </c>
      <c r="E5971" s="1" t="s">
        <v>10</v>
      </c>
      <c r="F5971" s="1" t="str">
        <f>"10.10.11.194"</f>
        <v>10.10.11.194</v>
      </c>
      <c r="G5971" s="1" t="str">
        <f>"0230C191"</f>
        <v>0230C191</v>
      </c>
      <c r="H5971" s="1" t="str">
        <f>"신창간 79R1"</f>
        <v>신창간 79R1</v>
      </c>
      <c r="I5971" s="1" t="s">
        <v>8</v>
      </c>
      <c r="J5971" s="1" t="str">
        <f>"27/27"</f>
        <v>27/27</v>
      </c>
      <c r="K5971" s="1" t="str">
        <f>"2026-07-29 13:18:03"</f>
        <v>2026-07-29 13:18:03</v>
      </c>
      <c r="L5971" s="1" t="str">
        <f>"2018-05-11 16:36:59"</f>
        <v>2018-05-11 16:36:59</v>
      </c>
      <c r="M5971" s="1" t="s">
        <v>1</v>
      </c>
      <c r="N5971" s="1" t="s">
        <v>38</v>
      </c>
      <c r="O5971" s="1" t="s">
        <v>46</v>
      </c>
    </row>
    <row r="5972" spans="2:15" x14ac:dyDescent="0.3">
      <c r="B5972" s="1" t="s">
        <v>22</v>
      </c>
      <c r="C5972" s="1" t="str">
        <f>"1차"</f>
        <v>1차</v>
      </c>
      <c r="D5972" s="1" t="str">
        <f>"0230C21101"</f>
        <v>0230C21101</v>
      </c>
      <c r="E5972" s="1" t="s">
        <v>10</v>
      </c>
      <c r="F5972" s="1" t="str">
        <f>"10.107.249.131"</f>
        <v>10.107.249.131</v>
      </c>
      <c r="G5972" s="1" t="str">
        <f>"0230C211"</f>
        <v>0230C211</v>
      </c>
      <c r="H5972" s="1" t="str">
        <f>"신창간 92"</f>
        <v>신창간 92</v>
      </c>
      <c r="I5972" s="1" t="s">
        <v>8</v>
      </c>
      <c r="J5972" s="1" t="str">
        <f>"24/25"</f>
        <v>24/25</v>
      </c>
      <c r="K5972" s="1" t="str">
        <f>"2026-07-29 13:18:02"</f>
        <v>2026-07-29 13:18:02</v>
      </c>
      <c r="L5972" s="1" t="str">
        <f>"2019-12-11 15:01:38"</f>
        <v>2019-12-11 15:01:38</v>
      </c>
      <c r="M5972" s="1" t="s">
        <v>45</v>
      </c>
      <c r="N5972" s="1" t="s">
        <v>38</v>
      </c>
      <c r="O5972" s="1" t="s">
        <v>46</v>
      </c>
    </row>
    <row r="5973" spans="2:15" x14ac:dyDescent="0.3">
      <c r="B5973" s="1" t="s">
        <v>22</v>
      </c>
      <c r="C5973" s="1" t="str">
        <f>"1차"</f>
        <v>1차</v>
      </c>
      <c r="D5973" s="1" t="str">
        <f>"0230C21200"</f>
        <v>0230C21200</v>
      </c>
      <c r="E5973" s="1" t="s">
        <v>10</v>
      </c>
      <c r="F5973" s="1" t="str">
        <f>"10.107.249.132"</f>
        <v>10.107.249.132</v>
      </c>
      <c r="G5973" s="1" t="str">
        <f>"0230C212"</f>
        <v>0230C212</v>
      </c>
      <c r="H5973" s="1" t="str">
        <f>"신창간 93"</f>
        <v>신창간 93</v>
      </c>
      <c r="I5973" s="1" t="s">
        <v>8</v>
      </c>
      <c r="J5973" s="1" t="str">
        <f>"36/37"</f>
        <v>36/37</v>
      </c>
      <c r="K5973" s="1" t="str">
        <f>"2026-07-29 13:18:01"</f>
        <v>2026-07-29 13:18:01</v>
      </c>
      <c r="L5973" s="1" t="str">
        <f>"2014-12-19 10:13:12"</f>
        <v>2014-12-19 10:13:12</v>
      </c>
      <c r="M5973" s="1" t="s">
        <v>45</v>
      </c>
      <c r="N5973" s="1" t="s">
        <v>38</v>
      </c>
      <c r="O5973" s="1" t="s">
        <v>46</v>
      </c>
    </row>
    <row r="5974" spans="2:15" x14ac:dyDescent="0.3">
      <c r="B5974" s="1" t="s">
        <v>22</v>
      </c>
      <c r="C5974" s="1" t="str">
        <f>"3차"</f>
        <v>3차</v>
      </c>
      <c r="D5974" s="1" t="str">
        <f>"0230C21339"</f>
        <v>0230C21339</v>
      </c>
      <c r="E5974" s="1" t="s">
        <v>10</v>
      </c>
      <c r="F5974" s="1" t="str">
        <f>"10.10.12.82"</f>
        <v>10.10.12.82</v>
      </c>
      <c r="G5974" s="1" t="str">
        <f>"0230C213"</f>
        <v>0230C213</v>
      </c>
      <c r="H5974" s="1" t="str">
        <f>"신창간 93B1"</f>
        <v>신창간 93B1</v>
      </c>
      <c r="I5974" s="1" t="s">
        <v>8</v>
      </c>
      <c r="J5974" s="1" t="str">
        <f>"90/90"</f>
        <v>90/90</v>
      </c>
      <c r="K5974" s="1" t="str">
        <f>"2026-07-29 13:18:01"</f>
        <v>2026-07-29 13:18:01</v>
      </c>
      <c r="L5974" s="1" t="str">
        <f>"2018-03-12 17:13:14"</f>
        <v>2018-03-12 17:13:14</v>
      </c>
      <c r="M5974" s="1" t="s">
        <v>1</v>
      </c>
      <c r="N5974" s="1" t="s">
        <v>38</v>
      </c>
      <c r="O5974" s="1" t="s">
        <v>46</v>
      </c>
    </row>
    <row r="5975" spans="2:15" x14ac:dyDescent="0.3">
      <c r="B5975" s="1" t="s">
        <v>22</v>
      </c>
      <c r="C5975" s="1" t="str">
        <f>"3차"</f>
        <v>3차</v>
      </c>
      <c r="D5975" s="1" t="str">
        <f>"0230C22339"</f>
        <v>0230C22339</v>
      </c>
      <c r="E5975" s="1" t="s">
        <v>10</v>
      </c>
      <c r="F5975" s="1" t="str">
        <f>"10.10.9.234"</f>
        <v>10.10.9.234</v>
      </c>
      <c r="G5975" s="1" t="str">
        <f>"0230C223"</f>
        <v>0230C223</v>
      </c>
      <c r="H5975" s="1" t="str">
        <f>"신창간 90"</f>
        <v>신창간 90</v>
      </c>
      <c r="I5975" s="1" t="s">
        <v>8</v>
      </c>
      <c r="J5975" s="1" t="str">
        <f>"11/11"</f>
        <v>11/11</v>
      </c>
      <c r="K5975" s="1" t="str">
        <f>"2026-07-29 13:18:03"</f>
        <v>2026-07-29 13:18:03</v>
      </c>
      <c r="L5975" s="1" t="str">
        <f>"2018-01-15 15:01:29"</f>
        <v>2018-01-15 15:01:29</v>
      </c>
      <c r="M5975" s="1" t="s">
        <v>1</v>
      </c>
      <c r="N5975" s="1" t="s">
        <v>38</v>
      </c>
      <c r="O5975" s="1" t="s">
        <v>46</v>
      </c>
    </row>
    <row r="5976" spans="2:15" x14ac:dyDescent="0.3">
      <c r="B5976" s="1" t="s">
        <v>22</v>
      </c>
      <c r="C5976" s="1" t="str">
        <f>"1차"</f>
        <v>1차</v>
      </c>
      <c r="D5976" s="1" t="str">
        <f>"0230C23100"</f>
        <v>0230C23100</v>
      </c>
      <c r="E5976" s="1" t="s">
        <v>10</v>
      </c>
      <c r="F5976" s="1" t="str">
        <f>"10.107.249.4"</f>
        <v>10.107.249.4</v>
      </c>
      <c r="G5976" s="1" t="str">
        <f>"0230C231"</f>
        <v>0230C231</v>
      </c>
      <c r="H5976" s="1" t="str">
        <f>"신창간 88"</f>
        <v>신창간 88</v>
      </c>
      <c r="I5976" s="1" t="s">
        <v>8</v>
      </c>
      <c r="J5976" s="1" t="str">
        <f>"30/30"</f>
        <v>30/30</v>
      </c>
      <c r="K5976" s="1" t="str">
        <f>"2026-07-29 13:18:03"</f>
        <v>2026-07-29 13:18:03</v>
      </c>
      <c r="L5976" s="1" t="str">
        <f>"2014-12-19 10:43:43"</f>
        <v>2014-12-19 10:43:43</v>
      </c>
      <c r="M5976" s="1" t="s">
        <v>45</v>
      </c>
      <c r="N5976" s="1" t="s">
        <v>38</v>
      </c>
      <c r="O5976" s="1" t="s">
        <v>46</v>
      </c>
    </row>
    <row r="5977" spans="2:15" x14ac:dyDescent="0.3">
      <c r="B5977" s="1" t="s">
        <v>22</v>
      </c>
      <c r="C5977" s="1" t="str">
        <f>"3차"</f>
        <v>3차</v>
      </c>
      <c r="D5977" s="1" t="str">
        <f>"0230C25139"</f>
        <v>0230C25139</v>
      </c>
      <c r="E5977" s="1" t="s">
        <v>10</v>
      </c>
      <c r="F5977" s="1" t="str">
        <f>"10.10.11.10"</f>
        <v>10.10.11.10</v>
      </c>
      <c r="G5977" s="1" t="str">
        <f>"0230C251"</f>
        <v>0230C251</v>
      </c>
      <c r="H5977" s="1" t="str">
        <f>"신창간 85L1"</f>
        <v>신창간 85L1</v>
      </c>
      <c r="I5977" s="1" t="s">
        <v>8</v>
      </c>
      <c r="J5977" s="1" t="str">
        <f>"4/4"</f>
        <v>4/4</v>
      </c>
      <c r="K5977" s="1" t="str">
        <f>"2026-07-29 13:18:03"</f>
        <v>2026-07-29 13:18:03</v>
      </c>
      <c r="L5977" s="1" t="str">
        <f>"2018-02-05 13:58:56"</f>
        <v>2018-02-05 13:58:56</v>
      </c>
      <c r="M5977" s="1" t="s">
        <v>1</v>
      </c>
      <c r="N5977" s="1" t="s">
        <v>38</v>
      </c>
      <c r="O5977" s="1" t="s">
        <v>46</v>
      </c>
    </row>
    <row r="5978" spans="2:15" x14ac:dyDescent="0.3">
      <c r="B5978" s="1" t="s">
        <v>22</v>
      </c>
      <c r="C5978" s="1" t="str">
        <f>"3차"</f>
        <v>3차</v>
      </c>
      <c r="D5978" s="1" t="str">
        <f>"0230C25330"</f>
        <v>0230C25330</v>
      </c>
      <c r="E5978" s="1" t="s">
        <v>10</v>
      </c>
      <c r="F5978" s="1" t="str">
        <f>"10.10.24.138"</f>
        <v>10.10.24.138</v>
      </c>
      <c r="G5978" s="1" t="str">
        <f>"0230C253"</f>
        <v>0230C253</v>
      </c>
      <c r="H5978" s="1" t="str">
        <f>"신창간 85L2R1"</f>
        <v>신창간 85L2R1</v>
      </c>
      <c r="I5978" s="1" t="s">
        <v>8</v>
      </c>
      <c r="J5978" s="1" t="str">
        <f>"43/43"</f>
        <v>43/43</v>
      </c>
      <c r="K5978" s="1" t="str">
        <f>"2026-07-29 13:18:03"</f>
        <v>2026-07-29 13:18:03</v>
      </c>
      <c r="L5978" s="1" t="str">
        <f>"2018-03-29 15:00:12"</f>
        <v>2018-03-29 15:00:12</v>
      </c>
      <c r="M5978" s="1" t="s">
        <v>1</v>
      </c>
      <c r="N5978" s="1" t="s">
        <v>38</v>
      </c>
      <c r="O5978" s="1" t="s">
        <v>46</v>
      </c>
    </row>
    <row r="5979" spans="2:15" x14ac:dyDescent="0.3">
      <c r="B5979" s="1" t="s">
        <v>22</v>
      </c>
      <c r="C5979" s="1" t="str">
        <f>"3차"</f>
        <v>3차</v>
      </c>
      <c r="D5979" s="1" t="str">
        <f>"0230C26131"</f>
        <v>0230C26131</v>
      </c>
      <c r="E5979" s="1" t="s">
        <v>10</v>
      </c>
      <c r="F5979" s="1" t="str">
        <f>"10.14.3.43"</f>
        <v>10.14.3.43</v>
      </c>
      <c r="G5979" s="1" t="str">
        <f>"0230C261"</f>
        <v>0230C261</v>
      </c>
      <c r="H5979" s="1" t="str">
        <f>"신창간 82L2"</f>
        <v>신창간 82L2</v>
      </c>
      <c r="I5979" s="1" t="s">
        <v>8</v>
      </c>
      <c r="J5979" s="1" t="str">
        <f>"29/29"</f>
        <v>29/29</v>
      </c>
      <c r="K5979" s="1" t="str">
        <f>"2026-07-29 13:18:03"</f>
        <v>2026-07-29 13:18:03</v>
      </c>
      <c r="L5979" s="1" t="str">
        <f>"2018-01-21 13:29:41"</f>
        <v>2018-01-21 13:29:41</v>
      </c>
      <c r="M5979" s="1" t="s">
        <v>3</v>
      </c>
      <c r="N5979" s="1" t="s">
        <v>38</v>
      </c>
      <c r="O5979" s="1" t="s">
        <v>46</v>
      </c>
    </row>
    <row r="5980" spans="2:15" x14ac:dyDescent="0.3">
      <c r="B5980" s="1" t="s">
        <v>22</v>
      </c>
      <c r="C5980" s="1" t="str">
        <f>"4차"</f>
        <v>4차</v>
      </c>
      <c r="D5980" s="1" t="str">
        <f>"0230C28439"</f>
        <v>0230C28439</v>
      </c>
      <c r="E5980" s="1" t="s">
        <v>10</v>
      </c>
      <c r="F5980" s="1" t="str">
        <f>"10.10.11.186"</f>
        <v>10.10.11.186</v>
      </c>
      <c r="G5980" s="1" t="str">
        <f>"0230C284"</f>
        <v>0230C284</v>
      </c>
      <c r="H5980" s="1" t="str">
        <f>"신창간 79H1"</f>
        <v>신창간 79H1</v>
      </c>
      <c r="I5980" s="1" t="s">
        <v>8</v>
      </c>
      <c r="J5980" s="1" t="str">
        <f>"50/50"</f>
        <v>50/50</v>
      </c>
      <c r="K5980" s="1" t="str">
        <f>"2026-07-29 13:18:01"</f>
        <v>2026-07-29 13:18:01</v>
      </c>
      <c r="L5980" s="1" t="str">
        <f>"2021-07-27 13:11:27"</f>
        <v>2021-07-27 13:11:27</v>
      </c>
      <c r="M5980" s="1" t="s">
        <v>1</v>
      </c>
      <c r="N5980" s="1" t="s">
        <v>38</v>
      </c>
      <c r="O5980" s="1" t="s">
        <v>46</v>
      </c>
    </row>
    <row r="5981" spans="2:15" x14ac:dyDescent="0.3">
      <c r="B5981" s="1" t="s">
        <v>22</v>
      </c>
      <c r="C5981" s="1" t="str">
        <f>"3차"</f>
        <v>3차</v>
      </c>
      <c r="D5981" s="1" t="str">
        <f>"0230C33131"</f>
        <v>0230C33131</v>
      </c>
      <c r="E5981" s="1" t="s">
        <v>10</v>
      </c>
      <c r="F5981" s="1" t="str">
        <f>"10.10.24.139"</f>
        <v>10.10.24.139</v>
      </c>
      <c r="G5981" s="1" t="str">
        <f>"0230C331"</f>
        <v>0230C331</v>
      </c>
      <c r="H5981" s="1" t="str">
        <f>"신창간 85L2R3"</f>
        <v>신창간 85L2R3</v>
      </c>
      <c r="I5981" s="1" t="s">
        <v>8</v>
      </c>
      <c r="J5981" s="1" t="str">
        <f>"95/95"</f>
        <v>95/95</v>
      </c>
      <c r="K5981" s="1" t="str">
        <f>"2026-07-29 13:18:01"</f>
        <v>2026-07-29 13:18:01</v>
      </c>
      <c r="L5981" s="1" t="str">
        <f>"2018-03-29 14:58:58"</f>
        <v>2018-03-29 14:58:58</v>
      </c>
      <c r="M5981" s="1" t="s">
        <v>1</v>
      </c>
      <c r="N5981" s="1" t="s">
        <v>38</v>
      </c>
      <c r="O5981" s="1" t="s">
        <v>46</v>
      </c>
    </row>
    <row r="5982" spans="2:15" x14ac:dyDescent="0.3">
      <c r="B5982" s="1" t="s">
        <v>22</v>
      </c>
      <c r="C5982" s="1" t="str">
        <f>"3차"</f>
        <v>3차</v>
      </c>
      <c r="D5982" s="1" t="str">
        <f>"0230C35439"</f>
        <v>0230C35439</v>
      </c>
      <c r="E5982" s="1" t="s">
        <v>14</v>
      </c>
      <c r="F5982" s="1" t="str">
        <f>"10.10.12.66"</f>
        <v>10.10.12.66</v>
      </c>
      <c r="G5982" s="1" t="str">
        <f>"0230C354"</f>
        <v>0230C354</v>
      </c>
      <c r="H5982" s="1" t="str">
        <f>"신창간 85L3"</f>
        <v>신창간 85L3</v>
      </c>
      <c r="I5982" s="1" t="s">
        <v>8</v>
      </c>
      <c r="J5982" s="1" t="str">
        <f>"0/0"</f>
        <v>0/0</v>
      </c>
      <c r="K5982" s="1" t="str">
        <f>"2026-07-29 13:18:01"</f>
        <v>2026-07-29 13:18:01</v>
      </c>
      <c r="L5982" s="1" t="str">
        <f>"2018-03-12 14:57:13"</f>
        <v>2018-03-12 14:57:13</v>
      </c>
      <c r="M5982" s="1" t="s">
        <v>1</v>
      </c>
      <c r="N5982" s="1" t="s">
        <v>38</v>
      </c>
      <c r="O5982" s="1" t="s">
        <v>44</v>
      </c>
    </row>
    <row r="5983" spans="2:15" x14ac:dyDescent="0.3">
      <c r="B5983" s="1" t="s">
        <v>22</v>
      </c>
      <c r="C5983" s="1" t="str">
        <f>"3차"</f>
        <v>3차</v>
      </c>
      <c r="D5983" s="1" t="str">
        <f>"0230C38539"</f>
        <v>0230C38539</v>
      </c>
      <c r="E5983" s="1" t="s">
        <v>10</v>
      </c>
      <c r="F5983" s="1" t="str">
        <f>"10.10.9.210"</f>
        <v>10.10.9.210</v>
      </c>
      <c r="G5983" s="1" t="str">
        <f>"0230C385"</f>
        <v>0230C385</v>
      </c>
      <c r="H5983" s="1" t="str">
        <f>"신창간 77"</f>
        <v>신창간 77</v>
      </c>
      <c r="I5983" s="1" t="s">
        <v>8</v>
      </c>
      <c r="J5983" s="1" t="str">
        <f>"86/86"</f>
        <v>86/86</v>
      </c>
      <c r="K5983" s="1" t="str">
        <f>"2026-07-29 13:18:01"</f>
        <v>2026-07-29 13:18:01</v>
      </c>
      <c r="L5983" s="1" t="str">
        <f>"2021-07-27 13:23:10"</f>
        <v>2021-07-27 13:23:10</v>
      </c>
      <c r="M5983" s="1" t="s">
        <v>1</v>
      </c>
      <c r="N5983" s="1" t="s">
        <v>38</v>
      </c>
      <c r="O5983" s="1" t="s">
        <v>46</v>
      </c>
    </row>
    <row r="5984" spans="2:15" x14ac:dyDescent="0.3">
      <c r="B5984" s="1" t="s">
        <v>22</v>
      </c>
      <c r="C5984" s="1" t="str">
        <f>"4차"</f>
        <v>4차</v>
      </c>
      <c r="D5984" s="1" t="str">
        <f>"0230C38639"</f>
        <v>0230C38639</v>
      </c>
      <c r="E5984" s="1" t="s">
        <v>10</v>
      </c>
      <c r="F5984" s="1" t="str">
        <f>"10.12.128.48"</f>
        <v>10.12.128.48</v>
      </c>
      <c r="G5984" s="1" t="str">
        <f>"0230C386"</f>
        <v>0230C386</v>
      </c>
      <c r="H5984" s="1" t="str">
        <f>"신창간 77R1"</f>
        <v>신창간 77R1</v>
      </c>
      <c r="I5984" s="1" t="s">
        <v>8</v>
      </c>
      <c r="J5984" s="1" t="str">
        <f>"49/49"</f>
        <v>49/49</v>
      </c>
      <c r="K5984" s="1" t="str">
        <f>"2026-07-29 13:18:03"</f>
        <v>2026-07-29 13:18:03</v>
      </c>
      <c r="L5984" s="1" t="str">
        <f>"2021-07-27 13:26:22"</f>
        <v>2021-07-27 13:26:22</v>
      </c>
      <c r="M5984" s="1" t="s">
        <v>0</v>
      </c>
      <c r="N5984" s="1" t="s">
        <v>38</v>
      </c>
      <c r="O5984" s="1" t="s">
        <v>46</v>
      </c>
    </row>
    <row r="5985" spans="2:15" x14ac:dyDescent="0.3">
      <c r="B5985" s="1" t="s">
        <v>22</v>
      </c>
      <c r="C5985" s="1" t="str">
        <f>"3차"</f>
        <v>3차</v>
      </c>
      <c r="D5985" s="1" t="str">
        <f>"0230C38839"</f>
        <v>0230C38839</v>
      </c>
      <c r="E5985" s="1" t="s">
        <v>10</v>
      </c>
      <c r="F5985" s="1" t="str">
        <f>"10.10.6.106"</f>
        <v>10.10.6.106</v>
      </c>
      <c r="G5985" s="1" t="str">
        <f>"0230C388"</f>
        <v>0230C388</v>
      </c>
      <c r="H5985" s="1" t="str">
        <f>"신창간 77R2"</f>
        <v>신창간 77R2</v>
      </c>
      <c r="I5985" s="1" t="s">
        <v>8</v>
      </c>
      <c r="J5985" s="1" t="str">
        <f>"10/10"</f>
        <v>10/10</v>
      </c>
      <c r="K5985" s="1" t="str">
        <f t="shared" ref="K5985:K5994" si="301">"2026-07-29 13:18:01"</f>
        <v>2026-07-29 13:18:01</v>
      </c>
      <c r="L5985" s="1" t="str">
        <f>"2021-04-29 17:13:50"</f>
        <v>2021-04-29 17:13:50</v>
      </c>
      <c r="M5985" s="1" t="s">
        <v>1</v>
      </c>
      <c r="N5985" s="1" t="s">
        <v>38</v>
      </c>
      <c r="O5985" s="1" t="s">
        <v>46</v>
      </c>
    </row>
    <row r="5986" spans="2:15" x14ac:dyDescent="0.3">
      <c r="B5986" s="1" t="s">
        <v>22</v>
      </c>
      <c r="C5986" s="1" t="str">
        <f>"4차"</f>
        <v>4차</v>
      </c>
      <c r="D5986" s="1" t="str">
        <f>"0230C43139"</f>
        <v>0230C43139</v>
      </c>
      <c r="E5986" s="1" t="s">
        <v>10</v>
      </c>
      <c r="F5986" s="1" t="str">
        <f>"10.10.40.178"</f>
        <v>10.10.40.178</v>
      </c>
      <c r="G5986" s="1" t="str">
        <f>"0230C431"</f>
        <v>0230C431</v>
      </c>
      <c r="H5986" s="1" t="str">
        <f>"신창간 85L4R3"</f>
        <v>신창간 85L4R3</v>
      </c>
      <c r="I5986" s="1" t="s">
        <v>8</v>
      </c>
      <c r="J5986" s="1" t="str">
        <f>"22/22"</f>
        <v>22/22</v>
      </c>
      <c r="K5986" s="1" t="str">
        <f t="shared" si="301"/>
        <v>2026-07-29 13:18:01</v>
      </c>
      <c r="L5986" s="1" t="str">
        <f>"2018-03-12 14:35:57"</f>
        <v>2018-03-12 14:35:57</v>
      </c>
      <c r="M5986" s="1" t="s">
        <v>1</v>
      </c>
      <c r="N5986" s="1" t="s">
        <v>38</v>
      </c>
      <c r="O5986" s="1" t="s">
        <v>46</v>
      </c>
    </row>
    <row r="5987" spans="2:15" x14ac:dyDescent="0.3">
      <c r="B5987" s="1" t="s">
        <v>22</v>
      </c>
      <c r="C5987" s="1" t="str">
        <f t="shared" ref="C5987:C5994" si="302">"3차"</f>
        <v>3차</v>
      </c>
      <c r="D5987" s="1" t="str">
        <f>"0230C44339"</f>
        <v>0230C44339</v>
      </c>
      <c r="E5987" s="1" t="s">
        <v>10</v>
      </c>
      <c r="F5987" s="1" t="str">
        <f>"10.12.131.73"</f>
        <v>10.12.131.73</v>
      </c>
      <c r="G5987" s="1" t="str">
        <f>"0230C443"</f>
        <v>0230C443</v>
      </c>
      <c r="H5987" s="1" t="str">
        <f>"신창간 85L4R2"</f>
        <v>신창간 85L4R2</v>
      </c>
      <c r="I5987" s="1" t="s">
        <v>8</v>
      </c>
      <c r="J5987" s="1" t="str">
        <f>"117/117"</f>
        <v>117/117</v>
      </c>
      <c r="K5987" s="1" t="str">
        <f t="shared" si="301"/>
        <v>2026-07-29 13:18:01</v>
      </c>
      <c r="L5987" s="1" t="str">
        <f>"2018-03-27 11:59:42"</f>
        <v>2018-03-27 11:59:42</v>
      </c>
      <c r="M5987" s="1" t="s">
        <v>0</v>
      </c>
      <c r="N5987" s="1" t="s">
        <v>38</v>
      </c>
      <c r="O5987" s="1" t="s">
        <v>46</v>
      </c>
    </row>
    <row r="5988" spans="2:15" x14ac:dyDescent="0.3">
      <c r="B5988" s="1" t="s">
        <v>22</v>
      </c>
      <c r="C5988" s="1" t="str">
        <f t="shared" si="302"/>
        <v>3차</v>
      </c>
      <c r="D5988" s="1" t="str">
        <f>"0230C45131"</f>
        <v>0230C45131</v>
      </c>
      <c r="E5988" s="1" t="s">
        <v>10</v>
      </c>
      <c r="F5988" s="1" t="str">
        <f>"10.10.23.131"</f>
        <v>10.10.23.131</v>
      </c>
      <c r="G5988" s="1" t="str">
        <f>"0230C451"</f>
        <v>0230C451</v>
      </c>
      <c r="H5988" s="1" t="str">
        <f>"신창간 85L6"</f>
        <v>신창간 85L6</v>
      </c>
      <c r="I5988" s="1" t="s">
        <v>8</v>
      </c>
      <c r="J5988" s="1" t="str">
        <f>"20/20"</f>
        <v>20/20</v>
      </c>
      <c r="K5988" s="1" t="str">
        <f t="shared" si="301"/>
        <v>2026-07-29 13:18:01</v>
      </c>
      <c r="L5988" s="1" t="str">
        <f>"2018-03-16 15:09:00"</f>
        <v>2018-03-16 15:09:00</v>
      </c>
      <c r="M5988" s="1" t="s">
        <v>1</v>
      </c>
      <c r="N5988" s="1" t="s">
        <v>38</v>
      </c>
      <c r="O5988" s="1" t="s">
        <v>46</v>
      </c>
    </row>
    <row r="5989" spans="2:15" x14ac:dyDescent="0.3">
      <c r="B5989" s="1" t="s">
        <v>22</v>
      </c>
      <c r="C5989" s="1" t="str">
        <f t="shared" si="302"/>
        <v>3차</v>
      </c>
      <c r="D5989" s="1" t="str">
        <f>"0230C45330"</f>
        <v>0230C45330</v>
      </c>
      <c r="E5989" s="1" t="s">
        <v>10</v>
      </c>
      <c r="F5989" s="1" t="str">
        <f>"10.10.23.130"</f>
        <v>10.10.23.130</v>
      </c>
      <c r="G5989" s="1" t="str">
        <f>"0230C453"</f>
        <v>0230C453</v>
      </c>
      <c r="H5989" s="1" t="str">
        <f>"신창간 85L5"</f>
        <v>신창간 85L5</v>
      </c>
      <c r="I5989" s="1" t="s">
        <v>8</v>
      </c>
      <c r="J5989" s="1" t="str">
        <f>"28/61"</f>
        <v>28/61</v>
      </c>
      <c r="K5989" s="1" t="str">
        <f t="shared" si="301"/>
        <v>2026-07-29 13:18:01</v>
      </c>
      <c r="L5989" s="1" t="str">
        <f>"2018-01-15 13:40:11"</f>
        <v>2018-01-15 13:40:11</v>
      </c>
      <c r="M5989" s="1" t="s">
        <v>1</v>
      </c>
      <c r="N5989" s="1" t="s">
        <v>38</v>
      </c>
      <c r="O5989" s="1" t="s">
        <v>46</v>
      </c>
    </row>
    <row r="5990" spans="2:15" x14ac:dyDescent="0.3">
      <c r="B5990" s="1" t="s">
        <v>22</v>
      </c>
      <c r="C5990" s="1" t="str">
        <f t="shared" si="302"/>
        <v>3차</v>
      </c>
      <c r="D5990" s="1" t="str">
        <f>"0230C46139"</f>
        <v>0230C46139</v>
      </c>
      <c r="E5990" s="1" t="s">
        <v>10</v>
      </c>
      <c r="F5990" s="1" t="str">
        <f>"10.10.11.202"</f>
        <v>10.10.11.202</v>
      </c>
      <c r="G5990" s="1" t="str">
        <f>"0230C461"</f>
        <v>0230C461</v>
      </c>
      <c r="H5990" s="1" t="str">
        <f>"신창간 85L6L1"</f>
        <v>신창간 85L6L1</v>
      </c>
      <c r="I5990" s="1" t="s">
        <v>8</v>
      </c>
      <c r="J5990" s="1" t="str">
        <f>"13/13"</f>
        <v>13/13</v>
      </c>
      <c r="K5990" s="1" t="str">
        <f t="shared" si="301"/>
        <v>2026-07-29 13:18:01</v>
      </c>
      <c r="L5990" s="1" t="str">
        <f>"2018-01-15 13:32:56"</f>
        <v>2018-01-15 13:32:56</v>
      </c>
      <c r="M5990" s="1" t="s">
        <v>1</v>
      </c>
      <c r="N5990" s="1" t="s">
        <v>38</v>
      </c>
      <c r="O5990" s="1" t="s">
        <v>46</v>
      </c>
    </row>
    <row r="5991" spans="2:15" x14ac:dyDescent="0.3">
      <c r="B5991" s="1" t="s">
        <v>22</v>
      </c>
      <c r="C5991" s="1" t="str">
        <f t="shared" si="302"/>
        <v>3차</v>
      </c>
      <c r="D5991" s="1" t="str">
        <f>"0230C47139"</f>
        <v>0230C47139</v>
      </c>
      <c r="E5991" s="1" t="s">
        <v>10</v>
      </c>
      <c r="F5991" s="1" t="str">
        <f>"10.10.11.98"</f>
        <v>10.10.11.98</v>
      </c>
      <c r="G5991" s="1" t="str">
        <f>"0230C471"</f>
        <v>0230C471</v>
      </c>
      <c r="H5991" s="1" t="str">
        <f>"신창간 82L5"</f>
        <v>신창간 82L5</v>
      </c>
      <c r="I5991" s="1" t="s">
        <v>8</v>
      </c>
      <c r="J5991" s="1" t="str">
        <f>"12/12"</f>
        <v>12/12</v>
      </c>
      <c r="K5991" s="1" t="str">
        <f t="shared" si="301"/>
        <v>2026-07-29 13:18:01</v>
      </c>
      <c r="L5991" s="1" t="str">
        <f>"2018-01-15 10:46:39"</f>
        <v>2018-01-15 10:46:39</v>
      </c>
      <c r="M5991" s="1" t="s">
        <v>1</v>
      </c>
      <c r="N5991" s="1" t="s">
        <v>38</v>
      </c>
      <c r="O5991" s="1" t="s">
        <v>46</v>
      </c>
    </row>
    <row r="5992" spans="2:15" x14ac:dyDescent="0.3">
      <c r="B5992" s="1" t="s">
        <v>22</v>
      </c>
      <c r="C5992" s="1" t="str">
        <f t="shared" si="302"/>
        <v>3차</v>
      </c>
      <c r="D5992" s="1" t="str">
        <f>"0230C47239"</f>
        <v>0230C47239</v>
      </c>
      <c r="E5992" s="1" t="s">
        <v>10</v>
      </c>
      <c r="F5992" s="1" t="str">
        <f>"10.10.11.2"</f>
        <v>10.10.11.2</v>
      </c>
      <c r="G5992" s="1" t="str">
        <f>"0230C472"</f>
        <v>0230C472</v>
      </c>
      <c r="H5992" s="1" t="str">
        <f>"신창간 82L5L1"</f>
        <v>신창간 82L5L1</v>
      </c>
      <c r="I5992" s="1" t="s">
        <v>8</v>
      </c>
      <c r="J5992" s="1" t="str">
        <f>"68/68"</f>
        <v>68/68</v>
      </c>
      <c r="K5992" s="1" t="str">
        <f t="shared" si="301"/>
        <v>2026-07-29 13:18:01</v>
      </c>
      <c r="L5992" s="1" t="str">
        <f>"2018-03-28 14:05:58"</f>
        <v>2018-03-28 14:05:58</v>
      </c>
      <c r="M5992" s="1" t="s">
        <v>1</v>
      </c>
      <c r="N5992" s="1" t="s">
        <v>38</v>
      </c>
      <c r="O5992" s="1" t="s">
        <v>46</v>
      </c>
    </row>
    <row r="5993" spans="2:15" x14ac:dyDescent="0.3">
      <c r="B5993" s="1" t="s">
        <v>22</v>
      </c>
      <c r="C5993" s="1" t="str">
        <f t="shared" si="302"/>
        <v>3차</v>
      </c>
      <c r="D5993" s="1" t="str">
        <f>"0230C47339"</f>
        <v>0230C47339</v>
      </c>
      <c r="E5993" s="1" t="s">
        <v>10</v>
      </c>
      <c r="F5993" s="1" t="str">
        <f>"10.10.12.50"</f>
        <v>10.10.12.50</v>
      </c>
      <c r="G5993" s="1" t="str">
        <f>"0230C473"</f>
        <v>0230C473</v>
      </c>
      <c r="H5993" s="1" t="str">
        <f>"신창간 82L5H1"</f>
        <v>신창간 82L5H1</v>
      </c>
      <c r="I5993" s="1" t="s">
        <v>8</v>
      </c>
      <c r="J5993" s="1" t="str">
        <f>"45/45"</f>
        <v>45/45</v>
      </c>
      <c r="K5993" s="1" t="str">
        <f t="shared" si="301"/>
        <v>2026-07-29 13:18:01</v>
      </c>
      <c r="L5993" s="1" t="str">
        <f>"2018-03-12 14:10:42"</f>
        <v>2018-03-12 14:10:42</v>
      </c>
      <c r="M5993" s="1" t="s">
        <v>1</v>
      </c>
      <c r="N5993" s="1" t="s">
        <v>38</v>
      </c>
      <c r="O5993" s="1" t="s">
        <v>46</v>
      </c>
    </row>
    <row r="5994" spans="2:15" x14ac:dyDescent="0.3">
      <c r="B5994" s="1" t="s">
        <v>22</v>
      </c>
      <c r="C5994" s="1" t="str">
        <f t="shared" si="302"/>
        <v>3차</v>
      </c>
      <c r="D5994" s="1" t="str">
        <f>"0230C48531"</f>
        <v>0230C48531</v>
      </c>
      <c r="E5994" s="1" t="s">
        <v>10</v>
      </c>
      <c r="F5994" s="1" t="str">
        <f>"10.10.23.123"</f>
        <v>10.10.23.123</v>
      </c>
      <c r="G5994" s="1" t="str">
        <f>"0230C485"</f>
        <v>0230C485</v>
      </c>
      <c r="H5994" s="1" t="str">
        <f>"신창간 75"</f>
        <v>신창간 75</v>
      </c>
      <c r="I5994" s="1" t="s">
        <v>8</v>
      </c>
      <c r="J5994" s="1" t="str">
        <f>"15/15"</f>
        <v>15/15</v>
      </c>
      <c r="K5994" s="1" t="str">
        <f t="shared" si="301"/>
        <v>2026-07-29 13:18:01</v>
      </c>
      <c r="L5994" s="1" t="str">
        <f>"2021-07-27 13:48:14"</f>
        <v>2021-07-27 13:48:14</v>
      </c>
      <c r="M5994" s="1" t="s">
        <v>1</v>
      </c>
      <c r="N5994" s="1" t="s">
        <v>38</v>
      </c>
      <c r="O5994" s="1" t="s">
        <v>46</v>
      </c>
    </row>
    <row r="5995" spans="2:15" x14ac:dyDescent="0.3">
      <c r="B5995" s="1" t="s">
        <v>22</v>
      </c>
      <c r="C5995" s="1" t="str">
        <f>"4차"</f>
        <v>4차</v>
      </c>
      <c r="D5995" s="1" t="str">
        <f>"0230C49339"</f>
        <v>0230C49339</v>
      </c>
      <c r="E5995" s="1" t="s">
        <v>10</v>
      </c>
      <c r="F5995" s="1" t="str">
        <f>"10.12.128.13"</f>
        <v>10.12.128.13</v>
      </c>
      <c r="G5995" s="1" t="str">
        <f>"0230C493"</f>
        <v>0230C493</v>
      </c>
      <c r="H5995" s="1" t="str">
        <f>"창동간 17R14R6L3"</f>
        <v>창동간 17R14R6L3</v>
      </c>
      <c r="I5995" s="1" t="s">
        <v>8</v>
      </c>
      <c r="J5995" s="1" t="str">
        <f>"103/103"</f>
        <v>103/103</v>
      </c>
      <c r="K5995" s="1" t="str">
        <f>"2026-07-29 13:18:03"</f>
        <v>2026-07-29 13:18:03</v>
      </c>
      <c r="L5995" s="1" t="str">
        <f>"2018-03-29 15:54:46"</f>
        <v>2018-03-29 15:54:46</v>
      </c>
      <c r="M5995" s="1" t="s">
        <v>0</v>
      </c>
      <c r="N5995" s="1" t="s">
        <v>38</v>
      </c>
      <c r="O5995" s="1" t="s">
        <v>46</v>
      </c>
    </row>
    <row r="5996" spans="2:15" x14ac:dyDescent="0.3">
      <c r="B5996" s="1" t="s">
        <v>22</v>
      </c>
      <c r="C5996" s="1" t="str">
        <f>"1차"</f>
        <v>1차</v>
      </c>
      <c r="D5996" s="1" t="str">
        <f>"0230C51100"</f>
        <v>0230C51100</v>
      </c>
      <c r="E5996" s="1" t="s">
        <v>10</v>
      </c>
      <c r="F5996" s="1" t="str">
        <f>"10.107.129.99"</f>
        <v>10.107.129.99</v>
      </c>
      <c r="G5996" s="1" t="str">
        <f>"0230C511"</f>
        <v>0230C511</v>
      </c>
      <c r="H5996" s="1" t="str">
        <f>"신창간 106R6"</f>
        <v>신창간 106R6</v>
      </c>
      <c r="I5996" s="1" t="s">
        <v>8</v>
      </c>
      <c r="J5996" s="1" t="str">
        <f>"67/67"</f>
        <v>67/67</v>
      </c>
      <c r="K5996" s="1" t="str">
        <f t="shared" ref="K5996:K6009" si="303">"2026-07-29 13:18:01"</f>
        <v>2026-07-29 13:18:01</v>
      </c>
      <c r="L5996" s="1" t="str">
        <f>"2014-12-20 11:42:55"</f>
        <v>2014-12-20 11:42:55</v>
      </c>
      <c r="M5996" s="1" t="s">
        <v>45</v>
      </c>
      <c r="N5996" s="1" t="s">
        <v>38</v>
      </c>
      <c r="O5996" s="1" t="s">
        <v>46</v>
      </c>
    </row>
    <row r="5997" spans="2:15" x14ac:dyDescent="0.3">
      <c r="B5997" s="1" t="s">
        <v>22</v>
      </c>
      <c r="C5997" s="1" t="str">
        <f>"1차"</f>
        <v>1차</v>
      </c>
      <c r="D5997" s="1" t="str">
        <f>"0230C52100"</f>
        <v>0230C52100</v>
      </c>
      <c r="E5997" s="1" t="s">
        <v>10</v>
      </c>
      <c r="F5997" s="1" t="str">
        <f>"10.107.249.134"</f>
        <v>10.107.249.134</v>
      </c>
      <c r="G5997" s="1" t="str">
        <f>"0230C521"</f>
        <v>0230C521</v>
      </c>
      <c r="H5997" s="1" t="str">
        <f>"신창간 99"</f>
        <v>신창간 99</v>
      </c>
      <c r="I5997" s="1" t="s">
        <v>8</v>
      </c>
      <c r="J5997" s="1" t="str">
        <f>"56/56"</f>
        <v>56/56</v>
      </c>
      <c r="K5997" s="1" t="str">
        <f t="shared" si="303"/>
        <v>2026-07-29 13:18:01</v>
      </c>
      <c r="L5997" s="1" t="str">
        <f>"2014-12-19 09:28:23"</f>
        <v>2014-12-19 09:28:23</v>
      </c>
      <c r="M5997" s="1" t="s">
        <v>45</v>
      </c>
      <c r="N5997" s="1" t="s">
        <v>38</v>
      </c>
      <c r="O5997" s="1" t="s">
        <v>46</v>
      </c>
    </row>
    <row r="5998" spans="2:15" x14ac:dyDescent="0.3">
      <c r="B5998" s="1" t="s">
        <v>22</v>
      </c>
      <c r="C5998" s="1" t="str">
        <f>"3차"</f>
        <v>3차</v>
      </c>
      <c r="D5998" s="1" t="str">
        <f>"0230C52339"</f>
        <v>0230C52339</v>
      </c>
      <c r="E5998" s="1" t="s">
        <v>10</v>
      </c>
      <c r="F5998" s="1" t="str">
        <f>"10.10.19.226"</f>
        <v>10.10.19.226</v>
      </c>
      <c r="G5998" s="1" t="str">
        <f>"0230C523"</f>
        <v>0230C523</v>
      </c>
      <c r="H5998" s="1" t="str">
        <f>"신창간 101"</f>
        <v>신창간 101</v>
      </c>
      <c r="I5998" s="1" t="s">
        <v>8</v>
      </c>
      <c r="J5998" s="1" t="str">
        <f>"24/24"</f>
        <v>24/24</v>
      </c>
      <c r="K5998" s="1" t="str">
        <f t="shared" si="303"/>
        <v>2026-07-29 13:18:01</v>
      </c>
      <c r="L5998" s="1" t="str">
        <f>"2018-05-11 16:12:15"</f>
        <v>2018-05-11 16:12:15</v>
      </c>
      <c r="M5998" s="1" t="s">
        <v>1</v>
      </c>
      <c r="N5998" s="1" t="s">
        <v>38</v>
      </c>
      <c r="O5998" s="1" t="s">
        <v>46</v>
      </c>
    </row>
    <row r="5999" spans="2:15" x14ac:dyDescent="0.3">
      <c r="B5999" s="1" t="s">
        <v>22</v>
      </c>
      <c r="C5999" s="1" t="str">
        <f>"1차"</f>
        <v>1차</v>
      </c>
      <c r="D5999" s="1" t="str">
        <f>"0230C53100"</f>
        <v>0230C53100</v>
      </c>
      <c r="E5999" s="1" t="s">
        <v>10</v>
      </c>
      <c r="F5999" s="1" t="str">
        <f>"10.107.249.6"</f>
        <v>10.107.249.6</v>
      </c>
      <c r="G5999" s="1" t="str">
        <f>"0230C531"</f>
        <v>0230C531</v>
      </c>
      <c r="H5999" s="1" t="str">
        <f>"신창간 85L6R3"</f>
        <v>신창간 85L6R3</v>
      </c>
      <c r="I5999" s="1" t="s">
        <v>8</v>
      </c>
      <c r="J5999" s="1" t="str">
        <f>"51/51"</f>
        <v>51/51</v>
      </c>
      <c r="K5999" s="1" t="str">
        <f t="shared" si="303"/>
        <v>2026-07-29 13:18:01</v>
      </c>
      <c r="L5999" s="1" t="str">
        <f>"2014-12-19 10:43:28"</f>
        <v>2014-12-19 10:43:28</v>
      </c>
      <c r="M5999" s="1" t="s">
        <v>45</v>
      </c>
      <c r="N5999" s="1" t="s">
        <v>38</v>
      </c>
      <c r="O5999" s="1" t="s">
        <v>46</v>
      </c>
    </row>
    <row r="6000" spans="2:15" x14ac:dyDescent="0.3">
      <c r="B6000" s="1" t="s">
        <v>22</v>
      </c>
      <c r="C6000" s="1" t="str">
        <f>"3차"</f>
        <v>3차</v>
      </c>
      <c r="D6000" s="1" t="str">
        <f>"0230C54130"</f>
        <v>0230C54130</v>
      </c>
      <c r="E6000" s="1" t="s">
        <v>10</v>
      </c>
      <c r="F6000" s="1" t="str">
        <f>"10.10.24.122"</f>
        <v>10.10.24.122</v>
      </c>
      <c r="G6000" s="1" t="str">
        <f>"0230C541"</f>
        <v>0230C541</v>
      </c>
      <c r="H6000" s="1" t="str">
        <f>"신창간 85L6R1"</f>
        <v>신창간 85L6R1</v>
      </c>
      <c r="I6000" s="1" t="s">
        <v>8</v>
      </c>
      <c r="J6000" s="1" t="str">
        <f>"63/63"</f>
        <v>63/63</v>
      </c>
      <c r="K6000" s="1" t="str">
        <f t="shared" si="303"/>
        <v>2026-07-29 13:18:01</v>
      </c>
      <c r="L6000" s="1" t="str">
        <f>"2018-01-15 13:31:40"</f>
        <v>2018-01-15 13:31:40</v>
      </c>
      <c r="M6000" s="1" t="s">
        <v>1</v>
      </c>
      <c r="N6000" s="1" t="s">
        <v>38</v>
      </c>
      <c r="O6000" s="1" t="s">
        <v>46</v>
      </c>
    </row>
    <row r="6001" spans="2:15" x14ac:dyDescent="0.3">
      <c r="B6001" s="1" t="s">
        <v>22</v>
      </c>
      <c r="C6001" s="1" t="str">
        <f>"3차"</f>
        <v>3차</v>
      </c>
      <c r="D6001" s="1" t="str">
        <f>"0230C54231"</f>
        <v>0230C54231</v>
      </c>
      <c r="E6001" s="1" t="s">
        <v>10</v>
      </c>
      <c r="F6001" s="1" t="str">
        <f>"10.10.24.123"</f>
        <v>10.10.24.123</v>
      </c>
      <c r="G6001" s="1" t="str">
        <f>"0230C542"</f>
        <v>0230C542</v>
      </c>
      <c r="H6001" s="1" t="str">
        <f>"신창간 85L6R2"</f>
        <v>신창간 85L6R2</v>
      </c>
      <c r="I6001" s="1" t="s">
        <v>8</v>
      </c>
      <c r="J6001" s="1" t="str">
        <f>"34/34"</f>
        <v>34/34</v>
      </c>
      <c r="K6001" s="1" t="str">
        <f t="shared" si="303"/>
        <v>2026-07-29 13:18:01</v>
      </c>
      <c r="L6001" s="1" t="str">
        <f>"2018-01-21 12:00:12"</f>
        <v>2018-01-21 12:00:12</v>
      </c>
      <c r="M6001" s="1" t="s">
        <v>1</v>
      </c>
      <c r="N6001" s="1" t="s">
        <v>38</v>
      </c>
      <c r="O6001" s="1" t="s">
        <v>46</v>
      </c>
    </row>
    <row r="6002" spans="2:15" x14ac:dyDescent="0.3">
      <c r="B6002" s="1" t="s">
        <v>22</v>
      </c>
      <c r="C6002" s="1" t="str">
        <f>"4차"</f>
        <v>4차</v>
      </c>
      <c r="D6002" s="1" t="str">
        <f>"0230C54332"</f>
        <v>0230C54332</v>
      </c>
      <c r="E6002" s="1" t="s">
        <v>10</v>
      </c>
      <c r="F6002" s="1" t="str">
        <f>"10.10.23.172"</f>
        <v>10.10.23.172</v>
      </c>
      <c r="G6002" s="1" t="str">
        <f>"0230C543"</f>
        <v>0230C543</v>
      </c>
      <c r="H6002" s="1" t="str">
        <f>"신창간 104L2L3"</f>
        <v>신창간 104L2L3</v>
      </c>
      <c r="I6002" s="1" t="s">
        <v>8</v>
      </c>
      <c r="J6002" s="1" t="str">
        <f>"59/59"</f>
        <v>59/59</v>
      </c>
      <c r="K6002" s="1" t="str">
        <f t="shared" si="303"/>
        <v>2026-07-29 13:18:01</v>
      </c>
      <c r="L6002" s="1" t="str">
        <f>"2018-01-21 11:38:41"</f>
        <v>2018-01-21 11:38:41</v>
      </c>
      <c r="M6002" s="1" t="s">
        <v>1</v>
      </c>
      <c r="N6002" s="1" t="s">
        <v>38</v>
      </c>
      <c r="O6002" s="1" t="s">
        <v>46</v>
      </c>
    </row>
    <row r="6003" spans="2:15" x14ac:dyDescent="0.3">
      <c r="B6003" s="1" t="s">
        <v>22</v>
      </c>
      <c r="C6003" s="1" t="str">
        <f>"3차"</f>
        <v>3차</v>
      </c>
      <c r="D6003" s="1" t="str">
        <f>"0230C55131"</f>
        <v>0230C55131</v>
      </c>
      <c r="E6003" s="1" t="s">
        <v>10</v>
      </c>
      <c r="F6003" s="1" t="str">
        <f>"10.10.23.139"</f>
        <v>10.10.23.139</v>
      </c>
      <c r="G6003" s="1" t="str">
        <f>"0230C551"</f>
        <v>0230C551</v>
      </c>
      <c r="H6003" s="1" t="str">
        <f>"신창간 85L7"</f>
        <v>신창간 85L7</v>
      </c>
      <c r="I6003" s="1" t="s">
        <v>8</v>
      </c>
      <c r="J6003" s="1" t="str">
        <f>"78/78"</f>
        <v>78/78</v>
      </c>
      <c r="K6003" s="1" t="str">
        <f t="shared" si="303"/>
        <v>2026-07-29 13:18:01</v>
      </c>
      <c r="L6003" s="1" t="str">
        <f>"2018-01-21 09:58:26"</f>
        <v>2018-01-21 09:58:26</v>
      </c>
      <c r="M6003" s="1" t="s">
        <v>1</v>
      </c>
      <c r="N6003" s="1" t="s">
        <v>38</v>
      </c>
      <c r="O6003" s="1" t="s">
        <v>46</v>
      </c>
    </row>
    <row r="6004" spans="2:15" x14ac:dyDescent="0.3">
      <c r="B6004" s="1" t="s">
        <v>22</v>
      </c>
      <c r="C6004" s="1" t="str">
        <f>"3차"</f>
        <v>3차</v>
      </c>
      <c r="D6004" s="1" t="str">
        <f>"0230C57130"</f>
        <v>0230C57130</v>
      </c>
      <c r="E6004" s="1" t="s">
        <v>10</v>
      </c>
      <c r="F6004" s="1" t="str">
        <f>"10.10.24.146"</f>
        <v>10.10.24.146</v>
      </c>
      <c r="G6004" s="1" t="str">
        <f>"0230C571"</f>
        <v>0230C571</v>
      </c>
      <c r="H6004" s="1" t="str">
        <f>"신창간 82L6"</f>
        <v>신창간 82L6</v>
      </c>
      <c r="I6004" s="1" t="s">
        <v>8</v>
      </c>
      <c r="J6004" s="1" t="str">
        <f>"95/95"</f>
        <v>95/95</v>
      </c>
      <c r="K6004" s="1" t="str">
        <f t="shared" si="303"/>
        <v>2026-07-29 13:18:01</v>
      </c>
      <c r="L6004" s="1" t="str">
        <f>"2018-02-05 14:02:11"</f>
        <v>2018-02-05 14:02:11</v>
      </c>
      <c r="M6004" s="1" t="s">
        <v>1</v>
      </c>
      <c r="N6004" s="1" t="s">
        <v>38</v>
      </c>
      <c r="O6004" s="1" t="s">
        <v>46</v>
      </c>
    </row>
    <row r="6005" spans="2:15" x14ac:dyDescent="0.3">
      <c r="B6005" s="1" t="s">
        <v>22</v>
      </c>
      <c r="C6005" s="1" t="str">
        <f>"4차"</f>
        <v>4차</v>
      </c>
      <c r="D6005" s="1" t="str">
        <f>"0230C58530"</f>
        <v>0230C58530</v>
      </c>
      <c r="E6005" s="1" t="s">
        <v>10</v>
      </c>
      <c r="F6005" s="1" t="str">
        <f>"10.10.23.122"</f>
        <v>10.10.23.122</v>
      </c>
      <c r="G6005" s="1" t="str">
        <f>"0230C585"</f>
        <v>0230C585</v>
      </c>
      <c r="H6005" s="1" t="str">
        <f>"신창간 74"</f>
        <v>신창간 74</v>
      </c>
      <c r="I6005" s="1" t="s">
        <v>8</v>
      </c>
      <c r="J6005" s="1" t="str">
        <f>"75/75"</f>
        <v>75/75</v>
      </c>
      <c r="K6005" s="1" t="str">
        <f t="shared" si="303"/>
        <v>2026-07-29 13:18:01</v>
      </c>
      <c r="L6005" s="1" t="str">
        <f>"2021-07-27 13:32:56"</f>
        <v>2021-07-27 13:32:56</v>
      </c>
      <c r="M6005" s="1" t="s">
        <v>1</v>
      </c>
      <c r="N6005" s="1" t="s">
        <v>38</v>
      </c>
      <c r="O6005" s="1" t="s">
        <v>46</v>
      </c>
    </row>
    <row r="6006" spans="2:15" x14ac:dyDescent="0.3">
      <c r="B6006" s="1" t="s">
        <v>22</v>
      </c>
      <c r="C6006" s="1" t="str">
        <f>"1차"</f>
        <v>1차</v>
      </c>
      <c r="D6006" s="1" t="str">
        <f>"0230C63100"</f>
        <v>0230C63100</v>
      </c>
      <c r="E6006" s="1" t="s">
        <v>10</v>
      </c>
      <c r="F6006" s="1" t="str">
        <f>"10.107.128.67"</f>
        <v>10.107.128.67</v>
      </c>
      <c r="G6006" s="1" t="str">
        <f>"0230C631"</f>
        <v>0230C631</v>
      </c>
      <c r="H6006" s="1" t="str">
        <f>"신창간 102"</f>
        <v>신창간 102</v>
      </c>
      <c r="I6006" s="1" t="s">
        <v>8</v>
      </c>
      <c r="J6006" s="1" t="str">
        <f>"71/71"</f>
        <v>71/71</v>
      </c>
      <c r="K6006" s="1" t="str">
        <f t="shared" si="303"/>
        <v>2026-07-29 13:18:01</v>
      </c>
      <c r="L6006" s="1" t="str">
        <f>"2014-12-17 16:42:49"</f>
        <v>2014-12-17 16:42:49</v>
      </c>
      <c r="M6006" s="1" t="s">
        <v>45</v>
      </c>
      <c r="N6006" s="1" t="s">
        <v>38</v>
      </c>
      <c r="O6006" s="1" t="s">
        <v>46</v>
      </c>
    </row>
    <row r="6007" spans="2:15" x14ac:dyDescent="0.3">
      <c r="B6007" s="1" t="s">
        <v>22</v>
      </c>
      <c r="C6007" s="1" t="str">
        <f>"3차"</f>
        <v>3차</v>
      </c>
      <c r="D6007" s="1" t="str">
        <f>"0230C64230"</f>
        <v>0230C64230</v>
      </c>
      <c r="E6007" s="1" t="s">
        <v>10</v>
      </c>
      <c r="F6007" s="1" t="str">
        <f>"10.10.23.170"</f>
        <v>10.10.23.170</v>
      </c>
      <c r="G6007" s="1" t="str">
        <f>"0230C642"</f>
        <v>0230C642</v>
      </c>
      <c r="H6007" s="1" t="str">
        <f>"신창간 104L2L2"</f>
        <v>신창간 104L2L2</v>
      </c>
      <c r="I6007" s="1" t="s">
        <v>8</v>
      </c>
      <c r="J6007" s="1" t="str">
        <f>"48/51"</f>
        <v>48/51</v>
      </c>
      <c r="K6007" s="1" t="str">
        <f t="shared" si="303"/>
        <v>2026-07-29 13:18:01</v>
      </c>
      <c r="L6007" s="1" t="str">
        <f>"2018-01-08 16:25:14"</f>
        <v>2018-01-08 16:25:14</v>
      </c>
      <c r="M6007" s="1" t="s">
        <v>1</v>
      </c>
      <c r="N6007" s="1" t="s">
        <v>38</v>
      </c>
      <c r="O6007" s="1" t="s">
        <v>46</v>
      </c>
    </row>
    <row r="6008" spans="2:15" x14ac:dyDescent="0.3">
      <c r="B6008" s="1" t="s">
        <v>22</v>
      </c>
      <c r="C6008" s="1" t="str">
        <f>"3차"</f>
        <v>3차</v>
      </c>
      <c r="D6008" s="1" t="str">
        <f>"0230C65230"</f>
        <v>0230C65230</v>
      </c>
      <c r="E6008" s="1" t="s">
        <v>10</v>
      </c>
      <c r="F6008" s="1" t="str">
        <f>"10.10.23.138"</f>
        <v>10.10.23.138</v>
      </c>
      <c r="G6008" s="1" t="str">
        <f>"0230C652"</f>
        <v>0230C652</v>
      </c>
      <c r="H6008" s="1" t="str">
        <f>"신창간 85L8"</f>
        <v>신창간 85L8</v>
      </c>
      <c r="I6008" s="1" t="s">
        <v>8</v>
      </c>
      <c r="J6008" s="1" t="str">
        <f>"52/53"</f>
        <v>52/53</v>
      </c>
      <c r="K6008" s="1" t="str">
        <f t="shared" si="303"/>
        <v>2026-07-29 13:18:01</v>
      </c>
      <c r="L6008" s="1" t="str">
        <f>"2018-01-15 14:11:55"</f>
        <v>2018-01-15 14:11:55</v>
      </c>
      <c r="M6008" s="1" t="s">
        <v>1</v>
      </c>
      <c r="N6008" s="1" t="s">
        <v>38</v>
      </c>
      <c r="O6008" s="1" t="s">
        <v>46</v>
      </c>
    </row>
    <row r="6009" spans="2:15" x14ac:dyDescent="0.3">
      <c r="B6009" s="1" t="s">
        <v>22</v>
      </c>
      <c r="C6009" s="1" t="str">
        <f>"4차"</f>
        <v>4차</v>
      </c>
      <c r="D6009" s="1" t="str">
        <f>"0230C66132"</f>
        <v>0230C66132</v>
      </c>
      <c r="E6009" s="1" t="s">
        <v>10</v>
      </c>
      <c r="F6009" s="1" t="str">
        <f>"10.12.130.227"</f>
        <v>10.12.130.227</v>
      </c>
      <c r="G6009" s="1" t="str">
        <f>"0230C661"</f>
        <v>0230C661</v>
      </c>
      <c r="H6009" s="1" t="str">
        <f>"신창간 85L9"</f>
        <v>신창간 85L9</v>
      </c>
      <c r="I6009" s="1" t="s">
        <v>8</v>
      </c>
      <c r="J6009" s="1" t="str">
        <f>"68/69"</f>
        <v>68/69</v>
      </c>
      <c r="K6009" s="1" t="str">
        <f t="shared" si="303"/>
        <v>2026-07-29 13:18:01</v>
      </c>
      <c r="L6009" s="1" t="str">
        <f>"2018-01-21 10:09:46"</f>
        <v>2018-01-21 10:09:46</v>
      </c>
      <c r="M6009" s="1" t="s">
        <v>0</v>
      </c>
      <c r="N6009" s="1" t="s">
        <v>38</v>
      </c>
      <c r="O6009" s="1" t="s">
        <v>46</v>
      </c>
    </row>
    <row r="6010" spans="2:15" x14ac:dyDescent="0.3">
      <c r="B6010" s="1" t="s">
        <v>22</v>
      </c>
      <c r="C6010" s="1" t="str">
        <f>"3차"</f>
        <v>3차</v>
      </c>
      <c r="D6010" s="1" t="str">
        <f>"0230C66231"</f>
        <v>0230C66231</v>
      </c>
      <c r="E6010" s="1" t="s">
        <v>10</v>
      </c>
      <c r="F6010" s="1" t="str">
        <f>"10.12.133.6"</f>
        <v>10.12.133.6</v>
      </c>
      <c r="G6010" s="1" t="str">
        <f>"0230C662"</f>
        <v>0230C662</v>
      </c>
      <c r="H6010" s="1" t="str">
        <f>"신창간 85L11"</f>
        <v>신창간 85L11</v>
      </c>
      <c r="I6010" s="1" t="s">
        <v>8</v>
      </c>
      <c r="J6010" s="1" t="str">
        <f>"50/50"</f>
        <v>50/50</v>
      </c>
      <c r="K6010" s="1" t="str">
        <f>"2026-07-29 13:18:02"</f>
        <v>2026-07-29 13:18:02</v>
      </c>
      <c r="L6010" s="1" t="str">
        <f>"2018-05-11 16:17:45"</f>
        <v>2018-05-11 16:17:45</v>
      </c>
      <c r="M6010" s="1" t="s">
        <v>0</v>
      </c>
      <c r="N6010" s="1" t="s">
        <v>38</v>
      </c>
      <c r="O6010" s="1" t="s">
        <v>46</v>
      </c>
    </row>
    <row r="6011" spans="2:15" x14ac:dyDescent="0.3">
      <c r="B6011" s="1" t="s">
        <v>22</v>
      </c>
      <c r="C6011" s="1" t="str">
        <f>"4차"</f>
        <v>4차</v>
      </c>
      <c r="D6011" s="1" t="str">
        <f>"0230C67131"</f>
        <v>0230C67131</v>
      </c>
      <c r="E6011" s="1" t="s">
        <v>10</v>
      </c>
      <c r="F6011" s="1" t="str">
        <f>"10.10.24.147"</f>
        <v>10.10.24.147</v>
      </c>
      <c r="G6011" s="1" t="str">
        <f>"0230C671"</f>
        <v>0230C671</v>
      </c>
      <c r="H6011" s="1" t="str">
        <f>"신창간 82L7"</f>
        <v>신창간 82L7</v>
      </c>
      <c r="I6011" s="1" t="s">
        <v>8</v>
      </c>
      <c r="J6011" s="1" t="str">
        <f>"40/40"</f>
        <v>40/40</v>
      </c>
      <c r="K6011" s="1" t="str">
        <f>"2026-07-29 13:18:03"</f>
        <v>2026-07-29 13:18:03</v>
      </c>
      <c r="L6011" s="1" t="str">
        <f>"2018-02-05 13:56:26"</f>
        <v>2018-02-05 13:56:26</v>
      </c>
      <c r="M6011" s="1" t="s">
        <v>1</v>
      </c>
      <c r="N6011" s="1" t="s">
        <v>38</v>
      </c>
      <c r="O6011" s="1" t="s">
        <v>46</v>
      </c>
    </row>
    <row r="6012" spans="2:15" x14ac:dyDescent="0.3">
      <c r="B6012" s="1" t="s">
        <v>22</v>
      </c>
      <c r="C6012" s="1" t="str">
        <f>"3차"</f>
        <v>3차</v>
      </c>
      <c r="D6012" s="1" t="str">
        <f>"0230C68330"</f>
        <v>0230C68330</v>
      </c>
      <c r="E6012" s="1" t="s">
        <v>10</v>
      </c>
      <c r="F6012" s="1" t="str">
        <f>"10.10.23.98"</f>
        <v>10.10.23.98</v>
      </c>
      <c r="G6012" s="1" t="str">
        <f>"0230C683"</f>
        <v>0230C683</v>
      </c>
      <c r="H6012" s="1" t="str">
        <f>"신창간 72"</f>
        <v>신창간 72</v>
      </c>
      <c r="I6012" s="1" t="s">
        <v>8</v>
      </c>
      <c r="J6012" s="1" t="str">
        <f>"28/28"</f>
        <v>28/28</v>
      </c>
      <c r="K6012" s="1" t="str">
        <f>"2026-07-29 13:18:03"</f>
        <v>2026-07-29 13:18:03</v>
      </c>
      <c r="L6012" s="1" t="str">
        <f>"2021-07-27 13:39:43"</f>
        <v>2021-07-27 13:39:43</v>
      </c>
      <c r="M6012" s="1" t="s">
        <v>1</v>
      </c>
      <c r="N6012" s="1" t="s">
        <v>38</v>
      </c>
      <c r="O6012" s="1" t="s">
        <v>46</v>
      </c>
    </row>
    <row r="6013" spans="2:15" x14ac:dyDescent="0.3">
      <c r="B6013" s="1" t="s">
        <v>22</v>
      </c>
      <c r="C6013" s="1" t="str">
        <f>"1차"</f>
        <v>1차</v>
      </c>
      <c r="D6013" s="1" t="str">
        <f>"0230C70101"</f>
        <v>0230C70101</v>
      </c>
      <c r="E6013" s="1" t="s">
        <v>10</v>
      </c>
      <c r="F6013" s="1" t="str">
        <f>"10.107.128.161"</f>
        <v>10.107.128.161</v>
      </c>
      <c r="G6013" s="1" t="str">
        <f>"0230C701"</f>
        <v>0230C701</v>
      </c>
      <c r="H6013" s="1" t="str">
        <f>"신창간 109"</f>
        <v>신창간 109</v>
      </c>
      <c r="I6013" s="1" t="s">
        <v>8</v>
      </c>
      <c r="J6013" s="1" t="str">
        <f>"19/20"</f>
        <v>19/20</v>
      </c>
      <c r="K6013" s="1" t="str">
        <f>"2026-07-29 13:18:01"</f>
        <v>2026-07-29 13:18:01</v>
      </c>
      <c r="L6013" s="1" t="str">
        <f>"2014-12-20 11:12:56"</f>
        <v>2014-12-20 11:12:56</v>
      </c>
      <c r="M6013" s="1" t="s">
        <v>45</v>
      </c>
      <c r="N6013" s="1" t="s">
        <v>38</v>
      </c>
      <c r="O6013" s="1" t="s">
        <v>46</v>
      </c>
    </row>
    <row r="6014" spans="2:15" x14ac:dyDescent="0.3">
      <c r="B6014" s="1" t="s">
        <v>22</v>
      </c>
      <c r="C6014" s="1" t="str">
        <f>"6차"</f>
        <v>6차</v>
      </c>
      <c r="D6014" s="1" t="str">
        <f>"0230C7226S"</f>
        <v>0230C7226S</v>
      </c>
      <c r="E6014" s="1" t="s">
        <v>10</v>
      </c>
      <c r="F6014" s="1" t="str">
        <f>"fde1:103:4:9406:0:0:0:2"</f>
        <v>fde1:103:4:9406:0:0:0:2</v>
      </c>
      <c r="G6014" s="1" t="str">
        <f>"0230C722"</f>
        <v>0230C722</v>
      </c>
      <c r="H6014" s="1" t="str">
        <f>"신창간 106R2"</f>
        <v>신창간 106R2</v>
      </c>
      <c r="I6014" s="1" t="s">
        <v>15</v>
      </c>
      <c r="J6014" s="1" t="str">
        <f>"28/28"</f>
        <v>28/28</v>
      </c>
      <c r="K6014" s="1" t="str">
        <f>"2026-07-29 14:20:03"</f>
        <v>2026-07-29 14:20:03</v>
      </c>
      <c r="L6014" s="1" t="str">
        <f>"2025-01-22 14:33:20"</f>
        <v>2025-01-22 14:33:20</v>
      </c>
      <c r="M6014" s="1" t="s">
        <v>4</v>
      </c>
      <c r="N6014" s="1" t="s">
        <v>38</v>
      </c>
      <c r="O6014" s="1" t="s">
        <v>46</v>
      </c>
    </row>
    <row r="6015" spans="2:15" x14ac:dyDescent="0.3">
      <c r="B6015" s="1" t="s">
        <v>22</v>
      </c>
      <c r="C6015" s="1" t="str">
        <f>"1차"</f>
        <v>1차</v>
      </c>
      <c r="D6015" s="1" t="str">
        <f>"0230C72301"</f>
        <v>0230C72301</v>
      </c>
      <c r="E6015" s="1" t="s">
        <v>10</v>
      </c>
      <c r="F6015" s="1" t="str">
        <f>"10.14.11.40"</f>
        <v>10.14.11.40</v>
      </c>
      <c r="G6015" s="1" t="str">
        <f>"0230C723"</f>
        <v>0230C723</v>
      </c>
      <c r="H6015" s="1" t="str">
        <f>"신창간 106"</f>
        <v>신창간 106</v>
      </c>
      <c r="I6015" s="1" t="s">
        <v>8</v>
      </c>
      <c r="J6015" s="1" t="str">
        <f>"31/31"</f>
        <v>31/31</v>
      </c>
      <c r="K6015" s="1" t="str">
        <f>"2026-07-29 13:18:01"</f>
        <v>2026-07-29 13:18:01</v>
      </c>
      <c r="L6015" s="1" t="str">
        <f>"2014-12-20 10:27:47"</f>
        <v>2014-12-20 10:27:47</v>
      </c>
      <c r="M6015" s="1" t="s">
        <v>3</v>
      </c>
      <c r="N6015" s="1" t="s">
        <v>38</v>
      </c>
      <c r="O6015" s="1" t="s">
        <v>46</v>
      </c>
    </row>
    <row r="6016" spans="2:15" x14ac:dyDescent="0.3">
      <c r="B6016" s="1" t="s">
        <v>22</v>
      </c>
      <c r="C6016" s="1" t="str">
        <f>"3차"</f>
        <v>3차</v>
      </c>
      <c r="D6016" s="1" t="str">
        <f>"0230C73539"</f>
        <v>0230C73539</v>
      </c>
      <c r="E6016" s="1" t="s">
        <v>10</v>
      </c>
      <c r="F6016" s="1" t="str">
        <f>"10.12.128.47"</f>
        <v>10.12.128.47</v>
      </c>
      <c r="G6016" s="1" t="str">
        <f>"0230C735"</f>
        <v>0230C735</v>
      </c>
      <c r="H6016" s="1" t="str">
        <f>"신창간 103"</f>
        <v>신창간 103</v>
      </c>
      <c r="I6016" s="1" t="s">
        <v>8</v>
      </c>
      <c r="J6016" s="1" t="str">
        <f>"58/58"</f>
        <v>58/58</v>
      </c>
      <c r="K6016" s="1" t="str">
        <f>"2026-07-29 13:18:03"</f>
        <v>2026-07-29 13:18:03</v>
      </c>
      <c r="L6016" s="1" t="str">
        <f>"2024-08-08 16:49:22"</f>
        <v>2024-08-08 16:49:22</v>
      </c>
      <c r="M6016" s="1" t="s">
        <v>0</v>
      </c>
      <c r="N6016" s="1" t="s">
        <v>38</v>
      </c>
      <c r="O6016" s="1" t="s">
        <v>46</v>
      </c>
    </row>
    <row r="6017" spans="2:15" x14ac:dyDescent="0.3">
      <c r="B6017" s="1" t="s">
        <v>22</v>
      </c>
      <c r="C6017" s="1" t="str">
        <f>"3차"</f>
        <v>3차</v>
      </c>
      <c r="D6017" s="1" t="str">
        <f>"0230C74131"</f>
        <v>0230C74131</v>
      </c>
      <c r="E6017" s="1" t="s">
        <v>10</v>
      </c>
      <c r="F6017" s="1" t="str">
        <f>"10.10.23.171"</f>
        <v>10.10.23.171</v>
      </c>
      <c r="G6017" s="1" t="str">
        <f>"0230C741"</f>
        <v>0230C741</v>
      </c>
      <c r="H6017" s="1" t="str">
        <f>"신창간 104L2L1"</f>
        <v>신창간 104L2L1</v>
      </c>
      <c r="I6017" s="1" t="s">
        <v>8</v>
      </c>
      <c r="J6017" s="1" t="str">
        <f>"50/50"</f>
        <v>50/50</v>
      </c>
      <c r="K6017" s="1" t="str">
        <f>"2026-07-29 13:18:02"</f>
        <v>2026-07-29 13:18:02</v>
      </c>
      <c r="L6017" s="1" t="str">
        <f>"2018-01-21 11:27:42"</f>
        <v>2018-01-21 11:27:42</v>
      </c>
      <c r="M6017" s="1" t="s">
        <v>1</v>
      </c>
      <c r="N6017" s="1" t="s">
        <v>38</v>
      </c>
      <c r="O6017" s="1" t="s">
        <v>46</v>
      </c>
    </row>
    <row r="6018" spans="2:15" x14ac:dyDescent="0.3">
      <c r="B6018" s="1" t="s">
        <v>22</v>
      </c>
      <c r="C6018" s="1" t="str">
        <f>"3차"</f>
        <v>3차</v>
      </c>
      <c r="D6018" s="1" t="str">
        <f>"0230C74339"</f>
        <v>0230C74339</v>
      </c>
      <c r="E6018" s="1" t="s">
        <v>10</v>
      </c>
      <c r="F6018" s="1" t="str">
        <f>"10.10.9.250"</f>
        <v>10.10.9.250</v>
      </c>
      <c r="G6018" s="1" t="str">
        <f>"0230C743"</f>
        <v>0230C743</v>
      </c>
      <c r="H6018" s="1" t="str">
        <f>"신창간 104L2"</f>
        <v>신창간 104L2</v>
      </c>
      <c r="I6018" s="1" t="s">
        <v>8</v>
      </c>
      <c r="J6018" s="1" t="str">
        <f>"26/26"</f>
        <v>26/26</v>
      </c>
      <c r="K6018" s="1" t="str">
        <f>"2026-07-29 13:18:02"</f>
        <v>2026-07-29 13:18:02</v>
      </c>
      <c r="L6018" s="1" t="str">
        <f>"2018-02-02 14:45:49"</f>
        <v>2018-02-02 14:45:49</v>
      </c>
      <c r="M6018" s="1" t="s">
        <v>1</v>
      </c>
      <c r="N6018" s="1" t="s">
        <v>38</v>
      </c>
      <c r="O6018" s="1" t="s">
        <v>46</v>
      </c>
    </row>
    <row r="6019" spans="2:15" x14ac:dyDescent="0.3">
      <c r="B6019" s="1" t="s">
        <v>22</v>
      </c>
      <c r="C6019" s="1" t="str">
        <f>"3차"</f>
        <v>3차</v>
      </c>
      <c r="D6019" s="1" t="str">
        <f>"0230C76330"</f>
        <v>0230C76330</v>
      </c>
      <c r="E6019" s="1" t="s">
        <v>10</v>
      </c>
      <c r="F6019" s="1" t="str">
        <f>"10.10.23.210"</f>
        <v>10.10.23.210</v>
      </c>
      <c r="G6019" s="1" t="str">
        <f>"0230C763"</f>
        <v>0230C763</v>
      </c>
      <c r="H6019" s="1" t="str">
        <f>"신창간 85L10"</f>
        <v>신창간 85L10</v>
      </c>
      <c r="I6019" s="1" t="s">
        <v>8</v>
      </c>
      <c r="J6019" s="1" t="str">
        <f>"28/28"</f>
        <v>28/28</v>
      </c>
      <c r="K6019" s="1" t="str">
        <f>"2026-07-29 13:18:01"</f>
        <v>2026-07-29 13:18:01</v>
      </c>
      <c r="L6019" s="1" t="str">
        <f>"2018-01-15 15:17:11"</f>
        <v>2018-01-15 15:17:11</v>
      </c>
      <c r="M6019" s="1" t="s">
        <v>1</v>
      </c>
      <c r="N6019" s="1" t="s">
        <v>38</v>
      </c>
      <c r="O6019" s="1" t="s">
        <v>46</v>
      </c>
    </row>
    <row r="6020" spans="2:15" x14ac:dyDescent="0.3">
      <c r="B6020" s="1" t="s">
        <v>22</v>
      </c>
      <c r="C6020" s="1" t="str">
        <f>"3차"</f>
        <v>3차</v>
      </c>
      <c r="D6020" s="1" t="str">
        <f>"0230C76439"</f>
        <v>0230C76439</v>
      </c>
      <c r="E6020" s="1" t="s">
        <v>10</v>
      </c>
      <c r="F6020" s="1" t="str">
        <f>"10.12.128.83"</f>
        <v>10.12.128.83</v>
      </c>
      <c r="G6020" s="1" t="str">
        <f>"0230C764"</f>
        <v>0230C764</v>
      </c>
      <c r="H6020" s="1" t="str">
        <f>"신창간 82L9R1"</f>
        <v>신창간 82L9R1</v>
      </c>
      <c r="I6020" s="1" t="s">
        <v>8</v>
      </c>
      <c r="J6020" s="1" t="str">
        <f>"34/34"</f>
        <v>34/34</v>
      </c>
      <c r="K6020" s="1" t="str">
        <f>"2026-07-29 13:18:03"</f>
        <v>2026-07-29 13:18:03</v>
      </c>
      <c r="L6020" s="1" t="str">
        <f>"2018-06-05 11:01:01"</f>
        <v>2018-06-05 11:01:01</v>
      </c>
      <c r="M6020" s="1" t="s">
        <v>0</v>
      </c>
      <c r="N6020" s="1" t="s">
        <v>38</v>
      </c>
      <c r="O6020" s="1" t="s">
        <v>46</v>
      </c>
    </row>
    <row r="6021" spans="2:15" x14ac:dyDescent="0.3">
      <c r="B6021" s="1" t="s">
        <v>22</v>
      </c>
      <c r="C6021" s="1" t="str">
        <f>"4차"</f>
        <v>4차</v>
      </c>
      <c r="D6021" s="1" t="str">
        <f>"0230C77131"</f>
        <v>0230C77131</v>
      </c>
      <c r="E6021" s="1" t="s">
        <v>10</v>
      </c>
      <c r="F6021" s="1" t="str">
        <f>"10.10.24.179"</f>
        <v>10.10.24.179</v>
      </c>
      <c r="G6021" s="1" t="str">
        <f>"0230C771"</f>
        <v>0230C771</v>
      </c>
      <c r="H6021" s="1" t="str">
        <f>"신창간 82L8"</f>
        <v>신창간 82L8</v>
      </c>
      <c r="I6021" s="1" t="s">
        <v>8</v>
      </c>
      <c r="J6021" s="1" t="str">
        <f>"46/51"</f>
        <v>46/51</v>
      </c>
      <c r="K6021" s="1" t="str">
        <f>"2026-07-29 13:18:01"</f>
        <v>2026-07-29 13:18:01</v>
      </c>
      <c r="L6021" s="1" t="str">
        <f>"2018-03-16 14:42:28"</f>
        <v>2018-03-16 14:42:28</v>
      </c>
      <c r="M6021" s="1" t="s">
        <v>1</v>
      </c>
      <c r="N6021" s="1" t="s">
        <v>38</v>
      </c>
      <c r="O6021" s="1" t="s">
        <v>46</v>
      </c>
    </row>
    <row r="6022" spans="2:15" x14ac:dyDescent="0.3">
      <c r="B6022" s="1" t="s">
        <v>22</v>
      </c>
      <c r="C6022" s="1" t="str">
        <f>"3차"</f>
        <v>3차</v>
      </c>
      <c r="D6022" s="1" t="str">
        <f>"0230C77230"</f>
        <v>0230C77230</v>
      </c>
      <c r="E6022" s="1" t="s">
        <v>10</v>
      </c>
      <c r="F6022" s="1" t="str">
        <f>"10.10.24.178"</f>
        <v>10.10.24.178</v>
      </c>
      <c r="G6022" s="1" t="str">
        <f>"0230C772"</f>
        <v>0230C772</v>
      </c>
      <c r="H6022" s="1" t="str">
        <f>"신창간 82L9"</f>
        <v>신창간 82L9</v>
      </c>
      <c r="I6022" s="1" t="s">
        <v>8</v>
      </c>
      <c r="J6022" s="1" t="str">
        <f>"49/49"</f>
        <v>49/49</v>
      </c>
      <c r="K6022" s="1" t="str">
        <f>"2026-07-29 13:18:01"</f>
        <v>2026-07-29 13:18:01</v>
      </c>
      <c r="L6022" s="1" t="str">
        <f>"2018-01-15 11:29:25"</f>
        <v>2018-01-15 11:29:25</v>
      </c>
      <c r="M6022" s="1" t="s">
        <v>1</v>
      </c>
      <c r="N6022" s="1" t="s">
        <v>38</v>
      </c>
      <c r="O6022" s="1" t="s">
        <v>46</v>
      </c>
    </row>
    <row r="6023" spans="2:15" x14ac:dyDescent="0.3">
      <c r="B6023" s="1" t="s">
        <v>22</v>
      </c>
      <c r="C6023" s="1" t="str">
        <f>"4차"</f>
        <v>4차</v>
      </c>
      <c r="D6023" s="1" t="str">
        <f>"0230C79430"</f>
        <v>0230C79430</v>
      </c>
      <c r="E6023" s="1" t="s">
        <v>10</v>
      </c>
      <c r="F6023" s="1" t="str">
        <f>"10.10.23.90"</f>
        <v>10.10.23.90</v>
      </c>
      <c r="G6023" s="1" t="str">
        <f>"0230C794"</f>
        <v>0230C794</v>
      </c>
      <c r="H6023" s="1" t="str">
        <f>"신창간 70"</f>
        <v>신창간 70</v>
      </c>
      <c r="I6023" s="1" t="s">
        <v>8</v>
      </c>
      <c r="J6023" s="1" t="str">
        <f>"86/86"</f>
        <v>86/86</v>
      </c>
      <c r="K6023" s="1" t="str">
        <f>"2026-07-29 13:18:01"</f>
        <v>2026-07-29 13:18:01</v>
      </c>
      <c r="L6023" s="1" t="str">
        <f>"2018-01-11 16:20:12"</f>
        <v>2018-01-11 16:20:12</v>
      </c>
      <c r="M6023" s="1" t="s">
        <v>1</v>
      </c>
      <c r="N6023" s="1" t="s">
        <v>38</v>
      </c>
      <c r="O6023" s="1" t="s">
        <v>46</v>
      </c>
    </row>
    <row r="6024" spans="2:15" x14ac:dyDescent="0.3">
      <c r="B6024" s="1" t="s">
        <v>22</v>
      </c>
      <c r="C6024" s="1" t="str">
        <f>"1차"</f>
        <v>1차</v>
      </c>
      <c r="D6024" s="1" t="str">
        <f>"0230C80100"</f>
        <v>0230C80100</v>
      </c>
      <c r="E6024" s="1" t="s">
        <v>10</v>
      </c>
      <c r="F6024" s="1" t="str">
        <f>"10.107.128.160"</f>
        <v>10.107.128.160</v>
      </c>
      <c r="G6024" s="1" t="str">
        <f>"0230C801"</f>
        <v>0230C801</v>
      </c>
      <c r="H6024" s="1" t="str">
        <f>"신창간 109L1"</f>
        <v>신창간 109L1</v>
      </c>
      <c r="I6024" s="1" t="s">
        <v>8</v>
      </c>
      <c r="J6024" s="1" t="str">
        <f>"36/40"</f>
        <v>36/40</v>
      </c>
      <c r="K6024" s="1" t="str">
        <f>"2026-07-29 13:18:01"</f>
        <v>2026-07-29 13:18:01</v>
      </c>
      <c r="L6024" s="1" t="str">
        <f>"2014-12-20 11:13:33"</f>
        <v>2014-12-20 11:13:33</v>
      </c>
      <c r="M6024" s="1" t="s">
        <v>45</v>
      </c>
      <c r="N6024" s="1" t="s">
        <v>38</v>
      </c>
      <c r="O6024" s="1" t="s">
        <v>46</v>
      </c>
    </row>
    <row r="6025" spans="2:15" x14ac:dyDescent="0.3">
      <c r="B6025" s="1" t="s">
        <v>22</v>
      </c>
      <c r="C6025" s="1" t="str">
        <f>"1차"</f>
        <v>1차</v>
      </c>
      <c r="D6025" s="1" t="str">
        <f>"0230C82200"</f>
        <v>0230C82200</v>
      </c>
      <c r="E6025" s="1" t="s">
        <v>10</v>
      </c>
      <c r="F6025" s="1" t="str">
        <f>"10.107.129.52"</f>
        <v>10.107.129.52</v>
      </c>
      <c r="G6025" s="1" t="str">
        <f>"0230C822"</f>
        <v>0230C822</v>
      </c>
      <c r="H6025" s="1" t="str">
        <f>"신창간 109L5"</f>
        <v>신창간 109L5</v>
      </c>
      <c r="I6025" s="1" t="s">
        <v>8</v>
      </c>
      <c r="J6025" s="1" t="str">
        <f>"30/30"</f>
        <v>30/30</v>
      </c>
      <c r="K6025" s="1" t="str">
        <f>"2026-07-29 13:18:01"</f>
        <v>2026-07-29 13:18:01</v>
      </c>
      <c r="L6025" s="1" t="str">
        <f>"2014-12-20 11:27:46"</f>
        <v>2014-12-20 11:27:46</v>
      </c>
      <c r="M6025" s="1" t="s">
        <v>45</v>
      </c>
      <c r="N6025" s="1" t="s">
        <v>38</v>
      </c>
      <c r="O6025" s="1" t="s">
        <v>46</v>
      </c>
    </row>
    <row r="6026" spans="2:15" x14ac:dyDescent="0.3">
      <c r="B6026" s="1" t="s">
        <v>22</v>
      </c>
      <c r="C6026" s="1" t="str">
        <f>"1차"</f>
        <v>1차</v>
      </c>
      <c r="D6026" s="1" t="str">
        <f>"0230C83101"</f>
        <v>0230C83101</v>
      </c>
      <c r="E6026" s="1" t="s">
        <v>10</v>
      </c>
      <c r="F6026" s="1" t="str">
        <f>"10.12.131.213"</f>
        <v>10.12.131.213</v>
      </c>
      <c r="G6026" s="1" t="str">
        <f>"0230C831"</f>
        <v>0230C831</v>
      </c>
      <c r="H6026" s="1" t="str">
        <f>"신창간 109L7"</f>
        <v>신창간 109L7</v>
      </c>
      <c r="I6026" s="1" t="s">
        <v>8</v>
      </c>
      <c r="J6026" s="1" t="str">
        <f>"61/70"</f>
        <v>61/70</v>
      </c>
      <c r="K6026" s="1" t="str">
        <f>"2026-07-29 13:18:03"</f>
        <v>2026-07-29 13:18:03</v>
      </c>
      <c r="L6026" s="1" t="str">
        <f>"2014-12-20 11:27:57"</f>
        <v>2014-12-20 11:27:57</v>
      </c>
      <c r="M6026" s="1" t="s">
        <v>0</v>
      </c>
      <c r="N6026" s="1" t="s">
        <v>38</v>
      </c>
      <c r="O6026" s="1" t="s">
        <v>46</v>
      </c>
    </row>
    <row r="6027" spans="2:15" x14ac:dyDescent="0.3">
      <c r="B6027" s="1" t="s">
        <v>22</v>
      </c>
      <c r="C6027" s="1" t="str">
        <f>"3차"</f>
        <v>3차</v>
      </c>
      <c r="D6027" s="1" t="str">
        <f>"0230C84139"</f>
        <v>0230C84139</v>
      </c>
      <c r="E6027" s="1" t="s">
        <v>10</v>
      </c>
      <c r="F6027" s="1" t="str">
        <f>"10.10.11.90"</f>
        <v>10.10.11.90</v>
      </c>
      <c r="G6027" s="1" t="str">
        <f>"0230C841"</f>
        <v>0230C841</v>
      </c>
      <c r="H6027" s="1" t="str">
        <f>"신창간 109L8"</f>
        <v>신창간 109L8</v>
      </c>
      <c r="I6027" s="1" t="s">
        <v>8</v>
      </c>
      <c r="J6027" s="1" t="str">
        <f>"39/39"</f>
        <v>39/39</v>
      </c>
      <c r="K6027" s="1" t="str">
        <f>"2026-07-29 13:18:01"</f>
        <v>2026-07-29 13:18:01</v>
      </c>
      <c r="L6027" s="1" t="str">
        <f>"2018-01-09 11:21:56"</f>
        <v>2018-01-09 11:21:56</v>
      </c>
      <c r="M6027" s="1" t="s">
        <v>1</v>
      </c>
      <c r="N6027" s="1" t="s">
        <v>38</v>
      </c>
      <c r="O6027" s="1" t="s">
        <v>46</v>
      </c>
    </row>
    <row r="6028" spans="2:15" x14ac:dyDescent="0.3">
      <c r="B6028" s="1" t="s">
        <v>22</v>
      </c>
      <c r="C6028" s="1" t="str">
        <f>"3차"</f>
        <v>3차</v>
      </c>
      <c r="D6028" s="1" t="str">
        <f>"0230C85431"</f>
        <v>0230C85431</v>
      </c>
      <c r="E6028" s="1" t="s">
        <v>10</v>
      </c>
      <c r="F6028" s="1" t="str">
        <f>"10.10.23.163"</f>
        <v>10.10.23.163</v>
      </c>
      <c r="G6028" s="1" t="str">
        <f>"0230C854"</f>
        <v>0230C854</v>
      </c>
      <c r="H6028" s="1" t="str">
        <f>"신창간 104L3"</f>
        <v>신창간 104L3</v>
      </c>
      <c r="I6028" s="1" t="s">
        <v>8</v>
      </c>
      <c r="J6028" s="1" t="str">
        <f>"22/43"</f>
        <v>22/43</v>
      </c>
      <c r="K6028" s="1" t="str">
        <f>"2026-07-29 13:18:02"</f>
        <v>2026-07-29 13:18:02</v>
      </c>
      <c r="L6028" s="1" t="str">
        <f>"2018-01-21 10:42:26"</f>
        <v>2018-01-21 10:42:26</v>
      </c>
      <c r="M6028" s="1" t="s">
        <v>1</v>
      </c>
      <c r="N6028" s="1" t="s">
        <v>38</v>
      </c>
      <c r="O6028" s="1" t="s">
        <v>46</v>
      </c>
    </row>
    <row r="6029" spans="2:15" x14ac:dyDescent="0.3">
      <c r="B6029" s="1" t="s">
        <v>22</v>
      </c>
      <c r="C6029" s="1" t="str">
        <f>"4차"</f>
        <v>4차</v>
      </c>
      <c r="D6029" s="1" t="str">
        <f>"0230C85530"</f>
        <v>0230C85530</v>
      </c>
      <c r="E6029" s="1" t="s">
        <v>10</v>
      </c>
      <c r="F6029" s="1" t="str">
        <f>"10.10.23.162"</f>
        <v>10.10.23.162</v>
      </c>
      <c r="G6029" s="1" t="str">
        <f>"0230C855"</f>
        <v>0230C855</v>
      </c>
      <c r="H6029" s="1" t="str">
        <f>"신창간 104L4"</f>
        <v>신창간 104L4</v>
      </c>
      <c r="I6029" s="1" t="s">
        <v>8</v>
      </c>
      <c r="J6029" s="1" t="str">
        <f>"62/62"</f>
        <v>62/62</v>
      </c>
      <c r="K6029" s="1" t="str">
        <f>"2026-07-29 13:18:02"</f>
        <v>2026-07-29 13:18:02</v>
      </c>
      <c r="L6029" s="1" t="str">
        <f>"2018-01-08 16:45:29"</f>
        <v>2018-01-08 16:45:29</v>
      </c>
      <c r="M6029" s="1" t="s">
        <v>1</v>
      </c>
      <c r="N6029" s="1" t="s">
        <v>38</v>
      </c>
      <c r="O6029" s="1" t="s">
        <v>46</v>
      </c>
    </row>
    <row r="6030" spans="2:15" x14ac:dyDescent="0.3">
      <c r="B6030" s="1" t="s">
        <v>22</v>
      </c>
      <c r="C6030" s="1" t="str">
        <f t="shared" ref="C6030:C6035" si="304">"3차"</f>
        <v>3차</v>
      </c>
      <c r="D6030" s="1" t="str">
        <f>"0230C87139"</f>
        <v>0230C87139</v>
      </c>
      <c r="E6030" s="1" t="s">
        <v>10</v>
      </c>
      <c r="F6030" s="1" t="str">
        <f>"10.14.1.184"</f>
        <v>10.14.1.184</v>
      </c>
      <c r="G6030" s="1" t="str">
        <f>"0230C871"</f>
        <v>0230C871</v>
      </c>
      <c r="H6030" s="1" t="str">
        <f>"신창간 82L10"</f>
        <v>신창간 82L10</v>
      </c>
      <c r="I6030" s="1" t="s">
        <v>8</v>
      </c>
      <c r="J6030" s="1" t="str">
        <f>"48/48"</f>
        <v>48/48</v>
      </c>
      <c r="K6030" s="1" t="str">
        <f>"2026-07-29 13:18:03"</f>
        <v>2026-07-29 13:18:03</v>
      </c>
      <c r="L6030" s="1" t="str">
        <f>"2018-03-30 13:32:43"</f>
        <v>2018-03-30 13:32:43</v>
      </c>
      <c r="M6030" s="1" t="s">
        <v>3</v>
      </c>
      <c r="N6030" s="1" t="s">
        <v>38</v>
      </c>
      <c r="O6030" s="1" t="s">
        <v>46</v>
      </c>
    </row>
    <row r="6031" spans="2:15" x14ac:dyDescent="0.3">
      <c r="B6031" s="1" t="s">
        <v>22</v>
      </c>
      <c r="C6031" s="1" t="str">
        <f t="shared" si="304"/>
        <v>3차</v>
      </c>
      <c r="D6031" s="1" t="str">
        <f>"0230C87230"</f>
        <v>0230C87230</v>
      </c>
      <c r="E6031" s="1" t="s">
        <v>10</v>
      </c>
      <c r="F6031" s="1" t="str">
        <f>"10.10.19.210"</f>
        <v>10.10.19.210</v>
      </c>
      <c r="G6031" s="1" t="str">
        <f>"0230C872"</f>
        <v>0230C872</v>
      </c>
      <c r="H6031" s="1" t="str">
        <f>"신창간 104L10"</f>
        <v>신창간 104L10</v>
      </c>
      <c r="I6031" s="1" t="s">
        <v>8</v>
      </c>
      <c r="J6031" s="1" t="str">
        <f>"11/11"</f>
        <v>11/11</v>
      </c>
      <c r="K6031" s="1" t="str">
        <f>"2026-07-29 13:18:01"</f>
        <v>2026-07-29 13:18:01</v>
      </c>
      <c r="L6031" s="1" t="str">
        <f>"2018-01-09 12:01:26"</f>
        <v>2018-01-09 12:01:26</v>
      </c>
      <c r="M6031" s="1" t="s">
        <v>1</v>
      </c>
      <c r="N6031" s="1" t="s">
        <v>38</v>
      </c>
      <c r="O6031" s="1" t="s">
        <v>46</v>
      </c>
    </row>
    <row r="6032" spans="2:15" x14ac:dyDescent="0.3">
      <c r="B6032" s="1" t="s">
        <v>22</v>
      </c>
      <c r="C6032" s="1" t="str">
        <f t="shared" si="304"/>
        <v>3차</v>
      </c>
      <c r="D6032" s="1" t="str">
        <f>"0230C87539"</f>
        <v>0230C87539</v>
      </c>
      <c r="E6032" s="1" t="s">
        <v>10</v>
      </c>
      <c r="F6032" s="1" t="str">
        <f>"10.12.129.224"</f>
        <v>10.12.129.224</v>
      </c>
      <c r="G6032" s="1" t="str">
        <f>"0230C875"</f>
        <v>0230C875</v>
      </c>
      <c r="H6032" s="1" t="str">
        <f>"신창간 66"</f>
        <v>신창간 66</v>
      </c>
      <c r="I6032" s="1" t="s">
        <v>8</v>
      </c>
      <c r="J6032" s="1" t="str">
        <f>"35/35"</f>
        <v>35/35</v>
      </c>
      <c r="K6032" s="1" t="str">
        <f>"2026-07-29 13:18:02"</f>
        <v>2026-07-29 13:18:02</v>
      </c>
      <c r="L6032" s="1" t="str">
        <f>"2018-03-27 14:14:44"</f>
        <v>2018-03-27 14:14:44</v>
      </c>
      <c r="M6032" s="1" t="s">
        <v>0</v>
      </c>
      <c r="N6032" s="1" t="s">
        <v>38</v>
      </c>
      <c r="O6032" s="1" t="s">
        <v>46</v>
      </c>
    </row>
    <row r="6033" spans="2:15" x14ac:dyDescent="0.3">
      <c r="B6033" s="1" t="s">
        <v>22</v>
      </c>
      <c r="C6033" s="1" t="str">
        <f t="shared" si="304"/>
        <v>3차</v>
      </c>
      <c r="D6033" s="1" t="str">
        <f>"0230C88139"</f>
        <v>0230C88139</v>
      </c>
      <c r="E6033" s="1" t="s">
        <v>10</v>
      </c>
      <c r="F6033" s="1" t="str">
        <f>"10.12.136.19"</f>
        <v>10.12.136.19</v>
      </c>
      <c r="G6033" s="1" t="str">
        <f>"0230C881"</f>
        <v>0230C881</v>
      </c>
      <c r="H6033" s="1" t="str">
        <f>"신창간 104L11"</f>
        <v>신창간 104L11</v>
      </c>
      <c r="I6033" s="1" t="s">
        <v>8</v>
      </c>
      <c r="J6033" s="1" t="str">
        <f>"17/17"</f>
        <v>17/17</v>
      </c>
      <c r="K6033" s="1" t="str">
        <f>"2026-07-29 13:18:03"</f>
        <v>2026-07-29 13:18:03</v>
      </c>
      <c r="L6033" s="1" t="str">
        <f>"2018-03-27 14:47:58"</f>
        <v>2018-03-27 14:47:58</v>
      </c>
      <c r="M6033" s="1" t="s">
        <v>0</v>
      </c>
      <c r="N6033" s="1" t="s">
        <v>38</v>
      </c>
      <c r="O6033" s="1" t="s">
        <v>46</v>
      </c>
    </row>
    <row r="6034" spans="2:15" x14ac:dyDescent="0.3">
      <c r="B6034" s="1" t="s">
        <v>22</v>
      </c>
      <c r="C6034" s="1" t="str">
        <f t="shared" si="304"/>
        <v>3차</v>
      </c>
      <c r="D6034" s="1" t="str">
        <f>"0230C88230"</f>
        <v>0230C88230</v>
      </c>
      <c r="E6034" s="1" t="s">
        <v>10</v>
      </c>
      <c r="F6034" s="1" t="str">
        <f>"10.10.22.50"</f>
        <v>10.10.22.50</v>
      </c>
      <c r="G6034" s="1" t="str">
        <f>"0230C882"</f>
        <v>0230C882</v>
      </c>
      <c r="H6034" s="1" t="str">
        <f>"신창간 67"</f>
        <v>신창간 67</v>
      </c>
      <c r="I6034" s="1" t="s">
        <v>8</v>
      </c>
      <c r="J6034" s="1" t="str">
        <f>"32/32"</f>
        <v>32/32</v>
      </c>
      <c r="K6034" s="1" t="str">
        <f>"2026-07-29 13:18:02"</f>
        <v>2026-07-29 13:18:02</v>
      </c>
      <c r="L6034" s="1" t="str">
        <f>"2018-01-11 16:26:12"</f>
        <v>2018-01-11 16:26:12</v>
      </c>
      <c r="M6034" s="1" t="s">
        <v>1</v>
      </c>
      <c r="N6034" s="1" t="s">
        <v>38</v>
      </c>
      <c r="O6034" s="1" t="s">
        <v>46</v>
      </c>
    </row>
    <row r="6035" spans="2:15" x14ac:dyDescent="0.3">
      <c r="B6035" s="1" t="s">
        <v>22</v>
      </c>
      <c r="C6035" s="1" t="str">
        <f t="shared" si="304"/>
        <v>3차</v>
      </c>
      <c r="D6035" s="1" t="str">
        <f>"0230C89231"</f>
        <v>0230C89231</v>
      </c>
      <c r="E6035" s="1" t="s">
        <v>10</v>
      </c>
      <c r="F6035" s="1" t="str">
        <f>"10.10.22.51"</f>
        <v>10.10.22.51</v>
      </c>
      <c r="G6035" s="1" t="str">
        <f>"0230C892"</f>
        <v>0230C892</v>
      </c>
      <c r="H6035" s="1" t="str">
        <f>"신창간 68"</f>
        <v>신창간 68</v>
      </c>
      <c r="I6035" s="1" t="s">
        <v>8</v>
      </c>
      <c r="J6035" s="1" t="str">
        <f>"15/15"</f>
        <v>15/15</v>
      </c>
      <c r="K6035" s="1" t="str">
        <f>"2026-07-29 13:18:01"</f>
        <v>2026-07-29 13:18:01</v>
      </c>
      <c r="L6035" s="1" t="str">
        <f>"2018-01-21 15:26:57"</f>
        <v>2018-01-21 15:26:57</v>
      </c>
      <c r="M6035" s="1" t="s">
        <v>1</v>
      </c>
      <c r="N6035" s="1" t="s">
        <v>38</v>
      </c>
      <c r="O6035" s="1" t="s">
        <v>46</v>
      </c>
    </row>
    <row r="6036" spans="2:15" x14ac:dyDescent="0.3">
      <c r="B6036" s="1" t="s">
        <v>22</v>
      </c>
      <c r="C6036" s="1" t="str">
        <f>"5-1차"</f>
        <v>5-1차</v>
      </c>
      <c r="D6036" s="1" t="str">
        <f>"0230C9015M"</f>
        <v>0230C9015M</v>
      </c>
      <c r="E6036" s="1" t="s">
        <v>10</v>
      </c>
      <c r="F6036" s="1" t="str">
        <f>"fde3:102:1410:2200:0:0:0:3"</f>
        <v>fde3:102:1410:2200:0:0:0:3</v>
      </c>
      <c r="G6036" s="1" t="str">
        <f>"0230C901"</f>
        <v>0230C901</v>
      </c>
      <c r="H6036" s="1" t="str">
        <f>"신창간 109L2"</f>
        <v>신창간 109L2</v>
      </c>
      <c r="I6036" s="1" t="s">
        <v>15</v>
      </c>
      <c r="J6036" s="1" t="str">
        <f>"73/73"</f>
        <v>73/73</v>
      </c>
      <c r="K6036" s="1" t="str">
        <f>"2026-07-29 14:21:07"</f>
        <v>2026-07-29 14:21:07</v>
      </c>
      <c r="L6036" s="1" t="str">
        <f>"2022-11-14 15:26:55"</f>
        <v>2022-11-14 15:26:55</v>
      </c>
      <c r="M6036" s="1" t="s">
        <v>45</v>
      </c>
      <c r="N6036" s="1" t="s">
        <v>38</v>
      </c>
      <c r="O6036" s="1" t="s">
        <v>46</v>
      </c>
    </row>
    <row r="6037" spans="2:15" x14ac:dyDescent="0.3">
      <c r="B6037" s="1" t="s">
        <v>22</v>
      </c>
      <c r="C6037" s="1" t="str">
        <f>"5-2차"</f>
        <v>5-2차</v>
      </c>
      <c r="D6037" s="1" t="str">
        <f>"0230C9315M"</f>
        <v>0230C9315M</v>
      </c>
      <c r="E6037" s="1" t="s">
        <v>10</v>
      </c>
      <c r="F6037" s="1" t="str">
        <f>"fde1:103:4:9363:0:0:0:2"</f>
        <v>fde1:103:4:9363:0:0:0:2</v>
      </c>
      <c r="G6037" s="1" t="str">
        <f>"0230C931"</f>
        <v>0230C931</v>
      </c>
      <c r="H6037" s="1" t="str">
        <f>"신창간 59"</f>
        <v>신창간 59</v>
      </c>
      <c r="I6037" s="1" t="s">
        <v>15</v>
      </c>
      <c r="J6037" s="1" t="str">
        <f>"41/41"</f>
        <v>41/41</v>
      </c>
      <c r="K6037" s="1" t="str">
        <f>"2026-07-29 14:20:33"</f>
        <v>2026-07-29 14:20:33</v>
      </c>
      <c r="L6037" s="1" t="str">
        <f>"2023-12-19 10:50:33"</f>
        <v>2023-12-19 10:50:33</v>
      </c>
      <c r="M6037" s="1" t="s">
        <v>4</v>
      </c>
      <c r="N6037" s="1" t="s">
        <v>38</v>
      </c>
      <c r="O6037" s="1" t="s">
        <v>46</v>
      </c>
    </row>
    <row r="6038" spans="2:15" x14ac:dyDescent="0.3">
      <c r="B6038" s="1" t="s">
        <v>22</v>
      </c>
      <c r="C6038" s="1" t="str">
        <f>"5-2차"</f>
        <v>5-2차</v>
      </c>
      <c r="D6038" s="1" t="str">
        <f>"0230C9415M"</f>
        <v>0230C9415M</v>
      </c>
      <c r="E6038" s="1" t="s">
        <v>10</v>
      </c>
      <c r="F6038" s="1" t="str">
        <f>"fde1:103:4:92d6:0:0:0:2"</f>
        <v>fde1:103:4:92d6:0:0:0:2</v>
      </c>
      <c r="G6038" s="1" t="str">
        <f>"0230C941"</f>
        <v>0230C941</v>
      </c>
      <c r="H6038" s="1" t="str">
        <f>"신창간 60"</f>
        <v>신창간 60</v>
      </c>
      <c r="I6038" s="1" t="s">
        <v>15</v>
      </c>
      <c r="J6038" s="1" t="str">
        <f>"39/39"</f>
        <v>39/39</v>
      </c>
      <c r="K6038" s="1" t="str">
        <f>"2026-07-29 14:20:33"</f>
        <v>2026-07-29 14:20:33</v>
      </c>
      <c r="L6038" s="1" t="str">
        <f>"2023-12-19 11:09:11"</f>
        <v>2023-12-19 11:09:11</v>
      </c>
      <c r="M6038" s="1" t="s">
        <v>4</v>
      </c>
      <c r="N6038" s="1" t="s">
        <v>38</v>
      </c>
      <c r="O6038" s="1" t="s">
        <v>46</v>
      </c>
    </row>
    <row r="6039" spans="2:15" x14ac:dyDescent="0.3">
      <c r="B6039" s="1" t="s">
        <v>22</v>
      </c>
      <c r="C6039" s="1" t="str">
        <f>"3차"</f>
        <v>3차</v>
      </c>
      <c r="D6039" s="1" t="str">
        <f>"0230C95432"</f>
        <v>0230C95432</v>
      </c>
      <c r="E6039" s="1" t="s">
        <v>10</v>
      </c>
      <c r="F6039" s="1" t="str">
        <f>"10.12.138.176"</f>
        <v>10.12.138.176</v>
      </c>
      <c r="G6039" s="1" t="str">
        <f>"0230C954"</f>
        <v>0230C954</v>
      </c>
      <c r="H6039" s="1" t="str">
        <f>"신창간 104L5"</f>
        <v>신창간 104L5</v>
      </c>
      <c r="I6039" s="1" t="s">
        <v>8</v>
      </c>
      <c r="J6039" s="1" t="str">
        <f>"56/64"</f>
        <v>56/64</v>
      </c>
      <c r="K6039" s="1" t="str">
        <f>"2026-07-29 13:18:04"</f>
        <v>2026-07-29 13:18:04</v>
      </c>
      <c r="L6039" s="1" t="str">
        <f>"2018-01-21 10:52:28"</f>
        <v>2018-01-21 10:52:28</v>
      </c>
      <c r="M6039" s="1" t="s">
        <v>0</v>
      </c>
      <c r="N6039" s="1" t="s">
        <v>38</v>
      </c>
      <c r="O6039" s="1" t="s">
        <v>46</v>
      </c>
    </row>
    <row r="6040" spans="2:15" x14ac:dyDescent="0.3">
      <c r="B6040" s="1" t="s">
        <v>22</v>
      </c>
      <c r="C6040" s="1" t="str">
        <f>"3차"</f>
        <v>3차</v>
      </c>
      <c r="D6040" s="1" t="str">
        <f>"0230C96139"</f>
        <v>0230C96139</v>
      </c>
      <c r="E6040" s="1" t="s">
        <v>10</v>
      </c>
      <c r="F6040" s="1" t="str">
        <f>"10.10.11.74"</f>
        <v>10.10.11.74</v>
      </c>
      <c r="G6040" s="1" t="str">
        <f>"0230C961"</f>
        <v>0230C961</v>
      </c>
      <c r="H6040" s="1" t="str">
        <f>"신창간 104L8"</f>
        <v>신창간 104L8</v>
      </c>
      <c r="I6040" s="1" t="s">
        <v>8</v>
      </c>
      <c r="J6040" s="1" t="str">
        <f>"65/65"</f>
        <v>65/65</v>
      </c>
      <c r="K6040" s="1" t="str">
        <f>"2026-07-29 13:18:02"</f>
        <v>2026-07-29 13:18:02</v>
      </c>
      <c r="L6040" s="1" t="str">
        <f>"2018-01-08 17:14:44"</f>
        <v>2018-01-08 17:14:44</v>
      </c>
      <c r="M6040" s="1" t="s">
        <v>1</v>
      </c>
      <c r="N6040" s="1" t="s">
        <v>38</v>
      </c>
      <c r="O6040" s="1" t="s">
        <v>46</v>
      </c>
    </row>
    <row r="6041" spans="2:15" x14ac:dyDescent="0.3">
      <c r="B6041" s="1" t="s">
        <v>22</v>
      </c>
      <c r="C6041" s="1" t="str">
        <f>"3차"</f>
        <v>3차</v>
      </c>
      <c r="D6041" s="1" t="str">
        <f>"0230C96239"</f>
        <v>0230C96239</v>
      </c>
      <c r="E6041" s="1" t="s">
        <v>10</v>
      </c>
      <c r="F6041" s="1" t="str">
        <f>"10.12.128.116"</f>
        <v>10.12.128.116</v>
      </c>
      <c r="G6041" s="1" t="str">
        <f>"0230C962"</f>
        <v>0230C962</v>
      </c>
      <c r="H6041" s="1" t="str">
        <f>"신창간 62R1L2"</f>
        <v>신창간 62R1L2</v>
      </c>
      <c r="I6041" s="1" t="s">
        <v>8</v>
      </c>
      <c r="J6041" s="1" t="str">
        <f>"30/40"</f>
        <v>30/40</v>
      </c>
      <c r="K6041" s="1" t="str">
        <f>"2026-07-29 13:18:03"</f>
        <v>2026-07-29 13:18:03</v>
      </c>
      <c r="L6041" s="1" t="str">
        <f>"2018-03-30 11:57:42"</f>
        <v>2018-03-30 11:57:42</v>
      </c>
      <c r="M6041" s="1" t="s">
        <v>0</v>
      </c>
      <c r="N6041" s="1" t="s">
        <v>38</v>
      </c>
      <c r="O6041" s="1" t="s">
        <v>46</v>
      </c>
    </row>
    <row r="6042" spans="2:15" x14ac:dyDescent="0.3">
      <c r="B6042" s="1" t="s">
        <v>22</v>
      </c>
      <c r="C6042" s="1" t="str">
        <f>"3차"</f>
        <v>3차</v>
      </c>
      <c r="D6042" s="1" t="str">
        <f>"0230C97239"</f>
        <v>0230C97239</v>
      </c>
      <c r="E6042" s="1" t="s">
        <v>10</v>
      </c>
      <c r="F6042" s="1" t="str">
        <f>"10.10.19.218"</f>
        <v>10.10.19.218</v>
      </c>
      <c r="G6042" s="1" t="str">
        <f>"0230C972"</f>
        <v>0230C972</v>
      </c>
      <c r="H6042" s="1" t="str">
        <f>"신창간 65"</f>
        <v>신창간 65</v>
      </c>
      <c r="I6042" s="1" t="s">
        <v>8</v>
      </c>
      <c r="J6042" s="1" t="str">
        <f>"24/25"</f>
        <v>24/25</v>
      </c>
      <c r="K6042" s="1" t="str">
        <f>"2026-07-29 13:18:02"</f>
        <v>2026-07-29 13:18:02</v>
      </c>
      <c r="L6042" s="1" t="str">
        <f>"2018-01-04 10:15:09"</f>
        <v>2018-01-04 10:15:09</v>
      </c>
      <c r="M6042" s="1" t="s">
        <v>1</v>
      </c>
      <c r="N6042" s="1" t="s">
        <v>38</v>
      </c>
      <c r="O6042" s="1" t="s">
        <v>46</v>
      </c>
    </row>
    <row r="6043" spans="2:15" x14ac:dyDescent="0.3">
      <c r="B6043" s="1" t="s">
        <v>22</v>
      </c>
      <c r="C6043" s="1" t="str">
        <f>"1차"</f>
        <v>1차</v>
      </c>
      <c r="D6043" s="1" t="str">
        <f>"0230D01100"</f>
        <v>0230D01100</v>
      </c>
      <c r="E6043" s="1" t="s">
        <v>10</v>
      </c>
      <c r="F6043" s="1" t="str">
        <f>"10.107.129.33"</f>
        <v>10.107.129.33</v>
      </c>
      <c r="G6043" s="1" t="str">
        <f>"0230D011"</f>
        <v>0230D011</v>
      </c>
      <c r="H6043" s="1" t="str">
        <f>"신창간 57"</f>
        <v>신창간 57</v>
      </c>
      <c r="I6043" s="1" t="s">
        <v>8</v>
      </c>
      <c r="J6043" s="1" t="str">
        <f>"30/30"</f>
        <v>30/30</v>
      </c>
      <c r="K6043" s="1" t="str">
        <f>"2026-07-29 13:18:01"</f>
        <v>2026-07-29 13:18:01</v>
      </c>
      <c r="L6043" s="1" t="str">
        <f>"2014-12-22 09:27:51"</f>
        <v>2014-12-22 09:27:51</v>
      </c>
      <c r="M6043" s="1" t="s">
        <v>45</v>
      </c>
      <c r="N6043" s="1" t="s">
        <v>38</v>
      </c>
      <c r="O6043" s="1" t="s">
        <v>46</v>
      </c>
    </row>
    <row r="6044" spans="2:15" x14ac:dyDescent="0.3">
      <c r="B6044" s="1" t="s">
        <v>22</v>
      </c>
      <c r="C6044" s="1" t="str">
        <f>"1차"</f>
        <v>1차</v>
      </c>
      <c r="D6044" s="1" t="str">
        <f>"0230D02101"</f>
        <v>0230D02101</v>
      </c>
      <c r="E6044" s="1" t="s">
        <v>10</v>
      </c>
      <c r="F6044" s="1" t="str">
        <f>"10.107.129.34"</f>
        <v>10.107.129.34</v>
      </c>
      <c r="G6044" s="1" t="str">
        <f>"0230D021"</f>
        <v>0230D021</v>
      </c>
      <c r="H6044" s="1" t="str">
        <f>"신창간 58"</f>
        <v>신창간 58</v>
      </c>
      <c r="I6044" s="1" t="s">
        <v>8</v>
      </c>
      <c r="J6044" s="1" t="str">
        <f>"23/23"</f>
        <v>23/23</v>
      </c>
      <c r="K6044" s="1" t="str">
        <f>"2026-07-29 13:18:01"</f>
        <v>2026-07-29 13:18:01</v>
      </c>
      <c r="L6044" s="1" t="str">
        <f>"2014-12-22 09:27:51"</f>
        <v>2014-12-22 09:27:51</v>
      </c>
      <c r="M6044" s="1" t="s">
        <v>45</v>
      </c>
      <c r="N6044" s="1" t="s">
        <v>38</v>
      </c>
      <c r="O6044" s="1" t="s">
        <v>46</v>
      </c>
    </row>
    <row r="6045" spans="2:15" x14ac:dyDescent="0.3">
      <c r="B6045" s="1" t="s">
        <v>22</v>
      </c>
      <c r="C6045" s="1" t="str">
        <f>"4차"</f>
        <v>4차</v>
      </c>
      <c r="D6045" s="1" t="str">
        <f>"0230D09139"</f>
        <v>0230D09139</v>
      </c>
      <c r="E6045" s="1" t="s">
        <v>10</v>
      </c>
      <c r="F6045" s="1" t="str">
        <f>"10.12.135.247"</f>
        <v>10.12.135.247</v>
      </c>
      <c r="G6045" s="1" t="str">
        <f>"0230D091"</f>
        <v>0230D091</v>
      </c>
      <c r="H6045" s="1" t="str">
        <f>"창동 38A"</f>
        <v>창동 38A</v>
      </c>
      <c r="I6045" s="1" t="s">
        <v>17</v>
      </c>
      <c r="J6045" s="1" t="str">
        <f>"34/34"</f>
        <v>34/34</v>
      </c>
      <c r="K6045" s="1" t="str">
        <f>"2026-07-29 13:18:03"</f>
        <v>2026-07-29 13:18:03</v>
      </c>
      <c r="L6045" s="1" t="str">
        <f>"2018-05-28 11:13:12"</f>
        <v>2018-05-28 11:13:12</v>
      </c>
      <c r="M6045" s="1" t="s">
        <v>0</v>
      </c>
      <c r="N6045" s="1" t="s">
        <v>38</v>
      </c>
      <c r="O6045" s="1" t="s">
        <v>46</v>
      </c>
    </row>
    <row r="6046" spans="2:15" x14ac:dyDescent="0.3">
      <c r="B6046" s="1" t="s">
        <v>22</v>
      </c>
      <c r="C6046" s="1" t="str">
        <f>"5-2차"</f>
        <v>5-2차</v>
      </c>
      <c r="D6046" s="1" t="str">
        <f>"0230D1115M"</f>
        <v>0230D1115M</v>
      </c>
      <c r="E6046" s="1" t="s">
        <v>10</v>
      </c>
      <c r="F6046" s="1" t="str">
        <f>"fde1:103:4:92ea:0:0:0:2"</f>
        <v>fde1:103:4:92ea:0:0:0:2</v>
      </c>
      <c r="G6046" s="1" t="str">
        <f>"0230D111"</f>
        <v>0230D111</v>
      </c>
      <c r="H6046" s="1" t="str">
        <f>"신창간 55R2"</f>
        <v>신창간 55R2</v>
      </c>
      <c r="I6046" s="1" t="s">
        <v>15</v>
      </c>
      <c r="J6046" s="1" t="str">
        <f>"43/43"</f>
        <v>43/43</v>
      </c>
      <c r="K6046" s="1" t="str">
        <f>"2026-07-29 14:20:50"</f>
        <v>2026-07-29 14:20:50</v>
      </c>
      <c r="L6046" s="1" t="str">
        <f>"2023-12-19 11:09:22"</f>
        <v>2023-12-19 11:09:22</v>
      </c>
      <c r="M6046" s="1" t="s">
        <v>4</v>
      </c>
      <c r="N6046" s="1" t="s">
        <v>38</v>
      </c>
      <c r="O6046" s="1" t="s">
        <v>46</v>
      </c>
    </row>
    <row r="6047" spans="2:15" x14ac:dyDescent="0.3">
      <c r="B6047" s="1" t="s">
        <v>22</v>
      </c>
      <c r="C6047" s="1" t="str">
        <f t="shared" ref="C6047:C6056" si="305">"4차"</f>
        <v>4차</v>
      </c>
      <c r="D6047" s="1" t="str">
        <f>"0230D57139"</f>
        <v>0230D57139</v>
      </c>
      <c r="E6047" s="1" t="s">
        <v>10</v>
      </c>
      <c r="F6047" s="1" t="str">
        <f>"10.12.136.53"</f>
        <v>10.12.136.53</v>
      </c>
      <c r="G6047" s="1" t="str">
        <f>"0230D571"</f>
        <v>0230D571</v>
      </c>
      <c r="H6047" s="1" t="str">
        <f>"창동 46"</f>
        <v>창동 46</v>
      </c>
      <c r="I6047" s="1" t="s">
        <v>17</v>
      </c>
      <c r="J6047" s="1" t="str">
        <f>"25/25"</f>
        <v>25/25</v>
      </c>
      <c r="K6047" s="1" t="str">
        <f>"2026-07-29 13:18:04"</f>
        <v>2026-07-29 13:18:04</v>
      </c>
      <c r="L6047" s="1" t="str">
        <f>"2018-05-28 09:15:41"</f>
        <v>2018-05-28 09:15:41</v>
      </c>
      <c r="M6047" s="1" t="s">
        <v>0</v>
      </c>
      <c r="N6047" s="1" t="s">
        <v>38</v>
      </c>
      <c r="O6047" s="1" t="s">
        <v>46</v>
      </c>
    </row>
    <row r="6048" spans="2:15" x14ac:dyDescent="0.3">
      <c r="B6048" s="1" t="s">
        <v>22</v>
      </c>
      <c r="C6048" s="1" t="str">
        <f t="shared" si="305"/>
        <v>4차</v>
      </c>
      <c r="D6048" s="1" t="str">
        <f>"0230D67245"</f>
        <v>0230D67245</v>
      </c>
      <c r="E6048" s="1" t="s">
        <v>10</v>
      </c>
      <c r="F6048" s="1" t="str">
        <f>"10.12.136.4"</f>
        <v>10.12.136.4</v>
      </c>
      <c r="G6048" s="1" t="str">
        <f>"0230D672"</f>
        <v>0230D672</v>
      </c>
      <c r="H6048" s="1" t="str">
        <f>"창동 44"</f>
        <v>창동 44</v>
      </c>
      <c r="I6048" s="1" t="s">
        <v>17</v>
      </c>
      <c r="J6048" s="1" t="str">
        <f>"31/31"</f>
        <v>31/31</v>
      </c>
      <c r="K6048" s="1" t="str">
        <f>"2026-07-29 13:18:02"</f>
        <v>2026-07-29 13:18:02</v>
      </c>
      <c r="L6048" s="1" t="str">
        <f>"2025-07-08 17:33:19"</f>
        <v>2025-07-08 17:33:19</v>
      </c>
      <c r="M6048" s="1" t="s">
        <v>0</v>
      </c>
      <c r="N6048" s="1" t="s">
        <v>38</v>
      </c>
      <c r="O6048" s="1" t="s">
        <v>46</v>
      </c>
    </row>
    <row r="6049" spans="2:15" x14ac:dyDescent="0.3">
      <c r="B6049" s="1" t="s">
        <v>22</v>
      </c>
      <c r="C6049" s="1" t="str">
        <f t="shared" si="305"/>
        <v>4차</v>
      </c>
      <c r="D6049" s="1" t="str">
        <f>"0230E26241"</f>
        <v>0230E26241</v>
      </c>
      <c r="E6049" s="1" t="s">
        <v>10</v>
      </c>
      <c r="F6049" s="1" t="str">
        <f>"10.14.3.112"</f>
        <v>10.14.3.112</v>
      </c>
      <c r="G6049" s="1" t="str">
        <f>"0230E262"</f>
        <v>0230E262</v>
      </c>
      <c r="H6049" s="1" t="str">
        <f>"상신간 64"</f>
        <v>상신간 64</v>
      </c>
      <c r="I6049" s="1" t="s">
        <v>17</v>
      </c>
      <c r="J6049" s="1" t="str">
        <f>"29/29"</f>
        <v>29/29</v>
      </c>
      <c r="K6049" s="1" t="str">
        <f>"2026-07-29 13:18:02"</f>
        <v>2026-07-29 13:18:02</v>
      </c>
      <c r="L6049" s="1" t="str">
        <f>"2021-07-14 15:44:56"</f>
        <v>2021-07-14 15:44:56</v>
      </c>
      <c r="M6049" s="1" t="s">
        <v>3</v>
      </c>
      <c r="N6049" s="1" t="s">
        <v>38</v>
      </c>
      <c r="O6049" s="1" t="s">
        <v>46</v>
      </c>
    </row>
    <row r="6050" spans="2:15" x14ac:dyDescent="0.3">
      <c r="B6050" s="1" t="s">
        <v>22</v>
      </c>
      <c r="C6050" s="1" t="str">
        <f t="shared" si="305"/>
        <v>4차</v>
      </c>
      <c r="D6050" s="1" t="str">
        <f>"0230E50141"</f>
        <v>0230E50141</v>
      </c>
      <c r="E6050" s="1" t="s">
        <v>10</v>
      </c>
      <c r="F6050" s="1" t="str">
        <f>"10.14.10.113"</f>
        <v>10.14.10.113</v>
      </c>
      <c r="G6050" s="1" t="str">
        <f>"0230E501"</f>
        <v>0230E501</v>
      </c>
      <c r="H6050" s="1" t="str">
        <f>"상신간 56R2"</f>
        <v>상신간 56R2</v>
      </c>
      <c r="I6050" s="1" t="s">
        <v>17</v>
      </c>
      <c r="J6050" s="1" t="str">
        <f>"11/11"</f>
        <v>11/11</v>
      </c>
      <c r="K6050" s="1" t="str">
        <f>"2026-07-29 13:18:02"</f>
        <v>2026-07-29 13:18:02</v>
      </c>
      <c r="L6050" s="1" t="str">
        <f>"2021-08-04 11:28:19"</f>
        <v>2021-08-04 11:28:19</v>
      </c>
      <c r="M6050" s="1" t="s">
        <v>3</v>
      </c>
      <c r="N6050" s="1" t="s">
        <v>38</v>
      </c>
      <c r="O6050" s="1" t="s">
        <v>46</v>
      </c>
    </row>
    <row r="6051" spans="2:15" x14ac:dyDescent="0.3">
      <c r="B6051" s="1" t="s">
        <v>22</v>
      </c>
      <c r="C6051" s="1" t="str">
        <f t="shared" si="305"/>
        <v>4차</v>
      </c>
      <c r="D6051" s="1" t="str">
        <f>"0230F87139"</f>
        <v>0230F87139</v>
      </c>
      <c r="E6051" s="1" t="s">
        <v>10</v>
      </c>
      <c r="F6051" s="1" t="str">
        <f>"10.12.136.99"</f>
        <v>10.12.136.99</v>
      </c>
      <c r="G6051" s="1" t="str">
        <f>"0230F871"</f>
        <v>0230F871</v>
      </c>
      <c r="H6051" s="1" t="str">
        <f>"노원 3"</f>
        <v>노원 3</v>
      </c>
      <c r="I6051" s="1" t="s">
        <v>17</v>
      </c>
      <c r="J6051" s="1" t="str">
        <f>"24/30"</f>
        <v>24/30</v>
      </c>
      <c r="K6051" s="1" t="str">
        <f>"2026-07-29 13:18:03"</f>
        <v>2026-07-29 13:18:03</v>
      </c>
      <c r="L6051" s="1" t="str">
        <f>"2018-05-28 07:16:09"</f>
        <v>2018-05-28 07:16:09</v>
      </c>
      <c r="M6051" s="1" t="s">
        <v>0</v>
      </c>
      <c r="N6051" s="1" t="s">
        <v>38</v>
      </c>
      <c r="O6051" s="1" t="s">
        <v>46</v>
      </c>
    </row>
    <row r="6052" spans="2:15" x14ac:dyDescent="0.3">
      <c r="B6052" s="1" t="s">
        <v>22</v>
      </c>
      <c r="C6052" s="1" t="str">
        <f t="shared" si="305"/>
        <v>4차</v>
      </c>
      <c r="D6052" s="1" t="str">
        <f>"0230G47139"</f>
        <v>0230G47139</v>
      </c>
      <c r="E6052" s="1" t="s">
        <v>10</v>
      </c>
      <c r="F6052" s="1" t="str">
        <f>"10.12.132.9"</f>
        <v>10.12.132.9</v>
      </c>
      <c r="G6052" s="1" t="str">
        <f>"0230G471"</f>
        <v>0230G471</v>
      </c>
      <c r="H6052" s="1" t="str">
        <f>"창동 33"</f>
        <v>창동 33</v>
      </c>
      <c r="I6052" s="1" t="s">
        <v>17</v>
      </c>
      <c r="J6052" s="1" t="str">
        <f>"5/5"</f>
        <v>5/5</v>
      </c>
      <c r="K6052" s="1" t="str">
        <f>"2026-07-29 13:18:03"</f>
        <v>2026-07-29 13:18:03</v>
      </c>
      <c r="L6052" s="1" t="str">
        <f>"2018-07-04 13:44:23"</f>
        <v>2018-07-04 13:44:23</v>
      </c>
      <c r="M6052" s="1" t="s">
        <v>0</v>
      </c>
      <c r="N6052" s="1" t="s">
        <v>38</v>
      </c>
      <c r="O6052" s="1" t="s">
        <v>46</v>
      </c>
    </row>
    <row r="6053" spans="2:15" x14ac:dyDescent="0.3">
      <c r="B6053" s="1" t="s">
        <v>22</v>
      </c>
      <c r="C6053" s="1" t="str">
        <f t="shared" si="305"/>
        <v>4차</v>
      </c>
      <c r="D6053" s="1" t="str">
        <f>"0230G56145"</f>
        <v>0230G56145</v>
      </c>
      <c r="E6053" s="1" t="s">
        <v>10</v>
      </c>
      <c r="F6053" s="1" t="str">
        <f>"10.14.10.61"</f>
        <v>10.14.10.61</v>
      </c>
      <c r="G6053" s="1" t="str">
        <f>"0230G561"</f>
        <v>0230G561</v>
      </c>
      <c r="H6053" s="1" t="str">
        <f>"창동 34"</f>
        <v>창동 34</v>
      </c>
      <c r="I6053" s="1" t="s">
        <v>17</v>
      </c>
      <c r="J6053" s="1" t="str">
        <f>"4/4"</f>
        <v>4/4</v>
      </c>
      <c r="K6053" s="1" t="str">
        <f>"2026-07-29 13:18:03"</f>
        <v>2026-07-29 13:18:03</v>
      </c>
      <c r="L6053" s="1" t="str">
        <f>"2021-06-22 15:03:04"</f>
        <v>2021-06-22 15:03:04</v>
      </c>
      <c r="M6053" s="1" t="s">
        <v>3</v>
      </c>
      <c r="N6053" s="1" t="s">
        <v>38</v>
      </c>
      <c r="O6053" s="1" t="s">
        <v>46</v>
      </c>
    </row>
    <row r="6054" spans="2:15" x14ac:dyDescent="0.3">
      <c r="B6054" s="1" t="s">
        <v>22</v>
      </c>
      <c r="C6054" s="1" t="str">
        <f t="shared" si="305"/>
        <v>4차</v>
      </c>
      <c r="D6054" s="1" t="str">
        <f>"0230H03139"</f>
        <v>0230H03139</v>
      </c>
      <c r="E6054" s="1" t="s">
        <v>14</v>
      </c>
      <c r="F6054" s="1" t="str">
        <f>"10.12.135.193"</f>
        <v>10.12.135.193</v>
      </c>
      <c r="G6054" s="1" t="str">
        <f>"0230H031"</f>
        <v>0230H031</v>
      </c>
      <c r="H6054" s="1" t="str">
        <f>"창동 11"</f>
        <v>창동 11</v>
      </c>
      <c r="I6054" s="1" t="s">
        <v>17</v>
      </c>
      <c r="J6054" s="1" t="str">
        <f>"0/0"</f>
        <v>0/0</v>
      </c>
      <c r="K6054" s="1" t="str">
        <f>"2026-06-10 07:18:02"</f>
        <v>2026-06-10 07:18:02</v>
      </c>
      <c r="L6054" s="1" t="str">
        <f>"2018-05-24 10:52:42"</f>
        <v>2018-05-24 10:52:42</v>
      </c>
      <c r="M6054" s="1" t="s">
        <v>0</v>
      </c>
      <c r="N6054" s="1" t="s">
        <v>39</v>
      </c>
      <c r="O6054" s="1" t="s">
        <v>46</v>
      </c>
    </row>
    <row r="6055" spans="2:15" x14ac:dyDescent="0.3">
      <c r="B6055" s="1" t="s">
        <v>22</v>
      </c>
      <c r="C6055" s="1" t="str">
        <f t="shared" si="305"/>
        <v>4차</v>
      </c>
      <c r="D6055" s="1" t="str">
        <f>"0230H27139"</f>
        <v>0230H27139</v>
      </c>
      <c r="E6055" s="1" t="s">
        <v>10</v>
      </c>
      <c r="F6055" s="1" t="str">
        <f>"10.12.136.83"</f>
        <v>10.12.136.83</v>
      </c>
      <c r="G6055" s="1" t="str">
        <f>"0230H271"</f>
        <v>0230H271</v>
      </c>
      <c r="H6055" s="1" t="str">
        <f>"창동 8"</f>
        <v>창동 8</v>
      </c>
      <c r="I6055" s="1" t="s">
        <v>17</v>
      </c>
      <c r="J6055" s="1" t="str">
        <f>"30/34"</f>
        <v>30/34</v>
      </c>
      <c r="K6055" s="1" t="str">
        <f>"2026-07-29 13:18:03"</f>
        <v>2026-07-29 13:18:03</v>
      </c>
      <c r="L6055" s="1" t="str">
        <f>"2018-05-29 14:24:42"</f>
        <v>2018-05-29 14:24:42</v>
      </c>
      <c r="M6055" s="1" t="s">
        <v>0</v>
      </c>
      <c r="N6055" s="1" t="s">
        <v>38</v>
      </c>
      <c r="O6055" s="1" t="s">
        <v>46</v>
      </c>
    </row>
    <row r="6056" spans="2:15" x14ac:dyDescent="0.3">
      <c r="B6056" s="1" t="s">
        <v>22</v>
      </c>
      <c r="C6056" s="1" t="str">
        <f t="shared" si="305"/>
        <v>4차</v>
      </c>
      <c r="D6056" s="1" t="str">
        <f>"0230H47139"</f>
        <v>0230H47139</v>
      </c>
      <c r="E6056" s="1" t="s">
        <v>10</v>
      </c>
      <c r="F6056" s="1" t="str">
        <f>"10.14.8.44"</f>
        <v>10.14.8.44</v>
      </c>
      <c r="G6056" s="1" t="str">
        <f>"0230H471"</f>
        <v>0230H471</v>
      </c>
      <c r="H6056" s="1" t="str">
        <f>"창동 9A"</f>
        <v>창동 9A</v>
      </c>
      <c r="I6056" s="1" t="s">
        <v>17</v>
      </c>
      <c r="J6056" s="1" t="str">
        <f>"6/6"</f>
        <v>6/6</v>
      </c>
      <c r="K6056" s="1" t="str">
        <f>"2026-07-29 13:18:01"</f>
        <v>2026-07-29 13:18:01</v>
      </c>
      <c r="L6056" s="1" t="str">
        <f>"2018-07-26 15:52:13"</f>
        <v>2018-07-26 15:52:13</v>
      </c>
      <c r="M6056" s="1" t="s">
        <v>3</v>
      </c>
      <c r="N6056" s="1" t="s">
        <v>38</v>
      </c>
      <c r="O6056" s="1" t="s">
        <v>46</v>
      </c>
    </row>
    <row r="6057" spans="2:15" x14ac:dyDescent="0.3">
      <c r="B6057" s="1" t="s">
        <v>22</v>
      </c>
      <c r="C6057" s="1" t="str">
        <f>"1차"</f>
        <v>1차</v>
      </c>
      <c r="D6057" s="1" t="str">
        <f>"0230P01101"</f>
        <v>0230P01101</v>
      </c>
      <c r="E6057" s="1" t="s">
        <v>10</v>
      </c>
      <c r="F6057" s="1" t="str">
        <f>"10.107.249.24"</f>
        <v>10.107.249.24</v>
      </c>
      <c r="G6057" s="1" t="str">
        <f>"0230P011"</f>
        <v>0230P011</v>
      </c>
      <c r="H6057" s="1" t="str">
        <f>"신창간 30L1"</f>
        <v>신창간 30L1</v>
      </c>
      <c r="I6057" s="1" t="s">
        <v>8</v>
      </c>
      <c r="J6057" s="1" t="str">
        <f>"39/44"</f>
        <v>39/44</v>
      </c>
      <c r="K6057" s="1" t="str">
        <f>"2026-07-29 13:18:02"</f>
        <v>2026-07-29 13:18:02</v>
      </c>
      <c r="L6057" s="1" t="str">
        <f>"2014-12-24 11:58:08"</f>
        <v>2014-12-24 11:58:08</v>
      </c>
      <c r="M6057" s="1" t="s">
        <v>45</v>
      </c>
      <c r="N6057" s="1" t="s">
        <v>38</v>
      </c>
      <c r="O6057" s="1" t="s">
        <v>46</v>
      </c>
    </row>
    <row r="6058" spans="2:15" x14ac:dyDescent="0.3">
      <c r="B6058" s="1" t="s">
        <v>22</v>
      </c>
      <c r="C6058" s="1" t="str">
        <f>"6차"</f>
        <v>6차</v>
      </c>
      <c r="D6058" s="1" t="str">
        <f>"0230P0216S"</f>
        <v>0230P0216S</v>
      </c>
      <c r="E6058" s="1" t="s">
        <v>10</v>
      </c>
      <c r="F6058" s="1" t="str">
        <f>"fde1:103:4:c761:0:0:0:2"</f>
        <v>fde1:103:4:c761:0:0:0:2</v>
      </c>
      <c r="G6058" s="1" t="str">
        <f>"0230P021"</f>
        <v>0230P021</v>
      </c>
      <c r="H6058" s="1" t="str">
        <f>"신창간 28L2R2"</f>
        <v>신창간 28L2R2</v>
      </c>
      <c r="I6058" s="1" t="s">
        <v>15</v>
      </c>
      <c r="J6058" s="1" t="str">
        <f>"55/59"</f>
        <v>55/59</v>
      </c>
      <c r="K6058" s="1" t="str">
        <f>"2026-07-29 14:20:50"</f>
        <v>2026-07-29 14:20:50</v>
      </c>
      <c r="L6058" s="1" t="str">
        <f>"2025-01-21 17:09:39"</f>
        <v>2025-01-21 17:09:39</v>
      </c>
      <c r="M6058" s="1" t="s">
        <v>4</v>
      </c>
      <c r="N6058" s="1" t="s">
        <v>38</v>
      </c>
      <c r="O6058" s="1" t="s">
        <v>46</v>
      </c>
    </row>
    <row r="6059" spans="2:15" x14ac:dyDescent="0.3">
      <c r="B6059" s="1" t="s">
        <v>22</v>
      </c>
      <c r="C6059" s="1" t="str">
        <f>"1차"</f>
        <v>1차</v>
      </c>
      <c r="D6059" s="1" t="str">
        <f>"0230P03100"</f>
        <v>0230P03100</v>
      </c>
      <c r="E6059" s="1" t="str">
        <f>"검침실패(3시간 이상)"</f>
        <v>검침실패(3시간 이상)</v>
      </c>
      <c r="F6059" s="1" t="str">
        <f>"10.107.252.43"</f>
        <v>10.107.252.43</v>
      </c>
      <c r="G6059" s="1" t="str">
        <f>"0230P031"</f>
        <v>0230P031</v>
      </c>
      <c r="H6059" s="1" t="str">
        <f>"신창간 28L2R1"</f>
        <v>신창간 28L2R1</v>
      </c>
      <c r="I6059" s="1" t="s">
        <v>8</v>
      </c>
      <c r="J6059" s="1" t="str">
        <f>"0/40"</f>
        <v>0/40</v>
      </c>
      <c r="K6059" s="1" t="str">
        <f>"2026-07-29 13:18:01"</f>
        <v>2026-07-29 13:18:01</v>
      </c>
      <c r="L6059" s="1" t="str">
        <f>"2014-12-20 09:57:53"</f>
        <v>2014-12-20 09:57:53</v>
      </c>
      <c r="M6059" s="1" t="s">
        <v>45</v>
      </c>
      <c r="N6059" s="1" t="s">
        <v>38</v>
      </c>
      <c r="O6059" s="1" t="s">
        <v>46</v>
      </c>
    </row>
    <row r="6060" spans="2:15" x14ac:dyDescent="0.3">
      <c r="B6060" s="1" t="s">
        <v>22</v>
      </c>
      <c r="C6060" s="1" t="str">
        <f>"4차"</f>
        <v>4차</v>
      </c>
      <c r="D6060" s="1" t="str">
        <f>"0230P04139"</f>
        <v>0230P04139</v>
      </c>
      <c r="E6060" s="1" t="s">
        <v>10</v>
      </c>
      <c r="F6060" s="1" t="str">
        <f>"10.10.11.162"</f>
        <v>10.10.11.162</v>
      </c>
      <c r="G6060" s="1" t="str">
        <f>"0230P041"</f>
        <v>0230P041</v>
      </c>
      <c r="H6060" s="1" t="str">
        <f>"신창간 28L2D1"</f>
        <v>신창간 28L2D1</v>
      </c>
      <c r="I6060" s="1" t="s">
        <v>8</v>
      </c>
      <c r="J6060" s="1" t="str">
        <f>"26/26"</f>
        <v>26/26</v>
      </c>
      <c r="K6060" s="1" t="str">
        <f>"2026-07-29 13:18:02"</f>
        <v>2026-07-29 13:18:02</v>
      </c>
      <c r="L6060" s="1" t="str">
        <f>"2018-01-11 10:38:39"</f>
        <v>2018-01-11 10:38:39</v>
      </c>
      <c r="M6060" s="1" t="s">
        <v>1</v>
      </c>
      <c r="N6060" s="1" t="s">
        <v>38</v>
      </c>
      <c r="O6060" s="1" t="s">
        <v>46</v>
      </c>
    </row>
    <row r="6061" spans="2:15" x14ac:dyDescent="0.3">
      <c r="B6061" s="1" t="s">
        <v>22</v>
      </c>
      <c r="C6061" s="1" t="str">
        <f>"3차"</f>
        <v>3차</v>
      </c>
      <c r="D6061" s="1" t="str">
        <f>"0230P05139"</f>
        <v>0230P05139</v>
      </c>
      <c r="E6061" s="1" t="s">
        <v>10</v>
      </c>
      <c r="F6061" s="1" t="str">
        <f>"10.10.11.170"</f>
        <v>10.10.11.170</v>
      </c>
      <c r="G6061" s="1" t="str">
        <f>"0230P051"</f>
        <v>0230P051</v>
      </c>
      <c r="H6061" s="1" t="str">
        <f>"신창간 28L3R2"</f>
        <v>신창간 28L3R2</v>
      </c>
      <c r="I6061" s="1" t="s">
        <v>8</v>
      </c>
      <c r="J6061" s="1" t="str">
        <f>"21/21"</f>
        <v>21/21</v>
      </c>
      <c r="K6061" s="1" t="str">
        <f>"2026-07-29 13:18:02"</f>
        <v>2026-07-29 13:18:02</v>
      </c>
      <c r="L6061" s="1" t="str">
        <f>"2018-01-11 11:13:24"</f>
        <v>2018-01-11 11:13:24</v>
      </c>
      <c r="M6061" s="1" t="s">
        <v>1</v>
      </c>
      <c r="N6061" s="1" t="s">
        <v>38</v>
      </c>
      <c r="O6061" s="1" t="s">
        <v>46</v>
      </c>
    </row>
    <row r="6062" spans="2:15" x14ac:dyDescent="0.3">
      <c r="B6062" s="1" t="s">
        <v>22</v>
      </c>
      <c r="C6062" s="1" t="str">
        <f>"3차"</f>
        <v>3차</v>
      </c>
      <c r="D6062" s="1" t="str">
        <f>"0230P06139"</f>
        <v>0230P06139</v>
      </c>
      <c r="E6062" s="1" t="s">
        <v>10</v>
      </c>
      <c r="F6062" s="1" t="str">
        <f>"10.10.11.122"</f>
        <v>10.10.11.122</v>
      </c>
      <c r="G6062" s="1" t="str">
        <f>"0230P061"</f>
        <v>0230P061</v>
      </c>
      <c r="H6062" s="1" t="str">
        <f>"신창간 122L3"</f>
        <v>신창간 122L3</v>
      </c>
      <c r="I6062" s="1" t="s">
        <v>8</v>
      </c>
      <c r="J6062" s="1" t="str">
        <f>"72/77"</f>
        <v>72/77</v>
      </c>
      <c r="K6062" s="1" t="str">
        <f>"2026-07-29 13:18:02"</f>
        <v>2026-07-29 13:18:02</v>
      </c>
      <c r="L6062" s="1" t="str">
        <f>"2018-05-11 16:41:02"</f>
        <v>2018-05-11 16:41:02</v>
      </c>
      <c r="M6062" s="1" t="s">
        <v>1</v>
      </c>
      <c r="N6062" s="1" t="s">
        <v>38</v>
      </c>
      <c r="O6062" s="1" t="s">
        <v>46</v>
      </c>
    </row>
    <row r="6063" spans="2:15" x14ac:dyDescent="0.3">
      <c r="B6063" s="1" t="s">
        <v>22</v>
      </c>
      <c r="C6063" s="1" t="str">
        <f>"1차"</f>
        <v>1차</v>
      </c>
      <c r="D6063" s="1" t="str">
        <f>"0230P10200"</f>
        <v>0230P10200</v>
      </c>
      <c r="E6063" s="1" t="s">
        <v>10</v>
      </c>
      <c r="F6063" s="1" t="str">
        <f>"10.107.249.7"</f>
        <v>10.107.249.7</v>
      </c>
      <c r="G6063" s="1" t="str">
        <f>"0230P102"</f>
        <v>0230P102</v>
      </c>
      <c r="H6063" s="1" t="str">
        <f>"신창간 40L3L3"</f>
        <v>신창간 40L3L3</v>
      </c>
      <c r="I6063" s="1" t="s">
        <v>8</v>
      </c>
      <c r="J6063" s="1" t="str">
        <f>"16/17"</f>
        <v>16/17</v>
      </c>
      <c r="K6063" s="1" t="str">
        <f>"2026-07-29 13:18:02"</f>
        <v>2026-07-29 13:18:02</v>
      </c>
      <c r="L6063" s="1" t="str">
        <f>"2014-12-24 11:13:01"</f>
        <v>2014-12-24 11:13:01</v>
      </c>
      <c r="M6063" s="1" t="s">
        <v>45</v>
      </c>
      <c r="N6063" s="1" t="s">
        <v>38</v>
      </c>
      <c r="O6063" s="1" t="s">
        <v>46</v>
      </c>
    </row>
    <row r="6064" spans="2:15" x14ac:dyDescent="0.3">
      <c r="B6064" s="1" t="s">
        <v>22</v>
      </c>
      <c r="C6064" s="1" t="str">
        <f>"1차"</f>
        <v>1차</v>
      </c>
      <c r="D6064" s="1" t="str">
        <f>"0230P11101"</f>
        <v>0230P11101</v>
      </c>
      <c r="E6064" s="1" t="s">
        <v>10</v>
      </c>
      <c r="F6064" s="1" t="str">
        <f>"10.107.249.11"</f>
        <v>10.107.249.11</v>
      </c>
      <c r="G6064" s="1" t="str">
        <f>"0230P111"</f>
        <v>0230P111</v>
      </c>
      <c r="H6064" s="1" t="str">
        <f>"신창간 40L3L4"</f>
        <v>신창간 40L3L4</v>
      </c>
      <c r="I6064" s="1" t="s">
        <v>8</v>
      </c>
      <c r="J6064" s="1" t="str">
        <f>"19/19"</f>
        <v>19/19</v>
      </c>
      <c r="K6064" s="1" t="str">
        <f>"2026-07-29 13:18:03"</f>
        <v>2026-07-29 13:18:03</v>
      </c>
      <c r="L6064" s="1" t="str">
        <f>"2014-12-24 11:13:38"</f>
        <v>2014-12-24 11:13:38</v>
      </c>
      <c r="M6064" s="1" t="s">
        <v>45</v>
      </c>
      <c r="N6064" s="1" t="s">
        <v>38</v>
      </c>
      <c r="O6064" s="1" t="s">
        <v>46</v>
      </c>
    </row>
    <row r="6065" spans="2:15" x14ac:dyDescent="0.3">
      <c r="B6065" s="1" t="s">
        <v>22</v>
      </c>
      <c r="C6065" s="1" t="str">
        <f>"1차"</f>
        <v>1차</v>
      </c>
      <c r="D6065" s="1" t="str">
        <f>"0230P11200"</f>
        <v>0230P11200</v>
      </c>
      <c r="E6065" s="1" t="s">
        <v>10</v>
      </c>
      <c r="F6065" s="1" t="str">
        <f>"10.107.249.21"</f>
        <v>10.107.249.21</v>
      </c>
      <c r="G6065" s="1" t="str">
        <f>"0230P112"</f>
        <v>0230P112</v>
      </c>
      <c r="H6065" s="1" t="str">
        <f>"신창간 40L5L1"</f>
        <v>신창간 40L5L1</v>
      </c>
      <c r="I6065" s="1" t="s">
        <v>8</v>
      </c>
      <c r="J6065" s="1" t="str">
        <f>"18/18"</f>
        <v>18/18</v>
      </c>
      <c r="K6065" s="1" t="str">
        <f>"2026-07-29 13:18:02"</f>
        <v>2026-07-29 13:18:02</v>
      </c>
      <c r="L6065" s="1" t="str">
        <f>"2014-12-24 11:28:42"</f>
        <v>2014-12-24 11:28:42</v>
      </c>
      <c r="M6065" s="1" t="s">
        <v>45</v>
      </c>
      <c r="N6065" s="1" t="s">
        <v>38</v>
      </c>
      <c r="O6065" s="1" t="s">
        <v>46</v>
      </c>
    </row>
    <row r="6066" spans="2:15" x14ac:dyDescent="0.3">
      <c r="B6066" s="1" t="s">
        <v>22</v>
      </c>
      <c r="C6066" s="1" t="str">
        <f>"1차"</f>
        <v>1차</v>
      </c>
      <c r="D6066" s="1" t="str">
        <f>"0230P12101"</f>
        <v>0230P12101</v>
      </c>
      <c r="E6066" s="1" t="s">
        <v>10</v>
      </c>
      <c r="F6066" s="1" t="str">
        <f>"10.107.249.16"</f>
        <v>10.107.249.16</v>
      </c>
      <c r="G6066" s="1" t="str">
        <f>"0230P121"</f>
        <v>0230P121</v>
      </c>
      <c r="H6066" s="1" t="str">
        <f>"신창간 40L3L6"</f>
        <v>신창간 40L3L6</v>
      </c>
      <c r="I6066" s="1" t="s">
        <v>8</v>
      </c>
      <c r="J6066" s="1" t="str">
        <f>"14/14"</f>
        <v>14/14</v>
      </c>
      <c r="K6066" s="1" t="str">
        <f>"2026-07-29 13:18:01"</f>
        <v>2026-07-29 13:18:01</v>
      </c>
      <c r="L6066" s="1" t="str">
        <f>"2014-12-24 10:58:02"</f>
        <v>2014-12-24 10:58:02</v>
      </c>
      <c r="M6066" s="1" t="s">
        <v>45</v>
      </c>
      <c r="N6066" s="1" t="s">
        <v>38</v>
      </c>
      <c r="O6066" s="1" t="s">
        <v>46</v>
      </c>
    </row>
    <row r="6067" spans="2:15" x14ac:dyDescent="0.3">
      <c r="B6067" s="1" t="s">
        <v>22</v>
      </c>
      <c r="C6067" s="1" t="str">
        <f>"3차"</f>
        <v>3차</v>
      </c>
      <c r="D6067" s="1" t="str">
        <f>"0230P14131"</f>
        <v>0230P14131</v>
      </c>
      <c r="E6067" s="1" t="s">
        <v>10</v>
      </c>
      <c r="F6067" s="1" t="str">
        <f>"10.12.130.172"</f>
        <v>10.12.130.172</v>
      </c>
      <c r="G6067" s="1" t="str">
        <f>"0230P141"</f>
        <v>0230P141</v>
      </c>
      <c r="H6067" s="1" t="str">
        <f>"신창간 28L2R4"</f>
        <v>신창간 28L2R4</v>
      </c>
      <c r="I6067" s="1" t="s">
        <v>8</v>
      </c>
      <c r="J6067" s="1" t="str">
        <f>"30/44"</f>
        <v>30/44</v>
      </c>
      <c r="K6067" s="1" t="str">
        <f>"2026-07-29 13:18:03"</f>
        <v>2026-07-29 13:18:03</v>
      </c>
      <c r="L6067" s="1" t="str">
        <f>"2018-01-20 14:19:12"</f>
        <v>2018-01-20 14:19:12</v>
      </c>
      <c r="M6067" s="1" t="s">
        <v>0</v>
      </c>
      <c r="N6067" s="1" t="s">
        <v>38</v>
      </c>
      <c r="O6067" s="1" t="s">
        <v>46</v>
      </c>
    </row>
    <row r="6068" spans="2:15" x14ac:dyDescent="0.3">
      <c r="B6068" s="1" t="s">
        <v>22</v>
      </c>
      <c r="C6068" s="1" t="str">
        <f>"3차"</f>
        <v>3차</v>
      </c>
      <c r="D6068" s="1" t="str">
        <f>"0230P16239"</f>
        <v>0230P16239</v>
      </c>
      <c r="E6068" s="1" t="s">
        <v>10</v>
      </c>
      <c r="F6068" s="1" t="str">
        <f>"10.10.8.58"</f>
        <v>10.10.8.58</v>
      </c>
      <c r="G6068" s="1" t="str">
        <f>"0230P162"</f>
        <v>0230P162</v>
      </c>
      <c r="H6068" s="1" t="str">
        <f>"신창간 119L7"</f>
        <v>신창간 119L7</v>
      </c>
      <c r="I6068" s="1" t="s">
        <v>8</v>
      </c>
      <c r="J6068" s="1" t="str">
        <f>"38/38"</f>
        <v>38/38</v>
      </c>
      <c r="K6068" s="1" t="str">
        <f>"2026-07-29 13:18:02"</f>
        <v>2026-07-29 13:18:02</v>
      </c>
      <c r="L6068" s="1" t="str">
        <f>"2018-01-09 17:23:59"</f>
        <v>2018-01-09 17:23:59</v>
      </c>
      <c r="M6068" s="1" t="s">
        <v>1</v>
      </c>
      <c r="N6068" s="1" t="s">
        <v>38</v>
      </c>
      <c r="O6068" s="1" t="s">
        <v>46</v>
      </c>
    </row>
    <row r="6069" spans="2:15" x14ac:dyDescent="0.3">
      <c r="B6069" s="1" t="s">
        <v>22</v>
      </c>
      <c r="C6069" s="1" t="str">
        <f>"3차"</f>
        <v>3차</v>
      </c>
      <c r="D6069" s="1" t="str">
        <f>"0230P17139"</f>
        <v>0230P17139</v>
      </c>
      <c r="E6069" s="1" t="s">
        <v>10</v>
      </c>
      <c r="F6069" s="1" t="str">
        <f>"10.107.249.27"</f>
        <v>10.107.249.27</v>
      </c>
      <c r="G6069" s="1" t="str">
        <f>"0230P171"</f>
        <v>0230P171</v>
      </c>
      <c r="H6069" s="1" t="str">
        <f>"신창간 121L3"</f>
        <v>신창간 121L3</v>
      </c>
      <c r="I6069" s="1" t="s">
        <v>8</v>
      </c>
      <c r="J6069" s="1" t="str">
        <f>"45/45"</f>
        <v>45/45</v>
      </c>
      <c r="K6069" s="1" t="str">
        <f>"2026-07-29 13:18:02"</f>
        <v>2026-07-29 13:18:02</v>
      </c>
      <c r="L6069" s="1" t="str">
        <f>"2018-03-30 09:21:58"</f>
        <v>2018-03-30 09:21:58</v>
      </c>
      <c r="M6069" s="1" t="s">
        <v>45</v>
      </c>
      <c r="N6069" s="1" t="s">
        <v>38</v>
      </c>
      <c r="O6069" s="1" t="s">
        <v>46</v>
      </c>
    </row>
    <row r="6070" spans="2:15" x14ac:dyDescent="0.3">
      <c r="B6070" s="1" t="s">
        <v>22</v>
      </c>
      <c r="C6070" s="1" t="str">
        <f>"3차"</f>
        <v>3차</v>
      </c>
      <c r="D6070" s="1" t="str">
        <f>"0230P18239"</f>
        <v>0230P18239</v>
      </c>
      <c r="E6070" s="1" t="s">
        <v>10</v>
      </c>
      <c r="F6070" s="1" t="str">
        <f>"10.10.11.114"</f>
        <v>10.10.11.114</v>
      </c>
      <c r="G6070" s="1" t="str">
        <f>"0230P182"</f>
        <v>0230P182</v>
      </c>
      <c r="H6070" s="1" t="str">
        <f>"신창간 122H3"</f>
        <v>신창간 122H3</v>
      </c>
      <c r="I6070" s="1" t="s">
        <v>8</v>
      </c>
      <c r="J6070" s="1" t="str">
        <f>"18/18"</f>
        <v>18/18</v>
      </c>
      <c r="K6070" s="1" t="str">
        <f>"2026-07-29 13:18:03"</f>
        <v>2026-07-29 13:18:03</v>
      </c>
      <c r="L6070" s="1" t="str">
        <f>"2018-02-02 15:43:28"</f>
        <v>2018-02-02 15:43:28</v>
      </c>
      <c r="M6070" s="1" t="s">
        <v>1</v>
      </c>
      <c r="N6070" s="1" t="s">
        <v>38</v>
      </c>
      <c r="O6070" s="1" t="s">
        <v>46</v>
      </c>
    </row>
    <row r="6071" spans="2:15" x14ac:dyDescent="0.3">
      <c r="B6071" s="1" t="s">
        <v>22</v>
      </c>
      <c r="C6071" s="1" t="str">
        <f>"3차"</f>
        <v>3차</v>
      </c>
      <c r="D6071" s="1" t="str">
        <f>"0230P19230"</f>
        <v>0230P19230</v>
      </c>
      <c r="E6071" s="1" t="s">
        <v>10</v>
      </c>
      <c r="F6071" s="1" t="str">
        <f>"10.10.22.170"</f>
        <v>10.10.22.170</v>
      </c>
      <c r="G6071" s="1" t="str">
        <f>"0230P192"</f>
        <v>0230P192</v>
      </c>
      <c r="H6071" s="1" t="str">
        <f>"신창간 124R3"</f>
        <v>신창간 124R3</v>
      </c>
      <c r="I6071" s="1" t="s">
        <v>8</v>
      </c>
      <c r="J6071" s="1" t="str">
        <f>"28/28"</f>
        <v>28/28</v>
      </c>
      <c r="K6071" s="1" t="str">
        <f>"2026-07-29 13:18:03"</f>
        <v>2026-07-29 13:18:03</v>
      </c>
      <c r="L6071" s="1" t="str">
        <f>"2018-01-10 11:46:10"</f>
        <v>2018-01-10 11:46:10</v>
      </c>
      <c r="M6071" s="1" t="s">
        <v>1</v>
      </c>
      <c r="N6071" s="1" t="s">
        <v>38</v>
      </c>
      <c r="O6071" s="1" t="s">
        <v>46</v>
      </c>
    </row>
    <row r="6072" spans="2:15" x14ac:dyDescent="0.3">
      <c r="B6072" s="1" t="s">
        <v>22</v>
      </c>
      <c r="C6072" s="1" t="str">
        <f>"1차"</f>
        <v>1차</v>
      </c>
      <c r="D6072" s="1" t="str">
        <f>"0230P20101"</f>
        <v>0230P20101</v>
      </c>
      <c r="E6072" s="1" t="s">
        <v>10</v>
      </c>
      <c r="F6072" s="1" t="str">
        <f>"10.107.249.13"</f>
        <v>10.107.249.13</v>
      </c>
      <c r="G6072" s="1" t="str">
        <f>"0230P201"</f>
        <v>0230P201</v>
      </c>
      <c r="H6072" s="1" t="str">
        <f>"신창간 40L3L1"</f>
        <v>신창간 40L3L1</v>
      </c>
      <c r="I6072" s="1" t="s">
        <v>8</v>
      </c>
      <c r="J6072" s="1" t="str">
        <f>"10/10"</f>
        <v>10/10</v>
      </c>
      <c r="K6072" s="1" t="str">
        <f>"2026-07-29 13:18:01"</f>
        <v>2026-07-29 13:18:01</v>
      </c>
      <c r="L6072" s="1" t="str">
        <f>"2014-12-24 09:42:49"</f>
        <v>2014-12-24 09:42:49</v>
      </c>
      <c r="M6072" s="1" t="s">
        <v>45</v>
      </c>
      <c r="N6072" s="1" t="s">
        <v>38</v>
      </c>
      <c r="O6072" s="1" t="s">
        <v>46</v>
      </c>
    </row>
    <row r="6073" spans="2:15" x14ac:dyDescent="0.3">
      <c r="B6073" s="1" t="s">
        <v>22</v>
      </c>
      <c r="C6073" s="1" t="str">
        <f>"1차"</f>
        <v>1차</v>
      </c>
      <c r="D6073" s="1" t="str">
        <f>"0230P21200"</f>
        <v>0230P21200</v>
      </c>
      <c r="E6073" s="1" t="s">
        <v>10</v>
      </c>
      <c r="F6073" s="1" t="str">
        <f>"10.107.249.12"</f>
        <v>10.107.249.12</v>
      </c>
      <c r="G6073" s="1" t="str">
        <f>"0230P212"</f>
        <v>0230P212</v>
      </c>
      <c r="H6073" s="1" t="str">
        <f>"신창간 40L4"</f>
        <v>신창간 40L4</v>
      </c>
      <c r="I6073" s="1" t="s">
        <v>8</v>
      </c>
      <c r="J6073" s="1" t="str">
        <f>"29/29"</f>
        <v>29/29</v>
      </c>
      <c r="K6073" s="1" t="str">
        <f t="shared" ref="K6073:K6078" si="306">"2026-07-29 13:18:03"</f>
        <v>2026-07-29 13:18:03</v>
      </c>
      <c r="L6073" s="1" t="str">
        <f>"2014-12-24 09:43:16"</f>
        <v>2014-12-24 09:43:16</v>
      </c>
      <c r="M6073" s="1" t="s">
        <v>45</v>
      </c>
      <c r="N6073" s="1" t="s">
        <v>38</v>
      </c>
      <c r="O6073" s="1" t="s">
        <v>46</v>
      </c>
    </row>
    <row r="6074" spans="2:15" x14ac:dyDescent="0.3">
      <c r="B6074" s="1" t="s">
        <v>22</v>
      </c>
      <c r="C6074" s="1" t="str">
        <f>"1차"</f>
        <v>1차</v>
      </c>
      <c r="D6074" s="1" t="str">
        <f>"0230P22100"</f>
        <v>0230P22100</v>
      </c>
      <c r="E6074" s="1" t="s">
        <v>10</v>
      </c>
      <c r="F6074" s="1" t="str">
        <f>"10.107.249.15"</f>
        <v>10.107.249.15</v>
      </c>
      <c r="G6074" s="1" t="str">
        <f>"0230P221"</f>
        <v>0230P221</v>
      </c>
      <c r="H6074" s="1" t="str">
        <f>"신창간 40L3L7"</f>
        <v>신창간 40L3L7</v>
      </c>
      <c r="I6074" s="1" t="s">
        <v>8</v>
      </c>
      <c r="J6074" s="1" t="str">
        <f>"28/28"</f>
        <v>28/28</v>
      </c>
      <c r="K6074" s="1" t="str">
        <f t="shared" si="306"/>
        <v>2026-07-29 13:18:03</v>
      </c>
      <c r="L6074" s="1" t="str">
        <f>"2014-12-24 10:58:05"</f>
        <v>2014-12-24 10:58:05</v>
      </c>
      <c r="M6074" s="1" t="s">
        <v>45</v>
      </c>
      <c r="N6074" s="1" t="s">
        <v>38</v>
      </c>
      <c r="O6074" s="1" t="s">
        <v>46</v>
      </c>
    </row>
    <row r="6075" spans="2:15" x14ac:dyDescent="0.3">
      <c r="B6075" s="1" t="s">
        <v>22</v>
      </c>
      <c r="C6075" s="1" t="str">
        <f>"1차"</f>
        <v>1차</v>
      </c>
      <c r="D6075" s="1" t="str">
        <f>"0230P23101"</f>
        <v>0230P23101</v>
      </c>
      <c r="E6075" s="1" t="s">
        <v>10</v>
      </c>
      <c r="F6075" s="1" t="str">
        <f>"10.107.249.17"</f>
        <v>10.107.249.17</v>
      </c>
      <c r="G6075" s="1" t="str">
        <f>"0230P231"</f>
        <v>0230P231</v>
      </c>
      <c r="H6075" s="1" t="str">
        <f>"신창간 40L3L8"</f>
        <v>신창간 40L3L8</v>
      </c>
      <c r="I6075" s="1" t="s">
        <v>8</v>
      </c>
      <c r="J6075" s="1" t="str">
        <f>"33/33"</f>
        <v>33/33</v>
      </c>
      <c r="K6075" s="1" t="str">
        <f t="shared" si="306"/>
        <v>2026-07-29 13:18:03</v>
      </c>
      <c r="L6075" s="1" t="str">
        <f>"2014-12-24 10:58:20"</f>
        <v>2014-12-24 10:58:20</v>
      </c>
      <c r="M6075" s="1" t="s">
        <v>45</v>
      </c>
      <c r="N6075" s="1" t="s">
        <v>38</v>
      </c>
      <c r="O6075" s="1" t="s">
        <v>46</v>
      </c>
    </row>
    <row r="6076" spans="2:15" x14ac:dyDescent="0.3">
      <c r="B6076" s="1" t="s">
        <v>22</v>
      </c>
      <c r="C6076" s="1" t="str">
        <f>"4차"</f>
        <v>4차</v>
      </c>
      <c r="D6076" s="1" t="str">
        <f>"0230P24130"</f>
        <v>0230P24130</v>
      </c>
      <c r="E6076" s="1" t="s">
        <v>10</v>
      </c>
      <c r="F6076" s="1" t="str">
        <f>"10.10.24.162"</f>
        <v>10.10.24.162</v>
      </c>
      <c r="G6076" s="1" t="str">
        <f>"0230P241"</f>
        <v>0230P241</v>
      </c>
      <c r="H6076" s="1" t="str">
        <f>"신창간 28L2R5"</f>
        <v>신창간 28L2R5</v>
      </c>
      <c r="I6076" s="1" t="s">
        <v>8</v>
      </c>
      <c r="J6076" s="1" t="str">
        <f>"10/10"</f>
        <v>10/10</v>
      </c>
      <c r="K6076" s="1" t="str">
        <f t="shared" si="306"/>
        <v>2026-07-29 13:18:03</v>
      </c>
      <c r="L6076" s="1" t="str">
        <f>"2025-05-26 19:36:44"</f>
        <v>2025-05-26 19:36:44</v>
      </c>
      <c r="M6076" s="1" t="s">
        <v>1</v>
      </c>
      <c r="N6076" s="1" t="s">
        <v>38</v>
      </c>
      <c r="O6076" s="1" t="s">
        <v>46</v>
      </c>
    </row>
    <row r="6077" spans="2:15" x14ac:dyDescent="0.3">
      <c r="B6077" s="1" t="s">
        <v>22</v>
      </c>
      <c r="C6077" s="1" t="str">
        <f>"3차"</f>
        <v>3차</v>
      </c>
      <c r="D6077" s="1" t="str">
        <f>"0230P25131"</f>
        <v>0230P25131</v>
      </c>
      <c r="E6077" s="1" t="s">
        <v>10</v>
      </c>
      <c r="F6077" s="1" t="str">
        <f>"10.10.24.107"</f>
        <v>10.10.24.107</v>
      </c>
      <c r="G6077" s="1" t="str">
        <f>"0230P251"</f>
        <v>0230P251</v>
      </c>
      <c r="H6077" s="1" t="str">
        <f>"신창간 116C5"</f>
        <v>신창간 116C5</v>
      </c>
      <c r="I6077" s="1" t="s">
        <v>8</v>
      </c>
      <c r="J6077" s="1" t="str">
        <f>"18/18"</f>
        <v>18/18</v>
      </c>
      <c r="K6077" s="1" t="str">
        <f t="shared" si="306"/>
        <v>2026-07-29 13:18:03</v>
      </c>
      <c r="L6077" s="1" t="str">
        <f>"2018-01-20 14:27:27"</f>
        <v>2018-01-20 14:27:27</v>
      </c>
      <c r="M6077" s="1" t="s">
        <v>1</v>
      </c>
      <c r="N6077" s="1" t="s">
        <v>38</v>
      </c>
      <c r="O6077" s="1" t="s">
        <v>46</v>
      </c>
    </row>
    <row r="6078" spans="2:15" x14ac:dyDescent="0.3">
      <c r="B6078" s="1" t="s">
        <v>22</v>
      </c>
      <c r="C6078" s="1" t="str">
        <f>"1차"</f>
        <v>1차</v>
      </c>
      <c r="D6078" s="1" t="str">
        <f>"0230P26131"</f>
        <v>0230P26131</v>
      </c>
      <c r="E6078" s="1" t="s">
        <v>10</v>
      </c>
      <c r="F6078" s="1" t="str">
        <f>"10.12.138.123"</f>
        <v>10.12.138.123</v>
      </c>
      <c r="G6078" s="1" t="str">
        <f>"0230P261"</f>
        <v>0230P261</v>
      </c>
      <c r="H6078" s="1" t="str">
        <f>"신창간 119L4"</f>
        <v>신창간 119L4</v>
      </c>
      <c r="I6078" s="1" t="s">
        <v>8</v>
      </c>
      <c r="J6078" s="1" t="str">
        <f>"51/51"</f>
        <v>51/51</v>
      </c>
      <c r="K6078" s="1" t="str">
        <f t="shared" si="306"/>
        <v>2026-07-29 13:18:03</v>
      </c>
      <c r="L6078" s="1" t="str">
        <f>"2018-03-15 15:40:57"</f>
        <v>2018-03-15 15:40:57</v>
      </c>
      <c r="M6078" s="1" t="s">
        <v>0</v>
      </c>
      <c r="N6078" s="1" t="s">
        <v>38</v>
      </c>
      <c r="O6078" s="1" t="s">
        <v>46</v>
      </c>
    </row>
    <row r="6079" spans="2:15" x14ac:dyDescent="0.3">
      <c r="B6079" s="1" t="s">
        <v>22</v>
      </c>
      <c r="C6079" s="1" t="str">
        <f>"1차"</f>
        <v>1차</v>
      </c>
      <c r="D6079" s="1" t="str">
        <f>"0230P31101"</f>
        <v>0230P31101</v>
      </c>
      <c r="E6079" s="1" t="s">
        <v>10</v>
      </c>
      <c r="F6079" s="1" t="str">
        <f>"10.107.249.14"</f>
        <v>10.107.249.14</v>
      </c>
      <c r="G6079" s="1" t="str">
        <f>"0230P311"</f>
        <v>0230P311</v>
      </c>
      <c r="H6079" s="1" t="str">
        <f>"신창간 40L3R1"</f>
        <v>신창간 40L3R1</v>
      </c>
      <c r="I6079" s="1" t="s">
        <v>8</v>
      </c>
      <c r="J6079" s="1" t="str">
        <f>"79/80"</f>
        <v>79/80</v>
      </c>
      <c r="K6079" s="1" t="str">
        <f>"2026-07-29 13:18:02"</f>
        <v>2026-07-29 13:18:02</v>
      </c>
      <c r="L6079" s="1" t="str">
        <f>"2014-12-24 09:43:08"</f>
        <v>2014-12-24 09:43:08</v>
      </c>
      <c r="M6079" s="1" t="s">
        <v>45</v>
      </c>
      <c r="N6079" s="1" t="s">
        <v>38</v>
      </c>
      <c r="O6079" s="1" t="s">
        <v>46</v>
      </c>
    </row>
    <row r="6080" spans="2:15" x14ac:dyDescent="0.3">
      <c r="B6080" s="1" t="s">
        <v>22</v>
      </c>
      <c r="C6080" s="1" t="str">
        <f>"1차"</f>
        <v>1차</v>
      </c>
      <c r="D6080" s="1" t="str">
        <f>"0230P33200"</f>
        <v>0230P33200</v>
      </c>
      <c r="E6080" s="1" t="s">
        <v>10</v>
      </c>
      <c r="F6080" s="1" t="str">
        <f>"10.107.249.130"</f>
        <v>10.107.249.130</v>
      </c>
      <c r="G6080" s="1" t="str">
        <f>"0230P332"</f>
        <v>0230P332</v>
      </c>
      <c r="H6080" s="1" t="str">
        <f>"신창간 40L8"</f>
        <v>신창간 40L8</v>
      </c>
      <c r="I6080" s="1" t="s">
        <v>8</v>
      </c>
      <c r="J6080" s="1" t="str">
        <f>"48/48"</f>
        <v>48/48</v>
      </c>
      <c r="K6080" s="1" t="str">
        <f>"2026-07-29 13:18:03"</f>
        <v>2026-07-29 13:18:03</v>
      </c>
      <c r="L6080" s="1" t="str">
        <f>"2014-12-24 10:28:37"</f>
        <v>2014-12-24 10:28:37</v>
      </c>
      <c r="M6080" s="1" t="s">
        <v>45</v>
      </c>
      <c r="N6080" s="1" t="s">
        <v>38</v>
      </c>
      <c r="O6080" s="1" t="s">
        <v>46</v>
      </c>
    </row>
    <row r="6081" spans="2:15" x14ac:dyDescent="0.3">
      <c r="B6081" s="1" t="s">
        <v>22</v>
      </c>
      <c r="C6081" s="1" t="str">
        <f>"1차"</f>
        <v>1차</v>
      </c>
      <c r="D6081" s="1" t="str">
        <f>"0230P34101"</f>
        <v>0230P34101</v>
      </c>
      <c r="E6081" s="1" t="s">
        <v>10</v>
      </c>
      <c r="F6081" s="1" t="str">
        <f>"10.12.130.219"</f>
        <v>10.12.130.219</v>
      </c>
      <c r="G6081" s="1" t="str">
        <f>"0230P341"</f>
        <v>0230P341</v>
      </c>
      <c r="H6081" s="1" t="str">
        <f>"신창간 40L3L9"</f>
        <v>신창간 40L3L9</v>
      </c>
      <c r="I6081" s="1" t="s">
        <v>8</v>
      </c>
      <c r="J6081" s="1" t="str">
        <f>"23/24"</f>
        <v>23/24</v>
      </c>
      <c r="K6081" s="1" t="str">
        <f>"2026-07-29 13:18:04"</f>
        <v>2026-07-29 13:18:04</v>
      </c>
      <c r="L6081" s="1" t="str">
        <f>"2014-12-26 10:57:39"</f>
        <v>2014-12-26 10:57:39</v>
      </c>
      <c r="M6081" s="1" t="s">
        <v>0</v>
      </c>
      <c r="N6081" s="1" t="s">
        <v>38</v>
      </c>
      <c r="O6081" s="1" t="s">
        <v>46</v>
      </c>
    </row>
    <row r="6082" spans="2:15" x14ac:dyDescent="0.3">
      <c r="B6082" s="1" t="s">
        <v>22</v>
      </c>
      <c r="C6082" s="1" t="str">
        <f>"6차"</f>
        <v>6차</v>
      </c>
      <c r="D6082" s="1" t="str">
        <f>"0230P3436S"</f>
        <v>0230P3436S</v>
      </c>
      <c r="E6082" s="1" t="s">
        <v>10</v>
      </c>
      <c r="F6082" s="1" t="str">
        <f>"fde1:103:4:91e4:0:0:0:2"</f>
        <v>fde1:103:4:91e4:0:0:0:2</v>
      </c>
      <c r="G6082" s="1" t="str">
        <f>"0230P343"</f>
        <v>0230P343</v>
      </c>
      <c r="H6082" s="1" t="str">
        <f>"신창간 116L1R5"</f>
        <v>신창간 116L1R5</v>
      </c>
      <c r="I6082" s="1" t="s">
        <v>15</v>
      </c>
      <c r="J6082" s="1" t="str">
        <f>"13/13"</f>
        <v>13/13</v>
      </c>
      <c r="K6082" s="1" t="str">
        <f>"2026-07-29 14:21:07"</f>
        <v>2026-07-29 14:21:07</v>
      </c>
      <c r="L6082" s="1" t="str">
        <f>"2025-02-18 15:48:23"</f>
        <v>2025-02-18 15:48:23</v>
      </c>
      <c r="M6082" s="1" t="s">
        <v>4</v>
      </c>
      <c r="N6082" s="1" t="s">
        <v>38</v>
      </c>
      <c r="O6082" s="1" t="s">
        <v>46</v>
      </c>
    </row>
    <row r="6083" spans="2:15" x14ac:dyDescent="0.3">
      <c r="B6083" s="1" t="s">
        <v>22</v>
      </c>
      <c r="C6083" s="1" t="str">
        <f>"3차"</f>
        <v>3차</v>
      </c>
      <c r="D6083" s="1" t="str">
        <f>"0230P36130"</f>
        <v>0230P36130</v>
      </c>
      <c r="E6083" s="1" t="s">
        <v>10</v>
      </c>
      <c r="F6083" s="1" t="str">
        <f>"10.10.24.106"</f>
        <v>10.10.24.106</v>
      </c>
      <c r="G6083" s="1" t="str">
        <f>"0230P361"</f>
        <v>0230P361</v>
      </c>
      <c r="H6083" s="1" t="str">
        <f>"신창간 116C4"</f>
        <v>신창간 116C4</v>
      </c>
      <c r="I6083" s="1" t="s">
        <v>8</v>
      </c>
      <c r="J6083" s="1" t="str">
        <f>"47/47"</f>
        <v>47/47</v>
      </c>
      <c r="K6083" s="1" t="str">
        <f>"2026-07-29 13:18:03"</f>
        <v>2026-07-29 13:18:03</v>
      </c>
      <c r="L6083" s="1" t="str">
        <f>"2018-01-09 15:41:44"</f>
        <v>2018-01-09 15:41:44</v>
      </c>
      <c r="M6083" s="1" t="s">
        <v>1</v>
      </c>
      <c r="N6083" s="1" t="s">
        <v>38</v>
      </c>
      <c r="O6083" s="1" t="s">
        <v>46</v>
      </c>
    </row>
    <row r="6084" spans="2:15" x14ac:dyDescent="0.3">
      <c r="B6084" s="1" t="s">
        <v>22</v>
      </c>
      <c r="C6084" s="1" t="str">
        <f>"3차"</f>
        <v>3차</v>
      </c>
      <c r="D6084" s="1" t="str">
        <f>"0230P37132"</f>
        <v>0230P37132</v>
      </c>
      <c r="E6084" s="1" t="s">
        <v>10</v>
      </c>
      <c r="F6084" s="1" t="str">
        <f>"10.10.23.180"</f>
        <v>10.10.23.180</v>
      </c>
      <c r="G6084" s="1" t="str">
        <f>"0230P371"</f>
        <v>0230P371</v>
      </c>
      <c r="H6084" s="1" t="str">
        <f>"신창간 119"</f>
        <v>신창간 119</v>
      </c>
      <c r="I6084" s="1" t="s">
        <v>8</v>
      </c>
      <c r="J6084" s="1" t="str">
        <f>"22/22"</f>
        <v>22/22</v>
      </c>
      <c r="K6084" s="1" t="str">
        <f>"2026-07-29 13:18:03"</f>
        <v>2026-07-29 13:18:03</v>
      </c>
      <c r="L6084" s="1" t="str">
        <f>"2018-01-20 12:13:42"</f>
        <v>2018-01-20 12:13:42</v>
      </c>
      <c r="M6084" s="1" t="s">
        <v>1</v>
      </c>
      <c r="N6084" s="1" t="s">
        <v>38</v>
      </c>
      <c r="O6084" s="1" t="s">
        <v>46</v>
      </c>
    </row>
    <row r="6085" spans="2:15" x14ac:dyDescent="0.3">
      <c r="B6085" s="1" t="s">
        <v>22</v>
      </c>
      <c r="C6085" s="1" t="str">
        <f>"1차"</f>
        <v>1차</v>
      </c>
      <c r="D6085" s="1" t="str">
        <f>"0230P42101"</f>
        <v>0230P42101</v>
      </c>
      <c r="E6085" s="1" t="s">
        <v>10</v>
      </c>
      <c r="F6085" s="1" t="str">
        <f>"10.14.9.191"</f>
        <v>10.14.9.191</v>
      </c>
      <c r="G6085" s="1" t="str">
        <f>"0230P421"</f>
        <v>0230P421</v>
      </c>
      <c r="H6085" s="1" t="str">
        <f>"신창간 40L3R2"</f>
        <v>신창간 40L3R2</v>
      </c>
      <c r="I6085" s="1" t="s">
        <v>8</v>
      </c>
      <c r="J6085" s="1" t="str">
        <f>"66/66"</f>
        <v>66/66</v>
      </c>
      <c r="K6085" s="1" t="str">
        <f>"2026-07-29 13:18:03"</f>
        <v>2026-07-29 13:18:03</v>
      </c>
      <c r="L6085" s="1" t="str">
        <f>"2014-12-24 09:58:07"</f>
        <v>2014-12-24 09:58:07</v>
      </c>
      <c r="M6085" s="1" t="s">
        <v>3</v>
      </c>
      <c r="N6085" s="1" t="s">
        <v>38</v>
      </c>
      <c r="O6085" s="1" t="s">
        <v>46</v>
      </c>
    </row>
    <row r="6086" spans="2:15" x14ac:dyDescent="0.3">
      <c r="B6086" s="1" t="s">
        <v>22</v>
      </c>
      <c r="C6086" s="1" t="str">
        <f>"1차"</f>
        <v>1차</v>
      </c>
      <c r="D6086" s="1" t="str">
        <f>"0230P42200"</f>
        <v>0230P42200</v>
      </c>
      <c r="E6086" s="1" t="s">
        <v>10</v>
      </c>
      <c r="F6086" s="1" t="str">
        <f>"10.107.249.9"</f>
        <v>10.107.249.9</v>
      </c>
      <c r="G6086" s="1" t="str">
        <f>"0230P422"</f>
        <v>0230P422</v>
      </c>
      <c r="H6086" s="1" t="str">
        <f>"신창간 40L3R3"</f>
        <v>신창간 40L3R3</v>
      </c>
      <c r="I6086" s="1" t="s">
        <v>8</v>
      </c>
      <c r="J6086" s="1" t="str">
        <f>"15/24"</f>
        <v>15/24</v>
      </c>
      <c r="K6086" s="1" t="str">
        <f>"2026-07-29 13:18:03"</f>
        <v>2026-07-29 13:18:03</v>
      </c>
      <c r="L6086" s="1" t="str">
        <f>"2014-12-24 09:57:41"</f>
        <v>2014-12-24 09:57:41</v>
      </c>
      <c r="M6086" s="1" t="s">
        <v>45</v>
      </c>
      <c r="N6086" s="1" t="s">
        <v>38</v>
      </c>
      <c r="O6086" s="1" t="s">
        <v>46</v>
      </c>
    </row>
    <row r="6087" spans="2:15" x14ac:dyDescent="0.3">
      <c r="B6087" s="1" t="s">
        <v>22</v>
      </c>
      <c r="C6087" s="1" t="str">
        <f>"1차"</f>
        <v>1차</v>
      </c>
      <c r="D6087" s="1" t="str">
        <f>"0230P43301"</f>
        <v>0230P43301</v>
      </c>
      <c r="E6087" s="1" t="s">
        <v>10</v>
      </c>
      <c r="F6087" s="1" t="str">
        <f>"10.107.249.20"</f>
        <v>10.107.249.20</v>
      </c>
      <c r="G6087" s="1" t="str">
        <f>"0230P433"</f>
        <v>0230P433</v>
      </c>
      <c r="H6087" s="1" t="str">
        <f>"신창간 40L9"</f>
        <v>신창간 40L9</v>
      </c>
      <c r="I6087" s="1" t="s">
        <v>8</v>
      </c>
      <c r="J6087" s="1" t="str">
        <f>"31/33"</f>
        <v>31/33</v>
      </c>
      <c r="K6087" s="1" t="str">
        <f>"2026-07-29 13:18:03"</f>
        <v>2026-07-29 13:18:03</v>
      </c>
      <c r="L6087" s="1" t="str">
        <f>"2014-12-24 10:28:24"</f>
        <v>2014-12-24 10:28:24</v>
      </c>
      <c r="M6087" s="1" t="s">
        <v>45</v>
      </c>
      <c r="N6087" s="1" t="s">
        <v>38</v>
      </c>
      <c r="O6087" s="1" t="s">
        <v>46</v>
      </c>
    </row>
    <row r="6088" spans="2:15" x14ac:dyDescent="0.3">
      <c r="B6088" s="1" t="s">
        <v>22</v>
      </c>
      <c r="C6088" s="1" t="str">
        <f>"5-2차"</f>
        <v>5-2차</v>
      </c>
      <c r="D6088" s="1" t="str">
        <f>"0230P4535M"</f>
        <v>0230P4535M</v>
      </c>
      <c r="E6088" s="1" t="s">
        <v>10</v>
      </c>
      <c r="F6088" s="1" t="str">
        <f>"fde3:102:1420:6300:0:0:0:5"</f>
        <v>fde3:102:1420:6300:0:0:0:5</v>
      </c>
      <c r="G6088" s="1" t="str">
        <f>"0230P453"</f>
        <v>0230P453</v>
      </c>
      <c r="H6088" s="1" t="str">
        <f>"신창간 116L1R4"</f>
        <v>신창간 116L1R4</v>
      </c>
      <c r="I6088" s="1" t="s">
        <v>15</v>
      </c>
      <c r="J6088" s="1" t="str">
        <f>"56/56"</f>
        <v>56/56</v>
      </c>
      <c r="K6088" s="1" t="str">
        <f>"2026-07-28 20:03:37"</f>
        <v>2026-07-28 20:03:37</v>
      </c>
      <c r="L6088" s="1" t="str">
        <f>"2023-12-12 15:11:12"</f>
        <v>2023-12-12 15:11:12</v>
      </c>
      <c r="M6088" s="1" t="s">
        <v>45</v>
      </c>
      <c r="N6088" s="1" t="s">
        <v>38</v>
      </c>
      <c r="O6088" s="1" t="s">
        <v>46</v>
      </c>
    </row>
    <row r="6089" spans="2:15" x14ac:dyDescent="0.3">
      <c r="B6089" s="1" t="s">
        <v>22</v>
      </c>
      <c r="C6089" s="1" t="str">
        <f>"4차"</f>
        <v>4차</v>
      </c>
      <c r="D6089" s="1" t="str">
        <f>"0230P46230"</f>
        <v>0230P46230</v>
      </c>
      <c r="E6089" s="1" t="s">
        <v>10</v>
      </c>
      <c r="F6089" s="1" t="str">
        <f>"10.10.24.170"</f>
        <v>10.10.24.170</v>
      </c>
      <c r="G6089" s="1" t="str">
        <f>"0230P462"</f>
        <v>0230P462</v>
      </c>
      <c r="H6089" s="1" t="str">
        <f>"신창간 116C1"</f>
        <v>신창간 116C1</v>
      </c>
      <c r="I6089" s="1" t="s">
        <v>8</v>
      </c>
      <c r="J6089" s="1" t="str">
        <f>"43/43"</f>
        <v>43/43</v>
      </c>
      <c r="K6089" s="1" t="str">
        <f>"2026-07-29 13:18:03"</f>
        <v>2026-07-29 13:18:03</v>
      </c>
      <c r="L6089" s="1" t="str">
        <f>"2018-01-09 15:18:58"</f>
        <v>2018-01-09 15:18:58</v>
      </c>
      <c r="M6089" s="1" t="s">
        <v>1</v>
      </c>
      <c r="N6089" s="1" t="s">
        <v>38</v>
      </c>
      <c r="O6089" s="1" t="s">
        <v>46</v>
      </c>
    </row>
    <row r="6090" spans="2:15" x14ac:dyDescent="0.3">
      <c r="B6090" s="1" t="s">
        <v>22</v>
      </c>
      <c r="C6090" s="1" t="str">
        <f>"3차"</f>
        <v>3차</v>
      </c>
      <c r="D6090" s="1" t="str">
        <f>"0230P46331"</f>
        <v>0230P46331</v>
      </c>
      <c r="E6090" s="1" t="s">
        <v>10</v>
      </c>
      <c r="F6090" s="1" t="str">
        <f>"10.10.24.171"</f>
        <v>10.10.24.171</v>
      </c>
      <c r="G6090" s="1" t="str">
        <f>"0230P463"</f>
        <v>0230P463</v>
      </c>
      <c r="H6090" s="1" t="str">
        <f>"신창간 116C2"</f>
        <v>신창간 116C2</v>
      </c>
      <c r="I6090" s="1" t="s">
        <v>8</v>
      </c>
      <c r="J6090" s="1" t="str">
        <f>"43/43"</f>
        <v>43/43</v>
      </c>
      <c r="K6090" s="1" t="str">
        <f>"2026-07-29 13:18:03"</f>
        <v>2026-07-29 13:18:03</v>
      </c>
      <c r="L6090" s="1" t="str">
        <f>"2018-01-20 14:44:58"</f>
        <v>2018-01-20 14:44:58</v>
      </c>
      <c r="M6090" s="1" t="s">
        <v>1</v>
      </c>
      <c r="N6090" s="1" t="s">
        <v>38</v>
      </c>
      <c r="O6090" s="1" t="s">
        <v>46</v>
      </c>
    </row>
    <row r="6091" spans="2:15" x14ac:dyDescent="0.3">
      <c r="B6091" s="1" t="s">
        <v>22</v>
      </c>
      <c r="C6091" s="1" t="str">
        <f>"3차"</f>
        <v>3차</v>
      </c>
      <c r="D6091" s="1" t="str">
        <f>"0230P47230"</f>
        <v>0230P47230</v>
      </c>
      <c r="E6091" s="1" t="s">
        <v>10</v>
      </c>
      <c r="F6091" s="1" t="str">
        <f>"10.10.23.178"</f>
        <v>10.10.23.178</v>
      </c>
      <c r="G6091" s="1" t="str">
        <f>"0230P472"</f>
        <v>0230P472</v>
      </c>
      <c r="H6091" s="1" t="str">
        <f>"신창간 118"</f>
        <v>신창간 118</v>
      </c>
      <c r="I6091" s="1" t="s">
        <v>8</v>
      </c>
      <c r="J6091" s="1" t="str">
        <f>"22/22"</f>
        <v>22/22</v>
      </c>
      <c r="K6091" s="1" t="str">
        <f>"2026-07-29 13:18:03"</f>
        <v>2026-07-29 13:18:03</v>
      </c>
      <c r="L6091" s="1" t="str">
        <f>"2018-01-09 16:31:44"</f>
        <v>2018-01-09 16:31:44</v>
      </c>
      <c r="M6091" s="1" t="s">
        <v>1</v>
      </c>
      <c r="N6091" s="1" t="s">
        <v>38</v>
      </c>
      <c r="O6091" s="1" t="s">
        <v>46</v>
      </c>
    </row>
    <row r="6092" spans="2:15" x14ac:dyDescent="0.3">
      <c r="B6092" s="1" t="s">
        <v>22</v>
      </c>
      <c r="C6092" s="1" t="str">
        <f>"1차"</f>
        <v>1차</v>
      </c>
      <c r="D6092" s="1" t="str">
        <f>"0230P50100"</f>
        <v>0230P50100</v>
      </c>
      <c r="E6092" s="1" t="s">
        <v>10</v>
      </c>
      <c r="F6092" s="1" t="str">
        <f>"10.107.125.235"</f>
        <v>10.107.125.235</v>
      </c>
      <c r="G6092" s="1" t="str">
        <f>"0230P501"</f>
        <v>0230P501</v>
      </c>
      <c r="H6092" s="1" t="str">
        <f>"말미간 84"</f>
        <v>말미간 84</v>
      </c>
      <c r="I6092" s="1" t="s">
        <v>8</v>
      </c>
      <c r="J6092" s="1" t="str">
        <f>"19/21"</f>
        <v>19/21</v>
      </c>
      <c r="K6092" s="1" t="str">
        <f>"2026-07-29 13:18:01"</f>
        <v>2026-07-29 13:18:01</v>
      </c>
      <c r="L6092" s="1" t="str">
        <f>"2014-12-17 15:42:53"</f>
        <v>2014-12-17 15:42:53</v>
      </c>
      <c r="M6092" s="1" t="s">
        <v>45</v>
      </c>
      <c r="N6092" s="1" t="s">
        <v>38</v>
      </c>
      <c r="O6092" s="1" t="s">
        <v>46</v>
      </c>
    </row>
    <row r="6093" spans="2:15" x14ac:dyDescent="0.3">
      <c r="B6093" s="1" t="s">
        <v>22</v>
      </c>
      <c r="C6093" s="1" t="str">
        <f>"1차"</f>
        <v>1차</v>
      </c>
      <c r="D6093" s="1" t="str">
        <f>"0230P51101"</f>
        <v>0230P51101</v>
      </c>
      <c r="E6093" s="1" t="s">
        <v>10</v>
      </c>
      <c r="F6093" s="1" t="str">
        <f>"10.12.128.114"</f>
        <v>10.12.128.114</v>
      </c>
      <c r="G6093" s="1" t="str">
        <f>"0230P511"</f>
        <v>0230P511</v>
      </c>
      <c r="H6093" s="1" t="str">
        <f>"말미간 82"</f>
        <v>말미간 82</v>
      </c>
      <c r="I6093" s="1" t="s">
        <v>8</v>
      </c>
      <c r="J6093" s="1" t="str">
        <f>"19/19"</f>
        <v>19/19</v>
      </c>
      <c r="K6093" s="1" t="str">
        <f>"2026-07-29 13:18:01"</f>
        <v>2026-07-29 13:18:01</v>
      </c>
      <c r="L6093" s="1" t="str">
        <f>"2014-12-17 16:12:36"</f>
        <v>2014-12-17 16:12:36</v>
      </c>
      <c r="M6093" s="1" t="s">
        <v>0</v>
      </c>
      <c r="N6093" s="1" t="s">
        <v>38</v>
      </c>
      <c r="O6093" s="1" t="s">
        <v>46</v>
      </c>
    </row>
    <row r="6094" spans="2:15" x14ac:dyDescent="0.3">
      <c r="B6094" s="1" t="s">
        <v>22</v>
      </c>
      <c r="C6094" s="1" t="str">
        <f>"6차"</f>
        <v>6차</v>
      </c>
      <c r="D6094" s="1" t="str">
        <f>"0230P5316S"</f>
        <v>0230P5316S</v>
      </c>
      <c r="E6094" s="1" t="s">
        <v>10</v>
      </c>
      <c r="F6094" s="1" t="str">
        <f>"fde1:103:4:c76f:0:0:0:2"</f>
        <v>fde1:103:4:c76f:0:0:0:2</v>
      </c>
      <c r="G6094" s="1" t="str">
        <f>"0230P531"</f>
        <v>0230P531</v>
      </c>
      <c r="H6094" s="1" t="str">
        <f>"신창간 48L4R5"</f>
        <v>신창간 48L4R5</v>
      </c>
      <c r="I6094" s="1" t="s">
        <v>15</v>
      </c>
      <c r="J6094" s="1" t="str">
        <f>"51/53"</f>
        <v>51/53</v>
      </c>
      <c r="K6094" s="1" t="str">
        <f>"2026-07-29 14:21:08"</f>
        <v>2026-07-29 14:21:08</v>
      </c>
      <c r="L6094" s="1" t="str">
        <f>"2025-01-21 16:57:04"</f>
        <v>2025-01-21 16:57:04</v>
      </c>
      <c r="M6094" s="1" t="s">
        <v>4</v>
      </c>
      <c r="N6094" s="1" t="s">
        <v>38</v>
      </c>
      <c r="O6094" s="1" t="s">
        <v>46</v>
      </c>
    </row>
    <row r="6095" spans="2:15" x14ac:dyDescent="0.3">
      <c r="B6095" s="1" t="s">
        <v>22</v>
      </c>
      <c r="C6095" s="1" t="str">
        <f>"4차"</f>
        <v>4차</v>
      </c>
      <c r="D6095" s="1" t="str">
        <f>"0230P53539"</f>
        <v>0230P53539</v>
      </c>
      <c r="E6095" s="1" t="s">
        <v>10</v>
      </c>
      <c r="F6095" s="1" t="str">
        <f>"10.12.128.20"</f>
        <v>10.12.128.20</v>
      </c>
      <c r="G6095" s="1" t="str">
        <f>"0230P535"</f>
        <v>0230P535</v>
      </c>
      <c r="H6095" s="1" t="str">
        <f>"신창간 48L4R4"</f>
        <v>신창간 48L4R4</v>
      </c>
      <c r="I6095" s="1" t="s">
        <v>8</v>
      </c>
      <c r="J6095" s="1" t="str">
        <f>"65/65"</f>
        <v>65/65</v>
      </c>
      <c r="K6095" s="1" t="str">
        <f t="shared" ref="K6095:K6108" si="307">"2026-07-29 13:18:03"</f>
        <v>2026-07-29 13:18:03</v>
      </c>
      <c r="L6095" s="1" t="str">
        <f>"2018-03-30 10:33:26"</f>
        <v>2018-03-30 10:33:26</v>
      </c>
      <c r="M6095" s="1" t="s">
        <v>0</v>
      </c>
      <c r="N6095" s="1" t="s">
        <v>38</v>
      </c>
      <c r="O6095" s="1" t="s">
        <v>46</v>
      </c>
    </row>
    <row r="6096" spans="2:15" x14ac:dyDescent="0.3">
      <c r="B6096" s="1" t="s">
        <v>22</v>
      </c>
      <c r="C6096" s="1" t="str">
        <f>"4차"</f>
        <v>4차</v>
      </c>
      <c r="D6096" s="1" t="str">
        <f>"0230P56532"</f>
        <v>0230P56532</v>
      </c>
      <c r="E6096" s="1" t="s">
        <v>10</v>
      </c>
      <c r="F6096" s="1" t="str">
        <f>"10.12.128.115"</f>
        <v>10.12.128.115</v>
      </c>
      <c r="G6096" s="1" t="str">
        <f>"0230P565"</f>
        <v>0230P565</v>
      </c>
      <c r="H6096" s="1" t="str">
        <f>"신창간 48L3L2L1"</f>
        <v>신창간 48L3L2L1</v>
      </c>
      <c r="I6096" s="1" t="s">
        <v>8</v>
      </c>
      <c r="J6096" s="1" t="str">
        <f>"38/38"</f>
        <v>38/38</v>
      </c>
      <c r="K6096" s="1" t="str">
        <f t="shared" si="307"/>
        <v>2026-07-29 13:18:03</v>
      </c>
      <c r="L6096" s="1" t="str">
        <f>"2018-03-19 09:22:09"</f>
        <v>2018-03-19 09:22:09</v>
      </c>
      <c r="M6096" s="1" t="s">
        <v>0</v>
      </c>
      <c r="N6096" s="1" t="s">
        <v>38</v>
      </c>
      <c r="O6096" s="1" t="s">
        <v>46</v>
      </c>
    </row>
    <row r="6097" spans="2:15" x14ac:dyDescent="0.3">
      <c r="B6097" s="1" t="s">
        <v>22</v>
      </c>
      <c r="C6097" s="1" t="str">
        <f>"4차"</f>
        <v>4차</v>
      </c>
      <c r="D6097" s="1" t="str">
        <f>"0230P56630"</f>
        <v>0230P56630</v>
      </c>
      <c r="E6097" s="1" t="s">
        <v>10</v>
      </c>
      <c r="F6097" s="1" t="str">
        <f>"10.10.24.154"</f>
        <v>10.10.24.154</v>
      </c>
      <c r="G6097" s="1" t="str">
        <f>"0230P566"</f>
        <v>0230P566</v>
      </c>
      <c r="H6097" s="1" t="str">
        <f>"신창간 116L1R1"</f>
        <v>신창간 116L1R1</v>
      </c>
      <c r="I6097" s="1" t="s">
        <v>8</v>
      </c>
      <c r="J6097" s="1" t="str">
        <f>"53/53"</f>
        <v>53/53</v>
      </c>
      <c r="K6097" s="1" t="str">
        <f t="shared" si="307"/>
        <v>2026-07-29 13:18:03</v>
      </c>
      <c r="L6097" s="1" t="str">
        <f>"2018-01-09 14:44:47"</f>
        <v>2018-01-09 14:44:47</v>
      </c>
      <c r="M6097" s="1" t="s">
        <v>1</v>
      </c>
      <c r="N6097" s="1" t="s">
        <v>38</v>
      </c>
      <c r="O6097" s="1" t="s">
        <v>46</v>
      </c>
    </row>
    <row r="6098" spans="2:15" x14ac:dyDescent="0.3">
      <c r="B6098" s="1" t="s">
        <v>22</v>
      </c>
      <c r="C6098" s="1" t="str">
        <f>"4차"</f>
        <v>4차</v>
      </c>
      <c r="D6098" s="1" t="str">
        <f>"0230P58131"</f>
        <v>0230P58131</v>
      </c>
      <c r="E6098" s="1" t="s">
        <v>10</v>
      </c>
      <c r="F6098" s="1" t="str">
        <f>"10.10.24.27"</f>
        <v>10.10.24.27</v>
      </c>
      <c r="G6098" s="1" t="str">
        <f>"0230P581"</f>
        <v>0230P581</v>
      </c>
      <c r="H6098" s="1" t="str">
        <f>"신창간 115"</f>
        <v>신창간 115</v>
      </c>
      <c r="I6098" s="1" t="s">
        <v>8</v>
      </c>
      <c r="J6098" s="1" t="str">
        <f>"66/66"</f>
        <v>66/66</v>
      </c>
      <c r="K6098" s="1" t="str">
        <f t="shared" si="307"/>
        <v>2026-07-29 13:18:03</v>
      </c>
      <c r="L6098" s="1" t="str">
        <f>"2018-03-15 15:12:12"</f>
        <v>2018-03-15 15:12:12</v>
      </c>
      <c r="M6098" s="1" t="s">
        <v>1</v>
      </c>
      <c r="N6098" s="1" t="s">
        <v>38</v>
      </c>
      <c r="O6098" s="1" t="s">
        <v>46</v>
      </c>
    </row>
    <row r="6099" spans="2:15" x14ac:dyDescent="0.3">
      <c r="B6099" s="1" t="s">
        <v>22</v>
      </c>
      <c r="C6099" s="1" t="str">
        <f>"3차"</f>
        <v>3차</v>
      </c>
      <c r="D6099" s="1" t="str">
        <f>"0230P58230"</f>
        <v>0230P58230</v>
      </c>
      <c r="E6099" s="1" t="s">
        <v>10</v>
      </c>
      <c r="F6099" s="1" t="str">
        <f>"10.10.24.26"</f>
        <v>10.10.24.26</v>
      </c>
      <c r="G6099" s="1" t="str">
        <f>"0230P582"</f>
        <v>0230P582</v>
      </c>
      <c r="H6099" s="1" t="str">
        <f>"신창간 114"</f>
        <v>신창간 114</v>
      </c>
      <c r="I6099" s="1" t="s">
        <v>8</v>
      </c>
      <c r="J6099" s="1" t="str">
        <f>"59/59"</f>
        <v>59/59</v>
      </c>
      <c r="K6099" s="1" t="str">
        <f t="shared" si="307"/>
        <v>2026-07-29 13:18:03</v>
      </c>
      <c r="L6099" s="1" t="str">
        <f>"2018-01-09 13:53:42"</f>
        <v>2018-01-09 13:53:42</v>
      </c>
      <c r="M6099" s="1" t="s">
        <v>1</v>
      </c>
      <c r="N6099" s="1" t="s">
        <v>38</v>
      </c>
      <c r="O6099" s="1" t="s">
        <v>46</v>
      </c>
    </row>
    <row r="6100" spans="2:15" x14ac:dyDescent="0.3">
      <c r="B6100" s="1" t="s">
        <v>22</v>
      </c>
      <c r="C6100" s="1" t="str">
        <f>"1차"</f>
        <v>1차</v>
      </c>
      <c r="D6100" s="1" t="str">
        <f>"0230P60200"</f>
        <v>0230P60200</v>
      </c>
      <c r="E6100" s="1" t="s">
        <v>10</v>
      </c>
      <c r="F6100" s="1" t="str">
        <f>"10.107.250.54"</f>
        <v>10.107.250.54</v>
      </c>
      <c r="G6100" s="1" t="str">
        <f>"0230P602"</f>
        <v>0230P602</v>
      </c>
      <c r="H6100" s="1" t="str">
        <f>"말미간 85L2L4"</f>
        <v>말미간 85L2L4</v>
      </c>
      <c r="I6100" s="1" t="s">
        <v>8</v>
      </c>
      <c r="J6100" s="1" t="str">
        <f>"53/53"</f>
        <v>53/53</v>
      </c>
      <c r="K6100" s="1" t="str">
        <f t="shared" si="307"/>
        <v>2026-07-29 13:18:03</v>
      </c>
      <c r="L6100" s="1" t="str">
        <f>"2014-12-17 15:28:04"</f>
        <v>2014-12-17 15:28:04</v>
      </c>
      <c r="M6100" s="1" t="s">
        <v>45</v>
      </c>
      <c r="N6100" s="1" t="s">
        <v>38</v>
      </c>
      <c r="O6100" s="1" t="s">
        <v>46</v>
      </c>
    </row>
    <row r="6101" spans="2:15" x14ac:dyDescent="0.3">
      <c r="B6101" s="1" t="s">
        <v>22</v>
      </c>
      <c r="C6101" s="1" t="str">
        <f>"1차"</f>
        <v>1차</v>
      </c>
      <c r="D6101" s="1" t="str">
        <f>"0230P61100"</f>
        <v>0230P61100</v>
      </c>
      <c r="E6101" s="1" t="s">
        <v>10</v>
      </c>
      <c r="F6101" s="1" t="str">
        <f>"10.107.252.72"</f>
        <v>10.107.252.72</v>
      </c>
      <c r="G6101" s="1" t="str">
        <f>"0230P611"</f>
        <v>0230P611</v>
      </c>
      <c r="H6101" s="1" t="str">
        <f>"말미간 81"</f>
        <v>말미간 81</v>
      </c>
      <c r="I6101" s="1" t="s">
        <v>8</v>
      </c>
      <c r="J6101" s="1" t="str">
        <f>"15/15"</f>
        <v>15/15</v>
      </c>
      <c r="K6101" s="1" t="str">
        <f t="shared" si="307"/>
        <v>2026-07-29 13:18:03</v>
      </c>
      <c r="L6101" s="1" t="str">
        <f>"2014-12-17 16:12:34"</f>
        <v>2014-12-17 16:12:34</v>
      </c>
      <c r="M6101" s="1" t="s">
        <v>45</v>
      </c>
      <c r="N6101" s="1" t="s">
        <v>38</v>
      </c>
      <c r="O6101" s="1" t="s">
        <v>46</v>
      </c>
    </row>
    <row r="6102" spans="2:15" x14ac:dyDescent="0.3">
      <c r="B6102" s="1" t="s">
        <v>22</v>
      </c>
      <c r="C6102" s="1" t="str">
        <f>"3차"</f>
        <v>3차</v>
      </c>
      <c r="D6102" s="1" t="str">
        <f>"0230P62139"</f>
        <v>0230P62139</v>
      </c>
      <c r="E6102" s="1" t="s">
        <v>10</v>
      </c>
      <c r="F6102" s="1" t="str">
        <f>"10.10.9.82"</f>
        <v>10.10.9.82</v>
      </c>
      <c r="G6102" s="1" t="str">
        <f>"0230P621"</f>
        <v>0230P621</v>
      </c>
      <c r="H6102" s="1" t="str">
        <f>"말미간 79"</f>
        <v>말미간 79</v>
      </c>
      <c r="I6102" s="1" t="s">
        <v>8</v>
      </c>
      <c r="J6102" s="1" t="str">
        <f>"34/35"</f>
        <v>34/35</v>
      </c>
      <c r="K6102" s="1" t="str">
        <f t="shared" si="307"/>
        <v>2026-07-29 13:18:03</v>
      </c>
      <c r="L6102" s="1" t="str">
        <f>"2018-02-01 16:26:45"</f>
        <v>2018-02-01 16:26:45</v>
      </c>
      <c r="M6102" s="1" t="s">
        <v>1</v>
      </c>
      <c r="N6102" s="1" t="s">
        <v>38</v>
      </c>
      <c r="O6102" s="1" t="s">
        <v>46</v>
      </c>
    </row>
    <row r="6103" spans="2:15" x14ac:dyDescent="0.3">
      <c r="B6103" s="1" t="s">
        <v>22</v>
      </c>
      <c r="C6103" s="1" t="str">
        <f>"1차"</f>
        <v>1차</v>
      </c>
      <c r="D6103" s="1" t="str">
        <f>"0230P62201"</f>
        <v>0230P62201</v>
      </c>
      <c r="E6103" s="1" t="s">
        <v>10</v>
      </c>
      <c r="F6103" s="1" t="str">
        <f>"10.12.138.50"</f>
        <v>10.12.138.50</v>
      </c>
      <c r="G6103" s="1" t="str">
        <f>"0230P622"</f>
        <v>0230P622</v>
      </c>
      <c r="H6103" s="1" t="str">
        <f>"말미간 80"</f>
        <v>말미간 80</v>
      </c>
      <c r="I6103" s="1" t="s">
        <v>8</v>
      </c>
      <c r="J6103" s="1" t="str">
        <f>"2/2"</f>
        <v>2/2</v>
      </c>
      <c r="K6103" s="1" t="str">
        <f t="shared" si="307"/>
        <v>2026-07-29 13:18:03</v>
      </c>
      <c r="L6103" s="1" t="str">
        <f>"2014-12-17 16:12:46"</f>
        <v>2014-12-17 16:12:46</v>
      </c>
      <c r="M6103" s="1" t="s">
        <v>0</v>
      </c>
      <c r="N6103" s="1" t="s">
        <v>38</v>
      </c>
      <c r="O6103" s="1" t="s">
        <v>46</v>
      </c>
    </row>
    <row r="6104" spans="2:15" x14ac:dyDescent="0.3">
      <c r="B6104" s="1" t="s">
        <v>22</v>
      </c>
      <c r="C6104" s="1" t="str">
        <f>"3차"</f>
        <v>3차</v>
      </c>
      <c r="D6104" s="1" t="str">
        <f>"0230P63130"</f>
        <v>0230P63130</v>
      </c>
      <c r="E6104" s="1" t="s">
        <v>10</v>
      </c>
      <c r="F6104" s="1" t="str">
        <f>"10.10.22.26"</f>
        <v>10.10.22.26</v>
      </c>
      <c r="G6104" s="1" t="str">
        <f>"0230P631"</f>
        <v>0230P631</v>
      </c>
      <c r="H6104" s="1" t="str">
        <f>"신창간 45"</f>
        <v>신창간 45</v>
      </c>
      <c r="I6104" s="1" t="s">
        <v>8</v>
      </c>
      <c r="J6104" s="1" t="str">
        <f>"9/9"</f>
        <v>9/9</v>
      </c>
      <c r="K6104" s="1" t="str">
        <f t="shared" si="307"/>
        <v>2026-07-29 13:18:03</v>
      </c>
      <c r="L6104" s="1" t="str">
        <f>"2018-02-02 16:42:43"</f>
        <v>2018-02-02 16:42:43</v>
      </c>
      <c r="M6104" s="1" t="s">
        <v>1</v>
      </c>
      <c r="N6104" s="1" t="s">
        <v>38</v>
      </c>
      <c r="O6104" s="1" t="s">
        <v>46</v>
      </c>
    </row>
    <row r="6105" spans="2:15" x14ac:dyDescent="0.3">
      <c r="B6105" s="1" t="s">
        <v>22</v>
      </c>
      <c r="C6105" s="1" t="str">
        <f>"4차"</f>
        <v>4차</v>
      </c>
      <c r="D6105" s="1" t="str">
        <f>"0230P64130"</f>
        <v>0230P64130</v>
      </c>
      <c r="E6105" s="1" t="s">
        <v>10</v>
      </c>
      <c r="F6105" s="1" t="str">
        <f>"10.10.23.154"</f>
        <v>10.10.23.154</v>
      </c>
      <c r="G6105" s="1" t="str">
        <f>"0230P641"</f>
        <v>0230P641</v>
      </c>
      <c r="H6105" s="1" t="str">
        <f>"신창간 48L4R3"</f>
        <v>신창간 48L4R3</v>
      </c>
      <c r="I6105" s="1" t="s">
        <v>8</v>
      </c>
      <c r="J6105" s="1" t="str">
        <f>"23/23"</f>
        <v>23/23</v>
      </c>
      <c r="K6105" s="1" t="str">
        <f t="shared" si="307"/>
        <v>2026-07-29 13:18:03</v>
      </c>
      <c r="L6105" s="1" t="str">
        <f>"2018-06-07 13:34:26"</f>
        <v>2018-06-07 13:34:26</v>
      </c>
      <c r="M6105" s="1" t="s">
        <v>1</v>
      </c>
      <c r="N6105" s="1" t="s">
        <v>38</v>
      </c>
      <c r="O6105" s="1" t="s">
        <v>46</v>
      </c>
    </row>
    <row r="6106" spans="2:15" x14ac:dyDescent="0.3">
      <c r="B6106" s="1" t="s">
        <v>22</v>
      </c>
      <c r="C6106" s="1" t="str">
        <f>"3차"</f>
        <v>3차</v>
      </c>
      <c r="D6106" s="1" t="str">
        <f>"0230P64232"</f>
        <v>0230P64232</v>
      </c>
      <c r="E6106" s="1" t="s">
        <v>10</v>
      </c>
      <c r="F6106" s="1" t="str">
        <f>"10.10.23.156"</f>
        <v>10.10.23.156</v>
      </c>
      <c r="G6106" s="1" t="str">
        <f>"0230P642"</f>
        <v>0230P642</v>
      </c>
      <c r="H6106" s="1" t="str">
        <f>"신창간 48L4R3R1"</f>
        <v>신창간 48L4R3R1</v>
      </c>
      <c r="I6106" s="1" t="s">
        <v>8</v>
      </c>
      <c r="J6106" s="1" t="str">
        <f>"32/34"</f>
        <v>32/34</v>
      </c>
      <c r="K6106" s="1" t="str">
        <f t="shared" si="307"/>
        <v>2026-07-29 13:18:03</v>
      </c>
      <c r="L6106" s="1" t="str">
        <f>"2018-06-07 13:48:55"</f>
        <v>2018-06-07 13:48:55</v>
      </c>
      <c r="M6106" s="1" t="s">
        <v>1</v>
      </c>
      <c r="N6106" s="1" t="s">
        <v>38</v>
      </c>
      <c r="O6106" s="1" t="s">
        <v>46</v>
      </c>
    </row>
    <row r="6107" spans="2:15" x14ac:dyDescent="0.3">
      <c r="B6107" s="1" t="s">
        <v>22</v>
      </c>
      <c r="C6107" s="1" t="str">
        <f>"3차"</f>
        <v>3차</v>
      </c>
      <c r="D6107" s="1" t="str">
        <f>"0230P65131"</f>
        <v>0230P65131</v>
      </c>
      <c r="E6107" s="1" t="s">
        <v>10</v>
      </c>
      <c r="F6107" s="1" t="str">
        <f>"10.10.23.155"</f>
        <v>10.10.23.155</v>
      </c>
      <c r="G6107" s="1" t="str">
        <f>"0230P651"</f>
        <v>0230P651</v>
      </c>
      <c r="H6107" s="1" t="str">
        <f>"신창간 48L4R2"</f>
        <v>신창간 48L4R2</v>
      </c>
      <c r="I6107" s="1" t="s">
        <v>8</v>
      </c>
      <c r="J6107" s="1" t="str">
        <f>"29/29"</f>
        <v>29/29</v>
      </c>
      <c r="K6107" s="1" t="str">
        <f t="shared" si="307"/>
        <v>2026-07-29 13:18:03</v>
      </c>
      <c r="L6107" s="1" t="str">
        <f>"2018-06-07 13:48:10"</f>
        <v>2018-06-07 13:48:10</v>
      </c>
      <c r="M6107" s="1" t="s">
        <v>1</v>
      </c>
      <c r="N6107" s="1" t="s">
        <v>38</v>
      </c>
      <c r="O6107" s="1" t="s">
        <v>46</v>
      </c>
    </row>
    <row r="6108" spans="2:15" x14ac:dyDescent="0.3">
      <c r="B6108" s="1" t="s">
        <v>22</v>
      </c>
      <c r="C6108" s="1" t="str">
        <f>"1차"</f>
        <v>1차</v>
      </c>
      <c r="D6108" s="1" t="str">
        <f>"0230P65201"</f>
        <v>0230P65201</v>
      </c>
      <c r="E6108" s="1" t="s">
        <v>10</v>
      </c>
      <c r="F6108" s="1" t="str">
        <f>"10.107.249.135"</f>
        <v>10.107.249.135</v>
      </c>
      <c r="G6108" s="1" t="str">
        <f>"0230P652"</f>
        <v>0230P652</v>
      </c>
      <c r="H6108" s="1" t="str">
        <f>"신창간 48L3"</f>
        <v>신창간 48L3</v>
      </c>
      <c r="I6108" s="1" t="s">
        <v>8</v>
      </c>
      <c r="J6108" s="1" t="str">
        <f>"10/10"</f>
        <v>10/10</v>
      </c>
      <c r="K6108" s="1" t="str">
        <f t="shared" si="307"/>
        <v>2026-07-29 13:18:03</v>
      </c>
      <c r="L6108" s="1" t="str">
        <f>"2014-12-26 09:57:33"</f>
        <v>2014-12-26 09:57:33</v>
      </c>
      <c r="M6108" s="1" t="s">
        <v>45</v>
      </c>
      <c r="N6108" s="1" t="s">
        <v>38</v>
      </c>
      <c r="O6108" s="1" t="s">
        <v>46</v>
      </c>
    </row>
    <row r="6109" spans="2:15" x14ac:dyDescent="0.3">
      <c r="B6109" s="1" t="s">
        <v>22</v>
      </c>
      <c r="C6109" s="1" t="str">
        <f>"3차"</f>
        <v>3차</v>
      </c>
      <c r="D6109" s="1" t="str">
        <f>"0230P66131"</f>
        <v>0230P66131</v>
      </c>
      <c r="E6109" s="1" t="s">
        <v>10</v>
      </c>
      <c r="F6109" s="1" t="str">
        <f>"10.12.131.162"</f>
        <v>10.12.131.162</v>
      </c>
      <c r="G6109" s="1" t="str">
        <f>"0230P661"</f>
        <v>0230P661</v>
      </c>
      <c r="H6109" s="1" t="str">
        <f>"신창간 48L3L1"</f>
        <v>신창간 48L3L1</v>
      </c>
      <c r="I6109" s="1" t="s">
        <v>8</v>
      </c>
      <c r="J6109" s="1" t="str">
        <f>"27/27"</f>
        <v>27/27</v>
      </c>
      <c r="K6109" s="1" t="str">
        <f>"2026-07-29 13:18:01"</f>
        <v>2026-07-29 13:18:01</v>
      </c>
      <c r="L6109" s="1" t="str">
        <f>"2018-03-19 09:29:25"</f>
        <v>2018-03-19 09:29:25</v>
      </c>
      <c r="M6109" s="1" t="s">
        <v>0</v>
      </c>
      <c r="N6109" s="1" t="s">
        <v>38</v>
      </c>
      <c r="O6109" s="1" t="s">
        <v>46</v>
      </c>
    </row>
    <row r="6110" spans="2:15" x14ac:dyDescent="0.3">
      <c r="B6110" s="1" t="s">
        <v>22</v>
      </c>
      <c r="C6110" s="1" t="str">
        <f>"3차"</f>
        <v>3차</v>
      </c>
      <c r="D6110" s="1" t="str">
        <f>"0230P66230"</f>
        <v>0230P66230</v>
      </c>
      <c r="E6110" s="1" t="s">
        <v>10</v>
      </c>
      <c r="F6110" s="1" t="str">
        <f>"10.10.23.146"</f>
        <v>10.10.23.146</v>
      </c>
      <c r="G6110" s="1" t="str">
        <f>"0230P662"</f>
        <v>0230P662</v>
      </c>
      <c r="H6110" s="1" t="str">
        <f>"신창간 48L3L2"</f>
        <v>신창간 48L3L2</v>
      </c>
      <c r="I6110" s="1" t="s">
        <v>8</v>
      </c>
      <c r="J6110" s="1" t="str">
        <f>"11/11"</f>
        <v>11/11</v>
      </c>
      <c r="K6110" s="1" t="str">
        <f>"2026-07-29 13:18:03"</f>
        <v>2026-07-29 13:18:03</v>
      </c>
      <c r="L6110" s="1" t="str">
        <f>"2018-01-11 11:34:09"</f>
        <v>2018-01-11 11:34:09</v>
      </c>
      <c r="M6110" s="1" t="s">
        <v>1</v>
      </c>
      <c r="N6110" s="1" t="s">
        <v>38</v>
      </c>
      <c r="O6110" s="1" t="s">
        <v>46</v>
      </c>
    </row>
    <row r="6111" spans="2:15" x14ac:dyDescent="0.3">
      <c r="B6111" s="1" t="s">
        <v>22</v>
      </c>
      <c r="C6111" s="1" t="str">
        <f>"1차"</f>
        <v>1차</v>
      </c>
      <c r="D6111" s="1" t="str">
        <f>"0230P67101"</f>
        <v>0230P67101</v>
      </c>
      <c r="E6111" s="1" t="s">
        <v>10</v>
      </c>
      <c r="F6111" s="1" t="str">
        <f>"10.12.134.172"</f>
        <v>10.12.134.172</v>
      </c>
      <c r="G6111" s="1" t="str">
        <f>"0230P671"</f>
        <v>0230P671</v>
      </c>
      <c r="H6111" s="1" t="str">
        <f>"신창간 48L3L3"</f>
        <v>신창간 48L3L3</v>
      </c>
      <c r="I6111" s="1" t="s">
        <v>8</v>
      </c>
      <c r="J6111" s="1" t="str">
        <f>"52/52"</f>
        <v>52/52</v>
      </c>
      <c r="K6111" s="1" t="str">
        <f>"2026-07-29 13:18:02"</f>
        <v>2026-07-29 13:18:02</v>
      </c>
      <c r="L6111" s="1" t="str">
        <f>"2014-12-26 10:28:12"</f>
        <v>2014-12-26 10:28:12</v>
      </c>
      <c r="M6111" s="1" t="s">
        <v>0</v>
      </c>
      <c r="N6111" s="1" t="s">
        <v>38</v>
      </c>
      <c r="O6111" s="1" t="s">
        <v>46</v>
      </c>
    </row>
    <row r="6112" spans="2:15" x14ac:dyDescent="0.3">
      <c r="B6112" s="1" t="s">
        <v>22</v>
      </c>
      <c r="C6112" s="1" t="str">
        <f>"3차"</f>
        <v>3차</v>
      </c>
      <c r="D6112" s="1" t="str">
        <f>"0230P68139"</f>
        <v>0230P68139</v>
      </c>
      <c r="E6112" s="1" t="s">
        <v>10</v>
      </c>
      <c r="F6112" s="1" t="str">
        <f>"10.10.19.154"</f>
        <v>10.10.19.154</v>
      </c>
      <c r="G6112" s="1" t="str">
        <f>"0230P681"</f>
        <v>0230P681</v>
      </c>
      <c r="H6112" s="1" t="str">
        <f>"신창간 112L1"</f>
        <v>신창간 112L1</v>
      </c>
      <c r="I6112" s="1" t="s">
        <v>8</v>
      </c>
      <c r="J6112" s="1" t="str">
        <f>"83/93"</f>
        <v>83/93</v>
      </c>
      <c r="K6112" s="1" t="str">
        <f>"2026-07-29 13:18:03"</f>
        <v>2026-07-29 13:18:03</v>
      </c>
      <c r="L6112" s="1" t="str">
        <f>"2018-05-11 16:21:01"</f>
        <v>2018-05-11 16:21:01</v>
      </c>
      <c r="M6112" s="1" t="s">
        <v>1</v>
      </c>
      <c r="N6112" s="1" t="s">
        <v>38</v>
      </c>
      <c r="O6112" s="1" t="s">
        <v>46</v>
      </c>
    </row>
    <row r="6113" spans="2:15" x14ac:dyDescent="0.3">
      <c r="B6113" s="1" t="s">
        <v>22</v>
      </c>
      <c r="C6113" s="1" t="str">
        <f>"3차"</f>
        <v>3차</v>
      </c>
      <c r="D6113" s="1" t="str">
        <f>"0230P68239"</f>
        <v>0230P68239</v>
      </c>
      <c r="E6113" s="1" t="s">
        <v>10</v>
      </c>
      <c r="F6113" s="1" t="str">
        <f>"10.10.11.106"</f>
        <v>10.10.11.106</v>
      </c>
      <c r="G6113" s="1" t="str">
        <f>"0230P682"</f>
        <v>0230P682</v>
      </c>
      <c r="H6113" s="1" t="str">
        <f>"신창간 112L3"</f>
        <v>신창간 112L3</v>
      </c>
      <c r="I6113" s="1" t="s">
        <v>8</v>
      </c>
      <c r="J6113" s="1" t="str">
        <f>"47/47"</f>
        <v>47/47</v>
      </c>
      <c r="K6113" s="1" t="str">
        <f>"2026-07-29 13:18:03"</f>
        <v>2026-07-29 13:18:03</v>
      </c>
      <c r="L6113" s="1" t="str">
        <f>"2018-01-09 13:41:13"</f>
        <v>2018-01-09 13:41:13</v>
      </c>
      <c r="M6113" s="1" t="s">
        <v>1</v>
      </c>
      <c r="N6113" s="1" t="s">
        <v>38</v>
      </c>
      <c r="O6113" s="1" t="s">
        <v>46</v>
      </c>
    </row>
    <row r="6114" spans="2:15" x14ac:dyDescent="0.3">
      <c r="B6114" s="1" t="s">
        <v>22</v>
      </c>
      <c r="C6114" s="1" t="str">
        <f>"4차"</f>
        <v>4차</v>
      </c>
      <c r="D6114" s="1" t="str">
        <f>"0230P71244"</f>
        <v>0230P71244</v>
      </c>
      <c r="E6114" s="1" t="s">
        <v>10</v>
      </c>
      <c r="F6114" s="1" t="str">
        <f>"10.14.12.4"</f>
        <v>10.14.12.4</v>
      </c>
      <c r="G6114" s="1" t="str">
        <f>"0230P712"</f>
        <v>0230P712</v>
      </c>
      <c r="H6114" s="1" t="str">
        <f>"말미간 85L2L5"</f>
        <v>말미간 85L2L5</v>
      </c>
      <c r="I6114" s="1" t="s">
        <v>8</v>
      </c>
      <c r="J6114" s="1" t="str">
        <f>"24/24"</f>
        <v>24/24</v>
      </c>
      <c r="K6114" s="1" t="str">
        <f>"2026-07-29 07:18:04"</f>
        <v>2026-07-29 07:18:04</v>
      </c>
      <c r="L6114" s="1" t="str">
        <f>"2023-08-04 09:33:09"</f>
        <v>2023-08-04 09:33:09</v>
      </c>
      <c r="M6114" s="1" t="s">
        <v>3</v>
      </c>
      <c r="N6114" s="1" t="s">
        <v>38</v>
      </c>
      <c r="O6114" s="1" t="s">
        <v>46</v>
      </c>
    </row>
    <row r="6115" spans="2:15" x14ac:dyDescent="0.3">
      <c r="B6115" s="1" t="s">
        <v>22</v>
      </c>
      <c r="C6115" s="1" t="str">
        <f>"3차"</f>
        <v>3차</v>
      </c>
      <c r="D6115" s="1" t="str">
        <f>"0230P73339"</f>
        <v>0230P73339</v>
      </c>
      <c r="E6115" s="1" t="s">
        <v>10</v>
      </c>
      <c r="F6115" s="1" t="str">
        <f>"10.10.9.98"</f>
        <v>10.10.9.98</v>
      </c>
      <c r="G6115" s="1" t="str">
        <f>"0230P733"</f>
        <v>0230P733</v>
      </c>
      <c r="H6115" s="1" t="str">
        <f>"말미간 78H1"</f>
        <v>말미간 78H1</v>
      </c>
      <c r="I6115" s="1" t="s">
        <v>8</v>
      </c>
      <c r="J6115" s="1" t="str">
        <f>"16/16"</f>
        <v>16/16</v>
      </c>
      <c r="K6115" s="1" t="str">
        <f>"2026-07-29 13:18:03"</f>
        <v>2026-07-29 13:18:03</v>
      </c>
      <c r="L6115" s="1" t="str">
        <f>"2018-02-01 16:30:58"</f>
        <v>2018-02-01 16:30:58</v>
      </c>
      <c r="M6115" s="1" t="s">
        <v>1</v>
      </c>
      <c r="N6115" s="1" t="s">
        <v>38</v>
      </c>
      <c r="O6115" s="1" t="s">
        <v>46</v>
      </c>
    </row>
    <row r="6116" spans="2:15" x14ac:dyDescent="0.3">
      <c r="B6116" s="1" t="s">
        <v>22</v>
      </c>
      <c r="C6116" s="1" t="str">
        <f>"3차"</f>
        <v>3차</v>
      </c>
      <c r="D6116" s="1" t="str">
        <f>"0230P74139"</f>
        <v>0230P74139</v>
      </c>
      <c r="E6116" s="1" t="s">
        <v>10</v>
      </c>
      <c r="F6116" s="1" t="str">
        <f>"10.10.9.74"</f>
        <v>10.10.9.74</v>
      </c>
      <c r="G6116" s="1" t="str">
        <f>"0230P741"</f>
        <v>0230P741</v>
      </c>
      <c r="H6116" s="1" t="str">
        <f>"말미간 77"</f>
        <v>말미간 77</v>
      </c>
      <c r="I6116" s="1" t="s">
        <v>8</v>
      </c>
      <c r="J6116" s="1" t="str">
        <f>"13/14"</f>
        <v>13/14</v>
      </c>
      <c r="K6116" s="1" t="str">
        <f>"2026-07-29 13:18:03"</f>
        <v>2026-07-29 13:18:03</v>
      </c>
      <c r="L6116" s="1" t="str">
        <f>"2018-02-01 16:47:59"</f>
        <v>2018-02-01 16:47:59</v>
      </c>
      <c r="M6116" s="1" t="s">
        <v>1</v>
      </c>
      <c r="N6116" s="1" t="s">
        <v>38</v>
      </c>
      <c r="O6116" s="1" t="s">
        <v>46</v>
      </c>
    </row>
    <row r="6117" spans="2:15" x14ac:dyDescent="0.3">
      <c r="B6117" s="1" t="s">
        <v>22</v>
      </c>
      <c r="C6117" s="1" t="str">
        <f>"1차"</f>
        <v>1차</v>
      </c>
      <c r="D6117" s="1" t="str">
        <f>"0230P76100"</f>
        <v>0230P76100</v>
      </c>
      <c r="E6117" s="1" t="s">
        <v>10</v>
      </c>
      <c r="F6117" s="1" t="str">
        <f>"10.107.249.136"</f>
        <v>10.107.249.136</v>
      </c>
      <c r="G6117" s="1" t="str">
        <f>"0230P761"</f>
        <v>0230P761</v>
      </c>
      <c r="H6117" s="1" t="str">
        <f>"신창간 48L5"</f>
        <v>신창간 48L5</v>
      </c>
      <c r="I6117" s="1" t="s">
        <v>8</v>
      </c>
      <c r="J6117" s="1" t="str">
        <f>"39/39"</f>
        <v>39/39</v>
      </c>
      <c r="K6117" s="1" t="str">
        <f>"2026-07-29 13:18:03"</f>
        <v>2026-07-29 13:18:03</v>
      </c>
      <c r="L6117" s="1" t="str">
        <f>"2014-12-26 09:58:18"</f>
        <v>2014-12-26 09:58:18</v>
      </c>
      <c r="M6117" s="1" t="s">
        <v>45</v>
      </c>
      <c r="N6117" s="1" t="s">
        <v>38</v>
      </c>
      <c r="O6117" s="1" t="s">
        <v>46</v>
      </c>
    </row>
    <row r="6118" spans="2:15" x14ac:dyDescent="0.3">
      <c r="B6118" s="1" t="s">
        <v>22</v>
      </c>
      <c r="C6118" s="1" t="str">
        <f>"1차"</f>
        <v>1차</v>
      </c>
      <c r="D6118" s="1" t="str">
        <f>"0230P77101"</f>
        <v>0230P77101</v>
      </c>
      <c r="E6118" s="1" t="s">
        <v>10</v>
      </c>
      <c r="F6118" s="1" t="str">
        <f>"10.107.249.137"</f>
        <v>10.107.249.137</v>
      </c>
      <c r="G6118" s="1" t="str">
        <f>"0230P771"</f>
        <v>0230P771</v>
      </c>
      <c r="H6118" s="1" t="str">
        <f>"신창간 48L6"</f>
        <v>신창간 48L6</v>
      </c>
      <c r="I6118" s="1" t="s">
        <v>8</v>
      </c>
      <c r="J6118" s="1" t="str">
        <f>"61/61"</f>
        <v>61/61</v>
      </c>
      <c r="K6118" s="1" t="str">
        <f>"2026-07-29 13:18:01"</f>
        <v>2026-07-29 13:18:01</v>
      </c>
      <c r="L6118" s="1" t="str">
        <f>"2014-12-26 09:57:57"</f>
        <v>2014-12-26 09:57:57</v>
      </c>
      <c r="M6118" s="1" t="s">
        <v>45</v>
      </c>
      <c r="N6118" s="1" t="s">
        <v>38</v>
      </c>
      <c r="O6118" s="1" t="s">
        <v>46</v>
      </c>
    </row>
    <row r="6119" spans="2:15" x14ac:dyDescent="0.3">
      <c r="B6119" s="1" t="s">
        <v>22</v>
      </c>
      <c r="C6119" s="1" t="str">
        <f>"1차"</f>
        <v>1차</v>
      </c>
      <c r="D6119" s="1" t="str">
        <f>"0230P77200"</f>
        <v>0230P77200</v>
      </c>
      <c r="E6119" s="1" t="s">
        <v>10</v>
      </c>
      <c r="F6119" s="1" t="str">
        <f>"10.107.249.138"</f>
        <v>10.107.249.138</v>
      </c>
      <c r="G6119" s="1" t="str">
        <f>"0230P772"</f>
        <v>0230P772</v>
      </c>
      <c r="H6119" s="1" t="str">
        <f>"신창간 48L3L4"</f>
        <v>신창간 48L3L4</v>
      </c>
      <c r="I6119" s="1" t="s">
        <v>8</v>
      </c>
      <c r="J6119" s="1" t="str">
        <f>"28/28"</f>
        <v>28/28</v>
      </c>
      <c r="K6119" s="1" t="str">
        <f>"2026-07-29 13:18:03"</f>
        <v>2026-07-29 13:18:03</v>
      </c>
      <c r="L6119" s="1" t="str">
        <f>"2014-12-26 10:27:58"</f>
        <v>2014-12-26 10:27:58</v>
      </c>
      <c r="M6119" s="1" t="s">
        <v>45</v>
      </c>
      <c r="N6119" s="1" t="s">
        <v>38</v>
      </c>
      <c r="O6119" s="1" t="s">
        <v>46</v>
      </c>
    </row>
    <row r="6120" spans="2:15" x14ac:dyDescent="0.3">
      <c r="B6120" s="1" t="s">
        <v>22</v>
      </c>
      <c r="C6120" s="1" t="str">
        <f>"1차"</f>
        <v>1차</v>
      </c>
      <c r="D6120" s="1" t="str">
        <f>"0230P77301"</f>
        <v>0230P77301</v>
      </c>
      <c r="E6120" s="1" t="s">
        <v>10</v>
      </c>
      <c r="F6120" s="1" t="str">
        <f>"10.12.129.91"</f>
        <v>10.12.129.91</v>
      </c>
      <c r="G6120" s="1" t="str">
        <f>"0230P773"</f>
        <v>0230P773</v>
      </c>
      <c r="H6120" s="1" t="str">
        <f>"신창간 48L3L5"</f>
        <v>신창간 48L3L5</v>
      </c>
      <c r="I6120" s="1" t="s">
        <v>8</v>
      </c>
      <c r="J6120" s="1" t="str">
        <f>"23/23"</f>
        <v>23/23</v>
      </c>
      <c r="K6120" s="1" t="str">
        <f>"2026-07-29 13:18:02"</f>
        <v>2026-07-29 13:18:02</v>
      </c>
      <c r="L6120" s="1" t="str">
        <f>"2014-12-26 10:28:35"</f>
        <v>2014-12-26 10:28:35</v>
      </c>
      <c r="M6120" s="1" t="s">
        <v>0</v>
      </c>
      <c r="N6120" s="1" t="s">
        <v>38</v>
      </c>
      <c r="O6120" s="1" t="s">
        <v>46</v>
      </c>
    </row>
    <row r="6121" spans="2:15" x14ac:dyDescent="0.3">
      <c r="B6121" s="1" t="s">
        <v>22</v>
      </c>
      <c r="C6121" s="1" t="str">
        <f>"3차"</f>
        <v>3차</v>
      </c>
      <c r="D6121" s="1" t="str">
        <f>"0230P78131"</f>
        <v>0230P78131</v>
      </c>
      <c r="E6121" s="1" t="s">
        <v>10</v>
      </c>
      <c r="F6121" s="1" t="str">
        <f>"10.10.24.43"</f>
        <v>10.10.24.43</v>
      </c>
      <c r="G6121" s="1" t="str">
        <f>"0230P781"</f>
        <v>0230P781</v>
      </c>
      <c r="H6121" s="1" t="str">
        <f>"신창간 109L2R4"</f>
        <v>신창간 109L2R4</v>
      </c>
      <c r="I6121" s="1" t="s">
        <v>8</v>
      </c>
      <c r="J6121" s="1" t="str">
        <f>"39/39"</f>
        <v>39/39</v>
      </c>
      <c r="K6121" s="1" t="str">
        <f>"2026-07-29 13:18:01"</f>
        <v>2026-07-29 13:18:01</v>
      </c>
      <c r="L6121" s="1" t="str">
        <f>"2018-03-15 15:32:58"</f>
        <v>2018-03-15 15:32:58</v>
      </c>
      <c r="M6121" s="1" t="s">
        <v>1</v>
      </c>
      <c r="N6121" s="1" t="s">
        <v>38</v>
      </c>
      <c r="O6121" s="1" t="s">
        <v>46</v>
      </c>
    </row>
    <row r="6122" spans="2:15" x14ac:dyDescent="0.3">
      <c r="B6122" s="1" t="s">
        <v>22</v>
      </c>
      <c r="C6122" s="1" t="str">
        <f>"3차"</f>
        <v>3차</v>
      </c>
      <c r="D6122" s="1" t="str">
        <f>"0230P78239"</f>
        <v>0230P78239</v>
      </c>
      <c r="E6122" s="1" t="s">
        <v>10</v>
      </c>
      <c r="F6122" s="1" t="str">
        <f>"10.107.249.30"</f>
        <v>10.107.249.30</v>
      </c>
      <c r="G6122" s="1" t="str">
        <f>"0230P782"</f>
        <v>0230P782</v>
      </c>
      <c r="H6122" s="1" t="str">
        <f>"신창간 112L1L2"</f>
        <v>신창간 112L1L2</v>
      </c>
      <c r="I6122" s="1" t="s">
        <v>8</v>
      </c>
      <c r="J6122" s="1" t="str">
        <f>"2/2"</f>
        <v>2/2</v>
      </c>
      <c r="K6122" s="1" t="str">
        <f>"2026-07-29 13:18:03"</f>
        <v>2026-07-29 13:18:03</v>
      </c>
      <c r="L6122" s="1" t="str">
        <f>"2018-03-27 16:27:44"</f>
        <v>2018-03-27 16:27:44</v>
      </c>
      <c r="M6122" s="1" t="s">
        <v>45</v>
      </c>
      <c r="N6122" s="1" t="s">
        <v>38</v>
      </c>
      <c r="O6122" s="1" t="s">
        <v>46</v>
      </c>
    </row>
    <row r="6123" spans="2:15" x14ac:dyDescent="0.3">
      <c r="B6123" s="1" t="s">
        <v>22</v>
      </c>
      <c r="C6123" s="1" t="str">
        <f>"3차"</f>
        <v>3차</v>
      </c>
      <c r="D6123" s="1" t="str">
        <f>"0230P79130"</f>
        <v>0230P79130</v>
      </c>
      <c r="E6123" s="1" t="s">
        <v>10</v>
      </c>
      <c r="F6123" s="1" t="str">
        <f>"10.10.23.194"</f>
        <v>10.10.23.194</v>
      </c>
      <c r="G6123" s="1" t="str">
        <f>"0230P791"</f>
        <v>0230P791</v>
      </c>
      <c r="H6123" s="1" t="str">
        <f>"신창간 111"</f>
        <v>신창간 111</v>
      </c>
      <c r="I6123" s="1" t="s">
        <v>8</v>
      </c>
      <c r="J6123" s="1" t="str">
        <f>"10/10"</f>
        <v>10/10</v>
      </c>
      <c r="K6123" s="1" t="str">
        <f>"2026-07-29 13:18:01"</f>
        <v>2026-07-29 13:18:01</v>
      </c>
      <c r="L6123" s="1" t="str">
        <f>"2018-03-12 17:11:58"</f>
        <v>2018-03-12 17:11:58</v>
      </c>
      <c r="M6123" s="1" t="s">
        <v>1</v>
      </c>
      <c r="N6123" s="1" t="s">
        <v>38</v>
      </c>
      <c r="O6123" s="1" t="s">
        <v>46</v>
      </c>
    </row>
    <row r="6124" spans="2:15" x14ac:dyDescent="0.3">
      <c r="B6124" s="1" t="s">
        <v>22</v>
      </c>
      <c r="C6124" s="1" t="str">
        <f>"3차"</f>
        <v>3차</v>
      </c>
      <c r="D6124" s="1" t="str">
        <f>"0230P79239"</f>
        <v>0230P79239</v>
      </c>
      <c r="E6124" s="1" t="s">
        <v>10</v>
      </c>
      <c r="F6124" s="1" t="str">
        <f>"10.10.11.82"</f>
        <v>10.10.11.82</v>
      </c>
      <c r="G6124" s="1" t="str">
        <f>"0230P792"</f>
        <v>0230P792</v>
      </c>
      <c r="H6124" s="1" t="str">
        <f>"신창간 109L1R1"</f>
        <v>신창간 109L1R1</v>
      </c>
      <c r="I6124" s="1" t="s">
        <v>8</v>
      </c>
      <c r="J6124" s="1" t="str">
        <f>"48/48"</f>
        <v>48/48</v>
      </c>
      <c r="K6124" s="1" t="str">
        <f>"2026-07-29 13:18:01"</f>
        <v>2026-07-29 13:18:01</v>
      </c>
      <c r="L6124" s="1" t="str">
        <f>"2018-03-12 10:52:25"</f>
        <v>2018-03-12 10:52:25</v>
      </c>
      <c r="M6124" s="1" t="s">
        <v>1</v>
      </c>
      <c r="N6124" s="1" t="s">
        <v>38</v>
      </c>
      <c r="O6124" s="1" t="s">
        <v>46</v>
      </c>
    </row>
    <row r="6125" spans="2:15" x14ac:dyDescent="0.3">
      <c r="B6125" s="1" t="s">
        <v>22</v>
      </c>
      <c r="C6125" s="1" t="str">
        <f>"4차"</f>
        <v>4차</v>
      </c>
      <c r="D6125" s="1" t="str">
        <f>"0230P80142"</f>
        <v>0230P80142</v>
      </c>
      <c r="E6125" s="1" t="s">
        <v>10</v>
      </c>
      <c r="F6125" s="1" t="str">
        <f>"10.12.128.119"</f>
        <v>10.12.128.119</v>
      </c>
      <c r="G6125" s="1" t="str">
        <f>"0230P801"</f>
        <v>0230P801</v>
      </c>
      <c r="H6125" s="1" t="str">
        <f>"말미간 85L20"</f>
        <v>말미간 85L20</v>
      </c>
      <c r="I6125" s="1" t="s">
        <v>8</v>
      </c>
      <c r="J6125" s="1" t="str">
        <f>"85/97"</f>
        <v>85/97</v>
      </c>
      <c r="K6125" s="1" t="str">
        <f>"2026-07-29 13:18:03"</f>
        <v>2026-07-29 13:18:03</v>
      </c>
      <c r="L6125" s="1" t="str">
        <f>"2024-05-21 18:04:50"</f>
        <v>2024-05-21 18:04:50</v>
      </c>
      <c r="M6125" s="1" t="s">
        <v>0</v>
      </c>
      <c r="N6125" s="1" t="s">
        <v>38</v>
      </c>
      <c r="O6125" s="1" t="s">
        <v>46</v>
      </c>
    </row>
    <row r="6126" spans="2:15" x14ac:dyDescent="0.3">
      <c r="B6126" s="1" t="s">
        <v>22</v>
      </c>
      <c r="C6126" s="1" t="str">
        <f>"3차"</f>
        <v>3차</v>
      </c>
      <c r="D6126" s="1" t="str">
        <f>"0230P81132"</f>
        <v>0230P81132</v>
      </c>
      <c r="E6126" s="1" t="s">
        <v>10</v>
      </c>
      <c r="F6126" s="1" t="str">
        <f>"10.10.24.12"</f>
        <v>10.10.24.12</v>
      </c>
      <c r="G6126" s="1" t="str">
        <f>"0230P811"</f>
        <v>0230P811</v>
      </c>
      <c r="H6126" s="1" t="str">
        <f>"말미간 66L3"</f>
        <v>말미간 66L3</v>
      </c>
      <c r="I6126" s="1" t="s">
        <v>8</v>
      </c>
      <c r="J6126" s="1" t="str">
        <f>"51/52"</f>
        <v>51/52</v>
      </c>
      <c r="K6126" s="1" t="str">
        <f>"2026-07-29 13:18:01"</f>
        <v>2026-07-29 13:18:01</v>
      </c>
      <c r="L6126" s="1" t="str">
        <f>"2018-01-19 15:39:43"</f>
        <v>2018-01-19 15:39:43</v>
      </c>
      <c r="M6126" s="1" t="s">
        <v>1</v>
      </c>
      <c r="N6126" s="1" t="s">
        <v>38</v>
      </c>
      <c r="O6126" s="1" t="s">
        <v>46</v>
      </c>
    </row>
    <row r="6127" spans="2:15" x14ac:dyDescent="0.3">
      <c r="B6127" s="1" t="s">
        <v>22</v>
      </c>
      <c r="C6127" s="1" t="str">
        <f>"4차"</f>
        <v>4차</v>
      </c>
      <c r="D6127" s="1" t="str">
        <f>"0230P82130"</f>
        <v>0230P82130</v>
      </c>
      <c r="E6127" s="1" t="s">
        <v>10</v>
      </c>
      <c r="F6127" s="1" t="str">
        <f>"10.10.24.10"</f>
        <v>10.10.24.10</v>
      </c>
      <c r="G6127" s="1" t="str">
        <f>"0230P821"</f>
        <v>0230P821</v>
      </c>
      <c r="H6127" s="1" t="str">
        <f>"말미간 66L2"</f>
        <v>말미간 66L2</v>
      </c>
      <c r="I6127" s="1" t="s">
        <v>8</v>
      </c>
      <c r="J6127" s="1" t="str">
        <f>"25/25"</f>
        <v>25/25</v>
      </c>
      <c r="K6127" s="1" t="str">
        <f>"2026-07-29 13:18:01"</f>
        <v>2026-07-29 13:18:01</v>
      </c>
      <c r="L6127" s="1" t="str">
        <f>"2018-01-08 13:52:27"</f>
        <v>2018-01-08 13:52:27</v>
      </c>
      <c r="M6127" s="1" t="s">
        <v>1</v>
      </c>
      <c r="N6127" s="1" t="s">
        <v>38</v>
      </c>
      <c r="O6127" s="1" t="s">
        <v>46</v>
      </c>
    </row>
    <row r="6128" spans="2:15" x14ac:dyDescent="0.3">
      <c r="B6128" s="1" t="s">
        <v>22</v>
      </c>
      <c r="C6128" s="1" t="str">
        <f>"3차"</f>
        <v>3차</v>
      </c>
      <c r="D6128" s="1" t="str">
        <f>"0230P83131"</f>
        <v>0230P83131</v>
      </c>
      <c r="E6128" s="1" t="s">
        <v>10</v>
      </c>
      <c r="F6128" s="1" t="str">
        <f>"10.10.24.11"</f>
        <v>10.10.24.11</v>
      </c>
      <c r="G6128" s="1" t="str">
        <f>"0230P831"</f>
        <v>0230P831</v>
      </c>
      <c r="H6128" s="1" t="str">
        <f>"말미간 66L1"</f>
        <v>말미간 66L1</v>
      </c>
      <c r="I6128" s="1" t="s">
        <v>8</v>
      </c>
      <c r="J6128" s="1" t="str">
        <f>"51/56"</f>
        <v>51/56</v>
      </c>
      <c r="K6128" s="1" t="str">
        <f>"2026-07-29 13:18:01"</f>
        <v>2026-07-29 13:18:01</v>
      </c>
      <c r="L6128" s="1" t="str">
        <f>"2018-01-19 15:01:57"</f>
        <v>2018-01-19 15:01:57</v>
      </c>
      <c r="M6128" s="1" t="s">
        <v>1</v>
      </c>
      <c r="N6128" s="1" t="s">
        <v>38</v>
      </c>
      <c r="O6128" s="1" t="s">
        <v>46</v>
      </c>
    </row>
    <row r="6129" spans="2:15" x14ac:dyDescent="0.3">
      <c r="B6129" s="1" t="s">
        <v>22</v>
      </c>
      <c r="C6129" s="1" t="str">
        <f>"4차"</f>
        <v>4차</v>
      </c>
      <c r="D6129" s="1" t="str">
        <f>"0230P85131"</f>
        <v>0230P85131</v>
      </c>
      <c r="E6129" s="1" t="s">
        <v>10</v>
      </c>
      <c r="F6129" s="1" t="str">
        <f>"10.12.138.14"</f>
        <v>10.12.138.14</v>
      </c>
      <c r="G6129" s="1" t="str">
        <f>"0230P851"</f>
        <v>0230P851</v>
      </c>
      <c r="H6129" s="1" t="str">
        <f>"말미간 75"</f>
        <v>말미간 75</v>
      </c>
      <c r="I6129" s="1" t="s">
        <v>8</v>
      </c>
      <c r="J6129" s="1" t="str">
        <f>"21/22"</f>
        <v>21/22</v>
      </c>
      <c r="K6129" s="1" t="str">
        <f>"2026-07-29 13:18:04"</f>
        <v>2026-07-29 13:18:04</v>
      </c>
      <c r="L6129" s="1" t="str">
        <f>"2024-10-02 13:26:47"</f>
        <v>2024-10-02 13:26:47</v>
      </c>
      <c r="M6129" s="1" t="s">
        <v>0</v>
      </c>
      <c r="N6129" s="1" t="s">
        <v>38</v>
      </c>
      <c r="O6129" s="1" t="s">
        <v>46</v>
      </c>
    </row>
    <row r="6130" spans="2:15" x14ac:dyDescent="0.3">
      <c r="B6130" s="1" t="s">
        <v>22</v>
      </c>
      <c r="C6130" s="1" t="str">
        <f>"1차"</f>
        <v>1차</v>
      </c>
      <c r="D6130" s="1" t="str">
        <f>"0230P85201"</f>
        <v>0230P85201</v>
      </c>
      <c r="E6130" s="1" t="s">
        <v>10</v>
      </c>
      <c r="F6130" s="1" t="str">
        <f>"10.107.249.139"</f>
        <v>10.107.249.139</v>
      </c>
      <c r="G6130" s="1" t="str">
        <f>"0230P852"</f>
        <v>0230P852</v>
      </c>
      <c r="H6130" s="1" t="str">
        <f>"신창간 49"</f>
        <v>신창간 49</v>
      </c>
      <c r="I6130" s="1" t="s">
        <v>8</v>
      </c>
      <c r="J6130" s="1" t="str">
        <f>"14/14"</f>
        <v>14/14</v>
      </c>
      <c r="K6130" s="1" t="str">
        <f>"2026-07-29 13:18:02"</f>
        <v>2026-07-29 13:18:02</v>
      </c>
      <c r="L6130" s="1" t="str">
        <f>"2014-12-26 10:13:24"</f>
        <v>2014-12-26 10:13:24</v>
      </c>
      <c r="M6130" s="1" t="s">
        <v>45</v>
      </c>
      <c r="N6130" s="1" t="s">
        <v>38</v>
      </c>
      <c r="O6130" s="1" t="s">
        <v>46</v>
      </c>
    </row>
    <row r="6131" spans="2:15" x14ac:dyDescent="0.3">
      <c r="B6131" s="1" t="s">
        <v>22</v>
      </c>
      <c r="C6131" s="1" t="str">
        <f>"3차"</f>
        <v>3차</v>
      </c>
      <c r="D6131" s="1" t="str">
        <f>"0230P87131"</f>
        <v>0230P87131</v>
      </c>
      <c r="E6131" s="1" t="s">
        <v>10</v>
      </c>
      <c r="F6131" s="1" t="str">
        <f>"10.10.40.75"</f>
        <v>10.10.40.75</v>
      </c>
      <c r="G6131" s="1" t="str">
        <f>"0230P871"</f>
        <v>0230P871</v>
      </c>
      <c r="H6131" s="1" t="str">
        <f>"신창간 48L7"</f>
        <v>신창간 48L7</v>
      </c>
      <c r="I6131" s="1" t="s">
        <v>8</v>
      </c>
      <c r="J6131" s="1" t="str">
        <f>"32/32"</f>
        <v>32/32</v>
      </c>
      <c r="K6131" s="1" t="str">
        <f>"2026-07-29 13:18:01"</f>
        <v>2026-07-29 13:18:01</v>
      </c>
      <c r="L6131" s="1" t="str">
        <f>"2018-01-20 16:44:13"</f>
        <v>2018-01-20 16:44:13</v>
      </c>
      <c r="M6131" s="1" t="s">
        <v>1</v>
      </c>
      <c r="N6131" s="1" t="s">
        <v>38</v>
      </c>
      <c r="O6131" s="1" t="s">
        <v>46</v>
      </c>
    </row>
    <row r="6132" spans="2:15" x14ac:dyDescent="0.3">
      <c r="B6132" s="1" t="s">
        <v>22</v>
      </c>
      <c r="C6132" s="1" t="str">
        <f>"1차"</f>
        <v>1차</v>
      </c>
      <c r="D6132" s="1" t="str">
        <f>"0230P87200"</f>
        <v>0230P87200</v>
      </c>
      <c r="E6132" s="1" t="s">
        <v>14</v>
      </c>
      <c r="F6132" s="1" t="str">
        <f>"10.107.249.144"</f>
        <v>10.107.249.144</v>
      </c>
      <c r="G6132" s="1" t="str">
        <f>"0230P872"</f>
        <v>0230P872</v>
      </c>
      <c r="H6132" s="1" t="str">
        <f>"신창간 48L7R1"</f>
        <v>신창간 48L7R1</v>
      </c>
      <c r="I6132" s="1" t="s">
        <v>8</v>
      </c>
      <c r="J6132" s="1" t="str">
        <f>"0/0"</f>
        <v>0/0</v>
      </c>
      <c r="K6132" s="1" t="str">
        <f>"2026-02-23 13:18:01"</f>
        <v>2026-02-23 13:18:01</v>
      </c>
      <c r="L6132" s="1" t="str">
        <f>"2014-12-20 12:58:27"</f>
        <v>2014-12-20 12:58:27</v>
      </c>
      <c r="M6132" s="1" t="s">
        <v>45</v>
      </c>
      <c r="N6132" s="1" t="s">
        <v>44</v>
      </c>
      <c r="O6132" s="1" t="s">
        <v>44</v>
      </c>
    </row>
    <row r="6133" spans="2:15" x14ac:dyDescent="0.3">
      <c r="B6133" s="1" t="s">
        <v>22</v>
      </c>
      <c r="C6133" s="1" t="str">
        <f>"3차"</f>
        <v>3차</v>
      </c>
      <c r="D6133" s="1" t="str">
        <f>"0230P89130"</f>
        <v>0230P89130</v>
      </c>
      <c r="E6133" s="1" t="s">
        <v>10</v>
      </c>
      <c r="F6133" s="1" t="str">
        <f>"10.10.24.42"</f>
        <v>10.10.24.42</v>
      </c>
      <c r="G6133" s="1" t="str">
        <f>"0230P891"</f>
        <v>0230P891</v>
      </c>
      <c r="H6133" s="1" t="str">
        <f>"신창간 109L2R2"</f>
        <v>신창간 109L2R2</v>
      </c>
      <c r="I6133" s="1" t="s">
        <v>8</v>
      </c>
      <c r="J6133" s="1" t="str">
        <f>"52/52"</f>
        <v>52/52</v>
      </c>
      <c r="K6133" s="1" t="str">
        <f>"2026-07-29 13:18:03"</f>
        <v>2026-07-29 13:18:03</v>
      </c>
      <c r="L6133" s="1" t="str">
        <f>"2018-01-09 10:54:26"</f>
        <v>2018-01-09 10:54:26</v>
      </c>
      <c r="M6133" s="1" t="s">
        <v>1</v>
      </c>
      <c r="N6133" s="1" t="s">
        <v>38</v>
      </c>
      <c r="O6133" s="1" t="s">
        <v>46</v>
      </c>
    </row>
    <row r="6134" spans="2:15" x14ac:dyDescent="0.3">
      <c r="B6134" s="1" t="s">
        <v>22</v>
      </c>
      <c r="C6134" s="1" t="str">
        <f>"1차"</f>
        <v>1차</v>
      </c>
      <c r="D6134" s="1" t="str">
        <f>"0230P90200"</f>
        <v>0230P90200</v>
      </c>
      <c r="E6134" s="1" t="s">
        <v>10</v>
      </c>
      <c r="F6134" s="1" t="str">
        <f>"10.107.121.168"</f>
        <v>10.107.121.168</v>
      </c>
      <c r="G6134" s="1" t="str">
        <f>"0230P902"</f>
        <v>0230P902</v>
      </c>
      <c r="H6134" s="1" t="str">
        <f>"말미간 61"</f>
        <v>말미간 61</v>
      </c>
      <c r="I6134" s="1" t="s">
        <v>8</v>
      </c>
      <c r="J6134" s="1" t="str">
        <f>"31/31"</f>
        <v>31/31</v>
      </c>
      <c r="K6134" s="1" t="str">
        <f>"2026-07-29 13:18:02"</f>
        <v>2026-07-29 13:18:02</v>
      </c>
      <c r="L6134" s="1" t="str">
        <f>"2014-12-17 16:58:12"</f>
        <v>2014-12-17 16:58:12</v>
      </c>
      <c r="M6134" s="1" t="s">
        <v>45</v>
      </c>
      <c r="N6134" s="1" t="s">
        <v>38</v>
      </c>
      <c r="O6134" s="1" t="s">
        <v>46</v>
      </c>
    </row>
    <row r="6135" spans="2:15" x14ac:dyDescent="0.3">
      <c r="B6135" s="1" t="s">
        <v>22</v>
      </c>
      <c r="C6135" s="1" t="str">
        <f>"6차"</f>
        <v>6차</v>
      </c>
      <c r="D6135" s="1" t="str">
        <f>"0230P9226S"</f>
        <v>0230P9226S</v>
      </c>
      <c r="E6135" s="1" t="s">
        <v>10</v>
      </c>
      <c r="F6135" s="1" t="str">
        <f>"fde3:102:1410:2100:0:0:0:b"</f>
        <v>fde3:102:1410:2100:0:0:0:b</v>
      </c>
      <c r="G6135" s="1" t="str">
        <f>"0230P922"</f>
        <v>0230P922</v>
      </c>
      <c r="H6135" s="1" t="str">
        <f>"말미간 63"</f>
        <v>말미간 63</v>
      </c>
      <c r="I6135" s="1" t="s">
        <v>15</v>
      </c>
      <c r="J6135" s="1" t="str">
        <f>"29/29"</f>
        <v>29/29</v>
      </c>
      <c r="K6135" s="1" t="str">
        <f>"2026-07-29 02:20:15"</f>
        <v>2026-07-29 02:20:15</v>
      </c>
      <c r="L6135" s="1" t="str">
        <f>"2024-12-05 15:02:33"</f>
        <v>2024-12-05 15:02:33</v>
      </c>
      <c r="M6135" s="1" t="s">
        <v>45</v>
      </c>
      <c r="N6135" s="1" t="s">
        <v>38</v>
      </c>
      <c r="O6135" s="1" t="s">
        <v>46</v>
      </c>
    </row>
    <row r="6136" spans="2:15" x14ac:dyDescent="0.3">
      <c r="B6136" s="1" t="s">
        <v>22</v>
      </c>
      <c r="C6136" s="1" t="str">
        <f>"3차"</f>
        <v>3차</v>
      </c>
      <c r="D6136" s="1" t="str">
        <f>"0230P93130"</f>
        <v>0230P93130</v>
      </c>
      <c r="E6136" s="1" t="s">
        <v>10</v>
      </c>
      <c r="F6136" s="1" t="str">
        <f>"10.10.19.26"</f>
        <v>10.10.19.26</v>
      </c>
      <c r="G6136" s="1" t="str">
        <f>"0230P931"</f>
        <v>0230P931</v>
      </c>
      <c r="H6136" s="1" t="str">
        <f>"말미간 65"</f>
        <v>말미간 65</v>
      </c>
      <c r="I6136" s="1" t="s">
        <v>8</v>
      </c>
      <c r="J6136" s="1" t="str">
        <f>"35/37"</f>
        <v>35/37</v>
      </c>
      <c r="K6136" s="1" t="str">
        <f>"2026-07-29 13:18:01"</f>
        <v>2026-07-29 13:18:01</v>
      </c>
      <c r="L6136" s="1" t="str">
        <f>"2018-05-21 13:17:06"</f>
        <v>2018-05-21 13:17:06</v>
      </c>
      <c r="M6136" s="1" t="s">
        <v>1</v>
      </c>
      <c r="N6136" s="1" t="s">
        <v>38</v>
      </c>
      <c r="O6136" s="1" t="s">
        <v>46</v>
      </c>
    </row>
    <row r="6137" spans="2:15" x14ac:dyDescent="0.3">
      <c r="B6137" s="1" t="s">
        <v>22</v>
      </c>
      <c r="C6137" s="1" t="str">
        <f>"3차"</f>
        <v>3차</v>
      </c>
      <c r="D6137" s="1" t="str">
        <f>"0230P93239"</f>
        <v>0230P93239</v>
      </c>
      <c r="E6137" s="1" t="s">
        <v>10</v>
      </c>
      <c r="F6137" s="1" t="str">
        <f>"10.10.19.202"</f>
        <v>10.10.19.202</v>
      </c>
      <c r="G6137" s="1" t="str">
        <f>"0230P932"</f>
        <v>0230P932</v>
      </c>
      <c r="H6137" s="1" t="str">
        <f>"말미간 65R1"</f>
        <v>말미간 65R1</v>
      </c>
      <c r="I6137" s="1" t="s">
        <v>8</v>
      </c>
      <c r="J6137" s="1" t="str">
        <f>"40/40"</f>
        <v>40/40</v>
      </c>
      <c r="K6137" s="1" t="str">
        <f>"2026-07-29 13:18:01"</f>
        <v>2026-07-29 13:18:01</v>
      </c>
      <c r="L6137" s="1" t="str">
        <f>"2018-05-15 15:44:28"</f>
        <v>2018-05-15 15:44:28</v>
      </c>
      <c r="M6137" s="1" t="s">
        <v>1</v>
      </c>
      <c r="N6137" s="1" t="s">
        <v>38</v>
      </c>
      <c r="O6137" s="1" t="s">
        <v>46</v>
      </c>
    </row>
    <row r="6138" spans="2:15" x14ac:dyDescent="0.3">
      <c r="B6138" s="1" t="s">
        <v>22</v>
      </c>
      <c r="C6138" s="1" t="str">
        <f>"3차"</f>
        <v>3차</v>
      </c>
      <c r="D6138" s="1" t="str">
        <f>"0230P94131"</f>
        <v>0230P94131</v>
      </c>
      <c r="E6138" s="1" t="s">
        <v>10</v>
      </c>
      <c r="F6138" s="1" t="str">
        <f>"10.10.19.27"</f>
        <v>10.10.19.27</v>
      </c>
      <c r="G6138" s="1" t="str">
        <f>"0230P941"</f>
        <v>0230P941</v>
      </c>
      <c r="H6138" s="1" t="str">
        <f>"말미간 66"</f>
        <v>말미간 66</v>
      </c>
      <c r="I6138" s="1" t="s">
        <v>8</v>
      </c>
      <c r="J6138" s="1" t="str">
        <f>"27/27"</f>
        <v>27/27</v>
      </c>
      <c r="K6138" s="1" t="str">
        <f>"2026-07-29 13:18:01"</f>
        <v>2026-07-29 13:18:01</v>
      </c>
      <c r="L6138" s="1" t="str">
        <f>"2018-06-05 13:07:58"</f>
        <v>2018-06-05 13:07:58</v>
      </c>
      <c r="M6138" s="1" t="s">
        <v>1</v>
      </c>
      <c r="N6138" s="1" t="s">
        <v>38</v>
      </c>
      <c r="O6138" s="1" t="s">
        <v>46</v>
      </c>
    </row>
    <row r="6139" spans="2:15" x14ac:dyDescent="0.3">
      <c r="B6139" s="1" t="s">
        <v>22</v>
      </c>
      <c r="C6139" s="1" t="str">
        <f>"3차"</f>
        <v>3차</v>
      </c>
      <c r="D6139" s="1" t="str">
        <f>"0230P94230"</f>
        <v>0230P94230</v>
      </c>
      <c r="E6139" s="1" t="s">
        <v>10</v>
      </c>
      <c r="F6139" s="1" t="str">
        <f>"10.10.19.18"</f>
        <v>10.10.19.18</v>
      </c>
      <c r="G6139" s="1" t="str">
        <f>"0230P942"</f>
        <v>0230P942</v>
      </c>
      <c r="H6139" s="1" t="str">
        <f>"말미간 67"</f>
        <v>말미간 67</v>
      </c>
      <c r="I6139" s="1" t="s">
        <v>8</v>
      </c>
      <c r="J6139" s="1" t="str">
        <f>"32/32"</f>
        <v>32/32</v>
      </c>
      <c r="K6139" s="1" t="str">
        <f>"2026-07-29 13:18:01"</f>
        <v>2026-07-29 13:18:01</v>
      </c>
      <c r="L6139" s="1" t="str">
        <f>"2018-01-08 14:09:27"</f>
        <v>2018-01-08 14:09:27</v>
      </c>
      <c r="M6139" s="1" t="s">
        <v>1</v>
      </c>
      <c r="N6139" s="1" t="s">
        <v>38</v>
      </c>
      <c r="O6139" s="1" t="s">
        <v>46</v>
      </c>
    </row>
    <row r="6140" spans="2:15" x14ac:dyDescent="0.3">
      <c r="B6140" s="1" t="s">
        <v>22</v>
      </c>
      <c r="C6140" s="1" t="str">
        <f>"3차"</f>
        <v>3차</v>
      </c>
      <c r="D6140" s="1" t="str">
        <f>"0230P94339"</f>
        <v>0230P94339</v>
      </c>
      <c r="E6140" s="1" t="s">
        <v>10</v>
      </c>
      <c r="F6140" s="1" t="str">
        <f>"10.107.252.70"</f>
        <v>10.107.252.70</v>
      </c>
      <c r="G6140" s="1" t="str">
        <f>"0230P943"</f>
        <v>0230P943</v>
      </c>
      <c r="H6140" s="1" t="str">
        <f>"말미간 66C1"</f>
        <v>말미간 66C1</v>
      </c>
      <c r="I6140" s="1" t="s">
        <v>8</v>
      </c>
      <c r="J6140" s="1" t="str">
        <f>"15/15"</f>
        <v>15/15</v>
      </c>
      <c r="K6140" s="1" t="str">
        <f>"2026-07-29 13:18:03"</f>
        <v>2026-07-29 13:18:03</v>
      </c>
      <c r="L6140" s="1" t="str">
        <f>"2018-03-30 08:38:56"</f>
        <v>2018-03-30 08:38:56</v>
      </c>
      <c r="M6140" s="1" t="s">
        <v>45</v>
      </c>
      <c r="N6140" s="1" t="s">
        <v>38</v>
      </c>
      <c r="O6140" s="1" t="s">
        <v>46</v>
      </c>
    </row>
    <row r="6141" spans="2:15" x14ac:dyDescent="0.3">
      <c r="B6141" s="1" t="s">
        <v>22</v>
      </c>
      <c r="C6141" s="1" t="str">
        <f>"4차"</f>
        <v>4차</v>
      </c>
      <c r="D6141" s="1" t="str">
        <f>"0230P96130"</f>
        <v>0230P96130</v>
      </c>
      <c r="E6141" s="1" t="s">
        <v>10</v>
      </c>
      <c r="F6141" s="1" t="str">
        <f>"10.10.21.98"</f>
        <v>10.10.21.98</v>
      </c>
      <c r="G6141" s="1" t="str">
        <f>"0230P961"</f>
        <v>0230P961</v>
      </c>
      <c r="H6141" s="1" t="str">
        <f>"말미간 74"</f>
        <v>말미간 74</v>
      </c>
      <c r="I6141" s="1" t="s">
        <v>8</v>
      </c>
      <c r="J6141" s="1" t="str">
        <f>"15/15"</f>
        <v>15/15</v>
      </c>
      <c r="K6141" s="1" t="str">
        <f>"2026-07-29 13:18:01"</f>
        <v>2026-07-29 13:18:01</v>
      </c>
      <c r="L6141" s="1" t="str">
        <f>"2024-08-07 15:25:54"</f>
        <v>2024-08-07 15:25:54</v>
      </c>
      <c r="M6141" s="1" t="s">
        <v>1</v>
      </c>
      <c r="N6141" s="1" t="s">
        <v>38</v>
      </c>
      <c r="O6141" s="1" t="s">
        <v>46</v>
      </c>
    </row>
    <row r="6142" spans="2:15" x14ac:dyDescent="0.3">
      <c r="B6142" s="1" t="s">
        <v>22</v>
      </c>
      <c r="C6142" s="1" t="str">
        <f>"1차"</f>
        <v>1차</v>
      </c>
      <c r="D6142" s="1" t="str">
        <f>"0230P96300"</f>
        <v>0230P96300</v>
      </c>
      <c r="E6142" s="1" t="s">
        <v>10</v>
      </c>
      <c r="F6142" s="1" t="str">
        <f>"10.107.249.140"</f>
        <v>10.107.249.140</v>
      </c>
      <c r="G6142" s="1" t="str">
        <f>"0230P963"</f>
        <v>0230P963</v>
      </c>
      <c r="H6142" s="1" t="str">
        <f>"신창간 50"</f>
        <v>신창간 50</v>
      </c>
      <c r="I6142" s="1" t="s">
        <v>8</v>
      </c>
      <c r="J6142" s="1" t="str">
        <f>"10/10"</f>
        <v>10/10</v>
      </c>
      <c r="K6142" s="1" t="str">
        <f>"2026-07-29 13:18:01"</f>
        <v>2026-07-29 13:18:01</v>
      </c>
      <c r="L6142" s="1" t="str">
        <f>"2014-12-26 10:12:43"</f>
        <v>2014-12-26 10:12:43</v>
      </c>
      <c r="M6142" s="1" t="s">
        <v>45</v>
      </c>
      <c r="N6142" s="1" t="s">
        <v>38</v>
      </c>
      <c r="O6142" s="1" t="s">
        <v>46</v>
      </c>
    </row>
    <row r="6143" spans="2:15" x14ac:dyDescent="0.3">
      <c r="B6143" s="1" t="s">
        <v>22</v>
      </c>
      <c r="C6143" s="1" t="str">
        <f>"4차"</f>
        <v>4차</v>
      </c>
      <c r="D6143" s="1" t="str">
        <f>"0230P98130"</f>
        <v>0230P98130</v>
      </c>
      <c r="E6143" s="1" t="s">
        <v>10</v>
      </c>
      <c r="F6143" s="1" t="str">
        <f>"10.10.40.74"</f>
        <v>10.10.40.74</v>
      </c>
      <c r="G6143" s="1" t="str">
        <f>"0230P981"</f>
        <v>0230P981</v>
      </c>
      <c r="H6143" s="1" t="str">
        <f>"신창간 48L8"</f>
        <v>신창간 48L8</v>
      </c>
      <c r="I6143" s="1" t="s">
        <v>8</v>
      </c>
      <c r="J6143" s="1" t="str">
        <f>"118/118"</f>
        <v>118/118</v>
      </c>
      <c r="K6143" s="1" t="str">
        <f>"2026-07-29 13:18:01"</f>
        <v>2026-07-29 13:18:01</v>
      </c>
      <c r="L6143" s="1" t="str">
        <f>"2018-01-11 12:02:56"</f>
        <v>2018-01-11 12:02:56</v>
      </c>
      <c r="M6143" s="1" t="s">
        <v>1</v>
      </c>
      <c r="N6143" s="1" t="s">
        <v>38</v>
      </c>
      <c r="O6143" s="1" t="s">
        <v>46</v>
      </c>
    </row>
    <row r="6144" spans="2:15" x14ac:dyDescent="0.3">
      <c r="B6144" s="1" t="s">
        <v>22</v>
      </c>
      <c r="C6144" s="1" t="str">
        <f>"6차"</f>
        <v>6차</v>
      </c>
      <c r="D6144" s="1" t="str">
        <f>"0230P9916S"</f>
        <v>0230P9916S</v>
      </c>
      <c r="E6144" s="1" t="s">
        <v>10</v>
      </c>
      <c r="F6144" s="1" t="str">
        <f>"fde1:103:4:9372:0:0:0:2"</f>
        <v>fde1:103:4:9372:0:0:0:2</v>
      </c>
      <c r="G6144" s="1" t="str">
        <f>"0230P991"</f>
        <v>0230P991</v>
      </c>
      <c r="H6144" s="1" t="str">
        <f>"신창간 48L9"</f>
        <v>신창간 48L9</v>
      </c>
      <c r="I6144" s="1" t="s">
        <v>15</v>
      </c>
      <c r="J6144" s="1" t="str">
        <f>"18/19"</f>
        <v>18/19</v>
      </c>
      <c r="K6144" s="1" t="str">
        <f>"2026-07-29 14:21:08"</f>
        <v>2026-07-29 14:21:08</v>
      </c>
      <c r="L6144" s="1" t="str">
        <f>"2024-10-08 16:58:58"</f>
        <v>2024-10-08 16:58:58</v>
      </c>
      <c r="M6144" s="1" t="s">
        <v>4</v>
      </c>
      <c r="N6144" s="1" t="s">
        <v>38</v>
      </c>
      <c r="O6144" s="1" t="s">
        <v>46</v>
      </c>
    </row>
    <row r="6145" spans="2:15" x14ac:dyDescent="0.3">
      <c r="B6145" s="1" t="s">
        <v>22</v>
      </c>
      <c r="C6145" s="1" t="str">
        <f>"3차"</f>
        <v>3차</v>
      </c>
      <c r="D6145" s="1" t="str">
        <f>"0230Q00231"</f>
        <v>0230Q00231</v>
      </c>
      <c r="E6145" s="1" t="s">
        <v>10</v>
      </c>
      <c r="F6145" s="1" t="str">
        <f>"10.10.24.19"</f>
        <v>10.10.24.19</v>
      </c>
      <c r="G6145" s="1" t="str">
        <f>"0230Q002"</f>
        <v>0230Q002</v>
      </c>
      <c r="H6145" s="1" t="str">
        <f>"말미간 60R1"</f>
        <v>말미간 60R1</v>
      </c>
      <c r="I6145" s="1" t="s">
        <v>8</v>
      </c>
      <c r="J6145" s="1" t="str">
        <f>"52/52"</f>
        <v>52/52</v>
      </c>
      <c r="K6145" s="1" t="str">
        <f>"2026-07-29 13:18:01"</f>
        <v>2026-07-29 13:18:01</v>
      </c>
      <c r="L6145" s="1" t="str">
        <f>"2018-02-01 17:31:00"</f>
        <v>2018-02-01 17:31:00</v>
      </c>
      <c r="M6145" s="1" t="s">
        <v>1</v>
      </c>
      <c r="N6145" s="1" t="s">
        <v>38</v>
      </c>
      <c r="O6145" s="1" t="s">
        <v>46</v>
      </c>
    </row>
    <row r="6146" spans="2:15" x14ac:dyDescent="0.3">
      <c r="B6146" s="1" t="s">
        <v>22</v>
      </c>
      <c r="C6146" s="1" t="str">
        <f>"4차"</f>
        <v>4차</v>
      </c>
      <c r="D6146" s="1" t="str">
        <f>"0230Q04339"</f>
        <v>0230Q04339</v>
      </c>
      <c r="E6146" s="1" t="s">
        <v>10</v>
      </c>
      <c r="F6146" s="1" t="str">
        <f>"10.107.252.69"</f>
        <v>10.107.252.69</v>
      </c>
      <c r="G6146" s="1" t="str">
        <f>"0230Q043"</f>
        <v>0230Q043</v>
      </c>
      <c r="H6146" s="1" t="str">
        <f>"말미간 65R2"</f>
        <v>말미간 65R2</v>
      </c>
      <c r="I6146" s="1" t="s">
        <v>8</v>
      </c>
      <c r="J6146" s="1" t="str">
        <f>"44/44"</f>
        <v>44/44</v>
      </c>
      <c r="K6146" s="1" t="str">
        <f>"2026-07-29 13:18:01"</f>
        <v>2026-07-29 13:18:01</v>
      </c>
      <c r="L6146" s="1" t="str">
        <f>"2018-04-11 08:02:39"</f>
        <v>2018-04-11 08:02:39</v>
      </c>
      <c r="M6146" s="1" t="s">
        <v>45</v>
      </c>
      <c r="N6146" s="1" t="s">
        <v>38</v>
      </c>
      <c r="O6146" s="1" t="s">
        <v>46</v>
      </c>
    </row>
    <row r="6147" spans="2:15" x14ac:dyDescent="0.3">
      <c r="B6147" s="1" t="s">
        <v>22</v>
      </c>
      <c r="C6147" s="1" t="str">
        <f>"3차"</f>
        <v>3차</v>
      </c>
      <c r="D6147" s="1" t="str">
        <f>"0230Q06131"</f>
        <v>0230Q06131</v>
      </c>
      <c r="E6147" s="1" t="s">
        <v>10</v>
      </c>
      <c r="F6147" s="1" t="str">
        <f>"10.10.19.19"</f>
        <v>10.10.19.19</v>
      </c>
      <c r="G6147" s="1" t="str">
        <f>"0230Q061"</f>
        <v>0230Q061</v>
      </c>
      <c r="H6147" s="1" t="str">
        <f>"말미간 69"</f>
        <v>말미간 69</v>
      </c>
      <c r="I6147" s="1" t="s">
        <v>8</v>
      </c>
      <c r="J6147" s="1" t="str">
        <f>"60/60"</f>
        <v>60/60</v>
      </c>
      <c r="K6147" s="1" t="str">
        <f>"2026-07-29 13:18:01"</f>
        <v>2026-07-29 13:18:01</v>
      </c>
      <c r="L6147" s="1" t="str">
        <f>"2018-01-19 16:30:28"</f>
        <v>2018-01-19 16:30:28</v>
      </c>
      <c r="M6147" s="1" t="s">
        <v>1</v>
      </c>
      <c r="N6147" s="1" t="s">
        <v>38</v>
      </c>
      <c r="O6147" s="1" t="s">
        <v>46</v>
      </c>
    </row>
    <row r="6148" spans="2:15" x14ac:dyDescent="0.3">
      <c r="B6148" s="1" t="s">
        <v>22</v>
      </c>
      <c r="C6148" s="1" t="str">
        <f>"5-2차"</f>
        <v>5-2차</v>
      </c>
      <c r="D6148" s="1" t="str">
        <f>"0230Q0715M"</f>
        <v>0230Q0715M</v>
      </c>
      <c r="E6148" s="1" t="s">
        <v>10</v>
      </c>
      <c r="F6148" s="1" t="str">
        <f>"fde1:103:4:92dd:0:0:0:2"</f>
        <v>fde1:103:4:92dd:0:0:0:2</v>
      </c>
      <c r="G6148" s="1" t="str">
        <f>"0230Q071"</f>
        <v>0230Q071</v>
      </c>
      <c r="H6148" s="1" t="str">
        <f>"말미간 72R1"</f>
        <v>말미간 72R1</v>
      </c>
      <c r="I6148" s="1" t="s">
        <v>15</v>
      </c>
      <c r="J6148" s="1" t="str">
        <f>"40/40"</f>
        <v>40/40</v>
      </c>
      <c r="K6148" s="1" t="str">
        <f>"2026-07-29 14:20:50"</f>
        <v>2026-07-29 14:20:50</v>
      </c>
      <c r="L6148" s="1" t="str">
        <f>"2023-12-19 11:09:44"</f>
        <v>2023-12-19 11:09:44</v>
      </c>
      <c r="M6148" s="1" t="s">
        <v>4</v>
      </c>
      <c r="N6148" s="1" t="s">
        <v>38</v>
      </c>
      <c r="O6148" s="1" t="s">
        <v>46</v>
      </c>
    </row>
    <row r="6149" spans="2:15" x14ac:dyDescent="0.3">
      <c r="B6149" s="1" t="s">
        <v>22</v>
      </c>
      <c r="C6149" s="1" t="str">
        <f t="shared" ref="C6149:C6156" si="308">"3차"</f>
        <v>3차</v>
      </c>
      <c r="D6149" s="1" t="str">
        <f>"0230Q08139"</f>
        <v>0230Q08139</v>
      </c>
      <c r="E6149" s="1" t="s">
        <v>10</v>
      </c>
      <c r="F6149" s="1" t="str">
        <f>"10.10.11.178"</f>
        <v>10.10.11.178</v>
      </c>
      <c r="G6149" s="1" t="str">
        <f>"0230Q081"</f>
        <v>0230Q081</v>
      </c>
      <c r="H6149" s="1" t="str">
        <f>"신창간 52R1"</f>
        <v>신창간 52R1</v>
      </c>
      <c r="I6149" s="1" t="s">
        <v>8</v>
      </c>
      <c r="J6149" s="1" t="str">
        <f>"22/44"</f>
        <v>22/44</v>
      </c>
      <c r="K6149" s="1" t="str">
        <f t="shared" ref="K6149:K6156" si="309">"2026-07-29 13:18:01"</f>
        <v>2026-07-29 13:18:01</v>
      </c>
      <c r="L6149" s="1" t="str">
        <f>"2018-02-05 10:33:56"</f>
        <v>2018-02-05 10:33:56</v>
      </c>
      <c r="M6149" s="1" t="s">
        <v>1</v>
      </c>
      <c r="N6149" s="1" t="s">
        <v>38</v>
      </c>
      <c r="O6149" s="1" t="s">
        <v>46</v>
      </c>
    </row>
    <row r="6150" spans="2:15" x14ac:dyDescent="0.3">
      <c r="B6150" s="1" t="s">
        <v>22</v>
      </c>
      <c r="C6150" s="1" t="str">
        <f t="shared" si="308"/>
        <v>3차</v>
      </c>
      <c r="D6150" s="1" t="str">
        <f>"0230Q09131"</f>
        <v>0230Q09131</v>
      </c>
      <c r="E6150" s="1" t="s">
        <v>10</v>
      </c>
      <c r="F6150" s="1" t="str">
        <f>"10.10.22.35"</f>
        <v>10.10.22.35</v>
      </c>
      <c r="G6150" s="1" t="str">
        <f>"0230Q091"</f>
        <v>0230Q091</v>
      </c>
      <c r="H6150" s="1" t="str">
        <f>"신창간 55"</f>
        <v>신창간 55</v>
      </c>
      <c r="I6150" s="1" t="s">
        <v>8</v>
      </c>
      <c r="J6150" s="1" t="str">
        <f>"48/48"</f>
        <v>48/48</v>
      </c>
      <c r="K6150" s="1" t="str">
        <f t="shared" si="309"/>
        <v>2026-07-29 13:18:01</v>
      </c>
      <c r="L6150" s="1" t="str">
        <f>"2018-03-15 15:12:44"</f>
        <v>2018-03-15 15:12:44</v>
      </c>
      <c r="M6150" s="1" t="s">
        <v>1</v>
      </c>
      <c r="N6150" s="1" t="s">
        <v>38</v>
      </c>
      <c r="O6150" s="1" t="s">
        <v>46</v>
      </c>
    </row>
    <row r="6151" spans="2:15" x14ac:dyDescent="0.3">
      <c r="B6151" s="1" t="s">
        <v>22</v>
      </c>
      <c r="C6151" s="1" t="str">
        <f t="shared" si="308"/>
        <v>3차</v>
      </c>
      <c r="D6151" s="1" t="str">
        <f>"0230Q09230"</f>
        <v>0230Q09230</v>
      </c>
      <c r="E6151" s="1" t="s">
        <v>10</v>
      </c>
      <c r="F6151" s="1" t="str">
        <f>"10.10.22.34"</f>
        <v>10.10.22.34</v>
      </c>
      <c r="G6151" s="1" t="str">
        <f>"0230Q092"</f>
        <v>0230Q092</v>
      </c>
      <c r="H6151" s="1" t="str">
        <f>"신창간 54"</f>
        <v>신창간 54</v>
      </c>
      <c r="I6151" s="1" t="s">
        <v>8</v>
      </c>
      <c r="J6151" s="1" t="str">
        <f>"21/21"</f>
        <v>21/21</v>
      </c>
      <c r="K6151" s="1" t="str">
        <f t="shared" si="309"/>
        <v>2026-07-29 13:18:01</v>
      </c>
      <c r="L6151" s="1" t="str">
        <f>"2018-01-11 13:58:56"</f>
        <v>2018-01-11 13:58:56</v>
      </c>
      <c r="M6151" s="1" t="s">
        <v>1</v>
      </c>
      <c r="N6151" s="1" t="s">
        <v>38</v>
      </c>
      <c r="O6151" s="1" t="s">
        <v>46</v>
      </c>
    </row>
    <row r="6152" spans="2:15" x14ac:dyDescent="0.3">
      <c r="B6152" s="1" t="s">
        <v>22</v>
      </c>
      <c r="C6152" s="1" t="str">
        <f t="shared" si="308"/>
        <v>3차</v>
      </c>
      <c r="D6152" s="1" t="str">
        <f>"0230Q11230"</f>
        <v>0230Q11230</v>
      </c>
      <c r="E6152" s="1" t="s">
        <v>10</v>
      </c>
      <c r="F6152" s="1" t="str">
        <f>"10.10.24.18"</f>
        <v>10.10.24.18</v>
      </c>
      <c r="G6152" s="1" t="str">
        <f>"0230Q112"</f>
        <v>0230Q112</v>
      </c>
      <c r="H6152" s="1" t="str">
        <f>"말미간 60R2"</f>
        <v>말미간 60R2</v>
      </c>
      <c r="I6152" s="1" t="s">
        <v>8</v>
      </c>
      <c r="J6152" s="1" t="str">
        <f>"23/23"</f>
        <v>23/23</v>
      </c>
      <c r="K6152" s="1" t="str">
        <f t="shared" si="309"/>
        <v>2026-07-29 13:18:01</v>
      </c>
      <c r="L6152" s="1" t="str">
        <f>"2018-02-01 17:23:14"</f>
        <v>2018-02-01 17:23:14</v>
      </c>
      <c r="M6152" s="1" t="s">
        <v>1</v>
      </c>
      <c r="N6152" s="1" t="s">
        <v>38</v>
      </c>
      <c r="O6152" s="1" t="s">
        <v>46</v>
      </c>
    </row>
    <row r="6153" spans="2:15" x14ac:dyDescent="0.3">
      <c r="B6153" s="1" t="s">
        <v>22</v>
      </c>
      <c r="C6153" s="1" t="str">
        <f t="shared" si="308"/>
        <v>3차</v>
      </c>
      <c r="D6153" s="1" t="str">
        <f>"0230Q12132"</f>
        <v>0230Q12132</v>
      </c>
      <c r="E6153" s="1" t="s">
        <v>10</v>
      </c>
      <c r="F6153" s="1" t="str">
        <f>"10.10.24.20"</f>
        <v>10.10.24.20</v>
      </c>
      <c r="G6153" s="1" t="str">
        <f>"0230Q121"</f>
        <v>0230Q121</v>
      </c>
      <c r="H6153" s="1" t="str">
        <f>"말미간 60R3"</f>
        <v>말미간 60R3</v>
      </c>
      <c r="I6153" s="1" t="s">
        <v>8</v>
      </c>
      <c r="J6153" s="1" t="str">
        <f>"64/64"</f>
        <v>64/64</v>
      </c>
      <c r="K6153" s="1" t="str">
        <f t="shared" si="309"/>
        <v>2026-07-29 13:18:01</v>
      </c>
      <c r="L6153" s="1" t="str">
        <f>"2018-02-01 17:22:59"</f>
        <v>2018-02-01 17:22:59</v>
      </c>
      <c r="M6153" s="1" t="s">
        <v>1</v>
      </c>
      <c r="N6153" s="1" t="s">
        <v>38</v>
      </c>
      <c r="O6153" s="1" t="s">
        <v>46</v>
      </c>
    </row>
    <row r="6154" spans="2:15" x14ac:dyDescent="0.3">
      <c r="B6154" s="1" t="s">
        <v>22</v>
      </c>
      <c r="C6154" s="1" t="str">
        <f t="shared" si="308"/>
        <v>3차</v>
      </c>
      <c r="D6154" s="1" t="str">
        <f>"0230Q14139"</f>
        <v>0230Q14139</v>
      </c>
      <c r="E6154" s="1" t="s">
        <v>10</v>
      </c>
      <c r="F6154" s="1" t="str">
        <f>"10.10.5.18"</f>
        <v>10.10.5.18</v>
      </c>
      <c r="G6154" s="1" t="str">
        <f>"0230Q141"</f>
        <v>0230Q141</v>
      </c>
      <c r="H6154" s="1" t="str">
        <f>"말미간 65R3"</f>
        <v>말미간 65R3</v>
      </c>
      <c r="I6154" s="1" t="s">
        <v>8</v>
      </c>
      <c r="J6154" s="1" t="str">
        <f>"30/30"</f>
        <v>30/30</v>
      </c>
      <c r="K6154" s="1" t="str">
        <f t="shared" si="309"/>
        <v>2026-07-29 13:18:01</v>
      </c>
      <c r="L6154" s="1" t="str">
        <f>"2018-01-08 14:24:28"</f>
        <v>2018-01-08 14:24:28</v>
      </c>
      <c r="M6154" s="1" t="s">
        <v>1</v>
      </c>
      <c r="N6154" s="1" t="s">
        <v>38</v>
      </c>
      <c r="O6154" s="1" t="s">
        <v>46</v>
      </c>
    </row>
    <row r="6155" spans="2:15" x14ac:dyDescent="0.3">
      <c r="B6155" s="1" t="s">
        <v>22</v>
      </c>
      <c r="C6155" s="1" t="str">
        <f t="shared" si="308"/>
        <v>3차</v>
      </c>
      <c r="D6155" s="1" t="str">
        <f>"0230Q14231"</f>
        <v>0230Q14231</v>
      </c>
      <c r="E6155" s="1" t="s">
        <v>10</v>
      </c>
      <c r="F6155" s="1" t="str">
        <f>"10.107.252.71"</f>
        <v>10.107.252.71</v>
      </c>
      <c r="G6155" s="1" t="str">
        <f>"0230Q142"</f>
        <v>0230Q142</v>
      </c>
      <c r="H6155" s="1" t="str">
        <f>"말미간 69R3"</f>
        <v>말미간 69R3</v>
      </c>
      <c r="I6155" s="1" t="s">
        <v>8</v>
      </c>
      <c r="J6155" s="1" t="str">
        <f>"11/11"</f>
        <v>11/11</v>
      </c>
      <c r="K6155" s="1" t="str">
        <f t="shared" si="309"/>
        <v>2026-07-29 13:18:01</v>
      </c>
      <c r="L6155" s="1" t="str">
        <f>"2018-06-11 18:15:05"</f>
        <v>2018-06-11 18:15:05</v>
      </c>
      <c r="M6155" s="1" t="s">
        <v>45</v>
      </c>
      <c r="N6155" s="1" t="s">
        <v>38</v>
      </c>
      <c r="O6155" s="1" t="s">
        <v>46</v>
      </c>
    </row>
    <row r="6156" spans="2:15" x14ac:dyDescent="0.3">
      <c r="B6156" s="1" t="s">
        <v>22</v>
      </c>
      <c r="C6156" s="1" t="str">
        <f t="shared" si="308"/>
        <v>3차</v>
      </c>
      <c r="D6156" s="1" t="str">
        <f>"0230Q15130"</f>
        <v>0230Q15130</v>
      </c>
      <c r="E6156" s="1" t="s">
        <v>10</v>
      </c>
      <c r="F6156" s="1" t="str">
        <f>"10.10.21.146"</f>
        <v>10.10.21.146</v>
      </c>
      <c r="G6156" s="1" t="str">
        <f>"0230Q151"</f>
        <v>0230Q151</v>
      </c>
      <c r="H6156" s="1" t="str">
        <f>"말미간 69R2"</f>
        <v>말미간 69R2</v>
      </c>
      <c r="I6156" s="1" t="s">
        <v>8</v>
      </c>
      <c r="J6156" s="1" t="str">
        <f>"11/11"</f>
        <v>11/11</v>
      </c>
      <c r="K6156" s="1" t="str">
        <f t="shared" si="309"/>
        <v>2026-07-29 13:18:01</v>
      </c>
      <c r="L6156" s="1" t="str">
        <f>"2018-01-10 16:22:27"</f>
        <v>2018-01-10 16:22:27</v>
      </c>
      <c r="M6156" s="1" t="s">
        <v>1</v>
      </c>
      <c r="N6156" s="1" t="s">
        <v>38</v>
      </c>
      <c r="O6156" s="1" t="s">
        <v>46</v>
      </c>
    </row>
    <row r="6157" spans="2:15" x14ac:dyDescent="0.3">
      <c r="B6157" s="1" t="s">
        <v>22</v>
      </c>
      <c r="C6157" s="1" t="str">
        <f>"4차"</f>
        <v>4차</v>
      </c>
      <c r="D6157" s="1" t="str">
        <f>"0230Q16139"</f>
        <v>0230Q16139</v>
      </c>
      <c r="E6157" s="1" t="s">
        <v>10</v>
      </c>
      <c r="F6157" s="1" t="str">
        <f>"10.12.136.52"</f>
        <v>10.12.136.52</v>
      </c>
      <c r="G6157" s="1" t="str">
        <f>"0230Q161"</f>
        <v>0230Q161</v>
      </c>
      <c r="H6157" s="1" t="str">
        <f>"창동 48"</f>
        <v>창동 48</v>
      </c>
      <c r="I6157" s="1" t="s">
        <v>17</v>
      </c>
      <c r="J6157" s="1" t="str">
        <f>"21/38"</f>
        <v>21/38</v>
      </c>
      <c r="K6157" s="1" t="str">
        <f>"2026-07-29 13:18:06"</f>
        <v>2026-07-29 13:18:06</v>
      </c>
      <c r="L6157" s="1" t="str">
        <f>"2018-05-29 13:40:57"</f>
        <v>2018-05-29 13:40:57</v>
      </c>
      <c r="M6157" s="1" t="s">
        <v>0</v>
      </c>
      <c r="N6157" s="1" t="s">
        <v>38</v>
      </c>
      <c r="O6157" s="1" t="s">
        <v>46</v>
      </c>
    </row>
    <row r="6158" spans="2:15" x14ac:dyDescent="0.3">
      <c r="B6158" s="1" t="s">
        <v>22</v>
      </c>
      <c r="C6158" s="1" t="str">
        <f>"4차"</f>
        <v>4차</v>
      </c>
      <c r="D6158" s="1" t="str">
        <f>"0230Q16245"</f>
        <v>0230Q16245</v>
      </c>
      <c r="E6158" s="1" t="s">
        <v>10</v>
      </c>
      <c r="F6158" s="1" t="str">
        <f>"10.12.136.61"</f>
        <v>10.12.136.61</v>
      </c>
      <c r="G6158" s="1" t="str">
        <f>"0230Q162"</f>
        <v>0230Q162</v>
      </c>
      <c r="H6158" s="1" t="str">
        <f>"창동 49"</f>
        <v>창동 49</v>
      </c>
      <c r="I6158" s="1" t="s">
        <v>17</v>
      </c>
      <c r="J6158" s="1" t="str">
        <f>"57/69"</f>
        <v>57/69</v>
      </c>
      <c r="K6158" s="1" t="str">
        <f>"2026-07-29 13:18:03"</f>
        <v>2026-07-29 13:18:03</v>
      </c>
      <c r="L6158" s="1" t="str">
        <f>"2025-03-26 18:10:32"</f>
        <v>2025-03-26 18:10:32</v>
      </c>
      <c r="M6158" s="1" t="s">
        <v>0</v>
      </c>
      <c r="N6158" s="1" t="s">
        <v>38</v>
      </c>
      <c r="O6158" s="1" t="s">
        <v>46</v>
      </c>
    </row>
    <row r="6159" spans="2:15" x14ac:dyDescent="0.3">
      <c r="B6159" s="1" t="s">
        <v>22</v>
      </c>
      <c r="C6159" s="1" t="str">
        <f>"3차"</f>
        <v>3차</v>
      </c>
      <c r="D6159" s="1" t="str">
        <f>"0230Q21130"</f>
        <v>0230Q21130</v>
      </c>
      <c r="E6159" s="1" t="s">
        <v>10</v>
      </c>
      <c r="F6159" s="1" t="str">
        <f>"10.10.21.138"</f>
        <v>10.10.21.138</v>
      </c>
      <c r="G6159" s="1" t="str">
        <f>"0230Q211"</f>
        <v>0230Q211</v>
      </c>
      <c r="H6159" s="1" t="str">
        <f>"말미간 59R6"</f>
        <v>말미간 59R6</v>
      </c>
      <c r="I6159" s="1" t="s">
        <v>8</v>
      </c>
      <c r="J6159" s="1" t="str">
        <f>"29/30"</f>
        <v>29/30</v>
      </c>
      <c r="K6159" s="1" t="str">
        <f>"2026-07-29 13:18:01"</f>
        <v>2026-07-29 13:18:01</v>
      </c>
      <c r="L6159" s="1" t="str">
        <f>"2018-05-11 14:04:29"</f>
        <v>2018-05-11 14:04:29</v>
      </c>
      <c r="M6159" s="1" t="s">
        <v>1</v>
      </c>
      <c r="N6159" s="1" t="s">
        <v>38</v>
      </c>
      <c r="O6159" s="1" t="s">
        <v>46</v>
      </c>
    </row>
    <row r="6160" spans="2:15" x14ac:dyDescent="0.3">
      <c r="B6160" s="1" t="s">
        <v>22</v>
      </c>
      <c r="C6160" s="1" t="str">
        <f>"3차"</f>
        <v>3차</v>
      </c>
      <c r="D6160" s="1" t="str">
        <f>"0230Q21539"</f>
        <v>0230Q21539</v>
      </c>
      <c r="E6160" s="1" t="s">
        <v>10</v>
      </c>
      <c r="F6160" s="1" t="str">
        <f>"10.107.121.169"</f>
        <v>10.107.121.169</v>
      </c>
      <c r="G6160" s="1" t="str">
        <f>"0230Q215"</f>
        <v>0230Q215</v>
      </c>
      <c r="H6160" s="1" t="str">
        <f>"말미간 59R5L1"</f>
        <v>말미간 59R5L1</v>
      </c>
      <c r="I6160" s="1" t="s">
        <v>8</v>
      </c>
      <c r="J6160" s="1" t="str">
        <f>"32/32"</f>
        <v>32/32</v>
      </c>
      <c r="K6160" s="1" t="str">
        <f>"2026-07-29 13:18:01"</f>
        <v>2026-07-29 13:18:01</v>
      </c>
      <c r="L6160" s="1" t="str">
        <f>"2018-03-30 08:01:54"</f>
        <v>2018-03-30 08:01:54</v>
      </c>
      <c r="M6160" s="1" t="s">
        <v>45</v>
      </c>
      <c r="N6160" s="1" t="s">
        <v>38</v>
      </c>
      <c r="O6160" s="1" t="s">
        <v>46</v>
      </c>
    </row>
    <row r="6161" spans="2:15" x14ac:dyDescent="0.3">
      <c r="B6161" s="1" t="s">
        <v>22</v>
      </c>
      <c r="C6161" s="1" t="str">
        <f>"3차"</f>
        <v>3차</v>
      </c>
      <c r="D6161" s="1" t="str">
        <f>"0230Q23439"</f>
        <v>0230Q23439</v>
      </c>
      <c r="E6161" s="1" t="s">
        <v>10</v>
      </c>
      <c r="F6161" s="1" t="str">
        <f>"10.10.19.186"</f>
        <v>10.10.19.186</v>
      </c>
      <c r="G6161" s="1" t="str">
        <f>"0230Q234"</f>
        <v>0230Q234</v>
      </c>
      <c r="H6161" s="1" t="str">
        <f>"말미간 60HR6"</f>
        <v>말미간 60HR6</v>
      </c>
      <c r="I6161" s="1" t="s">
        <v>8</v>
      </c>
      <c r="J6161" s="1" t="str">
        <f>"101/102"</f>
        <v>101/102</v>
      </c>
      <c r="K6161" s="1" t="str">
        <f>"2026-07-29 13:18:01"</f>
        <v>2026-07-29 13:18:01</v>
      </c>
      <c r="L6161" s="1" t="str">
        <f>"2018-02-01 18:00:29"</f>
        <v>2018-02-01 18:00:29</v>
      </c>
      <c r="M6161" s="1" t="s">
        <v>1</v>
      </c>
      <c r="N6161" s="1" t="s">
        <v>38</v>
      </c>
      <c r="O6161" s="1" t="s">
        <v>46</v>
      </c>
    </row>
    <row r="6162" spans="2:15" x14ac:dyDescent="0.3">
      <c r="B6162" s="1" t="s">
        <v>22</v>
      </c>
      <c r="C6162" s="1" t="str">
        <f>"4차"</f>
        <v>4차</v>
      </c>
      <c r="D6162" s="1" t="str">
        <f>"0230Q25139"</f>
        <v>0230Q25139</v>
      </c>
      <c r="E6162" s="1" t="s">
        <v>10</v>
      </c>
      <c r="F6162" s="1" t="str">
        <f>"10.12.136.82"</f>
        <v>10.12.136.82</v>
      </c>
      <c r="G6162" s="1" t="str">
        <f>"0230Q251"</f>
        <v>0230Q251</v>
      </c>
      <c r="H6162" s="1" t="str">
        <f>"창동 53"</f>
        <v>창동 53</v>
      </c>
      <c r="I6162" s="1" t="s">
        <v>17</v>
      </c>
      <c r="J6162" s="1" t="str">
        <f>"2/2"</f>
        <v>2/2</v>
      </c>
      <c r="K6162" s="1" t="str">
        <f>"2026-07-29 13:18:03"</f>
        <v>2026-07-29 13:18:03</v>
      </c>
      <c r="L6162" s="1" t="str">
        <f>"2018-05-29 11:27:11"</f>
        <v>2018-05-29 11:27:11</v>
      </c>
      <c r="M6162" s="1" t="s">
        <v>0</v>
      </c>
      <c r="N6162" s="1" t="s">
        <v>38</v>
      </c>
      <c r="O6162" s="1" t="s">
        <v>46</v>
      </c>
    </row>
    <row r="6163" spans="2:15" x14ac:dyDescent="0.3">
      <c r="B6163" s="1" t="s">
        <v>22</v>
      </c>
      <c r="C6163" s="1" t="str">
        <f>"4차"</f>
        <v>4차</v>
      </c>
      <c r="D6163" s="1" t="str">
        <f>"0230Q25245"</f>
        <v>0230Q25245</v>
      </c>
      <c r="E6163" s="1" t="s">
        <v>10</v>
      </c>
      <c r="F6163" s="1" t="str">
        <f>"10.12.136.49"</f>
        <v>10.12.136.49</v>
      </c>
      <c r="G6163" s="1" t="str">
        <f>"0230Q252"</f>
        <v>0230Q252</v>
      </c>
      <c r="H6163" s="1" t="str">
        <f>"창동 51"</f>
        <v>창동 51</v>
      </c>
      <c r="I6163" s="1" t="s">
        <v>17</v>
      </c>
      <c r="J6163" s="1" t="str">
        <f>"89/99"</f>
        <v>89/99</v>
      </c>
      <c r="K6163" s="1" t="str">
        <f>"2026-07-29 13:18:04"</f>
        <v>2026-07-29 13:18:04</v>
      </c>
      <c r="L6163" s="1" t="str">
        <f>"2025-02-28 17:54:51"</f>
        <v>2025-02-28 17:54:51</v>
      </c>
      <c r="M6163" s="1" t="s">
        <v>0</v>
      </c>
      <c r="N6163" s="1" t="s">
        <v>38</v>
      </c>
      <c r="O6163" s="1" t="s">
        <v>46</v>
      </c>
    </row>
    <row r="6164" spans="2:15" x14ac:dyDescent="0.3">
      <c r="B6164" s="1" t="s">
        <v>22</v>
      </c>
      <c r="C6164" s="1" t="str">
        <f>"4차"</f>
        <v>4차</v>
      </c>
      <c r="D6164" s="1" t="str">
        <f>"0230Q26139"</f>
        <v>0230Q26139</v>
      </c>
      <c r="E6164" s="1" t="s">
        <v>10</v>
      </c>
      <c r="F6164" s="1" t="str">
        <f>"10.12.136.96"</f>
        <v>10.12.136.96</v>
      </c>
      <c r="G6164" s="1" t="str">
        <f>"0230Q261"</f>
        <v>0230Q261</v>
      </c>
      <c r="H6164" s="1" t="str">
        <f>"창동 50"</f>
        <v>창동 50</v>
      </c>
      <c r="I6164" s="1" t="s">
        <v>17</v>
      </c>
      <c r="J6164" s="1" t="str">
        <f>"39/45"</f>
        <v>39/45</v>
      </c>
      <c r="K6164" s="1" t="str">
        <f>"2026-07-29 13:18:03"</f>
        <v>2026-07-29 13:18:03</v>
      </c>
      <c r="L6164" s="1" t="str">
        <f>"2018-05-29 13:55:58"</f>
        <v>2018-05-29 13:55:58</v>
      </c>
      <c r="M6164" s="1" t="s">
        <v>0</v>
      </c>
      <c r="N6164" s="1" t="s">
        <v>38</v>
      </c>
      <c r="O6164" s="1" t="s">
        <v>46</v>
      </c>
    </row>
    <row r="6165" spans="2:15" x14ac:dyDescent="0.3">
      <c r="B6165" s="1" t="s">
        <v>22</v>
      </c>
      <c r="C6165" s="1" t="str">
        <f>"3차"</f>
        <v>3차</v>
      </c>
      <c r="D6165" s="1" t="str">
        <f>"0230Q31131"</f>
        <v>0230Q31131</v>
      </c>
      <c r="E6165" s="1" t="s">
        <v>10</v>
      </c>
      <c r="F6165" s="1" t="str">
        <f>"10.14.6.185"</f>
        <v>10.14.6.185</v>
      </c>
      <c r="G6165" s="1" t="str">
        <f>"0230Q311"</f>
        <v>0230Q311</v>
      </c>
      <c r="H6165" s="1" t="str">
        <f>"말미간 59R7"</f>
        <v>말미간 59R7</v>
      </c>
      <c r="I6165" s="1" t="s">
        <v>8</v>
      </c>
      <c r="J6165" s="1" t="str">
        <f>"55/56"</f>
        <v>55/56</v>
      </c>
      <c r="K6165" s="1" t="str">
        <f>"2026-07-29 13:18:03"</f>
        <v>2026-07-29 13:18:03</v>
      </c>
      <c r="L6165" s="1" t="str">
        <f>"2018-02-02 13:39:57"</f>
        <v>2018-02-02 13:39:57</v>
      </c>
      <c r="M6165" s="1" t="s">
        <v>3</v>
      </c>
      <c r="N6165" s="1" t="s">
        <v>38</v>
      </c>
      <c r="O6165" s="1" t="s">
        <v>46</v>
      </c>
    </row>
    <row r="6166" spans="2:15" x14ac:dyDescent="0.3">
      <c r="B6166" s="1" t="s">
        <v>22</v>
      </c>
      <c r="C6166" s="1" t="str">
        <f>"5-2차"</f>
        <v>5-2차</v>
      </c>
      <c r="D6166" s="1" t="str">
        <f>"0230Q3125M"</f>
        <v>0230Q3125M</v>
      </c>
      <c r="E6166" s="1" t="s">
        <v>10</v>
      </c>
      <c r="F6166" s="1" t="str">
        <f>"fde1:103:4:92de:0:0:0:2"</f>
        <v>fde1:103:4:92de:0:0:0:2</v>
      </c>
      <c r="G6166" s="1" t="str">
        <f>"0230Q312"</f>
        <v>0230Q312</v>
      </c>
      <c r="H6166" s="1" t="str">
        <f>"말미간 58R11"</f>
        <v>말미간 58R11</v>
      </c>
      <c r="I6166" s="1" t="s">
        <v>15</v>
      </c>
      <c r="J6166" s="1" t="str">
        <f>"44/44"</f>
        <v>44/44</v>
      </c>
      <c r="K6166" s="1" t="str">
        <f>"2026-07-29 14:20:50"</f>
        <v>2026-07-29 14:20:50</v>
      </c>
      <c r="L6166" s="1" t="str">
        <f>"2023-12-19 11:10:25"</f>
        <v>2023-12-19 11:10:25</v>
      </c>
      <c r="M6166" s="1" t="s">
        <v>4</v>
      </c>
      <c r="N6166" s="1" t="s">
        <v>38</v>
      </c>
      <c r="O6166" s="1" t="s">
        <v>46</v>
      </c>
    </row>
    <row r="6167" spans="2:15" x14ac:dyDescent="0.3">
      <c r="B6167" s="1" t="s">
        <v>22</v>
      </c>
      <c r="C6167" s="1" t="str">
        <f>"1차"</f>
        <v>1차</v>
      </c>
      <c r="D6167" s="1" t="str">
        <f>"0230R38500"</f>
        <v>0230R38500</v>
      </c>
      <c r="E6167" s="1" t="s">
        <v>10</v>
      </c>
      <c r="F6167" s="1" t="str">
        <f>"10.107.249.22"</f>
        <v>10.107.249.22</v>
      </c>
      <c r="G6167" s="1" t="str">
        <f>"0230R385"</f>
        <v>0230R385</v>
      </c>
      <c r="H6167" s="1" t="str">
        <f>"신창간 37"</f>
        <v>신창간 37</v>
      </c>
      <c r="I6167" s="1" t="s">
        <v>8</v>
      </c>
      <c r="J6167" s="1" t="str">
        <f>"12/14"</f>
        <v>12/14</v>
      </c>
      <c r="K6167" s="1" t="str">
        <f>"2026-07-29 13:18:01"</f>
        <v>2026-07-29 13:18:01</v>
      </c>
      <c r="L6167" s="1" t="str">
        <f>"2014-12-24 11:27:53"</f>
        <v>2014-12-24 11:27:53</v>
      </c>
      <c r="M6167" s="1" t="s">
        <v>45</v>
      </c>
      <c r="N6167" s="1" t="s">
        <v>38</v>
      </c>
      <c r="O6167" s="1" t="s">
        <v>46</v>
      </c>
    </row>
    <row r="6168" spans="2:15" x14ac:dyDescent="0.3">
      <c r="B6168" s="1" t="s">
        <v>22</v>
      </c>
      <c r="C6168" s="1" t="str">
        <f>"3차"</f>
        <v>3차</v>
      </c>
      <c r="D6168" s="1" t="str">
        <f>"0230R47139"</f>
        <v>0230R47139</v>
      </c>
      <c r="E6168" s="1" t="s">
        <v>10</v>
      </c>
      <c r="F6168" s="1" t="str">
        <f>"10.10.9.130"</f>
        <v>10.10.9.130</v>
      </c>
      <c r="G6168" s="1" t="str">
        <f>"0230R471"</f>
        <v>0230R471</v>
      </c>
      <c r="H6168" s="1" t="str">
        <f>"말미간 85L7R3"</f>
        <v>말미간 85L7R3</v>
      </c>
      <c r="I6168" s="1" t="s">
        <v>8</v>
      </c>
      <c r="J6168" s="1" t="str">
        <f>"40/47"</f>
        <v>40/47</v>
      </c>
      <c r="K6168" s="1" t="str">
        <f>"2026-07-29 13:18:01"</f>
        <v>2026-07-29 13:18:01</v>
      </c>
      <c r="L6168" s="1" t="str">
        <f>"2018-02-01 15:18:58"</f>
        <v>2018-02-01 15:18:58</v>
      </c>
      <c r="M6168" s="1" t="s">
        <v>1</v>
      </c>
      <c r="N6168" s="1" t="s">
        <v>38</v>
      </c>
      <c r="O6168" s="1" t="s">
        <v>46</v>
      </c>
    </row>
    <row r="6169" spans="2:15" x14ac:dyDescent="0.3">
      <c r="B6169" s="1" t="s">
        <v>22</v>
      </c>
      <c r="C6169" s="1" t="str">
        <f>"3차"</f>
        <v>3차</v>
      </c>
      <c r="D6169" s="1" t="str">
        <f>"0230R49130"</f>
        <v>0230R49130</v>
      </c>
      <c r="E6169" s="1" t="s">
        <v>10</v>
      </c>
      <c r="F6169" s="1" t="str">
        <f>"10.10.21.114"</f>
        <v>10.10.21.114</v>
      </c>
      <c r="G6169" s="1" t="str">
        <f>"0230R491"</f>
        <v>0230R491</v>
      </c>
      <c r="H6169" s="1" t="str">
        <f>"말미간 85"</f>
        <v>말미간 85</v>
      </c>
      <c r="I6169" s="1" t="s">
        <v>8</v>
      </c>
      <c r="J6169" s="1" t="str">
        <f>"9/9"</f>
        <v>9/9</v>
      </c>
      <c r="K6169" s="1" t="str">
        <f>"2026-07-29 13:18:01"</f>
        <v>2026-07-29 13:18:01</v>
      </c>
      <c r="L6169" s="1" t="str">
        <f>"2018-01-03 16:30:12"</f>
        <v>2018-01-03 16:30:12</v>
      </c>
      <c r="M6169" s="1" t="s">
        <v>1</v>
      </c>
      <c r="N6169" s="1" t="s">
        <v>38</v>
      </c>
      <c r="O6169" s="1" t="s">
        <v>46</v>
      </c>
    </row>
    <row r="6170" spans="2:15" x14ac:dyDescent="0.3">
      <c r="B6170" s="1" t="s">
        <v>22</v>
      </c>
      <c r="C6170" s="1" t="str">
        <f>"3차"</f>
        <v>3차</v>
      </c>
      <c r="D6170" s="1" t="str">
        <f>"0230R49331"</f>
        <v>0230R49331</v>
      </c>
      <c r="E6170" s="1" t="s">
        <v>10</v>
      </c>
      <c r="F6170" s="1" t="str">
        <f>"10.10.21.115"</f>
        <v>10.10.21.115</v>
      </c>
      <c r="G6170" s="1" t="str">
        <f>"0230R493"</f>
        <v>0230R493</v>
      </c>
      <c r="H6170" s="1" t="str">
        <f>"말미간 86"</f>
        <v>말미간 86</v>
      </c>
      <c r="I6170" s="1" t="s">
        <v>8</v>
      </c>
      <c r="J6170" s="1" t="str">
        <f>"43/43"</f>
        <v>43/43</v>
      </c>
      <c r="K6170" s="1" t="str">
        <f>"2026-07-29 13:18:01"</f>
        <v>2026-07-29 13:18:01</v>
      </c>
      <c r="L6170" s="1" t="str">
        <f>"2018-01-19 10:51:11"</f>
        <v>2018-01-19 10:51:11</v>
      </c>
      <c r="M6170" s="1" t="s">
        <v>1</v>
      </c>
      <c r="N6170" s="1" t="s">
        <v>38</v>
      </c>
      <c r="O6170" s="1" t="s">
        <v>46</v>
      </c>
    </row>
    <row r="6171" spans="2:15" x14ac:dyDescent="0.3">
      <c r="B6171" s="1" t="s">
        <v>22</v>
      </c>
      <c r="C6171" s="1" t="str">
        <f>"6차"</f>
        <v>6차</v>
      </c>
      <c r="D6171" s="1" t="str">
        <f>"0230R5936S"</f>
        <v>0230R5936S</v>
      </c>
      <c r="E6171" s="1" t="s">
        <v>10</v>
      </c>
      <c r="F6171" s="1" t="str">
        <f>"fde1:103:4:9432:0:0:0:2"</f>
        <v>fde1:103:4:9432:0:0:0:2</v>
      </c>
      <c r="G6171" s="1" t="str">
        <f>"0230R593"</f>
        <v>0230R593</v>
      </c>
      <c r="H6171" s="1" t="str">
        <f>"말미간 85L2L1"</f>
        <v>말미간 85L2L1</v>
      </c>
      <c r="I6171" s="1" t="s">
        <v>15</v>
      </c>
      <c r="J6171" s="1" t="str">
        <f>"16/16"</f>
        <v>16/16</v>
      </c>
      <c r="K6171" s="1" t="str">
        <f>"2026-07-29 14:20:14"</f>
        <v>2026-07-29 14:20:14</v>
      </c>
      <c r="L6171" s="1" t="str">
        <f>"2025-01-22 14:34:19"</f>
        <v>2025-01-22 14:34:19</v>
      </c>
      <c r="M6171" s="1" t="s">
        <v>4</v>
      </c>
      <c r="N6171" s="1" t="s">
        <v>38</v>
      </c>
      <c r="O6171" s="1" t="s">
        <v>46</v>
      </c>
    </row>
    <row r="6172" spans="2:15" x14ac:dyDescent="0.3">
      <c r="B6172" s="1" t="s">
        <v>22</v>
      </c>
      <c r="C6172" s="1" t="str">
        <f>"6차"</f>
        <v>6차</v>
      </c>
      <c r="D6172" s="1" t="str">
        <f>"0230R5946S"</f>
        <v>0230R5946S</v>
      </c>
      <c r="E6172" s="1" t="s">
        <v>10</v>
      </c>
      <c r="F6172" s="1" t="str">
        <f>"fde1:103:4:92f6:0:0:0:2"</f>
        <v>fde1:103:4:92f6:0:0:0:2</v>
      </c>
      <c r="G6172" s="1" t="str">
        <f>"0230R594"</f>
        <v>0230R594</v>
      </c>
      <c r="H6172" s="1" t="str">
        <f>"말미간 85L2H1"</f>
        <v>말미간 85L2H1</v>
      </c>
      <c r="I6172" s="1" t="s">
        <v>15</v>
      </c>
      <c r="J6172" s="1" t="str">
        <f>"24/26"</f>
        <v>24/26</v>
      </c>
      <c r="K6172" s="1" t="str">
        <f>"2026-07-29 14:20:51"</f>
        <v>2026-07-29 14:20:51</v>
      </c>
      <c r="L6172" s="1" t="str">
        <f>"2025-01-22 14:33:55"</f>
        <v>2025-01-22 14:33:55</v>
      </c>
      <c r="M6172" s="1" t="s">
        <v>4</v>
      </c>
      <c r="N6172" s="1" t="s">
        <v>38</v>
      </c>
      <c r="O6172" s="1" t="s">
        <v>46</v>
      </c>
    </row>
    <row r="6173" spans="2:15" x14ac:dyDescent="0.3">
      <c r="B6173" s="1" t="s">
        <v>22</v>
      </c>
      <c r="C6173" s="1" t="str">
        <f>"3차"</f>
        <v>3차</v>
      </c>
      <c r="D6173" s="1" t="str">
        <f>"0230R59539"</f>
        <v>0230R59539</v>
      </c>
      <c r="E6173" s="1" t="s">
        <v>10</v>
      </c>
      <c r="F6173" s="1" t="str">
        <f>"10.107.250.59"</f>
        <v>10.107.250.59</v>
      </c>
      <c r="G6173" s="1" t="str">
        <f>"0230R595"</f>
        <v>0230R595</v>
      </c>
      <c r="H6173" s="1" t="str">
        <f>"말미간 85L2"</f>
        <v>말미간 85L2</v>
      </c>
      <c r="I6173" s="1" t="s">
        <v>8</v>
      </c>
      <c r="J6173" s="1" t="str">
        <f>"53/56"</f>
        <v>53/56</v>
      </c>
      <c r="K6173" s="1" t="str">
        <f>"2026-07-29 13:18:01"</f>
        <v>2026-07-29 13:18:01</v>
      </c>
      <c r="L6173" s="1" t="str">
        <f>"2018-03-28 11:48:15"</f>
        <v>2018-03-28 11:48:15</v>
      </c>
      <c r="M6173" s="1" t="s">
        <v>45</v>
      </c>
      <c r="N6173" s="1" t="s">
        <v>38</v>
      </c>
      <c r="O6173" s="1" t="s">
        <v>46</v>
      </c>
    </row>
    <row r="6174" spans="2:15" x14ac:dyDescent="0.3">
      <c r="B6174" s="1" t="s">
        <v>22</v>
      </c>
      <c r="C6174" s="1" t="str">
        <f>"5-2차"</f>
        <v>5-2차</v>
      </c>
      <c r="D6174" s="1" t="str">
        <f>"0230R6515M"</f>
        <v>0230R6515M</v>
      </c>
      <c r="E6174" s="1" t="s">
        <v>10</v>
      </c>
      <c r="F6174" s="1" t="str">
        <f>"fde3:102:1410:2100:0:0:0:4"</f>
        <v>fde3:102:1410:2100:0:0:0:4</v>
      </c>
      <c r="G6174" s="1" t="str">
        <f>"0230R651"</f>
        <v>0230R651</v>
      </c>
      <c r="H6174" s="1" t="str">
        <f>"말미간 85L9"</f>
        <v>말미간 85L9</v>
      </c>
      <c r="I6174" s="1" t="s">
        <v>15</v>
      </c>
      <c r="J6174" s="1" t="str">
        <f>"41/41"</f>
        <v>41/41</v>
      </c>
      <c r="K6174" s="1" t="str">
        <f>"2026-07-29 14:20:33"</f>
        <v>2026-07-29 14:20:33</v>
      </c>
      <c r="L6174" s="1" t="str">
        <f>"2023-12-31 15:27:59"</f>
        <v>2023-12-31 15:27:59</v>
      </c>
      <c r="M6174" s="1" t="s">
        <v>45</v>
      </c>
      <c r="N6174" s="1" t="s">
        <v>38</v>
      </c>
      <c r="O6174" s="1" t="s">
        <v>46</v>
      </c>
    </row>
    <row r="6175" spans="2:15" x14ac:dyDescent="0.3">
      <c r="B6175" s="1" t="s">
        <v>22</v>
      </c>
      <c r="C6175" s="1" t="str">
        <f>"4차"</f>
        <v>4차</v>
      </c>
      <c r="D6175" s="1" t="str">
        <f>"0230R66139"</f>
        <v>0230R66139</v>
      </c>
      <c r="E6175" s="1" t="s">
        <v>10</v>
      </c>
      <c r="F6175" s="1" t="str">
        <f>"10.10.9.114"</f>
        <v>10.10.9.114</v>
      </c>
      <c r="G6175" s="1" t="str">
        <f>"0230R661"</f>
        <v>0230R661</v>
      </c>
      <c r="H6175" s="1" t="str">
        <f>"말미간 85L6"</f>
        <v>말미간 85L6</v>
      </c>
      <c r="I6175" s="1" t="s">
        <v>8</v>
      </c>
      <c r="J6175" s="1" t="str">
        <f>"66/66"</f>
        <v>66/66</v>
      </c>
      <c r="K6175" s="1" t="str">
        <f>"2026-07-29 13:18:02"</f>
        <v>2026-07-29 13:18:02</v>
      </c>
      <c r="L6175" s="1" t="str">
        <f>"2018-02-01 15:11:28"</f>
        <v>2018-02-01 15:11:28</v>
      </c>
      <c r="M6175" s="1" t="s">
        <v>1</v>
      </c>
      <c r="N6175" s="1" t="s">
        <v>38</v>
      </c>
      <c r="O6175" s="1" t="s">
        <v>46</v>
      </c>
    </row>
    <row r="6176" spans="2:15" x14ac:dyDescent="0.3">
      <c r="B6176" s="1" t="s">
        <v>22</v>
      </c>
      <c r="C6176" s="1" t="str">
        <f>"4차"</f>
        <v>4차</v>
      </c>
      <c r="D6176" s="1" t="str">
        <f>"0230R67230"</f>
        <v>0230R67230</v>
      </c>
      <c r="E6176" s="1" t="s">
        <v>10</v>
      </c>
      <c r="F6176" s="1" t="str">
        <f>"10.10.24.2"</f>
        <v>10.10.24.2</v>
      </c>
      <c r="G6176" s="1" t="str">
        <f>"0230R672"</f>
        <v>0230R672</v>
      </c>
      <c r="H6176" s="1" t="str">
        <f>"말미간 85L5"</f>
        <v>말미간 85L5</v>
      </c>
      <c r="I6176" s="1" t="s">
        <v>8</v>
      </c>
      <c r="J6176" s="1" t="str">
        <f>"60/62"</f>
        <v>60/62</v>
      </c>
      <c r="K6176" s="1" t="str">
        <f>"2026-07-29 13:18:02"</f>
        <v>2026-07-29 13:18:02</v>
      </c>
      <c r="L6176" s="1" t="str">
        <f>"2018-01-03 16:59:42"</f>
        <v>2018-01-03 16:59:42</v>
      </c>
      <c r="M6176" s="1" t="s">
        <v>1</v>
      </c>
      <c r="N6176" s="1" t="s">
        <v>38</v>
      </c>
      <c r="O6176" s="1" t="s">
        <v>46</v>
      </c>
    </row>
    <row r="6177" spans="2:15" x14ac:dyDescent="0.3">
      <c r="B6177" s="1" t="s">
        <v>22</v>
      </c>
      <c r="C6177" s="1" t="str">
        <f>"3차"</f>
        <v>3차</v>
      </c>
      <c r="D6177" s="1" t="str">
        <f>"0230R68139"</f>
        <v>0230R68139</v>
      </c>
      <c r="E6177" s="1" t="s">
        <v>10</v>
      </c>
      <c r="F6177" s="1" t="str">
        <f>"10.10.4.34"</f>
        <v>10.10.4.34</v>
      </c>
      <c r="G6177" s="1" t="str">
        <f>"0230R681"</f>
        <v>0230R681</v>
      </c>
      <c r="H6177" s="1" t="str">
        <f>"말미간 85L3"</f>
        <v>말미간 85L3</v>
      </c>
      <c r="I6177" s="1" t="s">
        <v>8</v>
      </c>
      <c r="J6177" s="1" t="str">
        <f>"20/20"</f>
        <v>20/20</v>
      </c>
      <c r="K6177" s="1" t="str">
        <f>"2026-07-29 13:18:02"</f>
        <v>2026-07-29 13:18:02</v>
      </c>
      <c r="L6177" s="1" t="str">
        <f>"2018-01-03 16:42:56"</f>
        <v>2018-01-03 16:42:56</v>
      </c>
      <c r="M6177" s="1" t="s">
        <v>1</v>
      </c>
      <c r="N6177" s="1" t="s">
        <v>38</v>
      </c>
      <c r="O6177" s="1" t="s">
        <v>46</v>
      </c>
    </row>
    <row r="6178" spans="2:15" x14ac:dyDescent="0.3">
      <c r="B6178" s="1" t="s">
        <v>22</v>
      </c>
      <c r="C6178" s="1" t="str">
        <f>"4차"</f>
        <v>4차</v>
      </c>
      <c r="D6178" s="1" t="str">
        <f>"0230R68231"</f>
        <v>0230R68231</v>
      </c>
      <c r="E6178" s="1" t="s">
        <v>10</v>
      </c>
      <c r="F6178" s="1" t="str">
        <f>"10.10.24.3"</f>
        <v>10.10.24.3</v>
      </c>
      <c r="G6178" s="1" t="str">
        <f>"0230R682"</f>
        <v>0230R682</v>
      </c>
      <c r="H6178" s="1" t="str">
        <f>"말미간 85L4"</f>
        <v>말미간 85L4</v>
      </c>
      <c r="I6178" s="1" t="s">
        <v>8</v>
      </c>
      <c r="J6178" s="1" t="str">
        <f>"41/41"</f>
        <v>41/41</v>
      </c>
      <c r="K6178" s="1" t="str">
        <f>"2026-07-29 13:18:02"</f>
        <v>2026-07-29 13:18:02</v>
      </c>
      <c r="L6178" s="1" t="str">
        <f>"2018-01-19 11:09:25"</f>
        <v>2018-01-19 11:09:25</v>
      </c>
      <c r="M6178" s="1" t="s">
        <v>1</v>
      </c>
      <c r="N6178" s="1" t="s">
        <v>38</v>
      </c>
      <c r="O6178" s="1" t="s">
        <v>46</v>
      </c>
    </row>
    <row r="6179" spans="2:15" x14ac:dyDescent="0.3">
      <c r="B6179" s="1" t="s">
        <v>22</v>
      </c>
      <c r="C6179" s="1" t="str">
        <f>"6차"</f>
        <v>6차</v>
      </c>
      <c r="D6179" s="1" t="str">
        <f>"0230R7116S"</f>
        <v>0230R7116S</v>
      </c>
      <c r="E6179" s="1" t="s">
        <v>10</v>
      </c>
      <c r="F6179" s="1" t="str">
        <f>"fde1:103:4:91b8:0:0:0:2"</f>
        <v>fde1:103:4:91b8:0:0:0:2</v>
      </c>
      <c r="G6179" s="1" t="str">
        <f>"0230R711"</f>
        <v>0230R711</v>
      </c>
      <c r="H6179" s="1" t="str">
        <f>"말미간 55L11"</f>
        <v>말미간 55L11</v>
      </c>
      <c r="I6179" s="1" t="s">
        <v>15</v>
      </c>
      <c r="J6179" s="1" t="str">
        <f>"44/45"</f>
        <v>44/45</v>
      </c>
      <c r="K6179" s="1" t="str">
        <f>"2026-07-29 02:21:07"</f>
        <v>2026-07-29 02:21:07</v>
      </c>
      <c r="L6179" s="1" t="str">
        <f>"2024-10-10 10:28:52"</f>
        <v>2024-10-10 10:28:52</v>
      </c>
      <c r="M6179" s="1" t="s">
        <v>4</v>
      </c>
      <c r="N6179" s="1" t="s">
        <v>38</v>
      </c>
      <c r="O6179" s="1" t="s">
        <v>46</v>
      </c>
    </row>
    <row r="6180" spans="2:15" x14ac:dyDescent="0.3">
      <c r="B6180" s="1" t="s">
        <v>22</v>
      </c>
      <c r="C6180" s="1" t="str">
        <f>"5-2차"</f>
        <v>5-2차</v>
      </c>
      <c r="D6180" s="1" t="str">
        <f>"0230R7225S"</f>
        <v>0230R7225S</v>
      </c>
      <c r="E6180" s="1" t="s">
        <v>10</v>
      </c>
      <c r="F6180" s="1" t="str">
        <f>"fde3:102:1410:2100:0:0:0:5"</f>
        <v>fde3:102:1410:2100:0:0:0:5</v>
      </c>
      <c r="G6180" s="1" t="str">
        <f>"0230R722"</f>
        <v>0230R722</v>
      </c>
      <c r="H6180" s="1" t="str">
        <f>"말미간 55L8"</f>
        <v>말미간 55L8</v>
      </c>
      <c r="I6180" s="1" t="s">
        <v>15</v>
      </c>
      <c r="J6180" s="1" t="str">
        <f>"38/38"</f>
        <v>38/38</v>
      </c>
      <c r="K6180" s="1" t="str">
        <f>"2026-07-29 14:20:50"</f>
        <v>2026-07-29 14:20:50</v>
      </c>
      <c r="L6180" s="1" t="str">
        <f>"2023-12-19 12:59:31"</f>
        <v>2023-12-19 12:59:31</v>
      </c>
      <c r="M6180" s="1" t="s">
        <v>45</v>
      </c>
      <c r="N6180" s="1" t="s">
        <v>38</v>
      </c>
      <c r="O6180" s="1" t="s">
        <v>46</v>
      </c>
    </row>
    <row r="6181" spans="2:15" x14ac:dyDescent="0.3">
      <c r="B6181" s="1" t="s">
        <v>22</v>
      </c>
      <c r="C6181" s="1" t="str">
        <f>"3차"</f>
        <v>3차</v>
      </c>
      <c r="D6181" s="1" t="str">
        <f>"0230R73130"</f>
        <v>0230R73130</v>
      </c>
      <c r="E6181" s="1" t="s">
        <v>10</v>
      </c>
      <c r="F6181" s="1" t="str">
        <f>"10.10.2.50"</f>
        <v>10.10.2.50</v>
      </c>
      <c r="G6181" s="1" t="str">
        <f>"0230R731"</f>
        <v>0230R731</v>
      </c>
      <c r="H6181" s="1" t="str">
        <f>"말미간 55L9R2"</f>
        <v>말미간 55L9R2</v>
      </c>
      <c r="I6181" s="1" t="s">
        <v>8</v>
      </c>
      <c r="J6181" s="1" t="str">
        <f>"15/16"</f>
        <v>15/16</v>
      </c>
      <c r="K6181" s="1" t="str">
        <f>"2026-07-29 13:18:02"</f>
        <v>2026-07-29 13:18:02</v>
      </c>
      <c r="L6181" s="1" t="str">
        <f>"2018-01-22 18:06:26"</f>
        <v>2018-01-22 18:06:26</v>
      </c>
      <c r="M6181" s="1" t="s">
        <v>1</v>
      </c>
      <c r="N6181" s="1" t="s">
        <v>38</v>
      </c>
      <c r="O6181" s="1" t="s">
        <v>46</v>
      </c>
    </row>
    <row r="6182" spans="2:15" x14ac:dyDescent="0.3">
      <c r="B6182" s="1" t="s">
        <v>22</v>
      </c>
      <c r="C6182" s="1" t="str">
        <f>"4차"</f>
        <v>4차</v>
      </c>
      <c r="D6182" s="1" t="str">
        <f>"0230R73242"</f>
        <v>0230R73242</v>
      </c>
      <c r="E6182" s="1" t="s">
        <v>10</v>
      </c>
      <c r="F6182" s="1" t="str">
        <f>"10.12.130.75"</f>
        <v>10.12.130.75</v>
      </c>
      <c r="G6182" s="1" t="str">
        <f>"0230R732"</f>
        <v>0230R732</v>
      </c>
      <c r="H6182" s="1" t="str">
        <f>"말미간 55L7"</f>
        <v>말미간 55L7</v>
      </c>
      <c r="I6182" s="1" t="s">
        <v>8</v>
      </c>
      <c r="J6182" s="1" t="str">
        <f>"68/68"</f>
        <v>68/68</v>
      </c>
      <c r="K6182" s="1" t="str">
        <f>"2026-07-29 13:18:04"</f>
        <v>2026-07-29 13:18:04</v>
      </c>
      <c r="L6182" s="1" t="str">
        <f>"2024-12-23 10:22:19"</f>
        <v>2024-12-23 10:22:19</v>
      </c>
      <c r="M6182" s="1" t="s">
        <v>0</v>
      </c>
      <c r="N6182" s="1" t="s">
        <v>38</v>
      </c>
      <c r="O6182" s="1" t="s">
        <v>46</v>
      </c>
    </row>
    <row r="6183" spans="2:15" x14ac:dyDescent="0.3">
      <c r="B6183" s="1" t="s">
        <v>22</v>
      </c>
      <c r="C6183" s="1" t="str">
        <f>"3차"</f>
        <v>3차</v>
      </c>
      <c r="D6183" s="1" t="str">
        <f>"0230R74131"</f>
        <v>0230R74131</v>
      </c>
      <c r="E6183" s="1" t="s">
        <v>10</v>
      </c>
      <c r="F6183" s="1" t="str">
        <f>"10.10.2.51"</f>
        <v>10.10.2.51</v>
      </c>
      <c r="G6183" s="1" t="str">
        <f>"0230R741"</f>
        <v>0230R741</v>
      </c>
      <c r="H6183" s="1" t="str">
        <f>"말미간 55L9R3"</f>
        <v>말미간 55L9R3</v>
      </c>
      <c r="I6183" s="1" t="s">
        <v>8</v>
      </c>
      <c r="J6183" s="1" t="str">
        <f>"28/28"</f>
        <v>28/28</v>
      </c>
      <c r="K6183" s="1" t="str">
        <f t="shared" ref="K6183:K6190" si="310">"2026-07-29 13:18:02"</f>
        <v>2026-07-29 13:18:02</v>
      </c>
      <c r="L6183" s="1" t="str">
        <f>"2018-01-22 18:07:43"</f>
        <v>2018-01-22 18:07:43</v>
      </c>
      <c r="M6183" s="1" t="s">
        <v>1</v>
      </c>
      <c r="N6183" s="1" t="s">
        <v>38</v>
      </c>
      <c r="O6183" s="1" t="s">
        <v>46</v>
      </c>
    </row>
    <row r="6184" spans="2:15" x14ac:dyDescent="0.3">
      <c r="B6184" s="1" t="s">
        <v>22</v>
      </c>
      <c r="C6184" s="1" t="str">
        <f>"3차"</f>
        <v>3차</v>
      </c>
      <c r="D6184" s="1" t="str">
        <f>"0230R75131"</f>
        <v>0230R75131</v>
      </c>
      <c r="E6184" s="1" t="s">
        <v>10</v>
      </c>
      <c r="F6184" s="1" t="str">
        <f>"10.10.2.19"</f>
        <v>10.10.2.19</v>
      </c>
      <c r="G6184" s="1" t="str">
        <f>"0230R751"</f>
        <v>0230R751</v>
      </c>
      <c r="H6184" s="1" t="str">
        <f>"말미간 85L10"</f>
        <v>말미간 85L10</v>
      </c>
      <c r="I6184" s="1" t="s">
        <v>8</v>
      </c>
      <c r="J6184" s="1" t="str">
        <f>"69/69"</f>
        <v>69/69</v>
      </c>
      <c r="K6184" s="1" t="str">
        <f t="shared" si="310"/>
        <v>2026-07-29 13:18:02</v>
      </c>
      <c r="L6184" s="1" t="str">
        <f>"2018-03-15 13:45:26"</f>
        <v>2018-03-15 13:45:26</v>
      </c>
      <c r="M6184" s="1" t="s">
        <v>1</v>
      </c>
      <c r="N6184" s="1" t="s">
        <v>38</v>
      </c>
      <c r="O6184" s="1" t="s">
        <v>46</v>
      </c>
    </row>
    <row r="6185" spans="2:15" x14ac:dyDescent="0.3">
      <c r="B6185" s="1" t="s">
        <v>22</v>
      </c>
      <c r="C6185" s="1" t="str">
        <f>"3차"</f>
        <v>3차</v>
      </c>
      <c r="D6185" s="1" t="str">
        <f>"0230R77132"</f>
        <v>0230R77132</v>
      </c>
      <c r="E6185" s="1" t="s">
        <v>10</v>
      </c>
      <c r="F6185" s="1" t="str">
        <f>"10.10.24.4"</f>
        <v>10.10.24.4</v>
      </c>
      <c r="G6185" s="1" t="str">
        <f>"0230R771"</f>
        <v>0230R771</v>
      </c>
      <c r="H6185" s="1" t="str">
        <f>"말미간 85L5L1"</f>
        <v>말미간 85L5L1</v>
      </c>
      <c r="I6185" s="1" t="s">
        <v>8</v>
      </c>
      <c r="J6185" s="1" t="str">
        <f>"50/50"</f>
        <v>50/50</v>
      </c>
      <c r="K6185" s="1" t="str">
        <f t="shared" si="310"/>
        <v>2026-07-29 13:18:02</v>
      </c>
      <c r="L6185" s="1" t="str">
        <f>"2018-01-19 11:22:41"</f>
        <v>2018-01-19 11:22:41</v>
      </c>
      <c r="M6185" s="1" t="s">
        <v>1</v>
      </c>
      <c r="N6185" s="1" t="s">
        <v>38</v>
      </c>
      <c r="O6185" s="1" t="s">
        <v>46</v>
      </c>
    </row>
    <row r="6186" spans="2:15" x14ac:dyDescent="0.3">
      <c r="B6186" s="1" t="s">
        <v>22</v>
      </c>
      <c r="C6186" s="1" t="str">
        <f>"1차"</f>
        <v>1차</v>
      </c>
      <c r="D6186" s="1" t="str">
        <f>"0230R79100"</f>
        <v>0230R79100</v>
      </c>
      <c r="E6186" s="1" t="s">
        <v>10</v>
      </c>
      <c r="F6186" s="1" t="str">
        <f>"10.107.250.56"</f>
        <v>10.107.250.56</v>
      </c>
      <c r="G6186" s="1" t="str">
        <f>"0230R791"</f>
        <v>0230R791</v>
      </c>
      <c r="H6186" s="1" t="str">
        <f>"말미간 85L4L2"</f>
        <v>말미간 85L4L2</v>
      </c>
      <c r="I6186" s="1" t="s">
        <v>8</v>
      </c>
      <c r="J6186" s="1" t="str">
        <f>"19/19"</f>
        <v>19/19</v>
      </c>
      <c r="K6186" s="1" t="str">
        <f t="shared" si="310"/>
        <v>2026-07-29 13:18:02</v>
      </c>
      <c r="L6186" s="1" t="str">
        <f>"2014-12-15 11:28:16"</f>
        <v>2014-12-15 11:28:16</v>
      </c>
      <c r="M6186" s="1" t="s">
        <v>45</v>
      </c>
      <c r="N6186" s="1" t="s">
        <v>38</v>
      </c>
      <c r="O6186" s="1" t="s">
        <v>46</v>
      </c>
    </row>
    <row r="6187" spans="2:15" x14ac:dyDescent="0.3">
      <c r="B6187" s="1" t="s">
        <v>22</v>
      </c>
      <c r="C6187" s="1" t="str">
        <f>"4차"</f>
        <v>4차</v>
      </c>
      <c r="D6187" s="1" t="str">
        <f>"0230R79239"</f>
        <v>0230R79239</v>
      </c>
      <c r="E6187" s="1" t="s">
        <v>10</v>
      </c>
      <c r="F6187" s="1" t="str">
        <f>"10.107.121.170"</f>
        <v>10.107.121.170</v>
      </c>
      <c r="G6187" s="1" t="str">
        <f>"0230R792"</f>
        <v>0230R792</v>
      </c>
      <c r="H6187" s="1" t="str">
        <f>"말미간 85L20L1"</f>
        <v>말미간 85L20L1</v>
      </c>
      <c r="I6187" s="1" t="s">
        <v>8</v>
      </c>
      <c r="J6187" s="1" t="str">
        <f>"36/37"</f>
        <v>36/37</v>
      </c>
      <c r="K6187" s="1" t="str">
        <f t="shared" si="310"/>
        <v>2026-07-29 13:18:02</v>
      </c>
      <c r="L6187" s="1" t="str">
        <f>"2024-03-13 17:54:06"</f>
        <v>2024-03-13 17:54:06</v>
      </c>
      <c r="M6187" s="1" t="s">
        <v>45</v>
      </c>
      <c r="N6187" s="1" t="s">
        <v>38</v>
      </c>
      <c r="O6187" s="1" t="s">
        <v>46</v>
      </c>
    </row>
    <row r="6188" spans="2:15" x14ac:dyDescent="0.3">
      <c r="B6188" s="1" t="s">
        <v>22</v>
      </c>
      <c r="C6188" s="1" t="str">
        <f>"1차"</f>
        <v>1차</v>
      </c>
      <c r="D6188" s="1" t="str">
        <f>"0230R79301"</f>
        <v>0230R79301</v>
      </c>
      <c r="E6188" s="1" t="s">
        <v>10</v>
      </c>
      <c r="F6188" s="1" t="str">
        <f>"10.107.250.57"</f>
        <v>10.107.250.57</v>
      </c>
      <c r="G6188" s="1" t="str">
        <f>"0230R793"</f>
        <v>0230R793</v>
      </c>
      <c r="H6188" s="1" t="str">
        <f>"말미간 85L4L1"</f>
        <v>말미간 85L4L1</v>
      </c>
      <c r="I6188" s="1" t="s">
        <v>8</v>
      </c>
      <c r="J6188" s="1" t="str">
        <f>"30/30"</f>
        <v>30/30</v>
      </c>
      <c r="K6188" s="1" t="str">
        <f t="shared" si="310"/>
        <v>2026-07-29 13:18:02</v>
      </c>
      <c r="L6188" s="1" t="str">
        <f>"2014-12-15 11:27:33"</f>
        <v>2014-12-15 11:27:33</v>
      </c>
      <c r="M6188" s="1" t="s">
        <v>45</v>
      </c>
      <c r="N6188" s="1" t="s">
        <v>38</v>
      </c>
      <c r="O6188" s="1" t="s">
        <v>46</v>
      </c>
    </row>
    <row r="6189" spans="2:15" x14ac:dyDescent="0.3">
      <c r="B6189" s="1" t="s">
        <v>22</v>
      </c>
      <c r="C6189" s="1" t="str">
        <f>"1차"</f>
        <v>1차</v>
      </c>
      <c r="D6189" s="1" t="str">
        <f>"0230R79401"</f>
        <v>0230R79401</v>
      </c>
      <c r="E6189" s="1" t="s">
        <v>10</v>
      </c>
      <c r="F6189" s="1" t="str">
        <f>"10.107.250.58"</f>
        <v>10.107.250.58</v>
      </c>
      <c r="G6189" s="1" t="str">
        <f>"0230R794"</f>
        <v>0230R794</v>
      </c>
      <c r="H6189" s="1" t="str">
        <f>"말미간 85L4L3"</f>
        <v>말미간 85L4L3</v>
      </c>
      <c r="I6189" s="1" t="s">
        <v>8</v>
      </c>
      <c r="J6189" s="1" t="str">
        <f>"28/28"</f>
        <v>28/28</v>
      </c>
      <c r="K6189" s="1" t="str">
        <f t="shared" si="310"/>
        <v>2026-07-29 13:18:02</v>
      </c>
      <c r="L6189" s="1" t="str">
        <f>"2014-12-15 11:28:04"</f>
        <v>2014-12-15 11:28:04</v>
      </c>
      <c r="M6189" s="1" t="s">
        <v>45</v>
      </c>
      <c r="N6189" s="1" t="s">
        <v>38</v>
      </c>
      <c r="O6189" s="1" t="s">
        <v>46</v>
      </c>
    </row>
    <row r="6190" spans="2:15" x14ac:dyDescent="0.3">
      <c r="B6190" s="1" t="s">
        <v>22</v>
      </c>
      <c r="C6190" s="1" t="str">
        <f>"1차"</f>
        <v>1차</v>
      </c>
      <c r="D6190" s="1" t="str">
        <f>"0230R81100"</f>
        <v>0230R81100</v>
      </c>
      <c r="E6190" s="1" t="s">
        <v>10</v>
      </c>
      <c r="F6190" s="1" t="str">
        <f>"10.107.126.130"</f>
        <v>10.107.126.130</v>
      </c>
      <c r="G6190" s="1" t="str">
        <f>"0230R811"</f>
        <v>0230R811</v>
      </c>
      <c r="H6190" s="1" t="str">
        <f>"말미간 55L7L2"</f>
        <v>말미간 55L7L2</v>
      </c>
      <c r="I6190" s="1" t="s">
        <v>8</v>
      </c>
      <c r="J6190" s="1" t="str">
        <f>"20/21"</f>
        <v>20/21</v>
      </c>
      <c r="K6190" s="1" t="str">
        <f t="shared" si="310"/>
        <v>2026-07-29 13:18:02</v>
      </c>
      <c r="L6190" s="1" t="str">
        <f>"2014-12-17 12:58:09"</f>
        <v>2014-12-17 12:58:09</v>
      </c>
      <c r="M6190" s="1" t="s">
        <v>45</v>
      </c>
      <c r="N6190" s="1" t="s">
        <v>38</v>
      </c>
      <c r="O6190" s="1" t="s">
        <v>46</v>
      </c>
    </row>
    <row r="6191" spans="2:15" x14ac:dyDescent="0.3">
      <c r="B6191" s="1" t="s">
        <v>22</v>
      </c>
      <c r="C6191" s="1" t="str">
        <f>"5-2차"</f>
        <v>5-2차</v>
      </c>
      <c r="D6191" s="1" t="str">
        <f>"0230R8215M"</f>
        <v>0230R8215M</v>
      </c>
      <c r="E6191" s="1" t="s">
        <v>10</v>
      </c>
      <c r="F6191" s="1" t="str">
        <f>"fde3:102:1410:2100:0:0:0:6"</f>
        <v>fde3:102:1410:2100:0:0:0:6</v>
      </c>
      <c r="G6191" s="1" t="str">
        <f>"0230R821"</f>
        <v>0230R821</v>
      </c>
      <c r="H6191" s="1" t="str">
        <f>"말미간 55L7L1"</f>
        <v>말미간 55L7L1</v>
      </c>
      <c r="I6191" s="1" t="s">
        <v>15</v>
      </c>
      <c r="J6191" s="1" t="str">
        <f>"47/47"</f>
        <v>47/47</v>
      </c>
      <c r="K6191" s="1" t="str">
        <f>"2026-07-29 14:20:50"</f>
        <v>2026-07-29 14:20:50</v>
      </c>
      <c r="L6191" s="1" t="str">
        <f>"2023-12-19 15:42:49"</f>
        <v>2023-12-19 15:42:49</v>
      </c>
      <c r="M6191" s="1" t="s">
        <v>45</v>
      </c>
      <c r="N6191" s="1" t="s">
        <v>38</v>
      </c>
      <c r="O6191" s="1" t="s">
        <v>46</v>
      </c>
    </row>
    <row r="6192" spans="2:15" x14ac:dyDescent="0.3">
      <c r="B6192" s="1" t="s">
        <v>22</v>
      </c>
      <c r="C6192" s="1" t="str">
        <f t="shared" ref="C6192:C6197" si="311">"3차"</f>
        <v>3차</v>
      </c>
      <c r="D6192" s="1" t="str">
        <f>"0230R84131"</f>
        <v>0230R84131</v>
      </c>
      <c r="E6192" s="1" t="s">
        <v>10</v>
      </c>
      <c r="F6192" s="1" t="str">
        <f>"10.10.2.35"</f>
        <v>10.10.2.35</v>
      </c>
      <c r="G6192" s="1" t="str">
        <f>"0230R841"</f>
        <v>0230R841</v>
      </c>
      <c r="H6192" s="1" t="str">
        <f>"말미간 55L9R5"</f>
        <v>말미간 55L9R5</v>
      </c>
      <c r="I6192" s="1" t="s">
        <v>8</v>
      </c>
      <c r="J6192" s="1" t="str">
        <f>"52/53"</f>
        <v>52/53</v>
      </c>
      <c r="K6192" s="1" t="str">
        <f>"2026-07-29 13:18:02"</f>
        <v>2026-07-29 13:18:02</v>
      </c>
      <c r="L6192" s="1" t="str">
        <f>"2018-01-30 11:02:10"</f>
        <v>2018-01-30 11:02:10</v>
      </c>
      <c r="M6192" s="1" t="s">
        <v>1</v>
      </c>
      <c r="N6192" s="1" t="s">
        <v>38</v>
      </c>
      <c r="O6192" s="1" t="s">
        <v>46</v>
      </c>
    </row>
    <row r="6193" spans="2:15" x14ac:dyDescent="0.3">
      <c r="B6193" s="1" t="s">
        <v>22</v>
      </c>
      <c r="C6193" s="1" t="str">
        <f t="shared" si="311"/>
        <v>3차</v>
      </c>
      <c r="D6193" s="1" t="str">
        <f>"0230R84230"</f>
        <v>0230R84230</v>
      </c>
      <c r="E6193" s="1" t="s">
        <v>10</v>
      </c>
      <c r="F6193" s="1" t="str">
        <f>"10.10.2.34"</f>
        <v>10.10.2.34</v>
      </c>
      <c r="G6193" s="1" t="str">
        <f>"0230R842"</f>
        <v>0230R842</v>
      </c>
      <c r="H6193" s="1" t="str">
        <f>"말미간 55L9R4"</f>
        <v>말미간 55L9R4</v>
      </c>
      <c r="I6193" s="1" t="s">
        <v>8</v>
      </c>
      <c r="J6193" s="1" t="str">
        <f>"43/48"</f>
        <v>43/48</v>
      </c>
      <c r="K6193" s="1" t="str">
        <f>"2026-07-29 13:18:02"</f>
        <v>2026-07-29 13:18:02</v>
      </c>
      <c r="L6193" s="1" t="str">
        <f>"2018-01-30 11:05:54"</f>
        <v>2018-01-30 11:05:54</v>
      </c>
      <c r="M6193" s="1" t="s">
        <v>1</v>
      </c>
      <c r="N6193" s="1" t="s">
        <v>38</v>
      </c>
      <c r="O6193" s="1" t="s">
        <v>46</v>
      </c>
    </row>
    <row r="6194" spans="2:15" x14ac:dyDescent="0.3">
      <c r="B6194" s="1" t="s">
        <v>22</v>
      </c>
      <c r="C6194" s="1" t="str">
        <f t="shared" si="311"/>
        <v>3차</v>
      </c>
      <c r="D6194" s="1" t="str">
        <f>"0230R85130"</f>
        <v>0230R85130</v>
      </c>
      <c r="E6194" s="1" t="s">
        <v>10</v>
      </c>
      <c r="F6194" s="1" t="str">
        <f>"10.10.2.18"</f>
        <v>10.10.2.18</v>
      </c>
      <c r="G6194" s="1" t="str">
        <f>"0230R851"</f>
        <v>0230R851</v>
      </c>
      <c r="H6194" s="1" t="str">
        <f>"말미간 85L11"</f>
        <v>말미간 85L11</v>
      </c>
      <c r="I6194" s="1" t="s">
        <v>8</v>
      </c>
      <c r="J6194" s="1" t="str">
        <f>"48/48"</f>
        <v>48/48</v>
      </c>
      <c r="K6194" s="1" t="str">
        <f>"2026-07-29 13:18:02"</f>
        <v>2026-07-29 13:18:02</v>
      </c>
      <c r="L6194" s="1" t="str">
        <f>"2018-01-22 18:06:42"</f>
        <v>2018-01-22 18:06:42</v>
      </c>
      <c r="M6194" s="1" t="s">
        <v>1</v>
      </c>
      <c r="N6194" s="1" t="s">
        <v>38</v>
      </c>
      <c r="O6194" s="1" t="s">
        <v>46</v>
      </c>
    </row>
    <row r="6195" spans="2:15" x14ac:dyDescent="0.3">
      <c r="B6195" s="1" t="s">
        <v>22</v>
      </c>
      <c r="C6195" s="1" t="str">
        <f t="shared" si="311"/>
        <v>3차</v>
      </c>
      <c r="D6195" s="1" t="str">
        <f>"0230R86230"</f>
        <v>0230R86230</v>
      </c>
      <c r="E6195" s="1" t="s">
        <v>10</v>
      </c>
      <c r="F6195" s="1" t="str">
        <f>"10.10.4.234"</f>
        <v>10.10.4.234</v>
      </c>
      <c r="G6195" s="1" t="str">
        <f>"0230R862"</f>
        <v>0230R862</v>
      </c>
      <c r="H6195" s="1" t="str">
        <f>"말미간 85L14"</f>
        <v>말미간 85L14</v>
      </c>
      <c r="I6195" s="1" t="s">
        <v>8</v>
      </c>
      <c r="J6195" s="1" t="str">
        <f>"42/42"</f>
        <v>42/42</v>
      </c>
      <c r="K6195" s="1" t="str">
        <f>"2026-07-29 13:18:02"</f>
        <v>2026-07-29 13:18:02</v>
      </c>
      <c r="L6195" s="1" t="str">
        <f>"2018-02-01 17:43:14"</f>
        <v>2018-02-01 17:43:14</v>
      </c>
      <c r="M6195" s="1" t="s">
        <v>1</v>
      </c>
      <c r="N6195" s="1" t="s">
        <v>38</v>
      </c>
      <c r="O6195" s="1" t="s">
        <v>46</v>
      </c>
    </row>
    <row r="6196" spans="2:15" x14ac:dyDescent="0.3">
      <c r="B6196" s="1" t="s">
        <v>22</v>
      </c>
      <c r="C6196" s="1" t="str">
        <f t="shared" si="311"/>
        <v>3차</v>
      </c>
      <c r="D6196" s="1" t="str">
        <f>"0230R86332"</f>
        <v>0230R86332</v>
      </c>
      <c r="E6196" s="1" t="s">
        <v>10</v>
      </c>
      <c r="F6196" s="1" t="str">
        <f>"10.10.2.20"</f>
        <v>10.10.2.20</v>
      </c>
      <c r="G6196" s="1" t="str">
        <f>"0230R863"</f>
        <v>0230R863</v>
      </c>
      <c r="H6196" s="1" t="str">
        <f>"말미간 85L12"</f>
        <v>말미간 85L12</v>
      </c>
      <c r="I6196" s="1" t="s">
        <v>8</v>
      </c>
      <c r="J6196" s="1" t="str">
        <f>"40/40"</f>
        <v>40/40</v>
      </c>
      <c r="K6196" s="1" t="str">
        <f>"2026-07-29 13:18:02"</f>
        <v>2026-07-29 13:18:02</v>
      </c>
      <c r="L6196" s="1" t="str">
        <f>"2018-03-15 13:43:13"</f>
        <v>2018-03-15 13:43:13</v>
      </c>
      <c r="M6196" s="1" t="s">
        <v>1</v>
      </c>
      <c r="N6196" s="1" t="s">
        <v>38</v>
      </c>
      <c r="O6196" s="1" t="s">
        <v>46</v>
      </c>
    </row>
    <row r="6197" spans="2:15" x14ac:dyDescent="0.3">
      <c r="B6197" s="1" t="s">
        <v>22</v>
      </c>
      <c r="C6197" s="1" t="str">
        <f t="shared" si="311"/>
        <v>3차</v>
      </c>
      <c r="D6197" s="1" t="str">
        <f>"0230R87231"</f>
        <v>0230R87231</v>
      </c>
      <c r="E6197" s="1" t="s">
        <v>10</v>
      </c>
      <c r="F6197" s="1" t="str">
        <f>"10.10.4.235"</f>
        <v>10.10.4.235</v>
      </c>
      <c r="G6197" s="1" t="str">
        <f>"0230R872"</f>
        <v>0230R872</v>
      </c>
      <c r="H6197" s="1" t="str">
        <f>"말미간 85L15"</f>
        <v>말미간 85L15</v>
      </c>
      <c r="I6197" s="1" t="s">
        <v>8</v>
      </c>
      <c r="J6197" s="1" t="str">
        <f>"20/20"</f>
        <v>20/20</v>
      </c>
      <c r="K6197" s="1" t="str">
        <f>"2026-07-29 13:18:03"</f>
        <v>2026-07-29 13:18:03</v>
      </c>
      <c r="L6197" s="1" t="str">
        <f>"2018-02-01 17:54:45"</f>
        <v>2018-02-01 17:54:45</v>
      </c>
      <c r="M6197" s="1" t="s">
        <v>1</v>
      </c>
      <c r="N6197" s="1" t="s">
        <v>38</v>
      </c>
      <c r="O6197" s="1" t="s">
        <v>46</v>
      </c>
    </row>
    <row r="6198" spans="2:15" x14ac:dyDescent="0.3">
      <c r="B6198" s="1" t="s">
        <v>22</v>
      </c>
      <c r="C6198" s="1" t="str">
        <f>"6차"</f>
        <v>6차</v>
      </c>
      <c r="D6198" s="1" t="str">
        <f>"0230R8826S"</f>
        <v>0230R8826S</v>
      </c>
      <c r="E6198" s="1" t="s">
        <v>10</v>
      </c>
      <c r="F6198" s="1" t="str">
        <f>"fde1:103:4:9335:0:0:0:2"</f>
        <v>fde1:103:4:9335:0:0:0:2</v>
      </c>
      <c r="G6198" s="1" t="str">
        <f>"0230R882"</f>
        <v>0230R882</v>
      </c>
      <c r="H6198" s="1" t="str">
        <f>"말미간 85L16"</f>
        <v>말미간 85L16</v>
      </c>
      <c r="I6198" s="1" t="s">
        <v>15</v>
      </c>
      <c r="J6198" s="1" t="str">
        <f>"32/32"</f>
        <v>32/32</v>
      </c>
      <c r="K6198" s="1" t="str">
        <f>"2026-07-29 14:20:51"</f>
        <v>2026-07-29 14:20:51</v>
      </c>
      <c r="L6198" s="1" t="str">
        <f>"2025-01-22 14:33:56"</f>
        <v>2025-01-22 14:33:56</v>
      </c>
      <c r="M6198" s="1" t="s">
        <v>4</v>
      </c>
      <c r="N6198" s="1" t="s">
        <v>38</v>
      </c>
      <c r="O6198" s="1" t="s">
        <v>46</v>
      </c>
    </row>
    <row r="6199" spans="2:15" x14ac:dyDescent="0.3">
      <c r="B6199" s="1" t="s">
        <v>22</v>
      </c>
      <c r="C6199" s="1" t="str">
        <f>"1차"</f>
        <v>1차</v>
      </c>
      <c r="D6199" s="1" t="str">
        <f>"0230R90100"</f>
        <v>0230R90100</v>
      </c>
      <c r="E6199" s="1" t="s">
        <v>10</v>
      </c>
      <c r="F6199" s="1" t="str">
        <f>"10.107.126.226"</f>
        <v>10.107.126.226</v>
      </c>
      <c r="G6199" s="1" t="str">
        <f>"0230R901"</f>
        <v>0230R901</v>
      </c>
      <c r="H6199" s="1" t="str">
        <f>"말미간 51L5L1"</f>
        <v>말미간 51L5L1</v>
      </c>
      <c r="I6199" s="1" t="s">
        <v>8</v>
      </c>
      <c r="J6199" s="1" t="str">
        <f>"6/6"</f>
        <v>6/6</v>
      </c>
      <c r="K6199" s="1" t="str">
        <f>"2026-07-29 13:18:02"</f>
        <v>2026-07-29 13:18:02</v>
      </c>
      <c r="L6199" s="1" t="str">
        <f>"2014-12-17 11:05:55"</f>
        <v>2014-12-17 11:05:55</v>
      </c>
      <c r="M6199" s="1" t="s">
        <v>45</v>
      </c>
      <c r="N6199" s="1" t="s">
        <v>38</v>
      </c>
      <c r="O6199" s="1" t="s">
        <v>46</v>
      </c>
    </row>
    <row r="6200" spans="2:15" x14ac:dyDescent="0.3">
      <c r="B6200" s="1" t="s">
        <v>22</v>
      </c>
      <c r="C6200" s="1" t="str">
        <f>"5-2차"</f>
        <v>5-2차</v>
      </c>
      <c r="D6200" s="1" t="str">
        <f>"0230R9035M"</f>
        <v>0230R9035M</v>
      </c>
      <c r="E6200" s="1" t="s">
        <v>10</v>
      </c>
      <c r="F6200" s="1" t="str">
        <f>"fde3:102:1410:2100:0:0:0:9"</f>
        <v>fde3:102:1410:2100:0:0:0:9</v>
      </c>
      <c r="G6200" s="1" t="str">
        <f>"0230R903"</f>
        <v>0230R903</v>
      </c>
      <c r="H6200" s="1" t="str">
        <f>"말미간 51L5L2"</f>
        <v>말미간 51L5L2</v>
      </c>
      <c r="I6200" s="1" t="s">
        <v>15</v>
      </c>
      <c r="J6200" s="1" t="str">
        <f>"34/34"</f>
        <v>34/34</v>
      </c>
      <c r="K6200" s="1" t="str">
        <f>"2026-07-29 14:20:50"</f>
        <v>2026-07-29 14:20:50</v>
      </c>
      <c r="L6200" s="1" t="str">
        <f>"2023-12-19 15:23:15"</f>
        <v>2023-12-19 15:23:15</v>
      </c>
      <c r="M6200" s="1" t="s">
        <v>45</v>
      </c>
      <c r="N6200" s="1" t="s">
        <v>38</v>
      </c>
      <c r="O6200" s="1" t="s">
        <v>46</v>
      </c>
    </row>
    <row r="6201" spans="2:15" x14ac:dyDescent="0.3">
      <c r="B6201" s="1" t="s">
        <v>22</v>
      </c>
      <c r="C6201" s="1" t="str">
        <f>"1차"</f>
        <v>1차</v>
      </c>
      <c r="D6201" s="1" t="str">
        <f>"0230R91101"</f>
        <v>0230R91101</v>
      </c>
      <c r="E6201" s="1" t="str">
        <f>"검침실패(3시간 이상)"</f>
        <v>검침실패(3시간 이상)</v>
      </c>
      <c r="F6201" s="1" t="str">
        <f>"10.107.126.107"</f>
        <v>10.107.126.107</v>
      </c>
      <c r="G6201" s="1" t="str">
        <f>"0230R911"</f>
        <v>0230R911</v>
      </c>
      <c r="H6201" s="1" t="str">
        <f>"말미간 51L6L1"</f>
        <v>말미간 51L6L1</v>
      </c>
      <c r="I6201" s="1" t="s">
        <v>8</v>
      </c>
      <c r="J6201" s="1" t="str">
        <f>"0/32"</f>
        <v>0/32</v>
      </c>
      <c r="K6201" s="1" t="str">
        <f>"2026-07-27 01:18:03"</f>
        <v>2026-07-27 01:18:03</v>
      </c>
      <c r="L6201" s="1" t="str">
        <f>"2015-02-05 14:19:11"</f>
        <v>2015-02-05 14:19:11</v>
      </c>
      <c r="M6201" s="1" t="s">
        <v>45</v>
      </c>
      <c r="N6201" s="1" t="s">
        <v>38</v>
      </c>
      <c r="O6201" s="1" t="s">
        <v>46</v>
      </c>
    </row>
    <row r="6202" spans="2:15" x14ac:dyDescent="0.3">
      <c r="B6202" s="1" t="s">
        <v>22</v>
      </c>
      <c r="C6202" s="1" t="str">
        <f>"1차"</f>
        <v>1차</v>
      </c>
      <c r="D6202" s="1" t="str">
        <f>"0230R91200"</f>
        <v>0230R91200</v>
      </c>
      <c r="E6202" s="1" t="s">
        <v>10</v>
      </c>
      <c r="F6202" s="1" t="str">
        <f>"10.107.126.106"</f>
        <v>10.107.126.106</v>
      </c>
      <c r="G6202" s="1" t="str">
        <f>"0230R912"</f>
        <v>0230R912</v>
      </c>
      <c r="H6202" s="1" t="str">
        <f>"말미간 51L7"</f>
        <v>말미간 51L7</v>
      </c>
      <c r="I6202" s="1" t="s">
        <v>8</v>
      </c>
      <c r="J6202" s="1" t="str">
        <f>"12/12"</f>
        <v>12/12</v>
      </c>
      <c r="K6202" s="1" t="str">
        <f>"2026-07-29 13:18:02"</f>
        <v>2026-07-29 13:18:02</v>
      </c>
      <c r="L6202" s="1" t="str">
        <f>"2015-03-13 14:31:12"</f>
        <v>2015-03-13 14:31:12</v>
      </c>
      <c r="M6202" s="1" t="s">
        <v>45</v>
      </c>
      <c r="N6202" s="1" t="s">
        <v>38</v>
      </c>
      <c r="O6202" s="1" t="s">
        <v>46</v>
      </c>
    </row>
    <row r="6203" spans="2:15" x14ac:dyDescent="0.3">
      <c r="B6203" s="1" t="s">
        <v>22</v>
      </c>
      <c r="C6203" s="1" t="str">
        <f>"1차"</f>
        <v>1차</v>
      </c>
      <c r="D6203" s="1" t="str">
        <f>"0230R91301"</f>
        <v>0230R91301</v>
      </c>
      <c r="E6203" s="1" t="s">
        <v>10</v>
      </c>
      <c r="F6203" s="1" t="str">
        <f>"10.12.134.194"</f>
        <v>10.12.134.194</v>
      </c>
      <c r="G6203" s="1" t="str">
        <f>"0230R913"</f>
        <v>0230R913</v>
      </c>
      <c r="H6203" s="1" t="str">
        <f>"말미간 55L7L3"</f>
        <v>말미간 55L7L3</v>
      </c>
      <c r="I6203" s="1" t="s">
        <v>8</v>
      </c>
      <c r="J6203" s="1" t="str">
        <f>"19/19"</f>
        <v>19/19</v>
      </c>
      <c r="K6203" s="1" t="str">
        <f>"2026-07-29 13:18:02"</f>
        <v>2026-07-29 13:18:02</v>
      </c>
      <c r="L6203" s="1" t="str">
        <f>"2014-12-17 12:58:16"</f>
        <v>2014-12-17 12:58:16</v>
      </c>
      <c r="M6203" s="1" t="s">
        <v>0</v>
      </c>
      <c r="N6203" s="1" t="s">
        <v>38</v>
      </c>
      <c r="O6203" s="1" t="s">
        <v>46</v>
      </c>
    </row>
    <row r="6204" spans="2:15" x14ac:dyDescent="0.3">
      <c r="B6204" s="1" t="s">
        <v>22</v>
      </c>
      <c r="C6204" s="1" t="str">
        <f>"1차"</f>
        <v>1차</v>
      </c>
      <c r="D6204" s="1" t="str">
        <f>"0230R92200"</f>
        <v>0230R92200</v>
      </c>
      <c r="E6204" s="1" t="s">
        <v>10</v>
      </c>
      <c r="F6204" s="1" t="str">
        <f>"10.107.126.234"</f>
        <v>10.107.126.234</v>
      </c>
      <c r="G6204" s="1" t="str">
        <f>"0230R922"</f>
        <v>0230R922</v>
      </c>
      <c r="H6204" s="1" t="str">
        <f>"말미간 51L8"</f>
        <v>말미간 51L8</v>
      </c>
      <c r="I6204" s="1" t="s">
        <v>8</v>
      </c>
      <c r="J6204" s="1" t="str">
        <f>"1/1"</f>
        <v>1/1</v>
      </c>
      <c r="K6204" s="1" t="str">
        <f>"2026-07-29 13:18:03"</f>
        <v>2026-07-29 13:18:03</v>
      </c>
      <c r="L6204" s="1" t="str">
        <f>"2014-12-17 11:13:15"</f>
        <v>2014-12-17 11:13:15</v>
      </c>
      <c r="M6204" s="1" t="s">
        <v>45</v>
      </c>
      <c r="N6204" s="1" t="s">
        <v>38</v>
      </c>
      <c r="O6204" s="1" t="s">
        <v>46</v>
      </c>
    </row>
    <row r="6205" spans="2:15" x14ac:dyDescent="0.3">
      <c r="B6205" s="1" t="s">
        <v>22</v>
      </c>
      <c r="C6205" s="1" t="str">
        <f>"5-2차"</f>
        <v>5-2차</v>
      </c>
      <c r="D6205" s="1" t="str">
        <f>"0230R9415M"</f>
        <v>0230R9415M</v>
      </c>
      <c r="E6205" s="1" t="s">
        <v>10</v>
      </c>
      <c r="F6205" s="1" t="str">
        <f>"fde3:102:1410:2100:0:0:0:7"</f>
        <v>fde3:102:1410:2100:0:0:0:7</v>
      </c>
      <c r="G6205" s="1" t="str">
        <f>"0230R941"</f>
        <v>0230R941</v>
      </c>
      <c r="H6205" s="1" t="str">
        <f>"말미간 55L5"</f>
        <v>말미간 55L5</v>
      </c>
      <c r="I6205" s="1" t="s">
        <v>15</v>
      </c>
      <c r="J6205" s="1" t="str">
        <f>"82/83"</f>
        <v>82/83</v>
      </c>
      <c r="K6205" s="1" t="str">
        <f>"2026-07-29 14:20:53"</f>
        <v>2026-07-29 14:20:53</v>
      </c>
      <c r="L6205" s="1" t="str">
        <f>"2023-12-19 16:00:08"</f>
        <v>2023-12-19 16:00:08</v>
      </c>
      <c r="M6205" s="1" t="s">
        <v>45</v>
      </c>
      <c r="N6205" s="1" t="s">
        <v>38</v>
      </c>
      <c r="O6205" s="1" t="s">
        <v>46</v>
      </c>
    </row>
    <row r="6206" spans="2:15" x14ac:dyDescent="0.3">
      <c r="B6206" s="1" t="s">
        <v>22</v>
      </c>
      <c r="C6206" s="1" t="str">
        <f>"3차"</f>
        <v>3차</v>
      </c>
      <c r="D6206" s="1" t="str">
        <f>"0230R95139"</f>
        <v>0230R95139</v>
      </c>
      <c r="E6206" s="1" t="s">
        <v>10</v>
      </c>
      <c r="F6206" s="1" t="str">
        <f>"10.10.2.58"</f>
        <v>10.10.2.58</v>
      </c>
      <c r="G6206" s="1" t="str">
        <f>"0230R951"</f>
        <v>0230R951</v>
      </c>
      <c r="H6206" s="1" t="str">
        <f>"말미간 55L4R1"</f>
        <v>말미간 55L4R1</v>
      </c>
      <c r="I6206" s="1" t="s">
        <v>8</v>
      </c>
      <c r="J6206" s="1" t="str">
        <f>"28/28"</f>
        <v>28/28</v>
      </c>
      <c r="K6206" s="1" t="str">
        <f>"2026-07-29 13:18:03"</f>
        <v>2026-07-29 13:18:03</v>
      </c>
      <c r="L6206" s="1" t="str">
        <f>"2018-01-22 18:06:12"</f>
        <v>2018-01-22 18:06:12</v>
      </c>
      <c r="M6206" s="1" t="s">
        <v>1</v>
      </c>
      <c r="N6206" s="1" t="s">
        <v>38</v>
      </c>
      <c r="O6206" s="1" t="s">
        <v>46</v>
      </c>
    </row>
    <row r="6207" spans="2:15" x14ac:dyDescent="0.3">
      <c r="B6207" s="1" t="s">
        <v>22</v>
      </c>
      <c r="C6207" s="1" t="str">
        <f>"3차"</f>
        <v>3차</v>
      </c>
      <c r="D6207" s="1" t="str">
        <f>"0230R95439"</f>
        <v>0230R95439</v>
      </c>
      <c r="E6207" s="1" t="s">
        <v>10</v>
      </c>
      <c r="F6207" s="1" t="str">
        <f>"10.107.252.68"</f>
        <v>10.107.252.68</v>
      </c>
      <c r="G6207" s="1" t="str">
        <f>"0230R954"</f>
        <v>0230R954</v>
      </c>
      <c r="H6207" s="1" t="str">
        <f>"말미간 55L4R2"</f>
        <v>말미간 55L4R2</v>
      </c>
      <c r="I6207" s="1" t="s">
        <v>8</v>
      </c>
      <c r="J6207" s="1" t="str">
        <f>"30/30"</f>
        <v>30/30</v>
      </c>
      <c r="K6207" s="1" t="str">
        <f>"2026-07-29 13:18:02"</f>
        <v>2026-07-29 13:18:02</v>
      </c>
      <c r="L6207" s="1" t="str">
        <f>"2018-03-28 10:06:43"</f>
        <v>2018-03-28 10:06:43</v>
      </c>
      <c r="M6207" s="1" t="s">
        <v>45</v>
      </c>
      <c r="N6207" s="1" t="s">
        <v>38</v>
      </c>
      <c r="O6207" s="1" t="s">
        <v>46</v>
      </c>
    </row>
    <row r="6208" spans="2:15" x14ac:dyDescent="0.3">
      <c r="B6208" s="1" t="s">
        <v>22</v>
      </c>
      <c r="C6208" s="1" t="str">
        <f>"4차"</f>
        <v>4차</v>
      </c>
      <c r="D6208" s="1" t="str">
        <f>"0230R96230"</f>
        <v>0230R96230</v>
      </c>
      <c r="E6208" s="1" t="s">
        <v>10</v>
      </c>
      <c r="F6208" s="1" t="str">
        <f>"10.10.1.234"</f>
        <v>10.10.1.234</v>
      </c>
      <c r="G6208" s="1" t="str">
        <f>"0230R962"</f>
        <v>0230R962</v>
      </c>
      <c r="H6208" s="1" t="str">
        <f>"말미간 85L13R1"</f>
        <v>말미간 85L13R1</v>
      </c>
      <c r="I6208" s="1" t="s">
        <v>8</v>
      </c>
      <c r="J6208" s="1" t="str">
        <f>"48/48"</f>
        <v>48/48</v>
      </c>
      <c r="K6208" s="1" t="str">
        <f>"2026-07-29 13:18:02"</f>
        <v>2026-07-29 13:18:02</v>
      </c>
      <c r="L6208" s="1" t="str">
        <f>"2018-02-02 10:57:11"</f>
        <v>2018-02-02 10:57:11</v>
      </c>
      <c r="M6208" s="1" t="s">
        <v>1</v>
      </c>
      <c r="N6208" s="1" t="s">
        <v>38</v>
      </c>
      <c r="O6208" s="1" t="s">
        <v>46</v>
      </c>
    </row>
    <row r="6209" spans="2:15" x14ac:dyDescent="0.3">
      <c r="B6209" s="1" t="s">
        <v>22</v>
      </c>
      <c r="C6209" s="1" t="str">
        <f>"4차"</f>
        <v>4차</v>
      </c>
      <c r="D6209" s="1" t="str">
        <f>"0230R98239"</f>
        <v>0230R98239</v>
      </c>
      <c r="E6209" s="1" t="s">
        <v>10</v>
      </c>
      <c r="F6209" s="1" t="str">
        <f>"10.10.9.106"</f>
        <v>10.10.9.106</v>
      </c>
      <c r="G6209" s="1" t="str">
        <f>"0230R982"</f>
        <v>0230R982</v>
      </c>
      <c r="H6209" s="1" t="str">
        <f>"말미간 85L17"</f>
        <v>말미간 85L17</v>
      </c>
      <c r="I6209" s="1" t="s">
        <v>8</v>
      </c>
      <c r="J6209" s="1" t="str">
        <f>"51/58"</f>
        <v>51/58</v>
      </c>
      <c r="K6209" s="1" t="str">
        <f>"2026-07-29 13:18:03"</f>
        <v>2026-07-29 13:18:03</v>
      </c>
      <c r="L6209" s="1" t="str">
        <f>"2018-02-01 16:23:43"</f>
        <v>2018-02-01 16:23:43</v>
      </c>
      <c r="M6209" s="1" t="s">
        <v>1</v>
      </c>
      <c r="N6209" s="1" t="s">
        <v>38</v>
      </c>
      <c r="O6209" s="1" t="s">
        <v>46</v>
      </c>
    </row>
    <row r="6210" spans="2:15" x14ac:dyDescent="0.3">
      <c r="B6210" s="1" t="s">
        <v>22</v>
      </c>
      <c r="C6210" s="1" t="str">
        <f>"6차"</f>
        <v>6차</v>
      </c>
      <c r="D6210" s="1" t="str">
        <f>"0230R9916S"</f>
        <v>0230R9916S</v>
      </c>
      <c r="E6210" s="1" t="s">
        <v>10</v>
      </c>
      <c r="F6210" s="1" t="str">
        <f>"fde1:103:4:c744:0:0:0:2"</f>
        <v>fde1:103:4:c744:0:0:0:2</v>
      </c>
      <c r="G6210" s="1" t="str">
        <f>"0230R991"</f>
        <v>0230R991</v>
      </c>
      <c r="H6210" s="1" t="str">
        <f>"말미간 85L18"</f>
        <v>말미간 85L18</v>
      </c>
      <c r="I6210" s="1" t="s">
        <v>15</v>
      </c>
      <c r="J6210" s="1" t="str">
        <f>"27/28"</f>
        <v>27/28</v>
      </c>
      <c r="K6210" s="1" t="str">
        <f>"2026-07-29 14:20:39"</f>
        <v>2026-07-29 14:20:39</v>
      </c>
      <c r="L6210" s="1" t="str">
        <f>"2024-12-06 11:23:13"</f>
        <v>2024-12-06 11:23:13</v>
      </c>
      <c r="M6210" s="1" t="s">
        <v>4</v>
      </c>
      <c r="N6210" s="1" t="s">
        <v>38</v>
      </c>
      <c r="O6210" s="1" t="s">
        <v>46</v>
      </c>
    </row>
    <row r="6211" spans="2:15" x14ac:dyDescent="0.3">
      <c r="B6211" s="1" t="s">
        <v>22</v>
      </c>
      <c r="C6211" s="1" t="str">
        <f>"6차"</f>
        <v>6차</v>
      </c>
      <c r="D6211" s="1" t="str">
        <f>"0230R9936S"</f>
        <v>0230R9936S</v>
      </c>
      <c r="E6211" s="1" t="s">
        <v>10</v>
      </c>
      <c r="F6211" s="1" t="str">
        <f>"fde1:103:4:c78c:0:0:0:2"</f>
        <v>fde1:103:4:c78c:0:0:0:2</v>
      </c>
      <c r="G6211" s="1" t="str">
        <f>"0230R993"</f>
        <v>0230R993</v>
      </c>
      <c r="H6211" s="1" t="str">
        <f>"말미간 85L19"</f>
        <v>말미간 85L19</v>
      </c>
      <c r="I6211" s="1" t="s">
        <v>15</v>
      </c>
      <c r="J6211" s="1" t="str">
        <f>"96/100"</f>
        <v>96/100</v>
      </c>
      <c r="K6211" s="1" t="str">
        <f>"2026-07-29 14:21:09"</f>
        <v>2026-07-29 14:21:09</v>
      </c>
      <c r="L6211" s="1" t="str">
        <f>"2024-12-06 11:23:31"</f>
        <v>2024-12-06 11:23:31</v>
      </c>
      <c r="M6211" s="1" t="s">
        <v>4</v>
      </c>
      <c r="N6211" s="1" t="s">
        <v>38</v>
      </c>
      <c r="O6211" s="1" t="s">
        <v>46</v>
      </c>
    </row>
    <row r="6212" spans="2:15" x14ac:dyDescent="0.3">
      <c r="B6212" s="1" t="s">
        <v>22</v>
      </c>
      <c r="C6212" s="1" t="str">
        <f>"1차"</f>
        <v>1차</v>
      </c>
      <c r="D6212" s="1" t="str">
        <f>"0230S02200"</f>
        <v>0230S02200</v>
      </c>
      <c r="E6212" s="1" t="s">
        <v>10</v>
      </c>
      <c r="F6212" s="1" t="str">
        <f>"10.107.126.122"</f>
        <v>10.107.126.122</v>
      </c>
      <c r="G6212" s="1" t="str">
        <f>"0230S022"</f>
        <v>0230S022</v>
      </c>
      <c r="H6212" s="1" t="str">
        <f>"말미간 55L4L3"</f>
        <v>말미간 55L4L3</v>
      </c>
      <c r="I6212" s="1" t="s">
        <v>8</v>
      </c>
      <c r="J6212" s="1" t="str">
        <f>"24/24"</f>
        <v>24/24</v>
      </c>
      <c r="K6212" s="1" t="str">
        <f>"2026-07-29 13:18:03"</f>
        <v>2026-07-29 13:18:03</v>
      </c>
      <c r="L6212" s="1" t="str">
        <f>"2014-12-17 12:09:29"</f>
        <v>2014-12-17 12:09:29</v>
      </c>
      <c r="M6212" s="1" t="s">
        <v>45</v>
      </c>
      <c r="N6212" s="1" t="s">
        <v>38</v>
      </c>
      <c r="O6212" s="1" t="s">
        <v>46</v>
      </c>
    </row>
    <row r="6213" spans="2:15" x14ac:dyDescent="0.3">
      <c r="B6213" s="1" t="s">
        <v>22</v>
      </c>
      <c r="C6213" s="1" t="str">
        <f t="shared" ref="C6213:C6218" si="312">"3차"</f>
        <v>3차</v>
      </c>
      <c r="D6213" s="1" t="str">
        <f>"0230S04130"</f>
        <v>0230S04130</v>
      </c>
      <c r="E6213" s="1" t="s">
        <v>10</v>
      </c>
      <c r="F6213" s="1" t="str">
        <f>"10.10.2.42"</f>
        <v>10.10.2.42</v>
      </c>
      <c r="G6213" s="1" t="str">
        <f>"0230S041"</f>
        <v>0230S041</v>
      </c>
      <c r="H6213" s="1" t="str">
        <f>"말미간 55L3"</f>
        <v>말미간 55L3</v>
      </c>
      <c r="I6213" s="1" t="s">
        <v>8</v>
      </c>
      <c r="J6213" s="1" t="str">
        <f>"56/60"</f>
        <v>56/60</v>
      </c>
      <c r="K6213" s="1" t="str">
        <f>"2026-07-29 13:18:03"</f>
        <v>2026-07-29 13:18:03</v>
      </c>
      <c r="L6213" s="1" t="str">
        <f>"2018-01-22 18:04:27"</f>
        <v>2018-01-22 18:04:27</v>
      </c>
      <c r="M6213" s="1" t="s">
        <v>1</v>
      </c>
      <c r="N6213" s="1" t="s">
        <v>38</v>
      </c>
      <c r="O6213" s="1" t="s">
        <v>46</v>
      </c>
    </row>
    <row r="6214" spans="2:15" x14ac:dyDescent="0.3">
      <c r="B6214" s="1" t="s">
        <v>22</v>
      </c>
      <c r="C6214" s="1" t="str">
        <f t="shared" si="312"/>
        <v>3차</v>
      </c>
      <c r="D6214" s="1" t="str">
        <f>"0230S07231"</f>
        <v>0230S07231</v>
      </c>
      <c r="E6214" s="1" t="s">
        <v>10</v>
      </c>
      <c r="F6214" s="1" t="str">
        <f>"10.10.1.235"</f>
        <v>10.10.1.235</v>
      </c>
      <c r="G6214" s="1" t="str">
        <f>"0230S072"</f>
        <v>0230S072</v>
      </c>
      <c r="H6214" s="1" t="str">
        <f>"말미간 85L13R3"</f>
        <v>말미간 85L13R3</v>
      </c>
      <c r="I6214" s="1" t="s">
        <v>8</v>
      </c>
      <c r="J6214" s="1" t="str">
        <f>"39/39"</f>
        <v>39/39</v>
      </c>
      <c r="K6214" s="1" t="str">
        <f>"2026-07-29 13:18:02"</f>
        <v>2026-07-29 13:18:02</v>
      </c>
      <c r="L6214" s="1" t="str">
        <f>"2018-03-15 13:58:41"</f>
        <v>2018-03-15 13:58:41</v>
      </c>
      <c r="M6214" s="1" t="s">
        <v>1</v>
      </c>
      <c r="N6214" s="1" t="s">
        <v>38</v>
      </c>
      <c r="O6214" s="1" t="s">
        <v>46</v>
      </c>
    </row>
    <row r="6215" spans="2:15" x14ac:dyDescent="0.3">
      <c r="B6215" s="1" t="s">
        <v>22</v>
      </c>
      <c r="C6215" s="1" t="str">
        <f t="shared" si="312"/>
        <v>3차</v>
      </c>
      <c r="D6215" s="1" t="str">
        <f>"0230S07330"</f>
        <v>0230S07330</v>
      </c>
      <c r="E6215" s="1" t="s">
        <v>10</v>
      </c>
      <c r="F6215" s="1" t="str">
        <f>"10.10.19.34"</f>
        <v>10.10.19.34</v>
      </c>
      <c r="G6215" s="1" t="str">
        <f>"0230S073"</f>
        <v>0230S073</v>
      </c>
      <c r="H6215" s="1" t="str">
        <f>"말미간 58"</f>
        <v>말미간 58</v>
      </c>
      <c r="I6215" s="1" t="s">
        <v>8</v>
      </c>
      <c r="J6215" s="1" t="str">
        <f>"64/64"</f>
        <v>64/64</v>
      </c>
      <c r="K6215" s="1" t="str">
        <f>"2026-07-29 13:18:03"</f>
        <v>2026-07-29 13:18:03</v>
      </c>
      <c r="L6215" s="1" t="str">
        <f>"2018-01-04 10:11:23"</f>
        <v>2018-01-04 10:11:23</v>
      </c>
      <c r="M6215" s="1" t="s">
        <v>1</v>
      </c>
      <c r="N6215" s="1" t="s">
        <v>38</v>
      </c>
      <c r="O6215" s="1" t="s">
        <v>46</v>
      </c>
    </row>
    <row r="6216" spans="2:15" x14ac:dyDescent="0.3">
      <c r="B6216" s="1" t="s">
        <v>22</v>
      </c>
      <c r="C6216" s="1" t="str">
        <f t="shared" si="312"/>
        <v>3차</v>
      </c>
      <c r="D6216" s="1" t="str">
        <f>"0230S08131"</f>
        <v>0230S08131</v>
      </c>
      <c r="E6216" s="1" t="s">
        <v>10</v>
      </c>
      <c r="F6216" s="1" t="str">
        <f>"10.10.19.35"</f>
        <v>10.10.19.35</v>
      </c>
      <c r="G6216" s="1" t="str">
        <f>"0230S081"</f>
        <v>0230S081</v>
      </c>
      <c r="H6216" s="1" t="str">
        <f>"말미간 59"</f>
        <v>말미간 59</v>
      </c>
      <c r="I6216" s="1" t="s">
        <v>8</v>
      </c>
      <c r="J6216" s="1" t="str">
        <f>"36/37"</f>
        <v>36/37</v>
      </c>
      <c r="K6216" s="1" t="str">
        <f>"2026-07-29 13:18:02"</f>
        <v>2026-07-29 13:18:02</v>
      </c>
      <c r="L6216" s="1" t="str">
        <f>"2018-01-19 10:27:39"</f>
        <v>2018-01-19 10:27:39</v>
      </c>
      <c r="M6216" s="1" t="s">
        <v>1</v>
      </c>
      <c r="N6216" s="1" t="s">
        <v>38</v>
      </c>
      <c r="O6216" s="1" t="s">
        <v>46</v>
      </c>
    </row>
    <row r="6217" spans="2:15" x14ac:dyDescent="0.3">
      <c r="B6217" s="1" t="s">
        <v>22</v>
      </c>
      <c r="C6217" s="1" t="str">
        <f t="shared" si="312"/>
        <v>3차</v>
      </c>
      <c r="D6217" s="1" t="str">
        <f>"0230S08239"</f>
        <v>0230S08239</v>
      </c>
      <c r="E6217" s="1" t="s">
        <v>10</v>
      </c>
      <c r="F6217" s="1" t="str">
        <f>"10.10.9.90"</f>
        <v>10.10.9.90</v>
      </c>
      <c r="G6217" s="1" t="str">
        <f>"0230S082"</f>
        <v>0230S082</v>
      </c>
      <c r="H6217" s="1" t="str">
        <f>"말미간 59R1"</f>
        <v>말미간 59R1</v>
      </c>
      <c r="I6217" s="1" t="s">
        <v>8</v>
      </c>
      <c r="J6217" s="1" t="str">
        <f>"14/14"</f>
        <v>14/14</v>
      </c>
      <c r="K6217" s="1" t="str">
        <f>"2026-07-29 13:18:02"</f>
        <v>2026-07-29 13:18:02</v>
      </c>
      <c r="L6217" s="1" t="str">
        <f>"2018-02-02 13:49:57"</f>
        <v>2018-02-02 13:49:57</v>
      </c>
      <c r="M6217" s="1" t="s">
        <v>1</v>
      </c>
      <c r="N6217" s="1" t="s">
        <v>38</v>
      </c>
      <c r="O6217" s="1" t="s">
        <v>46</v>
      </c>
    </row>
    <row r="6218" spans="2:15" x14ac:dyDescent="0.3">
      <c r="B6218" s="1" t="s">
        <v>22</v>
      </c>
      <c r="C6218" s="1" t="str">
        <f t="shared" si="312"/>
        <v>3차</v>
      </c>
      <c r="D6218" s="1" t="str">
        <f>"0230S09139"</f>
        <v>0230S09139</v>
      </c>
      <c r="E6218" s="1" t="s">
        <v>10</v>
      </c>
      <c r="F6218" s="1" t="str">
        <f>"10.10.19.178"</f>
        <v>10.10.19.178</v>
      </c>
      <c r="G6218" s="1" t="str">
        <f>"0230S091"</f>
        <v>0230S091</v>
      </c>
      <c r="H6218" s="1" t="str">
        <f>"말미간 60H1"</f>
        <v>말미간 60H1</v>
      </c>
      <c r="I6218" s="1" t="s">
        <v>8</v>
      </c>
      <c r="J6218" s="1" t="str">
        <f>"35/35"</f>
        <v>35/35</v>
      </c>
      <c r="K6218" s="1" t="str">
        <f>"2026-07-29 13:18:02"</f>
        <v>2026-07-29 13:18:02</v>
      </c>
      <c r="L6218" s="1" t="str">
        <f>"2018-01-04 09:15:08"</f>
        <v>2018-01-04 09:15:08</v>
      </c>
      <c r="M6218" s="1" t="s">
        <v>1</v>
      </c>
      <c r="N6218" s="1" t="s">
        <v>38</v>
      </c>
      <c r="O6218" s="1" t="s">
        <v>46</v>
      </c>
    </row>
    <row r="6219" spans="2:15" x14ac:dyDescent="0.3">
      <c r="B6219" s="1" t="s">
        <v>22</v>
      </c>
      <c r="C6219" s="1" t="str">
        <f>"1차"</f>
        <v>1차</v>
      </c>
      <c r="D6219" s="1" t="str">
        <f>"0230S12201"</f>
        <v>0230S12201</v>
      </c>
      <c r="E6219" s="1" t="s">
        <v>10</v>
      </c>
      <c r="F6219" s="1" t="str">
        <f>"10.12.137.44"</f>
        <v>10.12.137.44</v>
      </c>
      <c r="G6219" s="1" t="str">
        <f>"0230S122"</f>
        <v>0230S122</v>
      </c>
      <c r="H6219" s="1" t="str">
        <f>"말미간 55L4L5"</f>
        <v>말미간 55L4L5</v>
      </c>
      <c r="I6219" s="1" t="s">
        <v>8</v>
      </c>
      <c r="J6219" s="1" t="str">
        <f>"17/17"</f>
        <v>17/17</v>
      </c>
      <c r="K6219" s="1" t="str">
        <f>"2026-07-29 13:18:02"</f>
        <v>2026-07-29 13:18:02</v>
      </c>
      <c r="L6219" s="1" t="str">
        <f>"2014-12-17 12:16:46"</f>
        <v>2014-12-17 12:16:46</v>
      </c>
      <c r="M6219" s="1" t="s">
        <v>0</v>
      </c>
      <c r="N6219" s="1" t="s">
        <v>38</v>
      </c>
      <c r="O6219" s="1" t="s">
        <v>46</v>
      </c>
    </row>
    <row r="6220" spans="2:15" x14ac:dyDescent="0.3">
      <c r="B6220" s="1" t="s">
        <v>22</v>
      </c>
      <c r="C6220" s="1" t="str">
        <f>"6차"</f>
        <v>6차</v>
      </c>
      <c r="D6220" s="1" t="str">
        <f>"0230S1326S"</f>
        <v>0230S1326S</v>
      </c>
      <c r="E6220" s="1" t="s">
        <v>10</v>
      </c>
      <c r="F6220" s="1" t="str">
        <f>"fde1:103:4:933e:0:0:0:2"</f>
        <v>fde1:103:4:933e:0:0:0:2</v>
      </c>
      <c r="G6220" s="1" t="str">
        <f>"0230S132"</f>
        <v>0230S132</v>
      </c>
      <c r="H6220" s="1" t="str">
        <f>"말미간 52L4"</f>
        <v>말미간 52L4</v>
      </c>
      <c r="I6220" s="1" t="s">
        <v>15</v>
      </c>
      <c r="J6220" s="1" t="str">
        <f>"20/20"</f>
        <v>20/20</v>
      </c>
      <c r="K6220" s="1" t="str">
        <f>"2026-07-29 14:20:34"</f>
        <v>2026-07-29 14:20:34</v>
      </c>
      <c r="L6220" s="1" t="str">
        <f>"2025-01-22 14:34:10"</f>
        <v>2025-01-22 14:34:10</v>
      </c>
      <c r="M6220" s="1" t="s">
        <v>4</v>
      </c>
      <c r="N6220" s="1" t="s">
        <v>38</v>
      </c>
      <c r="O6220" s="1" t="s">
        <v>46</v>
      </c>
    </row>
    <row r="6221" spans="2:15" x14ac:dyDescent="0.3">
      <c r="B6221" s="1" t="s">
        <v>22</v>
      </c>
      <c r="C6221" s="1" t="str">
        <f>"3차"</f>
        <v>3차</v>
      </c>
      <c r="D6221" s="1" t="str">
        <f>"0230S14232"</f>
        <v>0230S14232</v>
      </c>
      <c r="E6221" s="1" t="s">
        <v>10</v>
      </c>
      <c r="F6221" s="1" t="str">
        <f>"10.10.2.44"</f>
        <v>10.10.2.44</v>
      </c>
      <c r="G6221" s="1" t="str">
        <f>"0230S142"</f>
        <v>0230S142</v>
      </c>
      <c r="H6221" s="1" t="str">
        <f>"말미간 55L3L1"</f>
        <v>말미간 55L3L1</v>
      </c>
      <c r="I6221" s="1" t="s">
        <v>8</v>
      </c>
      <c r="J6221" s="1" t="str">
        <f>"63/64"</f>
        <v>63/64</v>
      </c>
      <c r="K6221" s="1" t="str">
        <f>"2026-07-29 13:18:03"</f>
        <v>2026-07-29 13:18:03</v>
      </c>
      <c r="L6221" s="1" t="str">
        <f>"2018-01-22 18:04:27"</f>
        <v>2018-01-22 18:04:27</v>
      </c>
      <c r="M6221" s="1" t="s">
        <v>1</v>
      </c>
      <c r="N6221" s="1" t="s">
        <v>38</v>
      </c>
      <c r="O6221" s="1" t="s">
        <v>46</v>
      </c>
    </row>
    <row r="6222" spans="2:15" x14ac:dyDescent="0.3">
      <c r="B6222" s="1" t="s">
        <v>22</v>
      </c>
      <c r="C6222" s="1" t="str">
        <f>"3차"</f>
        <v>3차</v>
      </c>
      <c r="D6222" s="1" t="str">
        <f>"0230S15231"</f>
        <v>0230S15231</v>
      </c>
      <c r="E6222" s="1" t="s">
        <v>10</v>
      </c>
      <c r="F6222" s="1" t="str">
        <f>"10.10.2.43"</f>
        <v>10.10.2.43</v>
      </c>
      <c r="G6222" s="1" t="str">
        <f>"0230S152"</f>
        <v>0230S152</v>
      </c>
      <c r="H6222" s="1" t="str">
        <f>"말미간 55L2"</f>
        <v>말미간 55L2</v>
      </c>
      <c r="I6222" s="1" t="s">
        <v>8</v>
      </c>
      <c r="J6222" s="1" t="str">
        <f>"63/64"</f>
        <v>63/64</v>
      </c>
      <c r="K6222" s="1" t="str">
        <f>"2026-07-29 13:18:03"</f>
        <v>2026-07-29 13:18:03</v>
      </c>
      <c r="L6222" s="1" t="str">
        <f>"2018-01-22 18:07:12"</f>
        <v>2018-01-22 18:07:12</v>
      </c>
      <c r="M6222" s="1" t="s">
        <v>1</v>
      </c>
      <c r="N6222" s="1" t="s">
        <v>38</v>
      </c>
      <c r="O6222" s="1" t="s">
        <v>46</v>
      </c>
    </row>
    <row r="6223" spans="2:15" x14ac:dyDescent="0.3">
      <c r="B6223" s="1" t="s">
        <v>22</v>
      </c>
      <c r="C6223" s="1" t="str">
        <f>"5-2차"</f>
        <v>5-2차</v>
      </c>
      <c r="D6223" s="1" t="str">
        <f>"0230S1615M"</f>
        <v>0230S1615M</v>
      </c>
      <c r="E6223" s="1" t="s">
        <v>10</v>
      </c>
      <c r="F6223" s="1" t="str">
        <f>"fde3:102:1410:2100:0:0:0:8"</f>
        <v>fde3:102:1410:2100:0:0:0:8</v>
      </c>
      <c r="G6223" s="1" t="str">
        <f>"0230S161"</f>
        <v>0230S161</v>
      </c>
      <c r="H6223" s="1" t="str">
        <f>"말미간 56"</f>
        <v>말미간 56</v>
      </c>
      <c r="I6223" s="1" t="s">
        <v>15</v>
      </c>
      <c r="J6223" s="1" t="str">
        <f>"93/93"</f>
        <v>93/93</v>
      </c>
      <c r="K6223" s="1" t="str">
        <f>"2026-07-29 14:20:51"</f>
        <v>2026-07-29 14:20:51</v>
      </c>
      <c r="L6223" s="1" t="str">
        <f>"2023-12-19 16:23:23"</f>
        <v>2023-12-19 16:23:23</v>
      </c>
      <c r="M6223" s="1" t="s">
        <v>45</v>
      </c>
      <c r="N6223" s="1" t="s">
        <v>38</v>
      </c>
      <c r="O6223" s="1" t="s">
        <v>46</v>
      </c>
    </row>
    <row r="6224" spans="2:15" x14ac:dyDescent="0.3">
      <c r="B6224" s="1" t="s">
        <v>22</v>
      </c>
      <c r="C6224" s="1" t="str">
        <f>"4차"</f>
        <v>4차</v>
      </c>
      <c r="D6224" s="1" t="str">
        <f>"0230S18130"</f>
        <v>0230S18130</v>
      </c>
      <c r="E6224" s="1" t="s">
        <v>10</v>
      </c>
      <c r="F6224" s="1" t="str">
        <f>"10.10.21.122"</f>
        <v>10.10.21.122</v>
      </c>
      <c r="G6224" s="1" t="str">
        <f>"0230S181"</f>
        <v>0230S181</v>
      </c>
      <c r="H6224" s="1" t="str">
        <f>"말미간 58R2L1"</f>
        <v>말미간 58R2L1</v>
      </c>
      <c r="I6224" s="1" t="s">
        <v>8</v>
      </c>
      <c r="J6224" s="1" t="str">
        <f>"8/8"</f>
        <v>8/8</v>
      </c>
      <c r="K6224" s="1" t="str">
        <f>"2026-07-29 13:18:02"</f>
        <v>2026-07-29 13:18:02</v>
      </c>
      <c r="L6224" s="1" t="str">
        <f>"2018-02-02 13:48:27"</f>
        <v>2018-02-02 13:48:27</v>
      </c>
      <c r="M6224" s="1" t="s">
        <v>1</v>
      </c>
      <c r="N6224" s="1" t="s">
        <v>38</v>
      </c>
      <c r="O6224" s="1" t="s">
        <v>46</v>
      </c>
    </row>
    <row r="6225" spans="2:15" x14ac:dyDescent="0.3">
      <c r="B6225" s="1" t="s">
        <v>22</v>
      </c>
      <c r="C6225" s="1" t="str">
        <f>"3차"</f>
        <v>3차</v>
      </c>
      <c r="D6225" s="1" t="str">
        <f>"0230S19231"</f>
        <v>0230S19231</v>
      </c>
      <c r="E6225" s="1" t="s">
        <v>10</v>
      </c>
      <c r="F6225" s="1" t="str">
        <f>"10.10.21.123"</f>
        <v>10.10.21.123</v>
      </c>
      <c r="G6225" s="1" t="str">
        <f>"0230S192"</f>
        <v>0230S192</v>
      </c>
      <c r="H6225" s="1" t="str">
        <f>"말미간 58R2L2"</f>
        <v>말미간 58R2L2</v>
      </c>
      <c r="I6225" s="1" t="s">
        <v>8</v>
      </c>
      <c r="J6225" s="1" t="str">
        <f>"14/14"</f>
        <v>14/14</v>
      </c>
      <c r="K6225" s="1" t="str">
        <f>"2026-07-29 13:18:02"</f>
        <v>2026-07-29 13:18:02</v>
      </c>
      <c r="L6225" s="1" t="str">
        <f>"2018-03-15 10:56:26"</f>
        <v>2018-03-15 10:56:26</v>
      </c>
      <c r="M6225" s="1" t="s">
        <v>1</v>
      </c>
      <c r="N6225" s="1" t="s">
        <v>38</v>
      </c>
      <c r="O6225" s="1" t="s">
        <v>46</v>
      </c>
    </row>
    <row r="6226" spans="2:15" x14ac:dyDescent="0.3">
      <c r="B6226" s="1" t="s">
        <v>22</v>
      </c>
      <c r="C6226" s="1" t="str">
        <f>"4차"</f>
        <v>4차</v>
      </c>
      <c r="D6226" s="1" t="str">
        <f>"0230S19431"</f>
        <v>0230S19431</v>
      </c>
      <c r="E6226" s="1" t="s">
        <v>10</v>
      </c>
      <c r="F6226" s="1" t="str">
        <f>"10.10.24.59"</f>
        <v>10.10.24.59</v>
      </c>
      <c r="G6226" s="1" t="str">
        <f>"0230S194"</f>
        <v>0230S194</v>
      </c>
      <c r="H6226" s="1" t="str">
        <f>"말미간 59R3"</f>
        <v>말미간 59R3</v>
      </c>
      <c r="I6226" s="1" t="s">
        <v>8</v>
      </c>
      <c r="J6226" s="1" t="str">
        <f>"66/70"</f>
        <v>66/70</v>
      </c>
      <c r="K6226" s="1" t="str">
        <f>"2026-07-29 13:18:03"</f>
        <v>2026-07-29 13:18:03</v>
      </c>
      <c r="L6226" s="1" t="str">
        <f>"2018-03-22 11:21:06"</f>
        <v>2018-03-22 11:21:06</v>
      </c>
      <c r="M6226" s="1" t="s">
        <v>1</v>
      </c>
      <c r="N6226" s="1" t="s">
        <v>38</v>
      </c>
      <c r="O6226" s="1" t="s">
        <v>46</v>
      </c>
    </row>
    <row r="6227" spans="2:15" x14ac:dyDescent="0.3">
      <c r="B6227" s="1" t="s">
        <v>22</v>
      </c>
      <c r="C6227" s="1" t="str">
        <f>"1차"</f>
        <v>1차</v>
      </c>
      <c r="D6227" s="1" t="str">
        <f>"0230S20100"</f>
        <v>0230S20100</v>
      </c>
      <c r="E6227" s="1" t="s">
        <v>10</v>
      </c>
      <c r="F6227" s="1" t="str">
        <f>"10.107.126.218"</f>
        <v>10.107.126.218</v>
      </c>
      <c r="G6227" s="1" t="str">
        <f>"0230S201"</f>
        <v>0230S201</v>
      </c>
      <c r="H6227" s="1" t="str">
        <f>"말미간 48L4"</f>
        <v>말미간 48L4</v>
      </c>
      <c r="I6227" s="1" t="s">
        <v>8</v>
      </c>
      <c r="J6227" s="1" t="str">
        <f>"16/17"</f>
        <v>16/17</v>
      </c>
      <c r="K6227" s="1" t="str">
        <f>"2026-07-29 13:18:03"</f>
        <v>2026-07-29 13:18:03</v>
      </c>
      <c r="L6227" s="1" t="str">
        <f>"2014-12-17 11:00:37"</f>
        <v>2014-12-17 11:00:37</v>
      </c>
      <c r="M6227" s="1" t="s">
        <v>45</v>
      </c>
      <c r="N6227" s="1" t="s">
        <v>38</v>
      </c>
      <c r="O6227" s="1" t="s">
        <v>46</v>
      </c>
    </row>
    <row r="6228" spans="2:15" x14ac:dyDescent="0.3">
      <c r="B6228" s="1" t="s">
        <v>22</v>
      </c>
      <c r="C6228" s="1" t="str">
        <f>"1차"</f>
        <v>1차</v>
      </c>
      <c r="D6228" s="1" t="str">
        <f>"0230S21100"</f>
        <v>0230S21100</v>
      </c>
      <c r="E6228" s="1" t="s">
        <v>10</v>
      </c>
      <c r="F6228" s="1" t="str">
        <f>"10.107.126.90"</f>
        <v>10.107.126.90</v>
      </c>
      <c r="G6228" s="1" t="str">
        <f>"0230S211"</f>
        <v>0230S211</v>
      </c>
      <c r="H6228" s="1" t="str">
        <f>"말미간 51L3"</f>
        <v>말미간 51L3</v>
      </c>
      <c r="I6228" s="1" t="s">
        <v>8</v>
      </c>
      <c r="J6228" s="1" t="str">
        <f>"61/62"</f>
        <v>61/62</v>
      </c>
      <c r="K6228" s="1" t="str">
        <f>"2026-07-29 13:18:02"</f>
        <v>2026-07-29 13:18:02</v>
      </c>
      <c r="L6228" s="1" t="str">
        <f>"2014-12-17 09:46:33"</f>
        <v>2014-12-17 09:46:33</v>
      </c>
      <c r="M6228" s="1" t="s">
        <v>45</v>
      </c>
      <c r="N6228" s="1" t="s">
        <v>38</v>
      </c>
      <c r="O6228" s="1" t="s">
        <v>46</v>
      </c>
    </row>
    <row r="6229" spans="2:15" x14ac:dyDescent="0.3">
      <c r="B6229" s="1" t="s">
        <v>22</v>
      </c>
      <c r="C6229" s="1" t="str">
        <f>"6차"</f>
        <v>6차</v>
      </c>
      <c r="D6229" s="1" t="str">
        <f>"0230S2316S"</f>
        <v>0230S2316S</v>
      </c>
      <c r="E6229" s="1" t="s">
        <v>10</v>
      </c>
      <c r="F6229" s="1" t="str">
        <f>"fde1:103:4:934c:0:0:0:2"</f>
        <v>fde1:103:4:934c:0:0:0:2</v>
      </c>
      <c r="G6229" s="1" t="str">
        <f>"0230S231"</f>
        <v>0230S231</v>
      </c>
      <c r="H6229" s="1" t="str">
        <f>"말미간 52L1"</f>
        <v>말미간 52L1</v>
      </c>
      <c r="I6229" s="1" t="s">
        <v>15</v>
      </c>
      <c r="J6229" s="1" t="str">
        <f>"62/66"</f>
        <v>62/66</v>
      </c>
      <c r="K6229" s="1" t="str">
        <f>"2026-07-29 14:20:39"</f>
        <v>2026-07-29 14:20:39</v>
      </c>
      <c r="L6229" s="1" t="str">
        <f>"2025-01-22 14:33:54"</f>
        <v>2025-01-22 14:33:54</v>
      </c>
      <c r="M6229" s="1" t="s">
        <v>4</v>
      </c>
      <c r="N6229" s="1" t="s">
        <v>38</v>
      </c>
      <c r="O6229" s="1" t="s">
        <v>46</v>
      </c>
    </row>
    <row r="6230" spans="2:15" x14ac:dyDescent="0.3">
      <c r="B6230" s="1" t="s">
        <v>22</v>
      </c>
      <c r="C6230" s="1" t="str">
        <f>"3차"</f>
        <v>3차</v>
      </c>
      <c r="D6230" s="1" t="str">
        <f>"0230S23239"</f>
        <v>0230S23239</v>
      </c>
      <c r="E6230" s="1" t="s">
        <v>10</v>
      </c>
      <c r="F6230" s="1" t="str">
        <f>"10.10.5.2"</f>
        <v>10.10.5.2</v>
      </c>
      <c r="G6230" s="1" t="str">
        <f>"0230S232"</f>
        <v>0230S232</v>
      </c>
      <c r="H6230" s="1" t="str">
        <f>"말미간 52L2"</f>
        <v>말미간 52L2</v>
      </c>
      <c r="I6230" s="1" t="s">
        <v>8</v>
      </c>
      <c r="J6230" s="1" t="str">
        <f>"21/21"</f>
        <v>21/21</v>
      </c>
      <c r="K6230" s="1" t="str">
        <f>"2026-07-29 13:18:03"</f>
        <v>2026-07-29 13:18:03</v>
      </c>
      <c r="L6230" s="1" t="str">
        <f>"2018-02-09 15:37:56"</f>
        <v>2018-02-09 15:37:56</v>
      </c>
      <c r="M6230" s="1" t="s">
        <v>1</v>
      </c>
      <c r="N6230" s="1" t="s">
        <v>38</v>
      </c>
      <c r="O6230" s="1" t="s">
        <v>46</v>
      </c>
    </row>
    <row r="6231" spans="2:15" x14ac:dyDescent="0.3">
      <c r="B6231" s="1" t="s">
        <v>22</v>
      </c>
      <c r="C6231" s="1" t="str">
        <f>"3차"</f>
        <v>3차</v>
      </c>
      <c r="D6231" s="1" t="str">
        <f>"0230S24139"</f>
        <v>0230S24139</v>
      </c>
      <c r="E6231" s="1" t="s">
        <v>10</v>
      </c>
      <c r="F6231" s="1" t="str">
        <f>"10.14.3.191"</f>
        <v>10.14.3.191</v>
      </c>
      <c r="G6231" s="1" t="str">
        <f>"0230S241"</f>
        <v>0230S241</v>
      </c>
      <c r="H6231" s="1" t="str">
        <f>"말미간 53"</f>
        <v>말미간 53</v>
      </c>
      <c r="I6231" s="1" t="s">
        <v>8</v>
      </c>
      <c r="J6231" s="1" t="str">
        <f>"46/46"</f>
        <v>46/46</v>
      </c>
      <c r="K6231" s="1" t="str">
        <f>"2026-07-29 13:18:01"</f>
        <v>2026-07-29 13:18:01</v>
      </c>
      <c r="L6231" s="1" t="str">
        <f>"2018-03-29 13:23:41"</f>
        <v>2018-03-29 13:23:41</v>
      </c>
      <c r="M6231" s="1" t="s">
        <v>3</v>
      </c>
      <c r="N6231" s="1" t="s">
        <v>38</v>
      </c>
      <c r="O6231" s="1" t="s">
        <v>46</v>
      </c>
    </row>
    <row r="6232" spans="2:15" x14ac:dyDescent="0.3">
      <c r="B6232" s="1" t="s">
        <v>22</v>
      </c>
      <c r="C6232" s="1" t="str">
        <f>"3차"</f>
        <v>3차</v>
      </c>
      <c r="D6232" s="1" t="str">
        <f>"0230S29132"</f>
        <v>0230S29132</v>
      </c>
      <c r="E6232" s="1" t="s">
        <v>10</v>
      </c>
      <c r="F6232" s="1" t="str">
        <f>"10.10.24.60"</f>
        <v>10.10.24.60</v>
      </c>
      <c r="G6232" s="1" t="str">
        <f>"0230S291"</f>
        <v>0230S291</v>
      </c>
      <c r="H6232" s="1" t="str">
        <f>"말미간 59R3R3"</f>
        <v>말미간 59R3R3</v>
      </c>
      <c r="I6232" s="1" t="s">
        <v>8</v>
      </c>
      <c r="J6232" s="1" t="str">
        <f>"77/77"</f>
        <v>77/77</v>
      </c>
      <c r="K6232" s="1" t="str">
        <f>"2026-07-29 13:18:03"</f>
        <v>2026-07-29 13:18:03</v>
      </c>
      <c r="L6232" s="1" t="str">
        <f>"2018-06-22 11:34:09"</f>
        <v>2018-06-22 11:34:09</v>
      </c>
      <c r="M6232" s="1" t="s">
        <v>1</v>
      </c>
      <c r="N6232" s="1" t="s">
        <v>38</v>
      </c>
      <c r="O6232" s="1" t="s">
        <v>46</v>
      </c>
    </row>
    <row r="6233" spans="2:15" x14ac:dyDescent="0.3">
      <c r="B6233" s="1" t="s">
        <v>22</v>
      </c>
      <c r="C6233" s="1" t="str">
        <f>"3차"</f>
        <v>3차</v>
      </c>
      <c r="D6233" s="1" t="str">
        <f>"0230S29230"</f>
        <v>0230S29230</v>
      </c>
      <c r="E6233" s="1" t="s">
        <v>10</v>
      </c>
      <c r="F6233" s="1" t="str">
        <f>"10.10.24.58"</f>
        <v>10.10.24.58</v>
      </c>
      <c r="G6233" s="1" t="str">
        <f>"0230S292"</f>
        <v>0230S292</v>
      </c>
      <c r="H6233" s="1" t="str">
        <f>"말미간 59R3R2"</f>
        <v>말미간 59R3R2</v>
      </c>
      <c r="I6233" s="1" t="s">
        <v>8</v>
      </c>
      <c r="J6233" s="1" t="str">
        <f>"20/20"</f>
        <v>20/20</v>
      </c>
      <c r="K6233" s="1" t="str">
        <f>"2026-07-29 13:18:03"</f>
        <v>2026-07-29 13:18:03</v>
      </c>
      <c r="L6233" s="1" t="str">
        <f>"2018-02-02 13:37:42"</f>
        <v>2018-02-02 13:37:42</v>
      </c>
      <c r="M6233" s="1" t="s">
        <v>1</v>
      </c>
      <c r="N6233" s="1" t="s">
        <v>38</v>
      </c>
      <c r="O6233" s="1" t="s">
        <v>46</v>
      </c>
    </row>
    <row r="6234" spans="2:15" x14ac:dyDescent="0.3">
      <c r="B6234" s="1" t="s">
        <v>22</v>
      </c>
      <c r="C6234" s="1" t="str">
        <f>"4차"</f>
        <v>4차</v>
      </c>
      <c r="D6234" s="1" t="str">
        <f>"0230S30242"</f>
        <v>0230S30242</v>
      </c>
      <c r="E6234" s="1" t="s">
        <v>10</v>
      </c>
      <c r="F6234" s="1" t="str">
        <f>"10.107.126.242"</f>
        <v>10.107.126.242</v>
      </c>
      <c r="G6234" s="1" t="str">
        <f>"0230S302"</f>
        <v>0230S302</v>
      </c>
      <c r="H6234" s="1" t="str">
        <f>"말미간 48L2"</f>
        <v>말미간 48L2</v>
      </c>
      <c r="I6234" s="1" t="s">
        <v>8</v>
      </c>
      <c r="J6234" s="1" t="str">
        <f>"30/30"</f>
        <v>30/30</v>
      </c>
      <c r="K6234" s="1" t="str">
        <f>"2026-07-29 13:18:03"</f>
        <v>2026-07-29 13:18:03</v>
      </c>
      <c r="L6234" s="1" t="str">
        <f>"2026-03-20 17:36:25"</f>
        <v>2026-03-20 17:36:25</v>
      </c>
      <c r="M6234" s="1" t="s">
        <v>45</v>
      </c>
      <c r="N6234" s="1" t="s">
        <v>38</v>
      </c>
      <c r="O6234" s="1" t="s">
        <v>46</v>
      </c>
    </row>
    <row r="6235" spans="2:15" x14ac:dyDescent="0.3">
      <c r="B6235" s="1" t="s">
        <v>22</v>
      </c>
      <c r="C6235" s="1" t="str">
        <f>"1차"</f>
        <v>1차</v>
      </c>
      <c r="D6235" s="1" t="str">
        <f>"0230S32100"</f>
        <v>0230S32100</v>
      </c>
      <c r="E6235" s="1" t="s">
        <v>10</v>
      </c>
      <c r="F6235" s="1" t="str">
        <f>"10.107.126.250"</f>
        <v>10.107.126.250</v>
      </c>
      <c r="G6235" s="1" t="str">
        <f>"0230S321"</f>
        <v>0230S321</v>
      </c>
      <c r="H6235" s="1" t="str">
        <f>"말미간 51"</f>
        <v>말미간 51</v>
      </c>
      <c r="I6235" s="1" t="s">
        <v>8</v>
      </c>
      <c r="J6235" s="1" t="str">
        <f>"63/63"</f>
        <v>63/63</v>
      </c>
      <c r="K6235" s="1" t="str">
        <f>"2026-07-29 13:18:03"</f>
        <v>2026-07-29 13:18:03</v>
      </c>
      <c r="L6235" s="1" t="str">
        <f>"2014-12-17 10:12:10"</f>
        <v>2014-12-17 10:12:10</v>
      </c>
      <c r="M6235" s="1" t="s">
        <v>45</v>
      </c>
      <c r="N6235" s="1" t="s">
        <v>38</v>
      </c>
      <c r="O6235" s="1" t="s">
        <v>46</v>
      </c>
    </row>
    <row r="6236" spans="2:15" x14ac:dyDescent="0.3">
      <c r="B6236" s="1" t="s">
        <v>22</v>
      </c>
      <c r="C6236" s="1" t="str">
        <f>"1차"</f>
        <v>1차</v>
      </c>
      <c r="D6236" s="1" t="str">
        <f>"0230S32201"</f>
        <v>0230S32201</v>
      </c>
      <c r="E6236" s="1" t="s">
        <v>10</v>
      </c>
      <c r="F6236" s="1" t="str">
        <f>"10.14.7.184"</f>
        <v>10.14.7.184</v>
      </c>
      <c r="G6236" s="1" t="str">
        <f>"0230S322"</f>
        <v>0230S322</v>
      </c>
      <c r="H6236" s="1" t="str">
        <f>"말미간 51L1"</f>
        <v>말미간 51L1</v>
      </c>
      <c r="I6236" s="1" t="s">
        <v>8</v>
      </c>
      <c r="J6236" s="1" t="str">
        <f>"14/15"</f>
        <v>14/15</v>
      </c>
      <c r="K6236" s="1" t="str">
        <f>"2026-07-29 13:18:04"</f>
        <v>2026-07-29 13:18:04</v>
      </c>
      <c r="L6236" s="1" t="str">
        <f>"2015-01-09 00:15:34"</f>
        <v>2015-01-09 00:15:34</v>
      </c>
      <c r="M6236" s="1" t="s">
        <v>3</v>
      </c>
      <c r="N6236" s="1" t="s">
        <v>38</v>
      </c>
      <c r="O6236" s="1" t="s">
        <v>46</v>
      </c>
    </row>
    <row r="6237" spans="2:15" x14ac:dyDescent="0.3">
      <c r="B6237" s="1" t="s">
        <v>22</v>
      </c>
      <c r="C6237" s="1" t="str">
        <f>"5-2차"</f>
        <v>5-2차</v>
      </c>
      <c r="D6237" s="1" t="str">
        <f>"0230S3415M"</f>
        <v>0230S3415M</v>
      </c>
      <c r="E6237" s="1" t="s">
        <v>10</v>
      </c>
      <c r="F6237" s="1" t="str">
        <f>"fde1:103:4:9407:0:0:0:2"</f>
        <v>fde1:103:4:9407:0:0:0:2</v>
      </c>
      <c r="G6237" s="1" t="str">
        <f>"0230S341"</f>
        <v>0230S341</v>
      </c>
      <c r="H6237" s="1" t="str">
        <f>"말미간 52R1"</f>
        <v>말미간 52R1</v>
      </c>
      <c r="I6237" s="1" t="s">
        <v>15</v>
      </c>
      <c r="J6237" s="1" t="str">
        <f>"52/52"</f>
        <v>52/52</v>
      </c>
      <c r="K6237" s="1" t="str">
        <f>"2026-07-29 02:20:22"</f>
        <v>2026-07-29 02:20:22</v>
      </c>
      <c r="L6237" s="1" t="str">
        <f>"2023-12-19 11:10:43"</f>
        <v>2023-12-19 11:10:43</v>
      </c>
      <c r="M6237" s="1" t="s">
        <v>4</v>
      </c>
      <c r="N6237" s="1" t="s">
        <v>38</v>
      </c>
      <c r="O6237" s="1" t="s">
        <v>46</v>
      </c>
    </row>
    <row r="6238" spans="2:15" x14ac:dyDescent="0.3">
      <c r="B6238" s="1" t="s">
        <v>22</v>
      </c>
      <c r="C6238" s="1" t="str">
        <f>"5-2차"</f>
        <v>5-2차</v>
      </c>
      <c r="D6238" s="1" t="str">
        <f>"0230S4825M"</f>
        <v>0230S4825M</v>
      </c>
      <c r="E6238" s="1" t="s">
        <v>10</v>
      </c>
      <c r="F6238" s="1" t="str">
        <f>"fde1:103:4:936f:0:0:0:2"</f>
        <v>fde1:103:4:936f:0:0:0:2</v>
      </c>
      <c r="G6238" s="1" t="str">
        <f>"0230S482"</f>
        <v>0230S482</v>
      </c>
      <c r="H6238" s="1" t="str">
        <f>"말미간 58R7"</f>
        <v>말미간 58R7</v>
      </c>
      <c r="I6238" s="1" t="s">
        <v>15</v>
      </c>
      <c r="J6238" s="1" t="str">
        <f>"42/42"</f>
        <v>42/42</v>
      </c>
      <c r="K6238" s="1" t="str">
        <f>"2026-07-29 14:20:51"</f>
        <v>2026-07-29 14:20:51</v>
      </c>
      <c r="L6238" s="1" t="str">
        <f>"2023-12-19 11:31:43"</f>
        <v>2023-12-19 11:31:43</v>
      </c>
      <c r="M6238" s="1" t="s">
        <v>4</v>
      </c>
      <c r="N6238" s="1" t="s">
        <v>38</v>
      </c>
      <c r="O6238" s="1" t="s">
        <v>46</v>
      </c>
    </row>
    <row r="6239" spans="2:15" x14ac:dyDescent="0.3">
      <c r="B6239" s="1" t="s">
        <v>22</v>
      </c>
      <c r="C6239" s="1" t="str">
        <f>"6차"</f>
        <v>6차</v>
      </c>
      <c r="D6239" s="1" t="str">
        <f>"0230S5126S"</f>
        <v>0230S5126S</v>
      </c>
      <c r="E6239" s="1" t="s">
        <v>10</v>
      </c>
      <c r="F6239" s="1" t="str">
        <f>"fde3:102:1410:2100:0:0:0:a"</f>
        <v>fde3:102:1410:2100:0:0:0:a</v>
      </c>
      <c r="G6239" s="1" t="str">
        <f>"0230S512"</f>
        <v>0230S512</v>
      </c>
      <c r="H6239" s="1" t="str">
        <f>"말미간 48L1R2"</f>
        <v>말미간 48L1R2</v>
      </c>
      <c r="I6239" s="1" t="s">
        <v>15</v>
      </c>
      <c r="J6239" s="1" t="str">
        <f>"24/24"</f>
        <v>24/24</v>
      </c>
      <c r="K6239" s="1" t="str">
        <f>"2026-07-29 14:20:51"</f>
        <v>2026-07-29 14:20:51</v>
      </c>
      <c r="L6239" s="1" t="str">
        <f>"2024-12-05 15:02:53"</f>
        <v>2024-12-05 15:02:53</v>
      </c>
      <c r="M6239" s="1" t="s">
        <v>45</v>
      </c>
      <c r="N6239" s="1" t="s">
        <v>38</v>
      </c>
      <c r="O6239" s="1" t="s">
        <v>46</v>
      </c>
    </row>
    <row r="6240" spans="2:15" x14ac:dyDescent="0.3">
      <c r="B6240" s="1" t="s">
        <v>22</v>
      </c>
      <c r="C6240" s="1" t="str">
        <f>"5-1차"</f>
        <v>5-1차</v>
      </c>
      <c r="D6240" s="1" t="str">
        <f>"0230S5165S"</f>
        <v>0230S5165S</v>
      </c>
      <c r="E6240" s="1" t="s">
        <v>10</v>
      </c>
      <c r="F6240" s="1" t="str">
        <f>"fde3:102:1410:2100:0:0:0:2"</f>
        <v>fde3:102:1410:2100:0:0:0:2</v>
      </c>
      <c r="G6240" s="1" t="str">
        <f>"0230S516"</f>
        <v>0230S516</v>
      </c>
      <c r="H6240" s="1" t="str">
        <f>"말미간 48L1R1"</f>
        <v>말미간 48L1R1</v>
      </c>
      <c r="I6240" s="1" t="s">
        <v>15</v>
      </c>
      <c r="J6240" s="1" t="str">
        <f>"55/55"</f>
        <v>55/55</v>
      </c>
      <c r="K6240" s="1" t="str">
        <f>"2026-07-29 14:20:46"</f>
        <v>2026-07-29 14:20:46</v>
      </c>
      <c r="L6240" s="1" t="str">
        <f>"2022-10-27 11:47:31"</f>
        <v>2022-10-27 11:47:31</v>
      </c>
      <c r="M6240" s="1" t="s">
        <v>45</v>
      </c>
      <c r="N6240" s="1" t="s">
        <v>38</v>
      </c>
      <c r="O6240" s="1" t="s">
        <v>46</v>
      </c>
    </row>
    <row r="6241" spans="2:15" x14ac:dyDescent="0.3">
      <c r="B6241" s="1" t="s">
        <v>22</v>
      </c>
      <c r="C6241" s="1" t="str">
        <f t="shared" ref="C6241:C6247" si="313">"4차"</f>
        <v>4차</v>
      </c>
      <c r="D6241" s="1" t="str">
        <f>"0230Y85145"</f>
        <v>0230Y85145</v>
      </c>
      <c r="E6241" s="1" t="s">
        <v>10</v>
      </c>
      <c r="F6241" s="1" t="str">
        <f>"10.12.132.188"</f>
        <v>10.12.132.188</v>
      </c>
      <c r="G6241" s="1" t="str">
        <f>"0230Y851"</f>
        <v>0230Y851</v>
      </c>
      <c r="H6241" s="1" t="str">
        <f>"월계 521"</f>
        <v>월계 521</v>
      </c>
      <c r="I6241" s="1" t="s">
        <v>17</v>
      </c>
      <c r="J6241" s="1" t="str">
        <f>"47/54"</f>
        <v>47/54</v>
      </c>
      <c r="K6241" s="1" t="str">
        <f>"2026-07-29 13:18:03"</f>
        <v>2026-07-29 13:18:03</v>
      </c>
      <c r="L6241" s="1" t="str">
        <f>"2021-06-24 08:07:00"</f>
        <v>2021-06-24 08:07:00</v>
      </c>
      <c r="M6241" s="1" t="s">
        <v>0</v>
      </c>
      <c r="N6241" s="1" t="s">
        <v>38</v>
      </c>
      <c r="O6241" s="1" t="s">
        <v>46</v>
      </c>
    </row>
    <row r="6242" spans="2:15" x14ac:dyDescent="0.3">
      <c r="B6242" s="1" t="s">
        <v>22</v>
      </c>
      <c r="C6242" s="1" t="str">
        <f t="shared" si="313"/>
        <v>4차</v>
      </c>
      <c r="D6242" s="1" t="str">
        <f>"0230Y95145"</f>
        <v>0230Y95145</v>
      </c>
      <c r="E6242" s="1" t="s">
        <v>14</v>
      </c>
      <c r="F6242" s="1" t="str">
        <f>"10.14.12.60"</f>
        <v>10.14.12.60</v>
      </c>
      <c r="G6242" s="1" t="str">
        <f>"0230Y951"</f>
        <v>0230Y951</v>
      </c>
      <c r="H6242" s="1" t="str">
        <f>"월계 520"</f>
        <v>월계 520</v>
      </c>
      <c r="I6242" s="1" t="s">
        <v>17</v>
      </c>
      <c r="J6242" s="1" t="str">
        <f>"0/0"</f>
        <v>0/0</v>
      </c>
      <c r="K6242" s="1" t="str">
        <f>"2026-07-29 13:18:03"</f>
        <v>2026-07-29 13:18:03</v>
      </c>
      <c r="L6242" s="1" t="str">
        <f>"2021-06-24 08:18:51"</f>
        <v>2021-06-24 08:18:51</v>
      </c>
      <c r="M6242" s="1" t="s">
        <v>3</v>
      </c>
      <c r="N6242" s="1" t="s">
        <v>38</v>
      </c>
      <c r="O6242" s="1" t="s">
        <v>44</v>
      </c>
    </row>
    <row r="6243" spans="2:15" x14ac:dyDescent="0.3">
      <c r="B6243" s="1" t="s">
        <v>22</v>
      </c>
      <c r="C6243" s="1" t="str">
        <f t="shared" si="313"/>
        <v>4차</v>
      </c>
      <c r="D6243" s="1" t="str">
        <f>"0230Y95245"</f>
        <v>0230Y95245</v>
      </c>
      <c r="E6243" s="1" t="s">
        <v>10</v>
      </c>
      <c r="F6243" s="1" t="str">
        <f>"10.14.7.67"</f>
        <v>10.14.7.67</v>
      </c>
      <c r="G6243" s="1" t="str">
        <f>"0230Y952"</f>
        <v>0230Y952</v>
      </c>
      <c r="H6243" s="1" t="str">
        <f>"월계 519"</f>
        <v>월계 519</v>
      </c>
      <c r="I6243" s="1" t="s">
        <v>17</v>
      </c>
      <c r="J6243" s="1" t="str">
        <f>"42/60"</f>
        <v>42/60</v>
      </c>
      <c r="K6243" s="1" t="str">
        <f>"2026-07-29 13:18:04"</f>
        <v>2026-07-29 13:18:04</v>
      </c>
      <c r="L6243" s="1" t="str">
        <f>"2021-06-24 08:28:58"</f>
        <v>2021-06-24 08:28:58</v>
      </c>
      <c r="M6243" s="1" t="s">
        <v>3</v>
      </c>
      <c r="N6243" s="1" t="s">
        <v>38</v>
      </c>
      <c r="O6243" s="1" t="s">
        <v>46</v>
      </c>
    </row>
    <row r="6244" spans="2:15" x14ac:dyDescent="0.3">
      <c r="B6244" s="1" t="s">
        <v>22</v>
      </c>
      <c r="C6244" s="1" t="str">
        <f t="shared" si="313"/>
        <v>4차</v>
      </c>
      <c r="D6244" s="1" t="str">
        <f>"0230Z03145"</f>
        <v>0230Z03145</v>
      </c>
      <c r="E6244" s="1" t="s">
        <v>10</v>
      </c>
      <c r="F6244" s="1" t="str">
        <f>"10.14.1.12"</f>
        <v>10.14.1.12</v>
      </c>
      <c r="G6244" s="1" t="str">
        <f>"0230Z031"</f>
        <v>0230Z031</v>
      </c>
      <c r="H6244" s="1" t="str">
        <f>"월계 515"</f>
        <v>월계 515</v>
      </c>
      <c r="I6244" s="1" t="s">
        <v>17</v>
      </c>
      <c r="J6244" s="1" t="str">
        <f>"59/72"</f>
        <v>59/72</v>
      </c>
      <c r="K6244" s="1" t="str">
        <f>"2026-07-29 13:18:03"</f>
        <v>2026-07-29 13:18:03</v>
      </c>
      <c r="L6244" s="1" t="str">
        <f>"2021-06-24 07:53:59"</f>
        <v>2021-06-24 07:53:59</v>
      </c>
      <c r="M6244" s="1" t="s">
        <v>3</v>
      </c>
      <c r="N6244" s="1" t="s">
        <v>38</v>
      </c>
      <c r="O6244" s="1" t="s">
        <v>46</v>
      </c>
    </row>
    <row r="6245" spans="2:15" x14ac:dyDescent="0.3">
      <c r="B6245" s="1" t="s">
        <v>22</v>
      </c>
      <c r="C6245" s="1" t="str">
        <f t="shared" si="313"/>
        <v>4차</v>
      </c>
      <c r="D6245" s="1" t="str">
        <f>"0230Z04245"</f>
        <v>0230Z04245</v>
      </c>
      <c r="E6245" s="1" t="str">
        <f>"검침실패(3시간 이상)"</f>
        <v>검침실패(3시간 이상)</v>
      </c>
      <c r="F6245" s="1" t="str">
        <f>"10.14.15.19"</f>
        <v>10.14.15.19</v>
      </c>
      <c r="G6245" s="1" t="str">
        <f>"0230Z042"</f>
        <v>0230Z042</v>
      </c>
      <c r="H6245" s="1" t="str">
        <f>"월계 516"</f>
        <v>월계 516</v>
      </c>
      <c r="I6245" s="1" t="s">
        <v>17</v>
      </c>
      <c r="J6245" s="1" t="str">
        <f>"0/10"</f>
        <v>0/10</v>
      </c>
      <c r="K6245" s="1" t="str">
        <f>"2026-07-29 13:18:04"</f>
        <v>2026-07-29 13:18:04</v>
      </c>
      <c r="L6245" s="1" t="str">
        <f>"2021-06-24 09:49:51"</f>
        <v>2021-06-24 09:49:51</v>
      </c>
      <c r="M6245" s="1" t="s">
        <v>3</v>
      </c>
      <c r="N6245" s="1" t="s">
        <v>38</v>
      </c>
      <c r="O6245" s="1" t="s">
        <v>46</v>
      </c>
    </row>
    <row r="6246" spans="2:15" x14ac:dyDescent="0.3">
      <c r="B6246" s="1" t="s">
        <v>22</v>
      </c>
      <c r="C6246" s="1" t="str">
        <f t="shared" si="313"/>
        <v>4차</v>
      </c>
      <c r="D6246" s="1" t="str">
        <f>"0230Z05145"</f>
        <v>0230Z05145</v>
      </c>
      <c r="E6246" s="1" t="s">
        <v>10</v>
      </c>
      <c r="F6246" s="1" t="str">
        <f>"10.14.2.2"</f>
        <v>10.14.2.2</v>
      </c>
      <c r="G6246" s="1" t="str">
        <f>"0230Z051"</f>
        <v>0230Z051</v>
      </c>
      <c r="H6246" s="1" t="str">
        <f>"월계 518"</f>
        <v>월계 518</v>
      </c>
      <c r="I6246" s="1" t="s">
        <v>17</v>
      </c>
      <c r="J6246" s="1" t="str">
        <f>"10/10"</f>
        <v>10/10</v>
      </c>
      <c r="K6246" s="1" t="str">
        <f>"2026-07-29 13:18:04"</f>
        <v>2026-07-29 13:18:04</v>
      </c>
      <c r="L6246" s="1" t="str">
        <f>"2021-06-24 09:37:27"</f>
        <v>2021-06-24 09:37:27</v>
      </c>
      <c r="M6246" s="1" t="s">
        <v>3</v>
      </c>
      <c r="N6246" s="1" t="s">
        <v>38</v>
      </c>
      <c r="O6246" s="1" t="s">
        <v>46</v>
      </c>
    </row>
    <row r="6247" spans="2:15" x14ac:dyDescent="0.3">
      <c r="B6247" s="1" t="s">
        <v>22</v>
      </c>
      <c r="C6247" s="1" t="str">
        <f t="shared" si="313"/>
        <v>4차</v>
      </c>
      <c r="D6247" s="1" t="str">
        <f>"0230Z06145"</f>
        <v>0230Z06145</v>
      </c>
      <c r="E6247" s="1" t="str">
        <f>"검침실패(3시간 이상)"</f>
        <v>검침실패(3시간 이상)</v>
      </c>
      <c r="F6247" s="1" t="str">
        <f>"10.14.6.64"</f>
        <v>10.14.6.64</v>
      </c>
      <c r="G6247" s="1" t="str">
        <f>"0230Z061"</f>
        <v>0230Z061</v>
      </c>
      <c r="H6247" s="1" t="str">
        <f>"월계 523"</f>
        <v>월계 523</v>
      </c>
      <c r="I6247" s="1" t="s">
        <v>17</v>
      </c>
      <c r="J6247" s="1" t="str">
        <f>"0/8"</f>
        <v>0/8</v>
      </c>
      <c r="K6247" s="1" t="str">
        <f>"2026-07-29 13:18:04"</f>
        <v>2026-07-29 13:18:04</v>
      </c>
      <c r="L6247" s="1" t="str">
        <f>"2021-06-24 09:22:43"</f>
        <v>2021-06-24 09:22:43</v>
      </c>
      <c r="M6247" s="1" t="s">
        <v>3</v>
      </c>
      <c r="N6247" s="1" t="s">
        <v>38</v>
      </c>
      <c r="O6247" s="1" t="s">
        <v>46</v>
      </c>
    </row>
    <row r="6248" spans="2:15" x14ac:dyDescent="0.3">
      <c r="B6248" s="1" t="s">
        <v>22</v>
      </c>
      <c r="C6248" s="1" t="str">
        <f>"1차"</f>
        <v>1차</v>
      </c>
      <c r="D6248" s="1" t="str">
        <f>"0231A00100"</f>
        <v>0231A00100</v>
      </c>
      <c r="E6248" s="1" t="s">
        <v>10</v>
      </c>
      <c r="F6248" s="1" t="str">
        <f>"10.107.248.73"</f>
        <v>10.107.248.73</v>
      </c>
      <c r="G6248" s="1" t="str">
        <f>"0231A001"</f>
        <v>0231A001</v>
      </c>
      <c r="H6248" s="1" t="str">
        <f>"방학지 25L6L3"</f>
        <v>방학지 25L6L3</v>
      </c>
      <c r="I6248" s="1" t="s">
        <v>8</v>
      </c>
      <c r="J6248" s="1" t="str">
        <f>"19/19"</f>
        <v>19/19</v>
      </c>
      <c r="K6248" s="1" t="str">
        <f>"2026-07-29 13:18:03"</f>
        <v>2026-07-29 13:18:03</v>
      </c>
      <c r="L6248" s="1" t="str">
        <f>"2014-12-21 16:42:58"</f>
        <v>2014-12-21 16:42:58</v>
      </c>
      <c r="M6248" s="1" t="s">
        <v>45</v>
      </c>
      <c r="N6248" s="1" t="s">
        <v>38</v>
      </c>
      <c r="O6248" s="1" t="s">
        <v>46</v>
      </c>
    </row>
    <row r="6249" spans="2:15" x14ac:dyDescent="0.3">
      <c r="B6249" s="1" t="s">
        <v>22</v>
      </c>
      <c r="C6249" s="1" t="str">
        <f>"6차"</f>
        <v>6차</v>
      </c>
      <c r="D6249" s="1" t="str">
        <f>"0231A0126S"</f>
        <v>0231A0126S</v>
      </c>
      <c r="E6249" s="1" t="s">
        <v>10</v>
      </c>
      <c r="F6249" s="1" t="str">
        <f>"fde1:103:4:c7e1:0:0:0:2"</f>
        <v>fde1:103:4:c7e1:0:0:0:2</v>
      </c>
      <c r="G6249" s="1" t="str">
        <f>"0231A012"</f>
        <v>0231A012</v>
      </c>
      <c r="H6249" s="1" t="str">
        <f>"방학지 25L5L3"</f>
        <v>방학지 25L5L3</v>
      </c>
      <c r="I6249" s="1" t="s">
        <v>15</v>
      </c>
      <c r="J6249" s="1" t="str">
        <f>"39/40"</f>
        <v>39/40</v>
      </c>
      <c r="K6249" s="1" t="str">
        <f>"2026-07-29 14:20:40"</f>
        <v>2026-07-29 14:20:40</v>
      </c>
      <c r="L6249" s="1" t="str">
        <f>"2024-12-10 11:23:44"</f>
        <v>2024-12-10 11:23:44</v>
      </c>
      <c r="M6249" s="1" t="s">
        <v>4</v>
      </c>
      <c r="N6249" s="1" t="s">
        <v>38</v>
      </c>
      <c r="O6249" s="1" t="s">
        <v>46</v>
      </c>
    </row>
    <row r="6250" spans="2:15" x14ac:dyDescent="0.3">
      <c r="B6250" s="1" t="s">
        <v>22</v>
      </c>
      <c r="C6250" s="1" t="str">
        <f>"6차"</f>
        <v>6차</v>
      </c>
      <c r="D6250" s="1" t="str">
        <f>"0231A0216S"</f>
        <v>0231A0216S</v>
      </c>
      <c r="E6250" s="1" t="s">
        <v>10</v>
      </c>
      <c r="F6250" s="1" t="str">
        <f>"fde1:103:4:c78b:0:0:0:2"</f>
        <v>fde1:103:4:c78b:0:0:0:2</v>
      </c>
      <c r="G6250" s="1" t="str">
        <f>"0231A021"</f>
        <v>0231A021</v>
      </c>
      <c r="H6250" s="1" t="str">
        <f>"방학지 25L4L1"</f>
        <v>방학지 25L4L1</v>
      </c>
      <c r="I6250" s="1" t="s">
        <v>15</v>
      </c>
      <c r="J6250" s="1" t="str">
        <f>"32/32"</f>
        <v>32/32</v>
      </c>
      <c r="K6250" s="1" t="str">
        <f>"2026-07-29 14:20:52"</f>
        <v>2026-07-29 14:20:52</v>
      </c>
      <c r="L6250" s="1" t="str">
        <f>"2024-12-10 11:23:54"</f>
        <v>2024-12-10 11:23:54</v>
      </c>
      <c r="M6250" s="1" t="s">
        <v>4</v>
      </c>
      <c r="N6250" s="1" t="s">
        <v>38</v>
      </c>
      <c r="O6250" s="1" t="s">
        <v>46</v>
      </c>
    </row>
    <row r="6251" spans="2:15" x14ac:dyDescent="0.3">
      <c r="B6251" s="1" t="s">
        <v>22</v>
      </c>
      <c r="C6251" s="1" t="str">
        <f>"6차"</f>
        <v>6차</v>
      </c>
      <c r="D6251" s="1" t="str">
        <f>"0231A0226S"</f>
        <v>0231A0226S</v>
      </c>
      <c r="E6251" s="1" t="s">
        <v>10</v>
      </c>
      <c r="F6251" s="1" t="str">
        <f>"fde1:103:4:c798:0:0:0:2"</f>
        <v>fde1:103:4:c798:0:0:0:2</v>
      </c>
      <c r="G6251" s="1" t="str">
        <f>"0231A022"</f>
        <v>0231A022</v>
      </c>
      <c r="H6251" s="1" t="str">
        <f>"방학지 25L4L2"</f>
        <v>방학지 25L4L2</v>
      </c>
      <c r="I6251" s="1" t="s">
        <v>15</v>
      </c>
      <c r="J6251" s="1" t="str">
        <f>"40/40"</f>
        <v>40/40</v>
      </c>
      <c r="K6251" s="1" t="str">
        <f>"2026-07-29 14:20:52"</f>
        <v>2026-07-29 14:20:52</v>
      </c>
      <c r="L6251" s="1" t="str">
        <f>"2024-12-10 11:23:41"</f>
        <v>2024-12-10 11:23:41</v>
      </c>
      <c r="M6251" s="1" t="s">
        <v>4</v>
      </c>
      <c r="N6251" s="1" t="s">
        <v>38</v>
      </c>
      <c r="O6251" s="1" t="s">
        <v>46</v>
      </c>
    </row>
    <row r="6252" spans="2:15" x14ac:dyDescent="0.3">
      <c r="B6252" s="1" t="s">
        <v>22</v>
      </c>
      <c r="C6252" s="1" t="str">
        <f>"6차"</f>
        <v>6차</v>
      </c>
      <c r="D6252" s="1" t="str">
        <f>"0231A0316S"</f>
        <v>0231A0316S</v>
      </c>
      <c r="E6252" s="1" t="s">
        <v>10</v>
      </c>
      <c r="F6252" s="1" t="str">
        <f>"fde1:103:4:c793:0:0:0:2"</f>
        <v>fde1:103:4:c793:0:0:0:2</v>
      </c>
      <c r="G6252" s="1" t="str">
        <f>"0231A031"</f>
        <v>0231A031</v>
      </c>
      <c r="H6252" s="1" t="str">
        <f>"방학지 25L4L1L1"</f>
        <v>방학지 25L4L1L1</v>
      </c>
      <c r="I6252" s="1" t="s">
        <v>15</v>
      </c>
      <c r="J6252" s="1" t="str">
        <f>"34/38"</f>
        <v>34/38</v>
      </c>
      <c r="K6252" s="1" t="str">
        <f>"2026-07-29 02:20:03"</f>
        <v>2026-07-29 02:20:03</v>
      </c>
      <c r="L6252" s="1" t="str">
        <f>"2024-12-10 11:23:45"</f>
        <v>2024-12-10 11:23:45</v>
      </c>
      <c r="M6252" s="1" t="s">
        <v>4</v>
      </c>
      <c r="N6252" s="1" t="s">
        <v>38</v>
      </c>
      <c r="O6252" s="1" t="s">
        <v>46</v>
      </c>
    </row>
    <row r="6253" spans="2:15" x14ac:dyDescent="0.3">
      <c r="B6253" s="1" t="s">
        <v>22</v>
      </c>
      <c r="C6253" s="1" t="str">
        <f>"6차"</f>
        <v>6차</v>
      </c>
      <c r="D6253" s="1" t="str">
        <f>"0231A0416S"</f>
        <v>0231A0416S</v>
      </c>
      <c r="E6253" s="1" t="s">
        <v>10</v>
      </c>
      <c r="F6253" s="1" t="str">
        <f>"fde1:103:4:c76c:0:0:0:2"</f>
        <v>fde1:103:4:c76c:0:0:0:2</v>
      </c>
      <c r="G6253" s="1" t="str">
        <f>"0231A041"</f>
        <v>0231A041</v>
      </c>
      <c r="H6253" s="1" t="str">
        <f>"방학지 25L2"</f>
        <v>방학지 25L2</v>
      </c>
      <c r="I6253" s="1" t="s">
        <v>15</v>
      </c>
      <c r="J6253" s="1" t="str">
        <f>"39/39"</f>
        <v>39/39</v>
      </c>
      <c r="K6253" s="1" t="str">
        <f>"2026-07-29 14:20:34"</f>
        <v>2026-07-29 14:20:34</v>
      </c>
      <c r="L6253" s="1" t="str">
        <f>"2024-12-10 11:18:37"</f>
        <v>2024-12-10 11:18:37</v>
      </c>
      <c r="M6253" s="1" t="s">
        <v>4</v>
      </c>
      <c r="N6253" s="1" t="s">
        <v>38</v>
      </c>
      <c r="O6253" s="1" t="s">
        <v>46</v>
      </c>
    </row>
    <row r="6254" spans="2:15" x14ac:dyDescent="0.3">
      <c r="B6254" s="1" t="s">
        <v>22</v>
      </c>
      <c r="C6254" s="1" t="str">
        <f>"1차"</f>
        <v>1차</v>
      </c>
      <c r="D6254" s="1" t="str">
        <f>"0231A05100"</f>
        <v>0231A05100</v>
      </c>
      <c r="E6254" s="1" t="s">
        <v>10</v>
      </c>
      <c r="F6254" s="1" t="str">
        <f>"10.107.248.162"</f>
        <v>10.107.248.162</v>
      </c>
      <c r="G6254" s="1" t="str">
        <f>"0231A051"</f>
        <v>0231A051</v>
      </c>
      <c r="H6254" s="1" t="str">
        <f>"방학지 25L4R3"</f>
        <v>방학지 25L4R3</v>
      </c>
      <c r="I6254" s="1" t="s">
        <v>8</v>
      </c>
      <c r="J6254" s="1" t="str">
        <f>"52/55"</f>
        <v>52/55</v>
      </c>
      <c r="K6254" s="1" t="str">
        <f>"2026-07-29 13:18:03"</f>
        <v>2026-07-29 13:18:03</v>
      </c>
      <c r="L6254" s="1" t="str">
        <f>"2014-12-19 16:43:28"</f>
        <v>2014-12-19 16:43:28</v>
      </c>
      <c r="M6254" s="1" t="s">
        <v>45</v>
      </c>
      <c r="N6254" s="1" t="s">
        <v>38</v>
      </c>
      <c r="O6254" s="1" t="s">
        <v>46</v>
      </c>
    </row>
    <row r="6255" spans="2:15" x14ac:dyDescent="0.3">
      <c r="B6255" s="1" t="s">
        <v>22</v>
      </c>
      <c r="C6255" s="1" t="str">
        <f>"6차"</f>
        <v>6차</v>
      </c>
      <c r="D6255" s="1" t="str">
        <f>"0231A0616S"</f>
        <v>0231A0616S</v>
      </c>
      <c r="E6255" s="1" t="s">
        <v>10</v>
      </c>
      <c r="F6255" s="1" t="str">
        <f>"fde1:103:4:942f:0:0:0:2"</f>
        <v>fde1:103:4:942f:0:0:0:2</v>
      </c>
      <c r="G6255" s="1" t="str">
        <f>"0231A061"</f>
        <v>0231A061</v>
      </c>
      <c r="H6255" s="1" t="str">
        <f>"방학지 27"</f>
        <v>방학지 27</v>
      </c>
      <c r="I6255" s="1" t="s">
        <v>15</v>
      </c>
      <c r="J6255" s="1" t="str">
        <f>"35/35"</f>
        <v>35/35</v>
      </c>
      <c r="K6255" s="1" t="str">
        <f>"2026-07-29 14:20:52"</f>
        <v>2026-07-29 14:20:52</v>
      </c>
      <c r="L6255" s="1" t="str">
        <f>"2024-10-08 16:57:44"</f>
        <v>2024-10-08 16:57:44</v>
      </c>
      <c r="M6255" s="1" t="s">
        <v>4</v>
      </c>
      <c r="N6255" s="1" t="s">
        <v>38</v>
      </c>
      <c r="O6255" s="1" t="s">
        <v>46</v>
      </c>
    </row>
    <row r="6256" spans="2:15" x14ac:dyDescent="0.3">
      <c r="B6256" s="1" t="s">
        <v>22</v>
      </c>
      <c r="C6256" s="1" t="str">
        <f>"1차"</f>
        <v>1차</v>
      </c>
      <c r="D6256" s="1" t="str">
        <f>"0231A07200"</f>
        <v>0231A07200</v>
      </c>
      <c r="E6256" s="1" t="s">
        <v>10</v>
      </c>
      <c r="F6256" s="1" t="str">
        <f>"10.107.248.135"</f>
        <v>10.107.248.135</v>
      </c>
      <c r="G6256" s="1" t="str">
        <f>"0231A072"</f>
        <v>0231A072</v>
      </c>
      <c r="H6256" s="1" t="str">
        <f>"방학지 28R8L7"</f>
        <v>방학지 28R8L7</v>
      </c>
      <c r="I6256" s="1" t="s">
        <v>8</v>
      </c>
      <c r="J6256" s="1" t="str">
        <f>"10/10"</f>
        <v>10/10</v>
      </c>
      <c r="K6256" s="1" t="str">
        <f>"2026-07-29 13:18:02"</f>
        <v>2026-07-29 13:18:02</v>
      </c>
      <c r="L6256" s="1" t="str">
        <f>"2014-12-19 17:58:43"</f>
        <v>2014-12-19 17:58:43</v>
      </c>
      <c r="M6256" s="1" t="s">
        <v>45</v>
      </c>
      <c r="N6256" s="1" t="s">
        <v>38</v>
      </c>
      <c r="O6256" s="1" t="s">
        <v>46</v>
      </c>
    </row>
    <row r="6257" spans="2:15" x14ac:dyDescent="0.3">
      <c r="B6257" s="1" t="s">
        <v>22</v>
      </c>
      <c r="C6257" s="1" t="str">
        <f>"4차"</f>
        <v>4차</v>
      </c>
      <c r="D6257" s="1" t="str">
        <f>"0231A07439"</f>
        <v>0231A07439</v>
      </c>
      <c r="E6257" s="1" t="s">
        <v>10</v>
      </c>
      <c r="F6257" s="1" t="str">
        <f>"10.10.9.146"</f>
        <v>10.10.9.146</v>
      </c>
      <c r="G6257" s="1" t="str">
        <f>"0231A074"</f>
        <v>0231A074</v>
      </c>
      <c r="H6257" s="1" t="str">
        <f>"방학지 28R1"</f>
        <v>방학지 28R1</v>
      </c>
      <c r="I6257" s="1" t="s">
        <v>8</v>
      </c>
      <c r="J6257" s="1" t="str">
        <f>"6/6"</f>
        <v>6/6</v>
      </c>
      <c r="K6257" s="1" t="str">
        <f>"2026-07-29 13:18:02"</f>
        <v>2026-07-29 13:18:02</v>
      </c>
      <c r="L6257" s="1" t="str">
        <f>"2018-01-23 13:38:55"</f>
        <v>2018-01-23 13:38:55</v>
      </c>
      <c r="M6257" s="1" t="s">
        <v>1</v>
      </c>
      <c r="N6257" s="1" t="s">
        <v>38</v>
      </c>
      <c r="O6257" s="1" t="s">
        <v>46</v>
      </c>
    </row>
    <row r="6258" spans="2:15" x14ac:dyDescent="0.3">
      <c r="B6258" s="1" t="s">
        <v>22</v>
      </c>
      <c r="C6258" s="1" t="str">
        <f>"1차"</f>
        <v>1차</v>
      </c>
      <c r="D6258" s="1" t="str">
        <f>"0231A08501"</f>
        <v>0231A08501</v>
      </c>
      <c r="E6258" s="1" t="s">
        <v>10</v>
      </c>
      <c r="F6258" s="1" t="str">
        <f>"10.12.131.156"</f>
        <v>10.12.131.156</v>
      </c>
      <c r="G6258" s="1" t="str">
        <f>"0231A085"</f>
        <v>0231A085</v>
      </c>
      <c r="H6258" s="1" t="str">
        <f>"방학지 28R8L6R3"</f>
        <v>방학지 28R8L6R3</v>
      </c>
      <c r="I6258" s="1" t="s">
        <v>8</v>
      </c>
      <c r="J6258" s="1" t="str">
        <f>"50/54"</f>
        <v>50/54</v>
      </c>
      <c r="K6258" s="1" t="str">
        <f>"2026-07-29 13:18:03"</f>
        <v>2026-07-29 13:18:03</v>
      </c>
      <c r="L6258" s="1" t="str">
        <f>"2014-12-20 12:43:08"</f>
        <v>2014-12-20 12:43:08</v>
      </c>
      <c r="M6258" s="1" t="s">
        <v>0</v>
      </c>
      <c r="N6258" s="1" t="s">
        <v>38</v>
      </c>
      <c r="O6258" s="1" t="s">
        <v>46</v>
      </c>
    </row>
    <row r="6259" spans="2:15" x14ac:dyDescent="0.3">
      <c r="B6259" s="1" t="s">
        <v>22</v>
      </c>
      <c r="C6259" s="1" t="str">
        <f>"2차"</f>
        <v>2차</v>
      </c>
      <c r="D6259" s="1" t="str">
        <f>"0231A10221"</f>
        <v>0231A10221</v>
      </c>
      <c r="E6259" s="1" t="s">
        <v>10</v>
      </c>
      <c r="F6259" s="1" t="str">
        <f>"10.10.3.115"</f>
        <v>10.10.3.115</v>
      </c>
      <c r="G6259" s="1" t="str">
        <f>"0231A102"</f>
        <v>0231A102</v>
      </c>
      <c r="H6259" s="1" t="str">
        <f>"방학지 25L4L4"</f>
        <v>방학지 25L4L4</v>
      </c>
      <c r="I6259" s="1" t="s">
        <v>8</v>
      </c>
      <c r="J6259" s="1" t="str">
        <f>"12/12"</f>
        <v>12/12</v>
      </c>
      <c r="K6259" s="1" t="str">
        <f>"2026-07-29 13:18:03"</f>
        <v>2026-07-29 13:18:03</v>
      </c>
      <c r="L6259" s="1" t="str">
        <f>"2017-06-21 17:41:04"</f>
        <v>2017-06-21 17:41:04</v>
      </c>
      <c r="M6259" s="1" t="s">
        <v>1</v>
      </c>
      <c r="N6259" s="1" t="s">
        <v>38</v>
      </c>
      <c r="O6259" s="1" t="s">
        <v>46</v>
      </c>
    </row>
    <row r="6260" spans="2:15" x14ac:dyDescent="0.3">
      <c r="B6260" s="1" t="s">
        <v>22</v>
      </c>
      <c r="C6260" s="1" t="str">
        <f>"2차"</f>
        <v>2차</v>
      </c>
      <c r="D6260" s="1" t="str">
        <f>"0231A11120"</f>
        <v>0231A11120</v>
      </c>
      <c r="E6260" s="1" t="s">
        <v>10</v>
      </c>
      <c r="F6260" s="1" t="str">
        <f>"10.10.3.114"</f>
        <v>10.10.3.114</v>
      </c>
      <c r="G6260" s="1" t="str">
        <f>"0231A111"</f>
        <v>0231A111</v>
      </c>
      <c r="H6260" s="1" t="str">
        <f>"방학지 25L4L3"</f>
        <v>방학지 25L4L3</v>
      </c>
      <c r="I6260" s="1" t="s">
        <v>8</v>
      </c>
      <c r="J6260" s="1" t="str">
        <f>"12/12"</f>
        <v>12/12</v>
      </c>
      <c r="K6260" s="1" t="str">
        <f>"2026-07-29 13:18:03"</f>
        <v>2026-07-29 13:18:03</v>
      </c>
      <c r="L6260" s="1" t="str">
        <f>"2017-06-21 17:41:04"</f>
        <v>2017-06-21 17:41:04</v>
      </c>
      <c r="M6260" s="1" t="s">
        <v>1</v>
      </c>
      <c r="N6260" s="1" t="s">
        <v>38</v>
      </c>
      <c r="O6260" s="1" t="s">
        <v>46</v>
      </c>
    </row>
    <row r="6261" spans="2:15" x14ac:dyDescent="0.3">
      <c r="B6261" s="1" t="s">
        <v>22</v>
      </c>
      <c r="C6261" s="1" t="str">
        <f>"4차"</f>
        <v>4차</v>
      </c>
      <c r="D6261" s="1" t="str">
        <f>"0231A14544"</f>
        <v>0231A14544</v>
      </c>
      <c r="E6261" s="1" t="s">
        <v>10</v>
      </c>
      <c r="F6261" s="1" t="str">
        <f>"10.107.248.164"</f>
        <v>10.107.248.164</v>
      </c>
      <c r="G6261" s="1" t="str">
        <f>"0231A145"</f>
        <v>0231A145</v>
      </c>
      <c r="H6261" s="1" t="str">
        <f>"방학지 25A2"</f>
        <v>방학지 25A2</v>
      </c>
      <c r="I6261" s="1" t="s">
        <v>8</v>
      </c>
      <c r="J6261" s="1" t="str">
        <f>"31/31"</f>
        <v>31/31</v>
      </c>
      <c r="K6261" s="1" t="str">
        <f>"2026-07-29 13:18:03"</f>
        <v>2026-07-29 13:18:03</v>
      </c>
      <c r="L6261" s="1" t="str">
        <f>"2019-12-13 09:12:24"</f>
        <v>2019-12-13 09:12:24</v>
      </c>
      <c r="M6261" s="1" t="s">
        <v>45</v>
      </c>
      <c r="N6261" s="1" t="s">
        <v>38</v>
      </c>
      <c r="O6261" s="1" t="s">
        <v>46</v>
      </c>
    </row>
    <row r="6262" spans="2:15" x14ac:dyDescent="0.3">
      <c r="B6262" s="1" t="s">
        <v>22</v>
      </c>
      <c r="C6262" s="1" t="str">
        <f>"4차"</f>
        <v>4차</v>
      </c>
      <c r="D6262" s="1" t="str">
        <f>"0231A15444"</f>
        <v>0231A15444</v>
      </c>
      <c r="E6262" s="1" t="s">
        <v>10</v>
      </c>
      <c r="F6262" s="1" t="str">
        <f>"10.107.248.85"</f>
        <v>10.107.248.85</v>
      </c>
      <c r="G6262" s="1" t="str">
        <f>"0231A154"</f>
        <v>0231A154</v>
      </c>
      <c r="H6262" s="1" t="str">
        <f>"방학지 24"</f>
        <v>방학지 24</v>
      </c>
      <c r="I6262" s="1" t="s">
        <v>8</v>
      </c>
      <c r="J6262" s="1" t="str">
        <f>"24/35"</f>
        <v>24/35</v>
      </c>
      <c r="K6262" s="1" t="str">
        <f>"2026-07-29 13:18:02"</f>
        <v>2026-07-29 13:18:02</v>
      </c>
      <c r="L6262" s="1" t="str">
        <f>"2019-12-13 09:17:29"</f>
        <v>2019-12-13 09:17:29</v>
      </c>
      <c r="M6262" s="1" t="s">
        <v>45</v>
      </c>
      <c r="N6262" s="1" t="s">
        <v>38</v>
      </c>
      <c r="O6262" s="1" t="s">
        <v>46</v>
      </c>
    </row>
    <row r="6263" spans="2:15" x14ac:dyDescent="0.3">
      <c r="B6263" s="1" t="s">
        <v>22</v>
      </c>
      <c r="C6263" s="1" t="str">
        <f>"3차"</f>
        <v>3차</v>
      </c>
      <c r="D6263" s="1" t="str">
        <f>"0231A16139"</f>
        <v>0231A16139</v>
      </c>
      <c r="E6263" s="1" t="s">
        <v>10</v>
      </c>
      <c r="F6263" s="1" t="str">
        <f>"10.10.5.138"</f>
        <v>10.10.5.138</v>
      </c>
      <c r="G6263" s="1" t="str">
        <f>"0231A161"</f>
        <v>0231A161</v>
      </c>
      <c r="H6263" s="1" t="str">
        <f>"방학지 24R3L4"</f>
        <v>방학지 24R3L4</v>
      </c>
      <c r="I6263" s="1" t="s">
        <v>8</v>
      </c>
      <c r="J6263" s="1" t="str">
        <f>"79/79"</f>
        <v>79/79</v>
      </c>
      <c r="K6263" s="1" t="str">
        <f>"2026-07-29 13:18:03"</f>
        <v>2026-07-29 13:18:03</v>
      </c>
      <c r="L6263" s="1" t="str">
        <f>"2018-01-19 10:10:55"</f>
        <v>2018-01-19 10:10:55</v>
      </c>
      <c r="M6263" s="1" t="s">
        <v>1</v>
      </c>
      <c r="N6263" s="1" t="s">
        <v>38</v>
      </c>
      <c r="O6263" s="1" t="s">
        <v>46</v>
      </c>
    </row>
    <row r="6264" spans="2:15" x14ac:dyDescent="0.3">
      <c r="B6264" s="1" t="s">
        <v>22</v>
      </c>
      <c r="C6264" s="1" t="str">
        <f>"3차"</f>
        <v>3차</v>
      </c>
      <c r="D6264" s="1" t="str">
        <f>"0231A17139"</f>
        <v>0231A17139</v>
      </c>
      <c r="E6264" s="1" t="s">
        <v>10</v>
      </c>
      <c r="F6264" s="1" t="str">
        <f>"10.10.18.242"</f>
        <v>10.10.18.242</v>
      </c>
      <c r="G6264" s="1" t="str">
        <f>"0231A171"</f>
        <v>0231A171</v>
      </c>
      <c r="H6264" s="1" t="str">
        <f>"방학지 28R3R1"</f>
        <v>방학지 28R3R1</v>
      </c>
      <c r="I6264" s="1" t="s">
        <v>8</v>
      </c>
      <c r="J6264" s="1" t="str">
        <f>"79/84"</f>
        <v>79/84</v>
      </c>
      <c r="K6264" s="1" t="str">
        <f>"2026-07-29 13:18:03"</f>
        <v>2026-07-29 13:18:03</v>
      </c>
      <c r="L6264" s="1" t="str">
        <f>"2021-04-26 17:14:37"</f>
        <v>2021-04-26 17:14:37</v>
      </c>
      <c r="M6264" s="1" t="s">
        <v>1</v>
      </c>
      <c r="N6264" s="1" t="s">
        <v>38</v>
      </c>
      <c r="O6264" s="1" t="s">
        <v>46</v>
      </c>
    </row>
    <row r="6265" spans="2:15" x14ac:dyDescent="0.3">
      <c r="B6265" s="1" t="s">
        <v>22</v>
      </c>
      <c r="C6265" s="1" t="str">
        <f>"3차"</f>
        <v>3차</v>
      </c>
      <c r="D6265" s="1" t="str">
        <f>"0231A17439"</f>
        <v>0231A17439</v>
      </c>
      <c r="E6265" s="1" t="s">
        <v>10</v>
      </c>
      <c r="F6265" s="1" t="str">
        <f>"10.107.249.67"</f>
        <v>10.107.249.67</v>
      </c>
      <c r="G6265" s="1" t="str">
        <f>"0231A174"</f>
        <v>0231A174</v>
      </c>
      <c r="H6265" s="1" t="str">
        <f>"방학지 24R3L3"</f>
        <v>방학지 24R3L3</v>
      </c>
      <c r="I6265" s="1" t="s">
        <v>8</v>
      </c>
      <c r="J6265" s="1" t="str">
        <f>"53/53"</f>
        <v>53/53</v>
      </c>
      <c r="K6265" s="1" t="str">
        <f>"2026-07-29 13:18:02"</f>
        <v>2026-07-29 13:18:02</v>
      </c>
      <c r="L6265" s="1" t="str">
        <f>"2018-03-28 08:01:10"</f>
        <v>2018-03-28 08:01:10</v>
      </c>
      <c r="M6265" s="1" t="s">
        <v>45</v>
      </c>
      <c r="N6265" s="1" t="s">
        <v>38</v>
      </c>
      <c r="O6265" s="1" t="s">
        <v>46</v>
      </c>
    </row>
    <row r="6266" spans="2:15" x14ac:dyDescent="0.3">
      <c r="B6266" s="1" t="s">
        <v>22</v>
      </c>
      <c r="C6266" s="1" t="str">
        <f>"3차"</f>
        <v>3차</v>
      </c>
      <c r="D6266" s="1" t="str">
        <f>"0231A18430"</f>
        <v>0231A18430</v>
      </c>
      <c r="E6266" s="1" t="s">
        <v>10</v>
      </c>
      <c r="F6266" s="1" t="str">
        <f>"10.10.21.194"</f>
        <v>10.10.21.194</v>
      </c>
      <c r="G6266" s="1" t="str">
        <f>"0231A184"</f>
        <v>0231A184</v>
      </c>
      <c r="H6266" s="1" t="str">
        <f>"방학지 28R5"</f>
        <v>방학지 28R5</v>
      </c>
      <c r="I6266" s="1" t="s">
        <v>8</v>
      </c>
      <c r="J6266" s="1" t="str">
        <f>"20/20"</f>
        <v>20/20</v>
      </c>
      <c r="K6266" s="1" t="str">
        <f>"2026-07-29 13:18:03"</f>
        <v>2026-07-29 13:18:03</v>
      </c>
      <c r="L6266" s="1" t="str">
        <f>"2018-01-04 13:20:41"</f>
        <v>2018-01-04 13:20:41</v>
      </c>
      <c r="M6266" s="1" t="s">
        <v>1</v>
      </c>
      <c r="N6266" s="1" t="s">
        <v>38</v>
      </c>
      <c r="O6266" s="1" t="s">
        <v>46</v>
      </c>
    </row>
    <row r="6267" spans="2:15" x14ac:dyDescent="0.3">
      <c r="B6267" s="1" t="s">
        <v>22</v>
      </c>
      <c r="C6267" s="1" t="str">
        <f>"4차"</f>
        <v>4차</v>
      </c>
      <c r="D6267" s="1" t="str">
        <f>"0231A20129"</f>
        <v>0231A20129</v>
      </c>
      <c r="E6267" s="1" t="s">
        <v>10</v>
      </c>
      <c r="F6267" s="1" t="str">
        <f>"10.107.249.66"</f>
        <v>10.107.249.66</v>
      </c>
      <c r="G6267" s="1" t="str">
        <f>"0231A201"</f>
        <v>0231A201</v>
      </c>
      <c r="H6267" s="1" t="str">
        <f>"방학지 15L10"</f>
        <v>방학지 15L10</v>
      </c>
      <c r="I6267" s="1" t="s">
        <v>8</v>
      </c>
      <c r="J6267" s="1" t="str">
        <f>"26/26"</f>
        <v>26/26</v>
      </c>
      <c r="K6267" s="1" t="str">
        <f>"2026-07-29 13:18:03"</f>
        <v>2026-07-29 13:18:03</v>
      </c>
      <c r="L6267" s="1" t="str">
        <f>"2017-07-27 16:21:04"</f>
        <v>2017-07-27 16:21:04</v>
      </c>
      <c r="M6267" s="1" t="s">
        <v>45</v>
      </c>
      <c r="N6267" s="1" t="s">
        <v>38</v>
      </c>
      <c r="O6267" s="1" t="s">
        <v>46</v>
      </c>
    </row>
    <row r="6268" spans="2:15" x14ac:dyDescent="0.3">
      <c r="B6268" s="1" t="s">
        <v>22</v>
      </c>
      <c r="C6268" s="1" t="str">
        <f>"2차"</f>
        <v>2차</v>
      </c>
      <c r="D6268" s="1" t="str">
        <f>"0231A20420"</f>
        <v>0231A20420</v>
      </c>
      <c r="E6268" s="1" t="s">
        <v>10</v>
      </c>
      <c r="F6268" s="1" t="str">
        <f>"10.10.2.154"</f>
        <v>10.10.2.154</v>
      </c>
      <c r="G6268" s="1" t="str">
        <f>"0231A204"</f>
        <v>0231A204</v>
      </c>
      <c r="H6268" s="1" t="str">
        <f>"도우지 20R10"</f>
        <v>도우지 20R10</v>
      </c>
      <c r="I6268" s="1" t="s">
        <v>8</v>
      </c>
      <c r="J6268" s="1" t="str">
        <f>"43/43"</f>
        <v>43/43</v>
      </c>
      <c r="K6268" s="1" t="str">
        <f>"2026-07-29 13:18:02"</f>
        <v>2026-07-29 13:18:02</v>
      </c>
      <c r="L6268" s="1" t="str">
        <f>"2017-05-22 17:38:31"</f>
        <v>2017-05-22 17:38:31</v>
      </c>
      <c r="M6268" s="1" t="s">
        <v>1</v>
      </c>
      <c r="N6268" s="1" t="s">
        <v>38</v>
      </c>
      <c r="O6268" s="1" t="s">
        <v>46</v>
      </c>
    </row>
    <row r="6269" spans="2:15" x14ac:dyDescent="0.3">
      <c r="B6269" s="1" t="s">
        <v>22</v>
      </c>
      <c r="C6269" s="1" t="str">
        <f>"2차"</f>
        <v>2차</v>
      </c>
      <c r="D6269" s="1" t="str">
        <f>"0231A22120"</f>
        <v>0231A22120</v>
      </c>
      <c r="E6269" s="1" t="s">
        <v>10</v>
      </c>
      <c r="F6269" s="1" t="str">
        <f>"10.14.4.126"</f>
        <v>10.14.4.126</v>
      </c>
      <c r="G6269" s="1" t="str">
        <f>"0231A221"</f>
        <v>0231A221</v>
      </c>
      <c r="H6269" s="1" t="str">
        <f>"방학지 15L5R2"</f>
        <v>방학지 15L5R2</v>
      </c>
      <c r="I6269" s="1" t="s">
        <v>8</v>
      </c>
      <c r="J6269" s="1" t="str">
        <f>"8/28"</f>
        <v>8/28</v>
      </c>
      <c r="K6269" s="1" t="str">
        <f>"2026-07-29 13:18:04"</f>
        <v>2026-07-29 13:18:04</v>
      </c>
      <c r="L6269" s="1" t="str">
        <f>"2017-08-01 15:21:03"</f>
        <v>2017-08-01 15:21:03</v>
      </c>
      <c r="M6269" s="1" t="s">
        <v>3</v>
      </c>
      <c r="N6269" s="1" t="s">
        <v>38</v>
      </c>
      <c r="O6269" s="1" t="s">
        <v>46</v>
      </c>
    </row>
    <row r="6270" spans="2:15" x14ac:dyDescent="0.3">
      <c r="B6270" s="1" t="s">
        <v>22</v>
      </c>
      <c r="C6270" s="1" t="str">
        <f>"2차"</f>
        <v>2차</v>
      </c>
      <c r="D6270" s="1" t="str">
        <f>"0231A23121"</f>
        <v>0231A23121</v>
      </c>
      <c r="E6270" s="1" t="s">
        <v>10</v>
      </c>
      <c r="F6270" s="1" t="str">
        <f>"10.14.7.191"</f>
        <v>10.14.7.191</v>
      </c>
      <c r="G6270" s="1" t="str">
        <f>"0231A231"</f>
        <v>0231A231</v>
      </c>
      <c r="H6270" s="1" t="str">
        <f>"방학지 15L5R3"</f>
        <v>방학지 15L5R3</v>
      </c>
      <c r="I6270" s="1" t="s">
        <v>8</v>
      </c>
      <c r="J6270" s="1" t="str">
        <f>"15/15"</f>
        <v>15/15</v>
      </c>
      <c r="K6270" s="1" t="str">
        <f>"2026-07-29 13:18:02"</f>
        <v>2026-07-29 13:18:02</v>
      </c>
      <c r="L6270" s="1" t="str">
        <f>"2017-08-01 15:21:03"</f>
        <v>2017-08-01 15:21:03</v>
      </c>
      <c r="M6270" s="1" t="s">
        <v>3</v>
      </c>
      <c r="N6270" s="1" t="s">
        <v>38</v>
      </c>
      <c r="O6270" s="1" t="s">
        <v>46</v>
      </c>
    </row>
    <row r="6271" spans="2:15" x14ac:dyDescent="0.3">
      <c r="B6271" s="1" t="s">
        <v>22</v>
      </c>
      <c r="C6271" s="1" t="str">
        <f>"5-2차"</f>
        <v>5-2차</v>
      </c>
      <c r="D6271" s="1" t="str">
        <f>"0231A2325M"</f>
        <v>0231A2325M</v>
      </c>
      <c r="E6271" s="1" t="s">
        <v>10</v>
      </c>
      <c r="F6271" s="1" t="str">
        <f>"fde3:102:1420:5600:0:0:0:11"</f>
        <v>fde3:102:1420:5600:0:0:0:11</v>
      </c>
      <c r="G6271" s="1" t="str">
        <f>"0231A232"</f>
        <v>0231A232</v>
      </c>
      <c r="H6271" s="1" t="str">
        <f>"방학지 15L5R4"</f>
        <v>방학지 15L5R4</v>
      </c>
      <c r="I6271" s="1" t="s">
        <v>15</v>
      </c>
      <c r="J6271" s="1" t="str">
        <f>"58/58"</f>
        <v>58/58</v>
      </c>
      <c r="K6271" s="1" t="str">
        <f>"2026-07-29 14:21:09"</f>
        <v>2026-07-29 14:21:09</v>
      </c>
      <c r="L6271" s="1" t="str">
        <f>"2024-01-08 14:48:37"</f>
        <v>2024-01-08 14:48:37</v>
      </c>
      <c r="M6271" s="1" t="s">
        <v>45</v>
      </c>
      <c r="N6271" s="1" t="s">
        <v>38</v>
      </c>
      <c r="O6271" s="1" t="s">
        <v>46</v>
      </c>
    </row>
    <row r="6272" spans="2:15" x14ac:dyDescent="0.3">
      <c r="B6272" s="1" t="s">
        <v>22</v>
      </c>
      <c r="C6272" s="1" t="str">
        <f>"4차"</f>
        <v>4차</v>
      </c>
      <c r="D6272" s="1" t="str">
        <f>"0231A26144"</f>
        <v>0231A26144</v>
      </c>
      <c r="E6272" s="1" t="s">
        <v>10</v>
      </c>
      <c r="F6272" s="1" t="str">
        <f>"10.107.248.89"</f>
        <v>10.107.248.89</v>
      </c>
      <c r="G6272" s="1" t="str">
        <f>"0231A261"</f>
        <v>0231A261</v>
      </c>
      <c r="H6272" s="1" t="str">
        <f>"방학지 24R2"</f>
        <v>방학지 24R2</v>
      </c>
      <c r="I6272" s="1" t="s">
        <v>8</v>
      </c>
      <c r="J6272" s="1" t="str">
        <f>"57/57"</f>
        <v>57/57</v>
      </c>
      <c r="K6272" s="1" t="str">
        <f>"2026-07-29 13:18:03"</f>
        <v>2026-07-29 13:18:03</v>
      </c>
      <c r="L6272" s="1" t="str">
        <f>"2019-12-13 09:15:13"</f>
        <v>2019-12-13 09:15:13</v>
      </c>
      <c r="M6272" s="1" t="s">
        <v>45</v>
      </c>
      <c r="N6272" s="1" t="s">
        <v>38</v>
      </c>
      <c r="O6272" s="1" t="s">
        <v>46</v>
      </c>
    </row>
    <row r="6273" spans="2:15" x14ac:dyDescent="0.3">
      <c r="B6273" s="1" t="s">
        <v>22</v>
      </c>
      <c r="C6273" s="1" t="str">
        <f>"4차"</f>
        <v>4차</v>
      </c>
      <c r="D6273" s="1" t="str">
        <f>"0231A27144"</f>
        <v>0231A27144</v>
      </c>
      <c r="E6273" s="1" t="s">
        <v>10</v>
      </c>
      <c r="F6273" s="1" t="str">
        <f>"10.107.248.88"</f>
        <v>10.107.248.88</v>
      </c>
      <c r="G6273" s="1" t="str">
        <f>"0231A271"</f>
        <v>0231A271</v>
      </c>
      <c r="H6273" s="1" t="str">
        <f>"방학지 24R3L1"</f>
        <v>방학지 24R3L1</v>
      </c>
      <c r="I6273" s="1" t="s">
        <v>8</v>
      </c>
      <c r="J6273" s="1" t="str">
        <f>"29/29"</f>
        <v>29/29</v>
      </c>
      <c r="K6273" s="1" t="str">
        <f>"2026-07-29 13:18:03"</f>
        <v>2026-07-29 13:18:03</v>
      </c>
      <c r="L6273" s="1" t="str">
        <f>"2019-12-13 09:11:23"</f>
        <v>2019-12-13 09:11:23</v>
      </c>
      <c r="M6273" s="1" t="s">
        <v>45</v>
      </c>
      <c r="N6273" s="1" t="s">
        <v>38</v>
      </c>
      <c r="O6273" s="1" t="s">
        <v>46</v>
      </c>
    </row>
    <row r="6274" spans="2:15" x14ac:dyDescent="0.3">
      <c r="B6274" s="1" t="s">
        <v>22</v>
      </c>
      <c r="C6274" s="1" t="str">
        <f>"3차"</f>
        <v>3차</v>
      </c>
      <c r="D6274" s="1" t="str">
        <f>"0231A29439"</f>
        <v>0231A29439</v>
      </c>
      <c r="E6274" s="1" t="s">
        <v>10</v>
      </c>
      <c r="F6274" s="1" t="str">
        <f>"10.107.250.132"</f>
        <v>10.107.250.132</v>
      </c>
      <c r="G6274" s="1" t="str">
        <f>"0231A294"</f>
        <v>0231A294</v>
      </c>
      <c r="H6274" s="1" t="str">
        <f>"방학지 28R7"</f>
        <v>방학지 28R7</v>
      </c>
      <c r="I6274" s="1" t="s">
        <v>8</v>
      </c>
      <c r="J6274" s="1" t="str">
        <f>"19/19"</f>
        <v>19/19</v>
      </c>
      <c r="K6274" s="1" t="str">
        <f>"2026-07-29 13:18:03"</f>
        <v>2026-07-29 13:18:03</v>
      </c>
      <c r="L6274" s="1" t="str">
        <f>"2021-07-02 17:00:20"</f>
        <v>2021-07-02 17:00:20</v>
      </c>
      <c r="M6274" s="1" t="s">
        <v>45</v>
      </c>
      <c r="N6274" s="1" t="s">
        <v>38</v>
      </c>
      <c r="O6274" s="1" t="s">
        <v>46</v>
      </c>
    </row>
    <row r="6275" spans="2:15" x14ac:dyDescent="0.3">
      <c r="B6275" s="1" t="s">
        <v>22</v>
      </c>
      <c r="C6275" s="1" t="str">
        <f>"3차"</f>
        <v>3차</v>
      </c>
      <c r="D6275" s="1" t="str">
        <f>"0231A29539"</f>
        <v>0231A29539</v>
      </c>
      <c r="E6275" s="1" t="s">
        <v>10</v>
      </c>
      <c r="F6275" s="1" t="str">
        <f>"10.107.250.131"</f>
        <v>10.107.250.131</v>
      </c>
      <c r="G6275" s="1" t="str">
        <f>"0231A295"</f>
        <v>0231A295</v>
      </c>
      <c r="H6275" s="1" t="str">
        <f>"방학지 28R6"</f>
        <v>방학지 28R6</v>
      </c>
      <c r="I6275" s="1" t="s">
        <v>8</v>
      </c>
      <c r="J6275" s="1" t="str">
        <f>"12/12"</f>
        <v>12/12</v>
      </c>
      <c r="K6275" s="1" t="str">
        <f>"2026-07-29 13:18:03"</f>
        <v>2026-07-29 13:18:03</v>
      </c>
      <c r="L6275" s="1" t="str">
        <f>"2021-07-02 17:08:04"</f>
        <v>2021-07-02 17:08:04</v>
      </c>
      <c r="M6275" s="1" t="s">
        <v>45</v>
      </c>
      <c r="N6275" s="1" t="s">
        <v>38</v>
      </c>
      <c r="O6275" s="1" t="s">
        <v>46</v>
      </c>
    </row>
    <row r="6276" spans="2:15" x14ac:dyDescent="0.3">
      <c r="B6276" s="1" t="s">
        <v>22</v>
      </c>
      <c r="C6276" s="1" t="str">
        <f>"2차"</f>
        <v>2차</v>
      </c>
      <c r="D6276" s="1" t="str">
        <f>"0231A31221"</f>
        <v>0231A31221</v>
      </c>
      <c r="E6276" s="1" t="s">
        <v>10</v>
      </c>
      <c r="F6276" s="1" t="str">
        <f>"10.14.13.128"</f>
        <v>10.14.13.128</v>
      </c>
      <c r="G6276" s="1" t="str">
        <f>"0231A312"</f>
        <v>0231A312</v>
      </c>
      <c r="H6276" s="1" t="str">
        <f>"방학지 15L6"</f>
        <v>방학지 15L6</v>
      </c>
      <c r="I6276" s="1" t="s">
        <v>8</v>
      </c>
      <c r="J6276" s="1" t="str">
        <f>"6/7"</f>
        <v>6/7</v>
      </c>
      <c r="K6276" s="1" t="str">
        <f>"2026-07-29 13:18:02"</f>
        <v>2026-07-29 13:18:02</v>
      </c>
      <c r="L6276" s="1" t="str">
        <f>"2017-05-22 17:38:43"</f>
        <v>2017-05-22 17:38:43</v>
      </c>
      <c r="M6276" s="1" t="s">
        <v>3</v>
      </c>
      <c r="N6276" s="1" t="s">
        <v>38</v>
      </c>
      <c r="O6276" s="1" t="s">
        <v>46</v>
      </c>
    </row>
    <row r="6277" spans="2:15" x14ac:dyDescent="0.3">
      <c r="B6277" s="1" t="s">
        <v>22</v>
      </c>
      <c r="C6277" s="1" t="str">
        <f>"2차"</f>
        <v>2차</v>
      </c>
      <c r="D6277" s="1" t="str">
        <f>"0231A31321"</f>
        <v>0231A31321</v>
      </c>
      <c r="E6277" s="1" t="s">
        <v>10</v>
      </c>
      <c r="F6277" s="1" t="str">
        <f>"10.10.2.155"</f>
        <v>10.10.2.155</v>
      </c>
      <c r="G6277" s="1" t="str">
        <f>"0231A313"</f>
        <v>0231A313</v>
      </c>
      <c r="H6277" s="1" t="str">
        <f>"도우지 20R12"</f>
        <v>도우지 20R12</v>
      </c>
      <c r="I6277" s="1" t="s">
        <v>8</v>
      </c>
      <c r="J6277" s="1" t="str">
        <f>"31/46"</f>
        <v>31/46</v>
      </c>
      <c r="K6277" s="1" t="str">
        <f>"2026-07-29 13:18:03"</f>
        <v>2026-07-29 13:18:03</v>
      </c>
      <c r="L6277" s="1" t="str">
        <f>"2017-05-22 17:38:08"</f>
        <v>2017-05-22 17:38:08</v>
      </c>
      <c r="M6277" s="1" t="s">
        <v>1</v>
      </c>
      <c r="N6277" s="1" t="s">
        <v>38</v>
      </c>
      <c r="O6277" s="1" t="s">
        <v>46</v>
      </c>
    </row>
    <row r="6278" spans="2:15" x14ac:dyDescent="0.3">
      <c r="B6278" s="1" t="s">
        <v>22</v>
      </c>
      <c r="C6278" s="1" t="str">
        <f>"2차"</f>
        <v>2차</v>
      </c>
      <c r="D6278" s="1" t="str">
        <f>"0231A31520"</f>
        <v>0231A31520</v>
      </c>
      <c r="E6278" s="1" t="s">
        <v>10</v>
      </c>
      <c r="F6278" s="1" t="str">
        <f>"10.14.15.121"</f>
        <v>10.14.15.121</v>
      </c>
      <c r="G6278" s="1" t="str">
        <f>"0231A315"</f>
        <v>0231A315</v>
      </c>
      <c r="H6278" s="1" t="str">
        <f>"방학지 15L7"</f>
        <v>방학지 15L7</v>
      </c>
      <c r="I6278" s="1" t="s">
        <v>8</v>
      </c>
      <c r="J6278" s="1" t="str">
        <f>"8/8"</f>
        <v>8/8</v>
      </c>
      <c r="K6278" s="1" t="str">
        <f>"2026-07-29 13:18:03"</f>
        <v>2026-07-29 13:18:03</v>
      </c>
      <c r="L6278" s="1" t="str">
        <f>"2017-05-22 17:36:44"</f>
        <v>2017-05-22 17:36:44</v>
      </c>
      <c r="M6278" s="1" t="s">
        <v>3</v>
      </c>
      <c r="N6278" s="1" t="s">
        <v>38</v>
      </c>
      <c r="O6278" s="1" t="s">
        <v>46</v>
      </c>
    </row>
    <row r="6279" spans="2:15" x14ac:dyDescent="0.3">
      <c r="B6279" s="1" t="s">
        <v>22</v>
      </c>
      <c r="C6279" s="1" t="str">
        <f>"2차"</f>
        <v>2차</v>
      </c>
      <c r="D6279" s="1" t="str">
        <f>"0231A32220"</f>
        <v>0231A32220</v>
      </c>
      <c r="E6279" s="1" t="s">
        <v>10</v>
      </c>
      <c r="F6279" s="1" t="str">
        <f>"10.14.12.127"</f>
        <v>10.14.12.127</v>
      </c>
      <c r="G6279" s="1" t="str">
        <f>"0231A322"</f>
        <v>0231A322</v>
      </c>
      <c r="H6279" s="1" t="str">
        <f>"방학지 15L5R1"</f>
        <v>방학지 15L5R1</v>
      </c>
      <c r="I6279" s="1" t="s">
        <v>8</v>
      </c>
      <c r="J6279" s="1" t="str">
        <f>"38/38"</f>
        <v>38/38</v>
      </c>
      <c r="K6279" s="1" t="str">
        <f>"2026-07-29 13:18:04"</f>
        <v>2026-07-29 13:18:04</v>
      </c>
      <c r="L6279" s="1" t="str">
        <f>"2017-08-01 12:51:02"</f>
        <v>2017-08-01 12:51:02</v>
      </c>
      <c r="M6279" s="1" t="s">
        <v>3</v>
      </c>
      <c r="N6279" s="1" t="s">
        <v>38</v>
      </c>
      <c r="O6279" s="1" t="s">
        <v>46</v>
      </c>
    </row>
    <row r="6280" spans="2:15" x14ac:dyDescent="0.3">
      <c r="B6280" s="1" t="s">
        <v>22</v>
      </c>
      <c r="C6280" s="1" t="str">
        <f>"6차"</f>
        <v>6차</v>
      </c>
      <c r="D6280" s="1" t="str">
        <f>"0231A3316S"</f>
        <v>0231A3316S</v>
      </c>
      <c r="E6280" s="1" t="s">
        <v>10</v>
      </c>
      <c r="F6280" s="1" t="str">
        <f>"fde1:103:4:c850:0:0:0:2"</f>
        <v>fde1:103:4:c850:0:0:0:2</v>
      </c>
      <c r="G6280" s="1" t="str">
        <f>"0231A331"</f>
        <v>0231A331</v>
      </c>
      <c r="H6280" s="1" t="str">
        <f>"방학지 15L5R1L1R1"</f>
        <v>방학지 15L5R1L1R1</v>
      </c>
      <c r="I6280" s="1" t="s">
        <v>15</v>
      </c>
      <c r="J6280" s="1" t="str">
        <f>"29/29"</f>
        <v>29/29</v>
      </c>
      <c r="K6280" s="1" t="str">
        <f>"2026-07-29 14:20:52"</f>
        <v>2026-07-29 14:20:52</v>
      </c>
      <c r="L6280" s="1" t="str">
        <f>"2024-12-06 11:23:17"</f>
        <v>2024-12-06 11:23:17</v>
      </c>
      <c r="M6280" s="1" t="s">
        <v>4</v>
      </c>
      <c r="N6280" s="1" t="s">
        <v>38</v>
      </c>
      <c r="O6280" s="1" t="s">
        <v>46</v>
      </c>
    </row>
    <row r="6281" spans="2:15" x14ac:dyDescent="0.3">
      <c r="B6281" s="1" t="s">
        <v>22</v>
      </c>
      <c r="C6281" s="1" t="str">
        <f>"5-2차"</f>
        <v>5-2차</v>
      </c>
      <c r="D6281" s="1" t="str">
        <f>"0231A3415M"</f>
        <v>0231A3415M</v>
      </c>
      <c r="E6281" s="1" t="s">
        <v>10</v>
      </c>
      <c r="F6281" s="1" t="str">
        <f>"fde3:102:1420:5600:0:0:0:6"</f>
        <v>fde3:102:1420:5600:0:0:0:6</v>
      </c>
      <c r="G6281" s="1" t="str">
        <f>"0231A341"</f>
        <v>0231A341</v>
      </c>
      <c r="H6281" s="1" t="str">
        <f>"방학지 20"</f>
        <v>방학지 20</v>
      </c>
      <c r="I6281" s="1" t="s">
        <v>15</v>
      </c>
      <c r="J6281" s="1" t="str">
        <f>"39/39"</f>
        <v>39/39</v>
      </c>
      <c r="K6281" s="1" t="str">
        <f>"2026-07-29 14:20:51"</f>
        <v>2026-07-29 14:20:51</v>
      </c>
      <c r="L6281" s="1" t="str">
        <f>"2024-01-08 14:28:25"</f>
        <v>2024-01-08 14:28:25</v>
      </c>
      <c r="M6281" s="1" t="s">
        <v>45</v>
      </c>
      <c r="N6281" s="1" t="s">
        <v>38</v>
      </c>
      <c r="O6281" s="1" t="s">
        <v>46</v>
      </c>
    </row>
    <row r="6282" spans="2:15" x14ac:dyDescent="0.3">
      <c r="B6282" s="1" t="s">
        <v>22</v>
      </c>
      <c r="C6282" s="1" t="str">
        <f>"4차"</f>
        <v>4차</v>
      </c>
      <c r="D6282" s="1" t="str">
        <f>"0231A35144"</f>
        <v>0231A35144</v>
      </c>
      <c r="E6282" s="1" t="s">
        <v>10</v>
      </c>
      <c r="F6282" s="1" t="str">
        <f>"10.107.248.86"</f>
        <v>10.107.248.86</v>
      </c>
      <c r="G6282" s="1" t="str">
        <f>"0231A351"</f>
        <v>0231A351</v>
      </c>
      <c r="H6282" s="1" t="str">
        <f>"방학지 22R1"</f>
        <v>방학지 22R1</v>
      </c>
      <c r="I6282" s="1" t="s">
        <v>8</v>
      </c>
      <c r="J6282" s="1" t="str">
        <f>"59/59"</f>
        <v>59/59</v>
      </c>
      <c r="K6282" s="1" t="str">
        <f>"2026-07-29 13:18:02"</f>
        <v>2026-07-29 13:18:02</v>
      </c>
      <c r="L6282" s="1" t="str">
        <f>"2019-12-13 09:14:56"</f>
        <v>2019-12-13 09:14:56</v>
      </c>
      <c r="M6282" s="1" t="s">
        <v>45</v>
      </c>
      <c r="N6282" s="1" t="s">
        <v>38</v>
      </c>
      <c r="O6282" s="1" t="s">
        <v>46</v>
      </c>
    </row>
    <row r="6283" spans="2:15" x14ac:dyDescent="0.3">
      <c r="B6283" s="1" t="s">
        <v>22</v>
      </c>
      <c r="C6283" s="1" t="str">
        <f>"6차"</f>
        <v>6차</v>
      </c>
      <c r="D6283" s="1" t="str">
        <f>"0231A3736S"</f>
        <v>0231A3736S</v>
      </c>
      <c r="E6283" s="1" t="s">
        <v>10</v>
      </c>
      <c r="F6283" s="1" t="str">
        <f>"fde3:102:1420:5600:0:0:0:13"</f>
        <v>fde3:102:1420:5600:0:0:0:13</v>
      </c>
      <c r="G6283" s="1" t="str">
        <f>"0231A373"</f>
        <v>0231A373</v>
      </c>
      <c r="H6283" s="1" t="str">
        <f>"방학지 24R4"</f>
        <v>방학지 24R4</v>
      </c>
      <c r="I6283" s="1" t="s">
        <v>15</v>
      </c>
      <c r="J6283" s="1" t="str">
        <f>"49/49"</f>
        <v>49/49</v>
      </c>
      <c r="K6283" s="1" t="str">
        <f>"2026-07-29 14:20:39"</f>
        <v>2026-07-29 14:20:39</v>
      </c>
      <c r="L6283" s="1" t="str">
        <f>"2024-11-26 16:01:27"</f>
        <v>2024-11-26 16:01:27</v>
      </c>
      <c r="M6283" s="1" t="s">
        <v>45</v>
      </c>
      <c r="N6283" s="1" t="s">
        <v>38</v>
      </c>
      <c r="O6283" s="1" t="s">
        <v>46</v>
      </c>
    </row>
    <row r="6284" spans="2:15" x14ac:dyDescent="0.3">
      <c r="B6284" s="1" t="s">
        <v>22</v>
      </c>
      <c r="C6284" s="1" t="str">
        <f>"3차"</f>
        <v>3차</v>
      </c>
      <c r="D6284" s="1" t="str">
        <f>"0231A38132"</f>
        <v>0231A38132</v>
      </c>
      <c r="E6284" s="1" t="s">
        <v>10</v>
      </c>
      <c r="F6284" s="1" t="str">
        <f>"10.107.250.196"</f>
        <v>10.107.250.196</v>
      </c>
      <c r="G6284" s="1" t="str">
        <f>"0231A381"</f>
        <v>0231A381</v>
      </c>
      <c r="H6284" s="1" t="str">
        <f>"방학지 5R27L8"</f>
        <v>방학지 5R27L8</v>
      </c>
      <c r="I6284" s="1" t="s">
        <v>8</v>
      </c>
      <c r="J6284" s="1" t="str">
        <f>"48/48"</f>
        <v>48/48</v>
      </c>
      <c r="K6284" s="1" t="str">
        <f>"2026-07-29 13:18:03"</f>
        <v>2026-07-29 13:18:03</v>
      </c>
      <c r="L6284" s="1" t="str">
        <f>"2018-03-15 14:51:06"</f>
        <v>2018-03-15 14:51:06</v>
      </c>
      <c r="M6284" s="1" t="s">
        <v>45</v>
      </c>
      <c r="N6284" s="1" t="s">
        <v>38</v>
      </c>
      <c r="O6284" s="1" t="s">
        <v>46</v>
      </c>
    </row>
    <row r="6285" spans="2:15" x14ac:dyDescent="0.3">
      <c r="B6285" s="1" t="s">
        <v>22</v>
      </c>
      <c r="C6285" s="1" t="str">
        <f>"3차"</f>
        <v>3차</v>
      </c>
      <c r="D6285" s="1" t="str">
        <f>"0231A39130"</f>
        <v>0231A39130</v>
      </c>
      <c r="E6285" s="1" t="s">
        <v>10</v>
      </c>
      <c r="F6285" s="1" t="str">
        <f>"10.10.23.226"</f>
        <v>10.10.23.226</v>
      </c>
      <c r="G6285" s="1" t="str">
        <f>"0231A391"</f>
        <v>0231A391</v>
      </c>
      <c r="H6285" s="1" t="str">
        <f>"방학지 5R27L7"</f>
        <v>방학지 5R27L7</v>
      </c>
      <c r="I6285" s="1" t="s">
        <v>8</v>
      </c>
      <c r="J6285" s="1" t="str">
        <f>"74/74"</f>
        <v>74/74</v>
      </c>
      <c r="K6285" s="1" t="str">
        <f>"2026-07-29 13:18:03"</f>
        <v>2026-07-29 13:18:03</v>
      </c>
      <c r="L6285" s="1" t="str">
        <f>"2018-01-18 17:36:43"</f>
        <v>2018-01-18 17:36:43</v>
      </c>
      <c r="M6285" s="1" t="s">
        <v>1</v>
      </c>
      <c r="N6285" s="1" t="s">
        <v>38</v>
      </c>
      <c r="O6285" s="1" t="s">
        <v>46</v>
      </c>
    </row>
    <row r="6286" spans="2:15" x14ac:dyDescent="0.3">
      <c r="B6286" s="1" t="s">
        <v>22</v>
      </c>
      <c r="C6286" s="1" t="str">
        <f>"1차"</f>
        <v>1차</v>
      </c>
      <c r="D6286" s="1" t="str">
        <f>"0231A40101"</f>
        <v>0231A40101</v>
      </c>
      <c r="E6286" s="1" t="s">
        <v>10</v>
      </c>
      <c r="F6286" s="1" t="str">
        <f>"10.107.250.163"</f>
        <v>10.107.250.163</v>
      </c>
      <c r="G6286" s="1" t="str">
        <f>"0231A401"</f>
        <v>0231A401</v>
      </c>
      <c r="H6286" s="1" t="str">
        <f>"도우지 14R10"</f>
        <v>도우지 14R10</v>
      </c>
      <c r="I6286" s="1" t="s">
        <v>8</v>
      </c>
      <c r="J6286" s="1" t="str">
        <f>"46/54"</f>
        <v>46/54</v>
      </c>
      <c r="K6286" s="1" t="str">
        <f>"2026-07-29 13:18:03"</f>
        <v>2026-07-29 13:18:03</v>
      </c>
      <c r="L6286" s="1" t="str">
        <f>"2014-12-15 15:43:17"</f>
        <v>2014-12-15 15:43:17</v>
      </c>
      <c r="M6286" s="1" t="s">
        <v>45</v>
      </c>
      <c r="N6286" s="1" t="s">
        <v>38</v>
      </c>
      <c r="O6286" s="1" t="s">
        <v>46</v>
      </c>
    </row>
    <row r="6287" spans="2:15" x14ac:dyDescent="0.3">
      <c r="B6287" s="1" t="s">
        <v>22</v>
      </c>
      <c r="C6287" s="1" t="str">
        <f>"2차"</f>
        <v>2차</v>
      </c>
      <c r="D6287" s="1" t="str">
        <f>"0231A41121"</f>
        <v>0231A41121</v>
      </c>
      <c r="E6287" s="1" t="s">
        <v>10</v>
      </c>
      <c r="F6287" s="1" t="str">
        <f>"10.14.6.127"</f>
        <v>10.14.6.127</v>
      </c>
      <c r="G6287" s="1" t="str">
        <f>"0231A411"</f>
        <v>0231A411</v>
      </c>
      <c r="H6287" s="1" t="str">
        <f>"방학지 15L5"</f>
        <v>방학지 15L5</v>
      </c>
      <c r="I6287" s="1" t="s">
        <v>8</v>
      </c>
      <c r="J6287" s="1" t="str">
        <f>"18/18"</f>
        <v>18/18</v>
      </c>
      <c r="K6287" s="1" t="str">
        <f>"2026-07-29 13:18:01"</f>
        <v>2026-07-29 13:18:01</v>
      </c>
      <c r="L6287" s="1" t="str">
        <f>"2017-08-01 13:01:02"</f>
        <v>2017-08-01 13:01:02</v>
      </c>
      <c r="M6287" s="1" t="s">
        <v>3</v>
      </c>
      <c r="N6287" s="1" t="s">
        <v>38</v>
      </c>
      <c r="O6287" s="1" t="s">
        <v>46</v>
      </c>
    </row>
    <row r="6288" spans="2:15" x14ac:dyDescent="0.3">
      <c r="B6288" s="1" t="s">
        <v>22</v>
      </c>
      <c r="C6288" s="1" t="str">
        <f>"2차"</f>
        <v>2차</v>
      </c>
      <c r="D6288" s="1" t="str">
        <f>"0231A41229"</f>
        <v>0231A41229</v>
      </c>
      <c r="E6288" s="1" t="s">
        <v>10</v>
      </c>
      <c r="F6288" s="1" t="str">
        <f>"10.10.1.170"</f>
        <v>10.10.1.170</v>
      </c>
      <c r="G6288" s="1" t="str">
        <f>"0231A412"</f>
        <v>0231A412</v>
      </c>
      <c r="H6288" s="1" t="str">
        <f>"도우지 20R13"</f>
        <v>도우지 20R13</v>
      </c>
      <c r="I6288" s="1" t="s">
        <v>8</v>
      </c>
      <c r="J6288" s="1" t="str">
        <f>"19/19"</f>
        <v>19/19</v>
      </c>
      <c r="K6288" s="1" t="str">
        <f>"2026-07-29 13:18:03"</f>
        <v>2026-07-29 13:18:03</v>
      </c>
      <c r="L6288" s="1" t="str">
        <f>"2017-08-01 14:31:03"</f>
        <v>2017-08-01 14:31:03</v>
      </c>
      <c r="M6288" s="1" t="s">
        <v>1</v>
      </c>
      <c r="N6288" s="1" t="s">
        <v>38</v>
      </c>
      <c r="O6288" s="1" t="s">
        <v>46</v>
      </c>
    </row>
    <row r="6289" spans="2:15" x14ac:dyDescent="0.3">
      <c r="B6289" s="1" t="s">
        <v>22</v>
      </c>
      <c r="C6289" s="1" t="str">
        <f>"2차"</f>
        <v>2차</v>
      </c>
      <c r="D6289" s="1" t="str">
        <f>"0231A41421"</f>
        <v>0231A41421</v>
      </c>
      <c r="E6289" s="1" t="s">
        <v>10</v>
      </c>
      <c r="F6289" s="1" t="str">
        <f>"10.14.4.193"</f>
        <v>10.14.4.193</v>
      </c>
      <c r="G6289" s="1" t="str">
        <f>"0231A414"</f>
        <v>0231A414</v>
      </c>
      <c r="H6289" s="1" t="str">
        <f>"도우지 20R14"</f>
        <v>도우지 20R14</v>
      </c>
      <c r="I6289" s="1" t="s">
        <v>8</v>
      </c>
      <c r="J6289" s="1" t="str">
        <f>"33/34"</f>
        <v>33/34</v>
      </c>
      <c r="K6289" s="1" t="str">
        <f>"2026-07-29 13:18:02"</f>
        <v>2026-07-29 13:18:02</v>
      </c>
      <c r="L6289" s="1" t="str">
        <f>"2017-08-23 14:01:03"</f>
        <v>2017-08-23 14:01:03</v>
      </c>
      <c r="M6289" s="1" t="s">
        <v>3</v>
      </c>
      <c r="N6289" s="1" t="s">
        <v>38</v>
      </c>
      <c r="O6289" s="1" t="s">
        <v>46</v>
      </c>
    </row>
    <row r="6290" spans="2:15" x14ac:dyDescent="0.3">
      <c r="B6290" s="1" t="s">
        <v>22</v>
      </c>
      <c r="C6290" s="1" t="str">
        <f>"1차"</f>
        <v>1차</v>
      </c>
      <c r="D6290" s="1" t="str">
        <f>"0231A44101"</f>
        <v>0231A44101</v>
      </c>
      <c r="E6290" s="1" t="s">
        <v>10</v>
      </c>
      <c r="F6290" s="1" t="str">
        <f>"10.12.128.79"</f>
        <v>10.12.128.79</v>
      </c>
      <c r="G6290" s="1" t="str">
        <f>"0231A441"</f>
        <v>0231A441</v>
      </c>
      <c r="H6290" s="1" t="str">
        <f>"방학지 15L5R1L1R3"</f>
        <v>방학지 15L5R1L1R3</v>
      </c>
      <c r="I6290" s="1" t="s">
        <v>8</v>
      </c>
      <c r="J6290" s="1" t="str">
        <f>"38/38"</f>
        <v>38/38</v>
      </c>
      <c r="K6290" s="1" t="str">
        <f>"2026-07-29 13:18:03"</f>
        <v>2026-07-29 13:18:03</v>
      </c>
      <c r="L6290" s="1" t="str">
        <f>"2015-01-02 18:06:51"</f>
        <v>2015-01-02 18:06:51</v>
      </c>
      <c r="M6290" s="1" t="s">
        <v>0</v>
      </c>
      <c r="N6290" s="1" t="s">
        <v>38</v>
      </c>
      <c r="O6290" s="1" t="s">
        <v>46</v>
      </c>
    </row>
    <row r="6291" spans="2:15" x14ac:dyDescent="0.3">
      <c r="B6291" s="1" t="s">
        <v>22</v>
      </c>
      <c r="C6291" s="1" t="str">
        <f>"4차"</f>
        <v>4차</v>
      </c>
      <c r="D6291" s="1" t="str">
        <f>"0231A45144"</f>
        <v>0231A45144</v>
      </c>
      <c r="E6291" s="1" t="s">
        <v>10</v>
      </c>
      <c r="F6291" s="1" t="str">
        <f>"10.107.248.87"</f>
        <v>10.107.248.87</v>
      </c>
      <c r="G6291" s="1" t="str">
        <f>"0231A451"</f>
        <v>0231A451</v>
      </c>
      <c r="H6291" s="1" t="str">
        <f>"방학지 18"</f>
        <v>방학지 18</v>
      </c>
      <c r="I6291" s="1" t="s">
        <v>8</v>
      </c>
      <c r="J6291" s="1" t="str">
        <f>"45/54"</f>
        <v>45/54</v>
      </c>
      <c r="K6291" s="1" t="str">
        <f>"2026-07-29 13:18:03"</f>
        <v>2026-07-29 13:18:03</v>
      </c>
      <c r="L6291" s="1" t="str">
        <f>"2019-12-13 09:10:19"</f>
        <v>2019-12-13 09:10:19</v>
      </c>
      <c r="M6291" s="1" t="s">
        <v>45</v>
      </c>
      <c r="N6291" s="1" t="s">
        <v>38</v>
      </c>
      <c r="O6291" s="1" t="s">
        <v>46</v>
      </c>
    </row>
    <row r="6292" spans="2:15" x14ac:dyDescent="0.3">
      <c r="B6292" s="1" t="s">
        <v>22</v>
      </c>
      <c r="C6292" s="1" t="str">
        <f>"4차"</f>
        <v>4차</v>
      </c>
      <c r="D6292" s="1" t="str">
        <f>"0231A46144"</f>
        <v>0231A46144</v>
      </c>
      <c r="E6292" s="1" t="s">
        <v>10</v>
      </c>
      <c r="F6292" s="1" t="str">
        <f>"10.107.248.90"</f>
        <v>10.107.248.90</v>
      </c>
      <c r="G6292" s="1" t="str">
        <f>"0231A461"</f>
        <v>0231A461</v>
      </c>
      <c r="H6292" s="1" t="str">
        <f>"방학지 18R1"</f>
        <v>방학지 18R1</v>
      </c>
      <c r="I6292" s="1" t="s">
        <v>8</v>
      </c>
      <c r="J6292" s="1" t="str">
        <f>"35/35"</f>
        <v>35/35</v>
      </c>
      <c r="K6292" s="1" t="str">
        <f>"2026-07-29 13:18:03"</f>
        <v>2026-07-29 13:18:03</v>
      </c>
      <c r="L6292" s="1" t="str">
        <f>"2019-12-13 09:13:58"</f>
        <v>2019-12-13 09:13:58</v>
      </c>
      <c r="M6292" s="1" t="s">
        <v>45</v>
      </c>
      <c r="N6292" s="1" t="s">
        <v>38</v>
      </c>
      <c r="O6292" s="1" t="s">
        <v>46</v>
      </c>
    </row>
    <row r="6293" spans="2:15" x14ac:dyDescent="0.3">
      <c r="B6293" s="1" t="s">
        <v>22</v>
      </c>
      <c r="C6293" s="1" t="str">
        <f>"4차"</f>
        <v>4차</v>
      </c>
      <c r="D6293" s="1" t="str">
        <f>"0231A46244"</f>
        <v>0231A46244</v>
      </c>
      <c r="E6293" s="1" t="s">
        <v>10</v>
      </c>
      <c r="F6293" s="1" t="str">
        <f>"10.107.250.218"</f>
        <v>10.107.250.218</v>
      </c>
      <c r="G6293" s="1" t="str">
        <f>"0231A462"</f>
        <v>0231A462</v>
      </c>
      <c r="H6293" s="1" t="str">
        <f>"방학지 5R23L7"</f>
        <v>방학지 5R23L7</v>
      </c>
      <c r="I6293" s="1" t="s">
        <v>8</v>
      </c>
      <c r="J6293" s="1" t="str">
        <f>"17/17"</f>
        <v>17/17</v>
      </c>
      <c r="K6293" s="1" t="str">
        <f>"2026-07-29 13:18:03"</f>
        <v>2026-07-29 13:18:03</v>
      </c>
      <c r="L6293" s="1" t="str">
        <f>"2019-12-13 09:14:12"</f>
        <v>2019-12-13 09:14:12</v>
      </c>
      <c r="M6293" s="1" t="s">
        <v>45</v>
      </c>
      <c r="N6293" s="1" t="s">
        <v>38</v>
      </c>
      <c r="O6293" s="1" t="s">
        <v>46</v>
      </c>
    </row>
    <row r="6294" spans="2:15" x14ac:dyDescent="0.3">
      <c r="B6294" s="1" t="s">
        <v>22</v>
      </c>
      <c r="C6294" s="1" t="str">
        <f>"3차"</f>
        <v>3차</v>
      </c>
      <c r="D6294" s="1" t="str">
        <f>"0231A48339"</f>
        <v>0231A48339</v>
      </c>
      <c r="E6294" s="1" t="s">
        <v>10</v>
      </c>
      <c r="F6294" s="1" t="str">
        <f>"10.10.9.138"</f>
        <v>10.10.9.138</v>
      </c>
      <c r="G6294" s="1" t="str">
        <f>"0231A483"</f>
        <v>0231A483</v>
      </c>
      <c r="H6294" s="1" t="str">
        <f>"방학지 24R5"</f>
        <v>방학지 24R5</v>
      </c>
      <c r="I6294" s="1" t="s">
        <v>8</v>
      </c>
      <c r="J6294" s="1" t="str">
        <f>"119/127"</f>
        <v>119/127</v>
      </c>
      <c r="K6294" s="1" t="str">
        <f>"2026-07-29 13:18:02"</f>
        <v>2026-07-29 13:18:02</v>
      </c>
      <c r="L6294" s="1" t="str">
        <f>"2018-01-23 13:54:26"</f>
        <v>2018-01-23 13:54:26</v>
      </c>
      <c r="M6294" s="1" t="s">
        <v>1</v>
      </c>
      <c r="N6294" s="1" t="s">
        <v>38</v>
      </c>
      <c r="O6294" s="1" t="s">
        <v>46</v>
      </c>
    </row>
    <row r="6295" spans="2:15" x14ac:dyDescent="0.3">
      <c r="B6295" s="1" t="s">
        <v>22</v>
      </c>
      <c r="C6295" s="1" t="str">
        <f>"3차"</f>
        <v>3차</v>
      </c>
      <c r="D6295" s="1" t="str">
        <f>"0231A49131"</f>
        <v>0231A49131</v>
      </c>
      <c r="E6295" s="1" t="s">
        <v>10</v>
      </c>
      <c r="F6295" s="1" t="str">
        <f>"10.107.250.195"</f>
        <v>10.107.250.195</v>
      </c>
      <c r="G6295" s="1" t="str">
        <f>"0231A491"</f>
        <v>0231A491</v>
      </c>
      <c r="H6295" s="1" t="str">
        <f>"방학지 5R27L6"</f>
        <v>방학지 5R27L6</v>
      </c>
      <c r="I6295" s="1" t="s">
        <v>8</v>
      </c>
      <c r="J6295" s="1" t="str">
        <f>"57/57"</f>
        <v>57/57</v>
      </c>
      <c r="K6295" s="1" t="str">
        <f>"2026-07-29 13:18:03"</f>
        <v>2026-07-29 13:18:03</v>
      </c>
      <c r="L6295" s="1" t="str">
        <f>"2018-03-15 14:53:08"</f>
        <v>2018-03-15 14:53:08</v>
      </c>
      <c r="M6295" s="1" t="s">
        <v>45</v>
      </c>
      <c r="N6295" s="1" t="s">
        <v>38</v>
      </c>
      <c r="O6295" s="1" t="s">
        <v>46</v>
      </c>
    </row>
    <row r="6296" spans="2:15" x14ac:dyDescent="0.3">
      <c r="B6296" s="1" t="s">
        <v>22</v>
      </c>
      <c r="C6296" s="1" t="str">
        <f>"3차"</f>
        <v>3차</v>
      </c>
      <c r="D6296" s="1" t="str">
        <f>"0231A49231"</f>
        <v>0231A49231</v>
      </c>
      <c r="E6296" s="1" t="s">
        <v>10</v>
      </c>
      <c r="F6296" s="1" t="str">
        <f>"10.10.21.251"</f>
        <v>10.10.21.251</v>
      </c>
      <c r="G6296" s="1" t="str">
        <f>"0231A492"</f>
        <v>0231A492</v>
      </c>
      <c r="H6296" s="1" t="str">
        <f>"방학지 5R27L5"</f>
        <v>방학지 5R27L5</v>
      </c>
      <c r="I6296" s="1" t="s">
        <v>8</v>
      </c>
      <c r="J6296" s="1" t="str">
        <f>"35/36"</f>
        <v>35/36</v>
      </c>
      <c r="K6296" s="1" t="str">
        <f>"2026-07-29 13:18:04"</f>
        <v>2026-07-29 13:18:04</v>
      </c>
      <c r="L6296" s="1" t="str">
        <f>"2018-01-20 16:00:12"</f>
        <v>2018-01-20 16:00:12</v>
      </c>
      <c r="M6296" s="1" t="s">
        <v>1</v>
      </c>
      <c r="N6296" s="1" t="s">
        <v>38</v>
      </c>
      <c r="O6296" s="1" t="s">
        <v>46</v>
      </c>
    </row>
    <row r="6297" spans="2:15" x14ac:dyDescent="0.3">
      <c r="B6297" s="1" t="s">
        <v>22</v>
      </c>
      <c r="C6297" s="1" t="str">
        <f>"2차"</f>
        <v>2차</v>
      </c>
      <c r="D6297" s="1" t="str">
        <f>"0231A50121"</f>
        <v>0231A50121</v>
      </c>
      <c r="E6297" s="1" t="s">
        <v>10</v>
      </c>
      <c r="F6297" s="1" t="str">
        <f>"10.10.2.211"</f>
        <v>10.10.2.211</v>
      </c>
      <c r="G6297" s="1" t="str">
        <f>"0231A501"</f>
        <v>0231A501</v>
      </c>
      <c r="H6297" s="1" t="str">
        <f>"도우지 20R19R4"</f>
        <v>도우지 20R19R4</v>
      </c>
      <c r="I6297" s="1" t="s">
        <v>8</v>
      </c>
      <c r="J6297" s="1" t="str">
        <f>"22/22"</f>
        <v>22/22</v>
      </c>
      <c r="K6297" s="1" t="str">
        <f>"2026-07-29 13:18:03"</f>
        <v>2026-07-29 13:18:03</v>
      </c>
      <c r="L6297" s="1" t="str">
        <f>"2017-05-22 17:37:06"</f>
        <v>2017-05-22 17:37:06</v>
      </c>
      <c r="M6297" s="1" t="s">
        <v>1</v>
      </c>
      <c r="N6297" s="1" t="s">
        <v>38</v>
      </c>
      <c r="O6297" s="1" t="s">
        <v>46</v>
      </c>
    </row>
    <row r="6298" spans="2:15" x14ac:dyDescent="0.3">
      <c r="B6298" s="1" t="s">
        <v>22</v>
      </c>
      <c r="C6298" s="1" t="str">
        <f>"1차"</f>
        <v>1차</v>
      </c>
      <c r="D6298" s="1" t="str">
        <f>"0231A50400"</f>
        <v>0231A50400</v>
      </c>
      <c r="E6298" s="1" t="s">
        <v>10</v>
      </c>
      <c r="F6298" s="1" t="str">
        <f>"10.107.250.165"</f>
        <v>10.107.250.165</v>
      </c>
      <c r="G6298" s="1" t="str">
        <f>"0231A504"</f>
        <v>0231A504</v>
      </c>
      <c r="H6298" s="1" t="str">
        <f>"도우지 20R13R2"</f>
        <v>도우지 20R13R2</v>
      </c>
      <c r="I6298" s="1" t="s">
        <v>8</v>
      </c>
      <c r="J6298" s="1" t="str">
        <f>"21/21"</f>
        <v>21/21</v>
      </c>
      <c r="K6298" s="1" t="str">
        <f>"2026-07-29 13:18:03"</f>
        <v>2026-07-29 13:18:03</v>
      </c>
      <c r="L6298" s="1" t="str">
        <f>"2014-12-15 15:58:15"</f>
        <v>2014-12-15 15:58:15</v>
      </c>
      <c r="M6298" s="1" t="s">
        <v>45</v>
      </c>
      <c r="N6298" s="1" t="s">
        <v>38</v>
      </c>
      <c r="O6298" s="1" t="s">
        <v>46</v>
      </c>
    </row>
    <row r="6299" spans="2:15" x14ac:dyDescent="0.3">
      <c r="B6299" s="1" t="s">
        <v>22</v>
      </c>
      <c r="C6299" s="1" t="str">
        <f>"2차"</f>
        <v>2차</v>
      </c>
      <c r="D6299" s="1" t="str">
        <f>"0231A51120"</f>
        <v>0231A51120</v>
      </c>
      <c r="E6299" s="1" t="s">
        <v>10</v>
      </c>
      <c r="F6299" s="1" t="str">
        <f>"10.10.2.210"</f>
        <v>10.10.2.210</v>
      </c>
      <c r="G6299" s="1" t="str">
        <f>"0231A511"</f>
        <v>0231A511</v>
      </c>
      <c r="H6299" s="1" t="str">
        <f>"도우지 20R19R3"</f>
        <v>도우지 20R19R3</v>
      </c>
      <c r="I6299" s="1" t="s">
        <v>8</v>
      </c>
      <c r="J6299" s="1" t="str">
        <f>"48/56"</f>
        <v>48/56</v>
      </c>
      <c r="K6299" s="1" t="str">
        <f>"2026-07-29 13:18:03"</f>
        <v>2026-07-29 13:18:03</v>
      </c>
      <c r="L6299" s="1" t="str">
        <f>"2017-05-22 17:37:57"</f>
        <v>2017-05-22 17:37:57</v>
      </c>
      <c r="M6299" s="1" t="s">
        <v>1</v>
      </c>
      <c r="N6299" s="1" t="s">
        <v>38</v>
      </c>
      <c r="O6299" s="1" t="s">
        <v>46</v>
      </c>
    </row>
    <row r="6300" spans="2:15" x14ac:dyDescent="0.3">
      <c r="B6300" s="1" t="s">
        <v>22</v>
      </c>
      <c r="C6300" s="1" t="str">
        <f>"1차"</f>
        <v>1차</v>
      </c>
      <c r="D6300" s="1" t="str">
        <f>"0231A52100"</f>
        <v>0231A52100</v>
      </c>
      <c r="E6300" s="1" t="s">
        <v>14</v>
      </c>
      <c r="F6300" s="1" t="str">
        <f>"10.107.249.76"</f>
        <v>10.107.249.76</v>
      </c>
      <c r="G6300" s="1" t="str">
        <f>"0231A521"</f>
        <v>0231A521</v>
      </c>
      <c r="H6300" s="1" t="str">
        <f>"방학지 15L3"</f>
        <v>방학지 15L3</v>
      </c>
      <c r="I6300" s="1" t="s">
        <v>8</v>
      </c>
      <c r="J6300" s="1" t="str">
        <f>"0/0"</f>
        <v>0/0</v>
      </c>
      <c r="K6300" s="1" t="str">
        <f>"2026-02-23 07:18:03"</f>
        <v>2026-02-23 07:18:03</v>
      </c>
      <c r="L6300" s="1" t="str">
        <f>"2014-12-11 14:43:05"</f>
        <v>2014-12-11 14:43:05</v>
      </c>
      <c r="M6300" s="1" t="s">
        <v>45</v>
      </c>
      <c r="N6300" s="1" t="s">
        <v>44</v>
      </c>
      <c r="O6300" s="1" t="s">
        <v>44</v>
      </c>
    </row>
    <row r="6301" spans="2:15" x14ac:dyDescent="0.3">
      <c r="B6301" s="1" t="s">
        <v>22</v>
      </c>
      <c r="C6301" s="1" t="str">
        <f>"2차"</f>
        <v>2차</v>
      </c>
      <c r="D6301" s="1" t="str">
        <f>"0231A52220"</f>
        <v>0231A52220</v>
      </c>
      <c r="E6301" s="1" t="s">
        <v>10</v>
      </c>
      <c r="F6301" s="1" t="str">
        <f>"10.10.2.202"</f>
        <v>10.10.2.202</v>
      </c>
      <c r="G6301" s="1" t="str">
        <f>"0231A522"</f>
        <v>0231A522</v>
      </c>
      <c r="H6301" s="1" t="str">
        <f>"도우지 20R15"</f>
        <v>도우지 20R15</v>
      </c>
      <c r="I6301" s="1" t="s">
        <v>8</v>
      </c>
      <c r="J6301" s="1" t="str">
        <f>"57/57"</f>
        <v>57/57</v>
      </c>
      <c r="K6301" s="1" t="str">
        <f>"2026-07-29 13:18:03"</f>
        <v>2026-07-29 13:18:03</v>
      </c>
      <c r="L6301" s="1" t="str">
        <f>"2017-05-22 17:37:29"</f>
        <v>2017-05-22 17:37:29</v>
      </c>
      <c r="M6301" s="1" t="s">
        <v>1</v>
      </c>
      <c r="N6301" s="1" t="s">
        <v>38</v>
      </c>
      <c r="O6301" s="1" t="s">
        <v>46</v>
      </c>
    </row>
    <row r="6302" spans="2:15" x14ac:dyDescent="0.3">
      <c r="B6302" s="1" t="s">
        <v>22</v>
      </c>
      <c r="C6302" s="1" t="str">
        <f>"1차"</f>
        <v>1차</v>
      </c>
      <c r="D6302" s="1" t="str">
        <f>"0231A53200"</f>
        <v>0231A53200</v>
      </c>
      <c r="E6302" s="1" t="s">
        <v>10</v>
      </c>
      <c r="F6302" s="1" t="str">
        <f>"10.107.249.84"</f>
        <v>10.107.249.84</v>
      </c>
      <c r="G6302" s="1" t="str">
        <f>"0231A532"</f>
        <v>0231A532</v>
      </c>
      <c r="H6302" s="1" t="str">
        <f>"방학지 15L1"</f>
        <v>방학지 15L1</v>
      </c>
      <c r="I6302" s="1" t="s">
        <v>8</v>
      </c>
      <c r="J6302" s="1" t="str">
        <f>"50/50"</f>
        <v>50/50</v>
      </c>
      <c r="K6302" s="1" t="str">
        <f>"2026-07-29 13:18:03"</f>
        <v>2026-07-29 13:18:03</v>
      </c>
      <c r="L6302" s="1" t="str">
        <f>"2014-12-11 14:13:06"</f>
        <v>2014-12-11 14:13:06</v>
      </c>
      <c r="M6302" s="1" t="s">
        <v>45</v>
      </c>
      <c r="N6302" s="1" t="s">
        <v>38</v>
      </c>
      <c r="O6302" s="1" t="s">
        <v>46</v>
      </c>
    </row>
    <row r="6303" spans="2:15" x14ac:dyDescent="0.3">
      <c r="B6303" s="1" t="s">
        <v>22</v>
      </c>
      <c r="C6303" s="1" t="str">
        <f>"5-2차"</f>
        <v>5-2차</v>
      </c>
      <c r="D6303" s="1" t="str">
        <f>"0231A5445M"</f>
        <v>0231A5445M</v>
      </c>
      <c r="E6303" s="1" t="s">
        <v>10</v>
      </c>
      <c r="F6303" s="1" t="str">
        <f>"fde3:102:1420:5600:0:0:0:e"</f>
        <v>fde3:102:1420:5600:0:0:0:e</v>
      </c>
      <c r="G6303" s="1" t="str">
        <f>"0231A544"</f>
        <v>0231A544</v>
      </c>
      <c r="H6303" s="1" t="str">
        <f>"방학지 17"</f>
        <v>방학지 17</v>
      </c>
      <c r="I6303" s="1" t="s">
        <v>15</v>
      </c>
      <c r="J6303" s="1" t="str">
        <f>"44/44"</f>
        <v>44/44</v>
      </c>
      <c r="K6303" s="1" t="str">
        <f>"2026-07-29 14:20:56"</f>
        <v>2026-07-29 14:20:56</v>
      </c>
      <c r="L6303" s="1" t="str">
        <f>"2024-01-08 14:43:30"</f>
        <v>2024-01-08 14:43:30</v>
      </c>
      <c r="M6303" s="1" t="s">
        <v>45</v>
      </c>
      <c r="N6303" s="1" t="s">
        <v>38</v>
      </c>
      <c r="O6303" s="1" t="s">
        <v>46</v>
      </c>
    </row>
    <row r="6304" spans="2:15" x14ac:dyDescent="0.3">
      <c r="B6304" s="1" t="s">
        <v>22</v>
      </c>
      <c r="C6304" s="1" t="str">
        <f>"4차"</f>
        <v>4차</v>
      </c>
      <c r="D6304" s="1" t="str">
        <f>"0231A56144"</f>
        <v>0231A56144</v>
      </c>
      <c r="E6304" s="1" t="s">
        <v>10</v>
      </c>
      <c r="F6304" s="1" t="str">
        <f>"10.107.249.86"</f>
        <v>10.107.249.86</v>
      </c>
      <c r="G6304" s="1" t="str">
        <f>"0231A561"</f>
        <v>0231A561</v>
      </c>
      <c r="H6304" s="1" t="str">
        <f>"방학지 5R21L5"</f>
        <v>방학지 5R21L5</v>
      </c>
      <c r="I6304" s="1" t="s">
        <v>8</v>
      </c>
      <c r="J6304" s="1" t="str">
        <f>"31/31"</f>
        <v>31/31</v>
      </c>
      <c r="K6304" s="1" t="str">
        <f>"2026-07-29 13:18:03"</f>
        <v>2026-07-29 13:18:03</v>
      </c>
      <c r="L6304" s="1" t="str">
        <f>"2019-12-13 09:16:02"</f>
        <v>2019-12-13 09:16:02</v>
      </c>
      <c r="M6304" s="1" t="s">
        <v>45</v>
      </c>
      <c r="N6304" s="1" t="s">
        <v>38</v>
      </c>
      <c r="O6304" s="1" t="s">
        <v>46</v>
      </c>
    </row>
    <row r="6305" spans="2:15" x14ac:dyDescent="0.3">
      <c r="B6305" s="1" t="s">
        <v>22</v>
      </c>
      <c r="C6305" s="1" t="str">
        <f>"5-2차"</f>
        <v>5-2차</v>
      </c>
      <c r="D6305" s="1" t="str">
        <f>"0231A5625M"</f>
        <v>0231A5625M</v>
      </c>
      <c r="E6305" s="1" t="s">
        <v>10</v>
      </c>
      <c r="F6305" s="1" t="str">
        <f>"fde3:102:1420:5600:0:0:0:10"</f>
        <v>fde3:102:1420:5600:0:0:0:10</v>
      </c>
      <c r="G6305" s="1" t="str">
        <f>"0231A562"</f>
        <v>0231A562</v>
      </c>
      <c r="H6305" s="1" t="str">
        <f>"방학지 5R21L4"</f>
        <v>방학지 5R21L4</v>
      </c>
      <c r="I6305" s="1" t="s">
        <v>15</v>
      </c>
      <c r="J6305" s="1" t="str">
        <f>"42/42"</f>
        <v>42/42</v>
      </c>
      <c r="K6305" s="1" t="str">
        <f>"2026-07-29 14:20:39"</f>
        <v>2026-07-29 14:20:39</v>
      </c>
      <c r="L6305" s="1" t="str">
        <f>"2024-01-08 14:46:48"</f>
        <v>2024-01-08 14:46:48</v>
      </c>
      <c r="M6305" s="1" t="s">
        <v>45</v>
      </c>
      <c r="N6305" s="1" t="s">
        <v>38</v>
      </c>
      <c r="O6305" s="1" t="s">
        <v>46</v>
      </c>
    </row>
    <row r="6306" spans="2:15" x14ac:dyDescent="0.3">
      <c r="B6306" s="1" t="s">
        <v>22</v>
      </c>
      <c r="C6306" s="1" t="str">
        <f>"3차"</f>
        <v>3차</v>
      </c>
      <c r="D6306" s="1" t="str">
        <f>"0231A58230"</f>
        <v>0231A58230</v>
      </c>
      <c r="E6306" s="1" t="s">
        <v>12</v>
      </c>
      <c r="F6306" s="1" t="str">
        <f>"10.10.21.170"</f>
        <v>10.10.21.170</v>
      </c>
      <c r="G6306" s="1" t="str">
        <f>"0231A582"</f>
        <v>0231A582</v>
      </c>
      <c r="H6306" s="1" t="str">
        <f>"방학지 24R7"</f>
        <v>방학지 24R7</v>
      </c>
      <c r="I6306" s="1" t="s">
        <v>8</v>
      </c>
      <c r="J6306" s="1" t="str">
        <f>"0/58"</f>
        <v>0/58</v>
      </c>
      <c r="K6306" s="1" t="str">
        <f>"2026-07-22 13:18:01"</f>
        <v>2026-07-22 13:18:01</v>
      </c>
      <c r="L6306" s="1" t="str">
        <f>"2018-01-04 10:56:39"</f>
        <v>2018-01-04 10:56:39</v>
      </c>
      <c r="M6306" s="1" t="s">
        <v>1</v>
      </c>
      <c r="N6306" s="1" t="s">
        <v>38</v>
      </c>
      <c r="O6306" s="1" t="s">
        <v>46</v>
      </c>
    </row>
    <row r="6307" spans="2:15" x14ac:dyDescent="0.3">
      <c r="B6307" s="1" t="s">
        <v>22</v>
      </c>
      <c r="C6307" s="1" t="str">
        <f>"4차"</f>
        <v>4차</v>
      </c>
      <c r="D6307" s="1" t="str">
        <f>"0231A60244"</f>
        <v>0231A60244</v>
      </c>
      <c r="E6307" s="1" t="s">
        <v>10</v>
      </c>
      <c r="F6307" s="1" t="str">
        <f>"10.107.249.77"</f>
        <v>10.107.249.77</v>
      </c>
      <c r="G6307" s="1" t="str">
        <f>"0231A602"</f>
        <v>0231A602</v>
      </c>
      <c r="H6307" s="1" t="str">
        <f>"도우지 20R21R2"</f>
        <v>도우지 20R21R2</v>
      </c>
      <c r="I6307" s="1" t="s">
        <v>8</v>
      </c>
      <c r="J6307" s="1" t="str">
        <f>"79/84"</f>
        <v>79/84</v>
      </c>
      <c r="K6307" s="1" t="str">
        <f>"2026-07-29 13:18:03"</f>
        <v>2026-07-29 13:18:03</v>
      </c>
      <c r="L6307" s="1" t="str">
        <f>"2019-12-13 09:18:38"</f>
        <v>2019-12-13 09:18:38</v>
      </c>
      <c r="M6307" s="1" t="s">
        <v>45</v>
      </c>
      <c r="N6307" s="1" t="s">
        <v>38</v>
      </c>
      <c r="O6307" s="1" t="s">
        <v>46</v>
      </c>
    </row>
    <row r="6308" spans="2:15" x14ac:dyDescent="0.3">
      <c r="B6308" s="1" t="s">
        <v>22</v>
      </c>
      <c r="C6308" s="1" t="str">
        <f>"4차"</f>
        <v>4차</v>
      </c>
      <c r="D6308" s="1" t="str">
        <f>"0231A61144"</f>
        <v>0231A61144</v>
      </c>
      <c r="E6308" s="1" t="s">
        <v>10</v>
      </c>
      <c r="F6308" s="1" t="str">
        <f>"10.107.249.80"</f>
        <v>10.107.249.80</v>
      </c>
      <c r="G6308" s="1" t="str">
        <f>"0231A611"</f>
        <v>0231A611</v>
      </c>
      <c r="H6308" s="1" t="str">
        <f>"도우지 20R19R2"</f>
        <v>도우지 20R19R2</v>
      </c>
      <c r="I6308" s="1" t="s">
        <v>8</v>
      </c>
      <c r="J6308" s="1" t="str">
        <f>"72/74"</f>
        <v>72/74</v>
      </c>
      <c r="K6308" s="1" t="str">
        <f>"2026-07-29 13:18:03"</f>
        <v>2026-07-29 13:18:03</v>
      </c>
      <c r="L6308" s="1" t="str">
        <f>"2020-01-22 08:47:40"</f>
        <v>2020-01-22 08:47:40</v>
      </c>
      <c r="M6308" s="1" t="s">
        <v>45</v>
      </c>
      <c r="N6308" s="1" t="s">
        <v>38</v>
      </c>
      <c r="O6308" s="1" t="s">
        <v>46</v>
      </c>
    </row>
    <row r="6309" spans="2:15" x14ac:dyDescent="0.3">
      <c r="B6309" s="1" t="s">
        <v>22</v>
      </c>
      <c r="C6309" s="1" t="str">
        <f>"6차"</f>
        <v>6차</v>
      </c>
      <c r="D6309" s="1" t="str">
        <f>"0231A6326S"</f>
        <v>0231A6326S</v>
      </c>
      <c r="E6309" s="1" t="s">
        <v>10</v>
      </c>
      <c r="F6309" s="1" t="str">
        <f>"fde1:103:4:9368:0:0:0:2"</f>
        <v>fde1:103:4:9368:0:0:0:2</v>
      </c>
      <c r="G6309" s="1" t="str">
        <f>"0231A632"</f>
        <v>0231A632</v>
      </c>
      <c r="H6309" s="1" t="str">
        <f>"도우지 20R17L1"</f>
        <v>도우지 20R17L1</v>
      </c>
      <c r="I6309" s="1" t="s">
        <v>15</v>
      </c>
      <c r="J6309" s="1" t="str">
        <f>"22/22"</f>
        <v>22/22</v>
      </c>
      <c r="K6309" s="1" t="str">
        <f>"2026-07-29 14:20:40"</f>
        <v>2026-07-29 14:20:40</v>
      </c>
      <c r="L6309" s="1" t="str">
        <f>"2025-01-21 10:43:37"</f>
        <v>2025-01-21 10:43:37</v>
      </c>
      <c r="M6309" s="1" t="s">
        <v>4</v>
      </c>
      <c r="N6309" s="1" t="s">
        <v>38</v>
      </c>
      <c r="O6309" s="1" t="s">
        <v>46</v>
      </c>
    </row>
    <row r="6310" spans="2:15" x14ac:dyDescent="0.3">
      <c r="B6310" s="1" t="s">
        <v>22</v>
      </c>
      <c r="C6310" s="1" t="str">
        <f>"1차"</f>
        <v>1차</v>
      </c>
      <c r="D6310" s="1" t="str">
        <f>"0231A63300"</f>
        <v>0231A63300</v>
      </c>
      <c r="E6310" s="1" t="s">
        <v>10</v>
      </c>
      <c r="F6310" s="1" t="str">
        <f>"10.107.248.101"</f>
        <v>10.107.248.101</v>
      </c>
      <c r="G6310" s="1" t="str">
        <f>"0231A633"</f>
        <v>0231A633</v>
      </c>
      <c r="H6310" s="1" t="str">
        <f>"도우지 20R17"</f>
        <v>도우지 20R17</v>
      </c>
      <c r="I6310" s="1" t="s">
        <v>8</v>
      </c>
      <c r="J6310" s="1" t="str">
        <f>"25/25"</f>
        <v>25/25</v>
      </c>
      <c r="K6310" s="1" t="str">
        <f>"2026-07-29 13:18:03"</f>
        <v>2026-07-29 13:18:03</v>
      </c>
      <c r="L6310" s="1" t="str">
        <f>"2014-12-15 13:42:39"</f>
        <v>2014-12-15 13:42:39</v>
      </c>
      <c r="M6310" s="1" t="s">
        <v>45</v>
      </c>
      <c r="N6310" s="1" t="s">
        <v>38</v>
      </c>
      <c r="O6310" s="1" t="s">
        <v>46</v>
      </c>
    </row>
    <row r="6311" spans="2:15" x14ac:dyDescent="0.3">
      <c r="B6311" s="1" t="s">
        <v>22</v>
      </c>
      <c r="C6311" s="1" t="str">
        <f>"2차"</f>
        <v>2차</v>
      </c>
      <c r="D6311" s="1" t="str">
        <f>"0231A63422"</f>
        <v>0231A63422</v>
      </c>
      <c r="E6311" s="1" t="s">
        <v>10</v>
      </c>
      <c r="F6311" s="1" t="str">
        <f>"10.14.8.126"</f>
        <v>10.14.8.126</v>
      </c>
      <c r="G6311" s="1" t="str">
        <f>"0231A634"</f>
        <v>0231A634</v>
      </c>
      <c r="H6311" s="1" t="str">
        <f>"도우지 20R16"</f>
        <v>도우지 20R16</v>
      </c>
      <c r="I6311" s="1" t="s">
        <v>8</v>
      </c>
      <c r="J6311" s="1" t="str">
        <f>"41/46"</f>
        <v>41/46</v>
      </c>
      <c r="K6311" s="1" t="str">
        <f>"2026-07-29 13:18:04"</f>
        <v>2026-07-29 13:18:04</v>
      </c>
      <c r="L6311" s="1" t="str">
        <f>"2017-05-22 17:38:54"</f>
        <v>2017-05-22 17:38:54</v>
      </c>
      <c r="M6311" s="1" t="s">
        <v>3</v>
      </c>
      <c r="N6311" s="1" t="s">
        <v>38</v>
      </c>
      <c r="O6311" s="1" t="s">
        <v>46</v>
      </c>
    </row>
    <row r="6312" spans="2:15" x14ac:dyDescent="0.3">
      <c r="B6312" s="1" t="s">
        <v>22</v>
      </c>
      <c r="C6312" s="1" t="str">
        <f>"4차"</f>
        <v>4차</v>
      </c>
      <c r="D6312" s="1" t="str">
        <f>"0231A65242"</f>
        <v>0231A65242</v>
      </c>
      <c r="E6312" s="1" t="s">
        <v>10</v>
      </c>
      <c r="F6312" s="1" t="str">
        <f>"10.107.249.85"</f>
        <v>10.107.249.85</v>
      </c>
      <c r="G6312" s="1" t="str">
        <f>"0231A652"</f>
        <v>0231A652</v>
      </c>
      <c r="H6312" s="1" t="str">
        <f>"방학지 17R3"</f>
        <v>방학지 17R3</v>
      </c>
      <c r="I6312" s="1" t="s">
        <v>8</v>
      </c>
      <c r="J6312" s="1" t="str">
        <f>"89/89"</f>
        <v>89/89</v>
      </c>
      <c r="K6312" s="1" t="str">
        <f>"2026-07-29 13:18:03"</f>
        <v>2026-07-29 13:18:03</v>
      </c>
      <c r="L6312" s="1" t="str">
        <f>"2024-05-21 09:19:39"</f>
        <v>2024-05-21 09:19:39</v>
      </c>
      <c r="M6312" s="1" t="s">
        <v>45</v>
      </c>
      <c r="N6312" s="1" t="s">
        <v>38</v>
      </c>
      <c r="O6312" s="1" t="s">
        <v>46</v>
      </c>
    </row>
    <row r="6313" spans="2:15" x14ac:dyDescent="0.3">
      <c r="B6313" s="1" t="s">
        <v>22</v>
      </c>
      <c r="C6313" s="1" t="str">
        <f>"4차"</f>
        <v>4차</v>
      </c>
      <c r="D6313" s="1" t="str">
        <f>"0231A67144"</f>
        <v>0231A67144</v>
      </c>
      <c r="E6313" s="1" t="s">
        <v>10</v>
      </c>
      <c r="F6313" s="1" t="str">
        <f>"10.107.249.87"</f>
        <v>10.107.249.87</v>
      </c>
      <c r="G6313" s="1" t="str">
        <f>"0231A671"</f>
        <v>0231A671</v>
      </c>
      <c r="H6313" s="1" t="str">
        <f>"방학지 5R21L2"</f>
        <v>방학지 5R21L2</v>
      </c>
      <c r="I6313" s="1" t="s">
        <v>8</v>
      </c>
      <c r="J6313" s="1" t="str">
        <f>"21/21"</f>
        <v>21/21</v>
      </c>
      <c r="K6313" s="1" t="str">
        <f>"2026-07-29 13:18:03"</f>
        <v>2026-07-29 13:18:03</v>
      </c>
      <c r="L6313" s="1" t="str">
        <f>"2019-12-13 09:14:50"</f>
        <v>2019-12-13 09:14:50</v>
      </c>
      <c r="M6313" s="1" t="s">
        <v>45</v>
      </c>
      <c r="N6313" s="1" t="s">
        <v>38</v>
      </c>
      <c r="O6313" s="1" t="s">
        <v>46</v>
      </c>
    </row>
    <row r="6314" spans="2:15" x14ac:dyDescent="0.3">
      <c r="B6314" s="1" t="s">
        <v>22</v>
      </c>
      <c r="C6314" s="1" t="str">
        <f>"5-2차"</f>
        <v>5-2차</v>
      </c>
      <c r="D6314" s="1" t="str">
        <f>"0231A6735M"</f>
        <v>0231A6735M</v>
      </c>
      <c r="E6314" s="1" t="s">
        <v>10</v>
      </c>
      <c r="F6314" s="1" t="str">
        <f>"fde3:102:1420:5600:0:0:0:f"</f>
        <v>fde3:102:1420:5600:0:0:0:f</v>
      </c>
      <c r="G6314" s="1" t="str">
        <f>"0231A673"</f>
        <v>0231A673</v>
      </c>
      <c r="H6314" s="1" t="str">
        <f>"방학지 5R21L3"</f>
        <v>방학지 5R21L3</v>
      </c>
      <c r="I6314" s="1" t="s">
        <v>15</v>
      </c>
      <c r="J6314" s="1" t="str">
        <f>"36/36"</f>
        <v>36/36</v>
      </c>
      <c r="K6314" s="1" t="str">
        <f>"2026-07-29 14:21:09"</f>
        <v>2026-07-29 14:21:09</v>
      </c>
      <c r="L6314" s="1" t="str">
        <f>"2024-01-08 14:45:09"</f>
        <v>2024-01-08 14:45:09</v>
      </c>
      <c r="M6314" s="1" t="s">
        <v>45</v>
      </c>
      <c r="N6314" s="1" t="s">
        <v>38</v>
      </c>
      <c r="O6314" s="1" t="s">
        <v>46</v>
      </c>
    </row>
    <row r="6315" spans="2:15" x14ac:dyDescent="0.3">
      <c r="B6315" s="1" t="s">
        <v>22</v>
      </c>
      <c r="C6315" s="1" t="str">
        <f>"4차"</f>
        <v>4차</v>
      </c>
      <c r="D6315" s="1" t="str">
        <f>"0231A68144"</f>
        <v>0231A68144</v>
      </c>
      <c r="E6315" s="1" t="s">
        <v>10</v>
      </c>
      <c r="F6315" s="1" t="str">
        <f>"10.107.250.219"</f>
        <v>10.107.250.219</v>
      </c>
      <c r="G6315" s="1" t="str">
        <f>"0231A681"</f>
        <v>0231A681</v>
      </c>
      <c r="H6315" s="1" t="str">
        <f>"방학지 5R23L3"</f>
        <v>방학지 5R23L3</v>
      </c>
      <c r="I6315" s="1" t="s">
        <v>8</v>
      </c>
      <c r="J6315" s="1" t="str">
        <f>"94/98"</f>
        <v>94/98</v>
      </c>
      <c r="K6315" s="1" t="str">
        <f>"2026-07-29 13:18:03"</f>
        <v>2026-07-29 13:18:03</v>
      </c>
      <c r="L6315" s="1" t="str">
        <f>"2019-12-13 09:18:04"</f>
        <v>2019-12-13 09:18:04</v>
      </c>
      <c r="M6315" s="1" t="s">
        <v>45</v>
      </c>
      <c r="N6315" s="1" t="s">
        <v>38</v>
      </c>
      <c r="O6315" s="1" t="s">
        <v>46</v>
      </c>
    </row>
    <row r="6316" spans="2:15" x14ac:dyDescent="0.3">
      <c r="B6316" s="1" t="s">
        <v>22</v>
      </c>
      <c r="C6316" s="1" t="str">
        <f>"4차"</f>
        <v>4차</v>
      </c>
      <c r="D6316" s="1" t="str">
        <f>"0231A69131"</f>
        <v>0231A69131</v>
      </c>
      <c r="E6316" s="1" t="s">
        <v>12</v>
      </c>
      <c r="F6316" s="1" t="str">
        <f>"10.10.21.171"</f>
        <v>10.10.21.171</v>
      </c>
      <c r="G6316" s="1" t="str">
        <f>"0231A691"</f>
        <v>0231A691</v>
      </c>
      <c r="H6316" s="1" t="str">
        <f>"방학지 24R8"</f>
        <v>방학지 24R8</v>
      </c>
      <c r="I6316" s="1" t="s">
        <v>8</v>
      </c>
      <c r="J6316" s="1" t="str">
        <f>"0/91"</f>
        <v>0/91</v>
      </c>
      <c r="K6316" s="1" t="str">
        <f>"2026-07-22 13:18:02"</f>
        <v>2026-07-22 13:18:02</v>
      </c>
      <c r="L6316" s="1" t="str">
        <f>"2018-03-15 14:00:58"</f>
        <v>2018-03-15 14:00:58</v>
      </c>
      <c r="M6316" s="1" t="s">
        <v>1</v>
      </c>
      <c r="N6316" s="1" t="s">
        <v>38</v>
      </c>
      <c r="O6316" s="1" t="s">
        <v>46</v>
      </c>
    </row>
    <row r="6317" spans="2:15" x14ac:dyDescent="0.3">
      <c r="B6317" s="1" t="s">
        <v>22</v>
      </c>
      <c r="C6317" s="1" t="str">
        <f>"5-2차"</f>
        <v>5-2차</v>
      </c>
      <c r="D6317" s="1" t="str">
        <f>"0231A7115M"</f>
        <v>0231A7115M</v>
      </c>
      <c r="E6317" s="1" t="s">
        <v>10</v>
      </c>
      <c r="F6317" s="1" t="str">
        <f>"fde3:102:1420:5600:0:0:0:4"</f>
        <v>fde3:102:1420:5600:0:0:0:4</v>
      </c>
      <c r="G6317" s="1" t="str">
        <f>"0231A711"</f>
        <v>0231A711</v>
      </c>
      <c r="H6317" s="1" t="str">
        <f>"도우지 20R20"</f>
        <v>도우지 20R20</v>
      </c>
      <c r="I6317" s="1" t="s">
        <v>15</v>
      </c>
      <c r="J6317" s="1" t="str">
        <f>"56/56"</f>
        <v>56/56</v>
      </c>
      <c r="K6317" s="1" t="str">
        <f>"2026-07-29 14:20:52"</f>
        <v>2026-07-29 14:20:52</v>
      </c>
      <c r="L6317" s="1" t="str">
        <f>"2024-01-08 14:24:11"</f>
        <v>2024-01-08 14:24:11</v>
      </c>
      <c r="M6317" s="1" t="s">
        <v>45</v>
      </c>
      <c r="N6317" s="1" t="s">
        <v>38</v>
      </c>
      <c r="O6317" s="1" t="s">
        <v>46</v>
      </c>
    </row>
    <row r="6318" spans="2:15" x14ac:dyDescent="0.3">
      <c r="B6318" s="1" t="s">
        <v>22</v>
      </c>
      <c r="C6318" s="1" t="str">
        <f>"4차"</f>
        <v>4차</v>
      </c>
      <c r="D6318" s="1" t="str">
        <f>"0231A72444"</f>
        <v>0231A72444</v>
      </c>
      <c r="E6318" s="1" t="s">
        <v>10</v>
      </c>
      <c r="F6318" s="1" t="str">
        <f>"10.107.249.90"</f>
        <v>10.107.249.90</v>
      </c>
      <c r="G6318" s="1" t="str">
        <f>"0231A724"</f>
        <v>0231A724</v>
      </c>
      <c r="H6318" s="1" t="str">
        <f>"도우지 20R19R1"</f>
        <v>도우지 20R19R1</v>
      </c>
      <c r="I6318" s="1" t="s">
        <v>8</v>
      </c>
      <c r="J6318" s="1" t="str">
        <f>"26/26"</f>
        <v>26/26</v>
      </c>
      <c r="K6318" s="1" t="str">
        <f>"2026-07-29 13:18:03"</f>
        <v>2026-07-29 13:18:03</v>
      </c>
      <c r="L6318" s="1" t="str">
        <f>"2020-01-29 09:41:53"</f>
        <v>2020-01-29 09:41:53</v>
      </c>
      <c r="M6318" s="1" t="s">
        <v>45</v>
      </c>
      <c r="N6318" s="1" t="s">
        <v>38</v>
      </c>
      <c r="O6318" s="1" t="s">
        <v>46</v>
      </c>
    </row>
    <row r="6319" spans="2:15" x14ac:dyDescent="0.3">
      <c r="B6319" s="1" t="s">
        <v>22</v>
      </c>
      <c r="C6319" s="1" t="str">
        <f>"6차"</f>
        <v>6차</v>
      </c>
      <c r="D6319" s="1" t="str">
        <f>"0231A7616S"</f>
        <v>0231A7616S</v>
      </c>
      <c r="E6319" s="1" t="s">
        <v>10</v>
      </c>
      <c r="F6319" s="1" t="str">
        <f>"fde1:103:4:c7fe:0:0:0:2"</f>
        <v>fde1:103:4:c7fe:0:0:0:2</v>
      </c>
      <c r="G6319" s="1" t="str">
        <f>"0231A761"</f>
        <v>0231A761</v>
      </c>
      <c r="H6319" s="1" t="str">
        <f>"방학지 5R20L1"</f>
        <v>방학지 5R20L1</v>
      </c>
      <c r="I6319" s="1" t="s">
        <v>15</v>
      </c>
      <c r="J6319" s="1" t="str">
        <f>"110/113"</f>
        <v>110/113</v>
      </c>
      <c r="K6319" s="1" t="str">
        <f>"2026-07-29 14:20:54"</f>
        <v>2026-07-29 14:20:54</v>
      </c>
      <c r="L6319" s="1" t="str">
        <f>"2024-12-06 11:23:20"</f>
        <v>2024-12-06 11:23:20</v>
      </c>
      <c r="M6319" s="1" t="s">
        <v>4</v>
      </c>
      <c r="N6319" s="1" t="s">
        <v>38</v>
      </c>
      <c r="O6319" s="1" t="s">
        <v>46</v>
      </c>
    </row>
    <row r="6320" spans="2:15" x14ac:dyDescent="0.3">
      <c r="B6320" s="1" t="s">
        <v>22</v>
      </c>
      <c r="C6320" s="1" t="str">
        <f>"4차"</f>
        <v>4차</v>
      </c>
      <c r="D6320" s="1" t="str">
        <f>"0231A77244"</f>
        <v>0231A77244</v>
      </c>
      <c r="E6320" s="1" t="s">
        <v>10</v>
      </c>
      <c r="F6320" s="1" t="str">
        <f>"10.107.248.80"</f>
        <v>10.107.248.80</v>
      </c>
      <c r="G6320" s="1" t="str">
        <f>"0231A772"</f>
        <v>0231A772</v>
      </c>
      <c r="H6320" s="1" t="str">
        <f>"방학지 5R21"</f>
        <v>방학지 5R21</v>
      </c>
      <c r="I6320" s="1" t="s">
        <v>8</v>
      </c>
      <c r="J6320" s="1" t="str">
        <f>"29/31"</f>
        <v>29/31</v>
      </c>
      <c r="K6320" s="1" t="str">
        <f>"2026-07-29 13:18:03"</f>
        <v>2026-07-29 13:18:03</v>
      </c>
      <c r="L6320" s="1" t="str">
        <f>"2019-12-13 12:09:19"</f>
        <v>2019-12-13 12:09:19</v>
      </c>
      <c r="M6320" s="1" t="s">
        <v>45</v>
      </c>
      <c r="N6320" s="1" t="s">
        <v>38</v>
      </c>
      <c r="O6320" s="1" t="s">
        <v>46</v>
      </c>
    </row>
    <row r="6321" spans="2:15" x14ac:dyDescent="0.3">
      <c r="B6321" s="1" t="s">
        <v>22</v>
      </c>
      <c r="C6321" s="1" t="str">
        <f>"4차"</f>
        <v>4차</v>
      </c>
      <c r="D6321" s="1" t="str">
        <f>"0231A78144"</f>
        <v>0231A78144</v>
      </c>
      <c r="E6321" s="1" t="s">
        <v>10</v>
      </c>
      <c r="F6321" s="1" t="str">
        <f>"10.107.250.220"</f>
        <v>10.107.250.220</v>
      </c>
      <c r="G6321" s="1" t="str">
        <f>"0231A781"</f>
        <v>0231A781</v>
      </c>
      <c r="H6321" s="1" t="str">
        <f>"방학지 5R23L2"</f>
        <v>방학지 5R23L2</v>
      </c>
      <c r="I6321" s="1" t="s">
        <v>8</v>
      </c>
      <c r="J6321" s="1" t="str">
        <f>"22/22"</f>
        <v>22/22</v>
      </c>
      <c r="K6321" s="1" t="str">
        <f>"2026-07-29 13:18:03"</f>
        <v>2026-07-29 13:18:03</v>
      </c>
      <c r="L6321" s="1" t="str">
        <f>"2019-12-13 09:11:29"</f>
        <v>2019-12-13 09:11:29</v>
      </c>
      <c r="M6321" s="1" t="s">
        <v>45</v>
      </c>
      <c r="N6321" s="1" t="s">
        <v>38</v>
      </c>
      <c r="O6321" s="1" t="s">
        <v>46</v>
      </c>
    </row>
    <row r="6322" spans="2:15" x14ac:dyDescent="0.3">
      <c r="B6322" s="1" t="s">
        <v>22</v>
      </c>
      <c r="C6322" s="1" t="str">
        <f>"5-1차"</f>
        <v>5-1차</v>
      </c>
      <c r="D6322" s="1" t="str">
        <f>"0231A8015M"</f>
        <v>0231A8015M</v>
      </c>
      <c r="E6322" s="1" t="s">
        <v>10</v>
      </c>
      <c r="F6322" s="1" t="str">
        <f>"fde2:104:0:110:0:0:0:2"</f>
        <v>fde2:104:0:110:0:0:0:2</v>
      </c>
      <c r="G6322" s="1" t="str">
        <f>"0231A801"</f>
        <v>0231A801</v>
      </c>
      <c r="H6322" s="1" t="str">
        <f>"도우지 20R21L2"</f>
        <v>도우지 20R21L2</v>
      </c>
      <c r="I6322" s="1" t="s">
        <v>15</v>
      </c>
      <c r="J6322" s="1" t="str">
        <f>"49/49"</f>
        <v>49/49</v>
      </c>
      <c r="K6322" s="1" t="str">
        <f>"2026-07-29 14:20:41"</f>
        <v>2026-07-29 14:20:41</v>
      </c>
      <c r="L6322" s="1" t="str">
        <f>"2022-10-13 09:27:01"</f>
        <v>2022-10-13 09:27:01</v>
      </c>
      <c r="M6322" s="1" t="s">
        <v>42</v>
      </c>
      <c r="N6322" s="1" t="s">
        <v>38</v>
      </c>
      <c r="O6322" s="1" t="s">
        <v>46</v>
      </c>
    </row>
    <row r="6323" spans="2:15" x14ac:dyDescent="0.3">
      <c r="B6323" s="1" t="s">
        <v>22</v>
      </c>
      <c r="C6323" s="1" t="str">
        <f>"4차"</f>
        <v>4차</v>
      </c>
      <c r="D6323" s="1" t="str">
        <f>"0231A81344"</f>
        <v>0231A81344</v>
      </c>
      <c r="E6323" s="1" t="s">
        <v>10</v>
      </c>
      <c r="F6323" s="1" t="str">
        <f>"10.107.249.91"</f>
        <v>10.107.249.91</v>
      </c>
      <c r="G6323" s="1" t="str">
        <f>"0231A813"</f>
        <v>0231A813</v>
      </c>
      <c r="H6323" s="1" t="str">
        <f>"도우지 20R20L1"</f>
        <v>도우지 20R20L1</v>
      </c>
      <c r="I6323" s="1" t="s">
        <v>8</v>
      </c>
      <c r="J6323" s="1" t="str">
        <f>"37/37"</f>
        <v>37/37</v>
      </c>
      <c r="K6323" s="1" t="str">
        <f>"2026-07-29 13:18:03"</f>
        <v>2026-07-29 13:18:03</v>
      </c>
      <c r="L6323" s="1" t="str">
        <f>"2020-01-29 09:43:11"</f>
        <v>2020-01-29 09:43:11</v>
      </c>
      <c r="M6323" s="1" t="s">
        <v>45</v>
      </c>
      <c r="N6323" s="1" t="s">
        <v>38</v>
      </c>
      <c r="O6323" s="1" t="s">
        <v>46</v>
      </c>
    </row>
    <row r="6324" spans="2:15" x14ac:dyDescent="0.3">
      <c r="B6324" s="1" t="s">
        <v>22</v>
      </c>
      <c r="C6324" s="1" t="str">
        <f>"1차"</f>
        <v>1차</v>
      </c>
      <c r="D6324" s="1" t="str">
        <f>"0231A82100"</f>
        <v>0231A82100</v>
      </c>
      <c r="E6324" s="1" t="s">
        <v>10</v>
      </c>
      <c r="F6324" s="1" t="str">
        <f>"10.107.249.92"</f>
        <v>10.107.249.92</v>
      </c>
      <c r="G6324" s="1" t="str">
        <f>"0231A821"</f>
        <v>0231A821</v>
      </c>
      <c r="H6324" s="1" t="str">
        <f>"도우지 20R19R1R2"</f>
        <v>도우지 20R19R1R2</v>
      </c>
      <c r="I6324" s="1" t="s">
        <v>8</v>
      </c>
      <c r="J6324" s="1" t="str">
        <f>"61/73"</f>
        <v>61/73</v>
      </c>
      <c r="K6324" s="1" t="str">
        <f>"2026-07-29 13:18:03"</f>
        <v>2026-07-29 13:18:03</v>
      </c>
      <c r="L6324" s="1" t="str">
        <f>"2014-12-19 16:33:54"</f>
        <v>2014-12-19 16:33:54</v>
      </c>
      <c r="M6324" s="1" t="s">
        <v>45</v>
      </c>
      <c r="N6324" s="1" t="s">
        <v>38</v>
      </c>
      <c r="O6324" s="1" t="s">
        <v>46</v>
      </c>
    </row>
    <row r="6325" spans="2:15" x14ac:dyDescent="0.3">
      <c r="B6325" s="1" t="s">
        <v>22</v>
      </c>
      <c r="C6325" s="1" t="str">
        <f>"6차"</f>
        <v>6차</v>
      </c>
      <c r="D6325" s="1" t="str">
        <f>"0231A8526S"</f>
        <v>0231A8526S</v>
      </c>
      <c r="E6325" s="1" t="s">
        <v>10</v>
      </c>
      <c r="F6325" s="1" t="str">
        <f>"fde1:103:4:9216:0:0:0:2"</f>
        <v>fde1:103:4:9216:0:0:0:2</v>
      </c>
      <c r="G6325" s="1" t="str">
        <f>"0231A852"</f>
        <v>0231A852</v>
      </c>
      <c r="H6325" s="1" t="str">
        <f>"도우지 20R17L5"</f>
        <v>도우지 20R17L5</v>
      </c>
      <c r="I6325" s="1" t="s">
        <v>15</v>
      </c>
      <c r="J6325" s="1" t="str">
        <f>"28/28"</f>
        <v>28/28</v>
      </c>
      <c r="K6325" s="1" t="str">
        <f>"2026-07-29 14:20:35"</f>
        <v>2026-07-29 14:20:35</v>
      </c>
      <c r="L6325" s="1" t="str">
        <f>"2025-02-18 15:51:55"</f>
        <v>2025-02-18 15:51:55</v>
      </c>
      <c r="M6325" s="1" t="s">
        <v>4</v>
      </c>
      <c r="N6325" s="1" t="s">
        <v>38</v>
      </c>
      <c r="O6325" s="1" t="s">
        <v>46</v>
      </c>
    </row>
    <row r="6326" spans="2:15" x14ac:dyDescent="0.3">
      <c r="B6326" s="1" t="s">
        <v>22</v>
      </c>
      <c r="C6326" s="1" t="str">
        <f>"6차"</f>
        <v>6차</v>
      </c>
      <c r="D6326" s="1" t="str">
        <f>"0231A8636S"</f>
        <v>0231A8636S</v>
      </c>
      <c r="E6326" s="1" t="s">
        <v>10</v>
      </c>
      <c r="F6326" s="1" t="str">
        <f>"fde1:103:4:c7bb:0:0:0:2"</f>
        <v>fde1:103:4:c7bb:0:0:0:2</v>
      </c>
      <c r="G6326" s="1" t="str">
        <f>"0231A863"</f>
        <v>0231A863</v>
      </c>
      <c r="H6326" s="1" t="str">
        <f>"방학지 5R19"</f>
        <v>방학지 5R19</v>
      </c>
      <c r="I6326" s="1" t="s">
        <v>15</v>
      </c>
      <c r="J6326" s="1" t="str">
        <f>"52/58"</f>
        <v>52/58</v>
      </c>
      <c r="K6326" s="1" t="str">
        <f>"2026-07-29 14:20:40"</f>
        <v>2026-07-29 14:20:40</v>
      </c>
      <c r="L6326" s="1" t="str">
        <f>"2024-12-06 11:23:26"</f>
        <v>2024-12-06 11:23:26</v>
      </c>
      <c r="M6326" s="1" t="s">
        <v>4</v>
      </c>
      <c r="N6326" s="1" t="s">
        <v>38</v>
      </c>
      <c r="O6326" s="1" t="s">
        <v>46</v>
      </c>
    </row>
    <row r="6327" spans="2:15" x14ac:dyDescent="0.3">
      <c r="B6327" s="1" t="s">
        <v>22</v>
      </c>
      <c r="C6327" s="1" t="str">
        <f>"6차"</f>
        <v>6차</v>
      </c>
      <c r="D6327" s="1" t="str">
        <f>"0231A8716S"</f>
        <v>0231A8716S</v>
      </c>
      <c r="E6327" s="1" t="s">
        <v>10</v>
      </c>
      <c r="F6327" s="1" t="str">
        <f>"fde1:103:4:937e:0:0:0:2"</f>
        <v>fde1:103:4:937e:0:0:0:2</v>
      </c>
      <c r="G6327" s="1" t="str">
        <f>"0231A871"</f>
        <v>0231A871</v>
      </c>
      <c r="H6327" s="1" t="str">
        <f>"방학지 5R21R2"</f>
        <v>방학지 5R21R2</v>
      </c>
      <c r="I6327" s="1" t="s">
        <v>15</v>
      </c>
      <c r="J6327" s="1" t="str">
        <f>"13/13"</f>
        <v>13/13</v>
      </c>
      <c r="K6327" s="1" t="str">
        <f>"2026-07-29 14:20:54"</f>
        <v>2026-07-29 14:20:54</v>
      </c>
      <c r="L6327" s="1" t="str">
        <f>"2025-01-21 10:53:09"</f>
        <v>2025-01-21 10:53:09</v>
      </c>
      <c r="M6327" s="1" t="s">
        <v>4</v>
      </c>
      <c r="N6327" s="1" t="s">
        <v>38</v>
      </c>
      <c r="O6327" s="1" t="s">
        <v>46</v>
      </c>
    </row>
    <row r="6328" spans="2:15" x14ac:dyDescent="0.3">
      <c r="B6328" s="1" t="s">
        <v>22</v>
      </c>
      <c r="C6328" s="1" t="str">
        <f>"4차"</f>
        <v>4차</v>
      </c>
      <c r="D6328" s="1" t="str">
        <f>"0231A88244"</f>
        <v>0231A88244</v>
      </c>
      <c r="E6328" s="1" t="s">
        <v>10</v>
      </c>
      <c r="F6328" s="1" t="str">
        <f>"10.107.250.221"</f>
        <v>10.107.250.221</v>
      </c>
      <c r="G6328" s="1" t="str">
        <f>"0231A882"</f>
        <v>0231A882</v>
      </c>
      <c r="H6328" s="1" t="str">
        <f>"방학지 5R23R2"</f>
        <v>방학지 5R23R2</v>
      </c>
      <c r="I6328" s="1" t="s">
        <v>8</v>
      </c>
      <c r="J6328" s="1" t="str">
        <f>"29/30"</f>
        <v>29/30</v>
      </c>
      <c r="K6328" s="1" t="str">
        <f>"2026-07-29 13:18:03"</f>
        <v>2026-07-29 13:18:03</v>
      </c>
      <c r="L6328" s="1" t="str">
        <f>"2019-12-13 09:18:40"</f>
        <v>2019-12-13 09:18:40</v>
      </c>
      <c r="M6328" s="1" t="s">
        <v>45</v>
      </c>
      <c r="N6328" s="1" t="s">
        <v>38</v>
      </c>
      <c r="O6328" s="1" t="s">
        <v>46</v>
      </c>
    </row>
    <row r="6329" spans="2:15" x14ac:dyDescent="0.3">
      <c r="B6329" s="1" t="s">
        <v>22</v>
      </c>
      <c r="C6329" s="1" t="str">
        <f>"5-2차"</f>
        <v>5-2차</v>
      </c>
      <c r="D6329" s="1" t="str">
        <f>"0231A9015M"</f>
        <v>0231A9015M</v>
      </c>
      <c r="E6329" s="1" t="s">
        <v>10</v>
      </c>
      <c r="F6329" s="1" t="str">
        <f>"fde3:102:1420:5600:0:0:0:5"</f>
        <v>fde3:102:1420:5600:0:0:0:5</v>
      </c>
      <c r="G6329" s="1" t="str">
        <f>"0231A901"</f>
        <v>0231A901</v>
      </c>
      <c r="H6329" s="1" t="str">
        <f>"도우지 20R21L3"</f>
        <v>도우지 20R21L3</v>
      </c>
      <c r="I6329" s="1" t="s">
        <v>15</v>
      </c>
      <c r="J6329" s="1" t="str">
        <f>"80/80"</f>
        <v>80/80</v>
      </c>
      <c r="K6329" s="1" t="str">
        <f>"2026-07-29 14:20:37"</f>
        <v>2026-07-29 14:20:37</v>
      </c>
      <c r="L6329" s="1" t="str">
        <f>"2024-01-08 14:26:15"</f>
        <v>2024-01-08 14:26:15</v>
      </c>
      <c r="M6329" s="1" t="s">
        <v>45</v>
      </c>
      <c r="N6329" s="1" t="s">
        <v>38</v>
      </c>
      <c r="O6329" s="1" t="s">
        <v>46</v>
      </c>
    </row>
    <row r="6330" spans="2:15" x14ac:dyDescent="0.3">
      <c r="B6330" s="1" t="s">
        <v>22</v>
      </c>
      <c r="C6330" s="1" t="str">
        <f>"4차"</f>
        <v>4차</v>
      </c>
      <c r="D6330" s="1" t="str">
        <f>"0231A91144"</f>
        <v>0231A91144</v>
      </c>
      <c r="E6330" s="1" t="s">
        <v>10</v>
      </c>
      <c r="F6330" s="1" t="str">
        <f>"10.107.249.93"</f>
        <v>10.107.249.93</v>
      </c>
      <c r="G6330" s="1" t="str">
        <f>"0231A911"</f>
        <v>0231A911</v>
      </c>
      <c r="H6330" s="1" t="str">
        <f>"도우지 20R20L2"</f>
        <v>도우지 20R20L2</v>
      </c>
      <c r="I6330" s="1" t="s">
        <v>8</v>
      </c>
      <c r="J6330" s="1" t="str">
        <f>"39/39"</f>
        <v>39/39</v>
      </c>
      <c r="K6330" s="1" t="str">
        <f>"2026-07-29 13:18:03"</f>
        <v>2026-07-29 13:18:03</v>
      </c>
      <c r="L6330" s="1" t="str">
        <f>"2019-12-13 09:15:28"</f>
        <v>2019-12-13 09:15:28</v>
      </c>
      <c r="M6330" s="1" t="s">
        <v>45</v>
      </c>
      <c r="N6330" s="1" t="s">
        <v>38</v>
      </c>
      <c r="O6330" s="1" t="s">
        <v>46</v>
      </c>
    </row>
    <row r="6331" spans="2:15" x14ac:dyDescent="0.3">
      <c r="B6331" s="1" t="s">
        <v>22</v>
      </c>
      <c r="C6331" s="1" t="str">
        <f t="shared" ref="C6331:C6337" si="314">"6차"</f>
        <v>6차</v>
      </c>
      <c r="D6331" s="1" t="str">
        <f>"0231A9236S"</f>
        <v>0231A9236S</v>
      </c>
      <c r="E6331" s="1" t="s">
        <v>10</v>
      </c>
      <c r="F6331" s="1" t="str">
        <f>"fde1:103:4:c63c:0:0:0:2"</f>
        <v>fde1:103:4:c63c:0:0:0:2</v>
      </c>
      <c r="G6331" s="1" t="str">
        <f>"0231A923"</f>
        <v>0231A923</v>
      </c>
      <c r="H6331" s="1" t="str">
        <f>"도우지 20R19R1R5"</f>
        <v>도우지 20R19R1R5</v>
      </c>
      <c r="I6331" s="1" t="s">
        <v>15</v>
      </c>
      <c r="J6331" s="1" t="str">
        <f>"42/42"</f>
        <v>42/42</v>
      </c>
      <c r="K6331" s="1" t="str">
        <f>"2026-07-29 14:21:09"</f>
        <v>2026-07-29 14:21:09</v>
      </c>
      <c r="L6331" s="1" t="str">
        <f>"2024-12-05 11:34:03"</f>
        <v>2024-12-05 11:34:03</v>
      </c>
      <c r="M6331" s="1" t="s">
        <v>4</v>
      </c>
      <c r="N6331" s="1" t="s">
        <v>38</v>
      </c>
      <c r="O6331" s="1" t="s">
        <v>46</v>
      </c>
    </row>
    <row r="6332" spans="2:15" x14ac:dyDescent="0.3">
      <c r="B6332" s="1" t="s">
        <v>22</v>
      </c>
      <c r="C6332" s="1" t="str">
        <f t="shared" si="314"/>
        <v>6차</v>
      </c>
      <c r="D6332" s="1" t="str">
        <f>"0231A9326S"</f>
        <v>0231A9326S</v>
      </c>
      <c r="E6332" s="1" t="s">
        <v>10</v>
      </c>
      <c r="F6332" s="1" t="str">
        <f>"fde1:103:4:c5de:0:0:0:2"</f>
        <v>fde1:103:4:c5de:0:0:0:2</v>
      </c>
      <c r="G6332" s="1" t="str">
        <f>"0231A932"</f>
        <v>0231A932</v>
      </c>
      <c r="H6332" s="1" t="str">
        <f>"도우지 20R19R1R7"</f>
        <v>도우지 20R19R1R7</v>
      </c>
      <c r="I6332" s="1" t="s">
        <v>15</v>
      </c>
      <c r="J6332" s="1" t="str">
        <f>"47/47"</f>
        <v>47/47</v>
      </c>
      <c r="K6332" s="1" t="str">
        <f>"2026-07-29 14:20:16"</f>
        <v>2026-07-29 14:20:16</v>
      </c>
      <c r="L6332" s="1" t="str">
        <f>"2024-12-05 11:33:50"</f>
        <v>2024-12-05 11:33:50</v>
      </c>
      <c r="M6332" s="1" t="s">
        <v>4</v>
      </c>
      <c r="N6332" s="1" t="s">
        <v>38</v>
      </c>
      <c r="O6332" s="1" t="s">
        <v>46</v>
      </c>
    </row>
    <row r="6333" spans="2:15" x14ac:dyDescent="0.3">
      <c r="B6333" s="1" t="s">
        <v>22</v>
      </c>
      <c r="C6333" s="1" t="str">
        <f t="shared" si="314"/>
        <v>6차</v>
      </c>
      <c r="D6333" s="1" t="str">
        <f>"0231A9516S"</f>
        <v>0231A9516S</v>
      </c>
      <c r="E6333" s="1" t="s">
        <v>10</v>
      </c>
      <c r="F6333" s="1" t="str">
        <f>"fde1:103:4:c832:0:0:0:2"</f>
        <v>fde1:103:4:c832:0:0:0:2</v>
      </c>
      <c r="G6333" s="1" t="str">
        <f>"0231A951"</f>
        <v>0231A951</v>
      </c>
      <c r="H6333" s="1" t="str">
        <f>"방학지 10"</f>
        <v>방학지 10</v>
      </c>
      <c r="I6333" s="1" t="s">
        <v>15</v>
      </c>
      <c r="J6333" s="1" t="str">
        <f>"47/47"</f>
        <v>47/47</v>
      </c>
      <c r="K6333" s="1" t="str">
        <f>"2026-07-29 14:20:40"</f>
        <v>2026-07-29 14:20:40</v>
      </c>
      <c r="L6333" s="1" t="str">
        <f>"2024-12-06 11:23:05"</f>
        <v>2024-12-06 11:23:05</v>
      </c>
      <c r="M6333" s="1" t="s">
        <v>4</v>
      </c>
      <c r="N6333" s="1" t="s">
        <v>38</v>
      </c>
      <c r="O6333" s="1" t="s">
        <v>46</v>
      </c>
    </row>
    <row r="6334" spans="2:15" x14ac:dyDescent="0.3">
      <c r="B6334" s="1" t="s">
        <v>22</v>
      </c>
      <c r="C6334" s="1" t="str">
        <f t="shared" si="314"/>
        <v>6차</v>
      </c>
      <c r="D6334" s="1" t="str">
        <f>"0231A9526S"</f>
        <v>0231A9526S</v>
      </c>
      <c r="E6334" s="1" t="s">
        <v>10</v>
      </c>
      <c r="F6334" s="1" t="str">
        <f>"fde1:103:4:c650:0:0:0:2"</f>
        <v>fde1:103:4:c650:0:0:0:2</v>
      </c>
      <c r="G6334" s="1" t="str">
        <f>"0231A952"</f>
        <v>0231A952</v>
      </c>
      <c r="H6334" s="1" t="str">
        <f>"도우지 20R17L6"</f>
        <v>도우지 20R17L6</v>
      </c>
      <c r="I6334" s="1" t="s">
        <v>15</v>
      </c>
      <c r="J6334" s="1" t="str">
        <f>"21/23"</f>
        <v>21/23</v>
      </c>
      <c r="K6334" s="1" t="str">
        <f>"2026-07-29 14:20:41"</f>
        <v>2026-07-29 14:20:41</v>
      </c>
      <c r="L6334" s="1" t="str">
        <f>"2024-12-05 11:46:18"</f>
        <v>2024-12-05 11:46:18</v>
      </c>
      <c r="M6334" s="1" t="s">
        <v>4</v>
      </c>
      <c r="N6334" s="1" t="s">
        <v>38</v>
      </c>
      <c r="O6334" s="1" t="s">
        <v>46</v>
      </c>
    </row>
    <row r="6335" spans="2:15" x14ac:dyDescent="0.3">
      <c r="B6335" s="1" t="s">
        <v>22</v>
      </c>
      <c r="C6335" s="1" t="str">
        <f t="shared" si="314"/>
        <v>6차</v>
      </c>
      <c r="D6335" s="1" t="str">
        <f>"0231A9616S"</f>
        <v>0231A9616S</v>
      </c>
      <c r="E6335" s="1" t="s">
        <v>10</v>
      </c>
      <c r="F6335" s="1" t="str">
        <f>"fde1:103:4:9200:0:0:0:2"</f>
        <v>fde1:103:4:9200:0:0:0:2</v>
      </c>
      <c r="G6335" s="1" t="str">
        <f>"0231A961"</f>
        <v>0231A961</v>
      </c>
      <c r="H6335" s="1" t="str">
        <f>"방학지 5R18"</f>
        <v>방학지 5R18</v>
      </c>
      <c r="I6335" s="1" t="s">
        <v>15</v>
      </c>
      <c r="J6335" s="1" t="str">
        <f>"32/38"</f>
        <v>32/38</v>
      </c>
      <c r="K6335" s="1" t="str">
        <f>"2026-07-29 14:20:41"</f>
        <v>2026-07-29 14:20:41</v>
      </c>
      <c r="L6335" s="1" t="str">
        <f>"2024-10-08 16:58:36"</f>
        <v>2024-10-08 16:58:36</v>
      </c>
      <c r="M6335" s="1" t="s">
        <v>4</v>
      </c>
      <c r="N6335" s="1" t="s">
        <v>38</v>
      </c>
      <c r="O6335" s="1" t="s">
        <v>46</v>
      </c>
    </row>
    <row r="6336" spans="2:15" x14ac:dyDescent="0.3">
      <c r="B6336" s="1" t="s">
        <v>22</v>
      </c>
      <c r="C6336" s="1" t="str">
        <f t="shared" si="314"/>
        <v>6차</v>
      </c>
      <c r="D6336" s="1" t="str">
        <f>"0231A9736S"</f>
        <v>0231A9736S</v>
      </c>
      <c r="E6336" s="1" t="s">
        <v>12</v>
      </c>
      <c r="F6336" s="1" t="str">
        <f>"fde1:103:4:93bf:0:0:0:2"</f>
        <v>fde1:103:4:93bf:0:0:0:2</v>
      </c>
      <c r="G6336" s="1" t="str">
        <f>"0231A973"</f>
        <v>0231A973</v>
      </c>
      <c r="H6336" s="1" t="str">
        <f>"방학지 5R21R4"</f>
        <v>방학지 5R21R4</v>
      </c>
      <c r="I6336" s="1" t="s">
        <v>15</v>
      </c>
      <c r="J6336" s="1" t="str">
        <f>"0/64"</f>
        <v>0/64</v>
      </c>
      <c r="K6336" s="1" t="str">
        <f>"2026-07-08 14:20:07"</f>
        <v>2026-07-08 14:20:07</v>
      </c>
      <c r="L6336" s="1" t="str">
        <f>"2025-01-21 10:53:26"</f>
        <v>2025-01-21 10:53:26</v>
      </c>
      <c r="M6336" s="1" t="s">
        <v>4</v>
      </c>
      <c r="N6336" s="1" t="s">
        <v>38</v>
      </c>
      <c r="O6336" s="1" t="s">
        <v>46</v>
      </c>
    </row>
    <row r="6337" spans="2:15" x14ac:dyDescent="0.3">
      <c r="B6337" s="1" t="s">
        <v>22</v>
      </c>
      <c r="C6337" s="1" t="str">
        <f t="shared" si="314"/>
        <v>6차</v>
      </c>
      <c r="D6337" s="1" t="str">
        <f>"0231A9826S"</f>
        <v>0231A9826S</v>
      </c>
      <c r="E6337" s="1" t="s">
        <v>10</v>
      </c>
      <c r="F6337" s="1" t="str">
        <f>"fde3:102:1420:5400:0:0:0:26"</f>
        <v>fde3:102:1420:5400:0:0:0:26</v>
      </c>
      <c r="G6337" s="1" t="str">
        <f>"0231A982"</f>
        <v>0231A982</v>
      </c>
      <c r="H6337" s="1" t="str">
        <f>"방학지 5R23R3"</f>
        <v>방학지 5R23R3</v>
      </c>
      <c r="I6337" s="1" t="s">
        <v>15</v>
      </c>
      <c r="J6337" s="1" t="str">
        <f>"74/74"</f>
        <v>74/74</v>
      </c>
      <c r="K6337" s="1" t="str">
        <f>"2026-07-29 14:20:40"</f>
        <v>2026-07-29 14:20:40</v>
      </c>
      <c r="L6337" s="1" t="str">
        <f>"2024-11-26 16:48:01"</f>
        <v>2024-11-26 16:48:01</v>
      </c>
      <c r="M6337" s="1" t="s">
        <v>45</v>
      </c>
      <c r="N6337" s="1" t="s">
        <v>38</v>
      </c>
      <c r="O6337" s="1" t="s">
        <v>46</v>
      </c>
    </row>
    <row r="6338" spans="2:15" x14ac:dyDescent="0.3">
      <c r="B6338" s="1" t="s">
        <v>22</v>
      </c>
      <c r="C6338" s="1" t="str">
        <f>"4차"</f>
        <v>4차</v>
      </c>
      <c r="D6338" s="1" t="str">
        <f>"0231A98444"</f>
        <v>0231A98444</v>
      </c>
      <c r="E6338" s="1" t="s">
        <v>10</v>
      </c>
      <c r="F6338" s="1" t="str">
        <f>"10.107.250.222"</f>
        <v>10.107.250.222</v>
      </c>
      <c r="G6338" s="1" t="str">
        <f>"0231A984"</f>
        <v>0231A984</v>
      </c>
      <c r="H6338" s="1" t="str">
        <f>"방학지 5R23R4"</f>
        <v>방학지 5R23R4</v>
      </c>
      <c r="I6338" s="1" t="s">
        <v>8</v>
      </c>
      <c r="J6338" s="1" t="str">
        <f>"49/49"</f>
        <v>49/49</v>
      </c>
      <c r="K6338" s="1" t="str">
        <f>"2026-07-29 13:18:03"</f>
        <v>2026-07-29 13:18:03</v>
      </c>
      <c r="L6338" s="1" t="str">
        <f>"2022-03-30 09:50:09"</f>
        <v>2022-03-30 09:50:09</v>
      </c>
      <c r="M6338" s="1" t="s">
        <v>45</v>
      </c>
      <c r="N6338" s="1" t="s">
        <v>38</v>
      </c>
      <c r="O6338" s="1" t="s">
        <v>46</v>
      </c>
    </row>
    <row r="6339" spans="2:15" x14ac:dyDescent="0.3">
      <c r="B6339" s="1" t="s">
        <v>22</v>
      </c>
      <c r="C6339" s="1" t="str">
        <f>"5-2차"</f>
        <v>5-2차</v>
      </c>
      <c r="D6339" s="1" t="str">
        <f>"0231A9915M"</f>
        <v>0231A9915M</v>
      </c>
      <c r="E6339" s="1" t="s">
        <v>10</v>
      </c>
      <c r="F6339" s="1" t="str">
        <f>"fde3:102:1420:5400:0:0:0:24"</f>
        <v>fde3:102:1420:5400:0:0:0:24</v>
      </c>
      <c r="G6339" s="1" t="str">
        <f>"0231A991"</f>
        <v>0231A991</v>
      </c>
      <c r="H6339" s="1" t="str">
        <f>"방학지 5R11R2"</f>
        <v>방학지 5R11R2</v>
      </c>
      <c r="I6339" s="1" t="s">
        <v>15</v>
      </c>
      <c r="J6339" s="1" t="str">
        <f>"37/37"</f>
        <v>37/37</v>
      </c>
      <c r="K6339" s="1" t="str">
        <f>"2026-07-29 14:21:09"</f>
        <v>2026-07-29 14:21:09</v>
      </c>
      <c r="L6339" s="1" t="str">
        <f>"2024-01-18 13:30:58"</f>
        <v>2024-01-18 13:30:58</v>
      </c>
      <c r="M6339" s="1" t="s">
        <v>45</v>
      </c>
      <c r="N6339" s="1" t="s">
        <v>38</v>
      </c>
      <c r="O6339" s="1" t="s">
        <v>46</v>
      </c>
    </row>
    <row r="6340" spans="2:15" x14ac:dyDescent="0.3">
      <c r="B6340" s="1" t="s">
        <v>22</v>
      </c>
      <c r="C6340" s="1" t="str">
        <f>"4차"</f>
        <v>4차</v>
      </c>
      <c r="D6340" s="1" t="str">
        <f>"0231B00144"</f>
        <v>0231B00144</v>
      </c>
      <c r="E6340" s="1" t="s">
        <v>10</v>
      </c>
      <c r="F6340" s="1" t="str">
        <f>"10.107.249.94"</f>
        <v>10.107.249.94</v>
      </c>
      <c r="G6340" s="1" t="str">
        <f>"0231B001"</f>
        <v>0231B001</v>
      </c>
      <c r="H6340" s="1" t="str">
        <f>"도우지 20R21L4"</f>
        <v>도우지 20R21L4</v>
      </c>
      <c r="I6340" s="1" t="s">
        <v>8</v>
      </c>
      <c r="J6340" s="1" t="str">
        <f>"38/38"</f>
        <v>38/38</v>
      </c>
      <c r="K6340" s="1" t="str">
        <f>"2026-07-29 13:18:03"</f>
        <v>2026-07-29 13:18:03</v>
      </c>
      <c r="L6340" s="1" t="str">
        <f>"2019-12-13 09:15:32"</f>
        <v>2019-12-13 09:15:32</v>
      </c>
      <c r="M6340" s="1" t="s">
        <v>45</v>
      </c>
      <c r="N6340" s="1" t="s">
        <v>38</v>
      </c>
      <c r="O6340" s="1" t="s">
        <v>46</v>
      </c>
    </row>
    <row r="6341" spans="2:15" x14ac:dyDescent="0.3">
      <c r="B6341" s="1" t="s">
        <v>22</v>
      </c>
      <c r="C6341" s="1" t="str">
        <f>"5-2차"</f>
        <v>5-2차</v>
      </c>
      <c r="D6341" s="1" t="str">
        <f>"0231B0125S"</f>
        <v>0231B0125S</v>
      </c>
      <c r="E6341" s="1" t="s">
        <v>10</v>
      </c>
      <c r="F6341" s="1" t="str">
        <f>"fde3:102:1420:5300:0:0:0:12"</f>
        <v>fde3:102:1420:5300:0:0:0:12</v>
      </c>
      <c r="G6341" s="1" t="str">
        <f>"0231B012"</f>
        <v>0231B012</v>
      </c>
      <c r="H6341" s="1" t="str">
        <f>"도우지 20R20L4"</f>
        <v>도우지 20R20L4</v>
      </c>
      <c r="I6341" s="1" t="s">
        <v>15</v>
      </c>
      <c r="J6341" s="1" t="str">
        <f>"43/43"</f>
        <v>43/43</v>
      </c>
      <c r="K6341" s="1" t="str">
        <f>"2026-07-29 14:20:26"</f>
        <v>2026-07-29 14:20:26</v>
      </c>
      <c r="L6341" s="1" t="str">
        <f>"2023-12-12 11:30:43"</f>
        <v>2023-12-12 11:30:43</v>
      </c>
      <c r="M6341" s="1" t="s">
        <v>45</v>
      </c>
      <c r="N6341" s="1" t="s">
        <v>38</v>
      </c>
      <c r="O6341" s="1" t="s">
        <v>46</v>
      </c>
    </row>
    <row r="6342" spans="2:15" x14ac:dyDescent="0.3">
      <c r="B6342" s="1" t="s">
        <v>22</v>
      </c>
      <c r="C6342" s="1" t="str">
        <f>"6차"</f>
        <v>6차</v>
      </c>
      <c r="D6342" s="1" t="str">
        <f>"0231B0136S"</f>
        <v>0231B0136S</v>
      </c>
      <c r="E6342" s="1" t="s">
        <v>10</v>
      </c>
      <c r="F6342" s="1" t="str">
        <f>"fde3:102:1420:5300:0:0:0:15"</f>
        <v>fde3:102:1420:5300:0:0:0:15</v>
      </c>
      <c r="G6342" s="1" t="str">
        <f>"0231B013"</f>
        <v>0231B013</v>
      </c>
      <c r="H6342" s="1" t="str">
        <f>"도우지 20R20L4R1"</f>
        <v>도우지 20R20L4R1</v>
      </c>
      <c r="I6342" s="1" t="s">
        <v>15</v>
      </c>
      <c r="J6342" s="1" t="str">
        <f>"45/46"</f>
        <v>45/46</v>
      </c>
      <c r="K6342" s="1" t="str">
        <f>"2026-07-28 20:20:03"</f>
        <v>2026-07-28 20:20:03</v>
      </c>
      <c r="L6342" s="1" t="str">
        <f>"2024-11-23 09:41:55"</f>
        <v>2024-11-23 09:41:55</v>
      </c>
      <c r="M6342" s="1" t="s">
        <v>45</v>
      </c>
      <c r="N6342" s="1" t="s">
        <v>38</v>
      </c>
      <c r="O6342" s="1" t="s">
        <v>46</v>
      </c>
    </row>
    <row r="6343" spans="2:15" x14ac:dyDescent="0.3">
      <c r="B6343" s="1" t="s">
        <v>22</v>
      </c>
      <c r="C6343" s="1" t="str">
        <f>"1차"</f>
        <v>1차</v>
      </c>
      <c r="D6343" s="1" t="str">
        <f>"0231B03300"</f>
        <v>0231B03300</v>
      </c>
      <c r="E6343" s="1" t="s">
        <v>10</v>
      </c>
      <c r="F6343" s="1" t="str">
        <f>"10.107.251.249"</f>
        <v>10.107.251.249</v>
      </c>
      <c r="G6343" s="1" t="str">
        <f>"0231B033"</f>
        <v>0231B033</v>
      </c>
      <c r="H6343" s="1" t="str">
        <f>"도우지 20R20L7"</f>
        <v>도우지 20R20L7</v>
      </c>
      <c r="I6343" s="1" t="s">
        <v>8</v>
      </c>
      <c r="J6343" s="1" t="str">
        <f>"15/15"</f>
        <v>15/15</v>
      </c>
      <c r="K6343" s="1" t="str">
        <f>"2026-07-29 13:18:03"</f>
        <v>2026-07-29 13:18:03</v>
      </c>
      <c r="L6343" s="1" t="str">
        <f>"2020-07-06 16:58:23"</f>
        <v>2020-07-06 16:58:23</v>
      </c>
      <c r="M6343" s="1" t="s">
        <v>45</v>
      </c>
      <c r="N6343" s="1" t="s">
        <v>38</v>
      </c>
      <c r="O6343" s="1" t="s">
        <v>46</v>
      </c>
    </row>
    <row r="6344" spans="2:15" x14ac:dyDescent="0.3">
      <c r="B6344" s="1" t="s">
        <v>22</v>
      </c>
      <c r="C6344" s="1" t="str">
        <f>"1차"</f>
        <v>1차</v>
      </c>
      <c r="D6344" s="1" t="str">
        <f>"0231B05100"</f>
        <v>0231B05100</v>
      </c>
      <c r="E6344" s="1" t="s">
        <v>10</v>
      </c>
      <c r="F6344" s="1" t="str">
        <f>"10.107.248.81"</f>
        <v>10.107.248.81</v>
      </c>
      <c r="G6344" s="1" t="str">
        <f>"0231B051"</f>
        <v>0231B051</v>
      </c>
      <c r="H6344" s="1" t="str">
        <f>"방학지 9"</f>
        <v>방학지 9</v>
      </c>
      <c r="I6344" s="1" t="s">
        <v>8</v>
      </c>
      <c r="J6344" s="1" t="str">
        <f>"7/11"</f>
        <v>7/11</v>
      </c>
      <c r="K6344" s="1" t="str">
        <f>"2026-07-29 13:18:03"</f>
        <v>2026-07-29 13:18:03</v>
      </c>
      <c r="L6344" s="1" t="str">
        <f>"2014-12-23 14:28:39"</f>
        <v>2014-12-23 14:28:39</v>
      </c>
      <c r="M6344" s="1" t="s">
        <v>45</v>
      </c>
      <c r="N6344" s="1" t="s">
        <v>38</v>
      </c>
      <c r="O6344" s="1" t="s">
        <v>46</v>
      </c>
    </row>
    <row r="6345" spans="2:15" x14ac:dyDescent="0.3">
      <c r="B6345" s="1" t="s">
        <v>22</v>
      </c>
      <c r="C6345" s="1" t="str">
        <f>"6차"</f>
        <v>6차</v>
      </c>
      <c r="D6345" s="1" t="str">
        <f>"0231B0616S"</f>
        <v>0231B0616S</v>
      </c>
      <c r="E6345" s="1" t="s">
        <v>10</v>
      </c>
      <c r="F6345" s="1" t="str">
        <f>"fde1:103:4:c7b3:0:0:0:2"</f>
        <v>fde1:103:4:c7b3:0:0:0:2</v>
      </c>
      <c r="G6345" s="1" t="str">
        <f>"0231B061"</f>
        <v>0231B061</v>
      </c>
      <c r="H6345" s="1" t="str">
        <f>"방학지 5R17"</f>
        <v>방학지 5R17</v>
      </c>
      <c r="I6345" s="1" t="s">
        <v>15</v>
      </c>
      <c r="J6345" s="1" t="str">
        <f>"34/34"</f>
        <v>34/34</v>
      </c>
      <c r="K6345" s="1" t="str">
        <f>"2026-07-29 14:20:41"</f>
        <v>2026-07-29 14:20:41</v>
      </c>
      <c r="L6345" s="1" t="str">
        <f>"2024-12-06 11:23:26"</f>
        <v>2024-12-06 11:23:26</v>
      </c>
      <c r="M6345" s="1" t="s">
        <v>4</v>
      </c>
      <c r="N6345" s="1" t="s">
        <v>38</v>
      </c>
      <c r="O6345" s="1" t="s">
        <v>46</v>
      </c>
    </row>
    <row r="6346" spans="2:15" x14ac:dyDescent="0.3">
      <c r="B6346" s="1" t="s">
        <v>22</v>
      </c>
      <c r="C6346" s="1" t="str">
        <f>"4차"</f>
        <v>4차</v>
      </c>
      <c r="D6346" s="1" t="str">
        <f>"0231B07144"</f>
        <v>0231B07144</v>
      </c>
      <c r="E6346" s="1" t="s">
        <v>10</v>
      </c>
      <c r="F6346" s="1" t="str">
        <f>"10.107.248.82"</f>
        <v>10.107.248.82</v>
      </c>
      <c r="G6346" s="1" t="str">
        <f>"0231B071"</f>
        <v>0231B071</v>
      </c>
      <c r="H6346" s="1" t="str">
        <f>"방학지 5R15"</f>
        <v>방학지 5R15</v>
      </c>
      <c r="I6346" s="1" t="s">
        <v>8</v>
      </c>
      <c r="J6346" s="1" t="str">
        <f>"45/45"</f>
        <v>45/45</v>
      </c>
      <c r="K6346" s="1" t="str">
        <f>"2026-07-29 13:18:03"</f>
        <v>2026-07-29 13:18:03</v>
      </c>
      <c r="L6346" s="1" t="str">
        <f>"2019-12-13 09:15:36"</f>
        <v>2019-12-13 09:15:36</v>
      </c>
      <c r="M6346" s="1" t="s">
        <v>45</v>
      </c>
      <c r="N6346" s="1" t="s">
        <v>38</v>
      </c>
      <c r="O6346" s="1" t="s">
        <v>46</v>
      </c>
    </row>
    <row r="6347" spans="2:15" x14ac:dyDescent="0.3">
      <c r="B6347" s="1" t="s">
        <v>22</v>
      </c>
      <c r="C6347" s="1" t="str">
        <f>"4차"</f>
        <v>4차</v>
      </c>
      <c r="D6347" s="1" t="str">
        <f>"0231B08144"</f>
        <v>0231B08144</v>
      </c>
      <c r="E6347" s="1" t="s">
        <v>10</v>
      </c>
      <c r="F6347" s="1" t="str">
        <f>"10.107.248.83"</f>
        <v>10.107.248.83</v>
      </c>
      <c r="G6347" s="1" t="str">
        <f>"0231B081"</f>
        <v>0231B081</v>
      </c>
      <c r="H6347" s="1" t="str">
        <f>"방학지 5R14"</f>
        <v>방학지 5R14</v>
      </c>
      <c r="I6347" s="1" t="s">
        <v>8</v>
      </c>
      <c r="J6347" s="1" t="str">
        <f>"22/22"</f>
        <v>22/22</v>
      </c>
      <c r="K6347" s="1" t="str">
        <f>"2026-07-29 13:18:03"</f>
        <v>2026-07-29 13:18:03</v>
      </c>
      <c r="L6347" s="1" t="str">
        <f>"2019-12-13 09:17:10"</f>
        <v>2019-12-13 09:17:10</v>
      </c>
      <c r="M6347" s="1" t="s">
        <v>45</v>
      </c>
      <c r="N6347" s="1" t="s">
        <v>38</v>
      </c>
      <c r="O6347" s="1" t="s">
        <v>46</v>
      </c>
    </row>
    <row r="6348" spans="2:15" x14ac:dyDescent="0.3">
      <c r="B6348" s="1" t="s">
        <v>22</v>
      </c>
      <c r="C6348" s="1" t="str">
        <f>"5-2차"</f>
        <v>5-2차</v>
      </c>
      <c r="D6348" s="1" t="str">
        <f>"0231B0925M"</f>
        <v>0231B0925M</v>
      </c>
      <c r="E6348" s="1" t="s">
        <v>10</v>
      </c>
      <c r="F6348" s="1" t="str">
        <f>"fde1:103:4:9394:0:0:0:2"</f>
        <v>fde1:103:4:9394:0:0:0:2</v>
      </c>
      <c r="G6348" s="1" t="str">
        <f>"0231B092"</f>
        <v>0231B092</v>
      </c>
      <c r="H6348" s="1" t="str">
        <f>"방학지 5R12"</f>
        <v>방학지 5R12</v>
      </c>
      <c r="I6348" s="1" t="s">
        <v>15</v>
      </c>
      <c r="J6348" s="1" t="str">
        <f>"62/62"</f>
        <v>62/62</v>
      </c>
      <c r="K6348" s="1" t="str">
        <f>"2026-07-29 14:20:41"</f>
        <v>2026-07-29 14:20:41</v>
      </c>
      <c r="L6348" s="1" t="str">
        <f>"2023-12-19 11:44:23"</f>
        <v>2023-12-19 11:44:23</v>
      </c>
      <c r="M6348" s="1" t="s">
        <v>4</v>
      </c>
      <c r="N6348" s="1" t="s">
        <v>38</v>
      </c>
      <c r="O6348" s="1" t="s">
        <v>46</v>
      </c>
    </row>
    <row r="6349" spans="2:15" x14ac:dyDescent="0.3">
      <c r="B6349" s="1" t="s">
        <v>22</v>
      </c>
      <c r="C6349" s="1" t="str">
        <f>"4차"</f>
        <v>4차</v>
      </c>
      <c r="D6349" s="1" t="str">
        <f>"0231B10144"</f>
        <v>0231B10144</v>
      </c>
      <c r="E6349" s="1" t="s">
        <v>10</v>
      </c>
      <c r="F6349" s="1" t="str">
        <f>"10.107.251.233"</f>
        <v>10.107.251.233</v>
      </c>
      <c r="G6349" s="1" t="str">
        <f>"0231B101"</f>
        <v>0231B101</v>
      </c>
      <c r="H6349" s="1" t="str">
        <f>"도봉SW 12R6"</f>
        <v>도봉SW 12R6</v>
      </c>
      <c r="I6349" s="1" t="s">
        <v>8</v>
      </c>
      <c r="J6349" s="1" t="str">
        <f>"31/32"</f>
        <v>31/32</v>
      </c>
      <c r="K6349" s="1" t="str">
        <f>"2026-07-29 13:18:03"</f>
        <v>2026-07-29 13:18:03</v>
      </c>
      <c r="L6349" s="1" t="str">
        <f>"2020-01-21 18:58:21"</f>
        <v>2020-01-21 18:58:21</v>
      </c>
      <c r="M6349" s="1" t="s">
        <v>45</v>
      </c>
      <c r="N6349" s="1" t="s">
        <v>38</v>
      </c>
      <c r="O6349" s="1" t="s">
        <v>46</v>
      </c>
    </row>
    <row r="6350" spans="2:15" x14ac:dyDescent="0.3">
      <c r="B6350" s="1" t="s">
        <v>22</v>
      </c>
      <c r="C6350" s="1" t="str">
        <f>"1차"</f>
        <v>1차</v>
      </c>
      <c r="D6350" s="1" t="str">
        <f>"0231B13201"</f>
        <v>0231B13201</v>
      </c>
      <c r="E6350" s="1" t="s">
        <v>10</v>
      </c>
      <c r="F6350" s="1" t="str">
        <f>"10.12.130.230"</f>
        <v>10.12.130.230</v>
      </c>
      <c r="G6350" s="1" t="str">
        <f>"0231B132"</f>
        <v>0231B132</v>
      </c>
      <c r="H6350" s="1" t="str">
        <f>"도봉SW 14R6"</f>
        <v>도봉SW 14R6</v>
      </c>
      <c r="I6350" s="1" t="s">
        <v>8</v>
      </c>
      <c r="J6350" s="1" t="str">
        <f>"35/35"</f>
        <v>35/35</v>
      </c>
      <c r="K6350" s="1" t="str">
        <f>"2026-07-29 13:18:04"</f>
        <v>2026-07-29 13:18:04</v>
      </c>
      <c r="L6350" s="1" t="str">
        <f>"2014-12-11 12:27:41"</f>
        <v>2014-12-11 12:27:41</v>
      </c>
      <c r="M6350" s="1" t="s">
        <v>0</v>
      </c>
      <c r="N6350" s="1" t="s">
        <v>38</v>
      </c>
      <c r="O6350" s="1" t="s">
        <v>46</v>
      </c>
    </row>
    <row r="6351" spans="2:15" x14ac:dyDescent="0.3">
      <c r="B6351" s="1" t="s">
        <v>22</v>
      </c>
      <c r="C6351" s="1" t="str">
        <f t="shared" ref="C6351:C6356" si="315">"4차"</f>
        <v>4차</v>
      </c>
      <c r="D6351" s="1" t="str">
        <f>"0231B16144"</f>
        <v>0231B16144</v>
      </c>
      <c r="E6351" s="1" t="s">
        <v>10</v>
      </c>
      <c r="F6351" s="1" t="str">
        <f>"10.107.248.84"</f>
        <v>10.107.248.84</v>
      </c>
      <c r="G6351" s="1" t="str">
        <f>"0231B161"</f>
        <v>0231B161</v>
      </c>
      <c r="H6351" s="1" t="str">
        <f>"방학지 5R16L1"</f>
        <v>방학지 5R16L1</v>
      </c>
      <c r="I6351" s="1" t="s">
        <v>8</v>
      </c>
      <c r="J6351" s="1" t="str">
        <f>"40/43"</f>
        <v>40/43</v>
      </c>
      <c r="K6351" s="1" t="str">
        <f t="shared" ref="K6351:K6356" si="316">"2026-07-29 13:18:03"</f>
        <v>2026-07-29 13:18:03</v>
      </c>
      <c r="L6351" s="1" t="str">
        <f>"2019-12-13 09:13:12"</f>
        <v>2019-12-13 09:13:12</v>
      </c>
      <c r="M6351" s="1" t="s">
        <v>45</v>
      </c>
      <c r="N6351" s="1" t="s">
        <v>38</v>
      </c>
      <c r="O6351" s="1" t="s">
        <v>46</v>
      </c>
    </row>
    <row r="6352" spans="2:15" x14ac:dyDescent="0.3">
      <c r="B6352" s="1" t="s">
        <v>22</v>
      </c>
      <c r="C6352" s="1" t="str">
        <f t="shared" si="315"/>
        <v>4차</v>
      </c>
      <c r="D6352" s="1" t="str">
        <f>"0231B18144"</f>
        <v>0231B18144</v>
      </c>
      <c r="E6352" s="1" t="s">
        <v>10</v>
      </c>
      <c r="F6352" s="1" t="str">
        <f>"10.107.250.168"</f>
        <v>10.107.250.168</v>
      </c>
      <c r="G6352" s="1" t="str">
        <f>"0231B181"</f>
        <v>0231B181</v>
      </c>
      <c r="H6352" s="1" t="str">
        <f>"방학지 5R6L2"</f>
        <v>방학지 5R6L2</v>
      </c>
      <c r="I6352" s="1" t="s">
        <v>8</v>
      </c>
      <c r="J6352" s="1" t="str">
        <f>"39/39"</f>
        <v>39/39</v>
      </c>
      <c r="K6352" s="1" t="str">
        <f t="shared" si="316"/>
        <v>2026-07-29 13:18:03</v>
      </c>
      <c r="L6352" s="1" t="str">
        <f>"2019-12-13 09:16:33"</f>
        <v>2019-12-13 09:16:33</v>
      </c>
      <c r="M6352" s="1" t="s">
        <v>45</v>
      </c>
      <c r="N6352" s="1" t="s">
        <v>38</v>
      </c>
      <c r="O6352" s="1" t="s">
        <v>46</v>
      </c>
    </row>
    <row r="6353" spans="2:15" x14ac:dyDescent="0.3">
      <c r="B6353" s="1" t="s">
        <v>22</v>
      </c>
      <c r="C6353" s="1" t="str">
        <f t="shared" si="315"/>
        <v>4차</v>
      </c>
      <c r="D6353" s="1" t="str">
        <f>"0231B18244"</f>
        <v>0231B18244</v>
      </c>
      <c r="E6353" s="1" t="s">
        <v>10</v>
      </c>
      <c r="F6353" s="1" t="str">
        <f>"10.107.250.169"</f>
        <v>10.107.250.169</v>
      </c>
      <c r="G6353" s="1" t="str">
        <f>"0231B182"</f>
        <v>0231B182</v>
      </c>
      <c r="H6353" s="1" t="str">
        <f>"방학지 5R6L3"</f>
        <v>방학지 5R6L3</v>
      </c>
      <c r="I6353" s="1" t="s">
        <v>8</v>
      </c>
      <c r="J6353" s="1" t="str">
        <f>"39/39"</f>
        <v>39/39</v>
      </c>
      <c r="K6353" s="1" t="str">
        <f t="shared" si="316"/>
        <v>2026-07-29 13:18:03</v>
      </c>
      <c r="L6353" s="1" t="str">
        <f>"2019-12-13 09:11:46"</f>
        <v>2019-12-13 09:11:46</v>
      </c>
      <c r="M6353" s="1" t="s">
        <v>45</v>
      </c>
      <c r="N6353" s="1" t="s">
        <v>38</v>
      </c>
      <c r="O6353" s="1" t="s">
        <v>46</v>
      </c>
    </row>
    <row r="6354" spans="2:15" x14ac:dyDescent="0.3">
      <c r="B6354" s="1" t="s">
        <v>22</v>
      </c>
      <c r="C6354" s="1" t="str">
        <f t="shared" si="315"/>
        <v>4차</v>
      </c>
      <c r="D6354" s="1" t="str">
        <f>"0231B19144"</f>
        <v>0231B19144</v>
      </c>
      <c r="E6354" s="1" t="s">
        <v>10</v>
      </c>
      <c r="F6354" s="1" t="str">
        <f>"10.107.250.170"</f>
        <v>10.107.250.170</v>
      </c>
      <c r="G6354" s="1" t="str">
        <f>"0231B191"</f>
        <v>0231B191</v>
      </c>
      <c r="H6354" s="1" t="str">
        <f>"방학지 5R10"</f>
        <v>방학지 5R10</v>
      </c>
      <c r="I6354" s="1" t="s">
        <v>8</v>
      </c>
      <c r="J6354" s="1" t="str">
        <f>"71/71"</f>
        <v>71/71</v>
      </c>
      <c r="K6354" s="1" t="str">
        <f t="shared" si="316"/>
        <v>2026-07-29 13:18:03</v>
      </c>
      <c r="L6354" s="1" t="str">
        <f>"2019-12-13 09:16:43"</f>
        <v>2019-12-13 09:16:43</v>
      </c>
      <c r="M6354" s="1" t="s">
        <v>45</v>
      </c>
      <c r="N6354" s="1" t="s">
        <v>38</v>
      </c>
      <c r="O6354" s="1" t="s">
        <v>46</v>
      </c>
    </row>
    <row r="6355" spans="2:15" x14ac:dyDescent="0.3">
      <c r="B6355" s="1" t="s">
        <v>22</v>
      </c>
      <c r="C6355" s="1" t="str">
        <f t="shared" si="315"/>
        <v>4차</v>
      </c>
      <c r="D6355" s="1" t="str">
        <f>"0231B20144"</f>
        <v>0231B20144</v>
      </c>
      <c r="E6355" s="1" t="s">
        <v>10</v>
      </c>
      <c r="F6355" s="1" t="str">
        <f>"10.107.251.234"</f>
        <v>10.107.251.234</v>
      </c>
      <c r="G6355" s="1" t="str">
        <f>"0231B201"</f>
        <v>0231B201</v>
      </c>
      <c r="H6355" s="1" t="str">
        <f>"도봉SW 12R5"</f>
        <v>도봉SW 12R5</v>
      </c>
      <c r="I6355" s="1" t="s">
        <v>8</v>
      </c>
      <c r="J6355" s="1" t="str">
        <f>"31/31"</f>
        <v>31/31</v>
      </c>
      <c r="K6355" s="1" t="str">
        <f t="shared" si="316"/>
        <v>2026-07-29 13:18:03</v>
      </c>
      <c r="L6355" s="1" t="str">
        <f>"2019-12-13 09:10:45"</f>
        <v>2019-12-13 09:10:45</v>
      </c>
      <c r="M6355" s="1" t="s">
        <v>45</v>
      </c>
      <c r="N6355" s="1" t="s">
        <v>38</v>
      </c>
      <c r="O6355" s="1" t="s">
        <v>46</v>
      </c>
    </row>
    <row r="6356" spans="2:15" x14ac:dyDescent="0.3">
      <c r="B6356" s="1" t="s">
        <v>22</v>
      </c>
      <c r="C6356" s="1" t="str">
        <f t="shared" si="315"/>
        <v>4차</v>
      </c>
      <c r="D6356" s="1" t="str">
        <f>"0231B21144"</f>
        <v>0231B21144</v>
      </c>
      <c r="E6356" s="1" t="s">
        <v>10</v>
      </c>
      <c r="F6356" s="1" t="str">
        <f>"10.107.251.235"</f>
        <v>10.107.251.235</v>
      </c>
      <c r="G6356" s="1" t="str">
        <f>"0231B211"</f>
        <v>0231B211</v>
      </c>
      <c r="H6356" s="1" t="str">
        <f>"도봉SW 14R5L4"</f>
        <v>도봉SW 14R5L4</v>
      </c>
      <c r="I6356" s="1" t="s">
        <v>8</v>
      </c>
      <c r="J6356" s="1" t="str">
        <f>"37/37"</f>
        <v>37/37</v>
      </c>
      <c r="K6356" s="1" t="str">
        <f t="shared" si="316"/>
        <v>2026-07-29 13:18:03</v>
      </c>
      <c r="L6356" s="1" t="str">
        <f>"2019-12-13 09:18:52"</f>
        <v>2019-12-13 09:18:52</v>
      </c>
      <c r="M6356" s="1" t="s">
        <v>45</v>
      </c>
      <c r="N6356" s="1" t="s">
        <v>38</v>
      </c>
      <c r="O6356" s="1" t="s">
        <v>46</v>
      </c>
    </row>
    <row r="6357" spans="2:15" x14ac:dyDescent="0.3">
      <c r="B6357" s="1" t="s">
        <v>22</v>
      </c>
      <c r="C6357" s="1" t="str">
        <f>"6차"</f>
        <v>6차</v>
      </c>
      <c r="D6357" s="1" t="str">
        <f>"0231B2316S"</f>
        <v>0231B2316S</v>
      </c>
      <c r="E6357" s="1" t="s">
        <v>10</v>
      </c>
      <c r="F6357" s="1" t="str">
        <f>"fde1:103:4:c67e:0:0:0:2"</f>
        <v>fde1:103:4:c67e:0:0:0:2</v>
      </c>
      <c r="G6357" s="1" t="str">
        <f>"0231B231"</f>
        <v>0231B231</v>
      </c>
      <c r="H6357" s="1" t="str">
        <f>"도봉SW 14R3R1"</f>
        <v>도봉SW 14R3R1</v>
      </c>
      <c r="I6357" s="1" t="s">
        <v>15</v>
      </c>
      <c r="J6357" s="1" t="str">
        <f>"61/61"</f>
        <v>61/61</v>
      </c>
      <c r="K6357" s="1" t="str">
        <f>"2026-07-29 14:20:42"</f>
        <v>2026-07-29 14:20:42</v>
      </c>
      <c r="L6357" s="1" t="str">
        <f>"2024-12-05 11:33:45"</f>
        <v>2024-12-05 11:33:45</v>
      </c>
      <c r="M6357" s="1" t="s">
        <v>4</v>
      </c>
      <c r="N6357" s="1" t="s">
        <v>38</v>
      </c>
      <c r="O6357" s="1" t="s">
        <v>46</v>
      </c>
    </row>
    <row r="6358" spans="2:15" x14ac:dyDescent="0.3">
      <c r="B6358" s="1" t="s">
        <v>22</v>
      </c>
      <c r="C6358" s="1" t="str">
        <f>"1차"</f>
        <v>1차</v>
      </c>
      <c r="D6358" s="1" t="str">
        <f>"0231B23300"</f>
        <v>0231B23300</v>
      </c>
      <c r="E6358" s="1" t="s">
        <v>10</v>
      </c>
      <c r="F6358" s="1" t="str">
        <f>"10.107.251.239"</f>
        <v>10.107.251.239</v>
      </c>
      <c r="G6358" s="1" t="str">
        <f>"0231B233"</f>
        <v>0231B233</v>
      </c>
      <c r="H6358" s="1" t="str">
        <f>"도봉SW 14R4"</f>
        <v>도봉SW 14R4</v>
      </c>
      <c r="I6358" s="1" t="s">
        <v>8</v>
      </c>
      <c r="J6358" s="1" t="str">
        <f>"19/19"</f>
        <v>19/19</v>
      </c>
      <c r="K6358" s="1" t="str">
        <f>"2026-07-29 13:18:02"</f>
        <v>2026-07-29 13:18:02</v>
      </c>
      <c r="L6358" s="1" t="str">
        <f>"2014-12-13 00:13:12"</f>
        <v>2014-12-13 00:13:12</v>
      </c>
      <c r="M6358" s="1" t="s">
        <v>45</v>
      </c>
      <c r="N6358" s="1" t="s">
        <v>38</v>
      </c>
      <c r="O6358" s="1" t="s">
        <v>46</v>
      </c>
    </row>
    <row r="6359" spans="2:15" x14ac:dyDescent="0.3">
      <c r="B6359" s="1" t="s">
        <v>22</v>
      </c>
      <c r="C6359" s="1" t="str">
        <f>"1차"</f>
        <v>1차</v>
      </c>
      <c r="D6359" s="1" t="str">
        <f>"0231B24201"</f>
        <v>0231B24201</v>
      </c>
      <c r="E6359" s="1" t="s">
        <v>10</v>
      </c>
      <c r="F6359" s="1" t="str">
        <f>"10.107.251.241"</f>
        <v>10.107.251.241</v>
      </c>
      <c r="G6359" s="1" t="str">
        <f>"0231B242"</f>
        <v>0231B242</v>
      </c>
      <c r="H6359" s="1" t="str">
        <f>"도봉SW 14R4R2"</f>
        <v>도봉SW 14R4R2</v>
      </c>
      <c r="I6359" s="1" t="s">
        <v>8</v>
      </c>
      <c r="J6359" s="1" t="str">
        <f>"17/17"</f>
        <v>17/17</v>
      </c>
      <c r="K6359" s="1" t="str">
        <f>"2026-07-29 13:18:02"</f>
        <v>2026-07-29 13:18:02</v>
      </c>
      <c r="L6359" s="1" t="str">
        <f>"2014-12-11 12:58:29"</f>
        <v>2014-12-11 12:58:29</v>
      </c>
      <c r="M6359" s="1" t="s">
        <v>45</v>
      </c>
      <c r="N6359" s="1" t="s">
        <v>38</v>
      </c>
      <c r="O6359" s="1" t="s">
        <v>46</v>
      </c>
    </row>
    <row r="6360" spans="2:15" x14ac:dyDescent="0.3">
      <c r="B6360" s="1" t="s">
        <v>22</v>
      </c>
      <c r="C6360" s="1" t="str">
        <f>"1차"</f>
        <v>1차</v>
      </c>
      <c r="D6360" s="1" t="str">
        <f>"0231B24519"</f>
        <v>0231B24519</v>
      </c>
      <c r="E6360" s="1" t="s">
        <v>10</v>
      </c>
      <c r="F6360" s="1" t="str">
        <f>"10.107.251.242"</f>
        <v>10.107.251.242</v>
      </c>
      <c r="G6360" s="1" t="str">
        <f>"0231B245"</f>
        <v>0231B245</v>
      </c>
      <c r="H6360" s="1" t="str">
        <f>"도우지 20R17L11R1"</f>
        <v>도우지 20R17L11R1</v>
      </c>
      <c r="I6360" s="1" t="s">
        <v>8</v>
      </c>
      <c r="J6360" s="1" t="str">
        <f>"33/33"</f>
        <v>33/33</v>
      </c>
      <c r="K6360" s="1" t="str">
        <f>"2026-07-29 13:18:02"</f>
        <v>2026-07-29 13:18:02</v>
      </c>
      <c r="L6360" s="1" t="str">
        <f>"2017-03-03 13:43:03"</f>
        <v>2017-03-03 13:43:03</v>
      </c>
      <c r="M6360" s="1" t="s">
        <v>45</v>
      </c>
      <c r="N6360" s="1" t="s">
        <v>38</v>
      </c>
      <c r="O6360" s="1" t="s">
        <v>46</v>
      </c>
    </row>
    <row r="6361" spans="2:15" x14ac:dyDescent="0.3">
      <c r="B6361" s="1" t="s">
        <v>22</v>
      </c>
      <c r="C6361" s="1" t="str">
        <f>"4차"</f>
        <v>4차</v>
      </c>
      <c r="D6361" s="1" t="str">
        <f>"0231B26144"</f>
        <v>0231B26144</v>
      </c>
      <c r="E6361" s="1" t="s">
        <v>10</v>
      </c>
      <c r="F6361" s="1" t="str">
        <f>"10.107.249.88"</f>
        <v>10.107.249.88</v>
      </c>
      <c r="G6361" s="1" t="str">
        <f>"0231B261"</f>
        <v>0231B261</v>
      </c>
      <c r="H6361" s="1" t="str">
        <f>"방학지 5R3"</f>
        <v>방학지 5R3</v>
      </c>
      <c r="I6361" s="1" t="s">
        <v>8</v>
      </c>
      <c r="J6361" s="1" t="str">
        <f>"12/13"</f>
        <v>12/13</v>
      </c>
      <c r="K6361" s="1" t="str">
        <f>"2026-07-29 13:18:02"</f>
        <v>2026-07-29 13:18:02</v>
      </c>
      <c r="L6361" s="1" t="str">
        <f>"2019-12-13 09:13:59"</f>
        <v>2019-12-13 09:13:59</v>
      </c>
      <c r="M6361" s="1" t="s">
        <v>45</v>
      </c>
      <c r="N6361" s="1" t="s">
        <v>38</v>
      </c>
      <c r="O6361" s="1" t="s">
        <v>46</v>
      </c>
    </row>
    <row r="6362" spans="2:15" x14ac:dyDescent="0.3">
      <c r="B6362" s="1" t="s">
        <v>22</v>
      </c>
      <c r="C6362" s="1" t="str">
        <f>"5-2차"</f>
        <v>5-2차</v>
      </c>
      <c r="D6362" s="1" t="str">
        <f>"0231B2715S"</f>
        <v>0231B2715S</v>
      </c>
      <c r="E6362" s="1" t="s">
        <v>10</v>
      </c>
      <c r="F6362" s="1" t="str">
        <f>"fde3:102:1420:5100:0:0:0:3"</f>
        <v>fde3:102:1420:5100:0:0:0:3</v>
      </c>
      <c r="G6362" s="1" t="str">
        <f>"0231B271"</f>
        <v>0231B271</v>
      </c>
      <c r="H6362" s="1" t="str">
        <f>"방학지 5R5"</f>
        <v>방학지 5R5</v>
      </c>
      <c r="I6362" s="1" t="s">
        <v>15</v>
      </c>
      <c r="J6362" s="1" t="str">
        <f>"46/46"</f>
        <v>46/46</v>
      </c>
      <c r="K6362" s="1" t="str">
        <f>"2026-07-29 14:20:41"</f>
        <v>2026-07-29 14:20:41</v>
      </c>
      <c r="L6362" s="1" t="str">
        <f>"2024-01-08 08:51:34"</f>
        <v>2024-01-08 08:51:34</v>
      </c>
      <c r="M6362" s="1" t="s">
        <v>45</v>
      </c>
      <c r="N6362" s="1" t="s">
        <v>38</v>
      </c>
      <c r="O6362" s="1" t="s">
        <v>46</v>
      </c>
    </row>
    <row r="6363" spans="2:15" x14ac:dyDescent="0.3">
      <c r="B6363" s="1" t="s">
        <v>22</v>
      </c>
      <c r="C6363" s="1" t="str">
        <f>"4차"</f>
        <v>4차</v>
      </c>
      <c r="D6363" s="1" t="str">
        <f>"0231B27244"</f>
        <v>0231B27244</v>
      </c>
      <c r="E6363" s="1" t="s">
        <v>10</v>
      </c>
      <c r="F6363" s="1" t="str">
        <f>"10.107.249.89"</f>
        <v>10.107.249.89</v>
      </c>
      <c r="G6363" s="1" t="str">
        <f>"0231B272"</f>
        <v>0231B272</v>
      </c>
      <c r="H6363" s="1" t="str">
        <f>"방학지 5R4"</f>
        <v>방학지 5R4</v>
      </c>
      <c r="I6363" s="1" t="s">
        <v>8</v>
      </c>
      <c r="J6363" s="1" t="str">
        <f>"18/18"</f>
        <v>18/18</v>
      </c>
      <c r="K6363" s="1" t="str">
        <f>"2026-07-29 13:18:02"</f>
        <v>2026-07-29 13:18:02</v>
      </c>
      <c r="L6363" s="1" t="str">
        <f>"2019-12-13 09:11:15"</f>
        <v>2019-12-13 09:11:15</v>
      </c>
      <c r="M6363" s="1" t="s">
        <v>45</v>
      </c>
      <c r="N6363" s="1" t="s">
        <v>38</v>
      </c>
      <c r="O6363" s="1" t="s">
        <v>46</v>
      </c>
    </row>
    <row r="6364" spans="2:15" x14ac:dyDescent="0.3">
      <c r="B6364" s="1" t="s">
        <v>22</v>
      </c>
      <c r="C6364" s="1" t="str">
        <f>"4차"</f>
        <v>4차</v>
      </c>
      <c r="D6364" s="1" t="str">
        <f>"0231B28244"</f>
        <v>0231B28244</v>
      </c>
      <c r="E6364" s="1" t="s">
        <v>10</v>
      </c>
      <c r="F6364" s="1" t="str">
        <f>"10.107.250.171"</f>
        <v>10.107.250.171</v>
      </c>
      <c r="G6364" s="1" t="str">
        <f>"0231B282"</f>
        <v>0231B282</v>
      </c>
      <c r="H6364" s="1" t="str">
        <f>"방학지 5R6"</f>
        <v>방학지 5R6</v>
      </c>
      <c r="I6364" s="1" t="s">
        <v>8</v>
      </c>
      <c r="J6364" s="1" t="str">
        <f>"11/11"</f>
        <v>11/11</v>
      </c>
      <c r="K6364" s="1" t="str">
        <f>"2026-07-29 13:18:03"</f>
        <v>2026-07-29 13:18:03</v>
      </c>
      <c r="L6364" s="1" t="str">
        <f>"2019-12-13 12:09:19"</f>
        <v>2019-12-13 12:09:19</v>
      </c>
      <c r="M6364" s="1" t="s">
        <v>45</v>
      </c>
      <c r="N6364" s="1" t="s">
        <v>38</v>
      </c>
      <c r="O6364" s="1" t="s">
        <v>46</v>
      </c>
    </row>
    <row r="6365" spans="2:15" x14ac:dyDescent="0.3">
      <c r="B6365" s="1" t="s">
        <v>22</v>
      </c>
      <c r="C6365" s="1" t="str">
        <f>"5-2차"</f>
        <v>5-2차</v>
      </c>
      <c r="D6365" s="1" t="str">
        <f>"0231B3615M"</f>
        <v>0231B3615M</v>
      </c>
      <c r="E6365" s="1" t="s">
        <v>10</v>
      </c>
      <c r="F6365" s="1" t="str">
        <f>"fde1:103:4:92f5:0:0:0:2"</f>
        <v>fde1:103:4:92f5:0:0:0:2</v>
      </c>
      <c r="G6365" s="1" t="str">
        <f>"0231B361"</f>
        <v>0231B361</v>
      </c>
      <c r="H6365" s="1" t="str">
        <f>"도봉SW 16R2L4"</f>
        <v>도봉SW 16R2L4</v>
      </c>
      <c r="I6365" s="1" t="s">
        <v>15</v>
      </c>
      <c r="J6365" s="1" t="str">
        <f>"72/72"</f>
        <v>72/72</v>
      </c>
      <c r="K6365" s="1" t="str">
        <f>"2026-07-29 14:20:42"</f>
        <v>2026-07-29 14:20:42</v>
      </c>
      <c r="L6365" s="1" t="str">
        <f>"2023-12-19 11:33:04"</f>
        <v>2023-12-19 11:33:04</v>
      </c>
      <c r="M6365" s="1" t="s">
        <v>4</v>
      </c>
      <c r="N6365" s="1" t="s">
        <v>38</v>
      </c>
      <c r="O6365" s="1" t="s">
        <v>46</v>
      </c>
    </row>
    <row r="6366" spans="2:15" x14ac:dyDescent="0.3">
      <c r="B6366" s="1" t="s">
        <v>22</v>
      </c>
      <c r="C6366" s="1" t="str">
        <f>"4차"</f>
        <v>4차</v>
      </c>
      <c r="D6366" s="1" t="str">
        <f>"0231B37144"</f>
        <v>0231B37144</v>
      </c>
      <c r="E6366" s="1" t="s">
        <v>10</v>
      </c>
      <c r="F6366" s="1" t="str">
        <f>"10.107.250.172"</f>
        <v>10.107.250.172</v>
      </c>
      <c r="G6366" s="1" t="str">
        <f>"0231B371"</f>
        <v>0231B371</v>
      </c>
      <c r="H6366" s="1" t="str">
        <f>"도봉SW 16R2L2"</f>
        <v>도봉SW 16R2L2</v>
      </c>
      <c r="I6366" s="1" t="s">
        <v>8</v>
      </c>
      <c r="J6366" s="1" t="str">
        <f>"46/47"</f>
        <v>46/47</v>
      </c>
      <c r="K6366" s="1" t="str">
        <f>"2026-07-29 13:18:02"</f>
        <v>2026-07-29 13:18:02</v>
      </c>
      <c r="L6366" s="1" t="str">
        <f>"2020-01-29 09:40:31"</f>
        <v>2020-01-29 09:40:31</v>
      </c>
      <c r="M6366" s="1" t="s">
        <v>45</v>
      </c>
      <c r="N6366" s="1" t="s">
        <v>38</v>
      </c>
      <c r="O6366" s="1" t="s">
        <v>46</v>
      </c>
    </row>
    <row r="6367" spans="2:15" x14ac:dyDescent="0.3">
      <c r="B6367" s="1" t="s">
        <v>22</v>
      </c>
      <c r="C6367" s="1" t="str">
        <f>"4차"</f>
        <v>4차</v>
      </c>
      <c r="D6367" s="1" t="str">
        <f>"0231B38244"</f>
        <v>0231B38244</v>
      </c>
      <c r="E6367" s="1" t="s">
        <v>14</v>
      </c>
      <c r="F6367" s="1" t="str">
        <f>"10.107.250.173"</f>
        <v>10.107.250.173</v>
      </c>
      <c r="G6367" s="1" t="str">
        <f>"0231B382"</f>
        <v>0231B382</v>
      </c>
      <c r="H6367" s="1" t="str">
        <f>"도봉SW 16R2"</f>
        <v>도봉SW 16R2</v>
      </c>
      <c r="I6367" s="1" t="s">
        <v>8</v>
      </c>
      <c r="J6367" s="1" t="str">
        <f>"0/0"</f>
        <v>0/0</v>
      </c>
      <c r="K6367" s="1" t="str">
        <f>"2026-07-29 13:18:03"</f>
        <v>2026-07-29 13:18:03</v>
      </c>
      <c r="L6367" s="1" t="str">
        <f>"2020-01-22 08:13:16"</f>
        <v>2020-01-22 08:13:16</v>
      </c>
      <c r="M6367" s="1" t="s">
        <v>45</v>
      </c>
      <c r="N6367" s="1" t="s">
        <v>38</v>
      </c>
      <c r="O6367" s="1" t="s">
        <v>44</v>
      </c>
    </row>
    <row r="6368" spans="2:15" x14ac:dyDescent="0.3">
      <c r="B6368" s="1" t="s">
        <v>22</v>
      </c>
      <c r="C6368" s="1" t="str">
        <f>"4차"</f>
        <v>4차</v>
      </c>
      <c r="D6368" s="1" t="str">
        <f>"0231B52229"</f>
        <v>0231B52229</v>
      </c>
      <c r="E6368" s="1" t="s">
        <v>14</v>
      </c>
      <c r="F6368" s="1" t="str">
        <f>"10.12.128.218"</f>
        <v>10.12.128.218</v>
      </c>
      <c r="G6368" s="1" t="str">
        <f>"0231B522"</f>
        <v>0231B522</v>
      </c>
      <c r="H6368" s="1" t="str">
        <f>"도봉SW 2R2R2"</f>
        <v>도봉SW 2R2R2</v>
      </c>
      <c r="I6368" s="1" t="s">
        <v>8</v>
      </c>
      <c r="J6368" s="1" t="str">
        <f>"0/0"</f>
        <v>0/0</v>
      </c>
      <c r="K6368" s="1" t="str">
        <f>"2026-06-10 07:18:04"</f>
        <v>2026-06-10 07:18:04</v>
      </c>
      <c r="L6368" s="1" t="str">
        <f>"2017-08-01 13:51:04"</f>
        <v>2017-08-01 13:51:04</v>
      </c>
      <c r="M6368" s="1" t="s">
        <v>0</v>
      </c>
      <c r="N6368" s="1" t="s">
        <v>39</v>
      </c>
      <c r="O6368" s="1" t="s">
        <v>46</v>
      </c>
    </row>
    <row r="6369" spans="2:15" x14ac:dyDescent="0.3">
      <c r="B6369" s="1" t="s">
        <v>22</v>
      </c>
      <c r="C6369" s="1" t="str">
        <f>"4차"</f>
        <v>4차</v>
      </c>
      <c r="D6369" s="1" t="str">
        <f>"0231B59639"</f>
        <v>0231B59639</v>
      </c>
      <c r="E6369" s="1" t="s">
        <v>10</v>
      </c>
      <c r="F6369" s="1" t="str">
        <f>"10.12.136.252"</f>
        <v>10.12.136.252</v>
      </c>
      <c r="G6369" s="1" t="str">
        <f>"0231B596"</f>
        <v>0231B596</v>
      </c>
      <c r="H6369" s="1" t="str">
        <f>"도봉 6"</f>
        <v>도봉 6</v>
      </c>
      <c r="I6369" s="1" t="s">
        <v>17</v>
      </c>
      <c r="J6369" s="1" t="str">
        <f>"25/25"</f>
        <v>25/25</v>
      </c>
      <c r="K6369" s="1" t="str">
        <f>"2026-07-29 13:18:02"</f>
        <v>2026-07-29 13:18:02</v>
      </c>
      <c r="L6369" s="1" t="str">
        <f>"2018-10-17 11:04:40"</f>
        <v>2018-10-17 11:04:40</v>
      </c>
      <c r="M6369" s="1" t="s">
        <v>0</v>
      </c>
      <c r="N6369" s="1" t="s">
        <v>38</v>
      </c>
      <c r="O6369" s="1" t="s">
        <v>46</v>
      </c>
    </row>
    <row r="6370" spans="2:15" x14ac:dyDescent="0.3">
      <c r="B6370" s="1" t="s">
        <v>22</v>
      </c>
      <c r="C6370" s="1" t="str">
        <f>"5-1차"</f>
        <v>5-1차</v>
      </c>
      <c r="D6370" s="1" t="str">
        <f>"0231B6815M"</f>
        <v>0231B6815M</v>
      </c>
      <c r="E6370" s="1" t="s">
        <v>10</v>
      </c>
      <c r="F6370" s="1" t="str">
        <f>"fde2:104:0:11d:0:0:0:2"</f>
        <v>fde2:104:0:11d:0:0:0:2</v>
      </c>
      <c r="G6370" s="1" t="str">
        <f>"0231B681"</f>
        <v>0231B681</v>
      </c>
      <c r="H6370" s="1" t="str">
        <f>"쌍용간 29L6L3"</f>
        <v>쌍용간 29L6L3</v>
      </c>
      <c r="I6370" s="1" t="s">
        <v>15</v>
      </c>
      <c r="J6370" s="1" t="str">
        <f>"14/14"</f>
        <v>14/14</v>
      </c>
      <c r="K6370" s="1" t="str">
        <f>"2026-07-29 14:20:43"</f>
        <v>2026-07-29 14:20:43</v>
      </c>
      <c r="L6370" s="1" t="str">
        <f>"2022-10-13 11:36:55"</f>
        <v>2022-10-13 11:36:55</v>
      </c>
      <c r="M6370" s="1" t="s">
        <v>42</v>
      </c>
      <c r="N6370" s="1" t="s">
        <v>38</v>
      </c>
      <c r="O6370" s="1" t="s">
        <v>46</v>
      </c>
    </row>
    <row r="6371" spans="2:15" x14ac:dyDescent="0.3">
      <c r="B6371" s="1" t="s">
        <v>22</v>
      </c>
      <c r="C6371" s="1" t="str">
        <f>"2차"</f>
        <v>2차</v>
      </c>
      <c r="D6371" s="1" t="str">
        <f>"0231B70220"</f>
        <v>0231B70220</v>
      </c>
      <c r="E6371" s="1" t="s">
        <v>10</v>
      </c>
      <c r="F6371" s="1" t="str">
        <f>"10.12.130.36"</f>
        <v>10.12.130.36</v>
      </c>
      <c r="G6371" s="1" t="str">
        <f>"0231B702"</f>
        <v>0231B702</v>
      </c>
      <c r="H6371" s="1" t="str">
        <f>"쌍용간 14L9"</f>
        <v>쌍용간 14L9</v>
      </c>
      <c r="I6371" s="1" t="s">
        <v>8</v>
      </c>
      <c r="J6371" s="1" t="str">
        <f>"11/13"</f>
        <v>11/13</v>
      </c>
      <c r="K6371" s="1" t="str">
        <f>"2026-07-29 13:18:04"</f>
        <v>2026-07-29 13:18:04</v>
      </c>
      <c r="L6371" s="1" t="str">
        <f>"2021-03-31 15:56:13"</f>
        <v>2021-03-31 15:56:13</v>
      </c>
      <c r="M6371" s="1" t="s">
        <v>0</v>
      </c>
      <c r="N6371" s="1" t="s">
        <v>38</v>
      </c>
      <c r="O6371" s="1" t="s">
        <v>46</v>
      </c>
    </row>
    <row r="6372" spans="2:15" x14ac:dyDescent="0.3">
      <c r="B6372" s="1" t="s">
        <v>22</v>
      </c>
      <c r="C6372" s="1" t="str">
        <f>"2차"</f>
        <v>2차</v>
      </c>
      <c r="D6372" s="1" t="str">
        <f>"0231B72429"</f>
        <v>0231B72429</v>
      </c>
      <c r="E6372" s="1" t="s">
        <v>10</v>
      </c>
      <c r="F6372" s="1" t="str">
        <f>"10.107.249.73"</f>
        <v>10.107.249.73</v>
      </c>
      <c r="G6372" s="1" t="str">
        <f>"0231B724"</f>
        <v>0231B724</v>
      </c>
      <c r="H6372" s="1" t="str">
        <f>"쌍용간 14L11"</f>
        <v>쌍용간 14L11</v>
      </c>
      <c r="I6372" s="1" t="s">
        <v>8</v>
      </c>
      <c r="J6372" s="1" t="str">
        <f>"12/12"</f>
        <v>12/12</v>
      </c>
      <c r="K6372" s="1" t="str">
        <f>"2026-07-29 13:18:03"</f>
        <v>2026-07-29 13:18:03</v>
      </c>
      <c r="L6372" s="1" t="str">
        <f>"2017-07-25 15:41:04"</f>
        <v>2017-07-25 15:41:04</v>
      </c>
      <c r="M6372" s="1" t="s">
        <v>45</v>
      </c>
      <c r="N6372" s="1" t="s">
        <v>38</v>
      </c>
      <c r="O6372" s="1" t="s">
        <v>46</v>
      </c>
    </row>
    <row r="6373" spans="2:15" x14ac:dyDescent="0.3">
      <c r="B6373" s="1" t="s">
        <v>22</v>
      </c>
      <c r="C6373" s="1" t="str">
        <f>"4차"</f>
        <v>4차</v>
      </c>
      <c r="D6373" s="1" t="str">
        <f>"0231B73229"</f>
        <v>0231B73229</v>
      </c>
      <c r="E6373" s="1" t="s">
        <v>10</v>
      </c>
      <c r="F6373" s="1" t="str">
        <f>"10.12.128.74"</f>
        <v>10.12.128.74</v>
      </c>
      <c r="G6373" s="1" t="str">
        <f>"0231B732"</f>
        <v>0231B732</v>
      </c>
      <c r="H6373" s="1" t="str">
        <f>"쌍용간 14L12"</f>
        <v>쌍용간 14L12</v>
      </c>
      <c r="I6373" s="1" t="s">
        <v>8</v>
      </c>
      <c r="J6373" s="1" t="str">
        <f>"12/12"</f>
        <v>12/12</v>
      </c>
      <c r="K6373" s="1" t="str">
        <f>"2026-07-29 13:18:03"</f>
        <v>2026-07-29 13:18:03</v>
      </c>
      <c r="L6373" s="1" t="str">
        <f>"2017-07-25 16:51:03"</f>
        <v>2017-07-25 16:51:03</v>
      </c>
      <c r="M6373" s="1" t="s">
        <v>0</v>
      </c>
      <c r="N6373" s="1" t="s">
        <v>38</v>
      </c>
      <c r="O6373" s="1" t="s">
        <v>46</v>
      </c>
    </row>
    <row r="6374" spans="2:15" x14ac:dyDescent="0.3">
      <c r="B6374" s="1" t="s">
        <v>22</v>
      </c>
      <c r="C6374" s="1" t="str">
        <f>"2차"</f>
        <v>2차</v>
      </c>
      <c r="D6374" s="1" t="str">
        <f>"0231B82129"</f>
        <v>0231B82129</v>
      </c>
      <c r="E6374" s="1" t="str">
        <f>"검침실패(3시간 이상)"</f>
        <v>검침실패(3시간 이상)</v>
      </c>
      <c r="F6374" s="1" t="str">
        <f>"10.107.249.74"</f>
        <v>10.107.249.74</v>
      </c>
      <c r="G6374" s="1" t="str">
        <f>"0231B821"</f>
        <v>0231B821</v>
      </c>
      <c r="H6374" s="1" t="str">
        <f>"쌍용간 14L11R2"</f>
        <v>쌍용간 14L11R2</v>
      </c>
      <c r="I6374" s="1" t="s">
        <v>8</v>
      </c>
      <c r="J6374" s="1" t="str">
        <f>"0/2"</f>
        <v>0/2</v>
      </c>
      <c r="K6374" s="1" t="str">
        <f>"2026-07-29 13:18:02"</f>
        <v>2026-07-29 13:18:02</v>
      </c>
      <c r="L6374" s="1" t="str">
        <f>"2017-07-25 16:21:04"</f>
        <v>2017-07-25 16:21:04</v>
      </c>
      <c r="M6374" s="1" t="s">
        <v>45</v>
      </c>
      <c r="N6374" s="1" t="s">
        <v>38</v>
      </c>
      <c r="O6374" s="1" t="s">
        <v>46</v>
      </c>
    </row>
    <row r="6375" spans="2:15" x14ac:dyDescent="0.3">
      <c r="B6375" s="1" t="s">
        <v>22</v>
      </c>
      <c r="C6375" s="1" t="str">
        <f>"5-2차"</f>
        <v>5-2차</v>
      </c>
      <c r="D6375" s="1" t="str">
        <f>"0231B8925M"</f>
        <v>0231B8925M</v>
      </c>
      <c r="E6375" s="1" t="s">
        <v>10</v>
      </c>
      <c r="F6375" s="1" t="str">
        <f>"fde3:102:1420:5600:0:0:0:3"</f>
        <v>fde3:102:1420:5600:0:0:0:3</v>
      </c>
      <c r="G6375" s="1" t="str">
        <f>"0231B892"</f>
        <v>0231B892</v>
      </c>
      <c r="H6375" s="1" t="str">
        <f>"쌍용간 29L2"</f>
        <v>쌍용간 29L2</v>
      </c>
      <c r="I6375" s="1" t="s">
        <v>15</v>
      </c>
      <c r="J6375" s="1" t="str">
        <f>"76/76"</f>
        <v>76/76</v>
      </c>
      <c r="K6375" s="1" t="str">
        <f>"2026-07-29 14:20:42"</f>
        <v>2026-07-29 14:20:42</v>
      </c>
      <c r="L6375" s="1" t="str">
        <f>"2023-06-19 18:43:46"</f>
        <v>2023-06-19 18:43:46</v>
      </c>
      <c r="M6375" s="1" t="s">
        <v>45</v>
      </c>
      <c r="N6375" s="1" t="s">
        <v>38</v>
      </c>
      <c r="O6375" s="1" t="s">
        <v>46</v>
      </c>
    </row>
    <row r="6376" spans="2:15" x14ac:dyDescent="0.3">
      <c r="B6376" s="1" t="s">
        <v>22</v>
      </c>
      <c r="C6376" s="1" t="str">
        <f>"4차"</f>
        <v>4차</v>
      </c>
      <c r="D6376" s="1" t="str">
        <f>"0231C00645"</f>
        <v>0231C00645</v>
      </c>
      <c r="E6376" s="1" t="s">
        <v>10</v>
      </c>
      <c r="F6376" s="1" t="str">
        <f>"10.14.12.188"</f>
        <v>10.14.12.188</v>
      </c>
      <c r="G6376" s="1" t="str">
        <f>"0231C006"</f>
        <v>0231C006</v>
      </c>
      <c r="H6376" s="1" t="str">
        <f>"자연간 50R9L1"</f>
        <v>자연간 50R9L1</v>
      </c>
      <c r="I6376" s="1" t="s">
        <v>17</v>
      </c>
      <c r="J6376" s="1" t="str">
        <f>"75/75"</f>
        <v>75/75</v>
      </c>
      <c r="K6376" s="1" t="str">
        <f>"2026-07-29 13:18:01"</f>
        <v>2026-07-29 13:18:01</v>
      </c>
      <c r="L6376" s="1" t="str">
        <f>"2021-11-18 17:55:52"</f>
        <v>2021-11-18 17:55:52</v>
      </c>
      <c r="M6376" s="1" t="s">
        <v>3</v>
      </c>
      <c r="N6376" s="1" t="s">
        <v>38</v>
      </c>
      <c r="O6376" s="1" t="s">
        <v>46</v>
      </c>
    </row>
    <row r="6377" spans="2:15" x14ac:dyDescent="0.3">
      <c r="B6377" s="1" t="s">
        <v>22</v>
      </c>
      <c r="C6377" s="1" t="str">
        <f>"2차"</f>
        <v>2차</v>
      </c>
      <c r="D6377" s="1" t="str">
        <f>"0231C02129"</f>
        <v>0231C02129</v>
      </c>
      <c r="E6377" s="1" t="s">
        <v>10</v>
      </c>
      <c r="F6377" s="1" t="str">
        <f>"10.107.250.134"</f>
        <v>10.107.250.134</v>
      </c>
      <c r="G6377" s="1" t="str">
        <f>"0231C021"</f>
        <v>0231C021</v>
      </c>
      <c r="H6377" s="1" t="str">
        <f>"자연간 50R9L3"</f>
        <v>자연간 50R9L3</v>
      </c>
      <c r="I6377" s="1" t="s">
        <v>8</v>
      </c>
      <c r="J6377" s="1" t="str">
        <f>"1/3"</f>
        <v>1/3</v>
      </c>
      <c r="K6377" s="1" t="str">
        <f>"2026-07-29 13:18:02"</f>
        <v>2026-07-29 13:18:02</v>
      </c>
      <c r="L6377" s="1" t="str">
        <f>"2017-07-26 16:11:02"</f>
        <v>2017-07-26 16:11:02</v>
      </c>
      <c r="M6377" s="1" t="s">
        <v>45</v>
      </c>
      <c r="N6377" s="1" t="s">
        <v>38</v>
      </c>
      <c r="O6377" s="1" t="s">
        <v>46</v>
      </c>
    </row>
    <row r="6378" spans="2:15" x14ac:dyDescent="0.3">
      <c r="B6378" s="1" t="s">
        <v>22</v>
      </c>
      <c r="C6378" s="1" t="str">
        <f>"2차"</f>
        <v>2차</v>
      </c>
      <c r="D6378" s="1" t="str">
        <f>"0231C04129"</f>
        <v>0231C04129</v>
      </c>
      <c r="E6378" s="1" t="s">
        <v>10</v>
      </c>
      <c r="F6378" s="1" t="str">
        <f>"10.12.128.207"</f>
        <v>10.12.128.207</v>
      </c>
      <c r="G6378" s="1" t="str">
        <f>"0231C041"</f>
        <v>0231C041</v>
      </c>
      <c r="H6378" s="1" t="str">
        <f>"자연간 51"</f>
        <v>자연간 51</v>
      </c>
      <c r="I6378" s="1" t="s">
        <v>8</v>
      </c>
      <c r="J6378" s="1" t="str">
        <f>"11/11"</f>
        <v>11/11</v>
      </c>
      <c r="K6378" s="1" t="str">
        <f>"2026-07-29 13:18:02"</f>
        <v>2026-07-29 13:18:02</v>
      </c>
      <c r="L6378" s="1" t="str">
        <f>"2017-07-26 17:01:02"</f>
        <v>2017-07-26 17:01:02</v>
      </c>
      <c r="M6378" s="1" t="s">
        <v>0</v>
      </c>
      <c r="N6378" s="1" t="s">
        <v>38</v>
      </c>
      <c r="O6378" s="1" t="s">
        <v>46</v>
      </c>
    </row>
    <row r="6379" spans="2:15" x14ac:dyDescent="0.3">
      <c r="B6379" s="1" t="s">
        <v>22</v>
      </c>
      <c r="C6379" s="1" t="str">
        <f>"2차"</f>
        <v>2차</v>
      </c>
      <c r="D6379" s="1" t="str">
        <f>"0231C05129"</f>
        <v>0231C05129</v>
      </c>
      <c r="E6379" s="1" t="s">
        <v>10</v>
      </c>
      <c r="F6379" s="1" t="str">
        <f>"10.10.2.98"</f>
        <v>10.10.2.98</v>
      </c>
      <c r="G6379" s="1" t="str">
        <f>"0231C051"</f>
        <v>0231C051</v>
      </c>
      <c r="H6379" s="1" t="str">
        <f>"도우지 20"</f>
        <v>도우지 20</v>
      </c>
      <c r="I6379" s="1" t="s">
        <v>8</v>
      </c>
      <c r="J6379" s="1" t="str">
        <f>"23/23"</f>
        <v>23/23</v>
      </c>
      <c r="K6379" s="1" t="str">
        <f>"2026-07-29 13:18:03"</f>
        <v>2026-07-29 13:18:03</v>
      </c>
      <c r="L6379" s="1" t="str">
        <f>"2017-07-14 17:40:40"</f>
        <v>2017-07-14 17:40:40</v>
      </c>
      <c r="M6379" s="1" t="s">
        <v>1</v>
      </c>
      <c r="N6379" s="1" t="s">
        <v>38</v>
      </c>
      <c r="O6379" s="1" t="s">
        <v>46</v>
      </c>
    </row>
    <row r="6380" spans="2:15" x14ac:dyDescent="0.3">
      <c r="B6380" s="1" t="s">
        <v>22</v>
      </c>
      <c r="C6380" s="1" t="str">
        <f>"2차"</f>
        <v>2차</v>
      </c>
      <c r="D6380" s="1" t="str">
        <f>"0231C06121"</f>
        <v>0231C06121</v>
      </c>
      <c r="E6380" s="1" t="s">
        <v>10</v>
      </c>
      <c r="F6380" s="1" t="str">
        <f>"10.10.1.227"</f>
        <v>10.10.1.227</v>
      </c>
      <c r="G6380" s="1" t="str">
        <f>"0231C061"</f>
        <v>0231C061</v>
      </c>
      <c r="H6380" s="1" t="str">
        <f>"도우지 14R3L7"</f>
        <v>도우지 14R3L7</v>
      </c>
      <c r="I6380" s="1" t="s">
        <v>8</v>
      </c>
      <c r="J6380" s="1" t="str">
        <f>"42/42"</f>
        <v>42/42</v>
      </c>
      <c r="K6380" s="1" t="str">
        <f>"2026-07-29 13:18:03"</f>
        <v>2026-07-29 13:18:03</v>
      </c>
      <c r="L6380" s="1" t="str">
        <f>"2017-05-22 17:36:29"</f>
        <v>2017-05-22 17:36:29</v>
      </c>
      <c r="M6380" s="1" t="s">
        <v>1</v>
      </c>
      <c r="N6380" s="1" t="s">
        <v>38</v>
      </c>
      <c r="O6380" s="1" t="s">
        <v>46</v>
      </c>
    </row>
    <row r="6381" spans="2:15" x14ac:dyDescent="0.3">
      <c r="B6381" s="1" t="s">
        <v>22</v>
      </c>
      <c r="C6381" s="1" t="str">
        <f>"4차"</f>
        <v>4차</v>
      </c>
      <c r="D6381" s="1" t="str">
        <f>"0231C06229"</f>
        <v>0231C06229</v>
      </c>
      <c r="E6381" s="1" t="s">
        <v>10</v>
      </c>
      <c r="F6381" s="1" t="str">
        <f>"10.10.3.186"</f>
        <v>10.10.3.186</v>
      </c>
      <c r="G6381" s="1" t="str">
        <f>"0231C062"</f>
        <v>0231C062</v>
      </c>
      <c r="H6381" s="1" t="str">
        <f>"도우지 20R3"</f>
        <v>도우지 20R3</v>
      </c>
      <c r="I6381" s="1" t="s">
        <v>8</v>
      </c>
      <c r="J6381" s="1" t="str">
        <f>"45/46"</f>
        <v>45/46</v>
      </c>
      <c r="K6381" s="1" t="str">
        <f>"2026-07-29 13:18:03"</f>
        <v>2026-07-29 13:18:03</v>
      </c>
      <c r="L6381" s="1" t="str">
        <f>"2017-05-22 17:36:17"</f>
        <v>2017-05-22 17:36:17</v>
      </c>
      <c r="M6381" s="1" t="s">
        <v>1</v>
      </c>
      <c r="N6381" s="1" t="s">
        <v>38</v>
      </c>
      <c r="O6381" s="1" t="s">
        <v>46</v>
      </c>
    </row>
    <row r="6382" spans="2:15" x14ac:dyDescent="0.3">
      <c r="B6382" s="1" t="s">
        <v>22</v>
      </c>
      <c r="C6382" s="1" t="str">
        <f>"4차"</f>
        <v>4차</v>
      </c>
      <c r="D6382" s="1" t="str">
        <f>"0231C07220"</f>
        <v>0231C07220</v>
      </c>
      <c r="E6382" s="1" t="s">
        <v>10</v>
      </c>
      <c r="F6382" s="1" t="str">
        <f>"10.10.3.74"</f>
        <v>10.10.3.74</v>
      </c>
      <c r="G6382" s="1" t="str">
        <f>"0231C072"</f>
        <v>0231C072</v>
      </c>
      <c r="H6382" s="1" t="str">
        <f>"도우지 20R5"</f>
        <v>도우지 20R5</v>
      </c>
      <c r="I6382" s="1" t="s">
        <v>8</v>
      </c>
      <c r="J6382" s="1" t="str">
        <f>"18/20"</f>
        <v>18/20</v>
      </c>
      <c r="K6382" s="1" t="str">
        <f>"2026-07-29 13:18:03"</f>
        <v>2026-07-29 13:18:03</v>
      </c>
      <c r="L6382" s="1" t="str">
        <f>"2017-05-22 17:39:05"</f>
        <v>2017-05-22 17:39:05</v>
      </c>
      <c r="M6382" s="1" t="s">
        <v>1</v>
      </c>
      <c r="N6382" s="1" t="s">
        <v>38</v>
      </c>
      <c r="O6382" s="1" t="s">
        <v>46</v>
      </c>
    </row>
    <row r="6383" spans="2:15" x14ac:dyDescent="0.3">
      <c r="B6383" s="1" t="s">
        <v>22</v>
      </c>
      <c r="C6383" s="1" t="str">
        <f>"2차"</f>
        <v>2차</v>
      </c>
      <c r="D6383" s="1" t="str">
        <f>"0231C09129"</f>
        <v>0231C09129</v>
      </c>
      <c r="E6383" s="1" t="s">
        <v>10</v>
      </c>
      <c r="F6383" s="1" t="str">
        <f>"10.10.3.34"</f>
        <v>10.10.3.34</v>
      </c>
      <c r="G6383" s="1" t="str">
        <f>"0231C091"</f>
        <v>0231C091</v>
      </c>
      <c r="H6383" s="1" t="str">
        <f>"방학지 15L13"</f>
        <v>방학지 15L13</v>
      </c>
      <c r="I6383" s="1" t="s">
        <v>8</v>
      </c>
      <c r="J6383" s="1" t="str">
        <f>"20/21"</f>
        <v>20/21</v>
      </c>
      <c r="K6383" s="1" t="str">
        <f>"2026-07-29 13:18:03"</f>
        <v>2026-07-29 13:18:03</v>
      </c>
      <c r="L6383" s="1" t="str">
        <f>"2017-06-21 17:41:03"</f>
        <v>2017-06-21 17:41:03</v>
      </c>
      <c r="M6383" s="1" t="s">
        <v>1</v>
      </c>
      <c r="N6383" s="1" t="s">
        <v>38</v>
      </c>
      <c r="O6383" s="1" t="s">
        <v>46</v>
      </c>
    </row>
    <row r="6384" spans="2:15" x14ac:dyDescent="0.3">
      <c r="B6384" s="1" t="s">
        <v>22</v>
      </c>
      <c r="C6384" s="1" t="str">
        <f>"5-2차"</f>
        <v>5-2차</v>
      </c>
      <c r="D6384" s="1" t="str">
        <f>"0231C1015M"</f>
        <v>0231C1015M</v>
      </c>
      <c r="E6384" s="1" t="s">
        <v>10</v>
      </c>
      <c r="F6384" s="1" t="str">
        <f>"fde1:103:4:935a:0:0:0:2"</f>
        <v>fde1:103:4:935a:0:0:0:2</v>
      </c>
      <c r="G6384" s="1" t="str">
        <f>"0231C101"</f>
        <v>0231C101</v>
      </c>
      <c r="H6384" s="1" t="str">
        <f>"노해간 33"</f>
        <v>노해간 33</v>
      </c>
      <c r="I6384" s="1" t="s">
        <v>15</v>
      </c>
      <c r="J6384" s="1" t="str">
        <f>"30/30"</f>
        <v>30/30</v>
      </c>
      <c r="K6384" s="1" t="str">
        <f>"2026-07-29 14:20:42"</f>
        <v>2026-07-29 14:20:42</v>
      </c>
      <c r="L6384" s="1" t="str">
        <f>"2023-12-19 11:33:31"</f>
        <v>2023-12-19 11:33:31</v>
      </c>
      <c r="M6384" s="1" t="s">
        <v>4</v>
      </c>
      <c r="N6384" s="1" t="s">
        <v>38</v>
      </c>
      <c r="O6384" s="1" t="s">
        <v>46</v>
      </c>
    </row>
    <row r="6385" spans="2:15" x14ac:dyDescent="0.3">
      <c r="B6385" s="1" t="s">
        <v>22</v>
      </c>
      <c r="C6385" s="1" t="str">
        <f>"4차"</f>
        <v>4차</v>
      </c>
      <c r="D6385" s="1" t="str">
        <f>"0231C16120"</f>
        <v>0231C16120</v>
      </c>
      <c r="E6385" s="1" t="s">
        <v>10</v>
      </c>
      <c r="F6385" s="1" t="str">
        <f>"10.10.1.226"</f>
        <v>10.10.1.226</v>
      </c>
      <c r="G6385" s="1" t="str">
        <f>"0231C161"</f>
        <v>0231C161</v>
      </c>
      <c r="H6385" s="1" t="str">
        <f>"도우지 14R3L6"</f>
        <v>도우지 14R3L6</v>
      </c>
      <c r="I6385" s="1" t="s">
        <v>8</v>
      </c>
      <c r="J6385" s="1" t="str">
        <f>"22/24"</f>
        <v>22/24</v>
      </c>
      <c r="K6385" s="1" t="str">
        <f>"2026-07-29 13:18:03"</f>
        <v>2026-07-29 13:18:03</v>
      </c>
      <c r="L6385" s="1" t="str">
        <f>"2017-05-22 17:37:17"</f>
        <v>2017-05-22 17:37:17</v>
      </c>
      <c r="M6385" s="1" t="s">
        <v>1</v>
      </c>
      <c r="N6385" s="1" t="s">
        <v>38</v>
      </c>
      <c r="O6385" s="1" t="s">
        <v>46</v>
      </c>
    </row>
    <row r="6386" spans="2:15" x14ac:dyDescent="0.3">
      <c r="B6386" s="1" t="s">
        <v>22</v>
      </c>
      <c r="C6386" s="1" t="str">
        <f>"2차"</f>
        <v>2차</v>
      </c>
      <c r="D6386" s="1" t="str">
        <f>"0231C17121"</f>
        <v>0231C17121</v>
      </c>
      <c r="E6386" s="1" t="s">
        <v>10</v>
      </c>
      <c r="F6386" s="1" t="str">
        <f>"10.10.3.75"</f>
        <v>10.10.3.75</v>
      </c>
      <c r="G6386" s="1" t="str">
        <f>"0231C171"</f>
        <v>0231C171</v>
      </c>
      <c r="H6386" s="1" t="str">
        <f>"도우지 20R5R1"</f>
        <v>도우지 20R5R1</v>
      </c>
      <c r="I6386" s="1" t="s">
        <v>8</v>
      </c>
      <c r="J6386" s="1" t="str">
        <f>"17/18"</f>
        <v>17/18</v>
      </c>
      <c r="K6386" s="1" t="str">
        <f>"2026-07-29 13:18:03"</f>
        <v>2026-07-29 13:18:03</v>
      </c>
      <c r="L6386" s="1" t="str">
        <f>"2017-05-22 17:36:55"</f>
        <v>2017-05-22 17:36:55</v>
      </c>
      <c r="M6386" s="1" t="s">
        <v>1</v>
      </c>
      <c r="N6386" s="1" t="s">
        <v>38</v>
      </c>
      <c r="O6386" s="1" t="s">
        <v>46</v>
      </c>
    </row>
    <row r="6387" spans="2:15" x14ac:dyDescent="0.3">
      <c r="B6387" s="1" t="s">
        <v>22</v>
      </c>
      <c r="C6387" s="1" t="str">
        <f>"3차"</f>
        <v>3차</v>
      </c>
      <c r="D6387" s="1" t="str">
        <f>"0231C20139"</f>
        <v>0231C20139</v>
      </c>
      <c r="E6387" s="1" t="s">
        <v>10</v>
      </c>
      <c r="F6387" s="1" t="str">
        <f>"10.10.9.18"</f>
        <v>10.10.9.18</v>
      </c>
      <c r="G6387" s="1" t="str">
        <f>"0231C201"</f>
        <v>0231C201</v>
      </c>
      <c r="H6387" s="1" t="str">
        <f>"노해간 31"</f>
        <v>노해간 31</v>
      </c>
      <c r="I6387" s="1" t="s">
        <v>8</v>
      </c>
      <c r="J6387" s="1" t="str">
        <f>"10/10"</f>
        <v>10/10</v>
      </c>
      <c r="K6387" s="1" t="str">
        <f>"2026-07-29 13:18:03"</f>
        <v>2026-07-29 13:18:03</v>
      </c>
      <c r="L6387" s="1" t="str">
        <f>"2018-01-18 16:14:42"</f>
        <v>2018-01-18 16:14:42</v>
      </c>
      <c r="M6387" s="1" t="s">
        <v>1</v>
      </c>
      <c r="N6387" s="1" t="s">
        <v>38</v>
      </c>
      <c r="O6387" s="1" t="s">
        <v>46</v>
      </c>
    </row>
    <row r="6388" spans="2:15" x14ac:dyDescent="0.3">
      <c r="B6388" s="1" t="s">
        <v>22</v>
      </c>
      <c r="C6388" s="1" t="str">
        <f>"4차"</f>
        <v>4차</v>
      </c>
      <c r="D6388" s="1" t="str">
        <f>"0231C21139"</f>
        <v>0231C21139</v>
      </c>
      <c r="E6388" s="1" t="s">
        <v>10</v>
      </c>
      <c r="F6388" s="1" t="str">
        <f>"10.10.8.18"</f>
        <v>10.10.8.18</v>
      </c>
      <c r="G6388" s="1" t="str">
        <f>"0231C211"</f>
        <v>0231C211</v>
      </c>
      <c r="H6388" s="1" t="str">
        <f>"자연간 57R2R4L3"</f>
        <v>자연간 57R2R4L3</v>
      </c>
      <c r="I6388" s="1" t="s">
        <v>8</v>
      </c>
      <c r="J6388" s="1" t="str">
        <f>"56/58"</f>
        <v>56/58</v>
      </c>
      <c r="K6388" s="1" t="str">
        <f>"2026-07-29 13:18:03"</f>
        <v>2026-07-29 13:18:03</v>
      </c>
      <c r="L6388" s="1" t="str">
        <f>"2018-01-22 14:52:10"</f>
        <v>2018-01-22 14:52:10</v>
      </c>
      <c r="M6388" s="1" t="s">
        <v>1</v>
      </c>
      <c r="N6388" s="1" t="s">
        <v>38</v>
      </c>
      <c r="O6388" s="1" t="s">
        <v>46</v>
      </c>
    </row>
    <row r="6389" spans="2:15" x14ac:dyDescent="0.3">
      <c r="B6389" s="1" t="s">
        <v>22</v>
      </c>
      <c r="C6389" s="1" t="str">
        <f>"4차"</f>
        <v>4차</v>
      </c>
      <c r="D6389" s="1" t="str">
        <f>"0231C23144"</f>
        <v>0231C23144</v>
      </c>
      <c r="E6389" s="1" t="s">
        <v>10</v>
      </c>
      <c r="F6389" s="1" t="str">
        <f>"10.107.250.43"</f>
        <v>10.107.250.43</v>
      </c>
      <c r="G6389" s="1" t="str">
        <f>"0231C231"</f>
        <v>0231C231</v>
      </c>
      <c r="H6389" s="1" t="str">
        <f>"자연간 57R2R4L1"</f>
        <v>자연간 57R2R4L1</v>
      </c>
      <c r="I6389" s="1" t="s">
        <v>8</v>
      </c>
      <c r="J6389" s="1" t="str">
        <f>"4/4"</f>
        <v>4/4</v>
      </c>
      <c r="K6389" s="1" t="str">
        <f>"2026-07-29 13:18:03"</f>
        <v>2026-07-29 13:18:03</v>
      </c>
      <c r="L6389" s="1" t="str">
        <f>"2020-01-14 17:15:29"</f>
        <v>2020-01-14 17:15:29</v>
      </c>
      <c r="M6389" s="1" t="s">
        <v>45</v>
      </c>
      <c r="N6389" s="1" t="s">
        <v>38</v>
      </c>
      <c r="O6389" s="1" t="s">
        <v>46</v>
      </c>
    </row>
    <row r="6390" spans="2:15" x14ac:dyDescent="0.3">
      <c r="B6390" s="1" t="s">
        <v>22</v>
      </c>
      <c r="C6390" s="1" t="str">
        <f>"4차"</f>
        <v>4차</v>
      </c>
      <c r="D6390" s="1" t="str">
        <f>"0231C26242"</f>
        <v>0231C26242</v>
      </c>
      <c r="E6390" s="1" t="s">
        <v>10</v>
      </c>
      <c r="F6390" s="1" t="str">
        <f>"10.12.134.88"</f>
        <v>10.12.134.88</v>
      </c>
      <c r="G6390" s="1" t="str">
        <f>"0231C262"</f>
        <v>0231C262</v>
      </c>
      <c r="H6390" s="1" t="str">
        <f>"도우지 14R3L5"</f>
        <v>도우지 14R3L5</v>
      </c>
      <c r="I6390" s="1" t="s">
        <v>8</v>
      </c>
      <c r="J6390" s="1" t="str">
        <f>"38/45"</f>
        <v>38/45</v>
      </c>
      <c r="K6390" s="1" t="str">
        <f>"2026-07-29 13:18:04"</f>
        <v>2026-07-29 13:18:04</v>
      </c>
      <c r="L6390" s="1" t="str">
        <f>"2024-12-23 13:03:20"</f>
        <v>2024-12-23 13:03:20</v>
      </c>
      <c r="M6390" s="1" t="s">
        <v>0</v>
      </c>
      <c r="N6390" s="1" t="s">
        <v>38</v>
      </c>
      <c r="O6390" s="1" t="s">
        <v>46</v>
      </c>
    </row>
    <row r="6391" spans="2:15" x14ac:dyDescent="0.3">
      <c r="B6391" s="1" t="s">
        <v>22</v>
      </c>
      <c r="C6391" s="1" t="str">
        <f>"1차"</f>
        <v>1차</v>
      </c>
      <c r="D6391" s="1" t="str">
        <f>"0231C27301"</f>
        <v>0231C27301</v>
      </c>
      <c r="E6391" s="1" t="s">
        <v>10</v>
      </c>
      <c r="F6391" s="1" t="str">
        <f>"10.12.129.170"</f>
        <v>10.12.129.170</v>
      </c>
      <c r="G6391" s="1" t="str">
        <f>"0231C273"</f>
        <v>0231C273</v>
      </c>
      <c r="H6391" s="1" t="str">
        <f>"도우지 14R3L3R3"</f>
        <v>도우지 14R3L3R3</v>
      </c>
      <c r="I6391" s="1" t="s">
        <v>8</v>
      </c>
      <c r="J6391" s="1" t="str">
        <f>"35/36"</f>
        <v>35/36</v>
      </c>
      <c r="K6391" s="1" t="str">
        <f>"2026-07-29 13:18:04"</f>
        <v>2026-07-29 13:18:04</v>
      </c>
      <c r="L6391" s="1" t="str">
        <f>"2014-12-12 13:58:11"</f>
        <v>2014-12-12 13:58:11</v>
      </c>
      <c r="M6391" s="1" t="s">
        <v>0</v>
      </c>
      <c r="N6391" s="1" t="s">
        <v>38</v>
      </c>
      <c r="O6391" s="1" t="s">
        <v>46</v>
      </c>
    </row>
    <row r="6392" spans="2:15" x14ac:dyDescent="0.3">
      <c r="B6392" s="1" t="s">
        <v>22</v>
      </c>
      <c r="C6392" s="1" t="str">
        <f>"1차"</f>
        <v>1차</v>
      </c>
      <c r="D6392" s="1" t="str">
        <f>"0231C28201"</f>
        <v>0231C28201</v>
      </c>
      <c r="E6392" s="1" t="s">
        <v>10</v>
      </c>
      <c r="F6392" s="1" t="str">
        <f>"10.12.138.67"</f>
        <v>10.12.138.67</v>
      </c>
      <c r="G6392" s="1" t="str">
        <f>"0231C282"</f>
        <v>0231C282</v>
      </c>
      <c r="H6392" s="1" t="str">
        <f>"도우지 14R7L1"</f>
        <v>도우지 14R7L1</v>
      </c>
      <c r="I6392" s="1" t="s">
        <v>8</v>
      </c>
      <c r="J6392" s="1" t="str">
        <f>"14/17"</f>
        <v>14/17</v>
      </c>
      <c r="K6392" s="1" t="str">
        <f>"2026-07-29 13:18:04"</f>
        <v>2026-07-29 13:18:04</v>
      </c>
      <c r="L6392" s="1" t="str">
        <f>"2014-12-12 15:12:42"</f>
        <v>2014-12-12 15:12:42</v>
      </c>
      <c r="M6392" s="1" t="s">
        <v>0</v>
      </c>
      <c r="N6392" s="1" t="s">
        <v>38</v>
      </c>
      <c r="O6392" s="1" t="s">
        <v>46</v>
      </c>
    </row>
    <row r="6393" spans="2:15" x14ac:dyDescent="0.3">
      <c r="B6393" s="1" t="s">
        <v>22</v>
      </c>
      <c r="C6393" s="1" t="str">
        <f>"3차"</f>
        <v>3차</v>
      </c>
      <c r="D6393" s="1" t="str">
        <f>"0231C30132"</f>
        <v>0231C30132</v>
      </c>
      <c r="E6393" s="1" t="s">
        <v>10</v>
      </c>
      <c r="F6393" s="1" t="str">
        <f>"10.10.21.52"</f>
        <v>10.10.21.52</v>
      </c>
      <c r="G6393" s="1" t="str">
        <f>"0231C301"</f>
        <v>0231C301</v>
      </c>
      <c r="H6393" s="1" t="str">
        <f>"노해간 30"</f>
        <v>노해간 30</v>
      </c>
      <c r="I6393" s="1" t="s">
        <v>8</v>
      </c>
      <c r="J6393" s="1" t="str">
        <f>"45/45"</f>
        <v>45/45</v>
      </c>
      <c r="K6393" s="1" t="str">
        <f>"2026-07-29 13:18:03"</f>
        <v>2026-07-29 13:18:03</v>
      </c>
      <c r="L6393" s="1" t="str">
        <f>"2018-01-15 12:00:41"</f>
        <v>2018-01-15 12:00:41</v>
      </c>
      <c r="M6393" s="1" t="s">
        <v>1</v>
      </c>
      <c r="N6393" s="1" t="s">
        <v>38</v>
      </c>
      <c r="O6393" s="1" t="s">
        <v>46</v>
      </c>
    </row>
    <row r="6394" spans="2:15" x14ac:dyDescent="0.3">
      <c r="B6394" s="1" t="s">
        <v>22</v>
      </c>
      <c r="C6394" s="1" t="str">
        <f>"2차"</f>
        <v>2차</v>
      </c>
      <c r="D6394" s="1" t="str">
        <f>"0231C35120"</f>
        <v>0231C35120</v>
      </c>
      <c r="E6394" s="1" t="s">
        <v>14</v>
      </c>
      <c r="F6394" s="1" t="str">
        <f>"10.10.2.66"</f>
        <v>10.10.2.66</v>
      </c>
      <c r="G6394" s="1" t="str">
        <f>"0231C351"</f>
        <v>0231C351</v>
      </c>
      <c r="H6394" s="1" t="str">
        <f>"도우지 15"</f>
        <v>도우지 15</v>
      </c>
      <c r="I6394" s="1" t="s">
        <v>8</v>
      </c>
      <c r="J6394" s="1" t="str">
        <f>"0/0"</f>
        <v>0/0</v>
      </c>
      <c r="K6394" s="1" t="str">
        <f>"2026-07-29 13:18:03"</f>
        <v>2026-07-29 13:18:03</v>
      </c>
      <c r="L6394" s="1" t="str">
        <f>"2017-06-21 18:01:01"</f>
        <v>2017-06-21 18:01:01</v>
      </c>
      <c r="M6394" s="1" t="s">
        <v>1</v>
      </c>
      <c r="N6394" s="1" t="s">
        <v>44</v>
      </c>
      <c r="O6394" s="1" t="s">
        <v>44</v>
      </c>
    </row>
    <row r="6395" spans="2:15" x14ac:dyDescent="0.3">
      <c r="B6395" s="1" t="s">
        <v>22</v>
      </c>
      <c r="C6395" s="1" t="str">
        <f>"1차"</f>
        <v>1차</v>
      </c>
      <c r="D6395" s="1" t="str">
        <f>"0231C36300"</f>
        <v>0231C36300</v>
      </c>
      <c r="E6395" s="1" t="s">
        <v>10</v>
      </c>
      <c r="F6395" s="1" t="str">
        <f>"10.107.250.208"</f>
        <v>10.107.250.208</v>
      </c>
      <c r="G6395" s="1" t="str">
        <f>"0231C363"</f>
        <v>0231C363</v>
      </c>
      <c r="H6395" s="1" t="str">
        <f>"도우지 14R3L3"</f>
        <v>도우지 14R3L3</v>
      </c>
      <c r="I6395" s="1" t="s">
        <v>8</v>
      </c>
      <c r="J6395" s="1" t="str">
        <f>"1/1"</f>
        <v>1/1</v>
      </c>
      <c r="K6395" s="1" t="str">
        <f>"2026-07-29 13:18:03"</f>
        <v>2026-07-29 13:18:03</v>
      </c>
      <c r="L6395" s="1" t="str">
        <f>"2014-12-12 13:43:21"</f>
        <v>2014-12-12 13:43:21</v>
      </c>
      <c r="M6395" s="1" t="s">
        <v>45</v>
      </c>
      <c r="N6395" s="1" t="s">
        <v>38</v>
      </c>
      <c r="O6395" s="1" t="s">
        <v>46</v>
      </c>
    </row>
    <row r="6396" spans="2:15" x14ac:dyDescent="0.3">
      <c r="B6396" s="1" t="s">
        <v>22</v>
      </c>
      <c r="C6396" s="1" t="str">
        <f>"4차"</f>
        <v>4차</v>
      </c>
      <c r="D6396" s="1" t="str">
        <f>"0231C40131"</f>
        <v>0231C40131</v>
      </c>
      <c r="E6396" s="1" t="s">
        <v>10</v>
      </c>
      <c r="F6396" s="1" t="str">
        <f>"10.10.21.51"</f>
        <v>10.10.21.51</v>
      </c>
      <c r="G6396" s="1" t="str">
        <f>"0231C401"</f>
        <v>0231C401</v>
      </c>
      <c r="H6396" s="1" t="str">
        <f>"노해간 28"</f>
        <v>노해간 28</v>
      </c>
      <c r="I6396" s="1" t="s">
        <v>8</v>
      </c>
      <c r="J6396" s="1" t="str">
        <f>"64/64"</f>
        <v>64/64</v>
      </c>
      <c r="K6396" s="1" t="str">
        <f>"2026-07-29 13:18:02"</f>
        <v>2026-07-29 13:18:02</v>
      </c>
      <c r="L6396" s="1" t="str">
        <f>"2018-01-15 11:46:11"</f>
        <v>2018-01-15 11:46:11</v>
      </c>
      <c r="M6396" s="1" t="s">
        <v>1</v>
      </c>
      <c r="N6396" s="1" t="s">
        <v>38</v>
      </c>
      <c r="O6396" s="1" t="s">
        <v>46</v>
      </c>
    </row>
    <row r="6397" spans="2:15" x14ac:dyDescent="0.3">
      <c r="B6397" s="1" t="s">
        <v>22</v>
      </c>
      <c r="C6397" s="1" t="str">
        <f>"3차"</f>
        <v>3차</v>
      </c>
      <c r="D6397" s="1" t="str">
        <f>"0231C40230"</f>
        <v>0231C40230</v>
      </c>
      <c r="E6397" s="1" t="s">
        <v>10</v>
      </c>
      <c r="F6397" s="1" t="str">
        <f>"10.10.21.50"</f>
        <v>10.10.21.50</v>
      </c>
      <c r="G6397" s="1" t="str">
        <f>"0231C402"</f>
        <v>0231C402</v>
      </c>
      <c r="H6397" s="1" t="str">
        <f>"노해간 29"</f>
        <v>노해간 29</v>
      </c>
      <c r="I6397" s="1" t="s">
        <v>8</v>
      </c>
      <c r="J6397" s="1" t="str">
        <f>"83/83"</f>
        <v>83/83</v>
      </c>
      <c r="K6397" s="1" t="str">
        <f>"2026-07-29 13:18:02"</f>
        <v>2026-07-29 13:18:02</v>
      </c>
      <c r="L6397" s="1" t="str">
        <f>"2018-01-03 16:23:12"</f>
        <v>2018-01-03 16:23:12</v>
      </c>
      <c r="M6397" s="1" t="s">
        <v>1</v>
      </c>
      <c r="N6397" s="1" t="s">
        <v>38</v>
      </c>
      <c r="O6397" s="1" t="s">
        <v>46</v>
      </c>
    </row>
    <row r="6398" spans="2:15" x14ac:dyDescent="0.3">
      <c r="B6398" s="1" t="s">
        <v>22</v>
      </c>
      <c r="C6398" s="1" t="str">
        <f>"4차"</f>
        <v>4차</v>
      </c>
      <c r="D6398" s="1" t="str">
        <f>"0231C44144"</f>
        <v>0231C44144</v>
      </c>
      <c r="E6398" s="1" t="s">
        <v>10</v>
      </c>
      <c r="F6398" s="1" t="str">
        <f>"10.107.250.35"</f>
        <v>10.107.250.35</v>
      </c>
      <c r="G6398" s="1" t="str">
        <f>"0231C441"</f>
        <v>0231C441</v>
      </c>
      <c r="H6398" s="1" t="str">
        <f>"자연간 57R2"</f>
        <v>자연간 57R2</v>
      </c>
      <c r="I6398" s="1" t="s">
        <v>8</v>
      </c>
      <c r="J6398" s="1" t="str">
        <f>"32/34"</f>
        <v>32/34</v>
      </c>
      <c r="K6398" s="1" t="str">
        <f>"2026-07-29 13:18:03"</f>
        <v>2026-07-29 13:18:03</v>
      </c>
      <c r="L6398" s="1" t="str">
        <f>"2020-01-22 09:18:11"</f>
        <v>2020-01-22 09:18:11</v>
      </c>
      <c r="M6398" s="1" t="s">
        <v>45</v>
      </c>
      <c r="N6398" s="1" t="s">
        <v>38</v>
      </c>
      <c r="O6398" s="1" t="s">
        <v>46</v>
      </c>
    </row>
    <row r="6399" spans="2:15" x14ac:dyDescent="0.3">
      <c r="B6399" s="1" t="s">
        <v>22</v>
      </c>
      <c r="C6399" s="1" t="str">
        <f>"2차"</f>
        <v>2차</v>
      </c>
      <c r="D6399" s="1" t="str">
        <f>"0231C45229"</f>
        <v>0231C45229</v>
      </c>
      <c r="E6399" s="1" t="s">
        <v>10</v>
      </c>
      <c r="F6399" s="1" t="str">
        <f>"10.107.250.42"</f>
        <v>10.107.250.42</v>
      </c>
      <c r="G6399" s="1" t="str">
        <f>"0231C452"</f>
        <v>0231C452</v>
      </c>
      <c r="H6399" s="1" t="str">
        <f>"자연간 57"</f>
        <v>자연간 57</v>
      </c>
      <c r="I6399" s="1" t="s">
        <v>8</v>
      </c>
      <c r="J6399" s="1" t="str">
        <f>"10/13"</f>
        <v>10/13</v>
      </c>
      <c r="K6399" s="1" t="str">
        <f>"2026-07-29 13:18:02"</f>
        <v>2026-07-29 13:18:02</v>
      </c>
      <c r="L6399" s="1" t="str">
        <f>"2017-07-26 17:21:03"</f>
        <v>2017-07-26 17:21:03</v>
      </c>
      <c r="M6399" s="1" t="s">
        <v>45</v>
      </c>
      <c r="N6399" s="1" t="s">
        <v>38</v>
      </c>
      <c r="O6399" s="1" t="s">
        <v>46</v>
      </c>
    </row>
    <row r="6400" spans="2:15" x14ac:dyDescent="0.3">
      <c r="B6400" s="1" t="s">
        <v>22</v>
      </c>
      <c r="C6400" s="1" t="str">
        <f>"2차"</f>
        <v>2차</v>
      </c>
      <c r="D6400" s="1" t="str">
        <f>"0231C45322"</f>
        <v>0231C45322</v>
      </c>
      <c r="E6400" s="1" t="s">
        <v>10</v>
      </c>
      <c r="F6400" s="1" t="str">
        <f>"10.12.138.38"</f>
        <v>10.12.138.38</v>
      </c>
      <c r="G6400" s="1" t="str">
        <f>"0231C453"</f>
        <v>0231C453</v>
      </c>
      <c r="H6400" s="1" t="str">
        <f>"자연간 56"</f>
        <v>자연간 56</v>
      </c>
      <c r="I6400" s="1" t="s">
        <v>8</v>
      </c>
      <c r="J6400" s="1" t="str">
        <f>"8/8"</f>
        <v>8/8</v>
      </c>
      <c r="K6400" s="1" t="str">
        <f>"2026-07-29 13:18:01"</f>
        <v>2026-07-29 13:18:01</v>
      </c>
      <c r="L6400" s="1" t="str">
        <f>"2017-06-28 18:10:41"</f>
        <v>2017-06-28 18:10:41</v>
      </c>
      <c r="M6400" s="1" t="s">
        <v>0</v>
      </c>
      <c r="N6400" s="1" t="s">
        <v>38</v>
      </c>
      <c r="O6400" s="1" t="s">
        <v>46</v>
      </c>
    </row>
    <row r="6401" spans="2:15" x14ac:dyDescent="0.3">
      <c r="B6401" s="1" t="s">
        <v>22</v>
      </c>
      <c r="C6401" s="1" t="str">
        <f>"1차"</f>
        <v>1차</v>
      </c>
      <c r="D6401" s="1" t="str">
        <f>"0231C46300"</f>
        <v>0231C46300</v>
      </c>
      <c r="E6401" s="1" t="s">
        <v>10</v>
      </c>
      <c r="F6401" s="1" t="str">
        <f>"10.107.250.210"</f>
        <v>10.107.250.210</v>
      </c>
      <c r="G6401" s="1" t="str">
        <f>"0231C463"</f>
        <v>0231C463</v>
      </c>
      <c r="H6401" s="1" t="str">
        <f>"도우지 14R2"</f>
        <v>도우지 14R2</v>
      </c>
      <c r="I6401" s="1" t="s">
        <v>8</v>
      </c>
      <c r="J6401" s="1" t="str">
        <f>"23/23"</f>
        <v>23/23</v>
      </c>
      <c r="K6401" s="1" t="str">
        <f>"2026-07-29 13:18:03"</f>
        <v>2026-07-29 13:18:03</v>
      </c>
      <c r="L6401" s="1" t="str">
        <f>"2014-12-15 16:12:32"</f>
        <v>2014-12-15 16:12:32</v>
      </c>
      <c r="M6401" s="1" t="s">
        <v>45</v>
      </c>
      <c r="N6401" s="1" t="s">
        <v>38</v>
      </c>
      <c r="O6401" s="1" t="s">
        <v>46</v>
      </c>
    </row>
    <row r="6402" spans="2:15" x14ac:dyDescent="0.3">
      <c r="B6402" s="1" t="s">
        <v>22</v>
      </c>
      <c r="C6402" s="1" t="str">
        <f>"2차"</f>
        <v>2차</v>
      </c>
      <c r="D6402" s="1" t="str">
        <f>"0231C47329"</f>
        <v>0231C47329</v>
      </c>
      <c r="E6402" s="1" t="s">
        <v>10</v>
      </c>
      <c r="F6402" s="1" t="str">
        <f>"10.10.5.10"</f>
        <v>10.10.5.10</v>
      </c>
      <c r="G6402" s="1" t="str">
        <f>"0231C473"</f>
        <v>0231C473</v>
      </c>
      <c r="H6402" s="1" t="str">
        <f>"도우지 14R4"</f>
        <v>도우지 14R4</v>
      </c>
      <c r="I6402" s="1" t="s">
        <v>8</v>
      </c>
      <c r="J6402" s="1" t="str">
        <f>"9/10"</f>
        <v>9/10</v>
      </c>
      <c r="K6402" s="1" t="str">
        <f>"2026-07-29 13:18:03"</f>
        <v>2026-07-29 13:18:03</v>
      </c>
      <c r="L6402" s="1" t="str">
        <f>"2017-06-21 17:51:01"</f>
        <v>2017-06-21 17:51:01</v>
      </c>
      <c r="M6402" s="1" t="s">
        <v>1</v>
      </c>
      <c r="N6402" s="1" t="s">
        <v>38</v>
      </c>
      <c r="O6402" s="1" t="s">
        <v>46</v>
      </c>
    </row>
    <row r="6403" spans="2:15" x14ac:dyDescent="0.3">
      <c r="B6403" s="1" t="s">
        <v>22</v>
      </c>
      <c r="C6403" s="1" t="str">
        <f>"4차"</f>
        <v>4차</v>
      </c>
      <c r="D6403" s="1" t="str">
        <f>"0231C48444"</f>
        <v>0231C48444</v>
      </c>
      <c r="E6403" s="1" t="s">
        <v>10</v>
      </c>
      <c r="F6403" s="1" t="str">
        <f>"10.107.250.229"</f>
        <v>10.107.250.229</v>
      </c>
      <c r="G6403" s="1" t="str">
        <f>"0231C484"</f>
        <v>0231C484</v>
      </c>
      <c r="H6403" s="1" t="str">
        <f>"도우지 13R7"</f>
        <v>도우지 13R7</v>
      </c>
      <c r="I6403" s="1" t="s">
        <v>8</v>
      </c>
      <c r="J6403" s="1" t="str">
        <f>"33/36"</f>
        <v>33/36</v>
      </c>
      <c r="K6403" s="1" t="str">
        <f>"2026-07-29 13:18:03"</f>
        <v>2026-07-29 13:18:03</v>
      </c>
      <c r="L6403" s="1" t="str">
        <f>"2023-08-21 14:11:28"</f>
        <v>2023-08-21 14:11:28</v>
      </c>
      <c r="M6403" s="1" t="s">
        <v>45</v>
      </c>
      <c r="N6403" s="1" t="s">
        <v>38</v>
      </c>
      <c r="O6403" s="1" t="s">
        <v>46</v>
      </c>
    </row>
    <row r="6404" spans="2:15" x14ac:dyDescent="0.3">
      <c r="B6404" s="1" t="s">
        <v>22</v>
      </c>
      <c r="C6404" s="1" t="str">
        <f>"1차"</f>
        <v>1차</v>
      </c>
      <c r="D6404" s="1" t="str">
        <f>"0231C49200"</f>
        <v>0231C49200</v>
      </c>
      <c r="E6404" s="1" t="s">
        <v>10</v>
      </c>
      <c r="F6404" s="1" t="str">
        <f>"10.107.250.162"</f>
        <v>10.107.250.162</v>
      </c>
      <c r="G6404" s="1" t="str">
        <f>"0231C492"</f>
        <v>0231C492</v>
      </c>
      <c r="H6404" s="1" t="str">
        <f>"도우지 14R9"</f>
        <v>도우지 14R9</v>
      </c>
      <c r="I6404" s="1" t="s">
        <v>8</v>
      </c>
      <c r="J6404" s="1" t="str">
        <f>"20/20"</f>
        <v>20/20</v>
      </c>
      <c r="K6404" s="1" t="str">
        <f>"2026-07-29 13:18:03"</f>
        <v>2026-07-29 13:18:03</v>
      </c>
      <c r="L6404" s="1" t="str">
        <f>"2021-07-27 10:17:49"</f>
        <v>2021-07-27 10:17:49</v>
      </c>
      <c r="M6404" s="1" t="s">
        <v>45</v>
      </c>
      <c r="N6404" s="1" t="s">
        <v>38</v>
      </c>
      <c r="O6404" s="1" t="s">
        <v>46</v>
      </c>
    </row>
    <row r="6405" spans="2:15" x14ac:dyDescent="0.3">
      <c r="B6405" s="1" t="s">
        <v>22</v>
      </c>
      <c r="C6405" s="1" t="str">
        <f>"3차"</f>
        <v>3차</v>
      </c>
      <c r="D6405" s="1" t="str">
        <f>"0231C50132"</f>
        <v>0231C50132</v>
      </c>
      <c r="E6405" s="1" t="s">
        <v>12</v>
      </c>
      <c r="F6405" s="1" t="str">
        <f>"10.10.21.60"</f>
        <v>10.10.21.60</v>
      </c>
      <c r="G6405" s="1" t="str">
        <f>"0231C501"</f>
        <v>0231C501</v>
      </c>
      <c r="H6405" s="1" t="str">
        <f>"노해간 27"</f>
        <v>노해간 27</v>
      </c>
      <c r="I6405" s="1" t="s">
        <v>8</v>
      </c>
      <c r="J6405" s="1" t="str">
        <f>"0/23"</f>
        <v>0/23</v>
      </c>
      <c r="K6405" s="1" t="str">
        <f>"2026-07-21 20:03:30"</f>
        <v>2026-07-21 20:03:30</v>
      </c>
      <c r="L6405" s="1" t="str">
        <f>"2018-01-15 14:36:58"</f>
        <v>2018-01-15 14:36:58</v>
      </c>
      <c r="M6405" s="1" t="s">
        <v>1</v>
      </c>
      <c r="N6405" s="1" t="s">
        <v>38</v>
      </c>
      <c r="O6405" s="1" t="s">
        <v>46</v>
      </c>
    </row>
    <row r="6406" spans="2:15" x14ac:dyDescent="0.3">
      <c r="B6406" s="1" t="s">
        <v>22</v>
      </c>
      <c r="C6406" s="1" t="str">
        <f>"3차"</f>
        <v>3차</v>
      </c>
      <c r="D6406" s="1" t="str">
        <f>"0231C51230"</f>
        <v>0231C51230</v>
      </c>
      <c r="E6406" s="1" t="s">
        <v>10</v>
      </c>
      <c r="F6406" s="1" t="str">
        <f>"10.10.1.74"</f>
        <v>10.10.1.74</v>
      </c>
      <c r="G6406" s="1" t="str">
        <f>"0231C512"</f>
        <v>0231C512</v>
      </c>
      <c r="H6406" s="1" t="str">
        <f>"자연간 57R7"</f>
        <v>자연간 57R7</v>
      </c>
      <c r="I6406" s="1" t="s">
        <v>8</v>
      </c>
      <c r="J6406" s="1" t="str">
        <f>"25/25"</f>
        <v>25/25</v>
      </c>
      <c r="K6406" s="1" t="str">
        <f t="shared" ref="K6406:K6412" si="317">"2026-07-29 13:18:03"</f>
        <v>2026-07-29 13:18:03</v>
      </c>
      <c r="L6406" s="1" t="str">
        <f>"2018-01-22 14:53:25"</f>
        <v>2018-01-22 14:53:25</v>
      </c>
      <c r="M6406" s="1" t="s">
        <v>1</v>
      </c>
      <c r="N6406" s="1" t="s">
        <v>38</v>
      </c>
      <c r="O6406" s="1" t="s">
        <v>46</v>
      </c>
    </row>
    <row r="6407" spans="2:15" x14ac:dyDescent="0.3">
      <c r="B6407" s="1" t="s">
        <v>22</v>
      </c>
      <c r="C6407" s="1" t="str">
        <f>"3차"</f>
        <v>3차</v>
      </c>
      <c r="D6407" s="1" t="str">
        <f>"0231C51331"</f>
        <v>0231C51331</v>
      </c>
      <c r="E6407" s="1" t="s">
        <v>10</v>
      </c>
      <c r="F6407" s="1" t="str">
        <f>"10.10.1.75"</f>
        <v>10.10.1.75</v>
      </c>
      <c r="G6407" s="1" t="str">
        <f>"0231C513"</f>
        <v>0231C513</v>
      </c>
      <c r="H6407" s="1" t="str">
        <f>"자연간 57R8"</f>
        <v>자연간 57R8</v>
      </c>
      <c r="I6407" s="1" t="s">
        <v>8</v>
      </c>
      <c r="J6407" s="1" t="str">
        <f>"35/35"</f>
        <v>35/35</v>
      </c>
      <c r="K6407" s="1" t="str">
        <f t="shared" si="317"/>
        <v>2026-07-29 13:18:03</v>
      </c>
      <c r="L6407" s="1" t="str">
        <f>"2018-01-22 14:50:11"</f>
        <v>2018-01-22 14:50:11</v>
      </c>
      <c r="M6407" s="1" t="s">
        <v>1</v>
      </c>
      <c r="N6407" s="1" t="s">
        <v>38</v>
      </c>
      <c r="O6407" s="1" t="s">
        <v>46</v>
      </c>
    </row>
    <row r="6408" spans="2:15" x14ac:dyDescent="0.3">
      <c r="B6408" s="1" t="s">
        <v>22</v>
      </c>
      <c r="C6408" s="1" t="str">
        <f>"3차"</f>
        <v>3차</v>
      </c>
      <c r="D6408" s="1" t="str">
        <f>"0231C52130"</f>
        <v>0231C52130</v>
      </c>
      <c r="E6408" s="1" t="s">
        <v>10</v>
      </c>
      <c r="F6408" s="1" t="str">
        <f>"10.10.1.26"</f>
        <v>10.10.1.26</v>
      </c>
      <c r="G6408" s="1" t="str">
        <f>"0231C521"</f>
        <v>0231C521</v>
      </c>
      <c r="H6408" s="1" t="str">
        <f>"자연간 57R4"</f>
        <v>자연간 57R4</v>
      </c>
      <c r="I6408" s="1" t="s">
        <v>8</v>
      </c>
      <c r="J6408" s="1" t="str">
        <f>"9/9"</f>
        <v>9/9</v>
      </c>
      <c r="K6408" s="1" t="str">
        <f t="shared" si="317"/>
        <v>2026-07-29 13:18:03</v>
      </c>
      <c r="L6408" s="1" t="str">
        <f>"2018-01-22 14:45:16"</f>
        <v>2018-01-22 14:45:16</v>
      </c>
      <c r="M6408" s="1" t="s">
        <v>1</v>
      </c>
      <c r="N6408" s="1" t="s">
        <v>38</v>
      </c>
      <c r="O6408" s="1" t="s">
        <v>46</v>
      </c>
    </row>
    <row r="6409" spans="2:15" x14ac:dyDescent="0.3">
      <c r="B6409" s="1" t="s">
        <v>22</v>
      </c>
      <c r="C6409" s="1" t="str">
        <f>"3차"</f>
        <v>3차</v>
      </c>
      <c r="D6409" s="1" t="str">
        <f>"0231C52331"</f>
        <v>0231C52331</v>
      </c>
      <c r="E6409" s="1" t="s">
        <v>10</v>
      </c>
      <c r="F6409" s="1" t="str">
        <f>"10.10.1.27"</f>
        <v>10.10.1.27</v>
      </c>
      <c r="G6409" s="1" t="str">
        <f>"0231C523"</f>
        <v>0231C523</v>
      </c>
      <c r="H6409" s="1" t="str">
        <f>"자연간 57R5"</f>
        <v>자연간 57R5</v>
      </c>
      <c r="I6409" s="1" t="s">
        <v>8</v>
      </c>
      <c r="J6409" s="1" t="str">
        <f>"15/15"</f>
        <v>15/15</v>
      </c>
      <c r="K6409" s="1" t="str">
        <f t="shared" si="317"/>
        <v>2026-07-29 13:18:03</v>
      </c>
      <c r="L6409" s="1" t="str">
        <f>"2021-07-27 13:47:24"</f>
        <v>2021-07-27 13:47:24</v>
      </c>
      <c r="M6409" s="1" t="s">
        <v>1</v>
      </c>
      <c r="N6409" s="1" t="s">
        <v>38</v>
      </c>
      <c r="O6409" s="1" t="s">
        <v>46</v>
      </c>
    </row>
    <row r="6410" spans="2:15" x14ac:dyDescent="0.3">
      <c r="B6410" s="1" t="s">
        <v>22</v>
      </c>
      <c r="C6410" s="1" t="str">
        <f>"1차"</f>
        <v>1차</v>
      </c>
      <c r="D6410" s="1" t="str">
        <f>"0231C54100"</f>
        <v>0231C54100</v>
      </c>
      <c r="E6410" s="1" t="s">
        <v>10</v>
      </c>
      <c r="F6410" s="1" t="str">
        <f>"10.107.250.39"</f>
        <v>10.107.250.39</v>
      </c>
      <c r="G6410" s="1" t="str">
        <f>"0231C541"</f>
        <v>0231C541</v>
      </c>
      <c r="H6410" s="1" t="str">
        <f>"자연간 57R2L1"</f>
        <v>자연간 57R2L1</v>
      </c>
      <c r="I6410" s="1" t="s">
        <v>8</v>
      </c>
      <c r="J6410" s="1" t="str">
        <f>"13/13"</f>
        <v>13/13</v>
      </c>
      <c r="K6410" s="1" t="str">
        <f t="shared" si="317"/>
        <v>2026-07-29 13:18:03</v>
      </c>
      <c r="L6410" s="1" t="str">
        <f>"2014-12-30 14:50:29"</f>
        <v>2014-12-30 14:50:29</v>
      </c>
      <c r="M6410" s="1" t="s">
        <v>45</v>
      </c>
      <c r="N6410" s="1" t="s">
        <v>38</v>
      </c>
      <c r="O6410" s="1" t="s">
        <v>46</v>
      </c>
    </row>
    <row r="6411" spans="2:15" x14ac:dyDescent="0.3">
      <c r="B6411" s="1" t="s">
        <v>22</v>
      </c>
      <c r="C6411" s="1" t="str">
        <f>"4차"</f>
        <v>4차</v>
      </c>
      <c r="D6411" s="1" t="str">
        <f>"0231C55242"</f>
        <v>0231C55242</v>
      </c>
      <c r="E6411" s="1" t="s">
        <v>10</v>
      </c>
      <c r="F6411" s="1" t="str">
        <f>"10.107.250.40"</f>
        <v>10.107.250.40</v>
      </c>
      <c r="G6411" s="1" t="str">
        <f>"0231C552"</f>
        <v>0231C552</v>
      </c>
      <c r="H6411" s="1" t="str">
        <f>"자연간 59"</f>
        <v>자연간 59</v>
      </c>
      <c r="I6411" s="1" t="s">
        <v>8</v>
      </c>
      <c r="J6411" s="1" t="str">
        <f>"17/21"</f>
        <v>17/21</v>
      </c>
      <c r="K6411" s="1" t="str">
        <f t="shared" si="317"/>
        <v>2026-07-29 13:18:03</v>
      </c>
      <c r="L6411" s="1" t="str">
        <f>"2024-12-23 10:34:27"</f>
        <v>2024-12-23 10:34:27</v>
      </c>
      <c r="M6411" s="1" t="s">
        <v>45</v>
      </c>
      <c r="N6411" s="1" t="s">
        <v>38</v>
      </c>
      <c r="O6411" s="1" t="s">
        <v>46</v>
      </c>
    </row>
    <row r="6412" spans="2:15" x14ac:dyDescent="0.3">
      <c r="B6412" s="1" t="s">
        <v>22</v>
      </c>
      <c r="C6412" s="1" t="str">
        <f>"1차"</f>
        <v>1차</v>
      </c>
      <c r="D6412" s="1" t="str">
        <f>"0231C55300"</f>
        <v>0231C55300</v>
      </c>
      <c r="E6412" s="1" t="s">
        <v>10</v>
      </c>
      <c r="F6412" s="1" t="str">
        <f>"10.107.250.199"</f>
        <v>10.107.250.199</v>
      </c>
      <c r="G6412" s="1" t="str">
        <f>"0231C553"</f>
        <v>0231C553</v>
      </c>
      <c r="H6412" s="1" t="str">
        <f>"도우지 12"</f>
        <v>도우지 12</v>
      </c>
      <c r="I6412" s="1" t="s">
        <v>8</v>
      </c>
      <c r="J6412" s="1" t="str">
        <f>"39/40"</f>
        <v>39/40</v>
      </c>
      <c r="K6412" s="1" t="str">
        <f t="shared" si="317"/>
        <v>2026-07-29 13:18:03</v>
      </c>
      <c r="L6412" s="1" t="str">
        <f>"2014-12-11 15:57:43"</f>
        <v>2014-12-11 15:57:43</v>
      </c>
      <c r="M6412" s="1" t="s">
        <v>45</v>
      </c>
      <c r="N6412" s="1" t="s">
        <v>38</v>
      </c>
      <c r="O6412" s="1" t="s">
        <v>46</v>
      </c>
    </row>
    <row r="6413" spans="2:15" x14ac:dyDescent="0.3">
      <c r="B6413" s="1" t="s">
        <v>22</v>
      </c>
      <c r="C6413" s="1" t="str">
        <f>"4차"</f>
        <v>4차</v>
      </c>
      <c r="D6413" s="1" t="str">
        <f>"0231C55442"</f>
        <v>0231C55442</v>
      </c>
      <c r="E6413" s="1" t="s">
        <v>10</v>
      </c>
      <c r="F6413" s="1" t="str">
        <f>"10.12.130.142"</f>
        <v>10.12.130.142</v>
      </c>
      <c r="G6413" s="1" t="str">
        <f>"0231C554"</f>
        <v>0231C554</v>
      </c>
      <c r="H6413" s="1" t="str">
        <f>"도우지 12H1"</f>
        <v>도우지 12H1</v>
      </c>
      <c r="I6413" s="1" t="s">
        <v>8</v>
      </c>
      <c r="J6413" s="1" t="str">
        <f>"43/43"</f>
        <v>43/43</v>
      </c>
      <c r="K6413" s="1" t="str">
        <f>"2026-07-29 13:18:04"</f>
        <v>2026-07-29 13:18:04</v>
      </c>
      <c r="L6413" s="1" t="str">
        <f>"2024-12-19 08:52:53"</f>
        <v>2024-12-19 08:52:53</v>
      </c>
      <c r="M6413" s="1" t="s">
        <v>0</v>
      </c>
      <c r="N6413" s="1" t="s">
        <v>38</v>
      </c>
      <c r="O6413" s="1" t="s">
        <v>46</v>
      </c>
    </row>
    <row r="6414" spans="2:15" x14ac:dyDescent="0.3">
      <c r="B6414" s="1" t="s">
        <v>22</v>
      </c>
      <c r="C6414" s="1" t="str">
        <f>"1차"</f>
        <v>1차</v>
      </c>
      <c r="D6414" s="1" t="str">
        <f>"0231C57100"</f>
        <v>0231C57100</v>
      </c>
      <c r="E6414" s="1" t="s">
        <v>10</v>
      </c>
      <c r="F6414" s="1" t="str">
        <f>"10.107.250.212"</f>
        <v>10.107.250.212</v>
      </c>
      <c r="G6414" s="1" t="str">
        <f>"0231C571"</f>
        <v>0231C571</v>
      </c>
      <c r="H6414" s="1" t="str">
        <f>"도우지 12H1R2"</f>
        <v>도우지 12H1R2</v>
      </c>
      <c r="I6414" s="1" t="s">
        <v>8</v>
      </c>
      <c r="J6414" s="1" t="str">
        <f>"22/22"</f>
        <v>22/22</v>
      </c>
      <c r="K6414" s="1" t="str">
        <f>"2026-07-29 13:18:03"</f>
        <v>2026-07-29 13:18:03</v>
      </c>
      <c r="L6414" s="1" t="str">
        <f>"2014-12-11 15:28:28"</f>
        <v>2014-12-11 15:28:28</v>
      </c>
      <c r="M6414" s="1" t="s">
        <v>45</v>
      </c>
      <c r="N6414" s="1" t="s">
        <v>38</v>
      </c>
      <c r="O6414" s="1" t="s">
        <v>46</v>
      </c>
    </row>
    <row r="6415" spans="2:15" x14ac:dyDescent="0.3">
      <c r="B6415" s="1" t="s">
        <v>22</v>
      </c>
      <c r="C6415" s="1" t="str">
        <f>"2차"</f>
        <v>2차</v>
      </c>
      <c r="D6415" s="1" t="str">
        <f>"0231C57229"</f>
        <v>0231C57229</v>
      </c>
      <c r="E6415" s="1" t="s">
        <v>10</v>
      </c>
      <c r="F6415" s="1" t="str">
        <f>"10.14.3.127"</f>
        <v>10.14.3.127</v>
      </c>
      <c r="G6415" s="1" t="str">
        <f>"0231C572"</f>
        <v>0231C572</v>
      </c>
      <c r="H6415" s="1" t="str">
        <f>"도우지 13R3"</f>
        <v>도우지 13R3</v>
      </c>
      <c r="I6415" s="1" t="s">
        <v>8</v>
      </c>
      <c r="J6415" s="1" t="str">
        <f>"25/25"</f>
        <v>25/25</v>
      </c>
      <c r="K6415" s="1" t="str">
        <f>"2026-07-29 13:18:04"</f>
        <v>2026-07-29 13:18:04</v>
      </c>
      <c r="L6415" s="1" t="str">
        <f>"2021-04-30 09:00:00"</f>
        <v>2021-04-30 09:00:00</v>
      </c>
      <c r="M6415" s="1" t="s">
        <v>3</v>
      </c>
      <c r="N6415" s="1" t="s">
        <v>38</v>
      </c>
      <c r="O6415" s="1" t="s">
        <v>46</v>
      </c>
    </row>
    <row r="6416" spans="2:15" x14ac:dyDescent="0.3">
      <c r="B6416" s="1" t="s">
        <v>22</v>
      </c>
      <c r="C6416" s="1" t="str">
        <f>"2차"</f>
        <v>2차</v>
      </c>
      <c r="D6416" s="1" t="str">
        <f>"0231C58120"</f>
        <v>0231C58120</v>
      </c>
      <c r="E6416" s="1" t="s">
        <v>10</v>
      </c>
      <c r="F6416" s="1" t="str">
        <f>"10.10.1.66"</f>
        <v>10.10.1.66</v>
      </c>
      <c r="G6416" s="1" t="str">
        <f>"0231C581"</f>
        <v>0231C581</v>
      </c>
      <c r="H6416" s="1" t="str">
        <f>"도우지 13R4"</f>
        <v>도우지 13R4</v>
      </c>
      <c r="I6416" s="1" t="s">
        <v>8</v>
      </c>
      <c r="J6416" s="1" t="str">
        <f>"19/22"</f>
        <v>19/22</v>
      </c>
      <c r="K6416" s="1" t="str">
        <f>"2026-07-29 13:18:03"</f>
        <v>2026-07-29 13:18:03</v>
      </c>
      <c r="L6416" s="1" t="str">
        <f>"2017-08-01 14:11:03"</f>
        <v>2017-08-01 14:11:03</v>
      </c>
      <c r="M6416" s="1" t="s">
        <v>1</v>
      </c>
      <c r="N6416" s="1" t="s">
        <v>38</v>
      </c>
      <c r="O6416" s="1" t="s">
        <v>46</v>
      </c>
    </row>
    <row r="6417" spans="2:15" x14ac:dyDescent="0.3">
      <c r="B6417" s="1" t="s">
        <v>22</v>
      </c>
      <c r="C6417" s="1" t="str">
        <f>"2차"</f>
        <v>2차</v>
      </c>
      <c r="D6417" s="1" t="str">
        <f>"0231C58329"</f>
        <v>0231C58329</v>
      </c>
      <c r="E6417" s="1" t="str">
        <f>"검침실패(3시간 이상)"</f>
        <v>검침실패(3시간 이상)</v>
      </c>
      <c r="F6417" s="1" t="str">
        <f>"10.10.1.162"</f>
        <v>10.10.1.162</v>
      </c>
      <c r="G6417" s="1" t="str">
        <f>"0231C583"</f>
        <v>0231C583</v>
      </c>
      <c r="H6417" s="1" t="str">
        <f>"도우지 12H1R4"</f>
        <v>도우지 12H1R4</v>
      </c>
      <c r="I6417" s="1" t="s">
        <v>8</v>
      </c>
      <c r="J6417" s="1" t="str">
        <f>"0/5"</f>
        <v>0/5</v>
      </c>
      <c r="K6417" s="1" t="str">
        <f>"2026-07-29 13:18:03"</f>
        <v>2026-07-29 13:18:03</v>
      </c>
      <c r="L6417" s="1" t="str">
        <f>"2017-08-01 13:41:03"</f>
        <v>2017-08-01 13:41:03</v>
      </c>
      <c r="M6417" s="1" t="s">
        <v>1</v>
      </c>
      <c r="N6417" s="1" t="s">
        <v>38</v>
      </c>
      <c r="O6417" s="1" t="s">
        <v>46</v>
      </c>
    </row>
    <row r="6418" spans="2:15" x14ac:dyDescent="0.3">
      <c r="B6418" s="1" t="s">
        <v>22</v>
      </c>
      <c r="C6418" s="1" t="str">
        <f>"1차"</f>
        <v>1차</v>
      </c>
      <c r="D6418" s="1" t="str">
        <f>"0231C58400"</f>
        <v>0231C58400</v>
      </c>
      <c r="E6418" s="1" t="s">
        <v>10</v>
      </c>
      <c r="F6418" s="1" t="str">
        <f>"10.107.250.205"</f>
        <v>10.107.250.205</v>
      </c>
      <c r="G6418" s="1" t="str">
        <f>"0231C584"</f>
        <v>0231C584</v>
      </c>
      <c r="H6418" s="1" t="str">
        <f>"도우지 13R5"</f>
        <v>도우지 13R5</v>
      </c>
      <c r="I6418" s="1" t="s">
        <v>8</v>
      </c>
      <c r="J6418" s="1" t="str">
        <f>"7/7"</f>
        <v>7/7</v>
      </c>
      <c r="K6418" s="1" t="str">
        <f>"2026-07-29 13:18:03"</f>
        <v>2026-07-29 13:18:03</v>
      </c>
      <c r="L6418" s="1" t="str">
        <f>"2014-12-12 14:42:58"</f>
        <v>2014-12-12 14:42:58</v>
      </c>
      <c r="M6418" s="1" t="s">
        <v>45</v>
      </c>
      <c r="N6418" s="1" t="s">
        <v>38</v>
      </c>
      <c r="O6418" s="1" t="s">
        <v>46</v>
      </c>
    </row>
    <row r="6419" spans="2:15" x14ac:dyDescent="0.3">
      <c r="B6419" s="1" t="s">
        <v>22</v>
      </c>
      <c r="C6419" s="1" t="str">
        <f>"1차"</f>
        <v>1차</v>
      </c>
      <c r="D6419" s="1" t="str">
        <f>"0231C59201"</f>
        <v>0231C59201</v>
      </c>
      <c r="E6419" s="1" t="s">
        <v>10</v>
      </c>
      <c r="F6419" s="1" t="str">
        <f>"10.12.129.88"</f>
        <v>10.12.129.88</v>
      </c>
      <c r="G6419" s="1" t="str">
        <f>"0231C592"</f>
        <v>0231C592</v>
      </c>
      <c r="H6419" s="1" t="str">
        <f>"도우지 20R13R3"</f>
        <v>도우지 20R13R3</v>
      </c>
      <c r="I6419" s="1" t="s">
        <v>8</v>
      </c>
      <c r="J6419" s="1" t="str">
        <f>"41/41"</f>
        <v>41/41</v>
      </c>
      <c r="K6419" s="1" t="str">
        <f>"2026-07-29 13:18:03"</f>
        <v>2026-07-29 13:18:03</v>
      </c>
      <c r="L6419" s="1" t="str">
        <f>"2014-12-15 15:57:46"</f>
        <v>2014-12-15 15:57:46</v>
      </c>
      <c r="M6419" s="1" t="s">
        <v>0</v>
      </c>
      <c r="N6419" s="1" t="s">
        <v>38</v>
      </c>
      <c r="O6419" s="1" t="s">
        <v>46</v>
      </c>
    </row>
    <row r="6420" spans="2:15" x14ac:dyDescent="0.3">
      <c r="B6420" s="1" t="s">
        <v>22</v>
      </c>
      <c r="C6420" s="1" t="str">
        <f>"4차"</f>
        <v>4차</v>
      </c>
      <c r="D6420" s="1" t="str">
        <f>"0231C60130"</f>
        <v>0231C60130</v>
      </c>
      <c r="E6420" s="1" t="s">
        <v>18</v>
      </c>
      <c r="F6420" s="1" t="str">
        <f>"10.10.21.58"</f>
        <v>10.10.21.58</v>
      </c>
      <c r="G6420" s="1" t="str">
        <f>"0231C601"</f>
        <v>0231C601</v>
      </c>
      <c r="H6420" s="1" t="str">
        <f>"노해간 25"</f>
        <v>노해간 25</v>
      </c>
      <c r="I6420" s="1" t="s">
        <v>8</v>
      </c>
      <c r="J6420" s="1" t="str">
        <f>"0/66"</f>
        <v>0/66</v>
      </c>
      <c r="K6420" s="1" t="str">
        <f>"2026-07-21 20:03:39"</f>
        <v>2026-07-21 20:03:39</v>
      </c>
      <c r="L6420" s="1" t="str">
        <f>"2018-01-03 13:58:55"</f>
        <v>2018-01-03 13:58:55</v>
      </c>
      <c r="M6420" s="1" t="s">
        <v>1</v>
      </c>
      <c r="N6420" s="1" t="s">
        <v>38</v>
      </c>
      <c r="O6420" s="1" t="s">
        <v>46</v>
      </c>
    </row>
    <row r="6421" spans="2:15" x14ac:dyDescent="0.3">
      <c r="B6421" s="1" t="s">
        <v>22</v>
      </c>
      <c r="C6421" s="1" t="str">
        <f>"6차"</f>
        <v>6차</v>
      </c>
      <c r="D6421" s="1" t="str">
        <f>"0231C6416S"</f>
        <v>0231C6416S</v>
      </c>
      <c r="E6421" s="1" t="s">
        <v>10</v>
      </c>
      <c r="F6421" s="1" t="str">
        <f>"fde1:103:4:c7ae:0:0:0:2"</f>
        <v>fde1:103:4:c7ae:0:0:0:2</v>
      </c>
      <c r="G6421" s="1" t="str">
        <f>"0231C641"</f>
        <v>0231C641</v>
      </c>
      <c r="H6421" s="1" t="str">
        <f>"자연간 57R2L4"</f>
        <v>자연간 57R2L4</v>
      </c>
      <c r="I6421" s="1" t="s">
        <v>15</v>
      </c>
      <c r="J6421" s="1" t="str">
        <f>"79/86"</f>
        <v>79/86</v>
      </c>
      <c r="K6421" s="1" t="str">
        <f>"2026-07-29 14:20:42"</f>
        <v>2026-07-29 14:20:42</v>
      </c>
      <c r="L6421" s="1" t="str">
        <f>"2025-01-21 17:05:44"</f>
        <v>2025-01-21 17:05:44</v>
      </c>
      <c r="M6421" s="1" t="s">
        <v>4</v>
      </c>
      <c r="N6421" s="1" t="s">
        <v>38</v>
      </c>
      <c r="O6421" s="1" t="s">
        <v>46</v>
      </c>
    </row>
    <row r="6422" spans="2:15" x14ac:dyDescent="0.3">
      <c r="B6422" s="1" t="s">
        <v>22</v>
      </c>
      <c r="C6422" s="1" t="str">
        <f>"2차"</f>
        <v>2차</v>
      </c>
      <c r="D6422" s="1" t="str">
        <f>"0231C67129"</f>
        <v>0231C67129</v>
      </c>
      <c r="E6422" s="1" t="s">
        <v>10</v>
      </c>
      <c r="F6422" s="1" t="str">
        <f>"10.10.1.210"</f>
        <v>10.10.1.210</v>
      </c>
      <c r="G6422" s="1" t="str">
        <f>"0231C671"</f>
        <v>0231C671</v>
      </c>
      <c r="H6422" s="1" t="str">
        <f>"도우지 11R4"</f>
        <v>도우지 11R4</v>
      </c>
      <c r="I6422" s="1" t="s">
        <v>8</v>
      </c>
      <c r="J6422" s="1" t="str">
        <f>"30/39"</f>
        <v>30/39</v>
      </c>
      <c r="K6422" s="1" t="str">
        <f>"2026-07-29 13:18:03"</f>
        <v>2026-07-29 13:18:03</v>
      </c>
      <c r="L6422" s="1" t="str">
        <f>"2017-08-01 13:31:03"</f>
        <v>2017-08-01 13:31:03</v>
      </c>
      <c r="M6422" s="1" t="s">
        <v>1</v>
      </c>
      <c r="N6422" s="1" t="s">
        <v>38</v>
      </c>
      <c r="O6422" s="1" t="s">
        <v>46</v>
      </c>
    </row>
    <row r="6423" spans="2:15" x14ac:dyDescent="0.3">
      <c r="B6423" s="1" t="s">
        <v>22</v>
      </c>
      <c r="C6423" s="1" t="str">
        <f>"1차"</f>
        <v>1차</v>
      </c>
      <c r="D6423" s="1" t="str">
        <f>"0231C67200"</f>
        <v>0231C67200</v>
      </c>
      <c r="E6423" s="1" t="s">
        <v>10</v>
      </c>
      <c r="F6423" s="1" t="str">
        <f>"10.107.250.213"</f>
        <v>10.107.250.213</v>
      </c>
      <c r="G6423" s="1" t="str">
        <f>"0231C672"</f>
        <v>0231C672</v>
      </c>
      <c r="H6423" s="1" t="str">
        <f>"도우지 11R2"</f>
        <v>도우지 11R2</v>
      </c>
      <c r="I6423" s="1" t="s">
        <v>8</v>
      </c>
      <c r="J6423" s="1" t="str">
        <f>"14/14"</f>
        <v>14/14</v>
      </c>
      <c r="K6423" s="1" t="str">
        <f>"2026-07-29 13:18:03"</f>
        <v>2026-07-29 13:18:03</v>
      </c>
      <c r="L6423" s="1" t="str">
        <f>"2015-08-13 10:27:03"</f>
        <v>2015-08-13 10:27:03</v>
      </c>
      <c r="M6423" s="1" t="s">
        <v>45</v>
      </c>
      <c r="N6423" s="1" t="s">
        <v>38</v>
      </c>
      <c r="O6423" s="1" t="s">
        <v>46</v>
      </c>
    </row>
    <row r="6424" spans="2:15" x14ac:dyDescent="0.3">
      <c r="B6424" s="1" t="s">
        <v>22</v>
      </c>
      <c r="C6424" s="1" t="str">
        <f>"3차"</f>
        <v>3차</v>
      </c>
      <c r="D6424" s="1" t="str">
        <f>"0231C70130"</f>
        <v>0231C70130</v>
      </c>
      <c r="E6424" s="1" t="s">
        <v>10</v>
      </c>
      <c r="F6424" s="1" t="str">
        <f>"10.10.19.90"</f>
        <v>10.10.19.90</v>
      </c>
      <c r="G6424" s="1" t="str">
        <f>"0231C701"</f>
        <v>0231C701</v>
      </c>
      <c r="H6424" s="1" t="str">
        <f>"노해간 23L1"</f>
        <v>노해간 23L1</v>
      </c>
      <c r="I6424" s="1" t="s">
        <v>8</v>
      </c>
      <c r="J6424" s="1" t="str">
        <f>"14/14"</f>
        <v>14/14</v>
      </c>
      <c r="K6424" s="1" t="str">
        <f>"2026-07-29 13:18:03"</f>
        <v>2026-07-29 13:18:03</v>
      </c>
      <c r="L6424" s="1" t="str">
        <f>"2018-01-03 14:27:11"</f>
        <v>2018-01-03 14:27:11</v>
      </c>
      <c r="M6424" s="1" t="s">
        <v>1</v>
      </c>
      <c r="N6424" s="1" t="s">
        <v>38</v>
      </c>
      <c r="O6424" s="1" t="s">
        <v>46</v>
      </c>
    </row>
    <row r="6425" spans="2:15" x14ac:dyDescent="0.3">
      <c r="B6425" s="1" t="s">
        <v>22</v>
      </c>
      <c r="C6425" s="1" t="str">
        <f>"3차"</f>
        <v>3차</v>
      </c>
      <c r="D6425" s="1" t="str">
        <f>"0231C70231"</f>
        <v>0231C70231</v>
      </c>
      <c r="E6425" s="1" t="s">
        <v>12</v>
      </c>
      <c r="F6425" s="1" t="str">
        <f>"10.10.21.59"</f>
        <v>10.10.21.59</v>
      </c>
      <c r="G6425" s="1" t="str">
        <f>"0231C702"</f>
        <v>0231C702</v>
      </c>
      <c r="H6425" s="1" t="str">
        <f>"노해간 24"</f>
        <v>노해간 24</v>
      </c>
      <c r="I6425" s="1" t="s">
        <v>8</v>
      </c>
      <c r="J6425" s="1" t="str">
        <f>"0/47"</f>
        <v>0/47</v>
      </c>
      <c r="K6425" s="1" t="str">
        <f>"2026-07-21 20:03:39"</f>
        <v>2026-07-21 20:03:39</v>
      </c>
      <c r="L6425" s="1" t="str">
        <f>"2018-01-15 14:15:13"</f>
        <v>2018-01-15 14:15:13</v>
      </c>
      <c r="M6425" s="1" t="s">
        <v>1</v>
      </c>
      <c r="N6425" s="1" t="s">
        <v>38</v>
      </c>
      <c r="O6425" s="1" t="s">
        <v>46</v>
      </c>
    </row>
    <row r="6426" spans="2:15" x14ac:dyDescent="0.3">
      <c r="B6426" s="1" t="s">
        <v>22</v>
      </c>
      <c r="C6426" s="1" t="str">
        <f>"4차"</f>
        <v>4차</v>
      </c>
      <c r="D6426" s="1" t="str">
        <f>"0231C79220"</f>
        <v>0231C79220</v>
      </c>
      <c r="E6426" s="1" t="s">
        <v>10</v>
      </c>
      <c r="F6426" s="1" t="str">
        <f>"10.10.3.42"</f>
        <v>10.10.3.42</v>
      </c>
      <c r="G6426" s="1" t="str">
        <f>"0231C792"</f>
        <v>0231C792</v>
      </c>
      <c r="H6426" s="1" t="str">
        <f>"도우지 20R23"</f>
        <v>도우지 20R23</v>
      </c>
      <c r="I6426" s="1" t="s">
        <v>8</v>
      </c>
      <c r="J6426" s="1" t="str">
        <f>"6/15"</f>
        <v>6/15</v>
      </c>
      <c r="K6426" s="1" t="str">
        <f t="shared" ref="K6426:K6433" si="318">"2026-07-29 13:18:03"</f>
        <v>2026-07-29 13:18:03</v>
      </c>
      <c r="L6426" s="1" t="str">
        <f>"2017-05-22 17:00:00"</f>
        <v>2017-05-22 17:00:00</v>
      </c>
      <c r="M6426" s="1" t="s">
        <v>1</v>
      </c>
      <c r="N6426" s="1" t="s">
        <v>38</v>
      </c>
      <c r="O6426" s="1" t="s">
        <v>46</v>
      </c>
    </row>
    <row r="6427" spans="2:15" x14ac:dyDescent="0.3">
      <c r="B6427" s="1" t="s">
        <v>22</v>
      </c>
      <c r="C6427" s="1" t="str">
        <f>"1차"</f>
        <v>1차</v>
      </c>
      <c r="D6427" s="1" t="str">
        <f>"0231C80200"</f>
        <v>0231C80200</v>
      </c>
      <c r="E6427" s="1" t="s">
        <v>10</v>
      </c>
      <c r="F6427" s="1" t="str">
        <f>"10.107.253.24"</f>
        <v>10.107.253.24</v>
      </c>
      <c r="G6427" s="1" t="str">
        <f>"0231C802"</f>
        <v>0231C802</v>
      </c>
      <c r="H6427" s="1" t="str">
        <f>"노해간 23"</f>
        <v>노해간 23</v>
      </c>
      <c r="I6427" s="1" t="s">
        <v>8</v>
      </c>
      <c r="J6427" s="1" t="str">
        <f>"5/5"</f>
        <v>5/5</v>
      </c>
      <c r="K6427" s="1" t="str">
        <f t="shared" si="318"/>
        <v>2026-07-29 13:18:03</v>
      </c>
      <c r="L6427" s="1" t="str">
        <f>"2014-12-25 18:12:16"</f>
        <v>2014-12-25 18:12:16</v>
      </c>
      <c r="M6427" s="1" t="s">
        <v>45</v>
      </c>
      <c r="N6427" s="1" t="s">
        <v>38</v>
      </c>
      <c r="O6427" s="1" t="s">
        <v>46</v>
      </c>
    </row>
    <row r="6428" spans="2:15" x14ac:dyDescent="0.3">
      <c r="B6428" s="1" t="s">
        <v>22</v>
      </c>
      <c r="C6428" s="1" t="str">
        <f>"3차"</f>
        <v>3차</v>
      </c>
      <c r="D6428" s="1" t="str">
        <f>"0231C81139"</f>
        <v>0231C81139</v>
      </c>
      <c r="E6428" s="1" t="s">
        <v>10</v>
      </c>
      <c r="F6428" s="1" t="str">
        <f>"10.10.19.162"</f>
        <v>10.10.19.162</v>
      </c>
      <c r="G6428" s="1" t="str">
        <f>"0231C811"</f>
        <v>0231C811</v>
      </c>
      <c r="H6428" s="1" t="str">
        <f>"노해간 21"</f>
        <v>노해간 21</v>
      </c>
      <c r="I6428" s="1" t="s">
        <v>8</v>
      </c>
      <c r="J6428" s="1" t="str">
        <f>"23/23"</f>
        <v>23/23</v>
      </c>
      <c r="K6428" s="1" t="str">
        <f t="shared" si="318"/>
        <v>2026-07-29 13:18:03</v>
      </c>
      <c r="L6428" s="1" t="str">
        <f>"2018-01-30 09:55:39"</f>
        <v>2018-01-30 09:55:39</v>
      </c>
      <c r="M6428" s="1" t="s">
        <v>1</v>
      </c>
      <c r="N6428" s="1" t="s">
        <v>38</v>
      </c>
      <c r="O6428" s="1" t="s">
        <v>46</v>
      </c>
    </row>
    <row r="6429" spans="2:15" x14ac:dyDescent="0.3">
      <c r="B6429" s="1" t="s">
        <v>22</v>
      </c>
      <c r="C6429" s="1" t="str">
        <f>"1차"</f>
        <v>1차</v>
      </c>
      <c r="D6429" s="1" t="str">
        <f>"0231C82400"</f>
        <v>0231C82400</v>
      </c>
      <c r="E6429" s="1" t="s">
        <v>10</v>
      </c>
      <c r="F6429" s="1" t="str">
        <f>"10.107.255.106"</f>
        <v>10.107.255.106</v>
      </c>
      <c r="G6429" s="1" t="str">
        <f>"0231C824"</f>
        <v>0231C824</v>
      </c>
      <c r="H6429" s="1" t="str">
        <f>"노해간 21R3"</f>
        <v>노해간 21R3</v>
      </c>
      <c r="I6429" s="1" t="s">
        <v>8</v>
      </c>
      <c r="J6429" s="1" t="str">
        <f>"49/49"</f>
        <v>49/49</v>
      </c>
      <c r="K6429" s="1" t="str">
        <f t="shared" si="318"/>
        <v>2026-07-29 13:18:03</v>
      </c>
      <c r="L6429" s="1" t="str">
        <f>"2014-12-27 10:12:41"</f>
        <v>2014-12-27 10:12:41</v>
      </c>
      <c r="M6429" s="1" t="s">
        <v>45</v>
      </c>
      <c r="N6429" s="1" t="s">
        <v>38</v>
      </c>
      <c r="O6429" s="1" t="s">
        <v>46</v>
      </c>
    </row>
    <row r="6430" spans="2:15" x14ac:dyDescent="0.3">
      <c r="B6430" s="1" t="s">
        <v>22</v>
      </c>
      <c r="C6430" s="1" t="str">
        <f>"2차"</f>
        <v>2차</v>
      </c>
      <c r="D6430" s="1" t="str">
        <f>"0231C85321"</f>
        <v>0231C85321</v>
      </c>
      <c r="E6430" s="1" t="s">
        <v>10</v>
      </c>
      <c r="F6430" s="1" t="str">
        <f>"10.10.3.123"</f>
        <v>10.10.3.123</v>
      </c>
      <c r="G6430" s="1" t="str">
        <f>"0231C853"</f>
        <v>0231C853</v>
      </c>
      <c r="H6430" s="1" t="str">
        <f>"자연간 65"</f>
        <v>자연간 65</v>
      </c>
      <c r="I6430" s="1" t="s">
        <v>8</v>
      </c>
      <c r="J6430" s="1" t="str">
        <f>"10/10"</f>
        <v>10/10</v>
      </c>
      <c r="K6430" s="1" t="str">
        <f t="shared" si="318"/>
        <v>2026-07-29 13:18:03</v>
      </c>
      <c r="L6430" s="1" t="str">
        <f>"2017-06-28 17:58:56"</f>
        <v>2017-06-28 17:58:56</v>
      </c>
      <c r="M6430" s="1" t="s">
        <v>1</v>
      </c>
      <c r="N6430" s="1" t="s">
        <v>44</v>
      </c>
      <c r="O6430" s="1" t="s">
        <v>44</v>
      </c>
    </row>
    <row r="6431" spans="2:15" x14ac:dyDescent="0.3">
      <c r="B6431" s="1" t="s">
        <v>22</v>
      </c>
      <c r="C6431" s="1" t="str">
        <f>"2차"</f>
        <v>2차</v>
      </c>
      <c r="D6431" s="1" t="str">
        <f>"0231C86220"</f>
        <v>0231C86220</v>
      </c>
      <c r="E6431" s="1" t="s">
        <v>10</v>
      </c>
      <c r="F6431" s="1" t="str">
        <f>"10.10.2.146"</f>
        <v>10.10.2.146</v>
      </c>
      <c r="G6431" s="1" t="str">
        <f>"0231C862"</f>
        <v>0231C862</v>
      </c>
      <c r="H6431" s="1" t="str">
        <f>"도우지 8R2"</f>
        <v>도우지 8R2</v>
      </c>
      <c r="I6431" s="1" t="s">
        <v>8</v>
      </c>
      <c r="J6431" s="1" t="str">
        <f>"7/7"</f>
        <v>7/7</v>
      </c>
      <c r="K6431" s="1" t="str">
        <f t="shared" si="318"/>
        <v>2026-07-29 13:18:03</v>
      </c>
      <c r="L6431" s="1" t="str">
        <f>"2017-05-22 17:37:45"</f>
        <v>2017-05-22 17:37:45</v>
      </c>
      <c r="M6431" s="1" t="s">
        <v>1</v>
      </c>
      <c r="N6431" s="1" t="s">
        <v>38</v>
      </c>
      <c r="O6431" s="1" t="s">
        <v>46</v>
      </c>
    </row>
    <row r="6432" spans="2:15" x14ac:dyDescent="0.3">
      <c r="B6432" s="1" t="s">
        <v>22</v>
      </c>
      <c r="C6432" s="1" t="str">
        <f>"4차"</f>
        <v>4차</v>
      </c>
      <c r="D6432" s="1" t="str">
        <f>"0231C87129"</f>
        <v>0231C87129</v>
      </c>
      <c r="E6432" s="1" t="s">
        <v>10</v>
      </c>
      <c r="F6432" s="1" t="str">
        <f>"10.14.6.117"</f>
        <v>10.14.6.117</v>
      </c>
      <c r="G6432" s="1" t="str">
        <f>"0231C871"</f>
        <v>0231C871</v>
      </c>
      <c r="H6432" s="1" t="str">
        <f>"도우지 8HR4"</f>
        <v>도우지 8HR4</v>
      </c>
      <c r="I6432" s="1" t="s">
        <v>8</v>
      </c>
      <c r="J6432" s="1" t="str">
        <f>"41/42"</f>
        <v>41/42</v>
      </c>
      <c r="K6432" s="1" t="str">
        <f t="shared" si="318"/>
        <v>2026-07-29 13:18:03</v>
      </c>
      <c r="L6432" s="1" t="str">
        <f>"2017-07-27 15:51:04"</f>
        <v>2017-07-27 15:51:04</v>
      </c>
      <c r="M6432" s="1" t="s">
        <v>3</v>
      </c>
      <c r="N6432" s="1" t="s">
        <v>38</v>
      </c>
      <c r="O6432" s="1" t="s">
        <v>46</v>
      </c>
    </row>
    <row r="6433" spans="2:15" x14ac:dyDescent="0.3">
      <c r="B6433" s="1" t="s">
        <v>22</v>
      </c>
      <c r="C6433" s="1" t="str">
        <f>"4차"</f>
        <v>4차</v>
      </c>
      <c r="D6433" s="1" t="str">
        <f>"0231C87221"</f>
        <v>0231C87221</v>
      </c>
      <c r="E6433" s="1" t="s">
        <v>10</v>
      </c>
      <c r="F6433" s="1" t="str">
        <f>"10.10.2.147"</f>
        <v>10.10.2.147</v>
      </c>
      <c r="G6433" s="1" t="str">
        <f>"0231C872"</f>
        <v>0231C872</v>
      </c>
      <c r="H6433" s="1" t="str">
        <f>"도우지 8R3"</f>
        <v>도우지 8R3</v>
      </c>
      <c r="I6433" s="1" t="s">
        <v>8</v>
      </c>
      <c r="J6433" s="1" t="str">
        <f>"45/45"</f>
        <v>45/45</v>
      </c>
      <c r="K6433" s="1" t="str">
        <f t="shared" si="318"/>
        <v>2026-07-29 13:18:03</v>
      </c>
      <c r="L6433" s="1" t="str">
        <f>"2017-07-07 09:38:36"</f>
        <v>2017-07-07 09:38:36</v>
      </c>
      <c r="M6433" s="1" t="s">
        <v>1</v>
      </c>
      <c r="N6433" s="1" t="s">
        <v>38</v>
      </c>
      <c r="O6433" s="1" t="s">
        <v>46</v>
      </c>
    </row>
    <row r="6434" spans="2:15" x14ac:dyDescent="0.3">
      <c r="B6434" s="1" t="s">
        <v>22</v>
      </c>
      <c r="C6434" s="1" t="str">
        <f>"5-2차"</f>
        <v>5-2차</v>
      </c>
      <c r="D6434" s="1" t="str">
        <f>"0231C8815M"</f>
        <v>0231C8815M</v>
      </c>
      <c r="E6434" s="1" t="s">
        <v>10</v>
      </c>
      <c r="F6434" s="1" t="str">
        <f>"fde1:103:4:9189:0:0:0:2"</f>
        <v>fde1:103:4:9189:0:0:0:2</v>
      </c>
      <c r="G6434" s="1" t="str">
        <f>"0231C881"</f>
        <v>0231C881</v>
      </c>
      <c r="H6434" s="1" t="str">
        <f>"도우지 20R24"</f>
        <v>도우지 20R24</v>
      </c>
      <c r="I6434" s="1" t="s">
        <v>15</v>
      </c>
      <c r="J6434" s="1" t="str">
        <f>"51/51"</f>
        <v>51/51</v>
      </c>
      <c r="K6434" s="1" t="str">
        <f>"2026-07-29 14:21:10"</f>
        <v>2026-07-29 14:21:10</v>
      </c>
      <c r="L6434" s="1" t="str">
        <f>"2023-12-20 11:22:32"</f>
        <v>2023-12-20 11:22:32</v>
      </c>
      <c r="M6434" s="1" t="s">
        <v>4</v>
      </c>
      <c r="N6434" s="1" t="s">
        <v>38</v>
      </c>
      <c r="O6434" s="1" t="s">
        <v>46</v>
      </c>
    </row>
    <row r="6435" spans="2:15" x14ac:dyDescent="0.3">
      <c r="B6435" s="1" t="s">
        <v>22</v>
      </c>
      <c r="C6435" s="1" t="str">
        <f>"2차"</f>
        <v>2차</v>
      </c>
      <c r="D6435" s="1" t="str">
        <f>"0231C88220"</f>
        <v>0231C88220</v>
      </c>
      <c r="E6435" s="1" t="s">
        <v>10</v>
      </c>
      <c r="F6435" s="1" t="str">
        <f>"10.107.248.134"</f>
        <v>10.107.248.134</v>
      </c>
      <c r="G6435" s="1" t="str">
        <f>"0231C882"</f>
        <v>0231C882</v>
      </c>
      <c r="H6435" s="1" t="str">
        <f>"도우지 8R4"</f>
        <v>도우지 8R4</v>
      </c>
      <c r="I6435" s="1" t="s">
        <v>8</v>
      </c>
      <c r="J6435" s="1" t="str">
        <f>"29/29"</f>
        <v>29/29</v>
      </c>
      <c r="K6435" s="1" t="str">
        <f>"2026-07-29 13:18:03"</f>
        <v>2026-07-29 13:18:03</v>
      </c>
      <c r="L6435" s="1" t="str">
        <f>"2021-03-09 17:41:53"</f>
        <v>2021-03-09 17:41:53</v>
      </c>
      <c r="M6435" s="1" t="s">
        <v>45</v>
      </c>
      <c r="N6435" s="1" t="s">
        <v>38</v>
      </c>
      <c r="O6435" s="1" t="s">
        <v>46</v>
      </c>
    </row>
    <row r="6436" spans="2:15" x14ac:dyDescent="0.3">
      <c r="B6436" s="1" t="s">
        <v>22</v>
      </c>
      <c r="C6436" s="1" t="str">
        <f>"2차"</f>
        <v>2차</v>
      </c>
      <c r="D6436" s="1" t="str">
        <f>"0231C89521"</f>
        <v>0231C89521</v>
      </c>
      <c r="E6436" s="1" t="s">
        <v>10</v>
      </c>
      <c r="F6436" s="1" t="str">
        <f>"10.10.3.43"</f>
        <v>10.10.3.43</v>
      </c>
      <c r="G6436" s="1" t="str">
        <f>"0231C895"</f>
        <v>0231C895</v>
      </c>
      <c r="H6436" s="1" t="str">
        <f>"도우지 20R23L2"</f>
        <v>도우지 20R23L2</v>
      </c>
      <c r="I6436" s="1" t="s">
        <v>8</v>
      </c>
      <c r="J6436" s="1" t="str">
        <f>"5/6"</f>
        <v>5/6</v>
      </c>
      <c r="K6436" s="1" t="str">
        <f>"2026-07-29 13:18:02"</f>
        <v>2026-07-29 13:18:02</v>
      </c>
      <c r="L6436" s="1" t="str">
        <f>"2017-05-22 17:36:06"</f>
        <v>2017-05-22 17:36:06</v>
      </c>
      <c r="M6436" s="1" t="s">
        <v>1</v>
      </c>
      <c r="N6436" s="1" t="s">
        <v>38</v>
      </c>
      <c r="O6436" s="1" t="s">
        <v>46</v>
      </c>
    </row>
    <row r="6437" spans="2:15" x14ac:dyDescent="0.3">
      <c r="B6437" s="1" t="s">
        <v>22</v>
      </c>
      <c r="C6437" s="1" t="str">
        <f>"1차"</f>
        <v>1차</v>
      </c>
      <c r="D6437" s="1" t="str">
        <f>"0231C91101"</f>
        <v>0231C91101</v>
      </c>
      <c r="E6437" s="1" t="s">
        <v>10</v>
      </c>
      <c r="F6437" s="1" t="str">
        <f>"10.107.253.25"</f>
        <v>10.107.253.25</v>
      </c>
      <c r="G6437" s="1" t="str">
        <f>"0231C911"</f>
        <v>0231C911</v>
      </c>
      <c r="H6437" s="1" t="str">
        <f>"노해간 20"</f>
        <v>노해간 20</v>
      </c>
      <c r="I6437" s="1" t="s">
        <v>8</v>
      </c>
      <c r="J6437" s="1" t="str">
        <f>"42/44"</f>
        <v>42/44</v>
      </c>
      <c r="K6437" s="1" t="str">
        <f>"2026-07-29 13:18:02"</f>
        <v>2026-07-29 13:18:02</v>
      </c>
      <c r="L6437" s="1" t="str">
        <f>"2014-12-25 18:12:29"</f>
        <v>2014-12-25 18:12:29</v>
      </c>
      <c r="M6437" s="1" t="s">
        <v>45</v>
      </c>
      <c r="N6437" s="1" t="s">
        <v>38</v>
      </c>
      <c r="O6437" s="1" t="s">
        <v>46</v>
      </c>
    </row>
    <row r="6438" spans="2:15" x14ac:dyDescent="0.3">
      <c r="B6438" s="1" t="s">
        <v>22</v>
      </c>
      <c r="C6438" s="1" t="str">
        <f>"2차"</f>
        <v>2차</v>
      </c>
      <c r="D6438" s="1" t="str">
        <f>"0231C95121"</f>
        <v>0231C95121</v>
      </c>
      <c r="E6438" s="1" t="s">
        <v>10</v>
      </c>
      <c r="F6438" s="1" t="str">
        <f>"10.12.130.69"</f>
        <v>10.12.130.69</v>
      </c>
      <c r="G6438" s="1" t="str">
        <f>"0231C951"</f>
        <v>0231C951</v>
      </c>
      <c r="H6438" s="1" t="str">
        <f>"도우지 7"</f>
        <v>도우지 7</v>
      </c>
      <c r="I6438" s="1" t="s">
        <v>8</v>
      </c>
      <c r="J6438" s="1" t="str">
        <f>"9/9"</f>
        <v>9/9</v>
      </c>
      <c r="K6438" s="1" t="str">
        <f>"2026-07-29 13:18:04"</f>
        <v>2026-07-29 13:18:04</v>
      </c>
      <c r="L6438" s="1" t="str">
        <f>"2017-07-14 17:31:03"</f>
        <v>2017-07-14 17:31:03</v>
      </c>
      <c r="M6438" s="1" t="s">
        <v>0</v>
      </c>
      <c r="N6438" s="1" t="s">
        <v>38</v>
      </c>
      <c r="O6438" s="1" t="s">
        <v>46</v>
      </c>
    </row>
    <row r="6439" spans="2:15" x14ac:dyDescent="0.3">
      <c r="B6439" s="1" t="s">
        <v>22</v>
      </c>
      <c r="C6439" s="1" t="str">
        <f>"2차"</f>
        <v>2차</v>
      </c>
      <c r="D6439" s="1" t="str">
        <f>"0231C95220"</f>
        <v>0231C95220</v>
      </c>
      <c r="E6439" s="1" t="s">
        <v>10</v>
      </c>
      <c r="F6439" s="1" t="str">
        <f>"10.10.3.122"</f>
        <v>10.10.3.122</v>
      </c>
      <c r="G6439" s="1" t="str">
        <f>"0231C952"</f>
        <v>0231C952</v>
      </c>
      <c r="H6439" s="1" t="str">
        <f>"자연간 66"</f>
        <v>자연간 66</v>
      </c>
      <c r="I6439" s="1" t="s">
        <v>8</v>
      </c>
      <c r="J6439" s="1" t="str">
        <f>"10/10"</f>
        <v>10/10</v>
      </c>
      <c r="K6439" s="1" t="str">
        <f>"2026-07-29 13:18:02"</f>
        <v>2026-07-29 13:18:02</v>
      </c>
      <c r="L6439" s="1" t="str">
        <f>"2017-06-28 17:48:56"</f>
        <v>2017-06-28 17:48:56</v>
      </c>
      <c r="M6439" s="1" t="s">
        <v>1</v>
      </c>
      <c r="N6439" s="1" t="s">
        <v>38</v>
      </c>
      <c r="O6439" s="1" t="s">
        <v>46</v>
      </c>
    </row>
    <row r="6440" spans="2:15" x14ac:dyDescent="0.3">
      <c r="B6440" s="1" t="s">
        <v>22</v>
      </c>
      <c r="C6440" s="1" t="str">
        <f>"2차"</f>
        <v>2차</v>
      </c>
      <c r="D6440" s="1" t="str">
        <f>"0231C97120"</f>
        <v>0231C97120</v>
      </c>
      <c r="E6440" s="1" t="s">
        <v>10</v>
      </c>
      <c r="F6440" s="1" t="str">
        <f>"10.10.2.170"</f>
        <v>10.10.2.170</v>
      </c>
      <c r="G6440" s="1" t="str">
        <f>"0231C971"</f>
        <v>0231C971</v>
      </c>
      <c r="H6440" s="1" t="str">
        <f>"도우지 8R3R1"</f>
        <v>도우지 8R3R1</v>
      </c>
      <c r="I6440" s="1" t="s">
        <v>8</v>
      </c>
      <c r="J6440" s="1" t="str">
        <f>"20/21"</f>
        <v>20/21</v>
      </c>
      <c r="K6440" s="1" t="str">
        <f>"2026-07-29 13:18:03"</f>
        <v>2026-07-29 13:18:03</v>
      </c>
      <c r="L6440" s="1" t="str">
        <f>"2017-06-28 18:09:27"</f>
        <v>2017-06-28 18:09:27</v>
      </c>
      <c r="M6440" s="1" t="s">
        <v>1</v>
      </c>
      <c r="N6440" s="1" t="s">
        <v>38</v>
      </c>
      <c r="O6440" s="1" t="s">
        <v>46</v>
      </c>
    </row>
    <row r="6441" spans="2:15" x14ac:dyDescent="0.3">
      <c r="B6441" s="1" t="s">
        <v>22</v>
      </c>
      <c r="C6441" s="1" t="str">
        <f>"2차"</f>
        <v>2차</v>
      </c>
      <c r="D6441" s="1" t="str">
        <f>"0231C99120"</f>
        <v>0231C99120</v>
      </c>
      <c r="E6441" s="1" t="s">
        <v>10</v>
      </c>
      <c r="F6441" s="1" t="str">
        <f>"10.10.3.50"</f>
        <v>10.10.3.50</v>
      </c>
      <c r="G6441" s="1" t="str">
        <f>"0231C991"</f>
        <v>0231C991</v>
      </c>
      <c r="H6441" s="1" t="str">
        <f>"도우지 20R23L4"</f>
        <v>도우지 20R23L4</v>
      </c>
      <c r="I6441" s="1" t="s">
        <v>8</v>
      </c>
      <c r="J6441" s="1" t="str">
        <f>"14/16"</f>
        <v>14/16</v>
      </c>
      <c r="K6441" s="1" t="str">
        <f>"2026-07-29 13:18:03"</f>
        <v>2026-07-29 13:18:03</v>
      </c>
      <c r="L6441" s="1" t="str">
        <f>"2017-08-01 16:21:01"</f>
        <v>2017-08-01 16:21:01</v>
      </c>
      <c r="M6441" s="1" t="s">
        <v>1</v>
      </c>
      <c r="N6441" s="1" t="s">
        <v>38</v>
      </c>
      <c r="O6441" s="1" t="s">
        <v>46</v>
      </c>
    </row>
    <row r="6442" spans="2:15" x14ac:dyDescent="0.3">
      <c r="B6442" s="1" t="s">
        <v>22</v>
      </c>
      <c r="C6442" s="1" t="str">
        <f>"2차"</f>
        <v>2차</v>
      </c>
      <c r="D6442" s="1" t="str">
        <f>"0231C99222"</f>
        <v>0231C99222</v>
      </c>
      <c r="E6442" s="1" t="s">
        <v>10</v>
      </c>
      <c r="F6442" s="1" t="str">
        <f>"10.10.3.52"</f>
        <v>10.10.3.52</v>
      </c>
      <c r="G6442" s="1" t="str">
        <f>"0231C992"</f>
        <v>0231C992</v>
      </c>
      <c r="H6442" s="1" t="str">
        <f>"도우지 20R23L5"</f>
        <v>도우지 20R23L5</v>
      </c>
      <c r="I6442" s="1" t="s">
        <v>8</v>
      </c>
      <c r="J6442" s="1" t="str">
        <f>"10/11"</f>
        <v>10/11</v>
      </c>
      <c r="K6442" s="1" t="str">
        <f>"2026-07-29 13:18:02"</f>
        <v>2026-07-29 13:18:02</v>
      </c>
      <c r="L6442" s="1" t="str">
        <f>"2017-08-01 11:41:02"</f>
        <v>2017-08-01 11:41:02</v>
      </c>
      <c r="M6442" s="1" t="s">
        <v>1</v>
      </c>
      <c r="N6442" s="1" t="s">
        <v>38</v>
      </c>
      <c r="O6442" s="1" t="s">
        <v>46</v>
      </c>
    </row>
    <row r="6443" spans="2:15" x14ac:dyDescent="0.3">
      <c r="B6443" s="1" t="s">
        <v>22</v>
      </c>
      <c r="C6443" s="1" t="str">
        <f>"4차"</f>
        <v>4차</v>
      </c>
      <c r="D6443" s="1" t="str">
        <f>"0231C99321"</f>
        <v>0231C99321</v>
      </c>
      <c r="E6443" s="1" t="s">
        <v>10</v>
      </c>
      <c r="F6443" s="1" t="str">
        <f>"10.10.3.51"</f>
        <v>10.10.3.51</v>
      </c>
      <c r="G6443" s="1" t="str">
        <f>"0231C993"</f>
        <v>0231C993</v>
      </c>
      <c r="H6443" s="1" t="str">
        <f>"도우지 20R23L3"</f>
        <v>도우지 20R23L3</v>
      </c>
      <c r="I6443" s="1" t="s">
        <v>8</v>
      </c>
      <c r="J6443" s="1" t="str">
        <f>"19/19"</f>
        <v>19/19</v>
      </c>
      <c r="K6443" s="1" t="str">
        <f>"2026-07-29 13:18:02"</f>
        <v>2026-07-29 13:18:02</v>
      </c>
      <c r="L6443" s="1" t="str">
        <f>"2017-08-01 11:41:01"</f>
        <v>2017-08-01 11:41:01</v>
      </c>
      <c r="M6443" s="1" t="s">
        <v>1</v>
      </c>
      <c r="N6443" s="1" t="s">
        <v>38</v>
      </c>
      <c r="O6443" s="1" t="s">
        <v>46</v>
      </c>
    </row>
    <row r="6444" spans="2:15" x14ac:dyDescent="0.3">
      <c r="B6444" s="1" t="s">
        <v>22</v>
      </c>
      <c r="C6444" s="1" t="str">
        <f>"5-2차"</f>
        <v>5-2차</v>
      </c>
      <c r="D6444" s="1" t="str">
        <f>"0231D0125M"</f>
        <v>0231D0125M</v>
      </c>
      <c r="E6444" s="1" t="s">
        <v>10</v>
      </c>
      <c r="F6444" s="1" t="str">
        <f>"fde1:103:4:917a:0:0:0:2"</f>
        <v>fde1:103:4:917a:0:0:0:2</v>
      </c>
      <c r="G6444" s="1" t="str">
        <f>"0231D012"</f>
        <v>0231D012</v>
      </c>
      <c r="H6444" s="1" t="str">
        <f>"노해간 18"</f>
        <v>노해간 18</v>
      </c>
      <c r="I6444" s="1" t="s">
        <v>15</v>
      </c>
      <c r="J6444" s="1" t="str">
        <f>"43/43"</f>
        <v>43/43</v>
      </c>
      <c r="K6444" s="1" t="str">
        <f>"2026-07-29 14:21:09"</f>
        <v>2026-07-29 14:21:09</v>
      </c>
      <c r="L6444" s="1" t="str">
        <f>"2023-12-20 11:22:59"</f>
        <v>2023-12-20 11:22:59</v>
      </c>
      <c r="M6444" s="1" t="s">
        <v>4</v>
      </c>
      <c r="N6444" s="1" t="s">
        <v>38</v>
      </c>
      <c r="O6444" s="1" t="s">
        <v>46</v>
      </c>
    </row>
    <row r="6445" spans="2:15" x14ac:dyDescent="0.3">
      <c r="B6445" s="1" t="s">
        <v>22</v>
      </c>
      <c r="C6445" s="1" t="str">
        <f>"4차"</f>
        <v>4차</v>
      </c>
      <c r="D6445" s="1" t="str">
        <f>"0231D02344"</f>
        <v>0231D02344</v>
      </c>
      <c r="E6445" s="1" t="s">
        <v>10</v>
      </c>
      <c r="F6445" s="1" t="str">
        <f>"10.107.253.19"</f>
        <v>10.107.253.19</v>
      </c>
      <c r="G6445" s="1" t="str">
        <f>"0231D023"</f>
        <v>0231D023</v>
      </c>
      <c r="H6445" s="1" t="str">
        <f>"노해간 18R1"</f>
        <v>노해간 18R1</v>
      </c>
      <c r="I6445" s="1" t="s">
        <v>8</v>
      </c>
      <c r="J6445" s="1" t="str">
        <f>"67/72"</f>
        <v>67/72</v>
      </c>
      <c r="K6445" s="1" t="str">
        <f>"2026-07-29 13:18:02"</f>
        <v>2026-07-29 13:18:02</v>
      </c>
      <c r="L6445" s="1" t="str">
        <f>"2019-12-24 17:40:10"</f>
        <v>2019-12-24 17:40:10</v>
      </c>
      <c r="M6445" s="1" t="s">
        <v>45</v>
      </c>
      <c r="N6445" s="1" t="s">
        <v>38</v>
      </c>
      <c r="O6445" s="1" t="s">
        <v>46</v>
      </c>
    </row>
    <row r="6446" spans="2:15" x14ac:dyDescent="0.3">
      <c r="B6446" s="1" t="s">
        <v>22</v>
      </c>
      <c r="C6446" s="1" t="str">
        <f>"4차"</f>
        <v>4차</v>
      </c>
      <c r="D6446" s="1" t="str">
        <f>"0231D03144"</f>
        <v>0231D03144</v>
      </c>
      <c r="E6446" s="1" t="s">
        <v>10</v>
      </c>
      <c r="F6446" s="1" t="str">
        <f>"10.107.250.36"</f>
        <v>10.107.250.36</v>
      </c>
      <c r="G6446" s="1" t="str">
        <f>"0231D031"</f>
        <v>0231D031</v>
      </c>
      <c r="H6446" s="1" t="str">
        <f>"자연간 57R2L8"</f>
        <v>자연간 57R2L8</v>
      </c>
      <c r="I6446" s="1" t="s">
        <v>8</v>
      </c>
      <c r="J6446" s="1" t="str">
        <f>"25/32"</f>
        <v>25/32</v>
      </c>
      <c r="K6446" s="1" t="str">
        <f>"2026-07-29 13:18:02"</f>
        <v>2026-07-29 13:18:02</v>
      </c>
      <c r="L6446" s="1" t="str">
        <f>"2023-12-01 17:28:19"</f>
        <v>2023-12-01 17:28:19</v>
      </c>
      <c r="M6446" s="1" t="s">
        <v>45</v>
      </c>
      <c r="N6446" s="1" t="s">
        <v>38</v>
      </c>
      <c r="O6446" s="1" t="s">
        <v>46</v>
      </c>
    </row>
    <row r="6447" spans="2:15" x14ac:dyDescent="0.3">
      <c r="B6447" s="1" t="s">
        <v>22</v>
      </c>
      <c r="C6447" s="1" t="str">
        <f>"6차"</f>
        <v>6차</v>
      </c>
      <c r="D6447" s="1" t="str">
        <f>"0231D0576S"</f>
        <v>0231D0576S</v>
      </c>
      <c r="E6447" s="1" t="s">
        <v>10</v>
      </c>
      <c r="F6447" s="1" t="str">
        <f>"fde1:103:4:c6a4:0:0:0:2"</f>
        <v>fde1:103:4:c6a4:0:0:0:2</v>
      </c>
      <c r="G6447" s="1" t="str">
        <f>"0231D057"</f>
        <v>0231D057</v>
      </c>
      <c r="H6447" s="1" t="str">
        <f>"도우지 4R1"</f>
        <v>도우지 4R1</v>
      </c>
      <c r="I6447" s="1" t="s">
        <v>15</v>
      </c>
      <c r="J6447" s="1" t="str">
        <f>"27/34"</f>
        <v>27/34</v>
      </c>
      <c r="K6447" s="1" t="str">
        <f>"2026-07-29 14:20:54"</f>
        <v>2026-07-29 14:20:54</v>
      </c>
      <c r="L6447" s="1" t="str">
        <f>"2024-12-05 11:34:09"</f>
        <v>2024-12-05 11:34:09</v>
      </c>
      <c r="M6447" s="1" t="s">
        <v>4</v>
      </c>
      <c r="N6447" s="1" t="s">
        <v>38</v>
      </c>
      <c r="O6447" s="1" t="s">
        <v>46</v>
      </c>
    </row>
    <row r="6448" spans="2:15" x14ac:dyDescent="0.3">
      <c r="B6448" s="1" t="s">
        <v>22</v>
      </c>
      <c r="C6448" s="1" t="str">
        <f>"2차"</f>
        <v>2차</v>
      </c>
      <c r="D6448" s="1" t="str">
        <f>"0231D07121"</f>
        <v>0231D07121</v>
      </c>
      <c r="E6448" s="1" t="s">
        <v>10</v>
      </c>
      <c r="F6448" s="1" t="str">
        <f>"10.10.2.171"</f>
        <v>10.10.2.171</v>
      </c>
      <c r="G6448" s="1" t="str">
        <f>"0231D071"</f>
        <v>0231D071</v>
      </c>
      <c r="H6448" s="1" t="str">
        <f>"도우지 8R3R2"</f>
        <v>도우지 8R3R2</v>
      </c>
      <c r="I6448" s="1" t="s">
        <v>8</v>
      </c>
      <c r="J6448" s="1" t="str">
        <f>"11/11"</f>
        <v>11/11</v>
      </c>
      <c r="K6448" s="1" t="str">
        <f>"2026-07-29 13:18:02"</f>
        <v>2026-07-29 13:18:02</v>
      </c>
      <c r="L6448" s="1" t="str">
        <f>"2017-07-11 16:27:03"</f>
        <v>2017-07-11 16:27:03</v>
      </c>
      <c r="M6448" s="1" t="s">
        <v>1</v>
      </c>
      <c r="N6448" s="1" t="s">
        <v>38</v>
      </c>
      <c r="O6448" s="1" t="s">
        <v>46</v>
      </c>
    </row>
    <row r="6449" spans="2:15" x14ac:dyDescent="0.3">
      <c r="B6449" s="1" t="s">
        <v>22</v>
      </c>
      <c r="C6449" s="1" t="str">
        <f>"6차"</f>
        <v>6차</v>
      </c>
      <c r="D6449" s="1" t="str">
        <f>"0231D0816S"</f>
        <v>0231D0816S</v>
      </c>
      <c r="E6449" s="1" t="s">
        <v>10</v>
      </c>
      <c r="F6449" s="1" t="str">
        <f>"fde1:103:4:c6fe:0:0:0:2"</f>
        <v>fde1:103:4:c6fe:0:0:0:2</v>
      </c>
      <c r="G6449" s="1" t="str">
        <f>"0231D081"</f>
        <v>0231D081</v>
      </c>
      <c r="H6449" s="1" t="str">
        <f>"도우지 20R20L4R4"</f>
        <v>도우지 20R20L4R4</v>
      </c>
      <c r="I6449" s="1" t="s">
        <v>15</v>
      </c>
      <c r="J6449" s="1" t="str">
        <f>"23/23"</f>
        <v>23/23</v>
      </c>
      <c r="K6449" s="1" t="str">
        <f>"2026-07-29 14:20:34"</f>
        <v>2026-07-29 14:20:34</v>
      </c>
      <c r="L6449" s="1" t="str">
        <f>"2024-12-05 11:33:52"</f>
        <v>2024-12-05 11:33:52</v>
      </c>
      <c r="M6449" s="1" t="s">
        <v>4</v>
      </c>
      <c r="N6449" s="1" t="s">
        <v>38</v>
      </c>
      <c r="O6449" s="1" t="s">
        <v>46</v>
      </c>
    </row>
    <row r="6450" spans="2:15" x14ac:dyDescent="0.3">
      <c r="B6450" s="1" t="s">
        <v>22</v>
      </c>
      <c r="C6450" s="1" t="str">
        <f>"6차"</f>
        <v>6차</v>
      </c>
      <c r="D6450" s="1" t="str">
        <f>"0231D0926S"</f>
        <v>0231D0926S</v>
      </c>
      <c r="E6450" s="1" t="s">
        <v>10</v>
      </c>
      <c r="F6450" s="1" t="str">
        <f>"fde1:103:4:c5ad:0:0:0:2"</f>
        <v>fde1:103:4:c5ad:0:0:0:2</v>
      </c>
      <c r="G6450" s="1" t="str">
        <f>"0231D092"</f>
        <v>0231D092</v>
      </c>
      <c r="H6450" s="1" t="str">
        <f>"도우지 20R20L4R3"</f>
        <v>도우지 20R20L4R3</v>
      </c>
      <c r="I6450" s="1" t="s">
        <v>15</v>
      </c>
      <c r="J6450" s="1" t="str">
        <f>"59/59"</f>
        <v>59/59</v>
      </c>
      <c r="K6450" s="1" t="str">
        <f>"2026-07-29 14:20:07"</f>
        <v>2026-07-29 14:20:07</v>
      </c>
      <c r="L6450" s="1" t="str">
        <f>"2024-12-05 11:33:48"</f>
        <v>2024-12-05 11:33:48</v>
      </c>
      <c r="M6450" s="1" t="s">
        <v>4</v>
      </c>
      <c r="N6450" s="1" t="s">
        <v>38</v>
      </c>
      <c r="O6450" s="1" t="s">
        <v>46</v>
      </c>
    </row>
    <row r="6451" spans="2:15" x14ac:dyDescent="0.3">
      <c r="B6451" s="1" t="s">
        <v>22</v>
      </c>
      <c r="C6451" s="1" t="str">
        <f>"4차"</f>
        <v>4차</v>
      </c>
      <c r="D6451" s="1" t="str">
        <f>"0231D14129"</f>
        <v>0231D14129</v>
      </c>
      <c r="E6451" s="1" t="s">
        <v>10</v>
      </c>
      <c r="F6451" s="1" t="str">
        <f>"10.10.3.106"</f>
        <v>10.10.3.106</v>
      </c>
      <c r="G6451" s="1" t="str">
        <f>"0231D141"</f>
        <v>0231D141</v>
      </c>
      <c r="H6451" s="1" t="str">
        <f>"자연간 71"</f>
        <v>자연간 71</v>
      </c>
      <c r="I6451" s="1" t="s">
        <v>8</v>
      </c>
      <c r="J6451" s="1" t="str">
        <f>"27/27"</f>
        <v>27/27</v>
      </c>
      <c r="K6451" s="1" t="str">
        <f>"2026-07-29 13:18:02"</f>
        <v>2026-07-29 13:18:02</v>
      </c>
      <c r="L6451" s="1" t="str">
        <f>"2017-06-21 17:41:03"</f>
        <v>2017-06-21 17:41:03</v>
      </c>
      <c r="M6451" s="1" t="s">
        <v>1</v>
      </c>
      <c r="N6451" s="1" t="s">
        <v>38</v>
      </c>
      <c r="O6451" s="1" t="s">
        <v>46</v>
      </c>
    </row>
    <row r="6452" spans="2:15" x14ac:dyDescent="0.3">
      <c r="B6452" s="1" t="s">
        <v>22</v>
      </c>
      <c r="C6452" s="1" t="str">
        <f>"1차"</f>
        <v>1차</v>
      </c>
      <c r="D6452" s="1" t="str">
        <f>"0231D17101"</f>
        <v>0231D17101</v>
      </c>
      <c r="E6452" s="1" t="s">
        <v>10</v>
      </c>
      <c r="F6452" s="1" t="str">
        <f>"10.107.251.231"</f>
        <v>10.107.251.231</v>
      </c>
      <c r="G6452" s="1" t="str">
        <f>"0231D171"</f>
        <v>0231D171</v>
      </c>
      <c r="H6452" s="1" t="str">
        <f>"도봉SW 12R1L4"</f>
        <v>도봉SW 12R1L4</v>
      </c>
      <c r="I6452" s="1" t="s">
        <v>8</v>
      </c>
      <c r="J6452" s="1" t="str">
        <f>"35/41"</f>
        <v>35/41</v>
      </c>
      <c r="K6452" s="1" t="str">
        <f>"2026-07-29 13:18:02"</f>
        <v>2026-07-29 13:18:02</v>
      </c>
      <c r="L6452" s="1" t="str">
        <f>"2014-12-21 00:12:47"</f>
        <v>2014-12-21 00:12:47</v>
      </c>
      <c r="M6452" s="1" t="s">
        <v>45</v>
      </c>
      <c r="N6452" s="1" t="s">
        <v>38</v>
      </c>
      <c r="O6452" s="1" t="s">
        <v>46</v>
      </c>
    </row>
    <row r="6453" spans="2:15" x14ac:dyDescent="0.3">
      <c r="B6453" s="1" t="s">
        <v>22</v>
      </c>
      <c r="C6453" s="1" t="str">
        <f>"1차"</f>
        <v>1차</v>
      </c>
      <c r="D6453" s="1" t="str">
        <f>"0231D19100"</f>
        <v>0231D19100</v>
      </c>
      <c r="E6453" s="1" t="s">
        <v>10</v>
      </c>
      <c r="F6453" s="1" t="str">
        <f>"10.107.251.226"</f>
        <v>10.107.251.226</v>
      </c>
      <c r="G6453" s="1" t="str">
        <f>"0231D191"</f>
        <v>0231D191</v>
      </c>
      <c r="H6453" s="1" t="str">
        <f>"도봉SW 12R2L1"</f>
        <v>도봉SW 12R2L1</v>
      </c>
      <c r="I6453" s="1" t="s">
        <v>8</v>
      </c>
      <c r="J6453" s="1" t="str">
        <f>"39/41"</f>
        <v>39/41</v>
      </c>
      <c r="K6453" s="1" t="str">
        <f>"2026-07-29 13:18:02"</f>
        <v>2026-07-29 13:18:02</v>
      </c>
      <c r="L6453" s="1" t="str">
        <f>"2014-12-20 10:58:08"</f>
        <v>2014-12-20 10:58:08</v>
      </c>
      <c r="M6453" s="1" t="s">
        <v>45</v>
      </c>
      <c r="N6453" s="1" t="s">
        <v>38</v>
      </c>
      <c r="O6453" s="1" t="s">
        <v>46</v>
      </c>
    </row>
    <row r="6454" spans="2:15" x14ac:dyDescent="0.3">
      <c r="B6454" s="1" t="s">
        <v>22</v>
      </c>
      <c r="C6454" s="1" t="str">
        <f>"1차"</f>
        <v>1차</v>
      </c>
      <c r="D6454" s="1" t="str">
        <f>"0231D26300"</f>
        <v>0231D26300</v>
      </c>
      <c r="E6454" s="1" t="s">
        <v>10</v>
      </c>
      <c r="F6454" s="1" t="str">
        <f>"10.107.251.240"</f>
        <v>10.107.251.240</v>
      </c>
      <c r="G6454" s="1" t="str">
        <f>"0231D263"</f>
        <v>0231D263</v>
      </c>
      <c r="H6454" s="1" t="str">
        <f>"도우지 3R2"</f>
        <v>도우지 3R2</v>
      </c>
      <c r="I6454" s="1" t="s">
        <v>8</v>
      </c>
      <c r="J6454" s="1" t="str">
        <f>"13/18"</f>
        <v>13/18</v>
      </c>
      <c r="K6454" s="1" t="str">
        <f>"2026-07-29 13:18:02"</f>
        <v>2026-07-29 13:18:02</v>
      </c>
      <c r="L6454" s="1" t="str">
        <f>"2014-12-20 10:13:53"</f>
        <v>2014-12-20 10:13:53</v>
      </c>
      <c r="M6454" s="1" t="s">
        <v>45</v>
      </c>
      <c r="N6454" s="1" t="s">
        <v>38</v>
      </c>
      <c r="O6454" s="1" t="s">
        <v>46</v>
      </c>
    </row>
    <row r="6455" spans="2:15" x14ac:dyDescent="0.3">
      <c r="B6455" s="1" t="s">
        <v>22</v>
      </c>
      <c r="C6455" s="1" t="str">
        <f>"4차"</f>
        <v>4차</v>
      </c>
      <c r="D6455" s="1" t="str">
        <f>"0231D26429"</f>
        <v>0231D26429</v>
      </c>
      <c r="E6455" s="1" t="s">
        <v>10</v>
      </c>
      <c r="F6455" s="1" t="str">
        <f>"10.107.251.252"</f>
        <v>10.107.251.252</v>
      </c>
      <c r="G6455" s="1" t="str">
        <f>"0231D264"</f>
        <v>0231D264</v>
      </c>
      <c r="H6455" s="1" t="str">
        <f>"도우지 3R3"</f>
        <v>도우지 3R3</v>
      </c>
      <c r="I6455" s="1" t="s">
        <v>8</v>
      </c>
      <c r="J6455" s="1" t="str">
        <f>"11/11"</f>
        <v>11/11</v>
      </c>
      <c r="K6455" s="1" t="str">
        <f>"2026-07-29 13:18:02"</f>
        <v>2026-07-29 13:18:02</v>
      </c>
      <c r="L6455" s="1" t="str">
        <f>"2017-07-27 15:11:03"</f>
        <v>2017-07-27 15:11:03</v>
      </c>
      <c r="M6455" s="1" t="s">
        <v>45</v>
      </c>
      <c r="N6455" s="1" t="s">
        <v>38</v>
      </c>
      <c r="O6455" s="1" t="s">
        <v>46</v>
      </c>
    </row>
    <row r="6456" spans="2:15" x14ac:dyDescent="0.3">
      <c r="B6456" s="1" t="s">
        <v>22</v>
      </c>
      <c r="C6456" s="1" t="str">
        <f>"1차"</f>
        <v>1차</v>
      </c>
      <c r="D6456" s="1" t="str">
        <f>"0231D27100"</f>
        <v>0231D27100</v>
      </c>
      <c r="E6456" s="1" t="s">
        <v>10</v>
      </c>
      <c r="F6456" s="1" t="str">
        <f>"10.107.251.230"</f>
        <v>10.107.251.230</v>
      </c>
      <c r="G6456" s="1" t="str">
        <f>"0231D271"</f>
        <v>0231D271</v>
      </c>
      <c r="H6456" s="1" t="str">
        <f>"도봉SW 12R1L3"</f>
        <v>도봉SW 12R1L3</v>
      </c>
      <c r="I6456" s="1" t="s">
        <v>8</v>
      </c>
      <c r="J6456" s="1" t="str">
        <f>"8/8"</f>
        <v>8/8</v>
      </c>
      <c r="K6456" s="1" t="str">
        <f>"2026-07-29 13:18:03"</f>
        <v>2026-07-29 13:18:03</v>
      </c>
      <c r="L6456" s="1" t="str">
        <f>"2021-07-27 10:50:08"</f>
        <v>2021-07-27 10:50:08</v>
      </c>
      <c r="M6456" s="1" t="s">
        <v>45</v>
      </c>
      <c r="N6456" s="1" t="s">
        <v>38</v>
      </c>
      <c r="O6456" s="1" t="s">
        <v>46</v>
      </c>
    </row>
    <row r="6457" spans="2:15" x14ac:dyDescent="0.3">
      <c r="B6457" s="1" t="s">
        <v>22</v>
      </c>
      <c r="C6457" s="1" t="str">
        <f>"6차"</f>
        <v>6차</v>
      </c>
      <c r="D6457" s="1" t="str">
        <f>"0231D2816S"</f>
        <v>0231D2816S</v>
      </c>
      <c r="E6457" s="1" t="s">
        <v>10</v>
      </c>
      <c r="F6457" s="1" t="str">
        <f>"fde1:103:4:c647:0:0:0:2"</f>
        <v>fde1:103:4:c647:0:0:0:2</v>
      </c>
      <c r="G6457" s="1" t="str">
        <f>"0231D281"</f>
        <v>0231D281</v>
      </c>
      <c r="H6457" s="1" t="str">
        <f>"도봉SW 12R1L2"</f>
        <v>도봉SW 12R1L2</v>
      </c>
      <c r="I6457" s="1" t="s">
        <v>15</v>
      </c>
      <c r="J6457" s="1" t="str">
        <f>"29/29"</f>
        <v>29/29</v>
      </c>
      <c r="K6457" s="1" t="str">
        <f>"2026-07-29 14:20:58"</f>
        <v>2026-07-29 14:20:58</v>
      </c>
      <c r="L6457" s="1" t="str">
        <f>"2024-12-05 11:33:35"</f>
        <v>2024-12-05 11:33:35</v>
      </c>
      <c r="M6457" s="1" t="s">
        <v>4</v>
      </c>
      <c r="N6457" s="1" t="s">
        <v>38</v>
      </c>
      <c r="O6457" s="1" t="s">
        <v>46</v>
      </c>
    </row>
    <row r="6458" spans="2:15" x14ac:dyDescent="0.3">
      <c r="B6458" s="1" t="s">
        <v>22</v>
      </c>
      <c r="C6458" s="1" t="str">
        <f>"6차"</f>
        <v>6차</v>
      </c>
      <c r="D6458" s="1" t="str">
        <f>"0231D2826S"</f>
        <v>0231D2826S</v>
      </c>
      <c r="E6458" s="1" t="s">
        <v>10</v>
      </c>
      <c r="F6458" s="1" t="str">
        <f>"fde1:103:4:91eb:0:0:0:2"</f>
        <v>fde1:103:4:91eb:0:0:0:2</v>
      </c>
      <c r="G6458" s="1" t="str">
        <f>"0231D282"</f>
        <v>0231D282</v>
      </c>
      <c r="H6458" s="1" t="str">
        <f>"도봉SW 12R1L1"</f>
        <v>도봉SW 12R1L1</v>
      </c>
      <c r="I6458" s="1" t="s">
        <v>15</v>
      </c>
      <c r="J6458" s="1" t="str">
        <f>"14/15"</f>
        <v>14/15</v>
      </c>
      <c r="K6458" s="1" t="str">
        <f>"2026-07-29 08:20:57"</f>
        <v>2026-07-29 08:20:57</v>
      </c>
      <c r="L6458" s="1" t="str">
        <f>"2025-02-18 16:06:54"</f>
        <v>2025-02-18 16:06:54</v>
      </c>
      <c r="M6458" s="1" t="s">
        <v>4</v>
      </c>
      <c r="N6458" s="1" t="s">
        <v>38</v>
      </c>
      <c r="O6458" s="1" t="s">
        <v>46</v>
      </c>
    </row>
    <row r="6459" spans="2:15" x14ac:dyDescent="0.3">
      <c r="B6459" s="1" t="s">
        <v>22</v>
      </c>
      <c r="C6459" s="1" t="str">
        <f>"2차"</f>
        <v>2차</v>
      </c>
      <c r="D6459" s="1" t="str">
        <f>"0231D29129"</f>
        <v>0231D29129</v>
      </c>
      <c r="E6459" s="1" t="s">
        <v>10</v>
      </c>
      <c r="F6459" s="1" t="str">
        <f>"10.10.1.154"</f>
        <v>10.10.1.154</v>
      </c>
      <c r="G6459" s="1" t="str">
        <f>"0231D291"</f>
        <v>0231D291</v>
      </c>
      <c r="H6459" s="1" t="str">
        <f>"도봉SW 12R2"</f>
        <v>도봉SW 12R2</v>
      </c>
      <c r="I6459" s="1" t="s">
        <v>8</v>
      </c>
      <c r="J6459" s="1" t="str">
        <f>"30/30"</f>
        <v>30/30</v>
      </c>
      <c r="K6459" s="1" t="str">
        <f t="shared" ref="K6459:K6464" si="319">"2026-07-29 13:18:02"</f>
        <v>2026-07-29 13:18:02</v>
      </c>
      <c r="L6459" s="1" t="str">
        <f>"2017-08-01 13:31:03"</f>
        <v>2017-08-01 13:31:03</v>
      </c>
      <c r="M6459" s="1" t="s">
        <v>1</v>
      </c>
      <c r="N6459" s="1" t="s">
        <v>38</v>
      </c>
      <c r="O6459" s="1" t="s">
        <v>46</v>
      </c>
    </row>
    <row r="6460" spans="2:15" x14ac:dyDescent="0.3">
      <c r="B6460" s="1" t="s">
        <v>22</v>
      </c>
      <c r="C6460" s="1" t="str">
        <f>"4차"</f>
        <v>4차</v>
      </c>
      <c r="D6460" s="1" t="str">
        <f>"0231D30144"</f>
        <v>0231D30144</v>
      </c>
      <c r="E6460" s="1" t="s">
        <v>10</v>
      </c>
      <c r="F6460" s="1" t="str">
        <f>"10.107.137.70"</f>
        <v>10.107.137.70</v>
      </c>
      <c r="G6460" s="1" t="str">
        <f>"0231D301"</f>
        <v>0231D301</v>
      </c>
      <c r="H6460" s="1" t="str">
        <f>"창동간 58R8"</f>
        <v>창동간 58R8</v>
      </c>
      <c r="I6460" s="1" t="s">
        <v>8</v>
      </c>
      <c r="J6460" s="1" t="str">
        <f>"25/25"</f>
        <v>25/25</v>
      </c>
      <c r="K6460" s="1" t="str">
        <f t="shared" si="319"/>
        <v>2026-07-29 13:18:02</v>
      </c>
      <c r="L6460" s="1" t="str">
        <f>"2019-12-13 09:15:14"</f>
        <v>2019-12-13 09:15:14</v>
      </c>
      <c r="M6460" s="1" t="s">
        <v>45</v>
      </c>
      <c r="N6460" s="1" t="s">
        <v>38</v>
      </c>
      <c r="O6460" s="1" t="s">
        <v>46</v>
      </c>
    </row>
    <row r="6461" spans="2:15" x14ac:dyDescent="0.3">
      <c r="B6461" s="1" t="s">
        <v>22</v>
      </c>
      <c r="C6461" s="1" t="str">
        <f>"4차"</f>
        <v>4차</v>
      </c>
      <c r="D6461" s="1" t="str">
        <f>"0231D41244"</f>
        <v>0231D41244</v>
      </c>
      <c r="E6461" s="1" t="s">
        <v>10</v>
      </c>
      <c r="F6461" s="1" t="str">
        <f>"10.107.137.71"</f>
        <v>10.107.137.71</v>
      </c>
      <c r="G6461" s="1" t="str">
        <f>"0231D412"</f>
        <v>0231D412</v>
      </c>
      <c r="H6461" s="1" t="str">
        <f>"창동간 58R6"</f>
        <v>창동간 58R6</v>
      </c>
      <c r="I6461" s="1" t="s">
        <v>8</v>
      </c>
      <c r="J6461" s="1" t="str">
        <f>"13/13"</f>
        <v>13/13</v>
      </c>
      <c r="K6461" s="1" t="str">
        <f t="shared" si="319"/>
        <v>2026-07-29 13:18:02</v>
      </c>
      <c r="L6461" s="1" t="str">
        <f>"2019-12-13 09:13:21"</f>
        <v>2019-12-13 09:13:21</v>
      </c>
      <c r="M6461" s="1" t="s">
        <v>45</v>
      </c>
      <c r="N6461" s="1" t="s">
        <v>38</v>
      </c>
      <c r="O6461" s="1" t="s">
        <v>46</v>
      </c>
    </row>
    <row r="6462" spans="2:15" x14ac:dyDescent="0.3">
      <c r="B6462" s="1" t="s">
        <v>22</v>
      </c>
      <c r="C6462" s="1" t="str">
        <f>"4차"</f>
        <v>4차</v>
      </c>
      <c r="D6462" s="1" t="str">
        <f>"0231D42244"</f>
        <v>0231D42244</v>
      </c>
      <c r="E6462" s="1" t="s">
        <v>10</v>
      </c>
      <c r="F6462" s="1" t="str">
        <f>"10.107.137.72"</f>
        <v>10.107.137.72</v>
      </c>
      <c r="G6462" s="1" t="str">
        <f>"0231D422"</f>
        <v>0231D422</v>
      </c>
      <c r="H6462" s="1" t="str">
        <f>"창동간 56R4"</f>
        <v>창동간 56R4</v>
      </c>
      <c r="I6462" s="1" t="s">
        <v>8</v>
      </c>
      <c r="J6462" s="1" t="str">
        <f>"26/26"</f>
        <v>26/26</v>
      </c>
      <c r="K6462" s="1" t="str">
        <f t="shared" si="319"/>
        <v>2026-07-29 13:18:02</v>
      </c>
      <c r="L6462" s="1" t="str">
        <f>"2019-12-13 12:10:18"</f>
        <v>2019-12-13 12:10:18</v>
      </c>
      <c r="M6462" s="1" t="s">
        <v>45</v>
      </c>
      <c r="N6462" s="1" t="s">
        <v>38</v>
      </c>
      <c r="O6462" s="1" t="s">
        <v>46</v>
      </c>
    </row>
    <row r="6463" spans="2:15" x14ac:dyDescent="0.3">
      <c r="B6463" s="1" t="s">
        <v>22</v>
      </c>
      <c r="C6463" s="1" t="str">
        <f>"4차"</f>
        <v>4차</v>
      </c>
      <c r="D6463" s="1" t="str">
        <f>"0231D62244"</f>
        <v>0231D62244</v>
      </c>
      <c r="E6463" s="1" t="s">
        <v>10</v>
      </c>
      <c r="F6463" s="1" t="str">
        <f>"10.107.137.73"</f>
        <v>10.107.137.73</v>
      </c>
      <c r="G6463" s="1" t="str">
        <f>"0231D622"</f>
        <v>0231D622</v>
      </c>
      <c r="H6463" s="1" t="str">
        <f>"창동간 56R2"</f>
        <v>창동간 56R2</v>
      </c>
      <c r="I6463" s="1" t="s">
        <v>8</v>
      </c>
      <c r="J6463" s="1" t="str">
        <f>"16/16"</f>
        <v>16/16</v>
      </c>
      <c r="K6463" s="1" t="str">
        <f t="shared" si="319"/>
        <v>2026-07-29 13:18:02</v>
      </c>
      <c r="L6463" s="1" t="str">
        <f>"2020-02-10 18:38:43"</f>
        <v>2020-02-10 18:38:43</v>
      </c>
      <c r="M6463" s="1" t="s">
        <v>45</v>
      </c>
      <c r="N6463" s="1" t="s">
        <v>38</v>
      </c>
      <c r="O6463" s="1" t="s">
        <v>46</v>
      </c>
    </row>
    <row r="6464" spans="2:15" x14ac:dyDescent="0.3">
      <c r="B6464" s="1" t="s">
        <v>22</v>
      </c>
      <c r="C6464" s="1" t="str">
        <f>"4차"</f>
        <v>4차</v>
      </c>
      <c r="D6464" s="1" t="str">
        <f>"0231D79120"</f>
        <v>0231D79120</v>
      </c>
      <c r="E6464" s="1" t="s">
        <v>10</v>
      </c>
      <c r="F6464" s="1" t="str">
        <f>"10.10.4.146"</f>
        <v>10.10.4.146</v>
      </c>
      <c r="G6464" s="1" t="str">
        <f>"0231D791"</f>
        <v>0231D791</v>
      </c>
      <c r="H6464" s="1" t="str">
        <f>"쌍용간 14L7"</f>
        <v>쌍용간 14L7</v>
      </c>
      <c r="I6464" s="1" t="s">
        <v>8</v>
      </c>
      <c r="J6464" s="1" t="str">
        <f>"11/12"</f>
        <v>11/12</v>
      </c>
      <c r="K6464" s="1" t="str">
        <f t="shared" si="319"/>
        <v>2026-07-29 13:18:02</v>
      </c>
      <c r="L6464" s="1" t="str">
        <f>"2017-06-21 17:41:03"</f>
        <v>2017-06-21 17:41:03</v>
      </c>
      <c r="M6464" s="1" t="s">
        <v>1</v>
      </c>
      <c r="N6464" s="1" t="s">
        <v>38</v>
      </c>
      <c r="O6464" s="1" t="s">
        <v>46</v>
      </c>
    </row>
    <row r="6465" spans="2:15" x14ac:dyDescent="0.3">
      <c r="B6465" s="1" t="s">
        <v>22</v>
      </c>
      <c r="C6465" s="1" t="str">
        <f>"1차"</f>
        <v>1차</v>
      </c>
      <c r="D6465" s="1" t="str">
        <f>"0231D87200"</f>
        <v>0231D87200</v>
      </c>
      <c r="E6465" s="1" t="s">
        <v>10</v>
      </c>
      <c r="F6465" s="1" t="str">
        <f>"10.107.248.75"</f>
        <v>10.107.248.75</v>
      </c>
      <c r="G6465" s="1" t="str">
        <f>"0231D872"</f>
        <v>0231D872</v>
      </c>
      <c r="H6465" s="1" t="str">
        <f>"쌍용간 11R3"</f>
        <v>쌍용간 11R3</v>
      </c>
      <c r="I6465" s="1" t="s">
        <v>8</v>
      </c>
      <c r="J6465" s="1" t="str">
        <f>"32/32"</f>
        <v>32/32</v>
      </c>
      <c r="K6465" s="1" t="str">
        <f>"2026-07-29 13:18:03"</f>
        <v>2026-07-29 13:18:03</v>
      </c>
      <c r="L6465" s="1" t="str">
        <f>"2014-12-26 00:13:37"</f>
        <v>2014-12-26 00:13:37</v>
      </c>
      <c r="M6465" s="1" t="s">
        <v>45</v>
      </c>
      <c r="N6465" s="1" t="s">
        <v>38</v>
      </c>
      <c r="O6465" s="1" t="s">
        <v>46</v>
      </c>
    </row>
    <row r="6466" spans="2:15" x14ac:dyDescent="0.3">
      <c r="B6466" s="1" t="s">
        <v>22</v>
      </c>
      <c r="C6466" s="1" t="str">
        <f>"2차"</f>
        <v>2차</v>
      </c>
      <c r="D6466" s="1" t="str">
        <f>"0231D88329"</f>
        <v>0231D88329</v>
      </c>
      <c r="E6466" s="1" t="s">
        <v>14</v>
      </c>
      <c r="F6466" s="1" t="str">
        <f>"10.107.249.72"</f>
        <v>10.107.249.72</v>
      </c>
      <c r="G6466" s="1" t="str">
        <f>"0231D883"</f>
        <v>0231D883</v>
      </c>
      <c r="H6466" s="1" t="str">
        <f>"쌍용간 10"</f>
        <v>쌍용간 10</v>
      </c>
      <c r="I6466" s="1" t="s">
        <v>8</v>
      </c>
      <c r="J6466" s="1" t="str">
        <f>"0/0"</f>
        <v>0/0</v>
      </c>
      <c r="K6466" s="1" t="str">
        <f>"2026-07-29 13:18:02"</f>
        <v>2026-07-29 13:18:02</v>
      </c>
      <c r="L6466" s="1" t="str">
        <f>"2017-07-25 15:21:03"</f>
        <v>2017-07-25 15:21:03</v>
      </c>
      <c r="M6466" s="1" t="s">
        <v>45</v>
      </c>
      <c r="N6466" s="1" t="s">
        <v>38</v>
      </c>
      <c r="O6466" s="1" t="s">
        <v>44</v>
      </c>
    </row>
    <row r="6467" spans="2:15" x14ac:dyDescent="0.3">
      <c r="B6467" s="1" t="s">
        <v>22</v>
      </c>
      <c r="C6467" s="1" t="str">
        <f>"4차"</f>
        <v>4차</v>
      </c>
      <c r="D6467" s="1" t="str">
        <f>"0231D94344"</f>
        <v>0231D94344</v>
      </c>
      <c r="E6467" s="1" t="s">
        <v>10</v>
      </c>
      <c r="F6467" s="1" t="str">
        <f>"10.107.248.76"</f>
        <v>10.107.248.76</v>
      </c>
      <c r="G6467" s="1" t="str">
        <f>"0231D943"</f>
        <v>0231D943</v>
      </c>
      <c r="H6467" s="1" t="str">
        <f>"풍년간 32R1L1"</f>
        <v>풍년간 32R1L1</v>
      </c>
      <c r="I6467" s="1" t="s">
        <v>8</v>
      </c>
      <c r="J6467" s="1" t="str">
        <f>"41/42"</f>
        <v>41/42</v>
      </c>
      <c r="K6467" s="1" t="str">
        <f>"2026-07-29 13:18:02"</f>
        <v>2026-07-29 13:18:02</v>
      </c>
      <c r="L6467" s="1" t="str">
        <f>"2019-12-13 12:09:19"</f>
        <v>2019-12-13 12:09:19</v>
      </c>
      <c r="M6467" s="1" t="s">
        <v>45</v>
      </c>
      <c r="N6467" s="1" t="s">
        <v>38</v>
      </c>
      <c r="O6467" s="1" t="s">
        <v>46</v>
      </c>
    </row>
    <row r="6468" spans="2:15" x14ac:dyDescent="0.3">
      <c r="B6468" s="1" t="s">
        <v>22</v>
      </c>
      <c r="C6468" s="1" t="str">
        <f>"4차"</f>
        <v>4차</v>
      </c>
      <c r="D6468" s="1" t="str">
        <f>"0231F44139"</f>
        <v>0231F44139</v>
      </c>
      <c r="E6468" s="1" t="s">
        <v>10</v>
      </c>
      <c r="F6468" s="1" t="str">
        <f>"10.12.130.86"</f>
        <v>10.12.130.86</v>
      </c>
      <c r="G6468" s="1" t="str">
        <f>"0231F441"</f>
        <v>0231F441</v>
      </c>
      <c r="H6468" s="1" t="str">
        <f>"상계 8"</f>
        <v>상계 8</v>
      </c>
      <c r="I6468" s="1" t="s">
        <v>17</v>
      </c>
      <c r="J6468" s="1" t="str">
        <f>"10/11"</f>
        <v>10/11</v>
      </c>
      <c r="K6468" s="1" t="str">
        <f>"2026-07-29 13:18:04"</f>
        <v>2026-07-29 13:18:04</v>
      </c>
      <c r="L6468" s="1" t="str">
        <f>"2018-10-12 14:58:27"</f>
        <v>2018-10-12 14:58:27</v>
      </c>
      <c r="M6468" s="1" t="s">
        <v>0</v>
      </c>
      <c r="N6468" s="1" t="s">
        <v>38</v>
      </c>
      <c r="O6468" s="1" t="s">
        <v>46</v>
      </c>
    </row>
    <row r="6469" spans="2:15" x14ac:dyDescent="0.3">
      <c r="B6469" s="1" t="s">
        <v>22</v>
      </c>
      <c r="C6469" s="1" t="str">
        <f>"1차"</f>
        <v>1차</v>
      </c>
      <c r="D6469" s="1" t="str">
        <f>"0231G05200"</f>
        <v>0231G05200</v>
      </c>
      <c r="E6469" s="1" t="s">
        <v>10</v>
      </c>
      <c r="F6469" s="1" t="str">
        <f>"10.107.248.77"</f>
        <v>10.107.248.77</v>
      </c>
      <c r="G6469" s="1" t="str">
        <f>"0231G052"</f>
        <v>0231G052</v>
      </c>
      <c r="H6469" s="1" t="str">
        <f>"풍년간 32R3L1"</f>
        <v>풍년간 32R3L1</v>
      </c>
      <c r="I6469" s="1" t="s">
        <v>8</v>
      </c>
      <c r="J6469" s="1" t="str">
        <f>"8/8"</f>
        <v>8/8</v>
      </c>
      <c r="K6469" s="1" t="str">
        <f>"2026-07-29 13:18:02"</f>
        <v>2026-07-29 13:18:02</v>
      </c>
      <c r="L6469" s="1" t="str">
        <f>"2014-12-23 15:13:19"</f>
        <v>2014-12-23 15:13:19</v>
      </c>
      <c r="M6469" s="1" t="s">
        <v>45</v>
      </c>
      <c r="N6469" s="1" t="s">
        <v>38</v>
      </c>
      <c r="O6469" s="1" t="s">
        <v>46</v>
      </c>
    </row>
    <row r="6470" spans="2:15" x14ac:dyDescent="0.3">
      <c r="B6470" s="1" t="s">
        <v>22</v>
      </c>
      <c r="C6470" s="1" t="str">
        <f>"1차"</f>
        <v>1차</v>
      </c>
      <c r="D6470" s="1" t="str">
        <f>"0231G06101"</f>
        <v>0231G06101</v>
      </c>
      <c r="E6470" s="1" t="s">
        <v>10</v>
      </c>
      <c r="F6470" s="1" t="str">
        <f>"10.107.248.79"</f>
        <v>10.107.248.79</v>
      </c>
      <c r="G6470" s="1" t="str">
        <f>"0231G061"</f>
        <v>0231G061</v>
      </c>
      <c r="H6470" s="1" t="str">
        <f>"풍년간 32R4"</f>
        <v>풍년간 32R4</v>
      </c>
      <c r="I6470" s="1" t="s">
        <v>8</v>
      </c>
      <c r="J6470" s="1" t="str">
        <f>"1/2"</f>
        <v>1/2</v>
      </c>
      <c r="K6470" s="1" t="str">
        <f>"2026-07-29 13:18:01"</f>
        <v>2026-07-29 13:18:01</v>
      </c>
      <c r="L6470" s="1" t="str">
        <f>"2014-12-23 15:28:15"</f>
        <v>2014-12-23 15:28:15</v>
      </c>
      <c r="M6470" s="1" t="s">
        <v>45</v>
      </c>
      <c r="N6470" s="1" t="s">
        <v>38</v>
      </c>
      <c r="O6470" s="1" t="s">
        <v>46</v>
      </c>
    </row>
    <row r="6471" spans="2:15" x14ac:dyDescent="0.3">
      <c r="B6471" s="1" t="s">
        <v>22</v>
      </c>
      <c r="C6471" s="1" t="str">
        <f>"4차"</f>
        <v>4차</v>
      </c>
      <c r="D6471" s="1" t="str">
        <f>"0231G32144"</f>
        <v>0231G32144</v>
      </c>
      <c r="E6471" s="1" t="s">
        <v>10</v>
      </c>
      <c r="F6471" s="1" t="str">
        <f>"10.107.248.98"</f>
        <v>10.107.248.98</v>
      </c>
      <c r="G6471" s="1" t="str">
        <f>"0231G321"</f>
        <v>0231G321</v>
      </c>
      <c r="H6471" s="1" t="str">
        <f>"풍년간 28"</f>
        <v>풍년간 28</v>
      </c>
      <c r="I6471" s="1" t="s">
        <v>8</v>
      </c>
      <c r="J6471" s="1" t="str">
        <f>"1/1"</f>
        <v>1/1</v>
      </c>
      <c r="K6471" s="1" t="str">
        <f>"2026-07-29 13:18:02"</f>
        <v>2026-07-29 13:18:02</v>
      </c>
      <c r="L6471" s="1" t="str">
        <f>"2019-12-13 12:09:19"</f>
        <v>2019-12-13 12:09:19</v>
      </c>
      <c r="M6471" s="1" t="s">
        <v>45</v>
      </c>
      <c r="N6471" s="1" t="s">
        <v>38</v>
      </c>
      <c r="O6471" s="1" t="s">
        <v>46</v>
      </c>
    </row>
    <row r="6472" spans="2:15" x14ac:dyDescent="0.3">
      <c r="B6472" s="1" t="s">
        <v>22</v>
      </c>
      <c r="C6472" s="1" t="str">
        <f>"5-2차"</f>
        <v>5-2차</v>
      </c>
      <c r="D6472" s="1" t="str">
        <f>"0231G3225M"</f>
        <v>0231G3225M</v>
      </c>
      <c r="E6472" s="1" t="s">
        <v>10</v>
      </c>
      <c r="F6472" s="1" t="str">
        <f>"fde1:103:4:9179:0:0:0:2"</f>
        <v>fde1:103:4:9179:0:0:0:2</v>
      </c>
      <c r="G6472" s="1" t="str">
        <f>"0231G322"</f>
        <v>0231G322</v>
      </c>
      <c r="H6472" s="1" t="str">
        <f>"풍년간 26R3L7"</f>
        <v>풍년간 26R3L7</v>
      </c>
      <c r="I6472" s="1" t="s">
        <v>15</v>
      </c>
      <c r="J6472" s="1" t="str">
        <f>"55/55"</f>
        <v>55/55</v>
      </c>
      <c r="K6472" s="1" t="str">
        <f>"2026-07-29 14:20:03"</f>
        <v>2026-07-29 14:20:03</v>
      </c>
      <c r="L6472" s="1" t="str">
        <f>"2023-12-20 11:23:24"</f>
        <v>2023-12-20 11:23:24</v>
      </c>
      <c r="M6472" s="1" t="s">
        <v>4</v>
      </c>
      <c r="N6472" s="1" t="s">
        <v>38</v>
      </c>
      <c r="O6472" s="1" t="s">
        <v>46</v>
      </c>
    </row>
    <row r="6473" spans="2:15" x14ac:dyDescent="0.3">
      <c r="B6473" s="1" t="s">
        <v>22</v>
      </c>
      <c r="C6473" s="1" t="str">
        <f>"6차"</f>
        <v>6차</v>
      </c>
      <c r="D6473" s="1" t="str">
        <f>"0231G4316S"</f>
        <v>0231G4316S</v>
      </c>
      <c r="E6473" s="1" t="s">
        <v>10</v>
      </c>
      <c r="F6473" s="1" t="str">
        <f>"fde1:103:4:9378:0:0:0:2"</f>
        <v>fde1:103:4:9378:0:0:0:2</v>
      </c>
      <c r="G6473" s="1" t="str">
        <f>"0231G431"</f>
        <v>0231G431</v>
      </c>
      <c r="H6473" s="1" t="str">
        <f>"한천지 97"</f>
        <v>한천지 97</v>
      </c>
      <c r="I6473" s="1" t="s">
        <v>15</v>
      </c>
      <c r="J6473" s="1" t="str">
        <f>"53/53"</f>
        <v>53/53</v>
      </c>
      <c r="K6473" s="1" t="str">
        <f>"2026-07-29 14:20:20"</f>
        <v>2026-07-29 14:20:20</v>
      </c>
      <c r="L6473" s="1" t="str">
        <f>"2024-10-08 16:59:32"</f>
        <v>2024-10-08 16:59:32</v>
      </c>
      <c r="M6473" s="1" t="s">
        <v>4</v>
      </c>
      <c r="N6473" s="1" t="s">
        <v>38</v>
      </c>
      <c r="O6473" s="1" t="s">
        <v>46</v>
      </c>
    </row>
    <row r="6474" spans="2:15" x14ac:dyDescent="0.3">
      <c r="B6474" s="1" t="s">
        <v>22</v>
      </c>
      <c r="C6474" s="1" t="str">
        <f>"4차"</f>
        <v>4차</v>
      </c>
      <c r="D6474" s="1" t="str">
        <f>"0231G52144"</f>
        <v>0231G52144</v>
      </c>
      <c r="E6474" s="1" t="s">
        <v>10</v>
      </c>
      <c r="F6474" s="1" t="str">
        <f>"10.107.248.99"</f>
        <v>10.107.248.99</v>
      </c>
      <c r="G6474" s="1" t="str">
        <f>"0231G521"</f>
        <v>0231G521</v>
      </c>
      <c r="H6474" s="1" t="str">
        <f>"풍년간 26R3L4"</f>
        <v>풍년간 26R3L4</v>
      </c>
      <c r="I6474" s="1" t="s">
        <v>8</v>
      </c>
      <c r="J6474" s="1" t="str">
        <f>"36/36"</f>
        <v>36/36</v>
      </c>
      <c r="K6474" s="1" t="str">
        <f>"2026-07-29 13:18:03"</f>
        <v>2026-07-29 13:18:03</v>
      </c>
      <c r="L6474" s="1" t="str">
        <f>"2019-12-13 09:19:50"</f>
        <v>2019-12-13 09:19:50</v>
      </c>
      <c r="M6474" s="1" t="s">
        <v>45</v>
      </c>
      <c r="N6474" s="1" t="s">
        <v>38</v>
      </c>
      <c r="O6474" s="1" t="s">
        <v>46</v>
      </c>
    </row>
    <row r="6475" spans="2:15" x14ac:dyDescent="0.3">
      <c r="B6475" s="1" t="s">
        <v>22</v>
      </c>
      <c r="C6475" s="1" t="str">
        <f>"5-1차"</f>
        <v>5-1차</v>
      </c>
      <c r="D6475" s="1" t="str">
        <f>"0231G6315M"</f>
        <v>0231G6315M</v>
      </c>
      <c r="E6475" s="1" t="s">
        <v>10</v>
      </c>
      <c r="F6475" s="1" t="str">
        <f>"fde2:104:0:120:0:0:0:2"</f>
        <v>fde2:104:0:120:0:0:0:2</v>
      </c>
      <c r="G6475" s="1" t="str">
        <f>"0231G631"</f>
        <v>0231G631</v>
      </c>
      <c r="H6475" s="1" t="str">
        <f>"한천지 99"</f>
        <v>한천지 99</v>
      </c>
      <c r="I6475" s="1" t="s">
        <v>15</v>
      </c>
      <c r="J6475" s="1" t="str">
        <f>"48/48"</f>
        <v>48/48</v>
      </c>
      <c r="K6475" s="1" t="str">
        <f>"2026-07-29 14:20:44"</f>
        <v>2026-07-29 14:20:44</v>
      </c>
      <c r="L6475" s="1" t="str">
        <f>"2022-10-13 10:54:27"</f>
        <v>2022-10-13 10:54:27</v>
      </c>
      <c r="M6475" s="1" t="s">
        <v>42</v>
      </c>
      <c r="N6475" s="1" t="s">
        <v>38</v>
      </c>
      <c r="O6475" s="1" t="s">
        <v>46</v>
      </c>
    </row>
    <row r="6476" spans="2:15" x14ac:dyDescent="0.3">
      <c r="B6476" s="1" t="s">
        <v>22</v>
      </c>
      <c r="C6476" s="1" t="str">
        <f>"4차"</f>
        <v>4차</v>
      </c>
      <c r="D6476" s="1" t="str">
        <f>"0231H92145"</f>
        <v>0231H92145</v>
      </c>
      <c r="E6476" s="1" t="s">
        <v>10</v>
      </c>
      <c r="F6476" s="1" t="str">
        <f>"10.14.10.2"</f>
        <v>10.14.10.2</v>
      </c>
      <c r="G6476" s="1" t="str">
        <f>"0231H921"</f>
        <v>0231H921</v>
      </c>
      <c r="H6476" s="1" t="str">
        <f>"상계 12"</f>
        <v>상계 12</v>
      </c>
      <c r="I6476" s="1" t="s">
        <v>17</v>
      </c>
      <c r="J6476" s="1" t="str">
        <f>"3/3"</f>
        <v>3/3</v>
      </c>
      <c r="K6476" s="1" t="str">
        <f>"2026-07-29 13:18:04"</f>
        <v>2026-07-29 13:18:04</v>
      </c>
      <c r="L6476" s="1" t="str">
        <f>"2021-06-22 15:52:26"</f>
        <v>2021-06-22 15:52:26</v>
      </c>
      <c r="M6476" s="1" t="s">
        <v>3</v>
      </c>
      <c r="N6476" s="1" t="s">
        <v>38</v>
      </c>
      <c r="O6476" s="1" t="s">
        <v>46</v>
      </c>
    </row>
    <row r="6477" spans="2:15" x14ac:dyDescent="0.3">
      <c r="B6477" s="1" t="s">
        <v>22</v>
      </c>
      <c r="C6477" s="1" t="str">
        <f>"4차"</f>
        <v>4차</v>
      </c>
      <c r="D6477" s="1" t="str">
        <f>"0231P05229"</f>
        <v>0231P05229</v>
      </c>
      <c r="E6477" s="1" t="s">
        <v>10</v>
      </c>
      <c r="F6477" s="1" t="str">
        <f>"10.107.137.86"</f>
        <v>10.107.137.86</v>
      </c>
      <c r="G6477" s="1" t="str">
        <f>"0231P052"</f>
        <v>0231P052</v>
      </c>
      <c r="H6477" s="1" t="str">
        <f>"노해간 1L10"</f>
        <v>노해간 1L10</v>
      </c>
      <c r="I6477" s="1" t="s">
        <v>8</v>
      </c>
      <c r="J6477" s="1" t="str">
        <f>"9/9"</f>
        <v>9/9</v>
      </c>
      <c r="K6477" s="1" t="str">
        <f>"2026-07-29 13:18:01"</f>
        <v>2026-07-29 13:18:01</v>
      </c>
      <c r="L6477" s="1" t="str">
        <f>"2017-07-27 11:31:05"</f>
        <v>2017-07-27 11:31:05</v>
      </c>
      <c r="M6477" s="1" t="s">
        <v>45</v>
      </c>
      <c r="N6477" s="1" t="s">
        <v>38</v>
      </c>
      <c r="O6477" s="1" t="s">
        <v>46</v>
      </c>
    </row>
    <row r="6478" spans="2:15" x14ac:dyDescent="0.3">
      <c r="B6478" s="1" t="s">
        <v>22</v>
      </c>
      <c r="C6478" s="1" t="str">
        <f>"2차"</f>
        <v>2차</v>
      </c>
      <c r="D6478" s="1" t="str">
        <f>"0231P17129"</f>
        <v>0231P17129</v>
      </c>
      <c r="E6478" s="1" t="s">
        <v>10</v>
      </c>
      <c r="F6478" s="1" t="str">
        <f>"10.10.1.146"</f>
        <v>10.10.1.146</v>
      </c>
      <c r="G6478" s="1" t="str">
        <f>"0231P171"</f>
        <v>0231P171</v>
      </c>
      <c r="H6478" s="1" t="str">
        <f>"노해간 7L12"</f>
        <v>노해간 7L12</v>
      </c>
      <c r="I6478" s="1" t="s">
        <v>8</v>
      </c>
      <c r="J6478" s="1" t="str">
        <f>"24/25"</f>
        <v>24/25</v>
      </c>
      <c r="K6478" s="1" t="str">
        <f>"2026-07-29 13:18:03"</f>
        <v>2026-07-29 13:18:03</v>
      </c>
      <c r="L6478" s="1" t="str">
        <f>"2017-06-21 17:41:03"</f>
        <v>2017-06-21 17:41:03</v>
      </c>
      <c r="M6478" s="1" t="s">
        <v>1</v>
      </c>
      <c r="N6478" s="1" t="s">
        <v>38</v>
      </c>
      <c r="O6478" s="1" t="s">
        <v>46</v>
      </c>
    </row>
    <row r="6479" spans="2:15" x14ac:dyDescent="0.3">
      <c r="B6479" s="1" t="s">
        <v>22</v>
      </c>
      <c r="C6479" s="1" t="str">
        <f>"3차"</f>
        <v>3차</v>
      </c>
      <c r="D6479" s="1" t="str">
        <f>"0231P19231"</f>
        <v>0231P19231</v>
      </c>
      <c r="E6479" s="1" t="s">
        <v>10</v>
      </c>
      <c r="F6479" s="1" t="str">
        <f>"10.10.40.83"</f>
        <v>10.10.40.83</v>
      </c>
      <c r="G6479" s="1" t="str">
        <f>"0231P192"</f>
        <v>0231P192</v>
      </c>
      <c r="H6479" s="1" t="str">
        <f>"자연간 50R13"</f>
        <v>자연간 50R13</v>
      </c>
      <c r="I6479" s="1" t="s">
        <v>8</v>
      </c>
      <c r="J6479" s="1" t="str">
        <f>"53/53"</f>
        <v>53/53</v>
      </c>
      <c r="K6479" s="1" t="str">
        <f>"2026-07-29 13:18:02"</f>
        <v>2026-07-29 13:18:02</v>
      </c>
      <c r="L6479" s="1" t="str">
        <f>"2018-04-17 18:19:30"</f>
        <v>2018-04-17 18:19:30</v>
      </c>
      <c r="M6479" s="1" t="s">
        <v>1</v>
      </c>
      <c r="N6479" s="1" t="s">
        <v>38</v>
      </c>
      <c r="O6479" s="1" t="s">
        <v>46</v>
      </c>
    </row>
    <row r="6480" spans="2:15" x14ac:dyDescent="0.3">
      <c r="B6480" s="1" t="s">
        <v>22</v>
      </c>
      <c r="C6480" s="1" t="str">
        <f>"3차"</f>
        <v>3차</v>
      </c>
      <c r="D6480" s="1" t="str">
        <f>"0231P19330"</f>
        <v>0231P19330</v>
      </c>
      <c r="E6480" s="1" t="s">
        <v>10</v>
      </c>
      <c r="F6480" s="1" t="str">
        <f>"10.10.40.82"</f>
        <v>10.10.40.82</v>
      </c>
      <c r="G6480" s="1" t="str">
        <f>"0231P193"</f>
        <v>0231P193</v>
      </c>
      <c r="H6480" s="1" t="str">
        <f>"자연간 50R12"</f>
        <v>자연간 50R12</v>
      </c>
      <c r="I6480" s="1" t="s">
        <v>8</v>
      </c>
      <c r="J6480" s="1" t="str">
        <f>"103/103"</f>
        <v>103/103</v>
      </c>
      <c r="K6480" s="1" t="str">
        <f>"2026-07-29 13:18:02"</f>
        <v>2026-07-29 13:18:02</v>
      </c>
      <c r="L6480" s="1" t="str">
        <f>"2018-04-17 18:19:14"</f>
        <v>2018-04-17 18:19:14</v>
      </c>
      <c r="M6480" s="1" t="s">
        <v>1</v>
      </c>
      <c r="N6480" s="1" t="s">
        <v>38</v>
      </c>
      <c r="O6480" s="1" t="s">
        <v>46</v>
      </c>
    </row>
    <row r="6481" spans="2:15" x14ac:dyDescent="0.3">
      <c r="B6481" s="1" t="s">
        <v>22</v>
      </c>
      <c r="C6481" s="1" t="str">
        <f>"4차"</f>
        <v>4차</v>
      </c>
      <c r="D6481" s="1" t="str">
        <f>"0231P21144"</f>
        <v>0231P21144</v>
      </c>
      <c r="E6481" s="1" t="s">
        <v>10</v>
      </c>
      <c r="F6481" s="1" t="str">
        <f>"10.12.137.254"</f>
        <v>10.12.137.254</v>
      </c>
      <c r="G6481" s="1" t="str">
        <f>"0231P211"</f>
        <v>0231P211</v>
      </c>
      <c r="H6481" s="1" t="str">
        <f>"쌍이간 15L3"</f>
        <v>쌍이간 15L3</v>
      </c>
      <c r="I6481" s="1" t="s">
        <v>8</v>
      </c>
      <c r="J6481" s="1" t="str">
        <f>"19/19"</f>
        <v>19/19</v>
      </c>
      <c r="K6481" s="1" t="str">
        <f>"2026-07-29 13:18:03"</f>
        <v>2026-07-29 13:18:03</v>
      </c>
      <c r="L6481" s="1" t="str">
        <f>"2020-01-14 16:37:49"</f>
        <v>2020-01-14 16:37:49</v>
      </c>
      <c r="M6481" s="1" t="s">
        <v>0</v>
      </c>
      <c r="N6481" s="1" t="s">
        <v>38</v>
      </c>
      <c r="O6481" s="1" t="s">
        <v>46</v>
      </c>
    </row>
    <row r="6482" spans="2:15" x14ac:dyDescent="0.3">
      <c r="B6482" s="1" t="s">
        <v>22</v>
      </c>
      <c r="C6482" s="1" t="str">
        <f>"4차"</f>
        <v>4차</v>
      </c>
      <c r="D6482" s="1" t="str">
        <f>"0231P27130"</f>
        <v>0231P27130</v>
      </c>
      <c r="E6482" s="1" t="s">
        <v>10</v>
      </c>
      <c r="F6482" s="1" t="str">
        <f>"10.10.19.66"</f>
        <v>10.10.19.66</v>
      </c>
      <c r="G6482" s="1" t="str">
        <f>"0231P271"</f>
        <v>0231P271</v>
      </c>
      <c r="H6482" s="1" t="str">
        <f>"노해간 7L10"</f>
        <v>노해간 7L10</v>
      </c>
      <c r="I6482" s="1" t="s">
        <v>8</v>
      </c>
      <c r="J6482" s="1" t="str">
        <f>"100/100"</f>
        <v>100/100</v>
      </c>
      <c r="K6482" s="1" t="str">
        <f>"2026-07-29 13:18:02"</f>
        <v>2026-07-29 13:18:02</v>
      </c>
      <c r="L6482" s="1" t="str">
        <f>"2024-08-05 15:41:14"</f>
        <v>2024-08-05 15:41:14</v>
      </c>
      <c r="M6482" s="1" t="s">
        <v>1</v>
      </c>
      <c r="N6482" s="1" t="s">
        <v>38</v>
      </c>
      <c r="O6482" s="1" t="s">
        <v>46</v>
      </c>
    </row>
    <row r="6483" spans="2:15" x14ac:dyDescent="0.3">
      <c r="B6483" s="1" t="s">
        <v>22</v>
      </c>
      <c r="C6483" s="1" t="str">
        <f>"3차"</f>
        <v>3차</v>
      </c>
      <c r="D6483" s="1" t="str">
        <f>"0231P28139"</f>
        <v>0231P28139</v>
      </c>
      <c r="E6483" s="1" t="s">
        <v>10</v>
      </c>
      <c r="F6483" s="1" t="str">
        <f>"10.14.8.117"</f>
        <v>10.14.8.117</v>
      </c>
      <c r="G6483" s="1" t="str">
        <f>"0231P281"</f>
        <v>0231P281</v>
      </c>
      <c r="H6483" s="1" t="str">
        <f>"노해간 7L10R1"</f>
        <v>노해간 7L10R1</v>
      </c>
      <c r="I6483" s="1" t="s">
        <v>8</v>
      </c>
      <c r="J6483" s="1" t="str">
        <f>"39/39"</f>
        <v>39/39</v>
      </c>
      <c r="K6483" s="1" t="str">
        <f>"2026-07-29 13:18:03"</f>
        <v>2026-07-29 13:18:03</v>
      </c>
      <c r="L6483" s="1" t="str">
        <f>"2018-03-29 13:41:29"</f>
        <v>2018-03-29 13:41:29</v>
      </c>
      <c r="M6483" s="1" t="s">
        <v>3</v>
      </c>
      <c r="N6483" s="1" t="s">
        <v>38</v>
      </c>
      <c r="O6483" s="1" t="s">
        <v>46</v>
      </c>
    </row>
    <row r="6484" spans="2:15" x14ac:dyDescent="0.3">
      <c r="B6484" s="1" t="s">
        <v>22</v>
      </c>
      <c r="C6484" s="1" t="str">
        <f>"3차"</f>
        <v>3차</v>
      </c>
      <c r="D6484" s="1" t="str">
        <f>"0231P29239"</f>
        <v>0231P29239</v>
      </c>
      <c r="E6484" s="1" t="s">
        <v>10</v>
      </c>
      <c r="F6484" s="1" t="str">
        <f>"10.10.12.242"</f>
        <v>10.10.12.242</v>
      </c>
      <c r="G6484" s="1" t="str">
        <f>"0231P292"</f>
        <v>0231P292</v>
      </c>
      <c r="H6484" s="1" t="str">
        <f>"노해간 7L10R2"</f>
        <v>노해간 7L10R2</v>
      </c>
      <c r="I6484" s="1" t="s">
        <v>8</v>
      </c>
      <c r="J6484" s="1" t="str">
        <f>"58/61"</f>
        <v>58/61</v>
      </c>
      <c r="K6484" s="1" t="str">
        <f>"2026-07-29 13:18:02"</f>
        <v>2026-07-29 13:18:02</v>
      </c>
      <c r="L6484" s="1" t="str">
        <f>"2018-01-03 11:40:25"</f>
        <v>2018-01-03 11:40:25</v>
      </c>
      <c r="M6484" s="1" t="s">
        <v>1</v>
      </c>
      <c r="N6484" s="1" t="s">
        <v>38</v>
      </c>
      <c r="O6484" s="1" t="s">
        <v>46</v>
      </c>
    </row>
    <row r="6485" spans="2:15" x14ac:dyDescent="0.3">
      <c r="B6485" s="1" t="s">
        <v>22</v>
      </c>
      <c r="C6485" s="1" t="str">
        <f>"2차"</f>
        <v>2차</v>
      </c>
      <c r="D6485" s="1" t="str">
        <f>"0231P34229"</f>
        <v>0231P34229</v>
      </c>
      <c r="E6485" s="1" t="s">
        <v>10</v>
      </c>
      <c r="F6485" s="1" t="str">
        <f>"10.10.1.58"</f>
        <v>10.10.1.58</v>
      </c>
      <c r="G6485" s="1" t="str">
        <f>"0231P342"</f>
        <v>0231P342</v>
      </c>
      <c r="H6485" s="1" t="str">
        <f>"노해간 1L3"</f>
        <v>노해간 1L3</v>
      </c>
      <c r="I6485" s="1" t="s">
        <v>8</v>
      </c>
      <c r="J6485" s="1" t="str">
        <f>"49/49"</f>
        <v>49/49</v>
      </c>
      <c r="K6485" s="1" t="str">
        <f>"2026-07-29 13:18:02"</f>
        <v>2026-07-29 13:18:02</v>
      </c>
      <c r="L6485" s="1" t="str">
        <f>"2017-06-21 17:51:01"</f>
        <v>2017-06-21 17:51:01</v>
      </c>
      <c r="M6485" s="1" t="s">
        <v>1</v>
      </c>
      <c r="N6485" s="1" t="s">
        <v>38</v>
      </c>
      <c r="O6485" s="1" t="s">
        <v>46</v>
      </c>
    </row>
    <row r="6486" spans="2:15" x14ac:dyDescent="0.3">
      <c r="B6486" s="1" t="s">
        <v>22</v>
      </c>
      <c r="C6486" s="1" t="str">
        <f>"4차"</f>
        <v>4차</v>
      </c>
      <c r="D6486" s="1" t="str">
        <f>"0231P36139"</f>
        <v>0231P36139</v>
      </c>
      <c r="E6486" s="1" t="s">
        <v>10</v>
      </c>
      <c r="F6486" s="1" t="str">
        <f>"10.10.9.34"</f>
        <v>10.10.9.34</v>
      </c>
      <c r="G6486" s="1" t="str">
        <f>"0231P361"</f>
        <v>0231P361</v>
      </c>
      <c r="H6486" s="1" t="str">
        <f>"노해간 7L3L3"</f>
        <v>노해간 7L3L3</v>
      </c>
      <c r="I6486" s="1" t="s">
        <v>8</v>
      </c>
      <c r="J6486" s="1" t="str">
        <f>"45/45"</f>
        <v>45/45</v>
      </c>
      <c r="K6486" s="1" t="str">
        <f>"2026-07-29 13:18:02"</f>
        <v>2026-07-29 13:18:02</v>
      </c>
      <c r="L6486" s="1" t="str">
        <f>"2018-01-18 13:51:41"</f>
        <v>2018-01-18 13:51:41</v>
      </c>
      <c r="M6486" s="1" t="s">
        <v>1</v>
      </c>
      <c r="N6486" s="1" t="s">
        <v>38</v>
      </c>
      <c r="O6486" s="1" t="s">
        <v>46</v>
      </c>
    </row>
    <row r="6487" spans="2:15" x14ac:dyDescent="0.3">
      <c r="B6487" s="1" t="s">
        <v>22</v>
      </c>
      <c r="C6487" s="1" t="str">
        <f>"3차"</f>
        <v>3차</v>
      </c>
      <c r="D6487" s="1" t="str">
        <f>"0231P37231"</f>
        <v>0231P37231</v>
      </c>
      <c r="E6487" s="1" t="s">
        <v>10</v>
      </c>
      <c r="F6487" s="1" t="str">
        <f>"10.12.129.205"</f>
        <v>10.12.129.205</v>
      </c>
      <c r="G6487" s="1" t="str">
        <f>"0231P372"</f>
        <v>0231P372</v>
      </c>
      <c r="H6487" s="1" t="str">
        <f>"노해간 7L10L1"</f>
        <v>노해간 7L10L1</v>
      </c>
      <c r="I6487" s="1" t="s">
        <v>8</v>
      </c>
      <c r="J6487" s="1" t="str">
        <f>"45/45"</f>
        <v>45/45</v>
      </c>
      <c r="K6487" s="1" t="str">
        <f>"2026-07-29 13:18:03"</f>
        <v>2026-07-29 13:18:03</v>
      </c>
      <c r="L6487" s="1" t="str">
        <f>"2018-01-16 14:13:44"</f>
        <v>2018-01-16 14:13:44</v>
      </c>
      <c r="M6487" s="1" t="s">
        <v>0</v>
      </c>
      <c r="N6487" s="1" t="s">
        <v>38</v>
      </c>
      <c r="O6487" s="1" t="s">
        <v>46</v>
      </c>
    </row>
    <row r="6488" spans="2:15" x14ac:dyDescent="0.3">
      <c r="B6488" s="1" t="s">
        <v>22</v>
      </c>
      <c r="C6488" s="1" t="str">
        <f>"1차"</f>
        <v>1차</v>
      </c>
      <c r="D6488" s="1" t="str">
        <f>"0231P41200"</f>
        <v>0231P41200</v>
      </c>
      <c r="E6488" s="1" t="s">
        <v>10</v>
      </c>
      <c r="F6488" s="1" t="str">
        <f>"10.107.255.66"</f>
        <v>10.107.255.66</v>
      </c>
      <c r="G6488" s="1" t="str">
        <f>"0231P412"</f>
        <v>0231P412</v>
      </c>
      <c r="H6488" s="1" t="str">
        <f>"쌍이간 15"</f>
        <v>쌍이간 15</v>
      </c>
      <c r="I6488" s="1" t="s">
        <v>8</v>
      </c>
      <c r="J6488" s="1" t="str">
        <f>"36/46"</f>
        <v>36/46</v>
      </c>
      <c r="K6488" s="1" t="str">
        <f>"2026-07-29 13:18:02"</f>
        <v>2026-07-29 13:18:02</v>
      </c>
      <c r="L6488" s="1" t="str">
        <f>"2014-12-31 12:28:07"</f>
        <v>2014-12-31 12:28:07</v>
      </c>
      <c r="M6488" s="1" t="s">
        <v>45</v>
      </c>
      <c r="N6488" s="1" t="s">
        <v>38</v>
      </c>
      <c r="O6488" s="1" t="s">
        <v>46</v>
      </c>
    </row>
    <row r="6489" spans="2:15" x14ac:dyDescent="0.3">
      <c r="B6489" s="1" t="s">
        <v>22</v>
      </c>
      <c r="C6489" s="1" t="str">
        <f>"4차"</f>
        <v>4차</v>
      </c>
      <c r="D6489" s="1" t="str">
        <f>"0231P41344"</f>
        <v>0231P41344</v>
      </c>
      <c r="E6489" s="1" t="s">
        <v>10</v>
      </c>
      <c r="F6489" s="1" t="str">
        <f>"10.107.253.3"</f>
        <v>10.107.253.3</v>
      </c>
      <c r="G6489" s="1" t="str">
        <f>"0231P413"</f>
        <v>0231P413</v>
      </c>
      <c r="H6489" s="1" t="str">
        <f>"쌍이간 16"</f>
        <v>쌍이간 16</v>
      </c>
      <c r="I6489" s="1" t="s">
        <v>8</v>
      </c>
      <c r="J6489" s="1" t="str">
        <f>"24/24"</f>
        <v>24/24</v>
      </c>
      <c r="K6489" s="1" t="str">
        <f>"2026-07-29 13:18:03"</f>
        <v>2026-07-29 13:18:03</v>
      </c>
      <c r="L6489" s="1" t="str">
        <f>"2019-12-13 09:15:37"</f>
        <v>2019-12-13 09:15:37</v>
      </c>
      <c r="M6489" s="1" t="s">
        <v>45</v>
      </c>
      <c r="N6489" s="1" t="s">
        <v>38</v>
      </c>
      <c r="O6489" s="1" t="s">
        <v>46</v>
      </c>
    </row>
    <row r="6490" spans="2:15" x14ac:dyDescent="0.3">
      <c r="B6490" s="1" t="s">
        <v>22</v>
      </c>
      <c r="C6490" s="1" t="str">
        <f>"4차"</f>
        <v>4차</v>
      </c>
      <c r="D6490" s="1" t="str">
        <f>"0231P44131"</f>
        <v>0231P44131</v>
      </c>
      <c r="E6490" s="1" t="s">
        <v>10</v>
      </c>
      <c r="F6490" s="1" t="str">
        <f>"10.10.24.75"</f>
        <v>10.10.24.75</v>
      </c>
      <c r="G6490" s="1" t="str">
        <f>"0231P441"</f>
        <v>0231P441</v>
      </c>
      <c r="H6490" s="1" t="str">
        <f>"노해간 1L5R2H1R2"</f>
        <v>노해간 1L5R2H1R2</v>
      </c>
      <c r="I6490" s="1" t="s">
        <v>8</v>
      </c>
      <c r="J6490" s="1" t="str">
        <f>"10/10"</f>
        <v>10/10</v>
      </c>
      <c r="K6490" s="1" t="str">
        <f>"2026-07-29 13:18:02"</f>
        <v>2026-07-29 13:18:02</v>
      </c>
      <c r="L6490" s="1" t="str">
        <f>"2018-01-11 12:07:55"</f>
        <v>2018-01-11 12:07:55</v>
      </c>
      <c r="M6490" s="1" t="s">
        <v>1</v>
      </c>
      <c r="N6490" s="1" t="s">
        <v>38</v>
      </c>
      <c r="O6490" s="1" t="s">
        <v>46</v>
      </c>
    </row>
    <row r="6491" spans="2:15" x14ac:dyDescent="0.3">
      <c r="B6491" s="1" t="s">
        <v>22</v>
      </c>
      <c r="C6491" s="1" t="str">
        <f t="shared" ref="C6491:C6498" si="320">"3차"</f>
        <v>3차</v>
      </c>
      <c r="D6491" s="1" t="str">
        <f>"0231P45230"</f>
        <v>0231P45230</v>
      </c>
      <c r="E6491" s="1" t="s">
        <v>10</v>
      </c>
      <c r="F6491" s="1" t="str">
        <f>"10.10.19.98"</f>
        <v>10.10.19.98</v>
      </c>
      <c r="G6491" s="1" t="str">
        <f>"0231P452"</f>
        <v>0231P452</v>
      </c>
      <c r="H6491" s="1" t="str">
        <f>"노해간 1L5R2H1R5"</f>
        <v>노해간 1L5R2H1R5</v>
      </c>
      <c r="I6491" s="1" t="s">
        <v>8</v>
      </c>
      <c r="J6491" s="1" t="str">
        <f>"10/10"</f>
        <v>10/10</v>
      </c>
      <c r="K6491" s="1" t="str">
        <f>"2026-07-29 13:18:02"</f>
        <v>2026-07-29 13:18:02</v>
      </c>
      <c r="L6491" s="1" t="str">
        <f>"2018-01-02 16:46:12"</f>
        <v>2018-01-02 16:46:12</v>
      </c>
      <c r="M6491" s="1" t="s">
        <v>1</v>
      </c>
      <c r="N6491" s="1" t="s">
        <v>38</v>
      </c>
      <c r="O6491" s="1" t="s">
        <v>46</v>
      </c>
    </row>
    <row r="6492" spans="2:15" x14ac:dyDescent="0.3">
      <c r="B6492" s="1" t="s">
        <v>22</v>
      </c>
      <c r="C6492" s="1" t="str">
        <f t="shared" si="320"/>
        <v>3차</v>
      </c>
      <c r="D6492" s="1" t="str">
        <f>"0231P46132"</f>
        <v>0231P46132</v>
      </c>
      <c r="E6492" s="1" t="s">
        <v>10</v>
      </c>
      <c r="F6492" s="1" t="str">
        <f>"10.10.24.68"</f>
        <v>10.10.24.68</v>
      </c>
      <c r="G6492" s="1" t="str">
        <f>"0231P461"</f>
        <v>0231P461</v>
      </c>
      <c r="H6492" s="1" t="str">
        <f>"노해간 7L3L2"</f>
        <v>노해간 7L3L2</v>
      </c>
      <c r="I6492" s="1" t="s">
        <v>8</v>
      </c>
      <c r="J6492" s="1" t="str">
        <f>"35/35"</f>
        <v>35/35</v>
      </c>
      <c r="K6492" s="1" t="str">
        <f>"2026-07-29 13:18:02"</f>
        <v>2026-07-29 13:18:02</v>
      </c>
      <c r="L6492" s="1" t="str">
        <f>"2018-01-11 15:24:57"</f>
        <v>2018-01-11 15:24:57</v>
      </c>
      <c r="M6492" s="1" t="s">
        <v>1</v>
      </c>
      <c r="N6492" s="1" t="s">
        <v>38</v>
      </c>
      <c r="O6492" s="1" t="s">
        <v>46</v>
      </c>
    </row>
    <row r="6493" spans="2:15" x14ac:dyDescent="0.3">
      <c r="B6493" s="1" t="s">
        <v>22</v>
      </c>
      <c r="C6493" s="1" t="str">
        <f t="shared" si="320"/>
        <v>3차</v>
      </c>
      <c r="D6493" s="1" t="str">
        <f>"0231P47130"</f>
        <v>0231P47130</v>
      </c>
      <c r="E6493" s="1" t="s">
        <v>10</v>
      </c>
      <c r="F6493" s="1" t="str">
        <f>"10.10.19.50"</f>
        <v>10.10.19.50</v>
      </c>
      <c r="G6493" s="1" t="str">
        <f>"0231P471"</f>
        <v>0231P471</v>
      </c>
      <c r="H6493" s="1" t="str">
        <f>"노해간 7L7"</f>
        <v>노해간 7L7</v>
      </c>
      <c r="I6493" s="1" t="s">
        <v>8</v>
      </c>
      <c r="J6493" s="1" t="str">
        <f>"41/41"</f>
        <v>41/41</v>
      </c>
      <c r="K6493" s="1" t="str">
        <f>"2026-07-29 13:18:03"</f>
        <v>2026-07-29 13:18:03</v>
      </c>
      <c r="L6493" s="1" t="str">
        <f>"2018-01-03 11:02:09"</f>
        <v>2018-01-03 11:02:09</v>
      </c>
      <c r="M6493" s="1" t="s">
        <v>1</v>
      </c>
      <c r="N6493" s="1" t="s">
        <v>38</v>
      </c>
      <c r="O6493" s="1" t="s">
        <v>46</v>
      </c>
    </row>
    <row r="6494" spans="2:15" x14ac:dyDescent="0.3">
      <c r="B6494" s="1" t="s">
        <v>22</v>
      </c>
      <c r="C6494" s="1" t="str">
        <f t="shared" si="320"/>
        <v>3차</v>
      </c>
      <c r="D6494" s="1" t="str">
        <f>"0231P47231"</f>
        <v>0231P47231</v>
      </c>
      <c r="E6494" s="1" t="s">
        <v>10</v>
      </c>
      <c r="F6494" s="1" t="str">
        <f>"10.10.19.51"</f>
        <v>10.10.19.51</v>
      </c>
      <c r="G6494" s="1" t="str">
        <f>"0231P472"</f>
        <v>0231P472</v>
      </c>
      <c r="H6494" s="1" t="str">
        <f>"노해간 7L8"</f>
        <v>노해간 7L8</v>
      </c>
      <c r="I6494" s="1" t="s">
        <v>8</v>
      </c>
      <c r="J6494" s="1" t="str">
        <f>"44/45"</f>
        <v>44/45</v>
      </c>
      <c r="K6494" s="1" t="str">
        <f>"2026-07-29 13:18:03"</f>
        <v>2026-07-29 13:18:03</v>
      </c>
      <c r="L6494" s="1" t="str">
        <f>"2018-01-15 10:54:42"</f>
        <v>2018-01-15 10:54:42</v>
      </c>
      <c r="M6494" s="1" t="s">
        <v>1</v>
      </c>
      <c r="N6494" s="1" t="s">
        <v>38</v>
      </c>
      <c r="O6494" s="1" t="s">
        <v>46</v>
      </c>
    </row>
    <row r="6495" spans="2:15" x14ac:dyDescent="0.3">
      <c r="B6495" s="1" t="s">
        <v>22</v>
      </c>
      <c r="C6495" s="1" t="str">
        <f t="shared" si="320"/>
        <v>3차</v>
      </c>
      <c r="D6495" s="1" t="str">
        <f>"0231P49239"</f>
        <v>0231P49239</v>
      </c>
      <c r="E6495" s="1" t="s">
        <v>10</v>
      </c>
      <c r="F6495" s="1" t="str">
        <f>"10.10.9.66"</f>
        <v>10.10.9.66</v>
      </c>
      <c r="G6495" s="1" t="str">
        <f>"0231P492"</f>
        <v>0231P492</v>
      </c>
      <c r="H6495" s="1" t="str">
        <f>"노해간 7L6R3"</f>
        <v>노해간 7L6R3</v>
      </c>
      <c r="I6495" s="1" t="s">
        <v>8</v>
      </c>
      <c r="J6495" s="1" t="str">
        <f>"78/78"</f>
        <v>78/78</v>
      </c>
      <c r="K6495" s="1" t="str">
        <f>"2026-07-29 13:18:02"</f>
        <v>2026-07-29 13:18:02</v>
      </c>
      <c r="L6495" s="1" t="str">
        <f>"2018-01-18 15:59:12"</f>
        <v>2018-01-18 15:59:12</v>
      </c>
      <c r="M6495" s="1" t="s">
        <v>1</v>
      </c>
      <c r="N6495" s="1" t="s">
        <v>38</v>
      </c>
      <c r="O6495" s="1" t="s">
        <v>46</v>
      </c>
    </row>
    <row r="6496" spans="2:15" x14ac:dyDescent="0.3">
      <c r="B6496" s="1" t="s">
        <v>22</v>
      </c>
      <c r="C6496" s="1" t="str">
        <f t="shared" si="320"/>
        <v>3차</v>
      </c>
      <c r="D6496" s="1" t="str">
        <f>"0231P53532"</f>
        <v>0231P53532</v>
      </c>
      <c r="E6496" s="1" t="s">
        <v>10</v>
      </c>
      <c r="F6496" s="1" t="str">
        <f>"10.10.24.76"</f>
        <v>10.10.24.76</v>
      </c>
      <c r="G6496" s="1" t="str">
        <f>"0231P535"</f>
        <v>0231P535</v>
      </c>
      <c r="H6496" s="1" t="str">
        <f>"노해간 1L5R2H1R3R1"</f>
        <v>노해간 1L5R2H1R3R1</v>
      </c>
      <c r="I6496" s="1" t="s">
        <v>8</v>
      </c>
      <c r="J6496" s="1" t="str">
        <f>"18/19"</f>
        <v>18/19</v>
      </c>
      <c r="K6496" s="1" t="str">
        <f>"2026-07-29 13:18:03"</f>
        <v>2026-07-29 13:18:03</v>
      </c>
      <c r="L6496" s="1" t="str">
        <f>"2018-01-11 11:36:11"</f>
        <v>2018-01-11 11:36:11</v>
      </c>
      <c r="M6496" s="1" t="s">
        <v>1</v>
      </c>
      <c r="N6496" s="1" t="s">
        <v>38</v>
      </c>
      <c r="O6496" s="1" t="s">
        <v>46</v>
      </c>
    </row>
    <row r="6497" spans="2:15" x14ac:dyDescent="0.3">
      <c r="B6497" s="1" t="s">
        <v>22</v>
      </c>
      <c r="C6497" s="1" t="str">
        <f t="shared" si="320"/>
        <v>3차</v>
      </c>
      <c r="D6497" s="1" t="str">
        <f>"0231P54130"</f>
        <v>0231P54130</v>
      </c>
      <c r="E6497" s="1" t="s">
        <v>10</v>
      </c>
      <c r="F6497" s="1" t="str">
        <f>"10.10.24.74"</f>
        <v>10.10.24.74</v>
      </c>
      <c r="G6497" s="1" t="str">
        <f>"0231P541"</f>
        <v>0231P541</v>
      </c>
      <c r="H6497" s="1" t="str">
        <f>"노해간 1L5R2H1R3"</f>
        <v>노해간 1L5R2H1R3</v>
      </c>
      <c r="I6497" s="1" t="s">
        <v>8</v>
      </c>
      <c r="J6497" s="1" t="str">
        <f>"32/32"</f>
        <v>32/32</v>
      </c>
      <c r="K6497" s="1" t="str">
        <f>"2026-07-29 13:18:03"</f>
        <v>2026-07-29 13:18:03</v>
      </c>
      <c r="L6497" s="1" t="str">
        <f>"2018-01-02 16:18:12"</f>
        <v>2018-01-02 16:18:12</v>
      </c>
      <c r="M6497" s="1" t="s">
        <v>1</v>
      </c>
      <c r="N6497" s="1" t="s">
        <v>38</v>
      </c>
      <c r="O6497" s="1" t="s">
        <v>46</v>
      </c>
    </row>
    <row r="6498" spans="2:15" x14ac:dyDescent="0.3">
      <c r="B6498" s="1" t="s">
        <v>22</v>
      </c>
      <c r="C6498" s="1" t="str">
        <f t="shared" si="320"/>
        <v>3차</v>
      </c>
      <c r="D6498" s="1" t="str">
        <f>"0231P55131"</f>
        <v>0231P55131</v>
      </c>
      <c r="E6498" s="1" t="s">
        <v>10</v>
      </c>
      <c r="F6498" s="1" t="str">
        <f>"10.10.19.99"</f>
        <v>10.10.19.99</v>
      </c>
      <c r="G6498" s="1" t="str">
        <f>"0231P551"</f>
        <v>0231P551</v>
      </c>
      <c r="H6498" s="1" t="str">
        <f>"노해간 1L5R2H1R6"</f>
        <v>노해간 1L5R2H1R6</v>
      </c>
      <c r="I6498" s="1" t="s">
        <v>8</v>
      </c>
      <c r="J6498" s="1" t="str">
        <f>"59/59"</f>
        <v>59/59</v>
      </c>
      <c r="K6498" s="1" t="str">
        <f>"2026-07-29 13:18:02"</f>
        <v>2026-07-29 13:18:02</v>
      </c>
      <c r="L6498" s="1" t="str">
        <f>"2018-01-15 09:41:56"</f>
        <v>2018-01-15 09:41:56</v>
      </c>
      <c r="M6498" s="1" t="s">
        <v>1</v>
      </c>
      <c r="N6498" s="1" t="s">
        <v>38</v>
      </c>
      <c r="O6498" s="1" t="s">
        <v>46</v>
      </c>
    </row>
    <row r="6499" spans="2:15" x14ac:dyDescent="0.3">
      <c r="B6499" s="1" t="s">
        <v>22</v>
      </c>
      <c r="C6499" s="1" t="str">
        <f>"4차"</f>
        <v>4차</v>
      </c>
      <c r="D6499" s="1" t="str">
        <f>"0231P56131"</f>
        <v>0231P56131</v>
      </c>
      <c r="E6499" s="1" t="s">
        <v>10</v>
      </c>
      <c r="F6499" s="1" t="str">
        <f>"10.10.24.67"</f>
        <v>10.10.24.67</v>
      </c>
      <c r="G6499" s="1" t="str">
        <f>"0231P561"</f>
        <v>0231P561</v>
      </c>
      <c r="H6499" s="1" t="str">
        <f>"노해간 7L3"</f>
        <v>노해간 7L3</v>
      </c>
      <c r="I6499" s="1" t="s">
        <v>8</v>
      </c>
      <c r="J6499" s="1" t="str">
        <f>"64/65"</f>
        <v>64/65</v>
      </c>
      <c r="K6499" s="1" t="str">
        <f>"2026-07-29 13:18:03"</f>
        <v>2026-07-29 13:18:03</v>
      </c>
      <c r="L6499" s="1" t="str">
        <f>"2018-01-11 14:55:27"</f>
        <v>2018-01-11 14:55:27</v>
      </c>
      <c r="M6499" s="1" t="s">
        <v>1</v>
      </c>
      <c r="N6499" s="1" t="s">
        <v>38</v>
      </c>
      <c r="O6499" s="1" t="s">
        <v>46</v>
      </c>
    </row>
    <row r="6500" spans="2:15" x14ac:dyDescent="0.3">
      <c r="B6500" s="1" t="s">
        <v>22</v>
      </c>
      <c r="C6500" s="1" t="str">
        <f>"3차"</f>
        <v>3차</v>
      </c>
      <c r="D6500" s="1" t="str">
        <f>"0231P56230"</f>
        <v>0231P56230</v>
      </c>
      <c r="E6500" s="1" t="s">
        <v>10</v>
      </c>
      <c r="F6500" s="1" t="str">
        <f>"10.10.24.66"</f>
        <v>10.10.24.66</v>
      </c>
      <c r="G6500" s="1" t="str">
        <f>"0231P562"</f>
        <v>0231P562</v>
      </c>
      <c r="H6500" s="1" t="str">
        <f>"노해간 7L3L1"</f>
        <v>노해간 7L3L1</v>
      </c>
      <c r="I6500" s="1" t="s">
        <v>8</v>
      </c>
      <c r="J6500" s="1" t="str">
        <f>"69/69"</f>
        <v>69/69</v>
      </c>
      <c r="K6500" s="1" t="str">
        <f>"2026-07-29 13:18:02"</f>
        <v>2026-07-29 13:18:02</v>
      </c>
      <c r="L6500" s="1" t="str">
        <f>"2018-01-03 10:22:24"</f>
        <v>2018-01-03 10:22:24</v>
      </c>
      <c r="M6500" s="1" t="s">
        <v>1</v>
      </c>
      <c r="N6500" s="1" t="s">
        <v>38</v>
      </c>
      <c r="O6500" s="1" t="s">
        <v>46</v>
      </c>
    </row>
    <row r="6501" spans="2:15" x14ac:dyDescent="0.3">
      <c r="B6501" s="1" t="s">
        <v>22</v>
      </c>
      <c r="C6501" s="1" t="str">
        <f>"4차"</f>
        <v>4차</v>
      </c>
      <c r="D6501" s="1" t="str">
        <f>"0231P57230"</f>
        <v>0231P57230</v>
      </c>
      <c r="E6501" s="1" t="s">
        <v>10</v>
      </c>
      <c r="F6501" s="1" t="str">
        <f>"10.10.19.58"</f>
        <v>10.10.19.58</v>
      </c>
      <c r="G6501" s="1" t="str">
        <f>"0231P572"</f>
        <v>0231P572</v>
      </c>
      <c r="H6501" s="1" t="str">
        <f>"노해간 7L4"</f>
        <v>노해간 7L4</v>
      </c>
      <c r="I6501" s="1" t="s">
        <v>8</v>
      </c>
      <c r="J6501" s="1" t="str">
        <f>"97/97"</f>
        <v>97/97</v>
      </c>
      <c r="K6501" s="1" t="str">
        <f>"2026-07-29 13:18:02"</f>
        <v>2026-07-29 13:18:02</v>
      </c>
      <c r="L6501" s="1" t="str">
        <f>"2018-01-03 10:30:24"</f>
        <v>2018-01-03 10:30:24</v>
      </c>
      <c r="M6501" s="1" t="s">
        <v>1</v>
      </c>
      <c r="N6501" s="1" t="s">
        <v>38</v>
      </c>
      <c r="O6501" s="1" t="s">
        <v>46</v>
      </c>
    </row>
    <row r="6502" spans="2:15" x14ac:dyDescent="0.3">
      <c r="B6502" s="1" t="s">
        <v>22</v>
      </c>
      <c r="C6502" s="1" t="str">
        <f>"3차"</f>
        <v>3차</v>
      </c>
      <c r="D6502" s="1" t="str">
        <f>"0231P57339"</f>
        <v>0231P57339</v>
      </c>
      <c r="E6502" s="1" t="s">
        <v>10</v>
      </c>
      <c r="F6502" s="1" t="str">
        <f>"10.10.9.50"</f>
        <v>10.10.9.50</v>
      </c>
      <c r="G6502" s="1" t="str">
        <f>"0231P573"</f>
        <v>0231P573</v>
      </c>
      <c r="H6502" s="1" t="str">
        <f>"노해간 7L6"</f>
        <v>노해간 7L6</v>
      </c>
      <c r="I6502" s="1" t="s">
        <v>8</v>
      </c>
      <c r="J6502" s="1" t="str">
        <f>"42/42"</f>
        <v>42/42</v>
      </c>
      <c r="K6502" s="1" t="str">
        <f>"2026-07-29 13:18:02"</f>
        <v>2026-07-29 13:18:02</v>
      </c>
      <c r="L6502" s="1" t="str">
        <f>"2018-01-18 15:04:57"</f>
        <v>2018-01-18 15:04:57</v>
      </c>
      <c r="M6502" s="1" t="s">
        <v>1</v>
      </c>
      <c r="N6502" s="1" t="s">
        <v>38</v>
      </c>
      <c r="O6502" s="1" t="s">
        <v>46</v>
      </c>
    </row>
    <row r="6503" spans="2:15" x14ac:dyDescent="0.3">
      <c r="B6503" s="1" t="s">
        <v>22</v>
      </c>
      <c r="C6503" s="1" t="str">
        <f>"3차"</f>
        <v>3차</v>
      </c>
      <c r="D6503" s="1" t="str">
        <f>"0231P57431"</f>
        <v>0231P57431</v>
      </c>
      <c r="E6503" s="1" t="s">
        <v>10</v>
      </c>
      <c r="F6503" s="1" t="str">
        <f>"10.10.19.59"</f>
        <v>10.10.19.59</v>
      </c>
      <c r="G6503" s="1" t="str">
        <f>"0231P574"</f>
        <v>0231P574</v>
      </c>
      <c r="H6503" s="1" t="str">
        <f>"노해간 7L5"</f>
        <v>노해간 7L5</v>
      </c>
      <c r="I6503" s="1" t="s">
        <v>8</v>
      </c>
      <c r="J6503" s="1" t="str">
        <f>"44/44"</f>
        <v>44/44</v>
      </c>
      <c r="K6503" s="1" t="str">
        <f>"2026-07-29 13:18:03"</f>
        <v>2026-07-29 13:18:03</v>
      </c>
      <c r="L6503" s="1" t="str">
        <f>"2018-01-15 10:26:26"</f>
        <v>2018-01-15 10:26:26</v>
      </c>
      <c r="M6503" s="1" t="s">
        <v>1</v>
      </c>
      <c r="N6503" s="1" t="s">
        <v>38</v>
      </c>
      <c r="O6503" s="1" t="s">
        <v>46</v>
      </c>
    </row>
    <row r="6504" spans="2:15" x14ac:dyDescent="0.3">
      <c r="B6504" s="1" t="s">
        <v>22</v>
      </c>
      <c r="C6504" s="1" t="str">
        <f>"3차"</f>
        <v>3차</v>
      </c>
      <c r="D6504" s="1" t="str">
        <f>"0231P59139"</f>
        <v>0231P59139</v>
      </c>
      <c r="E6504" s="1" t="s">
        <v>10</v>
      </c>
      <c r="F6504" s="1" t="str">
        <f>"10.10.9.58"</f>
        <v>10.10.9.58</v>
      </c>
      <c r="G6504" s="1" t="str">
        <f>"0231P591"</f>
        <v>0231P591</v>
      </c>
      <c r="H6504" s="1" t="str">
        <f>"노해간 7L6R2"</f>
        <v>노해간 7L6R2</v>
      </c>
      <c r="I6504" s="1" t="s">
        <v>8</v>
      </c>
      <c r="J6504" s="1" t="str">
        <f>"17/17"</f>
        <v>17/17</v>
      </c>
      <c r="K6504" s="1" t="str">
        <f>"2026-07-29 13:18:02"</f>
        <v>2026-07-29 13:18:02</v>
      </c>
      <c r="L6504" s="1" t="str">
        <f>"2018-01-18 15:48:12"</f>
        <v>2018-01-18 15:48:12</v>
      </c>
      <c r="M6504" s="1" t="s">
        <v>1</v>
      </c>
      <c r="N6504" s="1" t="s">
        <v>38</v>
      </c>
      <c r="O6504" s="1" t="s">
        <v>46</v>
      </c>
    </row>
    <row r="6505" spans="2:15" x14ac:dyDescent="0.3">
      <c r="B6505" s="1" t="s">
        <v>22</v>
      </c>
      <c r="C6505" s="1" t="str">
        <f>"4차"</f>
        <v>4차</v>
      </c>
      <c r="D6505" s="1" t="str">
        <f>"0231P59339"</f>
        <v>0231P59339</v>
      </c>
      <c r="E6505" s="1" t="s">
        <v>10</v>
      </c>
      <c r="F6505" s="1" t="str">
        <f>"10.10.9.42"</f>
        <v>10.10.9.42</v>
      </c>
      <c r="G6505" s="1" t="str">
        <f>"0231P593"</f>
        <v>0231P593</v>
      </c>
      <c r="H6505" s="1" t="str">
        <f>"노해간 7L5R2"</f>
        <v>노해간 7L5R2</v>
      </c>
      <c r="I6505" s="1" t="s">
        <v>8</v>
      </c>
      <c r="J6505" s="1" t="str">
        <f>"87/87"</f>
        <v>87/87</v>
      </c>
      <c r="K6505" s="1" t="str">
        <f>"2026-07-29 13:18:03"</f>
        <v>2026-07-29 13:18:03</v>
      </c>
      <c r="L6505" s="1" t="str">
        <f>"2018-01-18 14:01:41"</f>
        <v>2018-01-18 14:01:41</v>
      </c>
      <c r="M6505" s="1" t="s">
        <v>1</v>
      </c>
      <c r="N6505" s="1" t="s">
        <v>38</v>
      </c>
      <c r="O6505" s="1" t="s">
        <v>46</v>
      </c>
    </row>
    <row r="6506" spans="2:15" x14ac:dyDescent="0.3">
      <c r="B6506" s="1" t="s">
        <v>22</v>
      </c>
      <c r="C6506" s="1" t="str">
        <f>"1차"</f>
        <v>1차</v>
      </c>
      <c r="D6506" s="1" t="str">
        <f>"0231P62300"</f>
        <v>0231P62300</v>
      </c>
      <c r="E6506" s="1" t="s">
        <v>10</v>
      </c>
      <c r="F6506" s="1" t="str">
        <f>"10.107.255.90"</f>
        <v>10.107.255.90</v>
      </c>
      <c r="G6506" s="1" t="str">
        <f>"0231P623"</f>
        <v>0231P623</v>
      </c>
      <c r="H6506" s="1" t="str">
        <f>"쌍이간 18R3R1"</f>
        <v>쌍이간 18R3R1</v>
      </c>
      <c r="I6506" s="1" t="s">
        <v>8</v>
      </c>
      <c r="J6506" s="1" t="str">
        <f>"10/12"</f>
        <v>10/12</v>
      </c>
      <c r="K6506" s="1" t="str">
        <f>"2026-07-29 13:18:03"</f>
        <v>2026-07-29 13:18:03</v>
      </c>
      <c r="L6506" s="1" t="str">
        <f>"2015-01-07 10:58:30"</f>
        <v>2015-01-07 10:58:30</v>
      </c>
      <c r="M6506" s="1" t="s">
        <v>45</v>
      </c>
      <c r="N6506" s="1" t="s">
        <v>38</v>
      </c>
      <c r="O6506" s="1" t="s">
        <v>46</v>
      </c>
    </row>
    <row r="6507" spans="2:15" x14ac:dyDescent="0.3">
      <c r="B6507" s="1" t="s">
        <v>22</v>
      </c>
      <c r="C6507" s="1" t="str">
        <f>"3차"</f>
        <v>3차</v>
      </c>
      <c r="D6507" s="1" t="str">
        <f>"0231P62439"</f>
        <v>0231P62439</v>
      </c>
      <c r="E6507" s="1" t="s">
        <v>10</v>
      </c>
      <c r="F6507" s="1" t="str">
        <f>"10.107.249.42"</f>
        <v>10.107.249.42</v>
      </c>
      <c r="G6507" s="1" t="str">
        <f>"0231P624"</f>
        <v>0231P624</v>
      </c>
      <c r="H6507" s="1" t="str">
        <f>"노해간 1R1"</f>
        <v>노해간 1R1</v>
      </c>
      <c r="I6507" s="1" t="s">
        <v>8</v>
      </c>
      <c r="J6507" s="1" t="str">
        <f>"6/6"</f>
        <v>6/6</v>
      </c>
      <c r="K6507" s="1" t="str">
        <f>"2026-07-29 13:18:03"</f>
        <v>2026-07-29 13:18:03</v>
      </c>
      <c r="L6507" s="1" t="str">
        <f>"2021-01-21 17:53:19"</f>
        <v>2021-01-21 17:53:19</v>
      </c>
      <c r="M6507" s="1" t="s">
        <v>45</v>
      </c>
      <c r="N6507" s="1" t="s">
        <v>38</v>
      </c>
      <c r="O6507" s="1" t="s">
        <v>46</v>
      </c>
    </row>
    <row r="6508" spans="2:15" x14ac:dyDescent="0.3">
      <c r="B6508" s="1" t="s">
        <v>22</v>
      </c>
      <c r="C6508" s="1" t="str">
        <f>"3차"</f>
        <v>3차</v>
      </c>
      <c r="D6508" s="1" t="str">
        <f>"0231P63430"</f>
        <v>0231P63430</v>
      </c>
      <c r="E6508" s="1" t="s">
        <v>10</v>
      </c>
      <c r="F6508" s="1" t="str">
        <f>"10.10.19.106"</f>
        <v>10.10.19.106</v>
      </c>
      <c r="G6508" s="1" t="str">
        <f>"0231P634"</f>
        <v>0231P634</v>
      </c>
      <c r="H6508" s="1" t="str">
        <f>"노해간 2"</f>
        <v>노해간 2</v>
      </c>
      <c r="I6508" s="1" t="s">
        <v>8</v>
      </c>
      <c r="J6508" s="1" t="str">
        <f>"5/5"</f>
        <v>5/5</v>
      </c>
      <c r="K6508" s="1" t="str">
        <f>"2026-07-29 13:18:03"</f>
        <v>2026-07-29 13:18:03</v>
      </c>
      <c r="L6508" s="1" t="str">
        <f>"2018-01-03 12:10:09"</f>
        <v>2018-01-03 12:10:09</v>
      </c>
      <c r="M6508" s="1" t="s">
        <v>1</v>
      </c>
      <c r="N6508" s="1" t="s">
        <v>38</v>
      </c>
      <c r="O6508" s="1" t="s">
        <v>46</v>
      </c>
    </row>
    <row r="6509" spans="2:15" x14ac:dyDescent="0.3">
      <c r="B6509" s="1" t="s">
        <v>22</v>
      </c>
      <c r="C6509" s="1" t="str">
        <f>"3차"</f>
        <v>3차</v>
      </c>
      <c r="D6509" s="1" t="str">
        <f>"0231P64131"</f>
        <v>0231P64131</v>
      </c>
      <c r="E6509" s="1" t="s">
        <v>10</v>
      </c>
      <c r="F6509" s="1" t="str">
        <f>"10.10.19.107"</f>
        <v>10.10.19.107</v>
      </c>
      <c r="G6509" s="1" t="str">
        <f>"0231P641"</f>
        <v>0231P641</v>
      </c>
      <c r="H6509" s="1" t="str">
        <f>"노해간 4"</f>
        <v>노해간 4</v>
      </c>
      <c r="I6509" s="1" t="s">
        <v>8</v>
      </c>
      <c r="J6509" s="1" t="str">
        <f>"10/10"</f>
        <v>10/10</v>
      </c>
      <c r="K6509" s="1" t="str">
        <f>"2026-07-29 13:18:03"</f>
        <v>2026-07-29 13:18:03</v>
      </c>
      <c r="L6509" s="1" t="str">
        <f>"2018-01-16 13:41:28"</f>
        <v>2018-01-16 13:41:28</v>
      </c>
      <c r="M6509" s="1" t="s">
        <v>1</v>
      </c>
      <c r="N6509" s="1" t="s">
        <v>38</v>
      </c>
      <c r="O6509" s="1" t="s">
        <v>46</v>
      </c>
    </row>
    <row r="6510" spans="2:15" x14ac:dyDescent="0.3">
      <c r="B6510" s="1" t="s">
        <v>22</v>
      </c>
      <c r="C6510" s="1" t="str">
        <f>"1차"</f>
        <v>1차</v>
      </c>
      <c r="D6510" s="1" t="str">
        <f>"0231P65300"</f>
        <v>0231P65300</v>
      </c>
      <c r="E6510" s="1" t="s">
        <v>10</v>
      </c>
      <c r="F6510" s="1" t="str">
        <f>"10.107.255.122"</f>
        <v>10.107.255.122</v>
      </c>
      <c r="G6510" s="1" t="str">
        <f>"0231P653"</f>
        <v>0231P653</v>
      </c>
      <c r="H6510" s="1" t="str">
        <f>"노해간 5"</f>
        <v>노해간 5</v>
      </c>
      <c r="I6510" s="1" t="s">
        <v>8</v>
      </c>
      <c r="J6510" s="1" t="str">
        <f>"47/49"</f>
        <v>47/49</v>
      </c>
      <c r="K6510" s="1" t="str">
        <f>"2026-07-29 13:18:00"</f>
        <v>2026-07-29 13:18:00</v>
      </c>
      <c r="L6510" s="1" t="str">
        <f>"2014-12-26 17:41:58"</f>
        <v>2014-12-26 17:41:58</v>
      </c>
      <c r="M6510" s="1" t="s">
        <v>45</v>
      </c>
      <c r="N6510" s="1" t="s">
        <v>38</v>
      </c>
      <c r="O6510" s="1" t="s">
        <v>46</v>
      </c>
    </row>
    <row r="6511" spans="2:15" x14ac:dyDescent="0.3">
      <c r="B6511" s="1" t="s">
        <v>22</v>
      </c>
      <c r="C6511" s="1" t="str">
        <f>"3차"</f>
        <v>3차</v>
      </c>
      <c r="D6511" s="1" t="str">
        <f>"0231P68130"</f>
        <v>0231P68130</v>
      </c>
      <c r="E6511" s="1" t="s">
        <v>10</v>
      </c>
      <c r="F6511" s="1" t="str">
        <f>"10.10.19.74"</f>
        <v>10.10.19.74</v>
      </c>
      <c r="G6511" s="1" t="str">
        <f>"0231P681"</f>
        <v>0231P681</v>
      </c>
      <c r="H6511" s="1" t="str">
        <f>"노해간 26L3"</f>
        <v>노해간 26L3</v>
      </c>
      <c r="I6511" s="1" t="s">
        <v>8</v>
      </c>
      <c r="J6511" s="1" t="str">
        <f>"26/26"</f>
        <v>26/26</v>
      </c>
      <c r="K6511" s="1" t="str">
        <f>"2026-07-29 13:18:03"</f>
        <v>2026-07-29 13:18:03</v>
      </c>
      <c r="L6511" s="1" t="str">
        <f>"2018-01-23 11:01:57"</f>
        <v>2018-01-23 11:01:57</v>
      </c>
      <c r="M6511" s="1" t="s">
        <v>1</v>
      </c>
      <c r="N6511" s="1" t="s">
        <v>38</v>
      </c>
      <c r="O6511" s="1" t="s">
        <v>46</v>
      </c>
    </row>
    <row r="6512" spans="2:15" x14ac:dyDescent="0.3">
      <c r="B6512" s="1" t="s">
        <v>22</v>
      </c>
      <c r="C6512" s="1" t="str">
        <f>"3차"</f>
        <v>3차</v>
      </c>
      <c r="D6512" s="1" t="str">
        <f>"0231P68231"</f>
        <v>0231P68231</v>
      </c>
      <c r="E6512" s="1" t="s">
        <v>10</v>
      </c>
      <c r="F6512" s="1" t="str">
        <f>"10.10.19.75"</f>
        <v>10.10.19.75</v>
      </c>
      <c r="G6512" s="1" t="str">
        <f>"0231P682"</f>
        <v>0231P682</v>
      </c>
      <c r="H6512" s="1" t="str">
        <f>"노해간 26L4"</f>
        <v>노해간 26L4</v>
      </c>
      <c r="I6512" s="1" t="s">
        <v>8</v>
      </c>
      <c r="J6512" s="1" t="str">
        <f>"34/34"</f>
        <v>34/34</v>
      </c>
      <c r="K6512" s="1" t="str">
        <f>"2026-07-29 13:18:03"</f>
        <v>2026-07-29 13:18:03</v>
      </c>
      <c r="L6512" s="1" t="str">
        <f>"2018-01-23 11:21:03"</f>
        <v>2018-01-23 11:21:03</v>
      </c>
      <c r="M6512" s="1" t="s">
        <v>1</v>
      </c>
      <c r="N6512" s="1" t="s">
        <v>38</v>
      </c>
      <c r="O6512" s="1" t="s">
        <v>46</v>
      </c>
    </row>
    <row r="6513" spans="2:15" x14ac:dyDescent="0.3">
      <c r="B6513" s="1" t="s">
        <v>22</v>
      </c>
      <c r="C6513" s="1" t="str">
        <f>"3차"</f>
        <v>3차</v>
      </c>
      <c r="D6513" s="1" t="str">
        <f>"0231P69139"</f>
        <v>0231P69139</v>
      </c>
      <c r="E6513" s="1" t="s">
        <v>10</v>
      </c>
      <c r="F6513" s="1" t="str">
        <f>"10.10.39.10"</f>
        <v>10.10.39.10</v>
      </c>
      <c r="G6513" s="1" t="str">
        <f>"0231P691"</f>
        <v>0231P691</v>
      </c>
      <c r="H6513" s="1" t="str">
        <f>"노해간 26L1"</f>
        <v>노해간 26L1</v>
      </c>
      <c r="I6513" s="1" t="s">
        <v>8</v>
      </c>
      <c r="J6513" s="1" t="str">
        <f>"70/73"</f>
        <v>70/73</v>
      </c>
      <c r="K6513" s="1" t="str">
        <f>"2026-07-29 13:18:03"</f>
        <v>2026-07-29 13:18:03</v>
      </c>
      <c r="L6513" s="1" t="str">
        <f>"2018-01-03 14:29:11"</f>
        <v>2018-01-03 14:29:11</v>
      </c>
      <c r="M6513" s="1" t="s">
        <v>1</v>
      </c>
      <c r="N6513" s="1" t="s">
        <v>38</v>
      </c>
      <c r="O6513" s="1" t="s">
        <v>46</v>
      </c>
    </row>
    <row r="6514" spans="2:15" x14ac:dyDescent="0.3">
      <c r="B6514" s="1" t="s">
        <v>22</v>
      </c>
      <c r="C6514" s="1" t="str">
        <f>"1차"</f>
        <v>1차</v>
      </c>
      <c r="D6514" s="1" t="str">
        <f>"0231P72301"</f>
        <v>0231P72301</v>
      </c>
      <c r="E6514" s="1" t="s">
        <v>10</v>
      </c>
      <c r="F6514" s="1" t="str">
        <f>"10.107.255.91"</f>
        <v>10.107.255.91</v>
      </c>
      <c r="G6514" s="1" t="str">
        <f>"0231P723"</f>
        <v>0231P723</v>
      </c>
      <c r="H6514" s="1" t="str">
        <f>"쌍이간 18R4"</f>
        <v>쌍이간 18R4</v>
      </c>
      <c r="I6514" s="1" t="s">
        <v>8</v>
      </c>
      <c r="J6514" s="1" t="str">
        <f>"9/9"</f>
        <v>9/9</v>
      </c>
      <c r="K6514" s="1" t="str">
        <f>"2026-07-29 13:18:02"</f>
        <v>2026-07-29 13:18:02</v>
      </c>
      <c r="L6514" s="1" t="str">
        <f>"2015-01-07 10:58:14"</f>
        <v>2015-01-07 10:58:14</v>
      </c>
      <c r="M6514" s="1" t="s">
        <v>45</v>
      </c>
      <c r="N6514" s="1" t="s">
        <v>38</v>
      </c>
      <c r="O6514" s="1" t="s">
        <v>46</v>
      </c>
    </row>
    <row r="6515" spans="2:15" x14ac:dyDescent="0.3">
      <c r="B6515" s="1" t="s">
        <v>22</v>
      </c>
      <c r="C6515" s="1" t="str">
        <f>"3차"</f>
        <v>3차</v>
      </c>
      <c r="D6515" s="1" t="str">
        <f>"0231P73139"</f>
        <v>0231P73139</v>
      </c>
      <c r="E6515" s="1" t="s">
        <v>10</v>
      </c>
      <c r="F6515" s="1" t="str">
        <f>"10.14.1.117"</f>
        <v>10.14.1.117</v>
      </c>
      <c r="G6515" s="1" t="str">
        <f>"0231P731"</f>
        <v>0231P731</v>
      </c>
      <c r="H6515" s="1" t="str">
        <f>"노해간 3R3R1"</f>
        <v>노해간 3R3R1</v>
      </c>
      <c r="I6515" s="1" t="s">
        <v>8</v>
      </c>
      <c r="J6515" s="1" t="str">
        <f>"27/28"</f>
        <v>27/28</v>
      </c>
      <c r="K6515" s="1" t="str">
        <f>"2026-07-29 13:18:04"</f>
        <v>2026-07-29 13:18:04</v>
      </c>
      <c r="L6515" s="1" t="str">
        <f>"2018-03-29 15:10:44"</f>
        <v>2018-03-29 15:10:44</v>
      </c>
      <c r="M6515" s="1" t="s">
        <v>3</v>
      </c>
      <c r="N6515" s="1" t="s">
        <v>38</v>
      </c>
      <c r="O6515" s="1" t="s">
        <v>46</v>
      </c>
    </row>
    <row r="6516" spans="2:15" x14ac:dyDescent="0.3">
      <c r="B6516" s="1" t="s">
        <v>22</v>
      </c>
      <c r="C6516" s="1" t="str">
        <f>"1차"</f>
        <v>1차</v>
      </c>
      <c r="D6516" s="1" t="str">
        <f>"0231P73500"</f>
        <v>0231P73500</v>
      </c>
      <c r="E6516" s="1" t="s">
        <v>10</v>
      </c>
      <c r="F6516" s="1" t="str">
        <f>"10.107.255.58"</f>
        <v>10.107.255.58</v>
      </c>
      <c r="G6516" s="1" t="str">
        <f>"0231P735"</f>
        <v>0231P735</v>
      </c>
      <c r="H6516" s="1" t="str">
        <f>"노해간 3R3"</f>
        <v>노해간 3R3</v>
      </c>
      <c r="I6516" s="1" t="s">
        <v>8</v>
      </c>
      <c r="J6516" s="1" t="str">
        <f>"28/28"</f>
        <v>28/28</v>
      </c>
      <c r="K6516" s="1" t="str">
        <f>"2026-07-29 13:18:03"</f>
        <v>2026-07-29 13:18:03</v>
      </c>
      <c r="L6516" s="1" t="str">
        <f>"2014-12-25 17:57:33"</f>
        <v>2014-12-25 17:57:33</v>
      </c>
      <c r="M6516" s="1" t="s">
        <v>45</v>
      </c>
      <c r="N6516" s="1" t="s">
        <v>38</v>
      </c>
      <c r="O6516" s="1" t="s">
        <v>46</v>
      </c>
    </row>
    <row r="6517" spans="2:15" x14ac:dyDescent="0.3">
      <c r="B6517" s="1" t="s">
        <v>22</v>
      </c>
      <c r="C6517" s="1" t="str">
        <f>"4차"</f>
        <v>4차</v>
      </c>
      <c r="D6517" s="1" t="str">
        <f>"0231P76139"</f>
        <v>0231P76139</v>
      </c>
      <c r="E6517" s="1" t="s">
        <v>10</v>
      </c>
      <c r="F6517" s="1" t="str">
        <f>"10.10.9.10"</f>
        <v>10.10.9.10</v>
      </c>
      <c r="G6517" s="1" t="str">
        <f>"0231P761"</f>
        <v>0231P761</v>
      </c>
      <c r="H6517" s="1" t="str">
        <f>"노해간 7"</f>
        <v>노해간 7</v>
      </c>
      <c r="I6517" s="1" t="s">
        <v>8</v>
      </c>
      <c r="J6517" s="1" t="str">
        <f>"35/35"</f>
        <v>35/35</v>
      </c>
      <c r="K6517" s="1" t="str">
        <f>"2026-07-29 13:18:04"</f>
        <v>2026-07-29 13:18:04</v>
      </c>
      <c r="L6517" s="1" t="str">
        <f>"2018-03-13 14:24:11"</f>
        <v>2018-03-13 14:24:11</v>
      </c>
      <c r="M6517" s="1" t="s">
        <v>1</v>
      </c>
      <c r="N6517" s="1" t="s">
        <v>38</v>
      </c>
      <c r="O6517" s="1" t="s">
        <v>46</v>
      </c>
    </row>
    <row r="6518" spans="2:15" x14ac:dyDescent="0.3">
      <c r="B6518" s="1" t="s">
        <v>22</v>
      </c>
      <c r="C6518" s="1" t="str">
        <f>"3차"</f>
        <v>3차</v>
      </c>
      <c r="D6518" s="1" t="str">
        <f>"0231P77231"</f>
        <v>0231P77231</v>
      </c>
      <c r="E6518" s="1" t="s">
        <v>10</v>
      </c>
      <c r="F6518" s="1" t="str">
        <f>"10.10.19.43"</f>
        <v>10.10.19.43</v>
      </c>
      <c r="G6518" s="1" t="str">
        <f>"0231P772"</f>
        <v>0231P772</v>
      </c>
      <c r="H6518" s="1" t="str">
        <f>"노해간 9L3"</f>
        <v>노해간 9L3</v>
      </c>
      <c r="I6518" s="1" t="s">
        <v>8</v>
      </c>
      <c r="J6518" s="1" t="str">
        <f>"54/54"</f>
        <v>54/54</v>
      </c>
      <c r="K6518" s="1" t="str">
        <f>"2026-07-29 13:18:04"</f>
        <v>2026-07-29 13:18:04</v>
      </c>
      <c r="L6518" s="1" t="str">
        <f>"2018-01-16 14:53:29"</f>
        <v>2018-01-16 14:53:29</v>
      </c>
      <c r="M6518" s="1" t="s">
        <v>1</v>
      </c>
      <c r="N6518" s="1" t="s">
        <v>38</v>
      </c>
      <c r="O6518" s="1" t="s">
        <v>46</v>
      </c>
    </row>
    <row r="6519" spans="2:15" x14ac:dyDescent="0.3">
      <c r="B6519" s="1" t="s">
        <v>22</v>
      </c>
      <c r="C6519" s="1" t="str">
        <f>"3차"</f>
        <v>3차</v>
      </c>
      <c r="D6519" s="1" t="str">
        <f>"0231P77530"</f>
        <v>0231P77530</v>
      </c>
      <c r="E6519" s="1" t="s">
        <v>10</v>
      </c>
      <c r="F6519" s="1" t="str">
        <f>"10.10.19.42"</f>
        <v>10.10.19.42</v>
      </c>
      <c r="G6519" s="1" t="str">
        <f>"0231P775"</f>
        <v>0231P775</v>
      </c>
      <c r="H6519" s="1" t="str">
        <f>"노해간 9L2"</f>
        <v>노해간 9L2</v>
      </c>
      <c r="I6519" s="1" t="s">
        <v>8</v>
      </c>
      <c r="J6519" s="1" t="str">
        <f>"44/44"</f>
        <v>44/44</v>
      </c>
      <c r="K6519" s="1" t="str">
        <f>"2026-07-29 13:18:02"</f>
        <v>2026-07-29 13:18:02</v>
      </c>
      <c r="L6519" s="1" t="str">
        <f>"2018-01-03 12:08:39"</f>
        <v>2018-01-03 12:08:39</v>
      </c>
      <c r="M6519" s="1" t="s">
        <v>1</v>
      </c>
      <c r="N6519" s="1" t="s">
        <v>38</v>
      </c>
      <c r="O6519" s="1" t="s">
        <v>46</v>
      </c>
    </row>
    <row r="6520" spans="2:15" x14ac:dyDescent="0.3">
      <c r="B6520" s="1" t="s">
        <v>22</v>
      </c>
      <c r="C6520" s="1" t="str">
        <f>"4차"</f>
        <v>4차</v>
      </c>
      <c r="D6520" s="1" t="str">
        <f>"0231P79131"</f>
        <v>0231P79131</v>
      </c>
      <c r="E6520" s="1" t="s">
        <v>10</v>
      </c>
      <c r="F6520" s="1" t="str">
        <f>"10.10.19.91"</f>
        <v>10.10.19.91</v>
      </c>
      <c r="G6520" s="1" t="str">
        <f>"0231P791"</f>
        <v>0231P791</v>
      </c>
      <c r="H6520" s="1" t="str">
        <f>"노해간 23L2"</f>
        <v>노해간 23L2</v>
      </c>
      <c r="I6520" s="1" t="s">
        <v>8</v>
      </c>
      <c r="J6520" s="1" t="str">
        <f>"75/75"</f>
        <v>75/75</v>
      </c>
      <c r="K6520" s="1" t="str">
        <f>"2026-07-29 13:18:02"</f>
        <v>2026-07-29 13:18:02</v>
      </c>
      <c r="L6520" s="1" t="str">
        <f>"2018-03-15 10:54:28"</f>
        <v>2018-03-15 10:54:28</v>
      </c>
      <c r="M6520" s="1" t="s">
        <v>1</v>
      </c>
      <c r="N6520" s="1" t="s">
        <v>38</v>
      </c>
      <c r="O6520" s="1" t="s">
        <v>46</v>
      </c>
    </row>
    <row r="6521" spans="2:15" x14ac:dyDescent="0.3">
      <c r="B6521" s="1" t="s">
        <v>22</v>
      </c>
      <c r="C6521" s="1" t="str">
        <f>"3차"</f>
        <v>3차</v>
      </c>
      <c r="D6521" s="1" t="str">
        <f>"0231P84239"</f>
        <v>0231P84239</v>
      </c>
      <c r="E6521" s="1" t="s">
        <v>10</v>
      </c>
      <c r="F6521" s="1" t="str">
        <f>"10.10.8.218"</f>
        <v>10.10.8.218</v>
      </c>
      <c r="G6521" s="1" t="str">
        <f>"0231P842"</f>
        <v>0231P842</v>
      </c>
      <c r="H6521" s="1" t="str">
        <f>"노해간 3R5R1"</f>
        <v>노해간 3R5R1</v>
      </c>
      <c r="I6521" s="1" t="s">
        <v>8</v>
      </c>
      <c r="J6521" s="1" t="str">
        <f>"60/60"</f>
        <v>60/60</v>
      </c>
      <c r="K6521" s="1" t="str">
        <f>"2026-07-29 13:18:02"</f>
        <v>2026-07-29 13:18:02</v>
      </c>
      <c r="L6521" s="1" t="str">
        <f>"2018-01-18 10:53:39"</f>
        <v>2018-01-18 10:53:39</v>
      </c>
      <c r="M6521" s="1" t="s">
        <v>1</v>
      </c>
      <c r="N6521" s="1" t="s">
        <v>38</v>
      </c>
      <c r="O6521" s="1" t="s">
        <v>46</v>
      </c>
    </row>
    <row r="6522" spans="2:15" x14ac:dyDescent="0.3">
      <c r="B6522" s="1" t="s">
        <v>22</v>
      </c>
      <c r="C6522" s="1" t="str">
        <f>"1차"</f>
        <v>1차</v>
      </c>
      <c r="D6522" s="1" t="str">
        <f>"0231P86100"</f>
        <v>0231P86100</v>
      </c>
      <c r="E6522" s="1" t="s">
        <v>10</v>
      </c>
      <c r="F6522" s="1" t="str">
        <f>"10.107.255.130"</f>
        <v>10.107.255.130</v>
      </c>
      <c r="G6522" s="1" t="str">
        <f>"0231P861"</f>
        <v>0231P861</v>
      </c>
      <c r="H6522" s="1" t="str">
        <f>"노해간 9R1"</f>
        <v>노해간 9R1</v>
      </c>
      <c r="I6522" s="1" t="s">
        <v>8</v>
      </c>
      <c r="J6522" s="1" t="str">
        <f>"32/32"</f>
        <v>32/32</v>
      </c>
      <c r="K6522" s="1" t="str">
        <f>"2026-07-29 13:18:02"</f>
        <v>2026-07-29 13:18:02</v>
      </c>
      <c r="L6522" s="1" t="str">
        <f>"2014-12-26 17:57:56"</f>
        <v>2014-12-26 17:57:56</v>
      </c>
      <c r="M6522" s="1" t="s">
        <v>45</v>
      </c>
      <c r="N6522" s="1" t="s">
        <v>38</v>
      </c>
      <c r="O6522" s="1" t="s">
        <v>46</v>
      </c>
    </row>
    <row r="6523" spans="2:15" x14ac:dyDescent="0.3">
      <c r="B6523" s="1" t="s">
        <v>22</v>
      </c>
      <c r="C6523" s="1" t="str">
        <f>"4차"</f>
        <v>4차</v>
      </c>
      <c r="D6523" s="1" t="str">
        <f>"0231P87144"</f>
        <v>0231P87144</v>
      </c>
      <c r="E6523" s="1" t="s">
        <v>10</v>
      </c>
      <c r="F6523" s="1" t="str">
        <f>"10.107.253.20"</f>
        <v>10.107.253.20</v>
      </c>
      <c r="G6523" s="1" t="str">
        <f>"0231P871"</f>
        <v>0231P871</v>
      </c>
      <c r="H6523" s="1" t="str">
        <f>"노해간 10"</f>
        <v>노해간 10</v>
      </c>
      <c r="I6523" s="1" t="s">
        <v>8</v>
      </c>
      <c r="J6523" s="1" t="str">
        <f>"27/27"</f>
        <v>27/27</v>
      </c>
      <c r="K6523" s="1" t="str">
        <f>"2026-07-29 13:18:03"</f>
        <v>2026-07-29 13:18:03</v>
      </c>
      <c r="L6523" s="1" t="str">
        <f>"2019-12-24 17:41:36"</f>
        <v>2019-12-24 17:41:36</v>
      </c>
      <c r="M6523" s="1" t="s">
        <v>45</v>
      </c>
      <c r="N6523" s="1" t="s">
        <v>38</v>
      </c>
      <c r="O6523" s="1" t="s">
        <v>46</v>
      </c>
    </row>
    <row r="6524" spans="2:15" x14ac:dyDescent="0.3">
      <c r="B6524" s="1" t="s">
        <v>22</v>
      </c>
      <c r="C6524" s="1" t="str">
        <f>"3차"</f>
        <v>3차</v>
      </c>
      <c r="D6524" s="1" t="str">
        <f>"0231P89139"</f>
        <v>0231P89139</v>
      </c>
      <c r="E6524" s="1" t="s">
        <v>10</v>
      </c>
      <c r="F6524" s="1" t="str">
        <f>"10.14.11.119"</f>
        <v>10.14.11.119</v>
      </c>
      <c r="G6524" s="1" t="str">
        <f>"0231P891"</f>
        <v>0231P891</v>
      </c>
      <c r="H6524" s="1" t="str">
        <f>"노해간 21L2"</f>
        <v>노해간 21L2</v>
      </c>
      <c r="I6524" s="1" t="s">
        <v>8</v>
      </c>
      <c r="J6524" s="1" t="str">
        <f>"5/5"</f>
        <v>5/5</v>
      </c>
      <c r="K6524" s="1" t="str">
        <f>"2026-07-29 13:18:04"</f>
        <v>2026-07-29 13:18:04</v>
      </c>
      <c r="L6524" s="1" t="str">
        <f>"2023-01-19 13:08:35"</f>
        <v>2023-01-19 13:08:35</v>
      </c>
      <c r="M6524" s="1" t="s">
        <v>3</v>
      </c>
      <c r="N6524" s="1" t="s">
        <v>38</v>
      </c>
      <c r="O6524" s="1" t="s">
        <v>46</v>
      </c>
    </row>
    <row r="6525" spans="2:15" x14ac:dyDescent="0.3">
      <c r="B6525" s="1" t="s">
        <v>22</v>
      </c>
      <c r="C6525" s="1" t="str">
        <f>"3차"</f>
        <v>3차</v>
      </c>
      <c r="D6525" s="1" t="str">
        <f>"0231P91239"</f>
        <v>0231P91239</v>
      </c>
      <c r="E6525" s="1" t="s">
        <v>10</v>
      </c>
      <c r="F6525" s="1" t="str">
        <f>"10.10.14.34"</f>
        <v>10.10.14.34</v>
      </c>
      <c r="G6525" s="1" t="str">
        <f>"0231P912"</f>
        <v>0231P912</v>
      </c>
      <c r="H6525" s="1" t="str">
        <f>"창동간 31R5"</f>
        <v>창동간 31R5</v>
      </c>
      <c r="I6525" s="1" t="s">
        <v>8</v>
      </c>
      <c r="J6525" s="1" t="str">
        <f>"44/44"</f>
        <v>44/44</v>
      </c>
      <c r="K6525" s="1" t="str">
        <f>"2026-07-29 13:18:02"</f>
        <v>2026-07-29 13:18:02</v>
      </c>
      <c r="L6525" s="1" t="str">
        <f>"2018-01-17 11:08:40"</f>
        <v>2018-01-17 11:08:40</v>
      </c>
      <c r="M6525" s="1" t="s">
        <v>1</v>
      </c>
      <c r="N6525" s="1" t="s">
        <v>38</v>
      </c>
      <c r="O6525" s="1" t="s">
        <v>46</v>
      </c>
    </row>
    <row r="6526" spans="2:15" x14ac:dyDescent="0.3">
      <c r="B6526" s="1" t="s">
        <v>22</v>
      </c>
      <c r="C6526" s="1" t="str">
        <f>"5-2차"</f>
        <v>5-2차</v>
      </c>
      <c r="D6526" s="1" t="str">
        <f>"0231P9615M"</f>
        <v>0231P9615M</v>
      </c>
      <c r="E6526" s="1" t="s">
        <v>10</v>
      </c>
      <c r="F6526" s="1" t="str">
        <f>"fde3:102:1420:5500:0:0:0:14"</f>
        <v>fde3:102:1420:5500:0:0:0:14</v>
      </c>
      <c r="G6526" s="1" t="str">
        <f>"0231P961"</f>
        <v>0231P961</v>
      </c>
      <c r="H6526" s="1" t="str">
        <f>"노해간 9R2"</f>
        <v>노해간 9R2</v>
      </c>
      <c r="I6526" s="1" t="s">
        <v>15</v>
      </c>
      <c r="J6526" s="1" t="str">
        <f>"45/45"</f>
        <v>45/45</v>
      </c>
      <c r="K6526" s="1" t="str">
        <f>"2026-07-29 14:20:42"</f>
        <v>2026-07-29 14:20:42</v>
      </c>
      <c r="L6526" s="1" t="str">
        <f>"2024-01-18 11:32:57"</f>
        <v>2024-01-18 11:32:57</v>
      </c>
      <c r="M6526" s="1" t="s">
        <v>45</v>
      </c>
      <c r="N6526" s="1" t="s">
        <v>38</v>
      </c>
      <c r="O6526" s="1" t="s">
        <v>46</v>
      </c>
    </row>
    <row r="6527" spans="2:15" x14ac:dyDescent="0.3">
      <c r="B6527" s="1" t="s">
        <v>22</v>
      </c>
      <c r="C6527" s="1" t="str">
        <f>"4차"</f>
        <v>4차</v>
      </c>
      <c r="D6527" s="1" t="str">
        <f>"0231P98644"</f>
        <v>0231P98644</v>
      </c>
      <c r="E6527" s="1" t="s">
        <v>10</v>
      </c>
      <c r="F6527" s="1" t="str">
        <f>"10.107.253.21"</f>
        <v>10.107.253.21</v>
      </c>
      <c r="G6527" s="1" t="str">
        <f>"0231P986"</f>
        <v>0231P986</v>
      </c>
      <c r="H6527" s="1" t="str">
        <f>"노해간 12"</f>
        <v>노해간 12</v>
      </c>
      <c r="I6527" s="1" t="s">
        <v>8</v>
      </c>
      <c r="J6527" s="1" t="str">
        <f>"84/84"</f>
        <v>84/84</v>
      </c>
      <c r="K6527" s="1" t="str">
        <f>"2026-07-29 13:18:03"</f>
        <v>2026-07-29 13:18:03</v>
      </c>
      <c r="L6527" s="1" t="str">
        <f>"2019-12-24 17:35:18"</f>
        <v>2019-12-24 17:35:18</v>
      </c>
      <c r="M6527" s="1" t="s">
        <v>45</v>
      </c>
      <c r="N6527" s="1" t="s">
        <v>38</v>
      </c>
      <c r="O6527" s="1" t="s">
        <v>46</v>
      </c>
    </row>
    <row r="6528" spans="2:15" x14ac:dyDescent="0.3">
      <c r="B6528" s="1" t="s">
        <v>22</v>
      </c>
      <c r="C6528" s="1" t="str">
        <f>"4차"</f>
        <v>4차</v>
      </c>
      <c r="D6528" s="1" t="str">
        <f>"0231Q02232"</f>
        <v>0231Q02232</v>
      </c>
      <c r="E6528" s="1" t="s">
        <v>10</v>
      </c>
      <c r="F6528" s="1" t="str">
        <f>"10.10.5.68"</f>
        <v>10.10.5.68</v>
      </c>
      <c r="G6528" s="1" t="str">
        <f>"0231Q022"</f>
        <v>0231Q022</v>
      </c>
      <c r="H6528" s="1" t="str">
        <f>"창동간 39R13"</f>
        <v>창동간 39R13</v>
      </c>
      <c r="I6528" s="1" t="s">
        <v>8</v>
      </c>
      <c r="J6528" s="1" t="str">
        <f>"54/61"</f>
        <v>54/61</v>
      </c>
      <c r="K6528" s="1" t="str">
        <f>"2026-07-29 13:18:02"</f>
        <v>2026-07-29 13:18:02</v>
      </c>
      <c r="L6528" s="1" t="str">
        <f>"2018-01-22 11:28:12"</f>
        <v>2018-01-22 11:28:12</v>
      </c>
      <c r="M6528" s="1" t="s">
        <v>1</v>
      </c>
      <c r="N6528" s="1" t="s">
        <v>38</v>
      </c>
      <c r="O6528" s="1" t="s">
        <v>46</v>
      </c>
    </row>
    <row r="6529" spans="2:15" x14ac:dyDescent="0.3">
      <c r="B6529" s="1" t="s">
        <v>22</v>
      </c>
      <c r="C6529" s="1" t="str">
        <f>"3차"</f>
        <v>3차</v>
      </c>
      <c r="D6529" s="1" t="str">
        <f>"0231Q03130"</f>
        <v>0231Q03130</v>
      </c>
      <c r="E6529" s="1" t="s">
        <v>10</v>
      </c>
      <c r="F6529" s="1" t="str">
        <f>"10.10.5.66"</f>
        <v>10.10.5.66</v>
      </c>
      <c r="G6529" s="1" t="str">
        <f>"0231Q031"</f>
        <v>0231Q031</v>
      </c>
      <c r="H6529" s="1" t="str">
        <f>"창동간 39R12"</f>
        <v>창동간 39R12</v>
      </c>
      <c r="I6529" s="1" t="s">
        <v>8</v>
      </c>
      <c r="J6529" s="1" t="str">
        <f>"22/22"</f>
        <v>22/22</v>
      </c>
      <c r="K6529" s="1" t="str">
        <f>"2026-07-29 13:18:04"</f>
        <v>2026-07-29 13:18:04</v>
      </c>
      <c r="L6529" s="1" t="str">
        <f>"2018-01-17 13:38:26"</f>
        <v>2018-01-17 13:38:26</v>
      </c>
      <c r="M6529" s="1" t="s">
        <v>1</v>
      </c>
      <c r="N6529" s="1" t="s">
        <v>38</v>
      </c>
      <c r="O6529" s="1" t="s">
        <v>46</v>
      </c>
    </row>
    <row r="6530" spans="2:15" x14ac:dyDescent="0.3">
      <c r="B6530" s="1" t="s">
        <v>22</v>
      </c>
      <c r="C6530" s="1" t="str">
        <f>"3차"</f>
        <v>3차</v>
      </c>
      <c r="D6530" s="1" t="str">
        <f>"0231Q13331"</f>
        <v>0231Q13331</v>
      </c>
      <c r="E6530" s="1" t="s">
        <v>10</v>
      </c>
      <c r="F6530" s="1" t="str">
        <f>"10.10.5.67"</f>
        <v>10.10.5.67</v>
      </c>
      <c r="G6530" s="1" t="str">
        <f>"0231Q133"</f>
        <v>0231Q133</v>
      </c>
      <c r="H6530" s="1" t="str">
        <f>"창동간 39R11"</f>
        <v>창동간 39R11</v>
      </c>
      <c r="I6530" s="1" t="s">
        <v>8</v>
      </c>
      <c r="J6530" s="1" t="str">
        <f>"79/79"</f>
        <v>79/79</v>
      </c>
      <c r="K6530" s="1" t="str">
        <f>"2026-07-29 13:18:02"</f>
        <v>2026-07-29 13:18:02</v>
      </c>
      <c r="L6530" s="1" t="str">
        <f>"2018-01-22 11:38:56"</f>
        <v>2018-01-22 11:38:56</v>
      </c>
      <c r="M6530" s="1" t="s">
        <v>1</v>
      </c>
      <c r="N6530" s="1" t="s">
        <v>38</v>
      </c>
      <c r="O6530" s="1" t="s">
        <v>46</v>
      </c>
    </row>
    <row r="6531" spans="2:15" x14ac:dyDescent="0.3">
      <c r="B6531" s="1" t="s">
        <v>22</v>
      </c>
      <c r="C6531" s="1" t="str">
        <f>"3차"</f>
        <v>3차</v>
      </c>
      <c r="D6531" s="1" t="str">
        <f>"0231Q15239"</f>
        <v>0231Q15239</v>
      </c>
      <c r="E6531" s="1" t="s">
        <v>14</v>
      </c>
      <c r="F6531" s="1" t="str">
        <f>"10.10.8.186"</f>
        <v>10.10.8.186</v>
      </c>
      <c r="G6531" s="1" t="str">
        <f>"0231Q152"</f>
        <v>0231Q152</v>
      </c>
      <c r="H6531" s="1" t="str">
        <f>"창동간 39R4"</f>
        <v>창동간 39R4</v>
      </c>
      <c r="I6531" s="1" t="s">
        <v>8</v>
      </c>
      <c r="J6531" s="1" t="str">
        <f>"0/0"</f>
        <v>0/0</v>
      </c>
      <c r="K6531" s="1" t="str">
        <f>"2026-07-29 13:18:02"</f>
        <v>2026-07-29 13:18:02</v>
      </c>
      <c r="L6531" s="1" t="str">
        <f>"2018-01-17 11:40:55"</f>
        <v>2018-01-17 11:40:55</v>
      </c>
      <c r="M6531" s="1" t="s">
        <v>1</v>
      </c>
      <c r="N6531" s="1" t="s">
        <v>38</v>
      </c>
      <c r="O6531" s="1" t="s">
        <v>44</v>
      </c>
    </row>
    <row r="6532" spans="2:15" x14ac:dyDescent="0.3">
      <c r="B6532" s="1" t="s">
        <v>22</v>
      </c>
      <c r="C6532" s="1" t="str">
        <f>"5-2차"</f>
        <v>5-2차</v>
      </c>
      <c r="D6532" s="1" t="str">
        <f>"0231Q2335M"</f>
        <v>0231Q2335M</v>
      </c>
      <c r="E6532" s="1" t="s">
        <v>10</v>
      </c>
      <c r="F6532" s="1" t="str">
        <f>"fde1:103:4:91fe:0:0:0:2"</f>
        <v>fde1:103:4:91fe:0:0:0:2</v>
      </c>
      <c r="G6532" s="1" t="str">
        <f>"0231Q233"</f>
        <v>0231Q233</v>
      </c>
      <c r="H6532" s="1" t="str">
        <f>"창동간 39R9"</f>
        <v>창동간 39R9</v>
      </c>
      <c r="I6532" s="1" t="s">
        <v>15</v>
      </c>
      <c r="J6532" s="1" t="str">
        <f>"42/42"</f>
        <v>42/42</v>
      </c>
      <c r="K6532" s="1" t="str">
        <f>"2026-07-29 14:20:03"</f>
        <v>2026-07-29 14:20:03</v>
      </c>
      <c r="L6532" s="1" t="str">
        <f>"2023-12-20 11:29:33"</f>
        <v>2023-12-20 11:29:33</v>
      </c>
      <c r="M6532" s="1" t="s">
        <v>4</v>
      </c>
      <c r="N6532" s="1" t="s">
        <v>38</v>
      </c>
      <c r="O6532" s="1" t="s">
        <v>46</v>
      </c>
    </row>
    <row r="6533" spans="2:15" x14ac:dyDescent="0.3">
      <c r="B6533" s="1" t="s">
        <v>22</v>
      </c>
      <c r="C6533" s="1" t="str">
        <f>"4차"</f>
        <v>4차</v>
      </c>
      <c r="D6533" s="1" t="str">
        <f>"0231Q60241"</f>
        <v>0231Q60241</v>
      </c>
      <c r="E6533" s="1" t="s">
        <v>10</v>
      </c>
      <c r="F6533" s="1" t="str">
        <f>"10.14.5.177"</f>
        <v>10.14.5.177</v>
      </c>
      <c r="G6533" s="1" t="str">
        <f>"0231Q602"</f>
        <v>0231Q602</v>
      </c>
      <c r="H6533" s="1" t="str">
        <f>"창동간 31R15L3R1"</f>
        <v>창동간 31R15L3R1</v>
      </c>
      <c r="I6533" s="1" t="s">
        <v>17</v>
      </c>
      <c r="J6533" s="1" t="str">
        <f>"1/1"</f>
        <v>1/1</v>
      </c>
      <c r="K6533" s="1" t="str">
        <f>"2026-07-29 13:18:04"</f>
        <v>2026-07-29 13:18:04</v>
      </c>
      <c r="L6533" s="1" t="str">
        <f>"2021-08-09 11:25:42"</f>
        <v>2021-08-09 11:25:42</v>
      </c>
      <c r="M6533" s="1" t="s">
        <v>3</v>
      </c>
      <c r="N6533" s="1" t="s">
        <v>38</v>
      </c>
      <c r="O6533" s="1" t="s">
        <v>46</v>
      </c>
    </row>
    <row r="6534" spans="2:15" x14ac:dyDescent="0.3">
      <c r="B6534" s="1" t="s">
        <v>22</v>
      </c>
      <c r="C6534" s="1" t="str">
        <f>"4차"</f>
        <v>4차</v>
      </c>
      <c r="D6534" s="1" t="str">
        <f>"0231Q60341"</f>
        <v>0231Q60341</v>
      </c>
      <c r="E6534" s="1" t="s">
        <v>10</v>
      </c>
      <c r="F6534" s="1" t="str">
        <f>"10.14.2.112"</f>
        <v>10.14.2.112</v>
      </c>
      <c r="G6534" s="1" t="str">
        <f>"0231Q603"</f>
        <v>0231Q603</v>
      </c>
      <c r="H6534" s="1" t="str">
        <f>"창동간 31R15L3R2"</f>
        <v>창동간 31R15L3R2</v>
      </c>
      <c r="I6534" s="1" t="s">
        <v>17</v>
      </c>
      <c r="J6534" s="1" t="str">
        <f>"21/21"</f>
        <v>21/21</v>
      </c>
      <c r="K6534" s="1" t="str">
        <f>"2026-07-29 13:18:04"</f>
        <v>2026-07-29 13:18:04</v>
      </c>
      <c r="L6534" s="1" t="str">
        <f>"2021-08-09 12:01:33"</f>
        <v>2021-08-09 12:01:33</v>
      </c>
      <c r="M6534" s="1" t="s">
        <v>3</v>
      </c>
      <c r="N6534" s="1" t="s">
        <v>38</v>
      </c>
      <c r="O6534" s="1" t="s">
        <v>46</v>
      </c>
    </row>
    <row r="6535" spans="2:15" x14ac:dyDescent="0.3">
      <c r="B6535" s="1" t="s">
        <v>22</v>
      </c>
      <c r="C6535" s="1" t="str">
        <f>"4차"</f>
        <v>4차</v>
      </c>
      <c r="D6535" s="1" t="str">
        <f>"0231R01144"</f>
        <v>0231R01144</v>
      </c>
      <c r="E6535" s="1" t="s">
        <v>10</v>
      </c>
      <c r="F6535" s="1" t="str">
        <f>"10.107.250.50"</f>
        <v>10.107.250.50</v>
      </c>
      <c r="G6535" s="1" t="str">
        <f>"0231R011"</f>
        <v>0231R011</v>
      </c>
      <c r="H6535" s="1" t="str">
        <f>"쌍이간 6L10L1"</f>
        <v>쌍이간 6L10L1</v>
      </c>
      <c r="I6535" s="1" t="s">
        <v>8</v>
      </c>
      <c r="J6535" s="1" t="str">
        <f>"58/58"</f>
        <v>58/58</v>
      </c>
      <c r="K6535" s="1" t="str">
        <f>"2026-07-29 13:18:03"</f>
        <v>2026-07-29 13:18:03</v>
      </c>
      <c r="L6535" s="1" t="str">
        <f>"2020-02-12 14:31:03"</f>
        <v>2020-02-12 14:31:03</v>
      </c>
      <c r="M6535" s="1" t="s">
        <v>45</v>
      </c>
      <c r="N6535" s="1" t="s">
        <v>38</v>
      </c>
      <c r="O6535" s="1" t="s">
        <v>46</v>
      </c>
    </row>
    <row r="6536" spans="2:15" x14ac:dyDescent="0.3">
      <c r="B6536" s="1" t="s">
        <v>22</v>
      </c>
      <c r="C6536" s="1" t="str">
        <f>"4차"</f>
        <v>4차</v>
      </c>
      <c r="D6536" s="1" t="str">
        <f>"0231R01244"</f>
        <v>0231R01244</v>
      </c>
      <c r="E6536" s="1" t="s">
        <v>10</v>
      </c>
      <c r="F6536" s="1" t="str">
        <f>"10.107.250.51"</f>
        <v>10.107.250.51</v>
      </c>
      <c r="G6536" s="1" t="str">
        <f>"0231R012"</f>
        <v>0231R012</v>
      </c>
      <c r="H6536" s="1" t="str">
        <f>"쌍이간 6L10L4"</f>
        <v>쌍이간 6L10L4</v>
      </c>
      <c r="I6536" s="1" t="s">
        <v>8</v>
      </c>
      <c r="J6536" s="1" t="str">
        <f>"31/31"</f>
        <v>31/31</v>
      </c>
      <c r="K6536" s="1" t="str">
        <f>"2026-07-29 13:18:03"</f>
        <v>2026-07-29 13:18:03</v>
      </c>
      <c r="L6536" s="1" t="str">
        <f>"2020-01-22 10:09:49"</f>
        <v>2020-01-22 10:09:49</v>
      </c>
      <c r="M6536" s="1" t="s">
        <v>45</v>
      </c>
      <c r="N6536" s="1" t="s">
        <v>38</v>
      </c>
      <c r="O6536" s="1" t="s">
        <v>46</v>
      </c>
    </row>
    <row r="6537" spans="2:15" x14ac:dyDescent="0.3">
      <c r="B6537" s="1" t="s">
        <v>22</v>
      </c>
      <c r="C6537" s="1" t="str">
        <f>"3차"</f>
        <v>3차</v>
      </c>
      <c r="D6537" s="1" t="str">
        <f>"0231R03231"</f>
        <v>0231R03231</v>
      </c>
      <c r="E6537" s="1" t="s">
        <v>10</v>
      </c>
      <c r="F6537" s="1" t="str">
        <f>"10.10.21.35"</f>
        <v>10.10.21.35</v>
      </c>
      <c r="G6537" s="1" t="str">
        <f>"0231R032"</f>
        <v>0231R032</v>
      </c>
      <c r="H6537" s="1" t="str">
        <f>"쌍이간 6L7L1"</f>
        <v>쌍이간 6L7L1</v>
      </c>
      <c r="I6537" s="1" t="s">
        <v>8</v>
      </c>
      <c r="J6537" s="1" t="str">
        <f>"6/6"</f>
        <v>6/6</v>
      </c>
      <c r="K6537" s="1" t="str">
        <f>"2026-07-29 13:18:02"</f>
        <v>2026-07-29 13:18:02</v>
      </c>
      <c r="L6537" s="1" t="str">
        <f>"2018-04-26 11:11:26"</f>
        <v>2018-04-26 11:11:26</v>
      </c>
      <c r="M6537" s="1" t="s">
        <v>1</v>
      </c>
      <c r="N6537" s="1" t="s">
        <v>38</v>
      </c>
      <c r="O6537" s="1" t="s">
        <v>46</v>
      </c>
    </row>
    <row r="6538" spans="2:15" x14ac:dyDescent="0.3">
      <c r="B6538" s="1" t="s">
        <v>22</v>
      </c>
      <c r="C6538" s="1" t="str">
        <f>"3차"</f>
        <v>3차</v>
      </c>
      <c r="D6538" s="1" t="str">
        <f>"0231R04130"</f>
        <v>0231R04130</v>
      </c>
      <c r="E6538" s="1" t="s">
        <v>10</v>
      </c>
      <c r="F6538" s="1" t="str">
        <f>"10.10.21.34"</f>
        <v>10.10.21.34</v>
      </c>
      <c r="G6538" s="1" t="str">
        <f>"0231R041"</f>
        <v>0231R041</v>
      </c>
      <c r="H6538" s="1" t="str">
        <f>"쌍이간 6L7"</f>
        <v>쌍이간 6L7</v>
      </c>
      <c r="I6538" s="1" t="s">
        <v>8</v>
      </c>
      <c r="J6538" s="1" t="str">
        <f>"32/32"</f>
        <v>32/32</v>
      </c>
      <c r="K6538" s="1" t="str">
        <f>"2026-07-29 13:18:02"</f>
        <v>2026-07-29 13:18:02</v>
      </c>
      <c r="L6538" s="1" t="str">
        <f>"2018-04-26 11:13:41"</f>
        <v>2018-04-26 11:13:41</v>
      </c>
      <c r="M6538" s="1" t="s">
        <v>1</v>
      </c>
      <c r="N6538" s="1" t="s">
        <v>38</v>
      </c>
      <c r="O6538" s="1" t="s">
        <v>46</v>
      </c>
    </row>
    <row r="6539" spans="2:15" x14ac:dyDescent="0.3">
      <c r="B6539" s="1" t="s">
        <v>22</v>
      </c>
      <c r="C6539" s="1" t="str">
        <f>"3차"</f>
        <v>3차</v>
      </c>
      <c r="D6539" s="1" t="str">
        <f>"0231R06139"</f>
        <v>0231R06139</v>
      </c>
      <c r="E6539" s="1" t="s">
        <v>10</v>
      </c>
      <c r="F6539" s="1" t="str">
        <f>"10.14.4.118"</f>
        <v>10.14.4.118</v>
      </c>
      <c r="G6539" s="1" t="str">
        <f>"0231R061"</f>
        <v>0231R061</v>
      </c>
      <c r="H6539" s="1" t="str">
        <f>"쌍이간 6L4R1"</f>
        <v>쌍이간 6L4R1</v>
      </c>
      <c r="I6539" s="1" t="s">
        <v>8</v>
      </c>
      <c r="J6539" s="1" t="str">
        <f>"55/55"</f>
        <v>55/55</v>
      </c>
      <c r="K6539" s="1" t="str">
        <f>"2026-07-29 13:18:03"</f>
        <v>2026-07-29 13:18:03</v>
      </c>
      <c r="L6539" s="1" t="str">
        <f>"2018-03-29 14:24:00"</f>
        <v>2018-03-29 14:24:00</v>
      </c>
      <c r="M6539" s="1" t="s">
        <v>3</v>
      </c>
      <c r="N6539" s="1" t="s">
        <v>38</v>
      </c>
      <c r="O6539" s="1" t="s">
        <v>46</v>
      </c>
    </row>
    <row r="6540" spans="2:15" x14ac:dyDescent="0.3">
      <c r="B6540" s="1" t="s">
        <v>22</v>
      </c>
      <c r="C6540" s="1" t="str">
        <f>"5-2차"</f>
        <v>5-2차</v>
      </c>
      <c r="D6540" s="1" t="str">
        <f>"0231R1115M"</f>
        <v>0231R1115M</v>
      </c>
      <c r="E6540" s="1" t="s">
        <v>10</v>
      </c>
      <c r="F6540" s="1" t="str">
        <f>"fde3:102:1420:6100:0:0:0:6"</f>
        <v>fde3:102:1420:6100:0:0:0:6</v>
      </c>
      <c r="G6540" s="1" t="str">
        <f>"0231R111"</f>
        <v>0231R111</v>
      </c>
      <c r="H6540" s="1" t="str">
        <f>"쌍이간 6L10L2"</f>
        <v>쌍이간 6L10L2</v>
      </c>
      <c r="I6540" s="1" t="s">
        <v>15</v>
      </c>
      <c r="J6540" s="1" t="str">
        <f>"56/56"</f>
        <v>56/56</v>
      </c>
      <c r="K6540" s="1" t="str">
        <f>"2026-07-29 14:20:42"</f>
        <v>2026-07-29 14:20:42</v>
      </c>
      <c r="L6540" s="1" t="str">
        <f>"2023-12-13 14:00:38"</f>
        <v>2023-12-13 14:00:38</v>
      </c>
      <c r="M6540" s="1" t="s">
        <v>45</v>
      </c>
      <c r="N6540" s="1" t="s">
        <v>38</v>
      </c>
      <c r="O6540" s="1" t="s">
        <v>46</v>
      </c>
    </row>
    <row r="6541" spans="2:15" x14ac:dyDescent="0.3">
      <c r="B6541" s="1" t="s">
        <v>22</v>
      </c>
      <c r="C6541" s="1" t="str">
        <f>"4차"</f>
        <v>4차</v>
      </c>
      <c r="D6541" s="1" t="str">
        <f>"0231R13230"</f>
        <v>0231R13230</v>
      </c>
      <c r="E6541" s="1" t="s">
        <v>10</v>
      </c>
      <c r="F6541" s="1" t="str">
        <f>"10.10.21.26"</f>
        <v>10.10.21.26</v>
      </c>
      <c r="G6541" s="1" t="str">
        <f>"0231R132"</f>
        <v>0231R132</v>
      </c>
      <c r="H6541" s="1" t="str">
        <f>"쌍이간 6L7L2L1"</f>
        <v>쌍이간 6L7L2L1</v>
      </c>
      <c r="I6541" s="1" t="s">
        <v>8</v>
      </c>
      <c r="J6541" s="1" t="str">
        <f>"54/54"</f>
        <v>54/54</v>
      </c>
      <c r="K6541" s="1" t="str">
        <f t="shared" ref="K6541:K6547" si="321">"2026-07-29 13:18:02"</f>
        <v>2026-07-29 13:18:02</v>
      </c>
      <c r="L6541" s="1" t="str">
        <f>"2018-03-13 15:10:41"</f>
        <v>2018-03-13 15:10:41</v>
      </c>
      <c r="M6541" s="1" t="s">
        <v>1</v>
      </c>
      <c r="N6541" s="1" t="s">
        <v>38</v>
      </c>
      <c r="O6541" s="1" t="s">
        <v>46</v>
      </c>
    </row>
    <row r="6542" spans="2:15" x14ac:dyDescent="0.3">
      <c r="B6542" s="1" t="s">
        <v>22</v>
      </c>
      <c r="C6542" s="1" t="str">
        <f>"4차"</f>
        <v>4차</v>
      </c>
      <c r="D6542" s="1" t="str">
        <f>"0231R14139"</f>
        <v>0231R14139</v>
      </c>
      <c r="E6542" s="1" t="s">
        <v>10</v>
      </c>
      <c r="F6542" s="1" t="str">
        <f>"10.10.12.130"</f>
        <v>10.10.12.130</v>
      </c>
      <c r="G6542" s="1" t="str">
        <f>"0231R141"</f>
        <v>0231R141</v>
      </c>
      <c r="H6542" s="1" t="str">
        <f>"쌍이간 6L6"</f>
        <v>쌍이간 6L6</v>
      </c>
      <c r="I6542" s="1" t="s">
        <v>8</v>
      </c>
      <c r="J6542" s="1" t="str">
        <f>"66/66"</f>
        <v>66/66</v>
      </c>
      <c r="K6542" s="1" t="str">
        <f t="shared" si="321"/>
        <v>2026-07-29 13:18:02</v>
      </c>
      <c r="L6542" s="1" t="str">
        <f>"2018-03-16 11:49:56"</f>
        <v>2018-03-16 11:49:56</v>
      </c>
      <c r="M6542" s="1" t="s">
        <v>1</v>
      </c>
      <c r="N6542" s="1" t="s">
        <v>38</v>
      </c>
      <c r="O6542" s="1" t="s">
        <v>46</v>
      </c>
    </row>
    <row r="6543" spans="2:15" x14ac:dyDescent="0.3">
      <c r="B6543" s="1" t="s">
        <v>22</v>
      </c>
      <c r="C6543" s="1" t="str">
        <f>"4차"</f>
        <v>4차</v>
      </c>
      <c r="D6543" s="1" t="str">
        <f>"0231R14231"</f>
        <v>0231R14231</v>
      </c>
      <c r="E6543" s="1" t="s">
        <v>10</v>
      </c>
      <c r="F6543" s="1" t="str">
        <f>"10.10.21.27"</f>
        <v>10.10.21.27</v>
      </c>
      <c r="G6543" s="1" t="str">
        <f>"0231R142"</f>
        <v>0231R142</v>
      </c>
      <c r="H6543" s="1" t="str">
        <f>"쌍이간 6L7L2L2"</f>
        <v>쌍이간 6L7L2L2</v>
      </c>
      <c r="I6543" s="1" t="s">
        <v>8</v>
      </c>
      <c r="J6543" s="1" t="str">
        <f>"63/63"</f>
        <v>63/63</v>
      </c>
      <c r="K6543" s="1" t="str">
        <f t="shared" si="321"/>
        <v>2026-07-29 13:18:02</v>
      </c>
      <c r="L6543" s="1" t="str">
        <f>"2023-12-27 09:23:33"</f>
        <v>2023-12-27 09:23:33</v>
      </c>
      <c r="M6543" s="1" t="s">
        <v>1</v>
      </c>
      <c r="N6543" s="1" t="s">
        <v>38</v>
      </c>
      <c r="O6543" s="1" t="s">
        <v>46</v>
      </c>
    </row>
    <row r="6544" spans="2:15" x14ac:dyDescent="0.3">
      <c r="B6544" s="1" t="s">
        <v>22</v>
      </c>
      <c r="C6544" s="1" t="str">
        <f>"3차"</f>
        <v>3차</v>
      </c>
      <c r="D6544" s="1" t="str">
        <f>"0231R16139"</f>
        <v>0231R16139</v>
      </c>
      <c r="E6544" s="1" t="s">
        <v>10</v>
      </c>
      <c r="F6544" s="1" t="str">
        <f>"10.10.19.146"</f>
        <v>10.10.19.146</v>
      </c>
      <c r="G6544" s="1" t="str">
        <f>"0231R161"</f>
        <v>0231R161</v>
      </c>
      <c r="H6544" s="1" t="str">
        <f>"쌍이간 6L4"</f>
        <v>쌍이간 6L4</v>
      </c>
      <c r="I6544" s="1" t="s">
        <v>8</v>
      </c>
      <c r="J6544" s="1" t="str">
        <f>"37/37"</f>
        <v>37/37</v>
      </c>
      <c r="K6544" s="1" t="str">
        <f t="shared" si="321"/>
        <v>2026-07-29 13:18:02</v>
      </c>
      <c r="L6544" s="1" t="str">
        <f>"2018-02-26 19:32:52"</f>
        <v>2018-02-26 19:32:52</v>
      </c>
      <c r="M6544" s="1" t="s">
        <v>1</v>
      </c>
      <c r="N6544" s="1" t="s">
        <v>38</v>
      </c>
      <c r="O6544" s="1" t="s">
        <v>46</v>
      </c>
    </row>
    <row r="6545" spans="2:15" x14ac:dyDescent="0.3">
      <c r="B6545" s="1" t="s">
        <v>22</v>
      </c>
      <c r="C6545" s="1" t="str">
        <f>"4차"</f>
        <v>4차</v>
      </c>
      <c r="D6545" s="1" t="str">
        <f>"0231R17329"</f>
        <v>0231R17329</v>
      </c>
      <c r="E6545" s="1" t="s">
        <v>10</v>
      </c>
      <c r="F6545" s="1" t="str">
        <f>"10.107.253.2"</f>
        <v>10.107.253.2</v>
      </c>
      <c r="G6545" s="1" t="str">
        <f>"0231R173"</f>
        <v>0231R173</v>
      </c>
      <c r="H6545" s="1" t="str">
        <f>"쌍이간 6L4B2"</f>
        <v>쌍이간 6L4B2</v>
      </c>
      <c r="I6545" s="1" t="s">
        <v>8</v>
      </c>
      <c r="J6545" s="1" t="str">
        <f>"65/67"</f>
        <v>65/67</v>
      </c>
      <c r="K6545" s="1" t="str">
        <f t="shared" si="321"/>
        <v>2026-07-29 13:18:02</v>
      </c>
      <c r="L6545" s="1" t="str">
        <f>"2017-08-02 11:26:09"</f>
        <v>2017-08-02 11:26:09</v>
      </c>
      <c r="M6545" s="1" t="s">
        <v>45</v>
      </c>
      <c r="N6545" s="1" t="s">
        <v>38</v>
      </c>
      <c r="O6545" s="1" t="s">
        <v>46</v>
      </c>
    </row>
    <row r="6546" spans="2:15" x14ac:dyDescent="0.3">
      <c r="B6546" s="1" t="s">
        <v>22</v>
      </c>
      <c r="C6546" s="1" t="str">
        <f>"3차"</f>
        <v>3차</v>
      </c>
      <c r="D6546" s="1" t="str">
        <f>"0231R22130"</f>
        <v>0231R22130</v>
      </c>
      <c r="E6546" s="1" t="s">
        <v>10</v>
      </c>
      <c r="F6546" s="1" t="str">
        <f>"10.10.21.18"</f>
        <v>10.10.21.18</v>
      </c>
      <c r="G6546" s="1" t="str">
        <f>"0231R221"</f>
        <v>0231R221</v>
      </c>
      <c r="H6546" s="1" t="str">
        <f>"쌍이간 6L7L3"</f>
        <v>쌍이간 6L7L3</v>
      </c>
      <c r="I6546" s="1" t="s">
        <v>8</v>
      </c>
      <c r="J6546" s="1" t="str">
        <f>"64/64"</f>
        <v>64/64</v>
      </c>
      <c r="K6546" s="1" t="str">
        <f t="shared" si="321"/>
        <v>2026-07-29 13:18:02</v>
      </c>
      <c r="L6546" s="1" t="str">
        <f>"2018-04-19 16:36:42"</f>
        <v>2018-04-19 16:36:42</v>
      </c>
      <c r="M6546" s="1" t="s">
        <v>1</v>
      </c>
      <c r="N6546" s="1" t="s">
        <v>38</v>
      </c>
      <c r="O6546" s="1" t="s">
        <v>46</v>
      </c>
    </row>
    <row r="6547" spans="2:15" x14ac:dyDescent="0.3">
      <c r="B6547" s="1" t="s">
        <v>22</v>
      </c>
      <c r="C6547" s="1" t="str">
        <f>"3차"</f>
        <v>3차</v>
      </c>
      <c r="D6547" s="1" t="str">
        <f>"0231R22239"</f>
        <v>0231R22239</v>
      </c>
      <c r="E6547" s="1" t="s">
        <v>10</v>
      </c>
      <c r="F6547" s="1" t="str">
        <f>"10.10.12.114"</f>
        <v>10.10.12.114</v>
      </c>
      <c r="G6547" s="1" t="str">
        <f>"0231R222"</f>
        <v>0231R222</v>
      </c>
      <c r="H6547" s="1" t="str">
        <f>"쌍이간 6L10L2L1"</f>
        <v>쌍이간 6L10L2L1</v>
      </c>
      <c r="I6547" s="1" t="s">
        <v>8</v>
      </c>
      <c r="J6547" s="1" t="str">
        <f>"45/45"</f>
        <v>45/45</v>
      </c>
      <c r="K6547" s="1" t="str">
        <f t="shared" si="321"/>
        <v>2026-07-29 13:18:02</v>
      </c>
      <c r="L6547" s="1" t="str">
        <f>"2018-03-26 09:35:36"</f>
        <v>2018-03-26 09:35:36</v>
      </c>
      <c r="M6547" s="1" t="s">
        <v>1</v>
      </c>
      <c r="N6547" s="1" t="s">
        <v>38</v>
      </c>
      <c r="O6547" s="1" t="s">
        <v>46</v>
      </c>
    </row>
    <row r="6548" spans="2:15" x14ac:dyDescent="0.3">
      <c r="B6548" s="1" t="s">
        <v>22</v>
      </c>
      <c r="C6548" s="1" t="str">
        <f>"4차"</f>
        <v>4차</v>
      </c>
      <c r="D6548" s="1" t="str">
        <f>"0231R23231"</f>
        <v>0231R23231</v>
      </c>
      <c r="E6548" s="1" t="s">
        <v>10</v>
      </c>
      <c r="F6548" s="1" t="str">
        <f>"10.10.21.19"</f>
        <v>10.10.21.19</v>
      </c>
      <c r="G6548" s="1" t="str">
        <f>"0231R232"</f>
        <v>0231R232</v>
      </c>
      <c r="H6548" s="1" t="str">
        <f>"쌍이간 6L7L4"</f>
        <v>쌍이간 6L7L4</v>
      </c>
      <c r="I6548" s="1" t="s">
        <v>8</v>
      </c>
      <c r="J6548" s="1" t="str">
        <f>"26/26"</f>
        <v>26/26</v>
      </c>
      <c r="K6548" s="1" t="str">
        <f>"2026-07-29 13:18:03"</f>
        <v>2026-07-29 13:18:03</v>
      </c>
      <c r="L6548" s="1" t="str">
        <f>"2018-04-19 16:47:14"</f>
        <v>2018-04-19 16:47:14</v>
      </c>
      <c r="M6548" s="1" t="s">
        <v>1</v>
      </c>
      <c r="N6548" s="1" t="s">
        <v>38</v>
      </c>
      <c r="O6548" s="1" t="s">
        <v>46</v>
      </c>
    </row>
    <row r="6549" spans="2:15" x14ac:dyDescent="0.3">
      <c r="B6549" s="1" t="s">
        <v>22</v>
      </c>
      <c r="C6549" s="1" t="str">
        <f>"3차"</f>
        <v>3차</v>
      </c>
      <c r="D6549" s="1" t="str">
        <f>"0231R24130"</f>
        <v>0231R24130</v>
      </c>
      <c r="E6549" s="1" t="s">
        <v>10</v>
      </c>
      <c r="F6549" s="1" t="str">
        <f>"10.10.40.98"</f>
        <v>10.10.40.98</v>
      </c>
      <c r="G6549" s="1" t="str">
        <f>"0231R241"</f>
        <v>0231R241</v>
      </c>
      <c r="H6549" s="1" t="str">
        <f>"쌍이간 6L7L2L3"</f>
        <v>쌍이간 6L7L2L3</v>
      </c>
      <c r="I6549" s="1" t="s">
        <v>8</v>
      </c>
      <c r="J6549" s="1" t="str">
        <f>"61/61"</f>
        <v>61/61</v>
      </c>
      <c r="K6549" s="1" t="str">
        <f>"2026-07-29 13:18:02"</f>
        <v>2026-07-29 13:18:02</v>
      </c>
      <c r="L6549" s="1" t="str">
        <f>"2018-03-24 15:12:57"</f>
        <v>2018-03-24 15:12:57</v>
      </c>
      <c r="M6549" s="1" t="s">
        <v>1</v>
      </c>
      <c r="N6549" s="1" t="s">
        <v>38</v>
      </c>
      <c r="O6549" s="1" t="s">
        <v>46</v>
      </c>
    </row>
    <row r="6550" spans="2:15" x14ac:dyDescent="0.3">
      <c r="B6550" s="1" t="s">
        <v>22</v>
      </c>
      <c r="C6550" s="1" t="str">
        <f>"4차"</f>
        <v>4차</v>
      </c>
      <c r="D6550" s="1" t="str">
        <f>"0231R25231"</f>
        <v>0231R25231</v>
      </c>
      <c r="E6550" s="1" t="s">
        <v>10</v>
      </c>
      <c r="F6550" s="1" t="str">
        <f>"10.12.135.96"</f>
        <v>10.12.135.96</v>
      </c>
      <c r="G6550" s="1" t="str">
        <f>"0231R252"</f>
        <v>0231R252</v>
      </c>
      <c r="H6550" s="1" t="str">
        <f>"쌍이간 6L7L2L4"</f>
        <v>쌍이간 6L7L2L4</v>
      </c>
      <c r="I6550" s="1" t="s">
        <v>8</v>
      </c>
      <c r="J6550" s="1" t="str">
        <f>"51/51"</f>
        <v>51/51</v>
      </c>
      <c r="K6550" s="1" t="str">
        <f>"2026-07-29 13:18:04"</f>
        <v>2026-07-29 13:18:04</v>
      </c>
      <c r="L6550" s="1" t="str">
        <f>"2024-08-29 08:40:52"</f>
        <v>2024-08-29 08:40:52</v>
      </c>
      <c r="M6550" s="1" t="s">
        <v>0</v>
      </c>
      <c r="N6550" s="1" t="s">
        <v>38</v>
      </c>
      <c r="O6550" s="1" t="s">
        <v>46</v>
      </c>
    </row>
    <row r="6551" spans="2:15" x14ac:dyDescent="0.3">
      <c r="B6551" s="1" t="s">
        <v>22</v>
      </c>
      <c r="C6551" s="1" t="str">
        <f>"1차"</f>
        <v>1차</v>
      </c>
      <c r="D6551" s="1" t="str">
        <f>"0231R26100"</f>
        <v>0231R26100</v>
      </c>
      <c r="E6551" s="1" t="s">
        <v>10</v>
      </c>
      <c r="F6551" s="1" t="str">
        <f>"10.107.255.138"</f>
        <v>10.107.255.138</v>
      </c>
      <c r="G6551" s="1" t="str">
        <f>"0231R261"</f>
        <v>0231R261</v>
      </c>
      <c r="H6551" s="1" t="str">
        <f>"쌍이간 6L3"</f>
        <v>쌍이간 6L3</v>
      </c>
      <c r="I6551" s="1" t="s">
        <v>8</v>
      </c>
      <c r="J6551" s="1" t="str">
        <f>"102/103"</f>
        <v>102/103</v>
      </c>
      <c r="K6551" s="1" t="str">
        <f t="shared" ref="K6551:K6556" si="322">"2026-07-29 13:18:03"</f>
        <v>2026-07-29 13:18:03</v>
      </c>
      <c r="L6551" s="1" t="str">
        <f>"2014-12-26 17:13:33"</f>
        <v>2014-12-26 17:13:33</v>
      </c>
      <c r="M6551" s="1" t="s">
        <v>45</v>
      </c>
      <c r="N6551" s="1" t="s">
        <v>38</v>
      </c>
      <c r="O6551" s="1" t="s">
        <v>46</v>
      </c>
    </row>
    <row r="6552" spans="2:15" x14ac:dyDescent="0.3">
      <c r="B6552" s="1" t="s">
        <v>22</v>
      </c>
      <c r="C6552" s="1" t="str">
        <f>"4차"</f>
        <v>4차</v>
      </c>
      <c r="D6552" s="1" t="str">
        <f>"0231R29144"</f>
        <v>0231R29144</v>
      </c>
      <c r="E6552" s="1" t="s">
        <v>10</v>
      </c>
      <c r="F6552" s="1" t="str">
        <f>"10.107.253.4"</f>
        <v>10.107.253.4</v>
      </c>
      <c r="G6552" s="1" t="str">
        <f>"0231R291"</f>
        <v>0231R291</v>
      </c>
      <c r="H6552" s="1" t="str">
        <f>"쌍이간 11L1"</f>
        <v>쌍이간 11L1</v>
      </c>
      <c r="I6552" s="1" t="s">
        <v>8</v>
      </c>
      <c r="J6552" s="1" t="str">
        <f>"25/25"</f>
        <v>25/25</v>
      </c>
      <c r="K6552" s="1" t="str">
        <f t="shared" si="322"/>
        <v>2026-07-29 13:18:03</v>
      </c>
      <c r="L6552" s="1" t="str">
        <f>"2019-12-13 12:09:19"</f>
        <v>2019-12-13 12:09:19</v>
      </c>
      <c r="M6552" s="1" t="s">
        <v>45</v>
      </c>
      <c r="N6552" s="1" t="s">
        <v>38</v>
      </c>
      <c r="O6552" s="1" t="s">
        <v>46</v>
      </c>
    </row>
    <row r="6553" spans="2:15" x14ac:dyDescent="0.3">
      <c r="B6553" s="1" t="s">
        <v>22</v>
      </c>
      <c r="C6553" s="1" t="str">
        <f>"3차"</f>
        <v>3차</v>
      </c>
      <c r="D6553" s="1" t="str">
        <f>"0231R33130"</f>
        <v>0231R33130</v>
      </c>
      <c r="E6553" s="1" t="s">
        <v>10</v>
      </c>
      <c r="F6553" s="1" t="str">
        <f>"10.107.249.45"</f>
        <v>10.107.249.45</v>
      </c>
      <c r="G6553" s="1" t="str">
        <f>"0231R331"</f>
        <v>0231R331</v>
      </c>
      <c r="H6553" s="1" t="str">
        <f>"쌍이간 2"</f>
        <v>쌍이간 2</v>
      </c>
      <c r="I6553" s="1" t="s">
        <v>8</v>
      </c>
      <c r="J6553" s="1" t="str">
        <f>"20/20"</f>
        <v>20/20</v>
      </c>
      <c r="K6553" s="1" t="str">
        <f t="shared" si="322"/>
        <v>2026-07-29 13:18:03</v>
      </c>
      <c r="L6553" s="1" t="str">
        <f>"2020-10-15 16:23:21"</f>
        <v>2020-10-15 16:23:21</v>
      </c>
      <c r="M6553" s="1" t="s">
        <v>45</v>
      </c>
      <c r="N6553" s="1" t="s">
        <v>38</v>
      </c>
      <c r="O6553" s="1" t="s">
        <v>46</v>
      </c>
    </row>
    <row r="6554" spans="2:15" x14ac:dyDescent="0.3">
      <c r="B6554" s="1" t="s">
        <v>22</v>
      </c>
      <c r="C6554" s="1" t="str">
        <f>"3차"</f>
        <v>3차</v>
      </c>
      <c r="D6554" s="1" t="str">
        <f>"0231R35239"</f>
        <v>0231R35239</v>
      </c>
      <c r="E6554" s="1" t="s">
        <v>10</v>
      </c>
      <c r="F6554" s="1" t="str">
        <f>"10.10.12.106"</f>
        <v>10.10.12.106</v>
      </c>
      <c r="G6554" s="1" t="str">
        <f>"0231R352"</f>
        <v>0231R352</v>
      </c>
      <c r="H6554" s="1" t="str">
        <f>"쌍이간 6A1"</f>
        <v>쌍이간 6A1</v>
      </c>
      <c r="I6554" s="1" t="s">
        <v>8</v>
      </c>
      <c r="J6554" s="1" t="str">
        <f>"59/59"</f>
        <v>59/59</v>
      </c>
      <c r="K6554" s="1" t="str">
        <f t="shared" si="322"/>
        <v>2026-07-29 13:18:03</v>
      </c>
      <c r="L6554" s="1" t="str">
        <f>"2018-05-15 16:17:42"</f>
        <v>2018-05-15 16:17:42</v>
      </c>
      <c r="M6554" s="1" t="s">
        <v>1</v>
      </c>
      <c r="N6554" s="1" t="s">
        <v>38</v>
      </c>
      <c r="O6554" s="1" t="s">
        <v>46</v>
      </c>
    </row>
    <row r="6555" spans="2:15" x14ac:dyDescent="0.3">
      <c r="B6555" s="1" t="s">
        <v>22</v>
      </c>
      <c r="C6555" s="1" t="str">
        <f>"3차"</f>
        <v>3차</v>
      </c>
      <c r="D6555" s="1" t="str">
        <f>"0231R36139"</f>
        <v>0231R36139</v>
      </c>
      <c r="E6555" s="1" t="s">
        <v>10</v>
      </c>
      <c r="F6555" s="1" t="str">
        <f>"10.10.12.122"</f>
        <v>10.10.12.122</v>
      </c>
      <c r="G6555" s="1" t="str">
        <f>"0231R361"</f>
        <v>0231R361</v>
      </c>
      <c r="H6555" s="1" t="str">
        <f>"쌍이간 6L2"</f>
        <v>쌍이간 6L2</v>
      </c>
      <c r="I6555" s="1" t="s">
        <v>8</v>
      </c>
      <c r="J6555" s="1" t="str">
        <f>"47/47"</f>
        <v>47/47</v>
      </c>
      <c r="K6555" s="1" t="str">
        <f t="shared" si="322"/>
        <v>2026-07-29 13:18:03</v>
      </c>
      <c r="L6555" s="1" t="str">
        <f>"2018-02-12 17:55:42"</f>
        <v>2018-02-12 17:55:42</v>
      </c>
      <c r="M6555" s="1" t="s">
        <v>1</v>
      </c>
      <c r="N6555" s="1" t="s">
        <v>38</v>
      </c>
      <c r="O6555" s="1" t="s">
        <v>46</v>
      </c>
    </row>
    <row r="6556" spans="2:15" x14ac:dyDescent="0.3">
      <c r="B6556" s="1" t="s">
        <v>22</v>
      </c>
      <c r="C6556" s="1" t="str">
        <f>"3차"</f>
        <v>3차</v>
      </c>
      <c r="D6556" s="1" t="str">
        <f>"0231R37139"</f>
        <v>0231R37139</v>
      </c>
      <c r="E6556" s="1" t="s">
        <v>10</v>
      </c>
      <c r="F6556" s="1" t="str">
        <f>"10.10.12.218"</f>
        <v>10.10.12.218</v>
      </c>
      <c r="G6556" s="1" t="str">
        <f>"0231R371"</f>
        <v>0231R371</v>
      </c>
      <c r="H6556" s="1" t="str">
        <f>"쌍이간 8"</f>
        <v>쌍이간 8</v>
      </c>
      <c r="I6556" s="1" t="s">
        <v>8</v>
      </c>
      <c r="J6556" s="1" t="str">
        <f>"15/15"</f>
        <v>15/15</v>
      </c>
      <c r="K6556" s="1" t="str">
        <f t="shared" si="322"/>
        <v>2026-07-29 13:18:03</v>
      </c>
      <c r="L6556" s="1" t="str">
        <f>"2018-01-22 18:13:57"</f>
        <v>2018-01-22 18:13:57</v>
      </c>
      <c r="M6556" s="1" t="s">
        <v>1</v>
      </c>
      <c r="N6556" s="1" t="s">
        <v>38</v>
      </c>
      <c r="O6556" s="1" t="s">
        <v>46</v>
      </c>
    </row>
    <row r="6557" spans="2:15" x14ac:dyDescent="0.3">
      <c r="B6557" s="1" t="s">
        <v>22</v>
      </c>
      <c r="C6557" s="1" t="str">
        <f>"1차"</f>
        <v>1차</v>
      </c>
      <c r="D6557" s="1" t="str">
        <f>"0231R38301"</f>
        <v>0231R38301</v>
      </c>
      <c r="E6557" s="1" t="s">
        <v>10</v>
      </c>
      <c r="F6557" s="1" t="str">
        <f>"10.107.255.51"</f>
        <v>10.107.255.51</v>
      </c>
      <c r="G6557" s="1" t="str">
        <f>"0231R383"</f>
        <v>0231R383</v>
      </c>
      <c r="H6557" s="1" t="str">
        <f>"쌍이간 9"</f>
        <v>쌍이간 9</v>
      </c>
      <c r="I6557" s="1" t="s">
        <v>8</v>
      </c>
      <c r="J6557" s="1" t="str">
        <f>"95/95"</f>
        <v>95/95</v>
      </c>
      <c r="K6557" s="1" t="str">
        <f>"2026-07-29 13:18:06"</f>
        <v>2026-07-29 13:18:06</v>
      </c>
      <c r="L6557" s="1" t="str">
        <f>"2019-11-08 17:16:43"</f>
        <v>2019-11-08 17:16:43</v>
      </c>
      <c r="M6557" s="1" t="s">
        <v>45</v>
      </c>
      <c r="N6557" s="1" t="s">
        <v>38</v>
      </c>
      <c r="O6557" s="1" t="s">
        <v>46</v>
      </c>
    </row>
    <row r="6558" spans="2:15" x14ac:dyDescent="0.3">
      <c r="B6558" s="1" t="s">
        <v>22</v>
      </c>
      <c r="C6558" s="1" t="str">
        <f>"1차"</f>
        <v>1차</v>
      </c>
      <c r="D6558" s="1" t="str">
        <f>"0231R39200"</f>
        <v>0231R39200</v>
      </c>
      <c r="E6558" s="1" t="s">
        <v>10</v>
      </c>
      <c r="F6558" s="1" t="str">
        <f>"10.107.255.50"</f>
        <v>10.107.255.50</v>
      </c>
      <c r="G6558" s="1" t="str">
        <f>"0231R392"</f>
        <v>0231R392</v>
      </c>
      <c r="H6558" s="1" t="str">
        <f>"쌍이간 11"</f>
        <v>쌍이간 11</v>
      </c>
      <c r="I6558" s="1" t="s">
        <v>8</v>
      </c>
      <c r="J6558" s="1" t="str">
        <f>"24/24"</f>
        <v>24/24</v>
      </c>
      <c r="K6558" s="1" t="str">
        <f>"2026-07-29 13:18:03"</f>
        <v>2026-07-29 13:18:03</v>
      </c>
      <c r="L6558" s="1" t="str">
        <f>"2014-12-31 12:28:08"</f>
        <v>2014-12-31 12:28:08</v>
      </c>
      <c r="M6558" s="1" t="s">
        <v>45</v>
      </c>
      <c r="N6558" s="1" t="s">
        <v>38</v>
      </c>
      <c r="O6558" s="1" t="s">
        <v>46</v>
      </c>
    </row>
    <row r="6559" spans="2:15" x14ac:dyDescent="0.3">
      <c r="B6559" s="1" t="s">
        <v>22</v>
      </c>
      <c r="C6559" s="1" t="str">
        <f>"1차"</f>
        <v>1차</v>
      </c>
      <c r="D6559" s="1" t="str">
        <f>"0231R47101"</f>
        <v>0231R47101</v>
      </c>
      <c r="E6559" s="1" t="s">
        <v>10</v>
      </c>
      <c r="F6559" s="1" t="str">
        <f>"10.107.249.44"</f>
        <v>10.107.249.44</v>
      </c>
      <c r="G6559" s="1" t="str">
        <f>"0231R471"</f>
        <v>0231R471</v>
      </c>
      <c r="H6559" s="1" t="str">
        <f>"쌍이간 15R9"</f>
        <v>쌍이간 15R9</v>
      </c>
      <c r="I6559" s="1" t="s">
        <v>8</v>
      </c>
      <c r="J6559" s="1" t="str">
        <f>"56/56"</f>
        <v>56/56</v>
      </c>
      <c r="K6559" s="1" t="str">
        <f>"2026-07-29 13:18:03"</f>
        <v>2026-07-29 13:18:03</v>
      </c>
      <c r="L6559" s="1" t="str">
        <f>"2015-01-01 00:13:57"</f>
        <v>2015-01-01 00:13:57</v>
      </c>
      <c r="M6559" s="1" t="s">
        <v>45</v>
      </c>
      <c r="N6559" s="1" t="s">
        <v>38</v>
      </c>
      <c r="O6559" s="1" t="s">
        <v>46</v>
      </c>
    </row>
    <row r="6560" spans="2:15" x14ac:dyDescent="0.3">
      <c r="B6560" s="1" t="s">
        <v>22</v>
      </c>
      <c r="C6560" s="1" t="str">
        <f>"1차"</f>
        <v>1차</v>
      </c>
      <c r="D6560" s="1" t="str">
        <f>"0231R47200"</f>
        <v>0231R47200</v>
      </c>
      <c r="E6560" s="1" t="s">
        <v>10</v>
      </c>
      <c r="F6560" s="1" t="str">
        <f>"10.107.255.34"</f>
        <v>10.107.255.34</v>
      </c>
      <c r="G6560" s="1" t="str">
        <f>"0231R472"</f>
        <v>0231R472</v>
      </c>
      <c r="H6560" s="1" t="str">
        <f>"쌍이간 15R8"</f>
        <v>쌍이간 15R8</v>
      </c>
      <c r="I6560" s="1" t="s">
        <v>8</v>
      </c>
      <c r="J6560" s="1" t="str">
        <f>"32/32"</f>
        <v>32/32</v>
      </c>
      <c r="K6560" s="1" t="str">
        <f>"2026-07-29 13:18:03"</f>
        <v>2026-07-29 13:18:03</v>
      </c>
      <c r="L6560" s="1" t="str">
        <f>"2015-01-01 00:14:10"</f>
        <v>2015-01-01 00:14:10</v>
      </c>
      <c r="M6560" s="1" t="s">
        <v>45</v>
      </c>
      <c r="N6560" s="1" t="s">
        <v>38</v>
      </c>
      <c r="O6560" s="1" t="s">
        <v>46</v>
      </c>
    </row>
    <row r="6561" spans="2:15" x14ac:dyDescent="0.3">
      <c r="B6561" s="1" t="s">
        <v>22</v>
      </c>
      <c r="C6561" s="1" t="str">
        <f>"4차"</f>
        <v>4차</v>
      </c>
      <c r="D6561" s="1" t="str">
        <f>"0231R48242"</f>
        <v>0231R48242</v>
      </c>
      <c r="E6561" s="1" t="s">
        <v>10</v>
      </c>
      <c r="F6561" s="1" t="str">
        <f>"10.12.134.127"</f>
        <v>10.12.134.127</v>
      </c>
      <c r="G6561" s="1" t="str">
        <f>"0231R482"</f>
        <v>0231R482</v>
      </c>
      <c r="H6561" s="1" t="str">
        <f>"쌍이간 11R1"</f>
        <v>쌍이간 11R1</v>
      </c>
      <c r="I6561" s="1" t="s">
        <v>8</v>
      </c>
      <c r="J6561" s="1" t="str">
        <f>"146/146"</f>
        <v>146/146</v>
      </c>
      <c r="K6561" s="1" t="str">
        <f>"2026-07-29 13:18:04"</f>
        <v>2026-07-29 13:18:04</v>
      </c>
      <c r="L6561" s="1" t="str">
        <f>"2024-04-30 18:12:13"</f>
        <v>2024-04-30 18:12:13</v>
      </c>
      <c r="M6561" s="1" t="s">
        <v>0</v>
      </c>
      <c r="N6561" s="1" t="s">
        <v>38</v>
      </c>
      <c r="O6561" s="1" t="s">
        <v>46</v>
      </c>
    </row>
    <row r="6562" spans="2:15" x14ac:dyDescent="0.3">
      <c r="B6562" s="1" t="s">
        <v>22</v>
      </c>
      <c r="C6562" s="1" t="str">
        <f>"4차"</f>
        <v>4차</v>
      </c>
      <c r="D6562" s="1" t="str">
        <f>"0231R52144"</f>
        <v>0231R52144</v>
      </c>
      <c r="E6562" s="1" t="s">
        <v>10</v>
      </c>
      <c r="F6562" s="1" t="str">
        <f>"10.107.17.38"</f>
        <v>10.107.17.38</v>
      </c>
      <c r="G6562" s="1" t="str">
        <f>"0231R521"</f>
        <v>0231R521</v>
      </c>
      <c r="H6562" s="1" t="str">
        <f>"창동간 17R3A3"</f>
        <v>창동간 17R3A3</v>
      </c>
      <c r="I6562" s="1" t="s">
        <v>8</v>
      </c>
      <c r="J6562" s="1" t="str">
        <f>"22/22"</f>
        <v>22/22</v>
      </c>
      <c r="K6562" s="1" t="str">
        <f>"2026-07-29 13:18:03"</f>
        <v>2026-07-29 13:18:03</v>
      </c>
      <c r="L6562" s="1" t="str">
        <f>"2019-12-13 09:14:13"</f>
        <v>2019-12-13 09:14:13</v>
      </c>
      <c r="M6562" s="1" t="s">
        <v>45</v>
      </c>
      <c r="N6562" s="1" t="s">
        <v>38</v>
      </c>
      <c r="O6562" s="1" t="s">
        <v>46</v>
      </c>
    </row>
    <row r="6563" spans="2:15" x14ac:dyDescent="0.3">
      <c r="B6563" s="1" t="s">
        <v>22</v>
      </c>
      <c r="C6563" s="1" t="str">
        <f>"1차"</f>
        <v>1차</v>
      </c>
      <c r="D6563" s="1" t="str">
        <f>"0231R58101"</f>
        <v>0231R58101</v>
      </c>
      <c r="E6563" s="1" t="s">
        <v>10</v>
      </c>
      <c r="F6563" s="1" t="str">
        <f>"10.107.249.43"</f>
        <v>10.107.249.43</v>
      </c>
      <c r="G6563" s="1" t="str">
        <f>"0231R581"</f>
        <v>0231R581</v>
      </c>
      <c r="H6563" s="1" t="str">
        <f>"쌍이간 15R7"</f>
        <v>쌍이간 15R7</v>
      </c>
      <c r="I6563" s="1" t="s">
        <v>8</v>
      </c>
      <c r="J6563" s="1" t="str">
        <f>"79/79"</f>
        <v>79/79</v>
      </c>
      <c r="K6563" s="1" t="str">
        <f>"2026-07-29 13:18:01"</f>
        <v>2026-07-29 13:18:01</v>
      </c>
      <c r="L6563" s="1" t="str">
        <f>"2014-12-31 12:13:10"</f>
        <v>2014-12-31 12:13:10</v>
      </c>
      <c r="M6563" s="1" t="s">
        <v>45</v>
      </c>
      <c r="N6563" s="1" t="s">
        <v>38</v>
      </c>
      <c r="O6563" s="1" t="s">
        <v>46</v>
      </c>
    </row>
    <row r="6564" spans="2:15" x14ac:dyDescent="0.3">
      <c r="B6564" s="1" t="s">
        <v>22</v>
      </c>
      <c r="C6564" s="1" t="str">
        <f>"4차"</f>
        <v>4차</v>
      </c>
      <c r="D6564" s="1" t="str">
        <f>"0231R62144"</f>
        <v>0231R62144</v>
      </c>
      <c r="E6564" s="1" t="s">
        <v>10</v>
      </c>
      <c r="F6564" s="1" t="str">
        <f>"10.107.17.39"</f>
        <v>10.107.17.39</v>
      </c>
      <c r="G6564" s="1" t="str">
        <f>"0231R621"</f>
        <v>0231R621</v>
      </c>
      <c r="H6564" s="1" t="str">
        <f>"창동간 21R3"</f>
        <v>창동간 21R3</v>
      </c>
      <c r="I6564" s="1" t="s">
        <v>8</v>
      </c>
      <c r="J6564" s="1" t="str">
        <f>"45/45"</f>
        <v>45/45</v>
      </c>
      <c r="K6564" s="1" t="str">
        <f>"2026-07-29 13:18:03"</f>
        <v>2026-07-29 13:18:03</v>
      </c>
      <c r="L6564" s="1" t="str">
        <f>"2019-12-13 09:13:20"</f>
        <v>2019-12-13 09:13:20</v>
      </c>
      <c r="M6564" s="1" t="s">
        <v>45</v>
      </c>
      <c r="N6564" s="1" t="s">
        <v>38</v>
      </c>
      <c r="O6564" s="1" t="s">
        <v>46</v>
      </c>
    </row>
    <row r="6565" spans="2:15" x14ac:dyDescent="0.3">
      <c r="B6565" s="1" t="s">
        <v>22</v>
      </c>
      <c r="C6565" s="1" t="str">
        <f>"3차"</f>
        <v>3차</v>
      </c>
      <c r="D6565" s="1" t="str">
        <f>"0231R62239"</f>
        <v>0231R62239</v>
      </c>
      <c r="E6565" s="1" t="s">
        <v>10</v>
      </c>
      <c r="F6565" s="1" t="str">
        <f>"10.10.12.194"</f>
        <v>10.10.12.194</v>
      </c>
      <c r="G6565" s="1" t="str">
        <f>"0231R622"</f>
        <v>0231R622</v>
      </c>
      <c r="H6565" s="1" t="str">
        <f>"쌍문SW 45R4R1"</f>
        <v>쌍문SW 45R4R1</v>
      </c>
      <c r="I6565" s="1" t="s">
        <v>8</v>
      </c>
      <c r="J6565" s="1" t="str">
        <f>"64/64"</f>
        <v>64/64</v>
      </c>
      <c r="K6565" s="1" t="str">
        <f>"2026-07-29 13:18:03"</f>
        <v>2026-07-29 13:18:03</v>
      </c>
      <c r="L6565" s="1" t="str">
        <f>"2018-01-16 10:36:24"</f>
        <v>2018-01-16 10:36:24</v>
      </c>
      <c r="M6565" s="1" t="s">
        <v>1</v>
      </c>
      <c r="N6565" s="1" t="s">
        <v>38</v>
      </c>
      <c r="O6565" s="1" t="s">
        <v>46</v>
      </c>
    </row>
    <row r="6566" spans="2:15" x14ac:dyDescent="0.3">
      <c r="B6566" s="1" t="s">
        <v>22</v>
      </c>
      <c r="C6566" s="1" t="str">
        <f>"4차"</f>
        <v>4차</v>
      </c>
      <c r="D6566" s="1" t="str">
        <f>"0231R72244"</f>
        <v>0231R72244</v>
      </c>
      <c r="E6566" s="1" t="s">
        <v>10</v>
      </c>
      <c r="F6566" s="1" t="str">
        <f>"10.107.17.40"</f>
        <v>10.107.17.40</v>
      </c>
      <c r="G6566" s="1" t="str">
        <f>"0231R722"</f>
        <v>0231R722</v>
      </c>
      <c r="H6566" s="1" t="str">
        <f>"쌍문SW 45R6"</f>
        <v>쌍문SW 45R6</v>
      </c>
      <c r="I6566" s="1" t="s">
        <v>8</v>
      </c>
      <c r="J6566" s="1" t="str">
        <f>"27/27"</f>
        <v>27/27</v>
      </c>
      <c r="K6566" s="1" t="str">
        <f>"2026-07-29 13:18:03"</f>
        <v>2026-07-29 13:18:03</v>
      </c>
      <c r="L6566" s="1" t="str">
        <f>"2019-12-13 12:09:19"</f>
        <v>2019-12-13 12:09:19</v>
      </c>
      <c r="M6566" s="1" t="s">
        <v>45</v>
      </c>
      <c r="N6566" s="1" t="s">
        <v>38</v>
      </c>
      <c r="O6566" s="1" t="s">
        <v>46</v>
      </c>
    </row>
    <row r="6567" spans="2:15" x14ac:dyDescent="0.3">
      <c r="B6567" s="1" t="s">
        <v>22</v>
      </c>
      <c r="C6567" s="1" t="str">
        <f>"3차"</f>
        <v>3차</v>
      </c>
      <c r="D6567" s="1" t="str">
        <f>"0231R77139"</f>
        <v>0231R77139</v>
      </c>
      <c r="E6567" s="1" t="s">
        <v>10</v>
      </c>
      <c r="F6567" s="1" t="str">
        <f>"10.10.12.26"</f>
        <v>10.10.12.26</v>
      </c>
      <c r="G6567" s="1" t="str">
        <f>"0231R771"</f>
        <v>0231R771</v>
      </c>
      <c r="H6567" s="1" t="str">
        <f>"쌍문SW 48R5"</f>
        <v>쌍문SW 48R5</v>
      </c>
      <c r="I6567" s="1" t="s">
        <v>8</v>
      </c>
      <c r="J6567" s="1" t="str">
        <f>"30/34"</f>
        <v>30/34</v>
      </c>
      <c r="K6567" s="1" t="str">
        <f>"2026-07-29 13:18:03"</f>
        <v>2026-07-29 13:18:03</v>
      </c>
      <c r="L6567" s="1" t="str">
        <f>"2018-01-16 13:51:11"</f>
        <v>2018-01-16 13:51:11</v>
      </c>
      <c r="M6567" s="1" t="s">
        <v>1</v>
      </c>
      <c r="N6567" s="1" t="s">
        <v>38</v>
      </c>
      <c r="O6567" s="1" t="s">
        <v>46</v>
      </c>
    </row>
    <row r="6568" spans="2:15" x14ac:dyDescent="0.3">
      <c r="B6568" s="1" t="s">
        <v>22</v>
      </c>
      <c r="C6568" s="1" t="str">
        <f>"4차"</f>
        <v>4차</v>
      </c>
      <c r="D6568" s="1" t="str">
        <f>"0231R81144"</f>
        <v>0231R81144</v>
      </c>
      <c r="E6568" s="1" t="s">
        <v>10</v>
      </c>
      <c r="F6568" s="1" t="str">
        <f>"10.107.17.41"</f>
        <v>10.107.17.41</v>
      </c>
      <c r="G6568" s="1" t="str">
        <f>"0231R811"</f>
        <v>0231R811</v>
      </c>
      <c r="H6568" s="1" t="str">
        <f>"쌍문SW 45R7"</f>
        <v>쌍문SW 45R7</v>
      </c>
      <c r="I6568" s="1" t="s">
        <v>8</v>
      </c>
      <c r="J6568" s="1" t="str">
        <f>"10/10"</f>
        <v>10/10</v>
      </c>
      <c r="K6568" s="1" t="str">
        <f>"2026-07-29 13:18:01"</f>
        <v>2026-07-29 13:18:01</v>
      </c>
      <c r="L6568" s="1" t="str">
        <f>"2019-12-13 09:12:30"</f>
        <v>2019-12-13 09:12:30</v>
      </c>
      <c r="M6568" s="1" t="s">
        <v>45</v>
      </c>
      <c r="N6568" s="1" t="s">
        <v>38</v>
      </c>
      <c r="O6568" s="1" t="s">
        <v>46</v>
      </c>
    </row>
    <row r="6569" spans="2:15" x14ac:dyDescent="0.3">
      <c r="B6569" s="1" t="s">
        <v>22</v>
      </c>
      <c r="C6569" s="1" t="str">
        <f>"3차"</f>
        <v>3차</v>
      </c>
      <c r="D6569" s="1" t="str">
        <f>"0231R88130"</f>
        <v>0231R88130</v>
      </c>
      <c r="E6569" s="1" t="s">
        <v>14</v>
      </c>
      <c r="F6569" s="1" t="str">
        <f>"10.10.5.90"</f>
        <v>10.10.5.90</v>
      </c>
      <c r="G6569" s="1" t="str">
        <f>"0231R881"</f>
        <v>0231R881</v>
      </c>
      <c r="H6569" s="1" t="str">
        <f>"쌍문SW 48R2"</f>
        <v>쌍문SW 48R2</v>
      </c>
      <c r="I6569" s="1" t="s">
        <v>8</v>
      </c>
      <c r="J6569" s="1" t="str">
        <f>"0/0"</f>
        <v>0/0</v>
      </c>
      <c r="K6569" s="1" t="str">
        <f>"2026-05-17 07:18:03"</f>
        <v>2026-05-17 07:18:03</v>
      </c>
      <c r="L6569" s="1" t="str">
        <f>"2018-03-28 14:16:20"</f>
        <v>2018-03-28 14:16:20</v>
      </c>
      <c r="M6569" s="1" t="s">
        <v>1</v>
      </c>
      <c r="N6569" s="1" t="s">
        <v>44</v>
      </c>
      <c r="O6569" s="1" t="s">
        <v>44</v>
      </c>
    </row>
    <row r="6570" spans="2:15" x14ac:dyDescent="0.3">
      <c r="B6570" s="1" t="s">
        <v>22</v>
      </c>
      <c r="C6570" s="1" t="str">
        <f>"3차"</f>
        <v>3차</v>
      </c>
      <c r="D6570" s="1" t="str">
        <f>"0231R88330"</f>
        <v>0231R88330</v>
      </c>
      <c r="E6570" s="1" t="s">
        <v>10</v>
      </c>
      <c r="F6570" s="1" t="str">
        <f>"10.10.5.82"</f>
        <v>10.10.5.82</v>
      </c>
      <c r="G6570" s="1" t="str">
        <f>"0231R883"</f>
        <v>0231R883</v>
      </c>
      <c r="H6570" s="1" t="str">
        <f>"쌍문SW 48R2L1"</f>
        <v>쌍문SW 48R2L1</v>
      </c>
      <c r="I6570" s="1" t="s">
        <v>8</v>
      </c>
      <c r="J6570" s="1" t="str">
        <f>"39/39"</f>
        <v>39/39</v>
      </c>
      <c r="K6570" s="1" t="str">
        <f>"2026-07-29 13:18:01"</f>
        <v>2026-07-29 13:18:01</v>
      </c>
      <c r="L6570" s="1" t="str">
        <f>"2018-01-16 13:51:26"</f>
        <v>2018-01-16 13:51:26</v>
      </c>
      <c r="M6570" s="1" t="s">
        <v>1</v>
      </c>
      <c r="N6570" s="1" t="s">
        <v>38</v>
      </c>
      <c r="O6570" s="1" t="s">
        <v>46</v>
      </c>
    </row>
    <row r="6571" spans="2:15" x14ac:dyDescent="0.3">
      <c r="B6571" s="1" t="s">
        <v>22</v>
      </c>
      <c r="C6571" s="1" t="str">
        <f>"3차"</f>
        <v>3차</v>
      </c>
      <c r="D6571" s="1" t="str">
        <f>"0231R89139"</f>
        <v>0231R89139</v>
      </c>
      <c r="E6571" s="1" t="s">
        <v>10</v>
      </c>
      <c r="F6571" s="1" t="str">
        <f>"10.107.249.75"</f>
        <v>10.107.249.75</v>
      </c>
      <c r="G6571" s="1" t="str">
        <f>"0231R891"</f>
        <v>0231R891</v>
      </c>
      <c r="H6571" s="1" t="str">
        <f>"창동간 28R2"</f>
        <v>창동간 28R2</v>
      </c>
      <c r="I6571" s="1" t="s">
        <v>8</v>
      </c>
      <c r="J6571" s="1" t="str">
        <f>"2/2"</f>
        <v>2/2</v>
      </c>
      <c r="K6571" s="1" t="str">
        <f>"2026-07-29 13:18:01"</f>
        <v>2026-07-29 13:18:01</v>
      </c>
      <c r="L6571" s="1" t="str">
        <f>"2018-01-16 10:59:09"</f>
        <v>2018-01-16 10:59:09</v>
      </c>
      <c r="M6571" s="1" t="s">
        <v>45</v>
      </c>
      <c r="N6571" s="1" t="s">
        <v>38</v>
      </c>
      <c r="O6571" s="1" t="s">
        <v>46</v>
      </c>
    </row>
    <row r="6572" spans="2:15" x14ac:dyDescent="0.3">
      <c r="B6572" s="1" t="s">
        <v>22</v>
      </c>
      <c r="C6572" s="1" t="str">
        <f>"4차"</f>
        <v>4차</v>
      </c>
      <c r="D6572" s="1" t="str">
        <f>"0231R92144"</f>
        <v>0231R92144</v>
      </c>
      <c r="E6572" s="1" t="s">
        <v>10</v>
      </c>
      <c r="F6572" s="1" t="str">
        <f>"10.107.17.42"</f>
        <v>10.107.17.42</v>
      </c>
      <c r="G6572" s="1" t="str">
        <f>"0231R921"</f>
        <v>0231R921</v>
      </c>
      <c r="H6572" s="1" t="str">
        <f>"쌍문SW 45R9"</f>
        <v>쌍문SW 45R9</v>
      </c>
      <c r="I6572" s="1" t="s">
        <v>8</v>
      </c>
      <c r="J6572" s="1" t="str">
        <f>"28/28"</f>
        <v>28/28</v>
      </c>
      <c r="K6572" s="1" t="str">
        <f>"2026-07-29 13:18:03"</f>
        <v>2026-07-29 13:18:03</v>
      </c>
      <c r="L6572" s="1" t="str">
        <f>"2019-12-13 09:15:33"</f>
        <v>2019-12-13 09:15:33</v>
      </c>
      <c r="M6572" s="1" t="s">
        <v>45</v>
      </c>
      <c r="N6572" s="1" t="s">
        <v>38</v>
      </c>
      <c r="O6572" s="1" t="s">
        <v>46</v>
      </c>
    </row>
    <row r="6573" spans="2:15" x14ac:dyDescent="0.3">
      <c r="B6573" s="1" t="s">
        <v>22</v>
      </c>
      <c r="C6573" s="1" t="str">
        <f>"4차"</f>
        <v>4차</v>
      </c>
      <c r="D6573" s="1" t="str">
        <f>"0231R96139"</f>
        <v>0231R96139</v>
      </c>
      <c r="E6573" s="1" t="s">
        <v>10</v>
      </c>
      <c r="F6573" s="1" t="str">
        <f>"10.10.8.242"</f>
        <v>10.10.8.242</v>
      </c>
      <c r="G6573" s="1" t="str">
        <f>"0231R961"</f>
        <v>0231R961</v>
      </c>
      <c r="H6573" s="1" t="str">
        <f>"쌍문SW 48R2L3"</f>
        <v>쌍문SW 48R2L3</v>
      </c>
      <c r="I6573" s="1" t="s">
        <v>8</v>
      </c>
      <c r="J6573" s="1" t="str">
        <f>"27/27"</f>
        <v>27/27</v>
      </c>
      <c r="K6573" s="1" t="str">
        <f>"2026-07-29 13:18:01"</f>
        <v>2026-07-29 13:18:01</v>
      </c>
      <c r="L6573" s="1" t="str">
        <f>"2018-01-16 13:54:40"</f>
        <v>2018-01-16 13:54:40</v>
      </c>
      <c r="M6573" s="1" t="s">
        <v>1</v>
      </c>
      <c r="N6573" s="1" t="s">
        <v>38</v>
      </c>
      <c r="O6573" s="1" t="s">
        <v>46</v>
      </c>
    </row>
    <row r="6574" spans="2:15" x14ac:dyDescent="0.3">
      <c r="B6574" s="1" t="s">
        <v>22</v>
      </c>
      <c r="C6574" s="1" t="str">
        <f>"4차"</f>
        <v>4차</v>
      </c>
      <c r="D6574" s="1" t="str">
        <f>"0231R97131"</f>
        <v>0231R97131</v>
      </c>
      <c r="E6574" s="1" t="s">
        <v>10</v>
      </c>
      <c r="F6574" s="1" t="str">
        <f>"10.10.5.83"</f>
        <v>10.10.5.83</v>
      </c>
      <c r="G6574" s="1" t="str">
        <f>"0231R971"</f>
        <v>0231R971</v>
      </c>
      <c r="H6574" s="1" t="str">
        <f>"쌍문SW 48R2L2"</f>
        <v>쌍문SW 48R2L2</v>
      </c>
      <c r="I6574" s="1" t="s">
        <v>8</v>
      </c>
      <c r="J6574" s="1" t="str">
        <f>"75/75"</f>
        <v>75/75</v>
      </c>
      <c r="K6574" s="1" t="str">
        <f>"2026-07-29 13:18:01"</f>
        <v>2026-07-29 13:18:01</v>
      </c>
      <c r="L6574" s="1" t="str">
        <f>"2018-01-22 10:15:41"</f>
        <v>2018-01-22 10:15:41</v>
      </c>
      <c r="M6574" s="1" t="s">
        <v>1</v>
      </c>
      <c r="N6574" s="1" t="s">
        <v>38</v>
      </c>
      <c r="O6574" s="1" t="s">
        <v>46</v>
      </c>
    </row>
    <row r="6575" spans="2:15" x14ac:dyDescent="0.3">
      <c r="B6575" s="1" t="s">
        <v>22</v>
      </c>
      <c r="C6575" s="1" t="str">
        <f>"3차"</f>
        <v>3차</v>
      </c>
      <c r="D6575" s="1" t="str">
        <f>"0231R99131"</f>
        <v>0231R99131</v>
      </c>
      <c r="E6575" s="1" t="s">
        <v>10</v>
      </c>
      <c r="F6575" s="1" t="str">
        <f>"10.12.133.181"</f>
        <v>10.12.133.181</v>
      </c>
      <c r="G6575" s="1" t="str">
        <f>"0231R991"</f>
        <v>0231R991</v>
      </c>
      <c r="H6575" s="1" t="str">
        <f>"쌍문SW 48R2B1"</f>
        <v>쌍문SW 48R2B1</v>
      </c>
      <c r="I6575" s="1" t="s">
        <v>8</v>
      </c>
      <c r="J6575" s="1" t="str">
        <f>"22/22"</f>
        <v>22/22</v>
      </c>
      <c r="K6575" s="1" t="str">
        <f>"2026-07-29 13:18:03"</f>
        <v>2026-07-29 13:18:03</v>
      </c>
      <c r="L6575" s="1" t="str">
        <f>"2018-01-22 14:06:58"</f>
        <v>2018-01-22 14:06:58</v>
      </c>
      <c r="M6575" s="1" t="s">
        <v>0</v>
      </c>
      <c r="N6575" s="1" t="s">
        <v>38</v>
      </c>
      <c r="O6575" s="1" t="s">
        <v>46</v>
      </c>
    </row>
    <row r="6576" spans="2:15" x14ac:dyDescent="0.3">
      <c r="B6576" s="1" t="s">
        <v>22</v>
      </c>
      <c r="C6576" s="1" t="str">
        <f>"6차"</f>
        <v>6차</v>
      </c>
      <c r="D6576" s="1" t="str">
        <f>"0231S0516S"</f>
        <v>0231S0516S</v>
      </c>
      <c r="E6576" s="1" t="s">
        <v>10</v>
      </c>
      <c r="F6576" s="1" t="str">
        <f>"fde1:103:4:c76a:0:0:0:2"</f>
        <v>fde1:103:4:c76a:0:0:0:2</v>
      </c>
      <c r="G6576" s="1" t="str">
        <f>"0231S051"</f>
        <v>0231S051</v>
      </c>
      <c r="H6576" s="1" t="str">
        <f>"창동간 31R3R10"</f>
        <v>창동간 31R3R10</v>
      </c>
      <c r="I6576" s="1" t="s">
        <v>15</v>
      </c>
      <c r="J6576" s="1" t="str">
        <f>"13/13"</f>
        <v>13/13</v>
      </c>
      <c r="K6576" s="1" t="str">
        <f>"2026-07-29 14:20:34"</f>
        <v>2026-07-29 14:20:34</v>
      </c>
      <c r="L6576" s="1" t="str">
        <f>"2025-01-17 17:38:24"</f>
        <v>2025-01-17 17:38:24</v>
      </c>
      <c r="M6576" s="1" t="s">
        <v>4</v>
      </c>
      <c r="N6576" s="1" t="s">
        <v>38</v>
      </c>
      <c r="O6576" s="1" t="s">
        <v>46</v>
      </c>
    </row>
    <row r="6577" spans="2:15" x14ac:dyDescent="0.3">
      <c r="B6577" s="1" t="s">
        <v>22</v>
      </c>
      <c r="C6577" s="1" t="str">
        <f>"3차"</f>
        <v>3차</v>
      </c>
      <c r="D6577" s="1" t="str">
        <f>"0231S08131"</f>
        <v>0231S08131</v>
      </c>
      <c r="E6577" s="1" t="s">
        <v>10</v>
      </c>
      <c r="F6577" s="1" t="str">
        <f>"10.10.5.51"</f>
        <v>10.10.5.51</v>
      </c>
      <c r="G6577" s="1" t="str">
        <f>"0231S081"</f>
        <v>0231S081</v>
      </c>
      <c r="H6577" s="1" t="str">
        <f>"창동간 31R3R4"</f>
        <v>창동간 31R3R4</v>
      </c>
      <c r="I6577" s="1" t="s">
        <v>8</v>
      </c>
      <c r="J6577" s="1" t="str">
        <f>"34/35"</f>
        <v>34/35</v>
      </c>
      <c r="K6577" s="1" t="str">
        <f>"2026-07-29 13:18:03"</f>
        <v>2026-07-29 13:18:03</v>
      </c>
      <c r="L6577" s="1" t="str">
        <f>"2018-01-22 11:09:26"</f>
        <v>2018-01-22 11:09:26</v>
      </c>
      <c r="M6577" s="1" t="s">
        <v>1</v>
      </c>
      <c r="N6577" s="1" t="s">
        <v>38</v>
      </c>
      <c r="O6577" s="1" t="s">
        <v>46</v>
      </c>
    </row>
    <row r="6578" spans="2:15" x14ac:dyDescent="0.3">
      <c r="B6578" s="1" t="s">
        <v>22</v>
      </c>
      <c r="C6578" s="1" t="str">
        <f>"4차"</f>
        <v>4차</v>
      </c>
      <c r="D6578" s="1" t="str">
        <f>"0231S09230"</f>
        <v>0231S09230</v>
      </c>
      <c r="E6578" s="1" t="s">
        <v>10</v>
      </c>
      <c r="F6578" s="1" t="str">
        <f>"10.10.5.50"</f>
        <v>10.10.5.50</v>
      </c>
      <c r="G6578" s="1" t="str">
        <f>"0231S092"</f>
        <v>0231S092</v>
      </c>
      <c r="H6578" s="1" t="str">
        <f>"창동간 31R3R3"</f>
        <v>창동간 31R3R3</v>
      </c>
      <c r="I6578" s="1" t="s">
        <v>8</v>
      </c>
      <c r="J6578" s="1" t="str">
        <f>"25/25"</f>
        <v>25/25</v>
      </c>
      <c r="K6578" s="1" t="str">
        <f>"2026-07-29 13:18:03"</f>
        <v>2026-07-29 13:18:03</v>
      </c>
      <c r="L6578" s="1" t="str">
        <f>"2018-01-17 10:13:24"</f>
        <v>2018-01-17 10:13:24</v>
      </c>
      <c r="M6578" s="1" t="s">
        <v>1</v>
      </c>
      <c r="N6578" s="1" t="s">
        <v>38</v>
      </c>
      <c r="O6578" s="1" t="s">
        <v>46</v>
      </c>
    </row>
    <row r="6579" spans="2:15" x14ac:dyDescent="0.3">
      <c r="B6579" s="1" t="s">
        <v>22</v>
      </c>
      <c r="C6579" s="1" t="str">
        <f>"1차"</f>
        <v>1차</v>
      </c>
      <c r="D6579" s="1" t="str">
        <f>"0231S17200"</f>
        <v>0231S17200</v>
      </c>
      <c r="E6579" s="1" t="s">
        <v>10</v>
      </c>
      <c r="F6579" s="1" t="str">
        <f>"10.107.248.226"</f>
        <v>10.107.248.226</v>
      </c>
      <c r="G6579" s="1" t="str">
        <f>"0231S172"</f>
        <v>0231S172</v>
      </c>
      <c r="H6579" s="1" t="str">
        <f>"창동간 31R3R5L2"</f>
        <v>창동간 31R3R5L2</v>
      </c>
      <c r="I6579" s="1" t="s">
        <v>8</v>
      </c>
      <c r="J6579" s="1" t="str">
        <f>"9/9"</f>
        <v>9/9</v>
      </c>
      <c r="K6579" s="1" t="str">
        <f>"2026-07-29 13:18:03"</f>
        <v>2026-07-29 13:18:03</v>
      </c>
      <c r="L6579" s="1" t="str">
        <f>"2014-12-25 00:13:56"</f>
        <v>2014-12-25 00:13:56</v>
      </c>
      <c r="M6579" s="1" t="s">
        <v>45</v>
      </c>
      <c r="N6579" s="1" t="s">
        <v>38</v>
      </c>
      <c r="O6579" s="1" t="s">
        <v>46</v>
      </c>
    </row>
    <row r="6580" spans="2:15" x14ac:dyDescent="0.3">
      <c r="B6580" s="1" t="s">
        <v>22</v>
      </c>
      <c r="C6580" s="1" t="str">
        <f>"1차"</f>
        <v>1차</v>
      </c>
      <c r="D6580" s="1" t="str">
        <f>"0231S17500"</f>
        <v>0231S17500</v>
      </c>
      <c r="E6580" s="1" t="s">
        <v>12</v>
      </c>
      <c r="F6580" s="1" t="str">
        <f>"10.107.248.227"</f>
        <v>10.107.248.227</v>
      </c>
      <c r="G6580" s="1" t="str">
        <f>"0231S175"</f>
        <v>0231S175</v>
      </c>
      <c r="H6580" s="1" t="str">
        <f>"창동간 31R8R6"</f>
        <v>창동간 31R8R6</v>
      </c>
      <c r="I6580" s="1" t="s">
        <v>8</v>
      </c>
      <c r="J6580" s="1" t="str">
        <f>"0/20"</f>
        <v>0/20</v>
      </c>
      <c r="K6580" s="1" t="str">
        <f>"2026-07-02 01:18:03"</f>
        <v>2026-07-02 01:18:03</v>
      </c>
      <c r="L6580" s="1" t="str">
        <f>"2014-12-24 13:28:11"</f>
        <v>2014-12-24 13:28:11</v>
      </c>
      <c r="M6580" s="1" t="s">
        <v>45</v>
      </c>
      <c r="N6580" s="1" t="s">
        <v>38</v>
      </c>
      <c r="O6580" s="1" t="s">
        <v>46</v>
      </c>
    </row>
    <row r="6581" spans="2:15" x14ac:dyDescent="0.3">
      <c r="B6581" s="1" t="s">
        <v>22</v>
      </c>
      <c r="C6581" s="1" t="str">
        <f>"6차"</f>
        <v>6차</v>
      </c>
      <c r="D6581" s="1" t="str">
        <f>"0231S2716S"</f>
        <v>0231S2716S</v>
      </c>
      <c r="E6581" s="1" t="s">
        <v>10</v>
      </c>
      <c r="F6581" s="1" t="str">
        <f>"fde1:103:4:c7e3:0:0:0:2"</f>
        <v>fde1:103:4:c7e3:0:0:0:2</v>
      </c>
      <c r="G6581" s="1" t="str">
        <f>"0231S271"</f>
        <v>0231S271</v>
      </c>
      <c r="H6581" s="1" t="str">
        <f>"창동간 31R8R5L3"</f>
        <v>창동간 31R8R5L3</v>
      </c>
      <c r="I6581" s="1" t="s">
        <v>15</v>
      </c>
      <c r="J6581" s="1" t="str">
        <f>"110/110"</f>
        <v>110/110</v>
      </c>
      <c r="K6581" s="1" t="str">
        <f>"2026-07-29 08:20:46"</f>
        <v>2026-07-29 08:20:46</v>
      </c>
      <c r="L6581" s="1" t="str">
        <f>"2025-01-17 17:34:53"</f>
        <v>2025-01-17 17:34:53</v>
      </c>
      <c r="M6581" s="1" t="s">
        <v>4</v>
      </c>
      <c r="N6581" s="1" t="s">
        <v>38</v>
      </c>
      <c r="O6581" s="1" t="s">
        <v>46</v>
      </c>
    </row>
    <row r="6582" spans="2:15" x14ac:dyDescent="0.3">
      <c r="B6582" s="1" t="s">
        <v>22</v>
      </c>
      <c r="C6582" s="1" t="str">
        <f>"5-2차"</f>
        <v>5-2차</v>
      </c>
      <c r="D6582" s="1" t="str">
        <f>"0231S2915M"</f>
        <v>0231S2915M</v>
      </c>
      <c r="E6582" s="1" t="s">
        <v>10</v>
      </c>
      <c r="F6582" s="1" t="str">
        <f>"fde1:103:4:91e8:0:0:0:2"</f>
        <v>fde1:103:4:91e8:0:0:0:2</v>
      </c>
      <c r="G6582" s="1" t="str">
        <f>"0231S291"</f>
        <v>0231S291</v>
      </c>
      <c r="H6582" s="1" t="str">
        <f>"창동간 31R11"</f>
        <v>창동간 31R11</v>
      </c>
      <c r="I6582" s="1" t="s">
        <v>15</v>
      </c>
      <c r="J6582" s="1" t="str">
        <f>"36/36"</f>
        <v>36/36</v>
      </c>
      <c r="K6582" s="1" t="str">
        <f>"2026-07-29 14:20:43"</f>
        <v>2026-07-29 14:20:43</v>
      </c>
      <c r="L6582" s="1" t="str">
        <f>"2023-12-20 11:24:24"</f>
        <v>2023-12-20 11:24:24</v>
      </c>
      <c r="M6582" s="1" t="s">
        <v>4</v>
      </c>
      <c r="N6582" s="1" t="s">
        <v>38</v>
      </c>
      <c r="O6582" s="1" t="s">
        <v>46</v>
      </c>
    </row>
    <row r="6583" spans="2:15" x14ac:dyDescent="0.3">
      <c r="B6583" s="1" t="s">
        <v>22</v>
      </c>
      <c r="C6583" s="1" t="str">
        <f>"1차"</f>
        <v>1차</v>
      </c>
      <c r="D6583" s="1" t="str">
        <f>"0231S48301"</f>
        <v>0231S48301</v>
      </c>
      <c r="E6583" s="1" t="s">
        <v>10</v>
      </c>
      <c r="F6583" s="1" t="str">
        <f>"10.12.131.178"</f>
        <v>10.12.131.178</v>
      </c>
      <c r="G6583" s="1" t="str">
        <f>"0231S483"</f>
        <v>0231S483</v>
      </c>
      <c r="H6583" s="1" t="str">
        <f>"창동간 31R14H1"</f>
        <v>창동간 31R14H1</v>
      </c>
      <c r="I6583" s="1" t="s">
        <v>8</v>
      </c>
      <c r="J6583" s="1" t="str">
        <f>"83/83"</f>
        <v>83/83</v>
      </c>
      <c r="K6583" s="1" t="str">
        <f>"2026-07-29 13:18:03"</f>
        <v>2026-07-29 13:18:03</v>
      </c>
      <c r="L6583" s="1" t="str">
        <f>"2014-12-24 14:44:53"</f>
        <v>2014-12-24 14:44:53</v>
      </c>
      <c r="M6583" s="1" t="s">
        <v>0</v>
      </c>
      <c r="N6583" s="1" t="s">
        <v>38</v>
      </c>
      <c r="O6583" s="1" t="s">
        <v>46</v>
      </c>
    </row>
    <row r="6584" spans="2:15" x14ac:dyDescent="0.3">
      <c r="B6584" s="1" t="s">
        <v>22</v>
      </c>
      <c r="C6584" s="1" t="str">
        <f>"1차"</f>
        <v>1차</v>
      </c>
      <c r="D6584" s="1" t="str">
        <f>"0231S56200"</f>
        <v>0231S56200</v>
      </c>
      <c r="E6584" s="1" t="s">
        <v>10</v>
      </c>
      <c r="F6584" s="1" t="str">
        <f>"10.107.248.228"</f>
        <v>10.107.248.228</v>
      </c>
      <c r="G6584" s="1" t="str">
        <f>"0231S562"</f>
        <v>0231S562</v>
      </c>
      <c r="H6584" s="1" t="str">
        <f>"창동간 31R16R2"</f>
        <v>창동간 31R16R2</v>
      </c>
      <c r="I6584" s="1" t="s">
        <v>8</v>
      </c>
      <c r="J6584" s="1" t="str">
        <f>"46/46"</f>
        <v>46/46</v>
      </c>
      <c r="K6584" s="1" t="str">
        <f>"2026-07-29 13:18:03"</f>
        <v>2026-07-29 13:18:03</v>
      </c>
      <c r="L6584" s="1" t="str">
        <f>"2014-12-24 15:02:27"</f>
        <v>2014-12-24 15:02:27</v>
      </c>
      <c r="M6584" s="1" t="s">
        <v>45</v>
      </c>
      <c r="N6584" s="1" t="s">
        <v>38</v>
      </c>
      <c r="O6584" s="1" t="s">
        <v>46</v>
      </c>
    </row>
    <row r="6585" spans="2:15" x14ac:dyDescent="0.3">
      <c r="B6585" s="1" t="s">
        <v>22</v>
      </c>
      <c r="C6585" s="1" t="str">
        <f>"6차"</f>
        <v>6차</v>
      </c>
      <c r="D6585" s="1" t="str">
        <f>"0231S5676S"</f>
        <v>0231S5676S</v>
      </c>
      <c r="E6585" s="1" t="s">
        <v>10</v>
      </c>
      <c r="F6585" s="1" t="str">
        <f>"fde1:103:4:93d8:0:0:0:2"</f>
        <v>fde1:103:4:93d8:0:0:0:2</v>
      </c>
      <c r="G6585" s="1" t="str">
        <f>"0231S567"</f>
        <v>0231S567</v>
      </c>
      <c r="H6585" s="1" t="str">
        <f>"창동간 31R16R3"</f>
        <v>창동간 31R16R3</v>
      </c>
      <c r="I6585" s="1" t="s">
        <v>15</v>
      </c>
      <c r="J6585" s="1" t="str">
        <f>"89/89"</f>
        <v>89/89</v>
      </c>
      <c r="K6585" s="1" t="str">
        <f>"2026-07-29 08:20:34"</f>
        <v>2026-07-29 08:20:34</v>
      </c>
      <c r="L6585" s="1" t="str">
        <f>"2025-01-21 10:53:21"</f>
        <v>2025-01-21 10:53:21</v>
      </c>
      <c r="M6585" s="1" t="s">
        <v>4</v>
      </c>
      <c r="N6585" s="1" t="s">
        <v>38</v>
      </c>
      <c r="O6585" s="1" t="s">
        <v>46</v>
      </c>
    </row>
    <row r="6586" spans="2:15" x14ac:dyDescent="0.3">
      <c r="B6586" s="1" t="s">
        <v>22</v>
      </c>
      <c r="C6586" s="1" t="str">
        <f>"1차"</f>
        <v>1차</v>
      </c>
      <c r="D6586" s="1" t="str">
        <f>"0231S58100"</f>
        <v>0231S58100</v>
      </c>
      <c r="E6586" s="1" t="s">
        <v>10</v>
      </c>
      <c r="F6586" s="1" t="str">
        <f>"10.107.248.229"</f>
        <v>10.107.248.229</v>
      </c>
      <c r="G6586" s="1" t="str">
        <f>"0231S581"</f>
        <v>0231S581</v>
      </c>
      <c r="H6586" s="1" t="str">
        <f>"창동간 31R14"</f>
        <v>창동간 31R14</v>
      </c>
      <c r="I6586" s="1" t="s">
        <v>8</v>
      </c>
      <c r="J6586" s="1" t="str">
        <f>"36/36"</f>
        <v>36/36</v>
      </c>
      <c r="K6586" s="1" t="str">
        <f>"2026-07-29 13:18:03"</f>
        <v>2026-07-29 13:18:03</v>
      </c>
      <c r="L6586" s="1" t="str">
        <f>"2014-12-24 14:43:55"</f>
        <v>2014-12-24 14:43:55</v>
      </c>
      <c r="M6586" s="1" t="s">
        <v>45</v>
      </c>
      <c r="N6586" s="1" t="s">
        <v>38</v>
      </c>
      <c r="O6586" s="1" t="s">
        <v>46</v>
      </c>
    </row>
    <row r="6587" spans="2:15" x14ac:dyDescent="0.3">
      <c r="B6587" s="1" t="s">
        <v>22</v>
      </c>
      <c r="C6587" s="1" t="str">
        <f>"1차"</f>
        <v>1차</v>
      </c>
      <c r="D6587" s="1" t="str">
        <f>"0231S66100"</f>
        <v>0231S66100</v>
      </c>
      <c r="E6587" s="1" t="s">
        <v>10</v>
      </c>
      <c r="F6587" s="1" t="str">
        <f>"10.107.128.202"</f>
        <v>10.107.128.202</v>
      </c>
      <c r="G6587" s="1" t="str">
        <f>"0231S661"</f>
        <v>0231S661</v>
      </c>
      <c r="H6587" s="1" t="str">
        <f>"창동간 31R20R2R2"</f>
        <v>창동간 31R20R2R2</v>
      </c>
      <c r="I6587" s="1" t="s">
        <v>8</v>
      </c>
      <c r="J6587" s="1" t="str">
        <f>"22/22"</f>
        <v>22/22</v>
      </c>
      <c r="K6587" s="1" t="str">
        <f>"2026-07-29 13:18:03"</f>
        <v>2026-07-29 13:18:03</v>
      </c>
      <c r="L6587" s="1" t="str">
        <f>"2014-12-24 15:35:25"</f>
        <v>2014-12-24 15:35:25</v>
      </c>
      <c r="M6587" s="1" t="s">
        <v>45</v>
      </c>
      <c r="N6587" s="1" t="s">
        <v>38</v>
      </c>
      <c r="O6587" s="1" t="s">
        <v>46</v>
      </c>
    </row>
    <row r="6588" spans="2:15" x14ac:dyDescent="0.3">
      <c r="B6588" s="1" t="s">
        <v>22</v>
      </c>
      <c r="C6588" s="1" t="str">
        <f>"1차"</f>
        <v>1차</v>
      </c>
      <c r="D6588" s="1" t="str">
        <f>"0231S67100"</f>
        <v>0231S67100</v>
      </c>
      <c r="E6588" s="1" t="s">
        <v>10</v>
      </c>
      <c r="F6588" s="1" t="str">
        <f>"10.107.248.230"</f>
        <v>10.107.248.230</v>
      </c>
      <c r="G6588" s="1" t="str">
        <f>"0231S671"</f>
        <v>0231S671</v>
      </c>
      <c r="H6588" s="1" t="str">
        <f>"창동간 31R18"</f>
        <v>창동간 31R18</v>
      </c>
      <c r="I6588" s="1" t="s">
        <v>8</v>
      </c>
      <c r="J6588" s="1" t="str">
        <f>"16/16"</f>
        <v>16/16</v>
      </c>
      <c r="K6588" s="1" t="str">
        <f>"2026-07-29 13:18:03"</f>
        <v>2026-07-29 13:18:03</v>
      </c>
      <c r="L6588" s="1" t="str">
        <f>"2014-12-24 13:21:09"</f>
        <v>2014-12-24 13:21:09</v>
      </c>
      <c r="M6588" s="1" t="s">
        <v>45</v>
      </c>
      <c r="N6588" s="1" t="s">
        <v>38</v>
      </c>
      <c r="O6588" s="1" t="s">
        <v>46</v>
      </c>
    </row>
    <row r="6589" spans="2:15" x14ac:dyDescent="0.3">
      <c r="B6589" s="1" t="s">
        <v>22</v>
      </c>
      <c r="C6589" s="1" t="str">
        <f>"4차"</f>
        <v>4차</v>
      </c>
      <c r="D6589" s="1" t="str">
        <f>"0231S74244"</f>
        <v>0231S74244</v>
      </c>
      <c r="E6589" s="1" t="s">
        <v>10</v>
      </c>
      <c r="F6589" s="1" t="str">
        <f>"10.107.135.72"</f>
        <v>10.107.135.72</v>
      </c>
      <c r="G6589" s="1" t="str">
        <f>"0231S742"</f>
        <v>0231S742</v>
      </c>
      <c r="H6589" s="1" t="str">
        <f>"창동간 31R20R5R1"</f>
        <v>창동간 31R20R5R1</v>
      </c>
      <c r="I6589" s="1" t="s">
        <v>8</v>
      </c>
      <c r="J6589" s="1" t="str">
        <f>"26/26"</f>
        <v>26/26</v>
      </c>
      <c r="K6589" s="1" t="str">
        <f>"2026-07-29 13:18:02"</f>
        <v>2026-07-29 13:18:02</v>
      </c>
      <c r="L6589" s="1" t="str">
        <f>"2019-12-13 09:17:15"</f>
        <v>2019-12-13 09:17:15</v>
      </c>
      <c r="M6589" s="1" t="s">
        <v>45</v>
      </c>
      <c r="N6589" s="1" t="s">
        <v>38</v>
      </c>
      <c r="O6589" s="1" t="s">
        <v>46</v>
      </c>
    </row>
    <row r="6590" spans="2:15" x14ac:dyDescent="0.3">
      <c r="B6590" s="1" t="s">
        <v>22</v>
      </c>
      <c r="C6590" s="1" t="str">
        <f>"4차"</f>
        <v>4차</v>
      </c>
      <c r="D6590" s="1" t="str">
        <f>"0231S75244"</f>
        <v>0231S75244</v>
      </c>
      <c r="E6590" s="1" t="s">
        <v>10</v>
      </c>
      <c r="F6590" s="1" t="str">
        <f>"10.107.135.73"</f>
        <v>10.107.135.73</v>
      </c>
      <c r="G6590" s="1" t="str">
        <f>"0231S752"</f>
        <v>0231S752</v>
      </c>
      <c r="H6590" s="1" t="str">
        <f>"창동간 31R20R3R1"</f>
        <v>창동간 31R20R3R1</v>
      </c>
      <c r="I6590" s="1" t="s">
        <v>8</v>
      </c>
      <c r="J6590" s="1" t="str">
        <f>"27/27"</f>
        <v>27/27</v>
      </c>
      <c r="K6590" s="1" t="str">
        <f>"2026-07-29 13:18:03"</f>
        <v>2026-07-29 13:18:03</v>
      </c>
      <c r="L6590" s="1" t="str">
        <f>"2019-12-13 12:10:18"</f>
        <v>2019-12-13 12:10:18</v>
      </c>
      <c r="M6590" s="1" t="s">
        <v>45</v>
      </c>
      <c r="N6590" s="1" t="s">
        <v>38</v>
      </c>
      <c r="O6590" s="1" t="s">
        <v>46</v>
      </c>
    </row>
    <row r="6591" spans="2:15" x14ac:dyDescent="0.3">
      <c r="B6591" s="1" t="s">
        <v>22</v>
      </c>
      <c r="C6591" s="1" t="str">
        <f>"6차"</f>
        <v>6차</v>
      </c>
      <c r="D6591" s="1" t="str">
        <f>"0231S7616S"</f>
        <v>0231S7616S</v>
      </c>
      <c r="E6591" s="1" t="s">
        <v>10</v>
      </c>
      <c r="F6591" s="1" t="str">
        <f>"fde1:103:4:c80c:0:0:0:2"</f>
        <v>fde1:103:4:c80c:0:0:0:2</v>
      </c>
      <c r="G6591" s="1" t="str">
        <f>"0231S761"</f>
        <v>0231S761</v>
      </c>
      <c r="H6591" s="1" t="str">
        <f>"창동간 31R20R2R1"</f>
        <v>창동간 31R20R2R1</v>
      </c>
      <c r="I6591" s="1" t="s">
        <v>15</v>
      </c>
      <c r="J6591" s="1" t="str">
        <f>"62/62"</f>
        <v>62/62</v>
      </c>
      <c r="K6591" s="1" t="str">
        <f>"2026-07-29 14:20:35"</f>
        <v>2026-07-29 14:20:35</v>
      </c>
      <c r="L6591" s="1" t="str">
        <f>"2025-01-21 10:47:40"</f>
        <v>2025-01-21 10:47:40</v>
      </c>
      <c r="M6591" s="1" t="s">
        <v>4</v>
      </c>
      <c r="N6591" s="1" t="s">
        <v>38</v>
      </c>
      <c r="O6591" s="1" t="s">
        <v>46</v>
      </c>
    </row>
    <row r="6592" spans="2:15" x14ac:dyDescent="0.3">
      <c r="B6592" s="1" t="s">
        <v>22</v>
      </c>
      <c r="C6592" s="1" t="str">
        <f>"4차"</f>
        <v>4차</v>
      </c>
      <c r="D6592" s="1" t="str">
        <f>"0231S79241"</f>
        <v>0231S79241</v>
      </c>
      <c r="E6592" s="1" t="s">
        <v>10</v>
      </c>
      <c r="F6592" s="1" t="str">
        <f>"10.14.14.44"</f>
        <v>10.14.14.44</v>
      </c>
      <c r="G6592" s="1" t="str">
        <f>"0231S792"</f>
        <v>0231S792</v>
      </c>
      <c r="H6592" s="1" t="str">
        <f>"창동간 31R16L5"</f>
        <v>창동간 31R16L5</v>
      </c>
      <c r="I6592" s="1" t="s">
        <v>17</v>
      </c>
      <c r="J6592" s="1" t="str">
        <f>"59/59"</f>
        <v>59/59</v>
      </c>
      <c r="K6592" s="1" t="str">
        <f>"2026-07-29 13:18:04"</f>
        <v>2026-07-29 13:18:04</v>
      </c>
      <c r="L6592" s="1" t="str">
        <f>"2021-07-15 12:14:09"</f>
        <v>2021-07-15 12:14:09</v>
      </c>
      <c r="M6592" s="1" t="s">
        <v>3</v>
      </c>
      <c r="N6592" s="1" t="s">
        <v>38</v>
      </c>
      <c r="O6592" s="1" t="s">
        <v>46</v>
      </c>
    </row>
    <row r="6593" spans="2:15" x14ac:dyDescent="0.3">
      <c r="B6593" s="1" t="s">
        <v>22</v>
      </c>
      <c r="C6593" s="1" t="str">
        <f>"5-2차"</f>
        <v>5-2차</v>
      </c>
      <c r="D6593" s="1" t="str">
        <f>"0231S8525M"</f>
        <v>0231S8525M</v>
      </c>
      <c r="E6593" s="1" t="s">
        <v>10</v>
      </c>
      <c r="F6593" s="1" t="str">
        <f>"fde1:103:4:91c6:0:0:0:2"</f>
        <v>fde1:103:4:91c6:0:0:0:2</v>
      </c>
      <c r="G6593" s="1" t="str">
        <f>"0231S852"</f>
        <v>0231S852</v>
      </c>
      <c r="H6593" s="1" t="str">
        <f>"창동간 31R20HR3L1"</f>
        <v>창동간 31R20HR3L1</v>
      </c>
      <c r="I6593" s="1" t="s">
        <v>15</v>
      </c>
      <c r="J6593" s="1" t="str">
        <f>"53/54"</f>
        <v>53/54</v>
      </c>
      <c r="K6593" s="1" t="str">
        <f>"2026-07-29 14:20:34"</f>
        <v>2026-07-29 14:20:34</v>
      </c>
      <c r="L6593" s="1" t="str">
        <f>"2023-12-20 13:06:42"</f>
        <v>2023-12-20 13:06:42</v>
      </c>
      <c r="M6593" s="1" t="s">
        <v>4</v>
      </c>
      <c r="N6593" s="1" t="s">
        <v>38</v>
      </c>
      <c r="O6593" s="1" t="s">
        <v>46</v>
      </c>
    </row>
    <row r="6594" spans="2:15" x14ac:dyDescent="0.3">
      <c r="B6594" s="1" t="s">
        <v>22</v>
      </c>
      <c r="C6594" s="1" t="str">
        <f>"4차"</f>
        <v>4차</v>
      </c>
      <c r="D6594" s="1" t="str">
        <f>"0231S86144"</f>
        <v>0231S86144</v>
      </c>
      <c r="E6594" s="1" t="s">
        <v>10</v>
      </c>
      <c r="F6594" s="1" t="str">
        <f>"10.107.135.74"</f>
        <v>10.107.135.74</v>
      </c>
      <c r="G6594" s="1" t="str">
        <f>"0231S861"</f>
        <v>0231S861</v>
      </c>
      <c r="H6594" s="1" t="str">
        <f>"창동간 31R20R2"</f>
        <v>창동간 31R20R2</v>
      </c>
      <c r="I6594" s="1" t="s">
        <v>8</v>
      </c>
      <c r="J6594" s="1" t="str">
        <f>"21/21"</f>
        <v>21/21</v>
      </c>
      <c r="K6594" s="1" t="str">
        <f>"2026-07-29 13:18:03"</f>
        <v>2026-07-29 13:18:03</v>
      </c>
      <c r="L6594" s="1" t="str">
        <f>"2019-12-13 09:13:55"</f>
        <v>2019-12-13 09:13:55</v>
      </c>
      <c r="M6594" s="1" t="s">
        <v>45</v>
      </c>
      <c r="N6594" s="1" t="s">
        <v>38</v>
      </c>
      <c r="O6594" s="1" t="s">
        <v>46</v>
      </c>
    </row>
    <row r="6595" spans="2:15" x14ac:dyDescent="0.3">
      <c r="B6595" s="1" t="s">
        <v>22</v>
      </c>
      <c r="C6595" s="1" t="str">
        <f>"4차"</f>
        <v>4차</v>
      </c>
      <c r="D6595" s="1" t="str">
        <f>"0231S90139"</f>
        <v>0231S90139</v>
      </c>
      <c r="E6595" s="1" t="s">
        <v>10</v>
      </c>
      <c r="F6595" s="1" t="str">
        <f>"10.12.132.18"</f>
        <v>10.12.132.18</v>
      </c>
      <c r="G6595" s="1" t="str">
        <f>"0231S901"</f>
        <v>0231S901</v>
      </c>
      <c r="H6595" s="1" t="str">
        <f>"창동 36A"</f>
        <v>창동 36A</v>
      </c>
      <c r="I6595" s="1" t="s">
        <v>17</v>
      </c>
      <c r="J6595" s="1" t="str">
        <f>"16/16"</f>
        <v>16/16</v>
      </c>
      <c r="K6595" s="1" t="str">
        <f>"2026-07-29 13:18:03"</f>
        <v>2026-07-29 13:18:03</v>
      </c>
      <c r="L6595" s="1" t="str">
        <f>"2018-07-04 17:02:55"</f>
        <v>2018-07-04 17:02:55</v>
      </c>
      <c r="M6595" s="1" t="s">
        <v>0</v>
      </c>
      <c r="N6595" s="1" t="s">
        <v>38</v>
      </c>
      <c r="O6595" s="1" t="s">
        <v>46</v>
      </c>
    </row>
    <row r="6596" spans="2:15" x14ac:dyDescent="0.3">
      <c r="B6596" s="1" t="s">
        <v>22</v>
      </c>
      <c r="C6596" s="1" t="str">
        <f>"4차"</f>
        <v>4차</v>
      </c>
      <c r="D6596" s="1" t="str">
        <f>"0231S96144"</f>
        <v>0231S96144</v>
      </c>
      <c r="E6596" s="1" t="s">
        <v>14</v>
      </c>
      <c r="F6596" s="1" t="str">
        <f>"10.107.135.75"</f>
        <v>10.107.135.75</v>
      </c>
      <c r="G6596" s="1" t="str">
        <f>"0231S961"</f>
        <v>0231S961</v>
      </c>
      <c r="H6596" s="1" t="str">
        <f>"창동간 31R23"</f>
        <v>창동간 31R23</v>
      </c>
      <c r="I6596" s="1" t="s">
        <v>8</v>
      </c>
      <c r="J6596" s="1" t="str">
        <f>"0/0"</f>
        <v>0/0</v>
      </c>
      <c r="K6596" s="1" t="str">
        <f>"2026-07-29 13:18:03"</f>
        <v>2026-07-29 13:18:03</v>
      </c>
      <c r="L6596" s="1" t="str">
        <f>"2019-12-13 09:17:20"</f>
        <v>2019-12-13 09:17:20</v>
      </c>
      <c r="M6596" s="1" t="s">
        <v>45</v>
      </c>
      <c r="N6596" s="1" t="s">
        <v>38</v>
      </c>
      <c r="O6596" s="1" t="s">
        <v>44</v>
      </c>
    </row>
    <row r="6597" spans="2:15" x14ac:dyDescent="0.3">
      <c r="B6597" s="1" t="s">
        <v>22</v>
      </c>
      <c r="C6597" s="1" t="str">
        <f>"4차"</f>
        <v>4차</v>
      </c>
      <c r="D6597" s="1" t="str">
        <f>"0231S99144"</f>
        <v>0231S99144</v>
      </c>
      <c r="E6597" s="1" t="s">
        <v>10</v>
      </c>
      <c r="F6597" s="1" t="str">
        <f>"10.107.135.76"</f>
        <v>10.107.135.76</v>
      </c>
      <c r="G6597" s="1" t="str">
        <f>"0231S991"</f>
        <v>0231S991</v>
      </c>
      <c r="H6597" s="1" t="str">
        <f>"창동간 31R21A1"</f>
        <v>창동간 31R21A1</v>
      </c>
      <c r="I6597" s="1" t="s">
        <v>8</v>
      </c>
      <c r="J6597" s="1" t="str">
        <f>"31/31"</f>
        <v>31/31</v>
      </c>
      <c r="K6597" s="1" t="str">
        <f>"2026-07-29 13:18:03"</f>
        <v>2026-07-29 13:18:03</v>
      </c>
      <c r="L6597" s="1" t="str">
        <f>"2019-12-13 09:12:17"</f>
        <v>2019-12-13 09:12:17</v>
      </c>
      <c r="M6597" s="1" t="s">
        <v>45</v>
      </c>
      <c r="N6597" s="1" t="s">
        <v>38</v>
      </c>
      <c r="O6597" s="1" t="s">
        <v>46</v>
      </c>
    </row>
    <row r="6598" spans="2:15" x14ac:dyDescent="0.3">
      <c r="B6598" s="1" t="s">
        <v>22</v>
      </c>
      <c r="C6598" s="1" t="str">
        <f>"5-2차"</f>
        <v>5-2차</v>
      </c>
      <c r="D6598" s="1" t="str">
        <f>"0231Y0415M"</f>
        <v>0231Y0415M</v>
      </c>
      <c r="E6598" s="1" t="s">
        <v>10</v>
      </c>
      <c r="F6598" s="1" t="str">
        <f>"fde1:103:4:918a:0:0:0:2"</f>
        <v>fde1:103:4:918a:0:0:0:2</v>
      </c>
      <c r="G6598" s="1" t="str">
        <f>"0231Y041"</f>
        <v>0231Y041</v>
      </c>
      <c r="H6598" s="1" t="str">
        <f>"창동간 31R25"</f>
        <v>창동간 31R25</v>
      </c>
      <c r="I6598" s="1" t="s">
        <v>15</v>
      </c>
      <c r="J6598" s="1" t="str">
        <f>"21/21"</f>
        <v>21/21</v>
      </c>
      <c r="K6598" s="1" t="str">
        <f>"2026-07-29 14:20:04"</f>
        <v>2026-07-29 14:20:04</v>
      </c>
      <c r="L6598" s="1" t="str">
        <f>"2023-12-20 13:05:05"</f>
        <v>2023-12-20 13:05:05</v>
      </c>
      <c r="M6598" s="1" t="s">
        <v>4</v>
      </c>
      <c r="N6598" s="1" t="s">
        <v>38</v>
      </c>
      <c r="O6598" s="1" t="s">
        <v>46</v>
      </c>
    </row>
    <row r="6599" spans="2:15" x14ac:dyDescent="0.3">
      <c r="B6599" s="1" t="s">
        <v>22</v>
      </c>
      <c r="C6599" s="1" t="str">
        <f t="shared" ref="C6599:C6606" si="323">"4차"</f>
        <v>4차</v>
      </c>
      <c r="D6599" s="1" t="str">
        <f>"0231Y05244"</f>
        <v>0231Y05244</v>
      </c>
      <c r="E6599" s="1" t="s">
        <v>10</v>
      </c>
      <c r="F6599" s="1" t="str">
        <f>"10.107.135.77"</f>
        <v>10.107.135.77</v>
      </c>
      <c r="G6599" s="1" t="str">
        <f>"0231Y052"</f>
        <v>0231Y052</v>
      </c>
      <c r="H6599" s="1" t="str">
        <f>"창동간 31HR25"</f>
        <v>창동간 31HR25</v>
      </c>
      <c r="I6599" s="1" t="s">
        <v>8</v>
      </c>
      <c r="J6599" s="1" t="str">
        <f>"11/11"</f>
        <v>11/11</v>
      </c>
      <c r="K6599" s="1" t="str">
        <f>"2026-07-29 13:18:03"</f>
        <v>2026-07-29 13:18:03</v>
      </c>
      <c r="L6599" s="1" t="str">
        <f>"2019-12-13 09:11:33"</f>
        <v>2019-12-13 09:11:33</v>
      </c>
      <c r="M6599" s="1" t="s">
        <v>45</v>
      </c>
      <c r="N6599" s="1" t="s">
        <v>38</v>
      </c>
      <c r="O6599" s="1" t="s">
        <v>46</v>
      </c>
    </row>
    <row r="6600" spans="2:15" x14ac:dyDescent="0.3">
      <c r="B6600" s="1" t="s">
        <v>22</v>
      </c>
      <c r="C6600" s="1" t="str">
        <f t="shared" si="323"/>
        <v>4차</v>
      </c>
      <c r="D6600" s="1" t="str">
        <f>"0231Y43139"</f>
        <v>0231Y43139</v>
      </c>
      <c r="E6600" s="1" t="s">
        <v>10</v>
      </c>
      <c r="F6600" s="1" t="str">
        <f>"10.12.134.91"</f>
        <v>10.12.134.91</v>
      </c>
      <c r="G6600" s="1" t="str">
        <f>"0231Y431"</f>
        <v>0231Y431</v>
      </c>
      <c r="H6600" s="1" t="str">
        <f>"창동 13"</f>
        <v>창동 13</v>
      </c>
      <c r="I6600" s="1" t="s">
        <v>17</v>
      </c>
      <c r="J6600" s="1" t="str">
        <f>"2/2"</f>
        <v>2/2</v>
      </c>
      <c r="K6600" s="1" t="str">
        <f>"2026-07-29 13:18:03"</f>
        <v>2026-07-29 13:18:03</v>
      </c>
      <c r="L6600" s="1" t="str">
        <f>"2018-05-25 09:50:56"</f>
        <v>2018-05-25 09:50:56</v>
      </c>
      <c r="M6600" s="1" t="s">
        <v>0</v>
      </c>
      <c r="N6600" s="1" t="s">
        <v>38</v>
      </c>
      <c r="O6600" s="1" t="s">
        <v>46</v>
      </c>
    </row>
    <row r="6601" spans="2:15" x14ac:dyDescent="0.3">
      <c r="B6601" s="1" t="s">
        <v>22</v>
      </c>
      <c r="C6601" s="1" t="str">
        <f t="shared" si="323"/>
        <v>4차</v>
      </c>
      <c r="D6601" s="1" t="str">
        <f>"0231Y44139"</f>
        <v>0231Y44139</v>
      </c>
      <c r="E6601" s="1" t="s">
        <v>10</v>
      </c>
      <c r="F6601" s="1" t="str">
        <f>"10.12.135.222"</f>
        <v>10.12.135.222</v>
      </c>
      <c r="G6601" s="1" t="str">
        <f>"0231Y441"</f>
        <v>0231Y441</v>
      </c>
      <c r="H6601" s="1" t="str">
        <f>"창동 12"</f>
        <v>창동 12</v>
      </c>
      <c r="I6601" s="1" t="s">
        <v>17</v>
      </c>
      <c r="J6601" s="1" t="str">
        <f>"1/1"</f>
        <v>1/1</v>
      </c>
      <c r="K6601" s="1" t="str">
        <f>"2026-07-29 13:18:03"</f>
        <v>2026-07-29 13:18:03</v>
      </c>
      <c r="L6601" s="1" t="str">
        <f>"2018-05-24 10:06:13"</f>
        <v>2018-05-24 10:06:13</v>
      </c>
      <c r="M6601" s="1" t="s">
        <v>0</v>
      </c>
      <c r="N6601" s="1" t="s">
        <v>38</v>
      </c>
      <c r="O6601" s="1" t="s">
        <v>46</v>
      </c>
    </row>
    <row r="6602" spans="2:15" x14ac:dyDescent="0.3">
      <c r="B6602" s="1" t="s">
        <v>22</v>
      </c>
      <c r="C6602" s="1" t="str">
        <f t="shared" si="323"/>
        <v>4차</v>
      </c>
      <c r="D6602" s="1" t="str">
        <f>"0231Y52139"</f>
        <v>0231Y52139</v>
      </c>
      <c r="E6602" s="1" t="s">
        <v>14</v>
      </c>
      <c r="F6602" s="1" t="str">
        <f>"10.12.132.25"</f>
        <v>10.12.132.25</v>
      </c>
      <c r="G6602" s="1" t="str">
        <f>"0231Y521"</f>
        <v>0231Y521</v>
      </c>
      <c r="H6602" s="1" t="str">
        <f>"창동 14"</f>
        <v>창동 14</v>
      </c>
      <c r="I6602" s="1" t="s">
        <v>17</v>
      </c>
      <c r="J6602" s="1" t="str">
        <f>"0/0"</f>
        <v>0/0</v>
      </c>
      <c r="K6602" s="1" t="str">
        <f>"2026-06-10 07:18:01"</f>
        <v>2026-06-10 07:18:01</v>
      </c>
      <c r="L6602" s="1" t="str">
        <f>"2018-08-27 16:07:58"</f>
        <v>2018-08-27 16:07:58</v>
      </c>
      <c r="M6602" s="1" t="s">
        <v>0</v>
      </c>
      <c r="N6602" s="1" t="s">
        <v>39</v>
      </c>
      <c r="O6602" s="1" t="s">
        <v>46</v>
      </c>
    </row>
    <row r="6603" spans="2:15" x14ac:dyDescent="0.3">
      <c r="B6603" s="1" t="s">
        <v>22</v>
      </c>
      <c r="C6603" s="1" t="str">
        <f t="shared" si="323"/>
        <v>4차</v>
      </c>
      <c r="D6603" s="1" t="str">
        <f>"0231Y53339"</f>
        <v>0231Y53339</v>
      </c>
      <c r="E6603" s="1" t="s">
        <v>10</v>
      </c>
      <c r="F6603" s="1" t="str">
        <f>"10.12.136.3"</f>
        <v>10.12.136.3</v>
      </c>
      <c r="G6603" s="1" t="str">
        <f>"0231Y533"</f>
        <v>0231Y533</v>
      </c>
      <c r="H6603" s="1" t="str">
        <f>"창동 12B"</f>
        <v>창동 12B</v>
      </c>
      <c r="I6603" s="1" t="s">
        <v>17</v>
      </c>
      <c r="J6603" s="1" t="str">
        <f>"2/2"</f>
        <v>2/2</v>
      </c>
      <c r="K6603" s="1" t="str">
        <f>"2026-07-29 13:18:04"</f>
        <v>2026-07-29 13:18:04</v>
      </c>
      <c r="L6603" s="1" t="str">
        <f>"2018-05-25 09:31:11"</f>
        <v>2018-05-25 09:31:11</v>
      </c>
      <c r="M6603" s="1" t="s">
        <v>0</v>
      </c>
      <c r="N6603" s="1" t="s">
        <v>38</v>
      </c>
      <c r="O6603" s="1" t="s">
        <v>46</v>
      </c>
    </row>
    <row r="6604" spans="2:15" x14ac:dyDescent="0.3">
      <c r="B6604" s="1" t="s">
        <v>22</v>
      </c>
      <c r="C6604" s="1" t="str">
        <f t="shared" si="323"/>
        <v>4차</v>
      </c>
      <c r="D6604" s="1" t="str">
        <f>"0231Y64239"</f>
        <v>0231Y64239</v>
      </c>
      <c r="E6604" s="1" t="s">
        <v>14</v>
      </c>
      <c r="F6604" s="1" t="str">
        <f>"10.12.132.62"</f>
        <v>10.12.132.62</v>
      </c>
      <c r="G6604" s="1" t="str">
        <f>"0231Y642"</f>
        <v>0231Y642</v>
      </c>
      <c r="H6604" s="1" t="str">
        <f>"창동 16"</f>
        <v>창동 16</v>
      </c>
      <c r="I6604" s="1" t="s">
        <v>17</v>
      </c>
      <c r="J6604" s="1" t="str">
        <f>"0/0"</f>
        <v>0/0</v>
      </c>
      <c r="K6604" s="1" t="str">
        <f>"2026-06-10 07:18:01"</f>
        <v>2026-06-10 07:18:01</v>
      </c>
      <c r="L6604" s="1" t="str">
        <f>"2018-07-16 17:57:10"</f>
        <v>2018-07-16 17:57:10</v>
      </c>
      <c r="M6604" s="1" t="s">
        <v>0</v>
      </c>
      <c r="N6604" s="1" t="s">
        <v>39</v>
      </c>
      <c r="O6604" s="1" t="s">
        <v>46</v>
      </c>
    </row>
    <row r="6605" spans="2:15" x14ac:dyDescent="0.3">
      <c r="B6605" s="1" t="s">
        <v>22</v>
      </c>
      <c r="C6605" s="1" t="str">
        <f t="shared" si="323"/>
        <v>4차</v>
      </c>
      <c r="D6605" s="1" t="str">
        <f>"0231Y73139"</f>
        <v>0231Y73139</v>
      </c>
      <c r="E6605" s="1" t="s">
        <v>14</v>
      </c>
      <c r="F6605" s="1" t="str">
        <f>"10.12.132.15"</f>
        <v>10.12.132.15</v>
      </c>
      <c r="G6605" s="1" t="str">
        <f>"0231Y731"</f>
        <v>0231Y731</v>
      </c>
      <c r="H6605" s="1" t="str">
        <f>"창동 18"</f>
        <v>창동 18</v>
      </c>
      <c r="I6605" s="1" t="s">
        <v>17</v>
      </c>
      <c r="J6605" s="1" t="str">
        <f>"0/0"</f>
        <v>0/0</v>
      </c>
      <c r="K6605" s="1" t="str">
        <f>"2026-07-28 13:18:01"</f>
        <v>2026-07-28 13:18:01</v>
      </c>
      <c r="L6605" s="1" t="str">
        <f>"2018-07-12 17:59:50"</f>
        <v>2018-07-12 17:59:50</v>
      </c>
      <c r="M6605" s="1" t="s">
        <v>0</v>
      </c>
      <c r="N6605" s="1" t="s">
        <v>39</v>
      </c>
      <c r="O6605" s="1" t="s">
        <v>46</v>
      </c>
    </row>
    <row r="6606" spans="2:15" x14ac:dyDescent="0.3">
      <c r="B6606" s="1" t="s">
        <v>22</v>
      </c>
      <c r="C6606" s="1" t="str">
        <f t="shared" si="323"/>
        <v>4차</v>
      </c>
      <c r="D6606" s="1" t="str">
        <f>"0231Y91139"</f>
        <v>0231Y91139</v>
      </c>
      <c r="E6606" s="1" t="s">
        <v>14</v>
      </c>
      <c r="F6606" s="1" t="str">
        <f>"10.12.132.24"</f>
        <v>10.12.132.24</v>
      </c>
      <c r="G6606" s="1" t="str">
        <f>"0231Y911"</f>
        <v>0231Y911</v>
      </c>
      <c r="H6606" s="1" t="str">
        <f>"창동 2"</f>
        <v>창동 2</v>
      </c>
      <c r="I6606" s="1" t="s">
        <v>17</v>
      </c>
      <c r="J6606" s="1" t="str">
        <f>"0/0"</f>
        <v>0/0</v>
      </c>
      <c r="K6606" s="1" t="str">
        <f>"2026-06-10 07:18:02"</f>
        <v>2026-06-10 07:18:02</v>
      </c>
      <c r="L6606" s="1" t="str">
        <f>"2018-07-12 17:59:50"</f>
        <v>2018-07-12 17:59:50</v>
      </c>
      <c r="M6606" s="1" t="s">
        <v>0</v>
      </c>
      <c r="N6606" s="1" t="s">
        <v>39</v>
      </c>
      <c r="O6606" s="1" t="s">
        <v>46</v>
      </c>
    </row>
    <row r="6607" spans="2:15" x14ac:dyDescent="0.3">
      <c r="B6607" s="1" t="s">
        <v>22</v>
      </c>
      <c r="C6607" s="1" t="str">
        <f>"5-2차"</f>
        <v>5-2차</v>
      </c>
      <c r="D6607" s="1" t="str">
        <f>"0232A5835M"</f>
        <v>0232A5835M</v>
      </c>
      <c r="E6607" s="1" t="s">
        <v>10</v>
      </c>
      <c r="F6607" s="1" t="str">
        <f>"fde1:103:4:57ed:0:0:0:2"</f>
        <v>fde1:103:4:57ed:0:0:0:2</v>
      </c>
      <c r="G6607" s="1" t="str">
        <f>"0232A583"</f>
        <v>0232A583</v>
      </c>
      <c r="H6607" s="1" t="str">
        <f>"도봉지 5"</f>
        <v>도봉지 5</v>
      </c>
      <c r="I6607" s="1" t="s">
        <v>15</v>
      </c>
      <c r="J6607" s="1" t="str">
        <f>"34/35"</f>
        <v>34/35</v>
      </c>
      <c r="K6607" s="1" t="str">
        <f>"2026-07-29 14:20:04"</f>
        <v>2026-07-29 14:20:04</v>
      </c>
      <c r="L6607" s="1" t="str">
        <f>"2023-10-12 09:43:51"</f>
        <v>2023-10-12 09:43:51</v>
      </c>
      <c r="M6607" s="1" t="s">
        <v>4</v>
      </c>
      <c r="N6607" s="1" t="s">
        <v>38</v>
      </c>
      <c r="O6607" s="1" t="s">
        <v>46</v>
      </c>
    </row>
    <row r="6608" spans="2:15" x14ac:dyDescent="0.3">
      <c r="B6608" s="1" t="s">
        <v>22</v>
      </c>
      <c r="C6608" s="1" t="str">
        <f>"1차"</f>
        <v>1차</v>
      </c>
      <c r="D6608" s="1" t="str">
        <f>"0232A87100"</f>
        <v>0232A87100</v>
      </c>
      <c r="E6608" s="1" t="s">
        <v>10</v>
      </c>
      <c r="F6608" s="1" t="str">
        <f>"10.107.250.135"</f>
        <v>10.107.250.135</v>
      </c>
      <c r="G6608" s="1" t="str">
        <f>"0232A871"</f>
        <v>0232A871</v>
      </c>
      <c r="H6608" s="1" t="str">
        <f>"산장지 51L11"</f>
        <v>산장지 51L11</v>
      </c>
      <c r="I6608" s="1" t="s">
        <v>8</v>
      </c>
      <c r="J6608" s="1" t="str">
        <f>"6/6"</f>
        <v>6/6</v>
      </c>
      <c r="K6608" s="1" t="str">
        <f>"2026-07-29 13:18:03"</f>
        <v>2026-07-29 13:18:03</v>
      </c>
      <c r="L6608" s="1" t="str">
        <f>"2015-01-02 18:09:10"</f>
        <v>2015-01-02 18:09:10</v>
      </c>
      <c r="M6608" s="1" t="s">
        <v>45</v>
      </c>
      <c r="N6608" s="1" t="s">
        <v>38</v>
      </c>
      <c r="O6608" s="1" t="s">
        <v>46</v>
      </c>
    </row>
    <row r="6609" spans="2:15" x14ac:dyDescent="0.3">
      <c r="B6609" s="1" t="s">
        <v>22</v>
      </c>
      <c r="C6609" s="1" t="str">
        <f>"1차"</f>
        <v>1차</v>
      </c>
      <c r="D6609" s="1" t="str">
        <f>"0232A97201"</f>
        <v>0232A97201</v>
      </c>
      <c r="E6609" s="1" t="s">
        <v>10</v>
      </c>
      <c r="F6609" s="1" t="str">
        <f>"10.12.134.183"</f>
        <v>10.12.134.183</v>
      </c>
      <c r="G6609" s="1" t="str">
        <f>"0232A972"</f>
        <v>0232A972</v>
      </c>
      <c r="H6609" s="1" t="str">
        <f>"산장지 51L10"</f>
        <v>산장지 51L10</v>
      </c>
      <c r="I6609" s="1" t="s">
        <v>8</v>
      </c>
      <c r="J6609" s="1" t="str">
        <f>"41/41"</f>
        <v>41/41</v>
      </c>
      <c r="K6609" s="1" t="str">
        <f>"2026-07-29 13:18:04"</f>
        <v>2026-07-29 13:18:04</v>
      </c>
      <c r="L6609" s="1" t="str">
        <f>"2015-01-02 18:10:11"</f>
        <v>2015-01-02 18:10:11</v>
      </c>
      <c r="M6609" s="1" t="s">
        <v>0</v>
      </c>
      <c r="N6609" s="1" t="s">
        <v>38</v>
      </c>
      <c r="O6609" s="1" t="s">
        <v>46</v>
      </c>
    </row>
    <row r="6610" spans="2:15" x14ac:dyDescent="0.3">
      <c r="B6610" s="1" t="s">
        <v>22</v>
      </c>
      <c r="C6610" s="1" t="str">
        <f>"5-1차"</f>
        <v>5-1차</v>
      </c>
      <c r="D6610" s="1" t="str">
        <f>"0232B1415M"</f>
        <v>0232B1415M</v>
      </c>
      <c r="E6610" s="1" t="s">
        <v>10</v>
      </c>
      <c r="F6610" s="1" t="str">
        <f>"fde2:104:0:10c:0:0:0:2"</f>
        <v>fde2:104:0:10c:0:0:0:2</v>
      </c>
      <c r="G6610" s="1" t="str">
        <f>"0232B141"</f>
        <v>0232B141</v>
      </c>
      <c r="H6610" s="1" t="str">
        <f>"산장지 46L10"</f>
        <v>산장지 46L10</v>
      </c>
      <c r="I6610" s="1" t="s">
        <v>15</v>
      </c>
      <c r="J6610" s="1" t="str">
        <f>"79/79"</f>
        <v>79/79</v>
      </c>
      <c r="K6610" s="1" t="str">
        <f>"2026-07-29 14:20:17"</f>
        <v>2026-07-29 14:20:17</v>
      </c>
      <c r="L6610" s="1" t="str">
        <f>"2022-10-13 14:26:12"</f>
        <v>2022-10-13 14:26:12</v>
      </c>
      <c r="M6610" s="1" t="s">
        <v>42</v>
      </c>
      <c r="N6610" s="1" t="s">
        <v>38</v>
      </c>
      <c r="O6610" s="1" t="s">
        <v>46</v>
      </c>
    </row>
    <row r="6611" spans="2:15" x14ac:dyDescent="0.3">
      <c r="B6611" s="1" t="s">
        <v>22</v>
      </c>
      <c r="C6611" s="1" t="str">
        <f>"5-1차"</f>
        <v>5-1차</v>
      </c>
      <c r="D6611" s="1" t="str">
        <f>"0232B2515S"</f>
        <v>0232B2515S</v>
      </c>
      <c r="E6611" s="1" t="s">
        <v>10</v>
      </c>
      <c r="F6611" s="1" t="str">
        <f>"fde2:104:0:11a:0:0:0:2"</f>
        <v>fde2:104:0:11a:0:0:0:2</v>
      </c>
      <c r="G6611" s="1" t="str">
        <f>"0232B251"</f>
        <v>0232B251</v>
      </c>
      <c r="H6611" s="1" t="str">
        <f>"산장지 51L5"</f>
        <v>산장지 51L5</v>
      </c>
      <c r="I6611" s="1" t="s">
        <v>15</v>
      </c>
      <c r="J6611" s="1" t="str">
        <f>"33/33"</f>
        <v>33/33</v>
      </c>
      <c r="K6611" s="1" t="str">
        <f>"2026-07-29 14:20:05"</f>
        <v>2026-07-29 14:20:05</v>
      </c>
      <c r="L6611" s="1" t="str">
        <f>"2022-10-13 14:59:21"</f>
        <v>2022-10-13 14:59:21</v>
      </c>
      <c r="M6611" s="1" t="s">
        <v>42</v>
      </c>
      <c r="N6611" s="1" t="s">
        <v>38</v>
      </c>
      <c r="O6611" s="1" t="s">
        <v>46</v>
      </c>
    </row>
    <row r="6612" spans="2:15" x14ac:dyDescent="0.3">
      <c r="B6612" s="1" t="s">
        <v>22</v>
      </c>
      <c r="C6612" s="1" t="str">
        <f>"1차"</f>
        <v>1차</v>
      </c>
      <c r="D6612" s="1" t="str">
        <f>"0232B25200"</f>
        <v>0232B25200</v>
      </c>
      <c r="E6612" s="1" t="s">
        <v>10</v>
      </c>
      <c r="F6612" s="1" t="str">
        <f>"10.107.250.137"</f>
        <v>10.107.250.137</v>
      </c>
      <c r="G6612" s="1" t="str">
        <f>"0232B252"</f>
        <v>0232B252</v>
      </c>
      <c r="H6612" s="1" t="str">
        <f>"산장지 51L4"</f>
        <v>산장지 51L4</v>
      </c>
      <c r="I6612" s="1" t="s">
        <v>8</v>
      </c>
      <c r="J6612" s="1" t="str">
        <f>"75/75"</f>
        <v>75/75</v>
      </c>
      <c r="K6612" s="1" t="str">
        <f>"2026-07-29 13:18:03"</f>
        <v>2026-07-29 13:18:03</v>
      </c>
      <c r="L6612" s="1" t="str">
        <f>"2014-12-18 10:58:21"</f>
        <v>2014-12-18 10:58:21</v>
      </c>
      <c r="M6612" s="1" t="s">
        <v>45</v>
      </c>
      <c r="N6612" s="1" t="s">
        <v>38</v>
      </c>
      <c r="O6612" s="1" t="s">
        <v>46</v>
      </c>
    </row>
    <row r="6613" spans="2:15" x14ac:dyDescent="0.3">
      <c r="B6613" s="1" t="s">
        <v>22</v>
      </c>
      <c r="C6613" s="1" t="str">
        <f>"5-2차"</f>
        <v>5-2차</v>
      </c>
      <c r="D6613" s="1" t="str">
        <f>"0232B3215M"</f>
        <v>0232B3215M</v>
      </c>
      <c r="E6613" s="1" t="s">
        <v>10</v>
      </c>
      <c r="F6613" s="1" t="str">
        <f>"fde1:103:4:57ff:0:0:0:2"</f>
        <v>fde1:103:4:57ff:0:0:0:2</v>
      </c>
      <c r="G6613" s="1" t="str">
        <f>"0232B321"</f>
        <v>0232B321</v>
      </c>
      <c r="H6613" s="1" t="str">
        <f>"산장지 46L5"</f>
        <v>산장지 46L5</v>
      </c>
      <c r="I6613" s="1" t="s">
        <v>15</v>
      </c>
      <c r="J6613" s="1" t="str">
        <f>"42/42"</f>
        <v>42/42</v>
      </c>
      <c r="K6613" s="1" t="str">
        <f>"2026-07-29 14:20:47"</f>
        <v>2026-07-29 14:20:47</v>
      </c>
      <c r="L6613" s="1" t="str">
        <f>"2023-10-12 09:44:23"</f>
        <v>2023-10-12 09:44:23</v>
      </c>
      <c r="M6613" s="1" t="s">
        <v>4</v>
      </c>
      <c r="N6613" s="1" t="s">
        <v>38</v>
      </c>
      <c r="O6613" s="1" t="s">
        <v>46</v>
      </c>
    </row>
    <row r="6614" spans="2:15" x14ac:dyDescent="0.3">
      <c r="B6614" s="1" t="s">
        <v>22</v>
      </c>
      <c r="C6614" s="1" t="str">
        <f>"1차"</f>
        <v>1차</v>
      </c>
      <c r="D6614" s="1" t="str">
        <f>"0232B35101"</f>
        <v>0232B35101</v>
      </c>
      <c r="E6614" s="1" t="str">
        <f>"검침실패(3시간 이상)"</f>
        <v>검침실패(3시간 이상)</v>
      </c>
      <c r="F6614" s="1" t="str">
        <f>"10.107.250.138"</f>
        <v>10.107.250.138</v>
      </c>
      <c r="G6614" s="1" t="str">
        <f>"0232B351"</f>
        <v>0232B351</v>
      </c>
      <c r="H6614" s="1" t="str">
        <f>"산장지 51L4R1"</f>
        <v>산장지 51L4R1</v>
      </c>
      <c r="I6614" s="1" t="s">
        <v>8</v>
      </c>
      <c r="J6614" s="1" t="str">
        <f>"0/83"</f>
        <v>0/83</v>
      </c>
      <c r="K6614" s="1" t="str">
        <f>"2026-07-29 13:18:02"</f>
        <v>2026-07-29 13:18:02</v>
      </c>
      <c r="L6614" s="1" t="str">
        <f>"2015-01-10 00:13:48"</f>
        <v>2015-01-10 00:13:48</v>
      </c>
      <c r="M6614" s="1" t="s">
        <v>45</v>
      </c>
      <c r="N6614" s="1" t="s">
        <v>38</v>
      </c>
      <c r="O6614" s="1" t="s">
        <v>46</v>
      </c>
    </row>
    <row r="6615" spans="2:15" x14ac:dyDescent="0.3">
      <c r="B6615" s="1" t="s">
        <v>22</v>
      </c>
      <c r="C6615" s="1" t="str">
        <f>"5-1차"</f>
        <v>5-1차</v>
      </c>
      <c r="D6615" s="1" t="str">
        <f>"0232B4115S"</f>
        <v>0232B4115S</v>
      </c>
      <c r="E6615" s="1" t="s">
        <v>10</v>
      </c>
      <c r="F6615" s="1" t="str">
        <f>"fde2:104:0:119:0:0:0:2"</f>
        <v>fde2:104:0:119:0:0:0:2</v>
      </c>
      <c r="G6615" s="1" t="str">
        <f>"0232B411"</f>
        <v>0232B411</v>
      </c>
      <c r="H6615" s="1" t="str">
        <f>"산장지 46L3"</f>
        <v>산장지 46L3</v>
      </c>
      <c r="I6615" s="1" t="s">
        <v>15</v>
      </c>
      <c r="J6615" s="1" t="str">
        <f>"51/51"</f>
        <v>51/51</v>
      </c>
      <c r="K6615" s="1" t="str">
        <f>"2026-07-29 14:20:09"</f>
        <v>2026-07-29 14:20:09</v>
      </c>
      <c r="L6615" s="1" t="str">
        <f>"2022-10-13 13:48:49"</f>
        <v>2022-10-13 13:48:49</v>
      </c>
      <c r="M6615" s="1" t="s">
        <v>42</v>
      </c>
      <c r="N6615" s="1" t="s">
        <v>38</v>
      </c>
      <c r="O6615" s="1" t="s">
        <v>46</v>
      </c>
    </row>
    <row r="6616" spans="2:15" x14ac:dyDescent="0.3">
      <c r="B6616" s="1" t="s">
        <v>22</v>
      </c>
      <c r="C6616" s="1" t="str">
        <f>"5-1차"</f>
        <v>5-1차</v>
      </c>
      <c r="D6616" s="1" t="str">
        <f>"0232B4245S"</f>
        <v>0232B4245S</v>
      </c>
      <c r="E6616" s="1" t="s">
        <v>10</v>
      </c>
      <c r="F6616" s="1" t="str">
        <f>"fde2:104:0:139:0:0:0:2"</f>
        <v>fde2:104:0:139:0:0:0:2</v>
      </c>
      <c r="G6616" s="1" t="str">
        <f>"0232B424"</f>
        <v>0232B424</v>
      </c>
      <c r="H6616" s="1" t="str">
        <f>"산장지 49L2"</f>
        <v>산장지 49L2</v>
      </c>
      <c r="I6616" s="1" t="s">
        <v>15</v>
      </c>
      <c r="J6616" s="1" t="str">
        <f>"47/47"</f>
        <v>47/47</v>
      </c>
      <c r="K6616" s="1" t="str">
        <f>"2026-07-29 14:20:45"</f>
        <v>2026-07-29 14:20:45</v>
      </c>
      <c r="L6616" s="1" t="str">
        <f>"2022-10-14 10:21:36"</f>
        <v>2022-10-14 10:21:36</v>
      </c>
      <c r="M6616" s="1" t="s">
        <v>42</v>
      </c>
      <c r="N6616" s="1" t="s">
        <v>38</v>
      </c>
      <c r="O6616" s="1" t="s">
        <v>46</v>
      </c>
    </row>
    <row r="6617" spans="2:15" x14ac:dyDescent="0.3">
      <c r="B6617" s="1" t="s">
        <v>22</v>
      </c>
      <c r="C6617" s="1" t="str">
        <f>"5-2차"</f>
        <v>5-2차</v>
      </c>
      <c r="D6617" s="1" t="str">
        <f>"0232B4315M"</f>
        <v>0232B4315M</v>
      </c>
      <c r="E6617" s="1" t="s">
        <v>10</v>
      </c>
      <c r="F6617" s="1" t="str">
        <f>"fde1:103:4:578a:0:0:0:2"</f>
        <v>fde1:103:4:578a:0:0:0:2</v>
      </c>
      <c r="G6617" s="1" t="str">
        <f>"0232B431"</f>
        <v>0232B431</v>
      </c>
      <c r="H6617" s="1" t="str">
        <f>"산장지 51L1"</f>
        <v>산장지 51L1</v>
      </c>
      <c r="I6617" s="1" t="s">
        <v>15</v>
      </c>
      <c r="J6617" s="1" t="str">
        <f>"36/36"</f>
        <v>36/36</v>
      </c>
      <c r="K6617" s="1" t="str">
        <f>"2026-07-29 14:21:01"</f>
        <v>2026-07-29 14:21:01</v>
      </c>
      <c r="L6617" s="1" t="str">
        <f>"2023-10-12 09:44:53"</f>
        <v>2023-10-12 09:44:53</v>
      </c>
      <c r="M6617" s="1" t="s">
        <v>4</v>
      </c>
      <c r="N6617" s="1" t="s">
        <v>38</v>
      </c>
      <c r="O6617" s="1" t="s">
        <v>46</v>
      </c>
    </row>
    <row r="6618" spans="2:15" x14ac:dyDescent="0.3">
      <c r="B6618" s="1" t="s">
        <v>22</v>
      </c>
      <c r="C6618" s="1" t="str">
        <f>"1차"</f>
        <v>1차</v>
      </c>
      <c r="D6618" s="1" t="str">
        <f>"0232B53200"</f>
        <v>0232B53200</v>
      </c>
      <c r="E6618" s="1" t="s">
        <v>10</v>
      </c>
      <c r="F6618" s="1" t="str">
        <f>"10.107.250.139"</f>
        <v>10.107.250.139</v>
      </c>
      <c r="G6618" s="1" t="str">
        <f>"0232B532"</f>
        <v>0232B532</v>
      </c>
      <c r="H6618" s="1" t="str">
        <f>"산장지 50"</f>
        <v>산장지 50</v>
      </c>
      <c r="I6618" s="1" t="s">
        <v>8</v>
      </c>
      <c r="J6618" s="1" t="str">
        <f>"14/14"</f>
        <v>14/14</v>
      </c>
      <c r="K6618" s="1" t="str">
        <f>"2026-07-29 13:18:03"</f>
        <v>2026-07-29 13:18:03</v>
      </c>
      <c r="L6618" s="1" t="str">
        <f>"2015-02-05 10:52:17"</f>
        <v>2015-02-05 10:52:17</v>
      </c>
      <c r="M6618" s="1" t="s">
        <v>45</v>
      </c>
      <c r="N6618" s="1" t="s">
        <v>38</v>
      </c>
      <c r="O6618" s="1" t="s">
        <v>46</v>
      </c>
    </row>
    <row r="6619" spans="2:15" x14ac:dyDescent="0.3">
      <c r="B6619" s="1" t="s">
        <v>22</v>
      </c>
      <c r="C6619" s="1" t="str">
        <f>"1차"</f>
        <v>1차</v>
      </c>
      <c r="D6619" s="1" t="str">
        <f>"0232B54101"</f>
        <v>0232B54101</v>
      </c>
      <c r="E6619" s="1" t="s">
        <v>10</v>
      </c>
      <c r="F6619" s="1" t="str">
        <f>"10.107.247.67"</f>
        <v>10.107.247.67</v>
      </c>
      <c r="G6619" s="1" t="str">
        <f>"0232B541"</f>
        <v>0232B541</v>
      </c>
      <c r="H6619" s="1" t="str">
        <f>"산장지 53"</f>
        <v>산장지 53</v>
      </c>
      <c r="I6619" s="1" t="s">
        <v>8</v>
      </c>
      <c r="J6619" s="1" t="str">
        <f>"82/84"</f>
        <v>82/84</v>
      </c>
      <c r="K6619" s="1" t="str">
        <f>"2026-07-29 13:18:03"</f>
        <v>2026-07-29 13:18:03</v>
      </c>
      <c r="L6619" s="1" t="str">
        <f>"2014-12-30 14:28:20"</f>
        <v>2014-12-30 14:28:20</v>
      </c>
      <c r="M6619" s="1" t="s">
        <v>45</v>
      </c>
      <c r="N6619" s="1" t="s">
        <v>38</v>
      </c>
      <c r="O6619" s="1" t="s">
        <v>46</v>
      </c>
    </row>
    <row r="6620" spans="2:15" x14ac:dyDescent="0.3">
      <c r="B6620" s="1" t="s">
        <v>22</v>
      </c>
      <c r="C6620" s="1" t="str">
        <f>"1차"</f>
        <v>1차</v>
      </c>
      <c r="D6620" s="1" t="str">
        <f>"0232B55100"</f>
        <v>0232B55100</v>
      </c>
      <c r="E6620" s="1" t="s">
        <v>10</v>
      </c>
      <c r="F6620" s="1" t="str">
        <f>"10.107.247.66"</f>
        <v>10.107.247.66</v>
      </c>
      <c r="G6620" s="1" t="str">
        <f>"0232B551"</f>
        <v>0232B551</v>
      </c>
      <c r="H6620" s="1" t="str">
        <f>"산장지 54"</f>
        <v>산장지 54</v>
      </c>
      <c r="I6620" s="1" t="s">
        <v>8</v>
      </c>
      <c r="J6620" s="1" t="str">
        <f>"26/30"</f>
        <v>26/30</v>
      </c>
      <c r="K6620" s="1" t="str">
        <f>"2026-07-29 13:18:03"</f>
        <v>2026-07-29 13:18:03</v>
      </c>
      <c r="L6620" s="1" t="str">
        <f>"2014-12-30 14:28:10"</f>
        <v>2014-12-30 14:28:10</v>
      </c>
      <c r="M6620" s="1" t="s">
        <v>45</v>
      </c>
      <c r="N6620" s="1" t="s">
        <v>38</v>
      </c>
      <c r="O6620" s="1" t="s">
        <v>46</v>
      </c>
    </row>
    <row r="6621" spans="2:15" x14ac:dyDescent="0.3">
      <c r="B6621" s="1" t="s">
        <v>22</v>
      </c>
      <c r="C6621" s="1" t="str">
        <f>"3차"</f>
        <v>3차</v>
      </c>
      <c r="D6621" s="1" t="str">
        <f>"0232B55239"</f>
        <v>0232B55239</v>
      </c>
      <c r="E6621" s="1" t="s">
        <v>10</v>
      </c>
      <c r="F6621" s="1" t="str">
        <f>"10.12.130.207"</f>
        <v>10.12.130.207</v>
      </c>
      <c r="G6621" s="1" t="str">
        <f>"0232B552"</f>
        <v>0232B552</v>
      </c>
      <c r="H6621" s="1" t="str">
        <f>"산장지 54L1"</f>
        <v>산장지 54L1</v>
      </c>
      <c r="I6621" s="1" t="s">
        <v>8</v>
      </c>
      <c r="J6621" s="1" t="str">
        <f>"39/40"</f>
        <v>39/40</v>
      </c>
      <c r="K6621" s="1" t="str">
        <f>"2026-07-29 13:18:03"</f>
        <v>2026-07-29 13:18:03</v>
      </c>
      <c r="L6621" s="1" t="str">
        <f>"2023-07-24 17:58:02"</f>
        <v>2023-07-24 17:58:02</v>
      </c>
      <c r="M6621" s="1" t="s">
        <v>0</v>
      </c>
      <c r="N6621" s="1" t="s">
        <v>38</v>
      </c>
      <c r="O6621" s="1" t="s">
        <v>46</v>
      </c>
    </row>
    <row r="6622" spans="2:15" x14ac:dyDescent="0.3">
      <c r="B6622" s="1" t="s">
        <v>22</v>
      </c>
      <c r="C6622" s="1" t="str">
        <f>"5-2차"</f>
        <v>5-2차</v>
      </c>
      <c r="D6622" s="1" t="str">
        <f>"0232B5725M"</f>
        <v>0232B5725M</v>
      </c>
      <c r="E6622" s="1" t="s">
        <v>10</v>
      </c>
      <c r="F6622" s="1" t="str">
        <f>"fde3:102:1420:5200:0:0:0:6"</f>
        <v>fde3:102:1420:5200:0:0:0:6</v>
      </c>
      <c r="G6622" s="1" t="str">
        <f>"0232B572"</f>
        <v>0232B572</v>
      </c>
      <c r="H6622" s="1" t="str">
        <f>"산장지 56"</f>
        <v>산장지 56</v>
      </c>
      <c r="I6622" s="1" t="s">
        <v>15</v>
      </c>
      <c r="J6622" s="1" t="str">
        <f>"21/21"</f>
        <v>21/21</v>
      </c>
      <c r="K6622" s="1" t="str">
        <f>"2026-07-29 14:20:43"</f>
        <v>2026-07-29 14:20:43</v>
      </c>
      <c r="L6622" s="1" t="str">
        <f>"2023-06-19 18:51:29"</f>
        <v>2023-06-19 18:51:29</v>
      </c>
      <c r="M6622" s="1" t="s">
        <v>45</v>
      </c>
      <c r="N6622" s="1" t="s">
        <v>38</v>
      </c>
      <c r="O6622" s="1" t="s">
        <v>46</v>
      </c>
    </row>
    <row r="6623" spans="2:15" x14ac:dyDescent="0.3">
      <c r="B6623" s="1" t="s">
        <v>22</v>
      </c>
      <c r="C6623" s="1" t="str">
        <f>"5-2차"</f>
        <v>5-2차</v>
      </c>
      <c r="D6623" s="1" t="str">
        <f>"0232B6015S"</f>
        <v>0232B6015S</v>
      </c>
      <c r="E6623" s="1" t="s">
        <v>10</v>
      </c>
      <c r="F6623" s="1" t="str">
        <f>"fde3:102:1420:5400:0:0:0:1c"</f>
        <v>fde3:102:1420:5400:0:0:0:1c</v>
      </c>
      <c r="G6623" s="1" t="str">
        <f>"0232B601"</f>
        <v>0232B601</v>
      </c>
      <c r="H6623" s="1" t="str">
        <f>"쌍방간 142L5"</f>
        <v>쌍방간 142L5</v>
      </c>
      <c r="I6623" s="1" t="s">
        <v>15</v>
      </c>
      <c r="J6623" s="1" t="str">
        <f>"44/44"</f>
        <v>44/44</v>
      </c>
      <c r="K6623" s="1" t="str">
        <f>"2026-07-29 14:20:43"</f>
        <v>2026-07-29 14:20:43</v>
      </c>
      <c r="L6623" s="1" t="str">
        <f>"2023-09-19 17:58:14"</f>
        <v>2023-09-19 17:58:14</v>
      </c>
      <c r="M6623" s="1" t="s">
        <v>45</v>
      </c>
      <c r="N6623" s="1" t="s">
        <v>38</v>
      </c>
      <c r="O6623" s="1" t="s">
        <v>46</v>
      </c>
    </row>
    <row r="6624" spans="2:15" x14ac:dyDescent="0.3">
      <c r="B6624" s="1" t="s">
        <v>22</v>
      </c>
      <c r="C6624" s="1" t="str">
        <f>"5-1차"</f>
        <v>5-1차</v>
      </c>
      <c r="D6624" s="1" t="str">
        <f>"0232B6145M"</f>
        <v>0232B6145M</v>
      </c>
      <c r="E6624" s="1" t="s">
        <v>10</v>
      </c>
      <c r="F6624" s="1" t="str">
        <f>"fde2:104:0:166:0:0:0:2"</f>
        <v>fde2:104:0:166:0:0:0:2</v>
      </c>
      <c r="G6624" s="1" t="str">
        <f>"0232B614"</f>
        <v>0232B614</v>
      </c>
      <c r="H6624" s="1" t="str">
        <f>"산장지 46R3"</f>
        <v>산장지 46R3</v>
      </c>
      <c r="I6624" s="1" t="s">
        <v>15</v>
      </c>
      <c r="J6624" s="1" t="str">
        <f>"78/78"</f>
        <v>78/78</v>
      </c>
      <c r="K6624" s="1" t="str">
        <f>"2026-07-29 14:21:20"</f>
        <v>2026-07-29 14:21:20</v>
      </c>
      <c r="L6624" s="1" t="str">
        <f>"2022-10-14 11:06:06"</f>
        <v>2022-10-14 11:06:06</v>
      </c>
      <c r="M6624" s="1" t="s">
        <v>42</v>
      </c>
      <c r="N6624" s="1" t="s">
        <v>38</v>
      </c>
      <c r="O6624" s="1" t="s">
        <v>46</v>
      </c>
    </row>
    <row r="6625" spans="2:15" x14ac:dyDescent="0.3">
      <c r="B6625" s="1" t="s">
        <v>22</v>
      </c>
      <c r="C6625" s="1" t="str">
        <f>"5-1차"</f>
        <v>5-1차</v>
      </c>
      <c r="D6625" s="1" t="str">
        <f>"0232B6225M"</f>
        <v>0232B6225M</v>
      </c>
      <c r="E6625" s="1" t="s">
        <v>10</v>
      </c>
      <c r="F6625" s="1" t="str">
        <f>"fde2:104:0:145:0:0:0:2"</f>
        <v>fde2:104:0:145:0:0:0:2</v>
      </c>
      <c r="G6625" s="1" t="str">
        <f>"0232B622"</f>
        <v>0232B622</v>
      </c>
      <c r="H6625" s="1" t="str">
        <f>"산장SW 1L16"</f>
        <v>산장SW 1L16</v>
      </c>
      <c r="I6625" s="1" t="s">
        <v>15</v>
      </c>
      <c r="J6625" s="1" t="str">
        <f>"9/9"</f>
        <v>9/9</v>
      </c>
      <c r="K6625" s="1" t="str">
        <f>"2026-07-29 14:20:44"</f>
        <v>2026-07-29 14:20:44</v>
      </c>
      <c r="L6625" s="1" t="str">
        <f>"2022-10-14 11:40:21"</f>
        <v>2022-10-14 11:40:21</v>
      </c>
      <c r="M6625" s="1" t="s">
        <v>42</v>
      </c>
      <c r="N6625" s="1" t="s">
        <v>38</v>
      </c>
      <c r="O6625" s="1" t="s">
        <v>46</v>
      </c>
    </row>
    <row r="6626" spans="2:15" x14ac:dyDescent="0.3">
      <c r="B6626" s="1" t="s">
        <v>22</v>
      </c>
      <c r="C6626" s="1" t="str">
        <f>"5-2차"</f>
        <v>5-2차</v>
      </c>
      <c r="D6626" s="1" t="str">
        <f>"0232B6425M"</f>
        <v>0232B6425M</v>
      </c>
      <c r="E6626" s="1" t="s">
        <v>10</v>
      </c>
      <c r="F6626" s="1" t="str">
        <f>"fde3:102:1420:5200:0:0:0:4"</f>
        <v>fde3:102:1420:5200:0:0:0:4</v>
      </c>
      <c r="G6626" s="1" t="str">
        <f>"0232B642"</f>
        <v>0232B642</v>
      </c>
      <c r="H6626" s="1" t="str">
        <f>"산장SW 1L9R3"</f>
        <v>산장SW 1L9R3</v>
      </c>
      <c r="I6626" s="1" t="s">
        <v>15</v>
      </c>
      <c r="J6626" s="1" t="str">
        <f>"42/42"</f>
        <v>42/42</v>
      </c>
      <c r="K6626" s="1" t="str">
        <f>"2026-07-29 14:20:43"</f>
        <v>2026-07-29 14:20:43</v>
      </c>
      <c r="L6626" s="1" t="str">
        <f>"2023-10-11 13:34:35"</f>
        <v>2023-10-11 13:34:35</v>
      </c>
      <c r="M6626" s="1" t="s">
        <v>45</v>
      </c>
      <c r="N6626" s="1" t="s">
        <v>38</v>
      </c>
      <c r="O6626" s="1" t="s">
        <v>46</v>
      </c>
    </row>
    <row r="6627" spans="2:15" x14ac:dyDescent="0.3">
      <c r="B6627" s="1" t="s">
        <v>22</v>
      </c>
      <c r="C6627" s="1" t="str">
        <f>"1차"</f>
        <v>1차</v>
      </c>
      <c r="D6627" s="1" t="str">
        <f>"0232B68100"</f>
        <v>0232B68100</v>
      </c>
      <c r="E6627" s="1" t="s">
        <v>10</v>
      </c>
      <c r="F6627" s="1" t="str">
        <f>"10.107.247.68"</f>
        <v>10.107.247.68</v>
      </c>
      <c r="G6627" s="1" t="str">
        <f>"0232B681"</f>
        <v>0232B681</v>
      </c>
      <c r="H6627" s="1" t="str">
        <f>"산장지 58"</f>
        <v>산장지 58</v>
      </c>
      <c r="I6627" s="1" t="s">
        <v>8</v>
      </c>
      <c r="J6627" s="1" t="str">
        <f>"62/66"</f>
        <v>62/66</v>
      </c>
      <c r="K6627" s="1" t="str">
        <f>"2026-07-29 13:18:01"</f>
        <v>2026-07-29 13:18:01</v>
      </c>
      <c r="L6627" s="1" t="str">
        <f>"2014-12-30 14:28:11"</f>
        <v>2014-12-30 14:28:11</v>
      </c>
      <c r="M6627" s="1" t="s">
        <v>45</v>
      </c>
      <c r="N6627" s="1" t="s">
        <v>38</v>
      </c>
      <c r="O6627" s="1" t="s">
        <v>46</v>
      </c>
    </row>
    <row r="6628" spans="2:15" x14ac:dyDescent="0.3">
      <c r="B6628" s="1" t="s">
        <v>22</v>
      </c>
      <c r="C6628" s="1" t="str">
        <f>"1차"</f>
        <v>1차</v>
      </c>
      <c r="D6628" s="1" t="str">
        <f>"0232B68301"</f>
        <v>0232B68301</v>
      </c>
      <c r="E6628" s="1" t="s">
        <v>10</v>
      </c>
      <c r="F6628" s="1" t="str">
        <f>"10.12.134.137"</f>
        <v>10.12.134.137</v>
      </c>
      <c r="G6628" s="1" t="str">
        <f>"0232B683"</f>
        <v>0232B683</v>
      </c>
      <c r="H6628" s="1" t="str">
        <f>"산장SW 1L3R3"</f>
        <v>산장SW 1L3R3</v>
      </c>
      <c r="I6628" s="1" t="s">
        <v>8</v>
      </c>
      <c r="J6628" s="1" t="str">
        <f>"36/39"</f>
        <v>36/39</v>
      </c>
      <c r="K6628" s="1" t="str">
        <f>"2026-07-29 13:18:04"</f>
        <v>2026-07-29 13:18:04</v>
      </c>
      <c r="L6628" s="1" t="str">
        <f>"2014-12-30 14:28:12"</f>
        <v>2014-12-30 14:28:12</v>
      </c>
      <c r="M6628" s="1" t="s">
        <v>0</v>
      </c>
      <c r="N6628" s="1" t="s">
        <v>38</v>
      </c>
      <c r="O6628" s="1" t="s">
        <v>46</v>
      </c>
    </row>
    <row r="6629" spans="2:15" x14ac:dyDescent="0.3">
      <c r="B6629" s="1" t="s">
        <v>22</v>
      </c>
      <c r="C6629" s="1" t="str">
        <f>"5-2차"</f>
        <v>5-2차</v>
      </c>
      <c r="D6629" s="1" t="str">
        <f>"0232B7025M"</f>
        <v>0232B7025M</v>
      </c>
      <c r="E6629" s="1" t="s">
        <v>10</v>
      </c>
      <c r="F6629" s="1" t="str">
        <f>"fde3:102:1420:5400:0:0:0:1b"</f>
        <v>fde3:102:1420:5400:0:0:0:1b</v>
      </c>
      <c r="G6629" s="1" t="str">
        <f>"0232B702"</f>
        <v>0232B702</v>
      </c>
      <c r="H6629" s="1" t="str">
        <f>"쌍방간 142L2R3"</f>
        <v>쌍방간 142L2R3</v>
      </c>
      <c r="I6629" s="1" t="s">
        <v>15</v>
      </c>
      <c r="J6629" s="1" t="str">
        <f>"66/109"</f>
        <v>66/109</v>
      </c>
      <c r="K6629" s="1" t="str">
        <f>"2026-07-29 14:20:43"</f>
        <v>2026-07-29 14:20:43</v>
      </c>
      <c r="L6629" s="1" t="str">
        <f>"2023-06-19 18:52:15"</f>
        <v>2023-06-19 18:52:15</v>
      </c>
      <c r="M6629" s="1" t="s">
        <v>45</v>
      </c>
      <c r="N6629" s="1" t="s">
        <v>38</v>
      </c>
      <c r="O6629" s="1" t="s">
        <v>46</v>
      </c>
    </row>
    <row r="6630" spans="2:15" x14ac:dyDescent="0.3">
      <c r="B6630" s="1" t="s">
        <v>22</v>
      </c>
      <c r="C6630" s="1" t="str">
        <f>"5-1차"</f>
        <v>5-1차</v>
      </c>
      <c r="D6630" s="1" t="str">
        <f>"0232B7125S"</f>
        <v>0232B7125S</v>
      </c>
      <c r="E6630" s="1" t="s">
        <v>10</v>
      </c>
      <c r="F6630" s="1" t="str">
        <f>"fde3:102:1420:5400:0:0:0:b"</f>
        <v>fde3:102:1420:5400:0:0:0:b</v>
      </c>
      <c r="G6630" s="1" t="str">
        <f>"0232B712"</f>
        <v>0232B712</v>
      </c>
      <c r="H6630" s="1" t="str">
        <f>"쌍방간 142L7"</f>
        <v>쌍방간 142L7</v>
      </c>
      <c r="I6630" s="1" t="s">
        <v>15</v>
      </c>
      <c r="J6630" s="1" t="str">
        <f>"69/69"</f>
        <v>69/69</v>
      </c>
      <c r="K6630" s="1" t="str">
        <f>"2026-07-29 14:20:35"</f>
        <v>2026-07-29 14:20:35</v>
      </c>
      <c r="L6630" s="1" t="str">
        <f>"2022-10-27 11:20:06"</f>
        <v>2022-10-27 11:20:06</v>
      </c>
      <c r="M6630" s="1" t="s">
        <v>45</v>
      </c>
      <c r="N6630" s="1" t="s">
        <v>38</v>
      </c>
      <c r="O6630" s="1" t="s">
        <v>46</v>
      </c>
    </row>
    <row r="6631" spans="2:15" x14ac:dyDescent="0.3">
      <c r="B6631" s="1" t="s">
        <v>22</v>
      </c>
      <c r="C6631" s="1" t="s">
        <v>16</v>
      </c>
      <c r="D6631" s="1" t="str">
        <f>"0232B7415M"</f>
        <v>0232B7415M</v>
      </c>
      <c r="E6631" s="1" t="s">
        <v>10</v>
      </c>
      <c r="F6631" s="1" t="str">
        <f>"fde2:104:0:168:0:0:0:2"</f>
        <v>fde2:104:0:168:0:0:0:2</v>
      </c>
      <c r="G6631" s="1" t="str">
        <f>"0232B741"</f>
        <v>0232B741</v>
      </c>
      <c r="H6631" s="1" t="str">
        <f>"산장SW 1L9R2"</f>
        <v>산장SW 1L9R2</v>
      </c>
      <c r="I6631" s="1" t="s">
        <v>15</v>
      </c>
      <c r="J6631" s="1" t="str">
        <f>"61/61"</f>
        <v>61/61</v>
      </c>
      <c r="K6631" s="1" t="str">
        <f>"2026-07-29 14:20:08"</f>
        <v>2026-07-29 14:20:08</v>
      </c>
      <c r="L6631" s="1" t="str">
        <f>"2026-06-26 14:37:24"</f>
        <v>2026-06-26 14:37:24</v>
      </c>
      <c r="M6631" s="1" t="s">
        <v>42</v>
      </c>
      <c r="N6631" s="1" t="s">
        <v>38</v>
      </c>
      <c r="O6631" s="1" t="s">
        <v>46</v>
      </c>
    </row>
    <row r="6632" spans="2:15" x14ac:dyDescent="0.3">
      <c r="B6632" s="1" t="s">
        <v>22</v>
      </c>
      <c r="C6632" s="1" t="str">
        <f>"5-1차"</f>
        <v>5-1차</v>
      </c>
      <c r="D6632" s="1" t="str">
        <f>"0232B7515M"</f>
        <v>0232B7515M</v>
      </c>
      <c r="E6632" s="1" t="s">
        <v>10</v>
      </c>
      <c r="F6632" s="1" t="str">
        <f>"fde2:104:0:150:0:0:0:2"</f>
        <v>fde2:104:0:150:0:0:0:2</v>
      </c>
      <c r="G6632" s="1" t="str">
        <f>"0232B751"</f>
        <v>0232B751</v>
      </c>
      <c r="H6632" s="1" t="str">
        <f>"산장SW 1L7R2"</f>
        <v>산장SW 1L7R2</v>
      </c>
      <c r="I6632" s="1" t="s">
        <v>15</v>
      </c>
      <c r="J6632" s="1" t="str">
        <f>"46/46"</f>
        <v>46/46</v>
      </c>
      <c r="K6632" s="1" t="str">
        <f>"2026-07-29 14:20:45"</f>
        <v>2026-07-29 14:20:45</v>
      </c>
      <c r="L6632" s="1" t="str">
        <f>"2022-10-14 14:44:43"</f>
        <v>2022-10-14 14:44:43</v>
      </c>
      <c r="M6632" s="1" t="s">
        <v>42</v>
      </c>
      <c r="N6632" s="1" t="s">
        <v>38</v>
      </c>
      <c r="O6632" s="1" t="s">
        <v>46</v>
      </c>
    </row>
    <row r="6633" spans="2:15" x14ac:dyDescent="0.3">
      <c r="B6633" s="1" t="s">
        <v>22</v>
      </c>
      <c r="C6633" s="1" t="str">
        <f>"5-2차"</f>
        <v>5-2차</v>
      </c>
      <c r="D6633" s="1" t="str">
        <f>"0232B7625M"</f>
        <v>0232B7625M</v>
      </c>
      <c r="E6633" s="1" t="s">
        <v>10</v>
      </c>
      <c r="F6633" s="1" t="str">
        <f>"fde3:102:1420:5200:0:0:0:5"</f>
        <v>fde3:102:1420:5200:0:0:0:5</v>
      </c>
      <c r="G6633" s="1" t="str">
        <f>"0232B762"</f>
        <v>0232B762</v>
      </c>
      <c r="H6633" s="1" t="str">
        <f>"산장SW 1L6R3"</f>
        <v>산장SW 1L6R3</v>
      </c>
      <c r="I6633" s="1" t="s">
        <v>15</v>
      </c>
      <c r="J6633" s="1" t="str">
        <f>"110/110"</f>
        <v>110/110</v>
      </c>
      <c r="K6633" s="1" t="str">
        <f>"2026-07-29 14:20:53"</f>
        <v>2026-07-29 14:20:53</v>
      </c>
      <c r="L6633" s="1" t="str">
        <f>"2023-06-19 18:58:02"</f>
        <v>2023-06-19 18:58:02</v>
      </c>
      <c r="M6633" s="1" t="s">
        <v>45</v>
      </c>
      <c r="N6633" s="1" t="s">
        <v>38</v>
      </c>
      <c r="O6633" s="1" t="s">
        <v>46</v>
      </c>
    </row>
    <row r="6634" spans="2:15" x14ac:dyDescent="0.3">
      <c r="B6634" s="1" t="s">
        <v>22</v>
      </c>
      <c r="C6634" s="1" t="str">
        <f>"4차"</f>
        <v>4차</v>
      </c>
      <c r="D6634" s="1" t="str">
        <f>"0232B78242"</f>
        <v>0232B78242</v>
      </c>
      <c r="E6634" s="1" t="s">
        <v>10</v>
      </c>
      <c r="F6634" s="1" t="str">
        <f>"10.107.247.69"</f>
        <v>10.107.247.69</v>
      </c>
      <c r="G6634" s="1" t="str">
        <f>"0232B782"</f>
        <v>0232B782</v>
      </c>
      <c r="H6634" s="1" t="str">
        <f>"산장SW 1L3R2"</f>
        <v>산장SW 1L3R2</v>
      </c>
      <c r="I6634" s="1" t="s">
        <v>8</v>
      </c>
      <c r="J6634" s="1" t="str">
        <f>"53/58"</f>
        <v>53/58</v>
      </c>
      <c r="K6634" s="1" t="str">
        <f>"2026-07-29 13:18:01"</f>
        <v>2026-07-29 13:18:01</v>
      </c>
      <c r="L6634" s="1" t="str">
        <f>"2024-12-23 13:11:22"</f>
        <v>2024-12-23 13:11:22</v>
      </c>
      <c r="M6634" s="1" t="s">
        <v>45</v>
      </c>
      <c r="N6634" s="1" t="s">
        <v>38</v>
      </c>
      <c r="O6634" s="1" t="s">
        <v>46</v>
      </c>
    </row>
    <row r="6635" spans="2:15" x14ac:dyDescent="0.3">
      <c r="B6635" s="1" t="s">
        <v>22</v>
      </c>
      <c r="C6635" s="1" t="str">
        <f>"5-1차"</f>
        <v>5-1차</v>
      </c>
      <c r="D6635" s="1" t="str">
        <f>"0232B8325M"</f>
        <v>0232B8325M</v>
      </c>
      <c r="E6635" s="1" t="s">
        <v>10</v>
      </c>
      <c r="F6635" s="1" t="str">
        <f>"fde2:104:0:167:0:0:0:2"</f>
        <v>fde2:104:0:167:0:0:0:2</v>
      </c>
      <c r="G6635" s="1" t="str">
        <f>"0232B832"</f>
        <v>0232B832</v>
      </c>
      <c r="H6635" s="1" t="str">
        <f>"산장SW 1L10"</f>
        <v>산장SW 1L10</v>
      </c>
      <c r="I6635" s="1" t="s">
        <v>15</v>
      </c>
      <c r="J6635" s="1" t="str">
        <f>"82/82"</f>
        <v>82/82</v>
      </c>
      <c r="K6635" s="1" t="str">
        <f>"2026-07-29 14:20:55"</f>
        <v>2026-07-29 14:20:55</v>
      </c>
      <c r="L6635" s="1" t="str">
        <f>"2022-10-17 09:10:00"</f>
        <v>2022-10-17 09:10:00</v>
      </c>
      <c r="M6635" s="1" t="s">
        <v>42</v>
      </c>
      <c r="N6635" s="1" t="s">
        <v>38</v>
      </c>
      <c r="O6635" s="1" t="s">
        <v>46</v>
      </c>
    </row>
    <row r="6636" spans="2:15" x14ac:dyDescent="0.3">
      <c r="B6636" s="1" t="s">
        <v>22</v>
      </c>
      <c r="C6636" s="1" t="str">
        <f>"5-1차"</f>
        <v>5-1차</v>
      </c>
      <c r="D6636" s="1" t="str">
        <f>"0232B8515S"</f>
        <v>0232B8515S</v>
      </c>
      <c r="E6636" s="1" t="s">
        <v>10</v>
      </c>
      <c r="F6636" s="1" t="str">
        <f>"fde3:102:1420:5300:0:0:0:2"</f>
        <v>fde3:102:1420:5300:0:0:0:2</v>
      </c>
      <c r="G6636" s="1" t="str">
        <f>"0232B851"</f>
        <v>0232B851</v>
      </c>
      <c r="H6636" s="1" t="str">
        <f>"산장SW 1L7"</f>
        <v>산장SW 1L7</v>
      </c>
      <c r="I6636" s="1" t="s">
        <v>15</v>
      </c>
      <c r="J6636" s="1" t="str">
        <f>"50/50"</f>
        <v>50/50</v>
      </c>
      <c r="K6636" s="1" t="str">
        <f>"2026-07-29 14:20:45"</f>
        <v>2026-07-29 14:20:45</v>
      </c>
      <c r="L6636" s="1" t="str">
        <f>"2022-12-06 17:25:10"</f>
        <v>2022-12-06 17:25:10</v>
      </c>
      <c r="M6636" s="1" t="s">
        <v>45</v>
      </c>
      <c r="N6636" s="1" t="s">
        <v>38</v>
      </c>
      <c r="O6636" s="1" t="s">
        <v>46</v>
      </c>
    </row>
    <row r="6637" spans="2:15" x14ac:dyDescent="0.3">
      <c r="B6637" s="1" t="s">
        <v>22</v>
      </c>
      <c r="C6637" s="1" t="str">
        <f>"5-1차"</f>
        <v>5-1차</v>
      </c>
      <c r="D6637" s="1" t="str">
        <f>"0232B8525M"</f>
        <v>0232B8525M</v>
      </c>
      <c r="E6637" s="1" t="s">
        <v>10</v>
      </c>
      <c r="F6637" s="1" t="str">
        <f>"fde2:104:0:100:0:0:0:2"</f>
        <v>fde2:104:0:100:0:0:0:2</v>
      </c>
      <c r="G6637" s="1" t="str">
        <f>"0232B852"</f>
        <v>0232B852</v>
      </c>
      <c r="H6637" s="1" t="str">
        <f>"산장SW 1L8"</f>
        <v>산장SW 1L8</v>
      </c>
      <c r="I6637" s="1" t="s">
        <v>15</v>
      </c>
      <c r="J6637" s="1" t="str">
        <f>"56/57"</f>
        <v>56/57</v>
      </c>
      <c r="K6637" s="1" t="str">
        <f>"2026-07-29 14:20:46"</f>
        <v>2026-07-29 14:20:46</v>
      </c>
      <c r="L6637" s="1" t="str">
        <f>"2022-10-17 09:51:33"</f>
        <v>2022-10-17 09:51:33</v>
      </c>
      <c r="M6637" s="1" t="s">
        <v>42</v>
      </c>
      <c r="N6637" s="1" t="s">
        <v>38</v>
      </c>
      <c r="O6637" s="1" t="s">
        <v>46</v>
      </c>
    </row>
    <row r="6638" spans="2:15" x14ac:dyDescent="0.3">
      <c r="B6638" s="1" t="s">
        <v>22</v>
      </c>
      <c r="C6638" s="1" t="str">
        <f>"1차"</f>
        <v>1차</v>
      </c>
      <c r="D6638" s="1" t="str">
        <f>"0232B87101"</f>
        <v>0232B87101</v>
      </c>
      <c r="E6638" s="1" t="s">
        <v>10</v>
      </c>
      <c r="F6638" s="1" t="str">
        <f>"10.107.247.71"</f>
        <v>10.107.247.71</v>
      </c>
      <c r="G6638" s="1" t="str">
        <f>"0232B871"</f>
        <v>0232B871</v>
      </c>
      <c r="H6638" s="1" t="str">
        <f>"산장SW 1L4"</f>
        <v>산장SW 1L4</v>
      </c>
      <c r="I6638" s="1" t="s">
        <v>8</v>
      </c>
      <c r="J6638" s="1" t="str">
        <f>"16/16"</f>
        <v>16/16</v>
      </c>
      <c r="K6638" s="1" t="str">
        <f>"2026-07-29 13:18:01"</f>
        <v>2026-07-29 13:18:01</v>
      </c>
      <c r="L6638" s="1" t="str">
        <f>"2014-12-30 14:28:27"</f>
        <v>2014-12-30 14:28:27</v>
      </c>
      <c r="M6638" s="1" t="s">
        <v>45</v>
      </c>
      <c r="N6638" s="1" t="s">
        <v>38</v>
      </c>
      <c r="O6638" s="1" t="s">
        <v>46</v>
      </c>
    </row>
    <row r="6639" spans="2:15" x14ac:dyDescent="0.3">
      <c r="B6639" s="1" t="s">
        <v>22</v>
      </c>
      <c r="C6639" s="1" t="str">
        <f>"1차"</f>
        <v>1차</v>
      </c>
      <c r="D6639" s="1" t="str">
        <f>"0232B88100"</f>
        <v>0232B88100</v>
      </c>
      <c r="E6639" s="1" t="s">
        <v>10</v>
      </c>
      <c r="F6639" s="1" t="str">
        <f>"10.107.247.70"</f>
        <v>10.107.247.70</v>
      </c>
      <c r="G6639" s="1" t="str">
        <f>"0232B881"</f>
        <v>0232B881</v>
      </c>
      <c r="H6639" s="1" t="str">
        <f>"산장SW 1L3"</f>
        <v>산장SW 1L3</v>
      </c>
      <c r="I6639" s="1" t="s">
        <v>8</v>
      </c>
      <c r="J6639" s="1" t="str">
        <f>"6/10"</f>
        <v>6/10</v>
      </c>
      <c r="K6639" s="1" t="str">
        <f>"2026-07-29 13:18:01"</f>
        <v>2026-07-29 13:18:01</v>
      </c>
      <c r="L6639" s="1" t="str">
        <f>"2014-12-30 14:27:47"</f>
        <v>2014-12-30 14:27:47</v>
      </c>
      <c r="M6639" s="1" t="s">
        <v>45</v>
      </c>
      <c r="N6639" s="1" t="s">
        <v>38</v>
      </c>
      <c r="O6639" s="1" t="s">
        <v>46</v>
      </c>
    </row>
    <row r="6640" spans="2:15" x14ac:dyDescent="0.3">
      <c r="B6640" s="1" t="s">
        <v>22</v>
      </c>
      <c r="C6640" s="1" t="str">
        <f>"6차"</f>
        <v>6차</v>
      </c>
      <c r="D6640" s="1" t="str">
        <f>"0232B8826S"</f>
        <v>0232B8826S</v>
      </c>
      <c r="E6640" s="1" t="s">
        <v>10</v>
      </c>
      <c r="F6640" s="1" t="str">
        <f>"fde1:103:4:c7a4:0:0:0:2"</f>
        <v>fde1:103:4:c7a4:0:0:0:2</v>
      </c>
      <c r="G6640" s="1" t="str">
        <f>"0232B882"</f>
        <v>0232B882</v>
      </c>
      <c r="H6640" s="1" t="str">
        <f>"산장SW 1L2"</f>
        <v>산장SW 1L2</v>
      </c>
      <c r="I6640" s="1" t="s">
        <v>15</v>
      </c>
      <c r="J6640" s="1" t="str">
        <f>"60/61"</f>
        <v>60/61</v>
      </c>
      <c r="K6640" s="1" t="str">
        <f>"2026-07-29 14:20:14"</f>
        <v>2026-07-29 14:20:14</v>
      </c>
      <c r="L6640" s="1" t="str">
        <f>"2025-01-20 14:07:13"</f>
        <v>2025-01-20 14:07:13</v>
      </c>
      <c r="M6640" s="1" t="s">
        <v>4</v>
      </c>
      <c r="N6640" s="1" t="s">
        <v>38</v>
      </c>
      <c r="O6640" s="1" t="s">
        <v>46</v>
      </c>
    </row>
    <row r="6641" spans="2:15" x14ac:dyDescent="0.3">
      <c r="B6641" s="1" t="s">
        <v>22</v>
      </c>
      <c r="C6641" s="1" t="str">
        <f>"5-1차"</f>
        <v>5-1차</v>
      </c>
      <c r="D6641" s="1" t="str">
        <f>"0232C3115M"</f>
        <v>0232C3115M</v>
      </c>
      <c r="E6641" s="1" t="s">
        <v>10</v>
      </c>
      <c r="F6641" s="1" t="str">
        <f>"fde2:104:0:19a:0:0:0:2"</f>
        <v>fde2:104:0:19a:0:0:0:2</v>
      </c>
      <c r="G6641" s="1" t="str">
        <f>"0232C311"</f>
        <v>0232C311</v>
      </c>
      <c r="H6641" s="1" t="str">
        <f>"산장지 35L9R12"</f>
        <v>산장지 35L9R12</v>
      </c>
      <c r="I6641" s="1" t="s">
        <v>15</v>
      </c>
      <c r="J6641" s="1" t="str">
        <f>"34/38"</f>
        <v>34/38</v>
      </c>
      <c r="K6641" s="1" t="str">
        <f>"2026-07-29 14:20:36"</f>
        <v>2026-07-29 14:20:36</v>
      </c>
      <c r="L6641" s="1" t="str">
        <f>"2022-11-14 17:11:22"</f>
        <v>2022-11-14 17:11:22</v>
      </c>
      <c r="M6641" s="1" t="s">
        <v>42</v>
      </c>
      <c r="N6641" s="1" t="s">
        <v>38</v>
      </c>
      <c r="O6641" s="1" t="s">
        <v>46</v>
      </c>
    </row>
    <row r="6642" spans="2:15" x14ac:dyDescent="0.3">
      <c r="B6642" s="1" t="s">
        <v>22</v>
      </c>
      <c r="C6642" s="1" t="str">
        <f>"5-2차"</f>
        <v>5-2차</v>
      </c>
      <c r="D6642" s="1" t="str">
        <f>"0232C8215M"</f>
        <v>0232C8215M</v>
      </c>
      <c r="E6642" s="1" t="s">
        <v>10</v>
      </c>
      <c r="F6642" s="1" t="str">
        <f>"fde1:103:4:5941:0:0:0:2"</f>
        <v>fde1:103:4:5941:0:0:0:2</v>
      </c>
      <c r="G6642" s="1" t="str">
        <f>"0232C821"</f>
        <v>0232C821</v>
      </c>
      <c r="H6642" s="1" t="str">
        <f>"산장지 35L9R5R3"</f>
        <v>산장지 35L9R5R3</v>
      </c>
      <c r="I6642" s="1" t="s">
        <v>15</v>
      </c>
      <c r="J6642" s="1" t="str">
        <f>"38/38"</f>
        <v>38/38</v>
      </c>
      <c r="K6642" s="1" t="str">
        <f>"2026-07-29 14:20:35"</f>
        <v>2026-07-29 14:20:35</v>
      </c>
      <c r="L6642" s="1" t="str">
        <f>"2023-10-12 09:45:28"</f>
        <v>2023-10-12 09:45:28</v>
      </c>
      <c r="M6642" s="1" t="s">
        <v>4</v>
      </c>
      <c r="N6642" s="1" t="s">
        <v>38</v>
      </c>
      <c r="O6642" s="1" t="s">
        <v>46</v>
      </c>
    </row>
    <row r="6643" spans="2:15" x14ac:dyDescent="0.3">
      <c r="B6643" s="1" t="s">
        <v>22</v>
      </c>
      <c r="C6643" s="1" t="str">
        <f>"5-2차"</f>
        <v>5-2차</v>
      </c>
      <c r="D6643" s="1" t="str">
        <f>"0232C9315M"</f>
        <v>0232C9315M</v>
      </c>
      <c r="E6643" s="1" t="s">
        <v>10</v>
      </c>
      <c r="F6643" s="1" t="str">
        <f>"fde1:103:4:591d:0:0:0:2"</f>
        <v>fde1:103:4:591d:0:0:0:2</v>
      </c>
      <c r="G6643" s="1" t="str">
        <f>"0232C931"</f>
        <v>0232C931</v>
      </c>
      <c r="H6643" s="1" t="str">
        <f>"산장지 35L9R2R3"</f>
        <v>산장지 35L9R2R3</v>
      </c>
      <c r="I6643" s="1" t="s">
        <v>15</v>
      </c>
      <c r="J6643" s="1" t="str">
        <f>"60/60"</f>
        <v>60/60</v>
      </c>
      <c r="K6643" s="1" t="str">
        <f>"2026-07-29 14:20:53"</f>
        <v>2026-07-29 14:20:53</v>
      </c>
      <c r="L6643" s="1" t="str">
        <f>"2023-10-12 10:14:56"</f>
        <v>2023-10-12 10:14:56</v>
      </c>
      <c r="M6643" s="1" t="s">
        <v>4</v>
      </c>
      <c r="N6643" s="1" t="s">
        <v>38</v>
      </c>
      <c r="O6643" s="1" t="s">
        <v>46</v>
      </c>
    </row>
    <row r="6644" spans="2:15" x14ac:dyDescent="0.3">
      <c r="B6644" s="1" t="s">
        <v>22</v>
      </c>
      <c r="C6644" s="1" t="str">
        <f>"5-2차"</f>
        <v>5-2차</v>
      </c>
      <c r="D6644" s="1" t="str">
        <f>"0232D0045S"</f>
        <v>0232D0045S</v>
      </c>
      <c r="E6644" s="1" t="s">
        <v>10</v>
      </c>
      <c r="F6644" s="1" t="str">
        <f>"fde1:103:4:586e:0:0:0:2"</f>
        <v>fde1:103:4:586e:0:0:0:2</v>
      </c>
      <c r="G6644" s="1" t="str">
        <f>"0232D004"</f>
        <v>0232D004</v>
      </c>
      <c r="H6644" s="1" t="str">
        <f>"산장지 34L10"</f>
        <v>산장지 34L10</v>
      </c>
      <c r="I6644" s="1" t="s">
        <v>15</v>
      </c>
      <c r="J6644" s="1" t="str">
        <f>"45/47"</f>
        <v>45/47</v>
      </c>
      <c r="K6644" s="1" t="str">
        <f>"2026-07-29 14:20:46"</f>
        <v>2026-07-29 14:20:46</v>
      </c>
      <c r="L6644" s="1" t="str">
        <f>"2023-10-12 10:16:14"</f>
        <v>2023-10-12 10:16:14</v>
      </c>
      <c r="M6644" s="1" t="s">
        <v>4</v>
      </c>
      <c r="N6644" s="1" t="s">
        <v>38</v>
      </c>
      <c r="O6644" s="1" t="s">
        <v>46</v>
      </c>
    </row>
    <row r="6645" spans="2:15" x14ac:dyDescent="0.3">
      <c r="B6645" s="1" t="s">
        <v>22</v>
      </c>
      <c r="C6645" s="1" t="str">
        <f>"5-1차"</f>
        <v>5-1차</v>
      </c>
      <c r="D6645" s="1" t="str">
        <f>"0232D1335S"</f>
        <v>0232D1335S</v>
      </c>
      <c r="E6645" s="1" t="s">
        <v>10</v>
      </c>
      <c r="F6645" s="1" t="str">
        <f>"fde2:104:0:174:0:0:0:2"</f>
        <v>fde2:104:0:174:0:0:0:2</v>
      </c>
      <c r="G6645" s="1" t="str">
        <f>"0232D133"</f>
        <v>0232D133</v>
      </c>
      <c r="H6645" s="1" t="str">
        <f>"산장지 35L6R4"</f>
        <v>산장지 35L6R4</v>
      </c>
      <c r="I6645" s="1" t="s">
        <v>15</v>
      </c>
      <c r="J6645" s="1" t="str">
        <f>"46/46"</f>
        <v>46/46</v>
      </c>
      <c r="K6645" s="1" t="str">
        <f>"2026-07-29 14:20:47"</f>
        <v>2026-07-29 14:20:47</v>
      </c>
      <c r="L6645" s="1" t="str">
        <f>"2022-11-18 14:16:38"</f>
        <v>2022-11-18 14:16:38</v>
      </c>
      <c r="M6645" s="1" t="s">
        <v>42</v>
      </c>
      <c r="N6645" s="1" t="s">
        <v>38</v>
      </c>
      <c r="O6645" s="1" t="s">
        <v>46</v>
      </c>
    </row>
    <row r="6646" spans="2:15" x14ac:dyDescent="0.3">
      <c r="B6646" s="1" t="s">
        <v>22</v>
      </c>
      <c r="C6646" s="1" t="str">
        <f>"5-2차"</f>
        <v>5-2차</v>
      </c>
      <c r="D6646" s="1" t="str">
        <f>"0232D2025S"</f>
        <v>0232D2025S</v>
      </c>
      <c r="E6646" s="1" t="s">
        <v>10</v>
      </c>
      <c r="F6646" s="1" t="str">
        <f>"fde1:103:4:5938:0:0:0:2"</f>
        <v>fde1:103:4:5938:0:0:0:2</v>
      </c>
      <c r="G6646" s="1" t="str">
        <f>"0232D202"</f>
        <v>0232D202</v>
      </c>
      <c r="H6646" s="1" t="str">
        <f>"산장지 34L6"</f>
        <v>산장지 34L6</v>
      </c>
      <c r="I6646" s="1" t="s">
        <v>15</v>
      </c>
      <c r="J6646" s="1" t="str">
        <f>"31/31"</f>
        <v>31/31</v>
      </c>
      <c r="K6646" s="1" t="str">
        <f>"2026-07-29 14:20:46"</f>
        <v>2026-07-29 14:20:46</v>
      </c>
      <c r="L6646" s="1" t="str">
        <f>"2023-10-12 10:16:42"</f>
        <v>2023-10-12 10:16:42</v>
      </c>
      <c r="M6646" s="1" t="s">
        <v>4</v>
      </c>
      <c r="N6646" s="1" t="s">
        <v>38</v>
      </c>
      <c r="O6646" s="1" t="s">
        <v>46</v>
      </c>
    </row>
    <row r="6647" spans="2:15" x14ac:dyDescent="0.3">
      <c r="B6647" s="1" t="s">
        <v>22</v>
      </c>
      <c r="C6647" s="1" t="str">
        <f>"5-2차"</f>
        <v>5-2차</v>
      </c>
      <c r="D6647" s="1" t="str">
        <f>"0232D2215M"</f>
        <v>0232D2215M</v>
      </c>
      <c r="E6647" s="1" t="s">
        <v>10</v>
      </c>
      <c r="F6647" s="1" t="str">
        <f>"fde1:103:4:58bd:0:0:0:2"</f>
        <v>fde1:103:4:58bd:0:0:0:2</v>
      </c>
      <c r="G6647" s="1" t="str">
        <f>"0232D221"</f>
        <v>0232D221</v>
      </c>
      <c r="H6647" s="1" t="str">
        <f>"산장지 35L6R1"</f>
        <v>산장지 35L6R1</v>
      </c>
      <c r="I6647" s="1" t="s">
        <v>15</v>
      </c>
      <c r="J6647" s="1" t="str">
        <f>"68/68"</f>
        <v>68/68</v>
      </c>
      <c r="K6647" s="1" t="str">
        <f>"2026-07-29 14:20:35"</f>
        <v>2026-07-29 14:20:35</v>
      </c>
      <c r="L6647" s="1" t="str">
        <f>"2023-10-12 10:17:01"</f>
        <v>2023-10-12 10:17:01</v>
      </c>
      <c r="M6647" s="1" t="s">
        <v>4</v>
      </c>
      <c r="N6647" s="1" t="s">
        <v>38</v>
      </c>
      <c r="O6647" s="1" t="s">
        <v>46</v>
      </c>
    </row>
    <row r="6648" spans="2:15" x14ac:dyDescent="0.3">
      <c r="B6648" s="1" t="s">
        <v>22</v>
      </c>
      <c r="C6648" s="1" t="str">
        <f>"5-2차"</f>
        <v>5-2차</v>
      </c>
      <c r="D6648" s="1" t="str">
        <f>"0232D2225M"</f>
        <v>0232D2225M</v>
      </c>
      <c r="E6648" s="1" t="s">
        <v>10</v>
      </c>
      <c r="F6648" s="1" t="str">
        <f>"fde1:103:4:5821:0:0:0:2"</f>
        <v>fde1:103:4:5821:0:0:0:2</v>
      </c>
      <c r="G6648" s="1" t="str">
        <f>"0232D222"</f>
        <v>0232D222</v>
      </c>
      <c r="H6648" s="1" t="str">
        <f>"산장지 35L6R2"</f>
        <v>산장지 35L6R2</v>
      </c>
      <c r="I6648" s="1" t="s">
        <v>15</v>
      </c>
      <c r="J6648" s="1" t="str">
        <f>"38/38"</f>
        <v>38/38</v>
      </c>
      <c r="K6648" s="1" t="str">
        <f>"2026-07-29 14:20:47"</f>
        <v>2026-07-29 14:20:47</v>
      </c>
      <c r="L6648" s="1" t="str">
        <f>"2023-10-12 10:46:54"</f>
        <v>2023-10-12 10:46:54</v>
      </c>
      <c r="M6648" s="1" t="s">
        <v>4</v>
      </c>
      <c r="N6648" s="1" t="s">
        <v>38</v>
      </c>
      <c r="O6648" s="1" t="s">
        <v>46</v>
      </c>
    </row>
    <row r="6649" spans="2:15" x14ac:dyDescent="0.3">
      <c r="B6649" s="1" t="s">
        <v>22</v>
      </c>
      <c r="C6649" s="1" t="str">
        <f>"5-1차"</f>
        <v>5-1차</v>
      </c>
      <c r="D6649" s="1" t="str">
        <f>"0232D2315M"</f>
        <v>0232D2315M</v>
      </c>
      <c r="E6649" s="1" t="s">
        <v>10</v>
      </c>
      <c r="F6649" s="1" t="str">
        <f>"fde2:104:0:184:0:0:0:2"</f>
        <v>fde2:104:0:184:0:0:0:2</v>
      </c>
      <c r="G6649" s="1" t="str">
        <f>"0232D231"</f>
        <v>0232D231</v>
      </c>
      <c r="H6649" s="1" t="str">
        <f>"산장지 35L6R2R1"</f>
        <v>산장지 35L6R2R1</v>
      </c>
      <c r="I6649" s="1" t="s">
        <v>15</v>
      </c>
      <c r="J6649" s="1" t="str">
        <f>"96/96"</f>
        <v>96/96</v>
      </c>
      <c r="K6649" s="1" t="str">
        <f>"2026-07-29 14:20:36"</f>
        <v>2026-07-29 14:20:36</v>
      </c>
      <c r="L6649" s="1" t="str">
        <f>"2022-11-15 14:20:32"</f>
        <v>2022-11-15 14:20:32</v>
      </c>
      <c r="M6649" s="1" t="s">
        <v>42</v>
      </c>
      <c r="N6649" s="1" t="s">
        <v>38</v>
      </c>
      <c r="O6649" s="1" t="s">
        <v>46</v>
      </c>
    </row>
    <row r="6650" spans="2:15" x14ac:dyDescent="0.3">
      <c r="B6650" s="1" t="s">
        <v>22</v>
      </c>
      <c r="C6650" s="1" t="str">
        <f>"5-2차"</f>
        <v>5-2차</v>
      </c>
      <c r="D6650" s="1" t="str">
        <f>"0232D3125M"</f>
        <v>0232D3125M</v>
      </c>
      <c r="E6650" s="1" t="s">
        <v>10</v>
      </c>
      <c r="F6650" s="1" t="str">
        <f>"fde1:103:4:5a1c:0:0:0:2"</f>
        <v>fde1:103:4:5a1c:0:0:0:2</v>
      </c>
      <c r="G6650" s="1" t="str">
        <f>"0232D312"</f>
        <v>0232D312</v>
      </c>
      <c r="H6650" s="1" t="str">
        <f>"산장지 34L4"</f>
        <v>산장지 34L4</v>
      </c>
      <c r="I6650" s="1" t="s">
        <v>15</v>
      </c>
      <c r="J6650" s="1" t="str">
        <f>"65/65"</f>
        <v>65/65</v>
      </c>
      <c r="K6650" s="1" t="str">
        <f>"2026-07-29 14:20:34"</f>
        <v>2026-07-29 14:20:34</v>
      </c>
      <c r="L6650" s="1" t="str">
        <f>"2023-10-12 10:47:22"</f>
        <v>2023-10-12 10:47:22</v>
      </c>
      <c r="M6650" s="1" t="s">
        <v>4</v>
      </c>
      <c r="N6650" s="1" t="s">
        <v>38</v>
      </c>
      <c r="O6650" s="1" t="s">
        <v>46</v>
      </c>
    </row>
    <row r="6651" spans="2:15" x14ac:dyDescent="0.3">
      <c r="B6651" s="1" t="s">
        <v>22</v>
      </c>
      <c r="C6651" s="1" t="str">
        <f>"5-2차"</f>
        <v>5-2차</v>
      </c>
      <c r="D6651" s="1" t="str">
        <f>"0232D3235M"</f>
        <v>0232D3235M</v>
      </c>
      <c r="E6651" s="1" t="s">
        <v>10</v>
      </c>
      <c r="F6651" s="1" t="str">
        <f>"fde1:103:4:57fa:0:0:0:2"</f>
        <v>fde1:103:4:57fa:0:0:0:2</v>
      </c>
      <c r="G6651" s="1" t="str">
        <f>"0232D323"</f>
        <v>0232D323</v>
      </c>
      <c r="H6651" s="1" t="str">
        <f>"산장지 35L3"</f>
        <v>산장지 35L3</v>
      </c>
      <c r="I6651" s="1" t="s">
        <v>15</v>
      </c>
      <c r="J6651" s="1" t="str">
        <f>"46/46"</f>
        <v>46/46</v>
      </c>
      <c r="K6651" s="1" t="str">
        <f>"2026-07-29 14:20:47"</f>
        <v>2026-07-29 14:20:47</v>
      </c>
      <c r="L6651" s="1" t="str">
        <f>"2023-10-12 10:47:48"</f>
        <v>2023-10-12 10:47:48</v>
      </c>
      <c r="M6651" s="1" t="s">
        <v>4</v>
      </c>
      <c r="N6651" s="1" t="s">
        <v>38</v>
      </c>
      <c r="O6651" s="1" t="s">
        <v>46</v>
      </c>
    </row>
    <row r="6652" spans="2:15" x14ac:dyDescent="0.3">
      <c r="B6652" s="1" t="s">
        <v>22</v>
      </c>
      <c r="C6652" s="1" t="str">
        <f>"6차"</f>
        <v>6차</v>
      </c>
      <c r="D6652" s="1" t="str">
        <f>"0232D3416S"</f>
        <v>0232D3416S</v>
      </c>
      <c r="E6652" s="1" t="s">
        <v>10</v>
      </c>
      <c r="F6652" s="1" t="str">
        <f>"fde3:102:1420:5700:0:0:0:3"</f>
        <v>fde3:102:1420:5700:0:0:0:3</v>
      </c>
      <c r="G6652" s="1" t="str">
        <f>"0232D341"</f>
        <v>0232D341</v>
      </c>
      <c r="H6652" s="1" t="str">
        <f>"산장지 35L2R2"</f>
        <v>산장지 35L2R2</v>
      </c>
      <c r="I6652" s="1" t="s">
        <v>15</v>
      </c>
      <c r="J6652" s="1" t="str">
        <f>"111/139"</f>
        <v>111/139</v>
      </c>
      <c r="K6652" s="1" t="str">
        <f>"2026-07-29 14:20:53"</f>
        <v>2026-07-29 14:20:53</v>
      </c>
      <c r="L6652" s="1" t="str">
        <f>"2024-12-03 10:16:10"</f>
        <v>2024-12-03 10:16:10</v>
      </c>
      <c r="M6652" s="1" t="s">
        <v>45</v>
      </c>
      <c r="N6652" s="1" t="s">
        <v>38</v>
      </c>
      <c r="O6652" s="1" t="s">
        <v>46</v>
      </c>
    </row>
    <row r="6653" spans="2:15" x14ac:dyDescent="0.3">
      <c r="B6653" s="1" t="s">
        <v>22</v>
      </c>
      <c r="C6653" s="1" t="str">
        <f>"5-2차"</f>
        <v>5-2차</v>
      </c>
      <c r="D6653" s="1" t="str">
        <f>"0232D3915M"</f>
        <v>0232D3915M</v>
      </c>
      <c r="E6653" s="1" t="s">
        <v>10</v>
      </c>
      <c r="F6653" s="1" t="str">
        <f>"fde3:102:1420:5400:0:0:0:17"</f>
        <v>fde3:102:1420:5400:0:0:0:17</v>
      </c>
      <c r="G6653" s="1" t="str">
        <f>"0232D391"</f>
        <v>0232D391</v>
      </c>
      <c r="H6653" s="1" t="str">
        <f>"산장지 45L3"</f>
        <v>산장지 45L3</v>
      </c>
      <c r="I6653" s="1" t="s">
        <v>15</v>
      </c>
      <c r="J6653" s="1" t="str">
        <f>"42/42"</f>
        <v>42/42</v>
      </c>
      <c r="K6653" s="1" t="str">
        <f>"2026-07-29 14:20:47"</f>
        <v>2026-07-29 14:20:47</v>
      </c>
      <c r="L6653" s="1" t="str">
        <f>"2023-06-19 18:58:37"</f>
        <v>2023-06-19 18:58:37</v>
      </c>
      <c r="M6653" s="1" t="s">
        <v>45</v>
      </c>
      <c r="N6653" s="1" t="s">
        <v>38</v>
      </c>
      <c r="O6653" s="1" t="s">
        <v>46</v>
      </c>
    </row>
    <row r="6654" spans="2:15" x14ac:dyDescent="0.3">
      <c r="B6654" s="1" t="s">
        <v>22</v>
      </c>
      <c r="C6654" s="1" t="str">
        <f>"5-1차"</f>
        <v>5-1차</v>
      </c>
      <c r="D6654" s="1" t="str">
        <f>"0232D4035S"</f>
        <v>0232D4035S</v>
      </c>
      <c r="E6654" s="1" t="s">
        <v>10</v>
      </c>
      <c r="F6654" s="1" t="str">
        <f>"fde3:102:1420:5400:0:0:0:5"</f>
        <v>fde3:102:1420:5400:0:0:0:5</v>
      </c>
      <c r="G6654" s="1" t="str">
        <f>"0232D403"</f>
        <v>0232D403</v>
      </c>
      <c r="H6654" s="1" t="str">
        <f>"산장지 30L2"</f>
        <v>산장지 30L2</v>
      </c>
      <c r="I6654" s="1" t="s">
        <v>15</v>
      </c>
      <c r="J6654" s="1" t="str">
        <f>"54/54"</f>
        <v>54/54</v>
      </c>
      <c r="K6654" s="1" t="str">
        <f>"2026-07-29 14:20:48"</f>
        <v>2026-07-29 14:20:48</v>
      </c>
      <c r="L6654" s="1" t="str">
        <f>"2022-11-04 10:47:36"</f>
        <v>2022-11-04 10:47:36</v>
      </c>
      <c r="M6654" s="1" t="s">
        <v>45</v>
      </c>
      <c r="N6654" s="1" t="s">
        <v>38</v>
      </c>
      <c r="O6654" s="1" t="s">
        <v>46</v>
      </c>
    </row>
    <row r="6655" spans="2:15" x14ac:dyDescent="0.3">
      <c r="B6655" s="1" t="s">
        <v>22</v>
      </c>
      <c r="C6655" s="1" t="str">
        <f>"5-2차"</f>
        <v>5-2차</v>
      </c>
      <c r="D6655" s="1" t="str">
        <f>"0232D4235S"</f>
        <v>0232D4235S</v>
      </c>
      <c r="E6655" s="1" t="s">
        <v>10</v>
      </c>
      <c r="F6655" s="1" t="str">
        <f>"fde1:103:4:5947:0:0:0:2"</f>
        <v>fde1:103:4:5947:0:0:0:2</v>
      </c>
      <c r="G6655" s="1" t="str">
        <f>"0232D423"</f>
        <v>0232D423</v>
      </c>
      <c r="H6655" s="1" t="str">
        <f>"산장지 34L3"</f>
        <v>산장지 34L3</v>
      </c>
      <c r="I6655" s="1" t="s">
        <v>15</v>
      </c>
      <c r="J6655" s="1" t="str">
        <f>"68/68"</f>
        <v>68/68</v>
      </c>
      <c r="K6655" s="1" t="str">
        <f>"2026-07-29 14:20:47"</f>
        <v>2026-07-29 14:20:47</v>
      </c>
      <c r="L6655" s="1" t="str">
        <f>"2023-10-12 10:48:13"</f>
        <v>2023-10-12 10:48:13</v>
      </c>
      <c r="M6655" s="1" t="s">
        <v>4</v>
      </c>
      <c r="N6655" s="1" t="s">
        <v>38</v>
      </c>
      <c r="O6655" s="1" t="s">
        <v>46</v>
      </c>
    </row>
    <row r="6656" spans="2:15" x14ac:dyDescent="0.3">
      <c r="B6656" s="1" t="s">
        <v>22</v>
      </c>
      <c r="C6656" s="1" t="str">
        <f>"5-1차"</f>
        <v>5-1차</v>
      </c>
      <c r="D6656" s="1" t="str">
        <f>"0232D4415S"</f>
        <v>0232D4415S</v>
      </c>
      <c r="E6656" s="1" t="s">
        <v>10</v>
      </c>
      <c r="F6656" s="1" t="str">
        <f>"fde2:104:0:177:0:0:0:2"</f>
        <v>fde2:104:0:177:0:0:0:2</v>
      </c>
      <c r="G6656" s="1" t="str">
        <f>"0232D441"</f>
        <v>0232D441</v>
      </c>
      <c r="H6656" s="1" t="str">
        <f>"산장지 35L2R3"</f>
        <v>산장지 35L2R3</v>
      </c>
      <c r="I6656" s="1" t="s">
        <v>15</v>
      </c>
      <c r="J6656" s="1" t="str">
        <f>"41/41"</f>
        <v>41/41</v>
      </c>
      <c r="K6656" s="1" t="str">
        <f>"2026-07-29 14:20:36"</f>
        <v>2026-07-29 14:20:36</v>
      </c>
      <c r="L6656" s="1" t="str">
        <f>"2022-11-18 12:08:33"</f>
        <v>2022-11-18 12:08:33</v>
      </c>
      <c r="M6656" s="1" t="s">
        <v>42</v>
      </c>
      <c r="N6656" s="1" t="s">
        <v>38</v>
      </c>
      <c r="O6656" s="1" t="s">
        <v>46</v>
      </c>
    </row>
    <row r="6657" spans="2:15" x14ac:dyDescent="0.3">
      <c r="B6657" s="1" t="s">
        <v>22</v>
      </c>
      <c r="C6657" s="1" t="str">
        <f>"5-2차"</f>
        <v>5-2차</v>
      </c>
      <c r="D6657" s="1" t="str">
        <f>"0232D4715M"</f>
        <v>0232D4715M</v>
      </c>
      <c r="E6657" s="1" t="s">
        <v>10</v>
      </c>
      <c r="F6657" s="1" t="str">
        <f>"fde1:103:4:56f3:0:0:0:2"</f>
        <v>fde1:103:4:56f3:0:0:0:2</v>
      </c>
      <c r="G6657" s="1" t="str">
        <f>"0232D471"</f>
        <v>0232D471</v>
      </c>
      <c r="H6657" s="1" t="str">
        <f>"산장지 41L2"</f>
        <v>산장지 41L2</v>
      </c>
      <c r="I6657" s="1" t="s">
        <v>15</v>
      </c>
      <c r="J6657" s="1" t="str">
        <f>"42/42"</f>
        <v>42/42</v>
      </c>
      <c r="K6657" s="1" t="str">
        <f>"2026-07-29 14:20:36"</f>
        <v>2026-07-29 14:20:36</v>
      </c>
      <c r="L6657" s="1" t="str">
        <f>"2023-10-12 11:03:06"</f>
        <v>2023-10-12 11:03:06</v>
      </c>
      <c r="M6657" s="1" t="s">
        <v>4</v>
      </c>
      <c r="N6657" s="1" t="s">
        <v>38</v>
      </c>
      <c r="O6657" s="1" t="s">
        <v>46</v>
      </c>
    </row>
    <row r="6658" spans="2:15" x14ac:dyDescent="0.3">
      <c r="B6658" s="1" t="s">
        <v>22</v>
      </c>
      <c r="C6658" s="1" t="str">
        <f>"5-1차"</f>
        <v>5-1차</v>
      </c>
      <c r="D6658" s="1" t="str">
        <f>"0232D4825S"</f>
        <v>0232D4825S</v>
      </c>
      <c r="E6658" s="1" t="s">
        <v>10</v>
      </c>
      <c r="F6658" s="1" t="str">
        <f>"fde3:102:1420:5400:0:0:0:2"</f>
        <v>fde3:102:1420:5400:0:0:0:2</v>
      </c>
      <c r="G6658" s="1" t="str">
        <f>"0232D482"</f>
        <v>0232D482</v>
      </c>
      <c r="H6658" s="1" t="str">
        <f>"산장지 45L2L1"</f>
        <v>산장지 45L2L1</v>
      </c>
      <c r="I6658" s="1" t="s">
        <v>15</v>
      </c>
      <c r="J6658" s="1" t="str">
        <f>"64/73"</f>
        <v>64/73</v>
      </c>
      <c r="K6658" s="1" t="str">
        <f>"2026-07-29 14:20:35"</f>
        <v>2026-07-29 14:20:35</v>
      </c>
      <c r="L6658" s="1" t="str">
        <f>"2022-11-04 10:08:32"</f>
        <v>2022-11-04 10:08:32</v>
      </c>
      <c r="M6658" s="1" t="s">
        <v>45</v>
      </c>
      <c r="N6658" s="1" t="s">
        <v>38</v>
      </c>
      <c r="O6658" s="1" t="s">
        <v>46</v>
      </c>
    </row>
    <row r="6659" spans="2:15" x14ac:dyDescent="0.3">
      <c r="B6659" s="1" t="s">
        <v>22</v>
      </c>
      <c r="C6659" s="1" t="str">
        <f>"5-2차"</f>
        <v>5-2차</v>
      </c>
      <c r="D6659" s="1" t="str">
        <f>"0232D4935M"</f>
        <v>0232D4935M</v>
      </c>
      <c r="E6659" s="1" t="s">
        <v>10</v>
      </c>
      <c r="F6659" s="1" t="str">
        <f>"fde3:102:1420:5400:0:0:0:16"</f>
        <v>fde3:102:1420:5400:0:0:0:16</v>
      </c>
      <c r="G6659" s="1" t="str">
        <f>"0232D493"</f>
        <v>0232D493</v>
      </c>
      <c r="H6659" s="1" t="str">
        <f>"산장지 45L2"</f>
        <v>산장지 45L2</v>
      </c>
      <c r="I6659" s="1" t="s">
        <v>15</v>
      </c>
      <c r="J6659" s="1" t="str">
        <f>"68/68"</f>
        <v>68/68</v>
      </c>
      <c r="K6659" s="1" t="str">
        <f>"2026-07-29 14:20:47"</f>
        <v>2026-07-29 14:20:47</v>
      </c>
      <c r="L6659" s="1" t="str">
        <f>"2023-06-19 18:59:13"</f>
        <v>2023-06-19 18:59:13</v>
      </c>
      <c r="M6659" s="1" t="s">
        <v>45</v>
      </c>
      <c r="N6659" s="1" t="s">
        <v>38</v>
      </c>
      <c r="O6659" s="1" t="s">
        <v>46</v>
      </c>
    </row>
    <row r="6660" spans="2:15" x14ac:dyDescent="0.3">
      <c r="B6660" s="1" t="s">
        <v>22</v>
      </c>
      <c r="C6660" s="1" t="str">
        <f>"5-2차"</f>
        <v>5-2차</v>
      </c>
      <c r="D6660" s="1" t="str">
        <f>"0232D5025M"</f>
        <v>0232D5025M</v>
      </c>
      <c r="E6660" s="1" t="s">
        <v>10</v>
      </c>
      <c r="F6660" s="1" t="str">
        <f>"fde3:102:1420:5400:0:0:0:15"</f>
        <v>fde3:102:1420:5400:0:0:0:15</v>
      </c>
      <c r="G6660" s="1" t="str">
        <f>"0232D502"</f>
        <v>0232D502</v>
      </c>
      <c r="H6660" s="1" t="str">
        <f>"산장지 30"</f>
        <v>산장지 30</v>
      </c>
      <c r="I6660" s="1" t="s">
        <v>15</v>
      </c>
      <c r="J6660" s="1" t="str">
        <f>"44/44"</f>
        <v>44/44</v>
      </c>
      <c r="K6660" s="1" t="str">
        <f>"2026-07-29 14:20:35"</f>
        <v>2026-07-29 14:20:35</v>
      </c>
      <c r="L6660" s="1" t="str">
        <f>"2023-06-19 19:01:36"</f>
        <v>2023-06-19 19:01:36</v>
      </c>
      <c r="M6660" s="1" t="s">
        <v>45</v>
      </c>
      <c r="N6660" s="1" t="s">
        <v>38</v>
      </c>
      <c r="O6660" s="1" t="s">
        <v>46</v>
      </c>
    </row>
    <row r="6661" spans="2:15" x14ac:dyDescent="0.3">
      <c r="B6661" s="1" t="s">
        <v>22</v>
      </c>
      <c r="C6661" s="1" t="str">
        <f>"5-1차"</f>
        <v>5-1차</v>
      </c>
      <c r="D6661" s="1" t="str">
        <f>"0232D5415M"</f>
        <v>0232D5415M</v>
      </c>
      <c r="E6661" s="1" t="s">
        <v>10</v>
      </c>
      <c r="F6661" s="1" t="str">
        <f>"fde2:104:0:190:0:0:0:2"</f>
        <v>fde2:104:0:190:0:0:0:2</v>
      </c>
      <c r="G6661" s="1" t="str">
        <f>"0232D541"</f>
        <v>0232D541</v>
      </c>
      <c r="H6661" s="1" t="str">
        <f>"산장지 36"</f>
        <v>산장지 36</v>
      </c>
      <c r="I6661" s="1" t="s">
        <v>15</v>
      </c>
      <c r="J6661" s="1" t="str">
        <f>"80/80"</f>
        <v>80/80</v>
      </c>
      <c r="K6661" s="1" t="str">
        <f>"2026-07-29 14:20:37"</f>
        <v>2026-07-29 14:20:37</v>
      </c>
      <c r="L6661" s="1" t="str">
        <f>"2022-11-15 14:40:23"</f>
        <v>2022-11-15 14:40:23</v>
      </c>
      <c r="M6661" s="1" t="s">
        <v>42</v>
      </c>
      <c r="N6661" s="1" t="s">
        <v>38</v>
      </c>
      <c r="O6661" s="1" t="s">
        <v>46</v>
      </c>
    </row>
    <row r="6662" spans="2:15" x14ac:dyDescent="0.3">
      <c r="B6662" s="1" t="s">
        <v>22</v>
      </c>
      <c r="C6662" s="1" t="str">
        <f>"5-1차"</f>
        <v>5-1차</v>
      </c>
      <c r="D6662" s="1" t="str">
        <f>"0232D5535M"</f>
        <v>0232D5535M</v>
      </c>
      <c r="E6662" s="1" t="s">
        <v>10</v>
      </c>
      <c r="F6662" s="1" t="str">
        <f>"fde3:102:1420:5400:0:0:0:4"</f>
        <v>fde3:102:1420:5400:0:0:0:4</v>
      </c>
      <c r="G6662" s="1" t="str">
        <f>"0232D553"</f>
        <v>0232D553</v>
      </c>
      <c r="H6662" s="1" t="str">
        <f>"산장지 38"</f>
        <v>산장지 38</v>
      </c>
      <c r="I6662" s="1" t="s">
        <v>15</v>
      </c>
      <c r="J6662" s="1" t="str">
        <f>"48/48"</f>
        <v>48/48</v>
      </c>
      <c r="K6662" s="1" t="str">
        <f>"2026-07-29 14:20:35"</f>
        <v>2026-07-29 14:20:35</v>
      </c>
      <c r="L6662" s="1" t="str">
        <f>"2022-11-04 10:19:58"</f>
        <v>2022-11-04 10:19:58</v>
      </c>
      <c r="M6662" s="1" t="s">
        <v>45</v>
      </c>
      <c r="N6662" s="1" t="s">
        <v>38</v>
      </c>
      <c r="O6662" s="1" t="s">
        <v>46</v>
      </c>
    </row>
    <row r="6663" spans="2:15" x14ac:dyDescent="0.3">
      <c r="B6663" s="1" t="s">
        <v>22</v>
      </c>
      <c r="C6663" s="1" t="str">
        <f>"5-1차"</f>
        <v>5-1차</v>
      </c>
      <c r="D6663" s="1" t="str">
        <f>"0232D5715M"</f>
        <v>0232D5715M</v>
      </c>
      <c r="E6663" s="1" t="s">
        <v>10</v>
      </c>
      <c r="F6663" s="1" t="str">
        <f>"fde3:102:1420:5400:0:0:0:3"</f>
        <v>fde3:102:1420:5400:0:0:0:3</v>
      </c>
      <c r="G6663" s="1" t="str">
        <f>"0232D571"</f>
        <v>0232D571</v>
      </c>
      <c r="H6663" s="1" t="str">
        <f>"산장지 41"</f>
        <v>산장지 41</v>
      </c>
      <c r="I6663" s="1" t="s">
        <v>15</v>
      </c>
      <c r="J6663" s="1" t="str">
        <f>"51/51"</f>
        <v>51/51</v>
      </c>
      <c r="K6663" s="1" t="str">
        <f>"2026-07-29 14:20:35"</f>
        <v>2026-07-29 14:20:35</v>
      </c>
      <c r="L6663" s="1" t="str">
        <f>"2022-11-04 10:10:22"</f>
        <v>2022-11-04 10:10:22</v>
      </c>
      <c r="M6663" s="1" t="s">
        <v>45</v>
      </c>
      <c r="N6663" s="1" t="s">
        <v>38</v>
      </c>
      <c r="O6663" s="1" t="s">
        <v>46</v>
      </c>
    </row>
    <row r="6664" spans="2:15" x14ac:dyDescent="0.3">
      <c r="B6664" s="1" t="s">
        <v>22</v>
      </c>
      <c r="C6664" s="1" t="str">
        <f>"1차"</f>
        <v>1차</v>
      </c>
      <c r="D6664" s="1" t="str">
        <f>"0232D59100"</f>
        <v>0232D59100</v>
      </c>
      <c r="E6664" s="1" t="s">
        <v>10</v>
      </c>
      <c r="F6664" s="1" t="str">
        <f>"10.107.250.214"</f>
        <v>10.107.250.214</v>
      </c>
      <c r="G6664" s="1" t="str">
        <f>"0232D591"</f>
        <v>0232D591</v>
      </c>
      <c r="H6664" s="1" t="str">
        <f>"산장지 45R1"</f>
        <v>산장지 45R1</v>
      </c>
      <c r="I6664" s="1" t="s">
        <v>8</v>
      </c>
      <c r="J6664" s="1" t="str">
        <f>"19/20"</f>
        <v>19/20</v>
      </c>
      <c r="K6664" s="1" t="str">
        <f>"2026-07-29 13:18:02"</f>
        <v>2026-07-29 13:18:02</v>
      </c>
      <c r="L6664" s="1" t="str">
        <f>"2014-12-18 11:58:34"</f>
        <v>2014-12-18 11:58:34</v>
      </c>
      <c r="M6664" s="1" t="s">
        <v>45</v>
      </c>
      <c r="N6664" s="1" t="s">
        <v>38</v>
      </c>
      <c r="O6664" s="1" t="s">
        <v>46</v>
      </c>
    </row>
    <row r="6665" spans="2:15" x14ac:dyDescent="0.3">
      <c r="B6665" s="1" t="s">
        <v>22</v>
      </c>
      <c r="C6665" s="1" t="str">
        <f>"5-1차"</f>
        <v>5-1차</v>
      </c>
      <c r="D6665" s="1" t="str">
        <f>"0232D6515S"</f>
        <v>0232D6515S</v>
      </c>
      <c r="E6665" s="1" t="s">
        <v>10</v>
      </c>
      <c r="F6665" s="1" t="str">
        <f>"fde3:102:1420:5400:0:0:0:c"</f>
        <v>fde3:102:1420:5400:0:0:0:c</v>
      </c>
      <c r="G6665" s="1" t="str">
        <f>"0232D651"</f>
        <v>0232D651</v>
      </c>
      <c r="H6665" s="1" t="str">
        <f>"산장지 45R8"</f>
        <v>산장지 45R8</v>
      </c>
      <c r="I6665" s="1" t="s">
        <v>15</v>
      </c>
      <c r="J6665" s="1" t="str">
        <f>"71/71"</f>
        <v>71/71</v>
      </c>
      <c r="K6665" s="1" t="str">
        <f>"2026-07-29 14:20:36"</f>
        <v>2026-07-29 14:20:36</v>
      </c>
      <c r="L6665" s="1" t="str">
        <f>"2022-11-08 20:10:19"</f>
        <v>2022-11-08 20:10:19</v>
      </c>
      <c r="M6665" s="1" t="s">
        <v>45</v>
      </c>
      <c r="N6665" s="1" t="s">
        <v>38</v>
      </c>
      <c r="O6665" s="1" t="s">
        <v>46</v>
      </c>
    </row>
    <row r="6666" spans="2:15" x14ac:dyDescent="0.3">
      <c r="B6666" s="1" t="s">
        <v>22</v>
      </c>
      <c r="C6666" s="1" t="str">
        <f>"5-1차"</f>
        <v>5-1차</v>
      </c>
      <c r="D6666" s="1" t="str">
        <f>"0232D6535S"</f>
        <v>0232D6535S</v>
      </c>
      <c r="E6666" s="1" t="s">
        <v>14</v>
      </c>
      <c r="F6666" s="1" t="str">
        <f>"fde3:102:1420:5400:0:0:0:d"</f>
        <v>fde3:102:1420:5400:0:0:0:d</v>
      </c>
      <c r="G6666" s="1" t="str">
        <f>"0232D653"</f>
        <v>0232D653</v>
      </c>
      <c r="H6666" s="1" t="str">
        <f>"산장지 45R7"</f>
        <v>산장지 45R7</v>
      </c>
      <c r="I6666" s="1" t="s">
        <v>15</v>
      </c>
      <c r="J6666" s="1" t="str">
        <f>"0/0"</f>
        <v>0/0</v>
      </c>
      <c r="K6666" s="1" t="str">
        <f>"2026-07-29 14:20:36"</f>
        <v>2026-07-29 14:20:36</v>
      </c>
      <c r="L6666" s="1" t="str">
        <f>"2022-11-08 20:15:12"</f>
        <v>2022-11-08 20:15:12</v>
      </c>
      <c r="M6666" s="1" t="s">
        <v>45</v>
      </c>
      <c r="N6666" s="1" t="s">
        <v>38</v>
      </c>
      <c r="O6666" s="1" t="s">
        <v>44</v>
      </c>
    </row>
    <row r="6667" spans="2:15" x14ac:dyDescent="0.3">
      <c r="B6667" s="1" t="s">
        <v>22</v>
      </c>
      <c r="C6667" s="1" t="str">
        <f>"1차"</f>
        <v>1차</v>
      </c>
      <c r="D6667" s="1" t="str">
        <f>"0232D67200"</f>
        <v>0232D67200</v>
      </c>
      <c r="E6667" s="1" t="s">
        <v>10</v>
      </c>
      <c r="F6667" s="1" t="str">
        <f>"10.107.250.217"</f>
        <v>10.107.250.217</v>
      </c>
      <c r="G6667" s="1" t="str">
        <f>"0232D672"</f>
        <v>0232D672</v>
      </c>
      <c r="H6667" s="1" t="str">
        <f>"산장지 45R3"</f>
        <v>산장지 45R3</v>
      </c>
      <c r="I6667" s="1" t="s">
        <v>8</v>
      </c>
      <c r="J6667" s="1" t="str">
        <f>"57/57"</f>
        <v>57/57</v>
      </c>
      <c r="K6667" s="1" t="str">
        <f>"2026-07-29 13:18:02"</f>
        <v>2026-07-29 13:18:02</v>
      </c>
      <c r="L6667" s="1" t="str">
        <f>"2014-12-18 11:58:33"</f>
        <v>2014-12-18 11:58:33</v>
      </c>
      <c r="M6667" s="1" t="s">
        <v>45</v>
      </c>
      <c r="N6667" s="1" t="s">
        <v>38</v>
      </c>
      <c r="O6667" s="1" t="s">
        <v>46</v>
      </c>
    </row>
    <row r="6668" spans="2:15" x14ac:dyDescent="0.3">
      <c r="B6668" s="1" t="s">
        <v>22</v>
      </c>
      <c r="C6668" s="1" t="str">
        <f>"1차"</f>
        <v>1차</v>
      </c>
      <c r="D6668" s="1" t="str">
        <f>"0232D69201"</f>
        <v>0232D69201</v>
      </c>
      <c r="E6668" s="1" t="s">
        <v>10</v>
      </c>
      <c r="F6668" s="1" t="str">
        <f>"10.12.134.27"</f>
        <v>10.12.134.27</v>
      </c>
      <c r="G6668" s="1" t="str">
        <f>"0232D692"</f>
        <v>0232D692</v>
      </c>
      <c r="H6668" s="1" t="str">
        <f>"쌍방간 142L4L1"</f>
        <v>쌍방간 142L4L1</v>
      </c>
      <c r="I6668" s="1" t="s">
        <v>8</v>
      </c>
      <c r="J6668" s="1" t="str">
        <f>"65/65"</f>
        <v>65/65</v>
      </c>
      <c r="K6668" s="1" t="str">
        <f>"2026-07-29 13:18:04"</f>
        <v>2026-07-29 13:18:04</v>
      </c>
      <c r="L6668" s="1" t="str">
        <f>"2014-12-23 12:43:13"</f>
        <v>2014-12-23 12:43:13</v>
      </c>
      <c r="M6668" s="1" t="s">
        <v>0</v>
      </c>
      <c r="N6668" s="1" t="s">
        <v>38</v>
      </c>
      <c r="O6668" s="1" t="s">
        <v>46</v>
      </c>
    </row>
    <row r="6669" spans="2:15" x14ac:dyDescent="0.3">
      <c r="B6669" s="1" t="s">
        <v>22</v>
      </c>
      <c r="C6669" s="1" t="str">
        <f t="shared" ref="C6669:C6674" si="324">"5-2차"</f>
        <v>5-2차</v>
      </c>
      <c r="D6669" s="1" t="str">
        <f>"0232D7615S"</f>
        <v>0232D7615S</v>
      </c>
      <c r="E6669" s="1" t="s">
        <v>10</v>
      </c>
      <c r="F6669" s="1" t="str">
        <f>"fde3:102:1420:5400:0:0:0:18"</f>
        <v>fde3:102:1420:5400:0:0:0:18</v>
      </c>
      <c r="G6669" s="1" t="str">
        <f>"0232D761"</f>
        <v>0232D761</v>
      </c>
      <c r="H6669" s="1" t="str">
        <f>"쌍방간 137L2"</f>
        <v>쌍방간 137L2</v>
      </c>
      <c r="I6669" s="1" t="s">
        <v>15</v>
      </c>
      <c r="J6669" s="1" t="str">
        <f>"31/31"</f>
        <v>31/31</v>
      </c>
      <c r="K6669" s="1" t="str">
        <f>"2026-07-29 14:20:35"</f>
        <v>2026-07-29 14:20:35</v>
      </c>
      <c r="L6669" s="1" t="str">
        <f>"2023-06-15 15:33:33"</f>
        <v>2023-06-15 15:33:33</v>
      </c>
      <c r="M6669" s="1" t="s">
        <v>45</v>
      </c>
      <c r="N6669" s="1" t="s">
        <v>38</v>
      </c>
      <c r="O6669" s="1" t="s">
        <v>46</v>
      </c>
    </row>
    <row r="6670" spans="2:15" x14ac:dyDescent="0.3">
      <c r="B6670" s="1" t="s">
        <v>22</v>
      </c>
      <c r="C6670" s="1" t="str">
        <f t="shared" si="324"/>
        <v>5-2차</v>
      </c>
      <c r="D6670" s="1" t="str">
        <f>"0232D8835M"</f>
        <v>0232D8835M</v>
      </c>
      <c r="E6670" s="1" t="s">
        <v>10</v>
      </c>
      <c r="F6670" s="1" t="str">
        <f>"fde3:102:1420:5400:0:0:0:1a"</f>
        <v>fde3:102:1420:5400:0:0:0:1a</v>
      </c>
      <c r="G6670" s="1" t="str">
        <f>"0232D883"</f>
        <v>0232D883</v>
      </c>
      <c r="H6670" s="1" t="str">
        <f>"쌍방간 142L2L2"</f>
        <v>쌍방간 142L2L2</v>
      </c>
      <c r="I6670" s="1" t="s">
        <v>15</v>
      </c>
      <c r="J6670" s="1" t="str">
        <f>"46/46"</f>
        <v>46/46</v>
      </c>
      <c r="K6670" s="1" t="str">
        <f>"2026-07-29 14:20:35"</f>
        <v>2026-07-29 14:20:35</v>
      </c>
      <c r="L6670" s="1" t="str">
        <f>"2023-06-19 18:52:50"</f>
        <v>2023-06-19 18:52:50</v>
      </c>
      <c r="M6670" s="1" t="s">
        <v>45</v>
      </c>
      <c r="N6670" s="1" t="s">
        <v>38</v>
      </c>
      <c r="O6670" s="1" t="s">
        <v>46</v>
      </c>
    </row>
    <row r="6671" spans="2:15" x14ac:dyDescent="0.3">
      <c r="B6671" s="1" t="s">
        <v>22</v>
      </c>
      <c r="C6671" s="1" t="str">
        <f t="shared" si="324"/>
        <v>5-2차</v>
      </c>
      <c r="D6671" s="1" t="str">
        <f>"0232Q2015M"</f>
        <v>0232Q2015M</v>
      </c>
      <c r="E6671" s="1" t="s">
        <v>10</v>
      </c>
      <c r="F6671" s="1" t="str">
        <f>"fde3:102:1420:5400:0:0:0:20"</f>
        <v>fde3:102:1420:5400:0:0:0:20</v>
      </c>
      <c r="G6671" s="1" t="str">
        <f>"0232Q201"</f>
        <v>0232Q201</v>
      </c>
      <c r="H6671" s="1" t="str">
        <f>"산장지 13"</f>
        <v>산장지 13</v>
      </c>
      <c r="I6671" s="1" t="s">
        <v>15</v>
      </c>
      <c r="J6671" s="1" t="str">
        <f>"32/32"</f>
        <v>32/32</v>
      </c>
      <c r="K6671" s="1" t="str">
        <f>"2026-07-29 14:20:36"</f>
        <v>2026-07-29 14:20:36</v>
      </c>
      <c r="L6671" s="1" t="str">
        <f>"2023-10-11 13:20:57"</f>
        <v>2023-10-11 13:20:57</v>
      </c>
      <c r="M6671" s="1" t="s">
        <v>45</v>
      </c>
      <c r="N6671" s="1" t="s">
        <v>38</v>
      </c>
      <c r="O6671" s="1" t="s">
        <v>46</v>
      </c>
    </row>
    <row r="6672" spans="2:15" x14ac:dyDescent="0.3">
      <c r="B6672" s="1" t="s">
        <v>22</v>
      </c>
      <c r="C6672" s="1" t="str">
        <f t="shared" si="324"/>
        <v>5-2차</v>
      </c>
      <c r="D6672" s="1" t="str">
        <f>"0232Q3215S"</f>
        <v>0232Q3215S</v>
      </c>
      <c r="E6672" s="1" t="s">
        <v>10</v>
      </c>
      <c r="F6672" s="1" t="str">
        <f>"fde3:102:1420:5500:0:0:0:11"</f>
        <v>fde3:102:1420:5500:0:0:0:11</v>
      </c>
      <c r="G6672" s="1" t="str">
        <f>"0232Q321"</f>
        <v>0232Q321</v>
      </c>
      <c r="H6672" s="1" t="str">
        <f>"산장지 16L1"</f>
        <v>산장지 16L1</v>
      </c>
      <c r="I6672" s="1" t="s">
        <v>15</v>
      </c>
      <c r="J6672" s="1" t="str">
        <f>"40/40"</f>
        <v>40/40</v>
      </c>
      <c r="K6672" s="1" t="str">
        <f>"2026-07-29 14:20:36"</f>
        <v>2026-07-29 14:20:36</v>
      </c>
      <c r="L6672" s="1" t="str">
        <f>"2023-06-15 10:01:14"</f>
        <v>2023-06-15 10:01:14</v>
      </c>
      <c r="M6672" s="1" t="s">
        <v>45</v>
      </c>
      <c r="N6672" s="1" t="s">
        <v>38</v>
      </c>
      <c r="O6672" s="1" t="s">
        <v>46</v>
      </c>
    </row>
    <row r="6673" spans="2:15" x14ac:dyDescent="0.3">
      <c r="B6673" s="1" t="s">
        <v>22</v>
      </c>
      <c r="C6673" s="1" t="str">
        <f t="shared" si="324"/>
        <v>5-2차</v>
      </c>
      <c r="D6673" s="1" t="str">
        <f>"0232Q4225S"</f>
        <v>0232Q4225S</v>
      </c>
      <c r="E6673" s="1" t="s">
        <v>10</v>
      </c>
      <c r="F6673" s="1" t="str">
        <f>"fde3:102:1420:5400:0:0:0:1f"</f>
        <v>fde3:102:1420:5400:0:0:0:1f</v>
      </c>
      <c r="G6673" s="1" t="str">
        <f>"0232Q422"</f>
        <v>0232Q422</v>
      </c>
      <c r="H6673" s="1" t="str">
        <f>"산장지 17"</f>
        <v>산장지 17</v>
      </c>
      <c r="I6673" s="1" t="s">
        <v>15</v>
      </c>
      <c r="J6673" s="1" t="str">
        <f>"56/56"</f>
        <v>56/56</v>
      </c>
      <c r="K6673" s="1" t="str">
        <f>"2026-07-29 14:20:35"</f>
        <v>2026-07-29 14:20:35</v>
      </c>
      <c r="L6673" s="1" t="str">
        <f>"2023-07-17 11:47:35"</f>
        <v>2023-07-17 11:47:35</v>
      </c>
      <c r="M6673" s="1" t="s">
        <v>45</v>
      </c>
      <c r="N6673" s="1" t="s">
        <v>38</v>
      </c>
      <c r="O6673" s="1" t="s">
        <v>46</v>
      </c>
    </row>
    <row r="6674" spans="2:15" x14ac:dyDescent="0.3">
      <c r="B6674" s="1" t="s">
        <v>22</v>
      </c>
      <c r="C6674" s="1" t="str">
        <f t="shared" si="324"/>
        <v>5-2차</v>
      </c>
      <c r="D6674" s="1" t="str">
        <f>"0232Q4325S"</f>
        <v>0232Q4325S</v>
      </c>
      <c r="E6674" s="1" t="s">
        <v>10</v>
      </c>
      <c r="F6674" s="1" t="str">
        <f>"fde3:102:1420:5400:0:0:0:1e"</f>
        <v>fde3:102:1420:5400:0:0:0:1e</v>
      </c>
      <c r="G6674" s="1" t="str">
        <f>"0232Q432"</f>
        <v>0232Q432</v>
      </c>
      <c r="H6674" s="1" t="str">
        <f>"산장지 16L2"</f>
        <v>산장지 16L2</v>
      </c>
      <c r="I6674" s="1" t="s">
        <v>15</v>
      </c>
      <c r="J6674" s="1" t="str">
        <f>"97/97"</f>
        <v>97/97</v>
      </c>
      <c r="K6674" s="1" t="str">
        <f>"2026-07-29 14:20:35"</f>
        <v>2026-07-29 14:20:35</v>
      </c>
      <c r="L6674" s="1" t="str">
        <f>"2023-06-15 10:08:12"</f>
        <v>2023-06-15 10:08:12</v>
      </c>
      <c r="M6674" s="1" t="s">
        <v>45</v>
      </c>
      <c r="N6674" s="1" t="s">
        <v>38</v>
      </c>
      <c r="O6674" s="1" t="s">
        <v>46</v>
      </c>
    </row>
    <row r="6675" spans="2:15" x14ac:dyDescent="0.3">
      <c r="B6675" s="1" t="s">
        <v>22</v>
      </c>
      <c r="C6675" s="1" t="str">
        <f>"6차"</f>
        <v>6차</v>
      </c>
      <c r="D6675" s="1" t="str">
        <f>"0232Q4726S"</f>
        <v>0232Q4726S</v>
      </c>
      <c r="E6675" s="1" t="s">
        <v>10</v>
      </c>
      <c r="F6675" s="1" t="str">
        <f>"fde1:103:4:c856:0:0:0:2"</f>
        <v>fde1:103:4:c856:0:0:0:2</v>
      </c>
      <c r="G6675" s="1" t="str">
        <f>"0232Q472"</f>
        <v>0232Q472</v>
      </c>
      <c r="H6675" s="1" t="str">
        <f>"산장지 22L3"</f>
        <v>산장지 22L3</v>
      </c>
      <c r="I6675" s="1" t="s">
        <v>15</v>
      </c>
      <c r="J6675" s="1" t="str">
        <f>"89/92"</f>
        <v>89/92</v>
      </c>
      <c r="K6675" s="1" t="str">
        <f>"2026-07-29 14:20:36"</f>
        <v>2026-07-29 14:20:36</v>
      </c>
      <c r="L6675" s="1" t="str">
        <f>"2025-01-20 14:06:01"</f>
        <v>2025-01-20 14:06:01</v>
      </c>
      <c r="M6675" s="1" t="s">
        <v>4</v>
      </c>
      <c r="N6675" s="1" t="s">
        <v>38</v>
      </c>
      <c r="O6675" s="1" t="s">
        <v>46</v>
      </c>
    </row>
    <row r="6676" spans="2:15" x14ac:dyDescent="0.3">
      <c r="B6676" s="1" t="s">
        <v>22</v>
      </c>
      <c r="C6676" s="1" t="str">
        <f>"5-2차"</f>
        <v>5-2차</v>
      </c>
      <c r="D6676" s="1" t="str">
        <f>"0232Q5115M"</f>
        <v>0232Q5115M</v>
      </c>
      <c r="E6676" s="1" t="s">
        <v>10</v>
      </c>
      <c r="F6676" s="1" t="str">
        <f>"fde3:102:1420:5500:0:0:0:b"</f>
        <v>fde3:102:1420:5500:0:0:0:b</v>
      </c>
      <c r="G6676" s="1" t="str">
        <f>"0232Q511"</f>
        <v>0232Q511</v>
      </c>
      <c r="H6676" s="1" t="str">
        <f>"쌍방간 111L3"</f>
        <v>쌍방간 111L3</v>
      </c>
      <c r="I6676" s="1" t="s">
        <v>15</v>
      </c>
      <c r="J6676" s="1" t="str">
        <f>"94/95"</f>
        <v>94/95</v>
      </c>
      <c r="K6676" s="1" t="str">
        <f>"2026-07-29 14:20:37"</f>
        <v>2026-07-29 14:20:37</v>
      </c>
      <c r="L6676" s="1" t="str">
        <f>"2023-10-11 13:21:26"</f>
        <v>2023-10-11 13:21:26</v>
      </c>
      <c r="M6676" s="1" t="s">
        <v>45</v>
      </c>
      <c r="N6676" s="1" t="s">
        <v>38</v>
      </c>
      <c r="O6676" s="1" t="s">
        <v>46</v>
      </c>
    </row>
    <row r="6677" spans="2:15" x14ac:dyDescent="0.3">
      <c r="B6677" s="1" t="s">
        <v>22</v>
      </c>
      <c r="C6677" s="1" t="str">
        <f>"6차"</f>
        <v>6차</v>
      </c>
      <c r="D6677" s="1" t="str">
        <f>"0232Q5226S"</f>
        <v>0232Q5226S</v>
      </c>
      <c r="E6677" s="1" t="s">
        <v>10</v>
      </c>
      <c r="F6677" s="1" t="str">
        <f>"fde1:103:4:c7b0:0:0:0:2"</f>
        <v>fde1:103:4:c7b0:0:0:0:2</v>
      </c>
      <c r="G6677" s="1" t="str">
        <f>"0232Q522"</f>
        <v>0232Q522</v>
      </c>
      <c r="H6677" s="1" t="str">
        <f>"산장지 19R1"</f>
        <v>산장지 19R1</v>
      </c>
      <c r="I6677" s="1" t="s">
        <v>15</v>
      </c>
      <c r="J6677" s="1" t="str">
        <f>"26/30"</f>
        <v>26/30</v>
      </c>
      <c r="K6677" s="1" t="str">
        <f>"2026-07-29 14:20:35"</f>
        <v>2026-07-29 14:20:35</v>
      </c>
      <c r="L6677" s="1" t="str">
        <f>"2025-01-20 14:07:29"</f>
        <v>2025-01-20 14:07:29</v>
      </c>
      <c r="M6677" s="1" t="s">
        <v>4</v>
      </c>
      <c r="N6677" s="1" t="s">
        <v>38</v>
      </c>
      <c r="O6677" s="1" t="s">
        <v>46</v>
      </c>
    </row>
    <row r="6678" spans="2:15" x14ac:dyDescent="0.3">
      <c r="B6678" s="1" t="s">
        <v>22</v>
      </c>
      <c r="C6678" s="1" t="str">
        <f>"1차"</f>
        <v>1차</v>
      </c>
      <c r="D6678" s="1" t="str">
        <f>"0232Q54200"</f>
        <v>0232Q54200</v>
      </c>
      <c r="E6678" s="1" t="s">
        <v>10</v>
      </c>
      <c r="F6678" s="1" t="str">
        <f>"10.107.255.26"</f>
        <v>10.107.255.26</v>
      </c>
      <c r="G6678" s="1" t="str">
        <f>"0232Q542"</f>
        <v>0232Q542</v>
      </c>
      <c r="H6678" s="1" t="str">
        <f>"산장지 21"</f>
        <v>산장지 21</v>
      </c>
      <c r="I6678" s="1" t="s">
        <v>8</v>
      </c>
      <c r="J6678" s="1" t="str">
        <f>"18/18"</f>
        <v>18/18</v>
      </c>
      <c r="K6678" s="1" t="str">
        <f>"2026-07-29 13:18:03"</f>
        <v>2026-07-29 13:18:03</v>
      </c>
      <c r="L6678" s="1" t="str">
        <f>"2014-12-26 17:13:27"</f>
        <v>2014-12-26 17:13:27</v>
      </c>
      <c r="M6678" s="1" t="s">
        <v>45</v>
      </c>
      <c r="N6678" s="1" t="s">
        <v>38</v>
      </c>
      <c r="O6678" s="1" t="s">
        <v>46</v>
      </c>
    </row>
    <row r="6679" spans="2:15" x14ac:dyDescent="0.3">
      <c r="B6679" s="1" t="s">
        <v>22</v>
      </c>
      <c r="C6679" s="1" t="str">
        <f>"6차"</f>
        <v>6차</v>
      </c>
      <c r="D6679" s="1" t="str">
        <f>"0232Q5436S"</f>
        <v>0232Q5436S</v>
      </c>
      <c r="E6679" s="1" t="s">
        <v>10</v>
      </c>
      <c r="F6679" s="1" t="str">
        <f>"fde1:103:4:c853:0:0:0:2"</f>
        <v>fde1:103:4:c853:0:0:0:2</v>
      </c>
      <c r="G6679" s="1" t="str">
        <f>"0232Q543"</f>
        <v>0232Q543</v>
      </c>
      <c r="H6679" s="1" t="str">
        <f>"산장지 20"</f>
        <v>산장지 20</v>
      </c>
      <c r="I6679" s="1" t="s">
        <v>15</v>
      </c>
      <c r="J6679" s="1" t="str">
        <f>"82/92"</f>
        <v>82/92</v>
      </c>
      <c r="K6679" s="1" t="str">
        <f>"2026-07-29 14:20:04"</f>
        <v>2026-07-29 14:20:04</v>
      </c>
      <c r="L6679" s="1" t="str">
        <f>"2025-01-20 14:07:38"</f>
        <v>2025-01-20 14:07:38</v>
      </c>
      <c r="M6679" s="1" t="s">
        <v>4</v>
      </c>
      <c r="N6679" s="1" t="s">
        <v>38</v>
      </c>
      <c r="O6679" s="1" t="s">
        <v>46</v>
      </c>
    </row>
    <row r="6680" spans="2:15" x14ac:dyDescent="0.3">
      <c r="B6680" s="1" t="s">
        <v>22</v>
      </c>
      <c r="C6680" s="1" t="str">
        <f>"5-1차"</f>
        <v>5-1차</v>
      </c>
      <c r="D6680" s="1" t="str">
        <f>"0232Q5615M"</f>
        <v>0232Q5615M</v>
      </c>
      <c r="E6680" s="1" t="s">
        <v>10</v>
      </c>
      <c r="F6680" s="1" t="str">
        <f>"fde3:102:1420:5400:0:0:0:7"</f>
        <v>fde3:102:1420:5400:0:0:0:7</v>
      </c>
      <c r="G6680" s="1" t="str">
        <f>"0232Q561"</f>
        <v>0232Q561</v>
      </c>
      <c r="H6680" s="1" t="str">
        <f>"산장지 23"</f>
        <v>산장지 23</v>
      </c>
      <c r="I6680" s="1" t="s">
        <v>15</v>
      </c>
      <c r="J6680" s="1" t="str">
        <f>"19/19"</f>
        <v>19/19</v>
      </c>
      <c r="K6680" s="1" t="str">
        <f>"2026-07-29 14:20:36"</f>
        <v>2026-07-29 14:20:36</v>
      </c>
      <c r="L6680" s="1" t="str">
        <f>"2022-11-23 18:41:59"</f>
        <v>2022-11-23 18:41:59</v>
      </c>
      <c r="M6680" s="1" t="s">
        <v>45</v>
      </c>
      <c r="N6680" s="1" t="s">
        <v>38</v>
      </c>
      <c r="O6680" s="1" t="s">
        <v>46</v>
      </c>
    </row>
    <row r="6681" spans="2:15" x14ac:dyDescent="0.3">
      <c r="B6681" s="1" t="s">
        <v>22</v>
      </c>
      <c r="C6681" s="1" t="str">
        <f>"5-1차"</f>
        <v>5-1차</v>
      </c>
      <c r="D6681" s="1" t="str">
        <f>"0232Q5715M"</f>
        <v>0232Q5715M</v>
      </c>
      <c r="E6681" s="1" t="s">
        <v>10</v>
      </c>
      <c r="F6681" s="1" t="str">
        <f>"fde3:102:1420:5400:0:0:0:6"</f>
        <v>fde3:102:1420:5400:0:0:0:6</v>
      </c>
      <c r="G6681" s="1" t="str">
        <f>"0232Q571"</f>
        <v>0232Q571</v>
      </c>
      <c r="H6681" s="1" t="str">
        <f>"산장지 24"</f>
        <v>산장지 24</v>
      </c>
      <c r="I6681" s="1" t="s">
        <v>15</v>
      </c>
      <c r="J6681" s="1" t="str">
        <f>"29/29"</f>
        <v>29/29</v>
      </c>
      <c r="K6681" s="1" t="str">
        <f>"2026-07-29 14:20:05"</f>
        <v>2026-07-29 14:20:05</v>
      </c>
      <c r="L6681" s="1" t="str">
        <f>"2022-11-04 11:09:07"</f>
        <v>2022-11-04 11:09:07</v>
      </c>
      <c r="M6681" s="1" t="s">
        <v>45</v>
      </c>
      <c r="N6681" s="1" t="s">
        <v>38</v>
      </c>
      <c r="O6681" s="1" t="s">
        <v>46</v>
      </c>
    </row>
    <row r="6682" spans="2:15" x14ac:dyDescent="0.3">
      <c r="B6682" s="1" t="s">
        <v>22</v>
      </c>
      <c r="C6682" s="1" t="str">
        <f>"5-2차"</f>
        <v>5-2차</v>
      </c>
      <c r="D6682" s="1" t="str">
        <f>"0232Q5815M"</f>
        <v>0232Q5815M</v>
      </c>
      <c r="E6682" s="1" t="s">
        <v>10</v>
      </c>
      <c r="F6682" s="1" t="str">
        <f>"fde3:102:1420:5500:0:0:0:12"</f>
        <v>fde3:102:1420:5500:0:0:0:12</v>
      </c>
      <c r="G6682" s="1" t="str">
        <f>"0232Q581"</f>
        <v>0232Q581</v>
      </c>
      <c r="H6682" s="1" t="str">
        <f>"산장지 26"</f>
        <v>산장지 26</v>
      </c>
      <c r="I6682" s="1" t="s">
        <v>15</v>
      </c>
      <c r="J6682" s="1" t="str">
        <f>"33/33"</f>
        <v>33/33</v>
      </c>
      <c r="K6682" s="1" t="str">
        <f>"2026-07-29 14:20:36"</f>
        <v>2026-07-29 14:20:36</v>
      </c>
      <c r="L6682" s="1" t="str">
        <f>"2023-10-11 13:21:56"</f>
        <v>2023-10-11 13:21:56</v>
      </c>
      <c r="M6682" s="1" t="s">
        <v>45</v>
      </c>
      <c r="N6682" s="1" t="s">
        <v>38</v>
      </c>
      <c r="O6682" s="1" t="s">
        <v>46</v>
      </c>
    </row>
    <row r="6683" spans="2:15" x14ac:dyDescent="0.3">
      <c r="B6683" s="1" t="s">
        <v>22</v>
      </c>
      <c r="C6683" s="1" t="str">
        <f>"5-2차"</f>
        <v>5-2차</v>
      </c>
      <c r="D6683" s="1" t="str">
        <f>"0232Q5935M"</f>
        <v>0232Q5935M</v>
      </c>
      <c r="E6683" s="1" t="s">
        <v>10</v>
      </c>
      <c r="F6683" s="1" t="str">
        <f>"fde1:103:4:56ed:0:0:0:2"</f>
        <v>fde1:103:4:56ed:0:0:0:2</v>
      </c>
      <c r="G6683" s="1" t="str">
        <f>"0232Q593"</f>
        <v>0232Q593</v>
      </c>
      <c r="H6683" s="1" t="str">
        <f>"산장지 29"</f>
        <v>산장지 29</v>
      </c>
      <c r="I6683" s="1" t="s">
        <v>15</v>
      </c>
      <c r="J6683" s="1" t="str">
        <f>"54/54"</f>
        <v>54/54</v>
      </c>
      <c r="K6683" s="1" t="str">
        <f>"2026-07-29 14:20:17"</f>
        <v>2026-07-29 14:20:17</v>
      </c>
      <c r="L6683" s="1" t="str">
        <f>"2023-10-12 11:03:34"</f>
        <v>2023-10-12 11:03:34</v>
      </c>
      <c r="M6683" s="1" t="s">
        <v>4</v>
      </c>
      <c r="N6683" s="1" t="s">
        <v>38</v>
      </c>
      <c r="O6683" s="1" t="s">
        <v>46</v>
      </c>
    </row>
    <row r="6684" spans="2:15" x14ac:dyDescent="0.3">
      <c r="B6684" s="1" t="s">
        <v>22</v>
      </c>
      <c r="C6684" s="1" t="str">
        <f>"5-1차"</f>
        <v>5-1차</v>
      </c>
      <c r="D6684" s="1" t="str">
        <f>"0232Q6025M"</f>
        <v>0232Q6025M</v>
      </c>
      <c r="E6684" s="1" t="s">
        <v>10</v>
      </c>
      <c r="F6684" s="1" t="str">
        <f>"fde2:104:0:189:0:0:0:2"</f>
        <v>fde2:104:0:189:0:0:0:2</v>
      </c>
      <c r="G6684" s="1" t="str">
        <f>"0232Q602"</f>
        <v>0232Q602</v>
      </c>
      <c r="H6684" s="1" t="str">
        <f>"쌍방간 111"</f>
        <v>쌍방간 111</v>
      </c>
      <c r="I6684" s="1" t="s">
        <v>15</v>
      </c>
      <c r="J6684" s="1" t="str">
        <f>"54/54"</f>
        <v>54/54</v>
      </c>
      <c r="K6684" s="1" t="str">
        <f>"2026-07-29 14:20:09"</f>
        <v>2026-07-29 14:20:09</v>
      </c>
      <c r="L6684" s="1" t="str">
        <f>"2022-11-15 15:05:38"</f>
        <v>2022-11-15 15:05:38</v>
      </c>
      <c r="M6684" s="1" t="s">
        <v>42</v>
      </c>
      <c r="N6684" s="1" t="s">
        <v>38</v>
      </c>
      <c r="O6684" s="1" t="s">
        <v>46</v>
      </c>
    </row>
    <row r="6685" spans="2:15" x14ac:dyDescent="0.3">
      <c r="B6685" s="1" t="s">
        <v>22</v>
      </c>
      <c r="C6685" s="1" t="str">
        <f>"6차"</f>
        <v>6차</v>
      </c>
      <c r="D6685" s="1" t="str">
        <f>"0232Q6216S"</f>
        <v>0232Q6216S</v>
      </c>
      <c r="E6685" s="1" t="s">
        <v>10</v>
      </c>
      <c r="F6685" s="1" t="str">
        <f>"fde3:102:1420:5500:0:0:0:15"</f>
        <v>fde3:102:1420:5500:0:0:0:15</v>
      </c>
      <c r="G6685" s="1" t="str">
        <f>"0232Q621"</f>
        <v>0232Q621</v>
      </c>
      <c r="H6685" s="1" t="str">
        <f>"쌍방간 114"</f>
        <v>쌍방간 114</v>
      </c>
      <c r="I6685" s="1" t="s">
        <v>15</v>
      </c>
      <c r="J6685" s="1" t="str">
        <f>"53/54"</f>
        <v>53/54</v>
      </c>
      <c r="K6685" s="1" t="str">
        <f>"2026-07-29 14:20:36"</f>
        <v>2026-07-29 14:20:36</v>
      </c>
      <c r="L6685" s="1" t="str">
        <f>"2024-11-23 09:06:09"</f>
        <v>2024-11-23 09:06:09</v>
      </c>
      <c r="M6685" s="1" t="s">
        <v>45</v>
      </c>
      <c r="N6685" s="1" t="s">
        <v>38</v>
      </c>
      <c r="O6685" s="1" t="s">
        <v>46</v>
      </c>
    </row>
    <row r="6686" spans="2:15" x14ac:dyDescent="0.3">
      <c r="B6686" s="1" t="s">
        <v>22</v>
      </c>
      <c r="C6686" s="1" t="str">
        <f>"5-1차"</f>
        <v>5-1차</v>
      </c>
      <c r="D6686" s="1" t="str">
        <f>"0232Q7045M"</f>
        <v>0232Q7045M</v>
      </c>
      <c r="E6686" s="1" t="s">
        <v>10</v>
      </c>
      <c r="F6686" s="1" t="str">
        <f>"fde2:104:0:1a1:0:0:0:2"</f>
        <v>fde2:104:0:1a1:0:0:0:2</v>
      </c>
      <c r="G6686" s="1" t="str">
        <f>"0232Q704"</f>
        <v>0232Q704</v>
      </c>
      <c r="H6686" s="1" t="str">
        <f>"쌍용간 47L12R1"</f>
        <v>쌍용간 47L12R1</v>
      </c>
      <c r="I6686" s="1" t="s">
        <v>15</v>
      </c>
      <c r="J6686" s="1" t="str">
        <f>"44/44"</f>
        <v>44/44</v>
      </c>
      <c r="K6686" s="1" t="str">
        <f>"2026-07-29 14:20:38"</f>
        <v>2026-07-29 14:20:38</v>
      </c>
      <c r="L6686" s="1" t="str">
        <f>"2022-11-22 11:34:05"</f>
        <v>2022-11-22 11:34:05</v>
      </c>
      <c r="M6686" s="1" t="s">
        <v>42</v>
      </c>
      <c r="N6686" s="1" t="s">
        <v>38</v>
      </c>
      <c r="O6686" s="1" t="s">
        <v>46</v>
      </c>
    </row>
    <row r="6687" spans="2:15" x14ac:dyDescent="0.3">
      <c r="B6687" s="1" t="s">
        <v>22</v>
      </c>
      <c r="C6687" s="1" t="str">
        <f>"5-1차"</f>
        <v>5-1차</v>
      </c>
      <c r="D6687" s="1" t="str">
        <f>"0232Q7315M"</f>
        <v>0232Q7315M</v>
      </c>
      <c r="E6687" s="1" t="s">
        <v>10</v>
      </c>
      <c r="F6687" s="1" t="str">
        <f>"fde2:104:0:171:0:0:0:2"</f>
        <v>fde2:104:0:171:0:0:0:2</v>
      </c>
      <c r="G6687" s="1" t="str">
        <f>"0232Q731"</f>
        <v>0232Q731</v>
      </c>
      <c r="H6687" s="1" t="str">
        <f>"쌍방간 116"</f>
        <v>쌍방간 116</v>
      </c>
      <c r="I6687" s="1" t="s">
        <v>15</v>
      </c>
      <c r="J6687" s="1" t="str">
        <f>"62/62"</f>
        <v>62/62</v>
      </c>
      <c r="K6687" s="1" t="str">
        <f>"2026-07-29 14:20:37"</f>
        <v>2026-07-29 14:20:37</v>
      </c>
      <c r="L6687" s="1" t="str">
        <f>"2022-11-15 15:10:08"</f>
        <v>2022-11-15 15:10:08</v>
      </c>
      <c r="M6687" s="1" t="s">
        <v>42</v>
      </c>
      <c r="N6687" s="1" t="s">
        <v>38</v>
      </c>
      <c r="O6687" s="1" t="s">
        <v>46</v>
      </c>
    </row>
    <row r="6688" spans="2:15" x14ac:dyDescent="0.3">
      <c r="B6688" s="1" t="s">
        <v>22</v>
      </c>
      <c r="C6688" s="1" t="str">
        <f>"5-2차"</f>
        <v>5-2차</v>
      </c>
      <c r="D6688" s="1" t="str">
        <f>"0232Q7335M"</f>
        <v>0232Q7335M</v>
      </c>
      <c r="E6688" s="1" t="s">
        <v>10</v>
      </c>
      <c r="F6688" s="1" t="str">
        <f>"fde1:103:4:56f5:0:0:0:2"</f>
        <v>fde1:103:4:56f5:0:0:0:2</v>
      </c>
      <c r="G6688" s="1" t="str">
        <f>"0232Q733"</f>
        <v>0232Q733</v>
      </c>
      <c r="H6688" s="1" t="str">
        <f>"쌍용간 47L9"</f>
        <v>쌍용간 47L9</v>
      </c>
      <c r="I6688" s="1" t="s">
        <v>15</v>
      </c>
      <c r="J6688" s="1" t="str">
        <f>"84/84"</f>
        <v>84/84</v>
      </c>
      <c r="K6688" s="1" t="str">
        <f>"2026-07-29 14:20:36"</f>
        <v>2026-07-29 14:20:36</v>
      </c>
      <c r="L6688" s="1" t="str">
        <f>"2023-10-12 11:04:10"</f>
        <v>2023-10-12 11:04:10</v>
      </c>
      <c r="M6688" s="1" t="s">
        <v>4</v>
      </c>
      <c r="N6688" s="1" t="s">
        <v>38</v>
      </c>
      <c r="O6688" s="1" t="s">
        <v>46</v>
      </c>
    </row>
    <row r="6689" spans="2:15" x14ac:dyDescent="0.3">
      <c r="B6689" s="1" t="s">
        <v>22</v>
      </c>
      <c r="C6689" s="1" t="str">
        <f>"5-1차"</f>
        <v>5-1차</v>
      </c>
      <c r="D6689" s="1" t="str">
        <f>"0232Q7645S"</f>
        <v>0232Q7645S</v>
      </c>
      <c r="E6689" s="1" t="s">
        <v>10</v>
      </c>
      <c r="F6689" s="1" t="str">
        <f>"fde3:102:1420:5500:0:0:0:3"</f>
        <v>fde3:102:1420:5500:0:0:0:3</v>
      </c>
      <c r="G6689" s="1" t="str">
        <f>"0232Q764"</f>
        <v>0232Q764</v>
      </c>
      <c r="H6689" s="1" t="str">
        <f>"쌍방간 122"</f>
        <v>쌍방간 122</v>
      </c>
      <c r="I6689" s="1" t="s">
        <v>15</v>
      </c>
      <c r="J6689" s="1" t="str">
        <f>"43/43"</f>
        <v>43/43</v>
      </c>
      <c r="K6689" s="1" t="str">
        <f>"2026-07-29 14:20:37"</f>
        <v>2026-07-29 14:20:37</v>
      </c>
      <c r="L6689" s="1" t="str">
        <f>"2022-11-04 13:06:53"</f>
        <v>2022-11-04 13:06:53</v>
      </c>
      <c r="M6689" s="1" t="s">
        <v>45</v>
      </c>
      <c r="N6689" s="1" t="s">
        <v>38</v>
      </c>
      <c r="O6689" s="1" t="s">
        <v>46</v>
      </c>
    </row>
    <row r="6690" spans="2:15" x14ac:dyDescent="0.3">
      <c r="B6690" s="1" t="s">
        <v>22</v>
      </c>
      <c r="C6690" s="1" t="str">
        <f>"5-2차"</f>
        <v>5-2차</v>
      </c>
      <c r="D6690" s="1" t="str">
        <f>"0232Q8015M"</f>
        <v>0232Q8015M</v>
      </c>
      <c r="E6690" s="1" t="s">
        <v>10</v>
      </c>
      <c r="F6690" s="1" t="str">
        <f>"fde1:103:4:56f8:0:0:0:2"</f>
        <v>fde1:103:4:56f8:0:0:0:2</v>
      </c>
      <c r="G6690" s="1" t="str">
        <f>"0232Q801"</f>
        <v>0232Q801</v>
      </c>
      <c r="H6690" s="1" t="str">
        <f>"쌍용간 47L15"</f>
        <v>쌍용간 47L15</v>
      </c>
      <c r="I6690" s="1" t="s">
        <v>15</v>
      </c>
      <c r="J6690" s="1" t="str">
        <f>"67/68"</f>
        <v>67/68</v>
      </c>
      <c r="K6690" s="1" t="str">
        <f>"2026-07-29 14:20:37"</f>
        <v>2026-07-29 14:20:37</v>
      </c>
      <c r="L6690" s="1" t="str">
        <f>"2023-10-12 11:04:27"</f>
        <v>2023-10-12 11:04:27</v>
      </c>
      <c r="M6690" s="1" t="s">
        <v>4</v>
      </c>
      <c r="N6690" s="1" t="s">
        <v>38</v>
      </c>
      <c r="O6690" s="1" t="s">
        <v>46</v>
      </c>
    </row>
    <row r="6691" spans="2:15" x14ac:dyDescent="0.3">
      <c r="B6691" s="1" t="s">
        <v>22</v>
      </c>
      <c r="C6691" s="1" t="str">
        <f>"5-2차"</f>
        <v>5-2차</v>
      </c>
      <c r="D6691" s="1" t="str">
        <f>"0232Q8515M"</f>
        <v>0232Q8515M</v>
      </c>
      <c r="E6691" s="1" t="s">
        <v>10</v>
      </c>
      <c r="F6691" s="1" t="str">
        <f>"fde1:103:4:57dc:0:0:0:2"</f>
        <v>fde1:103:4:57dc:0:0:0:2</v>
      </c>
      <c r="G6691" s="1" t="str">
        <f>"0232Q851"</f>
        <v>0232Q851</v>
      </c>
      <c r="H6691" s="1" t="str">
        <f>"쌍용간 47L7R1"</f>
        <v>쌍용간 47L7R1</v>
      </c>
      <c r="I6691" s="1" t="s">
        <v>15</v>
      </c>
      <c r="J6691" s="1" t="str">
        <f>"28/33"</f>
        <v>28/33</v>
      </c>
      <c r="K6691" s="1" t="str">
        <f>"2026-07-29 14:20:05"</f>
        <v>2026-07-29 14:20:05</v>
      </c>
      <c r="L6691" s="1" t="str">
        <f>"2023-10-12 11:18:36"</f>
        <v>2023-10-12 11:18:36</v>
      </c>
      <c r="M6691" s="1" t="s">
        <v>4</v>
      </c>
      <c r="N6691" s="1" t="s">
        <v>38</v>
      </c>
      <c r="O6691" s="1" t="s">
        <v>46</v>
      </c>
    </row>
    <row r="6692" spans="2:15" x14ac:dyDescent="0.3">
      <c r="B6692" s="1" t="s">
        <v>22</v>
      </c>
      <c r="C6692" s="1" t="str">
        <f>"4차"</f>
        <v>4차</v>
      </c>
      <c r="D6692" s="1" t="str">
        <f>"0232R21144"</f>
        <v>0232R21144</v>
      </c>
      <c r="E6692" s="1" t="s">
        <v>10</v>
      </c>
      <c r="F6692" s="1" t="str">
        <f>"10.107.248.136"</f>
        <v>10.107.248.136</v>
      </c>
      <c r="G6692" s="1" t="str">
        <f>"0232R211"</f>
        <v>0232R211</v>
      </c>
      <c r="H6692" s="1" t="str">
        <f>"방학지 28R8L1R3"</f>
        <v>방학지 28R8L1R3</v>
      </c>
      <c r="I6692" s="1" t="s">
        <v>8</v>
      </c>
      <c r="J6692" s="1" t="str">
        <f>"29/29"</f>
        <v>29/29</v>
      </c>
      <c r="K6692" s="1" t="str">
        <f>"2026-07-29 13:18:03"</f>
        <v>2026-07-29 13:18:03</v>
      </c>
      <c r="L6692" s="1" t="str">
        <f>"2019-12-13 09:10:48"</f>
        <v>2019-12-13 09:10:48</v>
      </c>
      <c r="M6692" s="1" t="s">
        <v>45</v>
      </c>
      <c r="N6692" s="1" t="s">
        <v>38</v>
      </c>
      <c r="O6692" s="1" t="s">
        <v>46</v>
      </c>
    </row>
    <row r="6693" spans="2:15" x14ac:dyDescent="0.3">
      <c r="B6693" s="1" t="s">
        <v>22</v>
      </c>
      <c r="C6693" s="1" t="str">
        <f>"4차"</f>
        <v>4차</v>
      </c>
      <c r="D6693" s="1" t="str">
        <f>"0232R22244"</f>
        <v>0232R22244</v>
      </c>
      <c r="E6693" s="1" t="s">
        <v>10</v>
      </c>
      <c r="F6693" s="1" t="str">
        <f>"10.107.248.137"</f>
        <v>10.107.248.137</v>
      </c>
      <c r="G6693" s="1" t="str">
        <f>"0232R222"</f>
        <v>0232R222</v>
      </c>
      <c r="H6693" s="1" t="str">
        <f>"방학지 28R8L1R4"</f>
        <v>방학지 28R8L1R4</v>
      </c>
      <c r="I6693" s="1" t="s">
        <v>8</v>
      </c>
      <c r="J6693" s="1" t="str">
        <f>"22/22"</f>
        <v>22/22</v>
      </c>
      <c r="K6693" s="1" t="str">
        <f>"2026-07-29 13:18:03"</f>
        <v>2026-07-29 13:18:03</v>
      </c>
      <c r="L6693" s="1" t="str">
        <f>"2019-12-13 09:16:39"</f>
        <v>2019-12-13 09:16:39</v>
      </c>
      <c r="M6693" s="1" t="s">
        <v>45</v>
      </c>
      <c r="N6693" s="1" t="s">
        <v>38</v>
      </c>
      <c r="O6693" s="1" t="s">
        <v>46</v>
      </c>
    </row>
    <row r="6694" spans="2:15" x14ac:dyDescent="0.3">
      <c r="B6694" s="1" t="s">
        <v>22</v>
      </c>
      <c r="C6694" s="1" t="str">
        <f>"5-2차"</f>
        <v>5-2차</v>
      </c>
      <c r="D6694" s="1" t="str">
        <f>"0232R3015M"</f>
        <v>0232R3015M</v>
      </c>
      <c r="E6694" s="1" t="s">
        <v>10</v>
      </c>
      <c r="F6694" s="1" t="str">
        <f>"fde1:103:4:919e:0:0:0:2"</f>
        <v>fde1:103:4:919e:0:0:0:2</v>
      </c>
      <c r="G6694" s="1" t="str">
        <f>"0232R301"</f>
        <v>0232R301</v>
      </c>
      <c r="H6694" s="1" t="str">
        <f>"방학지 28R8L1"</f>
        <v>방학지 28R8L1</v>
      </c>
      <c r="I6694" s="1" t="s">
        <v>15</v>
      </c>
      <c r="J6694" s="1" t="str">
        <f>"76/76"</f>
        <v>76/76</v>
      </c>
      <c r="K6694" s="1" t="str">
        <f>"2026-07-29 14:21:10"</f>
        <v>2026-07-29 14:21:10</v>
      </c>
      <c r="L6694" s="1" t="str">
        <f>"2023-12-20 13:05:33"</f>
        <v>2023-12-20 13:05:33</v>
      </c>
      <c r="M6694" s="1" t="s">
        <v>4</v>
      </c>
      <c r="N6694" s="1" t="s">
        <v>38</v>
      </c>
      <c r="O6694" s="1" t="s">
        <v>46</v>
      </c>
    </row>
    <row r="6695" spans="2:15" x14ac:dyDescent="0.3">
      <c r="B6695" s="1" t="s">
        <v>22</v>
      </c>
      <c r="C6695" s="1" t="str">
        <f>"3차"</f>
        <v>3차</v>
      </c>
      <c r="D6695" s="1" t="str">
        <f>"0232R30239"</f>
        <v>0232R30239</v>
      </c>
      <c r="E6695" s="1" t="s">
        <v>10</v>
      </c>
      <c r="F6695" s="1" t="str">
        <f>"10.107.248.138"</f>
        <v>10.107.248.138</v>
      </c>
      <c r="G6695" s="1" t="str">
        <f>"0232R302"</f>
        <v>0232R302</v>
      </c>
      <c r="H6695" s="1" t="str">
        <f>"방학지 28R8"</f>
        <v>방학지 28R8</v>
      </c>
      <c r="I6695" s="1" t="s">
        <v>8</v>
      </c>
      <c r="J6695" s="1" t="str">
        <f>"18/18"</f>
        <v>18/18</v>
      </c>
      <c r="K6695" s="1" t="str">
        <f t="shared" ref="K6695:K6702" si="325">"2026-07-29 13:18:03"</f>
        <v>2026-07-29 13:18:03</v>
      </c>
      <c r="L6695" s="1" t="str">
        <f>"2018-06-22 16:41:13"</f>
        <v>2018-06-22 16:41:13</v>
      </c>
      <c r="M6695" s="1" t="s">
        <v>45</v>
      </c>
      <c r="N6695" s="1" t="s">
        <v>38</v>
      </c>
      <c r="O6695" s="1" t="s">
        <v>46</v>
      </c>
    </row>
    <row r="6696" spans="2:15" x14ac:dyDescent="0.3">
      <c r="B6696" s="1" t="s">
        <v>22</v>
      </c>
      <c r="C6696" s="1" t="str">
        <f>"3차"</f>
        <v>3차</v>
      </c>
      <c r="D6696" s="1" t="str">
        <f>"0232R40139"</f>
        <v>0232R40139</v>
      </c>
      <c r="E6696" s="1" t="s">
        <v>10</v>
      </c>
      <c r="F6696" s="1" t="str">
        <f>"10.107.250.133"</f>
        <v>10.107.250.133</v>
      </c>
      <c r="G6696" s="1" t="str">
        <f>"0232R401"</f>
        <v>0232R401</v>
      </c>
      <c r="H6696" s="1" t="str">
        <f>"방학지 28R9"</f>
        <v>방학지 28R9</v>
      </c>
      <c r="I6696" s="1" t="s">
        <v>8</v>
      </c>
      <c r="J6696" s="1" t="str">
        <f>"34/34"</f>
        <v>34/34</v>
      </c>
      <c r="K6696" s="1" t="str">
        <f t="shared" si="325"/>
        <v>2026-07-29 13:18:03</v>
      </c>
      <c r="L6696" s="1" t="str">
        <f>"2022-05-31 16:04:47"</f>
        <v>2022-05-31 16:04:47</v>
      </c>
      <c r="M6696" s="1" t="s">
        <v>45</v>
      </c>
      <c r="N6696" s="1" t="s">
        <v>38</v>
      </c>
      <c r="O6696" s="1" t="s">
        <v>46</v>
      </c>
    </row>
    <row r="6697" spans="2:15" x14ac:dyDescent="0.3">
      <c r="B6697" s="1" t="s">
        <v>22</v>
      </c>
      <c r="C6697" s="1" t="str">
        <f>"3차"</f>
        <v>3차</v>
      </c>
      <c r="D6697" s="1" t="str">
        <f>"0232R50130"</f>
        <v>0232R50130</v>
      </c>
      <c r="E6697" s="1" t="s">
        <v>10</v>
      </c>
      <c r="F6697" s="1" t="str">
        <f>"10.10.21.250"</f>
        <v>10.10.21.250</v>
      </c>
      <c r="G6697" s="1" t="str">
        <f>"0232R501"</f>
        <v>0232R501</v>
      </c>
      <c r="H6697" s="1" t="str">
        <f>"방학지 5R27L4"</f>
        <v>방학지 5R27L4</v>
      </c>
      <c r="I6697" s="1" t="s">
        <v>8</v>
      </c>
      <c r="J6697" s="1" t="str">
        <f>"28/31"</f>
        <v>28/31</v>
      </c>
      <c r="K6697" s="1" t="str">
        <f t="shared" si="325"/>
        <v>2026-07-29 13:18:03</v>
      </c>
      <c r="L6697" s="1" t="str">
        <f>"2018-01-18 17:04:57"</f>
        <v>2018-01-18 17:04:57</v>
      </c>
      <c r="M6697" s="1" t="s">
        <v>1</v>
      </c>
      <c r="N6697" s="1" t="s">
        <v>38</v>
      </c>
      <c r="O6697" s="1" t="s">
        <v>46</v>
      </c>
    </row>
    <row r="6698" spans="2:15" x14ac:dyDescent="0.3">
      <c r="B6698" s="1" t="s">
        <v>22</v>
      </c>
      <c r="C6698" s="1" t="str">
        <f>"3차"</f>
        <v>3차</v>
      </c>
      <c r="D6698" s="1" t="str">
        <f>"0232R51130"</f>
        <v>0232R51130</v>
      </c>
      <c r="E6698" s="1" t="s">
        <v>10</v>
      </c>
      <c r="F6698" s="1" t="str">
        <f>"10.10.21.186"</f>
        <v>10.10.21.186</v>
      </c>
      <c r="G6698" s="1" t="str">
        <f>"0232R511"</f>
        <v>0232R511</v>
      </c>
      <c r="H6698" s="1" t="str">
        <f>"방학지 28R10"</f>
        <v>방학지 28R10</v>
      </c>
      <c r="I6698" s="1" t="s">
        <v>8</v>
      </c>
      <c r="J6698" s="1" t="str">
        <f>"29/29"</f>
        <v>29/29</v>
      </c>
      <c r="K6698" s="1" t="str">
        <f t="shared" si="325"/>
        <v>2026-07-29 13:18:03</v>
      </c>
      <c r="L6698" s="1" t="str">
        <f>"2018-01-04 13:39:10"</f>
        <v>2018-01-04 13:39:10</v>
      </c>
      <c r="M6698" s="1" t="s">
        <v>1</v>
      </c>
      <c r="N6698" s="1" t="s">
        <v>38</v>
      </c>
      <c r="O6698" s="1" t="s">
        <v>46</v>
      </c>
    </row>
    <row r="6699" spans="2:15" x14ac:dyDescent="0.3">
      <c r="B6699" s="1" t="s">
        <v>22</v>
      </c>
      <c r="C6699" s="1" t="str">
        <f>"3차"</f>
        <v>3차</v>
      </c>
      <c r="D6699" s="1" t="str">
        <f>"0232R51331"</f>
        <v>0232R51331</v>
      </c>
      <c r="E6699" s="1" t="s">
        <v>10</v>
      </c>
      <c r="F6699" s="1" t="str">
        <f>"10.10.21.187"</f>
        <v>10.10.21.187</v>
      </c>
      <c r="G6699" s="1" t="str">
        <f>"0232R513"</f>
        <v>0232R513</v>
      </c>
      <c r="H6699" s="1" t="str">
        <f>"방학지 28R11"</f>
        <v>방학지 28R11</v>
      </c>
      <c r="I6699" s="1" t="s">
        <v>8</v>
      </c>
      <c r="J6699" s="1" t="str">
        <f>"73/73"</f>
        <v>73/73</v>
      </c>
      <c r="K6699" s="1" t="str">
        <f t="shared" si="325"/>
        <v>2026-07-29 13:18:03</v>
      </c>
      <c r="L6699" s="1" t="str">
        <f>"2018-01-20 15:25:27"</f>
        <v>2018-01-20 15:25:27</v>
      </c>
      <c r="M6699" s="1" t="s">
        <v>1</v>
      </c>
      <c r="N6699" s="1" t="s">
        <v>38</v>
      </c>
      <c r="O6699" s="1" t="s">
        <v>46</v>
      </c>
    </row>
    <row r="6700" spans="2:15" x14ac:dyDescent="0.3">
      <c r="B6700" s="1" t="s">
        <v>22</v>
      </c>
      <c r="C6700" s="1" t="str">
        <f>"4차"</f>
        <v>4차</v>
      </c>
      <c r="D6700" s="1" t="str">
        <f>"0232R60144"</f>
        <v>0232R60144</v>
      </c>
      <c r="E6700" s="1" t="s">
        <v>10</v>
      </c>
      <c r="F6700" s="1" t="str">
        <f>"10.107.250.226"</f>
        <v>10.107.250.226</v>
      </c>
      <c r="G6700" s="1" t="str">
        <f>"0232R601"</f>
        <v>0232R601</v>
      </c>
      <c r="H6700" s="1" t="str">
        <f>"방학지 5R27L3"</f>
        <v>방학지 5R27L3</v>
      </c>
      <c r="I6700" s="1" t="s">
        <v>8</v>
      </c>
      <c r="J6700" s="1" t="str">
        <f>"49/49"</f>
        <v>49/49</v>
      </c>
      <c r="K6700" s="1" t="str">
        <f t="shared" si="325"/>
        <v>2026-07-29 13:18:03</v>
      </c>
      <c r="L6700" s="1" t="str">
        <f>"2019-12-13 09:11:45"</f>
        <v>2019-12-13 09:11:45</v>
      </c>
      <c r="M6700" s="1" t="s">
        <v>45</v>
      </c>
      <c r="N6700" s="1" t="s">
        <v>38</v>
      </c>
      <c r="O6700" s="1" t="s">
        <v>46</v>
      </c>
    </row>
    <row r="6701" spans="2:15" x14ac:dyDescent="0.3">
      <c r="B6701" s="1" t="s">
        <v>22</v>
      </c>
      <c r="C6701" s="1" t="str">
        <f>"4차"</f>
        <v>4차</v>
      </c>
      <c r="D6701" s="1" t="str">
        <f>"0232R62144"</f>
        <v>0232R62144</v>
      </c>
      <c r="E6701" s="1" t="s">
        <v>10</v>
      </c>
      <c r="F6701" s="1" t="str">
        <f>"10.107.248.139"</f>
        <v>10.107.248.139</v>
      </c>
      <c r="G6701" s="1" t="str">
        <f>"0232R621"</f>
        <v>0232R621</v>
      </c>
      <c r="H6701" s="1" t="str">
        <f>"방학지 28R12"</f>
        <v>방학지 28R12</v>
      </c>
      <c r="I6701" s="1" t="s">
        <v>8</v>
      </c>
      <c r="J6701" s="1" t="str">
        <f>"11/11"</f>
        <v>11/11</v>
      </c>
      <c r="K6701" s="1" t="str">
        <f t="shared" si="325"/>
        <v>2026-07-29 13:18:03</v>
      </c>
      <c r="L6701" s="1" t="str">
        <f>"2019-12-24 17:38:37"</f>
        <v>2019-12-24 17:38:37</v>
      </c>
      <c r="M6701" s="1" t="s">
        <v>45</v>
      </c>
      <c r="N6701" s="1" t="s">
        <v>38</v>
      </c>
      <c r="O6701" s="1" t="s">
        <v>46</v>
      </c>
    </row>
    <row r="6702" spans="2:15" x14ac:dyDescent="0.3">
      <c r="B6702" s="1" t="s">
        <v>22</v>
      </c>
      <c r="C6702" s="1" t="str">
        <f>"4차"</f>
        <v>4차</v>
      </c>
      <c r="D6702" s="1" t="str">
        <f>"0232R71244"</f>
        <v>0232R71244</v>
      </c>
      <c r="E6702" s="1" t="s">
        <v>10</v>
      </c>
      <c r="F6702" s="1" t="str">
        <f>"10.107.250.227"</f>
        <v>10.107.250.227</v>
      </c>
      <c r="G6702" s="1" t="str">
        <f>"0232R712"</f>
        <v>0232R712</v>
      </c>
      <c r="H6702" s="1" t="str">
        <f>"방학지 5R27L2"</f>
        <v>방학지 5R27L2</v>
      </c>
      <c r="I6702" s="1" t="s">
        <v>8</v>
      </c>
      <c r="J6702" s="1" t="str">
        <f>"32/32"</f>
        <v>32/32</v>
      </c>
      <c r="K6702" s="1" t="str">
        <f t="shared" si="325"/>
        <v>2026-07-29 13:18:03</v>
      </c>
      <c r="L6702" s="1" t="str">
        <f>"2019-12-13 12:09:20"</f>
        <v>2019-12-13 12:09:20</v>
      </c>
      <c r="M6702" s="1" t="s">
        <v>45</v>
      </c>
      <c r="N6702" s="1" t="s">
        <v>38</v>
      </c>
      <c r="O6702" s="1" t="s">
        <v>46</v>
      </c>
    </row>
    <row r="6703" spans="2:15" x14ac:dyDescent="0.3">
      <c r="B6703" s="1" t="s">
        <v>22</v>
      </c>
      <c r="C6703" s="1" t="str">
        <f>"5-2차"</f>
        <v>5-2차</v>
      </c>
      <c r="D6703" s="1" t="str">
        <f>"0232R8035S"</f>
        <v>0232R8035S</v>
      </c>
      <c r="E6703" s="1" t="s">
        <v>10</v>
      </c>
      <c r="F6703" s="1" t="str">
        <f>"fde3:102:1420:5400:0:0:0:23"</f>
        <v>fde3:102:1420:5400:0:0:0:23</v>
      </c>
      <c r="G6703" s="1" t="str">
        <f>"0232R803"</f>
        <v>0232R803</v>
      </c>
      <c r="H6703" s="1" t="str">
        <f>"방학지 5R11R3"</f>
        <v>방학지 5R11R3</v>
      </c>
      <c r="I6703" s="1" t="s">
        <v>15</v>
      </c>
      <c r="J6703" s="1" t="str">
        <f>"40/40"</f>
        <v>40/40</v>
      </c>
      <c r="K6703" s="1" t="str">
        <f>"2026-07-29 14:20:36"</f>
        <v>2026-07-29 14:20:36</v>
      </c>
      <c r="L6703" s="1" t="str">
        <f>"2024-01-18 13:48:45"</f>
        <v>2024-01-18 13:48:45</v>
      </c>
      <c r="M6703" s="1" t="s">
        <v>45</v>
      </c>
      <c r="N6703" s="1" t="s">
        <v>38</v>
      </c>
      <c r="O6703" s="1" t="s">
        <v>46</v>
      </c>
    </row>
    <row r="6704" spans="2:15" x14ac:dyDescent="0.3">
      <c r="B6704" s="1" t="s">
        <v>22</v>
      </c>
      <c r="C6704" s="1" t="str">
        <f>"4차"</f>
        <v>4차</v>
      </c>
      <c r="D6704" s="1" t="str">
        <f>"0232R80444"</f>
        <v>0232R80444</v>
      </c>
      <c r="E6704" s="1" t="s">
        <v>10</v>
      </c>
      <c r="F6704" s="1" t="str">
        <f>"10.107.250.228"</f>
        <v>10.107.250.228</v>
      </c>
      <c r="G6704" s="1" t="str">
        <f>"0232R804"</f>
        <v>0232R804</v>
      </c>
      <c r="H6704" s="1" t="str">
        <f>"방학지 24R12"</f>
        <v>방학지 24R12</v>
      </c>
      <c r="I6704" s="1" t="s">
        <v>8</v>
      </c>
      <c r="J6704" s="1" t="str">
        <f>"54/54"</f>
        <v>54/54</v>
      </c>
      <c r="K6704" s="1" t="str">
        <f>"2026-07-29 13:18:03"</f>
        <v>2026-07-29 13:18:03</v>
      </c>
      <c r="L6704" s="1" t="str">
        <f>"2019-12-13 09:17:10"</f>
        <v>2019-12-13 09:17:10</v>
      </c>
      <c r="M6704" s="1" t="s">
        <v>45</v>
      </c>
      <c r="N6704" s="1" t="s">
        <v>38</v>
      </c>
      <c r="O6704" s="1" t="s">
        <v>46</v>
      </c>
    </row>
    <row r="6705" spans="2:15" x14ac:dyDescent="0.3">
      <c r="B6705" s="1" t="s">
        <v>22</v>
      </c>
      <c r="C6705" s="1" t="str">
        <f>"4차"</f>
        <v>4차</v>
      </c>
      <c r="D6705" s="1" t="str">
        <f>"0232R81144"</f>
        <v>0232R81144</v>
      </c>
      <c r="E6705" s="1" t="s">
        <v>10</v>
      </c>
      <c r="F6705" s="1" t="str">
        <f>"10.107.250.197"</f>
        <v>10.107.250.197</v>
      </c>
      <c r="G6705" s="1" t="str">
        <f>"0232R811"</f>
        <v>0232R811</v>
      </c>
      <c r="H6705" s="1" t="str">
        <f>"방학지 5R27"</f>
        <v>방학지 5R27</v>
      </c>
      <c r="I6705" s="1" t="s">
        <v>8</v>
      </c>
      <c r="J6705" s="1" t="str">
        <f>"15/16"</f>
        <v>15/16</v>
      </c>
      <c r="K6705" s="1" t="str">
        <f>"2026-07-29 13:18:03"</f>
        <v>2026-07-29 13:18:03</v>
      </c>
      <c r="L6705" s="1" t="str">
        <f>"2023-03-10 18:04:32"</f>
        <v>2023-03-10 18:04:32</v>
      </c>
      <c r="M6705" s="1" t="s">
        <v>45</v>
      </c>
      <c r="N6705" s="1" t="s">
        <v>38</v>
      </c>
      <c r="O6705" s="1" t="s">
        <v>46</v>
      </c>
    </row>
    <row r="6706" spans="2:15" x14ac:dyDescent="0.3">
      <c r="B6706" s="1" t="s">
        <v>22</v>
      </c>
      <c r="C6706" s="1" t="str">
        <f>"6차"</f>
        <v>6차</v>
      </c>
      <c r="D6706" s="1" t="str">
        <f>"0232R8216S"</f>
        <v>0232R8216S</v>
      </c>
      <c r="E6706" s="1" t="s">
        <v>10</v>
      </c>
      <c r="F6706" s="1" t="str">
        <f>"fde1:103:4:c6d7:0:0:0:2"</f>
        <v>fde1:103:4:c6d7:0:0:0:2</v>
      </c>
      <c r="G6706" s="1" t="str">
        <f>"0232R821"</f>
        <v>0232R821</v>
      </c>
      <c r="H6706" s="1" t="str">
        <f>"방학지 5R28"</f>
        <v>방학지 5R28</v>
      </c>
      <c r="I6706" s="1" t="s">
        <v>15</v>
      </c>
      <c r="J6706" s="1" t="str">
        <f>"48/52"</f>
        <v>48/52</v>
      </c>
      <c r="K6706" s="1" t="str">
        <f>"2026-07-29 14:20:38"</f>
        <v>2026-07-29 14:20:38</v>
      </c>
      <c r="L6706" s="1" t="str">
        <f>"2024-12-10 15:44:12"</f>
        <v>2024-12-10 15:44:12</v>
      </c>
      <c r="M6706" s="1" t="s">
        <v>4</v>
      </c>
      <c r="N6706" s="1" t="s">
        <v>38</v>
      </c>
      <c r="O6706" s="1" t="s">
        <v>46</v>
      </c>
    </row>
    <row r="6707" spans="2:15" x14ac:dyDescent="0.3">
      <c r="B6707" s="1" t="s">
        <v>22</v>
      </c>
      <c r="C6707" s="1" t="str">
        <f>"4차"</f>
        <v>4차</v>
      </c>
      <c r="D6707" s="1" t="str">
        <f>"0232R82344"</f>
        <v>0232R82344</v>
      </c>
      <c r="E6707" s="1" t="s">
        <v>10</v>
      </c>
      <c r="F6707" s="1" t="str">
        <f>"10.107.250.198"</f>
        <v>10.107.250.198</v>
      </c>
      <c r="G6707" s="1" t="str">
        <f>"0232R823"</f>
        <v>0232R823</v>
      </c>
      <c r="H6707" s="1" t="str">
        <f>"방학지 28R15"</f>
        <v>방학지 28R15</v>
      </c>
      <c r="I6707" s="1" t="s">
        <v>8</v>
      </c>
      <c r="J6707" s="1" t="str">
        <f>"49/49"</f>
        <v>49/49</v>
      </c>
      <c r="K6707" s="1" t="str">
        <f>"2026-07-29 13:18:03"</f>
        <v>2026-07-29 13:18:03</v>
      </c>
      <c r="L6707" s="1" t="str">
        <f>"2019-12-13 09:18:05"</f>
        <v>2019-12-13 09:18:05</v>
      </c>
      <c r="M6707" s="1" t="s">
        <v>45</v>
      </c>
      <c r="N6707" s="1" t="s">
        <v>38</v>
      </c>
      <c r="O6707" s="1" t="s">
        <v>46</v>
      </c>
    </row>
    <row r="6708" spans="2:15" x14ac:dyDescent="0.3">
      <c r="B6708" s="1" t="s">
        <v>22</v>
      </c>
      <c r="C6708" s="1" t="str">
        <f>"5-2차"</f>
        <v>5-2차</v>
      </c>
      <c r="D6708" s="1" t="str">
        <f>"0232R8525M"</f>
        <v>0232R8525M</v>
      </c>
      <c r="E6708" s="1" t="s">
        <v>10</v>
      </c>
      <c r="F6708" s="1" t="str">
        <f>"fde3:102:1420:5400:0:0:0:12"</f>
        <v>fde3:102:1420:5400:0:0:0:12</v>
      </c>
      <c r="G6708" s="1" t="str">
        <f>"0232R852"</f>
        <v>0232R852</v>
      </c>
      <c r="H6708" s="1" t="str">
        <f>"산장지 4"</f>
        <v>산장지 4</v>
      </c>
      <c r="I6708" s="1" t="s">
        <v>15</v>
      </c>
      <c r="J6708" s="1" t="str">
        <f>"43/43"</f>
        <v>43/43</v>
      </c>
      <c r="K6708" s="1" t="str">
        <f>"2026-07-29 14:20:36"</f>
        <v>2026-07-29 14:20:36</v>
      </c>
      <c r="L6708" s="1" t="str">
        <f>"2023-10-11 13:24:31"</f>
        <v>2023-10-11 13:24:31</v>
      </c>
      <c r="M6708" s="1" t="s">
        <v>45</v>
      </c>
      <c r="N6708" s="1" t="s">
        <v>38</v>
      </c>
      <c r="O6708" s="1" t="s">
        <v>46</v>
      </c>
    </row>
    <row r="6709" spans="2:15" x14ac:dyDescent="0.3">
      <c r="B6709" s="1" t="s">
        <v>22</v>
      </c>
      <c r="C6709" s="1" t="str">
        <f>"5-2차"</f>
        <v>5-2차</v>
      </c>
      <c r="D6709" s="1" t="str">
        <f>"0232R9215M"</f>
        <v>0232R9215M</v>
      </c>
      <c r="E6709" s="1" t="s">
        <v>10</v>
      </c>
      <c r="F6709" s="1" t="str">
        <f>"fde3:102:1420:5400:0:0:0:11"</f>
        <v>fde3:102:1420:5400:0:0:0:11</v>
      </c>
      <c r="G6709" s="1" t="str">
        <f>"0232R921"</f>
        <v>0232R921</v>
      </c>
      <c r="H6709" s="1" t="str">
        <f>"방학지 5R29"</f>
        <v>방학지 5R29</v>
      </c>
      <c r="I6709" s="1" t="s">
        <v>15</v>
      </c>
      <c r="J6709" s="1" t="str">
        <f>"55/55"</f>
        <v>55/55</v>
      </c>
      <c r="K6709" s="1" t="str">
        <f>"2026-07-28 20:03:27"</f>
        <v>2026-07-28 20:03:27</v>
      </c>
      <c r="L6709" s="1" t="str">
        <f>"2023-06-26 16:40:34"</f>
        <v>2023-06-26 16:40:34</v>
      </c>
      <c r="M6709" s="1" t="s">
        <v>45</v>
      </c>
      <c r="N6709" s="1" t="s">
        <v>38</v>
      </c>
      <c r="O6709" s="1" t="s">
        <v>46</v>
      </c>
    </row>
    <row r="6710" spans="2:15" x14ac:dyDescent="0.3">
      <c r="B6710" s="1" t="s">
        <v>22</v>
      </c>
      <c r="C6710" s="1" t="str">
        <f>"5-2차"</f>
        <v>5-2차</v>
      </c>
      <c r="D6710" s="1" t="str">
        <f>"0232R9625M"</f>
        <v>0232R9625M</v>
      </c>
      <c r="E6710" s="1" t="s">
        <v>10</v>
      </c>
      <c r="F6710" s="1" t="str">
        <f>"fde3:102:1420:5400:0:0:0:13"</f>
        <v>fde3:102:1420:5400:0:0:0:13</v>
      </c>
      <c r="G6710" s="1" t="str">
        <f>"0232R962"</f>
        <v>0232R962</v>
      </c>
      <c r="H6710" s="1" t="str">
        <f>"산장지 6"</f>
        <v>산장지 6</v>
      </c>
      <c r="I6710" s="1" t="s">
        <v>15</v>
      </c>
      <c r="J6710" s="1" t="str">
        <f>"68/68"</f>
        <v>68/68</v>
      </c>
      <c r="K6710" s="1" t="str">
        <f>"2026-07-29 14:20:36"</f>
        <v>2026-07-29 14:20:36</v>
      </c>
      <c r="L6710" s="1" t="str">
        <f>"2023-08-23 22:06:58"</f>
        <v>2023-08-23 22:06:58</v>
      </c>
      <c r="M6710" s="1" t="s">
        <v>45</v>
      </c>
      <c r="N6710" s="1" t="s">
        <v>38</v>
      </c>
      <c r="O6710" s="1" t="s">
        <v>46</v>
      </c>
    </row>
    <row r="6711" spans="2:15" x14ac:dyDescent="0.3">
      <c r="B6711" s="1" t="s">
        <v>22</v>
      </c>
      <c r="C6711" s="1" t="str">
        <f>"5-1차"</f>
        <v>5-1차</v>
      </c>
      <c r="D6711" s="1" t="str">
        <f>"0232R9745S"</f>
        <v>0232R9745S</v>
      </c>
      <c r="E6711" s="1" t="s">
        <v>10</v>
      </c>
      <c r="F6711" s="1" t="str">
        <f>"fde3:102:1420:5400:0:0:0:8"</f>
        <v>fde3:102:1420:5400:0:0:0:8</v>
      </c>
      <c r="G6711" s="1" t="str">
        <f>"0232R974"</f>
        <v>0232R974</v>
      </c>
      <c r="H6711" s="1" t="str">
        <f>"산장지 6L2"</f>
        <v>산장지 6L2</v>
      </c>
      <c r="I6711" s="1" t="s">
        <v>15</v>
      </c>
      <c r="J6711" s="1" t="str">
        <f>"25/25"</f>
        <v>25/25</v>
      </c>
      <c r="K6711" s="1" t="str">
        <f>"2026-07-29 14:20:09"</f>
        <v>2026-07-29 14:20:09</v>
      </c>
      <c r="L6711" s="1" t="str">
        <f>"2022-11-04 12:45:57"</f>
        <v>2022-11-04 12:45:57</v>
      </c>
      <c r="M6711" s="1" t="s">
        <v>45</v>
      </c>
      <c r="N6711" s="1" t="s">
        <v>38</v>
      </c>
      <c r="O6711" s="1" t="s">
        <v>46</v>
      </c>
    </row>
    <row r="6712" spans="2:15" x14ac:dyDescent="0.3">
      <c r="B6712" s="1" t="s">
        <v>22</v>
      </c>
      <c r="C6712" s="1" t="str">
        <f>"5-2차"</f>
        <v>5-2차</v>
      </c>
      <c r="D6712" s="1" t="str">
        <f>"0232S0215M"</f>
        <v>0232S0215M</v>
      </c>
      <c r="E6712" s="1" t="s">
        <v>10</v>
      </c>
      <c r="F6712" s="1" t="str">
        <f>"fde1:103:4:593c:0:0:0:2"</f>
        <v>fde1:103:4:593c:0:0:0:2</v>
      </c>
      <c r="G6712" s="1" t="str">
        <f>"0232S021"</f>
        <v>0232S021</v>
      </c>
      <c r="H6712" s="1" t="str">
        <f>"방학지 5R31"</f>
        <v>방학지 5R31</v>
      </c>
      <c r="I6712" s="1" t="s">
        <v>15</v>
      </c>
      <c r="J6712" s="1" t="str">
        <f>"55/55"</f>
        <v>55/55</v>
      </c>
      <c r="K6712" s="1" t="str">
        <f>"2026-07-29 14:21:11"</f>
        <v>2026-07-29 14:21:11</v>
      </c>
      <c r="L6712" s="1" t="str">
        <f>"2023-10-12 11:19:11"</f>
        <v>2023-10-12 11:19:11</v>
      </c>
      <c r="M6712" s="1" t="s">
        <v>4</v>
      </c>
      <c r="N6712" s="1" t="s">
        <v>38</v>
      </c>
      <c r="O6712" s="1" t="s">
        <v>46</v>
      </c>
    </row>
    <row r="6713" spans="2:15" x14ac:dyDescent="0.3">
      <c r="B6713" s="1" t="s">
        <v>22</v>
      </c>
      <c r="C6713" s="1" t="str">
        <f>"5-2차"</f>
        <v>5-2차</v>
      </c>
      <c r="D6713" s="1" t="str">
        <f>"0232S0515M"</f>
        <v>0232S0515M</v>
      </c>
      <c r="E6713" s="1" t="s">
        <v>10</v>
      </c>
      <c r="F6713" s="1" t="str">
        <f>"fde1:103:4:56f7:0:0:0:2"</f>
        <v>fde1:103:4:56f7:0:0:0:2</v>
      </c>
      <c r="G6713" s="1" t="str">
        <f>"0232S051"</f>
        <v>0232S051</v>
      </c>
      <c r="H6713" s="1" t="str">
        <f>"쌍방간 98L7R3"</f>
        <v>쌍방간 98L7R3</v>
      </c>
      <c r="I6713" s="1" t="s">
        <v>15</v>
      </c>
      <c r="J6713" s="1" t="str">
        <f>"86/87"</f>
        <v>86/87</v>
      </c>
      <c r="K6713" s="1" t="str">
        <f>"2026-07-29 14:20:38"</f>
        <v>2026-07-29 14:20:38</v>
      </c>
      <c r="L6713" s="1" t="str">
        <f>"2023-10-12 11:19:42"</f>
        <v>2023-10-12 11:19:42</v>
      </c>
      <c r="M6713" s="1" t="s">
        <v>4</v>
      </c>
      <c r="N6713" s="1" t="s">
        <v>38</v>
      </c>
      <c r="O6713" s="1" t="s">
        <v>46</v>
      </c>
    </row>
    <row r="6714" spans="2:15" x14ac:dyDescent="0.3">
      <c r="B6714" s="1" t="s">
        <v>22</v>
      </c>
      <c r="C6714" s="1" t="str">
        <f>"5-2차"</f>
        <v>5-2차</v>
      </c>
      <c r="D6714" s="1" t="str">
        <f>"0232S0715S"</f>
        <v>0232S0715S</v>
      </c>
      <c r="E6714" s="1" t="s">
        <v>10</v>
      </c>
      <c r="F6714" s="1" t="str">
        <f>"fde3:102:1420:5400:0:0:0:14"</f>
        <v>fde3:102:1420:5400:0:0:0:14</v>
      </c>
      <c r="G6714" s="1" t="str">
        <f>"0232S071"</f>
        <v>0232S071</v>
      </c>
      <c r="H6714" s="1" t="str">
        <f>"산장지 7"</f>
        <v>산장지 7</v>
      </c>
      <c r="I6714" s="1" t="s">
        <v>15</v>
      </c>
      <c r="J6714" s="1" t="str">
        <f>"44/45"</f>
        <v>44/45</v>
      </c>
      <c r="K6714" s="1" t="str">
        <f>"2026-07-29 14:20:36"</f>
        <v>2026-07-29 14:20:36</v>
      </c>
      <c r="L6714" s="1" t="str">
        <f>"2023-06-15 12:02:32"</f>
        <v>2023-06-15 12:02:32</v>
      </c>
      <c r="M6714" s="1" t="s">
        <v>45</v>
      </c>
      <c r="N6714" s="1" t="s">
        <v>38</v>
      </c>
      <c r="O6714" s="1" t="s">
        <v>46</v>
      </c>
    </row>
    <row r="6715" spans="2:15" x14ac:dyDescent="0.3">
      <c r="B6715" s="1" t="s">
        <v>22</v>
      </c>
      <c r="C6715" s="1" t="str">
        <f>"5-2차"</f>
        <v>5-2차</v>
      </c>
      <c r="D6715" s="1" t="str">
        <f>"0232S0735M"</f>
        <v>0232S0735M</v>
      </c>
      <c r="E6715" s="1" t="s">
        <v>10</v>
      </c>
      <c r="F6715" s="1" t="str">
        <f>"fde1:103:4:56fc:0:0:0:2"</f>
        <v>fde1:103:4:56fc:0:0:0:2</v>
      </c>
      <c r="G6715" s="1" t="str">
        <f>"0232S073"</f>
        <v>0232S073</v>
      </c>
      <c r="H6715" s="1" t="str">
        <f>"쌍방간 98L7R5"</f>
        <v>쌍방간 98L7R5</v>
      </c>
      <c r="I6715" s="1" t="s">
        <v>15</v>
      </c>
      <c r="J6715" s="1" t="str">
        <f>"42/42"</f>
        <v>42/42</v>
      </c>
      <c r="K6715" s="1" t="str">
        <f>"2026-07-29 14:20:11"</f>
        <v>2026-07-29 14:20:11</v>
      </c>
      <c r="L6715" s="1" t="str">
        <f>"2023-10-12 11:19:59"</f>
        <v>2023-10-12 11:19:59</v>
      </c>
      <c r="M6715" s="1" t="s">
        <v>4</v>
      </c>
      <c r="N6715" s="1" t="s">
        <v>38</v>
      </c>
      <c r="O6715" s="1" t="s">
        <v>46</v>
      </c>
    </row>
    <row r="6716" spans="2:15" x14ac:dyDescent="0.3">
      <c r="B6716" s="1" t="s">
        <v>22</v>
      </c>
      <c r="C6716" s="1" t="str">
        <f>"5-1차"</f>
        <v>5-1차</v>
      </c>
      <c r="D6716" s="1" t="str">
        <f>"0232S0815M"</f>
        <v>0232S0815M</v>
      </c>
      <c r="E6716" s="1" t="s">
        <v>10</v>
      </c>
      <c r="F6716" s="1" t="str">
        <f>"fde3:102:1420:5500:0:0:0:4"</f>
        <v>fde3:102:1420:5500:0:0:0:4</v>
      </c>
      <c r="G6716" s="1" t="str">
        <f>"0232S081"</f>
        <v>0232S081</v>
      </c>
      <c r="H6716" s="1" t="str">
        <f>"산장지 8"</f>
        <v>산장지 8</v>
      </c>
      <c r="I6716" s="1" t="s">
        <v>15</v>
      </c>
      <c r="J6716" s="1" t="str">
        <f>"20/28"</f>
        <v>20/28</v>
      </c>
      <c r="K6716" s="1" t="str">
        <f>"2026-07-29 14:20:55"</f>
        <v>2026-07-29 14:20:55</v>
      </c>
      <c r="L6716" s="1" t="str">
        <f>"2022-11-04 11:37:42"</f>
        <v>2022-11-04 11:37:42</v>
      </c>
      <c r="M6716" s="1" t="s">
        <v>45</v>
      </c>
      <c r="N6716" s="1" t="s">
        <v>38</v>
      </c>
      <c r="O6716" s="1" t="s">
        <v>46</v>
      </c>
    </row>
    <row r="6717" spans="2:15" x14ac:dyDescent="0.3">
      <c r="B6717" s="1" t="s">
        <v>22</v>
      </c>
      <c r="C6717" s="1" t="str">
        <f>"5-1차"</f>
        <v>5-1차</v>
      </c>
      <c r="D6717" s="1" t="str">
        <f>"0232S1215M"</f>
        <v>0232S1215M</v>
      </c>
      <c r="E6717" s="1" t="s">
        <v>10</v>
      </c>
      <c r="F6717" s="1" t="str">
        <f>"fde3:102:1420:5400:0:0:0:a"</f>
        <v>fde3:102:1420:5400:0:0:0:a</v>
      </c>
      <c r="G6717" s="1" t="str">
        <f>"0232S121"</f>
        <v>0232S121</v>
      </c>
      <c r="H6717" s="1" t="str">
        <f>"쌍방간 98L3L2R3"</f>
        <v>쌍방간 98L3L2R3</v>
      </c>
      <c r="I6717" s="1" t="s">
        <v>15</v>
      </c>
      <c r="J6717" s="1" t="str">
        <f>"5/8"</f>
        <v>5/8</v>
      </c>
      <c r="K6717" s="1" t="str">
        <f>"2026-07-29 14:20:39"</f>
        <v>2026-07-29 14:20:39</v>
      </c>
      <c r="L6717" s="1" t="str">
        <f>"2022-11-04 13:16:48"</f>
        <v>2022-11-04 13:16:48</v>
      </c>
      <c r="M6717" s="1" t="s">
        <v>45</v>
      </c>
      <c r="N6717" s="1" t="s">
        <v>38</v>
      </c>
      <c r="O6717" s="1" t="s">
        <v>46</v>
      </c>
    </row>
    <row r="6718" spans="2:15" x14ac:dyDescent="0.3">
      <c r="B6718" s="1" t="s">
        <v>22</v>
      </c>
      <c r="C6718" s="1" t="str">
        <f>"5-1차"</f>
        <v>5-1차</v>
      </c>
      <c r="D6718" s="1" t="str">
        <f>"0232S1725S"</f>
        <v>0232S1725S</v>
      </c>
      <c r="E6718" s="1" t="s">
        <v>10</v>
      </c>
      <c r="F6718" s="1" t="str">
        <f>"fde3:102:1420:5500:0:0:0:5"</f>
        <v>fde3:102:1420:5500:0:0:0:5</v>
      </c>
      <c r="G6718" s="1" t="str">
        <f>"0232S172"</f>
        <v>0232S172</v>
      </c>
      <c r="H6718" s="1" t="str">
        <f>"산장지 8R1"</f>
        <v>산장지 8R1</v>
      </c>
      <c r="I6718" s="1" t="s">
        <v>15</v>
      </c>
      <c r="J6718" s="1" t="str">
        <f>"28/28"</f>
        <v>28/28</v>
      </c>
      <c r="K6718" s="1" t="str">
        <f>"2026-07-29 14:20:37"</f>
        <v>2026-07-29 14:20:37</v>
      </c>
      <c r="L6718" s="1" t="str">
        <f>"2022-11-21 11:58:21"</f>
        <v>2022-11-21 11:58:21</v>
      </c>
      <c r="M6718" s="1" t="s">
        <v>45</v>
      </c>
      <c r="N6718" s="1" t="s">
        <v>38</v>
      </c>
      <c r="O6718" s="1" t="s">
        <v>46</v>
      </c>
    </row>
    <row r="6719" spans="2:15" x14ac:dyDescent="0.3">
      <c r="B6719" s="1" t="s">
        <v>22</v>
      </c>
      <c r="C6719" s="1" t="str">
        <f>"5-2차"</f>
        <v>5-2차</v>
      </c>
      <c r="D6719" s="1" t="str">
        <f>"0232S2015M"</f>
        <v>0232S2015M</v>
      </c>
      <c r="E6719" s="1" t="s">
        <v>10</v>
      </c>
      <c r="F6719" s="1" t="str">
        <f>"fde1:103:4:9265:0:0:0:2"</f>
        <v>fde1:103:4:9265:0:0:0:2</v>
      </c>
      <c r="G6719" s="1" t="str">
        <f>"0232S201"</f>
        <v>0232S201</v>
      </c>
      <c r="H6719" s="1" t="str">
        <f>"방학지 5R8R1"</f>
        <v>방학지 5R8R1</v>
      </c>
      <c r="I6719" s="1" t="s">
        <v>15</v>
      </c>
      <c r="J6719" s="1" t="str">
        <f>"38/38"</f>
        <v>38/38</v>
      </c>
      <c r="K6719" s="1" t="str">
        <f>"2026-07-29 14:20:37"</f>
        <v>2026-07-29 14:20:37</v>
      </c>
      <c r="L6719" s="1" t="str">
        <f>"2023-12-20 13:06:06"</f>
        <v>2023-12-20 13:06:06</v>
      </c>
      <c r="M6719" s="1" t="s">
        <v>4</v>
      </c>
      <c r="N6719" s="1" t="s">
        <v>38</v>
      </c>
      <c r="O6719" s="1" t="s">
        <v>46</v>
      </c>
    </row>
    <row r="6720" spans="2:15" x14ac:dyDescent="0.3">
      <c r="B6720" s="1" t="s">
        <v>22</v>
      </c>
      <c r="C6720" s="1" t="str">
        <f>"5-1차"</f>
        <v>5-1차</v>
      </c>
      <c r="D6720" s="1" t="str">
        <f>"0232S2115M"</f>
        <v>0232S2115M</v>
      </c>
      <c r="E6720" s="1" t="s">
        <v>10</v>
      </c>
      <c r="F6720" s="1" t="str">
        <f>"fde3:102:1420:5400:0:0:0:9"</f>
        <v>fde3:102:1420:5400:0:0:0:9</v>
      </c>
      <c r="G6720" s="1" t="str">
        <f>"0232S211"</f>
        <v>0232S211</v>
      </c>
      <c r="H6720" s="1" t="str">
        <f>"쌍방간 98L3L6"</f>
        <v>쌍방간 98L3L6</v>
      </c>
      <c r="I6720" s="1" t="s">
        <v>15</v>
      </c>
      <c r="J6720" s="1" t="str">
        <f>"30/30"</f>
        <v>30/30</v>
      </c>
      <c r="K6720" s="1" t="str">
        <f>"2026-07-29 14:21:11"</f>
        <v>2026-07-29 14:21:11</v>
      </c>
      <c r="L6720" s="1" t="str">
        <f>"2022-11-04 13:25:46"</f>
        <v>2022-11-04 13:25:46</v>
      </c>
      <c r="M6720" s="1" t="s">
        <v>45</v>
      </c>
      <c r="N6720" s="1" t="s">
        <v>38</v>
      </c>
      <c r="O6720" s="1" t="s">
        <v>46</v>
      </c>
    </row>
    <row r="6721" spans="2:15" x14ac:dyDescent="0.3">
      <c r="B6721" s="1" t="s">
        <v>22</v>
      </c>
      <c r="C6721" s="1" t="str">
        <f t="shared" ref="C6721:C6726" si="326">"5-2차"</f>
        <v>5-2차</v>
      </c>
      <c r="D6721" s="1" t="str">
        <f>"0232S2245S"</f>
        <v>0232S2245S</v>
      </c>
      <c r="E6721" s="1" t="s">
        <v>10</v>
      </c>
      <c r="F6721" s="1" t="str">
        <f>"fde1:103:4:56f9:0:0:0:2"</f>
        <v>fde1:103:4:56f9:0:0:0:2</v>
      </c>
      <c r="G6721" s="1" t="str">
        <f>"0232S224"</f>
        <v>0232S224</v>
      </c>
      <c r="H6721" s="1" t="str">
        <f>"쌍방간 98L3L2R1"</f>
        <v>쌍방간 98L3L2R1</v>
      </c>
      <c r="I6721" s="1" t="s">
        <v>15</v>
      </c>
      <c r="J6721" s="1" t="str">
        <f>"48/48"</f>
        <v>48/48</v>
      </c>
      <c r="K6721" s="1" t="str">
        <f>"2026-07-29 14:21:11"</f>
        <v>2026-07-29 14:21:11</v>
      </c>
      <c r="L6721" s="1" t="str">
        <f>"2023-10-12 13:24:32"</f>
        <v>2023-10-12 13:24:32</v>
      </c>
      <c r="M6721" s="1" t="s">
        <v>4</v>
      </c>
      <c r="N6721" s="1" t="s">
        <v>38</v>
      </c>
      <c r="O6721" s="1" t="s">
        <v>46</v>
      </c>
    </row>
    <row r="6722" spans="2:15" x14ac:dyDescent="0.3">
      <c r="B6722" s="1" t="s">
        <v>22</v>
      </c>
      <c r="C6722" s="1" t="str">
        <f t="shared" si="326"/>
        <v>5-2차</v>
      </c>
      <c r="D6722" s="1" t="str">
        <f>"0232S2415M"</f>
        <v>0232S2415M</v>
      </c>
      <c r="E6722" s="1" t="s">
        <v>10</v>
      </c>
      <c r="F6722" s="1" t="str">
        <f>"fde1:103:4:5709:0:0:0:2"</f>
        <v>fde1:103:4:5709:0:0:0:2</v>
      </c>
      <c r="G6722" s="1" t="str">
        <f>"0232S241"</f>
        <v>0232S241</v>
      </c>
      <c r="H6722" s="1" t="str">
        <f>"쌍방간 98L3R1L2"</f>
        <v>쌍방간 98L3R1L2</v>
      </c>
      <c r="I6722" s="1" t="s">
        <v>15</v>
      </c>
      <c r="J6722" s="1" t="str">
        <f>"39/39"</f>
        <v>39/39</v>
      </c>
      <c r="K6722" s="1" t="str">
        <f>"2026-07-29 14:20:55"</f>
        <v>2026-07-29 14:20:55</v>
      </c>
      <c r="L6722" s="1" t="str">
        <f>"2023-10-12 13:25:04"</f>
        <v>2023-10-12 13:25:04</v>
      </c>
      <c r="M6722" s="1" t="s">
        <v>4</v>
      </c>
      <c r="N6722" s="1" t="s">
        <v>38</v>
      </c>
      <c r="O6722" s="1" t="s">
        <v>46</v>
      </c>
    </row>
    <row r="6723" spans="2:15" x14ac:dyDescent="0.3">
      <c r="B6723" s="1" t="s">
        <v>22</v>
      </c>
      <c r="C6723" s="1" t="str">
        <f t="shared" si="326"/>
        <v>5-2차</v>
      </c>
      <c r="D6723" s="1" t="str">
        <f>"0232S2615S"</f>
        <v>0232S2615S</v>
      </c>
      <c r="E6723" s="1" t="s">
        <v>10</v>
      </c>
      <c r="F6723" s="1" t="str">
        <f>"fde3:102:1420:5500:0:0:0:9"</f>
        <v>fde3:102:1420:5500:0:0:0:9</v>
      </c>
      <c r="G6723" s="1" t="str">
        <f>"0232S261"</f>
        <v>0232S261</v>
      </c>
      <c r="H6723" s="1" t="str">
        <f>"산장지 10R9R2"</f>
        <v>산장지 10R9R2</v>
      </c>
      <c r="I6723" s="1" t="s">
        <v>15</v>
      </c>
      <c r="J6723" s="1" t="str">
        <f>"52/53"</f>
        <v>52/53</v>
      </c>
      <c r="K6723" s="1" t="str">
        <f>"2026-07-29 14:20:37"</f>
        <v>2026-07-29 14:20:37</v>
      </c>
      <c r="L6723" s="1" t="str">
        <f>"2023-06-27 14:15:30"</f>
        <v>2023-06-27 14:15:30</v>
      </c>
      <c r="M6723" s="1" t="s">
        <v>45</v>
      </c>
      <c r="N6723" s="1" t="s">
        <v>38</v>
      </c>
      <c r="O6723" s="1" t="s">
        <v>46</v>
      </c>
    </row>
    <row r="6724" spans="2:15" x14ac:dyDescent="0.3">
      <c r="B6724" s="1" t="s">
        <v>22</v>
      </c>
      <c r="C6724" s="1" t="str">
        <f t="shared" si="326"/>
        <v>5-2차</v>
      </c>
      <c r="D6724" s="1" t="str">
        <f>"0232S2625M"</f>
        <v>0232S2625M</v>
      </c>
      <c r="E6724" s="1" t="s">
        <v>10</v>
      </c>
      <c r="F6724" s="1" t="str">
        <f>"fde3:102:1420:5500:0:0:0:a"</f>
        <v>fde3:102:1420:5500:0:0:0:a</v>
      </c>
      <c r="G6724" s="1" t="str">
        <f>"0232S262"</f>
        <v>0232S262</v>
      </c>
      <c r="H6724" s="1" t="str">
        <f>"산장지 10R9R3"</f>
        <v>산장지 10R9R3</v>
      </c>
      <c r="I6724" s="1" t="s">
        <v>15</v>
      </c>
      <c r="J6724" s="1" t="str">
        <f>"110/116"</f>
        <v>110/116</v>
      </c>
      <c r="K6724" s="1" t="str">
        <f>"2026-07-29 14:20:37"</f>
        <v>2026-07-29 14:20:37</v>
      </c>
      <c r="L6724" s="1" t="str">
        <f>"2023-08-23 21:03:28"</f>
        <v>2023-08-23 21:03:28</v>
      </c>
      <c r="M6724" s="1" t="s">
        <v>45</v>
      </c>
      <c r="N6724" s="1" t="s">
        <v>38</v>
      </c>
      <c r="O6724" s="1" t="s">
        <v>46</v>
      </c>
    </row>
    <row r="6725" spans="2:15" x14ac:dyDescent="0.3">
      <c r="B6725" s="1" t="s">
        <v>22</v>
      </c>
      <c r="C6725" s="1" t="str">
        <f t="shared" si="326"/>
        <v>5-2차</v>
      </c>
      <c r="D6725" s="1" t="str">
        <f>"0232S2715M"</f>
        <v>0232S2715M</v>
      </c>
      <c r="E6725" s="1" t="s">
        <v>10</v>
      </c>
      <c r="F6725" s="1" t="str">
        <f>"fde3:102:1420:5400:0:0:0:21"</f>
        <v>fde3:102:1420:5400:0:0:0:21</v>
      </c>
      <c r="G6725" s="1" t="str">
        <f>"0232S271"</f>
        <v>0232S271</v>
      </c>
      <c r="H6725" s="1" t="str">
        <f>"산장지 8R3"</f>
        <v>산장지 8R3</v>
      </c>
      <c r="I6725" s="1" t="s">
        <v>15</v>
      </c>
      <c r="J6725" s="1" t="str">
        <f>"91/91"</f>
        <v>91/91</v>
      </c>
      <c r="K6725" s="1" t="str">
        <f>"2026-07-29 14:20:52"</f>
        <v>2026-07-29 14:20:52</v>
      </c>
      <c r="L6725" s="1" t="str">
        <f>"2023-06-19 18:47:04"</f>
        <v>2023-06-19 18:47:04</v>
      </c>
      <c r="M6725" s="1" t="s">
        <v>45</v>
      </c>
      <c r="N6725" s="1" t="s">
        <v>38</v>
      </c>
      <c r="O6725" s="1" t="s">
        <v>46</v>
      </c>
    </row>
    <row r="6726" spans="2:15" x14ac:dyDescent="0.3">
      <c r="B6726" s="1" t="s">
        <v>22</v>
      </c>
      <c r="C6726" s="1" t="str">
        <f t="shared" si="326"/>
        <v>5-2차</v>
      </c>
      <c r="D6726" s="1" t="str">
        <f>"0232S2925M"</f>
        <v>0232S2925M</v>
      </c>
      <c r="E6726" s="1" t="s">
        <v>10</v>
      </c>
      <c r="F6726" s="1" t="str">
        <f>"fde3:102:1420:5500:0:0:0:f"</f>
        <v>fde3:102:1420:5500:0:0:0:f</v>
      </c>
      <c r="G6726" s="1" t="str">
        <f>"0232S292"</f>
        <v>0232S292</v>
      </c>
      <c r="H6726" s="1" t="str">
        <f>"산장지 10R2"</f>
        <v>산장지 10R2</v>
      </c>
      <c r="I6726" s="1" t="s">
        <v>15</v>
      </c>
      <c r="J6726" s="1" t="str">
        <f>"64/64"</f>
        <v>64/64</v>
      </c>
      <c r="K6726" s="1" t="str">
        <f>"2026-07-29 14:21:10"</f>
        <v>2026-07-29 14:21:10</v>
      </c>
      <c r="L6726" s="1" t="str">
        <f>"2023-11-06 17:22:23"</f>
        <v>2023-11-06 17:22:23</v>
      </c>
      <c r="M6726" s="1" t="s">
        <v>45</v>
      </c>
      <c r="N6726" s="1" t="s">
        <v>38</v>
      </c>
      <c r="O6726" s="1" t="s">
        <v>46</v>
      </c>
    </row>
    <row r="6727" spans="2:15" x14ac:dyDescent="0.3">
      <c r="B6727" s="1" t="s">
        <v>22</v>
      </c>
      <c r="C6727" s="1" t="str">
        <f>"4차"</f>
        <v>4차</v>
      </c>
      <c r="D6727" s="1" t="str">
        <f>"0232S30244"</f>
        <v>0232S30244</v>
      </c>
      <c r="E6727" s="1" t="s">
        <v>10</v>
      </c>
      <c r="F6727" s="1" t="str">
        <f>"10.107.250.174"</f>
        <v>10.107.250.174</v>
      </c>
      <c r="G6727" s="1" t="str">
        <f>"0232S302"</f>
        <v>0232S302</v>
      </c>
      <c r="H6727" s="1" t="str">
        <f>"방학지 5R8"</f>
        <v>방학지 5R8</v>
      </c>
      <c r="I6727" s="1" t="s">
        <v>8</v>
      </c>
      <c r="J6727" s="1" t="str">
        <f>"3/3"</f>
        <v>3/3</v>
      </c>
      <c r="K6727" s="1" t="str">
        <f>"2026-07-29 13:18:02"</f>
        <v>2026-07-29 13:18:02</v>
      </c>
      <c r="L6727" s="1" t="str">
        <f>"2019-12-13 09:19:49"</f>
        <v>2019-12-13 09:19:49</v>
      </c>
      <c r="M6727" s="1" t="s">
        <v>45</v>
      </c>
      <c r="N6727" s="1" t="s">
        <v>38</v>
      </c>
      <c r="O6727" s="1" t="s">
        <v>46</v>
      </c>
    </row>
    <row r="6728" spans="2:15" x14ac:dyDescent="0.3">
      <c r="B6728" s="1" t="s">
        <v>22</v>
      </c>
      <c r="C6728" s="1" t="str">
        <f t="shared" ref="C6728:C6740" si="327">"5-2차"</f>
        <v>5-2차</v>
      </c>
      <c r="D6728" s="1" t="str">
        <f>"0232S3115M"</f>
        <v>0232S3115M</v>
      </c>
      <c r="E6728" s="1" t="s">
        <v>10</v>
      </c>
      <c r="F6728" s="1" t="str">
        <f>"fde3:102:1420:5400:0:0:0:e"</f>
        <v>fde3:102:1420:5400:0:0:0:e</v>
      </c>
      <c r="G6728" s="1" t="str">
        <f>"0232S311"</f>
        <v>0232S311</v>
      </c>
      <c r="H6728" s="1" t="str">
        <f>"쌍방간 98L3L4"</f>
        <v>쌍방간 98L3L4</v>
      </c>
      <c r="I6728" s="1" t="s">
        <v>15</v>
      </c>
      <c r="J6728" s="1" t="str">
        <f>"41/41"</f>
        <v>41/41</v>
      </c>
      <c r="K6728" s="1" t="str">
        <f>"2026-07-28 20:03:27"</f>
        <v>2026-07-28 20:03:27</v>
      </c>
      <c r="L6728" s="1" t="str">
        <f>"2023-10-11 13:26:45"</f>
        <v>2023-10-11 13:26:45</v>
      </c>
      <c r="M6728" s="1" t="s">
        <v>45</v>
      </c>
      <c r="N6728" s="1" t="s">
        <v>38</v>
      </c>
      <c r="O6728" s="1" t="s">
        <v>46</v>
      </c>
    </row>
    <row r="6729" spans="2:15" x14ac:dyDescent="0.3">
      <c r="B6729" s="1" t="s">
        <v>22</v>
      </c>
      <c r="C6729" s="1" t="str">
        <f t="shared" si="327"/>
        <v>5-2차</v>
      </c>
      <c r="D6729" s="1" t="str">
        <f>"0232S3325M"</f>
        <v>0232S3325M</v>
      </c>
      <c r="E6729" s="1" t="s">
        <v>10</v>
      </c>
      <c r="F6729" s="1" t="str">
        <f>"fde3:102:1420:5400:0:0:0:f"</f>
        <v>fde3:102:1420:5400:0:0:0:f</v>
      </c>
      <c r="G6729" s="1" t="str">
        <f>"0232S332"</f>
        <v>0232S332</v>
      </c>
      <c r="H6729" s="1" t="str">
        <f>"쌍방간 98L3L1"</f>
        <v>쌍방간 98L3L1</v>
      </c>
      <c r="I6729" s="1" t="s">
        <v>15</v>
      </c>
      <c r="J6729" s="1" t="str">
        <f>"52/52"</f>
        <v>52/52</v>
      </c>
      <c r="K6729" s="1" t="str">
        <f>"2026-07-29 14:21:14"</f>
        <v>2026-07-29 14:21:14</v>
      </c>
      <c r="L6729" s="1" t="str">
        <f>"2023-06-19 18:53:30"</f>
        <v>2023-06-19 18:53:30</v>
      </c>
      <c r="M6729" s="1" t="s">
        <v>45</v>
      </c>
      <c r="N6729" s="1" t="s">
        <v>38</v>
      </c>
      <c r="O6729" s="1" t="s">
        <v>46</v>
      </c>
    </row>
    <row r="6730" spans="2:15" x14ac:dyDescent="0.3">
      <c r="B6730" s="1" t="s">
        <v>22</v>
      </c>
      <c r="C6730" s="1" t="str">
        <f t="shared" si="327"/>
        <v>5-2차</v>
      </c>
      <c r="D6730" s="1" t="str">
        <f>"0232S3525M"</f>
        <v>0232S3525M</v>
      </c>
      <c r="E6730" s="1" t="s">
        <v>10</v>
      </c>
      <c r="F6730" s="1" t="str">
        <f>"fde1:103:4:582a:0:0:0:2"</f>
        <v>fde1:103:4:582a:0:0:0:2</v>
      </c>
      <c r="G6730" s="1" t="str">
        <f>"0232S352"</f>
        <v>0232S352</v>
      </c>
      <c r="H6730" s="1" t="str">
        <f>"산장지 10R11"</f>
        <v>산장지 10R11</v>
      </c>
      <c r="I6730" s="1" t="s">
        <v>15</v>
      </c>
      <c r="J6730" s="1" t="str">
        <f>"84/85"</f>
        <v>84/85</v>
      </c>
      <c r="K6730" s="1" t="str">
        <f>"2026-07-29 14:20:09"</f>
        <v>2026-07-29 14:20:09</v>
      </c>
      <c r="L6730" s="1" t="str">
        <f>"2023-10-12 13:25:45"</f>
        <v>2023-10-12 13:25:45</v>
      </c>
      <c r="M6730" s="1" t="s">
        <v>4</v>
      </c>
      <c r="N6730" s="1" t="s">
        <v>38</v>
      </c>
      <c r="O6730" s="1" t="s">
        <v>46</v>
      </c>
    </row>
    <row r="6731" spans="2:15" x14ac:dyDescent="0.3">
      <c r="B6731" s="1" t="s">
        <v>22</v>
      </c>
      <c r="C6731" s="1" t="str">
        <f t="shared" si="327"/>
        <v>5-2차</v>
      </c>
      <c r="D6731" s="1" t="str">
        <f>"0232S3615M"</f>
        <v>0232S3615M</v>
      </c>
      <c r="E6731" s="1" t="s">
        <v>10</v>
      </c>
      <c r="F6731" s="1" t="str">
        <f>"fde1:103:4:59b8:0:0:0:2"</f>
        <v>fde1:103:4:59b8:0:0:0:2</v>
      </c>
      <c r="G6731" s="1" t="str">
        <f>"0232S361"</f>
        <v>0232S361</v>
      </c>
      <c r="H6731" s="1" t="str">
        <f>"산장지 10R9"</f>
        <v>산장지 10R9</v>
      </c>
      <c r="I6731" s="1" t="s">
        <v>15</v>
      </c>
      <c r="J6731" s="1" t="str">
        <f>"74/74"</f>
        <v>74/74</v>
      </c>
      <c r="K6731" s="1" t="str">
        <f>"2026-07-29 14:20:38"</f>
        <v>2026-07-29 14:20:38</v>
      </c>
      <c r="L6731" s="1" t="str">
        <f>"2023-10-12 13:26:01"</f>
        <v>2023-10-12 13:26:01</v>
      </c>
      <c r="M6731" s="1" t="s">
        <v>4</v>
      </c>
      <c r="N6731" s="1" t="s">
        <v>38</v>
      </c>
      <c r="O6731" s="1" t="s">
        <v>46</v>
      </c>
    </row>
    <row r="6732" spans="2:15" x14ac:dyDescent="0.3">
      <c r="B6732" s="1" t="s">
        <v>22</v>
      </c>
      <c r="C6732" s="1" t="str">
        <f t="shared" si="327"/>
        <v>5-2차</v>
      </c>
      <c r="D6732" s="1" t="str">
        <f>"0232S3715S"</f>
        <v>0232S3715S</v>
      </c>
      <c r="E6732" s="1" t="s">
        <v>10</v>
      </c>
      <c r="F6732" s="1" t="str">
        <f>"fde3:102:1420:5400:0:0:0:22"</f>
        <v>fde3:102:1420:5400:0:0:0:22</v>
      </c>
      <c r="G6732" s="1" t="str">
        <f>"0232S371"</f>
        <v>0232S371</v>
      </c>
      <c r="H6732" s="1" t="str">
        <f>"산장지 8R4"</f>
        <v>산장지 8R4</v>
      </c>
      <c r="I6732" s="1" t="s">
        <v>15</v>
      </c>
      <c r="J6732" s="1" t="str">
        <f>"68/68"</f>
        <v>68/68</v>
      </c>
      <c r="K6732" s="1" t="str">
        <f>"2026-07-29 14:21:11"</f>
        <v>2026-07-29 14:21:11</v>
      </c>
      <c r="L6732" s="1" t="str">
        <f>"2023-06-15 11:15:22"</f>
        <v>2023-06-15 11:15:22</v>
      </c>
      <c r="M6732" s="1" t="s">
        <v>45</v>
      </c>
      <c r="N6732" s="1" t="s">
        <v>38</v>
      </c>
      <c r="O6732" s="1" t="s">
        <v>46</v>
      </c>
    </row>
    <row r="6733" spans="2:15" x14ac:dyDescent="0.3">
      <c r="B6733" s="1" t="s">
        <v>22</v>
      </c>
      <c r="C6733" s="1" t="str">
        <f t="shared" si="327"/>
        <v>5-2차</v>
      </c>
      <c r="D6733" s="1" t="str">
        <f>"0232S3935S"</f>
        <v>0232S3935S</v>
      </c>
      <c r="E6733" s="1" t="s">
        <v>10</v>
      </c>
      <c r="F6733" s="1" t="str">
        <f>"fde3:102:1420:5500:0:0:0:10"</f>
        <v>fde3:102:1420:5500:0:0:0:10</v>
      </c>
      <c r="G6733" s="1" t="str">
        <f>"0232S393"</f>
        <v>0232S393</v>
      </c>
      <c r="H6733" s="1" t="str">
        <f>"산장지 10R3L1"</f>
        <v>산장지 10R3L1</v>
      </c>
      <c r="I6733" s="1" t="s">
        <v>15</v>
      </c>
      <c r="J6733" s="1" t="str">
        <f>"55/55"</f>
        <v>55/55</v>
      </c>
      <c r="K6733" s="1" t="str">
        <f>"2026-07-29 14:20:37"</f>
        <v>2026-07-29 14:20:37</v>
      </c>
      <c r="L6733" s="1" t="str">
        <f>"2023-06-15 10:47:19"</f>
        <v>2023-06-15 10:47:19</v>
      </c>
      <c r="M6733" s="1" t="s">
        <v>45</v>
      </c>
      <c r="N6733" s="1" t="s">
        <v>38</v>
      </c>
      <c r="O6733" s="1" t="s">
        <v>46</v>
      </c>
    </row>
    <row r="6734" spans="2:15" x14ac:dyDescent="0.3">
      <c r="B6734" s="1" t="s">
        <v>22</v>
      </c>
      <c r="C6734" s="1" t="str">
        <f t="shared" si="327"/>
        <v>5-2차</v>
      </c>
      <c r="D6734" s="1" t="str">
        <f>"0232S4115S"</f>
        <v>0232S4115S</v>
      </c>
      <c r="E6734" s="1" t="s">
        <v>10</v>
      </c>
      <c r="F6734" s="1" t="str">
        <f>"fde3:102:1420:5500:0:0:0:13"</f>
        <v>fde3:102:1420:5500:0:0:0:13</v>
      </c>
      <c r="G6734" s="1" t="str">
        <f>"0232S411"</f>
        <v>0232S411</v>
      </c>
      <c r="H6734" s="1" t="str">
        <f>"쌍방간 93L3"</f>
        <v>쌍방간 93L3</v>
      </c>
      <c r="I6734" s="1" t="s">
        <v>15</v>
      </c>
      <c r="J6734" s="1" t="str">
        <f>"46/46"</f>
        <v>46/46</v>
      </c>
      <c r="K6734" s="1" t="str">
        <f>"2026-07-29 14:20:09"</f>
        <v>2026-07-29 14:20:09</v>
      </c>
      <c r="L6734" s="1" t="str">
        <f>"2023-06-15 13:46:48"</f>
        <v>2023-06-15 13:46:48</v>
      </c>
      <c r="M6734" s="1" t="s">
        <v>45</v>
      </c>
      <c r="N6734" s="1" t="s">
        <v>38</v>
      </c>
      <c r="O6734" s="1" t="s">
        <v>46</v>
      </c>
    </row>
    <row r="6735" spans="2:15" x14ac:dyDescent="0.3">
      <c r="B6735" s="1" t="s">
        <v>22</v>
      </c>
      <c r="C6735" s="1" t="str">
        <f t="shared" si="327"/>
        <v>5-2차</v>
      </c>
      <c r="D6735" s="1" t="str">
        <f>"0232S4325M"</f>
        <v>0232S4325M</v>
      </c>
      <c r="E6735" s="1" t="s">
        <v>10</v>
      </c>
      <c r="F6735" s="1" t="str">
        <f>"fde3:102:1420:5400:0:0:0:10"</f>
        <v>fde3:102:1420:5400:0:0:0:10</v>
      </c>
      <c r="G6735" s="1" t="str">
        <f>"0232S432"</f>
        <v>0232S432</v>
      </c>
      <c r="H6735" s="1" t="str">
        <f>"쌍방간 98L2L1"</f>
        <v>쌍방간 98L2L1</v>
      </c>
      <c r="I6735" s="1" t="s">
        <v>15</v>
      </c>
      <c r="J6735" s="1" t="str">
        <f>"99/99"</f>
        <v>99/99</v>
      </c>
      <c r="K6735" s="1" t="str">
        <f>"2026-07-28 20:03:27"</f>
        <v>2026-07-28 20:03:27</v>
      </c>
      <c r="L6735" s="1" t="str">
        <f>"2023-06-19 18:54:15"</f>
        <v>2023-06-19 18:54:15</v>
      </c>
      <c r="M6735" s="1" t="s">
        <v>45</v>
      </c>
      <c r="N6735" s="1" t="s">
        <v>38</v>
      </c>
      <c r="O6735" s="1" t="s">
        <v>46</v>
      </c>
    </row>
    <row r="6736" spans="2:15" x14ac:dyDescent="0.3">
      <c r="B6736" s="1" t="s">
        <v>22</v>
      </c>
      <c r="C6736" s="1" t="str">
        <f t="shared" si="327"/>
        <v>5-2차</v>
      </c>
      <c r="D6736" s="1" t="str">
        <f>"0232S4415M"</f>
        <v>0232S4415M</v>
      </c>
      <c r="E6736" s="1" t="s">
        <v>10</v>
      </c>
      <c r="F6736" s="1" t="str">
        <f>"fde3:102:1420:5500:0:0:0:d"</f>
        <v>fde3:102:1420:5500:0:0:0:d</v>
      </c>
      <c r="G6736" s="1" t="str">
        <f>"0232S441"</f>
        <v>0232S441</v>
      </c>
      <c r="H6736" s="1" t="str">
        <f>"쌍방간 105L8"</f>
        <v>쌍방간 105L8</v>
      </c>
      <c r="I6736" s="1" t="s">
        <v>15</v>
      </c>
      <c r="J6736" s="1" t="str">
        <f>"30/30"</f>
        <v>30/30</v>
      </c>
      <c r="K6736" s="1" t="str">
        <f>"2026-07-29 14:20:54"</f>
        <v>2026-07-29 14:20:54</v>
      </c>
      <c r="L6736" s="1" t="str">
        <f>"2023-06-19 19:00:35"</f>
        <v>2023-06-19 19:00:35</v>
      </c>
      <c r="M6736" s="1" t="s">
        <v>45</v>
      </c>
      <c r="N6736" s="1" t="s">
        <v>38</v>
      </c>
      <c r="O6736" s="1" t="s">
        <v>46</v>
      </c>
    </row>
    <row r="6737" spans="2:15" x14ac:dyDescent="0.3">
      <c r="B6737" s="1" t="s">
        <v>22</v>
      </c>
      <c r="C6737" s="1" t="str">
        <f t="shared" si="327"/>
        <v>5-2차</v>
      </c>
      <c r="D6737" s="1" t="str">
        <f>"0232S4715M"</f>
        <v>0232S4715M</v>
      </c>
      <c r="E6737" s="1" t="s">
        <v>10</v>
      </c>
      <c r="F6737" s="1" t="str">
        <f>"fde3:102:1420:5500:0:0:0:c"</f>
        <v>fde3:102:1420:5500:0:0:0:c</v>
      </c>
      <c r="G6737" s="1" t="str">
        <f>"0232S471"</f>
        <v>0232S471</v>
      </c>
      <c r="H6737" s="1" t="str">
        <f>"쌍방간 105L3"</f>
        <v>쌍방간 105L3</v>
      </c>
      <c r="I6737" s="1" t="s">
        <v>15</v>
      </c>
      <c r="J6737" s="1" t="str">
        <f>"53/53"</f>
        <v>53/53</v>
      </c>
      <c r="K6737" s="1" t="str">
        <f>"2026-07-29 14:21:11"</f>
        <v>2026-07-29 14:21:11</v>
      </c>
      <c r="L6737" s="1" t="str">
        <f>"2023-10-11 13:18:45"</f>
        <v>2023-10-11 13:18:45</v>
      </c>
      <c r="M6737" s="1" t="s">
        <v>45</v>
      </c>
      <c r="N6737" s="1" t="s">
        <v>38</v>
      </c>
      <c r="O6737" s="1" t="s">
        <v>46</v>
      </c>
    </row>
    <row r="6738" spans="2:15" x14ac:dyDescent="0.3">
      <c r="B6738" s="1" t="s">
        <v>22</v>
      </c>
      <c r="C6738" s="1" t="str">
        <f t="shared" si="327"/>
        <v>5-2차</v>
      </c>
      <c r="D6738" s="1" t="str">
        <f>"0232S4815M"</f>
        <v>0232S4815M</v>
      </c>
      <c r="E6738" s="1" t="s">
        <v>10</v>
      </c>
      <c r="F6738" s="1" t="str">
        <f>"fde3:102:1420:5500:0:0:0:8"</f>
        <v>fde3:102:1420:5500:0:0:0:8</v>
      </c>
      <c r="G6738" s="1" t="str">
        <f>"0232S481"</f>
        <v>0232S481</v>
      </c>
      <c r="H6738" s="1" t="str">
        <f>"산장지 10R6"</f>
        <v>산장지 10R6</v>
      </c>
      <c r="I6738" s="1" t="s">
        <v>15</v>
      </c>
      <c r="J6738" s="1" t="str">
        <f>"59/59"</f>
        <v>59/59</v>
      </c>
      <c r="K6738" s="1" t="str">
        <f>"2026-07-29 14:20:37"</f>
        <v>2026-07-29 14:20:37</v>
      </c>
      <c r="L6738" s="1" t="str">
        <f>"2023-11-06 17:29:45"</f>
        <v>2023-11-06 17:29:45</v>
      </c>
      <c r="M6738" s="1" t="s">
        <v>45</v>
      </c>
      <c r="N6738" s="1" t="s">
        <v>38</v>
      </c>
      <c r="O6738" s="1" t="s">
        <v>46</v>
      </c>
    </row>
    <row r="6739" spans="2:15" x14ac:dyDescent="0.3">
      <c r="B6739" s="1" t="s">
        <v>22</v>
      </c>
      <c r="C6739" s="1" t="str">
        <f t="shared" si="327"/>
        <v>5-2차</v>
      </c>
      <c r="D6739" s="1" t="str">
        <f>"0232S4915M"</f>
        <v>0232S4915M</v>
      </c>
      <c r="E6739" s="1" t="s">
        <v>10</v>
      </c>
      <c r="F6739" s="1" t="str">
        <f>"fde1:103:4:5967:0:0:0:2"</f>
        <v>fde1:103:4:5967:0:0:0:2</v>
      </c>
      <c r="G6739" s="1" t="str">
        <f>"0232S491"</f>
        <v>0232S491</v>
      </c>
      <c r="H6739" s="1" t="str">
        <f>"산장지 10R5"</f>
        <v>산장지 10R5</v>
      </c>
      <c r="I6739" s="1" t="s">
        <v>15</v>
      </c>
      <c r="J6739" s="1" t="str">
        <f>"48/48"</f>
        <v>48/48</v>
      </c>
      <c r="K6739" s="1" t="str">
        <f>"2026-07-29 14:20:40"</f>
        <v>2026-07-29 14:20:40</v>
      </c>
      <c r="L6739" s="1" t="str">
        <f>"2023-10-12 13:45:02"</f>
        <v>2023-10-12 13:45:02</v>
      </c>
      <c r="M6739" s="1" t="s">
        <v>4</v>
      </c>
      <c r="N6739" s="1" t="s">
        <v>38</v>
      </c>
      <c r="O6739" s="1" t="s">
        <v>46</v>
      </c>
    </row>
    <row r="6740" spans="2:15" x14ac:dyDescent="0.3">
      <c r="B6740" s="1" t="s">
        <v>22</v>
      </c>
      <c r="C6740" s="1" t="str">
        <f t="shared" si="327"/>
        <v>5-2차</v>
      </c>
      <c r="D6740" s="1" t="str">
        <f>"0232S4945M"</f>
        <v>0232S4945M</v>
      </c>
      <c r="E6740" s="1" t="s">
        <v>10</v>
      </c>
      <c r="F6740" s="1" t="str">
        <f>"fde3:102:1420:5500:0:0:0:7"</f>
        <v>fde3:102:1420:5500:0:0:0:7</v>
      </c>
      <c r="G6740" s="1" t="str">
        <f>"0232S494"</f>
        <v>0232S494</v>
      </c>
      <c r="H6740" s="1" t="str">
        <f>"산장지 10R5L1"</f>
        <v>산장지 10R5L1</v>
      </c>
      <c r="I6740" s="1" t="s">
        <v>15</v>
      </c>
      <c r="J6740" s="1" t="str">
        <f>"46/46"</f>
        <v>46/46</v>
      </c>
      <c r="K6740" s="1" t="str">
        <f>"2026-07-29 14:20:38"</f>
        <v>2026-07-29 14:20:38</v>
      </c>
      <c r="L6740" s="1" t="str">
        <f>"2023-06-19 18:39:08"</f>
        <v>2023-06-19 18:39:08</v>
      </c>
      <c r="M6740" s="1" t="s">
        <v>45</v>
      </c>
      <c r="N6740" s="1" t="s">
        <v>38</v>
      </c>
      <c r="O6740" s="1" t="s">
        <v>46</v>
      </c>
    </row>
    <row r="6741" spans="2:15" x14ac:dyDescent="0.3">
      <c r="B6741" s="1" t="s">
        <v>22</v>
      </c>
      <c r="C6741" s="1" t="str">
        <f>"5-1차"</f>
        <v>5-1차</v>
      </c>
      <c r="D6741" s="1" t="str">
        <f>"0232S5615M"</f>
        <v>0232S5615M</v>
      </c>
      <c r="E6741" s="1" t="s">
        <v>10</v>
      </c>
      <c r="F6741" s="1" t="str">
        <f>"fde3:102:1420:5500:0:0:0:2"</f>
        <v>fde3:102:1420:5500:0:0:0:2</v>
      </c>
      <c r="G6741" s="1" t="str">
        <f>"0232S561"</f>
        <v>0232S561</v>
      </c>
      <c r="H6741" s="1" t="str">
        <f>"쌍방간 105L5"</f>
        <v>쌍방간 105L5</v>
      </c>
      <c r="I6741" s="1" t="s">
        <v>15</v>
      </c>
      <c r="J6741" s="1" t="str">
        <f>"54/54"</f>
        <v>54/54</v>
      </c>
      <c r="K6741" s="1" t="str">
        <f>"2026-07-29 14:20:39"</f>
        <v>2026-07-29 14:20:39</v>
      </c>
      <c r="L6741" s="1" t="str">
        <f>"2022-11-22 10:25:59"</f>
        <v>2022-11-22 10:25:59</v>
      </c>
      <c r="M6741" s="1" t="s">
        <v>45</v>
      </c>
      <c r="N6741" s="1" t="s">
        <v>38</v>
      </c>
      <c r="O6741" s="1" t="s">
        <v>46</v>
      </c>
    </row>
    <row r="6742" spans="2:15" x14ac:dyDescent="0.3">
      <c r="B6742" s="1" t="s">
        <v>22</v>
      </c>
      <c r="C6742" s="1" t="str">
        <f t="shared" ref="C6742:C6747" si="328">"5-2차"</f>
        <v>5-2차</v>
      </c>
      <c r="D6742" s="1" t="str">
        <f>"0232S5915M"</f>
        <v>0232S5915M</v>
      </c>
      <c r="E6742" s="1" t="s">
        <v>10</v>
      </c>
      <c r="F6742" s="1" t="str">
        <f>"fde3:102:1420:5500:0:0:0:e"</f>
        <v>fde3:102:1420:5500:0:0:0:e</v>
      </c>
      <c r="G6742" s="1" t="str">
        <f>"0232S591"</f>
        <v>0232S591</v>
      </c>
      <c r="H6742" s="1" t="str">
        <f>"산장지 10R5C2"</f>
        <v>산장지 10R5C2</v>
      </c>
      <c r="I6742" s="1" t="s">
        <v>15</v>
      </c>
      <c r="J6742" s="1" t="str">
        <f>"69/78"</f>
        <v>69/78</v>
      </c>
      <c r="K6742" s="1" t="str">
        <f>"2026-07-29 14:20:55"</f>
        <v>2026-07-29 14:20:55</v>
      </c>
      <c r="L6742" s="1" t="str">
        <f>"2023-06-19 18:39:39"</f>
        <v>2023-06-19 18:39:39</v>
      </c>
      <c r="M6742" s="1" t="s">
        <v>45</v>
      </c>
      <c r="N6742" s="1" t="s">
        <v>38</v>
      </c>
      <c r="O6742" s="1" t="s">
        <v>46</v>
      </c>
    </row>
    <row r="6743" spans="2:15" x14ac:dyDescent="0.3">
      <c r="B6743" s="1" t="s">
        <v>22</v>
      </c>
      <c r="C6743" s="1" t="str">
        <f t="shared" si="328"/>
        <v>5-2차</v>
      </c>
      <c r="D6743" s="1" t="str">
        <f>"0232S7035M"</f>
        <v>0232S7035M</v>
      </c>
      <c r="E6743" s="1" t="s">
        <v>10</v>
      </c>
      <c r="F6743" s="1" t="str">
        <f>"fde1:103:4:5882:0:0:0:2"</f>
        <v>fde1:103:4:5882:0:0:0:2</v>
      </c>
      <c r="G6743" s="1" t="str">
        <f>"0232S703"</f>
        <v>0232S703</v>
      </c>
      <c r="H6743" s="1" t="str">
        <f>"쌍용간 29L5"</f>
        <v>쌍용간 29L5</v>
      </c>
      <c r="I6743" s="1" t="s">
        <v>15</v>
      </c>
      <c r="J6743" s="1" t="str">
        <f>"12/12"</f>
        <v>12/12</v>
      </c>
      <c r="K6743" s="1" t="str">
        <f>"2026-07-29 14:20:39"</f>
        <v>2026-07-29 14:20:39</v>
      </c>
      <c r="L6743" s="1" t="str">
        <f>"2023-10-12 13:45:33"</f>
        <v>2023-10-12 13:45:33</v>
      </c>
      <c r="M6743" s="1" t="s">
        <v>4</v>
      </c>
      <c r="N6743" s="1" t="s">
        <v>38</v>
      </c>
      <c r="O6743" s="1" t="s">
        <v>46</v>
      </c>
    </row>
    <row r="6744" spans="2:15" x14ac:dyDescent="0.3">
      <c r="B6744" s="1" t="s">
        <v>22</v>
      </c>
      <c r="C6744" s="1" t="str">
        <f t="shared" si="328"/>
        <v>5-2차</v>
      </c>
      <c r="D6744" s="1" t="str">
        <f>"0232S7225S"</f>
        <v>0232S7225S</v>
      </c>
      <c r="E6744" s="1" t="s">
        <v>10</v>
      </c>
      <c r="F6744" s="1" t="str">
        <f>"fde1:103:4:59e4:0:0:0:2"</f>
        <v>fde1:103:4:59e4:0:0:0:2</v>
      </c>
      <c r="G6744" s="1" t="str">
        <f>"0232S722"</f>
        <v>0232S722</v>
      </c>
      <c r="H6744" s="1" t="str">
        <f>"쌍용간 36L3L3"</f>
        <v>쌍용간 36L3L3</v>
      </c>
      <c r="I6744" s="1" t="s">
        <v>15</v>
      </c>
      <c r="J6744" s="1" t="str">
        <f>"6/6"</f>
        <v>6/6</v>
      </c>
      <c r="K6744" s="1" t="str">
        <f>"2026-07-29 14:20:39"</f>
        <v>2026-07-29 14:20:39</v>
      </c>
      <c r="L6744" s="1" t="str">
        <f>"2023-10-12 13:46:01"</f>
        <v>2023-10-12 13:46:01</v>
      </c>
      <c r="M6744" s="1" t="s">
        <v>4</v>
      </c>
      <c r="N6744" s="1" t="s">
        <v>38</v>
      </c>
      <c r="O6744" s="1" t="s">
        <v>46</v>
      </c>
    </row>
    <row r="6745" spans="2:15" x14ac:dyDescent="0.3">
      <c r="B6745" s="1" t="s">
        <v>22</v>
      </c>
      <c r="C6745" s="1" t="str">
        <f t="shared" si="328"/>
        <v>5-2차</v>
      </c>
      <c r="D6745" s="1" t="str">
        <f>"0232S7325S"</f>
        <v>0232S7325S</v>
      </c>
      <c r="E6745" s="1" t="s">
        <v>14</v>
      </c>
      <c r="F6745" s="1" t="str">
        <f>"fde1:103:4:5971:0:0:0:2"</f>
        <v>fde1:103:4:5971:0:0:0:2</v>
      </c>
      <c r="G6745" s="1" t="str">
        <f>"0232S732"</f>
        <v>0232S732</v>
      </c>
      <c r="H6745" s="1" t="str">
        <f>"쌍용간 36L3L2"</f>
        <v>쌍용간 36L3L2</v>
      </c>
      <c r="I6745" s="1" t="s">
        <v>15</v>
      </c>
      <c r="J6745" s="1" t="str">
        <f>"0/0"</f>
        <v>0/0</v>
      </c>
      <c r="K6745" s="1" t="str">
        <f>"2026-07-29 14:20:39"</f>
        <v>2026-07-29 14:20:39</v>
      </c>
      <c r="L6745" s="1" t="str">
        <f>"2023-10-12 13:46:29"</f>
        <v>2023-10-12 13:46:29</v>
      </c>
      <c r="M6745" s="1" t="s">
        <v>4</v>
      </c>
      <c r="N6745" s="1" t="s">
        <v>38</v>
      </c>
      <c r="O6745" s="1" t="s">
        <v>44</v>
      </c>
    </row>
    <row r="6746" spans="2:15" x14ac:dyDescent="0.3">
      <c r="B6746" s="1" t="s">
        <v>22</v>
      </c>
      <c r="C6746" s="1" t="str">
        <f t="shared" si="328"/>
        <v>5-2차</v>
      </c>
      <c r="D6746" s="1" t="str">
        <f>"0232S7415M"</f>
        <v>0232S7415M</v>
      </c>
      <c r="E6746" s="1" t="s">
        <v>10</v>
      </c>
      <c r="F6746" s="1" t="str">
        <f>"fde1:103:4:5960:0:0:0:2"</f>
        <v>fde1:103:4:5960:0:0:0:2</v>
      </c>
      <c r="G6746" s="1" t="str">
        <f>"0232S741"</f>
        <v>0232S741</v>
      </c>
      <c r="H6746" s="1" t="str">
        <f>"쌍용간 36L4L1"</f>
        <v>쌍용간 36L4L1</v>
      </c>
      <c r="I6746" s="1" t="s">
        <v>15</v>
      </c>
      <c r="J6746" s="1" t="str">
        <f>"99/106"</f>
        <v>99/106</v>
      </c>
      <c r="K6746" s="1" t="str">
        <f>"2026-07-29 14:20:38"</f>
        <v>2026-07-29 14:20:38</v>
      </c>
      <c r="L6746" s="1" t="str">
        <f>"2023-10-12 14:26:20"</f>
        <v>2023-10-12 14:26:20</v>
      </c>
      <c r="M6746" s="1" t="s">
        <v>4</v>
      </c>
      <c r="N6746" s="1" t="s">
        <v>38</v>
      </c>
      <c r="O6746" s="1" t="s">
        <v>46</v>
      </c>
    </row>
    <row r="6747" spans="2:15" x14ac:dyDescent="0.3">
      <c r="B6747" s="1" t="s">
        <v>22</v>
      </c>
      <c r="C6747" s="1" t="str">
        <f t="shared" si="328"/>
        <v>5-2차</v>
      </c>
      <c r="D6747" s="1" t="str">
        <f>"0232S7435S"</f>
        <v>0232S7435S</v>
      </c>
      <c r="E6747" s="1" t="str">
        <f>"검침실패(3시간 이상)"</f>
        <v>검침실패(3시간 이상)</v>
      </c>
      <c r="F6747" s="1" t="str">
        <f>"fde1:103:4:5951:0:0:0:2"</f>
        <v>fde1:103:4:5951:0:0:0:2</v>
      </c>
      <c r="G6747" s="1" t="str">
        <f>"0232S743"</f>
        <v>0232S743</v>
      </c>
      <c r="H6747" s="1" t="str">
        <f>"쌍용간 36L3L1R1"</f>
        <v>쌍용간 36L3L1R1</v>
      </c>
      <c r="I6747" s="1" t="s">
        <v>15</v>
      </c>
      <c r="J6747" s="1" t="str">
        <f>"0/1"</f>
        <v>0/1</v>
      </c>
      <c r="K6747" s="1" t="str">
        <f>"2026-07-29 14:20:38"</f>
        <v>2026-07-29 14:20:38</v>
      </c>
      <c r="L6747" s="1" t="str">
        <f>"2023-10-12 14:26:54"</f>
        <v>2023-10-12 14:26:54</v>
      </c>
      <c r="M6747" s="1" t="s">
        <v>4</v>
      </c>
      <c r="N6747" s="1" t="s">
        <v>38</v>
      </c>
      <c r="O6747" s="1" t="s">
        <v>46</v>
      </c>
    </row>
    <row r="6748" spans="2:15" x14ac:dyDescent="0.3">
      <c r="B6748" s="1" t="s">
        <v>22</v>
      </c>
      <c r="C6748" s="1" t="str">
        <f>"5-1차"</f>
        <v>5-1차</v>
      </c>
      <c r="D6748" s="1" t="str">
        <f>"0232S7625S"</f>
        <v>0232S7625S</v>
      </c>
      <c r="E6748" s="1" t="s">
        <v>10</v>
      </c>
      <c r="F6748" s="1" t="str">
        <f>"fde2:104:0:1b1:0:0:0:2"</f>
        <v>fde2:104:0:1b1:0:0:0:2</v>
      </c>
      <c r="G6748" s="1" t="str">
        <f>"0232S762"</f>
        <v>0232S762</v>
      </c>
      <c r="H6748" s="1" t="str">
        <f>"쌍용간 36L4L5"</f>
        <v>쌍용간 36L4L5</v>
      </c>
      <c r="I6748" s="1" t="s">
        <v>15</v>
      </c>
      <c r="J6748" s="1" t="str">
        <f>"41/41"</f>
        <v>41/41</v>
      </c>
      <c r="K6748" s="1" t="str">
        <f>"2026-07-29 14:20:15"</f>
        <v>2026-07-29 14:20:15</v>
      </c>
      <c r="L6748" s="1" t="str">
        <f>"2022-11-22 11:26:12"</f>
        <v>2022-11-22 11:26:12</v>
      </c>
      <c r="M6748" s="1" t="s">
        <v>42</v>
      </c>
      <c r="N6748" s="1" t="s">
        <v>38</v>
      </c>
      <c r="O6748" s="1" t="s">
        <v>46</v>
      </c>
    </row>
    <row r="6749" spans="2:15" x14ac:dyDescent="0.3">
      <c r="B6749" s="1" t="s">
        <v>22</v>
      </c>
      <c r="C6749" s="1" t="str">
        <f>"5-1차"</f>
        <v>5-1차</v>
      </c>
      <c r="D6749" s="1" t="str">
        <f>"0232S7835S"</f>
        <v>0232S7835S</v>
      </c>
      <c r="E6749" s="1" t="s">
        <v>10</v>
      </c>
      <c r="F6749" s="1" t="str">
        <f>"fde2:104:0:198:0:0:0:2"</f>
        <v>fde2:104:0:198:0:0:0:2</v>
      </c>
      <c r="G6749" s="1" t="str">
        <f>"0232S783"</f>
        <v>0232S783</v>
      </c>
      <c r="H6749" s="1" t="str">
        <f>"쌍용간 47L12R4"</f>
        <v>쌍용간 47L12R4</v>
      </c>
      <c r="I6749" s="1" t="s">
        <v>15</v>
      </c>
      <c r="J6749" s="1" t="str">
        <f>"39/39"</f>
        <v>39/39</v>
      </c>
      <c r="K6749" s="1" t="str">
        <f>"2026-07-29 14:20:06"</f>
        <v>2026-07-29 14:20:06</v>
      </c>
      <c r="L6749" s="1" t="str">
        <f>"2022-11-21 10:22:08"</f>
        <v>2022-11-21 10:22:08</v>
      </c>
      <c r="M6749" s="1" t="s">
        <v>42</v>
      </c>
      <c r="N6749" s="1" t="s">
        <v>38</v>
      </c>
      <c r="O6749" s="1" t="s">
        <v>46</v>
      </c>
    </row>
    <row r="6750" spans="2:15" x14ac:dyDescent="0.3">
      <c r="B6750" s="1" t="s">
        <v>22</v>
      </c>
      <c r="C6750" s="1" t="str">
        <f t="shared" ref="C6750:C6761" si="329">"5-2차"</f>
        <v>5-2차</v>
      </c>
      <c r="D6750" s="1" t="str">
        <f>"0232S8515M"</f>
        <v>0232S8515M</v>
      </c>
      <c r="E6750" s="1" t="s">
        <v>10</v>
      </c>
      <c r="F6750" s="1" t="str">
        <f>"fde1:103:4:56f2:0:0:0:2"</f>
        <v>fde1:103:4:56f2:0:0:0:2</v>
      </c>
      <c r="G6750" s="1" t="str">
        <f>"0232S851"</f>
        <v>0232S851</v>
      </c>
      <c r="H6750" s="1" t="str">
        <f>"쌍용간 36L6"</f>
        <v>쌍용간 36L6</v>
      </c>
      <c r="I6750" s="1" t="s">
        <v>15</v>
      </c>
      <c r="J6750" s="1" t="str">
        <f>"103/103"</f>
        <v>103/103</v>
      </c>
      <c r="K6750" s="1" t="str">
        <f>"2026-07-29 14:20:06"</f>
        <v>2026-07-29 14:20:06</v>
      </c>
      <c r="L6750" s="1" t="str">
        <f>"2023-10-12 14:42:12"</f>
        <v>2023-10-12 14:42:12</v>
      </c>
      <c r="M6750" s="1" t="s">
        <v>4</v>
      </c>
      <c r="N6750" s="1" t="s">
        <v>38</v>
      </c>
      <c r="O6750" s="1" t="s">
        <v>46</v>
      </c>
    </row>
    <row r="6751" spans="2:15" x14ac:dyDescent="0.3">
      <c r="B6751" s="1" t="s">
        <v>22</v>
      </c>
      <c r="C6751" s="1" t="str">
        <f t="shared" si="329"/>
        <v>5-2차</v>
      </c>
      <c r="D6751" s="1" t="str">
        <f>"0232S8615S"</f>
        <v>0232S8615S</v>
      </c>
      <c r="E6751" s="1" t="s">
        <v>10</v>
      </c>
      <c r="F6751" s="1" t="str">
        <f>"fde1:103:4:56f0:0:0:0:2"</f>
        <v>fde1:103:4:56f0:0:0:0:2</v>
      </c>
      <c r="G6751" s="1" t="str">
        <f>"0232S861"</f>
        <v>0232S861</v>
      </c>
      <c r="H6751" s="1" t="str">
        <f>"쌍용간 36L7"</f>
        <v>쌍용간 36L7</v>
      </c>
      <c r="I6751" s="1" t="s">
        <v>15</v>
      </c>
      <c r="J6751" s="1" t="str">
        <f>"79/80"</f>
        <v>79/80</v>
      </c>
      <c r="K6751" s="1" t="str">
        <f>"2026-07-29 14:20:56"</f>
        <v>2026-07-29 14:20:56</v>
      </c>
      <c r="L6751" s="1" t="str">
        <f>"2023-10-12 14:27:55"</f>
        <v>2023-10-12 14:27:55</v>
      </c>
      <c r="M6751" s="1" t="s">
        <v>4</v>
      </c>
      <c r="N6751" s="1" t="s">
        <v>38</v>
      </c>
      <c r="O6751" s="1" t="s">
        <v>46</v>
      </c>
    </row>
    <row r="6752" spans="2:15" x14ac:dyDescent="0.3">
      <c r="B6752" s="1" t="s">
        <v>22</v>
      </c>
      <c r="C6752" s="1" t="str">
        <f t="shared" si="329"/>
        <v>5-2차</v>
      </c>
      <c r="D6752" s="1" t="str">
        <f>"0232S8715M"</f>
        <v>0232S8715M</v>
      </c>
      <c r="E6752" s="1" t="s">
        <v>10</v>
      </c>
      <c r="F6752" s="1" t="str">
        <f>"fde1:103:4:56f4:0:0:0:2"</f>
        <v>fde1:103:4:56f4:0:0:0:2</v>
      </c>
      <c r="G6752" s="1" t="str">
        <f>"0232S871"</f>
        <v>0232S871</v>
      </c>
      <c r="H6752" s="1" t="str">
        <f>"쌍용간 36L9"</f>
        <v>쌍용간 36L9</v>
      </c>
      <c r="I6752" s="1" t="s">
        <v>15</v>
      </c>
      <c r="J6752" s="1" t="str">
        <f>"38/38"</f>
        <v>38/38</v>
      </c>
      <c r="K6752" s="1" t="str">
        <f>"2026-07-29 14:20:39"</f>
        <v>2026-07-29 14:20:39</v>
      </c>
      <c r="L6752" s="1" t="str">
        <f>"2023-10-12 15:00:18"</f>
        <v>2023-10-12 15:00:18</v>
      </c>
      <c r="M6752" s="1" t="s">
        <v>4</v>
      </c>
      <c r="N6752" s="1" t="s">
        <v>38</v>
      </c>
      <c r="O6752" s="1" t="s">
        <v>46</v>
      </c>
    </row>
    <row r="6753" spans="2:15" x14ac:dyDescent="0.3">
      <c r="B6753" s="1" t="s">
        <v>22</v>
      </c>
      <c r="C6753" s="1" t="str">
        <f t="shared" si="329"/>
        <v>5-2차</v>
      </c>
      <c r="D6753" s="1" t="str">
        <f>"0232S9415M"</f>
        <v>0232S9415M</v>
      </c>
      <c r="E6753" s="1" t="s">
        <v>10</v>
      </c>
      <c r="F6753" s="1" t="str">
        <f>"fde3:102:1420:5400:0:0:0:1d"</f>
        <v>fde3:102:1420:5400:0:0:0:1d</v>
      </c>
      <c r="G6753" s="1" t="str">
        <f>"0232S941"</f>
        <v>0232S941</v>
      </c>
      <c r="H6753" s="1" t="str">
        <f>"쌍용간 36L4R1"</f>
        <v>쌍용간 36L4R1</v>
      </c>
      <c r="I6753" s="1" t="s">
        <v>15</v>
      </c>
      <c r="J6753" s="1" t="str">
        <f>"39/39"</f>
        <v>39/39</v>
      </c>
      <c r="K6753" s="1" t="str">
        <f>"2026-07-29 14:21:11"</f>
        <v>2026-07-29 14:21:11</v>
      </c>
      <c r="L6753" s="1" t="str">
        <f>"2023-06-26 16:50:31"</f>
        <v>2023-06-26 16:50:31</v>
      </c>
      <c r="M6753" s="1" t="s">
        <v>45</v>
      </c>
      <c r="N6753" s="1" t="s">
        <v>38</v>
      </c>
      <c r="O6753" s="1" t="s">
        <v>46</v>
      </c>
    </row>
    <row r="6754" spans="2:15" x14ac:dyDescent="0.3">
      <c r="B6754" s="1" t="s">
        <v>22</v>
      </c>
      <c r="C6754" s="1" t="str">
        <f t="shared" si="329"/>
        <v>5-2차</v>
      </c>
      <c r="D6754" s="1" t="str">
        <f>"0232S9715M"</f>
        <v>0232S9715M</v>
      </c>
      <c r="E6754" s="1" t="s">
        <v>10</v>
      </c>
      <c r="F6754" s="1" t="str">
        <f>"fde1:103:4:56fb:0:0:0:2"</f>
        <v>fde1:103:4:56fb:0:0:0:2</v>
      </c>
      <c r="G6754" s="1" t="str">
        <f>"0232S971"</f>
        <v>0232S971</v>
      </c>
      <c r="H6754" s="1" t="str">
        <f>"쌍용간 36L11"</f>
        <v>쌍용간 36L11</v>
      </c>
      <c r="I6754" s="1" t="s">
        <v>15</v>
      </c>
      <c r="J6754" s="1" t="str">
        <f>"62/62"</f>
        <v>62/62</v>
      </c>
      <c r="K6754" s="1" t="str">
        <f>"2026-07-29 14:20:39"</f>
        <v>2026-07-29 14:20:39</v>
      </c>
      <c r="L6754" s="1" t="str">
        <f>"2023-10-12 15:00:53"</f>
        <v>2023-10-12 15:00:53</v>
      </c>
      <c r="M6754" s="1" t="s">
        <v>4</v>
      </c>
      <c r="N6754" s="1" t="s">
        <v>38</v>
      </c>
      <c r="O6754" s="1" t="s">
        <v>46</v>
      </c>
    </row>
    <row r="6755" spans="2:15" x14ac:dyDescent="0.3">
      <c r="B6755" s="1" t="s">
        <v>22</v>
      </c>
      <c r="C6755" s="1" t="str">
        <f t="shared" si="329"/>
        <v>5-2차</v>
      </c>
      <c r="D6755" s="1" t="str">
        <f>"0232S9725M"</f>
        <v>0232S9725M</v>
      </c>
      <c r="E6755" s="1" t="s">
        <v>10</v>
      </c>
      <c r="F6755" s="1" t="str">
        <f>"fde3:102:1420:5200:0:0:0:7"</f>
        <v>fde3:102:1420:5200:0:0:0:7</v>
      </c>
      <c r="G6755" s="1" t="str">
        <f>"0232S972"</f>
        <v>0232S972</v>
      </c>
      <c r="H6755" s="1" t="str">
        <f>"쌍용간 36L10"</f>
        <v>쌍용간 36L10</v>
      </c>
      <c r="I6755" s="1" t="s">
        <v>15</v>
      </c>
      <c r="J6755" s="1" t="str">
        <f>"81/87"</f>
        <v>81/87</v>
      </c>
      <c r="K6755" s="1" t="str">
        <f>"2026-07-29 14:21:12"</f>
        <v>2026-07-29 14:21:12</v>
      </c>
      <c r="L6755" s="1" t="str">
        <f>"2023-12-01 10:48:59"</f>
        <v>2023-12-01 10:48:59</v>
      </c>
      <c r="M6755" s="1" t="s">
        <v>45</v>
      </c>
      <c r="N6755" s="1" t="s">
        <v>38</v>
      </c>
      <c r="O6755" s="1" t="s">
        <v>46</v>
      </c>
    </row>
    <row r="6756" spans="2:15" x14ac:dyDescent="0.3">
      <c r="B6756" s="1" t="s">
        <v>22</v>
      </c>
      <c r="C6756" s="1" t="str">
        <f t="shared" si="329"/>
        <v>5-2차</v>
      </c>
      <c r="D6756" s="1" t="str">
        <f>"0232S9915S"</f>
        <v>0232S9915S</v>
      </c>
      <c r="E6756" s="1" t="s">
        <v>10</v>
      </c>
      <c r="F6756" s="1" t="str">
        <f>"fde1:103:4:56fe:0:0:0:2"</f>
        <v>fde1:103:4:56fe:0:0:0:2</v>
      </c>
      <c r="G6756" s="1" t="str">
        <f>"0232S991"</f>
        <v>0232S991</v>
      </c>
      <c r="H6756" s="1" t="str">
        <f>"쌍용간 47L17"</f>
        <v>쌍용간 47L17</v>
      </c>
      <c r="I6756" s="1" t="s">
        <v>15</v>
      </c>
      <c r="J6756" s="1" t="str">
        <f>"34/34"</f>
        <v>34/34</v>
      </c>
      <c r="K6756" s="1" t="str">
        <f>"2026-07-29 14:21:12"</f>
        <v>2026-07-29 14:21:12</v>
      </c>
      <c r="L6756" s="1" t="str">
        <f>"2023-10-12 15:01:22"</f>
        <v>2023-10-12 15:01:22</v>
      </c>
      <c r="M6756" s="1" t="s">
        <v>4</v>
      </c>
      <c r="N6756" s="1" t="s">
        <v>38</v>
      </c>
      <c r="O6756" s="1" t="s">
        <v>46</v>
      </c>
    </row>
    <row r="6757" spans="2:15" x14ac:dyDescent="0.3">
      <c r="B6757" s="1" t="s">
        <v>22</v>
      </c>
      <c r="C6757" s="1" t="str">
        <f t="shared" si="329"/>
        <v>5-2차</v>
      </c>
      <c r="D6757" s="1" t="str">
        <f>"0232W0125M"</f>
        <v>0232W0125M</v>
      </c>
      <c r="E6757" s="1" t="s">
        <v>10</v>
      </c>
      <c r="F6757" s="1" t="str">
        <f>"fde1:103:4:56f1:0:0:0:2"</f>
        <v>fde1:103:4:56f1:0:0:0:2</v>
      </c>
      <c r="G6757" s="1" t="str">
        <f>"0232W012"</f>
        <v>0232W012</v>
      </c>
      <c r="H6757" s="1" t="str">
        <f>"쌍용간 45L2"</f>
        <v>쌍용간 45L2</v>
      </c>
      <c r="I6757" s="1" t="s">
        <v>15</v>
      </c>
      <c r="J6757" s="1" t="str">
        <f>"55/55"</f>
        <v>55/55</v>
      </c>
      <c r="K6757" s="1" t="str">
        <f>"2026-07-29 14:20:55"</f>
        <v>2026-07-29 14:20:55</v>
      </c>
      <c r="L6757" s="1" t="str">
        <f>"2023-10-12 15:01:49"</f>
        <v>2023-10-12 15:01:49</v>
      </c>
      <c r="M6757" s="1" t="s">
        <v>4</v>
      </c>
      <c r="N6757" s="1" t="s">
        <v>38</v>
      </c>
      <c r="O6757" s="1" t="s">
        <v>46</v>
      </c>
    </row>
    <row r="6758" spans="2:15" x14ac:dyDescent="0.3">
      <c r="B6758" s="1" t="s">
        <v>22</v>
      </c>
      <c r="C6758" s="1" t="str">
        <f t="shared" si="329"/>
        <v>5-2차</v>
      </c>
      <c r="D6758" s="1" t="str">
        <f>"0232W0235S"</f>
        <v>0232W0235S</v>
      </c>
      <c r="E6758" s="1" t="s">
        <v>10</v>
      </c>
      <c r="F6758" s="1" t="str">
        <f>"fde1:103:4:56ef:0:0:0:2"</f>
        <v>fde1:103:4:56ef:0:0:0:2</v>
      </c>
      <c r="G6758" s="1" t="str">
        <f>"0232W023"</f>
        <v>0232W023</v>
      </c>
      <c r="H6758" s="1" t="str">
        <f>"쌍용간 45L4"</f>
        <v>쌍용간 45L4</v>
      </c>
      <c r="I6758" s="1" t="s">
        <v>15</v>
      </c>
      <c r="J6758" s="1" t="str">
        <f>"29/29"</f>
        <v>29/29</v>
      </c>
      <c r="K6758" s="1" t="str">
        <f>"2026-07-29 14:20:39"</f>
        <v>2026-07-29 14:20:39</v>
      </c>
      <c r="L6758" s="1" t="str">
        <f>"2023-10-12 15:43:55"</f>
        <v>2023-10-12 15:43:55</v>
      </c>
      <c r="M6758" s="1" t="s">
        <v>4</v>
      </c>
      <c r="N6758" s="1" t="s">
        <v>38</v>
      </c>
      <c r="O6758" s="1" t="s">
        <v>46</v>
      </c>
    </row>
    <row r="6759" spans="2:15" x14ac:dyDescent="0.3">
      <c r="B6759" s="1" t="s">
        <v>22</v>
      </c>
      <c r="C6759" s="1" t="str">
        <f t="shared" si="329"/>
        <v>5-2차</v>
      </c>
      <c r="D6759" s="1" t="str">
        <f>"0232W1315M"</f>
        <v>0232W1315M</v>
      </c>
      <c r="E6759" s="1" t="s">
        <v>10</v>
      </c>
      <c r="F6759" s="1" t="str">
        <f>"fde1:103:4:56f6:0:0:0:2"</f>
        <v>fde1:103:4:56f6:0:0:0:2</v>
      </c>
      <c r="G6759" s="1" t="str">
        <f>"0232W131"</f>
        <v>0232W131</v>
      </c>
      <c r="H6759" s="1" t="str">
        <f>"쌍용간 47L2"</f>
        <v>쌍용간 47L2</v>
      </c>
      <c r="I6759" s="1" t="s">
        <v>15</v>
      </c>
      <c r="J6759" s="1" t="str">
        <f>"55/55"</f>
        <v>55/55</v>
      </c>
      <c r="K6759" s="1" t="str">
        <f>"2026-07-29 14:20:38"</f>
        <v>2026-07-29 14:20:38</v>
      </c>
      <c r="L6759" s="1" t="str">
        <f>"2023-10-12 15:44:23"</f>
        <v>2023-10-12 15:44:23</v>
      </c>
      <c r="M6759" s="1" t="s">
        <v>4</v>
      </c>
      <c r="N6759" s="1" t="s">
        <v>38</v>
      </c>
      <c r="O6759" s="1" t="s">
        <v>46</v>
      </c>
    </row>
    <row r="6760" spans="2:15" x14ac:dyDescent="0.3">
      <c r="B6760" s="1" t="s">
        <v>22</v>
      </c>
      <c r="C6760" s="1" t="str">
        <f t="shared" si="329"/>
        <v>5-2차</v>
      </c>
      <c r="D6760" s="1" t="str">
        <f>"0232W2335M"</f>
        <v>0232W2335M</v>
      </c>
      <c r="E6760" s="1" t="s">
        <v>10</v>
      </c>
      <c r="F6760" s="1" t="str">
        <f>"fde1:103:4:56ee:0:0:0:2"</f>
        <v>fde1:103:4:56ee:0:0:0:2</v>
      </c>
      <c r="G6760" s="1" t="str">
        <f>"0232W233"</f>
        <v>0232W233</v>
      </c>
      <c r="H6760" s="1" t="str">
        <f>"한천지 53"</f>
        <v>한천지 53</v>
      </c>
      <c r="I6760" s="1" t="s">
        <v>15</v>
      </c>
      <c r="J6760" s="1" t="str">
        <f>"52/52"</f>
        <v>52/52</v>
      </c>
      <c r="K6760" s="1" t="str">
        <f>"2026-07-29 14:20:13"</f>
        <v>2026-07-29 14:20:13</v>
      </c>
      <c r="L6760" s="1" t="str">
        <f>"2023-10-12 15:44:48"</f>
        <v>2023-10-12 15:44:48</v>
      </c>
      <c r="M6760" s="1" t="s">
        <v>4</v>
      </c>
      <c r="N6760" s="1" t="s">
        <v>38</v>
      </c>
      <c r="O6760" s="1" t="s">
        <v>46</v>
      </c>
    </row>
    <row r="6761" spans="2:15" x14ac:dyDescent="0.3">
      <c r="B6761" s="1" t="s">
        <v>22</v>
      </c>
      <c r="C6761" s="1" t="str">
        <f t="shared" si="329"/>
        <v>5-2차</v>
      </c>
      <c r="D6761" s="1" t="str">
        <f>"0232W4435S"</f>
        <v>0232W4435S</v>
      </c>
      <c r="E6761" s="1" t="s">
        <v>10</v>
      </c>
      <c r="F6761" s="1" t="str">
        <f>"fde1:103:4:56fa:0:0:0:2"</f>
        <v>fde1:103:4:56fa:0:0:0:2</v>
      </c>
      <c r="G6761" s="1" t="str">
        <f>"0232W443"</f>
        <v>0232W443</v>
      </c>
      <c r="H6761" s="1" t="str">
        <f>"한천지 47L5"</f>
        <v>한천지 47L5</v>
      </c>
      <c r="I6761" s="1" t="s">
        <v>15</v>
      </c>
      <c r="J6761" s="1" t="str">
        <f>"36/44"</f>
        <v>36/44</v>
      </c>
      <c r="K6761" s="1" t="str">
        <f>"2026-07-29 14:20:07"</f>
        <v>2026-07-29 14:20:07</v>
      </c>
      <c r="L6761" s="1" t="str">
        <f>"2023-10-12 15:45:15"</f>
        <v>2023-10-12 15:45:15</v>
      </c>
      <c r="M6761" s="1" t="s">
        <v>4</v>
      </c>
      <c r="N6761" s="1" t="s">
        <v>38</v>
      </c>
      <c r="O6761" s="1" t="s">
        <v>46</v>
      </c>
    </row>
    <row r="6762" spans="2:15" x14ac:dyDescent="0.3">
      <c r="B6762" s="1" t="s">
        <v>22</v>
      </c>
      <c r="C6762" s="1" t="str">
        <f>"6차"</f>
        <v>6차</v>
      </c>
      <c r="D6762" s="1" t="str">
        <f>"0232W8016S"</f>
        <v>0232W8016S</v>
      </c>
      <c r="E6762" s="1" t="s">
        <v>10</v>
      </c>
      <c r="F6762" s="1" t="str">
        <f>"fde1:103:4:92a5:0:0:0:2"</f>
        <v>fde1:103:4:92a5:0:0:0:2</v>
      </c>
      <c r="G6762" s="1" t="str">
        <f>"0232W801"</f>
        <v>0232W801</v>
      </c>
      <c r="H6762" s="1" t="str">
        <f>"동일지 29R10R3L1"</f>
        <v>동일지 29R10R3L1</v>
      </c>
      <c r="I6762" s="1" t="s">
        <v>15</v>
      </c>
      <c r="J6762" s="1" t="str">
        <f>"39/39"</f>
        <v>39/39</v>
      </c>
      <c r="K6762" s="1" t="str">
        <f>"2026-07-29 14:20:07"</f>
        <v>2026-07-29 14:20:07</v>
      </c>
      <c r="L6762" s="1" t="str">
        <f>"2024-10-10 10:42:45"</f>
        <v>2024-10-10 10:42:45</v>
      </c>
      <c r="M6762" s="1" t="s">
        <v>4</v>
      </c>
      <c r="N6762" s="1" t="s">
        <v>38</v>
      </c>
      <c r="O6762" s="1" t="s">
        <v>46</v>
      </c>
    </row>
    <row r="6763" spans="2:15" x14ac:dyDescent="0.3">
      <c r="B6763" s="1" t="s">
        <v>22</v>
      </c>
      <c r="C6763" s="1" t="str">
        <f>"5-2차"</f>
        <v>5-2차</v>
      </c>
      <c r="D6763" s="1" t="str">
        <f>"0232W8035S"</f>
        <v>0232W8035S</v>
      </c>
      <c r="E6763" s="1" t="s">
        <v>10</v>
      </c>
      <c r="F6763" s="1" t="str">
        <f>"fde3:102:1420:2100:0:0:0:10"</f>
        <v>fde3:102:1420:2100:0:0:0:10</v>
      </c>
      <c r="G6763" s="1" t="str">
        <f>"0232W803"</f>
        <v>0232W803</v>
      </c>
      <c r="H6763" s="1" t="str">
        <f>"동일지 29R10R3L2"</f>
        <v>동일지 29R10R3L2</v>
      </c>
      <c r="I6763" s="1" t="s">
        <v>15</v>
      </c>
      <c r="J6763" s="1" t="str">
        <f>"44/44"</f>
        <v>44/44</v>
      </c>
      <c r="K6763" s="1" t="str">
        <f>"2026-07-29 14:21:11"</f>
        <v>2026-07-29 14:21:11</v>
      </c>
      <c r="L6763" s="1" t="str">
        <f>"2023-06-16 10:26:10"</f>
        <v>2023-06-16 10:26:10</v>
      </c>
      <c r="M6763" s="1" t="s">
        <v>45</v>
      </c>
      <c r="N6763" s="1" t="s">
        <v>38</v>
      </c>
      <c r="O6763" s="1" t="s">
        <v>46</v>
      </c>
    </row>
    <row r="6764" spans="2:15" x14ac:dyDescent="0.3">
      <c r="B6764" s="1" t="s">
        <v>22</v>
      </c>
      <c r="C6764" s="1" t="str">
        <f>"5-2차"</f>
        <v>5-2차</v>
      </c>
      <c r="D6764" s="1" t="str">
        <f>"0232W8045M"</f>
        <v>0232W8045M</v>
      </c>
      <c r="E6764" s="1" t="s">
        <v>10</v>
      </c>
      <c r="F6764" s="1" t="str">
        <f>"fde1:103:4:913c:0:0:0:2"</f>
        <v>fde1:103:4:913c:0:0:0:2</v>
      </c>
      <c r="G6764" s="1" t="str">
        <f>"0232W804"</f>
        <v>0232W804</v>
      </c>
      <c r="H6764" s="1" t="str">
        <f>"동일지 29R10R3L1D2"</f>
        <v>동일지 29R10R3L1D2</v>
      </c>
      <c r="I6764" s="1" t="s">
        <v>15</v>
      </c>
      <c r="J6764" s="1" t="str">
        <f>"105/105"</f>
        <v>105/105</v>
      </c>
      <c r="K6764" s="1" t="str">
        <f>"2026-07-29 14:21:12"</f>
        <v>2026-07-29 14:21:12</v>
      </c>
      <c r="L6764" s="1" t="str">
        <f>"2024-01-05 16:42:07"</f>
        <v>2024-01-05 16:42:07</v>
      </c>
      <c r="M6764" s="1" t="s">
        <v>4</v>
      </c>
      <c r="N6764" s="1" t="s">
        <v>38</v>
      </c>
      <c r="O6764" s="1" t="s">
        <v>46</v>
      </c>
    </row>
    <row r="6765" spans="2:15" x14ac:dyDescent="0.3">
      <c r="B6765" s="1" t="s">
        <v>22</v>
      </c>
      <c r="C6765" s="1" t="str">
        <f>"5-1차"</f>
        <v>5-1차</v>
      </c>
      <c r="D6765" s="1" t="str">
        <f>"0232W9235M"</f>
        <v>0232W9235M</v>
      </c>
      <c r="E6765" s="1" t="s">
        <v>10</v>
      </c>
      <c r="F6765" s="1" t="str">
        <f>"fde3:102:1420:2100:0:0:0:4"</f>
        <v>fde3:102:1420:2100:0:0:0:4</v>
      </c>
      <c r="G6765" s="1" t="str">
        <f>"0232W923"</f>
        <v>0232W923</v>
      </c>
      <c r="H6765" s="1" t="str">
        <f>"동일지 29R6R5HL3L1"</f>
        <v>동일지 29R6R5HL3L1</v>
      </c>
      <c r="I6765" s="1" t="s">
        <v>15</v>
      </c>
      <c r="J6765" s="1" t="str">
        <f>"89/89"</f>
        <v>89/89</v>
      </c>
      <c r="K6765" s="1" t="str">
        <f>"2026-07-29 14:20:56"</f>
        <v>2026-07-29 14:20:56</v>
      </c>
      <c r="L6765" s="1" t="str">
        <f>"2022-11-15 17:22:48"</f>
        <v>2022-11-15 17:22:48</v>
      </c>
      <c r="M6765" s="1" t="s">
        <v>45</v>
      </c>
      <c r="N6765" s="1" t="s">
        <v>38</v>
      </c>
      <c r="O6765" s="1" t="s">
        <v>46</v>
      </c>
    </row>
    <row r="6766" spans="2:15" x14ac:dyDescent="0.3">
      <c r="B6766" s="1" t="s">
        <v>22</v>
      </c>
      <c r="C6766" s="1" t="str">
        <f>"5-1차"</f>
        <v>5-1차</v>
      </c>
      <c r="D6766" s="1" t="str">
        <f>"0232W9515M"</f>
        <v>0232W9515M</v>
      </c>
      <c r="E6766" s="1" t="s">
        <v>10</v>
      </c>
      <c r="F6766" s="1" t="str">
        <f>"fde3:102:1420:2100:0:0:0:5"</f>
        <v>fde3:102:1420:2100:0:0:0:5</v>
      </c>
      <c r="G6766" s="1" t="str">
        <f>"0232W951"</f>
        <v>0232W951</v>
      </c>
      <c r="H6766" s="1" t="str">
        <f>"동일지 21R10"</f>
        <v>동일지 21R10</v>
      </c>
      <c r="I6766" s="1" t="s">
        <v>15</v>
      </c>
      <c r="J6766" s="1" t="str">
        <f>"64/64"</f>
        <v>64/64</v>
      </c>
      <c r="K6766" s="1" t="str">
        <f>"2026-07-29 14:20:15"</f>
        <v>2026-07-29 14:20:15</v>
      </c>
      <c r="L6766" s="1" t="str">
        <f>"2022-11-15 17:23:21"</f>
        <v>2022-11-15 17:23:21</v>
      </c>
      <c r="M6766" s="1" t="s">
        <v>45</v>
      </c>
      <c r="N6766" s="1" t="s">
        <v>38</v>
      </c>
      <c r="O6766" s="1" t="s">
        <v>46</v>
      </c>
    </row>
    <row r="6767" spans="2:15" x14ac:dyDescent="0.3">
      <c r="B6767" s="1" t="s">
        <v>22</v>
      </c>
      <c r="C6767" s="1" t="str">
        <f>"5-2차"</f>
        <v>5-2차</v>
      </c>
      <c r="D6767" s="1" t="str">
        <f>"0232X0055M"</f>
        <v>0232X0055M</v>
      </c>
      <c r="E6767" s="1" t="s">
        <v>10</v>
      </c>
      <c r="F6767" s="1" t="str">
        <f>"fde3:102:1420:2100:0:0:0:e"</f>
        <v>fde3:102:1420:2100:0:0:0:e</v>
      </c>
      <c r="G6767" s="1" t="str">
        <f>"0232X005"</f>
        <v>0232X005</v>
      </c>
      <c r="H6767" s="1" t="str">
        <f>"동일지 29R10R4"</f>
        <v>동일지 29R10R4</v>
      </c>
      <c r="I6767" s="1" t="s">
        <v>15</v>
      </c>
      <c r="J6767" s="1" t="str">
        <f>"95/95"</f>
        <v>95/95</v>
      </c>
      <c r="K6767" s="1" t="str">
        <f>"2026-07-29 14:21:12"</f>
        <v>2026-07-29 14:21:12</v>
      </c>
      <c r="L6767" s="1" t="str">
        <f>"2023-06-19 18:40:13"</f>
        <v>2023-06-19 18:40:13</v>
      </c>
      <c r="M6767" s="1" t="s">
        <v>45</v>
      </c>
      <c r="N6767" s="1" t="s">
        <v>38</v>
      </c>
      <c r="O6767" s="1" t="s">
        <v>46</v>
      </c>
    </row>
    <row r="6768" spans="2:15" x14ac:dyDescent="0.3">
      <c r="B6768" s="1" t="s">
        <v>22</v>
      </c>
      <c r="C6768" s="1" t="str">
        <f>"5-2차"</f>
        <v>5-2차</v>
      </c>
      <c r="D6768" s="1" t="str">
        <f>"0232X0215M"</f>
        <v>0232X0215M</v>
      </c>
      <c r="E6768" s="1" t="s">
        <v>10</v>
      </c>
      <c r="F6768" s="1" t="str">
        <f>"fde3:102:1420:2100:0:0:0:1d"</f>
        <v>fde3:102:1420:2100:0:0:0:1d</v>
      </c>
      <c r="G6768" s="1" t="str">
        <f>"0232X021"</f>
        <v>0232X021</v>
      </c>
      <c r="H6768" s="1" t="str">
        <f>"동일지 29R6R5L1"</f>
        <v>동일지 29R6R5L1</v>
      </c>
      <c r="I6768" s="1" t="s">
        <v>15</v>
      </c>
      <c r="J6768" s="1" t="str">
        <f>"51/51"</f>
        <v>51/51</v>
      </c>
      <c r="K6768" s="1" t="str">
        <f>"2026-07-29 14:20:38"</f>
        <v>2026-07-29 14:20:38</v>
      </c>
      <c r="L6768" s="1" t="str">
        <f>"2023-06-19 18:40:41"</f>
        <v>2023-06-19 18:40:41</v>
      </c>
      <c r="M6768" s="1" t="s">
        <v>45</v>
      </c>
      <c r="N6768" s="1" t="s">
        <v>38</v>
      </c>
      <c r="O6768" s="1" t="s">
        <v>46</v>
      </c>
    </row>
    <row r="6769" spans="2:15" x14ac:dyDescent="0.3">
      <c r="B6769" s="1" t="s">
        <v>22</v>
      </c>
      <c r="C6769" s="1" t="str">
        <f>"5-2차"</f>
        <v>5-2차</v>
      </c>
      <c r="D6769" s="1" t="str">
        <f>"0232X0515M"</f>
        <v>0232X0515M</v>
      </c>
      <c r="E6769" s="1" t="s">
        <v>10</v>
      </c>
      <c r="F6769" s="1" t="str">
        <f>"fde3:102:1420:2100:0:0:0:1e"</f>
        <v>fde3:102:1420:2100:0:0:0:1e</v>
      </c>
      <c r="G6769" s="1" t="str">
        <f>"0232X051"</f>
        <v>0232X051</v>
      </c>
      <c r="H6769" s="1" t="str">
        <f>"동일지 29R6R5L2R5"</f>
        <v>동일지 29R6R5L2R5</v>
      </c>
      <c r="I6769" s="1" t="s">
        <v>15</v>
      </c>
      <c r="J6769" s="1" t="str">
        <f>"59/59"</f>
        <v>59/59</v>
      </c>
      <c r="K6769" s="1" t="str">
        <f>"2026-07-29 14:20:08"</f>
        <v>2026-07-29 14:20:08</v>
      </c>
      <c r="L6769" s="1" t="str">
        <f>"2023-06-19 18:29:58"</f>
        <v>2023-06-19 18:29:58</v>
      </c>
      <c r="M6769" s="1" t="s">
        <v>45</v>
      </c>
      <c r="N6769" s="1" t="s">
        <v>38</v>
      </c>
      <c r="O6769" s="1" t="s">
        <v>46</v>
      </c>
    </row>
    <row r="6770" spans="2:15" x14ac:dyDescent="0.3">
      <c r="B6770" s="1" t="s">
        <v>22</v>
      </c>
      <c r="C6770" s="1" t="str">
        <f>"5-2차"</f>
        <v>5-2차</v>
      </c>
      <c r="D6770" s="1" t="str">
        <f>"0232X0725S"</f>
        <v>0232X0725S</v>
      </c>
      <c r="E6770" s="1" t="s">
        <v>10</v>
      </c>
      <c r="F6770" s="1" t="str">
        <f>"fde3:102:1420:2100:0:0:0:1f"</f>
        <v>fde3:102:1420:2100:0:0:0:1f</v>
      </c>
      <c r="G6770" s="1" t="str">
        <f>"0232X072"</f>
        <v>0232X072</v>
      </c>
      <c r="H6770" s="1" t="str">
        <f>"동일지 21R9R2"</f>
        <v>동일지 21R9R2</v>
      </c>
      <c r="I6770" s="1" t="s">
        <v>15</v>
      </c>
      <c r="J6770" s="1" t="str">
        <f>"94/94"</f>
        <v>94/94</v>
      </c>
      <c r="K6770" s="1" t="str">
        <f>"2026-07-29 14:20:08"</f>
        <v>2026-07-29 14:20:08</v>
      </c>
      <c r="L6770" s="1" t="str">
        <f>"2023-09-21 10:05:36"</f>
        <v>2023-09-21 10:05:36</v>
      </c>
      <c r="M6770" s="1" t="s">
        <v>45</v>
      </c>
      <c r="N6770" s="1" t="s">
        <v>38</v>
      </c>
      <c r="O6770" s="1" t="s">
        <v>46</v>
      </c>
    </row>
    <row r="6771" spans="2:15" x14ac:dyDescent="0.3">
      <c r="B6771" s="1" t="s">
        <v>22</v>
      </c>
      <c r="C6771" s="1" t="str">
        <f>"5-1차"</f>
        <v>5-1차</v>
      </c>
      <c r="D6771" s="1" t="str">
        <f>"0232X0825S"</f>
        <v>0232X0825S</v>
      </c>
      <c r="E6771" s="1" t="s">
        <v>10</v>
      </c>
      <c r="F6771" s="1" t="str">
        <f>"fde3:102:1420:2100:0:0:0:6"</f>
        <v>fde3:102:1420:2100:0:0:0:6</v>
      </c>
      <c r="G6771" s="1" t="str">
        <f>"0232X082"</f>
        <v>0232X082</v>
      </c>
      <c r="H6771" s="1" t="str">
        <f>"동일지 21R9R3"</f>
        <v>동일지 21R9R3</v>
      </c>
      <c r="I6771" s="1" t="s">
        <v>15</v>
      </c>
      <c r="J6771" s="1" t="str">
        <f>"26/26"</f>
        <v>26/26</v>
      </c>
      <c r="K6771" s="1" t="str">
        <f>"2026-07-29 14:20:40"</f>
        <v>2026-07-29 14:20:40</v>
      </c>
      <c r="L6771" s="1" t="str">
        <f>"2022-11-15 17:34:36"</f>
        <v>2022-11-15 17:34:36</v>
      </c>
      <c r="M6771" s="1" t="s">
        <v>45</v>
      </c>
      <c r="N6771" s="1" t="s">
        <v>38</v>
      </c>
      <c r="O6771" s="1" t="s">
        <v>46</v>
      </c>
    </row>
    <row r="6772" spans="2:15" x14ac:dyDescent="0.3">
      <c r="B6772" s="1" t="s">
        <v>22</v>
      </c>
      <c r="C6772" s="1" t="str">
        <f>"5-2차"</f>
        <v>5-2차</v>
      </c>
      <c r="D6772" s="1" t="str">
        <f>"0232X0915M"</f>
        <v>0232X0915M</v>
      </c>
      <c r="E6772" s="1" t="s">
        <v>10</v>
      </c>
      <c r="F6772" s="1" t="str">
        <f>"fde3:102:1420:2100:0:0:0:15"</f>
        <v>fde3:102:1420:2100:0:0:0:15</v>
      </c>
      <c r="G6772" s="1" t="str">
        <f>"0232X091"</f>
        <v>0232X091</v>
      </c>
      <c r="H6772" s="1" t="str">
        <f>"동일지 15R3"</f>
        <v>동일지 15R3</v>
      </c>
      <c r="I6772" s="1" t="s">
        <v>15</v>
      </c>
      <c r="J6772" s="1" t="str">
        <f>"23/23"</f>
        <v>23/23</v>
      </c>
      <c r="K6772" s="1" t="str">
        <f>"2026-07-29 14:21:12"</f>
        <v>2026-07-29 14:21:12</v>
      </c>
      <c r="L6772" s="1" t="str">
        <f>"2023-06-19 18:55:38"</f>
        <v>2023-06-19 18:55:38</v>
      </c>
      <c r="M6772" s="1" t="s">
        <v>45</v>
      </c>
      <c r="N6772" s="1" t="s">
        <v>38</v>
      </c>
      <c r="O6772" s="1" t="s">
        <v>46</v>
      </c>
    </row>
    <row r="6773" spans="2:15" x14ac:dyDescent="0.3">
      <c r="B6773" s="1" t="s">
        <v>22</v>
      </c>
      <c r="C6773" s="1" t="str">
        <f>"5-2차"</f>
        <v>5-2차</v>
      </c>
      <c r="D6773" s="1" t="str">
        <f>"0232X1125M"</f>
        <v>0232X1125M</v>
      </c>
      <c r="E6773" s="1" t="s">
        <v>10</v>
      </c>
      <c r="F6773" s="1" t="str">
        <f>"fde3:102:1420:2100:0:0:0:b"</f>
        <v>fde3:102:1420:2100:0:0:0:b</v>
      </c>
      <c r="G6773" s="1" t="str">
        <f>"0232X112"</f>
        <v>0232X112</v>
      </c>
      <c r="H6773" s="1" t="str">
        <f>"동일지 29R6R3"</f>
        <v>동일지 29R6R3</v>
      </c>
      <c r="I6773" s="1" t="s">
        <v>15</v>
      </c>
      <c r="J6773" s="1" t="str">
        <f>"49/49"</f>
        <v>49/49</v>
      </c>
      <c r="K6773" s="1" t="str">
        <f>"2026-07-29 14:20:09"</f>
        <v>2026-07-29 14:20:09</v>
      </c>
      <c r="L6773" s="1" t="str">
        <f>"2023-06-19 18:54:02"</f>
        <v>2023-06-19 18:54:02</v>
      </c>
      <c r="M6773" s="1" t="s">
        <v>45</v>
      </c>
      <c r="N6773" s="1" t="s">
        <v>38</v>
      </c>
      <c r="O6773" s="1" t="s">
        <v>46</v>
      </c>
    </row>
    <row r="6774" spans="2:15" x14ac:dyDescent="0.3">
      <c r="B6774" s="1" t="s">
        <v>22</v>
      </c>
      <c r="C6774" s="1" t="str">
        <f>"5-2차"</f>
        <v>5-2차</v>
      </c>
      <c r="D6774" s="1" t="str">
        <f>"0232X1325M"</f>
        <v>0232X1325M</v>
      </c>
      <c r="E6774" s="1" t="s">
        <v>10</v>
      </c>
      <c r="F6774" s="1" t="str">
        <f>"fde3:102:1420:2100:0:0:0:1b"</f>
        <v>fde3:102:1420:2100:0:0:0:1b</v>
      </c>
      <c r="G6774" s="1" t="str">
        <f>"0232X132"</f>
        <v>0232X132</v>
      </c>
      <c r="H6774" s="1" t="str">
        <f>"동일지 29R6R7"</f>
        <v>동일지 29R6R7</v>
      </c>
      <c r="I6774" s="1" t="s">
        <v>15</v>
      </c>
      <c r="J6774" s="1" t="str">
        <f>"72/72"</f>
        <v>72/72</v>
      </c>
      <c r="K6774" s="1" t="str">
        <f>"2026-07-29 14:20:39"</f>
        <v>2026-07-29 14:20:39</v>
      </c>
      <c r="L6774" s="1" t="str">
        <f>"2023-10-16 17:08:22"</f>
        <v>2023-10-16 17:08:22</v>
      </c>
      <c r="M6774" s="1" t="s">
        <v>45</v>
      </c>
      <c r="N6774" s="1" t="s">
        <v>38</v>
      </c>
      <c r="O6774" s="1" t="s">
        <v>46</v>
      </c>
    </row>
    <row r="6775" spans="2:15" x14ac:dyDescent="0.3">
      <c r="B6775" s="1" t="s">
        <v>22</v>
      </c>
      <c r="C6775" s="1" t="str">
        <f>"5-2차"</f>
        <v>5-2차</v>
      </c>
      <c r="D6775" s="1" t="str">
        <f>"0232X1435M"</f>
        <v>0232X1435M</v>
      </c>
      <c r="E6775" s="1" t="s">
        <v>10</v>
      </c>
      <c r="F6775" s="1" t="str">
        <f>"fde3:102:1420:2100:0:0:0:1a"</f>
        <v>fde3:102:1420:2100:0:0:0:1a</v>
      </c>
      <c r="G6775" s="1" t="str">
        <f>"0232X143"</f>
        <v>0232X143</v>
      </c>
      <c r="H6775" s="1" t="str">
        <f>"동일지 29R6R8"</f>
        <v>동일지 29R6R8</v>
      </c>
      <c r="I6775" s="1" t="s">
        <v>15</v>
      </c>
      <c r="J6775" s="1" t="str">
        <f>"101/101"</f>
        <v>101/101</v>
      </c>
      <c r="K6775" s="1" t="str">
        <f>"2026-07-29 14:20:10"</f>
        <v>2026-07-29 14:20:10</v>
      </c>
      <c r="L6775" s="1" t="str">
        <f>"2023-06-19 18:47:32"</f>
        <v>2023-06-19 18:47:32</v>
      </c>
      <c r="M6775" s="1" t="s">
        <v>45</v>
      </c>
      <c r="N6775" s="1" t="s">
        <v>38</v>
      </c>
      <c r="O6775" s="1" t="s">
        <v>46</v>
      </c>
    </row>
    <row r="6776" spans="2:15" x14ac:dyDescent="0.3">
      <c r="B6776" s="1" t="s">
        <v>22</v>
      </c>
      <c r="C6776" s="1" t="str">
        <f>"5-1차"</f>
        <v>5-1차</v>
      </c>
      <c r="D6776" s="1" t="str">
        <f>"0232X1545M"</f>
        <v>0232X1545M</v>
      </c>
      <c r="E6776" s="1" t="s">
        <v>10</v>
      </c>
      <c r="F6776" s="1" t="str">
        <f>"fde3:102:1420:2100:0:0:0:7"</f>
        <v>fde3:102:1420:2100:0:0:0:7</v>
      </c>
      <c r="G6776" s="1" t="str">
        <f>"0232X154"</f>
        <v>0232X154</v>
      </c>
      <c r="H6776" s="1" t="str">
        <f>"동일지 21R8"</f>
        <v>동일지 21R8</v>
      </c>
      <c r="I6776" s="1" t="s">
        <v>15</v>
      </c>
      <c r="J6776" s="1" t="str">
        <f>"65/65"</f>
        <v>65/65</v>
      </c>
      <c r="K6776" s="1" t="str">
        <f>"2026-07-29 14:20:10"</f>
        <v>2026-07-29 14:20:10</v>
      </c>
      <c r="L6776" s="1" t="str">
        <f>"2022-11-15 17:25:01"</f>
        <v>2022-11-15 17:25:01</v>
      </c>
      <c r="M6776" s="1" t="s">
        <v>45</v>
      </c>
      <c r="N6776" s="1" t="s">
        <v>38</v>
      </c>
      <c r="O6776" s="1" t="s">
        <v>46</v>
      </c>
    </row>
    <row r="6777" spans="2:15" x14ac:dyDescent="0.3">
      <c r="B6777" s="1" t="s">
        <v>22</v>
      </c>
      <c r="C6777" s="1" t="str">
        <f>"5-2차"</f>
        <v>5-2차</v>
      </c>
      <c r="D6777" s="1" t="str">
        <f>"0232X2015M"</f>
        <v>0232X2015M</v>
      </c>
      <c r="E6777" s="1" t="s">
        <v>10</v>
      </c>
      <c r="F6777" s="1" t="str">
        <f>"fde3:102:1420:2100:0:0:0:c"</f>
        <v>fde3:102:1420:2100:0:0:0:c</v>
      </c>
      <c r="G6777" s="1" t="str">
        <f>"0232X201"</f>
        <v>0232X201</v>
      </c>
      <c r="H6777" s="1" t="str">
        <f>"동일지 29R6R2R1R1"</f>
        <v>동일지 29R6R2R1R1</v>
      </c>
      <c r="I6777" s="1" t="s">
        <v>15</v>
      </c>
      <c r="J6777" s="1" t="str">
        <f>"69/69"</f>
        <v>69/69</v>
      </c>
      <c r="K6777" s="1" t="str">
        <f>"2026-07-28 20:03:27"</f>
        <v>2026-07-28 20:03:27</v>
      </c>
      <c r="L6777" s="1" t="str">
        <f>"2023-06-19 18:48:01"</f>
        <v>2023-06-19 18:48:01</v>
      </c>
      <c r="M6777" s="1" t="s">
        <v>45</v>
      </c>
      <c r="N6777" s="1" t="s">
        <v>38</v>
      </c>
      <c r="O6777" s="1" t="s">
        <v>46</v>
      </c>
    </row>
    <row r="6778" spans="2:15" x14ac:dyDescent="0.3">
      <c r="B6778" s="1" t="s">
        <v>22</v>
      </c>
      <c r="C6778" s="1" t="str">
        <f>"5-2차"</f>
        <v>5-2차</v>
      </c>
      <c r="D6778" s="1" t="str">
        <f>"0232X2215M"</f>
        <v>0232X2215M</v>
      </c>
      <c r="E6778" s="1" t="s">
        <v>10</v>
      </c>
      <c r="F6778" s="1" t="str">
        <f>"fde3:102:1420:2100:0:0:0:1c"</f>
        <v>fde3:102:1420:2100:0:0:0:1c</v>
      </c>
      <c r="G6778" s="1" t="str">
        <f>"0232X221"</f>
        <v>0232X221</v>
      </c>
      <c r="H6778" s="1" t="str">
        <f>"동일지 29R6R5HL1R1"</f>
        <v>동일지 29R6R5HL1R1</v>
      </c>
      <c r="I6778" s="1" t="s">
        <v>15</v>
      </c>
      <c r="J6778" s="1" t="str">
        <f>"51/51"</f>
        <v>51/51</v>
      </c>
      <c r="K6778" s="1" t="str">
        <f>"2026-07-28 20:03:35"</f>
        <v>2026-07-28 20:03:35</v>
      </c>
      <c r="L6778" s="1" t="str">
        <f>"2023-06-19 18:55:18"</f>
        <v>2023-06-19 18:55:18</v>
      </c>
      <c r="M6778" s="1" t="s">
        <v>45</v>
      </c>
      <c r="N6778" s="1" t="s">
        <v>38</v>
      </c>
      <c r="O6778" s="1" t="s">
        <v>46</v>
      </c>
    </row>
    <row r="6779" spans="2:15" x14ac:dyDescent="0.3">
      <c r="B6779" s="1" t="s">
        <v>22</v>
      </c>
      <c r="C6779" s="1" t="str">
        <f>"5-2차"</f>
        <v>5-2차</v>
      </c>
      <c r="D6779" s="1" t="str">
        <f>"0232X2415M"</f>
        <v>0232X2415M</v>
      </c>
      <c r="E6779" s="1" t="s">
        <v>10</v>
      </c>
      <c r="F6779" s="1" t="str">
        <f>"fde3:102:1420:2100:0:0:0:19"</f>
        <v>fde3:102:1420:2100:0:0:0:19</v>
      </c>
      <c r="G6779" s="1" t="str">
        <f>"0232X241"</f>
        <v>0232X241</v>
      </c>
      <c r="H6779" s="1" t="str">
        <f>"동일지 21R5L2"</f>
        <v>동일지 21R5L2</v>
      </c>
      <c r="I6779" s="1" t="s">
        <v>15</v>
      </c>
      <c r="J6779" s="1" t="str">
        <f>"93/95"</f>
        <v>93/95</v>
      </c>
      <c r="K6779" s="1" t="str">
        <f>"2026-07-29 14:20:55"</f>
        <v>2026-07-29 14:20:55</v>
      </c>
      <c r="L6779" s="1" t="str">
        <f>"2023-06-19 18:48:30"</f>
        <v>2023-06-19 18:48:30</v>
      </c>
      <c r="M6779" s="1" t="s">
        <v>45</v>
      </c>
      <c r="N6779" s="1" t="s">
        <v>38</v>
      </c>
      <c r="O6779" s="1" t="s">
        <v>46</v>
      </c>
    </row>
    <row r="6780" spans="2:15" x14ac:dyDescent="0.3">
      <c r="B6780" s="1" t="s">
        <v>22</v>
      </c>
      <c r="C6780" s="1" t="str">
        <f>"5-2차"</f>
        <v>5-2차</v>
      </c>
      <c r="D6780" s="1" t="str">
        <f>"0232X2535M"</f>
        <v>0232X2535M</v>
      </c>
      <c r="E6780" s="1" t="s">
        <v>10</v>
      </c>
      <c r="F6780" s="1" t="str">
        <f>"fde3:102:1420:2100:0:0:0:18"</f>
        <v>fde3:102:1420:2100:0:0:0:18</v>
      </c>
      <c r="G6780" s="1" t="str">
        <f>"0232X253"</f>
        <v>0232X253</v>
      </c>
      <c r="H6780" s="1" t="str">
        <f>"동일지 21R5"</f>
        <v>동일지 21R5</v>
      </c>
      <c r="I6780" s="1" t="s">
        <v>15</v>
      </c>
      <c r="J6780" s="1" t="str">
        <f>"60/60"</f>
        <v>60/60</v>
      </c>
      <c r="K6780" s="1" t="str">
        <f>"2026-07-29 14:21:01"</f>
        <v>2026-07-29 14:21:01</v>
      </c>
      <c r="L6780" s="1" t="str">
        <f>"2023-06-19 18:49:01"</f>
        <v>2023-06-19 18:49:01</v>
      </c>
      <c r="M6780" s="1" t="s">
        <v>45</v>
      </c>
      <c r="N6780" s="1" t="s">
        <v>38</v>
      </c>
      <c r="O6780" s="1" t="s">
        <v>46</v>
      </c>
    </row>
    <row r="6781" spans="2:15" x14ac:dyDescent="0.3">
      <c r="B6781" s="1" t="s">
        <v>22</v>
      </c>
      <c r="C6781" s="1" t="str">
        <f>"5-1차"</f>
        <v>5-1차</v>
      </c>
      <c r="D6781" s="1" t="str">
        <f>"0232X3025M"</f>
        <v>0232X3025M</v>
      </c>
      <c r="E6781" s="1" t="s">
        <v>10</v>
      </c>
      <c r="F6781" s="1" t="str">
        <f>"fde3:102:1420:2100:0:0:0:3"</f>
        <v>fde3:102:1420:2100:0:0:0:3</v>
      </c>
      <c r="G6781" s="1" t="str">
        <f>"0232X302"</f>
        <v>0232X302</v>
      </c>
      <c r="H6781" s="1" t="str">
        <f>"동일지 29R4R1"</f>
        <v>동일지 29R4R1</v>
      </c>
      <c r="I6781" s="1" t="s">
        <v>15</v>
      </c>
      <c r="J6781" s="1" t="str">
        <f>"57/57"</f>
        <v>57/57</v>
      </c>
      <c r="K6781" s="1" t="str">
        <f>"2026-07-29 14:20:56"</f>
        <v>2026-07-29 14:20:56</v>
      </c>
      <c r="L6781" s="1" t="str">
        <f>"2022-11-15 17:23:34"</f>
        <v>2022-11-15 17:23:34</v>
      </c>
      <c r="M6781" s="1" t="s">
        <v>45</v>
      </c>
      <c r="N6781" s="1" t="s">
        <v>38</v>
      </c>
      <c r="O6781" s="1" t="s">
        <v>46</v>
      </c>
    </row>
    <row r="6782" spans="2:15" x14ac:dyDescent="0.3">
      <c r="B6782" s="1" t="s">
        <v>22</v>
      </c>
      <c r="C6782" s="1" t="str">
        <f>"5-2차"</f>
        <v>5-2차</v>
      </c>
      <c r="D6782" s="1" t="str">
        <f>"0232X3125M"</f>
        <v>0232X3125M</v>
      </c>
      <c r="E6782" s="1" t="s">
        <v>10</v>
      </c>
      <c r="F6782" s="1" t="str">
        <f>"fde3:102:1420:2100:0:0:0:a"</f>
        <v>fde3:102:1420:2100:0:0:0:a</v>
      </c>
      <c r="G6782" s="1" t="str">
        <f>"0232X312"</f>
        <v>0232X312</v>
      </c>
      <c r="H6782" s="1" t="str">
        <f>"동일지 29R4R2"</f>
        <v>동일지 29R4R2</v>
      </c>
      <c r="I6782" s="1" t="s">
        <v>15</v>
      </c>
      <c r="J6782" s="1" t="str">
        <f>"87/87"</f>
        <v>87/87</v>
      </c>
      <c r="K6782" s="1" t="str">
        <f>"2026-07-28 20:03:26"</f>
        <v>2026-07-28 20:03:26</v>
      </c>
      <c r="L6782" s="1" t="str">
        <f>"2023-06-19 18:49:29"</f>
        <v>2023-06-19 18:49:29</v>
      </c>
      <c r="M6782" s="1" t="s">
        <v>45</v>
      </c>
      <c r="N6782" s="1" t="s">
        <v>38</v>
      </c>
      <c r="O6782" s="1" t="s">
        <v>46</v>
      </c>
    </row>
    <row r="6783" spans="2:15" x14ac:dyDescent="0.3">
      <c r="B6783" s="1" t="s">
        <v>22</v>
      </c>
      <c r="C6783" s="1" t="str">
        <f>"4차"</f>
        <v>4차</v>
      </c>
      <c r="D6783" s="1" t="str">
        <f>"0232X39339"</f>
        <v>0232X39339</v>
      </c>
      <c r="E6783" s="1" t="s">
        <v>10</v>
      </c>
      <c r="F6783" s="1" t="str">
        <f>"10.12.136.208"</f>
        <v>10.12.136.208</v>
      </c>
      <c r="G6783" s="1" t="str">
        <f>"0232X393"</f>
        <v>0232X393</v>
      </c>
      <c r="H6783" s="1" t="str">
        <f>"동일 1"</f>
        <v>동일 1</v>
      </c>
      <c r="I6783" s="1" t="s">
        <v>17</v>
      </c>
      <c r="J6783" s="1" t="str">
        <f>"15/15"</f>
        <v>15/15</v>
      </c>
      <c r="K6783" s="1" t="str">
        <f>"2026-07-29 13:18:04"</f>
        <v>2026-07-29 13:18:04</v>
      </c>
      <c r="L6783" s="1" t="str">
        <f>"2018-10-12 11:27:26"</f>
        <v>2018-10-12 11:27:26</v>
      </c>
      <c r="M6783" s="1" t="s">
        <v>0</v>
      </c>
      <c r="N6783" s="1" t="s">
        <v>38</v>
      </c>
      <c r="O6783" s="1" t="s">
        <v>46</v>
      </c>
    </row>
    <row r="6784" spans="2:15" x14ac:dyDescent="0.3">
      <c r="B6784" s="1" t="s">
        <v>22</v>
      </c>
      <c r="C6784" s="1" t="str">
        <f t="shared" ref="C6784:C6789" si="330">"5-2차"</f>
        <v>5-2차</v>
      </c>
      <c r="D6784" s="1" t="str">
        <f>"0232X4125M"</f>
        <v>0232X4125M</v>
      </c>
      <c r="E6784" s="1" t="s">
        <v>10</v>
      </c>
      <c r="F6784" s="1" t="str">
        <f>"fde3:102:1420:2100:0:0:0:9"</f>
        <v>fde3:102:1420:2100:0:0:0:9</v>
      </c>
      <c r="G6784" s="1" t="str">
        <f>"0232X412"</f>
        <v>0232X412</v>
      </c>
      <c r="H6784" s="1" t="str">
        <f>"동일지 29R2R2"</f>
        <v>동일지 29R2R2</v>
      </c>
      <c r="I6784" s="1" t="s">
        <v>15</v>
      </c>
      <c r="J6784" s="1" t="str">
        <f>"57/57"</f>
        <v>57/57</v>
      </c>
      <c r="K6784" s="1" t="str">
        <f>"2026-07-29 14:20:56"</f>
        <v>2026-07-29 14:20:56</v>
      </c>
      <c r="L6784" s="1" t="str">
        <f>"2023-06-19 18:49:56"</f>
        <v>2023-06-19 18:49:56</v>
      </c>
      <c r="M6784" s="1" t="s">
        <v>45</v>
      </c>
      <c r="N6784" s="1" t="s">
        <v>38</v>
      </c>
      <c r="O6784" s="1" t="s">
        <v>46</v>
      </c>
    </row>
    <row r="6785" spans="2:15" x14ac:dyDescent="0.3">
      <c r="B6785" s="1" t="s">
        <v>22</v>
      </c>
      <c r="C6785" s="1" t="str">
        <f t="shared" si="330"/>
        <v>5-2차</v>
      </c>
      <c r="D6785" s="1" t="str">
        <f>"0232X4325M"</f>
        <v>0232X4325M</v>
      </c>
      <c r="E6785" s="1" t="s">
        <v>10</v>
      </c>
      <c r="F6785" s="1" t="str">
        <f>"fde3:102:1420:2100:0:0:0:13"</f>
        <v>fde3:102:1420:2100:0:0:0:13</v>
      </c>
      <c r="G6785" s="1" t="str">
        <f>"0232X432"</f>
        <v>0232X432</v>
      </c>
      <c r="H6785" s="1" t="str">
        <f>"동일지 25R3L1"</f>
        <v>동일지 25R3L1</v>
      </c>
      <c r="I6785" s="1" t="s">
        <v>15</v>
      </c>
      <c r="J6785" s="1" t="str">
        <f>"38/38"</f>
        <v>38/38</v>
      </c>
      <c r="K6785" s="1" t="str">
        <f>"2026-07-29 14:20:09"</f>
        <v>2026-07-29 14:20:09</v>
      </c>
      <c r="L6785" s="1" t="str">
        <f>"2023-06-19 18:55:58"</f>
        <v>2023-06-19 18:55:58</v>
      </c>
      <c r="M6785" s="1" t="s">
        <v>45</v>
      </c>
      <c r="N6785" s="1" t="s">
        <v>38</v>
      </c>
      <c r="O6785" s="1" t="s">
        <v>46</v>
      </c>
    </row>
    <row r="6786" spans="2:15" x14ac:dyDescent="0.3">
      <c r="B6786" s="1" t="s">
        <v>22</v>
      </c>
      <c r="C6786" s="1" t="str">
        <f t="shared" si="330"/>
        <v>5-2차</v>
      </c>
      <c r="D6786" s="1" t="str">
        <f>"0232X4425M"</f>
        <v>0232X4425M</v>
      </c>
      <c r="E6786" s="1" t="s">
        <v>10</v>
      </c>
      <c r="F6786" s="1" t="str">
        <f>"fde3:102:1420:2100:0:0:0:14"</f>
        <v>fde3:102:1420:2100:0:0:0:14</v>
      </c>
      <c r="G6786" s="1" t="str">
        <f>"0232X442"</f>
        <v>0232X442</v>
      </c>
      <c r="H6786" s="1" t="str">
        <f>"동일지 25R5"</f>
        <v>동일지 25R5</v>
      </c>
      <c r="I6786" s="1" t="s">
        <v>15</v>
      </c>
      <c r="J6786" s="1" t="str">
        <f>"76/76"</f>
        <v>76/76</v>
      </c>
      <c r="K6786" s="1" t="str">
        <f>"2026-07-29 14:20:56"</f>
        <v>2026-07-29 14:20:56</v>
      </c>
      <c r="L6786" s="1" t="str">
        <f>"2023-06-19 18:56:42"</f>
        <v>2023-06-19 18:56:42</v>
      </c>
      <c r="M6786" s="1" t="s">
        <v>45</v>
      </c>
      <c r="N6786" s="1" t="s">
        <v>38</v>
      </c>
      <c r="O6786" s="1" t="s">
        <v>46</v>
      </c>
    </row>
    <row r="6787" spans="2:15" x14ac:dyDescent="0.3">
      <c r="B6787" s="1" t="s">
        <v>22</v>
      </c>
      <c r="C6787" s="1" t="str">
        <f t="shared" si="330"/>
        <v>5-2차</v>
      </c>
      <c r="D6787" s="1" t="str">
        <f>"0232X4525M"</f>
        <v>0232X4525M</v>
      </c>
      <c r="E6787" s="1" t="s">
        <v>10</v>
      </c>
      <c r="F6787" s="1" t="str">
        <f>"fde3:102:1420:2100:0:0:0:17"</f>
        <v>fde3:102:1420:2100:0:0:0:17</v>
      </c>
      <c r="G6787" s="1" t="str">
        <f>"0232X452"</f>
        <v>0232X452</v>
      </c>
      <c r="H6787" s="1" t="str">
        <f>"동일지 21R4"</f>
        <v>동일지 21R4</v>
      </c>
      <c r="I6787" s="1" t="s">
        <v>15</v>
      </c>
      <c r="J6787" s="1" t="str">
        <f>"82/83"</f>
        <v>82/83</v>
      </c>
      <c r="K6787" s="1" t="str">
        <f>"2026-07-29 14:20:39"</f>
        <v>2026-07-29 14:20:39</v>
      </c>
      <c r="L6787" s="1" t="str">
        <f>"2023-06-19 18:50:24"</f>
        <v>2023-06-19 18:50:24</v>
      </c>
      <c r="M6787" s="1" t="s">
        <v>45</v>
      </c>
      <c r="N6787" s="1" t="s">
        <v>38</v>
      </c>
      <c r="O6787" s="1" t="s">
        <v>46</v>
      </c>
    </row>
    <row r="6788" spans="2:15" x14ac:dyDescent="0.3">
      <c r="B6788" s="1" t="s">
        <v>22</v>
      </c>
      <c r="C6788" s="1" t="str">
        <f t="shared" si="330"/>
        <v>5-2차</v>
      </c>
      <c r="D6788" s="1" t="str">
        <f>"0232X4535M"</f>
        <v>0232X4535M</v>
      </c>
      <c r="E6788" s="1" t="s">
        <v>10</v>
      </c>
      <c r="F6788" s="1" t="str">
        <f>"fde3:102:1420:2100:0:0:0:16"</f>
        <v>fde3:102:1420:2100:0:0:0:16</v>
      </c>
      <c r="G6788" s="1" t="str">
        <f>"0232X453"</f>
        <v>0232X453</v>
      </c>
      <c r="H6788" s="1" t="str">
        <f>"동일지 21R3"</f>
        <v>동일지 21R3</v>
      </c>
      <c r="I6788" s="1" t="s">
        <v>15</v>
      </c>
      <c r="J6788" s="1" t="str">
        <f>"34/34"</f>
        <v>34/34</v>
      </c>
      <c r="K6788" s="1" t="str">
        <f>"2026-07-29 14:20:56"</f>
        <v>2026-07-29 14:20:56</v>
      </c>
      <c r="L6788" s="1" t="str">
        <f>"2023-06-19 18:51:00"</f>
        <v>2023-06-19 18:51:00</v>
      </c>
      <c r="M6788" s="1" t="s">
        <v>45</v>
      </c>
      <c r="N6788" s="1" t="s">
        <v>38</v>
      </c>
      <c r="O6788" s="1" t="s">
        <v>46</v>
      </c>
    </row>
    <row r="6789" spans="2:15" x14ac:dyDescent="0.3">
      <c r="B6789" s="1" t="s">
        <v>22</v>
      </c>
      <c r="C6789" s="1" t="str">
        <f t="shared" si="330"/>
        <v>5-2차</v>
      </c>
      <c r="D6789" s="1" t="str">
        <f>"0232X5325M"</f>
        <v>0232X5325M</v>
      </c>
      <c r="E6789" s="1" t="s">
        <v>10</v>
      </c>
      <c r="F6789" s="1" t="str">
        <f>"fde3:102:1420:2100:0:0:0:12"</f>
        <v>fde3:102:1420:2100:0:0:0:12</v>
      </c>
      <c r="G6789" s="1" t="str">
        <f>"0232X532"</f>
        <v>0232X532</v>
      </c>
      <c r="H6789" s="1" t="str">
        <f>"동일지 25R2"</f>
        <v>동일지 25R2</v>
      </c>
      <c r="I6789" s="1" t="s">
        <v>15</v>
      </c>
      <c r="J6789" s="1" t="str">
        <f>"111/111"</f>
        <v>111/111</v>
      </c>
      <c r="K6789" s="1" t="str">
        <f>"2026-07-28 20:03:24"</f>
        <v>2026-07-28 20:03:24</v>
      </c>
      <c r="L6789" s="1" t="str">
        <f>"2023-06-26 16:53:45"</f>
        <v>2023-06-26 16:53:45</v>
      </c>
      <c r="M6789" s="1" t="s">
        <v>45</v>
      </c>
      <c r="N6789" s="1" t="s">
        <v>38</v>
      </c>
      <c r="O6789" s="1" t="s">
        <v>46</v>
      </c>
    </row>
    <row r="6790" spans="2:15" x14ac:dyDescent="0.3">
      <c r="B6790" s="1" t="s">
        <v>22</v>
      </c>
      <c r="C6790" s="1" t="str">
        <f>"4차"</f>
        <v>4차</v>
      </c>
      <c r="D6790" s="1" t="str">
        <f>"0232X64839"</f>
        <v>0232X64839</v>
      </c>
      <c r="E6790" s="1" t="s">
        <v>10</v>
      </c>
      <c r="F6790" s="1" t="str">
        <f>"10.12.136.209"</f>
        <v>10.12.136.209</v>
      </c>
      <c r="G6790" s="1" t="str">
        <f>"0232X648"</f>
        <v>0232X648</v>
      </c>
      <c r="H6790" s="1" t="str">
        <f>"수락 11"</f>
        <v>수락 11</v>
      </c>
      <c r="I6790" s="1" t="s">
        <v>17</v>
      </c>
      <c r="J6790" s="1" t="str">
        <f>"8/8"</f>
        <v>8/8</v>
      </c>
      <c r="K6790" s="1" t="str">
        <f>"2026-07-29 13:18:04"</f>
        <v>2026-07-29 13:18:04</v>
      </c>
      <c r="L6790" s="1" t="str">
        <f>"2018-10-12 12:01:26"</f>
        <v>2018-10-12 12:01:26</v>
      </c>
      <c r="M6790" s="1" t="s">
        <v>0</v>
      </c>
      <c r="N6790" s="1" t="s">
        <v>38</v>
      </c>
      <c r="O6790" s="1" t="s">
        <v>46</v>
      </c>
    </row>
    <row r="6791" spans="2:15" x14ac:dyDescent="0.3">
      <c r="B6791" s="1" t="s">
        <v>22</v>
      </c>
      <c r="C6791" s="1" t="str">
        <f>"5-2차"</f>
        <v>5-2차</v>
      </c>
      <c r="D6791" s="1" t="str">
        <f>"0232X7745M"</f>
        <v>0232X7745M</v>
      </c>
      <c r="E6791" s="1" t="s">
        <v>10</v>
      </c>
      <c r="F6791" s="1" t="str">
        <f>"fde3:102:1420:2100:0:0:0:25"</f>
        <v>fde3:102:1420:2100:0:0:0:25</v>
      </c>
      <c r="G6791" s="1" t="str">
        <f>"0232X774"</f>
        <v>0232X774</v>
      </c>
      <c r="H6791" s="1" t="str">
        <f>"장암간 65L1R1"</f>
        <v>장암간 65L1R1</v>
      </c>
      <c r="I6791" s="1" t="s">
        <v>15</v>
      </c>
      <c r="J6791" s="1" t="str">
        <f>"33/33"</f>
        <v>33/33</v>
      </c>
      <c r="K6791" s="1" t="str">
        <f>"2026-07-29 14:20:56"</f>
        <v>2026-07-29 14:20:56</v>
      </c>
      <c r="L6791" s="1" t="str">
        <f>"2023-06-19 19:57:12"</f>
        <v>2023-06-19 19:57:12</v>
      </c>
      <c r="M6791" s="1" t="s">
        <v>45</v>
      </c>
      <c r="N6791" s="1" t="s">
        <v>38</v>
      </c>
      <c r="O6791" s="1" t="s">
        <v>46</v>
      </c>
    </row>
    <row r="6792" spans="2:15" x14ac:dyDescent="0.3">
      <c r="B6792" s="1" t="s">
        <v>22</v>
      </c>
      <c r="C6792" s="1" t="str">
        <f>"4차"</f>
        <v>4차</v>
      </c>
      <c r="D6792" s="1" t="str">
        <f>"0232X83C45"</f>
        <v>0232X83C45</v>
      </c>
      <c r="E6792" s="1" t="s">
        <v>10</v>
      </c>
      <c r="F6792" s="1" t="str">
        <f>"10.14.5.188"</f>
        <v>10.14.5.188</v>
      </c>
      <c r="G6792" s="1" t="str">
        <f>"0232X83C"</f>
        <v>0232X83C</v>
      </c>
      <c r="H6792" s="1" t="str">
        <f>"수락 2"</f>
        <v>수락 2</v>
      </c>
      <c r="I6792" s="1" t="s">
        <v>17</v>
      </c>
      <c r="J6792" s="1" t="str">
        <f>"4/4"</f>
        <v>4/4</v>
      </c>
      <c r="K6792" s="1" t="str">
        <f>"2026-07-29 13:18:03"</f>
        <v>2026-07-29 13:18:03</v>
      </c>
      <c r="L6792" s="1" t="str">
        <f>"2021-10-22 11:16:58"</f>
        <v>2021-10-22 11:16:58</v>
      </c>
      <c r="M6792" s="1" t="s">
        <v>3</v>
      </c>
      <c r="N6792" s="1" t="s">
        <v>38</v>
      </c>
      <c r="O6792" s="1" t="s">
        <v>46</v>
      </c>
    </row>
    <row r="6793" spans="2:15" x14ac:dyDescent="0.3">
      <c r="B6793" s="1" t="s">
        <v>22</v>
      </c>
      <c r="C6793" s="1" t="str">
        <f t="shared" ref="C6793:C6802" si="331">"5-2차"</f>
        <v>5-2차</v>
      </c>
      <c r="D6793" s="1" t="str">
        <f>"0232X8525M"</f>
        <v>0232X8525M</v>
      </c>
      <c r="E6793" s="1" t="s">
        <v>10</v>
      </c>
      <c r="F6793" s="1" t="str">
        <f>"fde3:102:1420:2100:0:0:0:2b"</f>
        <v>fde3:102:1420:2100:0:0:0:2b</v>
      </c>
      <c r="G6793" s="1" t="str">
        <f>"0232X852"</f>
        <v>0232X852</v>
      </c>
      <c r="H6793" s="1" t="str">
        <f>"장암간 65L8"</f>
        <v>장암간 65L8</v>
      </c>
      <c r="I6793" s="1" t="s">
        <v>15</v>
      </c>
      <c r="J6793" s="1" t="str">
        <f>"76/76"</f>
        <v>76/76</v>
      </c>
      <c r="K6793" s="1" t="str">
        <f>"2026-07-29 14:20:09"</f>
        <v>2026-07-29 14:20:09</v>
      </c>
      <c r="L6793" s="1" t="str">
        <f>"2023-06-19 18:52:00"</f>
        <v>2023-06-19 18:52:00</v>
      </c>
      <c r="M6793" s="1" t="s">
        <v>45</v>
      </c>
      <c r="N6793" s="1" t="s">
        <v>38</v>
      </c>
      <c r="O6793" s="1" t="s">
        <v>46</v>
      </c>
    </row>
    <row r="6794" spans="2:15" x14ac:dyDescent="0.3">
      <c r="B6794" s="1" t="s">
        <v>22</v>
      </c>
      <c r="C6794" s="1" t="str">
        <f t="shared" si="331"/>
        <v>5-2차</v>
      </c>
      <c r="D6794" s="1" t="str">
        <f>"0232X8725M"</f>
        <v>0232X8725M</v>
      </c>
      <c r="E6794" s="1" t="s">
        <v>10</v>
      </c>
      <c r="F6794" s="1" t="str">
        <f>"fde3:102:1420:2100:0:0:0:26"</f>
        <v>fde3:102:1420:2100:0:0:0:26</v>
      </c>
      <c r="G6794" s="1" t="str">
        <f>"0232X872"</f>
        <v>0232X872</v>
      </c>
      <c r="H6794" s="1" t="str">
        <f>"장암간 65L4"</f>
        <v>장암간 65L4</v>
      </c>
      <c r="I6794" s="1" t="s">
        <v>15</v>
      </c>
      <c r="J6794" s="1" t="str">
        <f>"43/43"</f>
        <v>43/43</v>
      </c>
      <c r="K6794" s="1" t="str">
        <f>"2026-07-29 14:20:56"</f>
        <v>2026-07-29 14:20:56</v>
      </c>
      <c r="L6794" s="1" t="str">
        <f>"2023-06-19 18:50:53"</f>
        <v>2023-06-19 18:50:53</v>
      </c>
      <c r="M6794" s="1" t="s">
        <v>45</v>
      </c>
      <c r="N6794" s="1" t="s">
        <v>38</v>
      </c>
      <c r="O6794" s="1" t="s">
        <v>46</v>
      </c>
    </row>
    <row r="6795" spans="2:15" x14ac:dyDescent="0.3">
      <c r="B6795" s="1" t="s">
        <v>22</v>
      </c>
      <c r="C6795" s="1" t="str">
        <f t="shared" si="331"/>
        <v>5-2차</v>
      </c>
      <c r="D6795" s="1" t="str">
        <f>"0232X8915M"</f>
        <v>0232X8915M</v>
      </c>
      <c r="E6795" s="1" t="s">
        <v>10</v>
      </c>
      <c r="F6795" s="1" t="str">
        <f>"fde1:103:4:91c8:0:0:0:2"</f>
        <v>fde1:103:4:91c8:0:0:0:2</v>
      </c>
      <c r="G6795" s="1" t="str">
        <f>"0232X891"</f>
        <v>0232X891</v>
      </c>
      <c r="H6795" s="1" t="str">
        <f>"장암간 60L4"</f>
        <v>장암간 60L4</v>
      </c>
      <c r="I6795" s="1" t="s">
        <v>15</v>
      </c>
      <c r="J6795" s="1" t="str">
        <f>"27/27"</f>
        <v>27/27</v>
      </c>
      <c r="K6795" s="1" t="str">
        <f>"2026-07-29 14:20:14"</f>
        <v>2026-07-29 14:20:14</v>
      </c>
      <c r="L6795" s="1" t="str">
        <f>"2023-12-20 13:06:41"</f>
        <v>2023-12-20 13:06:41</v>
      </c>
      <c r="M6795" s="1" t="s">
        <v>4</v>
      </c>
      <c r="N6795" s="1" t="s">
        <v>38</v>
      </c>
      <c r="O6795" s="1" t="s">
        <v>46</v>
      </c>
    </row>
    <row r="6796" spans="2:15" x14ac:dyDescent="0.3">
      <c r="B6796" s="1" t="s">
        <v>22</v>
      </c>
      <c r="C6796" s="1" t="str">
        <f t="shared" si="331"/>
        <v>5-2차</v>
      </c>
      <c r="D6796" s="1" t="str">
        <f>"0232X9015S"</f>
        <v>0232X9015S</v>
      </c>
      <c r="E6796" s="1" t="s">
        <v>10</v>
      </c>
      <c r="F6796" s="1" t="str">
        <f>"fde3:102:1420:2100:0:0:0:23"</f>
        <v>fde3:102:1420:2100:0:0:0:23</v>
      </c>
      <c r="G6796" s="1" t="str">
        <f>"0232X901"</f>
        <v>0232X901</v>
      </c>
      <c r="H6796" s="1" t="str">
        <f>"장암간 69L7R3R2"</f>
        <v>장암간 69L7R3R2</v>
      </c>
      <c r="I6796" s="1" t="s">
        <v>15</v>
      </c>
      <c r="J6796" s="1" t="str">
        <f>"47/47"</f>
        <v>47/47</v>
      </c>
      <c r="K6796" s="1" t="str">
        <f>"2026-07-29 14:20:39"</f>
        <v>2026-07-29 14:20:39</v>
      </c>
      <c r="L6796" s="1" t="str">
        <f>"2023-06-16 11:54:38"</f>
        <v>2023-06-16 11:54:38</v>
      </c>
      <c r="M6796" s="1" t="s">
        <v>45</v>
      </c>
      <c r="N6796" s="1" t="s">
        <v>38</v>
      </c>
      <c r="O6796" s="1" t="s">
        <v>46</v>
      </c>
    </row>
    <row r="6797" spans="2:15" x14ac:dyDescent="0.3">
      <c r="B6797" s="1" t="s">
        <v>22</v>
      </c>
      <c r="C6797" s="1" t="str">
        <f t="shared" si="331"/>
        <v>5-2차</v>
      </c>
      <c r="D6797" s="1" t="str">
        <f>"0232X9315S"</f>
        <v>0232X9315S</v>
      </c>
      <c r="E6797" s="1" t="s">
        <v>10</v>
      </c>
      <c r="F6797" s="1" t="str">
        <f>"fde3:102:1420:2100:0:0:0:28"</f>
        <v>fde3:102:1420:2100:0:0:0:28</v>
      </c>
      <c r="G6797" s="1" t="str">
        <f>"0232X931"</f>
        <v>0232X931</v>
      </c>
      <c r="H6797" s="1" t="str">
        <f>"장암간 65L9R3"</f>
        <v>장암간 65L9R3</v>
      </c>
      <c r="I6797" s="1" t="s">
        <v>15</v>
      </c>
      <c r="J6797" s="1" t="str">
        <f>"53/53"</f>
        <v>53/53</v>
      </c>
      <c r="K6797" s="1" t="str">
        <f>"2026-07-29 14:20:39"</f>
        <v>2026-07-29 14:20:39</v>
      </c>
      <c r="L6797" s="1" t="str">
        <f>"2023-09-19 17:34:57"</f>
        <v>2023-09-19 17:34:57</v>
      </c>
      <c r="M6797" s="1" t="s">
        <v>45</v>
      </c>
      <c r="N6797" s="1" t="s">
        <v>38</v>
      </c>
      <c r="O6797" s="1" t="s">
        <v>46</v>
      </c>
    </row>
    <row r="6798" spans="2:15" x14ac:dyDescent="0.3">
      <c r="B6798" s="1" t="s">
        <v>22</v>
      </c>
      <c r="C6798" s="1" t="str">
        <f t="shared" si="331"/>
        <v>5-2차</v>
      </c>
      <c r="D6798" s="1" t="str">
        <f>"0232X9425M"</f>
        <v>0232X9425M</v>
      </c>
      <c r="E6798" s="1" t="s">
        <v>10</v>
      </c>
      <c r="F6798" s="1" t="str">
        <f>"fde3:102:1420:2100:0:0:0:2c"</f>
        <v>fde3:102:1420:2100:0:0:0:2c</v>
      </c>
      <c r="G6798" s="1" t="str">
        <f>"0232X942"</f>
        <v>0232X942</v>
      </c>
      <c r="H6798" s="1" t="str">
        <f>"장암간 65L11"</f>
        <v>장암간 65L11</v>
      </c>
      <c r="I6798" s="1" t="s">
        <v>15</v>
      </c>
      <c r="J6798" s="1" t="str">
        <f>"62/62"</f>
        <v>62/62</v>
      </c>
      <c r="K6798" s="1" t="str">
        <f>"2026-07-29 14:20:39"</f>
        <v>2026-07-29 14:20:39</v>
      </c>
      <c r="L6798" s="1" t="str">
        <f>"2023-06-19 18:49:59"</f>
        <v>2023-06-19 18:49:59</v>
      </c>
      <c r="M6798" s="1" t="s">
        <v>45</v>
      </c>
      <c r="N6798" s="1" t="s">
        <v>38</v>
      </c>
      <c r="O6798" s="1" t="s">
        <v>46</v>
      </c>
    </row>
    <row r="6799" spans="2:15" x14ac:dyDescent="0.3">
      <c r="B6799" s="1" t="s">
        <v>22</v>
      </c>
      <c r="C6799" s="1" t="str">
        <f t="shared" si="331"/>
        <v>5-2차</v>
      </c>
      <c r="D6799" s="1" t="str">
        <f>"0232Y0235M"</f>
        <v>0232Y0235M</v>
      </c>
      <c r="E6799" s="1" t="s">
        <v>10</v>
      </c>
      <c r="F6799" s="1" t="str">
        <f>"fde1:103:4:58bb:0:0:0:2"</f>
        <v>fde1:103:4:58bb:0:0:0:2</v>
      </c>
      <c r="G6799" s="1" t="str">
        <f>"0232Y023"</f>
        <v>0232Y023</v>
      </c>
      <c r="H6799" s="1" t="str">
        <f>"한천지 67"</f>
        <v>한천지 67</v>
      </c>
      <c r="I6799" s="1" t="s">
        <v>15</v>
      </c>
      <c r="J6799" s="1" t="str">
        <f>"29/29"</f>
        <v>29/29</v>
      </c>
      <c r="K6799" s="1" t="str">
        <f>"2026-07-29 14:20:57"</f>
        <v>2026-07-29 14:20:57</v>
      </c>
      <c r="L6799" s="1" t="str">
        <f>"2023-10-12 15:58:44"</f>
        <v>2023-10-12 15:58:44</v>
      </c>
      <c r="M6799" s="1" t="s">
        <v>4</v>
      </c>
      <c r="N6799" s="1" t="s">
        <v>38</v>
      </c>
      <c r="O6799" s="1" t="s">
        <v>46</v>
      </c>
    </row>
    <row r="6800" spans="2:15" x14ac:dyDescent="0.3">
      <c r="B6800" s="1" t="s">
        <v>22</v>
      </c>
      <c r="C6800" s="1" t="str">
        <f t="shared" si="331"/>
        <v>5-2차</v>
      </c>
      <c r="D6800" s="1" t="str">
        <f>"0232Y0615M"</f>
        <v>0232Y0615M</v>
      </c>
      <c r="E6800" s="1" t="s">
        <v>10</v>
      </c>
      <c r="F6800" s="1" t="str">
        <f>"fde1:103:4:5a57:0:0:0:2"</f>
        <v>fde1:103:4:5a57:0:0:0:2</v>
      </c>
      <c r="G6800" s="1" t="str">
        <f>"0232Y061"</f>
        <v>0232Y061</v>
      </c>
      <c r="H6800" s="1" t="str">
        <f>"쌍용간 39"</f>
        <v>쌍용간 39</v>
      </c>
      <c r="I6800" s="1" t="s">
        <v>15</v>
      </c>
      <c r="J6800" s="1" t="str">
        <f>"53/53"</f>
        <v>53/53</v>
      </c>
      <c r="K6800" s="1" t="str">
        <f>"2026-07-29 14:20:40"</f>
        <v>2026-07-29 14:20:40</v>
      </c>
      <c r="L6800" s="1" t="str">
        <f>"2023-10-12 15:59:25"</f>
        <v>2023-10-12 15:59:25</v>
      </c>
      <c r="M6800" s="1" t="s">
        <v>4</v>
      </c>
      <c r="N6800" s="1" t="s">
        <v>38</v>
      </c>
      <c r="O6800" s="1" t="s">
        <v>46</v>
      </c>
    </row>
    <row r="6801" spans="2:15" x14ac:dyDescent="0.3">
      <c r="B6801" s="1" t="s">
        <v>22</v>
      </c>
      <c r="C6801" s="1" t="str">
        <f t="shared" si="331"/>
        <v>5-2차</v>
      </c>
      <c r="D6801" s="1" t="str">
        <f>"0232Y0935S"</f>
        <v>0232Y0935S</v>
      </c>
      <c r="E6801" s="1" t="s">
        <v>10</v>
      </c>
      <c r="F6801" s="1" t="str">
        <f>"fde1:103:4:59cf:0:0:0:2"</f>
        <v>fde1:103:4:59cf:0:0:0:2</v>
      </c>
      <c r="G6801" s="1" t="str">
        <f>"0232Y093"</f>
        <v>0232Y093</v>
      </c>
      <c r="H6801" s="1" t="str">
        <f>"쌍용간 42L1"</f>
        <v>쌍용간 42L1</v>
      </c>
      <c r="I6801" s="1" t="s">
        <v>15</v>
      </c>
      <c r="J6801" s="1" t="str">
        <f>"42/49"</f>
        <v>42/49</v>
      </c>
      <c r="K6801" s="1" t="str">
        <f>"2026-07-29 14:20:57"</f>
        <v>2026-07-29 14:20:57</v>
      </c>
      <c r="L6801" s="1" t="str">
        <f>"2023-10-12 15:59:39"</f>
        <v>2023-10-12 15:59:39</v>
      </c>
      <c r="M6801" s="1" t="s">
        <v>4</v>
      </c>
      <c r="N6801" s="1" t="s">
        <v>38</v>
      </c>
      <c r="O6801" s="1" t="s">
        <v>46</v>
      </c>
    </row>
    <row r="6802" spans="2:15" x14ac:dyDescent="0.3">
      <c r="B6802" s="1" t="s">
        <v>22</v>
      </c>
      <c r="C6802" s="1" t="str">
        <f t="shared" si="331"/>
        <v>5-2차</v>
      </c>
      <c r="D6802" s="1" t="str">
        <f>"0232Y7935M"</f>
        <v>0232Y7935M</v>
      </c>
      <c r="E6802" s="1" t="s">
        <v>10</v>
      </c>
      <c r="F6802" s="1" t="str">
        <f>"fde1:103:4:91d9:0:0:0:2"</f>
        <v>fde1:103:4:91d9:0:0:0:2</v>
      </c>
      <c r="G6802" s="1" t="str">
        <f>"0232Y793"</f>
        <v>0232Y793</v>
      </c>
      <c r="H6802" s="1" t="str">
        <f>"동일지 29R13R1"</f>
        <v>동일지 29R13R1</v>
      </c>
      <c r="I6802" s="1" t="s">
        <v>15</v>
      </c>
      <c r="J6802" s="1" t="str">
        <f>"44/44"</f>
        <v>44/44</v>
      </c>
      <c r="K6802" s="1" t="str">
        <f>"2026-07-29 14:20:57"</f>
        <v>2026-07-29 14:20:57</v>
      </c>
      <c r="L6802" s="1" t="str">
        <f>"2024-01-08 09:32:33"</f>
        <v>2024-01-08 09:32:33</v>
      </c>
      <c r="M6802" s="1" t="s">
        <v>4</v>
      </c>
      <c r="N6802" s="1" t="s">
        <v>38</v>
      </c>
      <c r="O6802" s="1" t="s">
        <v>46</v>
      </c>
    </row>
    <row r="6803" spans="2:15" x14ac:dyDescent="0.3">
      <c r="B6803" s="1" t="s">
        <v>22</v>
      </c>
      <c r="C6803" s="1" t="s">
        <v>16</v>
      </c>
      <c r="D6803" s="1" t="str">
        <f>"0232Y85141"</f>
        <v>0232Y85141</v>
      </c>
      <c r="E6803" s="1" t="s">
        <v>10</v>
      </c>
      <c r="F6803" s="1" t="str">
        <f>"10.14.13.130"</f>
        <v>10.14.13.130</v>
      </c>
      <c r="G6803" s="1" t="str">
        <f>"0232Y851"</f>
        <v>0232Y851</v>
      </c>
      <c r="H6803" s="1" t="str">
        <f>"동일지 33R12"</f>
        <v>동일지 33R12</v>
      </c>
      <c r="I6803" s="1" t="s">
        <v>17</v>
      </c>
      <c r="J6803" s="1" t="str">
        <f>"26/26"</f>
        <v>26/26</v>
      </c>
      <c r="K6803" s="1" t="str">
        <f>"2026-07-29 13:18:04"</f>
        <v>2026-07-29 13:18:04</v>
      </c>
      <c r="L6803" s="1" t="str">
        <f>"2022-11-10 15:33:32"</f>
        <v>2022-11-10 15:33:32</v>
      </c>
      <c r="M6803" s="1" t="s">
        <v>3</v>
      </c>
      <c r="N6803" s="1" t="s">
        <v>38</v>
      </c>
      <c r="O6803" s="1" t="s">
        <v>46</v>
      </c>
    </row>
    <row r="6804" spans="2:15" x14ac:dyDescent="0.3">
      <c r="B6804" s="1" t="s">
        <v>22</v>
      </c>
      <c r="C6804" s="1" t="str">
        <f>"5-2차"</f>
        <v>5-2차</v>
      </c>
      <c r="D6804" s="1" t="str">
        <f>"0232Y8815M"</f>
        <v>0232Y8815M</v>
      </c>
      <c r="E6804" s="1" t="s">
        <v>10</v>
      </c>
      <c r="F6804" s="1" t="str">
        <f>"fde3:102:1420:2100:0:0:0:8"</f>
        <v>fde3:102:1420:2100:0:0:0:8</v>
      </c>
      <c r="G6804" s="1" t="str">
        <f>"0232Y881"</f>
        <v>0232Y881</v>
      </c>
      <c r="H6804" s="1" t="str">
        <f>"동일지 29R11"</f>
        <v>동일지 29R11</v>
      </c>
      <c r="I6804" s="1" t="s">
        <v>15</v>
      </c>
      <c r="J6804" s="1" t="str">
        <f>"116/116"</f>
        <v>116/116</v>
      </c>
      <c r="K6804" s="1" t="str">
        <f>"2026-07-29 14:20:15"</f>
        <v>2026-07-29 14:20:15</v>
      </c>
      <c r="L6804" s="1" t="str">
        <f>"2023-06-19 18:41:13"</f>
        <v>2023-06-19 18:41:13</v>
      </c>
      <c r="M6804" s="1" t="s">
        <v>45</v>
      </c>
      <c r="N6804" s="1" t="s">
        <v>38</v>
      </c>
      <c r="O6804" s="1" t="s">
        <v>46</v>
      </c>
    </row>
    <row r="6805" spans="2:15" x14ac:dyDescent="0.3">
      <c r="B6805" s="1" t="s">
        <v>22</v>
      </c>
      <c r="C6805" s="1" t="str">
        <f>"5-2차"</f>
        <v>5-2차</v>
      </c>
      <c r="D6805" s="1" t="str">
        <f>"0232Y8835M"</f>
        <v>0232Y8835M</v>
      </c>
      <c r="E6805" s="1" t="s">
        <v>10</v>
      </c>
      <c r="F6805" s="1" t="str">
        <f>"fde3:102:1420:2100:0:0:0:11"</f>
        <v>fde3:102:1420:2100:0:0:0:11</v>
      </c>
      <c r="G6805" s="1" t="str">
        <f>"0232Y883"</f>
        <v>0232Y883</v>
      </c>
      <c r="H6805" s="1" t="str">
        <f>"동일지 29R12"</f>
        <v>동일지 29R12</v>
      </c>
      <c r="I6805" s="1" t="s">
        <v>15</v>
      </c>
      <c r="J6805" s="1" t="str">
        <f>"22/22"</f>
        <v>22/22</v>
      </c>
      <c r="K6805" s="1" t="str">
        <f>"2026-07-29 14:20:10"</f>
        <v>2026-07-29 14:20:10</v>
      </c>
      <c r="L6805" s="1" t="str">
        <f>"2023-06-19 18:41:43"</f>
        <v>2023-06-19 18:41:43</v>
      </c>
      <c r="M6805" s="1" t="s">
        <v>45</v>
      </c>
      <c r="N6805" s="1" t="s">
        <v>38</v>
      </c>
      <c r="O6805" s="1" t="s">
        <v>46</v>
      </c>
    </row>
    <row r="6806" spans="2:15" x14ac:dyDescent="0.3">
      <c r="B6806" s="1" t="s">
        <v>22</v>
      </c>
      <c r="C6806" s="1" t="str">
        <f>"5-2차"</f>
        <v>5-2차</v>
      </c>
      <c r="D6806" s="1" t="str">
        <f>"0232Y9825M"</f>
        <v>0232Y9825M</v>
      </c>
      <c r="E6806" s="1" t="s">
        <v>10</v>
      </c>
      <c r="F6806" s="1" t="str">
        <f>"fde3:102:1420:2100:0:0:0:d"</f>
        <v>fde3:102:1420:2100:0:0:0:d</v>
      </c>
      <c r="G6806" s="1" t="str">
        <f>"0232Y982"</f>
        <v>0232Y982</v>
      </c>
      <c r="H6806" s="1" t="str">
        <f>"동일지 29R9"</f>
        <v>동일지 29R9</v>
      </c>
      <c r="I6806" s="1" t="s">
        <v>15</v>
      </c>
      <c r="J6806" s="1" t="str">
        <f>"107/107"</f>
        <v>107/107</v>
      </c>
      <c r="K6806" s="1" t="str">
        <f>"2026-07-29 14:20:10"</f>
        <v>2026-07-29 14:20:10</v>
      </c>
      <c r="L6806" s="1" t="str">
        <f>"2023-09-13 14:25:08"</f>
        <v>2023-09-13 14:25:08</v>
      </c>
      <c r="M6806" s="1" t="s">
        <v>45</v>
      </c>
      <c r="N6806" s="1" t="s">
        <v>38</v>
      </c>
      <c r="O6806" s="1" t="s">
        <v>46</v>
      </c>
    </row>
    <row r="6807" spans="2:15" x14ac:dyDescent="0.3">
      <c r="B6807" s="1" t="s">
        <v>22</v>
      </c>
      <c r="C6807" s="1" t="str">
        <f>"5-2차"</f>
        <v>5-2차</v>
      </c>
      <c r="D6807" s="1" t="str">
        <f>"0232Y9915M"</f>
        <v>0232Y9915M</v>
      </c>
      <c r="E6807" s="1" t="s">
        <v>10</v>
      </c>
      <c r="F6807" s="1" t="str">
        <f>"fde3:102:1420:2100:0:0:0:f"</f>
        <v>fde3:102:1420:2100:0:0:0:f</v>
      </c>
      <c r="G6807" s="1" t="str">
        <f>"0232Y991"</f>
        <v>0232Y991</v>
      </c>
      <c r="H6807" s="1" t="str">
        <f>"동일지 29R10R2"</f>
        <v>동일지 29R10R2</v>
      </c>
      <c r="I6807" s="1" t="s">
        <v>15</v>
      </c>
      <c r="J6807" s="1" t="str">
        <f>"57/57"</f>
        <v>57/57</v>
      </c>
      <c r="K6807" s="1" t="str">
        <f>"2026-07-29 14:20:57"</f>
        <v>2026-07-29 14:20:57</v>
      </c>
      <c r="L6807" s="1" t="str">
        <f>"2023-06-19 18:43:16"</f>
        <v>2023-06-19 18:43:16</v>
      </c>
      <c r="M6807" s="1" t="s">
        <v>45</v>
      </c>
      <c r="N6807" s="1" t="s">
        <v>38</v>
      </c>
      <c r="O6807" s="1" t="s">
        <v>46</v>
      </c>
    </row>
    <row r="6808" spans="2:15" x14ac:dyDescent="0.3">
      <c r="B6808" s="1" t="s">
        <v>22</v>
      </c>
      <c r="C6808" s="1" t="s">
        <v>16</v>
      </c>
      <c r="D6808" s="1" t="str">
        <f>"0232Z19541"</f>
        <v>0232Z19541</v>
      </c>
      <c r="E6808" s="1" t="s">
        <v>10</v>
      </c>
      <c r="F6808" s="1" t="str">
        <f>"10.14.8.201"</f>
        <v>10.14.8.201</v>
      </c>
      <c r="G6808" s="1" t="str">
        <f>"0232Z195"</f>
        <v>0232Z195</v>
      </c>
      <c r="H6808" s="1" t="str">
        <f>"동일지 29R6"</f>
        <v>동일지 29R6</v>
      </c>
      <c r="I6808" s="1" t="s">
        <v>17</v>
      </c>
      <c r="J6808" s="1" t="str">
        <f>"51/67"</f>
        <v>51/67</v>
      </c>
      <c r="K6808" s="1" t="str">
        <f>"2026-07-29 13:18:04"</f>
        <v>2026-07-29 13:18:04</v>
      </c>
      <c r="L6808" s="1" t="str">
        <f>"2022-11-11 14:34:14"</f>
        <v>2022-11-11 14:34:14</v>
      </c>
      <c r="M6808" s="1" t="s">
        <v>3</v>
      </c>
      <c r="N6808" s="1" t="s">
        <v>38</v>
      </c>
      <c r="O6808" s="1" t="s">
        <v>46</v>
      </c>
    </row>
    <row r="6809" spans="2:15" x14ac:dyDescent="0.3">
      <c r="B6809" s="1" t="s">
        <v>22</v>
      </c>
      <c r="C6809" s="1" t="str">
        <f>"5-2차"</f>
        <v>5-2차</v>
      </c>
      <c r="D6809" s="1" t="str">
        <f>"0232Z5715M"</f>
        <v>0232Z5715M</v>
      </c>
      <c r="E6809" s="1" t="s">
        <v>10</v>
      </c>
      <c r="F6809" s="1" t="str">
        <f>"fde1:103:4:9203:0:0:0:2"</f>
        <v>fde1:103:4:9203:0:0:0:2</v>
      </c>
      <c r="G6809" s="1" t="str">
        <f>"0232Z571"</f>
        <v>0232Z571</v>
      </c>
      <c r="H6809" s="1" t="str">
        <f>"동일지 33R3R2"</f>
        <v>동일지 33R3R2</v>
      </c>
      <c r="I6809" s="1" t="s">
        <v>15</v>
      </c>
      <c r="J6809" s="1" t="str">
        <f>"20/20"</f>
        <v>20/20</v>
      </c>
      <c r="K6809" s="1" t="str">
        <f>"2026-07-29 14:20:40"</f>
        <v>2026-07-29 14:20:40</v>
      </c>
      <c r="L6809" s="1" t="str">
        <f>"2023-12-20 13:28:53"</f>
        <v>2023-12-20 13:28:53</v>
      </c>
      <c r="M6809" s="1" t="s">
        <v>4</v>
      </c>
      <c r="N6809" s="1" t="s">
        <v>38</v>
      </c>
      <c r="O6809" s="1" t="s">
        <v>46</v>
      </c>
    </row>
    <row r="6810" spans="2:15" x14ac:dyDescent="0.3">
      <c r="B6810" s="1" t="s">
        <v>22</v>
      </c>
      <c r="C6810" s="1" t="str">
        <f>"5-1차"</f>
        <v>5-1차</v>
      </c>
      <c r="D6810" s="1" t="str">
        <f>"0232Z9615M"</f>
        <v>0232Z9615M</v>
      </c>
      <c r="E6810" s="1" t="s">
        <v>10</v>
      </c>
      <c r="F6810" s="1" t="str">
        <f>"fde3:102:1420:2100:0:0:0:2"</f>
        <v>fde3:102:1420:2100:0:0:0:2</v>
      </c>
      <c r="G6810" s="1" t="str">
        <f>"0232Z961"</f>
        <v>0232Z961</v>
      </c>
      <c r="H6810" s="1" t="str">
        <f>"장암간 69L7R12R2"</f>
        <v>장암간 69L7R12R2</v>
      </c>
      <c r="I6810" s="1" t="s">
        <v>15</v>
      </c>
      <c r="J6810" s="1" t="str">
        <f>"22/22"</f>
        <v>22/22</v>
      </c>
      <c r="K6810" s="1" t="str">
        <f>"2026-07-29 14:20:38"</f>
        <v>2026-07-29 14:20:38</v>
      </c>
      <c r="L6810" s="1" t="str">
        <f>"2022-11-15 17:24:34"</f>
        <v>2022-11-15 17:24:34</v>
      </c>
      <c r="M6810" s="1" t="s">
        <v>45</v>
      </c>
      <c r="N6810" s="1" t="s">
        <v>38</v>
      </c>
      <c r="O6810" s="1" t="s">
        <v>46</v>
      </c>
    </row>
    <row r="6811" spans="2:15" x14ac:dyDescent="0.3">
      <c r="B6811" s="1" t="s">
        <v>22</v>
      </c>
      <c r="C6811" s="1" t="str">
        <f>"5-2차"</f>
        <v>5-2차</v>
      </c>
      <c r="D6811" s="1" t="str">
        <f>"0232Z9815M"</f>
        <v>0232Z9815M</v>
      </c>
      <c r="E6811" s="1" t="s">
        <v>10</v>
      </c>
      <c r="F6811" s="1" t="str">
        <f>"fde1:103:4:91cc:0:0:0:2"</f>
        <v>fde1:103:4:91cc:0:0:0:2</v>
      </c>
      <c r="G6811" s="1" t="str">
        <f>"0232Z981"</f>
        <v>0232Z981</v>
      </c>
      <c r="H6811" s="1" t="str">
        <f>"장암간 69L7R9"</f>
        <v>장암간 69L7R9</v>
      </c>
      <c r="I6811" s="1" t="s">
        <v>15</v>
      </c>
      <c r="J6811" s="1" t="str">
        <f>"66/66"</f>
        <v>66/66</v>
      </c>
      <c r="K6811" s="1" t="str">
        <f>"2026-07-29 14:20:10"</f>
        <v>2026-07-29 14:20:10</v>
      </c>
      <c r="L6811" s="1" t="str">
        <f>"2023-12-20 13:29:25"</f>
        <v>2023-12-20 13:29:25</v>
      </c>
      <c r="M6811" s="1" t="s">
        <v>4</v>
      </c>
      <c r="N6811" s="1" t="s">
        <v>38</v>
      </c>
      <c r="O6811" s="1" t="s">
        <v>46</v>
      </c>
    </row>
    <row r="6812" spans="2:15" x14ac:dyDescent="0.3">
      <c r="B6812" s="1" t="s">
        <v>22</v>
      </c>
      <c r="C6812" s="1" t="str">
        <f>"4차"</f>
        <v>4차</v>
      </c>
      <c r="D6812" s="1" t="str">
        <f>"0233S30839"</f>
        <v>0233S30839</v>
      </c>
      <c r="E6812" s="1" t="s">
        <v>14</v>
      </c>
      <c r="F6812" s="1" t="str">
        <f>"10.12.137.100"</f>
        <v>10.12.137.100</v>
      </c>
      <c r="G6812" s="1" t="str">
        <f>"0233S308"</f>
        <v>0233S308</v>
      </c>
      <c r="H6812" s="1" t="str">
        <f>"산장 5"</f>
        <v>산장 5</v>
      </c>
      <c r="I6812" s="1" t="s">
        <v>17</v>
      </c>
      <c r="J6812" s="1" t="str">
        <f>"0/0"</f>
        <v>0/0</v>
      </c>
      <c r="K6812" s="1" t="str">
        <f>"2026-07-28 13:18:03"</f>
        <v>2026-07-28 13:18:03</v>
      </c>
      <c r="L6812" s="1" t="str">
        <f>"2018-10-17 09:21:55"</f>
        <v>2018-10-17 09:21:55</v>
      </c>
      <c r="M6812" s="1" t="s">
        <v>0</v>
      </c>
      <c r="N6812" s="1" t="s">
        <v>39</v>
      </c>
      <c r="O6812" s="1" t="s">
        <v>46</v>
      </c>
    </row>
    <row r="6813" spans="2:15" x14ac:dyDescent="0.3">
      <c r="B6813" s="1" t="s">
        <v>22</v>
      </c>
      <c r="C6813" s="1" t="str">
        <f>"5-2차"</f>
        <v>5-2차</v>
      </c>
      <c r="D6813" s="1" t="str">
        <f>"0233S4115M"</f>
        <v>0233S4115M</v>
      </c>
      <c r="E6813" s="1" t="s">
        <v>10</v>
      </c>
      <c r="F6813" s="1" t="str">
        <f>"fde1:103:4:5998:0:0:0:2"</f>
        <v>fde1:103:4:5998:0:0:0:2</v>
      </c>
      <c r="G6813" s="1" t="str">
        <f>"0233S411"</f>
        <v>0233S411</v>
      </c>
      <c r="H6813" s="1" t="str">
        <f>"산장SW 7L2"</f>
        <v>산장SW 7L2</v>
      </c>
      <c r="I6813" s="1" t="s">
        <v>15</v>
      </c>
      <c r="J6813" s="1" t="str">
        <f>"84/84"</f>
        <v>84/84</v>
      </c>
      <c r="K6813" s="1" t="str">
        <f>"2026-07-29 14:20:10"</f>
        <v>2026-07-29 14:20:10</v>
      </c>
      <c r="L6813" s="1" t="str">
        <f>"2023-10-12 16:00:18"</f>
        <v>2023-10-12 16:00:18</v>
      </c>
      <c r="M6813" s="1" t="s">
        <v>4</v>
      </c>
      <c r="N6813" s="1" t="s">
        <v>38</v>
      </c>
      <c r="O6813" s="1" t="s">
        <v>46</v>
      </c>
    </row>
    <row r="6814" spans="2:15" x14ac:dyDescent="0.3">
      <c r="B6814" s="1" t="s">
        <v>22</v>
      </c>
      <c r="C6814" s="1" t="str">
        <f>"5-2차"</f>
        <v>5-2차</v>
      </c>
      <c r="D6814" s="1" t="str">
        <f>"0233S4125M"</f>
        <v>0233S4125M</v>
      </c>
      <c r="E6814" s="1" t="s">
        <v>10</v>
      </c>
      <c r="F6814" s="1" t="str">
        <f>"fde3:102:1420:5300:0:0:0:7"</f>
        <v>fde3:102:1420:5300:0:0:0:7</v>
      </c>
      <c r="G6814" s="1" t="str">
        <f>"0233S412"</f>
        <v>0233S412</v>
      </c>
      <c r="H6814" s="1" t="str">
        <f>"산장SW 7R2"</f>
        <v>산장SW 7R2</v>
      </c>
      <c r="I6814" s="1" t="s">
        <v>15</v>
      </c>
      <c r="J6814" s="1" t="str">
        <f>"46/46"</f>
        <v>46/46</v>
      </c>
      <c r="K6814" s="1" t="str">
        <f>"2026-07-29 14:21:13"</f>
        <v>2026-07-29 14:21:13</v>
      </c>
      <c r="L6814" s="1" t="str">
        <f>"2023-06-19 18:48:55"</f>
        <v>2023-06-19 18:48:55</v>
      </c>
      <c r="M6814" s="1" t="s">
        <v>45</v>
      </c>
      <c r="N6814" s="1" t="s">
        <v>38</v>
      </c>
      <c r="O6814" s="1" t="s">
        <v>46</v>
      </c>
    </row>
    <row r="6815" spans="2:15" x14ac:dyDescent="0.3">
      <c r="B6815" s="1" t="s">
        <v>22</v>
      </c>
      <c r="C6815" s="1" t="str">
        <f>"5-2차"</f>
        <v>5-2차</v>
      </c>
      <c r="D6815" s="1" t="str">
        <f>"0233S4135M"</f>
        <v>0233S4135M</v>
      </c>
      <c r="E6815" s="1" t="s">
        <v>10</v>
      </c>
      <c r="F6815" s="1" t="str">
        <f>"fde3:102:1420:5400:0:0:0:19"</f>
        <v>fde3:102:1420:5400:0:0:0:19</v>
      </c>
      <c r="G6815" s="1" t="str">
        <f>"0233S413"</f>
        <v>0233S413</v>
      </c>
      <c r="H6815" s="1" t="str">
        <f>"산장SW 7R3"</f>
        <v>산장SW 7R3</v>
      </c>
      <c r="I6815" s="1" t="s">
        <v>15</v>
      </c>
      <c r="J6815" s="1" t="str">
        <f>"25/25"</f>
        <v>25/25</v>
      </c>
      <c r="K6815" s="1" t="str">
        <f>"2026-07-29 14:20:40"</f>
        <v>2026-07-29 14:20:40</v>
      </c>
      <c r="L6815" s="1" t="str">
        <f>"2023-06-19 19:51:59"</f>
        <v>2023-06-19 19:51:59</v>
      </c>
      <c r="M6815" s="1" t="s">
        <v>45</v>
      </c>
      <c r="N6815" s="1" t="s">
        <v>38</v>
      </c>
      <c r="O6815" s="1" t="s">
        <v>46</v>
      </c>
    </row>
    <row r="6816" spans="2:15" x14ac:dyDescent="0.3">
      <c r="B6816" s="1" t="s">
        <v>22</v>
      </c>
      <c r="C6816" s="1" t="str">
        <f>"5-2차"</f>
        <v>5-2차</v>
      </c>
      <c r="D6816" s="1" t="str">
        <f>"0233S6115M"</f>
        <v>0233S6115M</v>
      </c>
      <c r="E6816" s="1" t="s">
        <v>10</v>
      </c>
      <c r="F6816" s="1" t="str">
        <f>"fde1:103:4:59a4:0:0:0:2"</f>
        <v>fde1:103:4:59a4:0:0:0:2</v>
      </c>
      <c r="G6816" s="1" t="str">
        <f>"0233S611"</f>
        <v>0233S611</v>
      </c>
      <c r="H6816" s="1" t="str">
        <f>"산장SW 7L5"</f>
        <v>산장SW 7L5</v>
      </c>
      <c r="I6816" s="1" t="s">
        <v>15</v>
      </c>
      <c r="J6816" s="1" t="str">
        <f>"47/47"</f>
        <v>47/47</v>
      </c>
      <c r="K6816" s="1" t="str">
        <f>"2026-07-29 14:20:10"</f>
        <v>2026-07-29 14:20:10</v>
      </c>
      <c r="L6816" s="1" t="str">
        <f>"2023-10-12 16:00:36"</f>
        <v>2023-10-12 16:00:36</v>
      </c>
      <c r="M6816" s="1" t="s">
        <v>4</v>
      </c>
      <c r="N6816" s="1" t="s">
        <v>38</v>
      </c>
      <c r="O6816" s="1" t="s">
        <v>46</v>
      </c>
    </row>
    <row r="6817" spans="2:15" x14ac:dyDescent="0.3">
      <c r="B6817" s="1" t="s">
        <v>22</v>
      </c>
      <c r="C6817" s="1" t="str">
        <f>"6차"</f>
        <v>6차</v>
      </c>
      <c r="D6817" s="1" t="str">
        <f>"0328B3916S"</f>
        <v>0328B3916S</v>
      </c>
      <c r="E6817" s="1" t="s">
        <v>10</v>
      </c>
      <c r="F6817" s="1" t="str">
        <f>"fde1:103:4:91b2:0:0:0:2"</f>
        <v>fde1:103:4:91b2:0:0:0:2</v>
      </c>
      <c r="G6817" s="1" t="str">
        <f>"0328B391"</f>
        <v>0328B391</v>
      </c>
      <c r="H6817" s="1" t="str">
        <f>"월석간 44L9"</f>
        <v>월석간 44L9</v>
      </c>
      <c r="I6817" s="1" t="s">
        <v>15</v>
      </c>
      <c r="J6817" s="1" t="str">
        <f>"7/7"</f>
        <v>7/7</v>
      </c>
      <c r="K6817" s="1" t="str">
        <f>"2026-07-29 14:20:27"</f>
        <v>2026-07-29 14:20:27</v>
      </c>
      <c r="L6817" s="1" t="str">
        <f>"2024-11-19 16:42:00"</f>
        <v>2024-11-19 16:42:00</v>
      </c>
      <c r="M6817" s="1" t="s">
        <v>4</v>
      </c>
      <c r="N6817" s="1" t="s">
        <v>38</v>
      </c>
      <c r="O6817" s="1" t="s">
        <v>46</v>
      </c>
    </row>
    <row r="6818" spans="2:15" x14ac:dyDescent="0.3">
      <c r="B6818" s="1" t="s">
        <v>22</v>
      </c>
      <c r="C6818" s="1" t="str">
        <f>"4차"</f>
        <v>4차</v>
      </c>
      <c r="D6818" s="1" t="str">
        <f>"0328B69139"</f>
        <v>0328B69139</v>
      </c>
      <c r="E6818" s="1" t="s">
        <v>10</v>
      </c>
      <c r="F6818" s="1" t="str">
        <f>"10.12.130.90"</f>
        <v>10.12.130.90</v>
      </c>
      <c r="G6818" s="1" t="str">
        <f>"0328B691"</f>
        <v>0328B691</v>
      </c>
      <c r="H6818" s="1" t="str">
        <f>"화랑 1A"</f>
        <v>화랑 1A</v>
      </c>
      <c r="I6818" s="1" t="s">
        <v>17</v>
      </c>
      <c r="J6818" s="1" t="str">
        <f>"32/32"</f>
        <v>32/32</v>
      </c>
      <c r="K6818" s="1" t="str">
        <f>"2026-07-29 13:18:03"</f>
        <v>2026-07-29 13:18:03</v>
      </c>
      <c r="L6818" s="1" t="str">
        <f>"2018-10-16 14:21:29"</f>
        <v>2018-10-16 14:21:29</v>
      </c>
      <c r="M6818" s="1" t="s">
        <v>0</v>
      </c>
      <c r="N6818" s="1" t="s">
        <v>38</v>
      </c>
      <c r="O6818" s="1" t="s">
        <v>46</v>
      </c>
    </row>
    <row r="6819" spans="2:15" x14ac:dyDescent="0.3">
      <c r="B6819" s="1" t="s">
        <v>22</v>
      </c>
      <c r="C6819" s="1" t="str">
        <f>"2차"</f>
        <v>2차</v>
      </c>
      <c r="D6819" s="1" t="str">
        <f>"0329A05229"</f>
        <v>0329A05229</v>
      </c>
      <c r="E6819" s="1" t="str">
        <f>"검침실패(3시간 이상)"</f>
        <v>검침실패(3시간 이상)</v>
      </c>
      <c r="F6819" s="1" t="str">
        <f>"10.12.128.188"</f>
        <v>10.12.128.188</v>
      </c>
      <c r="G6819" s="1" t="str">
        <f>"0329A052"</f>
        <v>0329A052</v>
      </c>
      <c r="H6819" s="1" t="str">
        <f>"말미간 3R10R2"</f>
        <v>말미간 3R10R2</v>
      </c>
      <c r="I6819" s="1" t="s">
        <v>8</v>
      </c>
      <c r="J6819" s="1" t="str">
        <f>"0/3"</f>
        <v>0/3</v>
      </c>
      <c r="K6819" s="1" t="str">
        <f>"2026-07-29 13:18:03"</f>
        <v>2026-07-29 13:18:03</v>
      </c>
      <c r="L6819" s="1" t="str">
        <f>"2017-07-26 11:31:03"</f>
        <v>2017-07-26 11:31:03</v>
      </c>
      <c r="M6819" s="1" t="s">
        <v>0</v>
      </c>
      <c r="N6819" s="1" t="s">
        <v>38</v>
      </c>
      <c r="O6819" s="1" t="s">
        <v>46</v>
      </c>
    </row>
    <row r="6820" spans="2:15" x14ac:dyDescent="0.3">
      <c r="B6820" s="1" t="s">
        <v>22</v>
      </c>
      <c r="C6820" s="1" t="str">
        <f>"3차"</f>
        <v>3차</v>
      </c>
      <c r="D6820" s="1" t="str">
        <f>"0329A06139"</f>
        <v>0329A06139</v>
      </c>
      <c r="E6820" s="1" t="s">
        <v>10</v>
      </c>
      <c r="F6820" s="1" t="str">
        <f>"10.12.129.14"</f>
        <v>10.12.129.14</v>
      </c>
      <c r="G6820" s="1" t="str">
        <f>"0329A061"</f>
        <v>0329A061</v>
      </c>
      <c r="H6820" s="1" t="str">
        <f>"말미간 3R10R3"</f>
        <v>말미간 3R10R3</v>
      </c>
      <c r="I6820" s="1" t="s">
        <v>8</v>
      </c>
      <c r="J6820" s="1" t="str">
        <f>"16/16"</f>
        <v>16/16</v>
      </c>
      <c r="K6820" s="1" t="str">
        <f>"2026-07-29 13:18:03"</f>
        <v>2026-07-29 13:18:03</v>
      </c>
      <c r="L6820" s="1" t="str">
        <f>"2018-04-20 14:48:38"</f>
        <v>2018-04-20 14:48:38</v>
      </c>
      <c r="M6820" s="1" t="s">
        <v>0</v>
      </c>
      <c r="N6820" s="1" t="s">
        <v>38</v>
      </c>
      <c r="O6820" s="1" t="s">
        <v>46</v>
      </c>
    </row>
    <row r="6821" spans="2:15" x14ac:dyDescent="0.3">
      <c r="B6821" s="1" t="s">
        <v>22</v>
      </c>
      <c r="C6821" s="1" t="str">
        <f>"4차"</f>
        <v>4차</v>
      </c>
      <c r="D6821" s="1" t="str">
        <f>"0329A06244"</f>
        <v>0329A06244</v>
      </c>
      <c r="E6821" s="1" t="s">
        <v>10</v>
      </c>
      <c r="F6821" s="1" t="str">
        <f>"10.107.253.36"</f>
        <v>10.107.253.36</v>
      </c>
      <c r="G6821" s="1" t="str">
        <f>"0329A062"</f>
        <v>0329A062</v>
      </c>
      <c r="H6821" s="1" t="str">
        <f>"말미간 3R10R4"</f>
        <v>말미간 3R10R4</v>
      </c>
      <c r="I6821" s="1" t="s">
        <v>8</v>
      </c>
      <c r="J6821" s="1" t="str">
        <f>"15/15"</f>
        <v>15/15</v>
      </c>
      <c r="K6821" s="1" t="str">
        <f>"2026-07-29 13:18:03"</f>
        <v>2026-07-29 13:18:03</v>
      </c>
      <c r="L6821" s="1" t="str">
        <f>"2019-12-13 09:13:51"</f>
        <v>2019-12-13 09:13:51</v>
      </c>
      <c r="M6821" s="1" t="s">
        <v>45</v>
      </c>
      <c r="N6821" s="1" t="s">
        <v>38</v>
      </c>
      <c r="O6821" s="1" t="s">
        <v>46</v>
      </c>
    </row>
    <row r="6822" spans="2:15" x14ac:dyDescent="0.3">
      <c r="B6822" s="1" t="s">
        <v>22</v>
      </c>
      <c r="C6822" s="1" t="str">
        <f>"4차"</f>
        <v>4차</v>
      </c>
      <c r="D6822" s="1" t="str">
        <f>"0329A09144"</f>
        <v>0329A09144</v>
      </c>
      <c r="E6822" s="1" t="s">
        <v>10</v>
      </c>
      <c r="F6822" s="1" t="str">
        <f>"10.107.253.41"</f>
        <v>10.107.253.41</v>
      </c>
      <c r="G6822" s="1" t="str">
        <f>"0329A091"</f>
        <v>0329A091</v>
      </c>
      <c r="H6822" s="1" t="str">
        <f>"말미간 3R12"</f>
        <v>말미간 3R12</v>
      </c>
      <c r="I6822" s="1" t="s">
        <v>8</v>
      </c>
      <c r="J6822" s="1" t="str">
        <f>"91/91"</f>
        <v>91/91</v>
      </c>
      <c r="K6822" s="1" t="str">
        <f>"2026-07-29 13:18:03"</f>
        <v>2026-07-29 13:18:03</v>
      </c>
      <c r="L6822" s="1" t="str">
        <f>"2019-12-13 09:18:40"</f>
        <v>2019-12-13 09:18:40</v>
      </c>
      <c r="M6822" s="1" t="s">
        <v>45</v>
      </c>
      <c r="N6822" s="1" t="s">
        <v>38</v>
      </c>
      <c r="O6822" s="1" t="s">
        <v>46</v>
      </c>
    </row>
    <row r="6823" spans="2:15" x14ac:dyDescent="0.3">
      <c r="B6823" s="1" t="s">
        <v>22</v>
      </c>
      <c r="C6823" s="1" t="str">
        <f>"5-2차"</f>
        <v>5-2차</v>
      </c>
      <c r="D6823" s="1" t="str">
        <f>"0329A1165M"</f>
        <v>0329A1165M</v>
      </c>
      <c r="E6823" s="1" t="s">
        <v>10</v>
      </c>
      <c r="F6823" s="1" t="str">
        <f>"fde3:102:1410:9200:0:0:0:a"</f>
        <v>fde3:102:1410:9200:0:0:0:a</v>
      </c>
      <c r="G6823" s="1" t="str">
        <f>"0329A116"</f>
        <v>0329A116</v>
      </c>
      <c r="H6823" s="1" t="str">
        <f>"월석간 1L1L8"</f>
        <v>월석간 1L1L8</v>
      </c>
      <c r="I6823" s="1" t="s">
        <v>15</v>
      </c>
      <c r="J6823" s="1" t="str">
        <f>"48/48"</f>
        <v>48/48</v>
      </c>
      <c r="K6823" s="1" t="str">
        <f>"2026-07-29 14:20:19"</f>
        <v>2026-07-29 14:20:19</v>
      </c>
      <c r="L6823" s="1" t="str">
        <f>"2023-06-26 16:30:42"</f>
        <v>2023-06-26 16:30:42</v>
      </c>
      <c r="M6823" s="1" t="s">
        <v>45</v>
      </c>
      <c r="N6823" s="1" t="s">
        <v>38</v>
      </c>
      <c r="O6823" s="1" t="s">
        <v>46</v>
      </c>
    </row>
    <row r="6824" spans="2:15" x14ac:dyDescent="0.3">
      <c r="B6824" s="1" t="s">
        <v>22</v>
      </c>
      <c r="C6824" s="1" t="str">
        <f>"2차"</f>
        <v>2차</v>
      </c>
      <c r="D6824" s="1" t="str">
        <f>"0329A14120"</f>
        <v>0329A14120</v>
      </c>
      <c r="E6824" s="1" t="s">
        <v>10</v>
      </c>
      <c r="F6824" s="1" t="str">
        <f>"10.10.1.18"</f>
        <v>10.10.1.18</v>
      </c>
      <c r="G6824" s="1" t="str">
        <f>"0329A141"</f>
        <v>0329A141</v>
      </c>
      <c r="H6824" s="1" t="str">
        <f>"말미간 3R10R2R2"</f>
        <v>말미간 3R10R2R2</v>
      </c>
      <c r="I6824" s="1" t="s">
        <v>8</v>
      </c>
      <c r="J6824" s="1" t="str">
        <f>"21/21"</f>
        <v>21/21</v>
      </c>
      <c r="K6824" s="1" t="str">
        <f>"2026-07-29 13:18:03"</f>
        <v>2026-07-29 13:18:03</v>
      </c>
      <c r="L6824" s="1" t="str">
        <f>"2023-02-28 17:22:48"</f>
        <v>2023-02-28 17:22:48</v>
      </c>
      <c r="M6824" s="1" t="s">
        <v>1</v>
      </c>
      <c r="N6824" s="1" t="s">
        <v>38</v>
      </c>
      <c r="O6824" s="1" t="s">
        <v>46</v>
      </c>
    </row>
    <row r="6825" spans="2:15" x14ac:dyDescent="0.3">
      <c r="B6825" s="1" t="s">
        <v>22</v>
      </c>
      <c r="C6825" s="1" t="str">
        <f>"2차"</f>
        <v>2차</v>
      </c>
      <c r="D6825" s="1" t="str">
        <f>"0329A15329"</f>
        <v>0329A15329</v>
      </c>
      <c r="E6825" s="1" t="s">
        <v>10</v>
      </c>
      <c r="F6825" s="1" t="str">
        <f>"10.12.134.139"</f>
        <v>10.12.134.139</v>
      </c>
      <c r="G6825" s="1" t="str">
        <f>"0329A153"</f>
        <v>0329A153</v>
      </c>
      <c r="H6825" s="1" t="str">
        <f>"말미간 3R10R2R1"</f>
        <v>말미간 3R10R2R1</v>
      </c>
      <c r="I6825" s="1" t="s">
        <v>8</v>
      </c>
      <c r="J6825" s="1" t="str">
        <f>"11/11"</f>
        <v>11/11</v>
      </c>
      <c r="K6825" s="1" t="str">
        <f>"2026-07-29 13:18:04"</f>
        <v>2026-07-29 13:18:04</v>
      </c>
      <c r="L6825" s="1" t="str">
        <f>"2017-07-26 11:31:03"</f>
        <v>2017-07-26 11:31:03</v>
      </c>
      <c r="M6825" s="1" t="s">
        <v>0</v>
      </c>
      <c r="N6825" s="1" t="s">
        <v>38</v>
      </c>
      <c r="O6825" s="1" t="s">
        <v>46</v>
      </c>
    </row>
    <row r="6826" spans="2:15" x14ac:dyDescent="0.3">
      <c r="B6826" s="1" t="s">
        <v>22</v>
      </c>
      <c r="C6826" s="1" t="str">
        <f>"4차"</f>
        <v>4차</v>
      </c>
      <c r="D6826" s="1" t="str">
        <f>"0329A17144"</f>
        <v>0329A17144</v>
      </c>
      <c r="E6826" s="1" t="s">
        <v>10</v>
      </c>
      <c r="F6826" s="1" t="str">
        <f>"10.107.253.37"</f>
        <v>10.107.253.37</v>
      </c>
      <c r="G6826" s="1" t="str">
        <f>"0329A171"</f>
        <v>0329A171</v>
      </c>
      <c r="H6826" s="1" t="str">
        <f>"말미간 3R10R5"</f>
        <v>말미간 3R10R5</v>
      </c>
      <c r="I6826" s="1" t="s">
        <v>8</v>
      </c>
      <c r="J6826" s="1" t="str">
        <f>"40/40"</f>
        <v>40/40</v>
      </c>
      <c r="K6826" s="1" t="str">
        <f t="shared" ref="K6826:K6831" si="332">"2026-07-29 13:18:03"</f>
        <v>2026-07-29 13:18:03</v>
      </c>
      <c r="L6826" s="1" t="str">
        <f>"2019-12-13 09:11:03"</f>
        <v>2019-12-13 09:11:03</v>
      </c>
      <c r="M6826" s="1" t="s">
        <v>45</v>
      </c>
      <c r="N6826" s="1" t="s">
        <v>38</v>
      </c>
      <c r="O6826" s="1" t="s">
        <v>46</v>
      </c>
    </row>
    <row r="6827" spans="2:15" x14ac:dyDescent="0.3">
      <c r="B6827" s="1" t="s">
        <v>22</v>
      </c>
      <c r="C6827" s="1" t="str">
        <f>"4차"</f>
        <v>4차</v>
      </c>
      <c r="D6827" s="1" t="str">
        <f>"0329A17544"</f>
        <v>0329A17544</v>
      </c>
      <c r="E6827" s="1" t="s">
        <v>10</v>
      </c>
      <c r="F6827" s="1" t="str">
        <f>"10.107.253.38"</f>
        <v>10.107.253.38</v>
      </c>
      <c r="G6827" s="1" t="str">
        <f>"0329A175"</f>
        <v>0329A175</v>
      </c>
      <c r="H6827" s="1" t="str">
        <f>"말미간 3R10R7"</f>
        <v>말미간 3R10R7</v>
      </c>
      <c r="I6827" s="1" t="s">
        <v>8</v>
      </c>
      <c r="J6827" s="1" t="str">
        <f>"62/62"</f>
        <v>62/62</v>
      </c>
      <c r="K6827" s="1" t="str">
        <f t="shared" si="332"/>
        <v>2026-07-29 13:18:03</v>
      </c>
      <c r="L6827" s="1" t="str">
        <f>"2019-12-13 09:13:44"</f>
        <v>2019-12-13 09:13:44</v>
      </c>
      <c r="M6827" s="1" t="s">
        <v>45</v>
      </c>
      <c r="N6827" s="1" t="s">
        <v>38</v>
      </c>
      <c r="O6827" s="1" t="s">
        <v>46</v>
      </c>
    </row>
    <row r="6828" spans="2:15" x14ac:dyDescent="0.3">
      <c r="B6828" s="1" t="s">
        <v>22</v>
      </c>
      <c r="C6828" s="1" t="str">
        <f>"2차"</f>
        <v>2차</v>
      </c>
      <c r="D6828" s="1" t="str">
        <f>"0329A21629"</f>
        <v>0329A21629</v>
      </c>
      <c r="E6828" s="1" t="s">
        <v>10</v>
      </c>
      <c r="F6828" s="1" t="str">
        <f>"10.12.131.214"</f>
        <v>10.12.131.214</v>
      </c>
      <c r="G6828" s="1" t="str">
        <f>"0329A216"</f>
        <v>0329A216</v>
      </c>
      <c r="H6828" s="1" t="str">
        <f>"월석간 1L8"</f>
        <v>월석간 1L8</v>
      </c>
      <c r="I6828" s="1" t="s">
        <v>8</v>
      </c>
      <c r="J6828" s="1" t="str">
        <f>"10/10"</f>
        <v>10/10</v>
      </c>
      <c r="K6828" s="1" t="str">
        <f t="shared" si="332"/>
        <v>2026-07-29 13:18:03</v>
      </c>
      <c r="L6828" s="1" t="str">
        <f>"2017-07-26 13:11:04"</f>
        <v>2017-07-26 13:11:04</v>
      </c>
      <c r="M6828" s="1" t="s">
        <v>0</v>
      </c>
      <c r="N6828" s="1" t="s">
        <v>38</v>
      </c>
      <c r="O6828" s="1" t="s">
        <v>46</v>
      </c>
    </row>
    <row r="6829" spans="2:15" x14ac:dyDescent="0.3">
      <c r="B6829" s="1" t="s">
        <v>22</v>
      </c>
      <c r="C6829" s="1" t="str">
        <f t="shared" ref="C6829:C6847" si="333">"4차"</f>
        <v>4차</v>
      </c>
      <c r="D6829" s="1" t="str">
        <f>"0329A29144"</f>
        <v>0329A29144</v>
      </c>
      <c r="E6829" s="1" t="s">
        <v>10</v>
      </c>
      <c r="F6829" s="1" t="str">
        <f>"10.107.253.35"</f>
        <v>10.107.253.35</v>
      </c>
      <c r="G6829" s="1" t="str">
        <f>"0329A291"</f>
        <v>0329A291</v>
      </c>
      <c r="H6829" s="1" t="str">
        <f>"말미간 3R10R10"</f>
        <v>말미간 3R10R10</v>
      </c>
      <c r="I6829" s="1" t="s">
        <v>8</v>
      </c>
      <c r="J6829" s="1" t="str">
        <f>"21/21"</f>
        <v>21/21</v>
      </c>
      <c r="K6829" s="1" t="str">
        <f t="shared" si="332"/>
        <v>2026-07-29 13:18:03</v>
      </c>
      <c r="L6829" s="1" t="str">
        <f>"2019-12-13 12:09:19"</f>
        <v>2019-12-13 12:09:19</v>
      </c>
      <c r="M6829" s="1" t="s">
        <v>45</v>
      </c>
      <c r="N6829" s="1" t="s">
        <v>38</v>
      </c>
      <c r="O6829" s="1" t="s">
        <v>46</v>
      </c>
    </row>
    <row r="6830" spans="2:15" x14ac:dyDescent="0.3">
      <c r="B6830" s="1" t="s">
        <v>22</v>
      </c>
      <c r="C6830" s="1" t="str">
        <f t="shared" si="333"/>
        <v>4차</v>
      </c>
      <c r="D6830" s="1" t="str">
        <f>"0329A38145"</f>
        <v>0329A38145</v>
      </c>
      <c r="E6830" s="1" t="s">
        <v>10</v>
      </c>
      <c r="F6830" s="1" t="str">
        <f>"10.14.11.55"</f>
        <v>10.14.11.55</v>
      </c>
      <c r="G6830" s="1" t="str">
        <f>"0329A381"</f>
        <v>0329A381</v>
      </c>
      <c r="H6830" s="1" t="str">
        <f>"월계 32"</f>
        <v>월계 32</v>
      </c>
      <c r="I6830" s="1" t="s">
        <v>17</v>
      </c>
      <c r="J6830" s="1" t="str">
        <f>"32/89"</f>
        <v>32/89</v>
      </c>
      <c r="K6830" s="1" t="str">
        <f t="shared" si="332"/>
        <v>2026-07-29 13:18:03</v>
      </c>
      <c r="L6830" s="1" t="str">
        <f>"2021-06-16 16:27:56"</f>
        <v>2021-06-16 16:27:56</v>
      </c>
      <c r="M6830" s="1" t="s">
        <v>3</v>
      </c>
      <c r="N6830" s="1" t="s">
        <v>38</v>
      </c>
      <c r="O6830" s="1" t="s">
        <v>46</v>
      </c>
    </row>
    <row r="6831" spans="2:15" x14ac:dyDescent="0.3">
      <c r="B6831" s="1" t="s">
        <v>22</v>
      </c>
      <c r="C6831" s="1" t="str">
        <f t="shared" si="333"/>
        <v>4차</v>
      </c>
      <c r="D6831" s="1" t="str">
        <f>"0329A40145"</f>
        <v>0329A40145</v>
      </c>
      <c r="E6831" s="1" t="s">
        <v>10</v>
      </c>
      <c r="F6831" s="1" t="str">
        <f>"10.14.9.57"</f>
        <v>10.14.9.57</v>
      </c>
      <c r="G6831" s="1" t="str">
        <f>"0329A401"</f>
        <v>0329A401</v>
      </c>
      <c r="H6831" s="1" t="str">
        <f>"월계 16"</f>
        <v>월계 16</v>
      </c>
      <c r="I6831" s="1" t="s">
        <v>17</v>
      </c>
      <c r="J6831" s="1" t="str">
        <f>"131/131"</f>
        <v>131/131</v>
      </c>
      <c r="K6831" s="1" t="str">
        <f t="shared" si="332"/>
        <v>2026-07-29 13:18:03</v>
      </c>
      <c r="L6831" s="1" t="str">
        <f>"2021-06-17 08:36:36"</f>
        <v>2021-06-17 08:36:36</v>
      </c>
      <c r="M6831" s="1" t="s">
        <v>3</v>
      </c>
      <c r="N6831" s="1" t="s">
        <v>38</v>
      </c>
      <c r="O6831" s="1" t="s">
        <v>46</v>
      </c>
    </row>
    <row r="6832" spans="2:15" x14ac:dyDescent="0.3">
      <c r="B6832" s="1" t="s">
        <v>22</v>
      </c>
      <c r="C6832" s="1" t="str">
        <f t="shared" si="333"/>
        <v>4차</v>
      </c>
      <c r="D6832" s="1" t="str">
        <f>"0329A41145"</f>
        <v>0329A41145</v>
      </c>
      <c r="E6832" s="1" t="s">
        <v>10</v>
      </c>
      <c r="F6832" s="1" t="str">
        <f>"10.14.13.7"</f>
        <v>10.14.13.7</v>
      </c>
      <c r="G6832" s="1" t="str">
        <f>"0329A411"</f>
        <v>0329A411</v>
      </c>
      <c r="H6832" s="1" t="str">
        <f>"월계 14"</f>
        <v>월계 14</v>
      </c>
      <c r="I6832" s="1" t="s">
        <v>17</v>
      </c>
      <c r="J6832" s="1" t="str">
        <f>"78/100"</f>
        <v>78/100</v>
      </c>
      <c r="K6832" s="1" t="str">
        <f>"2026-07-29 13:18:04"</f>
        <v>2026-07-29 13:18:04</v>
      </c>
      <c r="L6832" s="1" t="str">
        <f>"2021-06-21 15:26:03"</f>
        <v>2021-06-21 15:26:03</v>
      </c>
      <c r="M6832" s="1" t="s">
        <v>3</v>
      </c>
      <c r="N6832" s="1" t="s">
        <v>38</v>
      </c>
      <c r="O6832" s="1" t="s">
        <v>46</v>
      </c>
    </row>
    <row r="6833" spans="2:15" x14ac:dyDescent="0.3">
      <c r="B6833" s="1" t="s">
        <v>22</v>
      </c>
      <c r="C6833" s="1" t="str">
        <f t="shared" si="333"/>
        <v>4차</v>
      </c>
      <c r="D6833" s="1" t="str">
        <f>"0329A43145"</f>
        <v>0329A43145</v>
      </c>
      <c r="E6833" s="1" t="s">
        <v>10</v>
      </c>
      <c r="F6833" s="1" t="str">
        <f>"10.14.6.8"</f>
        <v>10.14.6.8</v>
      </c>
      <c r="G6833" s="1" t="str">
        <f>"0329A431"</f>
        <v>0329A431</v>
      </c>
      <c r="H6833" s="1" t="str">
        <f>"월계 18"</f>
        <v>월계 18</v>
      </c>
      <c r="I6833" s="1" t="s">
        <v>17</v>
      </c>
      <c r="J6833" s="1" t="str">
        <f>"95/115"</f>
        <v>95/115</v>
      </c>
      <c r="K6833" s="1" t="str">
        <f>"2026-07-29 13:18:03"</f>
        <v>2026-07-29 13:18:03</v>
      </c>
      <c r="L6833" s="1" t="str">
        <f>"2021-06-17 09:01:19"</f>
        <v>2021-06-17 09:01:19</v>
      </c>
      <c r="M6833" s="1" t="s">
        <v>3</v>
      </c>
      <c r="N6833" s="1" t="s">
        <v>38</v>
      </c>
      <c r="O6833" s="1" t="s">
        <v>46</v>
      </c>
    </row>
    <row r="6834" spans="2:15" x14ac:dyDescent="0.3">
      <c r="B6834" s="1" t="s">
        <v>22</v>
      </c>
      <c r="C6834" s="1" t="str">
        <f t="shared" si="333"/>
        <v>4차</v>
      </c>
      <c r="D6834" s="1" t="str">
        <f>"0329A43245"</f>
        <v>0329A43245</v>
      </c>
      <c r="E6834" s="1" t="s">
        <v>10</v>
      </c>
      <c r="F6834" s="1" t="str">
        <f>"10.14.1.3"</f>
        <v>10.14.1.3</v>
      </c>
      <c r="G6834" s="1" t="str">
        <f>"0329A432"</f>
        <v>0329A432</v>
      </c>
      <c r="H6834" s="1" t="str">
        <f>"월계 17"</f>
        <v>월계 17</v>
      </c>
      <c r="I6834" s="1" t="s">
        <v>17</v>
      </c>
      <c r="J6834" s="1" t="str">
        <f>"22/40"</f>
        <v>22/40</v>
      </c>
      <c r="K6834" s="1" t="str">
        <f>"2026-07-29 13:18:03"</f>
        <v>2026-07-29 13:18:03</v>
      </c>
      <c r="L6834" s="1" t="str">
        <f>"2021-06-17 08:52:48"</f>
        <v>2021-06-17 08:52:48</v>
      </c>
      <c r="M6834" s="1" t="s">
        <v>3</v>
      </c>
      <c r="N6834" s="1" t="s">
        <v>38</v>
      </c>
      <c r="O6834" s="1" t="s">
        <v>46</v>
      </c>
    </row>
    <row r="6835" spans="2:15" x14ac:dyDescent="0.3">
      <c r="B6835" s="1" t="s">
        <v>22</v>
      </c>
      <c r="C6835" s="1" t="str">
        <f t="shared" si="333"/>
        <v>4차</v>
      </c>
      <c r="D6835" s="1" t="str">
        <f>"0329A44145"</f>
        <v>0329A44145</v>
      </c>
      <c r="E6835" s="1" t="str">
        <f>"검침실패(3시간 이상)"</f>
        <v>검침실패(3시간 이상)</v>
      </c>
      <c r="F6835" s="1" t="str">
        <f>"10.14.3.15"</f>
        <v>10.14.3.15</v>
      </c>
      <c r="G6835" s="1" t="str">
        <f>"0329A441"</f>
        <v>0329A441</v>
      </c>
      <c r="H6835" s="1" t="str">
        <f>"월계 22"</f>
        <v>월계 22</v>
      </c>
      <c r="I6835" s="1" t="s">
        <v>17</v>
      </c>
      <c r="J6835" s="1" t="str">
        <f>"0/20"</f>
        <v>0/20</v>
      </c>
      <c r="K6835" s="1" t="str">
        <f>"2026-07-10 13:18:04"</f>
        <v>2026-07-10 13:18:04</v>
      </c>
      <c r="L6835" s="1" t="str">
        <f>"2021-06-22 08:28:47"</f>
        <v>2021-06-22 08:28:47</v>
      </c>
      <c r="M6835" s="1" t="s">
        <v>3</v>
      </c>
      <c r="N6835" s="1" t="s">
        <v>38</v>
      </c>
      <c r="O6835" s="1" t="s">
        <v>46</v>
      </c>
    </row>
    <row r="6836" spans="2:15" x14ac:dyDescent="0.3">
      <c r="B6836" s="1" t="s">
        <v>22</v>
      </c>
      <c r="C6836" s="1" t="str">
        <f t="shared" si="333"/>
        <v>4차</v>
      </c>
      <c r="D6836" s="1" t="str">
        <f>"0329A46145"</f>
        <v>0329A46145</v>
      </c>
      <c r="E6836" s="1" t="s">
        <v>10</v>
      </c>
      <c r="F6836" s="1" t="str">
        <f>"10.14.12.1"</f>
        <v>10.14.12.1</v>
      </c>
      <c r="G6836" s="1" t="str">
        <f>"0329A461"</f>
        <v>0329A461</v>
      </c>
      <c r="H6836" s="1" t="str">
        <f>"월계 25"</f>
        <v>월계 25</v>
      </c>
      <c r="I6836" s="1" t="s">
        <v>17</v>
      </c>
      <c r="J6836" s="1" t="str">
        <f>"75/96"</f>
        <v>75/96</v>
      </c>
      <c r="K6836" s="1" t="str">
        <f>"2026-07-29 13:18:02"</f>
        <v>2026-07-29 13:18:02</v>
      </c>
      <c r="L6836" s="1" t="str">
        <f>"2021-06-22 07:43:47"</f>
        <v>2021-06-22 07:43:47</v>
      </c>
      <c r="M6836" s="1" t="s">
        <v>3</v>
      </c>
      <c r="N6836" s="1" t="s">
        <v>38</v>
      </c>
      <c r="O6836" s="1" t="s">
        <v>46</v>
      </c>
    </row>
    <row r="6837" spans="2:15" x14ac:dyDescent="0.3">
      <c r="B6837" s="1" t="s">
        <v>22</v>
      </c>
      <c r="C6837" s="1" t="str">
        <f t="shared" si="333"/>
        <v>4차</v>
      </c>
      <c r="D6837" s="1" t="str">
        <f>"0329A47145"</f>
        <v>0329A47145</v>
      </c>
      <c r="E6837" s="1" t="s">
        <v>10</v>
      </c>
      <c r="F6837" s="1" t="str">
        <f>"10.14.13.24"</f>
        <v>10.14.13.24</v>
      </c>
      <c r="G6837" s="1" t="str">
        <f>"0329A471"</f>
        <v>0329A471</v>
      </c>
      <c r="H6837" s="1" t="str">
        <f>"월계 26"</f>
        <v>월계 26</v>
      </c>
      <c r="I6837" s="1" t="s">
        <v>17</v>
      </c>
      <c r="J6837" s="1" t="str">
        <f>"42/42"</f>
        <v>42/42</v>
      </c>
      <c r="K6837" s="1" t="str">
        <f>"2026-07-29 13:18:04"</f>
        <v>2026-07-29 13:18:04</v>
      </c>
      <c r="L6837" s="1" t="str">
        <f>"2021-06-21 16:10:45"</f>
        <v>2021-06-21 16:10:45</v>
      </c>
      <c r="M6837" s="1" t="s">
        <v>3</v>
      </c>
      <c r="N6837" s="1" t="s">
        <v>38</v>
      </c>
      <c r="O6837" s="1" t="s">
        <v>46</v>
      </c>
    </row>
    <row r="6838" spans="2:15" x14ac:dyDescent="0.3">
      <c r="B6838" s="1" t="s">
        <v>22</v>
      </c>
      <c r="C6838" s="1" t="str">
        <f t="shared" si="333"/>
        <v>4차</v>
      </c>
      <c r="D6838" s="1" t="str">
        <f>"0329A51145"</f>
        <v>0329A51145</v>
      </c>
      <c r="E6838" s="1" t="s">
        <v>10</v>
      </c>
      <c r="F6838" s="1" t="str">
        <f>"10.12.129.235"</f>
        <v>10.12.129.235</v>
      </c>
      <c r="G6838" s="1" t="str">
        <f>"0329A511"</f>
        <v>0329A511</v>
      </c>
      <c r="H6838" s="1" t="str">
        <f>"월계 15"</f>
        <v>월계 15</v>
      </c>
      <c r="I6838" s="1" t="s">
        <v>17</v>
      </c>
      <c r="J6838" s="1" t="str">
        <f>"74/80"</f>
        <v>74/80</v>
      </c>
      <c r="K6838" s="1" t="str">
        <f>"2026-07-29 13:18:04"</f>
        <v>2026-07-29 13:18:04</v>
      </c>
      <c r="L6838" s="1" t="str">
        <f>"2021-06-21 15:43:43"</f>
        <v>2021-06-21 15:43:43</v>
      </c>
      <c r="M6838" s="1" t="s">
        <v>0</v>
      </c>
      <c r="N6838" s="1" t="s">
        <v>38</v>
      </c>
      <c r="O6838" s="1" t="s">
        <v>46</v>
      </c>
    </row>
    <row r="6839" spans="2:15" x14ac:dyDescent="0.3">
      <c r="B6839" s="1" t="s">
        <v>22</v>
      </c>
      <c r="C6839" s="1" t="str">
        <f t="shared" si="333"/>
        <v>4차</v>
      </c>
      <c r="D6839" s="1" t="str">
        <f>"0329A53145"</f>
        <v>0329A53145</v>
      </c>
      <c r="E6839" s="1" t="s">
        <v>10</v>
      </c>
      <c r="F6839" s="1" t="str">
        <f>"10.14.12.24"</f>
        <v>10.14.12.24</v>
      </c>
      <c r="G6839" s="1" t="str">
        <f>"0329A531"</f>
        <v>0329A531</v>
      </c>
      <c r="H6839" s="1" t="str">
        <f>"월계 13"</f>
        <v>월계 13</v>
      </c>
      <c r="I6839" s="1" t="s">
        <v>17</v>
      </c>
      <c r="J6839" s="1" t="str">
        <f>"63/82"</f>
        <v>63/82</v>
      </c>
      <c r="K6839" s="1" t="str">
        <f>"2026-07-29 13:18:04"</f>
        <v>2026-07-29 13:18:04</v>
      </c>
      <c r="L6839" s="1" t="str">
        <f>"2021-06-17 08:30:17"</f>
        <v>2021-06-17 08:30:17</v>
      </c>
      <c r="M6839" s="1" t="s">
        <v>3</v>
      </c>
      <c r="N6839" s="1" t="s">
        <v>38</v>
      </c>
      <c r="O6839" s="1" t="s">
        <v>46</v>
      </c>
    </row>
    <row r="6840" spans="2:15" x14ac:dyDescent="0.3">
      <c r="B6840" s="1" t="s">
        <v>22</v>
      </c>
      <c r="C6840" s="1" t="str">
        <f t="shared" si="333"/>
        <v>4차</v>
      </c>
      <c r="D6840" s="1" t="str">
        <f>"0329A55245"</f>
        <v>0329A55245</v>
      </c>
      <c r="E6840" s="1" t="s">
        <v>10</v>
      </c>
      <c r="F6840" s="1" t="str">
        <f>"10.14.13.63"</f>
        <v>10.14.13.63</v>
      </c>
      <c r="G6840" s="1" t="str">
        <f>"0329A552"</f>
        <v>0329A552</v>
      </c>
      <c r="H6840" s="1" t="str">
        <f>"월계 21"</f>
        <v>월계 21</v>
      </c>
      <c r="I6840" s="1" t="s">
        <v>17</v>
      </c>
      <c r="J6840" s="1" t="str">
        <f>"21/40"</f>
        <v>21/40</v>
      </c>
      <c r="K6840" s="1" t="str">
        <f>"2026-07-29 13:18:03"</f>
        <v>2026-07-29 13:18:03</v>
      </c>
      <c r="L6840" s="1" t="str">
        <f>"2021-06-17 09:43:34"</f>
        <v>2021-06-17 09:43:34</v>
      </c>
      <c r="M6840" s="1" t="s">
        <v>3</v>
      </c>
      <c r="N6840" s="1" t="s">
        <v>38</v>
      </c>
      <c r="O6840" s="1" t="s">
        <v>46</v>
      </c>
    </row>
    <row r="6841" spans="2:15" x14ac:dyDescent="0.3">
      <c r="B6841" s="1" t="s">
        <v>22</v>
      </c>
      <c r="C6841" s="1" t="str">
        <f t="shared" si="333"/>
        <v>4차</v>
      </c>
      <c r="D6841" s="1" t="str">
        <f>"0329A59145"</f>
        <v>0329A59145</v>
      </c>
      <c r="E6841" s="1" t="s">
        <v>10</v>
      </c>
      <c r="F6841" s="1" t="str">
        <f>"10.14.4.67"</f>
        <v>10.14.4.67</v>
      </c>
      <c r="G6841" s="1" t="str">
        <f>"0329A591"</f>
        <v>0329A591</v>
      </c>
      <c r="H6841" s="1" t="str">
        <f>"월계 31"</f>
        <v>월계 31</v>
      </c>
      <c r="I6841" s="1" t="s">
        <v>17</v>
      </c>
      <c r="J6841" s="1" t="str">
        <f>"23/23"</f>
        <v>23/23</v>
      </c>
      <c r="K6841" s="1" t="str">
        <f>"2026-07-29 13:18:04"</f>
        <v>2026-07-29 13:18:04</v>
      </c>
      <c r="L6841" s="1" t="str">
        <f>"2021-06-22 08:52:56"</f>
        <v>2021-06-22 08:52:56</v>
      </c>
      <c r="M6841" s="1" t="s">
        <v>3</v>
      </c>
      <c r="N6841" s="1" t="s">
        <v>38</v>
      </c>
      <c r="O6841" s="1" t="s">
        <v>46</v>
      </c>
    </row>
    <row r="6842" spans="2:15" x14ac:dyDescent="0.3">
      <c r="B6842" s="1" t="s">
        <v>22</v>
      </c>
      <c r="C6842" s="1" t="str">
        <f t="shared" si="333"/>
        <v>4차</v>
      </c>
      <c r="D6842" s="1" t="str">
        <f>"0329A63145"</f>
        <v>0329A63145</v>
      </c>
      <c r="E6842" s="1" t="s">
        <v>10</v>
      </c>
      <c r="F6842" s="1" t="str">
        <f>"10.14.4.16"</f>
        <v>10.14.4.16</v>
      </c>
      <c r="G6842" s="1" t="str">
        <f>"0329A631"</f>
        <v>0329A631</v>
      </c>
      <c r="H6842" s="1" t="str">
        <f>"월계 11"</f>
        <v>월계 11</v>
      </c>
      <c r="I6842" s="1" t="s">
        <v>17</v>
      </c>
      <c r="J6842" s="1" t="str">
        <f>"64/74"</f>
        <v>64/74</v>
      </c>
      <c r="K6842" s="1" t="str">
        <f>"2026-07-29 13:18:03"</f>
        <v>2026-07-29 13:18:03</v>
      </c>
      <c r="L6842" s="1" t="str">
        <f>"2021-06-17 08:04:03"</f>
        <v>2021-06-17 08:04:03</v>
      </c>
      <c r="M6842" s="1" t="s">
        <v>3</v>
      </c>
      <c r="N6842" s="1" t="s">
        <v>38</v>
      </c>
      <c r="O6842" s="1" t="s">
        <v>46</v>
      </c>
    </row>
    <row r="6843" spans="2:15" x14ac:dyDescent="0.3">
      <c r="B6843" s="1" t="s">
        <v>22</v>
      </c>
      <c r="C6843" s="1" t="str">
        <f t="shared" si="333"/>
        <v>4차</v>
      </c>
      <c r="D6843" s="1" t="str">
        <f>"0329A66145"</f>
        <v>0329A66145</v>
      </c>
      <c r="E6843" s="1" t="s">
        <v>10</v>
      </c>
      <c r="F6843" s="1" t="str">
        <f>"10.14.3.59"</f>
        <v>10.14.3.59</v>
      </c>
      <c r="G6843" s="1" t="str">
        <f>"0329A661"</f>
        <v>0329A661</v>
      </c>
      <c r="H6843" s="1" t="str">
        <f>"월계 24"</f>
        <v>월계 24</v>
      </c>
      <c r="I6843" s="1" t="s">
        <v>17</v>
      </c>
      <c r="J6843" s="1" t="str">
        <f>"7/7"</f>
        <v>7/7</v>
      </c>
      <c r="K6843" s="1" t="str">
        <f>"2026-07-29 13:18:03"</f>
        <v>2026-07-29 13:18:03</v>
      </c>
      <c r="L6843" s="1" t="str">
        <f>"2021-06-16 14:50:29"</f>
        <v>2021-06-16 14:50:29</v>
      </c>
      <c r="M6843" s="1" t="s">
        <v>3</v>
      </c>
      <c r="N6843" s="1" t="s">
        <v>38</v>
      </c>
      <c r="O6843" s="1" t="s">
        <v>46</v>
      </c>
    </row>
    <row r="6844" spans="2:15" x14ac:dyDescent="0.3">
      <c r="B6844" s="1" t="s">
        <v>22</v>
      </c>
      <c r="C6844" s="1" t="str">
        <f t="shared" si="333"/>
        <v>4차</v>
      </c>
      <c r="D6844" s="1" t="str">
        <f>"0329A66245"</f>
        <v>0329A66245</v>
      </c>
      <c r="E6844" s="1" t="s">
        <v>12</v>
      </c>
      <c r="F6844" s="1" t="str">
        <f>"10.12.128.159"</f>
        <v>10.12.128.159</v>
      </c>
      <c r="G6844" s="1" t="str">
        <f>"0329A662"</f>
        <v>0329A662</v>
      </c>
      <c r="H6844" s="1" t="str">
        <f>"월계 23"</f>
        <v>월계 23</v>
      </c>
      <c r="I6844" s="1" t="s">
        <v>17</v>
      </c>
      <c r="J6844" s="1" t="str">
        <f>"0/17"</f>
        <v>0/17</v>
      </c>
      <c r="K6844" s="1" t="str">
        <f>"2026-07-10 13:18:03"</f>
        <v>2026-07-10 13:18:03</v>
      </c>
      <c r="L6844" s="1" t="str">
        <f>"2021-06-16 15:14:27"</f>
        <v>2021-06-16 15:14:27</v>
      </c>
      <c r="M6844" s="1" t="s">
        <v>0</v>
      </c>
      <c r="N6844" s="1" t="s">
        <v>38</v>
      </c>
      <c r="O6844" s="1" t="s">
        <v>46</v>
      </c>
    </row>
    <row r="6845" spans="2:15" x14ac:dyDescent="0.3">
      <c r="B6845" s="1" t="s">
        <v>22</v>
      </c>
      <c r="C6845" s="1" t="str">
        <f t="shared" si="333"/>
        <v>4차</v>
      </c>
      <c r="D6845" s="1" t="str">
        <f>"0329A67145"</f>
        <v>0329A67145</v>
      </c>
      <c r="E6845" s="1" t="s">
        <v>10</v>
      </c>
      <c r="F6845" s="1" t="str">
        <f>"10.14.2.59"</f>
        <v>10.14.2.59</v>
      </c>
      <c r="G6845" s="1" t="str">
        <f>"0329A671"</f>
        <v>0329A671</v>
      </c>
      <c r="H6845" s="1" t="str">
        <f>"월계 27"</f>
        <v>월계 27</v>
      </c>
      <c r="I6845" s="1" t="s">
        <v>17</v>
      </c>
      <c r="J6845" s="1" t="str">
        <f>"9/9"</f>
        <v>9/9</v>
      </c>
      <c r="K6845" s="1" t="str">
        <f>"2026-07-29 13:18:04"</f>
        <v>2026-07-29 13:18:04</v>
      </c>
      <c r="L6845" s="1" t="str">
        <f>"2021-06-16 13:52:40"</f>
        <v>2021-06-16 13:52:40</v>
      </c>
      <c r="M6845" s="1" t="s">
        <v>3</v>
      </c>
      <c r="N6845" s="1" t="s">
        <v>38</v>
      </c>
      <c r="O6845" s="1" t="s">
        <v>46</v>
      </c>
    </row>
    <row r="6846" spans="2:15" x14ac:dyDescent="0.3">
      <c r="B6846" s="1" t="s">
        <v>22</v>
      </c>
      <c r="C6846" s="1" t="str">
        <f t="shared" si="333"/>
        <v>4차</v>
      </c>
      <c r="D6846" s="1" t="str">
        <f>"0329A68145"</f>
        <v>0329A68145</v>
      </c>
      <c r="E6846" s="1" t="s">
        <v>10</v>
      </c>
      <c r="F6846" s="1" t="str">
        <f>"10.14.7.12"</f>
        <v>10.14.7.12</v>
      </c>
      <c r="G6846" s="1" t="str">
        <f>"0329A681"</f>
        <v>0329A681</v>
      </c>
      <c r="H6846" s="1" t="str">
        <f>"월계 29"</f>
        <v>월계 29</v>
      </c>
      <c r="I6846" s="1" t="s">
        <v>17</v>
      </c>
      <c r="J6846" s="1" t="str">
        <f>"9/9"</f>
        <v>9/9</v>
      </c>
      <c r="K6846" s="1" t="str">
        <f>"2026-07-29 13:18:04"</f>
        <v>2026-07-29 13:18:04</v>
      </c>
      <c r="L6846" s="1" t="str">
        <f>"2021-06-16 14:17:29"</f>
        <v>2021-06-16 14:17:29</v>
      </c>
      <c r="M6846" s="1" t="s">
        <v>3</v>
      </c>
      <c r="N6846" s="1" t="s">
        <v>38</v>
      </c>
      <c r="O6846" s="1" t="s">
        <v>46</v>
      </c>
    </row>
    <row r="6847" spans="2:15" x14ac:dyDescent="0.3">
      <c r="B6847" s="1" t="s">
        <v>22</v>
      </c>
      <c r="C6847" s="1" t="str">
        <f t="shared" si="333"/>
        <v>4차</v>
      </c>
      <c r="D6847" s="1" t="str">
        <f>"0329A68245"</f>
        <v>0329A68245</v>
      </c>
      <c r="E6847" s="1" t="s">
        <v>10</v>
      </c>
      <c r="F6847" s="1" t="str">
        <f>"10.14.11.58"</f>
        <v>10.14.11.58</v>
      </c>
      <c r="G6847" s="1" t="str">
        <f>"0329A682"</f>
        <v>0329A682</v>
      </c>
      <c r="H6847" s="1" t="str">
        <f>"월계 28"</f>
        <v>월계 28</v>
      </c>
      <c r="I6847" s="1" t="s">
        <v>17</v>
      </c>
      <c r="J6847" s="1" t="str">
        <f>"1/1"</f>
        <v>1/1</v>
      </c>
      <c r="K6847" s="1" t="str">
        <f>"2026-07-29 13:18:04"</f>
        <v>2026-07-29 13:18:04</v>
      </c>
      <c r="L6847" s="1" t="str">
        <f>"2021-06-22 09:13:19"</f>
        <v>2021-06-22 09:13:19</v>
      </c>
      <c r="M6847" s="1" t="s">
        <v>3</v>
      </c>
      <c r="N6847" s="1" t="s">
        <v>38</v>
      </c>
      <c r="O6847" s="1" t="s">
        <v>46</v>
      </c>
    </row>
    <row r="6848" spans="2:15" x14ac:dyDescent="0.3">
      <c r="B6848" s="1" t="s">
        <v>22</v>
      </c>
      <c r="C6848" s="1" t="str">
        <f>"3차"</f>
        <v>3차</v>
      </c>
      <c r="D6848" s="1" t="str">
        <f>"0329A74139"</f>
        <v>0329A74139</v>
      </c>
      <c r="E6848" s="1" t="s">
        <v>10</v>
      </c>
      <c r="F6848" s="1" t="str">
        <f>"10.12.137.23"</f>
        <v>10.12.137.23</v>
      </c>
      <c r="G6848" s="1" t="str">
        <f>"0329A741"</f>
        <v>0329A741</v>
      </c>
      <c r="H6848" s="1" t="str">
        <f>"월계 10"</f>
        <v>월계 10</v>
      </c>
      <c r="I6848" s="1" t="s">
        <v>17</v>
      </c>
      <c r="J6848" s="1" t="str">
        <f>"178/178"</f>
        <v>178/178</v>
      </c>
      <c r="K6848" s="1" t="str">
        <f>"2026-07-29 13:18:04"</f>
        <v>2026-07-29 13:18:04</v>
      </c>
      <c r="L6848" s="1" t="str">
        <f>"2018-12-18 11:11:41"</f>
        <v>2018-12-18 11:11:41</v>
      </c>
      <c r="M6848" s="1" t="s">
        <v>0</v>
      </c>
      <c r="N6848" s="1" t="s">
        <v>38</v>
      </c>
      <c r="O6848" s="1" t="s">
        <v>46</v>
      </c>
    </row>
    <row r="6849" spans="2:15" x14ac:dyDescent="0.3">
      <c r="B6849" s="1" t="s">
        <v>22</v>
      </c>
      <c r="C6849" s="1" t="str">
        <f>"4차"</f>
        <v>4차</v>
      </c>
      <c r="D6849" s="1" t="str">
        <f>"0329A82145"</f>
        <v>0329A82145</v>
      </c>
      <c r="E6849" s="1" t="s">
        <v>10</v>
      </c>
      <c r="F6849" s="1" t="str">
        <f>"10.14.5.62"</f>
        <v>10.14.5.62</v>
      </c>
      <c r="G6849" s="1" t="str">
        <f>"0329A821"</f>
        <v>0329A821</v>
      </c>
      <c r="H6849" s="1" t="str">
        <f>"월계 8"</f>
        <v>월계 8</v>
      </c>
      <c r="I6849" s="1" t="s">
        <v>17</v>
      </c>
      <c r="J6849" s="1" t="str">
        <f>"126/142"</f>
        <v>126/142</v>
      </c>
      <c r="K6849" s="1" t="str">
        <f>"2026-07-29 13:18:02"</f>
        <v>2026-07-29 13:18:02</v>
      </c>
      <c r="L6849" s="1" t="str">
        <f>"2021-06-17 11:01:55"</f>
        <v>2021-06-17 11:01:55</v>
      </c>
      <c r="M6849" s="1" t="s">
        <v>3</v>
      </c>
      <c r="N6849" s="1" t="s">
        <v>38</v>
      </c>
      <c r="O6849" s="1" t="s">
        <v>46</v>
      </c>
    </row>
    <row r="6850" spans="2:15" x14ac:dyDescent="0.3">
      <c r="B6850" s="1" t="s">
        <v>22</v>
      </c>
      <c r="C6850" s="1" t="str">
        <f>"4차"</f>
        <v>4차</v>
      </c>
      <c r="D6850" s="1" t="str">
        <f>"0329A82245"</f>
        <v>0329A82245</v>
      </c>
      <c r="E6850" s="1" t="s">
        <v>10</v>
      </c>
      <c r="F6850" s="1" t="str">
        <f>"10.14.8.5"</f>
        <v>10.14.8.5</v>
      </c>
      <c r="G6850" s="1" t="str">
        <f>"0329A822"</f>
        <v>0329A822</v>
      </c>
      <c r="H6850" s="1" t="str">
        <f>"월계 7"</f>
        <v>월계 7</v>
      </c>
      <c r="I6850" s="1" t="s">
        <v>17</v>
      </c>
      <c r="J6850" s="1" t="str">
        <f>"57/58"</f>
        <v>57/58</v>
      </c>
      <c r="K6850" s="1" t="str">
        <f>"2026-07-29 13:18:04"</f>
        <v>2026-07-29 13:18:04</v>
      </c>
      <c r="L6850" s="1" t="str">
        <f>"2021-06-17 10:44:35"</f>
        <v>2021-06-17 10:44:35</v>
      </c>
      <c r="M6850" s="1" t="s">
        <v>3</v>
      </c>
      <c r="N6850" s="1" t="s">
        <v>38</v>
      </c>
      <c r="O6850" s="1" t="s">
        <v>46</v>
      </c>
    </row>
    <row r="6851" spans="2:15" x14ac:dyDescent="0.3">
      <c r="B6851" s="1" t="s">
        <v>22</v>
      </c>
      <c r="C6851" s="1" t="str">
        <f>"3차"</f>
        <v>3차</v>
      </c>
      <c r="D6851" s="1" t="str">
        <f>"0329B01139"</f>
        <v>0329B01139</v>
      </c>
      <c r="E6851" s="1" t="s">
        <v>10</v>
      </c>
      <c r="F6851" s="1" t="str">
        <f>"10.12.137.14"</f>
        <v>10.12.137.14</v>
      </c>
      <c r="G6851" s="1" t="str">
        <f>"0329B011"</f>
        <v>0329B011</v>
      </c>
      <c r="H6851" s="1" t="str">
        <f>"월계 5"</f>
        <v>월계 5</v>
      </c>
      <c r="I6851" s="1" t="s">
        <v>17</v>
      </c>
      <c r="J6851" s="1" t="str">
        <f>"83/83"</f>
        <v>83/83</v>
      </c>
      <c r="K6851" s="1" t="str">
        <f>"2026-07-27 20:03:25"</f>
        <v>2026-07-27 20:03:25</v>
      </c>
      <c r="L6851" s="1" t="str">
        <f>"2018-10-08 15:29:11"</f>
        <v>2018-10-08 15:29:11</v>
      </c>
      <c r="M6851" s="1" t="s">
        <v>0</v>
      </c>
      <c r="N6851" s="1" t="s">
        <v>38</v>
      </c>
      <c r="O6851" s="1" t="s">
        <v>46</v>
      </c>
    </row>
    <row r="6852" spans="2:15" x14ac:dyDescent="0.3">
      <c r="B6852" s="1" t="s">
        <v>22</v>
      </c>
      <c r="C6852" s="1" t="str">
        <f t="shared" ref="C6852:C6857" si="334">"4차"</f>
        <v>4차</v>
      </c>
      <c r="D6852" s="1" t="str">
        <f>"0329B01245"</f>
        <v>0329B01245</v>
      </c>
      <c r="E6852" s="1" t="s">
        <v>10</v>
      </c>
      <c r="F6852" s="1" t="str">
        <f>"10.12.137.9"</f>
        <v>10.12.137.9</v>
      </c>
      <c r="G6852" s="1" t="str">
        <f>"0329B012"</f>
        <v>0329B012</v>
      </c>
      <c r="H6852" s="1" t="str">
        <f>"월계 6"</f>
        <v>월계 6</v>
      </c>
      <c r="I6852" s="1" t="s">
        <v>17</v>
      </c>
      <c r="J6852" s="1" t="str">
        <f>"42/42"</f>
        <v>42/42</v>
      </c>
      <c r="K6852" s="1" t="str">
        <f t="shared" ref="K6852:K6862" si="335">"2026-07-29 13:18:03"</f>
        <v>2026-07-29 13:18:03</v>
      </c>
      <c r="L6852" s="1" t="str">
        <f>"2024-09-27 07:41:57"</f>
        <v>2024-09-27 07:41:57</v>
      </c>
      <c r="M6852" s="1" t="s">
        <v>0</v>
      </c>
      <c r="N6852" s="1" t="s">
        <v>38</v>
      </c>
      <c r="O6852" s="1" t="s">
        <v>46</v>
      </c>
    </row>
    <row r="6853" spans="2:15" x14ac:dyDescent="0.3">
      <c r="B6853" s="1" t="s">
        <v>22</v>
      </c>
      <c r="C6853" s="1" t="str">
        <f t="shared" si="334"/>
        <v>4차</v>
      </c>
      <c r="D6853" s="1" t="str">
        <f>"0329B64145"</f>
        <v>0329B64145</v>
      </c>
      <c r="E6853" s="1" t="s">
        <v>10</v>
      </c>
      <c r="F6853" s="1" t="str">
        <f>"10.14.7.11"</f>
        <v>10.14.7.11</v>
      </c>
      <c r="G6853" s="1" t="str">
        <f>"0329B641"</f>
        <v>0329B641</v>
      </c>
      <c r="H6853" s="1" t="str">
        <f>"하계 50"</f>
        <v>하계 50</v>
      </c>
      <c r="I6853" s="1" t="s">
        <v>17</v>
      </c>
      <c r="J6853" s="1" t="str">
        <f>"150/150"</f>
        <v>150/150</v>
      </c>
      <c r="K6853" s="1" t="str">
        <f t="shared" si="335"/>
        <v>2026-07-29 13:18:03</v>
      </c>
      <c r="L6853" s="1" t="str">
        <f>"2021-06-16 10:12:14"</f>
        <v>2021-06-16 10:12:14</v>
      </c>
      <c r="M6853" s="1" t="s">
        <v>3</v>
      </c>
      <c r="N6853" s="1" t="s">
        <v>38</v>
      </c>
      <c r="O6853" s="1" t="s">
        <v>46</v>
      </c>
    </row>
    <row r="6854" spans="2:15" x14ac:dyDescent="0.3">
      <c r="B6854" s="1" t="s">
        <v>22</v>
      </c>
      <c r="C6854" s="1" t="str">
        <f t="shared" si="334"/>
        <v>4차</v>
      </c>
      <c r="D6854" s="1" t="str">
        <f>"0329B74145"</f>
        <v>0329B74145</v>
      </c>
      <c r="E6854" s="1" t="s">
        <v>10</v>
      </c>
      <c r="F6854" s="1" t="str">
        <f>"10.14.14.13"</f>
        <v>10.14.14.13</v>
      </c>
      <c r="G6854" s="1" t="str">
        <f>"0329B741"</f>
        <v>0329B741</v>
      </c>
      <c r="H6854" s="1" t="str">
        <f>"하계 49"</f>
        <v>하계 49</v>
      </c>
      <c r="I6854" s="1" t="s">
        <v>17</v>
      </c>
      <c r="J6854" s="1" t="str">
        <f>"139/140"</f>
        <v>139/140</v>
      </c>
      <c r="K6854" s="1" t="str">
        <f t="shared" si="335"/>
        <v>2026-07-29 13:18:03</v>
      </c>
      <c r="L6854" s="1" t="str">
        <f>"2021-06-16 09:32:19"</f>
        <v>2021-06-16 09:32:19</v>
      </c>
      <c r="M6854" s="1" t="s">
        <v>3</v>
      </c>
      <c r="N6854" s="1" t="s">
        <v>38</v>
      </c>
      <c r="O6854" s="1" t="s">
        <v>46</v>
      </c>
    </row>
    <row r="6855" spans="2:15" x14ac:dyDescent="0.3">
      <c r="B6855" s="1" t="s">
        <v>22</v>
      </c>
      <c r="C6855" s="1" t="str">
        <f t="shared" si="334"/>
        <v>4차</v>
      </c>
      <c r="D6855" s="1" t="str">
        <f>"0329B76245"</f>
        <v>0329B76245</v>
      </c>
      <c r="E6855" s="1" t="s">
        <v>14</v>
      </c>
      <c r="F6855" s="1" t="str">
        <f>"10.14.4.20"</f>
        <v>10.14.4.20</v>
      </c>
      <c r="G6855" s="1" t="str">
        <f>"0329B762"</f>
        <v>0329B762</v>
      </c>
      <c r="H6855" s="1" t="str">
        <f>"하계 10"</f>
        <v>하계 10</v>
      </c>
      <c r="I6855" s="1" t="s">
        <v>17</v>
      </c>
      <c r="J6855" s="1" t="str">
        <f>"0/0"</f>
        <v>0/0</v>
      </c>
      <c r="K6855" s="1" t="str">
        <f t="shared" si="335"/>
        <v>2026-07-29 13:18:03</v>
      </c>
      <c r="L6855" s="1" t="str">
        <f>"2021-06-16 12:33:33"</f>
        <v>2021-06-16 12:33:33</v>
      </c>
      <c r="M6855" s="1" t="s">
        <v>3</v>
      </c>
      <c r="N6855" s="1" t="s">
        <v>38</v>
      </c>
      <c r="O6855" s="1" t="s">
        <v>44</v>
      </c>
    </row>
    <row r="6856" spans="2:15" x14ac:dyDescent="0.3">
      <c r="B6856" s="1" t="s">
        <v>22</v>
      </c>
      <c r="C6856" s="1" t="str">
        <f t="shared" si="334"/>
        <v>4차</v>
      </c>
      <c r="D6856" s="1" t="str">
        <f>"0329B82145"</f>
        <v>0329B82145</v>
      </c>
      <c r="E6856" s="1" t="s">
        <v>10</v>
      </c>
      <c r="F6856" s="1" t="str">
        <f>"10.14.13.64"</f>
        <v>10.14.13.64</v>
      </c>
      <c r="G6856" s="1" t="str">
        <f>"0329B821"</f>
        <v>0329B821</v>
      </c>
      <c r="H6856" s="1" t="str">
        <f>"하계 48"</f>
        <v>하계 48</v>
      </c>
      <c r="I6856" s="1" t="s">
        <v>17</v>
      </c>
      <c r="J6856" s="1" t="str">
        <f>"23/23"</f>
        <v>23/23</v>
      </c>
      <c r="K6856" s="1" t="str">
        <f t="shared" si="335"/>
        <v>2026-07-29 13:18:03</v>
      </c>
      <c r="L6856" s="1" t="str">
        <f>"2021-06-16 11:17:53"</f>
        <v>2021-06-16 11:17:53</v>
      </c>
      <c r="M6856" s="1" t="s">
        <v>3</v>
      </c>
      <c r="N6856" s="1" t="s">
        <v>38</v>
      </c>
      <c r="O6856" s="1" t="s">
        <v>46</v>
      </c>
    </row>
    <row r="6857" spans="2:15" x14ac:dyDescent="0.3">
      <c r="B6857" s="1" t="s">
        <v>22</v>
      </c>
      <c r="C6857" s="1" t="str">
        <f t="shared" si="334"/>
        <v>4차</v>
      </c>
      <c r="D6857" s="1" t="str">
        <f>"0329B94139"</f>
        <v>0329B94139</v>
      </c>
      <c r="E6857" s="1" t="s">
        <v>10</v>
      </c>
      <c r="F6857" s="1" t="str">
        <f>"10.12.137.26"</f>
        <v>10.12.137.26</v>
      </c>
      <c r="G6857" s="1" t="str">
        <f>"0329B941"</f>
        <v>0329B941</v>
      </c>
      <c r="H6857" s="1" t="str">
        <f>"하계 47"</f>
        <v>하계 47</v>
      </c>
      <c r="I6857" s="1" t="s">
        <v>17</v>
      </c>
      <c r="J6857" s="1" t="str">
        <f>"176/183"</f>
        <v>176/183</v>
      </c>
      <c r="K6857" s="1" t="str">
        <f t="shared" si="335"/>
        <v>2026-07-29 13:18:03</v>
      </c>
      <c r="L6857" s="1" t="str">
        <f>"2018-10-11 12:28:56"</f>
        <v>2018-10-11 12:28:56</v>
      </c>
      <c r="M6857" s="1" t="s">
        <v>0</v>
      </c>
      <c r="N6857" s="1" t="s">
        <v>38</v>
      </c>
      <c r="O6857" s="1" t="s">
        <v>46</v>
      </c>
    </row>
    <row r="6858" spans="2:15" x14ac:dyDescent="0.3">
      <c r="B6858" s="1" t="s">
        <v>22</v>
      </c>
      <c r="C6858" s="1" t="str">
        <f>"2차"</f>
        <v>2차</v>
      </c>
      <c r="D6858" s="1" t="str">
        <f>"0329C09421"</f>
        <v>0329C09421</v>
      </c>
      <c r="E6858" s="1" t="s">
        <v>10</v>
      </c>
      <c r="F6858" s="1" t="str">
        <f>"10.10.5.35"</f>
        <v>10.10.5.35</v>
      </c>
      <c r="G6858" s="1" t="str">
        <f>"0329C094"</f>
        <v>0329C094</v>
      </c>
      <c r="H6858" s="1" t="str">
        <f>"월석간 1L1L2"</f>
        <v>월석간 1L1L2</v>
      </c>
      <c r="I6858" s="1" t="s">
        <v>8</v>
      </c>
      <c r="J6858" s="1" t="str">
        <f>"2/2"</f>
        <v>2/2</v>
      </c>
      <c r="K6858" s="1" t="str">
        <f t="shared" si="335"/>
        <v>2026-07-29 13:18:03</v>
      </c>
      <c r="L6858" s="1" t="str">
        <f>"2017-06-29 16:00:25"</f>
        <v>2017-06-29 16:00:25</v>
      </c>
      <c r="M6858" s="1" t="s">
        <v>1</v>
      </c>
      <c r="N6858" s="1" t="s">
        <v>38</v>
      </c>
      <c r="O6858" s="1" t="s">
        <v>46</v>
      </c>
    </row>
    <row r="6859" spans="2:15" x14ac:dyDescent="0.3">
      <c r="B6859" s="1" t="s">
        <v>22</v>
      </c>
      <c r="C6859" s="1" t="str">
        <f>"4차"</f>
        <v>4차</v>
      </c>
      <c r="D6859" s="1" t="str">
        <f>"0329C22144"</f>
        <v>0329C22144</v>
      </c>
      <c r="E6859" s="1" t="s">
        <v>10</v>
      </c>
      <c r="F6859" s="1" t="str">
        <f>"10.107.120.10"</f>
        <v>10.107.120.10</v>
      </c>
      <c r="G6859" s="1" t="str">
        <f>"0329C221"</f>
        <v>0329C221</v>
      </c>
      <c r="H6859" s="1" t="str">
        <f>"월석간 14R2R6"</f>
        <v>월석간 14R2R6</v>
      </c>
      <c r="I6859" s="1" t="s">
        <v>8</v>
      </c>
      <c r="J6859" s="1" t="str">
        <f>"14/14"</f>
        <v>14/14</v>
      </c>
      <c r="K6859" s="1" t="str">
        <f t="shared" si="335"/>
        <v>2026-07-29 13:18:03</v>
      </c>
      <c r="L6859" s="1" t="str">
        <f>"2020-01-10 11:47:02"</f>
        <v>2020-01-10 11:47:02</v>
      </c>
      <c r="M6859" s="1" t="s">
        <v>45</v>
      </c>
      <c r="N6859" s="1" t="s">
        <v>38</v>
      </c>
      <c r="O6859" s="1" t="s">
        <v>46</v>
      </c>
    </row>
    <row r="6860" spans="2:15" x14ac:dyDescent="0.3">
      <c r="B6860" s="1" t="s">
        <v>22</v>
      </c>
      <c r="C6860" s="1" t="str">
        <f>"2차"</f>
        <v>2차</v>
      </c>
      <c r="D6860" s="1" t="str">
        <f>"0329C29220"</f>
        <v>0329C29220</v>
      </c>
      <c r="E6860" s="1" t="s">
        <v>10</v>
      </c>
      <c r="F6860" s="1" t="str">
        <f>"10.10.5.34"</f>
        <v>10.10.5.34</v>
      </c>
      <c r="G6860" s="1" t="str">
        <f>"0329C292"</f>
        <v>0329C292</v>
      </c>
      <c r="H6860" s="1" t="str">
        <f>"월석간 1L1"</f>
        <v>월석간 1L1</v>
      </c>
      <c r="I6860" s="1" t="s">
        <v>8</v>
      </c>
      <c r="J6860" s="1" t="str">
        <f>"4/4"</f>
        <v>4/4</v>
      </c>
      <c r="K6860" s="1" t="str">
        <f t="shared" si="335"/>
        <v>2026-07-29 13:18:03</v>
      </c>
      <c r="L6860" s="1" t="str">
        <f>"2017-06-29 15:52:55"</f>
        <v>2017-06-29 15:52:55</v>
      </c>
      <c r="M6860" s="1" t="s">
        <v>1</v>
      </c>
      <c r="N6860" s="1" t="s">
        <v>38</v>
      </c>
      <c r="O6860" s="1" t="s">
        <v>46</v>
      </c>
    </row>
    <row r="6861" spans="2:15" x14ac:dyDescent="0.3">
      <c r="B6861" s="1" t="s">
        <v>22</v>
      </c>
      <c r="C6861" s="1" t="str">
        <f>"4차"</f>
        <v>4차</v>
      </c>
      <c r="D6861" s="1" t="str">
        <f>"0329C30244"</f>
        <v>0329C30244</v>
      </c>
      <c r="E6861" s="1" t="s">
        <v>10</v>
      </c>
      <c r="F6861" s="1" t="str">
        <f>"10.107.120.11"</f>
        <v>10.107.120.11</v>
      </c>
      <c r="G6861" s="1" t="str">
        <f>"0329C302"</f>
        <v>0329C302</v>
      </c>
      <c r="H6861" s="1" t="str">
        <f>"월석간 14R2R3"</f>
        <v>월석간 14R2R3</v>
      </c>
      <c r="I6861" s="1" t="s">
        <v>8</v>
      </c>
      <c r="J6861" s="1" t="str">
        <f>"38/41"</f>
        <v>38/41</v>
      </c>
      <c r="K6861" s="1" t="str">
        <f t="shared" si="335"/>
        <v>2026-07-29 13:18:03</v>
      </c>
      <c r="L6861" s="1" t="str">
        <f>"2020-01-10 11:45:23"</f>
        <v>2020-01-10 11:45:23</v>
      </c>
      <c r="M6861" s="1" t="s">
        <v>45</v>
      </c>
      <c r="N6861" s="1" t="s">
        <v>38</v>
      </c>
      <c r="O6861" s="1" t="s">
        <v>46</v>
      </c>
    </row>
    <row r="6862" spans="2:15" x14ac:dyDescent="0.3">
      <c r="B6862" s="1" t="s">
        <v>22</v>
      </c>
      <c r="C6862" s="1" t="str">
        <f>"2차"</f>
        <v>2차</v>
      </c>
      <c r="D6862" s="1" t="str">
        <f>"0329C39329"</f>
        <v>0329C39329</v>
      </c>
      <c r="E6862" s="1" t="s">
        <v>10</v>
      </c>
      <c r="F6862" s="1" t="str">
        <f>"10.10.1.42"</f>
        <v>10.10.1.42</v>
      </c>
      <c r="G6862" s="1" t="str">
        <f>"0329C393"</f>
        <v>0329C393</v>
      </c>
      <c r="H6862" s="1" t="str">
        <f>"월석간 1L3"</f>
        <v>월석간 1L3</v>
      </c>
      <c r="I6862" s="1" t="s">
        <v>8</v>
      </c>
      <c r="J6862" s="1" t="str">
        <f>"8/8"</f>
        <v>8/8</v>
      </c>
      <c r="K6862" s="1" t="str">
        <f t="shared" si="335"/>
        <v>2026-07-29 13:18:03</v>
      </c>
      <c r="L6862" s="1" t="str">
        <f>"2017-08-25 18:11:03"</f>
        <v>2017-08-25 18:11:03</v>
      </c>
      <c r="M6862" s="1" t="s">
        <v>1</v>
      </c>
      <c r="N6862" s="1" t="s">
        <v>38</v>
      </c>
      <c r="O6862" s="1" t="s">
        <v>46</v>
      </c>
    </row>
    <row r="6863" spans="2:15" x14ac:dyDescent="0.3">
      <c r="B6863" s="1" t="s">
        <v>22</v>
      </c>
      <c r="C6863" s="1" t="str">
        <f t="shared" ref="C6863:C6884" si="336">"4차"</f>
        <v>4차</v>
      </c>
      <c r="D6863" s="1" t="str">
        <f>"0329D96145"</f>
        <v>0329D96145</v>
      </c>
      <c r="E6863" s="1" t="s">
        <v>10</v>
      </c>
      <c r="F6863" s="1" t="str">
        <f>"10.14.6.4"</f>
        <v>10.14.6.4</v>
      </c>
      <c r="G6863" s="1" t="str">
        <f>"0329D961"</f>
        <v>0329D961</v>
      </c>
      <c r="H6863" s="1" t="str">
        <f>"하계 52"</f>
        <v>하계 52</v>
      </c>
      <c r="I6863" s="1" t="s">
        <v>17</v>
      </c>
      <c r="J6863" s="1" t="str">
        <f>"156/156"</f>
        <v>156/156</v>
      </c>
      <c r="K6863" s="1" t="str">
        <f>"2026-07-29 13:18:04"</f>
        <v>2026-07-29 13:18:04</v>
      </c>
      <c r="L6863" s="1" t="str">
        <f>"2021-06-23 08:47:44"</f>
        <v>2021-06-23 08:47:44</v>
      </c>
      <c r="M6863" s="1" t="s">
        <v>3</v>
      </c>
      <c r="N6863" s="1" t="s">
        <v>38</v>
      </c>
      <c r="O6863" s="1" t="s">
        <v>46</v>
      </c>
    </row>
    <row r="6864" spans="2:15" x14ac:dyDescent="0.3">
      <c r="B6864" s="1" t="s">
        <v>22</v>
      </c>
      <c r="C6864" s="1" t="str">
        <f t="shared" si="336"/>
        <v>4차</v>
      </c>
      <c r="D6864" s="1" t="str">
        <f>"0329D98145"</f>
        <v>0329D98145</v>
      </c>
      <c r="E6864" s="1" t="s">
        <v>10</v>
      </c>
      <c r="F6864" s="1" t="str">
        <f>"10.14.7.62"</f>
        <v>10.14.7.62</v>
      </c>
      <c r="G6864" s="1" t="str">
        <f>"0329D981"</f>
        <v>0329D981</v>
      </c>
      <c r="H6864" s="1" t="str">
        <f>"하계 53"</f>
        <v>하계 53</v>
      </c>
      <c r="I6864" s="1" t="s">
        <v>17</v>
      </c>
      <c r="J6864" s="1" t="str">
        <f>"171/181"</f>
        <v>171/181</v>
      </c>
      <c r="K6864" s="1" t="str">
        <f>"2026-07-29 13:18:04"</f>
        <v>2026-07-29 13:18:04</v>
      </c>
      <c r="L6864" s="1" t="str">
        <f>"2021-06-23 08:39:16"</f>
        <v>2021-06-23 08:39:16</v>
      </c>
      <c r="M6864" s="1" t="s">
        <v>3</v>
      </c>
      <c r="N6864" s="1" t="s">
        <v>38</v>
      </c>
      <c r="O6864" s="1" t="s">
        <v>46</v>
      </c>
    </row>
    <row r="6865" spans="2:15" x14ac:dyDescent="0.3">
      <c r="B6865" s="1" t="s">
        <v>22</v>
      </c>
      <c r="C6865" s="1" t="str">
        <f t="shared" si="336"/>
        <v>4차</v>
      </c>
      <c r="D6865" s="1" t="str">
        <f>"0329E04145"</f>
        <v>0329E04145</v>
      </c>
      <c r="E6865" s="1" t="str">
        <f>"검침실패(3시간 이상)"</f>
        <v>검침실패(3시간 이상)</v>
      </c>
      <c r="F6865" s="1" t="str">
        <f>"10.14.14.2"</f>
        <v>10.14.14.2</v>
      </c>
      <c r="G6865" s="1" t="str">
        <f>"0329E041"</f>
        <v>0329E041</v>
      </c>
      <c r="H6865" s="1" t="str">
        <f>"하계 46"</f>
        <v>하계 46</v>
      </c>
      <c r="I6865" s="1" t="s">
        <v>17</v>
      </c>
      <c r="J6865" s="1" t="str">
        <f>"0/1"</f>
        <v>0/1</v>
      </c>
      <c r="K6865" s="1" t="str">
        <f>"2026-07-29 13:18:03"</f>
        <v>2026-07-29 13:18:03</v>
      </c>
      <c r="L6865" s="1" t="str">
        <f>"2021-06-16 07:29:10"</f>
        <v>2021-06-16 07:29:10</v>
      </c>
      <c r="M6865" s="1" t="s">
        <v>3</v>
      </c>
      <c r="N6865" s="1" t="s">
        <v>38</v>
      </c>
      <c r="O6865" s="1" t="s">
        <v>46</v>
      </c>
    </row>
    <row r="6866" spans="2:15" x14ac:dyDescent="0.3">
      <c r="B6866" s="1" t="s">
        <v>22</v>
      </c>
      <c r="C6866" s="1" t="str">
        <f t="shared" si="336"/>
        <v>4차</v>
      </c>
      <c r="D6866" s="1" t="str">
        <f>"0329E12139"</f>
        <v>0329E12139</v>
      </c>
      <c r="E6866" s="1" t="s">
        <v>10</v>
      </c>
      <c r="F6866" s="1" t="str">
        <f>"10.12.138.137"</f>
        <v>10.12.138.137</v>
      </c>
      <c r="G6866" s="1" t="str">
        <f>"0329E121"</f>
        <v>0329E121</v>
      </c>
      <c r="H6866" s="1" t="str">
        <f>"하계 39"</f>
        <v>하계 39</v>
      </c>
      <c r="I6866" s="1" t="s">
        <v>17</v>
      </c>
      <c r="J6866" s="1" t="str">
        <f>"149/149"</f>
        <v>149/149</v>
      </c>
      <c r="K6866" s="1" t="str">
        <f>"2026-07-29 13:18:03"</f>
        <v>2026-07-29 13:18:03</v>
      </c>
      <c r="L6866" s="1" t="str">
        <f>"2025-07-21 17:16:41"</f>
        <v>2025-07-21 17:16:41</v>
      </c>
      <c r="M6866" s="1" t="s">
        <v>0</v>
      </c>
      <c r="N6866" s="1" t="s">
        <v>38</v>
      </c>
      <c r="O6866" s="1" t="s">
        <v>46</v>
      </c>
    </row>
    <row r="6867" spans="2:15" x14ac:dyDescent="0.3">
      <c r="B6867" s="1" t="s">
        <v>22</v>
      </c>
      <c r="C6867" s="1" t="str">
        <f t="shared" si="336"/>
        <v>4차</v>
      </c>
      <c r="D6867" s="1" t="str">
        <f>"0329E13145"</f>
        <v>0329E13145</v>
      </c>
      <c r="E6867" s="1" t="s">
        <v>10</v>
      </c>
      <c r="F6867" s="1" t="str">
        <f>"10.14.12.12"</f>
        <v>10.14.12.12</v>
      </c>
      <c r="G6867" s="1" t="str">
        <f>"0329E131"</f>
        <v>0329E131</v>
      </c>
      <c r="H6867" s="1" t="str">
        <f>"하계 43"</f>
        <v>하계 43</v>
      </c>
      <c r="I6867" s="1" t="s">
        <v>17</v>
      </c>
      <c r="J6867" s="1" t="str">
        <f>"70/108"</f>
        <v>70/108</v>
      </c>
      <c r="K6867" s="1" t="str">
        <f>"2026-07-29 13:18:04"</f>
        <v>2026-07-29 13:18:04</v>
      </c>
      <c r="L6867" s="1" t="str">
        <f>"2021-06-23 07:55:59"</f>
        <v>2021-06-23 07:55:59</v>
      </c>
      <c r="M6867" s="1" t="s">
        <v>3</v>
      </c>
      <c r="N6867" s="1" t="s">
        <v>38</v>
      </c>
      <c r="O6867" s="1" t="s">
        <v>46</v>
      </c>
    </row>
    <row r="6868" spans="2:15" x14ac:dyDescent="0.3">
      <c r="B6868" s="1" t="s">
        <v>22</v>
      </c>
      <c r="C6868" s="1" t="str">
        <f t="shared" si="336"/>
        <v>4차</v>
      </c>
      <c r="D6868" s="1" t="str">
        <f>"0329E13245"</f>
        <v>0329E13245</v>
      </c>
      <c r="E6868" s="1" t="s">
        <v>10</v>
      </c>
      <c r="F6868" s="1" t="str">
        <f>"10.14.5.21"</f>
        <v>10.14.5.21</v>
      </c>
      <c r="G6868" s="1" t="str">
        <f>"0329E132"</f>
        <v>0329E132</v>
      </c>
      <c r="H6868" s="1" t="str">
        <f>"하계 38"</f>
        <v>하계 38</v>
      </c>
      <c r="I6868" s="1" t="s">
        <v>17</v>
      </c>
      <c r="J6868" s="1" t="str">
        <f>"44/116"</f>
        <v>44/116</v>
      </c>
      <c r="K6868" s="1" t="str">
        <f>"2026-07-29 13:18:04"</f>
        <v>2026-07-29 13:18:04</v>
      </c>
      <c r="L6868" s="1" t="str">
        <f>"2021-06-23 08:07:59"</f>
        <v>2021-06-23 08:07:59</v>
      </c>
      <c r="M6868" s="1" t="s">
        <v>3</v>
      </c>
      <c r="N6868" s="1" t="s">
        <v>38</v>
      </c>
      <c r="O6868" s="1" t="s">
        <v>46</v>
      </c>
    </row>
    <row r="6869" spans="2:15" x14ac:dyDescent="0.3">
      <c r="B6869" s="1" t="s">
        <v>22</v>
      </c>
      <c r="C6869" s="1" t="str">
        <f t="shared" si="336"/>
        <v>4차</v>
      </c>
      <c r="D6869" s="1" t="str">
        <f>"0329E14145"</f>
        <v>0329E14145</v>
      </c>
      <c r="E6869" s="1" t="s">
        <v>10</v>
      </c>
      <c r="F6869" s="1" t="str">
        <f>"10.14.11.3"</f>
        <v>10.14.11.3</v>
      </c>
      <c r="G6869" s="1" t="str">
        <f>"0329E141"</f>
        <v>0329E141</v>
      </c>
      <c r="H6869" s="1" t="str">
        <f>"하계 44"</f>
        <v>하계 44</v>
      </c>
      <c r="I6869" s="1" t="s">
        <v>17</v>
      </c>
      <c r="J6869" s="1" t="str">
        <f>"73/75"</f>
        <v>73/75</v>
      </c>
      <c r="K6869" s="1" t="str">
        <f>"2026-07-29 13:18:04"</f>
        <v>2026-07-29 13:18:04</v>
      </c>
      <c r="L6869" s="1" t="str">
        <f>"2021-06-23 07:44:53"</f>
        <v>2021-06-23 07:44:53</v>
      </c>
      <c r="M6869" s="1" t="s">
        <v>3</v>
      </c>
      <c r="N6869" s="1" t="s">
        <v>38</v>
      </c>
      <c r="O6869" s="1" t="s">
        <v>46</v>
      </c>
    </row>
    <row r="6870" spans="2:15" x14ac:dyDescent="0.3">
      <c r="B6870" s="1" t="s">
        <v>22</v>
      </c>
      <c r="C6870" s="1" t="str">
        <f t="shared" si="336"/>
        <v>4차</v>
      </c>
      <c r="D6870" s="1" t="str">
        <f>"0329E19139"</f>
        <v>0329E19139</v>
      </c>
      <c r="E6870" s="1" t="s">
        <v>14</v>
      </c>
      <c r="F6870" s="1" t="str">
        <f>"10.12.136.81"</f>
        <v>10.12.136.81</v>
      </c>
      <c r="G6870" s="1" t="str">
        <f>"0329E191"</f>
        <v>0329E191</v>
      </c>
      <c r="H6870" s="1" t="str">
        <f>"하계 10A"</f>
        <v>하계 10A</v>
      </c>
      <c r="I6870" s="1" t="s">
        <v>17</v>
      </c>
      <c r="J6870" s="1" t="str">
        <f>"0/0"</f>
        <v>0/0</v>
      </c>
      <c r="K6870" s="1" t="str">
        <f>"2024-05-09 20:04:12"</f>
        <v>2024-05-09 20:04:12</v>
      </c>
      <c r="L6870" s="1" t="str">
        <f>"2018-05-25 15:17:28"</f>
        <v>2018-05-25 15:17:28</v>
      </c>
      <c r="M6870" s="1" t="s">
        <v>0</v>
      </c>
      <c r="N6870" s="1" t="s">
        <v>39</v>
      </c>
      <c r="O6870" s="1" t="s">
        <v>46</v>
      </c>
    </row>
    <row r="6871" spans="2:15" x14ac:dyDescent="0.3">
      <c r="B6871" s="1" t="s">
        <v>22</v>
      </c>
      <c r="C6871" s="1" t="str">
        <f t="shared" si="336"/>
        <v>4차</v>
      </c>
      <c r="D6871" s="1" t="str">
        <f>"0329E21145"</f>
        <v>0329E21145</v>
      </c>
      <c r="E6871" s="1" t="s">
        <v>10</v>
      </c>
      <c r="F6871" s="1" t="str">
        <f>"10.14.8.20"</f>
        <v>10.14.8.20</v>
      </c>
      <c r="G6871" s="1" t="str">
        <f>"0329E211"</f>
        <v>0329E211</v>
      </c>
      <c r="H6871" s="1" t="str">
        <f>"하계 42"</f>
        <v>하계 42</v>
      </c>
      <c r="I6871" s="1" t="s">
        <v>17</v>
      </c>
      <c r="J6871" s="1" t="str">
        <f>"155/178"</f>
        <v>155/178</v>
      </c>
      <c r="K6871" s="1" t="str">
        <f>"2026-07-29 13:18:04"</f>
        <v>2026-07-29 13:18:04</v>
      </c>
      <c r="L6871" s="1" t="str">
        <f>"2021-06-23 08:19:13"</f>
        <v>2021-06-23 08:19:13</v>
      </c>
      <c r="M6871" s="1" t="s">
        <v>3</v>
      </c>
      <c r="N6871" s="1" t="s">
        <v>38</v>
      </c>
      <c r="O6871" s="1" t="s">
        <v>46</v>
      </c>
    </row>
    <row r="6872" spans="2:15" x14ac:dyDescent="0.3">
      <c r="B6872" s="1" t="s">
        <v>22</v>
      </c>
      <c r="C6872" s="1" t="str">
        <f t="shared" si="336"/>
        <v>4차</v>
      </c>
      <c r="D6872" s="1" t="str">
        <f>"0329E22145"</f>
        <v>0329E22145</v>
      </c>
      <c r="E6872" s="1" t="s">
        <v>10</v>
      </c>
      <c r="F6872" s="1" t="str">
        <f>"10.14.14.57"</f>
        <v>10.14.14.57</v>
      </c>
      <c r="G6872" s="1" t="str">
        <f>"0329E221"</f>
        <v>0329E221</v>
      </c>
      <c r="H6872" s="1" t="str">
        <f>"하계 40"</f>
        <v>하계 40</v>
      </c>
      <c r="I6872" s="1" t="s">
        <v>17</v>
      </c>
      <c r="J6872" s="1" t="str">
        <f>"123/165"</f>
        <v>123/165</v>
      </c>
      <c r="K6872" s="1" t="str">
        <f>"2026-07-29 13:18:04"</f>
        <v>2026-07-29 13:18:04</v>
      </c>
      <c r="L6872" s="1" t="str">
        <f>"2021-06-16 08:15:47"</f>
        <v>2021-06-16 08:15:47</v>
      </c>
      <c r="M6872" s="1" t="s">
        <v>3</v>
      </c>
      <c r="N6872" s="1" t="s">
        <v>38</v>
      </c>
      <c r="O6872" s="1" t="s">
        <v>46</v>
      </c>
    </row>
    <row r="6873" spans="2:15" x14ac:dyDescent="0.3">
      <c r="B6873" s="1" t="s">
        <v>22</v>
      </c>
      <c r="C6873" s="1" t="str">
        <f t="shared" si="336"/>
        <v>4차</v>
      </c>
      <c r="D6873" s="1" t="str">
        <f>"0329E43139"</f>
        <v>0329E43139</v>
      </c>
      <c r="E6873" s="1" t="s">
        <v>14</v>
      </c>
      <c r="F6873" s="1" t="str">
        <f>"10.12.136.70"</f>
        <v>10.12.136.70</v>
      </c>
      <c r="G6873" s="1" t="str">
        <f>"0329E431"</f>
        <v>0329E431</v>
      </c>
      <c r="H6873" s="1" t="str">
        <f>"하계 32"</f>
        <v>하계 32</v>
      </c>
      <c r="I6873" s="1" t="s">
        <v>17</v>
      </c>
      <c r="J6873" s="1" t="str">
        <f>"0/0"</f>
        <v>0/0</v>
      </c>
      <c r="K6873" s="1" t="str">
        <f>"2026-07-29 13:18:03"</f>
        <v>2026-07-29 13:18:03</v>
      </c>
      <c r="L6873" s="1" t="str">
        <f>"2018-05-28 10:47:27"</f>
        <v>2018-05-28 10:47:27</v>
      </c>
      <c r="M6873" s="1" t="s">
        <v>0</v>
      </c>
      <c r="N6873" s="1" t="s">
        <v>38</v>
      </c>
      <c r="O6873" s="1" t="s">
        <v>44</v>
      </c>
    </row>
    <row r="6874" spans="2:15" x14ac:dyDescent="0.3">
      <c r="B6874" s="1" t="s">
        <v>22</v>
      </c>
      <c r="C6874" s="1" t="str">
        <f t="shared" si="336"/>
        <v>4차</v>
      </c>
      <c r="D6874" s="1" t="str">
        <f>"0329E51139"</f>
        <v>0329E51139</v>
      </c>
      <c r="E6874" s="1" t="s">
        <v>10</v>
      </c>
      <c r="F6874" s="1" t="str">
        <f>"10.12.136.54"</f>
        <v>10.12.136.54</v>
      </c>
      <c r="G6874" s="1" t="str">
        <f>"0329E511"</f>
        <v>0329E511</v>
      </c>
      <c r="H6874" s="1" t="str">
        <f>"하계 36"</f>
        <v>하계 36</v>
      </c>
      <c r="I6874" s="1" t="s">
        <v>17</v>
      </c>
      <c r="J6874" s="1" t="str">
        <f>"143/143"</f>
        <v>143/143</v>
      </c>
      <c r="K6874" s="1" t="str">
        <f>"2026-07-29 13:18:03"</f>
        <v>2026-07-29 13:18:03</v>
      </c>
      <c r="L6874" s="1" t="str">
        <f>"2018-05-28 11:50:11"</f>
        <v>2018-05-28 11:50:11</v>
      </c>
      <c r="M6874" s="1" t="s">
        <v>0</v>
      </c>
      <c r="N6874" s="1" t="s">
        <v>38</v>
      </c>
      <c r="O6874" s="1" t="s">
        <v>46</v>
      </c>
    </row>
    <row r="6875" spans="2:15" x14ac:dyDescent="0.3">
      <c r="B6875" s="1" t="s">
        <v>22</v>
      </c>
      <c r="C6875" s="1" t="str">
        <f t="shared" si="336"/>
        <v>4차</v>
      </c>
      <c r="D6875" s="1" t="str">
        <f>"0329E51239"</f>
        <v>0329E51239</v>
      </c>
      <c r="E6875" s="1" t="s">
        <v>10</v>
      </c>
      <c r="F6875" s="1" t="str">
        <f>"10.12.136.118"</f>
        <v>10.12.136.118</v>
      </c>
      <c r="G6875" s="1" t="str">
        <f>"0329E512"</f>
        <v>0329E512</v>
      </c>
      <c r="H6875" s="1" t="str">
        <f>"하계 35"</f>
        <v>하계 35</v>
      </c>
      <c r="I6875" s="1" t="s">
        <v>17</v>
      </c>
      <c r="J6875" s="1" t="str">
        <f>"2/2"</f>
        <v>2/2</v>
      </c>
      <c r="K6875" s="1" t="str">
        <f>"2026-07-29 13:18:03"</f>
        <v>2026-07-29 13:18:03</v>
      </c>
      <c r="L6875" s="1" t="str">
        <f>"2018-05-28 11:50:26"</f>
        <v>2018-05-28 11:50:26</v>
      </c>
      <c r="M6875" s="1" t="s">
        <v>0</v>
      </c>
      <c r="N6875" s="1" t="s">
        <v>38</v>
      </c>
      <c r="O6875" s="1" t="s">
        <v>46</v>
      </c>
    </row>
    <row r="6876" spans="2:15" x14ac:dyDescent="0.3">
      <c r="B6876" s="1" t="s">
        <v>22</v>
      </c>
      <c r="C6876" s="1" t="str">
        <f t="shared" si="336"/>
        <v>4차</v>
      </c>
      <c r="D6876" s="1" t="str">
        <f>"0329E53139"</f>
        <v>0329E53139</v>
      </c>
      <c r="E6876" s="1" t="s">
        <v>10</v>
      </c>
      <c r="F6876" s="1" t="str">
        <f>"10.12.136.106"</f>
        <v>10.12.136.106</v>
      </c>
      <c r="G6876" s="1" t="str">
        <f>"0329E531"</f>
        <v>0329E531</v>
      </c>
      <c r="H6876" s="1" t="str">
        <f>"하계 33"</f>
        <v>하계 33</v>
      </c>
      <c r="I6876" s="1" t="s">
        <v>17</v>
      </c>
      <c r="J6876" s="1" t="str">
        <f>"166/166"</f>
        <v>166/166</v>
      </c>
      <c r="K6876" s="1" t="str">
        <f>"2026-07-29 13:18:03"</f>
        <v>2026-07-29 13:18:03</v>
      </c>
      <c r="L6876" s="1" t="str">
        <f>"2018-05-28 11:02:10"</f>
        <v>2018-05-28 11:02:10</v>
      </c>
      <c r="M6876" s="1" t="s">
        <v>0</v>
      </c>
      <c r="N6876" s="1" t="s">
        <v>38</v>
      </c>
      <c r="O6876" s="1" t="s">
        <v>46</v>
      </c>
    </row>
    <row r="6877" spans="2:15" x14ac:dyDescent="0.3">
      <c r="B6877" s="1" t="s">
        <v>22</v>
      </c>
      <c r="C6877" s="1" t="str">
        <f t="shared" si="336"/>
        <v>4차</v>
      </c>
      <c r="D6877" s="1" t="str">
        <f>"0329E60441"</f>
        <v>0329E60441</v>
      </c>
      <c r="E6877" s="1" t="s">
        <v>12</v>
      </c>
      <c r="F6877" s="1" t="str">
        <f>"10.14.15.39"</f>
        <v>10.14.15.39</v>
      </c>
      <c r="G6877" s="1" t="str">
        <f>"0329E604"</f>
        <v>0329E604</v>
      </c>
      <c r="H6877" s="1" t="str">
        <f>"중계간 4L1"</f>
        <v>중계간 4L1</v>
      </c>
      <c r="I6877" s="1" t="s">
        <v>17</v>
      </c>
      <c r="J6877" s="1" t="str">
        <f>"0/2"</f>
        <v>0/2</v>
      </c>
      <c r="K6877" s="1" t="str">
        <f>"2026-07-09 13:18:04"</f>
        <v>2026-07-09 13:18:04</v>
      </c>
      <c r="L6877" s="1" t="str">
        <f>"2021-08-06 16:47:18"</f>
        <v>2021-08-06 16:47:18</v>
      </c>
      <c r="M6877" s="1" t="s">
        <v>3</v>
      </c>
      <c r="N6877" s="1" t="s">
        <v>38</v>
      </c>
      <c r="O6877" s="1" t="s">
        <v>46</v>
      </c>
    </row>
    <row r="6878" spans="2:15" x14ac:dyDescent="0.3">
      <c r="B6878" s="1" t="s">
        <v>22</v>
      </c>
      <c r="C6878" s="1" t="str">
        <f t="shared" si="336"/>
        <v>4차</v>
      </c>
      <c r="D6878" s="1" t="str">
        <f>"0329E61139"</f>
        <v>0329E61139</v>
      </c>
      <c r="E6878" s="1" t="s">
        <v>14</v>
      </c>
      <c r="F6878" s="1" t="str">
        <f>"10.12.136.59"</f>
        <v>10.12.136.59</v>
      </c>
      <c r="G6878" s="1" t="str">
        <f>"0329E611"</f>
        <v>0329E611</v>
      </c>
      <c r="H6878" s="1" t="str">
        <f>"하계 37"</f>
        <v>하계 37</v>
      </c>
      <c r="I6878" s="1" t="s">
        <v>17</v>
      </c>
      <c r="J6878" s="1" t="str">
        <f>"0/0"</f>
        <v>0/0</v>
      </c>
      <c r="K6878" s="1" t="str">
        <f t="shared" ref="K6878:K6883" si="337">"2026-07-29 13:18:03"</f>
        <v>2026-07-29 13:18:03</v>
      </c>
      <c r="L6878" s="1" t="str">
        <f>"2018-05-28 12:05:41"</f>
        <v>2018-05-28 12:05:41</v>
      </c>
      <c r="M6878" s="1" t="s">
        <v>0</v>
      </c>
      <c r="N6878" s="1" t="s">
        <v>38</v>
      </c>
      <c r="O6878" s="1" t="s">
        <v>44</v>
      </c>
    </row>
    <row r="6879" spans="2:15" x14ac:dyDescent="0.3">
      <c r="B6879" s="1" t="s">
        <v>22</v>
      </c>
      <c r="C6879" s="1" t="str">
        <f t="shared" si="336"/>
        <v>4차</v>
      </c>
      <c r="D6879" s="1" t="str">
        <f>"0329E80144"</f>
        <v>0329E80144</v>
      </c>
      <c r="E6879" s="1" t="s">
        <v>10</v>
      </c>
      <c r="F6879" s="1" t="str">
        <f>"10.107.120.233"</f>
        <v>10.107.120.233</v>
      </c>
      <c r="G6879" s="1" t="str">
        <f>"0329E801"</f>
        <v>0329E801</v>
      </c>
      <c r="H6879" s="1" t="str">
        <f>"중계간 4L4"</f>
        <v>중계간 4L4</v>
      </c>
      <c r="I6879" s="1" t="s">
        <v>8</v>
      </c>
      <c r="J6879" s="1" t="str">
        <f>"7/7"</f>
        <v>7/7</v>
      </c>
      <c r="K6879" s="1" t="str">
        <f t="shared" si="337"/>
        <v>2026-07-29 13:18:03</v>
      </c>
      <c r="L6879" s="1" t="str">
        <f>"2020-01-10 11:44:38"</f>
        <v>2020-01-10 11:44:38</v>
      </c>
      <c r="M6879" s="1" t="s">
        <v>45</v>
      </c>
      <c r="N6879" s="1" t="s">
        <v>38</v>
      </c>
      <c r="O6879" s="1" t="s">
        <v>46</v>
      </c>
    </row>
    <row r="6880" spans="2:15" x14ac:dyDescent="0.3">
      <c r="B6880" s="1" t="s">
        <v>22</v>
      </c>
      <c r="C6880" s="1" t="str">
        <f t="shared" si="336"/>
        <v>4차</v>
      </c>
      <c r="D6880" s="1" t="str">
        <f>"0329E80244"</f>
        <v>0329E80244</v>
      </c>
      <c r="E6880" s="1" t="s">
        <v>10</v>
      </c>
      <c r="F6880" s="1" t="str">
        <f>"10.107.120.234"</f>
        <v>10.107.120.234</v>
      </c>
      <c r="G6880" s="1" t="str">
        <f>"0329E802"</f>
        <v>0329E802</v>
      </c>
      <c r="H6880" s="1" t="str">
        <f>"중계간 4L5"</f>
        <v>중계간 4L5</v>
      </c>
      <c r="I6880" s="1" t="s">
        <v>8</v>
      </c>
      <c r="J6880" s="1" t="str">
        <f>"60/60"</f>
        <v>60/60</v>
      </c>
      <c r="K6880" s="1" t="str">
        <f t="shared" si="337"/>
        <v>2026-07-29 13:18:03</v>
      </c>
      <c r="L6880" s="1" t="str">
        <f>"2020-01-10 11:41:52"</f>
        <v>2020-01-10 11:41:52</v>
      </c>
      <c r="M6880" s="1" t="s">
        <v>45</v>
      </c>
      <c r="N6880" s="1" t="s">
        <v>38</v>
      </c>
      <c r="O6880" s="1" t="s">
        <v>46</v>
      </c>
    </row>
    <row r="6881" spans="2:15" x14ac:dyDescent="0.3">
      <c r="B6881" s="1" t="s">
        <v>22</v>
      </c>
      <c r="C6881" s="1" t="str">
        <f t="shared" si="336"/>
        <v>4차</v>
      </c>
      <c r="D6881" s="1" t="str">
        <f>"0329F20344"</f>
        <v>0329F20344</v>
      </c>
      <c r="E6881" s="1" t="s">
        <v>10</v>
      </c>
      <c r="F6881" s="1" t="str">
        <f>"10.107.251.212"</f>
        <v>10.107.251.212</v>
      </c>
      <c r="G6881" s="1" t="str">
        <f>"0329F203"</f>
        <v>0329F203</v>
      </c>
      <c r="H6881" s="1" t="str">
        <f>"공덕지 10R2R2"</f>
        <v>공덕지 10R2R2</v>
      </c>
      <c r="I6881" s="1" t="s">
        <v>8</v>
      </c>
      <c r="J6881" s="1" t="str">
        <f>"41/41"</f>
        <v>41/41</v>
      </c>
      <c r="K6881" s="1" t="str">
        <f t="shared" si="337"/>
        <v>2026-07-29 13:18:03</v>
      </c>
      <c r="L6881" s="1" t="str">
        <f>"2020-01-10 11:42:12"</f>
        <v>2020-01-10 11:42:12</v>
      </c>
      <c r="M6881" s="1" t="s">
        <v>45</v>
      </c>
      <c r="N6881" s="1" t="s">
        <v>38</v>
      </c>
      <c r="O6881" s="1" t="s">
        <v>46</v>
      </c>
    </row>
    <row r="6882" spans="2:15" x14ac:dyDescent="0.3">
      <c r="B6882" s="1" t="s">
        <v>22</v>
      </c>
      <c r="C6882" s="1" t="str">
        <f t="shared" si="336"/>
        <v>4차</v>
      </c>
      <c r="D6882" s="1" t="str">
        <f>"0329G04145"</f>
        <v>0329G04145</v>
      </c>
      <c r="E6882" s="1" t="s">
        <v>10</v>
      </c>
      <c r="F6882" s="1" t="str">
        <f>"10.14.4.64"</f>
        <v>10.14.4.64</v>
      </c>
      <c r="G6882" s="1" t="str">
        <f>"0329G041"</f>
        <v>0329G041</v>
      </c>
      <c r="H6882" s="1" t="str">
        <f>"하계 55"</f>
        <v>하계 55</v>
      </c>
      <c r="I6882" s="1" t="s">
        <v>17</v>
      </c>
      <c r="J6882" s="1" t="str">
        <f>"165/175"</f>
        <v>165/175</v>
      </c>
      <c r="K6882" s="1" t="str">
        <f t="shared" si="337"/>
        <v>2026-07-29 13:18:03</v>
      </c>
      <c r="L6882" s="1" t="str">
        <f>"2021-06-23 09:01:43"</f>
        <v>2021-06-23 09:01:43</v>
      </c>
      <c r="M6882" s="1" t="s">
        <v>3</v>
      </c>
      <c r="N6882" s="1" t="s">
        <v>38</v>
      </c>
      <c r="O6882" s="1" t="s">
        <v>46</v>
      </c>
    </row>
    <row r="6883" spans="2:15" x14ac:dyDescent="0.3">
      <c r="B6883" s="1" t="s">
        <v>22</v>
      </c>
      <c r="C6883" s="1" t="str">
        <f t="shared" si="336"/>
        <v>4차</v>
      </c>
      <c r="D6883" s="1" t="str">
        <f>"0329G06245"</f>
        <v>0329G06245</v>
      </c>
      <c r="E6883" s="1" t="s">
        <v>10</v>
      </c>
      <c r="F6883" s="1" t="str">
        <f>"10.12.129.191"</f>
        <v>10.12.129.191</v>
      </c>
      <c r="G6883" s="1" t="str">
        <f>"0329G062"</f>
        <v>0329G062</v>
      </c>
      <c r="H6883" s="1" t="str">
        <f>"하계 54"</f>
        <v>하계 54</v>
      </c>
      <c r="I6883" s="1" t="s">
        <v>17</v>
      </c>
      <c r="J6883" s="1" t="str">
        <f>"185/186"</f>
        <v>185/186</v>
      </c>
      <c r="K6883" s="1" t="str">
        <f t="shared" si="337"/>
        <v>2026-07-29 13:18:03</v>
      </c>
      <c r="L6883" s="1" t="str">
        <f>"2021-03-05 10:50:02"</f>
        <v>2021-03-05 10:50:02</v>
      </c>
      <c r="M6883" s="1" t="s">
        <v>0</v>
      </c>
      <c r="N6883" s="1" t="s">
        <v>38</v>
      </c>
      <c r="O6883" s="1" t="s">
        <v>46</v>
      </c>
    </row>
    <row r="6884" spans="2:15" x14ac:dyDescent="0.3">
      <c r="B6884" s="1" t="s">
        <v>22</v>
      </c>
      <c r="C6884" s="1" t="str">
        <f t="shared" si="336"/>
        <v>4차</v>
      </c>
      <c r="D6884" s="1" t="str">
        <f>"0329G18141"</f>
        <v>0329G18141</v>
      </c>
      <c r="E6884" s="1" t="s">
        <v>10</v>
      </c>
      <c r="F6884" s="1" t="str">
        <f>"10.12.129.188"</f>
        <v>10.12.129.188</v>
      </c>
      <c r="G6884" s="1" t="str">
        <f>"0329G181"</f>
        <v>0329G181</v>
      </c>
      <c r="H6884" s="1" t="str">
        <f>"화랑간 2R2"</f>
        <v>화랑간 2R2</v>
      </c>
      <c r="I6884" s="1" t="s">
        <v>17</v>
      </c>
      <c r="J6884" s="1" t="str">
        <f>"1/7"</f>
        <v>1/7</v>
      </c>
      <c r="K6884" s="1" t="str">
        <f>"2026-07-29 13:18:02"</f>
        <v>2026-07-29 13:18:02</v>
      </c>
      <c r="L6884" s="1" t="str">
        <f>"2021-07-15 12:33:31"</f>
        <v>2021-07-15 12:33:31</v>
      </c>
      <c r="M6884" s="1" t="s">
        <v>0</v>
      </c>
      <c r="N6884" s="1" t="s">
        <v>38</v>
      </c>
      <c r="O6884" s="1" t="s">
        <v>46</v>
      </c>
    </row>
    <row r="6885" spans="2:15" x14ac:dyDescent="0.3">
      <c r="B6885" s="1" t="s">
        <v>22</v>
      </c>
      <c r="C6885" s="1" t="str">
        <f>"3차"</f>
        <v>3차</v>
      </c>
      <c r="D6885" s="1" t="str">
        <f>"0329G31539"</f>
        <v>0329G31539</v>
      </c>
      <c r="E6885" s="1" t="s">
        <v>10</v>
      </c>
      <c r="F6885" s="1" t="str">
        <f>"10.107.120.226"</f>
        <v>10.107.120.226</v>
      </c>
      <c r="G6885" s="1" t="str">
        <f>"0329G315"</f>
        <v>0329G315</v>
      </c>
      <c r="H6885" s="1" t="str">
        <f>"화랑간 2R17"</f>
        <v>화랑간 2R17</v>
      </c>
      <c r="I6885" s="1" t="s">
        <v>8</v>
      </c>
      <c r="J6885" s="1" t="str">
        <f>"3/3"</f>
        <v>3/3</v>
      </c>
      <c r="K6885" s="1" t="str">
        <f>"2026-07-29 13:18:03"</f>
        <v>2026-07-29 13:18:03</v>
      </c>
      <c r="L6885" s="1" t="str">
        <f>"2018-09-28 14:45:43"</f>
        <v>2018-09-28 14:45:43</v>
      </c>
      <c r="M6885" s="1" t="s">
        <v>45</v>
      </c>
      <c r="N6885" s="1" t="s">
        <v>38</v>
      </c>
      <c r="O6885" s="1" t="s">
        <v>46</v>
      </c>
    </row>
    <row r="6886" spans="2:15" x14ac:dyDescent="0.3">
      <c r="B6886" s="1" t="s">
        <v>22</v>
      </c>
      <c r="C6886" s="1" t="str">
        <f>"4차"</f>
        <v>4차</v>
      </c>
      <c r="D6886" s="1" t="str">
        <f>"0329G32244"</f>
        <v>0329G32244</v>
      </c>
      <c r="E6886" s="1" t="s">
        <v>10</v>
      </c>
      <c r="F6886" s="1" t="str">
        <f>"10.107.120.227"</f>
        <v>10.107.120.227</v>
      </c>
      <c r="G6886" s="1" t="str">
        <f>"0329G322"</f>
        <v>0329G322</v>
      </c>
      <c r="H6886" s="1" t="str">
        <f>"화랑간 3R10R2L3"</f>
        <v>화랑간 3R10R2L3</v>
      </c>
      <c r="I6886" s="1" t="s">
        <v>8</v>
      </c>
      <c r="J6886" s="1" t="str">
        <f>"73/73"</f>
        <v>73/73</v>
      </c>
      <c r="K6886" s="1" t="str">
        <f>"2026-07-29 13:18:03"</f>
        <v>2026-07-29 13:18:03</v>
      </c>
      <c r="L6886" s="1" t="str">
        <f>"2020-01-10 11:40:29"</f>
        <v>2020-01-10 11:40:29</v>
      </c>
      <c r="M6886" s="1" t="s">
        <v>45</v>
      </c>
      <c r="N6886" s="1" t="s">
        <v>38</v>
      </c>
      <c r="O6886" s="1" t="s">
        <v>46</v>
      </c>
    </row>
    <row r="6887" spans="2:15" x14ac:dyDescent="0.3">
      <c r="B6887" s="1" t="s">
        <v>22</v>
      </c>
      <c r="C6887" s="1" t="str">
        <f>"4차"</f>
        <v>4차</v>
      </c>
      <c r="D6887" s="1" t="str">
        <f>"0329G34344"</f>
        <v>0329G34344</v>
      </c>
      <c r="E6887" s="1" t="s">
        <v>10</v>
      </c>
      <c r="F6887" s="1" t="str">
        <f>"10.107.120.228"</f>
        <v>10.107.120.228</v>
      </c>
      <c r="G6887" s="1" t="str">
        <f>"0329G343"</f>
        <v>0329G343</v>
      </c>
      <c r="H6887" s="1" t="str">
        <f>"화랑간 3R10R4"</f>
        <v>화랑간 3R10R4</v>
      </c>
      <c r="I6887" s="1" t="s">
        <v>8</v>
      </c>
      <c r="J6887" s="1" t="str">
        <f>"51/51"</f>
        <v>51/51</v>
      </c>
      <c r="K6887" s="1" t="str">
        <f>"2026-07-29 13:18:03"</f>
        <v>2026-07-29 13:18:03</v>
      </c>
      <c r="L6887" s="1" t="str">
        <f>"2020-01-10 11:45:23"</f>
        <v>2020-01-10 11:45:23</v>
      </c>
      <c r="M6887" s="1" t="s">
        <v>45</v>
      </c>
      <c r="N6887" s="1" t="s">
        <v>38</v>
      </c>
      <c r="O6887" s="1" t="s">
        <v>46</v>
      </c>
    </row>
    <row r="6888" spans="2:15" x14ac:dyDescent="0.3">
      <c r="B6888" s="1" t="s">
        <v>22</v>
      </c>
      <c r="C6888" s="1" t="str">
        <f>"4차"</f>
        <v>4차</v>
      </c>
      <c r="D6888" s="1" t="str">
        <f>"0329G37141"</f>
        <v>0329G37141</v>
      </c>
      <c r="E6888" s="1" t="s">
        <v>10</v>
      </c>
      <c r="F6888" s="1" t="str">
        <f>"10.14.5.48"</f>
        <v>10.14.5.48</v>
      </c>
      <c r="G6888" s="1" t="str">
        <f>"0329G371"</f>
        <v>0329G371</v>
      </c>
      <c r="H6888" s="1" t="str">
        <f>"화랑간 3R10R8"</f>
        <v>화랑간 3R10R8</v>
      </c>
      <c r="I6888" s="1" t="s">
        <v>17</v>
      </c>
      <c r="J6888" s="1" t="str">
        <f>"8/14"</f>
        <v>8/14</v>
      </c>
      <c r="K6888" s="1" t="str">
        <f>"2026-07-29 13:18:04"</f>
        <v>2026-07-29 13:18:04</v>
      </c>
      <c r="L6888" s="1" t="str">
        <f>"2021-07-15 12:27:27"</f>
        <v>2021-07-15 12:27:27</v>
      </c>
      <c r="M6888" s="1" t="s">
        <v>3</v>
      </c>
      <c r="N6888" s="1" t="s">
        <v>38</v>
      </c>
      <c r="O6888" s="1" t="s">
        <v>46</v>
      </c>
    </row>
    <row r="6889" spans="2:15" x14ac:dyDescent="0.3">
      <c r="B6889" s="1" t="s">
        <v>22</v>
      </c>
      <c r="C6889" s="1" t="str">
        <f>"4차"</f>
        <v>4차</v>
      </c>
      <c r="D6889" s="1" t="str">
        <f>"0329G37241"</f>
        <v>0329G37241</v>
      </c>
      <c r="E6889" s="1" t="s">
        <v>10</v>
      </c>
      <c r="F6889" s="1" t="str">
        <f>"10.14.1.112"</f>
        <v>10.14.1.112</v>
      </c>
      <c r="G6889" s="1" t="str">
        <f>"0329G372"</f>
        <v>0329G372</v>
      </c>
      <c r="H6889" s="1" t="str">
        <f>"화랑간 3R5"</f>
        <v>화랑간 3R5</v>
      </c>
      <c r="I6889" s="1" t="s">
        <v>17</v>
      </c>
      <c r="J6889" s="1" t="str">
        <f>"8/8"</f>
        <v>8/8</v>
      </c>
      <c r="K6889" s="1" t="str">
        <f>"2026-07-29 13:18:04"</f>
        <v>2026-07-29 13:18:04</v>
      </c>
      <c r="L6889" s="1" t="str">
        <f>"2021-07-15 12:28:42"</f>
        <v>2021-07-15 12:28:42</v>
      </c>
      <c r="M6889" s="1" t="s">
        <v>3</v>
      </c>
      <c r="N6889" s="1" t="s">
        <v>38</v>
      </c>
      <c r="O6889" s="1" t="s">
        <v>46</v>
      </c>
    </row>
    <row r="6890" spans="2:15" x14ac:dyDescent="0.3">
      <c r="B6890" s="1" t="s">
        <v>22</v>
      </c>
      <c r="C6890" s="1" t="str">
        <f>"3차"</f>
        <v>3차</v>
      </c>
      <c r="D6890" s="1" t="str">
        <f>"0329G42139"</f>
        <v>0329G42139</v>
      </c>
      <c r="E6890" s="1" t="s">
        <v>10</v>
      </c>
      <c r="F6890" s="1" t="str">
        <f>"10.11.130.106"</f>
        <v>10.11.130.106</v>
      </c>
      <c r="G6890" s="1" t="str">
        <f>"0329G421"</f>
        <v>0329G421</v>
      </c>
      <c r="H6890" s="1" t="str">
        <f>"화랑간 3R10R2L2"</f>
        <v>화랑간 3R10R2L2</v>
      </c>
      <c r="I6890" s="1" t="s">
        <v>8</v>
      </c>
      <c r="J6890" s="1" t="str">
        <f>"32/32"</f>
        <v>32/32</v>
      </c>
      <c r="K6890" s="1" t="str">
        <f>"2026-07-29 13:18:03"</f>
        <v>2026-07-29 13:18:03</v>
      </c>
      <c r="L6890" s="1" t="str">
        <f>"2018-04-20 10:02:11"</f>
        <v>2018-04-20 10:02:11</v>
      </c>
      <c r="M6890" s="1" t="s">
        <v>2</v>
      </c>
      <c r="N6890" s="1" t="s">
        <v>38</v>
      </c>
      <c r="O6890" s="1" t="s">
        <v>46</v>
      </c>
    </row>
    <row r="6891" spans="2:15" x14ac:dyDescent="0.3">
      <c r="B6891" s="1" t="s">
        <v>22</v>
      </c>
      <c r="C6891" s="1" t="str">
        <f>"5-2차"</f>
        <v>5-2차</v>
      </c>
      <c r="D6891" s="1" t="str">
        <f>"0329G4225M"</f>
        <v>0329G4225M</v>
      </c>
      <c r="E6891" s="1" t="s">
        <v>10</v>
      </c>
      <c r="F6891" s="1" t="str">
        <f>"fde1:103:4:9205:0:0:0:2"</f>
        <v>fde1:103:4:9205:0:0:0:2</v>
      </c>
      <c r="G6891" s="1" t="str">
        <f>"0329G422"</f>
        <v>0329G422</v>
      </c>
      <c r="H6891" s="1" t="str">
        <f>"화랑간 3R12"</f>
        <v>화랑간 3R12</v>
      </c>
      <c r="I6891" s="1" t="s">
        <v>15</v>
      </c>
      <c r="J6891" s="1" t="str">
        <f>"43/43"</f>
        <v>43/43</v>
      </c>
      <c r="K6891" s="1" t="str">
        <f>"2026-07-29 14:20:48"</f>
        <v>2026-07-29 14:20:48</v>
      </c>
      <c r="L6891" s="1" t="str">
        <f>"2023-12-20 13:30:11"</f>
        <v>2023-12-20 13:30:11</v>
      </c>
      <c r="M6891" s="1" t="s">
        <v>4</v>
      </c>
      <c r="N6891" s="1" t="s">
        <v>38</v>
      </c>
      <c r="O6891" s="1" t="s">
        <v>46</v>
      </c>
    </row>
    <row r="6892" spans="2:15" x14ac:dyDescent="0.3">
      <c r="B6892" s="1" t="s">
        <v>22</v>
      </c>
      <c r="C6892" s="1" t="str">
        <f t="shared" ref="C6892:C6901" si="338">"4차"</f>
        <v>4차</v>
      </c>
      <c r="D6892" s="1" t="str">
        <f>"0329G43244"</f>
        <v>0329G43244</v>
      </c>
      <c r="E6892" s="1" t="s">
        <v>10</v>
      </c>
      <c r="F6892" s="1" t="str">
        <f>"10.107.120.229"</f>
        <v>10.107.120.229</v>
      </c>
      <c r="G6892" s="1" t="str">
        <f>"0329G432"</f>
        <v>0329G432</v>
      </c>
      <c r="H6892" s="1" t="str">
        <f>"화랑간 3R10R2"</f>
        <v>화랑간 3R10R2</v>
      </c>
      <c r="I6892" s="1" t="s">
        <v>8</v>
      </c>
      <c r="J6892" s="1" t="str">
        <f>"6/6"</f>
        <v>6/6</v>
      </c>
      <c r="K6892" s="1" t="str">
        <f t="shared" ref="K6892:K6899" si="339">"2026-07-29 13:18:03"</f>
        <v>2026-07-29 13:18:03</v>
      </c>
      <c r="L6892" s="1" t="str">
        <f>"2020-01-10 11:49:04"</f>
        <v>2020-01-10 11:49:04</v>
      </c>
      <c r="M6892" s="1" t="s">
        <v>45</v>
      </c>
      <c r="N6892" s="1" t="s">
        <v>38</v>
      </c>
      <c r="O6892" s="1" t="s">
        <v>46</v>
      </c>
    </row>
    <row r="6893" spans="2:15" x14ac:dyDescent="0.3">
      <c r="B6893" s="1" t="s">
        <v>22</v>
      </c>
      <c r="C6893" s="1" t="str">
        <f t="shared" si="338"/>
        <v>4차</v>
      </c>
      <c r="D6893" s="1" t="str">
        <f>"0329G44244"</f>
        <v>0329G44244</v>
      </c>
      <c r="E6893" s="1" t="s">
        <v>10</v>
      </c>
      <c r="F6893" s="1" t="str">
        <f>"10.107.120.230"</f>
        <v>10.107.120.230</v>
      </c>
      <c r="G6893" s="1" t="str">
        <f>"0329G442"</f>
        <v>0329G442</v>
      </c>
      <c r="H6893" s="1" t="str">
        <f>"화랑간 3R10R3"</f>
        <v>화랑간 3R10R3</v>
      </c>
      <c r="I6893" s="1" t="s">
        <v>8</v>
      </c>
      <c r="J6893" s="1" t="str">
        <f>"46/50"</f>
        <v>46/50</v>
      </c>
      <c r="K6893" s="1" t="str">
        <f t="shared" si="339"/>
        <v>2026-07-29 13:18:03</v>
      </c>
      <c r="L6893" s="1" t="str">
        <f>"2022-09-13 15:25:41"</f>
        <v>2022-09-13 15:25:41</v>
      </c>
      <c r="M6893" s="1" t="s">
        <v>45</v>
      </c>
      <c r="N6893" s="1" t="s">
        <v>38</v>
      </c>
      <c r="O6893" s="1" t="s">
        <v>46</v>
      </c>
    </row>
    <row r="6894" spans="2:15" x14ac:dyDescent="0.3">
      <c r="B6894" s="1" t="s">
        <v>22</v>
      </c>
      <c r="C6894" s="1" t="str">
        <f t="shared" si="338"/>
        <v>4차</v>
      </c>
      <c r="D6894" s="1" t="str">
        <f>"0329G45144"</f>
        <v>0329G45144</v>
      </c>
      <c r="E6894" s="1" t="s">
        <v>10</v>
      </c>
      <c r="F6894" s="1" t="str">
        <f>"10.107.120.231"</f>
        <v>10.107.120.231</v>
      </c>
      <c r="G6894" s="1" t="str">
        <f>"0329G451"</f>
        <v>0329G451</v>
      </c>
      <c r="H6894" s="1" t="str">
        <f>"화랑간 3R7"</f>
        <v>화랑간 3R7</v>
      </c>
      <c r="I6894" s="1" t="s">
        <v>8</v>
      </c>
      <c r="J6894" s="1" t="str">
        <f>"12/12"</f>
        <v>12/12</v>
      </c>
      <c r="K6894" s="1" t="str">
        <f t="shared" si="339"/>
        <v>2026-07-29 13:18:03</v>
      </c>
      <c r="L6894" s="1" t="str">
        <f>"2020-01-10 11:47:04"</f>
        <v>2020-01-10 11:47:04</v>
      </c>
      <c r="M6894" s="1" t="s">
        <v>45</v>
      </c>
      <c r="N6894" s="1" t="s">
        <v>38</v>
      </c>
      <c r="O6894" s="1" t="s">
        <v>46</v>
      </c>
    </row>
    <row r="6895" spans="2:15" x14ac:dyDescent="0.3">
      <c r="B6895" s="1" t="s">
        <v>22</v>
      </c>
      <c r="C6895" s="1" t="str">
        <f t="shared" si="338"/>
        <v>4차</v>
      </c>
      <c r="D6895" s="1" t="str">
        <f>"0329G50344"</f>
        <v>0329G50344</v>
      </c>
      <c r="E6895" s="1" t="s">
        <v>10</v>
      </c>
      <c r="F6895" s="1" t="str">
        <f>"10.107.251.55"</f>
        <v>10.107.251.55</v>
      </c>
      <c r="G6895" s="1" t="str">
        <f>"0329G503"</f>
        <v>0329G503</v>
      </c>
      <c r="H6895" s="1" t="str">
        <f>"화랑간 69"</f>
        <v>화랑간 69</v>
      </c>
      <c r="I6895" s="1" t="s">
        <v>8</v>
      </c>
      <c r="J6895" s="1" t="str">
        <f>"46/47"</f>
        <v>46/47</v>
      </c>
      <c r="K6895" s="1" t="str">
        <f t="shared" si="339"/>
        <v>2026-07-29 13:18:03</v>
      </c>
      <c r="L6895" s="1" t="str">
        <f>"2019-12-13 09:13:47"</f>
        <v>2019-12-13 09:13:47</v>
      </c>
      <c r="M6895" s="1" t="s">
        <v>45</v>
      </c>
      <c r="N6895" s="1" t="s">
        <v>38</v>
      </c>
      <c r="O6895" s="1" t="s">
        <v>46</v>
      </c>
    </row>
    <row r="6896" spans="2:15" x14ac:dyDescent="0.3">
      <c r="B6896" s="1" t="s">
        <v>22</v>
      </c>
      <c r="C6896" s="1" t="str">
        <f t="shared" si="338"/>
        <v>4차</v>
      </c>
      <c r="D6896" s="1" t="str">
        <f>"0329G54144"</f>
        <v>0329G54144</v>
      </c>
      <c r="E6896" s="1" t="s">
        <v>10</v>
      </c>
      <c r="F6896" s="1" t="str">
        <f>"10.107.120.232"</f>
        <v>10.107.120.232</v>
      </c>
      <c r="G6896" s="1" t="str">
        <f>"0329G541"</f>
        <v>0329G541</v>
      </c>
      <c r="H6896" s="1" t="str">
        <f>"화랑간 3R10L2L2"</f>
        <v>화랑간 3R10L2L2</v>
      </c>
      <c r="I6896" s="1" t="s">
        <v>8</v>
      </c>
      <c r="J6896" s="1" t="str">
        <f>"55/56"</f>
        <v>55/56</v>
      </c>
      <c r="K6896" s="1" t="str">
        <f t="shared" si="339"/>
        <v>2026-07-29 13:18:03</v>
      </c>
      <c r="L6896" s="1" t="str">
        <f>"2020-01-10 11:44:36"</f>
        <v>2020-01-10 11:44:36</v>
      </c>
      <c r="M6896" s="1" t="s">
        <v>45</v>
      </c>
      <c r="N6896" s="1" t="s">
        <v>38</v>
      </c>
      <c r="O6896" s="1" t="s">
        <v>46</v>
      </c>
    </row>
    <row r="6897" spans="2:15" x14ac:dyDescent="0.3">
      <c r="B6897" s="1" t="s">
        <v>22</v>
      </c>
      <c r="C6897" s="1" t="str">
        <f t="shared" si="338"/>
        <v>4차</v>
      </c>
      <c r="D6897" s="1" t="str">
        <f>"0329G57639"</f>
        <v>0329G57639</v>
      </c>
      <c r="E6897" s="1" t="s">
        <v>10</v>
      </c>
      <c r="F6897" s="1" t="str">
        <f>"10.11.130.98"</f>
        <v>10.11.130.98</v>
      </c>
      <c r="G6897" s="1" t="str">
        <f>"0329G576"</f>
        <v>0329G576</v>
      </c>
      <c r="H6897" s="1" t="str">
        <f>"화랑간 12R2"</f>
        <v>화랑간 12R2</v>
      </c>
      <c r="I6897" s="1" t="s">
        <v>8</v>
      </c>
      <c r="J6897" s="1" t="str">
        <f>"47/47"</f>
        <v>47/47</v>
      </c>
      <c r="K6897" s="1" t="str">
        <f t="shared" si="339"/>
        <v>2026-07-29 13:18:03</v>
      </c>
      <c r="L6897" s="1" t="str">
        <f>"2018-04-20 10:25:11"</f>
        <v>2018-04-20 10:25:11</v>
      </c>
      <c r="M6897" s="1" t="s">
        <v>2</v>
      </c>
      <c r="N6897" s="1" t="s">
        <v>38</v>
      </c>
      <c r="O6897" s="1" t="s">
        <v>46</v>
      </c>
    </row>
    <row r="6898" spans="2:15" x14ac:dyDescent="0.3">
      <c r="B6898" s="1" t="s">
        <v>22</v>
      </c>
      <c r="C6898" s="1" t="str">
        <f t="shared" si="338"/>
        <v>4차</v>
      </c>
      <c r="D6898" s="1" t="str">
        <f>"0329G58344"</f>
        <v>0329G58344</v>
      </c>
      <c r="E6898" s="1" t="s">
        <v>14</v>
      </c>
      <c r="F6898" s="1" t="str">
        <f>"10.107.120.235"</f>
        <v>10.107.120.235</v>
      </c>
      <c r="G6898" s="1" t="str">
        <f>"0329G583"</f>
        <v>0329G583</v>
      </c>
      <c r="H6898" s="1" t="str">
        <f>"중계간 8"</f>
        <v>중계간 8</v>
      </c>
      <c r="I6898" s="1" t="s">
        <v>8</v>
      </c>
      <c r="J6898" s="1" t="str">
        <f>"0/0"</f>
        <v>0/0</v>
      </c>
      <c r="K6898" s="1" t="str">
        <f t="shared" si="339"/>
        <v>2026-07-29 13:18:03</v>
      </c>
      <c r="L6898" s="1" t="str">
        <f>"2020-01-10 11:41:48"</f>
        <v>2020-01-10 11:41:48</v>
      </c>
      <c r="M6898" s="1" t="s">
        <v>45</v>
      </c>
      <c r="N6898" s="1" t="s">
        <v>38</v>
      </c>
      <c r="O6898" s="1" t="s">
        <v>44</v>
      </c>
    </row>
    <row r="6899" spans="2:15" x14ac:dyDescent="0.3">
      <c r="B6899" s="1" t="s">
        <v>22</v>
      </c>
      <c r="C6899" s="1" t="str">
        <f t="shared" si="338"/>
        <v>4차</v>
      </c>
      <c r="D6899" s="1" t="str">
        <f>"0329G59344"</f>
        <v>0329G59344</v>
      </c>
      <c r="E6899" s="1" t="s">
        <v>10</v>
      </c>
      <c r="F6899" s="1" t="str">
        <f>"10.107.120.236"</f>
        <v>10.107.120.236</v>
      </c>
      <c r="G6899" s="1" t="str">
        <f>"0329G593"</f>
        <v>0329G593</v>
      </c>
      <c r="H6899" s="1" t="str">
        <f>"중계간 4C2"</f>
        <v>중계간 4C2</v>
      </c>
      <c r="I6899" s="1" t="s">
        <v>8</v>
      </c>
      <c r="J6899" s="1" t="str">
        <f>"53/55"</f>
        <v>53/55</v>
      </c>
      <c r="K6899" s="1" t="str">
        <f t="shared" si="339"/>
        <v>2026-07-29 13:18:03</v>
      </c>
      <c r="L6899" s="1" t="str">
        <f>"2020-01-10 11:47:02"</f>
        <v>2020-01-10 11:47:02</v>
      </c>
      <c r="M6899" s="1" t="s">
        <v>45</v>
      </c>
      <c r="N6899" s="1" t="s">
        <v>38</v>
      </c>
      <c r="O6899" s="1" t="s">
        <v>46</v>
      </c>
    </row>
    <row r="6900" spans="2:15" x14ac:dyDescent="0.3">
      <c r="B6900" s="1" t="s">
        <v>22</v>
      </c>
      <c r="C6900" s="1" t="str">
        <f t="shared" si="338"/>
        <v>4차</v>
      </c>
      <c r="D6900" s="1" t="str">
        <f>"0329G60144"</f>
        <v>0329G60144</v>
      </c>
      <c r="E6900" s="1" t="s">
        <v>10</v>
      </c>
      <c r="F6900" s="1" t="str">
        <f>"10.107.251.38"</f>
        <v>10.107.251.38</v>
      </c>
      <c r="G6900" s="1" t="str">
        <f>"0329G601"</f>
        <v>0329G601</v>
      </c>
      <c r="H6900" s="1" t="str">
        <f>"화랑간 25R4R1"</f>
        <v>화랑간 25R4R1</v>
      </c>
      <c r="I6900" s="1" t="s">
        <v>8</v>
      </c>
      <c r="J6900" s="1" t="str">
        <f>"22/22"</f>
        <v>22/22</v>
      </c>
      <c r="K6900" s="1" t="str">
        <f>"2026-07-29 13:18:04"</f>
        <v>2026-07-29 13:18:04</v>
      </c>
      <c r="L6900" s="1" t="str">
        <f>"2019-12-13 09:14:55"</f>
        <v>2019-12-13 09:14:55</v>
      </c>
      <c r="M6900" s="1" t="s">
        <v>45</v>
      </c>
      <c r="N6900" s="1" t="s">
        <v>38</v>
      </c>
      <c r="O6900" s="1" t="s">
        <v>46</v>
      </c>
    </row>
    <row r="6901" spans="2:15" x14ac:dyDescent="0.3">
      <c r="B6901" s="1" t="s">
        <v>22</v>
      </c>
      <c r="C6901" s="1" t="str">
        <f t="shared" si="338"/>
        <v>4차</v>
      </c>
      <c r="D6901" s="1" t="str">
        <f>"0329G60244"</f>
        <v>0329G60244</v>
      </c>
      <c r="E6901" s="1" t="s">
        <v>10</v>
      </c>
      <c r="F6901" s="1" t="str">
        <f>"10.107.251.39"</f>
        <v>10.107.251.39</v>
      </c>
      <c r="G6901" s="1" t="str">
        <f>"0329G602"</f>
        <v>0329G602</v>
      </c>
      <c r="H6901" s="1" t="str">
        <f>"화랑간 25R4R2"</f>
        <v>화랑간 25R4R2</v>
      </c>
      <c r="I6901" s="1" t="s">
        <v>8</v>
      </c>
      <c r="J6901" s="1" t="str">
        <f>"60/60"</f>
        <v>60/60</v>
      </c>
      <c r="K6901" s="1" t="str">
        <f>"2026-07-29 13:18:04"</f>
        <v>2026-07-29 13:18:04</v>
      </c>
      <c r="L6901" s="1" t="str">
        <f>"2019-12-13 09:16:06"</f>
        <v>2019-12-13 09:16:06</v>
      </c>
      <c r="M6901" s="1" t="s">
        <v>45</v>
      </c>
      <c r="N6901" s="1" t="s">
        <v>38</v>
      </c>
      <c r="O6901" s="1" t="s">
        <v>46</v>
      </c>
    </row>
    <row r="6902" spans="2:15" x14ac:dyDescent="0.3">
      <c r="B6902" s="1" t="s">
        <v>22</v>
      </c>
      <c r="C6902" s="1" t="str">
        <f>"3차"</f>
        <v>3차</v>
      </c>
      <c r="D6902" s="1" t="str">
        <f>"0329G61339"</f>
        <v>0329G61339</v>
      </c>
      <c r="E6902" s="1" t="s">
        <v>10</v>
      </c>
      <c r="F6902" s="1" t="str">
        <f>"10.12.129.30"</f>
        <v>10.12.129.30</v>
      </c>
      <c r="G6902" s="1" t="str">
        <f>"0329G613"</f>
        <v>0329G613</v>
      </c>
      <c r="H6902" s="1" t="str">
        <f>"화랑간 72"</f>
        <v>화랑간 72</v>
      </c>
      <c r="I6902" s="1" t="s">
        <v>8</v>
      </c>
      <c r="J6902" s="1" t="str">
        <f>"41/41"</f>
        <v>41/41</v>
      </c>
      <c r="K6902" s="1" t="str">
        <f>"2026-07-29 13:18:03"</f>
        <v>2026-07-29 13:18:03</v>
      </c>
      <c r="L6902" s="1" t="str">
        <f>"2018-04-20 09:37:11"</f>
        <v>2018-04-20 09:37:11</v>
      </c>
      <c r="M6902" s="1" t="s">
        <v>0</v>
      </c>
      <c r="N6902" s="1" t="s">
        <v>38</v>
      </c>
      <c r="O6902" s="1" t="s">
        <v>46</v>
      </c>
    </row>
    <row r="6903" spans="2:15" x14ac:dyDescent="0.3">
      <c r="B6903" s="1" t="s">
        <v>22</v>
      </c>
      <c r="C6903" s="1" t="str">
        <f>"4차"</f>
        <v>4차</v>
      </c>
      <c r="D6903" s="1" t="str">
        <f>"0329G62244"</f>
        <v>0329G62244</v>
      </c>
      <c r="E6903" s="1" t="s">
        <v>10</v>
      </c>
      <c r="F6903" s="1" t="str">
        <f>"10.107.120.114"</f>
        <v>10.107.120.114</v>
      </c>
      <c r="G6903" s="1" t="str">
        <f>"0329G622"</f>
        <v>0329G622</v>
      </c>
      <c r="H6903" s="1" t="str">
        <f>"화랑간 3R15"</f>
        <v>화랑간 3R15</v>
      </c>
      <c r="I6903" s="1" t="s">
        <v>8</v>
      </c>
      <c r="J6903" s="1" t="str">
        <f>"16/16"</f>
        <v>16/16</v>
      </c>
      <c r="K6903" s="1" t="str">
        <f>"2026-07-29 13:18:04"</f>
        <v>2026-07-29 13:18:04</v>
      </c>
      <c r="L6903" s="1" t="str">
        <f>"2020-01-10 11:40:16"</f>
        <v>2020-01-10 11:40:16</v>
      </c>
      <c r="M6903" s="1" t="s">
        <v>45</v>
      </c>
      <c r="N6903" s="1" t="s">
        <v>38</v>
      </c>
      <c r="O6903" s="1" t="s">
        <v>46</v>
      </c>
    </row>
    <row r="6904" spans="2:15" x14ac:dyDescent="0.3">
      <c r="B6904" s="1" t="s">
        <v>22</v>
      </c>
      <c r="C6904" s="1" t="str">
        <f>"4차"</f>
        <v>4차</v>
      </c>
      <c r="D6904" s="1" t="str">
        <f>"0329G64444"</f>
        <v>0329G64444</v>
      </c>
      <c r="E6904" s="1" t="s">
        <v>10</v>
      </c>
      <c r="F6904" s="1" t="str">
        <f>"10.12.138.160"</f>
        <v>10.12.138.160</v>
      </c>
      <c r="G6904" s="1" t="str">
        <f>"0329G644"</f>
        <v>0329G644</v>
      </c>
      <c r="H6904" s="1" t="str">
        <f>"화랑간 3R10L4"</f>
        <v>화랑간 3R10L4</v>
      </c>
      <c r="I6904" s="1" t="s">
        <v>8</v>
      </c>
      <c r="J6904" s="1" t="str">
        <f>"23/23"</f>
        <v>23/23</v>
      </c>
      <c r="K6904" s="1" t="str">
        <f>"2026-07-29 13:18:03"</f>
        <v>2026-07-29 13:18:03</v>
      </c>
      <c r="L6904" s="1" t="str">
        <f>"2019-11-11 19:48:54"</f>
        <v>2019-11-11 19:48:54</v>
      </c>
      <c r="M6904" s="1" t="s">
        <v>0</v>
      </c>
      <c r="N6904" s="1" t="s">
        <v>38</v>
      </c>
      <c r="O6904" s="1" t="s">
        <v>46</v>
      </c>
    </row>
    <row r="6905" spans="2:15" x14ac:dyDescent="0.3">
      <c r="B6905" s="1" t="s">
        <v>22</v>
      </c>
      <c r="C6905" s="1" t="str">
        <f>"6차"</f>
        <v>6차</v>
      </c>
      <c r="D6905" s="1" t="str">
        <f>"0329G6716S"</f>
        <v>0329G6716S</v>
      </c>
      <c r="E6905" s="1" t="s">
        <v>10</v>
      </c>
      <c r="F6905" s="1" t="str">
        <f>"fde1:103:4:c7f1:0:0:0:2"</f>
        <v>fde1:103:4:c7f1:0:0:0:2</v>
      </c>
      <c r="G6905" s="1" t="str">
        <f>"0329G671"</f>
        <v>0329G671</v>
      </c>
      <c r="H6905" s="1" t="str">
        <f>"중계간 9L2"</f>
        <v>중계간 9L2</v>
      </c>
      <c r="I6905" s="1" t="s">
        <v>15</v>
      </c>
      <c r="J6905" s="1" t="str">
        <f>"72/72"</f>
        <v>72/72</v>
      </c>
      <c r="K6905" s="1" t="str">
        <f>"2026-07-29 14:20:57"</f>
        <v>2026-07-29 14:20:57</v>
      </c>
      <c r="L6905" s="1" t="str">
        <f>"2025-01-17 17:36:33"</f>
        <v>2025-01-17 17:36:33</v>
      </c>
      <c r="M6905" s="1" t="s">
        <v>4</v>
      </c>
      <c r="N6905" s="1" t="s">
        <v>38</v>
      </c>
      <c r="O6905" s="1" t="s">
        <v>46</v>
      </c>
    </row>
    <row r="6906" spans="2:15" x14ac:dyDescent="0.3">
      <c r="B6906" s="1" t="s">
        <v>22</v>
      </c>
      <c r="C6906" s="1" t="str">
        <f>"1차"</f>
        <v>1차</v>
      </c>
      <c r="D6906" s="1" t="str">
        <f>"0329G80100"</f>
        <v>0329G80100</v>
      </c>
      <c r="E6906" s="1" t="s">
        <v>10</v>
      </c>
      <c r="F6906" s="1" t="str">
        <f>"10.107.249.200"</f>
        <v>10.107.249.200</v>
      </c>
      <c r="G6906" s="1" t="str">
        <f>"0329G801"</f>
        <v>0329G801</v>
      </c>
      <c r="H6906" s="1" t="str">
        <f>"중계간 19"</f>
        <v>중계간 19</v>
      </c>
      <c r="I6906" s="1" t="s">
        <v>8</v>
      </c>
      <c r="J6906" s="1" t="str">
        <f>"7/7"</f>
        <v>7/7</v>
      </c>
      <c r="K6906" s="1" t="str">
        <f>"2026-07-29 13:18:04"</f>
        <v>2026-07-29 13:18:04</v>
      </c>
      <c r="L6906" s="1" t="str">
        <f>"2014-12-26 14:42:49"</f>
        <v>2014-12-26 14:42:49</v>
      </c>
      <c r="M6906" s="1" t="s">
        <v>45</v>
      </c>
      <c r="N6906" s="1" t="s">
        <v>38</v>
      </c>
      <c r="O6906" s="1" t="s">
        <v>46</v>
      </c>
    </row>
    <row r="6907" spans="2:15" x14ac:dyDescent="0.3">
      <c r="B6907" s="1" t="s">
        <v>22</v>
      </c>
      <c r="C6907" s="1" t="str">
        <f>"6차"</f>
        <v>6차</v>
      </c>
      <c r="D6907" s="1" t="str">
        <f>"0329G8136S"</f>
        <v>0329G8136S</v>
      </c>
      <c r="E6907" s="1" t="s">
        <v>10</v>
      </c>
      <c r="F6907" s="1" t="str">
        <f>"fde1:103:4:c838:0:0:0:2"</f>
        <v>fde1:103:4:c838:0:0:0:2</v>
      </c>
      <c r="G6907" s="1" t="str">
        <f>"0329G813"</f>
        <v>0329G813</v>
      </c>
      <c r="H6907" s="1" t="str">
        <f>"중계간 17L2"</f>
        <v>중계간 17L2</v>
      </c>
      <c r="I6907" s="1" t="s">
        <v>15</v>
      </c>
      <c r="J6907" s="1" t="str">
        <f>"8/28"</f>
        <v>8/28</v>
      </c>
      <c r="K6907" s="1" t="str">
        <f>"2026-07-27 08:20:54"</f>
        <v>2026-07-27 08:20:54</v>
      </c>
      <c r="L6907" s="1" t="str">
        <f>"2025-01-17 17:35:52"</f>
        <v>2025-01-17 17:35:52</v>
      </c>
      <c r="M6907" s="1" t="s">
        <v>4</v>
      </c>
      <c r="N6907" s="1" t="s">
        <v>38</v>
      </c>
      <c r="O6907" s="1" t="s">
        <v>46</v>
      </c>
    </row>
    <row r="6908" spans="2:15" x14ac:dyDescent="0.3">
      <c r="B6908" s="1" t="s">
        <v>22</v>
      </c>
      <c r="C6908" s="1" t="str">
        <f>"1차"</f>
        <v>1차</v>
      </c>
      <c r="D6908" s="1" t="str">
        <f>"0329G81401"</f>
        <v>0329G81401</v>
      </c>
      <c r="E6908" s="1" t="s">
        <v>10</v>
      </c>
      <c r="F6908" s="1" t="str">
        <f>"10.107.249.202"</f>
        <v>10.107.249.202</v>
      </c>
      <c r="G6908" s="1" t="str">
        <f>"0329G814"</f>
        <v>0329G814</v>
      </c>
      <c r="H6908" s="1" t="str">
        <f>"중계간 18"</f>
        <v>중계간 18</v>
      </c>
      <c r="I6908" s="1" t="s">
        <v>8</v>
      </c>
      <c r="J6908" s="1" t="str">
        <f>"10/10"</f>
        <v>10/10</v>
      </c>
      <c r="K6908" s="1" t="str">
        <f>"2026-07-29 13:18:04"</f>
        <v>2026-07-29 13:18:04</v>
      </c>
      <c r="L6908" s="1" t="str">
        <f>"2014-12-26 14:43:24"</f>
        <v>2014-12-26 14:43:24</v>
      </c>
      <c r="M6908" s="1" t="s">
        <v>45</v>
      </c>
      <c r="N6908" s="1" t="s">
        <v>38</v>
      </c>
      <c r="O6908" s="1" t="s">
        <v>46</v>
      </c>
    </row>
    <row r="6909" spans="2:15" x14ac:dyDescent="0.3">
      <c r="B6909" s="1" t="s">
        <v>22</v>
      </c>
      <c r="C6909" s="1" t="str">
        <f>"6차"</f>
        <v>6차</v>
      </c>
      <c r="D6909" s="1" t="str">
        <f>"0329G8826S"</f>
        <v>0329G8826S</v>
      </c>
      <c r="E6909" s="1" t="s">
        <v>10</v>
      </c>
      <c r="F6909" s="1" t="str">
        <f>"fde1:103:4:c803:0:0:0:2"</f>
        <v>fde1:103:4:c803:0:0:0:2</v>
      </c>
      <c r="G6909" s="1" t="str">
        <f>"0329G882"</f>
        <v>0329G882</v>
      </c>
      <c r="H6909" s="1" t="str">
        <f>"중계간 9L5"</f>
        <v>중계간 9L5</v>
      </c>
      <c r="I6909" s="1" t="s">
        <v>15</v>
      </c>
      <c r="J6909" s="1" t="str">
        <f>"25/25"</f>
        <v>25/25</v>
      </c>
      <c r="K6909" s="1" t="str">
        <f>"2026-07-29 14:21:02"</f>
        <v>2026-07-29 14:21:02</v>
      </c>
      <c r="L6909" s="1" t="str">
        <f>"2025-01-21 16:57:33"</f>
        <v>2025-01-21 16:57:33</v>
      </c>
      <c r="M6909" s="1" t="s">
        <v>4</v>
      </c>
      <c r="N6909" s="1" t="s">
        <v>38</v>
      </c>
      <c r="O6909" s="1" t="s">
        <v>46</v>
      </c>
    </row>
    <row r="6910" spans="2:15" x14ac:dyDescent="0.3">
      <c r="B6910" s="1" t="s">
        <v>22</v>
      </c>
      <c r="C6910" s="1" t="str">
        <f>"3차"</f>
        <v>3차</v>
      </c>
      <c r="D6910" s="1" t="str">
        <f>"0329G89239"</f>
        <v>0329G89239</v>
      </c>
      <c r="E6910" s="1" t="s">
        <v>10</v>
      </c>
      <c r="F6910" s="1" t="str">
        <f>"10.11.130.90"</f>
        <v>10.11.130.90</v>
      </c>
      <c r="G6910" s="1" t="str">
        <f>"0329G892"</f>
        <v>0329G892</v>
      </c>
      <c r="H6910" s="1" t="str">
        <f>"중계간 9L6L2"</f>
        <v>중계간 9L6L2</v>
      </c>
      <c r="I6910" s="1" t="s">
        <v>8</v>
      </c>
      <c r="J6910" s="1" t="str">
        <f>"29/29"</f>
        <v>29/29</v>
      </c>
      <c r="K6910" s="1" t="str">
        <f>"2026-07-29 13:18:03"</f>
        <v>2026-07-29 13:18:03</v>
      </c>
      <c r="L6910" s="1" t="str">
        <f>"2018-04-20 10:43:56"</f>
        <v>2018-04-20 10:43:56</v>
      </c>
      <c r="M6910" s="1" t="s">
        <v>2</v>
      </c>
      <c r="N6910" s="1" t="s">
        <v>38</v>
      </c>
      <c r="O6910" s="1" t="s">
        <v>46</v>
      </c>
    </row>
    <row r="6911" spans="2:15" x14ac:dyDescent="0.3">
      <c r="B6911" s="1" t="s">
        <v>22</v>
      </c>
      <c r="C6911" s="1" t="str">
        <f>"6차"</f>
        <v>6차</v>
      </c>
      <c r="D6911" s="1" t="str">
        <f>"0329G9256S"</f>
        <v>0329G9256S</v>
      </c>
      <c r="E6911" s="1" t="s">
        <v>10</v>
      </c>
      <c r="F6911" s="1" t="str">
        <f>"fde1:103:4:c834:0:0:0:2"</f>
        <v>fde1:103:4:c834:0:0:0:2</v>
      </c>
      <c r="G6911" s="1" t="str">
        <f>"0329G925"</f>
        <v>0329G925</v>
      </c>
      <c r="H6911" s="1" t="str">
        <f>"중계간 23L18"</f>
        <v>중계간 23L18</v>
      </c>
      <c r="I6911" s="1" t="s">
        <v>15</v>
      </c>
      <c r="J6911" s="1" t="str">
        <f>"14/14"</f>
        <v>14/14</v>
      </c>
      <c r="K6911" s="1" t="str">
        <f>"2026-07-29 14:20:56"</f>
        <v>2026-07-29 14:20:56</v>
      </c>
      <c r="L6911" s="1" t="str">
        <f>"2025-01-17 17:35:29"</f>
        <v>2025-01-17 17:35:29</v>
      </c>
      <c r="M6911" s="1" t="s">
        <v>4</v>
      </c>
      <c r="N6911" s="1" t="s">
        <v>38</v>
      </c>
      <c r="O6911" s="1" t="s">
        <v>46</v>
      </c>
    </row>
    <row r="6912" spans="2:15" x14ac:dyDescent="0.3">
      <c r="B6912" s="1" t="s">
        <v>22</v>
      </c>
      <c r="C6912" s="1" t="str">
        <f>"1차"</f>
        <v>1차</v>
      </c>
      <c r="D6912" s="1" t="str">
        <f>"0329H01200"</f>
        <v>0329H01200</v>
      </c>
      <c r="E6912" s="1" t="s">
        <v>10</v>
      </c>
      <c r="F6912" s="1" t="str">
        <f>"10.107.119.98"</f>
        <v>10.107.119.98</v>
      </c>
      <c r="G6912" s="1" t="str">
        <f>"0329H012"</f>
        <v>0329H012</v>
      </c>
      <c r="H6912" s="1" t="str">
        <f>"중계간 23L17L2"</f>
        <v>중계간 23L17L2</v>
      </c>
      <c r="I6912" s="1" t="s">
        <v>8</v>
      </c>
      <c r="J6912" s="1" t="str">
        <f>"24/25"</f>
        <v>24/25</v>
      </c>
      <c r="K6912" s="1" t="str">
        <f>"2026-07-29 13:18:04"</f>
        <v>2026-07-29 13:18:04</v>
      </c>
      <c r="L6912" s="1" t="str">
        <f>"2014-12-26 12:12:46"</f>
        <v>2014-12-26 12:12:46</v>
      </c>
      <c r="M6912" s="1" t="s">
        <v>45</v>
      </c>
      <c r="N6912" s="1" t="s">
        <v>38</v>
      </c>
      <c r="O6912" s="1" t="s">
        <v>46</v>
      </c>
    </row>
    <row r="6913" spans="2:15" x14ac:dyDescent="0.3">
      <c r="B6913" s="1" t="s">
        <v>22</v>
      </c>
      <c r="C6913" s="1" t="str">
        <f>"6차"</f>
        <v>6차</v>
      </c>
      <c r="D6913" s="1" t="str">
        <f>"0329H0216S"</f>
        <v>0329H0216S</v>
      </c>
      <c r="E6913" s="1" t="s">
        <v>10</v>
      </c>
      <c r="F6913" s="1" t="str">
        <f>"fde1:103:4:c79d:0:0:0:2"</f>
        <v>fde1:103:4:c79d:0:0:0:2</v>
      </c>
      <c r="G6913" s="1" t="str">
        <f>"0329H021"</f>
        <v>0329H021</v>
      </c>
      <c r="H6913" s="1" t="str">
        <f>"중계간 23L17"</f>
        <v>중계간 23L17</v>
      </c>
      <c r="I6913" s="1" t="s">
        <v>15</v>
      </c>
      <c r="J6913" s="1" t="str">
        <f>"44/44"</f>
        <v>44/44</v>
      </c>
      <c r="K6913" s="1" t="str">
        <f>"2026-07-29 14:20:56"</f>
        <v>2026-07-29 14:20:56</v>
      </c>
      <c r="L6913" s="1" t="str">
        <f>"2025-01-17 17:41:23"</f>
        <v>2025-01-17 17:41:23</v>
      </c>
      <c r="M6913" s="1" t="s">
        <v>4</v>
      </c>
      <c r="N6913" s="1" t="s">
        <v>38</v>
      </c>
      <c r="O6913" s="1" t="s">
        <v>46</v>
      </c>
    </row>
    <row r="6914" spans="2:15" x14ac:dyDescent="0.3">
      <c r="B6914" s="1" t="s">
        <v>22</v>
      </c>
      <c r="C6914" s="1" t="str">
        <f>"4차"</f>
        <v>4차</v>
      </c>
      <c r="D6914" s="1" t="str">
        <f>"0329H02244"</f>
        <v>0329H02244</v>
      </c>
      <c r="E6914" s="1" t="s">
        <v>10</v>
      </c>
      <c r="F6914" s="1" t="str">
        <f>"10.107.119.99"</f>
        <v>10.107.119.99</v>
      </c>
      <c r="G6914" s="1" t="str">
        <f>"0329H022"</f>
        <v>0329H022</v>
      </c>
      <c r="H6914" s="1" t="str">
        <f>"중계간 23L17L1"</f>
        <v>중계간 23L17L1</v>
      </c>
      <c r="I6914" s="1" t="s">
        <v>8</v>
      </c>
      <c r="J6914" s="1" t="str">
        <f>"40/40"</f>
        <v>40/40</v>
      </c>
      <c r="K6914" s="1" t="str">
        <f>"2026-07-29 13:18:04"</f>
        <v>2026-07-29 13:18:04</v>
      </c>
      <c r="L6914" s="1" t="str">
        <f>"2020-01-10 11:40:16"</f>
        <v>2020-01-10 11:40:16</v>
      </c>
      <c r="M6914" s="1" t="s">
        <v>45</v>
      </c>
      <c r="N6914" s="1" t="s">
        <v>38</v>
      </c>
      <c r="O6914" s="1" t="s">
        <v>46</v>
      </c>
    </row>
    <row r="6915" spans="2:15" x14ac:dyDescent="0.3">
      <c r="B6915" s="1" t="s">
        <v>22</v>
      </c>
      <c r="C6915" s="1" t="str">
        <f>"4차"</f>
        <v>4차</v>
      </c>
      <c r="D6915" s="1" t="str">
        <f>"0329H07244"</f>
        <v>0329H07244</v>
      </c>
      <c r="E6915" s="1" t="s">
        <v>10</v>
      </c>
      <c r="F6915" s="1" t="str">
        <f>"10.107.120.237"</f>
        <v>10.107.120.237</v>
      </c>
      <c r="G6915" s="1" t="str">
        <f>"0329H072"</f>
        <v>0329H072</v>
      </c>
      <c r="H6915" s="1" t="str">
        <f>"중계간 9L11"</f>
        <v>중계간 9L11</v>
      </c>
      <c r="I6915" s="1" t="s">
        <v>8</v>
      </c>
      <c r="J6915" s="1" t="str">
        <f>"42/42"</f>
        <v>42/42</v>
      </c>
      <c r="K6915" s="1" t="str">
        <f>"2026-07-29 13:18:04"</f>
        <v>2026-07-29 13:18:04</v>
      </c>
      <c r="L6915" s="1" t="str">
        <f>"2020-01-10 11:42:12"</f>
        <v>2020-01-10 11:42:12</v>
      </c>
      <c r="M6915" s="1" t="s">
        <v>45</v>
      </c>
      <c r="N6915" s="1" t="s">
        <v>38</v>
      </c>
      <c r="O6915" s="1" t="s">
        <v>46</v>
      </c>
    </row>
    <row r="6916" spans="2:15" x14ac:dyDescent="0.3">
      <c r="B6916" s="1" t="s">
        <v>22</v>
      </c>
      <c r="C6916" s="1" t="str">
        <f>"4차"</f>
        <v>4차</v>
      </c>
      <c r="D6916" s="1" t="str">
        <f>"0329H08244"</f>
        <v>0329H08244</v>
      </c>
      <c r="E6916" s="1" t="s">
        <v>10</v>
      </c>
      <c r="F6916" s="1" t="str">
        <f>"10.107.120.238"</f>
        <v>10.107.120.238</v>
      </c>
      <c r="G6916" s="1" t="str">
        <f>"0329H082"</f>
        <v>0329H082</v>
      </c>
      <c r="H6916" s="1" t="str">
        <f>"중계간 9L8"</f>
        <v>중계간 9L8</v>
      </c>
      <c r="I6916" s="1" t="s">
        <v>8</v>
      </c>
      <c r="J6916" s="1" t="str">
        <f>"99/107"</f>
        <v>99/107</v>
      </c>
      <c r="K6916" s="1" t="str">
        <f>"2026-07-29 13:18:04"</f>
        <v>2026-07-29 13:18:04</v>
      </c>
      <c r="L6916" s="1" t="str">
        <f>"2020-01-10 11:44:05"</f>
        <v>2020-01-10 11:44:05</v>
      </c>
      <c r="M6916" s="1" t="s">
        <v>45</v>
      </c>
      <c r="N6916" s="1" t="s">
        <v>38</v>
      </c>
      <c r="O6916" s="1" t="s">
        <v>46</v>
      </c>
    </row>
    <row r="6917" spans="2:15" x14ac:dyDescent="0.3">
      <c r="B6917" s="1" t="s">
        <v>22</v>
      </c>
      <c r="C6917" s="1" t="str">
        <f>"4차"</f>
        <v>4차</v>
      </c>
      <c r="D6917" s="1" t="str">
        <f>"0329H10144"</f>
        <v>0329H10144</v>
      </c>
      <c r="E6917" s="1" t="s">
        <v>10</v>
      </c>
      <c r="F6917" s="1" t="str">
        <f>"10.107.251.35"</f>
        <v>10.107.251.35</v>
      </c>
      <c r="G6917" s="1" t="str">
        <f>"0329H101"</f>
        <v>0329H101</v>
      </c>
      <c r="H6917" s="1" t="str">
        <f>"중계간 23L11L2R1"</f>
        <v>중계간 23L11L2R1</v>
      </c>
      <c r="I6917" s="1" t="s">
        <v>8</v>
      </c>
      <c r="J6917" s="1" t="str">
        <f>"85/85"</f>
        <v>85/85</v>
      </c>
      <c r="K6917" s="1" t="str">
        <f>"2026-07-29 13:18:04"</f>
        <v>2026-07-29 13:18:04</v>
      </c>
      <c r="L6917" s="1" t="str">
        <f>"2019-12-13 09:13:08"</f>
        <v>2019-12-13 09:13:08</v>
      </c>
      <c r="M6917" s="1" t="s">
        <v>45</v>
      </c>
      <c r="N6917" s="1" t="s">
        <v>38</v>
      </c>
      <c r="O6917" s="1" t="s">
        <v>46</v>
      </c>
    </row>
    <row r="6918" spans="2:15" x14ac:dyDescent="0.3">
      <c r="B6918" s="1" t="s">
        <v>22</v>
      </c>
      <c r="C6918" s="1" t="str">
        <f>"4차"</f>
        <v>4차</v>
      </c>
      <c r="D6918" s="1" t="str">
        <f>"0329H11242"</f>
        <v>0329H11242</v>
      </c>
      <c r="E6918" s="1" t="s">
        <v>10</v>
      </c>
      <c r="F6918" s="1" t="str">
        <f>"10.12.131.138"</f>
        <v>10.12.131.138</v>
      </c>
      <c r="G6918" s="1" t="str">
        <f>"0329H112"</f>
        <v>0329H112</v>
      </c>
      <c r="H6918" s="1" t="str">
        <f>"중계간 23L17L2A1"</f>
        <v>중계간 23L17L2A1</v>
      </c>
      <c r="I6918" s="1" t="s">
        <v>8</v>
      </c>
      <c r="J6918" s="1" t="str">
        <f>"45/45"</f>
        <v>45/45</v>
      </c>
      <c r="K6918" s="1" t="str">
        <f>"2026-07-29 13:18:01"</f>
        <v>2026-07-29 13:18:01</v>
      </c>
      <c r="L6918" s="1" t="str">
        <f>"2024-12-19 08:55:32"</f>
        <v>2024-12-19 08:55:32</v>
      </c>
      <c r="M6918" s="1" t="s">
        <v>0</v>
      </c>
      <c r="N6918" s="1" t="s">
        <v>38</v>
      </c>
      <c r="O6918" s="1" t="s">
        <v>46</v>
      </c>
    </row>
    <row r="6919" spans="2:15" x14ac:dyDescent="0.3">
      <c r="B6919" s="1" t="s">
        <v>22</v>
      </c>
      <c r="C6919" s="1" t="str">
        <f>"6차"</f>
        <v>6차</v>
      </c>
      <c r="D6919" s="1" t="str">
        <f>"0329H1316S"</f>
        <v>0329H1316S</v>
      </c>
      <c r="E6919" s="1" t="s">
        <v>10</v>
      </c>
      <c r="F6919" s="1" t="str">
        <f>"fde1:103:4:c84c:0:0:0:2"</f>
        <v>fde1:103:4:c84c:0:0:0:2</v>
      </c>
      <c r="G6919" s="1" t="str">
        <f>"0329H131"</f>
        <v>0329H131</v>
      </c>
      <c r="H6919" s="1" t="str">
        <f>"중계간 23L16"</f>
        <v>중계간 23L16</v>
      </c>
      <c r="I6919" s="1" t="s">
        <v>15</v>
      </c>
      <c r="J6919" s="1" t="str">
        <f>"30/30"</f>
        <v>30/30</v>
      </c>
      <c r="K6919" s="1" t="str">
        <f>"2026-07-29 14:20:18"</f>
        <v>2026-07-29 14:20:18</v>
      </c>
      <c r="L6919" s="1" t="str">
        <f>"2025-01-17 17:44:22"</f>
        <v>2025-01-17 17:44:22</v>
      </c>
      <c r="M6919" s="1" t="s">
        <v>4</v>
      </c>
      <c r="N6919" s="1" t="s">
        <v>38</v>
      </c>
      <c r="O6919" s="1" t="s">
        <v>46</v>
      </c>
    </row>
    <row r="6920" spans="2:15" x14ac:dyDescent="0.3">
      <c r="B6920" s="1" t="s">
        <v>22</v>
      </c>
      <c r="C6920" s="1" t="str">
        <f>"4차"</f>
        <v>4차</v>
      </c>
      <c r="D6920" s="1" t="str">
        <f>"0329H19344"</f>
        <v>0329H19344</v>
      </c>
      <c r="E6920" s="1" t="s">
        <v>10</v>
      </c>
      <c r="F6920" s="1" t="str">
        <f>"10.107.120.239"</f>
        <v>10.107.120.239</v>
      </c>
      <c r="G6920" s="1" t="str">
        <f>"0329H193"</f>
        <v>0329H193</v>
      </c>
      <c r="H6920" s="1" t="str">
        <f>"중계간 9L8L3"</f>
        <v>중계간 9L8L3</v>
      </c>
      <c r="I6920" s="1" t="s">
        <v>8</v>
      </c>
      <c r="J6920" s="1" t="str">
        <f>"75/81"</f>
        <v>75/81</v>
      </c>
      <c r="K6920" s="1" t="str">
        <f>"2026-07-29 13:18:04"</f>
        <v>2026-07-29 13:18:04</v>
      </c>
      <c r="L6920" s="1" t="str">
        <f>"2020-01-10 11:46:45"</f>
        <v>2020-01-10 11:46:45</v>
      </c>
      <c r="M6920" s="1" t="s">
        <v>45</v>
      </c>
      <c r="N6920" s="1" t="s">
        <v>38</v>
      </c>
      <c r="O6920" s="1" t="s">
        <v>46</v>
      </c>
    </row>
    <row r="6921" spans="2:15" x14ac:dyDescent="0.3">
      <c r="B6921" s="1" t="s">
        <v>22</v>
      </c>
      <c r="C6921" s="1" t="str">
        <f>"4차"</f>
        <v>4차</v>
      </c>
      <c r="D6921" s="1" t="str">
        <f>"0329H20144"</f>
        <v>0329H20144</v>
      </c>
      <c r="E6921" s="1" t="s">
        <v>10</v>
      </c>
      <c r="F6921" s="1" t="str">
        <f>"10.107.251.34"</f>
        <v>10.107.251.34</v>
      </c>
      <c r="G6921" s="1" t="str">
        <f>"0329H201"</f>
        <v>0329H201</v>
      </c>
      <c r="H6921" s="1" t="str">
        <f>"중계간 23L11"</f>
        <v>중계간 23L11</v>
      </c>
      <c r="I6921" s="1" t="s">
        <v>8</v>
      </c>
      <c r="J6921" s="1" t="str">
        <f>"85/85"</f>
        <v>85/85</v>
      </c>
      <c r="K6921" s="1" t="str">
        <f>"2026-07-29 13:18:04"</f>
        <v>2026-07-29 13:18:04</v>
      </c>
      <c r="L6921" s="1" t="str">
        <f>"2019-12-13 09:11:49"</f>
        <v>2019-12-13 09:11:49</v>
      </c>
      <c r="M6921" s="1" t="s">
        <v>45</v>
      </c>
      <c r="N6921" s="1" t="s">
        <v>38</v>
      </c>
      <c r="O6921" s="1" t="s">
        <v>46</v>
      </c>
    </row>
    <row r="6922" spans="2:15" x14ac:dyDescent="0.3">
      <c r="B6922" s="1" t="s">
        <v>22</v>
      </c>
      <c r="C6922" s="1" t="str">
        <f>"1차"</f>
        <v>1차</v>
      </c>
      <c r="D6922" s="1" t="str">
        <f>"0329H21200"</f>
        <v>0329H21200</v>
      </c>
      <c r="E6922" s="1" t="s">
        <v>10</v>
      </c>
      <c r="F6922" s="1" t="str">
        <f>"10.107.251.167"</f>
        <v>10.107.251.167</v>
      </c>
      <c r="G6922" s="1" t="str">
        <f>"0329H212"</f>
        <v>0329H212</v>
      </c>
      <c r="H6922" s="1" t="str">
        <f>"중계간 23L13"</f>
        <v>중계간 23L13</v>
      </c>
      <c r="I6922" s="1" t="s">
        <v>8</v>
      </c>
      <c r="J6922" s="1" t="str">
        <f>"131/133"</f>
        <v>131/133</v>
      </c>
      <c r="K6922" s="1" t="str">
        <f>"2026-07-29 13:18:03"</f>
        <v>2026-07-29 13:18:03</v>
      </c>
      <c r="L6922" s="1" t="str">
        <f>"2014-12-26 11:28:12"</f>
        <v>2014-12-26 11:28:12</v>
      </c>
      <c r="M6922" s="1" t="s">
        <v>45</v>
      </c>
      <c r="N6922" s="1" t="s">
        <v>38</v>
      </c>
      <c r="O6922" s="1" t="s">
        <v>46</v>
      </c>
    </row>
    <row r="6923" spans="2:15" x14ac:dyDescent="0.3">
      <c r="B6923" s="1" t="s">
        <v>22</v>
      </c>
      <c r="C6923" s="1" t="str">
        <f>"6차"</f>
        <v>6차</v>
      </c>
      <c r="D6923" s="1" t="str">
        <f>"0329H2226S"</f>
        <v>0329H2226S</v>
      </c>
      <c r="E6923" s="1" t="s">
        <v>10</v>
      </c>
      <c r="F6923" s="1" t="str">
        <f>"fde1:103:4:c859:0:0:0:2"</f>
        <v>fde1:103:4:c859:0:0:0:2</v>
      </c>
      <c r="G6923" s="1" t="str">
        <f>"0329H222"</f>
        <v>0329H222</v>
      </c>
      <c r="H6923" s="1" t="str">
        <f>"중계간 23L14"</f>
        <v>중계간 23L14</v>
      </c>
      <c r="I6923" s="1" t="s">
        <v>15</v>
      </c>
      <c r="J6923" s="1" t="str">
        <f>"81/103"</f>
        <v>81/103</v>
      </c>
      <c r="K6923" s="1" t="str">
        <f>"2026-07-29 14:20:19"</f>
        <v>2026-07-29 14:20:19</v>
      </c>
      <c r="L6923" s="1" t="str">
        <f>"2025-01-17 17:43:45"</f>
        <v>2025-01-17 17:43:45</v>
      </c>
      <c r="M6923" s="1" t="s">
        <v>4</v>
      </c>
      <c r="N6923" s="1" t="s">
        <v>38</v>
      </c>
      <c r="O6923" s="1" t="s">
        <v>46</v>
      </c>
    </row>
    <row r="6924" spans="2:15" x14ac:dyDescent="0.3">
      <c r="B6924" s="1" t="s">
        <v>22</v>
      </c>
      <c r="C6924" s="1" t="str">
        <f>"4차"</f>
        <v>4차</v>
      </c>
      <c r="D6924" s="1" t="str">
        <f>"0329H23144"</f>
        <v>0329H23144</v>
      </c>
      <c r="E6924" s="1" t="s">
        <v>10</v>
      </c>
      <c r="F6924" s="1" t="str">
        <f>"10.107.119.100"</f>
        <v>10.107.119.100</v>
      </c>
      <c r="G6924" s="1" t="str">
        <f>"0329H231"</f>
        <v>0329H231</v>
      </c>
      <c r="H6924" s="1" t="str">
        <f>"중계간 23L15"</f>
        <v>중계간 23L15</v>
      </c>
      <c r="I6924" s="1" t="s">
        <v>8</v>
      </c>
      <c r="J6924" s="1" t="str">
        <f>"94/94"</f>
        <v>94/94</v>
      </c>
      <c r="K6924" s="1" t="str">
        <f>"2026-07-29 13:18:04"</f>
        <v>2026-07-29 13:18:04</v>
      </c>
      <c r="L6924" s="1" t="str">
        <f>"2020-01-21 19:20:47"</f>
        <v>2020-01-21 19:20:47</v>
      </c>
      <c r="M6924" s="1" t="s">
        <v>45</v>
      </c>
      <c r="N6924" s="1" t="s">
        <v>38</v>
      </c>
      <c r="O6924" s="1" t="s">
        <v>46</v>
      </c>
    </row>
    <row r="6925" spans="2:15" x14ac:dyDescent="0.3">
      <c r="B6925" s="1" t="s">
        <v>22</v>
      </c>
      <c r="C6925" s="1" t="str">
        <f>"3차"</f>
        <v>3차</v>
      </c>
      <c r="D6925" s="1" t="str">
        <f>"0329H24139"</f>
        <v>0329H24139</v>
      </c>
      <c r="E6925" s="1" t="s">
        <v>10</v>
      </c>
      <c r="F6925" s="1" t="str">
        <f>"10.11.130.74"</f>
        <v>10.11.130.74</v>
      </c>
      <c r="G6925" s="1" t="str">
        <f>"0329H241"</f>
        <v>0329H241</v>
      </c>
      <c r="H6925" s="1" t="str">
        <f>"중계간 23L15R1"</f>
        <v>중계간 23L15R1</v>
      </c>
      <c r="I6925" s="1" t="s">
        <v>8</v>
      </c>
      <c r="J6925" s="1" t="str">
        <f>"144/144"</f>
        <v>144/144</v>
      </c>
      <c r="K6925" s="1" t="str">
        <f t="shared" ref="K6925:K6939" si="340">"2026-07-29 13:18:03"</f>
        <v>2026-07-29 13:18:03</v>
      </c>
      <c r="L6925" s="1" t="str">
        <f>"2018-10-01 15:38:43"</f>
        <v>2018-10-01 15:38:43</v>
      </c>
      <c r="M6925" s="1" t="s">
        <v>2</v>
      </c>
      <c r="N6925" s="1" t="s">
        <v>38</v>
      </c>
      <c r="O6925" s="1" t="s">
        <v>46</v>
      </c>
    </row>
    <row r="6926" spans="2:15" x14ac:dyDescent="0.3">
      <c r="B6926" s="1" t="s">
        <v>22</v>
      </c>
      <c r="C6926" s="1" t="str">
        <f>"4차"</f>
        <v>4차</v>
      </c>
      <c r="D6926" s="1" t="str">
        <f>"0329H27144"</f>
        <v>0329H27144</v>
      </c>
      <c r="E6926" s="1" t="s">
        <v>10</v>
      </c>
      <c r="F6926" s="1" t="str">
        <f>"10.107.120.240"</f>
        <v>10.107.120.240</v>
      </c>
      <c r="G6926" s="1" t="str">
        <f>"0329H271"</f>
        <v>0329H271</v>
      </c>
      <c r="H6926" s="1" t="str">
        <f>"중계간 9L16"</f>
        <v>중계간 9L16</v>
      </c>
      <c r="I6926" s="1" t="s">
        <v>8</v>
      </c>
      <c r="J6926" s="1" t="str">
        <f>"29/29"</f>
        <v>29/29</v>
      </c>
      <c r="K6926" s="1" t="str">
        <f t="shared" si="340"/>
        <v>2026-07-29 13:18:03</v>
      </c>
      <c r="L6926" s="1" t="str">
        <f>"2020-01-22 14:10:04"</f>
        <v>2020-01-22 14:10:04</v>
      </c>
      <c r="M6926" s="1" t="s">
        <v>45</v>
      </c>
      <c r="N6926" s="1" t="s">
        <v>38</v>
      </c>
      <c r="O6926" s="1" t="s">
        <v>46</v>
      </c>
    </row>
    <row r="6927" spans="2:15" x14ac:dyDescent="0.3">
      <c r="B6927" s="1" t="s">
        <v>22</v>
      </c>
      <c r="C6927" s="1" t="str">
        <f>"4차"</f>
        <v>4차</v>
      </c>
      <c r="D6927" s="1" t="str">
        <f>"0329H28344"</f>
        <v>0329H28344</v>
      </c>
      <c r="E6927" s="1" t="s">
        <v>10</v>
      </c>
      <c r="F6927" s="1" t="str">
        <f>"10.107.120.241"</f>
        <v>10.107.120.241</v>
      </c>
      <c r="G6927" s="1" t="str">
        <f>"0329H283"</f>
        <v>0329H283</v>
      </c>
      <c r="H6927" s="1" t="str">
        <f>"중계간 9L8L4"</f>
        <v>중계간 9L8L4</v>
      </c>
      <c r="I6927" s="1" t="s">
        <v>8</v>
      </c>
      <c r="J6927" s="1" t="str">
        <f>"21/21"</f>
        <v>21/21</v>
      </c>
      <c r="K6927" s="1" t="str">
        <f t="shared" si="340"/>
        <v>2026-07-29 13:18:03</v>
      </c>
      <c r="L6927" s="1" t="str">
        <f>"2020-01-10 11:44:42"</f>
        <v>2020-01-10 11:44:42</v>
      </c>
      <c r="M6927" s="1" t="s">
        <v>45</v>
      </c>
      <c r="N6927" s="1" t="s">
        <v>38</v>
      </c>
      <c r="O6927" s="1" t="s">
        <v>46</v>
      </c>
    </row>
    <row r="6928" spans="2:15" x14ac:dyDescent="0.3">
      <c r="B6928" s="1" t="s">
        <v>22</v>
      </c>
      <c r="C6928" s="1" t="str">
        <f>"4차"</f>
        <v>4차</v>
      </c>
      <c r="D6928" s="1" t="str">
        <f>"0329H30344"</f>
        <v>0329H30344</v>
      </c>
      <c r="E6928" s="1" t="s">
        <v>10</v>
      </c>
      <c r="F6928" s="1" t="str">
        <f>"10.107.248.25"</f>
        <v>10.107.248.25</v>
      </c>
      <c r="G6928" s="1" t="str">
        <f>"0329H303"</f>
        <v>0329H303</v>
      </c>
      <c r="H6928" s="1" t="str">
        <f>"중계간 23L11L1L1"</f>
        <v>중계간 23L11L1L1</v>
      </c>
      <c r="I6928" s="1" t="s">
        <v>8</v>
      </c>
      <c r="J6928" s="1" t="str">
        <f>"108/108"</f>
        <v>108/108</v>
      </c>
      <c r="K6928" s="1" t="str">
        <f t="shared" si="340"/>
        <v>2026-07-29 13:18:03</v>
      </c>
      <c r="L6928" s="1" t="str">
        <f>"2020-01-10 11:41:51"</f>
        <v>2020-01-10 11:41:51</v>
      </c>
      <c r="M6928" s="1" t="s">
        <v>45</v>
      </c>
      <c r="N6928" s="1" t="s">
        <v>38</v>
      </c>
      <c r="O6928" s="1" t="s">
        <v>46</v>
      </c>
    </row>
    <row r="6929" spans="2:15" x14ac:dyDescent="0.3">
      <c r="B6929" s="1" t="s">
        <v>22</v>
      </c>
      <c r="C6929" s="1" t="str">
        <f>"4차"</f>
        <v>4차</v>
      </c>
      <c r="D6929" s="1" t="str">
        <f>"0329H32144"</f>
        <v>0329H32144</v>
      </c>
      <c r="E6929" s="1" t="s">
        <v>10</v>
      </c>
      <c r="F6929" s="1" t="str">
        <f>"10.107.248.26"</f>
        <v>10.107.248.26</v>
      </c>
      <c r="G6929" s="1" t="str">
        <f>"0329H321"</f>
        <v>0329H321</v>
      </c>
      <c r="H6929" s="1" t="str">
        <f>"중계간 23L11L1L3L4"</f>
        <v>중계간 23L11L1L3L4</v>
      </c>
      <c r="I6929" s="1" t="s">
        <v>8</v>
      </c>
      <c r="J6929" s="1" t="str">
        <f>"24/24"</f>
        <v>24/24</v>
      </c>
      <c r="K6929" s="1" t="str">
        <f t="shared" si="340"/>
        <v>2026-07-29 13:18:03</v>
      </c>
      <c r="L6929" s="1" t="str">
        <f>"2020-01-10 11:44:03"</f>
        <v>2020-01-10 11:44:03</v>
      </c>
      <c r="M6929" s="1" t="s">
        <v>45</v>
      </c>
      <c r="N6929" s="1" t="s">
        <v>38</v>
      </c>
      <c r="O6929" s="1" t="s">
        <v>46</v>
      </c>
    </row>
    <row r="6930" spans="2:15" x14ac:dyDescent="0.3">
      <c r="B6930" s="1" t="s">
        <v>22</v>
      </c>
      <c r="C6930" s="1" t="str">
        <f>"3차"</f>
        <v>3차</v>
      </c>
      <c r="D6930" s="1" t="str">
        <f>"0329H32239"</f>
        <v>0329H32239</v>
      </c>
      <c r="E6930" s="1" t="s">
        <v>10</v>
      </c>
      <c r="F6930" s="1" t="str">
        <f>"10.11.130.50"</f>
        <v>10.11.130.50</v>
      </c>
      <c r="G6930" s="1" t="str">
        <f>"0329H322"</f>
        <v>0329H322</v>
      </c>
      <c r="H6930" s="1" t="str">
        <f>"중계간 23L11L1L3L3"</f>
        <v>중계간 23L11L1L3L3</v>
      </c>
      <c r="I6930" s="1" t="s">
        <v>8</v>
      </c>
      <c r="J6930" s="1" t="str">
        <f>"24/24"</f>
        <v>24/24</v>
      </c>
      <c r="K6930" s="1" t="str">
        <f t="shared" si="340"/>
        <v>2026-07-29 13:18:03</v>
      </c>
      <c r="L6930" s="1" t="str">
        <f>"2018-04-19 08:50:40"</f>
        <v>2018-04-19 08:50:40</v>
      </c>
      <c r="M6930" s="1" t="s">
        <v>2</v>
      </c>
      <c r="N6930" s="1" t="s">
        <v>38</v>
      </c>
      <c r="O6930" s="1" t="s">
        <v>46</v>
      </c>
    </row>
    <row r="6931" spans="2:15" x14ac:dyDescent="0.3">
      <c r="B6931" s="1" t="s">
        <v>22</v>
      </c>
      <c r="C6931" s="1" t="str">
        <f t="shared" ref="C6931:C6950" si="341">"4차"</f>
        <v>4차</v>
      </c>
      <c r="D6931" s="1" t="str">
        <f>"0329H33444"</f>
        <v>0329H33444</v>
      </c>
      <c r="E6931" s="1" t="s">
        <v>10</v>
      </c>
      <c r="F6931" s="1" t="str">
        <f>"10.107.248.27"</f>
        <v>10.107.248.27</v>
      </c>
      <c r="G6931" s="1" t="str">
        <f>"0329H334"</f>
        <v>0329H334</v>
      </c>
      <c r="H6931" s="1" t="str">
        <f>"중계간 23L11L1L3L5H1"</f>
        <v>중계간 23L11L1L3L5H1</v>
      </c>
      <c r="I6931" s="1" t="s">
        <v>8</v>
      </c>
      <c r="J6931" s="1" t="str">
        <f>"94/94"</f>
        <v>94/94</v>
      </c>
      <c r="K6931" s="1" t="str">
        <f t="shared" si="340"/>
        <v>2026-07-29 13:18:03</v>
      </c>
      <c r="L6931" s="1" t="str">
        <f>"2020-01-10 11:44:42"</f>
        <v>2020-01-10 11:44:42</v>
      </c>
      <c r="M6931" s="1" t="s">
        <v>45</v>
      </c>
      <c r="N6931" s="1" t="s">
        <v>38</v>
      </c>
      <c r="O6931" s="1" t="s">
        <v>46</v>
      </c>
    </row>
    <row r="6932" spans="2:15" x14ac:dyDescent="0.3">
      <c r="B6932" s="1" t="s">
        <v>22</v>
      </c>
      <c r="C6932" s="1" t="str">
        <f t="shared" si="341"/>
        <v>4차</v>
      </c>
      <c r="D6932" s="1" t="str">
        <f>"0329H40144"</f>
        <v>0329H40144</v>
      </c>
      <c r="E6932" s="1" t="s">
        <v>10</v>
      </c>
      <c r="F6932" s="1" t="str">
        <f>"10.107.248.28"</f>
        <v>10.107.248.28</v>
      </c>
      <c r="G6932" s="1" t="str">
        <f>"0329H401"</f>
        <v>0329H401</v>
      </c>
      <c r="H6932" s="1" t="str">
        <f>"중계간 23L11L1L3"</f>
        <v>중계간 23L11L1L3</v>
      </c>
      <c r="I6932" s="1" t="s">
        <v>8</v>
      </c>
      <c r="J6932" s="1" t="str">
        <f>"11/11"</f>
        <v>11/11</v>
      </c>
      <c r="K6932" s="1" t="str">
        <f t="shared" si="340"/>
        <v>2026-07-29 13:18:03</v>
      </c>
      <c r="L6932" s="1" t="str">
        <f>"2020-01-10 11:42:12"</f>
        <v>2020-01-10 11:42:12</v>
      </c>
      <c r="M6932" s="1" t="s">
        <v>45</v>
      </c>
      <c r="N6932" s="1" t="s">
        <v>38</v>
      </c>
      <c r="O6932" s="1" t="s">
        <v>46</v>
      </c>
    </row>
    <row r="6933" spans="2:15" x14ac:dyDescent="0.3">
      <c r="B6933" s="1" t="s">
        <v>22</v>
      </c>
      <c r="C6933" s="1" t="str">
        <f t="shared" si="341"/>
        <v>4차</v>
      </c>
      <c r="D6933" s="1" t="str">
        <f>"0329H40239"</f>
        <v>0329H40239</v>
      </c>
      <c r="E6933" s="1" t="s">
        <v>10</v>
      </c>
      <c r="F6933" s="1" t="str">
        <f>"10.11.130.58"</f>
        <v>10.11.130.58</v>
      </c>
      <c r="G6933" s="1" t="str">
        <f>"0329H402"</f>
        <v>0329H402</v>
      </c>
      <c r="H6933" s="1" t="str">
        <f>"중계간 23L11L1L4"</f>
        <v>중계간 23L11L1L4</v>
      </c>
      <c r="I6933" s="1" t="s">
        <v>8</v>
      </c>
      <c r="J6933" s="1" t="str">
        <f>"164/164"</f>
        <v>164/164</v>
      </c>
      <c r="K6933" s="1" t="str">
        <f t="shared" si="340"/>
        <v>2026-07-29 13:18:03</v>
      </c>
      <c r="L6933" s="1" t="str">
        <f>"2018-10-01 12:49:55"</f>
        <v>2018-10-01 12:49:55</v>
      </c>
      <c r="M6933" s="1" t="s">
        <v>2</v>
      </c>
      <c r="N6933" s="1" t="s">
        <v>38</v>
      </c>
      <c r="O6933" s="1" t="s">
        <v>46</v>
      </c>
    </row>
    <row r="6934" spans="2:15" x14ac:dyDescent="0.3">
      <c r="B6934" s="1" t="s">
        <v>22</v>
      </c>
      <c r="C6934" s="1" t="str">
        <f t="shared" si="341"/>
        <v>4차</v>
      </c>
      <c r="D6934" s="1" t="str">
        <f>"0329H41344"</f>
        <v>0329H41344</v>
      </c>
      <c r="E6934" s="1" t="s">
        <v>10</v>
      </c>
      <c r="F6934" s="1" t="str">
        <f>"10.107.248.29"</f>
        <v>10.107.248.29</v>
      </c>
      <c r="G6934" s="1" t="str">
        <f>"0329H413"</f>
        <v>0329H413</v>
      </c>
      <c r="H6934" s="1" t="str">
        <f>"중계간 23L11L1L3L1"</f>
        <v>중계간 23L11L1L3L1</v>
      </c>
      <c r="I6934" s="1" t="s">
        <v>8</v>
      </c>
      <c r="J6934" s="1" t="str">
        <f>"79/79"</f>
        <v>79/79</v>
      </c>
      <c r="K6934" s="1" t="str">
        <f t="shared" si="340"/>
        <v>2026-07-29 13:18:03</v>
      </c>
      <c r="L6934" s="1" t="str">
        <f>"2020-01-10 11:44:21"</f>
        <v>2020-01-10 11:44:21</v>
      </c>
      <c r="M6934" s="1" t="s">
        <v>45</v>
      </c>
      <c r="N6934" s="1" t="s">
        <v>38</v>
      </c>
      <c r="O6934" s="1" t="s">
        <v>46</v>
      </c>
    </row>
    <row r="6935" spans="2:15" x14ac:dyDescent="0.3">
      <c r="B6935" s="1" t="s">
        <v>22</v>
      </c>
      <c r="C6935" s="1" t="str">
        <f t="shared" si="341"/>
        <v>4차</v>
      </c>
      <c r="D6935" s="1" t="str">
        <f>"0329H43144"</f>
        <v>0329H43144</v>
      </c>
      <c r="E6935" s="1" t="s">
        <v>10</v>
      </c>
      <c r="F6935" s="1" t="str">
        <f>"10.107.119.101"</f>
        <v>10.107.119.101</v>
      </c>
      <c r="G6935" s="1" t="str">
        <f>"0329H431"</f>
        <v>0329H431</v>
      </c>
      <c r="H6935" s="1" t="str">
        <f>"중계간 23L15R5"</f>
        <v>중계간 23L15R5</v>
      </c>
      <c r="I6935" s="1" t="s">
        <v>8</v>
      </c>
      <c r="J6935" s="1" t="str">
        <f>"64/65"</f>
        <v>64/65</v>
      </c>
      <c r="K6935" s="1" t="str">
        <f t="shared" si="340"/>
        <v>2026-07-29 13:18:03</v>
      </c>
      <c r="L6935" s="1" t="str">
        <f>"2020-01-10 11:46:41"</f>
        <v>2020-01-10 11:46:41</v>
      </c>
      <c r="M6935" s="1" t="s">
        <v>45</v>
      </c>
      <c r="N6935" s="1" t="s">
        <v>38</v>
      </c>
      <c r="O6935" s="1" t="s">
        <v>46</v>
      </c>
    </row>
    <row r="6936" spans="2:15" x14ac:dyDescent="0.3">
      <c r="B6936" s="1" t="s">
        <v>22</v>
      </c>
      <c r="C6936" s="1" t="str">
        <f t="shared" si="341"/>
        <v>4차</v>
      </c>
      <c r="D6936" s="1" t="str">
        <f>"0329H50244"</f>
        <v>0329H50244</v>
      </c>
      <c r="E6936" s="1" t="s">
        <v>10</v>
      </c>
      <c r="F6936" s="1" t="str">
        <f>"10.107.249.204"</f>
        <v>10.107.249.204</v>
      </c>
      <c r="G6936" s="1" t="str">
        <f>"0329H502"</f>
        <v>0329H502</v>
      </c>
      <c r="H6936" s="1" t="str">
        <f>"중계간 23L11L1L6"</f>
        <v>중계간 23L11L1L6</v>
      </c>
      <c r="I6936" s="1" t="s">
        <v>8</v>
      </c>
      <c r="J6936" s="1" t="str">
        <f>"38/38"</f>
        <v>38/38</v>
      </c>
      <c r="K6936" s="1" t="str">
        <f t="shared" si="340"/>
        <v>2026-07-29 13:18:03</v>
      </c>
      <c r="L6936" s="1" t="str">
        <f>"2020-01-10 11:44:06"</f>
        <v>2020-01-10 11:44:06</v>
      </c>
      <c r="M6936" s="1" t="s">
        <v>45</v>
      </c>
      <c r="N6936" s="1" t="s">
        <v>38</v>
      </c>
      <c r="O6936" s="1" t="s">
        <v>46</v>
      </c>
    </row>
    <row r="6937" spans="2:15" x14ac:dyDescent="0.3">
      <c r="B6937" s="1" t="s">
        <v>22</v>
      </c>
      <c r="C6937" s="1" t="str">
        <f t="shared" si="341"/>
        <v>4차</v>
      </c>
      <c r="D6937" s="1" t="str">
        <f>"0329H50344"</f>
        <v>0329H50344</v>
      </c>
      <c r="E6937" s="1" t="s">
        <v>10</v>
      </c>
      <c r="F6937" s="1" t="str">
        <f>"10.107.119.66"</f>
        <v>10.107.119.66</v>
      </c>
      <c r="G6937" s="1" t="str">
        <f>"0329H503"</f>
        <v>0329H503</v>
      </c>
      <c r="H6937" s="1" t="str">
        <f>"공덕지 35R8"</f>
        <v>공덕지 35R8</v>
      </c>
      <c r="I6937" s="1" t="s">
        <v>8</v>
      </c>
      <c r="J6937" s="1" t="str">
        <f>"71/71"</f>
        <v>71/71</v>
      </c>
      <c r="K6937" s="1" t="str">
        <f t="shared" si="340"/>
        <v>2026-07-29 13:18:03</v>
      </c>
      <c r="L6937" s="1" t="str">
        <f>"2020-01-10 11:30:02"</f>
        <v>2020-01-10 11:30:02</v>
      </c>
      <c r="M6937" s="1" t="s">
        <v>45</v>
      </c>
      <c r="N6937" s="1" t="s">
        <v>38</v>
      </c>
      <c r="O6937" s="1" t="s">
        <v>46</v>
      </c>
    </row>
    <row r="6938" spans="2:15" x14ac:dyDescent="0.3">
      <c r="B6938" s="1" t="s">
        <v>22</v>
      </c>
      <c r="C6938" s="1" t="str">
        <f t="shared" si="341"/>
        <v>4차</v>
      </c>
      <c r="D6938" s="1" t="str">
        <f>"0329H51144"</f>
        <v>0329H51144</v>
      </c>
      <c r="E6938" s="1" t="s">
        <v>10</v>
      </c>
      <c r="F6938" s="1" t="str">
        <f>"10.107.119.67"</f>
        <v>10.107.119.67</v>
      </c>
      <c r="G6938" s="1" t="str">
        <f>"0329H511"</f>
        <v>0329H511</v>
      </c>
      <c r="H6938" s="1" t="str">
        <f>"공덕지 35R11"</f>
        <v>공덕지 35R11</v>
      </c>
      <c r="I6938" s="1" t="s">
        <v>8</v>
      </c>
      <c r="J6938" s="1" t="str">
        <f>"90/90"</f>
        <v>90/90</v>
      </c>
      <c r="K6938" s="1" t="str">
        <f t="shared" si="340"/>
        <v>2026-07-29 13:18:03</v>
      </c>
      <c r="L6938" s="1" t="str">
        <f>"2020-01-10 11:50:02"</f>
        <v>2020-01-10 11:50:02</v>
      </c>
      <c r="M6938" s="1" t="s">
        <v>45</v>
      </c>
      <c r="N6938" s="1" t="s">
        <v>38</v>
      </c>
      <c r="O6938" s="1" t="s">
        <v>46</v>
      </c>
    </row>
    <row r="6939" spans="2:15" x14ac:dyDescent="0.3">
      <c r="B6939" s="1" t="s">
        <v>22</v>
      </c>
      <c r="C6939" s="1" t="str">
        <f t="shared" si="341"/>
        <v>4차</v>
      </c>
      <c r="D6939" s="1" t="str">
        <f>"0329H52344"</f>
        <v>0329H52344</v>
      </c>
      <c r="E6939" s="1" t="s">
        <v>10</v>
      </c>
      <c r="F6939" s="1" t="str">
        <f>"10.107.119.81"</f>
        <v>10.107.119.81</v>
      </c>
      <c r="G6939" s="1" t="str">
        <f>"0329H523"</f>
        <v>0329H523</v>
      </c>
      <c r="H6939" s="1" t="str">
        <f>"공덕지 35R13"</f>
        <v>공덕지 35R13</v>
      </c>
      <c r="I6939" s="1" t="s">
        <v>8</v>
      </c>
      <c r="J6939" s="1" t="str">
        <f>"58/58"</f>
        <v>58/58</v>
      </c>
      <c r="K6939" s="1" t="str">
        <f t="shared" si="340"/>
        <v>2026-07-29 13:18:03</v>
      </c>
      <c r="L6939" s="1" t="str">
        <f>"2020-01-10 11:26:41"</f>
        <v>2020-01-10 11:26:41</v>
      </c>
      <c r="M6939" s="1" t="s">
        <v>45</v>
      </c>
      <c r="N6939" s="1" t="s">
        <v>38</v>
      </c>
      <c r="O6939" s="1" t="s">
        <v>46</v>
      </c>
    </row>
    <row r="6940" spans="2:15" x14ac:dyDescent="0.3">
      <c r="B6940" s="1" t="s">
        <v>22</v>
      </c>
      <c r="C6940" s="1" t="str">
        <f t="shared" si="341"/>
        <v>4차</v>
      </c>
      <c r="D6940" s="1" t="str">
        <f>"0329H52544"</f>
        <v>0329H52544</v>
      </c>
      <c r="E6940" s="1" t="s">
        <v>10</v>
      </c>
      <c r="F6940" s="1" t="str">
        <f>"10.107.119.102"</f>
        <v>10.107.119.102</v>
      </c>
      <c r="G6940" s="1" t="str">
        <f>"0329H525"</f>
        <v>0329H525</v>
      </c>
      <c r="H6940" s="1" t="str">
        <f>"중계간 23L15R6"</f>
        <v>중계간 23L15R6</v>
      </c>
      <c r="I6940" s="1" t="s">
        <v>8</v>
      </c>
      <c r="J6940" s="1" t="str">
        <f>"73/73"</f>
        <v>73/73</v>
      </c>
      <c r="K6940" s="1" t="str">
        <f>"2026-07-29 13:18:04"</f>
        <v>2026-07-29 13:18:04</v>
      </c>
      <c r="L6940" s="1" t="str">
        <f>"2020-01-10 11:46:41"</f>
        <v>2020-01-10 11:46:41</v>
      </c>
      <c r="M6940" s="1" t="s">
        <v>45</v>
      </c>
      <c r="N6940" s="1" t="s">
        <v>38</v>
      </c>
      <c r="O6940" s="1" t="s">
        <v>46</v>
      </c>
    </row>
    <row r="6941" spans="2:15" x14ac:dyDescent="0.3">
      <c r="B6941" s="1" t="s">
        <v>22</v>
      </c>
      <c r="C6941" s="1" t="str">
        <f t="shared" si="341"/>
        <v>4차</v>
      </c>
      <c r="D6941" s="1" t="str">
        <f>"0329H53144"</f>
        <v>0329H53144</v>
      </c>
      <c r="E6941" s="1" t="s">
        <v>10</v>
      </c>
      <c r="F6941" s="1" t="str">
        <f>"10.107.251.213"</f>
        <v>10.107.251.213</v>
      </c>
      <c r="G6941" s="1" t="str">
        <f>"0329H531"</f>
        <v>0329H531</v>
      </c>
      <c r="H6941" s="1" t="str">
        <f>"공덕지 23R5"</f>
        <v>공덕지 23R5</v>
      </c>
      <c r="I6941" s="1" t="s">
        <v>8</v>
      </c>
      <c r="J6941" s="1" t="str">
        <f>"58/58"</f>
        <v>58/58</v>
      </c>
      <c r="K6941" s="1" t="str">
        <f>"2026-07-29 13:18:03"</f>
        <v>2026-07-29 13:18:03</v>
      </c>
      <c r="L6941" s="1" t="str">
        <f>"2020-02-07 18:05:19"</f>
        <v>2020-02-07 18:05:19</v>
      </c>
      <c r="M6941" s="1" t="s">
        <v>45</v>
      </c>
      <c r="N6941" s="1" t="s">
        <v>38</v>
      </c>
      <c r="O6941" s="1" t="s">
        <v>46</v>
      </c>
    </row>
    <row r="6942" spans="2:15" x14ac:dyDescent="0.3">
      <c r="B6942" s="1" t="s">
        <v>22</v>
      </c>
      <c r="C6942" s="1" t="str">
        <f t="shared" si="341"/>
        <v>4차</v>
      </c>
      <c r="D6942" s="1" t="str">
        <f>"0329H56344"</f>
        <v>0329H56344</v>
      </c>
      <c r="E6942" s="1" t="s">
        <v>10</v>
      </c>
      <c r="F6942" s="1" t="str">
        <f>"10.107.119.82"</f>
        <v>10.107.119.82</v>
      </c>
      <c r="G6942" s="1" t="str">
        <f>"0329H563"</f>
        <v>0329H563</v>
      </c>
      <c r="H6942" s="1" t="str">
        <f>"공덕지 16R1"</f>
        <v>공덕지 16R1</v>
      </c>
      <c r="I6942" s="1" t="s">
        <v>8</v>
      </c>
      <c r="J6942" s="1" t="str">
        <f>"72/72"</f>
        <v>72/72</v>
      </c>
      <c r="K6942" s="1" t="str">
        <f>"2026-07-29 13:18:04"</f>
        <v>2026-07-29 13:18:04</v>
      </c>
      <c r="L6942" s="1" t="str">
        <f>"2020-01-10 11:42:12"</f>
        <v>2020-01-10 11:42:12</v>
      </c>
      <c r="M6942" s="1" t="s">
        <v>45</v>
      </c>
      <c r="N6942" s="1" t="s">
        <v>38</v>
      </c>
      <c r="O6942" s="1" t="s">
        <v>46</v>
      </c>
    </row>
    <row r="6943" spans="2:15" x14ac:dyDescent="0.3">
      <c r="B6943" s="1" t="s">
        <v>22</v>
      </c>
      <c r="C6943" s="1" t="str">
        <f t="shared" si="341"/>
        <v>4차</v>
      </c>
      <c r="D6943" s="1" t="str">
        <f>"0329H60244"</f>
        <v>0329H60244</v>
      </c>
      <c r="E6943" s="1" t="s">
        <v>10</v>
      </c>
      <c r="F6943" s="1" t="str">
        <f>"10.107.119.68"</f>
        <v>10.107.119.68</v>
      </c>
      <c r="G6943" s="1" t="str">
        <f>"0329H602"</f>
        <v>0329H602</v>
      </c>
      <c r="H6943" s="1" t="str">
        <f>"공덕지 35R2R4L1"</f>
        <v>공덕지 35R2R4L1</v>
      </c>
      <c r="I6943" s="1" t="s">
        <v>8</v>
      </c>
      <c r="J6943" s="1" t="str">
        <f>"153/156"</f>
        <v>153/156</v>
      </c>
      <c r="K6943" s="1" t="str">
        <f>"2026-07-29 13:18:04"</f>
        <v>2026-07-29 13:18:04</v>
      </c>
      <c r="L6943" s="1" t="str">
        <f>"2020-01-10 11:27:27"</f>
        <v>2020-01-10 11:27:27</v>
      </c>
      <c r="M6943" s="1" t="s">
        <v>45</v>
      </c>
      <c r="N6943" s="1" t="s">
        <v>38</v>
      </c>
      <c r="O6943" s="1" t="s">
        <v>46</v>
      </c>
    </row>
    <row r="6944" spans="2:15" x14ac:dyDescent="0.3">
      <c r="B6944" s="1" t="s">
        <v>22</v>
      </c>
      <c r="C6944" s="1" t="str">
        <f t="shared" si="341"/>
        <v>4차</v>
      </c>
      <c r="D6944" s="1" t="str">
        <f>"0329H62144"</f>
        <v>0329H62144</v>
      </c>
      <c r="E6944" s="1" t="s">
        <v>10</v>
      </c>
      <c r="F6944" s="1" t="str">
        <f>"10.107.119.69"</f>
        <v>10.107.119.69</v>
      </c>
      <c r="G6944" s="1" t="str">
        <f>"0329H621"</f>
        <v>0329H621</v>
      </c>
      <c r="H6944" s="1" t="str">
        <f>"공덕지 35R2R5L1L1"</f>
        <v>공덕지 35R2R5L1L1</v>
      </c>
      <c r="I6944" s="1" t="s">
        <v>8</v>
      </c>
      <c r="J6944" s="1" t="str">
        <f>"145/149"</f>
        <v>145/149</v>
      </c>
      <c r="K6944" s="1" t="str">
        <f>"2026-07-29 13:18:04"</f>
        <v>2026-07-29 13:18:04</v>
      </c>
      <c r="L6944" s="1" t="str">
        <f>"2020-01-10 11:41:47"</f>
        <v>2020-01-10 11:41:47</v>
      </c>
      <c r="M6944" s="1" t="s">
        <v>45</v>
      </c>
      <c r="N6944" s="1" t="s">
        <v>38</v>
      </c>
      <c r="O6944" s="1" t="s">
        <v>46</v>
      </c>
    </row>
    <row r="6945" spans="2:15" x14ac:dyDescent="0.3">
      <c r="B6945" s="1" t="s">
        <v>22</v>
      </c>
      <c r="C6945" s="1" t="str">
        <f t="shared" si="341"/>
        <v>4차</v>
      </c>
      <c r="D6945" s="1" t="str">
        <f>"0329H63144"</f>
        <v>0329H63144</v>
      </c>
      <c r="E6945" s="1" t="s">
        <v>10</v>
      </c>
      <c r="F6945" s="1" t="str">
        <f>"10.107.119.83"</f>
        <v>10.107.119.83</v>
      </c>
      <c r="G6945" s="1" t="str">
        <f>"0329H631"</f>
        <v>0329H631</v>
      </c>
      <c r="H6945" s="1" t="str">
        <f>"공덕지 23R3"</f>
        <v>공덕지 23R3</v>
      </c>
      <c r="I6945" s="1" t="s">
        <v>8</v>
      </c>
      <c r="J6945" s="1" t="str">
        <f>"46/46"</f>
        <v>46/46</v>
      </c>
      <c r="K6945" s="1" t="str">
        <f>"2026-07-29 13:18:04"</f>
        <v>2026-07-29 13:18:04</v>
      </c>
      <c r="L6945" s="1" t="str">
        <f>"2020-01-10 11:44:06"</f>
        <v>2020-01-10 11:44:06</v>
      </c>
      <c r="M6945" s="1" t="s">
        <v>45</v>
      </c>
      <c r="N6945" s="1" t="s">
        <v>38</v>
      </c>
      <c r="O6945" s="1" t="s">
        <v>46</v>
      </c>
    </row>
    <row r="6946" spans="2:15" x14ac:dyDescent="0.3">
      <c r="B6946" s="1" t="s">
        <v>22</v>
      </c>
      <c r="C6946" s="1" t="str">
        <f t="shared" si="341"/>
        <v>4차</v>
      </c>
      <c r="D6946" s="1" t="str">
        <f>"0329H63244"</f>
        <v>0329H63244</v>
      </c>
      <c r="E6946" s="1" t="s">
        <v>10</v>
      </c>
      <c r="F6946" s="1" t="str">
        <f>"10.107.119.84"</f>
        <v>10.107.119.84</v>
      </c>
      <c r="G6946" s="1" t="str">
        <f>"0329H632"</f>
        <v>0329H632</v>
      </c>
      <c r="H6946" s="1" t="str">
        <f>"공덕지 23R4"</f>
        <v>공덕지 23R4</v>
      </c>
      <c r="I6946" s="1" t="s">
        <v>8</v>
      </c>
      <c r="J6946" s="1" t="str">
        <f>"98/98"</f>
        <v>98/98</v>
      </c>
      <c r="K6946" s="1" t="str">
        <f>"2026-07-29 13:18:04"</f>
        <v>2026-07-29 13:18:04</v>
      </c>
      <c r="L6946" s="1" t="str">
        <f>"2020-01-10 11:23:51"</f>
        <v>2020-01-10 11:23:51</v>
      </c>
      <c r="M6946" s="1" t="s">
        <v>45</v>
      </c>
      <c r="N6946" s="1" t="s">
        <v>38</v>
      </c>
      <c r="O6946" s="1" t="s">
        <v>46</v>
      </c>
    </row>
    <row r="6947" spans="2:15" x14ac:dyDescent="0.3">
      <c r="B6947" s="1" t="s">
        <v>22</v>
      </c>
      <c r="C6947" s="1" t="str">
        <f t="shared" si="341"/>
        <v>4차</v>
      </c>
      <c r="D6947" s="1" t="str">
        <f>"0329H65344"</f>
        <v>0329H65344</v>
      </c>
      <c r="E6947" s="1" t="s">
        <v>12</v>
      </c>
      <c r="F6947" s="1" t="str">
        <f>"10.107.119.85"</f>
        <v>10.107.119.85</v>
      </c>
      <c r="G6947" s="1" t="str">
        <f>"0329H653"</f>
        <v>0329H653</v>
      </c>
      <c r="H6947" s="1" t="str">
        <f>"공덕지 20R2"</f>
        <v>공덕지 20R2</v>
      </c>
      <c r="I6947" s="1" t="s">
        <v>8</v>
      </c>
      <c r="J6947" s="1" t="str">
        <f>"0/47"</f>
        <v>0/47</v>
      </c>
      <c r="K6947" s="1" t="str">
        <f>"2026-06-10 13:18:02"</f>
        <v>2026-06-10 13:18:02</v>
      </c>
      <c r="L6947" s="1" t="str">
        <f>"2020-01-10 11:30:06"</f>
        <v>2020-01-10 11:30:06</v>
      </c>
      <c r="M6947" s="1" t="s">
        <v>45</v>
      </c>
      <c r="N6947" s="1" t="s">
        <v>38</v>
      </c>
      <c r="O6947" s="1" t="s">
        <v>46</v>
      </c>
    </row>
    <row r="6948" spans="2:15" x14ac:dyDescent="0.3">
      <c r="B6948" s="1" t="s">
        <v>22</v>
      </c>
      <c r="C6948" s="1" t="str">
        <f t="shared" si="341"/>
        <v>4차</v>
      </c>
      <c r="D6948" s="1" t="str">
        <f>"0329H70244"</f>
        <v>0329H70244</v>
      </c>
      <c r="E6948" s="1" t="s">
        <v>10</v>
      </c>
      <c r="F6948" s="1" t="str">
        <f>"10.107.119.70"</f>
        <v>10.107.119.70</v>
      </c>
      <c r="G6948" s="1" t="str">
        <f>"0329H702"</f>
        <v>0329H702</v>
      </c>
      <c r="H6948" s="1" t="str">
        <f>"공덕지 35R2R4"</f>
        <v>공덕지 35R2R4</v>
      </c>
      <c r="I6948" s="1" t="s">
        <v>8</v>
      </c>
      <c r="J6948" s="1" t="str">
        <f>"141/141"</f>
        <v>141/141</v>
      </c>
      <c r="K6948" s="1" t="str">
        <f>"2026-07-29 13:18:04"</f>
        <v>2026-07-29 13:18:04</v>
      </c>
      <c r="L6948" s="1" t="str">
        <f>"2020-01-10 11:45:23"</f>
        <v>2020-01-10 11:45:23</v>
      </c>
      <c r="M6948" s="1" t="s">
        <v>45</v>
      </c>
      <c r="N6948" s="1" t="s">
        <v>38</v>
      </c>
      <c r="O6948" s="1" t="s">
        <v>46</v>
      </c>
    </row>
    <row r="6949" spans="2:15" x14ac:dyDescent="0.3">
      <c r="B6949" s="1" t="s">
        <v>22</v>
      </c>
      <c r="C6949" s="1" t="str">
        <f t="shared" si="341"/>
        <v>4차</v>
      </c>
      <c r="D6949" s="1" t="str">
        <f>"0329H70344"</f>
        <v>0329H70344</v>
      </c>
      <c r="E6949" s="1" t="s">
        <v>10</v>
      </c>
      <c r="F6949" s="1" t="str">
        <f>"10.107.119.86"</f>
        <v>10.107.119.86</v>
      </c>
      <c r="G6949" s="1" t="str">
        <f>"0329H703"</f>
        <v>0329H703</v>
      </c>
      <c r="H6949" s="1" t="str">
        <f>"공덕지 31R2"</f>
        <v>공덕지 31R2</v>
      </c>
      <c r="I6949" s="1" t="s">
        <v>8</v>
      </c>
      <c r="J6949" s="1" t="str">
        <f>"35/35"</f>
        <v>35/35</v>
      </c>
      <c r="K6949" s="1" t="str">
        <f>"2026-07-29 13:18:04"</f>
        <v>2026-07-29 13:18:04</v>
      </c>
      <c r="L6949" s="1" t="str">
        <f>"2020-01-10 11:23:25"</f>
        <v>2020-01-10 11:23:25</v>
      </c>
      <c r="M6949" s="1" t="s">
        <v>45</v>
      </c>
      <c r="N6949" s="1" t="s">
        <v>38</v>
      </c>
      <c r="O6949" s="1" t="s">
        <v>46</v>
      </c>
    </row>
    <row r="6950" spans="2:15" x14ac:dyDescent="0.3">
      <c r="B6950" s="1" t="s">
        <v>22</v>
      </c>
      <c r="C6950" s="1" t="str">
        <f t="shared" si="341"/>
        <v>4차</v>
      </c>
      <c r="D6950" s="1" t="str">
        <f>"0329H71144"</f>
        <v>0329H71144</v>
      </c>
      <c r="E6950" s="1" t="s">
        <v>10</v>
      </c>
      <c r="F6950" s="1" t="str">
        <f>"10.107.119.71"</f>
        <v>10.107.119.71</v>
      </c>
      <c r="G6950" s="1" t="str">
        <f>"0329H711"</f>
        <v>0329H711</v>
      </c>
      <c r="H6950" s="1" t="str">
        <f>"공덕지 35R2R5"</f>
        <v>공덕지 35R2R5</v>
      </c>
      <c r="I6950" s="1" t="s">
        <v>8</v>
      </c>
      <c r="J6950" s="1" t="str">
        <f>"69/75"</f>
        <v>69/75</v>
      </c>
      <c r="K6950" s="1" t="str">
        <f>"2026-07-29 13:18:04"</f>
        <v>2026-07-29 13:18:04</v>
      </c>
      <c r="L6950" s="1" t="str">
        <f>"2020-01-10 11:44:38"</f>
        <v>2020-01-10 11:44:38</v>
      </c>
      <c r="M6950" s="1" t="s">
        <v>45</v>
      </c>
      <c r="N6950" s="1" t="s">
        <v>38</v>
      </c>
      <c r="O6950" s="1" t="s">
        <v>46</v>
      </c>
    </row>
    <row r="6951" spans="2:15" x14ac:dyDescent="0.3">
      <c r="B6951" s="1" t="s">
        <v>22</v>
      </c>
      <c r="C6951" s="1" t="str">
        <f>"3차"</f>
        <v>3차</v>
      </c>
      <c r="D6951" s="1" t="str">
        <f>"0329H72139"</f>
        <v>0329H72139</v>
      </c>
      <c r="E6951" s="1" t="s">
        <v>10</v>
      </c>
      <c r="F6951" s="1" t="str">
        <f>"10.14.11.124"</f>
        <v>10.14.11.124</v>
      </c>
      <c r="G6951" s="1" t="str">
        <f>"0329H721"</f>
        <v>0329H721</v>
      </c>
      <c r="H6951" s="1" t="str">
        <f>"공덕지 35R2R5L2"</f>
        <v>공덕지 35R2R5L2</v>
      </c>
      <c r="I6951" s="1" t="s">
        <v>8</v>
      </c>
      <c r="J6951" s="1" t="str">
        <f>"54/54"</f>
        <v>54/54</v>
      </c>
      <c r="K6951" s="1" t="str">
        <f>"2026-07-29 13:18:03"</f>
        <v>2026-07-29 13:18:03</v>
      </c>
      <c r="L6951" s="1" t="str">
        <f>"2018-04-20 11:12:12"</f>
        <v>2018-04-20 11:12:12</v>
      </c>
      <c r="M6951" s="1" t="s">
        <v>3</v>
      </c>
      <c r="N6951" s="1" t="s">
        <v>38</v>
      </c>
      <c r="O6951" s="1" t="s">
        <v>46</v>
      </c>
    </row>
    <row r="6952" spans="2:15" x14ac:dyDescent="0.3">
      <c r="B6952" s="1" t="s">
        <v>22</v>
      </c>
      <c r="C6952" s="1" t="str">
        <f>"4차"</f>
        <v>4차</v>
      </c>
      <c r="D6952" s="1" t="str">
        <f>"0329H72244"</f>
        <v>0329H72244</v>
      </c>
      <c r="E6952" s="1" t="s">
        <v>10</v>
      </c>
      <c r="F6952" s="1" t="str">
        <f>"10.107.119.72"</f>
        <v>10.107.119.72</v>
      </c>
      <c r="G6952" s="1" t="str">
        <f>"0329H722"</f>
        <v>0329H722</v>
      </c>
      <c r="H6952" s="1" t="str">
        <f>"공덕지 35R2R5L1"</f>
        <v>공덕지 35R2R5L1</v>
      </c>
      <c r="I6952" s="1" t="s">
        <v>8</v>
      </c>
      <c r="J6952" s="1" t="str">
        <f>"45/45"</f>
        <v>45/45</v>
      </c>
      <c r="K6952" s="1" t="str">
        <f>"2026-07-29 13:18:04"</f>
        <v>2026-07-29 13:18:04</v>
      </c>
      <c r="L6952" s="1" t="str">
        <f>"2020-01-10 11:27:21"</f>
        <v>2020-01-10 11:27:21</v>
      </c>
      <c r="M6952" s="1" t="s">
        <v>45</v>
      </c>
      <c r="N6952" s="1" t="s">
        <v>38</v>
      </c>
      <c r="O6952" s="1" t="s">
        <v>46</v>
      </c>
    </row>
    <row r="6953" spans="2:15" x14ac:dyDescent="0.3">
      <c r="B6953" s="1" t="s">
        <v>22</v>
      </c>
      <c r="C6953" s="1" t="str">
        <f>"4차"</f>
        <v>4차</v>
      </c>
      <c r="D6953" s="1" t="str">
        <f>"0329H73444"</f>
        <v>0329H73444</v>
      </c>
      <c r="E6953" s="1" t="s">
        <v>10</v>
      </c>
      <c r="F6953" s="1" t="str">
        <f>"10.107.119.73"</f>
        <v>10.107.119.73</v>
      </c>
      <c r="G6953" s="1" t="str">
        <f>"0329H734"</f>
        <v>0329H734</v>
      </c>
      <c r="H6953" s="1" t="str">
        <f>"공덕지 35R2R10"</f>
        <v>공덕지 35R2R10</v>
      </c>
      <c r="I6953" s="1" t="s">
        <v>8</v>
      </c>
      <c r="J6953" s="1" t="str">
        <f>"3/5"</f>
        <v>3/5</v>
      </c>
      <c r="K6953" s="1" t="str">
        <f>"2026-07-29 13:18:04"</f>
        <v>2026-07-29 13:18:04</v>
      </c>
      <c r="L6953" s="1" t="str">
        <f>"2020-01-10 11:48:32"</f>
        <v>2020-01-10 11:48:32</v>
      </c>
      <c r="M6953" s="1" t="s">
        <v>45</v>
      </c>
      <c r="N6953" s="1" t="s">
        <v>38</v>
      </c>
      <c r="O6953" s="1" t="s">
        <v>46</v>
      </c>
    </row>
    <row r="6954" spans="2:15" x14ac:dyDescent="0.3">
      <c r="B6954" s="1" t="s">
        <v>22</v>
      </c>
      <c r="C6954" s="1" t="str">
        <f>"4차"</f>
        <v>4차</v>
      </c>
      <c r="D6954" s="1" t="str">
        <f>"0329H74144"</f>
        <v>0329H74144</v>
      </c>
      <c r="E6954" s="1" t="s">
        <v>10</v>
      </c>
      <c r="F6954" s="1" t="str">
        <f>"10.12.138.163"</f>
        <v>10.12.138.163</v>
      </c>
      <c r="G6954" s="1" t="str">
        <f>"0329H741"</f>
        <v>0329H741</v>
      </c>
      <c r="H6954" s="1" t="str">
        <f>"공덕지 23R2"</f>
        <v>공덕지 23R2</v>
      </c>
      <c r="I6954" s="1" t="s">
        <v>8</v>
      </c>
      <c r="J6954" s="1" t="str">
        <f>"48/48"</f>
        <v>48/48</v>
      </c>
      <c r="K6954" s="1" t="str">
        <f>"2026-07-29 13:18:03"</f>
        <v>2026-07-29 13:18:03</v>
      </c>
      <c r="L6954" s="1" t="str">
        <f>"2019-11-11 19:48:49"</f>
        <v>2019-11-11 19:48:49</v>
      </c>
      <c r="M6954" s="1" t="s">
        <v>0</v>
      </c>
      <c r="N6954" s="1" t="s">
        <v>38</v>
      </c>
      <c r="O6954" s="1" t="s">
        <v>46</v>
      </c>
    </row>
    <row r="6955" spans="2:15" x14ac:dyDescent="0.3">
      <c r="B6955" s="1" t="s">
        <v>22</v>
      </c>
      <c r="C6955" s="1" t="str">
        <f>"4차"</f>
        <v>4차</v>
      </c>
      <c r="D6955" s="1" t="str">
        <f>"0329H75144"</f>
        <v>0329H75144</v>
      </c>
      <c r="E6955" s="1" t="s">
        <v>10</v>
      </c>
      <c r="F6955" s="1" t="str">
        <f>"10.107.119.87"</f>
        <v>10.107.119.87</v>
      </c>
      <c r="G6955" s="1" t="str">
        <f>"0329H751"</f>
        <v>0329H751</v>
      </c>
      <c r="H6955" s="1" t="str">
        <f>"공덕지 20"</f>
        <v>공덕지 20</v>
      </c>
      <c r="I6955" s="1" t="s">
        <v>8</v>
      </c>
      <c r="J6955" s="1" t="str">
        <f>"55/55"</f>
        <v>55/55</v>
      </c>
      <c r="K6955" s="1" t="str">
        <f t="shared" ref="K6955:K6961" si="342">"2026-07-29 13:18:04"</f>
        <v>2026-07-29 13:18:04</v>
      </c>
      <c r="L6955" s="1" t="str">
        <f>"2020-01-10 11:26:44"</f>
        <v>2020-01-10 11:26:44</v>
      </c>
      <c r="M6955" s="1" t="s">
        <v>45</v>
      </c>
      <c r="N6955" s="1" t="s">
        <v>38</v>
      </c>
      <c r="O6955" s="1" t="s">
        <v>46</v>
      </c>
    </row>
    <row r="6956" spans="2:15" x14ac:dyDescent="0.3">
      <c r="B6956" s="1" t="s">
        <v>22</v>
      </c>
      <c r="C6956" s="1" t="str">
        <f>"4차"</f>
        <v>4차</v>
      </c>
      <c r="D6956" s="1" t="str">
        <f>"0329H76444"</f>
        <v>0329H76444</v>
      </c>
      <c r="E6956" s="1" t="s">
        <v>10</v>
      </c>
      <c r="F6956" s="1" t="str">
        <f>"10.107.119.88"</f>
        <v>10.107.119.88</v>
      </c>
      <c r="G6956" s="1" t="str">
        <f>"0329H764"</f>
        <v>0329H764</v>
      </c>
      <c r="H6956" s="1" t="str">
        <f>"공덕지 18"</f>
        <v>공덕지 18</v>
      </c>
      <c r="I6956" s="1" t="s">
        <v>8</v>
      </c>
      <c r="J6956" s="1" t="str">
        <f>"28/28"</f>
        <v>28/28</v>
      </c>
      <c r="K6956" s="1" t="str">
        <f t="shared" si="342"/>
        <v>2026-07-29 13:18:04</v>
      </c>
      <c r="L6956" s="1" t="str">
        <f>"2020-01-10 11:28:25"</f>
        <v>2020-01-10 11:28:25</v>
      </c>
      <c r="M6956" s="1" t="s">
        <v>45</v>
      </c>
      <c r="N6956" s="1" t="s">
        <v>38</v>
      </c>
      <c r="O6956" s="1" t="s">
        <v>46</v>
      </c>
    </row>
    <row r="6957" spans="2:15" x14ac:dyDescent="0.3">
      <c r="B6957" s="1" t="s">
        <v>22</v>
      </c>
      <c r="C6957" s="1" t="str">
        <f>"1차"</f>
        <v>1차</v>
      </c>
      <c r="D6957" s="1" t="str">
        <f>"0329H80200"</f>
        <v>0329H80200</v>
      </c>
      <c r="E6957" s="1" t="s">
        <v>10</v>
      </c>
      <c r="F6957" s="1" t="str">
        <f>"10.107.119.89"</f>
        <v>10.107.119.89</v>
      </c>
      <c r="G6957" s="1" t="str">
        <f>"0329H802"</f>
        <v>0329H802</v>
      </c>
      <c r="H6957" s="1" t="str">
        <f>"공덕지 31R1"</f>
        <v>공덕지 31R1</v>
      </c>
      <c r="I6957" s="1" t="s">
        <v>8</v>
      </c>
      <c r="J6957" s="1" t="str">
        <f>"83/85"</f>
        <v>83/85</v>
      </c>
      <c r="K6957" s="1" t="str">
        <f t="shared" si="342"/>
        <v>2026-07-29 13:18:04</v>
      </c>
      <c r="L6957" s="1" t="str">
        <f>"2015-01-02 11:36:27"</f>
        <v>2015-01-02 11:36:27</v>
      </c>
      <c r="M6957" s="1" t="s">
        <v>45</v>
      </c>
      <c r="N6957" s="1" t="s">
        <v>38</v>
      </c>
      <c r="O6957" s="1" t="s">
        <v>46</v>
      </c>
    </row>
    <row r="6958" spans="2:15" x14ac:dyDescent="0.3">
      <c r="B6958" s="1" t="s">
        <v>22</v>
      </c>
      <c r="C6958" s="1" t="str">
        <f>"4차"</f>
        <v>4차</v>
      </c>
      <c r="D6958" s="1" t="str">
        <f>"0329H82144"</f>
        <v>0329H82144</v>
      </c>
      <c r="E6958" s="1" t="s">
        <v>10</v>
      </c>
      <c r="F6958" s="1" t="str">
        <f>"10.107.119.74"</f>
        <v>10.107.119.74</v>
      </c>
      <c r="G6958" s="1" t="str">
        <f>"0329H821"</f>
        <v>0329H821</v>
      </c>
      <c r="H6958" s="1" t="str">
        <f>"공덕지 35R2R9"</f>
        <v>공덕지 35R2R9</v>
      </c>
      <c r="I6958" s="1" t="s">
        <v>8</v>
      </c>
      <c r="J6958" s="1" t="str">
        <f>"88/88"</f>
        <v>88/88</v>
      </c>
      <c r="K6958" s="1" t="str">
        <f t="shared" si="342"/>
        <v>2026-07-29 13:18:04</v>
      </c>
      <c r="L6958" s="1" t="str">
        <f>"2020-01-10 11:28:42"</f>
        <v>2020-01-10 11:28:42</v>
      </c>
      <c r="M6958" s="1" t="s">
        <v>45</v>
      </c>
      <c r="N6958" s="1" t="s">
        <v>38</v>
      </c>
      <c r="O6958" s="1" t="s">
        <v>46</v>
      </c>
    </row>
    <row r="6959" spans="2:15" x14ac:dyDescent="0.3">
      <c r="B6959" s="1" t="s">
        <v>22</v>
      </c>
      <c r="C6959" s="1" t="str">
        <f>"1차"</f>
        <v>1차</v>
      </c>
      <c r="D6959" s="1" t="str">
        <f>"0329H85300"</f>
        <v>0329H85300</v>
      </c>
      <c r="E6959" s="1" t="s">
        <v>10</v>
      </c>
      <c r="F6959" s="1" t="str">
        <f>"10.107.120.98"</f>
        <v>10.107.120.98</v>
      </c>
      <c r="G6959" s="1" t="str">
        <f>"0329H853"</f>
        <v>0329H853</v>
      </c>
      <c r="H6959" s="1" t="str">
        <f>"공릉지 39"</f>
        <v>공릉지 39</v>
      </c>
      <c r="I6959" s="1" t="s">
        <v>8</v>
      </c>
      <c r="J6959" s="1" t="str">
        <f>"11/11"</f>
        <v>11/11</v>
      </c>
      <c r="K6959" s="1" t="str">
        <f t="shared" si="342"/>
        <v>2026-07-29 13:18:04</v>
      </c>
      <c r="L6959" s="1" t="str">
        <f>"2014-12-10 10:28:34"</f>
        <v>2014-12-10 10:28:34</v>
      </c>
      <c r="M6959" s="1" t="s">
        <v>45</v>
      </c>
      <c r="N6959" s="1" t="s">
        <v>38</v>
      </c>
      <c r="O6959" s="1" t="s">
        <v>46</v>
      </c>
    </row>
    <row r="6960" spans="2:15" x14ac:dyDescent="0.3">
      <c r="B6960" s="1" t="s">
        <v>22</v>
      </c>
      <c r="C6960" s="1" t="str">
        <f>"4차"</f>
        <v>4차</v>
      </c>
      <c r="D6960" s="1" t="str">
        <f>"0329H86244"</f>
        <v>0329H86244</v>
      </c>
      <c r="E6960" s="1" t="s">
        <v>10</v>
      </c>
      <c r="F6960" s="1" t="str">
        <f>"10.107.120.99"</f>
        <v>10.107.120.99</v>
      </c>
      <c r="G6960" s="1" t="str">
        <f>"0329H862"</f>
        <v>0329H862</v>
      </c>
      <c r="H6960" s="1" t="str">
        <f>"공릉지 37L1"</f>
        <v>공릉지 37L1</v>
      </c>
      <c r="I6960" s="1" t="s">
        <v>8</v>
      </c>
      <c r="J6960" s="1" t="str">
        <f>"33/33"</f>
        <v>33/33</v>
      </c>
      <c r="K6960" s="1" t="str">
        <f t="shared" si="342"/>
        <v>2026-07-29 13:18:04</v>
      </c>
      <c r="L6960" s="1" t="str">
        <f>"2020-01-10 11:44:06"</f>
        <v>2020-01-10 11:44:06</v>
      </c>
      <c r="M6960" s="1" t="s">
        <v>45</v>
      </c>
      <c r="N6960" s="1" t="s">
        <v>38</v>
      </c>
      <c r="O6960" s="1" t="s">
        <v>46</v>
      </c>
    </row>
    <row r="6961" spans="2:15" x14ac:dyDescent="0.3">
      <c r="B6961" s="1" t="s">
        <v>22</v>
      </c>
      <c r="C6961" s="1" t="str">
        <f>"4차"</f>
        <v>4차</v>
      </c>
      <c r="D6961" s="1" t="str">
        <f>"0329H91244"</f>
        <v>0329H91244</v>
      </c>
      <c r="E6961" s="1" t="s">
        <v>10</v>
      </c>
      <c r="F6961" s="1" t="str">
        <f>"10.107.119.90"</f>
        <v>10.107.119.90</v>
      </c>
      <c r="G6961" s="1" t="str">
        <f>"0329H912"</f>
        <v>0329H912</v>
      </c>
      <c r="H6961" s="1" t="str">
        <f>"공덕지 28R1"</f>
        <v>공덕지 28R1</v>
      </c>
      <c r="I6961" s="1" t="s">
        <v>8</v>
      </c>
      <c r="J6961" s="1" t="str">
        <f>"63/63"</f>
        <v>63/63</v>
      </c>
      <c r="K6961" s="1" t="str">
        <f t="shared" si="342"/>
        <v>2026-07-29 13:18:04</v>
      </c>
      <c r="L6961" s="1" t="str">
        <f>"2020-01-10 11:29:47"</f>
        <v>2020-01-10 11:29:47</v>
      </c>
      <c r="M6961" s="1" t="s">
        <v>45</v>
      </c>
      <c r="N6961" s="1" t="s">
        <v>38</v>
      </c>
      <c r="O6961" s="1" t="s">
        <v>46</v>
      </c>
    </row>
    <row r="6962" spans="2:15" x14ac:dyDescent="0.3">
      <c r="B6962" s="1" t="s">
        <v>22</v>
      </c>
      <c r="C6962" s="1" t="str">
        <f>"5-2차"</f>
        <v>5-2차</v>
      </c>
      <c r="D6962" s="1" t="str">
        <f>"0329H9145M"</f>
        <v>0329H9145M</v>
      </c>
      <c r="E6962" s="1" t="s">
        <v>10</v>
      </c>
      <c r="F6962" s="1" t="str">
        <f>"fde1:103:4:91ca:0:0:0:2"</f>
        <v>fde1:103:4:91ca:0:0:0:2</v>
      </c>
      <c r="G6962" s="1" t="str">
        <f>"0329H914"</f>
        <v>0329H914</v>
      </c>
      <c r="H6962" s="1" t="str">
        <f>"공릉지 48"</f>
        <v>공릉지 48</v>
      </c>
      <c r="I6962" s="1" t="s">
        <v>15</v>
      </c>
      <c r="J6962" s="1" t="str">
        <f>"23/23"</f>
        <v>23/23</v>
      </c>
      <c r="K6962" s="1" t="str">
        <f>"2026-07-29 14:20:19"</f>
        <v>2026-07-29 14:20:19</v>
      </c>
      <c r="L6962" s="1" t="str">
        <f>"2023-12-20 13:30:37"</f>
        <v>2023-12-20 13:30:37</v>
      </c>
      <c r="M6962" s="1" t="s">
        <v>4</v>
      </c>
      <c r="N6962" s="1" t="s">
        <v>38</v>
      </c>
      <c r="O6962" s="1" t="s">
        <v>46</v>
      </c>
    </row>
    <row r="6963" spans="2:15" x14ac:dyDescent="0.3">
      <c r="B6963" s="1" t="s">
        <v>22</v>
      </c>
      <c r="C6963" s="1" t="str">
        <f>"4차"</f>
        <v>4차</v>
      </c>
      <c r="D6963" s="1" t="str">
        <f>"0329H92244"</f>
        <v>0329H92244</v>
      </c>
      <c r="E6963" s="1" t="s">
        <v>10</v>
      </c>
      <c r="F6963" s="1" t="str">
        <f>"10.107.119.91"</f>
        <v>10.107.119.91</v>
      </c>
      <c r="G6963" s="1" t="str">
        <f>"0329H922"</f>
        <v>0329H922</v>
      </c>
      <c r="H6963" s="1" t="str">
        <f>"공덕지 27"</f>
        <v>공덕지 27</v>
      </c>
      <c r="I6963" s="1" t="s">
        <v>8</v>
      </c>
      <c r="J6963" s="1" t="str">
        <f>"47/47"</f>
        <v>47/47</v>
      </c>
      <c r="K6963" s="1" t="str">
        <f t="shared" ref="K6963:K6968" si="343">"2026-07-29 13:18:03"</f>
        <v>2026-07-29 13:18:03</v>
      </c>
      <c r="L6963" s="1" t="str">
        <f>"2020-01-10 11:27:30"</f>
        <v>2020-01-10 11:27:30</v>
      </c>
      <c r="M6963" s="1" t="s">
        <v>45</v>
      </c>
      <c r="N6963" s="1" t="s">
        <v>38</v>
      </c>
      <c r="O6963" s="1" t="s">
        <v>46</v>
      </c>
    </row>
    <row r="6964" spans="2:15" x14ac:dyDescent="0.3">
      <c r="B6964" s="1" t="s">
        <v>22</v>
      </c>
      <c r="C6964" s="1" t="str">
        <f>"4차"</f>
        <v>4차</v>
      </c>
      <c r="D6964" s="1" t="str">
        <f>"0329H93444"</f>
        <v>0329H93444</v>
      </c>
      <c r="E6964" s="1" t="s">
        <v>10</v>
      </c>
      <c r="F6964" s="1" t="str">
        <f>"10.107.119.92"</f>
        <v>10.107.119.92</v>
      </c>
      <c r="G6964" s="1" t="str">
        <f>"0329H934"</f>
        <v>0329H934</v>
      </c>
      <c r="H6964" s="1" t="str">
        <f>"공덕지 25"</f>
        <v>공덕지 25</v>
      </c>
      <c r="I6964" s="1" t="s">
        <v>8</v>
      </c>
      <c r="J6964" s="1" t="str">
        <f>"23/23"</f>
        <v>23/23</v>
      </c>
      <c r="K6964" s="1" t="str">
        <f t="shared" si="343"/>
        <v>2026-07-29 13:18:03</v>
      </c>
      <c r="L6964" s="1" t="str">
        <f>"2020-01-10 11:28:39"</f>
        <v>2020-01-10 11:28:39</v>
      </c>
      <c r="M6964" s="1" t="s">
        <v>45</v>
      </c>
      <c r="N6964" s="1" t="s">
        <v>38</v>
      </c>
      <c r="O6964" s="1" t="s">
        <v>46</v>
      </c>
    </row>
    <row r="6965" spans="2:15" x14ac:dyDescent="0.3">
      <c r="B6965" s="1" t="s">
        <v>22</v>
      </c>
      <c r="C6965" s="1" t="str">
        <f>"1차"</f>
        <v>1차</v>
      </c>
      <c r="D6965" s="1" t="str">
        <f>"0329H93500"</f>
        <v>0329H93500</v>
      </c>
      <c r="E6965" s="1" t="s">
        <v>10</v>
      </c>
      <c r="F6965" s="1" t="str">
        <f>"10.107.120.100"</f>
        <v>10.107.120.100</v>
      </c>
      <c r="G6965" s="1" t="str">
        <f>"0329H935"</f>
        <v>0329H935</v>
      </c>
      <c r="H6965" s="1" t="str">
        <f>"공릉지 44"</f>
        <v>공릉지 44</v>
      </c>
      <c r="I6965" s="1" t="s">
        <v>8</v>
      </c>
      <c r="J6965" s="1" t="str">
        <f>"33/33"</f>
        <v>33/33</v>
      </c>
      <c r="K6965" s="1" t="str">
        <f t="shared" si="343"/>
        <v>2026-07-29 13:18:03</v>
      </c>
      <c r="L6965" s="1" t="str">
        <f>"2014-12-11 10:43:11"</f>
        <v>2014-12-11 10:43:11</v>
      </c>
      <c r="M6965" s="1" t="s">
        <v>45</v>
      </c>
      <c r="N6965" s="1" t="s">
        <v>38</v>
      </c>
      <c r="O6965" s="1" t="s">
        <v>46</v>
      </c>
    </row>
    <row r="6966" spans="2:15" x14ac:dyDescent="0.3">
      <c r="B6966" s="1" t="s">
        <v>22</v>
      </c>
      <c r="C6966" s="1" t="str">
        <f>"1차"</f>
        <v>1차</v>
      </c>
      <c r="D6966" s="1" t="str">
        <f>"0329H94201"</f>
        <v>0329H94201</v>
      </c>
      <c r="E6966" s="1" t="s">
        <v>10</v>
      </c>
      <c r="F6966" s="1" t="str">
        <f>"10.12.131.93"</f>
        <v>10.12.131.93</v>
      </c>
      <c r="G6966" s="1" t="str">
        <f>"0329H942"</f>
        <v>0329H942</v>
      </c>
      <c r="H6966" s="1" t="str">
        <f>"공릉지 42L2"</f>
        <v>공릉지 42L2</v>
      </c>
      <c r="I6966" s="1" t="s">
        <v>8</v>
      </c>
      <c r="J6966" s="1" t="str">
        <f>"35/37"</f>
        <v>35/37</v>
      </c>
      <c r="K6966" s="1" t="str">
        <f t="shared" si="343"/>
        <v>2026-07-29 13:18:03</v>
      </c>
      <c r="L6966" s="1" t="str">
        <f>"2014-12-17 15:42:24"</f>
        <v>2014-12-17 15:42:24</v>
      </c>
      <c r="M6966" s="1" t="s">
        <v>0</v>
      </c>
      <c r="N6966" s="1" t="s">
        <v>38</v>
      </c>
      <c r="O6966" s="1" t="s">
        <v>46</v>
      </c>
    </row>
    <row r="6967" spans="2:15" x14ac:dyDescent="0.3">
      <c r="B6967" s="1" t="s">
        <v>22</v>
      </c>
      <c r="C6967" s="1" t="str">
        <f>"1차"</f>
        <v>1차</v>
      </c>
      <c r="D6967" s="1" t="str">
        <f>"0329H94300"</f>
        <v>0329H94300</v>
      </c>
      <c r="E6967" s="1" t="s">
        <v>10</v>
      </c>
      <c r="F6967" s="1" t="str">
        <f>"10.107.120.101"</f>
        <v>10.107.120.101</v>
      </c>
      <c r="G6967" s="1" t="str">
        <f>"0329H943"</f>
        <v>0329H943</v>
      </c>
      <c r="H6967" s="1" t="str">
        <f>"공릉지 42L3"</f>
        <v>공릉지 42L3</v>
      </c>
      <c r="I6967" s="1" t="s">
        <v>8</v>
      </c>
      <c r="J6967" s="1" t="str">
        <f>"58/58"</f>
        <v>58/58</v>
      </c>
      <c r="K6967" s="1" t="str">
        <f t="shared" si="343"/>
        <v>2026-07-29 13:18:03</v>
      </c>
      <c r="L6967" s="1" t="str">
        <f>"2014-12-10 09:58:27"</f>
        <v>2014-12-10 09:58:27</v>
      </c>
      <c r="M6967" s="1" t="s">
        <v>45</v>
      </c>
      <c r="N6967" s="1" t="s">
        <v>38</v>
      </c>
      <c r="O6967" s="1" t="s">
        <v>46</v>
      </c>
    </row>
    <row r="6968" spans="2:15" x14ac:dyDescent="0.3">
      <c r="B6968" s="1" t="s">
        <v>22</v>
      </c>
      <c r="C6968" s="1" t="str">
        <f>"1차"</f>
        <v>1차</v>
      </c>
      <c r="D6968" s="1" t="str">
        <f>"0329H95101"</f>
        <v>0329H95101</v>
      </c>
      <c r="E6968" s="1" t="s">
        <v>10</v>
      </c>
      <c r="F6968" s="1" t="str">
        <f>"10.107.120.103"</f>
        <v>10.107.120.103</v>
      </c>
      <c r="G6968" s="1" t="str">
        <f>"0329H951"</f>
        <v>0329H951</v>
      </c>
      <c r="H6968" s="1" t="str">
        <f>"공릉지 42L4"</f>
        <v>공릉지 42L4</v>
      </c>
      <c r="I6968" s="1" t="s">
        <v>8</v>
      </c>
      <c r="J6968" s="1" t="str">
        <f>"99/99"</f>
        <v>99/99</v>
      </c>
      <c r="K6968" s="1" t="str">
        <f t="shared" si="343"/>
        <v>2026-07-29 13:18:03</v>
      </c>
      <c r="L6968" s="1" t="str">
        <f>"2014-12-10 09:58:33"</f>
        <v>2014-12-10 09:58:33</v>
      </c>
      <c r="M6968" s="1" t="s">
        <v>45</v>
      </c>
      <c r="N6968" s="1" t="s">
        <v>38</v>
      </c>
      <c r="O6968" s="1" t="s">
        <v>46</v>
      </c>
    </row>
    <row r="6969" spans="2:15" x14ac:dyDescent="0.3">
      <c r="B6969" s="1" t="s">
        <v>22</v>
      </c>
      <c r="C6969" s="1" t="str">
        <f>"3차"</f>
        <v>3차</v>
      </c>
      <c r="D6969" s="1" t="str">
        <f>"0329P01139"</f>
        <v>0329P01139</v>
      </c>
      <c r="E6969" s="1" t="s">
        <v>10</v>
      </c>
      <c r="F6969" s="1" t="str">
        <f>"10.14.15.185"</f>
        <v>10.14.15.185</v>
      </c>
      <c r="G6969" s="1" t="str">
        <f>"0329P011"</f>
        <v>0329P011</v>
      </c>
      <c r="H6969" s="1" t="str">
        <f>"광운SW 1R15"</f>
        <v>광운SW 1R15</v>
      </c>
      <c r="I6969" s="1" t="s">
        <v>8</v>
      </c>
      <c r="J6969" s="1" t="str">
        <f>"41/41"</f>
        <v>41/41</v>
      </c>
      <c r="K6969" s="1" t="str">
        <f>"2026-07-29 13:18:04"</f>
        <v>2026-07-29 13:18:04</v>
      </c>
      <c r="L6969" s="1" t="str">
        <f>"2018-06-05 13:39:44"</f>
        <v>2018-06-05 13:39:44</v>
      </c>
      <c r="M6969" s="1" t="s">
        <v>3</v>
      </c>
      <c r="N6969" s="1" t="s">
        <v>38</v>
      </c>
      <c r="O6969" s="1" t="s">
        <v>46</v>
      </c>
    </row>
    <row r="6970" spans="2:15" x14ac:dyDescent="0.3">
      <c r="B6970" s="1" t="s">
        <v>22</v>
      </c>
      <c r="C6970" s="1" t="str">
        <f>"3차"</f>
        <v>3차</v>
      </c>
      <c r="D6970" s="1" t="str">
        <f>"0329P02139"</f>
        <v>0329P02139</v>
      </c>
      <c r="E6970" s="1" t="s">
        <v>10</v>
      </c>
      <c r="F6970" s="1" t="str">
        <f>"10.12.128.5"</f>
        <v>10.12.128.5</v>
      </c>
      <c r="G6970" s="1" t="str">
        <f>"0329P021"</f>
        <v>0329P021</v>
      </c>
      <c r="H6970" s="1" t="str">
        <f>"광운SW 1R14"</f>
        <v>광운SW 1R14</v>
      </c>
      <c r="I6970" s="1" t="s">
        <v>8</v>
      </c>
      <c r="J6970" s="1" t="str">
        <f>"69/69"</f>
        <v>69/69</v>
      </c>
      <c r="K6970" s="1" t="str">
        <f>"2026-07-29 07:18:03"</f>
        <v>2026-07-29 07:18:03</v>
      </c>
      <c r="L6970" s="1" t="str">
        <f>"2018-03-29 10:14:57"</f>
        <v>2018-03-29 10:14:57</v>
      </c>
      <c r="M6970" s="1" t="s">
        <v>0</v>
      </c>
      <c r="N6970" s="1" t="s">
        <v>38</v>
      </c>
      <c r="O6970" s="1" t="s">
        <v>46</v>
      </c>
    </row>
    <row r="6971" spans="2:15" x14ac:dyDescent="0.3">
      <c r="B6971" s="1" t="s">
        <v>22</v>
      </c>
      <c r="C6971" s="1" t="str">
        <f>"3차"</f>
        <v>3차</v>
      </c>
      <c r="D6971" s="1" t="str">
        <f>"0329P02339"</f>
        <v>0329P02339</v>
      </c>
      <c r="E6971" s="1" t="s">
        <v>10</v>
      </c>
      <c r="F6971" s="1" t="str">
        <f>"10.11.130.34"</f>
        <v>10.11.130.34</v>
      </c>
      <c r="G6971" s="1" t="str">
        <f>"0329P023"</f>
        <v>0329P023</v>
      </c>
      <c r="H6971" s="1" t="str">
        <f>"광운SW 1R12"</f>
        <v>광운SW 1R12</v>
      </c>
      <c r="I6971" s="1" t="s">
        <v>8</v>
      </c>
      <c r="J6971" s="1" t="str">
        <f>"45/47"</f>
        <v>45/47</v>
      </c>
      <c r="K6971" s="1" t="str">
        <f>"2026-07-29 13:18:03"</f>
        <v>2026-07-29 13:18:03</v>
      </c>
      <c r="L6971" s="1" t="str">
        <f>"2018-03-29 10:48:28"</f>
        <v>2018-03-29 10:48:28</v>
      </c>
      <c r="M6971" s="1" t="s">
        <v>2</v>
      </c>
      <c r="N6971" s="1" t="s">
        <v>38</v>
      </c>
      <c r="O6971" s="1" t="s">
        <v>46</v>
      </c>
    </row>
    <row r="6972" spans="2:15" x14ac:dyDescent="0.3">
      <c r="B6972" s="1" t="s">
        <v>22</v>
      </c>
      <c r="C6972" s="1" t="str">
        <f>"4차"</f>
        <v>4차</v>
      </c>
      <c r="D6972" s="1" t="str">
        <f>"0329P03139"</f>
        <v>0329P03139</v>
      </c>
      <c r="E6972" s="1" t="s">
        <v>10</v>
      </c>
      <c r="F6972" s="1" t="str">
        <f>"10.107.254.226"</f>
        <v>10.107.254.226</v>
      </c>
      <c r="G6972" s="1" t="str">
        <f>"0329P031"</f>
        <v>0329P031</v>
      </c>
      <c r="H6972" s="1" t="str">
        <f>"광운SW 1R11"</f>
        <v>광운SW 1R11</v>
      </c>
      <c r="I6972" s="1" t="s">
        <v>8</v>
      </c>
      <c r="J6972" s="1" t="str">
        <f>"36/36"</f>
        <v>36/36</v>
      </c>
      <c r="K6972" s="1" t="str">
        <f>"2026-07-29 13:18:03"</f>
        <v>2026-07-29 13:18:03</v>
      </c>
      <c r="L6972" s="1" t="str">
        <f>"2018-06-05 13:29:02"</f>
        <v>2018-06-05 13:29:02</v>
      </c>
      <c r="M6972" s="1" t="s">
        <v>45</v>
      </c>
      <c r="N6972" s="1" t="s">
        <v>38</v>
      </c>
      <c r="O6972" s="1" t="s">
        <v>46</v>
      </c>
    </row>
    <row r="6973" spans="2:15" x14ac:dyDescent="0.3">
      <c r="B6973" s="1" t="s">
        <v>22</v>
      </c>
      <c r="C6973" s="1" t="str">
        <f>"3차"</f>
        <v>3차</v>
      </c>
      <c r="D6973" s="1" t="str">
        <f>"0329P04239"</f>
        <v>0329P04239</v>
      </c>
      <c r="E6973" s="1" t="s">
        <v>10</v>
      </c>
      <c r="F6973" s="1" t="str">
        <f>"10.11.130.10"</f>
        <v>10.11.130.10</v>
      </c>
      <c r="G6973" s="1" t="str">
        <f>"0329P042"</f>
        <v>0329P042</v>
      </c>
      <c r="H6973" s="1" t="str">
        <f>"광운SW 1R10"</f>
        <v>광운SW 1R10</v>
      </c>
      <c r="I6973" s="1" t="s">
        <v>8</v>
      </c>
      <c r="J6973" s="1" t="str">
        <f>"27/27"</f>
        <v>27/27</v>
      </c>
      <c r="K6973" s="1" t="str">
        <f>"2026-07-29 13:18:03"</f>
        <v>2026-07-29 13:18:03</v>
      </c>
      <c r="L6973" s="1" t="str">
        <f>"2018-03-28 13:41:43"</f>
        <v>2018-03-28 13:41:43</v>
      </c>
      <c r="M6973" s="1" t="s">
        <v>2</v>
      </c>
      <c r="N6973" s="1" t="s">
        <v>38</v>
      </c>
      <c r="O6973" s="1" t="s">
        <v>46</v>
      </c>
    </row>
    <row r="6974" spans="2:15" x14ac:dyDescent="0.3">
      <c r="B6974" s="1" t="s">
        <v>22</v>
      </c>
      <c r="C6974" s="1" t="str">
        <f>"3차"</f>
        <v>3차</v>
      </c>
      <c r="D6974" s="1" t="str">
        <f>"0329P04339"</f>
        <v>0329P04339</v>
      </c>
      <c r="E6974" s="1" t="s">
        <v>10</v>
      </c>
      <c r="F6974" s="1" t="str">
        <f>"10.11.130.18"</f>
        <v>10.11.130.18</v>
      </c>
      <c r="G6974" s="1" t="str">
        <f>"0329P043"</f>
        <v>0329P043</v>
      </c>
      <c r="H6974" s="1" t="str">
        <f>"광운SW 1R11L1"</f>
        <v>광운SW 1R11L1</v>
      </c>
      <c r="I6974" s="1" t="s">
        <v>8</v>
      </c>
      <c r="J6974" s="1" t="str">
        <f>"91/94"</f>
        <v>91/94</v>
      </c>
      <c r="K6974" s="1" t="str">
        <f>"2026-07-29 13:18:03"</f>
        <v>2026-07-29 13:18:03</v>
      </c>
      <c r="L6974" s="1" t="str">
        <f>"2018-06-05 11:53:30"</f>
        <v>2018-06-05 11:53:30</v>
      </c>
      <c r="M6974" s="1" t="s">
        <v>2</v>
      </c>
      <c r="N6974" s="1" t="s">
        <v>38</v>
      </c>
      <c r="O6974" s="1" t="s">
        <v>46</v>
      </c>
    </row>
    <row r="6975" spans="2:15" x14ac:dyDescent="0.3">
      <c r="B6975" s="1" t="s">
        <v>22</v>
      </c>
      <c r="C6975" s="1" t="str">
        <f>"4차"</f>
        <v>4차</v>
      </c>
      <c r="D6975" s="1" t="str">
        <f>"0329P14339"</f>
        <v>0329P14339</v>
      </c>
      <c r="E6975" s="1" t="s">
        <v>10</v>
      </c>
      <c r="F6975" s="1" t="str">
        <f>"10.11.130.26"</f>
        <v>10.11.130.26</v>
      </c>
      <c r="G6975" s="1" t="str">
        <f>"0329P143"</f>
        <v>0329P143</v>
      </c>
      <c r="H6975" s="1" t="str">
        <f>"광운SW 1R11L2"</f>
        <v>광운SW 1R11L2</v>
      </c>
      <c r="I6975" s="1" t="s">
        <v>8</v>
      </c>
      <c r="J6975" s="1" t="str">
        <f>"132/178"</f>
        <v>132/178</v>
      </c>
      <c r="K6975" s="1" t="str">
        <f>"2026-07-29 13:18:03"</f>
        <v>2026-07-29 13:18:03</v>
      </c>
      <c r="L6975" s="1" t="str">
        <f>"2018-06-05 11:48:30"</f>
        <v>2018-06-05 11:48:30</v>
      </c>
      <c r="M6975" s="1" t="s">
        <v>2</v>
      </c>
      <c r="N6975" s="1" t="s">
        <v>38</v>
      </c>
      <c r="O6975" s="1" t="s">
        <v>46</v>
      </c>
    </row>
    <row r="6976" spans="2:15" x14ac:dyDescent="0.3">
      <c r="B6976" s="1" t="s">
        <v>22</v>
      </c>
      <c r="C6976" s="1" t="str">
        <f>"4차"</f>
        <v>4차</v>
      </c>
      <c r="D6976" s="1" t="str">
        <f>"0329P21345"</f>
        <v>0329P21345</v>
      </c>
      <c r="E6976" s="1" t="s">
        <v>10</v>
      </c>
      <c r="F6976" s="1" t="str">
        <f>"10.12.129.233"</f>
        <v>10.12.129.233</v>
      </c>
      <c r="G6976" s="1" t="str">
        <f>"0329P213"</f>
        <v>0329P213</v>
      </c>
      <c r="H6976" s="1" t="str">
        <f>"광운 7"</f>
        <v>광운 7</v>
      </c>
      <c r="I6976" s="1" t="s">
        <v>17</v>
      </c>
      <c r="J6976" s="1" t="str">
        <f>"15/16"</f>
        <v>15/16</v>
      </c>
      <c r="K6976" s="1" t="str">
        <f>"2026-07-29 13:18:02"</f>
        <v>2026-07-29 13:18:02</v>
      </c>
      <c r="L6976" s="1" t="str">
        <f>"2021-02-23 17:06:49"</f>
        <v>2021-02-23 17:06:49</v>
      </c>
      <c r="M6976" s="1" t="s">
        <v>0</v>
      </c>
      <c r="N6976" s="1" t="s">
        <v>38</v>
      </c>
      <c r="O6976" s="1" t="s">
        <v>46</v>
      </c>
    </row>
    <row r="6977" spans="2:15" x14ac:dyDescent="0.3">
      <c r="B6977" s="1" t="s">
        <v>22</v>
      </c>
      <c r="C6977" s="1" t="str">
        <f>"4차"</f>
        <v>4차</v>
      </c>
      <c r="D6977" s="1" t="str">
        <f>"0329P21445"</f>
        <v>0329P21445</v>
      </c>
      <c r="E6977" s="1" t="s">
        <v>10</v>
      </c>
      <c r="F6977" s="1" t="str">
        <f>"10.14.7.2"</f>
        <v>10.14.7.2</v>
      </c>
      <c r="G6977" s="1" t="str">
        <f>"0329P214"</f>
        <v>0329P214</v>
      </c>
      <c r="H6977" s="1" t="str">
        <f>"광운 8"</f>
        <v>광운 8</v>
      </c>
      <c r="I6977" s="1" t="s">
        <v>17</v>
      </c>
      <c r="J6977" s="1" t="str">
        <f>"16/17"</f>
        <v>16/17</v>
      </c>
      <c r="K6977" s="1" t="str">
        <f>"2026-07-29 13:18:03"</f>
        <v>2026-07-29 13:18:03</v>
      </c>
      <c r="L6977" s="1" t="str">
        <f>"2021-06-24 14:00:36"</f>
        <v>2021-06-24 14:00:36</v>
      </c>
      <c r="M6977" s="1" t="s">
        <v>3</v>
      </c>
      <c r="N6977" s="1" t="s">
        <v>38</v>
      </c>
      <c r="O6977" s="1" t="s">
        <v>46</v>
      </c>
    </row>
    <row r="6978" spans="2:15" x14ac:dyDescent="0.3">
      <c r="B6978" s="1" t="s">
        <v>22</v>
      </c>
      <c r="C6978" s="1" t="str">
        <f>"3차"</f>
        <v>3차</v>
      </c>
      <c r="D6978" s="1" t="str">
        <f>"0329P26439"</f>
        <v>0329P26439</v>
      </c>
      <c r="E6978" s="1" t="s">
        <v>10</v>
      </c>
      <c r="F6978" s="1" t="str">
        <f>"10.12.129.151"</f>
        <v>10.12.129.151</v>
      </c>
      <c r="G6978" s="1" t="str">
        <f>"0329P264"</f>
        <v>0329P264</v>
      </c>
      <c r="H6978" s="1" t="str">
        <f>"광운SW 1R3"</f>
        <v>광운SW 1R3</v>
      </c>
      <c r="I6978" s="1" t="s">
        <v>8</v>
      </c>
      <c r="J6978" s="1" t="str">
        <f>"50/52"</f>
        <v>50/52</v>
      </c>
      <c r="K6978" s="1" t="str">
        <f>"2026-07-29 13:18:04"</f>
        <v>2026-07-29 13:18:04</v>
      </c>
      <c r="L6978" s="1" t="str">
        <f>"2018-04-20 15:50:31"</f>
        <v>2018-04-20 15:50:31</v>
      </c>
      <c r="M6978" s="1" t="s">
        <v>0</v>
      </c>
      <c r="N6978" s="1" t="s">
        <v>38</v>
      </c>
      <c r="O6978" s="1" t="s">
        <v>46</v>
      </c>
    </row>
    <row r="6979" spans="2:15" x14ac:dyDescent="0.3">
      <c r="B6979" s="1" t="s">
        <v>22</v>
      </c>
      <c r="C6979" s="1" t="str">
        <f>"4차"</f>
        <v>4차</v>
      </c>
      <c r="D6979" s="1" t="str">
        <f>"0329P32745"</f>
        <v>0329P32745</v>
      </c>
      <c r="E6979" s="1" t="s">
        <v>10</v>
      </c>
      <c r="F6979" s="1" t="str">
        <f>"10.14.4.25"</f>
        <v>10.14.4.25</v>
      </c>
      <c r="G6979" s="1" t="str">
        <f>"0329P327"</f>
        <v>0329P327</v>
      </c>
      <c r="H6979" s="1" t="str">
        <f>"광운 9"</f>
        <v>광운 9</v>
      </c>
      <c r="I6979" s="1" t="s">
        <v>17</v>
      </c>
      <c r="J6979" s="1" t="str">
        <f>"16/21"</f>
        <v>16/21</v>
      </c>
      <c r="K6979" s="1" t="str">
        <f>"2026-07-29 13:18:03"</f>
        <v>2026-07-29 13:18:03</v>
      </c>
      <c r="L6979" s="1" t="str">
        <f>"2021-06-24 13:44:43"</f>
        <v>2021-06-24 13:44:43</v>
      </c>
      <c r="M6979" s="1" t="s">
        <v>3</v>
      </c>
      <c r="N6979" s="1" t="s">
        <v>38</v>
      </c>
      <c r="O6979" s="1" t="s">
        <v>46</v>
      </c>
    </row>
    <row r="6980" spans="2:15" x14ac:dyDescent="0.3">
      <c r="B6980" s="1" t="s">
        <v>22</v>
      </c>
      <c r="C6980" s="1" t="str">
        <f>"4차"</f>
        <v>4차</v>
      </c>
      <c r="D6980" s="1" t="str">
        <f>"0329P36245"</f>
        <v>0329P36245</v>
      </c>
      <c r="E6980" s="1" t="s">
        <v>10</v>
      </c>
      <c r="F6980" s="1" t="str">
        <f>"10.14.9.61"</f>
        <v>10.14.9.61</v>
      </c>
      <c r="G6980" s="1" t="str">
        <f>"0329P362"</f>
        <v>0329P362</v>
      </c>
      <c r="H6980" s="1" t="str">
        <f>"광운 3"</f>
        <v>광운 3</v>
      </c>
      <c r="I6980" s="1" t="s">
        <v>17</v>
      </c>
      <c r="J6980" s="1" t="str">
        <f>"31/39"</f>
        <v>31/39</v>
      </c>
      <c r="K6980" s="1" t="str">
        <f>"2026-07-29 13:18:03"</f>
        <v>2026-07-29 13:18:03</v>
      </c>
      <c r="L6980" s="1" t="str">
        <f>"2021-06-23 13:08:08"</f>
        <v>2021-06-23 13:08:08</v>
      </c>
      <c r="M6980" s="1" t="s">
        <v>3</v>
      </c>
      <c r="N6980" s="1" t="s">
        <v>38</v>
      </c>
      <c r="O6980" s="1" t="s">
        <v>46</v>
      </c>
    </row>
    <row r="6981" spans="2:15" x14ac:dyDescent="0.3">
      <c r="B6981" s="1" t="s">
        <v>22</v>
      </c>
      <c r="C6981" s="1" t="str">
        <f>"4차"</f>
        <v>4차</v>
      </c>
      <c r="D6981" s="1" t="str">
        <f>"0329P37139"</f>
        <v>0329P37139</v>
      </c>
      <c r="E6981" s="1" t="s">
        <v>10</v>
      </c>
      <c r="F6981" s="1" t="str">
        <f>"10.12.137.18"</f>
        <v>10.12.137.18</v>
      </c>
      <c r="G6981" s="1" t="str">
        <f>"0329P371"</f>
        <v>0329P371</v>
      </c>
      <c r="H6981" s="1" t="str">
        <f>"광운 2"</f>
        <v>광운 2</v>
      </c>
      <c r="I6981" s="1" t="s">
        <v>17</v>
      </c>
      <c r="J6981" s="1" t="str">
        <f>"54/54"</f>
        <v>54/54</v>
      </c>
      <c r="K6981" s="1" t="str">
        <f>"2026-07-29 13:18:04"</f>
        <v>2026-07-29 13:18:04</v>
      </c>
      <c r="L6981" s="1" t="str">
        <f>"2018-12-18 09:27:24"</f>
        <v>2018-12-18 09:27:24</v>
      </c>
      <c r="M6981" s="1" t="s">
        <v>0</v>
      </c>
      <c r="N6981" s="1" t="s">
        <v>38</v>
      </c>
      <c r="O6981" s="1" t="s">
        <v>46</v>
      </c>
    </row>
    <row r="6982" spans="2:15" x14ac:dyDescent="0.3">
      <c r="B6982" s="1" t="s">
        <v>22</v>
      </c>
      <c r="C6982" s="1" t="str">
        <f>"4차"</f>
        <v>4차</v>
      </c>
      <c r="D6982" s="1" t="str">
        <f>"0329P37445"</f>
        <v>0329P37445</v>
      </c>
      <c r="E6982" s="1" t="s">
        <v>10</v>
      </c>
      <c r="F6982" s="1" t="str">
        <f>"10.14.11.12"</f>
        <v>10.14.11.12</v>
      </c>
      <c r="G6982" s="1" t="str">
        <f>"0329P374"</f>
        <v>0329P374</v>
      </c>
      <c r="H6982" s="1" t="str">
        <f>"광운 1"</f>
        <v>광운 1</v>
      </c>
      <c r="I6982" s="1" t="s">
        <v>17</v>
      </c>
      <c r="J6982" s="1" t="str">
        <f>"20/20"</f>
        <v>20/20</v>
      </c>
      <c r="K6982" s="1" t="str">
        <f>"2026-07-29 13:18:03"</f>
        <v>2026-07-29 13:18:03</v>
      </c>
      <c r="L6982" s="1" t="str">
        <f>"2021-06-23 13:34:15"</f>
        <v>2021-06-23 13:34:15</v>
      </c>
      <c r="M6982" s="1" t="s">
        <v>3</v>
      </c>
      <c r="N6982" s="1" t="s">
        <v>38</v>
      </c>
      <c r="O6982" s="1" t="s">
        <v>46</v>
      </c>
    </row>
    <row r="6983" spans="2:15" x14ac:dyDescent="0.3">
      <c r="B6983" s="1" t="s">
        <v>22</v>
      </c>
      <c r="C6983" s="1" t="str">
        <f>"4차"</f>
        <v>4차</v>
      </c>
      <c r="D6983" s="1" t="str">
        <f>"0329P38244"</f>
        <v>0329P38244</v>
      </c>
      <c r="E6983" s="1" t="s">
        <v>10</v>
      </c>
      <c r="F6983" s="1" t="str">
        <f>"10.107.120.12"</f>
        <v>10.107.120.12</v>
      </c>
      <c r="G6983" s="1" t="str">
        <f>"0329P382"</f>
        <v>0329P382</v>
      </c>
      <c r="H6983" s="1" t="str">
        <f>"월석간 14R3"</f>
        <v>월석간 14R3</v>
      </c>
      <c r="I6983" s="1" t="s">
        <v>8</v>
      </c>
      <c r="J6983" s="1" t="str">
        <f>"103/107"</f>
        <v>103/107</v>
      </c>
      <c r="K6983" s="1" t="str">
        <f>"2026-07-29 13:18:03"</f>
        <v>2026-07-29 13:18:03</v>
      </c>
      <c r="L6983" s="1" t="str">
        <f>"2020-01-10 11:44:38"</f>
        <v>2020-01-10 11:44:38</v>
      </c>
      <c r="M6983" s="1" t="s">
        <v>45</v>
      </c>
      <c r="N6983" s="1" t="s">
        <v>38</v>
      </c>
      <c r="O6983" s="1" t="s">
        <v>46</v>
      </c>
    </row>
    <row r="6984" spans="2:15" x14ac:dyDescent="0.3">
      <c r="B6984" s="1" t="s">
        <v>22</v>
      </c>
      <c r="C6984" s="1" t="str">
        <f>"3차"</f>
        <v>3차</v>
      </c>
      <c r="D6984" s="1" t="str">
        <f>"0329P39139"</f>
        <v>0329P39139</v>
      </c>
      <c r="E6984" s="1" t="s">
        <v>10</v>
      </c>
      <c r="F6984" s="1" t="str">
        <f>"10.12.137.89"</f>
        <v>10.12.137.89</v>
      </c>
      <c r="G6984" s="1" t="str">
        <f>"0329P391"</f>
        <v>0329P391</v>
      </c>
      <c r="H6984" s="1" t="str">
        <f>"월석간 14R2R1"</f>
        <v>월석간 14R2R1</v>
      </c>
      <c r="I6984" s="1" t="s">
        <v>8</v>
      </c>
      <c r="J6984" s="1" t="str">
        <f>"136/138"</f>
        <v>136/138</v>
      </c>
      <c r="K6984" s="1" t="str">
        <f>"2026-07-29 13:18:04"</f>
        <v>2026-07-29 13:18:04</v>
      </c>
      <c r="L6984" s="1" t="str">
        <f>"2018-09-28 08:54:09"</f>
        <v>2018-09-28 08:54:09</v>
      </c>
      <c r="M6984" s="1" t="s">
        <v>0</v>
      </c>
      <c r="N6984" s="1" t="s">
        <v>38</v>
      </c>
      <c r="O6984" s="1" t="s">
        <v>46</v>
      </c>
    </row>
    <row r="6985" spans="2:15" x14ac:dyDescent="0.3">
      <c r="B6985" s="1" t="s">
        <v>22</v>
      </c>
      <c r="C6985" s="1" t="str">
        <f>"3차"</f>
        <v>3차</v>
      </c>
      <c r="D6985" s="1" t="str">
        <f>"0329P43231"</f>
        <v>0329P43231</v>
      </c>
      <c r="E6985" s="1" t="s">
        <v>10</v>
      </c>
      <c r="F6985" s="1" t="str">
        <f>"10.12.128.178"</f>
        <v>10.12.128.178</v>
      </c>
      <c r="G6985" s="1" t="str">
        <f>"0329P432"</f>
        <v>0329P432</v>
      </c>
      <c r="H6985" s="1" t="str">
        <f>"광운SW 8R2"</f>
        <v>광운SW 8R2</v>
      </c>
      <c r="I6985" s="1" t="s">
        <v>8</v>
      </c>
      <c r="J6985" s="1" t="str">
        <f>"48/66"</f>
        <v>48/66</v>
      </c>
      <c r="K6985" s="1" t="str">
        <f>"2026-07-29 13:18:02"</f>
        <v>2026-07-29 13:18:02</v>
      </c>
      <c r="L6985" s="1" t="str">
        <f>"2018-04-09 19:09:29"</f>
        <v>2018-04-09 19:09:29</v>
      </c>
      <c r="M6985" s="1" t="s">
        <v>0</v>
      </c>
      <c r="N6985" s="1" t="s">
        <v>38</v>
      </c>
      <c r="O6985" s="1" t="s">
        <v>46</v>
      </c>
    </row>
    <row r="6986" spans="2:15" x14ac:dyDescent="0.3">
      <c r="B6986" s="1" t="s">
        <v>22</v>
      </c>
      <c r="C6986" s="1" t="str">
        <f>"3차"</f>
        <v>3차</v>
      </c>
      <c r="D6986" s="1" t="str">
        <f>"0329P44232"</f>
        <v>0329P44232</v>
      </c>
      <c r="E6986" s="1" t="s">
        <v>10</v>
      </c>
      <c r="F6986" s="1" t="str">
        <f>"10.12.129.7"</f>
        <v>10.12.129.7</v>
      </c>
      <c r="G6986" s="1" t="str">
        <f>"0329P442"</f>
        <v>0329P442</v>
      </c>
      <c r="H6986" s="1" t="str">
        <f>"광운SW 11R4"</f>
        <v>광운SW 11R4</v>
      </c>
      <c r="I6986" s="1" t="s">
        <v>8</v>
      </c>
      <c r="J6986" s="1" t="str">
        <f>"27/30"</f>
        <v>27/30</v>
      </c>
      <c r="K6986" s="1" t="str">
        <f>"2026-07-29 13:18:04"</f>
        <v>2026-07-29 13:18:04</v>
      </c>
      <c r="L6986" s="1" t="str">
        <f>"2018-01-18 15:36:28"</f>
        <v>2018-01-18 15:36:28</v>
      </c>
      <c r="M6986" s="1" t="s">
        <v>0</v>
      </c>
      <c r="N6986" s="1" t="s">
        <v>38</v>
      </c>
      <c r="O6986" s="1" t="s">
        <v>46</v>
      </c>
    </row>
    <row r="6987" spans="2:15" x14ac:dyDescent="0.3">
      <c r="B6987" s="1" t="s">
        <v>22</v>
      </c>
      <c r="C6987" s="1" t="str">
        <f>"4차"</f>
        <v>4차</v>
      </c>
      <c r="D6987" s="1" t="str">
        <f>"0329P48344"</f>
        <v>0329P48344</v>
      </c>
      <c r="E6987" s="1" t="s">
        <v>10</v>
      </c>
      <c r="F6987" s="1" t="str">
        <f>"10.107.120.13"</f>
        <v>10.107.120.13</v>
      </c>
      <c r="G6987" s="1" t="str">
        <f>"0329P483"</f>
        <v>0329P483</v>
      </c>
      <c r="H6987" s="1" t="str">
        <f>"월석간 14R1"</f>
        <v>월석간 14R1</v>
      </c>
      <c r="I6987" s="1" t="s">
        <v>8</v>
      </c>
      <c r="J6987" s="1" t="str">
        <f>"16/20"</f>
        <v>16/20</v>
      </c>
      <c r="K6987" s="1" t="str">
        <f>"2026-07-29 13:18:03"</f>
        <v>2026-07-29 13:18:03</v>
      </c>
      <c r="L6987" s="1" t="str">
        <f>"2020-01-10 11:45:23"</f>
        <v>2020-01-10 11:45:23</v>
      </c>
      <c r="M6987" s="1" t="s">
        <v>45</v>
      </c>
      <c r="N6987" s="1" t="s">
        <v>38</v>
      </c>
      <c r="O6987" s="1" t="s">
        <v>46</v>
      </c>
    </row>
    <row r="6988" spans="2:15" x14ac:dyDescent="0.3">
      <c r="B6988" s="1" t="s">
        <v>22</v>
      </c>
      <c r="C6988" s="1" t="str">
        <f>"4차"</f>
        <v>4차</v>
      </c>
      <c r="D6988" s="1" t="str">
        <f>"0329P49244"</f>
        <v>0329P49244</v>
      </c>
      <c r="E6988" s="1" t="s">
        <v>10</v>
      </c>
      <c r="F6988" s="1" t="str">
        <f>"10.12.138.182"</f>
        <v>10.12.138.182</v>
      </c>
      <c r="G6988" s="1" t="str">
        <f>"0329P492"</f>
        <v>0329P492</v>
      </c>
      <c r="H6988" s="1" t="str">
        <f>"월석간 12"</f>
        <v>월석간 12</v>
      </c>
      <c r="I6988" s="1" t="s">
        <v>8</v>
      </c>
      <c r="J6988" s="1" t="str">
        <f>"12/12"</f>
        <v>12/12</v>
      </c>
      <c r="K6988" s="1" t="str">
        <f>"2026-07-29 13:18:04"</f>
        <v>2026-07-29 13:18:04</v>
      </c>
      <c r="L6988" s="1" t="str">
        <f>"2019-11-11 19:48:35"</f>
        <v>2019-11-11 19:48:35</v>
      </c>
      <c r="M6988" s="1" t="s">
        <v>0</v>
      </c>
      <c r="N6988" s="1" t="s">
        <v>38</v>
      </c>
      <c r="O6988" s="1" t="s">
        <v>46</v>
      </c>
    </row>
    <row r="6989" spans="2:15" x14ac:dyDescent="0.3">
      <c r="B6989" s="1" t="s">
        <v>22</v>
      </c>
      <c r="C6989" s="1" t="str">
        <f>"5-2차"</f>
        <v>5-2차</v>
      </c>
      <c r="D6989" s="1" t="str">
        <f>"0329P5345M"</f>
        <v>0329P5345M</v>
      </c>
      <c r="E6989" s="1" t="s">
        <v>10</v>
      </c>
      <c r="F6989" s="1" t="str">
        <f>"fde1:103:4:91ed:0:0:0:2"</f>
        <v>fde1:103:4:91ed:0:0:0:2</v>
      </c>
      <c r="G6989" s="1" t="str">
        <f>"0329P534"</f>
        <v>0329P534</v>
      </c>
      <c r="H6989" s="1" t="str">
        <f>"광운SW 8R5B3"</f>
        <v>광운SW 8R5B3</v>
      </c>
      <c r="I6989" s="1" t="s">
        <v>15</v>
      </c>
      <c r="J6989" s="1" t="str">
        <f>"50/50"</f>
        <v>50/50</v>
      </c>
      <c r="K6989" s="1" t="str">
        <f>"2026-07-29 14:20:57"</f>
        <v>2026-07-29 14:20:57</v>
      </c>
      <c r="L6989" s="1" t="str">
        <f>"2023-12-20 13:31:19"</f>
        <v>2023-12-20 13:31:19</v>
      </c>
      <c r="M6989" s="1" t="s">
        <v>4</v>
      </c>
      <c r="N6989" s="1" t="s">
        <v>38</v>
      </c>
      <c r="O6989" s="1" t="s">
        <v>46</v>
      </c>
    </row>
    <row r="6990" spans="2:15" x14ac:dyDescent="0.3">
      <c r="B6990" s="1" t="s">
        <v>22</v>
      </c>
      <c r="C6990" s="1" t="str">
        <f>"3차"</f>
        <v>3차</v>
      </c>
      <c r="D6990" s="1" t="str">
        <f>"0329P55231"</f>
        <v>0329P55231</v>
      </c>
      <c r="E6990" s="1" t="s">
        <v>10</v>
      </c>
      <c r="F6990" s="1" t="str">
        <f>"10.12.128.14"</f>
        <v>10.12.128.14</v>
      </c>
      <c r="G6990" s="1" t="str">
        <f>"0329P552"</f>
        <v>0329P552</v>
      </c>
      <c r="H6990" s="1" t="str">
        <f>"광운SW 11R3L1"</f>
        <v>광운SW 11R3L1</v>
      </c>
      <c r="I6990" s="1" t="s">
        <v>8</v>
      </c>
      <c r="J6990" s="1" t="str">
        <f>"33/33"</f>
        <v>33/33</v>
      </c>
      <c r="K6990" s="1" t="str">
        <f>"2026-07-29 13:18:04"</f>
        <v>2026-07-29 13:18:04</v>
      </c>
      <c r="L6990" s="1" t="str">
        <f>"2018-01-18 15:51:58"</f>
        <v>2018-01-18 15:51:58</v>
      </c>
      <c r="M6990" s="1" t="s">
        <v>0</v>
      </c>
      <c r="N6990" s="1" t="s">
        <v>38</v>
      </c>
      <c r="O6990" s="1" t="s">
        <v>46</v>
      </c>
    </row>
    <row r="6991" spans="2:15" x14ac:dyDescent="0.3">
      <c r="B6991" s="1" t="s">
        <v>22</v>
      </c>
      <c r="C6991" s="1" t="str">
        <f>"4차"</f>
        <v>4차</v>
      </c>
      <c r="D6991" s="1" t="str">
        <f>"0329P58144"</f>
        <v>0329P58144</v>
      </c>
      <c r="E6991" s="1" t="s">
        <v>10</v>
      </c>
      <c r="F6991" s="1" t="str">
        <f>"10.107.120.14"</f>
        <v>10.107.120.14</v>
      </c>
      <c r="G6991" s="1" t="str">
        <f>"0329P581"</f>
        <v>0329P581</v>
      </c>
      <c r="H6991" s="1" t="str">
        <f>"광운SW 11L2"</f>
        <v>광운SW 11L2</v>
      </c>
      <c r="I6991" s="1" t="s">
        <v>8</v>
      </c>
      <c r="J6991" s="1" t="str">
        <f>"22/22"</f>
        <v>22/22</v>
      </c>
      <c r="K6991" s="1" t="str">
        <f>"2026-07-29 13:18:03"</f>
        <v>2026-07-29 13:18:03</v>
      </c>
      <c r="L6991" s="1" t="str">
        <f>"2020-01-10 11:43:55"</f>
        <v>2020-01-10 11:43:55</v>
      </c>
      <c r="M6991" s="1" t="s">
        <v>45</v>
      </c>
      <c r="N6991" s="1" t="s">
        <v>38</v>
      </c>
      <c r="O6991" s="1" t="s">
        <v>46</v>
      </c>
    </row>
    <row r="6992" spans="2:15" x14ac:dyDescent="0.3">
      <c r="B6992" s="1" t="s">
        <v>22</v>
      </c>
      <c r="C6992" s="1" t="str">
        <f>"4차"</f>
        <v>4차</v>
      </c>
      <c r="D6992" s="1" t="str">
        <f>"0329P65339"</f>
        <v>0329P65339</v>
      </c>
      <c r="E6992" s="1" t="s">
        <v>10</v>
      </c>
      <c r="F6992" s="1" t="str">
        <f>"10.10.8.250"</f>
        <v>10.10.8.250</v>
      </c>
      <c r="G6992" s="1" t="str">
        <f>"0329P653"</f>
        <v>0329P653</v>
      </c>
      <c r="H6992" s="1" t="str">
        <f>"광운SW 8R8"</f>
        <v>광운SW 8R8</v>
      </c>
      <c r="I6992" s="1" t="s">
        <v>8</v>
      </c>
      <c r="J6992" s="1" t="str">
        <f>"46/47"</f>
        <v>46/47</v>
      </c>
      <c r="K6992" s="1" t="str">
        <f>"2026-07-29 13:18:03"</f>
        <v>2026-07-29 13:18:03</v>
      </c>
      <c r="L6992" s="1" t="str">
        <f>"2018-01-29 09:12:22"</f>
        <v>2018-01-29 09:12:22</v>
      </c>
      <c r="M6992" s="1" t="s">
        <v>1</v>
      </c>
      <c r="N6992" s="1" t="s">
        <v>38</v>
      </c>
      <c r="O6992" s="1" t="s">
        <v>46</v>
      </c>
    </row>
    <row r="6993" spans="2:15" x14ac:dyDescent="0.3">
      <c r="B6993" s="1" t="s">
        <v>22</v>
      </c>
      <c r="C6993" s="1" t="str">
        <f>"5-2차"</f>
        <v>5-2차</v>
      </c>
      <c r="D6993" s="1" t="str">
        <f>"0329P7115M"</f>
        <v>0329P7115M</v>
      </c>
      <c r="E6993" s="1" t="s">
        <v>10</v>
      </c>
      <c r="F6993" s="1" t="str">
        <f>"fde3:102:1420:7100:0:0:0:6"</f>
        <v>fde3:102:1420:7100:0:0:0:6</v>
      </c>
      <c r="G6993" s="1" t="str">
        <f>"0329P711"</f>
        <v>0329P711</v>
      </c>
      <c r="H6993" s="1" t="str">
        <f>"월석간 30R4"</f>
        <v>월석간 30R4</v>
      </c>
      <c r="I6993" s="1" t="s">
        <v>15</v>
      </c>
      <c r="J6993" s="1" t="str">
        <f>"98/98"</f>
        <v>98/98</v>
      </c>
      <c r="K6993" s="1" t="str">
        <f>"2026-07-29 14:20:25"</f>
        <v>2026-07-29 14:20:25</v>
      </c>
      <c r="L6993" s="1" t="str">
        <f>"2023-06-26 16:31:30"</f>
        <v>2023-06-26 16:31:30</v>
      </c>
      <c r="M6993" s="1" t="s">
        <v>45</v>
      </c>
      <c r="N6993" s="1" t="s">
        <v>38</v>
      </c>
      <c r="O6993" s="1" t="s">
        <v>46</v>
      </c>
    </row>
    <row r="6994" spans="2:15" x14ac:dyDescent="0.3">
      <c r="B6994" s="1" t="s">
        <v>22</v>
      </c>
      <c r="C6994" s="1" t="str">
        <f>"5-2차"</f>
        <v>5-2차</v>
      </c>
      <c r="D6994" s="1" t="str">
        <f>"0329P7125M"</f>
        <v>0329P7125M</v>
      </c>
      <c r="E6994" s="1" t="s">
        <v>10</v>
      </c>
      <c r="F6994" s="1" t="str">
        <f>"fde3:102:1420:7100:0:0:0:5"</f>
        <v>fde3:102:1420:7100:0:0:0:5</v>
      </c>
      <c r="G6994" s="1" t="str">
        <f>"0329P712"</f>
        <v>0329P712</v>
      </c>
      <c r="H6994" s="1" t="str">
        <f>"월석간 30R3"</f>
        <v>월석간 30R3</v>
      </c>
      <c r="I6994" s="1" t="s">
        <v>15</v>
      </c>
      <c r="J6994" s="1" t="str">
        <f>"100/100"</f>
        <v>100/100</v>
      </c>
      <c r="K6994" s="1" t="str">
        <f>"2026-07-29 14:20:19"</f>
        <v>2026-07-29 14:20:19</v>
      </c>
      <c r="L6994" s="1" t="str">
        <f>"2023-06-26 16:32:25"</f>
        <v>2023-06-26 16:32:25</v>
      </c>
      <c r="M6994" s="1" t="s">
        <v>45</v>
      </c>
      <c r="N6994" s="1" t="s">
        <v>38</v>
      </c>
      <c r="O6994" s="1" t="s">
        <v>46</v>
      </c>
    </row>
    <row r="6995" spans="2:15" x14ac:dyDescent="0.3">
      <c r="B6995" s="1" t="s">
        <v>22</v>
      </c>
      <c r="C6995" s="1" t="str">
        <f>"5-1차"</f>
        <v>5-1차</v>
      </c>
      <c r="D6995" s="1" t="str">
        <f>"0329R0515M"</f>
        <v>0329R0515M</v>
      </c>
      <c r="E6995" s="1" t="s">
        <v>10</v>
      </c>
      <c r="F6995" s="1" t="str">
        <f>"fde3:102:1420:7200:0:0:0:5"</f>
        <v>fde3:102:1420:7200:0:0:0:5</v>
      </c>
      <c r="G6995" s="1" t="str">
        <f>"0329R051"</f>
        <v>0329R051</v>
      </c>
      <c r="H6995" s="1" t="str">
        <f>"월석간 58"</f>
        <v>월석간 58</v>
      </c>
      <c r="I6995" s="1" t="s">
        <v>15</v>
      </c>
      <c r="J6995" s="1" t="str">
        <f>"57/57"</f>
        <v>57/57</v>
      </c>
      <c r="K6995" s="1" t="str">
        <f>"2026-07-29 14:20:20"</f>
        <v>2026-07-29 14:20:20</v>
      </c>
      <c r="L6995" s="1" t="str">
        <f>"2022-11-15 17:35:57"</f>
        <v>2022-11-15 17:35:57</v>
      </c>
      <c r="M6995" s="1" t="s">
        <v>45</v>
      </c>
      <c r="N6995" s="1" t="s">
        <v>38</v>
      </c>
      <c r="O6995" s="1" t="s">
        <v>46</v>
      </c>
    </row>
    <row r="6996" spans="2:15" x14ac:dyDescent="0.3">
      <c r="B6996" s="1" t="s">
        <v>22</v>
      </c>
      <c r="C6996" s="1" t="str">
        <f>"4차"</f>
        <v>4차</v>
      </c>
      <c r="D6996" s="1" t="str">
        <f>"0329R07245"</f>
        <v>0329R07245</v>
      </c>
      <c r="E6996" s="1" t="s">
        <v>10</v>
      </c>
      <c r="F6996" s="1" t="str">
        <f>"10.14.13.65"</f>
        <v>10.14.13.65</v>
      </c>
      <c r="G6996" s="1" t="str">
        <f>"0329R072"</f>
        <v>0329R072</v>
      </c>
      <c r="H6996" s="1" t="str">
        <f>"광운 6"</f>
        <v>광운 6</v>
      </c>
      <c r="I6996" s="1" t="s">
        <v>17</v>
      </c>
      <c r="J6996" s="1" t="str">
        <f>"11/21"</f>
        <v>11/21</v>
      </c>
      <c r="K6996" s="1" t="str">
        <f>"2026-07-29 13:18:03"</f>
        <v>2026-07-29 13:18:03</v>
      </c>
      <c r="L6996" s="1" t="str">
        <f>"2021-06-23 14:39:04"</f>
        <v>2021-06-23 14:39:04</v>
      </c>
      <c r="M6996" s="1" t="s">
        <v>3</v>
      </c>
      <c r="N6996" s="1" t="s">
        <v>38</v>
      </c>
      <c r="O6996" s="1" t="s">
        <v>46</v>
      </c>
    </row>
    <row r="6997" spans="2:15" x14ac:dyDescent="0.3">
      <c r="B6997" s="1" t="s">
        <v>22</v>
      </c>
      <c r="C6997" s="1" t="str">
        <f>"5-1차"</f>
        <v>5-1차</v>
      </c>
      <c r="D6997" s="1" t="str">
        <f>"0329R1425M"</f>
        <v>0329R1425M</v>
      </c>
      <c r="E6997" s="1" t="s">
        <v>10</v>
      </c>
      <c r="F6997" s="1" t="str">
        <f>"fde3:102:1420:7200:0:0:0:6"</f>
        <v>fde3:102:1420:7200:0:0:0:6</v>
      </c>
      <c r="G6997" s="1" t="str">
        <f>"0329R142"</f>
        <v>0329R142</v>
      </c>
      <c r="H6997" s="1" t="str">
        <f>"월석간 56"</f>
        <v>월석간 56</v>
      </c>
      <c r="I6997" s="1" t="s">
        <v>15</v>
      </c>
      <c r="J6997" s="1" t="str">
        <f>"22/54"</f>
        <v>22/54</v>
      </c>
      <c r="K6997" s="1" t="str">
        <f>"2026-07-29 14:20:20"</f>
        <v>2026-07-29 14:20:20</v>
      </c>
      <c r="L6997" s="1" t="str">
        <f>"2022-11-16 14:58:35"</f>
        <v>2022-11-16 14:58:35</v>
      </c>
      <c r="M6997" s="1" t="s">
        <v>45</v>
      </c>
      <c r="N6997" s="1" t="s">
        <v>38</v>
      </c>
      <c r="O6997" s="1" t="s">
        <v>46</v>
      </c>
    </row>
    <row r="6998" spans="2:15" x14ac:dyDescent="0.3">
      <c r="B6998" s="1" t="s">
        <v>22</v>
      </c>
      <c r="C6998" s="1" t="str">
        <f>"6차"</f>
        <v>6차</v>
      </c>
      <c r="D6998" s="1" t="str">
        <f>"0329R2316S"</f>
        <v>0329R2316S</v>
      </c>
      <c r="E6998" s="1" t="s">
        <v>10</v>
      </c>
      <c r="F6998" s="1" t="str">
        <f>"fde3:102:1420:7200:0:0:0:9"</f>
        <v>fde3:102:1420:7200:0:0:0:9</v>
      </c>
      <c r="G6998" s="1" t="str">
        <f>"0329R231"</f>
        <v>0329R231</v>
      </c>
      <c r="H6998" s="1" t="str">
        <f>"월석간 54"</f>
        <v>월석간 54</v>
      </c>
      <c r="I6998" s="1" t="s">
        <v>15</v>
      </c>
      <c r="J6998" s="1" t="str">
        <f>"38/44"</f>
        <v>38/44</v>
      </c>
      <c r="K6998" s="1" t="str">
        <f>"2026-07-28 20:03:34"</f>
        <v>2026-07-28 20:03:34</v>
      </c>
      <c r="L6998" s="1" t="str">
        <f>"2024-11-26 10:10:42"</f>
        <v>2024-11-26 10:10:42</v>
      </c>
      <c r="M6998" s="1" t="s">
        <v>45</v>
      </c>
      <c r="N6998" s="1" t="s">
        <v>38</v>
      </c>
      <c r="O6998" s="1" t="s">
        <v>46</v>
      </c>
    </row>
    <row r="6999" spans="2:15" x14ac:dyDescent="0.3">
      <c r="B6999" s="1" t="s">
        <v>22</v>
      </c>
      <c r="C6999" s="1" t="str">
        <f>"5-2차"</f>
        <v>5-2차</v>
      </c>
      <c r="D6999" s="1" t="str">
        <f>"0329R2615M"</f>
        <v>0329R2615M</v>
      </c>
      <c r="E6999" s="1" t="s">
        <v>10</v>
      </c>
      <c r="F6999" s="1" t="str">
        <f>"fde3:102:1420:7200:0:0:0:8"</f>
        <v>fde3:102:1420:7200:0:0:0:8</v>
      </c>
      <c r="G6999" s="1" t="str">
        <f>"0329R261"</f>
        <v>0329R261</v>
      </c>
      <c r="H6999" s="1" t="str">
        <f>"월석간 55R8"</f>
        <v>월석간 55R8</v>
      </c>
      <c r="I6999" s="1" t="s">
        <v>15</v>
      </c>
      <c r="J6999" s="1" t="str">
        <f>"37/37"</f>
        <v>37/37</v>
      </c>
      <c r="K6999" s="1" t="str">
        <f>"2026-07-29 14:20:19"</f>
        <v>2026-07-29 14:20:19</v>
      </c>
      <c r="L6999" s="1" t="str">
        <f>"2023-06-26 16:05:27"</f>
        <v>2023-06-26 16:05:27</v>
      </c>
      <c r="M6999" s="1" t="s">
        <v>45</v>
      </c>
      <c r="N6999" s="1" t="s">
        <v>38</v>
      </c>
      <c r="O6999" s="1" t="s">
        <v>46</v>
      </c>
    </row>
    <row r="7000" spans="2:15" x14ac:dyDescent="0.3">
      <c r="B7000" s="1" t="s">
        <v>22</v>
      </c>
      <c r="C7000" s="1" t="str">
        <f>"5-2차"</f>
        <v>5-2차</v>
      </c>
      <c r="D7000" s="1" t="str">
        <f>"0329R2625M"</f>
        <v>0329R2625M</v>
      </c>
      <c r="E7000" s="1" t="s">
        <v>10</v>
      </c>
      <c r="F7000" s="1" t="str">
        <f>"fde3:102:1420:7200:0:0:0:7"</f>
        <v>fde3:102:1420:7200:0:0:0:7</v>
      </c>
      <c r="G7000" s="1" t="str">
        <f>"0329R262"</f>
        <v>0329R262</v>
      </c>
      <c r="H7000" s="1" t="str">
        <f>"월석간 55R4L1"</f>
        <v>월석간 55R4L1</v>
      </c>
      <c r="I7000" s="1" t="s">
        <v>15</v>
      </c>
      <c r="J7000" s="1" t="str">
        <f>"86/86"</f>
        <v>86/86</v>
      </c>
      <c r="K7000" s="1" t="str">
        <f>"2026-07-29 14:20:19"</f>
        <v>2026-07-29 14:20:19</v>
      </c>
      <c r="L7000" s="1" t="str">
        <f>"2023-06-26 16:06:05"</f>
        <v>2023-06-26 16:06:05</v>
      </c>
      <c r="M7000" s="1" t="s">
        <v>45</v>
      </c>
      <c r="N7000" s="1" t="s">
        <v>38</v>
      </c>
      <c r="O7000" s="1" t="s">
        <v>46</v>
      </c>
    </row>
    <row r="7001" spans="2:15" x14ac:dyDescent="0.3">
      <c r="B7001" s="1" t="s">
        <v>22</v>
      </c>
      <c r="C7001" s="1" t="str">
        <f>"6차"</f>
        <v>6차</v>
      </c>
      <c r="D7001" s="1" t="str">
        <f>"0329R3526S"</f>
        <v>0329R3526S</v>
      </c>
      <c r="E7001" s="1" t="s">
        <v>10</v>
      </c>
      <c r="F7001" s="1" t="str">
        <f>"fde3:102:1420:7200:0:0:0:b"</f>
        <v>fde3:102:1420:7200:0:0:0:b</v>
      </c>
      <c r="G7001" s="1" t="str">
        <f>"0329R352"</f>
        <v>0329R352</v>
      </c>
      <c r="H7001" s="1" t="str">
        <f>"월석간 55R3"</f>
        <v>월석간 55R3</v>
      </c>
      <c r="I7001" s="1" t="s">
        <v>15</v>
      </c>
      <c r="J7001" s="1" t="str">
        <f>"158/159"</f>
        <v>158/159</v>
      </c>
      <c r="K7001" s="1" t="str">
        <f>"2026-07-29 14:20:53"</f>
        <v>2026-07-29 14:20:53</v>
      </c>
      <c r="L7001" s="1" t="str">
        <f>"2024-12-05 14:53:09"</f>
        <v>2024-12-05 14:53:09</v>
      </c>
      <c r="M7001" s="1" t="s">
        <v>45</v>
      </c>
      <c r="N7001" s="1" t="s">
        <v>38</v>
      </c>
      <c r="O7001" s="1" t="s">
        <v>46</v>
      </c>
    </row>
    <row r="7002" spans="2:15" x14ac:dyDescent="0.3">
      <c r="B7002" s="1" t="s">
        <v>22</v>
      </c>
      <c r="C7002" s="1" t="str">
        <f>"5-1차"</f>
        <v>5-1차</v>
      </c>
      <c r="D7002" s="1" t="str">
        <f>"0329R4415M"</f>
        <v>0329R4415M</v>
      </c>
      <c r="E7002" s="1" t="s">
        <v>10</v>
      </c>
      <c r="F7002" s="1" t="str">
        <f>"fde3:102:1420:7200:0:0:0:4"</f>
        <v>fde3:102:1420:7200:0:0:0:4</v>
      </c>
      <c r="G7002" s="1" t="str">
        <f>"0329R441"</f>
        <v>0329R441</v>
      </c>
      <c r="H7002" s="1" t="str">
        <f>"월석간 55R3R2"</f>
        <v>월석간 55R3R2</v>
      </c>
      <c r="I7002" s="1" t="s">
        <v>15</v>
      </c>
      <c r="J7002" s="1" t="str">
        <f>"21/21"</f>
        <v>21/21</v>
      </c>
      <c r="K7002" s="1" t="str">
        <f>"2026-07-29 14:20:59"</f>
        <v>2026-07-29 14:20:59</v>
      </c>
      <c r="L7002" s="1" t="str">
        <f>"2022-11-15 17:35:52"</f>
        <v>2022-11-15 17:35:52</v>
      </c>
      <c r="M7002" s="1" t="s">
        <v>45</v>
      </c>
      <c r="N7002" s="1" t="s">
        <v>38</v>
      </c>
      <c r="O7002" s="1" t="s">
        <v>46</v>
      </c>
    </row>
    <row r="7003" spans="2:15" x14ac:dyDescent="0.3">
      <c r="B7003" s="1" t="s">
        <v>22</v>
      </c>
      <c r="C7003" s="1" t="str">
        <f>"5-1차"</f>
        <v>5-1차</v>
      </c>
      <c r="D7003" s="1" t="str">
        <f>"0329R4525M"</f>
        <v>0329R4525M</v>
      </c>
      <c r="E7003" s="1" t="s">
        <v>10</v>
      </c>
      <c r="F7003" s="1" t="str">
        <f>"fde3:102:1420:7200:0:0:0:2"</f>
        <v>fde3:102:1420:7200:0:0:0:2</v>
      </c>
      <c r="G7003" s="1" t="str">
        <f>"0329R452"</f>
        <v>0329R452</v>
      </c>
      <c r="H7003" s="1" t="str">
        <f>"월석간 55R6R1"</f>
        <v>월석간 55R6R1</v>
      </c>
      <c r="I7003" s="1" t="s">
        <v>15</v>
      </c>
      <c r="J7003" s="1" t="str">
        <f>"36/36"</f>
        <v>36/36</v>
      </c>
      <c r="K7003" s="1" t="str">
        <f>"2026-07-29 14:20:57"</f>
        <v>2026-07-29 14:20:57</v>
      </c>
      <c r="L7003" s="1" t="str">
        <f>"2022-11-16 14:56:22"</f>
        <v>2022-11-16 14:56:22</v>
      </c>
      <c r="M7003" s="1" t="s">
        <v>45</v>
      </c>
      <c r="N7003" s="1" t="s">
        <v>38</v>
      </c>
      <c r="O7003" s="1" t="s">
        <v>46</v>
      </c>
    </row>
    <row r="7004" spans="2:15" x14ac:dyDescent="0.3">
      <c r="B7004" s="1" t="s">
        <v>22</v>
      </c>
      <c r="C7004" s="1" t="str">
        <f>"5-1차"</f>
        <v>5-1차</v>
      </c>
      <c r="D7004" s="1" t="str">
        <f>"0329R9025M"</f>
        <v>0329R9025M</v>
      </c>
      <c r="E7004" s="1" t="s">
        <v>10</v>
      </c>
      <c r="F7004" s="1" t="str">
        <f>"fde3:102:1420:7100:0:0:0:2"</f>
        <v>fde3:102:1420:7100:0:0:0:2</v>
      </c>
      <c r="G7004" s="1" t="str">
        <f>"0329R902"</f>
        <v>0329R902</v>
      </c>
      <c r="H7004" s="1" t="str">
        <f>"월석간 44L4R2"</f>
        <v>월석간 44L4R2</v>
      </c>
      <c r="I7004" s="1" t="s">
        <v>15</v>
      </c>
      <c r="J7004" s="1" t="str">
        <f>"31/31"</f>
        <v>31/31</v>
      </c>
      <c r="K7004" s="1" t="str">
        <f>"2026-07-29 14:20:57"</f>
        <v>2026-07-29 14:20:57</v>
      </c>
      <c r="L7004" s="1" t="str">
        <f>"2022-11-15 17:45:44"</f>
        <v>2022-11-15 17:45:44</v>
      </c>
      <c r="M7004" s="1" t="s">
        <v>45</v>
      </c>
      <c r="N7004" s="1" t="s">
        <v>38</v>
      </c>
      <c r="O7004" s="1" t="s">
        <v>46</v>
      </c>
    </row>
    <row r="7005" spans="2:15" x14ac:dyDescent="0.3">
      <c r="B7005" s="1" t="s">
        <v>22</v>
      </c>
      <c r="C7005" s="1" t="str">
        <f>"5-2차"</f>
        <v>5-2차</v>
      </c>
      <c r="D7005" s="1" t="str">
        <f>"0329R9315M"</f>
        <v>0329R9315M</v>
      </c>
      <c r="E7005" s="1" t="s">
        <v>10</v>
      </c>
      <c r="F7005" s="1" t="str">
        <f>"fde3:102:1420:7100:0:0:0:7"</f>
        <v>fde3:102:1420:7100:0:0:0:7</v>
      </c>
      <c r="G7005" s="1" t="str">
        <f>"0329R931"</f>
        <v>0329R931</v>
      </c>
      <c r="H7005" s="1" t="str">
        <f>"월석간 40L2"</f>
        <v>월석간 40L2</v>
      </c>
      <c r="I7005" s="1" t="s">
        <v>15</v>
      </c>
      <c r="J7005" s="1" t="str">
        <f>"31/31"</f>
        <v>31/31</v>
      </c>
      <c r="K7005" s="1" t="str">
        <f>"2026-07-29 14:20:19"</f>
        <v>2026-07-29 14:20:19</v>
      </c>
      <c r="L7005" s="1" t="str">
        <f>"2023-06-26 16:08:42"</f>
        <v>2023-06-26 16:08:42</v>
      </c>
      <c r="M7005" s="1" t="s">
        <v>45</v>
      </c>
      <c r="N7005" s="1" t="s">
        <v>38</v>
      </c>
      <c r="O7005" s="1" t="s">
        <v>46</v>
      </c>
    </row>
    <row r="7006" spans="2:15" x14ac:dyDescent="0.3">
      <c r="B7006" s="1" t="s">
        <v>22</v>
      </c>
      <c r="C7006" s="1" t="str">
        <f>"5-2차"</f>
        <v>5-2차</v>
      </c>
      <c r="D7006" s="1" t="str">
        <f>"0329S1235M"</f>
        <v>0329S1235M</v>
      </c>
      <c r="E7006" s="1" t="s">
        <v>10</v>
      </c>
      <c r="F7006" s="1" t="str">
        <f>"fde3:102:1420:7100:0:0:0:8"</f>
        <v>fde3:102:1420:7100:0:0:0:8</v>
      </c>
      <c r="G7006" s="1" t="str">
        <f>"0329S123"</f>
        <v>0329S123</v>
      </c>
      <c r="H7006" s="1" t="str">
        <f>"월석간 44L4L2"</f>
        <v>월석간 44L4L2</v>
      </c>
      <c r="I7006" s="1" t="s">
        <v>15</v>
      </c>
      <c r="J7006" s="1" t="str">
        <f>"75/75"</f>
        <v>75/75</v>
      </c>
      <c r="K7006" s="1" t="str">
        <f>"2026-07-29 14:20:19"</f>
        <v>2026-07-29 14:20:19</v>
      </c>
      <c r="L7006" s="1" t="str">
        <f>"2023-06-26 16:24:14"</f>
        <v>2023-06-26 16:24:14</v>
      </c>
      <c r="M7006" s="1" t="s">
        <v>45</v>
      </c>
      <c r="N7006" s="1" t="s">
        <v>38</v>
      </c>
      <c r="O7006" s="1" t="s">
        <v>46</v>
      </c>
    </row>
    <row r="7007" spans="2:15" x14ac:dyDescent="0.3">
      <c r="B7007" s="1" t="s">
        <v>22</v>
      </c>
      <c r="C7007" s="1" t="str">
        <f>"6차"</f>
        <v>6차</v>
      </c>
      <c r="D7007" s="1" t="str">
        <f>"0329S1426S"</f>
        <v>0329S1426S</v>
      </c>
      <c r="E7007" s="1" t="s">
        <v>10</v>
      </c>
      <c r="F7007" s="1" t="str">
        <f>"fde3:102:1420:7100:0:0:0:9"</f>
        <v>fde3:102:1420:7100:0:0:0:9</v>
      </c>
      <c r="G7007" s="1" t="str">
        <f>"0329S142"</f>
        <v>0329S142</v>
      </c>
      <c r="H7007" s="1" t="str">
        <f>"월석간 39L2"</f>
        <v>월석간 39L2</v>
      </c>
      <c r="I7007" s="1" t="s">
        <v>15</v>
      </c>
      <c r="J7007" s="1" t="str">
        <f>"53/53"</f>
        <v>53/53</v>
      </c>
      <c r="K7007" s="1" t="str">
        <f>"2026-07-29 14:20:20"</f>
        <v>2026-07-29 14:20:20</v>
      </c>
      <c r="L7007" s="1" t="str">
        <f>"2024-12-05 14:53:06"</f>
        <v>2024-12-05 14:53:06</v>
      </c>
      <c r="M7007" s="1" t="s">
        <v>45</v>
      </c>
      <c r="N7007" s="1" t="s">
        <v>38</v>
      </c>
      <c r="O7007" s="1" t="s">
        <v>46</v>
      </c>
    </row>
    <row r="7008" spans="2:15" x14ac:dyDescent="0.3">
      <c r="B7008" s="1" t="s">
        <v>22</v>
      </c>
      <c r="C7008" s="1" t="str">
        <f>"5-1차"</f>
        <v>5-1차</v>
      </c>
      <c r="D7008" s="1" t="str">
        <f>"0329S1635M"</f>
        <v>0329S1635M</v>
      </c>
      <c r="E7008" s="1" t="s">
        <v>10</v>
      </c>
      <c r="F7008" s="1" t="str">
        <f>"fde3:102:1420:7100:0:0:0:4"</f>
        <v>fde3:102:1420:7100:0:0:0:4</v>
      </c>
      <c r="G7008" s="1" t="str">
        <f>"0329S163"</f>
        <v>0329S163</v>
      </c>
      <c r="H7008" s="1" t="str">
        <f>"월석간 38"</f>
        <v>월석간 38</v>
      </c>
      <c r="I7008" s="1" t="s">
        <v>15</v>
      </c>
      <c r="J7008" s="1" t="str">
        <f>"17/17"</f>
        <v>17/17</v>
      </c>
      <c r="K7008" s="1" t="str">
        <f>"2026-07-29 14:20:57"</f>
        <v>2026-07-29 14:20:57</v>
      </c>
      <c r="L7008" s="1" t="str">
        <f>"2022-11-15 17:35:03"</f>
        <v>2022-11-15 17:35:03</v>
      </c>
      <c r="M7008" s="1" t="s">
        <v>45</v>
      </c>
      <c r="N7008" s="1" t="s">
        <v>38</v>
      </c>
      <c r="O7008" s="1" t="s">
        <v>46</v>
      </c>
    </row>
    <row r="7009" spans="2:15" x14ac:dyDescent="0.3">
      <c r="B7009" s="1" t="s">
        <v>22</v>
      </c>
      <c r="C7009" s="1" t="str">
        <f>"5-1차"</f>
        <v>5-1차</v>
      </c>
      <c r="D7009" s="1" t="str">
        <f>"0329S2225M"</f>
        <v>0329S2225M</v>
      </c>
      <c r="E7009" s="1" t="s">
        <v>10</v>
      </c>
      <c r="F7009" s="1" t="str">
        <f>"fde3:102:1420:7100:0:0:0:3"</f>
        <v>fde3:102:1420:7100:0:0:0:3</v>
      </c>
      <c r="G7009" s="1" t="str">
        <f>"0329S222"</f>
        <v>0329S222</v>
      </c>
      <c r="H7009" s="1" t="str">
        <f>"월석간 39L7"</f>
        <v>월석간 39L7</v>
      </c>
      <c r="I7009" s="1" t="s">
        <v>15</v>
      </c>
      <c r="J7009" s="1" t="str">
        <f>"27/32"</f>
        <v>27/32</v>
      </c>
      <c r="K7009" s="1" t="str">
        <f>"2026-07-29 14:20:58"</f>
        <v>2026-07-29 14:20:58</v>
      </c>
      <c r="L7009" s="1" t="str">
        <f>"2022-11-15 17:36:42"</f>
        <v>2022-11-15 17:36:42</v>
      </c>
      <c r="M7009" s="1" t="s">
        <v>45</v>
      </c>
      <c r="N7009" s="1" t="s">
        <v>38</v>
      </c>
      <c r="O7009" s="1" t="s">
        <v>46</v>
      </c>
    </row>
    <row r="7010" spans="2:15" x14ac:dyDescent="0.3">
      <c r="B7010" s="1" t="s">
        <v>22</v>
      </c>
      <c r="C7010" s="1" t="str">
        <f>"5-2차"</f>
        <v>5-2차</v>
      </c>
      <c r="D7010" s="1" t="str">
        <f>"0329S4315M"</f>
        <v>0329S4315M</v>
      </c>
      <c r="E7010" s="1" t="s">
        <v>10</v>
      </c>
      <c r="F7010" s="1" t="str">
        <f>"fde3:102:1420:4100:0:0:0:6"</f>
        <v>fde3:102:1420:4100:0:0:0:6</v>
      </c>
      <c r="G7010" s="1" t="str">
        <f>"0329S431"</f>
        <v>0329S431</v>
      </c>
      <c r="H7010" s="1" t="str">
        <f>"월계간 22L21R6"</f>
        <v>월계간 22L21R6</v>
      </c>
      <c r="I7010" s="1" t="s">
        <v>15</v>
      </c>
      <c r="J7010" s="1" t="str">
        <f>"62/63"</f>
        <v>62/63</v>
      </c>
      <c r="K7010" s="1" t="str">
        <f>"2026-07-29 14:20:19"</f>
        <v>2026-07-29 14:20:19</v>
      </c>
      <c r="L7010" s="1" t="str">
        <f>"2023-11-29 08:57:34"</f>
        <v>2023-11-29 08:57:34</v>
      </c>
      <c r="M7010" s="1" t="s">
        <v>45</v>
      </c>
      <c r="N7010" s="1" t="s">
        <v>38</v>
      </c>
      <c r="O7010" s="1" t="s">
        <v>46</v>
      </c>
    </row>
    <row r="7011" spans="2:15" x14ac:dyDescent="0.3">
      <c r="B7011" s="1" t="s">
        <v>22</v>
      </c>
      <c r="C7011" s="1" t="str">
        <f>"5-1차"</f>
        <v>5-1차</v>
      </c>
      <c r="D7011" s="1" t="str">
        <f>"0329S5225S"</f>
        <v>0329S5225S</v>
      </c>
      <c r="E7011" s="1" t="s">
        <v>10</v>
      </c>
      <c r="F7011" s="1" t="str">
        <f>"fde3:102:1420:7200:0:0:0:3"</f>
        <v>fde3:102:1420:7200:0:0:0:3</v>
      </c>
      <c r="G7011" s="1" t="str">
        <f>"0329S522"</f>
        <v>0329S522</v>
      </c>
      <c r="H7011" s="1" t="str">
        <f>"화랑SW 1L4"</f>
        <v>화랑SW 1L4</v>
      </c>
      <c r="I7011" s="1" t="s">
        <v>15</v>
      </c>
      <c r="J7011" s="1" t="str">
        <f>"43/43"</f>
        <v>43/43</v>
      </c>
      <c r="K7011" s="1" t="str">
        <f>"2026-07-29 14:20:43"</f>
        <v>2026-07-29 14:20:43</v>
      </c>
      <c r="L7011" s="1" t="str">
        <f>"2022-11-16 14:57:32"</f>
        <v>2022-11-16 14:57:32</v>
      </c>
      <c r="M7011" s="1" t="s">
        <v>45</v>
      </c>
      <c r="N7011" s="1" t="s">
        <v>38</v>
      </c>
      <c r="O7011" s="1" t="s">
        <v>46</v>
      </c>
    </row>
    <row r="7012" spans="2:15" x14ac:dyDescent="0.3">
      <c r="B7012" s="1" t="s">
        <v>22</v>
      </c>
      <c r="C7012" s="1" t="str">
        <f>"4차"</f>
        <v>4차</v>
      </c>
      <c r="D7012" s="1" t="str">
        <f>"0329W45144"</f>
        <v>0329W45144</v>
      </c>
      <c r="E7012" s="1" t="s">
        <v>10</v>
      </c>
      <c r="F7012" s="1" t="str">
        <f>"10.107.251.54"</f>
        <v>10.107.251.54</v>
      </c>
      <c r="G7012" s="1" t="str">
        <f>"0329W451"</f>
        <v>0329W451</v>
      </c>
      <c r="H7012" s="1" t="str">
        <f>"화랑간 67L5R4"</f>
        <v>화랑간 67L5R4</v>
      </c>
      <c r="I7012" s="1" t="s">
        <v>8</v>
      </c>
      <c r="J7012" s="1" t="str">
        <f>"52/52"</f>
        <v>52/52</v>
      </c>
      <c r="K7012" s="1" t="str">
        <f>"2026-07-29 13:18:03"</f>
        <v>2026-07-29 13:18:03</v>
      </c>
      <c r="L7012" s="1" t="str">
        <f>"2019-12-13 09:11:34"</f>
        <v>2019-12-13 09:11:34</v>
      </c>
      <c r="M7012" s="1" t="s">
        <v>45</v>
      </c>
      <c r="N7012" s="1" t="s">
        <v>38</v>
      </c>
      <c r="O7012" s="1" t="s">
        <v>46</v>
      </c>
    </row>
    <row r="7013" spans="2:15" x14ac:dyDescent="0.3">
      <c r="B7013" s="1" t="s">
        <v>22</v>
      </c>
      <c r="C7013" s="1" t="str">
        <f>"4차"</f>
        <v>4차</v>
      </c>
      <c r="D7013" s="1" t="str">
        <f>"0329W48244"</f>
        <v>0329W48244</v>
      </c>
      <c r="E7013" s="1" t="s">
        <v>10</v>
      </c>
      <c r="F7013" s="1" t="str">
        <f>"10.107.251.50"</f>
        <v>10.107.251.50</v>
      </c>
      <c r="G7013" s="1" t="str">
        <f>"0329W482"</f>
        <v>0329W482</v>
      </c>
      <c r="H7013" s="1" t="str">
        <f>"화랑간 67L2R4"</f>
        <v>화랑간 67L2R4</v>
      </c>
      <c r="I7013" s="1" t="s">
        <v>8</v>
      </c>
      <c r="J7013" s="1" t="str">
        <f>"37/47"</f>
        <v>37/47</v>
      </c>
      <c r="K7013" s="1" t="str">
        <f>"2026-07-29 13:18:03"</f>
        <v>2026-07-29 13:18:03</v>
      </c>
      <c r="L7013" s="1" t="str">
        <f>"2019-12-13 09:10:58"</f>
        <v>2019-12-13 09:10:58</v>
      </c>
      <c r="M7013" s="1" t="s">
        <v>45</v>
      </c>
      <c r="N7013" s="1" t="s">
        <v>38</v>
      </c>
      <c r="O7013" s="1" t="s">
        <v>46</v>
      </c>
    </row>
    <row r="7014" spans="2:15" x14ac:dyDescent="0.3">
      <c r="B7014" s="1" t="s">
        <v>22</v>
      </c>
      <c r="C7014" s="1" t="str">
        <f>"3차"</f>
        <v>3차</v>
      </c>
      <c r="D7014" s="1" t="str">
        <f>"0329W54239"</f>
        <v>0329W54239</v>
      </c>
      <c r="E7014" s="1" t="s">
        <v>10</v>
      </c>
      <c r="F7014" s="1" t="str">
        <f>"10.11.130.122"</f>
        <v>10.11.130.122</v>
      </c>
      <c r="G7014" s="1" t="str">
        <f>"0329W542"</f>
        <v>0329W542</v>
      </c>
      <c r="H7014" s="1" t="str">
        <f>"화랑간 67L5R7L2"</f>
        <v>화랑간 67L5R7L2</v>
      </c>
      <c r="I7014" s="1" t="s">
        <v>8</v>
      </c>
      <c r="J7014" s="1" t="str">
        <f>"31/31"</f>
        <v>31/31</v>
      </c>
      <c r="K7014" s="1" t="str">
        <f>"2026-07-29 13:18:04"</f>
        <v>2026-07-29 13:18:04</v>
      </c>
      <c r="L7014" s="1" t="str">
        <f>"2018-04-20 08:45:25"</f>
        <v>2018-04-20 08:45:25</v>
      </c>
      <c r="M7014" s="1" t="s">
        <v>2</v>
      </c>
      <c r="N7014" s="1" t="s">
        <v>38</v>
      </c>
      <c r="O7014" s="1" t="s">
        <v>46</v>
      </c>
    </row>
    <row r="7015" spans="2:15" x14ac:dyDescent="0.3">
      <c r="B7015" s="1" t="s">
        <v>22</v>
      </c>
      <c r="C7015" s="1" t="str">
        <f>"4차"</f>
        <v>4차</v>
      </c>
      <c r="D7015" s="1" t="str">
        <f>"0329W55144"</f>
        <v>0329W55144</v>
      </c>
      <c r="E7015" s="1" t="s">
        <v>10</v>
      </c>
      <c r="F7015" s="1" t="str">
        <f>"10.107.251.53"</f>
        <v>10.107.251.53</v>
      </c>
      <c r="G7015" s="1" t="str">
        <f>"0329W551"</f>
        <v>0329W551</v>
      </c>
      <c r="H7015" s="1" t="str">
        <f>"화랑간 67L5R2L2"</f>
        <v>화랑간 67L5R2L2</v>
      </c>
      <c r="I7015" s="1" t="s">
        <v>8</v>
      </c>
      <c r="J7015" s="1" t="str">
        <f>"28/28"</f>
        <v>28/28</v>
      </c>
      <c r="K7015" s="1" t="str">
        <f>"2026-07-29 13:18:03"</f>
        <v>2026-07-29 13:18:03</v>
      </c>
      <c r="L7015" s="1" t="str">
        <f>"2019-12-13 09:18:17"</f>
        <v>2019-12-13 09:18:17</v>
      </c>
      <c r="M7015" s="1" t="s">
        <v>45</v>
      </c>
      <c r="N7015" s="1" t="s">
        <v>38</v>
      </c>
      <c r="O7015" s="1" t="s">
        <v>46</v>
      </c>
    </row>
    <row r="7016" spans="2:15" x14ac:dyDescent="0.3">
      <c r="B7016" s="1" t="s">
        <v>22</v>
      </c>
      <c r="C7016" s="1" t="str">
        <f>"4차"</f>
        <v>4차</v>
      </c>
      <c r="D7016" s="1" t="str">
        <f>"0329W56244"</f>
        <v>0329W56244</v>
      </c>
      <c r="E7016" s="1" t="s">
        <v>10</v>
      </c>
      <c r="F7016" s="1" t="str">
        <f>"10.107.251.52"</f>
        <v>10.107.251.52</v>
      </c>
      <c r="G7016" s="1" t="str">
        <f>"0329W562"</f>
        <v>0329W562</v>
      </c>
      <c r="H7016" s="1" t="str">
        <f>"화랑간 67L5R2L1"</f>
        <v>화랑간 67L5R2L1</v>
      </c>
      <c r="I7016" s="1" t="s">
        <v>8</v>
      </c>
      <c r="J7016" s="1" t="str">
        <f>"61/61"</f>
        <v>61/61</v>
      </c>
      <c r="K7016" s="1" t="str">
        <f>"2026-07-29 13:18:03"</f>
        <v>2026-07-29 13:18:03</v>
      </c>
      <c r="L7016" s="1" t="str">
        <f>"2019-12-13 09:13:19"</f>
        <v>2019-12-13 09:13:19</v>
      </c>
      <c r="M7016" s="1" t="s">
        <v>45</v>
      </c>
      <c r="N7016" s="1" t="s">
        <v>38</v>
      </c>
      <c r="O7016" s="1" t="s">
        <v>46</v>
      </c>
    </row>
    <row r="7017" spans="2:15" x14ac:dyDescent="0.3">
      <c r="B7017" s="1" t="s">
        <v>22</v>
      </c>
      <c r="C7017" s="1" t="str">
        <f>"3차"</f>
        <v>3차</v>
      </c>
      <c r="D7017" s="1" t="str">
        <f>"0329W56539"</f>
        <v>0329W56539</v>
      </c>
      <c r="E7017" s="1" t="s">
        <v>10</v>
      </c>
      <c r="F7017" s="1" t="str">
        <f>"10.11.130.114"</f>
        <v>10.11.130.114</v>
      </c>
      <c r="G7017" s="1" t="str">
        <f>"0329W565"</f>
        <v>0329W565</v>
      </c>
      <c r="H7017" s="1" t="str">
        <f>"화랑간 67L5R2"</f>
        <v>화랑간 67L5R2</v>
      </c>
      <c r="I7017" s="1" t="s">
        <v>8</v>
      </c>
      <c r="J7017" s="1" t="str">
        <f>"20/29"</f>
        <v>20/29</v>
      </c>
      <c r="K7017" s="1" t="str">
        <f>"2026-07-29 13:18:03"</f>
        <v>2026-07-29 13:18:03</v>
      </c>
      <c r="L7017" s="1" t="str">
        <f>"2018-04-20 09:10:55"</f>
        <v>2018-04-20 09:10:55</v>
      </c>
      <c r="M7017" s="1" t="s">
        <v>2</v>
      </c>
      <c r="N7017" s="1" t="s">
        <v>38</v>
      </c>
      <c r="O7017" s="1" t="s">
        <v>46</v>
      </c>
    </row>
    <row r="7018" spans="2:15" x14ac:dyDescent="0.3">
      <c r="B7018" s="1" t="s">
        <v>22</v>
      </c>
      <c r="C7018" s="1" t="str">
        <f t="shared" ref="C7018:C7043" si="344">"4차"</f>
        <v>4차</v>
      </c>
      <c r="D7018" s="1" t="str">
        <f>"0329W57144"</f>
        <v>0329W57144</v>
      </c>
      <c r="E7018" s="1" t="s">
        <v>10</v>
      </c>
      <c r="F7018" s="1" t="str">
        <f>"10.107.251.51"</f>
        <v>10.107.251.51</v>
      </c>
      <c r="G7018" s="1" t="str">
        <f>"0329W571"</f>
        <v>0329W571</v>
      </c>
      <c r="H7018" s="1" t="str">
        <f>"화랑간 67L4"</f>
        <v>화랑간 67L4</v>
      </c>
      <c r="I7018" s="1" t="s">
        <v>8</v>
      </c>
      <c r="J7018" s="1" t="str">
        <f>"10/10"</f>
        <v>10/10</v>
      </c>
      <c r="K7018" s="1" t="str">
        <f>"2026-07-29 13:18:03"</f>
        <v>2026-07-29 13:18:03</v>
      </c>
      <c r="L7018" s="1" t="str">
        <f>"2019-12-13 09:15:03"</f>
        <v>2019-12-13 09:15:03</v>
      </c>
      <c r="M7018" s="1" t="s">
        <v>45</v>
      </c>
      <c r="N7018" s="1" t="s">
        <v>38</v>
      </c>
      <c r="O7018" s="1" t="s">
        <v>46</v>
      </c>
    </row>
    <row r="7019" spans="2:15" x14ac:dyDescent="0.3">
      <c r="B7019" s="1" t="s">
        <v>22</v>
      </c>
      <c r="C7019" s="1" t="str">
        <f t="shared" si="344"/>
        <v>4차</v>
      </c>
      <c r="D7019" s="1" t="str">
        <f>"0329W58144"</f>
        <v>0329W58144</v>
      </c>
      <c r="E7019" s="1" t="s">
        <v>10</v>
      </c>
      <c r="F7019" s="1" t="str">
        <f>"10.107.251.49"</f>
        <v>10.107.251.49</v>
      </c>
      <c r="G7019" s="1" t="str">
        <f>"0329W581"</f>
        <v>0329W581</v>
      </c>
      <c r="H7019" s="1" t="str">
        <f>"화랑간 67L2R2"</f>
        <v>화랑간 67L2R2</v>
      </c>
      <c r="I7019" s="1" t="s">
        <v>8</v>
      </c>
      <c r="J7019" s="1" t="str">
        <f>"39/39"</f>
        <v>39/39</v>
      </c>
      <c r="K7019" s="1" t="str">
        <f>"2026-07-29 13:18:03"</f>
        <v>2026-07-29 13:18:03</v>
      </c>
      <c r="L7019" s="1" t="str">
        <f>"2019-12-24 17:36:35"</f>
        <v>2019-12-24 17:36:35</v>
      </c>
      <c r="M7019" s="1" t="s">
        <v>45</v>
      </c>
      <c r="N7019" s="1" t="s">
        <v>38</v>
      </c>
      <c r="O7019" s="1" t="s">
        <v>46</v>
      </c>
    </row>
    <row r="7020" spans="2:15" x14ac:dyDescent="0.3">
      <c r="B7020" s="1" t="s">
        <v>22</v>
      </c>
      <c r="C7020" s="1" t="str">
        <f t="shared" si="344"/>
        <v>4차</v>
      </c>
      <c r="D7020" s="1" t="str">
        <f>"0329W58244"</f>
        <v>0329W58244</v>
      </c>
      <c r="E7020" s="1" t="s">
        <v>10</v>
      </c>
      <c r="F7020" s="1" t="str">
        <f>"10.107.251.48"</f>
        <v>10.107.251.48</v>
      </c>
      <c r="G7020" s="1" t="str">
        <f>"0329W582"</f>
        <v>0329W582</v>
      </c>
      <c r="H7020" s="1" t="str">
        <f>"화랑간 65"</f>
        <v>화랑간 65</v>
      </c>
      <c r="I7020" s="1" t="s">
        <v>8</v>
      </c>
      <c r="J7020" s="1" t="str">
        <f>"23/26"</f>
        <v>23/26</v>
      </c>
      <c r="K7020" s="1" t="str">
        <f t="shared" ref="K7020:K7034" si="345">"2026-07-29 13:18:04"</f>
        <v>2026-07-29 13:18:04</v>
      </c>
      <c r="L7020" s="1" t="str">
        <f>"2019-12-24 17:38:37"</f>
        <v>2019-12-24 17:38:37</v>
      </c>
      <c r="M7020" s="1" t="s">
        <v>45</v>
      </c>
      <c r="N7020" s="1" t="s">
        <v>38</v>
      </c>
      <c r="O7020" s="1" t="s">
        <v>46</v>
      </c>
    </row>
    <row r="7021" spans="2:15" x14ac:dyDescent="0.3">
      <c r="B7021" s="1" t="s">
        <v>22</v>
      </c>
      <c r="C7021" s="1" t="str">
        <f t="shared" si="344"/>
        <v>4차</v>
      </c>
      <c r="D7021" s="1" t="str">
        <f>"0329W64244"</f>
        <v>0329W64244</v>
      </c>
      <c r="E7021" s="1" t="s">
        <v>10</v>
      </c>
      <c r="F7021" s="1" t="str">
        <f>"10.107.251.44"</f>
        <v>10.107.251.44</v>
      </c>
      <c r="G7021" s="1" t="str">
        <f>"0329W642"</f>
        <v>0329W642</v>
      </c>
      <c r="H7021" s="1" t="str">
        <f>"화랑간 59"</f>
        <v>화랑간 59</v>
      </c>
      <c r="I7021" s="1" t="s">
        <v>8</v>
      </c>
      <c r="J7021" s="1" t="str">
        <f>"17/17"</f>
        <v>17/17</v>
      </c>
      <c r="K7021" s="1" t="str">
        <f t="shared" si="345"/>
        <v>2026-07-29 13:18:04</v>
      </c>
      <c r="L7021" s="1" t="str">
        <f>"2019-12-24 17:36:54"</f>
        <v>2019-12-24 17:36:54</v>
      </c>
      <c r="M7021" s="1" t="s">
        <v>45</v>
      </c>
      <c r="N7021" s="1" t="s">
        <v>38</v>
      </c>
      <c r="O7021" s="1" t="s">
        <v>46</v>
      </c>
    </row>
    <row r="7022" spans="2:15" x14ac:dyDescent="0.3">
      <c r="B7022" s="1" t="s">
        <v>22</v>
      </c>
      <c r="C7022" s="1" t="str">
        <f t="shared" si="344"/>
        <v>4차</v>
      </c>
      <c r="D7022" s="1" t="str">
        <f>"0329W66444"</f>
        <v>0329W66444</v>
      </c>
      <c r="E7022" s="1" t="s">
        <v>10</v>
      </c>
      <c r="F7022" s="1" t="str">
        <f>"10.107.251.45"</f>
        <v>10.107.251.45</v>
      </c>
      <c r="G7022" s="1" t="str">
        <f>"0329W664"</f>
        <v>0329W664</v>
      </c>
      <c r="H7022" s="1" t="str">
        <f>"화랑간 62"</f>
        <v>화랑간 62</v>
      </c>
      <c r="I7022" s="1" t="s">
        <v>8</v>
      </c>
      <c r="J7022" s="1" t="str">
        <f>"33/33"</f>
        <v>33/33</v>
      </c>
      <c r="K7022" s="1" t="str">
        <f t="shared" si="345"/>
        <v>2026-07-29 13:18:04</v>
      </c>
      <c r="L7022" s="1" t="str">
        <f>"2026-03-16 17:35:32"</f>
        <v>2026-03-16 17:35:32</v>
      </c>
      <c r="M7022" s="1" t="s">
        <v>45</v>
      </c>
      <c r="N7022" s="1" t="s">
        <v>38</v>
      </c>
      <c r="O7022" s="1" t="s">
        <v>46</v>
      </c>
    </row>
    <row r="7023" spans="2:15" x14ac:dyDescent="0.3">
      <c r="B7023" s="1" t="s">
        <v>22</v>
      </c>
      <c r="C7023" s="1" t="str">
        <f t="shared" si="344"/>
        <v>4차</v>
      </c>
      <c r="D7023" s="1" t="str">
        <f>"0329W67144"</f>
        <v>0329W67144</v>
      </c>
      <c r="E7023" s="1" t="s">
        <v>10</v>
      </c>
      <c r="F7023" s="1" t="str">
        <f>"10.107.251.46"</f>
        <v>10.107.251.46</v>
      </c>
      <c r="G7023" s="1" t="str">
        <f>"0329W671"</f>
        <v>0329W671</v>
      </c>
      <c r="H7023" s="1" t="str">
        <f>"화랑간 63R2"</f>
        <v>화랑간 63R2</v>
      </c>
      <c r="I7023" s="1" t="s">
        <v>8</v>
      </c>
      <c r="J7023" s="1" t="str">
        <f>"18/18"</f>
        <v>18/18</v>
      </c>
      <c r="K7023" s="1" t="str">
        <f t="shared" si="345"/>
        <v>2026-07-29 13:18:04</v>
      </c>
      <c r="L7023" s="1" t="str">
        <f>"2019-12-24 17:36:53"</f>
        <v>2019-12-24 17:36:53</v>
      </c>
      <c r="M7023" s="1" t="s">
        <v>45</v>
      </c>
      <c r="N7023" s="1" t="s">
        <v>38</v>
      </c>
      <c r="O7023" s="1" t="s">
        <v>46</v>
      </c>
    </row>
    <row r="7024" spans="2:15" x14ac:dyDescent="0.3">
      <c r="B7024" s="1" t="s">
        <v>22</v>
      </c>
      <c r="C7024" s="1" t="str">
        <f t="shared" si="344"/>
        <v>4차</v>
      </c>
      <c r="D7024" s="1" t="str">
        <f>"0329W69144"</f>
        <v>0329W69144</v>
      </c>
      <c r="E7024" s="1" t="s">
        <v>10</v>
      </c>
      <c r="F7024" s="1" t="str">
        <f>"10.107.251.37"</f>
        <v>10.107.251.37</v>
      </c>
      <c r="G7024" s="1" t="str">
        <f>"0329W691"</f>
        <v>0329W691</v>
      </c>
      <c r="H7024" s="1" t="str">
        <f>"화랑간 25R4D1"</f>
        <v>화랑간 25R4D1</v>
      </c>
      <c r="I7024" s="1" t="s">
        <v>8</v>
      </c>
      <c r="J7024" s="1" t="str">
        <f>"33/33"</f>
        <v>33/33</v>
      </c>
      <c r="K7024" s="1" t="str">
        <f t="shared" si="345"/>
        <v>2026-07-29 13:18:04</v>
      </c>
      <c r="L7024" s="1" t="str">
        <f>"2019-12-13 09:16:59"</f>
        <v>2019-12-13 09:16:59</v>
      </c>
      <c r="M7024" s="1" t="s">
        <v>45</v>
      </c>
      <c r="N7024" s="1" t="s">
        <v>38</v>
      </c>
      <c r="O7024" s="1" t="s">
        <v>46</v>
      </c>
    </row>
    <row r="7025" spans="2:15" x14ac:dyDescent="0.3">
      <c r="B7025" s="1" t="s">
        <v>22</v>
      </c>
      <c r="C7025" s="1" t="str">
        <f t="shared" si="344"/>
        <v>4차</v>
      </c>
      <c r="D7025" s="1" t="str">
        <f>"0329W69344"</f>
        <v>0329W69344</v>
      </c>
      <c r="E7025" s="1" t="s">
        <v>10</v>
      </c>
      <c r="F7025" s="1" t="str">
        <f>"10.107.251.59"</f>
        <v>10.107.251.59</v>
      </c>
      <c r="G7025" s="1" t="str">
        <f>"0329W693"</f>
        <v>0329W693</v>
      </c>
      <c r="H7025" s="1" t="str">
        <f>"화랑간 25R4"</f>
        <v>화랑간 25R4</v>
      </c>
      <c r="I7025" s="1" t="s">
        <v>8</v>
      </c>
      <c r="J7025" s="1" t="str">
        <f>"38/38"</f>
        <v>38/38</v>
      </c>
      <c r="K7025" s="1" t="str">
        <f t="shared" si="345"/>
        <v>2026-07-29 13:18:04</v>
      </c>
      <c r="L7025" s="1" t="str">
        <f>"2019-12-13 09:11:06"</f>
        <v>2019-12-13 09:11:06</v>
      </c>
      <c r="M7025" s="1" t="s">
        <v>45</v>
      </c>
      <c r="N7025" s="1" t="s">
        <v>38</v>
      </c>
      <c r="O7025" s="1" t="s">
        <v>46</v>
      </c>
    </row>
    <row r="7026" spans="2:15" x14ac:dyDescent="0.3">
      <c r="B7026" s="1" t="s">
        <v>22</v>
      </c>
      <c r="C7026" s="1" t="str">
        <f t="shared" si="344"/>
        <v>4차</v>
      </c>
      <c r="D7026" s="1" t="str">
        <f>"0329W70144"</f>
        <v>0329W70144</v>
      </c>
      <c r="E7026" s="1" t="s">
        <v>10</v>
      </c>
      <c r="F7026" s="1" t="str">
        <f>"10.107.120.105"</f>
        <v>10.107.120.105</v>
      </c>
      <c r="G7026" s="1" t="str">
        <f>"0329W701"</f>
        <v>0329W701</v>
      </c>
      <c r="H7026" s="1" t="str">
        <f>"화랑간 67L15"</f>
        <v>화랑간 67L15</v>
      </c>
      <c r="I7026" s="1" t="s">
        <v>8</v>
      </c>
      <c r="J7026" s="1" t="str">
        <f>"62/63"</f>
        <v>62/63</v>
      </c>
      <c r="K7026" s="1" t="str">
        <f t="shared" si="345"/>
        <v>2026-07-29 13:18:04</v>
      </c>
      <c r="L7026" s="1" t="str">
        <f>"2020-01-10 11:46:46"</f>
        <v>2020-01-10 11:46:46</v>
      </c>
      <c r="M7026" s="1" t="s">
        <v>45</v>
      </c>
      <c r="N7026" s="1" t="s">
        <v>38</v>
      </c>
      <c r="O7026" s="1" t="s">
        <v>46</v>
      </c>
    </row>
    <row r="7027" spans="2:15" x14ac:dyDescent="0.3">
      <c r="B7027" s="1" t="s">
        <v>22</v>
      </c>
      <c r="C7027" s="1" t="str">
        <f t="shared" si="344"/>
        <v>4차</v>
      </c>
      <c r="D7027" s="1" t="str">
        <f>"0329W72144"</f>
        <v>0329W72144</v>
      </c>
      <c r="E7027" s="1" t="s">
        <v>10</v>
      </c>
      <c r="F7027" s="1" t="str">
        <f>"10.107.120.106"</f>
        <v>10.107.120.106</v>
      </c>
      <c r="G7027" s="1" t="str">
        <f>"0329W721"</f>
        <v>0329W721</v>
      </c>
      <c r="H7027" s="1" t="str">
        <f>"화랑간 67L11"</f>
        <v>화랑간 67L11</v>
      </c>
      <c r="I7027" s="1" t="s">
        <v>8</v>
      </c>
      <c r="J7027" s="1" t="str">
        <f>"26/26"</f>
        <v>26/26</v>
      </c>
      <c r="K7027" s="1" t="str">
        <f t="shared" si="345"/>
        <v>2026-07-29 13:18:04</v>
      </c>
      <c r="L7027" s="1" t="str">
        <f>"2020-01-10 11:53:50"</f>
        <v>2020-01-10 11:53:50</v>
      </c>
      <c r="M7027" s="1" t="s">
        <v>45</v>
      </c>
      <c r="N7027" s="1" t="s">
        <v>38</v>
      </c>
      <c r="O7027" s="1" t="s">
        <v>46</v>
      </c>
    </row>
    <row r="7028" spans="2:15" x14ac:dyDescent="0.3">
      <c r="B7028" s="1" t="s">
        <v>22</v>
      </c>
      <c r="C7028" s="1" t="str">
        <f t="shared" si="344"/>
        <v>4차</v>
      </c>
      <c r="D7028" s="1" t="str">
        <f>"0329W72244"</f>
        <v>0329W72244</v>
      </c>
      <c r="E7028" s="1" t="s">
        <v>10</v>
      </c>
      <c r="F7028" s="1" t="str">
        <f>"10.107.120.107"</f>
        <v>10.107.120.107</v>
      </c>
      <c r="G7028" s="1" t="str">
        <f>"0329W722"</f>
        <v>0329W722</v>
      </c>
      <c r="H7028" s="1" t="str">
        <f>"화랑간 67L12"</f>
        <v>화랑간 67L12</v>
      </c>
      <c r="I7028" s="1" t="s">
        <v>8</v>
      </c>
      <c r="J7028" s="1" t="str">
        <f>"40/40"</f>
        <v>40/40</v>
      </c>
      <c r="K7028" s="1" t="str">
        <f t="shared" si="345"/>
        <v>2026-07-29 13:18:04</v>
      </c>
      <c r="L7028" s="1" t="str">
        <f>"2022-05-11 14:20:21"</f>
        <v>2022-05-11 14:20:21</v>
      </c>
      <c r="M7028" s="1" t="s">
        <v>45</v>
      </c>
      <c r="N7028" s="1" t="s">
        <v>38</v>
      </c>
      <c r="O7028" s="1" t="s">
        <v>46</v>
      </c>
    </row>
    <row r="7029" spans="2:15" x14ac:dyDescent="0.3">
      <c r="B7029" s="1" t="s">
        <v>22</v>
      </c>
      <c r="C7029" s="1" t="str">
        <f t="shared" si="344"/>
        <v>4차</v>
      </c>
      <c r="D7029" s="1" t="str">
        <f>"0329W73244"</f>
        <v>0329W73244</v>
      </c>
      <c r="E7029" s="1" t="s">
        <v>10</v>
      </c>
      <c r="F7029" s="1" t="str">
        <f>"10.107.251.173"</f>
        <v>10.107.251.173</v>
      </c>
      <c r="G7029" s="1" t="str">
        <f>"0329W732"</f>
        <v>0329W732</v>
      </c>
      <c r="H7029" s="1" t="str">
        <f>"화랑간 57"</f>
        <v>화랑간 57</v>
      </c>
      <c r="I7029" s="1" t="s">
        <v>8</v>
      </c>
      <c r="J7029" s="1" t="str">
        <f>"103/103"</f>
        <v>103/103</v>
      </c>
      <c r="K7029" s="1" t="str">
        <f t="shared" si="345"/>
        <v>2026-07-29 13:18:04</v>
      </c>
      <c r="L7029" s="1" t="str">
        <f>"2020-01-10 11:46:04"</f>
        <v>2020-01-10 11:46:04</v>
      </c>
      <c r="M7029" s="1" t="s">
        <v>45</v>
      </c>
      <c r="N7029" s="1" t="s">
        <v>38</v>
      </c>
      <c r="O7029" s="1" t="s">
        <v>46</v>
      </c>
    </row>
    <row r="7030" spans="2:15" x14ac:dyDescent="0.3">
      <c r="B7030" s="1" t="s">
        <v>22</v>
      </c>
      <c r="C7030" s="1" t="str">
        <f t="shared" si="344"/>
        <v>4차</v>
      </c>
      <c r="D7030" s="1" t="str">
        <f>"0329W75144"</f>
        <v>0329W75144</v>
      </c>
      <c r="E7030" s="1" t="s">
        <v>10</v>
      </c>
      <c r="F7030" s="1" t="str">
        <f>"10.107.251.42"</f>
        <v>10.107.251.42</v>
      </c>
      <c r="G7030" s="1" t="str">
        <f>"0329W751"</f>
        <v>0329W751</v>
      </c>
      <c r="H7030" s="1" t="str">
        <f>"화랑간 25R8"</f>
        <v>화랑간 25R8</v>
      </c>
      <c r="I7030" s="1" t="s">
        <v>8</v>
      </c>
      <c r="J7030" s="1" t="str">
        <f>"24/24"</f>
        <v>24/24</v>
      </c>
      <c r="K7030" s="1" t="str">
        <f t="shared" si="345"/>
        <v>2026-07-29 13:18:04</v>
      </c>
      <c r="L7030" s="1" t="str">
        <f>"2019-12-24 17:35:56"</f>
        <v>2019-12-24 17:35:56</v>
      </c>
      <c r="M7030" s="1" t="s">
        <v>45</v>
      </c>
      <c r="N7030" s="1" t="s">
        <v>38</v>
      </c>
      <c r="O7030" s="1" t="s">
        <v>46</v>
      </c>
    </row>
    <row r="7031" spans="2:15" x14ac:dyDescent="0.3">
      <c r="B7031" s="1" t="s">
        <v>22</v>
      </c>
      <c r="C7031" s="1" t="str">
        <f t="shared" si="344"/>
        <v>4차</v>
      </c>
      <c r="D7031" s="1" t="str">
        <f>"0329W76144"</f>
        <v>0329W76144</v>
      </c>
      <c r="E7031" s="1" t="s">
        <v>10</v>
      </c>
      <c r="F7031" s="1" t="str">
        <f>"10.107.251.41"</f>
        <v>10.107.251.41</v>
      </c>
      <c r="G7031" s="1" t="str">
        <f>"0329W761"</f>
        <v>0329W761</v>
      </c>
      <c r="H7031" s="1" t="str">
        <f>"화랑간 25R7"</f>
        <v>화랑간 25R7</v>
      </c>
      <c r="I7031" s="1" t="s">
        <v>8</v>
      </c>
      <c r="J7031" s="1" t="str">
        <f>"64/64"</f>
        <v>64/64</v>
      </c>
      <c r="K7031" s="1" t="str">
        <f t="shared" si="345"/>
        <v>2026-07-29 13:18:04</v>
      </c>
      <c r="L7031" s="1" t="str">
        <f>"2019-12-24 17:38:04"</f>
        <v>2019-12-24 17:38:04</v>
      </c>
      <c r="M7031" s="1" t="s">
        <v>45</v>
      </c>
      <c r="N7031" s="1" t="s">
        <v>38</v>
      </c>
      <c r="O7031" s="1" t="s">
        <v>46</v>
      </c>
    </row>
    <row r="7032" spans="2:15" x14ac:dyDescent="0.3">
      <c r="B7032" s="1" t="s">
        <v>22</v>
      </c>
      <c r="C7032" s="1" t="str">
        <f t="shared" si="344"/>
        <v>4차</v>
      </c>
      <c r="D7032" s="1" t="str">
        <f>"0329W77244"</f>
        <v>0329W77244</v>
      </c>
      <c r="E7032" s="1" t="s">
        <v>10</v>
      </c>
      <c r="F7032" s="1" t="str">
        <f>"10.107.251.47"</f>
        <v>10.107.251.47</v>
      </c>
      <c r="G7032" s="1" t="str">
        <f>"0329W772"</f>
        <v>0329W772</v>
      </c>
      <c r="H7032" s="1" t="str">
        <f>"화랑간 63R3"</f>
        <v>화랑간 63R3</v>
      </c>
      <c r="I7032" s="1" t="s">
        <v>8</v>
      </c>
      <c r="J7032" s="1" t="str">
        <f>"31/32"</f>
        <v>31/32</v>
      </c>
      <c r="K7032" s="1" t="str">
        <f t="shared" si="345"/>
        <v>2026-07-29 13:18:04</v>
      </c>
      <c r="L7032" s="1" t="str">
        <f>"2019-12-24 17:37:37"</f>
        <v>2019-12-24 17:37:37</v>
      </c>
      <c r="M7032" s="1" t="s">
        <v>45</v>
      </c>
      <c r="N7032" s="1" t="s">
        <v>38</v>
      </c>
      <c r="O7032" s="1" t="s">
        <v>46</v>
      </c>
    </row>
    <row r="7033" spans="2:15" x14ac:dyDescent="0.3">
      <c r="B7033" s="1" t="s">
        <v>22</v>
      </c>
      <c r="C7033" s="1" t="str">
        <f t="shared" si="344"/>
        <v>4차</v>
      </c>
      <c r="D7033" s="1" t="str">
        <f>"0329W77444"</f>
        <v>0329W77444</v>
      </c>
      <c r="E7033" s="1" t="s">
        <v>10</v>
      </c>
      <c r="F7033" s="1" t="str">
        <f>"10.107.251.56"</f>
        <v>10.107.251.56</v>
      </c>
      <c r="G7033" s="1" t="str">
        <f>"0329W774"</f>
        <v>0329W774</v>
      </c>
      <c r="H7033" s="1" t="str">
        <f>"화랑간 25R6"</f>
        <v>화랑간 25R6</v>
      </c>
      <c r="I7033" s="1" t="s">
        <v>8</v>
      </c>
      <c r="J7033" s="1" t="str">
        <f>"29/29"</f>
        <v>29/29</v>
      </c>
      <c r="K7033" s="1" t="str">
        <f t="shared" si="345"/>
        <v>2026-07-29 13:18:04</v>
      </c>
      <c r="L7033" s="1" t="str">
        <f>"2019-12-24 17:35:37"</f>
        <v>2019-12-24 17:35:37</v>
      </c>
      <c r="M7033" s="1" t="s">
        <v>45</v>
      </c>
      <c r="N7033" s="1" t="s">
        <v>38</v>
      </c>
      <c r="O7033" s="1" t="s">
        <v>46</v>
      </c>
    </row>
    <row r="7034" spans="2:15" x14ac:dyDescent="0.3">
      <c r="B7034" s="1" t="s">
        <v>22</v>
      </c>
      <c r="C7034" s="1" t="str">
        <f t="shared" si="344"/>
        <v>4차</v>
      </c>
      <c r="D7034" s="1" t="str">
        <f>"0329W78144"</f>
        <v>0329W78144</v>
      </c>
      <c r="E7034" s="1" t="s">
        <v>10</v>
      </c>
      <c r="F7034" s="1" t="str">
        <f>"10.107.251.40"</f>
        <v>10.107.251.40</v>
      </c>
      <c r="G7034" s="1" t="str">
        <f>"0329W781"</f>
        <v>0329W781</v>
      </c>
      <c r="H7034" s="1" t="str">
        <f>"화랑간 25R5"</f>
        <v>화랑간 25R5</v>
      </c>
      <c r="I7034" s="1" t="s">
        <v>8</v>
      </c>
      <c r="J7034" s="1" t="str">
        <f>"46/46"</f>
        <v>46/46</v>
      </c>
      <c r="K7034" s="1" t="str">
        <f t="shared" si="345"/>
        <v>2026-07-29 13:18:04</v>
      </c>
      <c r="L7034" s="1" t="str">
        <f>"2019-12-24 17:38:04"</f>
        <v>2019-12-24 17:38:04</v>
      </c>
      <c r="M7034" s="1" t="s">
        <v>45</v>
      </c>
      <c r="N7034" s="1" t="s">
        <v>38</v>
      </c>
      <c r="O7034" s="1" t="s">
        <v>46</v>
      </c>
    </row>
    <row r="7035" spans="2:15" x14ac:dyDescent="0.3">
      <c r="B7035" s="1" t="s">
        <v>22</v>
      </c>
      <c r="C7035" s="1" t="str">
        <f t="shared" si="344"/>
        <v>4차</v>
      </c>
      <c r="D7035" s="1" t="str">
        <f>"0329W79244"</f>
        <v>0329W79244</v>
      </c>
      <c r="E7035" s="1" t="s">
        <v>10</v>
      </c>
      <c r="F7035" s="1" t="str">
        <f>"10.107.251.211"</f>
        <v>10.107.251.211</v>
      </c>
      <c r="G7035" s="1" t="str">
        <f>"0329W792"</f>
        <v>0329W792</v>
      </c>
      <c r="H7035" s="1" t="str">
        <f>"화랑간 25R1"</f>
        <v>화랑간 25R1</v>
      </c>
      <c r="I7035" s="1" t="s">
        <v>8</v>
      </c>
      <c r="J7035" s="1" t="str">
        <f>"16/16"</f>
        <v>16/16</v>
      </c>
      <c r="K7035" s="1" t="str">
        <f>"2026-07-29 13:18:03"</f>
        <v>2026-07-29 13:18:03</v>
      </c>
      <c r="L7035" s="1" t="str">
        <f>"2020-01-10 11:44:06"</f>
        <v>2020-01-10 11:44:06</v>
      </c>
      <c r="M7035" s="1" t="s">
        <v>45</v>
      </c>
      <c r="N7035" s="1" t="s">
        <v>38</v>
      </c>
      <c r="O7035" s="1" t="s">
        <v>46</v>
      </c>
    </row>
    <row r="7036" spans="2:15" x14ac:dyDescent="0.3">
      <c r="B7036" s="1" t="s">
        <v>22</v>
      </c>
      <c r="C7036" s="1" t="str">
        <f t="shared" si="344"/>
        <v>4차</v>
      </c>
      <c r="D7036" s="1" t="str">
        <f>"0329W82444"</f>
        <v>0329W82444</v>
      </c>
      <c r="E7036" s="1" t="s">
        <v>10</v>
      </c>
      <c r="F7036" s="1" t="str">
        <f>"10.107.251.174"</f>
        <v>10.107.251.174</v>
      </c>
      <c r="G7036" s="1" t="str">
        <f>"0329W824"</f>
        <v>0329W824</v>
      </c>
      <c r="H7036" s="1" t="str">
        <f>"화랑간 25R13"</f>
        <v>화랑간 25R13</v>
      </c>
      <c r="I7036" s="1" t="s">
        <v>8</v>
      </c>
      <c r="J7036" s="1" t="str">
        <f>"69/69"</f>
        <v>69/69</v>
      </c>
      <c r="K7036" s="1" t="str">
        <f t="shared" ref="K7036:K7043" si="346">"2026-07-29 13:18:04"</f>
        <v>2026-07-29 13:18:04</v>
      </c>
      <c r="L7036" s="1" t="str">
        <f>"2020-01-09 15:39:33"</f>
        <v>2020-01-09 15:39:33</v>
      </c>
      <c r="M7036" s="1" t="s">
        <v>45</v>
      </c>
      <c r="N7036" s="1" t="s">
        <v>38</v>
      </c>
      <c r="O7036" s="1" t="s">
        <v>46</v>
      </c>
    </row>
    <row r="7037" spans="2:15" x14ac:dyDescent="0.3">
      <c r="B7037" s="1" t="s">
        <v>22</v>
      </c>
      <c r="C7037" s="1" t="str">
        <f t="shared" si="344"/>
        <v>4차</v>
      </c>
      <c r="D7037" s="1" t="str">
        <f>"0329W83244"</f>
        <v>0329W83244</v>
      </c>
      <c r="E7037" s="1" t="s">
        <v>10</v>
      </c>
      <c r="F7037" s="1" t="str">
        <f>"10.107.251.60"</f>
        <v>10.107.251.60</v>
      </c>
      <c r="G7037" s="1" t="str">
        <f>"0329W832"</f>
        <v>0329W832</v>
      </c>
      <c r="H7037" s="1" t="str">
        <f>"화랑간 25R10"</f>
        <v>화랑간 25R10</v>
      </c>
      <c r="I7037" s="1" t="s">
        <v>8</v>
      </c>
      <c r="J7037" s="1" t="str">
        <f>"39/39"</f>
        <v>39/39</v>
      </c>
      <c r="K7037" s="1" t="str">
        <f t="shared" si="346"/>
        <v>2026-07-29 13:18:04</v>
      </c>
      <c r="L7037" s="1" t="str">
        <f>"2019-12-30 11:29:53"</f>
        <v>2019-12-30 11:29:53</v>
      </c>
      <c r="M7037" s="1" t="s">
        <v>45</v>
      </c>
      <c r="N7037" s="1" t="s">
        <v>38</v>
      </c>
      <c r="O7037" s="1" t="s">
        <v>46</v>
      </c>
    </row>
    <row r="7038" spans="2:15" x14ac:dyDescent="0.3">
      <c r="B7038" s="1" t="s">
        <v>22</v>
      </c>
      <c r="C7038" s="1" t="str">
        <f t="shared" si="344"/>
        <v>4차</v>
      </c>
      <c r="D7038" s="1" t="str">
        <f>"0329W84144"</f>
        <v>0329W84144</v>
      </c>
      <c r="E7038" s="1" t="s">
        <v>10</v>
      </c>
      <c r="F7038" s="1" t="str">
        <f>"10.107.251.43"</f>
        <v>10.107.251.43</v>
      </c>
      <c r="G7038" s="1" t="str">
        <f>"0329W841"</f>
        <v>0329W841</v>
      </c>
      <c r="H7038" s="1" t="str">
        <f>"화랑간 25R9"</f>
        <v>화랑간 25R9</v>
      </c>
      <c r="I7038" s="1" t="s">
        <v>8</v>
      </c>
      <c r="J7038" s="1" t="str">
        <f>"40/40"</f>
        <v>40/40</v>
      </c>
      <c r="K7038" s="1" t="str">
        <f t="shared" si="346"/>
        <v>2026-07-29 13:18:04</v>
      </c>
      <c r="L7038" s="1" t="str">
        <f>"2019-12-24 17:37:23"</f>
        <v>2019-12-24 17:37:23</v>
      </c>
      <c r="M7038" s="1" t="s">
        <v>45</v>
      </c>
      <c r="N7038" s="1" t="s">
        <v>38</v>
      </c>
      <c r="O7038" s="1" t="s">
        <v>46</v>
      </c>
    </row>
    <row r="7039" spans="2:15" x14ac:dyDescent="0.3">
      <c r="B7039" s="1" t="s">
        <v>22</v>
      </c>
      <c r="C7039" s="1" t="str">
        <f t="shared" si="344"/>
        <v>4차</v>
      </c>
      <c r="D7039" s="1" t="str">
        <f>"0329W90144"</f>
        <v>0329W90144</v>
      </c>
      <c r="E7039" s="1" t="s">
        <v>10</v>
      </c>
      <c r="F7039" s="1" t="str">
        <f>"10.107.249.162"</f>
        <v>10.107.249.162</v>
      </c>
      <c r="G7039" s="1" t="str">
        <f>"0329W901"</f>
        <v>0329W901</v>
      </c>
      <c r="H7039" s="1" t="str">
        <f>"화랑간 25R15"</f>
        <v>화랑간 25R15</v>
      </c>
      <c r="I7039" s="1" t="s">
        <v>8</v>
      </c>
      <c r="J7039" s="1" t="str">
        <f>"16/16"</f>
        <v>16/16</v>
      </c>
      <c r="K7039" s="1" t="str">
        <f t="shared" si="346"/>
        <v>2026-07-29 13:18:04</v>
      </c>
      <c r="L7039" s="1" t="str">
        <f>"2020-01-10 11:47:09"</f>
        <v>2020-01-10 11:47:09</v>
      </c>
      <c r="M7039" s="1" t="s">
        <v>45</v>
      </c>
      <c r="N7039" s="1" t="s">
        <v>38</v>
      </c>
      <c r="O7039" s="1" t="s">
        <v>46</v>
      </c>
    </row>
    <row r="7040" spans="2:15" x14ac:dyDescent="0.3">
      <c r="B7040" s="1" t="s">
        <v>22</v>
      </c>
      <c r="C7040" s="1" t="str">
        <f t="shared" si="344"/>
        <v>4차</v>
      </c>
      <c r="D7040" s="1" t="str">
        <f>"0329W90244"</f>
        <v>0329W90244</v>
      </c>
      <c r="E7040" s="1" t="s">
        <v>10</v>
      </c>
      <c r="F7040" s="1" t="str">
        <f>"10.107.249.163"</f>
        <v>10.107.249.163</v>
      </c>
      <c r="G7040" s="1" t="str">
        <f>"0329W902"</f>
        <v>0329W902</v>
      </c>
      <c r="H7040" s="1" t="str">
        <f>"화랑간 25R16"</f>
        <v>화랑간 25R16</v>
      </c>
      <c r="I7040" s="1" t="s">
        <v>8</v>
      </c>
      <c r="J7040" s="1" t="str">
        <f>"11/11"</f>
        <v>11/11</v>
      </c>
      <c r="K7040" s="1" t="str">
        <f t="shared" si="346"/>
        <v>2026-07-29 13:18:04</v>
      </c>
      <c r="L7040" s="1" t="str">
        <f>"2020-01-10 11:46:41"</f>
        <v>2020-01-10 11:46:41</v>
      </c>
      <c r="M7040" s="1" t="s">
        <v>45</v>
      </c>
      <c r="N7040" s="1" t="s">
        <v>38</v>
      </c>
      <c r="O7040" s="1" t="s">
        <v>46</v>
      </c>
    </row>
    <row r="7041" spans="2:15" x14ac:dyDescent="0.3">
      <c r="B7041" s="1" t="s">
        <v>22</v>
      </c>
      <c r="C7041" s="1" t="str">
        <f t="shared" si="344"/>
        <v>4차</v>
      </c>
      <c r="D7041" s="1" t="str">
        <f>"0329W94445"</f>
        <v>0329W94445</v>
      </c>
      <c r="E7041" s="1" t="s">
        <v>10</v>
      </c>
      <c r="F7041" s="1" t="str">
        <f>"10.14.2.6"</f>
        <v>10.14.2.6</v>
      </c>
      <c r="G7041" s="1" t="str">
        <f>"0329W944"</f>
        <v>0329W944</v>
      </c>
      <c r="H7041" s="1" t="str">
        <f>"공릉 1"</f>
        <v>공릉 1</v>
      </c>
      <c r="I7041" s="1" t="s">
        <v>17</v>
      </c>
      <c r="J7041" s="1" t="str">
        <f>"10/10"</f>
        <v>10/10</v>
      </c>
      <c r="K7041" s="1" t="str">
        <f t="shared" si="346"/>
        <v>2026-07-29 13:18:04</v>
      </c>
      <c r="L7041" s="1" t="str">
        <f>"2021-06-23 09:23:28"</f>
        <v>2021-06-23 09:23:28</v>
      </c>
      <c r="M7041" s="1" t="s">
        <v>3</v>
      </c>
      <c r="N7041" s="1" t="s">
        <v>38</v>
      </c>
      <c r="O7041" s="1" t="s">
        <v>46</v>
      </c>
    </row>
    <row r="7042" spans="2:15" x14ac:dyDescent="0.3">
      <c r="B7042" s="1" t="s">
        <v>22</v>
      </c>
      <c r="C7042" s="1" t="str">
        <f t="shared" si="344"/>
        <v>4차</v>
      </c>
      <c r="D7042" s="1" t="str">
        <f>"0329W97444"</f>
        <v>0329W97444</v>
      </c>
      <c r="E7042" s="1" t="s">
        <v>10</v>
      </c>
      <c r="F7042" s="1" t="str">
        <f>"10.107.248.17"</f>
        <v>10.107.248.17</v>
      </c>
      <c r="G7042" s="1" t="str">
        <f>"0329W974"</f>
        <v>0329W974</v>
      </c>
      <c r="H7042" s="1" t="str">
        <f>"중계간 23"</f>
        <v>중계간 23</v>
      </c>
      <c r="I7042" s="1" t="s">
        <v>8</v>
      </c>
      <c r="J7042" s="1" t="str">
        <f>"12/12"</f>
        <v>12/12</v>
      </c>
      <c r="K7042" s="1" t="str">
        <f t="shared" si="346"/>
        <v>2026-07-29 13:18:04</v>
      </c>
      <c r="L7042" s="1" t="str">
        <f>"2020-01-10 11:41:52"</f>
        <v>2020-01-10 11:41:52</v>
      </c>
      <c r="M7042" s="1" t="s">
        <v>45</v>
      </c>
      <c r="N7042" s="1" t="s">
        <v>38</v>
      </c>
      <c r="O7042" s="1" t="s">
        <v>46</v>
      </c>
    </row>
    <row r="7043" spans="2:15" x14ac:dyDescent="0.3">
      <c r="B7043" s="1" t="s">
        <v>22</v>
      </c>
      <c r="C7043" s="1" t="str">
        <f t="shared" si="344"/>
        <v>4차</v>
      </c>
      <c r="D7043" s="1" t="str">
        <f>"0329X00544"</f>
        <v>0329X00544</v>
      </c>
      <c r="E7043" s="1" t="str">
        <f>"검침실패(3시간 이상)"</f>
        <v>검침실패(3시간 이상)</v>
      </c>
      <c r="F7043" s="1" t="str">
        <f>"10.107.251.168"</f>
        <v>10.107.251.168</v>
      </c>
      <c r="G7043" s="1" t="str">
        <f>"0329X005"</f>
        <v>0329X005</v>
      </c>
      <c r="H7043" s="1" t="str">
        <f>"화랑간 38"</f>
        <v>화랑간 38</v>
      </c>
      <c r="I7043" s="1" t="s">
        <v>8</v>
      </c>
      <c r="J7043" s="1" t="str">
        <f>"0/7"</f>
        <v>0/7</v>
      </c>
      <c r="K7043" s="1" t="str">
        <f t="shared" si="346"/>
        <v>2026-07-29 13:18:04</v>
      </c>
      <c r="L7043" s="1" t="str">
        <f>"2020-01-10 11:50:11"</f>
        <v>2020-01-10 11:50:11</v>
      </c>
      <c r="M7043" s="1" t="s">
        <v>45</v>
      </c>
      <c r="N7043" s="1" t="s">
        <v>38</v>
      </c>
      <c r="O7043" s="1" t="s">
        <v>46</v>
      </c>
    </row>
    <row r="7044" spans="2:15" x14ac:dyDescent="0.3">
      <c r="B7044" s="1" t="s">
        <v>22</v>
      </c>
      <c r="C7044" s="1" t="str">
        <f>"1차"</f>
        <v>1차</v>
      </c>
      <c r="D7044" s="1" t="str">
        <f>"0329X02201"</f>
        <v>0329X02201</v>
      </c>
      <c r="E7044" s="1" t="s">
        <v>14</v>
      </c>
      <c r="F7044" s="1" t="str">
        <f>"10.107.249.196"</f>
        <v>10.107.249.196</v>
      </c>
      <c r="G7044" s="1" t="str">
        <f>"0329X022"</f>
        <v>0329X022</v>
      </c>
      <c r="H7044" s="1" t="str">
        <f>"중계간 30H1"</f>
        <v>중계간 30H1</v>
      </c>
      <c r="I7044" s="1" t="s">
        <v>8</v>
      </c>
      <c r="J7044" s="1" t="str">
        <f>"0/0"</f>
        <v>0/0</v>
      </c>
      <c r="K7044" s="1" t="str">
        <f>"2025-10-28 01:21:03"</f>
        <v>2025-10-28 01:21:03</v>
      </c>
      <c r="L7044" s="1" t="str">
        <f>"2014-12-26 15:27:55"</f>
        <v>2014-12-26 15:27:55</v>
      </c>
      <c r="M7044" s="1" t="s">
        <v>45</v>
      </c>
      <c r="N7044" s="1" t="s">
        <v>44</v>
      </c>
      <c r="O7044" s="1" t="s">
        <v>44</v>
      </c>
    </row>
    <row r="7045" spans="2:15" x14ac:dyDescent="0.3">
      <c r="B7045" s="1" t="s">
        <v>22</v>
      </c>
      <c r="C7045" s="1" t="str">
        <f>"4차"</f>
        <v>4차</v>
      </c>
      <c r="D7045" s="1" t="str">
        <f>"0329X08144"</f>
        <v>0329X08144</v>
      </c>
      <c r="E7045" s="1" t="s">
        <v>10</v>
      </c>
      <c r="F7045" s="1" t="str">
        <f>"10.107.251.36"</f>
        <v>10.107.251.36</v>
      </c>
      <c r="G7045" s="1" t="str">
        <f>"0329X081"</f>
        <v>0329X081</v>
      </c>
      <c r="H7045" s="1" t="str">
        <f>"중계간 23L11L7"</f>
        <v>중계간 23L11L7</v>
      </c>
      <c r="I7045" s="1" t="s">
        <v>8</v>
      </c>
      <c r="J7045" s="1" t="str">
        <f>"34/34"</f>
        <v>34/34</v>
      </c>
      <c r="K7045" s="1" t="str">
        <f>"2026-07-29 13:18:04"</f>
        <v>2026-07-29 13:18:04</v>
      </c>
      <c r="L7045" s="1" t="str">
        <f>"2019-12-13 09:05:14"</f>
        <v>2019-12-13 09:05:14</v>
      </c>
      <c r="M7045" s="1" t="s">
        <v>45</v>
      </c>
      <c r="N7045" s="1" t="s">
        <v>38</v>
      </c>
      <c r="O7045" s="1" t="s">
        <v>46</v>
      </c>
    </row>
    <row r="7046" spans="2:15" x14ac:dyDescent="0.3">
      <c r="B7046" s="1" t="s">
        <v>22</v>
      </c>
      <c r="C7046" s="1" t="str">
        <f>"6차"</f>
        <v>6차</v>
      </c>
      <c r="D7046" s="1" t="str">
        <f>"0329X0846S"</f>
        <v>0329X0846S</v>
      </c>
      <c r="E7046" s="1" t="s">
        <v>10</v>
      </c>
      <c r="F7046" s="1" t="str">
        <f>"fde1:103:4:c84a:0:0:0:2"</f>
        <v>fde1:103:4:c84a:0:0:0:2</v>
      </c>
      <c r="G7046" s="1" t="str">
        <f>"0329X084"</f>
        <v>0329X084</v>
      </c>
      <c r="H7046" s="1" t="str">
        <f>"중계간 23L11L5"</f>
        <v>중계간 23L11L5</v>
      </c>
      <c r="I7046" s="1" t="s">
        <v>15</v>
      </c>
      <c r="J7046" s="1" t="str">
        <f>"30/30"</f>
        <v>30/30</v>
      </c>
      <c r="K7046" s="1" t="str">
        <f>"2026-07-29 14:20:25"</f>
        <v>2026-07-29 14:20:25</v>
      </c>
      <c r="L7046" s="1" t="str">
        <f>"2025-01-17 17:34:51"</f>
        <v>2025-01-17 17:34:51</v>
      </c>
      <c r="M7046" s="1" t="s">
        <v>4</v>
      </c>
      <c r="N7046" s="1" t="s">
        <v>38</v>
      </c>
      <c r="O7046" s="1" t="s">
        <v>46</v>
      </c>
    </row>
    <row r="7047" spans="2:15" x14ac:dyDescent="0.3">
      <c r="B7047" s="1" t="s">
        <v>22</v>
      </c>
      <c r="C7047" s="1" t="str">
        <f>"1차"</f>
        <v>1차</v>
      </c>
      <c r="D7047" s="1" t="str">
        <f>"0329X08500"</f>
        <v>0329X08500</v>
      </c>
      <c r="E7047" s="1" t="s">
        <v>10</v>
      </c>
      <c r="F7047" s="1" t="str">
        <f>"10.107.251.162"</f>
        <v>10.107.251.162</v>
      </c>
      <c r="G7047" s="1" t="str">
        <f>"0329X085"</f>
        <v>0329X085</v>
      </c>
      <c r="H7047" s="1" t="str">
        <f>"중계간 23L11L7R1"</f>
        <v>중계간 23L11L7R1</v>
      </c>
      <c r="I7047" s="1" t="s">
        <v>8</v>
      </c>
      <c r="J7047" s="1" t="str">
        <f>"32/32"</f>
        <v>32/32</v>
      </c>
      <c r="K7047" s="1" t="str">
        <f>"2026-07-29 13:18:04"</f>
        <v>2026-07-29 13:18:04</v>
      </c>
      <c r="L7047" s="1" t="str">
        <f>"2014-12-26 13:28:36"</f>
        <v>2014-12-26 13:28:36</v>
      </c>
      <c r="M7047" s="1" t="s">
        <v>45</v>
      </c>
      <c r="N7047" s="1" t="s">
        <v>38</v>
      </c>
      <c r="O7047" s="1" t="s">
        <v>46</v>
      </c>
    </row>
    <row r="7048" spans="2:15" x14ac:dyDescent="0.3">
      <c r="B7048" s="1" t="s">
        <v>22</v>
      </c>
      <c r="C7048" s="1" t="str">
        <f>"3차"</f>
        <v>3차</v>
      </c>
      <c r="D7048" s="1" t="str">
        <f>"0329X09339"</f>
        <v>0329X09339</v>
      </c>
      <c r="E7048" s="1" t="s">
        <v>10</v>
      </c>
      <c r="F7048" s="1" t="str">
        <f>"10.11.130.66"</f>
        <v>10.11.130.66</v>
      </c>
      <c r="G7048" s="1" t="str">
        <f>"0329X093"</f>
        <v>0329X093</v>
      </c>
      <c r="H7048" s="1" t="str">
        <f>"중계간 23L11L4R1"</f>
        <v>중계간 23L11L4R1</v>
      </c>
      <c r="I7048" s="1" t="s">
        <v>8</v>
      </c>
      <c r="J7048" s="1" t="str">
        <f>"29/29"</f>
        <v>29/29</v>
      </c>
      <c r="K7048" s="1" t="str">
        <f>"2026-07-29 13:18:02"</f>
        <v>2026-07-29 13:18:02</v>
      </c>
      <c r="L7048" s="1" t="str">
        <f>"2018-04-19 08:07:38"</f>
        <v>2018-04-19 08:07:38</v>
      </c>
      <c r="M7048" s="1" t="s">
        <v>2</v>
      </c>
      <c r="N7048" s="1" t="s">
        <v>38</v>
      </c>
      <c r="O7048" s="1" t="s">
        <v>46</v>
      </c>
    </row>
    <row r="7049" spans="2:15" x14ac:dyDescent="0.3">
      <c r="B7049" s="1" t="s">
        <v>22</v>
      </c>
      <c r="C7049" s="1" t="str">
        <f>"6차"</f>
        <v>6차</v>
      </c>
      <c r="D7049" s="1" t="str">
        <f>"0329X1016S"</f>
        <v>0329X1016S</v>
      </c>
      <c r="E7049" s="1" t="s">
        <v>10</v>
      </c>
      <c r="F7049" s="1" t="str">
        <f>"fde1:103:4:c72d:0:0:0:2"</f>
        <v>fde1:103:4:c72d:0:0:0:2</v>
      </c>
      <c r="G7049" s="1" t="str">
        <f>"0329X101"</f>
        <v>0329X101</v>
      </c>
      <c r="H7049" s="1" t="str">
        <f>"중계간 32L2"</f>
        <v>중계간 32L2</v>
      </c>
      <c r="I7049" s="1" t="s">
        <v>15</v>
      </c>
      <c r="J7049" s="1" t="str">
        <f>"39/39"</f>
        <v>39/39</v>
      </c>
      <c r="K7049" s="1" t="str">
        <f>"2026-07-29 08:20:38"</f>
        <v>2026-07-29 08:20:38</v>
      </c>
      <c r="L7049" s="1" t="str">
        <f>"2025-04-15 18:03:21"</f>
        <v>2025-04-15 18:03:21</v>
      </c>
      <c r="M7049" s="1" t="s">
        <v>4</v>
      </c>
      <c r="N7049" s="1" t="s">
        <v>38</v>
      </c>
      <c r="O7049" s="1" t="s">
        <v>46</v>
      </c>
    </row>
    <row r="7050" spans="2:15" x14ac:dyDescent="0.3">
      <c r="B7050" s="1" t="s">
        <v>22</v>
      </c>
      <c r="C7050" s="1" t="str">
        <f>"1차"</f>
        <v>1차</v>
      </c>
      <c r="D7050" s="1" t="str">
        <f>"0329X12100"</f>
        <v>0329X12100</v>
      </c>
      <c r="E7050" s="1" t="s">
        <v>10</v>
      </c>
      <c r="F7050" s="1" t="str">
        <f>"10.107.249.195"</f>
        <v>10.107.249.195</v>
      </c>
      <c r="G7050" s="1" t="str">
        <f>"0329X121"</f>
        <v>0329X121</v>
      </c>
      <c r="H7050" s="1" t="str">
        <f>"중계간 29L1"</f>
        <v>중계간 29L1</v>
      </c>
      <c r="I7050" s="1" t="s">
        <v>8</v>
      </c>
      <c r="J7050" s="1" t="str">
        <f>"4/4"</f>
        <v>4/4</v>
      </c>
      <c r="K7050" s="1" t="str">
        <f>"2026-07-29 13:18:04"</f>
        <v>2026-07-29 13:18:04</v>
      </c>
      <c r="L7050" s="1" t="str">
        <f>"2014-12-26 15:28:09"</f>
        <v>2014-12-26 15:28:09</v>
      </c>
      <c r="M7050" s="1" t="s">
        <v>45</v>
      </c>
      <c r="N7050" s="1" t="s">
        <v>38</v>
      </c>
      <c r="O7050" s="1" t="s">
        <v>46</v>
      </c>
    </row>
    <row r="7051" spans="2:15" x14ac:dyDescent="0.3">
      <c r="B7051" s="1" t="s">
        <v>22</v>
      </c>
      <c r="C7051" s="1" t="str">
        <f>"6차"</f>
        <v>6차</v>
      </c>
      <c r="D7051" s="1" t="str">
        <f>"0329X1316S"</f>
        <v>0329X1316S</v>
      </c>
      <c r="E7051" s="1" t="s">
        <v>10</v>
      </c>
      <c r="F7051" s="1" t="str">
        <f>"fde1:103:4:c738:0:0:0:2"</f>
        <v>fde1:103:4:c738:0:0:0:2</v>
      </c>
      <c r="G7051" s="1" t="str">
        <f>"0329X131"</f>
        <v>0329X131</v>
      </c>
      <c r="H7051" s="1" t="str">
        <f>"중계간 29L2"</f>
        <v>중계간 29L2</v>
      </c>
      <c r="I7051" s="1" t="s">
        <v>15</v>
      </c>
      <c r="J7051" s="1" t="str">
        <f>"54/55"</f>
        <v>54/55</v>
      </c>
      <c r="K7051" s="1" t="str">
        <f>"2026-07-29 14:20:56"</f>
        <v>2026-07-29 14:20:56</v>
      </c>
      <c r="L7051" s="1" t="str">
        <f>"2025-01-17 17:35:10"</f>
        <v>2025-01-17 17:35:10</v>
      </c>
      <c r="M7051" s="1" t="s">
        <v>4</v>
      </c>
      <c r="N7051" s="1" t="s">
        <v>38</v>
      </c>
      <c r="O7051" s="1" t="s">
        <v>46</v>
      </c>
    </row>
    <row r="7052" spans="2:15" x14ac:dyDescent="0.3">
      <c r="B7052" s="1" t="s">
        <v>22</v>
      </c>
      <c r="C7052" s="1" t="str">
        <f>"4차"</f>
        <v>4차</v>
      </c>
      <c r="D7052" s="1" t="str">
        <f>"0329X15445"</f>
        <v>0329X15445</v>
      </c>
      <c r="E7052" s="1" t="s">
        <v>10</v>
      </c>
      <c r="F7052" s="1" t="str">
        <f>"10.14.12.8"</f>
        <v>10.14.12.8</v>
      </c>
      <c r="G7052" s="1" t="str">
        <f>"0329X154"</f>
        <v>0329X154</v>
      </c>
      <c r="H7052" s="1" t="str">
        <f>"공릉 2"</f>
        <v>공릉 2</v>
      </c>
      <c r="I7052" s="1" t="s">
        <v>17</v>
      </c>
      <c r="J7052" s="1" t="str">
        <f>"3/3"</f>
        <v>3/3</v>
      </c>
      <c r="K7052" s="1" t="str">
        <f>"2026-07-29 13:18:04"</f>
        <v>2026-07-29 13:18:04</v>
      </c>
      <c r="L7052" s="1" t="str">
        <f>"2021-06-23 09:49:11"</f>
        <v>2021-06-23 09:49:11</v>
      </c>
      <c r="M7052" s="1" t="s">
        <v>3</v>
      </c>
      <c r="N7052" s="1" t="s">
        <v>38</v>
      </c>
      <c r="O7052" s="1" t="s">
        <v>46</v>
      </c>
    </row>
    <row r="7053" spans="2:15" x14ac:dyDescent="0.3">
      <c r="B7053" s="1" t="s">
        <v>22</v>
      </c>
      <c r="C7053" s="1" t="str">
        <f>"4차"</f>
        <v>4차</v>
      </c>
      <c r="D7053" s="1" t="str">
        <f>"0329X16144"</f>
        <v>0329X16144</v>
      </c>
      <c r="E7053" s="1" t="s">
        <v>10</v>
      </c>
      <c r="F7053" s="1" t="str">
        <f>"10.107.248.18"</f>
        <v>10.107.248.18</v>
      </c>
      <c r="G7053" s="1" t="str">
        <f>"0329X161"</f>
        <v>0329X161</v>
      </c>
      <c r="H7053" s="1" t="str">
        <f>"중계간 23L4R1"</f>
        <v>중계간 23L4R1</v>
      </c>
      <c r="I7053" s="1" t="s">
        <v>8</v>
      </c>
      <c r="J7053" s="1" t="str">
        <f>"51/51"</f>
        <v>51/51</v>
      </c>
      <c r="K7053" s="1" t="str">
        <f>"2026-07-29 13:18:02"</f>
        <v>2026-07-29 13:18:02</v>
      </c>
      <c r="L7053" s="1" t="str">
        <f>"2020-01-10 11:50:11"</f>
        <v>2020-01-10 11:50:11</v>
      </c>
      <c r="M7053" s="1" t="s">
        <v>45</v>
      </c>
      <c r="N7053" s="1" t="s">
        <v>38</v>
      </c>
      <c r="O7053" s="1" t="s">
        <v>46</v>
      </c>
    </row>
    <row r="7054" spans="2:15" x14ac:dyDescent="0.3">
      <c r="B7054" s="1" t="s">
        <v>22</v>
      </c>
      <c r="C7054" s="1" t="str">
        <f>"4차"</f>
        <v>4차</v>
      </c>
      <c r="D7054" s="1" t="str">
        <f>"0329X17144"</f>
        <v>0329X17144</v>
      </c>
      <c r="E7054" s="1" t="s">
        <v>10</v>
      </c>
      <c r="F7054" s="1" t="str">
        <f>"10.107.248.19"</f>
        <v>10.107.248.19</v>
      </c>
      <c r="G7054" s="1" t="str">
        <f>"0329X171"</f>
        <v>0329X171</v>
      </c>
      <c r="H7054" s="1" t="str">
        <f>"중계간 23L5"</f>
        <v>중계간 23L5</v>
      </c>
      <c r="I7054" s="1" t="s">
        <v>8</v>
      </c>
      <c r="J7054" s="1" t="str">
        <f>"46/47"</f>
        <v>46/47</v>
      </c>
      <c r="K7054" s="1" t="str">
        <f>"2026-07-29 13:18:02"</f>
        <v>2026-07-29 13:18:02</v>
      </c>
      <c r="L7054" s="1" t="str">
        <f>"2020-01-10 11:44:34"</f>
        <v>2020-01-10 11:44:34</v>
      </c>
      <c r="M7054" s="1" t="s">
        <v>45</v>
      </c>
      <c r="N7054" s="1" t="s">
        <v>38</v>
      </c>
      <c r="O7054" s="1" t="s">
        <v>46</v>
      </c>
    </row>
    <row r="7055" spans="2:15" x14ac:dyDescent="0.3">
      <c r="B7055" s="1" t="s">
        <v>22</v>
      </c>
      <c r="C7055" s="1" t="str">
        <f>"1차"</f>
        <v>1차</v>
      </c>
      <c r="D7055" s="1" t="str">
        <f>"0329X17200"</f>
        <v>0329X17200</v>
      </c>
      <c r="E7055" s="1" t="s">
        <v>10</v>
      </c>
      <c r="F7055" s="1" t="str">
        <f>"10.107.248.20"</f>
        <v>10.107.248.20</v>
      </c>
      <c r="G7055" s="1" t="str">
        <f>"0329X172"</f>
        <v>0329X172</v>
      </c>
      <c r="H7055" s="1" t="str">
        <f>"중계간 23L4"</f>
        <v>중계간 23L4</v>
      </c>
      <c r="I7055" s="1" t="s">
        <v>8</v>
      </c>
      <c r="J7055" s="1" t="str">
        <f>"64/64"</f>
        <v>64/64</v>
      </c>
      <c r="K7055" s="1" t="str">
        <f>"2026-07-29 13:18:02"</f>
        <v>2026-07-29 13:18:02</v>
      </c>
      <c r="L7055" s="1" t="str">
        <f>"2014-12-26 13:28:11"</f>
        <v>2014-12-26 13:28:11</v>
      </c>
      <c r="M7055" s="1" t="s">
        <v>45</v>
      </c>
      <c r="N7055" s="1" t="s">
        <v>38</v>
      </c>
      <c r="O7055" s="1" t="s">
        <v>46</v>
      </c>
    </row>
    <row r="7056" spans="2:15" x14ac:dyDescent="0.3">
      <c r="B7056" s="1" t="s">
        <v>22</v>
      </c>
      <c r="C7056" s="1" t="str">
        <f>"6차"</f>
        <v>6차</v>
      </c>
      <c r="D7056" s="1" t="str">
        <f>"0329X1816S"</f>
        <v>0329X1816S</v>
      </c>
      <c r="E7056" s="1" t="s">
        <v>10</v>
      </c>
      <c r="F7056" s="1" t="str">
        <f>"fde1:103:4:c85b:0:0:0:2"</f>
        <v>fde1:103:4:c85b:0:0:0:2</v>
      </c>
      <c r="G7056" s="1" t="str">
        <f>"0329X181"</f>
        <v>0329X181</v>
      </c>
      <c r="H7056" s="1" t="str">
        <f>"중계간 23L11L7R1L1"</f>
        <v>중계간 23L11L7R1L1</v>
      </c>
      <c r="I7056" s="1" t="s">
        <v>15</v>
      </c>
      <c r="J7056" s="1" t="str">
        <f>"43/48"</f>
        <v>43/48</v>
      </c>
      <c r="K7056" s="1" t="str">
        <f>"2026-07-29 14:20:57"</f>
        <v>2026-07-29 14:20:57</v>
      </c>
      <c r="L7056" s="1" t="str">
        <f>"2025-01-17 17:36:00"</f>
        <v>2025-01-17 17:36:00</v>
      </c>
      <c r="M7056" s="1" t="s">
        <v>4</v>
      </c>
      <c r="N7056" s="1" t="s">
        <v>38</v>
      </c>
      <c r="O7056" s="1" t="s">
        <v>46</v>
      </c>
    </row>
    <row r="7057" spans="2:15" x14ac:dyDescent="0.3">
      <c r="B7057" s="1" t="s">
        <v>22</v>
      </c>
      <c r="C7057" s="1" t="str">
        <f>"6차"</f>
        <v>6차</v>
      </c>
      <c r="D7057" s="1" t="str">
        <f>"0329X2016S"</f>
        <v>0329X2016S</v>
      </c>
      <c r="E7057" s="1" t="s">
        <v>10</v>
      </c>
      <c r="F7057" s="1" t="str">
        <f>"fde1:103:4:c718:0:0:0:2"</f>
        <v>fde1:103:4:c718:0:0:0:2</v>
      </c>
      <c r="G7057" s="1" t="str">
        <f>"0329X201"</f>
        <v>0329X201</v>
      </c>
      <c r="H7057" s="1" t="str">
        <f>"중계간 29L2R4"</f>
        <v>중계간 29L2R4</v>
      </c>
      <c r="I7057" s="1" t="s">
        <v>15</v>
      </c>
      <c r="J7057" s="1" t="str">
        <f>"64/64"</f>
        <v>64/64</v>
      </c>
      <c r="K7057" s="1" t="str">
        <f>"2026-07-29 14:20:57"</f>
        <v>2026-07-29 14:20:57</v>
      </c>
      <c r="L7057" s="1" t="str">
        <f>"2025-01-17 17:43:12"</f>
        <v>2025-01-17 17:43:12</v>
      </c>
      <c r="M7057" s="1" t="s">
        <v>4</v>
      </c>
      <c r="N7057" s="1" t="s">
        <v>38</v>
      </c>
      <c r="O7057" s="1" t="s">
        <v>46</v>
      </c>
    </row>
    <row r="7058" spans="2:15" x14ac:dyDescent="0.3">
      <c r="B7058" s="1" t="s">
        <v>22</v>
      </c>
      <c r="C7058" s="1" t="str">
        <f>"4차"</f>
        <v>4차</v>
      </c>
      <c r="D7058" s="1" t="str">
        <f>"0329X21144"</f>
        <v>0329X21144</v>
      </c>
      <c r="E7058" s="1" t="s">
        <v>10</v>
      </c>
      <c r="F7058" s="1" t="str">
        <f>"10.107.249.199"</f>
        <v>10.107.249.199</v>
      </c>
      <c r="G7058" s="1" t="str">
        <f>"0329X211"</f>
        <v>0329X211</v>
      </c>
      <c r="H7058" s="1" t="str">
        <f>"중계간 29L2R3"</f>
        <v>중계간 29L2R3</v>
      </c>
      <c r="I7058" s="1" t="s">
        <v>8</v>
      </c>
      <c r="J7058" s="1" t="str">
        <f>"53/53"</f>
        <v>53/53</v>
      </c>
      <c r="K7058" s="1" t="str">
        <f>"2026-07-29 13:18:02"</f>
        <v>2026-07-29 13:18:02</v>
      </c>
      <c r="L7058" s="1" t="str">
        <f>"2020-01-10 11:47:03"</f>
        <v>2020-01-10 11:47:03</v>
      </c>
      <c r="M7058" s="1" t="s">
        <v>45</v>
      </c>
      <c r="N7058" s="1" t="s">
        <v>38</v>
      </c>
      <c r="O7058" s="1" t="s">
        <v>46</v>
      </c>
    </row>
    <row r="7059" spans="2:15" x14ac:dyDescent="0.3">
      <c r="B7059" s="1" t="s">
        <v>22</v>
      </c>
      <c r="C7059" s="1" t="str">
        <f>"3차"</f>
        <v>3차</v>
      </c>
      <c r="D7059" s="1" t="str">
        <f>"0329X22139"</f>
        <v>0329X22139</v>
      </c>
      <c r="E7059" s="1" t="s">
        <v>10</v>
      </c>
      <c r="F7059" s="1" t="str">
        <f>"10.12.137.40"</f>
        <v>10.12.137.40</v>
      </c>
      <c r="G7059" s="1" t="str">
        <f>"0329X221"</f>
        <v>0329X221</v>
      </c>
      <c r="H7059" s="1" t="str">
        <f>"중계간 29L2R6H1L3"</f>
        <v>중계간 29L2R6H1L3</v>
      </c>
      <c r="I7059" s="1" t="s">
        <v>8</v>
      </c>
      <c r="J7059" s="1" t="str">
        <f>"142/143"</f>
        <v>142/143</v>
      </c>
      <c r="K7059" s="1" t="str">
        <f>"2026-07-29 13:18:03"</f>
        <v>2026-07-29 13:18:03</v>
      </c>
      <c r="L7059" s="1" t="str">
        <f>"2018-09-28 13:46:26"</f>
        <v>2018-09-28 13:46:26</v>
      </c>
      <c r="M7059" s="1" t="s">
        <v>0</v>
      </c>
      <c r="N7059" s="1" t="s">
        <v>38</v>
      </c>
      <c r="O7059" s="1" t="s">
        <v>46</v>
      </c>
    </row>
    <row r="7060" spans="2:15" x14ac:dyDescent="0.3">
      <c r="B7060" s="1" t="s">
        <v>22</v>
      </c>
      <c r="C7060" s="1" t="str">
        <f t="shared" ref="C7060:C7067" si="347">"4차"</f>
        <v>4차</v>
      </c>
      <c r="D7060" s="1" t="str">
        <f>"0329X23444"</f>
        <v>0329X23444</v>
      </c>
      <c r="E7060" s="1" t="s">
        <v>10</v>
      </c>
      <c r="F7060" s="1" t="str">
        <f>"10.107.249.206"</f>
        <v>10.107.249.206</v>
      </c>
      <c r="G7060" s="1" t="str">
        <f>"0329X234"</f>
        <v>0329X234</v>
      </c>
      <c r="H7060" s="1" t="str">
        <f>"중계간 29L3L1H1"</f>
        <v>중계간 29L3L1H1</v>
      </c>
      <c r="I7060" s="1" t="s">
        <v>8</v>
      </c>
      <c r="J7060" s="1" t="str">
        <f>"49/49"</f>
        <v>49/49</v>
      </c>
      <c r="K7060" s="1" t="str">
        <f t="shared" ref="K7060:K7067" si="348">"2026-07-29 13:18:02"</f>
        <v>2026-07-29 13:18:02</v>
      </c>
      <c r="L7060" s="1" t="str">
        <f>"2020-01-10 11:44:21"</f>
        <v>2020-01-10 11:44:21</v>
      </c>
      <c r="M7060" s="1" t="s">
        <v>45</v>
      </c>
      <c r="N7060" s="1" t="s">
        <v>38</v>
      </c>
      <c r="O7060" s="1" t="s">
        <v>46</v>
      </c>
    </row>
    <row r="7061" spans="2:15" x14ac:dyDescent="0.3">
      <c r="B7061" s="1" t="s">
        <v>22</v>
      </c>
      <c r="C7061" s="1" t="str">
        <f t="shared" si="347"/>
        <v>4차</v>
      </c>
      <c r="D7061" s="1" t="str">
        <f>"0329X24344"</f>
        <v>0329X24344</v>
      </c>
      <c r="E7061" s="1" t="s">
        <v>10</v>
      </c>
      <c r="F7061" s="1" t="str">
        <f>"10.107.249.208"</f>
        <v>10.107.249.208</v>
      </c>
      <c r="G7061" s="1" t="str">
        <f>"0329X243"</f>
        <v>0329X243</v>
      </c>
      <c r="H7061" s="1" t="str">
        <f>"중계간 29L4L2"</f>
        <v>중계간 29L4L2</v>
      </c>
      <c r="I7061" s="1" t="s">
        <v>8</v>
      </c>
      <c r="J7061" s="1" t="str">
        <f>"26/26"</f>
        <v>26/26</v>
      </c>
      <c r="K7061" s="1" t="str">
        <f t="shared" si="348"/>
        <v>2026-07-29 13:18:02</v>
      </c>
      <c r="L7061" s="1" t="str">
        <f>"2020-01-10 11:44:42"</f>
        <v>2020-01-10 11:44:42</v>
      </c>
      <c r="M7061" s="1" t="s">
        <v>45</v>
      </c>
      <c r="N7061" s="1" t="s">
        <v>38</v>
      </c>
      <c r="O7061" s="1" t="s">
        <v>46</v>
      </c>
    </row>
    <row r="7062" spans="2:15" x14ac:dyDescent="0.3">
      <c r="B7062" s="1" t="s">
        <v>22</v>
      </c>
      <c r="C7062" s="1" t="str">
        <f t="shared" si="347"/>
        <v>4차</v>
      </c>
      <c r="D7062" s="1" t="str">
        <f>"0329X27144"</f>
        <v>0329X27144</v>
      </c>
      <c r="E7062" s="1" t="s">
        <v>10</v>
      </c>
      <c r="F7062" s="1" t="str">
        <f>"10.107.248.21"</f>
        <v>10.107.248.21</v>
      </c>
      <c r="G7062" s="1" t="str">
        <f>"0329X271"</f>
        <v>0329X271</v>
      </c>
      <c r="H7062" s="1" t="str">
        <f>"중계간 23L6"</f>
        <v>중계간 23L6</v>
      </c>
      <c r="I7062" s="1" t="s">
        <v>8</v>
      </c>
      <c r="J7062" s="1" t="str">
        <f>"53/53"</f>
        <v>53/53</v>
      </c>
      <c r="K7062" s="1" t="str">
        <f t="shared" si="348"/>
        <v>2026-07-29 13:18:02</v>
      </c>
      <c r="L7062" s="1" t="str">
        <f>"2020-01-10 11:40:29"</f>
        <v>2020-01-10 11:40:29</v>
      </c>
      <c r="M7062" s="1" t="s">
        <v>45</v>
      </c>
      <c r="N7062" s="1" t="s">
        <v>38</v>
      </c>
      <c r="O7062" s="1" t="s">
        <v>46</v>
      </c>
    </row>
    <row r="7063" spans="2:15" x14ac:dyDescent="0.3">
      <c r="B7063" s="1" t="s">
        <v>22</v>
      </c>
      <c r="C7063" s="1" t="str">
        <f t="shared" si="347"/>
        <v>4차</v>
      </c>
      <c r="D7063" s="1" t="str">
        <f>"0329X28144"</f>
        <v>0329X28144</v>
      </c>
      <c r="E7063" s="1" t="s">
        <v>10</v>
      </c>
      <c r="F7063" s="1" t="str">
        <f>"10.107.248.22"</f>
        <v>10.107.248.22</v>
      </c>
      <c r="G7063" s="1" t="str">
        <f>"0329X281"</f>
        <v>0329X281</v>
      </c>
      <c r="H7063" s="1" t="str">
        <f>"중계간 23L8"</f>
        <v>중계간 23L8</v>
      </c>
      <c r="I7063" s="1" t="s">
        <v>8</v>
      </c>
      <c r="J7063" s="1" t="str">
        <f>"71/71"</f>
        <v>71/71</v>
      </c>
      <c r="K7063" s="1" t="str">
        <f t="shared" si="348"/>
        <v>2026-07-29 13:18:02</v>
      </c>
      <c r="L7063" s="1" t="str">
        <f>"2020-01-10 11:48:33"</f>
        <v>2020-01-10 11:48:33</v>
      </c>
      <c r="M7063" s="1" t="s">
        <v>45</v>
      </c>
      <c r="N7063" s="1" t="s">
        <v>38</v>
      </c>
      <c r="O7063" s="1" t="s">
        <v>46</v>
      </c>
    </row>
    <row r="7064" spans="2:15" x14ac:dyDescent="0.3">
      <c r="B7064" s="1" t="s">
        <v>22</v>
      </c>
      <c r="C7064" s="1" t="str">
        <f t="shared" si="347"/>
        <v>4차</v>
      </c>
      <c r="D7064" s="1" t="str">
        <f>"0329X29144"</f>
        <v>0329X29144</v>
      </c>
      <c r="E7064" s="1" t="s">
        <v>10</v>
      </c>
      <c r="F7064" s="1" t="str">
        <f>"10.107.248.23"</f>
        <v>10.107.248.23</v>
      </c>
      <c r="G7064" s="1" t="str">
        <f>"0329X291"</f>
        <v>0329X291</v>
      </c>
      <c r="H7064" s="1" t="str">
        <f>"중계간 23L9"</f>
        <v>중계간 23L9</v>
      </c>
      <c r="I7064" s="1" t="s">
        <v>8</v>
      </c>
      <c r="J7064" s="1" t="str">
        <f>"85/85"</f>
        <v>85/85</v>
      </c>
      <c r="K7064" s="1" t="str">
        <f t="shared" si="348"/>
        <v>2026-07-29 13:18:02</v>
      </c>
      <c r="L7064" s="1" t="str">
        <f>"2020-01-10 11:45:23"</f>
        <v>2020-01-10 11:45:23</v>
      </c>
      <c r="M7064" s="1" t="s">
        <v>45</v>
      </c>
      <c r="N7064" s="1" t="s">
        <v>38</v>
      </c>
      <c r="O7064" s="1" t="s">
        <v>46</v>
      </c>
    </row>
    <row r="7065" spans="2:15" x14ac:dyDescent="0.3">
      <c r="B7065" s="1" t="s">
        <v>22</v>
      </c>
      <c r="C7065" s="1" t="str">
        <f t="shared" si="347"/>
        <v>4차</v>
      </c>
      <c r="D7065" s="1" t="str">
        <f>"0329X30144"</f>
        <v>0329X30144</v>
      </c>
      <c r="E7065" s="1" t="s">
        <v>10</v>
      </c>
      <c r="F7065" s="1" t="str">
        <f>"10.107.248.2"</f>
        <v>10.107.248.2</v>
      </c>
      <c r="G7065" s="1" t="str">
        <f>"0329X301"</f>
        <v>0329X301</v>
      </c>
      <c r="H7065" s="1" t="str">
        <f>"중계간 29L2R7"</f>
        <v>중계간 29L2R7</v>
      </c>
      <c r="I7065" s="1" t="s">
        <v>8</v>
      </c>
      <c r="J7065" s="1" t="str">
        <f>"65/65"</f>
        <v>65/65</v>
      </c>
      <c r="K7065" s="1" t="str">
        <f t="shared" si="348"/>
        <v>2026-07-29 13:18:02</v>
      </c>
      <c r="L7065" s="1" t="str">
        <f>"2020-01-10 11:41:47"</f>
        <v>2020-01-10 11:41:47</v>
      </c>
      <c r="M7065" s="1" t="s">
        <v>45</v>
      </c>
      <c r="N7065" s="1" t="s">
        <v>38</v>
      </c>
      <c r="O7065" s="1" t="s">
        <v>46</v>
      </c>
    </row>
    <row r="7066" spans="2:15" x14ac:dyDescent="0.3">
      <c r="B7066" s="1" t="s">
        <v>22</v>
      </c>
      <c r="C7066" s="1" t="str">
        <f t="shared" si="347"/>
        <v>4차</v>
      </c>
      <c r="D7066" s="1" t="str">
        <f>"0329X30344"</f>
        <v>0329X30344</v>
      </c>
      <c r="E7066" s="1" t="s">
        <v>10</v>
      </c>
      <c r="F7066" s="1" t="str">
        <f>"10.107.248.3"</f>
        <v>10.107.248.3</v>
      </c>
      <c r="G7066" s="1" t="str">
        <f>"0329X303"</f>
        <v>0329X303</v>
      </c>
      <c r="H7066" s="1" t="str">
        <f>"중계간 29L2R6H1"</f>
        <v>중계간 29L2R6H1</v>
      </c>
      <c r="I7066" s="1" t="s">
        <v>8</v>
      </c>
      <c r="J7066" s="1" t="str">
        <f>"50/50"</f>
        <v>50/50</v>
      </c>
      <c r="K7066" s="1" t="str">
        <f t="shared" si="348"/>
        <v>2026-07-29 13:18:02</v>
      </c>
      <c r="L7066" s="1" t="str">
        <f>"2020-01-10 11:44:38"</f>
        <v>2020-01-10 11:44:38</v>
      </c>
      <c r="M7066" s="1" t="s">
        <v>45</v>
      </c>
      <c r="N7066" s="1" t="s">
        <v>38</v>
      </c>
      <c r="O7066" s="1" t="s">
        <v>46</v>
      </c>
    </row>
    <row r="7067" spans="2:15" x14ac:dyDescent="0.3">
      <c r="B7067" s="1" t="s">
        <v>22</v>
      </c>
      <c r="C7067" s="1" t="str">
        <f t="shared" si="347"/>
        <v>4차</v>
      </c>
      <c r="D7067" s="1" t="str">
        <f>"0329X32144"</f>
        <v>0329X32144</v>
      </c>
      <c r="E7067" s="1" t="s">
        <v>10</v>
      </c>
      <c r="F7067" s="1" t="str">
        <f>"10.107.249.213"</f>
        <v>10.107.249.213</v>
      </c>
      <c r="G7067" s="1" t="str">
        <f>"0329X321"</f>
        <v>0329X321</v>
      </c>
      <c r="H7067" s="1" t="str">
        <f>"중계간 29L4R1"</f>
        <v>중계간 29L4R1</v>
      </c>
      <c r="I7067" s="1" t="s">
        <v>8</v>
      </c>
      <c r="J7067" s="1" t="str">
        <f>"94/94"</f>
        <v>94/94</v>
      </c>
      <c r="K7067" s="1" t="str">
        <f t="shared" si="348"/>
        <v>2026-07-29 13:18:02</v>
      </c>
      <c r="L7067" s="1" t="str">
        <f>"2020-01-10 11:44:09"</f>
        <v>2020-01-10 11:44:09</v>
      </c>
      <c r="M7067" s="1" t="s">
        <v>45</v>
      </c>
      <c r="N7067" s="1" t="s">
        <v>38</v>
      </c>
      <c r="O7067" s="1" t="s">
        <v>46</v>
      </c>
    </row>
    <row r="7068" spans="2:15" x14ac:dyDescent="0.3">
      <c r="B7068" s="1" t="s">
        <v>22</v>
      </c>
      <c r="C7068" s="1" t="str">
        <f>"3차"</f>
        <v>3차</v>
      </c>
      <c r="D7068" s="1" t="str">
        <f>"0329X33139"</f>
        <v>0329X33139</v>
      </c>
      <c r="E7068" s="1" t="s">
        <v>10</v>
      </c>
      <c r="F7068" s="1" t="str">
        <f>"10.12.129.150"</f>
        <v>10.12.129.150</v>
      </c>
      <c r="G7068" s="1" t="str">
        <f>"0329X331"</f>
        <v>0329X331</v>
      </c>
      <c r="H7068" s="1" t="str">
        <f>"중계간 29L4"</f>
        <v>중계간 29L4</v>
      </c>
      <c r="I7068" s="1" t="s">
        <v>8</v>
      </c>
      <c r="J7068" s="1" t="str">
        <f>"23/23"</f>
        <v>23/23</v>
      </c>
      <c r="K7068" s="1" t="str">
        <f>"2026-07-29 13:18:03"</f>
        <v>2026-07-29 13:18:03</v>
      </c>
      <c r="L7068" s="1" t="str">
        <f>"2018-04-19 09:36:41"</f>
        <v>2018-04-19 09:36:41</v>
      </c>
      <c r="M7068" s="1" t="s">
        <v>0</v>
      </c>
      <c r="N7068" s="1" t="s">
        <v>38</v>
      </c>
      <c r="O7068" s="1" t="s">
        <v>46</v>
      </c>
    </row>
    <row r="7069" spans="2:15" x14ac:dyDescent="0.3">
      <c r="B7069" s="1" t="s">
        <v>22</v>
      </c>
      <c r="C7069" s="1" t="str">
        <f>"4차"</f>
        <v>4차</v>
      </c>
      <c r="D7069" s="1" t="str">
        <f>"0329X34144"</f>
        <v>0329X34144</v>
      </c>
      <c r="E7069" s="1" t="s">
        <v>10</v>
      </c>
      <c r="F7069" s="1" t="str">
        <f>"10.107.249.207"</f>
        <v>10.107.249.207</v>
      </c>
      <c r="G7069" s="1" t="str">
        <f>"0329X341"</f>
        <v>0329X341</v>
      </c>
      <c r="H7069" s="1" t="str">
        <f>"중계간 29L4L1"</f>
        <v>중계간 29L4L1</v>
      </c>
      <c r="I7069" s="1" t="s">
        <v>8</v>
      </c>
      <c r="J7069" s="1" t="str">
        <f>"75/75"</f>
        <v>75/75</v>
      </c>
      <c r="K7069" s="1" t="str">
        <f>"2026-07-29 13:18:03"</f>
        <v>2026-07-29 13:18:03</v>
      </c>
      <c r="L7069" s="1" t="str">
        <f>"2020-01-10 11:44:00"</f>
        <v>2020-01-10 11:44:00</v>
      </c>
      <c r="M7069" s="1" t="s">
        <v>45</v>
      </c>
      <c r="N7069" s="1" t="s">
        <v>38</v>
      </c>
      <c r="O7069" s="1" t="s">
        <v>46</v>
      </c>
    </row>
    <row r="7070" spans="2:15" x14ac:dyDescent="0.3">
      <c r="B7070" s="1" t="s">
        <v>22</v>
      </c>
      <c r="C7070" s="1" t="str">
        <f>"3차"</f>
        <v>3차</v>
      </c>
      <c r="D7070" s="1" t="str">
        <f>"0329X35139"</f>
        <v>0329X35139</v>
      </c>
      <c r="E7070" s="1" t="s">
        <v>10</v>
      </c>
      <c r="F7070" s="1" t="str">
        <f>"10.12.131.80"</f>
        <v>10.12.131.80</v>
      </c>
      <c r="G7070" s="1" t="str">
        <f>"0329X351"</f>
        <v>0329X351</v>
      </c>
      <c r="H7070" s="1" t="str">
        <f>"중계간 29L5L3"</f>
        <v>중계간 29L5L3</v>
      </c>
      <c r="I7070" s="1" t="s">
        <v>8</v>
      </c>
      <c r="J7070" s="1" t="str">
        <f>"30/30"</f>
        <v>30/30</v>
      </c>
      <c r="K7070" s="1" t="str">
        <f>"2026-07-29 13:18:04"</f>
        <v>2026-07-29 13:18:04</v>
      </c>
      <c r="L7070" s="1" t="str">
        <f>"2018-06-05 14:26:14"</f>
        <v>2018-06-05 14:26:14</v>
      </c>
      <c r="M7070" s="1" t="s">
        <v>0</v>
      </c>
      <c r="N7070" s="1" t="s">
        <v>38</v>
      </c>
      <c r="O7070" s="1" t="s">
        <v>46</v>
      </c>
    </row>
    <row r="7071" spans="2:15" x14ac:dyDescent="0.3">
      <c r="B7071" s="1" t="s">
        <v>22</v>
      </c>
      <c r="C7071" s="1" t="str">
        <f t="shared" ref="C7071:C7079" si="349">"4차"</f>
        <v>4차</v>
      </c>
      <c r="D7071" s="1" t="str">
        <f>"0329X35344"</f>
        <v>0329X35344</v>
      </c>
      <c r="E7071" s="1" t="s">
        <v>10</v>
      </c>
      <c r="F7071" s="1" t="str">
        <f>"10.107.249.210"</f>
        <v>10.107.249.210</v>
      </c>
      <c r="G7071" s="1" t="str">
        <f>"0329X353"</f>
        <v>0329X353</v>
      </c>
      <c r="H7071" s="1" t="str">
        <f>"중계간 29L5L2"</f>
        <v>중계간 29L5L2</v>
      </c>
      <c r="I7071" s="1" t="s">
        <v>8</v>
      </c>
      <c r="J7071" s="1" t="str">
        <f>"48/48"</f>
        <v>48/48</v>
      </c>
      <c r="K7071" s="1" t="str">
        <f>"2026-07-29 13:18:03"</f>
        <v>2026-07-29 13:18:03</v>
      </c>
      <c r="L7071" s="1" t="str">
        <f>"2020-01-10 11:43:55"</f>
        <v>2020-01-10 11:43:55</v>
      </c>
      <c r="M7071" s="1" t="s">
        <v>45</v>
      </c>
      <c r="N7071" s="1" t="s">
        <v>38</v>
      </c>
      <c r="O7071" s="1" t="s">
        <v>46</v>
      </c>
    </row>
    <row r="7072" spans="2:15" x14ac:dyDescent="0.3">
      <c r="B7072" s="1" t="s">
        <v>22</v>
      </c>
      <c r="C7072" s="1" t="str">
        <f t="shared" si="349"/>
        <v>4차</v>
      </c>
      <c r="D7072" s="1" t="str">
        <f>"0329X37239"</f>
        <v>0329X37239</v>
      </c>
      <c r="E7072" s="1" t="s">
        <v>10</v>
      </c>
      <c r="F7072" s="1" t="str">
        <f>"10.11.130.82"</f>
        <v>10.11.130.82</v>
      </c>
      <c r="G7072" s="1" t="str">
        <f>"0329X372"</f>
        <v>0329X372</v>
      </c>
      <c r="H7072" s="1" t="str">
        <f>"중계간 23L7"</f>
        <v>중계간 23L7</v>
      </c>
      <c r="I7072" s="1" t="s">
        <v>8</v>
      </c>
      <c r="J7072" s="1" t="str">
        <f>"38/38"</f>
        <v>38/38</v>
      </c>
      <c r="K7072" s="1" t="str">
        <f>"2026-07-29 13:18:02"</f>
        <v>2026-07-29 13:18:02</v>
      </c>
      <c r="L7072" s="1" t="str">
        <f>"2018-06-05 15:01:14"</f>
        <v>2018-06-05 15:01:14</v>
      </c>
      <c r="M7072" s="1" t="s">
        <v>2</v>
      </c>
      <c r="N7072" s="1" t="s">
        <v>38</v>
      </c>
      <c r="O7072" s="1" t="s">
        <v>46</v>
      </c>
    </row>
    <row r="7073" spans="2:15" x14ac:dyDescent="0.3">
      <c r="B7073" s="1" t="s">
        <v>22</v>
      </c>
      <c r="C7073" s="1" t="str">
        <f t="shared" si="349"/>
        <v>4차</v>
      </c>
      <c r="D7073" s="1" t="str">
        <f>"0329X39239"</f>
        <v>0329X39239</v>
      </c>
      <c r="E7073" s="1" t="s">
        <v>10</v>
      </c>
      <c r="F7073" s="1" t="str">
        <f>"10.12.130.161"</f>
        <v>10.12.130.161</v>
      </c>
      <c r="G7073" s="1" t="str">
        <f>"0329X392"</f>
        <v>0329X392</v>
      </c>
      <c r="H7073" s="1" t="str">
        <f>"중계간 23L7R4"</f>
        <v>중계간 23L7R4</v>
      </c>
      <c r="I7073" s="1" t="s">
        <v>8</v>
      </c>
      <c r="J7073" s="1" t="str">
        <f>"138/138"</f>
        <v>138/138</v>
      </c>
      <c r="K7073" s="1" t="str">
        <f>"2026-07-29 13:18:03"</f>
        <v>2026-07-29 13:18:03</v>
      </c>
      <c r="L7073" s="1" t="str">
        <f>"2018-10-01 14:09:57"</f>
        <v>2018-10-01 14:09:57</v>
      </c>
      <c r="M7073" s="1" t="s">
        <v>0</v>
      </c>
      <c r="N7073" s="1" t="s">
        <v>38</v>
      </c>
      <c r="O7073" s="1" t="s">
        <v>46</v>
      </c>
    </row>
    <row r="7074" spans="2:15" x14ac:dyDescent="0.3">
      <c r="B7074" s="1" t="s">
        <v>22</v>
      </c>
      <c r="C7074" s="1" t="str">
        <f t="shared" si="349"/>
        <v>4차</v>
      </c>
      <c r="D7074" s="1" t="str">
        <f>"0329X40244"</f>
        <v>0329X40244</v>
      </c>
      <c r="E7074" s="1" t="s">
        <v>10</v>
      </c>
      <c r="F7074" s="1" t="str">
        <f>"10.107.248.4"</f>
        <v>10.107.248.4</v>
      </c>
      <c r="G7074" s="1" t="str">
        <f>"0329X402"</f>
        <v>0329X402</v>
      </c>
      <c r="H7074" s="1" t="str">
        <f>"중계간 29L2R8"</f>
        <v>중계간 29L2R8</v>
      </c>
      <c r="I7074" s="1" t="s">
        <v>8</v>
      </c>
      <c r="J7074" s="1" t="str">
        <f>"24/24"</f>
        <v>24/24</v>
      </c>
      <c r="K7074" s="1" t="str">
        <f>"2026-07-29 13:18:03"</f>
        <v>2026-07-29 13:18:03</v>
      </c>
      <c r="L7074" s="1" t="str">
        <f>"2020-01-10 11:42:12"</f>
        <v>2020-01-10 11:42:12</v>
      </c>
      <c r="M7074" s="1" t="s">
        <v>45</v>
      </c>
      <c r="N7074" s="1" t="s">
        <v>38</v>
      </c>
      <c r="O7074" s="1" t="s">
        <v>46</v>
      </c>
    </row>
    <row r="7075" spans="2:15" x14ac:dyDescent="0.3">
      <c r="B7075" s="1" t="s">
        <v>22</v>
      </c>
      <c r="C7075" s="1" t="str">
        <f t="shared" si="349"/>
        <v>4차</v>
      </c>
      <c r="D7075" s="1" t="str">
        <f>"0329X40344"</f>
        <v>0329X40344</v>
      </c>
      <c r="E7075" s="1" t="s">
        <v>10</v>
      </c>
      <c r="F7075" s="1" t="str">
        <f>"10.107.248.5"</f>
        <v>10.107.248.5</v>
      </c>
      <c r="G7075" s="1" t="str">
        <f>"0329X403"</f>
        <v>0329X403</v>
      </c>
      <c r="H7075" s="1" t="str">
        <f>"중계간 29L2R10"</f>
        <v>중계간 29L2R10</v>
      </c>
      <c r="I7075" s="1" t="s">
        <v>8</v>
      </c>
      <c r="J7075" s="1" t="str">
        <f>"27/27"</f>
        <v>27/27</v>
      </c>
      <c r="K7075" s="1" t="str">
        <f>"2026-07-29 13:18:03"</f>
        <v>2026-07-29 13:18:03</v>
      </c>
      <c r="L7075" s="1" t="str">
        <f>"2020-01-10 11:47:02"</f>
        <v>2020-01-10 11:47:02</v>
      </c>
      <c r="M7075" s="1" t="s">
        <v>45</v>
      </c>
      <c r="N7075" s="1" t="s">
        <v>38</v>
      </c>
      <c r="O7075" s="1" t="s">
        <v>46</v>
      </c>
    </row>
    <row r="7076" spans="2:15" x14ac:dyDescent="0.3">
      <c r="B7076" s="1" t="s">
        <v>22</v>
      </c>
      <c r="C7076" s="1" t="str">
        <f t="shared" si="349"/>
        <v>4차</v>
      </c>
      <c r="D7076" s="1" t="str">
        <f>"0329X42244"</f>
        <v>0329X42244</v>
      </c>
      <c r="E7076" s="1" t="s">
        <v>10</v>
      </c>
      <c r="F7076" s="1" t="str">
        <f>"10.107.248.6"</f>
        <v>10.107.248.6</v>
      </c>
      <c r="G7076" s="1" t="str">
        <f>"0329X422"</f>
        <v>0329X422</v>
      </c>
      <c r="H7076" s="1" t="str">
        <f>"중계간 29L2R9L4"</f>
        <v>중계간 29L2R9L4</v>
      </c>
      <c r="I7076" s="1" t="s">
        <v>8</v>
      </c>
      <c r="J7076" s="1" t="str">
        <f>"27/27"</f>
        <v>27/27</v>
      </c>
      <c r="K7076" s="1" t="str">
        <f>"2026-07-29 13:18:03"</f>
        <v>2026-07-29 13:18:03</v>
      </c>
      <c r="L7076" s="1" t="str">
        <f>"2020-01-10 11:44:20"</f>
        <v>2020-01-10 11:44:20</v>
      </c>
      <c r="M7076" s="1" t="s">
        <v>45</v>
      </c>
      <c r="N7076" s="1" t="s">
        <v>38</v>
      </c>
      <c r="O7076" s="1" t="s">
        <v>46</v>
      </c>
    </row>
    <row r="7077" spans="2:15" x14ac:dyDescent="0.3">
      <c r="B7077" s="1" t="s">
        <v>22</v>
      </c>
      <c r="C7077" s="1" t="str">
        <f t="shared" si="349"/>
        <v>4차</v>
      </c>
      <c r="D7077" s="1" t="str">
        <f>"0329X43144"</f>
        <v>0329X43144</v>
      </c>
      <c r="E7077" s="1" t="s">
        <v>10</v>
      </c>
      <c r="F7077" s="1" t="str">
        <f>"10.107.249.209"</f>
        <v>10.107.249.209</v>
      </c>
      <c r="G7077" s="1" t="str">
        <f>"0329X431"</f>
        <v>0329X431</v>
      </c>
      <c r="H7077" s="1" t="str">
        <f>"중계간 29L5"</f>
        <v>중계간 29L5</v>
      </c>
      <c r="I7077" s="1" t="s">
        <v>8</v>
      </c>
      <c r="J7077" s="1" t="str">
        <f>"84/85"</f>
        <v>84/85</v>
      </c>
      <c r="K7077" s="1" t="str">
        <f>"2026-07-29 13:18:02"</f>
        <v>2026-07-29 13:18:02</v>
      </c>
      <c r="L7077" s="1" t="str">
        <f>"2020-01-10 11:43:55"</f>
        <v>2020-01-10 11:43:55</v>
      </c>
      <c r="M7077" s="1" t="s">
        <v>45</v>
      </c>
      <c r="N7077" s="1" t="s">
        <v>38</v>
      </c>
      <c r="O7077" s="1" t="s">
        <v>46</v>
      </c>
    </row>
    <row r="7078" spans="2:15" x14ac:dyDescent="0.3">
      <c r="B7078" s="1" t="s">
        <v>22</v>
      </c>
      <c r="C7078" s="1" t="str">
        <f t="shared" si="349"/>
        <v>4차</v>
      </c>
      <c r="D7078" s="1" t="str">
        <f>"0329X44144"</f>
        <v>0329X44144</v>
      </c>
      <c r="E7078" s="1" t="s">
        <v>10</v>
      </c>
      <c r="F7078" s="1" t="str">
        <f>"10.107.249.211"</f>
        <v>10.107.249.211</v>
      </c>
      <c r="G7078" s="1" t="str">
        <f>"0329X441"</f>
        <v>0329X441</v>
      </c>
      <c r="H7078" s="1" t="str">
        <f>"중계간 29L6"</f>
        <v>중계간 29L6</v>
      </c>
      <c r="I7078" s="1" t="s">
        <v>8</v>
      </c>
      <c r="J7078" s="1" t="str">
        <f>"11/16"</f>
        <v>11/16</v>
      </c>
      <c r="K7078" s="1" t="str">
        <f>"2026-07-29 13:18:03"</f>
        <v>2026-07-29 13:18:03</v>
      </c>
      <c r="L7078" s="1" t="str">
        <f>"2020-01-10 11:44:13"</f>
        <v>2020-01-10 11:44:13</v>
      </c>
      <c r="M7078" s="1" t="s">
        <v>45</v>
      </c>
      <c r="N7078" s="1" t="s">
        <v>38</v>
      </c>
      <c r="O7078" s="1" t="s">
        <v>46</v>
      </c>
    </row>
    <row r="7079" spans="2:15" x14ac:dyDescent="0.3">
      <c r="B7079" s="1" t="s">
        <v>22</v>
      </c>
      <c r="C7079" s="1" t="str">
        <f t="shared" si="349"/>
        <v>4차</v>
      </c>
      <c r="D7079" s="1" t="str">
        <f>"0329X47544"</f>
        <v>0329X47544</v>
      </c>
      <c r="E7079" s="1" t="s">
        <v>10</v>
      </c>
      <c r="F7079" s="1" t="str">
        <f>"10.107.248.24"</f>
        <v>10.107.248.24</v>
      </c>
      <c r="G7079" s="1" t="str">
        <f>"0329X475"</f>
        <v>0329X475</v>
      </c>
      <c r="H7079" s="1" t="str">
        <f>"중계간 23L7R2"</f>
        <v>중계간 23L7R2</v>
      </c>
      <c r="I7079" s="1" t="s">
        <v>8</v>
      </c>
      <c r="J7079" s="1" t="str">
        <f>"88/88"</f>
        <v>88/88</v>
      </c>
      <c r="K7079" s="1" t="str">
        <f>"2026-07-29 13:18:02"</f>
        <v>2026-07-29 13:18:02</v>
      </c>
      <c r="L7079" s="1" t="str">
        <f>"2020-01-10 11:40:29"</f>
        <v>2020-01-10 11:40:29</v>
      </c>
      <c r="M7079" s="1" t="s">
        <v>45</v>
      </c>
      <c r="N7079" s="1" t="s">
        <v>38</v>
      </c>
      <c r="O7079" s="1" t="s">
        <v>46</v>
      </c>
    </row>
    <row r="7080" spans="2:15" x14ac:dyDescent="0.3">
      <c r="B7080" s="1" t="s">
        <v>22</v>
      </c>
      <c r="C7080" s="1" t="str">
        <f>"3차"</f>
        <v>3차</v>
      </c>
      <c r="D7080" s="1" t="str">
        <f>"0329X48439"</f>
        <v>0329X48439</v>
      </c>
      <c r="E7080" s="1" t="s">
        <v>10</v>
      </c>
      <c r="F7080" s="1" t="str">
        <f>"10.12.129.23"</f>
        <v>10.12.129.23</v>
      </c>
      <c r="G7080" s="1" t="str">
        <f>"0329X484"</f>
        <v>0329X484</v>
      </c>
      <c r="H7080" s="1" t="str">
        <f>"중계간 23L7R3"</f>
        <v>중계간 23L7R3</v>
      </c>
      <c r="I7080" s="1" t="s">
        <v>8</v>
      </c>
      <c r="J7080" s="1" t="str">
        <f>"30/30"</f>
        <v>30/30</v>
      </c>
      <c r="K7080" s="1" t="str">
        <f>"2026-07-29 13:18:02"</f>
        <v>2026-07-29 13:18:02</v>
      </c>
      <c r="L7080" s="1" t="str">
        <f>"2018-06-05 15:37:44"</f>
        <v>2018-06-05 15:37:44</v>
      </c>
      <c r="M7080" s="1" t="s">
        <v>0</v>
      </c>
      <c r="N7080" s="1" t="s">
        <v>38</v>
      </c>
      <c r="O7080" s="1" t="s">
        <v>46</v>
      </c>
    </row>
    <row r="7081" spans="2:15" x14ac:dyDescent="0.3">
      <c r="B7081" s="1" t="s">
        <v>22</v>
      </c>
      <c r="C7081" s="1" t="str">
        <f>"4차"</f>
        <v>4차</v>
      </c>
      <c r="D7081" s="1" t="str">
        <f>"0329X49144"</f>
        <v>0329X49144</v>
      </c>
      <c r="E7081" s="1" t="s">
        <v>10</v>
      </c>
      <c r="F7081" s="1" t="str">
        <f>"10.107.248.30"</f>
        <v>10.107.248.30</v>
      </c>
      <c r="G7081" s="1" t="str">
        <f>"0329X491"</f>
        <v>0329X491</v>
      </c>
      <c r="H7081" s="1" t="str">
        <f>"중계간 23L11L1L3R1"</f>
        <v>중계간 23L11L1L3R1</v>
      </c>
      <c r="I7081" s="1" t="s">
        <v>8</v>
      </c>
      <c r="J7081" s="1" t="str">
        <f>"175/175"</f>
        <v>175/175</v>
      </c>
      <c r="K7081" s="1" t="str">
        <f>"2026-07-29 13:18:02"</f>
        <v>2026-07-29 13:18:02</v>
      </c>
      <c r="L7081" s="1" t="str">
        <f>"2020-01-10 11:44:42"</f>
        <v>2020-01-10 11:44:42</v>
      </c>
      <c r="M7081" s="1" t="s">
        <v>45</v>
      </c>
      <c r="N7081" s="1" t="s">
        <v>38</v>
      </c>
      <c r="O7081" s="1" t="s">
        <v>46</v>
      </c>
    </row>
    <row r="7082" spans="2:15" x14ac:dyDescent="0.3">
      <c r="B7082" s="1" t="s">
        <v>22</v>
      </c>
      <c r="C7082" s="1" t="str">
        <f>"4차"</f>
        <v>4차</v>
      </c>
      <c r="D7082" s="1" t="str">
        <f>"0329X54144"</f>
        <v>0329X54144</v>
      </c>
      <c r="E7082" s="1" t="s">
        <v>10</v>
      </c>
      <c r="F7082" s="1" t="str">
        <f>"10.107.249.212"</f>
        <v>10.107.249.212</v>
      </c>
      <c r="G7082" s="1" t="str">
        <f>"0329X541"</f>
        <v>0329X541</v>
      </c>
      <c r="H7082" s="1" t="str">
        <f>"중계간 29L7"</f>
        <v>중계간 29L7</v>
      </c>
      <c r="I7082" s="1" t="s">
        <v>8</v>
      </c>
      <c r="J7082" s="1" t="str">
        <f>"15/15"</f>
        <v>15/15</v>
      </c>
      <c r="K7082" s="1" t="str">
        <f>"2026-07-29 13:18:02"</f>
        <v>2026-07-29 13:18:02</v>
      </c>
      <c r="L7082" s="1" t="str">
        <f>"2020-01-10 11:46:41"</f>
        <v>2020-01-10 11:46:41</v>
      </c>
      <c r="M7082" s="1" t="s">
        <v>45</v>
      </c>
      <c r="N7082" s="1" t="s">
        <v>38</v>
      </c>
      <c r="O7082" s="1" t="s">
        <v>46</v>
      </c>
    </row>
    <row r="7083" spans="2:15" x14ac:dyDescent="0.3">
      <c r="B7083" s="1" t="s">
        <v>22</v>
      </c>
      <c r="C7083" s="1" t="str">
        <f>"4차"</f>
        <v>4차</v>
      </c>
      <c r="D7083" s="1" t="str">
        <f>"0329X57144"</f>
        <v>0329X57144</v>
      </c>
      <c r="E7083" s="1" t="s">
        <v>10</v>
      </c>
      <c r="F7083" s="1" t="str">
        <f>"10.107.249.205"</f>
        <v>10.107.249.205</v>
      </c>
      <c r="G7083" s="1" t="str">
        <f>"0329X571"</f>
        <v>0329X571</v>
      </c>
      <c r="H7083" s="1" t="str">
        <f>"중계간 23L11L1L9"</f>
        <v>중계간 23L11L1L9</v>
      </c>
      <c r="I7083" s="1" t="s">
        <v>8</v>
      </c>
      <c r="J7083" s="1" t="str">
        <f>"76/76"</f>
        <v>76/76</v>
      </c>
      <c r="K7083" s="1" t="str">
        <f>"2026-07-29 13:18:03"</f>
        <v>2026-07-29 13:18:03</v>
      </c>
      <c r="L7083" s="1" t="str">
        <f>"2020-01-10 11:43:55"</f>
        <v>2020-01-10 11:43:55</v>
      </c>
      <c r="M7083" s="1" t="s">
        <v>45</v>
      </c>
      <c r="N7083" s="1" t="s">
        <v>38</v>
      </c>
      <c r="O7083" s="1" t="s">
        <v>46</v>
      </c>
    </row>
    <row r="7084" spans="2:15" x14ac:dyDescent="0.3">
      <c r="B7084" s="1" t="s">
        <v>22</v>
      </c>
      <c r="C7084" s="1" t="str">
        <f>"3차"</f>
        <v>3차</v>
      </c>
      <c r="D7084" s="1" t="str">
        <f>"0329X60239"</f>
        <v>0329X60239</v>
      </c>
      <c r="E7084" s="1" t="s">
        <v>10</v>
      </c>
      <c r="F7084" s="1" t="str">
        <f>"10.12.130.5"</f>
        <v>10.12.130.5</v>
      </c>
      <c r="G7084" s="1" t="str">
        <f>"0329X602"</f>
        <v>0329X602</v>
      </c>
      <c r="H7084" s="1" t="str">
        <f>"중계간 45L2"</f>
        <v>중계간 45L2</v>
      </c>
      <c r="I7084" s="1" t="s">
        <v>8</v>
      </c>
      <c r="J7084" s="1" t="str">
        <f>"32/32"</f>
        <v>32/32</v>
      </c>
      <c r="K7084" s="1" t="str">
        <f>"2026-07-29 13:18:04"</f>
        <v>2026-07-29 13:18:04</v>
      </c>
      <c r="L7084" s="1" t="str">
        <f>"2018-04-19 10:01:25"</f>
        <v>2018-04-19 10:01:25</v>
      </c>
      <c r="M7084" s="1" t="s">
        <v>0</v>
      </c>
      <c r="N7084" s="1" t="s">
        <v>38</v>
      </c>
      <c r="O7084" s="1" t="s">
        <v>46</v>
      </c>
    </row>
    <row r="7085" spans="2:15" x14ac:dyDescent="0.3">
      <c r="B7085" s="1" t="s">
        <v>22</v>
      </c>
      <c r="C7085" s="1" t="str">
        <f>"4차"</f>
        <v>4차</v>
      </c>
      <c r="D7085" s="1" t="str">
        <f>"0329X61244"</f>
        <v>0329X61244</v>
      </c>
      <c r="E7085" s="1" t="s">
        <v>10</v>
      </c>
      <c r="F7085" s="1" t="str">
        <f>"10.107.248.7"</f>
        <v>10.107.248.7</v>
      </c>
      <c r="G7085" s="1" t="str">
        <f>"0329X612"</f>
        <v>0329X612</v>
      </c>
      <c r="H7085" s="1" t="str">
        <f>"중계간 45L3"</f>
        <v>중계간 45L3</v>
      </c>
      <c r="I7085" s="1" t="s">
        <v>8</v>
      </c>
      <c r="J7085" s="1" t="str">
        <f>"11/11"</f>
        <v>11/11</v>
      </c>
      <c r="K7085" s="1" t="str">
        <f>"2026-07-29 13:18:03"</f>
        <v>2026-07-29 13:18:03</v>
      </c>
      <c r="L7085" s="1" t="str">
        <f>"2020-01-10 11:48:33"</f>
        <v>2020-01-10 11:48:33</v>
      </c>
      <c r="M7085" s="1" t="s">
        <v>45</v>
      </c>
      <c r="N7085" s="1" t="s">
        <v>38</v>
      </c>
      <c r="O7085" s="1" t="s">
        <v>46</v>
      </c>
    </row>
    <row r="7086" spans="2:15" x14ac:dyDescent="0.3">
      <c r="B7086" s="1" t="s">
        <v>22</v>
      </c>
      <c r="C7086" s="1" t="str">
        <f>"4차"</f>
        <v>4차</v>
      </c>
      <c r="D7086" s="1" t="str">
        <f>"0329X61344"</f>
        <v>0329X61344</v>
      </c>
      <c r="E7086" s="1" t="s">
        <v>10</v>
      </c>
      <c r="F7086" s="1" t="str">
        <f>"10.107.248.8"</f>
        <v>10.107.248.8</v>
      </c>
      <c r="G7086" s="1" t="str">
        <f>"0329X613"</f>
        <v>0329X613</v>
      </c>
      <c r="H7086" s="1" t="str">
        <f>"중계간 45L4"</f>
        <v>중계간 45L4</v>
      </c>
      <c r="I7086" s="1" t="s">
        <v>8</v>
      </c>
      <c r="J7086" s="1" t="str">
        <f>"101/102"</f>
        <v>101/102</v>
      </c>
      <c r="K7086" s="1" t="str">
        <f>"2026-07-29 13:18:03"</f>
        <v>2026-07-29 13:18:03</v>
      </c>
      <c r="L7086" s="1" t="str">
        <f>"2020-01-10 11:48:32"</f>
        <v>2020-01-10 11:48:32</v>
      </c>
      <c r="M7086" s="1" t="s">
        <v>45</v>
      </c>
      <c r="N7086" s="1" t="s">
        <v>38</v>
      </c>
      <c r="O7086" s="1" t="s">
        <v>46</v>
      </c>
    </row>
    <row r="7087" spans="2:15" x14ac:dyDescent="0.3">
      <c r="B7087" s="1" t="s">
        <v>22</v>
      </c>
      <c r="C7087" s="1" t="str">
        <f>"1차"</f>
        <v>1차</v>
      </c>
      <c r="D7087" s="1" t="str">
        <f>"0329X64300"</f>
        <v>0329X64300</v>
      </c>
      <c r="E7087" s="1" t="s">
        <v>10</v>
      </c>
      <c r="F7087" s="1" t="str">
        <f>"10.107.119.75"</f>
        <v>10.107.119.75</v>
      </c>
      <c r="G7087" s="1" t="str">
        <f>"0329X643"</f>
        <v>0329X643</v>
      </c>
      <c r="H7087" s="1" t="str">
        <f>"공덕지 49"</f>
        <v>공덕지 49</v>
      </c>
      <c r="I7087" s="1" t="s">
        <v>8</v>
      </c>
      <c r="J7087" s="1" t="str">
        <f>"64/64"</f>
        <v>64/64</v>
      </c>
      <c r="K7087" s="1" t="str">
        <f>"2026-07-29 13:18:03"</f>
        <v>2026-07-29 13:18:03</v>
      </c>
      <c r="L7087" s="1" t="str">
        <f>"2014-12-11 00:14:19"</f>
        <v>2014-12-11 00:14:19</v>
      </c>
      <c r="M7087" s="1" t="s">
        <v>45</v>
      </c>
      <c r="N7087" s="1" t="s">
        <v>38</v>
      </c>
      <c r="O7087" s="1" t="s">
        <v>46</v>
      </c>
    </row>
    <row r="7088" spans="2:15" x14ac:dyDescent="0.3">
      <c r="B7088" s="1" t="s">
        <v>22</v>
      </c>
      <c r="C7088" s="1" t="str">
        <f>"1차"</f>
        <v>1차</v>
      </c>
      <c r="D7088" s="1" t="str">
        <f>"0329X65100"</f>
        <v>0329X65100</v>
      </c>
      <c r="E7088" s="1" t="s">
        <v>10</v>
      </c>
      <c r="F7088" s="1" t="str">
        <f>"10.107.119.76"</f>
        <v>10.107.119.76</v>
      </c>
      <c r="G7088" s="1" t="str">
        <f>"0329X651"</f>
        <v>0329X651</v>
      </c>
      <c r="H7088" s="1" t="str">
        <f>"공덕지 39R6L1"</f>
        <v>공덕지 39R6L1</v>
      </c>
      <c r="I7088" s="1" t="s">
        <v>8</v>
      </c>
      <c r="J7088" s="1" t="str">
        <f>"22/28"</f>
        <v>22/28</v>
      </c>
      <c r="K7088" s="1" t="str">
        <f>"2026-07-29 13:18:03"</f>
        <v>2026-07-29 13:18:03</v>
      </c>
      <c r="L7088" s="1" t="str">
        <f>"2014-12-12 11:43:11"</f>
        <v>2014-12-12 11:43:11</v>
      </c>
      <c r="M7088" s="1" t="s">
        <v>45</v>
      </c>
      <c r="N7088" s="1" t="s">
        <v>38</v>
      </c>
      <c r="O7088" s="1" t="s">
        <v>46</v>
      </c>
    </row>
    <row r="7089" spans="2:15" x14ac:dyDescent="0.3">
      <c r="B7089" s="1" t="s">
        <v>22</v>
      </c>
      <c r="C7089" s="1" t="str">
        <f>"3차"</f>
        <v>3차</v>
      </c>
      <c r="D7089" s="1" t="str">
        <f>"0329X66239"</f>
        <v>0329X66239</v>
      </c>
      <c r="E7089" s="1" t="s">
        <v>10</v>
      </c>
      <c r="F7089" s="1" t="str">
        <f>"10.14.9.192"</f>
        <v>10.14.9.192</v>
      </c>
      <c r="G7089" s="1" t="str">
        <f>"0329X662"</f>
        <v>0329X662</v>
      </c>
      <c r="H7089" s="1" t="str">
        <f>"공덕지 39R6"</f>
        <v>공덕지 39R6</v>
      </c>
      <c r="I7089" s="1" t="s">
        <v>8</v>
      </c>
      <c r="J7089" s="1" t="str">
        <f>"32/32"</f>
        <v>32/32</v>
      </c>
      <c r="K7089" s="1" t="str">
        <f>"2026-07-29 13:18:04"</f>
        <v>2026-07-29 13:18:04</v>
      </c>
      <c r="L7089" s="1" t="str">
        <f>"2018-04-20 11:35:42"</f>
        <v>2018-04-20 11:35:42</v>
      </c>
      <c r="M7089" s="1" t="s">
        <v>3</v>
      </c>
      <c r="N7089" s="1" t="s">
        <v>38</v>
      </c>
      <c r="O7089" s="1" t="s">
        <v>46</v>
      </c>
    </row>
    <row r="7090" spans="2:15" x14ac:dyDescent="0.3">
      <c r="B7090" s="1" t="s">
        <v>22</v>
      </c>
      <c r="C7090" s="1" t="str">
        <f>"1차"</f>
        <v>1차</v>
      </c>
      <c r="D7090" s="1" t="str">
        <f>"0329X68100"</f>
        <v>0329X68100</v>
      </c>
      <c r="E7090" s="1" t="s">
        <v>10</v>
      </c>
      <c r="F7090" s="1" t="str">
        <f>"10.107.119.77"</f>
        <v>10.107.119.77</v>
      </c>
      <c r="G7090" s="1" t="str">
        <f>"0329X681"</f>
        <v>0329X681</v>
      </c>
      <c r="H7090" s="1" t="str">
        <f>"공덕지 35R4"</f>
        <v>공덕지 35R4</v>
      </c>
      <c r="I7090" s="1" t="s">
        <v>8</v>
      </c>
      <c r="J7090" s="1" t="str">
        <f>"53/53"</f>
        <v>53/53</v>
      </c>
      <c r="K7090" s="1" t="str">
        <f>"2026-07-29 13:18:03"</f>
        <v>2026-07-29 13:18:03</v>
      </c>
      <c r="L7090" s="1" t="str">
        <f>"2014-12-10 12:13:08"</f>
        <v>2014-12-10 12:13:08</v>
      </c>
      <c r="M7090" s="1" t="s">
        <v>45</v>
      </c>
      <c r="N7090" s="1" t="s">
        <v>38</v>
      </c>
      <c r="O7090" s="1" t="s">
        <v>46</v>
      </c>
    </row>
    <row r="7091" spans="2:15" x14ac:dyDescent="0.3">
      <c r="B7091" s="1" t="s">
        <v>22</v>
      </c>
      <c r="C7091" s="1" t="str">
        <f>"1차"</f>
        <v>1차</v>
      </c>
      <c r="D7091" s="1" t="str">
        <f>"0329X74401"</f>
        <v>0329X74401</v>
      </c>
      <c r="E7091" s="1" t="s">
        <v>10</v>
      </c>
      <c r="F7091" s="1" t="str">
        <f>"10.12.131.145"</f>
        <v>10.12.131.145</v>
      </c>
      <c r="G7091" s="1" t="str">
        <f>"0329X744"</f>
        <v>0329X744</v>
      </c>
      <c r="H7091" s="1" t="str">
        <f>"공덕지 46"</f>
        <v>공덕지 46</v>
      </c>
      <c r="I7091" s="1" t="s">
        <v>8</v>
      </c>
      <c r="J7091" s="1" t="str">
        <f>"108/108"</f>
        <v>108/108</v>
      </c>
      <c r="K7091" s="1" t="str">
        <f>"2026-07-29 13:18:03"</f>
        <v>2026-07-29 13:18:03</v>
      </c>
      <c r="L7091" s="1" t="str">
        <f>"2014-12-12 11:57:56"</f>
        <v>2014-12-12 11:57:56</v>
      </c>
      <c r="M7091" s="1" t="s">
        <v>0</v>
      </c>
      <c r="N7091" s="1" t="s">
        <v>38</v>
      </c>
      <c r="O7091" s="1" t="s">
        <v>46</v>
      </c>
    </row>
    <row r="7092" spans="2:15" x14ac:dyDescent="0.3">
      <c r="B7092" s="1" t="s">
        <v>22</v>
      </c>
      <c r="C7092" s="1" t="str">
        <f>"6차"</f>
        <v>6차</v>
      </c>
      <c r="D7092" s="1" t="str">
        <f>"0329X7516S"</f>
        <v>0329X7516S</v>
      </c>
      <c r="E7092" s="1" t="s">
        <v>10</v>
      </c>
      <c r="F7092" s="1" t="str">
        <f>"fde1:103:4:93f9:0:0:0:2"</f>
        <v>fde1:103:4:93f9:0:0:0:2</v>
      </c>
      <c r="G7092" s="1" t="str">
        <f>"0329X751"</f>
        <v>0329X751</v>
      </c>
      <c r="H7092" s="1" t="str">
        <f>"공덕지 39R2"</f>
        <v>공덕지 39R2</v>
      </c>
      <c r="I7092" s="1" t="s">
        <v>15</v>
      </c>
      <c r="J7092" s="1" t="str">
        <f>"26/28"</f>
        <v>26/28</v>
      </c>
      <c r="K7092" s="1" t="str">
        <f>"2026-07-29 14:20:43"</f>
        <v>2026-07-29 14:20:43</v>
      </c>
      <c r="L7092" s="1" t="str">
        <f>"2025-01-22 17:54:38"</f>
        <v>2025-01-22 17:54:38</v>
      </c>
      <c r="M7092" s="1" t="s">
        <v>4</v>
      </c>
      <c r="N7092" s="1" t="s">
        <v>38</v>
      </c>
      <c r="O7092" s="1" t="s">
        <v>46</v>
      </c>
    </row>
    <row r="7093" spans="2:15" x14ac:dyDescent="0.3">
      <c r="B7093" s="1" t="s">
        <v>22</v>
      </c>
      <c r="C7093" s="1" t="str">
        <f>"6차"</f>
        <v>6차</v>
      </c>
      <c r="D7093" s="1" t="str">
        <f>"0329X7636S"</f>
        <v>0329X7636S</v>
      </c>
      <c r="E7093" s="1" t="s">
        <v>10</v>
      </c>
      <c r="F7093" s="1" t="str">
        <f>"fde1:103:4:c6cb:0:0:0:2"</f>
        <v>fde1:103:4:c6cb:0:0:0:2</v>
      </c>
      <c r="G7093" s="1" t="str">
        <f>"0329X763"</f>
        <v>0329X763</v>
      </c>
      <c r="H7093" s="1" t="str">
        <f>"공덕지 35R2L4"</f>
        <v>공덕지 35R2L4</v>
      </c>
      <c r="I7093" s="1" t="s">
        <v>15</v>
      </c>
      <c r="J7093" s="1" t="str">
        <f>"46/46"</f>
        <v>46/46</v>
      </c>
      <c r="K7093" s="1" t="str">
        <f>"2026-07-29 14:20:20"</f>
        <v>2026-07-29 14:20:20</v>
      </c>
      <c r="L7093" s="1" t="str">
        <f>"2024-12-06 11:24:28"</f>
        <v>2024-12-06 11:24:28</v>
      </c>
      <c r="M7093" s="1" t="s">
        <v>4</v>
      </c>
      <c r="N7093" s="1" t="s">
        <v>38</v>
      </c>
      <c r="O7093" s="1" t="s">
        <v>46</v>
      </c>
    </row>
    <row r="7094" spans="2:15" x14ac:dyDescent="0.3">
      <c r="B7094" s="1" t="s">
        <v>22</v>
      </c>
      <c r="C7094" s="1" t="str">
        <f>"6차"</f>
        <v>6차</v>
      </c>
      <c r="D7094" s="1" t="str">
        <f>"0329X7656S"</f>
        <v>0329X7656S</v>
      </c>
      <c r="E7094" s="1" t="s">
        <v>10</v>
      </c>
      <c r="F7094" s="1" t="str">
        <f>"fde1:103:4:9444:0:0:0:2"</f>
        <v>fde1:103:4:9444:0:0:0:2</v>
      </c>
      <c r="G7094" s="1" t="str">
        <f>"0329X765"</f>
        <v>0329X765</v>
      </c>
      <c r="H7094" s="1" t="str">
        <f>"공덕지 35R2L5"</f>
        <v>공덕지 35R2L5</v>
      </c>
      <c r="I7094" s="1" t="s">
        <v>15</v>
      </c>
      <c r="J7094" s="1" t="str">
        <f>"21/21"</f>
        <v>21/21</v>
      </c>
      <c r="K7094" s="1" t="str">
        <f>"2026-07-29 14:21:04"</f>
        <v>2026-07-29 14:21:04</v>
      </c>
      <c r="L7094" s="1" t="str">
        <f>"2025-01-22 18:04:12"</f>
        <v>2025-01-22 18:04:12</v>
      </c>
      <c r="M7094" s="1" t="s">
        <v>4</v>
      </c>
      <c r="N7094" s="1" t="s">
        <v>38</v>
      </c>
      <c r="O7094" s="1" t="s">
        <v>46</v>
      </c>
    </row>
    <row r="7095" spans="2:15" x14ac:dyDescent="0.3">
      <c r="B7095" s="1" t="s">
        <v>22</v>
      </c>
      <c r="C7095" s="1" t="str">
        <f>"4차"</f>
        <v>4차</v>
      </c>
      <c r="D7095" s="1" t="str">
        <f>"0329X77144"</f>
        <v>0329X77144</v>
      </c>
      <c r="E7095" s="1" t="s">
        <v>10</v>
      </c>
      <c r="F7095" s="1" t="str">
        <f>"10.107.119.78"</f>
        <v>10.107.119.78</v>
      </c>
      <c r="G7095" s="1" t="str">
        <f>"0329X771"</f>
        <v>0329X771</v>
      </c>
      <c r="H7095" s="1" t="str">
        <f>"공덕지 35R2L2"</f>
        <v>공덕지 35R2L2</v>
      </c>
      <c r="I7095" s="1" t="s">
        <v>8</v>
      </c>
      <c r="J7095" s="1" t="str">
        <f>"47/51"</f>
        <v>47/51</v>
      </c>
      <c r="K7095" s="1" t="str">
        <f>"2026-07-29 13:18:03"</f>
        <v>2026-07-29 13:18:03</v>
      </c>
      <c r="L7095" s="1" t="str">
        <f>"2020-01-10 11:27:20"</f>
        <v>2020-01-10 11:27:20</v>
      </c>
      <c r="M7095" s="1" t="s">
        <v>45</v>
      </c>
      <c r="N7095" s="1" t="s">
        <v>38</v>
      </c>
      <c r="O7095" s="1" t="s">
        <v>46</v>
      </c>
    </row>
    <row r="7096" spans="2:15" x14ac:dyDescent="0.3">
      <c r="B7096" s="1" t="s">
        <v>22</v>
      </c>
      <c r="C7096" s="1" t="str">
        <f>"4차"</f>
        <v>4차</v>
      </c>
      <c r="D7096" s="1" t="str">
        <f>"0329X78144"</f>
        <v>0329X78144</v>
      </c>
      <c r="E7096" s="1" t="s">
        <v>10</v>
      </c>
      <c r="F7096" s="1" t="str">
        <f>"10.107.119.79"</f>
        <v>10.107.119.79</v>
      </c>
      <c r="G7096" s="1" t="str">
        <f>"0329X781"</f>
        <v>0329X781</v>
      </c>
      <c r="H7096" s="1" t="str">
        <f>"공덕지 35R2"</f>
        <v>공덕지 35R2</v>
      </c>
      <c r="I7096" s="1" t="s">
        <v>8</v>
      </c>
      <c r="J7096" s="1" t="str">
        <f>"12/12"</f>
        <v>12/12</v>
      </c>
      <c r="K7096" s="1" t="str">
        <f>"2026-07-29 13:18:03"</f>
        <v>2026-07-29 13:18:03</v>
      </c>
      <c r="L7096" s="1" t="str">
        <f>"2020-01-10 11:24:31"</f>
        <v>2020-01-10 11:24:31</v>
      </c>
      <c r="M7096" s="1" t="s">
        <v>45</v>
      </c>
      <c r="N7096" s="1" t="s">
        <v>38</v>
      </c>
      <c r="O7096" s="1" t="s">
        <v>46</v>
      </c>
    </row>
    <row r="7097" spans="2:15" x14ac:dyDescent="0.3">
      <c r="B7097" s="1" t="s">
        <v>22</v>
      </c>
      <c r="C7097" s="1" t="str">
        <f t="shared" ref="C7097:C7103" si="350">"1차"</f>
        <v>1차</v>
      </c>
      <c r="D7097" s="1" t="str">
        <f>"0329X84401"</f>
        <v>0329X84401</v>
      </c>
      <c r="E7097" s="1" t="s">
        <v>10</v>
      </c>
      <c r="F7097" s="1" t="str">
        <f>"10.12.129.77"</f>
        <v>10.12.129.77</v>
      </c>
      <c r="G7097" s="1" t="str">
        <f>"0329X844"</f>
        <v>0329X844</v>
      </c>
      <c r="H7097" s="1" t="str">
        <f>"공덕지 41"</f>
        <v>공덕지 41</v>
      </c>
      <c r="I7097" s="1" t="s">
        <v>8</v>
      </c>
      <c r="J7097" s="1" t="str">
        <f>"6/6"</f>
        <v>6/6</v>
      </c>
      <c r="K7097" s="1" t="str">
        <f>"2026-07-29 13:18:03"</f>
        <v>2026-07-29 13:18:03</v>
      </c>
      <c r="L7097" s="1" t="str">
        <f>"2014-12-12 11:58:19"</f>
        <v>2014-12-12 11:58:19</v>
      </c>
      <c r="M7097" s="1" t="s">
        <v>0</v>
      </c>
      <c r="N7097" s="1" t="s">
        <v>38</v>
      </c>
      <c r="O7097" s="1" t="s">
        <v>46</v>
      </c>
    </row>
    <row r="7098" spans="2:15" x14ac:dyDescent="0.3">
      <c r="B7098" s="1" t="s">
        <v>22</v>
      </c>
      <c r="C7098" s="1" t="str">
        <f t="shared" si="350"/>
        <v>1차</v>
      </c>
      <c r="D7098" s="1" t="str">
        <f>"0329X85400"</f>
        <v>0329X85400</v>
      </c>
      <c r="E7098" s="1" t="s">
        <v>10</v>
      </c>
      <c r="F7098" s="1" t="str">
        <f>"10.107.119.80"</f>
        <v>10.107.119.80</v>
      </c>
      <c r="G7098" s="1" t="str">
        <f>"0329X854"</f>
        <v>0329X854</v>
      </c>
      <c r="H7098" s="1" t="str">
        <f>"공덕지 39"</f>
        <v>공덕지 39</v>
      </c>
      <c r="I7098" s="1" t="s">
        <v>8</v>
      </c>
      <c r="J7098" s="1" t="str">
        <f>"11/11"</f>
        <v>11/11</v>
      </c>
      <c r="K7098" s="1" t="str">
        <f>"2026-07-29 13:18:02"</f>
        <v>2026-07-29 13:18:02</v>
      </c>
      <c r="L7098" s="1" t="str">
        <f>"2014-12-10 11:13:06"</f>
        <v>2014-12-10 11:13:06</v>
      </c>
      <c r="M7098" s="1" t="s">
        <v>45</v>
      </c>
      <c r="N7098" s="1" t="s">
        <v>38</v>
      </c>
      <c r="O7098" s="1" t="s">
        <v>46</v>
      </c>
    </row>
    <row r="7099" spans="2:15" x14ac:dyDescent="0.3">
      <c r="B7099" s="1" t="s">
        <v>22</v>
      </c>
      <c r="C7099" s="1" t="str">
        <f t="shared" si="350"/>
        <v>1차</v>
      </c>
      <c r="D7099" s="1" t="str">
        <f>"0329X87101"</f>
        <v>0329X87101</v>
      </c>
      <c r="E7099" s="1" t="s">
        <v>14</v>
      </c>
      <c r="F7099" s="1" t="str">
        <f>"10.107.130.50"</f>
        <v>10.107.130.50</v>
      </c>
      <c r="G7099" s="1" t="str">
        <f>"0329X871"</f>
        <v>0329X871</v>
      </c>
      <c r="H7099" s="1" t="str">
        <f>"공덕지 36R1"</f>
        <v>공덕지 36R1</v>
      </c>
      <c r="I7099" s="1" t="s">
        <v>8</v>
      </c>
      <c r="J7099" s="1" t="str">
        <f>"0/0"</f>
        <v>0/0</v>
      </c>
      <c r="K7099" s="1" t="str">
        <f>"2024-10-04 07:21:02"</f>
        <v>2024-10-04 07:21:02</v>
      </c>
      <c r="L7099" s="1" t="str">
        <f>"2014-12-13 00:13:41"</f>
        <v>2014-12-13 00:13:41</v>
      </c>
      <c r="M7099" s="1" t="s">
        <v>45</v>
      </c>
      <c r="N7099" s="1" t="s">
        <v>44</v>
      </c>
      <c r="O7099" s="1" t="s">
        <v>44</v>
      </c>
    </row>
    <row r="7100" spans="2:15" x14ac:dyDescent="0.3">
      <c r="B7100" s="1" t="s">
        <v>22</v>
      </c>
      <c r="C7100" s="1" t="str">
        <f t="shared" si="350"/>
        <v>1차</v>
      </c>
      <c r="D7100" s="1" t="str">
        <f>"0329X87400"</f>
        <v>0329X87400</v>
      </c>
      <c r="E7100" s="1" t="s">
        <v>10</v>
      </c>
      <c r="F7100" s="1" t="str">
        <f>"10.107.119.93"</f>
        <v>10.107.119.93</v>
      </c>
      <c r="G7100" s="1" t="str">
        <f>"0329X874"</f>
        <v>0329X874</v>
      </c>
      <c r="H7100" s="1" t="str">
        <f>"공덕지 36"</f>
        <v>공덕지 36</v>
      </c>
      <c r="I7100" s="1" t="s">
        <v>8</v>
      </c>
      <c r="J7100" s="1" t="str">
        <f>"4/4"</f>
        <v>4/4</v>
      </c>
      <c r="K7100" s="1" t="str">
        <f t="shared" ref="K7100:K7106" si="351">"2026-07-29 13:18:03"</f>
        <v>2026-07-29 13:18:03</v>
      </c>
      <c r="L7100" s="1" t="str">
        <f>"2014-12-12 10:28:11"</f>
        <v>2014-12-12 10:28:11</v>
      </c>
      <c r="M7100" s="1" t="s">
        <v>45</v>
      </c>
      <c r="N7100" s="1" t="s">
        <v>38</v>
      </c>
      <c r="O7100" s="1" t="s">
        <v>46</v>
      </c>
    </row>
    <row r="7101" spans="2:15" x14ac:dyDescent="0.3">
      <c r="B7101" s="1" t="s">
        <v>22</v>
      </c>
      <c r="C7101" s="1" t="str">
        <f t="shared" si="350"/>
        <v>1차</v>
      </c>
      <c r="D7101" s="1" t="str">
        <f>"0329X94101"</f>
        <v>0329X94101</v>
      </c>
      <c r="E7101" s="1" t="s">
        <v>10</v>
      </c>
      <c r="F7101" s="1" t="str">
        <f>"10.107.249.166"</f>
        <v>10.107.249.166</v>
      </c>
      <c r="G7101" s="1" t="str">
        <f>"0329X941"</f>
        <v>0329X941</v>
      </c>
      <c r="H7101" s="1" t="str">
        <f>"공릉지 58R1L1L1"</f>
        <v>공릉지 58R1L1L1</v>
      </c>
      <c r="I7101" s="1" t="s">
        <v>8</v>
      </c>
      <c r="J7101" s="1" t="str">
        <f>"30/30"</f>
        <v>30/30</v>
      </c>
      <c r="K7101" s="1" t="str">
        <f t="shared" si="351"/>
        <v>2026-07-29 13:18:03</v>
      </c>
      <c r="L7101" s="1" t="str">
        <f>"2014-12-11 10:12:53"</f>
        <v>2014-12-11 10:12:53</v>
      </c>
      <c r="M7101" s="1" t="s">
        <v>45</v>
      </c>
      <c r="N7101" s="1" t="s">
        <v>38</v>
      </c>
      <c r="O7101" s="1" t="s">
        <v>46</v>
      </c>
    </row>
    <row r="7102" spans="2:15" x14ac:dyDescent="0.3">
      <c r="B7102" s="1" t="s">
        <v>22</v>
      </c>
      <c r="C7102" s="1" t="str">
        <f t="shared" si="350"/>
        <v>1차</v>
      </c>
      <c r="D7102" s="1" t="str">
        <f>"0329X94201"</f>
        <v>0329X94201</v>
      </c>
      <c r="E7102" s="1" t="s">
        <v>10</v>
      </c>
      <c r="F7102" s="1" t="str">
        <f>"10.107.249.167"</f>
        <v>10.107.249.167</v>
      </c>
      <c r="G7102" s="1" t="str">
        <f>"0329X942"</f>
        <v>0329X942</v>
      </c>
      <c r="H7102" s="1" t="str">
        <f>"공릉지 58R1L3"</f>
        <v>공릉지 58R1L3</v>
      </c>
      <c r="I7102" s="1" t="s">
        <v>8</v>
      </c>
      <c r="J7102" s="1" t="str">
        <f>"27/27"</f>
        <v>27/27</v>
      </c>
      <c r="K7102" s="1" t="str">
        <f t="shared" si="351"/>
        <v>2026-07-29 13:18:03</v>
      </c>
      <c r="L7102" s="1" t="str">
        <f>"2014-12-11 10:12:55"</f>
        <v>2014-12-11 10:12:55</v>
      </c>
      <c r="M7102" s="1" t="s">
        <v>45</v>
      </c>
      <c r="N7102" s="1" t="s">
        <v>38</v>
      </c>
      <c r="O7102" s="1" t="s">
        <v>46</v>
      </c>
    </row>
    <row r="7103" spans="2:15" x14ac:dyDescent="0.3">
      <c r="B7103" s="1" t="s">
        <v>22</v>
      </c>
      <c r="C7103" s="1" t="str">
        <f t="shared" si="350"/>
        <v>1차</v>
      </c>
      <c r="D7103" s="1" t="str">
        <f>"0329X94400"</f>
        <v>0329X94400</v>
      </c>
      <c r="E7103" s="1" t="s">
        <v>10</v>
      </c>
      <c r="F7103" s="1" t="str">
        <f>"10.107.249.165"</f>
        <v>10.107.249.165</v>
      </c>
      <c r="G7103" s="1" t="str">
        <f>"0329X944"</f>
        <v>0329X944</v>
      </c>
      <c r="H7103" s="1" t="str">
        <f>"공릉지 58R1L1"</f>
        <v>공릉지 58R1L1</v>
      </c>
      <c r="I7103" s="1" t="s">
        <v>8</v>
      </c>
      <c r="J7103" s="1" t="str">
        <f>"9/9"</f>
        <v>9/9</v>
      </c>
      <c r="K7103" s="1" t="str">
        <f t="shared" si="351"/>
        <v>2026-07-29 13:18:03</v>
      </c>
      <c r="L7103" s="1" t="str">
        <f>"2015-02-09 10:40:18"</f>
        <v>2015-02-09 10:40:18</v>
      </c>
      <c r="M7103" s="1" t="s">
        <v>45</v>
      </c>
      <c r="N7103" s="1" t="s">
        <v>38</v>
      </c>
      <c r="O7103" s="1" t="s">
        <v>46</v>
      </c>
    </row>
    <row r="7104" spans="2:15" x14ac:dyDescent="0.3">
      <c r="B7104" s="1" t="s">
        <v>22</v>
      </c>
      <c r="C7104" s="1" t="str">
        <f>"4차"</f>
        <v>4차</v>
      </c>
      <c r="D7104" s="1" t="str">
        <f>"0329X96142"</f>
        <v>0329X96142</v>
      </c>
      <c r="E7104" s="1" t="s">
        <v>10</v>
      </c>
      <c r="F7104" s="1" t="str">
        <f>"10.107.249.180"</f>
        <v>10.107.249.180</v>
      </c>
      <c r="G7104" s="1" t="str">
        <f>"0329X961"</f>
        <v>0329X961</v>
      </c>
      <c r="H7104" s="1" t="str">
        <f>"공릉지 60"</f>
        <v>공릉지 60</v>
      </c>
      <c r="I7104" s="1" t="s">
        <v>8</v>
      </c>
      <c r="J7104" s="1" t="str">
        <f>"23/24"</f>
        <v>23/24</v>
      </c>
      <c r="K7104" s="1" t="str">
        <f t="shared" si="351"/>
        <v>2026-07-29 13:18:03</v>
      </c>
      <c r="L7104" s="1" t="str">
        <f>"2025-01-02 12:36:09"</f>
        <v>2025-01-02 12:36:09</v>
      </c>
      <c r="M7104" s="1" t="s">
        <v>45</v>
      </c>
      <c r="N7104" s="1" t="s">
        <v>38</v>
      </c>
      <c r="O7104" s="1" t="s">
        <v>46</v>
      </c>
    </row>
    <row r="7105" spans="2:15" x14ac:dyDescent="0.3">
      <c r="B7105" s="1" t="s">
        <v>22</v>
      </c>
      <c r="C7105" s="1" t="str">
        <f>"4차"</f>
        <v>4차</v>
      </c>
      <c r="D7105" s="1" t="str">
        <f>"0329X96244"</f>
        <v>0329X96244</v>
      </c>
      <c r="E7105" s="1" t="s">
        <v>10</v>
      </c>
      <c r="F7105" s="1" t="str">
        <f>"10.107.251.62"</f>
        <v>10.107.251.62</v>
      </c>
      <c r="G7105" s="1" t="str">
        <f>"0329X962"</f>
        <v>0329X962</v>
      </c>
      <c r="H7105" s="1" t="str">
        <f>"공릉지 60R1"</f>
        <v>공릉지 60R1</v>
      </c>
      <c r="I7105" s="1" t="s">
        <v>8</v>
      </c>
      <c r="J7105" s="1" t="str">
        <f>"81/81"</f>
        <v>81/81</v>
      </c>
      <c r="K7105" s="1" t="str">
        <f t="shared" si="351"/>
        <v>2026-07-29 13:18:03</v>
      </c>
      <c r="L7105" s="1" t="str">
        <f>"2023-08-24 18:03:21"</f>
        <v>2023-08-24 18:03:21</v>
      </c>
      <c r="M7105" s="1" t="s">
        <v>45</v>
      </c>
      <c r="N7105" s="1" t="s">
        <v>38</v>
      </c>
      <c r="O7105" s="1" t="s">
        <v>46</v>
      </c>
    </row>
    <row r="7106" spans="2:15" x14ac:dyDescent="0.3">
      <c r="B7106" s="1" t="s">
        <v>22</v>
      </c>
      <c r="C7106" s="1" t="str">
        <f>"4차"</f>
        <v>4차</v>
      </c>
      <c r="D7106" s="1" t="str">
        <f>"0329X97139"</f>
        <v>0329X97139</v>
      </c>
      <c r="E7106" s="1" t="s">
        <v>10</v>
      </c>
      <c r="F7106" s="1" t="str">
        <f>"10.14.11.50"</f>
        <v>10.14.11.50</v>
      </c>
      <c r="G7106" s="1" t="str">
        <f>"0329X971"</f>
        <v>0329X971</v>
      </c>
      <c r="H7106" s="1" t="str">
        <f>"공릉지 64R2L1"</f>
        <v>공릉지 64R2L1</v>
      </c>
      <c r="I7106" s="1" t="s">
        <v>8</v>
      </c>
      <c r="J7106" s="1" t="str">
        <f>"43/65"</f>
        <v>43/65</v>
      </c>
      <c r="K7106" s="1" t="str">
        <f t="shared" si="351"/>
        <v>2026-07-29 13:18:03</v>
      </c>
      <c r="L7106" s="1" t="str">
        <f>"2018-10-01 14:58:13"</f>
        <v>2018-10-01 14:58:13</v>
      </c>
      <c r="M7106" s="1" t="s">
        <v>3</v>
      </c>
      <c r="N7106" s="1" t="s">
        <v>38</v>
      </c>
      <c r="O7106" s="1" t="s">
        <v>46</v>
      </c>
    </row>
    <row r="7107" spans="2:15" x14ac:dyDescent="0.3">
      <c r="B7107" s="1" t="s">
        <v>22</v>
      </c>
      <c r="C7107" s="1" t="str">
        <f>"6차"</f>
        <v>6차</v>
      </c>
      <c r="D7107" s="1" t="str">
        <f>"0329X9946S"</f>
        <v>0329X9946S</v>
      </c>
      <c r="E7107" s="1" t="s">
        <v>10</v>
      </c>
      <c r="F7107" s="1" t="str">
        <f>"fde1:103:4:92fe:0:0:0:2"</f>
        <v>fde1:103:4:92fe:0:0:0:2</v>
      </c>
      <c r="G7107" s="1" t="str">
        <f>"0329X994"</f>
        <v>0329X994</v>
      </c>
      <c r="H7107" s="1" t="str">
        <f>"공릉지 64R5L2"</f>
        <v>공릉지 64R5L2</v>
      </c>
      <c r="I7107" s="1" t="s">
        <v>15</v>
      </c>
      <c r="J7107" s="1" t="str">
        <f>"45/45"</f>
        <v>45/45</v>
      </c>
      <c r="K7107" s="1" t="str">
        <f>"2026-07-29 14:20:45"</f>
        <v>2026-07-29 14:20:45</v>
      </c>
      <c r="L7107" s="1" t="str">
        <f>"2025-01-22 17:54:26"</f>
        <v>2025-01-22 17:54:26</v>
      </c>
      <c r="M7107" s="1" t="s">
        <v>4</v>
      </c>
      <c r="N7107" s="1" t="s">
        <v>38</v>
      </c>
      <c r="O7107" s="1" t="s">
        <v>46</v>
      </c>
    </row>
    <row r="7108" spans="2:15" x14ac:dyDescent="0.3">
      <c r="B7108" s="1" t="s">
        <v>22</v>
      </c>
      <c r="C7108" s="1" t="str">
        <f>"4차"</f>
        <v>4차</v>
      </c>
      <c r="D7108" s="1" t="str">
        <f>"0329Y64241"</f>
        <v>0329Y64241</v>
      </c>
      <c r="E7108" s="1" t="s">
        <v>10</v>
      </c>
      <c r="F7108" s="1" t="str">
        <f>"10.14.7.41"</f>
        <v>10.14.7.41</v>
      </c>
      <c r="G7108" s="1" t="str">
        <f>"0329Y642"</f>
        <v>0329Y642</v>
      </c>
      <c r="H7108" s="1" t="str">
        <f>"화랑간 67L17R7R3"</f>
        <v>화랑간 67L17R7R3</v>
      </c>
      <c r="I7108" s="1" t="s">
        <v>17</v>
      </c>
      <c r="J7108" s="1" t="str">
        <f>"20/20"</f>
        <v>20/20</v>
      </c>
      <c r="K7108" s="1" t="str">
        <f>"2026-07-29 13:18:04"</f>
        <v>2026-07-29 13:18:04</v>
      </c>
      <c r="L7108" s="1" t="str">
        <f>"2021-08-06 07:46:19"</f>
        <v>2021-08-06 07:46:19</v>
      </c>
      <c r="M7108" s="1" t="s">
        <v>3</v>
      </c>
      <c r="N7108" s="1" t="s">
        <v>38</v>
      </c>
      <c r="O7108" s="1" t="s">
        <v>46</v>
      </c>
    </row>
    <row r="7109" spans="2:15" x14ac:dyDescent="0.3">
      <c r="B7109" s="1" t="s">
        <v>22</v>
      </c>
      <c r="C7109" s="1" t="str">
        <f>"4차"</f>
        <v>4차</v>
      </c>
      <c r="D7109" s="1" t="str">
        <f>"0329Y68344"</f>
        <v>0329Y68344</v>
      </c>
      <c r="E7109" s="1" t="s">
        <v>10</v>
      </c>
      <c r="F7109" s="1" t="str">
        <f>"10.107.120.108"</f>
        <v>10.107.120.108</v>
      </c>
      <c r="G7109" s="1" t="str">
        <f>"0329Y683"</f>
        <v>0329Y683</v>
      </c>
      <c r="H7109" s="1" t="str">
        <f>"화랑간 67L17R4"</f>
        <v>화랑간 67L17R4</v>
      </c>
      <c r="I7109" s="1" t="s">
        <v>8</v>
      </c>
      <c r="J7109" s="1" t="str">
        <f>"53/53"</f>
        <v>53/53</v>
      </c>
      <c r="K7109" s="1" t="str">
        <f>"2026-07-29 13:18:03"</f>
        <v>2026-07-29 13:18:03</v>
      </c>
      <c r="L7109" s="1" t="str">
        <f>"2020-01-10 11:44:09"</f>
        <v>2020-01-10 11:44:09</v>
      </c>
      <c r="M7109" s="1" t="s">
        <v>45</v>
      </c>
      <c r="N7109" s="1" t="s">
        <v>38</v>
      </c>
      <c r="O7109" s="1" t="s">
        <v>46</v>
      </c>
    </row>
    <row r="7110" spans="2:15" x14ac:dyDescent="0.3">
      <c r="B7110" s="1" t="s">
        <v>22</v>
      </c>
      <c r="C7110" s="1" t="str">
        <f>"6차"</f>
        <v>6차</v>
      </c>
      <c r="D7110" s="1" t="str">
        <f>"0329Y7416S"</f>
        <v>0329Y7416S</v>
      </c>
      <c r="E7110" s="1" t="s">
        <v>10</v>
      </c>
      <c r="F7110" s="1" t="str">
        <f>"fde1:103:4:c706:0:0:0:2"</f>
        <v>fde1:103:4:c706:0:0:0:2</v>
      </c>
      <c r="G7110" s="1" t="str">
        <f>"0329Y741"</f>
        <v>0329Y741</v>
      </c>
      <c r="H7110" s="1" t="str">
        <f>"화랑간 67L17R9"</f>
        <v>화랑간 67L17R9</v>
      </c>
      <c r="I7110" s="1" t="s">
        <v>15</v>
      </c>
      <c r="J7110" s="1" t="str">
        <f>"51/52"</f>
        <v>51/52</v>
      </c>
      <c r="K7110" s="1" t="str">
        <f>"2026-07-29 14:20:43"</f>
        <v>2026-07-29 14:20:43</v>
      </c>
      <c r="L7110" s="1" t="str">
        <f>"2025-01-17 17:34:24"</f>
        <v>2025-01-17 17:34:24</v>
      </c>
      <c r="M7110" s="1" t="s">
        <v>4</v>
      </c>
      <c r="N7110" s="1" t="s">
        <v>38</v>
      </c>
      <c r="O7110" s="1" t="s">
        <v>46</v>
      </c>
    </row>
    <row r="7111" spans="2:15" x14ac:dyDescent="0.3">
      <c r="B7111" s="1" t="s">
        <v>22</v>
      </c>
      <c r="C7111" s="1" t="str">
        <f>"4차"</f>
        <v>4차</v>
      </c>
      <c r="D7111" s="1" t="str">
        <f>"0329Y74241"</f>
        <v>0329Y74241</v>
      </c>
      <c r="E7111" s="1" t="s">
        <v>10</v>
      </c>
      <c r="F7111" s="1" t="str">
        <f>"10.14.4.113"</f>
        <v>10.14.4.113</v>
      </c>
      <c r="G7111" s="1" t="str">
        <f>"0329Y742"</f>
        <v>0329Y742</v>
      </c>
      <c r="H7111" s="1" t="str">
        <f>"화랑간 67L17R10H1"</f>
        <v>화랑간 67L17R10H1</v>
      </c>
      <c r="I7111" s="1" t="s">
        <v>17</v>
      </c>
      <c r="J7111" s="1" t="str">
        <f>"2/2"</f>
        <v>2/2</v>
      </c>
      <c r="K7111" s="1" t="str">
        <f>"2026-07-29 13:18:04"</f>
        <v>2026-07-29 13:18:04</v>
      </c>
      <c r="L7111" s="1" t="str">
        <f>"2021-08-06 06:59:07"</f>
        <v>2021-08-06 06:59:07</v>
      </c>
      <c r="M7111" s="1" t="s">
        <v>3</v>
      </c>
      <c r="N7111" s="1" t="s">
        <v>38</v>
      </c>
      <c r="O7111" s="1" t="s">
        <v>46</v>
      </c>
    </row>
    <row r="7112" spans="2:15" x14ac:dyDescent="0.3">
      <c r="B7112" s="1" t="s">
        <v>22</v>
      </c>
      <c r="C7112" s="1" t="str">
        <f>"1차"</f>
        <v>1차</v>
      </c>
      <c r="D7112" s="1" t="str">
        <f>"0329Y76400"</f>
        <v>0329Y76400</v>
      </c>
      <c r="E7112" s="1" t="s">
        <v>10</v>
      </c>
      <c r="F7112" s="1" t="str">
        <f>"10.107.120.109"</f>
        <v>10.107.120.109</v>
      </c>
      <c r="G7112" s="1" t="str">
        <f>"0329Y764"</f>
        <v>0329Y764</v>
      </c>
      <c r="H7112" s="1" t="str">
        <f>"화랑간 67L21R2"</f>
        <v>화랑간 67L21R2</v>
      </c>
      <c r="I7112" s="1" t="s">
        <v>8</v>
      </c>
      <c r="J7112" s="1" t="str">
        <f>"54/54"</f>
        <v>54/54</v>
      </c>
      <c r="K7112" s="1" t="str">
        <f>"2026-07-29 13:18:03"</f>
        <v>2026-07-29 13:18:03</v>
      </c>
      <c r="L7112" s="1" t="str">
        <f>"2014-12-26 09:43:32"</f>
        <v>2014-12-26 09:43:32</v>
      </c>
      <c r="M7112" s="1" t="s">
        <v>45</v>
      </c>
      <c r="N7112" s="1" t="s">
        <v>38</v>
      </c>
      <c r="O7112" s="1" t="s">
        <v>46</v>
      </c>
    </row>
    <row r="7113" spans="2:15" x14ac:dyDescent="0.3">
      <c r="B7113" s="1" t="s">
        <v>22</v>
      </c>
      <c r="C7113" s="1" t="str">
        <f>"3차"</f>
        <v>3차</v>
      </c>
      <c r="D7113" s="1" t="str">
        <f>"0329Y79239"</f>
        <v>0329Y79239</v>
      </c>
      <c r="E7113" s="1" t="s">
        <v>10</v>
      </c>
      <c r="F7113" s="1" t="str">
        <f>"10.14.10.189"</f>
        <v>10.14.10.189</v>
      </c>
      <c r="G7113" s="1" t="str">
        <f>"0329Y792"</f>
        <v>0329Y792</v>
      </c>
      <c r="H7113" s="1" t="str">
        <f>"화랑간 67L17R2"</f>
        <v>화랑간 67L17R2</v>
      </c>
      <c r="I7113" s="1" t="s">
        <v>8</v>
      </c>
      <c r="J7113" s="1" t="str">
        <f>"42/42"</f>
        <v>42/42</v>
      </c>
      <c r="K7113" s="1" t="str">
        <f>"2026-07-29 13:18:04"</f>
        <v>2026-07-29 13:18:04</v>
      </c>
      <c r="L7113" s="1" t="str">
        <f>"2018-04-20 08:09:54"</f>
        <v>2018-04-20 08:09:54</v>
      </c>
      <c r="M7113" s="1" t="s">
        <v>3</v>
      </c>
      <c r="N7113" s="1" t="s">
        <v>38</v>
      </c>
      <c r="O7113" s="1" t="s">
        <v>46</v>
      </c>
    </row>
    <row r="7114" spans="2:15" x14ac:dyDescent="0.3">
      <c r="B7114" s="1" t="s">
        <v>22</v>
      </c>
      <c r="C7114" s="1" t="str">
        <f t="shared" ref="C7114:C7129" si="352">"4차"</f>
        <v>4차</v>
      </c>
      <c r="D7114" s="1" t="str">
        <f>"0329Y85344"</f>
        <v>0329Y85344</v>
      </c>
      <c r="E7114" s="1" t="s">
        <v>10</v>
      </c>
      <c r="F7114" s="1" t="str">
        <f>"10.107.120.111"</f>
        <v>10.107.120.111</v>
      </c>
      <c r="G7114" s="1" t="str">
        <f>"0329Y853"</f>
        <v>0329Y853</v>
      </c>
      <c r="H7114" s="1" t="str">
        <f>"화랑간 67L22"</f>
        <v>화랑간 67L22</v>
      </c>
      <c r="I7114" s="1" t="s">
        <v>8</v>
      </c>
      <c r="J7114" s="1" t="str">
        <f>"37/37"</f>
        <v>37/37</v>
      </c>
      <c r="K7114" s="1" t="str">
        <f t="shared" ref="K7114:K7123" si="353">"2026-07-29 13:18:03"</f>
        <v>2026-07-29 13:18:03</v>
      </c>
      <c r="L7114" s="1" t="str">
        <f>"2020-01-10 11:46:44"</f>
        <v>2020-01-10 11:46:44</v>
      </c>
      <c r="M7114" s="1" t="s">
        <v>45</v>
      </c>
      <c r="N7114" s="1" t="s">
        <v>38</v>
      </c>
      <c r="O7114" s="1" t="s">
        <v>46</v>
      </c>
    </row>
    <row r="7115" spans="2:15" x14ac:dyDescent="0.3">
      <c r="B7115" s="1" t="s">
        <v>22</v>
      </c>
      <c r="C7115" s="1" t="str">
        <f t="shared" si="352"/>
        <v>4차</v>
      </c>
      <c r="D7115" s="1" t="str">
        <f>"0329Y86144"</f>
        <v>0329Y86144</v>
      </c>
      <c r="E7115" s="1" t="s">
        <v>10</v>
      </c>
      <c r="F7115" s="1" t="str">
        <f>"10.107.120.112"</f>
        <v>10.107.120.112</v>
      </c>
      <c r="G7115" s="1" t="str">
        <f>"0329Y861"</f>
        <v>0329Y861</v>
      </c>
      <c r="H7115" s="1" t="str">
        <f>"화랑간 67L21"</f>
        <v>화랑간 67L21</v>
      </c>
      <c r="I7115" s="1" t="s">
        <v>8</v>
      </c>
      <c r="J7115" s="1" t="str">
        <f>"32/38"</f>
        <v>32/38</v>
      </c>
      <c r="K7115" s="1" t="str">
        <f t="shared" si="353"/>
        <v>2026-07-29 13:18:03</v>
      </c>
      <c r="L7115" s="1" t="str">
        <f>"2020-01-10 11:46:35"</f>
        <v>2020-01-10 11:46:35</v>
      </c>
      <c r="M7115" s="1" t="s">
        <v>45</v>
      </c>
      <c r="N7115" s="1" t="s">
        <v>38</v>
      </c>
      <c r="O7115" s="1" t="s">
        <v>46</v>
      </c>
    </row>
    <row r="7116" spans="2:15" x14ac:dyDescent="0.3">
      <c r="B7116" s="1" t="s">
        <v>22</v>
      </c>
      <c r="C7116" s="1" t="str">
        <f t="shared" si="352"/>
        <v>4차</v>
      </c>
      <c r="D7116" s="1" t="str">
        <f>"0329Y87344"</f>
        <v>0329Y87344</v>
      </c>
      <c r="E7116" s="1" t="s">
        <v>10</v>
      </c>
      <c r="F7116" s="1" t="str">
        <f>"10.107.251.171"</f>
        <v>10.107.251.171</v>
      </c>
      <c r="G7116" s="1" t="str">
        <f>"0329Y873"</f>
        <v>0329Y873</v>
      </c>
      <c r="H7116" s="1" t="str">
        <f>"화랑간 50"</f>
        <v>화랑간 50</v>
      </c>
      <c r="I7116" s="1" t="s">
        <v>8</v>
      </c>
      <c r="J7116" s="1" t="str">
        <f>"29/29"</f>
        <v>29/29</v>
      </c>
      <c r="K7116" s="1" t="str">
        <f t="shared" si="353"/>
        <v>2026-07-29 13:18:03</v>
      </c>
      <c r="L7116" s="1" t="str">
        <f>"2020-01-10 11:44:28"</f>
        <v>2020-01-10 11:44:28</v>
      </c>
      <c r="M7116" s="1" t="s">
        <v>45</v>
      </c>
      <c r="N7116" s="1" t="s">
        <v>38</v>
      </c>
      <c r="O7116" s="1" t="s">
        <v>46</v>
      </c>
    </row>
    <row r="7117" spans="2:15" x14ac:dyDescent="0.3">
      <c r="B7117" s="1" t="s">
        <v>22</v>
      </c>
      <c r="C7117" s="1" t="str">
        <f t="shared" si="352"/>
        <v>4차</v>
      </c>
      <c r="D7117" s="1" t="str">
        <f>"0329Y88144"</f>
        <v>0329Y88144</v>
      </c>
      <c r="E7117" s="1" t="s">
        <v>10</v>
      </c>
      <c r="F7117" s="1" t="str">
        <f>"10.107.120.113"</f>
        <v>10.107.120.113</v>
      </c>
      <c r="G7117" s="1" t="str">
        <f>"0329Y881"</f>
        <v>0329Y881</v>
      </c>
      <c r="H7117" s="1" t="str">
        <f>"화랑간 67L18"</f>
        <v>화랑간 67L18</v>
      </c>
      <c r="I7117" s="1" t="s">
        <v>8</v>
      </c>
      <c r="J7117" s="1" t="str">
        <f>"19/20"</f>
        <v>19/20</v>
      </c>
      <c r="K7117" s="1" t="str">
        <f t="shared" si="353"/>
        <v>2026-07-29 13:18:03</v>
      </c>
      <c r="L7117" s="1" t="str">
        <f>"2020-01-10 11:43:55"</f>
        <v>2020-01-10 11:43:55</v>
      </c>
      <c r="M7117" s="1" t="s">
        <v>45</v>
      </c>
      <c r="N7117" s="1" t="s">
        <v>38</v>
      </c>
      <c r="O7117" s="1" t="s">
        <v>46</v>
      </c>
    </row>
    <row r="7118" spans="2:15" x14ac:dyDescent="0.3">
      <c r="B7118" s="1" t="s">
        <v>22</v>
      </c>
      <c r="C7118" s="1" t="str">
        <f t="shared" si="352"/>
        <v>4차</v>
      </c>
      <c r="D7118" s="1" t="str">
        <f>"0329Y89244"</f>
        <v>0329Y89244</v>
      </c>
      <c r="E7118" s="1" t="s">
        <v>10</v>
      </c>
      <c r="F7118" s="1" t="str">
        <f>"10.107.251.172"</f>
        <v>10.107.251.172</v>
      </c>
      <c r="G7118" s="1" t="str">
        <f>"0329Y892"</f>
        <v>0329Y892</v>
      </c>
      <c r="H7118" s="1" t="str">
        <f>"화랑간 53"</f>
        <v>화랑간 53</v>
      </c>
      <c r="I7118" s="1" t="s">
        <v>8</v>
      </c>
      <c r="J7118" s="1" t="str">
        <f>"39/39"</f>
        <v>39/39</v>
      </c>
      <c r="K7118" s="1" t="str">
        <f t="shared" si="353"/>
        <v>2026-07-29 13:18:03</v>
      </c>
      <c r="L7118" s="1" t="str">
        <f>"2020-01-10 11:44:22"</f>
        <v>2020-01-10 11:44:22</v>
      </c>
      <c r="M7118" s="1" t="s">
        <v>45</v>
      </c>
      <c r="N7118" s="1" t="s">
        <v>38</v>
      </c>
      <c r="O7118" s="1" t="s">
        <v>46</v>
      </c>
    </row>
    <row r="7119" spans="2:15" x14ac:dyDescent="0.3">
      <c r="B7119" s="1" t="s">
        <v>22</v>
      </c>
      <c r="C7119" s="1" t="str">
        <f t="shared" si="352"/>
        <v>4차</v>
      </c>
      <c r="D7119" s="1" t="str">
        <f>"0329Y95344"</f>
        <v>0329Y95344</v>
      </c>
      <c r="E7119" s="1" t="s">
        <v>10</v>
      </c>
      <c r="F7119" s="1" t="str">
        <f>"10.107.251.170"</f>
        <v>10.107.251.170</v>
      </c>
      <c r="G7119" s="1" t="str">
        <f>"0329Y953"</f>
        <v>0329Y953</v>
      </c>
      <c r="H7119" s="1" t="str">
        <f>"화랑간 47R1"</f>
        <v>화랑간 47R1</v>
      </c>
      <c r="I7119" s="1" t="s">
        <v>8</v>
      </c>
      <c r="J7119" s="1" t="str">
        <f>"26/26"</f>
        <v>26/26</v>
      </c>
      <c r="K7119" s="1" t="str">
        <f t="shared" si="353"/>
        <v>2026-07-29 13:18:03</v>
      </c>
      <c r="L7119" s="1" t="str">
        <f>"2020-01-10 11:45:45"</f>
        <v>2020-01-10 11:45:45</v>
      </c>
      <c r="M7119" s="1" t="s">
        <v>45</v>
      </c>
      <c r="N7119" s="1" t="s">
        <v>38</v>
      </c>
      <c r="O7119" s="1" t="s">
        <v>46</v>
      </c>
    </row>
    <row r="7120" spans="2:15" x14ac:dyDescent="0.3">
      <c r="B7120" s="1" t="s">
        <v>22</v>
      </c>
      <c r="C7120" s="1" t="str">
        <f t="shared" si="352"/>
        <v>4차</v>
      </c>
      <c r="D7120" s="1" t="str">
        <f>"0329Y99144"</f>
        <v>0329Y99144</v>
      </c>
      <c r="E7120" s="1" t="s">
        <v>10</v>
      </c>
      <c r="F7120" s="1" t="str">
        <f>"10.107.249.164"</f>
        <v>10.107.249.164</v>
      </c>
      <c r="G7120" s="1" t="str">
        <f>"0329Y991"</f>
        <v>0329Y991</v>
      </c>
      <c r="H7120" s="1" t="str">
        <f>"화랑간 25R17"</f>
        <v>화랑간 25R17</v>
      </c>
      <c r="I7120" s="1" t="s">
        <v>8</v>
      </c>
      <c r="J7120" s="1" t="str">
        <f>"57/57"</f>
        <v>57/57</v>
      </c>
      <c r="K7120" s="1" t="str">
        <f t="shared" si="353"/>
        <v>2026-07-29 13:18:03</v>
      </c>
      <c r="L7120" s="1" t="str">
        <f>"2020-01-10 11:40:16"</f>
        <v>2020-01-10 11:40:16</v>
      </c>
      <c r="M7120" s="1" t="s">
        <v>45</v>
      </c>
      <c r="N7120" s="1" t="s">
        <v>38</v>
      </c>
      <c r="O7120" s="1" t="s">
        <v>46</v>
      </c>
    </row>
    <row r="7121" spans="2:15" x14ac:dyDescent="0.3">
      <c r="B7121" s="1" t="s">
        <v>22</v>
      </c>
      <c r="C7121" s="1" t="str">
        <f t="shared" si="352"/>
        <v>4차</v>
      </c>
      <c r="D7121" s="1" t="str">
        <f>"0329Z05344"</f>
        <v>0329Z05344</v>
      </c>
      <c r="E7121" s="1" t="s">
        <v>10</v>
      </c>
      <c r="F7121" s="1" t="str">
        <f>"10.107.251.169"</f>
        <v>10.107.251.169</v>
      </c>
      <c r="G7121" s="1" t="str">
        <f>"0329Z053"</f>
        <v>0329Z053</v>
      </c>
      <c r="H7121" s="1" t="str">
        <f>"화랑간 44L3"</f>
        <v>화랑간 44L3</v>
      </c>
      <c r="I7121" s="1" t="s">
        <v>8</v>
      </c>
      <c r="J7121" s="1" t="str">
        <f>"66/69"</f>
        <v>66/69</v>
      </c>
      <c r="K7121" s="1" t="str">
        <f t="shared" si="353"/>
        <v>2026-07-29 13:18:03</v>
      </c>
      <c r="L7121" s="1" t="str">
        <f>"2020-01-10 11:47:04"</f>
        <v>2020-01-10 11:47:04</v>
      </c>
      <c r="M7121" s="1" t="s">
        <v>45</v>
      </c>
      <c r="N7121" s="1" t="s">
        <v>38</v>
      </c>
      <c r="O7121" s="1" t="s">
        <v>46</v>
      </c>
    </row>
    <row r="7122" spans="2:15" x14ac:dyDescent="0.3">
      <c r="B7122" s="1" t="s">
        <v>22</v>
      </c>
      <c r="C7122" s="1" t="str">
        <f t="shared" si="352"/>
        <v>4차</v>
      </c>
      <c r="D7122" s="1" t="str">
        <f>"0329Z28144"</f>
        <v>0329Z28144</v>
      </c>
      <c r="E7122" s="1" t="s">
        <v>10</v>
      </c>
      <c r="F7122" s="1" t="str">
        <f>"10.107.249.194"</f>
        <v>10.107.249.194</v>
      </c>
      <c r="G7122" s="1" t="str">
        <f>"0329Z281"</f>
        <v>0329Z281</v>
      </c>
      <c r="H7122" s="1" t="str">
        <f>"중계간 39L1"</f>
        <v>중계간 39L1</v>
      </c>
      <c r="I7122" s="1" t="s">
        <v>8</v>
      </c>
      <c r="J7122" s="1" t="str">
        <f>"22/22"</f>
        <v>22/22</v>
      </c>
      <c r="K7122" s="1" t="str">
        <f t="shared" si="353"/>
        <v>2026-07-29 13:18:03</v>
      </c>
      <c r="L7122" s="1" t="str">
        <f>"2020-01-10 11:42:40"</f>
        <v>2020-01-10 11:42:40</v>
      </c>
      <c r="M7122" s="1" t="s">
        <v>45</v>
      </c>
      <c r="N7122" s="1" t="s">
        <v>38</v>
      </c>
      <c r="O7122" s="1" t="s">
        <v>46</v>
      </c>
    </row>
    <row r="7123" spans="2:15" x14ac:dyDescent="0.3">
      <c r="B7123" s="1" t="s">
        <v>22</v>
      </c>
      <c r="C7123" s="1" t="str">
        <f t="shared" si="352"/>
        <v>4차</v>
      </c>
      <c r="D7123" s="1" t="str">
        <f>"0329Z47144"</f>
        <v>0329Z47144</v>
      </c>
      <c r="E7123" s="1" t="s">
        <v>10</v>
      </c>
      <c r="F7123" s="1" t="str">
        <f>"10.107.248.9"</f>
        <v>10.107.248.9</v>
      </c>
      <c r="G7123" s="1" t="str">
        <f>"0329Z471"</f>
        <v>0329Z471</v>
      </c>
      <c r="H7123" s="1" t="str">
        <f>"중계간 41R1"</f>
        <v>중계간 41R1</v>
      </c>
      <c r="I7123" s="1" t="s">
        <v>8</v>
      </c>
      <c r="J7123" s="1" t="str">
        <f>"34/34"</f>
        <v>34/34</v>
      </c>
      <c r="K7123" s="1" t="str">
        <f t="shared" si="353"/>
        <v>2026-07-29 13:18:03</v>
      </c>
      <c r="L7123" s="1" t="str">
        <f>"2020-01-10 11:50:02"</f>
        <v>2020-01-10 11:50:02</v>
      </c>
      <c r="M7123" s="1" t="s">
        <v>45</v>
      </c>
      <c r="N7123" s="1" t="s">
        <v>38</v>
      </c>
      <c r="O7123" s="1" t="s">
        <v>46</v>
      </c>
    </row>
    <row r="7124" spans="2:15" x14ac:dyDescent="0.3">
      <c r="B7124" s="1" t="s">
        <v>22</v>
      </c>
      <c r="C7124" s="1" t="str">
        <f t="shared" si="352"/>
        <v>4차</v>
      </c>
      <c r="D7124" s="1" t="str">
        <f>"0329Z48144"</f>
        <v>0329Z48144</v>
      </c>
      <c r="E7124" s="1" t="s">
        <v>10</v>
      </c>
      <c r="F7124" s="1" t="str">
        <f>"10.107.248.10"</f>
        <v>10.107.248.10</v>
      </c>
      <c r="G7124" s="1" t="str">
        <f>"0329Z481"</f>
        <v>0329Z481</v>
      </c>
      <c r="H7124" s="1" t="str">
        <f>"중계간 41"</f>
        <v>중계간 41</v>
      </c>
      <c r="I7124" s="1" t="s">
        <v>8</v>
      </c>
      <c r="J7124" s="1" t="str">
        <f>"23/24"</f>
        <v>23/24</v>
      </c>
      <c r="K7124" s="1" t="str">
        <f>"2026-07-29 13:18:02"</f>
        <v>2026-07-29 13:18:02</v>
      </c>
      <c r="L7124" s="1" t="str">
        <f>"2020-01-10 11:50:11"</f>
        <v>2020-01-10 11:50:11</v>
      </c>
      <c r="M7124" s="1" t="s">
        <v>45</v>
      </c>
      <c r="N7124" s="1" t="s">
        <v>38</v>
      </c>
      <c r="O7124" s="1" t="s">
        <v>46</v>
      </c>
    </row>
    <row r="7125" spans="2:15" x14ac:dyDescent="0.3">
      <c r="B7125" s="1" t="s">
        <v>22</v>
      </c>
      <c r="C7125" s="1" t="str">
        <f t="shared" si="352"/>
        <v>4차</v>
      </c>
      <c r="D7125" s="1" t="str">
        <f>"0329Z58144"</f>
        <v>0329Z58144</v>
      </c>
      <c r="E7125" s="1" t="s">
        <v>14</v>
      </c>
      <c r="F7125" s="1" t="str">
        <f>"10.107.248.11"</f>
        <v>10.107.248.11</v>
      </c>
      <c r="G7125" s="1" t="str">
        <f>"0329Z581"</f>
        <v>0329Z581</v>
      </c>
      <c r="H7125" s="1" t="str">
        <f>"중계간 43"</f>
        <v>중계간 43</v>
      </c>
      <c r="I7125" s="1" t="s">
        <v>8</v>
      </c>
      <c r="J7125" s="1" t="str">
        <f>"0/0"</f>
        <v>0/0</v>
      </c>
      <c r="K7125" s="1" t="str">
        <f>"2024-11-15 07:21:04"</f>
        <v>2024-11-15 07:21:04</v>
      </c>
      <c r="L7125" s="1" t="str">
        <f>"2020-01-10 11:44:36"</f>
        <v>2020-01-10 11:44:36</v>
      </c>
      <c r="M7125" s="1" t="s">
        <v>45</v>
      </c>
      <c r="N7125" s="1" t="s">
        <v>44</v>
      </c>
      <c r="O7125" s="1" t="s">
        <v>44</v>
      </c>
    </row>
    <row r="7126" spans="2:15" x14ac:dyDescent="0.3">
      <c r="B7126" s="1" t="s">
        <v>22</v>
      </c>
      <c r="C7126" s="1" t="str">
        <f t="shared" si="352"/>
        <v>4차</v>
      </c>
      <c r="D7126" s="1" t="str">
        <f>"0329Z69144"</f>
        <v>0329Z69144</v>
      </c>
      <c r="E7126" s="1" t="s">
        <v>10</v>
      </c>
      <c r="F7126" s="1" t="str">
        <f>"10.107.248.12"</f>
        <v>10.107.248.12</v>
      </c>
      <c r="G7126" s="1" t="str">
        <f>"0329Z691"</f>
        <v>0329Z691</v>
      </c>
      <c r="H7126" s="1" t="str">
        <f>"중계간 45L1"</f>
        <v>중계간 45L1</v>
      </c>
      <c r="I7126" s="1" t="s">
        <v>8</v>
      </c>
      <c r="J7126" s="1" t="str">
        <f>"14/21"</f>
        <v>14/21</v>
      </c>
      <c r="K7126" s="1" t="str">
        <f>"2026-07-29 13:18:03"</f>
        <v>2026-07-29 13:18:03</v>
      </c>
      <c r="L7126" s="1" t="str">
        <f>"2023-03-03 15:39:36"</f>
        <v>2023-03-03 15:39:36</v>
      </c>
      <c r="M7126" s="1" t="s">
        <v>45</v>
      </c>
      <c r="N7126" s="1" t="s">
        <v>38</v>
      </c>
      <c r="O7126" s="1" t="s">
        <v>46</v>
      </c>
    </row>
    <row r="7127" spans="2:15" x14ac:dyDescent="0.3">
      <c r="B7127" s="1" t="s">
        <v>22</v>
      </c>
      <c r="C7127" s="1" t="str">
        <f t="shared" si="352"/>
        <v>4차</v>
      </c>
      <c r="D7127" s="1" t="str">
        <f>"0329Z77145"</f>
        <v>0329Z77145</v>
      </c>
      <c r="E7127" s="1" t="s">
        <v>10</v>
      </c>
      <c r="F7127" s="1" t="str">
        <f>"10.14.8.59"</f>
        <v>10.14.8.59</v>
      </c>
      <c r="G7127" s="1" t="str">
        <f>"0329Z771"</f>
        <v>0329Z771</v>
      </c>
      <c r="H7127" s="1" t="str">
        <f>"화랑 6"</f>
        <v>화랑 6</v>
      </c>
      <c r="I7127" s="1" t="s">
        <v>17</v>
      </c>
      <c r="J7127" s="1" t="str">
        <f>"1/1"</f>
        <v>1/1</v>
      </c>
      <c r="K7127" s="1" t="str">
        <f>"2026-07-29 13:18:04"</f>
        <v>2026-07-29 13:18:04</v>
      </c>
      <c r="L7127" s="1" t="str">
        <f>"2021-06-23 10:35:42"</f>
        <v>2021-06-23 10:35:42</v>
      </c>
      <c r="M7127" s="1" t="s">
        <v>3</v>
      </c>
      <c r="N7127" s="1" t="s">
        <v>38</v>
      </c>
      <c r="O7127" s="1" t="s">
        <v>46</v>
      </c>
    </row>
    <row r="7128" spans="2:15" x14ac:dyDescent="0.3">
      <c r="B7128" s="1" t="s">
        <v>22</v>
      </c>
      <c r="C7128" s="1" t="str">
        <f t="shared" si="352"/>
        <v>4차</v>
      </c>
      <c r="D7128" s="1" t="str">
        <f>"0329Z79144"</f>
        <v>0329Z79144</v>
      </c>
      <c r="E7128" s="1" t="s">
        <v>10</v>
      </c>
      <c r="F7128" s="1" t="str">
        <f>"10.107.248.13"</f>
        <v>10.107.248.13</v>
      </c>
      <c r="G7128" s="1" t="str">
        <f>"0329Z791"</f>
        <v>0329Z791</v>
      </c>
      <c r="H7128" s="1" t="str">
        <f>"중계간 46"</f>
        <v>중계간 46</v>
      </c>
      <c r="I7128" s="1" t="s">
        <v>8</v>
      </c>
      <c r="J7128" s="1" t="str">
        <f>"20/20"</f>
        <v>20/20</v>
      </c>
      <c r="K7128" s="1" t="str">
        <f>"2026-07-29 13:18:03"</f>
        <v>2026-07-29 13:18:03</v>
      </c>
      <c r="L7128" s="1" t="str">
        <f>"2020-01-10 11:46:05"</f>
        <v>2020-01-10 11:46:05</v>
      </c>
      <c r="M7128" s="1" t="s">
        <v>45</v>
      </c>
      <c r="N7128" s="1" t="s">
        <v>38</v>
      </c>
      <c r="O7128" s="1" t="s">
        <v>46</v>
      </c>
    </row>
    <row r="7129" spans="2:15" x14ac:dyDescent="0.3">
      <c r="B7129" s="1" t="s">
        <v>22</v>
      </c>
      <c r="C7129" s="1" t="str">
        <f t="shared" si="352"/>
        <v>4차</v>
      </c>
      <c r="D7129" s="1" t="str">
        <f>"0329Z89339"</f>
        <v>0329Z89339</v>
      </c>
      <c r="E7129" s="1" t="s">
        <v>10</v>
      </c>
      <c r="F7129" s="1" t="str">
        <f>"10.12.130.4"</f>
        <v>10.12.130.4</v>
      </c>
      <c r="G7129" s="1" t="str">
        <f>"0329Z893"</f>
        <v>0329Z893</v>
      </c>
      <c r="H7129" s="1" t="str">
        <f>"중계간 48"</f>
        <v>중계간 48</v>
      </c>
      <c r="I7129" s="1" t="s">
        <v>8</v>
      </c>
      <c r="J7129" s="1" t="str">
        <f>"73/73"</f>
        <v>73/73</v>
      </c>
      <c r="K7129" s="1" t="str">
        <f>"2026-07-29 13:18:04"</f>
        <v>2026-07-29 13:18:04</v>
      </c>
      <c r="L7129" s="1" t="str">
        <f>"2018-04-19 10:44:26"</f>
        <v>2018-04-19 10:44:26</v>
      </c>
      <c r="M7129" s="1" t="s">
        <v>0</v>
      </c>
      <c r="N7129" s="1" t="s">
        <v>38</v>
      </c>
      <c r="O7129" s="1" t="s">
        <v>46</v>
      </c>
    </row>
    <row r="7130" spans="2:15" x14ac:dyDescent="0.3">
      <c r="B7130" s="1" t="s">
        <v>22</v>
      </c>
      <c r="C7130" s="1" t="str">
        <f>"1차"</f>
        <v>1차</v>
      </c>
      <c r="D7130" s="1" t="str">
        <f>"0329Z89401"</f>
        <v>0329Z89401</v>
      </c>
      <c r="E7130" s="1" t="s">
        <v>10</v>
      </c>
      <c r="F7130" s="1" t="str">
        <f>"10.107.248.14"</f>
        <v>10.107.248.14</v>
      </c>
      <c r="G7130" s="1" t="str">
        <f>"0329Z894"</f>
        <v>0329Z894</v>
      </c>
      <c r="H7130" s="1" t="str">
        <f>"중계간 47L1"</f>
        <v>중계간 47L1</v>
      </c>
      <c r="I7130" s="1" t="s">
        <v>8</v>
      </c>
      <c r="J7130" s="1" t="str">
        <f>"4/4"</f>
        <v>4/4</v>
      </c>
      <c r="K7130" s="1" t="str">
        <f>"2026-07-29 13:18:03"</f>
        <v>2026-07-29 13:18:03</v>
      </c>
      <c r="L7130" s="1" t="str">
        <f>"2014-12-26 16:12:55"</f>
        <v>2014-12-26 16:12:55</v>
      </c>
      <c r="M7130" s="1" t="s">
        <v>45</v>
      </c>
      <c r="N7130" s="1" t="s">
        <v>38</v>
      </c>
      <c r="O7130" s="1" t="s">
        <v>46</v>
      </c>
    </row>
    <row r="7131" spans="2:15" x14ac:dyDescent="0.3">
      <c r="B7131" s="1" t="s">
        <v>22</v>
      </c>
      <c r="C7131" s="1" t="str">
        <f>"6차"</f>
        <v>6차</v>
      </c>
      <c r="D7131" s="1" t="str">
        <f>"0329Z9926S"</f>
        <v>0329Z9926S</v>
      </c>
      <c r="E7131" s="1" t="s">
        <v>10</v>
      </c>
      <c r="F7131" s="1" t="str">
        <f>"fde1:103:4:c774:0:0:0:2"</f>
        <v>fde1:103:4:c774:0:0:0:2</v>
      </c>
      <c r="G7131" s="1" t="str">
        <f>"0329Z992"</f>
        <v>0329Z992</v>
      </c>
      <c r="H7131" s="1" t="str">
        <f>"중계간 49"</f>
        <v>중계간 49</v>
      </c>
      <c r="I7131" s="1" t="s">
        <v>15</v>
      </c>
      <c r="J7131" s="1" t="str">
        <f>"23/23"</f>
        <v>23/23</v>
      </c>
      <c r="K7131" s="1" t="str">
        <f>"2026-07-29 14:21:05"</f>
        <v>2026-07-29 14:21:05</v>
      </c>
      <c r="L7131" s="1" t="str">
        <f>"2025-01-17 17:34:54"</f>
        <v>2025-01-17 17:34:54</v>
      </c>
      <c r="M7131" s="1" t="s">
        <v>4</v>
      </c>
      <c r="N7131" s="1" t="s">
        <v>38</v>
      </c>
      <c r="O7131" s="1" t="s">
        <v>46</v>
      </c>
    </row>
    <row r="7132" spans="2:15" x14ac:dyDescent="0.3">
      <c r="B7132" s="1" t="s">
        <v>22</v>
      </c>
      <c r="C7132" s="1" t="str">
        <f t="shared" ref="C7132:C7163" si="354">"4차"</f>
        <v>4차</v>
      </c>
      <c r="D7132" s="1" t="str">
        <f>"0330A02139"</f>
        <v>0330A02139</v>
      </c>
      <c r="E7132" s="1" t="s">
        <v>10</v>
      </c>
      <c r="F7132" s="1" t="str">
        <f>"10.12.135.225"</f>
        <v>10.12.135.225</v>
      </c>
      <c r="G7132" s="1" t="str">
        <f>"0330A021"</f>
        <v>0330A021</v>
      </c>
      <c r="H7132" s="1" t="str">
        <f>"노원 6"</f>
        <v>노원 6</v>
      </c>
      <c r="I7132" s="1" t="s">
        <v>17</v>
      </c>
      <c r="J7132" s="1" t="str">
        <f>"10/10"</f>
        <v>10/10</v>
      </c>
      <c r="K7132" s="1" t="str">
        <f>"2026-07-29 13:18:03"</f>
        <v>2026-07-29 13:18:03</v>
      </c>
      <c r="L7132" s="1" t="str">
        <f>"2018-05-23 11:43:58"</f>
        <v>2018-05-23 11:43:58</v>
      </c>
      <c r="M7132" s="1" t="s">
        <v>0</v>
      </c>
      <c r="N7132" s="1" t="s">
        <v>38</v>
      </c>
      <c r="O7132" s="1" t="s">
        <v>46</v>
      </c>
    </row>
    <row r="7133" spans="2:15" x14ac:dyDescent="0.3">
      <c r="B7133" s="1" t="s">
        <v>22</v>
      </c>
      <c r="C7133" s="1" t="str">
        <f t="shared" si="354"/>
        <v>4차</v>
      </c>
      <c r="D7133" s="1" t="str">
        <f>"0330A31139"</f>
        <v>0330A31139</v>
      </c>
      <c r="E7133" s="1" t="s">
        <v>10</v>
      </c>
      <c r="F7133" s="1" t="str">
        <f>"10.12.135.194"</f>
        <v>10.12.135.194</v>
      </c>
      <c r="G7133" s="1" t="str">
        <f>"0330A311"</f>
        <v>0330A311</v>
      </c>
      <c r="H7133" s="1" t="str">
        <f>"노원 8"</f>
        <v>노원 8</v>
      </c>
      <c r="I7133" s="1" t="s">
        <v>17</v>
      </c>
      <c r="J7133" s="1" t="str">
        <f>"2/2"</f>
        <v>2/2</v>
      </c>
      <c r="K7133" s="1" t="str">
        <f>"2026-07-29 13:18:04"</f>
        <v>2026-07-29 13:18:04</v>
      </c>
      <c r="L7133" s="1" t="str">
        <f>"2018-05-24 11:57:57"</f>
        <v>2018-05-24 11:57:57</v>
      </c>
      <c r="M7133" s="1" t="s">
        <v>0</v>
      </c>
      <c r="N7133" s="1" t="s">
        <v>38</v>
      </c>
      <c r="O7133" s="1" t="s">
        <v>46</v>
      </c>
    </row>
    <row r="7134" spans="2:15" x14ac:dyDescent="0.3">
      <c r="B7134" s="1" t="s">
        <v>22</v>
      </c>
      <c r="C7134" s="1" t="str">
        <f t="shared" si="354"/>
        <v>4차</v>
      </c>
      <c r="D7134" s="1" t="str">
        <f>"0330A33139"</f>
        <v>0330A33139</v>
      </c>
      <c r="E7134" s="1" t="s">
        <v>10</v>
      </c>
      <c r="F7134" s="1" t="str">
        <f>"10.12.135.220"</f>
        <v>10.12.135.220</v>
      </c>
      <c r="G7134" s="1" t="str">
        <f>"0330A331"</f>
        <v>0330A331</v>
      </c>
      <c r="H7134" s="1" t="str">
        <f>"노원 7"</f>
        <v>노원 7</v>
      </c>
      <c r="I7134" s="1" t="s">
        <v>17</v>
      </c>
      <c r="J7134" s="1" t="str">
        <f>"1/1"</f>
        <v>1/1</v>
      </c>
      <c r="K7134" s="1" t="str">
        <f>"2026-07-29 13:18:01"</f>
        <v>2026-07-29 13:18:01</v>
      </c>
      <c r="L7134" s="1" t="str">
        <f>"2018-05-24 11:45:44"</f>
        <v>2018-05-24 11:45:44</v>
      </c>
      <c r="M7134" s="1" t="s">
        <v>0</v>
      </c>
      <c r="N7134" s="1" t="s">
        <v>38</v>
      </c>
      <c r="O7134" s="1" t="s">
        <v>46</v>
      </c>
    </row>
    <row r="7135" spans="2:15" x14ac:dyDescent="0.3">
      <c r="B7135" s="1" t="s">
        <v>22</v>
      </c>
      <c r="C7135" s="1" t="str">
        <f t="shared" si="354"/>
        <v>4차</v>
      </c>
      <c r="D7135" s="1" t="str">
        <f>"0330A68139"</f>
        <v>0330A68139</v>
      </c>
      <c r="E7135" s="1" t="s">
        <v>10</v>
      </c>
      <c r="F7135" s="1" t="str">
        <f>"10.12.136.28"</f>
        <v>10.12.136.28</v>
      </c>
      <c r="G7135" s="1" t="str">
        <f>"0330A681"</f>
        <v>0330A681</v>
      </c>
      <c r="H7135" s="1" t="str">
        <f>"노원 16"</f>
        <v>노원 16</v>
      </c>
      <c r="I7135" s="1" t="s">
        <v>17</v>
      </c>
      <c r="J7135" s="1" t="str">
        <f>"4/4"</f>
        <v>4/4</v>
      </c>
      <c r="K7135" s="1" t="str">
        <f>"2026-07-29 13:18:01"</f>
        <v>2026-07-29 13:18:01</v>
      </c>
      <c r="L7135" s="1" t="str">
        <f>"2018-05-21 15:26:10"</f>
        <v>2018-05-21 15:26:10</v>
      </c>
      <c r="M7135" s="1" t="s">
        <v>0</v>
      </c>
      <c r="N7135" s="1" t="s">
        <v>38</v>
      </c>
      <c r="O7135" s="1" t="s">
        <v>46</v>
      </c>
    </row>
    <row r="7136" spans="2:15" x14ac:dyDescent="0.3">
      <c r="B7136" s="1" t="s">
        <v>22</v>
      </c>
      <c r="C7136" s="1" t="str">
        <f t="shared" si="354"/>
        <v>4차</v>
      </c>
      <c r="D7136" s="1" t="str">
        <f>"0330A82139"</f>
        <v>0330A82139</v>
      </c>
      <c r="E7136" s="1" t="s">
        <v>10</v>
      </c>
      <c r="F7136" s="1" t="str">
        <f>"10.14.14.56"</f>
        <v>10.14.14.56</v>
      </c>
      <c r="G7136" s="1" t="str">
        <f>"0330A821"</f>
        <v>0330A821</v>
      </c>
      <c r="H7136" s="1" t="str">
        <f>"노원 13A"</f>
        <v>노원 13A</v>
      </c>
      <c r="I7136" s="1" t="s">
        <v>17</v>
      </c>
      <c r="J7136" s="1" t="str">
        <f>"7/7"</f>
        <v>7/7</v>
      </c>
      <c r="K7136" s="1" t="str">
        <f>"2026-07-29 13:18:03"</f>
        <v>2026-07-29 13:18:03</v>
      </c>
      <c r="L7136" s="1" t="str">
        <f>"2018-05-24 07:32:56"</f>
        <v>2018-05-24 07:32:56</v>
      </c>
      <c r="M7136" s="1" t="s">
        <v>3</v>
      </c>
      <c r="N7136" s="1" t="s">
        <v>38</v>
      </c>
      <c r="O7136" s="1" t="s">
        <v>46</v>
      </c>
    </row>
    <row r="7137" spans="2:15" x14ac:dyDescent="0.3">
      <c r="B7137" s="1" t="s">
        <v>22</v>
      </c>
      <c r="C7137" s="1" t="str">
        <f t="shared" si="354"/>
        <v>4차</v>
      </c>
      <c r="D7137" s="1" t="str">
        <f>"0330A88139"</f>
        <v>0330A88139</v>
      </c>
      <c r="E7137" s="1" t="s">
        <v>10</v>
      </c>
      <c r="F7137" s="1" t="str">
        <f>"10.12.134.9"</f>
        <v>10.12.134.9</v>
      </c>
      <c r="G7137" s="1" t="str">
        <f>"0330A881"</f>
        <v>0330A881</v>
      </c>
      <c r="H7137" s="1" t="str">
        <f>"노원 32"</f>
        <v>노원 32</v>
      </c>
      <c r="I7137" s="1" t="s">
        <v>17</v>
      </c>
      <c r="J7137" s="1" t="str">
        <f>"4/4"</f>
        <v>4/4</v>
      </c>
      <c r="K7137" s="1" t="str">
        <f>"2026-07-29 13:18:04"</f>
        <v>2026-07-29 13:18:04</v>
      </c>
      <c r="L7137" s="1" t="str">
        <f>"2018-05-23 10:54:56"</f>
        <v>2018-05-23 10:54:56</v>
      </c>
      <c r="M7137" s="1" t="s">
        <v>0</v>
      </c>
      <c r="N7137" s="1" t="s">
        <v>38</v>
      </c>
      <c r="O7137" s="1" t="s">
        <v>46</v>
      </c>
    </row>
    <row r="7138" spans="2:15" x14ac:dyDescent="0.3">
      <c r="B7138" s="1" t="s">
        <v>22</v>
      </c>
      <c r="C7138" s="1" t="str">
        <f t="shared" si="354"/>
        <v>4차</v>
      </c>
      <c r="D7138" s="1" t="str">
        <f>"0330A88239"</f>
        <v>0330A88239</v>
      </c>
      <c r="E7138" s="1" t="s">
        <v>10</v>
      </c>
      <c r="F7138" s="1" t="str">
        <f>"10.14.15.22"</f>
        <v>10.14.15.22</v>
      </c>
      <c r="G7138" s="1" t="str">
        <f>"0330A882"</f>
        <v>0330A882</v>
      </c>
      <c r="H7138" s="1" t="str">
        <f>"노원 34"</f>
        <v>노원 34</v>
      </c>
      <c r="I7138" s="1" t="s">
        <v>17</v>
      </c>
      <c r="J7138" s="1" t="str">
        <f>"5/5"</f>
        <v>5/5</v>
      </c>
      <c r="K7138" s="1" t="str">
        <f>"2026-07-29 13:18:04"</f>
        <v>2026-07-29 13:18:04</v>
      </c>
      <c r="L7138" s="1" t="str">
        <f>"2018-05-23 10:39:56"</f>
        <v>2018-05-23 10:39:56</v>
      </c>
      <c r="M7138" s="1" t="s">
        <v>3</v>
      </c>
      <c r="N7138" s="1" t="s">
        <v>38</v>
      </c>
      <c r="O7138" s="1" t="s">
        <v>46</v>
      </c>
    </row>
    <row r="7139" spans="2:15" x14ac:dyDescent="0.3">
      <c r="B7139" s="1" t="s">
        <v>22</v>
      </c>
      <c r="C7139" s="1" t="str">
        <f t="shared" si="354"/>
        <v>4차</v>
      </c>
      <c r="D7139" s="1" t="str">
        <f>"0330A88339"</f>
        <v>0330A88339</v>
      </c>
      <c r="E7139" s="1" t="s">
        <v>10</v>
      </c>
      <c r="F7139" s="1" t="str">
        <f>"10.12.134.11"</f>
        <v>10.12.134.11</v>
      </c>
      <c r="G7139" s="1" t="str">
        <f>"0330A883"</f>
        <v>0330A883</v>
      </c>
      <c r="H7139" s="1" t="str">
        <f>"노원 33"</f>
        <v>노원 33</v>
      </c>
      <c r="I7139" s="1" t="s">
        <v>17</v>
      </c>
      <c r="J7139" s="1" t="str">
        <f>"1/1"</f>
        <v>1/1</v>
      </c>
      <c r="K7139" s="1" t="str">
        <f>"2026-07-29 13:18:04"</f>
        <v>2026-07-29 13:18:04</v>
      </c>
      <c r="L7139" s="1" t="str">
        <f>"2018-05-23 10:43:56"</f>
        <v>2018-05-23 10:43:56</v>
      </c>
      <c r="M7139" s="1" t="s">
        <v>0</v>
      </c>
      <c r="N7139" s="1" t="s">
        <v>38</v>
      </c>
      <c r="O7139" s="1" t="s">
        <v>46</v>
      </c>
    </row>
    <row r="7140" spans="2:15" x14ac:dyDescent="0.3">
      <c r="B7140" s="1" t="s">
        <v>22</v>
      </c>
      <c r="C7140" s="1" t="str">
        <f t="shared" si="354"/>
        <v>4차</v>
      </c>
      <c r="D7140" s="1" t="str">
        <f>"0330A95139"</f>
        <v>0330A95139</v>
      </c>
      <c r="E7140" s="1" t="s">
        <v>10</v>
      </c>
      <c r="F7140" s="1" t="str">
        <f>"10.14.10.56"</f>
        <v>10.14.10.56</v>
      </c>
      <c r="G7140" s="1" t="str">
        <f>"0330A951"</f>
        <v>0330A951</v>
      </c>
      <c r="H7140" s="1" t="str">
        <f>"노원 35"</f>
        <v>노원 35</v>
      </c>
      <c r="I7140" s="1" t="s">
        <v>17</v>
      </c>
      <c r="J7140" s="1" t="str">
        <f>"37/37"</f>
        <v>37/37</v>
      </c>
      <c r="K7140" s="1" t="str">
        <f>"2026-07-29 13:18:04"</f>
        <v>2026-07-29 13:18:04</v>
      </c>
      <c r="L7140" s="1" t="str">
        <f>"2018-05-23 10:13:41"</f>
        <v>2018-05-23 10:13:41</v>
      </c>
      <c r="M7140" s="1" t="s">
        <v>3</v>
      </c>
      <c r="N7140" s="1" t="s">
        <v>38</v>
      </c>
      <c r="O7140" s="1" t="s">
        <v>46</v>
      </c>
    </row>
    <row r="7141" spans="2:15" x14ac:dyDescent="0.3">
      <c r="B7141" s="1" t="s">
        <v>22</v>
      </c>
      <c r="C7141" s="1" t="str">
        <f t="shared" si="354"/>
        <v>4차</v>
      </c>
      <c r="D7141" s="1" t="str">
        <f>"0330B25239"</f>
        <v>0330B25239</v>
      </c>
      <c r="E7141" s="1" t="s">
        <v>14</v>
      </c>
      <c r="F7141" s="1" t="str">
        <f>"10.12.135.190"</f>
        <v>10.12.135.190</v>
      </c>
      <c r="G7141" s="1" t="str">
        <f>"0330B252"</f>
        <v>0330B252</v>
      </c>
      <c r="H7141" s="1" t="str">
        <f>"노원 36"</f>
        <v>노원 36</v>
      </c>
      <c r="I7141" s="1" t="s">
        <v>17</v>
      </c>
      <c r="J7141" s="1" t="str">
        <f>"0/0"</f>
        <v>0/0</v>
      </c>
      <c r="K7141" s="1" t="str">
        <f>"2026-06-10 07:18:04"</f>
        <v>2026-06-10 07:18:04</v>
      </c>
      <c r="L7141" s="1" t="str">
        <f>"2018-05-23 09:40:10"</f>
        <v>2018-05-23 09:40:10</v>
      </c>
      <c r="M7141" s="1" t="s">
        <v>0</v>
      </c>
      <c r="N7141" s="1" t="s">
        <v>39</v>
      </c>
      <c r="O7141" s="1" t="s">
        <v>46</v>
      </c>
    </row>
    <row r="7142" spans="2:15" x14ac:dyDescent="0.3">
      <c r="B7142" s="1" t="s">
        <v>22</v>
      </c>
      <c r="C7142" s="1" t="str">
        <f t="shared" si="354"/>
        <v>4차</v>
      </c>
      <c r="D7142" s="1" t="str">
        <f>"0330B56139"</f>
        <v>0330B56139</v>
      </c>
      <c r="E7142" s="1" t="s">
        <v>10</v>
      </c>
      <c r="F7142" s="1" t="str">
        <f>"10.12.135.189"</f>
        <v>10.12.135.189</v>
      </c>
      <c r="G7142" s="1" t="str">
        <f>"0330B561"</f>
        <v>0330B561</v>
      </c>
      <c r="H7142" s="1" t="str">
        <f>"노원 37"</f>
        <v>노원 37</v>
      </c>
      <c r="I7142" s="1" t="s">
        <v>17</v>
      </c>
      <c r="J7142" s="1" t="str">
        <f>"3/3"</f>
        <v>3/3</v>
      </c>
      <c r="K7142" s="1" t="str">
        <f>"2026-07-29 13:18:04"</f>
        <v>2026-07-29 13:18:04</v>
      </c>
      <c r="L7142" s="1" t="str">
        <f>"2018-05-25 07:32:10"</f>
        <v>2018-05-25 07:32:10</v>
      </c>
      <c r="M7142" s="1" t="s">
        <v>0</v>
      </c>
      <c r="N7142" s="1" t="s">
        <v>38</v>
      </c>
      <c r="O7142" s="1" t="s">
        <v>46</v>
      </c>
    </row>
    <row r="7143" spans="2:15" x14ac:dyDescent="0.3">
      <c r="B7143" s="1" t="s">
        <v>22</v>
      </c>
      <c r="C7143" s="1" t="str">
        <f t="shared" si="354"/>
        <v>4차</v>
      </c>
      <c r="D7143" s="1" t="str">
        <f>"0330B90145"</f>
        <v>0330B90145</v>
      </c>
      <c r="E7143" s="1" t="s">
        <v>10</v>
      </c>
      <c r="F7143" s="1" t="str">
        <f>"10.14.4.29"</f>
        <v>10.14.4.29</v>
      </c>
      <c r="G7143" s="1" t="str">
        <f>"0330B901"</f>
        <v>0330B901</v>
      </c>
      <c r="H7143" s="1" t="str">
        <f>"하계 302"</f>
        <v>하계 302</v>
      </c>
      <c r="I7143" s="1" t="s">
        <v>17</v>
      </c>
      <c r="J7143" s="1" t="str">
        <f>"12/12"</f>
        <v>12/12</v>
      </c>
      <c r="K7143" s="1" t="str">
        <f>"2026-07-29 13:18:04"</f>
        <v>2026-07-29 13:18:04</v>
      </c>
      <c r="L7143" s="1" t="str">
        <f>"2021-06-22 15:21:26"</f>
        <v>2021-06-22 15:21:26</v>
      </c>
      <c r="M7143" s="1" t="s">
        <v>3</v>
      </c>
      <c r="N7143" s="1" t="s">
        <v>38</v>
      </c>
      <c r="O7143" s="1" t="s">
        <v>46</v>
      </c>
    </row>
    <row r="7144" spans="2:15" x14ac:dyDescent="0.3">
      <c r="B7144" s="1" t="s">
        <v>22</v>
      </c>
      <c r="C7144" s="1" t="str">
        <f t="shared" si="354"/>
        <v>4차</v>
      </c>
      <c r="D7144" s="1" t="str">
        <f>"0330B90245"</f>
        <v>0330B90245</v>
      </c>
      <c r="E7144" s="1" t="s">
        <v>10</v>
      </c>
      <c r="F7144" s="1" t="str">
        <f>"10.14.1.62"</f>
        <v>10.14.1.62</v>
      </c>
      <c r="G7144" s="1" t="str">
        <f>"0330B902"</f>
        <v>0330B902</v>
      </c>
      <c r="H7144" s="1" t="str">
        <f>"하계 304"</f>
        <v>하계 304</v>
      </c>
      <c r="I7144" s="1" t="s">
        <v>17</v>
      </c>
      <c r="J7144" s="1" t="str">
        <f>"7/14"</f>
        <v>7/14</v>
      </c>
      <c r="K7144" s="1" t="str">
        <f>"2026-07-29 13:18:04"</f>
        <v>2026-07-29 13:18:04</v>
      </c>
      <c r="L7144" s="1" t="str">
        <f>"2021-06-22 14:43:03"</f>
        <v>2021-06-22 14:43:03</v>
      </c>
      <c r="M7144" s="1" t="s">
        <v>3</v>
      </c>
      <c r="N7144" s="1" t="s">
        <v>38</v>
      </c>
      <c r="O7144" s="1" t="s">
        <v>46</v>
      </c>
    </row>
    <row r="7145" spans="2:15" x14ac:dyDescent="0.3">
      <c r="B7145" s="1" t="s">
        <v>22</v>
      </c>
      <c r="C7145" s="1" t="str">
        <f t="shared" si="354"/>
        <v>4차</v>
      </c>
      <c r="D7145" s="1" t="str">
        <f>"0330B90345"</f>
        <v>0330B90345</v>
      </c>
      <c r="E7145" s="1" t="s">
        <v>14</v>
      </c>
      <c r="F7145" s="1" t="str">
        <f>"10.14.7.59"</f>
        <v>10.14.7.59</v>
      </c>
      <c r="G7145" s="1" t="str">
        <f>"0330B903"</f>
        <v>0330B903</v>
      </c>
      <c r="H7145" s="1" t="str">
        <f>"하계 304A"</f>
        <v>하계 304A</v>
      </c>
      <c r="I7145" s="1" t="s">
        <v>17</v>
      </c>
      <c r="J7145" s="1" t="str">
        <f>"0/0"</f>
        <v>0/0</v>
      </c>
      <c r="K7145" s="1" t="str">
        <f>"2026-07-29 13:18:03"</f>
        <v>2026-07-29 13:18:03</v>
      </c>
      <c r="L7145" s="1" t="str">
        <f>"2021-06-22 14:47:29"</f>
        <v>2021-06-22 14:47:29</v>
      </c>
      <c r="M7145" s="1" t="s">
        <v>3</v>
      </c>
      <c r="N7145" s="1" t="s">
        <v>38</v>
      </c>
      <c r="O7145" s="1" t="s">
        <v>44</v>
      </c>
    </row>
    <row r="7146" spans="2:15" x14ac:dyDescent="0.3">
      <c r="B7146" s="1" t="s">
        <v>22</v>
      </c>
      <c r="C7146" s="1" t="str">
        <f t="shared" si="354"/>
        <v>4차</v>
      </c>
      <c r="D7146" s="1" t="str">
        <f>"0330B92145"</f>
        <v>0330B92145</v>
      </c>
      <c r="E7146" s="1" t="s">
        <v>10</v>
      </c>
      <c r="F7146" s="1" t="str">
        <f>"10.14.9.20"</f>
        <v>10.14.9.20</v>
      </c>
      <c r="G7146" s="1" t="str">
        <f>"0330B921"</f>
        <v>0330B921</v>
      </c>
      <c r="H7146" s="1" t="str">
        <f>"하계 301"</f>
        <v>하계 301</v>
      </c>
      <c r="I7146" s="1" t="s">
        <v>17</v>
      </c>
      <c r="J7146" s="1" t="str">
        <f>"11/11"</f>
        <v>11/11</v>
      </c>
      <c r="K7146" s="1" t="str">
        <f>"2026-07-29 13:18:03"</f>
        <v>2026-07-29 13:18:03</v>
      </c>
      <c r="L7146" s="1" t="str">
        <f>"2021-06-22 11:32:59"</f>
        <v>2021-06-22 11:32:59</v>
      </c>
      <c r="M7146" s="1" t="s">
        <v>3</v>
      </c>
      <c r="N7146" s="1" t="s">
        <v>38</v>
      </c>
      <c r="O7146" s="1" t="s">
        <v>46</v>
      </c>
    </row>
    <row r="7147" spans="2:15" x14ac:dyDescent="0.3">
      <c r="B7147" s="1" t="s">
        <v>22</v>
      </c>
      <c r="C7147" s="1" t="str">
        <f t="shared" si="354"/>
        <v>4차</v>
      </c>
      <c r="D7147" s="1" t="str">
        <f>"0330C35239"</f>
        <v>0330C35239</v>
      </c>
      <c r="E7147" s="1" t="s">
        <v>14</v>
      </c>
      <c r="F7147" s="1" t="str">
        <f>"10.12.135.230"</f>
        <v>10.12.135.230</v>
      </c>
      <c r="G7147" s="1" t="str">
        <f>"0330C352"</f>
        <v>0330C352</v>
      </c>
      <c r="H7147" s="1" t="str">
        <f>"노원 13C"</f>
        <v>노원 13C</v>
      </c>
      <c r="I7147" s="1" t="s">
        <v>17</v>
      </c>
      <c r="J7147" s="1" t="str">
        <f>"0/0"</f>
        <v>0/0</v>
      </c>
      <c r="K7147" s="1" t="str">
        <f>"2026-06-10 07:18:02"</f>
        <v>2026-06-10 07:18:02</v>
      </c>
      <c r="L7147" s="1" t="str">
        <f>"2018-05-23 09:00:26"</f>
        <v>2018-05-23 09:00:26</v>
      </c>
      <c r="M7147" s="1" t="s">
        <v>0</v>
      </c>
      <c r="N7147" s="1" t="s">
        <v>39</v>
      </c>
      <c r="O7147" s="1" t="s">
        <v>46</v>
      </c>
    </row>
    <row r="7148" spans="2:15" x14ac:dyDescent="0.3">
      <c r="B7148" s="1" t="s">
        <v>22</v>
      </c>
      <c r="C7148" s="1" t="str">
        <f t="shared" si="354"/>
        <v>4차</v>
      </c>
      <c r="D7148" s="1" t="str">
        <f>"0330C76139"</f>
        <v>0330C76139</v>
      </c>
      <c r="E7148" s="1" t="s">
        <v>14</v>
      </c>
      <c r="F7148" s="1" t="str">
        <f>"10.12.136.110"</f>
        <v>10.12.136.110</v>
      </c>
      <c r="G7148" s="1" t="str">
        <f>"0330C761"</f>
        <v>0330C761</v>
      </c>
      <c r="H7148" s="1" t="str">
        <f>"하계 9"</f>
        <v>하계 9</v>
      </c>
      <c r="I7148" s="1" t="s">
        <v>17</v>
      </c>
      <c r="J7148" s="1" t="str">
        <f>"0/0"</f>
        <v>0/0</v>
      </c>
      <c r="K7148" s="1" t="str">
        <f>"2026-07-28 13:18:03"</f>
        <v>2026-07-28 13:18:03</v>
      </c>
      <c r="L7148" s="1" t="str">
        <f>"2018-07-12 18:00:28"</f>
        <v>2018-07-12 18:00:28</v>
      </c>
      <c r="M7148" s="1" t="s">
        <v>0</v>
      </c>
      <c r="N7148" s="1" t="s">
        <v>39</v>
      </c>
      <c r="O7148" s="1" t="s">
        <v>46</v>
      </c>
    </row>
    <row r="7149" spans="2:15" x14ac:dyDescent="0.3">
      <c r="B7149" s="1" t="s">
        <v>22</v>
      </c>
      <c r="C7149" s="1" t="str">
        <f t="shared" si="354"/>
        <v>4차</v>
      </c>
      <c r="D7149" s="1" t="str">
        <f>"0330C91139"</f>
        <v>0330C91139</v>
      </c>
      <c r="E7149" s="1" t="s">
        <v>10</v>
      </c>
      <c r="F7149" s="1" t="str">
        <f>"10.12.128.8"</f>
        <v>10.12.128.8</v>
      </c>
      <c r="G7149" s="1" t="str">
        <f>"0330C911"</f>
        <v>0330C911</v>
      </c>
      <c r="H7149" s="1" t="str">
        <f>"하계 2"</f>
        <v>하계 2</v>
      </c>
      <c r="I7149" s="1" t="s">
        <v>17</v>
      </c>
      <c r="J7149" s="1" t="str">
        <f>"4/4"</f>
        <v>4/4</v>
      </c>
      <c r="K7149" s="1" t="str">
        <f>"2026-07-29 07:18:03"</f>
        <v>2026-07-29 07:18:03</v>
      </c>
      <c r="L7149" s="1" t="str">
        <f>"2018-05-25 13:45:43"</f>
        <v>2018-05-25 13:45:43</v>
      </c>
      <c r="M7149" s="1" t="s">
        <v>0</v>
      </c>
      <c r="N7149" s="1" t="s">
        <v>38</v>
      </c>
      <c r="O7149" s="1" t="s">
        <v>46</v>
      </c>
    </row>
    <row r="7150" spans="2:15" x14ac:dyDescent="0.3">
      <c r="B7150" s="1" t="s">
        <v>22</v>
      </c>
      <c r="C7150" s="1" t="str">
        <f t="shared" si="354"/>
        <v>4차</v>
      </c>
      <c r="D7150" s="1" t="str">
        <f>"0330D30139"</f>
        <v>0330D30139</v>
      </c>
      <c r="E7150" s="1" t="s">
        <v>14</v>
      </c>
      <c r="F7150" s="1" t="str">
        <f>"10.12.136.63"</f>
        <v>10.12.136.63</v>
      </c>
      <c r="G7150" s="1" t="str">
        <f>"0330D301"</f>
        <v>0330D301</v>
      </c>
      <c r="H7150" s="1" t="str">
        <f>"하계 16"</f>
        <v>하계 16</v>
      </c>
      <c r="I7150" s="1" t="s">
        <v>17</v>
      </c>
      <c r="J7150" s="1" t="str">
        <f>"0/0"</f>
        <v>0/0</v>
      </c>
      <c r="K7150" s="1" t="str">
        <f>"2026-06-10 07:18:03"</f>
        <v>2026-06-10 07:18:03</v>
      </c>
      <c r="L7150" s="1" t="str">
        <f>"2018-05-28 09:30:55"</f>
        <v>2018-05-28 09:30:55</v>
      </c>
      <c r="M7150" s="1" t="s">
        <v>0</v>
      </c>
      <c r="N7150" s="1" t="s">
        <v>39</v>
      </c>
      <c r="O7150" s="1" t="s">
        <v>46</v>
      </c>
    </row>
    <row r="7151" spans="2:15" x14ac:dyDescent="0.3">
      <c r="B7151" s="1" t="s">
        <v>22</v>
      </c>
      <c r="C7151" s="1" t="str">
        <f t="shared" si="354"/>
        <v>4차</v>
      </c>
      <c r="D7151" s="1" t="str">
        <f>"0330D91145"</f>
        <v>0330D91145</v>
      </c>
      <c r="E7151" s="1" t="s">
        <v>10</v>
      </c>
      <c r="F7151" s="1" t="str">
        <f>"10.14.9.11"</f>
        <v>10.14.9.11</v>
      </c>
      <c r="G7151" s="1" t="str">
        <f>"0330D911"</f>
        <v>0330D911</v>
      </c>
      <c r="H7151" s="1" t="str">
        <f>"하계 406"</f>
        <v>하계 406</v>
      </c>
      <c r="I7151" s="1" t="s">
        <v>17</v>
      </c>
      <c r="J7151" s="1" t="str">
        <f>"54/54"</f>
        <v>54/54</v>
      </c>
      <c r="K7151" s="1" t="str">
        <f>"2026-07-29 13:18:04"</f>
        <v>2026-07-29 13:18:04</v>
      </c>
      <c r="L7151" s="1" t="str">
        <f>"2021-06-21 10:30:48"</f>
        <v>2021-06-21 10:30:48</v>
      </c>
      <c r="M7151" s="1" t="s">
        <v>3</v>
      </c>
      <c r="N7151" s="1" t="s">
        <v>38</v>
      </c>
      <c r="O7151" s="1" t="s">
        <v>46</v>
      </c>
    </row>
    <row r="7152" spans="2:15" x14ac:dyDescent="0.3">
      <c r="B7152" s="1" t="s">
        <v>22</v>
      </c>
      <c r="C7152" s="1" t="str">
        <f t="shared" si="354"/>
        <v>4차</v>
      </c>
      <c r="D7152" s="1" t="str">
        <f>"0330D91245"</f>
        <v>0330D91245</v>
      </c>
      <c r="E7152" s="1" t="s">
        <v>10</v>
      </c>
      <c r="F7152" s="1" t="str">
        <f>"10.12.138.162"</f>
        <v>10.12.138.162</v>
      </c>
      <c r="G7152" s="1" t="str">
        <f>"0330D912"</f>
        <v>0330D912</v>
      </c>
      <c r="H7152" s="1" t="str">
        <f>"하계 407"</f>
        <v>하계 407</v>
      </c>
      <c r="I7152" s="1" t="s">
        <v>17</v>
      </c>
      <c r="J7152" s="1" t="str">
        <f>"40/44"</f>
        <v>40/44</v>
      </c>
      <c r="K7152" s="1" t="str">
        <f>"2026-07-29 13:18:04"</f>
        <v>2026-07-29 13:18:04</v>
      </c>
      <c r="L7152" s="1" t="str">
        <f>"2021-06-09 16:14:55"</f>
        <v>2021-06-09 16:14:55</v>
      </c>
      <c r="M7152" s="1" t="s">
        <v>0</v>
      </c>
      <c r="N7152" s="1" t="s">
        <v>38</v>
      </c>
      <c r="O7152" s="1" t="s">
        <v>46</v>
      </c>
    </row>
    <row r="7153" spans="2:15" x14ac:dyDescent="0.3">
      <c r="B7153" s="1" t="s">
        <v>22</v>
      </c>
      <c r="C7153" s="1" t="str">
        <f t="shared" si="354"/>
        <v>4차</v>
      </c>
      <c r="D7153" s="1" t="str">
        <f>"0330D92139"</f>
        <v>0330D92139</v>
      </c>
      <c r="E7153" s="1" t="s">
        <v>10</v>
      </c>
      <c r="F7153" s="1" t="str">
        <f>"10.12.132.157"</f>
        <v>10.12.132.157</v>
      </c>
      <c r="G7153" s="1" t="str">
        <f>"0330D921"</f>
        <v>0330D921</v>
      </c>
      <c r="H7153" s="1" t="str">
        <f>"하계 403"</f>
        <v>하계 403</v>
      </c>
      <c r="I7153" s="1" t="s">
        <v>17</v>
      </c>
      <c r="J7153" s="1" t="str">
        <f>"77/77"</f>
        <v>77/77</v>
      </c>
      <c r="K7153" s="1" t="str">
        <f>"2026-07-29 13:18:04"</f>
        <v>2026-07-29 13:18:04</v>
      </c>
      <c r="L7153" s="1" t="str">
        <f>"2023-05-04 16:49:34"</f>
        <v>2023-05-04 16:49:34</v>
      </c>
      <c r="M7153" s="1" t="s">
        <v>0</v>
      </c>
      <c r="N7153" s="1" t="s">
        <v>38</v>
      </c>
      <c r="O7153" s="1" t="s">
        <v>46</v>
      </c>
    </row>
    <row r="7154" spans="2:15" x14ac:dyDescent="0.3">
      <c r="B7154" s="1" t="s">
        <v>22</v>
      </c>
      <c r="C7154" s="1" t="str">
        <f t="shared" si="354"/>
        <v>4차</v>
      </c>
      <c r="D7154" s="1" t="str">
        <f>"0330D92245"</f>
        <v>0330D92245</v>
      </c>
      <c r="E7154" s="1" t="s">
        <v>10</v>
      </c>
      <c r="F7154" s="1" t="str">
        <f>"10.14.14.61"</f>
        <v>10.14.14.61</v>
      </c>
      <c r="G7154" s="1" t="str">
        <f>"0330D922"</f>
        <v>0330D922</v>
      </c>
      <c r="H7154" s="1" t="str">
        <f>"하계 402"</f>
        <v>하계 402</v>
      </c>
      <c r="I7154" s="1" t="s">
        <v>17</v>
      </c>
      <c r="J7154" s="1" t="str">
        <f>"74/78"</f>
        <v>74/78</v>
      </c>
      <c r="K7154" s="1" t="str">
        <f>"2026-07-29 13:18:04"</f>
        <v>2026-07-29 13:18:04</v>
      </c>
      <c r="L7154" s="1" t="str">
        <f>"2021-06-09 16:49:14"</f>
        <v>2021-06-09 16:49:14</v>
      </c>
      <c r="M7154" s="1" t="s">
        <v>3</v>
      </c>
      <c r="N7154" s="1" t="s">
        <v>38</v>
      </c>
      <c r="O7154" s="1" t="s">
        <v>46</v>
      </c>
    </row>
    <row r="7155" spans="2:15" x14ac:dyDescent="0.3">
      <c r="B7155" s="1" t="s">
        <v>22</v>
      </c>
      <c r="C7155" s="1" t="str">
        <f t="shared" si="354"/>
        <v>4차</v>
      </c>
      <c r="D7155" s="1" t="str">
        <f>"0330E00145"</f>
        <v>0330E00145</v>
      </c>
      <c r="E7155" s="1" t="s">
        <v>10</v>
      </c>
      <c r="F7155" s="1" t="str">
        <f>"10.14.15.64"</f>
        <v>10.14.15.64</v>
      </c>
      <c r="G7155" s="1" t="str">
        <f>"0330E001"</f>
        <v>0330E001</v>
      </c>
      <c r="H7155" s="1" t="str">
        <f>"하계 303"</f>
        <v>하계 303</v>
      </c>
      <c r="I7155" s="1" t="s">
        <v>17</v>
      </c>
      <c r="J7155" s="1" t="str">
        <f>"58/62"</f>
        <v>58/62</v>
      </c>
      <c r="K7155" s="1" t="str">
        <f>"2026-07-29 13:18:03"</f>
        <v>2026-07-29 13:18:03</v>
      </c>
      <c r="L7155" s="1" t="str">
        <f>"2021-06-22 15:23:14"</f>
        <v>2021-06-22 15:23:14</v>
      </c>
      <c r="M7155" s="1" t="s">
        <v>3</v>
      </c>
      <c r="N7155" s="1" t="s">
        <v>38</v>
      </c>
      <c r="O7155" s="1" t="s">
        <v>46</v>
      </c>
    </row>
    <row r="7156" spans="2:15" x14ac:dyDescent="0.3">
      <c r="B7156" s="1" t="s">
        <v>22</v>
      </c>
      <c r="C7156" s="1" t="str">
        <f t="shared" si="354"/>
        <v>4차</v>
      </c>
      <c r="D7156" s="1" t="str">
        <f>"0330E00245"</f>
        <v>0330E00245</v>
      </c>
      <c r="E7156" s="1" t="s">
        <v>10</v>
      </c>
      <c r="F7156" s="1" t="str">
        <f>"10.14.13.2"</f>
        <v>10.14.13.2</v>
      </c>
      <c r="G7156" s="1" t="str">
        <f>"0330E002"</f>
        <v>0330E002</v>
      </c>
      <c r="H7156" s="1" t="str">
        <f>"하계 303A"</f>
        <v>하계 303A</v>
      </c>
      <c r="I7156" s="1" t="s">
        <v>17</v>
      </c>
      <c r="J7156" s="1" t="str">
        <f>"62/68"</f>
        <v>62/68</v>
      </c>
      <c r="K7156" s="1" t="str">
        <f>"2026-07-29 13:18:02"</f>
        <v>2026-07-29 13:18:02</v>
      </c>
      <c r="L7156" s="1" t="str">
        <f>"2021-06-09 15:27:03"</f>
        <v>2021-06-09 15:27:03</v>
      </c>
      <c r="M7156" s="1" t="s">
        <v>3</v>
      </c>
      <c r="N7156" s="1" t="s">
        <v>38</v>
      </c>
      <c r="O7156" s="1" t="s">
        <v>46</v>
      </c>
    </row>
    <row r="7157" spans="2:15" x14ac:dyDescent="0.3">
      <c r="B7157" s="1" t="s">
        <v>22</v>
      </c>
      <c r="C7157" s="1" t="str">
        <f t="shared" si="354"/>
        <v>4차</v>
      </c>
      <c r="D7157" s="1" t="str">
        <f>"0330E47345"</f>
        <v>0330E47345</v>
      </c>
      <c r="E7157" s="1" t="s">
        <v>10</v>
      </c>
      <c r="F7157" s="1" t="str">
        <f>"10.14.7.57"</f>
        <v>10.14.7.57</v>
      </c>
      <c r="G7157" s="1" t="str">
        <f>"0330E473"</f>
        <v>0330E473</v>
      </c>
      <c r="H7157" s="1" t="str">
        <f>"당현 4"</f>
        <v>당현 4</v>
      </c>
      <c r="I7157" s="1" t="s">
        <v>17</v>
      </c>
      <c r="J7157" s="1" t="str">
        <f>"9/9"</f>
        <v>9/9</v>
      </c>
      <c r="K7157" s="1" t="str">
        <f>"2026-07-29 13:18:03"</f>
        <v>2026-07-29 13:18:03</v>
      </c>
      <c r="L7157" s="1" t="str">
        <f>"2021-06-23 13:44:09"</f>
        <v>2021-06-23 13:44:09</v>
      </c>
      <c r="M7157" s="1" t="s">
        <v>3</v>
      </c>
      <c r="N7157" s="1" t="s">
        <v>38</v>
      </c>
      <c r="O7157" s="1" t="s">
        <v>46</v>
      </c>
    </row>
    <row r="7158" spans="2:15" x14ac:dyDescent="0.3">
      <c r="B7158" s="1" t="s">
        <v>22</v>
      </c>
      <c r="C7158" s="1" t="str">
        <f t="shared" si="354"/>
        <v>4차</v>
      </c>
      <c r="D7158" s="1" t="str">
        <f>"0330E72145"</f>
        <v>0330E72145</v>
      </c>
      <c r="E7158" s="1" t="s">
        <v>10</v>
      </c>
      <c r="F7158" s="1" t="str">
        <f>"10.14.4.65"</f>
        <v>10.14.4.65</v>
      </c>
      <c r="G7158" s="1" t="str">
        <f>"0330E721"</f>
        <v>0330E721</v>
      </c>
      <c r="H7158" s="1" t="str">
        <f>"중계 1001"</f>
        <v>중계 1001</v>
      </c>
      <c r="I7158" s="1" t="s">
        <v>17</v>
      </c>
      <c r="J7158" s="1" t="str">
        <f>"108/108"</f>
        <v>108/108</v>
      </c>
      <c r="K7158" s="1" t="str">
        <f>"2026-07-29 13:18:04"</f>
        <v>2026-07-29 13:18:04</v>
      </c>
      <c r="L7158" s="1" t="str">
        <f>"2021-06-24 17:46:35"</f>
        <v>2021-06-24 17:46:35</v>
      </c>
      <c r="M7158" s="1" t="s">
        <v>3</v>
      </c>
      <c r="N7158" s="1" t="s">
        <v>38</v>
      </c>
      <c r="O7158" s="1" t="s">
        <v>46</v>
      </c>
    </row>
    <row r="7159" spans="2:15" x14ac:dyDescent="0.3">
      <c r="B7159" s="1" t="s">
        <v>22</v>
      </c>
      <c r="C7159" s="1" t="str">
        <f t="shared" si="354"/>
        <v>4차</v>
      </c>
      <c r="D7159" s="1" t="str">
        <f>"0330E83145"</f>
        <v>0330E83145</v>
      </c>
      <c r="E7159" s="1" t="s">
        <v>10</v>
      </c>
      <c r="F7159" s="1" t="str">
        <f>"10.14.13.18"</f>
        <v>10.14.13.18</v>
      </c>
      <c r="G7159" s="1" t="str">
        <f>"0330E831"</f>
        <v>0330E831</v>
      </c>
      <c r="H7159" s="1" t="str">
        <f>"중계 1002"</f>
        <v>중계 1002</v>
      </c>
      <c r="I7159" s="1" t="s">
        <v>17</v>
      </c>
      <c r="J7159" s="1" t="str">
        <f>"106/106"</f>
        <v>106/106</v>
      </c>
      <c r="K7159" s="1" t="str">
        <f>"2026-07-29 13:18:03"</f>
        <v>2026-07-29 13:18:03</v>
      </c>
      <c r="L7159" s="1" t="str">
        <f>"2021-06-23 11:03:45"</f>
        <v>2021-06-23 11:03:45</v>
      </c>
      <c r="M7159" s="1" t="s">
        <v>3</v>
      </c>
      <c r="N7159" s="1" t="s">
        <v>38</v>
      </c>
      <c r="O7159" s="1" t="s">
        <v>46</v>
      </c>
    </row>
    <row r="7160" spans="2:15" x14ac:dyDescent="0.3">
      <c r="B7160" s="1" t="s">
        <v>22</v>
      </c>
      <c r="C7160" s="1" t="str">
        <f t="shared" si="354"/>
        <v>4차</v>
      </c>
      <c r="D7160" s="1" t="str">
        <f>"0330E83245"</f>
        <v>0330E83245</v>
      </c>
      <c r="E7160" s="1" t="s">
        <v>10</v>
      </c>
      <c r="F7160" s="1" t="str">
        <f>"10.14.6.59"</f>
        <v>10.14.6.59</v>
      </c>
      <c r="G7160" s="1" t="str">
        <f>"0330E832"</f>
        <v>0330E832</v>
      </c>
      <c r="H7160" s="1" t="str">
        <f>"중계 1003"</f>
        <v>중계 1003</v>
      </c>
      <c r="I7160" s="1" t="s">
        <v>17</v>
      </c>
      <c r="J7160" s="1" t="str">
        <f>"106/106"</f>
        <v>106/106</v>
      </c>
      <c r="K7160" s="1" t="str">
        <f>"2026-07-29 13:18:03"</f>
        <v>2026-07-29 13:18:03</v>
      </c>
      <c r="L7160" s="1" t="str">
        <f>"2021-06-09 17:48:55"</f>
        <v>2021-06-09 17:48:55</v>
      </c>
      <c r="M7160" s="1" t="s">
        <v>3</v>
      </c>
      <c r="N7160" s="1" t="s">
        <v>38</v>
      </c>
      <c r="O7160" s="1" t="s">
        <v>46</v>
      </c>
    </row>
    <row r="7161" spans="2:15" x14ac:dyDescent="0.3">
      <c r="B7161" s="1" t="s">
        <v>22</v>
      </c>
      <c r="C7161" s="1" t="str">
        <f t="shared" si="354"/>
        <v>4차</v>
      </c>
      <c r="D7161" s="1" t="str">
        <f>"0330E90345"</f>
        <v>0330E90345</v>
      </c>
      <c r="E7161" s="1" t="s">
        <v>10</v>
      </c>
      <c r="F7161" s="1" t="str">
        <f>"10.14.4.3"</f>
        <v>10.14.4.3</v>
      </c>
      <c r="G7161" s="1" t="str">
        <f>"0330E903"</f>
        <v>0330E903</v>
      </c>
      <c r="H7161" s="1" t="str">
        <f>"중계 31"</f>
        <v>중계 31</v>
      </c>
      <c r="I7161" s="1" t="s">
        <v>17</v>
      </c>
      <c r="J7161" s="1" t="str">
        <f>"2/2"</f>
        <v>2/2</v>
      </c>
      <c r="K7161" s="1" t="str">
        <f>"2026-07-29 13:18:04"</f>
        <v>2026-07-29 13:18:04</v>
      </c>
      <c r="L7161" s="1" t="str">
        <f>"2021-06-24 17:03:24"</f>
        <v>2021-06-24 17:03:24</v>
      </c>
      <c r="M7161" s="1" t="s">
        <v>3</v>
      </c>
      <c r="N7161" s="1" t="s">
        <v>38</v>
      </c>
      <c r="O7161" s="1" t="s">
        <v>46</v>
      </c>
    </row>
    <row r="7162" spans="2:15" x14ac:dyDescent="0.3">
      <c r="B7162" s="1" t="s">
        <v>22</v>
      </c>
      <c r="C7162" s="1" t="str">
        <f t="shared" si="354"/>
        <v>4차</v>
      </c>
      <c r="D7162" s="1" t="str">
        <f>"0330F54145"</f>
        <v>0330F54145</v>
      </c>
      <c r="E7162" s="1" t="s">
        <v>10</v>
      </c>
      <c r="F7162" s="1" t="str">
        <f>"10.14.6.6"</f>
        <v>10.14.6.6</v>
      </c>
      <c r="G7162" s="1" t="str">
        <f>"0330F541"</f>
        <v>0330F541</v>
      </c>
      <c r="H7162" s="1" t="str">
        <f>"중계 602"</f>
        <v>중계 602</v>
      </c>
      <c r="I7162" s="1" t="s">
        <v>17</v>
      </c>
      <c r="J7162" s="1" t="str">
        <f>"147/147"</f>
        <v>147/147</v>
      </c>
      <c r="K7162" s="1" t="str">
        <f>"2026-07-29 13:18:03"</f>
        <v>2026-07-29 13:18:03</v>
      </c>
      <c r="L7162" s="1" t="str">
        <f>"2021-06-10 08:19:55"</f>
        <v>2021-06-10 08:19:55</v>
      </c>
      <c r="M7162" s="1" t="s">
        <v>3</v>
      </c>
      <c r="N7162" s="1" t="s">
        <v>38</v>
      </c>
      <c r="O7162" s="1" t="s">
        <v>46</v>
      </c>
    </row>
    <row r="7163" spans="2:15" x14ac:dyDescent="0.3">
      <c r="B7163" s="1" t="s">
        <v>22</v>
      </c>
      <c r="C7163" s="1" t="str">
        <f t="shared" si="354"/>
        <v>4차</v>
      </c>
      <c r="D7163" s="1" t="str">
        <f>"0330F63145"</f>
        <v>0330F63145</v>
      </c>
      <c r="E7163" s="1" t="s">
        <v>10</v>
      </c>
      <c r="F7163" s="1" t="str">
        <f>"10.14.11.25"</f>
        <v>10.14.11.25</v>
      </c>
      <c r="G7163" s="1" t="str">
        <f>"0330F631"</f>
        <v>0330F631</v>
      </c>
      <c r="H7163" s="1" t="str">
        <f>"중계 601"</f>
        <v>중계 601</v>
      </c>
      <c r="I7163" s="1" t="s">
        <v>17</v>
      </c>
      <c r="J7163" s="1" t="str">
        <f>"147/147"</f>
        <v>147/147</v>
      </c>
      <c r="K7163" s="1" t="str">
        <f>"2026-07-29 13:18:03"</f>
        <v>2026-07-29 13:18:03</v>
      </c>
      <c r="L7163" s="1" t="str">
        <f>"2021-06-10 07:59:49"</f>
        <v>2021-06-10 07:59:49</v>
      </c>
      <c r="M7163" s="1" t="s">
        <v>3</v>
      </c>
      <c r="N7163" s="1" t="s">
        <v>38</v>
      </c>
      <c r="O7163" s="1" t="s">
        <v>46</v>
      </c>
    </row>
    <row r="7164" spans="2:15" x14ac:dyDescent="0.3">
      <c r="B7164" s="1" t="s">
        <v>22</v>
      </c>
      <c r="C7164" s="1" t="str">
        <f t="shared" ref="C7164:C7185" si="355">"4차"</f>
        <v>4차</v>
      </c>
      <c r="D7164" s="1" t="str">
        <f>"0330F67145"</f>
        <v>0330F67145</v>
      </c>
      <c r="E7164" s="1" t="s">
        <v>10</v>
      </c>
      <c r="F7164" s="1" t="str">
        <f>"10.14.2.1"</f>
        <v>10.14.2.1</v>
      </c>
      <c r="G7164" s="1" t="str">
        <f>"0330F671"</f>
        <v>0330F671</v>
      </c>
      <c r="H7164" s="1" t="str">
        <f>"중계 14"</f>
        <v>중계 14</v>
      </c>
      <c r="I7164" s="1" t="s">
        <v>17</v>
      </c>
      <c r="J7164" s="1" t="str">
        <f>"12/12"</f>
        <v>12/12</v>
      </c>
      <c r="K7164" s="1" t="str">
        <f>"2026-07-29 13:18:04"</f>
        <v>2026-07-29 13:18:04</v>
      </c>
      <c r="L7164" s="1" t="str">
        <f>"2021-06-09 18:30:24"</f>
        <v>2021-06-09 18:30:24</v>
      </c>
      <c r="M7164" s="1" t="s">
        <v>3</v>
      </c>
      <c r="N7164" s="1" t="s">
        <v>38</v>
      </c>
      <c r="O7164" s="1" t="s">
        <v>46</v>
      </c>
    </row>
    <row r="7165" spans="2:15" x14ac:dyDescent="0.3">
      <c r="B7165" s="1" t="s">
        <v>22</v>
      </c>
      <c r="C7165" s="1" t="str">
        <f t="shared" si="355"/>
        <v>4차</v>
      </c>
      <c r="D7165" s="1" t="str">
        <f>"0330F74145"</f>
        <v>0330F74145</v>
      </c>
      <c r="E7165" s="1" t="s">
        <v>10</v>
      </c>
      <c r="F7165" s="1" t="str">
        <f>"10.14.15.11"</f>
        <v>10.14.15.11</v>
      </c>
      <c r="G7165" s="1" t="str">
        <f>"0330F741"</f>
        <v>0330F741</v>
      </c>
      <c r="H7165" s="1" t="str">
        <f>"중계 603"</f>
        <v>중계 603</v>
      </c>
      <c r="I7165" s="1" t="s">
        <v>17</v>
      </c>
      <c r="J7165" s="1" t="str">
        <f>"133/134"</f>
        <v>133/134</v>
      </c>
      <c r="K7165" s="1" t="str">
        <f t="shared" ref="K7165:K7171" si="356">"2026-07-29 13:18:03"</f>
        <v>2026-07-29 13:18:03</v>
      </c>
      <c r="L7165" s="1" t="str">
        <f>"2021-06-10 08:58:32"</f>
        <v>2021-06-10 08:58:32</v>
      </c>
      <c r="M7165" s="1" t="s">
        <v>3</v>
      </c>
      <c r="N7165" s="1" t="s">
        <v>38</v>
      </c>
      <c r="O7165" s="1" t="s">
        <v>46</v>
      </c>
    </row>
    <row r="7166" spans="2:15" x14ac:dyDescent="0.3">
      <c r="B7166" s="1" t="s">
        <v>22</v>
      </c>
      <c r="C7166" s="1" t="str">
        <f t="shared" si="355"/>
        <v>4차</v>
      </c>
      <c r="D7166" s="1" t="str">
        <f>"0330F80145"</f>
        <v>0330F80145</v>
      </c>
      <c r="E7166" s="1" t="s">
        <v>10</v>
      </c>
      <c r="F7166" s="1" t="str">
        <f>"10.14.12.11"</f>
        <v>10.14.12.11</v>
      </c>
      <c r="G7166" s="1" t="str">
        <f>"0330F801"</f>
        <v>0330F801</v>
      </c>
      <c r="H7166" s="1" t="str">
        <f>"중계 705"</f>
        <v>중계 705</v>
      </c>
      <c r="I7166" s="1" t="s">
        <v>17</v>
      </c>
      <c r="J7166" s="1" t="str">
        <f>"118/118"</f>
        <v>118/118</v>
      </c>
      <c r="K7166" s="1" t="str">
        <f t="shared" si="356"/>
        <v>2026-07-29 13:18:03</v>
      </c>
      <c r="L7166" s="1" t="str">
        <f>"2021-06-10 10:33:34"</f>
        <v>2021-06-10 10:33:34</v>
      </c>
      <c r="M7166" s="1" t="s">
        <v>3</v>
      </c>
      <c r="N7166" s="1" t="s">
        <v>38</v>
      </c>
      <c r="O7166" s="1" t="s">
        <v>46</v>
      </c>
    </row>
    <row r="7167" spans="2:15" x14ac:dyDescent="0.3">
      <c r="B7167" s="1" t="s">
        <v>22</v>
      </c>
      <c r="C7167" s="1" t="str">
        <f t="shared" si="355"/>
        <v>4차</v>
      </c>
      <c r="D7167" s="1" t="str">
        <f>"0330F84145"</f>
        <v>0330F84145</v>
      </c>
      <c r="E7167" s="1" t="s">
        <v>10</v>
      </c>
      <c r="F7167" s="1" t="str">
        <f>"10.14.8.56"</f>
        <v>10.14.8.56</v>
      </c>
      <c r="G7167" s="1" t="str">
        <f>"0330F841"</f>
        <v>0330F841</v>
      </c>
      <c r="H7167" s="1" t="str">
        <f>"중계 604"</f>
        <v>중계 604</v>
      </c>
      <c r="I7167" s="1" t="s">
        <v>17</v>
      </c>
      <c r="J7167" s="1" t="str">
        <f>"146/146"</f>
        <v>146/146</v>
      </c>
      <c r="K7167" s="1" t="str">
        <f t="shared" si="356"/>
        <v>2026-07-29 13:18:03</v>
      </c>
      <c r="L7167" s="1" t="str">
        <f>"2021-06-10 09:17:28"</f>
        <v>2021-06-10 09:17:28</v>
      </c>
      <c r="M7167" s="1" t="s">
        <v>3</v>
      </c>
      <c r="N7167" s="1" t="s">
        <v>38</v>
      </c>
      <c r="O7167" s="1" t="s">
        <v>46</v>
      </c>
    </row>
    <row r="7168" spans="2:15" x14ac:dyDescent="0.3">
      <c r="B7168" s="1" t="s">
        <v>22</v>
      </c>
      <c r="C7168" s="1" t="str">
        <f t="shared" si="355"/>
        <v>4차</v>
      </c>
      <c r="D7168" s="1" t="str">
        <f>"0330F90145"</f>
        <v>0330F90145</v>
      </c>
      <c r="E7168" s="1" t="s">
        <v>10</v>
      </c>
      <c r="F7168" s="1" t="str">
        <f>"10.14.12.2"</f>
        <v>10.14.12.2</v>
      </c>
      <c r="G7168" s="1" t="str">
        <f>"0330F901"</f>
        <v>0330F901</v>
      </c>
      <c r="H7168" s="1" t="str">
        <f>"중계 703"</f>
        <v>중계 703</v>
      </c>
      <c r="I7168" s="1" t="s">
        <v>17</v>
      </c>
      <c r="J7168" s="1" t="str">
        <f>"102/110"</f>
        <v>102/110</v>
      </c>
      <c r="K7168" s="1" t="str">
        <f t="shared" si="356"/>
        <v>2026-07-29 13:18:03</v>
      </c>
      <c r="L7168" s="1" t="str">
        <f>"2021-06-10 10:16:33"</f>
        <v>2021-06-10 10:16:33</v>
      </c>
      <c r="M7168" s="1" t="s">
        <v>3</v>
      </c>
      <c r="N7168" s="1" t="s">
        <v>38</v>
      </c>
      <c r="O7168" s="1" t="s">
        <v>46</v>
      </c>
    </row>
    <row r="7169" spans="2:15" x14ac:dyDescent="0.3">
      <c r="B7169" s="1" t="s">
        <v>22</v>
      </c>
      <c r="C7169" s="1" t="str">
        <f t="shared" si="355"/>
        <v>4차</v>
      </c>
      <c r="D7169" s="1" t="str">
        <f>"0330F91145"</f>
        <v>0330F91145</v>
      </c>
      <c r="E7169" s="1" t="s">
        <v>10</v>
      </c>
      <c r="F7169" s="1" t="str">
        <f>"10.14.2.9"</f>
        <v>10.14.2.9</v>
      </c>
      <c r="G7169" s="1" t="str">
        <f>"0330F911"</f>
        <v>0330F911</v>
      </c>
      <c r="H7169" s="1" t="str">
        <f>"중계 702"</f>
        <v>중계 702</v>
      </c>
      <c r="I7169" s="1" t="s">
        <v>17</v>
      </c>
      <c r="J7169" s="1" t="str">
        <f>"118/118"</f>
        <v>118/118</v>
      </c>
      <c r="K7169" s="1" t="str">
        <f t="shared" si="356"/>
        <v>2026-07-29 13:18:03</v>
      </c>
      <c r="L7169" s="1" t="str">
        <f>"2021-06-10 11:04:48"</f>
        <v>2021-06-10 11:04:48</v>
      </c>
      <c r="M7169" s="1" t="s">
        <v>3</v>
      </c>
      <c r="N7169" s="1" t="s">
        <v>38</v>
      </c>
      <c r="O7169" s="1" t="s">
        <v>46</v>
      </c>
    </row>
    <row r="7170" spans="2:15" x14ac:dyDescent="0.3">
      <c r="B7170" s="1" t="s">
        <v>22</v>
      </c>
      <c r="C7170" s="1" t="str">
        <f t="shared" si="355"/>
        <v>4차</v>
      </c>
      <c r="D7170" s="1" t="str">
        <f>"0330F91245"</f>
        <v>0330F91245</v>
      </c>
      <c r="E7170" s="1" t="s">
        <v>10</v>
      </c>
      <c r="F7170" s="1" t="str">
        <f>"10.14.2.62"</f>
        <v>10.14.2.62</v>
      </c>
      <c r="G7170" s="1" t="str">
        <f>"0330F912"</f>
        <v>0330F912</v>
      </c>
      <c r="H7170" s="1" t="str">
        <f>"중계 701"</f>
        <v>중계 701</v>
      </c>
      <c r="I7170" s="1" t="s">
        <v>17</v>
      </c>
      <c r="J7170" s="1" t="str">
        <f>"120/120"</f>
        <v>120/120</v>
      </c>
      <c r="K7170" s="1" t="str">
        <f t="shared" si="356"/>
        <v>2026-07-29 13:18:03</v>
      </c>
      <c r="L7170" s="1" t="str">
        <f>"2021-06-10 11:44:11"</f>
        <v>2021-06-10 11:44:11</v>
      </c>
      <c r="M7170" s="1" t="s">
        <v>3</v>
      </c>
      <c r="N7170" s="1" t="s">
        <v>38</v>
      </c>
      <c r="O7170" s="1" t="s">
        <v>46</v>
      </c>
    </row>
    <row r="7171" spans="2:15" x14ac:dyDescent="0.3">
      <c r="B7171" s="1" t="s">
        <v>22</v>
      </c>
      <c r="C7171" s="1" t="str">
        <f t="shared" si="355"/>
        <v>4차</v>
      </c>
      <c r="D7171" s="1" t="str">
        <f>"0330G00145"</f>
        <v>0330G00145</v>
      </c>
      <c r="E7171" s="1" t="s">
        <v>10</v>
      </c>
      <c r="F7171" s="1" t="str">
        <f>"10.14.2.66"</f>
        <v>10.14.2.66</v>
      </c>
      <c r="G7171" s="1" t="str">
        <f>"0330G001"</f>
        <v>0330G001</v>
      </c>
      <c r="H7171" s="1" t="str">
        <f>"하계 409"</f>
        <v>하계 409</v>
      </c>
      <c r="I7171" s="1" t="s">
        <v>17</v>
      </c>
      <c r="J7171" s="1" t="str">
        <f>"63/66"</f>
        <v>63/66</v>
      </c>
      <c r="K7171" s="1" t="str">
        <f t="shared" si="356"/>
        <v>2026-07-29 13:18:03</v>
      </c>
      <c r="L7171" s="1" t="str">
        <f>"2021-06-14 07:48:43"</f>
        <v>2021-06-14 07:48:43</v>
      </c>
      <c r="M7171" s="1" t="s">
        <v>3</v>
      </c>
      <c r="N7171" s="1" t="s">
        <v>38</v>
      </c>
      <c r="O7171" s="1" t="s">
        <v>46</v>
      </c>
    </row>
    <row r="7172" spans="2:15" x14ac:dyDescent="0.3">
      <c r="B7172" s="1" t="s">
        <v>22</v>
      </c>
      <c r="C7172" s="1" t="str">
        <f t="shared" si="355"/>
        <v>4차</v>
      </c>
      <c r="D7172" s="1" t="str">
        <f>"0330G00245"</f>
        <v>0330G00245</v>
      </c>
      <c r="E7172" s="1" t="s">
        <v>10</v>
      </c>
      <c r="F7172" s="1" t="str">
        <f>"10.14.1.17"</f>
        <v>10.14.1.17</v>
      </c>
      <c r="G7172" s="1" t="str">
        <f>"0330G002"</f>
        <v>0330G002</v>
      </c>
      <c r="H7172" s="1" t="str">
        <f>"하계 408"</f>
        <v>하계 408</v>
      </c>
      <c r="I7172" s="1" t="s">
        <v>17</v>
      </c>
      <c r="J7172" s="1" t="str">
        <f>"36/46"</f>
        <v>36/46</v>
      </c>
      <c r="K7172" s="1" t="str">
        <f>"2026-07-29 13:18:04"</f>
        <v>2026-07-29 13:18:04</v>
      </c>
      <c r="L7172" s="1" t="str">
        <f>"2021-06-14 08:04:03"</f>
        <v>2021-06-14 08:04:03</v>
      </c>
      <c r="M7172" s="1" t="s">
        <v>3</v>
      </c>
      <c r="N7172" s="1" t="s">
        <v>38</v>
      </c>
      <c r="O7172" s="1" t="s">
        <v>46</v>
      </c>
    </row>
    <row r="7173" spans="2:15" x14ac:dyDescent="0.3">
      <c r="B7173" s="1" t="s">
        <v>22</v>
      </c>
      <c r="C7173" s="1" t="str">
        <f t="shared" si="355"/>
        <v>4차</v>
      </c>
      <c r="D7173" s="1" t="str">
        <f>"0330G00345"</f>
        <v>0330G00345</v>
      </c>
      <c r="E7173" s="1" t="s">
        <v>10</v>
      </c>
      <c r="F7173" s="1" t="str">
        <f>"10.14.4.27"</f>
        <v>10.14.4.27</v>
      </c>
      <c r="G7173" s="1" t="str">
        <f>"0330G003"</f>
        <v>0330G003</v>
      </c>
      <c r="H7173" s="1" t="str">
        <f>"하계 412"</f>
        <v>하계 412</v>
      </c>
      <c r="I7173" s="1" t="s">
        <v>17</v>
      </c>
      <c r="J7173" s="1" t="str">
        <f>"69/72"</f>
        <v>69/72</v>
      </c>
      <c r="K7173" s="1" t="str">
        <f>"2026-07-29 13:18:03"</f>
        <v>2026-07-29 13:18:03</v>
      </c>
      <c r="L7173" s="1" t="str">
        <f>"2021-06-14 08:33:28"</f>
        <v>2021-06-14 08:33:28</v>
      </c>
      <c r="M7173" s="1" t="s">
        <v>3</v>
      </c>
      <c r="N7173" s="1" t="s">
        <v>38</v>
      </c>
      <c r="O7173" s="1" t="s">
        <v>46</v>
      </c>
    </row>
    <row r="7174" spans="2:15" x14ac:dyDescent="0.3">
      <c r="B7174" s="1" t="s">
        <v>22</v>
      </c>
      <c r="C7174" s="1" t="str">
        <f t="shared" si="355"/>
        <v>4차</v>
      </c>
      <c r="D7174" s="1" t="str">
        <f>"0330G07145"</f>
        <v>0330G07145</v>
      </c>
      <c r="E7174" s="1" t="s">
        <v>10</v>
      </c>
      <c r="F7174" s="1" t="str">
        <f>"10.14.2.58"</f>
        <v>10.14.2.58</v>
      </c>
      <c r="G7174" s="1" t="str">
        <f>"0330G071"</f>
        <v>0330G071</v>
      </c>
      <c r="H7174" s="1" t="str">
        <f>"하계 309"</f>
        <v>하계 309</v>
      </c>
      <c r="I7174" s="1" t="s">
        <v>17</v>
      </c>
      <c r="J7174" s="1" t="str">
        <f>"14/14"</f>
        <v>14/14</v>
      </c>
      <c r="K7174" s="1" t="str">
        <f>"2026-07-29 13:18:04"</f>
        <v>2026-07-29 13:18:04</v>
      </c>
      <c r="L7174" s="1" t="str">
        <f>"2021-07-02 16:06:55"</f>
        <v>2021-07-02 16:06:55</v>
      </c>
      <c r="M7174" s="1" t="s">
        <v>3</v>
      </c>
      <c r="N7174" s="1" t="s">
        <v>38</v>
      </c>
      <c r="O7174" s="1" t="s">
        <v>46</v>
      </c>
    </row>
    <row r="7175" spans="2:15" x14ac:dyDescent="0.3">
      <c r="B7175" s="1" t="s">
        <v>22</v>
      </c>
      <c r="C7175" s="1" t="str">
        <f t="shared" si="355"/>
        <v>4차</v>
      </c>
      <c r="D7175" s="1" t="str">
        <f>"0330G07245"</f>
        <v>0330G07245</v>
      </c>
      <c r="E7175" s="1" t="s">
        <v>10</v>
      </c>
      <c r="F7175" s="1" t="str">
        <f>"10.14.1.10"</f>
        <v>10.14.1.10</v>
      </c>
      <c r="G7175" s="1" t="str">
        <f>"0330G072"</f>
        <v>0330G072</v>
      </c>
      <c r="H7175" s="1" t="str">
        <f>"하계 309A"</f>
        <v>하계 309A</v>
      </c>
      <c r="I7175" s="1" t="s">
        <v>17</v>
      </c>
      <c r="J7175" s="1" t="str">
        <f>"10/10"</f>
        <v>10/10</v>
      </c>
      <c r="K7175" s="1" t="str">
        <f>"2026-07-29 13:18:04"</f>
        <v>2026-07-29 13:18:04</v>
      </c>
      <c r="L7175" s="1" t="str">
        <f>"2021-06-22 13:41:43"</f>
        <v>2021-06-22 13:41:43</v>
      </c>
      <c r="M7175" s="1" t="s">
        <v>3</v>
      </c>
      <c r="N7175" s="1" t="s">
        <v>38</v>
      </c>
      <c r="O7175" s="1" t="s">
        <v>46</v>
      </c>
    </row>
    <row r="7176" spans="2:15" x14ac:dyDescent="0.3">
      <c r="B7176" s="1" t="s">
        <v>22</v>
      </c>
      <c r="C7176" s="1" t="str">
        <f t="shared" si="355"/>
        <v>4차</v>
      </c>
      <c r="D7176" s="1" t="str">
        <f>"0330G08245"</f>
        <v>0330G08245</v>
      </c>
      <c r="E7176" s="1" t="s">
        <v>10</v>
      </c>
      <c r="F7176" s="1" t="str">
        <f>"10.14.15.16"</f>
        <v>10.14.15.16</v>
      </c>
      <c r="G7176" s="1" t="str">
        <f>"0330G082"</f>
        <v>0330G082</v>
      </c>
      <c r="H7176" s="1" t="str">
        <f>"하계 308"</f>
        <v>하계 308</v>
      </c>
      <c r="I7176" s="1" t="s">
        <v>17</v>
      </c>
      <c r="J7176" s="1" t="str">
        <f>"67/79"</f>
        <v>67/79</v>
      </c>
      <c r="K7176" s="1" t="str">
        <f>"2026-07-29 13:18:04"</f>
        <v>2026-07-29 13:18:04</v>
      </c>
      <c r="L7176" s="1" t="str">
        <f>"2021-06-22 13:55:54"</f>
        <v>2021-06-22 13:55:54</v>
      </c>
      <c r="M7176" s="1" t="s">
        <v>3</v>
      </c>
      <c r="N7176" s="1" t="s">
        <v>38</v>
      </c>
      <c r="O7176" s="1" t="s">
        <v>46</v>
      </c>
    </row>
    <row r="7177" spans="2:15" x14ac:dyDescent="0.3">
      <c r="B7177" s="1" t="s">
        <v>22</v>
      </c>
      <c r="C7177" s="1" t="str">
        <f t="shared" si="355"/>
        <v>4차</v>
      </c>
      <c r="D7177" s="1" t="str">
        <f>"0330G09145"</f>
        <v>0330G09145</v>
      </c>
      <c r="E7177" s="1" t="str">
        <f>"검침실패(3시간 이상)"</f>
        <v>검침실패(3시간 이상)</v>
      </c>
      <c r="F7177" s="1" t="str">
        <f>"10.14.9.65"</f>
        <v>10.14.9.65</v>
      </c>
      <c r="G7177" s="1" t="str">
        <f>"0330G091"</f>
        <v>0330G091</v>
      </c>
      <c r="H7177" s="1" t="str">
        <f>"하계 305"</f>
        <v>하계 305</v>
      </c>
      <c r="I7177" s="1" t="s">
        <v>17</v>
      </c>
      <c r="J7177" s="1" t="str">
        <f>"0/6"</f>
        <v>0/6</v>
      </c>
      <c r="K7177" s="1" t="str">
        <f>"2026-07-29 13:18:03"</f>
        <v>2026-07-29 13:18:03</v>
      </c>
      <c r="L7177" s="1" t="str">
        <f>"2021-06-10 16:01:19"</f>
        <v>2021-06-10 16:01:19</v>
      </c>
      <c r="M7177" s="1" t="s">
        <v>3</v>
      </c>
      <c r="N7177" s="1" t="s">
        <v>38</v>
      </c>
      <c r="O7177" s="1" t="s">
        <v>46</v>
      </c>
    </row>
    <row r="7178" spans="2:15" x14ac:dyDescent="0.3">
      <c r="B7178" s="1" t="s">
        <v>22</v>
      </c>
      <c r="C7178" s="1" t="str">
        <f t="shared" si="355"/>
        <v>4차</v>
      </c>
      <c r="D7178" s="1" t="str">
        <f>"0330G09245"</f>
        <v>0330G09245</v>
      </c>
      <c r="E7178" s="1" t="s">
        <v>10</v>
      </c>
      <c r="F7178" s="1" t="str">
        <f>"10.14.12.59"</f>
        <v>10.14.12.59</v>
      </c>
      <c r="G7178" s="1" t="str">
        <f>"0330G092"</f>
        <v>0330G092</v>
      </c>
      <c r="H7178" s="1" t="str">
        <f>"하계 305A"</f>
        <v>하계 305A</v>
      </c>
      <c r="I7178" s="1" t="s">
        <v>17</v>
      </c>
      <c r="J7178" s="1" t="str">
        <f>"19/19"</f>
        <v>19/19</v>
      </c>
      <c r="K7178" s="1" t="str">
        <f>"2026-07-29 13:18:02"</f>
        <v>2026-07-29 13:18:02</v>
      </c>
      <c r="L7178" s="1" t="str">
        <f>"2021-06-10 16:05:08"</f>
        <v>2021-06-10 16:05:08</v>
      </c>
      <c r="M7178" s="1" t="s">
        <v>3</v>
      </c>
      <c r="N7178" s="1" t="s">
        <v>38</v>
      </c>
      <c r="O7178" s="1" t="s">
        <v>46</v>
      </c>
    </row>
    <row r="7179" spans="2:15" x14ac:dyDescent="0.3">
      <c r="B7179" s="1" t="s">
        <v>22</v>
      </c>
      <c r="C7179" s="1" t="str">
        <f t="shared" si="355"/>
        <v>4차</v>
      </c>
      <c r="D7179" s="1" t="str">
        <f>"0330G09345"</f>
        <v>0330G09345</v>
      </c>
      <c r="E7179" s="1" t="s">
        <v>10</v>
      </c>
      <c r="F7179" s="1" t="str">
        <f>"10.12.131.85"</f>
        <v>10.12.131.85</v>
      </c>
      <c r="G7179" s="1" t="str">
        <f>"0330G093"</f>
        <v>0330G093</v>
      </c>
      <c r="H7179" s="1" t="str">
        <f>"하계 306"</f>
        <v>하계 306</v>
      </c>
      <c r="I7179" s="1" t="s">
        <v>17</v>
      </c>
      <c r="J7179" s="1" t="str">
        <f>"7/7"</f>
        <v>7/7</v>
      </c>
      <c r="K7179" s="1" t="str">
        <f>"2026-07-29 13:18:03"</f>
        <v>2026-07-29 13:18:03</v>
      </c>
      <c r="L7179" s="1" t="str">
        <f>"2021-06-10 15:12:05"</f>
        <v>2021-06-10 15:12:05</v>
      </c>
      <c r="M7179" s="1" t="s">
        <v>0</v>
      </c>
      <c r="N7179" s="1" t="s">
        <v>38</v>
      </c>
      <c r="O7179" s="1" t="s">
        <v>46</v>
      </c>
    </row>
    <row r="7180" spans="2:15" x14ac:dyDescent="0.3">
      <c r="B7180" s="1" t="s">
        <v>22</v>
      </c>
      <c r="C7180" s="1" t="str">
        <f t="shared" si="355"/>
        <v>4차</v>
      </c>
      <c r="D7180" s="1" t="str">
        <f>"0330G09445"</f>
        <v>0330G09445</v>
      </c>
      <c r="E7180" s="1" t="s">
        <v>10</v>
      </c>
      <c r="F7180" s="1" t="str">
        <f>"10.14.11.6"</f>
        <v>10.14.11.6</v>
      </c>
      <c r="G7180" s="1" t="str">
        <f>"0330G094"</f>
        <v>0330G094</v>
      </c>
      <c r="H7180" s="1" t="str">
        <f>"하계 306A"</f>
        <v>하계 306A</v>
      </c>
      <c r="I7180" s="1" t="s">
        <v>17</v>
      </c>
      <c r="J7180" s="1" t="str">
        <f>"6/9"</f>
        <v>6/9</v>
      </c>
      <c r="K7180" s="1" t="str">
        <f>"2026-07-29 13:18:02"</f>
        <v>2026-07-29 13:18:02</v>
      </c>
      <c r="L7180" s="1" t="str">
        <f>"2021-06-10 15:25:28"</f>
        <v>2021-06-10 15:25:28</v>
      </c>
      <c r="M7180" s="1" t="s">
        <v>3</v>
      </c>
      <c r="N7180" s="1" t="s">
        <v>38</v>
      </c>
      <c r="O7180" s="1" t="s">
        <v>46</v>
      </c>
    </row>
    <row r="7181" spans="2:15" x14ac:dyDescent="0.3">
      <c r="B7181" s="1" t="s">
        <v>22</v>
      </c>
      <c r="C7181" s="1" t="str">
        <f t="shared" si="355"/>
        <v>4차</v>
      </c>
      <c r="D7181" s="1" t="str">
        <f>"0330G14139"</f>
        <v>0330G14139</v>
      </c>
      <c r="E7181" s="1" t="s">
        <v>10</v>
      </c>
      <c r="F7181" s="1" t="str">
        <f>"10.12.137.22"</f>
        <v>10.12.137.22</v>
      </c>
      <c r="G7181" s="1" t="str">
        <f>"0330G141"</f>
        <v>0330G141</v>
      </c>
      <c r="H7181" s="1" t="str">
        <f>"하계 401"</f>
        <v>하계 401</v>
      </c>
      <c r="I7181" s="1" t="s">
        <v>17</v>
      </c>
      <c r="J7181" s="1" t="str">
        <f>"14/14"</f>
        <v>14/14</v>
      </c>
      <c r="K7181" s="1" t="str">
        <f>"2026-07-29 13:18:04"</f>
        <v>2026-07-29 13:18:04</v>
      </c>
      <c r="L7181" s="1" t="str">
        <f>"2018-10-11 11:30:57"</f>
        <v>2018-10-11 11:30:57</v>
      </c>
      <c r="M7181" s="1" t="s">
        <v>0</v>
      </c>
      <c r="N7181" s="1" t="s">
        <v>38</v>
      </c>
      <c r="O7181" s="1" t="s">
        <v>46</v>
      </c>
    </row>
    <row r="7182" spans="2:15" x14ac:dyDescent="0.3">
      <c r="B7182" s="1" t="s">
        <v>22</v>
      </c>
      <c r="C7182" s="1" t="str">
        <f t="shared" si="355"/>
        <v>4차</v>
      </c>
      <c r="D7182" s="1" t="str">
        <f>"0330G14245"</f>
        <v>0330G14245</v>
      </c>
      <c r="E7182" s="1" t="s">
        <v>10</v>
      </c>
      <c r="F7182" s="1" t="str">
        <f>"10.12.137.25"</f>
        <v>10.12.137.25</v>
      </c>
      <c r="G7182" s="1" t="str">
        <f>"0330G142"</f>
        <v>0330G142</v>
      </c>
      <c r="H7182" s="1" t="str">
        <f>"하계 401A"</f>
        <v>하계 401A</v>
      </c>
      <c r="I7182" s="1" t="s">
        <v>17</v>
      </c>
      <c r="J7182" s="1" t="str">
        <f>"51/55"</f>
        <v>51/55</v>
      </c>
      <c r="K7182" s="1" t="str">
        <f>"2026-07-29 13:18:04"</f>
        <v>2026-07-29 13:18:04</v>
      </c>
      <c r="L7182" s="1" t="str">
        <f>"2022-05-24 14:59:54"</f>
        <v>2022-05-24 14:59:54</v>
      </c>
      <c r="M7182" s="1" t="s">
        <v>0</v>
      </c>
      <c r="N7182" s="1" t="s">
        <v>38</v>
      </c>
      <c r="O7182" s="1" t="s">
        <v>46</v>
      </c>
    </row>
    <row r="7183" spans="2:15" x14ac:dyDescent="0.3">
      <c r="B7183" s="1" t="s">
        <v>22</v>
      </c>
      <c r="C7183" s="1" t="str">
        <f t="shared" si="355"/>
        <v>4차</v>
      </c>
      <c r="D7183" s="1" t="str">
        <f>"0330G16239"</f>
        <v>0330G16239</v>
      </c>
      <c r="E7183" s="1" t="s">
        <v>10</v>
      </c>
      <c r="F7183" s="1" t="str">
        <f>"10.12.137.10"</f>
        <v>10.12.137.10</v>
      </c>
      <c r="G7183" s="1" t="str">
        <f>"0330G162"</f>
        <v>0330G162</v>
      </c>
      <c r="H7183" s="1" t="str">
        <f>"하계 311A"</f>
        <v>하계 311A</v>
      </c>
      <c r="I7183" s="1" t="s">
        <v>17</v>
      </c>
      <c r="J7183" s="1" t="str">
        <f>"161/162"</f>
        <v>161/162</v>
      </c>
      <c r="K7183" s="1" t="str">
        <f>"2026-07-29 13:18:02"</f>
        <v>2026-07-29 13:18:02</v>
      </c>
      <c r="L7183" s="1" t="str">
        <f>"2018-10-11 09:57:41"</f>
        <v>2018-10-11 09:57:41</v>
      </c>
      <c r="M7183" s="1" t="s">
        <v>0</v>
      </c>
      <c r="N7183" s="1" t="s">
        <v>38</v>
      </c>
      <c r="O7183" s="1" t="s">
        <v>46</v>
      </c>
    </row>
    <row r="7184" spans="2:15" x14ac:dyDescent="0.3">
      <c r="B7184" s="1" t="s">
        <v>22</v>
      </c>
      <c r="C7184" s="1" t="str">
        <f t="shared" si="355"/>
        <v>4차</v>
      </c>
      <c r="D7184" s="1" t="str">
        <f>"0330G17145"</f>
        <v>0330G17145</v>
      </c>
      <c r="E7184" s="1" t="s">
        <v>10</v>
      </c>
      <c r="F7184" s="1" t="str">
        <f>"10.14.3.14"</f>
        <v>10.14.3.14</v>
      </c>
      <c r="G7184" s="1" t="str">
        <f>"0330G171"</f>
        <v>0330G171</v>
      </c>
      <c r="H7184" s="1" t="str">
        <f>"하계 310"</f>
        <v>하계 310</v>
      </c>
      <c r="I7184" s="1" t="s">
        <v>17</v>
      </c>
      <c r="J7184" s="1" t="str">
        <f>"22/42"</f>
        <v>22/42</v>
      </c>
      <c r="K7184" s="1" t="str">
        <f>"2026-07-29 13:18:03"</f>
        <v>2026-07-29 13:18:03</v>
      </c>
      <c r="L7184" s="1" t="str">
        <f>"2021-06-10 15:00:20"</f>
        <v>2021-06-10 15:00:20</v>
      </c>
      <c r="M7184" s="1" t="s">
        <v>3</v>
      </c>
      <c r="N7184" s="1" t="s">
        <v>38</v>
      </c>
      <c r="O7184" s="1" t="s">
        <v>46</v>
      </c>
    </row>
    <row r="7185" spans="2:15" x14ac:dyDescent="0.3">
      <c r="B7185" s="1" t="s">
        <v>22</v>
      </c>
      <c r="C7185" s="1" t="str">
        <f t="shared" si="355"/>
        <v>4차</v>
      </c>
      <c r="D7185" s="1" t="str">
        <f>"0330G20145"</f>
        <v>0330G20145</v>
      </c>
      <c r="E7185" s="1" t="s">
        <v>10</v>
      </c>
      <c r="F7185" s="1" t="str">
        <f>"10.14.11.4"</f>
        <v>10.14.11.4</v>
      </c>
      <c r="G7185" s="1" t="str">
        <f>"0330G201"</f>
        <v>0330G201</v>
      </c>
      <c r="H7185" s="1" t="str">
        <f>"하계 413"</f>
        <v>하계 413</v>
      </c>
      <c r="I7185" s="1" t="s">
        <v>17</v>
      </c>
      <c r="J7185" s="1" t="str">
        <f>"123/123"</f>
        <v>123/123</v>
      </c>
      <c r="K7185" s="1" t="str">
        <f>"2026-07-29 13:18:03"</f>
        <v>2026-07-29 13:18:03</v>
      </c>
      <c r="L7185" s="1" t="str">
        <f>"2021-06-14 13:32:46"</f>
        <v>2021-06-14 13:32:46</v>
      </c>
      <c r="M7185" s="1" t="s">
        <v>3</v>
      </c>
      <c r="N7185" s="1" t="s">
        <v>38</v>
      </c>
      <c r="O7185" s="1" t="s">
        <v>46</v>
      </c>
    </row>
    <row r="7186" spans="2:15" x14ac:dyDescent="0.3">
      <c r="B7186" s="1" t="s">
        <v>22</v>
      </c>
      <c r="C7186" s="1" t="str">
        <f>"3차"</f>
        <v>3차</v>
      </c>
      <c r="D7186" s="1" t="str">
        <f>"0330G23139"</f>
        <v>0330G23139</v>
      </c>
      <c r="E7186" s="1" t="s">
        <v>10</v>
      </c>
      <c r="F7186" s="1" t="str">
        <f>"10.12.137.12"</f>
        <v>10.12.137.12</v>
      </c>
      <c r="G7186" s="1" t="str">
        <f>"0330G231"</f>
        <v>0330G231</v>
      </c>
      <c r="H7186" s="1" t="str">
        <f>"하계 404"</f>
        <v>하계 404</v>
      </c>
      <c r="I7186" s="1" t="s">
        <v>17</v>
      </c>
      <c r="J7186" s="1" t="str">
        <f>"158/158"</f>
        <v>158/158</v>
      </c>
      <c r="K7186" s="1" t="str">
        <f>"2026-07-29 13:18:05"</f>
        <v>2026-07-29 13:18:05</v>
      </c>
      <c r="L7186" s="1" t="str">
        <f>"2018-12-18 13:42:45"</f>
        <v>2018-12-18 13:42:45</v>
      </c>
      <c r="M7186" s="1" t="s">
        <v>0</v>
      </c>
      <c r="N7186" s="1" t="s">
        <v>38</v>
      </c>
      <c r="O7186" s="1" t="s">
        <v>46</v>
      </c>
    </row>
    <row r="7187" spans="2:15" x14ac:dyDescent="0.3">
      <c r="B7187" s="1" t="s">
        <v>22</v>
      </c>
      <c r="C7187" s="1" t="str">
        <f t="shared" ref="C7187:C7209" si="357">"4차"</f>
        <v>4차</v>
      </c>
      <c r="D7187" s="1" t="str">
        <f>"0330G23239"</f>
        <v>0330G23239</v>
      </c>
      <c r="E7187" s="1" t="s">
        <v>10</v>
      </c>
      <c r="F7187" s="1" t="str">
        <f>"10.12.132.88"</f>
        <v>10.12.132.88</v>
      </c>
      <c r="G7187" s="1" t="str">
        <f>"0330G232"</f>
        <v>0330G232</v>
      </c>
      <c r="H7187" s="1" t="str">
        <f>"하계 404A"</f>
        <v>하계 404A</v>
      </c>
      <c r="I7187" s="1" t="s">
        <v>17</v>
      </c>
      <c r="J7187" s="1" t="str">
        <f>"34/58"</f>
        <v>34/58</v>
      </c>
      <c r="K7187" s="1" t="str">
        <f>"2026-07-29 13:18:04"</f>
        <v>2026-07-29 13:18:04</v>
      </c>
      <c r="L7187" s="1" t="str">
        <f>"2018-10-11 10:48:25"</f>
        <v>2018-10-11 10:48:25</v>
      </c>
      <c r="M7187" s="1" t="s">
        <v>0</v>
      </c>
      <c r="N7187" s="1" t="s">
        <v>38</v>
      </c>
      <c r="O7187" s="1" t="s">
        <v>46</v>
      </c>
    </row>
    <row r="7188" spans="2:15" x14ac:dyDescent="0.3">
      <c r="B7188" s="1" t="s">
        <v>22</v>
      </c>
      <c r="C7188" s="1" t="str">
        <f t="shared" si="357"/>
        <v>4차</v>
      </c>
      <c r="D7188" s="1" t="str">
        <f>"0330G23345"</f>
        <v>0330G23345</v>
      </c>
      <c r="E7188" s="1" t="s">
        <v>10</v>
      </c>
      <c r="F7188" s="1" t="str">
        <f>"10.14.10.62"</f>
        <v>10.14.10.62</v>
      </c>
      <c r="G7188" s="1" t="str">
        <f>"0330G233"</f>
        <v>0330G233</v>
      </c>
      <c r="H7188" s="1" t="str">
        <f>"하계 405"</f>
        <v>하계 405</v>
      </c>
      <c r="I7188" s="1" t="s">
        <v>17</v>
      </c>
      <c r="J7188" s="1" t="str">
        <f>"186/186"</f>
        <v>186/186</v>
      </c>
      <c r="K7188" s="1" t="str">
        <f>"2026-07-29 13:18:04"</f>
        <v>2026-07-29 13:18:04</v>
      </c>
      <c r="L7188" s="1" t="str">
        <f>"2021-06-21 10:44:25"</f>
        <v>2021-06-21 10:44:25</v>
      </c>
      <c r="M7188" s="1" t="s">
        <v>3</v>
      </c>
      <c r="N7188" s="1" t="s">
        <v>38</v>
      </c>
      <c r="O7188" s="1" t="s">
        <v>46</v>
      </c>
    </row>
    <row r="7189" spans="2:15" x14ac:dyDescent="0.3">
      <c r="B7189" s="1" t="s">
        <v>22</v>
      </c>
      <c r="C7189" s="1" t="str">
        <f t="shared" si="357"/>
        <v>4차</v>
      </c>
      <c r="D7189" s="1" t="str">
        <f>"0330G25145"</f>
        <v>0330G25145</v>
      </c>
      <c r="E7189" s="1" t="s">
        <v>10</v>
      </c>
      <c r="F7189" s="1" t="str">
        <f>"10.14.2.12"</f>
        <v>10.14.2.12</v>
      </c>
      <c r="G7189" s="1" t="str">
        <f>"0330G251"</f>
        <v>0330G251</v>
      </c>
      <c r="H7189" s="1" t="str">
        <f>"하계 22A"</f>
        <v>하계 22A</v>
      </c>
      <c r="I7189" s="1" t="s">
        <v>17</v>
      </c>
      <c r="J7189" s="1" t="str">
        <f>"23/23"</f>
        <v>23/23</v>
      </c>
      <c r="K7189" s="1" t="str">
        <f>"2026-07-29 13:18:05"</f>
        <v>2026-07-29 13:18:05</v>
      </c>
      <c r="L7189" s="1" t="str">
        <f>"2021-06-14 08:58:30"</f>
        <v>2021-06-14 08:58:30</v>
      </c>
      <c r="M7189" s="1" t="s">
        <v>3</v>
      </c>
      <c r="N7189" s="1" t="s">
        <v>38</v>
      </c>
      <c r="O7189" s="1" t="s">
        <v>46</v>
      </c>
    </row>
    <row r="7190" spans="2:15" x14ac:dyDescent="0.3">
      <c r="B7190" s="1" t="s">
        <v>22</v>
      </c>
      <c r="C7190" s="1" t="str">
        <f t="shared" si="357"/>
        <v>4차</v>
      </c>
      <c r="D7190" s="1" t="str">
        <f>"0330G32145"</f>
        <v>0330G32145</v>
      </c>
      <c r="E7190" s="1" t="s">
        <v>10</v>
      </c>
      <c r="F7190" s="1" t="str">
        <f>"10.14.2.8"</f>
        <v>10.14.2.8</v>
      </c>
      <c r="G7190" s="1" t="str">
        <f>"0330G321"</f>
        <v>0330G321</v>
      </c>
      <c r="H7190" s="1" t="str">
        <f>"하계 411"</f>
        <v>하계 411</v>
      </c>
      <c r="I7190" s="1" t="s">
        <v>17</v>
      </c>
      <c r="J7190" s="1" t="str">
        <f>"146/161"</f>
        <v>146/161</v>
      </c>
      <c r="K7190" s="1" t="str">
        <f>"2026-07-29 13:18:03"</f>
        <v>2026-07-29 13:18:03</v>
      </c>
      <c r="L7190" s="1" t="str">
        <f>"2021-06-21 10:17:19"</f>
        <v>2021-06-21 10:17:19</v>
      </c>
      <c r="M7190" s="1" t="s">
        <v>3</v>
      </c>
      <c r="N7190" s="1" t="s">
        <v>38</v>
      </c>
      <c r="O7190" s="1" t="s">
        <v>46</v>
      </c>
    </row>
    <row r="7191" spans="2:15" x14ac:dyDescent="0.3">
      <c r="B7191" s="1" t="s">
        <v>22</v>
      </c>
      <c r="C7191" s="1" t="str">
        <f t="shared" si="357"/>
        <v>4차</v>
      </c>
      <c r="D7191" s="1" t="str">
        <f>"0330G46145"</f>
        <v>0330G46145</v>
      </c>
      <c r="E7191" s="1" t="s">
        <v>14</v>
      </c>
      <c r="F7191" s="1" t="str">
        <f>"10.14.13.23"</f>
        <v>10.14.13.23</v>
      </c>
      <c r="G7191" s="1" t="str">
        <f>"0330G461"</f>
        <v>0330G461</v>
      </c>
      <c r="H7191" s="1" t="str">
        <f>"중계 32"</f>
        <v>중계 32</v>
      </c>
      <c r="I7191" s="1" t="s">
        <v>17</v>
      </c>
      <c r="J7191" s="1" t="str">
        <f>"0/0"</f>
        <v>0/0</v>
      </c>
      <c r="K7191" s="1" t="str">
        <f>"2026-07-29 13:18:05"</f>
        <v>2026-07-29 13:18:05</v>
      </c>
      <c r="L7191" s="1" t="str">
        <f>"2021-06-10 13:40:58"</f>
        <v>2021-06-10 13:40:58</v>
      </c>
      <c r="M7191" s="1" t="s">
        <v>3</v>
      </c>
      <c r="N7191" s="1" t="s">
        <v>38</v>
      </c>
      <c r="O7191" s="1" t="s">
        <v>44</v>
      </c>
    </row>
    <row r="7192" spans="2:15" x14ac:dyDescent="0.3">
      <c r="B7192" s="1" t="s">
        <v>22</v>
      </c>
      <c r="C7192" s="1" t="str">
        <f t="shared" si="357"/>
        <v>4차</v>
      </c>
      <c r="D7192" s="1" t="str">
        <f>"0330G70145"</f>
        <v>0330G70145</v>
      </c>
      <c r="E7192" s="1" t="s">
        <v>10</v>
      </c>
      <c r="F7192" s="1" t="str">
        <f>"10.14.11.1"</f>
        <v>10.14.11.1</v>
      </c>
      <c r="G7192" s="1" t="str">
        <f>"0330G701"</f>
        <v>0330G701</v>
      </c>
      <c r="H7192" s="1" t="str">
        <f>"중계 904"</f>
        <v>중계 904</v>
      </c>
      <c r="I7192" s="1" t="s">
        <v>17</v>
      </c>
      <c r="J7192" s="1" t="str">
        <f>"78/78"</f>
        <v>78/78</v>
      </c>
      <c r="K7192" s="1" t="str">
        <f>"2026-07-29 13:18:04"</f>
        <v>2026-07-29 13:18:04</v>
      </c>
      <c r="L7192" s="1" t="str">
        <f>"2021-06-21 16:07:36"</f>
        <v>2021-06-21 16:07:36</v>
      </c>
      <c r="M7192" s="1" t="s">
        <v>3</v>
      </c>
      <c r="N7192" s="1" t="s">
        <v>38</v>
      </c>
      <c r="O7192" s="1" t="s">
        <v>46</v>
      </c>
    </row>
    <row r="7193" spans="2:15" x14ac:dyDescent="0.3">
      <c r="B7193" s="1" t="s">
        <v>22</v>
      </c>
      <c r="C7193" s="1" t="str">
        <f t="shared" si="357"/>
        <v>4차</v>
      </c>
      <c r="D7193" s="1" t="str">
        <f>"0330G71145"</f>
        <v>0330G71145</v>
      </c>
      <c r="E7193" s="1" t="s">
        <v>10</v>
      </c>
      <c r="F7193" s="1" t="str">
        <f>"10.14.5.36"</f>
        <v>10.14.5.36</v>
      </c>
      <c r="G7193" s="1" t="str">
        <f>"0330G711"</f>
        <v>0330G711</v>
      </c>
      <c r="H7193" s="1" t="str">
        <f>"중계 903"</f>
        <v>중계 903</v>
      </c>
      <c r="I7193" s="1" t="s">
        <v>17</v>
      </c>
      <c r="J7193" s="1" t="str">
        <f>"71/75"</f>
        <v>71/75</v>
      </c>
      <c r="K7193" s="1" t="str">
        <f>"2026-07-29 13:18:05"</f>
        <v>2026-07-29 13:18:05</v>
      </c>
      <c r="L7193" s="1" t="str">
        <f>"2021-06-14 11:28:55"</f>
        <v>2021-06-14 11:28:55</v>
      </c>
      <c r="M7193" s="1" t="s">
        <v>3</v>
      </c>
      <c r="N7193" s="1" t="s">
        <v>38</v>
      </c>
      <c r="O7193" s="1" t="s">
        <v>46</v>
      </c>
    </row>
    <row r="7194" spans="2:15" x14ac:dyDescent="0.3">
      <c r="B7194" s="1" t="s">
        <v>22</v>
      </c>
      <c r="C7194" s="1" t="str">
        <f t="shared" si="357"/>
        <v>4차</v>
      </c>
      <c r="D7194" s="1" t="str">
        <f>"0330G71245"</f>
        <v>0330G71245</v>
      </c>
      <c r="E7194" s="1" t="s">
        <v>10</v>
      </c>
      <c r="F7194" s="1" t="str">
        <f>"10.14.5.66"</f>
        <v>10.14.5.66</v>
      </c>
      <c r="G7194" s="1" t="str">
        <f>"0330G712"</f>
        <v>0330G712</v>
      </c>
      <c r="H7194" s="1" t="str">
        <f>"중계 907"</f>
        <v>중계 907</v>
      </c>
      <c r="I7194" s="1" t="s">
        <v>17</v>
      </c>
      <c r="J7194" s="1" t="str">
        <f>"69/69"</f>
        <v>69/69</v>
      </c>
      <c r="K7194" s="1" t="str">
        <f>"2026-07-29 13:18:03"</f>
        <v>2026-07-29 13:18:03</v>
      </c>
      <c r="L7194" s="1" t="str">
        <f>"2021-06-14 10:53:33"</f>
        <v>2021-06-14 10:53:33</v>
      </c>
      <c r="M7194" s="1" t="s">
        <v>3</v>
      </c>
      <c r="N7194" s="1" t="s">
        <v>38</v>
      </c>
      <c r="O7194" s="1" t="s">
        <v>46</v>
      </c>
    </row>
    <row r="7195" spans="2:15" x14ac:dyDescent="0.3">
      <c r="B7195" s="1" t="s">
        <v>22</v>
      </c>
      <c r="C7195" s="1" t="str">
        <f t="shared" si="357"/>
        <v>4차</v>
      </c>
      <c r="D7195" s="1" t="str">
        <f>"0330G71345"</f>
        <v>0330G71345</v>
      </c>
      <c r="E7195" s="1" t="s">
        <v>10</v>
      </c>
      <c r="F7195" s="1" t="str">
        <f>"10.14.7.65"</f>
        <v>10.14.7.65</v>
      </c>
      <c r="G7195" s="1" t="str">
        <f>"0330G713"</f>
        <v>0330G713</v>
      </c>
      <c r="H7195" s="1" t="str">
        <f>"중계 907A"</f>
        <v>중계 907A</v>
      </c>
      <c r="I7195" s="1" t="s">
        <v>17</v>
      </c>
      <c r="J7195" s="1" t="str">
        <f>"82/82"</f>
        <v>82/82</v>
      </c>
      <c r="K7195" s="1" t="str">
        <f>"2026-07-29 13:18:03"</f>
        <v>2026-07-29 13:18:03</v>
      </c>
      <c r="L7195" s="1" t="str">
        <f>"2021-06-14 11:02:44"</f>
        <v>2021-06-14 11:02:44</v>
      </c>
      <c r="M7195" s="1" t="s">
        <v>3</v>
      </c>
      <c r="N7195" s="1" t="s">
        <v>38</v>
      </c>
      <c r="O7195" s="1" t="s">
        <v>46</v>
      </c>
    </row>
    <row r="7196" spans="2:15" x14ac:dyDescent="0.3">
      <c r="B7196" s="1" t="s">
        <v>22</v>
      </c>
      <c r="C7196" s="1" t="str">
        <f t="shared" si="357"/>
        <v>4차</v>
      </c>
      <c r="D7196" s="1" t="str">
        <f>"0330G72145"</f>
        <v>0330G72145</v>
      </c>
      <c r="E7196" s="1" t="s">
        <v>10</v>
      </c>
      <c r="F7196" s="1" t="str">
        <f>"10.14.7.9"</f>
        <v>10.14.7.9</v>
      </c>
      <c r="G7196" s="1" t="str">
        <f>"0330G721"</f>
        <v>0330G721</v>
      </c>
      <c r="H7196" s="1" t="str">
        <f>"중계 902"</f>
        <v>중계 902</v>
      </c>
      <c r="I7196" s="1" t="s">
        <v>17</v>
      </c>
      <c r="J7196" s="1" t="str">
        <f>"35/37"</f>
        <v>35/37</v>
      </c>
      <c r="K7196" s="1" t="str">
        <f>"2026-07-29 13:18:03"</f>
        <v>2026-07-29 13:18:03</v>
      </c>
      <c r="L7196" s="1" t="str">
        <f>"2021-06-14 11:57:42"</f>
        <v>2021-06-14 11:57:42</v>
      </c>
      <c r="M7196" s="1" t="s">
        <v>3</v>
      </c>
      <c r="N7196" s="1" t="s">
        <v>38</v>
      </c>
      <c r="O7196" s="1" t="s">
        <v>46</v>
      </c>
    </row>
    <row r="7197" spans="2:15" x14ac:dyDescent="0.3">
      <c r="B7197" s="1" t="s">
        <v>22</v>
      </c>
      <c r="C7197" s="1" t="str">
        <f t="shared" si="357"/>
        <v>4차</v>
      </c>
      <c r="D7197" s="1" t="str">
        <f>"0330G72245"</f>
        <v>0330G72245</v>
      </c>
      <c r="E7197" s="1" t="s">
        <v>10</v>
      </c>
      <c r="F7197" s="1" t="str">
        <f>"10.14.12.3"</f>
        <v>10.14.12.3</v>
      </c>
      <c r="G7197" s="1" t="str">
        <f>"0330G722"</f>
        <v>0330G722</v>
      </c>
      <c r="H7197" s="1" t="str">
        <f>"중계 902A"</f>
        <v>중계 902A</v>
      </c>
      <c r="I7197" s="1" t="s">
        <v>17</v>
      </c>
      <c r="J7197" s="1" t="str">
        <f>"56/58"</f>
        <v>56/58</v>
      </c>
      <c r="K7197" s="1" t="str">
        <f>"2026-07-29 13:18:02"</f>
        <v>2026-07-29 13:18:02</v>
      </c>
      <c r="L7197" s="1" t="str">
        <f>"2021-06-14 11:44:00"</f>
        <v>2021-06-14 11:44:00</v>
      </c>
      <c r="M7197" s="1" t="s">
        <v>3</v>
      </c>
      <c r="N7197" s="1" t="s">
        <v>38</v>
      </c>
      <c r="O7197" s="1" t="s">
        <v>46</v>
      </c>
    </row>
    <row r="7198" spans="2:15" x14ac:dyDescent="0.3">
      <c r="B7198" s="1" t="s">
        <v>22</v>
      </c>
      <c r="C7198" s="1" t="str">
        <f t="shared" si="357"/>
        <v>4차</v>
      </c>
      <c r="D7198" s="1" t="str">
        <f>"0330G80145"</f>
        <v>0330G80145</v>
      </c>
      <c r="E7198" s="1" t="s">
        <v>10</v>
      </c>
      <c r="F7198" s="1" t="str">
        <f>"10.14.8.19"</f>
        <v>10.14.8.19</v>
      </c>
      <c r="G7198" s="1" t="str">
        <f>"0330G801"</f>
        <v>0330G801</v>
      </c>
      <c r="H7198" s="1" t="str">
        <f>"중계 906"</f>
        <v>중계 906</v>
      </c>
      <c r="I7198" s="1" t="s">
        <v>17</v>
      </c>
      <c r="J7198" s="1" t="str">
        <f>"34/34"</f>
        <v>34/34</v>
      </c>
      <c r="K7198" s="1" t="str">
        <f>"2026-07-29 13:18:03"</f>
        <v>2026-07-29 13:18:03</v>
      </c>
      <c r="L7198" s="1" t="str">
        <f>"2021-06-10 13:54:16"</f>
        <v>2021-06-10 13:54:16</v>
      </c>
      <c r="M7198" s="1" t="s">
        <v>3</v>
      </c>
      <c r="N7198" s="1" t="s">
        <v>38</v>
      </c>
      <c r="O7198" s="1" t="s">
        <v>46</v>
      </c>
    </row>
    <row r="7199" spans="2:15" x14ac:dyDescent="0.3">
      <c r="B7199" s="1" t="s">
        <v>22</v>
      </c>
      <c r="C7199" s="1" t="str">
        <f t="shared" si="357"/>
        <v>4차</v>
      </c>
      <c r="D7199" s="1" t="str">
        <f>"0330G80245"</f>
        <v>0330G80245</v>
      </c>
      <c r="E7199" s="1" t="s">
        <v>10</v>
      </c>
      <c r="F7199" s="1" t="str">
        <f>"10.14.1.7"</f>
        <v>10.14.1.7</v>
      </c>
      <c r="G7199" s="1" t="str">
        <f>"0330G802"</f>
        <v>0330G802</v>
      </c>
      <c r="H7199" s="1" t="str">
        <f>"중계 906A"</f>
        <v>중계 906A</v>
      </c>
      <c r="I7199" s="1" t="s">
        <v>17</v>
      </c>
      <c r="J7199" s="1" t="str">
        <f>"59/59"</f>
        <v>59/59</v>
      </c>
      <c r="K7199" s="1" t="str">
        <f>"2026-07-29 13:18:03"</f>
        <v>2026-07-29 13:18:03</v>
      </c>
      <c r="L7199" s="1" t="str">
        <f>"2021-06-10 13:53:56"</f>
        <v>2021-06-10 13:53:56</v>
      </c>
      <c r="M7199" s="1" t="s">
        <v>3</v>
      </c>
      <c r="N7199" s="1" t="s">
        <v>38</v>
      </c>
      <c r="O7199" s="1" t="s">
        <v>46</v>
      </c>
    </row>
    <row r="7200" spans="2:15" x14ac:dyDescent="0.3">
      <c r="B7200" s="1" t="s">
        <v>22</v>
      </c>
      <c r="C7200" s="1" t="str">
        <f t="shared" si="357"/>
        <v>4차</v>
      </c>
      <c r="D7200" s="1" t="str">
        <f>"0330H02145"</f>
        <v>0330H02145</v>
      </c>
      <c r="E7200" s="1" t="s">
        <v>10</v>
      </c>
      <c r="F7200" s="1" t="str">
        <f>"10.14.3.16"</f>
        <v>10.14.3.16</v>
      </c>
      <c r="G7200" s="1" t="str">
        <f>"0330H021"</f>
        <v>0330H021</v>
      </c>
      <c r="H7200" s="1" t="str">
        <f>"중계 908"</f>
        <v>중계 908</v>
      </c>
      <c r="I7200" s="1" t="s">
        <v>17</v>
      </c>
      <c r="J7200" s="1" t="str">
        <f>"80/84"</f>
        <v>80/84</v>
      </c>
      <c r="K7200" s="1" t="str">
        <f>"2026-07-29 13:18:03"</f>
        <v>2026-07-29 13:18:03</v>
      </c>
      <c r="L7200" s="1" t="str">
        <f>"2021-06-21 13:29:22"</f>
        <v>2021-06-21 13:29:22</v>
      </c>
      <c r="M7200" s="1" t="s">
        <v>3</v>
      </c>
      <c r="N7200" s="1" t="s">
        <v>38</v>
      </c>
      <c r="O7200" s="1" t="s">
        <v>46</v>
      </c>
    </row>
    <row r="7201" spans="2:15" x14ac:dyDescent="0.3">
      <c r="B7201" s="1" t="s">
        <v>22</v>
      </c>
      <c r="C7201" s="1" t="str">
        <f t="shared" si="357"/>
        <v>4차</v>
      </c>
      <c r="D7201" s="1" t="str">
        <f>"0330H02245"</f>
        <v>0330H02245</v>
      </c>
      <c r="E7201" s="1" t="s">
        <v>10</v>
      </c>
      <c r="F7201" s="1" t="str">
        <f>"10.14.6.17"</f>
        <v>10.14.6.17</v>
      </c>
      <c r="G7201" s="1" t="str">
        <f>"0330H022"</f>
        <v>0330H022</v>
      </c>
      <c r="H7201" s="1" t="str">
        <f>"중계 908A"</f>
        <v>중계 908A</v>
      </c>
      <c r="I7201" s="1" t="s">
        <v>17</v>
      </c>
      <c r="J7201" s="1" t="str">
        <f>"27/60"</f>
        <v>27/60</v>
      </c>
      <c r="K7201" s="1" t="str">
        <f>"2026-07-29 13:18:03"</f>
        <v>2026-07-29 13:18:03</v>
      </c>
      <c r="L7201" s="1" t="str">
        <f>"2021-06-21 13:37:41"</f>
        <v>2021-06-21 13:37:41</v>
      </c>
      <c r="M7201" s="1" t="s">
        <v>3</v>
      </c>
      <c r="N7201" s="1" t="s">
        <v>38</v>
      </c>
      <c r="O7201" s="1" t="s">
        <v>46</v>
      </c>
    </row>
    <row r="7202" spans="2:15" x14ac:dyDescent="0.3">
      <c r="B7202" s="1" t="s">
        <v>22</v>
      </c>
      <c r="C7202" s="1" t="str">
        <f t="shared" si="357"/>
        <v>4차</v>
      </c>
      <c r="D7202" s="1" t="str">
        <f>"0330H03145"</f>
        <v>0330H03145</v>
      </c>
      <c r="E7202" s="1" t="s">
        <v>10</v>
      </c>
      <c r="F7202" s="1" t="str">
        <f>"10.14.7.24"</f>
        <v>10.14.7.24</v>
      </c>
      <c r="G7202" s="1" t="str">
        <f>"0330H031"</f>
        <v>0330H031</v>
      </c>
      <c r="H7202" s="1" t="str">
        <f>"중계 901"</f>
        <v>중계 901</v>
      </c>
      <c r="I7202" s="1" t="s">
        <v>17</v>
      </c>
      <c r="J7202" s="1" t="str">
        <f>"62/66"</f>
        <v>62/66</v>
      </c>
      <c r="K7202" s="1" t="str">
        <f>"2026-07-29 13:18:04"</f>
        <v>2026-07-29 13:18:04</v>
      </c>
      <c r="L7202" s="1" t="str">
        <f>"2021-06-21 11:20:00"</f>
        <v>2021-06-21 11:20:00</v>
      </c>
      <c r="M7202" s="1" t="s">
        <v>3</v>
      </c>
      <c r="N7202" s="1" t="s">
        <v>38</v>
      </c>
      <c r="O7202" s="1" t="s">
        <v>46</v>
      </c>
    </row>
    <row r="7203" spans="2:15" x14ac:dyDescent="0.3">
      <c r="B7203" s="1" t="s">
        <v>22</v>
      </c>
      <c r="C7203" s="1" t="str">
        <f t="shared" si="357"/>
        <v>4차</v>
      </c>
      <c r="D7203" s="1" t="str">
        <f>"0330H03245"</f>
        <v>0330H03245</v>
      </c>
      <c r="E7203" s="1" t="s">
        <v>10</v>
      </c>
      <c r="F7203" s="1" t="str">
        <f>"10.14.9.27"</f>
        <v>10.14.9.27</v>
      </c>
      <c r="G7203" s="1" t="str">
        <f>"0330H032"</f>
        <v>0330H032</v>
      </c>
      <c r="H7203" s="1" t="str">
        <f>"중계 901A"</f>
        <v>중계 901A</v>
      </c>
      <c r="I7203" s="1" t="s">
        <v>17</v>
      </c>
      <c r="J7203" s="1" t="str">
        <f>"77/82"</f>
        <v>77/82</v>
      </c>
      <c r="K7203" s="1" t="str">
        <f>"2026-07-29 13:18:03"</f>
        <v>2026-07-29 13:18:03</v>
      </c>
      <c r="L7203" s="1" t="str">
        <f>"2021-06-21 11:12:28"</f>
        <v>2021-06-21 11:12:28</v>
      </c>
      <c r="M7203" s="1" t="s">
        <v>3</v>
      </c>
      <c r="N7203" s="1" t="s">
        <v>38</v>
      </c>
      <c r="O7203" s="1" t="s">
        <v>46</v>
      </c>
    </row>
    <row r="7204" spans="2:15" x14ac:dyDescent="0.3">
      <c r="B7204" s="1" t="s">
        <v>22</v>
      </c>
      <c r="C7204" s="1" t="str">
        <f t="shared" si="357"/>
        <v>4차</v>
      </c>
      <c r="D7204" s="1" t="str">
        <f>"0330H08245"</f>
        <v>0330H08245</v>
      </c>
      <c r="E7204" s="1" t="s">
        <v>10</v>
      </c>
      <c r="F7204" s="1" t="str">
        <f>"10.12.138.21"</f>
        <v>10.12.138.21</v>
      </c>
      <c r="G7204" s="1" t="str">
        <f>"0330H082"</f>
        <v>0330H082</v>
      </c>
      <c r="H7204" s="1" t="str">
        <f>"중계 807"</f>
        <v>중계 807</v>
      </c>
      <c r="I7204" s="1" t="s">
        <v>17</v>
      </c>
      <c r="J7204" s="1" t="str">
        <f>"13/14"</f>
        <v>13/14</v>
      </c>
      <c r="K7204" s="1" t="str">
        <f>"2026-07-29 13:18:04"</f>
        <v>2026-07-29 13:18:04</v>
      </c>
      <c r="L7204" s="1" t="str">
        <f>"2021-06-22 09:09:33"</f>
        <v>2021-06-22 09:09:33</v>
      </c>
      <c r="M7204" s="1" t="s">
        <v>0</v>
      </c>
      <c r="N7204" s="1" t="s">
        <v>38</v>
      </c>
      <c r="O7204" s="1" t="s">
        <v>46</v>
      </c>
    </row>
    <row r="7205" spans="2:15" x14ac:dyDescent="0.3">
      <c r="B7205" s="1" t="s">
        <v>22</v>
      </c>
      <c r="C7205" s="1" t="str">
        <f t="shared" si="357"/>
        <v>4차</v>
      </c>
      <c r="D7205" s="1" t="str">
        <f>"0330H09145"</f>
        <v>0330H09145</v>
      </c>
      <c r="E7205" s="1" t="s">
        <v>10</v>
      </c>
      <c r="F7205" s="1" t="str">
        <f>"10.14.10.33"</f>
        <v>10.14.10.33</v>
      </c>
      <c r="G7205" s="1" t="str">
        <f>"0330H091"</f>
        <v>0330H091</v>
      </c>
      <c r="H7205" s="1" t="str">
        <f>"중계 801"</f>
        <v>중계 801</v>
      </c>
      <c r="I7205" s="1" t="s">
        <v>17</v>
      </c>
      <c r="J7205" s="1" t="str">
        <f>"70/72"</f>
        <v>70/72</v>
      </c>
      <c r="K7205" s="1" t="str">
        <f>"2026-07-29 13:18:03"</f>
        <v>2026-07-29 13:18:03</v>
      </c>
      <c r="L7205" s="1" t="str">
        <f>"2021-06-22 09:40:37"</f>
        <v>2021-06-22 09:40:37</v>
      </c>
      <c r="M7205" s="1" t="s">
        <v>3</v>
      </c>
      <c r="N7205" s="1" t="s">
        <v>38</v>
      </c>
      <c r="O7205" s="1" t="s">
        <v>46</v>
      </c>
    </row>
    <row r="7206" spans="2:15" x14ac:dyDescent="0.3">
      <c r="B7206" s="1" t="s">
        <v>22</v>
      </c>
      <c r="C7206" s="1" t="str">
        <f t="shared" si="357"/>
        <v>4차</v>
      </c>
      <c r="D7206" s="1" t="str">
        <f>"0330H10145"</f>
        <v>0330H10145</v>
      </c>
      <c r="E7206" s="1" t="s">
        <v>10</v>
      </c>
      <c r="F7206" s="1" t="str">
        <f>"10.14.3.62"</f>
        <v>10.14.3.62</v>
      </c>
      <c r="G7206" s="1" t="str">
        <f>"0330H101"</f>
        <v>0330H101</v>
      </c>
      <c r="H7206" s="1" t="str">
        <f>"중계 910"</f>
        <v>중계 910</v>
      </c>
      <c r="I7206" s="1" t="s">
        <v>17</v>
      </c>
      <c r="J7206" s="1" t="str">
        <f>"75/77"</f>
        <v>75/77</v>
      </c>
      <c r="K7206" s="1" t="str">
        <f>"2026-07-29 13:18:03"</f>
        <v>2026-07-29 13:18:03</v>
      </c>
      <c r="L7206" s="1" t="str">
        <f>"2021-06-21 15:17:11"</f>
        <v>2021-06-21 15:17:11</v>
      </c>
      <c r="M7206" s="1" t="s">
        <v>3</v>
      </c>
      <c r="N7206" s="1" t="s">
        <v>38</v>
      </c>
      <c r="O7206" s="1" t="s">
        <v>46</v>
      </c>
    </row>
    <row r="7207" spans="2:15" x14ac:dyDescent="0.3">
      <c r="B7207" s="1" t="s">
        <v>22</v>
      </c>
      <c r="C7207" s="1" t="str">
        <f t="shared" si="357"/>
        <v>4차</v>
      </c>
      <c r="D7207" s="1" t="str">
        <f>"0330H10245"</f>
        <v>0330H10245</v>
      </c>
      <c r="E7207" s="1" t="s">
        <v>10</v>
      </c>
      <c r="F7207" s="1" t="str">
        <f>"10.14.8.12"</f>
        <v>10.14.8.12</v>
      </c>
      <c r="G7207" s="1" t="str">
        <f>"0330H102"</f>
        <v>0330H102</v>
      </c>
      <c r="H7207" s="1" t="str">
        <f>"중계 910A"</f>
        <v>중계 910A</v>
      </c>
      <c r="I7207" s="1" t="s">
        <v>17</v>
      </c>
      <c r="J7207" s="1" t="str">
        <f>"27/27"</f>
        <v>27/27</v>
      </c>
      <c r="K7207" s="1" t="str">
        <f>"2026-07-29 13:18:03"</f>
        <v>2026-07-29 13:18:03</v>
      </c>
      <c r="L7207" s="1" t="str">
        <f>"2021-06-21 15:10:30"</f>
        <v>2021-06-21 15:10:30</v>
      </c>
      <c r="M7207" s="1" t="s">
        <v>3</v>
      </c>
      <c r="N7207" s="1" t="s">
        <v>38</v>
      </c>
      <c r="O7207" s="1" t="s">
        <v>46</v>
      </c>
    </row>
    <row r="7208" spans="2:15" x14ac:dyDescent="0.3">
      <c r="B7208" s="1" t="s">
        <v>22</v>
      </c>
      <c r="C7208" s="1" t="str">
        <f t="shared" si="357"/>
        <v>4차</v>
      </c>
      <c r="D7208" s="1" t="str">
        <f>"0330H11145"</f>
        <v>0330H11145</v>
      </c>
      <c r="E7208" s="1" t="s">
        <v>10</v>
      </c>
      <c r="F7208" s="1" t="str">
        <f>"10.14.2.3"</f>
        <v>10.14.2.3</v>
      </c>
      <c r="G7208" s="1" t="str">
        <f>"0330H111"</f>
        <v>0330H111</v>
      </c>
      <c r="H7208" s="1" t="str">
        <f>"중계 909"</f>
        <v>중계 909</v>
      </c>
      <c r="I7208" s="1" t="s">
        <v>17</v>
      </c>
      <c r="J7208" s="1" t="str">
        <f>"95/98"</f>
        <v>95/98</v>
      </c>
      <c r="K7208" s="1" t="str">
        <f>"2026-07-29 13:18:02"</f>
        <v>2026-07-29 13:18:02</v>
      </c>
      <c r="L7208" s="1" t="str">
        <f>"2021-06-21 14:03:21"</f>
        <v>2021-06-21 14:03:21</v>
      </c>
      <c r="M7208" s="1" t="s">
        <v>3</v>
      </c>
      <c r="N7208" s="1" t="s">
        <v>38</v>
      </c>
      <c r="O7208" s="1" t="s">
        <v>46</v>
      </c>
    </row>
    <row r="7209" spans="2:15" x14ac:dyDescent="0.3">
      <c r="B7209" s="1" t="s">
        <v>22</v>
      </c>
      <c r="C7209" s="1" t="str">
        <f t="shared" si="357"/>
        <v>4차</v>
      </c>
      <c r="D7209" s="1" t="str">
        <f>"0330H11245"</f>
        <v>0330H11245</v>
      </c>
      <c r="E7209" s="1" t="s">
        <v>10</v>
      </c>
      <c r="F7209" s="1" t="str">
        <f>"10.14.8.3"</f>
        <v>10.14.8.3</v>
      </c>
      <c r="G7209" s="1" t="str">
        <f>"0330H112"</f>
        <v>0330H112</v>
      </c>
      <c r="H7209" s="1" t="str">
        <f>"중계 909A"</f>
        <v>중계 909A</v>
      </c>
      <c r="I7209" s="1" t="s">
        <v>17</v>
      </c>
      <c r="J7209" s="1" t="str">
        <f>"51/51"</f>
        <v>51/51</v>
      </c>
      <c r="K7209" s="1" t="str">
        <f>"2026-07-29 13:18:03"</f>
        <v>2026-07-29 13:18:03</v>
      </c>
      <c r="L7209" s="1" t="str">
        <f>"2021-06-21 13:55:06"</f>
        <v>2021-06-21 13:55:06</v>
      </c>
      <c r="M7209" s="1" t="s">
        <v>3</v>
      </c>
      <c r="N7209" s="1" t="s">
        <v>38</v>
      </c>
      <c r="O7209" s="1" t="s">
        <v>46</v>
      </c>
    </row>
    <row r="7210" spans="2:15" x14ac:dyDescent="0.3">
      <c r="B7210" s="1" t="s">
        <v>22</v>
      </c>
      <c r="C7210" s="1" t="str">
        <f>"3차"</f>
        <v>3차</v>
      </c>
      <c r="D7210" s="1" t="str">
        <f>"0330H28139"</f>
        <v>0330H28139</v>
      </c>
      <c r="E7210" s="1" t="s">
        <v>10</v>
      </c>
      <c r="F7210" s="1" t="str">
        <f>"10.12.129.4"</f>
        <v>10.12.129.4</v>
      </c>
      <c r="G7210" s="1" t="str">
        <f>"0330H281"</f>
        <v>0330H281</v>
      </c>
      <c r="H7210" s="1" t="str">
        <f>"중계 804"</f>
        <v>중계 804</v>
      </c>
      <c r="I7210" s="1" t="s">
        <v>17</v>
      </c>
      <c r="J7210" s="1" t="str">
        <f>"111/111"</f>
        <v>111/111</v>
      </c>
      <c r="K7210" s="1" t="str">
        <f>"2026-07-29 13:18:03"</f>
        <v>2026-07-29 13:18:03</v>
      </c>
      <c r="L7210" s="1" t="str">
        <f>"2018-10-11 09:34:39"</f>
        <v>2018-10-11 09:34:39</v>
      </c>
      <c r="M7210" s="1" t="s">
        <v>0</v>
      </c>
      <c r="N7210" s="1" t="s">
        <v>38</v>
      </c>
      <c r="O7210" s="1" t="s">
        <v>46</v>
      </c>
    </row>
    <row r="7211" spans="2:15" x14ac:dyDescent="0.3">
      <c r="B7211" s="1" t="s">
        <v>22</v>
      </c>
      <c r="C7211" s="1" t="str">
        <f t="shared" ref="C7211:C7216" si="358">"4차"</f>
        <v>4차</v>
      </c>
      <c r="D7211" s="1" t="str">
        <f>"0330H28245"</f>
        <v>0330H28245</v>
      </c>
      <c r="E7211" s="1" t="s">
        <v>10</v>
      </c>
      <c r="F7211" s="1" t="str">
        <f>"10.14.15.25"</f>
        <v>10.14.15.25</v>
      </c>
      <c r="G7211" s="1" t="str">
        <f>"0330H282"</f>
        <v>0330H282</v>
      </c>
      <c r="H7211" s="1" t="str">
        <f>"중계 803"</f>
        <v>중계 803</v>
      </c>
      <c r="I7211" s="1" t="s">
        <v>17</v>
      </c>
      <c r="J7211" s="1" t="str">
        <f>"105/108"</f>
        <v>105/108</v>
      </c>
      <c r="K7211" s="1" t="str">
        <f>"2026-07-29 13:18:03"</f>
        <v>2026-07-29 13:18:03</v>
      </c>
      <c r="L7211" s="1" t="str">
        <f>"2021-06-24 16:40:42"</f>
        <v>2021-06-24 16:40:42</v>
      </c>
      <c r="M7211" s="1" t="s">
        <v>3</v>
      </c>
      <c r="N7211" s="1" t="s">
        <v>38</v>
      </c>
      <c r="O7211" s="1" t="s">
        <v>46</v>
      </c>
    </row>
    <row r="7212" spans="2:15" x14ac:dyDescent="0.3">
      <c r="B7212" s="1" t="s">
        <v>22</v>
      </c>
      <c r="C7212" s="1" t="str">
        <f t="shared" si="358"/>
        <v>4차</v>
      </c>
      <c r="D7212" s="1" t="str">
        <f>"0330H29145"</f>
        <v>0330H29145</v>
      </c>
      <c r="E7212" s="1" t="s">
        <v>10</v>
      </c>
      <c r="F7212" s="1" t="str">
        <f>"10.14.1.13"</f>
        <v>10.14.1.13</v>
      </c>
      <c r="G7212" s="1" t="str">
        <f>"0330H291"</f>
        <v>0330H291</v>
      </c>
      <c r="H7212" s="1" t="str">
        <f>"중계 805"</f>
        <v>중계 805</v>
      </c>
      <c r="I7212" s="1" t="s">
        <v>17</v>
      </c>
      <c r="J7212" s="1" t="str">
        <f>"110/110"</f>
        <v>110/110</v>
      </c>
      <c r="K7212" s="1" t="str">
        <f>"2026-07-29 13:18:03"</f>
        <v>2026-07-29 13:18:03</v>
      </c>
      <c r="L7212" s="1" t="str">
        <f>"2021-06-22 09:55:48"</f>
        <v>2021-06-22 09:55:48</v>
      </c>
      <c r="M7212" s="1" t="s">
        <v>3</v>
      </c>
      <c r="N7212" s="1" t="s">
        <v>38</v>
      </c>
      <c r="O7212" s="1" t="s">
        <v>46</v>
      </c>
    </row>
    <row r="7213" spans="2:15" x14ac:dyDescent="0.3">
      <c r="B7213" s="1" t="s">
        <v>22</v>
      </c>
      <c r="C7213" s="1" t="str">
        <f t="shared" si="358"/>
        <v>4차</v>
      </c>
      <c r="D7213" s="1" t="str">
        <f>"0330H99145"</f>
        <v>0330H99145</v>
      </c>
      <c r="E7213" s="1" t="s">
        <v>10</v>
      </c>
      <c r="F7213" s="1" t="str">
        <f>"10.14.10.63"</f>
        <v>10.14.10.63</v>
      </c>
      <c r="G7213" s="1" t="str">
        <f>"0330H991"</f>
        <v>0330H991</v>
      </c>
      <c r="H7213" s="1" t="str">
        <f>"중계 704"</f>
        <v>중계 704</v>
      </c>
      <c r="I7213" s="1" t="s">
        <v>17</v>
      </c>
      <c r="J7213" s="1" t="str">
        <f>"15/15"</f>
        <v>15/15</v>
      </c>
      <c r="K7213" s="1" t="str">
        <f>"2026-07-29 13:18:04"</f>
        <v>2026-07-29 13:18:04</v>
      </c>
      <c r="L7213" s="1" t="str">
        <f>"2021-06-24 14:47:29"</f>
        <v>2021-06-24 14:47:29</v>
      </c>
      <c r="M7213" s="1" t="s">
        <v>3</v>
      </c>
      <c r="N7213" s="1" t="s">
        <v>38</v>
      </c>
      <c r="O7213" s="1" t="s">
        <v>46</v>
      </c>
    </row>
    <row r="7214" spans="2:15" x14ac:dyDescent="0.3">
      <c r="B7214" s="1" t="s">
        <v>22</v>
      </c>
      <c r="C7214" s="1" t="str">
        <f t="shared" si="358"/>
        <v>4차</v>
      </c>
      <c r="D7214" s="1" t="str">
        <f>"0330Q54139"</f>
        <v>0330Q54139</v>
      </c>
      <c r="E7214" s="1" t="s">
        <v>10</v>
      </c>
      <c r="F7214" s="1" t="str">
        <f>"10.12.136.79"</f>
        <v>10.12.136.79</v>
      </c>
      <c r="G7214" s="1" t="str">
        <f>"0330Q541"</f>
        <v>0330Q541</v>
      </c>
      <c r="H7214" s="1" t="str">
        <f>"하계 15"</f>
        <v>하계 15</v>
      </c>
      <c r="I7214" s="1" t="s">
        <v>17</v>
      </c>
      <c r="J7214" s="1" t="str">
        <f>"2/2"</f>
        <v>2/2</v>
      </c>
      <c r="K7214" s="1" t="str">
        <f>"2026-07-29 13:18:03"</f>
        <v>2026-07-29 13:18:03</v>
      </c>
      <c r="L7214" s="1" t="str">
        <f>"2018-05-28 09:00:09"</f>
        <v>2018-05-28 09:00:09</v>
      </c>
      <c r="M7214" s="1" t="s">
        <v>0</v>
      </c>
      <c r="N7214" s="1" t="s">
        <v>38</v>
      </c>
      <c r="O7214" s="1" t="s">
        <v>46</v>
      </c>
    </row>
    <row r="7215" spans="2:15" x14ac:dyDescent="0.3">
      <c r="B7215" s="1" t="s">
        <v>22</v>
      </c>
      <c r="C7215" s="1" t="str">
        <f t="shared" si="358"/>
        <v>4차</v>
      </c>
      <c r="D7215" s="1" t="str">
        <f>"0330Q98139"</f>
        <v>0330Q98139</v>
      </c>
      <c r="E7215" s="1" t="s">
        <v>10</v>
      </c>
      <c r="F7215" s="1" t="str">
        <f>"10.12.136.51"</f>
        <v>10.12.136.51</v>
      </c>
      <c r="G7215" s="1" t="str">
        <f>"0330Q981"</f>
        <v>0330Q981</v>
      </c>
      <c r="H7215" s="1" t="str">
        <f>"하계 14"</f>
        <v>하계 14</v>
      </c>
      <c r="I7215" s="1" t="s">
        <v>17</v>
      </c>
      <c r="J7215" s="1" t="str">
        <f>"17/17"</f>
        <v>17/17</v>
      </c>
      <c r="K7215" s="1" t="str">
        <f>"2026-07-29 13:18:04"</f>
        <v>2026-07-29 13:18:04</v>
      </c>
      <c r="L7215" s="1" t="str">
        <f>"2018-05-25 15:40:45"</f>
        <v>2018-05-25 15:40:45</v>
      </c>
      <c r="M7215" s="1" t="s">
        <v>0</v>
      </c>
      <c r="N7215" s="1" t="s">
        <v>38</v>
      </c>
      <c r="O7215" s="1" t="s">
        <v>46</v>
      </c>
    </row>
    <row r="7216" spans="2:15" x14ac:dyDescent="0.3">
      <c r="B7216" s="1" t="s">
        <v>22</v>
      </c>
      <c r="C7216" s="1" t="str">
        <f t="shared" si="358"/>
        <v>4차</v>
      </c>
      <c r="D7216" s="1" t="str">
        <f>"0330R00339"</f>
        <v>0330R00339</v>
      </c>
      <c r="E7216" s="1" t="s">
        <v>10</v>
      </c>
      <c r="F7216" s="1" t="str">
        <f>"10.107.253.43"</f>
        <v>10.107.253.43</v>
      </c>
      <c r="G7216" s="1" t="str">
        <f>"0330R003"</f>
        <v>0330R003</v>
      </c>
      <c r="H7216" s="1" t="str">
        <f>"말미간 3R14"</f>
        <v>말미간 3R14</v>
      </c>
      <c r="I7216" s="1" t="s">
        <v>8</v>
      </c>
      <c r="J7216" s="1" t="str">
        <f>"43/43"</f>
        <v>43/43</v>
      </c>
      <c r="K7216" s="1" t="str">
        <f>"2026-07-29 13:18:02"</f>
        <v>2026-07-29 13:18:02</v>
      </c>
      <c r="L7216" s="1" t="str">
        <f>"2021-08-27 09:49:54"</f>
        <v>2021-08-27 09:49:54</v>
      </c>
      <c r="M7216" s="1" t="s">
        <v>45</v>
      </c>
      <c r="N7216" s="1" t="s">
        <v>38</v>
      </c>
      <c r="O7216" s="1" t="s">
        <v>46</v>
      </c>
    </row>
    <row r="7217" spans="2:15" x14ac:dyDescent="0.3">
      <c r="B7217" s="1" t="s">
        <v>22</v>
      </c>
      <c r="C7217" s="1" t="str">
        <f>"3차"</f>
        <v>3차</v>
      </c>
      <c r="D7217" s="1" t="str">
        <f>"0330R20239"</f>
        <v>0330R20239</v>
      </c>
      <c r="E7217" s="1" t="s">
        <v>10</v>
      </c>
      <c r="F7217" s="1" t="str">
        <f>"10.12.137.99"</f>
        <v>10.12.137.99</v>
      </c>
      <c r="G7217" s="1" t="str">
        <f>"0330R202"</f>
        <v>0330R202</v>
      </c>
      <c r="H7217" s="1" t="str">
        <f>"말미간 3R10R12"</f>
        <v>말미간 3R10R12</v>
      </c>
      <c r="I7217" s="1" t="s">
        <v>8</v>
      </c>
      <c r="J7217" s="1" t="str">
        <f>"84/84"</f>
        <v>84/84</v>
      </c>
      <c r="K7217" s="1" t="str">
        <f>"2026-07-29 13:18:04"</f>
        <v>2026-07-29 13:18:04</v>
      </c>
      <c r="L7217" s="1" t="str">
        <f>"2018-09-28 09:54:10"</f>
        <v>2018-09-28 09:54:10</v>
      </c>
      <c r="M7217" s="1" t="s">
        <v>0</v>
      </c>
      <c r="N7217" s="1" t="s">
        <v>38</v>
      </c>
      <c r="O7217" s="1" t="s">
        <v>46</v>
      </c>
    </row>
    <row r="7218" spans="2:15" x14ac:dyDescent="0.3">
      <c r="B7218" s="1" t="s">
        <v>22</v>
      </c>
      <c r="C7218" s="1" t="str">
        <f t="shared" ref="C7218:C7239" si="359">"4차"</f>
        <v>4차</v>
      </c>
      <c r="D7218" s="1" t="str">
        <f>"0330R22244"</f>
        <v>0330R22244</v>
      </c>
      <c r="E7218" s="1" t="s">
        <v>10</v>
      </c>
      <c r="F7218" s="1" t="str">
        <f>"10.107.253.42"</f>
        <v>10.107.253.42</v>
      </c>
      <c r="G7218" s="1" t="str">
        <f>"0330R222"</f>
        <v>0330R222</v>
      </c>
      <c r="H7218" s="1" t="str">
        <f>"말미간 3R17"</f>
        <v>말미간 3R17</v>
      </c>
      <c r="I7218" s="1" t="s">
        <v>8</v>
      </c>
      <c r="J7218" s="1" t="str">
        <f>"21/21"</f>
        <v>21/21</v>
      </c>
      <c r="K7218" s="1" t="str">
        <f>"2026-07-29 13:18:02"</f>
        <v>2026-07-29 13:18:02</v>
      </c>
      <c r="L7218" s="1" t="str">
        <f>"2021-08-27 10:52:04"</f>
        <v>2021-08-27 10:52:04</v>
      </c>
      <c r="M7218" s="1" t="s">
        <v>45</v>
      </c>
      <c r="N7218" s="1" t="s">
        <v>38</v>
      </c>
      <c r="O7218" s="1" t="s">
        <v>46</v>
      </c>
    </row>
    <row r="7219" spans="2:15" x14ac:dyDescent="0.3">
      <c r="B7219" s="1" t="s">
        <v>22</v>
      </c>
      <c r="C7219" s="1" t="str">
        <f t="shared" si="359"/>
        <v>4차</v>
      </c>
      <c r="D7219" s="1" t="str">
        <f>"0330S46139"</f>
        <v>0330S46139</v>
      </c>
      <c r="E7219" s="1" t="s">
        <v>10</v>
      </c>
      <c r="F7219" s="1" t="str">
        <f>"10.12.136.111"</f>
        <v>10.12.136.111</v>
      </c>
      <c r="G7219" s="1" t="str">
        <f>"0330S461"</f>
        <v>0330S461</v>
      </c>
      <c r="H7219" s="1" t="str">
        <f>"하계 6"</f>
        <v>하계 6</v>
      </c>
      <c r="I7219" s="1" t="s">
        <v>17</v>
      </c>
      <c r="J7219" s="1" t="str">
        <f>"9/9"</f>
        <v>9/9</v>
      </c>
      <c r="K7219" s="1" t="str">
        <f>"2026-07-29 13:18:04"</f>
        <v>2026-07-29 13:18:04</v>
      </c>
      <c r="L7219" s="1" t="str">
        <f>"2018-05-28 09:59:40"</f>
        <v>2018-05-28 09:59:40</v>
      </c>
      <c r="M7219" s="1" t="s">
        <v>0</v>
      </c>
      <c r="N7219" s="1" t="s">
        <v>38</v>
      </c>
      <c r="O7219" s="1" t="s">
        <v>46</v>
      </c>
    </row>
    <row r="7220" spans="2:15" x14ac:dyDescent="0.3">
      <c r="B7220" s="1" t="s">
        <v>22</v>
      </c>
      <c r="C7220" s="1" t="str">
        <f t="shared" si="359"/>
        <v>4차</v>
      </c>
      <c r="D7220" s="1" t="str">
        <f>"0330W05145"</f>
        <v>0330W05145</v>
      </c>
      <c r="E7220" s="1" t="s">
        <v>10</v>
      </c>
      <c r="F7220" s="1" t="str">
        <f>"10.14.3.3"</f>
        <v>10.14.3.3</v>
      </c>
      <c r="G7220" s="1" t="str">
        <f>"0330W051"</f>
        <v>0330W051</v>
      </c>
      <c r="H7220" s="1" t="str">
        <f>"하계 14A"</f>
        <v>하계 14A</v>
      </c>
      <c r="I7220" s="1" t="s">
        <v>17</v>
      </c>
      <c r="J7220" s="1" t="str">
        <f>"32/32"</f>
        <v>32/32</v>
      </c>
      <c r="K7220" s="1" t="str">
        <f>"2026-07-29 13:18:03"</f>
        <v>2026-07-29 13:18:03</v>
      </c>
      <c r="L7220" s="1" t="str">
        <f>"2021-06-21 09:37:18"</f>
        <v>2021-06-21 09:37:18</v>
      </c>
      <c r="M7220" s="1" t="s">
        <v>3</v>
      </c>
      <c r="N7220" s="1" t="s">
        <v>38</v>
      </c>
      <c r="O7220" s="1" t="s">
        <v>46</v>
      </c>
    </row>
    <row r="7221" spans="2:15" x14ac:dyDescent="0.3">
      <c r="B7221" s="1" t="s">
        <v>22</v>
      </c>
      <c r="C7221" s="1" t="str">
        <f t="shared" si="359"/>
        <v>4차</v>
      </c>
      <c r="D7221" s="1" t="str">
        <f>"0330W05245"</f>
        <v>0330W05245</v>
      </c>
      <c r="E7221" s="1" t="s">
        <v>10</v>
      </c>
      <c r="F7221" s="1" t="str">
        <f>"10.14.9.66"</f>
        <v>10.14.9.66</v>
      </c>
      <c r="G7221" s="1" t="str">
        <f>"0330W052"</f>
        <v>0330W052</v>
      </c>
      <c r="H7221" s="1" t="str">
        <f>"하계 14B"</f>
        <v>하계 14B</v>
      </c>
      <c r="I7221" s="1" t="s">
        <v>17</v>
      </c>
      <c r="J7221" s="1" t="str">
        <f>"16/16"</f>
        <v>16/16</v>
      </c>
      <c r="K7221" s="1" t="str">
        <f>"2026-07-29 13:18:03"</f>
        <v>2026-07-29 13:18:03</v>
      </c>
      <c r="L7221" s="1" t="str">
        <f>"2021-06-21 09:30:53"</f>
        <v>2021-06-21 09:30:53</v>
      </c>
      <c r="M7221" s="1" t="s">
        <v>3</v>
      </c>
      <c r="N7221" s="1" t="s">
        <v>38</v>
      </c>
      <c r="O7221" s="1" t="s">
        <v>46</v>
      </c>
    </row>
    <row r="7222" spans="2:15" x14ac:dyDescent="0.3">
      <c r="B7222" s="1" t="s">
        <v>22</v>
      </c>
      <c r="C7222" s="1" t="str">
        <f t="shared" si="359"/>
        <v>4차</v>
      </c>
      <c r="D7222" s="1" t="str">
        <f>"0330W13145"</f>
        <v>0330W13145</v>
      </c>
      <c r="E7222" s="1" t="s">
        <v>10</v>
      </c>
      <c r="F7222" s="1" t="str">
        <f>"10.14.13.8"</f>
        <v>10.14.13.8</v>
      </c>
      <c r="G7222" s="1" t="str">
        <f>"0330W131"</f>
        <v>0330W131</v>
      </c>
      <c r="H7222" s="1" t="str">
        <f>"하계 14D"</f>
        <v>하계 14D</v>
      </c>
      <c r="I7222" s="1" t="s">
        <v>17</v>
      </c>
      <c r="J7222" s="1" t="str">
        <f>"34/48"</f>
        <v>34/48</v>
      </c>
      <c r="K7222" s="1" t="str">
        <f>"2026-07-29 13:18:03"</f>
        <v>2026-07-29 13:18:03</v>
      </c>
      <c r="L7222" s="1" t="str">
        <f>"2021-06-21 08:56:12"</f>
        <v>2021-06-21 08:56:12</v>
      </c>
      <c r="M7222" s="1" t="s">
        <v>3</v>
      </c>
      <c r="N7222" s="1" t="s">
        <v>38</v>
      </c>
      <c r="O7222" s="1" t="s">
        <v>46</v>
      </c>
    </row>
    <row r="7223" spans="2:15" x14ac:dyDescent="0.3">
      <c r="B7223" s="1" t="s">
        <v>22</v>
      </c>
      <c r="C7223" s="1" t="str">
        <f t="shared" si="359"/>
        <v>4차</v>
      </c>
      <c r="D7223" s="1" t="str">
        <f>"0330W34144"</f>
        <v>0330W34144</v>
      </c>
      <c r="E7223" s="1" t="s">
        <v>10</v>
      </c>
      <c r="F7223" s="1" t="str">
        <f>"10.107.249.232"</f>
        <v>10.107.249.232</v>
      </c>
      <c r="G7223" s="1" t="str">
        <f>"0330W341"</f>
        <v>0330W341</v>
      </c>
      <c r="H7223" s="1" t="str">
        <f>"공릉지 1L8"</f>
        <v>공릉지 1L8</v>
      </c>
      <c r="I7223" s="1" t="s">
        <v>8</v>
      </c>
      <c r="J7223" s="1" t="str">
        <f>"6/6"</f>
        <v>6/6</v>
      </c>
      <c r="K7223" s="1" t="str">
        <f>"2026-07-29 13:18:03"</f>
        <v>2026-07-29 13:18:03</v>
      </c>
      <c r="L7223" s="1" t="str">
        <f>"2020-01-10 11:26:39"</f>
        <v>2020-01-10 11:26:39</v>
      </c>
      <c r="M7223" s="1" t="s">
        <v>45</v>
      </c>
      <c r="N7223" s="1" t="s">
        <v>38</v>
      </c>
      <c r="O7223" s="1" t="s">
        <v>46</v>
      </c>
    </row>
    <row r="7224" spans="2:15" x14ac:dyDescent="0.3">
      <c r="B7224" s="1" t="s">
        <v>22</v>
      </c>
      <c r="C7224" s="1" t="str">
        <f t="shared" si="359"/>
        <v>4차</v>
      </c>
      <c r="D7224" s="1" t="str">
        <f>"0330W39244"</f>
        <v>0330W39244</v>
      </c>
      <c r="E7224" s="1" t="s">
        <v>10</v>
      </c>
      <c r="F7224" s="1" t="str">
        <f>"10.107.249.233"</f>
        <v>10.107.249.233</v>
      </c>
      <c r="G7224" s="1" t="str">
        <f>"0330W392"</f>
        <v>0330W392</v>
      </c>
      <c r="H7224" s="1" t="str">
        <f>"공릉지 1L16"</f>
        <v>공릉지 1L16</v>
      </c>
      <c r="I7224" s="1" t="s">
        <v>8</v>
      </c>
      <c r="J7224" s="1" t="str">
        <f>"21/27"</f>
        <v>21/27</v>
      </c>
      <c r="K7224" s="1" t="str">
        <f>"2026-07-29 13:18:03"</f>
        <v>2026-07-29 13:18:03</v>
      </c>
      <c r="L7224" s="1" t="str">
        <f>"2020-01-10 11:28:49"</f>
        <v>2020-01-10 11:28:49</v>
      </c>
      <c r="M7224" s="1" t="s">
        <v>45</v>
      </c>
      <c r="N7224" s="1" t="s">
        <v>38</v>
      </c>
      <c r="O7224" s="1" t="s">
        <v>46</v>
      </c>
    </row>
    <row r="7225" spans="2:15" x14ac:dyDescent="0.3">
      <c r="B7225" s="1" t="s">
        <v>22</v>
      </c>
      <c r="C7225" s="1" t="str">
        <f t="shared" si="359"/>
        <v>4차</v>
      </c>
      <c r="D7225" s="1" t="str">
        <f>"0330W79145"</f>
        <v>0330W79145</v>
      </c>
      <c r="E7225" s="1" t="s">
        <v>12</v>
      </c>
      <c r="F7225" s="1" t="str">
        <f>"10.14.7.1"</f>
        <v>10.14.7.1</v>
      </c>
      <c r="G7225" s="1" t="str">
        <f>"0330W791"</f>
        <v>0330W791</v>
      </c>
      <c r="H7225" s="1" t="str">
        <f>"중계 905"</f>
        <v>중계 905</v>
      </c>
      <c r="I7225" s="1" t="s">
        <v>17</v>
      </c>
      <c r="J7225" s="1" t="str">
        <f>"0/106"</f>
        <v>0/106</v>
      </c>
      <c r="K7225" s="1" t="str">
        <f>"2026-07-23 13:18:03"</f>
        <v>2026-07-23 13:18:03</v>
      </c>
      <c r="L7225" s="1" t="str">
        <f>"2021-06-14 10:29:52"</f>
        <v>2021-06-14 10:29:52</v>
      </c>
      <c r="M7225" s="1" t="s">
        <v>3</v>
      </c>
      <c r="N7225" s="1" t="s">
        <v>38</v>
      </c>
      <c r="O7225" s="1" t="s">
        <v>46</v>
      </c>
    </row>
    <row r="7226" spans="2:15" x14ac:dyDescent="0.3">
      <c r="B7226" s="1" t="s">
        <v>22</v>
      </c>
      <c r="C7226" s="1" t="str">
        <f t="shared" si="359"/>
        <v>4차</v>
      </c>
      <c r="D7226" s="1" t="str">
        <f>"0330X19245"</f>
        <v>0330X19245</v>
      </c>
      <c r="E7226" s="1" t="s">
        <v>10</v>
      </c>
      <c r="F7226" s="1" t="str">
        <f>"10.14.3.8"</f>
        <v>10.14.3.8</v>
      </c>
      <c r="G7226" s="1" t="str">
        <f>"0330X192"</f>
        <v>0330X192</v>
      </c>
      <c r="H7226" s="1" t="str">
        <f>"중계 911A"</f>
        <v>중계 911A</v>
      </c>
      <c r="I7226" s="1" t="s">
        <v>17</v>
      </c>
      <c r="J7226" s="1" t="str">
        <f>"42/43"</f>
        <v>42/43</v>
      </c>
      <c r="K7226" s="1" t="str">
        <f>"2026-07-29 13:18:03"</f>
        <v>2026-07-29 13:18:03</v>
      </c>
      <c r="L7226" s="1" t="str">
        <f>"2021-06-14 09:40:15"</f>
        <v>2021-06-14 09:40:15</v>
      </c>
      <c r="M7226" s="1" t="s">
        <v>3</v>
      </c>
      <c r="N7226" s="1" t="s">
        <v>38</v>
      </c>
      <c r="O7226" s="1" t="s">
        <v>46</v>
      </c>
    </row>
    <row r="7227" spans="2:15" x14ac:dyDescent="0.3">
      <c r="B7227" s="1" t="s">
        <v>22</v>
      </c>
      <c r="C7227" s="1" t="str">
        <f t="shared" si="359"/>
        <v>4차</v>
      </c>
      <c r="D7227" s="1" t="str">
        <f>"0330Y23145"</f>
        <v>0330Y23145</v>
      </c>
      <c r="E7227" s="1" t="s">
        <v>14</v>
      </c>
      <c r="F7227" s="1" t="str">
        <f>"10.14.1.21"</f>
        <v>10.14.1.21</v>
      </c>
      <c r="G7227" s="1" t="str">
        <f>"0330Y231"</f>
        <v>0330Y231</v>
      </c>
      <c r="H7227" s="1" t="str">
        <f>"하계 12A"</f>
        <v>하계 12A</v>
      </c>
      <c r="I7227" s="1" t="s">
        <v>17</v>
      </c>
      <c r="J7227" s="1" t="str">
        <f>"0/0"</f>
        <v>0/0</v>
      </c>
      <c r="K7227" s="1" t="str">
        <f>"2026-07-29 13:18:03"</f>
        <v>2026-07-29 13:18:03</v>
      </c>
      <c r="L7227" s="1" t="str">
        <f>"2021-07-02 15:15:59"</f>
        <v>2021-07-02 15:15:59</v>
      </c>
      <c r="M7227" s="1" t="s">
        <v>3</v>
      </c>
      <c r="N7227" s="1" t="s">
        <v>38</v>
      </c>
      <c r="O7227" s="1" t="s">
        <v>44</v>
      </c>
    </row>
    <row r="7228" spans="2:15" x14ac:dyDescent="0.3">
      <c r="B7228" s="1" t="s">
        <v>22</v>
      </c>
      <c r="C7228" s="1" t="str">
        <f t="shared" si="359"/>
        <v>4차</v>
      </c>
      <c r="D7228" s="1" t="str">
        <f>"0330Y25144"</f>
        <v>0330Y25144</v>
      </c>
      <c r="E7228" s="1" t="s">
        <v>10</v>
      </c>
      <c r="F7228" s="1" t="str">
        <f>"10.107.249.231"</f>
        <v>10.107.249.231</v>
      </c>
      <c r="G7228" s="1" t="str">
        <f>"0330Y251"</f>
        <v>0330Y251</v>
      </c>
      <c r="H7228" s="1" t="str">
        <f>"공릉지 12R2R3L2"</f>
        <v>공릉지 12R2R3L2</v>
      </c>
      <c r="I7228" s="1" t="s">
        <v>8</v>
      </c>
      <c r="J7228" s="1" t="str">
        <f>"8/9"</f>
        <v>8/9</v>
      </c>
      <c r="K7228" s="1" t="str">
        <f>"2026-07-29 13:18:03"</f>
        <v>2026-07-29 13:18:03</v>
      </c>
      <c r="L7228" s="1" t="str">
        <f>"2020-01-10 11:44:37"</f>
        <v>2020-01-10 11:44:37</v>
      </c>
      <c r="M7228" s="1" t="s">
        <v>45</v>
      </c>
      <c r="N7228" s="1" t="s">
        <v>38</v>
      </c>
      <c r="O7228" s="1" t="s">
        <v>46</v>
      </c>
    </row>
    <row r="7229" spans="2:15" x14ac:dyDescent="0.3">
      <c r="B7229" s="1" t="s">
        <v>22</v>
      </c>
      <c r="C7229" s="1" t="str">
        <f t="shared" si="359"/>
        <v>4차</v>
      </c>
      <c r="D7229" s="1" t="str">
        <f>"0330Y30141"</f>
        <v>0330Y30141</v>
      </c>
      <c r="E7229" s="1" t="s">
        <v>10</v>
      </c>
      <c r="F7229" s="1" t="str">
        <f>"10.14.1.110"</f>
        <v>10.14.1.110</v>
      </c>
      <c r="G7229" s="1" t="str">
        <f>"0330Y301"</f>
        <v>0330Y301</v>
      </c>
      <c r="H7229" s="1" t="str">
        <f>"공릉지 12R10"</f>
        <v>공릉지 12R10</v>
      </c>
      <c r="I7229" s="1" t="s">
        <v>17</v>
      </c>
      <c r="J7229" s="1" t="str">
        <f>"2/2"</f>
        <v>2/2</v>
      </c>
      <c r="K7229" s="1" t="str">
        <f>"2026-07-29 13:18:04"</f>
        <v>2026-07-29 13:18:04</v>
      </c>
      <c r="L7229" s="1" t="str">
        <f>"2021-07-14 11:39:50"</f>
        <v>2021-07-14 11:39:50</v>
      </c>
      <c r="M7229" s="1" t="s">
        <v>3</v>
      </c>
      <c r="N7229" s="1" t="s">
        <v>38</v>
      </c>
      <c r="O7229" s="1" t="s">
        <v>46</v>
      </c>
    </row>
    <row r="7230" spans="2:15" x14ac:dyDescent="0.3">
      <c r="B7230" s="1" t="s">
        <v>22</v>
      </c>
      <c r="C7230" s="1" t="str">
        <f t="shared" si="359"/>
        <v>4차</v>
      </c>
      <c r="D7230" s="1" t="str">
        <f>"0330Y31241"</f>
        <v>0330Y31241</v>
      </c>
      <c r="E7230" s="1" t="s">
        <v>10</v>
      </c>
      <c r="F7230" s="1" t="str">
        <f>"10.14.9.109"</f>
        <v>10.14.9.109</v>
      </c>
      <c r="G7230" s="1" t="str">
        <f>"0330Y312"</f>
        <v>0330Y312</v>
      </c>
      <c r="H7230" s="1" t="str">
        <f>"공릉지 12R8"</f>
        <v>공릉지 12R8</v>
      </c>
      <c r="I7230" s="1" t="s">
        <v>17</v>
      </c>
      <c r="J7230" s="1" t="str">
        <f>"36/36"</f>
        <v>36/36</v>
      </c>
      <c r="K7230" s="1" t="str">
        <f>"2026-07-29 13:18:03"</f>
        <v>2026-07-29 13:18:03</v>
      </c>
      <c r="L7230" s="1" t="str">
        <f>"2021-08-06 16:08:53"</f>
        <v>2021-08-06 16:08:53</v>
      </c>
      <c r="M7230" s="1" t="s">
        <v>3</v>
      </c>
      <c r="N7230" s="1" t="s">
        <v>38</v>
      </c>
      <c r="O7230" s="1" t="s">
        <v>46</v>
      </c>
    </row>
    <row r="7231" spans="2:15" x14ac:dyDescent="0.3">
      <c r="B7231" s="1" t="s">
        <v>22</v>
      </c>
      <c r="C7231" s="1" t="str">
        <f t="shared" si="359"/>
        <v>4차</v>
      </c>
      <c r="D7231" s="1" t="str">
        <f>"0330Y33441"</f>
        <v>0330Y33441</v>
      </c>
      <c r="E7231" s="1" t="s">
        <v>10</v>
      </c>
      <c r="F7231" s="1" t="str">
        <f>"10.14.15.43"</f>
        <v>10.14.15.43</v>
      </c>
      <c r="G7231" s="1" t="str">
        <f>"0330Y334"</f>
        <v>0330Y334</v>
      </c>
      <c r="H7231" s="1" t="str">
        <f>"공릉지 12R3L2"</f>
        <v>공릉지 12R3L2</v>
      </c>
      <c r="I7231" s="1" t="s">
        <v>17</v>
      </c>
      <c r="J7231" s="1" t="str">
        <f>"33/53"</f>
        <v>33/53</v>
      </c>
      <c r="K7231" s="1" t="str">
        <f>"2026-07-29 13:18:03"</f>
        <v>2026-07-29 13:18:03</v>
      </c>
      <c r="L7231" s="1" t="str">
        <f>"2021-07-14 11:31:38"</f>
        <v>2021-07-14 11:31:38</v>
      </c>
      <c r="M7231" s="1" t="s">
        <v>3</v>
      </c>
      <c r="N7231" s="1" t="s">
        <v>38</v>
      </c>
      <c r="O7231" s="1" t="s">
        <v>46</v>
      </c>
    </row>
    <row r="7232" spans="2:15" x14ac:dyDescent="0.3">
      <c r="B7232" s="1" t="s">
        <v>22</v>
      </c>
      <c r="C7232" s="1" t="str">
        <f t="shared" si="359"/>
        <v>4차</v>
      </c>
      <c r="D7232" s="1" t="str">
        <f>"0330Y35244"</f>
        <v>0330Y35244</v>
      </c>
      <c r="E7232" s="1" t="s">
        <v>10</v>
      </c>
      <c r="F7232" s="1" t="str">
        <f>"10.107.249.230"</f>
        <v>10.107.249.230</v>
      </c>
      <c r="G7232" s="1" t="str">
        <f>"0330Y352"</f>
        <v>0330Y352</v>
      </c>
      <c r="H7232" s="1" t="str">
        <f>"공릉지 12R2R3R1"</f>
        <v>공릉지 12R2R3R1</v>
      </c>
      <c r="I7232" s="1" t="s">
        <v>8</v>
      </c>
      <c r="J7232" s="1" t="str">
        <f>"2/2"</f>
        <v>2/2</v>
      </c>
      <c r="K7232" s="1" t="str">
        <f>"2026-07-29 13:18:03"</f>
        <v>2026-07-29 13:18:03</v>
      </c>
      <c r="L7232" s="1" t="str">
        <f>"2020-01-10 11:59:04"</f>
        <v>2020-01-10 11:59:04</v>
      </c>
      <c r="M7232" s="1" t="s">
        <v>45</v>
      </c>
      <c r="N7232" s="1" t="s">
        <v>38</v>
      </c>
      <c r="O7232" s="1" t="s">
        <v>46</v>
      </c>
    </row>
    <row r="7233" spans="2:15" x14ac:dyDescent="0.3">
      <c r="B7233" s="1" t="s">
        <v>22</v>
      </c>
      <c r="C7233" s="1" t="str">
        <f t="shared" si="359"/>
        <v>4차</v>
      </c>
      <c r="D7233" s="1" t="str">
        <f>"0330Y40141"</f>
        <v>0330Y40141</v>
      </c>
      <c r="E7233" s="1" t="s">
        <v>10</v>
      </c>
      <c r="F7233" s="1" t="str">
        <f>"10.14.15.40"</f>
        <v>10.14.15.40</v>
      </c>
      <c r="G7233" s="1" t="str">
        <f>"0330Y401"</f>
        <v>0330Y401</v>
      </c>
      <c r="H7233" s="1" t="str">
        <f>"공릉지 16R2"</f>
        <v>공릉지 16R2</v>
      </c>
      <c r="I7233" s="1" t="s">
        <v>17</v>
      </c>
      <c r="J7233" s="1" t="str">
        <f>"23/23"</f>
        <v>23/23</v>
      </c>
      <c r="K7233" s="1" t="str">
        <f>"2026-07-29 13:18:04"</f>
        <v>2026-07-29 13:18:04</v>
      </c>
      <c r="L7233" s="1" t="str">
        <f>"2021-08-06 15:59:12"</f>
        <v>2021-08-06 15:59:12</v>
      </c>
      <c r="M7233" s="1" t="s">
        <v>3</v>
      </c>
      <c r="N7233" s="1" t="s">
        <v>38</v>
      </c>
      <c r="O7233" s="1" t="s">
        <v>46</v>
      </c>
    </row>
    <row r="7234" spans="2:15" x14ac:dyDescent="0.3">
      <c r="B7234" s="1" t="s">
        <v>22</v>
      </c>
      <c r="C7234" s="1" t="str">
        <f t="shared" si="359"/>
        <v>4차</v>
      </c>
      <c r="D7234" s="1" t="str">
        <f>"0330Y44145"</f>
        <v>0330Y44145</v>
      </c>
      <c r="E7234" s="1" t="str">
        <f>"검침실패(3시간 이상)"</f>
        <v>검침실패(3시간 이상)</v>
      </c>
      <c r="F7234" s="1" t="str">
        <f>"10.14.7.58"</f>
        <v>10.14.7.58</v>
      </c>
      <c r="G7234" s="1" t="str">
        <f>"0330Y441"</f>
        <v>0330Y441</v>
      </c>
      <c r="H7234" s="1" t="str">
        <f>"하계 12B"</f>
        <v>하계 12B</v>
      </c>
      <c r="I7234" s="1" t="s">
        <v>17</v>
      </c>
      <c r="J7234" s="1" t="str">
        <f>"0/1"</f>
        <v>0/1</v>
      </c>
      <c r="K7234" s="1" t="str">
        <f>"2026-07-29 13:18:01"</f>
        <v>2026-07-29 13:18:01</v>
      </c>
      <c r="L7234" s="1" t="str">
        <f>"2021-06-14 15:19:27"</f>
        <v>2021-06-14 15:19:27</v>
      </c>
      <c r="M7234" s="1" t="s">
        <v>3</v>
      </c>
      <c r="N7234" s="1" t="s">
        <v>38</v>
      </c>
      <c r="O7234" s="1" t="s">
        <v>46</v>
      </c>
    </row>
    <row r="7235" spans="2:15" x14ac:dyDescent="0.3">
      <c r="B7235" s="1" t="s">
        <v>22</v>
      </c>
      <c r="C7235" s="1" t="str">
        <f t="shared" si="359"/>
        <v>4차</v>
      </c>
      <c r="D7235" s="1" t="str">
        <f>"0330Y47241"</f>
        <v>0330Y47241</v>
      </c>
      <c r="E7235" s="1" t="s">
        <v>10</v>
      </c>
      <c r="F7235" s="1" t="str">
        <f>"10.14.10.47"</f>
        <v>10.14.10.47</v>
      </c>
      <c r="G7235" s="1" t="str">
        <f>"0330Y472"</f>
        <v>0330Y472</v>
      </c>
      <c r="H7235" s="1" t="str">
        <f>"공릉지 4"</f>
        <v>공릉지 4</v>
      </c>
      <c r="I7235" s="1" t="s">
        <v>17</v>
      </c>
      <c r="J7235" s="1" t="str">
        <f>"48/48"</f>
        <v>48/48</v>
      </c>
      <c r="K7235" s="1" t="str">
        <f>"2026-07-29 13:18:02"</f>
        <v>2026-07-29 13:18:02</v>
      </c>
      <c r="L7235" s="1" t="str">
        <f>"2021-08-06 15:20:11"</f>
        <v>2021-08-06 15:20:11</v>
      </c>
      <c r="M7235" s="1" t="s">
        <v>3</v>
      </c>
      <c r="N7235" s="1" t="s">
        <v>38</v>
      </c>
      <c r="O7235" s="1" t="s">
        <v>46</v>
      </c>
    </row>
    <row r="7236" spans="2:15" x14ac:dyDescent="0.3">
      <c r="B7236" s="1" t="s">
        <v>22</v>
      </c>
      <c r="C7236" s="1" t="str">
        <f t="shared" si="359"/>
        <v>4차</v>
      </c>
      <c r="D7236" s="1" t="str">
        <f>"0330Y51145"</f>
        <v>0330Y51145</v>
      </c>
      <c r="E7236" s="1" t="s">
        <v>10</v>
      </c>
      <c r="F7236" s="1" t="str">
        <f>"10.14.13.19"</f>
        <v>10.14.13.19</v>
      </c>
      <c r="G7236" s="1" t="str">
        <f>"0330Y511"</f>
        <v>0330Y511</v>
      </c>
      <c r="H7236" s="1" t="str">
        <f>"하계 12D"</f>
        <v>하계 12D</v>
      </c>
      <c r="I7236" s="1" t="s">
        <v>17</v>
      </c>
      <c r="J7236" s="1" t="str">
        <f>"21/21"</f>
        <v>21/21</v>
      </c>
      <c r="K7236" s="1" t="str">
        <f>"2026-07-29 13:18:04"</f>
        <v>2026-07-29 13:18:04</v>
      </c>
      <c r="L7236" s="1" t="str">
        <f>"2021-06-14 16:44:29"</f>
        <v>2021-06-14 16:44:29</v>
      </c>
      <c r="M7236" s="1" t="s">
        <v>3</v>
      </c>
      <c r="N7236" s="1" t="s">
        <v>38</v>
      </c>
      <c r="O7236" s="1" t="s">
        <v>46</v>
      </c>
    </row>
    <row r="7237" spans="2:15" x14ac:dyDescent="0.3">
      <c r="B7237" s="1" t="s">
        <v>22</v>
      </c>
      <c r="C7237" s="1" t="str">
        <f t="shared" si="359"/>
        <v>4차</v>
      </c>
      <c r="D7237" s="1" t="str">
        <f>"0330Y52141"</f>
        <v>0330Y52141</v>
      </c>
      <c r="E7237" s="1" t="s">
        <v>10</v>
      </c>
      <c r="F7237" s="1" t="str">
        <f>"10.14.14.110"</f>
        <v>10.14.14.110</v>
      </c>
      <c r="G7237" s="1" t="str">
        <f>"0330Y521"</f>
        <v>0330Y521</v>
      </c>
      <c r="H7237" s="1" t="str">
        <f>"공릉지 13"</f>
        <v>공릉지 13</v>
      </c>
      <c r="I7237" s="1" t="s">
        <v>17</v>
      </c>
      <c r="J7237" s="1" t="str">
        <f>"45/45"</f>
        <v>45/45</v>
      </c>
      <c r="K7237" s="1" t="str">
        <f>"2026-07-29 13:18:03"</f>
        <v>2026-07-29 13:18:03</v>
      </c>
      <c r="L7237" s="1" t="str">
        <f>"2021-07-14 13:36:35"</f>
        <v>2021-07-14 13:36:35</v>
      </c>
      <c r="M7237" s="1" t="s">
        <v>3</v>
      </c>
      <c r="N7237" s="1" t="s">
        <v>38</v>
      </c>
      <c r="O7237" s="1" t="s">
        <v>46</v>
      </c>
    </row>
    <row r="7238" spans="2:15" x14ac:dyDescent="0.3">
      <c r="B7238" s="1" t="s">
        <v>22</v>
      </c>
      <c r="C7238" s="1" t="str">
        <f t="shared" si="359"/>
        <v>4차</v>
      </c>
      <c r="D7238" s="1" t="str">
        <f>"0330Y54145"</f>
        <v>0330Y54145</v>
      </c>
      <c r="E7238" s="1" t="s">
        <v>10</v>
      </c>
      <c r="F7238" s="1" t="str">
        <f>"10.14.9.7"</f>
        <v>10.14.9.7</v>
      </c>
      <c r="G7238" s="1" t="str">
        <f>"0330Y541"</f>
        <v>0330Y541</v>
      </c>
      <c r="H7238" s="1" t="str">
        <f>"하계 12C"</f>
        <v>하계 12C</v>
      </c>
      <c r="I7238" s="1" t="s">
        <v>17</v>
      </c>
      <c r="J7238" s="1" t="str">
        <f>"6/15"</f>
        <v>6/15</v>
      </c>
      <c r="K7238" s="1" t="str">
        <f>"2026-07-29 13:18:04"</f>
        <v>2026-07-29 13:18:04</v>
      </c>
      <c r="L7238" s="1" t="str">
        <f>"2021-06-14 16:08:58"</f>
        <v>2021-06-14 16:08:58</v>
      </c>
      <c r="M7238" s="1" t="s">
        <v>3</v>
      </c>
      <c r="N7238" s="1" t="s">
        <v>38</v>
      </c>
      <c r="O7238" s="1" t="s">
        <v>46</v>
      </c>
    </row>
    <row r="7239" spans="2:15" x14ac:dyDescent="0.3">
      <c r="B7239" s="1" t="s">
        <v>22</v>
      </c>
      <c r="C7239" s="1" t="str">
        <f t="shared" si="359"/>
        <v>4차</v>
      </c>
      <c r="D7239" s="1" t="str">
        <f>"0330Y54244"</f>
        <v>0330Y54244</v>
      </c>
      <c r="E7239" s="1" t="s">
        <v>14</v>
      </c>
      <c r="F7239" s="1" t="str">
        <f>"10.107.249.226"</f>
        <v>10.107.249.226</v>
      </c>
      <c r="G7239" s="1" t="str">
        <f>"0330Y542"</f>
        <v>0330Y542</v>
      </c>
      <c r="H7239" s="1" t="str">
        <f>"공릉지 10"</f>
        <v>공릉지 10</v>
      </c>
      <c r="I7239" s="1" t="s">
        <v>8</v>
      </c>
      <c r="J7239" s="1" t="str">
        <f>"0/0"</f>
        <v>0/0</v>
      </c>
      <c r="K7239" s="1" t="str">
        <f>"2026-07-29 13:18:03"</f>
        <v>2026-07-29 13:18:03</v>
      </c>
      <c r="L7239" s="1" t="str">
        <f>"2021-07-14 17:51:58"</f>
        <v>2021-07-14 17:51:58</v>
      </c>
      <c r="M7239" s="1" t="s">
        <v>45</v>
      </c>
      <c r="N7239" s="1" t="s">
        <v>38</v>
      </c>
      <c r="O7239" s="1" t="s">
        <v>44</v>
      </c>
    </row>
    <row r="7240" spans="2:15" x14ac:dyDescent="0.3">
      <c r="B7240" s="1" t="s">
        <v>22</v>
      </c>
      <c r="C7240" s="1" t="str">
        <f>"5-2차"</f>
        <v>5-2차</v>
      </c>
      <c r="D7240" s="1" t="str">
        <f>"0330Y5515M"</f>
        <v>0330Y5515M</v>
      </c>
      <c r="E7240" s="1" t="s">
        <v>10</v>
      </c>
      <c r="F7240" s="1" t="str">
        <f>"fde1:103:4:9258:0:0:0:2"</f>
        <v>fde1:103:4:9258:0:0:0:2</v>
      </c>
      <c r="G7240" s="1" t="str">
        <f>"0330Y551"</f>
        <v>0330Y551</v>
      </c>
      <c r="H7240" s="1" t="str">
        <f>"공릉지 9"</f>
        <v>공릉지 9</v>
      </c>
      <c r="I7240" s="1" t="s">
        <v>15</v>
      </c>
      <c r="J7240" s="1" t="str">
        <f>"31/31"</f>
        <v>31/31</v>
      </c>
      <c r="K7240" s="1" t="str">
        <f>"2026-07-29 14:20:20"</f>
        <v>2026-07-29 14:20:20</v>
      </c>
      <c r="L7240" s="1" t="str">
        <f>"2023-12-20 14:07:06"</f>
        <v>2023-12-20 14:07:06</v>
      </c>
      <c r="M7240" s="1" t="s">
        <v>4</v>
      </c>
      <c r="N7240" s="1" t="s">
        <v>38</v>
      </c>
      <c r="O7240" s="1" t="s">
        <v>46</v>
      </c>
    </row>
    <row r="7241" spans="2:15" x14ac:dyDescent="0.3">
      <c r="B7241" s="1" t="s">
        <v>22</v>
      </c>
      <c r="C7241" s="1" t="str">
        <f>"5-2차"</f>
        <v>5-2차</v>
      </c>
      <c r="D7241" s="1" t="str">
        <f>"0330Y6015M"</f>
        <v>0330Y6015M</v>
      </c>
      <c r="E7241" s="1" t="s">
        <v>10</v>
      </c>
      <c r="F7241" s="1" t="str">
        <f>"fde1:103:4:91c9:0:0:0:2"</f>
        <v>fde1:103:4:91c9:0:0:0:2</v>
      </c>
      <c r="G7241" s="1" t="str">
        <f>"0330Y601"</f>
        <v>0330Y601</v>
      </c>
      <c r="H7241" s="1" t="str">
        <f>"공릉지 13L4"</f>
        <v>공릉지 13L4</v>
      </c>
      <c r="I7241" s="1" t="s">
        <v>15</v>
      </c>
      <c r="J7241" s="1" t="str">
        <f>"39/39"</f>
        <v>39/39</v>
      </c>
      <c r="K7241" s="1" t="str">
        <f>"2026-07-29 14:20:20"</f>
        <v>2026-07-29 14:20:20</v>
      </c>
      <c r="L7241" s="1" t="str">
        <f>"2023-12-20 14:09:05"</f>
        <v>2023-12-20 14:09:05</v>
      </c>
      <c r="M7241" s="1" t="s">
        <v>4</v>
      </c>
      <c r="N7241" s="1" t="s">
        <v>38</v>
      </c>
      <c r="O7241" s="1" t="s">
        <v>46</v>
      </c>
    </row>
    <row r="7242" spans="2:15" x14ac:dyDescent="0.3">
      <c r="B7242" s="1" t="s">
        <v>22</v>
      </c>
      <c r="C7242" s="1" t="str">
        <f>"4차"</f>
        <v>4차</v>
      </c>
      <c r="D7242" s="1" t="str">
        <f>"0330Y64341"</f>
        <v>0330Y64341</v>
      </c>
      <c r="E7242" s="1" t="s">
        <v>10</v>
      </c>
      <c r="F7242" s="1" t="str">
        <f>"10.14.6.46"</f>
        <v>10.14.6.46</v>
      </c>
      <c r="G7242" s="1" t="str">
        <f>"0330Y643"</f>
        <v>0330Y643</v>
      </c>
      <c r="H7242" s="1" t="str">
        <f>"공릉지 12L2"</f>
        <v>공릉지 12L2</v>
      </c>
      <c r="I7242" s="1" t="s">
        <v>17</v>
      </c>
      <c r="J7242" s="1" t="str">
        <f>"34/44"</f>
        <v>34/44</v>
      </c>
      <c r="K7242" s="1" t="str">
        <f>"2026-07-29 13:18:03"</f>
        <v>2026-07-29 13:18:03</v>
      </c>
      <c r="L7242" s="1" t="str">
        <f>"2021-07-14 11:38:24"</f>
        <v>2021-07-14 11:38:24</v>
      </c>
      <c r="M7242" s="1" t="s">
        <v>3</v>
      </c>
      <c r="N7242" s="1" t="s">
        <v>38</v>
      </c>
      <c r="O7242" s="1" t="s">
        <v>46</v>
      </c>
    </row>
    <row r="7243" spans="2:15" x14ac:dyDescent="0.3">
      <c r="B7243" s="1" t="s">
        <v>22</v>
      </c>
      <c r="C7243" s="1" t="str">
        <f>"4차"</f>
        <v>4차</v>
      </c>
      <c r="D7243" s="1" t="str">
        <f>"0330Y66344"</f>
        <v>0330Y66344</v>
      </c>
      <c r="E7243" s="1" t="s">
        <v>10</v>
      </c>
      <c r="F7243" s="1" t="str">
        <f>"10.107.249.227"</f>
        <v>10.107.249.227</v>
      </c>
      <c r="G7243" s="1" t="str">
        <f>"0330Y663"</f>
        <v>0330Y663</v>
      </c>
      <c r="H7243" s="1" t="str">
        <f>"공릉지 7L1R1"</f>
        <v>공릉지 7L1R1</v>
      </c>
      <c r="I7243" s="1" t="s">
        <v>8</v>
      </c>
      <c r="J7243" s="1" t="str">
        <f>"24/24"</f>
        <v>24/24</v>
      </c>
      <c r="K7243" s="1" t="str">
        <f>"2026-07-29 13:18:03"</f>
        <v>2026-07-29 13:18:03</v>
      </c>
      <c r="L7243" s="1" t="str">
        <f>"2020-01-10 11:47:03"</f>
        <v>2020-01-10 11:47:03</v>
      </c>
      <c r="M7243" s="1" t="s">
        <v>45</v>
      </c>
      <c r="N7243" s="1" t="s">
        <v>38</v>
      </c>
      <c r="O7243" s="1" t="s">
        <v>46</v>
      </c>
    </row>
    <row r="7244" spans="2:15" x14ac:dyDescent="0.3">
      <c r="B7244" s="1" t="s">
        <v>22</v>
      </c>
      <c r="C7244" s="1" t="str">
        <f>"5-2차"</f>
        <v>5-2차</v>
      </c>
      <c r="D7244" s="1" t="str">
        <f>"0330Y6645M"</f>
        <v>0330Y6645M</v>
      </c>
      <c r="E7244" s="1" t="s">
        <v>10</v>
      </c>
      <c r="F7244" s="1" t="str">
        <f>"fde3:102:1420:1100:0:0:0:4"</f>
        <v>fde3:102:1420:1100:0:0:0:4</v>
      </c>
      <c r="G7244" s="1" t="str">
        <f>"0330Y664"</f>
        <v>0330Y664</v>
      </c>
      <c r="H7244" s="1" t="str">
        <f>"공릉지 7L1"</f>
        <v>공릉지 7L1</v>
      </c>
      <c r="I7244" s="1" t="s">
        <v>15</v>
      </c>
      <c r="J7244" s="1" t="str">
        <f>"11/11"</f>
        <v>11/11</v>
      </c>
      <c r="K7244" s="1" t="str">
        <f>"2026-07-29 14:20:42"</f>
        <v>2026-07-29 14:20:42</v>
      </c>
      <c r="L7244" s="1" t="str">
        <f>"2023-06-26 16:33:10"</f>
        <v>2023-06-26 16:33:10</v>
      </c>
      <c r="M7244" s="1" t="s">
        <v>45</v>
      </c>
      <c r="N7244" s="1" t="s">
        <v>38</v>
      </c>
      <c r="O7244" s="1" t="s">
        <v>46</v>
      </c>
    </row>
    <row r="7245" spans="2:15" x14ac:dyDescent="0.3">
      <c r="B7245" s="1" t="s">
        <v>22</v>
      </c>
      <c r="C7245" s="1" t="str">
        <f>"4차"</f>
        <v>4차</v>
      </c>
      <c r="D7245" s="1" t="str">
        <f>"0330Y67344"</f>
        <v>0330Y67344</v>
      </c>
      <c r="E7245" s="1" t="s">
        <v>10</v>
      </c>
      <c r="F7245" s="1" t="str">
        <f>"10.107.249.228"</f>
        <v>10.107.249.228</v>
      </c>
      <c r="G7245" s="1" t="str">
        <f>"0330Y673"</f>
        <v>0330Y673</v>
      </c>
      <c r="H7245" s="1" t="str">
        <f>"공릉지 7L2"</f>
        <v>공릉지 7L2</v>
      </c>
      <c r="I7245" s="1" t="s">
        <v>8</v>
      </c>
      <c r="J7245" s="1" t="str">
        <f>"5/5"</f>
        <v>5/5</v>
      </c>
      <c r="K7245" s="1" t="str">
        <f>"2026-07-29 13:18:03"</f>
        <v>2026-07-29 13:18:03</v>
      </c>
      <c r="L7245" s="1" t="str">
        <f>"2020-01-10 11:44:38"</f>
        <v>2020-01-10 11:44:38</v>
      </c>
      <c r="M7245" s="1" t="s">
        <v>45</v>
      </c>
      <c r="N7245" s="1" t="s">
        <v>38</v>
      </c>
      <c r="O7245" s="1" t="s">
        <v>46</v>
      </c>
    </row>
    <row r="7246" spans="2:15" x14ac:dyDescent="0.3">
      <c r="B7246" s="1" t="s">
        <v>22</v>
      </c>
      <c r="C7246" s="1" t="str">
        <f>"4차"</f>
        <v>4차</v>
      </c>
      <c r="D7246" s="1" t="str">
        <f>"0330Y74241"</f>
        <v>0330Y74241</v>
      </c>
      <c r="E7246" s="1" t="s">
        <v>10</v>
      </c>
      <c r="F7246" s="1" t="str">
        <f>"10.14.9.42"</f>
        <v>10.14.9.42</v>
      </c>
      <c r="G7246" s="1" t="str">
        <f>"0330Y742"</f>
        <v>0330Y742</v>
      </c>
      <c r="H7246" s="1" t="str">
        <f>"공릉지 7L11R7"</f>
        <v>공릉지 7L11R7</v>
      </c>
      <c r="I7246" s="1" t="s">
        <v>17</v>
      </c>
      <c r="J7246" s="1" t="str">
        <f>"16/16"</f>
        <v>16/16</v>
      </c>
      <c r="K7246" s="1" t="str">
        <f>"2026-07-29 13:18:03"</f>
        <v>2026-07-29 13:18:03</v>
      </c>
      <c r="L7246" s="1" t="str">
        <f>"2021-08-06 14:53:03"</f>
        <v>2021-08-06 14:53:03</v>
      </c>
      <c r="M7246" s="1" t="s">
        <v>3</v>
      </c>
      <c r="N7246" s="1" t="s">
        <v>38</v>
      </c>
      <c r="O7246" s="1" t="s">
        <v>46</v>
      </c>
    </row>
    <row r="7247" spans="2:15" x14ac:dyDescent="0.3">
      <c r="B7247" s="1" t="s">
        <v>22</v>
      </c>
      <c r="C7247" s="1" t="str">
        <f>"4차"</f>
        <v>4차</v>
      </c>
      <c r="D7247" s="1" t="str">
        <f>"0330Y77145"</f>
        <v>0330Y77145</v>
      </c>
      <c r="E7247" s="1" t="s">
        <v>10</v>
      </c>
      <c r="F7247" s="1" t="str">
        <f>"10.14.11.189"</f>
        <v>10.14.11.189</v>
      </c>
      <c r="G7247" s="1" t="str">
        <f>"0330Y771"</f>
        <v>0330Y771</v>
      </c>
      <c r="H7247" s="1" t="str">
        <f>"공릉지 7L3R1"</f>
        <v>공릉지 7L3R1</v>
      </c>
      <c r="I7247" s="1" t="s">
        <v>17</v>
      </c>
      <c r="J7247" s="1" t="str">
        <f>"27/30"</f>
        <v>27/30</v>
      </c>
      <c r="K7247" s="1" t="str">
        <f>"2026-07-29 13:18:04"</f>
        <v>2026-07-29 13:18:04</v>
      </c>
      <c r="L7247" s="1" t="str">
        <f>"2021-10-22 08:03:47"</f>
        <v>2021-10-22 08:03:47</v>
      </c>
      <c r="M7247" s="1" t="s">
        <v>3</v>
      </c>
      <c r="N7247" s="1" t="s">
        <v>38</v>
      </c>
      <c r="O7247" s="1" t="s">
        <v>46</v>
      </c>
    </row>
    <row r="7248" spans="2:15" x14ac:dyDescent="0.3">
      <c r="B7248" s="1" t="s">
        <v>22</v>
      </c>
      <c r="C7248" s="1" t="str">
        <f>"3차"</f>
        <v>3차</v>
      </c>
      <c r="D7248" s="1" t="str">
        <f>"0330Y84239"</f>
        <v>0330Y84239</v>
      </c>
      <c r="E7248" s="1" t="s">
        <v>10</v>
      </c>
      <c r="F7248" s="1" t="str">
        <f>"10.12.129.203"</f>
        <v>10.12.129.203</v>
      </c>
      <c r="G7248" s="1" t="str">
        <f>"0330Y842"</f>
        <v>0330Y842</v>
      </c>
      <c r="H7248" s="1" t="str">
        <f>"공릉지 7L11R5"</f>
        <v>공릉지 7L11R5</v>
      </c>
      <c r="I7248" s="1" t="s">
        <v>8</v>
      </c>
      <c r="J7248" s="1" t="str">
        <f>"27/27"</f>
        <v>27/27</v>
      </c>
      <c r="K7248" s="1" t="str">
        <f>"2026-07-29 13:18:05"</f>
        <v>2026-07-29 13:18:05</v>
      </c>
      <c r="L7248" s="1" t="str">
        <f>"2018-04-20 12:10:42"</f>
        <v>2018-04-20 12:10:42</v>
      </c>
      <c r="M7248" s="1" t="s">
        <v>0</v>
      </c>
      <c r="N7248" s="1" t="s">
        <v>38</v>
      </c>
      <c r="O7248" s="1" t="s">
        <v>46</v>
      </c>
    </row>
    <row r="7249" spans="2:15" x14ac:dyDescent="0.3">
      <c r="B7249" s="1" t="s">
        <v>22</v>
      </c>
      <c r="C7249" s="1" t="str">
        <f>"4차"</f>
        <v>4차</v>
      </c>
      <c r="D7249" s="1" t="str">
        <f>"0330Y96144"</f>
        <v>0330Y96144</v>
      </c>
      <c r="E7249" s="1" t="s">
        <v>10</v>
      </c>
      <c r="F7249" s="1" t="str">
        <f>"10.107.249.244"</f>
        <v>10.107.249.244</v>
      </c>
      <c r="G7249" s="1" t="str">
        <f>"0330Y961"</f>
        <v>0330Y961</v>
      </c>
      <c r="H7249" s="1" t="str">
        <f>"공릉지 7L11R2R5L1"</f>
        <v>공릉지 7L11R2R5L1</v>
      </c>
      <c r="I7249" s="1" t="s">
        <v>8</v>
      </c>
      <c r="J7249" s="1" t="str">
        <f>"32/32"</f>
        <v>32/32</v>
      </c>
      <c r="K7249" s="1" t="str">
        <f>"2026-07-29 13:18:03"</f>
        <v>2026-07-29 13:18:03</v>
      </c>
      <c r="L7249" s="1" t="str">
        <f>"2020-01-10 11:46:16"</f>
        <v>2020-01-10 11:46:16</v>
      </c>
      <c r="M7249" s="1" t="s">
        <v>45</v>
      </c>
      <c r="N7249" s="1" t="s">
        <v>38</v>
      </c>
      <c r="O7249" s="1" t="s">
        <v>46</v>
      </c>
    </row>
    <row r="7250" spans="2:15" x14ac:dyDescent="0.3">
      <c r="B7250" s="1" t="s">
        <v>22</v>
      </c>
      <c r="C7250" s="1" t="str">
        <f>"4차"</f>
        <v>4차</v>
      </c>
      <c r="D7250" s="1" t="str">
        <f>"0330Z05244"</f>
        <v>0330Z05244</v>
      </c>
      <c r="E7250" s="1" t="s">
        <v>10</v>
      </c>
      <c r="F7250" s="1" t="str">
        <f>"10.107.249.245"</f>
        <v>10.107.249.245</v>
      </c>
      <c r="G7250" s="1" t="str">
        <f>"0330Z052"</f>
        <v>0330Z052</v>
      </c>
      <c r="H7250" s="1" t="str">
        <f>"공릉지 7L11R3"</f>
        <v>공릉지 7L11R3</v>
      </c>
      <c r="I7250" s="1" t="s">
        <v>8</v>
      </c>
      <c r="J7250" s="1" t="str">
        <f>"63/63"</f>
        <v>63/63</v>
      </c>
      <c r="K7250" s="1" t="str">
        <f>"2026-07-29 13:18:03"</f>
        <v>2026-07-29 13:18:03</v>
      </c>
      <c r="L7250" s="1" t="str">
        <f>"2020-01-10 11:48:38"</f>
        <v>2020-01-10 11:48:38</v>
      </c>
      <c r="M7250" s="1" t="s">
        <v>45</v>
      </c>
      <c r="N7250" s="1" t="s">
        <v>38</v>
      </c>
      <c r="O7250" s="1" t="s">
        <v>46</v>
      </c>
    </row>
    <row r="7251" spans="2:15" x14ac:dyDescent="0.3">
      <c r="B7251" s="1" t="s">
        <v>22</v>
      </c>
      <c r="C7251" s="1" t="str">
        <f>"4차"</f>
        <v>4차</v>
      </c>
      <c r="D7251" s="1" t="str">
        <f>"0330Z06344"</f>
        <v>0330Z06344</v>
      </c>
      <c r="E7251" s="1" t="s">
        <v>10</v>
      </c>
      <c r="F7251" s="1" t="str">
        <f>"10.107.249.246"</f>
        <v>10.107.249.246</v>
      </c>
      <c r="G7251" s="1" t="str">
        <f>"0330Z063"</f>
        <v>0330Z063</v>
      </c>
      <c r="H7251" s="1" t="str">
        <f>"공릉지 7L11R2"</f>
        <v>공릉지 7L11R2</v>
      </c>
      <c r="I7251" s="1" t="s">
        <v>8</v>
      </c>
      <c r="J7251" s="1" t="str">
        <f>"28/38"</f>
        <v>28/38</v>
      </c>
      <c r="K7251" s="1" t="str">
        <f>"2026-07-29 13:18:03"</f>
        <v>2026-07-29 13:18:03</v>
      </c>
      <c r="L7251" s="1" t="str">
        <f>"2020-01-10 11:44:21"</f>
        <v>2020-01-10 11:44:21</v>
      </c>
      <c r="M7251" s="1" t="s">
        <v>45</v>
      </c>
      <c r="N7251" s="1" t="s">
        <v>38</v>
      </c>
      <c r="O7251" s="1" t="s">
        <v>46</v>
      </c>
    </row>
    <row r="7252" spans="2:15" x14ac:dyDescent="0.3">
      <c r="B7252" s="1" t="s">
        <v>22</v>
      </c>
      <c r="C7252" s="1" t="str">
        <f>"4차"</f>
        <v>4차</v>
      </c>
      <c r="D7252" s="1" t="str">
        <f>"0330Z07144"</f>
        <v>0330Z07144</v>
      </c>
      <c r="E7252" s="1" t="s">
        <v>10</v>
      </c>
      <c r="F7252" s="1" t="str">
        <f>"10.107.249.247"</f>
        <v>10.107.249.247</v>
      </c>
      <c r="G7252" s="1" t="str">
        <f>"0330Z071"</f>
        <v>0330Z071</v>
      </c>
      <c r="H7252" s="1" t="str">
        <f>"공릉지 7L11R2R2"</f>
        <v>공릉지 7L11R2R2</v>
      </c>
      <c r="I7252" s="1" t="s">
        <v>8</v>
      </c>
      <c r="J7252" s="1" t="str">
        <f>"59/60"</f>
        <v>59/60</v>
      </c>
      <c r="K7252" s="1" t="str">
        <f>"2026-07-29 13:18:03"</f>
        <v>2026-07-29 13:18:03</v>
      </c>
      <c r="L7252" s="1" t="str">
        <f>"2020-01-10 11:44:03"</f>
        <v>2020-01-10 11:44:03</v>
      </c>
      <c r="M7252" s="1" t="s">
        <v>45</v>
      </c>
      <c r="N7252" s="1" t="s">
        <v>38</v>
      </c>
      <c r="O7252" s="1" t="s">
        <v>46</v>
      </c>
    </row>
    <row r="7253" spans="2:15" x14ac:dyDescent="0.3">
      <c r="B7253" s="1" t="s">
        <v>22</v>
      </c>
      <c r="C7253" s="1" t="str">
        <f>"4차"</f>
        <v>4차</v>
      </c>
      <c r="D7253" s="1" t="str">
        <f>"0330Z07244"</f>
        <v>0330Z07244</v>
      </c>
      <c r="E7253" s="1" t="s">
        <v>10</v>
      </c>
      <c r="F7253" s="1" t="str">
        <f>"10.107.249.248"</f>
        <v>10.107.249.248</v>
      </c>
      <c r="G7253" s="1" t="str">
        <f>"0330Z072"</f>
        <v>0330Z072</v>
      </c>
      <c r="H7253" s="1" t="str">
        <f>"공릉지 7L11R2R3"</f>
        <v>공릉지 7L11R2R3</v>
      </c>
      <c r="I7253" s="1" t="s">
        <v>8</v>
      </c>
      <c r="J7253" s="1" t="str">
        <f>"8/8"</f>
        <v>8/8</v>
      </c>
      <c r="K7253" s="1" t="str">
        <f>"2026-07-29 13:18:03"</f>
        <v>2026-07-29 13:18:03</v>
      </c>
      <c r="L7253" s="1" t="str">
        <f>"2020-01-10 11:48:45"</f>
        <v>2020-01-10 11:48:45</v>
      </c>
      <c r="M7253" s="1" t="s">
        <v>45</v>
      </c>
      <c r="N7253" s="1" t="s">
        <v>38</v>
      </c>
      <c r="O7253" s="1" t="s">
        <v>46</v>
      </c>
    </row>
    <row r="7254" spans="2:15" x14ac:dyDescent="0.3">
      <c r="B7254" s="1" t="s">
        <v>22</v>
      </c>
      <c r="C7254" s="1" t="str">
        <f>"5-2차"</f>
        <v>5-2차</v>
      </c>
      <c r="D7254" s="1" t="str">
        <f>"0330Z1735M"</f>
        <v>0330Z1735M</v>
      </c>
      <c r="E7254" s="1" t="s">
        <v>10</v>
      </c>
      <c r="F7254" s="1" t="str">
        <f>"fde1:103:4:9151:0:0:0:2"</f>
        <v>fde1:103:4:9151:0:0:0:2</v>
      </c>
      <c r="G7254" s="1" t="str">
        <f>"0330Z173"</f>
        <v>0330Z173</v>
      </c>
      <c r="H7254" s="1" t="str">
        <f>"공릉지 7L10"</f>
        <v>공릉지 7L10</v>
      </c>
      <c r="I7254" s="1" t="s">
        <v>15</v>
      </c>
      <c r="J7254" s="1" t="str">
        <f>"38/44"</f>
        <v>38/44</v>
      </c>
      <c r="K7254" s="1" t="str">
        <f>"2026-07-29 14:20:21"</f>
        <v>2026-07-29 14:20:21</v>
      </c>
      <c r="L7254" s="1" t="str">
        <f>"2024-01-18 09:22:32"</f>
        <v>2024-01-18 09:22:32</v>
      </c>
      <c r="M7254" s="1" t="s">
        <v>4</v>
      </c>
      <c r="N7254" s="1" t="s">
        <v>38</v>
      </c>
      <c r="O7254" s="1" t="s">
        <v>46</v>
      </c>
    </row>
    <row r="7255" spans="2:15" x14ac:dyDescent="0.3">
      <c r="B7255" s="1" t="s">
        <v>22</v>
      </c>
      <c r="C7255" s="1" t="str">
        <f>"4차"</f>
        <v>4차</v>
      </c>
      <c r="D7255" s="1" t="str">
        <f>"0330Z37344"</f>
        <v>0330Z37344</v>
      </c>
      <c r="E7255" s="1" t="s">
        <v>10</v>
      </c>
      <c r="F7255" s="1" t="str">
        <f>"10.107.249.249"</f>
        <v>10.107.249.249</v>
      </c>
      <c r="G7255" s="1" t="str">
        <f>"0330Z373"</f>
        <v>0330Z373</v>
      </c>
      <c r="H7255" s="1" t="str">
        <f>"공릉지 7L13R1"</f>
        <v>공릉지 7L13R1</v>
      </c>
      <c r="I7255" s="1" t="s">
        <v>8</v>
      </c>
      <c r="J7255" s="1" t="str">
        <f>"23/23"</f>
        <v>23/23</v>
      </c>
      <c r="K7255" s="1" t="str">
        <f>"2026-07-29 13:18:03"</f>
        <v>2026-07-29 13:18:03</v>
      </c>
      <c r="L7255" s="1" t="str">
        <f>"2020-01-10 11:44:48"</f>
        <v>2020-01-10 11:44:48</v>
      </c>
      <c r="M7255" s="1" t="s">
        <v>45</v>
      </c>
      <c r="N7255" s="1" t="s">
        <v>38</v>
      </c>
      <c r="O7255" s="1" t="s">
        <v>46</v>
      </c>
    </row>
    <row r="7256" spans="2:15" x14ac:dyDescent="0.3">
      <c r="B7256" s="1" t="s">
        <v>22</v>
      </c>
      <c r="C7256" s="1" t="str">
        <f>"4차"</f>
        <v>4차</v>
      </c>
      <c r="D7256" s="1" t="str">
        <f>"0330Z38144"</f>
        <v>0330Z38144</v>
      </c>
      <c r="E7256" s="1" t="s">
        <v>10</v>
      </c>
      <c r="F7256" s="1" t="str">
        <f>"10.107.249.250"</f>
        <v>10.107.249.250</v>
      </c>
      <c r="G7256" s="1" t="str">
        <f>"0330Z381"</f>
        <v>0330Z381</v>
      </c>
      <c r="H7256" s="1" t="str">
        <f>"공릉지 7L14L1"</f>
        <v>공릉지 7L14L1</v>
      </c>
      <c r="I7256" s="1" t="s">
        <v>8</v>
      </c>
      <c r="J7256" s="1" t="str">
        <f>"20/20"</f>
        <v>20/20</v>
      </c>
      <c r="K7256" s="1" t="str">
        <f>"2026-07-29 13:18:03"</f>
        <v>2026-07-29 13:18:03</v>
      </c>
      <c r="L7256" s="1" t="str">
        <f>"2020-01-10 11:44:09"</f>
        <v>2020-01-10 11:44:09</v>
      </c>
      <c r="M7256" s="1" t="s">
        <v>45</v>
      </c>
      <c r="N7256" s="1" t="s">
        <v>38</v>
      </c>
      <c r="O7256" s="1" t="s">
        <v>46</v>
      </c>
    </row>
    <row r="7257" spans="2:15" x14ac:dyDescent="0.3">
      <c r="B7257" s="1" t="s">
        <v>22</v>
      </c>
      <c r="C7257" s="1" t="str">
        <f>"5-1차"</f>
        <v>5-1차</v>
      </c>
      <c r="D7257" s="1" t="str">
        <f>"0330Z4615M"</f>
        <v>0330Z4615M</v>
      </c>
      <c r="E7257" s="1" t="s">
        <v>10</v>
      </c>
      <c r="F7257" s="1" t="str">
        <f>"fde3:102:1420:1100:0:0:0:2"</f>
        <v>fde3:102:1420:1100:0:0:0:2</v>
      </c>
      <c r="G7257" s="1" t="str">
        <f>"0330Z461"</f>
        <v>0330Z461</v>
      </c>
      <c r="H7257" s="1" t="str">
        <f>"공릉지 7L17R1"</f>
        <v>공릉지 7L17R1</v>
      </c>
      <c r="I7257" s="1" t="s">
        <v>15</v>
      </c>
      <c r="J7257" s="1" t="str">
        <f>"60/60"</f>
        <v>60/60</v>
      </c>
      <c r="K7257" s="1" t="str">
        <f>"2026-07-29 14:20:30"</f>
        <v>2026-07-29 14:20:30</v>
      </c>
      <c r="L7257" s="1" t="str">
        <f>"2022-11-16 08:15:14"</f>
        <v>2022-11-16 08:15:14</v>
      </c>
      <c r="M7257" s="1" t="s">
        <v>45</v>
      </c>
      <c r="N7257" s="1" t="s">
        <v>38</v>
      </c>
      <c r="O7257" s="1" t="s">
        <v>46</v>
      </c>
    </row>
    <row r="7258" spans="2:15" x14ac:dyDescent="0.3">
      <c r="B7258" s="1" t="s">
        <v>22</v>
      </c>
      <c r="C7258" s="1" t="str">
        <f>"5-1차"</f>
        <v>5-1차</v>
      </c>
      <c r="D7258" s="1" t="str">
        <f>"0330Z4735S"</f>
        <v>0330Z4735S</v>
      </c>
      <c r="E7258" s="1" t="s">
        <v>10</v>
      </c>
      <c r="F7258" s="1" t="str">
        <f>"fde3:102:1420:1100:0:0:0:3"</f>
        <v>fde3:102:1420:1100:0:0:0:3</v>
      </c>
      <c r="G7258" s="1" t="str">
        <f>"0330Z473"</f>
        <v>0330Z473</v>
      </c>
      <c r="H7258" s="1" t="str">
        <f>"공릉지 7L17"</f>
        <v>공릉지 7L17</v>
      </c>
      <c r="I7258" s="1" t="s">
        <v>15</v>
      </c>
      <c r="J7258" s="1" t="str">
        <f>"35/35"</f>
        <v>35/35</v>
      </c>
      <c r="K7258" s="1" t="str">
        <f>"2026-07-29 14:20:43"</f>
        <v>2026-07-29 14:20:43</v>
      </c>
      <c r="L7258" s="1" t="str">
        <f>"2022-11-16 14:55:29"</f>
        <v>2022-11-16 14:55:29</v>
      </c>
      <c r="M7258" s="1" t="s">
        <v>45</v>
      </c>
      <c r="N7258" s="1" t="s">
        <v>38</v>
      </c>
      <c r="O7258" s="1" t="s">
        <v>46</v>
      </c>
    </row>
    <row r="7259" spans="2:15" x14ac:dyDescent="0.3">
      <c r="B7259" s="1" t="s">
        <v>22</v>
      </c>
      <c r="C7259" s="1" t="str">
        <f>"4차"</f>
        <v>4차</v>
      </c>
      <c r="D7259" s="1" t="str">
        <f>"0330Z48444"</f>
        <v>0330Z48444</v>
      </c>
      <c r="E7259" s="1" t="s">
        <v>10</v>
      </c>
      <c r="F7259" s="1" t="str">
        <f>"10.107.249.251"</f>
        <v>10.107.249.251</v>
      </c>
      <c r="G7259" s="1" t="str">
        <f>"0330Z484"</f>
        <v>0330Z484</v>
      </c>
      <c r="H7259" s="1" t="str">
        <f>"공릉지 7L14L3"</f>
        <v>공릉지 7L14L3</v>
      </c>
      <c r="I7259" s="1" t="s">
        <v>8</v>
      </c>
      <c r="J7259" s="1" t="str">
        <f>"35/35"</f>
        <v>35/35</v>
      </c>
      <c r="K7259" s="1" t="str">
        <f>"2026-07-29 13:18:03"</f>
        <v>2026-07-29 13:18:03</v>
      </c>
      <c r="L7259" s="1" t="str">
        <f>"2020-01-10 11:43:55"</f>
        <v>2020-01-10 11:43:55</v>
      </c>
      <c r="M7259" s="1" t="s">
        <v>45</v>
      </c>
      <c r="N7259" s="1" t="s">
        <v>38</v>
      </c>
      <c r="O7259" s="1" t="s">
        <v>46</v>
      </c>
    </row>
    <row r="7260" spans="2:15" x14ac:dyDescent="0.3">
      <c r="B7260" s="1" t="s">
        <v>22</v>
      </c>
      <c r="C7260" s="1" t="str">
        <f>"4차"</f>
        <v>4차</v>
      </c>
      <c r="D7260" s="1" t="str">
        <f>"0330Z56144"</f>
        <v>0330Z56144</v>
      </c>
      <c r="E7260" s="1" t="s">
        <v>10</v>
      </c>
      <c r="F7260" s="1" t="str">
        <f>"10.107.249.252"</f>
        <v>10.107.249.252</v>
      </c>
      <c r="G7260" s="1" t="str">
        <f>"0330Z561"</f>
        <v>0330Z561</v>
      </c>
      <c r="H7260" s="1" t="str">
        <f>"공릉지 7L19"</f>
        <v>공릉지 7L19</v>
      </c>
      <c r="I7260" s="1" t="s">
        <v>8</v>
      </c>
      <c r="J7260" s="1" t="str">
        <f>"44/44"</f>
        <v>44/44</v>
      </c>
      <c r="K7260" s="1" t="str">
        <f>"2026-07-29 13:18:03"</f>
        <v>2026-07-29 13:18:03</v>
      </c>
      <c r="L7260" s="1" t="str">
        <f>"2020-01-10 11:44:13"</f>
        <v>2020-01-10 11:44:13</v>
      </c>
      <c r="M7260" s="1" t="s">
        <v>45</v>
      </c>
      <c r="N7260" s="1" t="s">
        <v>38</v>
      </c>
      <c r="O7260" s="1" t="s">
        <v>46</v>
      </c>
    </row>
    <row r="7261" spans="2:15" x14ac:dyDescent="0.3">
      <c r="B7261" s="1" t="s">
        <v>22</v>
      </c>
      <c r="C7261" s="1" t="str">
        <f>"4차"</f>
        <v>4차</v>
      </c>
      <c r="D7261" s="1" t="str">
        <f>"0330Z58244"</f>
        <v>0330Z58244</v>
      </c>
      <c r="E7261" s="1" t="s">
        <v>10</v>
      </c>
      <c r="F7261" s="1" t="str">
        <f>"10.12.138.77"</f>
        <v>10.12.138.77</v>
      </c>
      <c r="G7261" s="1" t="str">
        <f>"0330Z582"</f>
        <v>0330Z582</v>
      </c>
      <c r="H7261" s="1" t="str">
        <f>"공릉지 7L14L5"</f>
        <v>공릉지 7L14L5</v>
      </c>
      <c r="I7261" s="1" t="s">
        <v>8</v>
      </c>
      <c r="J7261" s="1" t="str">
        <f>"31/31"</f>
        <v>31/31</v>
      </c>
      <c r="K7261" s="1" t="str">
        <f>"2026-07-29 13:18:02"</f>
        <v>2026-07-29 13:18:02</v>
      </c>
      <c r="L7261" s="1" t="str">
        <f>"2019-11-11 19:49:56"</f>
        <v>2019-11-11 19:49:56</v>
      </c>
      <c r="M7261" s="1" t="s">
        <v>0</v>
      </c>
      <c r="N7261" s="1" t="s">
        <v>38</v>
      </c>
      <c r="O7261" s="1" t="s">
        <v>46</v>
      </c>
    </row>
    <row r="7262" spans="2:15" x14ac:dyDescent="0.3">
      <c r="B7262" s="1" t="s">
        <v>22</v>
      </c>
      <c r="C7262" s="1" t="str">
        <f>"5-2차"</f>
        <v>5-2차</v>
      </c>
      <c r="D7262" s="1" t="str">
        <f>"0330Z7635M"</f>
        <v>0330Z7635M</v>
      </c>
      <c r="E7262" s="1" t="s">
        <v>10</v>
      </c>
      <c r="F7262" s="1" t="str">
        <f>"fde3:102:1420:1100:0:0:0:5"</f>
        <v>fde3:102:1420:1100:0:0:0:5</v>
      </c>
      <c r="G7262" s="1" t="str">
        <f>"0330Z763"</f>
        <v>0330Z763</v>
      </c>
      <c r="H7262" s="1" t="str">
        <f>"공릉지 7L21"</f>
        <v>공릉지 7L21</v>
      </c>
      <c r="I7262" s="1" t="s">
        <v>15</v>
      </c>
      <c r="J7262" s="1" t="str">
        <f>"49/49"</f>
        <v>49/49</v>
      </c>
      <c r="K7262" s="1" t="str">
        <f>"2026-07-29 14:20:20"</f>
        <v>2026-07-29 14:20:20</v>
      </c>
      <c r="L7262" s="1" t="str">
        <f>"2023-06-26 18:14:39"</f>
        <v>2023-06-26 18:14:39</v>
      </c>
      <c r="M7262" s="1" t="s">
        <v>45</v>
      </c>
      <c r="N7262" s="1" t="s">
        <v>38</v>
      </c>
      <c r="O7262" s="1" t="s">
        <v>46</v>
      </c>
    </row>
    <row r="7263" spans="2:15" x14ac:dyDescent="0.3">
      <c r="B7263" s="1" t="s">
        <v>22</v>
      </c>
      <c r="C7263" s="1" t="str">
        <f>"4차"</f>
        <v>4차</v>
      </c>
      <c r="D7263" s="1" t="str">
        <f>"0330Z87144"</f>
        <v>0330Z87144</v>
      </c>
      <c r="E7263" s="1" t="s">
        <v>10</v>
      </c>
      <c r="F7263" s="1" t="str">
        <f>"10.107.249.253"</f>
        <v>10.107.249.253</v>
      </c>
      <c r="G7263" s="1" t="str">
        <f>"0330Z871"</f>
        <v>0330Z871</v>
      </c>
      <c r="H7263" s="1" t="str">
        <f>"공릉지 7L22"</f>
        <v>공릉지 7L22</v>
      </c>
      <c r="I7263" s="1" t="s">
        <v>8</v>
      </c>
      <c r="J7263" s="1" t="str">
        <f>"25/25"</f>
        <v>25/25</v>
      </c>
      <c r="K7263" s="1" t="str">
        <f>"2026-07-29 13:18:02"</f>
        <v>2026-07-29 13:18:02</v>
      </c>
      <c r="L7263" s="1" t="str">
        <f>"2020-02-10 18:39:34"</f>
        <v>2020-02-10 18:39:34</v>
      </c>
      <c r="M7263" s="1" t="s">
        <v>45</v>
      </c>
      <c r="N7263" s="1" t="s">
        <v>38</v>
      </c>
      <c r="O7263" s="1" t="s">
        <v>46</v>
      </c>
    </row>
    <row r="7264" spans="2:15" x14ac:dyDescent="0.3">
      <c r="B7264" s="1" t="s">
        <v>22</v>
      </c>
      <c r="C7264" s="1" t="str">
        <f>"4차"</f>
        <v>4차</v>
      </c>
      <c r="D7264" s="1" t="str">
        <f>"0331A26139"</f>
        <v>0331A26139</v>
      </c>
      <c r="E7264" s="1" t="s">
        <v>10</v>
      </c>
      <c r="F7264" s="1" t="str">
        <f>"10.12.130.92"</f>
        <v>10.12.130.92</v>
      </c>
      <c r="G7264" s="1" t="str">
        <f>"0331A261"</f>
        <v>0331A261</v>
      </c>
      <c r="H7264" s="1" t="str">
        <f>"상계 21"</f>
        <v>상계 21</v>
      </c>
      <c r="I7264" s="1" t="s">
        <v>17</v>
      </c>
      <c r="J7264" s="1" t="str">
        <f>"11/11"</f>
        <v>11/11</v>
      </c>
      <c r="K7264" s="1" t="str">
        <f>"2026-07-29 13:18:04"</f>
        <v>2026-07-29 13:18:04</v>
      </c>
      <c r="L7264" s="1" t="str">
        <f>"2018-10-12 10:45:56"</f>
        <v>2018-10-12 10:45:56</v>
      </c>
      <c r="M7264" s="1" t="s">
        <v>0</v>
      </c>
      <c r="N7264" s="1" t="s">
        <v>38</v>
      </c>
      <c r="O7264" s="1" t="s">
        <v>46</v>
      </c>
    </row>
    <row r="7265" spans="2:15" x14ac:dyDescent="0.3">
      <c r="B7265" s="1" t="s">
        <v>22</v>
      </c>
      <c r="C7265" s="1" t="str">
        <f>"4차"</f>
        <v>4차</v>
      </c>
      <c r="D7265" s="1" t="str">
        <f>"0331B60144"</f>
        <v>0331B60144</v>
      </c>
      <c r="E7265" s="1" t="s">
        <v>10</v>
      </c>
      <c r="F7265" s="1" t="str">
        <f>"10.107.250.23"</f>
        <v>10.107.250.23</v>
      </c>
      <c r="G7265" s="1" t="str">
        <f>"0331B601"</f>
        <v>0331B601</v>
      </c>
      <c r="H7265" s="1" t="str">
        <f>"불암간 55B4"</f>
        <v>불암간 55B4</v>
      </c>
      <c r="I7265" s="1" t="s">
        <v>8</v>
      </c>
      <c r="J7265" s="1" t="str">
        <f>"42/42"</f>
        <v>42/42</v>
      </c>
      <c r="K7265" s="1" t="str">
        <f>"2026-07-29 13:18:02"</f>
        <v>2026-07-29 13:18:02</v>
      </c>
      <c r="L7265" s="1" t="str">
        <f>"2020-01-10 11:54:07"</f>
        <v>2020-01-10 11:54:07</v>
      </c>
      <c r="M7265" s="1" t="s">
        <v>45</v>
      </c>
      <c r="N7265" s="1" t="s">
        <v>38</v>
      </c>
      <c r="O7265" s="1" t="s">
        <v>46</v>
      </c>
    </row>
    <row r="7266" spans="2:15" x14ac:dyDescent="0.3">
      <c r="B7266" s="1" t="s">
        <v>22</v>
      </c>
      <c r="C7266" s="1" t="str">
        <f>"5-2차"</f>
        <v>5-2차</v>
      </c>
      <c r="D7266" s="1" t="str">
        <f>"0331B6115M"</f>
        <v>0331B6115M</v>
      </c>
      <c r="E7266" s="1" t="s">
        <v>10</v>
      </c>
      <c r="F7266" s="1" t="str">
        <f>"fde3:102:1420:3200:0:0:0:d"</f>
        <v>fde3:102:1420:3200:0:0:0:d</v>
      </c>
      <c r="G7266" s="1" t="str">
        <f>"0331B611"</f>
        <v>0331B611</v>
      </c>
      <c r="H7266" s="1" t="str">
        <f>"불암간 55B3"</f>
        <v>불암간 55B3</v>
      </c>
      <c r="I7266" s="1" t="s">
        <v>15</v>
      </c>
      <c r="J7266" s="1" t="str">
        <f>"45/45"</f>
        <v>45/45</v>
      </c>
      <c r="K7266" s="1" t="str">
        <f>"2026-07-28 20:03:27"</f>
        <v>2026-07-28 20:03:27</v>
      </c>
      <c r="L7266" s="1" t="str">
        <f>"2023-08-24 15:23:46"</f>
        <v>2023-08-24 15:23:46</v>
      </c>
      <c r="M7266" s="1" t="s">
        <v>45</v>
      </c>
      <c r="N7266" s="1" t="s">
        <v>38</v>
      </c>
      <c r="O7266" s="1" t="s">
        <v>46</v>
      </c>
    </row>
    <row r="7267" spans="2:15" x14ac:dyDescent="0.3">
      <c r="B7267" s="1" t="s">
        <v>22</v>
      </c>
      <c r="C7267" s="1" t="str">
        <f>"5-2차"</f>
        <v>5-2차</v>
      </c>
      <c r="D7267" s="1" t="str">
        <f>"0331B6315M"</f>
        <v>0331B6315M</v>
      </c>
      <c r="E7267" s="1" t="s">
        <v>10</v>
      </c>
      <c r="F7267" s="1" t="str">
        <f>"fde1:103:4:9294:0:0:0:2"</f>
        <v>fde1:103:4:9294:0:0:0:2</v>
      </c>
      <c r="G7267" s="1" t="str">
        <f>"0331B631"</f>
        <v>0331B631</v>
      </c>
      <c r="H7267" s="1" t="str">
        <f>"불암간 55R2"</f>
        <v>불암간 55R2</v>
      </c>
      <c r="I7267" s="1" t="s">
        <v>15</v>
      </c>
      <c r="J7267" s="1" t="str">
        <f>"37/37"</f>
        <v>37/37</v>
      </c>
      <c r="K7267" s="1" t="str">
        <f>"2026-07-29 14:20:21"</f>
        <v>2026-07-29 14:20:21</v>
      </c>
      <c r="L7267" s="1" t="str">
        <f>"2023-12-20 14:16:49"</f>
        <v>2023-12-20 14:16:49</v>
      </c>
      <c r="M7267" s="1" t="s">
        <v>4</v>
      </c>
      <c r="N7267" s="1" t="s">
        <v>38</v>
      </c>
      <c r="O7267" s="1" t="s">
        <v>46</v>
      </c>
    </row>
    <row r="7268" spans="2:15" x14ac:dyDescent="0.3">
      <c r="B7268" s="1" t="s">
        <v>22</v>
      </c>
      <c r="C7268" s="1" t="str">
        <f>"5-2차"</f>
        <v>5-2차</v>
      </c>
      <c r="D7268" s="1" t="str">
        <f>"0331D5115S"</f>
        <v>0331D5115S</v>
      </c>
      <c r="E7268" s="1" t="s">
        <v>10</v>
      </c>
      <c r="F7268" s="1" t="str">
        <f>"fde3:102:1420:3200:0:0:0:4"</f>
        <v>fde3:102:1420:3200:0:0:0:4</v>
      </c>
      <c r="G7268" s="1" t="str">
        <f>"0331D511"</f>
        <v>0331D511</v>
      </c>
      <c r="H7268" s="1" t="str">
        <f>"불암간 46L11L2"</f>
        <v>불암간 46L11L2</v>
      </c>
      <c r="I7268" s="1" t="s">
        <v>15</v>
      </c>
      <c r="J7268" s="1" t="str">
        <f>"42/42"</f>
        <v>42/42</v>
      </c>
      <c r="K7268" s="1" t="str">
        <f>"2026-07-29 14:20:42"</f>
        <v>2026-07-29 14:20:42</v>
      </c>
      <c r="L7268" s="1" t="str">
        <f>"2023-06-27 16:54:05"</f>
        <v>2023-06-27 16:54:05</v>
      </c>
      <c r="M7268" s="1" t="s">
        <v>45</v>
      </c>
      <c r="N7268" s="1" t="s">
        <v>38</v>
      </c>
      <c r="O7268" s="1" t="s">
        <v>46</v>
      </c>
    </row>
    <row r="7269" spans="2:15" x14ac:dyDescent="0.3">
      <c r="B7269" s="1" t="s">
        <v>22</v>
      </c>
      <c r="C7269" s="1" t="str">
        <f>"5-2차"</f>
        <v>5-2차</v>
      </c>
      <c r="D7269" s="1" t="str">
        <f>"0331D5315M"</f>
        <v>0331D5315M</v>
      </c>
      <c r="E7269" s="1" t="s">
        <v>10</v>
      </c>
      <c r="F7269" s="1" t="str">
        <f>"fde3:102:1420:3200:0:0:0:7"</f>
        <v>fde3:102:1420:3200:0:0:0:7</v>
      </c>
      <c r="G7269" s="1" t="str">
        <f>"0331D531"</f>
        <v>0331D531</v>
      </c>
      <c r="H7269" s="1" t="str">
        <f>"불암간 46L5L2"</f>
        <v>불암간 46L5L2</v>
      </c>
      <c r="I7269" s="1" t="s">
        <v>15</v>
      </c>
      <c r="J7269" s="1" t="str">
        <f>"52/52"</f>
        <v>52/52</v>
      </c>
      <c r="K7269" s="1" t="str">
        <f>"2026-07-29 14:20:43"</f>
        <v>2026-07-29 14:20:43</v>
      </c>
      <c r="L7269" s="1" t="str">
        <f>"2023-11-06 17:43:43"</f>
        <v>2023-11-06 17:43:43</v>
      </c>
      <c r="M7269" s="1" t="s">
        <v>45</v>
      </c>
      <c r="N7269" s="1" t="s">
        <v>38</v>
      </c>
      <c r="O7269" s="1" t="s">
        <v>46</v>
      </c>
    </row>
    <row r="7270" spans="2:15" x14ac:dyDescent="0.3">
      <c r="B7270" s="1" t="s">
        <v>22</v>
      </c>
      <c r="C7270" s="1" t="str">
        <f t="shared" ref="C7270:C7278" si="360">"4차"</f>
        <v>4차</v>
      </c>
      <c r="D7270" s="1" t="str">
        <f>"0331D54144"</f>
        <v>0331D54144</v>
      </c>
      <c r="E7270" s="1" t="s">
        <v>10</v>
      </c>
      <c r="F7270" s="1" t="str">
        <f>"10.107.251.186"</f>
        <v>10.107.251.186</v>
      </c>
      <c r="G7270" s="1" t="str">
        <f>"0331D541"</f>
        <v>0331D541</v>
      </c>
      <c r="H7270" s="1" t="str">
        <f>"불암간 46L5L1"</f>
        <v>불암간 46L5L1</v>
      </c>
      <c r="I7270" s="1" t="s">
        <v>8</v>
      </c>
      <c r="J7270" s="1" t="str">
        <f>"54/54"</f>
        <v>54/54</v>
      </c>
      <c r="K7270" s="1" t="str">
        <f t="shared" ref="K7270:K7278" si="361">"2026-07-29 13:18:02"</f>
        <v>2026-07-29 13:18:02</v>
      </c>
      <c r="L7270" s="1" t="str">
        <f>"2020-01-10 11:45:05"</f>
        <v>2020-01-10 11:45:05</v>
      </c>
      <c r="M7270" s="1" t="s">
        <v>45</v>
      </c>
      <c r="N7270" s="1" t="s">
        <v>38</v>
      </c>
      <c r="O7270" s="1" t="s">
        <v>46</v>
      </c>
    </row>
    <row r="7271" spans="2:15" x14ac:dyDescent="0.3">
      <c r="B7271" s="1" t="s">
        <v>22</v>
      </c>
      <c r="C7271" s="1" t="str">
        <f t="shared" si="360"/>
        <v>4차</v>
      </c>
      <c r="D7271" s="1" t="str">
        <f>"0331D60244"</f>
        <v>0331D60244</v>
      </c>
      <c r="E7271" s="1" t="s">
        <v>10</v>
      </c>
      <c r="F7271" s="1" t="str">
        <f>"10.107.251.178"</f>
        <v>10.107.251.178</v>
      </c>
      <c r="G7271" s="1" t="str">
        <f>"0331D602"</f>
        <v>0331D602</v>
      </c>
      <c r="H7271" s="1" t="str">
        <f>"불암간 12L13"</f>
        <v>불암간 12L13</v>
      </c>
      <c r="I7271" s="1" t="s">
        <v>8</v>
      </c>
      <c r="J7271" s="1" t="str">
        <f>"17/17"</f>
        <v>17/17</v>
      </c>
      <c r="K7271" s="1" t="str">
        <f t="shared" si="361"/>
        <v>2026-07-29 13:18:02</v>
      </c>
      <c r="L7271" s="1" t="str">
        <f>"2020-01-10 11:44:06"</f>
        <v>2020-01-10 11:44:06</v>
      </c>
      <c r="M7271" s="1" t="s">
        <v>45</v>
      </c>
      <c r="N7271" s="1" t="s">
        <v>38</v>
      </c>
      <c r="O7271" s="1" t="s">
        <v>46</v>
      </c>
    </row>
    <row r="7272" spans="2:15" x14ac:dyDescent="0.3">
      <c r="B7272" s="1" t="s">
        <v>22</v>
      </c>
      <c r="C7272" s="1" t="str">
        <f t="shared" si="360"/>
        <v>4차</v>
      </c>
      <c r="D7272" s="1" t="str">
        <f>"0331D61544"</f>
        <v>0331D61544</v>
      </c>
      <c r="E7272" s="1" t="s">
        <v>10</v>
      </c>
      <c r="F7272" s="1" t="str">
        <f>"10.107.251.179"</f>
        <v>10.107.251.179</v>
      </c>
      <c r="G7272" s="1" t="str">
        <f>"0331D615"</f>
        <v>0331D615</v>
      </c>
      <c r="H7272" s="1" t="str">
        <f>"불암간 12L12"</f>
        <v>불암간 12L12</v>
      </c>
      <c r="I7272" s="1" t="s">
        <v>8</v>
      </c>
      <c r="J7272" s="1" t="str">
        <f>"46/47"</f>
        <v>46/47</v>
      </c>
      <c r="K7272" s="1" t="str">
        <f t="shared" si="361"/>
        <v>2026-07-29 13:18:02</v>
      </c>
      <c r="L7272" s="1" t="str">
        <f>"2020-01-10 11:25:36"</f>
        <v>2020-01-10 11:25:36</v>
      </c>
      <c r="M7272" s="1" t="s">
        <v>45</v>
      </c>
      <c r="N7272" s="1" t="s">
        <v>38</v>
      </c>
      <c r="O7272" s="1" t="s">
        <v>46</v>
      </c>
    </row>
    <row r="7273" spans="2:15" x14ac:dyDescent="0.3">
      <c r="B7273" s="1" t="s">
        <v>22</v>
      </c>
      <c r="C7273" s="1" t="str">
        <f t="shared" si="360"/>
        <v>4차</v>
      </c>
      <c r="D7273" s="1" t="str">
        <f>"0331D64144"</f>
        <v>0331D64144</v>
      </c>
      <c r="E7273" s="1" t="s">
        <v>10</v>
      </c>
      <c r="F7273" s="1" t="str">
        <f>"10.107.251.187"</f>
        <v>10.107.251.187</v>
      </c>
      <c r="G7273" s="1" t="str">
        <f>"0331D641"</f>
        <v>0331D641</v>
      </c>
      <c r="H7273" s="1" t="str">
        <f>"불암간 46L3L2"</f>
        <v>불암간 46L3L2</v>
      </c>
      <c r="I7273" s="1" t="s">
        <v>8</v>
      </c>
      <c r="J7273" s="1" t="str">
        <f>"43/43"</f>
        <v>43/43</v>
      </c>
      <c r="K7273" s="1" t="str">
        <f t="shared" si="361"/>
        <v>2026-07-29 13:18:02</v>
      </c>
      <c r="L7273" s="1" t="str">
        <f>"2023-05-09 13:24:26"</f>
        <v>2023-05-09 13:24:26</v>
      </c>
      <c r="M7273" s="1" t="s">
        <v>45</v>
      </c>
      <c r="N7273" s="1" t="s">
        <v>38</v>
      </c>
      <c r="O7273" s="1" t="s">
        <v>46</v>
      </c>
    </row>
    <row r="7274" spans="2:15" x14ac:dyDescent="0.3">
      <c r="B7274" s="1" t="s">
        <v>22</v>
      </c>
      <c r="C7274" s="1" t="str">
        <f t="shared" si="360"/>
        <v>4차</v>
      </c>
      <c r="D7274" s="1" t="str">
        <f>"0331D65144"</f>
        <v>0331D65144</v>
      </c>
      <c r="E7274" s="1" t="s">
        <v>10</v>
      </c>
      <c r="F7274" s="1" t="str">
        <f>"10.107.251.188"</f>
        <v>10.107.251.188</v>
      </c>
      <c r="G7274" s="1" t="str">
        <f>"0331D651"</f>
        <v>0331D651</v>
      </c>
      <c r="H7274" s="1" t="str">
        <f>"불암간 46L3"</f>
        <v>불암간 46L3</v>
      </c>
      <c r="I7274" s="1" t="s">
        <v>8</v>
      </c>
      <c r="J7274" s="1" t="str">
        <f>"63/73"</f>
        <v>63/73</v>
      </c>
      <c r="K7274" s="1" t="str">
        <f t="shared" si="361"/>
        <v>2026-07-29 13:18:02</v>
      </c>
      <c r="L7274" s="1" t="str">
        <f>"2020-01-10 11:48:33"</f>
        <v>2020-01-10 11:48:33</v>
      </c>
      <c r="M7274" s="1" t="s">
        <v>45</v>
      </c>
      <c r="N7274" s="1" t="s">
        <v>38</v>
      </c>
      <c r="O7274" s="1" t="s">
        <v>46</v>
      </c>
    </row>
    <row r="7275" spans="2:15" x14ac:dyDescent="0.3">
      <c r="B7275" s="1" t="s">
        <v>22</v>
      </c>
      <c r="C7275" s="1" t="str">
        <f t="shared" si="360"/>
        <v>4차</v>
      </c>
      <c r="D7275" s="1" t="str">
        <f>"0331D67144"</f>
        <v>0331D67144</v>
      </c>
      <c r="E7275" s="1" t="s">
        <v>10</v>
      </c>
      <c r="F7275" s="1" t="str">
        <f>"10.107.251.189"</f>
        <v>10.107.251.189</v>
      </c>
      <c r="G7275" s="1" t="str">
        <f>"0331D671"</f>
        <v>0331D671</v>
      </c>
      <c r="H7275" s="1" t="str">
        <f>"불암간 46L5R2"</f>
        <v>불암간 46L5R2</v>
      </c>
      <c r="I7275" s="1" t="s">
        <v>8</v>
      </c>
      <c r="J7275" s="1" t="str">
        <f>"46/46"</f>
        <v>46/46</v>
      </c>
      <c r="K7275" s="1" t="str">
        <f t="shared" si="361"/>
        <v>2026-07-29 13:18:02</v>
      </c>
      <c r="L7275" s="1" t="str">
        <f>"2020-01-10 11:45:23"</f>
        <v>2020-01-10 11:45:23</v>
      </c>
      <c r="M7275" s="1" t="s">
        <v>45</v>
      </c>
      <c r="N7275" s="1" t="s">
        <v>38</v>
      </c>
      <c r="O7275" s="1" t="s">
        <v>46</v>
      </c>
    </row>
    <row r="7276" spans="2:15" x14ac:dyDescent="0.3">
      <c r="B7276" s="1" t="s">
        <v>22</v>
      </c>
      <c r="C7276" s="1" t="str">
        <f t="shared" si="360"/>
        <v>4차</v>
      </c>
      <c r="D7276" s="1" t="str">
        <f>"0331D68144"</f>
        <v>0331D68144</v>
      </c>
      <c r="E7276" s="1" t="s">
        <v>10</v>
      </c>
      <c r="F7276" s="1" t="str">
        <f>"10.107.251.190"</f>
        <v>10.107.251.190</v>
      </c>
      <c r="G7276" s="1" t="str">
        <f>"0331D681"</f>
        <v>0331D681</v>
      </c>
      <c r="H7276" s="1" t="str">
        <f>"불암간 46L5R3"</f>
        <v>불암간 46L5R3</v>
      </c>
      <c r="I7276" s="1" t="s">
        <v>8</v>
      </c>
      <c r="J7276" s="1" t="str">
        <f>"32/32"</f>
        <v>32/32</v>
      </c>
      <c r="K7276" s="1" t="str">
        <f t="shared" si="361"/>
        <v>2026-07-29 13:18:02</v>
      </c>
      <c r="L7276" s="1" t="str">
        <f>"2020-01-22 11:00:06"</f>
        <v>2020-01-22 11:00:06</v>
      </c>
      <c r="M7276" s="1" t="s">
        <v>45</v>
      </c>
      <c r="N7276" s="1" t="s">
        <v>38</v>
      </c>
      <c r="O7276" s="1" t="s">
        <v>46</v>
      </c>
    </row>
    <row r="7277" spans="2:15" x14ac:dyDescent="0.3">
      <c r="B7277" s="1" t="s">
        <v>22</v>
      </c>
      <c r="C7277" s="1" t="str">
        <f t="shared" si="360"/>
        <v>4차</v>
      </c>
      <c r="D7277" s="1" t="str">
        <f>"0331D73144"</f>
        <v>0331D73144</v>
      </c>
      <c r="E7277" s="1" t="s">
        <v>10</v>
      </c>
      <c r="F7277" s="1" t="str">
        <f>"10.107.251.180"</f>
        <v>10.107.251.180</v>
      </c>
      <c r="G7277" s="1" t="str">
        <f>"0331D731"</f>
        <v>0331D731</v>
      </c>
      <c r="H7277" s="1" t="str">
        <f>"불암간 46L3L3L2"</f>
        <v>불암간 46L3L3L2</v>
      </c>
      <c r="I7277" s="1" t="s">
        <v>8</v>
      </c>
      <c r="J7277" s="1" t="str">
        <f>"47/57"</f>
        <v>47/57</v>
      </c>
      <c r="K7277" s="1" t="str">
        <f t="shared" si="361"/>
        <v>2026-07-29 13:18:02</v>
      </c>
      <c r="L7277" s="1" t="str">
        <f>"2020-01-10 11:44:13"</f>
        <v>2020-01-10 11:44:13</v>
      </c>
      <c r="M7277" s="1" t="s">
        <v>45</v>
      </c>
      <c r="N7277" s="1" t="s">
        <v>38</v>
      </c>
      <c r="O7277" s="1" t="s">
        <v>46</v>
      </c>
    </row>
    <row r="7278" spans="2:15" x14ac:dyDescent="0.3">
      <c r="B7278" s="1" t="s">
        <v>22</v>
      </c>
      <c r="C7278" s="1" t="str">
        <f t="shared" si="360"/>
        <v>4차</v>
      </c>
      <c r="D7278" s="1" t="str">
        <f>"0331D80344"</f>
        <v>0331D80344</v>
      </c>
      <c r="E7278" s="1" t="s">
        <v>10</v>
      </c>
      <c r="F7278" s="1" t="str">
        <f>"10.107.251.181"</f>
        <v>10.107.251.181</v>
      </c>
      <c r="G7278" s="1" t="str">
        <f>"0331D803"</f>
        <v>0331D803</v>
      </c>
      <c r="H7278" s="1" t="str">
        <f>"불암간 12L7R1"</f>
        <v>불암간 12L7R1</v>
      </c>
      <c r="I7278" s="1" t="s">
        <v>8</v>
      </c>
      <c r="J7278" s="1" t="str">
        <f>"72/72"</f>
        <v>72/72</v>
      </c>
      <c r="K7278" s="1" t="str">
        <f t="shared" si="361"/>
        <v>2026-07-29 13:18:02</v>
      </c>
      <c r="L7278" s="1" t="str">
        <f>"2020-01-21 19:13:31"</f>
        <v>2020-01-21 19:13:31</v>
      </c>
      <c r="M7278" s="1" t="s">
        <v>45</v>
      </c>
      <c r="N7278" s="1" t="s">
        <v>38</v>
      </c>
      <c r="O7278" s="1" t="s">
        <v>46</v>
      </c>
    </row>
    <row r="7279" spans="2:15" x14ac:dyDescent="0.3">
      <c r="B7279" s="1" t="s">
        <v>22</v>
      </c>
      <c r="C7279" s="1" t="str">
        <f>"5-2차"</f>
        <v>5-2차</v>
      </c>
      <c r="D7279" s="1" t="str">
        <f>"0331D8115M"</f>
        <v>0331D8115M</v>
      </c>
      <c r="E7279" s="1" t="s">
        <v>10</v>
      </c>
      <c r="F7279" s="1" t="str">
        <f>"fde3:102:1420:3200:0:0:0:8"</f>
        <v>fde3:102:1420:3200:0:0:0:8</v>
      </c>
      <c r="G7279" s="1" t="str">
        <f>"0331D811"</f>
        <v>0331D811</v>
      </c>
      <c r="H7279" s="1" t="str">
        <f>"불암간 12L7D1"</f>
        <v>불암간 12L7D1</v>
      </c>
      <c r="I7279" s="1" t="s">
        <v>15</v>
      </c>
      <c r="J7279" s="1" t="str">
        <f>"40/40"</f>
        <v>40/40</v>
      </c>
      <c r="K7279" s="1" t="str">
        <f>"2026-07-29 14:20:43"</f>
        <v>2026-07-29 14:20:43</v>
      </c>
      <c r="L7279" s="1" t="str">
        <f>"2023-10-16 17:13:07"</f>
        <v>2023-10-16 17:13:07</v>
      </c>
      <c r="M7279" s="1" t="s">
        <v>45</v>
      </c>
      <c r="N7279" s="1" t="s">
        <v>38</v>
      </c>
      <c r="O7279" s="1" t="s">
        <v>46</v>
      </c>
    </row>
    <row r="7280" spans="2:15" x14ac:dyDescent="0.3">
      <c r="B7280" s="1" t="s">
        <v>22</v>
      </c>
      <c r="C7280" s="1" t="str">
        <f>"5-2차"</f>
        <v>5-2차</v>
      </c>
      <c r="D7280" s="1" t="str">
        <f>"0331D8145M"</f>
        <v>0331D8145M</v>
      </c>
      <c r="E7280" s="1" t="s">
        <v>10</v>
      </c>
      <c r="F7280" s="1" t="str">
        <f>"fde1:103:4:9152:0:0:0:2"</f>
        <v>fde1:103:4:9152:0:0:0:2</v>
      </c>
      <c r="G7280" s="1" t="str">
        <f>"0331D814"</f>
        <v>0331D814</v>
      </c>
      <c r="H7280" s="1" t="str">
        <f>"불암간 20L1L3L1"</f>
        <v>불암간 20L1L3L1</v>
      </c>
      <c r="I7280" s="1" t="s">
        <v>15</v>
      </c>
      <c r="J7280" s="1" t="str">
        <f>"58/58"</f>
        <v>58/58</v>
      </c>
      <c r="K7280" s="1" t="str">
        <f>"2026-07-29 14:20:46"</f>
        <v>2026-07-29 14:20:46</v>
      </c>
      <c r="L7280" s="1" t="str">
        <f>"2024-01-08 09:34:36"</f>
        <v>2024-01-08 09:34:36</v>
      </c>
      <c r="M7280" s="1" t="s">
        <v>4</v>
      </c>
      <c r="N7280" s="1" t="s">
        <v>38</v>
      </c>
      <c r="O7280" s="1" t="s">
        <v>46</v>
      </c>
    </row>
    <row r="7281" spans="2:15" x14ac:dyDescent="0.3">
      <c r="B7281" s="1" t="s">
        <v>22</v>
      </c>
      <c r="C7281" s="1" t="str">
        <f>"4차"</f>
        <v>4차</v>
      </c>
      <c r="D7281" s="1" t="str">
        <f>"0331D83144"</f>
        <v>0331D83144</v>
      </c>
      <c r="E7281" s="1" t="s">
        <v>10</v>
      </c>
      <c r="F7281" s="1" t="str">
        <f>"10.107.250.18"</f>
        <v>10.107.250.18</v>
      </c>
      <c r="G7281" s="1" t="str">
        <f>"0331D831"</f>
        <v>0331D831</v>
      </c>
      <c r="H7281" s="1" t="str">
        <f>"불암간 20L1L7"</f>
        <v>불암간 20L1L7</v>
      </c>
      <c r="I7281" s="1" t="s">
        <v>8</v>
      </c>
      <c r="J7281" s="1" t="str">
        <f>"57/57"</f>
        <v>57/57</v>
      </c>
      <c r="K7281" s="1" t="str">
        <f>"2026-07-29 13:18:02"</f>
        <v>2026-07-29 13:18:02</v>
      </c>
      <c r="L7281" s="1" t="str">
        <f>"2020-01-10 11:46:16"</f>
        <v>2020-01-10 11:46:16</v>
      </c>
      <c r="M7281" s="1" t="s">
        <v>45</v>
      </c>
      <c r="N7281" s="1" t="s">
        <v>38</v>
      </c>
      <c r="O7281" s="1" t="s">
        <v>46</v>
      </c>
    </row>
    <row r="7282" spans="2:15" x14ac:dyDescent="0.3">
      <c r="B7282" s="1" t="s">
        <v>22</v>
      </c>
      <c r="C7282" s="1" t="str">
        <f>"5-2차"</f>
        <v>5-2차</v>
      </c>
      <c r="D7282" s="1" t="str">
        <f>"0331D8415M"</f>
        <v>0331D8415M</v>
      </c>
      <c r="E7282" s="1" t="s">
        <v>10</v>
      </c>
      <c r="F7282" s="1" t="str">
        <f>"fde3:102:1420:3200:0:0:0:5"</f>
        <v>fde3:102:1420:3200:0:0:0:5</v>
      </c>
      <c r="G7282" s="1" t="str">
        <f>"0331D841"</f>
        <v>0331D841</v>
      </c>
      <c r="H7282" s="1" t="str">
        <f>"불암간 40L4"</f>
        <v>불암간 40L4</v>
      </c>
      <c r="I7282" s="1" t="s">
        <v>15</v>
      </c>
      <c r="J7282" s="1" t="str">
        <f>"68/68"</f>
        <v>68/68</v>
      </c>
      <c r="K7282" s="1" t="str">
        <f>"2026-07-28 20:03:27"</f>
        <v>2026-07-28 20:03:27</v>
      </c>
      <c r="L7282" s="1" t="str">
        <f>"2023-06-20 22:06:58"</f>
        <v>2023-06-20 22:06:58</v>
      </c>
      <c r="M7282" s="1" t="s">
        <v>45</v>
      </c>
      <c r="N7282" s="1" t="s">
        <v>38</v>
      </c>
      <c r="O7282" s="1" t="s">
        <v>46</v>
      </c>
    </row>
    <row r="7283" spans="2:15" x14ac:dyDescent="0.3">
      <c r="B7283" s="1" t="s">
        <v>22</v>
      </c>
      <c r="C7283" s="1" t="str">
        <f>"5-2차"</f>
        <v>5-2차</v>
      </c>
      <c r="D7283" s="1" t="str">
        <f>"0331D8435S"</f>
        <v>0331D8435S</v>
      </c>
      <c r="E7283" s="1" t="s">
        <v>10</v>
      </c>
      <c r="F7283" s="1" t="str">
        <f>"fde3:102:1420:3200:0:0:0:6"</f>
        <v>fde3:102:1420:3200:0:0:0:6</v>
      </c>
      <c r="G7283" s="1" t="str">
        <f>"0331D843"</f>
        <v>0331D843</v>
      </c>
      <c r="H7283" s="1" t="str">
        <f>"불암간 40L5"</f>
        <v>불암간 40L5</v>
      </c>
      <c r="I7283" s="1" t="s">
        <v>15</v>
      </c>
      <c r="J7283" s="1" t="str">
        <f>"44/44"</f>
        <v>44/44</v>
      </c>
      <c r="K7283" s="1" t="str">
        <f>"2026-07-29 14:20:43"</f>
        <v>2026-07-29 14:20:43</v>
      </c>
      <c r="L7283" s="1" t="str">
        <f>"2023-06-19 13:57:43"</f>
        <v>2023-06-19 13:57:43</v>
      </c>
      <c r="M7283" s="1" t="s">
        <v>45</v>
      </c>
      <c r="N7283" s="1" t="s">
        <v>38</v>
      </c>
      <c r="O7283" s="1" t="s">
        <v>46</v>
      </c>
    </row>
    <row r="7284" spans="2:15" x14ac:dyDescent="0.3">
      <c r="B7284" s="1" t="s">
        <v>22</v>
      </c>
      <c r="C7284" s="1" t="str">
        <f>"4차"</f>
        <v>4차</v>
      </c>
      <c r="D7284" s="1" t="str">
        <f>"0331D91244"</f>
        <v>0331D91244</v>
      </c>
      <c r="E7284" s="1" t="s">
        <v>10</v>
      </c>
      <c r="F7284" s="1" t="str">
        <f>"10.107.247.7"</f>
        <v>10.107.247.7</v>
      </c>
      <c r="G7284" s="1" t="str">
        <f>"0331D912"</f>
        <v>0331D912</v>
      </c>
      <c r="H7284" s="1" t="str">
        <f>"불암간 20L1L3"</f>
        <v>불암간 20L1L3</v>
      </c>
      <c r="I7284" s="1" t="s">
        <v>8</v>
      </c>
      <c r="J7284" s="1" t="str">
        <f>"65/65"</f>
        <v>65/65</v>
      </c>
      <c r="K7284" s="1" t="str">
        <f>"2026-07-29 13:18:02"</f>
        <v>2026-07-29 13:18:02</v>
      </c>
      <c r="L7284" s="1" t="str">
        <f>"2020-01-10 11:50:02"</f>
        <v>2020-01-10 11:50:02</v>
      </c>
      <c r="M7284" s="1" t="s">
        <v>45</v>
      </c>
      <c r="N7284" s="1" t="s">
        <v>38</v>
      </c>
      <c r="O7284" s="1" t="s">
        <v>46</v>
      </c>
    </row>
    <row r="7285" spans="2:15" x14ac:dyDescent="0.3">
      <c r="B7285" s="1" t="s">
        <v>22</v>
      </c>
      <c r="C7285" s="1" t="str">
        <f>"4차"</f>
        <v>4차</v>
      </c>
      <c r="D7285" s="1" t="str">
        <f>"0331D92244"</f>
        <v>0331D92244</v>
      </c>
      <c r="E7285" s="1" t="s">
        <v>10</v>
      </c>
      <c r="F7285" s="1" t="str">
        <f>"10.11.130.42"</f>
        <v>10.11.130.42</v>
      </c>
      <c r="G7285" s="1" t="str">
        <f>"0331D922"</f>
        <v>0331D922</v>
      </c>
      <c r="H7285" s="1" t="str">
        <f>"불암간 20L1L5"</f>
        <v>불암간 20L1L5</v>
      </c>
      <c r="I7285" s="1" t="s">
        <v>8</v>
      </c>
      <c r="J7285" s="1" t="str">
        <f>"21/21"</f>
        <v>21/21</v>
      </c>
      <c r="K7285" s="1" t="str">
        <f>"2026-07-29 13:18:02"</f>
        <v>2026-07-29 13:18:02</v>
      </c>
      <c r="L7285" s="1" t="str">
        <f>"2019-11-11 19:49:03"</f>
        <v>2019-11-11 19:49:03</v>
      </c>
      <c r="M7285" s="1" t="s">
        <v>2</v>
      </c>
      <c r="N7285" s="1" t="s">
        <v>38</v>
      </c>
      <c r="O7285" s="1" t="s">
        <v>46</v>
      </c>
    </row>
    <row r="7286" spans="2:15" x14ac:dyDescent="0.3">
      <c r="B7286" s="1" t="s">
        <v>22</v>
      </c>
      <c r="C7286" s="1" t="str">
        <f>"5-2차"</f>
        <v>5-2차</v>
      </c>
      <c r="D7286" s="1" t="str">
        <f>"0331E0025M"</f>
        <v>0331E0025M</v>
      </c>
      <c r="E7286" s="1" t="s">
        <v>10</v>
      </c>
      <c r="F7286" s="1" t="str">
        <f>"fde3:102:1420:2100:0:0:0:2d"</f>
        <v>fde3:102:1420:2100:0:0:0:2d</v>
      </c>
      <c r="G7286" s="1" t="str">
        <f>"0331E002"</f>
        <v>0331E002</v>
      </c>
      <c r="H7286" s="1" t="str">
        <f>"동막간 66R21L2"</f>
        <v>동막간 66R21L2</v>
      </c>
      <c r="I7286" s="1" t="s">
        <v>15</v>
      </c>
      <c r="J7286" s="1" t="str">
        <f>"44/44"</f>
        <v>44/44</v>
      </c>
      <c r="K7286" s="1" t="str">
        <f>"2026-07-29 14:20:43"</f>
        <v>2026-07-29 14:20:43</v>
      </c>
      <c r="L7286" s="1" t="str">
        <f>"2023-06-26 17:46:52"</f>
        <v>2023-06-26 17:46:52</v>
      </c>
      <c r="M7286" s="1" t="s">
        <v>45</v>
      </c>
      <c r="N7286" s="1" t="s">
        <v>38</v>
      </c>
      <c r="O7286" s="1" t="s">
        <v>46</v>
      </c>
    </row>
    <row r="7287" spans="2:15" x14ac:dyDescent="0.3">
      <c r="B7287" s="1" t="s">
        <v>22</v>
      </c>
      <c r="C7287" s="1" t="str">
        <f>"4차"</f>
        <v>4차</v>
      </c>
      <c r="D7287" s="1" t="str">
        <f>"0331E10144"</f>
        <v>0331E10144</v>
      </c>
      <c r="E7287" s="1" t="s">
        <v>10</v>
      </c>
      <c r="F7287" s="1" t="str">
        <f>"10.107.250.99"</f>
        <v>10.107.250.99</v>
      </c>
      <c r="G7287" s="1" t="str">
        <f>"0331E101"</f>
        <v>0331E101</v>
      </c>
      <c r="H7287" s="1" t="str">
        <f>"동막간 66R11L4"</f>
        <v>동막간 66R11L4</v>
      </c>
      <c r="I7287" s="1" t="s">
        <v>8</v>
      </c>
      <c r="J7287" s="1" t="str">
        <f>"39/39"</f>
        <v>39/39</v>
      </c>
      <c r="K7287" s="1" t="str">
        <f>"2026-07-29 13:18:04"</f>
        <v>2026-07-29 13:18:04</v>
      </c>
      <c r="L7287" s="1" t="str">
        <f>"2020-01-10 11:48:32"</f>
        <v>2020-01-10 11:48:32</v>
      </c>
      <c r="M7287" s="1" t="s">
        <v>45</v>
      </c>
      <c r="N7287" s="1" t="s">
        <v>38</v>
      </c>
      <c r="O7287" s="1" t="s">
        <v>46</v>
      </c>
    </row>
    <row r="7288" spans="2:15" x14ac:dyDescent="0.3">
      <c r="B7288" s="1" t="s">
        <v>22</v>
      </c>
      <c r="C7288" s="1" t="str">
        <f>"5-2차"</f>
        <v>5-2차</v>
      </c>
      <c r="D7288" s="1" t="str">
        <f>"0331E1035S"</f>
        <v>0331E1035S</v>
      </c>
      <c r="E7288" s="1" t="s">
        <v>10</v>
      </c>
      <c r="F7288" s="1" t="str">
        <f>"fde3:102:1420:3100:0:0:0:3"</f>
        <v>fde3:102:1420:3100:0:0:0:3</v>
      </c>
      <c r="G7288" s="1" t="str">
        <f>"0331E103"</f>
        <v>0331E103</v>
      </c>
      <c r="H7288" s="1" t="str">
        <f>"동막간 66R11L5"</f>
        <v>동막간 66R11L5</v>
      </c>
      <c r="I7288" s="1" t="s">
        <v>15</v>
      </c>
      <c r="J7288" s="1" t="str">
        <f>"54/54"</f>
        <v>54/54</v>
      </c>
      <c r="K7288" s="1" t="str">
        <f>"2026-07-29 14:20:20"</f>
        <v>2026-07-29 14:20:20</v>
      </c>
      <c r="L7288" s="1" t="str">
        <f>"2023-06-27 16:16:46"</f>
        <v>2023-06-27 16:16:46</v>
      </c>
      <c r="M7288" s="1" t="s">
        <v>45</v>
      </c>
      <c r="N7288" s="1" t="s">
        <v>38</v>
      </c>
      <c r="O7288" s="1" t="s">
        <v>46</v>
      </c>
    </row>
    <row r="7289" spans="2:15" x14ac:dyDescent="0.3">
      <c r="B7289" s="1" t="s">
        <v>22</v>
      </c>
      <c r="C7289" s="1" t="str">
        <f>"4차"</f>
        <v>4차</v>
      </c>
      <c r="D7289" s="1" t="str">
        <f>"0331E11144"</f>
        <v>0331E11144</v>
      </c>
      <c r="E7289" s="1" t="s">
        <v>10</v>
      </c>
      <c r="F7289" s="1" t="str">
        <f>"10.107.250.100"</f>
        <v>10.107.250.100</v>
      </c>
      <c r="G7289" s="1" t="str">
        <f>"0331E111"</f>
        <v>0331E111</v>
      </c>
      <c r="H7289" s="1" t="str">
        <f>"동막간 66R11L2R1"</f>
        <v>동막간 66R11L2R1</v>
      </c>
      <c r="I7289" s="1" t="s">
        <v>8</v>
      </c>
      <c r="J7289" s="1" t="str">
        <f>"50/50"</f>
        <v>50/50</v>
      </c>
      <c r="K7289" s="1" t="str">
        <f>"2026-07-29 13:18:04"</f>
        <v>2026-07-29 13:18:04</v>
      </c>
      <c r="L7289" s="1" t="str">
        <f>"2020-01-10 11:49:04"</f>
        <v>2020-01-10 11:49:04</v>
      </c>
      <c r="M7289" s="1" t="s">
        <v>45</v>
      </c>
      <c r="N7289" s="1" t="s">
        <v>38</v>
      </c>
      <c r="O7289" s="1" t="s">
        <v>46</v>
      </c>
    </row>
    <row r="7290" spans="2:15" x14ac:dyDescent="0.3">
      <c r="B7290" s="1" t="s">
        <v>22</v>
      </c>
      <c r="C7290" s="1" t="str">
        <f>"5-2차"</f>
        <v>5-2차</v>
      </c>
      <c r="D7290" s="1" t="str">
        <f>"0331E1325M"</f>
        <v>0331E1325M</v>
      </c>
      <c r="E7290" s="1" t="s">
        <v>10</v>
      </c>
      <c r="F7290" s="1" t="str">
        <f>"fde3:102:1420:2100:0:0:0:2e"</f>
        <v>fde3:102:1420:2100:0:0:0:2e</v>
      </c>
      <c r="G7290" s="1" t="str">
        <f>"0331E132"</f>
        <v>0331E132</v>
      </c>
      <c r="H7290" s="1" t="str">
        <f>"동막간 66R16"</f>
        <v>동막간 66R16</v>
      </c>
      <c r="I7290" s="1" t="s">
        <v>15</v>
      </c>
      <c r="J7290" s="1" t="str">
        <f>"44/44"</f>
        <v>44/44</v>
      </c>
      <c r="K7290" s="1" t="str">
        <f>"2026-07-29 14:20:20"</f>
        <v>2026-07-29 14:20:20</v>
      </c>
      <c r="L7290" s="1" t="str">
        <f>"2023-06-19 18:41:36"</f>
        <v>2023-06-19 18:41:36</v>
      </c>
      <c r="M7290" s="1" t="s">
        <v>45</v>
      </c>
      <c r="N7290" s="1" t="s">
        <v>38</v>
      </c>
      <c r="O7290" s="1" t="s">
        <v>46</v>
      </c>
    </row>
    <row r="7291" spans="2:15" x14ac:dyDescent="0.3">
      <c r="B7291" s="1" t="s">
        <v>22</v>
      </c>
      <c r="C7291" s="1" t="str">
        <f>"4차"</f>
        <v>4차</v>
      </c>
      <c r="D7291" s="1" t="str">
        <f>"0331E13344"</f>
        <v>0331E13344</v>
      </c>
      <c r="E7291" s="1" t="s">
        <v>10</v>
      </c>
      <c r="F7291" s="1" t="str">
        <f>"10.107.250.101"</f>
        <v>10.107.250.101</v>
      </c>
      <c r="G7291" s="1" t="str">
        <f>"0331E133"</f>
        <v>0331E133</v>
      </c>
      <c r="H7291" s="1" t="str">
        <f>"동막간 66R13L1"</f>
        <v>동막간 66R13L1</v>
      </c>
      <c r="I7291" s="1" t="s">
        <v>8</v>
      </c>
      <c r="J7291" s="1" t="str">
        <f>"54/54"</f>
        <v>54/54</v>
      </c>
      <c r="K7291" s="1" t="str">
        <f>"2026-07-29 13:18:02"</f>
        <v>2026-07-29 13:18:02</v>
      </c>
      <c r="L7291" s="1" t="str">
        <f>"2020-01-10 11:50:13"</f>
        <v>2020-01-10 11:50:13</v>
      </c>
      <c r="M7291" s="1" t="s">
        <v>45</v>
      </c>
      <c r="N7291" s="1" t="s">
        <v>38</v>
      </c>
      <c r="O7291" s="1" t="s">
        <v>46</v>
      </c>
    </row>
    <row r="7292" spans="2:15" x14ac:dyDescent="0.3">
      <c r="B7292" s="1" t="s">
        <v>22</v>
      </c>
      <c r="C7292" s="1" t="str">
        <f>"4차"</f>
        <v>4차</v>
      </c>
      <c r="D7292" s="1" t="str">
        <f>"0331E14144"</f>
        <v>0331E14144</v>
      </c>
      <c r="E7292" s="1" t="s">
        <v>10</v>
      </c>
      <c r="F7292" s="1" t="str">
        <f>"10.107.250.66"</f>
        <v>10.107.250.66</v>
      </c>
      <c r="G7292" s="1" t="str">
        <f>"0331E141"</f>
        <v>0331E141</v>
      </c>
      <c r="H7292" s="1" t="str">
        <f>"동막간 66R14R1"</f>
        <v>동막간 66R14R1</v>
      </c>
      <c r="I7292" s="1" t="s">
        <v>8</v>
      </c>
      <c r="J7292" s="1" t="str">
        <f>"31/31"</f>
        <v>31/31</v>
      </c>
      <c r="K7292" s="1" t="str">
        <f>"2026-07-29 13:18:02"</f>
        <v>2026-07-29 13:18:02</v>
      </c>
      <c r="L7292" s="1" t="str">
        <f>"2020-01-10 11:56:13"</f>
        <v>2020-01-10 11:56:13</v>
      </c>
      <c r="M7292" s="1" t="s">
        <v>45</v>
      </c>
      <c r="N7292" s="1" t="s">
        <v>38</v>
      </c>
      <c r="O7292" s="1" t="s">
        <v>46</v>
      </c>
    </row>
    <row r="7293" spans="2:15" x14ac:dyDescent="0.3">
      <c r="B7293" s="1" t="s">
        <v>22</v>
      </c>
      <c r="C7293" s="1" t="str">
        <f>"4차"</f>
        <v>4차</v>
      </c>
      <c r="D7293" s="1" t="str">
        <f>"0331E14544"</f>
        <v>0331E14544</v>
      </c>
      <c r="E7293" s="1" t="s">
        <v>10</v>
      </c>
      <c r="F7293" s="1" t="str">
        <f>"10.107.250.67"</f>
        <v>10.107.250.67</v>
      </c>
      <c r="G7293" s="1" t="str">
        <f>"0331E145"</f>
        <v>0331E145</v>
      </c>
      <c r="H7293" s="1" t="str">
        <f>"동막간 66R14R1R2"</f>
        <v>동막간 66R14R1R2</v>
      </c>
      <c r="I7293" s="1" t="s">
        <v>8</v>
      </c>
      <c r="J7293" s="1" t="str">
        <f>"50/50"</f>
        <v>50/50</v>
      </c>
      <c r="K7293" s="1" t="str">
        <f>"2026-07-29 13:18:03"</f>
        <v>2026-07-29 13:18:03</v>
      </c>
      <c r="L7293" s="1" t="str">
        <f>"2020-01-10 11:46:20"</f>
        <v>2020-01-10 11:46:20</v>
      </c>
      <c r="M7293" s="1" t="s">
        <v>45</v>
      </c>
      <c r="N7293" s="1" t="s">
        <v>38</v>
      </c>
      <c r="O7293" s="1" t="s">
        <v>46</v>
      </c>
    </row>
    <row r="7294" spans="2:15" x14ac:dyDescent="0.3">
      <c r="B7294" s="1" t="s">
        <v>22</v>
      </c>
      <c r="C7294" s="1" t="str">
        <f>"5-2차"</f>
        <v>5-2차</v>
      </c>
      <c r="D7294" s="1" t="str">
        <f>"0331E1535S"</f>
        <v>0331E1535S</v>
      </c>
      <c r="E7294" s="1" t="s">
        <v>10</v>
      </c>
      <c r="F7294" s="1" t="str">
        <f>"fde3:102:1420:2100:0:0:0:2f"</f>
        <v>fde3:102:1420:2100:0:0:0:2f</v>
      </c>
      <c r="G7294" s="1" t="str">
        <f>"0331E153"</f>
        <v>0331E153</v>
      </c>
      <c r="H7294" s="1" t="str">
        <f>"동막간 66R14R1R3"</f>
        <v>동막간 66R14R1R3</v>
      </c>
      <c r="I7294" s="1" t="s">
        <v>15</v>
      </c>
      <c r="J7294" s="1" t="str">
        <f>"54/54"</f>
        <v>54/54</v>
      </c>
      <c r="K7294" s="1" t="str">
        <f>"2026-07-29 14:20:44"</f>
        <v>2026-07-29 14:20:44</v>
      </c>
      <c r="L7294" s="1" t="str">
        <f>"2023-06-16 15:12:21"</f>
        <v>2023-06-16 15:12:21</v>
      </c>
      <c r="M7294" s="1" t="s">
        <v>45</v>
      </c>
      <c r="N7294" s="1" t="s">
        <v>38</v>
      </c>
      <c r="O7294" s="1" t="s">
        <v>46</v>
      </c>
    </row>
    <row r="7295" spans="2:15" x14ac:dyDescent="0.3">
      <c r="B7295" s="1" t="s">
        <v>22</v>
      </c>
      <c r="C7295" s="1" t="str">
        <f>"5-2차"</f>
        <v>5-2차</v>
      </c>
      <c r="D7295" s="1" t="str">
        <f>"0331E2015M"</f>
        <v>0331E2015M</v>
      </c>
      <c r="E7295" s="1" t="s">
        <v>10</v>
      </c>
      <c r="F7295" s="1" t="str">
        <f>"fde3:102:1420:3100:0:0:0:4"</f>
        <v>fde3:102:1420:3100:0:0:0:4</v>
      </c>
      <c r="G7295" s="1" t="str">
        <f>"0331E201"</f>
        <v>0331E201</v>
      </c>
      <c r="H7295" s="1" t="str">
        <f>"동막간 66R11L2L1"</f>
        <v>동막간 66R11L2L1</v>
      </c>
      <c r="I7295" s="1" t="s">
        <v>15</v>
      </c>
      <c r="J7295" s="1" t="str">
        <f>"70/70"</f>
        <v>70/70</v>
      </c>
      <c r="K7295" s="1" t="str">
        <f>"2026-07-29 14:20:20"</f>
        <v>2026-07-29 14:20:20</v>
      </c>
      <c r="L7295" s="1" t="str">
        <f>"2023-10-16 17:09:54"</f>
        <v>2023-10-16 17:09:54</v>
      </c>
      <c r="M7295" s="1" t="s">
        <v>45</v>
      </c>
      <c r="N7295" s="1" t="s">
        <v>38</v>
      </c>
      <c r="O7295" s="1" t="s">
        <v>46</v>
      </c>
    </row>
    <row r="7296" spans="2:15" x14ac:dyDescent="0.3">
      <c r="B7296" s="1" t="s">
        <v>22</v>
      </c>
      <c r="C7296" s="1" t="str">
        <f>"5-2차"</f>
        <v>5-2차</v>
      </c>
      <c r="D7296" s="1" t="str">
        <f>"0331E2125M"</f>
        <v>0331E2125M</v>
      </c>
      <c r="E7296" s="1" t="s">
        <v>10</v>
      </c>
      <c r="F7296" s="1" t="str">
        <f>"fde3:102:1420:3100:0:0:0:2"</f>
        <v>fde3:102:1420:3100:0:0:0:2</v>
      </c>
      <c r="G7296" s="1" t="str">
        <f>"0331E212"</f>
        <v>0331E212</v>
      </c>
      <c r="H7296" s="1" t="str">
        <f>"동막간 66R11L2"</f>
        <v>동막간 66R11L2</v>
      </c>
      <c r="I7296" s="1" t="s">
        <v>15</v>
      </c>
      <c r="J7296" s="1" t="str">
        <f>"33/33"</f>
        <v>33/33</v>
      </c>
      <c r="K7296" s="1" t="str">
        <f>"2026-07-29 14:20:53"</f>
        <v>2026-07-29 14:20:53</v>
      </c>
      <c r="L7296" s="1" t="str">
        <f>"2023-06-19 18:40:03"</f>
        <v>2023-06-19 18:40:03</v>
      </c>
      <c r="M7296" s="1" t="s">
        <v>45</v>
      </c>
      <c r="N7296" s="1" t="s">
        <v>38</v>
      </c>
      <c r="O7296" s="1" t="s">
        <v>46</v>
      </c>
    </row>
    <row r="7297" spans="2:15" x14ac:dyDescent="0.3">
      <c r="B7297" s="1" t="s">
        <v>22</v>
      </c>
      <c r="C7297" s="1" t="str">
        <f t="shared" ref="C7297:C7304" si="362">"4차"</f>
        <v>4차</v>
      </c>
      <c r="D7297" s="1" t="str">
        <f>"0331E22144"</f>
        <v>0331E22144</v>
      </c>
      <c r="E7297" s="1" t="s">
        <v>10</v>
      </c>
      <c r="F7297" s="1" t="str">
        <f>"10.107.250.102"</f>
        <v>10.107.250.102</v>
      </c>
      <c r="G7297" s="1" t="str">
        <f>"0331E221"</f>
        <v>0331E221</v>
      </c>
      <c r="H7297" s="1" t="str">
        <f>"동막간 66R11"</f>
        <v>동막간 66R11</v>
      </c>
      <c r="I7297" s="1" t="s">
        <v>8</v>
      </c>
      <c r="J7297" s="1" t="str">
        <f>"119/119"</f>
        <v>119/119</v>
      </c>
      <c r="K7297" s="1" t="str">
        <f t="shared" ref="K7297:K7304" si="363">"2026-07-29 13:18:02"</f>
        <v>2026-07-29 13:18:02</v>
      </c>
      <c r="L7297" s="1" t="str">
        <f>"2020-01-10 11:44:39"</f>
        <v>2020-01-10 11:44:39</v>
      </c>
      <c r="M7297" s="1" t="s">
        <v>45</v>
      </c>
      <c r="N7297" s="1" t="s">
        <v>38</v>
      </c>
      <c r="O7297" s="1" t="s">
        <v>46</v>
      </c>
    </row>
    <row r="7298" spans="2:15" x14ac:dyDescent="0.3">
      <c r="B7298" s="1" t="s">
        <v>22</v>
      </c>
      <c r="C7298" s="1" t="str">
        <f t="shared" si="362"/>
        <v>4차</v>
      </c>
      <c r="D7298" s="1" t="str">
        <f>"0331E23244"</f>
        <v>0331E23244</v>
      </c>
      <c r="E7298" s="1" t="s">
        <v>10</v>
      </c>
      <c r="F7298" s="1" t="str">
        <f>"10.107.250.103"</f>
        <v>10.107.250.103</v>
      </c>
      <c r="G7298" s="1" t="str">
        <f>"0331E232"</f>
        <v>0331E232</v>
      </c>
      <c r="H7298" s="1" t="str">
        <f>"동막간 66R13"</f>
        <v>동막간 66R13</v>
      </c>
      <c r="I7298" s="1" t="s">
        <v>8</v>
      </c>
      <c r="J7298" s="1" t="str">
        <f>"9/16"</f>
        <v>9/16</v>
      </c>
      <c r="K7298" s="1" t="str">
        <f t="shared" si="363"/>
        <v>2026-07-29 13:18:02</v>
      </c>
      <c r="L7298" s="1" t="str">
        <f>"2020-01-10 11:47:19"</f>
        <v>2020-01-10 11:47:19</v>
      </c>
      <c r="M7298" s="1" t="s">
        <v>45</v>
      </c>
      <c r="N7298" s="1" t="s">
        <v>38</v>
      </c>
      <c r="O7298" s="1" t="s">
        <v>46</v>
      </c>
    </row>
    <row r="7299" spans="2:15" x14ac:dyDescent="0.3">
      <c r="B7299" s="1" t="s">
        <v>22</v>
      </c>
      <c r="C7299" s="1" t="str">
        <f t="shared" si="362"/>
        <v>4차</v>
      </c>
      <c r="D7299" s="1" t="str">
        <f>"0331E25444"</f>
        <v>0331E25444</v>
      </c>
      <c r="E7299" s="1" t="s">
        <v>10</v>
      </c>
      <c r="F7299" s="1" t="str">
        <f>"10.107.250.68"</f>
        <v>10.107.250.68</v>
      </c>
      <c r="G7299" s="1" t="str">
        <f>"0331E254"</f>
        <v>0331E254</v>
      </c>
      <c r="H7299" s="1" t="str">
        <f>"불암간 64R8R1"</f>
        <v>불암간 64R8R1</v>
      </c>
      <c r="I7299" s="1" t="s">
        <v>8</v>
      </c>
      <c r="J7299" s="1" t="str">
        <f>"33/33"</f>
        <v>33/33</v>
      </c>
      <c r="K7299" s="1" t="str">
        <f t="shared" si="363"/>
        <v>2026-07-29 13:18:02</v>
      </c>
      <c r="L7299" s="1" t="str">
        <f>"2020-01-10 11:43:55"</f>
        <v>2020-01-10 11:43:55</v>
      </c>
      <c r="M7299" s="1" t="s">
        <v>45</v>
      </c>
      <c r="N7299" s="1" t="s">
        <v>38</v>
      </c>
      <c r="O7299" s="1" t="s">
        <v>46</v>
      </c>
    </row>
    <row r="7300" spans="2:15" x14ac:dyDescent="0.3">
      <c r="B7300" s="1" t="s">
        <v>22</v>
      </c>
      <c r="C7300" s="1" t="str">
        <f t="shared" si="362"/>
        <v>4차</v>
      </c>
      <c r="D7300" s="1" t="str">
        <f>"0331E30344"</f>
        <v>0331E30344</v>
      </c>
      <c r="E7300" s="1" t="s">
        <v>10</v>
      </c>
      <c r="F7300" s="1" t="str">
        <f>"10.107.250.104"</f>
        <v>10.107.250.104</v>
      </c>
      <c r="G7300" s="1" t="str">
        <f>"0331E303"</f>
        <v>0331E303</v>
      </c>
      <c r="H7300" s="1" t="str">
        <f>"동막간 66R7L3"</f>
        <v>동막간 66R7L3</v>
      </c>
      <c r="I7300" s="1" t="s">
        <v>8</v>
      </c>
      <c r="J7300" s="1" t="str">
        <f>"20/20"</f>
        <v>20/20</v>
      </c>
      <c r="K7300" s="1" t="str">
        <f t="shared" si="363"/>
        <v>2026-07-29 13:18:02</v>
      </c>
      <c r="L7300" s="1" t="str">
        <f>"2020-01-10 11:46:11"</f>
        <v>2020-01-10 11:46:11</v>
      </c>
      <c r="M7300" s="1" t="s">
        <v>45</v>
      </c>
      <c r="N7300" s="1" t="s">
        <v>38</v>
      </c>
      <c r="O7300" s="1" t="s">
        <v>46</v>
      </c>
    </row>
    <row r="7301" spans="2:15" x14ac:dyDescent="0.3">
      <c r="B7301" s="1" t="s">
        <v>22</v>
      </c>
      <c r="C7301" s="1" t="str">
        <f t="shared" si="362"/>
        <v>4차</v>
      </c>
      <c r="D7301" s="1" t="str">
        <f>"0331E32144"</f>
        <v>0331E32144</v>
      </c>
      <c r="E7301" s="1" t="s">
        <v>10</v>
      </c>
      <c r="F7301" s="1" t="str">
        <f>"10.107.250.105"</f>
        <v>10.107.250.105</v>
      </c>
      <c r="G7301" s="1" t="str">
        <f>"0331E321"</f>
        <v>0331E321</v>
      </c>
      <c r="H7301" s="1" t="str">
        <f>"동막간 66R10"</f>
        <v>동막간 66R10</v>
      </c>
      <c r="I7301" s="1" t="s">
        <v>8</v>
      </c>
      <c r="J7301" s="1" t="str">
        <f>"15/17"</f>
        <v>15/17</v>
      </c>
      <c r="K7301" s="1" t="str">
        <f t="shared" si="363"/>
        <v>2026-07-29 13:18:02</v>
      </c>
      <c r="L7301" s="1" t="str">
        <f>"2020-01-10 11:48:59"</f>
        <v>2020-01-10 11:48:59</v>
      </c>
      <c r="M7301" s="1" t="s">
        <v>45</v>
      </c>
      <c r="N7301" s="1" t="s">
        <v>38</v>
      </c>
      <c r="O7301" s="1" t="s">
        <v>46</v>
      </c>
    </row>
    <row r="7302" spans="2:15" x14ac:dyDescent="0.3">
      <c r="B7302" s="1" t="s">
        <v>22</v>
      </c>
      <c r="C7302" s="1" t="str">
        <f t="shared" si="362"/>
        <v>4차</v>
      </c>
      <c r="D7302" s="1" t="str">
        <f>"0331E33144"</f>
        <v>0331E33144</v>
      </c>
      <c r="E7302" s="1" t="s">
        <v>10</v>
      </c>
      <c r="F7302" s="1" t="str">
        <f>"10.107.250.106"</f>
        <v>10.107.250.106</v>
      </c>
      <c r="G7302" s="1" t="str">
        <f>"0331E331"</f>
        <v>0331E331</v>
      </c>
      <c r="H7302" s="1" t="str">
        <f>"동막간 66R10R1"</f>
        <v>동막간 66R10R1</v>
      </c>
      <c r="I7302" s="1" t="s">
        <v>8</v>
      </c>
      <c r="J7302" s="1" t="str">
        <f>"8/8"</f>
        <v>8/8</v>
      </c>
      <c r="K7302" s="1" t="str">
        <f t="shared" si="363"/>
        <v>2026-07-29 13:18:02</v>
      </c>
      <c r="L7302" s="1" t="str">
        <f>"2026-02-25 14:42:32"</f>
        <v>2026-02-25 14:42:32</v>
      </c>
      <c r="M7302" s="1" t="s">
        <v>45</v>
      </c>
      <c r="N7302" s="1" t="s">
        <v>38</v>
      </c>
      <c r="O7302" s="1" t="s">
        <v>46</v>
      </c>
    </row>
    <row r="7303" spans="2:15" x14ac:dyDescent="0.3">
      <c r="B7303" s="1" t="s">
        <v>22</v>
      </c>
      <c r="C7303" s="1" t="str">
        <f t="shared" si="362"/>
        <v>4차</v>
      </c>
      <c r="D7303" s="1" t="str">
        <f>"0331E40344"</f>
        <v>0331E40344</v>
      </c>
      <c r="E7303" s="1" t="s">
        <v>10</v>
      </c>
      <c r="F7303" s="1" t="str">
        <f>"10.107.250.107"</f>
        <v>10.107.250.107</v>
      </c>
      <c r="G7303" s="1" t="str">
        <f>"0331E403"</f>
        <v>0331E403</v>
      </c>
      <c r="H7303" s="1" t="str">
        <f>"동막간 66R7L1"</f>
        <v>동막간 66R7L1</v>
      </c>
      <c r="I7303" s="1" t="s">
        <v>8</v>
      </c>
      <c r="J7303" s="1" t="str">
        <f>"22/22"</f>
        <v>22/22</v>
      </c>
      <c r="K7303" s="1" t="str">
        <f t="shared" si="363"/>
        <v>2026-07-29 13:18:02</v>
      </c>
      <c r="L7303" s="1" t="str">
        <f>"2020-01-10 11:44:06"</f>
        <v>2020-01-10 11:44:06</v>
      </c>
      <c r="M7303" s="1" t="s">
        <v>45</v>
      </c>
      <c r="N7303" s="1" t="s">
        <v>38</v>
      </c>
      <c r="O7303" s="1" t="s">
        <v>46</v>
      </c>
    </row>
    <row r="7304" spans="2:15" x14ac:dyDescent="0.3">
      <c r="B7304" s="1" t="s">
        <v>22</v>
      </c>
      <c r="C7304" s="1" t="str">
        <f t="shared" si="362"/>
        <v>4차</v>
      </c>
      <c r="D7304" s="1" t="str">
        <f>"0331E41144"</f>
        <v>0331E41144</v>
      </c>
      <c r="E7304" s="1" t="s">
        <v>10</v>
      </c>
      <c r="F7304" s="1" t="str">
        <f>"10.107.250.108"</f>
        <v>10.107.250.108</v>
      </c>
      <c r="G7304" s="1" t="str">
        <f>"0331E411"</f>
        <v>0331E411</v>
      </c>
      <c r="H7304" s="1" t="str">
        <f>"동막간 66R8"</f>
        <v>동막간 66R8</v>
      </c>
      <c r="I7304" s="1" t="s">
        <v>8</v>
      </c>
      <c r="J7304" s="1" t="str">
        <f>"77/77"</f>
        <v>77/77</v>
      </c>
      <c r="K7304" s="1" t="str">
        <f t="shared" si="363"/>
        <v>2026-07-29 13:18:02</v>
      </c>
      <c r="L7304" s="1" t="str">
        <f>"2020-01-10 11:44:02"</f>
        <v>2020-01-10 11:44:02</v>
      </c>
      <c r="M7304" s="1" t="s">
        <v>45</v>
      </c>
      <c r="N7304" s="1" t="s">
        <v>38</v>
      </c>
      <c r="O7304" s="1" t="s">
        <v>46</v>
      </c>
    </row>
    <row r="7305" spans="2:15" x14ac:dyDescent="0.3">
      <c r="B7305" s="1" t="s">
        <v>22</v>
      </c>
      <c r="C7305" s="1" t="str">
        <f>"5-2차"</f>
        <v>5-2차</v>
      </c>
      <c r="D7305" s="1" t="str">
        <f>"0331E4525M"</f>
        <v>0331E4525M</v>
      </c>
      <c r="E7305" s="1" t="s">
        <v>10</v>
      </c>
      <c r="F7305" s="1" t="str">
        <f>"fde3:102:1420:3100:0:0:0:b"</f>
        <v>fde3:102:1420:3100:0:0:0:b</v>
      </c>
      <c r="G7305" s="1" t="str">
        <f>"0331E452"</f>
        <v>0331E452</v>
      </c>
      <c r="H7305" s="1" t="str">
        <f>"동막간 66R10R6"</f>
        <v>동막간 66R10R6</v>
      </c>
      <c r="I7305" s="1" t="s">
        <v>15</v>
      </c>
      <c r="J7305" s="1" t="str">
        <f>"59/59"</f>
        <v>59/59</v>
      </c>
      <c r="K7305" s="1" t="str">
        <f>"2026-07-29 14:20:25"</f>
        <v>2026-07-29 14:20:25</v>
      </c>
      <c r="L7305" s="1" t="str">
        <f>"2023-06-26 18:15:14"</f>
        <v>2023-06-26 18:15:14</v>
      </c>
      <c r="M7305" s="1" t="s">
        <v>45</v>
      </c>
      <c r="N7305" s="1" t="s">
        <v>38</v>
      </c>
      <c r="O7305" s="1" t="s">
        <v>46</v>
      </c>
    </row>
    <row r="7306" spans="2:15" x14ac:dyDescent="0.3">
      <c r="B7306" s="1" t="s">
        <v>22</v>
      </c>
      <c r="C7306" s="1" t="str">
        <f>"5-2차"</f>
        <v>5-2차</v>
      </c>
      <c r="D7306" s="1" t="str">
        <f>"0331E5025M"</f>
        <v>0331E5025M</v>
      </c>
      <c r="E7306" s="1" t="s">
        <v>10</v>
      </c>
      <c r="F7306" s="1" t="str">
        <f>"fde3:102:1420:3100:0:0:0:5"</f>
        <v>fde3:102:1420:3100:0:0:0:5</v>
      </c>
      <c r="G7306" s="1" t="str">
        <f>"0331E502"</f>
        <v>0331E502</v>
      </c>
      <c r="H7306" s="1" t="str">
        <f>"동막간 66R5"</f>
        <v>동막간 66R5</v>
      </c>
      <c r="I7306" s="1" t="s">
        <v>15</v>
      </c>
      <c r="J7306" s="1" t="str">
        <f>"47/47"</f>
        <v>47/47</v>
      </c>
      <c r="K7306" s="1" t="str">
        <f>"2026-07-29 14:20:20"</f>
        <v>2026-07-29 14:20:20</v>
      </c>
      <c r="L7306" s="1" t="str">
        <f>"2023-10-11 13:40:18"</f>
        <v>2023-10-11 13:40:18</v>
      </c>
      <c r="M7306" s="1" t="s">
        <v>45</v>
      </c>
      <c r="N7306" s="1" t="s">
        <v>38</v>
      </c>
      <c r="O7306" s="1" t="s">
        <v>46</v>
      </c>
    </row>
    <row r="7307" spans="2:15" x14ac:dyDescent="0.3">
      <c r="B7307" s="1" t="s">
        <v>22</v>
      </c>
      <c r="C7307" s="1" t="str">
        <f>"4차"</f>
        <v>4차</v>
      </c>
      <c r="D7307" s="1" t="str">
        <f>"0331E51144"</f>
        <v>0331E51144</v>
      </c>
      <c r="E7307" s="1" t="s">
        <v>10</v>
      </c>
      <c r="F7307" s="1" t="str">
        <f>"10.107.250.109"</f>
        <v>10.107.250.109</v>
      </c>
      <c r="G7307" s="1" t="str">
        <f>"0331E511"</f>
        <v>0331E511</v>
      </c>
      <c r="H7307" s="1" t="str">
        <f>"동막간 66R6R1"</f>
        <v>동막간 66R6R1</v>
      </c>
      <c r="I7307" s="1" t="s">
        <v>8</v>
      </c>
      <c r="J7307" s="1" t="str">
        <f>"46/46"</f>
        <v>46/46</v>
      </c>
      <c r="K7307" s="1" t="str">
        <f>"2026-07-29 13:18:02"</f>
        <v>2026-07-29 13:18:02</v>
      </c>
      <c r="L7307" s="1" t="str">
        <f>"2020-01-10 11:44:42"</f>
        <v>2020-01-10 11:44:42</v>
      </c>
      <c r="M7307" s="1" t="s">
        <v>45</v>
      </c>
      <c r="N7307" s="1" t="s">
        <v>38</v>
      </c>
      <c r="O7307" s="1" t="s">
        <v>46</v>
      </c>
    </row>
    <row r="7308" spans="2:15" x14ac:dyDescent="0.3">
      <c r="B7308" s="1" t="s">
        <v>22</v>
      </c>
      <c r="C7308" s="1" t="str">
        <f>"5-2차"</f>
        <v>5-2차</v>
      </c>
      <c r="D7308" s="1" t="str">
        <f>"0331E6015S"</f>
        <v>0331E6015S</v>
      </c>
      <c r="E7308" s="1" t="s">
        <v>10</v>
      </c>
      <c r="F7308" s="1" t="str">
        <f>"fde3:102:1420:3100:0:0:0:6"</f>
        <v>fde3:102:1420:3100:0:0:0:6</v>
      </c>
      <c r="G7308" s="1" t="str">
        <f>"0331E601"</f>
        <v>0331E601</v>
      </c>
      <c r="H7308" s="1" t="str">
        <f>"동막간 66R5R1"</f>
        <v>동막간 66R5R1</v>
      </c>
      <c r="I7308" s="1" t="s">
        <v>15</v>
      </c>
      <c r="J7308" s="1" t="str">
        <f>"41/41"</f>
        <v>41/41</v>
      </c>
      <c r="K7308" s="1" t="str">
        <f>"2026-07-29 14:20:43"</f>
        <v>2026-07-29 14:20:43</v>
      </c>
      <c r="L7308" s="1" t="str">
        <f>"2023-06-19 13:57:22"</f>
        <v>2023-06-19 13:57:22</v>
      </c>
      <c r="M7308" s="1" t="s">
        <v>45</v>
      </c>
      <c r="N7308" s="1" t="s">
        <v>38</v>
      </c>
      <c r="O7308" s="1" t="s">
        <v>46</v>
      </c>
    </row>
    <row r="7309" spans="2:15" x14ac:dyDescent="0.3">
      <c r="B7309" s="1" t="s">
        <v>22</v>
      </c>
      <c r="C7309" s="1" t="str">
        <f>"5-2차"</f>
        <v>5-2차</v>
      </c>
      <c r="D7309" s="1" t="str">
        <f>"0331E7015M"</f>
        <v>0331E7015M</v>
      </c>
      <c r="E7309" s="1" t="s">
        <v>10</v>
      </c>
      <c r="F7309" s="1" t="str">
        <f>"fde3:102:1420:3100:0:0:0:9"</f>
        <v>fde3:102:1420:3100:0:0:0:9</v>
      </c>
      <c r="G7309" s="1" t="str">
        <f>"0331E701"</f>
        <v>0331E701</v>
      </c>
      <c r="H7309" s="1" t="str">
        <f>"동막간 63R5L3"</f>
        <v>동막간 63R5L3</v>
      </c>
      <c r="I7309" s="1" t="s">
        <v>15</v>
      </c>
      <c r="J7309" s="1" t="str">
        <f>"89/89"</f>
        <v>89/89</v>
      </c>
      <c r="K7309" s="1" t="str">
        <f>"2026-07-29 14:20:43"</f>
        <v>2026-07-29 14:20:43</v>
      </c>
      <c r="L7309" s="1" t="str">
        <f>"2023-06-26 18:01:12"</f>
        <v>2023-06-26 18:01:12</v>
      </c>
      <c r="M7309" s="1" t="s">
        <v>45</v>
      </c>
      <c r="N7309" s="1" t="s">
        <v>38</v>
      </c>
      <c r="O7309" s="1" t="s">
        <v>46</v>
      </c>
    </row>
    <row r="7310" spans="2:15" x14ac:dyDescent="0.3">
      <c r="B7310" s="1" t="s">
        <v>22</v>
      </c>
      <c r="C7310" s="1" t="str">
        <f>"5-1차"</f>
        <v>5-1차</v>
      </c>
      <c r="D7310" s="1" t="str">
        <f>"0331F6825M"</f>
        <v>0331F6825M</v>
      </c>
      <c r="E7310" s="1" t="s">
        <v>10</v>
      </c>
      <c r="F7310" s="1" t="str">
        <f>"fde2:104:0:18b:0:0:0:2"</f>
        <v>fde2:104:0:18b:0:0:0:2</v>
      </c>
      <c r="G7310" s="1" t="str">
        <f>"0331F682"</f>
        <v>0331F682</v>
      </c>
      <c r="H7310" s="1" t="str">
        <f>"동막간 23L10"</f>
        <v>동막간 23L10</v>
      </c>
      <c r="I7310" s="1" t="s">
        <v>15</v>
      </c>
      <c r="J7310" s="1" t="str">
        <f>"67/67"</f>
        <v>67/67</v>
      </c>
      <c r="K7310" s="1" t="str">
        <f>"2026-07-29 14:20:58"</f>
        <v>2026-07-29 14:20:58</v>
      </c>
      <c r="L7310" s="1" t="str">
        <f>"2022-11-15 15:22:29"</f>
        <v>2022-11-15 15:22:29</v>
      </c>
      <c r="M7310" s="1" t="s">
        <v>42</v>
      </c>
      <c r="N7310" s="1" t="s">
        <v>38</v>
      </c>
      <c r="O7310" s="1" t="s">
        <v>46</v>
      </c>
    </row>
    <row r="7311" spans="2:15" x14ac:dyDescent="0.3">
      <c r="B7311" s="1" t="s">
        <v>22</v>
      </c>
      <c r="C7311" s="1" t="str">
        <f>"4차"</f>
        <v>4차</v>
      </c>
      <c r="D7311" s="1" t="str">
        <f>"0331F76141"</f>
        <v>0331F76141</v>
      </c>
      <c r="E7311" s="1" t="s">
        <v>10</v>
      </c>
      <c r="F7311" s="1" t="str">
        <f>"10.14.12.45"</f>
        <v>10.14.12.45</v>
      </c>
      <c r="G7311" s="1" t="str">
        <f>"0331F761"</f>
        <v>0331F761</v>
      </c>
      <c r="H7311" s="1" t="str">
        <f>"동막간 15L1"</f>
        <v>동막간 15L1</v>
      </c>
      <c r="I7311" s="1" t="s">
        <v>17</v>
      </c>
      <c r="J7311" s="1" t="str">
        <f>"35/35"</f>
        <v>35/35</v>
      </c>
      <c r="K7311" s="1" t="str">
        <f>"2026-07-29 13:18:03"</f>
        <v>2026-07-29 13:18:03</v>
      </c>
      <c r="L7311" s="1" t="str">
        <f>"2021-08-04 17:38:01"</f>
        <v>2021-08-04 17:38:01</v>
      </c>
      <c r="M7311" s="1" t="s">
        <v>3</v>
      </c>
      <c r="N7311" s="1" t="s">
        <v>38</v>
      </c>
      <c r="O7311" s="1" t="s">
        <v>46</v>
      </c>
    </row>
    <row r="7312" spans="2:15" x14ac:dyDescent="0.3">
      <c r="B7312" s="1" t="s">
        <v>22</v>
      </c>
      <c r="C7312" s="1" t="str">
        <f>"4차"</f>
        <v>4차</v>
      </c>
      <c r="D7312" s="1" t="str">
        <f>"0331F95141"</f>
        <v>0331F95141</v>
      </c>
      <c r="E7312" s="1" t="s">
        <v>10</v>
      </c>
      <c r="F7312" s="1" t="str">
        <f>"10.14.12.180"</f>
        <v>10.14.12.180</v>
      </c>
      <c r="G7312" s="1" t="str">
        <f>"0331F951"</f>
        <v>0331F951</v>
      </c>
      <c r="H7312" s="1" t="str">
        <f>"불막간 48R3"</f>
        <v>불막간 48R3</v>
      </c>
      <c r="I7312" s="1" t="s">
        <v>17</v>
      </c>
      <c r="J7312" s="1" t="str">
        <f>"54/55"</f>
        <v>54/55</v>
      </c>
      <c r="K7312" s="1" t="str">
        <f>"2026-07-29 13:18:03"</f>
        <v>2026-07-29 13:18:03</v>
      </c>
      <c r="L7312" s="1" t="str">
        <f>"2021-08-04 14:59:16"</f>
        <v>2021-08-04 14:59:16</v>
      </c>
      <c r="M7312" s="1" t="s">
        <v>3</v>
      </c>
      <c r="N7312" s="1" t="s">
        <v>38</v>
      </c>
      <c r="O7312" s="1" t="s">
        <v>46</v>
      </c>
    </row>
    <row r="7313" spans="2:15" x14ac:dyDescent="0.3">
      <c r="B7313" s="1" t="s">
        <v>22</v>
      </c>
      <c r="C7313" s="1" t="str">
        <f>"4차"</f>
        <v>4차</v>
      </c>
      <c r="D7313" s="1" t="str">
        <f>"0331F98341"</f>
        <v>0331F98341</v>
      </c>
      <c r="E7313" s="1" t="s">
        <v>10</v>
      </c>
      <c r="F7313" s="1" t="str">
        <f>"10.12.131.84"</f>
        <v>10.12.131.84</v>
      </c>
      <c r="G7313" s="1" t="str">
        <f>"0331F983"</f>
        <v>0331F983</v>
      </c>
      <c r="H7313" s="1" t="str">
        <f>"불막간 53"</f>
        <v>불막간 53</v>
      </c>
      <c r="I7313" s="1" t="s">
        <v>17</v>
      </c>
      <c r="J7313" s="1" t="str">
        <f>"4/4"</f>
        <v>4/4</v>
      </c>
      <c r="K7313" s="1" t="str">
        <f>"2026-07-29 13:18:03"</f>
        <v>2026-07-29 13:18:03</v>
      </c>
      <c r="L7313" s="1" t="str">
        <f>"2021-08-04 15:56:29"</f>
        <v>2021-08-04 15:56:29</v>
      </c>
      <c r="M7313" s="1" t="s">
        <v>0</v>
      </c>
      <c r="N7313" s="1" t="s">
        <v>38</v>
      </c>
      <c r="O7313" s="1" t="s">
        <v>46</v>
      </c>
    </row>
    <row r="7314" spans="2:15" x14ac:dyDescent="0.3">
      <c r="B7314" s="1" t="s">
        <v>22</v>
      </c>
      <c r="C7314" s="1" t="str">
        <f>"4차"</f>
        <v>4차</v>
      </c>
      <c r="D7314" s="1" t="str">
        <f>"0331G00244"</f>
        <v>0331G00244</v>
      </c>
      <c r="E7314" s="1" t="s">
        <v>10</v>
      </c>
      <c r="F7314" s="1" t="str">
        <f>"10.107.251.182"</f>
        <v>10.107.251.182</v>
      </c>
      <c r="G7314" s="1" t="str">
        <f>"0331G002"</f>
        <v>0331G002</v>
      </c>
      <c r="H7314" s="1" t="str">
        <f>"불암간 20"</f>
        <v>불암간 20</v>
      </c>
      <c r="I7314" s="1" t="s">
        <v>8</v>
      </c>
      <c r="J7314" s="1" t="str">
        <f>"21/21"</f>
        <v>21/21</v>
      </c>
      <c r="K7314" s="1" t="str">
        <f>"2026-07-29 13:18:02"</f>
        <v>2026-07-29 13:18:02</v>
      </c>
      <c r="L7314" s="1" t="str">
        <f>"2020-01-10 11:40:16"</f>
        <v>2020-01-10 11:40:16</v>
      </c>
      <c r="M7314" s="1" t="s">
        <v>45</v>
      </c>
      <c r="N7314" s="1" t="s">
        <v>38</v>
      </c>
      <c r="O7314" s="1" t="s">
        <v>46</v>
      </c>
    </row>
    <row r="7315" spans="2:15" x14ac:dyDescent="0.3">
      <c r="B7315" s="1" t="s">
        <v>22</v>
      </c>
      <c r="C7315" s="1" t="str">
        <f>"4차"</f>
        <v>4차</v>
      </c>
      <c r="D7315" s="1" t="str">
        <f>"0331G00344"</f>
        <v>0331G00344</v>
      </c>
      <c r="E7315" s="1" t="s">
        <v>10</v>
      </c>
      <c r="F7315" s="1" t="str">
        <f>"10.107.247.8"</f>
        <v>10.107.247.8</v>
      </c>
      <c r="G7315" s="1" t="str">
        <f>"0331G003"</f>
        <v>0331G003</v>
      </c>
      <c r="H7315" s="1" t="str">
        <f>"불암간 20L1L1"</f>
        <v>불암간 20L1L1</v>
      </c>
      <c r="I7315" s="1" t="s">
        <v>8</v>
      </c>
      <c r="J7315" s="1" t="str">
        <f>"82/82"</f>
        <v>82/82</v>
      </c>
      <c r="K7315" s="1" t="str">
        <f>"2026-07-29 13:18:02"</f>
        <v>2026-07-29 13:18:02</v>
      </c>
      <c r="L7315" s="1" t="str">
        <f>"2020-01-10 11:44:34"</f>
        <v>2020-01-10 11:44:34</v>
      </c>
      <c r="M7315" s="1" t="s">
        <v>45</v>
      </c>
      <c r="N7315" s="1" t="s">
        <v>38</v>
      </c>
      <c r="O7315" s="1" t="s">
        <v>46</v>
      </c>
    </row>
    <row r="7316" spans="2:15" x14ac:dyDescent="0.3">
      <c r="B7316" s="1" t="s">
        <v>22</v>
      </c>
      <c r="C7316" s="1" t="str">
        <f>"5-2차"</f>
        <v>5-2차</v>
      </c>
      <c r="D7316" s="1" t="str">
        <f>"0331G0615M"</f>
        <v>0331G0615M</v>
      </c>
      <c r="E7316" s="1" t="s">
        <v>10</v>
      </c>
      <c r="F7316" s="1" t="str">
        <f>"fde1:103:4:922e:0:0:0:2"</f>
        <v>fde1:103:4:922e:0:0:0:2</v>
      </c>
      <c r="G7316" s="1" t="str">
        <f>"0331G061"</f>
        <v>0331G061</v>
      </c>
      <c r="H7316" s="1" t="str">
        <f>"동막간 79L6R2"</f>
        <v>동막간 79L6R2</v>
      </c>
      <c r="I7316" s="1" t="s">
        <v>15</v>
      </c>
      <c r="J7316" s="1" t="str">
        <f>"47/47"</f>
        <v>47/47</v>
      </c>
      <c r="K7316" s="1" t="str">
        <f>"2026-07-29 14:20:44"</f>
        <v>2026-07-29 14:20:44</v>
      </c>
      <c r="L7316" s="1" t="str">
        <f>"2023-12-20 14:10:45"</f>
        <v>2023-12-20 14:10:45</v>
      </c>
      <c r="M7316" s="1" t="s">
        <v>4</v>
      </c>
      <c r="N7316" s="1" t="s">
        <v>38</v>
      </c>
      <c r="O7316" s="1" t="s">
        <v>46</v>
      </c>
    </row>
    <row r="7317" spans="2:15" x14ac:dyDescent="0.3">
      <c r="B7317" s="1" t="s">
        <v>22</v>
      </c>
      <c r="C7317" s="1" t="str">
        <f>"4차"</f>
        <v>4차</v>
      </c>
      <c r="D7317" s="1" t="str">
        <f>"0331G07144"</f>
        <v>0331G07144</v>
      </c>
      <c r="E7317" s="1" t="s">
        <v>10</v>
      </c>
      <c r="F7317" s="1" t="str">
        <f>"10.107.250.69"</f>
        <v>10.107.250.69</v>
      </c>
      <c r="G7317" s="1" t="str">
        <f>"0331G071"</f>
        <v>0331G071</v>
      </c>
      <c r="H7317" s="1" t="str">
        <f>"동막간 66R24L1"</f>
        <v>동막간 66R24L1</v>
      </c>
      <c r="I7317" s="1" t="s">
        <v>8</v>
      </c>
      <c r="J7317" s="1" t="str">
        <f>"65/65"</f>
        <v>65/65</v>
      </c>
      <c r="K7317" s="1" t="str">
        <f>"2026-07-29 13:18:02"</f>
        <v>2026-07-29 13:18:02</v>
      </c>
      <c r="L7317" s="1" t="str">
        <f>"2020-01-10 11:44:13"</f>
        <v>2020-01-10 11:44:13</v>
      </c>
      <c r="M7317" s="1" t="s">
        <v>45</v>
      </c>
      <c r="N7317" s="1" t="s">
        <v>38</v>
      </c>
      <c r="O7317" s="1" t="s">
        <v>46</v>
      </c>
    </row>
    <row r="7318" spans="2:15" x14ac:dyDescent="0.3">
      <c r="B7318" s="1" t="s">
        <v>22</v>
      </c>
      <c r="C7318" s="1" t="str">
        <f>"4차"</f>
        <v>4차</v>
      </c>
      <c r="D7318" s="1" t="str">
        <f>"0331G11344"</f>
        <v>0331G11344</v>
      </c>
      <c r="E7318" s="1" t="s">
        <v>10</v>
      </c>
      <c r="F7318" s="1" t="str">
        <f>"10.107.247.9"</f>
        <v>10.107.247.9</v>
      </c>
      <c r="G7318" s="1" t="str">
        <f>"0331G113"</f>
        <v>0331G113</v>
      </c>
      <c r="H7318" s="1" t="str">
        <f>"불암간 20L4"</f>
        <v>불암간 20L4</v>
      </c>
      <c r="I7318" s="1" t="s">
        <v>8</v>
      </c>
      <c r="J7318" s="1" t="str">
        <f>"49/49"</f>
        <v>49/49</v>
      </c>
      <c r="K7318" s="1" t="str">
        <f>"2026-07-29 13:18:02"</f>
        <v>2026-07-29 13:18:02</v>
      </c>
      <c r="L7318" s="1" t="str">
        <f>"2020-01-10 11:56:50"</f>
        <v>2020-01-10 11:56:50</v>
      </c>
      <c r="M7318" s="1" t="s">
        <v>45</v>
      </c>
      <c r="N7318" s="1" t="s">
        <v>38</v>
      </c>
      <c r="O7318" s="1" t="s">
        <v>46</v>
      </c>
    </row>
    <row r="7319" spans="2:15" x14ac:dyDescent="0.3">
      <c r="B7319" s="1" t="s">
        <v>22</v>
      </c>
      <c r="C7319" s="1" t="str">
        <f>"4차"</f>
        <v>4차</v>
      </c>
      <c r="D7319" s="1" t="str">
        <f>"0331G12144"</f>
        <v>0331G12144</v>
      </c>
      <c r="E7319" s="1" t="s">
        <v>10</v>
      </c>
      <c r="F7319" s="1" t="str">
        <f>"10.107.247.10"</f>
        <v>10.107.247.10</v>
      </c>
      <c r="G7319" s="1" t="str">
        <f>"0331G121"</f>
        <v>0331G121</v>
      </c>
      <c r="H7319" s="1" t="str">
        <f>"불암간 20L5"</f>
        <v>불암간 20L5</v>
      </c>
      <c r="I7319" s="1" t="s">
        <v>8</v>
      </c>
      <c r="J7319" s="1" t="str">
        <f>"57/58"</f>
        <v>57/58</v>
      </c>
      <c r="K7319" s="1" t="str">
        <f>"2026-07-29 13:18:02"</f>
        <v>2026-07-29 13:18:02</v>
      </c>
      <c r="L7319" s="1" t="str">
        <f>"2020-01-10 11:50:03"</f>
        <v>2020-01-10 11:50:03</v>
      </c>
      <c r="M7319" s="1" t="s">
        <v>45</v>
      </c>
      <c r="N7319" s="1" t="s">
        <v>38</v>
      </c>
      <c r="O7319" s="1" t="s">
        <v>46</v>
      </c>
    </row>
    <row r="7320" spans="2:15" x14ac:dyDescent="0.3">
      <c r="B7320" s="1" t="s">
        <v>22</v>
      </c>
      <c r="C7320" s="1" t="str">
        <f>"6차"</f>
        <v>6차</v>
      </c>
      <c r="D7320" s="1" t="str">
        <f>"0331G1316S"</f>
        <v>0331G1316S</v>
      </c>
      <c r="E7320" s="1" t="s">
        <v>10</v>
      </c>
      <c r="F7320" s="1" t="str">
        <f>"fde1:103:4:c5af:0:0:0:2"</f>
        <v>fde1:103:4:c5af:0:0:0:2</v>
      </c>
      <c r="G7320" s="1" t="str">
        <f>"0331G131"</f>
        <v>0331G131</v>
      </c>
      <c r="H7320" s="1" t="str">
        <f>"불암간 38L1"</f>
        <v>불암간 38L1</v>
      </c>
      <c r="I7320" s="1" t="s">
        <v>15</v>
      </c>
      <c r="J7320" s="1" t="str">
        <f>"40/46"</f>
        <v>40/46</v>
      </c>
      <c r="K7320" s="1" t="str">
        <f>"2026-07-29 14:20:57"</f>
        <v>2026-07-29 14:20:57</v>
      </c>
      <c r="L7320" s="1" t="str">
        <f>"2024-12-10 15:44:23"</f>
        <v>2024-12-10 15:44:23</v>
      </c>
      <c r="M7320" s="1" t="s">
        <v>4</v>
      </c>
      <c r="N7320" s="1" t="s">
        <v>38</v>
      </c>
      <c r="O7320" s="1" t="s">
        <v>46</v>
      </c>
    </row>
    <row r="7321" spans="2:15" x14ac:dyDescent="0.3">
      <c r="B7321" s="1" t="s">
        <v>22</v>
      </c>
      <c r="C7321" s="1" t="str">
        <f>"5-2차"</f>
        <v>5-2차</v>
      </c>
      <c r="D7321" s="1" t="str">
        <f>"0331G1615M"</f>
        <v>0331G1615M</v>
      </c>
      <c r="E7321" s="1" t="s">
        <v>10</v>
      </c>
      <c r="F7321" s="1" t="str">
        <f>"fde3:102:1420:3200:0:0:0:c"</f>
        <v>fde3:102:1420:3200:0:0:0:c</v>
      </c>
      <c r="G7321" s="1" t="str">
        <f>"0331G161"</f>
        <v>0331G161</v>
      </c>
      <c r="H7321" s="1" t="str">
        <f>"동막간 79L6B2"</f>
        <v>동막간 79L6B2</v>
      </c>
      <c r="I7321" s="1" t="s">
        <v>15</v>
      </c>
      <c r="J7321" s="1" t="str">
        <f>"42/42"</f>
        <v>42/42</v>
      </c>
      <c r="K7321" s="1" t="str">
        <f>"2026-07-29 14:21:04"</f>
        <v>2026-07-29 14:21:04</v>
      </c>
      <c r="L7321" s="1" t="str">
        <f>"2023-06-19 18:24:23"</f>
        <v>2023-06-19 18:24:23</v>
      </c>
      <c r="M7321" s="1" t="s">
        <v>45</v>
      </c>
      <c r="N7321" s="1" t="s">
        <v>38</v>
      </c>
      <c r="O7321" s="1" t="s">
        <v>46</v>
      </c>
    </row>
    <row r="7322" spans="2:15" x14ac:dyDescent="0.3">
      <c r="B7322" s="1" t="s">
        <v>22</v>
      </c>
      <c r="C7322" s="1" t="str">
        <f>"5-2차"</f>
        <v>5-2차</v>
      </c>
      <c r="D7322" s="1" t="str">
        <f>"0331G1625S"</f>
        <v>0331G1625S</v>
      </c>
      <c r="E7322" s="1" t="s">
        <v>10</v>
      </c>
      <c r="F7322" s="1" t="str">
        <f>"fde3:102:1420:1100:0:0:0:12"</f>
        <v>fde3:102:1420:1100:0:0:0:12</v>
      </c>
      <c r="G7322" s="1" t="str">
        <f>"0331G162"</f>
        <v>0331G162</v>
      </c>
      <c r="H7322" s="1" t="str">
        <f>"동막간 83L6"</f>
        <v>동막간 83L6</v>
      </c>
      <c r="I7322" s="1" t="s">
        <v>15</v>
      </c>
      <c r="J7322" s="1" t="str">
        <f>"56/56"</f>
        <v>56/56</v>
      </c>
      <c r="K7322" s="1" t="str">
        <f>"2026-07-29 14:20:43"</f>
        <v>2026-07-29 14:20:43</v>
      </c>
      <c r="L7322" s="1" t="str">
        <f>"2023-06-16 17:25:47"</f>
        <v>2023-06-16 17:25:47</v>
      </c>
      <c r="M7322" s="1" t="s">
        <v>45</v>
      </c>
      <c r="N7322" s="1" t="s">
        <v>38</v>
      </c>
      <c r="O7322" s="1" t="s">
        <v>46</v>
      </c>
    </row>
    <row r="7323" spans="2:15" x14ac:dyDescent="0.3">
      <c r="B7323" s="1" t="s">
        <v>22</v>
      </c>
      <c r="C7323" s="1" t="str">
        <f>"4차"</f>
        <v>4차</v>
      </c>
      <c r="D7323" s="1" t="str">
        <f>"0331G19144"</f>
        <v>0331G19144</v>
      </c>
      <c r="E7323" s="1" t="s">
        <v>10</v>
      </c>
      <c r="F7323" s="1" t="str">
        <f>"10.107.250.70"</f>
        <v>10.107.250.70</v>
      </c>
      <c r="G7323" s="1" t="str">
        <f>"0331G191"</f>
        <v>0331G191</v>
      </c>
      <c r="H7323" s="1" t="str">
        <f>"동막간 66R21L3"</f>
        <v>동막간 66R21L3</v>
      </c>
      <c r="I7323" s="1" t="s">
        <v>8</v>
      </c>
      <c r="J7323" s="1" t="str">
        <f>"60/60"</f>
        <v>60/60</v>
      </c>
      <c r="K7323" s="1" t="str">
        <f>"2026-07-29 13:18:02"</f>
        <v>2026-07-29 13:18:02</v>
      </c>
      <c r="L7323" s="1" t="str">
        <f>"2020-01-10 11:45:52"</f>
        <v>2020-01-10 11:45:52</v>
      </c>
      <c r="M7323" s="1" t="s">
        <v>45</v>
      </c>
      <c r="N7323" s="1" t="s">
        <v>38</v>
      </c>
      <c r="O7323" s="1" t="s">
        <v>46</v>
      </c>
    </row>
    <row r="7324" spans="2:15" x14ac:dyDescent="0.3">
      <c r="B7324" s="1" t="s">
        <v>22</v>
      </c>
      <c r="C7324" s="1" t="str">
        <f>"4차"</f>
        <v>4차</v>
      </c>
      <c r="D7324" s="1" t="str">
        <f>"0331G20144"</f>
        <v>0331G20144</v>
      </c>
      <c r="E7324" s="1" t="s">
        <v>10</v>
      </c>
      <c r="F7324" s="1" t="str">
        <f>"10.107.247.11"</f>
        <v>10.107.247.11</v>
      </c>
      <c r="G7324" s="1" t="str">
        <f>"0331G201"</f>
        <v>0331G201</v>
      </c>
      <c r="H7324" s="1" t="str">
        <f>"불암간 20L3R3"</f>
        <v>불암간 20L3R3</v>
      </c>
      <c r="I7324" s="1" t="s">
        <v>8</v>
      </c>
      <c r="J7324" s="1" t="str">
        <f>"37/37"</f>
        <v>37/37</v>
      </c>
      <c r="K7324" s="1" t="str">
        <f>"2026-07-29 13:18:02"</f>
        <v>2026-07-29 13:18:02</v>
      </c>
      <c r="L7324" s="1" t="str">
        <f>"2020-01-10 11:50:10"</f>
        <v>2020-01-10 11:50:10</v>
      </c>
      <c r="M7324" s="1" t="s">
        <v>45</v>
      </c>
      <c r="N7324" s="1" t="s">
        <v>38</v>
      </c>
      <c r="O7324" s="1" t="s">
        <v>46</v>
      </c>
    </row>
    <row r="7325" spans="2:15" x14ac:dyDescent="0.3">
      <c r="B7325" s="1" t="s">
        <v>22</v>
      </c>
      <c r="C7325" s="1" t="str">
        <f>"4차"</f>
        <v>4차</v>
      </c>
      <c r="D7325" s="1" t="str">
        <f>"0331G20344"</f>
        <v>0331G20344</v>
      </c>
      <c r="E7325" s="1" t="s">
        <v>10</v>
      </c>
      <c r="F7325" s="1" t="str">
        <f>"10.107.247.12"</f>
        <v>10.107.247.12</v>
      </c>
      <c r="G7325" s="1" t="str">
        <f>"0331G203"</f>
        <v>0331G203</v>
      </c>
      <c r="H7325" s="1" t="str">
        <f>"불암간 20L3R2"</f>
        <v>불암간 20L3R2</v>
      </c>
      <c r="I7325" s="1" t="s">
        <v>8</v>
      </c>
      <c r="J7325" s="1" t="str">
        <f>"48/48"</f>
        <v>48/48</v>
      </c>
      <c r="K7325" s="1" t="str">
        <f>"2026-07-29 13:18:02"</f>
        <v>2026-07-29 13:18:02</v>
      </c>
      <c r="L7325" s="1" t="str">
        <f>"2020-01-10 11:44:36"</f>
        <v>2020-01-10 11:44:36</v>
      </c>
      <c r="M7325" s="1" t="s">
        <v>45</v>
      </c>
      <c r="N7325" s="1" t="s">
        <v>38</v>
      </c>
      <c r="O7325" s="1" t="s">
        <v>46</v>
      </c>
    </row>
    <row r="7326" spans="2:15" x14ac:dyDescent="0.3">
      <c r="B7326" s="1" t="s">
        <v>22</v>
      </c>
      <c r="C7326" s="1" t="str">
        <f>"5-2차"</f>
        <v>5-2차</v>
      </c>
      <c r="D7326" s="1" t="str">
        <f>"0331G2125S"</f>
        <v>0331G2125S</v>
      </c>
      <c r="E7326" s="1" t="s">
        <v>10</v>
      </c>
      <c r="F7326" s="1" t="str">
        <f>"fde3:102:1420:1200:0:0:0:6"</f>
        <v>fde3:102:1420:1200:0:0:0:6</v>
      </c>
      <c r="G7326" s="1" t="str">
        <f>"0331G212"</f>
        <v>0331G212</v>
      </c>
      <c r="H7326" s="1" t="str">
        <f>"불암간 20L3R1"</f>
        <v>불암간 20L3R1</v>
      </c>
      <c r="I7326" s="1" t="s">
        <v>15</v>
      </c>
      <c r="J7326" s="1" t="str">
        <f>"63/64"</f>
        <v>63/64</v>
      </c>
      <c r="K7326" s="1" t="str">
        <f>"2026-07-29 14:20:56"</f>
        <v>2026-07-29 14:20:56</v>
      </c>
      <c r="L7326" s="1" t="str">
        <f>"2023-06-19 14:00:20"</f>
        <v>2023-06-19 14:00:20</v>
      </c>
      <c r="M7326" s="1" t="s">
        <v>45</v>
      </c>
      <c r="N7326" s="1" t="s">
        <v>38</v>
      </c>
      <c r="O7326" s="1" t="s">
        <v>46</v>
      </c>
    </row>
    <row r="7327" spans="2:15" x14ac:dyDescent="0.3">
      <c r="B7327" s="1" t="s">
        <v>22</v>
      </c>
      <c r="C7327" s="1" t="str">
        <f>"4차"</f>
        <v>4차</v>
      </c>
      <c r="D7327" s="1" t="str">
        <f>"0331G22144"</f>
        <v>0331G22144</v>
      </c>
      <c r="E7327" s="1" t="s">
        <v>10</v>
      </c>
      <c r="F7327" s="1" t="str">
        <f>"10.107.248.194"</f>
        <v>10.107.248.194</v>
      </c>
      <c r="G7327" s="1" t="str">
        <f>"0331G221"</f>
        <v>0331G221</v>
      </c>
      <c r="H7327" s="1" t="str">
        <f>"불암간 36"</f>
        <v>불암간 36</v>
      </c>
      <c r="I7327" s="1" t="s">
        <v>8</v>
      </c>
      <c r="J7327" s="1" t="str">
        <f>"19/19"</f>
        <v>19/19</v>
      </c>
      <c r="K7327" s="1" t="str">
        <f>"2026-07-29 13:18:02"</f>
        <v>2026-07-29 13:18:02</v>
      </c>
      <c r="L7327" s="1" t="str">
        <f>"2020-01-10 11:42:07"</f>
        <v>2020-01-10 11:42:07</v>
      </c>
      <c r="M7327" s="1" t="s">
        <v>45</v>
      </c>
      <c r="N7327" s="1" t="s">
        <v>38</v>
      </c>
      <c r="O7327" s="1" t="s">
        <v>46</v>
      </c>
    </row>
    <row r="7328" spans="2:15" x14ac:dyDescent="0.3">
      <c r="B7328" s="1" t="s">
        <v>22</v>
      </c>
      <c r="C7328" s="1" t="str">
        <f>"4차"</f>
        <v>4차</v>
      </c>
      <c r="D7328" s="1" t="str">
        <f>"0331G23144"</f>
        <v>0331G23144</v>
      </c>
      <c r="E7328" s="1" t="s">
        <v>10</v>
      </c>
      <c r="F7328" s="1" t="str">
        <f>"10.107.248.195"</f>
        <v>10.107.248.195</v>
      </c>
      <c r="G7328" s="1" t="str">
        <f>"0331G231"</f>
        <v>0331G231</v>
      </c>
      <c r="H7328" s="1" t="str">
        <f>"불암간 37"</f>
        <v>불암간 37</v>
      </c>
      <c r="I7328" s="1" t="s">
        <v>8</v>
      </c>
      <c r="J7328" s="1" t="str">
        <f>"5/5"</f>
        <v>5/5</v>
      </c>
      <c r="K7328" s="1" t="str">
        <f>"2026-07-29 13:18:02"</f>
        <v>2026-07-29 13:18:02</v>
      </c>
      <c r="L7328" s="1" t="str">
        <f>"2020-01-10 11:48:32"</f>
        <v>2020-01-10 11:48:32</v>
      </c>
      <c r="M7328" s="1" t="s">
        <v>45</v>
      </c>
      <c r="N7328" s="1" t="s">
        <v>38</v>
      </c>
      <c r="O7328" s="1" t="s">
        <v>46</v>
      </c>
    </row>
    <row r="7329" spans="2:15" x14ac:dyDescent="0.3">
      <c r="B7329" s="1" t="s">
        <v>22</v>
      </c>
      <c r="C7329" s="1" t="str">
        <f>"5-2차"</f>
        <v>5-2차</v>
      </c>
      <c r="D7329" s="1" t="str">
        <f>"0331G2355M"</f>
        <v>0331G2355M</v>
      </c>
      <c r="E7329" s="1" t="s">
        <v>10</v>
      </c>
      <c r="F7329" s="1" t="str">
        <f>"fde1:103:4:9224:0:0:0:2"</f>
        <v>fde1:103:4:9224:0:0:0:2</v>
      </c>
      <c r="G7329" s="1" t="str">
        <f>"0331G235"</f>
        <v>0331G235</v>
      </c>
      <c r="H7329" s="1" t="str">
        <f>"동막간 79L1"</f>
        <v>동막간 79L1</v>
      </c>
      <c r="I7329" s="1" t="s">
        <v>15</v>
      </c>
      <c r="J7329" s="1" t="str">
        <f>"32/32"</f>
        <v>32/32</v>
      </c>
      <c r="K7329" s="1" t="str">
        <f>"2026-07-29 14:20:57"</f>
        <v>2026-07-29 14:20:57</v>
      </c>
      <c r="L7329" s="1" t="str">
        <f>"2023-12-20 14:50:15"</f>
        <v>2023-12-20 14:50:15</v>
      </c>
      <c r="M7329" s="1" t="s">
        <v>4</v>
      </c>
      <c r="N7329" s="1" t="s">
        <v>38</v>
      </c>
      <c r="O7329" s="1" t="s">
        <v>46</v>
      </c>
    </row>
    <row r="7330" spans="2:15" x14ac:dyDescent="0.3">
      <c r="B7330" s="1" t="s">
        <v>22</v>
      </c>
      <c r="C7330" s="1" t="str">
        <f>"4차"</f>
        <v>4차</v>
      </c>
      <c r="D7330" s="1" t="str">
        <f>"0331G24244"</f>
        <v>0331G24244</v>
      </c>
      <c r="E7330" s="1" t="s">
        <v>10</v>
      </c>
      <c r="F7330" s="1" t="str">
        <f>"10.107.250.19"</f>
        <v>10.107.250.19</v>
      </c>
      <c r="G7330" s="1" t="str">
        <f>"0331G242"</f>
        <v>0331G242</v>
      </c>
      <c r="H7330" s="1" t="str">
        <f>"동막간 82L2"</f>
        <v>동막간 82L2</v>
      </c>
      <c r="I7330" s="1" t="s">
        <v>8</v>
      </c>
      <c r="J7330" s="1" t="str">
        <f>"79/79"</f>
        <v>79/79</v>
      </c>
      <c r="K7330" s="1" t="str">
        <f>"2026-07-29 13:18:02"</f>
        <v>2026-07-29 13:18:02</v>
      </c>
      <c r="L7330" s="1" t="str">
        <f>"2020-01-10 11:49:04"</f>
        <v>2020-01-10 11:49:04</v>
      </c>
      <c r="M7330" s="1" t="s">
        <v>45</v>
      </c>
      <c r="N7330" s="1" t="s">
        <v>38</v>
      </c>
      <c r="O7330" s="1" t="s">
        <v>46</v>
      </c>
    </row>
    <row r="7331" spans="2:15" x14ac:dyDescent="0.3">
      <c r="B7331" s="1" t="s">
        <v>22</v>
      </c>
      <c r="C7331" s="1" t="str">
        <f>"5-2차"</f>
        <v>5-2차</v>
      </c>
      <c r="D7331" s="1" t="str">
        <f>"0331G2515S"</f>
        <v>0331G2515S</v>
      </c>
      <c r="E7331" s="1" t="s">
        <v>10</v>
      </c>
      <c r="F7331" s="1" t="str">
        <f>"fde3:102:1420:3200:0:0:0:b"</f>
        <v>fde3:102:1420:3200:0:0:0:b</v>
      </c>
      <c r="G7331" s="1" t="str">
        <f>"0331G251"</f>
        <v>0331G251</v>
      </c>
      <c r="H7331" s="1" t="str">
        <f>"동막간 82L1R1"</f>
        <v>동막간 82L1R1</v>
      </c>
      <c r="I7331" s="1" t="s">
        <v>15</v>
      </c>
      <c r="J7331" s="1" t="str">
        <f>"80/81"</f>
        <v>80/81</v>
      </c>
      <c r="K7331" s="1" t="str">
        <f>"2026-07-29 14:20:57"</f>
        <v>2026-07-29 14:20:57</v>
      </c>
      <c r="L7331" s="1" t="str">
        <f>"2023-06-19 13:55:24"</f>
        <v>2023-06-19 13:55:24</v>
      </c>
      <c r="M7331" s="1" t="s">
        <v>45</v>
      </c>
      <c r="N7331" s="1" t="s">
        <v>38</v>
      </c>
      <c r="O7331" s="1" t="s">
        <v>46</v>
      </c>
    </row>
    <row r="7332" spans="2:15" x14ac:dyDescent="0.3">
      <c r="B7332" s="1" t="s">
        <v>22</v>
      </c>
      <c r="C7332" s="1" t="str">
        <f>"4차"</f>
        <v>4차</v>
      </c>
      <c r="D7332" s="1" t="str">
        <f>"0331G26144"</f>
        <v>0331G26144</v>
      </c>
      <c r="E7332" s="1" t="s">
        <v>10</v>
      </c>
      <c r="F7332" s="1" t="str">
        <f>"10.107.249.234"</f>
        <v>10.107.249.234</v>
      </c>
      <c r="G7332" s="1" t="str">
        <f>"0331G261"</f>
        <v>0331G261</v>
      </c>
      <c r="H7332" s="1" t="str">
        <f>"동막간 83L4"</f>
        <v>동막간 83L4</v>
      </c>
      <c r="I7332" s="1" t="s">
        <v>8</v>
      </c>
      <c r="J7332" s="1" t="str">
        <f>"28/28"</f>
        <v>28/28</v>
      </c>
      <c r="K7332" s="1" t="str">
        <f>"2026-07-29 13:18:02"</f>
        <v>2026-07-29 13:18:02</v>
      </c>
      <c r="L7332" s="1" t="str">
        <f>"2020-01-10 11:47:28"</f>
        <v>2020-01-10 11:47:28</v>
      </c>
      <c r="M7332" s="1" t="s">
        <v>45</v>
      </c>
      <c r="N7332" s="1" t="s">
        <v>38</v>
      </c>
      <c r="O7332" s="1" t="s">
        <v>46</v>
      </c>
    </row>
    <row r="7333" spans="2:15" x14ac:dyDescent="0.3">
      <c r="B7333" s="1" t="s">
        <v>22</v>
      </c>
      <c r="C7333" s="1" t="str">
        <f>"5-2차"</f>
        <v>5-2차</v>
      </c>
      <c r="D7333" s="1" t="str">
        <f>"0331G2745M"</f>
        <v>0331G2745M</v>
      </c>
      <c r="E7333" s="1" t="s">
        <v>10</v>
      </c>
      <c r="F7333" s="1" t="str">
        <f>"fde3:102:1420:1100:0:0:0:15"</f>
        <v>fde3:102:1420:1100:0:0:0:15</v>
      </c>
      <c r="G7333" s="1" t="str">
        <f>"0331G274"</f>
        <v>0331G274</v>
      </c>
      <c r="H7333" s="1" t="str">
        <f>"동막간 66R7L11"</f>
        <v>동막간 66R7L11</v>
      </c>
      <c r="I7333" s="1" t="s">
        <v>15</v>
      </c>
      <c r="J7333" s="1" t="str">
        <f>"89/89"</f>
        <v>89/89</v>
      </c>
      <c r="K7333" s="1" t="str">
        <f>"2026-07-29 14:20:57"</f>
        <v>2026-07-29 14:20:57</v>
      </c>
      <c r="L7333" s="1" t="str">
        <f>"2023-06-19 18:22:53"</f>
        <v>2023-06-19 18:22:53</v>
      </c>
      <c r="M7333" s="1" t="s">
        <v>45</v>
      </c>
      <c r="N7333" s="1" t="s">
        <v>38</v>
      </c>
      <c r="O7333" s="1" t="s">
        <v>46</v>
      </c>
    </row>
    <row r="7334" spans="2:15" x14ac:dyDescent="0.3">
      <c r="B7334" s="1" t="s">
        <v>22</v>
      </c>
      <c r="C7334" s="1" t="str">
        <f>"5-2차"</f>
        <v>5-2차</v>
      </c>
      <c r="D7334" s="1" t="str">
        <f>"0331G2815M"</f>
        <v>0331G2815M</v>
      </c>
      <c r="E7334" s="1" t="s">
        <v>10</v>
      </c>
      <c r="F7334" s="1" t="str">
        <f>"fde3:102:1420:1100:0:0:0:16"</f>
        <v>fde3:102:1420:1100:0:0:0:16</v>
      </c>
      <c r="G7334" s="1" t="str">
        <f>"0331G281"</f>
        <v>0331G281</v>
      </c>
      <c r="H7334" s="1" t="str">
        <f>"동막간 66R7L4R2"</f>
        <v>동막간 66R7L4R2</v>
      </c>
      <c r="I7334" s="1" t="s">
        <v>15</v>
      </c>
      <c r="J7334" s="1" t="str">
        <f>"81/81"</f>
        <v>81/81</v>
      </c>
      <c r="K7334" s="1" t="str">
        <f>"2026-07-29 14:20:43"</f>
        <v>2026-07-29 14:20:43</v>
      </c>
      <c r="L7334" s="1" t="str">
        <f>"2023-06-19 18:07:05"</f>
        <v>2023-06-19 18:07:05</v>
      </c>
      <c r="M7334" s="1" t="s">
        <v>45</v>
      </c>
      <c r="N7334" s="1" t="s">
        <v>38</v>
      </c>
      <c r="O7334" s="1" t="s">
        <v>46</v>
      </c>
    </row>
    <row r="7335" spans="2:15" x14ac:dyDescent="0.3">
      <c r="B7335" s="1" t="s">
        <v>22</v>
      </c>
      <c r="C7335" s="1" t="str">
        <f>"5-2차"</f>
        <v>5-2차</v>
      </c>
      <c r="D7335" s="1" t="str">
        <f>"0331G3315S"</f>
        <v>0331G3315S</v>
      </c>
      <c r="E7335" s="1" t="s">
        <v>10</v>
      </c>
      <c r="F7335" s="1" t="str">
        <f>"fde3:102:1420:3200:0:0:0:9"</f>
        <v>fde3:102:1420:3200:0:0:0:9</v>
      </c>
      <c r="G7335" s="1" t="str">
        <f>"0331G331"</f>
        <v>0331G331</v>
      </c>
      <c r="H7335" s="1" t="str">
        <f>"동막간 80"</f>
        <v>동막간 80</v>
      </c>
      <c r="I7335" s="1" t="s">
        <v>15</v>
      </c>
      <c r="J7335" s="1" t="str">
        <f>"57/57"</f>
        <v>57/57</v>
      </c>
      <c r="K7335" s="1" t="str">
        <f>"2026-07-29 14:21:05"</f>
        <v>2026-07-29 14:21:05</v>
      </c>
      <c r="L7335" s="1" t="str">
        <f>"2023-06-19 13:57:07"</f>
        <v>2023-06-19 13:57:07</v>
      </c>
      <c r="M7335" s="1" t="s">
        <v>45</v>
      </c>
      <c r="N7335" s="1" t="s">
        <v>38</v>
      </c>
      <c r="O7335" s="1" t="s">
        <v>46</v>
      </c>
    </row>
    <row r="7336" spans="2:15" x14ac:dyDescent="0.3">
      <c r="B7336" s="1" t="s">
        <v>22</v>
      </c>
      <c r="C7336" s="1" t="str">
        <f>"4차"</f>
        <v>4차</v>
      </c>
      <c r="D7336" s="1" t="str">
        <f>"0331G34144"</f>
        <v>0331G34144</v>
      </c>
      <c r="E7336" s="1" t="s">
        <v>10</v>
      </c>
      <c r="F7336" s="1" t="str">
        <f>"10.107.250.21"</f>
        <v>10.107.250.21</v>
      </c>
      <c r="G7336" s="1" t="str">
        <f>"0331G341"</f>
        <v>0331G341</v>
      </c>
      <c r="H7336" s="1" t="str">
        <f>"동막간 82"</f>
        <v>동막간 82</v>
      </c>
      <c r="I7336" s="1" t="s">
        <v>8</v>
      </c>
      <c r="J7336" s="1" t="str">
        <f>"22/22"</f>
        <v>22/22</v>
      </c>
      <c r="K7336" s="1" t="str">
        <f>"2026-07-29 13:18:02"</f>
        <v>2026-07-29 13:18:02</v>
      </c>
      <c r="L7336" s="1" t="str">
        <f>"2020-01-10 11:46:59"</f>
        <v>2020-01-10 11:46:59</v>
      </c>
      <c r="M7336" s="1" t="s">
        <v>45</v>
      </c>
      <c r="N7336" s="1" t="s">
        <v>38</v>
      </c>
      <c r="O7336" s="1" t="s">
        <v>46</v>
      </c>
    </row>
    <row r="7337" spans="2:15" x14ac:dyDescent="0.3">
      <c r="B7337" s="1" t="s">
        <v>22</v>
      </c>
      <c r="C7337" s="1" t="str">
        <f>"4차"</f>
        <v>4차</v>
      </c>
      <c r="D7337" s="1" t="str">
        <f>"0331G34244"</f>
        <v>0331G34244</v>
      </c>
      <c r="E7337" s="1" t="s">
        <v>10</v>
      </c>
      <c r="F7337" s="1" t="str">
        <f>"10.107.250.22"</f>
        <v>10.107.250.22</v>
      </c>
      <c r="G7337" s="1" t="str">
        <f>"0331G342"</f>
        <v>0331G342</v>
      </c>
      <c r="H7337" s="1" t="str">
        <f>"동막간 81"</f>
        <v>동막간 81</v>
      </c>
      <c r="I7337" s="1" t="s">
        <v>8</v>
      </c>
      <c r="J7337" s="1" t="str">
        <f>"33/33"</f>
        <v>33/33</v>
      </c>
      <c r="K7337" s="1" t="str">
        <f>"2026-07-29 13:18:02"</f>
        <v>2026-07-29 13:18:02</v>
      </c>
      <c r="L7337" s="1" t="str">
        <f>"2020-01-10 11:44:38"</f>
        <v>2020-01-10 11:44:38</v>
      </c>
      <c r="M7337" s="1" t="s">
        <v>45</v>
      </c>
      <c r="N7337" s="1" t="s">
        <v>38</v>
      </c>
      <c r="O7337" s="1" t="s">
        <v>46</v>
      </c>
    </row>
    <row r="7338" spans="2:15" x14ac:dyDescent="0.3">
      <c r="B7338" s="1" t="s">
        <v>22</v>
      </c>
      <c r="C7338" s="1" t="str">
        <f>"5-2차"</f>
        <v>5-2차</v>
      </c>
      <c r="D7338" s="1" t="str">
        <f>"0331G3625S"</f>
        <v>0331G3625S</v>
      </c>
      <c r="E7338" s="1" t="s">
        <v>10</v>
      </c>
      <c r="F7338" s="1" t="str">
        <f>"fde3:102:1420:1100:0:0:0:11"</f>
        <v>fde3:102:1420:1100:0:0:0:11</v>
      </c>
      <c r="G7338" s="1" t="str">
        <f>"0331G362"</f>
        <v>0331G362</v>
      </c>
      <c r="H7338" s="1" t="str">
        <f>"동막간 83L3"</f>
        <v>동막간 83L3</v>
      </c>
      <c r="I7338" s="1" t="s">
        <v>15</v>
      </c>
      <c r="J7338" s="1" t="str">
        <f>"46/46"</f>
        <v>46/46</v>
      </c>
      <c r="K7338" s="1" t="str">
        <f>"2026-07-29 14:20:46"</f>
        <v>2026-07-29 14:20:46</v>
      </c>
      <c r="L7338" s="1" t="str">
        <f>"2023-06-16 17:12:07"</f>
        <v>2023-06-16 17:12:07</v>
      </c>
      <c r="M7338" s="1" t="s">
        <v>45</v>
      </c>
      <c r="N7338" s="1" t="s">
        <v>38</v>
      </c>
      <c r="O7338" s="1" t="s">
        <v>46</v>
      </c>
    </row>
    <row r="7339" spans="2:15" x14ac:dyDescent="0.3">
      <c r="B7339" s="1" t="s">
        <v>22</v>
      </c>
      <c r="C7339" s="1" t="str">
        <f>"4차"</f>
        <v>4차</v>
      </c>
      <c r="D7339" s="1" t="str">
        <f>"0331G39244"</f>
        <v>0331G39244</v>
      </c>
      <c r="E7339" s="1" t="s">
        <v>10</v>
      </c>
      <c r="F7339" s="1" t="str">
        <f>"10.107.249.235"</f>
        <v>10.107.249.235</v>
      </c>
      <c r="G7339" s="1" t="str">
        <f>"0331G392"</f>
        <v>0331G392</v>
      </c>
      <c r="H7339" s="1" t="str">
        <f>"동막간 66R7L4R1"</f>
        <v>동막간 66R7L4R1</v>
      </c>
      <c r="I7339" s="1" t="s">
        <v>8</v>
      </c>
      <c r="J7339" s="1" t="str">
        <f>"57/57"</f>
        <v>57/57</v>
      </c>
      <c r="K7339" s="1" t="str">
        <f>"2026-07-29 13:18:02"</f>
        <v>2026-07-29 13:18:02</v>
      </c>
      <c r="L7339" s="1" t="str">
        <f>"2020-01-10 11:46:09"</f>
        <v>2020-01-10 11:46:09</v>
      </c>
      <c r="M7339" s="1" t="s">
        <v>45</v>
      </c>
      <c r="N7339" s="1" t="s">
        <v>38</v>
      </c>
      <c r="O7339" s="1" t="s">
        <v>46</v>
      </c>
    </row>
    <row r="7340" spans="2:15" x14ac:dyDescent="0.3">
      <c r="B7340" s="1" t="s">
        <v>22</v>
      </c>
      <c r="C7340" s="1" t="str">
        <f>"5-2차"</f>
        <v>5-2차</v>
      </c>
      <c r="D7340" s="1" t="str">
        <f>"0331G4015M"</f>
        <v>0331G4015M</v>
      </c>
      <c r="E7340" s="1" t="s">
        <v>10</v>
      </c>
      <c r="F7340" s="1" t="str">
        <f>"fde1:103:4:9121:0:0:0:2"</f>
        <v>fde1:103:4:9121:0:0:0:2</v>
      </c>
      <c r="G7340" s="1" t="str">
        <f>"0331G401"</f>
        <v>0331G401</v>
      </c>
      <c r="H7340" s="1" t="str">
        <f>"불암간 31"</f>
        <v>불암간 31</v>
      </c>
      <c r="I7340" s="1" t="s">
        <v>15</v>
      </c>
      <c r="J7340" s="1" t="str">
        <f>"79/79"</f>
        <v>79/79</v>
      </c>
      <c r="K7340" s="1" t="str">
        <f>"2026-07-29 14:20:21"</f>
        <v>2026-07-29 14:20:21</v>
      </c>
      <c r="L7340" s="1" t="str">
        <f>"2023-12-20 14:50:47"</f>
        <v>2023-12-20 14:50:47</v>
      </c>
      <c r="M7340" s="1" t="s">
        <v>4</v>
      </c>
      <c r="N7340" s="1" t="s">
        <v>38</v>
      </c>
      <c r="O7340" s="1" t="s">
        <v>46</v>
      </c>
    </row>
    <row r="7341" spans="2:15" x14ac:dyDescent="0.3">
      <c r="B7341" s="1" t="s">
        <v>22</v>
      </c>
      <c r="C7341" s="1" t="str">
        <f>"5-2차"</f>
        <v>5-2차</v>
      </c>
      <c r="D7341" s="1" t="str">
        <f>"0331G4185M"</f>
        <v>0331G4185M</v>
      </c>
      <c r="E7341" s="1" t="s">
        <v>10</v>
      </c>
      <c r="F7341" s="1" t="str">
        <f>"fde1:103:4:9149:0:0:0:2"</f>
        <v>fde1:103:4:9149:0:0:0:2</v>
      </c>
      <c r="G7341" s="1" t="str">
        <f>"0331G418"</f>
        <v>0331G418</v>
      </c>
      <c r="H7341" s="1" t="str">
        <f>"동막간 75H1"</f>
        <v>동막간 75H1</v>
      </c>
      <c r="I7341" s="1" t="s">
        <v>15</v>
      </c>
      <c r="J7341" s="1" t="str">
        <f>"33/33"</f>
        <v>33/33</v>
      </c>
      <c r="K7341" s="1" t="str">
        <f>"2026-07-29 14:20:45"</f>
        <v>2026-07-29 14:20:45</v>
      </c>
      <c r="L7341" s="1" t="str">
        <f>"2024-01-18 13:38:46"</f>
        <v>2024-01-18 13:38:46</v>
      </c>
      <c r="M7341" s="1" t="s">
        <v>4</v>
      </c>
      <c r="N7341" s="1" t="s">
        <v>38</v>
      </c>
      <c r="O7341" s="1" t="s">
        <v>46</v>
      </c>
    </row>
    <row r="7342" spans="2:15" x14ac:dyDescent="0.3">
      <c r="B7342" s="1" t="s">
        <v>22</v>
      </c>
      <c r="C7342" s="1" t="str">
        <f>"4차"</f>
        <v>4차</v>
      </c>
      <c r="D7342" s="1" t="str">
        <f>"0331G43144"</f>
        <v>0331G43144</v>
      </c>
      <c r="E7342" s="1" t="s">
        <v>10</v>
      </c>
      <c r="F7342" s="1" t="str">
        <f>"10.107.250.20"</f>
        <v>10.107.250.20</v>
      </c>
      <c r="G7342" s="1" t="str">
        <f>"0331G431"</f>
        <v>0331G431</v>
      </c>
      <c r="H7342" s="1" t="str">
        <f>"동막간 81R1"</f>
        <v>동막간 81R1</v>
      </c>
      <c r="I7342" s="1" t="s">
        <v>8</v>
      </c>
      <c r="J7342" s="1" t="str">
        <f>"61/62"</f>
        <v>61/62</v>
      </c>
      <c r="K7342" s="1" t="str">
        <f>"2026-07-29 13:18:02"</f>
        <v>2026-07-29 13:18:02</v>
      </c>
      <c r="L7342" s="1" t="str">
        <f>"2020-01-10 11:46:22"</f>
        <v>2020-01-10 11:46:22</v>
      </c>
      <c r="M7342" s="1" t="s">
        <v>45</v>
      </c>
      <c r="N7342" s="1" t="s">
        <v>38</v>
      </c>
      <c r="O7342" s="1" t="s">
        <v>46</v>
      </c>
    </row>
    <row r="7343" spans="2:15" x14ac:dyDescent="0.3">
      <c r="B7343" s="1" t="s">
        <v>22</v>
      </c>
      <c r="C7343" s="1" t="str">
        <f>"6차"</f>
        <v>6차</v>
      </c>
      <c r="D7343" s="1" t="str">
        <f>"0331G4535S"</f>
        <v>0331G4535S</v>
      </c>
      <c r="E7343" s="1" t="s">
        <v>10</v>
      </c>
      <c r="F7343" s="1" t="str">
        <f>"fde3:102:1420:1100:0:0:0:10"</f>
        <v>fde3:102:1420:1100:0:0:0:10</v>
      </c>
      <c r="G7343" s="1" t="str">
        <f>"0331G453"</f>
        <v>0331G453</v>
      </c>
      <c r="H7343" s="1" t="str">
        <f>"동막간 83L1"</f>
        <v>동막간 83L1</v>
      </c>
      <c r="I7343" s="1" t="s">
        <v>15</v>
      </c>
      <c r="J7343" s="1" t="str">
        <f>"18/18"</f>
        <v>18/18</v>
      </c>
      <c r="K7343" s="1" t="str">
        <f>"2026-07-28 14:21:28"</f>
        <v>2026-07-28 14:21:28</v>
      </c>
      <c r="L7343" s="1" t="str">
        <f>"2024-01-17 11:34:30"</f>
        <v>2024-01-17 11:34:30</v>
      </c>
      <c r="M7343" s="1" t="s">
        <v>45</v>
      </c>
      <c r="N7343" s="1" t="s">
        <v>38</v>
      </c>
      <c r="O7343" s="1" t="s">
        <v>46</v>
      </c>
    </row>
    <row r="7344" spans="2:15" x14ac:dyDescent="0.3">
      <c r="B7344" s="1" t="s">
        <v>22</v>
      </c>
      <c r="C7344" s="1" t="str">
        <f>"4차"</f>
        <v>4차</v>
      </c>
      <c r="D7344" s="1" t="str">
        <f>"0331G46244"</f>
        <v>0331G46244</v>
      </c>
      <c r="E7344" s="1" t="s">
        <v>10</v>
      </c>
      <c r="F7344" s="1" t="str">
        <f>"10.107.249.236"</f>
        <v>10.107.249.236</v>
      </c>
      <c r="G7344" s="1" t="str">
        <f>"0331G462"</f>
        <v>0331G462</v>
      </c>
      <c r="H7344" s="1" t="str">
        <f>"동막간 70R5"</f>
        <v>동막간 70R5</v>
      </c>
      <c r="I7344" s="1" t="s">
        <v>8</v>
      </c>
      <c r="J7344" s="1" t="str">
        <f>"40/40"</f>
        <v>40/40</v>
      </c>
      <c r="K7344" s="1" t="str">
        <f>"2026-07-29 13:18:02"</f>
        <v>2026-07-29 13:18:02</v>
      </c>
      <c r="L7344" s="1" t="str">
        <f>"2020-01-10 11:45:38"</f>
        <v>2020-01-10 11:45:38</v>
      </c>
      <c r="M7344" s="1" t="s">
        <v>45</v>
      </c>
      <c r="N7344" s="1" t="s">
        <v>38</v>
      </c>
      <c r="O7344" s="1" t="s">
        <v>46</v>
      </c>
    </row>
    <row r="7345" spans="2:15" x14ac:dyDescent="0.3">
      <c r="B7345" s="1" t="s">
        <v>22</v>
      </c>
      <c r="C7345" s="1" t="str">
        <f>"4차"</f>
        <v>4차</v>
      </c>
      <c r="D7345" s="1" t="str">
        <f>"0331G48144"</f>
        <v>0331G48144</v>
      </c>
      <c r="E7345" s="1" t="s">
        <v>10</v>
      </c>
      <c r="F7345" s="1" t="str">
        <f>"10.107.249.237"</f>
        <v>10.107.249.237</v>
      </c>
      <c r="G7345" s="1" t="str">
        <f>"0331G481"</f>
        <v>0331G481</v>
      </c>
      <c r="H7345" s="1" t="str">
        <f>"동막간 66R7L6"</f>
        <v>동막간 66R7L6</v>
      </c>
      <c r="I7345" s="1" t="s">
        <v>8</v>
      </c>
      <c r="J7345" s="1" t="str">
        <f>"38/38"</f>
        <v>38/38</v>
      </c>
      <c r="K7345" s="1" t="str">
        <f>"2026-07-29 13:18:02"</f>
        <v>2026-07-29 13:18:02</v>
      </c>
      <c r="L7345" s="1" t="str">
        <f>"2020-01-10 11:45:27"</f>
        <v>2020-01-10 11:45:27</v>
      </c>
      <c r="M7345" s="1" t="s">
        <v>45</v>
      </c>
      <c r="N7345" s="1" t="s">
        <v>38</v>
      </c>
      <c r="O7345" s="1" t="s">
        <v>46</v>
      </c>
    </row>
    <row r="7346" spans="2:15" x14ac:dyDescent="0.3">
      <c r="B7346" s="1" t="s">
        <v>22</v>
      </c>
      <c r="C7346" s="1" t="str">
        <f>"5-2차"</f>
        <v>5-2차</v>
      </c>
      <c r="D7346" s="1" t="str">
        <f>"0331G4835S"</f>
        <v>0331G4835S</v>
      </c>
      <c r="E7346" s="1" t="s">
        <v>10</v>
      </c>
      <c r="F7346" s="1" t="str">
        <f>"fde3:102:1420:1100:0:0:0:14"</f>
        <v>fde3:102:1420:1100:0:0:0:14</v>
      </c>
      <c r="G7346" s="1" t="str">
        <f>"0331G483"</f>
        <v>0331G483</v>
      </c>
      <c r="H7346" s="1" t="str">
        <f>"동막간 66R7L8"</f>
        <v>동막간 66R7L8</v>
      </c>
      <c r="I7346" s="1" t="s">
        <v>15</v>
      </c>
      <c r="J7346" s="1" t="str">
        <f>"59/59"</f>
        <v>59/59</v>
      </c>
      <c r="K7346" s="1" t="str">
        <f>"2026-07-29 14:20:44"</f>
        <v>2026-07-29 14:20:44</v>
      </c>
      <c r="L7346" s="1" t="str">
        <f>"2023-06-16 16:09:23"</f>
        <v>2023-06-16 16:09:23</v>
      </c>
      <c r="M7346" s="1" t="s">
        <v>45</v>
      </c>
      <c r="N7346" s="1" t="s">
        <v>38</v>
      </c>
      <c r="O7346" s="1" t="s">
        <v>46</v>
      </c>
    </row>
    <row r="7347" spans="2:15" x14ac:dyDescent="0.3">
      <c r="B7347" s="1" t="s">
        <v>22</v>
      </c>
      <c r="C7347" s="1" t="str">
        <f>"5-2차"</f>
        <v>5-2차</v>
      </c>
      <c r="D7347" s="1" t="str">
        <f>"0331G5315M"</f>
        <v>0331G5315M</v>
      </c>
      <c r="E7347" s="1" t="s">
        <v>10</v>
      </c>
      <c r="F7347" s="1" t="str">
        <f>"fde3:102:1420:3200:0:0:0:a"</f>
        <v>fde3:102:1420:3200:0:0:0:a</v>
      </c>
      <c r="G7347" s="1" t="str">
        <f>"0331G531"</f>
        <v>0331G531</v>
      </c>
      <c r="H7347" s="1" t="str">
        <f>"동막간 81R2"</f>
        <v>동막간 81R2</v>
      </c>
      <c r="I7347" s="1" t="s">
        <v>15</v>
      </c>
      <c r="J7347" s="1" t="str">
        <f>"87/87"</f>
        <v>87/87</v>
      </c>
      <c r="K7347" s="1" t="str">
        <f>"2026-07-29 14:20:21"</f>
        <v>2026-07-29 14:20:21</v>
      </c>
      <c r="L7347" s="1" t="str">
        <f>"2023-06-26 18:04:27"</f>
        <v>2023-06-26 18:04:27</v>
      </c>
      <c r="M7347" s="1" t="s">
        <v>45</v>
      </c>
      <c r="N7347" s="1" t="s">
        <v>38</v>
      </c>
      <c r="O7347" s="1" t="s">
        <v>46</v>
      </c>
    </row>
    <row r="7348" spans="2:15" x14ac:dyDescent="0.3">
      <c r="B7348" s="1" t="s">
        <v>22</v>
      </c>
      <c r="C7348" s="1" t="str">
        <f>"4차"</f>
        <v>4차</v>
      </c>
      <c r="D7348" s="1" t="str">
        <f>"0331G55144"</f>
        <v>0331G55144</v>
      </c>
      <c r="E7348" s="1" t="s">
        <v>10</v>
      </c>
      <c r="F7348" s="1" t="str">
        <f>"10.107.249.238"</f>
        <v>10.107.249.238</v>
      </c>
      <c r="G7348" s="1" t="str">
        <f>"0331G551"</f>
        <v>0331G551</v>
      </c>
      <c r="H7348" s="1" t="str">
        <f>"동막간 70R2"</f>
        <v>동막간 70R2</v>
      </c>
      <c r="I7348" s="1" t="s">
        <v>8</v>
      </c>
      <c r="J7348" s="1" t="str">
        <f>"36/36"</f>
        <v>36/36</v>
      </c>
      <c r="K7348" s="1" t="str">
        <f>"2026-07-29 13:18:02"</f>
        <v>2026-07-29 13:18:02</v>
      </c>
      <c r="L7348" s="1" t="str">
        <f>"2020-01-10 11:44:03"</f>
        <v>2020-01-10 11:44:03</v>
      </c>
      <c r="M7348" s="1" t="s">
        <v>45</v>
      </c>
      <c r="N7348" s="1" t="s">
        <v>38</v>
      </c>
      <c r="O7348" s="1" t="s">
        <v>46</v>
      </c>
    </row>
    <row r="7349" spans="2:15" x14ac:dyDescent="0.3">
      <c r="B7349" s="1" t="s">
        <v>22</v>
      </c>
      <c r="C7349" s="1" t="str">
        <f>"5-2차"</f>
        <v>5-2차</v>
      </c>
      <c r="D7349" s="1" t="str">
        <f>"0331G5535M"</f>
        <v>0331G5535M</v>
      </c>
      <c r="E7349" s="1" t="s">
        <v>10</v>
      </c>
      <c r="F7349" s="1" t="str">
        <f>"fde3:102:1420:1100:0:0:0:f"</f>
        <v>fde3:102:1420:1100:0:0:0:f</v>
      </c>
      <c r="G7349" s="1" t="str">
        <f>"0331G553"</f>
        <v>0331G553</v>
      </c>
      <c r="H7349" s="1" t="str">
        <f>"동막간 70R3"</f>
        <v>동막간 70R3</v>
      </c>
      <c r="I7349" s="1" t="s">
        <v>15</v>
      </c>
      <c r="J7349" s="1" t="str">
        <f>"40/40"</f>
        <v>40/40</v>
      </c>
      <c r="K7349" s="1" t="str">
        <f>"2026-07-29 14:20:21"</f>
        <v>2026-07-29 14:20:21</v>
      </c>
      <c r="L7349" s="1" t="str">
        <f>"2023-06-19 18:37:03"</f>
        <v>2023-06-19 18:37:03</v>
      </c>
      <c r="M7349" s="1" t="s">
        <v>45</v>
      </c>
      <c r="N7349" s="1" t="s">
        <v>38</v>
      </c>
      <c r="O7349" s="1" t="s">
        <v>46</v>
      </c>
    </row>
    <row r="7350" spans="2:15" x14ac:dyDescent="0.3">
      <c r="B7350" s="1" t="s">
        <v>22</v>
      </c>
      <c r="C7350" s="1" t="str">
        <f>"4차"</f>
        <v>4차</v>
      </c>
      <c r="D7350" s="1" t="str">
        <f>"0331G56144"</f>
        <v>0331G56144</v>
      </c>
      <c r="E7350" s="1" t="s">
        <v>10</v>
      </c>
      <c r="F7350" s="1" t="str">
        <f>"10.107.249.239"</f>
        <v>10.107.249.239</v>
      </c>
      <c r="G7350" s="1" t="str">
        <f>"0331G561"</f>
        <v>0331G561</v>
      </c>
      <c r="H7350" s="1" t="str">
        <f>"동막간 70R4"</f>
        <v>동막간 70R4</v>
      </c>
      <c r="I7350" s="1" t="s">
        <v>8</v>
      </c>
      <c r="J7350" s="1" t="str">
        <f>"18/22"</f>
        <v>18/22</v>
      </c>
      <c r="K7350" s="1" t="str">
        <f>"2026-07-29 13:18:02"</f>
        <v>2026-07-29 13:18:02</v>
      </c>
      <c r="L7350" s="1" t="str">
        <f>"2020-01-10 11:46:38"</f>
        <v>2020-01-10 11:46:38</v>
      </c>
      <c r="M7350" s="1" t="s">
        <v>45</v>
      </c>
      <c r="N7350" s="1" t="s">
        <v>38</v>
      </c>
      <c r="O7350" s="1" t="s">
        <v>46</v>
      </c>
    </row>
    <row r="7351" spans="2:15" x14ac:dyDescent="0.3">
      <c r="B7351" s="1" t="s">
        <v>22</v>
      </c>
      <c r="C7351" s="1" t="str">
        <f>"4차"</f>
        <v>4차</v>
      </c>
      <c r="D7351" s="1" t="str">
        <f>"0331G56344"</f>
        <v>0331G56344</v>
      </c>
      <c r="E7351" s="1" t="s">
        <v>10</v>
      </c>
      <c r="F7351" s="1" t="str">
        <f>"10.107.249.240"</f>
        <v>10.107.249.240</v>
      </c>
      <c r="G7351" s="1" t="str">
        <f>"0331G563"</f>
        <v>0331G563</v>
      </c>
      <c r="H7351" s="1" t="str">
        <f>"동막간 70R4R1"</f>
        <v>동막간 70R4R1</v>
      </c>
      <c r="I7351" s="1" t="s">
        <v>8</v>
      </c>
      <c r="J7351" s="1" t="str">
        <f>"30/30"</f>
        <v>30/30</v>
      </c>
      <c r="K7351" s="1" t="str">
        <f>"2026-07-29 13:18:02"</f>
        <v>2026-07-29 13:18:02</v>
      </c>
      <c r="L7351" s="1" t="str">
        <f>"2020-01-10 11:49:14"</f>
        <v>2020-01-10 11:49:14</v>
      </c>
      <c r="M7351" s="1" t="s">
        <v>45</v>
      </c>
      <c r="N7351" s="1" t="s">
        <v>38</v>
      </c>
      <c r="O7351" s="1" t="s">
        <v>46</v>
      </c>
    </row>
    <row r="7352" spans="2:15" x14ac:dyDescent="0.3">
      <c r="B7352" s="1" t="s">
        <v>22</v>
      </c>
      <c r="C7352" s="1" t="str">
        <f>"4차"</f>
        <v>4차</v>
      </c>
      <c r="D7352" s="1" t="str">
        <f>"0331G56444"</f>
        <v>0331G56444</v>
      </c>
      <c r="E7352" s="1" t="s">
        <v>10</v>
      </c>
      <c r="F7352" s="1" t="str">
        <f>"10.107.249.241"</f>
        <v>10.107.249.241</v>
      </c>
      <c r="G7352" s="1" t="str">
        <f>"0331G564"</f>
        <v>0331G564</v>
      </c>
      <c r="H7352" s="1" t="str">
        <f>"동막간 70R4R2"</f>
        <v>동막간 70R4R2</v>
      </c>
      <c r="I7352" s="1" t="s">
        <v>8</v>
      </c>
      <c r="J7352" s="1" t="str">
        <f>"40/40"</f>
        <v>40/40</v>
      </c>
      <c r="K7352" s="1" t="str">
        <f>"2026-07-29 13:18:02"</f>
        <v>2026-07-29 13:18:02</v>
      </c>
      <c r="L7352" s="1" t="str">
        <f>"2020-01-10 11:46:53"</f>
        <v>2020-01-10 11:46:53</v>
      </c>
      <c r="M7352" s="1" t="s">
        <v>45</v>
      </c>
      <c r="N7352" s="1" t="s">
        <v>38</v>
      </c>
      <c r="O7352" s="1" t="s">
        <v>46</v>
      </c>
    </row>
    <row r="7353" spans="2:15" x14ac:dyDescent="0.3">
      <c r="B7353" s="1" t="s">
        <v>22</v>
      </c>
      <c r="C7353" s="1" t="str">
        <f>"5-2차"</f>
        <v>5-2차</v>
      </c>
      <c r="D7353" s="1" t="str">
        <f>"0331G5725M"</f>
        <v>0331G5725M</v>
      </c>
      <c r="E7353" s="1" t="s">
        <v>10</v>
      </c>
      <c r="F7353" s="1" t="str">
        <f>"fde3:102:1420:1100:0:0:0:13"</f>
        <v>fde3:102:1420:1100:0:0:0:13</v>
      </c>
      <c r="G7353" s="1" t="str">
        <f>"0331G572"</f>
        <v>0331G572</v>
      </c>
      <c r="H7353" s="1" t="str">
        <f>"동막간 66R7L7L1"</f>
        <v>동막간 66R7L7L1</v>
      </c>
      <c r="I7353" s="1" t="s">
        <v>15</v>
      </c>
      <c r="J7353" s="1" t="str">
        <f>"43/43"</f>
        <v>43/43</v>
      </c>
      <c r="K7353" s="1" t="str">
        <f>"2026-07-29 14:20:57"</f>
        <v>2026-07-29 14:20:57</v>
      </c>
      <c r="L7353" s="1" t="str">
        <f>"2023-06-19 18:34:54"</f>
        <v>2023-06-19 18:34:54</v>
      </c>
      <c r="M7353" s="1" t="s">
        <v>45</v>
      </c>
      <c r="N7353" s="1" t="s">
        <v>38</v>
      </c>
      <c r="O7353" s="1" t="s">
        <v>46</v>
      </c>
    </row>
    <row r="7354" spans="2:15" x14ac:dyDescent="0.3">
      <c r="B7354" s="1" t="s">
        <v>22</v>
      </c>
      <c r="C7354" s="1" t="str">
        <f>"5-2차"</f>
        <v>5-2차</v>
      </c>
      <c r="D7354" s="1" t="str">
        <f>"0331G6315M"</f>
        <v>0331G6315M</v>
      </c>
      <c r="E7354" s="1" t="s">
        <v>10</v>
      </c>
      <c r="F7354" s="1" t="str">
        <f>"fde3:102:1420:1100:0:0:0:e"</f>
        <v>fde3:102:1420:1100:0:0:0:e</v>
      </c>
      <c r="G7354" s="1" t="str">
        <f>"0331G631"</f>
        <v>0331G631</v>
      </c>
      <c r="H7354" s="1" t="str">
        <f>"동막간 71"</f>
        <v>동막간 71</v>
      </c>
      <c r="I7354" s="1" t="s">
        <v>15</v>
      </c>
      <c r="J7354" s="1" t="str">
        <f>"41/41"</f>
        <v>41/41</v>
      </c>
      <c r="K7354" s="1" t="str">
        <f>"2026-07-29 14:20:44"</f>
        <v>2026-07-29 14:20:44</v>
      </c>
      <c r="L7354" s="1" t="str">
        <f>"2023-06-19 18:33:56"</f>
        <v>2023-06-19 18:33:56</v>
      </c>
      <c r="M7354" s="1" t="s">
        <v>45</v>
      </c>
      <c r="N7354" s="1" t="s">
        <v>38</v>
      </c>
      <c r="O7354" s="1" t="s">
        <v>46</v>
      </c>
    </row>
    <row r="7355" spans="2:15" x14ac:dyDescent="0.3">
      <c r="B7355" s="1" t="s">
        <v>22</v>
      </c>
      <c r="C7355" s="1" t="str">
        <f>"5-2차"</f>
        <v>5-2차</v>
      </c>
      <c r="D7355" s="1" t="str">
        <f>"0331G6415M"</f>
        <v>0331G6415M</v>
      </c>
      <c r="E7355" s="1" t="s">
        <v>10</v>
      </c>
      <c r="F7355" s="1" t="str">
        <f>"fde3:102:1420:1100:0:0:0:d"</f>
        <v>fde3:102:1420:1100:0:0:0:d</v>
      </c>
      <c r="G7355" s="1" t="str">
        <f>"0331G641"</f>
        <v>0331G641</v>
      </c>
      <c r="H7355" s="1" t="str">
        <f>"동막간 70"</f>
        <v>동막간 70</v>
      </c>
      <c r="I7355" s="1" t="s">
        <v>15</v>
      </c>
      <c r="J7355" s="1" t="str">
        <f>"47/47"</f>
        <v>47/47</v>
      </c>
      <c r="K7355" s="1" t="str">
        <f>"2026-07-29 14:20:44"</f>
        <v>2026-07-29 14:20:44</v>
      </c>
      <c r="L7355" s="1" t="str">
        <f>"2023-10-16 17:07:11"</f>
        <v>2023-10-16 17:07:11</v>
      </c>
      <c r="M7355" s="1" t="s">
        <v>45</v>
      </c>
      <c r="N7355" s="1" t="s">
        <v>38</v>
      </c>
      <c r="O7355" s="1" t="s">
        <v>46</v>
      </c>
    </row>
    <row r="7356" spans="2:15" x14ac:dyDescent="0.3">
      <c r="B7356" s="1" t="s">
        <v>22</v>
      </c>
      <c r="C7356" s="1" t="str">
        <f>"4차"</f>
        <v>4차</v>
      </c>
      <c r="D7356" s="1" t="str">
        <f>"0331G66144"</f>
        <v>0331G66144</v>
      </c>
      <c r="E7356" s="1" t="s">
        <v>10</v>
      </c>
      <c r="F7356" s="1" t="str">
        <f>"10.107.249.242"</f>
        <v>10.107.249.242</v>
      </c>
      <c r="G7356" s="1" t="str">
        <f>"0331G661"</f>
        <v>0331G661</v>
      </c>
      <c r="H7356" s="1" t="str">
        <f>"동막간 68R2"</f>
        <v>동막간 68R2</v>
      </c>
      <c r="I7356" s="1" t="s">
        <v>8</v>
      </c>
      <c r="J7356" s="1" t="str">
        <f>"28/28"</f>
        <v>28/28</v>
      </c>
      <c r="K7356" s="1" t="str">
        <f>"2026-07-29 13:18:02"</f>
        <v>2026-07-29 13:18:02</v>
      </c>
      <c r="L7356" s="1" t="str">
        <f>"2020-01-10 11:48:15"</f>
        <v>2020-01-10 11:48:15</v>
      </c>
      <c r="M7356" s="1" t="s">
        <v>45</v>
      </c>
      <c r="N7356" s="1" t="s">
        <v>38</v>
      </c>
      <c r="O7356" s="1" t="s">
        <v>46</v>
      </c>
    </row>
    <row r="7357" spans="2:15" x14ac:dyDescent="0.3">
      <c r="B7357" s="1" t="s">
        <v>22</v>
      </c>
      <c r="C7357" s="1" t="str">
        <f>"5-2차"</f>
        <v>5-2차</v>
      </c>
      <c r="D7357" s="1" t="str">
        <f>"0331G6835M"</f>
        <v>0331G6835M</v>
      </c>
      <c r="E7357" s="1" t="s">
        <v>10</v>
      </c>
      <c r="F7357" s="1" t="str">
        <f>"fde1:103:4:9110:0:0:0:2"</f>
        <v>fde1:103:4:9110:0:0:0:2</v>
      </c>
      <c r="G7357" s="1" t="str">
        <f>"0331G683"</f>
        <v>0331G683</v>
      </c>
      <c r="H7357" s="1" t="str">
        <f>"동막간 66R3L1"</f>
        <v>동막간 66R3L1</v>
      </c>
      <c r="I7357" s="1" t="s">
        <v>15</v>
      </c>
      <c r="J7357" s="1" t="str">
        <f>"40/45"</f>
        <v>40/45</v>
      </c>
      <c r="K7357" s="1" t="str">
        <f>"2026-07-29 14:20:28"</f>
        <v>2026-07-29 14:20:28</v>
      </c>
      <c r="L7357" s="1" t="str">
        <f>"2023-12-20 14:57:48"</f>
        <v>2023-12-20 14:57:48</v>
      </c>
      <c r="M7357" s="1" t="s">
        <v>4</v>
      </c>
      <c r="N7357" s="1" t="s">
        <v>38</v>
      </c>
      <c r="O7357" s="1" t="s">
        <v>46</v>
      </c>
    </row>
    <row r="7358" spans="2:15" x14ac:dyDescent="0.3">
      <c r="B7358" s="1" t="s">
        <v>22</v>
      </c>
      <c r="C7358" s="1" t="str">
        <f>"4차"</f>
        <v>4차</v>
      </c>
      <c r="D7358" s="1" t="str">
        <f>"0331G75444"</f>
        <v>0331G75444</v>
      </c>
      <c r="E7358" s="1" t="s">
        <v>10</v>
      </c>
      <c r="F7358" s="1" t="str">
        <f>"10.107.249.243"</f>
        <v>10.107.249.243</v>
      </c>
      <c r="G7358" s="1" t="str">
        <f>"0331G754"</f>
        <v>0331G754</v>
      </c>
      <c r="H7358" s="1" t="str">
        <f>"동막간 68"</f>
        <v>동막간 68</v>
      </c>
      <c r="I7358" s="1" t="s">
        <v>8</v>
      </c>
      <c r="J7358" s="1" t="str">
        <f>"36/36"</f>
        <v>36/36</v>
      </c>
      <c r="K7358" s="1" t="str">
        <f>"2026-07-29 13:18:03"</f>
        <v>2026-07-29 13:18:03</v>
      </c>
      <c r="L7358" s="1" t="str">
        <f>"2020-01-10 11:47:49"</f>
        <v>2020-01-10 11:47:49</v>
      </c>
      <c r="M7358" s="1" t="s">
        <v>45</v>
      </c>
      <c r="N7358" s="1" t="s">
        <v>38</v>
      </c>
      <c r="O7358" s="1" t="s">
        <v>46</v>
      </c>
    </row>
    <row r="7359" spans="2:15" x14ac:dyDescent="0.3">
      <c r="B7359" s="1" t="s">
        <v>22</v>
      </c>
      <c r="C7359" s="1" t="str">
        <f>"4차"</f>
        <v>4차</v>
      </c>
      <c r="D7359" s="1" t="str">
        <f>"0331G77244"</f>
        <v>0331G77244</v>
      </c>
      <c r="E7359" s="1" t="s">
        <v>10</v>
      </c>
      <c r="F7359" s="1" t="str">
        <f>"10.107.250.110"</f>
        <v>10.107.250.110</v>
      </c>
      <c r="G7359" s="1" t="str">
        <f>"0331G772"</f>
        <v>0331G772</v>
      </c>
      <c r="H7359" s="1" t="str">
        <f>"동막간 66R2"</f>
        <v>동막간 66R2</v>
      </c>
      <c r="I7359" s="1" t="s">
        <v>8</v>
      </c>
      <c r="J7359" s="1" t="str">
        <f>"17/17"</f>
        <v>17/17</v>
      </c>
      <c r="K7359" s="1" t="str">
        <f>"2026-07-29 13:18:03"</f>
        <v>2026-07-29 13:18:03</v>
      </c>
      <c r="L7359" s="1" t="str">
        <f>"2020-01-10 11:48:54"</f>
        <v>2020-01-10 11:48:54</v>
      </c>
      <c r="M7359" s="1" t="s">
        <v>45</v>
      </c>
      <c r="N7359" s="1" t="s">
        <v>38</v>
      </c>
      <c r="O7359" s="1" t="s">
        <v>46</v>
      </c>
    </row>
    <row r="7360" spans="2:15" x14ac:dyDescent="0.3">
      <c r="B7360" s="1" t="s">
        <v>22</v>
      </c>
      <c r="C7360" s="1" t="str">
        <f>"4차"</f>
        <v>4차</v>
      </c>
      <c r="D7360" s="1" t="str">
        <f>"0331G78144"</f>
        <v>0331G78144</v>
      </c>
      <c r="E7360" s="1" t="s">
        <v>10</v>
      </c>
      <c r="F7360" s="1" t="str">
        <f>"10.107.250.111"</f>
        <v>10.107.250.111</v>
      </c>
      <c r="G7360" s="1" t="str">
        <f>"0331G781"</f>
        <v>0331G781</v>
      </c>
      <c r="H7360" s="1" t="str">
        <f>"동막간 66R3"</f>
        <v>동막간 66R3</v>
      </c>
      <c r="I7360" s="1" t="s">
        <v>8</v>
      </c>
      <c r="J7360" s="1" t="str">
        <f>"79/79"</f>
        <v>79/79</v>
      </c>
      <c r="K7360" s="1" t="str">
        <f>"2026-07-29 13:18:03"</f>
        <v>2026-07-29 13:18:03</v>
      </c>
      <c r="L7360" s="1" t="str">
        <f>"2020-01-22 11:23:04"</f>
        <v>2020-01-22 11:23:04</v>
      </c>
      <c r="M7360" s="1" t="s">
        <v>45</v>
      </c>
      <c r="N7360" s="1" t="s">
        <v>38</v>
      </c>
      <c r="O7360" s="1" t="s">
        <v>46</v>
      </c>
    </row>
    <row r="7361" spans="2:15" x14ac:dyDescent="0.3">
      <c r="B7361" s="1" t="s">
        <v>22</v>
      </c>
      <c r="C7361" s="1" t="str">
        <f>"5-2차"</f>
        <v>5-2차</v>
      </c>
      <c r="D7361" s="1" t="str">
        <f>"0331G7915M"</f>
        <v>0331G7915M</v>
      </c>
      <c r="E7361" s="1" t="s">
        <v>10</v>
      </c>
      <c r="F7361" s="1" t="str">
        <f>"fde3:102:1420:3100:0:0:0:8"</f>
        <v>fde3:102:1420:3100:0:0:0:8</v>
      </c>
      <c r="G7361" s="1" t="str">
        <f>"0331G791"</f>
        <v>0331G791</v>
      </c>
      <c r="H7361" s="1" t="str">
        <f>"동막간 63R5A1"</f>
        <v>동막간 63R5A1</v>
      </c>
      <c r="I7361" s="1" t="s">
        <v>15</v>
      </c>
      <c r="J7361" s="1" t="str">
        <f>"46/46"</f>
        <v>46/46</v>
      </c>
      <c r="K7361" s="1" t="str">
        <f>"2026-07-29 14:20:46"</f>
        <v>2026-07-29 14:20:46</v>
      </c>
      <c r="L7361" s="1" t="str">
        <f>"2023-06-26 18:05:08"</f>
        <v>2023-06-26 18:05:08</v>
      </c>
      <c r="M7361" s="1" t="s">
        <v>45</v>
      </c>
      <c r="N7361" s="1" t="s">
        <v>38</v>
      </c>
      <c r="O7361" s="1" t="s">
        <v>46</v>
      </c>
    </row>
    <row r="7362" spans="2:15" x14ac:dyDescent="0.3">
      <c r="B7362" s="1" t="s">
        <v>22</v>
      </c>
      <c r="C7362" s="1" t="str">
        <f>"5-2차"</f>
        <v>5-2차</v>
      </c>
      <c r="D7362" s="1" t="str">
        <f>"0331G7925S"</f>
        <v>0331G7925S</v>
      </c>
      <c r="E7362" s="1" t="s">
        <v>10</v>
      </c>
      <c r="F7362" s="1" t="str">
        <f>"fde3:102:1420:3100:0:0:0:a"</f>
        <v>fde3:102:1420:3100:0:0:0:a</v>
      </c>
      <c r="G7362" s="1" t="str">
        <f>"0331G792"</f>
        <v>0331G792</v>
      </c>
      <c r="H7362" s="1" t="str">
        <f>"동막간 63R5A2"</f>
        <v>동막간 63R5A2</v>
      </c>
      <c r="I7362" s="1" t="s">
        <v>15</v>
      </c>
      <c r="J7362" s="1" t="str">
        <f>"41/41"</f>
        <v>41/41</v>
      </c>
      <c r="K7362" s="1" t="str">
        <f>"2026-07-29 14:21:05"</f>
        <v>2026-07-29 14:21:05</v>
      </c>
      <c r="L7362" s="1" t="str">
        <f>"2023-09-19 15:48:09"</f>
        <v>2023-09-19 15:48:09</v>
      </c>
      <c r="M7362" s="1" t="s">
        <v>45</v>
      </c>
      <c r="N7362" s="1" t="s">
        <v>38</v>
      </c>
      <c r="O7362" s="1" t="s">
        <v>46</v>
      </c>
    </row>
    <row r="7363" spans="2:15" x14ac:dyDescent="0.3">
      <c r="B7363" s="1" t="s">
        <v>22</v>
      </c>
      <c r="C7363" s="1" t="str">
        <f>"4차"</f>
        <v>4차</v>
      </c>
      <c r="D7363" s="1" t="str">
        <f>"0331G88144"</f>
        <v>0331G88144</v>
      </c>
      <c r="E7363" s="1" t="s">
        <v>10</v>
      </c>
      <c r="F7363" s="1" t="str">
        <f>"10.107.250.112"</f>
        <v>10.107.250.112</v>
      </c>
      <c r="G7363" s="1" t="str">
        <f>"0331G881"</f>
        <v>0331G881</v>
      </c>
      <c r="H7363" s="1" t="str">
        <f>"동막간 63R4L2"</f>
        <v>동막간 63R4L2</v>
      </c>
      <c r="I7363" s="1" t="s">
        <v>8</v>
      </c>
      <c r="J7363" s="1" t="str">
        <f>"55/55"</f>
        <v>55/55</v>
      </c>
      <c r="K7363" s="1" t="str">
        <f>"2026-07-29 13:18:03"</f>
        <v>2026-07-29 13:18:03</v>
      </c>
      <c r="L7363" s="1" t="str">
        <f>"2020-01-22 11:48:19"</f>
        <v>2020-01-22 11:48:19</v>
      </c>
      <c r="M7363" s="1" t="s">
        <v>45</v>
      </c>
      <c r="N7363" s="1" t="s">
        <v>38</v>
      </c>
      <c r="O7363" s="1" t="s">
        <v>46</v>
      </c>
    </row>
    <row r="7364" spans="2:15" x14ac:dyDescent="0.3">
      <c r="B7364" s="1" t="s">
        <v>22</v>
      </c>
      <c r="C7364" s="1" t="str">
        <f>"5-2차"</f>
        <v>5-2차</v>
      </c>
      <c r="D7364" s="1" t="str">
        <f>"0331G8845S"</f>
        <v>0331G8845S</v>
      </c>
      <c r="E7364" s="1" t="s">
        <v>10</v>
      </c>
      <c r="F7364" s="1" t="str">
        <f>"fde3:102:1420:3100:0:0:0:7"</f>
        <v>fde3:102:1420:3100:0:0:0:7</v>
      </c>
      <c r="G7364" s="1" t="str">
        <f>"0331G884"</f>
        <v>0331G884</v>
      </c>
      <c r="H7364" s="1" t="str">
        <f>"동막간 63R4L1"</f>
        <v>동막간 63R4L1</v>
      </c>
      <c r="I7364" s="1" t="s">
        <v>15</v>
      </c>
      <c r="J7364" s="1" t="str">
        <f>"70/70"</f>
        <v>70/70</v>
      </c>
      <c r="K7364" s="1" t="str">
        <f>"2026-07-29 14:20:44"</f>
        <v>2026-07-29 14:20:44</v>
      </c>
      <c r="L7364" s="1" t="str">
        <f>"2023-06-19 13:55:29"</f>
        <v>2023-06-19 13:55:29</v>
      </c>
      <c r="M7364" s="1" t="s">
        <v>45</v>
      </c>
      <c r="N7364" s="1" t="s">
        <v>38</v>
      </c>
      <c r="O7364" s="1" t="s">
        <v>46</v>
      </c>
    </row>
    <row r="7365" spans="2:15" x14ac:dyDescent="0.3">
      <c r="B7365" s="1" t="s">
        <v>22</v>
      </c>
      <c r="C7365" s="1" t="str">
        <f>"6차"</f>
        <v>6차</v>
      </c>
      <c r="D7365" s="1" t="str">
        <f>"0331H0036S"</f>
        <v>0331H0036S</v>
      </c>
      <c r="E7365" s="1" t="s">
        <v>10</v>
      </c>
      <c r="F7365" s="1" t="str">
        <f>"fde3:102:1420:2300:0:0:0:3"</f>
        <v>fde3:102:1420:2300:0:0:0:3</v>
      </c>
      <c r="G7365" s="1" t="str">
        <f>"0331H003"</f>
        <v>0331H003</v>
      </c>
      <c r="H7365" s="1" t="str">
        <f>"당재간 39L3R2"</f>
        <v>당재간 39L3R2</v>
      </c>
      <c r="I7365" s="1" t="s">
        <v>15</v>
      </c>
      <c r="J7365" s="1" t="str">
        <f>"72/72"</f>
        <v>72/72</v>
      </c>
      <c r="K7365" s="1" t="str">
        <f>"2026-07-15 02:21:51"</f>
        <v>2026-07-15 02:21:51</v>
      </c>
      <c r="L7365" s="1" t="str">
        <f>"2024-12-03 10:32:38"</f>
        <v>2024-12-03 10:32:38</v>
      </c>
      <c r="M7365" s="1" t="s">
        <v>45</v>
      </c>
      <c r="N7365" s="1" t="s">
        <v>38</v>
      </c>
      <c r="O7365" s="1" t="s">
        <v>46</v>
      </c>
    </row>
    <row r="7366" spans="2:15" x14ac:dyDescent="0.3">
      <c r="B7366" s="1" t="s">
        <v>22</v>
      </c>
      <c r="C7366" s="1" t="s">
        <v>16</v>
      </c>
      <c r="D7366" s="1" t="str">
        <f>"0331H00541"</f>
        <v>0331H00541</v>
      </c>
      <c r="E7366" s="1" t="s">
        <v>10</v>
      </c>
      <c r="F7366" s="1" t="str">
        <f>"10.14.2.202"</f>
        <v>10.14.2.202</v>
      </c>
      <c r="G7366" s="1" t="str">
        <f>"0331H005"</f>
        <v>0331H005</v>
      </c>
      <c r="H7366" s="1" t="str">
        <f>"당재간 39L6"</f>
        <v>당재간 39L6</v>
      </c>
      <c r="I7366" s="1" t="s">
        <v>17</v>
      </c>
      <c r="J7366" s="1" t="str">
        <f>"31/32"</f>
        <v>31/32</v>
      </c>
      <c r="K7366" s="1" t="str">
        <f>"2026-07-29 13:18:04"</f>
        <v>2026-07-29 13:18:04</v>
      </c>
      <c r="L7366" s="1" t="str">
        <f>"2022-11-08 14:05:01"</f>
        <v>2022-11-08 14:05:01</v>
      </c>
      <c r="M7366" s="1" t="s">
        <v>3</v>
      </c>
      <c r="N7366" s="1" t="s">
        <v>38</v>
      </c>
      <c r="O7366" s="1" t="s">
        <v>46</v>
      </c>
    </row>
    <row r="7367" spans="2:15" x14ac:dyDescent="0.3">
      <c r="B7367" s="1" t="s">
        <v>22</v>
      </c>
      <c r="C7367" s="1" t="str">
        <f>"5-2차"</f>
        <v>5-2차</v>
      </c>
      <c r="D7367" s="1" t="str">
        <f>"0331H0215M"</f>
        <v>0331H0215M</v>
      </c>
      <c r="E7367" s="1" t="s">
        <v>10</v>
      </c>
      <c r="F7367" s="1" t="str">
        <f>"fde3:102:1420:4100:0:0:0:3"</f>
        <v>fde3:102:1420:4100:0:0:0:3</v>
      </c>
      <c r="G7367" s="1" t="str">
        <f>"0331H021"</f>
        <v>0331H021</v>
      </c>
      <c r="H7367" s="1" t="str">
        <f>"불막간 16C2"</f>
        <v>불막간 16C2</v>
      </c>
      <c r="I7367" s="1" t="s">
        <v>15</v>
      </c>
      <c r="J7367" s="1" t="str">
        <f>"63/66"</f>
        <v>63/66</v>
      </c>
      <c r="K7367" s="1" t="str">
        <f>"2026-07-29 14:20:44"</f>
        <v>2026-07-29 14:20:44</v>
      </c>
      <c r="L7367" s="1" t="str">
        <f>"2023-10-16 17:15:46"</f>
        <v>2023-10-16 17:15:46</v>
      </c>
      <c r="M7367" s="1" t="s">
        <v>45</v>
      </c>
      <c r="N7367" s="1" t="s">
        <v>38</v>
      </c>
      <c r="O7367" s="1" t="s">
        <v>46</v>
      </c>
    </row>
    <row r="7368" spans="2:15" x14ac:dyDescent="0.3">
      <c r="B7368" s="1" t="s">
        <v>22</v>
      </c>
      <c r="C7368" s="1" t="str">
        <f>"4차"</f>
        <v>4차</v>
      </c>
      <c r="D7368" s="1" t="str">
        <f>"0331H20244"</f>
        <v>0331H20244</v>
      </c>
      <c r="E7368" s="1" t="s">
        <v>10</v>
      </c>
      <c r="F7368" s="1" t="str">
        <f>"10.107.120.67"</f>
        <v>10.107.120.67</v>
      </c>
      <c r="G7368" s="1" t="str">
        <f>"0331H202"</f>
        <v>0331H202</v>
      </c>
      <c r="H7368" s="1" t="str">
        <f>"당재간 43L2"</f>
        <v>당재간 43L2</v>
      </c>
      <c r="I7368" s="1" t="s">
        <v>8</v>
      </c>
      <c r="J7368" s="1" t="str">
        <f>"24/24"</f>
        <v>24/24</v>
      </c>
      <c r="K7368" s="1" t="str">
        <f>"2026-07-29 13:18:03"</f>
        <v>2026-07-29 13:18:03</v>
      </c>
      <c r="L7368" s="1" t="str">
        <f>"2020-01-10 11:40:29"</f>
        <v>2020-01-10 11:40:29</v>
      </c>
      <c r="M7368" s="1" t="s">
        <v>45</v>
      </c>
      <c r="N7368" s="1" t="s">
        <v>38</v>
      </c>
      <c r="O7368" s="1" t="s">
        <v>46</v>
      </c>
    </row>
    <row r="7369" spans="2:15" x14ac:dyDescent="0.3">
      <c r="B7369" s="1" t="s">
        <v>22</v>
      </c>
      <c r="C7369" s="1" t="str">
        <f>"5-2차"</f>
        <v>5-2차</v>
      </c>
      <c r="D7369" s="1" t="str">
        <f>"0331H3035M"</f>
        <v>0331H3035M</v>
      </c>
      <c r="E7369" s="1" t="s">
        <v>10</v>
      </c>
      <c r="F7369" s="1" t="str">
        <f>"fde1:103:4:9190:0:0:0:2"</f>
        <v>fde1:103:4:9190:0:0:0:2</v>
      </c>
      <c r="G7369" s="1" t="str">
        <f>"0331H303"</f>
        <v>0331H303</v>
      </c>
      <c r="H7369" s="1" t="str">
        <f>"당재간 43L1"</f>
        <v>당재간 43L1</v>
      </c>
      <c r="I7369" s="1" t="s">
        <v>15</v>
      </c>
      <c r="J7369" s="1" t="str">
        <f>"35/35"</f>
        <v>35/35</v>
      </c>
      <c r="K7369" s="1" t="str">
        <f>"2026-07-29 14:20:58"</f>
        <v>2026-07-29 14:20:58</v>
      </c>
      <c r="L7369" s="1" t="str">
        <f>"2024-01-18 13:39:31"</f>
        <v>2024-01-18 13:39:31</v>
      </c>
      <c r="M7369" s="1" t="s">
        <v>4</v>
      </c>
      <c r="N7369" s="1" t="s">
        <v>38</v>
      </c>
      <c r="O7369" s="1" t="s">
        <v>46</v>
      </c>
    </row>
    <row r="7370" spans="2:15" x14ac:dyDescent="0.3">
      <c r="B7370" s="1" t="s">
        <v>22</v>
      </c>
      <c r="C7370" s="1" t="str">
        <f>"4차"</f>
        <v>4차</v>
      </c>
      <c r="D7370" s="1" t="str">
        <f>"0331H31544"</f>
        <v>0331H31544</v>
      </c>
      <c r="E7370" s="1" t="s">
        <v>10</v>
      </c>
      <c r="F7370" s="1" t="str">
        <f>"10.107.120.66"</f>
        <v>10.107.120.66</v>
      </c>
      <c r="G7370" s="1" t="str">
        <f>"0331H315"</f>
        <v>0331H315</v>
      </c>
      <c r="H7370" s="1" t="str">
        <f>"당재간 41L5R2"</f>
        <v>당재간 41L5R2</v>
      </c>
      <c r="I7370" s="1" t="s">
        <v>8</v>
      </c>
      <c r="J7370" s="1" t="str">
        <f>"1/1"</f>
        <v>1/1</v>
      </c>
      <c r="K7370" s="1" t="str">
        <f>"2026-07-29 13:18:03"</f>
        <v>2026-07-29 13:18:03</v>
      </c>
      <c r="L7370" s="1" t="str">
        <f>"2020-01-10 11:26:20"</f>
        <v>2020-01-10 11:26:20</v>
      </c>
      <c r="M7370" s="1" t="s">
        <v>45</v>
      </c>
      <c r="N7370" s="1" t="s">
        <v>38</v>
      </c>
      <c r="O7370" s="1" t="s">
        <v>46</v>
      </c>
    </row>
    <row r="7371" spans="2:15" x14ac:dyDescent="0.3">
      <c r="B7371" s="1" t="s">
        <v>22</v>
      </c>
      <c r="C7371" s="1" t="str">
        <f>"4차"</f>
        <v>4차</v>
      </c>
      <c r="D7371" s="1" t="str">
        <f>"0331H71244"</f>
        <v>0331H71244</v>
      </c>
      <c r="E7371" s="1" t="s">
        <v>14</v>
      </c>
      <c r="F7371" s="1" t="str">
        <f>"10.12.138.170"</f>
        <v>10.12.138.170</v>
      </c>
      <c r="G7371" s="1" t="str">
        <f>"0331H712"</f>
        <v>0331H712</v>
      </c>
      <c r="H7371" s="1" t="str">
        <f>"당재간 54"</f>
        <v>당재간 54</v>
      </c>
      <c r="I7371" s="1" t="s">
        <v>8</v>
      </c>
      <c r="J7371" s="1" t="str">
        <f>"0/0"</f>
        <v>0/0</v>
      </c>
      <c r="K7371" s="1" t="str">
        <f>"2026-06-10 07:18:03"</f>
        <v>2026-06-10 07:18:03</v>
      </c>
      <c r="L7371" s="1" t="str">
        <f>"2021-07-06 16:52:25"</f>
        <v>2021-07-06 16:52:25</v>
      </c>
      <c r="M7371" s="1" t="s">
        <v>0</v>
      </c>
      <c r="N7371" s="1" t="s">
        <v>39</v>
      </c>
      <c r="O7371" s="1" t="s">
        <v>46</v>
      </c>
    </row>
    <row r="7372" spans="2:15" x14ac:dyDescent="0.3">
      <c r="B7372" s="1" t="s">
        <v>22</v>
      </c>
      <c r="C7372" s="1" t="s">
        <v>16</v>
      </c>
      <c r="D7372" s="1" t="str">
        <f>"0331P71241"</f>
        <v>0331P71241</v>
      </c>
      <c r="E7372" s="1" t="s">
        <v>10</v>
      </c>
      <c r="F7372" s="1" t="str">
        <f>"10.14.11.130"</f>
        <v>10.14.11.130</v>
      </c>
      <c r="G7372" s="1" t="str">
        <f>"0331P712"</f>
        <v>0331P712</v>
      </c>
      <c r="H7372" s="1" t="str">
        <f>"불암간 2L10L12C1"</f>
        <v>불암간 2L10L12C1</v>
      </c>
      <c r="I7372" s="1" t="s">
        <v>17</v>
      </c>
      <c r="J7372" s="1" t="str">
        <f>"16/16"</f>
        <v>16/16</v>
      </c>
      <c r="K7372" s="1" t="str">
        <f>"2026-07-29 13:18:03"</f>
        <v>2026-07-29 13:18:03</v>
      </c>
      <c r="L7372" s="1" t="str">
        <f>"2022-11-08 14:17:03"</f>
        <v>2022-11-08 14:17:03</v>
      </c>
      <c r="M7372" s="1" t="s">
        <v>3</v>
      </c>
      <c r="N7372" s="1" t="s">
        <v>38</v>
      </c>
      <c r="O7372" s="1" t="s">
        <v>46</v>
      </c>
    </row>
    <row r="7373" spans="2:15" x14ac:dyDescent="0.3">
      <c r="B7373" s="1" t="s">
        <v>22</v>
      </c>
      <c r="C7373" s="1" t="str">
        <f>"4차"</f>
        <v>4차</v>
      </c>
      <c r="D7373" s="1" t="str">
        <f>"0331P76544"</f>
        <v>0331P76544</v>
      </c>
      <c r="E7373" s="1" t="s">
        <v>10</v>
      </c>
      <c r="F7373" s="1" t="str">
        <f>"10.107.250.24"</f>
        <v>10.107.250.24</v>
      </c>
      <c r="G7373" s="1" t="str">
        <f>"0331P765"</f>
        <v>0331P765</v>
      </c>
      <c r="H7373" s="1" t="str">
        <f>"불암간 2L20"</f>
        <v>불암간 2L20</v>
      </c>
      <c r="I7373" s="1" t="s">
        <v>8</v>
      </c>
      <c r="J7373" s="1" t="str">
        <f>"8/8"</f>
        <v>8/8</v>
      </c>
      <c r="K7373" s="1" t="str">
        <f>"2026-07-29 13:18:03"</f>
        <v>2026-07-29 13:18:03</v>
      </c>
      <c r="L7373" s="1" t="str">
        <f>"2020-01-10 11:29:24"</f>
        <v>2020-01-10 11:29:24</v>
      </c>
      <c r="M7373" s="1" t="s">
        <v>45</v>
      </c>
      <c r="N7373" s="1" t="s">
        <v>38</v>
      </c>
      <c r="O7373" s="1" t="s">
        <v>46</v>
      </c>
    </row>
    <row r="7374" spans="2:15" x14ac:dyDescent="0.3">
      <c r="B7374" s="1" t="s">
        <v>22</v>
      </c>
      <c r="C7374" s="1" t="str">
        <f>"4차"</f>
        <v>4차</v>
      </c>
      <c r="D7374" s="1" t="str">
        <f>"0331P86444"</f>
        <v>0331P86444</v>
      </c>
      <c r="E7374" s="1" t="s">
        <v>10</v>
      </c>
      <c r="F7374" s="1" t="str">
        <f>"10.107.250.25"</f>
        <v>10.107.250.25</v>
      </c>
      <c r="G7374" s="1" t="str">
        <f>"0331P864"</f>
        <v>0331P864</v>
      </c>
      <c r="H7374" s="1" t="str">
        <f>"불암간 2L17"</f>
        <v>불암간 2L17</v>
      </c>
      <c r="I7374" s="1" t="s">
        <v>8</v>
      </c>
      <c r="J7374" s="1" t="str">
        <f>"25/25"</f>
        <v>25/25</v>
      </c>
      <c r="K7374" s="1" t="str">
        <f>"2026-07-29 13:18:03"</f>
        <v>2026-07-29 13:18:03</v>
      </c>
      <c r="L7374" s="1" t="str">
        <f>"2020-01-10 11:45:23"</f>
        <v>2020-01-10 11:45:23</v>
      </c>
      <c r="M7374" s="1" t="s">
        <v>45</v>
      </c>
      <c r="N7374" s="1" t="s">
        <v>38</v>
      </c>
      <c r="O7374" s="1" t="s">
        <v>46</v>
      </c>
    </row>
    <row r="7375" spans="2:15" x14ac:dyDescent="0.3">
      <c r="B7375" s="1" t="s">
        <v>22</v>
      </c>
      <c r="C7375" s="1" t="str">
        <f>"4차"</f>
        <v>4차</v>
      </c>
      <c r="D7375" s="1" t="str">
        <f>"0331Q26144"</f>
        <v>0331Q26144</v>
      </c>
      <c r="E7375" s="1" t="s">
        <v>10</v>
      </c>
      <c r="F7375" s="1" t="str">
        <f>"10.107.250.26"</f>
        <v>10.107.250.26</v>
      </c>
      <c r="G7375" s="1" t="str">
        <f>"0331Q261"</f>
        <v>0331Q261</v>
      </c>
      <c r="H7375" s="1" t="str">
        <f>"불암간 2HL10"</f>
        <v>불암간 2HL10</v>
      </c>
      <c r="I7375" s="1" t="s">
        <v>8</v>
      </c>
      <c r="J7375" s="1" t="str">
        <f>"33/33"</f>
        <v>33/33</v>
      </c>
      <c r="K7375" s="1" t="str">
        <f>"2026-07-29 13:18:03"</f>
        <v>2026-07-29 13:18:03</v>
      </c>
      <c r="L7375" s="1" t="str">
        <f>"2020-01-10 11:30:29"</f>
        <v>2020-01-10 11:30:29</v>
      </c>
      <c r="M7375" s="1" t="s">
        <v>45</v>
      </c>
      <c r="N7375" s="1" t="s">
        <v>38</v>
      </c>
      <c r="O7375" s="1" t="s">
        <v>46</v>
      </c>
    </row>
    <row r="7376" spans="2:15" x14ac:dyDescent="0.3">
      <c r="B7376" s="1" t="s">
        <v>22</v>
      </c>
      <c r="C7376" s="1" t="str">
        <f>"4차"</f>
        <v>4차</v>
      </c>
      <c r="D7376" s="1" t="str">
        <f>"0331Q33344"</f>
        <v>0331Q33344</v>
      </c>
      <c r="E7376" s="1" t="s">
        <v>10</v>
      </c>
      <c r="F7376" s="1" t="str">
        <f>"10.107.250.113"</f>
        <v>10.107.250.113</v>
      </c>
      <c r="G7376" s="1" t="str">
        <f>"0331Q333"</f>
        <v>0331Q333</v>
      </c>
      <c r="H7376" s="1" t="str">
        <f>"불암간 2L7L1"</f>
        <v>불암간 2L7L1</v>
      </c>
      <c r="I7376" s="1" t="s">
        <v>8</v>
      </c>
      <c r="J7376" s="1" t="str">
        <f>"10/10"</f>
        <v>10/10</v>
      </c>
      <c r="K7376" s="1" t="str">
        <f>"2026-07-29 13:18:03"</f>
        <v>2026-07-29 13:18:03</v>
      </c>
      <c r="L7376" s="1" t="str">
        <f>"2020-01-10 11:44:38"</f>
        <v>2020-01-10 11:44:38</v>
      </c>
      <c r="M7376" s="1" t="s">
        <v>45</v>
      </c>
      <c r="N7376" s="1" t="s">
        <v>38</v>
      </c>
      <c r="O7376" s="1" t="s">
        <v>46</v>
      </c>
    </row>
    <row r="7377" spans="2:15" x14ac:dyDescent="0.3">
      <c r="B7377" s="1" t="s">
        <v>22</v>
      </c>
      <c r="C7377" s="1" t="str">
        <f>"5-2차"</f>
        <v>5-2차</v>
      </c>
      <c r="D7377" s="1" t="str">
        <f>"0331Q3415M"</f>
        <v>0331Q3415M</v>
      </c>
      <c r="E7377" s="1" t="s">
        <v>10</v>
      </c>
      <c r="F7377" s="1" t="str">
        <f>"fde3:102:1420:3100:0:0:0:c"</f>
        <v>fde3:102:1420:3100:0:0:0:c</v>
      </c>
      <c r="G7377" s="1" t="str">
        <f>"0331Q341"</f>
        <v>0331Q341</v>
      </c>
      <c r="H7377" s="1" t="str">
        <f>"불암간 2L8"</f>
        <v>불암간 2L8</v>
      </c>
      <c r="I7377" s="1" t="s">
        <v>15</v>
      </c>
      <c r="J7377" s="1" t="str">
        <f>"39/40"</f>
        <v>39/40</v>
      </c>
      <c r="K7377" s="1" t="str">
        <f>"2026-07-29 14:20:58"</f>
        <v>2026-07-29 14:20:58</v>
      </c>
      <c r="L7377" s="1" t="str">
        <f>"2023-12-01 13:20:06"</f>
        <v>2023-12-01 13:20:06</v>
      </c>
      <c r="M7377" s="1" t="s">
        <v>45</v>
      </c>
      <c r="N7377" s="1" t="s">
        <v>38</v>
      </c>
      <c r="O7377" s="1" t="s">
        <v>46</v>
      </c>
    </row>
    <row r="7378" spans="2:15" x14ac:dyDescent="0.3">
      <c r="B7378" s="1" t="s">
        <v>22</v>
      </c>
      <c r="C7378" s="1" t="str">
        <f>"4차"</f>
        <v>4차</v>
      </c>
      <c r="D7378" s="1" t="str">
        <f>"0331Q36344"</f>
        <v>0331Q36344</v>
      </c>
      <c r="E7378" s="1" t="s">
        <v>10</v>
      </c>
      <c r="F7378" s="1" t="str">
        <f>"10.107.250.27"</f>
        <v>10.107.250.27</v>
      </c>
      <c r="G7378" s="1" t="str">
        <f>"0331Q363"</f>
        <v>0331Q363</v>
      </c>
      <c r="H7378" s="1" t="str">
        <f>"불암간 7L5"</f>
        <v>불암간 7L5</v>
      </c>
      <c r="I7378" s="1" t="s">
        <v>8</v>
      </c>
      <c r="J7378" s="1" t="str">
        <f>"17/17"</f>
        <v>17/17</v>
      </c>
      <c r="K7378" s="1" t="str">
        <f>"2026-07-29 13:18:03"</f>
        <v>2026-07-29 13:18:03</v>
      </c>
      <c r="L7378" s="1" t="str">
        <f>"2020-01-10 11:41:48"</f>
        <v>2020-01-10 11:41:48</v>
      </c>
      <c r="M7378" s="1" t="s">
        <v>45</v>
      </c>
      <c r="N7378" s="1" t="s">
        <v>38</v>
      </c>
      <c r="O7378" s="1" t="s">
        <v>46</v>
      </c>
    </row>
    <row r="7379" spans="2:15" x14ac:dyDescent="0.3">
      <c r="B7379" s="1" t="s">
        <v>22</v>
      </c>
      <c r="C7379" s="1" t="str">
        <f>"5-2차"</f>
        <v>5-2차</v>
      </c>
      <c r="D7379" s="1" t="str">
        <f>"0331Q4125M"</f>
        <v>0331Q4125M</v>
      </c>
      <c r="E7379" s="1" t="s">
        <v>10</v>
      </c>
      <c r="F7379" s="1" t="str">
        <f>"fde3:102:1420:3200:0:0:0:3"</f>
        <v>fde3:102:1420:3200:0:0:0:3</v>
      </c>
      <c r="G7379" s="1" t="str">
        <f>"0331Q412"</f>
        <v>0331Q412</v>
      </c>
      <c r="H7379" s="1" t="str">
        <f>"불암간 2L3"</f>
        <v>불암간 2L3</v>
      </c>
      <c r="I7379" s="1" t="s">
        <v>15</v>
      </c>
      <c r="J7379" s="1" t="str">
        <f>"32/32"</f>
        <v>32/32</v>
      </c>
      <c r="K7379" s="1" t="str">
        <f>"2026-07-29 14:20:44"</f>
        <v>2026-07-29 14:20:44</v>
      </c>
      <c r="L7379" s="1" t="str">
        <f>"2023-06-26 18:13:12"</f>
        <v>2023-06-26 18:13:12</v>
      </c>
      <c r="M7379" s="1" t="s">
        <v>45</v>
      </c>
      <c r="N7379" s="1" t="s">
        <v>38</v>
      </c>
      <c r="O7379" s="1" t="s">
        <v>46</v>
      </c>
    </row>
    <row r="7380" spans="2:15" x14ac:dyDescent="0.3">
      <c r="B7380" s="1" t="s">
        <v>22</v>
      </c>
      <c r="C7380" s="1" t="str">
        <f>"5-2차"</f>
        <v>5-2차</v>
      </c>
      <c r="D7380" s="1" t="str">
        <f>"0331Q4135M"</f>
        <v>0331Q4135M</v>
      </c>
      <c r="E7380" s="1" t="s">
        <v>10</v>
      </c>
      <c r="F7380" s="1" t="str">
        <f>"fde3:102:1420:3200:0:0:0:2"</f>
        <v>fde3:102:1420:3200:0:0:0:2</v>
      </c>
      <c r="G7380" s="1" t="str">
        <f>"0331Q413"</f>
        <v>0331Q413</v>
      </c>
      <c r="H7380" s="1" t="str">
        <f>"불암간 2L5L1"</f>
        <v>불암간 2L5L1</v>
      </c>
      <c r="I7380" s="1" t="s">
        <v>15</v>
      </c>
      <c r="J7380" s="1" t="str">
        <f>"12/12"</f>
        <v>12/12</v>
      </c>
      <c r="K7380" s="1" t="str">
        <f>"2026-07-29 14:20:21"</f>
        <v>2026-07-29 14:20:21</v>
      </c>
      <c r="L7380" s="1" t="str">
        <f>"2023-06-26 18:13:49"</f>
        <v>2023-06-26 18:13:49</v>
      </c>
      <c r="M7380" s="1" t="s">
        <v>45</v>
      </c>
      <c r="N7380" s="1" t="s">
        <v>38</v>
      </c>
      <c r="O7380" s="1" t="s">
        <v>46</v>
      </c>
    </row>
    <row r="7381" spans="2:15" x14ac:dyDescent="0.3">
      <c r="B7381" s="1" t="s">
        <v>22</v>
      </c>
      <c r="C7381" s="1" t="str">
        <f>"4차"</f>
        <v>4차</v>
      </c>
      <c r="D7381" s="1" t="str">
        <f>"0331Q44144"</f>
        <v>0331Q44144</v>
      </c>
      <c r="E7381" s="1" t="s">
        <v>10</v>
      </c>
      <c r="F7381" s="1" t="str">
        <f>"10.12.138.148"</f>
        <v>10.12.138.148</v>
      </c>
      <c r="G7381" s="1" t="str">
        <f>"0331Q441"</f>
        <v>0331Q441</v>
      </c>
      <c r="H7381" s="1" t="str">
        <f>"불암간 7L1"</f>
        <v>불암간 7L1</v>
      </c>
      <c r="I7381" s="1" t="s">
        <v>8</v>
      </c>
      <c r="J7381" s="1" t="str">
        <f>"26/26"</f>
        <v>26/26</v>
      </c>
      <c r="K7381" s="1" t="str">
        <f>"2026-07-29 13:18:04"</f>
        <v>2026-07-29 13:18:04</v>
      </c>
      <c r="L7381" s="1" t="str">
        <f>"2019-11-11 19:49:57"</f>
        <v>2019-11-11 19:49:57</v>
      </c>
      <c r="M7381" s="1" t="s">
        <v>0</v>
      </c>
      <c r="N7381" s="1" t="s">
        <v>38</v>
      </c>
      <c r="O7381" s="1" t="s">
        <v>46</v>
      </c>
    </row>
    <row r="7382" spans="2:15" x14ac:dyDescent="0.3">
      <c r="B7382" s="1" t="s">
        <v>22</v>
      </c>
      <c r="C7382" s="1" t="str">
        <f>"4차"</f>
        <v>4차</v>
      </c>
      <c r="D7382" s="1" t="str">
        <f>"0331Q45144"</f>
        <v>0331Q45144</v>
      </c>
      <c r="E7382" s="1" t="s">
        <v>10</v>
      </c>
      <c r="F7382" s="1" t="str">
        <f>"10.107.248.206"</f>
        <v>10.107.248.206</v>
      </c>
      <c r="G7382" s="1" t="str">
        <f>"0331Q451"</f>
        <v>0331Q451</v>
      </c>
      <c r="H7382" s="1" t="str">
        <f>"불암간 8L2R1"</f>
        <v>불암간 8L2R1</v>
      </c>
      <c r="I7382" s="1" t="s">
        <v>8</v>
      </c>
      <c r="J7382" s="1" t="str">
        <f>"28/28"</f>
        <v>28/28</v>
      </c>
      <c r="K7382" s="1" t="str">
        <f>"2026-07-29 13:18:03"</f>
        <v>2026-07-29 13:18:03</v>
      </c>
      <c r="L7382" s="1" t="str">
        <f>"2020-01-10 11:41:52"</f>
        <v>2020-01-10 11:41:52</v>
      </c>
      <c r="M7382" s="1" t="s">
        <v>45</v>
      </c>
      <c r="N7382" s="1" t="s">
        <v>38</v>
      </c>
      <c r="O7382" s="1" t="s">
        <v>46</v>
      </c>
    </row>
    <row r="7383" spans="2:15" x14ac:dyDescent="0.3">
      <c r="B7383" s="1" t="s">
        <v>22</v>
      </c>
      <c r="C7383" s="1" t="str">
        <f>"4차"</f>
        <v>4차</v>
      </c>
      <c r="D7383" s="1" t="str">
        <f>"0331Q54244"</f>
        <v>0331Q54244</v>
      </c>
      <c r="E7383" s="1" t="s">
        <v>10</v>
      </c>
      <c r="F7383" s="1" t="str">
        <f>"10.107.248.207"</f>
        <v>10.107.248.207</v>
      </c>
      <c r="G7383" s="1" t="str">
        <f>"0331Q542"</f>
        <v>0331Q542</v>
      </c>
      <c r="H7383" s="1" t="str">
        <f>"불암간 9"</f>
        <v>불암간 9</v>
      </c>
      <c r="I7383" s="1" t="s">
        <v>8</v>
      </c>
      <c r="J7383" s="1" t="str">
        <f>"98/98"</f>
        <v>98/98</v>
      </c>
      <c r="K7383" s="1" t="str">
        <f>"2026-07-29 13:18:03"</f>
        <v>2026-07-29 13:18:03</v>
      </c>
      <c r="L7383" s="1" t="str">
        <f>"2020-01-10 11:42:12"</f>
        <v>2020-01-10 11:42:12</v>
      </c>
      <c r="M7383" s="1" t="s">
        <v>45</v>
      </c>
      <c r="N7383" s="1" t="s">
        <v>38</v>
      </c>
      <c r="O7383" s="1" t="s">
        <v>46</v>
      </c>
    </row>
    <row r="7384" spans="2:15" x14ac:dyDescent="0.3">
      <c r="B7384" s="1" t="s">
        <v>22</v>
      </c>
      <c r="C7384" s="1" t="str">
        <f>"4차"</f>
        <v>4차</v>
      </c>
      <c r="D7384" s="1" t="str">
        <f>"0331Q55244"</f>
        <v>0331Q55244</v>
      </c>
      <c r="E7384" s="1" t="s">
        <v>10</v>
      </c>
      <c r="F7384" s="1" t="str">
        <f>"10.107.248.208"</f>
        <v>10.107.248.208</v>
      </c>
      <c r="G7384" s="1" t="str">
        <f>"0331Q552"</f>
        <v>0331Q552</v>
      </c>
      <c r="H7384" s="1" t="str">
        <f>"불암간 10H1"</f>
        <v>불암간 10H1</v>
      </c>
      <c r="I7384" s="1" t="s">
        <v>8</v>
      </c>
      <c r="J7384" s="1" t="str">
        <f>"6/14"</f>
        <v>6/14</v>
      </c>
      <c r="K7384" s="1" t="str">
        <f>"2026-07-29 13:18:03"</f>
        <v>2026-07-29 13:18:03</v>
      </c>
      <c r="L7384" s="1" t="str">
        <f>"2020-01-10 11:29:38"</f>
        <v>2020-01-10 11:29:38</v>
      </c>
      <c r="M7384" s="1" t="s">
        <v>45</v>
      </c>
      <c r="N7384" s="1" t="s">
        <v>38</v>
      </c>
      <c r="O7384" s="1" t="s">
        <v>46</v>
      </c>
    </row>
    <row r="7385" spans="2:15" x14ac:dyDescent="0.3">
      <c r="B7385" s="1" t="s">
        <v>22</v>
      </c>
      <c r="C7385" s="1" t="str">
        <f>"5-2차"</f>
        <v>5-2차</v>
      </c>
      <c r="D7385" s="1" t="str">
        <f>"0331Q6255M"</f>
        <v>0331Q6255M</v>
      </c>
      <c r="E7385" s="1" t="s">
        <v>10</v>
      </c>
      <c r="F7385" s="1" t="str">
        <f>"fde1:103:4:91f6:0:0:0:2"</f>
        <v>fde1:103:4:91f6:0:0:0:2</v>
      </c>
      <c r="G7385" s="1" t="str">
        <f>"0331Q625"</f>
        <v>0331Q625</v>
      </c>
      <c r="H7385" s="1" t="str">
        <f>"상계간 2L3L4"</f>
        <v>상계간 2L3L4</v>
      </c>
      <c r="I7385" s="1" t="s">
        <v>15</v>
      </c>
      <c r="J7385" s="1" t="str">
        <f>"11/12"</f>
        <v>11/12</v>
      </c>
      <c r="K7385" s="1" t="str">
        <f>"2026-07-29 14:20:59"</f>
        <v>2026-07-29 14:20:59</v>
      </c>
      <c r="L7385" s="1" t="str">
        <f>"2023-12-20 15:25:37"</f>
        <v>2023-12-20 15:25:37</v>
      </c>
      <c r="M7385" s="1" t="s">
        <v>4</v>
      </c>
      <c r="N7385" s="1" t="s">
        <v>38</v>
      </c>
      <c r="O7385" s="1" t="s">
        <v>46</v>
      </c>
    </row>
    <row r="7386" spans="2:15" x14ac:dyDescent="0.3">
      <c r="B7386" s="1" t="s">
        <v>22</v>
      </c>
      <c r="C7386" s="1" t="str">
        <f>"5-2차"</f>
        <v>5-2차</v>
      </c>
      <c r="D7386" s="1" t="str">
        <f>"0331Q6415S"</f>
        <v>0331Q6415S</v>
      </c>
      <c r="E7386" s="1" t="s">
        <v>10</v>
      </c>
      <c r="F7386" s="1" t="str">
        <f>"fde3:102:1420:1200:0:0:0:7"</f>
        <v>fde3:102:1420:1200:0:0:0:7</v>
      </c>
      <c r="G7386" s="1" t="str">
        <f>"0331Q641"</f>
        <v>0331Q641</v>
      </c>
      <c r="H7386" s="1" t="str">
        <f>"불암간 8R1L1"</f>
        <v>불암간 8R1L1</v>
      </c>
      <c r="I7386" s="1" t="s">
        <v>15</v>
      </c>
      <c r="J7386" s="1" t="str">
        <f>"48/48"</f>
        <v>48/48</v>
      </c>
      <c r="K7386" s="1" t="str">
        <f>"2026-07-29 14:20:45"</f>
        <v>2026-07-29 14:20:45</v>
      </c>
      <c r="L7386" s="1" t="str">
        <f>"2023-06-19 14:02:29"</f>
        <v>2023-06-19 14:02:29</v>
      </c>
      <c r="M7386" s="1" t="s">
        <v>45</v>
      </c>
      <c r="N7386" s="1" t="s">
        <v>38</v>
      </c>
      <c r="O7386" s="1" t="s">
        <v>46</v>
      </c>
    </row>
    <row r="7387" spans="2:15" x14ac:dyDescent="0.3">
      <c r="B7387" s="1" t="s">
        <v>22</v>
      </c>
      <c r="C7387" s="1" t="str">
        <f>"4차"</f>
        <v>4차</v>
      </c>
      <c r="D7387" s="1" t="str">
        <f>"0331Q65144"</f>
        <v>0331Q65144</v>
      </c>
      <c r="E7387" s="1" t="s">
        <v>10</v>
      </c>
      <c r="F7387" s="1" t="str">
        <f>"10.107.248.209"</f>
        <v>10.107.248.209</v>
      </c>
      <c r="G7387" s="1" t="str">
        <f>"0331Q651"</f>
        <v>0331Q651</v>
      </c>
      <c r="H7387" s="1" t="str">
        <f>"불암간 11"</f>
        <v>불암간 11</v>
      </c>
      <c r="I7387" s="1" t="s">
        <v>8</v>
      </c>
      <c r="J7387" s="1" t="str">
        <f>"54/64"</f>
        <v>54/64</v>
      </c>
      <c r="K7387" s="1" t="str">
        <f>"2026-07-29 13:18:03"</f>
        <v>2026-07-29 13:18:03</v>
      </c>
      <c r="L7387" s="1" t="str">
        <f>"2020-01-10 11:44:00"</f>
        <v>2020-01-10 11:44:00</v>
      </c>
      <c r="M7387" s="1" t="s">
        <v>45</v>
      </c>
      <c r="N7387" s="1" t="s">
        <v>38</v>
      </c>
      <c r="O7387" s="1" t="s">
        <v>46</v>
      </c>
    </row>
    <row r="7388" spans="2:15" x14ac:dyDescent="0.3">
      <c r="B7388" s="1" t="s">
        <v>22</v>
      </c>
      <c r="C7388" s="1" t="str">
        <f>"4차"</f>
        <v>4차</v>
      </c>
      <c r="D7388" s="1" t="str">
        <f>"0331Q69244"</f>
        <v>0331Q69244</v>
      </c>
      <c r="E7388" s="1" t="s">
        <v>10</v>
      </c>
      <c r="F7388" s="1" t="str">
        <f>"10.107.251.183"</f>
        <v>10.107.251.183</v>
      </c>
      <c r="G7388" s="1" t="str">
        <f>"0331Q692"</f>
        <v>0331Q692</v>
      </c>
      <c r="H7388" s="1" t="str">
        <f>"불암간 12L5L1"</f>
        <v>불암간 12L5L1</v>
      </c>
      <c r="I7388" s="1" t="s">
        <v>8</v>
      </c>
      <c r="J7388" s="1" t="str">
        <f>"43/43"</f>
        <v>43/43</v>
      </c>
      <c r="K7388" s="1" t="str">
        <f>"2026-07-29 13:18:03"</f>
        <v>2026-07-29 13:18:03</v>
      </c>
      <c r="L7388" s="1" t="str">
        <f>"2020-01-10 11:28:20"</f>
        <v>2020-01-10 11:28:20</v>
      </c>
      <c r="M7388" s="1" t="s">
        <v>45</v>
      </c>
      <c r="N7388" s="1" t="s">
        <v>38</v>
      </c>
      <c r="O7388" s="1" t="s">
        <v>46</v>
      </c>
    </row>
    <row r="7389" spans="2:15" x14ac:dyDescent="0.3">
      <c r="B7389" s="1" t="s">
        <v>22</v>
      </c>
      <c r="C7389" s="1" t="str">
        <f>"4차"</f>
        <v>4차</v>
      </c>
      <c r="D7389" s="1" t="str">
        <f>"0331Q75144"</f>
        <v>0331Q75144</v>
      </c>
      <c r="E7389" s="1" t="s">
        <v>10</v>
      </c>
      <c r="F7389" s="1" t="str">
        <f>"10.107.248.198"</f>
        <v>10.107.248.198</v>
      </c>
      <c r="G7389" s="1" t="str">
        <f>"0331Q751"</f>
        <v>0331Q751</v>
      </c>
      <c r="H7389" s="1" t="str">
        <f>"불암간 13R4"</f>
        <v>불암간 13R4</v>
      </c>
      <c r="I7389" s="1" t="s">
        <v>8</v>
      </c>
      <c r="J7389" s="1" t="str">
        <f>"52/53"</f>
        <v>52/53</v>
      </c>
      <c r="K7389" s="1" t="str">
        <f>"2026-07-29 13:18:03"</f>
        <v>2026-07-29 13:18:03</v>
      </c>
      <c r="L7389" s="1" t="str">
        <f>"2020-01-10 11:44:00"</f>
        <v>2020-01-10 11:44:00</v>
      </c>
      <c r="M7389" s="1" t="s">
        <v>45</v>
      </c>
      <c r="N7389" s="1" t="s">
        <v>38</v>
      </c>
      <c r="O7389" s="1" t="s">
        <v>46</v>
      </c>
    </row>
    <row r="7390" spans="2:15" x14ac:dyDescent="0.3">
      <c r="B7390" s="1" t="s">
        <v>22</v>
      </c>
      <c r="C7390" s="1" t="str">
        <f>"4차"</f>
        <v>4차</v>
      </c>
      <c r="D7390" s="1" t="str">
        <f>"0331Q75244"</f>
        <v>0331Q75244</v>
      </c>
      <c r="E7390" s="1" t="s">
        <v>10</v>
      </c>
      <c r="F7390" s="1" t="str">
        <f>"10.107.248.199"</f>
        <v>10.107.248.199</v>
      </c>
      <c r="G7390" s="1" t="str">
        <f>"0331Q752"</f>
        <v>0331Q752</v>
      </c>
      <c r="H7390" s="1" t="str">
        <f>"불암간 13R3"</f>
        <v>불암간 13R3</v>
      </c>
      <c r="I7390" s="1" t="s">
        <v>8</v>
      </c>
      <c r="J7390" s="1" t="str">
        <f>"32/32"</f>
        <v>32/32</v>
      </c>
      <c r="K7390" s="1" t="str">
        <f>"2026-07-29 13:18:03"</f>
        <v>2026-07-29 13:18:03</v>
      </c>
      <c r="L7390" s="1" t="str">
        <f>"2020-01-10 11:44:42"</f>
        <v>2020-01-10 11:44:42</v>
      </c>
      <c r="M7390" s="1" t="s">
        <v>45</v>
      </c>
      <c r="N7390" s="1" t="s">
        <v>38</v>
      </c>
      <c r="O7390" s="1" t="s">
        <v>46</v>
      </c>
    </row>
    <row r="7391" spans="2:15" x14ac:dyDescent="0.3">
      <c r="B7391" s="1" t="s">
        <v>22</v>
      </c>
      <c r="C7391" s="1" t="str">
        <f>"5-2차"</f>
        <v>5-2차</v>
      </c>
      <c r="D7391" s="1" t="str">
        <f>"0331Q7715M"</f>
        <v>0331Q7715M</v>
      </c>
      <c r="E7391" s="1" t="s">
        <v>10</v>
      </c>
      <c r="F7391" s="1" t="str">
        <f>"fde1:103:4:9111:0:0:0:2"</f>
        <v>fde1:103:4:9111:0:0:0:2</v>
      </c>
      <c r="G7391" s="1" t="str">
        <f>"0331Q771"</f>
        <v>0331Q771</v>
      </c>
      <c r="H7391" s="1" t="str">
        <f>"불암간 14"</f>
        <v>불암간 14</v>
      </c>
      <c r="I7391" s="1" t="s">
        <v>15</v>
      </c>
      <c r="J7391" s="1" t="str">
        <f>"33/33"</f>
        <v>33/33</v>
      </c>
      <c r="K7391" s="1" t="str">
        <f>"2026-07-29 14:20:21"</f>
        <v>2026-07-29 14:20:21</v>
      </c>
      <c r="L7391" s="1" t="str">
        <f>"2023-12-20 15:26:23"</f>
        <v>2023-12-20 15:26:23</v>
      </c>
      <c r="M7391" s="1" t="s">
        <v>4</v>
      </c>
      <c r="N7391" s="1" t="s">
        <v>38</v>
      </c>
      <c r="O7391" s="1" t="s">
        <v>46</v>
      </c>
    </row>
    <row r="7392" spans="2:15" x14ac:dyDescent="0.3">
      <c r="B7392" s="1" t="s">
        <v>22</v>
      </c>
      <c r="C7392" s="1" t="str">
        <f>"5-2차"</f>
        <v>5-2차</v>
      </c>
      <c r="D7392" s="1" t="str">
        <f>"0331Q7815M"</f>
        <v>0331Q7815M</v>
      </c>
      <c r="E7392" s="1" t="s">
        <v>10</v>
      </c>
      <c r="F7392" s="1" t="str">
        <f>"fde1:103:4:91ef:0:0:0:2"</f>
        <v>fde1:103:4:91ef:0:0:0:2</v>
      </c>
      <c r="G7392" s="1" t="str">
        <f>"0331Q781"</f>
        <v>0331Q781</v>
      </c>
      <c r="H7392" s="1" t="str">
        <f>"불암간 12L3"</f>
        <v>불암간 12L3</v>
      </c>
      <c r="I7392" s="1" t="s">
        <v>15</v>
      </c>
      <c r="J7392" s="1" t="str">
        <f>"23/23"</f>
        <v>23/23</v>
      </c>
      <c r="K7392" s="1" t="str">
        <f>"2026-07-29 14:20:45"</f>
        <v>2026-07-29 14:20:45</v>
      </c>
      <c r="L7392" s="1" t="str">
        <f>"2023-12-20 15:26:56"</f>
        <v>2023-12-20 15:26:56</v>
      </c>
      <c r="M7392" s="1" t="s">
        <v>4</v>
      </c>
      <c r="N7392" s="1" t="s">
        <v>38</v>
      </c>
      <c r="O7392" s="1" t="s">
        <v>46</v>
      </c>
    </row>
    <row r="7393" spans="2:15" x14ac:dyDescent="0.3">
      <c r="B7393" s="1" t="s">
        <v>22</v>
      </c>
      <c r="C7393" s="1" t="str">
        <f>"4차"</f>
        <v>4차</v>
      </c>
      <c r="D7393" s="1" t="str">
        <f>"0331Q79244"</f>
        <v>0331Q79244</v>
      </c>
      <c r="E7393" s="1" t="s">
        <v>10</v>
      </c>
      <c r="F7393" s="1" t="str">
        <f>"10.107.250.98"</f>
        <v>10.107.250.98</v>
      </c>
      <c r="G7393" s="1" t="str">
        <f>"0331Q792"</f>
        <v>0331Q792</v>
      </c>
      <c r="H7393" s="1" t="str">
        <f>"불암간 12L5"</f>
        <v>불암간 12L5</v>
      </c>
      <c r="I7393" s="1" t="s">
        <v>8</v>
      </c>
      <c r="J7393" s="1" t="str">
        <f>"43/43"</f>
        <v>43/43</v>
      </c>
      <c r="K7393" s="1" t="str">
        <f>"2026-07-29 13:18:03"</f>
        <v>2026-07-29 13:18:03</v>
      </c>
      <c r="L7393" s="1" t="str">
        <f>"2020-01-10 11:48:32"</f>
        <v>2020-01-10 11:48:32</v>
      </c>
      <c r="M7393" s="1" t="s">
        <v>45</v>
      </c>
      <c r="N7393" s="1" t="s">
        <v>38</v>
      </c>
      <c r="O7393" s="1" t="s">
        <v>46</v>
      </c>
    </row>
    <row r="7394" spans="2:15" x14ac:dyDescent="0.3">
      <c r="B7394" s="1" t="s">
        <v>22</v>
      </c>
      <c r="C7394" s="1" t="str">
        <f>"5-2차"</f>
        <v>5-2차</v>
      </c>
      <c r="D7394" s="1" t="str">
        <f>"0331Q8115M"</f>
        <v>0331Q8115M</v>
      </c>
      <c r="E7394" s="1" t="s">
        <v>10</v>
      </c>
      <c r="F7394" s="1" t="str">
        <f>"fde3:102:1420:1200:0:0:0:2"</f>
        <v>fde3:102:1420:1200:0:0:0:2</v>
      </c>
      <c r="G7394" s="1" t="str">
        <f>"0331Q811"</f>
        <v>0331Q811</v>
      </c>
      <c r="H7394" s="1" t="str">
        <f>"상계간 2L9"</f>
        <v>상계간 2L9</v>
      </c>
      <c r="I7394" s="1" t="s">
        <v>15</v>
      </c>
      <c r="J7394" s="1" t="str">
        <f>"69/71"</f>
        <v>69/71</v>
      </c>
      <c r="K7394" s="1" t="str">
        <f>"2026-07-29 14:20:59"</f>
        <v>2026-07-29 14:20:59</v>
      </c>
      <c r="L7394" s="1" t="str">
        <f>"2023-10-16 17:16:37"</f>
        <v>2023-10-16 17:16:37</v>
      </c>
      <c r="M7394" s="1" t="s">
        <v>45</v>
      </c>
      <c r="N7394" s="1" t="s">
        <v>38</v>
      </c>
      <c r="O7394" s="1" t="s">
        <v>46</v>
      </c>
    </row>
    <row r="7395" spans="2:15" x14ac:dyDescent="0.3">
      <c r="B7395" s="1" t="s">
        <v>22</v>
      </c>
      <c r="C7395" s="1" t="str">
        <f>"4차"</f>
        <v>4차</v>
      </c>
      <c r="D7395" s="1" t="str">
        <f>"0331Q82244"</f>
        <v>0331Q82244</v>
      </c>
      <c r="E7395" s="1" t="s">
        <v>10</v>
      </c>
      <c r="F7395" s="1" t="str">
        <f>"10.107.248.210"</f>
        <v>10.107.248.210</v>
      </c>
      <c r="G7395" s="1" t="str">
        <f>"0331Q822"</f>
        <v>0331Q822</v>
      </c>
      <c r="H7395" s="1" t="str">
        <f>"상계간 2L10"</f>
        <v>상계간 2L10</v>
      </c>
      <c r="I7395" s="1" t="s">
        <v>8</v>
      </c>
      <c r="J7395" s="1" t="str">
        <f>"19/19"</f>
        <v>19/19</v>
      </c>
      <c r="K7395" s="1" t="str">
        <f>"2026-07-29 13:18:03"</f>
        <v>2026-07-29 13:18:03</v>
      </c>
      <c r="L7395" s="1" t="str">
        <f>"2020-01-10 11:30:25"</f>
        <v>2020-01-10 11:30:25</v>
      </c>
      <c r="M7395" s="1" t="s">
        <v>45</v>
      </c>
      <c r="N7395" s="1" t="s">
        <v>38</v>
      </c>
      <c r="O7395" s="1" t="s">
        <v>46</v>
      </c>
    </row>
    <row r="7396" spans="2:15" x14ac:dyDescent="0.3">
      <c r="B7396" s="1" t="s">
        <v>22</v>
      </c>
      <c r="C7396" s="1" t="str">
        <f>"5-2차"</f>
        <v>5-2차</v>
      </c>
      <c r="D7396" s="1" t="str">
        <f>"0331Q8515S"</f>
        <v>0331Q8515S</v>
      </c>
      <c r="E7396" s="1" t="s">
        <v>10</v>
      </c>
      <c r="F7396" s="1" t="str">
        <f>"fde3:102:1420:1200:0:0:0:8"</f>
        <v>fde3:102:1420:1200:0:0:0:8</v>
      </c>
      <c r="G7396" s="1" t="str">
        <f>"0331Q851"</f>
        <v>0331Q851</v>
      </c>
      <c r="H7396" s="1" t="str">
        <f>"불암간 13R2"</f>
        <v>불암간 13R2</v>
      </c>
      <c r="I7396" s="1" t="s">
        <v>15</v>
      </c>
      <c r="J7396" s="1" t="str">
        <f>"47/47"</f>
        <v>47/47</v>
      </c>
      <c r="K7396" s="1" t="str">
        <f>"2026-07-29 14:20:59"</f>
        <v>2026-07-29 14:20:59</v>
      </c>
      <c r="L7396" s="1" t="str">
        <f>"2023-06-27 17:15:36"</f>
        <v>2023-06-27 17:15:36</v>
      </c>
      <c r="M7396" s="1" t="s">
        <v>45</v>
      </c>
      <c r="N7396" s="1" t="s">
        <v>38</v>
      </c>
      <c r="O7396" s="1" t="s">
        <v>46</v>
      </c>
    </row>
    <row r="7397" spans="2:15" x14ac:dyDescent="0.3">
      <c r="B7397" s="1" t="s">
        <v>22</v>
      </c>
      <c r="C7397" s="1" t="str">
        <f>"4차"</f>
        <v>4차</v>
      </c>
      <c r="D7397" s="1" t="str">
        <f>"0331Q85344"</f>
        <v>0331Q85344</v>
      </c>
      <c r="E7397" s="1" t="s">
        <v>10</v>
      </c>
      <c r="F7397" s="1" t="str">
        <f>"10.107.248.200"</f>
        <v>10.107.248.200</v>
      </c>
      <c r="G7397" s="1" t="str">
        <f>"0331Q853"</f>
        <v>0331Q853</v>
      </c>
      <c r="H7397" s="1" t="str">
        <f>"불암간 14R4"</f>
        <v>불암간 14R4</v>
      </c>
      <c r="I7397" s="1" t="s">
        <v>8</v>
      </c>
      <c r="J7397" s="1" t="str">
        <f>"40/40"</f>
        <v>40/40</v>
      </c>
      <c r="K7397" s="1" t="str">
        <f>"2026-07-29 13:18:03"</f>
        <v>2026-07-29 13:18:03</v>
      </c>
      <c r="L7397" s="1" t="str">
        <f>"2020-01-10 11:28:18"</f>
        <v>2020-01-10 11:28:18</v>
      </c>
      <c r="M7397" s="1" t="s">
        <v>45</v>
      </c>
      <c r="N7397" s="1" t="s">
        <v>38</v>
      </c>
      <c r="O7397" s="1" t="s">
        <v>46</v>
      </c>
    </row>
    <row r="7398" spans="2:15" x14ac:dyDescent="0.3">
      <c r="B7398" s="1" t="s">
        <v>22</v>
      </c>
      <c r="C7398" s="1" t="str">
        <f>"4차"</f>
        <v>4차</v>
      </c>
      <c r="D7398" s="1" t="str">
        <f>"0331Q86144"</f>
        <v>0331Q86144</v>
      </c>
      <c r="E7398" s="1" t="s">
        <v>10</v>
      </c>
      <c r="F7398" s="1" t="str">
        <f>"10.107.248.201"</f>
        <v>10.107.248.201</v>
      </c>
      <c r="G7398" s="1" t="str">
        <f>"0331Q861"</f>
        <v>0331Q861</v>
      </c>
      <c r="H7398" s="1" t="str">
        <f>"불암간 14R2"</f>
        <v>불암간 14R2</v>
      </c>
      <c r="I7398" s="1" t="s">
        <v>8</v>
      </c>
      <c r="J7398" s="1" t="str">
        <f>"46/46"</f>
        <v>46/46</v>
      </c>
      <c r="K7398" s="1" t="str">
        <f>"2026-07-29 13:18:03"</f>
        <v>2026-07-29 13:18:03</v>
      </c>
      <c r="L7398" s="1" t="str">
        <f>"2020-01-10 11:28:39"</f>
        <v>2020-01-10 11:28:39</v>
      </c>
      <c r="M7398" s="1" t="s">
        <v>45</v>
      </c>
      <c r="N7398" s="1" t="s">
        <v>38</v>
      </c>
      <c r="O7398" s="1" t="s">
        <v>46</v>
      </c>
    </row>
    <row r="7399" spans="2:15" x14ac:dyDescent="0.3">
      <c r="B7399" s="1" t="s">
        <v>22</v>
      </c>
      <c r="C7399" s="1" t="str">
        <f>"4차"</f>
        <v>4차</v>
      </c>
      <c r="D7399" s="1" t="str">
        <f>"0331Q88144"</f>
        <v>0331Q88144</v>
      </c>
      <c r="E7399" s="1" t="s">
        <v>10</v>
      </c>
      <c r="F7399" s="1" t="str">
        <f>"10.107.248.202"</f>
        <v>10.107.248.202</v>
      </c>
      <c r="G7399" s="1" t="str">
        <f>"0331Q881"</f>
        <v>0331Q881</v>
      </c>
      <c r="H7399" s="1" t="str">
        <f>"불암간 17"</f>
        <v>불암간 17</v>
      </c>
      <c r="I7399" s="1" t="s">
        <v>8</v>
      </c>
      <c r="J7399" s="1" t="str">
        <f>"48/48"</f>
        <v>48/48</v>
      </c>
      <c r="K7399" s="1" t="str">
        <f>"2026-07-29 13:18:03"</f>
        <v>2026-07-29 13:18:03</v>
      </c>
      <c r="L7399" s="1" t="str">
        <f>"2020-01-10 11:44:13"</f>
        <v>2020-01-10 11:44:13</v>
      </c>
      <c r="M7399" s="1" t="s">
        <v>45</v>
      </c>
      <c r="N7399" s="1" t="s">
        <v>38</v>
      </c>
      <c r="O7399" s="1" t="s">
        <v>46</v>
      </c>
    </row>
    <row r="7400" spans="2:15" x14ac:dyDescent="0.3">
      <c r="B7400" s="1" t="s">
        <v>22</v>
      </c>
      <c r="C7400" s="1" t="str">
        <f>"4차"</f>
        <v>4차</v>
      </c>
      <c r="D7400" s="1" t="str">
        <f>"0331Q89144"</f>
        <v>0331Q89144</v>
      </c>
      <c r="E7400" s="1" t="s">
        <v>10</v>
      </c>
      <c r="F7400" s="1" t="str">
        <f>"10.107.251.184"</f>
        <v>10.107.251.184</v>
      </c>
      <c r="G7400" s="1" t="str">
        <f>"0331Q891"</f>
        <v>0331Q891</v>
      </c>
      <c r="H7400" s="1" t="str">
        <f>"불암간 12L7R2"</f>
        <v>불암간 12L7R2</v>
      </c>
      <c r="I7400" s="1" t="s">
        <v>8</v>
      </c>
      <c r="J7400" s="1" t="str">
        <f>"31/31"</f>
        <v>31/31</v>
      </c>
      <c r="K7400" s="1" t="str">
        <f>"2026-07-29 13:18:03"</f>
        <v>2026-07-29 13:18:03</v>
      </c>
      <c r="L7400" s="1" t="str">
        <f>"2020-01-21 19:16:39"</f>
        <v>2020-01-21 19:16:39</v>
      </c>
      <c r="M7400" s="1" t="s">
        <v>45</v>
      </c>
      <c r="N7400" s="1" t="s">
        <v>38</v>
      </c>
      <c r="O7400" s="1" t="s">
        <v>46</v>
      </c>
    </row>
    <row r="7401" spans="2:15" x14ac:dyDescent="0.3">
      <c r="B7401" s="1" t="s">
        <v>22</v>
      </c>
      <c r="C7401" s="1" t="str">
        <f>"5-2차"</f>
        <v>5-2차</v>
      </c>
      <c r="D7401" s="1" t="str">
        <f>"0331Q8935S"</f>
        <v>0331Q8935S</v>
      </c>
      <c r="E7401" s="1" t="s">
        <v>10</v>
      </c>
      <c r="F7401" s="1" t="str">
        <f>"fde3:102:1420:1200:0:0:0:9"</f>
        <v>fde3:102:1420:1200:0:0:0:9</v>
      </c>
      <c r="G7401" s="1" t="str">
        <f>"0331Q893"</f>
        <v>0331Q893</v>
      </c>
      <c r="H7401" s="1" t="str">
        <f>"불암간 17L3"</f>
        <v>불암간 17L3</v>
      </c>
      <c r="I7401" s="1" t="s">
        <v>15</v>
      </c>
      <c r="J7401" s="1" t="str">
        <f>"41/41"</f>
        <v>41/41</v>
      </c>
      <c r="K7401" s="1" t="str">
        <f>"2026-07-29 14:20:27"</f>
        <v>2026-07-29 14:20:27</v>
      </c>
      <c r="L7401" s="1" t="str">
        <f>"2023-06-19 13:59:52"</f>
        <v>2023-06-19 13:59:52</v>
      </c>
      <c r="M7401" s="1" t="s">
        <v>45</v>
      </c>
      <c r="N7401" s="1" t="s">
        <v>38</v>
      </c>
      <c r="O7401" s="1" t="s">
        <v>46</v>
      </c>
    </row>
    <row r="7402" spans="2:15" x14ac:dyDescent="0.3">
      <c r="B7402" s="1" t="s">
        <v>22</v>
      </c>
      <c r="C7402" s="1" t="str">
        <f>"4차"</f>
        <v>4차</v>
      </c>
      <c r="D7402" s="1" t="str">
        <f>"0331Q91344"</f>
        <v>0331Q91344</v>
      </c>
      <c r="E7402" s="1" t="s">
        <v>14</v>
      </c>
      <c r="F7402" s="1" t="str">
        <f>"10.107.248.211"</f>
        <v>10.107.248.211</v>
      </c>
      <c r="G7402" s="1" t="str">
        <f>"0331Q913"</f>
        <v>0331Q913</v>
      </c>
      <c r="H7402" s="1" t="str">
        <f>"상계간 39L10R1"</f>
        <v>상계간 39L10R1</v>
      </c>
      <c r="I7402" s="1" t="s">
        <v>8</v>
      </c>
      <c r="J7402" s="1" t="str">
        <f>"0/0"</f>
        <v>0/0</v>
      </c>
      <c r="K7402" s="1" t="str">
        <f>"2025-08-27 07:21:03"</f>
        <v>2025-08-27 07:21:03</v>
      </c>
      <c r="L7402" s="1" t="str">
        <f>"2020-01-10 11:46:41"</f>
        <v>2020-01-10 11:46:41</v>
      </c>
      <c r="M7402" s="1" t="s">
        <v>45</v>
      </c>
      <c r="N7402" s="1" t="s">
        <v>44</v>
      </c>
      <c r="O7402" s="1" t="s">
        <v>44</v>
      </c>
    </row>
    <row r="7403" spans="2:15" x14ac:dyDescent="0.3">
      <c r="B7403" s="1" t="s">
        <v>22</v>
      </c>
      <c r="C7403" s="1" t="str">
        <f>"5-2차"</f>
        <v>5-2차</v>
      </c>
      <c r="D7403" s="1" t="str">
        <f>"0331Q9215M"</f>
        <v>0331Q9215M</v>
      </c>
      <c r="E7403" s="1" t="s">
        <v>10</v>
      </c>
      <c r="F7403" s="1" t="str">
        <f>"fde1:103:4:9193:0:0:0:2"</f>
        <v>fde1:103:4:9193:0:0:0:2</v>
      </c>
      <c r="G7403" s="1" t="str">
        <f>"0331Q921"</f>
        <v>0331Q921</v>
      </c>
      <c r="H7403" s="1" t="str">
        <f>"상계간 39L9R3"</f>
        <v>상계간 39L9R3</v>
      </c>
      <c r="I7403" s="1" t="s">
        <v>15</v>
      </c>
      <c r="J7403" s="1" t="str">
        <f>"63/63"</f>
        <v>63/63</v>
      </c>
      <c r="K7403" s="1" t="str">
        <f>"2026-07-29 14:21:00"</f>
        <v>2026-07-29 14:21:00</v>
      </c>
      <c r="L7403" s="1" t="str">
        <f>"2023-12-20 15:27:23"</f>
        <v>2023-12-20 15:27:23</v>
      </c>
      <c r="M7403" s="1" t="s">
        <v>4</v>
      </c>
      <c r="N7403" s="1" t="s">
        <v>38</v>
      </c>
      <c r="O7403" s="1" t="s">
        <v>46</v>
      </c>
    </row>
    <row r="7404" spans="2:15" x14ac:dyDescent="0.3">
      <c r="B7404" s="1" t="s">
        <v>22</v>
      </c>
      <c r="C7404" s="1" t="str">
        <f t="shared" ref="C7404:C7434" si="364">"4차"</f>
        <v>4차</v>
      </c>
      <c r="D7404" s="1" t="str">
        <f>"0331Q93144"</f>
        <v>0331Q93144</v>
      </c>
      <c r="E7404" s="1" t="s">
        <v>10</v>
      </c>
      <c r="F7404" s="1" t="str">
        <f>"10.107.248.212"</f>
        <v>10.107.248.212</v>
      </c>
      <c r="G7404" s="1" t="str">
        <f>"0331Q931"</f>
        <v>0331Q931</v>
      </c>
      <c r="H7404" s="1" t="str">
        <f>"상계간 39L9R4"</f>
        <v>상계간 39L9R4</v>
      </c>
      <c r="I7404" s="1" t="s">
        <v>8</v>
      </c>
      <c r="J7404" s="1" t="str">
        <f>"52/52"</f>
        <v>52/52</v>
      </c>
      <c r="K7404" s="1" t="str">
        <f>"2026-07-29 13:18:02"</f>
        <v>2026-07-29 13:18:02</v>
      </c>
      <c r="L7404" s="1" t="str">
        <f>"2020-01-10 11:40:16"</f>
        <v>2020-01-10 11:40:16</v>
      </c>
      <c r="M7404" s="1" t="s">
        <v>45</v>
      </c>
      <c r="N7404" s="1" t="s">
        <v>38</v>
      </c>
      <c r="O7404" s="1" t="s">
        <v>46</v>
      </c>
    </row>
    <row r="7405" spans="2:15" x14ac:dyDescent="0.3">
      <c r="B7405" s="1" t="s">
        <v>22</v>
      </c>
      <c r="C7405" s="1" t="str">
        <f t="shared" si="364"/>
        <v>4차</v>
      </c>
      <c r="D7405" s="1" t="str">
        <f>"0331Q96144"</f>
        <v>0331Q96144</v>
      </c>
      <c r="E7405" s="1" t="s">
        <v>10</v>
      </c>
      <c r="F7405" s="1" t="str">
        <f>"10.107.248.203"</f>
        <v>10.107.248.203</v>
      </c>
      <c r="G7405" s="1" t="str">
        <f>"0331Q961"</f>
        <v>0331Q961</v>
      </c>
      <c r="H7405" s="1" t="str">
        <f>"불암간 23R4"</f>
        <v>불암간 23R4</v>
      </c>
      <c r="I7405" s="1" t="s">
        <v>8</v>
      </c>
      <c r="J7405" s="1" t="str">
        <f>"2/2"</f>
        <v>2/2</v>
      </c>
      <c r="K7405" s="1" t="str">
        <f>"2026-07-29 13:18:02"</f>
        <v>2026-07-29 13:18:02</v>
      </c>
      <c r="L7405" s="1" t="str">
        <f>"2020-01-10 11:50:02"</f>
        <v>2020-01-10 11:50:02</v>
      </c>
      <c r="M7405" s="1" t="s">
        <v>45</v>
      </c>
      <c r="N7405" s="1" t="s">
        <v>38</v>
      </c>
      <c r="O7405" s="1" t="s">
        <v>46</v>
      </c>
    </row>
    <row r="7406" spans="2:15" x14ac:dyDescent="0.3">
      <c r="B7406" s="1" t="s">
        <v>22</v>
      </c>
      <c r="C7406" s="1" t="str">
        <f t="shared" si="364"/>
        <v>4차</v>
      </c>
      <c r="D7406" s="1" t="str">
        <f>"0331Q96544"</f>
        <v>0331Q96544</v>
      </c>
      <c r="E7406" s="1" t="s">
        <v>10</v>
      </c>
      <c r="F7406" s="1" t="str">
        <f>"10.107.251.185"</f>
        <v>10.107.251.185</v>
      </c>
      <c r="G7406" s="1" t="str">
        <f>"0331Q965"</f>
        <v>0331Q965</v>
      </c>
      <c r="H7406" s="1" t="str">
        <f>"불암간 23R6"</f>
        <v>불암간 23R6</v>
      </c>
      <c r="I7406" s="1" t="s">
        <v>8</v>
      </c>
      <c r="J7406" s="1" t="str">
        <f>"48/48"</f>
        <v>48/48</v>
      </c>
      <c r="K7406" s="1" t="str">
        <f>"2026-07-29 13:18:02"</f>
        <v>2026-07-29 13:18:02</v>
      </c>
      <c r="L7406" s="1" t="str">
        <f>"2020-01-10 11:30:18"</f>
        <v>2020-01-10 11:30:18</v>
      </c>
      <c r="M7406" s="1" t="s">
        <v>45</v>
      </c>
      <c r="N7406" s="1" t="s">
        <v>38</v>
      </c>
      <c r="O7406" s="1" t="s">
        <v>46</v>
      </c>
    </row>
    <row r="7407" spans="2:15" x14ac:dyDescent="0.3">
      <c r="B7407" s="1" t="s">
        <v>22</v>
      </c>
      <c r="C7407" s="1" t="str">
        <f t="shared" si="364"/>
        <v>4차</v>
      </c>
      <c r="D7407" s="1" t="str">
        <f>"0331Q98344"</f>
        <v>0331Q98344</v>
      </c>
      <c r="E7407" s="1" t="s">
        <v>10</v>
      </c>
      <c r="F7407" s="1" t="str">
        <f>"10.107.248.204"</f>
        <v>10.107.248.204</v>
      </c>
      <c r="G7407" s="1" t="str">
        <f>"0331Q983"</f>
        <v>0331Q983</v>
      </c>
      <c r="H7407" s="1" t="str">
        <f>"불암간 17L1"</f>
        <v>불암간 17L1</v>
      </c>
      <c r="I7407" s="1" t="s">
        <v>8</v>
      </c>
      <c r="J7407" s="1" t="str">
        <f>"35/36"</f>
        <v>35/36</v>
      </c>
      <c r="K7407" s="1" t="str">
        <f>"2026-07-29 13:18:02"</f>
        <v>2026-07-29 13:18:02</v>
      </c>
      <c r="L7407" s="1" t="str">
        <f>"2020-01-10 11:44:36"</f>
        <v>2020-01-10 11:44:36</v>
      </c>
      <c r="M7407" s="1" t="s">
        <v>45</v>
      </c>
      <c r="N7407" s="1" t="s">
        <v>38</v>
      </c>
      <c r="O7407" s="1" t="s">
        <v>46</v>
      </c>
    </row>
    <row r="7408" spans="2:15" x14ac:dyDescent="0.3">
      <c r="B7408" s="1" t="s">
        <v>22</v>
      </c>
      <c r="C7408" s="1" t="str">
        <f t="shared" si="364"/>
        <v>4차</v>
      </c>
      <c r="D7408" s="1" t="str">
        <f>"0331R04139"</f>
        <v>0331R04139</v>
      </c>
      <c r="E7408" s="1" t="s">
        <v>10</v>
      </c>
      <c r="F7408" s="1" t="str">
        <f>"10.12.135.233"</f>
        <v>10.12.135.233</v>
      </c>
      <c r="G7408" s="1" t="str">
        <f>"0331R041"</f>
        <v>0331R041</v>
      </c>
      <c r="H7408" s="1" t="str">
        <f>"노원 21"</f>
        <v>노원 21</v>
      </c>
      <c r="I7408" s="1" t="s">
        <v>17</v>
      </c>
      <c r="J7408" s="1" t="str">
        <f>"16/16"</f>
        <v>16/16</v>
      </c>
      <c r="K7408" s="1" t="str">
        <f>"2026-07-29 13:18:04"</f>
        <v>2026-07-29 13:18:04</v>
      </c>
      <c r="L7408" s="1" t="str">
        <f>"2018-05-21 14:59:25"</f>
        <v>2018-05-21 14:59:25</v>
      </c>
      <c r="M7408" s="1" t="s">
        <v>0</v>
      </c>
      <c r="N7408" s="1" t="s">
        <v>38</v>
      </c>
      <c r="O7408" s="1" t="s">
        <v>46</v>
      </c>
    </row>
    <row r="7409" spans="2:15" x14ac:dyDescent="0.3">
      <c r="B7409" s="1" t="s">
        <v>22</v>
      </c>
      <c r="C7409" s="1" t="str">
        <f t="shared" si="364"/>
        <v>4차</v>
      </c>
      <c r="D7409" s="1" t="str">
        <f>"0331R06439"</f>
        <v>0331R06439</v>
      </c>
      <c r="E7409" s="1" t="s">
        <v>10</v>
      </c>
      <c r="F7409" s="1" t="str">
        <f>"10.12.135.187"</f>
        <v>10.12.135.187</v>
      </c>
      <c r="G7409" s="1" t="str">
        <f>"0331R064"</f>
        <v>0331R064</v>
      </c>
      <c r="H7409" s="1" t="str">
        <f>"노원 50"</f>
        <v>노원 50</v>
      </c>
      <c r="I7409" s="1" t="s">
        <v>17</v>
      </c>
      <c r="J7409" s="1" t="str">
        <f>"17/17"</f>
        <v>17/17</v>
      </c>
      <c r="K7409" s="1" t="str">
        <f>"2026-07-29 13:18:04"</f>
        <v>2026-07-29 13:18:04</v>
      </c>
      <c r="L7409" s="1" t="str">
        <f>"2018-05-25 09:11:40"</f>
        <v>2018-05-25 09:11:40</v>
      </c>
      <c r="M7409" s="1" t="s">
        <v>0</v>
      </c>
      <c r="N7409" s="1" t="s">
        <v>38</v>
      </c>
      <c r="O7409" s="1" t="s">
        <v>46</v>
      </c>
    </row>
    <row r="7410" spans="2:15" x14ac:dyDescent="0.3">
      <c r="B7410" s="1" t="s">
        <v>22</v>
      </c>
      <c r="C7410" s="1" t="str">
        <f t="shared" si="364"/>
        <v>4차</v>
      </c>
      <c r="D7410" s="1" t="str">
        <f>"0331R23139"</f>
        <v>0331R23139</v>
      </c>
      <c r="E7410" s="1" t="s">
        <v>10</v>
      </c>
      <c r="F7410" s="1" t="str">
        <f>"10.12.136.33"</f>
        <v>10.12.136.33</v>
      </c>
      <c r="G7410" s="1" t="str">
        <f>"0331R231"</f>
        <v>0331R231</v>
      </c>
      <c r="H7410" s="1" t="str">
        <f>"노원 19A"</f>
        <v>노원 19A</v>
      </c>
      <c r="I7410" s="1" t="s">
        <v>17</v>
      </c>
      <c r="J7410" s="1" t="str">
        <f>"19/19"</f>
        <v>19/19</v>
      </c>
      <c r="K7410" s="1" t="str">
        <f>"2026-07-29 13:18:03"</f>
        <v>2026-07-29 13:18:03</v>
      </c>
      <c r="L7410" s="1" t="str">
        <f>"2018-05-21 13:42:37"</f>
        <v>2018-05-21 13:42:37</v>
      </c>
      <c r="M7410" s="1" t="s">
        <v>0</v>
      </c>
      <c r="N7410" s="1" t="s">
        <v>38</v>
      </c>
      <c r="O7410" s="1" t="s">
        <v>46</v>
      </c>
    </row>
    <row r="7411" spans="2:15" x14ac:dyDescent="0.3">
      <c r="B7411" s="1" t="s">
        <v>22</v>
      </c>
      <c r="C7411" s="1" t="str">
        <f t="shared" si="364"/>
        <v>4차</v>
      </c>
      <c r="D7411" s="1" t="str">
        <f>"0331R27139"</f>
        <v>0331R27139</v>
      </c>
      <c r="E7411" s="1" t="s">
        <v>10</v>
      </c>
      <c r="F7411" s="1" t="str">
        <f>"10.12.135.227"</f>
        <v>10.12.135.227</v>
      </c>
      <c r="G7411" s="1" t="str">
        <f>"0331R271"</f>
        <v>0331R271</v>
      </c>
      <c r="H7411" s="1" t="str">
        <f>"노원 53"</f>
        <v>노원 53</v>
      </c>
      <c r="I7411" s="1" t="s">
        <v>17</v>
      </c>
      <c r="J7411" s="1" t="str">
        <f>"10/10"</f>
        <v>10/10</v>
      </c>
      <c r="K7411" s="1" t="str">
        <f>"2026-07-29 13:18:05"</f>
        <v>2026-07-29 13:18:05</v>
      </c>
      <c r="L7411" s="1" t="str">
        <f>"2018-07-16 10:13:24"</f>
        <v>2018-07-16 10:13:24</v>
      </c>
      <c r="M7411" s="1" t="s">
        <v>0</v>
      </c>
      <c r="N7411" s="1" t="s">
        <v>38</v>
      </c>
      <c r="O7411" s="1" t="s">
        <v>46</v>
      </c>
    </row>
    <row r="7412" spans="2:15" x14ac:dyDescent="0.3">
      <c r="B7412" s="1" t="s">
        <v>22</v>
      </c>
      <c r="C7412" s="1" t="str">
        <f t="shared" si="364"/>
        <v>4차</v>
      </c>
      <c r="D7412" s="1" t="str">
        <f>"0331R34139"</f>
        <v>0331R34139</v>
      </c>
      <c r="E7412" s="1" t="s">
        <v>10</v>
      </c>
      <c r="F7412" s="1" t="str">
        <f>"10.12.137.188"</f>
        <v>10.12.137.188</v>
      </c>
      <c r="G7412" s="1" t="str">
        <f>"0331R341"</f>
        <v>0331R341</v>
      </c>
      <c r="H7412" s="1" t="str">
        <f>"노원 19B"</f>
        <v>노원 19B</v>
      </c>
      <c r="I7412" s="1" t="s">
        <v>17</v>
      </c>
      <c r="J7412" s="1" t="str">
        <f>"12/12"</f>
        <v>12/12</v>
      </c>
      <c r="K7412" s="1" t="str">
        <f>"2026-07-29 13:18:02"</f>
        <v>2026-07-29 13:18:02</v>
      </c>
      <c r="L7412" s="1" t="str">
        <f>"2018-05-21 13:54:22"</f>
        <v>2018-05-21 13:54:22</v>
      </c>
      <c r="M7412" s="1" t="s">
        <v>0</v>
      </c>
      <c r="N7412" s="1" t="s">
        <v>38</v>
      </c>
      <c r="O7412" s="1" t="s">
        <v>46</v>
      </c>
    </row>
    <row r="7413" spans="2:15" x14ac:dyDescent="0.3">
      <c r="B7413" s="1" t="s">
        <v>22</v>
      </c>
      <c r="C7413" s="1" t="str">
        <f t="shared" si="364"/>
        <v>4차</v>
      </c>
      <c r="D7413" s="1" t="str">
        <f>"0331R37339"</f>
        <v>0331R37339</v>
      </c>
      <c r="E7413" s="1" t="s">
        <v>10</v>
      </c>
      <c r="F7413" s="1" t="str">
        <f>"10.12.135.188"</f>
        <v>10.12.135.188</v>
      </c>
      <c r="G7413" s="1" t="str">
        <f>"0331R373"</f>
        <v>0331R373</v>
      </c>
      <c r="H7413" s="1" t="str">
        <f>"노원 54A"</f>
        <v>노원 54A</v>
      </c>
      <c r="I7413" s="1" t="s">
        <v>17</v>
      </c>
      <c r="J7413" s="1" t="str">
        <f>"9/9"</f>
        <v>9/9</v>
      </c>
      <c r="K7413" s="1" t="str">
        <f>"2026-07-29 13:18:04"</f>
        <v>2026-07-29 13:18:04</v>
      </c>
      <c r="L7413" s="1" t="str">
        <f>"2018-05-25 08:35:09"</f>
        <v>2018-05-25 08:35:09</v>
      </c>
      <c r="M7413" s="1" t="s">
        <v>0</v>
      </c>
      <c r="N7413" s="1" t="s">
        <v>38</v>
      </c>
      <c r="O7413" s="1" t="s">
        <v>46</v>
      </c>
    </row>
    <row r="7414" spans="2:15" x14ac:dyDescent="0.3">
      <c r="B7414" s="1" t="s">
        <v>22</v>
      </c>
      <c r="C7414" s="1" t="str">
        <f t="shared" si="364"/>
        <v>4차</v>
      </c>
      <c r="D7414" s="1" t="str">
        <f>"0331R44139"</f>
        <v>0331R44139</v>
      </c>
      <c r="E7414" s="1" t="s">
        <v>10</v>
      </c>
      <c r="F7414" s="1" t="str">
        <f>"10.12.136.29"</f>
        <v>10.12.136.29</v>
      </c>
      <c r="G7414" s="1" t="str">
        <f>"0331R441"</f>
        <v>0331R441</v>
      </c>
      <c r="H7414" s="1" t="str">
        <f>"노원 19"</f>
        <v>노원 19</v>
      </c>
      <c r="I7414" s="1" t="s">
        <v>17</v>
      </c>
      <c r="J7414" s="1" t="str">
        <f>"14/14"</f>
        <v>14/14</v>
      </c>
      <c r="K7414" s="1" t="str">
        <f>"2026-07-29 13:18:03"</f>
        <v>2026-07-29 13:18:03</v>
      </c>
      <c r="L7414" s="1" t="str">
        <f>"2018-07-12 17:59:50"</f>
        <v>2018-07-12 17:59:50</v>
      </c>
      <c r="M7414" s="1" t="s">
        <v>0</v>
      </c>
      <c r="N7414" s="1" t="s">
        <v>38</v>
      </c>
      <c r="O7414" s="1" t="s">
        <v>46</v>
      </c>
    </row>
    <row r="7415" spans="2:15" x14ac:dyDescent="0.3">
      <c r="B7415" s="1" t="s">
        <v>22</v>
      </c>
      <c r="C7415" s="1" t="str">
        <f t="shared" si="364"/>
        <v>4차</v>
      </c>
      <c r="D7415" s="1" t="str">
        <f>"0331R65139"</f>
        <v>0331R65139</v>
      </c>
      <c r="E7415" s="1" t="s">
        <v>10</v>
      </c>
      <c r="F7415" s="1" t="str">
        <f>"10.12.135.232"</f>
        <v>10.12.135.232</v>
      </c>
      <c r="G7415" s="1" t="str">
        <f>"0331R651"</f>
        <v>0331R651</v>
      </c>
      <c r="H7415" s="1" t="str">
        <f>"노원 24A"</f>
        <v>노원 24A</v>
      </c>
      <c r="I7415" s="1" t="s">
        <v>17</v>
      </c>
      <c r="J7415" s="1" t="str">
        <f>"6/6"</f>
        <v>6/6</v>
      </c>
      <c r="K7415" s="1" t="str">
        <f>"2026-07-29 13:18:04"</f>
        <v>2026-07-29 13:18:04</v>
      </c>
      <c r="L7415" s="1" t="str">
        <f>"2018-05-24 10:11:12"</f>
        <v>2018-05-24 10:11:12</v>
      </c>
      <c r="M7415" s="1" t="s">
        <v>0</v>
      </c>
      <c r="N7415" s="1" t="s">
        <v>38</v>
      </c>
      <c r="O7415" s="1" t="s">
        <v>46</v>
      </c>
    </row>
    <row r="7416" spans="2:15" x14ac:dyDescent="0.3">
      <c r="B7416" s="1" t="s">
        <v>22</v>
      </c>
      <c r="C7416" s="1" t="str">
        <f t="shared" si="364"/>
        <v>4차</v>
      </c>
      <c r="D7416" s="1" t="str">
        <f>"0331R71139"</f>
        <v>0331R71139</v>
      </c>
      <c r="E7416" s="1" t="s">
        <v>10</v>
      </c>
      <c r="F7416" s="1" t="str">
        <f>"10.14.9.120"</f>
        <v>10.14.9.120</v>
      </c>
      <c r="G7416" s="1" t="str">
        <f>"0331R711"</f>
        <v>0331R711</v>
      </c>
      <c r="H7416" s="1" t="str">
        <f>"노원 31"</f>
        <v>노원 31</v>
      </c>
      <c r="I7416" s="1" t="s">
        <v>17</v>
      </c>
      <c r="J7416" s="1" t="str">
        <f>"21/21"</f>
        <v>21/21</v>
      </c>
      <c r="K7416" s="1" t="str">
        <f>"2026-07-29 13:18:03"</f>
        <v>2026-07-29 13:18:03</v>
      </c>
      <c r="L7416" s="1" t="str">
        <f>"2018-07-16 09:29:26"</f>
        <v>2018-07-16 09:29:26</v>
      </c>
      <c r="M7416" s="1" t="s">
        <v>3</v>
      </c>
      <c r="N7416" s="1" t="s">
        <v>38</v>
      </c>
      <c r="O7416" s="1" t="s">
        <v>46</v>
      </c>
    </row>
    <row r="7417" spans="2:15" x14ac:dyDescent="0.3">
      <c r="B7417" s="1" t="s">
        <v>22</v>
      </c>
      <c r="C7417" s="1" t="str">
        <f t="shared" si="364"/>
        <v>4차</v>
      </c>
      <c r="D7417" s="1" t="str">
        <f>"0331R85139"</f>
        <v>0331R85139</v>
      </c>
      <c r="E7417" s="1" t="s">
        <v>10</v>
      </c>
      <c r="F7417" s="1" t="str">
        <f>"10.12.135.179"</f>
        <v>10.12.135.179</v>
      </c>
      <c r="G7417" s="1" t="str">
        <f>"0331R851"</f>
        <v>0331R851</v>
      </c>
      <c r="H7417" s="1" t="str">
        <f>"노원 24"</f>
        <v>노원 24</v>
      </c>
      <c r="I7417" s="1" t="s">
        <v>17</v>
      </c>
      <c r="J7417" s="1" t="str">
        <f>"9/9"</f>
        <v>9/9</v>
      </c>
      <c r="K7417" s="1" t="str">
        <f>"2026-07-29 13:18:04"</f>
        <v>2026-07-29 13:18:04</v>
      </c>
      <c r="L7417" s="1" t="str">
        <f>"2018-07-12 17:59:50"</f>
        <v>2018-07-12 17:59:50</v>
      </c>
      <c r="M7417" s="1" t="s">
        <v>0</v>
      </c>
      <c r="N7417" s="1" t="s">
        <v>38</v>
      </c>
      <c r="O7417" s="1" t="s">
        <v>46</v>
      </c>
    </row>
    <row r="7418" spans="2:15" x14ac:dyDescent="0.3">
      <c r="B7418" s="1" t="s">
        <v>22</v>
      </c>
      <c r="C7418" s="1" t="str">
        <f t="shared" si="364"/>
        <v>4차</v>
      </c>
      <c r="D7418" s="1" t="str">
        <f>"0331R89339"</f>
        <v>0331R89339</v>
      </c>
      <c r="E7418" s="1" t="s">
        <v>10</v>
      </c>
      <c r="F7418" s="1" t="str">
        <f>"10.12.135.219"</f>
        <v>10.12.135.219</v>
      </c>
      <c r="G7418" s="1" t="str">
        <f>"0331R893"</f>
        <v>0331R893</v>
      </c>
      <c r="H7418" s="1" t="str">
        <f>"노원 61"</f>
        <v>노원 61</v>
      </c>
      <c r="I7418" s="1" t="s">
        <v>17</v>
      </c>
      <c r="J7418" s="1" t="str">
        <f>"12/12"</f>
        <v>12/12</v>
      </c>
      <c r="K7418" s="1" t="str">
        <f>"2026-07-29 13:18:03"</f>
        <v>2026-07-29 13:18:03</v>
      </c>
      <c r="L7418" s="1" t="str">
        <f>"2018-05-25 14:10:13"</f>
        <v>2018-05-25 14:10:13</v>
      </c>
      <c r="M7418" s="1" t="s">
        <v>0</v>
      </c>
      <c r="N7418" s="1" t="s">
        <v>38</v>
      </c>
      <c r="O7418" s="1" t="s">
        <v>46</v>
      </c>
    </row>
    <row r="7419" spans="2:15" x14ac:dyDescent="0.3">
      <c r="B7419" s="1" t="s">
        <v>22</v>
      </c>
      <c r="C7419" s="1" t="str">
        <f t="shared" si="364"/>
        <v>4차</v>
      </c>
      <c r="D7419" s="1" t="str">
        <f>"0331R97139"</f>
        <v>0331R97139</v>
      </c>
      <c r="E7419" s="1" t="s">
        <v>10</v>
      </c>
      <c r="F7419" s="1" t="str">
        <f>"10.12.134.173"</f>
        <v>10.12.134.173</v>
      </c>
      <c r="G7419" s="1" t="str">
        <f>"0331R971"</f>
        <v>0331R971</v>
      </c>
      <c r="H7419" s="1" t="str">
        <f>"노원 22"</f>
        <v>노원 22</v>
      </c>
      <c r="I7419" s="1" t="s">
        <v>17</v>
      </c>
      <c r="J7419" s="1" t="str">
        <f>"22/22"</f>
        <v>22/22</v>
      </c>
      <c r="K7419" s="1" t="str">
        <f>"2026-07-29 13:18:04"</f>
        <v>2026-07-29 13:18:04</v>
      </c>
      <c r="L7419" s="1" t="str">
        <f>"2018-05-24 15:30:44"</f>
        <v>2018-05-24 15:30:44</v>
      </c>
      <c r="M7419" s="1" t="s">
        <v>0</v>
      </c>
      <c r="N7419" s="1" t="s">
        <v>38</v>
      </c>
      <c r="O7419" s="1" t="s">
        <v>46</v>
      </c>
    </row>
    <row r="7420" spans="2:15" x14ac:dyDescent="0.3">
      <c r="B7420" s="1" t="s">
        <v>22</v>
      </c>
      <c r="C7420" s="1" t="str">
        <f t="shared" si="364"/>
        <v>4차</v>
      </c>
      <c r="D7420" s="1" t="str">
        <f>"0331R98239"</f>
        <v>0331R98239</v>
      </c>
      <c r="E7420" s="1" t="s">
        <v>10</v>
      </c>
      <c r="F7420" s="1" t="str">
        <f>"10.12.135.196"</f>
        <v>10.12.135.196</v>
      </c>
      <c r="G7420" s="1" t="str">
        <f>"0331R982"</f>
        <v>0331R982</v>
      </c>
      <c r="H7420" s="1" t="str">
        <f>"노원 62"</f>
        <v>노원 62</v>
      </c>
      <c r="I7420" s="1" t="s">
        <v>17</v>
      </c>
      <c r="J7420" s="1" t="str">
        <f>"2/3"</f>
        <v>2/3</v>
      </c>
      <c r="K7420" s="1" t="str">
        <f>"2026-07-29 13:18:04"</f>
        <v>2026-07-29 13:18:04</v>
      </c>
      <c r="L7420" s="1" t="str">
        <f>"2018-05-25 14:06:13"</f>
        <v>2018-05-25 14:06:13</v>
      </c>
      <c r="M7420" s="1" t="s">
        <v>0</v>
      </c>
      <c r="N7420" s="1" t="s">
        <v>38</v>
      </c>
      <c r="O7420" s="1" t="s">
        <v>46</v>
      </c>
    </row>
    <row r="7421" spans="2:15" x14ac:dyDescent="0.3">
      <c r="B7421" s="1" t="s">
        <v>22</v>
      </c>
      <c r="C7421" s="1" t="str">
        <f t="shared" si="364"/>
        <v>4차</v>
      </c>
      <c r="D7421" s="1" t="str">
        <f>"0331S01145"</f>
        <v>0331S01145</v>
      </c>
      <c r="E7421" s="1" t="s">
        <v>10</v>
      </c>
      <c r="F7421" s="1" t="str">
        <f>"10.12.128.58"</f>
        <v>10.12.128.58</v>
      </c>
      <c r="G7421" s="1" t="str">
        <f>"0331S011"</f>
        <v>0331S011</v>
      </c>
      <c r="H7421" s="1" t="str">
        <f>"노원 30"</f>
        <v>노원 30</v>
      </c>
      <c r="I7421" s="1" t="s">
        <v>17</v>
      </c>
      <c r="J7421" s="1" t="str">
        <f>"140/140"</f>
        <v>140/140</v>
      </c>
      <c r="K7421" s="1" t="str">
        <f>"2026-07-29 13:18:04"</f>
        <v>2026-07-29 13:18:04</v>
      </c>
      <c r="L7421" s="1" t="str">
        <f>"2025-02-24 17:14:16"</f>
        <v>2025-02-24 17:14:16</v>
      </c>
      <c r="M7421" s="1" t="s">
        <v>0</v>
      </c>
      <c r="N7421" s="1" t="s">
        <v>38</v>
      </c>
      <c r="O7421" s="1" t="s">
        <v>46</v>
      </c>
    </row>
    <row r="7422" spans="2:15" x14ac:dyDescent="0.3">
      <c r="B7422" s="1" t="s">
        <v>22</v>
      </c>
      <c r="C7422" s="1" t="str">
        <f t="shared" si="364"/>
        <v>4차</v>
      </c>
      <c r="D7422" s="1" t="str">
        <f>"0331S02139"</f>
        <v>0331S02139</v>
      </c>
      <c r="E7422" s="1" t="s">
        <v>10</v>
      </c>
      <c r="F7422" s="1" t="str">
        <f>"10.12.128.122"</f>
        <v>10.12.128.122</v>
      </c>
      <c r="G7422" s="1" t="str">
        <f>"0331S021"</f>
        <v>0331S021</v>
      </c>
      <c r="H7422" s="1" t="str">
        <f>"노원 28"</f>
        <v>노원 28</v>
      </c>
      <c r="I7422" s="1" t="s">
        <v>17</v>
      </c>
      <c r="J7422" s="1" t="str">
        <f>"100/100"</f>
        <v>100/100</v>
      </c>
      <c r="K7422" s="1" t="str">
        <f>"2026-07-29 13:18:05"</f>
        <v>2026-07-29 13:18:05</v>
      </c>
      <c r="L7422" s="1" t="str">
        <f>"2018-05-23 16:25:30"</f>
        <v>2018-05-23 16:25:30</v>
      </c>
      <c r="M7422" s="1" t="s">
        <v>0</v>
      </c>
      <c r="N7422" s="1" t="s">
        <v>38</v>
      </c>
      <c r="O7422" s="1" t="s">
        <v>46</v>
      </c>
    </row>
    <row r="7423" spans="2:15" x14ac:dyDescent="0.3">
      <c r="B7423" s="1" t="s">
        <v>22</v>
      </c>
      <c r="C7423" s="1" t="str">
        <f t="shared" si="364"/>
        <v>4차</v>
      </c>
      <c r="D7423" s="1" t="str">
        <f>"0331S05139"</f>
        <v>0331S05139</v>
      </c>
      <c r="E7423" s="1" t="s">
        <v>10</v>
      </c>
      <c r="F7423" s="1" t="str">
        <f>"10.12.135.181"</f>
        <v>10.12.135.181</v>
      </c>
      <c r="G7423" s="1" t="str">
        <f>"0331S051"</f>
        <v>0331S051</v>
      </c>
      <c r="H7423" s="1" t="str">
        <f>"노원 41"</f>
        <v>노원 41</v>
      </c>
      <c r="I7423" s="1" t="s">
        <v>17</v>
      </c>
      <c r="J7423" s="1" t="str">
        <f>"13/13"</f>
        <v>13/13</v>
      </c>
      <c r="K7423" s="1" t="str">
        <f>"2026-07-29 13:18:04"</f>
        <v>2026-07-29 13:18:04</v>
      </c>
      <c r="L7423" s="1" t="str">
        <f>"2018-05-24 10:25:56"</f>
        <v>2018-05-24 10:25:56</v>
      </c>
      <c r="M7423" s="1" t="s">
        <v>0</v>
      </c>
      <c r="N7423" s="1" t="s">
        <v>38</v>
      </c>
      <c r="O7423" s="1" t="s">
        <v>46</v>
      </c>
    </row>
    <row r="7424" spans="2:15" x14ac:dyDescent="0.3">
      <c r="B7424" s="1" t="s">
        <v>22</v>
      </c>
      <c r="C7424" s="1" t="str">
        <f t="shared" si="364"/>
        <v>4차</v>
      </c>
      <c r="D7424" s="1" t="str">
        <f>"0331S11139"</f>
        <v>0331S11139</v>
      </c>
      <c r="E7424" s="1" t="s">
        <v>10</v>
      </c>
      <c r="F7424" s="1" t="str">
        <f>"10.12.135.185"</f>
        <v>10.12.135.185</v>
      </c>
      <c r="G7424" s="1" t="str">
        <f>"0331S111"</f>
        <v>0331S111</v>
      </c>
      <c r="H7424" s="1" t="str">
        <f>"노원 38"</f>
        <v>노원 38</v>
      </c>
      <c r="I7424" s="1" t="s">
        <v>17</v>
      </c>
      <c r="J7424" s="1" t="str">
        <f>"1/1"</f>
        <v>1/1</v>
      </c>
      <c r="K7424" s="1" t="str">
        <f>"2026-07-29 13:18:04"</f>
        <v>2026-07-29 13:18:04</v>
      </c>
      <c r="L7424" s="1" t="str">
        <f>"2018-05-23 12:51:13"</f>
        <v>2018-05-23 12:51:13</v>
      </c>
      <c r="M7424" s="1" t="s">
        <v>0</v>
      </c>
      <c r="N7424" s="1" t="s">
        <v>38</v>
      </c>
      <c r="O7424" s="1" t="s">
        <v>46</v>
      </c>
    </row>
    <row r="7425" spans="2:15" x14ac:dyDescent="0.3">
      <c r="B7425" s="1" t="s">
        <v>22</v>
      </c>
      <c r="C7425" s="1" t="str">
        <f t="shared" si="364"/>
        <v>4차</v>
      </c>
      <c r="D7425" s="1" t="str">
        <f>"0331S13139"</f>
        <v>0331S13139</v>
      </c>
      <c r="E7425" s="1" t="s">
        <v>10</v>
      </c>
      <c r="F7425" s="1" t="str">
        <f>"10.12.135.226"</f>
        <v>10.12.135.226</v>
      </c>
      <c r="G7425" s="1" t="str">
        <f>"0331S131"</f>
        <v>0331S131</v>
      </c>
      <c r="H7425" s="1" t="str">
        <f>"노원 42"</f>
        <v>노원 42</v>
      </c>
      <c r="I7425" s="1" t="s">
        <v>17</v>
      </c>
      <c r="J7425" s="1" t="str">
        <f>"121/121"</f>
        <v>121/121</v>
      </c>
      <c r="K7425" s="1" t="str">
        <f>"2026-07-29 13:18:03"</f>
        <v>2026-07-29 13:18:03</v>
      </c>
      <c r="L7425" s="1" t="str">
        <f>"2018-05-23 13:19:17"</f>
        <v>2018-05-23 13:19:17</v>
      </c>
      <c r="M7425" s="1" t="s">
        <v>0</v>
      </c>
      <c r="N7425" s="1" t="s">
        <v>38</v>
      </c>
      <c r="O7425" s="1" t="s">
        <v>46</v>
      </c>
    </row>
    <row r="7426" spans="2:15" x14ac:dyDescent="0.3">
      <c r="B7426" s="1" t="s">
        <v>22</v>
      </c>
      <c r="C7426" s="1" t="str">
        <f t="shared" si="364"/>
        <v>4차</v>
      </c>
      <c r="D7426" s="1" t="str">
        <f>"0331S28139"</f>
        <v>0331S28139</v>
      </c>
      <c r="E7426" s="1" t="s">
        <v>10</v>
      </c>
      <c r="F7426" s="1" t="str">
        <f>"10.12.137.68"</f>
        <v>10.12.137.68</v>
      </c>
      <c r="G7426" s="1" t="str">
        <f>"0331S281"</f>
        <v>0331S281</v>
      </c>
      <c r="H7426" s="1" t="str">
        <f>"노원 23A"</f>
        <v>노원 23A</v>
      </c>
      <c r="I7426" s="1" t="s">
        <v>17</v>
      </c>
      <c r="J7426" s="1" t="str">
        <f>"7/7"</f>
        <v>7/7</v>
      </c>
      <c r="K7426" s="1" t="str">
        <f>"2026-07-29 13:18:04"</f>
        <v>2026-07-29 13:18:04</v>
      </c>
      <c r="L7426" s="1" t="str">
        <f>"2018-05-28 08:44:26"</f>
        <v>2018-05-28 08:44:26</v>
      </c>
      <c r="M7426" s="1" t="s">
        <v>0</v>
      </c>
      <c r="N7426" s="1" t="s">
        <v>38</v>
      </c>
      <c r="O7426" s="1" t="s">
        <v>46</v>
      </c>
    </row>
    <row r="7427" spans="2:15" x14ac:dyDescent="0.3">
      <c r="B7427" s="1" t="s">
        <v>22</v>
      </c>
      <c r="C7427" s="1" t="str">
        <f t="shared" si="364"/>
        <v>4차</v>
      </c>
      <c r="D7427" s="1" t="str">
        <f>"0331S33139"</f>
        <v>0331S33139</v>
      </c>
      <c r="E7427" s="1" t="s">
        <v>10</v>
      </c>
      <c r="F7427" s="1" t="str">
        <f>"10.12.136.25"</f>
        <v>10.12.136.25</v>
      </c>
      <c r="G7427" s="1" t="str">
        <f>"0331S331"</f>
        <v>0331S331</v>
      </c>
      <c r="H7427" s="1" t="str">
        <f>"노원 43"</f>
        <v>노원 43</v>
      </c>
      <c r="I7427" s="1" t="s">
        <v>17</v>
      </c>
      <c r="J7427" s="1" t="str">
        <f>"81/81"</f>
        <v>81/81</v>
      </c>
      <c r="K7427" s="1" t="str">
        <f>"2026-07-29 13:18:01"</f>
        <v>2026-07-29 13:18:01</v>
      </c>
      <c r="L7427" s="1" t="str">
        <f>"2018-05-24 08:42:12"</f>
        <v>2018-05-24 08:42:12</v>
      </c>
      <c r="M7427" s="1" t="s">
        <v>0</v>
      </c>
      <c r="N7427" s="1" t="s">
        <v>38</v>
      </c>
      <c r="O7427" s="1" t="s">
        <v>46</v>
      </c>
    </row>
    <row r="7428" spans="2:15" x14ac:dyDescent="0.3">
      <c r="B7428" s="1" t="s">
        <v>22</v>
      </c>
      <c r="C7428" s="1" t="str">
        <f t="shared" si="364"/>
        <v>4차</v>
      </c>
      <c r="D7428" s="1" t="str">
        <f>"0331S33239"</f>
        <v>0331S33239</v>
      </c>
      <c r="E7428" s="1" t="s">
        <v>10</v>
      </c>
      <c r="F7428" s="1" t="str">
        <f>"10.12.136.27"</f>
        <v>10.12.136.27</v>
      </c>
      <c r="G7428" s="1" t="str">
        <f>"0331S332"</f>
        <v>0331S332</v>
      </c>
      <c r="H7428" s="1" t="str">
        <f>"노원 44"</f>
        <v>노원 44</v>
      </c>
      <c r="I7428" s="1" t="s">
        <v>17</v>
      </c>
      <c r="J7428" s="1" t="str">
        <f>"83/83"</f>
        <v>83/83</v>
      </c>
      <c r="K7428" s="1" t="str">
        <f>"2026-07-29 13:18:02"</f>
        <v>2026-07-29 13:18:02</v>
      </c>
      <c r="L7428" s="1" t="str">
        <f>"2018-05-24 08:30:40"</f>
        <v>2018-05-24 08:30:40</v>
      </c>
      <c r="M7428" s="1" t="s">
        <v>0</v>
      </c>
      <c r="N7428" s="1" t="s">
        <v>38</v>
      </c>
      <c r="O7428" s="1" t="s">
        <v>46</v>
      </c>
    </row>
    <row r="7429" spans="2:15" x14ac:dyDescent="0.3">
      <c r="B7429" s="1" t="s">
        <v>22</v>
      </c>
      <c r="C7429" s="1" t="str">
        <f t="shared" si="364"/>
        <v>4차</v>
      </c>
      <c r="D7429" s="1" t="str">
        <f>"0331S40145"</f>
        <v>0331S40145</v>
      </c>
      <c r="E7429" s="1" t="s">
        <v>10</v>
      </c>
      <c r="F7429" s="1" t="str">
        <f>"10.12.130.39"</f>
        <v>10.12.130.39</v>
      </c>
      <c r="G7429" s="1" t="str">
        <f>"0331S401"</f>
        <v>0331S401</v>
      </c>
      <c r="H7429" s="1" t="str">
        <f>"노원 39"</f>
        <v>노원 39</v>
      </c>
      <c r="I7429" s="1" t="s">
        <v>17</v>
      </c>
      <c r="J7429" s="1" t="str">
        <f>"6/6"</f>
        <v>6/6</v>
      </c>
      <c r="K7429" s="1" t="str">
        <f>"2026-07-29 13:18:03"</f>
        <v>2026-07-29 13:18:03</v>
      </c>
      <c r="L7429" s="1" t="str">
        <f>"2025-05-26 10:17:05"</f>
        <v>2025-05-26 10:17:05</v>
      </c>
      <c r="M7429" s="1" t="s">
        <v>0</v>
      </c>
      <c r="N7429" s="1" t="s">
        <v>38</v>
      </c>
      <c r="O7429" s="1" t="s">
        <v>46</v>
      </c>
    </row>
    <row r="7430" spans="2:15" x14ac:dyDescent="0.3">
      <c r="B7430" s="1" t="s">
        <v>22</v>
      </c>
      <c r="C7430" s="1" t="str">
        <f t="shared" si="364"/>
        <v>4차</v>
      </c>
      <c r="D7430" s="1" t="str">
        <f>"0331S42139"</f>
        <v>0331S42139</v>
      </c>
      <c r="E7430" s="1" t="s">
        <v>10</v>
      </c>
      <c r="F7430" s="1" t="str">
        <f>"10.12.135.184"</f>
        <v>10.12.135.184</v>
      </c>
      <c r="G7430" s="1" t="str">
        <f>"0331S421"</f>
        <v>0331S421</v>
      </c>
      <c r="H7430" s="1" t="str">
        <f>"노원 40"</f>
        <v>노원 40</v>
      </c>
      <c r="I7430" s="1" t="s">
        <v>17</v>
      </c>
      <c r="J7430" s="1" t="str">
        <f>"81/81"</f>
        <v>81/81</v>
      </c>
      <c r="K7430" s="1" t="str">
        <f>"2026-07-29 13:18:04"</f>
        <v>2026-07-29 13:18:04</v>
      </c>
      <c r="L7430" s="1" t="str">
        <f>"2018-05-24 10:44:58"</f>
        <v>2018-05-24 10:44:58</v>
      </c>
      <c r="M7430" s="1" t="s">
        <v>0</v>
      </c>
      <c r="N7430" s="1" t="s">
        <v>38</v>
      </c>
      <c r="O7430" s="1" t="s">
        <v>46</v>
      </c>
    </row>
    <row r="7431" spans="2:15" x14ac:dyDescent="0.3">
      <c r="B7431" s="1" t="s">
        <v>22</v>
      </c>
      <c r="C7431" s="1" t="str">
        <f t="shared" si="364"/>
        <v>4차</v>
      </c>
      <c r="D7431" s="1" t="str">
        <f>"0331S43139"</f>
        <v>0331S43139</v>
      </c>
      <c r="E7431" s="1" t="s">
        <v>10</v>
      </c>
      <c r="F7431" s="1" t="str">
        <f>"10.12.135.182"</f>
        <v>10.12.135.182</v>
      </c>
      <c r="G7431" s="1" t="str">
        <f>"0331S431"</f>
        <v>0331S431</v>
      </c>
      <c r="H7431" s="1" t="str">
        <f>"노원 46"</f>
        <v>노원 46</v>
      </c>
      <c r="I7431" s="1" t="s">
        <v>17</v>
      </c>
      <c r="J7431" s="1" t="str">
        <f>"83/83"</f>
        <v>83/83</v>
      </c>
      <c r="K7431" s="1" t="str">
        <f>"2026-07-29 13:18:05"</f>
        <v>2026-07-29 13:18:05</v>
      </c>
      <c r="L7431" s="1" t="str">
        <f>"2018-07-12 17:59:50"</f>
        <v>2018-07-12 17:59:50</v>
      </c>
      <c r="M7431" s="1" t="s">
        <v>0</v>
      </c>
      <c r="N7431" s="1" t="s">
        <v>38</v>
      </c>
      <c r="O7431" s="1" t="s">
        <v>46</v>
      </c>
    </row>
    <row r="7432" spans="2:15" x14ac:dyDescent="0.3">
      <c r="B7432" s="1" t="s">
        <v>22</v>
      </c>
      <c r="C7432" s="1" t="str">
        <f t="shared" si="364"/>
        <v>4차</v>
      </c>
      <c r="D7432" s="1" t="str">
        <f>"0331S44139"</f>
        <v>0331S44139</v>
      </c>
      <c r="E7432" s="1" t="s">
        <v>10</v>
      </c>
      <c r="F7432" s="1" t="str">
        <f>"10.12.136.38"</f>
        <v>10.12.136.38</v>
      </c>
      <c r="G7432" s="1" t="str">
        <f>"0331S441"</f>
        <v>0331S441</v>
      </c>
      <c r="H7432" s="1" t="str">
        <f>"노원 45"</f>
        <v>노원 45</v>
      </c>
      <c r="I7432" s="1" t="s">
        <v>17</v>
      </c>
      <c r="J7432" s="1" t="str">
        <f>"131/131"</f>
        <v>131/131</v>
      </c>
      <c r="K7432" s="1" t="str">
        <f>"2026-07-29 13:18:01"</f>
        <v>2026-07-29 13:18:01</v>
      </c>
      <c r="L7432" s="1" t="str">
        <f>"2018-05-24 09:10:56"</f>
        <v>2018-05-24 09:10:56</v>
      </c>
      <c r="M7432" s="1" t="s">
        <v>0</v>
      </c>
      <c r="N7432" s="1" t="s">
        <v>38</v>
      </c>
      <c r="O7432" s="1" t="s">
        <v>46</v>
      </c>
    </row>
    <row r="7433" spans="2:15" x14ac:dyDescent="0.3">
      <c r="B7433" s="1" t="s">
        <v>22</v>
      </c>
      <c r="C7433" s="1" t="str">
        <f t="shared" si="364"/>
        <v>4차</v>
      </c>
      <c r="D7433" s="1" t="str">
        <f>"0331S77139"</f>
        <v>0331S77139</v>
      </c>
      <c r="E7433" s="1" t="s">
        <v>10</v>
      </c>
      <c r="F7433" s="1" t="str">
        <f>"10.12.136.206"</f>
        <v>10.12.136.206</v>
      </c>
      <c r="G7433" s="1" t="str">
        <f>"0331S771"</f>
        <v>0331S771</v>
      </c>
      <c r="H7433" s="1" t="str">
        <f>"노원 48"</f>
        <v>노원 48</v>
      </c>
      <c r="I7433" s="1" t="s">
        <v>17</v>
      </c>
      <c r="J7433" s="1" t="str">
        <f>"21/21"</f>
        <v>21/21</v>
      </c>
      <c r="K7433" s="1" t="str">
        <f>"2026-07-29 13:18:04"</f>
        <v>2026-07-29 13:18:04</v>
      </c>
      <c r="L7433" s="1" t="str">
        <f>"2018-10-12 15:17:42"</f>
        <v>2018-10-12 15:17:42</v>
      </c>
      <c r="M7433" s="1" t="s">
        <v>0</v>
      </c>
      <c r="N7433" s="1" t="s">
        <v>38</v>
      </c>
      <c r="O7433" s="1" t="s">
        <v>46</v>
      </c>
    </row>
    <row r="7434" spans="2:15" x14ac:dyDescent="0.3">
      <c r="B7434" s="1" t="s">
        <v>22</v>
      </c>
      <c r="C7434" s="1" t="str">
        <f t="shared" si="364"/>
        <v>4차</v>
      </c>
      <c r="D7434" s="1" t="str">
        <f>"0331S89244"</f>
        <v>0331S89244</v>
      </c>
      <c r="E7434" s="1" t="s">
        <v>10</v>
      </c>
      <c r="F7434" s="1" t="str">
        <f>"10.107.248.213"</f>
        <v>10.107.248.213</v>
      </c>
      <c r="G7434" s="1" t="str">
        <f>"0331S892"</f>
        <v>0331S892</v>
      </c>
      <c r="H7434" s="1" t="str">
        <f>"상계간 2L7R3"</f>
        <v>상계간 2L7R3</v>
      </c>
      <c r="I7434" s="1" t="s">
        <v>8</v>
      </c>
      <c r="J7434" s="1" t="str">
        <f>"18/18"</f>
        <v>18/18</v>
      </c>
      <c r="K7434" s="1" t="str">
        <f>"2026-07-29 13:18:03"</f>
        <v>2026-07-29 13:18:03</v>
      </c>
      <c r="L7434" s="1" t="str">
        <f>"2020-01-10 11:44:34"</f>
        <v>2020-01-10 11:44:34</v>
      </c>
      <c r="M7434" s="1" t="s">
        <v>45</v>
      </c>
      <c r="N7434" s="1" t="s">
        <v>38</v>
      </c>
      <c r="O7434" s="1" t="s">
        <v>46</v>
      </c>
    </row>
    <row r="7435" spans="2:15" x14ac:dyDescent="0.3">
      <c r="B7435" s="1" t="s">
        <v>22</v>
      </c>
      <c r="C7435" s="1" t="str">
        <f>"5-1차"</f>
        <v>5-1차</v>
      </c>
      <c r="D7435" s="1" t="str">
        <f>"0331W0015S"</f>
        <v>0331W0015S</v>
      </c>
      <c r="E7435" s="1" t="s">
        <v>10</v>
      </c>
      <c r="F7435" s="1" t="str">
        <f>"fde2:104:0:1c8:0:0:0:2"</f>
        <v>fde2:104:0:1c8:0:0:0:2</v>
      </c>
      <c r="G7435" s="1" t="str">
        <f>"0331W001"</f>
        <v>0331W001</v>
      </c>
      <c r="H7435" s="1" t="str">
        <f>"상계간 2L7R6L1"</f>
        <v>상계간 2L7R6L1</v>
      </c>
      <c r="I7435" s="1" t="s">
        <v>15</v>
      </c>
      <c r="J7435" s="1" t="str">
        <f>"39/39"</f>
        <v>39/39</v>
      </c>
      <c r="K7435" s="1" t="str">
        <f>"2026-07-29 14:21:01"</f>
        <v>2026-07-29 14:21:01</v>
      </c>
      <c r="L7435" s="1" t="str">
        <f>"2022-11-21 15:31:24"</f>
        <v>2022-11-21 15:31:24</v>
      </c>
      <c r="M7435" s="1" t="s">
        <v>42</v>
      </c>
      <c r="N7435" s="1" t="s">
        <v>38</v>
      </c>
      <c r="O7435" s="1" t="s">
        <v>46</v>
      </c>
    </row>
    <row r="7436" spans="2:15" x14ac:dyDescent="0.3">
      <c r="B7436" s="1" t="s">
        <v>22</v>
      </c>
      <c r="C7436" s="1" t="str">
        <f>"4차"</f>
        <v>4차</v>
      </c>
      <c r="D7436" s="1" t="str">
        <f>"0331W01144"</f>
        <v>0331W01144</v>
      </c>
      <c r="E7436" s="1" t="s">
        <v>10</v>
      </c>
      <c r="F7436" s="1" t="str">
        <f>"10.107.248.214"</f>
        <v>10.107.248.214</v>
      </c>
      <c r="G7436" s="1" t="str">
        <f>"0331W011"</f>
        <v>0331W011</v>
      </c>
      <c r="H7436" s="1" t="str">
        <f>"상계간 39L10"</f>
        <v>상계간 39L10</v>
      </c>
      <c r="I7436" s="1" t="s">
        <v>8</v>
      </c>
      <c r="J7436" s="1" t="str">
        <f>"25/25"</f>
        <v>25/25</v>
      </c>
      <c r="K7436" s="1" t="str">
        <f>"2026-07-29 13:18:03"</f>
        <v>2026-07-29 13:18:03</v>
      </c>
      <c r="L7436" s="1" t="str">
        <f>"2020-01-10 11:40:29"</f>
        <v>2020-01-10 11:40:29</v>
      </c>
      <c r="M7436" s="1" t="s">
        <v>45</v>
      </c>
      <c r="N7436" s="1" t="s">
        <v>38</v>
      </c>
      <c r="O7436" s="1" t="s">
        <v>46</v>
      </c>
    </row>
    <row r="7437" spans="2:15" x14ac:dyDescent="0.3">
      <c r="B7437" s="1" t="s">
        <v>22</v>
      </c>
      <c r="C7437" s="1" t="str">
        <f>"4차"</f>
        <v>4차</v>
      </c>
      <c r="D7437" s="1" t="str">
        <f>"0331W02144"</f>
        <v>0331W02144</v>
      </c>
      <c r="E7437" s="1" t="s">
        <v>10</v>
      </c>
      <c r="F7437" s="1" t="str">
        <f>"10.107.248.215"</f>
        <v>10.107.248.215</v>
      </c>
      <c r="G7437" s="1" t="str">
        <f>"0331W021"</f>
        <v>0331W021</v>
      </c>
      <c r="H7437" s="1" t="str">
        <f>"상계간 39L9R1"</f>
        <v>상계간 39L9R1</v>
      </c>
      <c r="I7437" s="1" t="s">
        <v>8</v>
      </c>
      <c r="J7437" s="1" t="str">
        <f>"62/75"</f>
        <v>62/75</v>
      </c>
      <c r="K7437" s="1" t="str">
        <f>"2026-07-29 13:18:03"</f>
        <v>2026-07-29 13:18:03</v>
      </c>
      <c r="L7437" s="1" t="str">
        <f>"2020-01-10 11:48:33"</f>
        <v>2020-01-10 11:48:33</v>
      </c>
      <c r="M7437" s="1" t="s">
        <v>45</v>
      </c>
      <c r="N7437" s="1" t="s">
        <v>38</v>
      </c>
      <c r="O7437" s="1" t="s">
        <v>46</v>
      </c>
    </row>
    <row r="7438" spans="2:15" x14ac:dyDescent="0.3">
      <c r="B7438" s="1" t="s">
        <v>22</v>
      </c>
      <c r="C7438" s="1" t="str">
        <f>"4차"</f>
        <v>4차</v>
      </c>
      <c r="D7438" s="1" t="str">
        <f>"0331W03144"</f>
        <v>0331W03144</v>
      </c>
      <c r="E7438" s="1" t="s">
        <v>10</v>
      </c>
      <c r="F7438" s="1" t="str">
        <f>"10.107.247.34"</f>
        <v>10.107.247.34</v>
      </c>
      <c r="G7438" s="1" t="str">
        <f>"0331W031"</f>
        <v>0331W031</v>
      </c>
      <c r="H7438" s="1" t="str">
        <f>"상계간 39L7R2"</f>
        <v>상계간 39L7R2</v>
      </c>
      <c r="I7438" s="1" t="s">
        <v>8</v>
      </c>
      <c r="J7438" s="1" t="str">
        <f>"57/57"</f>
        <v>57/57</v>
      </c>
      <c r="K7438" s="1" t="str">
        <f>"2026-07-29 13:18:04"</f>
        <v>2026-07-29 13:18:04</v>
      </c>
      <c r="L7438" s="1" t="str">
        <f>"2020-01-10 11:46:49"</f>
        <v>2020-01-10 11:46:49</v>
      </c>
      <c r="M7438" s="1" t="s">
        <v>45</v>
      </c>
      <c r="N7438" s="1" t="s">
        <v>38</v>
      </c>
      <c r="O7438" s="1" t="s">
        <v>46</v>
      </c>
    </row>
    <row r="7439" spans="2:15" x14ac:dyDescent="0.3">
      <c r="B7439" s="1" t="s">
        <v>22</v>
      </c>
      <c r="C7439" s="1" t="str">
        <f>"4차"</f>
        <v>4차</v>
      </c>
      <c r="D7439" s="1" t="str">
        <f>"0331W04144"</f>
        <v>0331W04144</v>
      </c>
      <c r="E7439" s="1" t="s">
        <v>10</v>
      </c>
      <c r="F7439" s="1" t="str">
        <f>"10.107.247.35"</f>
        <v>10.107.247.35</v>
      </c>
      <c r="G7439" s="1" t="str">
        <f>"0331W041"</f>
        <v>0331W041</v>
      </c>
      <c r="H7439" s="1" t="str">
        <f>"상계간 39L7R3"</f>
        <v>상계간 39L7R3</v>
      </c>
      <c r="I7439" s="1" t="s">
        <v>8</v>
      </c>
      <c r="J7439" s="1" t="str">
        <f>"24/24"</f>
        <v>24/24</v>
      </c>
      <c r="K7439" s="1" t="str">
        <f>"2026-07-29 13:18:03"</f>
        <v>2026-07-29 13:18:03</v>
      </c>
      <c r="L7439" s="1" t="str">
        <f>"2020-01-10 11:45:23"</f>
        <v>2020-01-10 11:45:23</v>
      </c>
      <c r="M7439" s="1" t="s">
        <v>45</v>
      </c>
      <c r="N7439" s="1" t="s">
        <v>38</v>
      </c>
      <c r="O7439" s="1" t="s">
        <v>46</v>
      </c>
    </row>
    <row r="7440" spans="2:15" x14ac:dyDescent="0.3">
      <c r="B7440" s="1" t="s">
        <v>22</v>
      </c>
      <c r="C7440" s="1" t="str">
        <f>"5-2차"</f>
        <v>5-2차</v>
      </c>
      <c r="D7440" s="1" t="str">
        <f>"0331W1015M"</f>
        <v>0331W1015M</v>
      </c>
      <c r="E7440" s="1" t="s">
        <v>10</v>
      </c>
      <c r="F7440" s="1" t="str">
        <f>"fde3:102:1420:1200:0:0:0:3"</f>
        <v>fde3:102:1420:1200:0:0:0:3</v>
      </c>
      <c r="G7440" s="1" t="str">
        <f>"0331W101"</f>
        <v>0331W101</v>
      </c>
      <c r="H7440" s="1" t="str">
        <f>"상계간 39L9L2"</f>
        <v>상계간 39L9L2</v>
      </c>
      <c r="I7440" s="1" t="s">
        <v>15</v>
      </c>
      <c r="J7440" s="1" t="str">
        <f>"19/19"</f>
        <v>19/19</v>
      </c>
      <c r="K7440" s="1" t="str">
        <f>"2026-07-29 14:21:05"</f>
        <v>2026-07-29 14:21:05</v>
      </c>
      <c r="L7440" s="1" t="str">
        <f>"2023-06-26 18:16:47"</f>
        <v>2023-06-26 18:16:47</v>
      </c>
      <c r="M7440" s="1" t="s">
        <v>45</v>
      </c>
      <c r="N7440" s="1" t="s">
        <v>38</v>
      </c>
      <c r="O7440" s="1" t="s">
        <v>46</v>
      </c>
    </row>
    <row r="7441" spans="2:15" x14ac:dyDescent="0.3">
      <c r="B7441" s="1" t="s">
        <v>22</v>
      </c>
      <c r="C7441" s="1" t="str">
        <f>"4차"</f>
        <v>4차</v>
      </c>
      <c r="D7441" s="1" t="str">
        <f>"0331W11144"</f>
        <v>0331W11144</v>
      </c>
      <c r="E7441" s="1" t="s">
        <v>10</v>
      </c>
      <c r="F7441" s="1" t="str">
        <f>"10.107.248.216"</f>
        <v>10.107.248.216</v>
      </c>
      <c r="G7441" s="1" t="str">
        <f>"0331W111"</f>
        <v>0331W111</v>
      </c>
      <c r="H7441" s="1" t="str">
        <f>"상계간 39L9L1"</f>
        <v>상계간 39L9L1</v>
      </c>
      <c r="I7441" s="1" t="s">
        <v>8</v>
      </c>
      <c r="J7441" s="1" t="str">
        <f>"20/20"</f>
        <v>20/20</v>
      </c>
      <c r="K7441" s="1" t="str">
        <f>"2026-07-29 13:18:04"</f>
        <v>2026-07-29 13:18:04</v>
      </c>
      <c r="L7441" s="1" t="str">
        <f>"2020-01-10 11:47:02"</f>
        <v>2020-01-10 11:47:02</v>
      </c>
      <c r="M7441" s="1" t="s">
        <v>45</v>
      </c>
      <c r="N7441" s="1" t="s">
        <v>38</v>
      </c>
      <c r="O7441" s="1" t="s">
        <v>46</v>
      </c>
    </row>
    <row r="7442" spans="2:15" x14ac:dyDescent="0.3">
      <c r="B7442" s="1" t="s">
        <v>22</v>
      </c>
      <c r="C7442" s="1" t="str">
        <f>"4차"</f>
        <v>4차</v>
      </c>
      <c r="D7442" s="1" t="str">
        <f>"0331W13144"</f>
        <v>0331W13144</v>
      </c>
      <c r="E7442" s="1" t="s">
        <v>10</v>
      </c>
      <c r="F7442" s="1" t="str">
        <f>"10.107.247.2"</f>
        <v>10.107.247.2</v>
      </c>
      <c r="G7442" s="1" t="str">
        <f>"0331W131"</f>
        <v>0331W131</v>
      </c>
      <c r="H7442" s="1" t="str">
        <f>"상계간 39L7R1"</f>
        <v>상계간 39L7R1</v>
      </c>
      <c r="I7442" s="1" t="s">
        <v>8</v>
      </c>
      <c r="J7442" s="1" t="str">
        <f>"41/41"</f>
        <v>41/41</v>
      </c>
      <c r="K7442" s="1" t="str">
        <f>"2026-07-29 13:18:04"</f>
        <v>2026-07-29 13:18:04</v>
      </c>
      <c r="L7442" s="1" t="str">
        <f>"2020-01-22 11:56:25"</f>
        <v>2020-01-22 11:56:25</v>
      </c>
      <c r="M7442" s="1" t="s">
        <v>45</v>
      </c>
      <c r="N7442" s="1" t="s">
        <v>38</v>
      </c>
      <c r="O7442" s="1" t="s">
        <v>46</v>
      </c>
    </row>
    <row r="7443" spans="2:15" x14ac:dyDescent="0.3">
      <c r="B7443" s="1" t="s">
        <v>22</v>
      </c>
      <c r="C7443" s="1" t="str">
        <f>"4차"</f>
        <v>4차</v>
      </c>
      <c r="D7443" s="1" t="str">
        <f>"0331W14244"</f>
        <v>0331W14244</v>
      </c>
      <c r="E7443" s="1" t="s">
        <v>10</v>
      </c>
      <c r="F7443" s="1" t="str">
        <f>"10.107.247.36"</f>
        <v>10.107.247.36</v>
      </c>
      <c r="G7443" s="1" t="str">
        <f>"0331W142"</f>
        <v>0331W142</v>
      </c>
      <c r="H7443" s="1" t="str">
        <f>"상계간 39L5R2"</f>
        <v>상계간 39L5R2</v>
      </c>
      <c r="I7443" s="1" t="s">
        <v>8</v>
      </c>
      <c r="J7443" s="1" t="str">
        <f>"12/19"</f>
        <v>12/19</v>
      </c>
      <c r="K7443" s="1" t="str">
        <f>"2026-07-29 13:18:03"</f>
        <v>2026-07-29 13:18:03</v>
      </c>
      <c r="L7443" s="1" t="str">
        <f>"2020-01-10 11:41:47"</f>
        <v>2020-01-10 11:41:47</v>
      </c>
      <c r="M7443" s="1" t="s">
        <v>45</v>
      </c>
      <c r="N7443" s="1" t="s">
        <v>38</v>
      </c>
      <c r="O7443" s="1" t="s">
        <v>46</v>
      </c>
    </row>
    <row r="7444" spans="2:15" x14ac:dyDescent="0.3">
      <c r="B7444" s="1" t="s">
        <v>22</v>
      </c>
      <c r="C7444" s="1" t="str">
        <f>"4차"</f>
        <v>4차</v>
      </c>
      <c r="D7444" s="1" t="str">
        <f>"0331W16244"</f>
        <v>0331W16244</v>
      </c>
      <c r="E7444" s="1" t="s">
        <v>10</v>
      </c>
      <c r="F7444" s="1" t="str">
        <f>"10.107.248.205"</f>
        <v>10.107.248.205</v>
      </c>
      <c r="G7444" s="1" t="str">
        <f>"0331W162"</f>
        <v>0331W162</v>
      </c>
      <c r="H7444" s="1" t="str">
        <f>"불암간 25R2"</f>
        <v>불암간 25R2</v>
      </c>
      <c r="I7444" s="1" t="s">
        <v>8</v>
      </c>
      <c r="J7444" s="1" t="str">
        <f>"30/30"</f>
        <v>30/30</v>
      </c>
      <c r="K7444" s="1" t="str">
        <f>"2026-07-29 13:18:03"</f>
        <v>2026-07-29 13:18:03</v>
      </c>
      <c r="L7444" s="1" t="str">
        <f>"2020-01-10 11:42:12"</f>
        <v>2020-01-10 11:42:12</v>
      </c>
      <c r="M7444" s="1" t="s">
        <v>45</v>
      </c>
      <c r="N7444" s="1" t="s">
        <v>38</v>
      </c>
      <c r="O7444" s="1" t="s">
        <v>46</v>
      </c>
    </row>
    <row r="7445" spans="2:15" x14ac:dyDescent="0.3">
      <c r="B7445" s="1" t="s">
        <v>22</v>
      </c>
      <c r="C7445" s="1" t="str">
        <f>"5-2차"</f>
        <v>5-2차</v>
      </c>
      <c r="D7445" s="1" t="str">
        <f>"0331W2015M"</f>
        <v>0331W2015M</v>
      </c>
      <c r="E7445" s="1" t="s">
        <v>10</v>
      </c>
      <c r="F7445" s="1" t="str">
        <f>"fde3:102:1420:1200:0:0:0:4"</f>
        <v>fde3:102:1420:1200:0:0:0:4</v>
      </c>
      <c r="G7445" s="1" t="str">
        <f>"0331W201"</f>
        <v>0331W201</v>
      </c>
      <c r="H7445" s="1" t="str">
        <f>"상계간 39L9L3"</f>
        <v>상계간 39L9L3</v>
      </c>
      <c r="I7445" s="1" t="s">
        <v>15</v>
      </c>
      <c r="J7445" s="1" t="str">
        <f>"72/72"</f>
        <v>72/72</v>
      </c>
      <c r="K7445" s="1" t="str">
        <f>"2026-07-29 14:20:21"</f>
        <v>2026-07-29 14:20:21</v>
      </c>
      <c r="L7445" s="1" t="str">
        <f>"2023-06-26 18:17:31"</f>
        <v>2023-06-26 18:17:31</v>
      </c>
      <c r="M7445" s="1" t="s">
        <v>45</v>
      </c>
      <c r="N7445" s="1" t="s">
        <v>38</v>
      </c>
      <c r="O7445" s="1" t="s">
        <v>46</v>
      </c>
    </row>
    <row r="7446" spans="2:15" x14ac:dyDescent="0.3">
      <c r="B7446" s="1" t="s">
        <v>22</v>
      </c>
      <c r="C7446" s="1" t="str">
        <f t="shared" ref="C7446:C7465" si="365">"4차"</f>
        <v>4차</v>
      </c>
      <c r="D7446" s="1" t="str">
        <f>"0331W20244"</f>
        <v>0331W20244</v>
      </c>
      <c r="E7446" s="1" t="s">
        <v>10</v>
      </c>
      <c r="F7446" s="1" t="str">
        <f>"10.107.248.217"</f>
        <v>10.107.248.217</v>
      </c>
      <c r="G7446" s="1" t="str">
        <f>"0331W202"</f>
        <v>0331W202</v>
      </c>
      <c r="H7446" s="1" t="str">
        <f>"상계간 39L9L4"</f>
        <v>상계간 39L9L4</v>
      </c>
      <c r="I7446" s="1" t="s">
        <v>8</v>
      </c>
      <c r="J7446" s="1" t="str">
        <f>"24/24"</f>
        <v>24/24</v>
      </c>
      <c r="K7446" s="1" t="str">
        <f t="shared" ref="K7446:K7451" si="366">"2026-07-29 13:18:03"</f>
        <v>2026-07-29 13:18:03</v>
      </c>
      <c r="L7446" s="1" t="str">
        <f>"2020-01-10 11:42:12"</f>
        <v>2020-01-10 11:42:12</v>
      </c>
      <c r="M7446" s="1" t="s">
        <v>45</v>
      </c>
      <c r="N7446" s="1" t="s">
        <v>38</v>
      </c>
      <c r="O7446" s="1" t="s">
        <v>46</v>
      </c>
    </row>
    <row r="7447" spans="2:15" x14ac:dyDescent="0.3">
      <c r="B7447" s="1" t="s">
        <v>22</v>
      </c>
      <c r="C7447" s="1" t="str">
        <f t="shared" si="365"/>
        <v>4차</v>
      </c>
      <c r="D7447" s="1" t="str">
        <f>"0331W21144"</f>
        <v>0331W21144</v>
      </c>
      <c r="E7447" s="1" t="s">
        <v>10</v>
      </c>
      <c r="F7447" s="1" t="str">
        <f>"10.107.247.3"</f>
        <v>10.107.247.3</v>
      </c>
      <c r="G7447" s="1" t="str">
        <f>"0331W211"</f>
        <v>0331W211</v>
      </c>
      <c r="H7447" s="1" t="str">
        <f>"상계간 39L7L3"</f>
        <v>상계간 39L7L3</v>
      </c>
      <c r="I7447" s="1" t="s">
        <v>8</v>
      </c>
      <c r="J7447" s="1" t="str">
        <f>"41/41"</f>
        <v>41/41</v>
      </c>
      <c r="K7447" s="1" t="str">
        <f t="shared" si="366"/>
        <v>2026-07-29 13:18:03</v>
      </c>
      <c r="L7447" s="1" t="str">
        <f>"2020-01-10 11:44:20"</f>
        <v>2020-01-10 11:44:20</v>
      </c>
      <c r="M7447" s="1" t="s">
        <v>45</v>
      </c>
      <c r="N7447" s="1" t="s">
        <v>38</v>
      </c>
      <c r="O7447" s="1" t="s">
        <v>46</v>
      </c>
    </row>
    <row r="7448" spans="2:15" x14ac:dyDescent="0.3">
      <c r="B7448" s="1" t="s">
        <v>22</v>
      </c>
      <c r="C7448" s="1" t="str">
        <f t="shared" si="365"/>
        <v>4차</v>
      </c>
      <c r="D7448" s="1" t="str">
        <f>"0331W21344"</f>
        <v>0331W21344</v>
      </c>
      <c r="E7448" s="1" t="s">
        <v>10</v>
      </c>
      <c r="F7448" s="1" t="str">
        <f>"10.107.247.4"</f>
        <v>10.107.247.4</v>
      </c>
      <c r="G7448" s="1" t="str">
        <f>"0331W213"</f>
        <v>0331W213</v>
      </c>
      <c r="H7448" s="1" t="str">
        <f>"상계간 39L7L2"</f>
        <v>상계간 39L7L2</v>
      </c>
      <c r="I7448" s="1" t="s">
        <v>8</v>
      </c>
      <c r="J7448" s="1" t="str">
        <f>"55/55"</f>
        <v>55/55</v>
      </c>
      <c r="K7448" s="1" t="str">
        <f t="shared" si="366"/>
        <v>2026-07-29 13:18:03</v>
      </c>
      <c r="L7448" s="1" t="str">
        <f>"2020-01-10 11:50:56"</f>
        <v>2020-01-10 11:50:56</v>
      </c>
      <c r="M7448" s="1" t="s">
        <v>45</v>
      </c>
      <c r="N7448" s="1" t="s">
        <v>38</v>
      </c>
      <c r="O7448" s="1" t="s">
        <v>46</v>
      </c>
    </row>
    <row r="7449" spans="2:15" x14ac:dyDescent="0.3">
      <c r="B7449" s="1" t="s">
        <v>22</v>
      </c>
      <c r="C7449" s="1" t="str">
        <f t="shared" si="365"/>
        <v>4차</v>
      </c>
      <c r="D7449" s="1" t="str">
        <f>"0331W22144"</f>
        <v>0331W22144</v>
      </c>
      <c r="E7449" s="1" t="s">
        <v>10</v>
      </c>
      <c r="F7449" s="1" t="str">
        <f>"10.107.247.5"</f>
        <v>10.107.247.5</v>
      </c>
      <c r="G7449" s="1" t="str">
        <f>"0331W221"</f>
        <v>0331W221</v>
      </c>
      <c r="H7449" s="1" t="str">
        <f>"상계간 39L7L1"</f>
        <v>상계간 39L7L1</v>
      </c>
      <c r="I7449" s="1" t="s">
        <v>8</v>
      </c>
      <c r="J7449" s="1" t="str">
        <f>"19/19"</f>
        <v>19/19</v>
      </c>
      <c r="K7449" s="1" t="str">
        <f t="shared" si="366"/>
        <v>2026-07-29 13:18:03</v>
      </c>
      <c r="L7449" s="1" t="str">
        <f>"2020-01-10 11:44:42"</f>
        <v>2020-01-10 11:44:42</v>
      </c>
      <c r="M7449" s="1" t="s">
        <v>45</v>
      </c>
      <c r="N7449" s="1" t="s">
        <v>38</v>
      </c>
      <c r="O7449" s="1" t="s">
        <v>46</v>
      </c>
    </row>
    <row r="7450" spans="2:15" x14ac:dyDescent="0.3">
      <c r="B7450" s="1" t="s">
        <v>22</v>
      </c>
      <c r="C7450" s="1" t="str">
        <f t="shared" si="365"/>
        <v>4차</v>
      </c>
      <c r="D7450" s="1" t="str">
        <f>"0331W23244"</f>
        <v>0331W23244</v>
      </c>
      <c r="E7450" s="1" t="s">
        <v>10</v>
      </c>
      <c r="F7450" s="1" t="str">
        <f>"10.107.250.114"</f>
        <v>10.107.250.114</v>
      </c>
      <c r="G7450" s="1" t="str">
        <f>"0331W232"</f>
        <v>0331W232</v>
      </c>
      <c r="H7450" s="1" t="str">
        <f>"상계간 39L5"</f>
        <v>상계간 39L5</v>
      </c>
      <c r="I7450" s="1" t="s">
        <v>8</v>
      </c>
      <c r="J7450" s="1" t="str">
        <f>"29/29"</f>
        <v>29/29</v>
      </c>
      <c r="K7450" s="1" t="str">
        <f t="shared" si="366"/>
        <v>2026-07-29 13:18:03</v>
      </c>
      <c r="L7450" s="1" t="str">
        <f>"2020-01-21 19:15:13"</f>
        <v>2020-01-21 19:15:13</v>
      </c>
      <c r="M7450" s="1" t="s">
        <v>45</v>
      </c>
      <c r="N7450" s="1" t="s">
        <v>38</v>
      </c>
      <c r="O7450" s="1" t="s">
        <v>46</v>
      </c>
    </row>
    <row r="7451" spans="2:15" x14ac:dyDescent="0.3">
      <c r="B7451" s="1" t="s">
        <v>22</v>
      </c>
      <c r="C7451" s="1" t="str">
        <f t="shared" si="365"/>
        <v>4차</v>
      </c>
      <c r="D7451" s="1" t="str">
        <f>"0331W23344"</f>
        <v>0331W23344</v>
      </c>
      <c r="E7451" s="1" t="s">
        <v>10</v>
      </c>
      <c r="F7451" s="1" t="str">
        <f>"10.107.247.6"</f>
        <v>10.107.247.6</v>
      </c>
      <c r="G7451" s="1" t="str">
        <f>"0331W233"</f>
        <v>0331W233</v>
      </c>
      <c r="H7451" s="1" t="str">
        <f>"상계간 39L6"</f>
        <v>상계간 39L6</v>
      </c>
      <c r="I7451" s="1" t="s">
        <v>8</v>
      </c>
      <c r="J7451" s="1" t="str">
        <f>"23/23"</f>
        <v>23/23</v>
      </c>
      <c r="K7451" s="1" t="str">
        <f t="shared" si="366"/>
        <v>2026-07-29 13:18:03</v>
      </c>
      <c r="L7451" s="1" t="str">
        <f>"2020-01-10 11:44:06"</f>
        <v>2020-01-10 11:44:06</v>
      </c>
      <c r="M7451" s="1" t="s">
        <v>45</v>
      </c>
      <c r="N7451" s="1" t="s">
        <v>38</v>
      </c>
      <c r="O7451" s="1" t="s">
        <v>46</v>
      </c>
    </row>
    <row r="7452" spans="2:15" x14ac:dyDescent="0.3">
      <c r="B7452" s="1" t="s">
        <v>22</v>
      </c>
      <c r="C7452" s="1" t="str">
        <f t="shared" si="365"/>
        <v>4차</v>
      </c>
      <c r="D7452" s="1" t="str">
        <f>"0331W25144"</f>
        <v>0331W25144</v>
      </c>
      <c r="E7452" s="1" t="s">
        <v>10</v>
      </c>
      <c r="F7452" s="1" t="str">
        <f>"10.107.247.37"</f>
        <v>10.107.247.37</v>
      </c>
      <c r="G7452" s="1" t="str">
        <f>"0331W251"</f>
        <v>0331W251</v>
      </c>
      <c r="H7452" s="1" t="str">
        <f>"상계간 39L3R2"</f>
        <v>상계간 39L3R2</v>
      </c>
      <c r="I7452" s="1" t="s">
        <v>8</v>
      </c>
      <c r="J7452" s="1" t="str">
        <f>"44/44"</f>
        <v>44/44</v>
      </c>
      <c r="K7452" s="1" t="str">
        <f>"2026-07-29 13:18:04"</f>
        <v>2026-07-29 13:18:04</v>
      </c>
      <c r="L7452" s="1" t="str">
        <f>"2020-01-10 11:43:55"</f>
        <v>2020-01-10 11:43:55</v>
      </c>
      <c r="M7452" s="1" t="s">
        <v>45</v>
      </c>
      <c r="N7452" s="1" t="s">
        <v>38</v>
      </c>
      <c r="O7452" s="1" t="s">
        <v>46</v>
      </c>
    </row>
    <row r="7453" spans="2:15" x14ac:dyDescent="0.3">
      <c r="B7453" s="1" t="s">
        <v>22</v>
      </c>
      <c r="C7453" s="1" t="str">
        <f t="shared" si="365"/>
        <v>4차</v>
      </c>
      <c r="D7453" s="1" t="str">
        <f>"0331W34244"</f>
        <v>0331W34244</v>
      </c>
      <c r="E7453" s="1" t="s">
        <v>10</v>
      </c>
      <c r="F7453" s="1" t="str">
        <f>"10.107.247.38"</f>
        <v>10.107.247.38</v>
      </c>
      <c r="G7453" s="1" t="str">
        <f>"0331W342"</f>
        <v>0331W342</v>
      </c>
      <c r="H7453" s="1" t="str">
        <f>"상계간 39L3R1L2"</f>
        <v>상계간 39L3R1L2</v>
      </c>
      <c r="I7453" s="1" t="s">
        <v>8</v>
      </c>
      <c r="J7453" s="1" t="str">
        <f>"29/29"</f>
        <v>29/29</v>
      </c>
      <c r="K7453" s="1" t="str">
        <f>"2026-07-29 13:18:04"</f>
        <v>2026-07-29 13:18:04</v>
      </c>
      <c r="L7453" s="1" t="str">
        <f>"2020-01-10 11:44:13"</f>
        <v>2020-01-10 11:44:13</v>
      </c>
      <c r="M7453" s="1" t="s">
        <v>45</v>
      </c>
      <c r="N7453" s="1" t="s">
        <v>38</v>
      </c>
      <c r="O7453" s="1" t="s">
        <v>46</v>
      </c>
    </row>
    <row r="7454" spans="2:15" x14ac:dyDescent="0.3">
      <c r="B7454" s="1" t="s">
        <v>22</v>
      </c>
      <c r="C7454" s="1" t="str">
        <f t="shared" si="365"/>
        <v>4차</v>
      </c>
      <c r="D7454" s="1" t="str">
        <f>"0331W35139"</f>
        <v>0331W35139</v>
      </c>
      <c r="E7454" s="1" t="s">
        <v>10</v>
      </c>
      <c r="F7454" s="1" t="str">
        <f>"10.12.130.91"</f>
        <v>10.12.130.91</v>
      </c>
      <c r="G7454" s="1" t="str">
        <f>"0331W351"</f>
        <v>0331W351</v>
      </c>
      <c r="H7454" s="1" t="str">
        <f>"상계 38A"</f>
        <v>상계 38A</v>
      </c>
      <c r="I7454" s="1" t="s">
        <v>17</v>
      </c>
      <c r="J7454" s="1" t="str">
        <f>"3/3"</f>
        <v>3/3</v>
      </c>
      <c r="K7454" s="1" t="str">
        <f>"2026-07-29 13:18:01"</f>
        <v>2026-07-29 13:18:01</v>
      </c>
      <c r="L7454" s="1" t="str">
        <f>"2018-10-12 13:45:56"</f>
        <v>2018-10-12 13:45:56</v>
      </c>
      <c r="M7454" s="1" t="s">
        <v>0</v>
      </c>
      <c r="N7454" s="1" t="s">
        <v>38</v>
      </c>
      <c r="O7454" s="1" t="s">
        <v>46</v>
      </c>
    </row>
    <row r="7455" spans="2:15" x14ac:dyDescent="0.3">
      <c r="B7455" s="1" t="s">
        <v>22</v>
      </c>
      <c r="C7455" s="1" t="str">
        <f t="shared" si="365"/>
        <v>4차</v>
      </c>
      <c r="D7455" s="1" t="str">
        <f>"0331W37639"</f>
        <v>0331W37639</v>
      </c>
      <c r="E7455" s="1" t="s">
        <v>14</v>
      </c>
      <c r="F7455" s="1" t="str">
        <f>"10.12.130.95"</f>
        <v>10.12.130.95</v>
      </c>
      <c r="G7455" s="1" t="str">
        <f>"0331W376"</f>
        <v>0331W376</v>
      </c>
      <c r="H7455" s="1" t="str">
        <f>"상계 41"</f>
        <v>상계 41</v>
      </c>
      <c r="I7455" s="1" t="s">
        <v>17</v>
      </c>
      <c r="J7455" s="1" t="str">
        <f>"0/0"</f>
        <v>0/0</v>
      </c>
      <c r="K7455" s="1" t="str">
        <f>"2023-10-25 20:03:50"</f>
        <v>2023-10-25 20:03:50</v>
      </c>
      <c r="L7455" s="1" t="str">
        <f>"2018-10-12 14:28:28"</f>
        <v>2018-10-12 14:28:28</v>
      </c>
      <c r="M7455" s="1" t="s">
        <v>0</v>
      </c>
      <c r="N7455" s="1" t="s">
        <v>39</v>
      </c>
      <c r="O7455" s="1" t="s">
        <v>46</v>
      </c>
    </row>
    <row r="7456" spans="2:15" x14ac:dyDescent="0.3">
      <c r="B7456" s="1" t="s">
        <v>22</v>
      </c>
      <c r="C7456" s="1" t="str">
        <f t="shared" si="365"/>
        <v>4차</v>
      </c>
      <c r="D7456" s="1" t="str">
        <f>"0331W48144"</f>
        <v>0331W48144</v>
      </c>
      <c r="E7456" s="1" t="s">
        <v>10</v>
      </c>
      <c r="F7456" s="1" t="str">
        <f>"10.107.248.196"</f>
        <v>10.107.248.196</v>
      </c>
      <c r="G7456" s="1" t="str">
        <f>"0331W481"</f>
        <v>0331W481</v>
      </c>
      <c r="H7456" s="1" t="str">
        <f>"불암간 29"</f>
        <v>불암간 29</v>
      </c>
      <c r="I7456" s="1" t="s">
        <v>8</v>
      </c>
      <c r="J7456" s="1" t="str">
        <f>"66/66"</f>
        <v>66/66</v>
      </c>
      <c r="K7456" s="1" t="str">
        <f>"2026-07-29 13:18:04"</f>
        <v>2026-07-29 13:18:04</v>
      </c>
      <c r="L7456" s="1" t="str">
        <f>"2020-01-10 11:46:41"</f>
        <v>2020-01-10 11:46:41</v>
      </c>
      <c r="M7456" s="1" t="s">
        <v>45</v>
      </c>
      <c r="N7456" s="1" t="s">
        <v>38</v>
      </c>
      <c r="O7456" s="1" t="s">
        <v>46</v>
      </c>
    </row>
    <row r="7457" spans="2:15" x14ac:dyDescent="0.3">
      <c r="B7457" s="1" t="s">
        <v>22</v>
      </c>
      <c r="C7457" s="1" t="str">
        <f t="shared" si="365"/>
        <v>4차</v>
      </c>
      <c r="D7457" s="1" t="str">
        <f>"0331W49144"</f>
        <v>0331W49144</v>
      </c>
      <c r="E7457" s="1" t="s">
        <v>10</v>
      </c>
      <c r="F7457" s="1" t="str">
        <f>"10.107.248.197"</f>
        <v>10.107.248.197</v>
      </c>
      <c r="G7457" s="1" t="str">
        <f>"0331W491"</f>
        <v>0331W491</v>
      </c>
      <c r="H7457" s="1" t="str">
        <f>"불암간 30"</f>
        <v>불암간 30</v>
      </c>
      <c r="I7457" s="1" t="s">
        <v>8</v>
      </c>
      <c r="J7457" s="1" t="str">
        <f>"27/27"</f>
        <v>27/27</v>
      </c>
      <c r="K7457" s="1" t="str">
        <f>"2026-07-29 13:18:04"</f>
        <v>2026-07-29 13:18:04</v>
      </c>
      <c r="L7457" s="1" t="str">
        <f>"2020-01-10 11:47:49"</f>
        <v>2020-01-10 11:47:49</v>
      </c>
      <c r="M7457" s="1" t="s">
        <v>45</v>
      </c>
      <c r="N7457" s="1" t="s">
        <v>38</v>
      </c>
      <c r="O7457" s="1" t="s">
        <v>46</v>
      </c>
    </row>
    <row r="7458" spans="2:15" x14ac:dyDescent="0.3">
      <c r="B7458" s="1" t="s">
        <v>22</v>
      </c>
      <c r="C7458" s="1" t="str">
        <f t="shared" si="365"/>
        <v>4차</v>
      </c>
      <c r="D7458" s="1" t="str">
        <f>"0331W99344"</f>
        <v>0331W99344</v>
      </c>
      <c r="E7458" s="1" t="s">
        <v>10</v>
      </c>
      <c r="F7458" s="1" t="str">
        <f>"10.107.251.210"</f>
        <v>10.107.251.210</v>
      </c>
      <c r="G7458" s="1" t="str">
        <f>"0331W993"</f>
        <v>0331W993</v>
      </c>
      <c r="H7458" s="1" t="str">
        <f>"불막간 13"</f>
        <v>불막간 13</v>
      </c>
      <c r="I7458" s="1" t="s">
        <v>8</v>
      </c>
      <c r="J7458" s="1" t="str">
        <f>"10/10"</f>
        <v>10/10</v>
      </c>
      <c r="K7458" s="1" t="str">
        <f>"2026-07-29 13:18:04"</f>
        <v>2026-07-29 13:18:04</v>
      </c>
      <c r="L7458" s="1" t="str">
        <f>"2020-01-14 09:19:04"</f>
        <v>2020-01-14 09:19:04</v>
      </c>
      <c r="M7458" s="1" t="s">
        <v>45</v>
      </c>
      <c r="N7458" s="1" t="s">
        <v>38</v>
      </c>
      <c r="O7458" s="1" t="s">
        <v>46</v>
      </c>
    </row>
    <row r="7459" spans="2:15" x14ac:dyDescent="0.3">
      <c r="B7459" s="1" t="s">
        <v>22</v>
      </c>
      <c r="C7459" s="1" t="str">
        <f t="shared" si="365"/>
        <v>4차</v>
      </c>
      <c r="D7459" s="1" t="str">
        <f>"0331X39144"</f>
        <v>0331X39144</v>
      </c>
      <c r="E7459" s="1" t="s">
        <v>10</v>
      </c>
      <c r="F7459" s="1" t="str">
        <f>"10.107.120.68"</f>
        <v>10.107.120.68</v>
      </c>
      <c r="G7459" s="1" t="str">
        <f>"0331X391"</f>
        <v>0331X391</v>
      </c>
      <c r="H7459" s="1" t="str">
        <f>"당재간 44"</f>
        <v>당재간 44</v>
      </c>
      <c r="I7459" s="1" t="s">
        <v>8</v>
      </c>
      <c r="J7459" s="1" t="str">
        <f>"23/24"</f>
        <v>23/24</v>
      </c>
      <c r="K7459" s="1" t="str">
        <f>"2026-07-29 13:18:02"</f>
        <v>2026-07-29 13:18:02</v>
      </c>
      <c r="L7459" s="1" t="str">
        <f>"2020-01-10 11:28:32"</f>
        <v>2020-01-10 11:28:32</v>
      </c>
      <c r="M7459" s="1" t="s">
        <v>45</v>
      </c>
      <c r="N7459" s="1" t="s">
        <v>38</v>
      </c>
      <c r="O7459" s="1" t="s">
        <v>46</v>
      </c>
    </row>
    <row r="7460" spans="2:15" x14ac:dyDescent="0.3">
      <c r="B7460" s="1" t="s">
        <v>22</v>
      </c>
      <c r="C7460" s="1" t="str">
        <f t="shared" si="365"/>
        <v>4차</v>
      </c>
      <c r="D7460" s="1" t="str">
        <f>"0331X48139"</f>
        <v>0331X48139</v>
      </c>
      <c r="E7460" s="1" t="s">
        <v>10</v>
      </c>
      <c r="F7460" s="1" t="str">
        <f>"10.12.136.213"</f>
        <v>10.12.136.213</v>
      </c>
      <c r="G7460" s="1" t="str">
        <f>"0331X481"</f>
        <v>0331X481</v>
      </c>
      <c r="H7460" s="1" t="str">
        <f>"중계 103"</f>
        <v>중계 103</v>
      </c>
      <c r="I7460" s="1" t="s">
        <v>17</v>
      </c>
      <c r="J7460" s="1" t="str">
        <f>"7/7"</f>
        <v>7/7</v>
      </c>
      <c r="K7460" s="1" t="str">
        <f>"2026-07-29 13:18:02"</f>
        <v>2026-07-29 13:18:02</v>
      </c>
      <c r="L7460" s="1" t="str">
        <f>"2018-10-16 14:56:58"</f>
        <v>2018-10-16 14:56:58</v>
      </c>
      <c r="M7460" s="1" t="s">
        <v>0</v>
      </c>
      <c r="N7460" s="1" t="s">
        <v>38</v>
      </c>
      <c r="O7460" s="1" t="s">
        <v>46</v>
      </c>
    </row>
    <row r="7461" spans="2:15" x14ac:dyDescent="0.3">
      <c r="B7461" s="1" t="s">
        <v>22</v>
      </c>
      <c r="C7461" s="1" t="str">
        <f t="shared" si="365"/>
        <v>4차</v>
      </c>
      <c r="D7461" s="1" t="str">
        <f>"0331X48339"</f>
        <v>0331X48339</v>
      </c>
      <c r="E7461" s="1" t="s">
        <v>12</v>
      </c>
      <c r="F7461" s="1" t="str">
        <f>"10.12.136.219"</f>
        <v>10.12.136.219</v>
      </c>
      <c r="G7461" s="1" t="str">
        <f>"0331X483"</f>
        <v>0331X483</v>
      </c>
      <c r="H7461" s="1" t="str">
        <f>"중계 102"</f>
        <v>중계 102</v>
      </c>
      <c r="I7461" s="1" t="s">
        <v>17</v>
      </c>
      <c r="J7461" s="1" t="str">
        <f>"0/2"</f>
        <v>0/2</v>
      </c>
      <c r="K7461" s="1" t="str">
        <f>"2026-04-23 07:18:03"</f>
        <v>2026-04-23 07:18:03</v>
      </c>
      <c r="L7461" s="1" t="str">
        <f>"2018-10-16 15:27:59"</f>
        <v>2018-10-16 15:27:59</v>
      </c>
      <c r="M7461" s="1" t="s">
        <v>0</v>
      </c>
      <c r="N7461" s="1" t="s">
        <v>38</v>
      </c>
      <c r="O7461" s="1" t="s">
        <v>46</v>
      </c>
    </row>
    <row r="7462" spans="2:15" x14ac:dyDescent="0.3">
      <c r="B7462" s="1" t="s">
        <v>22</v>
      </c>
      <c r="C7462" s="1" t="str">
        <f t="shared" si="365"/>
        <v>4차</v>
      </c>
      <c r="D7462" s="1" t="str">
        <f>"0331X51139"</f>
        <v>0331X51139</v>
      </c>
      <c r="E7462" s="1" t="s">
        <v>10</v>
      </c>
      <c r="F7462" s="1" t="str">
        <f>"10.12.136.217"</f>
        <v>10.12.136.217</v>
      </c>
      <c r="G7462" s="1" t="str">
        <f>"0331X511"</f>
        <v>0331X511</v>
      </c>
      <c r="H7462" s="1" t="str">
        <f>"중계 1"</f>
        <v>중계 1</v>
      </c>
      <c r="I7462" s="1" t="s">
        <v>17</v>
      </c>
      <c r="J7462" s="1" t="str">
        <f>"2/2"</f>
        <v>2/2</v>
      </c>
      <c r="K7462" s="1" t="str">
        <f>"2026-07-29 13:18:04"</f>
        <v>2026-07-29 13:18:04</v>
      </c>
      <c r="L7462" s="1" t="str">
        <f>"2018-10-16 16:34:00"</f>
        <v>2018-10-16 16:34:00</v>
      </c>
      <c r="M7462" s="1" t="s">
        <v>0</v>
      </c>
      <c r="N7462" s="1" t="s">
        <v>38</v>
      </c>
      <c r="O7462" s="1" t="s">
        <v>46</v>
      </c>
    </row>
    <row r="7463" spans="2:15" x14ac:dyDescent="0.3">
      <c r="B7463" s="1" t="s">
        <v>22</v>
      </c>
      <c r="C7463" s="1" t="str">
        <f t="shared" si="365"/>
        <v>4차</v>
      </c>
      <c r="D7463" s="1" t="str">
        <f>"0331X93145"</f>
        <v>0331X93145</v>
      </c>
      <c r="E7463" s="1" t="s">
        <v>14</v>
      </c>
      <c r="F7463" s="1" t="str">
        <f>"10.14.3.190"</f>
        <v>10.14.3.190</v>
      </c>
      <c r="G7463" s="1" t="str">
        <f>"0331X931"</f>
        <v>0331X931</v>
      </c>
      <c r="H7463" s="1" t="str">
        <f>"중계 206"</f>
        <v>중계 206</v>
      </c>
      <c r="I7463" s="1" t="s">
        <v>17</v>
      </c>
      <c r="J7463" s="1" t="str">
        <f>"0/0"</f>
        <v>0/0</v>
      </c>
      <c r="K7463" s="1" t="str">
        <f>"2026-07-29 13:18:04"</f>
        <v>2026-07-29 13:18:04</v>
      </c>
      <c r="L7463" s="1" t="str">
        <f>"2021-10-22 08:59:37"</f>
        <v>2021-10-22 08:59:37</v>
      </c>
      <c r="M7463" s="1" t="s">
        <v>3</v>
      </c>
      <c r="N7463" s="1" t="s">
        <v>38</v>
      </c>
      <c r="O7463" s="1" t="s">
        <v>44</v>
      </c>
    </row>
    <row r="7464" spans="2:15" x14ac:dyDescent="0.3">
      <c r="B7464" s="1" t="s">
        <v>22</v>
      </c>
      <c r="C7464" s="1" t="str">
        <f t="shared" si="365"/>
        <v>4차</v>
      </c>
      <c r="D7464" s="1" t="str">
        <f>"0331Y07244"</f>
        <v>0331Y07244</v>
      </c>
      <c r="E7464" s="1" t="s">
        <v>10</v>
      </c>
      <c r="F7464" s="1" t="str">
        <f>"10.107.248.218"</f>
        <v>10.107.248.218</v>
      </c>
      <c r="G7464" s="1" t="str">
        <f>"0331Y072"</f>
        <v>0331Y072</v>
      </c>
      <c r="H7464" s="1" t="str">
        <f>"상계간 31L6L5"</f>
        <v>상계간 31L6L5</v>
      </c>
      <c r="I7464" s="1" t="s">
        <v>8</v>
      </c>
      <c r="J7464" s="1" t="str">
        <f>"50/50"</f>
        <v>50/50</v>
      </c>
      <c r="K7464" s="1" t="str">
        <f>"2026-07-29 13:18:02"</f>
        <v>2026-07-29 13:18:02</v>
      </c>
      <c r="L7464" s="1" t="str">
        <f>"2020-01-10 11:40:17"</f>
        <v>2020-01-10 11:40:17</v>
      </c>
      <c r="M7464" s="1" t="s">
        <v>45</v>
      </c>
      <c r="N7464" s="1" t="s">
        <v>38</v>
      </c>
      <c r="O7464" s="1" t="s">
        <v>46</v>
      </c>
    </row>
    <row r="7465" spans="2:15" x14ac:dyDescent="0.3">
      <c r="B7465" s="1" t="s">
        <v>22</v>
      </c>
      <c r="C7465" s="1" t="str">
        <f t="shared" si="365"/>
        <v>4차</v>
      </c>
      <c r="D7465" s="1" t="str">
        <f>"0331Y25144"</f>
        <v>0331Y25144</v>
      </c>
      <c r="E7465" s="1" t="s">
        <v>10</v>
      </c>
      <c r="F7465" s="1" t="str">
        <f>"10.107.248.219"</f>
        <v>10.107.248.219</v>
      </c>
      <c r="G7465" s="1" t="str">
        <f>"0331Y251"</f>
        <v>0331Y251</v>
      </c>
      <c r="H7465" s="1" t="str">
        <f>"상계간 11L7"</f>
        <v>상계간 11L7</v>
      </c>
      <c r="I7465" s="1" t="s">
        <v>8</v>
      </c>
      <c r="J7465" s="1" t="str">
        <f>"75/82"</f>
        <v>75/82</v>
      </c>
      <c r="K7465" s="1" t="str">
        <f>"2026-07-29 13:18:02"</f>
        <v>2026-07-29 13:18:02</v>
      </c>
      <c r="L7465" s="1" t="str">
        <f>"2020-01-10 11:50:02"</f>
        <v>2020-01-10 11:50:02</v>
      </c>
      <c r="M7465" s="1" t="s">
        <v>45</v>
      </c>
      <c r="N7465" s="1" t="s">
        <v>38</v>
      </c>
      <c r="O7465" s="1" t="s">
        <v>46</v>
      </c>
    </row>
    <row r="7466" spans="2:15" x14ac:dyDescent="0.3">
      <c r="B7466" s="1" t="s">
        <v>22</v>
      </c>
      <c r="C7466" s="1" t="str">
        <f>"5-2차"</f>
        <v>5-2차</v>
      </c>
      <c r="D7466" s="1" t="str">
        <f>"0331Y2635M"</f>
        <v>0331Y2635M</v>
      </c>
      <c r="E7466" s="1" t="s">
        <v>10</v>
      </c>
      <c r="F7466" s="1" t="str">
        <f>"fde1:103:4:9226:0:0:0:2"</f>
        <v>fde1:103:4:9226:0:0:0:2</v>
      </c>
      <c r="G7466" s="1" t="str">
        <f>"0331Y263"</f>
        <v>0331Y263</v>
      </c>
      <c r="H7466" s="1" t="str">
        <f>"상계간 11L10"</f>
        <v>상계간 11L10</v>
      </c>
      <c r="I7466" s="1" t="s">
        <v>15</v>
      </c>
      <c r="J7466" s="1" t="str">
        <f>"52/52"</f>
        <v>52/52</v>
      </c>
      <c r="K7466" s="1" t="str">
        <f>"2026-07-29 14:21:06"</f>
        <v>2026-07-29 14:21:06</v>
      </c>
      <c r="L7466" s="1" t="str">
        <f>"2023-12-20 15:32:23"</f>
        <v>2023-12-20 15:32:23</v>
      </c>
      <c r="M7466" s="1" t="s">
        <v>4</v>
      </c>
      <c r="N7466" s="1" t="s">
        <v>38</v>
      </c>
      <c r="O7466" s="1" t="s">
        <v>46</v>
      </c>
    </row>
    <row r="7467" spans="2:15" x14ac:dyDescent="0.3">
      <c r="B7467" s="1" t="s">
        <v>22</v>
      </c>
      <c r="C7467" s="1" t="str">
        <f>"4차"</f>
        <v>4차</v>
      </c>
      <c r="D7467" s="1" t="str">
        <f>"0331Y28244"</f>
        <v>0331Y28244</v>
      </c>
      <c r="E7467" s="1" t="s">
        <v>10</v>
      </c>
      <c r="F7467" s="1" t="str">
        <f>"10.107.248.220"</f>
        <v>10.107.248.220</v>
      </c>
      <c r="G7467" s="1" t="str">
        <f>"0331Y282"</f>
        <v>0331Y282</v>
      </c>
      <c r="H7467" s="1" t="str">
        <f>"상계간 31L6L1"</f>
        <v>상계간 31L6L1</v>
      </c>
      <c r="I7467" s="1" t="s">
        <v>8</v>
      </c>
      <c r="J7467" s="1" t="str">
        <f>"54/54"</f>
        <v>54/54</v>
      </c>
      <c r="K7467" s="1" t="str">
        <f>"2026-07-29 13:18:02"</f>
        <v>2026-07-29 13:18:02</v>
      </c>
      <c r="L7467" s="1" t="str">
        <f>"2022-04-06 11:22:11"</f>
        <v>2022-04-06 11:22:11</v>
      </c>
      <c r="M7467" s="1" t="s">
        <v>45</v>
      </c>
      <c r="N7467" s="1" t="s">
        <v>38</v>
      </c>
      <c r="O7467" s="1" t="s">
        <v>46</v>
      </c>
    </row>
    <row r="7468" spans="2:15" x14ac:dyDescent="0.3">
      <c r="B7468" s="1" t="s">
        <v>22</v>
      </c>
      <c r="C7468" s="1" t="str">
        <f>"5-2차"</f>
        <v>5-2차</v>
      </c>
      <c r="D7468" s="1" t="str">
        <f>"0331Y3835M"</f>
        <v>0331Y3835M</v>
      </c>
      <c r="E7468" s="1" t="s">
        <v>10</v>
      </c>
      <c r="F7468" s="1" t="str">
        <f>"fde3:102:1420:1200:0:0:0:5"</f>
        <v>fde3:102:1420:1200:0:0:0:5</v>
      </c>
      <c r="G7468" s="1" t="str">
        <f>"0331Y383"</f>
        <v>0331Y383</v>
      </c>
      <c r="H7468" s="1" t="str">
        <f>"상계간 31L3"</f>
        <v>상계간 31L3</v>
      </c>
      <c r="I7468" s="1" t="s">
        <v>15</v>
      </c>
      <c r="J7468" s="1" t="str">
        <f>"71/79"</f>
        <v>71/79</v>
      </c>
      <c r="K7468" s="1" t="str">
        <f>"2026-07-29 14:20:27"</f>
        <v>2026-07-29 14:20:27</v>
      </c>
      <c r="L7468" s="1" t="str">
        <f>"2023-06-19 18:15:11"</f>
        <v>2023-06-19 18:15:11</v>
      </c>
      <c r="M7468" s="1" t="s">
        <v>45</v>
      </c>
      <c r="N7468" s="1" t="s">
        <v>38</v>
      </c>
      <c r="O7468" s="1" t="s">
        <v>46</v>
      </c>
    </row>
    <row r="7469" spans="2:15" x14ac:dyDescent="0.3">
      <c r="B7469" s="1" t="s">
        <v>22</v>
      </c>
      <c r="C7469" s="1" t="str">
        <f>"4차"</f>
        <v>4차</v>
      </c>
      <c r="D7469" s="1" t="str">
        <f>"0331Y84444"</f>
        <v>0331Y84444</v>
      </c>
      <c r="E7469" s="1" t="s">
        <v>10</v>
      </c>
      <c r="F7469" s="1" t="str">
        <f>"10.107.120.69"</f>
        <v>10.107.120.69</v>
      </c>
      <c r="G7469" s="1" t="str">
        <f>"0331Y844"</f>
        <v>0331Y844</v>
      </c>
      <c r="H7469" s="1" t="str">
        <f>"당재간 15"</f>
        <v>당재간 15</v>
      </c>
      <c r="I7469" s="1" t="s">
        <v>8</v>
      </c>
      <c r="J7469" s="1" t="str">
        <f>"27/27"</f>
        <v>27/27</v>
      </c>
      <c r="K7469" s="1" t="str">
        <f>"2026-07-29 13:18:03"</f>
        <v>2026-07-29 13:18:03</v>
      </c>
      <c r="L7469" s="1" t="str">
        <f>"2020-01-10 11:28:32"</f>
        <v>2020-01-10 11:28:32</v>
      </c>
      <c r="M7469" s="1" t="s">
        <v>45</v>
      </c>
      <c r="N7469" s="1" t="s">
        <v>38</v>
      </c>
      <c r="O7469" s="1" t="s">
        <v>46</v>
      </c>
    </row>
    <row r="7470" spans="2:15" x14ac:dyDescent="0.3">
      <c r="B7470" s="1" t="s">
        <v>22</v>
      </c>
      <c r="C7470" s="1" t="str">
        <f>"5-2차"</f>
        <v>5-2차</v>
      </c>
      <c r="D7470" s="1" t="str">
        <f>"0332P0015M"</f>
        <v>0332P0015M</v>
      </c>
      <c r="E7470" s="1" t="s">
        <v>10</v>
      </c>
      <c r="F7470" s="1" t="str">
        <f>"fde3:102:1420:2100:0:0:0:24"</f>
        <v>fde3:102:1420:2100:0:0:0:24</v>
      </c>
      <c r="G7470" s="1" t="str">
        <f>"0332P001"</f>
        <v>0332P001</v>
      </c>
      <c r="H7470" s="1" t="str">
        <f>"장암간 69L7R3R1"</f>
        <v>장암간 69L7R3R1</v>
      </c>
      <c r="I7470" s="1" t="s">
        <v>15</v>
      </c>
      <c r="J7470" s="1" t="str">
        <f>"83/83"</f>
        <v>83/83</v>
      </c>
      <c r="K7470" s="1" t="str">
        <f>"2026-07-29 14:21:05"</f>
        <v>2026-07-29 14:21:05</v>
      </c>
      <c r="L7470" s="1" t="str">
        <f>"2023-06-19 18:03:52"</f>
        <v>2023-06-19 18:03:52</v>
      </c>
      <c r="M7470" s="1" t="s">
        <v>45</v>
      </c>
      <c r="N7470" s="1" t="s">
        <v>38</v>
      </c>
      <c r="O7470" s="1" t="s">
        <v>46</v>
      </c>
    </row>
    <row r="7471" spans="2:15" x14ac:dyDescent="0.3">
      <c r="B7471" s="1" t="s">
        <v>22</v>
      </c>
      <c r="C7471" s="1" t="str">
        <f>"5-2차"</f>
        <v>5-2차</v>
      </c>
      <c r="D7471" s="1" t="str">
        <f>"0332P1015M"</f>
        <v>0332P1015M</v>
      </c>
      <c r="E7471" s="1" t="s">
        <v>10</v>
      </c>
      <c r="F7471" s="1" t="str">
        <f>"fde1:103:4:9191:0:0:0:2"</f>
        <v>fde1:103:4:9191:0:0:0:2</v>
      </c>
      <c r="G7471" s="1" t="str">
        <f>"0332P101"</f>
        <v>0332P101</v>
      </c>
      <c r="H7471" s="1" t="str">
        <f>"장암간 69L7R3L1"</f>
        <v>장암간 69L7R3L1</v>
      </c>
      <c r="I7471" s="1" t="s">
        <v>15</v>
      </c>
      <c r="J7471" s="1" t="str">
        <f>"84/84"</f>
        <v>84/84</v>
      </c>
      <c r="K7471" s="1" t="str">
        <f>"2026-07-29 14:21:03"</f>
        <v>2026-07-29 14:21:03</v>
      </c>
      <c r="L7471" s="1" t="str">
        <f>"2024-01-08 09:35:09"</f>
        <v>2024-01-08 09:35:09</v>
      </c>
      <c r="M7471" s="1" t="s">
        <v>4</v>
      </c>
      <c r="N7471" s="1" t="s">
        <v>38</v>
      </c>
      <c r="O7471" s="1" t="s">
        <v>46</v>
      </c>
    </row>
    <row r="7472" spans="2:15" x14ac:dyDescent="0.3">
      <c r="B7472" s="1" t="s">
        <v>22</v>
      </c>
      <c r="C7472" s="1" t="str">
        <f>"4차"</f>
        <v>4차</v>
      </c>
      <c r="D7472" s="1" t="str">
        <f>"0332P11A39"</f>
        <v>0332P11A39</v>
      </c>
      <c r="E7472" s="1" t="s">
        <v>10</v>
      </c>
      <c r="F7472" s="1" t="str">
        <f>"10.12.130.93"</f>
        <v>10.12.130.93</v>
      </c>
      <c r="G7472" s="1" t="str">
        <f>"0332P11A"</f>
        <v>0332P11A</v>
      </c>
      <c r="H7472" s="1" t="str">
        <f>"수락 4"</f>
        <v>수락 4</v>
      </c>
      <c r="I7472" s="1" t="s">
        <v>17</v>
      </c>
      <c r="J7472" s="1" t="str">
        <f>"21/21"</f>
        <v>21/21</v>
      </c>
      <c r="K7472" s="1" t="str">
        <f>"2026-07-29 13:18:04"</f>
        <v>2026-07-29 13:18:04</v>
      </c>
      <c r="L7472" s="1" t="str">
        <f>"2018-12-19 15:07:13"</f>
        <v>2018-12-19 15:07:13</v>
      </c>
      <c r="M7472" s="1" t="s">
        <v>0</v>
      </c>
      <c r="N7472" s="1" t="s">
        <v>38</v>
      </c>
      <c r="O7472" s="1" t="s">
        <v>46</v>
      </c>
    </row>
    <row r="7473" spans="2:15" x14ac:dyDescent="0.3">
      <c r="B7473" s="1" t="s">
        <v>22</v>
      </c>
      <c r="C7473" s="1" t="str">
        <f>"4차"</f>
        <v>4차</v>
      </c>
      <c r="D7473" s="1" t="str">
        <f>"0332P12M39"</f>
        <v>0332P12M39</v>
      </c>
      <c r="E7473" s="1" t="s">
        <v>10</v>
      </c>
      <c r="F7473" s="1" t="str">
        <f>"10.12.130.94"</f>
        <v>10.12.130.94</v>
      </c>
      <c r="G7473" s="1" t="str">
        <f>"0332P12M"</f>
        <v>0332P12M</v>
      </c>
      <c r="H7473" s="1" t="str">
        <f>"수락 9"</f>
        <v>수락 9</v>
      </c>
      <c r="I7473" s="1" t="s">
        <v>17</v>
      </c>
      <c r="J7473" s="1" t="str">
        <f>"11/18"</f>
        <v>11/18</v>
      </c>
      <c r="K7473" s="1" t="str">
        <f>"2026-07-29 13:18:04"</f>
        <v>2026-07-29 13:18:04</v>
      </c>
      <c r="L7473" s="1" t="str">
        <f>"2018-10-12 13:13:57"</f>
        <v>2018-10-12 13:13:57</v>
      </c>
      <c r="M7473" s="1" t="s">
        <v>0</v>
      </c>
      <c r="N7473" s="1" t="s">
        <v>38</v>
      </c>
      <c r="O7473" s="1" t="s">
        <v>46</v>
      </c>
    </row>
    <row r="7474" spans="2:15" x14ac:dyDescent="0.3">
      <c r="B7474" s="1" t="s">
        <v>22</v>
      </c>
      <c r="C7474" s="1" t="str">
        <f>"5-2차"</f>
        <v>5-2차</v>
      </c>
      <c r="D7474" s="1" t="str">
        <f>"0332P1425S"</f>
        <v>0332P1425S</v>
      </c>
      <c r="E7474" s="1" t="s">
        <v>10</v>
      </c>
      <c r="F7474" s="1" t="str">
        <f>"fde3:102:1420:2100:0:0:0:27"</f>
        <v>fde3:102:1420:2100:0:0:0:27</v>
      </c>
      <c r="G7474" s="1" t="str">
        <f>"0332P142"</f>
        <v>0332P142</v>
      </c>
      <c r="H7474" s="1" t="str">
        <f>"장암간 65L14"</f>
        <v>장암간 65L14</v>
      </c>
      <c r="I7474" s="1" t="s">
        <v>15</v>
      </c>
      <c r="J7474" s="1" t="str">
        <f>"112/112"</f>
        <v>112/112</v>
      </c>
      <c r="K7474" s="1" t="str">
        <f>"2026-07-29 14:21:05"</f>
        <v>2026-07-29 14:21:05</v>
      </c>
      <c r="L7474" s="1" t="str">
        <f>"2023-06-16 11:21:34"</f>
        <v>2023-06-16 11:21:34</v>
      </c>
      <c r="M7474" s="1" t="s">
        <v>45</v>
      </c>
      <c r="N7474" s="1" t="s">
        <v>38</v>
      </c>
      <c r="O7474" s="1" t="s">
        <v>46</v>
      </c>
    </row>
    <row r="7475" spans="2:15" x14ac:dyDescent="0.3">
      <c r="B7475" s="1" t="s">
        <v>22</v>
      </c>
      <c r="C7475" s="1" t="str">
        <f>"5-2차"</f>
        <v>5-2차</v>
      </c>
      <c r="D7475" s="1" t="str">
        <f>"0332P2225M"</f>
        <v>0332P2225M</v>
      </c>
      <c r="E7475" s="1" t="s">
        <v>10</v>
      </c>
      <c r="F7475" s="1" t="str">
        <f>"fde3:102:1420:2100:0:0:0:29"</f>
        <v>fde3:102:1420:2100:0:0:0:29</v>
      </c>
      <c r="G7475" s="1" t="str">
        <f>"0332P222"</f>
        <v>0332P222</v>
      </c>
      <c r="H7475" s="1" t="str">
        <f>"수락SW 8R2"</f>
        <v>수락SW 8R2</v>
      </c>
      <c r="I7475" s="1" t="s">
        <v>15</v>
      </c>
      <c r="J7475" s="1" t="str">
        <f>"42/42"</f>
        <v>42/42</v>
      </c>
      <c r="K7475" s="1" t="str">
        <f>"2026-07-28 20:03:27"</f>
        <v>2026-07-28 20:03:27</v>
      </c>
      <c r="L7475" s="1" t="str">
        <f>"2023-06-26 17:54:48"</f>
        <v>2023-06-26 17:54:48</v>
      </c>
      <c r="M7475" s="1" t="s">
        <v>45</v>
      </c>
      <c r="N7475" s="1" t="s">
        <v>38</v>
      </c>
      <c r="O7475" s="1" t="s">
        <v>46</v>
      </c>
    </row>
    <row r="7476" spans="2:15" x14ac:dyDescent="0.3">
      <c r="B7476" s="1" t="s">
        <v>22</v>
      </c>
      <c r="C7476" s="1" t="str">
        <f>"4차"</f>
        <v>4차</v>
      </c>
      <c r="D7476" s="1" t="str">
        <f>"0332P51339"</f>
        <v>0332P51339</v>
      </c>
      <c r="E7476" s="1" t="s">
        <v>10</v>
      </c>
      <c r="F7476" s="1" t="str">
        <f>"10.12.130.85"</f>
        <v>10.12.130.85</v>
      </c>
      <c r="G7476" s="1" t="str">
        <f>"0332P513"</f>
        <v>0332P513</v>
      </c>
      <c r="H7476" s="1" t="str">
        <f>"수락 5"</f>
        <v>수락 5</v>
      </c>
      <c r="I7476" s="1" t="s">
        <v>17</v>
      </c>
      <c r="J7476" s="1" t="str">
        <f>"3/3"</f>
        <v>3/3</v>
      </c>
      <c r="K7476" s="1" t="str">
        <f>"2026-07-29 13:18:05"</f>
        <v>2026-07-29 13:18:05</v>
      </c>
      <c r="L7476" s="1" t="str">
        <f>"2018-10-16 17:12:00"</f>
        <v>2018-10-16 17:12:00</v>
      </c>
      <c r="M7476" s="1" t="s">
        <v>0</v>
      </c>
      <c r="N7476" s="1" t="s">
        <v>38</v>
      </c>
      <c r="O7476" s="1" t="s">
        <v>46</v>
      </c>
    </row>
    <row r="7477" spans="2:15" x14ac:dyDescent="0.3">
      <c r="B7477" s="1" t="s">
        <v>22</v>
      </c>
      <c r="C7477" s="1" t="str">
        <f t="shared" ref="C7477:C7483" si="367">"5-2차"</f>
        <v>5-2차</v>
      </c>
      <c r="D7477" s="1" t="str">
        <f>"0332R0415M"</f>
        <v>0332R0415M</v>
      </c>
      <c r="E7477" s="1" t="s">
        <v>10</v>
      </c>
      <c r="F7477" s="1" t="str">
        <f>"fde1:103:4:91c1:0:0:0:2"</f>
        <v>fde1:103:4:91c1:0:0:0:2</v>
      </c>
      <c r="G7477" s="1" t="str">
        <f>"0332R041"</f>
        <v>0332R041</v>
      </c>
      <c r="H7477" s="1" t="str">
        <f>"장암간 69L7R21"</f>
        <v>장암간 69L7R21</v>
      </c>
      <c r="I7477" s="1" t="s">
        <v>15</v>
      </c>
      <c r="J7477" s="1" t="str">
        <f>"37/37"</f>
        <v>37/37</v>
      </c>
      <c r="K7477" s="1" t="str">
        <f>"2026-07-29 14:20:21"</f>
        <v>2026-07-29 14:20:21</v>
      </c>
      <c r="L7477" s="1" t="str">
        <f>"2024-01-08 11:55:37"</f>
        <v>2024-01-08 11:55:37</v>
      </c>
      <c r="M7477" s="1" t="s">
        <v>4</v>
      </c>
      <c r="N7477" s="1" t="s">
        <v>38</v>
      </c>
      <c r="O7477" s="1" t="s">
        <v>46</v>
      </c>
    </row>
    <row r="7478" spans="2:15" x14ac:dyDescent="0.3">
      <c r="B7478" s="1" t="s">
        <v>22</v>
      </c>
      <c r="C7478" s="1" t="str">
        <f t="shared" si="367"/>
        <v>5-2차</v>
      </c>
      <c r="D7478" s="1" t="str">
        <f>"0332R0615M"</f>
        <v>0332R0615M</v>
      </c>
      <c r="E7478" s="1" t="s">
        <v>10</v>
      </c>
      <c r="F7478" s="1" t="str">
        <f>"fde3:102:1420:2100:0:0:0:20"</f>
        <v>fde3:102:1420:2100:0:0:0:20</v>
      </c>
      <c r="G7478" s="1" t="str">
        <f>"0332R061"</f>
        <v>0332R061</v>
      </c>
      <c r="H7478" s="1" t="str">
        <f>"장암간 69L7R17"</f>
        <v>장암간 69L7R17</v>
      </c>
      <c r="I7478" s="1" t="s">
        <v>15</v>
      </c>
      <c r="J7478" s="1" t="str">
        <f>"43/43"</f>
        <v>43/43</v>
      </c>
      <c r="K7478" s="1" t="str">
        <f>"2026-07-29 14:20:45"</f>
        <v>2026-07-29 14:20:45</v>
      </c>
      <c r="L7478" s="1" t="str">
        <f>"2023-06-19 17:53:10"</f>
        <v>2023-06-19 17:53:10</v>
      </c>
      <c r="M7478" s="1" t="s">
        <v>45</v>
      </c>
      <c r="N7478" s="1" t="s">
        <v>38</v>
      </c>
      <c r="O7478" s="1" t="s">
        <v>46</v>
      </c>
    </row>
    <row r="7479" spans="2:15" x14ac:dyDescent="0.3">
      <c r="B7479" s="1" t="s">
        <v>22</v>
      </c>
      <c r="C7479" s="1" t="str">
        <f t="shared" si="367"/>
        <v>5-2차</v>
      </c>
      <c r="D7479" s="1" t="str">
        <f>"0332R0715M"</f>
        <v>0332R0715M</v>
      </c>
      <c r="E7479" s="1" t="s">
        <v>10</v>
      </c>
      <c r="F7479" s="1" t="str">
        <f>"fde3:102:1420:2100:0:0:0:21"</f>
        <v>fde3:102:1420:2100:0:0:0:21</v>
      </c>
      <c r="G7479" s="1" t="str">
        <f>"0332R071"</f>
        <v>0332R071</v>
      </c>
      <c r="H7479" s="1" t="str">
        <f>"장암간 69L7R14"</f>
        <v>장암간 69L7R14</v>
      </c>
      <c r="I7479" s="1" t="s">
        <v>15</v>
      </c>
      <c r="J7479" s="1" t="str">
        <f>"18/18"</f>
        <v>18/18</v>
      </c>
      <c r="K7479" s="1" t="str">
        <f>"2026-07-29 14:21:03"</f>
        <v>2026-07-29 14:21:03</v>
      </c>
      <c r="L7479" s="1" t="str">
        <f>"2023-10-16 17:18:14"</f>
        <v>2023-10-16 17:18:14</v>
      </c>
      <c r="M7479" s="1" t="s">
        <v>45</v>
      </c>
      <c r="N7479" s="1" t="s">
        <v>38</v>
      </c>
      <c r="O7479" s="1" t="s">
        <v>46</v>
      </c>
    </row>
    <row r="7480" spans="2:15" x14ac:dyDescent="0.3">
      <c r="B7480" s="1" t="s">
        <v>22</v>
      </c>
      <c r="C7480" s="1" t="str">
        <f t="shared" si="367"/>
        <v>5-2차</v>
      </c>
      <c r="D7480" s="1" t="str">
        <f>"0332R0915M"</f>
        <v>0332R0915M</v>
      </c>
      <c r="E7480" s="1" t="s">
        <v>10</v>
      </c>
      <c r="F7480" s="1" t="str">
        <f>"fde3:102:1420:2100:0:0:0:22"</f>
        <v>fde3:102:1420:2100:0:0:0:22</v>
      </c>
      <c r="G7480" s="1" t="str">
        <f>"0332R091"</f>
        <v>0332R091</v>
      </c>
      <c r="H7480" s="1" t="str">
        <f>"장암간 69L7R7"</f>
        <v>장암간 69L7R7</v>
      </c>
      <c r="I7480" s="1" t="s">
        <v>15</v>
      </c>
      <c r="J7480" s="1" t="str">
        <f>"66/66"</f>
        <v>66/66</v>
      </c>
      <c r="K7480" s="1" t="str">
        <f>"2026-07-29 14:21:04"</f>
        <v>2026-07-29 14:21:04</v>
      </c>
      <c r="L7480" s="1" t="str">
        <f>"2023-06-26 17:58:48"</f>
        <v>2023-06-26 17:58:48</v>
      </c>
      <c r="M7480" s="1" t="s">
        <v>45</v>
      </c>
      <c r="N7480" s="1" t="s">
        <v>38</v>
      </c>
      <c r="O7480" s="1" t="s">
        <v>46</v>
      </c>
    </row>
    <row r="7481" spans="2:15" x14ac:dyDescent="0.3">
      <c r="B7481" s="1" t="s">
        <v>22</v>
      </c>
      <c r="C7481" s="1" t="str">
        <f t="shared" si="367"/>
        <v>5-2차</v>
      </c>
      <c r="D7481" s="1" t="str">
        <f>"0332R6925M"</f>
        <v>0332R6925M</v>
      </c>
      <c r="E7481" s="1" t="s">
        <v>10</v>
      </c>
      <c r="F7481" s="1" t="str">
        <f>"fde3:102:1420:2100:0:0:0:2a"</f>
        <v>fde3:102:1420:2100:0:0:0:2a</v>
      </c>
      <c r="G7481" s="1" t="str">
        <f>"0332R692"</f>
        <v>0332R692</v>
      </c>
      <c r="H7481" s="1" t="str">
        <f>"수락SW 9R6"</f>
        <v>수락SW 9R6</v>
      </c>
      <c r="I7481" s="1" t="s">
        <v>15</v>
      </c>
      <c r="J7481" s="1" t="str">
        <f>"83/83"</f>
        <v>83/83</v>
      </c>
      <c r="K7481" s="1" t="str">
        <f>"2026-07-29 14:21:04"</f>
        <v>2026-07-29 14:21:04</v>
      </c>
      <c r="L7481" s="1" t="str">
        <f>"2023-11-30 17:38:38"</f>
        <v>2023-11-30 17:38:38</v>
      </c>
      <c r="M7481" s="1" t="s">
        <v>45</v>
      </c>
      <c r="N7481" s="1" t="s">
        <v>38</v>
      </c>
      <c r="O7481" s="1" t="s">
        <v>46</v>
      </c>
    </row>
    <row r="7482" spans="2:15" x14ac:dyDescent="0.3">
      <c r="B7482" s="1" t="s">
        <v>22</v>
      </c>
      <c r="C7482" s="1" t="str">
        <f t="shared" si="367"/>
        <v>5-2차</v>
      </c>
      <c r="D7482" s="1" t="str">
        <f>"0332Z4525M"</f>
        <v>0332Z4525M</v>
      </c>
      <c r="E7482" s="1" t="s">
        <v>10</v>
      </c>
      <c r="F7482" s="1" t="str">
        <f>"fde1:103:4:9263:0:0:0:2"</f>
        <v>fde1:103:4:9263:0:0:0:2</v>
      </c>
      <c r="G7482" s="1" t="str">
        <f>"0332Z452"</f>
        <v>0332Z452</v>
      </c>
      <c r="H7482" s="1" t="str">
        <f>"동막간 39R8R1"</f>
        <v>동막간 39R8R1</v>
      </c>
      <c r="I7482" s="1" t="s">
        <v>15</v>
      </c>
      <c r="J7482" s="1" t="str">
        <f>"38/38"</f>
        <v>38/38</v>
      </c>
      <c r="K7482" s="1" t="str">
        <f>"2026-07-29 14:20:21"</f>
        <v>2026-07-29 14:20:21</v>
      </c>
      <c r="L7482" s="1" t="str">
        <f>"2024-01-08 11:56:07"</f>
        <v>2024-01-08 11:56:07</v>
      </c>
      <c r="M7482" s="1" t="s">
        <v>4</v>
      </c>
      <c r="N7482" s="1" t="s">
        <v>38</v>
      </c>
      <c r="O7482" s="1" t="s">
        <v>46</v>
      </c>
    </row>
    <row r="7483" spans="2:15" x14ac:dyDescent="0.3">
      <c r="B7483" s="1" t="s">
        <v>22</v>
      </c>
      <c r="C7483" s="1" t="str">
        <f t="shared" si="367"/>
        <v>5-2차</v>
      </c>
      <c r="D7483" s="1" t="str">
        <f>"0332Z5625M"</f>
        <v>0332Z5625M</v>
      </c>
      <c r="E7483" s="1" t="s">
        <v>10</v>
      </c>
      <c r="F7483" s="1" t="str">
        <f>"fde1:103:4:917c:0:0:0:2"</f>
        <v>fde1:103:4:917c:0:0:0:2</v>
      </c>
      <c r="G7483" s="1" t="str">
        <f>"0332Z562"</f>
        <v>0332Z562</v>
      </c>
      <c r="H7483" s="1" t="str">
        <f>"동막간 37R13C2"</f>
        <v>동막간 37R13C2</v>
      </c>
      <c r="I7483" s="1" t="s">
        <v>15</v>
      </c>
      <c r="J7483" s="1" t="str">
        <f>"51/51"</f>
        <v>51/51</v>
      </c>
      <c r="K7483" s="1" t="str">
        <f>"2026-07-29 14:21:05"</f>
        <v>2026-07-29 14:21:05</v>
      </c>
      <c r="L7483" s="1" t="str">
        <f>"2024-01-08 11:53:05"</f>
        <v>2024-01-08 11:53:05</v>
      </c>
      <c r="M7483" s="1" t="s">
        <v>4</v>
      </c>
      <c r="N7483" s="1" t="s">
        <v>38</v>
      </c>
      <c r="O7483" s="1" t="s">
        <v>46</v>
      </c>
    </row>
    <row r="7484" spans="2:15" x14ac:dyDescent="0.3">
      <c r="B7484" s="1" t="s">
        <v>22</v>
      </c>
      <c r="C7484" s="1" t="str">
        <f>"4차"</f>
        <v>4차</v>
      </c>
      <c r="D7484" s="1" t="str">
        <f>"0332Z74141"</f>
        <v>0332Z74141</v>
      </c>
      <c r="E7484" s="1" t="s">
        <v>10</v>
      </c>
      <c r="F7484" s="1" t="str">
        <f>"10.14.14.111"</f>
        <v>10.14.14.111</v>
      </c>
      <c r="G7484" s="1" t="str">
        <f>"0332Z741"</f>
        <v>0332Z741</v>
      </c>
      <c r="H7484" s="1" t="str">
        <f>"동막간 37R5"</f>
        <v>동막간 37R5</v>
      </c>
      <c r="I7484" s="1" t="s">
        <v>17</v>
      </c>
      <c r="J7484" s="1" t="str">
        <f>"74/85"</f>
        <v>74/85</v>
      </c>
      <c r="K7484" s="1" t="str">
        <f>"2026-07-29 13:18:03"</f>
        <v>2026-07-29 13:18:03</v>
      </c>
      <c r="L7484" s="1" t="str">
        <f>"2021-07-14 14:13:52"</f>
        <v>2021-07-14 14:13:52</v>
      </c>
      <c r="M7484" s="1" t="s">
        <v>3</v>
      </c>
      <c r="N7484" s="1" t="s">
        <v>38</v>
      </c>
      <c r="O7484" s="1" t="s">
        <v>46</v>
      </c>
    </row>
    <row r="7485" spans="2:15" x14ac:dyDescent="0.3">
      <c r="B7485" s="1" t="s">
        <v>22</v>
      </c>
      <c r="C7485" s="1" t="str">
        <f>"1차"</f>
        <v>1차</v>
      </c>
      <c r="D7485" s="1" t="str">
        <f>"0429C00201"</f>
        <v>0429C00201</v>
      </c>
      <c r="E7485" s="1" t="s">
        <v>10</v>
      </c>
      <c r="F7485" s="1" t="str">
        <f>"10.107.251.61"</f>
        <v>10.107.251.61</v>
      </c>
      <c r="G7485" s="1" t="str">
        <f>"0429C002"</f>
        <v>0429C002</v>
      </c>
      <c r="H7485" s="1" t="str">
        <f>"공릉지 64R7"</f>
        <v>공릉지 64R7</v>
      </c>
      <c r="I7485" s="1" t="s">
        <v>8</v>
      </c>
      <c r="J7485" s="1" t="str">
        <f>"10/10"</f>
        <v>10/10</v>
      </c>
      <c r="K7485" s="1" t="str">
        <f>"2026-07-29 13:18:05"</f>
        <v>2026-07-29 13:18:05</v>
      </c>
      <c r="L7485" s="1" t="str">
        <f>"2014-12-17 15:27:42"</f>
        <v>2014-12-17 15:27:42</v>
      </c>
      <c r="M7485" s="1" t="s">
        <v>45</v>
      </c>
      <c r="N7485" s="1" t="s">
        <v>38</v>
      </c>
      <c r="O7485" s="1" t="s">
        <v>46</v>
      </c>
    </row>
    <row r="7486" spans="2:15" x14ac:dyDescent="0.3">
      <c r="B7486" s="1" t="s">
        <v>22</v>
      </c>
      <c r="C7486" s="1" t="str">
        <f>"1차"</f>
        <v>1차</v>
      </c>
      <c r="D7486" s="1" t="str">
        <f>"0429C03100"</f>
        <v>0429C03100</v>
      </c>
      <c r="E7486" s="1" t="s">
        <v>10</v>
      </c>
      <c r="F7486" s="1" t="str">
        <f>"10.107.120.104"</f>
        <v>10.107.120.104</v>
      </c>
      <c r="G7486" s="1" t="str">
        <f>"0429C031"</f>
        <v>0429C031</v>
      </c>
      <c r="H7486" s="1" t="str">
        <f>"공릉지 45L2"</f>
        <v>공릉지 45L2</v>
      </c>
      <c r="I7486" s="1" t="s">
        <v>8</v>
      </c>
      <c r="J7486" s="1" t="str">
        <f>"32/32"</f>
        <v>32/32</v>
      </c>
      <c r="K7486" s="1" t="str">
        <f>"2026-07-29 13:18:02"</f>
        <v>2026-07-29 13:18:02</v>
      </c>
      <c r="L7486" s="1" t="str">
        <f>"2021-06-07 17:00:02"</f>
        <v>2021-06-07 17:00:02</v>
      </c>
      <c r="M7486" s="1" t="s">
        <v>45</v>
      </c>
      <c r="N7486" s="1" t="s">
        <v>38</v>
      </c>
      <c r="O7486" s="1" t="s">
        <v>46</v>
      </c>
    </row>
    <row r="7487" spans="2:15" x14ac:dyDescent="0.3">
      <c r="B7487" s="1" t="s">
        <v>22</v>
      </c>
      <c r="C7487" s="1" t="str">
        <f>"5-2차"</f>
        <v>5-2차</v>
      </c>
      <c r="D7487" s="1" t="str">
        <f>"0429D0135S"</f>
        <v>0429D0135S</v>
      </c>
      <c r="E7487" s="1" t="s">
        <v>10</v>
      </c>
      <c r="F7487" s="1" t="str">
        <f>"fde3:102:1420:4100:0:0:0:5"</f>
        <v>fde3:102:1420:4100:0:0:0:5</v>
      </c>
      <c r="G7487" s="1" t="str">
        <f>"0429D013"</f>
        <v>0429D013</v>
      </c>
      <c r="H7487" s="1" t="str">
        <f>"연수지 4"</f>
        <v>연수지 4</v>
      </c>
      <c r="I7487" s="1" t="s">
        <v>15</v>
      </c>
      <c r="J7487" s="1" t="str">
        <f>"49/49"</f>
        <v>49/49</v>
      </c>
      <c r="K7487" s="1" t="str">
        <f>"2026-07-29 14:21:05"</f>
        <v>2026-07-29 14:21:05</v>
      </c>
      <c r="L7487" s="1" t="str">
        <f>"2023-06-19 13:02:57"</f>
        <v>2023-06-19 13:02:57</v>
      </c>
      <c r="M7487" s="1" t="s">
        <v>45</v>
      </c>
      <c r="N7487" s="1" t="s">
        <v>38</v>
      </c>
      <c r="O7487" s="1" t="s">
        <v>46</v>
      </c>
    </row>
    <row r="7488" spans="2:15" x14ac:dyDescent="0.3">
      <c r="B7488" s="1" t="s">
        <v>22</v>
      </c>
      <c r="C7488" s="1" t="str">
        <f>"5-1차"</f>
        <v>5-1차</v>
      </c>
      <c r="D7488" s="1" t="str">
        <f>"0429D0215M"</f>
        <v>0429D0215M</v>
      </c>
      <c r="E7488" s="1" t="s">
        <v>10</v>
      </c>
      <c r="F7488" s="1" t="str">
        <f>"fde3:102:1420:4100:0:0:0:2"</f>
        <v>fde3:102:1420:4100:0:0:0:2</v>
      </c>
      <c r="G7488" s="1" t="str">
        <f>"0429D021"</f>
        <v>0429D021</v>
      </c>
      <c r="H7488" s="1" t="str">
        <f>"연수지 5"</f>
        <v>연수지 5</v>
      </c>
      <c r="I7488" s="1" t="s">
        <v>15</v>
      </c>
      <c r="J7488" s="1" t="str">
        <f>"39/39"</f>
        <v>39/39</v>
      </c>
      <c r="K7488" s="1" t="str">
        <f>"2026-07-29 14:21:15"</f>
        <v>2026-07-29 14:21:15</v>
      </c>
      <c r="L7488" s="1" t="str">
        <f>"2022-11-21 16:45:38"</f>
        <v>2022-11-21 16:45:38</v>
      </c>
      <c r="M7488" s="1" t="s">
        <v>45</v>
      </c>
      <c r="N7488" s="1" t="s">
        <v>38</v>
      </c>
      <c r="O7488" s="1" t="s">
        <v>46</v>
      </c>
    </row>
    <row r="7489" spans="2:15" x14ac:dyDescent="0.3">
      <c r="B7489" s="1" t="s">
        <v>22</v>
      </c>
      <c r="C7489" s="1" t="str">
        <f>"4차"</f>
        <v>4차</v>
      </c>
      <c r="D7489" s="1" t="str">
        <f>"0429G11145"</f>
        <v>0429G11145</v>
      </c>
      <c r="E7489" s="1" t="s">
        <v>10</v>
      </c>
      <c r="F7489" s="1" t="str">
        <f>"10.12.136.210"</f>
        <v>10.12.136.210</v>
      </c>
      <c r="G7489" s="1" t="str">
        <f>"0429G111"</f>
        <v>0429G111</v>
      </c>
      <c r="H7489" s="1" t="str">
        <f>"화랑 27B"</f>
        <v>화랑 27B</v>
      </c>
      <c r="I7489" s="1" t="s">
        <v>17</v>
      </c>
      <c r="J7489" s="1" t="str">
        <f>"28/28"</f>
        <v>28/28</v>
      </c>
      <c r="K7489" s="1" t="str">
        <f>"2026-07-29 13:18:03"</f>
        <v>2026-07-29 13:18:03</v>
      </c>
      <c r="L7489" s="1" t="str">
        <f>"2025-03-17 16:42:14"</f>
        <v>2025-03-17 16:42:14</v>
      </c>
      <c r="M7489" s="1" t="s">
        <v>0</v>
      </c>
      <c r="N7489" s="1" t="s">
        <v>38</v>
      </c>
      <c r="O7489" s="1" t="s">
        <v>46</v>
      </c>
    </row>
    <row r="7490" spans="2:15" x14ac:dyDescent="0.3">
      <c r="B7490" s="1" t="s">
        <v>22</v>
      </c>
      <c r="C7490" s="1" t="str">
        <f>"4차"</f>
        <v>4차</v>
      </c>
      <c r="D7490" s="1" t="str">
        <f>"0429G22139"</f>
        <v>0429G22139</v>
      </c>
      <c r="E7490" s="1" t="s">
        <v>10</v>
      </c>
      <c r="F7490" s="1" t="str">
        <f>"10.12.136.212"</f>
        <v>10.12.136.212</v>
      </c>
      <c r="G7490" s="1" t="str">
        <f>"0429G221"</f>
        <v>0429G221</v>
      </c>
      <c r="H7490" s="1" t="str">
        <f>"화랑 27A"</f>
        <v>화랑 27A</v>
      </c>
      <c r="I7490" s="1" t="s">
        <v>17</v>
      </c>
      <c r="J7490" s="1" t="str">
        <f>"37/37"</f>
        <v>37/37</v>
      </c>
      <c r="K7490" s="1" t="str">
        <f>"2026-07-29 13:18:04"</f>
        <v>2026-07-29 13:18:04</v>
      </c>
      <c r="L7490" s="1" t="str">
        <f>"2018-10-12 16:32:14"</f>
        <v>2018-10-12 16:32:14</v>
      </c>
      <c r="M7490" s="1" t="s">
        <v>0</v>
      </c>
      <c r="N7490" s="1" t="s">
        <v>38</v>
      </c>
      <c r="O7490" s="1" t="s">
        <v>46</v>
      </c>
    </row>
    <row r="7491" spans="2:15" x14ac:dyDescent="0.3">
      <c r="B7491" s="1" t="s">
        <v>22</v>
      </c>
      <c r="C7491" s="1" t="str">
        <f>"1차"</f>
        <v>1차</v>
      </c>
      <c r="D7491" s="1" t="str">
        <f>"0429P04101"</f>
        <v>0429P04101</v>
      </c>
      <c r="E7491" s="1" t="s">
        <v>10</v>
      </c>
      <c r="F7491" s="1" t="str">
        <f>"10.12.129.66"</f>
        <v>10.12.129.66</v>
      </c>
      <c r="G7491" s="1" t="str">
        <f>"0429P041"</f>
        <v>0429P041</v>
      </c>
      <c r="H7491" s="1" t="str">
        <f>"공릉지 60R3"</f>
        <v>공릉지 60R3</v>
      </c>
      <c r="I7491" s="1" t="s">
        <v>8</v>
      </c>
      <c r="J7491" s="1" t="str">
        <f>"101/101"</f>
        <v>101/101</v>
      </c>
      <c r="K7491" s="1" t="str">
        <f>"2026-07-29 13:18:03"</f>
        <v>2026-07-29 13:18:03</v>
      </c>
      <c r="L7491" s="1" t="str">
        <f>"2014-12-17 14:12:58"</f>
        <v>2014-12-17 14:12:58</v>
      </c>
      <c r="M7491" s="1" t="s">
        <v>0</v>
      </c>
      <c r="N7491" s="1" t="s">
        <v>38</v>
      </c>
      <c r="O7491" s="1" t="s">
        <v>46</v>
      </c>
    </row>
    <row r="7492" spans="2:15" x14ac:dyDescent="0.3">
      <c r="B7492" s="1" t="s">
        <v>22</v>
      </c>
      <c r="C7492" s="1" t="str">
        <f>"3차"</f>
        <v>3차</v>
      </c>
      <c r="D7492" s="1" t="str">
        <f>"0429P08239"</f>
        <v>0429P08239</v>
      </c>
      <c r="E7492" s="1" t="s">
        <v>10</v>
      </c>
      <c r="F7492" s="1" t="str">
        <f>"10.11.130.2"</f>
        <v>10.11.130.2</v>
      </c>
      <c r="G7492" s="1" t="str">
        <f>"0429P082"</f>
        <v>0429P082</v>
      </c>
      <c r="H7492" s="1" t="str">
        <f>"공릉지 64R4"</f>
        <v>공릉지 64R4</v>
      </c>
      <c r="I7492" s="1" t="s">
        <v>8</v>
      </c>
      <c r="J7492" s="1" t="str">
        <f>"158/160"</f>
        <v>158/160</v>
      </c>
      <c r="K7492" s="1" t="str">
        <f>"2026-07-29 13:18:04"</f>
        <v>2026-07-29 13:18:04</v>
      </c>
      <c r="L7492" s="1" t="str">
        <f>"2018-12-18 11:42:28"</f>
        <v>2018-12-18 11:42:28</v>
      </c>
      <c r="M7492" s="1" t="s">
        <v>2</v>
      </c>
      <c r="N7492" s="1" t="s">
        <v>38</v>
      </c>
      <c r="O7492" s="1" t="s">
        <v>46</v>
      </c>
    </row>
    <row r="7493" spans="2:15" x14ac:dyDescent="0.3">
      <c r="B7493" s="1" t="s">
        <v>22</v>
      </c>
      <c r="C7493" s="1" t="str">
        <f>"6차"</f>
        <v>6차</v>
      </c>
      <c r="D7493" s="1" t="str">
        <f>"0429P0916S"</f>
        <v>0429P0916S</v>
      </c>
      <c r="E7493" s="1" t="s">
        <v>10</v>
      </c>
      <c r="F7493" s="1" t="str">
        <f>"fde1:103:4:9303:0:0:0:2"</f>
        <v>fde1:103:4:9303:0:0:0:2</v>
      </c>
      <c r="G7493" s="1" t="str">
        <f>"0429P091"</f>
        <v>0429P091</v>
      </c>
      <c r="H7493" s="1" t="str">
        <f>"공릉지 64R5"</f>
        <v>공릉지 64R5</v>
      </c>
      <c r="I7493" s="1" t="s">
        <v>15</v>
      </c>
      <c r="J7493" s="1" t="str">
        <f>"71/71"</f>
        <v>71/71</v>
      </c>
      <c r="K7493" s="1" t="str">
        <f>"2026-07-29 14:20:27"</f>
        <v>2026-07-29 14:20:27</v>
      </c>
      <c r="L7493" s="1" t="str">
        <f>"2025-01-22 17:54:28"</f>
        <v>2025-01-22 17:54:28</v>
      </c>
      <c r="M7493" s="1" t="s">
        <v>4</v>
      </c>
      <c r="N7493" s="1" t="s">
        <v>38</v>
      </c>
      <c r="O7493" s="1" t="s">
        <v>46</v>
      </c>
    </row>
    <row r="7494" spans="2:15" x14ac:dyDescent="0.3">
      <c r="B7494" s="1" t="s">
        <v>22</v>
      </c>
      <c r="C7494" s="1" t="str">
        <f>"1차"</f>
        <v>1차</v>
      </c>
      <c r="D7494" s="1" t="str">
        <f>"0429P11300"</f>
        <v>0429P11300</v>
      </c>
      <c r="E7494" s="1" t="s">
        <v>10</v>
      </c>
      <c r="F7494" s="1" t="str">
        <f>"10.107.249.179"</f>
        <v>10.107.249.179</v>
      </c>
      <c r="G7494" s="1" t="str">
        <f>"0429P113"</f>
        <v>0429P113</v>
      </c>
      <c r="H7494" s="1" t="str">
        <f>"공릉지 60R4R4"</f>
        <v>공릉지 60R4R4</v>
      </c>
      <c r="I7494" s="1" t="s">
        <v>8</v>
      </c>
      <c r="J7494" s="1" t="str">
        <f>"41/41"</f>
        <v>41/41</v>
      </c>
      <c r="K7494" s="1" t="str">
        <f>"2026-07-29 13:18:04"</f>
        <v>2026-07-29 13:18:04</v>
      </c>
      <c r="L7494" s="1" t="str">
        <f>"2014-12-15 10:12:54"</f>
        <v>2014-12-15 10:12:54</v>
      </c>
      <c r="M7494" s="1" t="s">
        <v>45</v>
      </c>
      <c r="N7494" s="1" t="s">
        <v>38</v>
      </c>
      <c r="O7494" s="1" t="s">
        <v>46</v>
      </c>
    </row>
    <row r="7495" spans="2:15" x14ac:dyDescent="0.3">
      <c r="B7495" s="1" t="s">
        <v>22</v>
      </c>
      <c r="C7495" s="1" t="str">
        <f>"1차"</f>
        <v>1차</v>
      </c>
      <c r="D7495" s="1" t="str">
        <f>"0429P12100"</f>
        <v>0429P12100</v>
      </c>
      <c r="E7495" s="1" t="s">
        <v>10</v>
      </c>
      <c r="F7495" s="1" t="str">
        <f>"10.107.249.177"</f>
        <v>10.107.249.177</v>
      </c>
      <c r="G7495" s="1" t="str">
        <f>"0429P121"</f>
        <v>0429P121</v>
      </c>
      <c r="H7495" s="1" t="str">
        <f>"공릉지 60R10"</f>
        <v>공릉지 60R10</v>
      </c>
      <c r="I7495" s="1" t="s">
        <v>8</v>
      </c>
      <c r="J7495" s="1" t="str">
        <f>"38/38"</f>
        <v>38/38</v>
      </c>
      <c r="K7495" s="1" t="str">
        <f>"2026-07-29 13:18:04"</f>
        <v>2026-07-29 13:18:04</v>
      </c>
      <c r="L7495" s="1" t="str">
        <f>"2014-12-15 09:28:09"</f>
        <v>2014-12-15 09:28:09</v>
      </c>
      <c r="M7495" s="1" t="s">
        <v>45</v>
      </c>
      <c r="N7495" s="1" t="s">
        <v>38</v>
      </c>
      <c r="O7495" s="1" t="s">
        <v>46</v>
      </c>
    </row>
    <row r="7496" spans="2:15" x14ac:dyDescent="0.3">
      <c r="B7496" s="1" t="s">
        <v>22</v>
      </c>
      <c r="C7496" s="1" t="str">
        <f>"1차"</f>
        <v>1차</v>
      </c>
      <c r="D7496" s="1" t="str">
        <f>"0429P13101"</f>
        <v>0429P13101</v>
      </c>
      <c r="E7496" s="1" t="s">
        <v>10</v>
      </c>
      <c r="F7496" s="1" t="str">
        <f>"10.107.249.178"</f>
        <v>10.107.249.178</v>
      </c>
      <c r="G7496" s="1" t="str">
        <f>"0429P131"</f>
        <v>0429P131</v>
      </c>
      <c r="H7496" s="1" t="str">
        <f>"공릉지 60R8"</f>
        <v>공릉지 60R8</v>
      </c>
      <c r="I7496" s="1" t="s">
        <v>8</v>
      </c>
      <c r="J7496" s="1" t="str">
        <f>"139/139"</f>
        <v>139/139</v>
      </c>
      <c r="K7496" s="1" t="str">
        <f>"2026-07-29 13:18:04"</f>
        <v>2026-07-29 13:18:04</v>
      </c>
      <c r="L7496" s="1" t="str">
        <f>"2014-12-15 09:27:57"</f>
        <v>2014-12-15 09:27:57</v>
      </c>
      <c r="M7496" s="1" t="s">
        <v>45</v>
      </c>
      <c r="N7496" s="1" t="s">
        <v>38</v>
      </c>
      <c r="O7496" s="1" t="s">
        <v>46</v>
      </c>
    </row>
    <row r="7497" spans="2:15" x14ac:dyDescent="0.3">
      <c r="B7497" s="1" t="s">
        <v>22</v>
      </c>
      <c r="C7497" s="1" t="str">
        <f>"1차"</f>
        <v>1차</v>
      </c>
      <c r="D7497" s="1" t="str">
        <f>"0429P13301"</f>
        <v>0429P13301</v>
      </c>
      <c r="E7497" s="1" t="s">
        <v>10</v>
      </c>
      <c r="F7497" s="1" t="str">
        <f>"10.12.128.225"</f>
        <v>10.12.128.225</v>
      </c>
      <c r="G7497" s="1" t="str">
        <f>"0429P133"</f>
        <v>0429P133</v>
      </c>
      <c r="H7497" s="1" t="str">
        <f>"공릉지 60R4R1"</f>
        <v>공릉지 60R4R1</v>
      </c>
      <c r="I7497" s="1" t="s">
        <v>8</v>
      </c>
      <c r="J7497" s="1" t="str">
        <f>"42/42"</f>
        <v>42/42</v>
      </c>
      <c r="K7497" s="1" t="str">
        <f>"2026-07-29 13:18:04"</f>
        <v>2026-07-29 13:18:04</v>
      </c>
      <c r="L7497" s="1" t="str">
        <f>"2014-12-17 14:13:18"</f>
        <v>2014-12-17 14:13:18</v>
      </c>
      <c r="M7497" s="1" t="s">
        <v>0</v>
      </c>
      <c r="N7497" s="1" t="s">
        <v>38</v>
      </c>
      <c r="O7497" s="1" t="s">
        <v>46</v>
      </c>
    </row>
    <row r="7498" spans="2:15" x14ac:dyDescent="0.3">
      <c r="B7498" s="1" t="s">
        <v>22</v>
      </c>
      <c r="C7498" s="1" t="str">
        <f>"6차"</f>
        <v>6차</v>
      </c>
      <c r="D7498" s="1" t="str">
        <f>"0429P1426S"</f>
        <v>0429P1426S</v>
      </c>
      <c r="E7498" s="1" t="s">
        <v>10</v>
      </c>
      <c r="F7498" s="1" t="str">
        <f>"fde1:103:4:c641:0:0:0:2"</f>
        <v>fde1:103:4:c641:0:0:0:2</v>
      </c>
      <c r="G7498" s="1" t="str">
        <f>"0429P142"</f>
        <v>0429P142</v>
      </c>
      <c r="H7498" s="1" t="str">
        <f>"공릉지 60R6"</f>
        <v>공릉지 60R6</v>
      </c>
      <c r="I7498" s="1" t="s">
        <v>15</v>
      </c>
      <c r="J7498" s="1" t="str">
        <f>"42/49"</f>
        <v>42/49</v>
      </c>
      <c r="K7498" s="1" t="str">
        <f>"2026-07-29 14:20:28"</f>
        <v>2026-07-29 14:20:28</v>
      </c>
      <c r="L7498" s="1" t="str">
        <f>"2024-12-06 11:24:35"</f>
        <v>2024-12-06 11:24:35</v>
      </c>
      <c r="M7498" s="1" t="s">
        <v>4</v>
      </c>
      <c r="N7498" s="1" t="s">
        <v>38</v>
      </c>
      <c r="O7498" s="1" t="s">
        <v>46</v>
      </c>
    </row>
    <row r="7499" spans="2:15" x14ac:dyDescent="0.3">
      <c r="B7499" s="1" t="s">
        <v>22</v>
      </c>
      <c r="C7499" s="1" t="str">
        <f>"1차"</f>
        <v>1차</v>
      </c>
      <c r="D7499" s="1" t="str">
        <f>"0429P14400"</f>
        <v>0429P14400</v>
      </c>
      <c r="E7499" s="1" t="s">
        <v>10</v>
      </c>
      <c r="F7499" s="1" t="str">
        <f>"10.107.249.168"</f>
        <v>10.107.249.168</v>
      </c>
      <c r="G7499" s="1" t="str">
        <f>"0429P144"</f>
        <v>0429P144</v>
      </c>
      <c r="H7499" s="1" t="str">
        <f>"공릉지 60R4"</f>
        <v>공릉지 60R4</v>
      </c>
      <c r="I7499" s="1" t="s">
        <v>8</v>
      </c>
      <c r="J7499" s="1" t="str">
        <f>"45/45"</f>
        <v>45/45</v>
      </c>
      <c r="K7499" s="1" t="str">
        <f>"2026-07-29 13:18:04"</f>
        <v>2026-07-29 13:18:04</v>
      </c>
      <c r="L7499" s="1" t="str">
        <f>"2014-12-17 14:12:46"</f>
        <v>2014-12-17 14:12:46</v>
      </c>
      <c r="M7499" s="1" t="s">
        <v>45</v>
      </c>
      <c r="N7499" s="1" t="s">
        <v>38</v>
      </c>
      <c r="O7499" s="1" t="s">
        <v>46</v>
      </c>
    </row>
    <row r="7500" spans="2:15" x14ac:dyDescent="0.3">
      <c r="B7500" s="1" t="s">
        <v>22</v>
      </c>
      <c r="C7500" s="1" t="str">
        <f>"1차"</f>
        <v>1차</v>
      </c>
      <c r="D7500" s="1" t="str">
        <f>"0429P22300"</f>
        <v>0429P22300</v>
      </c>
      <c r="E7500" s="1" t="s">
        <v>10</v>
      </c>
      <c r="F7500" s="1" t="str">
        <f>"10.107.249.172"</f>
        <v>10.107.249.172</v>
      </c>
      <c r="G7500" s="1" t="str">
        <f>"0429P223"</f>
        <v>0429P223</v>
      </c>
      <c r="H7500" s="1" t="str">
        <f>"공릉지 60R10L1"</f>
        <v>공릉지 60R10L1</v>
      </c>
      <c r="I7500" s="1" t="s">
        <v>8</v>
      </c>
      <c r="J7500" s="1" t="str">
        <f>"28/28"</f>
        <v>28/28</v>
      </c>
      <c r="K7500" s="1" t="str">
        <f>"2026-07-29 13:18:04"</f>
        <v>2026-07-29 13:18:04</v>
      </c>
      <c r="L7500" s="1" t="str">
        <f>"2014-12-12 09:27:51"</f>
        <v>2014-12-12 09:27:51</v>
      </c>
      <c r="M7500" s="1" t="s">
        <v>45</v>
      </c>
      <c r="N7500" s="1" t="s">
        <v>38</v>
      </c>
      <c r="O7500" s="1" t="s">
        <v>46</v>
      </c>
    </row>
    <row r="7501" spans="2:15" x14ac:dyDescent="0.3">
      <c r="B7501" s="1" t="s">
        <v>22</v>
      </c>
      <c r="C7501" s="1" t="str">
        <f>"5-2차"</f>
        <v>5-2차</v>
      </c>
      <c r="D7501" s="1" t="str">
        <f>"0429P3125M"</f>
        <v>0429P3125M</v>
      </c>
      <c r="E7501" s="1" t="str">
        <f>"검침실패(3시간 이상)"</f>
        <v>검침실패(3시간 이상)</v>
      </c>
      <c r="F7501" s="1" t="str">
        <f>"fde1:103:4:91b3:0:0:0:2"</f>
        <v>fde1:103:4:91b3:0:0:0:2</v>
      </c>
      <c r="G7501" s="1" t="str">
        <f>"0429P312"</f>
        <v>0429P312</v>
      </c>
      <c r="H7501" s="1" t="str">
        <f>"공릉지 60R13"</f>
        <v>공릉지 60R13</v>
      </c>
      <c r="I7501" s="1" t="s">
        <v>15</v>
      </c>
      <c r="J7501" s="1" t="str">
        <f>"0/4"</f>
        <v>0/4</v>
      </c>
      <c r="K7501" s="1" t="str">
        <f>"2026-07-29 14:21:02"</f>
        <v>2026-07-29 14:21:02</v>
      </c>
      <c r="L7501" s="1" t="str">
        <f>"2024-01-08 13:56:39"</f>
        <v>2024-01-08 13:56:39</v>
      </c>
      <c r="M7501" s="1" t="s">
        <v>4</v>
      </c>
      <c r="N7501" s="1" t="s">
        <v>38</v>
      </c>
      <c r="O7501" s="1" t="s">
        <v>46</v>
      </c>
    </row>
    <row r="7502" spans="2:15" x14ac:dyDescent="0.3">
      <c r="B7502" s="1" t="s">
        <v>22</v>
      </c>
      <c r="C7502" s="1" t="str">
        <f>"1차"</f>
        <v>1차</v>
      </c>
      <c r="D7502" s="1" t="str">
        <f>"0429P32101"</f>
        <v>0429P32101</v>
      </c>
      <c r="E7502" s="1" t="s">
        <v>10</v>
      </c>
      <c r="F7502" s="1" t="str">
        <f>"10.12.130.164"</f>
        <v>10.12.130.164</v>
      </c>
      <c r="G7502" s="1" t="str">
        <f>"0429P321"</f>
        <v>0429P321</v>
      </c>
      <c r="H7502" s="1" t="str">
        <f>"공릉지 60R10L3"</f>
        <v>공릉지 60R10L3</v>
      </c>
      <c r="I7502" s="1" t="s">
        <v>8</v>
      </c>
      <c r="J7502" s="1" t="str">
        <f>"69/70"</f>
        <v>69/70</v>
      </c>
      <c r="K7502" s="1" t="str">
        <f>"2026-07-29 13:18:08"</f>
        <v>2026-07-29 13:18:08</v>
      </c>
      <c r="L7502" s="1" t="str">
        <f>"2014-12-17 14:27:24"</f>
        <v>2014-12-17 14:27:24</v>
      </c>
      <c r="M7502" s="1" t="s">
        <v>0</v>
      </c>
      <c r="N7502" s="1" t="s">
        <v>38</v>
      </c>
      <c r="O7502" s="1" t="s">
        <v>46</v>
      </c>
    </row>
    <row r="7503" spans="2:15" x14ac:dyDescent="0.3">
      <c r="B7503" s="1" t="s">
        <v>22</v>
      </c>
      <c r="C7503" s="1" t="str">
        <f>"1차"</f>
        <v>1차</v>
      </c>
      <c r="D7503" s="1" t="str">
        <f>"0429P33100"</f>
        <v>0429P33100</v>
      </c>
      <c r="E7503" s="1" t="s">
        <v>10</v>
      </c>
      <c r="F7503" s="1" t="str">
        <f>"10.107.249.174"</f>
        <v>10.107.249.174</v>
      </c>
      <c r="G7503" s="1" t="str">
        <f>"0429P331"</f>
        <v>0429P331</v>
      </c>
      <c r="H7503" s="1" t="str">
        <f>"공릉지 60R10L5"</f>
        <v>공릉지 60R10L5</v>
      </c>
      <c r="I7503" s="1" t="s">
        <v>8</v>
      </c>
      <c r="J7503" s="1" t="str">
        <f>"64/64"</f>
        <v>64/64</v>
      </c>
      <c r="K7503" s="1" t="str">
        <f>"2026-07-29 13:18:05"</f>
        <v>2026-07-29 13:18:05</v>
      </c>
      <c r="L7503" s="1" t="str">
        <f>"2014-12-18 17:42:23"</f>
        <v>2014-12-18 17:42:23</v>
      </c>
      <c r="M7503" s="1" t="s">
        <v>45</v>
      </c>
      <c r="N7503" s="1" t="s">
        <v>38</v>
      </c>
      <c r="O7503" s="1" t="s">
        <v>46</v>
      </c>
    </row>
    <row r="7504" spans="2:15" x14ac:dyDescent="0.3">
      <c r="B7504" s="1" t="s">
        <v>22</v>
      </c>
      <c r="C7504" s="1" t="str">
        <f>"1차"</f>
        <v>1차</v>
      </c>
      <c r="D7504" s="1" t="str">
        <f>"0429P33301"</f>
        <v>0429P33301</v>
      </c>
      <c r="E7504" s="1" t="s">
        <v>10</v>
      </c>
      <c r="F7504" s="1" t="str">
        <f>"10.12.130.239"</f>
        <v>10.12.130.239</v>
      </c>
      <c r="G7504" s="1" t="str">
        <f>"0429P333"</f>
        <v>0429P333</v>
      </c>
      <c r="H7504" s="1" t="str">
        <f>"공릉지 60R10L4"</f>
        <v>공릉지 60R10L4</v>
      </c>
      <c r="I7504" s="1" t="s">
        <v>8</v>
      </c>
      <c r="J7504" s="1" t="str">
        <f>"44/44"</f>
        <v>44/44</v>
      </c>
      <c r="K7504" s="1" t="str">
        <f>"2026-07-29 13:18:05"</f>
        <v>2026-07-29 13:18:05</v>
      </c>
      <c r="L7504" s="1" t="str">
        <f>"2014-12-18 17:42:53"</f>
        <v>2014-12-18 17:42:53</v>
      </c>
      <c r="M7504" s="1" t="s">
        <v>0</v>
      </c>
      <c r="N7504" s="1" t="s">
        <v>38</v>
      </c>
      <c r="O7504" s="1" t="s">
        <v>46</v>
      </c>
    </row>
    <row r="7505" spans="2:15" x14ac:dyDescent="0.3">
      <c r="B7505" s="1" t="s">
        <v>22</v>
      </c>
      <c r="C7505" s="1" t="str">
        <f>"1차"</f>
        <v>1차</v>
      </c>
      <c r="D7505" s="1" t="str">
        <f>"0429P34301"</f>
        <v>0429P34301</v>
      </c>
      <c r="E7505" s="1" t="s">
        <v>10</v>
      </c>
      <c r="F7505" s="1" t="str">
        <f>"10.107.249.176"</f>
        <v>10.107.249.176</v>
      </c>
      <c r="G7505" s="1" t="str">
        <f>"0429P343"</f>
        <v>0429P343</v>
      </c>
      <c r="H7505" s="1" t="str">
        <f>"공릉지 60R10L6"</f>
        <v>공릉지 60R10L6</v>
      </c>
      <c r="I7505" s="1" t="s">
        <v>8</v>
      </c>
      <c r="J7505" s="1" t="str">
        <f>"1/1"</f>
        <v>1/1</v>
      </c>
      <c r="K7505" s="1" t="str">
        <f>"2026-07-29 13:18:05"</f>
        <v>2026-07-29 13:18:05</v>
      </c>
      <c r="L7505" s="1" t="str">
        <f>"2014-12-18 17:28:11"</f>
        <v>2014-12-18 17:28:11</v>
      </c>
      <c r="M7505" s="1" t="s">
        <v>45</v>
      </c>
      <c r="N7505" s="1" t="s">
        <v>38</v>
      </c>
      <c r="O7505" s="1" t="s">
        <v>46</v>
      </c>
    </row>
    <row r="7506" spans="2:15" x14ac:dyDescent="0.3">
      <c r="B7506" s="1" t="s">
        <v>22</v>
      </c>
      <c r="C7506" s="1" t="s">
        <v>16</v>
      </c>
      <c r="D7506" s="1" t="str">
        <f>"0429P43241"</f>
        <v>0429P43241</v>
      </c>
      <c r="E7506" s="1" t="s">
        <v>10</v>
      </c>
      <c r="F7506" s="1" t="str">
        <f>"10.14.2.201"</f>
        <v>10.14.2.201</v>
      </c>
      <c r="G7506" s="1" t="str">
        <f>"0429P432"</f>
        <v>0429P432</v>
      </c>
      <c r="H7506" s="1" t="str">
        <f>"공릉지 73"</f>
        <v>공릉지 73</v>
      </c>
      <c r="I7506" s="1" t="s">
        <v>17</v>
      </c>
      <c r="J7506" s="1" t="str">
        <f>"24/31"</f>
        <v>24/31</v>
      </c>
      <c r="K7506" s="1" t="str">
        <f>"2026-07-29 13:18:03"</f>
        <v>2026-07-29 13:18:03</v>
      </c>
      <c r="L7506" s="1" t="str">
        <f>"2022-11-11 09:59:25"</f>
        <v>2022-11-11 09:59:25</v>
      </c>
      <c r="M7506" s="1" t="s">
        <v>3</v>
      </c>
      <c r="N7506" s="1" t="s">
        <v>38</v>
      </c>
      <c r="O7506" s="1" t="s">
        <v>46</v>
      </c>
    </row>
    <row r="7507" spans="2:15" x14ac:dyDescent="0.3">
      <c r="B7507" s="1" t="s">
        <v>22</v>
      </c>
      <c r="C7507" s="1" t="str">
        <f>"5-2차"</f>
        <v>5-2차</v>
      </c>
      <c r="D7507" s="1" t="str">
        <f>"0429P5125M"</f>
        <v>0429P5125M</v>
      </c>
      <c r="E7507" s="1" t="s">
        <v>10</v>
      </c>
      <c r="F7507" s="1" t="str">
        <f>"fde3:102:1420:4100:0:0:0:4"</f>
        <v>fde3:102:1420:4100:0:0:0:4</v>
      </c>
      <c r="G7507" s="1" t="str">
        <f>"0429P512"</f>
        <v>0429P512</v>
      </c>
      <c r="H7507" s="1" t="str">
        <f>"공릉지 76"</f>
        <v>공릉지 76</v>
      </c>
      <c r="I7507" s="1" t="s">
        <v>15</v>
      </c>
      <c r="J7507" s="1" t="str">
        <f>"58/58"</f>
        <v>58/58</v>
      </c>
      <c r="K7507" s="1" t="str">
        <f>"2026-07-28 20:03:27"</f>
        <v>2026-07-28 20:03:27</v>
      </c>
      <c r="L7507" s="1" t="str">
        <f>"2023-10-11 13:40:56"</f>
        <v>2023-10-11 13:40:56</v>
      </c>
      <c r="M7507" s="1" t="s">
        <v>45</v>
      </c>
      <c r="N7507" s="1" t="s">
        <v>38</v>
      </c>
      <c r="O7507" s="1" t="s">
        <v>46</v>
      </c>
    </row>
    <row r="7508" spans="2:15" x14ac:dyDescent="0.3">
      <c r="B7508" s="1" t="s">
        <v>22</v>
      </c>
      <c r="C7508" s="1" t="str">
        <f>"5-2차"</f>
        <v>5-2차</v>
      </c>
      <c r="D7508" s="1" t="str">
        <f>"0429P5245M"</f>
        <v>0429P5245M</v>
      </c>
      <c r="E7508" s="1" t="s">
        <v>10</v>
      </c>
      <c r="F7508" s="1" t="str">
        <f>"fde1:103:4:91d0:0:0:0:2"</f>
        <v>fde1:103:4:91d0:0:0:0:2</v>
      </c>
      <c r="G7508" s="1" t="str">
        <f>"0429P524"</f>
        <v>0429P524</v>
      </c>
      <c r="H7508" s="1" t="str">
        <f>"공릉지 75"</f>
        <v>공릉지 75</v>
      </c>
      <c r="I7508" s="1" t="s">
        <v>15</v>
      </c>
      <c r="J7508" s="1" t="str">
        <f>"42/43"</f>
        <v>42/43</v>
      </c>
      <c r="K7508" s="1" t="str">
        <f>"2026-07-29 14:21:24"</f>
        <v>2026-07-29 14:21:24</v>
      </c>
      <c r="L7508" s="1" t="str">
        <f>"2024-01-08 13:55:32"</f>
        <v>2024-01-08 13:55:32</v>
      </c>
      <c r="M7508" s="1" t="s">
        <v>4</v>
      </c>
      <c r="N7508" s="1" t="s">
        <v>38</v>
      </c>
      <c r="O7508" s="1" t="s">
        <v>46</v>
      </c>
    </row>
    <row r="7509" spans="2:15" x14ac:dyDescent="0.3">
      <c r="B7509" s="1" t="s">
        <v>22</v>
      </c>
      <c r="C7509" s="1" t="str">
        <f>"4차"</f>
        <v>4차</v>
      </c>
      <c r="D7509" s="1" t="str">
        <f>"0429Q69139"</f>
        <v>0429Q69139</v>
      </c>
      <c r="E7509" s="1" t="s">
        <v>10</v>
      </c>
      <c r="F7509" s="1" t="str">
        <f>"10.12.136.204"</f>
        <v>10.12.136.204</v>
      </c>
      <c r="G7509" s="1" t="str">
        <f>"0429Q691"</f>
        <v>0429Q691</v>
      </c>
      <c r="H7509" s="1" t="str">
        <f>"화랑 21A"</f>
        <v>화랑 21A</v>
      </c>
      <c r="I7509" s="1" t="s">
        <v>17</v>
      </c>
      <c r="J7509" s="1" t="str">
        <f>"39/60"</f>
        <v>39/60</v>
      </c>
      <c r="K7509" s="1" t="str">
        <f>"2026-07-29 13:18:03"</f>
        <v>2026-07-29 13:18:03</v>
      </c>
      <c r="L7509" s="1" t="str">
        <f>"2018-10-12 15:48:58"</f>
        <v>2018-10-12 15:48:58</v>
      </c>
      <c r="M7509" s="1" t="s">
        <v>0</v>
      </c>
      <c r="N7509" s="1" t="s">
        <v>38</v>
      </c>
      <c r="O7509" s="1" t="s">
        <v>46</v>
      </c>
    </row>
    <row r="7510" spans="2:15" x14ac:dyDescent="0.3">
      <c r="B7510" s="1" t="s">
        <v>22</v>
      </c>
      <c r="C7510" s="1" t="str">
        <f>"4차"</f>
        <v>4차</v>
      </c>
      <c r="D7510" s="1" t="str">
        <f>"0429Q88145"</f>
        <v>0429Q88145</v>
      </c>
      <c r="E7510" s="1" t="s">
        <v>12</v>
      </c>
      <c r="F7510" s="1" t="str">
        <f>"10.12.136.245"</f>
        <v>10.12.136.245</v>
      </c>
      <c r="G7510" s="1" t="str">
        <f>"0429Q881"</f>
        <v>0429Q881</v>
      </c>
      <c r="H7510" s="1" t="str">
        <f>"화랑 26"</f>
        <v>화랑 26</v>
      </c>
      <c r="I7510" s="1" t="s">
        <v>17</v>
      </c>
      <c r="J7510" s="1" t="str">
        <f>"0/14"</f>
        <v>0/14</v>
      </c>
      <c r="K7510" s="1" t="str">
        <f>"2026-05-21 07:18:01"</f>
        <v>2026-05-21 07:18:01</v>
      </c>
      <c r="L7510" s="1" t="str">
        <f>"2021-10-22 07:13:32"</f>
        <v>2021-10-22 07:13:32</v>
      </c>
      <c r="M7510" s="1" t="s">
        <v>0</v>
      </c>
      <c r="N7510" s="1" t="s">
        <v>38</v>
      </c>
      <c r="O7510" s="1" t="s">
        <v>46</v>
      </c>
    </row>
    <row r="7511" spans="2:15" x14ac:dyDescent="0.3">
      <c r="B7511" s="1" t="s">
        <v>22</v>
      </c>
      <c r="C7511" s="1" t="str">
        <f>"1차"</f>
        <v>1차</v>
      </c>
      <c r="D7511" s="1" t="str">
        <f>"0429R09100"</f>
        <v>0429R09100</v>
      </c>
      <c r="E7511" s="1" t="s">
        <v>10</v>
      </c>
      <c r="F7511" s="1" t="str">
        <f>"10.107.248.15"</f>
        <v>10.107.248.15</v>
      </c>
      <c r="G7511" s="1" t="str">
        <f>"0429R091"</f>
        <v>0429R091</v>
      </c>
      <c r="H7511" s="1" t="str">
        <f>"중계간 50"</f>
        <v>중계간 50</v>
      </c>
      <c r="I7511" s="1" t="s">
        <v>8</v>
      </c>
      <c r="J7511" s="1" t="str">
        <f>"26/26"</f>
        <v>26/26</v>
      </c>
      <c r="K7511" s="1" t="str">
        <f>"2026-07-29 13:18:05"</f>
        <v>2026-07-29 13:18:05</v>
      </c>
      <c r="L7511" s="1" t="str">
        <f>"2014-12-26 16:13:02"</f>
        <v>2014-12-26 16:13:02</v>
      </c>
      <c r="M7511" s="1" t="s">
        <v>45</v>
      </c>
      <c r="N7511" s="1" t="s">
        <v>38</v>
      </c>
      <c r="O7511" s="1" t="s">
        <v>46</v>
      </c>
    </row>
    <row r="7512" spans="2:15" x14ac:dyDescent="0.3">
      <c r="B7512" s="1" t="s">
        <v>22</v>
      </c>
      <c r="C7512" s="1" t="str">
        <f t="shared" ref="C7512:C7518" si="368">"4차"</f>
        <v>4차</v>
      </c>
      <c r="D7512" s="1" t="str">
        <f>"0430A12241"</f>
        <v>0430A12241</v>
      </c>
      <c r="E7512" s="1" t="s">
        <v>10</v>
      </c>
      <c r="F7512" s="1" t="str">
        <f>"10.14.3.48"</f>
        <v>10.14.3.48</v>
      </c>
      <c r="G7512" s="1" t="str">
        <f>"0430A122"</f>
        <v>0430A122</v>
      </c>
      <c r="H7512" s="1" t="str">
        <f>"은혜지 2L2"</f>
        <v>은혜지 2L2</v>
      </c>
      <c r="I7512" s="1" t="s">
        <v>17</v>
      </c>
      <c r="J7512" s="1" t="str">
        <f>"16/16"</f>
        <v>16/16</v>
      </c>
      <c r="K7512" s="1" t="str">
        <f>"2026-07-29 13:18:06"</f>
        <v>2026-07-29 13:18:06</v>
      </c>
      <c r="L7512" s="1" t="str">
        <f>"2021-07-15 12:02:04"</f>
        <v>2021-07-15 12:02:04</v>
      </c>
      <c r="M7512" s="1" t="s">
        <v>3</v>
      </c>
      <c r="N7512" s="1" t="s">
        <v>38</v>
      </c>
      <c r="O7512" s="1" t="s">
        <v>46</v>
      </c>
    </row>
    <row r="7513" spans="2:15" x14ac:dyDescent="0.3">
      <c r="B7513" s="1" t="s">
        <v>22</v>
      </c>
      <c r="C7513" s="1" t="str">
        <f t="shared" si="368"/>
        <v>4차</v>
      </c>
      <c r="D7513" s="1" t="str">
        <f>"0430A24241"</f>
        <v>0430A24241</v>
      </c>
      <c r="E7513" s="1" t="s">
        <v>10</v>
      </c>
      <c r="F7513" s="1" t="str">
        <f>"10.14.5.43"</f>
        <v>10.14.5.43</v>
      </c>
      <c r="G7513" s="1" t="str">
        <f>"0430A242"</f>
        <v>0430A242</v>
      </c>
      <c r="H7513" s="1" t="str">
        <f>"은혜지 1L4R2"</f>
        <v>은혜지 1L4R2</v>
      </c>
      <c r="I7513" s="1" t="s">
        <v>17</v>
      </c>
      <c r="J7513" s="1" t="str">
        <f>"9/13"</f>
        <v>9/13</v>
      </c>
      <c r="K7513" s="1" t="str">
        <f>"2026-07-29 13:18:06"</f>
        <v>2026-07-29 13:18:06</v>
      </c>
      <c r="L7513" s="1" t="str">
        <f>"2021-08-05 10:14:27"</f>
        <v>2021-08-05 10:14:27</v>
      </c>
      <c r="M7513" s="1" t="s">
        <v>3</v>
      </c>
      <c r="N7513" s="1" t="s">
        <v>38</v>
      </c>
      <c r="O7513" s="1" t="s">
        <v>46</v>
      </c>
    </row>
    <row r="7514" spans="2:15" x14ac:dyDescent="0.3">
      <c r="B7514" s="1" t="s">
        <v>22</v>
      </c>
      <c r="C7514" s="1" t="str">
        <f t="shared" si="368"/>
        <v>4차</v>
      </c>
      <c r="D7514" s="1" t="str">
        <f>"0430A25441"</f>
        <v>0430A25441</v>
      </c>
      <c r="E7514" s="1" t="s">
        <v>10</v>
      </c>
      <c r="F7514" s="1" t="str">
        <f>"10.14.11.111"</f>
        <v>10.14.11.111</v>
      </c>
      <c r="G7514" s="1" t="str">
        <f>"0430A254"</f>
        <v>0430A254</v>
      </c>
      <c r="H7514" s="1" t="str">
        <f>"은혜지 1L5"</f>
        <v>은혜지 1L5</v>
      </c>
      <c r="I7514" s="1" t="s">
        <v>17</v>
      </c>
      <c r="J7514" s="1" t="str">
        <f>"35/39"</f>
        <v>35/39</v>
      </c>
      <c r="K7514" s="1" t="str">
        <f>"2026-07-29 13:18:04"</f>
        <v>2026-07-29 13:18:04</v>
      </c>
      <c r="L7514" s="1" t="str">
        <f>"2021-08-05 09:35:40"</f>
        <v>2021-08-05 09:35:40</v>
      </c>
      <c r="M7514" s="1" t="s">
        <v>3</v>
      </c>
      <c r="N7514" s="1" t="s">
        <v>38</v>
      </c>
      <c r="O7514" s="1" t="s">
        <v>46</v>
      </c>
    </row>
    <row r="7515" spans="2:15" x14ac:dyDescent="0.3">
      <c r="B7515" s="1" t="s">
        <v>22</v>
      </c>
      <c r="C7515" s="1" t="str">
        <f t="shared" si="368"/>
        <v>4차</v>
      </c>
      <c r="D7515" s="1" t="str">
        <f>"0430A26241"</f>
        <v>0430A26241</v>
      </c>
      <c r="E7515" s="1" t="s">
        <v>10</v>
      </c>
      <c r="F7515" s="1" t="str">
        <f>"10.12.132.130"</f>
        <v>10.12.132.130</v>
      </c>
      <c r="G7515" s="1" t="str">
        <f>"0430A262"</f>
        <v>0430A262</v>
      </c>
      <c r="H7515" s="1" t="str">
        <f>"은혜지 1L7L1"</f>
        <v>은혜지 1L7L1</v>
      </c>
      <c r="I7515" s="1" t="s">
        <v>17</v>
      </c>
      <c r="J7515" s="1" t="str">
        <f>"26/26"</f>
        <v>26/26</v>
      </c>
      <c r="K7515" s="1" t="str">
        <f>"2026-07-29 13:18:04"</f>
        <v>2026-07-29 13:18:04</v>
      </c>
      <c r="L7515" s="1" t="str">
        <f>"2021-07-15 11:47:54"</f>
        <v>2021-07-15 11:47:54</v>
      </c>
      <c r="M7515" s="1" t="s">
        <v>0</v>
      </c>
      <c r="N7515" s="1" t="s">
        <v>38</v>
      </c>
      <c r="O7515" s="1" t="s">
        <v>46</v>
      </c>
    </row>
    <row r="7516" spans="2:15" x14ac:dyDescent="0.3">
      <c r="B7516" s="1" t="s">
        <v>22</v>
      </c>
      <c r="C7516" s="1" t="str">
        <f t="shared" si="368"/>
        <v>4차</v>
      </c>
      <c r="D7516" s="1" t="str">
        <f>"0430A39141"</f>
        <v>0430A39141</v>
      </c>
      <c r="E7516" s="1" t="s">
        <v>10</v>
      </c>
      <c r="F7516" s="1" t="str">
        <f>"10.14.3.181"</f>
        <v>10.14.3.181</v>
      </c>
      <c r="G7516" s="1" t="str">
        <f>"0430A391"</f>
        <v>0430A391</v>
      </c>
      <c r="H7516" s="1" t="str">
        <f>"은혜지 1L14"</f>
        <v>은혜지 1L14</v>
      </c>
      <c r="I7516" s="1" t="s">
        <v>17</v>
      </c>
      <c r="J7516" s="1" t="str">
        <f>"12/12"</f>
        <v>12/12</v>
      </c>
      <c r="K7516" s="1" t="str">
        <f>"2026-07-29 13:18:06"</f>
        <v>2026-07-29 13:18:06</v>
      </c>
      <c r="L7516" s="1" t="str">
        <f>"2021-08-06 09:42:37"</f>
        <v>2021-08-06 09:42:37</v>
      </c>
      <c r="M7516" s="1" t="s">
        <v>3</v>
      </c>
      <c r="N7516" s="1" t="s">
        <v>38</v>
      </c>
      <c r="O7516" s="1" t="s">
        <v>46</v>
      </c>
    </row>
    <row r="7517" spans="2:15" x14ac:dyDescent="0.3">
      <c r="B7517" s="1" t="s">
        <v>22</v>
      </c>
      <c r="C7517" s="1" t="str">
        <f t="shared" si="368"/>
        <v>4차</v>
      </c>
      <c r="D7517" s="1" t="str">
        <f>"0430A53141"</f>
        <v>0430A53141</v>
      </c>
      <c r="E7517" s="1" t="s">
        <v>10</v>
      </c>
      <c r="F7517" s="1" t="str">
        <f>"10.14.4.41"</f>
        <v>10.14.4.41</v>
      </c>
      <c r="G7517" s="1" t="str">
        <f>"0430A531"</f>
        <v>0430A531</v>
      </c>
      <c r="H7517" s="1" t="str">
        <f>"은혜지 10L1L13A1"</f>
        <v>은혜지 10L1L13A1</v>
      </c>
      <c r="I7517" s="1" t="s">
        <v>17</v>
      </c>
      <c r="J7517" s="1" t="str">
        <f>"12/24"</f>
        <v>12/24</v>
      </c>
      <c r="K7517" s="1" t="str">
        <f>"2026-07-29 13:18:06"</f>
        <v>2026-07-29 13:18:06</v>
      </c>
      <c r="L7517" s="1" t="str">
        <f>"2021-08-05 11:01:22"</f>
        <v>2021-08-05 11:01:22</v>
      </c>
      <c r="M7517" s="1" t="s">
        <v>3</v>
      </c>
      <c r="N7517" s="1" t="s">
        <v>38</v>
      </c>
      <c r="O7517" s="1" t="s">
        <v>46</v>
      </c>
    </row>
    <row r="7518" spans="2:15" x14ac:dyDescent="0.3">
      <c r="B7518" s="1" t="s">
        <v>22</v>
      </c>
      <c r="C7518" s="1" t="str">
        <f t="shared" si="368"/>
        <v>4차</v>
      </c>
      <c r="D7518" s="1" t="str">
        <f>"0430A53241"</f>
        <v>0430A53241</v>
      </c>
      <c r="E7518" s="1" t="s">
        <v>10</v>
      </c>
      <c r="F7518" s="1" t="str">
        <f>"10.12.130.145"</f>
        <v>10.12.130.145</v>
      </c>
      <c r="G7518" s="1" t="str">
        <f>"0430A532"</f>
        <v>0430A532</v>
      </c>
      <c r="H7518" s="1" t="str">
        <f>"은혜지 10L1L13L1"</f>
        <v>은혜지 10L1L13L1</v>
      </c>
      <c r="I7518" s="1" t="s">
        <v>17</v>
      </c>
      <c r="J7518" s="1" t="str">
        <f>"8/8"</f>
        <v>8/8</v>
      </c>
      <c r="K7518" s="1" t="str">
        <f>"2026-07-29 13:18:04"</f>
        <v>2026-07-29 13:18:04</v>
      </c>
      <c r="L7518" s="1" t="str">
        <f>"2021-08-05 11:49:28"</f>
        <v>2021-08-05 11:49:28</v>
      </c>
      <c r="M7518" s="1" t="s">
        <v>0</v>
      </c>
      <c r="N7518" s="1" t="s">
        <v>38</v>
      </c>
      <c r="O7518" s="1" t="s">
        <v>46</v>
      </c>
    </row>
    <row r="7519" spans="2:15" x14ac:dyDescent="0.3">
      <c r="B7519" s="1" t="s">
        <v>22</v>
      </c>
      <c r="C7519" s="1" t="str">
        <f>"5-2차"</f>
        <v>5-2차</v>
      </c>
      <c r="D7519" s="1" t="str">
        <f>"0430A5645M"</f>
        <v>0430A5645M</v>
      </c>
      <c r="E7519" s="1" t="s">
        <v>10</v>
      </c>
      <c r="F7519" s="1" t="str">
        <f>"fde3:102:1420:1100:0:0:0:a"</f>
        <v>fde3:102:1420:1100:0:0:0:a</v>
      </c>
      <c r="G7519" s="1" t="str">
        <f>"0430A564"</f>
        <v>0430A564</v>
      </c>
      <c r="H7519" s="1" t="str">
        <f>"은혜지 1L7R3L1R2"</f>
        <v>은혜지 1L7R3L1R2</v>
      </c>
      <c r="I7519" s="1" t="s">
        <v>15</v>
      </c>
      <c r="J7519" s="1" t="str">
        <f>"48/61"</f>
        <v>48/61</v>
      </c>
      <c r="K7519" s="1" t="str">
        <f>"2026-07-28 20:03:34"</f>
        <v>2026-07-28 20:03:34</v>
      </c>
      <c r="L7519" s="1" t="str">
        <f>"2023-06-26 18:06:00"</f>
        <v>2023-06-26 18:06:00</v>
      </c>
      <c r="M7519" s="1" t="s">
        <v>45</v>
      </c>
      <c r="N7519" s="1" t="s">
        <v>38</v>
      </c>
      <c r="O7519" s="1" t="s">
        <v>46</v>
      </c>
    </row>
    <row r="7520" spans="2:15" x14ac:dyDescent="0.3">
      <c r="B7520" s="1" t="s">
        <v>22</v>
      </c>
      <c r="C7520" s="1" t="str">
        <f>"5-2차"</f>
        <v>5-2차</v>
      </c>
      <c r="D7520" s="1" t="str">
        <f>"0430A5715M"</f>
        <v>0430A5715M</v>
      </c>
      <c r="E7520" s="1" t="s">
        <v>10</v>
      </c>
      <c r="F7520" s="1" t="str">
        <f>"fde1:103:4:924f:0:0:0:2"</f>
        <v>fde1:103:4:924f:0:0:0:2</v>
      </c>
      <c r="G7520" s="1" t="str">
        <f>"0430A571"</f>
        <v>0430A571</v>
      </c>
      <c r="H7520" s="1" t="str">
        <f>"은혜지 1L9H1R3"</f>
        <v>은혜지 1L9H1R3</v>
      </c>
      <c r="I7520" s="1" t="s">
        <v>15</v>
      </c>
      <c r="J7520" s="1" t="str">
        <f>"41/41"</f>
        <v>41/41</v>
      </c>
      <c r="K7520" s="1" t="str">
        <f>"2026-07-29 14:21:09"</f>
        <v>2026-07-29 14:21:09</v>
      </c>
      <c r="L7520" s="1" t="str">
        <f>"2024-01-08 13:57:39"</f>
        <v>2024-01-08 13:57:39</v>
      </c>
      <c r="M7520" s="1" t="s">
        <v>4</v>
      </c>
      <c r="N7520" s="1" t="s">
        <v>38</v>
      </c>
      <c r="O7520" s="1" t="s">
        <v>46</v>
      </c>
    </row>
    <row r="7521" spans="2:15" x14ac:dyDescent="0.3">
      <c r="B7521" s="1" t="s">
        <v>22</v>
      </c>
      <c r="C7521" s="1" t="str">
        <f>"5-1차"</f>
        <v>5-1차</v>
      </c>
      <c r="D7521" s="1" t="str">
        <f>"0430A5915S"</f>
        <v>0430A5915S</v>
      </c>
      <c r="E7521" s="1" t="s">
        <v>10</v>
      </c>
      <c r="F7521" s="1" t="str">
        <f>"fde2:104:0:1b5:0:0:0:2"</f>
        <v>fde2:104:0:1b5:0:0:0:2</v>
      </c>
      <c r="G7521" s="1" t="str">
        <f>"0430A591"</f>
        <v>0430A591</v>
      </c>
      <c r="H7521" s="1" t="str">
        <f>"은혜지 1L15R2"</f>
        <v>은혜지 1L15R2</v>
      </c>
      <c r="I7521" s="1" t="s">
        <v>15</v>
      </c>
      <c r="J7521" s="1" t="str">
        <f>"19/19"</f>
        <v>19/19</v>
      </c>
      <c r="K7521" s="1" t="str">
        <f>"2026-07-29 14:21:11"</f>
        <v>2026-07-29 14:21:11</v>
      </c>
      <c r="L7521" s="1" t="str">
        <f>"2022-11-28 10:24:48"</f>
        <v>2022-11-28 10:24:48</v>
      </c>
      <c r="M7521" s="1" t="s">
        <v>42</v>
      </c>
      <c r="N7521" s="1" t="s">
        <v>38</v>
      </c>
      <c r="O7521" s="1" t="s">
        <v>46</v>
      </c>
    </row>
    <row r="7522" spans="2:15" x14ac:dyDescent="0.3">
      <c r="B7522" s="1" t="s">
        <v>22</v>
      </c>
      <c r="C7522" s="1" t="str">
        <f>"5-2차"</f>
        <v>5-2차</v>
      </c>
      <c r="D7522" s="1" t="str">
        <f>"0430A5925M"</f>
        <v>0430A5925M</v>
      </c>
      <c r="E7522" s="1" t="s">
        <v>10</v>
      </c>
      <c r="F7522" s="1" t="str">
        <f>"fde3:102:1420:1100:0:0:0:7"</f>
        <v>fde3:102:1420:1100:0:0:0:7</v>
      </c>
      <c r="G7522" s="1" t="str">
        <f>"0430A592"</f>
        <v>0430A592</v>
      </c>
      <c r="H7522" s="1" t="str">
        <f>"은혜지 1L15R3"</f>
        <v>은혜지 1L15R3</v>
      </c>
      <c r="I7522" s="1" t="s">
        <v>15</v>
      </c>
      <c r="J7522" s="1" t="str">
        <f>"62/62"</f>
        <v>62/62</v>
      </c>
      <c r="K7522" s="1" t="str">
        <f>"2026-07-28 20:03:26"</f>
        <v>2026-07-28 20:03:26</v>
      </c>
      <c r="L7522" s="1" t="str">
        <f>"2023-06-26 18:06:39"</f>
        <v>2023-06-26 18:06:39</v>
      </c>
      <c r="M7522" s="1" t="s">
        <v>45</v>
      </c>
      <c r="N7522" s="1" t="s">
        <v>38</v>
      </c>
      <c r="O7522" s="1" t="s">
        <v>46</v>
      </c>
    </row>
    <row r="7523" spans="2:15" x14ac:dyDescent="0.3">
      <c r="B7523" s="1" t="s">
        <v>22</v>
      </c>
      <c r="C7523" s="1" t="str">
        <f>"4차"</f>
        <v>4차</v>
      </c>
      <c r="D7523" s="1" t="str">
        <f>"0430A62141"</f>
        <v>0430A62141</v>
      </c>
      <c r="E7523" s="1" t="s">
        <v>10</v>
      </c>
      <c r="F7523" s="1" t="str">
        <f>"10.14.1.46"</f>
        <v>10.14.1.46</v>
      </c>
      <c r="G7523" s="1" t="str">
        <f>"0430A621"</f>
        <v>0430A621</v>
      </c>
      <c r="H7523" s="1" t="str">
        <f>"은혜지 10L1L15"</f>
        <v>은혜지 10L1L15</v>
      </c>
      <c r="I7523" s="1" t="s">
        <v>17</v>
      </c>
      <c r="J7523" s="1" t="str">
        <f>"38/44"</f>
        <v>38/44</v>
      </c>
      <c r="K7523" s="1" t="str">
        <f>"2026-07-29 13:18:06"</f>
        <v>2026-07-29 13:18:06</v>
      </c>
      <c r="L7523" s="1" t="str">
        <f>"2021-07-15 10:50:02"</f>
        <v>2021-07-15 10:50:02</v>
      </c>
      <c r="M7523" s="1" t="s">
        <v>3</v>
      </c>
      <c r="N7523" s="1" t="s">
        <v>38</v>
      </c>
      <c r="O7523" s="1" t="s">
        <v>46</v>
      </c>
    </row>
    <row r="7524" spans="2:15" x14ac:dyDescent="0.3">
      <c r="B7524" s="1" t="s">
        <v>22</v>
      </c>
      <c r="C7524" s="1" t="str">
        <f>"5-2차"</f>
        <v>5-2차</v>
      </c>
      <c r="D7524" s="1" t="str">
        <f>"0430A6915M"</f>
        <v>0430A6915M</v>
      </c>
      <c r="E7524" s="1" t="s">
        <v>10</v>
      </c>
      <c r="F7524" s="1" t="str">
        <f>"fde3:102:1420:1100:0:0:0:8"</f>
        <v>fde3:102:1420:1100:0:0:0:8</v>
      </c>
      <c r="G7524" s="1" t="str">
        <f>"0430A691"</f>
        <v>0430A691</v>
      </c>
      <c r="H7524" s="1" t="str">
        <f>"은혜지 1L15R4"</f>
        <v>은혜지 1L15R4</v>
      </c>
      <c r="I7524" s="1" t="s">
        <v>15</v>
      </c>
      <c r="J7524" s="1" t="str">
        <f>"99/104"</f>
        <v>99/104</v>
      </c>
      <c r="K7524" s="1" t="str">
        <f>"2026-07-28 20:03:26"</f>
        <v>2026-07-28 20:03:26</v>
      </c>
      <c r="L7524" s="1" t="str">
        <f>"2023-06-26 18:07:19"</f>
        <v>2023-06-26 18:07:19</v>
      </c>
      <c r="M7524" s="1" t="s">
        <v>45</v>
      </c>
      <c r="N7524" s="1" t="s">
        <v>38</v>
      </c>
      <c r="O7524" s="1" t="s">
        <v>46</v>
      </c>
    </row>
    <row r="7525" spans="2:15" x14ac:dyDescent="0.3">
      <c r="B7525" s="1" t="s">
        <v>22</v>
      </c>
      <c r="C7525" s="1" t="str">
        <f>"4차"</f>
        <v>4차</v>
      </c>
      <c r="D7525" s="1" t="str">
        <f>"0430A75341"</f>
        <v>0430A75341</v>
      </c>
      <c r="E7525" s="1" t="s">
        <v>10</v>
      </c>
      <c r="F7525" s="1" t="str">
        <f>"10.14.14.113"</f>
        <v>10.14.14.113</v>
      </c>
      <c r="G7525" s="1" t="str">
        <f>"0430A753"</f>
        <v>0430A753</v>
      </c>
      <c r="H7525" s="1" t="str">
        <f>"은혜지 1L7R8"</f>
        <v>은혜지 1L7R8</v>
      </c>
      <c r="I7525" s="1" t="s">
        <v>17</v>
      </c>
      <c r="J7525" s="1" t="str">
        <f>"40/40"</f>
        <v>40/40</v>
      </c>
      <c r="K7525" s="1" t="str">
        <f>"2026-07-29 13:18:06"</f>
        <v>2026-07-29 13:18:06</v>
      </c>
      <c r="L7525" s="1" t="str">
        <f>"2021-08-05 13:33:34"</f>
        <v>2021-08-05 13:33:34</v>
      </c>
      <c r="M7525" s="1" t="s">
        <v>3</v>
      </c>
      <c r="N7525" s="1" t="s">
        <v>38</v>
      </c>
      <c r="O7525" s="1" t="s">
        <v>46</v>
      </c>
    </row>
    <row r="7526" spans="2:15" x14ac:dyDescent="0.3">
      <c r="B7526" s="1" t="s">
        <v>22</v>
      </c>
      <c r="C7526" s="1" t="str">
        <f>"5-2차"</f>
        <v>5-2차</v>
      </c>
      <c r="D7526" s="1" t="str">
        <f>"0430A7615S"</f>
        <v>0430A7615S</v>
      </c>
      <c r="E7526" s="1" t="s">
        <v>10</v>
      </c>
      <c r="F7526" s="1" t="str">
        <f>"fde3:102:1420:1100:0:0:0:b"</f>
        <v>fde3:102:1420:1100:0:0:0:b</v>
      </c>
      <c r="G7526" s="1" t="str">
        <f>"0430A761"</f>
        <v>0430A761</v>
      </c>
      <c r="H7526" s="1" t="str">
        <f>"은혜지 1L7R3L1R5"</f>
        <v>은혜지 1L7R3L1R5</v>
      </c>
      <c r="I7526" s="1" t="s">
        <v>15</v>
      </c>
      <c r="J7526" s="1" t="str">
        <f>"74/77"</f>
        <v>74/77</v>
      </c>
      <c r="K7526" s="1" t="str">
        <f>"2026-07-29 14:21:10"</f>
        <v>2026-07-29 14:21:10</v>
      </c>
      <c r="L7526" s="1" t="str">
        <f>"2023-06-19 11:37:02"</f>
        <v>2023-06-19 11:37:02</v>
      </c>
      <c r="M7526" s="1" t="s">
        <v>45</v>
      </c>
      <c r="N7526" s="1" t="s">
        <v>38</v>
      </c>
      <c r="O7526" s="1" t="s">
        <v>46</v>
      </c>
    </row>
    <row r="7527" spans="2:15" x14ac:dyDescent="0.3">
      <c r="B7527" s="1" t="s">
        <v>22</v>
      </c>
      <c r="C7527" s="1" t="str">
        <f>"5-2차"</f>
        <v>5-2차</v>
      </c>
      <c r="D7527" s="1" t="str">
        <f>"0430A7715S"</f>
        <v>0430A7715S</v>
      </c>
      <c r="E7527" s="1" t="s">
        <v>10</v>
      </c>
      <c r="F7527" s="1" t="str">
        <f>"fde3:102:1420:1100:0:0:0:9"</f>
        <v>fde3:102:1420:1100:0:0:0:9</v>
      </c>
      <c r="G7527" s="1" t="str">
        <f>"0430A771"</f>
        <v>0430A771</v>
      </c>
      <c r="H7527" s="1" t="str">
        <f>"은혜지 1L7R3L7"</f>
        <v>은혜지 1L7R3L7</v>
      </c>
      <c r="I7527" s="1" t="s">
        <v>15</v>
      </c>
      <c r="J7527" s="1" t="str">
        <f>"77/80"</f>
        <v>77/80</v>
      </c>
      <c r="K7527" s="1" t="str">
        <f>"2026-07-29 14:21:01"</f>
        <v>2026-07-29 14:21:01</v>
      </c>
      <c r="L7527" s="1" t="str">
        <f>"2023-06-19 11:25:36"</f>
        <v>2023-06-19 11:25:36</v>
      </c>
      <c r="M7527" s="1" t="s">
        <v>45</v>
      </c>
      <c r="N7527" s="1" t="s">
        <v>38</v>
      </c>
      <c r="O7527" s="1" t="s">
        <v>46</v>
      </c>
    </row>
    <row r="7528" spans="2:15" x14ac:dyDescent="0.3">
      <c r="B7528" s="1" t="s">
        <v>22</v>
      </c>
      <c r="C7528" s="1" t="str">
        <f>"5-2차"</f>
        <v>5-2차</v>
      </c>
      <c r="D7528" s="1" t="str">
        <f>"0430A8615M"</f>
        <v>0430A8615M</v>
      </c>
      <c r="E7528" s="1" t="s">
        <v>10</v>
      </c>
      <c r="F7528" s="1" t="str">
        <f>"fde3:102:1420:1100:0:0:0:c"</f>
        <v>fde3:102:1420:1100:0:0:0:c</v>
      </c>
      <c r="G7528" s="1" t="str">
        <f>"0430A861"</f>
        <v>0430A861</v>
      </c>
      <c r="H7528" s="1" t="str">
        <f>"은혜지 1L7R3L1R6"</f>
        <v>은혜지 1L7R3L1R6</v>
      </c>
      <c r="I7528" s="1" t="s">
        <v>15</v>
      </c>
      <c r="J7528" s="1" t="str">
        <f>"16/16"</f>
        <v>16/16</v>
      </c>
      <c r="K7528" s="1" t="str">
        <f>"2026-07-29 14:21:19"</f>
        <v>2026-07-29 14:21:19</v>
      </c>
      <c r="L7528" s="1" t="str">
        <f>"2023-06-26 18:10:20"</f>
        <v>2023-06-26 18:10:20</v>
      </c>
      <c r="M7528" s="1" t="s">
        <v>45</v>
      </c>
      <c r="N7528" s="1" t="s">
        <v>38</v>
      </c>
      <c r="O7528" s="1" t="s">
        <v>46</v>
      </c>
    </row>
    <row r="7529" spans="2:15" x14ac:dyDescent="0.3">
      <c r="B7529" s="1" t="s">
        <v>22</v>
      </c>
      <c r="C7529" s="1" t="str">
        <f>"5-2차"</f>
        <v>5-2차</v>
      </c>
      <c r="D7529" s="1" t="str">
        <f>"0430C3985M"</f>
        <v>0430C3985M</v>
      </c>
      <c r="E7529" s="1" t="s">
        <v>10</v>
      </c>
      <c r="F7529" s="1" t="str">
        <f>"fde3:102:1420:1100:0:0:0:17"</f>
        <v>fde3:102:1420:1100:0:0:0:17</v>
      </c>
      <c r="G7529" s="1" t="str">
        <f>"0430C398"</f>
        <v>0430C398</v>
      </c>
      <c r="H7529" s="1" t="str">
        <f>"은혜지 10L1L3"</f>
        <v>은혜지 10L1L3</v>
      </c>
      <c r="I7529" s="1" t="s">
        <v>15</v>
      </c>
      <c r="J7529" s="1" t="str">
        <f>"68/68"</f>
        <v>68/68</v>
      </c>
      <c r="K7529" s="1" t="str">
        <f>"2026-07-29 14:21:02"</f>
        <v>2026-07-29 14:21:02</v>
      </c>
      <c r="L7529" s="1" t="str">
        <f>"2023-12-21 11:15:23"</f>
        <v>2023-12-21 11:15:23</v>
      </c>
      <c r="M7529" s="1" t="s">
        <v>45</v>
      </c>
      <c r="N7529" s="1" t="s">
        <v>38</v>
      </c>
      <c r="O7529" s="1" t="s">
        <v>46</v>
      </c>
    </row>
    <row r="7530" spans="2:15" x14ac:dyDescent="0.3">
      <c r="B7530" s="1" t="s">
        <v>22</v>
      </c>
      <c r="C7530" s="1" t="str">
        <f>"6차"</f>
        <v>6차</v>
      </c>
      <c r="D7530" s="1" t="str">
        <f>"0430C4826S"</f>
        <v>0430C4826S</v>
      </c>
      <c r="E7530" s="1" t="s">
        <v>10</v>
      </c>
      <c r="F7530" s="1" t="str">
        <f>"fde3:102:1420:1100:0:0:0:18"</f>
        <v>fde3:102:1420:1100:0:0:0:18</v>
      </c>
      <c r="G7530" s="1" t="str">
        <f>"0430C482"</f>
        <v>0430C482</v>
      </c>
      <c r="H7530" s="1" t="str">
        <f>"은혜지 10L5"</f>
        <v>은혜지 10L5</v>
      </c>
      <c r="I7530" s="1" t="s">
        <v>15</v>
      </c>
      <c r="J7530" s="1" t="str">
        <f>"56/57"</f>
        <v>56/57</v>
      </c>
      <c r="K7530" s="1" t="str">
        <f>"2026-07-29 14:21:07"</f>
        <v>2026-07-29 14:21:07</v>
      </c>
      <c r="L7530" s="1" t="str">
        <f>"2024-11-26 11:35:53"</f>
        <v>2024-11-26 11:35:53</v>
      </c>
      <c r="M7530" s="1" t="s">
        <v>45</v>
      </c>
      <c r="N7530" s="1" t="s">
        <v>38</v>
      </c>
      <c r="O7530" s="1" t="s">
        <v>46</v>
      </c>
    </row>
    <row r="7531" spans="2:15" x14ac:dyDescent="0.3">
      <c r="B7531" s="1" t="s">
        <v>22</v>
      </c>
      <c r="C7531" s="1" t="str">
        <f>"4차"</f>
        <v>4차</v>
      </c>
      <c r="D7531" s="1" t="str">
        <f>"0431P02145"</f>
        <v>0431P02145</v>
      </c>
      <c r="E7531" s="1" t="s">
        <v>10</v>
      </c>
      <c r="F7531" s="1" t="str">
        <f>"10.14.11.62"</f>
        <v>10.14.11.62</v>
      </c>
      <c r="G7531" s="1" t="str">
        <f>"0431P021"</f>
        <v>0431P021</v>
      </c>
      <c r="H7531" s="1" t="str">
        <f>"중계 207"</f>
        <v>중계 207</v>
      </c>
      <c r="I7531" s="1" t="s">
        <v>17</v>
      </c>
      <c r="J7531" s="1" t="str">
        <f>"120/120"</f>
        <v>120/120</v>
      </c>
      <c r="K7531" s="1" t="str">
        <f>"2026-07-29 13:18:03"</f>
        <v>2026-07-29 13:18:03</v>
      </c>
      <c r="L7531" s="1" t="str">
        <f>"2021-06-23 14:13:39"</f>
        <v>2021-06-23 14:13:39</v>
      </c>
      <c r="M7531" s="1" t="s">
        <v>3</v>
      </c>
      <c r="N7531" s="1" t="s">
        <v>38</v>
      </c>
      <c r="O7531" s="1" t="s">
        <v>46</v>
      </c>
    </row>
    <row r="7532" spans="2:15" x14ac:dyDescent="0.3">
      <c r="B7532" s="1" t="s">
        <v>22</v>
      </c>
      <c r="C7532" s="1" t="str">
        <f>"4차"</f>
        <v>4차</v>
      </c>
      <c r="D7532" s="1" t="str">
        <f>"0431R20239"</f>
        <v>0431R20239</v>
      </c>
      <c r="E7532" s="1" t="s">
        <v>10</v>
      </c>
      <c r="F7532" s="1" t="str">
        <f>"10.14.4.122"</f>
        <v>10.14.4.122</v>
      </c>
      <c r="G7532" s="1" t="str">
        <f>"0431R202"</f>
        <v>0431R202</v>
      </c>
      <c r="H7532" s="1" t="str">
        <f>"은혜지 1L18"</f>
        <v>은혜지 1L18</v>
      </c>
      <c r="I7532" s="1" t="s">
        <v>17</v>
      </c>
      <c r="J7532" s="1" t="str">
        <f>"4/7"</f>
        <v>4/7</v>
      </c>
      <c r="K7532" s="1" t="str">
        <f>"2026-07-29 13:18:05"</f>
        <v>2026-07-29 13:18:05</v>
      </c>
      <c r="L7532" s="1" t="str">
        <f>"2018-09-20 12:35:12"</f>
        <v>2018-09-20 12:35:12</v>
      </c>
      <c r="M7532" s="1" t="s">
        <v>3</v>
      </c>
      <c r="N7532" s="1" t="s">
        <v>38</v>
      </c>
      <c r="O7532" s="1" t="s">
        <v>46</v>
      </c>
    </row>
    <row r="7533" spans="2:15" x14ac:dyDescent="0.3">
      <c r="B7533" s="1" t="s">
        <v>22</v>
      </c>
      <c r="C7533" s="1" t="str">
        <f>"4차"</f>
        <v>4차</v>
      </c>
      <c r="D7533" s="1" t="str">
        <f>"0431R20341"</f>
        <v>0431R20341</v>
      </c>
      <c r="E7533" s="1" t="s">
        <v>10</v>
      </c>
      <c r="F7533" s="1" t="str">
        <f>"10.14.11.46"</f>
        <v>10.14.11.46</v>
      </c>
      <c r="G7533" s="1" t="str">
        <f>"0431R203"</f>
        <v>0431R203</v>
      </c>
      <c r="H7533" s="1" t="str">
        <f>"은혜지 1L15L1"</f>
        <v>은혜지 1L15L1</v>
      </c>
      <c r="I7533" s="1" t="s">
        <v>17</v>
      </c>
      <c r="J7533" s="1" t="str">
        <f>"8/8"</f>
        <v>8/8</v>
      </c>
      <c r="K7533" s="1" t="str">
        <f>"2026-07-29 13:18:06"</f>
        <v>2026-07-29 13:18:06</v>
      </c>
      <c r="L7533" s="1" t="str">
        <f>"2021-07-15 11:31:36"</f>
        <v>2021-07-15 11:31:36</v>
      </c>
      <c r="M7533" s="1" t="s">
        <v>3</v>
      </c>
      <c r="N7533" s="1" t="s">
        <v>38</v>
      </c>
      <c r="O7533" s="1" t="s">
        <v>46</v>
      </c>
    </row>
    <row r="7534" spans="2:15" x14ac:dyDescent="0.3">
      <c r="B7534" s="1" t="s">
        <v>22</v>
      </c>
      <c r="C7534" s="1" t="str">
        <f>"4차"</f>
        <v>4차</v>
      </c>
      <c r="D7534" s="1" t="str">
        <f>"0431R30341"</f>
        <v>0431R30341</v>
      </c>
      <c r="E7534" s="1" t="s">
        <v>14</v>
      </c>
      <c r="F7534" s="1" t="str">
        <f>"10.12.129.149"</f>
        <v>10.12.129.149</v>
      </c>
      <c r="G7534" s="1" t="str">
        <f>"0431R303"</f>
        <v>0431R303</v>
      </c>
      <c r="H7534" s="1" t="str">
        <f>"은혜지 1L17"</f>
        <v>은혜지 1L17</v>
      </c>
      <c r="I7534" s="1" t="s">
        <v>17</v>
      </c>
      <c r="J7534" s="1" t="str">
        <f>"0/0"</f>
        <v>0/0</v>
      </c>
      <c r="K7534" s="1" t="str">
        <f>"2026-07-29 13:18:05"</f>
        <v>2026-07-29 13:18:05</v>
      </c>
      <c r="L7534" s="1" t="str">
        <f>"2021-08-06 11:18:28"</f>
        <v>2021-08-06 11:18:28</v>
      </c>
      <c r="M7534" s="1" t="s">
        <v>0</v>
      </c>
      <c r="N7534" s="1" t="s">
        <v>38</v>
      </c>
      <c r="O7534" s="1" t="s">
        <v>797</v>
      </c>
    </row>
    <row r="7535" spans="2:15" x14ac:dyDescent="0.3">
      <c r="B7535" s="1" t="s">
        <v>22</v>
      </c>
      <c r="C7535" s="1" t="str">
        <f>"3차"</f>
        <v>3차</v>
      </c>
      <c r="D7535" s="1" t="str">
        <f>"0431R30539"</f>
        <v>0431R30539</v>
      </c>
      <c r="E7535" s="1" t="s">
        <v>10</v>
      </c>
      <c r="F7535" s="1" t="str">
        <f>"10.12.130.52"</f>
        <v>10.12.130.52</v>
      </c>
      <c r="G7535" s="1" t="str">
        <f>"0431R305"</f>
        <v>0431R305</v>
      </c>
      <c r="H7535" s="1" t="str">
        <f>"은혜지 1L15"</f>
        <v>은혜지 1L15</v>
      </c>
      <c r="I7535" s="1" t="s">
        <v>8</v>
      </c>
      <c r="J7535" s="1" t="str">
        <f>"16/17"</f>
        <v>16/17</v>
      </c>
      <c r="K7535" s="1" t="str">
        <f>"2026-07-29 13:18:05"</f>
        <v>2026-07-29 13:18:05</v>
      </c>
      <c r="L7535" s="1" t="str">
        <f>"2018-04-20 13:28:12"</f>
        <v>2018-04-20 13:28:12</v>
      </c>
      <c r="M7535" s="1" t="s">
        <v>0</v>
      </c>
      <c r="N7535" s="1" t="s">
        <v>38</v>
      </c>
      <c r="O7535" s="1" t="s">
        <v>46</v>
      </c>
    </row>
    <row r="7536" spans="2:15" x14ac:dyDescent="0.3">
      <c r="B7536" s="1" t="s">
        <v>22</v>
      </c>
      <c r="C7536" s="1" t="str">
        <f>"5-2차"</f>
        <v>5-2차</v>
      </c>
      <c r="D7536" s="1" t="str">
        <f>"0431R4015S"</f>
        <v>0431R4015S</v>
      </c>
      <c r="E7536" s="1" t="s">
        <v>10</v>
      </c>
      <c r="F7536" s="1" t="str">
        <f>"fde3:102:1420:1100:0:0:0:6"</f>
        <v>fde3:102:1420:1100:0:0:0:6</v>
      </c>
      <c r="G7536" s="1" t="str">
        <f>"0431R401"</f>
        <v>0431R401</v>
      </c>
      <c r="H7536" s="1" t="str">
        <f>"은혜지 1L15R1"</f>
        <v>은혜지 1L15R1</v>
      </c>
      <c r="I7536" s="1" t="s">
        <v>15</v>
      </c>
      <c r="J7536" s="1" t="str">
        <f>"69/69"</f>
        <v>69/69</v>
      </c>
      <c r="K7536" s="1" t="str">
        <f>"2026-07-29 14:21:10"</f>
        <v>2026-07-29 14:21:10</v>
      </c>
      <c r="L7536" s="1" t="str">
        <f>"2023-06-19 11:07:27"</f>
        <v>2023-06-19 11:07:27</v>
      </c>
      <c r="M7536" s="1" t="s">
        <v>45</v>
      </c>
      <c r="N7536" s="1" t="s">
        <v>38</v>
      </c>
      <c r="O7536" s="1" t="s">
        <v>46</v>
      </c>
    </row>
    <row r="7537" spans="2:15" x14ac:dyDescent="0.3">
      <c r="B7537" s="1" t="s">
        <v>22</v>
      </c>
      <c r="C7537" s="1" t="str">
        <f>"4차"</f>
        <v>4차</v>
      </c>
      <c r="D7537" s="1" t="str">
        <f>"0432R04241"</f>
        <v>0432R04241</v>
      </c>
      <c r="E7537" s="1" t="s">
        <v>10</v>
      </c>
      <c r="F7537" s="1" t="str">
        <f>"10.14.6.43"</f>
        <v>10.14.6.43</v>
      </c>
      <c r="G7537" s="1" t="str">
        <f>"0432R042"</f>
        <v>0432R042</v>
      </c>
      <c r="H7537" s="1" t="str">
        <f>"동막간 31"</f>
        <v>동막간 31</v>
      </c>
      <c r="I7537" s="1" t="s">
        <v>17</v>
      </c>
      <c r="J7537" s="1" t="str">
        <f>"40/57"</f>
        <v>40/57</v>
      </c>
      <c r="K7537" s="1" t="str">
        <f>"2026-07-29 13:18:03"</f>
        <v>2026-07-29 13:18:03</v>
      </c>
      <c r="L7537" s="1" t="str">
        <f>"2021-07-14 14:11:39"</f>
        <v>2021-07-14 14:11:39</v>
      </c>
      <c r="M7537" s="1" t="s">
        <v>3</v>
      </c>
      <c r="N7537" s="1" t="s">
        <v>38</v>
      </c>
      <c r="O7537" s="1" t="s">
        <v>46</v>
      </c>
    </row>
    <row r="7538" spans="2:15" x14ac:dyDescent="0.3">
      <c r="B7538" s="1" t="s">
        <v>22</v>
      </c>
      <c r="C7538" s="1" t="str">
        <f>"4차"</f>
        <v>4차</v>
      </c>
      <c r="D7538" s="1" t="str">
        <f>"0432R21141"</f>
        <v>0432R21141</v>
      </c>
      <c r="E7538" s="1" t="s">
        <v>10</v>
      </c>
      <c r="F7538" s="1" t="str">
        <f>"10.14.1.43"</f>
        <v>10.14.1.43</v>
      </c>
      <c r="G7538" s="1" t="str">
        <f>"0432R211"</f>
        <v>0432R211</v>
      </c>
      <c r="H7538" s="1" t="str">
        <f>"불막간 58R2L2"</f>
        <v>불막간 58R2L2</v>
      </c>
      <c r="I7538" s="1" t="s">
        <v>17</v>
      </c>
      <c r="J7538" s="1" t="str">
        <f>"36/37"</f>
        <v>36/37</v>
      </c>
      <c r="K7538" s="1" t="str">
        <f>"2026-07-29 13:18:04"</f>
        <v>2026-07-29 13:18:04</v>
      </c>
      <c r="L7538" s="1" t="str">
        <f>"2021-07-14 15:03:37"</f>
        <v>2021-07-14 15:03:37</v>
      </c>
      <c r="M7538" s="1" t="s">
        <v>3</v>
      </c>
      <c r="N7538" s="1" t="s">
        <v>38</v>
      </c>
      <c r="O7538" s="1" t="s">
        <v>46</v>
      </c>
    </row>
    <row r="7539" spans="2:15" x14ac:dyDescent="0.3">
      <c r="B7539" s="1" t="s">
        <v>22</v>
      </c>
      <c r="C7539" s="1" t="str">
        <f>"4차"</f>
        <v>4차</v>
      </c>
      <c r="D7539" s="1" t="str">
        <f>"0432R55341"</f>
        <v>0432R55341</v>
      </c>
      <c r="E7539" s="1" t="s">
        <v>10</v>
      </c>
      <c r="F7539" s="1" t="str">
        <f>"10.14.11.39"</f>
        <v>10.14.11.39</v>
      </c>
      <c r="G7539" s="1" t="str">
        <f>"0432R553"</f>
        <v>0432R553</v>
      </c>
      <c r="H7539" s="1" t="str">
        <f>"불막간 66R3"</f>
        <v>불막간 66R3</v>
      </c>
      <c r="I7539" s="1" t="s">
        <v>17</v>
      </c>
      <c r="J7539" s="1" t="str">
        <f>"7/21"</f>
        <v>7/21</v>
      </c>
      <c r="K7539" s="1" t="str">
        <f>"2026-07-29 13:18:06"</f>
        <v>2026-07-29 13:18:06</v>
      </c>
      <c r="L7539" s="1" t="str">
        <f>"2021-08-06 12:29:06"</f>
        <v>2021-08-06 12:29:06</v>
      </c>
      <c r="M7539" s="1" t="s">
        <v>3</v>
      </c>
      <c r="N7539" s="1" t="s">
        <v>38</v>
      </c>
      <c r="O7539" s="1" t="s">
        <v>46</v>
      </c>
    </row>
    <row r="7540" spans="2:15" x14ac:dyDescent="0.3">
      <c r="B7540" s="1" t="s">
        <v>22</v>
      </c>
      <c r="C7540" s="1" t="str">
        <f>"6차"</f>
        <v>6차</v>
      </c>
      <c r="D7540" s="1" t="str">
        <f>"0432R6246S"</f>
        <v>0432R6246S</v>
      </c>
      <c r="E7540" s="1" t="s">
        <v>10</v>
      </c>
      <c r="F7540" s="1" t="str">
        <f>"fde3:102:1420:1200:0:0:0:a"</f>
        <v>fde3:102:1420:1200:0:0:0:a</v>
      </c>
      <c r="G7540" s="1" t="str">
        <f>"0432R624"</f>
        <v>0432R624</v>
      </c>
      <c r="H7540" s="1" t="str">
        <f>"불막간 62R5"</f>
        <v>불막간 62R5</v>
      </c>
      <c r="I7540" s="1" t="s">
        <v>15</v>
      </c>
      <c r="J7540" s="1" t="str">
        <f>"30/30"</f>
        <v>30/30</v>
      </c>
      <c r="K7540" s="1" t="str">
        <f>"2026-07-29 14:21:07"</f>
        <v>2026-07-29 14:21:07</v>
      </c>
      <c r="L7540" s="1" t="str">
        <f>"2024-11-26 13:32:04"</f>
        <v>2024-11-26 13:32:04</v>
      </c>
      <c r="M7540" s="1" t="s">
        <v>45</v>
      </c>
      <c r="N7540" s="1" t="s">
        <v>38</v>
      </c>
      <c r="O7540" s="1" t="s">
        <v>46</v>
      </c>
    </row>
    <row r="7541" spans="2:15" x14ac:dyDescent="0.3">
      <c r="B7541" s="1" t="s">
        <v>22</v>
      </c>
      <c r="C7541" s="1" t="str">
        <f>"4차"</f>
        <v>4차</v>
      </c>
      <c r="D7541" s="1" t="str">
        <f>"0432R76141"</f>
        <v>0432R76141</v>
      </c>
      <c r="E7541" s="1" t="s">
        <v>10</v>
      </c>
      <c r="F7541" s="1" t="str">
        <f>"10.14.4.111"</f>
        <v>10.14.4.111</v>
      </c>
      <c r="G7541" s="1" t="str">
        <f>"0432R761"</f>
        <v>0432R761</v>
      </c>
      <c r="H7541" s="1" t="str">
        <f>"불막간 66R6"</f>
        <v>불막간 66R6</v>
      </c>
      <c r="I7541" s="1" t="s">
        <v>17</v>
      </c>
      <c r="J7541" s="1" t="str">
        <f>"41/42"</f>
        <v>41/42</v>
      </c>
      <c r="K7541" s="1" t="str">
        <f>"2026-07-29 13:18:04"</f>
        <v>2026-07-29 13:18:04</v>
      </c>
      <c r="L7541" s="1" t="str">
        <f>"2021-08-06 14:13:34"</f>
        <v>2021-08-06 14:13:34</v>
      </c>
      <c r="M7541" s="1" t="s">
        <v>3</v>
      </c>
      <c r="N7541" s="1" t="s">
        <v>38</v>
      </c>
      <c r="O7541" s="1" t="s">
        <v>46</v>
      </c>
    </row>
    <row r="7542" spans="2:15" x14ac:dyDescent="0.3">
      <c r="B7542" s="1" t="s">
        <v>22</v>
      </c>
      <c r="C7542" s="1" t="str">
        <f>"5-2차"</f>
        <v>5-2차</v>
      </c>
      <c r="D7542" s="1" t="str">
        <f>"0432R7715M"</f>
        <v>0432R7715M</v>
      </c>
      <c r="E7542" s="1" t="s">
        <v>10</v>
      </c>
      <c r="F7542" s="1" t="str">
        <f>"fde1:103:4:9223:0:0:0:2"</f>
        <v>fde1:103:4:9223:0:0:0:2</v>
      </c>
      <c r="G7542" s="1" t="str">
        <f>"0432R771"</f>
        <v>0432R771</v>
      </c>
      <c r="H7542" s="1" t="str">
        <f>"불막간 69R2"</f>
        <v>불막간 69R2</v>
      </c>
      <c r="I7542" s="1" t="s">
        <v>15</v>
      </c>
      <c r="J7542" s="1" t="str">
        <f>"31/31"</f>
        <v>31/31</v>
      </c>
      <c r="K7542" s="1" t="str">
        <f>"2026-07-29 14:21:09"</f>
        <v>2026-07-29 14:21:09</v>
      </c>
      <c r="L7542" s="1" t="str">
        <f>"2024-01-08 13:58:22"</f>
        <v>2024-01-08 13:58:22</v>
      </c>
      <c r="M7542" s="1" t="s">
        <v>4</v>
      </c>
      <c r="N7542" s="1" t="s">
        <v>38</v>
      </c>
      <c r="O7542" s="1" t="s">
        <v>46</v>
      </c>
    </row>
    <row r="7543" spans="2:15" x14ac:dyDescent="0.3">
      <c r="B7543" s="1" t="s">
        <v>21</v>
      </c>
      <c r="C7543" s="1" t="str">
        <f>"1차"</f>
        <v>1차</v>
      </c>
      <c r="D7543" s="1" t="str">
        <f>"9527D43100"</f>
        <v>9527D43100</v>
      </c>
      <c r="E7543" s="1" t="str">
        <f>"검침실패(3시간 이상)"</f>
        <v>검침실패(3시간 이상)</v>
      </c>
      <c r="F7543" s="1" t="str">
        <f>"10.128.65.218"</f>
        <v>10.128.65.218</v>
      </c>
      <c r="G7543" s="1" t="str">
        <f>"9527D431"</f>
        <v>9527D431</v>
      </c>
      <c r="H7543" s="1" t="str">
        <f>"향동간 2"</f>
        <v>향동간 2</v>
      </c>
      <c r="I7543" s="1" t="s">
        <v>8</v>
      </c>
      <c r="J7543" s="1" t="str">
        <f>"0/26"</f>
        <v>0/26</v>
      </c>
      <c r="K7543" s="1" t="str">
        <f>"2026-07-29 13:18:10"</f>
        <v>2026-07-29 13:18:10</v>
      </c>
      <c r="L7543" s="1" t="str">
        <f>"2015-02-16 09:51:29"</f>
        <v>2015-02-16 09:51:29</v>
      </c>
      <c r="M7543" s="1" t="s">
        <v>45</v>
      </c>
      <c r="N7543" s="1" t="s">
        <v>38</v>
      </c>
      <c r="O7543" s="1" t="s">
        <v>46</v>
      </c>
    </row>
    <row r="7544" spans="2:15" x14ac:dyDescent="0.3">
      <c r="B7544" s="1" t="s">
        <v>21</v>
      </c>
      <c r="C7544" s="1" t="str">
        <f>"6차"</f>
        <v>6차</v>
      </c>
      <c r="D7544" s="1" t="str">
        <f>"9527D5416S"</f>
        <v>9527D5416S</v>
      </c>
      <c r="E7544" s="1" t="s">
        <v>10</v>
      </c>
      <c r="F7544" s="1" t="str">
        <f>"fde1:103:4:c858:0:0:0:2"</f>
        <v>fde1:103:4:c858:0:0:0:2</v>
      </c>
      <c r="G7544" s="1" t="str">
        <f>"9527D541"</f>
        <v>9527D541</v>
      </c>
      <c r="H7544" s="1" t="str">
        <f>"향동간 2"</f>
        <v>향동간 2</v>
      </c>
      <c r="I7544" s="1" t="s">
        <v>15</v>
      </c>
      <c r="J7544" s="1" t="str">
        <f>"27/27"</f>
        <v>27/27</v>
      </c>
      <c r="K7544" s="1" t="str">
        <f>"2026-07-29 14:21:28"</f>
        <v>2026-07-29 14:21:28</v>
      </c>
      <c r="L7544" s="1" t="str">
        <f>"2025-01-20 14:07:53"</f>
        <v>2025-01-20 14:07:53</v>
      </c>
      <c r="M7544" s="1" t="s">
        <v>4</v>
      </c>
      <c r="N7544" s="1" t="s">
        <v>38</v>
      </c>
      <c r="O7544" s="1" t="s">
        <v>46</v>
      </c>
    </row>
    <row r="7545" spans="2:15" x14ac:dyDescent="0.3">
      <c r="B7545" s="1" t="s">
        <v>21</v>
      </c>
      <c r="C7545" s="1" t="str">
        <f>"5-2차"</f>
        <v>5-2차</v>
      </c>
      <c r="D7545" s="1" t="str">
        <f>"9527W3815S"</f>
        <v>9527W3815S</v>
      </c>
      <c r="E7545" s="1" t="s">
        <v>10</v>
      </c>
      <c r="F7545" s="1" t="str">
        <f>"fde3:102:1303:2b01:0:0:0:2"</f>
        <v>fde3:102:1303:2b01:0:0:0:2</v>
      </c>
      <c r="G7545" s="1" t="str">
        <f>"9527W381"</f>
        <v>9527W381</v>
      </c>
      <c r="H7545" s="1" t="str">
        <f>"화전간 29H1R13"</f>
        <v>화전간 29H1R13</v>
      </c>
      <c r="I7545" s="1" t="s">
        <v>15</v>
      </c>
      <c r="J7545" s="1" t="str">
        <f>"20/20"</f>
        <v>20/20</v>
      </c>
      <c r="K7545" s="1" t="str">
        <f>"2026-07-29 14:21:15"</f>
        <v>2026-07-29 14:21:15</v>
      </c>
      <c r="L7545" s="1" t="str">
        <f>"2023-07-07 11:41:01"</f>
        <v>2023-07-07 11:41:01</v>
      </c>
      <c r="M7545" s="1" t="s">
        <v>45</v>
      </c>
      <c r="N7545" s="1" t="s">
        <v>38</v>
      </c>
      <c r="O7545" s="1" t="s">
        <v>46</v>
      </c>
    </row>
    <row r="7546" spans="2:15" x14ac:dyDescent="0.3">
      <c r="B7546" s="1" t="s">
        <v>21</v>
      </c>
      <c r="C7546" s="1" t="str">
        <f>"1차"</f>
        <v>1차</v>
      </c>
      <c r="D7546" s="1" t="str">
        <f>"9527X80200"</f>
        <v>9527X80200</v>
      </c>
      <c r="E7546" s="1" t="s">
        <v>14</v>
      </c>
      <c r="F7546" s="1" t="str">
        <f>"10.128.65.74"</f>
        <v>10.128.65.74</v>
      </c>
      <c r="G7546" s="1" t="str">
        <f>"9527X802"</f>
        <v>9527X802</v>
      </c>
      <c r="H7546" s="1" t="str">
        <f>"숭실간 15"</f>
        <v>숭실간 15</v>
      </c>
      <c r="I7546" s="1" t="s">
        <v>8</v>
      </c>
      <c r="J7546" s="1" t="str">
        <f>"0/0"</f>
        <v>0/0</v>
      </c>
      <c r="K7546" s="1" t="str">
        <f>"2024-06-03 09:20:05"</f>
        <v>2024-06-03 09:20:05</v>
      </c>
      <c r="L7546" s="1" t="str">
        <f>"2014-11-15 16:13:00"</f>
        <v>2014-11-15 16:13:00</v>
      </c>
      <c r="M7546" s="1" t="s">
        <v>45</v>
      </c>
      <c r="N7546" s="1" t="s">
        <v>44</v>
      </c>
      <c r="O7546" s="1" t="s">
        <v>44</v>
      </c>
    </row>
    <row r="7547" spans="2:15" x14ac:dyDescent="0.3">
      <c r="B7547" s="1" t="s">
        <v>21</v>
      </c>
      <c r="C7547" s="1" t="str">
        <f>"5-2차"</f>
        <v>5-2차</v>
      </c>
      <c r="D7547" s="1" t="str">
        <f>"9527Y8915M"</f>
        <v>9527Y8915M</v>
      </c>
      <c r="E7547" s="1" t="s">
        <v>10</v>
      </c>
      <c r="F7547" s="1" t="str">
        <f>"fde3:102:1303:2b00:0:0:0:3"</f>
        <v>fde3:102:1303:2b00:0:0:0:3</v>
      </c>
      <c r="G7547" s="1" t="str">
        <f>"9527Y891"</f>
        <v>9527Y891</v>
      </c>
      <c r="H7547" s="1" t="str">
        <f>"화전간 21L1L5"</f>
        <v>화전간 21L1L5</v>
      </c>
      <c r="I7547" s="1" t="s">
        <v>15</v>
      </c>
      <c r="J7547" s="1" t="str">
        <f>"41/41"</f>
        <v>41/41</v>
      </c>
      <c r="K7547" s="1" t="str">
        <f>"2026-07-29 14:21:30"</f>
        <v>2026-07-29 14:21:30</v>
      </c>
      <c r="L7547" s="1" t="str">
        <f>"2023-09-18 10:07:21"</f>
        <v>2023-09-18 10:07:21</v>
      </c>
      <c r="M7547" s="1" t="s">
        <v>45</v>
      </c>
      <c r="N7547" s="1" t="s">
        <v>38</v>
      </c>
      <c r="O7547" s="1" t="s">
        <v>46</v>
      </c>
    </row>
    <row r="7548" spans="2:15" x14ac:dyDescent="0.3">
      <c r="B7548" s="1" t="s">
        <v>21</v>
      </c>
      <c r="C7548" s="1" t="str">
        <f>"5-2차"</f>
        <v>5-2차</v>
      </c>
      <c r="D7548" s="1" t="str">
        <f>"9527Z0715M"</f>
        <v>9527Z0715M</v>
      </c>
      <c r="E7548" s="1" t="s">
        <v>10</v>
      </c>
      <c r="F7548" s="1" t="str">
        <f>"fde3:102:1303:2b00:0:0:0:2"</f>
        <v>fde3:102:1303:2b00:0:0:0:2</v>
      </c>
      <c r="G7548" s="1" t="str">
        <f>"9527Z071"</f>
        <v>9527Z071</v>
      </c>
      <c r="H7548" s="1" t="str">
        <f>"화전간 21L1L10"</f>
        <v>화전간 21L1L10</v>
      </c>
      <c r="I7548" s="1" t="s">
        <v>15</v>
      </c>
      <c r="J7548" s="1" t="str">
        <f>"67/67"</f>
        <v>67/67</v>
      </c>
      <c r="K7548" s="1" t="str">
        <f>"2026-07-29 14:21:27"</f>
        <v>2026-07-29 14:21:27</v>
      </c>
      <c r="L7548" s="1" t="str">
        <f>"2023-07-24 20:21:36"</f>
        <v>2023-07-24 20:21:36</v>
      </c>
      <c r="M7548" s="1" t="s">
        <v>45</v>
      </c>
      <c r="N7548" s="1" t="s">
        <v>38</v>
      </c>
      <c r="O7548" s="1" t="s">
        <v>46</v>
      </c>
    </row>
    <row r="7549" spans="2:15" x14ac:dyDescent="0.3">
      <c r="B7549" s="1" t="s">
        <v>21</v>
      </c>
      <c r="C7549" s="1" t="str">
        <f>"5-2차"</f>
        <v>5-2차</v>
      </c>
      <c r="D7549" s="1" t="str">
        <f>"9527Z0855M"</f>
        <v>9527Z0855M</v>
      </c>
      <c r="E7549" s="1" t="s">
        <v>10</v>
      </c>
      <c r="F7549" s="1" t="str">
        <f>"fde3:102:1303:2b00:0:0:0:4"</f>
        <v>fde3:102:1303:2b00:0:0:0:4</v>
      </c>
      <c r="G7549" s="1" t="str">
        <f>"9527Z085"</f>
        <v>9527Z085</v>
      </c>
      <c r="H7549" s="1" t="str">
        <f>"화전간 21L1L8"</f>
        <v>화전간 21L1L8</v>
      </c>
      <c r="I7549" s="1" t="s">
        <v>15</v>
      </c>
      <c r="J7549" s="1" t="str">
        <f>"22/22"</f>
        <v>22/22</v>
      </c>
      <c r="K7549" s="1" t="str">
        <f>"2026-07-29 14:21:27"</f>
        <v>2026-07-29 14:21:27</v>
      </c>
      <c r="L7549" s="1" t="str">
        <f>"2023-07-24 20:22:10"</f>
        <v>2023-07-24 20:22:10</v>
      </c>
      <c r="M7549" s="1" t="s">
        <v>45</v>
      </c>
      <c r="N7549" s="1" t="s">
        <v>38</v>
      </c>
      <c r="O7549" s="1" t="s">
        <v>46</v>
      </c>
    </row>
    <row r="7550" spans="2:15" x14ac:dyDescent="0.3">
      <c r="B7550" s="1" t="s">
        <v>21</v>
      </c>
      <c r="C7550" s="1" t="str">
        <f>"1차"</f>
        <v>1차</v>
      </c>
      <c r="D7550" s="1" t="str">
        <f>"9527Z36600"</f>
        <v>9527Z36600</v>
      </c>
      <c r="E7550" s="1" t="s">
        <v>10</v>
      </c>
      <c r="F7550" s="1" t="str">
        <f>"10.128.65.234"</f>
        <v>10.128.65.234</v>
      </c>
      <c r="G7550" s="1" t="str">
        <f>"9527Z366"</f>
        <v>9527Z366</v>
      </c>
      <c r="H7550" s="1" t="str">
        <f>"가좌간 1R6"</f>
        <v>가좌간 1R6</v>
      </c>
      <c r="I7550" s="1" t="s">
        <v>8</v>
      </c>
      <c r="J7550" s="1" t="str">
        <f>"1/9"</f>
        <v>1/9</v>
      </c>
      <c r="K7550" s="1" t="str">
        <f>"2026-07-29 13:18:10"</f>
        <v>2026-07-29 13:18:10</v>
      </c>
      <c r="L7550" s="1" t="str">
        <f>"2015-02-12 12:56:54"</f>
        <v>2015-02-12 12:56:54</v>
      </c>
      <c r="M7550" s="1" t="s">
        <v>45</v>
      </c>
      <c r="N7550" s="1" t="s">
        <v>38</v>
      </c>
      <c r="O7550" s="1" t="s">
        <v>46</v>
      </c>
    </row>
    <row r="7551" spans="2:15" x14ac:dyDescent="0.3">
      <c r="B7551" s="1" t="s">
        <v>21</v>
      </c>
      <c r="C7551" s="1" t="str">
        <f>"1차"</f>
        <v>1차</v>
      </c>
      <c r="D7551" s="1" t="str">
        <f>"9527Z74101"</f>
        <v>9527Z74101</v>
      </c>
      <c r="E7551" s="1" t="s">
        <v>10</v>
      </c>
      <c r="F7551" s="1" t="str">
        <f>"10.128.76.2"</f>
        <v>10.128.76.2</v>
      </c>
      <c r="G7551" s="1" t="str">
        <f>"9527Z741"</f>
        <v>9527Z741</v>
      </c>
      <c r="H7551" s="1" t="str">
        <f>"숭실간 1L1"</f>
        <v>숭실간 1L1</v>
      </c>
      <c r="I7551" s="1" t="s">
        <v>8</v>
      </c>
      <c r="J7551" s="1" t="str">
        <f>"7/7"</f>
        <v>7/7</v>
      </c>
      <c r="K7551" s="1" t="str">
        <f>"2026-07-29 13:18:10"</f>
        <v>2026-07-29 13:18:10</v>
      </c>
      <c r="L7551" s="1" t="str">
        <f>"2014-11-15 15:41:11"</f>
        <v>2014-11-15 15:41:11</v>
      </c>
      <c r="M7551" s="1" t="s">
        <v>45</v>
      </c>
      <c r="N7551" s="1" t="s">
        <v>38</v>
      </c>
      <c r="O7551" s="1" t="s">
        <v>46</v>
      </c>
    </row>
    <row r="7552" spans="2:15" x14ac:dyDescent="0.3">
      <c r="B7552" s="1" t="s">
        <v>21</v>
      </c>
      <c r="C7552" s="1" t="str">
        <f>"4차"</f>
        <v>4차</v>
      </c>
      <c r="D7552" s="1" t="str">
        <f>"9626A94444"</f>
        <v>9626A94444</v>
      </c>
      <c r="E7552" s="1" t="s">
        <v>10</v>
      </c>
      <c r="F7552" s="1" t="str">
        <f>"10.12.131.154"</f>
        <v>10.12.131.154</v>
      </c>
      <c r="G7552" s="1" t="str">
        <f>"9626A944"</f>
        <v>9626A944</v>
      </c>
      <c r="H7552" s="1" t="str">
        <f>"와산간 13R7R12R2"</f>
        <v>와산간 13R7R12R2</v>
      </c>
      <c r="I7552" s="1" t="s">
        <v>8</v>
      </c>
      <c r="J7552" s="1" t="str">
        <f>"3/3"</f>
        <v>3/3</v>
      </c>
      <c r="K7552" s="1" t="str">
        <f>"2026-07-29 13:18:12"</f>
        <v>2026-07-29 13:18:12</v>
      </c>
      <c r="L7552" s="1" t="str">
        <f>"2020-06-23 11:05:55"</f>
        <v>2020-06-23 11:05:55</v>
      </c>
      <c r="M7552" s="1" t="s">
        <v>0</v>
      </c>
      <c r="N7552" s="1" t="s">
        <v>38</v>
      </c>
      <c r="O7552" s="1" t="s">
        <v>46</v>
      </c>
    </row>
    <row r="7553" spans="2:15" x14ac:dyDescent="0.3">
      <c r="B7553" s="1" t="s">
        <v>21</v>
      </c>
      <c r="C7553" s="1" t="str">
        <f>"3차"</f>
        <v>3차</v>
      </c>
      <c r="D7553" s="1" t="str">
        <f>"9626A96239"</f>
        <v>9626A96239</v>
      </c>
      <c r="E7553" s="1" t="s">
        <v>10</v>
      </c>
      <c r="F7553" s="1" t="str">
        <f>"10.128.73.90"</f>
        <v>10.128.73.90</v>
      </c>
      <c r="G7553" s="1" t="str">
        <f>"9626A962"</f>
        <v>9626A962</v>
      </c>
      <c r="H7553" s="1" t="str">
        <f>"와산간 4"</f>
        <v>와산간 4</v>
      </c>
      <c r="I7553" s="1" t="s">
        <v>8</v>
      </c>
      <c r="J7553" s="1" t="str">
        <f>"37/37"</f>
        <v>37/37</v>
      </c>
      <c r="K7553" s="1" t="str">
        <f>"2026-07-29 13:18:11"</f>
        <v>2026-07-29 13:18:11</v>
      </c>
      <c r="L7553" s="1" t="str">
        <f>"2020-06-15 17:00:15"</f>
        <v>2020-06-15 17:00:15</v>
      </c>
      <c r="M7553" s="1" t="s">
        <v>45</v>
      </c>
      <c r="N7553" s="1" t="s">
        <v>38</v>
      </c>
      <c r="O7553" s="1" t="s">
        <v>46</v>
      </c>
    </row>
    <row r="7554" spans="2:15" x14ac:dyDescent="0.3">
      <c r="B7554" s="1" t="s">
        <v>21</v>
      </c>
      <c r="C7554" s="1" t="str">
        <f>"1차"</f>
        <v>1차</v>
      </c>
      <c r="D7554" s="1" t="str">
        <f>"9626B03100"</f>
        <v>9626B03100</v>
      </c>
      <c r="E7554" s="1" t="s">
        <v>10</v>
      </c>
      <c r="F7554" s="1" t="str">
        <f>"10.128.33.71"</f>
        <v>10.128.33.71</v>
      </c>
      <c r="G7554" s="1" t="str">
        <f>"9626B031"</f>
        <v>9626B031</v>
      </c>
      <c r="H7554" s="1" t="str">
        <f>"와산간 13R7R14"</f>
        <v>와산간 13R7R14</v>
      </c>
      <c r="I7554" s="1" t="s">
        <v>8</v>
      </c>
      <c r="J7554" s="1" t="str">
        <f>"22/22"</f>
        <v>22/22</v>
      </c>
      <c r="K7554" s="1" t="str">
        <f>"2026-07-29 13:18:10"</f>
        <v>2026-07-29 13:18:10</v>
      </c>
      <c r="L7554" s="1" t="str">
        <f>"2014-10-07 11:36:08"</f>
        <v>2014-10-07 11:36:08</v>
      </c>
      <c r="M7554" s="1" t="s">
        <v>45</v>
      </c>
      <c r="N7554" s="1" t="s">
        <v>38</v>
      </c>
      <c r="O7554" s="1" t="s">
        <v>46</v>
      </c>
    </row>
    <row r="7555" spans="2:15" x14ac:dyDescent="0.3">
      <c r="B7555" s="1" t="s">
        <v>21</v>
      </c>
      <c r="C7555" s="1" t="str">
        <f>"1차"</f>
        <v>1차</v>
      </c>
      <c r="D7555" s="1" t="str">
        <f>"9626B04101"</f>
        <v>9626B04101</v>
      </c>
      <c r="E7555" s="1" t="s">
        <v>14</v>
      </c>
      <c r="F7555" s="1" t="str">
        <f>"10.128.32.3"</f>
        <v>10.128.32.3</v>
      </c>
      <c r="G7555" s="1" t="str">
        <f>"9626B041"</f>
        <v>9626B041</v>
      </c>
      <c r="H7555" s="1" t="str">
        <f>"와산간 13R7R11"</f>
        <v>와산간 13R7R11</v>
      </c>
      <c r="I7555" s="1" t="s">
        <v>8</v>
      </c>
      <c r="J7555" s="1" t="str">
        <f>"0/0"</f>
        <v>0/0</v>
      </c>
      <c r="K7555" s="1" t="str">
        <f>"2024-08-06 03:21:06"</f>
        <v>2024-08-06 03:21:06</v>
      </c>
      <c r="L7555" s="1" t="str">
        <f>"2014-10-06 19:41:56"</f>
        <v>2014-10-06 19:41:56</v>
      </c>
      <c r="M7555" s="1" t="s">
        <v>45</v>
      </c>
      <c r="N7555" s="1" t="s">
        <v>44</v>
      </c>
      <c r="O7555" s="1" t="s">
        <v>44</v>
      </c>
    </row>
    <row r="7556" spans="2:15" x14ac:dyDescent="0.3">
      <c r="B7556" s="1" t="s">
        <v>21</v>
      </c>
      <c r="C7556" s="1" t="str">
        <f>"1차"</f>
        <v>1차</v>
      </c>
      <c r="D7556" s="1" t="str">
        <f>"9626B05100"</f>
        <v>9626B05100</v>
      </c>
      <c r="E7556" s="1" t="s">
        <v>10</v>
      </c>
      <c r="F7556" s="1" t="str">
        <f>"10.128.32.2"</f>
        <v>10.128.32.2</v>
      </c>
      <c r="G7556" s="1" t="str">
        <f>"9626B051"</f>
        <v>9626B051</v>
      </c>
      <c r="H7556" s="1" t="str">
        <f>"와산간 13R7R10"</f>
        <v>와산간 13R7R10</v>
      </c>
      <c r="I7556" s="1" t="s">
        <v>8</v>
      </c>
      <c r="J7556" s="1" t="str">
        <f>"6/6"</f>
        <v>6/6</v>
      </c>
      <c r="K7556" s="1" t="str">
        <f>"2026-07-29 13:18:10"</f>
        <v>2026-07-29 13:18:10</v>
      </c>
      <c r="L7556" s="1" t="str">
        <f>"2014-12-18 18:00:48"</f>
        <v>2014-12-18 18:00:48</v>
      </c>
      <c r="M7556" s="1" t="s">
        <v>45</v>
      </c>
      <c r="N7556" s="1" t="s">
        <v>38</v>
      </c>
      <c r="O7556" s="1" t="s">
        <v>46</v>
      </c>
    </row>
    <row r="7557" spans="2:15" x14ac:dyDescent="0.3">
      <c r="B7557" s="1" t="s">
        <v>21</v>
      </c>
      <c r="C7557" s="1" t="str">
        <f>"4차"</f>
        <v>4차</v>
      </c>
      <c r="D7557" s="1" t="str">
        <f>"9626B08144"</f>
        <v>9626B08144</v>
      </c>
      <c r="E7557" s="1" t="s">
        <v>10</v>
      </c>
      <c r="F7557" s="1" t="str">
        <f>"10.128.73.66"</f>
        <v>10.128.73.66</v>
      </c>
      <c r="G7557" s="1" t="str">
        <f>"9626B081"</f>
        <v>9626B081</v>
      </c>
      <c r="H7557" s="1" t="str">
        <f>"와산간 6"</f>
        <v>와산간 6</v>
      </c>
      <c r="I7557" s="1" t="s">
        <v>8</v>
      </c>
      <c r="J7557" s="1" t="str">
        <f>"13/13"</f>
        <v>13/13</v>
      </c>
      <c r="K7557" s="1" t="str">
        <f>"2026-07-29 13:18:10"</f>
        <v>2026-07-29 13:18:10</v>
      </c>
      <c r="L7557" s="1" t="str">
        <f>"2020-06-23 16:03:53"</f>
        <v>2020-06-23 16:03:53</v>
      </c>
      <c r="M7557" s="1" t="s">
        <v>45</v>
      </c>
      <c r="N7557" s="1" t="s">
        <v>38</v>
      </c>
      <c r="O7557" s="1" t="s">
        <v>46</v>
      </c>
    </row>
    <row r="7558" spans="2:15" x14ac:dyDescent="0.3">
      <c r="B7558" s="1" t="s">
        <v>21</v>
      </c>
      <c r="C7558" s="1" t="str">
        <f>"4차"</f>
        <v>4차</v>
      </c>
      <c r="D7558" s="1" t="str">
        <f>"9626B11244"</f>
        <v>9626B11244</v>
      </c>
      <c r="E7558" s="1" t="s">
        <v>10</v>
      </c>
      <c r="F7558" s="1" t="str">
        <f>"10.12.130.193"</f>
        <v>10.12.130.193</v>
      </c>
      <c r="G7558" s="1" t="str">
        <f>"9626B112"</f>
        <v>9626B112</v>
      </c>
      <c r="H7558" s="1" t="str">
        <f>"와산간 13R7R16"</f>
        <v>와산간 13R7R16</v>
      </c>
      <c r="I7558" s="1" t="s">
        <v>8</v>
      </c>
      <c r="J7558" s="1" t="str">
        <f>"39/39"</f>
        <v>39/39</v>
      </c>
      <c r="K7558" s="1" t="str">
        <f>"2026-07-29 13:18:11"</f>
        <v>2026-07-29 13:18:11</v>
      </c>
      <c r="L7558" s="1" t="str">
        <f>"2020-06-18 11:04:33"</f>
        <v>2020-06-18 11:04:33</v>
      </c>
      <c r="M7558" s="1" t="s">
        <v>0</v>
      </c>
      <c r="N7558" s="1" t="s">
        <v>38</v>
      </c>
      <c r="O7558" s="1" t="s">
        <v>46</v>
      </c>
    </row>
    <row r="7559" spans="2:15" x14ac:dyDescent="0.3">
      <c r="B7559" s="1" t="s">
        <v>21</v>
      </c>
      <c r="C7559" s="1" t="str">
        <f>"4차"</f>
        <v>4차</v>
      </c>
      <c r="D7559" s="1" t="str">
        <f>"9626B13144"</f>
        <v>9626B13144</v>
      </c>
      <c r="E7559" s="1" t="s">
        <v>10</v>
      </c>
      <c r="F7559" s="1" t="str">
        <f>"10.12.131.10"</f>
        <v>10.12.131.10</v>
      </c>
      <c r="G7559" s="1" t="str">
        <f>"9626B131"</f>
        <v>9626B131</v>
      </c>
      <c r="H7559" s="1" t="str">
        <f>"와산간 13R7R14L2"</f>
        <v>와산간 13R7R14L2</v>
      </c>
      <c r="I7559" s="1" t="s">
        <v>8</v>
      </c>
      <c r="J7559" s="1" t="str">
        <f>"23/23"</f>
        <v>23/23</v>
      </c>
      <c r="K7559" s="1" t="str">
        <f>"2026-07-29 13:18:10"</f>
        <v>2026-07-29 13:18:10</v>
      </c>
      <c r="L7559" s="1" t="str">
        <f>"2020-06-23 11:16:53"</f>
        <v>2020-06-23 11:16:53</v>
      </c>
      <c r="M7559" s="1" t="s">
        <v>0</v>
      </c>
      <c r="N7559" s="1" t="s">
        <v>38</v>
      </c>
      <c r="O7559" s="1" t="s">
        <v>46</v>
      </c>
    </row>
    <row r="7560" spans="2:15" x14ac:dyDescent="0.3">
      <c r="B7560" s="1" t="s">
        <v>21</v>
      </c>
      <c r="C7560" s="1" t="str">
        <f>"1차"</f>
        <v>1차</v>
      </c>
      <c r="D7560" s="1" t="str">
        <f>"9626B14200"</f>
        <v>9626B14200</v>
      </c>
      <c r="E7560" s="1" t="s">
        <v>10</v>
      </c>
      <c r="F7560" s="1" t="str">
        <f>"10.128.33.72"</f>
        <v>10.128.33.72</v>
      </c>
      <c r="G7560" s="1" t="str">
        <f>"9626B142"</f>
        <v>9626B142</v>
      </c>
      <c r="H7560" s="1" t="str">
        <f>"와산간 13R7R14L3L1"</f>
        <v>와산간 13R7R14L3L1</v>
      </c>
      <c r="I7560" s="1" t="s">
        <v>8</v>
      </c>
      <c r="J7560" s="1" t="str">
        <f>"6/6"</f>
        <v>6/6</v>
      </c>
      <c r="K7560" s="1" t="str">
        <f>"2026-07-29 13:18:10"</f>
        <v>2026-07-29 13:18:10</v>
      </c>
      <c r="L7560" s="1" t="str">
        <f>"2014-10-06 19:42:12"</f>
        <v>2014-10-06 19:42:12</v>
      </c>
      <c r="M7560" s="1" t="s">
        <v>45</v>
      </c>
      <c r="N7560" s="1" t="s">
        <v>38</v>
      </c>
      <c r="O7560" s="1" t="s">
        <v>46</v>
      </c>
    </row>
    <row r="7561" spans="2:15" x14ac:dyDescent="0.3">
      <c r="B7561" s="1" t="s">
        <v>21</v>
      </c>
      <c r="C7561" s="1" t="str">
        <f>"6차"</f>
        <v>6차</v>
      </c>
      <c r="D7561" s="1" t="str">
        <f>"9626B1516S"</f>
        <v>9626B1516S</v>
      </c>
      <c r="E7561" s="1" t="s">
        <v>10</v>
      </c>
      <c r="F7561" s="1" t="str">
        <f>"fde1:103:4:92a8:0:0:0:2"</f>
        <v>fde1:103:4:92a8:0:0:0:2</v>
      </c>
      <c r="G7561" s="1" t="str">
        <f>"9626B151"</f>
        <v>9626B151</v>
      </c>
      <c r="H7561" s="1" t="str">
        <f>"와산간 13R7R9"</f>
        <v>와산간 13R7R9</v>
      </c>
      <c r="I7561" s="1" t="s">
        <v>15</v>
      </c>
      <c r="J7561" s="1" t="str">
        <f>"14/14"</f>
        <v>14/14</v>
      </c>
      <c r="K7561" s="1" t="str">
        <f>"2026-07-29 14:21:42"</f>
        <v>2026-07-29 14:21:42</v>
      </c>
      <c r="L7561" s="1" t="str">
        <f>"2025-02-21 17:18:31"</f>
        <v>2025-02-21 17:18:31</v>
      </c>
      <c r="M7561" s="1" t="s">
        <v>4</v>
      </c>
      <c r="N7561" s="1" t="s">
        <v>38</v>
      </c>
      <c r="O7561" s="1" t="s">
        <v>46</v>
      </c>
    </row>
    <row r="7562" spans="2:15" x14ac:dyDescent="0.3">
      <c r="B7562" s="1" t="s">
        <v>21</v>
      </c>
      <c r="C7562" s="1" t="str">
        <f>"4차"</f>
        <v>4차</v>
      </c>
      <c r="D7562" s="1" t="str">
        <f>"9626B16144"</f>
        <v>9626B16144</v>
      </c>
      <c r="E7562" s="1" t="s">
        <v>10</v>
      </c>
      <c r="F7562" s="1" t="str">
        <f>"10.128.73.83"</f>
        <v>10.128.73.83</v>
      </c>
      <c r="G7562" s="1" t="str">
        <f>"9626B161"</f>
        <v>9626B161</v>
      </c>
      <c r="H7562" s="1" t="str">
        <f>"와산간 13R7R8R1"</f>
        <v>와산간 13R7R8R1</v>
      </c>
      <c r="I7562" s="1" t="s">
        <v>8</v>
      </c>
      <c r="J7562" s="1" t="str">
        <f>"57/57"</f>
        <v>57/57</v>
      </c>
      <c r="K7562" s="1" t="str">
        <f>"2026-07-29 13:18:10"</f>
        <v>2026-07-29 13:18:10</v>
      </c>
      <c r="L7562" s="1" t="str">
        <f>"2020-06-17 13:55:35"</f>
        <v>2020-06-17 13:55:35</v>
      </c>
      <c r="M7562" s="1" t="s">
        <v>45</v>
      </c>
      <c r="N7562" s="1" t="s">
        <v>38</v>
      </c>
      <c r="O7562" s="1" t="s">
        <v>46</v>
      </c>
    </row>
    <row r="7563" spans="2:15" x14ac:dyDescent="0.3">
      <c r="B7563" s="1" t="s">
        <v>21</v>
      </c>
      <c r="C7563" s="1" t="str">
        <f>"4차"</f>
        <v>4차</v>
      </c>
      <c r="D7563" s="1" t="str">
        <f>"9626B17144"</f>
        <v>9626B17144</v>
      </c>
      <c r="E7563" s="1" t="s">
        <v>10</v>
      </c>
      <c r="F7563" s="1" t="str">
        <f>"10.12.130.201"</f>
        <v>10.12.130.201</v>
      </c>
      <c r="G7563" s="1" t="str">
        <f>"9626B171"</f>
        <v>9626B171</v>
      </c>
      <c r="H7563" s="1" t="str">
        <f>"와산간 13R7R8R2"</f>
        <v>와산간 13R7R8R2</v>
      </c>
      <c r="I7563" s="1" t="s">
        <v>8</v>
      </c>
      <c r="J7563" s="1" t="str">
        <f>"31/31"</f>
        <v>31/31</v>
      </c>
      <c r="K7563" s="1" t="str">
        <f>"2026-07-29 13:18:12"</f>
        <v>2026-07-29 13:18:12</v>
      </c>
      <c r="L7563" s="1" t="str">
        <f>"2020-06-17 14:20:57"</f>
        <v>2020-06-17 14:20:57</v>
      </c>
      <c r="M7563" s="1" t="s">
        <v>0</v>
      </c>
      <c r="N7563" s="1" t="s">
        <v>38</v>
      </c>
      <c r="O7563" s="1" t="s">
        <v>46</v>
      </c>
    </row>
    <row r="7564" spans="2:15" x14ac:dyDescent="0.3">
      <c r="B7564" s="1" t="s">
        <v>21</v>
      </c>
      <c r="C7564" s="1" t="str">
        <f>"1차"</f>
        <v>1차</v>
      </c>
      <c r="D7564" s="1" t="str">
        <f>"9626B21101"</f>
        <v>9626B21101</v>
      </c>
      <c r="E7564" s="1" t="s">
        <v>10</v>
      </c>
      <c r="F7564" s="1" t="str">
        <f>"10.128.32.7"</f>
        <v>10.128.32.7</v>
      </c>
      <c r="G7564" s="1" t="str">
        <f>"9626B211"</f>
        <v>9626B211</v>
      </c>
      <c r="H7564" s="1" t="str">
        <f>"와산간 13R7R20R2"</f>
        <v>와산간 13R7R20R2</v>
      </c>
      <c r="I7564" s="1" t="s">
        <v>8</v>
      </c>
      <c r="J7564" s="1" t="str">
        <f>"7/7"</f>
        <v>7/7</v>
      </c>
      <c r="K7564" s="1" t="str">
        <f>"2026-07-29 13:18:10"</f>
        <v>2026-07-29 13:18:10</v>
      </c>
      <c r="L7564" s="1" t="str">
        <f>"2014-10-08 15:25:50"</f>
        <v>2014-10-08 15:25:50</v>
      </c>
      <c r="M7564" s="1" t="s">
        <v>45</v>
      </c>
      <c r="N7564" s="1" t="s">
        <v>38</v>
      </c>
      <c r="O7564" s="1" t="s">
        <v>46</v>
      </c>
    </row>
    <row r="7565" spans="2:15" x14ac:dyDescent="0.3">
      <c r="B7565" s="1" t="s">
        <v>21</v>
      </c>
      <c r="C7565" s="1" t="str">
        <f>"4차"</f>
        <v>4차</v>
      </c>
      <c r="D7565" s="1" t="str">
        <f>"9626B22144"</f>
        <v>9626B22144</v>
      </c>
      <c r="E7565" s="1" t="s">
        <v>10</v>
      </c>
      <c r="F7565" s="1" t="str">
        <f>"10.11.101.114"</f>
        <v>10.11.101.114</v>
      </c>
      <c r="G7565" s="1" t="str">
        <f>"9626B221"</f>
        <v>9626B221</v>
      </c>
      <c r="H7565" s="1" t="str">
        <f>"와산간 13R7R17"</f>
        <v>와산간 13R7R17</v>
      </c>
      <c r="I7565" s="1" t="s">
        <v>8</v>
      </c>
      <c r="J7565" s="1" t="str">
        <f>"24/24"</f>
        <v>24/24</v>
      </c>
      <c r="K7565" s="1" t="str">
        <f>"2026-07-29 13:18:10"</f>
        <v>2026-07-29 13:18:10</v>
      </c>
      <c r="L7565" s="1" t="str">
        <f>"2020-06-23 15:43:56"</f>
        <v>2020-06-23 15:43:56</v>
      </c>
      <c r="M7565" s="1" t="s">
        <v>2</v>
      </c>
      <c r="N7565" s="1" t="s">
        <v>38</v>
      </c>
      <c r="O7565" s="1" t="s">
        <v>46</v>
      </c>
    </row>
    <row r="7566" spans="2:15" x14ac:dyDescent="0.3">
      <c r="B7566" s="1" t="s">
        <v>21</v>
      </c>
      <c r="C7566" s="1" t="str">
        <f>"4차"</f>
        <v>4차</v>
      </c>
      <c r="D7566" s="1" t="str">
        <f>"9626B23144"</f>
        <v>9626B23144</v>
      </c>
      <c r="E7566" s="1" t="s">
        <v>10</v>
      </c>
      <c r="F7566" s="1" t="str">
        <f>"10.11.101.122"</f>
        <v>10.11.101.122</v>
      </c>
      <c r="G7566" s="1" t="str">
        <f>"9626B231"</f>
        <v>9626B231</v>
      </c>
      <c r="H7566" s="1" t="str">
        <f>"와산간 13R7R18"</f>
        <v>와산간 13R7R18</v>
      </c>
      <c r="I7566" s="1" t="s">
        <v>8</v>
      </c>
      <c r="J7566" s="1" t="str">
        <f>"35/35"</f>
        <v>35/35</v>
      </c>
      <c r="K7566" s="1" t="str">
        <f>"2026-07-29 13:18:10"</f>
        <v>2026-07-29 13:18:10</v>
      </c>
      <c r="L7566" s="1" t="str">
        <f>"2020-06-18 10:47:00"</f>
        <v>2020-06-18 10:47:00</v>
      </c>
      <c r="M7566" s="1" t="s">
        <v>2</v>
      </c>
      <c r="N7566" s="1" t="s">
        <v>38</v>
      </c>
      <c r="O7566" s="1" t="s">
        <v>46</v>
      </c>
    </row>
    <row r="7567" spans="2:15" x14ac:dyDescent="0.3">
      <c r="B7567" s="1" t="s">
        <v>21</v>
      </c>
      <c r="C7567" s="1" t="str">
        <f>"4차"</f>
        <v>4차</v>
      </c>
      <c r="D7567" s="1" t="str">
        <f>"9626B24244"</f>
        <v>9626B24244</v>
      </c>
      <c r="E7567" s="1" t="s">
        <v>10</v>
      </c>
      <c r="F7567" s="1" t="str">
        <f>"10.12.130.250"</f>
        <v>10.12.130.250</v>
      </c>
      <c r="G7567" s="1" t="str">
        <f>"9626B242"</f>
        <v>9626B242</v>
      </c>
      <c r="H7567" s="1" t="str">
        <f>"와산간 13R7R14L6"</f>
        <v>와산간 13R7R14L6</v>
      </c>
      <c r="I7567" s="1" t="s">
        <v>8</v>
      </c>
      <c r="J7567" s="1" t="str">
        <f>"22/22"</f>
        <v>22/22</v>
      </c>
      <c r="K7567" s="1" t="str">
        <f>"2026-07-29 13:18:12"</f>
        <v>2026-07-29 13:18:12</v>
      </c>
      <c r="L7567" s="1" t="str">
        <f>"2020-06-22 18:43:05"</f>
        <v>2020-06-22 18:43:05</v>
      </c>
      <c r="M7567" s="1" t="s">
        <v>0</v>
      </c>
      <c r="N7567" s="1" t="s">
        <v>38</v>
      </c>
      <c r="O7567" s="1" t="s">
        <v>46</v>
      </c>
    </row>
    <row r="7568" spans="2:15" x14ac:dyDescent="0.3">
      <c r="B7568" s="1" t="s">
        <v>21</v>
      </c>
      <c r="C7568" s="1" t="str">
        <f>"1차"</f>
        <v>1차</v>
      </c>
      <c r="D7568" s="1" t="str">
        <f>"9626B24300"</f>
        <v>9626B24300</v>
      </c>
      <c r="E7568" s="1" t="s">
        <v>10</v>
      </c>
      <c r="F7568" s="1" t="str">
        <f>"10.128.33.73"</f>
        <v>10.128.33.73</v>
      </c>
      <c r="G7568" s="1" t="str">
        <f>"9626B243"</f>
        <v>9626B243</v>
      </c>
      <c r="H7568" s="1" t="str">
        <f>"와산간 13R7R14L5"</f>
        <v>와산간 13R7R14L5</v>
      </c>
      <c r="I7568" s="1" t="s">
        <v>8</v>
      </c>
      <c r="J7568" s="1" t="str">
        <f>"8/9"</f>
        <v>8/9</v>
      </c>
      <c r="K7568" s="1" t="str">
        <f>"2026-07-29 13:18:10"</f>
        <v>2026-07-29 13:18:10</v>
      </c>
      <c r="L7568" s="1" t="str">
        <f>"2014-10-06 19:41:38"</f>
        <v>2014-10-06 19:41:38</v>
      </c>
      <c r="M7568" s="1" t="s">
        <v>45</v>
      </c>
      <c r="N7568" s="1" t="s">
        <v>38</v>
      </c>
      <c r="O7568" s="1" t="s">
        <v>46</v>
      </c>
    </row>
    <row r="7569" spans="2:15" x14ac:dyDescent="0.3">
      <c r="B7569" s="1" t="s">
        <v>21</v>
      </c>
      <c r="C7569" s="1" t="str">
        <f>"1차"</f>
        <v>1차</v>
      </c>
      <c r="D7569" s="1" t="str">
        <f>"9626B26100"</f>
        <v>9626B26100</v>
      </c>
      <c r="E7569" s="1" t="s">
        <v>14</v>
      </c>
      <c r="F7569" s="1" t="str">
        <f>"10.128.32.8"</f>
        <v>10.128.32.8</v>
      </c>
      <c r="G7569" s="1" t="str">
        <f>"9626B261"</f>
        <v>9626B261</v>
      </c>
      <c r="H7569" s="1" t="str">
        <f>"와산간 13R7R8"</f>
        <v>와산간 13R7R8</v>
      </c>
      <c r="I7569" s="1" t="s">
        <v>8</v>
      </c>
      <c r="J7569" s="1" t="str">
        <f>"0/0"</f>
        <v>0/0</v>
      </c>
      <c r="K7569" s="1" t="str">
        <f>"2024-07-08 18:21:55"</f>
        <v>2024-07-08 18:21:55</v>
      </c>
      <c r="L7569" s="1" t="str">
        <f>"2014-10-06 19:42:05"</f>
        <v>2014-10-06 19:42:05</v>
      </c>
      <c r="M7569" s="1" t="s">
        <v>45</v>
      </c>
      <c r="N7569" s="1" t="s">
        <v>44</v>
      </c>
      <c r="O7569" s="1" t="s">
        <v>44</v>
      </c>
    </row>
    <row r="7570" spans="2:15" x14ac:dyDescent="0.3">
      <c r="B7570" s="1" t="s">
        <v>21</v>
      </c>
      <c r="C7570" s="1" t="str">
        <f>"6차"</f>
        <v>6차</v>
      </c>
      <c r="D7570" s="1" t="str">
        <f>"9626B2626S"</f>
        <v>9626B2626S</v>
      </c>
      <c r="E7570" s="1" t="s">
        <v>10</v>
      </c>
      <c r="F7570" s="1" t="str">
        <f>"fde1:103:4:938b:0:0:0:2"</f>
        <v>fde1:103:4:938b:0:0:0:2</v>
      </c>
      <c r="G7570" s="1" t="str">
        <f>"9626B262"</f>
        <v>9626B262</v>
      </c>
      <c r="H7570" s="1" t="str">
        <f>"와산간 13R7R6"</f>
        <v>와산간 13R7R6</v>
      </c>
      <c r="I7570" s="1" t="s">
        <v>15</v>
      </c>
      <c r="J7570" s="1" t="str">
        <f>"38/38"</f>
        <v>38/38</v>
      </c>
      <c r="K7570" s="1" t="str">
        <f>"2026-07-29 02:21:19"</f>
        <v>2026-07-29 02:21:19</v>
      </c>
      <c r="L7570" s="1" t="str">
        <f>"2025-01-21 10:44:27"</f>
        <v>2025-01-21 10:44:27</v>
      </c>
      <c r="M7570" s="1" t="s">
        <v>4</v>
      </c>
      <c r="N7570" s="1" t="s">
        <v>38</v>
      </c>
      <c r="O7570" s="1" t="s">
        <v>46</v>
      </c>
    </row>
    <row r="7571" spans="2:15" x14ac:dyDescent="0.3">
      <c r="B7571" s="1" t="s">
        <v>21</v>
      </c>
      <c r="C7571" s="1" t="str">
        <f>"3차"</f>
        <v>3차</v>
      </c>
      <c r="D7571" s="1" t="str">
        <f>"9626B28239"</f>
        <v>9626B28239</v>
      </c>
      <c r="E7571" s="1" t="s">
        <v>10</v>
      </c>
      <c r="F7571" s="1" t="str">
        <f>"10.128.73.82"</f>
        <v>10.128.73.82</v>
      </c>
      <c r="G7571" s="1" t="str">
        <f>"9626B282"</f>
        <v>9626B282</v>
      </c>
      <c r="H7571" s="1" t="str">
        <f>"와산간 13R7R8R3"</f>
        <v>와산간 13R7R8R3</v>
      </c>
      <c r="I7571" s="1" t="s">
        <v>8</v>
      </c>
      <c r="J7571" s="1" t="str">
        <f>"50/50"</f>
        <v>50/50</v>
      </c>
      <c r="K7571" s="1" t="str">
        <f>"2026-07-29 13:18:10"</f>
        <v>2026-07-29 13:18:10</v>
      </c>
      <c r="L7571" s="1" t="str">
        <f>"2020-06-29 17:34:47"</f>
        <v>2020-06-29 17:34:47</v>
      </c>
      <c r="M7571" s="1" t="s">
        <v>45</v>
      </c>
      <c r="N7571" s="1" t="s">
        <v>38</v>
      </c>
      <c r="O7571" s="1" t="s">
        <v>46</v>
      </c>
    </row>
    <row r="7572" spans="2:15" x14ac:dyDescent="0.3">
      <c r="B7572" s="1" t="s">
        <v>21</v>
      </c>
      <c r="C7572" s="1" t="str">
        <f>"4차"</f>
        <v>4차</v>
      </c>
      <c r="D7572" s="1" t="str">
        <f>"9626B29344"</f>
        <v>9626B29344</v>
      </c>
      <c r="E7572" s="1" t="s">
        <v>10</v>
      </c>
      <c r="F7572" s="1" t="str">
        <f>"10.12.130.194"</f>
        <v>10.12.130.194</v>
      </c>
      <c r="G7572" s="1" t="str">
        <f>"9626B293"</f>
        <v>9626B293</v>
      </c>
      <c r="H7572" s="1" t="str">
        <f>"와산간 9R2"</f>
        <v>와산간 9R2</v>
      </c>
      <c r="I7572" s="1" t="s">
        <v>8</v>
      </c>
      <c r="J7572" s="1" t="str">
        <f>"35/36"</f>
        <v>35/36</v>
      </c>
      <c r="K7572" s="1" t="str">
        <f>"2026-07-29 13:18:03"</f>
        <v>2026-07-29 13:18:03</v>
      </c>
      <c r="L7572" s="1" t="str">
        <f>"2020-06-23 11:44:39"</f>
        <v>2020-06-23 11:44:39</v>
      </c>
      <c r="M7572" s="1" t="s">
        <v>0</v>
      </c>
      <c r="N7572" s="1" t="s">
        <v>38</v>
      </c>
      <c r="O7572" s="1" t="s">
        <v>46</v>
      </c>
    </row>
    <row r="7573" spans="2:15" x14ac:dyDescent="0.3">
      <c r="B7573" s="1" t="s">
        <v>21</v>
      </c>
      <c r="C7573" s="1" t="str">
        <f>"4차"</f>
        <v>4차</v>
      </c>
      <c r="D7573" s="1" t="str">
        <f>"9626B30544"</f>
        <v>9626B30544</v>
      </c>
      <c r="E7573" s="1" t="s">
        <v>10</v>
      </c>
      <c r="F7573" s="1" t="str">
        <f>"10.12.131.81"</f>
        <v>10.12.131.81</v>
      </c>
      <c r="G7573" s="1" t="str">
        <f>"9626B305"</f>
        <v>9626B305</v>
      </c>
      <c r="H7573" s="1" t="str">
        <f>"가좌간 33L2L1"</f>
        <v>가좌간 33L2L1</v>
      </c>
      <c r="I7573" s="1" t="s">
        <v>8</v>
      </c>
      <c r="J7573" s="1" t="str">
        <f>"22/23"</f>
        <v>22/23</v>
      </c>
      <c r="K7573" s="1" t="str">
        <f>"2026-07-29 13:18:11"</f>
        <v>2026-07-29 13:18:11</v>
      </c>
      <c r="L7573" s="1" t="str">
        <f>"2020-07-02 10:12:14"</f>
        <v>2020-07-02 10:12:14</v>
      </c>
      <c r="M7573" s="1" t="s">
        <v>0</v>
      </c>
      <c r="N7573" s="1" t="s">
        <v>38</v>
      </c>
      <c r="O7573" s="1" t="s">
        <v>46</v>
      </c>
    </row>
    <row r="7574" spans="2:15" x14ac:dyDescent="0.3">
      <c r="B7574" s="1" t="s">
        <v>21</v>
      </c>
      <c r="C7574" s="1" t="str">
        <f>"1차"</f>
        <v>1차</v>
      </c>
      <c r="D7574" s="1" t="str">
        <f>"9626B31100"</f>
        <v>9626B31100</v>
      </c>
      <c r="E7574" s="1" t="s">
        <v>10</v>
      </c>
      <c r="F7574" s="1" t="str">
        <f>"10.128.32.5"</f>
        <v>10.128.32.5</v>
      </c>
      <c r="G7574" s="1" t="str">
        <f>"9626B311"</f>
        <v>9626B311</v>
      </c>
      <c r="H7574" s="1" t="str">
        <f>"와산간 13R7R20R1"</f>
        <v>와산간 13R7R20R1</v>
      </c>
      <c r="I7574" s="1" t="s">
        <v>8</v>
      </c>
      <c r="J7574" s="1" t="str">
        <f>"6/6"</f>
        <v>6/6</v>
      </c>
      <c r="K7574" s="1" t="str">
        <f>"2026-07-29 13:18:10"</f>
        <v>2026-07-29 13:18:10</v>
      </c>
      <c r="L7574" s="1" t="str">
        <f>"2014-10-08 15:27:46"</f>
        <v>2014-10-08 15:27:46</v>
      </c>
      <c r="M7574" s="1" t="s">
        <v>45</v>
      </c>
      <c r="N7574" s="1" t="s">
        <v>38</v>
      </c>
      <c r="O7574" s="1" t="s">
        <v>46</v>
      </c>
    </row>
    <row r="7575" spans="2:15" x14ac:dyDescent="0.3">
      <c r="B7575" s="1" t="s">
        <v>21</v>
      </c>
      <c r="C7575" s="1" t="str">
        <f>"4차"</f>
        <v>4차</v>
      </c>
      <c r="D7575" s="1" t="str">
        <f>"9626B32244"</f>
        <v>9626B32244</v>
      </c>
      <c r="E7575" s="1" t="s">
        <v>10</v>
      </c>
      <c r="F7575" s="1" t="str">
        <f>"10.128.112.53"</f>
        <v>10.128.112.53</v>
      </c>
      <c r="G7575" s="1" t="str">
        <f>"9626B322"</f>
        <v>9626B322</v>
      </c>
      <c r="H7575" s="1" t="str">
        <f>"와산간 13R7R20L1"</f>
        <v>와산간 13R7R20L1</v>
      </c>
      <c r="I7575" s="1" t="s">
        <v>8</v>
      </c>
      <c r="J7575" s="1" t="str">
        <f>"17/17"</f>
        <v>17/17</v>
      </c>
      <c r="K7575" s="1" t="str">
        <f>"2026-07-29 13:18:10"</f>
        <v>2026-07-29 13:18:10</v>
      </c>
      <c r="L7575" s="1" t="str">
        <f>"2020-06-18 10:44:41"</f>
        <v>2020-06-18 10:44:41</v>
      </c>
      <c r="M7575" s="1" t="s">
        <v>45</v>
      </c>
      <c r="N7575" s="1" t="s">
        <v>38</v>
      </c>
      <c r="O7575" s="1" t="s">
        <v>46</v>
      </c>
    </row>
    <row r="7576" spans="2:15" x14ac:dyDescent="0.3">
      <c r="B7576" s="1" t="s">
        <v>21</v>
      </c>
      <c r="C7576" s="1" t="str">
        <f>"3차"</f>
        <v>3차</v>
      </c>
      <c r="D7576" s="1" t="str">
        <f>"9626B32439"</f>
        <v>9626B32439</v>
      </c>
      <c r="E7576" s="1" t="s">
        <v>14</v>
      </c>
      <c r="F7576" s="1" t="str">
        <f>"10.12.130.251"</f>
        <v>10.12.130.251</v>
      </c>
      <c r="G7576" s="1" t="str">
        <f>"9626B324"</f>
        <v>9626B324</v>
      </c>
      <c r="H7576" s="1" t="str">
        <f>"와산간 13R7R21"</f>
        <v>와산간 13R7R21</v>
      </c>
      <c r="I7576" s="1" t="s">
        <v>8</v>
      </c>
      <c r="J7576" s="1" t="str">
        <f>"0/0"</f>
        <v>0/0</v>
      </c>
      <c r="K7576" s="1" t="str">
        <f>"2026-07-28 13:18:10"</f>
        <v>2026-07-28 13:18:10</v>
      </c>
      <c r="L7576" s="1" t="str">
        <f>"2023-07-21 17:59:52"</f>
        <v>2023-07-21 17:59:52</v>
      </c>
      <c r="M7576" s="1" t="s">
        <v>0</v>
      </c>
      <c r="N7576" s="1" t="s">
        <v>39</v>
      </c>
      <c r="O7576" s="1" t="s">
        <v>46</v>
      </c>
    </row>
    <row r="7577" spans="2:15" x14ac:dyDescent="0.3">
      <c r="B7577" s="1" t="s">
        <v>21</v>
      </c>
      <c r="C7577" s="1" t="str">
        <f>"4차"</f>
        <v>4차</v>
      </c>
      <c r="D7577" s="1" t="str">
        <f>"9626B33144"</f>
        <v>9626B33144</v>
      </c>
      <c r="E7577" s="1" t="s">
        <v>10</v>
      </c>
      <c r="F7577" s="1" t="str">
        <f>"10.128.115.107"</f>
        <v>10.128.115.107</v>
      </c>
      <c r="G7577" s="1" t="str">
        <f>"9626B331"</f>
        <v>9626B331</v>
      </c>
      <c r="H7577" s="1" t="str">
        <f>"와산간 13R7R14L7"</f>
        <v>와산간 13R7R14L7</v>
      </c>
      <c r="I7577" s="1" t="s">
        <v>8</v>
      </c>
      <c r="J7577" s="1" t="str">
        <f>"19/19"</f>
        <v>19/19</v>
      </c>
      <c r="K7577" s="1" t="str">
        <f>"2026-07-29 13:18:10"</f>
        <v>2026-07-29 13:18:10</v>
      </c>
      <c r="L7577" s="1" t="str">
        <f>"2020-06-22 10:47:11"</f>
        <v>2020-06-22 10:47:11</v>
      </c>
      <c r="M7577" s="1" t="s">
        <v>45</v>
      </c>
      <c r="N7577" s="1" t="s">
        <v>38</v>
      </c>
      <c r="O7577" s="1" t="s">
        <v>46</v>
      </c>
    </row>
    <row r="7578" spans="2:15" x14ac:dyDescent="0.3">
      <c r="B7578" s="1" t="s">
        <v>21</v>
      </c>
      <c r="C7578" s="1" t="str">
        <f>"6차"</f>
        <v>6차</v>
      </c>
      <c r="D7578" s="1" t="str">
        <f>"9626B3516S"</f>
        <v>9626B3516S</v>
      </c>
      <c r="E7578" s="1" t="s">
        <v>10</v>
      </c>
      <c r="F7578" s="1" t="str">
        <f>"fde1:103:4:93a8:0:0:0:2"</f>
        <v>fde1:103:4:93a8:0:0:0:2</v>
      </c>
      <c r="G7578" s="1" t="str">
        <f>"9626B351"</f>
        <v>9626B351</v>
      </c>
      <c r="H7578" s="1" t="str">
        <f>"와산간 13R7R8L2"</f>
        <v>와산간 13R7R8L2</v>
      </c>
      <c r="I7578" s="1" t="s">
        <v>15</v>
      </c>
      <c r="J7578" s="1" t="str">
        <f>"12/12"</f>
        <v>12/12</v>
      </c>
      <c r="K7578" s="1" t="str">
        <f>"2026-07-29 14:20:34"</f>
        <v>2026-07-29 14:20:34</v>
      </c>
      <c r="L7578" s="1" t="str">
        <f>"2025-01-21 10:44:06"</f>
        <v>2025-01-21 10:44:06</v>
      </c>
      <c r="M7578" s="1" t="s">
        <v>4</v>
      </c>
      <c r="N7578" s="1" t="s">
        <v>38</v>
      </c>
      <c r="O7578" s="1" t="s">
        <v>46</v>
      </c>
    </row>
    <row r="7579" spans="2:15" x14ac:dyDescent="0.3">
      <c r="B7579" s="1" t="s">
        <v>21</v>
      </c>
      <c r="C7579" s="1" t="str">
        <f>"4차"</f>
        <v>4차</v>
      </c>
      <c r="D7579" s="1" t="str">
        <f>"9626B37144"</f>
        <v>9626B37144</v>
      </c>
      <c r="E7579" s="1" t="s">
        <v>10</v>
      </c>
      <c r="F7579" s="1" t="str">
        <f>"10.12.130.211"</f>
        <v>10.12.130.211</v>
      </c>
      <c r="G7579" s="1" t="str">
        <f>"9626B371"</f>
        <v>9626B371</v>
      </c>
      <c r="H7579" s="1" t="str">
        <f>"와산간 13R7R5"</f>
        <v>와산간 13R7R5</v>
      </c>
      <c r="I7579" s="1" t="s">
        <v>8</v>
      </c>
      <c r="J7579" s="1" t="str">
        <f>"38/38"</f>
        <v>38/38</v>
      </c>
      <c r="K7579" s="1" t="str">
        <f>"2026-07-29 13:18:12"</f>
        <v>2026-07-29 13:18:12</v>
      </c>
      <c r="L7579" s="1" t="str">
        <f>"2020-06-23 15:44:32"</f>
        <v>2020-06-23 15:44:32</v>
      </c>
      <c r="M7579" s="1" t="s">
        <v>0</v>
      </c>
      <c r="N7579" s="1" t="s">
        <v>38</v>
      </c>
      <c r="O7579" s="1" t="s">
        <v>46</v>
      </c>
    </row>
    <row r="7580" spans="2:15" x14ac:dyDescent="0.3">
      <c r="B7580" s="1" t="s">
        <v>21</v>
      </c>
      <c r="C7580" s="1" t="str">
        <f>"4차"</f>
        <v>4차</v>
      </c>
      <c r="D7580" s="1" t="str">
        <f>"9626B37244"</f>
        <v>9626B37244</v>
      </c>
      <c r="E7580" s="1" t="s">
        <v>10</v>
      </c>
      <c r="F7580" s="1" t="str">
        <f>"10.12.130.212"</f>
        <v>10.12.130.212</v>
      </c>
      <c r="G7580" s="1" t="str">
        <f>"9626B372"</f>
        <v>9626B372</v>
      </c>
      <c r="H7580" s="1" t="str">
        <f>"와산간 13R7R5R1"</f>
        <v>와산간 13R7R5R1</v>
      </c>
      <c r="I7580" s="1" t="s">
        <v>8</v>
      </c>
      <c r="J7580" s="1" t="str">
        <f>"23/23"</f>
        <v>23/23</v>
      </c>
      <c r="K7580" s="1" t="str">
        <f>"2026-07-29 13:18:12"</f>
        <v>2026-07-29 13:18:12</v>
      </c>
      <c r="L7580" s="1" t="str">
        <f>"2020-06-23 15:45:24"</f>
        <v>2020-06-23 15:45:24</v>
      </c>
      <c r="M7580" s="1" t="s">
        <v>0</v>
      </c>
      <c r="N7580" s="1" t="s">
        <v>38</v>
      </c>
      <c r="O7580" s="1" t="s">
        <v>46</v>
      </c>
    </row>
    <row r="7581" spans="2:15" x14ac:dyDescent="0.3">
      <c r="B7581" s="1" t="s">
        <v>21</v>
      </c>
      <c r="C7581" s="1" t="str">
        <f>"4차"</f>
        <v>4차</v>
      </c>
      <c r="D7581" s="1" t="str">
        <f>"9626B38144"</f>
        <v>9626B38144</v>
      </c>
      <c r="E7581" s="1" t="s">
        <v>10</v>
      </c>
      <c r="F7581" s="1" t="str">
        <f>"10.128.73.74"</f>
        <v>10.128.73.74</v>
      </c>
      <c r="G7581" s="1" t="str">
        <f>"9626B381"</f>
        <v>9626B381</v>
      </c>
      <c r="H7581" s="1" t="str">
        <f>"와산간 9R4"</f>
        <v>와산간 9R4</v>
      </c>
      <c r="I7581" s="1" t="s">
        <v>8</v>
      </c>
      <c r="J7581" s="1" t="str">
        <f>"23/23"</f>
        <v>23/23</v>
      </c>
      <c r="K7581" s="1" t="str">
        <f>"2026-07-29 13:18:10"</f>
        <v>2026-07-29 13:18:10</v>
      </c>
      <c r="L7581" s="1" t="str">
        <f>"2020-06-16 10:49:34"</f>
        <v>2020-06-16 10:49:34</v>
      </c>
      <c r="M7581" s="1" t="s">
        <v>45</v>
      </c>
      <c r="N7581" s="1" t="s">
        <v>38</v>
      </c>
      <c r="O7581" s="1" t="s">
        <v>46</v>
      </c>
    </row>
    <row r="7582" spans="2:15" x14ac:dyDescent="0.3">
      <c r="B7582" s="1" t="s">
        <v>21</v>
      </c>
      <c r="C7582" s="1" t="str">
        <f>"3차"</f>
        <v>3차</v>
      </c>
      <c r="D7582" s="1" t="str">
        <f>"9626B39139"</f>
        <v>9626B39139</v>
      </c>
      <c r="E7582" s="1" t="s">
        <v>10</v>
      </c>
      <c r="F7582" s="1" t="str">
        <f>"10.128.73.75"</f>
        <v>10.128.73.75</v>
      </c>
      <c r="G7582" s="1" t="str">
        <f>"9626B391"</f>
        <v>9626B391</v>
      </c>
      <c r="H7582" s="1" t="str">
        <f>"와산간 13R7R2R2"</f>
        <v>와산간 13R7R2R2</v>
      </c>
      <c r="I7582" s="1" t="s">
        <v>8</v>
      </c>
      <c r="J7582" s="1" t="str">
        <f>"49/54"</f>
        <v>49/54</v>
      </c>
      <c r="K7582" s="1" t="str">
        <f>"2026-07-29 13:18:10"</f>
        <v>2026-07-29 13:18:10</v>
      </c>
      <c r="L7582" s="1" t="str">
        <f>"2020-06-15 19:33:15"</f>
        <v>2020-06-15 19:33:15</v>
      </c>
      <c r="M7582" s="1" t="s">
        <v>45</v>
      </c>
      <c r="N7582" s="1" t="s">
        <v>38</v>
      </c>
      <c r="O7582" s="1" t="s">
        <v>46</v>
      </c>
    </row>
    <row r="7583" spans="2:15" x14ac:dyDescent="0.3">
      <c r="B7583" s="1" t="s">
        <v>21</v>
      </c>
      <c r="C7583" s="1" t="str">
        <f t="shared" ref="C7583:C7596" si="369">"4차"</f>
        <v>4차</v>
      </c>
      <c r="D7583" s="1" t="str">
        <f>"9626B43144"</f>
        <v>9626B43144</v>
      </c>
      <c r="E7583" s="1" t="s">
        <v>10</v>
      </c>
      <c r="F7583" s="1" t="str">
        <f>"10.12.130.204"</f>
        <v>10.12.130.204</v>
      </c>
      <c r="G7583" s="1" t="str">
        <f>"9626B431"</f>
        <v>9626B431</v>
      </c>
      <c r="H7583" s="1" t="str">
        <f>"와산간 13R7R20L2"</f>
        <v>와산간 13R7R20L2</v>
      </c>
      <c r="I7583" s="1" t="s">
        <v>8</v>
      </c>
      <c r="J7583" s="1" t="str">
        <f>"20/21"</f>
        <v>20/21</v>
      </c>
      <c r="K7583" s="1" t="str">
        <f>"2026-07-29 13:18:12"</f>
        <v>2026-07-29 13:18:12</v>
      </c>
      <c r="L7583" s="1" t="str">
        <f>"2020-06-18 11:04:22"</f>
        <v>2020-06-18 11:04:22</v>
      </c>
      <c r="M7583" s="1" t="s">
        <v>0</v>
      </c>
      <c r="N7583" s="1" t="s">
        <v>38</v>
      </c>
      <c r="O7583" s="1" t="s">
        <v>46</v>
      </c>
    </row>
    <row r="7584" spans="2:15" x14ac:dyDescent="0.3">
      <c r="B7584" s="1" t="s">
        <v>21</v>
      </c>
      <c r="C7584" s="1" t="str">
        <f t="shared" si="369"/>
        <v>4차</v>
      </c>
      <c r="D7584" s="1" t="str">
        <f>"9626B44244"</f>
        <v>9626B44244</v>
      </c>
      <c r="E7584" s="1" t="s">
        <v>10</v>
      </c>
      <c r="F7584" s="1" t="str">
        <f>"10.11.101.130"</f>
        <v>10.11.101.130</v>
      </c>
      <c r="G7584" s="1" t="str">
        <f>"9626B442"</f>
        <v>9626B442</v>
      </c>
      <c r="H7584" s="1" t="str">
        <f>"와산간 13R7R8L4R1"</f>
        <v>와산간 13R7R8L4R1</v>
      </c>
      <c r="I7584" s="1" t="s">
        <v>8</v>
      </c>
      <c r="J7584" s="1" t="str">
        <f>"12/12"</f>
        <v>12/12</v>
      </c>
      <c r="K7584" s="1" t="str">
        <f>"2026-07-29 13:18:10"</f>
        <v>2026-07-29 13:18:10</v>
      </c>
      <c r="L7584" s="1" t="str">
        <f>"2020-06-18 10:21:52"</f>
        <v>2020-06-18 10:21:52</v>
      </c>
      <c r="M7584" s="1" t="s">
        <v>2</v>
      </c>
      <c r="N7584" s="1" t="s">
        <v>38</v>
      </c>
      <c r="O7584" s="1" t="s">
        <v>46</v>
      </c>
    </row>
    <row r="7585" spans="2:15" x14ac:dyDescent="0.3">
      <c r="B7585" s="1" t="s">
        <v>21</v>
      </c>
      <c r="C7585" s="1" t="str">
        <f t="shared" si="369"/>
        <v>4차</v>
      </c>
      <c r="D7585" s="1" t="str">
        <f>"9626B45144"</f>
        <v>9626B45144</v>
      </c>
      <c r="E7585" s="1" t="s">
        <v>10</v>
      </c>
      <c r="F7585" s="1" t="str">
        <f>"10.11.101.138"</f>
        <v>10.11.101.138</v>
      </c>
      <c r="G7585" s="1" t="str">
        <f>"9626B451"</f>
        <v>9626B451</v>
      </c>
      <c r="H7585" s="1" t="str">
        <f>"와산간 13R7R8L5"</f>
        <v>와산간 13R7R8L5</v>
      </c>
      <c r="I7585" s="1" t="s">
        <v>8</v>
      </c>
      <c r="J7585" s="1" t="str">
        <f>"27/28"</f>
        <v>27/28</v>
      </c>
      <c r="K7585" s="1" t="str">
        <f>"2026-07-29 13:18:10"</f>
        <v>2026-07-29 13:18:10</v>
      </c>
      <c r="L7585" s="1" t="str">
        <f>"2020-06-18 10:09:12"</f>
        <v>2020-06-18 10:09:12</v>
      </c>
      <c r="M7585" s="1" t="s">
        <v>2</v>
      </c>
      <c r="N7585" s="1" t="s">
        <v>38</v>
      </c>
      <c r="O7585" s="1" t="s">
        <v>46</v>
      </c>
    </row>
    <row r="7586" spans="2:15" x14ac:dyDescent="0.3">
      <c r="B7586" s="1" t="s">
        <v>21</v>
      </c>
      <c r="C7586" s="1" t="str">
        <f t="shared" si="369"/>
        <v>4차</v>
      </c>
      <c r="D7586" s="1" t="str">
        <f>"9626B58144"</f>
        <v>9626B58144</v>
      </c>
      <c r="E7586" s="1" t="s">
        <v>10</v>
      </c>
      <c r="F7586" s="1" t="str">
        <f>"10.12.130.202"</f>
        <v>10.12.130.202</v>
      </c>
      <c r="G7586" s="1" t="str">
        <f>"9626B581"</f>
        <v>9626B581</v>
      </c>
      <c r="H7586" s="1" t="str">
        <f>"와산간 13R7R2"</f>
        <v>와산간 13R7R2</v>
      </c>
      <c r="I7586" s="1" t="s">
        <v>8</v>
      </c>
      <c r="J7586" s="1" t="str">
        <f>"21/21"</f>
        <v>21/21</v>
      </c>
      <c r="K7586" s="1" t="str">
        <f>"2026-07-29 13:18:12"</f>
        <v>2026-07-29 13:18:12</v>
      </c>
      <c r="L7586" s="1" t="str">
        <f>"2020-06-17 14:46:01"</f>
        <v>2020-06-17 14:46:01</v>
      </c>
      <c r="M7586" s="1" t="s">
        <v>0</v>
      </c>
      <c r="N7586" s="1" t="s">
        <v>38</v>
      </c>
      <c r="O7586" s="1" t="s">
        <v>46</v>
      </c>
    </row>
    <row r="7587" spans="2:15" x14ac:dyDescent="0.3">
      <c r="B7587" s="1" t="s">
        <v>21</v>
      </c>
      <c r="C7587" s="1" t="str">
        <f t="shared" si="369"/>
        <v>4차</v>
      </c>
      <c r="D7587" s="1" t="str">
        <f>"9626B59244"</f>
        <v>9626B59244</v>
      </c>
      <c r="E7587" s="1" t="s">
        <v>10</v>
      </c>
      <c r="F7587" s="1" t="str">
        <f>"10.12.131.12"</f>
        <v>10.12.131.12</v>
      </c>
      <c r="G7587" s="1" t="str">
        <f>"9626B592"</f>
        <v>9626B592</v>
      </c>
      <c r="H7587" s="1" t="str">
        <f>"와산간 13R6"</f>
        <v>와산간 13R6</v>
      </c>
      <c r="I7587" s="1" t="s">
        <v>8</v>
      </c>
      <c r="J7587" s="1" t="str">
        <f>"24/24"</f>
        <v>24/24</v>
      </c>
      <c r="K7587" s="1" t="str">
        <f>"2026-07-29 13:18:12"</f>
        <v>2026-07-29 13:18:12</v>
      </c>
      <c r="L7587" s="1" t="str">
        <f>"2020-06-23 11:04:54"</f>
        <v>2020-06-23 11:04:54</v>
      </c>
      <c r="M7587" s="1" t="s">
        <v>0</v>
      </c>
      <c r="N7587" s="1" t="s">
        <v>38</v>
      </c>
      <c r="O7587" s="1" t="s">
        <v>46</v>
      </c>
    </row>
    <row r="7588" spans="2:15" x14ac:dyDescent="0.3">
      <c r="B7588" s="1" t="s">
        <v>21</v>
      </c>
      <c r="C7588" s="1" t="str">
        <f t="shared" si="369"/>
        <v>4차</v>
      </c>
      <c r="D7588" s="1" t="str">
        <f>"9626B63144"</f>
        <v>9626B63144</v>
      </c>
      <c r="E7588" s="1" t="s">
        <v>10</v>
      </c>
      <c r="F7588" s="1" t="str">
        <f>"10.12.131.88"</f>
        <v>10.12.131.88</v>
      </c>
      <c r="G7588" s="1" t="str">
        <f>"9626B631"</f>
        <v>9626B631</v>
      </c>
      <c r="H7588" s="1" t="str">
        <f>"가좌간 33L7"</f>
        <v>가좌간 33L7</v>
      </c>
      <c r="I7588" s="1" t="s">
        <v>8</v>
      </c>
      <c r="J7588" s="1" t="str">
        <f>"1/1"</f>
        <v>1/1</v>
      </c>
      <c r="K7588" s="1" t="str">
        <f>"2026-07-29 13:18:11"</f>
        <v>2026-07-29 13:18:11</v>
      </c>
      <c r="L7588" s="1" t="str">
        <f>"2020-07-02 10:22:14"</f>
        <v>2020-07-02 10:22:14</v>
      </c>
      <c r="M7588" s="1" t="s">
        <v>0</v>
      </c>
      <c r="N7588" s="1" t="s">
        <v>38</v>
      </c>
      <c r="O7588" s="1" t="s">
        <v>46</v>
      </c>
    </row>
    <row r="7589" spans="2:15" x14ac:dyDescent="0.3">
      <c r="B7589" s="1" t="s">
        <v>21</v>
      </c>
      <c r="C7589" s="1" t="str">
        <f t="shared" si="369"/>
        <v>4차</v>
      </c>
      <c r="D7589" s="1" t="str">
        <f>"9626B64344"</f>
        <v>9626B64344</v>
      </c>
      <c r="E7589" s="1" t="s">
        <v>14</v>
      </c>
      <c r="F7589" s="1" t="str">
        <f>"10.12.131.82"</f>
        <v>10.12.131.82</v>
      </c>
      <c r="G7589" s="1" t="str">
        <f>"9626B643"</f>
        <v>9626B643</v>
      </c>
      <c r="H7589" s="1" t="str">
        <f>"가좌간 33L8"</f>
        <v>가좌간 33L8</v>
      </c>
      <c r="I7589" s="1" t="s">
        <v>8</v>
      </c>
      <c r="J7589" s="1" t="str">
        <f>"0/0"</f>
        <v>0/0</v>
      </c>
      <c r="K7589" s="1" t="str">
        <f>"2026-06-10 07:18:11"</f>
        <v>2026-06-10 07:18:11</v>
      </c>
      <c r="L7589" s="1" t="str">
        <f>"2020-07-02 10:34:19"</f>
        <v>2020-07-02 10:34:19</v>
      </c>
      <c r="M7589" s="1" t="s">
        <v>0</v>
      </c>
      <c r="N7589" s="1" t="s">
        <v>39</v>
      </c>
      <c r="O7589" s="1" t="s">
        <v>46</v>
      </c>
    </row>
    <row r="7590" spans="2:15" x14ac:dyDescent="0.3">
      <c r="B7590" s="1" t="s">
        <v>21</v>
      </c>
      <c r="C7590" s="1" t="str">
        <f t="shared" si="369"/>
        <v>4차</v>
      </c>
      <c r="D7590" s="1" t="str">
        <f>"9626B65244"</f>
        <v>9626B65244</v>
      </c>
      <c r="E7590" s="1" t="s">
        <v>10</v>
      </c>
      <c r="F7590" s="1" t="str">
        <f>"10.12.131.75"</f>
        <v>10.12.131.75</v>
      </c>
      <c r="G7590" s="1" t="str">
        <f>"9626B652"</f>
        <v>9626B652</v>
      </c>
      <c r="H7590" s="1" t="str">
        <f>"가좌간 33L12L1"</f>
        <v>가좌간 33L12L1</v>
      </c>
      <c r="I7590" s="1" t="s">
        <v>8</v>
      </c>
      <c r="J7590" s="1" t="str">
        <f>"20/20"</f>
        <v>20/20</v>
      </c>
      <c r="K7590" s="1" t="str">
        <f>"2026-07-29 13:18:11"</f>
        <v>2026-07-29 13:18:11</v>
      </c>
      <c r="L7590" s="1" t="str">
        <f>"2020-07-02 10:48:37"</f>
        <v>2020-07-02 10:48:37</v>
      </c>
      <c r="M7590" s="1" t="s">
        <v>0</v>
      </c>
      <c r="N7590" s="1" t="s">
        <v>38</v>
      </c>
      <c r="O7590" s="1" t="s">
        <v>46</v>
      </c>
    </row>
    <row r="7591" spans="2:15" x14ac:dyDescent="0.3">
      <c r="B7591" s="1" t="s">
        <v>21</v>
      </c>
      <c r="C7591" s="1" t="str">
        <f t="shared" si="369"/>
        <v>4차</v>
      </c>
      <c r="D7591" s="1" t="str">
        <f>"9626B69139"</f>
        <v>9626B69139</v>
      </c>
      <c r="E7591" s="1" t="s">
        <v>10</v>
      </c>
      <c r="F7591" s="1" t="str">
        <f>"10.128.33.146"</f>
        <v>10.128.33.146</v>
      </c>
      <c r="G7591" s="1" t="str">
        <f>"9626B691"</f>
        <v>9626B691</v>
      </c>
      <c r="H7591" s="1" t="str">
        <f>"와산간 13R7"</f>
        <v>와산간 13R7</v>
      </c>
      <c r="I7591" s="1" t="s">
        <v>8</v>
      </c>
      <c r="J7591" s="1" t="str">
        <f>"26/27"</f>
        <v>26/27</v>
      </c>
      <c r="K7591" s="1" t="str">
        <f>"2026-07-29 13:18:11"</f>
        <v>2026-07-29 13:18:11</v>
      </c>
      <c r="L7591" s="1" t="str">
        <f>"2023-10-16 14:31:54"</f>
        <v>2023-10-16 14:31:54</v>
      </c>
      <c r="M7591" s="1" t="s">
        <v>45</v>
      </c>
      <c r="N7591" s="1" t="s">
        <v>38</v>
      </c>
      <c r="O7591" s="1" t="s">
        <v>46</v>
      </c>
    </row>
    <row r="7592" spans="2:15" x14ac:dyDescent="0.3">
      <c r="B7592" s="1" t="s">
        <v>21</v>
      </c>
      <c r="C7592" s="1" t="str">
        <f t="shared" si="369"/>
        <v>4차</v>
      </c>
      <c r="D7592" s="1" t="str">
        <f>"9626B75344"</f>
        <v>9626B75344</v>
      </c>
      <c r="E7592" s="1" t="s">
        <v>10</v>
      </c>
      <c r="F7592" s="1" t="str">
        <f>"10.128.113.42"</f>
        <v>10.128.113.42</v>
      </c>
      <c r="G7592" s="1" t="str">
        <f>"9626B753"</f>
        <v>9626B753</v>
      </c>
      <c r="H7592" s="1" t="str">
        <f>"가좌간 80L2"</f>
        <v>가좌간 80L2</v>
      </c>
      <c r="I7592" s="1" t="s">
        <v>8</v>
      </c>
      <c r="J7592" s="1" t="str">
        <f>"21/21"</f>
        <v>21/21</v>
      </c>
      <c r="K7592" s="1" t="str">
        <f>"2026-07-29 13:18:10"</f>
        <v>2026-07-29 13:18:10</v>
      </c>
      <c r="L7592" s="1" t="str">
        <f>"2023-11-06 09:25:47"</f>
        <v>2023-11-06 09:25:47</v>
      </c>
      <c r="M7592" s="1" t="s">
        <v>45</v>
      </c>
      <c r="N7592" s="1" t="s">
        <v>38</v>
      </c>
      <c r="O7592" s="1" t="s">
        <v>46</v>
      </c>
    </row>
    <row r="7593" spans="2:15" x14ac:dyDescent="0.3">
      <c r="B7593" s="1" t="s">
        <v>21</v>
      </c>
      <c r="C7593" s="1" t="str">
        <f t="shared" si="369"/>
        <v>4차</v>
      </c>
      <c r="D7593" s="1" t="str">
        <f>"9626B76244"</f>
        <v>9626B76244</v>
      </c>
      <c r="E7593" s="1" t="s">
        <v>10</v>
      </c>
      <c r="F7593" s="1" t="str">
        <f>"10.12.131.78"</f>
        <v>10.12.131.78</v>
      </c>
      <c r="G7593" s="1" t="str">
        <f>"9626B762"</f>
        <v>9626B762</v>
      </c>
      <c r="H7593" s="1" t="str">
        <f>"가좌간 33L12L2"</f>
        <v>가좌간 33L12L2</v>
      </c>
      <c r="I7593" s="1" t="s">
        <v>8</v>
      </c>
      <c r="J7593" s="1" t="str">
        <f>"33/33"</f>
        <v>33/33</v>
      </c>
      <c r="K7593" s="1" t="str">
        <f>"2026-07-29 13:18:04"</f>
        <v>2026-07-29 13:18:04</v>
      </c>
      <c r="L7593" s="1" t="str">
        <f>"2020-07-02 10:07:25"</f>
        <v>2020-07-02 10:07:25</v>
      </c>
      <c r="M7593" s="1" t="s">
        <v>0</v>
      </c>
      <c r="N7593" s="1" t="s">
        <v>38</v>
      </c>
      <c r="O7593" s="1" t="s">
        <v>46</v>
      </c>
    </row>
    <row r="7594" spans="2:15" x14ac:dyDescent="0.3">
      <c r="B7594" s="1" t="s">
        <v>21</v>
      </c>
      <c r="C7594" s="1" t="str">
        <f t="shared" si="369"/>
        <v>4차</v>
      </c>
      <c r="D7594" s="1" t="str">
        <f>"9626B86144"</f>
        <v>9626B86144</v>
      </c>
      <c r="E7594" s="1" t="s">
        <v>10</v>
      </c>
      <c r="F7594" s="1" t="str">
        <f>"10.12.131.83"</f>
        <v>10.12.131.83</v>
      </c>
      <c r="G7594" s="1" t="str">
        <f>"9626B861"</f>
        <v>9626B861</v>
      </c>
      <c r="H7594" s="1" t="str">
        <f>"가좌간 33L13"</f>
        <v>가좌간 33L13</v>
      </c>
      <c r="I7594" s="1" t="s">
        <v>8</v>
      </c>
      <c r="J7594" s="1" t="str">
        <f>"18/18"</f>
        <v>18/18</v>
      </c>
      <c r="K7594" s="1" t="str">
        <f>"2026-07-29 13:18:11"</f>
        <v>2026-07-29 13:18:11</v>
      </c>
      <c r="L7594" s="1" t="str">
        <f>"2020-07-02 10:13:19"</f>
        <v>2020-07-02 10:13:19</v>
      </c>
      <c r="M7594" s="1" t="s">
        <v>0</v>
      </c>
      <c r="N7594" s="1" t="s">
        <v>38</v>
      </c>
      <c r="O7594" s="1" t="s">
        <v>46</v>
      </c>
    </row>
    <row r="7595" spans="2:15" x14ac:dyDescent="0.3">
      <c r="B7595" s="1" t="s">
        <v>21</v>
      </c>
      <c r="C7595" s="1" t="str">
        <f t="shared" si="369"/>
        <v>4차</v>
      </c>
      <c r="D7595" s="1" t="str">
        <f>"9626B87344"</f>
        <v>9626B87344</v>
      </c>
      <c r="E7595" s="1" t="s">
        <v>10</v>
      </c>
      <c r="F7595" s="1" t="str">
        <f>"10.128.73.58"</f>
        <v>10.128.73.58</v>
      </c>
      <c r="G7595" s="1" t="str">
        <f>"9626B873"</f>
        <v>9626B873</v>
      </c>
      <c r="H7595" s="1" t="str">
        <f>"와산간 13R10"</f>
        <v>와산간 13R10</v>
      </c>
      <c r="I7595" s="1" t="s">
        <v>8</v>
      </c>
      <c r="J7595" s="1" t="str">
        <f>"19/19"</f>
        <v>19/19</v>
      </c>
      <c r="K7595" s="1" t="str">
        <f>"2026-07-29 13:18:10"</f>
        <v>2026-07-29 13:18:10</v>
      </c>
      <c r="L7595" s="1" t="str">
        <f>"2020-06-23 13:25:39"</f>
        <v>2020-06-23 13:25:39</v>
      </c>
      <c r="M7595" s="1" t="s">
        <v>45</v>
      </c>
      <c r="N7595" s="1" t="s">
        <v>38</v>
      </c>
      <c r="O7595" s="1" t="s">
        <v>46</v>
      </c>
    </row>
    <row r="7596" spans="2:15" x14ac:dyDescent="0.3">
      <c r="B7596" s="1" t="s">
        <v>21</v>
      </c>
      <c r="C7596" s="1" t="str">
        <f t="shared" si="369"/>
        <v>4차</v>
      </c>
      <c r="D7596" s="1" t="str">
        <f>"9626B98339"</f>
        <v>9626B98339</v>
      </c>
      <c r="E7596" s="1" t="s">
        <v>10</v>
      </c>
      <c r="F7596" s="1" t="str">
        <f>"10.12.133.66"</f>
        <v>10.12.133.66</v>
      </c>
      <c r="G7596" s="1" t="str">
        <f>"9626B983"</f>
        <v>9626B983</v>
      </c>
      <c r="H7596" s="1" t="str">
        <f>"응암로 L1"</f>
        <v>응암로 L1</v>
      </c>
      <c r="I7596" s="1" t="s">
        <v>17</v>
      </c>
      <c r="J7596" s="1" t="str">
        <f>"9/10"</f>
        <v>9/10</v>
      </c>
      <c r="K7596" s="1" t="str">
        <f>"2026-07-29 13:18:11"</f>
        <v>2026-07-29 13:18:11</v>
      </c>
      <c r="L7596" s="1" t="str">
        <f>"2018-06-22 09:12:24"</f>
        <v>2018-06-22 09:12:24</v>
      </c>
      <c r="M7596" s="1" t="s">
        <v>0</v>
      </c>
      <c r="N7596" s="1" t="s">
        <v>38</v>
      </c>
      <c r="O7596" s="1" t="s">
        <v>46</v>
      </c>
    </row>
    <row r="7597" spans="2:15" x14ac:dyDescent="0.3">
      <c r="B7597" s="1" t="s">
        <v>21</v>
      </c>
      <c r="C7597" s="1" t="str">
        <f>"3차"</f>
        <v>3차</v>
      </c>
      <c r="D7597" s="1" t="str">
        <f>"9626B99239"</f>
        <v>9626B99239</v>
      </c>
      <c r="E7597" s="1" t="s">
        <v>10</v>
      </c>
      <c r="F7597" s="1" t="str">
        <f>"10.12.135.119"</f>
        <v>10.12.135.119</v>
      </c>
      <c r="G7597" s="1" t="str">
        <f>"9626B992"</f>
        <v>9626B992</v>
      </c>
      <c r="H7597" s="1" t="str">
        <f>"와산간 13R12R2"</f>
        <v>와산간 13R12R2</v>
      </c>
      <c r="I7597" s="1" t="s">
        <v>8</v>
      </c>
      <c r="J7597" s="1" t="str">
        <f>"24/24"</f>
        <v>24/24</v>
      </c>
      <c r="K7597" s="1" t="str">
        <f>"2026-07-29 13:18:11"</f>
        <v>2026-07-29 13:18:11</v>
      </c>
      <c r="L7597" s="1" t="str">
        <f>"2024-02-29 16:49:28"</f>
        <v>2024-02-29 16:49:28</v>
      </c>
      <c r="M7597" s="1" t="s">
        <v>0</v>
      </c>
      <c r="N7597" s="1" t="s">
        <v>38</v>
      </c>
      <c r="O7597" s="1" t="s">
        <v>46</v>
      </c>
    </row>
    <row r="7598" spans="2:15" x14ac:dyDescent="0.3">
      <c r="B7598" s="1" t="s">
        <v>21</v>
      </c>
      <c r="C7598" s="1" t="str">
        <f t="shared" ref="C7598:C7606" si="370">"4차"</f>
        <v>4차</v>
      </c>
      <c r="D7598" s="1" t="str">
        <f>"9626E07244"</f>
        <v>9626E07244</v>
      </c>
      <c r="E7598" s="1" t="s">
        <v>10</v>
      </c>
      <c r="F7598" s="1" t="str">
        <f>"10.128.99.75"</f>
        <v>10.128.99.75</v>
      </c>
      <c r="G7598" s="1" t="str">
        <f>"9626E072"</f>
        <v>9626E072</v>
      </c>
      <c r="H7598" s="1" t="str">
        <f>"가좌간 83L2"</f>
        <v>가좌간 83L2</v>
      </c>
      <c r="I7598" s="1" t="s">
        <v>8</v>
      </c>
      <c r="J7598" s="1" t="str">
        <f>"15/15"</f>
        <v>15/15</v>
      </c>
      <c r="K7598" s="1" t="str">
        <f>"2026-07-29 13:18:10"</f>
        <v>2026-07-29 13:18:10</v>
      </c>
      <c r="L7598" s="1" t="str">
        <f>"2020-06-23 13:17:21"</f>
        <v>2020-06-23 13:17:21</v>
      </c>
      <c r="M7598" s="1" t="s">
        <v>45</v>
      </c>
      <c r="N7598" s="1" t="s">
        <v>38</v>
      </c>
      <c r="O7598" s="1" t="s">
        <v>46</v>
      </c>
    </row>
    <row r="7599" spans="2:15" x14ac:dyDescent="0.3">
      <c r="B7599" s="1" t="s">
        <v>21</v>
      </c>
      <c r="C7599" s="1" t="str">
        <f t="shared" si="370"/>
        <v>4차</v>
      </c>
      <c r="D7599" s="1" t="str">
        <f>"9626E14344"</f>
        <v>9626E14344</v>
      </c>
      <c r="E7599" s="1" t="s">
        <v>10</v>
      </c>
      <c r="F7599" s="1" t="str">
        <f>"10.128.99.66"</f>
        <v>10.128.99.66</v>
      </c>
      <c r="G7599" s="1" t="str">
        <f>"9626E143"</f>
        <v>9626E143</v>
      </c>
      <c r="H7599" s="1" t="str">
        <f>"가좌간 86"</f>
        <v>가좌간 86</v>
      </c>
      <c r="I7599" s="1" t="s">
        <v>8</v>
      </c>
      <c r="J7599" s="1" t="str">
        <f>"21/21"</f>
        <v>21/21</v>
      </c>
      <c r="K7599" s="1" t="str">
        <f>"2026-07-29 13:18:10"</f>
        <v>2026-07-29 13:18:10</v>
      </c>
      <c r="L7599" s="1" t="str">
        <f>"2020-06-23 17:47:38"</f>
        <v>2020-06-23 17:47:38</v>
      </c>
      <c r="M7599" s="1" t="s">
        <v>45</v>
      </c>
      <c r="N7599" s="1" t="s">
        <v>38</v>
      </c>
      <c r="O7599" s="1" t="s">
        <v>46</v>
      </c>
    </row>
    <row r="7600" spans="2:15" x14ac:dyDescent="0.3">
      <c r="B7600" s="1" t="s">
        <v>21</v>
      </c>
      <c r="C7600" s="1" t="str">
        <f t="shared" si="370"/>
        <v>4차</v>
      </c>
      <c r="D7600" s="1" t="str">
        <f>"9626E16544"</f>
        <v>9626E16544</v>
      </c>
      <c r="E7600" s="1" t="s">
        <v>10</v>
      </c>
      <c r="F7600" s="1" t="str">
        <f>"10.12.131.160"</f>
        <v>10.12.131.160</v>
      </c>
      <c r="G7600" s="1" t="str">
        <f>"9626E165"</f>
        <v>9626E165</v>
      </c>
      <c r="H7600" s="1" t="str">
        <f>"가좌간 83L4L1H1"</f>
        <v>가좌간 83L4L1H1</v>
      </c>
      <c r="I7600" s="1" t="s">
        <v>8</v>
      </c>
      <c r="J7600" s="1" t="str">
        <f>"16/16"</f>
        <v>16/16</v>
      </c>
      <c r="K7600" s="1" t="str">
        <f>"2026-07-29 13:18:12"</f>
        <v>2026-07-29 13:18:12</v>
      </c>
      <c r="L7600" s="1" t="str">
        <f>"2020-06-23 10:37:34"</f>
        <v>2020-06-23 10:37:34</v>
      </c>
      <c r="M7600" s="1" t="s">
        <v>0</v>
      </c>
      <c r="N7600" s="1" t="s">
        <v>38</v>
      </c>
      <c r="O7600" s="1" t="s">
        <v>46</v>
      </c>
    </row>
    <row r="7601" spans="2:15" x14ac:dyDescent="0.3">
      <c r="B7601" s="1" t="s">
        <v>21</v>
      </c>
      <c r="C7601" s="1" t="str">
        <f t="shared" si="370"/>
        <v>4차</v>
      </c>
      <c r="D7601" s="1" t="str">
        <f>"9626E18144"</f>
        <v>9626E18144</v>
      </c>
      <c r="E7601" s="1" t="s">
        <v>10</v>
      </c>
      <c r="F7601" s="1" t="str">
        <f>"10.12.131.164"</f>
        <v>10.12.131.164</v>
      </c>
      <c r="G7601" s="1" t="str">
        <f>"9626E181"</f>
        <v>9626E181</v>
      </c>
      <c r="H7601" s="1" t="str">
        <f>"가좌간 83L2L2"</f>
        <v>가좌간 83L2L2</v>
      </c>
      <c r="I7601" s="1" t="s">
        <v>8</v>
      </c>
      <c r="J7601" s="1" t="str">
        <f>"42/42"</f>
        <v>42/42</v>
      </c>
      <c r="K7601" s="1" t="str">
        <f>"2026-07-29 13:18:12"</f>
        <v>2026-07-29 13:18:12</v>
      </c>
      <c r="L7601" s="1" t="str">
        <f>"2020-06-29 17:57:12"</f>
        <v>2020-06-29 17:57:12</v>
      </c>
      <c r="M7601" s="1" t="s">
        <v>0</v>
      </c>
      <c r="N7601" s="1" t="s">
        <v>38</v>
      </c>
      <c r="O7601" s="1" t="s">
        <v>46</v>
      </c>
    </row>
    <row r="7602" spans="2:15" x14ac:dyDescent="0.3">
      <c r="B7602" s="1" t="s">
        <v>21</v>
      </c>
      <c r="C7602" s="1" t="str">
        <f t="shared" si="370"/>
        <v>4차</v>
      </c>
      <c r="D7602" s="1" t="str">
        <f>"9626E18244"</f>
        <v>9626E18244</v>
      </c>
      <c r="E7602" s="1" t="s">
        <v>10</v>
      </c>
      <c r="F7602" s="1" t="str">
        <f>"10.11.100.74"</f>
        <v>10.11.100.74</v>
      </c>
      <c r="G7602" s="1" t="str">
        <f>"9626E182"</f>
        <v>9626E182</v>
      </c>
      <c r="H7602" s="1" t="str">
        <f>"가좌간 83L2L3"</f>
        <v>가좌간 83L2L3</v>
      </c>
      <c r="I7602" s="1" t="s">
        <v>8</v>
      </c>
      <c r="J7602" s="1" t="str">
        <f>"63/63"</f>
        <v>63/63</v>
      </c>
      <c r="K7602" s="1" t="str">
        <f>"2026-07-29 13:18:10"</f>
        <v>2026-07-29 13:18:10</v>
      </c>
      <c r="L7602" s="1" t="str">
        <f>"2020-06-23 11:26:15"</f>
        <v>2020-06-23 11:26:15</v>
      </c>
      <c r="M7602" s="1" t="s">
        <v>2</v>
      </c>
      <c r="N7602" s="1" t="s">
        <v>38</v>
      </c>
      <c r="O7602" s="1" t="s">
        <v>46</v>
      </c>
    </row>
    <row r="7603" spans="2:15" x14ac:dyDescent="0.3">
      <c r="B7603" s="1" t="s">
        <v>21</v>
      </c>
      <c r="C7603" s="1" t="str">
        <f t="shared" si="370"/>
        <v>4차</v>
      </c>
      <c r="D7603" s="1" t="str">
        <f>"9626E19244"</f>
        <v>9626E19244</v>
      </c>
      <c r="E7603" s="1" t="s">
        <v>10</v>
      </c>
      <c r="F7603" s="1" t="str">
        <f>"10.12.131.76"</f>
        <v>10.12.131.76</v>
      </c>
      <c r="G7603" s="1" t="str">
        <f>"9626E192"</f>
        <v>9626E192</v>
      </c>
      <c r="H7603" s="1" t="str">
        <f>"가좌간 81L4R2"</f>
        <v>가좌간 81L4R2</v>
      </c>
      <c r="I7603" s="1" t="s">
        <v>8</v>
      </c>
      <c r="J7603" s="1" t="str">
        <f>"12/13"</f>
        <v>12/13</v>
      </c>
      <c r="K7603" s="1" t="str">
        <f>"2026-07-29 13:18:11"</f>
        <v>2026-07-29 13:18:11</v>
      </c>
      <c r="L7603" s="1" t="str">
        <f>"2020-06-23 13:16:32"</f>
        <v>2020-06-23 13:16:32</v>
      </c>
      <c r="M7603" s="1" t="s">
        <v>0</v>
      </c>
      <c r="N7603" s="1" t="s">
        <v>38</v>
      </c>
      <c r="O7603" s="1" t="s">
        <v>46</v>
      </c>
    </row>
    <row r="7604" spans="2:15" x14ac:dyDescent="0.3">
      <c r="B7604" s="1" t="s">
        <v>21</v>
      </c>
      <c r="C7604" s="1" t="str">
        <f t="shared" si="370"/>
        <v>4차</v>
      </c>
      <c r="D7604" s="1" t="str">
        <f>"9626E24544"</f>
        <v>9626E24544</v>
      </c>
      <c r="E7604" s="1" t="s">
        <v>10</v>
      </c>
      <c r="F7604" s="1" t="str">
        <f>"10.12.131.152"</f>
        <v>10.12.131.152</v>
      </c>
      <c r="G7604" s="1" t="str">
        <f>"9626E245"</f>
        <v>9626E245</v>
      </c>
      <c r="H7604" s="1" t="str">
        <f>"가좌간 88"</f>
        <v>가좌간 88</v>
      </c>
      <c r="I7604" s="1" t="s">
        <v>8</v>
      </c>
      <c r="J7604" s="1" t="str">
        <f>"11/11"</f>
        <v>11/11</v>
      </c>
      <c r="K7604" s="1" t="str">
        <f>"2026-07-29 13:18:12"</f>
        <v>2026-07-29 13:18:12</v>
      </c>
      <c r="L7604" s="1" t="str">
        <f>"2020-06-23 17:58:19"</f>
        <v>2020-06-23 17:58:19</v>
      </c>
      <c r="M7604" s="1" t="s">
        <v>0</v>
      </c>
      <c r="N7604" s="1" t="s">
        <v>38</v>
      </c>
      <c r="O7604" s="1" t="s">
        <v>46</v>
      </c>
    </row>
    <row r="7605" spans="2:15" x14ac:dyDescent="0.3">
      <c r="B7605" s="1" t="s">
        <v>21</v>
      </c>
      <c r="C7605" s="1" t="str">
        <f t="shared" si="370"/>
        <v>4차</v>
      </c>
      <c r="D7605" s="1" t="str">
        <f>"9626E25344"</f>
        <v>9626E25344</v>
      </c>
      <c r="E7605" s="1" t="s">
        <v>10</v>
      </c>
      <c r="F7605" s="1" t="str">
        <f>"10.12.131.166"</f>
        <v>10.12.131.166</v>
      </c>
      <c r="G7605" s="1" t="str">
        <f>"9626E253"</f>
        <v>9626E253</v>
      </c>
      <c r="H7605" s="1" t="str">
        <f>"가좌간 83L6"</f>
        <v>가좌간 83L6</v>
      </c>
      <c r="I7605" s="1" t="s">
        <v>8</v>
      </c>
      <c r="J7605" s="1" t="str">
        <f>"38/38"</f>
        <v>38/38</v>
      </c>
      <c r="K7605" s="1" t="str">
        <f>"2026-07-29 13:18:12"</f>
        <v>2026-07-29 13:18:12</v>
      </c>
      <c r="L7605" s="1" t="str">
        <f>"2020-06-23 13:28:00"</f>
        <v>2020-06-23 13:28:00</v>
      </c>
      <c r="M7605" s="1" t="s">
        <v>0</v>
      </c>
      <c r="N7605" s="1" t="s">
        <v>38</v>
      </c>
      <c r="O7605" s="1" t="s">
        <v>46</v>
      </c>
    </row>
    <row r="7606" spans="2:15" x14ac:dyDescent="0.3">
      <c r="B7606" s="1" t="s">
        <v>21</v>
      </c>
      <c r="C7606" s="1" t="str">
        <f t="shared" si="370"/>
        <v>4차</v>
      </c>
      <c r="D7606" s="1" t="str">
        <f>"9626E27144"</f>
        <v>9626E27144</v>
      </c>
      <c r="E7606" s="1" t="s">
        <v>10</v>
      </c>
      <c r="F7606" s="1" t="str">
        <f>"10.12.131.74"</f>
        <v>10.12.131.74</v>
      </c>
      <c r="G7606" s="1" t="str">
        <f>"9626E271"</f>
        <v>9626E271</v>
      </c>
      <c r="H7606" s="1" t="str">
        <f>"가좌간 83L4L2"</f>
        <v>가좌간 83L4L2</v>
      </c>
      <c r="I7606" s="1" t="s">
        <v>8</v>
      </c>
      <c r="J7606" s="1" t="str">
        <f>"16/16"</f>
        <v>16/16</v>
      </c>
      <c r="K7606" s="1" t="str">
        <f>"2026-07-29 13:18:01"</f>
        <v>2026-07-29 13:18:01</v>
      </c>
      <c r="L7606" s="1" t="str">
        <f>"2020-06-23 17:32:12"</f>
        <v>2020-06-23 17:32:12</v>
      </c>
      <c r="M7606" s="1" t="s">
        <v>0</v>
      </c>
      <c r="N7606" s="1" t="s">
        <v>38</v>
      </c>
      <c r="O7606" s="1" t="s">
        <v>46</v>
      </c>
    </row>
    <row r="7607" spans="2:15" x14ac:dyDescent="0.3">
      <c r="B7607" s="1" t="s">
        <v>21</v>
      </c>
      <c r="C7607" s="1" t="str">
        <f>"3차"</f>
        <v>3차</v>
      </c>
      <c r="D7607" s="1" t="str">
        <f>"9626E29239"</f>
        <v>9626E29239</v>
      </c>
      <c r="E7607" s="1" t="s">
        <v>10</v>
      </c>
      <c r="F7607" s="1" t="str">
        <f>"10.128.99.82"</f>
        <v>10.128.99.82</v>
      </c>
      <c r="G7607" s="1" t="str">
        <f>"9626E292"</f>
        <v>9626E292</v>
      </c>
      <c r="H7607" s="1" t="str">
        <f>"가좌간 81L4R3"</f>
        <v>가좌간 81L4R3</v>
      </c>
      <c r="I7607" s="1" t="s">
        <v>8</v>
      </c>
      <c r="J7607" s="1" t="str">
        <f>"34/34"</f>
        <v>34/34</v>
      </c>
      <c r="K7607" s="1" t="str">
        <f>"2026-07-29 13:18:10"</f>
        <v>2026-07-29 13:18:10</v>
      </c>
      <c r="L7607" s="1" t="str">
        <f>"2020-06-15 19:30:35"</f>
        <v>2020-06-15 19:30:35</v>
      </c>
      <c r="M7607" s="1" t="s">
        <v>45</v>
      </c>
      <c r="N7607" s="1" t="s">
        <v>38</v>
      </c>
      <c r="O7607" s="1" t="s">
        <v>46</v>
      </c>
    </row>
    <row r="7608" spans="2:15" x14ac:dyDescent="0.3">
      <c r="B7608" s="1" t="s">
        <v>21</v>
      </c>
      <c r="C7608" s="1" t="str">
        <f>"3차"</f>
        <v>3차</v>
      </c>
      <c r="D7608" s="1" t="str">
        <f>"9626E29339"</f>
        <v>9626E29339</v>
      </c>
      <c r="E7608" s="1" t="s">
        <v>10</v>
      </c>
      <c r="F7608" s="1" t="str">
        <f>"10.12.130.136"</f>
        <v>10.12.130.136</v>
      </c>
      <c r="G7608" s="1" t="str">
        <f>"9626E293"</f>
        <v>9626E293</v>
      </c>
      <c r="H7608" s="1" t="str">
        <f>"가좌간 81L4R4"</f>
        <v>가좌간 81L4R4</v>
      </c>
      <c r="I7608" s="1" t="s">
        <v>8</v>
      </c>
      <c r="J7608" s="1" t="str">
        <f>"34/34"</f>
        <v>34/34</v>
      </c>
      <c r="K7608" s="1" t="str">
        <f>"2026-07-29 13:18:11"</f>
        <v>2026-07-29 13:18:11</v>
      </c>
      <c r="L7608" s="1" t="str">
        <f>"2020-06-15 19:31:39"</f>
        <v>2020-06-15 19:31:39</v>
      </c>
      <c r="M7608" s="1" t="s">
        <v>0</v>
      </c>
      <c r="N7608" s="1" t="s">
        <v>38</v>
      </c>
      <c r="O7608" s="1" t="s">
        <v>46</v>
      </c>
    </row>
    <row r="7609" spans="2:15" x14ac:dyDescent="0.3">
      <c r="B7609" s="1" t="s">
        <v>21</v>
      </c>
      <c r="C7609" s="1" t="str">
        <f>"4차"</f>
        <v>4차</v>
      </c>
      <c r="D7609" s="1" t="str">
        <f>"9626E37144"</f>
        <v>9626E37144</v>
      </c>
      <c r="E7609" s="1" t="s">
        <v>10</v>
      </c>
      <c r="F7609" s="1" t="str">
        <f>"10.11.100.218"</f>
        <v>10.11.100.218</v>
      </c>
      <c r="G7609" s="1" t="str">
        <f>"9626E371"</f>
        <v>9626E371</v>
      </c>
      <c r="H7609" s="1" t="str">
        <f>"가좌간 95L6L7"</f>
        <v>가좌간 95L6L7</v>
      </c>
      <c r="I7609" s="1" t="s">
        <v>8</v>
      </c>
      <c r="J7609" s="1" t="str">
        <f>"18/18"</f>
        <v>18/18</v>
      </c>
      <c r="K7609" s="1" t="str">
        <f t="shared" ref="K7609:K7623" si="371">"2026-07-29 13:18:10"</f>
        <v>2026-07-29 13:18:10</v>
      </c>
      <c r="L7609" s="1" t="str">
        <f>"2020-06-23 13:22:18"</f>
        <v>2020-06-23 13:22:18</v>
      </c>
      <c r="M7609" s="1" t="s">
        <v>2</v>
      </c>
      <c r="N7609" s="1" t="s">
        <v>38</v>
      </c>
      <c r="O7609" s="1" t="s">
        <v>46</v>
      </c>
    </row>
    <row r="7610" spans="2:15" x14ac:dyDescent="0.3">
      <c r="B7610" s="1" t="s">
        <v>21</v>
      </c>
      <c r="C7610" s="1" t="str">
        <f>"4차"</f>
        <v>4차</v>
      </c>
      <c r="D7610" s="1" t="str">
        <f>"9626E37339"</f>
        <v>9626E37339</v>
      </c>
      <c r="E7610" s="1" t="s">
        <v>10</v>
      </c>
      <c r="F7610" s="1" t="str">
        <f>"10.11.100.210"</f>
        <v>10.11.100.210</v>
      </c>
      <c r="G7610" s="1" t="str">
        <f>"9626E373"</f>
        <v>9626E373</v>
      </c>
      <c r="H7610" s="1" t="str">
        <f>"가좌간 95L6L6"</f>
        <v>가좌간 95L6L6</v>
      </c>
      <c r="I7610" s="1" t="s">
        <v>8</v>
      </c>
      <c r="J7610" s="1" t="str">
        <f>"48/48"</f>
        <v>48/48</v>
      </c>
      <c r="K7610" s="1" t="str">
        <f t="shared" si="371"/>
        <v>2026-07-29 13:18:10</v>
      </c>
      <c r="L7610" s="1" t="str">
        <f>"2020-06-15 09:32:05"</f>
        <v>2020-06-15 09:32:05</v>
      </c>
      <c r="M7610" s="1" t="s">
        <v>2</v>
      </c>
      <c r="N7610" s="1" t="s">
        <v>38</v>
      </c>
      <c r="O7610" s="1" t="s">
        <v>46</v>
      </c>
    </row>
    <row r="7611" spans="2:15" x14ac:dyDescent="0.3">
      <c r="B7611" s="1" t="s">
        <v>21</v>
      </c>
      <c r="C7611" s="1" t="str">
        <f>"3차"</f>
        <v>3차</v>
      </c>
      <c r="D7611" s="1" t="str">
        <f>"9626E39339"</f>
        <v>9626E39339</v>
      </c>
      <c r="E7611" s="1" t="s">
        <v>10</v>
      </c>
      <c r="F7611" s="1" t="str">
        <f>"10.11.100.42"</f>
        <v>10.11.100.42</v>
      </c>
      <c r="G7611" s="1" t="str">
        <f>"9626E393"</f>
        <v>9626E393</v>
      </c>
      <c r="H7611" s="1" t="str">
        <f>"가좌간 81L15R3"</f>
        <v>가좌간 81L15R3</v>
      </c>
      <c r="I7611" s="1" t="s">
        <v>8</v>
      </c>
      <c r="J7611" s="1" t="str">
        <f>"30/30"</f>
        <v>30/30</v>
      </c>
      <c r="K7611" s="1" t="str">
        <f t="shared" si="371"/>
        <v>2026-07-29 13:18:10</v>
      </c>
      <c r="L7611" s="1" t="str">
        <f>"2020-06-29 17:33:48"</f>
        <v>2020-06-29 17:33:48</v>
      </c>
      <c r="M7611" s="1" t="s">
        <v>2</v>
      </c>
      <c r="N7611" s="1" t="s">
        <v>38</v>
      </c>
      <c r="O7611" s="1" t="s">
        <v>46</v>
      </c>
    </row>
    <row r="7612" spans="2:15" x14ac:dyDescent="0.3">
      <c r="B7612" s="1" t="s">
        <v>21</v>
      </c>
      <c r="C7612" s="1" t="str">
        <f>"1차"</f>
        <v>1차</v>
      </c>
      <c r="D7612" s="1" t="str">
        <f>"9626E41500"</f>
        <v>9626E41500</v>
      </c>
      <c r="E7612" s="1" t="s">
        <v>10</v>
      </c>
      <c r="F7612" s="1" t="str">
        <f>"10.128.32.12"</f>
        <v>10.128.32.12</v>
      </c>
      <c r="G7612" s="1" t="str">
        <f>"9626E415"</f>
        <v>9626E415</v>
      </c>
      <c r="H7612" s="1" t="str">
        <f>"가좌간 93"</f>
        <v>가좌간 93</v>
      </c>
      <c r="I7612" s="1" t="s">
        <v>8</v>
      </c>
      <c r="J7612" s="1" t="str">
        <f>"1/1"</f>
        <v>1/1</v>
      </c>
      <c r="K7612" s="1" t="str">
        <f t="shared" si="371"/>
        <v>2026-07-29 13:18:10</v>
      </c>
      <c r="L7612" s="1" t="str">
        <f>"2014-10-06 19:42:32"</f>
        <v>2014-10-06 19:42:32</v>
      </c>
      <c r="M7612" s="1" t="s">
        <v>45</v>
      </c>
      <c r="N7612" s="1" t="s">
        <v>38</v>
      </c>
      <c r="O7612" s="1" t="s">
        <v>46</v>
      </c>
    </row>
    <row r="7613" spans="2:15" x14ac:dyDescent="0.3">
      <c r="B7613" s="1" t="s">
        <v>21</v>
      </c>
      <c r="C7613" s="1" t="str">
        <f t="shared" ref="C7613:C7619" si="372">"4차"</f>
        <v>4차</v>
      </c>
      <c r="D7613" s="1" t="str">
        <f>"9626E45244"</f>
        <v>9626E45244</v>
      </c>
      <c r="E7613" s="1" t="s">
        <v>10</v>
      </c>
      <c r="F7613" s="1" t="str">
        <f>"10.11.100.178"</f>
        <v>10.11.100.178</v>
      </c>
      <c r="G7613" s="1" t="str">
        <f>"9626E452"</f>
        <v>9626E452</v>
      </c>
      <c r="H7613" s="1" t="str">
        <f>"가좌간 95L6L2D1"</f>
        <v>가좌간 95L6L2D1</v>
      </c>
      <c r="I7613" s="1" t="s">
        <v>8</v>
      </c>
      <c r="J7613" s="1" t="str">
        <f>"4/4"</f>
        <v>4/4</v>
      </c>
      <c r="K7613" s="1" t="str">
        <f t="shared" si="371"/>
        <v>2026-07-29 13:18:10</v>
      </c>
      <c r="L7613" s="1" t="str">
        <f>"2020-06-23 10:54:25"</f>
        <v>2020-06-23 10:54:25</v>
      </c>
      <c r="M7613" s="1" t="s">
        <v>2</v>
      </c>
      <c r="N7613" s="1" t="s">
        <v>38</v>
      </c>
      <c r="O7613" s="1" t="s">
        <v>46</v>
      </c>
    </row>
    <row r="7614" spans="2:15" x14ac:dyDescent="0.3">
      <c r="B7614" s="1" t="s">
        <v>21</v>
      </c>
      <c r="C7614" s="1" t="str">
        <f t="shared" si="372"/>
        <v>4차</v>
      </c>
      <c r="D7614" s="1" t="str">
        <f>"9626E47144"</f>
        <v>9626E47144</v>
      </c>
      <c r="E7614" s="1" t="s">
        <v>10</v>
      </c>
      <c r="F7614" s="1" t="str">
        <f>"10.11.100.202"</f>
        <v>10.11.100.202</v>
      </c>
      <c r="G7614" s="1" t="str">
        <f>"9626E471"</f>
        <v>9626E471</v>
      </c>
      <c r="H7614" s="1" t="str">
        <f>"가좌간 95L6L5"</f>
        <v>가좌간 95L6L5</v>
      </c>
      <c r="I7614" s="1" t="s">
        <v>8</v>
      </c>
      <c r="J7614" s="1" t="str">
        <f>"11/11"</f>
        <v>11/11</v>
      </c>
      <c r="K7614" s="1" t="str">
        <f t="shared" si="371"/>
        <v>2026-07-29 13:18:10</v>
      </c>
      <c r="L7614" s="1" t="str">
        <f>"2020-06-23 13:21:08"</f>
        <v>2020-06-23 13:21:08</v>
      </c>
      <c r="M7614" s="1" t="s">
        <v>2</v>
      </c>
      <c r="N7614" s="1" t="s">
        <v>38</v>
      </c>
      <c r="O7614" s="1" t="s">
        <v>46</v>
      </c>
    </row>
    <row r="7615" spans="2:15" x14ac:dyDescent="0.3">
      <c r="B7615" s="1" t="s">
        <v>21</v>
      </c>
      <c r="C7615" s="1" t="str">
        <f t="shared" si="372"/>
        <v>4차</v>
      </c>
      <c r="D7615" s="1" t="str">
        <f>"9626E49244"</f>
        <v>9626E49244</v>
      </c>
      <c r="E7615" s="1" t="s">
        <v>10</v>
      </c>
      <c r="F7615" s="1" t="str">
        <f>"10.11.100.26"</f>
        <v>10.11.100.26</v>
      </c>
      <c r="G7615" s="1" t="str">
        <f>"9626E492"</f>
        <v>9626E492</v>
      </c>
      <c r="H7615" s="1" t="str">
        <f>"가좌간 81L15R1"</f>
        <v>가좌간 81L15R1</v>
      </c>
      <c r="I7615" s="1" t="s">
        <v>8</v>
      </c>
      <c r="J7615" s="1" t="str">
        <f>"29/29"</f>
        <v>29/29</v>
      </c>
      <c r="K7615" s="1" t="str">
        <f t="shared" si="371"/>
        <v>2026-07-29 13:18:10</v>
      </c>
      <c r="L7615" s="1" t="str">
        <f>"2020-06-23 17:45:11"</f>
        <v>2020-06-23 17:45:11</v>
      </c>
      <c r="M7615" s="1" t="s">
        <v>2</v>
      </c>
      <c r="N7615" s="1" t="s">
        <v>38</v>
      </c>
      <c r="O7615" s="1" t="s">
        <v>46</v>
      </c>
    </row>
    <row r="7616" spans="2:15" x14ac:dyDescent="0.3">
      <c r="B7616" s="1" t="s">
        <v>21</v>
      </c>
      <c r="C7616" s="1" t="str">
        <f t="shared" si="372"/>
        <v>4차</v>
      </c>
      <c r="D7616" s="1" t="str">
        <f>"9626E49544"</f>
        <v>9626E49544</v>
      </c>
      <c r="E7616" s="1" t="s">
        <v>10</v>
      </c>
      <c r="F7616" s="1" t="str">
        <f>"10.11.100.34"</f>
        <v>10.11.100.34</v>
      </c>
      <c r="G7616" s="1" t="str">
        <f>"9626E495"</f>
        <v>9626E495</v>
      </c>
      <c r="H7616" s="1" t="str">
        <f>"가좌간 81L15R1L1"</f>
        <v>가좌간 81L15R1L1</v>
      </c>
      <c r="I7616" s="1" t="s">
        <v>8</v>
      </c>
      <c r="J7616" s="1" t="str">
        <f>"47/50"</f>
        <v>47/50</v>
      </c>
      <c r="K7616" s="1" t="str">
        <f t="shared" si="371"/>
        <v>2026-07-29 13:18:10</v>
      </c>
      <c r="L7616" s="1" t="str">
        <f>"2020-06-23 17:29:41"</f>
        <v>2020-06-23 17:29:41</v>
      </c>
      <c r="M7616" s="1" t="s">
        <v>2</v>
      </c>
      <c r="N7616" s="1" t="s">
        <v>38</v>
      </c>
      <c r="O7616" s="1" t="s">
        <v>46</v>
      </c>
    </row>
    <row r="7617" spans="2:15" x14ac:dyDescent="0.3">
      <c r="B7617" s="1" t="s">
        <v>21</v>
      </c>
      <c r="C7617" s="1" t="str">
        <f t="shared" si="372"/>
        <v>4차</v>
      </c>
      <c r="D7617" s="1" t="str">
        <f>"9626E55144"</f>
        <v>9626E55144</v>
      </c>
      <c r="E7617" s="1" t="s">
        <v>10</v>
      </c>
      <c r="F7617" s="1" t="str">
        <f>"10.11.100.170"</f>
        <v>10.11.100.170</v>
      </c>
      <c r="G7617" s="1" t="str">
        <f>"9626E551"</f>
        <v>9626E551</v>
      </c>
      <c r="H7617" s="1" t="str">
        <f>"가좌간 95L6L1"</f>
        <v>가좌간 95L6L1</v>
      </c>
      <c r="I7617" s="1" t="s">
        <v>8</v>
      </c>
      <c r="J7617" s="1" t="str">
        <f>"16/16"</f>
        <v>16/16</v>
      </c>
      <c r="K7617" s="1" t="str">
        <f t="shared" si="371"/>
        <v>2026-07-29 13:18:10</v>
      </c>
      <c r="L7617" s="1" t="str">
        <f>"2020-06-23 10:53:17"</f>
        <v>2020-06-23 10:53:17</v>
      </c>
      <c r="M7617" s="1" t="s">
        <v>2</v>
      </c>
      <c r="N7617" s="1" t="s">
        <v>38</v>
      </c>
      <c r="O7617" s="1" t="s">
        <v>46</v>
      </c>
    </row>
    <row r="7618" spans="2:15" x14ac:dyDescent="0.3">
      <c r="B7618" s="1" t="s">
        <v>21</v>
      </c>
      <c r="C7618" s="1" t="str">
        <f t="shared" si="372"/>
        <v>4차</v>
      </c>
      <c r="D7618" s="1" t="str">
        <f>"9626E56144"</f>
        <v>9626E56144</v>
      </c>
      <c r="E7618" s="1" t="s">
        <v>10</v>
      </c>
      <c r="F7618" s="1" t="str">
        <f>"10.11.100.186"</f>
        <v>10.11.100.186</v>
      </c>
      <c r="G7618" s="1" t="str">
        <f>"9626E561"</f>
        <v>9626E561</v>
      </c>
      <c r="H7618" s="1" t="str">
        <f>"가좌간 95L6L3"</f>
        <v>가좌간 95L6L3</v>
      </c>
      <c r="I7618" s="1" t="s">
        <v>8</v>
      </c>
      <c r="J7618" s="1" t="str">
        <f>"14/14"</f>
        <v>14/14</v>
      </c>
      <c r="K7618" s="1" t="str">
        <f t="shared" si="371"/>
        <v>2026-07-29 13:18:10</v>
      </c>
      <c r="L7618" s="1" t="str">
        <f>"2020-06-23 10:55:25"</f>
        <v>2020-06-23 10:55:25</v>
      </c>
      <c r="M7618" s="1" t="s">
        <v>2</v>
      </c>
      <c r="N7618" s="1" t="s">
        <v>38</v>
      </c>
      <c r="O7618" s="1" t="s">
        <v>46</v>
      </c>
    </row>
    <row r="7619" spans="2:15" x14ac:dyDescent="0.3">
      <c r="B7619" s="1" t="s">
        <v>21</v>
      </c>
      <c r="C7619" s="1" t="str">
        <f t="shared" si="372"/>
        <v>4차</v>
      </c>
      <c r="D7619" s="1" t="str">
        <f>"9626E57144"</f>
        <v>9626E57144</v>
      </c>
      <c r="E7619" s="1" t="s">
        <v>10</v>
      </c>
      <c r="F7619" s="1" t="str">
        <f>"10.11.100.194"</f>
        <v>10.11.100.194</v>
      </c>
      <c r="G7619" s="1" t="str">
        <f>"9626E571"</f>
        <v>9626E571</v>
      </c>
      <c r="H7619" s="1" t="str">
        <f>"가좌간 95L6L4"</f>
        <v>가좌간 95L6L4</v>
      </c>
      <c r="I7619" s="1" t="s">
        <v>8</v>
      </c>
      <c r="J7619" s="1" t="str">
        <f>"16/16"</f>
        <v>16/16</v>
      </c>
      <c r="K7619" s="1" t="str">
        <f t="shared" si="371"/>
        <v>2026-07-29 13:18:10</v>
      </c>
      <c r="L7619" s="1" t="str">
        <f>"2020-06-23 13:20:08"</f>
        <v>2020-06-23 13:20:08</v>
      </c>
      <c r="M7619" s="1" t="s">
        <v>2</v>
      </c>
      <c r="N7619" s="1" t="s">
        <v>38</v>
      </c>
      <c r="O7619" s="1" t="s">
        <v>46</v>
      </c>
    </row>
    <row r="7620" spans="2:15" x14ac:dyDescent="0.3">
      <c r="B7620" s="1" t="s">
        <v>21</v>
      </c>
      <c r="C7620" s="1" t="str">
        <f>"3차"</f>
        <v>3차</v>
      </c>
      <c r="D7620" s="1" t="str">
        <f>"9626E58239"</f>
        <v>9626E58239</v>
      </c>
      <c r="E7620" s="1" t="s">
        <v>10</v>
      </c>
      <c r="F7620" s="1" t="str">
        <f>"10.11.100.50"</f>
        <v>10.11.100.50</v>
      </c>
      <c r="G7620" s="1" t="str">
        <f>"9626E582"</f>
        <v>9626E582</v>
      </c>
      <c r="H7620" s="1" t="str">
        <f>"가좌간 81L16"</f>
        <v>가좌간 81L16</v>
      </c>
      <c r="I7620" s="1" t="s">
        <v>8</v>
      </c>
      <c r="J7620" s="1" t="str">
        <f>"29/30"</f>
        <v>29/30</v>
      </c>
      <c r="K7620" s="1" t="str">
        <f t="shared" si="371"/>
        <v>2026-07-29 13:18:10</v>
      </c>
      <c r="L7620" s="1" t="str">
        <f>"2020-06-15 19:26:21"</f>
        <v>2020-06-15 19:26:21</v>
      </c>
      <c r="M7620" s="1" t="s">
        <v>2</v>
      </c>
      <c r="N7620" s="1" t="s">
        <v>38</v>
      </c>
      <c r="O7620" s="1" t="s">
        <v>46</v>
      </c>
    </row>
    <row r="7621" spans="2:15" x14ac:dyDescent="0.3">
      <c r="B7621" s="1" t="s">
        <v>21</v>
      </c>
      <c r="C7621" s="1" t="str">
        <f>"4차"</f>
        <v>4차</v>
      </c>
      <c r="D7621" s="1" t="str">
        <f>"9626E67144"</f>
        <v>9626E67144</v>
      </c>
      <c r="E7621" s="1" t="s">
        <v>10</v>
      </c>
      <c r="F7621" s="1" t="str">
        <f>"10.11.100.58"</f>
        <v>10.11.100.58</v>
      </c>
      <c r="G7621" s="1" t="str">
        <f>"9626E671"</f>
        <v>9626E671</v>
      </c>
      <c r="H7621" s="1" t="str">
        <f>"가좌간 81L18"</f>
        <v>가좌간 81L18</v>
      </c>
      <c r="I7621" s="1" t="s">
        <v>8</v>
      </c>
      <c r="J7621" s="1" t="str">
        <f>"21/23"</f>
        <v>21/23</v>
      </c>
      <c r="K7621" s="1" t="str">
        <f t="shared" si="371"/>
        <v>2026-07-29 13:18:10</v>
      </c>
      <c r="L7621" s="1" t="str">
        <f>"2020-06-23 17:46:07"</f>
        <v>2020-06-23 17:46:07</v>
      </c>
      <c r="M7621" s="1" t="s">
        <v>2</v>
      </c>
      <c r="N7621" s="1" t="s">
        <v>38</v>
      </c>
      <c r="O7621" s="1" t="s">
        <v>46</v>
      </c>
    </row>
    <row r="7622" spans="2:15" x14ac:dyDescent="0.3">
      <c r="B7622" s="1" t="s">
        <v>21</v>
      </c>
      <c r="C7622" s="1" t="str">
        <f>"4차"</f>
        <v>4차</v>
      </c>
      <c r="D7622" s="1" t="str">
        <f>"9626E67244"</f>
        <v>9626E67244</v>
      </c>
      <c r="E7622" s="1" t="s">
        <v>10</v>
      </c>
      <c r="F7622" s="1" t="str">
        <f>"10.11.100.66"</f>
        <v>10.11.100.66</v>
      </c>
      <c r="G7622" s="1" t="str">
        <f>"9626E672"</f>
        <v>9626E672</v>
      </c>
      <c r="H7622" s="1" t="str">
        <f>"가좌간 81L19"</f>
        <v>가좌간 81L19</v>
      </c>
      <c r="I7622" s="1" t="s">
        <v>8</v>
      </c>
      <c r="J7622" s="1" t="str">
        <f>"16/16"</f>
        <v>16/16</v>
      </c>
      <c r="K7622" s="1" t="str">
        <f t="shared" si="371"/>
        <v>2026-07-29 13:18:10</v>
      </c>
      <c r="L7622" s="1" t="str">
        <f>"2020-06-23 18:16:46"</f>
        <v>2020-06-23 18:16:46</v>
      </c>
      <c r="M7622" s="1" t="s">
        <v>2</v>
      </c>
      <c r="N7622" s="1" t="s">
        <v>38</v>
      </c>
      <c r="O7622" s="1" t="s">
        <v>46</v>
      </c>
    </row>
    <row r="7623" spans="2:15" x14ac:dyDescent="0.3">
      <c r="B7623" s="1" t="s">
        <v>21</v>
      </c>
      <c r="C7623" s="1" t="str">
        <f>"3차"</f>
        <v>3차</v>
      </c>
      <c r="D7623" s="1" t="str">
        <f>"9626E69239"</f>
        <v>9626E69239</v>
      </c>
      <c r="E7623" s="1" t="s">
        <v>10</v>
      </c>
      <c r="F7623" s="1" t="str">
        <f>"10.11.100.2"</f>
        <v>10.11.100.2</v>
      </c>
      <c r="G7623" s="1" t="str">
        <f>"9626E692"</f>
        <v>9626E692</v>
      </c>
      <c r="H7623" s="1" t="str">
        <f>"가좌간 81L11L1R5"</f>
        <v>가좌간 81L11L1R5</v>
      </c>
      <c r="I7623" s="1" t="s">
        <v>8</v>
      </c>
      <c r="J7623" s="1" t="str">
        <f>"23/26"</f>
        <v>23/26</v>
      </c>
      <c r="K7623" s="1" t="str">
        <f t="shared" si="371"/>
        <v>2026-07-29 13:18:10</v>
      </c>
      <c r="L7623" s="1" t="str">
        <f>"2020-06-15 19:28:02"</f>
        <v>2020-06-15 19:28:02</v>
      </c>
      <c r="M7623" s="1" t="s">
        <v>2</v>
      </c>
      <c r="N7623" s="1" t="s">
        <v>38</v>
      </c>
      <c r="O7623" s="1" t="s">
        <v>46</v>
      </c>
    </row>
    <row r="7624" spans="2:15" x14ac:dyDescent="0.3">
      <c r="B7624" s="1" t="s">
        <v>21</v>
      </c>
      <c r="C7624" s="1" t="str">
        <f t="shared" ref="C7624:C7632" si="373">"4차"</f>
        <v>4차</v>
      </c>
      <c r="D7624" s="1" t="str">
        <f>"9626E69344"</f>
        <v>9626E69344</v>
      </c>
      <c r="E7624" s="1" t="str">
        <f>"검침실패(3시간 이상)"</f>
        <v>검침실패(3시간 이상)</v>
      </c>
      <c r="F7624" s="1" t="str">
        <f>"10.11.100.146"</f>
        <v>10.11.100.146</v>
      </c>
      <c r="G7624" s="1" t="str">
        <f>"9626E693"</f>
        <v>9626E693</v>
      </c>
      <c r="H7624" s="1" t="str">
        <f>"가좌간 95L12L3L1"</f>
        <v>가좌간 95L12L3L1</v>
      </c>
      <c r="I7624" s="1" t="s">
        <v>8</v>
      </c>
      <c r="J7624" s="1" t="str">
        <f>"0/52"</f>
        <v>0/52</v>
      </c>
      <c r="K7624" s="1" t="str">
        <f>"2026-07-28 20:03:27"</f>
        <v>2026-07-28 20:03:27</v>
      </c>
      <c r="L7624" s="1" t="str">
        <f>"2020-06-23 10:47:44"</f>
        <v>2020-06-23 10:47:44</v>
      </c>
      <c r="M7624" s="1" t="s">
        <v>2</v>
      </c>
      <c r="N7624" s="1" t="s">
        <v>38</v>
      </c>
      <c r="O7624" s="1" t="s">
        <v>46</v>
      </c>
    </row>
    <row r="7625" spans="2:15" x14ac:dyDescent="0.3">
      <c r="B7625" s="1" t="s">
        <v>21</v>
      </c>
      <c r="C7625" s="1" t="str">
        <f t="shared" si="373"/>
        <v>4차</v>
      </c>
      <c r="D7625" s="1" t="str">
        <f>"9626E76144"</f>
        <v>9626E76144</v>
      </c>
      <c r="E7625" s="1" t="s">
        <v>10</v>
      </c>
      <c r="F7625" s="1" t="str">
        <f>"10.11.100.234"</f>
        <v>10.11.100.234</v>
      </c>
      <c r="G7625" s="1" t="str">
        <f>"9626E761"</f>
        <v>9626E761</v>
      </c>
      <c r="H7625" s="1" t="str">
        <f>"가좌간 95L9L1"</f>
        <v>가좌간 95L9L1</v>
      </c>
      <c r="I7625" s="1" t="s">
        <v>8</v>
      </c>
      <c r="J7625" s="1" t="str">
        <f>"27/27"</f>
        <v>27/27</v>
      </c>
      <c r="K7625" s="1" t="str">
        <f>"2026-07-29 13:18:10"</f>
        <v>2026-07-29 13:18:10</v>
      </c>
      <c r="L7625" s="1" t="str">
        <f>"2020-06-23 13:22:54"</f>
        <v>2020-06-23 13:22:54</v>
      </c>
      <c r="M7625" s="1" t="s">
        <v>2</v>
      </c>
      <c r="N7625" s="1" t="s">
        <v>38</v>
      </c>
      <c r="O7625" s="1" t="s">
        <v>46</v>
      </c>
    </row>
    <row r="7626" spans="2:15" x14ac:dyDescent="0.3">
      <c r="B7626" s="1" t="s">
        <v>21</v>
      </c>
      <c r="C7626" s="1" t="str">
        <f t="shared" si="373"/>
        <v>4차</v>
      </c>
      <c r="D7626" s="1" t="str">
        <f>"9626E77344"</f>
        <v>9626E77344</v>
      </c>
      <c r="E7626" s="1" t="s">
        <v>10</v>
      </c>
      <c r="F7626" s="1" t="str">
        <f>"10.11.100.90"</f>
        <v>10.11.100.90</v>
      </c>
      <c r="G7626" s="1" t="str">
        <f>"9626E773"</f>
        <v>9626E773</v>
      </c>
      <c r="H7626" s="1" t="str">
        <f>"가좌간 95L11L1"</f>
        <v>가좌간 95L11L1</v>
      </c>
      <c r="I7626" s="1" t="s">
        <v>8</v>
      </c>
      <c r="J7626" s="1" t="str">
        <f>"29/29"</f>
        <v>29/29</v>
      </c>
      <c r="K7626" s="1" t="str">
        <f>"2026-07-29 13:18:10"</f>
        <v>2026-07-29 13:18:10</v>
      </c>
      <c r="L7626" s="1" t="str">
        <f>"2020-07-03 10:09:41"</f>
        <v>2020-07-03 10:09:41</v>
      </c>
      <c r="M7626" s="1" t="s">
        <v>2</v>
      </c>
      <c r="N7626" s="1" t="s">
        <v>38</v>
      </c>
      <c r="O7626" s="1" t="s">
        <v>46</v>
      </c>
    </row>
    <row r="7627" spans="2:15" x14ac:dyDescent="0.3">
      <c r="B7627" s="1" t="s">
        <v>21</v>
      </c>
      <c r="C7627" s="1" t="str">
        <f t="shared" si="373"/>
        <v>4차</v>
      </c>
      <c r="D7627" s="1" t="str">
        <f>"9626E78144"</f>
        <v>9626E78144</v>
      </c>
      <c r="E7627" s="1" t="s">
        <v>10</v>
      </c>
      <c r="F7627" s="1" t="str">
        <f>"10.11.100.106"</f>
        <v>10.11.100.106</v>
      </c>
      <c r="G7627" s="1" t="str">
        <f>"9626E781"</f>
        <v>9626E781</v>
      </c>
      <c r="H7627" s="1" t="str">
        <f>"가좌간 95L12L1"</f>
        <v>가좌간 95L12L1</v>
      </c>
      <c r="I7627" s="1" t="s">
        <v>8</v>
      </c>
      <c r="J7627" s="1" t="str">
        <f>"26/26"</f>
        <v>26/26</v>
      </c>
      <c r="K7627" s="1" t="str">
        <f>"2026-07-29 13:18:10"</f>
        <v>2026-07-29 13:18:10</v>
      </c>
      <c r="L7627" s="1" t="str">
        <f>"2020-06-23 13:18:29"</f>
        <v>2020-06-23 13:18:29</v>
      </c>
      <c r="M7627" s="1" t="s">
        <v>2</v>
      </c>
      <c r="N7627" s="1" t="s">
        <v>38</v>
      </c>
      <c r="O7627" s="1" t="s">
        <v>46</v>
      </c>
    </row>
    <row r="7628" spans="2:15" x14ac:dyDescent="0.3">
      <c r="B7628" s="1" t="s">
        <v>21</v>
      </c>
      <c r="C7628" s="1" t="str">
        <f t="shared" si="373"/>
        <v>4차</v>
      </c>
      <c r="D7628" s="1" t="str">
        <f>"9626E78244"</f>
        <v>9626E78244</v>
      </c>
      <c r="E7628" s="1" t="s">
        <v>10</v>
      </c>
      <c r="F7628" s="1" t="str">
        <f>"10.11.100.138"</f>
        <v>10.11.100.138</v>
      </c>
      <c r="G7628" s="1" t="str">
        <f>"9626E782"</f>
        <v>9626E782</v>
      </c>
      <c r="H7628" s="1" t="str">
        <f>"가좌간 95L12L2"</f>
        <v>가좌간 95L12L2</v>
      </c>
      <c r="I7628" s="1" t="s">
        <v>8</v>
      </c>
      <c r="J7628" s="1" t="str">
        <f>"50/53"</f>
        <v>50/53</v>
      </c>
      <c r="K7628" s="1" t="str">
        <f>"2026-07-29 13:18:10"</f>
        <v>2026-07-29 13:18:10</v>
      </c>
      <c r="L7628" s="1" t="str">
        <f>"2020-06-23 12:14:32"</f>
        <v>2020-06-23 12:14:32</v>
      </c>
      <c r="M7628" s="1" t="s">
        <v>2</v>
      </c>
      <c r="N7628" s="1" t="s">
        <v>38</v>
      </c>
      <c r="O7628" s="1" t="s">
        <v>46</v>
      </c>
    </row>
    <row r="7629" spans="2:15" x14ac:dyDescent="0.3">
      <c r="B7629" s="1" t="s">
        <v>21</v>
      </c>
      <c r="C7629" s="1" t="str">
        <f t="shared" si="373"/>
        <v>4차</v>
      </c>
      <c r="D7629" s="1" t="str">
        <f>"9626E86144"</f>
        <v>9626E86144</v>
      </c>
      <c r="E7629" s="1" t="s">
        <v>10</v>
      </c>
      <c r="F7629" s="1" t="str">
        <f>"10.11.100.226"</f>
        <v>10.11.100.226</v>
      </c>
      <c r="G7629" s="1" t="str">
        <f>"9626E861"</f>
        <v>9626E861</v>
      </c>
      <c r="H7629" s="1" t="str">
        <f>"가좌간 95L9"</f>
        <v>가좌간 95L9</v>
      </c>
      <c r="I7629" s="1" t="s">
        <v>8</v>
      </c>
      <c r="J7629" s="1" t="str">
        <f>"18/19"</f>
        <v>18/19</v>
      </c>
      <c r="K7629" s="1" t="str">
        <f>"2026-07-29 13:18:11"</f>
        <v>2026-07-29 13:18:11</v>
      </c>
      <c r="L7629" s="1" t="str">
        <f>"2020-07-10 09:32:57"</f>
        <v>2020-07-10 09:32:57</v>
      </c>
      <c r="M7629" s="1" t="s">
        <v>2</v>
      </c>
      <c r="N7629" s="1" t="s">
        <v>38</v>
      </c>
      <c r="O7629" s="1" t="s">
        <v>46</v>
      </c>
    </row>
    <row r="7630" spans="2:15" x14ac:dyDescent="0.3">
      <c r="B7630" s="1" t="s">
        <v>21</v>
      </c>
      <c r="C7630" s="1" t="str">
        <f t="shared" si="373"/>
        <v>4차</v>
      </c>
      <c r="D7630" s="1" t="str">
        <f>"9626E86244"</f>
        <v>9626E86244</v>
      </c>
      <c r="E7630" s="1" t="s">
        <v>10</v>
      </c>
      <c r="F7630" s="1" t="str">
        <f>"10.11.100.154"</f>
        <v>10.11.100.154</v>
      </c>
      <c r="G7630" s="1" t="str">
        <f>"9626E862"</f>
        <v>9626E862</v>
      </c>
      <c r="H7630" s="1" t="str">
        <f>"가좌간 95L13R5"</f>
        <v>가좌간 95L13R5</v>
      </c>
      <c r="I7630" s="1" t="s">
        <v>8</v>
      </c>
      <c r="J7630" s="1" t="str">
        <f>"11/11"</f>
        <v>11/11</v>
      </c>
      <c r="K7630" s="1" t="str">
        <f>"2026-07-29 13:18:10"</f>
        <v>2026-07-29 13:18:10</v>
      </c>
      <c r="L7630" s="1" t="str">
        <f>"2020-06-23 17:37:40"</f>
        <v>2020-06-23 17:37:40</v>
      </c>
      <c r="M7630" s="1" t="s">
        <v>2</v>
      </c>
      <c r="N7630" s="1" t="s">
        <v>38</v>
      </c>
      <c r="O7630" s="1" t="s">
        <v>46</v>
      </c>
    </row>
    <row r="7631" spans="2:15" x14ac:dyDescent="0.3">
      <c r="B7631" s="1" t="s">
        <v>21</v>
      </c>
      <c r="C7631" s="1" t="str">
        <f t="shared" si="373"/>
        <v>4차</v>
      </c>
      <c r="D7631" s="1" t="str">
        <f>"9626E86444"</f>
        <v>9626E86444</v>
      </c>
      <c r="E7631" s="1" t="s">
        <v>10</v>
      </c>
      <c r="F7631" s="1" t="str">
        <f>"10.14.14.17"</f>
        <v>10.14.14.17</v>
      </c>
      <c r="G7631" s="1" t="str">
        <f>"9626E864"</f>
        <v>9626E864</v>
      </c>
      <c r="H7631" s="1" t="str">
        <f>"가좌간 95L10"</f>
        <v>가좌간 95L10</v>
      </c>
      <c r="I7631" s="1" t="s">
        <v>8</v>
      </c>
      <c r="J7631" s="1" t="str">
        <f>"16/18"</f>
        <v>16/18</v>
      </c>
      <c r="K7631" s="1" t="str">
        <f>"2026-07-29 13:18:11"</f>
        <v>2026-07-29 13:18:11</v>
      </c>
      <c r="L7631" s="1" t="str">
        <f>"2020-06-23 17:49:00"</f>
        <v>2020-06-23 17:49:00</v>
      </c>
      <c r="M7631" s="1" t="s">
        <v>3</v>
      </c>
      <c r="N7631" s="1" t="s">
        <v>38</v>
      </c>
      <c r="O7631" s="1" t="s">
        <v>46</v>
      </c>
    </row>
    <row r="7632" spans="2:15" x14ac:dyDescent="0.3">
      <c r="B7632" s="1" t="s">
        <v>21</v>
      </c>
      <c r="C7632" s="1" t="str">
        <f t="shared" si="373"/>
        <v>4차</v>
      </c>
      <c r="D7632" s="1" t="str">
        <f>"9626E87139"</f>
        <v>9626E87139</v>
      </c>
      <c r="E7632" s="1" t="s">
        <v>10</v>
      </c>
      <c r="F7632" s="1" t="str">
        <f>"10.11.100.82"</f>
        <v>10.11.100.82</v>
      </c>
      <c r="G7632" s="1" t="str">
        <f>"9626E871"</f>
        <v>9626E871</v>
      </c>
      <c r="H7632" s="1" t="str">
        <f>"가좌간 95L11"</f>
        <v>가좌간 95L11</v>
      </c>
      <c r="I7632" s="1" t="s">
        <v>8</v>
      </c>
      <c r="J7632" s="1" t="str">
        <f>"41/43"</f>
        <v>41/43</v>
      </c>
      <c r="K7632" s="1" t="str">
        <f>"2026-07-29 13:18:10"</f>
        <v>2026-07-29 13:18:10</v>
      </c>
      <c r="L7632" s="1" t="str">
        <f>"2020-06-09 15:24:02"</f>
        <v>2020-06-09 15:24:02</v>
      </c>
      <c r="M7632" s="1" t="s">
        <v>2</v>
      </c>
      <c r="N7632" s="1" t="s">
        <v>38</v>
      </c>
      <c r="O7632" s="1" t="s">
        <v>46</v>
      </c>
    </row>
    <row r="7633" spans="2:15" x14ac:dyDescent="0.3">
      <c r="B7633" s="1" t="s">
        <v>21</v>
      </c>
      <c r="C7633" s="1" t="str">
        <f>"3차"</f>
        <v>3차</v>
      </c>
      <c r="D7633" s="1" t="str">
        <f>"9626E88139"</f>
        <v>9626E88139</v>
      </c>
      <c r="E7633" s="1" t="s">
        <v>10</v>
      </c>
      <c r="F7633" s="1" t="str">
        <f>"10.11.100.98"</f>
        <v>10.11.100.98</v>
      </c>
      <c r="G7633" s="1" t="str">
        <f>"9626E881"</f>
        <v>9626E881</v>
      </c>
      <c r="H7633" s="1" t="str">
        <f>"가좌간 95L12"</f>
        <v>가좌간 95L12</v>
      </c>
      <c r="I7633" s="1" t="s">
        <v>8</v>
      </c>
      <c r="J7633" s="1" t="str">
        <f>"25/26"</f>
        <v>25/26</v>
      </c>
      <c r="K7633" s="1" t="str">
        <f>"2026-07-29 13:18:11"</f>
        <v>2026-07-29 13:18:11</v>
      </c>
      <c r="L7633" s="1" t="str">
        <f>"2020-06-15 19:34:17"</f>
        <v>2020-06-15 19:34:17</v>
      </c>
      <c r="M7633" s="1" t="s">
        <v>2</v>
      </c>
      <c r="N7633" s="1" t="s">
        <v>38</v>
      </c>
      <c r="O7633" s="1" t="s">
        <v>46</v>
      </c>
    </row>
    <row r="7634" spans="2:15" x14ac:dyDescent="0.3">
      <c r="B7634" s="1" t="s">
        <v>21</v>
      </c>
      <c r="C7634" s="1" t="str">
        <f>"4차"</f>
        <v>4차</v>
      </c>
      <c r="D7634" s="1" t="str">
        <f>"9626E89144"</f>
        <v>9626E89144</v>
      </c>
      <c r="E7634" s="1" t="s">
        <v>10</v>
      </c>
      <c r="F7634" s="1" t="str">
        <f>"10.11.100.114"</f>
        <v>10.11.100.114</v>
      </c>
      <c r="G7634" s="1" t="str">
        <f>"9626E891"</f>
        <v>9626E891</v>
      </c>
      <c r="H7634" s="1" t="str">
        <f>"가좌간 95L12L1R1"</f>
        <v>가좌간 95L12L1R1</v>
      </c>
      <c r="I7634" s="1" t="s">
        <v>8</v>
      </c>
      <c r="J7634" s="1" t="str">
        <f>"28/28"</f>
        <v>28/28</v>
      </c>
      <c r="K7634" s="1" t="str">
        <f>"2026-07-29 13:18:10"</f>
        <v>2026-07-29 13:18:10</v>
      </c>
      <c r="L7634" s="1" t="str">
        <f>"2020-06-23 10:41:17"</f>
        <v>2020-06-23 10:41:17</v>
      </c>
      <c r="M7634" s="1" t="s">
        <v>2</v>
      </c>
      <c r="N7634" s="1" t="s">
        <v>38</v>
      </c>
      <c r="O7634" s="1" t="s">
        <v>46</v>
      </c>
    </row>
    <row r="7635" spans="2:15" x14ac:dyDescent="0.3">
      <c r="B7635" s="1" t="s">
        <v>21</v>
      </c>
      <c r="C7635" s="1" t="str">
        <f>"4차"</f>
        <v>4차</v>
      </c>
      <c r="D7635" s="1" t="str">
        <f>"9626E89244"</f>
        <v>9626E89244</v>
      </c>
      <c r="E7635" s="1" t="s">
        <v>10</v>
      </c>
      <c r="F7635" s="1" t="str">
        <f>"10.11.100.122"</f>
        <v>10.11.100.122</v>
      </c>
      <c r="G7635" s="1" t="str">
        <f>"9626E892"</f>
        <v>9626E892</v>
      </c>
      <c r="H7635" s="1" t="str">
        <f>"가좌간 95L12L1R2"</f>
        <v>가좌간 95L12L1R2</v>
      </c>
      <c r="I7635" s="1" t="s">
        <v>8</v>
      </c>
      <c r="J7635" s="1" t="str">
        <f>"19/19"</f>
        <v>19/19</v>
      </c>
      <c r="K7635" s="1" t="str">
        <f>"2026-07-29 13:18:11"</f>
        <v>2026-07-29 13:18:11</v>
      </c>
      <c r="L7635" s="1" t="str">
        <f>"2020-06-23 10:52:08"</f>
        <v>2020-06-23 10:52:08</v>
      </c>
      <c r="M7635" s="1" t="s">
        <v>2</v>
      </c>
      <c r="N7635" s="1" t="s">
        <v>38</v>
      </c>
      <c r="O7635" s="1" t="s">
        <v>46</v>
      </c>
    </row>
    <row r="7636" spans="2:15" x14ac:dyDescent="0.3">
      <c r="B7636" s="1" t="s">
        <v>21</v>
      </c>
      <c r="C7636" s="1" t="str">
        <f>"4차"</f>
        <v>4차</v>
      </c>
      <c r="D7636" s="1" t="str">
        <f>"9626F09144"</f>
        <v>9626F09144</v>
      </c>
      <c r="E7636" s="1" t="s">
        <v>10</v>
      </c>
      <c r="F7636" s="1" t="str">
        <f>"10.11.100.162"</f>
        <v>10.11.100.162</v>
      </c>
      <c r="G7636" s="1" t="str">
        <f>"9626F091"</f>
        <v>9626F091</v>
      </c>
      <c r="H7636" s="1" t="str">
        <f>"가좌간 95L15"</f>
        <v>가좌간 95L15</v>
      </c>
      <c r="I7636" s="1" t="s">
        <v>8</v>
      </c>
      <c r="J7636" s="1" t="str">
        <f>"23/24"</f>
        <v>23/24</v>
      </c>
      <c r="K7636" s="1" t="str">
        <f>"2026-07-29 13:18:11"</f>
        <v>2026-07-29 13:18:11</v>
      </c>
      <c r="L7636" s="1" t="str">
        <f>"2020-06-23 11:01:15"</f>
        <v>2020-06-23 11:01:15</v>
      </c>
      <c r="M7636" s="1" t="s">
        <v>2</v>
      </c>
      <c r="N7636" s="1" t="s">
        <v>38</v>
      </c>
      <c r="O7636" s="1" t="s">
        <v>46</v>
      </c>
    </row>
    <row r="7637" spans="2:15" x14ac:dyDescent="0.3">
      <c r="B7637" s="1" t="s">
        <v>21</v>
      </c>
      <c r="C7637" s="1" t="str">
        <f>"1차"</f>
        <v>1차</v>
      </c>
      <c r="D7637" s="1" t="str">
        <f>"9626F85100"</f>
        <v>9626F85100</v>
      </c>
      <c r="E7637" s="1" t="s">
        <v>14</v>
      </c>
      <c r="F7637" s="1" t="str">
        <f>"10.128.111.18"</f>
        <v>10.128.111.18</v>
      </c>
      <c r="G7637" s="1" t="str">
        <f>"9626F851"</f>
        <v>9626F851</v>
      </c>
      <c r="H7637" s="1" t="str">
        <f>"홍남간 74"</f>
        <v>홍남간 74</v>
      </c>
      <c r="I7637" s="1" t="s">
        <v>8</v>
      </c>
      <c r="J7637" s="1" t="str">
        <f>"0/0"</f>
        <v>0/0</v>
      </c>
      <c r="K7637" s="1" t="str">
        <f>"2026-07-29 13:18:11"</f>
        <v>2026-07-29 13:18:11</v>
      </c>
      <c r="L7637" s="1" t="str">
        <f>"2014-10-06 19:42:25"</f>
        <v>2014-10-06 19:42:25</v>
      </c>
      <c r="M7637" s="1" t="s">
        <v>45</v>
      </c>
      <c r="N7637" s="1" t="s">
        <v>38</v>
      </c>
      <c r="O7637" s="1" t="s">
        <v>44</v>
      </c>
    </row>
    <row r="7638" spans="2:15" x14ac:dyDescent="0.3">
      <c r="B7638" s="1" t="s">
        <v>21</v>
      </c>
      <c r="C7638" s="1" t="str">
        <f>"6차"</f>
        <v>6차</v>
      </c>
      <c r="D7638" s="1" t="str">
        <f>"9626F9326S"</f>
        <v>9626F9326S</v>
      </c>
      <c r="E7638" s="1" t="s">
        <v>10</v>
      </c>
      <c r="F7638" s="1" t="str">
        <f>"fde1:103:4:c85f:0:0:0:2"</f>
        <v>fde1:103:4:c85f:0:0:0:2</v>
      </c>
      <c r="G7638" s="1" t="str">
        <f>"9626F932"</f>
        <v>9626F932</v>
      </c>
      <c r="H7638" s="1" t="str">
        <f>"홍남간 73L5"</f>
        <v>홍남간 73L5</v>
      </c>
      <c r="I7638" s="1" t="s">
        <v>15</v>
      </c>
      <c r="J7638" s="1" t="str">
        <f>"16/16"</f>
        <v>16/16</v>
      </c>
      <c r="K7638" s="1" t="str">
        <f>"2026-07-29 14:20:39"</f>
        <v>2026-07-29 14:20:39</v>
      </c>
      <c r="L7638" s="1" t="str">
        <f>"2024-12-10 11:23:57"</f>
        <v>2024-12-10 11:23:57</v>
      </c>
      <c r="M7638" s="1" t="s">
        <v>4</v>
      </c>
      <c r="N7638" s="1" t="s">
        <v>38</v>
      </c>
      <c r="O7638" s="1" t="s">
        <v>46</v>
      </c>
    </row>
    <row r="7639" spans="2:15" x14ac:dyDescent="0.3">
      <c r="B7639" s="1" t="s">
        <v>21</v>
      </c>
      <c r="C7639" s="1" t="str">
        <f>"1차"</f>
        <v>1차</v>
      </c>
      <c r="D7639" s="1" t="str">
        <f>"9626F95200"</f>
        <v>9626F95200</v>
      </c>
      <c r="E7639" s="1" t="s">
        <v>10</v>
      </c>
      <c r="F7639" s="1" t="str">
        <f>"10.128.111.26"</f>
        <v>10.128.111.26</v>
      </c>
      <c r="G7639" s="1" t="str">
        <f>"9626F952"</f>
        <v>9626F952</v>
      </c>
      <c r="H7639" s="1" t="str">
        <f>"홍남간 73L2"</f>
        <v>홍남간 73L2</v>
      </c>
      <c r="I7639" s="1" t="s">
        <v>8</v>
      </c>
      <c r="J7639" s="1" t="str">
        <f>"11/11"</f>
        <v>11/11</v>
      </c>
      <c r="K7639" s="1" t="str">
        <f>"2026-07-29 13:18:11"</f>
        <v>2026-07-29 13:18:11</v>
      </c>
      <c r="L7639" s="1" t="str">
        <f>"2014-10-06 19:42:17"</f>
        <v>2014-10-06 19:42:17</v>
      </c>
      <c r="M7639" s="1" t="s">
        <v>45</v>
      </c>
      <c r="N7639" s="1" t="s">
        <v>38</v>
      </c>
      <c r="O7639" s="1" t="s">
        <v>46</v>
      </c>
    </row>
    <row r="7640" spans="2:15" x14ac:dyDescent="0.3">
      <c r="B7640" s="1" t="s">
        <v>21</v>
      </c>
      <c r="C7640" s="1" t="str">
        <f>"6차"</f>
        <v>6차</v>
      </c>
      <c r="D7640" s="1" t="str">
        <f>"9626H0036S"</f>
        <v>9626H0036S</v>
      </c>
      <c r="E7640" s="1" t="s">
        <v>10</v>
      </c>
      <c r="F7640" s="1" t="str">
        <f>"fde1:103:4:c655:0:0:0:2"</f>
        <v>fde1:103:4:c655:0:0:0:2</v>
      </c>
      <c r="G7640" s="1" t="str">
        <f>"9626H003"</f>
        <v>9626H003</v>
      </c>
      <c r="H7640" s="1" t="str">
        <f>"홍남간 12L7"</f>
        <v>홍남간 12L7</v>
      </c>
      <c r="I7640" s="1" t="s">
        <v>15</v>
      </c>
      <c r="J7640" s="1" t="str">
        <f>"25/25"</f>
        <v>25/25</v>
      </c>
      <c r="K7640" s="1" t="str">
        <f>"2026-07-29 14:21:00"</f>
        <v>2026-07-29 14:21:00</v>
      </c>
      <c r="L7640" s="1" t="str">
        <f>"2024-10-29 17:10:41"</f>
        <v>2024-10-29 17:10:41</v>
      </c>
      <c r="M7640" s="1" t="s">
        <v>4</v>
      </c>
      <c r="N7640" s="1" t="s">
        <v>38</v>
      </c>
      <c r="O7640" s="1" t="s">
        <v>46</v>
      </c>
    </row>
    <row r="7641" spans="2:15" x14ac:dyDescent="0.3">
      <c r="B7641" s="1" t="s">
        <v>21</v>
      </c>
      <c r="C7641" s="1" t="str">
        <f>"4차"</f>
        <v>4차</v>
      </c>
      <c r="D7641" s="1" t="str">
        <f>"9626X72144"</f>
        <v>9626X72144</v>
      </c>
      <c r="E7641" s="1" t="s">
        <v>10</v>
      </c>
      <c r="F7641" s="1" t="str">
        <f>"10.10.71.218"</f>
        <v>10.10.71.218</v>
      </c>
      <c r="G7641" s="1" t="str">
        <f>"9626X721"</f>
        <v>9626X721</v>
      </c>
      <c r="H7641" s="1" t="str">
        <f>"이화간 39"</f>
        <v>이화간 39</v>
      </c>
      <c r="I7641" s="1" t="s">
        <v>8</v>
      </c>
      <c r="J7641" s="1" t="str">
        <f>"5/5"</f>
        <v>5/5</v>
      </c>
      <c r="K7641" s="1" t="str">
        <f>"2026-07-29 13:18:11"</f>
        <v>2026-07-29 13:18:11</v>
      </c>
      <c r="L7641" s="1" t="str">
        <f>"2020-01-10 17:24:50"</f>
        <v>2020-01-10 17:24:50</v>
      </c>
      <c r="M7641" s="1" t="s">
        <v>1</v>
      </c>
      <c r="N7641" s="1" t="s">
        <v>38</v>
      </c>
      <c r="O7641" s="1" t="s">
        <v>46</v>
      </c>
    </row>
    <row r="7642" spans="2:15" x14ac:dyDescent="0.3">
      <c r="B7642" s="1" t="s">
        <v>21</v>
      </c>
      <c r="C7642" s="1" t="str">
        <f>"4차"</f>
        <v>4차</v>
      </c>
      <c r="D7642" s="1" t="str">
        <f>"9626X73144"</f>
        <v>9626X73144</v>
      </c>
      <c r="E7642" s="1" t="s">
        <v>10</v>
      </c>
      <c r="F7642" s="1" t="str">
        <f>"10.10.72.18"</f>
        <v>10.10.72.18</v>
      </c>
      <c r="G7642" s="1" t="str">
        <f>"9626X731"</f>
        <v>9626X731</v>
      </c>
      <c r="H7642" s="1" t="str">
        <f>"이화간 47R5"</f>
        <v>이화간 47R5</v>
      </c>
      <c r="I7642" s="1" t="s">
        <v>8</v>
      </c>
      <c r="J7642" s="1" t="str">
        <f>"30/32"</f>
        <v>30/32</v>
      </c>
      <c r="K7642" s="1" t="str">
        <f>"2026-07-29 13:18:11"</f>
        <v>2026-07-29 13:18:11</v>
      </c>
      <c r="L7642" s="1" t="str">
        <f>"2019-10-24 17:00:16"</f>
        <v>2019-10-24 17:00:16</v>
      </c>
      <c r="M7642" s="1" t="s">
        <v>1</v>
      </c>
      <c r="N7642" s="1" t="s">
        <v>38</v>
      </c>
      <c r="O7642" s="1" t="s">
        <v>46</v>
      </c>
    </row>
    <row r="7643" spans="2:15" x14ac:dyDescent="0.3">
      <c r="B7643" s="1" t="s">
        <v>21</v>
      </c>
      <c r="C7643" s="1" t="str">
        <f>"4차"</f>
        <v>4차</v>
      </c>
      <c r="D7643" s="1" t="str">
        <f>"9626X75144"</f>
        <v>9626X75144</v>
      </c>
      <c r="E7643" s="1" t="s">
        <v>10</v>
      </c>
      <c r="F7643" s="1" t="str">
        <f>"10.10.72.2"</f>
        <v>10.10.72.2</v>
      </c>
      <c r="G7643" s="1" t="str">
        <f>"9626X751"</f>
        <v>9626X751</v>
      </c>
      <c r="H7643" s="1" t="str">
        <f>"이화간 47R3R3"</f>
        <v>이화간 47R3R3</v>
      </c>
      <c r="I7643" s="1" t="s">
        <v>8</v>
      </c>
      <c r="J7643" s="1" t="str">
        <f>"22/22"</f>
        <v>22/22</v>
      </c>
      <c r="K7643" s="1" t="str">
        <f>"2026-07-29 13:18:11"</f>
        <v>2026-07-29 13:18:11</v>
      </c>
      <c r="L7643" s="1" t="str">
        <f>"2019-10-24 17:03:29"</f>
        <v>2019-10-24 17:03:29</v>
      </c>
      <c r="M7643" s="1" t="s">
        <v>1</v>
      </c>
      <c r="N7643" s="1" t="s">
        <v>38</v>
      </c>
      <c r="O7643" s="1" t="s">
        <v>46</v>
      </c>
    </row>
    <row r="7644" spans="2:15" x14ac:dyDescent="0.3">
      <c r="B7644" s="1" t="s">
        <v>21</v>
      </c>
      <c r="C7644" s="1" t="str">
        <f>"5-1차"</f>
        <v>5-1차</v>
      </c>
      <c r="D7644" s="1" t="str">
        <f>"9626X8745M"</f>
        <v>9626X8745M</v>
      </c>
      <c r="E7644" s="1" t="s">
        <v>10</v>
      </c>
      <c r="F7644" s="1" t="str">
        <f>"fde2:104:0:cb:0:0:0:2"</f>
        <v>fde2:104:0:cb:0:0:0:2</v>
      </c>
      <c r="G7644" s="1" t="str">
        <f>"9626X874"</f>
        <v>9626X874</v>
      </c>
      <c r="H7644" s="1" t="str">
        <f>"이화간 69R7"</f>
        <v>이화간 69R7</v>
      </c>
      <c r="I7644" s="1" t="s">
        <v>15</v>
      </c>
      <c r="J7644" s="1" t="str">
        <f>"12/12"</f>
        <v>12/12</v>
      </c>
      <c r="K7644" s="1" t="str">
        <f>"2026-07-29 14:21:39"</f>
        <v>2026-07-29 14:21:39</v>
      </c>
      <c r="L7644" s="1" t="str">
        <f>"2022-09-23 07:42:42"</f>
        <v>2022-09-23 07:42:42</v>
      </c>
      <c r="M7644" s="1" t="s">
        <v>42</v>
      </c>
      <c r="N7644" s="1" t="s">
        <v>38</v>
      </c>
      <c r="O7644" s="1" t="s">
        <v>46</v>
      </c>
    </row>
    <row r="7645" spans="2:15" x14ac:dyDescent="0.3">
      <c r="B7645" s="1" t="s">
        <v>21</v>
      </c>
      <c r="C7645" s="1" t="str">
        <f>"4차"</f>
        <v>4차</v>
      </c>
      <c r="D7645" s="1" t="str">
        <f>"9626X93144"</f>
        <v>9626X93144</v>
      </c>
      <c r="E7645" s="1" t="s">
        <v>10</v>
      </c>
      <c r="F7645" s="1" t="str">
        <f>"10.10.72.146"</f>
        <v>10.10.72.146</v>
      </c>
      <c r="G7645" s="1" t="str">
        <f>"9626X931"</f>
        <v>9626X931</v>
      </c>
      <c r="H7645" s="1" t="str">
        <f>"이화간 47R8"</f>
        <v>이화간 47R8</v>
      </c>
      <c r="I7645" s="1" t="s">
        <v>8</v>
      </c>
      <c r="J7645" s="1" t="str">
        <f>"28/28"</f>
        <v>28/28</v>
      </c>
      <c r="K7645" s="1" t="str">
        <f>"2026-07-29 13:18:11"</f>
        <v>2026-07-29 13:18:11</v>
      </c>
      <c r="L7645" s="1" t="str">
        <f>"2019-12-17 16:18:00"</f>
        <v>2019-12-17 16:18:00</v>
      </c>
      <c r="M7645" s="1" t="s">
        <v>1</v>
      </c>
      <c r="N7645" s="1" t="s">
        <v>38</v>
      </c>
      <c r="O7645" s="1" t="s">
        <v>46</v>
      </c>
    </row>
    <row r="7646" spans="2:15" x14ac:dyDescent="0.3">
      <c r="B7646" s="1" t="s">
        <v>21</v>
      </c>
      <c r="C7646" s="1" t="str">
        <f>"4차"</f>
        <v>4차</v>
      </c>
      <c r="D7646" s="1" t="str">
        <f>"9626X93244"</f>
        <v>9626X93244</v>
      </c>
      <c r="E7646" s="1" t="s">
        <v>10</v>
      </c>
      <c r="F7646" s="1" t="str">
        <f>"10.10.72.26"</f>
        <v>10.10.72.26</v>
      </c>
      <c r="G7646" s="1" t="str">
        <f>"9626X932"</f>
        <v>9626X932</v>
      </c>
      <c r="H7646" s="1" t="str">
        <f>"이화간 47R7"</f>
        <v>이화간 47R7</v>
      </c>
      <c r="I7646" s="1" t="s">
        <v>8</v>
      </c>
      <c r="J7646" s="1" t="str">
        <f>"60/62"</f>
        <v>60/62</v>
      </c>
      <c r="K7646" s="1" t="str">
        <f>"2026-07-29 13:18:11"</f>
        <v>2026-07-29 13:18:11</v>
      </c>
      <c r="L7646" s="1" t="str">
        <f>"2019-12-17 16:09:04"</f>
        <v>2019-12-17 16:09:04</v>
      </c>
      <c r="M7646" s="1" t="s">
        <v>1</v>
      </c>
      <c r="N7646" s="1" t="s">
        <v>38</v>
      </c>
      <c r="O7646" s="1" t="s">
        <v>46</v>
      </c>
    </row>
    <row r="7647" spans="2:15" x14ac:dyDescent="0.3">
      <c r="B7647" s="1" t="s">
        <v>21</v>
      </c>
      <c r="C7647" s="1" t="str">
        <f t="shared" ref="C7647:C7654" si="374">"5-1차"</f>
        <v>5-1차</v>
      </c>
      <c r="D7647" s="1" t="str">
        <f>"9627A8815S"</f>
        <v>9627A8815S</v>
      </c>
      <c r="E7647" s="1" t="s">
        <v>10</v>
      </c>
      <c r="F7647" s="1" t="str">
        <f>"fde3:102:1303:6:0:0:0:2"</f>
        <v>fde3:102:1303:6:0:0:0:2</v>
      </c>
      <c r="G7647" s="1" t="str">
        <f>"9627A881"</f>
        <v>9627A881</v>
      </c>
      <c r="H7647" s="1" t="str">
        <f>"숭실간 57L19"</f>
        <v>숭실간 57L19</v>
      </c>
      <c r="I7647" s="1" t="s">
        <v>15</v>
      </c>
      <c r="J7647" s="1" t="str">
        <f>"27/27"</f>
        <v>27/27</v>
      </c>
      <c r="K7647" s="1" t="str">
        <f>"2026-07-29 14:21:01"</f>
        <v>2026-07-29 14:21:01</v>
      </c>
      <c r="L7647" s="1" t="str">
        <f>"2022-12-01 08:37:47"</f>
        <v>2022-12-01 08:37:47</v>
      </c>
      <c r="M7647" s="1" t="s">
        <v>45</v>
      </c>
      <c r="N7647" s="1" t="s">
        <v>38</v>
      </c>
      <c r="O7647" s="1" t="s">
        <v>46</v>
      </c>
    </row>
    <row r="7648" spans="2:15" x14ac:dyDescent="0.3">
      <c r="B7648" s="1" t="s">
        <v>21</v>
      </c>
      <c r="C7648" s="1" t="str">
        <f t="shared" si="374"/>
        <v>5-1차</v>
      </c>
      <c r="D7648" s="1" t="str">
        <f>"9627A9815S"</f>
        <v>9627A9815S</v>
      </c>
      <c r="E7648" s="1" t="s">
        <v>10</v>
      </c>
      <c r="F7648" s="1" t="str">
        <f>"fde2:104:0:39:0:0:0:2"</f>
        <v>fde2:104:0:39:0:0:0:2</v>
      </c>
      <c r="G7648" s="1" t="str">
        <f>"9627A981"</f>
        <v>9627A981</v>
      </c>
      <c r="H7648" s="1" t="str">
        <f>"숭실간 57L18"</f>
        <v>숭실간 57L18</v>
      </c>
      <c r="I7648" s="1" t="s">
        <v>15</v>
      </c>
      <c r="J7648" s="1" t="str">
        <f>"41/41"</f>
        <v>41/41</v>
      </c>
      <c r="K7648" s="1" t="str">
        <f>"2026-07-29 14:20:56"</f>
        <v>2026-07-29 14:20:56</v>
      </c>
      <c r="L7648" s="1" t="str">
        <f>"2022-09-01 08:35:35"</f>
        <v>2022-09-01 08:35:35</v>
      </c>
      <c r="M7648" s="1" t="s">
        <v>42</v>
      </c>
      <c r="N7648" s="1" t="s">
        <v>38</v>
      </c>
      <c r="O7648" s="1" t="s">
        <v>46</v>
      </c>
    </row>
    <row r="7649" spans="2:15" x14ac:dyDescent="0.3">
      <c r="B7649" s="1" t="s">
        <v>21</v>
      </c>
      <c r="C7649" s="1" t="str">
        <f t="shared" si="374"/>
        <v>5-1차</v>
      </c>
      <c r="D7649" s="1" t="str">
        <f>"9627A9915S"</f>
        <v>9627A9915S</v>
      </c>
      <c r="E7649" s="1" t="s">
        <v>10</v>
      </c>
      <c r="F7649" s="1" t="str">
        <f>"fde3:102:1303:103:0:0:0:2"</f>
        <v>fde3:102:1303:103:0:0:0:2</v>
      </c>
      <c r="G7649" s="1" t="str">
        <f>"9627A991"</f>
        <v>9627A991</v>
      </c>
      <c r="H7649" s="1" t="str">
        <f>"숭실간 57L17"</f>
        <v>숭실간 57L17</v>
      </c>
      <c r="I7649" s="1" t="s">
        <v>15</v>
      </c>
      <c r="J7649" s="1" t="str">
        <f>"25/25"</f>
        <v>25/25</v>
      </c>
      <c r="K7649" s="1" t="str">
        <f>"2026-07-29 14:21:38"</f>
        <v>2026-07-29 14:21:38</v>
      </c>
      <c r="L7649" s="1" t="str">
        <f>"2022-12-01 08:39:17"</f>
        <v>2022-12-01 08:39:17</v>
      </c>
      <c r="M7649" s="1" t="s">
        <v>45</v>
      </c>
      <c r="N7649" s="1" t="s">
        <v>38</v>
      </c>
      <c r="O7649" s="1" t="s">
        <v>46</v>
      </c>
    </row>
    <row r="7650" spans="2:15" x14ac:dyDescent="0.3">
      <c r="B7650" s="1" t="s">
        <v>21</v>
      </c>
      <c r="C7650" s="1" t="str">
        <f t="shared" si="374"/>
        <v>5-1차</v>
      </c>
      <c r="D7650" s="1" t="str">
        <f>"9627B0715S"</f>
        <v>9627B0715S</v>
      </c>
      <c r="E7650" s="1" t="s">
        <v>10</v>
      </c>
      <c r="F7650" s="1" t="str">
        <f>"fde3:102:1303:2801:0:0:0:2"</f>
        <v>fde3:102:1303:2801:0:0:0:2</v>
      </c>
      <c r="G7650" s="1" t="str">
        <f>"9627B071"</f>
        <v>9627B071</v>
      </c>
      <c r="H7650" s="1" t="str">
        <f>"숭실간 57L14L1"</f>
        <v>숭실간 57L14L1</v>
      </c>
      <c r="I7650" s="1" t="s">
        <v>15</v>
      </c>
      <c r="J7650" s="1" t="str">
        <f>"33/34"</f>
        <v>33/34</v>
      </c>
      <c r="K7650" s="1" t="str">
        <f>"2026-07-29 14:21:45"</f>
        <v>2026-07-29 14:21:45</v>
      </c>
      <c r="L7650" s="1" t="str">
        <f>"2022-11-21 12:04:33"</f>
        <v>2022-11-21 12:04:33</v>
      </c>
      <c r="M7650" s="1" t="s">
        <v>45</v>
      </c>
      <c r="N7650" s="1" t="s">
        <v>38</v>
      </c>
      <c r="O7650" s="1" t="s">
        <v>46</v>
      </c>
    </row>
    <row r="7651" spans="2:15" x14ac:dyDescent="0.3">
      <c r="B7651" s="1" t="s">
        <v>21</v>
      </c>
      <c r="C7651" s="1" t="str">
        <f t="shared" si="374"/>
        <v>5-1차</v>
      </c>
      <c r="D7651" s="1" t="str">
        <f>"9627B0725S"</f>
        <v>9627B0725S</v>
      </c>
      <c r="E7651" s="1" t="s">
        <v>10</v>
      </c>
      <c r="F7651" s="1" t="str">
        <f>"fde3:102:1303:104:0:0:0:2"</f>
        <v>fde3:102:1303:104:0:0:0:2</v>
      </c>
      <c r="G7651" s="1" t="str">
        <f>"9627B072"</f>
        <v>9627B072</v>
      </c>
      <c r="H7651" s="1" t="str">
        <f>"숭실간 57L14L2"</f>
        <v>숭실간 57L14L2</v>
      </c>
      <c r="I7651" s="1" t="s">
        <v>15</v>
      </c>
      <c r="J7651" s="1" t="str">
        <f>"20/21"</f>
        <v>20/21</v>
      </c>
      <c r="K7651" s="1" t="str">
        <f>"2026-07-29 14:21:02"</f>
        <v>2026-07-29 14:21:02</v>
      </c>
      <c r="L7651" s="1" t="str">
        <f>"2022-11-16 14:38:09"</f>
        <v>2022-11-16 14:38:09</v>
      </c>
      <c r="M7651" s="1" t="s">
        <v>45</v>
      </c>
      <c r="N7651" s="1" t="s">
        <v>38</v>
      </c>
      <c r="O7651" s="1" t="s">
        <v>46</v>
      </c>
    </row>
    <row r="7652" spans="2:15" x14ac:dyDescent="0.3">
      <c r="B7652" s="1" t="s">
        <v>21</v>
      </c>
      <c r="C7652" s="1" t="str">
        <f t="shared" si="374"/>
        <v>5-1차</v>
      </c>
      <c r="D7652" s="1" t="str">
        <f>"9627B0915S"</f>
        <v>9627B0915S</v>
      </c>
      <c r="E7652" s="1" t="s">
        <v>10</v>
      </c>
      <c r="F7652" s="1" t="str">
        <f>"fde3:102:1303:2801:0:0:0:3"</f>
        <v>fde3:102:1303:2801:0:0:0:3</v>
      </c>
      <c r="G7652" s="1" t="str">
        <f>"9627B091"</f>
        <v>9627B091</v>
      </c>
      <c r="H7652" s="1" t="str">
        <f>"숭실간 57L16"</f>
        <v>숭실간 57L16</v>
      </c>
      <c r="I7652" s="1" t="s">
        <v>15</v>
      </c>
      <c r="J7652" s="1" t="str">
        <f>"57/57"</f>
        <v>57/57</v>
      </c>
      <c r="K7652" s="1" t="str">
        <f>"2026-07-29 14:21:01"</f>
        <v>2026-07-29 14:21:01</v>
      </c>
      <c r="L7652" s="1" t="str">
        <f>"2022-12-15 09:23:52"</f>
        <v>2022-12-15 09:23:52</v>
      </c>
      <c r="M7652" s="1" t="s">
        <v>45</v>
      </c>
      <c r="N7652" s="1" t="s">
        <v>38</v>
      </c>
      <c r="O7652" s="1" t="s">
        <v>46</v>
      </c>
    </row>
    <row r="7653" spans="2:15" x14ac:dyDescent="0.3">
      <c r="B7653" s="1" t="s">
        <v>21</v>
      </c>
      <c r="C7653" s="1" t="str">
        <f t="shared" si="374"/>
        <v>5-1차</v>
      </c>
      <c r="D7653" s="1" t="str">
        <f>"9627B1615S"</f>
        <v>9627B1615S</v>
      </c>
      <c r="E7653" s="1" t="s">
        <v>10</v>
      </c>
      <c r="F7653" s="1" t="str">
        <f>"fde3:102:1303:2801:0:0:0:4"</f>
        <v>fde3:102:1303:2801:0:0:0:4</v>
      </c>
      <c r="G7653" s="1" t="str">
        <f>"9627B161"</f>
        <v>9627B161</v>
      </c>
      <c r="H7653" s="1" t="str">
        <f>"숭실간 57L12C1"</f>
        <v>숭실간 57L12C1</v>
      </c>
      <c r="I7653" s="1" t="s">
        <v>15</v>
      </c>
      <c r="J7653" s="1" t="str">
        <f>"27/27"</f>
        <v>27/27</v>
      </c>
      <c r="K7653" s="1" t="str">
        <f>"2026-07-29 14:21:02"</f>
        <v>2026-07-29 14:21:02</v>
      </c>
      <c r="L7653" s="1" t="str">
        <f>"2022-11-21 11:47:24"</f>
        <v>2022-11-21 11:47:24</v>
      </c>
      <c r="M7653" s="1" t="s">
        <v>45</v>
      </c>
      <c r="N7653" s="1" t="s">
        <v>38</v>
      </c>
      <c r="O7653" s="1" t="s">
        <v>46</v>
      </c>
    </row>
    <row r="7654" spans="2:15" x14ac:dyDescent="0.3">
      <c r="B7654" s="1" t="s">
        <v>21</v>
      </c>
      <c r="C7654" s="1" t="str">
        <f t="shared" si="374"/>
        <v>5-1차</v>
      </c>
      <c r="D7654" s="1" t="str">
        <f>"9627B1815M"</f>
        <v>9627B1815M</v>
      </c>
      <c r="E7654" s="1" t="s">
        <v>10</v>
      </c>
      <c r="F7654" s="1" t="str">
        <f>"fde3:102:1303:0:0:0:0:2"</f>
        <v>fde3:102:1303:0:0:0:0:2</v>
      </c>
      <c r="G7654" s="1" t="str">
        <f>"9627B181"</f>
        <v>9627B181</v>
      </c>
      <c r="H7654" s="1" t="str">
        <f>"숭실간 57L14"</f>
        <v>숭실간 57L14</v>
      </c>
      <c r="I7654" s="1" t="s">
        <v>15</v>
      </c>
      <c r="J7654" s="1" t="str">
        <f>"36/37"</f>
        <v>36/37</v>
      </c>
      <c r="K7654" s="1" t="str">
        <f>"2026-07-29 14:21:02"</f>
        <v>2026-07-29 14:21:02</v>
      </c>
      <c r="L7654" s="1" t="str">
        <f>"2022-11-29 14:45:02"</f>
        <v>2022-11-29 14:45:02</v>
      </c>
      <c r="M7654" s="1" t="s">
        <v>45</v>
      </c>
      <c r="N7654" s="1" t="s">
        <v>38</v>
      </c>
      <c r="O7654" s="1" t="s">
        <v>46</v>
      </c>
    </row>
    <row r="7655" spans="2:15" x14ac:dyDescent="0.3">
      <c r="B7655" s="1" t="s">
        <v>21</v>
      </c>
      <c r="C7655" s="1" t="str">
        <f>"6차"</f>
        <v>6차</v>
      </c>
      <c r="D7655" s="1" t="str">
        <f>"9627B1826S"</f>
        <v>9627B1826S</v>
      </c>
      <c r="E7655" s="1" t="s">
        <v>10</v>
      </c>
      <c r="F7655" s="1" t="str">
        <f>"fde1:103:4:c792:0:0:0:2"</f>
        <v>fde1:103:4:c792:0:0:0:2</v>
      </c>
      <c r="G7655" s="1" t="str">
        <f>"9627B182"</f>
        <v>9627B182</v>
      </c>
      <c r="H7655" s="1" t="str">
        <f>"숭실간 57L14R1"</f>
        <v>숭실간 57L14R1</v>
      </c>
      <c r="I7655" s="1" t="s">
        <v>15</v>
      </c>
      <c r="J7655" s="1" t="str">
        <f>"31/31"</f>
        <v>31/31</v>
      </c>
      <c r="K7655" s="1" t="str">
        <f>"2026-07-29 14:21:02"</f>
        <v>2026-07-29 14:21:02</v>
      </c>
      <c r="L7655" s="1" t="str">
        <f>"2024-12-10 15:44:31"</f>
        <v>2024-12-10 15:44:31</v>
      </c>
      <c r="M7655" s="1" t="s">
        <v>4</v>
      </c>
      <c r="N7655" s="1" t="s">
        <v>38</v>
      </c>
      <c r="O7655" s="1" t="s">
        <v>46</v>
      </c>
    </row>
    <row r="7656" spans="2:15" x14ac:dyDescent="0.3">
      <c r="B7656" s="1" t="s">
        <v>21</v>
      </c>
      <c r="C7656" s="1" t="str">
        <f>"5-1차"</f>
        <v>5-1차</v>
      </c>
      <c r="D7656" s="1" t="str">
        <f>"9627B1915S"</f>
        <v>9627B1915S</v>
      </c>
      <c r="E7656" s="1" t="s">
        <v>10</v>
      </c>
      <c r="F7656" s="1" t="str">
        <f>"fde3:102:1303:2801:0:0:0:5"</f>
        <v>fde3:102:1303:2801:0:0:0:5</v>
      </c>
      <c r="G7656" s="1" t="str">
        <f>"9627B191"</f>
        <v>9627B191</v>
      </c>
      <c r="H7656" s="1" t="str">
        <f>"숭실간 57L16R1"</f>
        <v>숭실간 57L16R1</v>
      </c>
      <c r="I7656" s="1" t="s">
        <v>15</v>
      </c>
      <c r="J7656" s="1" t="str">
        <f>"27/27"</f>
        <v>27/27</v>
      </c>
      <c r="K7656" s="1" t="str">
        <f>"2026-07-29 14:21:45"</f>
        <v>2026-07-29 14:21:45</v>
      </c>
      <c r="L7656" s="1" t="str">
        <f>"2022-12-07 13:50:40"</f>
        <v>2022-12-07 13:50:40</v>
      </c>
      <c r="M7656" s="1" t="s">
        <v>45</v>
      </c>
      <c r="N7656" s="1" t="s">
        <v>38</v>
      </c>
      <c r="O7656" s="1" t="s">
        <v>46</v>
      </c>
    </row>
    <row r="7657" spans="2:15" x14ac:dyDescent="0.3">
      <c r="B7657" s="1" t="s">
        <v>21</v>
      </c>
      <c r="C7657" s="1" t="str">
        <f>"5-2차"</f>
        <v>5-2차</v>
      </c>
      <c r="D7657" s="1" t="str">
        <f>"9627B2325S"</f>
        <v>9627B2325S</v>
      </c>
      <c r="E7657" s="1" t="s">
        <v>10</v>
      </c>
      <c r="F7657" s="1" t="str">
        <f>"fde1:103:4:59e8:0:0:0:2"</f>
        <v>fde1:103:4:59e8:0:0:0:2</v>
      </c>
      <c r="G7657" s="1" t="str">
        <f>"9627B232"</f>
        <v>9627B232</v>
      </c>
      <c r="H7657" s="1" t="str">
        <f>"숭실간 57L12L6"</f>
        <v>숭실간 57L12L6</v>
      </c>
      <c r="I7657" s="1" t="s">
        <v>15</v>
      </c>
      <c r="J7657" s="1" t="str">
        <f>"41/41"</f>
        <v>41/41</v>
      </c>
      <c r="K7657" s="1" t="str">
        <f>"2026-07-29 14:21:02"</f>
        <v>2026-07-29 14:21:02</v>
      </c>
      <c r="L7657" s="1" t="str">
        <f>"2023-10-13 09:39:47"</f>
        <v>2023-10-13 09:39:47</v>
      </c>
      <c r="M7657" s="1" t="s">
        <v>4</v>
      </c>
      <c r="N7657" s="1" t="s">
        <v>38</v>
      </c>
      <c r="O7657" s="1" t="s">
        <v>46</v>
      </c>
    </row>
    <row r="7658" spans="2:15" x14ac:dyDescent="0.3">
      <c r="B7658" s="1" t="s">
        <v>21</v>
      </c>
      <c r="C7658" s="1" t="str">
        <f>"5-1차"</f>
        <v>5-1차</v>
      </c>
      <c r="D7658" s="1" t="str">
        <f>"9627B2345S"</f>
        <v>9627B2345S</v>
      </c>
      <c r="E7658" s="1" t="s">
        <v>10</v>
      </c>
      <c r="F7658" s="1" t="str">
        <f>"fde3:102:1303:2901:0:0:0:2"</f>
        <v>fde3:102:1303:2901:0:0:0:2</v>
      </c>
      <c r="G7658" s="1" t="str">
        <f>"9627B234"</f>
        <v>9627B234</v>
      </c>
      <c r="H7658" s="1" t="str">
        <f>"숭실간 57L12L7"</f>
        <v>숭실간 57L12L7</v>
      </c>
      <c r="I7658" s="1" t="s">
        <v>15</v>
      </c>
      <c r="J7658" s="1" t="str">
        <f>"55/68"</f>
        <v>55/68</v>
      </c>
      <c r="K7658" s="1" t="str">
        <f>"2026-07-29 14:21:02"</f>
        <v>2026-07-29 14:21:02</v>
      </c>
      <c r="L7658" s="1" t="str">
        <f>"2022-11-23 10:26:05"</f>
        <v>2022-11-23 10:26:05</v>
      </c>
      <c r="M7658" s="1" t="s">
        <v>45</v>
      </c>
      <c r="N7658" s="1" t="s">
        <v>38</v>
      </c>
      <c r="O7658" s="1" t="s">
        <v>46</v>
      </c>
    </row>
    <row r="7659" spans="2:15" x14ac:dyDescent="0.3">
      <c r="B7659" s="1" t="s">
        <v>21</v>
      </c>
      <c r="C7659" s="1" t="str">
        <f>"5-1차"</f>
        <v>5-1차</v>
      </c>
      <c r="D7659" s="1" t="str">
        <f>"9627B2435M"</f>
        <v>9627B2435M</v>
      </c>
      <c r="E7659" s="1" t="s">
        <v>10</v>
      </c>
      <c r="F7659" s="1" t="str">
        <f>"fde3:102:1303:2801:0:0:0:8"</f>
        <v>fde3:102:1303:2801:0:0:0:8</v>
      </c>
      <c r="G7659" s="1" t="str">
        <f>"9627B243"</f>
        <v>9627B243</v>
      </c>
      <c r="H7659" s="1" t="str">
        <f>"숭실간 57L12L3"</f>
        <v>숭실간 57L12L3</v>
      </c>
      <c r="I7659" s="1" t="s">
        <v>15</v>
      </c>
      <c r="J7659" s="1" t="str">
        <f>"50/52"</f>
        <v>50/52</v>
      </c>
      <c r="K7659" s="1" t="str">
        <f>"2026-07-29 14:21:45"</f>
        <v>2026-07-29 14:21:45</v>
      </c>
      <c r="L7659" s="1" t="str">
        <f>"2022-12-13 14:08:22"</f>
        <v>2022-12-13 14:08:22</v>
      </c>
      <c r="M7659" s="1" t="s">
        <v>45</v>
      </c>
      <c r="N7659" s="1" t="s">
        <v>38</v>
      </c>
      <c r="O7659" s="1" t="s">
        <v>46</v>
      </c>
    </row>
    <row r="7660" spans="2:15" x14ac:dyDescent="0.3">
      <c r="B7660" s="1" t="s">
        <v>21</v>
      </c>
      <c r="C7660" s="1" t="str">
        <f>"5-1차"</f>
        <v>5-1차</v>
      </c>
      <c r="D7660" s="1" t="str">
        <f>"9627B2525M"</f>
        <v>9627B2525M</v>
      </c>
      <c r="E7660" s="1" t="s">
        <v>10</v>
      </c>
      <c r="F7660" s="1" t="str">
        <f>"fde2:104:0:187:0:0:0:2"</f>
        <v>fde2:104:0:187:0:0:0:2</v>
      </c>
      <c r="G7660" s="1" t="str">
        <f>"9627B252"</f>
        <v>9627B252</v>
      </c>
      <c r="H7660" s="1" t="str">
        <f>"숭실간 57L12L2"</f>
        <v>숭실간 57L12L2</v>
      </c>
      <c r="I7660" s="1" t="s">
        <v>15</v>
      </c>
      <c r="J7660" s="1" t="str">
        <f>"27/27"</f>
        <v>27/27</v>
      </c>
      <c r="K7660" s="1" t="str">
        <f>"2026-07-29 14:21:52"</f>
        <v>2026-07-29 14:21:52</v>
      </c>
      <c r="L7660" s="1" t="str">
        <f>"2022-11-23 10:28:38"</f>
        <v>2022-11-23 10:28:38</v>
      </c>
      <c r="M7660" s="1" t="s">
        <v>42</v>
      </c>
      <c r="N7660" s="1" t="s">
        <v>38</v>
      </c>
      <c r="O7660" s="1" t="s">
        <v>46</v>
      </c>
    </row>
    <row r="7661" spans="2:15" x14ac:dyDescent="0.3">
      <c r="B7661" s="1" t="s">
        <v>21</v>
      </c>
      <c r="C7661" s="1" t="str">
        <f>"5-2차"</f>
        <v>5-2차</v>
      </c>
      <c r="D7661" s="1" t="str">
        <f>"9627B2615S"</f>
        <v>9627B2615S</v>
      </c>
      <c r="E7661" s="1" t="s">
        <v>10</v>
      </c>
      <c r="F7661" s="1" t="str">
        <f>"fde1:103:4:5869:0:0:0:2"</f>
        <v>fde1:103:4:5869:0:0:0:2</v>
      </c>
      <c r="G7661" s="1" t="str">
        <f>"9627B261"</f>
        <v>9627B261</v>
      </c>
      <c r="H7661" s="1" t="str">
        <f>"숭실간 57L12"</f>
        <v>숭실간 57L12</v>
      </c>
      <c r="I7661" s="1" t="s">
        <v>15</v>
      </c>
      <c r="J7661" s="1" t="str">
        <f>"38/39"</f>
        <v>38/39</v>
      </c>
      <c r="K7661" s="1" t="str">
        <f>"2026-07-29 14:21:08"</f>
        <v>2026-07-29 14:21:08</v>
      </c>
      <c r="L7661" s="1" t="str">
        <f>"2023-10-13 09:40:34"</f>
        <v>2023-10-13 09:40:34</v>
      </c>
      <c r="M7661" s="1" t="s">
        <v>4</v>
      </c>
      <c r="N7661" s="1" t="s">
        <v>38</v>
      </c>
      <c r="O7661" s="1" t="s">
        <v>46</v>
      </c>
    </row>
    <row r="7662" spans="2:15" x14ac:dyDescent="0.3">
      <c r="B7662" s="1" t="s">
        <v>21</v>
      </c>
      <c r="C7662" s="1" t="str">
        <f t="shared" ref="C7662:C7671" si="375">"5-1차"</f>
        <v>5-1차</v>
      </c>
      <c r="D7662" s="1" t="str">
        <f>"9627B2915M"</f>
        <v>9627B2915M</v>
      </c>
      <c r="E7662" s="1" t="s">
        <v>10</v>
      </c>
      <c r="F7662" s="1" t="str">
        <f>"fde2:104:0:16f:0:0:0:2"</f>
        <v>fde2:104:0:16f:0:0:0:2</v>
      </c>
      <c r="G7662" s="1" t="str">
        <f>"9627B291"</f>
        <v>9627B291</v>
      </c>
      <c r="H7662" s="1" t="str">
        <f>"숭실간 57L16R2"</f>
        <v>숭실간 57L16R2</v>
      </c>
      <c r="I7662" s="1" t="s">
        <v>15</v>
      </c>
      <c r="J7662" s="1" t="str">
        <f>"45/45"</f>
        <v>45/45</v>
      </c>
      <c r="K7662" s="1" t="str">
        <f>"2026-07-29 14:21:46"</f>
        <v>2026-07-29 14:21:46</v>
      </c>
      <c r="L7662" s="1" t="str">
        <f>"2022-12-22 17:16:44"</f>
        <v>2022-12-22 17:16:44</v>
      </c>
      <c r="M7662" s="1" t="s">
        <v>42</v>
      </c>
      <c r="N7662" s="1" t="s">
        <v>38</v>
      </c>
      <c r="O7662" s="1" t="s">
        <v>46</v>
      </c>
    </row>
    <row r="7663" spans="2:15" x14ac:dyDescent="0.3">
      <c r="B7663" s="1" t="s">
        <v>21</v>
      </c>
      <c r="C7663" s="1" t="str">
        <f t="shared" si="375"/>
        <v>5-1차</v>
      </c>
      <c r="D7663" s="1" t="str">
        <f>"9627B3325M"</f>
        <v>9627B3325M</v>
      </c>
      <c r="E7663" s="1" t="s">
        <v>10</v>
      </c>
      <c r="F7663" s="1" t="str">
        <f>"fde2:104:0:36:0:0:0:2"</f>
        <v>fde2:104:0:36:0:0:0:2</v>
      </c>
      <c r="G7663" s="1" t="str">
        <f>"9627B332"</f>
        <v>9627B332</v>
      </c>
      <c r="H7663" s="1" t="str">
        <f>"숭실간 57L12L3A2"</f>
        <v>숭실간 57L12L3A2</v>
      </c>
      <c r="I7663" s="1" t="s">
        <v>15</v>
      </c>
      <c r="J7663" s="1" t="str">
        <f>"36/36"</f>
        <v>36/36</v>
      </c>
      <c r="K7663" s="1" t="str">
        <f>"2026-07-29 14:21:39"</f>
        <v>2026-07-29 14:21:39</v>
      </c>
      <c r="L7663" s="1" t="str">
        <f>"2022-09-02 09:16:51"</f>
        <v>2022-09-02 09:16:51</v>
      </c>
      <c r="M7663" s="1" t="s">
        <v>42</v>
      </c>
      <c r="N7663" s="1" t="s">
        <v>38</v>
      </c>
      <c r="O7663" s="1" t="s">
        <v>46</v>
      </c>
    </row>
    <row r="7664" spans="2:15" x14ac:dyDescent="0.3">
      <c r="B7664" s="1" t="s">
        <v>21</v>
      </c>
      <c r="C7664" s="1" t="str">
        <f t="shared" si="375"/>
        <v>5-1차</v>
      </c>
      <c r="D7664" s="1" t="str">
        <f>"9627B3515M"</f>
        <v>9627B3515M</v>
      </c>
      <c r="E7664" s="1" t="s">
        <v>10</v>
      </c>
      <c r="F7664" s="1" t="str">
        <f>"fde2:104:0:4:0:0:0:2"</f>
        <v>fde2:104:0:4:0:0:0:2</v>
      </c>
      <c r="G7664" s="1" t="str">
        <f>"9627B351"</f>
        <v>9627B351</v>
      </c>
      <c r="H7664" s="1" t="str">
        <f>"숭실간 57L12L1L3"</f>
        <v>숭실간 57L12L1L3</v>
      </c>
      <c r="I7664" s="1" t="s">
        <v>15</v>
      </c>
      <c r="J7664" s="1" t="str">
        <f>"38/38"</f>
        <v>38/38</v>
      </c>
      <c r="K7664" s="1" t="str">
        <f>"2026-07-29 08:21:41"</f>
        <v>2026-07-29 08:21:41</v>
      </c>
      <c r="L7664" s="1" t="str">
        <f>"2022-09-02 10:51:05"</f>
        <v>2022-09-02 10:51:05</v>
      </c>
      <c r="M7664" s="1" t="s">
        <v>42</v>
      </c>
      <c r="N7664" s="1" t="s">
        <v>38</v>
      </c>
      <c r="O7664" s="1" t="s">
        <v>46</v>
      </c>
    </row>
    <row r="7665" spans="2:15" x14ac:dyDescent="0.3">
      <c r="B7665" s="1" t="s">
        <v>21</v>
      </c>
      <c r="C7665" s="1" t="str">
        <f t="shared" si="375"/>
        <v>5-1차</v>
      </c>
      <c r="D7665" s="1" t="str">
        <f>"9627B3615S"</f>
        <v>9627B3615S</v>
      </c>
      <c r="E7665" s="1" t="s">
        <v>10</v>
      </c>
      <c r="F7665" s="1" t="str">
        <f>"fde2:104:0:15:0:0:0:2"</f>
        <v>fde2:104:0:15:0:0:0:2</v>
      </c>
      <c r="G7665" s="1" t="str">
        <f>"9627B361"</f>
        <v>9627B361</v>
      </c>
      <c r="H7665" s="1" t="str">
        <f>"숭실간 57L11L1"</f>
        <v>숭실간 57L11L1</v>
      </c>
      <c r="I7665" s="1" t="s">
        <v>15</v>
      </c>
      <c r="J7665" s="1" t="str">
        <f>"37/37"</f>
        <v>37/37</v>
      </c>
      <c r="K7665" s="1" t="str">
        <f>"2026-07-29 14:21:10"</f>
        <v>2026-07-29 14:21:10</v>
      </c>
      <c r="L7665" s="1" t="str">
        <f>"2022-09-04 10:41:53"</f>
        <v>2022-09-04 10:41:53</v>
      </c>
      <c r="M7665" s="1" t="s">
        <v>42</v>
      </c>
      <c r="N7665" s="1" t="s">
        <v>38</v>
      </c>
      <c r="O7665" s="1" t="s">
        <v>46</v>
      </c>
    </row>
    <row r="7666" spans="2:15" x14ac:dyDescent="0.3">
      <c r="B7666" s="1" t="s">
        <v>21</v>
      </c>
      <c r="C7666" s="1" t="str">
        <f t="shared" si="375"/>
        <v>5-1차</v>
      </c>
      <c r="D7666" s="1" t="str">
        <f>"9627B3715S"</f>
        <v>9627B3715S</v>
      </c>
      <c r="E7666" s="1" t="s">
        <v>10</v>
      </c>
      <c r="F7666" s="1" t="str">
        <f>"fde2:104:0:194:0:0:0:2"</f>
        <v>fde2:104:0:194:0:0:0:2</v>
      </c>
      <c r="G7666" s="1" t="str">
        <f>"9627B371"</f>
        <v>9627B371</v>
      </c>
      <c r="H7666" s="1" t="str">
        <f>"숭실간 57L10"</f>
        <v>숭실간 57L10</v>
      </c>
      <c r="I7666" s="1" t="s">
        <v>15</v>
      </c>
      <c r="J7666" s="1" t="str">
        <f>"41/41"</f>
        <v>41/41</v>
      </c>
      <c r="K7666" s="1" t="str">
        <f>"2026-07-29 14:21:46"</f>
        <v>2026-07-29 14:21:46</v>
      </c>
      <c r="L7666" s="1" t="str">
        <f>"2023-02-09 11:14:52"</f>
        <v>2023-02-09 11:14:52</v>
      </c>
      <c r="M7666" s="1" t="s">
        <v>42</v>
      </c>
      <c r="N7666" s="1" t="s">
        <v>38</v>
      </c>
      <c r="O7666" s="1" t="s">
        <v>46</v>
      </c>
    </row>
    <row r="7667" spans="2:15" x14ac:dyDescent="0.3">
      <c r="B7667" s="1" t="s">
        <v>21</v>
      </c>
      <c r="C7667" s="1" t="str">
        <f t="shared" si="375"/>
        <v>5-1차</v>
      </c>
      <c r="D7667" s="1" t="str">
        <f>"9627B3725M"</f>
        <v>9627B3725M</v>
      </c>
      <c r="E7667" s="1" t="s">
        <v>10</v>
      </c>
      <c r="F7667" s="1" t="str">
        <f>"fde2:104:0:182:0:0:0:2"</f>
        <v>fde2:104:0:182:0:0:0:2</v>
      </c>
      <c r="G7667" s="1" t="str">
        <f>"9627B372"</f>
        <v>9627B372</v>
      </c>
      <c r="H7667" s="1" t="str">
        <f>"숭실간 57L11"</f>
        <v>숭실간 57L11</v>
      </c>
      <c r="I7667" s="1" t="s">
        <v>15</v>
      </c>
      <c r="J7667" s="1" t="str">
        <f>"18/19"</f>
        <v>18/19</v>
      </c>
      <c r="K7667" s="1" t="str">
        <f>"2026-07-29 14:21:48"</f>
        <v>2026-07-29 14:21:48</v>
      </c>
      <c r="L7667" s="1" t="str">
        <f>"2022-11-21 11:48:16"</f>
        <v>2022-11-21 11:48:16</v>
      </c>
      <c r="M7667" s="1" t="s">
        <v>42</v>
      </c>
      <c r="N7667" s="1" t="s">
        <v>38</v>
      </c>
      <c r="O7667" s="1" t="s">
        <v>46</v>
      </c>
    </row>
    <row r="7668" spans="2:15" x14ac:dyDescent="0.3">
      <c r="B7668" s="1" t="s">
        <v>21</v>
      </c>
      <c r="C7668" s="1" t="str">
        <f t="shared" si="375"/>
        <v>5-1차</v>
      </c>
      <c r="D7668" s="1" t="str">
        <f>"9627B3845S"</f>
        <v>9627B3845S</v>
      </c>
      <c r="E7668" s="1" t="s">
        <v>10</v>
      </c>
      <c r="F7668" s="1" t="str">
        <f>"fde3:102:1303:2801:0:0:0:7"</f>
        <v>fde3:102:1303:2801:0:0:0:7</v>
      </c>
      <c r="G7668" s="1" t="str">
        <f>"9627B384"</f>
        <v>9627B384</v>
      </c>
      <c r="H7668" s="1" t="str">
        <f>"숭실간 57L14R3"</f>
        <v>숭실간 57L14R3</v>
      </c>
      <c r="I7668" s="1" t="s">
        <v>15</v>
      </c>
      <c r="J7668" s="1" t="str">
        <f>"40/40"</f>
        <v>40/40</v>
      </c>
      <c r="K7668" s="1" t="str">
        <f>"2026-07-29 14:21:46"</f>
        <v>2026-07-29 14:21:46</v>
      </c>
      <c r="L7668" s="1" t="str">
        <f>"2022-11-21 11:48:49"</f>
        <v>2022-11-21 11:48:49</v>
      </c>
      <c r="M7668" s="1" t="s">
        <v>45</v>
      </c>
      <c r="N7668" s="1" t="s">
        <v>38</v>
      </c>
      <c r="O7668" s="1" t="s">
        <v>46</v>
      </c>
    </row>
    <row r="7669" spans="2:15" x14ac:dyDescent="0.3">
      <c r="B7669" s="1" t="s">
        <v>21</v>
      </c>
      <c r="C7669" s="1" t="str">
        <f t="shared" si="375"/>
        <v>5-1차</v>
      </c>
      <c r="D7669" s="1" t="str">
        <f>"9627B4335M"</f>
        <v>9627B4335M</v>
      </c>
      <c r="E7669" s="1" t="s">
        <v>10</v>
      </c>
      <c r="F7669" s="1" t="str">
        <f>"fde3:102:1303:3:0:0:0:2"</f>
        <v>fde3:102:1303:3:0:0:0:2</v>
      </c>
      <c r="G7669" s="1" t="str">
        <f>"9627B433"</f>
        <v>9627B433</v>
      </c>
      <c r="H7669" s="1" t="str">
        <f>"숭실간 46L2"</f>
        <v>숭실간 46L2</v>
      </c>
      <c r="I7669" s="1" t="s">
        <v>15</v>
      </c>
      <c r="J7669" s="1" t="str">
        <f>"100/100"</f>
        <v>100/100</v>
      </c>
      <c r="K7669" s="1" t="str">
        <f>"2026-07-29 14:21:46"</f>
        <v>2026-07-29 14:21:46</v>
      </c>
      <c r="L7669" s="1" t="str">
        <f>"2022-11-16 14:32:09"</f>
        <v>2022-11-16 14:32:09</v>
      </c>
      <c r="M7669" s="1" t="s">
        <v>45</v>
      </c>
      <c r="N7669" s="1" t="s">
        <v>38</v>
      </c>
      <c r="O7669" s="1" t="s">
        <v>46</v>
      </c>
    </row>
    <row r="7670" spans="2:15" x14ac:dyDescent="0.3">
      <c r="B7670" s="1" t="s">
        <v>21</v>
      </c>
      <c r="C7670" s="1" t="str">
        <f t="shared" si="375"/>
        <v>5-1차</v>
      </c>
      <c r="D7670" s="1" t="str">
        <f>"9627B4625M"</f>
        <v>9627B4625M</v>
      </c>
      <c r="E7670" s="1" t="s">
        <v>10</v>
      </c>
      <c r="F7670" s="1" t="str">
        <f>"fde3:102:1303:4:0:0:0:2"</f>
        <v>fde3:102:1303:4:0:0:0:2</v>
      </c>
      <c r="G7670" s="1" t="str">
        <f>"9627B462"</f>
        <v>9627B462</v>
      </c>
      <c r="H7670" s="1" t="str">
        <f>"숭실간 54L6"</f>
        <v>숭실간 54L6</v>
      </c>
      <c r="I7670" s="1" t="s">
        <v>15</v>
      </c>
      <c r="J7670" s="1" t="str">
        <f>"33/38"</f>
        <v>33/38</v>
      </c>
      <c r="K7670" s="1" t="str">
        <f>"2026-07-29 14:21:47"</f>
        <v>2026-07-29 14:21:47</v>
      </c>
      <c r="L7670" s="1" t="str">
        <f>"2022-11-08 15:10:23"</f>
        <v>2022-11-08 15:10:23</v>
      </c>
      <c r="M7670" s="1" t="s">
        <v>45</v>
      </c>
      <c r="N7670" s="1" t="s">
        <v>38</v>
      </c>
      <c r="O7670" s="1" t="s">
        <v>46</v>
      </c>
    </row>
    <row r="7671" spans="2:15" x14ac:dyDescent="0.3">
      <c r="B7671" s="1" t="s">
        <v>21</v>
      </c>
      <c r="C7671" s="1" t="str">
        <f t="shared" si="375"/>
        <v>5-1차</v>
      </c>
      <c r="D7671" s="1" t="str">
        <f>"9627B4815M"</f>
        <v>9627B4815M</v>
      </c>
      <c r="E7671" s="1" t="s">
        <v>10</v>
      </c>
      <c r="F7671" s="1" t="str">
        <f>"fde3:102:1303:2800:0:0:0:4"</f>
        <v>fde3:102:1303:2800:0:0:0:4</v>
      </c>
      <c r="G7671" s="1" t="str">
        <f>"9627B481"</f>
        <v>9627B481</v>
      </c>
      <c r="H7671" s="1" t="str">
        <f>"숭실간 57L8"</f>
        <v>숭실간 57L8</v>
      </c>
      <c r="I7671" s="1" t="s">
        <v>15</v>
      </c>
      <c r="J7671" s="1" t="str">
        <f>"45/45"</f>
        <v>45/45</v>
      </c>
      <c r="K7671" s="1" t="str">
        <f>"2026-07-29 14:21:08"</f>
        <v>2026-07-29 14:21:08</v>
      </c>
      <c r="L7671" s="1" t="str">
        <f>"2022-11-21 11:47:53"</f>
        <v>2022-11-21 11:47:53</v>
      </c>
      <c r="M7671" s="1" t="s">
        <v>45</v>
      </c>
      <c r="N7671" s="1" t="s">
        <v>38</v>
      </c>
      <c r="O7671" s="1" t="s">
        <v>46</v>
      </c>
    </row>
    <row r="7672" spans="2:15" x14ac:dyDescent="0.3">
      <c r="B7672" s="1" t="s">
        <v>21</v>
      </c>
      <c r="C7672" s="1" t="str">
        <f>"6차"</f>
        <v>6차</v>
      </c>
      <c r="D7672" s="1" t="str">
        <f>"9627B4826S"</f>
        <v>9627B4826S</v>
      </c>
      <c r="E7672" s="1" t="s">
        <v>10</v>
      </c>
      <c r="F7672" s="1" t="str">
        <f>"fde1:103:4:c714:0:0:0:2"</f>
        <v>fde1:103:4:c714:0:0:0:2</v>
      </c>
      <c r="G7672" s="1" t="str">
        <f>"9627B482"</f>
        <v>9627B482</v>
      </c>
      <c r="H7672" s="1" t="str">
        <f>"숭실간 57L8R1"</f>
        <v>숭실간 57L8R1</v>
      </c>
      <c r="I7672" s="1" t="s">
        <v>15</v>
      </c>
      <c r="J7672" s="1" t="str">
        <f>"26/26"</f>
        <v>26/26</v>
      </c>
      <c r="K7672" s="1" t="str">
        <f>"2026-07-29 14:21:47"</f>
        <v>2026-07-29 14:21:47</v>
      </c>
      <c r="L7672" s="1" t="str">
        <f>"2024-12-10 15:54:34"</f>
        <v>2024-12-10 15:54:34</v>
      </c>
      <c r="M7672" s="1" t="s">
        <v>4</v>
      </c>
      <c r="N7672" s="1" t="s">
        <v>38</v>
      </c>
      <c r="O7672" s="1" t="s">
        <v>46</v>
      </c>
    </row>
    <row r="7673" spans="2:15" x14ac:dyDescent="0.3">
      <c r="B7673" s="1" t="s">
        <v>21</v>
      </c>
      <c r="C7673" s="1" t="str">
        <f t="shared" ref="C7673:C7680" si="376">"5-1차"</f>
        <v>5-1차</v>
      </c>
      <c r="D7673" s="1" t="str">
        <f>"9627B5415S"</f>
        <v>9627B5415S</v>
      </c>
      <c r="E7673" s="1" t="s">
        <v>10</v>
      </c>
      <c r="F7673" s="1" t="str">
        <f>"fde3:102:1303:5:0:0:0:2"</f>
        <v>fde3:102:1303:5:0:0:0:2</v>
      </c>
      <c r="G7673" s="1" t="str">
        <f>"9627B541"</f>
        <v>9627B541</v>
      </c>
      <c r="H7673" s="1" t="str">
        <f>"숭실간 52L2"</f>
        <v>숭실간 52L2</v>
      </c>
      <c r="I7673" s="1" t="s">
        <v>15</v>
      </c>
      <c r="J7673" s="1" t="str">
        <f>"52/52"</f>
        <v>52/52</v>
      </c>
      <c r="K7673" s="1" t="str">
        <f>"2026-07-29 14:21:09"</f>
        <v>2026-07-29 14:21:09</v>
      </c>
      <c r="L7673" s="1" t="str">
        <f>"2022-11-16 14:32:20"</f>
        <v>2022-11-16 14:32:20</v>
      </c>
      <c r="M7673" s="1" t="s">
        <v>45</v>
      </c>
      <c r="N7673" s="1" t="s">
        <v>38</v>
      </c>
      <c r="O7673" s="1" t="s">
        <v>46</v>
      </c>
    </row>
    <row r="7674" spans="2:15" x14ac:dyDescent="0.3">
      <c r="B7674" s="1" t="s">
        <v>21</v>
      </c>
      <c r="C7674" s="1" t="str">
        <f t="shared" si="376"/>
        <v>5-1차</v>
      </c>
      <c r="D7674" s="1" t="str">
        <f>"9627B5615M"</f>
        <v>9627B5615M</v>
      </c>
      <c r="E7674" s="1" t="s">
        <v>10</v>
      </c>
      <c r="F7674" s="1" t="str">
        <f>"fde3:102:1303:2:0:0:0:2"</f>
        <v>fde3:102:1303:2:0:0:0:2</v>
      </c>
      <c r="G7674" s="1" t="str">
        <f>"9627B561"</f>
        <v>9627B561</v>
      </c>
      <c r="H7674" s="1" t="str">
        <f>"숭실간 54L4"</f>
        <v>숭실간 54L4</v>
      </c>
      <c r="I7674" s="1" t="s">
        <v>15</v>
      </c>
      <c r="J7674" s="1" t="str">
        <f>"39/40"</f>
        <v>39/40</v>
      </c>
      <c r="K7674" s="1" t="str">
        <f>"2026-07-29 14:21:53"</f>
        <v>2026-07-29 14:21:53</v>
      </c>
      <c r="L7674" s="1" t="str">
        <f>"2022-11-16 14:33:18"</f>
        <v>2022-11-16 14:33:18</v>
      </c>
      <c r="M7674" s="1" t="s">
        <v>45</v>
      </c>
      <c r="N7674" s="1" t="s">
        <v>38</v>
      </c>
      <c r="O7674" s="1" t="s">
        <v>46</v>
      </c>
    </row>
    <row r="7675" spans="2:15" x14ac:dyDescent="0.3">
      <c r="B7675" s="1" t="s">
        <v>21</v>
      </c>
      <c r="C7675" s="1" t="str">
        <f t="shared" si="376"/>
        <v>5-1차</v>
      </c>
      <c r="D7675" s="1" t="str">
        <f>"9627B5715M"</f>
        <v>9627B5715M</v>
      </c>
      <c r="E7675" s="1" t="s">
        <v>10</v>
      </c>
      <c r="F7675" s="1" t="str">
        <f>"fde2:104:0:1:0:0:0:2"</f>
        <v>fde2:104:0:1:0:0:0:2</v>
      </c>
      <c r="G7675" s="1" t="str">
        <f>"9627B571"</f>
        <v>9627B571</v>
      </c>
      <c r="H7675" s="1" t="str">
        <f>"숭실간 57L8L1"</f>
        <v>숭실간 57L8L1</v>
      </c>
      <c r="I7675" s="1" t="s">
        <v>15</v>
      </c>
      <c r="J7675" s="1" t="str">
        <f>"34/65"</f>
        <v>34/65</v>
      </c>
      <c r="K7675" s="1" t="str">
        <f>"2026-07-29 14:21:39"</f>
        <v>2026-07-29 14:21:39</v>
      </c>
      <c r="L7675" s="1" t="str">
        <f>"2022-09-08 11:56:41"</f>
        <v>2022-09-08 11:56:41</v>
      </c>
      <c r="M7675" s="1" t="s">
        <v>42</v>
      </c>
      <c r="N7675" s="1" t="s">
        <v>38</v>
      </c>
      <c r="O7675" s="1" t="s">
        <v>46</v>
      </c>
    </row>
    <row r="7676" spans="2:15" x14ac:dyDescent="0.3">
      <c r="B7676" s="1" t="s">
        <v>21</v>
      </c>
      <c r="C7676" s="1" t="str">
        <f t="shared" si="376"/>
        <v>5-1차</v>
      </c>
      <c r="D7676" s="1" t="str">
        <f>"9627B5935M"</f>
        <v>9627B5935M</v>
      </c>
      <c r="E7676" s="1" t="s">
        <v>10</v>
      </c>
      <c r="F7676" s="1" t="str">
        <f>"fde3:102:1303:2800:0:0:0:7"</f>
        <v>fde3:102:1303:2800:0:0:0:7</v>
      </c>
      <c r="G7676" s="1" t="str">
        <f>"9627B593"</f>
        <v>9627B593</v>
      </c>
      <c r="H7676" s="1" t="str">
        <f>"숭실간 57L4R2"</f>
        <v>숭실간 57L4R2</v>
      </c>
      <c r="I7676" s="1" t="s">
        <v>15</v>
      </c>
      <c r="J7676" s="1" t="str">
        <f>"55/55"</f>
        <v>55/55</v>
      </c>
      <c r="K7676" s="1" t="str">
        <f>"2026-07-29 14:21:09"</f>
        <v>2026-07-29 14:21:09</v>
      </c>
      <c r="L7676" s="1" t="str">
        <f>"2022-12-15 10:42:58"</f>
        <v>2022-12-15 10:42:58</v>
      </c>
      <c r="M7676" s="1" t="s">
        <v>45</v>
      </c>
      <c r="N7676" s="1" t="s">
        <v>38</v>
      </c>
      <c r="O7676" s="1" t="s">
        <v>46</v>
      </c>
    </row>
    <row r="7677" spans="2:15" x14ac:dyDescent="0.3">
      <c r="B7677" s="1" t="s">
        <v>21</v>
      </c>
      <c r="C7677" s="1" t="str">
        <f t="shared" si="376"/>
        <v>5-1차</v>
      </c>
      <c r="D7677" s="1" t="str">
        <f>"9627B6345M"</f>
        <v>9627B6345M</v>
      </c>
      <c r="E7677" s="1" t="s">
        <v>10</v>
      </c>
      <c r="F7677" s="1" t="str">
        <f>"fde2:104:0:d:0:0:0:2"</f>
        <v>fde2:104:0:d:0:0:0:2</v>
      </c>
      <c r="G7677" s="1" t="str">
        <f>"9627B634"</f>
        <v>9627B634</v>
      </c>
      <c r="H7677" s="1" t="str">
        <f>"숭실간 47"</f>
        <v>숭실간 47</v>
      </c>
      <c r="I7677" s="1" t="s">
        <v>15</v>
      </c>
      <c r="J7677" s="1" t="str">
        <f>"55/55"</f>
        <v>55/55</v>
      </c>
      <c r="K7677" s="1" t="str">
        <f>"2026-07-29 14:21:48"</f>
        <v>2026-07-29 14:21:48</v>
      </c>
      <c r="L7677" s="1" t="str">
        <f>"2022-09-07 15:22:05"</f>
        <v>2022-09-07 15:22:05</v>
      </c>
      <c r="M7677" s="1" t="s">
        <v>42</v>
      </c>
      <c r="N7677" s="1" t="s">
        <v>38</v>
      </c>
      <c r="O7677" s="1" t="s">
        <v>46</v>
      </c>
    </row>
    <row r="7678" spans="2:15" x14ac:dyDescent="0.3">
      <c r="B7678" s="1" t="s">
        <v>21</v>
      </c>
      <c r="C7678" s="1" t="str">
        <f t="shared" si="376"/>
        <v>5-1차</v>
      </c>
      <c r="D7678" s="1" t="str">
        <f>"9627B6365M"</f>
        <v>9627B6365M</v>
      </c>
      <c r="E7678" s="1" t="s">
        <v>10</v>
      </c>
      <c r="F7678" s="1" t="str">
        <f>"fde2:104:0:48:0:0:0:2"</f>
        <v>fde2:104:0:48:0:0:0:2</v>
      </c>
      <c r="G7678" s="1" t="str">
        <f>"9627B636"</f>
        <v>9627B636</v>
      </c>
      <c r="H7678" s="1" t="str">
        <f>"숭실간 48"</f>
        <v>숭실간 48</v>
      </c>
      <c r="I7678" s="1" t="s">
        <v>15</v>
      </c>
      <c r="J7678" s="1" t="str">
        <f>"14/16"</f>
        <v>14/16</v>
      </c>
      <c r="K7678" s="1" t="str">
        <f>"2026-07-29 14:21:39"</f>
        <v>2026-07-29 14:21:39</v>
      </c>
      <c r="L7678" s="1" t="str">
        <f>"2022-09-08 07:42:26"</f>
        <v>2022-09-08 07:42:26</v>
      </c>
      <c r="M7678" s="1" t="s">
        <v>42</v>
      </c>
      <c r="N7678" s="1" t="s">
        <v>38</v>
      </c>
      <c r="O7678" s="1" t="s">
        <v>46</v>
      </c>
    </row>
    <row r="7679" spans="2:15" x14ac:dyDescent="0.3">
      <c r="B7679" s="1" t="s">
        <v>21</v>
      </c>
      <c r="C7679" s="1" t="str">
        <f t="shared" si="376"/>
        <v>5-1차</v>
      </c>
      <c r="D7679" s="1" t="str">
        <f>"9627B6515M"</f>
        <v>9627B6515M</v>
      </c>
      <c r="E7679" s="1" t="s">
        <v>10</v>
      </c>
      <c r="F7679" s="1" t="str">
        <f>"fde3:102:1303:5:0:0:0:3"</f>
        <v>fde3:102:1303:5:0:0:0:3</v>
      </c>
      <c r="G7679" s="1" t="str">
        <f>"9627B651"</f>
        <v>9627B651</v>
      </c>
      <c r="H7679" s="1" t="str">
        <f>"숭실간 52L1"</f>
        <v>숭실간 52L1</v>
      </c>
      <c r="I7679" s="1" t="s">
        <v>15</v>
      </c>
      <c r="J7679" s="1" t="str">
        <f>"42/42"</f>
        <v>42/42</v>
      </c>
      <c r="K7679" s="1" t="str">
        <f>"2026-07-29 14:21:09"</f>
        <v>2026-07-29 14:21:09</v>
      </c>
      <c r="L7679" s="1" t="str">
        <f>"2022-11-08 15:11:20"</f>
        <v>2022-11-08 15:11:20</v>
      </c>
      <c r="M7679" s="1" t="s">
        <v>45</v>
      </c>
      <c r="N7679" s="1" t="s">
        <v>38</v>
      </c>
      <c r="O7679" s="1" t="s">
        <v>46</v>
      </c>
    </row>
    <row r="7680" spans="2:15" x14ac:dyDescent="0.3">
      <c r="B7680" s="1" t="s">
        <v>21</v>
      </c>
      <c r="C7680" s="1" t="str">
        <f t="shared" si="376"/>
        <v>5-1차</v>
      </c>
      <c r="D7680" s="1" t="str">
        <f>"9627B6815M"</f>
        <v>9627B6815M</v>
      </c>
      <c r="E7680" s="1" t="s">
        <v>10</v>
      </c>
      <c r="F7680" s="1" t="str">
        <f>"fde2:104:0:fa:0:0:0:2"</f>
        <v>fde2:104:0:fa:0:0:0:2</v>
      </c>
      <c r="G7680" s="1" t="str">
        <f>"9627B681"</f>
        <v>9627B681</v>
      </c>
      <c r="H7680" s="1" t="str">
        <f>"숭실간 57L3"</f>
        <v>숭실간 57L3</v>
      </c>
      <c r="I7680" s="1" t="s">
        <v>15</v>
      </c>
      <c r="J7680" s="1" t="str">
        <f>"55/55"</f>
        <v>55/55</v>
      </c>
      <c r="K7680" s="1" t="str">
        <f>"2026-07-29 14:21:48"</f>
        <v>2026-07-29 14:21:48</v>
      </c>
      <c r="L7680" s="1" t="str">
        <f>"2022-11-28 10:35:22"</f>
        <v>2022-11-28 10:35:22</v>
      </c>
      <c r="M7680" s="1" t="s">
        <v>42</v>
      </c>
      <c r="N7680" s="1" t="s">
        <v>38</v>
      </c>
      <c r="O7680" s="1" t="s">
        <v>46</v>
      </c>
    </row>
    <row r="7681" spans="2:15" x14ac:dyDescent="0.3">
      <c r="B7681" s="1" t="s">
        <v>21</v>
      </c>
      <c r="C7681" s="1" t="str">
        <f>"5-2차"</f>
        <v>5-2차</v>
      </c>
      <c r="D7681" s="1" t="str">
        <f>"9627B6915M"</f>
        <v>9627B6915M</v>
      </c>
      <c r="E7681" s="1" t="s">
        <v>10</v>
      </c>
      <c r="F7681" s="1" t="str">
        <f>"fde1:103:4:5994:0:0:0:2"</f>
        <v>fde1:103:4:5994:0:0:0:2</v>
      </c>
      <c r="G7681" s="1" t="str">
        <f>"9627B691"</f>
        <v>9627B691</v>
      </c>
      <c r="H7681" s="1" t="str">
        <f>"숭실간 57L4R1R1"</f>
        <v>숭실간 57L4R1R1</v>
      </c>
      <c r="I7681" s="1" t="s">
        <v>15</v>
      </c>
      <c r="J7681" s="1" t="str">
        <f>"113/113"</f>
        <v>113/113</v>
      </c>
      <c r="K7681" s="1" t="str">
        <f>"2026-07-29 14:21:09"</f>
        <v>2026-07-29 14:21:09</v>
      </c>
      <c r="L7681" s="1" t="str">
        <f>"2023-10-13 09:41:01"</f>
        <v>2023-10-13 09:41:01</v>
      </c>
      <c r="M7681" s="1" t="s">
        <v>4</v>
      </c>
      <c r="N7681" s="1" t="s">
        <v>38</v>
      </c>
      <c r="O7681" s="1" t="s">
        <v>46</v>
      </c>
    </row>
    <row r="7682" spans="2:15" x14ac:dyDescent="0.3">
      <c r="B7682" s="1" t="s">
        <v>21</v>
      </c>
      <c r="C7682" s="1" t="str">
        <f>"5-2차"</f>
        <v>5-2차</v>
      </c>
      <c r="D7682" s="1" t="str">
        <f>"9627B7415S"</f>
        <v>9627B7415S</v>
      </c>
      <c r="E7682" s="1" t="s">
        <v>10</v>
      </c>
      <c r="F7682" s="1" t="str">
        <f>"fde1:103:4:5954:0:0:0:2"</f>
        <v>fde1:103:4:5954:0:0:0:2</v>
      </c>
      <c r="G7682" s="1" t="str">
        <f>"9627B741"</f>
        <v>9627B741</v>
      </c>
      <c r="H7682" s="1" t="str">
        <f>"숭실간 51"</f>
        <v>숭실간 51</v>
      </c>
      <c r="I7682" s="1" t="s">
        <v>15</v>
      </c>
      <c r="J7682" s="1" t="str">
        <f>"41/41"</f>
        <v>41/41</v>
      </c>
      <c r="K7682" s="1" t="str">
        <f>"2026-07-29 14:21:09"</f>
        <v>2026-07-29 14:21:09</v>
      </c>
      <c r="L7682" s="1" t="str">
        <f>"2023-10-13 09:41:26"</f>
        <v>2023-10-13 09:41:26</v>
      </c>
      <c r="M7682" s="1" t="s">
        <v>4</v>
      </c>
      <c r="N7682" s="1" t="s">
        <v>38</v>
      </c>
      <c r="O7682" s="1" t="s">
        <v>46</v>
      </c>
    </row>
    <row r="7683" spans="2:15" x14ac:dyDescent="0.3">
      <c r="B7683" s="1" t="s">
        <v>21</v>
      </c>
      <c r="C7683" s="1" t="str">
        <f>"5-1차"</f>
        <v>5-1차</v>
      </c>
      <c r="D7683" s="1" t="str">
        <f>"9627B7525M"</f>
        <v>9627B7525M</v>
      </c>
      <c r="E7683" s="1" t="s">
        <v>10</v>
      </c>
      <c r="F7683" s="1" t="str">
        <f>"fde3:102:1303:1:0:0:0:2"</f>
        <v>fde3:102:1303:1:0:0:0:2</v>
      </c>
      <c r="G7683" s="1" t="str">
        <f>"9627B752"</f>
        <v>9627B752</v>
      </c>
      <c r="H7683" s="1" t="str">
        <f>"숭실간 53"</f>
        <v>숭실간 53</v>
      </c>
      <c r="I7683" s="1" t="s">
        <v>15</v>
      </c>
      <c r="J7683" s="1" t="str">
        <f>"46/46"</f>
        <v>46/46</v>
      </c>
      <c r="K7683" s="1" t="str">
        <f>"2026-07-29 14:22:02"</f>
        <v>2026-07-29 14:22:02</v>
      </c>
      <c r="L7683" s="1" t="str">
        <f>"2022-11-16 14:41:43"</f>
        <v>2022-11-16 14:41:43</v>
      </c>
      <c r="M7683" s="1" t="s">
        <v>45</v>
      </c>
      <c r="N7683" s="1" t="s">
        <v>38</v>
      </c>
      <c r="O7683" s="1" t="s">
        <v>46</v>
      </c>
    </row>
    <row r="7684" spans="2:15" x14ac:dyDescent="0.3">
      <c r="B7684" s="1" t="s">
        <v>21</v>
      </c>
      <c r="C7684" s="1" t="str">
        <f>"5-1차"</f>
        <v>5-1차</v>
      </c>
      <c r="D7684" s="1" t="str">
        <f>"9627B7535M"</f>
        <v>9627B7535M</v>
      </c>
      <c r="E7684" s="1" t="s">
        <v>10</v>
      </c>
      <c r="F7684" s="1" t="str">
        <f>"fde2:104:0:0:0:0:0:2"</f>
        <v>fde2:104:0:0:0:0:0:2</v>
      </c>
      <c r="G7684" s="1" t="str">
        <f>"9627B753"</f>
        <v>9627B753</v>
      </c>
      <c r="H7684" s="1" t="str">
        <f>"숭실간 52R1H1"</f>
        <v>숭실간 52R1H1</v>
      </c>
      <c r="I7684" s="1" t="s">
        <v>15</v>
      </c>
      <c r="J7684" s="1" t="str">
        <f>"60/60"</f>
        <v>60/60</v>
      </c>
      <c r="K7684" s="1" t="str">
        <f>"2026-07-29 14:21:10"</f>
        <v>2026-07-29 14:21:10</v>
      </c>
      <c r="L7684" s="1" t="str">
        <f>"2022-09-07 10:01:11"</f>
        <v>2022-09-07 10:01:11</v>
      </c>
      <c r="M7684" s="1" t="s">
        <v>42</v>
      </c>
      <c r="N7684" s="1" t="s">
        <v>38</v>
      </c>
      <c r="O7684" s="1" t="s">
        <v>46</v>
      </c>
    </row>
    <row r="7685" spans="2:15" x14ac:dyDescent="0.3">
      <c r="B7685" s="1" t="s">
        <v>21</v>
      </c>
      <c r="C7685" s="1" t="str">
        <f>"5-2차"</f>
        <v>5-2차</v>
      </c>
      <c r="D7685" s="1" t="str">
        <f>"9627B7625M"</f>
        <v>9627B7625M</v>
      </c>
      <c r="E7685" s="1" t="s">
        <v>10</v>
      </c>
      <c r="F7685" s="1" t="str">
        <f>"fde1:103:4:5824:0:0:0:2"</f>
        <v>fde1:103:4:5824:0:0:0:2</v>
      </c>
      <c r="G7685" s="1" t="str">
        <f>"9627B762"</f>
        <v>9627B762</v>
      </c>
      <c r="H7685" s="1" t="str">
        <f>"숭실간 54L2"</f>
        <v>숭실간 54L2</v>
      </c>
      <c r="I7685" s="1" t="s">
        <v>15</v>
      </c>
      <c r="J7685" s="1" t="str">
        <f>"53/53"</f>
        <v>53/53</v>
      </c>
      <c r="K7685" s="1" t="str">
        <f>"2026-07-29 14:21:48"</f>
        <v>2026-07-29 14:21:48</v>
      </c>
      <c r="L7685" s="1" t="str">
        <f>"2023-10-13 09:56:20"</f>
        <v>2023-10-13 09:56:20</v>
      </c>
      <c r="M7685" s="1" t="s">
        <v>4</v>
      </c>
      <c r="N7685" s="1" t="s">
        <v>38</v>
      </c>
      <c r="O7685" s="1" t="s">
        <v>46</v>
      </c>
    </row>
    <row r="7686" spans="2:15" x14ac:dyDescent="0.3">
      <c r="B7686" s="1" t="s">
        <v>21</v>
      </c>
      <c r="C7686" s="1" t="str">
        <f>"6차"</f>
        <v>6차</v>
      </c>
      <c r="D7686" s="1" t="str">
        <f>"9627B7636S"</f>
        <v>9627B7636S</v>
      </c>
      <c r="E7686" s="1" t="s">
        <v>10</v>
      </c>
      <c r="F7686" s="1" t="str">
        <f>"fde1:103:4:c7b1:0:0:0:2"</f>
        <v>fde1:103:4:c7b1:0:0:0:2</v>
      </c>
      <c r="G7686" s="1" t="str">
        <f>"9627B763"</f>
        <v>9627B763</v>
      </c>
      <c r="H7686" s="1" t="str">
        <f>"숭실간 55"</f>
        <v>숭실간 55</v>
      </c>
      <c r="I7686" s="1" t="s">
        <v>15</v>
      </c>
      <c r="J7686" s="1" t="str">
        <f>"29/31"</f>
        <v>29/31</v>
      </c>
      <c r="K7686" s="1" t="str">
        <f>"2026-07-29 14:21:48"</f>
        <v>2026-07-29 14:21:48</v>
      </c>
      <c r="L7686" s="1" t="str">
        <f>"2024-12-10 11:26:16"</f>
        <v>2024-12-10 11:26:16</v>
      </c>
      <c r="M7686" s="1" t="s">
        <v>4</v>
      </c>
      <c r="N7686" s="1" t="s">
        <v>38</v>
      </c>
      <c r="O7686" s="1" t="s">
        <v>46</v>
      </c>
    </row>
    <row r="7687" spans="2:15" x14ac:dyDescent="0.3">
      <c r="B7687" s="1" t="s">
        <v>21</v>
      </c>
      <c r="C7687" s="1" t="str">
        <f>"5-1차"</f>
        <v>5-1차</v>
      </c>
      <c r="D7687" s="1" t="str">
        <f>"9627B8415S"</f>
        <v>9627B8415S</v>
      </c>
      <c r="E7687" s="1" t="s">
        <v>10</v>
      </c>
      <c r="F7687" s="1" t="str">
        <f>"fde2:104:0:51:0:0:0:2"</f>
        <v>fde2:104:0:51:0:0:0:2</v>
      </c>
      <c r="G7687" s="1" t="str">
        <f>"9627B841"</f>
        <v>9627B841</v>
      </c>
      <c r="H7687" s="1" t="str">
        <f>"숭실간 51R2"</f>
        <v>숭실간 51R2</v>
      </c>
      <c r="I7687" s="1" t="s">
        <v>15</v>
      </c>
      <c r="J7687" s="1" t="str">
        <f>"6/22"</f>
        <v>6/22</v>
      </c>
      <c r="K7687" s="1" t="str">
        <f>"2026-07-29 14:21:10"</f>
        <v>2026-07-29 14:21:10</v>
      </c>
      <c r="L7687" s="1" t="str">
        <f>"2022-09-07 08:02:42"</f>
        <v>2022-09-07 08:02:42</v>
      </c>
      <c r="M7687" s="1" t="s">
        <v>42</v>
      </c>
      <c r="N7687" s="1" t="s">
        <v>38</v>
      </c>
      <c r="O7687" s="1" t="s">
        <v>46</v>
      </c>
    </row>
    <row r="7688" spans="2:15" x14ac:dyDescent="0.3">
      <c r="B7688" s="1" t="s">
        <v>21</v>
      </c>
      <c r="C7688" s="1" t="str">
        <f>"4차"</f>
        <v>4차</v>
      </c>
      <c r="D7688" s="1" t="str">
        <f>"9627B85244"</f>
        <v>9627B85244</v>
      </c>
      <c r="E7688" s="1" t="s">
        <v>10</v>
      </c>
      <c r="F7688" s="1" t="str">
        <f>"10.10.129.106"</f>
        <v>10.10.129.106</v>
      </c>
      <c r="G7688" s="1" t="str">
        <f>"9627B852"</f>
        <v>9627B852</v>
      </c>
      <c r="H7688" s="1" t="str">
        <f>"숭실간 52R2"</f>
        <v>숭실간 52R2</v>
      </c>
      <c r="I7688" s="1" t="s">
        <v>8</v>
      </c>
      <c r="J7688" s="1" t="str">
        <f>"26/28"</f>
        <v>26/28</v>
      </c>
      <c r="K7688" s="1" t="str">
        <f>"2026-07-29 13:18:11"</f>
        <v>2026-07-29 13:18:11</v>
      </c>
      <c r="L7688" s="1" t="str">
        <f>"2019-10-28 10:43:03"</f>
        <v>2019-10-28 10:43:03</v>
      </c>
      <c r="M7688" s="1" t="s">
        <v>1</v>
      </c>
      <c r="N7688" s="1" t="s">
        <v>38</v>
      </c>
      <c r="O7688" s="1" t="s">
        <v>46</v>
      </c>
    </row>
    <row r="7689" spans="2:15" x14ac:dyDescent="0.3">
      <c r="B7689" s="1" t="s">
        <v>21</v>
      </c>
      <c r="C7689" s="1" t="str">
        <f>"1차"</f>
        <v>1차</v>
      </c>
      <c r="D7689" s="1" t="str">
        <f>"9627B86301"</f>
        <v>9627B86301</v>
      </c>
      <c r="E7689" s="1" t="s">
        <v>14</v>
      </c>
      <c r="F7689" s="1" t="str">
        <f>"10.12.138.103"</f>
        <v>10.12.138.103</v>
      </c>
      <c r="G7689" s="1" t="str">
        <f>"9627B863"</f>
        <v>9627B863</v>
      </c>
      <c r="H7689" s="1" t="str">
        <f>"숭실간 55R1"</f>
        <v>숭실간 55R1</v>
      </c>
      <c r="I7689" s="1" t="s">
        <v>8</v>
      </c>
      <c r="J7689" s="1" t="str">
        <f>"0/0"</f>
        <v>0/0</v>
      </c>
      <c r="K7689" s="1" t="str">
        <f>"2025-09-11 07:21:13"</f>
        <v>2025-09-11 07:21:13</v>
      </c>
      <c r="L7689" s="1" t="str">
        <f>"2014-12-02 16:08:42"</f>
        <v>2014-12-02 16:08:42</v>
      </c>
      <c r="M7689" s="1" t="s">
        <v>0</v>
      </c>
      <c r="N7689" s="1" t="s">
        <v>39</v>
      </c>
      <c r="O7689" s="1" t="s">
        <v>46</v>
      </c>
    </row>
    <row r="7690" spans="2:15" x14ac:dyDescent="0.3">
      <c r="B7690" s="1" t="s">
        <v>21</v>
      </c>
      <c r="C7690" s="1" t="str">
        <f>"1차"</f>
        <v>1차</v>
      </c>
      <c r="D7690" s="1" t="str">
        <f>"9627B87400"</f>
        <v>9627B87400</v>
      </c>
      <c r="E7690" s="1" t="s">
        <v>10</v>
      </c>
      <c r="F7690" s="1" t="str">
        <f>"10.128.2.124"</f>
        <v>10.128.2.124</v>
      </c>
      <c r="G7690" s="1" t="str">
        <f>"9627B874"</f>
        <v>9627B874</v>
      </c>
      <c r="H7690" s="1" t="str">
        <f>"숭실간 56R1"</f>
        <v>숭실간 56R1</v>
      </c>
      <c r="I7690" s="1" t="s">
        <v>8</v>
      </c>
      <c r="J7690" s="1" t="str">
        <f>"44/44"</f>
        <v>44/44</v>
      </c>
      <c r="K7690" s="1" t="str">
        <f>"2026-07-29 13:18:11"</f>
        <v>2026-07-29 13:18:11</v>
      </c>
      <c r="L7690" s="1" t="str">
        <f>"2017-10-10 14:32:31"</f>
        <v>2017-10-10 14:32:31</v>
      </c>
      <c r="M7690" s="1" t="s">
        <v>45</v>
      </c>
      <c r="N7690" s="1" t="s">
        <v>38</v>
      </c>
      <c r="O7690" s="1" t="s">
        <v>46</v>
      </c>
    </row>
    <row r="7691" spans="2:15" x14ac:dyDescent="0.3">
      <c r="B7691" s="1" t="s">
        <v>21</v>
      </c>
      <c r="C7691" s="1" t="str">
        <f>"5-2차"</f>
        <v>5-2차</v>
      </c>
      <c r="D7691" s="1" t="str">
        <f>"9627B8815M"</f>
        <v>9627B8815M</v>
      </c>
      <c r="E7691" s="1" t="s">
        <v>10</v>
      </c>
      <c r="F7691" s="1" t="str">
        <f>"fde1:103:4:570e:0:0:0:2"</f>
        <v>fde1:103:4:570e:0:0:0:2</v>
      </c>
      <c r="G7691" s="1" t="str">
        <f>"9627B881"</f>
        <v>9627B881</v>
      </c>
      <c r="H7691" s="1" t="str">
        <f>"갈색지 7"</f>
        <v>갈색지 7</v>
      </c>
      <c r="I7691" s="1" t="s">
        <v>15</v>
      </c>
      <c r="J7691" s="1" t="str">
        <f>"36/36"</f>
        <v>36/36</v>
      </c>
      <c r="K7691" s="1" t="str">
        <f>"2026-07-29 14:21:11"</f>
        <v>2026-07-29 14:21:11</v>
      </c>
      <c r="L7691" s="1" t="str">
        <f>"2023-10-13 09:56:46"</f>
        <v>2023-10-13 09:56:46</v>
      </c>
      <c r="M7691" s="1" t="s">
        <v>4</v>
      </c>
      <c r="N7691" s="1" t="s">
        <v>38</v>
      </c>
      <c r="O7691" s="1" t="s">
        <v>46</v>
      </c>
    </row>
    <row r="7692" spans="2:15" x14ac:dyDescent="0.3">
      <c r="B7692" s="1" t="s">
        <v>21</v>
      </c>
      <c r="C7692" s="1" t="str">
        <f>"4차"</f>
        <v>4차</v>
      </c>
      <c r="D7692" s="1" t="str">
        <f>"9627B95144"</f>
        <v>9627B95144</v>
      </c>
      <c r="E7692" s="1" t="s">
        <v>10</v>
      </c>
      <c r="F7692" s="1" t="str">
        <f>"10.10.7.26"</f>
        <v>10.10.7.26</v>
      </c>
      <c r="G7692" s="1" t="str">
        <f>"9627B951"</f>
        <v>9627B951</v>
      </c>
      <c r="H7692" s="1" t="str">
        <f>"숭실간 52R3"</f>
        <v>숭실간 52R3</v>
      </c>
      <c r="I7692" s="1" t="s">
        <v>8</v>
      </c>
      <c r="J7692" s="1" t="str">
        <f>"21/21"</f>
        <v>21/21</v>
      </c>
      <c r="K7692" s="1" t="str">
        <f>"2026-07-29 13:18:11"</f>
        <v>2026-07-29 13:18:11</v>
      </c>
      <c r="L7692" s="1" t="str">
        <f>"2019-10-28 10:42:25"</f>
        <v>2019-10-28 10:42:25</v>
      </c>
      <c r="M7692" s="1" t="s">
        <v>1</v>
      </c>
      <c r="N7692" s="1" t="s">
        <v>38</v>
      </c>
      <c r="O7692" s="1" t="s">
        <v>46</v>
      </c>
    </row>
    <row r="7693" spans="2:15" x14ac:dyDescent="0.3">
      <c r="B7693" s="1" t="s">
        <v>21</v>
      </c>
      <c r="C7693" s="1" t="str">
        <f>"4차"</f>
        <v>4차</v>
      </c>
      <c r="D7693" s="1" t="str">
        <f>"9627B97144"</f>
        <v>9627B97144</v>
      </c>
      <c r="E7693" s="1" t="s">
        <v>10</v>
      </c>
      <c r="F7693" s="1" t="str">
        <f>"10.10.130.66"</f>
        <v>10.10.130.66</v>
      </c>
      <c r="G7693" s="1" t="str">
        <f>"9627B971"</f>
        <v>9627B971</v>
      </c>
      <c r="H7693" s="1" t="str">
        <f>"갈색지 4"</f>
        <v>갈색지 4</v>
      </c>
      <c r="I7693" s="1" t="s">
        <v>8</v>
      </c>
      <c r="J7693" s="1" t="str">
        <f>"17/17"</f>
        <v>17/17</v>
      </c>
      <c r="K7693" s="1" t="str">
        <f>"2026-07-29 13:18:11"</f>
        <v>2026-07-29 13:18:11</v>
      </c>
      <c r="L7693" s="1" t="str">
        <f>"2024-06-12 09:23:34"</f>
        <v>2024-06-12 09:23:34</v>
      </c>
      <c r="M7693" s="1" t="s">
        <v>1</v>
      </c>
      <c r="N7693" s="1" t="s">
        <v>38</v>
      </c>
      <c r="O7693" s="1" t="s">
        <v>46</v>
      </c>
    </row>
    <row r="7694" spans="2:15" x14ac:dyDescent="0.3">
      <c r="B7694" s="1" t="s">
        <v>21</v>
      </c>
      <c r="C7694" s="1" t="str">
        <f>"4차"</f>
        <v>4차</v>
      </c>
      <c r="D7694" s="1" t="str">
        <f>"9627B99444"</f>
        <v>9627B99444</v>
      </c>
      <c r="E7694" s="1" t="s">
        <v>10</v>
      </c>
      <c r="F7694" s="1" t="str">
        <f>"10.10.129.162"</f>
        <v>10.10.129.162</v>
      </c>
      <c r="G7694" s="1" t="str">
        <f>"9627B994"</f>
        <v>9627B994</v>
      </c>
      <c r="H7694" s="1" t="str">
        <f>"갈색지 9R1"</f>
        <v>갈색지 9R1</v>
      </c>
      <c r="I7694" s="1" t="s">
        <v>8</v>
      </c>
      <c r="J7694" s="1" t="str">
        <f>"19/19"</f>
        <v>19/19</v>
      </c>
      <c r="K7694" s="1" t="str">
        <f>"2026-07-29 13:18:11"</f>
        <v>2026-07-29 13:18:11</v>
      </c>
      <c r="L7694" s="1" t="str">
        <f>"2019-09-09 13:40:29"</f>
        <v>2019-09-09 13:40:29</v>
      </c>
      <c r="M7694" s="1" t="s">
        <v>1</v>
      </c>
      <c r="N7694" s="1" t="s">
        <v>38</v>
      </c>
      <c r="O7694" s="1" t="s">
        <v>46</v>
      </c>
    </row>
    <row r="7695" spans="2:15" x14ac:dyDescent="0.3">
      <c r="B7695" s="1" t="s">
        <v>21</v>
      </c>
      <c r="C7695" s="1" t="str">
        <f>"4차"</f>
        <v>4차</v>
      </c>
      <c r="D7695" s="1" t="str">
        <f>"9627B99644"</f>
        <v>9627B99644</v>
      </c>
      <c r="E7695" s="1" t="s">
        <v>10</v>
      </c>
      <c r="F7695" s="1" t="str">
        <f>"10.12.138.102"</f>
        <v>10.12.138.102</v>
      </c>
      <c r="G7695" s="1" t="str">
        <f>"9627B996"</f>
        <v>9627B996</v>
      </c>
      <c r="H7695" s="1" t="str">
        <f>"갈색지 9R2"</f>
        <v>갈색지 9R2</v>
      </c>
      <c r="I7695" s="1" t="s">
        <v>8</v>
      </c>
      <c r="J7695" s="1" t="str">
        <f>"24/25"</f>
        <v>24/25</v>
      </c>
      <c r="K7695" s="1" t="str">
        <f>"2026-07-29 13:18:12"</f>
        <v>2026-07-29 13:18:12</v>
      </c>
      <c r="L7695" s="1" t="str">
        <f>"2020-01-09 15:55:10"</f>
        <v>2020-01-09 15:55:10</v>
      </c>
      <c r="M7695" s="1" t="s">
        <v>0</v>
      </c>
      <c r="N7695" s="1" t="s">
        <v>38</v>
      </c>
      <c r="O7695" s="1" t="s">
        <v>46</v>
      </c>
    </row>
    <row r="7696" spans="2:15" x14ac:dyDescent="0.3">
      <c r="B7696" s="1" t="s">
        <v>21</v>
      </c>
      <c r="C7696" s="1" t="str">
        <f>"5-1차"</f>
        <v>5-1차</v>
      </c>
      <c r="D7696" s="1" t="str">
        <f>"9627C5915S"</f>
        <v>9627C5915S</v>
      </c>
      <c r="E7696" s="1" t="s">
        <v>10</v>
      </c>
      <c r="F7696" s="1" t="str">
        <f>"fde3:102:1303:105:0:0:0:2"</f>
        <v>fde3:102:1303:105:0:0:0:2</v>
      </c>
      <c r="G7696" s="1" t="str">
        <f>"9627C591"</f>
        <v>9627C591</v>
      </c>
      <c r="H7696" s="1" t="str">
        <f>"숭실간 37L8R5"</f>
        <v>숭실간 37L8R5</v>
      </c>
      <c r="I7696" s="1" t="s">
        <v>15</v>
      </c>
      <c r="J7696" s="1" t="str">
        <f>"52/52"</f>
        <v>52/52</v>
      </c>
      <c r="K7696" s="1" t="str">
        <f>"2026-07-29 14:21:18"</f>
        <v>2026-07-29 14:21:18</v>
      </c>
      <c r="L7696" s="1" t="str">
        <f>"2022-11-16 14:40:33"</f>
        <v>2022-11-16 14:40:33</v>
      </c>
      <c r="M7696" s="1" t="s">
        <v>45</v>
      </c>
      <c r="N7696" s="1" t="s">
        <v>38</v>
      </c>
      <c r="O7696" s="1" t="s">
        <v>46</v>
      </c>
    </row>
    <row r="7697" spans="2:15" x14ac:dyDescent="0.3">
      <c r="B7697" s="1" t="s">
        <v>21</v>
      </c>
      <c r="C7697" s="1" t="str">
        <f>"5-1차"</f>
        <v>5-1차</v>
      </c>
      <c r="D7697" s="1" t="str">
        <f>"9627C5935M"</f>
        <v>9627C5935M</v>
      </c>
      <c r="E7697" s="1" t="s">
        <v>10</v>
      </c>
      <c r="F7697" s="1" t="str">
        <f>"fde3:102:1303:105:0:0:0:3"</f>
        <v>fde3:102:1303:105:0:0:0:3</v>
      </c>
      <c r="G7697" s="1" t="str">
        <f>"9627C593"</f>
        <v>9627C593</v>
      </c>
      <c r="H7697" s="1" t="str">
        <f>"숭실간 37L6R3H1"</f>
        <v>숭실간 37L6R3H1</v>
      </c>
      <c r="I7697" s="1" t="s">
        <v>15</v>
      </c>
      <c r="J7697" s="1" t="str">
        <f>"48/48"</f>
        <v>48/48</v>
      </c>
      <c r="K7697" s="1" t="str">
        <f>"2026-07-29 14:21:11"</f>
        <v>2026-07-29 14:21:11</v>
      </c>
      <c r="L7697" s="1" t="str">
        <f>"2022-11-16 14:47:12"</f>
        <v>2022-11-16 14:47:12</v>
      </c>
      <c r="M7697" s="1" t="s">
        <v>45</v>
      </c>
      <c r="N7697" s="1" t="s">
        <v>38</v>
      </c>
      <c r="O7697" s="1" t="s">
        <v>46</v>
      </c>
    </row>
    <row r="7698" spans="2:15" x14ac:dyDescent="0.3">
      <c r="B7698" s="1" t="s">
        <v>21</v>
      </c>
      <c r="C7698" s="1" t="str">
        <f>"5-2차"</f>
        <v>5-2차</v>
      </c>
      <c r="D7698" s="1" t="str">
        <f>"9627C6725S"</f>
        <v>9627C6725S</v>
      </c>
      <c r="E7698" s="1" t="s">
        <v>10</v>
      </c>
      <c r="F7698" s="1" t="str">
        <f>"fde1:103:4:5772:0:0:0:2"</f>
        <v>fde1:103:4:5772:0:0:0:2</v>
      </c>
      <c r="G7698" s="1" t="str">
        <f>"9627C672"</f>
        <v>9627C672</v>
      </c>
      <c r="H7698" s="1" t="str">
        <f>"숭실간 37L8R2L1"</f>
        <v>숭실간 37L8R2L1</v>
      </c>
      <c r="I7698" s="1" t="s">
        <v>15</v>
      </c>
      <c r="J7698" s="1" t="str">
        <f>"25/25"</f>
        <v>25/25</v>
      </c>
      <c r="K7698" s="1" t="str">
        <f>"2026-07-29 14:21:11"</f>
        <v>2026-07-29 14:21:11</v>
      </c>
      <c r="L7698" s="1" t="str">
        <f>"2023-10-13 09:57:26"</f>
        <v>2023-10-13 09:57:26</v>
      </c>
      <c r="M7698" s="1" t="s">
        <v>4</v>
      </c>
      <c r="N7698" s="1" t="s">
        <v>38</v>
      </c>
      <c r="O7698" s="1" t="s">
        <v>46</v>
      </c>
    </row>
    <row r="7699" spans="2:15" x14ac:dyDescent="0.3">
      <c r="B7699" s="1" t="s">
        <v>21</v>
      </c>
      <c r="C7699" s="1" t="str">
        <f>"5-2차"</f>
        <v>5-2차</v>
      </c>
      <c r="D7699" s="1" t="str">
        <f>"9627C6825S"</f>
        <v>9627C6825S</v>
      </c>
      <c r="E7699" s="1" t="s">
        <v>10</v>
      </c>
      <c r="F7699" s="1" t="str">
        <f>"fde1:103:4:5738:0:0:0:2"</f>
        <v>fde1:103:4:5738:0:0:0:2</v>
      </c>
      <c r="G7699" s="1" t="str">
        <f>"9627C682"</f>
        <v>9627C682</v>
      </c>
      <c r="H7699" s="1" t="str">
        <f>"숭실간 37L8R4"</f>
        <v>숭실간 37L8R4</v>
      </c>
      <c r="I7699" s="1" t="s">
        <v>15</v>
      </c>
      <c r="J7699" s="1" t="str">
        <f>"45/45"</f>
        <v>45/45</v>
      </c>
      <c r="K7699" s="1" t="str">
        <f>"2026-07-29 14:21:10"</f>
        <v>2026-07-29 14:21:10</v>
      </c>
      <c r="L7699" s="1" t="str">
        <f>"2023-10-13 09:57:40"</f>
        <v>2023-10-13 09:57:40</v>
      </c>
      <c r="M7699" s="1" t="s">
        <v>4</v>
      </c>
      <c r="N7699" s="1" t="s">
        <v>38</v>
      </c>
      <c r="O7699" s="1" t="s">
        <v>46</v>
      </c>
    </row>
    <row r="7700" spans="2:15" x14ac:dyDescent="0.3">
      <c r="B7700" s="1" t="s">
        <v>21</v>
      </c>
      <c r="C7700" s="1" t="str">
        <f>"5-1차"</f>
        <v>5-1차</v>
      </c>
      <c r="D7700" s="1" t="str">
        <f>"9627C7815M"</f>
        <v>9627C7815M</v>
      </c>
      <c r="E7700" s="1" t="s">
        <v>10</v>
      </c>
      <c r="F7700" s="1" t="str">
        <f>"fde3:102:1303:105:0:0:0:4"</f>
        <v>fde3:102:1303:105:0:0:0:4</v>
      </c>
      <c r="G7700" s="1" t="str">
        <f>"9627C781"</f>
        <v>9627C781</v>
      </c>
      <c r="H7700" s="1" t="str">
        <f>"숭실간 37L8R1"</f>
        <v>숭실간 37L8R1</v>
      </c>
      <c r="I7700" s="1" t="s">
        <v>15</v>
      </c>
      <c r="J7700" s="1" t="str">
        <f>"17/19"</f>
        <v>17/19</v>
      </c>
      <c r="K7700" s="1" t="str">
        <f>"2026-07-29 14:21:11"</f>
        <v>2026-07-29 14:21:11</v>
      </c>
      <c r="L7700" s="1" t="str">
        <f>"2022-11-08 15:03:02"</f>
        <v>2022-11-08 15:03:02</v>
      </c>
      <c r="M7700" s="1" t="s">
        <v>45</v>
      </c>
      <c r="N7700" s="1" t="s">
        <v>38</v>
      </c>
      <c r="O7700" s="1" t="s">
        <v>46</v>
      </c>
    </row>
    <row r="7701" spans="2:15" x14ac:dyDescent="0.3">
      <c r="B7701" s="1" t="s">
        <v>21</v>
      </c>
      <c r="C7701" s="1" t="str">
        <f>"5-1차"</f>
        <v>5-1차</v>
      </c>
      <c r="D7701" s="1" t="str">
        <f>"9627C8615M"</f>
        <v>9627C8615M</v>
      </c>
      <c r="E7701" s="1" t="s">
        <v>10</v>
      </c>
      <c r="F7701" s="1" t="str">
        <f>"fde3:102:1303:101:0:0:0:2"</f>
        <v>fde3:102:1303:101:0:0:0:2</v>
      </c>
      <c r="G7701" s="1" t="str">
        <f>"9627C861"</f>
        <v>9627C861</v>
      </c>
      <c r="H7701" s="1" t="str">
        <f>"숭실간 37L12"</f>
        <v>숭실간 37L12</v>
      </c>
      <c r="I7701" s="1" t="s">
        <v>15</v>
      </c>
      <c r="J7701" s="1" t="str">
        <f>"45/45"</f>
        <v>45/45</v>
      </c>
      <c r="K7701" s="1" t="str">
        <f>"2026-07-29 14:21:12"</f>
        <v>2026-07-29 14:21:12</v>
      </c>
      <c r="L7701" s="1" t="str">
        <f>"2022-11-16 14:44:39"</f>
        <v>2022-11-16 14:44:39</v>
      </c>
      <c r="M7701" s="1" t="s">
        <v>45</v>
      </c>
      <c r="N7701" s="1" t="s">
        <v>38</v>
      </c>
      <c r="O7701" s="1" t="s">
        <v>46</v>
      </c>
    </row>
    <row r="7702" spans="2:15" x14ac:dyDescent="0.3">
      <c r="B7702" s="1" t="s">
        <v>21</v>
      </c>
      <c r="C7702" s="1" t="str">
        <f>"5-2차"</f>
        <v>5-2차</v>
      </c>
      <c r="D7702" s="1" t="str">
        <f>"9627C8725M"</f>
        <v>9627C8725M</v>
      </c>
      <c r="E7702" s="1" t="s">
        <v>10</v>
      </c>
      <c r="F7702" s="1" t="str">
        <f>"fde1:103:4:57af:0:0:0:2"</f>
        <v>fde1:103:4:57af:0:0:0:2</v>
      </c>
      <c r="G7702" s="1" t="str">
        <f>"9627C872"</f>
        <v>9627C872</v>
      </c>
      <c r="H7702" s="1" t="str">
        <f>"숭실간 37L11"</f>
        <v>숭실간 37L11</v>
      </c>
      <c r="I7702" s="1" t="s">
        <v>15</v>
      </c>
      <c r="J7702" s="1" t="str">
        <f>"43/43"</f>
        <v>43/43</v>
      </c>
      <c r="K7702" s="1" t="str">
        <f>"2026-07-29 14:21:48"</f>
        <v>2026-07-29 14:21:48</v>
      </c>
      <c r="L7702" s="1" t="str">
        <f>"2023-10-13 10:15:15"</f>
        <v>2023-10-13 10:15:15</v>
      </c>
      <c r="M7702" s="1" t="s">
        <v>4</v>
      </c>
      <c r="N7702" s="1" t="s">
        <v>38</v>
      </c>
      <c r="O7702" s="1" t="s">
        <v>46</v>
      </c>
    </row>
    <row r="7703" spans="2:15" x14ac:dyDescent="0.3">
      <c r="B7703" s="1" t="s">
        <v>21</v>
      </c>
      <c r="C7703" s="1" t="str">
        <f>"5-1차"</f>
        <v>5-1차</v>
      </c>
      <c r="D7703" s="1" t="str">
        <f>"9627C8845M"</f>
        <v>9627C8845M</v>
      </c>
      <c r="E7703" s="1" t="s">
        <v>10</v>
      </c>
      <c r="F7703" s="1" t="str">
        <f>"fde3:102:1303:105:0:0:0:5"</f>
        <v>fde3:102:1303:105:0:0:0:5</v>
      </c>
      <c r="G7703" s="1" t="str">
        <f>"9627C884"</f>
        <v>9627C884</v>
      </c>
      <c r="H7703" s="1" t="str">
        <f>"숭실간 37L7"</f>
        <v>숭실간 37L7</v>
      </c>
      <c r="I7703" s="1" t="s">
        <v>15</v>
      </c>
      <c r="J7703" s="1" t="str">
        <f>"5/5"</f>
        <v>5/5</v>
      </c>
      <c r="K7703" s="1" t="str">
        <f>"2026-07-29 14:21:39"</f>
        <v>2026-07-29 14:21:39</v>
      </c>
      <c r="L7703" s="1" t="str">
        <f>"2022-12-15 10:05:11"</f>
        <v>2022-12-15 10:05:11</v>
      </c>
      <c r="M7703" s="1" t="s">
        <v>45</v>
      </c>
      <c r="N7703" s="1" t="s">
        <v>38</v>
      </c>
      <c r="O7703" s="1" t="s">
        <v>46</v>
      </c>
    </row>
    <row r="7704" spans="2:15" x14ac:dyDescent="0.3">
      <c r="B7704" s="1" t="s">
        <v>21</v>
      </c>
      <c r="C7704" s="1" t="str">
        <f>"5-1차"</f>
        <v>5-1차</v>
      </c>
      <c r="D7704" s="1" t="str">
        <f>"9627C9435S"</f>
        <v>9627C9435S</v>
      </c>
      <c r="E7704" s="1" t="s">
        <v>10</v>
      </c>
      <c r="F7704" s="1" t="str">
        <f>"fde3:102:1303:101:0:0:0:3"</f>
        <v>fde3:102:1303:101:0:0:0:3</v>
      </c>
      <c r="G7704" s="1" t="str">
        <f>"9627C943"</f>
        <v>9627C943</v>
      </c>
      <c r="H7704" s="1" t="str">
        <f>"숭실간 29L4"</f>
        <v>숭실간 29L4</v>
      </c>
      <c r="I7704" s="1" t="s">
        <v>15</v>
      </c>
      <c r="J7704" s="1" t="str">
        <f>"37/37"</f>
        <v>37/37</v>
      </c>
      <c r="K7704" s="1" t="str">
        <f>"2026-07-29 14:21:26"</f>
        <v>2026-07-29 14:21:26</v>
      </c>
      <c r="L7704" s="1" t="str">
        <f>"2022-11-08 15:06:10"</f>
        <v>2022-11-08 15:06:10</v>
      </c>
      <c r="M7704" s="1" t="s">
        <v>45</v>
      </c>
      <c r="N7704" s="1" t="s">
        <v>38</v>
      </c>
      <c r="O7704" s="1" t="s">
        <v>46</v>
      </c>
    </row>
    <row r="7705" spans="2:15" x14ac:dyDescent="0.3">
      <c r="B7705" s="1" t="s">
        <v>21</v>
      </c>
      <c r="C7705" s="1" t="str">
        <f>"5-1차"</f>
        <v>5-1차</v>
      </c>
      <c r="D7705" s="1" t="str">
        <f>"9627C9445S"</f>
        <v>9627C9445S</v>
      </c>
      <c r="E7705" s="1" t="s">
        <v>10</v>
      </c>
      <c r="F7705" s="1" t="str">
        <f>"fde3:102:1303:102:0:0:0:2"</f>
        <v>fde3:102:1303:102:0:0:0:2</v>
      </c>
      <c r="G7705" s="1" t="str">
        <f>"9627C944"</f>
        <v>9627C944</v>
      </c>
      <c r="H7705" s="1" t="str">
        <f>"숭실간 29L2"</f>
        <v>숭실간 29L2</v>
      </c>
      <c r="I7705" s="1" t="s">
        <v>15</v>
      </c>
      <c r="J7705" s="1" t="str">
        <f>"46/48"</f>
        <v>46/48</v>
      </c>
      <c r="K7705" s="1" t="str">
        <f>"2026-07-29 14:21:48"</f>
        <v>2026-07-29 14:21:48</v>
      </c>
      <c r="L7705" s="1" t="str">
        <f>"2022-12-15 10:06:18"</f>
        <v>2022-12-15 10:06:18</v>
      </c>
      <c r="M7705" s="1" t="s">
        <v>45</v>
      </c>
      <c r="N7705" s="1" t="s">
        <v>38</v>
      </c>
      <c r="O7705" s="1" t="s">
        <v>46</v>
      </c>
    </row>
    <row r="7706" spans="2:15" x14ac:dyDescent="0.3">
      <c r="B7706" s="1" t="s">
        <v>21</v>
      </c>
      <c r="C7706" s="1" t="str">
        <f>"4차"</f>
        <v>4차</v>
      </c>
      <c r="D7706" s="1" t="str">
        <f>"9627C97242"</f>
        <v>9627C97242</v>
      </c>
      <c r="E7706" s="1" t="s">
        <v>10</v>
      </c>
      <c r="F7706" s="1" t="str">
        <f>"10.128.68.100"</f>
        <v>10.128.68.100</v>
      </c>
      <c r="G7706" s="1" t="str">
        <f>"9627C972"</f>
        <v>9627C972</v>
      </c>
      <c r="H7706" s="1" t="str">
        <f>"숭실간 37L11L3"</f>
        <v>숭실간 37L11L3</v>
      </c>
      <c r="I7706" s="1" t="s">
        <v>8</v>
      </c>
      <c r="J7706" s="1" t="str">
        <f>"37/41"</f>
        <v>37/41</v>
      </c>
      <c r="K7706" s="1" t="str">
        <f>"2026-07-29 13:18:11"</f>
        <v>2026-07-29 13:18:11</v>
      </c>
      <c r="L7706" s="1" t="str">
        <f>"2025-01-08 17:04:06"</f>
        <v>2025-01-08 17:04:06</v>
      </c>
      <c r="M7706" s="1" t="s">
        <v>45</v>
      </c>
      <c r="N7706" s="1" t="s">
        <v>38</v>
      </c>
      <c r="O7706" s="1" t="s">
        <v>46</v>
      </c>
    </row>
    <row r="7707" spans="2:15" x14ac:dyDescent="0.3">
      <c r="B7707" s="1" t="s">
        <v>21</v>
      </c>
      <c r="C7707" s="1" t="str">
        <f>"5-1차"</f>
        <v>5-1차</v>
      </c>
      <c r="D7707" s="1" t="str">
        <f>"9627C9735M"</f>
        <v>9627C9735M</v>
      </c>
      <c r="E7707" s="1" t="s">
        <v>10</v>
      </c>
      <c r="F7707" s="1" t="str">
        <f>"fde2:104:0:f:0:0:0:2"</f>
        <v>fde2:104:0:f:0:0:0:2</v>
      </c>
      <c r="G7707" s="1" t="str">
        <f>"9627C973"</f>
        <v>9627C973</v>
      </c>
      <c r="H7707" s="1" t="str">
        <f>"숭실간 37L11L2"</f>
        <v>숭실간 37L11L2</v>
      </c>
      <c r="I7707" s="1" t="s">
        <v>15</v>
      </c>
      <c r="J7707" s="1" t="str">
        <f>"25/25"</f>
        <v>25/25</v>
      </c>
      <c r="K7707" s="1" t="str">
        <f>"2026-07-29 14:21:46"</f>
        <v>2026-07-29 14:21:46</v>
      </c>
      <c r="L7707" s="1" t="str">
        <f>"2022-09-13 08:46:26"</f>
        <v>2022-09-13 08:46:26</v>
      </c>
      <c r="M7707" s="1" t="s">
        <v>42</v>
      </c>
      <c r="N7707" s="1" t="s">
        <v>38</v>
      </c>
      <c r="O7707" s="1" t="s">
        <v>46</v>
      </c>
    </row>
    <row r="7708" spans="2:15" x14ac:dyDescent="0.3">
      <c r="B7708" s="1" t="s">
        <v>21</v>
      </c>
      <c r="C7708" s="1" t="str">
        <f t="shared" ref="C7708:C7713" si="377">"1차"</f>
        <v>1차</v>
      </c>
      <c r="D7708" s="1" t="str">
        <f>"9627D09101"</f>
        <v>9627D09101</v>
      </c>
      <c r="E7708" s="1" t="s">
        <v>10</v>
      </c>
      <c r="F7708" s="1" t="str">
        <f>"10.14.1.126"</f>
        <v>10.14.1.126</v>
      </c>
      <c r="G7708" s="1" t="str">
        <f>"9627D091"</f>
        <v>9627D091</v>
      </c>
      <c r="H7708" s="1" t="str">
        <f>"숭실간 37L3"</f>
        <v>숭실간 37L3</v>
      </c>
      <c r="I7708" s="1" t="s">
        <v>8</v>
      </c>
      <c r="J7708" s="1" t="str">
        <f>"19/19"</f>
        <v>19/19</v>
      </c>
      <c r="K7708" s="1" t="str">
        <f>"2026-07-29 13:18:11"</f>
        <v>2026-07-29 13:18:11</v>
      </c>
      <c r="L7708" s="1" t="str">
        <f>"2014-11-19 08:24:58"</f>
        <v>2014-11-19 08:24:58</v>
      </c>
      <c r="M7708" s="1" t="s">
        <v>3</v>
      </c>
      <c r="N7708" s="1" t="s">
        <v>38</v>
      </c>
      <c r="O7708" s="1" t="s">
        <v>46</v>
      </c>
    </row>
    <row r="7709" spans="2:15" x14ac:dyDescent="0.3">
      <c r="B7709" s="1" t="s">
        <v>21</v>
      </c>
      <c r="C7709" s="1" t="str">
        <f t="shared" si="377"/>
        <v>1차</v>
      </c>
      <c r="D7709" s="1" t="str">
        <f>"9627D16101"</f>
        <v>9627D16101</v>
      </c>
      <c r="E7709" s="1" t="s">
        <v>14</v>
      </c>
      <c r="F7709" s="1" t="str">
        <f>"10.14.6.116"</f>
        <v>10.14.6.116</v>
      </c>
      <c r="G7709" s="1" t="str">
        <f>"9627D161"</f>
        <v>9627D161</v>
      </c>
      <c r="H7709" s="1" t="str">
        <f>"숭실간 32"</f>
        <v>숭실간 32</v>
      </c>
      <c r="I7709" s="1" t="s">
        <v>8</v>
      </c>
      <c r="J7709" s="1" t="str">
        <f>"0/0"</f>
        <v>0/0</v>
      </c>
      <c r="K7709" s="1" t="str">
        <f>"2026-07-29 13:18:11"</f>
        <v>2026-07-29 13:18:11</v>
      </c>
      <c r="L7709" s="1" t="str">
        <f>"2014-11-21 16:53:53"</f>
        <v>2014-11-21 16:53:53</v>
      </c>
      <c r="M7709" s="1" t="s">
        <v>3</v>
      </c>
      <c r="N7709" s="1" t="s">
        <v>38</v>
      </c>
      <c r="O7709" s="1" t="s">
        <v>44</v>
      </c>
    </row>
    <row r="7710" spans="2:15" x14ac:dyDescent="0.3">
      <c r="B7710" s="1" t="s">
        <v>21</v>
      </c>
      <c r="C7710" s="1" t="str">
        <f t="shared" si="377"/>
        <v>1차</v>
      </c>
      <c r="D7710" s="1" t="str">
        <f>"9627D16202"</f>
        <v>9627D16202</v>
      </c>
      <c r="E7710" s="1" t="s">
        <v>14</v>
      </c>
      <c r="F7710" s="1" t="str">
        <f>"10.14.4.192"</f>
        <v>10.14.4.192</v>
      </c>
      <c r="G7710" s="1" t="str">
        <f>"9627D162"</f>
        <v>9627D162</v>
      </c>
      <c r="H7710" s="1" t="str">
        <f>"숭실간 33"</f>
        <v>숭실간 33</v>
      </c>
      <c r="I7710" s="1" t="s">
        <v>8</v>
      </c>
      <c r="J7710" s="1" t="str">
        <f>"0/0"</f>
        <v>0/0</v>
      </c>
      <c r="K7710" s="1" t="str">
        <f>"2024-05-19 09:20:17"</f>
        <v>2024-05-19 09:20:17</v>
      </c>
      <c r="L7710" s="1" t="str">
        <f>"2014-11-21 16:54:51"</f>
        <v>2014-11-21 16:54:51</v>
      </c>
      <c r="M7710" s="1" t="s">
        <v>3</v>
      </c>
      <c r="N7710" s="1" t="s">
        <v>39</v>
      </c>
      <c r="O7710" s="1" t="s">
        <v>46</v>
      </c>
    </row>
    <row r="7711" spans="2:15" x14ac:dyDescent="0.3">
      <c r="B7711" s="1" t="s">
        <v>21</v>
      </c>
      <c r="C7711" s="1" t="str">
        <f t="shared" si="377"/>
        <v>1차</v>
      </c>
      <c r="D7711" s="1" t="str">
        <f>"9627D24202"</f>
        <v>9627D24202</v>
      </c>
      <c r="E7711" s="1" t="s">
        <v>14</v>
      </c>
      <c r="F7711" s="1" t="str">
        <f>"10.128.68.115"</f>
        <v>10.128.68.115</v>
      </c>
      <c r="G7711" s="1" t="str">
        <f>"9627D242"</f>
        <v>9627D242</v>
      </c>
      <c r="H7711" s="1" t="str">
        <f>"숭실간 31R3R2"</f>
        <v>숭실간 31R3R2</v>
      </c>
      <c r="I7711" s="1" t="s">
        <v>8</v>
      </c>
      <c r="J7711" s="1" t="str">
        <f>"0/0"</f>
        <v>0/0</v>
      </c>
      <c r="K7711" s="1" t="str">
        <f>"2024-02-16 21:20:15"</f>
        <v>2024-02-16 21:20:15</v>
      </c>
      <c r="L7711" s="1" t="str">
        <f>"2014-11-19 09:10:49"</f>
        <v>2014-11-19 09:10:49</v>
      </c>
      <c r="M7711" s="1" t="s">
        <v>45</v>
      </c>
      <c r="N7711" s="1" t="s">
        <v>44</v>
      </c>
      <c r="O7711" s="1" t="s">
        <v>44</v>
      </c>
    </row>
    <row r="7712" spans="2:15" x14ac:dyDescent="0.3">
      <c r="B7712" s="1" t="s">
        <v>21</v>
      </c>
      <c r="C7712" s="1" t="str">
        <f t="shared" si="377"/>
        <v>1차</v>
      </c>
      <c r="D7712" s="1" t="str">
        <f>"9627D25500"</f>
        <v>9627D25500</v>
      </c>
      <c r="E7712" s="1" t="s">
        <v>10</v>
      </c>
      <c r="F7712" s="1" t="str">
        <f>"10.128.68.114"</f>
        <v>10.128.68.114</v>
      </c>
      <c r="G7712" s="1" t="str">
        <f>"9627D255"</f>
        <v>9627D255</v>
      </c>
      <c r="H7712" s="1" t="str">
        <f>"숭실간 31R3"</f>
        <v>숭실간 31R3</v>
      </c>
      <c r="I7712" s="1" t="s">
        <v>8</v>
      </c>
      <c r="J7712" s="1" t="str">
        <f>"15/19"</f>
        <v>15/19</v>
      </c>
      <c r="K7712" s="1" t="str">
        <f>"2026-07-29 13:18:11"</f>
        <v>2026-07-29 13:18:11</v>
      </c>
      <c r="L7712" s="1" t="str">
        <f>"2014-10-07 16:57:25"</f>
        <v>2014-10-07 16:57:25</v>
      </c>
      <c r="M7712" s="1" t="s">
        <v>45</v>
      </c>
      <c r="N7712" s="1" t="s">
        <v>38</v>
      </c>
      <c r="O7712" s="1" t="s">
        <v>46</v>
      </c>
    </row>
    <row r="7713" spans="2:15" x14ac:dyDescent="0.3">
      <c r="B7713" s="1" t="s">
        <v>21</v>
      </c>
      <c r="C7713" s="1" t="str">
        <f t="shared" si="377"/>
        <v>1차</v>
      </c>
      <c r="D7713" s="1" t="str">
        <f>"9627D28100"</f>
        <v>9627D28100</v>
      </c>
      <c r="E7713" s="1" t="s">
        <v>10</v>
      </c>
      <c r="F7713" s="1" t="str">
        <f>"10.128.68.98"</f>
        <v>10.128.68.98</v>
      </c>
      <c r="G7713" s="1" t="str">
        <f>"9627D281"</f>
        <v>9627D281</v>
      </c>
      <c r="H7713" s="1" t="str">
        <f>"숭실간 37L1"</f>
        <v>숭실간 37L1</v>
      </c>
      <c r="I7713" s="1" t="s">
        <v>8</v>
      </c>
      <c r="J7713" s="1" t="str">
        <f>"2/2"</f>
        <v>2/2</v>
      </c>
      <c r="K7713" s="1" t="str">
        <f>"2026-07-29 13:18:11"</f>
        <v>2026-07-29 13:18:11</v>
      </c>
      <c r="L7713" s="1" t="str">
        <f>"2014-10-07 14:56:25"</f>
        <v>2014-10-07 14:56:25</v>
      </c>
      <c r="M7713" s="1" t="s">
        <v>45</v>
      </c>
      <c r="N7713" s="1" t="s">
        <v>38</v>
      </c>
      <c r="O7713" s="1" t="s">
        <v>46</v>
      </c>
    </row>
    <row r="7714" spans="2:15" x14ac:dyDescent="0.3">
      <c r="B7714" s="1" t="s">
        <v>21</v>
      </c>
      <c r="C7714" s="1" t="str">
        <f>"6차"</f>
        <v>6차</v>
      </c>
      <c r="D7714" s="1" t="str">
        <f>"9627D2826S"</f>
        <v>9627D2826S</v>
      </c>
      <c r="E7714" s="1" t="s">
        <v>10</v>
      </c>
      <c r="F7714" s="1" t="str">
        <f>"fde1:103:4:c783:0:0:0:2"</f>
        <v>fde1:103:4:c783:0:0:0:2</v>
      </c>
      <c r="G7714" s="1" t="str">
        <f>"9627D282"</f>
        <v>9627D282</v>
      </c>
      <c r="H7714" s="1" t="str">
        <f>"숭실간 36"</f>
        <v>숭실간 36</v>
      </c>
      <c r="I7714" s="1" t="s">
        <v>15</v>
      </c>
      <c r="J7714" s="1" t="str">
        <f>"30/32"</f>
        <v>30/32</v>
      </c>
      <c r="K7714" s="1" t="str">
        <f>"2026-07-29 14:21:20"</f>
        <v>2026-07-29 14:21:20</v>
      </c>
      <c r="L7714" s="1" t="str">
        <f>"2024-12-10 11:26:06"</f>
        <v>2024-12-10 11:26:06</v>
      </c>
      <c r="M7714" s="1" t="s">
        <v>4</v>
      </c>
      <c r="N7714" s="1" t="s">
        <v>38</v>
      </c>
      <c r="O7714" s="1" t="s">
        <v>46</v>
      </c>
    </row>
    <row r="7715" spans="2:15" x14ac:dyDescent="0.3">
      <c r="B7715" s="1" t="s">
        <v>21</v>
      </c>
      <c r="C7715" s="1" t="str">
        <f>"1차"</f>
        <v>1차</v>
      </c>
      <c r="D7715" s="1" t="str">
        <f>"9627D38100"</f>
        <v>9627D38100</v>
      </c>
      <c r="E7715" s="1" t="s">
        <v>10</v>
      </c>
      <c r="F7715" s="1" t="str">
        <f>"10.128.74.114"</f>
        <v>10.128.74.114</v>
      </c>
      <c r="G7715" s="1" t="str">
        <f>"9627D381"</f>
        <v>9627D381</v>
      </c>
      <c r="H7715" s="1" t="str">
        <f>"숭실간 37R1"</f>
        <v>숭실간 37R1</v>
      </c>
      <c r="I7715" s="1" t="s">
        <v>8</v>
      </c>
      <c r="J7715" s="1" t="str">
        <f>"10/22"</f>
        <v>10/22</v>
      </c>
      <c r="K7715" s="1" t="str">
        <f>"2026-07-29 13:18:11"</f>
        <v>2026-07-29 13:18:11</v>
      </c>
      <c r="L7715" s="1" t="str">
        <f>"2014-12-27 11:37:21"</f>
        <v>2014-12-27 11:37:21</v>
      </c>
      <c r="M7715" s="1" t="s">
        <v>45</v>
      </c>
      <c r="N7715" s="1" t="s">
        <v>38</v>
      </c>
      <c r="O7715" s="1" t="s">
        <v>46</v>
      </c>
    </row>
    <row r="7716" spans="2:15" x14ac:dyDescent="0.3">
      <c r="B7716" s="1" t="s">
        <v>21</v>
      </c>
      <c r="C7716" s="1" t="str">
        <f>"1차"</f>
        <v>1차</v>
      </c>
      <c r="D7716" s="1" t="str">
        <f>"9627D74100"</f>
        <v>9627D74100</v>
      </c>
      <c r="E7716" s="1" t="s">
        <v>10</v>
      </c>
      <c r="F7716" s="1" t="str">
        <f>"10.128.0.36"</f>
        <v>10.128.0.36</v>
      </c>
      <c r="G7716" s="1" t="str">
        <f>"9627D741"</f>
        <v>9627D741</v>
      </c>
      <c r="H7716" s="1" t="str">
        <f>"숭실간 31R11"</f>
        <v>숭실간 31R11</v>
      </c>
      <c r="I7716" s="1" t="s">
        <v>8</v>
      </c>
      <c r="J7716" s="1" t="str">
        <f>"10/10"</f>
        <v>10/10</v>
      </c>
      <c r="K7716" s="1" t="str">
        <f>"2026-07-29 13:18:11"</f>
        <v>2026-07-29 13:18:11</v>
      </c>
      <c r="L7716" s="1" t="str">
        <f>"2014-10-07 16:56:13"</f>
        <v>2014-10-07 16:56:13</v>
      </c>
      <c r="M7716" s="1" t="s">
        <v>45</v>
      </c>
      <c r="N7716" s="1" t="s">
        <v>38</v>
      </c>
      <c r="O7716" s="1" t="s">
        <v>46</v>
      </c>
    </row>
    <row r="7717" spans="2:15" x14ac:dyDescent="0.3">
      <c r="B7717" s="1" t="s">
        <v>21</v>
      </c>
      <c r="C7717" s="1" t="str">
        <f>"3차"</f>
        <v>3차</v>
      </c>
      <c r="D7717" s="1" t="str">
        <f>"9627D74339"</f>
        <v>9627D74339</v>
      </c>
      <c r="E7717" s="1" t="s">
        <v>10</v>
      </c>
      <c r="F7717" s="1" t="str">
        <f>"10.12.129.145"</f>
        <v>10.12.129.145</v>
      </c>
      <c r="G7717" s="1" t="str">
        <f>"9627D743"</f>
        <v>9627D743</v>
      </c>
      <c r="H7717" s="1" t="str">
        <f>"숭실간 31R11R1"</f>
        <v>숭실간 31R11R1</v>
      </c>
      <c r="I7717" s="1" t="s">
        <v>8</v>
      </c>
      <c r="J7717" s="1" t="str">
        <f>"12/12"</f>
        <v>12/12</v>
      </c>
      <c r="K7717" s="1" t="str">
        <f>"2026-07-29 13:18:11"</f>
        <v>2026-07-29 13:18:11</v>
      </c>
      <c r="L7717" s="1" t="str">
        <f>"2023-07-21 18:02:33"</f>
        <v>2023-07-21 18:02:33</v>
      </c>
      <c r="M7717" s="1" t="s">
        <v>0</v>
      </c>
      <c r="N7717" s="1" t="s">
        <v>38</v>
      </c>
      <c r="O7717" s="1" t="s">
        <v>46</v>
      </c>
    </row>
    <row r="7718" spans="2:15" x14ac:dyDescent="0.3">
      <c r="B7718" s="1" t="s">
        <v>21</v>
      </c>
      <c r="C7718" s="1" t="str">
        <f>"1차"</f>
        <v>1차</v>
      </c>
      <c r="D7718" s="1" t="str">
        <f>"9627D76202"</f>
        <v>9627D76202</v>
      </c>
      <c r="E7718" s="1" t="s">
        <v>10</v>
      </c>
      <c r="F7718" s="1" t="str">
        <f>"10.12.134.94"</f>
        <v>10.12.134.94</v>
      </c>
      <c r="G7718" s="1" t="str">
        <f>"9627D762"</f>
        <v>9627D762</v>
      </c>
      <c r="H7718" s="1" t="str">
        <f>"수색간 72L20"</f>
        <v>수색간 72L20</v>
      </c>
      <c r="I7718" s="1" t="s">
        <v>8</v>
      </c>
      <c r="J7718" s="1" t="str">
        <f>"56/58"</f>
        <v>56/58</v>
      </c>
      <c r="K7718" s="1" t="str">
        <f>"2026-07-29 13:18:11"</f>
        <v>2026-07-29 13:18:11</v>
      </c>
      <c r="L7718" s="1" t="str">
        <f>"2014-11-19 09:39:47"</f>
        <v>2014-11-19 09:39:47</v>
      </c>
      <c r="M7718" s="1" t="s">
        <v>0</v>
      </c>
      <c r="N7718" s="1" t="s">
        <v>38</v>
      </c>
      <c r="O7718" s="1" t="s">
        <v>46</v>
      </c>
    </row>
    <row r="7719" spans="2:15" x14ac:dyDescent="0.3">
      <c r="B7719" s="1" t="s">
        <v>21</v>
      </c>
      <c r="C7719" s="1" t="str">
        <f>"1차"</f>
        <v>1차</v>
      </c>
      <c r="D7719" s="1" t="str">
        <f>"9627D84100"</f>
        <v>9627D84100</v>
      </c>
      <c r="E7719" s="1" t="s">
        <v>10</v>
      </c>
      <c r="F7719" s="1" t="str">
        <f>"10.128.0.38"</f>
        <v>10.128.0.38</v>
      </c>
      <c r="G7719" s="1" t="str">
        <f>"9627D841"</f>
        <v>9627D841</v>
      </c>
      <c r="H7719" s="1" t="str">
        <f>"숭실간 31R12"</f>
        <v>숭실간 31R12</v>
      </c>
      <c r="I7719" s="1" t="s">
        <v>8</v>
      </c>
      <c r="J7719" s="1" t="str">
        <f>"41/41"</f>
        <v>41/41</v>
      </c>
      <c r="K7719" s="1" t="str">
        <f>"2026-07-28 20:03:24"</f>
        <v>2026-07-28 20:03:24</v>
      </c>
      <c r="L7719" s="1" t="str">
        <f>"2014-11-19 10:25:15"</f>
        <v>2014-11-19 10:25:15</v>
      </c>
      <c r="M7719" s="1" t="s">
        <v>45</v>
      </c>
      <c r="N7719" s="1" t="s">
        <v>38</v>
      </c>
      <c r="O7719" s="1" t="s">
        <v>46</v>
      </c>
    </row>
    <row r="7720" spans="2:15" x14ac:dyDescent="0.3">
      <c r="B7720" s="1" t="s">
        <v>21</v>
      </c>
      <c r="C7720" s="1" t="str">
        <f>"4차"</f>
        <v>4차</v>
      </c>
      <c r="D7720" s="1" t="str">
        <f>"9627D94142"</f>
        <v>9627D94142</v>
      </c>
      <c r="E7720" s="1" t="s">
        <v>10</v>
      </c>
      <c r="F7720" s="1" t="str">
        <f>"10.12.135.55"</f>
        <v>10.12.135.55</v>
      </c>
      <c r="G7720" s="1" t="str">
        <f>"9627D941"</f>
        <v>9627D941</v>
      </c>
      <c r="H7720" s="1" t="str">
        <f>"숭실간 31R12L2"</f>
        <v>숭실간 31R12L2</v>
      </c>
      <c r="I7720" s="1" t="s">
        <v>8</v>
      </c>
      <c r="J7720" s="1" t="str">
        <f>"24/31"</f>
        <v>24/31</v>
      </c>
      <c r="K7720" s="1" t="str">
        <f>"2026-07-29 13:18:11"</f>
        <v>2026-07-29 13:18:11</v>
      </c>
      <c r="L7720" s="1" t="str">
        <f>"2026-02-12 17:23:55"</f>
        <v>2026-02-12 17:23:55</v>
      </c>
      <c r="M7720" s="1" t="s">
        <v>0</v>
      </c>
      <c r="N7720" s="1" t="s">
        <v>38</v>
      </c>
      <c r="O7720" s="1" t="s">
        <v>46</v>
      </c>
    </row>
    <row r="7721" spans="2:15" x14ac:dyDescent="0.3">
      <c r="B7721" s="1" t="s">
        <v>21</v>
      </c>
      <c r="C7721" s="1" t="str">
        <f>"1차"</f>
        <v>1차</v>
      </c>
      <c r="D7721" s="1" t="str">
        <f>"9627D94202"</f>
        <v>9627D94202</v>
      </c>
      <c r="E7721" s="1" t="s">
        <v>10</v>
      </c>
      <c r="F7721" s="1" t="str">
        <f>"10.128.0.40"</f>
        <v>10.128.0.40</v>
      </c>
      <c r="G7721" s="1" t="str">
        <f>"9627D942"</f>
        <v>9627D942</v>
      </c>
      <c r="H7721" s="1" t="str">
        <f>"숭실간 31R13"</f>
        <v>숭실간 31R13</v>
      </c>
      <c r="I7721" s="1" t="s">
        <v>8</v>
      </c>
      <c r="J7721" s="1" t="str">
        <f>"43/48"</f>
        <v>43/48</v>
      </c>
      <c r="K7721" s="1" t="str">
        <f>"2026-07-29 13:18:10"</f>
        <v>2026-07-29 13:18:10</v>
      </c>
      <c r="L7721" s="1" t="str">
        <f>"2014-11-19 10:25:13"</f>
        <v>2014-11-19 10:25:13</v>
      </c>
      <c r="M7721" s="1" t="s">
        <v>45</v>
      </c>
      <c r="N7721" s="1" t="s">
        <v>38</v>
      </c>
      <c r="O7721" s="1" t="s">
        <v>46</v>
      </c>
    </row>
    <row r="7722" spans="2:15" x14ac:dyDescent="0.3">
      <c r="B7722" s="1" t="s">
        <v>21</v>
      </c>
      <c r="C7722" s="1" t="str">
        <f>"1차"</f>
        <v>1차</v>
      </c>
      <c r="D7722" s="1" t="str">
        <f>"9627D95300"</f>
        <v>9627D95300</v>
      </c>
      <c r="E7722" s="1" t="s">
        <v>10</v>
      </c>
      <c r="F7722" s="1" t="str">
        <f>"10.128.67.106"</f>
        <v>10.128.67.106</v>
      </c>
      <c r="G7722" s="1" t="str">
        <f>"9627D953"</f>
        <v>9627D953</v>
      </c>
      <c r="H7722" s="1" t="str">
        <f>"수색간 72L18"</f>
        <v>수색간 72L18</v>
      </c>
      <c r="I7722" s="1" t="s">
        <v>8</v>
      </c>
      <c r="J7722" s="1" t="str">
        <f>"27/27"</f>
        <v>27/27</v>
      </c>
      <c r="K7722" s="1" t="str">
        <f>"2026-07-29 13:18:11"</f>
        <v>2026-07-29 13:18:11</v>
      </c>
      <c r="L7722" s="1" t="str">
        <f>"2014-11-19 09:40:25"</f>
        <v>2014-11-19 09:40:25</v>
      </c>
      <c r="M7722" s="1" t="s">
        <v>45</v>
      </c>
      <c r="N7722" s="1" t="s">
        <v>38</v>
      </c>
      <c r="O7722" s="1" t="s">
        <v>46</v>
      </c>
    </row>
    <row r="7723" spans="2:15" x14ac:dyDescent="0.3">
      <c r="B7723" s="1" t="s">
        <v>21</v>
      </c>
      <c r="C7723" s="1" t="str">
        <f>"5-2차"</f>
        <v>5-2차</v>
      </c>
      <c r="D7723" s="1" t="str">
        <f>"9627E0425M"</f>
        <v>9627E0425M</v>
      </c>
      <c r="E7723" s="1" t="s">
        <v>10</v>
      </c>
      <c r="F7723" s="1" t="str">
        <f>"fde1:103:4:5847:0:0:0:2"</f>
        <v>fde1:103:4:5847:0:0:0:2</v>
      </c>
      <c r="G7723" s="1" t="str">
        <f>"9627E042"</f>
        <v>9627E042</v>
      </c>
      <c r="H7723" s="1" t="str">
        <f>"숭실간 51R4"</f>
        <v>숭실간 51R4</v>
      </c>
      <c r="I7723" s="1" t="s">
        <v>15</v>
      </c>
      <c r="J7723" s="1" t="str">
        <f>"75/75"</f>
        <v>75/75</v>
      </c>
      <c r="K7723" s="1" t="str">
        <f>"2026-07-29 14:21:12"</f>
        <v>2026-07-29 14:21:12</v>
      </c>
      <c r="L7723" s="1" t="str">
        <f>"2023-10-13 10:15:44"</f>
        <v>2023-10-13 10:15:44</v>
      </c>
      <c r="M7723" s="1" t="s">
        <v>4</v>
      </c>
      <c r="N7723" s="1" t="s">
        <v>38</v>
      </c>
      <c r="O7723" s="1" t="s">
        <v>46</v>
      </c>
    </row>
    <row r="7724" spans="2:15" x14ac:dyDescent="0.3">
      <c r="B7724" s="1" t="s">
        <v>21</v>
      </c>
      <c r="C7724" s="1" t="str">
        <f>"5-2차"</f>
        <v>5-2차</v>
      </c>
      <c r="D7724" s="1" t="str">
        <f>"9627E0515M"</f>
        <v>9627E0515M</v>
      </c>
      <c r="E7724" s="1" t="s">
        <v>10</v>
      </c>
      <c r="F7724" s="1" t="str">
        <f>"fde1:103:4:5783:0:0:0:2"</f>
        <v>fde1:103:4:5783:0:0:0:2</v>
      </c>
      <c r="G7724" s="1" t="str">
        <f>"9627E051"</f>
        <v>9627E051</v>
      </c>
      <c r="H7724" s="1" t="str">
        <f>"수색간 84L11"</f>
        <v>수색간 84L11</v>
      </c>
      <c r="I7724" s="1" t="s">
        <v>15</v>
      </c>
      <c r="J7724" s="1" t="str">
        <f>"32/41"</f>
        <v>32/41</v>
      </c>
      <c r="K7724" s="1" t="str">
        <f>"2026-07-29 14:21:48"</f>
        <v>2026-07-29 14:21:48</v>
      </c>
      <c r="L7724" s="1" t="str">
        <f>"2023-10-13 10:16:26"</f>
        <v>2023-10-13 10:16:26</v>
      </c>
      <c r="M7724" s="1" t="s">
        <v>4</v>
      </c>
      <c r="N7724" s="1" t="s">
        <v>38</v>
      </c>
      <c r="O7724" s="1" t="s">
        <v>46</v>
      </c>
    </row>
    <row r="7725" spans="2:15" x14ac:dyDescent="0.3">
      <c r="B7725" s="1" t="s">
        <v>21</v>
      </c>
      <c r="C7725" s="1" t="str">
        <f>"5-2차"</f>
        <v>5-2차</v>
      </c>
      <c r="D7725" s="1" t="str">
        <f>"9627E0625S"</f>
        <v>9627E0625S</v>
      </c>
      <c r="E7725" s="1" t="s">
        <v>10</v>
      </c>
      <c r="F7725" s="1" t="str">
        <f>"fde1:103:4:56ff:0:0:0:2"</f>
        <v>fde1:103:4:56ff:0:0:0:2</v>
      </c>
      <c r="G7725" s="1" t="str">
        <f>"9627E062"</f>
        <v>9627E062</v>
      </c>
      <c r="H7725" s="1" t="str">
        <f>"갈색지 2"</f>
        <v>갈색지 2</v>
      </c>
      <c r="I7725" s="1" t="s">
        <v>15</v>
      </c>
      <c r="J7725" s="1" t="str">
        <f>"58/58"</f>
        <v>58/58</v>
      </c>
      <c r="K7725" s="1" t="str">
        <f>"2026-07-29 14:21:48"</f>
        <v>2026-07-29 14:21:48</v>
      </c>
      <c r="L7725" s="1" t="str">
        <f>"2023-10-13 10:16:38"</f>
        <v>2023-10-13 10:16:38</v>
      </c>
      <c r="M7725" s="1" t="s">
        <v>4</v>
      </c>
      <c r="N7725" s="1" t="s">
        <v>38</v>
      </c>
      <c r="O7725" s="1" t="s">
        <v>46</v>
      </c>
    </row>
    <row r="7726" spans="2:15" x14ac:dyDescent="0.3">
      <c r="B7726" s="1" t="s">
        <v>21</v>
      </c>
      <c r="C7726" s="1" t="str">
        <f>"4차"</f>
        <v>4차</v>
      </c>
      <c r="D7726" s="1" t="str">
        <f>"9627E07144"</f>
        <v>9627E07144</v>
      </c>
      <c r="E7726" s="1" t="s">
        <v>10</v>
      </c>
      <c r="F7726" s="1" t="str">
        <f>"10.10.132.2"</f>
        <v>10.10.132.2</v>
      </c>
      <c r="G7726" s="1" t="str">
        <f>"9627E071"</f>
        <v>9627E071</v>
      </c>
      <c r="H7726" s="1" t="str">
        <f>"수색간 97L10"</f>
        <v>수색간 97L10</v>
      </c>
      <c r="I7726" s="1" t="s">
        <v>8</v>
      </c>
      <c r="J7726" s="1" t="str">
        <f>"12/12"</f>
        <v>12/12</v>
      </c>
      <c r="K7726" s="1" t="str">
        <f>"2026-07-29 13:18:11"</f>
        <v>2026-07-29 13:18:11</v>
      </c>
      <c r="L7726" s="1" t="str">
        <f>"2019-10-28 10:02:40"</f>
        <v>2019-10-28 10:02:40</v>
      </c>
      <c r="M7726" s="1" t="s">
        <v>1</v>
      </c>
      <c r="N7726" s="1" t="s">
        <v>38</v>
      </c>
      <c r="O7726" s="1" t="s">
        <v>46</v>
      </c>
    </row>
    <row r="7727" spans="2:15" x14ac:dyDescent="0.3">
      <c r="B7727" s="1" t="s">
        <v>21</v>
      </c>
      <c r="C7727" s="1" t="str">
        <f>"5-2차"</f>
        <v>5-2차</v>
      </c>
      <c r="D7727" s="1" t="str">
        <f>"9627E1535S"</f>
        <v>9627E1535S</v>
      </c>
      <c r="E7727" s="1" t="s">
        <v>10</v>
      </c>
      <c r="F7727" s="1" t="str">
        <f>"fde1:103:4:571c:0:0:0:2"</f>
        <v>fde1:103:4:571c:0:0:0:2</v>
      </c>
      <c r="G7727" s="1" t="str">
        <f>"9627E153"</f>
        <v>9627E153</v>
      </c>
      <c r="H7727" s="1" t="str">
        <f>"수색간 93L9"</f>
        <v>수색간 93L9</v>
      </c>
      <c r="I7727" s="1" t="s">
        <v>15</v>
      </c>
      <c r="J7727" s="1" t="str">
        <f>"68/68"</f>
        <v>68/68</v>
      </c>
      <c r="K7727" s="1" t="str">
        <f>"2026-07-29 14:21:48"</f>
        <v>2026-07-29 14:21:48</v>
      </c>
      <c r="L7727" s="1" t="str">
        <f>"2023-10-13 10:32:04"</f>
        <v>2023-10-13 10:32:04</v>
      </c>
      <c r="M7727" s="1" t="s">
        <v>4</v>
      </c>
      <c r="N7727" s="1" t="s">
        <v>38</v>
      </c>
      <c r="O7727" s="1" t="s">
        <v>46</v>
      </c>
    </row>
    <row r="7728" spans="2:15" x14ac:dyDescent="0.3">
      <c r="B7728" s="1" t="s">
        <v>21</v>
      </c>
      <c r="C7728" s="1" t="str">
        <f>"5-2차"</f>
        <v>5-2차</v>
      </c>
      <c r="D7728" s="1" t="str">
        <f>"9627E1715S"</f>
        <v>9627E1715S</v>
      </c>
      <c r="E7728" s="1" t="s">
        <v>10</v>
      </c>
      <c r="F7728" s="1" t="str">
        <f>"fde1:103:4:582e:0:0:0:2"</f>
        <v>fde1:103:4:582e:0:0:0:2</v>
      </c>
      <c r="G7728" s="1" t="str">
        <f>"9627E171"</f>
        <v>9627E171</v>
      </c>
      <c r="H7728" s="1" t="str">
        <f>"수색간 97L8"</f>
        <v>수색간 97L8</v>
      </c>
      <c r="I7728" s="1" t="s">
        <v>15</v>
      </c>
      <c r="J7728" s="1" t="str">
        <f>"33/33"</f>
        <v>33/33</v>
      </c>
      <c r="K7728" s="1" t="str">
        <f>"2026-07-29 14:21:41"</f>
        <v>2026-07-29 14:21:41</v>
      </c>
      <c r="L7728" s="1" t="str">
        <f>"2023-10-13 10:32:26"</f>
        <v>2023-10-13 10:32:26</v>
      </c>
      <c r="M7728" s="1" t="s">
        <v>4</v>
      </c>
      <c r="N7728" s="1" t="s">
        <v>38</v>
      </c>
      <c r="O7728" s="1" t="s">
        <v>46</v>
      </c>
    </row>
    <row r="7729" spans="2:15" x14ac:dyDescent="0.3">
      <c r="B7729" s="1" t="s">
        <v>21</v>
      </c>
      <c r="C7729" s="1" t="str">
        <f t="shared" ref="C7729:C7735" si="378">"4차"</f>
        <v>4차</v>
      </c>
      <c r="D7729" s="1" t="str">
        <f>"9627E17244"</f>
        <v>9627E17244</v>
      </c>
      <c r="E7729" s="1" t="s">
        <v>10</v>
      </c>
      <c r="F7729" s="1" t="str">
        <f>"10.10.129.218"</f>
        <v>10.10.129.218</v>
      </c>
      <c r="G7729" s="1" t="str">
        <f>"9627E172"</f>
        <v>9627E172</v>
      </c>
      <c r="H7729" s="1" t="str">
        <f>"수색간 97L9"</f>
        <v>수색간 97L9</v>
      </c>
      <c r="I7729" s="1" t="s">
        <v>8</v>
      </c>
      <c r="J7729" s="1" t="str">
        <f>"79/79"</f>
        <v>79/79</v>
      </c>
      <c r="K7729" s="1" t="str">
        <f t="shared" ref="K7729:K7735" si="379">"2026-07-29 13:18:11"</f>
        <v>2026-07-29 13:18:11</v>
      </c>
      <c r="L7729" s="1" t="str">
        <f>"2019-10-28 09:54:11"</f>
        <v>2019-10-28 09:54:11</v>
      </c>
      <c r="M7729" s="1" t="s">
        <v>1</v>
      </c>
      <c r="N7729" s="1" t="s">
        <v>38</v>
      </c>
      <c r="O7729" s="1" t="s">
        <v>46</v>
      </c>
    </row>
    <row r="7730" spans="2:15" x14ac:dyDescent="0.3">
      <c r="B7730" s="1" t="s">
        <v>21</v>
      </c>
      <c r="C7730" s="1" t="str">
        <f t="shared" si="378"/>
        <v>4차</v>
      </c>
      <c r="D7730" s="1" t="str">
        <f>"9627E18144"</f>
        <v>9627E18144</v>
      </c>
      <c r="E7730" s="1" t="s">
        <v>10</v>
      </c>
      <c r="F7730" s="1" t="str">
        <f>"10.10.131.242"</f>
        <v>10.10.131.242</v>
      </c>
      <c r="G7730" s="1" t="str">
        <f>"9627E181"</f>
        <v>9627E181</v>
      </c>
      <c r="H7730" s="1" t="str">
        <f>"수색간 97L8R1"</f>
        <v>수색간 97L8R1</v>
      </c>
      <c r="I7730" s="1" t="s">
        <v>8</v>
      </c>
      <c r="J7730" s="1" t="str">
        <f>"59/60"</f>
        <v>59/60</v>
      </c>
      <c r="K7730" s="1" t="str">
        <f t="shared" si="379"/>
        <v>2026-07-29 13:18:11</v>
      </c>
      <c r="L7730" s="1" t="str">
        <f>"2019-12-17 16:07:55"</f>
        <v>2019-12-17 16:07:55</v>
      </c>
      <c r="M7730" s="1" t="s">
        <v>1</v>
      </c>
      <c r="N7730" s="1" t="s">
        <v>38</v>
      </c>
      <c r="O7730" s="1" t="s">
        <v>46</v>
      </c>
    </row>
    <row r="7731" spans="2:15" x14ac:dyDescent="0.3">
      <c r="B7731" s="1" t="s">
        <v>21</v>
      </c>
      <c r="C7731" s="1" t="str">
        <f t="shared" si="378"/>
        <v>4차</v>
      </c>
      <c r="D7731" s="1" t="str">
        <f>"9627E19144"</f>
        <v>9627E19144</v>
      </c>
      <c r="E7731" s="1" t="s">
        <v>10</v>
      </c>
      <c r="F7731" s="1" t="str">
        <f>"10.10.132.50"</f>
        <v>10.10.132.50</v>
      </c>
      <c r="G7731" s="1" t="str">
        <f>"9627E191"</f>
        <v>9627E191</v>
      </c>
      <c r="H7731" s="1" t="str">
        <f>"신사간 28L5R2"</f>
        <v>신사간 28L5R2</v>
      </c>
      <c r="I7731" s="1" t="s">
        <v>8</v>
      </c>
      <c r="J7731" s="1" t="str">
        <f>"40/41"</f>
        <v>40/41</v>
      </c>
      <c r="K7731" s="1" t="str">
        <f t="shared" si="379"/>
        <v>2026-07-29 13:18:11</v>
      </c>
      <c r="L7731" s="1" t="str">
        <f>"2020-01-11 02:10:17"</f>
        <v>2020-01-11 02:10:17</v>
      </c>
      <c r="M7731" s="1" t="s">
        <v>1</v>
      </c>
      <c r="N7731" s="1" t="s">
        <v>38</v>
      </c>
      <c r="O7731" s="1" t="s">
        <v>46</v>
      </c>
    </row>
    <row r="7732" spans="2:15" x14ac:dyDescent="0.3">
      <c r="B7732" s="1" t="s">
        <v>21</v>
      </c>
      <c r="C7732" s="1" t="str">
        <f t="shared" si="378"/>
        <v>4차</v>
      </c>
      <c r="D7732" s="1" t="str">
        <f>"9627E23244"</f>
        <v>9627E23244</v>
      </c>
      <c r="E7732" s="1" t="s">
        <v>14</v>
      </c>
      <c r="F7732" s="1" t="str">
        <f>"10.128.74.50"</f>
        <v>10.128.74.50</v>
      </c>
      <c r="G7732" s="1" t="str">
        <f>"9627E232"</f>
        <v>9627E232</v>
      </c>
      <c r="H7732" s="1" t="str">
        <f>"수색간 84L8"</f>
        <v>수색간 84L8</v>
      </c>
      <c r="I7732" s="1" t="s">
        <v>8</v>
      </c>
      <c r="J7732" s="1" t="str">
        <f>"0/0"</f>
        <v>0/0</v>
      </c>
      <c r="K7732" s="1" t="str">
        <f t="shared" si="379"/>
        <v>2026-07-29 13:18:11</v>
      </c>
      <c r="L7732" s="1" t="str">
        <f>"2020-02-10 18:34:11"</f>
        <v>2020-02-10 18:34:11</v>
      </c>
      <c r="M7732" s="1" t="s">
        <v>45</v>
      </c>
      <c r="N7732" s="1" t="s">
        <v>38</v>
      </c>
      <c r="O7732" s="1" t="s">
        <v>44</v>
      </c>
    </row>
    <row r="7733" spans="2:15" x14ac:dyDescent="0.3">
      <c r="B7733" s="1" t="s">
        <v>21</v>
      </c>
      <c r="C7733" s="1" t="str">
        <f t="shared" si="378"/>
        <v>4차</v>
      </c>
      <c r="D7733" s="1" t="str">
        <f>"9627E25244"</f>
        <v>9627E25244</v>
      </c>
      <c r="E7733" s="1" t="s">
        <v>10</v>
      </c>
      <c r="F7733" s="1" t="str">
        <f>"10.10.129.242"</f>
        <v>10.10.129.242</v>
      </c>
      <c r="G7733" s="1" t="str">
        <f>"9627E252"</f>
        <v>9627E252</v>
      </c>
      <c r="H7733" s="1" t="str">
        <f>"수색간 93L7"</f>
        <v>수색간 93L7</v>
      </c>
      <c r="I7733" s="1" t="s">
        <v>8</v>
      </c>
      <c r="J7733" s="1" t="str">
        <f>"20/20"</f>
        <v>20/20</v>
      </c>
      <c r="K7733" s="1" t="str">
        <f t="shared" si="379"/>
        <v>2026-07-29 13:18:11</v>
      </c>
      <c r="L7733" s="1" t="str">
        <f>"2019-10-28 10:43:03"</f>
        <v>2019-10-28 10:43:03</v>
      </c>
      <c r="M7733" s="1" t="s">
        <v>1</v>
      </c>
      <c r="N7733" s="1" t="s">
        <v>38</v>
      </c>
      <c r="O7733" s="1" t="s">
        <v>46</v>
      </c>
    </row>
    <row r="7734" spans="2:15" x14ac:dyDescent="0.3">
      <c r="B7734" s="1" t="s">
        <v>21</v>
      </c>
      <c r="C7734" s="1" t="str">
        <f t="shared" si="378"/>
        <v>4차</v>
      </c>
      <c r="D7734" s="1" t="str">
        <f>"9627E26144"</f>
        <v>9627E26144</v>
      </c>
      <c r="E7734" s="1" t="s">
        <v>10</v>
      </c>
      <c r="F7734" s="1" t="str">
        <f>"10.10.129.226"</f>
        <v>10.10.129.226</v>
      </c>
      <c r="G7734" s="1" t="str">
        <f>"9627E261"</f>
        <v>9627E261</v>
      </c>
      <c r="H7734" s="1" t="str">
        <f>"수색간 93L8R1"</f>
        <v>수색간 93L8R1</v>
      </c>
      <c r="I7734" s="1" t="s">
        <v>8</v>
      </c>
      <c r="J7734" s="1" t="str">
        <f>"7/7"</f>
        <v>7/7</v>
      </c>
      <c r="K7734" s="1" t="str">
        <f t="shared" si="379"/>
        <v>2026-07-29 13:18:11</v>
      </c>
      <c r="L7734" s="1" t="str">
        <f>"2019-10-28 10:35:57"</f>
        <v>2019-10-28 10:35:57</v>
      </c>
      <c r="M7734" s="1" t="s">
        <v>1</v>
      </c>
      <c r="N7734" s="1" t="s">
        <v>38</v>
      </c>
      <c r="O7734" s="1" t="s">
        <v>46</v>
      </c>
    </row>
    <row r="7735" spans="2:15" x14ac:dyDescent="0.3">
      <c r="B7735" s="1" t="s">
        <v>21</v>
      </c>
      <c r="C7735" s="1" t="str">
        <f t="shared" si="378"/>
        <v>4차</v>
      </c>
      <c r="D7735" s="1" t="str">
        <f>"9627E27244"</f>
        <v>9627E27244</v>
      </c>
      <c r="E7735" s="1" t="s">
        <v>10</v>
      </c>
      <c r="F7735" s="1" t="str">
        <f>"10.10.129.146"</f>
        <v>10.10.129.146</v>
      </c>
      <c r="G7735" s="1" t="str">
        <f>"9627E272"</f>
        <v>9627E272</v>
      </c>
      <c r="H7735" s="1" t="str">
        <f>"수색간 97L7"</f>
        <v>수색간 97L7</v>
      </c>
      <c r="I7735" s="1" t="s">
        <v>8</v>
      </c>
      <c r="J7735" s="1" t="str">
        <f>"26/27"</f>
        <v>26/27</v>
      </c>
      <c r="K7735" s="1" t="str">
        <f t="shared" si="379"/>
        <v>2026-07-29 13:18:11</v>
      </c>
      <c r="L7735" s="1" t="str">
        <f>"2019-10-28 09:53:31"</f>
        <v>2019-10-28 09:53:31</v>
      </c>
      <c r="M7735" s="1" t="s">
        <v>1</v>
      </c>
      <c r="N7735" s="1" t="s">
        <v>38</v>
      </c>
      <c r="O7735" s="1" t="s">
        <v>46</v>
      </c>
    </row>
    <row r="7736" spans="2:15" x14ac:dyDescent="0.3">
      <c r="B7736" s="1" t="s">
        <v>21</v>
      </c>
      <c r="C7736" s="1" t="str">
        <f>"5-2차"</f>
        <v>5-2차</v>
      </c>
      <c r="D7736" s="1" t="str">
        <f>"9627E2915S"</f>
        <v>9627E2915S</v>
      </c>
      <c r="E7736" s="1" t="s">
        <v>10</v>
      </c>
      <c r="F7736" s="1" t="str">
        <f>"fde1:103:4:579e:0:0:0:2"</f>
        <v>fde1:103:4:579e:0:0:0:2</v>
      </c>
      <c r="G7736" s="1" t="str">
        <f>"9627E291"</f>
        <v>9627E291</v>
      </c>
      <c r="H7736" s="1" t="str">
        <f>"신사간 28L5R1"</f>
        <v>신사간 28L5R1</v>
      </c>
      <c r="I7736" s="1" t="s">
        <v>15</v>
      </c>
      <c r="J7736" s="1" t="str">
        <f>"34/34"</f>
        <v>34/34</v>
      </c>
      <c r="K7736" s="1" t="str">
        <f>"2026-07-29 14:21:39"</f>
        <v>2026-07-29 14:21:39</v>
      </c>
      <c r="L7736" s="1" t="str">
        <f>"2023-10-13 10:33:08"</f>
        <v>2023-10-13 10:33:08</v>
      </c>
      <c r="M7736" s="1" t="s">
        <v>4</v>
      </c>
      <c r="N7736" s="1" t="s">
        <v>38</v>
      </c>
      <c r="O7736" s="1" t="s">
        <v>46</v>
      </c>
    </row>
    <row r="7737" spans="2:15" x14ac:dyDescent="0.3">
      <c r="B7737" s="1" t="s">
        <v>21</v>
      </c>
      <c r="C7737" s="1" t="str">
        <f>"4차"</f>
        <v>4차</v>
      </c>
      <c r="D7737" s="1" t="str">
        <f>"9627E32244"</f>
        <v>9627E32244</v>
      </c>
      <c r="E7737" s="1" t="s">
        <v>10</v>
      </c>
      <c r="F7737" s="1" t="str">
        <f>"10.10.130.42"</f>
        <v>10.10.130.42</v>
      </c>
      <c r="G7737" s="1" t="str">
        <f>"9627E322"</f>
        <v>9627E322</v>
      </c>
      <c r="H7737" s="1" t="str">
        <f>"수색간 84L5"</f>
        <v>수색간 84L5</v>
      </c>
      <c r="I7737" s="1" t="s">
        <v>8</v>
      </c>
      <c r="J7737" s="1" t="str">
        <f>"19/19"</f>
        <v>19/19</v>
      </c>
      <c r="K7737" s="1" t="str">
        <f>"2026-07-29 13:18:11"</f>
        <v>2026-07-29 13:18:11</v>
      </c>
      <c r="L7737" s="1" t="str">
        <f>"2019-12-11 18:15:32"</f>
        <v>2019-12-11 18:15:32</v>
      </c>
      <c r="M7737" s="1" t="s">
        <v>1</v>
      </c>
      <c r="N7737" s="1" t="s">
        <v>38</v>
      </c>
      <c r="O7737" s="1" t="s">
        <v>46</v>
      </c>
    </row>
    <row r="7738" spans="2:15" x14ac:dyDescent="0.3">
      <c r="B7738" s="1" t="s">
        <v>21</v>
      </c>
      <c r="C7738" s="1" t="str">
        <f>"5-2차"</f>
        <v>5-2차</v>
      </c>
      <c r="D7738" s="1" t="str">
        <f>"9627E3415S"</f>
        <v>9627E3415S</v>
      </c>
      <c r="E7738" s="1" t="s">
        <v>10</v>
      </c>
      <c r="F7738" s="1" t="str">
        <f>"fde1:103:4:57f9:0:0:0:2"</f>
        <v>fde1:103:4:57f9:0:0:0:2</v>
      </c>
      <c r="G7738" s="1" t="str">
        <f>"9627E341"</f>
        <v>9627E341</v>
      </c>
      <c r="H7738" s="1" t="str">
        <f>"수색간 93L6L1"</f>
        <v>수색간 93L6L1</v>
      </c>
      <c r="I7738" s="1" t="s">
        <v>15</v>
      </c>
      <c r="J7738" s="1" t="str">
        <f>"39/39"</f>
        <v>39/39</v>
      </c>
      <c r="K7738" s="1" t="str">
        <f>"2026-07-29 14:21:39"</f>
        <v>2026-07-29 14:21:39</v>
      </c>
      <c r="L7738" s="1" t="str">
        <f>"2023-10-13 10:33:32"</f>
        <v>2023-10-13 10:33:32</v>
      </c>
      <c r="M7738" s="1" t="s">
        <v>4</v>
      </c>
      <c r="N7738" s="1" t="s">
        <v>38</v>
      </c>
      <c r="O7738" s="1" t="s">
        <v>46</v>
      </c>
    </row>
    <row r="7739" spans="2:15" x14ac:dyDescent="0.3">
      <c r="B7739" s="1" t="s">
        <v>21</v>
      </c>
      <c r="C7739" s="1" t="str">
        <f>"4차"</f>
        <v>4차</v>
      </c>
      <c r="D7739" s="1" t="str">
        <f>"9627E35144"</f>
        <v>9627E35144</v>
      </c>
      <c r="E7739" s="1" t="s">
        <v>10</v>
      </c>
      <c r="F7739" s="1" t="str">
        <f>"10.10.129.234"</f>
        <v>10.10.129.234</v>
      </c>
      <c r="G7739" s="1" t="str">
        <f>"9627E351"</f>
        <v>9627E351</v>
      </c>
      <c r="H7739" s="1" t="str">
        <f>"수색간 93L6"</f>
        <v>수색간 93L6</v>
      </c>
      <c r="I7739" s="1" t="s">
        <v>8</v>
      </c>
      <c r="J7739" s="1" t="str">
        <f>"58/58"</f>
        <v>58/58</v>
      </c>
      <c r="K7739" s="1" t="str">
        <f>"2026-07-29 13:18:11"</f>
        <v>2026-07-29 13:18:11</v>
      </c>
      <c r="L7739" s="1" t="str">
        <f>"2019-10-28 10:46:29"</f>
        <v>2019-10-28 10:46:29</v>
      </c>
      <c r="M7739" s="1" t="s">
        <v>1</v>
      </c>
      <c r="N7739" s="1" t="s">
        <v>38</v>
      </c>
      <c r="O7739" s="1" t="s">
        <v>46</v>
      </c>
    </row>
    <row r="7740" spans="2:15" x14ac:dyDescent="0.3">
      <c r="B7740" s="1" t="s">
        <v>21</v>
      </c>
      <c r="C7740" s="1" t="str">
        <f>"4차"</f>
        <v>4차</v>
      </c>
      <c r="D7740" s="1" t="str">
        <f>"9627E37144"</f>
        <v>9627E37144</v>
      </c>
      <c r="E7740" s="1" t="s">
        <v>10</v>
      </c>
      <c r="F7740" s="1" t="str">
        <f>"10.10.131.122"</f>
        <v>10.10.131.122</v>
      </c>
      <c r="G7740" s="1" t="str">
        <f>"9627E371"</f>
        <v>9627E371</v>
      </c>
      <c r="H7740" s="1" t="str">
        <f>"수색간 97L6"</f>
        <v>수색간 97L6</v>
      </c>
      <c r="I7740" s="1" t="s">
        <v>8</v>
      </c>
      <c r="J7740" s="1" t="str">
        <f>"20/20"</f>
        <v>20/20</v>
      </c>
      <c r="K7740" s="1" t="str">
        <f>"2026-07-29 13:18:11"</f>
        <v>2026-07-29 13:18:11</v>
      </c>
      <c r="L7740" s="1" t="str">
        <f>"2019-10-28 09:53:05"</f>
        <v>2019-10-28 09:53:05</v>
      </c>
      <c r="M7740" s="1" t="s">
        <v>1</v>
      </c>
      <c r="N7740" s="1" t="s">
        <v>38</v>
      </c>
      <c r="O7740" s="1" t="s">
        <v>46</v>
      </c>
    </row>
    <row r="7741" spans="2:15" x14ac:dyDescent="0.3">
      <c r="B7741" s="1" t="s">
        <v>21</v>
      </c>
      <c r="C7741" s="1" t="str">
        <f>"4차"</f>
        <v>4차</v>
      </c>
      <c r="D7741" s="1" t="str">
        <f>"9627E39444"</f>
        <v>9627E39444</v>
      </c>
      <c r="E7741" s="1" t="s">
        <v>10</v>
      </c>
      <c r="F7741" s="1" t="str">
        <f>"10.10.131.146"</f>
        <v>10.10.131.146</v>
      </c>
      <c r="G7741" s="1" t="str">
        <f>"9627E394"</f>
        <v>9627E394</v>
      </c>
      <c r="H7741" s="1" t="str">
        <f>"신사간 28L4"</f>
        <v>신사간 28L4</v>
      </c>
      <c r="I7741" s="1" t="s">
        <v>8</v>
      </c>
      <c r="J7741" s="1" t="str">
        <f>"31/31"</f>
        <v>31/31</v>
      </c>
      <c r="K7741" s="1" t="str">
        <f>"2026-07-29 13:18:11"</f>
        <v>2026-07-29 13:18:11</v>
      </c>
      <c r="L7741" s="1" t="str">
        <f>"2019-10-28 09:53:05"</f>
        <v>2019-10-28 09:53:05</v>
      </c>
      <c r="M7741" s="1" t="s">
        <v>1</v>
      </c>
      <c r="N7741" s="1" t="s">
        <v>38</v>
      </c>
      <c r="O7741" s="1" t="s">
        <v>46</v>
      </c>
    </row>
    <row r="7742" spans="2:15" x14ac:dyDescent="0.3">
      <c r="B7742" s="1" t="s">
        <v>21</v>
      </c>
      <c r="C7742" s="1" t="str">
        <f>"6차"</f>
        <v>6차</v>
      </c>
      <c r="D7742" s="1" t="str">
        <f>"9627E4316S"</f>
        <v>9627E4316S</v>
      </c>
      <c r="E7742" s="1" t="s">
        <v>10</v>
      </c>
      <c r="F7742" s="1" t="str">
        <f>"fde3:102:1303:c:0:0:0:2"</f>
        <v>fde3:102:1303:c:0:0:0:2</v>
      </c>
      <c r="G7742" s="1" t="str">
        <f>"9627E431"</f>
        <v>9627E431</v>
      </c>
      <c r="H7742" s="1" t="str">
        <f>"수색간 93L4L1"</f>
        <v>수색간 93L4L1</v>
      </c>
      <c r="I7742" s="1" t="s">
        <v>15</v>
      </c>
      <c r="J7742" s="1" t="str">
        <f>"30/35"</f>
        <v>30/35</v>
      </c>
      <c r="K7742" s="1" t="str">
        <f>"2026-07-29 14:21:12"</f>
        <v>2026-07-29 14:21:12</v>
      </c>
      <c r="L7742" s="1" t="str">
        <f>"2024-11-20 16:00:33"</f>
        <v>2024-11-20 16:00:33</v>
      </c>
      <c r="M7742" s="1" t="s">
        <v>45</v>
      </c>
      <c r="N7742" s="1" t="s">
        <v>38</v>
      </c>
      <c r="O7742" s="1" t="s">
        <v>46</v>
      </c>
    </row>
    <row r="7743" spans="2:15" x14ac:dyDescent="0.3">
      <c r="B7743" s="1" t="s">
        <v>21</v>
      </c>
      <c r="C7743" s="1" t="str">
        <f>"4차"</f>
        <v>4차</v>
      </c>
      <c r="D7743" s="1" t="str">
        <f>"9627E43244"</f>
        <v>9627E43244</v>
      </c>
      <c r="E7743" s="1" t="s">
        <v>10</v>
      </c>
      <c r="F7743" s="1" t="str">
        <f>"10.10.130.34"</f>
        <v>10.10.130.34</v>
      </c>
      <c r="G7743" s="1" t="str">
        <f>"9627E432"</f>
        <v>9627E432</v>
      </c>
      <c r="H7743" s="1" t="str">
        <f>"수색간 93L4L2"</f>
        <v>수색간 93L4L2</v>
      </c>
      <c r="I7743" s="1" t="s">
        <v>8</v>
      </c>
      <c r="J7743" s="1" t="str">
        <f>"17/18"</f>
        <v>17/18</v>
      </c>
      <c r="K7743" s="1" t="str">
        <f>"2026-07-29 13:18:11"</f>
        <v>2026-07-29 13:18:11</v>
      </c>
      <c r="L7743" s="1" t="str">
        <f>"2019-10-28 11:13:04"</f>
        <v>2019-10-28 11:13:04</v>
      </c>
      <c r="M7743" s="1" t="s">
        <v>1</v>
      </c>
      <c r="N7743" s="1" t="s">
        <v>38</v>
      </c>
      <c r="O7743" s="1" t="s">
        <v>46</v>
      </c>
    </row>
    <row r="7744" spans="2:15" x14ac:dyDescent="0.3">
      <c r="B7744" s="1" t="s">
        <v>21</v>
      </c>
      <c r="C7744" s="1" t="str">
        <f>"4차"</f>
        <v>4차</v>
      </c>
      <c r="D7744" s="1" t="str">
        <f>"9627E45244"</f>
        <v>9627E45244</v>
      </c>
      <c r="E7744" s="1" t="s">
        <v>10</v>
      </c>
      <c r="F7744" s="1" t="str">
        <f>"10.10.129.250"</f>
        <v>10.10.129.250</v>
      </c>
      <c r="G7744" s="1" t="str">
        <f>"9627E452"</f>
        <v>9627E452</v>
      </c>
      <c r="H7744" s="1" t="str">
        <f>"수색간 93L4R1"</f>
        <v>수색간 93L4R1</v>
      </c>
      <c r="I7744" s="1" t="s">
        <v>8</v>
      </c>
      <c r="J7744" s="1" t="str">
        <f>"48/62"</f>
        <v>48/62</v>
      </c>
      <c r="K7744" s="1" t="str">
        <f>"2026-07-29 13:18:11"</f>
        <v>2026-07-29 13:18:11</v>
      </c>
      <c r="L7744" s="1" t="str">
        <f>"2019-10-28 11:03:03"</f>
        <v>2019-10-28 11:03:03</v>
      </c>
      <c r="M7744" s="1" t="s">
        <v>1</v>
      </c>
      <c r="N7744" s="1" t="s">
        <v>38</v>
      </c>
      <c r="O7744" s="1" t="s">
        <v>46</v>
      </c>
    </row>
    <row r="7745" spans="2:15" x14ac:dyDescent="0.3">
      <c r="B7745" s="1" t="s">
        <v>21</v>
      </c>
      <c r="C7745" s="1" t="str">
        <f>"5-2차"</f>
        <v>5-2차</v>
      </c>
      <c r="D7745" s="1" t="str">
        <f>"9627E4535M"</f>
        <v>9627E4535M</v>
      </c>
      <c r="E7745" s="1" t="s">
        <v>10</v>
      </c>
      <c r="F7745" s="1" t="str">
        <f>"fde1:103:4:5985:0:0:0:2"</f>
        <v>fde1:103:4:5985:0:0:0:2</v>
      </c>
      <c r="G7745" s="1" t="str">
        <f>"9627E453"</f>
        <v>9627E453</v>
      </c>
      <c r="H7745" s="1" t="str">
        <f>"수색간 93L5L1"</f>
        <v>수색간 93L5L1</v>
      </c>
      <c r="I7745" s="1" t="s">
        <v>15</v>
      </c>
      <c r="J7745" s="1" t="str">
        <f>"34/34"</f>
        <v>34/34</v>
      </c>
      <c r="K7745" s="1" t="str">
        <f>"2026-07-29 14:21:40"</f>
        <v>2026-07-29 14:21:40</v>
      </c>
      <c r="L7745" s="1" t="str">
        <f>"2023-10-13 10:47:14"</f>
        <v>2023-10-13 10:47:14</v>
      </c>
      <c r="M7745" s="1" t="s">
        <v>4</v>
      </c>
      <c r="N7745" s="1" t="s">
        <v>38</v>
      </c>
      <c r="O7745" s="1" t="s">
        <v>46</v>
      </c>
    </row>
    <row r="7746" spans="2:15" x14ac:dyDescent="0.3">
      <c r="B7746" s="1" t="s">
        <v>21</v>
      </c>
      <c r="C7746" s="1" t="str">
        <f>"4차"</f>
        <v>4차</v>
      </c>
      <c r="D7746" s="1" t="str">
        <f>"9627E48344"</f>
        <v>9627E48344</v>
      </c>
      <c r="E7746" s="1" t="s">
        <v>10</v>
      </c>
      <c r="F7746" s="1" t="str">
        <f>"10.10.131.106"</f>
        <v>10.10.131.106</v>
      </c>
      <c r="G7746" s="1" t="str">
        <f>"9627E483"</f>
        <v>9627E483</v>
      </c>
      <c r="H7746" s="1" t="str">
        <f>"신사간 28L3L4"</f>
        <v>신사간 28L3L4</v>
      </c>
      <c r="I7746" s="1" t="s">
        <v>8</v>
      </c>
      <c r="J7746" s="1" t="str">
        <f>"13/13"</f>
        <v>13/13</v>
      </c>
      <c r="K7746" s="1" t="str">
        <f>"2026-07-29 13:18:11"</f>
        <v>2026-07-29 13:18:11</v>
      </c>
      <c r="L7746" s="1" t="str">
        <f>"2019-10-28 09:49:27"</f>
        <v>2019-10-28 09:49:27</v>
      </c>
      <c r="M7746" s="1" t="s">
        <v>1</v>
      </c>
      <c r="N7746" s="1" t="s">
        <v>38</v>
      </c>
      <c r="O7746" s="1" t="s">
        <v>46</v>
      </c>
    </row>
    <row r="7747" spans="2:15" x14ac:dyDescent="0.3">
      <c r="B7747" s="1" t="s">
        <v>21</v>
      </c>
      <c r="C7747" s="1" t="str">
        <f>"4차"</f>
        <v>4차</v>
      </c>
      <c r="D7747" s="1" t="str">
        <f>"9627E49144"</f>
        <v>9627E49144</v>
      </c>
      <c r="E7747" s="1" t="s">
        <v>10</v>
      </c>
      <c r="F7747" s="1" t="str">
        <f>"10.10.131.130"</f>
        <v>10.10.131.130</v>
      </c>
      <c r="G7747" s="1" t="str">
        <f>"9627E491"</f>
        <v>9627E491</v>
      </c>
      <c r="H7747" s="1" t="str">
        <f>"신사간 28L3L3"</f>
        <v>신사간 28L3L3</v>
      </c>
      <c r="I7747" s="1" t="s">
        <v>8</v>
      </c>
      <c r="J7747" s="1" t="str">
        <f>"24/24"</f>
        <v>24/24</v>
      </c>
      <c r="K7747" s="1" t="str">
        <f>"2026-07-29 13:18:11"</f>
        <v>2026-07-29 13:18:11</v>
      </c>
      <c r="L7747" s="1" t="str">
        <f>"2019-10-28 10:03:05"</f>
        <v>2019-10-28 10:03:05</v>
      </c>
      <c r="M7747" s="1" t="s">
        <v>1</v>
      </c>
      <c r="N7747" s="1" t="s">
        <v>38</v>
      </c>
      <c r="O7747" s="1" t="s">
        <v>46</v>
      </c>
    </row>
    <row r="7748" spans="2:15" x14ac:dyDescent="0.3">
      <c r="B7748" s="1" t="s">
        <v>21</v>
      </c>
      <c r="C7748" s="1" t="str">
        <f>"4차"</f>
        <v>4차</v>
      </c>
      <c r="D7748" s="1" t="str">
        <f>"9627E53144"</f>
        <v>9627E53144</v>
      </c>
      <c r="E7748" s="1" t="s">
        <v>10</v>
      </c>
      <c r="F7748" s="1" t="str">
        <f>"10.10.130.10"</f>
        <v>10.10.130.10</v>
      </c>
      <c r="G7748" s="1" t="str">
        <f>"9627E531"</f>
        <v>9627E531</v>
      </c>
      <c r="H7748" s="1" t="str">
        <f>"수색간 93L2L2"</f>
        <v>수색간 93L2L2</v>
      </c>
      <c r="I7748" s="1" t="s">
        <v>8</v>
      </c>
      <c r="J7748" s="1" t="str">
        <f>"37/44"</f>
        <v>37/44</v>
      </c>
      <c r="K7748" s="1" t="str">
        <f>"2026-07-29 13:18:11"</f>
        <v>2026-07-29 13:18:11</v>
      </c>
      <c r="L7748" s="1" t="str">
        <f>"2019-10-28 11:03:03"</f>
        <v>2019-10-28 11:03:03</v>
      </c>
      <c r="M7748" s="1" t="s">
        <v>1</v>
      </c>
      <c r="N7748" s="1" t="s">
        <v>38</v>
      </c>
      <c r="O7748" s="1" t="s">
        <v>46</v>
      </c>
    </row>
    <row r="7749" spans="2:15" x14ac:dyDescent="0.3">
      <c r="B7749" s="1" t="s">
        <v>21</v>
      </c>
      <c r="C7749" s="1" t="str">
        <f>"4차"</f>
        <v>4차</v>
      </c>
      <c r="D7749" s="1" t="str">
        <f>"9627E54144"</f>
        <v>9627E54144</v>
      </c>
      <c r="E7749" s="1" t="s">
        <v>10</v>
      </c>
      <c r="F7749" s="1" t="str">
        <f>"10.10.130.2"</f>
        <v>10.10.130.2</v>
      </c>
      <c r="G7749" s="1" t="str">
        <f>"9627E541"</f>
        <v>9627E541</v>
      </c>
      <c r="H7749" s="1" t="str">
        <f>"수색간 93L3"</f>
        <v>수색간 93L3</v>
      </c>
      <c r="I7749" s="1" t="s">
        <v>8</v>
      </c>
      <c r="J7749" s="1" t="str">
        <f>"32/33"</f>
        <v>32/33</v>
      </c>
      <c r="K7749" s="1" t="str">
        <f>"2026-07-29 13:18:11"</f>
        <v>2026-07-29 13:18:11</v>
      </c>
      <c r="L7749" s="1" t="str">
        <f>"2019-10-28 10:49:11"</f>
        <v>2019-10-28 10:49:11</v>
      </c>
      <c r="M7749" s="1" t="s">
        <v>1</v>
      </c>
      <c r="N7749" s="1" t="s">
        <v>38</v>
      </c>
      <c r="O7749" s="1" t="s">
        <v>46</v>
      </c>
    </row>
    <row r="7750" spans="2:15" x14ac:dyDescent="0.3">
      <c r="B7750" s="1" t="s">
        <v>21</v>
      </c>
      <c r="C7750" s="1" t="str">
        <f>"4차"</f>
        <v>4차</v>
      </c>
      <c r="D7750" s="1" t="str">
        <f>"9627E54244"</f>
        <v>9627E54244</v>
      </c>
      <c r="E7750" s="1" t="s">
        <v>10</v>
      </c>
      <c r="F7750" s="1" t="str">
        <f>"10.10.130.18"</f>
        <v>10.10.130.18</v>
      </c>
      <c r="G7750" s="1" t="str">
        <f>"9627E542"</f>
        <v>9627E542</v>
      </c>
      <c r="H7750" s="1" t="str">
        <f>"수색간 93L2"</f>
        <v>수색간 93L2</v>
      </c>
      <c r="I7750" s="1" t="s">
        <v>8</v>
      </c>
      <c r="J7750" s="1" t="str">
        <f>"12/17"</f>
        <v>12/17</v>
      </c>
      <c r="K7750" s="1" t="str">
        <f>"2026-07-29 13:18:11"</f>
        <v>2026-07-29 13:18:11</v>
      </c>
      <c r="L7750" s="1" t="str">
        <f>"2019-10-24 17:23:04"</f>
        <v>2019-10-24 17:23:04</v>
      </c>
      <c r="M7750" s="1" t="s">
        <v>1</v>
      </c>
      <c r="N7750" s="1" t="s">
        <v>38</v>
      </c>
      <c r="O7750" s="1" t="s">
        <v>46</v>
      </c>
    </row>
    <row r="7751" spans="2:15" x14ac:dyDescent="0.3">
      <c r="B7751" s="1" t="s">
        <v>21</v>
      </c>
      <c r="C7751" s="1" t="str">
        <f>"5-2차"</f>
        <v>5-2차</v>
      </c>
      <c r="D7751" s="1" t="str">
        <f>"9627E5725M"</f>
        <v>9627E5725M</v>
      </c>
      <c r="E7751" s="1" t="s">
        <v>10</v>
      </c>
      <c r="F7751" s="1" t="str">
        <f>"fde1:103:4:583c:0:0:0:2"</f>
        <v>fde1:103:4:583c:0:0:0:2</v>
      </c>
      <c r="G7751" s="1" t="str">
        <f>"9627E572"</f>
        <v>9627E572</v>
      </c>
      <c r="H7751" s="1" t="str">
        <f>"수색간 97L4"</f>
        <v>수색간 97L4</v>
      </c>
      <c r="I7751" s="1" t="s">
        <v>15</v>
      </c>
      <c r="J7751" s="1" t="str">
        <f>"35/35"</f>
        <v>35/35</v>
      </c>
      <c r="K7751" s="1" t="str">
        <f>"2026-07-29 14:21:40"</f>
        <v>2026-07-29 14:21:40</v>
      </c>
      <c r="L7751" s="1" t="str">
        <f>"2023-10-13 10:47:44"</f>
        <v>2023-10-13 10:47:44</v>
      </c>
      <c r="M7751" s="1" t="s">
        <v>4</v>
      </c>
      <c r="N7751" s="1" t="s">
        <v>38</v>
      </c>
      <c r="O7751" s="1" t="s">
        <v>46</v>
      </c>
    </row>
    <row r="7752" spans="2:15" x14ac:dyDescent="0.3">
      <c r="B7752" s="1" t="s">
        <v>21</v>
      </c>
      <c r="C7752" s="1" t="str">
        <f>"4차"</f>
        <v>4차</v>
      </c>
      <c r="D7752" s="1" t="str">
        <f>"9627E58144"</f>
        <v>9627E58144</v>
      </c>
      <c r="E7752" s="1" t="s">
        <v>10</v>
      </c>
      <c r="F7752" s="1" t="str">
        <f>"10.10.129.138"</f>
        <v>10.10.129.138</v>
      </c>
      <c r="G7752" s="1" t="str">
        <f>"9627E581"</f>
        <v>9627E581</v>
      </c>
      <c r="H7752" s="1" t="str">
        <f>"수색간 97L4R2"</f>
        <v>수색간 97L4R2</v>
      </c>
      <c r="I7752" s="1" t="s">
        <v>8</v>
      </c>
      <c r="J7752" s="1" t="str">
        <f>"46/46"</f>
        <v>46/46</v>
      </c>
      <c r="K7752" s="1" t="str">
        <f>"2026-07-29 13:18:11"</f>
        <v>2026-07-29 13:18:11</v>
      </c>
      <c r="L7752" s="1" t="str">
        <f>"2019-10-28 09:41:14"</f>
        <v>2019-10-28 09:41:14</v>
      </c>
      <c r="M7752" s="1" t="s">
        <v>1</v>
      </c>
      <c r="N7752" s="1" t="s">
        <v>38</v>
      </c>
      <c r="O7752" s="1" t="s">
        <v>46</v>
      </c>
    </row>
    <row r="7753" spans="2:15" x14ac:dyDescent="0.3">
      <c r="B7753" s="1" t="s">
        <v>21</v>
      </c>
      <c r="C7753" s="1" t="str">
        <f>"4차"</f>
        <v>4차</v>
      </c>
      <c r="D7753" s="1" t="str">
        <f>"9627E59144"</f>
        <v>9627E59144</v>
      </c>
      <c r="E7753" s="1" t="s">
        <v>10</v>
      </c>
      <c r="F7753" s="1" t="str">
        <f>"10.10.131.66"</f>
        <v>10.10.131.66</v>
      </c>
      <c r="G7753" s="1" t="str">
        <f>"9627E591"</f>
        <v>9627E591</v>
      </c>
      <c r="H7753" s="1" t="str">
        <f>"신사간 22L5"</f>
        <v>신사간 22L5</v>
      </c>
      <c r="I7753" s="1" t="s">
        <v>8</v>
      </c>
      <c r="J7753" s="1" t="str">
        <f>"33/33"</f>
        <v>33/33</v>
      </c>
      <c r="K7753" s="1" t="str">
        <f>"2026-07-29 13:18:11"</f>
        <v>2026-07-29 13:18:11</v>
      </c>
      <c r="L7753" s="1" t="str">
        <f>"2019-10-28 09:43:05"</f>
        <v>2019-10-28 09:43:05</v>
      </c>
      <c r="M7753" s="1" t="s">
        <v>1</v>
      </c>
      <c r="N7753" s="1" t="s">
        <v>38</v>
      </c>
      <c r="O7753" s="1" t="s">
        <v>46</v>
      </c>
    </row>
    <row r="7754" spans="2:15" x14ac:dyDescent="0.3">
      <c r="B7754" s="1" t="s">
        <v>21</v>
      </c>
      <c r="C7754" s="1" t="str">
        <f>"4차"</f>
        <v>4차</v>
      </c>
      <c r="D7754" s="1" t="str">
        <f>"9627E62144"</f>
        <v>9627E62144</v>
      </c>
      <c r="E7754" s="1" t="s">
        <v>14</v>
      </c>
      <c r="F7754" s="1" t="str">
        <f>"10.10.130.26"</f>
        <v>10.10.130.26</v>
      </c>
      <c r="G7754" s="1" t="str">
        <f>"9627E621"</f>
        <v>9627E621</v>
      </c>
      <c r="H7754" s="1" t="str">
        <f>"수색간 89"</f>
        <v>수색간 89</v>
      </c>
      <c r="I7754" s="1" t="s">
        <v>8</v>
      </c>
      <c r="J7754" s="1" t="str">
        <f>"0/0"</f>
        <v>0/0</v>
      </c>
      <c r="K7754" s="1" t="str">
        <f>"2026-07-29 13:18:11"</f>
        <v>2026-07-29 13:18:11</v>
      </c>
      <c r="L7754" s="1" t="str">
        <f>"2019-10-24 18:28:45"</f>
        <v>2019-10-24 18:28:45</v>
      </c>
      <c r="M7754" s="1" t="s">
        <v>1</v>
      </c>
      <c r="N7754" s="1" t="s">
        <v>38</v>
      </c>
      <c r="O7754" s="1" t="s">
        <v>44</v>
      </c>
    </row>
    <row r="7755" spans="2:15" x14ac:dyDescent="0.3">
      <c r="B7755" s="1" t="s">
        <v>21</v>
      </c>
      <c r="C7755" s="1" t="str">
        <f>"5-2차"</f>
        <v>5-2차</v>
      </c>
      <c r="D7755" s="1" t="str">
        <f>"9627E6525M"</f>
        <v>9627E6525M</v>
      </c>
      <c r="E7755" s="1" t="s">
        <v>10</v>
      </c>
      <c r="F7755" s="1" t="str">
        <f>"fde1:103:4:598e:0:0:0:2"</f>
        <v>fde1:103:4:598e:0:0:0:2</v>
      </c>
      <c r="G7755" s="1" t="str">
        <f>"9627E652"</f>
        <v>9627E652</v>
      </c>
      <c r="H7755" s="1" t="str">
        <f>"수색간 93L2R2"</f>
        <v>수색간 93L2R2</v>
      </c>
      <c r="I7755" s="1" t="s">
        <v>15</v>
      </c>
      <c r="J7755" s="1" t="str">
        <f>"34/34"</f>
        <v>34/34</v>
      </c>
      <c r="K7755" s="1" t="str">
        <f>"2026-07-29 14:21:40"</f>
        <v>2026-07-29 14:21:40</v>
      </c>
      <c r="L7755" s="1" t="str">
        <f>"2023-10-13 10:48:21"</f>
        <v>2023-10-13 10:48:21</v>
      </c>
      <c r="M7755" s="1" t="s">
        <v>4</v>
      </c>
      <c r="N7755" s="1" t="s">
        <v>38</v>
      </c>
      <c r="O7755" s="1" t="s">
        <v>46</v>
      </c>
    </row>
    <row r="7756" spans="2:15" x14ac:dyDescent="0.3">
      <c r="B7756" s="1" t="s">
        <v>21</v>
      </c>
      <c r="C7756" s="1" t="str">
        <f>"4차"</f>
        <v>4차</v>
      </c>
      <c r="D7756" s="1" t="str">
        <f>"9627E68144"</f>
        <v>9627E68144</v>
      </c>
      <c r="E7756" s="1" t="s">
        <v>10</v>
      </c>
      <c r="F7756" s="1" t="str">
        <f>"10.10.129.130"</f>
        <v>10.10.129.130</v>
      </c>
      <c r="G7756" s="1" t="str">
        <f>"9627E681"</f>
        <v>9627E681</v>
      </c>
      <c r="H7756" s="1" t="str">
        <f>"신사간 20L7"</f>
        <v>신사간 20L7</v>
      </c>
      <c r="I7756" s="1" t="s">
        <v>8</v>
      </c>
      <c r="J7756" s="1" t="str">
        <f>"52/52"</f>
        <v>52/52</v>
      </c>
      <c r="K7756" s="1" t="str">
        <f>"2026-07-29 13:18:11"</f>
        <v>2026-07-29 13:18:11</v>
      </c>
      <c r="L7756" s="1" t="str">
        <f>"2019-10-28 10:33:03"</f>
        <v>2019-10-28 10:33:03</v>
      </c>
      <c r="M7756" s="1" t="s">
        <v>1</v>
      </c>
      <c r="N7756" s="1" t="s">
        <v>38</v>
      </c>
      <c r="O7756" s="1" t="s">
        <v>46</v>
      </c>
    </row>
    <row r="7757" spans="2:15" x14ac:dyDescent="0.3">
      <c r="B7757" s="1" t="s">
        <v>21</v>
      </c>
      <c r="C7757" s="1" t="str">
        <f>"5-2차"</f>
        <v>5-2차</v>
      </c>
      <c r="D7757" s="1" t="str">
        <f>"9627E7315M"</f>
        <v>9627E7315M</v>
      </c>
      <c r="E7757" s="1" t="s">
        <v>10</v>
      </c>
      <c r="F7757" s="1" t="str">
        <f>"fde1:103:4:58bc:0:0:0:2"</f>
        <v>fde1:103:4:58bc:0:0:0:2</v>
      </c>
      <c r="G7757" s="1" t="str">
        <f>"9627E731"</f>
        <v>9627E731</v>
      </c>
      <c r="H7757" s="1" t="str">
        <f>"수색간 93"</f>
        <v>수색간 93</v>
      </c>
      <c r="I7757" s="1" t="s">
        <v>15</v>
      </c>
      <c r="J7757" s="1" t="str">
        <f>"69/69"</f>
        <v>69/69</v>
      </c>
      <c r="K7757" s="1" t="str">
        <f>"2026-07-29 14:21:12"</f>
        <v>2026-07-29 14:21:12</v>
      </c>
      <c r="L7757" s="1" t="str">
        <f>"2023-10-13 10:48:37"</f>
        <v>2023-10-13 10:48:37</v>
      </c>
      <c r="M7757" s="1" t="s">
        <v>4</v>
      </c>
      <c r="N7757" s="1" t="s">
        <v>38</v>
      </c>
      <c r="O7757" s="1" t="s">
        <v>46</v>
      </c>
    </row>
    <row r="7758" spans="2:15" x14ac:dyDescent="0.3">
      <c r="B7758" s="1" t="s">
        <v>21</v>
      </c>
      <c r="C7758" s="1" t="str">
        <f>"5-2차"</f>
        <v>5-2차</v>
      </c>
      <c r="D7758" s="1" t="str">
        <f>"9627E7415M"</f>
        <v>9627E7415M</v>
      </c>
      <c r="E7758" s="1" t="s">
        <v>10</v>
      </c>
      <c r="F7758" s="1" t="str">
        <f>"fde1:103:4:5990:0:0:0:2"</f>
        <v>fde1:103:4:5990:0:0:0:2</v>
      </c>
      <c r="G7758" s="1" t="str">
        <f>"9627E741"</f>
        <v>9627E741</v>
      </c>
      <c r="H7758" s="1" t="str">
        <f>"수색간 94"</f>
        <v>수색간 94</v>
      </c>
      <c r="I7758" s="1" t="s">
        <v>15</v>
      </c>
      <c r="J7758" s="1" t="str">
        <f>"50/50"</f>
        <v>50/50</v>
      </c>
      <c r="K7758" s="1" t="str">
        <f>"2026-07-29 14:21:40"</f>
        <v>2026-07-29 14:21:40</v>
      </c>
      <c r="L7758" s="1" t="str">
        <f>"2023-10-13 11:02:51"</f>
        <v>2023-10-13 11:02:51</v>
      </c>
      <c r="M7758" s="1" t="s">
        <v>4</v>
      </c>
      <c r="N7758" s="1" t="s">
        <v>38</v>
      </c>
      <c r="O7758" s="1" t="s">
        <v>46</v>
      </c>
    </row>
    <row r="7759" spans="2:15" x14ac:dyDescent="0.3">
      <c r="B7759" s="1" t="s">
        <v>21</v>
      </c>
      <c r="C7759" s="1" t="str">
        <f>"5-2차"</f>
        <v>5-2차</v>
      </c>
      <c r="D7759" s="1" t="str">
        <f>"9627E7635M"</f>
        <v>9627E7635M</v>
      </c>
      <c r="E7759" s="1" t="s">
        <v>10</v>
      </c>
      <c r="F7759" s="1" t="str">
        <f>"fde1:103:4:599c:0:0:0:2"</f>
        <v>fde1:103:4:599c:0:0:0:2</v>
      </c>
      <c r="G7759" s="1" t="str">
        <f>"9627E763"</f>
        <v>9627E763</v>
      </c>
      <c r="H7759" s="1" t="str">
        <f>"수색간 96"</f>
        <v>수색간 96</v>
      </c>
      <c r="I7759" s="1" t="s">
        <v>15</v>
      </c>
      <c r="J7759" s="1" t="str">
        <f>"33/33"</f>
        <v>33/33</v>
      </c>
      <c r="K7759" s="1" t="str">
        <f>"2026-07-29 14:21:40"</f>
        <v>2026-07-29 14:21:40</v>
      </c>
      <c r="L7759" s="1" t="str">
        <f>"2023-10-13 11:03:02"</f>
        <v>2023-10-13 11:03:02</v>
      </c>
      <c r="M7759" s="1" t="s">
        <v>4</v>
      </c>
      <c r="N7759" s="1" t="s">
        <v>38</v>
      </c>
      <c r="O7759" s="1" t="s">
        <v>46</v>
      </c>
    </row>
    <row r="7760" spans="2:15" x14ac:dyDescent="0.3">
      <c r="B7760" s="1" t="s">
        <v>21</v>
      </c>
      <c r="C7760" s="1" t="str">
        <f>"4차"</f>
        <v>4차</v>
      </c>
      <c r="D7760" s="1" t="str">
        <f>"9627E79144"</f>
        <v>9627E79144</v>
      </c>
      <c r="E7760" s="1" t="s">
        <v>10</v>
      </c>
      <c r="F7760" s="1" t="str">
        <f>"10.10.131.58"</f>
        <v>10.10.131.58</v>
      </c>
      <c r="G7760" s="1" t="str">
        <f>"9627E791"</f>
        <v>9627E791</v>
      </c>
      <c r="H7760" s="1" t="str">
        <f>"신사간 20L6"</f>
        <v>신사간 20L6</v>
      </c>
      <c r="I7760" s="1" t="s">
        <v>8</v>
      </c>
      <c r="J7760" s="1" t="str">
        <f>"48/48"</f>
        <v>48/48</v>
      </c>
      <c r="K7760" s="1" t="str">
        <f t="shared" ref="K7760:K7766" si="380">"2026-07-29 13:18:11"</f>
        <v>2026-07-29 13:18:11</v>
      </c>
      <c r="L7760" s="1" t="str">
        <f>"2023-12-06 14:55:05"</f>
        <v>2023-12-06 14:55:05</v>
      </c>
      <c r="M7760" s="1" t="s">
        <v>1</v>
      </c>
      <c r="N7760" s="1" t="s">
        <v>38</v>
      </c>
      <c r="O7760" s="1" t="s">
        <v>46</v>
      </c>
    </row>
    <row r="7761" spans="2:15" x14ac:dyDescent="0.3">
      <c r="B7761" s="1" t="s">
        <v>21</v>
      </c>
      <c r="C7761" s="1" t="str">
        <f>"4차"</f>
        <v>4차</v>
      </c>
      <c r="D7761" s="1" t="str">
        <f>"9627E90144"</f>
        <v>9627E90144</v>
      </c>
      <c r="E7761" s="1" t="s">
        <v>10</v>
      </c>
      <c r="F7761" s="1" t="str">
        <f>"10.10.104.130"</f>
        <v>10.10.104.130</v>
      </c>
      <c r="G7761" s="1" t="str">
        <f>"9627E901"</f>
        <v>9627E901</v>
      </c>
      <c r="H7761" s="1" t="str">
        <f>"광천간 24R5"</f>
        <v>광천간 24R5</v>
      </c>
      <c r="I7761" s="1" t="s">
        <v>8</v>
      </c>
      <c r="J7761" s="1" t="str">
        <f>"68/68"</f>
        <v>68/68</v>
      </c>
      <c r="K7761" s="1" t="str">
        <f t="shared" si="380"/>
        <v>2026-07-29 13:18:11</v>
      </c>
      <c r="L7761" s="1" t="str">
        <f>"2019-10-21 13:45:43"</f>
        <v>2019-10-21 13:45:43</v>
      </c>
      <c r="M7761" s="1" t="s">
        <v>1</v>
      </c>
      <c r="N7761" s="1" t="s">
        <v>38</v>
      </c>
      <c r="O7761" s="1" t="s">
        <v>46</v>
      </c>
    </row>
    <row r="7762" spans="2:15" x14ac:dyDescent="0.3">
      <c r="B7762" s="1" t="s">
        <v>21</v>
      </c>
      <c r="C7762" s="1" t="str">
        <f>"1차"</f>
        <v>1차</v>
      </c>
      <c r="D7762" s="1" t="str">
        <f>"9627E93100"</f>
        <v>9627E93100</v>
      </c>
      <c r="E7762" s="1" t="s">
        <v>10</v>
      </c>
      <c r="F7762" s="1" t="str">
        <f>"10.128.0.41"</f>
        <v>10.128.0.41</v>
      </c>
      <c r="G7762" s="1" t="str">
        <f>"9627E931"</f>
        <v>9627E931</v>
      </c>
      <c r="H7762" s="1" t="str">
        <f>"광천간 18L1"</f>
        <v>광천간 18L1</v>
      </c>
      <c r="I7762" s="1" t="s">
        <v>8</v>
      </c>
      <c r="J7762" s="1" t="str">
        <f>"2/2"</f>
        <v>2/2</v>
      </c>
      <c r="K7762" s="1" t="str">
        <f t="shared" si="380"/>
        <v>2026-07-29 13:18:11</v>
      </c>
      <c r="L7762" s="1" t="str">
        <f>"2014-10-06 19:41:46"</f>
        <v>2014-10-06 19:41:46</v>
      </c>
      <c r="M7762" s="1" t="s">
        <v>45</v>
      </c>
      <c r="N7762" s="1" t="s">
        <v>38</v>
      </c>
      <c r="O7762" s="1" t="s">
        <v>46</v>
      </c>
    </row>
    <row r="7763" spans="2:15" x14ac:dyDescent="0.3">
      <c r="B7763" s="1" t="s">
        <v>21</v>
      </c>
      <c r="C7763" s="1" t="str">
        <f>"4차"</f>
        <v>4차</v>
      </c>
      <c r="D7763" s="1" t="str">
        <f>"9627E93544"</f>
        <v>9627E93544</v>
      </c>
      <c r="E7763" s="1" t="s">
        <v>10</v>
      </c>
      <c r="F7763" s="1" t="str">
        <f>"10.10.104.146"</f>
        <v>10.10.104.146</v>
      </c>
      <c r="G7763" s="1" t="str">
        <f>"9627E935"</f>
        <v>9627E935</v>
      </c>
      <c r="H7763" s="1" t="str">
        <f>"광천간 20L1"</f>
        <v>광천간 20L1</v>
      </c>
      <c r="I7763" s="1" t="s">
        <v>8</v>
      </c>
      <c r="J7763" s="1" t="str">
        <f>"6/6"</f>
        <v>6/6</v>
      </c>
      <c r="K7763" s="1" t="str">
        <f t="shared" si="380"/>
        <v>2026-07-29 13:18:11</v>
      </c>
      <c r="L7763" s="1" t="str">
        <f>"2019-10-21 13:01:27"</f>
        <v>2019-10-21 13:01:27</v>
      </c>
      <c r="M7763" s="1" t="s">
        <v>1</v>
      </c>
      <c r="N7763" s="1" t="s">
        <v>38</v>
      </c>
      <c r="O7763" s="1" t="s">
        <v>46</v>
      </c>
    </row>
    <row r="7764" spans="2:15" x14ac:dyDescent="0.3">
      <c r="B7764" s="1" t="s">
        <v>21</v>
      </c>
      <c r="C7764" s="1" t="str">
        <f>"4차"</f>
        <v>4차</v>
      </c>
      <c r="D7764" s="1" t="str">
        <f>"9627E95144"</f>
        <v>9627E95144</v>
      </c>
      <c r="E7764" s="1" t="s">
        <v>10</v>
      </c>
      <c r="F7764" s="1" t="str">
        <f>"10.10.66.82"</f>
        <v>10.10.66.82</v>
      </c>
      <c r="G7764" s="1" t="str">
        <f>"9627E951"</f>
        <v>9627E951</v>
      </c>
      <c r="H7764" s="1" t="str">
        <f>"신사간 16L18"</f>
        <v>신사간 16L18</v>
      </c>
      <c r="I7764" s="1" t="s">
        <v>8</v>
      </c>
      <c r="J7764" s="1" t="str">
        <f>"7/7"</f>
        <v>7/7</v>
      </c>
      <c r="K7764" s="1" t="str">
        <f t="shared" si="380"/>
        <v>2026-07-29 13:18:11</v>
      </c>
      <c r="L7764" s="1" t="str">
        <f>"2020-02-10 18:36:52"</f>
        <v>2020-02-10 18:36:52</v>
      </c>
      <c r="M7764" s="1" t="s">
        <v>1</v>
      </c>
      <c r="N7764" s="1" t="s">
        <v>38</v>
      </c>
      <c r="O7764" s="1" t="s">
        <v>46</v>
      </c>
    </row>
    <row r="7765" spans="2:15" x14ac:dyDescent="0.3">
      <c r="B7765" s="1" t="s">
        <v>21</v>
      </c>
      <c r="C7765" s="1" t="str">
        <f>"4차"</f>
        <v>4차</v>
      </c>
      <c r="D7765" s="1" t="str">
        <f>"9627E95344"</f>
        <v>9627E95344</v>
      </c>
      <c r="E7765" s="1" t="s">
        <v>10</v>
      </c>
      <c r="F7765" s="1" t="str">
        <f>"10.10.84.90"</f>
        <v>10.10.84.90</v>
      </c>
      <c r="G7765" s="1" t="str">
        <f>"9627E953"</f>
        <v>9627E953</v>
      </c>
      <c r="H7765" s="1" t="str">
        <f>"신사간 16L17R1"</f>
        <v>신사간 16L17R1</v>
      </c>
      <c r="I7765" s="1" t="s">
        <v>8</v>
      </c>
      <c r="J7765" s="1" t="str">
        <f>"31/31"</f>
        <v>31/31</v>
      </c>
      <c r="K7765" s="1" t="str">
        <f t="shared" si="380"/>
        <v>2026-07-29 13:18:11</v>
      </c>
      <c r="L7765" s="1" t="str">
        <f>"2020-01-10 17:28:51"</f>
        <v>2020-01-10 17:28:51</v>
      </c>
      <c r="M7765" s="1" t="s">
        <v>1</v>
      </c>
      <c r="N7765" s="1" t="s">
        <v>38</v>
      </c>
      <c r="O7765" s="1" t="s">
        <v>46</v>
      </c>
    </row>
    <row r="7766" spans="2:15" x14ac:dyDescent="0.3">
      <c r="B7766" s="1" t="s">
        <v>21</v>
      </c>
      <c r="C7766" s="1" t="str">
        <f>"4차"</f>
        <v>4차</v>
      </c>
      <c r="D7766" s="1" t="str">
        <f>"9627E97244"</f>
        <v>9627E97244</v>
      </c>
      <c r="E7766" s="1" t="s">
        <v>10</v>
      </c>
      <c r="F7766" s="1" t="str">
        <f>"10.10.66.26"</f>
        <v>10.10.66.26</v>
      </c>
      <c r="G7766" s="1" t="str">
        <f>"9627E972"</f>
        <v>9627E972</v>
      </c>
      <c r="H7766" s="1" t="str">
        <f>"신사간 16L13"</f>
        <v>신사간 16L13</v>
      </c>
      <c r="I7766" s="1" t="s">
        <v>8</v>
      </c>
      <c r="J7766" s="1" t="str">
        <f>"75/75"</f>
        <v>75/75</v>
      </c>
      <c r="K7766" s="1" t="str">
        <f t="shared" si="380"/>
        <v>2026-07-29 13:18:11</v>
      </c>
      <c r="L7766" s="1" t="str">
        <f>"2019-10-21 09:33:03"</f>
        <v>2019-10-21 09:33:03</v>
      </c>
      <c r="M7766" s="1" t="s">
        <v>1</v>
      </c>
      <c r="N7766" s="1" t="s">
        <v>38</v>
      </c>
      <c r="O7766" s="1" t="s">
        <v>46</v>
      </c>
    </row>
    <row r="7767" spans="2:15" x14ac:dyDescent="0.3">
      <c r="B7767" s="1" t="s">
        <v>21</v>
      </c>
      <c r="C7767" s="1" t="str">
        <f t="shared" ref="C7767:C7783" si="381">"5-2차"</f>
        <v>5-2차</v>
      </c>
      <c r="D7767" s="1" t="str">
        <f>"9627F0015M"</f>
        <v>9627F0015M</v>
      </c>
      <c r="E7767" s="1" t="s">
        <v>10</v>
      </c>
      <c r="F7767" s="1" t="str">
        <f>"fde1:103:4:5a2e:0:0:0:2"</f>
        <v>fde1:103:4:5a2e:0:0:0:2</v>
      </c>
      <c r="G7767" s="1" t="str">
        <f>"9627F001"</f>
        <v>9627F001</v>
      </c>
      <c r="H7767" s="1" t="str">
        <f>"광천간 24R7"</f>
        <v>광천간 24R7</v>
      </c>
      <c r="I7767" s="1" t="s">
        <v>15</v>
      </c>
      <c r="J7767" s="1" t="str">
        <f>"121/121"</f>
        <v>121/121</v>
      </c>
      <c r="K7767" s="1" t="str">
        <f>"2026-07-29 14:21:42"</f>
        <v>2026-07-29 14:21:42</v>
      </c>
      <c r="L7767" s="1" t="str">
        <f>"2023-10-13 11:04:01"</f>
        <v>2023-10-13 11:04:01</v>
      </c>
      <c r="M7767" s="1" t="s">
        <v>4</v>
      </c>
      <c r="N7767" s="1" t="s">
        <v>38</v>
      </c>
      <c r="O7767" s="1" t="s">
        <v>46</v>
      </c>
    </row>
    <row r="7768" spans="2:15" x14ac:dyDescent="0.3">
      <c r="B7768" s="1" t="s">
        <v>21</v>
      </c>
      <c r="C7768" s="1" t="str">
        <f t="shared" si="381"/>
        <v>5-2차</v>
      </c>
      <c r="D7768" s="1" t="str">
        <f>"9627F0115M"</f>
        <v>9627F0115M</v>
      </c>
      <c r="E7768" s="1" t="s">
        <v>10</v>
      </c>
      <c r="F7768" s="1" t="str">
        <f>"fde1:103:4:5953:0:0:0:2"</f>
        <v>fde1:103:4:5953:0:0:0:2</v>
      </c>
      <c r="G7768" s="1" t="str">
        <f>"9627F011"</f>
        <v>9627F011</v>
      </c>
      <c r="H7768" s="1" t="str">
        <f>"광천간 24R3"</f>
        <v>광천간 24R3</v>
      </c>
      <c r="I7768" s="1" t="s">
        <v>15</v>
      </c>
      <c r="J7768" s="1" t="str">
        <f>"32/32"</f>
        <v>32/32</v>
      </c>
      <c r="K7768" s="1" t="str">
        <f>"2026-07-29 14:21:13"</f>
        <v>2026-07-29 14:21:13</v>
      </c>
      <c r="L7768" s="1" t="str">
        <f>"2023-10-13 11:19:21"</f>
        <v>2023-10-13 11:19:21</v>
      </c>
      <c r="M7768" s="1" t="s">
        <v>4</v>
      </c>
      <c r="N7768" s="1" t="s">
        <v>38</v>
      </c>
      <c r="O7768" s="1" t="s">
        <v>46</v>
      </c>
    </row>
    <row r="7769" spans="2:15" x14ac:dyDescent="0.3">
      <c r="B7769" s="1" t="s">
        <v>21</v>
      </c>
      <c r="C7769" s="1" t="str">
        <f t="shared" si="381"/>
        <v>5-2차</v>
      </c>
      <c r="D7769" s="1" t="str">
        <f>"9627F0125M"</f>
        <v>9627F0125M</v>
      </c>
      <c r="E7769" s="1" t="s">
        <v>10</v>
      </c>
      <c r="F7769" s="1" t="str">
        <f>"fde1:103:4:595a:0:0:0:2"</f>
        <v>fde1:103:4:595a:0:0:0:2</v>
      </c>
      <c r="G7769" s="1" t="str">
        <f>"9627F012"</f>
        <v>9627F012</v>
      </c>
      <c r="H7769" s="1" t="str">
        <f>"광천간 24R4"</f>
        <v>광천간 24R4</v>
      </c>
      <c r="I7769" s="1" t="s">
        <v>15</v>
      </c>
      <c r="J7769" s="1" t="str">
        <f>"83/83"</f>
        <v>83/83</v>
      </c>
      <c r="K7769" s="1" t="str">
        <f>"2026-07-29 14:21:41"</f>
        <v>2026-07-29 14:21:41</v>
      </c>
      <c r="L7769" s="1" t="str">
        <f>"2023-10-13 11:19:51"</f>
        <v>2023-10-13 11:19:51</v>
      </c>
      <c r="M7769" s="1" t="s">
        <v>4</v>
      </c>
      <c r="N7769" s="1" t="s">
        <v>38</v>
      </c>
      <c r="O7769" s="1" t="s">
        <v>46</v>
      </c>
    </row>
    <row r="7770" spans="2:15" x14ac:dyDescent="0.3">
      <c r="B7770" s="1" t="s">
        <v>21</v>
      </c>
      <c r="C7770" s="1" t="str">
        <f t="shared" si="381"/>
        <v>5-2차</v>
      </c>
      <c r="D7770" s="1" t="str">
        <f>"9627F0315M"</f>
        <v>9627F0315M</v>
      </c>
      <c r="E7770" s="1" t="s">
        <v>10</v>
      </c>
      <c r="F7770" s="1" t="str">
        <f>"fde1:103:4:58b9:0:0:0:2"</f>
        <v>fde1:103:4:58b9:0:0:0:2</v>
      </c>
      <c r="G7770" s="1" t="str">
        <f>"9627F031"</f>
        <v>9627F031</v>
      </c>
      <c r="H7770" s="1" t="str">
        <f>"광천간 21"</f>
        <v>광천간 21</v>
      </c>
      <c r="I7770" s="1" t="s">
        <v>15</v>
      </c>
      <c r="J7770" s="1" t="str">
        <f>"71/72"</f>
        <v>71/72</v>
      </c>
      <c r="K7770" s="1" t="str">
        <f>"2026-07-29 14:21:13"</f>
        <v>2026-07-29 14:21:13</v>
      </c>
      <c r="L7770" s="1" t="str">
        <f>"2023-10-13 11:20:17"</f>
        <v>2023-10-13 11:20:17</v>
      </c>
      <c r="M7770" s="1" t="s">
        <v>4</v>
      </c>
      <c r="N7770" s="1" t="s">
        <v>38</v>
      </c>
      <c r="O7770" s="1" t="s">
        <v>46</v>
      </c>
    </row>
    <row r="7771" spans="2:15" x14ac:dyDescent="0.3">
      <c r="B7771" s="1" t="s">
        <v>21</v>
      </c>
      <c r="C7771" s="1" t="str">
        <f t="shared" si="381"/>
        <v>5-2차</v>
      </c>
      <c r="D7771" s="1" t="str">
        <f>"9627F0415M"</f>
        <v>9627F0415M</v>
      </c>
      <c r="E7771" s="1" t="s">
        <v>10</v>
      </c>
      <c r="F7771" s="1" t="str">
        <f>"fde1:103:4:594c:0:0:0:2"</f>
        <v>fde1:103:4:594c:0:0:0:2</v>
      </c>
      <c r="G7771" s="1" t="str">
        <f>"9627F041"</f>
        <v>9627F041</v>
      </c>
      <c r="H7771" s="1" t="str">
        <f>"광천간 18L2R1"</f>
        <v>광천간 18L2R1</v>
      </c>
      <c r="I7771" s="1" t="s">
        <v>15</v>
      </c>
      <c r="J7771" s="1" t="str">
        <f>"48/48"</f>
        <v>48/48</v>
      </c>
      <c r="K7771" s="1" t="str">
        <f>"2026-07-29 08:21:05"</f>
        <v>2026-07-29 08:21:05</v>
      </c>
      <c r="L7771" s="1" t="str">
        <f>"2023-10-13 11:20:43"</f>
        <v>2023-10-13 11:20:43</v>
      </c>
      <c r="M7771" s="1" t="s">
        <v>4</v>
      </c>
      <c r="N7771" s="1" t="s">
        <v>38</v>
      </c>
      <c r="O7771" s="1" t="s">
        <v>46</v>
      </c>
    </row>
    <row r="7772" spans="2:15" x14ac:dyDescent="0.3">
      <c r="B7772" s="1" t="s">
        <v>21</v>
      </c>
      <c r="C7772" s="1" t="str">
        <f t="shared" si="381"/>
        <v>5-2차</v>
      </c>
      <c r="D7772" s="1" t="str">
        <f>"9627F0425S"</f>
        <v>9627F0425S</v>
      </c>
      <c r="E7772" s="1" t="s">
        <v>10</v>
      </c>
      <c r="F7772" s="1" t="str">
        <f>"fde1:103:4:59d2:0:0:0:2"</f>
        <v>fde1:103:4:59d2:0:0:0:2</v>
      </c>
      <c r="G7772" s="1" t="str">
        <f>"9627F042"</f>
        <v>9627F042</v>
      </c>
      <c r="H7772" s="1" t="str">
        <f>"광천간 18L2R2"</f>
        <v>광천간 18L2R2</v>
      </c>
      <c r="I7772" s="1" t="s">
        <v>15</v>
      </c>
      <c r="J7772" s="1" t="str">
        <f>"58/58"</f>
        <v>58/58</v>
      </c>
      <c r="K7772" s="1" t="str">
        <f>"2026-07-29 14:21:41"</f>
        <v>2026-07-29 14:21:41</v>
      </c>
      <c r="L7772" s="1" t="str">
        <f>"2023-10-13 13:20:05"</f>
        <v>2023-10-13 13:20:05</v>
      </c>
      <c r="M7772" s="1" t="s">
        <v>4</v>
      </c>
      <c r="N7772" s="1" t="s">
        <v>38</v>
      </c>
      <c r="O7772" s="1" t="s">
        <v>46</v>
      </c>
    </row>
    <row r="7773" spans="2:15" x14ac:dyDescent="0.3">
      <c r="B7773" s="1" t="s">
        <v>21</v>
      </c>
      <c r="C7773" s="1" t="str">
        <f t="shared" si="381"/>
        <v>5-2차</v>
      </c>
      <c r="D7773" s="1" t="str">
        <f>"9627F0515S"</f>
        <v>9627F0515S</v>
      </c>
      <c r="E7773" s="1" t="s">
        <v>10</v>
      </c>
      <c r="F7773" s="1" t="str">
        <f>"fde1:103:4:598c:0:0:0:2"</f>
        <v>fde1:103:4:598c:0:0:0:2</v>
      </c>
      <c r="G7773" s="1" t="str">
        <f>"9627F051"</f>
        <v>9627F051</v>
      </c>
      <c r="H7773" s="1" t="str">
        <f>"신사간 16L19"</f>
        <v>신사간 16L19</v>
      </c>
      <c r="I7773" s="1" t="s">
        <v>15</v>
      </c>
      <c r="J7773" s="1" t="str">
        <f>"61/62"</f>
        <v>61/62</v>
      </c>
      <c r="K7773" s="1" t="str">
        <f>"2026-07-29 14:21:41"</f>
        <v>2026-07-29 14:21:41</v>
      </c>
      <c r="L7773" s="1" t="str">
        <f>"2023-10-13 13:21:01"</f>
        <v>2023-10-13 13:21:01</v>
      </c>
      <c r="M7773" s="1" t="s">
        <v>4</v>
      </c>
      <c r="N7773" s="1" t="s">
        <v>38</v>
      </c>
      <c r="O7773" s="1" t="s">
        <v>46</v>
      </c>
    </row>
    <row r="7774" spans="2:15" x14ac:dyDescent="0.3">
      <c r="B7774" s="1" t="s">
        <v>21</v>
      </c>
      <c r="C7774" s="1" t="str">
        <f t="shared" si="381"/>
        <v>5-2차</v>
      </c>
      <c r="D7774" s="1" t="str">
        <f>"9627F0815M"</f>
        <v>9627F0815M</v>
      </c>
      <c r="E7774" s="1" t="s">
        <v>10</v>
      </c>
      <c r="F7774" s="1" t="str">
        <f>"fde1:103:4:5a20:0:0:0:2"</f>
        <v>fde1:103:4:5a20:0:0:0:2</v>
      </c>
      <c r="G7774" s="1" t="str">
        <f>"9627F081"</f>
        <v>9627F081</v>
      </c>
      <c r="H7774" s="1" t="str">
        <f>"신사간 16L12"</f>
        <v>신사간 16L12</v>
      </c>
      <c r="I7774" s="1" t="s">
        <v>15</v>
      </c>
      <c r="J7774" s="1" t="str">
        <f>"71/72"</f>
        <v>71/72</v>
      </c>
      <c r="K7774" s="1" t="str">
        <f>"2026-07-29 14:21:41"</f>
        <v>2026-07-29 14:21:41</v>
      </c>
      <c r="L7774" s="1" t="str">
        <f>"2023-10-13 13:21:36"</f>
        <v>2023-10-13 13:21:36</v>
      </c>
      <c r="M7774" s="1" t="s">
        <v>4</v>
      </c>
      <c r="N7774" s="1" t="s">
        <v>38</v>
      </c>
      <c r="O7774" s="1" t="s">
        <v>46</v>
      </c>
    </row>
    <row r="7775" spans="2:15" x14ac:dyDescent="0.3">
      <c r="B7775" s="1" t="s">
        <v>21</v>
      </c>
      <c r="C7775" s="1" t="str">
        <f t="shared" si="381"/>
        <v>5-2차</v>
      </c>
      <c r="D7775" s="1" t="str">
        <f>"9627F0825M"</f>
        <v>9627F0825M</v>
      </c>
      <c r="E7775" s="1" t="s">
        <v>10</v>
      </c>
      <c r="F7775" s="1" t="str">
        <f>"fde1:103:4:5710:0:0:0:2"</f>
        <v>fde1:103:4:5710:0:0:0:2</v>
      </c>
      <c r="G7775" s="1" t="str">
        <f>"9627F082"</f>
        <v>9627F082</v>
      </c>
      <c r="H7775" s="1" t="str">
        <f>"신사간 16L11"</f>
        <v>신사간 16L11</v>
      </c>
      <c r="I7775" s="1" t="s">
        <v>15</v>
      </c>
      <c r="J7775" s="1" t="str">
        <f>"60/60"</f>
        <v>60/60</v>
      </c>
      <c r="K7775" s="1" t="str">
        <f>"2026-07-29 14:21:41"</f>
        <v>2026-07-29 14:21:41</v>
      </c>
      <c r="L7775" s="1" t="str">
        <f>"2023-10-13 13:22:04"</f>
        <v>2023-10-13 13:22:04</v>
      </c>
      <c r="M7775" s="1" t="s">
        <v>4</v>
      </c>
      <c r="N7775" s="1" t="s">
        <v>38</v>
      </c>
      <c r="O7775" s="1" t="s">
        <v>46</v>
      </c>
    </row>
    <row r="7776" spans="2:15" x14ac:dyDescent="0.3">
      <c r="B7776" s="1" t="s">
        <v>21</v>
      </c>
      <c r="C7776" s="1" t="str">
        <f t="shared" si="381"/>
        <v>5-2차</v>
      </c>
      <c r="D7776" s="1" t="str">
        <f>"9627F1035M"</f>
        <v>9627F1035M</v>
      </c>
      <c r="E7776" s="1" t="s">
        <v>10</v>
      </c>
      <c r="F7776" s="1" t="str">
        <f>"fde1:103:4:586d:0:0:0:2"</f>
        <v>fde1:103:4:586d:0:0:0:2</v>
      </c>
      <c r="G7776" s="1" t="str">
        <f>"9627F103"</f>
        <v>9627F103</v>
      </c>
      <c r="H7776" s="1" t="str">
        <f>"광천간 24R1L2"</f>
        <v>광천간 24R1L2</v>
      </c>
      <c r="I7776" s="1" t="s">
        <v>15</v>
      </c>
      <c r="J7776" s="1" t="str">
        <f>"43/43"</f>
        <v>43/43</v>
      </c>
      <c r="K7776" s="1" t="str">
        <f>"2026-07-29 14:20:43"</f>
        <v>2026-07-29 14:20:43</v>
      </c>
      <c r="L7776" s="1" t="str">
        <f>"2023-10-13 14:02:11"</f>
        <v>2023-10-13 14:02:11</v>
      </c>
      <c r="M7776" s="1" t="s">
        <v>4</v>
      </c>
      <c r="N7776" s="1" t="s">
        <v>38</v>
      </c>
      <c r="O7776" s="1" t="s">
        <v>46</v>
      </c>
    </row>
    <row r="7777" spans="2:15" x14ac:dyDescent="0.3">
      <c r="B7777" s="1" t="s">
        <v>21</v>
      </c>
      <c r="C7777" s="1" t="str">
        <f t="shared" si="381"/>
        <v>5-2차</v>
      </c>
      <c r="D7777" s="1" t="str">
        <f>"9627F1135S"</f>
        <v>9627F1135S</v>
      </c>
      <c r="E7777" s="1" t="s">
        <v>10</v>
      </c>
      <c r="F7777" s="1" t="str">
        <f>"fde1:103:4:59c4:0:0:0:2"</f>
        <v>fde1:103:4:59c4:0:0:0:2</v>
      </c>
      <c r="G7777" s="1" t="str">
        <f>"9627F113"</f>
        <v>9627F113</v>
      </c>
      <c r="H7777" s="1" t="str">
        <f>"광천간 24R2"</f>
        <v>광천간 24R2</v>
      </c>
      <c r="I7777" s="1" t="s">
        <v>15</v>
      </c>
      <c r="J7777" s="1" t="str">
        <f>"55/55"</f>
        <v>55/55</v>
      </c>
      <c r="K7777" s="1" t="str">
        <f>"2026-07-29 14:21:42"</f>
        <v>2026-07-29 14:21:42</v>
      </c>
      <c r="L7777" s="1" t="str">
        <f>"2023-10-13 14:02:43"</f>
        <v>2023-10-13 14:02:43</v>
      </c>
      <c r="M7777" s="1" t="s">
        <v>4</v>
      </c>
      <c r="N7777" s="1" t="s">
        <v>38</v>
      </c>
      <c r="O7777" s="1" t="s">
        <v>46</v>
      </c>
    </row>
    <row r="7778" spans="2:15" x14ac:dyDescent="0.3">
      <c r="B7778" s="1" t="s">
        <v>21</v>
      </c>
      <c r="C7778" s="1" t="str">
        <f t="shared" si="381"/>
        <v>5-2차</v>
      </c>
      <c r="D7778" s="1" t="str">
        <f>"9627F1325M"</f>
        <v>9627F1325M</v>
      </c>
      <c r="E7778" s="1" t="s">
        <v>10</v>
      </c>
      <c r="F7778" s="1" t="str">
        <f>"fde1:103:4:5952:0:0:0:2"</f>
        <v>fde1:103:4:5952:0:0:0:2</v>
      </c>
      <c r="G7778" s="1" t="str">
        <f>"9627F132"</f>
        <v>9627F132</v>
      </c>
      <c r="H7778" s="1" t="str">
        <f>"신사간 16L23R4"</f>
        <v>신사간 16L23R4</v>
      </c>
      <c r="I7778" s="1" t="s">
        <v>15</v>
      </c>
      <c r="J7778" s="1" t="str">
        <f>"79/79"</f>
        <v>79/79</v>
      </c>
      <c r="K7778" s="1" t="str">
        <f>"2026-07-29 14:21:20"</f>
        <v>2026-07-29 14:21:20</v>
      </c>
      <c r="L7778" s="1" t="str">
        <f>"2023-10-13 14:03:04"</f>
        <v>2023-10-13 14:03:04</v>
      </c>
      <c r="M7778" s="1" t="s">
        <v>4</v>
      </c>
      <c r="N7778" s="1" t="s">
        <v>38</v>
      </c>
      <c r="O7778" s="1" t="s">
        <v>46</v>
      </c>
    </row>
    <row r="7779" spans="2:15" x14ac:dyDescent="0.3">
      <c r="B7779" s="1" t="s">
        <v>21</v>
      </c>
      <c r="C7779" s="1" t="str">
        <f t="shared" si="381"/>
        <v>5-2차</v>
      </c>
      <c r="D7779" s="1" t="str">
        <f>"9627F1415M"</f>
        <v>9627F1415M</v>
      </c>
      <c r="E7779" s="1" t="s">
        <v>10</v>
      </c>
      <c r="F7779" s="1" t="str">
        <f>"fde1:103:4:5a45:0:0:0:2"</f>
        <v>fde1:103:4:5a45:0:0:0:2</v>
      </c>
      <c r="G7779" s="1" t="str">
        <f>"9627F141"</f>
        <v>9627F141</v>
      </c>
      <c r="H7779" s="1" t="str">
        <f>"광천간 18L2R3"</f>
        <v>광천간 18L2R3</v>
      </c>
      <c r="I7779" s="1" t="s">
        <v>15</v>
      </c>
      <c r="J7779" s="1" t="str">
        <f>"80/80"</f>
        <v>80/80</v>
      </c>
      <c r="K7779" s="1" t="str">
        <f>"2026-07-29 14:21:42"</f>
        <v>2026-07-29 14:21:42</v>
      </c>
      <c r="L7779" s="1" t="str">
        <f>"2023-10-13 14:03:36"</f>
        <v>2023-10-13 14:03:36</v>
      </c>
      <c r="M7779" s="1" t="s">
        <v>4</v>
      </c>
      <c r="N7779" s="1" t="s">
        <v>38</v>
      </c>
      <c r="O7779" s="1" t="s">
        <v>46</v>
      </c>
    </row>
    <row r="7780" spans="2:15" x14ac:dyDescent="0.3">
      <c r="B7780" s="1" t="s">
        <v>21</v>
      </c>
      <c r="C7780" s="1" t="str">
        <f t="shared" si="381"/>
        <v>5-2차</v>
      </c>
      <c r="D7780" s="1" t="str">
        <f>"9627F1515S"</f>
        <v>9627F1515S</v>
      </c>
      <c r="E7780" s="1" t="s">
        <v>10</v>
      </c>
      <c r="F7780" s="1" t="str">
        <f>"fde1:103:4:5854:0:0:0:2"</f>
        <v>fde1:103:4:5854:0:0:0:2</v>
      </c>
      <c r="G7780" s="1" t="str">
        <f>"9627F151"</f>
        <v>9627F151</v>
      </c>
      <c r="H7780" s="1" t="str">
        <f>"신사간 16L20"</f>
        <v>신사간 16L20</v>
      </c>
      <c r="I7780" s="1" t="s">
        <v>15</v>
      </c>
      <c r="J7780" s="1" t="str">
        <f>"54/55"</f>
        <v>54/55</v>
      </c>
      <c r="K7780" s="1" t="str">
        <f>"2026-07-29 14:21:14"</f>
        <v>2026-07-29 14:21:14</v>
      </c>
      <c r="L7780" s="1" t="str">
        <f>"2023-10-13 15:15:23"</f>
        <v>2023-10-13 15:15:23</v>
      </c>
      <c r="M7780" s="1" t="s">
        <v>4</v>
      </c>
      <c r="N7780" s="1" t="s">
        <v>38</v>
      </c>
      <c r="O7780" s="1" t="s">
        <v>46</v>
      </c>
    </row>
    <row r="7781" spans="2:15" x14ac:dyDescent="0.3">
      <c r="B7781" s="1" t="s">
        <v>21</v>
      </c>
      <c r="C7781" s="1" t="str">
        <f t="shared" si="381"/>
        <v>5-2차</v>
      </c>
      <c r="D7781" s="1" t="str">
        <f>"9627F1525S"</f>
        <v>9627F1525S</v>
      </c>
      <c r="E7781" s="1" t="s">
        <v>10</v>
      </c>
      <c r="F7781" s="1" t="str">
        <f>"fde1:103:4:58c8:0:0:0:2"</f>
        <v>fde1:103:4:58c8:0:0:0:2</v>
      </c>
      <c r="G7781" s="1" t="str">
        <f>"9627F152"</f>
        <v>9627F152</v>
      </c>
      <c r="H7781" s="1" t="str">
        <f>"신사간 16L21"</f>
        <v>신사간 16L21</v>
      </c>
      <c r="I7781" s="1" t="s">
        <v>15</v>
      </c>
      <c r="J7781" s="1" t="str">
        <f>"95/95"</f>
        <v>95/95</v>
      </c>
      <c r="K7781" s="1" t="str">
        <f>"2026-07-29 14:21:15"</f>
        <v>2026-07-29 14:21:15</v>
      </c>
      <c r="L7781" s="1" t="str">
        <f>"2023-10-13 15:15:55"</f>
        <v>2023-10-13 15:15:55</v>
      </c>
      <c r="M7781" s="1" t="s">
        <v>4</v>
      </c>
      <c r="N7781" s="1" t="s">
        <v>38</v>
      </c>
      <c r="O7781" s="1" t="s">
        <v>46</v>
      </c>
    </row>
    <row r="7782" spans="2:15" x14ac:dyDescent="0.3">
      <c r="B7782" s="1" t="s">
        <v>21</v>
      </c>
      <c r="C7782" s="1" t="str">
        <f t="shared" si="381"/>
        <v>5-2차</v>
      </c>
      <c r="D7782" s="1" t="str">
        <f>"9627F1715S"</f>
        <v>9627F1715S</v>
      </c>
      <c r="E7782" s="1" t="s">
        <v>10</v>
      </c>
      <c r="F7782" s="1" t="str">
        <f>"fde1:103:4:5737:0:0:0:2"</f>
        <v>fde1:103:4:5737:0:0:0:2</v>
      </c>
      <c r="G7782" s="1" t="str">
        <f>"9627F171"</f>
        <v>9627F171</v>
      </c>
      <c r="H7782" s="1" t="str">
        <f>"신사간 16L10L2R2"</f>
        <v>신사간 16L10L2R2</v>
      </c>
      <c r="I7782" s="1" t="s">
        <v>15</v>
      </c>
      <c r="J7782" s="1" t="str">
        <f>"96/96"</f>
        <v>96/96</v>
      </c>
      <c r="K7782" s="1" t="str">
        <f>"2026-07-29 14:21:16"</f>
        <v>2026-07-29 14:21:16</v>
      </c>
      <c r="L7782" s="1" t="str">
        <f>"2023-10-13 15:16:24"</f>
        <v>2023-10-13 15:16:24</v>
      </c>
      <c r="M7782" s="1" t="s">
        <v>4</v>
      </c>
      <c r="N7782" s="1" t="s">
        <v>38</v>
      </c>
      <c r="O7782" s="1" t="s">
        <v>46</v>
      </c>
    </row>
    <row r="7783" spans="2:15" x14ac:dyDescent="0.3">
      <c r="B7783" s="1" t="s">
        <v>21</v>
      </c>
      <c r="C7783" s="1" t="str">
        <f t="shared" si="381"/>
        <v>5-2차</v>
      </c>
      <c r="D7783" s="1" t="str">
        <f>"9627F1815S"</f>
        <v>9627F1815S</v>
      </c>
      <c r="E7783" s="1" t="s">
        <v>10</v>
      </c>
      <c r="F7783" s="1" t="str">
        <f>"fde1:103:4:57e8:0:0:0:2"</f>
        <v>fde1:103:4:57e8:0:0:0:2</v>
      </c>
      <c r="G7783" s="1" t="str">
        <f>"9627F181"</f>
        <v>9627F181</v>
      </c>
      <c r="H7783" s="1" t="str">
        <f>"신사간 16L10L2R1"</f>
        <v>신사간 16L10L2R1</v>
      </c>
      <c r="I7783" s="1" t="s">
        <v>15</v>
      </c>
      <c r="J7783" s="1" t="str">
        <f>"88/88"</f>
        <v>88/88</v>
      </c>
      <c r="K7783" s="1" t="str">
        <f>"2026-07-29 14:21:41"</f>
        <v>2026-07-29 14:21:41</v>
      </c>
      <c r="L7783" s="1" t="str">
        <f>"2023-10-13 15:17:02"</f>
        <v>2023-10-13 15:17:02</v>
      </c>
      <c r="M7783" s="1" t="s">
        <v>4</v>
      </c>
      <c r="N7783" s="1" t="s">
        <v>38</v>
      </c>
      <c r="O7783" s="1" t="s">
        <v>46</v>
      </c>
    </row>
    <row r="7784" spans="2:15" x14ac:dyDescent="0.3">
      <c r="B7784" s="1" t="s">
        <v>21</v>
      </c>
      <c r="C7784" s="1" t="str">
        <f>"2차"</f>
        <v>2차</v>
      </c>
      <c r="D7784" s="1" t="str">
        <f>"9627F19220"</f>
        <v>9627F19220</v>
      </c>
      <c r="E7784" s="1" t="s">
        <v>10</v>
      </c>
      <c r="F7784" s="1" t="str">
        <f>"10.128.73.138"</f>
        <v>10.128.73.138</v>
      </c>
      <c r="G7784" s="1" t="str">
        <f>"9627F192"</f>
        <v>9627F192</v>
      </c>
      <c r="H7784" s="1" t="str">
        <f>"신사간 16L10L2"</f>
        <v>신사간 16L10L2</v>
      </c>
      <c r="I7784" s="1" t="s">
        <v>8</v>
      </c>
      <c r="J7784" s="1" t="str">
        <f>"27/27"</f>
        <v>27/27</v>
      </c>
      <c r="K7784" s="1" t="str">
        <f>"2026-07-29 13:18:11"</f>
        <v>2026-07-29 13:18:11</v>
      </c>
      <c r="L7784" s="1" t="str">
        <f>"2017-07-19 14:13:26"</f>
        <v>2017-07-19 14:13:26</v>
      </c>
      <c r="M7784" s="1" t="s">
        <v>45</v>
      </c>
      <c r="N7784" s="1" t="s">
        <v>38</v>
      </c>
      <c r="O7784" s="1" t="s">
        <v>46</v>
      </c>
    </row>
    <row r="7785" spans="2:15" x14ac:dyDescent="0.3">
      <c r="B7785" s="1" t="s">
        <v>21</v>
      </c>
      <c r="C7785" s="1" t="str">
        <f>"2차"</f>
        <v>2차</v>
      </c>
      <c r="D7785" s="1" t="str">
        <f>"9627F19321"</f>
        <v>9627F19321</v>
      </c>
      <c r="E7785" s="1" t="s">
        <v>10</v>
      </c>
      <c r="F7785" s="1" t="str">
        <f>"10.128.73.139"</f>
        <v>10.128.73.139</v>
      </c>
      <c r="G7785" s="1" t="str">
        <f>"9627F193"</f>
        <v>9627F193</v>
      </c>
      <c r="H7785" s="1" t="str">
        <f>"신사간 16L10L2L1"</f>
        <v>신사간 16L10L2L1</v>
      </c>
      <c r="I7785" s="1" t="s">
        <v>8</v>
      </c>
      <c r="J7785" s="1" t="str">
        <f>"22/22"</f>
        <v>22/22</v>
      </c>
      <c r="K7785" s="1" t="str">
        <f>"2026-07-29 13:18:11"</f>
        <v>2026-07-29 13:18:11</v>
      </c>
      <c r="L7785" s="1" t="str">
        <f>"2017-07-28 23:17:45"</f>
        <v>2017-07-28 23:17:45</v>
      </c>
      <c r="M7785" s="1" t="s">
        <v>45</v>
      </c>
      <c r="N7785" s="1" t="s">
        <v>38</v>
      </c>
      <c r="O7785" s="1" t="s">
        <v>46</v>
      </c>
    </row>
    <row r="7786" spans="2:15" x14ac:dyDescent="0.3">
      <c r="B7786" s="1" t="s">
        <v>21</v>
      </c>
      <c r="C7786" s="1" t="str">
        <f>"5-2차"</f>
        <v>5-2차</v>
      </c>
      <c r="D7786" s="1" t="str">
        <f>"9627F2415M"</f>
        <v>9627F2415M</v>
      </c>
      <c r="E7786" s="1" t="s">
        <v>10</v>
      </c>
      <c r="F7786" s="1" t="str">
        <f>"fde1:103:4:5815:0:0:0:2"</f>
        <v>fde1:103:4:5815:0:0:0:2</v>
      </c>
      <c r="G7786" s="1" t="str">
        <f>"9627F241"</f>
        <v>9627F241</v>
      </c>
      <c r="H7786" s="1" t="str">
        <f>"신사간 16L23R2"</f>
        <v>신사간 16L23R2</v>
      </c>
      <c r="I7786" s="1" t="s">
        <v>15</v>
      </c>
      <c r="J7786" s="1" t="str">
        <f>"139/141"</f>
        <v>139/141</v>
      </c>
      <c r="K7786" s="1" t="str">
        <f>"2026-07-29 14:21:24"</f>
        <v>2026-07-29 14:21:24</v>
      </c>
      <c r="L7786" s="1" t="str">
        <f>"2023-10-16 14:00:55"</f>
        <v>2023-10-16 14:00:55</v>
      </c>
      <c r="M7786" s="1" t="s">
        <v>4</v>
      </c>
      <c r="N7786" s="1" t="s">
        <v>38</v>
      </c>
      <c r="O7786" s="1" t="s">
        <v>46</v>
      </c>
    </row>
    <row r="7787" spans="2:15" x14ac:dyDescent="0.3">
      <c r="B7787" s="1" t="s">
        <v>21</v>
      </c>
      <c r="C7787" s="1" t="str">
        <f>"5-2차"</f>
        <v>5-2차</v>
      </c>
      <c r="D7787" s="1" t="str">
        <f>"9627F2425M"</f>
        <v>9627F2425M</v>
      </c>
      <c r="E7787" s="1" t="s">
        <v>10</v>
      </c>
      <c r="F7787" s="1" t="str">
        <f>"fde1:103:4:5830:0:0:0:2"</f>
        <v>fde1:103:4:5830:0:0:0:2</v>
      </c>
      <c r="G7787" s="1" t="str">
        <f>"9627F242"</f>
        <v>9627F242</v>
      </c>
      <c r="H7787" s="1" t="str">
        <f>"신사간 16L23R3"</f>
        <v>신사간 16L23R3</v>
      </c>
      <c r="I7787" s="1" t="s">
        <v>15</v>
      </c>
      <c r="J7787" s="1" t="str">
        <f>"54/54"</f>
        <v>54/54</v>
      </c>
      <c r="K7787" s="1" t="str">
        <f>"2026-07-29 14:21:16"</f>
        <v>2026-07-29 14:21:16</v>
      </c>
      <c r="L7787" s="1" t="str">
        <f>"2023-10-16 14:01:24"</f>
        <v>2023-10-16 14:01:24</v>
      </c>
      <c r="M7787" s="1" t="s">
        <v>4</v>
      </c>
      <c r="N7787" s="1" t="s">
        <v>38</v>
      </c>
      <c r="O7787" s="1" t="s">
        <v>46</v>
      </c>
    </row>
    <row r="7788" spans="2:15" x14ac:dyDescent="0.3">
      <c r="B7788" s="1" t="s">
        <v>21</v>
      </c>
      <c r="C7788" s="1" t="str">
        <f>"5-2차"</f>
        <v>5-2차</v>
      </c>
      <c r="D7788" s="1" t="str">
        <f>"9627F2535M"</f>
        <v>9627F2535M</v>
      </c>
      <c r="E7788" s="1" t="s">
        <v>10</v>
      </c>
      <c r="F7788" s="1" t="str">
        <f>"fde1:103:4:596d:0:0:0:2"</f>
        <v>fde1:103:4:596d:0:0:0:2</v>
      </c>
      <c r="G7788" s="1" t="str">
        <f>"9627F253"</f>
        <v>9627F253</v>
      </c>
      <c r="H7788" s="1" t="str">
        <f>"신사간 16L23"</f>
        <v>신사간 16L23</v>
      </c>
      <c r="I7788" s="1" t="s">
        <v>15</v>
      </c>
      <c r="J7788" s="1" t="str">
        <f>"47/47"</f>
        <v>47/47</v>
      </c>
      <c r="K7788" s="1" t="str">
        <f>"2026-07-29 14:21:42"</f>
        <v>2026-07-29 14:21:42</v>
      </c>
      <c r="L7788" s="1" t="str">
        <f>"2023-10-16 14:29:09"</f>
        <v>2023-10-16 14:29:09</v>
      </c>
      <c r="M7788" s="1" t="s">
        <v>4</v>
      </c>
      <c r="N7788" s="1" t="s">
        <v>38</v>
      </c>
      <c r="O7788" s="1" t="s">
        <v>46</v>
      </c>
    </row>
    <row r="7789" spans="2:15" x14ac:dyDescent="0.3">
      <c r="B7789" s="1" t="s">
        <v>21</v>
      </c>
      <c r="C7789" s="1" t="str">
        <f>"4차"</f>
        <v>4차</v>
      </c>
      <c r="D7789" s="1" t="str">
        <f>"9627F26444"</f>
        <v>9627F26444</v>
      </c>
      <c r="E7789" s="1" t="s">
        <v>10</v>
      </c>
      <c r="F7789" s="1" t="str">
        <f>"10.10.66.90"</f>
        <v>10.10.66.90</v>
      </c>
      <c r="G7789" s="1" t="str">
        <f>"9627F264"</f>
        <v>9627F264</v>
      </c>
      <c r="H7789" s="1" t="str">
        <f>"신사간 16L22L1"</f>
        <v>신사간 16L22L1</v>
      </c>
      <c r="I7789" s="1" t="s">
        <v>8</v>
      </c>
      <c r="J7789" s="1" t="str">
        <f>"28/28"</f>
        <v>28/28</v>
      </c>
      <c r="K7789" s="1" t="str">
        <f>"2026-07-29 13:18:11"</f>
        <v>2026-07-29 13:18:11</v>
      </c>
      <c r="L7789" s="1" t="str">
        <f>"2019-11-05 13:42:59"</f>
        <v>2019-11-05 13:42:59</v>
      </c>
      <c r="M7789" s="1" t="s">
        <v>1</v>
      </c>
      <c r="N7789" s="1" t="s">
        <v>38</v>
      </c>
      <c r="O7789" s="1" t="s">
        <v>46</v>
      </c>
    </row>
    <row r="7790" spans="2:15" x14ac:dyDescent="0.3">
      <c r="B7790" s="1" t="s">
        <v>21</v>
      </c>
      <c r="C7790" s="1" t="str">
        <f>"6차"</f>
        <v>6차</v>
      </c>
      <c r="D7790" s="1" t="str">
        <f>"9627F2716S"</f>
        <v>9627F2716S</v>
      </c>
      <c r="E7790" s="1" t="s">
        <v>10</v>
      </c>
      <c r="F7790" s="1" t="str">
        <f>"fde1:103:4:922b:0:0:0:2"</f>
        <v>fde1:103:4:922b:0:0:0:2</v>
      </c>
      <c r="G7790" s="1" t="str">
        <f>"9627F271"</f>
        <v>9627F271</v>
      </c>
      <c r="H7790" s="1" t="str">
        <f>"신사간 16L10L5R1"</f>
        <v>신사간 16L10L5R1</v>
      </c>
      <c r="I7790" s="1" t="s">
        <v>15</v>
      </c>
      <c r="J7790" s="1" t="str">
        <f>"59/59"</f>
        <v>59/59</v>
      </c>
      <c r="K7790" s="1" t="str">
        <f>"2026-07-29 14:21:16"</f>
        <v>2026-07-29 14:21:16</v>
      </c>
      <c r="L7790" s="1" t="str">
        <f>"2024-12-11 18:02:57"</f>
        <v>2024-12-11 18:02:57</v>
      </c>
      <c r="M7790" s="1" t="s">
        <v>4</v>
      </c>
      <c r="N7790" s="1" t="s">
        <v>38</v>
      </c>
      <c r="O7790" s="1" t="s">
        <v>46</v>
      </c>
    </row>
    <row r="7791" spans="2:15" x14ac:dyDescent="0.3">
      <c r="B7791" s="1" t="s">
        <v>21</v>
      </c>
      <c r="C7791" s="1" t="str">
        <f>"5-2차"</f>
        <v>5-2차</v>
      </c>
      <c r="D7791" s="1" t="str">
        <f>"9627F2815M"</f>
        <v>9627F2815M</v>
      </c>
      <c r="E7791" s="1" t="s">
        <v>10</v>
      </c>
      <c r="F7791" s="1" t="str">
        <f>"fde1:103:4:579f:0:0:0:2"</f>
        <v>fde1:103:4:579f:0:0:0:2</v>
      </c>
      <c r="G7791" s="1" t="str">
        <f>"9627F281"</f>
        <v>9627F281</v>
      </c>
      <c r="H7791" s="1" t="str">
        <f>"신사간 16L10L4"</f>
        <v>신사간 16L10L4</v>
      </c>
      <c r="I7791" s="1" t="s">
        <v>15</v>
      </c>
      <c r="J7791" s="1" t="str">
        <f>"125/125"</f>
        <v>125/125</v>
      </c>
      <c r="K7791" s="1" t="str">
        <f>"2026-07-29 14:21:16"</f>
        <v>2026-07-29 14:21:16</v>
      </c>
      <c r="L7791" s="1" t="str">
        <f>"2023-10-16 14:04:11"</f>
        <v>2023-10-16 14:04:11</v>
      </c>
      <c r="M7791" s="1" t="s">
        <v>4</v>
      </c>
      <c r="N7791" s="1" t="s">
        <v>38</v>
      </c>
      <c r="O7791" s="1" t="s">
        <v>46</v>
      </c>
    </row>
    <row r="7792" spans="2:15" x14ac:dyDescent="0.3">
      <c r="B7792" s="1" t="s">
        <v>21</v>
      </c>
      <c r="C7792" s="1" t="str">
        <f>"5-2차"</f>
        <v>5-2차</v>
      </c>
      <c r="D7792" s="1" t="str">
        <f>"9627F3615M"</f>
        <v>9627F3615M</v>
      </c>
      <c r="E7792" s="1" t="s">
        <v>10</v>
      </c>
      <c r="F7792" s="1" t="str">
        <f>"fde1:103:4:57fd:0:0:0:2"</f>
        <v>fde1:103:4:57fd:0:0:0:2</v>
      </c>
      <c r="G7792" s="1" t="str">
        <f>"9627F361"</f>
        <v>9627F361</v>
      </c>
      <c r="H7792" s="1" t="str">
        <f>"신사간 16L24"</f>
        <v>신사간 16L24</v>
      </c>
      <c r="I7792" s="1" t="s">
        <v>15</v>
      </c>
      <c r="J7792" s="1" t="str">
        <f>"49/49"</f>
        <v>49/49</v>
      </c>
      <c r="K7792" s="1" t="str">
        <f>"2026-07-29 14:21:42"</f>
        <v>2026-07-29 14:21:42</v>
      </c>
      <c r="L7792" s="1" t="str">
        <f>"2023-10-16 14:45:23"</f>
        <v>2023-10-16 14:45:23</v>
      </c>
      <c r="M7792" s="1" t="s">
        <v>4</v>
      </c>
      <c r="N7792" s="1" t="s">
        <v>38</v>
      </c>
      <c r="O7792" s="1" t="s">
        <v>46</v>
      </c>
    </row>
    <row r="7793" spans="2:15" x14ac:dyDescent="0.3">
      <c r="B7793" s="1" t="s">
        <v>21</v>
      </c>
      <c r="C7793" s="1" t="str">
        <f>"5-2차"</f>
        <v>5-2차</v>
      </c>
      <c r="D7793" s="1" t="str">
        <f>"9627F3715S"</f>
        <v>9627F3715S</v>
      </c>
      <c r="E7793" s="1" t="s">
        <v>10</v>
      </c>
      <c r="F7793" s="1" t="str">
        <f>"fde1:103:4:58cd:0:0:0:2"</f>
        <v>fde1:103:4:58cd:0:0:0:2</v>
      </c>
      <c r="G7793" s="1" t="str">
        <f>"9627F371"</f>
        <v>9627F371</v>
      </c>
      <c r="H7793" s="1" t="str">
        <f>"신사간 16L10L7"</f>
        <v>신사간 16L10L7</v>
      </c>
      <c r="I7793" s="1" t="s">
        <v>15</v>
      </c>
      <c r="J7793" s="1" t="str">
        <f>"85/86"</f>
        <v>85/86</v>
      </c>
      <c r="K7793" s="1" t="str">
        <f>"2026-07-29 14:21:41"</f>
        <v>2026-07-29 14:21:41</v>
      </c>
      <c r="L7793" s="1" t="str">
        <f>"2023-10-16 14:45:50"</f>
        <v>2023-10-16 14:45:50</v>
      </c>
      <c r="M7793" s="1" t="s">
        <v>4</v>
      </c>
      <c r="N7793" s="1" t="s">
        <v>38</v>
      </c>
      <c r="O7793" s="1" t="s">
        <v>46</v>
      </c>
    </row>
    <row r="7794" spans="2:15" x14ac:dyDescent="0.3">
      <c r="B7794" s="1" t="s">
        <v>21</v>
      </c>
      <c r="C7794" s="1" t="str">
        <f>"5-2차"</f>
        <v>5-2차</v>
      </c>
      <c r="D7794" s="1" t="str">
        <f>"9627F3815M"</f>
        <v>9627F3815M</v>
      </c>
      <c r="E7794" s="1" t="s">
        <v>10</v>
      </c>
      <c r="F7794" s="1" t="str">
        <f>"fde1:103:4:58a0:0:0:0:2"</f>
        <v>fde1:103:4:58a0:0:0:0:2</v>
      </c>
      <c r="G7794" s="1" t="str">
        <f>"9627F381"</f>
        <v>9627F381</v>
      </c>
      <c r="H7794" s="1" t="str">
        <f>"신사간 16L10L6"</f>
        <v>신사간 16L10L6</v>
      </c>
      <c r="I7794" s="1" t="s">
        <v>15</v>
      </c>
      <c r="J7794" s="1" t="str">
        <f>"167/167"</f>
        <v>167/167</v>
      </c>
      <c r="K7794" s="1" t="str">
        <f>"2026-07-29 14:21:25"</f>
        <v>2026-07-29 14:21:25</v>
      </c>
      <c r="L7794" s="1" t="str">
        <f>"2023-10-16 14:46:26"</f>
        <v>2023-10-16 14:46:26</v>
      </c>
      <c r="M7794" s="1" t="s">
        <v>4</v>
      </c>
      <c r="N7794" s="1" t="s">
        <v>38</v>
      </c>
      <c r="O7794" s="1" t="s">
        <v>46</v>
      </c>
    </row>
    <row r="7795" spans="2:15" x14ac:dyDescent="0.3">
      <c r="B7795" s="1" t="s">
        <v>21</v>
      </c>
      <c r="C7795" s="1" t="str">
        <f>"5-2차"</f>
        <v>5-2차</v>
      </c>
      <c r="D7795" s="1" t="str">
        <f>"9627F4265M"</f>
        <v>9627F4265M</v>
      </c>
      <c r="E7795" s="1" t="s">
        <v>10</v>
      </c>
      <c r="F7795" s="1" t="str">
        <f>"fde1:103:4:56eb:0:0:0:2"</f>
        <v>fde1:103:4:56eb:0:0:0:2</v>
      </c>
      <c r="G7795" s="1" t="str">
        <f>"9627F426"</f>
        <v>9627F426</v>
      </c>
      <c r="H7795" s="1" t="str">
        <f>"광천간 28D2L1"</f>
        <v>광천간 28D2L1</v>
      </c>
      <c r="I7795" s="1" t="s">
        <v>15</v>
      </c>
      <c r="J7795" s="1" t="str">
        <f>"33/34"</f>
        <v>33/34</v>
      </c>
      <c r="K7795" s="1" t="str">
        <f>"2026-07-29 14:21:41"</f>
        <v>2026-07-29 14:21:41</v>
      </c>
      <c r="L7795" s="1" t="str">
        <f>"2023-10-16 14:46:50"</f>
        <v>2023-10-16 14:46:50</v>
      </c>
      <c r="M7795" s="1" t="s">
        <v>4</v>
      </c>
      <c r="N7795" s="1" t="s">
        <v>38</v>
      </c>
      <c r="O7795" s="1" t="s">
        <v>46</v>
      </c>
    </row>
    <row r="7796" spans="2:15" x14ac:dyDescent="0.3">
      <c r="B7796" s="1" t="s">
        <v>21</v>
      </c>
      <c r="C7796" s="1" t="str">
        <f>"4차"</f>
        <v>4차</v>
      </c>
      <c r="D7796" s="1" t="str">
        <f>"9627F43345"</f>
        <v>9627F43345</v>
      </c>
      <c r="E7796" s="1" t="s">
        <v>10</v>
      </c>
      <c r="F7796" s="1" t="str">
        <f>"10.14.13.21"</f>
        <v>10.14.13.21</v>
      </c>
      <c r="G7796" s="1" t="str">
        <f>"9627F433"</f>
        <v>9627F433</v>
      </c>
      <c r="H7796" s="1" t="str">
        <f>"광천간 32A1"</f>
        <v>광천간 32A1</v>
      </c>
      <c r="I7796" s="1" t="s">
        <v>17</v>
      </c>
      <c r="J7796" s="1" t="str">
        <f>"1/1"</f>
        <v>1/1</v>
      </c>
      <c r="K7796" s="1" t="str">
        <f>"2026-07-29 13:18:12"</f>
        <v>2026-07-29 13:18:12</v>
      </c>
      <c r="L7796" s="1" t="str">
        <f>"2021-06-17 13:56:22"</f>
        <v>2021-06-17 13:56:22</v>
      </c>
      <c r="M7796" s="1" t="s">
        <v>3</v>
      </c>
      <c r="N7796" s="1" t="s">
        <v>38</v>
      </c>
      <c r="O7796" s="1" t="s">
        <v>46</v>
      </c>
    </row>
    <row r="7797" spans="2:15" x14ac:dyDescent="0.3">
      <c r="B7797" s="1" t="s">
        <v>21</v>
      </c>
      <c r="C7797" s="1" t="str">
        <f>"5-2차"</f>
        <v>5-2차</v>
      </c>
      <c r="D7797" s="1" t="str">
        <f>"9627F4615M"</f>
        <v>9627F4615M</v>
      </c>
      <c r="E7797" s="1" t="s">
        <v>10</v>
      </c>
      <c r="F7797" s="1" t="str">
        <f>"fde1:103:4:58db:0:0:0:2"</f>
        <v>fde1:103:4:58db:0:0:0:2</v>
      </c>
      <c r="G7797" s="1" t="str">
        <f>"9627F461"</f>
        <v>9627F461</v>
      </c>
      <c r="H7797" s="1" t="str">
        <f>"광천간 27L7"</f>
        <v>광천간 27L7</v>
      </c>
      <c r="I7797" s="1" t="s">
        <v>15</v>
      </c>
      <c r="J7797" s="1" t="str">
        <f>"82/82"</f>
        <v>82/82</v>
      </c>
      <c r="K7797" s="1" t="str">
        <f>"2026-07-29 14:21:42"</f>
        <v>2026-07-29 14:21:42</v>
      </c>
      <c r="L7797" s="1" t="str">
        <f>"2023-10-16 15:52:38"</f>
        <v>2023-10-16 15:52:38</v>
      </c>
      <c r="M7797" s="1" t="s">
        <v>4</v>
      </c>
      <c r="N7797" s="1" t="s">
        <v>38</v>
      </c>
      <c r="O7797" s="1" t="s">
        <v>46</v>
      </c>
    </row>
    <row r="7798" spans="2:15" x14ac:dyDescent="0.3">
      <c r="B7798" s="1" t="s">
        <v>21</v>
      </c>
      <c r="C7798" s="1" t="str">
        <f>"5-2차"</f>
        <v>5-2차</v>
      </c>
      <c r="D7798" s="1" t="str">
        <f>"9627F4735M"</f>
        <v>9627F4735M</v>
      </c>
      <c r="E7798" s="1" t="s">
        <v>10</v>
      </c>
      <c r="F7798" s="1" t="str">
        <f>"fde1:103:4:581f:0:0:0:2"</f>
        <v>fde1:103:4:581f:0:0:0:2</v>
      </c>
      <c r="G7798" s="1" t="str">
        <f>"9627F473"</f>
        <v>9627F473</v>
      </c>
      <c r="H7798" s="1" t="str">
        <f>"신사간 16L26"</f>
        <v>신사간 16L26</v>
      </c>
      <c r="I7798" s="1" t="s">
        <v>15</v>
      </c>
      <c r="J7798" s="1" t="str">
        <f>"44/44"</f>
        <v>44/44</v>
      </c>
      <c r="K7798" s="1" t="str">
        <f>"2026-07-29 14:21:17"</f>
        <v>2026-07-29 14:21:17</v>
      </c>
      <c r="L7798" s="1" t="str">
        <f>"2023-10-16 15:53:03"</f>
        <v>2023-10-16 15:53:03</v>
      </c>
      <c r="M7798" s="1" t="s">
        <v>4</v>
      </c>
      <c r="N7798" s="1" t="s">
        <v>38</v>
      </c>
      <c r="O7798" s="1" t="s">
        <v>46</v>
      </c>
    </row>
    <row r="7799" spans="2:15" x14ac:dyDescent="0.3">
      <c r="B7799" s="1" t="s">
        <v>21</v>
      </c>
      <c r="C7799" s="1" t="str">
        <f>"6차"</f>
        <v>6차</v>
      </c>
      <c r="D7799" s="1" t="str">
        <f>"9627F4826S"</f>
        <v>9627F4826S</v>
      </c>
      <c r="E7799" s="1" t="s">
        <v>10</v>
      </c>
      <c r="F7799" s="1" t="str">
        <f>"fde1:103:4:92f3:0:0:0:2"</f>
        <v>fde1:103:4:92f3:0:0:0:2</v>
      </c>
      <c r="G7799" s="1" t="str">
        <f>"9627F482"</f>
        <v>9627F482</v>
      </c>
      <c r="H7799" s="1" t="str">
        <f>"광천간 27L11L2G1"</f>
        <v>광천간 27L11L2G1</v>
      </c>
      <c r="I7799" s="1" t="s">
        <v>15</v>
      </c>
      <c r="J7799" s="1" t="str">
        <f>"24/24"</f>
        <v>24/24</v>
      </c>
      <c r="K7799" s="1" t="str">
        <f>"2026-07-29 14:21:17"</f>
        <v>2026-07-29 14:21:17</v>
      </c>
      <c r="L7799" s="1" t="str">
        <f>"2025-02-05 16:37:07"</f>
        <v>2025-02-05 16:37:07</v>
      </c>
      <c r="M7799" s="1" t="s">
        <v>4</v>
      </c>
      <c r="N7799" s="1" t="s">
        <v>38</v>
      </c>
      <c r="O7799" s="1" t="s">
        <v>46</v>
      </c>
    </row>
    <row r="7800" spans="2:15" x14ac:dyDescent="0.3">
      <c r="B7800" s="1" t="s">
        <v>21</v>
      </c>
      <c r="C7800" s="1" t="str">
        <f>"5-2차"</f>
        <v>5-2차</v>
      </c>
      <c r="D7800" s="1" t="str">
        <f>"9627F5125M"</f>
        <v>9627F5125M</v>
      </c>
      <c r="E7800" s="1" t="s">
        <v>10</v>
      </c>
      <c r="F7800" s="1" t="str">
        <f>"fde1:103:4:56fd:0:0:0:2"</f>
        <v>fde1:103:4:56fd:0:0:0:2</v>
      </c>
      <c r="G7800" s="1" t="str">
        <f>"9627F512"</f>
        <v>9627F512</v>
      </c>
      <c r="H7800" s="1" t="str">
        <f>"광천간 28D3"</f>
        <v>광천간 28D3</v>
      </c>
      <c r="I7800" s="1" t="s">
        <v>15</v>
      </c>
      <c r="J7800" s="1" t="str">
        <f>"48/51"</f>
        <v>48/51</v>
      </c>
      <c r="K7800" s="1" t="str">
        <f>"2026-07-29 14:20:55"</f>
        <v>2026-07-29 14:20:55</v>
      </c>
      <c r="L7800" s="1" t="str">
        <f>"2023-10-16 15:53:40"</f>
        <v>2023-10-16 15:53:40</v>
      </c>
      <c r="M7800" s="1" t="s">
        <v>4</v>
      </c>
      <c r="N7800" s="1" t="s">
        <v>38</v>
      </c>
      <c r="O7800" s="1" t="s">
        <v>46</v>
      </c>
    </row>
    <row r="7801" spans="2:15" x14ac:dyDescent="0.3">
      <c r="B7801" s="1" t="s">
        <v>21</v>
      </c>
      <c r="C7801" s="1" t="str">
        <f>"6차"</f>
        <v>6차</v>
      </c>
      <c r="D7801" s="1" t="str">
        <f>"9627F5136S"</f>
        <v>9627F5136S</v>
      </c>
      <c r="E7801" s="1" t="s">
        <v>10</v>
      </c>
      <c r="F7801" s="1" t="str">
        <f>"fde1:103:4:930d:0:0:0:2"</f>
        <v>fde1:103:4:930d:0:0:0:2</v>
      </c>
      <c r="G7801" s="1" t="str">
        <f>"9627F513"</f>
        <v>9627F513</v>
      </c>
      <c r="H7801" s="1" t="str">
        <f>"광천간 28D3R1"</f>
        <v>광천간 28D3R1</v>
      </c>
      <c r="I7801" s="1" t="s">
        <v>15</v>
      </c>
      <c r="J7801" s="1" t="str">
        <f>"23/23"</f>
        <v>23/23</v>
      </c>
      <c r="K7801" s="1" t="str">
        <f>"2026-07-29 08:21:07"</f>
        <v>2026-07-29 08:21:07</v>
      </c>
      <c r="L7801" s="1" t="str">
        <f>"2025-02-05 16:36:37"</f>
        <v>2025-02-05 16:36:37</v>
      </c>
      <c r="M7801" s="1" t="s">
        <v>4</v>
      </c>
      <c r="N7801" s="1" t="s">
        <v>38</v>
      </c>
      <c r="O7801" s="1" t="s">
        <v>46</v>
      </c>
    </row>
    <row r="7802" spans="2:15" x14ac:dyDescent="0.3">
      <c r="B7802" s="1" t="s">
        <v>21</v>
      </c>
      <c r="C7802" s="1" t="str">
        <f>"5-2차"</f>
        <v>5-2차</v>
      </c>
      <c r="D7802" s="1" t="str">
        <f>"9627F5715M"</f>
        <v>9627F5715M</v>
      </c>
      <c r="E7802" s="1" t="s">
        <v>10</v>
      </c>
      <c r="F7802" s="1" t="str">
        <f>"fde1:103:4:588b:0:0:0:2"</f>
        <v>fde1:103:4:588b:0:0:0:2</v>
      </c>
      <c r="G7802" s="1" t="str">
        <f>"9627F571"</f>
        <v>9627F571</v>
      </c>
      <c r="H7802" s="1" t="str">
        <f>"광천간 27L10"</f>
        <v>광천간 27L10</v>
      </c>
      <c r="I7802" s="1" t="s">
        <v>15</v>
      </c>
      <c r="J7802" s="1" t="str">
        <f>"34/34"</f>
        <v>34/34</v>
      </c>
      <c r="K7802" s="1" t="str">
        <f>"2026-07-29 14:21:17"</f>
        <v>2026-07-29 14:21:17</v>
      </c>
      <c r="L7802" s="1" t="str">
        <f>"2023-10-16 15:53:55"</f>
        <v>2023-10-16 15:53:55</v>
      </c>
      <c r="M7802" s="1" t="s">
        <v>4</v>
      </c>
      <c r="N7802" s="1" t="s">
        <v>38</v>
      </c>
      <c r="O7802" s="1" t="s">
        <v>46</v>
      </c>
    </row>
    <row r="7803" spans="2:15" x14ac:dyDescent="0.3">
      <c r="B7803" s="1" t="s">
        <v>21</v>
      </c>
      <c r="C7803" s="1" t="str">
        <f>"4차"</f>
        <v>4차</v>
      </c>
      <c r="D7803" s="1" t="str">
        <f>"9627F58245"</f>
        <v>9627F58245</v>
      </c>
      <c r="E7803" s="1" t="s">
        <v>12</v>
      </c>
      <c r="F7803" s="1" t="str">
        <f>"10.14.9.4"</f>
        <v>10.14.9.4</v>
      </c>
      <c r="G7803" s="1" t="str">
        <f>"9627F582"</f>
        <v>9627F582</v>
      </c>
      <c r="H7803" s="1" t="str">
        <f>"광천간 27L12T1"</f>
        <v>광천간 27L12T1</v>
      </c>
      <c r="I7803" s="1" t="s">
        <v>17</v>
      </c>
      <c r="J7803" s="1" t="str">
        <f>"0/56"</f>
        <v>0/56</v>
      </c>
      <c r="K7803" s="1" t="str">
        <f>"2026-07-29 07:18:11"</f>
        <v>2026-07-29 07:18:11</v>
      </c>
      <c r="L7803" s="1" t="str">
        <f>"2021-06-17 13:25:06"</f>
        <v>2021-06-17 13:25:06</v>
      </c>
      <c r="M7803" s="1" t="s">
        <v>3</v>
      </c>
      <c r="N7803" s="1" t="s">
        <v>38</v>
      </c>
      <c r="O7803" s="1" t="s">
        <v>46</v>
      </c>
    </row>
    <row r="7804" spans="2:15" x14ac:dyDescent="0.3">
      <c r="B7804" s="1" t="s">
        <v>21</v>
      </c>
      <c r="C7804" s="1" t="str">
        <f>"5-2차"</f>
        <v>5-2차</v>
      </c>
      <c r="D7804" s="1" t="str">
        <f>"9627F5915M"</f>
        <v>9627F5915M</v>
      </c>
      <c r="E7804" s="1" t="s">
        <v>10</v>
      </c>
      <c r="F7804" s="1" t="str">
        <f>"fde1:103:4:5865:0:0:0:2"</f>
        <v>fde1:103:4:5865:0:0:0:2</v>
      </c>
      <c r="G7804" s="1" t="str">
        <f>"9627F591"</f>
        <v>9627F591</v>
      </c>
      <c r="H7804" s="1" t="str">
        <f>"광천간 27L11L3"</f>
        <v>광천간 27L11L3</v>
      </c>
      <c r="I7804" s="1" t="s">
        <v>15</v>
      </c>
      <c r="J7804" s="1" t="str">
        <f>"50/50"</f>
        <v>50/50</v>
      </c>
      <c r="K7804" s="1" t="str">
        <f>"2026-07-29 14:21:18"</f>
        <v>2026-07-29 14:21:18</v>
      </c>
      <c r="L7804" s="1" t="str">
        <f>"2023-10-16 16:11:40"</f>
        <v>2023-10-16 16:11:40</v>
      </c>
      <c r="M7804" s="1" t="s">
        <v>4</v>
      </c>
      <c r="N7804" s="1" t="s">
        <v>38</v>
      </c>
      <c r="O7804" s="1" t="s">
        <v>46</v>
      </c>
    </row>
    <row r="7805" spans="2:15" x14ac:dyDescent="0.3">
      <c r="B7805" s="1" t="s">
        <v>21</v>
      </c>
      <c r="C7805" s="1" t="str">
        <f>"5-2차"</f>
        <v>5-2차</v>
      </c>
      <c r="D7805" s="1" t="str">
        <f>"9627F6125M"</f>
        <v>9627F6125M</v>
      </c>
      <c r="E7805" s="1" t="s">
        <v>10</v>
      </c>
      <c r="F7805" s="1" t="str">
        <f>"fde1:103:4:56ec:0:0:0:2"</f>
        <v>fde1:103:4:56ec:0:0:0:2</v>
      </c>
      <c r="G7805" s="1" t="str">
        <f>"9627F612"</f>
        <v>9627F612</v>
      </c>
      <c r="H7805" s="1" t="str">
        <f>"광천간 28D5R1"</f>
        <v>광천간 28D5R1</v>
      </c>
      <c r="I7805" s="1" t="s">
        <v>15</v>
      </c>
      <c r="J7805" s="1" t="str">
        <f>"51/51"</f>
        <v>51/51</v>
      </c>
      <c r="K7805" s="1" t="str">
        <f>"2026-07-29 14:21:18"</f>
        <v>2026-07-29 14:21:18</v>
      </c>
      <c r="L7805" s="1" t="str">
        <f>"2023-10-16 16:12:06"</f>
        <v>2023-10-16 16:12:06</v>
      </c>
      <c r="M7805" s="1" t="s">
        <v>4</v>
      </c>
      <c r="N7805" s="1" t="s">
        <v>38</v>
      </c>
      <c r="O7805" s="1" t="s">
        <v>46</v>
      </c>
    </row>
    <row r="7806" spans="2:15" x14ac:dyDescent="0.3">
      <c r="B7806" s="1" t="s">
        <v>21</v>
      </c>
      <c r="C7806" s="1" t="str">
        <f>"5-2차"</f>
        <v>5-2차</v>
      </c>
      <c r="D7806" s="1" t="str">
        <f>"9627F6825M"</f>
        <v>9627F6825M</v>
      </c>
      <c r="E7806" s="1" t="s">
        <v>10</v>
      </c>
      <c r="F7806" s="1" t="str">
        <f>"fde1:103:4:5884:0:0:0:2"</f>
        <v>fde1:103:4:5884:0:0:0:2</v>
      </c>
      <c r="G7806" s="1" t="str">
        <f>"9627F682"</f>
        <v>9627F682</v>
      </c>
      <c r="H7806" s="1" t="str">
        <f>"광천간 41"</f>
        <v>광천간 41</v>
      </c>
      <c r="I7806" s="1" t="s">
        <v>15</v>
      </c>
      <c r="J7806" s="1" t="str">
        <f>"9/9"</f>
        <v>9/9</v>
      </c>
      <c r="K7806" s="1" t="str">
        <f>"2026-07-29 14:21:20"</f>
        <v>2026-07-29 14:21:20</v>
      </c>
      <c r="L7806" s="1" t="str">
        <f>"2023-10-16 16:12:30"</f>
        <v>2023-10-16 16:12:30</v>
      </c>
      <c r="M7806" s="1" t="s">
        <v>4</v>
      </c>
      <c r="N7806" s="1" t="s">
        <v>38</v>
      </c>
      <c r="O7806" s="1" t="s">
        <v>46</v>
      </c>
    </row>
    <row r="7807" spans="2:15" x14ac:dyDescent="0.3">
      <c r="B7807" s="1" t="s">
        <v>21</v>
      </c>
      <c r="C7807" s="1" t="str">
        <f>"5-2차"</f>
        <v>5-2차</v>
      </c>
      <c r="D7807" s="1" t="str">
        <f>"9627F7115M"</f>
        <v>9627F7115M</v>
      </c>
      <c r="E7807" s="1" t="s">
        <v>10</v>
      </c>
      <c r="F7807" s="1" t="str">
        <f>"fde1:103:4:59c9:0:0:0:2"</f>
        <v>fde1:103:4:59c9:0:0:0:2</v>
      </c>
      <c r="G7807" s="1" t="str">
        <f>"9627F711"</f>
        <v>9627F711</v>
      </c>
      <c r="H7807" s="1" t="str">
        <f>"백암간 56"</f>
        <v>백암간 56</v>
      </c>
      <c r="I7807" s="1" t="s">
        <v>15</v>
      </c>
      <c r="J7807" s="1" t="str">
        <f>"55/55"</f>
        <v>55/55</v>
      </c>
      <c r="K7807" s="1" t="str">
        <f>"2026-07-29 14:21:50"</f>
        <v>2026-07-29 14:21:50</v>
      </c>
      <c r="L7807" s="1" t="str">
        <f>"2023-10-16 16:13:20"</f>
        <v>2023-10-16 16:13:20</v>
      </c>
      <c r="M7807" s="1" t="s">
        <v>4</v>
      </c>
      <c r="N7807" s="1" t="s">
        <v>38</v>
      </c>
      <c r="O7807" s="1" t="s">
        <v>46</v>
      </c>
    </row>
    <row r="7808" spans="2:15" x14ac:dyDescent="0.3">
      <c r="B7808" s="1" t="s">
        <v>21</v>
      </c>
      <c r="C7808" s="1" t="str">
        <f>"6차"</f>
        <v>6차</v>
      </c>
      <c r="D7808" s="1" t="str">
        <f>"9627F7136S"</f>
        <v>9627F7136S</v>
      </c>
      <c r="E7808" s="1" t="s">
        <v>10</v>
      </c>
      <c r="F7808" s="1" t="str">
        <f>"fde1:103:4:9312:0:0:0:2"</f>
        <v>fde1:103:4:9312:0:0:0:2</v>
      </c>
      <c r="G7808" s="1" t="str">
        <f>"9627F713"</f>
        <v>9627F713</v>
      </c>
      <c r="H7808" s="1" t="str">
        <f>"백암간 57"</f>
        <v>백암간 57</v>
      </c>
      <c r="I7808" s="1" t="s">
        <v>15</v>
      </c>
      <c r="J7808" s="1" t="str">
        <f>"27/29"</f>
        <v>27/29</v>
      </c>
      <c r="K7808" s="1" t="str">
        <f>"2026-07-29 14:21:18"</f>
        <v>2026-07-29 14:21:18</v>
      </c>
      <c r="L7808" s="1" t="str">
        <f>"2025-02-05 16:49:38"</f>
        <v>2025-02-05 16:49:38</v>
      </c>
      <c r="M7808" s="1" t="s">
        <v>4</v>
      </c>
      <c r="N7808" s="1" t="s">
        <v>38</v>
      </c>
      <c r="O7808" s="1" t="s">
        <v>46</v>
      </c>
    </row>
    <row r="7809" spans="2:15" x14ac:dyDescent="0.3">
      <c r="B7809" s="1" t="s">
        <v>21</v>
      </c>
      <c r="C7809" s="1" t="str">
        <f>"5-2차"</f>
        <v>5-2차</v>
      </c>
      <c r="D7809" s="1" t="str">
        <f>"9627F7325S"</f>
        <v>9627F7325S</v>
      </c>
      <c r="E7809" s="1" t="s">
        <v>10</v>
      </c>
      <c r="F7809" s="1" t="str">
        <f>"fde1:103:4:5746:0:0:0:2"</f>
        <v>fde1:103:4:5746:0:0:0:2</v>
      </c>
      <c r="G7809" s="1" t="str">
        <f>"9627F732"</f>
        <v>9627F732</v>
      </c>
      <c r="H7809" s="1" t="str">
        <f>"광천간 28D10"</f>
        <v>광천간 28D10</v>
      </c>
      <c r="I7809" s="1" t="s">
        <v>15</v>
      </c>
      <c r="J7809" s="1" t="str">
        <f>"34/34"</f>
        <v>34/34</v>
      </c>
      <c r="K7809" s="1" t="str">
        <f>"2026-07-29 14:21:18"</f>
        <v>2026-07-29 14:21:18</v>
      </c>
      <c r="L7809" s="1" t="str">
        <f>"2023-10-16 16:29:56"</f>
        <v>2023-10-16 16:29:56</v>
      </c>
      <c r="M7809" s="1" t="s">
        <v>4</v>
      </c>
      <c r="N7809" s="1" t="s">
        <v>38</v>
      </c>
      <c r="O7809" s="1" t="s">
        <v>46</v>
      </c>
    </row>
    <row r="7810" spans="2:15" x14ac:dyDescent="0.3">
      <c r="B7810" s="1" t="s">
        <v>21</v>
      </c>
      <c r="C7810" s="1" t="str">
        <f>"1차"</f>
        <v>1차</v>
      </c>
      <c r="D7810" s="1" t="str">
        <f>"9627F77100"</f>
        <v>9627F77100</v>
      </c>
      <c r="E7810" s="1" t="s">
        <v>10</v>
      </c>
      <c r="F7810" s="1" t="str">
        <f>"10.128.2.129"</f>
        <v>10.128.2.129</v>
      </c>
      <c r="G7810" s="1" t="str">
        <f>"9627F771"</f>
        <v>9627F771</v>
      </c>
      <c r="H7810" s="1" t="str">
        <f>"광천간 40R3"</f>
        <v>광천간 40R3</v>
      </c>
      <c r="I7810" s="1" t="s">
        <v>8</v>
      </c>
      <c r="J7810" s="1" t="str">
        <f>"12/12"</f>
        <v>12/12</v>
      </c>
      <c r="K7810" s="1" t="str">
        <f>"2026-07-29 13:18:10"</f>
        <v>2026-07-29 13:18:10</v>
      </c>
      <c r="L7810" s="1" t="str">
        <f>"2014-10-23 11:41:38"</f>
        <v>2014-10-23 11:41:38</v>
      </c>
      <c r="M7810" s="1" t="s">
        <v>45</v>
      </c>
      <c r="N7810" s="1" t="s">
        <v>38</v>
      </c>
      <c r="O7810" s="1" t="s">
        <v>46</v>
      </c>
    </row>
    <row r="7811" spans="2:15" x14ac:dyDescent="0.3">
      <c r="B7811" s="1" t="s">
        <v>21</v>
      </c>
      <c r="C7811" s="1" t="str">
        <f>"6차"</f>
        <v>6차</v>
      </c>
      <c r="D7811" s="1" t="str">
        <f>"9627F9116S"</f>
        <v>9627F9116S</v>
      </c>
      <c r="E7811" s="1" t="s">
        <v>10</v>
      </c>
      <c r="F7811" s="1" t="str">
        <f>"fde1:103:4:9166:0:0:0:2"</f>
        <v>fde1:103:4:9166:0:0:0:2</v>
      </c>
      <c r="G7811" s="1" t="str">
        <f>"9627F911"</f>
        <v>9627F911</v>
      </c>
      <c r="H7811" s="1" t="str">
        <f>"백암간 53"</f>
        <v>백암간 53</v>
      </c>
      <c r="I7811" s="1" t="s">
        <v>15</v>
      </c>
      <c r="J7811" s="1" t="str">
        <f>"55/55"</f>
        <v>55/55</v>
      </c>
      <c r="K7811" s="1" t="str">
        <f>"2026-07-29 14:21:43"</f>
        <v>2026-07-29 14:21:43</v>
      </c>
      <c r="L7811" s="1" t="str">
        <f>"2025-03-19 16:55:47"</f>
        <v>2025-03-19 16:55:47</v>
      </c>
      <c r="M7811" s="1" t="s">
        <v>4</v>
      </c>
      <c r="N7811" s="1" t="s">
        <v>38</v>
      </c>
      <c r="O7811" s="1" t="s">
        <v>46</v>
      </c>
    </row>
    <row r="7812" spans="2:15" x14ac:dyDescent="0.3">
      <c r="B7812" s="1" t="s">
        <v>21</v>
      </c>
      <c r="C7812" s="1" t="str">
        <f>"1차"</f>
        <v>1차</v>
      </c>
      <c r="D7812" s="1" t="str">
        <f>"9627G02200"</f>
        <v>9627G02200</v>
      </c>
      <c r="E7812" s="1" t="s">
        <v>10</v>
      </c>
      <c r="F7812" s="1" t="str">
        <f>"10.128.0.51"</f>
        <v>10.128.0.51</v>
      </c>
      <c r="G7812" s="1" t="str">
        <f>"9627G022"</f>
        <v>9627G022</v>
      </c>
      <c r="H7812" s="1" t="str">
        <f>"숭실간 31R15L1"</f>
        <v>숭실간 31R15L1</v>
      </c>
      <c r="I7812" s="1" t="s">
        <v>8</v>
      </c>
      <c r="J7812" s="1" t="str">
        <f>"10/11"</f>
        <v>10/11</v>
      </c>
      <c r="K7812" s="1" t="str">
        <f>"2026-07-29 13:18:10"</f>
        <v>2026-07-29 13:18:10</v>
      </c>
      <c r="L7812" s="1" t="str">
        <f>"2014-12-09 15:56:08"</f>
        <v>2014-12-09 15:56:08</v>
      </c>
      <c r="M7812" s="1" t="s">
        <v>45</v>
      </c>
      <c r="N7812" s="1" t="s">
        <v>38</v>
      </c>
      <c r="O7812" s="1" t="s">
        <v>46</v>
      </c>
    </row>
    <row r="7813" spans="2:15" x14ac:dyDescent="0.3">
      <c r="B7813" s="1" t="s">
        <v>21</v>
      </c>
      <c r="C7813" s="1" t="str">
        <f>"4차"</f>
        <v>4차</v>
      </c>
      <c r="D7813" s="1" t="str">
        <f>"9627G03142"</f>
        <v>9627G03142</v>
      </c>
      <c r="E7813" s="1" t="s">
        <v>10</v>
      </c>
      <c r="F7813" s="1" t="str">
        <f>"10.12.135.62"</f>
        <v>10.12.135.62</v>
      </c>
      <c r="G7813" s="1" t="str">
        <f>"9627G031"</f>
        <v>9627G031</v>
      </c>
      <c r="H7813" s="1" t="str">
        <f>"숭실간 31R14"</f>
        <v>숭실간 31R14</v>
      </c>
      <c r="I7813" s="1" t="s">
        <v>8</v>
      </c>
      <c r="J7813" s="1" t="str">
        <f>"35/39"</f>
        <v>35/39</v>
      </c>
      <c r="K7813" s="1" t="str">
        <f>"2026-07-29 13:18:11"</f>
        <v>2026-07-29 13:18:11</v>
      </c>
      <c r="L7813" s="1" t="str">
        <f>"2024-12-16 15:10:02"</f>
        <v>2024-12-16 15:10:02</v>
      </c>
      <c r="M7813" s="1" t="s">
        <v>0</v>
      </c>
      <c r="N7813" s="1" t="s">
        <v>38</v>
      </c>
      <c r="O7813" s="1" t="s">
        <v>46</v>
      </c>
    </row>
    <row r="7814" spans="2:15" x14ac:dyDescent="0.3">
      <c r="B7814" s="1" t="s">
        <v>21</v>
      </c>
      <c r="C7814" s="1" t="str">
        <f>"1차"</f>
        <v>1차</v>
      </c>
      <c r="D7814" s="1" t="str">
        <f>"9627G05101"</f>
        <v>9627G05101</v>
      </c>
      <c r="E7814" s="1" t="s">
        <v>10</v>
      </c>
      <c r="F7814" s="1" t="str">
        <f>"10.12.129.86"</f>
        <v>10.12.129.86</v>
      </c>
      <c r="G7814" s="1" t="str">
        <f>"9627G051"</f>
        <v>9627G051</v>
      </c>
      <c r="H7814" s="1" t="str">
        <f>"수색간 72L16"</f>
        <v>수색간 72L16</v>
      </c>
      <c r="I7814" s="1" t="s">
        <v>8</v>
      </c>
      <c r="J7814" s="1" t="str">
        <f>"19/19"</f>
        <v>19/19</v>
      </c>
      <c r="K7814" s="1" t="str">
        <f>"2026-07-29 13:18:11"</f>
        <v>2026-07-29 13:18:11</v>
      </c>
      <c r="L7814" s="1" t="str">
        <f>"2014-11-19 09:39:30"</f>
        <v>2014-11-19 09:39:30</v>
      </c>
      <c r="M7814" s="1" t="s">
        <v>0</v>
      </c>
      <c r="N7814" s="1" t="s">
        <v>38</v>
      </c>
      <c r="O7814" s="1" t="s">
        <v>46</v>
      </c>
    </row>
    <row r="7815" spans="2:15" x14ac:dyDescent="0.3">
      <c r="B7815" s="1" t="s">
        <v>21</v>
      </c>
      <c r="C7815" s="1" t="str">
        <f>"5-1차"</f>
        <v>5-1차</v>
      </c>
      <c r="D7815" s="1" t="str">
        <f>"9627G1315M"</f>
        <v>9627G1315M</v>
      </c>
      <c r="E7815" s="1" t="s">
        <v>10</v>
      </c>
      <c r="F7815" s="1" t="str">
        <f>"fde2:104:0:18:0:0:0:2"</f>
        <v>fde2:104:0:18:0:0:0:2</v>
      </c>
      <c r="G7815" s="1" t="str">
        <f>"9627G131"</f>
        <v>9627G131</v>
      </c>
      <c r="H7815" s="1" t="str">
        <f>"숭실간 31R15L3"</f>
        <v>숭실간 31R15L3</v>
      </c>
      <c r="I7815" s="1" t="s">
        <v>15</v>
      </c>
      <c r="J7815" s="1" t="str">
        <f>"49/49"</f>
        <v>49/49</v>
      </c>
      <c r="K7815" s="1" t="str">
        <f>"2026-07-29 14:21:27"</f>
        <v>2026-07-29 14:21:27</v>
      </c>
      <c r="L7815" s="1" t="str">
        <f>"2022-09-13 10:24:10"</f>
        <v>2022-09-13 10:24:10</v>
      </c>
      <c r="M7815" s="1" t="s">
        <v>42</v>
      </c>
      <c r="N7815" s="1" t="s">
        <v>38</v>
      </c>
      <c r="O7815" s="1" t="s">
        <v>46</v>
      </c>
    </row>
    <row r="7816" spans="2:15" x14ac:dyDescent="0.3">
      <c r="B7816" s="1" t="s">
        <v>21</v>
      </c>
      <c r="C7816" s="1" t="str">
        <f>"1차"</f>
        <v>1차</v>
      </c>
      <c r="D7816" s="1" t="str">
        <f>"9627G13200"</f>
        <v>9627G13200</v>
      </c>
      <c r="E7816" s="1" t="s">
        <v>14</v>
      </c>
      <c r="F7816" s="1" t="str">
        <f>"10.128.2.131"</f>
        <v>10.128.2.131</v>
      </c>
      <c r="G7816" s="1" t="str">
        <f>"9627G132"</f>
        <v>9627G132</v>
      </c>
      <c r="H7816" s="1" t="str">
        <f>"숭실간 31R15L2"</f>
        <v>숭실간 31R15L2</v>
      </c>
      <c r="I7816" s="1" t="s">
        <v>8</v>
      </c>
      <c r="J7816" s="1" t="str">
        <f>"0/0"</f>
        <v>0/0</v>
      </c>
      <c r="K7816" s="1" t="str">
        <f>"2026-07-29 13:18:10"</f>
        <v>2026-07-29 13:18:10</v>
      </c>
      <c r="L7816" s="1" t="str">
        <f>"2014-11-20 13:09:56"</f>
        <v>2014-11-20 13:09:56</v>
      </c>
      <c r="M7816" s="1" t="s">
        <v>45</v>
      </c>
      <c r="N7816" s="1" t="s">
        <v>38</v>
      </c>
      <c r="O7816" s="1" t="s">
        <v>44</v>
      </c>
    </row>
    <row r="7817" spans="2:15" x14ac:dyDescent="0.3">
      <c r="B7817" s="1" t="s">
        <v>21</v>
      </c>
      <c r="C7817" s="1" t="str">
        <f>"5-2차"</f>
        <v>5-2차</v>
      </c>
      <c r="D7817" s="1" t="str">
        <f>"9627G1415S"</f>
        <v>9627G1415S</v>
      </c>
      <c r="E7817" s="1" t="s">
        <v>10</v>
      </c>
      <c r="F7817" s="1" t="str">
        <f>"fde1:103:4:59eb:0:0:0:2"</f>
        <v>fde1:103:4:59eb:0:0:0:2</v>
      </c>
      <c r="G7817" s="1" t="str">
        <f>"9627G141"</f>
        <v>9627G141</v>
      </c>
      <c r="H7817" s="1" t="str">
        <f>"수색간 72L13"</f>
        <v>수색간 72L13</v>
      </c>
      <c r="I7817" s="1" t="s">
        <v>15</v>
      </c>
      <c r="J7817" s="1" t="str">
        <f>"34/34"</f>
        <v>34/34</v>
      </c>
      <c r="K7817" s="1" t="str">
        <f>"2026-07-29 14:21:18"</f>
        <v>2026-07-29 14:21:18</v>
      </c>
      <c r="L7817" s="1" t="str">
        <f>"2023-10-16 16:30:54"</f>
        <v>2023-10-16 16:30:54</v>
      </c>
      <c r="M7817" s="1" t="s">
        <v>4</v>
      </c>
      <c r="N7817" s="1" t="s">
        <v>38</v>
      </c>
      <c r="O7817" s="1" t="s">
        <v>46</v>
      </c>
    </row>
    <row r="7818" spans="2:15" x14ac:dyDescent="0.3">
      <c r="B7818" s="1" t="s">
        <v>21</v>
      </c>
      <c r="C7818" s="1" t="str">
        <f>"5-2차"</f>
        <v>5-2차</v>
      </c>
      <c r="D7818" s="1" t="str">
        <f>"9627G1425M"</f>
        <v>9627G1425M</v>
      </c>
      <c r="E7818" s="1" t="s">
        <v>10</v>
      </c>
      <c r="F7818" s="1" t="str">
        <f>"fde1:103:4:5a30:0:0:0:2"</f>
        <v>fde1:103:4:5a30:0:0:0:2</v>
      </c>
      <c r="G7818" s="1" t="str">
        <f>"9627G142"</f>
        <v>9627G142</v>
      </c>
      <c r="H7818" s="1" t="str">
        <f>"수색간 72L14"</f>
        <v>수색간 72L14</v>
      </c>
      <c r="I7818" s="1" t="s">
        <v>15</v>
      </c>
      <c r="J7818" s="1" t="str">
        <f>"14/14"</f>
        <v>14/14</v>
      </c>
      <c r="K7818" s="1" t="str">
        <f>"2026-07-29 14:21:21"</f>
        <v>2026-07-29 14:21:21</v>
      </c>
      <c r="L7818" s="1" t="str">
        <f>"2023-10-16 16:31:18"</f>
        <v>2023-10-16 16:31:18</v>
      </c>
      <c r="M7818" s="1" t="s">
        <v>4</v>
      </c>
      <c r="N7818" s="1" t="s">
        <v>38</v>
      </c>
      <c r="O7818" s="1" t="s">
        <v>46</v>
      </c>
    </row>
    <row r="7819" spans="2:15" x14ac:dyDescent="0.3">
      <c r="B7819" s="1" t="s">
        <v>21</v>
      </c>
      <c r="C7819" s="1" t="str">
        <f>"1차"</f>
        <v>1차</v>
      </c>
      <c r="D7819" s="1" t="str">
        <f>"9627G21100"</f>
        <v>9627G21100</v>
      </c>
      <c r="E7819" s="1" t="s">
        <v>10</v>
      </c>
      <c r="F7819" s="1" t="str">
        <f>"10.128.2.132"</f>
        <v>10.128.2.132</v>
      </c>
      <c r="G7819" s="1" t="str">
        <f>"9627G211"</f>
        <v>9627G211</v>
      </c>
      <c r="H7819" s="1" t="str">
        <f>"숭실간 31R19"</f>
        <v>숭실간 31R19</v>
      </c>
      <c r="I7819" s="1" t="s">
        <v>8</v>
      </c>
      <c r="J7819" s="1" t="str">
        <f>"18/18"</f>
        <v>18/18</v>
      </c>
      <c r="K7819" s="1" t="str">
        <f>"2026-07-29 13:18:10"</f>
        <v>2026-07-29 13:18:10</v>
      </c>
      <c r="L7819" s="1" t="str">
        <f>"2014-11-26 16:08:00"</f>
        <v>2014-11-26 16:08:00</v>
      </c>
      <c r="M7819" s="1" t="s">
        <v>45</v>
      </c>
      <c r="N7819" s="1" t="s">
        <v>38</v>
      </c>
      <c r="O7819" s="1" t="s">
        <v>46</v>
      </c>
    </row>
    <row r="7820" spans="2:15" x14ac:dyDescent="0.3">
      <c r="B7820" s="1" t="s">
        <v>21</v>
      </c>
      <c r="C7820" s="1" t="str">
        <f>"6차"</f>
        <v>6차</v>
      </c>
      <c r="D7820" s="1" t="str">
        <f>"9627G2136S"</f>
        <v>9627G2136S</v>
      </c>
      <c r="E7820" s="1" t="s">
        <v>10</v>
      </c>
      <c r="F7820" s="1" t="str">
        <f>"fde1:103:4:c674:0:0:0:2"</f>
        <v>fde1:103:4:c674:0:0:0:2</v>
      </c>
      <c r="G7820" s="1" t="str">
        <f>"9627G213"</f>
        <v>9627G213</v>
      </c>
      <c r="H7820" s="1" t="str">
        <f>"숭실간 31R18"</f>
        <v>숭실간 31R18</v>
      </c>
      <c r="I7820" s="1" t="s">
        <v>15</v>
      </c>
      <c r="J7820" s="1" t="str">
        <f>"53/53"</f>
        <v>53/53</v>
      </c>
      <c r="K7820" s="1" t="str">
        <f>"2026-07-29 02:21:08"</f>
        <v>2026-07-29 02:21:08</v>
      </c>
      <c r="L7820" s="1" t="str">
        <f>"2024-10-29 17:04:43"</f>
        <v>2024-10-29 17:04:43</v>
      </c>
      <c r="M7820" s="1" t="s">
        <v>4</v>
      </c>
      <c r="N7820" s="1" t="s">
        <v>38</v>
      </c>
      <c r="O7820" s="1" t="s">
        <v>46</v>
      </c>
    </row>
    <row r="7821" spans="2:15" x14ac:dyDescent="0.3">
      <c r="B7821" s="1" t="s">
        <v>21</v>
      </c>
      <c r="C7821" s="1" t="str">
        <f>"5-1차"</f>
        <v>5-1차</v>
      </c>
      <c r="D7821" s="1" t="str">
        <f>"9627G2435M"</f>
        <v>9627G2435M</v>
      </c>
      <c r="E7821" s="1" t="s">
        <v>10</v>
      </c>
      <c r="F7821" s="1" t="str">
        <f>"fde2:104:0:14:0:0:0:2"</f>
        <v>fde2:104:0:14:0:0:0:2</v>
      </c>
      <c r="G7821" s="1" t="str">
        <f>"9627G243"</f>
        <v>9627G243</v>
      </c>
      <c r="H7821" s="1" t="str">
        <f>"수색간 72L12"</f>
        <v>수색간 72L12</v>
      </c>
      <c r="I7821" s="1" t="s">
        <v>15</v>
      </c>
      <c r="J7821" s="1" t="str">
        <f>"190/203"</f>
        <v>190/203</v>
      </c>
      <c r="K7821" s="1" t="str">
        <f>"2026-07-29 14:21:19"</f>
        <v>2026-07-29 14:21:19</v>
      </c>
      <c r="L7821" s="1" t="str">
        <f>"2022-09-27 18:38:34"</f>
        <v>2022-09-27 18:38:34</v>
      </c>
      <c r="M7821" s="1" t="s">
        <v>42</v>
      </c>
      <c r="N7821" s="1" t="s">
        <v>38</v>
      </c>
      <c r="O7821" s="1" t="s">
        <v>46</v>
      </c>
    </row>
    <row r="7822" spans="2:15" x14ac:dyDescent="0.3">
      <c r="B7822" s="1" t="s">
        <v>21</v>
      </c>
      <c r="C7822" s="1" t="str">
        <f>"1차"</f>
        <v>1차</v>
      </c>
      <c r="D7822" s="1" t="str">
        <f>"9627G32201"</f>
        <v>9627G32201</v>
      </c>
      <c r="E7822" s="1" t="str">
        <f>"검침실패(3시간 이상)"</f>
        <v>검침실패(3시간 이상)</v>
      </c>
      <c r="F7822" s="1" t="str">
        <f>"10.12.128.161"</f>
        <v>10.12.128.161</v>
      </c>
      <c r="G7822" s="1" t="str">
        <f>"9627G322"</f>
        <v>9627G322</v>
      </c>
      <c r="H7822" s="1" t="str">
        <f>"수색간 72L3"</f>
        <v>수색간 72L3</v>
      </c>
      <c r="I7822" s="1" t="s">
        <v>8</v>
      </c>
      <c r="J7822" s="1" t="str">
        <f>"0/41"</f>
        <v>0/41</v>
      </c>
      <c r="K7822" s="1" t="str">
        <f>"2026-07-29 13:18:11"</f>
        <v>2026-07-29 13:18:11</v>
      </c>
      <c r="L7822" s="1" t="str">
        <f>"2014-11-20 12:41:20"</f>
        <v>2014-11-20 12:41:20</v>
      </c>
      <c r="M7822" s="1" t="s">
        <v>0</v>
      </c>
      <c r="N7822" s="1" t="s">
        <v>38</v>
      </c>
      <c r="O7822" s="1" t="s">
        <v>46</v>
      </c>
    </row>
    <row r="7823" spans="2:15" x14ac:dyDescent="0.3">
      <c r="B7823" s="1" t="s">
        <v>21</v>
      </c>
      <c r="C7823" s="1" t="str">
        <f>"1차"</f>
        <v>1차</v>
      </c>
      <c r="D7823" s="1" t="str">
        <f>"9627G32301"</f>
        <v>9627G32301</v>
      </c>
      <c r="E7823" s="1" t="s">
        <v>10</v>
      </c>
      <c r="F7823" s="1" t="str">
        <f>"10.128.77.42"</f>
        <v>10.128.77.42</v>
      </c>
      <c r="G7823" s="1" t="str">
        <f>"9627G323"</f>
        <v>9627G323</v>
      </c>
      <c r="H7823" s="1" t="str">
        <f>"수색간 72L5"</f>
        <v>수색간 72L5</v>
      </c>
      <c r="I7823" s="1" t="s">
        <v>8</v>
      </c>
      <c r="J7823" s="1" t="str">
        <f>"37/37"</f>
        <v>37/37</v>
      </c>
      <c r="K7823" s="1" t="str">
        <f>"2026-07-29 13:18:11"</f>
        <v>2026-07-29 13:18:11</v>
      </c>
      <c r="L7823" s="1" t="str">
        <f>"2015-02-25 12:56:50"</f>
        <v>2015-02-25 12:56:50</v>
      </c>
      <c r="M7823" s="1" t="s">
        <v>45</v>
      </c>
      <c r="N7823" s="1" t="s">
        <v>38</v>
      </c>
      <c r="O7823" s="1" t="s">
        <v>46</v>
      </c>
    </row>
    <row r="7824" spans="2:15" x14ac:dyDescent="0.3">
      <c r="B7824" s="1" t="s">
        <v>21</v>
      </c>
      <c r="C7824" s="1" t="str">
        <f>"1차"</f>
        <v>1차</v>
      </c>
      <c r="D7824" s="1" t="str">
        <f>"9627G33100"</f>
        <v>9627G33100</v>
      </c>
      <c r="E7824" s="1" t="s">
        <v>10</v>
      </c>
      <c r="F7824" s="1" t="str">
        <f>"10.128.0.53"</f>
        <v>10.128.0.53</v>
      </c>
      <c r="G7824" s="1" t="str">
        <f>"9627G331"</f>
        <v>9627G331</v>
      </c>
      <c r="H7824" s="1" t="str">
        <f>"수색간 72L6"</f>
        <v>수색간 72L6</v>
      </c>
      <c r="I7824" s="1" t="s">
        <v>8</v>
      </c>
      <c r="J7824" s="1" t="str">
        <f>"11/11"</f>
        <v>11/11</v>
      </c>
      <c r="K7824" s="1" t="str">
        <f>"2026-07-29 13:18:10"</f>
        <v>2026-07-29 13:18:10</v>
      </c>
      <c r="L7824" s="1" t="str">
        <f>"2014-11-19 11:09:49"</f>
        <v>2014-11-19 11:09:49</v>
      </c>
      <c r="M7824" s="1" t="s">
        <v>45</v>
      </c>
      <c r="N7824" s="1" t="s">
        <v>38</v>
      </c>
      <c r="O7824" s="1" t="s">
        <v>46</v>
      </c>
    </row>
    <row r="7825" spans="2:15" x14ac:dyDescent="0.3">
      <c r="B7825" s="1" t="s">
        <v>21</v>
      </c>
      <c r="C7825" s="1" t="str">
        <f>"1차"</f>
        <v>1차</v>
      </c>
      <c r="D7825" s="1" t="str">
        <f>"9627G33202"</f>
        <v>9627G33202</v>
      </c>
      <c r="E7825" s="1" t="s">
        <v>10</v>
      </c>
      <c r="F7825" s="1" t="str">
        <f>"10.12.128.78"</f>
        <v>10.12.128.78</v>
      </c>
      <c r="G7825" s="1" t="str">
        <f>"9627G332"</f>
        <v>9627G332</v>
      </c>
      <c r="H7825" s="1" t="str">
        <f>"수색간 72L7"</f>
        <v>수색간 72L7</v>
      </c>
      <c r="I7825" s="1" t="s">
        <v>8</v>
      </c>
      <c r="J7825" s="1" t="str">
        <f>"6/6"</f>
        <v>6/6</v>
      </c>
      <c r="K7825" s="1" t="str">
        <f>"2026-07-29 13:18:11"</f>
        <v>2026-07-29 13:18:11</v>
      </c>
      <c r="L7825" s="1" t="str">
        <f>"2014-11-19 11:09:52"</f>
        <v>2014-11-19 11:09:52</v>
      </c>
      <c r="M7825" s="1" t="s">
        <v>0</v>
      </c>
      <c r="N7825" s="1" t="s">
        <v>38</v>
      </c>
      <c r="O7825" s="1" t="s">
        <v>46</v>
      </c>
    </row>
    <row r="7826" spans="2:15" x14ac:dyDescent="0.3">
      <c r="B7826" s="1" t="s">
        <v>21</v>
      </c>
      <c r="C7826" s="1" t="str">
        <f>"6차"</f>
        <v>6차</v>
      </c>
      <c r="D7826" s="1" t="str">
        <f>"9627G3436S"</f>
        <v>9627G3436S</v>
      </c>
      <c r="E7826" s="1" t="s">
        <v>10</v>
      </c>
      <c r="F7826" s="1" t="str">
        <f>"fde1:103:4:c77f:0:0:0:2"</f>
        <v>fde1:103:4:c77f:0:0:0:2</v>
      </c>
      <c r="G7826" s="1" t="str">
        <f>"9627G343"</f>
        <v>9627G343</v>
      </c>
      <c r="H7826" s="1" t="str">
        <f>"수색간 72L8"</f>
        <v>수색간 72L8</v>
      </c>
      <c r="I7826" s="1" t="s">
        <v>15</v>
      </c>
      <c r="J7826" s="1" t="str">
        <f>"40/40"</f>
        <v>40/40</v>
      </c>
      <c r="K7826" s="1" t="str">
        <f>"2026-07-29 14:21:19"</f>
        <v>2026-07-29 14:21:19</v>
      </c>
      <c r="L7826" s="1" t="str">
        <f>"2024-12-10 11:39:06"</f>
        <v>2024-12-10 11:39:06</v>
      </c>
      <c r="M7826" s="1" t="s">
        <v>4</v>
      </c>
      <c r="N7826" s="1" t="s">
        <v>38</v>
      </c>
      <c r="O7826" s="1" t="s">
        <v>46</v>
      </c>
    </row>
    <row r="7827" spans="2:15" x14ac:dyDescent="0.3">
      <c r="B7827" s="1" t="s">
        <v>21</v>
      </c>
      <c r="C7827" s="1" t="str">
        <f>"5-2차"</f>
        <v>5-2차</v>
      </c>
      <c r="D7827" s="1" t="str">
        <f>"9627G3515S"</f>
        <v>9627G3515S</v>
      </c>
      <c r="E7827" s="1" t="s">
        <v>10</v>
      </c>
      <c r="F7827" s="1" t="str">
        <f>"fde1:103:4:594b:0:0:0:2"</f>
        <v>fde1:103:4:594b:0:0:0:2</v>
      </c>
      <c r="G7827" s="1" t="str">
        <f>"9627G351"</f>
        <v>9627G351</v>
      </c>
      <c r="H7827" s="1" t="str">
        <f>"수색간 72L11R1"</f>
        <v>수색간 72L11R1</v>
      </c>
      <c r="I7827" s="1" t="s">
        <v>15</v>
      </c>
      <c r="J7827" s="1" t="str">
        <f>"61/61"</f>
        <v>61/61</v>
      </c>
      <c r="K7827" s="1" t="str">
        <f>"2026-07-29 14:21:20"</f>
        <v>2026-07-29 14:21:20</v>
      </c>
      <c r="L7827" s="1" t="str">
        <f>"2023-10-16 16:31:53"</f>
        <v>2023-10-16 16:31:53</v>
      </c>
      <c r="M7827" s="1" t="s">
        <v>4</v>
      </c>
      <c r="N7827" s="1" t="s">
        <v>38</v>
      </c>
      <c r="O7827" s="1" t="s">
        <v>46</v>
      </c>
    </row>
    <row r="7828" spans="2:15" x14ac:dyDescent="0.3">
      <c r="B7828" s="1" t="s">
        <v>21</v>
      </c>
      <c r="C7828" s="1" t="str">
        <f>"5-2차"</f>
        <v>5-2차</v>
      </c>
      <c r="D7828" s="1" t="str">
        <f>"9627G3615M"</f>
        <v>9627G3615M</v>
      </c>
      <c r="E7828" s="1" t="s">
        <v>10</v>
      </c>
      <c r="F7828" s="1" t="str">
        <f>"fde1:103:4:5964:0:0:0:2"</f>
        <v>fde1:103:4:5964:0:0:0:2</v>
      </c>
      <c r="G7828" s="1" t="str">
        <f>"9627G361"</f>
        <v>9627G361</v>
      </c>
      <c r="H7828" s="1" t="str">
        <f>"수색간 72L11R2"</f>
        <v>수색간 72L11R2</v>
      </c>
      <c r="I7828" s="1" t="s">
        <v>15</v>
      </c>
      <c r="J7828" s="1" t="str">
        <f>"99/99"</f>
        <v>99/99</v>
      </c>
      <c r="K7828" s="1" t="str">
        <f>"2026-07-29 14:21:19"</f>
        <v>2026-07-29 14:21:19</v>
      </c>
      <c r="L7828" s="1" t="str">
        <f>"2023-10-16 16:47:12"</f>
        <v>2023-10-16 16:47:12</v>
      </c>
      <c r="M7828" s="1" t="s">
        <v>4</v>
      </c>
      <c r="N7828" s="1" t="s">
        <v>38</v>
      </c>
      <c r="O7828" s="1" t="s">
        <v>46</v>
      </c>
    </row>
    <row r="7829" spans="2:15" x14ac:dyDescent="0.3">
      <c r="B7829" s="1" t="s">
        <v>21</v>
      </c>
      <c r="C7829" s="1" t="str">
        <f>"1차"</f>
        <v>1차</v>
      </c>
      <c r="D7829" s="1" t="str">
        <f>"9627G42400"</f>
        <v>9627G42400</v>
      </c>
      <c r="E7829" s="1" t="s">
        <v>10</v>
      </c>
      <c r="F7829" s="1" t="str">
        <f>"10.128.77.4"</f>
        <v>10.128.77.4</v>
      </c>
      <c r="G7829" s="1" t="str">
        <f>"9627G424"</f>
        <v>9627G424</v>
      </c>
      <c r="H7829" s="1" t="str">
        <f>"수색간 72L2"</f>
        <v>수색간 72L2</v>
      </c>
      <c r="I7829" s="1" t="s">
        <v>8</v>
      </c>
      <c r="J7829" s="1" t="str">
        <f>"25/26"</f>
        <v>25/26</v>
      </c>
      <c r="K7829" s="1" t="str">
        <f>"2026-07-29 13:18:11"</f>
        <v>2026-07-29 13:18:11</v>
      </c>
      <c r="L7829" s="1" t="str">
        <f>"2014-11-20 12:45:52"</f>
        <v>2014-11-20 12:45:52</v>
      </c>
      <c r="M7829" s="1" t="s">
        <v>45</v>
      </c>
      <c r="N7829" s="1" t="s">
        <v>38</v>
      </c>
      <c r="O7829" s="1" t="s">
        <v>46</v>
      </c>
    </row>
    <row r="7830" spans="2:15" x14ac:dyDescent="0.3">
      <c r="B7830" s="1" t="s">
        <v>21</v>
      </c>
      <c r="C7830" s="1" t="str">
        <f>"1차"</f>
        <v>1차</v>
      </c>
      <c r="D7830" s="1" t="str">
        <f>"9627G43101"</f>
        <v>9627G43101</v>
      </c>
      <c r="E7830" s="1" t="s">
        <v>10</v>
      </c>
      <c r="F7830" s="1" t="str">
        <f>"10.128.77.3"</f>
        <v>10.128.77.3</v>
      </c>
      <c r="G7830" s="1" t="str">
        <f>"9627G431"</f>
        <v>9627G431</v>
      </c>
      <c r="H7830" s="1" t="str">
        <f>"수색간 72L2R3"</f>
        <v>수색간 72L2R3</v>
      </c>
      <c r="I7830" s="1" t="s">
        <v>8</v>
      </c>
      <c r="J7830" s="1" t="str">
        <f>"42/42"</f>
        <v>42/42</v>
      </c>
      <c r="K7830" s="1" t="str">
        <f>"2026-07-29 13:18:11"</f>
        <v>2026-07-29 13:18:11</v>
      </c>
      <c r="L7830" s="1" t="str">
        <f>"2014-12-24 09:31:23"</f>
        <v>2014-12-24 09:31:23</v>
      </c>
      <c r="M7830" s="1" t="s">
        <v>45</v>
      </c>
      <c r="N7830" s="1" t="s">
        <v>38</v>
      </c>
      <c r="O7830" s="1" t="s">
        <v>46</v>
      </c>
    </row>
    <row r="7831" spans="2:15" x14ac:dyDescent="0.3">
      <c r="B7831" s="1" t="s">
        <v>21</v>
      </c>
      <c r="C7831" s="1" t="str">
        <f>"5-2차"</f>
        <v>5-2차</v>
      </c>
      <c r="D7831" s="1" t="str">
        <f>"9627G4515S"</f>
        <v>9627G4515S</v>
      </c>
      <c r="E7831" s="1" t="s">
        <v>10</v>
      </c>
      <c r="F7831" s="1" t="str">
        <f>"fde1:103:4:592d:0:0:0:2"</f>
        <v>fde1:103:4:592d:0:0:0:2</v>
      </c>
      <c r="G7831" s="1" t="str">
        <f>"9627G451"</f>
        <v>9627G451</v>
      </c>
      <c r="H7831" s="1" t="str">
        <f>"수색간 72L8R2"</f>
        <v>수색간 72L8R2</v>
      </c>
      <c r="I7831" s="1" t="s">
        <v>15</v>
      </c>
      <c r="J7831" s="1" t="str">
        <f>"110/110"</f>
        <v>110/110</v>
      </c>
      <c r="K7831" s="1" t="str">
        <f>"2026-07-29 14:21:19"</f>
        <v>2026-07-29 14:21:19</v>
      </c>
      <c r="L7831" s="1" t="str">
        <f>"2023-10-16 16:47:48"</f>
        <v>2023-10-16 16:47:48</v>
      </c>
      <c r="M7831" s="1" t="s">
        <v>4</v>
      </c>
      <c r="N7831" s="1" t="s">
        <v>38</v>
      </c>
      <c r="O7831" s="1" t="s">
        <v>46</v>
      </c>
    </row>
    <row r="7832" spans="2:15" x14ac:dyDescent="0.3">
      <c r="B7832" s="1" t="s">
        <v>21</v>
      </c>
      <c r="C7832" s="1" t="str">
        <f>"6차"</f>
        <v>6차</v>
      </c>
      <c r="D7832" s="1" t="str">
        <f>"9627G4616S"</f>
        <v>9627G4616S</v>
      </c>
      <c r="E7832" s="1" t="s">
        <v>10</v>
      </c>
      <c r="F7832" s="1" t="str">
        <f>"fde3:102:1303:2903:0:0:0:2"</f>
        <v>fde3:102:1303:2903:0:0:0:2</v>
      </c>
      <c r="G7832" s="1" t="str">
        <f>"9627G461"</f>
        <v>9627G461</v>
      </c>
      <c r="H7832" s="1" t="str">
        <f>"수색간 72L8R3"</f>
        <v>수색간 72L8R3</v>
      </c>
      <c r="I7832" s="1" t="s">
        <v>15</v>
      </c>
      <c r="J7832" s="1" t="str">
        <f>"56/58"</f>
        <v>56/58</v>
      </c>
      <c r="K7832" s="1" t="str">
        <f>"2026-07-28 20:21:10"</f>
        <v>2026-07-28 20:21:10</v>
      </c>
      <c r="L7832" s="1" t="str">
        <f>"2024-11-25 10:19:15"</f>
        <v>2024-11-25 10:19:15</v>
      </c>
      <c r="M7832" s="1" t="s">
        <v>45</v>
      </c>
      <c r="N7832" s="1" t="s">
        <v>38</v>
      </c>
      <c r="O7832" s="1" t="s">
        <v>46</v>
      </c>
    </row>
    <row r="7833" spans="2:15" x14ac:dyDescent="0.3">
      <c r="B7833" s="1" t="s">
        <v>21</v>
      </c>
      <c r="C7833" s="1" t="str">
        <f>"5-2차"</f>
        <v>5-2차</v>
      </c>
      <c r="D7833" s="1" t="str">
        <f>"9627G4715M"</f>
        <v>9627G4715M</v>
      </c>
      <c r="E7833" s="1" t="s">
        <v>10</v>
      </c>
      <c r="F7833" s="1" t="str">
        <f>"fde1:103:4:57db:0:0:0:2"</f>
        <v>fde1:103:4:57db:0:0:0:2</v>
      </c>
      <c r="G7833" s="1" t="str">
        <f>"9627G471"</f>
        <v>9627G471</v>
      </c>
      <c r="H7833" s="1" t="str">
        <f>"수색간 84L2L6"</f>
        <v>수색간 84L2L6</v>
      </c>
      <c r="I7833" s="1" t="s">
        <v>15</v>
      </c>
      <c r="J7833" s="1" t="str">
        <f>"54/54"</f>
        <v>54/54</v>
      </c>
      <c r="K7833" s="1" t="str">
        <f>"2026-07-29 14:21:20"</f>
        <v>2026-07-29 14:21:20</v>
      </c>
      <c r="L7833" s="1" t="str">
        <f>"2023-10-16 16:48:14"</f>
        <v>2023-10-16 16:48:14</v>
      </c>
      <c r="M7833" s="1" t="s">
        <v>4</v>
      </c>
      <c r="N7833" s="1" t="s">
        <v>38</v>
      </c>
      <c r="O7833" s="1" t="s">
        <v>46</v>
      </c>
    </row>
    <row r="7834" spans="2:15" x14ac:dyDescent="0.3">
      <c r="B7834" s="1" t="s">
        <v>21</v>
      </c>
      <c r="C7834" s="1" t="str">
        <f>"5-1차"</f>
        <v>5-1차</v>
      </c>
      <c r="D7834" s="1" t="str">
        <f>"9627G4735M"</f>
        <v>9627G4735M</v>
      </c>
      <c r="E7834" s="1" t="s">
        <v>10</v>
      </c>
      <c r="F7834" s="1" t="str">
        <f>"fde3:102:1303:102:0:0:0:3"</f>
        <v>fde3:102:1303:102:0:0:0:3</v>
      </c>
      <c r="G7834" s="1" t="str">
        <f>"9627G473"</f>
        <v>9627G473</v>
      </c>
      <c r="H7834" s="1" t="str">
        <f>"수색간 84L2L7"</f>
        <v>수색간 84L2L7</v>
      </c>
      <c r="I7834" s="1" t="s">
        <v>15</v>
      </c>
      <c r="J7834" s="1" t="str">
        <f>"83/83"</f>
        <v>83/83</v>
      </c>
      <c r="K7834" s="1" t="str">
        <f>"2026-07-29 14:21:20"</f>
        <v>2026-07-29 14:21:20</v>
      </c>
      <c r="L7834" s="1" t="str">
        <f>"2022-11-16 14:46:13"</f>
        <v>2022-11-16 14:46:13</v>
      </c>
      <c r="M7834" s="1" t="s">
        <v>45</v>
      </c>
      <c r="N7834" s="1" t="s">
        <v>38</v>
      </c>
      <c r="O7834" s="1" t="s">
        <v>46</v>
      </c>
    </row>
    <row r="7835" spans="2:15" x14ac:dyDescent="0.3">
      <c r="B7835" s="1" t="s">
        <v>21</v>
      </c>
      <c r="C7835" s="1" t="str">
        <f>"5-2차"</f>
        <v>5-2차</v>
      </c>
      <c r="D7835" s="1" t="str">
        <f>"9627G4815M"</f>
        <v>9627G4815M</v>
      </c>
      <c r="E7835" s="1" t="s">
        <v>10</v>
      </c>
      <c r="F7835" s="1" t="str">
        <f>"fde1:103:4:59dc:0:0:0:2"</f>
        <v>fde1:103:4:59dc:0:0:0:2</v>
      </c>
      <c r="G7835" s="1" t="str">
        <f>"9627G481"</f>
        <v>9627G481</v>
      </c>
      <c r="H7835" s="1" t="str">
        <f>"수색간 84L2L4"</f>
        <v>수색간 84L2L4</v>
      </c>
      <c r="I7835" s="1" t="s">
        <v>15</v>
      </c>
      <c r="J7835" s="1" t="str">
        <f>"39/39"</f>
        <v>39/39</v>
      </c>
      <c r="K7835" s="1" t="str">
        <f>"2026-07-29 14:21:28"</f>
        <v>2026-07-29 14:21:28</v>
      </c>
      <c r="L7835" s="1" t="str">
        <f>"2023-10-16 16:48:44"</f>
        <v>2023-10-16 16:48:44</v>
      </c>
      <c r="M7835" s="1" t="s">
        <v>4</v>
      </c>
      <c r="N7835" s="1" t="s">
        <v>38</v>
      </c>
      <c r="O7835" s="1" t="s">
        <v>46</v>
      </c>
    </row>
    <row r="7836" spans="2:15" x14ac:dyDescent="0.3">
      <c r="B7836" s="1" t="s">
        <v>21</v>
      </c>
      <c r="C7836" s="1" t="str">
        <f>"5-2차"</f>
        <v>5-2차</v>
      </c>
      <c r="D7836" s="1" t="str">
        <f>"9627G5725M"</f>
        <v>9627G5725M</v>
      </c>
      <c r="E7836" s="1" t="s">
        <v>10</v>
      </c>
      <c r="F7836" s="1" t="str">
        <f>"fde1:103:4:590d:0:0:0:2"</f>
        <v>fde1:103:4:590d:0:0:0:2</v>
      </c>
      <c r="G7836" s="1" t="str">
        <f>"9627G572"</f>
        <v>9627G572</v>
      </c>
      <c r="H7836" s="1" t="str">
        <f>"수색간 79"</f>
        <v>수색간 79</v>
      </c>
      <c r="I7836" s="1" t="s">
        <v>15</v>
      </c>
      <c r="J7836" s="1" t="str">
        <f>"35/35"</f>
        <v>35/35</v>
      </c>
      <c r="K7836" s="1" t="str">
        <f>"2026-07-29 14:21:43"</f>
        <v>2026-07-29 14:21:43</v>
      </c>
      <c r="L7836" s="1" t="str">
        <f>"2023-10-16 16:49:08"</f>
        <v>2023-10-16 16:49:08</v>
      </c>
      <c r="M7836" s="1" t="s">
        <v>4</v>
      </c>
      <c r="N7836" s="1" t="s">
        <v>38</v>
      </c>
      <c r="O7836" s="1" t="s">
        <v>46</v>
      </c>
    </row>
    <row r="7837" spans="2:15" x14ac:dyDescent="0.3">
      <c r="B7837" s="1" t="s">
        <v>21</v>
      </c>
      <c r="C7837" s="1" t="str">
        <f>"5-1차"</f>
        <v>5-1차</v>
      </c>
      <c r="D7837" s="1" t="str">
        <f>"9627G5825M"</f>
        <v>9627G5825M</v>
      </c>
      <c r="E7837" s="1" t="s">
        <v>10</v>
      </c>
      <c r="F7837" s="1" t="str">
        <f>"fde2:104:0:1b3:0:0:0:2"</f>
        <v>fde2:104:0:1b3:0:0:0:2</v>
      </c>
      <c r="G7837" s="1" t="str">
        <f>"9627G582"</f>
        <v>9627G582</v>
      </c>
      <c r="H7837" s="1" t="str">
        <f>"수색간 84L2L4L2"</f>
        <v>수색간 84L2L4L2</v>
      </c>
      <c r="I7837" s="1" t="s">
        <v>15</v>
      </c>
      <c r="J7837" s="1" t="str">
        <f>"35/35"</f>
        <v>35/35</v>
      </c>
      <c r="K7837" s="1" t="str">
        <f>"2026-07-29 14:21:44"</f>
        <v>2026-07-29 14:21:44</v>
      </c>
      <c r="L7837" s="1" t="str">
        <f>"2022-12-22 18:50:10"</f>
        <v>2022-12-22 18:50:10</v>
      </c>
      <c r="M7837" s="1" t="s">
        <v>42</v>
      </c>
      <c r="N7837" s="1" t="s">
        <v>38</v>
      </c>
      <c r="O7837" s="1" t="s">
        <v>46</v>
      </c>
    </row>
    <row r="7838" spans="2:15" x14ac:dyDescent="0.3">
      <c r="B7838" s="1" t="s">
        <v>21</v>
      </c>
      <c r="C7838" s="1" t="str">
        <f t="shared" ref="C7838:C7851" si="382">"4차"</f>
        <v>4차</v>
      </c>
      <c r="D7838" s="1" t="str">
        <f>"9627G62244"</f>
        <v>9627G62244</v>
      </c>
      <c r="E7838" s="1" t="s">
        <v>10</v>
      </c>
      <c r="F7838" s="1" t="str">
        <f>"10.10.102.74"</f>
        <v>10.10.102.74</v>
      </c>
      <c r="G7838" s="1" t="str">
        <f>"9627G622"</f>
        <v>9627G622</v>
      </c>
      <c r="H7838" s="1" t="str">
        <f>"광천간 3"</f>
        <v>광천간 3</v>
      </c>
      <c r="I7838" s="1" t="s">
        <v>8</v>
      </c>
      <c r="J7838" s="1" t="str">
        <f>"32/32"</f>
        <v>32/32</v>
      </c>
      <c r="K7838" s="1" t="str">
        <f>"2026-07-29 13:18:11"</f>
        <v>2026-07-29 13:18:11</v>
      </c>
      <c r="L7838" s="1" t="str">
        <f>"2019-11-12 11:15:18"</f>
        <v>2019-11-12 11:15:18</v>
      </c>
      <c r="M7838" s="1" t="s">
        <v>1</v>
      </c>
      <c r="N7838" s="1" t="s">
        <v>38</v>
      </c>
      <c r="O7838" s="1" t="s">
        <v>46</v>
      </c>
    </row>
    <row r="7839" spans="2:15" x14ac:dyDescent="0.3">
      <c r="B7839" s="1" t="s">
        <v>21</v>
      </c>
      <c r="C7839" s="1" t="str">
        <f t="shared" si="382"/>
        <v>4차</v>
      </c>
      <c r="D7839" s="1" t="str">
        <f>"9627G72144"</f>
        <v>9627G72144</v>
      </c>
      <c r="E7839" s="1" t="s">
        <v>10</v>
      </c>
      <c r="F7839" s="1" t="str">
        <f>"10.10.101.250"</f>
        <v>10.10.101.250</v>
      </c>
      <c r="G7839" s="1" t="str">
        <f>"9627G721"</f>
        <v>9627G721</v>
      </c>
      <c r="H7839" s="1" t="str">
        <f>"광천간 3R1"</f>
        <v>광천간 3R1</v>
      </c>
      <c r="I7839" s="1" t="s">
        <v>8</v>
      </c>
      <c r="J7839" s="1" t="str">
        <f>"30/30"</f>
        <v>30/30</v>
      </c>
      <c r="K7839" s="1" t="str">
        <f>"2026-07-29 13:18:11"</f>
        <v>2026-07-29 13:18:11</v>
      </c>
      <c r="L7839" s="1" t="str">
        <f>"2019-11-07 12:10:13"</f>
        <v>2019-11-07 12:10:13</v>
      </c>
      <c r="M7839" s="1" t="s">
        <v>1</v>
      </c>
      <c r="N7839" s="1" t="s">
        <v>38</v>
      </c>
      <c r="O7839" s="1" t="s">
        <v>46</v>
      </c>
    </row>
    <row r="7840" spans="2:15" x14ac:dyDescent="0.3">
      <c r="B7840" s="1" t="s">
        <v>21</v>
      </c>
      <c r="C7840" s="1" t="str">
        <f t="shared" si="382"/>
        <v>4차</v>
      </c>
      <c r="D7840" s="1" t="str">
        <f>"9627G72444"</f>
        <v>9627G72444</v>
      </c>
      <c r="E7840" s="1" t="s">
        <v>10</v>
      </c>
      <c r="F7840" s="1" t="str">
        <f>"10.12.133.223"</f>
        <v>10.12.133.223</v>
      </c>
      <c r="G7840" s="1" t="str">
        <f>"9627G724"</f>
        <v>9627G724</v>
      </c>
      <c r="H7840" s="1" t="str">
        <f>"광천간 3R2"</f>
        <v>광천간 3R2</v>
      </c>
      <c r="I7840" s="1" t="s">
        <v>8</v>
      </c>
      <c r="J7840" s="1" t="str">
        <f>"34/34"</f>
        <v>34/34</v>
      </c>
      <c r="K7840" s="1" t="str">
        <f>"2026-07-29 13:18:12"</f>
        <v>2026-07-29 13:18:12</v>
      </c>
      <c r="L7840" s="1" t="str">
        <f>"2020-01-09 11:52:15"</f>
        <v>2020-01-09 11:52:15</v>
      </c>
      <c r="M7840" s="1" t="s">
        <v>0</v>
      </c>
      <c r="N7840" s="1" t="s">
        <v>38</v>
      </c>
      <c r="O7840" s="1" t="s">
        <v>46</v>
      </c>
    </row>
    <row r="7841" spans="2:15" x14ac:dyDescent="0.3">
      <c r="B7841" s="1" t="s">
        <v>21</v>
      </c>
      <c r="C7841" s="1" t="str">
        <f t="shared" si="382"/>
        <v>4차</v>
      </c>
      <c r="D7841" s="1" t="str">
        <f>"9627G73144"</f>
        <v>9627G73144</v>
      </c>
      <c r="E7841" s="1" t="s">
        <v>10</v>
      </c>
      <c r="F7841" s="1" t="str">
        <f>"10.10.101.226"</f>
        <v>10.10.101.226</v>
      </c>
      <c r="G7841" s="1" t="str">
        <f>"9627G731"</f>
        <v>9627G731</v>
      </c>
      <c r="H7841" s="1" t="str">
        <f>"광천간 3R1L1"</f>
        <v>광천간 3R1L1</v>
      </c>
      <c r="I7841" s="1" t="s">
        <v>8</v>
      </c>
      <c r="J7841" s="1" t="str">
        <f>"54/54"</f>
        <v>54/54</v>
      </c>
      <c r="K7841" s="1" t="str">
        <f t="shared" ref="K7841:K7848" si="383">"2026-07-29 13:18:11"</f>
        <v>2026-07-29 13:18:11</v>
      </c>
      <c r="L7841" s="1" t="str">
        <f>"2019-11-05 17:35:32"</f>
        <v>2019-11-05 17:35:32</v>
      </c>
      <c r="M7841" s="1" t="s">
        <v>1</v>
      </c>
      <c r="N7841" s="1" t="s">
        <v>38</v>
      </c>
      <c r="O7841" s="1" t="s">
        <v>46</v>
      </c>
    </row>
    <row r="7842" spans="2:15" x14ac:dyDescent="0.3">
      <c r="B7842" s="1" t="s">
        <v>21</v>
      </c>
      <c r="C7842" s="1" t="str">
        <f t="shared" si="382"/>
        <v>4차</v>
      </c>
      <c r="D7842" s="1" t="str">
        <f>"9627G74144"</f>
        <v>9627G74144</v>
      </c>
      <c r="E7842" s="1" t="s">
        <v>10</v>
      </c>
      <c r="F7842" s="1" t="str">
        <f>"10.10.101.58"</f>
        <v>10.10.101.58</v>
      </c>
      <c r="G7842" s="1" t="str">
        <f>"9627G741"</f>
        <v>9627G741</v>
      </c>
      <c r="H7842" s="1" t="str">
        <f>"광천간 6R1"</f>
        <v>광천간 6R1</v>
      </c>
      <c r="I7842" s="1" t="s">
        <v>8</v>
      </c>
      <c r="J7842" s="1" t="str">
        <f>"52/52"</f>
        <v>52/52</v>
      </c>
      <c r="K7842" s="1" t="str">
        <f t="shared" si="383"/>
        <v>2026-07-29 13:18:11</v>
      </c>
      <c r="L7842" s="1" t="str">
        <f>"2019-11-07 12:13:04"</f>
        <v>2019-11-07 12:13:04</v>
      </c>
      <c r="M7842" s="1" t="s">
        <v>1</v>
      </c>
      <c r="N7842" s="1" t="s">
        <v>38</v>
      </c>
      <c r="O7842" s="1" t="s">
        <v>46</v>
      </c>
    </row>
    <row r="7843" spans="2:15" x14ac:dyDescent="0.3">
      <c r="B7843" s="1" t="s">
        <v>21</v>
      </c>
      <c r="C7843" s="1" t="str">
        <f t="shared" si="382"/>
        <v>4차</v>
      </c>
      <c r="D7843" s="1" t="str">
        <f>"9627G75244"</f>
        <v>9627G75244</v>
      </c>
      <c r="E7843" s="1" t="s">
        <v>10</v>
      </c>
      <c r="F7843" s="1" t="str">
        <f>"10.10.100.242"</f>
        <v>10.10.100.242</v>
      </c>
      <c r="G7843" s="1" t="str">
        <f>"9627G752"</f>
        <v>9627G752</v>
      </c>
      <c r="H7843" s="1" t="str">
        <f>"광천간 7"</f>
        <v>광천간 7</v>
      </c>
      <c r="I7843" s="1" t="s">
        <v>8</v>
      </c>
      <c r="J7843" s="1" t="str">
        <f>"23/23"</f>
        <v>23/23</v>
      </c>
      <c r="K7843" s="1" t="str">
        <f t="shared" si="383"/>
        <v>2026-07-29 13:18:11</v>
      </c>
      <c r="L7843" s="1" t="str">
        <f>"2019-11-07 13:13:05"</f>
        <v>2019-11-07 13:13:05</v>
      </c>
      <c r="M7843" s="1" t="s">
        <v>1</v>
      </c>
      <c r="N7843" s="1" t="s">
        <v>38</v>
      </c>
      <c r="O7843" s="1" t="s">
        <v>46</v>
      </c>
    </row>
    <row r="7844" spans="2:15" x14ac:dyDescent="0.3">
      <c r="B7844" s="1" t="s">
        <v>21</v>
      </c>
      <c r="C7844" s="1" t="str">
        <f t="shared" si="382"/>
        <v>4차</v>
      </c>
      <c r="D7844" s="1" t="str">
        <f>"9627G76144"</f>
        <v>9627G76144</v>
      </c>
      <c r="E7844" s="1" t="s">
        <v>10</v>
      </c>
      <c r="F7844" s="1" t="str">
        <f>"10.10.100.218"</f>
        <v>10.10.100.218</v>
      </c>
      <c r="G7844" s="1" t="str">
        <f>"9627G761"</f>
        <v>9627G761</v>
      </c>
      <c r="H7844" s="1" t="str">
        <f>"광천간 9"</f>
        <v>광천간 9</v>
      </c>
      <c r="I7844" s="1" t="s">
        <v>8</v>
      </c>
      <c r="J7844" s="1" t="str">
        <f>"43/43"</f>
        <v>43/43</v>
      </c>
      <c r="K7844" s="1" t="str">
        <f t="shared" si="383"/>
        <v>2026-07-29 13:18:11</v>
      </c>
      <c r="L7844" s="1" t="str">
        <f>"2019-11-05 16:53:46"</f>
        <v>2019-11-05 16:53:46</v>
      </c>
      <c r="M7844" s="1" t="s">
        <v>1</v>
      </c>
      <c r="N7844" s="1" t="s">
        <v>38</v>
      </c>
      <c r="O7844" s="1" t="s">
        <v>46</v>
      </c>
    </row>
    <row r="7845" spans="2:15" x14ac:dyDescent="0.3">
      <c r="B7845" s="1" t="s">
        <v>21</v>
      </c>
      <c r="C7845" s="1" t="str">
        <f t="shared" si="382"/>
        <v>4차</v>
      </c>
      <c r="D7845" s="1" t="str">
        <f>"9627G83144"</f>
        <v>9627G83144</v>
      </c>
      <c r="E7845" s="1" t="s">
        <v>10</v>
      </c>
      <c r="F7845" s="1" t="str">
        <f>"10.10.101.170"</f>
        <v>10.10.101.170</v>
      </c>
      <c r="G7845" s="1" t="str">
        <f>"9627G831"</f>
        <v>9627G831</v>
      </c>
      <c r="H7845" s="1" t="str">
        <f>"광천간 3R3"</f>
        <v>광천간 3R3</v>
      </c>
      <c r="I7845" s="1" t="s">
        <v>8</v>
      </c>
      <c r="J7845" s="1" t="str">
        <f>"50/51"</f>
        <v>50/51</v>
      </c>
      <c r="K7845" s="1" t="str">
        <f t="shared" si="383"/>
        <v>2026-07-29 13:18:11</v>
      </c>
      <c r="L7845" s="1" t="str">
        <f>"2019-10-21 18:33:46"</f>
        <v>2019-10-21 18:33:46</v>
      </c>
      <c r="M7845" s="1" t="s">
        <v>1</v>
      </c>
      <c r="N7845" s="1" t="s">
        <v>38</v>
      </c>
      <c r="O7845" s="1" t="s">
        <v>46</v>
      </c>
    </row>
    <row r="7846" spans="2:15" x14ac:dyDescent="0.3">
      <c r="B7846" s="1" t="s">
        <v>21</v>
      </c>
      <c r="C7846" s="1" t="str">
        <f t="shared" si="382"/>
        <v>4차</v>
      </c>
      <c r="D7846" s="1" t="str">
        <f>"9627G84144"</f>
        <v>9627G84144</v>
      </c>
      <c r="E7846" s="1" t="s">
        <v>10</v>
      </c>
      <c r="F7846" s="1" t="str">
        <f>"10.10.101.18"</f>
        <v>10.10.101.18</v>
      </c>
      <c r="G7846" s="1" t="str">
        <f>"9627G841"</f>
        <v>9627G841</v>
      </c>
      <c r="H7846" s="1" t="str">
        <f>"광천간 6R2"</f>
        <v>광천간 6R2</v>
      </c>
      <c r="I7846" s="1" t="s">
        <v>8</v>
      </c>
      <c r="J7846" s="1" t="str">
        <f>"37/37"</f>
        <v>37/37</v>
      </c>
      <c r="K7846" s="1" t="str">
        <f t="shared" si="383"/>
        <v>2026-07-29 13:18:11</v>
      </c>
      <c r="L7846" s="1" t="str">
        <f>"2019-11-05 17:23:45"</f>
        <v>2019-11-05 17:23:45</v>
      </c>
      <c r="M7846" s="1" t="s">
        <v>1</v>
      </c>
      <c r="N7846" s="1" t="s">
        <v>38</v>
      </c>
      <c r="O7846" s="1" t="s">
        <v>46</v>
      </c>
    </row>
    <row r="7847" spans="2:15" x14ac:dyDescent="0.3">
      <c r="B7847" s="1" t="s">
        <v>21</v>
      </c>
      <c r="C7847" s="1" t="str">
        <f t="shared" si="382"/>
        <v>4차</v>
      </c>
      <c r="D7847" s="1" t="str">
        <f>"9627G85139"</f>
        <v>9627G85139</v>
      </c>
      <c r="E7847" s="1" t="s">
        <v>10</v>
      </c>
      <c r="F7847" s="1" t="str">
        <f>"10.128.77.2"</f>
        <v>10.128.77.2</v>
      </c>
      <c r="G7847" s="1" t="str">
        <f>"9627G851"</f>
        <v>9627G851</v>
      </c>
      <c r="H7847" s="1" t="str">
        <f>"광천간 9R2"</f>
        <v>광천간 9R2</v>
      </c>
      <c r="I7847" s="1" t="s">
        <v>8</v>
      </c>
      <c r="J7847" s="1" t="str">
        <f>"39/39"</f>
        <v>39/39</v>
      </c>
      <c r="K7847" s="1" t="str">
        <f t="shared" si="383"/>
        <v>2026-07-29 13:18:11</v>
      </c>
      <c r="L7847" s="1" t="str">
        <f>"2018-04-20 12:52:57"</f>
        <v>2018-04-20 12:52:57</v>
      </c>
      <c r="M7847" s="1" t="s">
        <v>45</v>
      </c>
      <c r="N7847" s="1" t="s">
        <v>38</v>
      </c>
      <c r="O7847" s="1" t="s">
        <v>46</v>
      </c>
    </row>
    <row r="7848" spans="2:15" x14ac:dyDescent="0.3">
      <c r="B7848" s="1" t="s">
        <v>21</v>
      </c>
      <c r="C7848" s="1" t="str">
        <f t="shared" si="382"/>
        <v>4차</v>
      </c>
      <c r="D7848" s="1" t="str">
        <f>"9627G86144"</f>
        <v>9627G86144</v>
      </c>
      <c r="E7848" s="1" t="s">
        <v>10</v>
      </c>
      <c r="F7848" s="1" t="str">
        <f>"10.10.100.170"</f>
        <v>10.10.100.170</v>
      </c>
      <c r="G7848" s="1" t="str">
        <f>"9627G861"</f>
        <v>9627G861</v>
      </c>
      <c r="H7848" s="1" t="str">
        <f>"광천간 9R1"</f>
        <v>광천간 9R1</v>
      </c>
      <c r="I7848" s="1" t="s">
        <v>8</v>
      </c>
      <c r="J7848" s="1" t="str">
        <f>"41/41"</f>
        <v>41/41</v>
      </c>
      <c r="K7848" s="1" t="str">
        <f t="shared" si="383"/>
        <v>2026-07-29 13:18:11</v>
      </c>
      <c r="L7848" s="1" t="str">
        <f>"2019-11-05 17:23:04"</f>
        <v>2019-11-05 17:23:04</v>
      </c>
      <c r="M7848" s="1" t="s">
        <v>1</v>
      </c>
      <c r="N7848" s="1" t="s">
        <v>38</v>
      </c>
      <c r="O7848" s="1" t="s">
        <v>46</v>
      </c>
    </row>
    <row r="7849" spans="2:15" x14ac:dyDescent="0.3">
      <c r="B7849" s="1" t="s">
        <v>21</v>
      </c>
      <c r="C7849" s="1" t="str">
        <f t="shared" si="382"/>
        <v>4차</v>
      </c>
      <c r="D7849" s="1" t="str">
        <f>"9627G89144"</f>
        <v>9627G89144</v>
      </c>
      <c r="E7849" s="1" t="s">
        <v>10</v>
      </c>
      <c r="F7849" s="1" t="str">
        <f>"10.10.104.210"</f>
        <v>10.10.104.210</v>
      </c>
      <c r="G7849" s="1" t="str">
        <f>"9627G891"</f>
        <v>9627G891</v>
      </c>
      <c r="H7849" s="1" t="str">
        <f>"광천간 13R1"</f>
        <v>광천간 13R1</v>
      </c>
      <c r="I7849" s="1" t="s">
        <v>8</v>
      </c>
      <c r="J7849" s="1" t="str">
        <f>"31/31"</f>
        <v>31/31</v>
      </c>
      <c r="K7849" s="1" t="str">
        <f>"2026-07-29 13:18:10"</f>
        <v>2026-07-29 13:18:10</v>
      </c>
      <c r="L7849" s="1" t="str">
        <f>"2019-10-21 16:13:04"</f>
        <v>2019-10-21 16:13:04</v>
      </c>
      <c r="M7849" s="1" t="s">
        <v>1</v>
      </c>
      <c r="N7849" s="1" t="s">
        <v>38</v>
      </c>
      <c r="O7849" s="1" t="s">
        <v>46</v>
      </c>
    </row>
    <row r="7850" spans="2:15" x14ac:dyDescent="0.3">
      <c r="B7850" s="1" t="s">
        <v>21</v>
      </c>
      <c r="C7850" s="1" t="str">
        <f t="shared" si="382"/>
        <v>4차</v>
      </c>
      <c r="D7850" s="1" t="str">
        <f>"9627G89244"</f>
        <v>9627G89244</v>
      </c>
      <c r="E7850" s="1" t="s">
        <v>10</v>
      </c>
      <c r="F7850" s="1" t="str">
        <f>"10.10.104.250"</f>
        <v>10.10.104.250</v>
      </c>
      <c r="G7850" s="1" t="str">
        <f>"9627G892"</f>
        <v>9627G892</v>
      </c>
      <c r="H7850" s="1" t="str">
        <f>"광천간 13"</f>
        <v>광천간 13</v>
      </c>
      <c r="I7850" s="1" t="s">
        <v>8</v>
      </c>
      <c r="J7850" s="1" t="str">
        <f>"30/30"</f>
        <v>30/30</v>
      </c>
      <c r="K7850" s="1" t="str">
        <f>"2026-07-29 13:18:10"</f>
        <v>2026-07-29 13:18:10</v>
      </c>
      <c r="L7850" s="1" t="str">
        <f>"2019-10-21 13:49:13"</f>
        <v>2019-10-21 13:49:13</v>
      </c>
      <c r="M7850" s="1" t="s">
        <v>1</v>
      </c>
      <c r="N7850" s="1" t="s">
        <v>38</v>
      </c>
      <c r="O7850" s="1" t="s">
        <v>46</v>
      </c>
    </row>
    <row r="7851" spans="2:15" x14ac:dyDescent="0.3">
      <c r="B7851" s="1" t="s">
        <v>21</v>
      </c>
      <c r="C7851" s="1" t="str">
        <f t="shared" si="382"/>
        <v>4차</v>
      </c>
      <c r="D7851" s="1" t="str">
        <f>"9627G93144"</f>
        <v>9627G93144</v>
      </c>
      <c r="E7851" s="1" t="s">
        <v>10</v>
      </c>
      <c r="F7851" s="1" t="str">
        <f>"10.12.129.58"</f>
        <v>10.12.129.58</v>
      </c>
      <c r="G7851" s="1" t="str">
        <f>"9627G931"</f>
        <v>9627G931</v>
      </c>
      <c r="H7851" s="1" t="str">
        <f>"광천간 3R4"</f>
        <v>광천간 3R4</v>
      </c>
      <c r="I7851" s="1" t="s">
        <v>8</v>
      </c>
      <c r="J7851" s="1" t="str">
        <f>"138/138"</f>
        <v>138/138</v>
      </c>
      <c r="K7851" s="1" t="str">
        <f>"2026-07-29 13:18:11"</f>
        <v>2026-07-29 13:18:11</v>
      </c>
      <c r="L7851" s="1" t="str">
        <f>"2023-09-14 09:32:42"</f>
        <v>2023-09-14 09:32:42</v>
      </c>
      <c r="M7851" s="1" t="s">
        <v>0</v>
      </c>
      <c r="N7851" s="1" t="s">
        <v>38</v>
      </c>
      <c r="O7851" s="1" t="s">
        <v>46</v>
      </c>
    </row>
    <row r="7852" spans="2:15" x14ac:dyDescent="0.3">
      <c r="B7852" s="1" t="s">
        <v>21</v>
      </c>
      <c r="C7852" s="1" t="str">
        <f>"1차"</f>
        <v>1차</v>
      </c>
      <c r="D7852" s="1" t="str">
        <f>"9627G94200"</f>
        <v>9627G94200</v>
      </c>
      <c r="E7852" s="1" t="s">
        <v>10</v>
      </c>
      <c r="F7852" s="1" t="str">
        <f>"10.128.93.8"</f>
        <v>10.128.93.8</v>
      </c>
      <c r="G7852" s="1" t="str">
        <f>"9627G942"</f>
        <v>9627G942</v>
      </c>
      <c r="H7852" s="1" t="str">
        <f>"광천간 9R3R1"</f>
        <v>광천간 9R3R1</v>
      </c>
      <c r="I7852" s="1" t="s">
        <v>8</v>
      </c>
      <c r="J7852" s="1" t="str">
        <f>"40/40"</f>
        <v>40/40</v>
      </c>
      <c r="K7852" s="1" t="str">
        <f>"2026-07-29 13:18:11"</f>
        <v>2026-07-29 13:18:11</v>
      </c>
      <c r="L7852" s="1" t="str">
        <f>"2014-11-11 14:10:54"</f>
        <v>2014-11-11 14:10:54</v>
      </c>
      <c r="M7852" s="1" t="s">
        <v>45</v>
      </c>
      <c r="N7852" s="1" t="s">
        <v>38</v>
      </c>
      <c r="O7852" s="1" t="s">
        <v>46</v>
      </c>
    </row>
    <row r="7853" spans="2:15" x14ac:dyDescent="0.3">
      <c r="B7853" s="1" t="s">
        <v>21</v>
      </c>
      <c r="C7853" s="1" t="str">
        <f>"4차"</f>
        <v>4차</v>
      </c>
      <c r="D7853" s="1" t="str">
        <f>"9627G96244"</f>
        <v>9627G96244</v>
      </c>
      <c r="E7853" s="1" t="s">
        <v>10</v>
      </c>
      <c r="F7853" s="1" t="str">
        <f>"10.10.122.202"</f>
        <v>10.10.122.202</v>
      </c>
      <c r="G7853" s="1" t="str">
        <f>"9627G962"</f>
        <v>9627G962</v>
      </c>
      <c r="H7853" s="1" t="str">
        <f>"광천간 11R4R2"</f>
        <v>광천간 11R4R2</v>
      </c>
      <c r="I7853" s="1" t="s">
        <v>8</v>
      </c>
      <c r="J7853" s="1" t="str">
        <f>"16/16"</f>
        <v>16/16</v>
      </c>
      <c r="K7853" s="1" t="str">
        <f>"2026-07-29 13:18:11"</f>
        <v>2026-07-29 13:18:11</v>
      </c>
      <c r="L7853" s="1" t="str">
        <f>"2019-10-21 18:20:15"</f>
        <v>2019-10-21 18:20:15</v>
      </c>
      <c r="M7853" s="1" t="s">
        <v>1</v>
      </c>
      <c r="N7853" s="1" t="s">
        <v>38</v>
      </c>
      <c r="O7853" s="1" t="s">
        <v>46</v>
      </c>
    </row>
    <row r="7854" spans="2:15" x14ac:dyDescent="0.3">
      <c r="B7854" s="1" t="s">
        <v>21</v>
      </c>
      <c r="C7854" s="1" t="str">
        <f>"4차"</f>
        <v>4차</v>
      </c>
      <c r="D7854" s="1" t="str">
        <f>"9627G97144"</f>
        <v>9627G97144</v>
      </c>
      <c r="E7854" s="1" t="s">
        <v>10</v>
      </c>
      <c r="F7854" s="1" t="str">
        <f>"10.10.122.194"</f>
        <v>10.10.122.194</v>
      </c>
      <c r="G7854" s="1" t="str">
        <f>"9627G971"</f>
        <v>9627G971</v>
      </c>
      <c r="H7854" s="1" t="str">
        <f>"광천간 11R3"</f>
        <v>광천간 11R3</v>
      </c>
      <c r="I7854" s="1" t="s">
        <v>8</v>
      </c>
      <c r="J7854" s="1" t="str">
        <f>"20/20"</f>
        <v>20/20</v>
      </c>
      <c r="K7854" s="1" t="str">
        <f>"2026-07-29 13:18:10"</f>
        <v>2026-07-29 13:18:10</v>
      </c>
      <c r="L7854" s="1" t="str">
        <f>"2019-10-21 17:43:05"</f>
        <v>2019-10-21 17:43:05</v>
      </c>
      <c r="M7854" s="1" t="s">
        <v>1</v>
      </c>
      <c r="N7854" s="1" t="s">
        <v>38</v>
      </c>
      <c r="O7854" s="1" t="s">
        <v>46</v>
      </c>
    </row>
    <row r="7855" spans="2:15" x14ac:dyDescent="0.3">
      <c r="B7855" s="1" t="s">
        <v>21</v>
      </c>
      <c r="C7855" s="1" t="str">
        <f>"4차"</f>
        <v>4차</v>
      </c>
      <c r="D7855" s="1" t="str">
        <f>"9627G98444"</f>
        <v>9627G98444</v>
      </c>
      <c r="E7855" s="1" t="s">
        <v>10</v>
      </c>
      <c r="F7855" s="1" t="str">
        <f>"10.10.102.130"</f>
        <v>10.10.102.130</v>
      </c>
      <c r="G7855" s="1" t="str">
        <f>"9627G984"</f>
        <v>9627G984</v>
      </c>
      <c r="H7855" s="1" t="str">
        <f>"광천간 27R8R6"</f>
        <v>광천간 27R8R6</v>
      </c>
      <c r="I7855" s="1" t="s">
        <v>8</v>
      </c>
      <c r="J7855" s="1" t="str">
        <f>"12/18"</f>
        <v>12/18</v>
      </c>
      <c r="K7855" s="1" t="str">
        <f>"2026-07-29 13:18:11"</f>
        <v>2026-07-29 13:18:11</v>
      </c>
      <c r="L7855" s="1" t="str">
        <f>"2020-02-10 18:42:49"</f>
        <v>2020-02-10 18:42:49</v>
      </c>
      <c r="M7855" s="1" t="s">
        <v>1</v>
      </c>
      <c r="N7855" s="1" t="s">
        <v>38</v>
      </c>
      <c r="O7855" s="1" t="s">
        <v>46</v>
      </c>
    </row>
    <row r="7856" spans="2:15" x14ac:dyDescent="0.3">
      <c r="B7856" s="1" t="s">
        <v>21</v>
      </c>
      <c r="C7856" s="1" t="str">
        <f>"4차"</f>
        <v>4차</v>
      </c>
      <c r="D7856" s="1" t="str">
        <f>"9627G99144"</f>
        <v>9627G99144</v>
      </c>
      <c r="E7856" s="1" t="s">
        <v>10</v>
      </c>
      <c r="F7856" s="1" t="str">
        <f>"10.10.104.194"</f>
        <v>10.10.104.194</v>
      </c>
      <c r="G7856" s="1" t="str">
        <f>"9627G991"</f>
        <v>9627G991</v>
      </c>
      <c r="H7856" s="1" t="str">
        <f>"광천간 13R2"</f>
        <v>광천간 13R2</v>
      </c>
      <c r="I7856" s="1" t="s">
        <v>8</v>
      </c>
      <c r="J7856" s="1" t="str">
        <f>"67/67"</f>
        <v>67/67</v>
      </c>
      <c r="K7856" s="1" t="str">
        <f>"2026-07-29 13:18:10"</f>
        <v>2026-07-29 13:18:10</v>
      </c>
      <c r="L7856" s="1" t="str">
        <f>"2019-10-21 16:19:00"</f>
        <v>2019-10-21 16:19:00</v>
      </c>
      <c r="M7856" s="1" t="s">
        <v>1</v>
      </c>
      <c r="N7856" s="1" t="s">
        <v>38</v>
      </c>
      <c r="O7856" s="1" t="s">
        <v>46</v>
      </c>
    </row>
    <row r="7857" spans="2:15" x14ac:dyDescent="0.3">
      <c r="B7857" s="1" t="s">
        <v>21</v>
      </c>
      <c r="C7857" s="1" t="str">
        <f>"3차"</f>
        <v>3차</v>
      </c>
      <c r="D7857" s="1" t="str">
        <f>"9627H00139"</f>
        <v>9627H00139</v>
      </c>
      <c r="E7857" s="1" t="s">
        <v>10</v>
      </c>
      <c r="F7857" s="1" t="str">
        <f>"10.128.77.66"</f>
        <v>10.128.77.66</v>
      </c>
      <c r="G7857" s="1" t="str">
        <f>"9627H001"</f>
        <v>9627H001</v>
      </c>
      <c r="H7857" s="1" t="str">
        <f>"와산간 48R3"</f>
        <v>와산간 48R3</v>
      </c>
      <c r="I7857" s="1" t="s">
        <v>8</v>
      </c>
      <c r="J7857" s="1" t="str">
        <f>"20/24"</f>
        <v>20/24</v>
      </c>
      <c r="K7857" s="1" t="str">
        <f>"2026-07-29 13:18:11"</f>
        <v>2026-07-29 13:18:11</v>
      </c>
      <c r="L7857" s="1" t="str">
        <f>"2018-04-17 18:29:30"</f>
        <v>2018-04-17 18:29:30</v>
      </c>
      <c r="M7857" s="1" t="s">
        <v>45</v>
      </c>
      <c r="N7857" s="1" t="s">
        <v>38</v>
      </c>
      <c r="O7857" s="1" t="s">
        <v>46</v>
      </c>
    </row>
    <row r="7858" spans="2:15" x14ac:dyDescent="0.3">
      <c r="B7858" s="1" t="s">
        <v>21</v>
      </c>
      <c r="C7858" s="1" t="str">
        <f>"4차"</f>
        <v>4차</v>
      </c>
      <c r="D7858" s="1" t="str">
        <f>"9627H00239"</f>
        <v>9627H00239</v>
      </c>
      <c r="E7858" s="1" t="s">
        <v>10</v>
      </c>
      <c r="F7858" s="1" t="str">
        <f>"10.12.134.6"</f>
        <v>10.12.134.6</v>
      </c>
      <c r="G7858" s="1" t="str">
        <f>"9627H002"</f>
        <v>9627H002</v>
      </c>
      <c r="H7858" s="1" t="str">
        <f>"와산간 48R2L1T1"</f>
        <v>와산간 48R2L1T1</v>
      </c>
      <c r="I7858" s="1" t="s">
        <v>17</v>
      </c>
      <c r="J7858" s="1" t="str">
        <f>"54/54"</f>
        <v>54/54</v>
      </c>
      <c r="K7858" s="1" t="str">
        <f>"2026-07-29 13:18:11"</f>
        <v>2026-07-29 13:18:11</v>
      </c>
      <c r="L7858" s="1" t="str">
        <f>"2018-12-20 14:27:43"</f>
        <v>2018-12-20 14:27:43</v>
      </c>
      <c r="M7858" s="1" t="s">
        <v>0</v>
      </c>
      <c r="N7858" s="1" t="s">
        <v>38</v>
      </c>
      <c r="O7858" s="1" t="s">
        <v>46</v>
      </c>
    </row>
    <row r="7859" spans="2:15" x14ac:dyDescent="0.3">
      <c r="B7859" s="1" t="s">
        <v>21</v>
      </c>
      <c r="C7859" s="1" t="str">
        <f>"1차"</f>
        <v>1차</v>
      </c>
      <c r="D7859" s="1" t="str">
        <f>"9627H04100"</f>
        <v>9627H04100</v>
      </c>
      <c r="E7859" s="1" t="s">
        <v>10</v>
      </c>
      <c r="F7859" s="1" t="str">
        <f>"10.128.93.5"</f>
        <v>10.128.93.5</v>
      </c>
      <c r="G7859" s="1" t="str">
        <f>"9627H041"</f>
        <v>9627H041</v>
      </c>
      <c r="H7859" s="1" t="str">
        <f>"광천간 3R6"</f>
        <v>광천간 3R6</v>
      </c>
      <c r="I7859" s="1" t="s">
        <v>8</v>
      </c>
      <c r="J7859" s="1" t="str">
        <f>"27/27"</f>
        <v>27/27</v>
      </c>
      <c r="K7859" s="1" t="str">
        <f>"2026-07-29 13:18:10"</f>
        <v>2026-07-29 13:18:10</v>
      </c>
      <c r="L7859" s="1" t="str">
        <f>"2014-12-09 00:11:20"</f>
        <v>2014-12-09 00:11:20</v>
      </c>
      <c r="M7859" s="1" t="s">
        <v>45</v>
      </c>
      <c r="N7859" s="1" t="s">
        <v>38</v>
      </c>
      <c r="O7859" s="1" t="s">
        <v>46</v>
      </c>
    </row>
    <row r="7860" spans="2:15" x14ac:dyDescent="0.3">
      <c r="B7860" s="1" t="s">
        <v>21</v>
      </c>
      <c r="C7860" s="1" t="str">
        <f>"6차"</f>
        <v>6차</v>
      </c>
      <c r="D7860" s="1" t="str">
        <f>"9627H0516S"</f>
        <v>9627H0516S</v>
      </c>
      <c r="E7860" s="1" t="s">
        <v>10</v>
      </c>
      <c r="F7860" s="1" t="str">
        <f>"fde1:103:4:c785:0:0:0:2"</f>
        <v>fde1:103:4:c785:0:0:0:2</v>
      </c>
      <c r="G7860" s="1" t="str">
        <f>"9627H051"</f>
        <v>9627H051</v>
      </c>
      <c r="H7860" s="1" t="str">
        <f>"광천간 11R4R1L2"</f>
        <v>광천간 11R4R1L2</v>
      </c>
      <c r="I7860" s="1" t="s">
        <v>15</v>
      </c>
      <c r="J7860" s="1" t="str">
        <f>"102/103"</f>
        <v>102/103</v>
      </c>
      <c r="K7860" s="1" t="str">
        <f>"2026-07-29 14:21:21"</f>
        <v>2026-07-29 14:21:21</v>
      </c>
      <c r="L7860" s="1" t="str">
        <f>"2024-12-05 11:33:27"</f>
        <v>2024-12-05 11:33:27</v>
      </c>
      <c r="M7860" s="1" t="s">
        <v>4</v>
      </c>
      <c r="N7860" s="1" t="s">
        <v>38</v>
      </c>
      <c r="O7860" s="1" t="s">
        <v>46</v>
      </c>
    </row>
    <row r="7861" spans="2:15" x14ac:dyDescent="0.3">
      <c r="B7861" s="1" t="s">
        <v>21</v>
      </c>
      <c r="C7861" s="1" t="str">
        <f>"6차"</f>
        <v>6차</v>
      </c>
      <c r="D7861" s="1" t="str">
        <f>"9627H0636S"</f>
        <v>9627H0636S</v>
      </c>
      <c r="E7861" s="1" t="s">
        <v>12</v>
      </c>
      <c r="F7861" s="1" t="str">
        <f>"fde1:103:4:c767:0:0:0:2"</f>
        <v>fde1:103:4:c767:0:0:0:2</v>
      </c>
      <c r="G7861" s="1" t="str">
        <f>"9627H063"</f>
        <v>9627H063</v>
      </c>
      <c r="H7861" s="1" t="str">
        <f>"광천간 11R4R1L1"</f>
        <v>광천간 11R4R1L1</v>
      </c>
      <c r="I7861" s="1" t="s">
        <v>15</v>
      </c>
      <c r="J7861" s="1" t="str">
        <f>"0/54"</f>
        <v>0/54</v>
      </c>
      <c r="K7861" s="1" t="str">
        <f>"2025-09-04 08:21:03"</f>
        <v>2025-09-04 08:21:03</v>
      </c>
      <c r="L7861" s="1" t="str">
        <f>"2024-12-05 11:33:08"</f>
        <v>2024-12-05 11:33:08</v>
      </c>
      <c r="M7861" s="1" t="s">
        <v>4</v>
      </c>
      <c r="N7861" s="1" t="s">
        <v>38</v>
      </c>
      <c r="O7861" s="1" t="s">
        <v>46</v>
      </c>
    </row>
    <row r="7862" spans="2:15" x14ac:dyDescent="0.3">
      <c r="B7862" s="1" t="s">
        <v>21</v>
      </c>
      <c r="C7862" s="1" t="str">
        <f>"4차"</f>
        <v>4차</v>
      </c>
      <c r="D7862" s="1" t="str">
        <f>"9627H08144"</f>
        <v>9627H08144</v>
      </c>
      <c r="E7862" s="1" t="s">
        <v>10</v>
      </c>
      <c r="F7862" s="1" t="str">
        <f>"10.10.102.170"</f>
        <v>10.10.102.170</v>
      </c>
      <c r="G7862" s="1" t="str">
        <f>"9627H081"</f>
        <v>9627H081</v>
      </c>
      <c r="H7862" s="1" t="str">
        <f>"광천간 27R8R4"</f>
        <v>광천간 27R8R4</v>
      </c>
      <c r="I7862" s="1" t="s">
        <v>8</v>
      </c>
      <c r="J7862" s="1" t="str">
        <f>"78/86"</f>
        <v>78/86</v>
      </c>
      <c r="K7862" s="1" t="str">
        <f>"2026-07-29 07:18:11"</f>
        <v>2026-07-29 07:18:11</v>
      </c>
      <c r="L7862" s="1" t="str">
        <f>"2019-12-11 18:15:52"</f>
        <v>2019-12-11 18:15:52</v>
      </c>
      <c r="M7862" s="1" t="s">
        <v>1</v>
      </c>
      <c r="N7862" s="1" t="s">
        <v>38</v>
      </c>
      <c r="O7862" s="1" t="s">
        <v>46</v>
      </c>
    </row>
    <row r="7863" spans="2:15" x14ac:dyDescent="0.3">
      <c r="B7863" s="1" t="s">
        <v>21</v>
      </c>
      <c r="C7863" s="1" t="str">
        <f>"4차"</f>
        <v>4차</v>
      </c>
      <c r="D7863" s="1" t="str">
        <f>"9627H09144"</f>
        <v>9627H09144</v>
      </c>
      <c r="E7863" s="1" t="s">
        <v>10</v>
      </c>
      <c r="F7863" s="1" t="str">
        <f>"10.10.102.146"</f>
        <v>10.10.102.146</v>
      </c>
      <c r="G7863" s="1" t="str">
        <f>"9627H091"</f>
        <v>9627H091</v>
      </c>
      <c r="H7863" s="1" t="str">
        <f>"광천간 27R8R4R1"</f>
        <v>광천간 27R8R4R1</v>
      </c>
      <c r="I7863" s="1" t="s">
        <v>8</v>
      </c>
      <c r="J7863" s="1" t="str">
        <f>"38/40"</f>
        <v>38/40</v>
      </c>
      <c r="K7863" s="1" t="str">
        <f>"2026-07-29 13:18:10"</f>
        <v>2026-07-29 13:18:10</v>
      </c>
      <c r="L7863" s="1" t="str">
        <f>"2019-10-21 16:21:45"</f>
        <v>2019-10-21 16:21:45</v>
      </c>
      <c r="M7863" s="1" t="s">
        <v>1</v>
      </c>
      <c r="N7863" s="1" t="s">
        <v>38</v>
      </c>
      <c r="O7863" s="1" t="s">
        <v>46</v>
      </c>
    </row>
    <row r="7864" spans="2:15" x14ac:dyDescent="0.3">
      <c r="B7864" s="1" t="s">
        <v>21</v>
      </c>
      <c r="C7864" s="1" t="str">
        <f>"4차"</f>
        <v>4차</v>
      </c>
      <c r="D7864" s="1" t="str">
        <f>"9627H11444"</f>
        <v>9627H11444</v>
      </c>
      <c r="E7864" s="1" t="s">
        <v>10</v>
      </c>
      <c r="F7864" s="1" t="str">
        <f>"10.10.88.226"</f>
        <v>10.10.88.226</v>
      </c>
      <c r="G7864" s="1" t="str">
        <f>"9627H114"</f>
        <v>9627H114</v>
      </c>
      <c r="H7864" s="1" t="str">
        <f>"와산간 58R3R1"</f>
        <v>와산간 58R3R1</v>
      </c>
      <c r="I7864" s="1" t="s">
        <v>8</v>
      </c>
      <c r="J7864" s="1" t="str">
        <f>"28/28"</f>
        <v>28/28</v>
      </c>
      <c r="K7864" s="1" t="str">
        <f>"2026-07-29 13:18:11"</f>
        <v>2026-07-29 13:18:11</v>
      </c>
      <c r="L7864" s="1" t="str">
        <f>"2019-11-05 17:55:47"</f>
        <v>2019-11-05 17:55:47</v>
      </c>
      <c r="M7864" s="1" t="s">
        <v>1</v>
      </c>
      <c r="N7864" s="1" t="s">
        <v>38</v>
      </c>
      <c r="O7864" s="1" t="s">
        <v>46</v>
      </c>
    </row>
    <row r="7865" spans="2:15" x14ac:dyDescent="0.3">
      <c r="B7865" s="1" t="s">
        <v>21</v>
      </c>
      <c r="C7865" s="1" t="str">
        <f>"1차"</f>
        <v>1차</v>
      </c>
      <c r="D7865" s="1" t="str">
        <f>"9627H14102"</f>
        <v>9627H14102</v>
      </c>
      <c r="E7865" s="1" t="s">
        <v>10</v>
      </c>
      <c r="F7865" s="1" t="str">
        <f>"10.12.128.167"</f>
        <v>10.12.128.167</v>
      </c>
      <c r="G7865" s="1" t="str">
        <f>"9627H141"</f>
        <v>9627H141</v>
      </c>
      <c r="H7865" s="1" t="str">
        <f>"광천간 3R7"</f>
        <v>광천간 3R7</v>
      </c>
      <c r="I7865" s="1" t="s">
        <v>8</v>
      </c>
      <c r="J7865" s="1" t="str">
        <f>"54/54"</f>
        <v>54/54</v>
      </c>
      <c r="K7865" s="1" t="str">
        <f>"2026-07-29 13:18:11"</f>
        <v>2026-07-29 13:18:11</v>
      </c>
      <c r="L7865" s="1" t="str">
        <f>"2014-11-19 16:09:16"</f>
        <v>2014-11-19 16:09:16</v>
      </c>
      <c r="M7865" s="1" t="s">
        <v>0</v>
      </c>
      <c r="N7865" s="1" t="s">
        <v>38</v>
      </c>
      <c r="O7865" s="1" t="s">
        <v>46</v>
      </c>
    </row>
    <row r="7866" spans="2:15" x14ac:dyDescent="0.3">
      <c r="B7866" s="1" t="s">
        <v>21</v>
      </c>
      <c r="C7866" s="1" t="str">
        <f>"3차"</f>
        <v>3차</v>
      </c>
      <c r="D7866" s="1" t="str">
        <f>"9627H14239"</f>
        <v>9627H14239</v>
      </c>
      <c r="E7866" s="1" t="s">
        <v>10</v>
      </c>
      <c r="F7866" s="1" t="str">
        <f>"10.128.73.114"</f>
        <v>10.128.73.114</v>
      </c>
      <c r="G7866" s="1" t="str">
        <f>"9627H142"</f>
        <v>9627H142</v>
      </c>
      <c r="H7866" s="1" t="str">
        <f>"광천간 11R7R1"</f>
        <v>광천간 11R7R1</v>
      </c>
      <c r="I7866" s="1" t="s">
        <v>8</v>
      </c>
      <c r="J7866" s="1" t="str">
        <f>"3/3"</f>
        <v>3/3</v>
      </c>
      <c r="K7866" s="1" t="str">
        <f>"2026-07-29 13:18:11"</f>
        <v>2026-07-29 13:18:11</v>
      </c>
      <c r="L7866" s="1" t="str">
        <f>"2018-01-20 13:04:10"</f>
        <v>2018-01-20 13:04:10</v>
      </c>
      <c r="M7866" s="1" t="s">
        <v>45</v>
      </c>
      <c r="N7866" s="1" t="s">
        <v>38</v>
      </c>
      <c r="O7866" s="1" t="s">
        <v>46</v>
      </c>
    </row>
    <row r="7867" spans="2:15" x14ac:dyDescent="0.3">
      <c r="B7867" s="1" t="s">
        <v>21</v>
      </c>
      <c r="C7867" s="1" t="str">
        <f>"4차"</f>
        <v>4차</v>
      </c>
      <c r="D7867" s="1" t="str">
        <f>"9627H18144"</f>
        <v>9627H18144</v>
      </c>
      <c r="E7867" s="1" t="s">
        <v>10</v>
      </c>
      <c r="F7867" s="1" t="str">
        <f>"10.10.102.186"</f>
        <v>10.10.102.186</v>
      </c>
      <c r="G7867" s="1" t="str">
        <f>"9627H181"</f>
        <v>9627H181</v>
      </c>
      <c r="H7867" s="1" t="str">
        <f>"광천간 27R8R3"</f>
        <v>광천간 27R8R3</v>
      </c>
      <c r="I7867" s="1" t="s">
        <v>8</v>
      </c>
      <c r="J7867" s="1" t="str">
        <f>"61/63"</f>
        <v>61/63</v>
      </c>
      <c r="K7867" s="1" t="str">
        <f>"2026-07-29 13:18:10"</f>
        <v>2026-07-29 13:18:10</v>
      </c>
      <c r="L7867" s="1" t="str">
        <f>"2019-10-21 16:27:14"</f>
        <v>2019-10-21 16:27:14</v>
      </c>
      <c r="M7867" s="1" t="s">
        <v>1</v>
      </c>
      <c r="N7867" s="1" t="s">
        <v>38</v>
      </c>
      <c r="O7867" s="1" t="s">
        <v>46</v>
      </c>
    </row>
    <row r="7868" spans="2:15" x14ac:dyDescent="0.3">
      <c r="B7868" s="1" t="s">
        <v>21</v>
      </c>
      <c r="C7868" s="1" t="str">
        <f>"3차"</f>
        <v>3차</v>
      </c>
      <c r="D7868" s="1" t="str">
        <f>"9627H21139"</f>
        <v>9627H21139</v>
      </c>
      <c r="E7868" s="1" t="s">
        <v>10</v>
      </c>
      <c r="F7868" s="1" t="str">
        <f>"10.128.67.22"</f>
        <v>10.128.67.22</v>
      </c>
      <c r="G7868" s="1" t="str">
        <f>"9627H211"</f>
        <v>9627H211</v>
      </c>
      <c r="H7868" s="1" t="str">
        <f>"와산간 61"</f>
        <v>와산간 61</v>
      </c>
      <c r="I7868" s="1" t="s">
        <v>8</v>
      </c>
      <c r="J7868" s="1" t="str">
        <f>"16/16"</f>
        <v>16/16</v>
      </c>
      <c r="K7868" s="1" t="str">
        <f>"2026-07-29 13:18:10"</f>
        <v>2026-07-29 13:18:10</v>
      </c>
      <c r="L7868" s="1" t="str">
        <f>"2018-02-21 15:11:40"</f>
        <v>2018-02-21 15:11:40</v>
      </c>
      <c r="M7868" s="1" t="s">
        <v>45</v>
      </c>
      <c r="N7868" s="1" t="s">
        <v>38</v>
      </c>
      <c r="O7868" s="1" t="s">
        <v>46</v>
      </c>
    </row>
    <row r="7869" spans="2:15" x14ac:dyDescent="0.3">
      <c r="B7869" s="1" t="s">
        <v>21</v>
      </c>
      <c r="C7869" s="1" t="str">
        <f>"4차"</f>
        <v>4차</v>
      </c>
      <c r="D7869" s="1" t="str">
        <f>"9627H21239"</f>
        <v>9627H21239</v>
      </c>
      <c r="E7869" s="1" t="s">
        <v>10</v>
      </c>
      <c r="F7869" s="1" t="str">
        <f>"10.128.67.27"</f>
        <v>10.128.67.27</v>
      </c>
      <c r="G7869" s="1" t="str">
        <f>"9627H212"</f>
        <v>9627H212</v>
      </c>
      <c r="H7869" s="1" t="str">
        <f>"와산간 61L1"</f>
        <v>와산간 61L1</v>
      </c>
      <c r="I7869" s="1" t="s">
        <v>8</v>
      </c>
      <c r="J7869" s="1" t="str">
        <f>"2/2"</f>
        <v>2/2</v>
      </c>
      <c r="K7869" s="1" t="str">
        <f>"2026-07-29 13:18:10"</f>
        <v>2026-07-29 13:18:10</v>
      </c>
      <c r="L7869" s="1" t="str">
        <f>"2018-03-30 11:22:55"</f>
        <v>2018-03-30 11:22:55</v>
      </c>
      <c r="M7869" s="1" t="s">
        <v>45</v>
      </c>
      <c r="N7869" s="1" t="s">
        <v>38</v>
      </c>
      <c r="O7869" s="1" t="s">
        <v>46</v>
      </c>
    </row>
    <row r="7870" spans="2:15" x14ac:dyDescent="0.3">
      <c r="B7870" s="1" t="s">
        <v>21</v>
      </c>
      <c r="C7870" s="1" t="str">
        <f>"3차"</f>
        <v>3차</v>
      </c>
      <c r="D7870" s="1" t="str">
        <f>"9627H21339"</f>
        <v>9627H21339</v>
      </c>
      <c r="E7870" s="1" t="s">
        <v>10</v>
      </c>
      <c r="F7870" s="1" t="str">
        <f>"10.12.128.22"</f>
        <v>10.12.128.22</v>
      </c>
      <c r="G7870" s="1" t="str">
        <f>"9627H213"</f>
        <v>9627H213</v>
      </c>
      <c r="H7870" s="1" t="str">
        <f>"와산간 60"</f>
        <v>와산간 60</v>
      </c>
      <c r="I7870" s="1" t="s">
        <v>8</v>
      </c>
      <c r="J7870" s="1" t="str">
        <f>"3/3"</f>
        <v>3/3</v>
      </c>
      <c r="K7870" s="1" t="str">
        <f>"2026-07-29 13:18:11"</f>
        <v>2026-07-29 13:18:11</v>
      </c>
      <c r="L7870" s="1" t="str">
        <f>"2018-03-29 10:43:43"</f>
        <v>2018-03-29 10:43:43</v>
      </c>
      <c r="M7870" s="1" t="s">
        <v>0</v>
      </c>
      <c r="N7870" s="1" t="s">
        <v>38</v>
      </c>
      <c r="O7870" s="1" t="s">
        <v>46</v>
      </c>
    </row>
    <row r="7871" spans="2:15" x14ac:dyDescent="0.3">
      <c r="B7871" s="1" t="s">
        <v>21</v>
      </c>
      <c r="C7871" s="1" t="str">
        <f>"3차"</f>
        <v>3차</v>
      </c>
      <c r="D7871" s="1" t="str">
        <f>"9627H22139"</f>
        <v>9627H22139</v>
      </c>
      <c r="E7871" s="1" t="s">
        <v>10</v>
      </c>
      <c r="F7871" s="1" t="str">
        <f>"10.128.67.28"</f>
        <v>10.128.67.28</v>
      </c>
      <c r="G7871" s="1" t="str">
        <f>"9627H221"</f>
        <v>9627H221</v>
      </c>
      <c r="H7871" s="1" t="str">
        <f>"와산간 59"</f>
        <v>와산간 59</v>
      </c>
      <c r="I7871" s="1" t="s">
        <v>8</v>
      </c>
      <c r="J7871" s="1" t="str">
        <f>"2/2"</f>
        <v>2/2</v>
      </c>
      <c r="K7871" s="1" t="str">
        <f>"2026-07-29 13:18:10"</f>
        <v>2026-07-29 13:18:10</v>
      </c>
      <c r="L7871" s="1" t="str">
        <f>"2018-04-06 10:27:24"</f>
        <v>2018-04-06 10:27:24</v>
      </c>
      <c r="M7871" s="1" t="s">
        <v>45</v>
      </c>
      <c r="N7871" s="1" t="s">
        <v>38</v>
      </c>
      <c r="O7871" s="1" t="s">
        <v>46</v>
      </c>
    </row>
    <row r="7872" spans="2:15" x14ac:dyDescent="0.3">
      <c r="B7872" s="1" t="s">
        <v>21</v>
      </c>
      <c r="C7872" s="1" t="str">
        <f>"3차"</f>
        <v>3차</v>
      </c>
      <c r="D7872" s="1" t="str">
        <f>"9627H23239"</f>
        <v>9627H23239</v>
      </c>
      <c r="E7872" s="1" t="s">
        <v>10</v>
      </c>
      <c r="F7872" s="1" t="str">
        <f>"10.128.73.178"</f>
        <v>10.128.73.178</v>
      </c>
      <c r="G7872" s="1" t="str">
        <f>"9627H232"</f>
        <v>9627H232</v>
      </c>
      <c r="H7872" s="1" t="str">
        <f>"백암간 3"</f>
        <v>백암간 3</v>
      </c>
      <c r="I7872" s="1" t="s">
        <v>8</v>
      </c>
      <c r="J7872" s="1" t="str">
        <f>"20/20"</f>
        <v>20/20</v>
      </c>
      <c r="K7872" s="1" t="str">
        <f>"2026-07-29 13:18:10"</f>
        <v>2026-07-29 13:18:10</v>
      </c>
      <c r="L7872" s="1" t="str">
        <f>"2018-01-31 17:29:57"</f>
        <v>2018-01-31 17:29:57</v>
      </c>
      <c r="M7872" s="1" t="s">
        <v>45</v>
      </c>
      <c r="N7872" s="1" t="s">
        <v>38</v>
      </c>
      <c r="O7872" s="1" t="s">
        <v>46</v>
      </c>
    </row>
    <row r="7873" spans="2:15" x14ac:dyDescent="0.3">
      <c r="B7873" s="1" t="s">
        <v>21</v>
      </c>
      <c r="C7873" s="1" t="str">
        <f>"3차"</f>
        <v>3차</v>
      </c>
      <c r="D7873" s="1" t="str">
        <f>"9627H24239"</f>
        <v>9627H24239</v>
      </c>
      <c r="E7873" s="1" t="s">
        <v>10</v>
      </c>
      <c r="F7873" s="1" t="str">
        <f>"10.128.73.19"</f>
        <v>10.128.73.19</v>
      </c>
      <c r="G7873" s="1" t="str">
        <f>"9627H242"</f>
        <v>9627H242</v>
      </c>
      <c r="H7873" s="1" t="str">
        <f>"광천간 28R11"</f>
        <v>광천간 28R11</v>
      </c>
      <c r="I7873" s="1" t="s">
        <v>8</v>
      </c>
      <c r="J7873" s="1" t="str">
        <f>"23/23"</f>
        <v>23/23</v>
      </c>
      <c r="K7873" s="1" t="str">
        <f>"2026-07-29 13:18:10"</f>
        <v>2026-07-29 13:18:10</v>
      </c>
      <c r="L7873" s="1" t="str">
        <f>"2018-01-10 09:39:39"</f>
        <v>2018-01-10 09:39:39</v>
      </c>
      <c r="M7873" s="1" t="s">
        <v>45</v>
      </c>
      <c r="N7873" s="1" t="s">
        <v>38</v>
      </c>
      <c r="O7873" s="1" t="s">
        <v>46</v>
      </c>
    </row>
    <row r="7874" spans="2:15" x14ac:dyDescent="0.3">
      <c r="B7874" s="1" t="s">
        <v>21</v>
      </c>
      <c r="C7874" s="1" t="str">
        <f>"6차"</f>
        <v>6차</v>
      </c>
      <c r="D7874" s="1" t="str">
        <f>"9627H2516S"</f>
        <v>9627H2516S</v>
      </c>
      <c r="E7874" s="1" t="s">
        <v>10</v>
      </c>
      <c r="F7874" s="1" t="str">
        <f>"fde1:103:4:c7ca:0:0:0:2"</f>
        <v>fde1:103:4:c7ca:0:0:0:2</v>
      </c>
      <c r="G7874" s="1" t="str">
        <f>"9627H251"</f>
        <v>9627H251</v>
      </c>
      <c r="H7874" s="1" t="str">
        <f>"광천간 28R9"</f>
        <v>광천간 28R9</v>
      </c>
      <c r="I7874" s="1" t="s">
        <v>15</v>
      </c>
      <c r="J7874" s="1" t="str">
        <f>"76/80"</f>
        <v>76/80</v>
      </c>
      <c r="K7874" s="1" t="str">
        <f>"2026-07-29 14:21:24"</f>
        <v>2026-07-29 14:21:24</v>
      </c>
      <c r="L7874" s="1" t="str">
        <f>"2024-12-05 11:33:19"</f>
        <v>2024-12-05 11:33:19</v>
      </c>
      <c r="M7874" s="1" t="s">
        <v>4</v>
      </c>
      <c r="N7874" s="1" t="s">
        <v>38</v>
      </c>
      <c r="O7874" s="1" t="s">
        <v>46</v>
      </c>
    </row>
    <row r="7875" spans="2:15" x14ac:dyDescent="0.3">
      <c r="B7875" s="1" t="s">
        <v>21</v>
      </c>
      <c r="C7875" s="1" t="str">
        <f>"3차"</f>
        <v>3차</v>
      </c>
      <c r="D7875" s="1" t="str">
        <f>"9627H25231"</f>
        <v>9627H25231</v>
      </c>
      <c r="E7875" s="1" t="s">
        <v>10</v>
      </c>
      <c r="F7875" s="1" t="str">
        <f>"10.128.67.179"</f>
        <v>10.128.67.179</v>
      </c>
      <c r="G7875" s="1" t="str">
        <f>"9627H252"</f>
        <v>9627H252</v>
      </c>
      <c r="H7875" s="1" t="str">
        <f>"광천간 27R13"</f>
        <v>광천간 27R13</v>
      </c>
      <c r="I7875" s="1" t="s">
        <v>8</v>
      </c>
      <c r="J7875" s="1" t="str">
        <f>"10/10"</f>
        <v>10/10</v>
      </c>
      <c r="K7875" s="1" t="str">
        <f>"2026-07-29 13:18:10"</f>
        <v>2026-07-29 13:18:10</v>
      </c>
      <c r="L7875" s="1" t="str">
        <f>"2017-12-28 16:07:10"</f>
        <v>2017-12-28 16:07:10</v>
      </c>
      <c r="M7875" s="1" t="s">
        <v>45</v>
      </c>
      <c r="N7875" s="1" t="s">
        <v>38</v>
      </c>
      <c r="O7875" s="1" t="s">
        <v>46</v>
      </c>
    </row>
    <row r="7876" spans="2:15" x14ac:dyDescent="0.3">
      <c r="B7876" s="1" t="s">
        <v>21</v>
      </c>
      <c r="C7876" s="1" t="str">
        <f>"3차"</f>
        <v>3차</v>
      </c>
      <c r="D7876" s="1" t="str">
        <f>"9627H26230"</f>
        <v>9627H26230</v>
      </c>
      <c r="E7876" s="1" t="s">
        <v>10</v>
      </c>
      <c r="F7876" s="1" t="str">
        <f>"10.128.67.178"</f>
        <v>10.128.67.178</v>
      </c>
      <c r="G7876" s="1" t="str">
        <f>"9627H262"</f>
        <v>9627H262</v>
      </c>
      <c r="H7876" s="1" t="str">
        <f>"광천간 27R11"</f>
        <v>광천간 27R11</v>
      </c>
      <c r="I7876" s="1" t="s">
        <v>8</v>
      </c>
      <c r="J7876" s="1" t="str">
        <f>"1/1"</f>
        <v>1/1</v>
      </c>
      <c r="K7876" s="1" t="str">
        <f>"2026-07-29 13:18:10"</f>
        <v>2026-07-29 13:18:10</v>
      </c>
      <c r="L7876" s="1" t="str">
        <f>"2017-12-28 16:01:10"</f>
        <v>2017-12-28 16:01:10</v>
      </c>
      <c r="M7876" s="1" t="s">
        <v>45</v>
      </c>
      <c r="N7876" s="1" t="s">
        <v>38</v>
      </c>
      <c r="O7876" s="1" t="s">
        <v>46</v>
      </c>
    </row>
    <row r="7877" spans="2:15" x14ac:dyDescent="0.3">
      <c r="B7877" s="1" t="s">
        <v>21</v>
      </c>
      <c r="C7877" s="1" t="str">
        <f>"4차"</f>
        <v>4차</v>
      </c>
      <c r="D7877" s="1" t="str">
        <f>"9627H27244"</f>
        <v>9627H27244</v>
      </c>
      <c r="E7877" s="1" t="s">
        <v>10</v>
      </c>
      <c r="F7877" s="1" t="str">
        <f>"10.10.102.210"</f>
        <v>10.10.102.210</v>
      </c>
      <c r="G7877" s="1" t="str">
        <f>"9627H272"</f>
        <v>9627H272</v>
      </c>
      <c r="H7877" s="1" t="str">
        <f>"광천간 27R8R1"</f>
        <v>광천간 27R8R1</v>
      </c>
      <c r="I7877" s="1" t="s">
        <v>8</v>
      </c>
      <c r="J7877" s="1" t="str">
        <f>"22/22"</f>
        <v>22/22</v>
      </c>
      <c r="K7877" s="1" t="str">
        <f>"2026-07-29 13:18:10"</f>
        <v>2026-07-29 13:18:10</v>
      </c>
      <c r="L7877" s="1" t="str">
        <f>"2019-10-21 16:26:00"</f>
        <v>2019-10-21 16:26:00</v>
      </c>
      <c r="M7877" s="1" t="s">
        <v>1</v>
      </c>
      <c r="N7877" s="1" t="s">
        <v>38</v>
      </c>
      <c r="O7877" s="1" t="s">
        <v>46</v>
      </c>
    </row>
    <row r="7878" spans="2:15" x14ac:dyDescent="0.3">
      <c r="B7878" s="1" t="s">
        <v>21</v>
      </c>
      <c r="C7878" s="1" t="str">
        <f>"4차"</f>
        <v>4차</v>
      </c>
      <c r="D7878" s="1" t="str">
        <f>"9627H28244"</f>
        <v>9627H28244</v>
      </c>
      <c r="E7878" s="1" t="s">
        <v>10</v>
      </c>
      <c r="F7878" s="1" t="str">
        <f>"10.10.102.234"</f>
        <v>10.10.102.234</v>
      </c>
      <c r="G7878" s="1" t="str">
        <f>"9627H282"</f>
        <v>9627H282</v>
      </c>
      <c r="H7878" s="1" t="str">
        <f>"광천간 27R7"</f>
        <v>광천간 27R7</v>
      </c>
      <c r="I7878" s="1" t="s">
        <v>8</v>
      </c>
      <c r="J7878" s="1" t="str">
        <f>"30/31"</f>
        <v>30/31</v>
      </c>
      <c r="K7878" s="1" t="str">
        <f>"2026-07-29 13:18:10"</f>
        <v>2026-07-29 13:18:10</v>
      </c>
      <c r="L7878" s="1" t="str">
        <f>"2019-10-21 16:44:31"</f>
        <v>2019-10-21 16:44:31</v>
      </c>
      <c r="M7878" s="1" t="s">
        <v>1</v>
      </c>
      <c r="N7878" s="1" t="s">
        <v>38</v>
      </c>
      <c r="O7878" s="1" t="s">
        <v>46</v>
      </c>
    </row>
    <row r="7879" spans="2:15" x14ac:dyDescent="0.3">
      <c r="B7879" s="1" t="s">
        <v>21</v>
      </c>
      <c r="C7879" s="1" t="str">
        <f>"4차"</f>
        <v>4차</v>
      </c>
      <c r="D7879" s="1" t="str">
        <f>"9627H29144"</f>
        <v>9627H29144</v>
      </c>
      <c r="E7879" s="1" t="s">
        <v>14</v>
      </c>
      <c r="F7879" s="1" t="str">
        <f>"10.10.102.250"</f>
        <v>10.10.102.250</v>
      </c>
      <c r="G7879" s="1" t="str">
        <f>"9627H291"</f>
        <v>9627H291</v>
      </c>
      <c r="H7879" s="1" t="str">
        <f>"광천간 27R5R1"</f>
        <v>광천간 27R5R1</v>
      </c>
      <c r="I7879" s="1" t="s">
        <v>8</v>
      </c>
      <c r="J7879" s="1" t="str">
        <f>"0/0"</f>
        <v>0/0</v>
      </c>
      <c r="K7879" s="1" t="str">
        <f>"2026-01-26 13:21:10"</f>
        <v>2026-01-26 13:21:10</v>
      </c>
      <c r="L7879" s="1" t="str">
        <f>"2019-10-21 16:15:44"</f>
        <v>2019-10-21 16:15:44</v>
      </c>
      <c r="M7879" s="1" t="s">
        <v>1</v>
      </c>
      <c r="N7879" s="1" t="s">
        <v>44</v>
      </c>
      <c r="O7879" s="1" t="s">
        <v>44</v>
      </c>
    </row>
    <row r="7880" spans="2:15" x14ac:dyDescent="0.3">
      <c r="B7880" s="1" t="s">
        <v>21</v>
      </c>
      <c r="C7880" s="1" t="str">
        <f>"6차"</f>
        <v>6차</v>
      </c>
      <c r="D7880" s="1" t="str">
        <f>"9627H3016S"</f>
        <v>9627H3016S</v>
      </c>
      <c r="E7880" s="1" t="s">
        <v>10</v>
      </c>
      <c r="F7880" s="1" t="str">
        <f>"fde1:103:4:c81b:0:0:0:2"</f>
        <v>fde1:103:4:c81b:0:0:0:2</v>
      </c>
      <c r="G7880" s="1" t="str">
        <f>"9627H301"</f>
        <v>9627H301</v>
      </c>
      <c r="H7880" s="1" t="str">
        <f>"홍은간 52L2"</f>
        <v>홍은간 52L2</v>
      </c>
      <c r="I7880" s="1" t="s">
        <v>15</v>
      </c>
      <c r="J7880" s="1" t="str">
        <f>"26/26"</f>
        <v>26/26</v>
      </c>
      <c r="K7880" s="1" t="str">
        <f>"2026-07-29 14:20:35"</f>
        <v>2026-07-29 14:20:35</v>
      </c>
      <c r="L7880" s="1" t="str">
        <f>"2025-01-17 17:37:10"</f>
        <v>2025-01-17 17:37:10</v>
      </c>
      <c r="M7880" s="1" t="s">
        <v>4</v>
      </c>
      <c r="N7880" s="1" t="s">
        <v>38</v>
      </c>
      <c r="O7880" s="1" t="s">
        <v>46</v>
      </c>
    </row>
    <row r="7881" spans="2:15" x14ac:dyDescent="0.3">
      <c r="B7881" s="1" t="s">
        <v>21</v>
      </c>
      <c r="C7881" s="1" t="str">
        <f>"4차"</f>
        <v>4차</v>
      </c>
      <c r="D7881" s="1" t="str">
        <f>"9627H31339"</f>
        <v>9627H31339</v>
      </c>
      <c r="E7881" s="1" t="s">
        <v>10</v>
      </c>
      <c r="F7881" s="1" t="str">
        <f>"10.128.67.29"</f>
        <v>10.128.67.29</v>
      </c>
      <c r="G7881" s="1" t="str">
        <f>"9627H313"</f>
        <v>9627H313</v>
      </c>
      <c r="H7881" s="1" t="str">
        <f>"와산간 58L5"</f>
        <v>와산간 58L5</v>
      </c>
      <c r="I7881" s="1" t="s">
        <v>8</v>
      </c>
      <c r="J7881" s="1" t="str">
        <f>"9/9"</f>
        <v>9/9</v>
      </c>
      <c r="K7881" s="1" t="str">
        <f>"2026-07-29 13:18:10"</f>
        <v>2026-07-29 13:18:10</v>
      </c>
      <c r="L7881" s="1" t="str">
        <f>"2018-04-19 14:20:11"</f>
        <v>2018-04-19 14:20:11</v>
      </c>
      <c r="M7881" s="1" t="s">
        <v>45</v>
      </c>
      <c r="N7881" s="1" t="s">
        <v>38</v>
      </c>
      <c r="O7881" s="1" t="s">
        <v>46</v>
      </c>
    </row>
    <row r="7882" spans="2:15" x14ac:dyDescent="0.3">
      <c r="B7882" s="1" t="s">
        <v>21</v>
      </c>
      <c r="C7882" s="1" t="str">
        <f>"3차"</f>
        <v>3차</v>
      </c>
      <c r="D7882" s="1" t="str">
        <f>"9627H32339"</f>
        <v>9627H32339</v>
      </c>
      <c r="E7882" s="1" t="s">
        <v>10</v>
      </c>
      <c r="F7882" s="1" t="str">
        <f>"10.128.67.147"</f>
        <v>10.128.67.147</v>
      </c>
      <c r="G7882" s="1" t="str">
        <f>"9627H323"</f>
        <v>9627H323</v>
      </c>
      <c r="H7882" s="1" t="str">
        <f>"와산간 58L3"</f>
        <v>와산간 58L3</v>
      </c>
      <c r="I7882" s="1" t="s">
        <v>8</v>
      </c>
      <c r="J7882" s="1" t="str">
        <f>"14/16"</f>
        <v>14/16</v>
      </c>
      <c r="K7882" s="1" t="str">
        <f>"2026-07-29 13:18:10"</f>
        <v>2026-07-29 13:18:10</v>
      </c>
      <c r="L7882" s="1" t="str">
        <f>"2018-02-21 15:46:10"</f>
        <v>2018-02-21 15:46:10</v>
      </c>
      <c r="M7882" s="1" t="s">
        <v>45</v>
      </c>
      <c r="N7882" s="1" t="s">
        <v>38</v>
      </c>
      <c r="O7882" s="1" t="s">
        <v>46</v>
      </c>
    </row>
    <row r="7883" spans="2:15" x14ac:dyDescent="0.3">
      <c r="B7883" s="1" t="s">
        <v>21</v>
      </c>
      <c r="C7883" s="1" t="str">
        <f>"3차"</f>
        <v>3차</v>
      </c>
      <c r="D7883" s="1" t="str">
        <f>"9627H32439"</f>
        <v>9627H32439</v>
      </c>
      <c r="E7883" s="1" t="s">
        <v>10</v>
      </c>
      <c r="F7883" s="1" t="str">
        <f>"10.128.67.148"</f>
        <v>10.128.67.148</v>
      </c>
      <c r="G7883" s="1" t="str">
        <f>"9627H324"</f>
        <v>9627H324</v>
      </c>
      <c r="H7883" s="1" t="str">
        <f>"홍은간 53"</f>
        <v>홍은간 53</v>
      </c>
      <c r="I7883" s="1" t="s">
        <v>8</v>
      </c>
      <c r="J7883" s="1" t="str">
        <f>"19/19"</f>
        <v>19/19</v>
      </c>
      <c r="K7883" s="1" t="str">
        <f>"2026-07-29 13:18:10"</f>
        <v>2026-07-29 13:18:10</v>
      </c>
      <c r="L7883" s="1" t="str">
        <f>"2018-03-30 10:26:39"</f>
        <v>2018-03-30 10:26:39</v>
      </c>
      <c r="M7883" s="1" t="s">
        <v>45</v>
      </c>
      <c r="N7883" s="1" t="s">
        <v>38</v>
      </c>
      <c r="O7883" s="1" t="s">
        <v>46</v>
      </c>
    </row>
    <row r="7884" spans="2:15" x14ac:dyDescent="0.3">
      <c r="B7884" s="1" t="s">
        <v>21</v>
      </c>
      <c r="C7884" s="1" t="str">
        <f>"6차"</f>
        <v>6차</v>
      </c>
      <c r="D7884" s="1" t="str">
        <f>"9627H3616S"</f>
        <v>9627H3616S</v>
      </c>
      <c r="E7884" s="1" t="s">
        <v>10</v>
      </c>
      <c r="F7884" s="1" t="str">
        <f>"fde1:103:4:c7b2:0:0:0:2"</f>
        <v>fde1:103:4:c7b2:0:0:0:2</v>
      </c>
      <c r="G7884" s="1" t="str">
        <f>"9627H361"</f>
        <v>9627H361</v>
      </c>
      <c r="H7884" s="1" t="str">
        <f>"광천간 28R8"</f>
        <v>광천간 28R8</v>
      </c>
      <c r="I7884" s="1" t="s">
        <v>15</v>
      </c>
      <c r="J7884" s="1" t="str">
        <f>"106/108"</f>
        <v>106/108</v>
      </c>
      <c r="K7884" s="1" t="str">
        <f>"2026-07-29 14:21:20"</f>
        <v>2026-07-29 14:21:20</v>
      </c>
      <c r="L7884" s="1" t="str">
        <f>"2024-12-05 11:33:21"</f>
        <v>2024-12-05 11:33:21</v>
      </c>
      <c r="M7884" s="1" t="s">
        <v>4</v>
      </c>
      <c r="N7884" s="1" t="s">
        <v>38</v>
      </c>
      <c r="O7884" s="1" t="s">
        <v>46</v>
      </c>
    </row>
    <row r="7885" spans="2:15" x14ac:dyDescent="0.3">
      <c r="B7885" s="1" t="s">
        <v>21</v>
      </c>
      <c r="C7885" s="1" t="str">
        <f>"6차"</f>
        <v>6차</v>
      </c>
      <c r="D7885" s="1" t="str">
        <f>"9627H3916S"</f>
        <v>9627H3916S</v>
      </c>
      <c r="E7885" s="1" t="s">
        <v>10</v>
      </c>
      <c r="F7885" s="1" t="str">
        <f>"fde3:102:1303:2803:0:0:0:2"</f>
        <v>fde3:102:1303:2803:0:0:0:2</v>
      </c>
      <c r="G7885" s="1" t="str">
        <f>"9627H391"</f>
        <v>9627H391</v>
      </c>
      <c r="H7885" s="1" t="str">
        <f>"광천간 27R5"</f>
        <v>광천간 27R5</v>
      </c>
      <c r="I7885" s="1" t="s">
        <v>15</v>
      </c>
      <c r="J7885" s="1" t="str">
        <f>"47/50"</f>
        <v>47/50</v>
      </c>
      <c r="K7885" s="1" t="str">
        <f>"2026-07-29 14:21:21"</f>
        <v>2026-07-29 14:21:21</v>
      </c>
      <c r="L7885" s="1" t="str">
        <f>"2024-11-22 14:40:38"</f>
        <v>2024-11-22 14:40:38</v>
      </c>
      <c r="M7885" s="1" t="s">
        <v>45</v>
      </c>
      <c r="N7885" s="1" t="s">
        <v>38</v>
      </c>
      <c r="O7885" s="1" t="s">
        <v>46</v>
      </c>
    </row>
    <row r="7886" spans="2:15" x14ac:dyDescent="0.3">
      <c r="B7886" s="1" t="s">
        <v>21</v>
      </c>
      <c r="C7886" s="1" t="str">
        <f>"4차"</f>
        <v>4차</v>
      </c>
      <c r="D7886" s="1" t="str">
        <f>"9627H39344"</f>
        <v>9627H39344</v>
      </c>
      <c r="E7886" s="1" t="s">
        <v>10</v>
      </c>
      <c r="F7886" s="1" t="str">
        <f>"10.10.104.50"</f>
        <v>10.10.104.50</v>
      </c>
      <c r="G7886" s="1" t="str">
        <f>"9627H393"</f>
        <v>9627H393</v>
      </c>
      <c r="H7886" s="1" t="str">
        <f>"광천간 27R4"</f>
        <v>광천간 27R4</v>
      </c>
      <c r="I7886" s="1" t="s">
        <v>8</v>
      </c>
      <c r="J7886" s="1" t="str">
        <f>"33/33"</f>
        <v>33/33</v>
      </c>
      <c r="K7886" s="1" t="str">
        <f>"2026-07-29 13:18:10"</f>
        <v>2026-07-29 13:18:10</v>
      </c>
      <c r="L7886" s="1" t="str">
        <f>"2019-09-30 11:40:58"</f>
        <v>2019-09-30 11:40:58</v>
      </c>
      <c r="M7886" s="1" t="s">
        <v>1</v>
      </c>
      <c r="N7886" s="1" t="s">
        <v>38</v>
      </c>
      <c r="O7886" s="1" t="s">
        <v>46</v>
      </c>
    </row>
    <row r="7887" spans="2:15" x14ac:dyDescent="0.3">
      <c r="B7887" s="1" t="s">
        <v>21</v>
      </c>
      <c r="C7887" s="1" t="str">
        <f>"3차"</f>
        <v>3차</v>
      </c>
      <c r="D7887" s="1" t="str">
        <f>"9627H41139"</f>
        <v>9627H41139</v>
      </c>
      <c r="E7887" s="1" t="s">
        <v>10</v>
      </c>
      <c r="F7887" s="1" t="str">
        <f>"10.128.67.35"</f>
        <v>10.128.67.35</v>
      </c>
      <c r="G7887" s="1" t="str">
        <f>"9627H411"</f>
        <v>9627H411</v>
      </c>
      <c r="H7887" s="1" t="str">
        <f>"홍은간 51"</f>
        <v>홍은간 51</v>
      </c>
      <c r="I7887" s="1" t="s">
        <v>8</v>
      </c>
      <c r="J7887" s="1" t="str">
        <f>"28/33"</f>
        <v>28/33</v>
      </c>
      <c r="K7887" s="1" t="str">
        <f>"2026-07-29 13:18:10"</f>
        <v>2026-07-29 13:18:10</v>
      </c>
      <c r="L7887" s="1" t="str">
        <f>"2018-03-30 11:43:41"</f>
        <v>2018-03-30 11:43:41</v>
      </c>
      <c r="M7887" s="1" t="s">
        <v>45</v>
      </c>
      <c r="N7887" s="1" t="s">
        <v>38</v>
      </c>
      <c r="O7887" s="1" t="s">
        <v>46</v>
      </c>
    </row>
    <row r="7888" spans="2:15" x14ac:dyDescent="0.3">
      <c r="B7888" s="1" t="s">
        <v>21</v>
      </c>
      <c r="C7888" s="1" t="str">
        <f>"3차"</f>
        <v>3차</v>
      </c>
      <c r="D7888" s="1" t="str">
        <f>"9627H41339"</f>
        <v>9627H41339</v>
      </c>
      <c r="E7888" s="1" t="s">
        <v>10</v>
      </c>
      <c r="F7888" s="1" t="str">
        <f>"10.128.67.229"</f>
        <v>10.128.67.229</v>
      </c>
      <c r="G7888" s="1" t="str">
        <f>"9627H413"</f>
        <v>9627H413</v>
      </c>
      <c r="H7888" s="1" t="str">
        <f>"백암간 8"</f>
        <v>백암간 8</v>
      </c>
      <c r="I7888" s="1" t="s">
        <v>8</v>
      </c>
      <c r="J7888" s="1" t="str">
        <f>"23/23"</f>
        <v>23/23</v>
      </c>
      <c r="K7888" s="1" t="str">
        <f>"2026-07-29 13:18:10"</f>
        <v>2026-07-29 13:18:10</v>
      </c>
      <c r="L7888" s="1" t="str">
        <f>"2018-01-31 17:18:12"</f>
        <v>2018-01-31 17:18:12</v>
      </c>
      <c r="M7888" s="1" t="s">
        <v>45</v>
      </c>
      <c r="N7888" s="1" t="s">
        <v>38</v>
      </c>
      <c r="O7888" s="1" t="s">
        <v>46</v>
      </c>
    </row>
    <row r="7889" spans="2:15" x14ac:dyDescent="0.3">
      <c r="B7889" s="1" t="s">
        <v>21</v>
      </c>
      <c r="C7889" s="1" t="str">
        <f>"3차"</f>
        <v>3차</v>
      </c>
      <c r="D7889" s="1" t="str">
        <f>"9627H42139"</f>
        <v>9627H42139</v>
      </c>
      <c r="E7889" s="1" t="s">
        <v>10</v>
      </c>
      <c r="F7889" s="1" t="str">
        <f>"10.128.67.228"</f>
        <v>10.128.67.228</v>
      </c>
      <c r="G7889" s="1" t="str">
        <f>"9627H421"</f>
        <v>9627H421</v>
      </c>
      <c r="H7889" s="1" t="str">
        <f>"백암간 7L1"</f>
        <v>백암간 7L1</v>
      </c>
      <c r="I7889" s="1" t="s">
        <v>8</v>
      </c>
      <c r="J7889" s="1" t="str">
        <f>"12/12"</f>
        <v>12/12</v>
      </c>
      <c r="K7889" s="1" t="str">
        <f>"2026-07-29 13:18:10"</f>
        <v>2026-07-29 13:18:10</v>
      </c>
      <c r="L7889" s="1" t="str">
        <f>"2018-01-31 16:52:42"</f>
        <v>2018-01-31 16:52:42</v>
      </c>
      <c r="M7889" s="1" t="s">
        <v>45</v>
      </c>
      <c r="N7889" s="1" t="s">
        <v>38</v>
      </c>
      <c r="O7889" s="1" t="s">
        <v>46</v>
      </c>
    </row>
    <row r="7890" spans="2:15" x14ac:dyDescent="0.3">
      <c r="B7890" s="1" t="s">
        <v>21</v>
      </c>
      <c r="C7890" s="1" t="str">
        <f>"4차"</f>
        <v>4차</v>
      </c>
      <c r="D7890" s="1" t="str">
        <f>"9627H43245"</f>
        <v>9627H43245</v>
      </c>
      <c r="E7890" s="1" t="s">
        <v>10</v>
      </c>
      <c r="F7890" s="1" t="str">
        <f>"10.14.7.183"</f>
        <v>10.14.7.183</v>
      </c>
      <c r="G7890" s="1" t="str">
        <f>"9627H432"</f>
        <v>9627H432</v>
      </c>
      <c r="H7890" s="1" t="str">
        <f>"백암간 7L5L2T1"</f>
        <v>백암간 7L5L2T1</v>
      </c>
      <c r="I7890" s="1" t="s">
        <v>17</v>
      </c>
      <c r="J7890" s="1" t="str">
        <f>"31/32"</f>
        <v>31/32</v>
      </c>
      <c r="K7890" s="1" t="str">
        <f>"2026-07-29 13:18:11"</f>
        <v>2026-07-29 13:18:11</v>
      </c>
      <c r="L7890" s="1" t="str">
        <f>"2021-06-17 14:44:24"</f>
        <v>2021-06-17 14:44:24</v>
      </c>
      <c r="M7890" s="1" t="s">
        <v>3</v>
      </c>
      <c r="N7890" s="1" t="s">
        <v>38</v>
      </c>
      <c r="O7890" s="1" t="s">
        <v>46</v>
      </c>
    </row>
    <row r="7891" spans="2:15" x14ac:dyDescent="0.3">
      <c r="B7891" s="1" t="s">
        <v>21</v>
      </c>
      <c r="C7891" s="1" t="str">
        <f>"1차"</f>
        <v>1차</v>
      </c>
      <c r="D7891" s="1" t="str">
        <f>"9627H46102"</f>
        <v>9627H46102</v>
      </c>
      <c r="E7891" s="1" t="s">
        <v>10</v>
      </c>
      <c r="F7891" s="1" t="str">
        <f>"10.128.73.18"</f>
        <v>10.128.73.18</v>
      </c>
      <c r="G7891" s="1" t="str">
        <f>"9627H461"</f>
        <v>9627H461</v>
      </c>
      <c r="H7891" s="1" t="str">
        <f>"광천간 28R6L5"</f>
        <v>광천간 28R6L5</v>
      </c>
      <c r="I7891" s="1" t="s">
        <v>8</v>
      </c>
      <c r="J7891" s="1" t="str">
        <f>"109/121"</f>
        <v>109/121</v>
      </c>
      <c r="K7891" s="1" t="str">
        <f t="shared" ref="K7891:K7900" si="384">"2026-07-29 13:18:10"</f>
        <v>2026-07-29 13:18:10</v>
      </c>
      <c r="L7891" s="1" t="str">
        <f>"2014-11-19 15:25:06"</f>
        <v>2014-11-19 15:25:06</v>
      </c>
      <c r="M7891" s="1" t="s">
        <v>45</v>
      </c>
      <c r="N7891" s="1" t="s">
        <v>38</v>
      </c>
      <c r="O7891" s="1" t="s">
        <v>46</v>
      </c>
    </row>
    <row r="7892" spans="2:15" x14ac:dyDescent="0.3">
      <c r="B7892" s="1" t="s">
        <v>21</v>
      </c>
      <c r="C7892" s="1" t="str">
        <f>"4차"</f>
        <v>4차</v>
      </c>
      <c r="D7892" s="1" t="str">
        <f>"9627H47144"</f>
        <v>9627H47144</v>
      </c>
      <c r="E7892" s="1" t="s">
        <v>10</v>
      </c>
      <c r="F7892" s="1" t="str">
        <f>"10.10.122.250"</f>
        <v>10.10.122.250</v>
      </c>
      <c r="G7892" s="1" t="str">
        <f>"9627H471"</f>
        <v>9627H471</v>
      </c>
      <c r="H7892" s="1" t="str">
        <f>"광천간 28R6L3"</f>
        <v>광천간 28R6L3</v>
      </c>
      <c r="I7892" s="1" t="s">
        <v>8</v>
      </c>
      <c r="J7892" s="1" t="str">
        <f>"23/23"</f>
        <v>23/23</v>
      </c>
      <c r="K7892" s="1" t="str">
        <f t="shared" si="384"/>
        <v>2026-07-29 13:18:10</v>
      </c>
      <c r="L7892" s="1" t="str">
        <f>"2019-10-21 16:03:04"</f>
        <v>2019-10-21 16:03:04</v>
      </c>
      <c r="M7892" s="1" t="s">
        <v>1</v>
      </c>
      <c r="N7892" s="1" t="s">
        <v>38</v>
      </c>
      <c r="O7892" s="1" t="s">
        <v>46</v>
      </c>
    </row>
    <row r="7893" spans="2:15" x14ac:dyDescent="0.3">
      <c r="B7893" s="1" t="s">
        <v>21</v>
      </c>
      <c r="C7893" s="1" t="str">
        <f>"4차"</f>
        <v>4차</v>
      </c>
      <c r="D7893" s="1" t="str">
        <f>"9627H48144"</f>
        <v>9627H48144</v>
      </c>
      <c r="E7893" s="1" t="s">
        <v>10</v>
      </c>
      <c r="F7893" s="1" t="str">
        <f>"10.10.102.114"</f>
        <v>10.10.102.114</v>
      </c>
      <c r="G7893" s="1" t="str">
        <f>"9627H481"</f>
        <v>9627H481</v>
      </c>
      <c r="H7893" s="1" t="str">
        <f>"광천간 28R3L2R2"</f>
        <v>광천간 28R3L2R2</v>
      </c>
      <c r="I7893" s="1" t="s">
        <v>8</v>
      </c>
      <c r="J7893" s="1" t="str">
        <f>"35/35"</f>
        <v>35/35</v>
      </c>
      <c r="K7893" s="1" t="str">
        <f t="shared" si="384"/>
        <v>2026-07-29 13:18:10</v>
      </c>
      <c r="L7893" s="1" t="str">
        <f>"2019-10-21 13:23:04"</f>
        <v>2019-10-21 13:23:04</v>
      </c>
      <c r="M7893" s="1" t="s">
        <v>1</v>
      </c>
      <c r="N7893" s="1" t="s">
        <v>38</v>
      </c>
      <c r="O7893" s="1" t="s">
        <v>46</v>
      </c>
    </row>
    <row r="7894" spans="2:15" x14ac:dyDescent="0.3">
      <c r="B7894" s="1" t="s">
        <v>21</v>
      </c>
      <c r="C7894" s="1" t="str">
        <f>"4차"</f>
        <v>4차</v>
      </c>
      <c r="D7894" s="1" t="str">
        <f>"9627H48344"</f>
        <v>9627H48344</v>
      </c>
      <c r="E7894" s="1" t="s">
        <v>10</v>
      </c>
      <c r="F7894" s="1" t="str">
        <f>"10.10.102.82"</f>
        <v>10.10.102.82</v>
      </c>
      <c r="G7894" s="1" t="str">
        <f>"9627H483"</f>
        <v>9627H483</v>
      </c>
      <c r="H7894" s="1" t="str">
        <f>"광천간 28R6L2"</f>
        <v>광천간 28R6L2</v>
      </c>
      <c r="I7894" s="1" t="s">
        <v>8</v>
      </c>
      <c r="J7894" s="1" t="str">
        <f>"70/87"</f>
        <v>70/87</v>
      </c>
      <c r="K7894" s="1" t="str">
        <f t="shared" si="384"/>
        <v>2026-07-29 13:18:10</v>
      </c>
      <c r="L7894" s="1" t="str">
        <f>"2019-10-21 15:28:12"</f>
        <v>2019-10-21 15:28:12</v>
      </c>
      <c r="M7894" s="1" t="s">
        <v>1</v>
      </c>
      <c r="N7894" s="1" t="s">
        <v>38</v>
      </c>
      <c r="O7894" s="1" t="s">
        <v>46</v>
      </c>
    </row>
    <row r="7895" spans="2:15" x14ac:dyDescent="0.3">
      <c r="B7895" s="1" t="s">
        <v>21</v>
      </c>
      <c r="C7895" s="1" t="str">
        <f>"4차"</f>
        <v>4차</v>
      </c>
      <c r="D7895" s="1" t="str">
        <f>"9627H49144"</f>
        <v>9627H49144</v>
      </c>
      <c r="E7895" s="1" t="s">
        <v>10</v>
      </c>
      <c r="F7895" s="1" t="str">
        <f>"10.10.122.234"</f>
        <v>10.10.122.234</v>
      </c>
      <c r="G7895" s="1" t="str">
        <f>"9627H491"</f>
        <v>9627H491</v>
      </c>
      <c r="H7895" s="1" t="str">
        <f>"광천간 28R3L2R1"</f>
        <v>광천간 28R3L2R1</v>
      </c>
      <c r="I7895" s="1" t="s">
        <v>8</v>
      </c>
      <c r="J7895" s="1" t="str">
        <f>"8/8"</f>
        <v>8/8</v>
      </c>
      <c r="K7895" s="1" t="str">
        <f t="shared" si="384"/>
        <v>2026-07-29 13:18:10</v>
      </c>
      <c r="L7895" s="1" t="str">
        <f>"2019-10-21 13:03:28"</f>
        <v>2019-10-21 13:03:28</v>
      </c>
      <c r="M7895" s="1" t="s">
        <v>1</v>
      </c>
      <c r="N7895" s="1" t="s">
        <v>38</v>
      </c>
      <c r="O7895" s="1" t="s">
        <v>46</v>
      </c>
    </row>
    <row r="7896" spans="2:15" x14ac:dyDescent="0.3">
      <c r="B7896" s="1" t="s">
        <v>21</v>
      </c>
      <c r="C7896" s="1" t="str">
        <f>"1차"</f>
        <v>1차</v>
      </c>
      <c r="D7896" s="1" t="str">
        <f>"9627H53100"</f>
        <v>9627H53100</v>
      </c>
      <c r="E7896" s="1" t="s">
        <v>10</v>
      </c>
      <c r="F7896" s="1" t="str">
        <f>"10.128.67.230"</f>
        <v>10.128.67.230</v>
      </c>
      <c r="G7896" s="1" t="str">
        <f>"9627H531"</f>
        <v>9627H531</v>
      </c>
      <c r="H7896" s="1" t="str">
        <f>"백암간 7L4"</f>
        <v>백암간 7L4</v>
      </c>
      <c r="I7896" s="1" t="s">
        <v>8</v>
      </c>
      <c r="J7896" s="1" t="str">
        <f>"14/15"</f>
        <v>14/15</v>
      </c>
      <c r="K7896" s="1" t="str">
        <f t="shared" si="384"/>
        <v>2026-07-29 13:18:10</v>
      </c>
      <c r="L7896" s="1" t="str">
        <f>"2015-07-17 16:50:00"</f>
        <v>2015-07-17 16:50:00</v>
      </c>
      <c r="M7896" s="1" t="s">
        <v>45</v>
      </c>
      <c r="N7896" s="1" t="s">
        <v>38</v>
      </c>
      <c r="O7896" s="1" t="s">
        <v>46</v>
      </c>
    </row>
    <row r="7897" spans="2:15" x14ac:dyDescent="0.3">
      <c r="B7897" s="1" t="s">
        <v>21</v>
      </c>
      <c r="C7897" s="1" t="str">
        <f>"3차"</f>
        <v>3차</v>
      </c>
      <c r="D7897" s="1" t="str">
        <f>"9627H53339"</f>
        <v>9627H53339</v>
      </c>
      <c r="E7897" s="1" t="s">
        <v>10</v>
      </c>
      <c r="F7897" s="1" t="str">
        <f>"10.128.67.227"</f>
        <v>10.128.67.227</v>
      </c>
      <c r="G7897" s="1" t="str">
        <f>"9627H533"</f>
        <v>9627H533</v>
      </c>
      <c r="H7897" s="1" t="str">
        <f>"백암간 7L2"</f>
        <v>백암간 7L2</v>
      </c>
      <c r="I7897" s="1" t="s">
        <v>8</v>
      </c>
      <c r="J7897" s="1" t="str">
        <f>"20/20"</f>
        <v>20/20</v>
      </c>
      <c r="K7897" s="1" t="str">
        <f t="shared" si="384"/>
        <v>2026-07-29 13:18:10</v>
      </c>
      <c r="L7897" s="1" t="str">
        <f>"2018-01-31 16:39:57"</f>
        <v>2018-01-31 16:39:57</v>
      </c>
      <c r="M7897" s="1" t="s">
        <v>45</v>
      </c>
      <c r="N7897" s="1" t="s">
        <v>38</v>
      </c>
      <c r="O7897" s="1" t="s">
        <v>46</v>
      </c>
    </row>
    <row r="7898" spans="2:15" x14ac:dyDescent="0.3">
      <c r="B7898" s="1" t="s">
        <v>21</v>
      </c>
      <c r="C7898" s="1" t="str">
        <f>"4차"</f>
        <v>4차</v>
      </c>
      <c r="D7898" s="1" t="str">
        <f>"9627H54242"</f>
        <v>9627H54242</v>
      </c>
      <c r="E7898" s="1" t="s">
        <v>10</v>
      </c>
      <c r="F7898" s="1" t="str">
        <f>"10.128.77.138"</f>
        <v>10.128.77.138</v>
      </c>
      <c r="G7898" s="1" t="str">
        <f>"9627H542"</f>
        <v>9627H542</v>
      </c>
      <c r="H7898" s="1" t="str">
        <f>"백암간 7L6"</f>
        <v>백암간 7L6</v>
      </c>
      <c r="I7898" s="1" t="s">
        <v>8</v>
      </c>
      <c r="J7898" s="1" t="str">
        <f>"22/23"</f>
        <v>22/23</v>
      </c>
      <c r="K7898" s="1" t="str">
        <f t="shared" si="384"/>
        <v>2026-07-29 13:18:10</v>
      </c>
      <c r="L7898" s="1" t="str">
        <f>"2025-01-08 17:02:54"</f>
        <v>2025-01-08 17:02:54</v>
      </c>
      <c r="M7898" s="1" t="s">
        <v>45</v>
      </c>
      <c r="N7898" s="1" t="s">
        <v>38</v>
      </c>
      <c r="O7898" s="1" t="s">
        <v>46</v>
      </c>
    </row>
    <row r="7899" spans="2:15" x14ac:dyDescent="0.3">
      <c r="B7899" s="1" t="s">
        <v>21</v>
      </c>
      <c r="C7899" s="1" t="str">
        <f>"4차"</f>
        <v>4차</v>
      </c>
      <c r="D7899" s="1" t="str">
        <f>"9627H55144"</f>
        <v>9627H55144</v>
      </c>
      <c r="E7899" s="1" t="s">
        <v>10</v>
      </c>
      <c r="F7899" s="1" t="str">
        <f>"10.128.77.27"</f>
        <v>10.128.77.27</v>
      </c>
      <c r="G7899" s="1" t="str">
        <f>"9627H551"</f>
        <v>9627H551</v>
      </c>
      <c r="H7899" s="1" t="str">
        <f>"백암간 7L7"</f>
        <v>백암간 7L7</v>
      </c>
      <c r="I7899" s="1" t="s">
        <v>8</v>
      </c>
      <c r="J7899" s="1" t="str">
        <f>"39/46"</f>
        <v>39/46</v>
      </c>
      <c r="K7899" s="1" t="str">
        <f t="shared" si="384"/>
        <v>2026-07-29 13:18:10</v>
      </c>
      <c r="L7899" s="1" t="str">
        <f>"2023-09-22 18:07:46"</f>
        <v>2023-09-22 18:07:46</v>
      </c>
      <c r="M7899" s="1" t="s">
        <v>45</v>
      </c>
      <c r="N7899" s="1" t="s">
        <v>38</v>
      </c>
      <c r="O7899" s="1" t="s">
        <v>46</v>
      </c>
    </row>
    <row r="7900" spans="2:15" x14ac:dyDescent="0.3">
      <c r="B7900" s="1" t="s">
        <v>21</v>
      </c>
      <c r="C7900" s="1" t="str">
        <f>"4차"</f>
        <v>4차</v>
      </c>
      <c r="D7900" s="1" t="str">
        <f>"9627H58144"</f>
        <v>9627H58144</v>
      </c>
      <c r="E7900" s="1" t="s">
        <v>10</v>
      </c>
      <c r="F7900" s="1" t="str">
        <f>"10.10.102.90"</f>
        <v>10.10.102.90</v>
      </c>
      <c r="G7900" s="1" t="str">
        <f>"9627H581"</f>
        <v>9627H581</v>
      </c>
      <c r="H7900" s="1" t="str">
        <f>"광천간 28R3L2R3"</f>
        <v>광천간 28R3L2R3</v>
      </c>
      <c r="I7900" s="1" t="s">
        <v>8</v>
      </c>
      <c r="J7900" s="1" t="str">
        <f>"79/79"</f>
        <v>79/79</v>
      </c>
      <c r="K7900" s="1" t="str">
        <f t="shared" si="384"/>
        <v>2026-07-29 13:18:10</v>
      </c>
      <c r="L7900" s="1" t="str">
        <f>"2019-10-21 15:13:03"</f>
        <v>2019-10-21 15:13:03</v>
      </c>
      <c r="M7900" s="1" t="s">
        <v>1</v>
      </c>
      <c r="N7900" s="1" t="s">
        <v>38</v>
      </c>
      <c r="O7900" s="1" t="s">
        <v>46</v>
      </c>
    </row>
    <row r="7901" spans="2:15" x14ac:dyDescent="0.3">
      <c r="B7901" s="1" t="s">
        <v>21</v>
      </c>
      <c r="C7901" s="1" t="str">
        <f>"5-2차"</f>
        <v>5-2차</v>
      </c>
      <c r="D7901" s="1" t="str">
        <f>"9627H5915M"</f>
        <v>9627H5915M</v>
      </c>
      <c r="E7901" s="1" t="s">
        <v>10</v>
      </c>
      <c r="F7901" s="1" t="str">
        <f>"fde1:103:4:5816:0:0:0:2"</f>
        <v>fde1:103:4:5816:0:0:0:2</v>
      </c>
      <c r="G7901" s="1" t="str">
        <f>"9627H591"</f>
        <v>9627H591</v>
      </c>
      <c r="H7901" s="1" t="str">
        <f>"광천간 28R3L3"</f>
        <v>광천간 28R3L3</v>
      </c>
      <c r="I7901" s="1" t="s">
        <v>15</v>
      </c>
      <c r="J7901" s="1" t="str">
        <f>"56/56"</f>
        <v>56/56</v>
      </c>
      <c r="K7901" s="1" t="str">
        <f>"2026-07-29 14:21:21"</f>
        <v>2026-07-29 14:21:21</v>
      </c>
      <c r="L7901" s="1" t="str">
        <f>"2023-10-16 17:06:05"</f>
        <v>2023-10-16 17:06:05</v>
      </c>
      <c r="M7901" s="1" t="s">
        <v>4</v>
      </c>
      <c r="N7901" s="1" t="s">
        <v>38</v>
      </c>
      <c r="O7901" s="1" t="s">
        <v>46</v>
      </c>
    </row>
    <row r="7902" spans="2:15" x14ac:dyDescent="0.3">
      <c r="B7902" s="1" t="s">
        <v>21</v>
      </c>
      <c r="C7902" s="1" t="str">
        <f>"3차"</f>
        <v>3차</v>
      </c>
      <c r="D7902" s="1" t="str">
        <f>"9627H61339"</f>
        <v>9627H61339</v>
      </c>
      <c r="E7902" s="1" t="s">
        <v>10</v>
      </c>
      <c r="F7902" s="1" t="str">
        <f>"10.128.67.213"</f>
        <v>10.128.67.213</v>
      </c>
      <c r="G7902" s="1" t="str">
        <f>"9627H613"</f>
        <v>9627H613</v>
      </c>
      <c r="H7902" s="1" t="str">
        <f>"백암간 10L2R1"</f>
        <v>백암간 10L2R1</v>
      </c>
      <c r="I7902" s="1" t="s">
        <v>8</v>
      </c>
      <c r="J7902" s="1" t="str">
        <f>"37/37"</f>
        <v>37/37</v>
      </c>
      <c r="K7902" s="1" t="str">
        <f>"2026-07-29 13:18:10"</f>
        <v>2026-07-29 13:18:10</v>
      </c>
      <c r="L7902" s="1" t="str">
        <f>"2018-01-31 15:52:28"</f>
        <v>2018-01-31 15:52:28</v>
      </c>
      <c r="M7902" s="1" t="s">
        <v>45</v>
      </c>
      <c r="N7902" s="1" t="s">
        <v>38</v>
      </c>
      <c r="O7902" s="1" t="s">
        <v>46</v>
      </c>
    </row>
    <row r="7903" spans="2:15" x14ac:dyDescent="0.3">
      <c r="B7903" s="1" t="s">
        <v>21</v>
      </c>
      <c r="C7903" s="1" t="str">
        <f>"3차"</f>
        <v>3차</v>
      </c>
      <c r="D7903" s="1" t="str">
        <f>"9627H62139"</f>
        <v>9627H62139</v>
      </c>
      <c r="E7903" s="1" t="s">
        <v>10</v>
      </c>
      <c r="F7903" s="1" t="str">
        <f>"10.128.67.210"</f>
        <v>10.128.67.210</v>
      </c>
      <c r="G7903" s="1" t="str">
        <f>"9627H621"</f>
        <v>9627H621</v>
      </c>
      <c r="H7903" s="1" t="str">
        <f>"백암간 10L3"</f>
        <v>백암간 10L3</v>
      </c>
      <c r="I7903" s="1" t="s">
        <v>8</v>
      </c>
      <c r="J7903" s="1" t="str">
        <f>"10/10"</f>
        <v>10/10</v>
      </c>
      <c r="K7903" s="1" t="str">
        <f>"2026-07-29 13:18:10"</f>
        <v>2026-07-29 13:18:10</v>
      </c>
      <c r="L7903" s="1" t="str">
        <f>"2018-01-31 16:03:27"</f>
        <v>2018-01-31 16:03:27</v>
      </c>
      <c r="M7903" s="1" t="s">
        <v>45</v>
      </c>
      <c r="N7903" s="1" t="s">
        <v>38</v>
      </c>
      <c r="O7903" s="1" t="s">
        <v>46</v>
      </c>
    </row>
    <row r="7904" spans="2:15" x14ac:dyDescent="0.3">
      <c r="B7904" s="1" t="s">
        <v>21</v>
      </c>
      <c r="C7904" s="1" t="str">
        <f>"6차"</f>
        <v>6차</v>
      </c>
      <c r="D7904" s="1" t="str">
        <f>"9627H6326S"</f>
        <v>9627H6326S</v>
      </c>
      <c r="E7904" s="1" t="s">
        <v>10</v>
      </c>
      <c r="F7904" s="1" t="str">
        <f>"fde1:103:4:c7d8:0:0:0:2"</f>
        <v>fde1:103:4:c7d8:0:0:0:2</v>
      </c>
      <c r="G7904" s="1" t="str">
        <f>"9627H632"</f>
        <v>9627H632</v>
      </c>
      <c r="H7904" s="1" t="str">
        <f>"백암간 10L4L2"</f>
        <v>백암간 10L4L2</v>
      </c>
      <c r="I7904" s="1" t="s">
        <v>15</v>
      </c>
      <c r="J7904" s="1" t="str">
        <f>"28/28"</f>
        <v>28/28</v>
      </c>
      <c r="K7904" s="1" t="str">
        <f>"2026-07-29 14:21:21"</f>
        <v>2026-07-29 14:21:21</v>
      </c>
      <c r="L7904" s="1" t="str">
        <f>"2024-12-11 15:56:54"</f>
        <v>2024-12-11 15:56:54</v>
      </c>
      <c r="M7904" s="1" t="s">
        <v>4</v>
      </c>
      <c r="N7904" s="1" t="s">
        <v>38</v>
      </c>
      <c r="O7904" s="1" t="s">
        <v>46</v>
      </c>
    </row>
    <row r="7905" spans="2:15" x14ac:dyDescent="0.3">
      <c r="B7905" s="1" t="s">
        <v>21</v>
      </c>
      <c r="C7905" s="1" t="str">
        <f>"3차"</f>
        <v>3차</v>
      </c>
      <c r="D7905" s="1" t="str">
        <f>"9627H63339"</f>
        <v>9627H63339</v>
      </c>
      <c r="E7905" s="1" t="s">
        <v>10</v>
      </c>
      <c r="F7905" s="1" t="str">
        <f>"10.128.67.142"</f>
        <v>10.128.67.142</v>
      </c>
      <c r="G7905" s="1" t="str">
        <f>"9627H633"</f>
        <v>9627H633</v>
      </c>
      <c r="H7905" s="1" t="str">
        <f>"백암간 10L4L1"</f>
        <v>백암간 10L4L1</v>
      </c>
      <c r="I7905" s="1" t="s">
        <v>8</v>
      </c>
      <c r="J7905" s="1" t="str">
        <f>"2/6"</f>
        <v>2/6</v>
      </c>
      <c r="K7905" s="1" t="str">
        <f t="shared" ref="K7905:K7910" si="385">"2026-07-29 13:18:10"</f>
        <v>2026-07-29 13:18:10</v>
      </c>
      <c r="L7905" s="1" t="str">
        <f>"2018-03-28 10:18:11"</f>
        <v>2018-03-28 10:18:11</v>
      </c>
      <c r="M7905" s="1" t="s">
        <v>45</v>
      </c>
      <c r="N7905" s="1" t="s">
        <v>38</v>
      </c>
      <c r="O7905" s="1" t="s">
        <v>46</v>
      </c>
    </row>
    <row r="7906" spans="2:15" x14ac:dyDescent="0.3">
      <c r="B7906" s="1" t="s">
        <v>21</v>
      </c>
      <c r="C7906" s="1" t="str">
        <f>"1차"</f>
        <v>1차</v>
      </c>
      <c r="D7906" s="1" t="str">
        <f>"9627H64100"</f>
        <v>9627H64100</v>
      </c>
      <c r="E7906" s="1" t="s">
        <v>10</v>
      </c>
      <c r="F7906" s="1" t="str">
        <f>"10.128.77.139"</f>
        <v>10.128.77.139</v>
      </c>
      <c r="G7906" s="1" t="str">
        <f>"9627H641"</f>
        <v>9627H641</v>
      </c>
      <c r="H7906" s="1" t="str">
        <f>"백암간 7L6R1"</f>
        <v>백암간 7L6R1</v>
      </c>
      <c r="I7906" s="1" t="s">
        <v>8</v>
      </c>
      <c r="J7906" s="1" t="str">
        <f>"56/57"</f>
        <v>56/57</v>
      </c>
      <c r="K7906" s="1" t="str">
        <f t="shared" si="385"/>
        <v>2026-07-29 13:18:10</v>
      </c>
      <c r="L7906" s="1" t="str">
        <f>"2015-07-20 09:56:20"</f>
        <v>2015-07-20 09:56:20</v>
      </c>
      <c r="M7906" s="1" t="s">
        <v>45</v>
      </c>
      <c r="N7906" s="1" t="s">
        <v>38</v>
      </c>
      <c r="O7906" s="1" t="s">
        <v>46</v>
      </c>
    </row>
    <row r="7907" spans="2:15" x14ac:dyDescent="0.3">
      <c r="B7907" s="1" t="s">
        <v>21</v>
      </c>
      <c r="C7907" s="1" t="str">
        <f>"3차"</f>
        <v>3차</v>
      </c>
      <c r="D7907" s="1" t="str">
        <f>"9627H65239"</f>
        <v>9627H65239</v>
      </c>
      <c r="E7907" s="1" t="s">
        <v>10</v>
      </c>
      <c r="F7907" s="1" t="str">
        <f>"10.128.77.140"</f>
        <v>10.128.77.140</v>
      </c>
      <c r="G7907" s="1" t="str">
        <f>"9627H652"</f>
        <v>9627H652</v>
      </c>
      <c r="H7907" s="1" t="str">
        <f>"백암간 7L8"</f>
        <v>백암간 7L8</v>
      </c>
      <c r="I7907" s="1" t="s">
        <v>8</v>
      </c>
      <c r="J7907" s="1" t="str">
        <f>"23/27"</f>
        <v>23/27</v>
      </c>
      <c r="K7907" s="1" t="str">
        <f t="shared" si="385"/>
        <v>2026-07-29 13:18:10</v>
      </c>
      <c r="L7907" s="1" t="str">
        <f>"2018-03-29 17:31:02"</f>
        <v>2018-03-29 17:31:02</v>
      </c>
      <c r="M7907" s="1" t="s">
        <v>45</v>
      </c>
      <c r="N7907" s="1" t="s">
        <v>38</v>
      </c>
      <c r="O7907" s="1" t="s">
        <v>46</v>
      </c>
    </row>
    <row r="7908" spans="2:15" x14ac:dyDescent="0.3">
      <c r="B7908" s="1" t="s">
        <v>21</v>
      </c>
      <c r="C7908" s="1" t="str">
        <f>"1차"</f>
        <v>1차</v>
      </c>
      <c r="D7908" s="1" t="str">
        <f>"9627H66100"</f>
        <v>9627H66100</v>
      </c>
      <c r="E7908" s="1" t="s">
        <v>10</v>
      </c>
      <c r="F7908" s="1" t="str">
        <f>"10.128.77.146"</f>
        <v>10.128.77.146</v>
      </c>
      <c r="G7908" s="1" t="str">
        <f>"9627H661"</f>
        <v>9627H661</v>
      </c>
      <c r="H7908" s="1" t="str">
        <f>"백암간 7L13"</f>
        <v>백암간 7L13</v>
      </c>
      <c r="I7908" s="1" t="s">
        <v>8</v>
      </c>
      <c r="J7908" s="1" t="str">
        <f>"62/64"</f>
        <v>62/64</v>
      </c>
      <c r="K7908" s="1" t="str">
        <f t="shared" si="385"/>
        <v>2026-07-29 13:18:10</v>
      </c>
      <c r="L7908" s="1" t="str">
        <f>"2015-07-20 16:36:32"</f>
        <v>2015-07-20 16:36:32</v>
      </c>
      <c r="M7908" s="1" t="s">
        <v>45</v>
      </c>
      <c r="N7908" s="1" t="s">
        <v>38</v>
      </c>
      <c r="O7908" s="1" t="s">
        <v>46</v>
      </c>
    </row>
    <row r="7909" spans="2:15" x14ac:dyDescent="0.3">
      <c r="B7909" s="1" t="s">
        <v>21</v>
      </c>
      <c r="C7909" s="1" t="str">
        <f>"4차"</f>
        <v>4차</v>
      </c>
      <c r="D7909" s="1" t="str">
        <f>"9627H66244"</f>
        <v>9627H66244</v>
      </c>
      <c r="E7909" s="1" t="s">
        <v>10</v>
      </c>
      <c r="F7909" s="1" t="str">
        <f>"10.10.91.234"</f>
        <v>10.10.91.234</v>
      </c>
      <c r="G7909" s="1" t="str">
        <f>"9627H662"</f>
        <v>9627H662</v>
      </c>
      <c r="H7909" s="1" t="str">
        <f>"백암간 7L9"</f>
        <v>백암간 7L9</v>
      </c>
      <c r="I7909" s="1" t="s">
        <v>8</v>
      </c>
      <c r="J7909" s="1" t="str">
        <f>"44/45"</f>
        <v>44/45</v>
      </c>
      <c r="K7909" s="1" t="str">
        <f t="shared" si="385"/>
        <v>2026-07-29 13:18:10</v>
      </c>
      <c r="L7909" s="1" t="str">
        <f>"2019-10-21 16:02:28"</f>
        <v>2019-10-21 16:02:28</v>
      </c>
      <c r="M7909" s="1" t="s">
        <v>1</v>
      </c>
      <c r="N7909" s="1" t="s">
        <v>38</v>
      </c>
      <c r="O7909" s="1" t="s">
        <v>46</v>
      </c>
    </row>
    <row r="7910" spans="2:15" x14ac:dyDescent="0.3">
      <c r="B7910" s="1" t="s">
        <v>21</v>
      </c>
      <c r="C7910" s="1" t="str">
        <f>"4차"</f>
        <v>4차</v>
      </c>
      <c r="D7910" s="1" t="str">
        <f>"9627H67144"</f>
        <v>9627H67144</v>
      </c>
      <c r="E7910" s="1" t="s">
        <v>10</v>
      </c>
      <c r="F7910" s="1" t="str">
        <f>"10.10.122.226"</f>
        <v>10.10.122.226</v>
      </c>
      <c r="G7910" s="1" t="str">
        <f>"9627H671"</f>
        <v>9627H671</v>
      </c>
      <c r="H7910" s="1" t="str">
        <f>"광천간 28R3L10"</f>
        <v>광천간 28R3L10</v>
      </c>
      <c r="I7910" s="1" t="s">
        <v>8</v>
      </c>
      <c r="J7910" s="1" t="str">
        <f>"19/19"</f>
        <v>19/19</v>
      </c>
      <c r="K7910" s="1" t="str">
        <f t="shared" si="385"/>
        <v>2026-07-29 13:18:10</v>
      </c>
      <c r="L7910" s="1" t="str">
        <f>"2019-10-21 16:17:16"</f>
        <v>2019-10-21 16:17:16</v>
      </c>
      <c r="M7910" s="1" t="s">
        <v>1</v>
      </c>
      <c r="N7910" s="1" t="s">
        <v>38</v>
      </c>
      <c r="O7910" s="1" t="s">
        <v>46</v>
      </c>
    </row>
    <row r="7911" spans="2:15" x14ac:dyDescent="0.3">
      <c r="B7911" s="1" t="s">
        <v>21</v>
      </c>
      <c r="C7911" s="1" t="str">
        <f>"6차"</f>
        <v>6차</v>
      </c>
      <c r="D7911" s="1" t="str">
        <f>"9627H6926S"</f>
        <v>9627H6926S</v>
      </c>
      <c r="E7911" s="1" t="s">
        <v>10</v>
      </c>
      <c r="F7911" s="1" t="str">
        <f>"fde1:103:4:92a9:0:0:0:2"</f>
        <v>fde1:103:4:92a9:0:0:0:2</v>
      </c>
      <c r="G7911" s="1" t="str">
        <f>"9627H692"</f>
        <v>9627H692</v>
      </c>
      <c r="H7911" s="1" t="str">
        <f>"광천간 28R3L5"</f>
        <v>광천간 28R3L5</v>
      </c>
      <c r="I7911" s="1" t="s">
        <v>15</v>
      </c>
      <c r="J7911" s="1" t="str">
        <f>"54/56"</f>
        <v>54/56</v>
      </c>
      <c r="K7911" s="1" t="str">
        <f>"2026-07-29 14:21:21"</f>
        <v>2026-07-29 14:21:21</v>
      </c>
      <c r="L7911" s="1" t="str">
        <f>"2025-02-20 17:38:52"</f>
        <v>2025-02-20 17:38:52</v>
      </c>
      <c r="M7911" s="1" t="s">
        <v>4</v>
      </c>
      <c r="N7911" s="1" t="s">
        <v>38</v>
      </c>
      <c r="O7911" s="1" t="s">
        <v>46</v>
      </c>
    </row>
    <row r="7912" spans="2:15" x14ac:dyDescent="0.3">
      <c r="B7912" s="1" t="s">
        <v>21</v>
      </c>
      <c r="C7912" s="1" t="str">
        <f>"4차"</f>
        <v>4차</v>
      </c>
      <c r="D7912" s="1" t="str">
        <f>"9627H71239"</f>
        <v>9627H71239</v>
      </c>
      <c r="E7912" s="1" t="s">
        <v>10</v>
      </c>
      <c r="F7912" s="1" t="str">
        <f>"10.128.67.138"</f>
        <v>10.128.67.138</v>
      </c>
      <c r="G7912" s="1" t="str">
        <f>"9627H712"</f>
        <v>9627H712</v>
      </c>
      <c r="H7912" s="1" t="str">
        <f>"백암간 10L2R2"</f>
        <v>백암간 10L2R2</v>
      </c>
      <c r="I7912" s="1" t="s">
        <v>8</v>
      </c>
      <c r="J7912" s="1" t="str">
        <f>"64/70"</f>
        <v>64/70</v>
      </c>
      <c r="K7912" s="1" t="str">
        <f>"2026-07-29 13:18:10"</f>
        <v>2026-07-29 13:18:10</v>
      </c>
      <c r="L7912" s="1" t="str">
        <f>"2018-02-27 14:59:58"</f>
        <v>2018-02-27 14:59:58</v>
      </c>
      <c r="M7912" s="1" t="s">
        <v>45</v>
      </c>
      <c r="N7912" s="1" t="s">
        <v>38</v>
      </c>
      <c r="O7912" s="1" t="s">
        <v>46</v>
      </c>
    </row>
    <row r="7913" spans="2:15" x14ac:dyDescent="0.3">
      <c r="B7913" s="1" t="s">
        <v>21</v>
      </c>
      <c r="C7913" s="1" t="str">
        <f>"6차"</f>
        <v>6차</v>
      </c>
      <c r="D7913" s="1" t="str">
        <f>"9627H7316S"</f>
        <v>9627H7316S</v>
      </c>
      <c r="E7913" s="1" t="s">
        <v>10</v>
      </c>
      <c r="F7913" s="1" t="str">
        <f>"fde1:103:4:c7c7:0:0:0:2"</f>
        <v>fde1:103:4:c7c7:0:0:0:2</v>
      </c>
      <c r="G7913" s="1" t="str">
        <f>"9627H731"</f>
        <v>9627H731</v>
      </c>
      <c r="H7913" s="1" t="str">
        <f>"백암간 10L4"</f>
        <v>백암간 10L4</v>
      </c>
      <c r="I7913" s="1" t="s">
        <v>15</v>
      </c>
      <c r="J7913" s="1" t="str">
        <f>"23/29"</f>
        <v>23/29</v>
      </c>
      <c r="K7913" s="1" t="str">
        <f>"2026-07-29 14:20:36"</f>
        <v>2026-07-29 14:20:36</v>
      </c>
      <c r="L7913" s="1" t="str">
        <f>"2024-12-11 16:05:55"</f>
        <v>2024-12-11 16:05:55</v>
      </c>
      <c r="M7913" s="1" t="s">
        <v>4</v>
      </c>
      <c r="N7913" s="1" t="s">
        <v>38</v>
      </c>
      <c r="O7913" s="1" t="s">
        <v>46</v>
      </c>
    </row>
    <row r="7914" spans="2:15" x14ac:dyDescent="0.3">
      <c r="B7914" s="1" t="s">
        <v>21</v>
      </c>
      <c r="C7914" s="1" t="str">
        <f>"3차"</f>
        <v>3차</v>
      </c>
      <c r="D7914" s="1" t="str">
        <f>"9627H73339"</f>
        <v>9627H73339</v>
      </c>
      <c r="E7914" s="1" t="s">
        <v>10</v>
      </c>
      <c r="F7914" s="1" t="str">
        <f>"10.128.67.140"</f>
        <v>10.128.67.140</v>
      </c>
      <c r="G7914" s="1" t="str">
        <f>"9627H733"</f>
        <v>9627H733</v>
      </c>
      <c r="H7914" s="1" t="str">
        <f>"백암간 10L4R1"</f>
        <v>백암간 10L4R1</v>
      </c>
      <c r="I7914" s="1" t="s">
        <v>8</v>
      </c>
      <c r="J7914" s="1" t="str">
        <f>"45/45"</f>
        <v>45/45</v>
      </c>
      <c r="K7914" s="1" t="str">
        <f>"2026-07-29 13:18:10"</f>
        <v>2026-07-29 13:18:10</v>
      </c>
      <c r="L7914" s="1" t="str">
        <f>"2018-02-27 15:22:29"</f>
        <v>2018-02-27 15:22:29</v>
      </c>
      <c r="M7914" s="1" t="s">
        <v>45</v>
      </c>
      <c r="N7914" s="1" t="s">
        <v>38</v>
      </c>
      <c r="O7914" s="1" t="s">
        <v>46</v>
      </c>
    </row>
    <row r="7915" spans="2:15" x14ac:dyDescent="0.3">
      <c r="B7915" s="1" t="s">
        <v>21</v>
      </c>
      <c r="C7915" s="1" t="str">
        <f>"3차"</f>
        <v>3차</v>
      </c>
      <c r="D7915" s="1" t="str">
        <f>"9627H74139"</f>
        <v>9627H74139</v>
      </c>
      <c r="E7915" s="1" t="s">
        <v>10</v>
      </c>
      <c r="F7915" s="1" t="str">
        <f>"10.128.77.154"</f>
        <v>10.128.77.154</v>
      </c>
      <c r="G7915" s="1" t="str">
        <f>"9627H741"</f>
        <v>9627H741</v>
      </c>
      <c r="H7915" s="1" t="str">
        <f>"백암간 10L6"</f>
        <v>백암간 10L6</v>
      </c>
      <c r="I7915" s="1" t="s">
        <v>8</v>
      </c>
      <c r="J7915" s="1" t="str">
        <f>"40/43"</f>
        <v>40/43</v>
      </c>
      <c r="K7915" s="1" t="str">
        <f>"2026-07-29 13:18:10"</f>
        <v>2026-07-29 13:18:10</v>
      </c>
      <c r="L7915" s="1" t="str">
        <f>"2018-03-29 17:39:30"</f>
        <v>2018-03-29 17:39:30</v>
      </c>
      <c r="M7915" s="1" t="s">
        <v>45</v>
      </c>
      <c r="N7915" s="1" t="s">
        <v>38</v>
      </c>
      <c r="O7915" s="1" t="s">
        <v>46</v>
      </c>
    </row>
    <row r="7916" spans="2:15" x14ac:dyDescent="0.3">
      <c r="B7916" s="1" t="s">
        <v>21</v>
      </c>
      <c r="C7916" s="1" t="str">
        <f>"1차"</f>
        <v>1차</v>
      </c>
      <c r="D7916" s="1" t="str">
        <f>"9627H75101"</f>
        <v>9627H75101</v>
      </c>
      <c r="E7916" s="1" t="s">
        <v>10</v>
      </c>
      <c r="F7916" s="1" t="str">
        <f>"10.12.137.19"</f>
        <v>10.12.137.19</v>
      </c>
      <c r="G7916" s="1" t="str">
        <f>"9627H751"</f>
        <v>9627H751</v>
      </c>
      <c r="H7916" s="1" t="str">
        <f>"백암간 10L6L1"</f>
        <v>백암간 10L6L1</v>
      </c>
      <c r="I7916" s="1" t="s">
        <v>8</v>
      </c>
      <c r="J7916" s="1" t="str">
        <f>"14/14"</f>
        <v>14/14</v>
      </c>
      <c r="K7916" s="1" t="str">
        <f>"2026-07-29 13:18:12"</f>
        <v>2026-07-29 13:18:12</v>
      </c>
      <c r="L7916" s="1" t="str">
        <f>"2015-07-20 09:20:49"</f>
        <v>2015-07-20 09:20:49</v>
      </c>
      <c r="M7916" s="1" t="s">
        <v>0</v>
      </c>
      <c r="N7916" s="1" t="s">
        <v>38</v>
      </c>
      <c r="O7916" s="1" t="s">
        <v>46</v>
      </c>
    </row>
    <row r="7917" spans="2:15" x14ac:dyDescent="0.3">
      <c r="B7917" s="1" t="s">
        <v>21</v>
      </c>
      <c r="C7917" s="1" t="str">
        <f>"4차"</f>
        <v>4차</v>
      </c>
      <c r="D7917" s="1" t="str">
        <f>"9627H77244"</f>
        <v>9627H77244</v>
      </c>
      <c r="E7917" s="1" t="s">
        <v>10</v>
      </c>
      <c r="F7917" s="1" t="str">
        <f>"10.10.91.218"</f>
        <v>10.10.91.218</v>
      </c>
      <c r="G7917" s="1" t="str">
        <f>"9627H772"</f>
        <v>9627H772</v>
      </c>
      <c r="H7917" s="1" t="str">
        <f>"백암간 7L11L1"</f>
        <v>백암간 7L11L1</v>
      </c>
      <c r="I7917" s="1" t="s">
        <v>8</v>
      </c>
      <c r="J7917" s="1" t="str">
        <f>"34/34"</f>
        <v>34/34</v>
      </c>
      <c r="K7917" s="1" t="str">
        <f>"2026-07-29 13:18:10"</f>
        <v>2026-07-29 13:18:10</v>
      </c>
      <c r="L7917" s="1" t="str">
        <f>"2019-10-21 17:10:13"</f>
        <v>2019-10-21 17:10:13</v>
      </c>
      <c r="M7917" s="1" t="s">
        <v>1</v>
      </c>
      <c r="N7917" s="1" t="s">
        <v>38</v>
      </c>
      <c r="O7917" s="1" t="s">
        <v>46</v>
      </c>
    </row>
    <row r="7918" spans="2:15" x14ac:dyDescent="0.3">
      <c r="B7918" s="1" t="s">
        <v>21</v>
      </c>
      <c r="C7918" s="1" t="str">
        <f>"4차"</f>
        <v>4차</v>
      </c>
      <c r="D7918" s="1" t="str">
        <f>"9627H78144"</f>
        <v>9627H78144</v>
      </c>
      <c r="E7918" s="1" t="s">
        <v>10</v>
      </c>
      <c r="F7918" s="1" t="str">
        <f>"10.10.122.242"</f>
        <v>10.10.122.242</v>
      </c>
      <c r="G7918" s="1" t="str">
        <f>"9627H781"</f>
        <v>9627H781</v>
      </c>
      <c r="H7918" s="1" t="str">
        <f>"광천간 28R3L9"</f>
        <v>광천간 28R3L9</v>
      </c>
      <c r="I7918" s="1" t="s">
        <v>8</v>
      </c>
      <c r="J7918" s="1" t="str">
        <f>"16/16"</f>
        <v>16/16</v>
      </c>
      <c r="K7918" s="1" t="str">
        <f>"2026-07-29 13:18:10"</f>
        <v>2026-07-29 13:18:10</v>
      </c>
      <c r="L7918" s="1" t="str">
        <f>"2019-10-21 16:26:00"</f>
        <v>2019-10-21 16:26:00</v>
      </c>
      <c r="M7918" s="1" t="s">
        <v>1</v>
      </c>
      <c r="N7918" s="1" t="s">
        <v>38</v>
      </c>
      <c r="O7918" s="1" t="s">
        <v>46</v>
      </c>
    </row>
    <row r="7919" spans="2:15" x14ac:dyDescent="0.3">
      <c r="B7919" s="1" t="s">
        <v>21</v>
      </c>
      <c r="C7919" s="1" t="str">
        <f>"4차"</f>
        <v>4차</v>
      </c>
      <c r="D7919" s="1" t="str">
        <f>"9627H79242"</f>
        <v>9627H79242</v>
      </c>
      <c r="E7919" s="1" t="s">
        <v>10</v>
      </c>
      <c r="F7919" s="1" t="str">
        <f>"10.128.73.186"</f>
        <v>10.128.73.186</v>
      </c>
      <c r="G7919" s="1" t="str">
        <f>"9627H792"</f>
        <v>9627H792</v>
      </c>
      <c r="H7919" s="1" t="str">
        <f>"광천간 28R3L6L1"</f>
        <v>광천간 28R3L6L1</v>
      </c>
      <c r="I7919" s="1" t="s">
        <v>8</v>
      </c>
      <c r="J7919" s="1" t="str">
        <f>"17/17"</f>
        <v>17/17</v>
      </c>
      <c r="K7919" s="1" t="str">
        <f>"2026-07-29 13:18:10"</f>
        <v>2026-07-29 13:18:10</v>
      </c>
      <c r="L7919" s="1" t="str">
        <f>"2025-01-08 17:03:35"</f>
        <v>2025-01-08 17:03:35</v>
      </c>
      <c r="M7919" s="1" t="s">
        <v>45</v>
      </c>
      <c r="N7919" s="1" t="s">
        <v>38</v>
      </c>
      <c r="O7919" s="1" t="s">
        <v>46</v>
      </c>
    </row>
    <row r="7920" spans="2:15" x14ac:dyDescent="0.3">
      <c r="B7920" s="1" t="s">
        <v>21</v>
      </c>
      <c r="C7920" s="1" t="str">
        <f>"6차"</f>
        <v>6차</v>
      </c>
      <c r="D7920" s="1" t="str">
        <f>"9627H7946S"</f>
        <v>9627H7946S</v>
      </c>
      <c r="E7920" s="1" t="s">
        <v>10</v>
      </c>
      <c r="F7920" s="1" t="str">
        <f>"fde1:103:4:921c:0:0:0:2"</f>
        <v>fde1:103:4:921c:0:0:0:2</v>
      </c>
      <c r="G7920" s="1" t="str">
        <f>"9627H794"</f>
        <v>9627H794</v>
      </c>
      <c r="H7920" s="1" t="str">
        <f>"광천간 28R3L7"</f>
        <v>광천간 28R3L7</v>
      </c>
      <c r="I7920" s="1" t="s">
        <v>15</v>
      </c>
      <c r="J7920" s="1" t="str">
        <f>"42/42"</f>
        <v>42/42</v>
      </c>
      <c r="K7920" s="1" t="str">
        <f>"2026-07-29 14:21:43"</f>
        <v>2026-07-29 14:21:43</v>
      </c>
      <c r="L7920" s="1" t="str">
        <f>"2025-02-21 17:16:50"</f>
        <v>2025-02-21 17:16:50</v>
      </c>
      <c r="M7920" s="1" t="s">
        <v>4</v>
      </c>
      <c r="N7920" s="1" t="s">
        <v>38</v>
      </c>
      <c r="O7920" s="1" t="s">
        <v>46</v>
      </c>
    </row>
    <row r="7921" spans="2:15" x14ac:dyDescent="0.3">
      <c r="B7921" s="1" t="s">
        <v>21</v>
      </c>
      <c r="C7921" s="1" t="str">
        <f>"3차"</f>
        <v>3차</v>
      </c>
      <c r="D7921" s="1" t="str">
        <f>"9627H80139"</f>
        <v>9627H80139</v>
      </c>
      <c r="E7921" s="1" t="s">
        <v>10</v>
      </c>
      <c r="F7921" s="1" t="str">
        <f>"10.128.67.212"</f>
        <v>10.128.67.212</v>
      </c>
      <c r="G7921" s="1" t="str">
        <f>"9627H801"</f>
        <v>9627H801</v>
      </c>
      <c r="H7921" s="1" t="str">
        <f>"백암간 10L2R5"</f>
        <v>백암간 10L2R5</v>
      </c>
      <c r="I7921" s="1" t="s">
        <v>8</v>
      </c>
      <c r="J7921" s="1" t="str">
        <f>"17/17"</f>
        <v>17/17</v>
      </c>
      <c r="K7921" s="1" t="str">
        <f>"2026-07-29 13:18:10"</f>
        <v>2026-07-29 13:18:10</v>
      </c>
      <c r="L7921" s="1" t="str">
        <f>"2018-03-30 18:12:59"</f>
        <v>2018-03-30 18:12:59</v>
      </c>
      <c r="M7921" s="1" t="s">
        <v>45</v>
      </c>
      <c r="N7921" s="1" t="s">
        <v>38</v>
      </c>
      <c r="O7921" s="1" t="s">
        <v>46</v>
      </c>
    </row>
    <row r="7922" spans="2:15" x14ac:dyDescent="0.3">
      <c r="B7922" s="1" t="s">
        <v>21</v>
      </c>
      <c r="C7922" s="1" t="str">
        <f>"4차"</f>
        <v>4차</v>
      </c>
      <c r="D7922" s="1" t="str">
        <f>"9627H86244"</f>
        <v>9627H86244</v>
      </c>
      <c r="E7922" s="1" t="s">
        <v>10</v>
      </c>
      <c r="F7922" s="1" t="str">
        <f>"10.10.120.26"</f>
        <v>10.10.120.26</v>
      </c>
      <c r="G7922" s="1" t="str">
        <f>"9627H862"</f>
        <v>9627H862</v>
      </c>
      <c r="H7922" s="1" t="str">
        <f>"백암간 7L11A1"</f>
        <v>백암간 7L11A1</v>
      </c>
      <c r="I7922" s="1" t="s">
        <v>8</v>
      </c>
      <c r="J7922" s="1" t="str">
        <f>"23/23"</f>
        <v>23/23</v>
      </c>
      <c r="K7922" s="1" t="str">
        <f>"2026-07-29 13:18:10"</f>
        <v>2026-07-29 13:18:10</v>
      </c>
      <c r="L7922" s="1" t="str">
        <f>"2019-10-21 16:49:28"</f>
        <v>2019-10-21 16:49:28</v>
      </c>
      <c r="M7922" s="1" t="s">
        <v>1</v>
      </c>
      <c r="N7922" s="1" t="s">
        <v>38</v>
      </c>
      <c r="O7922" s="1" t="s">
        <v>46</v>
      </c>
    </row>
    <row r="7923" spans="2:15" x14ac:dyDescent="0.3">
      <c r="B7923" s="1" t="s">
        <v>21</v>
      </c>
      <c r="C7923" s="1" t="str">
        <f>"5-2차"</f>
        <v>5-2차</v>
      </c>
      <c r="D7923" s="1" t="str">
        <f>"9627H8715M"</f>
        <v>9627H8715M</v>
      </c>
      <c r="E7923" s="1" t="s">
        <v>10</v>
      </c>
      <c r="F7923" s="1" t="str">
        <f>"fde1:103:4:5802:0:0:0:2"</f>
        <v>fde1:103:4:5802:0:0:0:2</v>
      </c>
      <c r="G7923" s="1" t="str">
        <f>"9627H871"</f>
        <v>9627H871</v>
      </c>
      <c r="H7923" s="1" t="str">
        <f>"백암간 53L6"</f>
        <v>백암간 53L6</v>
      </c>
      <c r="I7923" s="1" t="s">
        <v>15</v>
      </c>
      <c r="J7923" s="1" t="str">
        <f>"50/52"</f>
        <v>50/52</v>
      </c>
      <c r="K7923" s="1" t="str">
        <f>"2026-07-29 02:21:46"</f>
        <v>2026-07-29 02:21:46</v>
      </c>
      <c r="L7923" s="1" t="str">
        <f>"2023-10-16 17:06:20"</f>
        <v>2023-10-16 17:06:20</v>
      </c>
      <c r="M7923" s="1" t="s">
        <v>4</v>
      </c>
      <c r="N7923" s="1" t="s">
        <v>38</v>
      </c>
      <c r="O7923" s="1" t="s">
        <v>46</v>
      </c>
    </row>
    <row r="7924" spans="2:15" x14ac:dyDescent="0.3">
      <c r="B7924" s="1" t="s">
        <v>21</v>
      </c>
      <c r="C7924" s="1" t="str">
        <f>"4차"</f>
        <v>4차</v>
      </c>
      <c r="D7924" s="1" t="str">
        <f>"9627H88344"</f>
        <v>9627H88344</v>
      </c>
      <c r="E7924" s="1" t="s">
        <v>10</v>
      </c>
      <c r="F7924" s="1" t="str">
        <f>"10.10.120.50"</f>
        <v>10.10.120.50</v>
      </c>
      <c r="G7924" s="1" t="str">
        <f>"9627H883"</f>
        <v>9627H883</v>
      </c>
      <c r="H7924" s="1" t="str">
        <f>"백암간 7L11L2"</f>
        <v>백암간 7L11L2</v>
      </c>
      <c r="I7924" s="1" t="s">
        <v>8</v>
      </c>
      <c r="J7924" s="1" t="str">
        <f>"23/23"</f>
        <v>23/23</v>
      </c>
      <c r="K7924" s="1" t="str">
        <f>"2026-07-29 13:18:10"</f>
        <v>2026-07-29 13:18:10</v>
      </c>
      <c r="L7924" s="1" t="str">
        <f>"2019-10-22 11:43:05"</f>
        <v>2019-10-22 11:43:05</v>
      </c>
      <c r="M7924" s="1" t="s">
        <v>1</v>
      </c>
      <c r="N7924" s="1" t="s">
        <v>38</v>
      </c>
      <c r="O7924" s="1" t="s">
        <v>46</v>
      </c>
    </row>
    <row r="7925" spans="2:15" x14ac:dyDescent="0.3">
      <c r="B7925" s="1" t="s">
        <v>21</v>
      </c>
      <c r="C7925" s="1" t="str">
        <f>"1차"</f>
        <v>1차</v>
      </c>
      <c r="D7925" s="1" t="str">
        <f>"9627P24200"</f>
        <v>9627P24200</v>
      </c>
      <c r="E7925" s="1" t="s">
        <v>10</v>
      </c>
      <c r="F7925" s="1" t="str">
        <f>"10.128.65.250"</f>
        <v>10.128.65.250</v>
      </c>
      <c r="G7925" s="1" t="str">
        <f>"9627P242"</f>
        <v>9627P242</v>
      </c>
      <c r="H7925" s="1" t="str">
        <f>"숭실간 24"</f>
        <v>숭실간 24</v>
      </c>
      <c r="I7925" s="1" t="s">
        <v>8</v>
      </c>
      <c r="J7925" s="1" t="str">
        <f>"4/4"</f>
        <v>4/4</v>
      </c>
      <c r="K7925" s="1" t="str">
        <f>"2026-07-29 13:18:10"</f>
        <v>2026-07-29 13:18:10</v>
      </c>
      <c r="L7925" s="1" t="str">
        <f>"2015-02-12 13:51:01"</f>
        <v>2015-02-12 13:51:01</v>
      </c>
      <c r="M7925" s="1" t="s">
        <v>45</v>
      </c>
      <c r="N7925" s="1" t="s">
        <v>38</v>
      </c>
      <c r="O7925" s="1" t="s">
        <v>46</v>
      </c>
    </row>
    <row r="7926" spans="2:15" x14ac:dyDescent="0.3">
      <c r="B7926" s="1" t="s">
        <v>21</v>
      </c>
      <c r="C7926" s="1" t="str">
        <f>"1차"</f>
        <v>1차</v>
      </c>
      <c r="D7926" s="1" t="str">
        <f>"9627Q55100"</f>
        <v>9627Q55100</v>
      </c>
      <c r="E7926" s="1" t="s">
        <v>10</v>
      </c>
      <c r="F7926" s="1" t="str">
        <f>"10.128.0.102"</f>
        <v>10.128.0.102</v>
      </c>
      <c r="G7926" s="1" t="str">
        <f>"9627Q551"</f>
        <v>9627Q551</v>
      </c>
      <c r="H7926" s="1" t="str">
        <f>"수색간 50L3"</f>
        <v>수색간 50L3</v>
      </c>
      <c r="I7926" s="1" t="s">
        <v>8</v>
      </c>
      <c r="J7926" s="1" t="str">
        <f>"26/27"</f>
        <v>26/27</v>
      </c>
      <c r="K7926" s="1" t="str">
        <f>"2026-07-29 13:18:10"</f>
        <v>2026-07-29 13:18:10</v>
      </c>
      <c r="L7926" s="1" t="str">
        <f>"2014-11-24 10:25:09"</f>
        <v>2014-11-24 10:25:09</v>
      </c>
      <c r="M7926" s="1" t="s">
        <v>45</v>
      </c>
      <c r="N7926" s="1" t="s">
        <v>38</v>
      </c>
      <c r="O7926" s="1" t="s">
        <v>46</v>
      </c>
    </row>
    <row r="7927" spans="2:15" x14ac:dyDescent="0.3">
      <c r="B7927" s="1" t="s">
        <v>21</v>
      </c>
      <c r="C7927" s="1" t="str">
        <f>"1차"</f>
        <v>1차</v>
      </c>
      <c r="D7927" s="1" t="str">
        <f>"9627Q61100"</f>
        <v>9627Q61100</v>
      </c>
      <c r="E7927" s="1" t="s">
        <v>14</v>
      </c>
      <c r="F7927" s="1" t="str">
        <f>"10.128.2.139"</f>
        <v>10.128.2.139</v>
      </c>
      <c r="G7927" s="1" t="str">
        <f>"9627Q611"</f>
        <v>9627Q611</v>
      </c>
      <c r="H7927" s="1" t="str">
        <f>"수색간 48R2R2"</f>
        <v>수색간 48R2R2</v>
      </c>
      <c r="I7927" s="1" t="s">
        <v>8</v>
      </c>
      <c r="J7927" s="1" t="str">
        <f>"0/0"</f>
        <v>0/0</v>
      </c>
      <c r="K7927" s="1" t="str">
        <f>"2026-07-29 13:18:10"</f>
        <v>2026-07-29 13:18:10</v>
      </c>
      <c r="L7927" s="1" t="str">
        <f>"2014-11-26 16:55:02"</f>
        <v>2014-11-26 16:55:02</v>
      </c>
      <c r="M7927" s="1" t="s">
        <v>45</v>
      </c>
      <c r="N7927" s="1" t="s">
        <v>38</v>
      </c>
      <c r="O7927" s="1" t="s">
        <v>44</v>
      </c>
    </row>
    <row r="7928" spans="2:15" x14ac:dyDescent="0.3">
      <c r="B7928" s="1" t="s">
        <v>21</v>
      </c>
      <c r="C7928" s="1" t="str">
        <f>"4차"</f>
        <v>4차</v>
      </c>
      <c r="D7928" s="1" t="str">
        <f>"9627Q70142"</f>
        <v>9627Q70142</v>
      </c>
      <c r="E7928" s="1" t="s">
        <v>10</v>
      </c>
      <c r="F7928" s="1" t="str">
        <f>"10.12.130.187"</f>
        <v>10.12.130.187</v>
      </c>
      <c r="G7928" s="1" t="str">
        <f>"9627Q701"</f>
        <v>9627Q701</v>
      </c>
      <c r="H7928" s="1" t="str">
        <f>"성당간 14L19"</f>
        <v>성당간 14L19</v>
      </c>
      <c r="I7928" s="1" t="s">
        <v>8</v>
      </c>
      <c r="J7928" s="1" t="str">
        <f>"78/79"</f>
        <v>78/79</v>
      </c>
      <c r="K7928" s="1" t="str">
        <f>"2026-07-29 13:18:14"</f>
        <v>2026-07-29 13:18:14</v>
      </c>
      <c r="L7928" s="1" t="str">
        <f>"2024-12-16 14:00:21"</f>
        <v>2024-12-16 14:00:21</v>
      </c>
      <c r="M7928" s="1" t="s">
        <v>0</v>
      </c>
      <c r="N7928" s="1" t="s">
        <v>38</v>
      </c>
      <c r="O7928" s="1" t="s">
        <v>46</v>
      </c>
    </row>
    <row r="7929" spans="2:15" x14ac:dyDescent="0.3">
      <c r="B7929" s="1" t="s">
        <v>21</v>
      </c>
      <c r="C7929" s="1" t="str">
        <f>"1차"</f>
        <v>1차</v>
      </c>
      <c r="D7929" s="1" t="str">
        <f>"9627Q75201"</f>
        <v>9627Q75201</v>
      </c>
      <c r="E7929" s="1" t="s">
        <v>14</v>
      </c>
      <c r="F7929" s="1" t="str">
        <f>"10.128.0.112"</f>
        <v>10.128.0.112</v>
      </c>
      <c r="G7929" s="1" t="str">
        <f>"9627Q752"</f>
        <v>9627Q752</v>
      </c>
      <c r="H7929" s="1" t="str">
        <f>"수색간 50L1R2"</f>
        <v>수색간 50L1R2</v>
      </c>
      <c r="I7929" s="1" t="s">
        <v>8</v>
      </c>
      <c r="J7929" s="1" t="str">
        <f>"0/0"</f>
        <v>0/0</v>
      </c>
      <c r="K7929" s="1" t="str">
        <f>"2024-07-03 09:20:06"</f>
        <v>2024-07-03 09:20:06</v>
      </c>
      <c r="L7929" s="1" t="str">
        <f>"2014-11-24 10:24:30"</f>
        <v>2014-11-24 10:24:30</v>
      </c>
      <c r="M7929" s="1" t="s">
        <v>45</v>
      </c>
      <c r="N7929" s="1" t="s">
        <v>44</v>
      </c>
      <c r="O7929" s="1" t="s">
        <v>44</v>
      </c>
    </row>
    <row r="7930" spans="2:15" x14ac:dyDescent="0.3">
      <c r="B7930" s="1" t="s">
        <v>21</v>
      </c>
      <c r="C7930" s="1" t="str">
        <f>"1차"</f>
        <v>1차</v>
      </c>
      <c r="D7930" s="1" t="str">
        <f>"9627Q81100"</f>
        <v>9627Q81100</v>
      </c>
      <c r="E7930" s="1" t="s">
        <v>10</v>
      </c>
      <c r="F7930" s="1" t="str">
        <f>"10.128.0.104"</f>
        <v>10.128.0.104</v>
      </c>
      <c r="G7930" s="1" t="str">
        <f>"9627Q811"</f>
        <v>9627Q811</v>
      </c>
      <c r="H7930" s="1" t="str">
        <f>"성당간 14L21"</f>
        <v>성당간 14L21</v>
      </c>
      <c r="I7930" s="1" t="s">
        <v>8</v>
      </c>
      <c r="J7930" s="1" t="str">
        <f>"43/43"</f>
        <v>43/43</v>
      </c>
      <c r="K7930" s="1" t="str">
        <f>"2026-07-29 13:18:10"</f>
        <v>2026-07-29 13:18:10</v>
      </c>
      <c r="L7930" s="1" t="str">
        <f>"2014-11-24 14:55:54"</f>
        <v>2014-11-24 14:55:54</v>
      </c>
      <c r="M7930" s="1" t="s">
        <v>45</v>
      </c>
      <c r="N7930" s="1" t="s">
        <v>38</v>
      </c>
      <c r="O7930" s="1" t="s">
        <v>46</v>
      </c>
    </row>
    <row r="7931" spans="2:15" x14ac:dyDescent="0.3">
      <c r="B7931" s="1" t="s">
        <v>21</v>
      </c>
      <c r="C7931" s="1" t="str">
        <f>"1차"</f>
        <v>1차</v>
      </c>
      <c r="D7931" s="1" t="str">
        <f>"9627Q84102"</f>
        <v>9627Q84102</v>
      </c>
      <c r="E7931" s="1" t="s">
        <v>10</v>
      </c>
      <c r="F7931" s="1" t="str">
        <f>"10.12.129.104"</f>
        <v>10.12.129.104</v>
      </c>
      <c r="G7931" s="1" t="str">
        <f>"9627Q841"</f>
        <v>9627Q841</v>
      </c>
      <c r="H7931" s="1" t="str">
        <f>"수색간 52"</f>
        <v>수색간 52</v>
      </c>
      <c r="I7931" s="1" t="s">
        <v>8</v>
      </c>
      <c r="J7931" s="1" t="str">
        <f>"10/10"</f>
        <v>10/10</v>
      </c>
      <c r="K7931" s="1" t="str">
        <f>"2026-07-29 13:18:11"</f>
        <v>2026-07-29 13:18:11</v>
      </c>
      <c r="L7931" s="1" t="str">
        <f>"2014-11-20 08:40:41"</f>
        <v>2014-11-20 08:40:41</v>
      </c>
      <c r="M7931" s="1" t="s">
        <v>0</v>
      </c>
      <c r="N7931" s="1" t="s">
        <v>38</v>
      </c>
      <c r="O7931" s="1" t="s">
        <v>46</v>
      </c>
    </row>
    <row r="7932" spans="2:15" x14ac:dyDescent="0.3">
      <c r="B7932" s="1" t="s">
        <v>21</v>
      </c>
      <c r="C7932" s="1" t="str">
        <f>"4차"</f>
        <v>4차</v>
      </c>
      <c r="D7932" s="1" t="str">
        <f>"9627Q85142"</f>
        <v>9627Q85142</v>
      </c>
      <c r="E7932" s="1" t="s">
        <v>10</v>
      </c>
      <c r="F7932" s="1" t="str">
        <f>"10.12.138.23"</f>
        <v>10.12.138.23</v>
      </c>
      <c r="G7932" s="1" t="str">
        <f>"9627Q851"</f>
        <v>9627Q851</v>
      </c>
      <c r="H7932" s="1" t="str">
        <f>"수색간 55L3L2"</f>
        <v>수색간 55L3L2</v>
      </c>
      <c r="I7932" s="1" t="s">
        <v>8</v>
      </c>
      <c r="J7932" s="1" t="str">
        <f>"40/40"</f>
        <v>40/40</v>
      </c>
      <c r="K7932" s="1" t="str">
        <f>"2026-07-29 13:18:12"</f>
        <v>2026-07-29 13:18:12</v>
      </c>
      <c r="L7932" s="1" t="str">
        <f>"2024-12-16 14:00:13"</f>
        <v>2024-12-16 14:00:13</v>
      </c>
      <c r="M7932" s="1" t="s">
        <v>0</v>
      </c>
      <c r="N7932" s="1" t="s">
        <v>38</v>
      </c>
      <c r="O7932" s="1" t="s">
        <v>46</v>
      </c>
    </row>
    <row r="7933" spans="2:15" x14ac:dyDescent="0.3">
      <c r="B7933" s="1" t="s">
        <v>21</v>
      </c>
      <c r="C7933" s="1" t="str">
        <f>"1차"</f>
        <v>1차</v>
      </c>
      <c r="D7933" s="1" t="str">
        <f>"9627Q86202"</f>
        <v>9627Q86202</v>
      </c>
      <c r="E7933" s="1" t="s">
        <v>10</v>
      </c>
      <c r="F7933" s="1" t="str">
        <f>"10.128.76.26"</f>
        <v>10.128.76.26</v>
      </c>
      <c r="G7933" s="1" t="str">
        <f>"9627Q862"</f>
        <v>9627Q862</v>
      </c>
      <c r="H7933" s="1" t="str">
        <f>"수색간 55L5"</f>
        <v>수색간 55L5</v>
      </c>
      <c r="I7933" s="1" t="s">
        <v>8</v>
      </c>
      <c r="J7933" s="1" t="str">
        <f>"31/31"</f>
        <v>31/31</v>
      </c>
      <c r="K7933" s="1" t="str">
        <f>"2026-07-29 13:18:10"</f>
        <v>2026-07-29 13:18:10</v>
      </c>
      <c r="L7933" s="1" t="str">
        <f>"2014-11-20 08:54:30"</f>
        <v>2014-11-20 08:54:30</v>
      </c>
      <c r="M7933" s="1" t="s">
        <v>45</v>
      </c>
      <c r="N7933" s="1" t="s">
        <v>38</v>
      </c>
      <c r="O7933" s="1" t="s">
        <v>46</v>
      </c>
    </row>
    <row r="7934" spans="2:15" x14ac:dyDescent="0.3">
      <c r="B7934" s="1" t="s">
        <v>21</v>
      </c>
      <c r="C7934" s="1" t="str">
        <f>"4차"</f>
        <v>4차</v>
      </c>
      <c r="D7934" s="1" t="str">
        <f>"9627Q91539"</f>
        <v>9627Q91539</v>
      </c>
      <c r="E7934" s="1" t="s">
        <v>10</v>
      </c>
      <c r="F7934" s="1" t="str">
        <f>"10.128.76.18"</f>
        <v>10.128.76.18</v>
      </c>
      <c r="G7934" s="1" t="str">
        <f>"9627Q915"</f>
        <v>9627Q915</v>
      </c>
      <c r="H7934" s="1" t="str">
        <f>"성당간 36L1"</f>
        <v>성당간 36L1</v>
      </c>
      <c r="I7934" s="1" t="s">
        <v>17</v>
      </c>
      <c r="J7934" s="1" t="str">
        <f>"46/46"</f>
        <v>46/46</v>
      </c>
      <c r="K7934" s="1" t="str">
        <f>"2026-07-29 13:18:10"</f>
        <v>2026-07-29 13:18:10</v>
      </c>
      <c r="L7934" s="1" t="str">
        <f>"2026-05-13 17:22:44"</f>
        <v>2026-05-13 17:22:44</v>
      </c>
      <c r="M7934" s="1" t="s">
        <v>45</v>
      </c>
      <c r="N7934" s="1" t="s">
        <v>38</v>
      </c>
      <c r="O7934" s="1" t="s">
        <v>46</v>
      </c>
    </row>
    <row r="7935" spans="2:15" x14ac:dyDescent="0.3">
      <c r="B7935" s="1" t="s">
        <v>21</v>
      </c>
      <c r="C7935" s="1" t="str">
        <f>"5-1차"</f>
        <v>5-1차</v>
      </c>
      <c r="D7935" s="1" t="str">
        <f>"9627Q9315M"</f>
        <v>9627Q9315M</v>
      </c>
      <c r="E7935" s="1" t="s">
        <v>10</v>
      </c>
      <c r="F7935" s="1" t="str">
        <f>"fde2:104:0:1ad:0:0:0:2"</f>
        <v>fde2:104:0:1ad:0:0:0:2</v>
      </c>
      <c r="G7935" s="1" t="str">
        <f>"9627Q931"</f>
        <v>9627Q931</v>
      </c>
      <c r="H7935" s="1" t="str">
        <f>"성당간 14L23"</f>
        <v>성당간 14L23</v>
      </c>
      <c r="I7935" s="1" t="s">
        <v>15</v>
      </c>
      <c r="J7935" s="1" t="str">
        <f>"25/25"</f>
        <v>25/25</v>
      </c>
      <c r="K7935" s="1" t="str">
        <f>"2026-07-29 14:21:23"</f>
        <v>2026-07-29 14:21:23</v>
      </c>
      <c r="L7935" s="1" t="str">
        <f>"2022-12-01 14:06:32"</f>
        <v>2022-12-01 14:06:32</v>
      </c>
      <c r="M7935" s="1" t="s">
        <v>42</v>
      </c>
      <c r="N7935" s="1" t="s">
        <v>38</v>
      </c>
      <c r="O7935" s="1" t="s">
        <v>46</v>
      </c>
    </row>
    <row r="7936" spans="2:15" x14ac:dyDescent="0.3">
      <c r="B7936" s="1" t="s">
        <v>21</v>
      </c>
      <c r="C7936" s="1" t="str">
        <f>"1차"</f>
        <v>1차</v>
      </c>
      <c r="D7936" s="1" t="str">
        <f>"9627Q95200"</f>
        <v>9627Q95200</v>
      </c>
      <c r="E7936" s="1" t="s">
        <v>10</v>
      </c>
      <c r="F7936" s="1" t="str">
        <f>"10.128.0.107"</f>
        <v>10.128.0.107</v>
      </c>
      <c r="G7936" s="1" t="str">
        <f>"9627Q952"</f>
        <v>9627Q952</v>
      </c>
      <c r="H7936" s="1" t="str">
        <f>"수색간 54"</f>
        <v>수색간 54</v>
      </c>
      <c r="I7936" s="1" t="s">
        <v>8</v>
      </c>
      <c r="J7936" s="1" t="str">
        <f>"11/11"</f>
        <v>11/11</v>
      </c>
      <c r="K7936" s="1" t="str">
        <f>"2026-07-29 13:18:10"</f>
        <v>2026-07-29 13:18:10</v>
      </c>
      <c r="L7936" s="1" t="str">
        <f>"2014-10-06 19:43:01"</f>
        <v>2014-10-06 19:43:01</v>
      </c>
      <c r="M7936" s="1" t="s">
        <v>45</v>
      </c>
      <c r="N7936" s="1" t="s">
        <v>38</v>
      </c>
      <c r="O7936" s="1" t="s">
        <v>46</v>
      </c>
    </row>
    <row r="7937" spans="2:15" x14ac:dyDescent="0.3">
      <c r="B7937" s="1" t="s">
        <v>21</v>
      </c>
      <c r="C7937" s="1" t="str">
        <f>"5-2차"</f>
        <v>5-2차</v>
      </c>
      <c r="D7937" s="1" t="str">
        <f>"9627R9025M"</f>
        <v>9627R9025M</v>
      </c>
      <c r="E7937" s="1" t="s">
        <v>10</v>
      </c>
      <c r="F7937" s="1" t="str">
        <f>"fde1:103:4:6ebf:0:0:0:2"</f>
        <v>fde1:103:4:6ebf:0:0:0:2</v>
      </c>
      <c r="G7937" s="1" t="str">
        <f>"9627R902"</f>
        <v>9627R902</v>
      </c>
      <c r="H7937" s="1" t="str">
        <f>"성당간 13"</f>
        <v>성당간 13</v>
      </c>
      <c r="I7937" s="1" t="s">
        <v>15</v>
      </c>
      <c r="J7937" s="1" t="str">
        <f>"55/55"</f>
        <v>55/55</v>
      </c>
      <c r="K7937" s="1" t="str">
        <f>"2026-07-29 14:21:48"</f>
        <v>2026-07-29 14:21:48</v>
      </c>
      <c r="L7937" s="1" t="str">
        <f>"2023-11-14 16:21:41"</f>
        <v>2023-11-14 16:21:41</v>
      </c>
      <c r="M7937" s="1" t="s">
        <v>4</v>
      </c>
      <c r="N7937" s="1" t="s">
        <v>38</v>
      </c>
      <c r="O7937" s="1" t="s">
        <v>46</v>
      </c>
    </row>
    <row r="7938" spans="2:15" x14ac:dyDescent="0.3">
      <c r="B7938" s="1" t="s">
        <v>21</v>
      </c>
      <c r="C7938" s="1" t="str">
        <f>"5-2차"</f>
        <v>5-2차</v>
      </c>
      <c r="D7938" s="1" t="str">
        <f>"9627S0215M"</f>
        <v>9627S0215M</v>
      </c>
      <c r="E7938" s="1" t="s">
        <v>10</v>
      </c>
      <c r="F7938" s="1" t="str">
        <f>"fde1:103:4:6ec0:0:0:0:2"</f>
        <v>fde1:103:4:6ec0:0:0:0:2</v>
      </c>
      <c r="G7938" s="1" t="str">
        <f>"9627S021"</f>
        <v>9627S021</v>
      </c>
      <c r="H7938" s="1" t="str">
        <f>"성당간 14L2"</f>
        <v>성당간 14L2</v>
      </c>
      <c r="I7938" s="1" t="s">
        <v>15</v>
      </c>
      <c r="J7938" s="1" t="str">
        <f>"36/36"</f>
        <v>36/36</v>
      </c>
      <c r="K7938" s="1" t="str">
        <f>"2026-07-29 14:21:29"</f>
        <v>2026-07-29 14:21:29</v>
      </c>
      <c r="L7938" s="1" t="str">
        <f>"2023-11-14 16:21:59"</f>
        <v>2023-11-14 16:21:59</v>
      </c>
      <c r="M7938" s="1" t="s">
        <v>4</v>
      </c>
      <c r="N7938" s="1" t="s">
        <v>38</v>
      </c>
      <c r="O7938" s="1" t="s">
        <v>46</v>
      </c>
    </row>
    <row r="7939" spans="2:15" x14ac:dyDescent="0.3">
      <c r="B7939" s="1" t="s">
        <v>21</v>
      </c>
      <c r="C7939" s="1" t="str">
        <f>"1차"</f>
        <v>1차</v>
      </c>
      <c r="D7939" s="1" t="str">
        <f>"9627S07200"</f>
        <v>9627S07200</v>
      </c>
      <c r="E7939" s="1" t="s">
        <v>10</v>
      </c>
      <c r="F7939" s="1" t="str">
        <f>"10.128.76.4"</f>
        <v>10.128.76.4</v>
      </c>
      <c r="G7939" s="1" t="str">
        <f>"9627S072"</f>
        <v>9627S072</v>
      </c>
      <c r="H7939" s="1" t="str">
        <f>"수색간 37L2L2"</f>
        <v>수색간 37L2L2</v>
      </c>
      <c r="I7939" s="1" t="s">
        <v>8</v>
      </c>
      <c r="J7939" s="1" t="str">
        <f>"64/64"</f>
        <v>64/64</v>
      </c>
      <c r="K7939" s="1" t="str">
        <f>"2026-07-29 13:18:10"</f>
        <v>2026-07-29 13:18:10</v>
      </c>
      <c r="L7939" s="1" t="str">
        <f>"2014-11-24 10:24:32"</f>
        <v>2014-11-24 10:24:32</v>
      </c>
      <c r="M7939" s="1" t="s">
        <v>45</v>
      </c>
      <c r="N7939" s="1" t="s">
        <v>38</v>
      </c>
      <c r="O7939" s="1" t="s">
        <v>46</v>
      </c>
    </row>
    <row r="7940" spans="2:15" x14ac:dyDescent="0.3">
      <c r="B7940" s="1" t="s">
        <v>21</v>
      </c>
      <c r="C7940" s="1" t="str">
        <f>"3차"</f>
        <v>3차</v>
      </c>
      <c r="D7940" s="1" t="str">
        <f>"9627S11339"</f>
        <v>9627S11339</v>
      </c>
      <c r="E7940" s="1" t="s">
        <v>10</v>
      </c>
      <c r="F7940" s="1" t="str">
        <f>"10.128.75.42"</f>
        <v>10.128.75.42</v>
      </c>
      <c r="G7940" s="1" t="str">
        <f>"9627S113"</f>
        <v>9627S113</v>
      </c>
      <c r="H7940" s="1" t="str">
        <f>"성당간 20"</f>
        <v>성당간 20</v>
      </c>
      <c r="I7940" s="1" t="s">
        <v>8</v>
      </c>
      <c r="J7940" s="1" t="str">
        <f>"46/46"</f>
        <v>46/46</v>
      </c>
      <c r="K7940" s="1" t="str">
        <f>"2026-07-29 13:18:10"</f>
        <v>2026-07-29 13:18:10</v>
      </c>
      <c r="L7940" s="1" t="str">
        <f>"2018-01-25 17:26:42"</f>
        <v>2018-01-25 17:26:42</v>
      </c>
      <c r="M7940" s="1" t="s">
        <v>45</v>
      </c>
      <c r="N7940" s="1" t="s">
        <v>38</v>
      </c>
      <c r="O7940" s="1" t="s">
        <v>46</v>
      </c>
    </row>
    <row r="7941" spans="2:15" x14ac:dyDescent="0.3">
      <c r="B7941" s="1" t="s">
        <v>21</v>
      </c>
      <c r="C7941" s="1" t="str">
        <f>"3차"</f>
        <v>3차</v>
      </c>
      <c r="D7941" s="1" t="str">
        <f>"9627S23239"</f>
        <v>9627S23239</v>
      </c>
      <c r="E7941" s="1" t="s">
        <v>10</v>
      </c>
      <c r="F7941" s="1" t="str">
        <f>"10.128.75.43"</f>
        <v>10.128.75.43</v>
      </c>
      <c r="G7941" s="1" t="str">
        <f>"9627S232"</f>
        <v>9627S232</v>
      </c>
      <c r="H7941" s="1" t="str">
        <f>"성당간 22"</f>
        <v>성당간 22</v>
      </c>
      <c r="I7941" s="1" t="s">
        <v>8</v>
      </c>
      <c r="J7941" s="1" t="str">
        <f>"6/6"</f>
        <v>6/6</v>
      </c>
      <c r="K7941" s="1" t="str">
        <f>"2026-07-29 13:18:10"</f>
        <v>2026-07-29 13:18:10</v>
      </c>
      <c r="L7941" s="1" t="str">
        <f>"2018-01-25 17:16:58"</f>
        <v>2018-01-25 17:16:58</v>
      </c>
      <c r="M7941" s="1" t="s">
        <v>45</v>
      </c>
      <c r="N7941" s="1" t="s">
        <v>38</v>
      </c>
      <c r="O7941" s="1" t="s">
        <v>46</v>
      </c>
    </row>
    <row r="7942" spans="2:15" x14ac:dyDescent="0.3">
      <c r="B7942" s="1" t="s">
        <v>21</v>
      </c>
      <c r="C7942" s="1" t="str">
        <f>"5-2차"</f>
        <v>5-2차</v>
      </c>
      <c r="D7942" s="1" t="str">
        <f>"9627S2415M"</f>
        <v>9627S2415M</v>
      </c>
      <c r="E7942" s="1" t="s">
        <v>10</v>
      </c>
      <c r="F7942" s="1" t="str">
        <f>"fde1:103:4:6ebc:0:0:0:2"</f>
        <v>fde1:103:4:6ebc:0:0:0:2</v>
      </c>
      <c r="G7942" s="1" t="str">
        <f>"9627S241"</f>
        <v>9627S241</v>
      </c>
      <c r="H7942" s="1" t="str">
        <f>"성당간 14L6"</f>
        <v>성당간 14L6</v>
      </c>
      <c r="I7942" s="1" t="s">
        <v>15</v>
      </c>
      <c r="J7942" s="1" t="str">
        <f>"32/34"</f>
        <v>32/34</v>
      </c>
      <c r="K7942" s="1" t="str">
        <f>"2026-07-29 14:21:21"</f>
        <v>2026-07-29 14:21:21</v>
      </c>
      <c r="L7942" s="1" t="str">
        <f>"2023-11-14 16:21:57"</f>
        <v>2023-11-14 16:21:57</v>
      </c>
      <c r="M7942" s="1" t="s">
        <v>4</v>
      </c>
      <c r="N7942" s="1" t="s">
        <v>38</v>
      </c>
      <c r="O7942" s="1" t="s">
        <v>46</v>
      </c>
    </row>
    <row r="7943" spans="2:15" x14ac:dyDescent="0.3">
      <c r="B7943" s="1" t="s">
        <v>21</v>
      </c>
      <c r="C7943" s="1" t="str">
        <f>"1차"</f>
        <v>1차</v>
      </c>
      <c r="D7943" s="1" t="str">
        <f>"9627S26200"</f>
        <v>9627S26200</v>
      </c>
      <c r="E7943" s="1" t="s">
        <v>10</v>
      </c>
      <c r="F7943" s="1" t="str">
        <f>"10.128.75.34"</f>
        <v>10.128.75.34</v>
      </c>
      <c r="G7943" s="1" t="str">
        <f>"9627S262"</f>
        <v>9627S262</v>
      </c>
      <c r="H7943" s="1" t="str">
        <f>"성당간 14L13L5"</f>
        <v>성당간 14L13L5</v>
      </c>
      <c r="I7943" s="1" t="s">
        <v>8</v>
      </c>
      <c r="J7943" s="1" t="str">
        <f>"48/48"</f>
        <v>48/48</v>
      </c>
      <c r="K7943" s="1" t="str">
        <f>"2026-07-29 13:18:10"</f>
        <v>2026-07-29 13:18:10</v>
      </c>
      <c r="L7943" s="1" t="str">
        <f>"2014-11-20 13:39:37"</f>
        <v>2014-11-20 13:39:37</v>
      </c>
      <c r="M7943" s="1" t="s">
        <v>45</v>
      </c>
      <c r="N7943" s="1" t="s">
        <v>38</v>
      </c>
      <c r="O7943" s="1" t="s">
        <v>46</v>
      </c>
    </row>
    <row r="7944" spans="2:15" x14ac:dyDescent="0.3">
      <c r="B7944" s="1" t="s">
        <v>21</v>
      </c>
      <c r="C7944" s="1" t="str">
        <f>"1차"</f>
        <v>1차</v>
      </c>
      <c r="D7944" s="1" t="str">
        <f>"9627S27101"</f>
        <v>9627S27101</v>
      </c>
      <c r="E7944" s="1" t="s">
        <v>10</v>
      </c>
      <c r="F7944" s="1" t="str">
        <f>"10.128.75.35"</f>
        <v>10.128.75.35</v>
      </c>
      <c r="G7944" s="1" t="str">
        <f>"9627S271"</f>
        <v>9627S271</v>
      </c>
      <c r="H7944" s="1" t="str">
        <f>"성당간 14L13L4R1"</f>
        <v>성당간 14L13L4R1</v>
      </c>
      <c r="I7944" s="1" t="s">
        <v>8</v>
      </c>
      <c r="J7944" s="1" t="str">
        <f>"31/31"</f>
        <v>31/31</v>
      </c>
      <c r="K7944" s="1" t="str">
        <f>"2026-07-29 13:18:10"</f>
        <v>2026-07-29 13:18:10</v>
      </c>
      <c r="L7944" s="1" t="str">
        <f>"2014-12-25 00:13:27"</f>
        <v>2014-12-25 00:13:27</v>
      </c>
      <c r="M7944" s="1" t="s">
        <v>45</v>
      </c>
      <c r="N7944" s="1" t="s">
        <v>38</v>
      </c>
      <c r="O7944" s="1" t="s">
        <v>46</v>
      </c>
    </row>
    <row r="7945" spans="2:15" x14ac:dyDescent="0.3">
      <c r="B7945" s="1" t="s">
        <v>21</v>
      </c>
      <c r="C7945" s="1" t="str">
        <f>"4차"</f>
        <v>4차</v>
      </c>
      <c r="D7945" s="1" t="str">
        <f>"9627S28244"</f>
        <v>9627S28244</v>
      </c>
      <c r="E7945" s="1" t="s">
        <v>10</v>
      </c>
      <c r="F7945" s="1" t="str">
        <f>"10.128.76.3"</f>
        <v>10.128.76.3</v>
      </c>
      <c r="G7945" s="1" t="str">
        <f>"9627S282"</f>
        <v>9627S282</v>
      </c>
      <c r="H7945" s="1" t="str">
        <f>"수색간 37"</f>
        <v>수색간 37</v>
      </c>
      <c r="I7945" s="1" t="s">
        <v>8</v>
      </c>
      <c r="J7945" s="1" t="str">
        <f>"68/69"</f>
        <v>68/69</v>
      </c>
      <c r="K7945" s="1" t="str">
        <f>"2026-07-29 13:18:10"</f>
        <v>2026-07-29 13:18:10</v>
      </c>
      <c r="L7945" s="1" t="str">
        <f>"2023-07-18 18:00:38"</f>
        <v>2023-07-18 18:00:38</v>
      </c>
      <c r="M7945" s="1" t="s">
        <v>45</v>
      </c>
      <c r="N7945" s="1" t="s">
        <v>38</v>
      </c>
      <c r="O7945" s="1" t="s">
        <v>46</v>
      </c>
    </row>
    <row r="7946" spans="2:15" x14ac:dyDescent="0.3">
      <c r="B7946" s="1" t="s">
        <v>21</v>
      </c>
      <c r="C7946" s="1" t="str">
        <f>"4차"</f>
        <v>4차</v>
      </c>
      <c r="D7946" s="1" t="str">
        <f>"9627S30144"</f>
        <v>9627S30144</v>
      </c>
      <c r="E7946" s="1" t="s">
        <v>10</v>
      </c>
      <c r="F7946" s="1" t="str">
        <f>"10.12.131.3"</f>
        <v>10.12.131.3</v>
      </c>
      <c r="G7946" s="1" t="str">
        <f>"9627S301"</f>
        <v>9627S301</v>
      </c>
      <c r="H7946" s="1" t="str">
        <f>"와산간 12"</f>
        <v>와산간 12</v>
      </c>
      <c r="I7946" s="1" t="s">
        <v>8</v>
      </c>
      <c r="J7946" s="1" t="str">
        <f>"36/36"</f>
        <v>36/36</v>
      </c>
      <c r="K7946" s="1" t="str">
        <f>"2026-07-29 13:18:12"</f>
        <v>2026-07-29 13:18:12</v>
      </c>
      <c r="L7946" s="1" t="str">
        <f>"2020-06-23 13:24:50"</f>
        <v>2020-06-23 13:24:50</v>
      </c>
      <c r="M7946" s="1" t="s">
        <v>0</v>
      </c>
      <c r="N7946" s="1" t="s">
        <v>38</v>
      </c>
      <c r="O7946" s="1" t="s">
        <v>46</v>
      </c>
    </row>
    <row r="7947" spans="2:15" x14ac:dyDescent="0.3">
      <c r="B7947" s="1" t="s">
        <v>21</v>
      </c>
      <c r="C7947" s="1" t="str">
        <f>"6차"</f>
        <v>6차</v>
      </c>
      <c r="D7947" s="1" t="str">
        <f>"9627S3716S"</f>
        <v>9627S3716S</v>
      </c>
      <c r="E7947" s="1" t="s">
        <v>10</v>
      </c>
      <c r="F7947" s="1" t="str">
        <f>"fde1:103:4:93dd:0:0:0:2"</f>
        <v>fde1:103:4:93dd:0:0:0:2</v>
      </c>
      <c r="G7947" s="1" t="str">
        <f>"9627S371"</f>
        <v>9627S371</v>
      </c>
      <c r="H7947" s="1" t="str">
        <f>"성당간 14L13L2"</f>
        <v>성당간 14L13L2</v>
      </c>
      <c r="I7947" s="1" t="s">
        <v>15</v>
      </c>
      <c r="J7947" s="1" t="str">
        <f>"38/38"</f>
        <v>38/38</v>
      </c>
      <c r="K7947" s="1" t="str">
        <f>"2026-07-29 14:20:55"</f>
        <v>2026-07-29 14:20:55</v>
      </c>
      <c r="L7947" s="1" t="str">
        <f>"2025-01-21 10:44:06"</f>
        <v>2025-01-21 10:44:06</v>
      </c>
      <c r="M7947" s="1" t="s">
        <v>4</v>
      </c>
      <c r="N7947" s="1" t="s">
        <v>38</v>
      </c>
      <c r="O7947" s="1" t="s">
        <v>46</v>
      </c>
    </row>
    <row r="7948" spans="2:15" x14ac:dyDescent="0.3">
      <c r="B7948" s="1" t="s">
        <v>21</v>
      </c>
      <c r="C7948" s="1" t="str">
        <f>"4차"</f>
        <v>4차</v>
      </c>
      <c r="D7948" s="1" t="str">
        <f>"9627S40144"</f>
        <v>9627S40144</v>
      </c>
      <c r="E7948" s="1" t="s">
        <v>10</v>
      </c>
      <c r="F7948" s="1" t="str">
        <f>"10.12.131.9"</f>
        <v>10.12.131.9</v>
      </c>
      <c r="G7948" s="1" t="str">
        <f>"9627S401"</f>
        <v>9627S401</v>
      </c>
      <c r="H7948" s="1" t="str">
        <f>"와산간 13R4"</f>
        <v>와산간 13R4</v>
      </c>
      <c r="I7948" s="1" t="s">
        <v>8</v>
      </c>
      <c r="J7948" s="1" t="str">
        <f>"15/16"</f>
        <v>15/16</v>
      </c>
      <c r="K7948" s="1" t="str">
        <f>"2026-07-29 13:18:12"</f>
        <v>2026-07-29 13:18:12</v>
      </c>
      <c r="L7948" s="1" t="str">
        <f>"2020-06-23 13:26:54"</f>
        <v>2020-06-23 13:26:54</v>
      </c>
      <c r="M7948" s="1" t="s">
        <v>0</v>
      </c>
      <c r="N7948" s="1" t="s">
        <v>38</v>
      </c>
      <c r="O7948" s="1" t="s">
        <v>46</v>
      </c>
    </row>
    <row r="7949" spans="2:15" x14ac:dyDescent="0.3">
      <c r="B7949" s="1" t="s">
        <v>21</v>
      </c>
      <c r="C7949" s="1" t="str">
        <f>"4차"</f>
        <v>4차</v>
      </c>
      <c r="D7949" s="1" t="str">
        <f>"9627S40239"</f>
        <v>9627S40239</v>
      </c>
      <c r="E7949" s="1" t="str">
        <f>"검침실패(3시간 이상)"</f>
        <v>검침실패(3시간 이상)</v>
      </c>
      <c r="F7949" s="1" t="str">
        <f>"10.12.130.144"</f>
        <v>10.12.130.144</v>
      </c>
      <c r="G7949" s="1" t="str">
        <f>"9627S402"</f>
        <v>9627S402</v>
      </c>
      <c r="H7949" s="1" t="str">
        <f>"와산간 13R3"</f>
        <v>와산간 13R3</v>
      </c>
      <c r="I7949" s="1" t="s">
        <v>8</v>
      </c>
      <c r="J7949" s="1" t="str">
        <f>"0/75"</f>
        <v>0/75</v>
      </c>
      <c r="K7949" s="1" t="str">
        <f>"2026-07-21 07:18:11"</f>
        <v>2026-07-21 07:18:11</v>
      </c>
      <c r="L7949" s="1" t="str">
        <f>"2020-06-10 14:15:36"</f>
        <v>2020-06-10 14:15:36</v>
      </c>
      <c r="M7949" s="1" t="s">
        <v>0</v>
      </c>
      <c r="N7949" s="1" t="s">
        <v>38</v>
      </c>
      <c r="O7949" s="1" t="s">
        <v>46</v>
      </c>
    </row>
    <row r="7950" spans="2:15" x14ac:dyDescent="0.3">
      <c r="B7950" s="1" t="s">
        <v>21</v>
      </c>
      <c r="C7950" s="1" t="str">
        <f>"4차"</f>
        <v>4차</v>
      </c>
      <c r="D7950" s="1" t="str">
        <f>"9627S42144"</f>
        <v>9627S42144</v>
      </c>
      <c r="E7950" s="1" t="s">
        <v>10</v>
      </c>
      <c r="F7950" s="1" t="str">
        <f>"10.128.115.211"</f>
        <v>10.128.115.211</v>
      </c>
      <c r="G7950" s="1" t="str">
        <f>"9627S421"</f>
        <v>9627S421</v>
      </c>
      <c r="H7950" s="1" t="str">
        <f>"와산간 15"</f>
        <v>와산간 15</v>
      </c>
      <c r="I7950" s="1" t="s">
        <v>8</v>
      </c>
      <c r="J7950" s="1" t="str">
        <f>"10/10"</f>
        <v>10/10</v>
      </c>
      <c r="K7950" s="1" t="str">
        <f>"2026-07-29 13:18:10"</f>
        <v>2026-07-29 13:18:10</v>
      </c>
      <c r="L7950" s="1" t="str">
        <f>"2020-06-16 14:22:29"</f>
        <v>2020-06-16 14:22:29</v>
      </c>
      <c r="M7950" s="1" t="s">
        <v>45</v>
      </c>
      <c r="N7950" s="1" t="s">
        <v>38</v>
      </c>
      <c r="O7950" s="1" t="s">
        <v>46</v>
      </c>
    </row>
    <row r="7951" spans="2:15" x14ac:dyDescent="0.3">
      <c r="B7951" s="1" t="s">
        <v>21</v>
      </c>
      <c r="C7951" s="1" t="str">
        <f>"4차"</f>
        <v>4차</v>
      </c>
      <c r="D7951" s="1" t="str">
        <f>"9627S49241"</f>
        <v>9627S49241</v>
      </c>
      <c r="E7951" s="1" t="s">
        <v>10</v>
      </c>
      <c r="F7951" s="1" t="str">
        <f>"10.14.5.109"</f>
        <v>10.14.5.109</v>
      </c>
      <c r="G7951" s="1" t="str">
        <f>"9627S492"</f>
        <v>9627S492</v>
      </c>
      <c r="H7951" s="1" t="str">
        <f>"성당간 14L13L1R3"</f>
        <v>성당간 14L13L1R3</v>
      </c>
      <c r="I7951" s="1" t="s">
        <v>17</v>
      </c>
      <c r="J7951" s="1" t="str">
        <f>"23/24"</f>
        <v>23/24</v>
      </c>
      <c r="K7951" s="1" t="str">
        <f>"2026-07-29 13:18:12"</f>
        <v>2026-07-29 13:18:12</v>
      </c>
      <c r="L7951" s="1" t="str">
        <f>"2021-08-10 07:44:21"</f>
        <v>2021-08-10 07:44:21</v>
      </c>
      <c r="M7951" s="1" t="s">
        <v>3</v>
      </c>
      <c r="N7951" s="1" t="s">
        <v>38</v>
      </c>
      <c r="O7951" s="1" t="s">
        <v>46</v>
      </c>
    </row>
    <row r="7952" spans="2:15" x14ac:dyDescent="0.3">
      <c r="B7952" s="1" t="s">
        <v>21</v>
      </c>
      <c r="C7952" s="1" t="str">
        <f>"4차"</f>
        <v>4차</v>
      </c>
      <c r="D7952" s="1" t="str">
        <f>"9627S53144"</f>
        <v>9627S53144</v>
      </c>
      <c r="E7952" s="1" t="s">
        <v>10</v>
      </c>
      <c r="F7952" s="1" t="str">
        <f>"10.128.115.212"</f>
        <v>10.128.115.212</v>
      </c>
      <c r="G7952" s="1" t="str">
        <f>"9627S531"</f>
        <v>9627S531</v>
      </c>
      <c r="H7952" s="1" t="str">
        <f>"와산간 16"</f>
        <v>와산간 16</v>
      </c>
      <c r="I7952" s="1" t="s">
        <v>8</v>
      </c>
      <c r="J7952" s="1" t="str">
        <f>"14/14"</f>
        <v>14/14</v>
      </c>
      <c r="K7952" s="1" t="str">
        <f>"2026-07-29 13:18:10"</f>
        <v>2026-07-29 13:18:10</v>
      </c>
      <c r="L7952" s="1" t="str">
        <f>"2020-06-17 13:51:14"</f>
        <v>2020-06-17 13:51:14</v>
      </c>
      <c r="M7952" s="1" t="s">
        <v>45</v>
      </c>
      <c r="N7952" s="1" t="s">
        <v>38</v>
      </c>
      <c r="O7952" s="1" t="s">
        <v>46</v>
      </c>
    </row>
    <row r="7953" spans="2:15" x14ac:dyDescent="0.3">
      <c r="B7953" s="1" t="s">
        <v>21</v>
      </c>
      <c r="C7953" s="1" t="str">
        <f>"3차"</f>
        <v>3차</v>
      </c>
      <c r="D7953" s="1" t="str">
        <f>"9627S60139"</f>
        <v>9627S60139</v>
      </c>
      <c r="E7953" s="1" t="s">
        <v>10</v>
      </c>
      <c r="F7953" s="1" t="str">
        <f>"10.11.101.82"</f>
        <v>10.11.101.82</v>
      </c>
      <c r="G7953" s="1" t="str">
        <f>"9627S601"</f>
        <v>9627S601</v>
      </c>
      <c r="H7953" s="1" t="str">
        <f>"와산간 13R14L1"</f>
        <v>와산간 13R14L1</v>
      </c>
      <c r="I7953" s="1" t="s">
        <v>8</v>
      </c>
      <c r="J7953" s="1" t="str">
        <f>"20/20"</f>
        <v>20/20</v>
      </c>
      <c r="K7953" s="1" t="str">
        <f>"2026-07-29 13:18:11"</f>
        <v>2026-07-29 13:18:11</v>
      </c>
      <c r="L7953" s="1" t="str">
        <f>"2020-06-15 19:48:33"</f>
        <v>2020-06-15 19:48:33</v>
      </c>
      <c r="M7953" s="1" t="s">
        <v>2</v>
      </c>
      <c r="N7953" s="1" t="s">
        <v>38</v>
      </c>
      <c r="O7953" s="1" t="s">
        <v>46</v>
      </c>
    </row>
    <row r="7954" spans="2:15" x14ac:dyDescent="0.3">
      <c r="B7954" s="1" t="s">
        <v>21</v>
      </c>
      <c r="C7954" s="1" t="str">
        <f>"4차"</f>
        <v>4차</v>
      </c>
      <c r="D7954" s="1" t="str">
        <f>"9627S60244"</f>
        <v>9627S60244</v>
      </c>
      <c r="E7954" s="1" t="s">
        <v>10</v>
      </c>
      <c r="F7954" s="1" t="str">
        <f>"10.14.13.121"</f>
        <v>10.14.13.121</v>
      </c>
      <c r="G7954" s="1" t="str">
        <f>"9627S602"</f>
        <v>9627S602</v>
      </c>
      <c r="H7954" s="1" t="str">
        <f>"와산간 13R14L2"</f>
        <v>와산간 13R14L2</v>
      </c>
      <c r="I7954" s="1" t="s">
        <v>8</v>
      </c>
      <c r="J7954" s="1" t="str">
        <f>"37/37"</f>
        <v>37/37</v>
      </c>
      <c r="K7954" s="1" t="str">
        <f>"2026-07-29 13:18:11"</f>
        <v>2026-07-29 13:18:11</v>
      </c>
      <c r="L7954" s="1" t="str">
        <f>"2020-06-23 13:26:17"</f>
        <v>2020-06-23 13:26:17</v>
      </c>
      <c r="M7954" s="1" t="s">
        <v>3</v>
      </c>
      <c r="N7954" s="1" t="s">
        <v>38</v>
      </c>
      <c r="O7954" s="1" t="s">
        <v>46</v>
      </c>
    </row>
    <row r="7955" spans="2:15" x14ac:dyDescent="0.3">
      <c r="B7955" s="1" t="s">
        <v>21</v>
      </c>
      <c r="C7955" s="1" t="str">
        <f>"1차"</f>
        <v>1차</v>
      </c>
      <c r="D7955" s="1" t="str">
        <f>"9627S60300"</f>
        <v>9627S60300</v>
      </c>
      <c r="E7955" s="1" t="s">
        <v>10</v>
      </c>
      <c r="F7955" s="1" t="str">
        <f>"10.128.96.202"</f>
        <v>10.128.96.202</v>
      </c>
      <c r="G7955" s="1" t="str">
        <f>"9627S603"</f>
        <v>9627S603</v>
      </c>
      <c r="H7955" s="1" t="str">
        <f>"와산간 13R14"</f>
        <v>와산간 13R14</v>
      </c>
      <c r="I7955" s="1" t="s">
        <v>8</v>
      </c>
      <c r="J7955" s="1" t="str">
        <f>"27/27"</f>
        <v>27/27</v>
      </c>
      <c r="K7955" s="1" t="str">
        <f>"2026-07-29 13:18:11"</f>
        <v>2026-07-29 13:18:11</v>
      </c>
      <c r="L7955" s="1" t="str">
        <f>"2016-04-14 15:45:59"</f>
        <v>2016-04-14 15:45:59</v>
      </c>
      <c r="M7955" s="1" t="s">
        <v>45</v>
      </c>
      <c r="N7955" s="1" t="s">
        <v>38</v>
      </c>
      <c r="O7955" s="1" t="s">
        <v>46</v>
      </c>
    </row>
    <row r="7956" spans="2:15" x14ac:dyDescent="0.3">
      <c r="B7956" s="1" t="s">
        <v>21</v>
      </c>
      <c r="C7956" s="1" t="str">
        <f>"4차"</f>
        <v>4차</v>
      </c>
      <c r="D7956" s="1" t="str">
        <f>"9627S62144"</f>
        <v>9627S62144</v>
      </c>
      <c r="E7956" s="1" t="s">
        <v>10</v>
      </c>
      <c r="F7956" s="1" t="str">
        <f>"10.14.10.193"</f>
        <v>10.14.10.193</v>
      </c>
      <c r="G7956" s="1" t="str">
        <f>"9627S621"</f>
        <v>9627S621</v>
      </c>
      <c r="H7956" s="1" t="str">
        <f>"와산간 18R1R1"</f>
        <v>와산간 18R1R1</v>
      </c>
      <c r="I7956" s="1" t="s">
        <v>8</v>
      </c>
      <c r="J7956" s="1" t="str">
        <f>"37/42"</f>
        <v>37/42</v>
      </c>
      <c r="K7956" s="1" t="str">
        <f>"2026-07-29 13:18:10"</f>
        <v>2026-07-29 13:18:10</v>
      </c>
      <c r="L7956" s="1" t="str">
        <f>"2020-06-16 15:37:43"</f>
        <v>2020-06-16 15:37:43</v>
      </c>
      <c r="M7956" s="1" t="s">
        <v>3</v>
      </c>
      <c r="N7956" s="1" t="s">
        <v>38</v>
      </c>
      <c r="O7956" s="1" t="s">
        <v>46</v>
      </c>
    </row>
    <row r="7957" spans="2:15" x14ac:dyDescent="0.3">
      <c r="B7957" s="1" t="s">
        <v>21</v>
      </c>
      <c r="C7957" s="1" t="str">
        <f>"3차"</f>
        <v>3차</v>
      </c>
      <c r="D7957" s="1" t="str">
        <f>"9627S64139"</f>
        <v>9627S64139</v>
      </c>
      <c r="E7957" s="1" t="s">
        <v>10</v>
      </c>
      <c r="F7957" s="1" t="str">
        <f>"10.128.115.210"</f>
        <v>10.128.115.210</v>
      </c>
      <c r="G7957" s="1" t="str">
        <f>"9627S641"</f>
        <v>9627S641</v>
      </c>
      <c r="H7957" s="1" t="str">
        <f>"와산간 18"</f>
        <v>와산간 18</v>
      </c>
      <c r="I7957" s="1" t="s">
        <v>8</v>
      </c>
      <c r="J7957" s="1" t="str">
        <f>"49/49"</f>
        <v>49/49</v>
      </c>
      <c r="K7957" s="1" t="str">
        <f>"2026-07-29 13:18:11"</f>
        <v>2026-07-29 13:18:11</v>
      </c>
      <c r="L7957" s="1" t="str">
        <f>"2020-06-10 13:44:37"</f>
        <v>2020-06-10 13:44:37</v>
      </c>
      <c r="M7957" s="1" t="s">
        <v>45</v>
      </c>
      <c r="N7957" s="1" t="s">
        <v>38</v>
      </c>
      <c r="O7957" s="1" t="s">
        <v>46</v>
      </c>
    </row>
    <row r="7958" spans="2:15" x14ac:dyDescent="0.3">
      <c r="B7958" s="1" t="s">
        <v>21</v>
      </c>
      <c r="C7958" s="1" t="str">
        <f>"4차"</f>
        <v>4차</v>
      </c>
      <c r="D7958" s="1" t="str">
        <f>"9627S69439"</f>
        <v>9627S69439</v>
      </c>
      <c r="E7958" s="1" t="s">
        <v>14</v>
      </c>
      <c r="F7958" s="1" t="str">
        <f>"10.12.131.216"</f>
        <v>10.12.131.216</v>
      </c>
      <c r="G7958" s="1" t="str">
        <f>"9627S694"</f>
        <v>9627S694</v>
      </c>
      <c r="H7958" s="1" t="str">
        <f>"수신간 20A1"</f>
        <v>수신간 20A1</v>
      </c>
      <c r="I7958" s="1" t="s">
        <v>17</v>
      </c>
      <c r="J7958" s="1" t="str">
        <f>"0/0"</f>
        <v>0/0</v>
      </c>
      <c r="K7958" s="1" t="str">
        <f>"2025-09-12 20:03:44"</f>
        <v>2025-09-12 20:03:44</v>
      </c>
      <c r="L7958" s="1" t="str">
        <f>"2018-10-18 14:40:15"</f>
        <v>2018-10-18 14:40:15</v>
      </c>
      <c r="M7958" s="1" t="s">
        <v>0</v>
      </c>
      <c r="N7958" s="1" t="s">
        <v>39</v>
      </c>
      <c r="O7958" s="1" t="s">
        <v>46</v>
      </c>
    </row>
    <row r="7959" spans="2:15" x14ac:dyDescent="0.3">
      <c r="B7959" s="1" t="s">
        <v>21</v>
      </c>
      <c r="C7959" s="1" t="str">
        <f>"3차"</f>
        <v>3차</v>
      </c>
      <c r="D7959" s="1" t="str">
        <f>"9627S72139"</f>
        <v>9627S72139</v>
      </c>
      <c r="E7959" s="1" t="s">
        <v>10</v>
      </c>
      <c r="F7959" s="1" t="str">
        <f>"10.14.13.200"</f>
        <v>10.14.13.200</v>
      </c>
      <c r="G7959" s="1" t="str">
        <f>"9627S721"</f>
        <v>9627S721</v>
      </c>
      <c r="H7959" s="1" t="str">
        <f>"와산간 13R17L1"</f>
        <v>와산간 13R17L1</v>
      </c>
      <c r="I7959" s="1" t="s">
        <v>8</v>
      </c>
      <c r="J7959" s="1" t="str">
        <f>"69/69"</f>
        <v>69/69</v>
      </c>
      <c r="K7959" s="1" t="str">
        <f>"2026-07-29 13:18:11"</f>
        <v>2026-07-29 13:18:11</v>
      </c>
      <c r="L7959" s="1" t="str">
        <f>"2020-06-15 19:40:17"</f>
        <v>2020-06-15 19:40:17</v>
      </c>
      <c r="M7959" s="1" t="s">
        <v>3</v>
      </c>
      <c r="N7959" s="1" t="s">
        <v>38</v>
      </c>
      <c r="O7959" s="1" t="s">
        <v>46</v>
      </c>
    </row>
    <row r="7960" spans="2:15" x14ac:dyDescent="0.3">
      <c r="B7960" s="1" t="s">
        <v>21</v>
      </c>
      <c r="C7960" s="1" t="str">
        <f>"4차"</f>
        <v>4차</v>
      </c>
      <c r="D7960" s="1" t="str">
        <f>"9627S73239"</f>
        <v>9627S73239</v>
      </c>
      <c r="E7960" s="1" t="s">
        <v>10</v>
      </c>
      <c r="F7960" s="1" t="str">
        <f>"10.14.10.194"</f>
        <v>10.14.10.194</v>
      </c>
      <c r="G7960" s="1" t="str">
        <f>"9627S732"</f>
        <v>9627S732</v>
      </c>
      <c r="H7960" s="1" t="str">
        <f>"와산간 18R1"</f>
        <v>와산간 18R1</v>
      </c>
      <c r="I7960" s="1" t="s">
        <v>8</v>
      </c>
      <c r="J7960" s="1" t="str">
        <f>"56/56"</f>
        <v>56/56</v>
      </c>
      <c r="K7960" s="1" t="str">
        <f>"2026-07-29 13:18:11"</f>
        <v>2026-07-29 13:18:11</v>
      </c>
      <c r="L7960" s="1" t="str">
        <f>"2020-06-15 19:28:12"</f>
        <v>2020-06-15 19:28:12</v>
      </c>
      <c r="M7960" s="1" t="s">
        <v>3</v>
      </c>
      <c r="N7960" s="1" t="s">
        <v>38</v>
      </c>
      <c r="O7960" s="1" t="s">
        <v>46</v>
      </c>
    </row>
    <row r="7961" spans="2:15" x14ac:dyDescent="0.3">
      <c r="B7961" s="1" t="s">
        <v>21</v>
      </c>
      <c r="C7961" s="1" t="str">
        <f>"1차"</f>
        <v>1차</v>
      </c>
      <c r="D7961" s="1" t="str">
        <f>"9627S74100"</f>
        <v>9627S74100</v>
      </c>
      <c r="E7961" s="1" t="s">
        <v>10</v>
      </c>
      <c r="F7961" s="1" t="str">
        <f>"10.128.96.98"</f>
        <v>10.128.96.98</v>
      </c>
      <c r="G7961" s="1" t="str">
        <f>"9627S741"</f>
        <v>9627S741</v>
      </c>
      <c r="H7961" s="1" t="str">
        <f>"와산간 18R2"</f>
        <v>와산간 18R2</v>
      </c>
      <c r="I7961" s="1" t="s">
        <v>8</v>
      </c>
      <c r="J7961" s="1" t="str">
        <f>"47/51"</f>
        <v>47/51</v>
      </c>
      <c r="K7961" s="1" t="str">
        <f>"2026-07-29 01:18:01"</f>
        <v>2026-07-29 01:18:01</v>
      </c>
      <c r="L7961" s="1" t="str">
        <f>"2014-12-05 17:05:07"</f>
        <v>2014-12-05 17:05:07</v>
      </c>
      <c r="M7961" s="1" t="s">
        <v>45</v>
      </c>
      <c r="N7961" s="1" t="s">
        <v>38</v>
      </c>
      <c r="O7961" s="1" t="s">
        <v>46</v>
      </c>
    </row>
    <row r="7962" spans="2:15" x14ac:dyDescent="0.3">
      <c r="B7962" s="1" t="s">
        <v>21</v>
      </c>
      <c r="C7962" s="1" t="str">
        <f>"3차"</f>
        <v>3차</v>
      </c>
      <c r="D7962" s="1" t="str">
        <f>"9627S76239"</f>
        <v>9627S76239</v>
      </c>
      <c r="E7962" s="1" t="s">
        <v>10</v>
      </c>
      <c r="F7962" s="1" t="str">
        <f>"10.128.114.98"</f>
        <v>10.128.114.98</v>
      </c>
      <c r="G7962" s="1" t="str">
        <f>"9627S762"</f>
        <v>9627S762</v>
      </c>
      <c r="H7962" s="1" t="str">
        <f>"와산간 22"</f>
        <v>와산간 22</v>
      </c>
      <c r="I7962" s="1" t="s">
        <v>8</v>
      </c>
      <c r="J7962" s="1" t="str">
        <f>"8/8"</f>
        <v>8/8</v>
      </c>
      <c r="K7962" s="1" t="str">
        <f t="shared" ref="K7962:K7967" si="386">"2026-07-29 13:18:11"</f>
        <v>2026-07-29 13:18:11</v>
      </c>
      <c r="L7962" s="1" t="str">
        <f>"2018-05-10 16:49:11"</f>
        <v>2018-05-10 16:49:11</v>
      </c>
      <c r="M7962" s="1" t="s">
        <v>45</v>
      </c>
      <c r="N7962" s="1" t="s">
        <v>38</v>
      </c>
      <c r="O7962" s="1" t="s">
        <v>46</v>
      </c>
    </row>
    <row r="7963" spans="2:15" x14ac:dyDescent="0.3">
      <c r="B7963" s="1" t="s">
        <v>21</v>
      </c>
      <c r="C7963" s="1" t="str">
        <f>"1차"</f>
        <v>1차</v>
      </c>
      <c r="D7963" s="1" t="str">
        <f>"9627S80202"</f>
        <v>9627S80202</v>
      </c>
      <c r="E7963" s="1" t="s">
        <v>10</v>
      </c>
      <c r="F7963" s="1" t="str">
        <f>"10.12.137.38"</f>
        <v>10.12.137.38</v>
      </c>
      <c r="G7963" s="1" t="str">
        <f>"9627S802"</f>
        <v>9627S802</v>
      </c>
      <c r="H7963" s="1" t="str">
        <f>"와산간 13R12R2L2"</f>
        <v>와산간 13R12R2L2</v>
      </c>
      <c r="I7963" s="1" t="s">
        <v>8</v>
      </c>
      <c r="J7963" s="1" t="str">
        <f>"45/45"</f>
        <v>45/45</v>
      </c>
      <c r="K7963" s="1" t="str">
        <f t="shared" si="386"/>
        <v>2026-07-29 13:18:11</v>
      </c>
      <c r="L7963" s="1" t="str">
        <f>"2014-10-13 11:11:56"</f>
        <v>2014-10-13 11:11:56</v>
      </c>
      <c r="M7963" s="1" t="s">
        <v>0</v>
      </c>
      <c r="N7963" s="1" t="s">
        <v>38</v>
      </c>
      <c r="O7963" s="1" t="s">
        <v>46</v>
      </c>
    </row>
    <row r="7964" spans="2:15" x14ac:dyDescent="0.3">
      <c r="B7964" s="1" t="s">
        <v>21</v>
      </c>
      <c r="C7964" s="1" t="str">
        <f>"3차"</f>
        <v>3차</v>
      </c>
      <c r="D7964" s="1" t="str">
        <f>"9627S81139"</f>
        <v>9627S81139</v>
      </c>
      <c r="E7964" s="1" t="s">
        <v>10</v>
      </c>
      <c r="F7964" s="1" t="str">
        <f>"10.11.101.90"</f>
        <v>10.11.101.90</v>
      </c>
      <c r="G7964" s="1" t="str">
        <f>"9627S811"</f>
        <v>9627S811</v>
      </c>
      <c r="H7964" s="1" t="str">
        <f>"와산간 13R16"</f>
        <v>와산간 13R16</v>
      </c>
      <c r="I7964" s="1" t="s">
        <v>8</v>
      </c>
      <c r="J7964" s="1" t="str">
        <f>"30/30"</f>
        <v>30/30</v>
      </c>
      <c r="K7964" s="1" t="str">
        <f t="shared" si="386"/>
        <v>2026-07-29 13:18:11</v>
      </c>
      <c r="L7964" s="1" t="str">
        <f>"2020-06-15 19:39:46"</f>
        <v>2020-06-15 19:39:46</v>
      </c>
      <c r="M7964" s="1" t="s">
        <v>2</v>
      </c>
      <c r="N7964" s="1" t="s">
        <v>38</v>
      </c>
      <c r="O7964" s="1" t="s">
        <v>46</v>
      </c>
    </row>
    <row r="7965" spans="2:15" x14ac:dyDescent="0.3">
      <c r="B7965" s="1" t="s">
        <v>21</v>
      </c>
      <c r="C7965" s="1" t="str">
        <f>"3차"</f>
        <v>3차</v>
      </c>
      <c r="D7965" s="1" t="str">
        <f>"9627S81239"</f>
        <v>9627S81239</v>
      </c>
      <c r="E7965" s="1" t="s">
        <v>10</v>
      </c>
      <c r="F7965" s="1" t="str">
        <f>"10.11.101.98"</f>
        <v>10.11.101.98</v>
      </c>
      <c r="G7965" s="1" t="str">
        <f>"9627S812"</f>
        <v>9627S812</v>
      </c>
      <c r="H7965" s="1" t="str">
        <f>"와산간 13R17"</f>
        <v>와산간 13R17</v>
      </c>
      <c r="I7965" s="1" t="s">
        <v>8</v>
      </c>
      <c r="J7965" s="1" t="str">
        <f>"62/71"</f>
        <v>62/71</v>
      </c>
      <c r="K7965" s="1" t="str">
        <f t="shared" si="386"/>
        <v>2026-07-29 13:18:11</v>
      </c>
      <c r="L7965" s="1" t="str">
        <f>"2020-06-15 19:40:39"</f>
        <v>2020-06-15 19:40:39</v>
      </c>
      <c r="M7965" s="1" t="s">
        <v>2</v>
      </c>
      <c r="N7965" s="1" t="s">
        <v>38</v>
      </c>
      <c r="O7965" s="1" t="s">
        <v>46</v>
      </c>
    </row>
    <row r="7966" spans="2:15" x14ac:dyDescent="0.3">
      <c r="B7966" s="1" t="s">
        <v>21</v>
      </c>
      <c r="C7966" s="1" t="str">
        <f>"4차"</f>
        <v>4차</v>
      </c>
      <c r="D7966" s="1" t="str">
        <f>"9627S82339"</f>
        <v>9627S82339</v>
      </c>
      <c r="E7966" s="1" t="s">
        <v>10</v>
      </c>
      <c r="F7966" s="1" t="str">
        <f>"10.11.101.106"</f>
        <v>10.11.101.106</v>
      </c>
      <c r="G7966" s="1" t="str">
        <f>"9627S823"</f>
        <v>9627S823</v>
      </c>
      <c r="H7966" s="1" t="str">
        <f>"와산간 13R19R1R1"</f>
        <v>와산간 13R19R1R1</v>
      </c>
      <c r="I7966" s="1" t="s">
        <v>8</v>
      </c>
      <c r="J7966" s="1" t="str">
        <f>"48/51"</f>
        <v>48/51</v>
      </c>
      <c r="K7966" s="1" t="str">
        <f t="shared" si="386"/>
        <v>2026-07-29 13:18:11</v>
      </c>
      <c r="L7966" s="1" t="str">
        <f>"2020-06-15 19:34:57"</f>
        <v>2020-06-15 19:34:57</v>
      </c>
      <c r="M7966" s="1" t="s">
        <v>2</v>
      </c>
      <c r="N7966" s="1" t="s">
        <v>38</v>
      </c>
      <c r="O7966" s="1" t="s">
        <v>46</v>
      </c>
    </row>
    <row r="7967" spans="2:15" x14ac:dyDescent="0.3">
      <c r="B7967" s="1" t="s">
        <v>21</v>
      </c>
      <c r="C7967" s="1" t="str">
        <f>"1차"</f>
        <v>1차</v>
      </c>
      <c r="D7967" s="1" t="str">
        <f>"9627S85100"</f>
        <v>9627S85100</v>
      </c>
      <c r="E7967" s="1" t="s">
        <v>10</v>
      </c>
      <c r="F7967" s="1" t="str">
        <f>"10.128.96.106"</f>
        <v>10.128.96.106</v>
      </c>
      <c r="G7967" s="1" t="str">
        <f>"9627S851"</f>
        <v>9627S851</v>
      </c>
      <c r="H7967" s="1" t="str">
        <f>"와산간 18R3"</f>
        <v>와산간 18R3</v>
      </c>
      <c r="I7967" s="1" t="s">
        <v>8</v>
      </c>
      <c r="J7967" s="1" t="str">
        <f>"27/27"</f>
        <v>27/27</v>
      </c>
      <c r="K7967" s="1" t="str">
        <f t="shared" si="386"/>
        <v>2026-07-29 13:18:11</v>
      </c>
      <c r="L7967" s="1" t="str">
        <f>"2014-12-05 16:57:48"</f>
        <v>2014-12-05 16:57:48</v>
      </c>
      <c r="M7967" s="1" t="s">
        <v>45</v>
      </c>
      <c r="N7967" s="1" t="s">
        <v>38</v>
      </c>
      <c r="O7967" s="1" t="s">
        <v>46</v>
      </c>
    </row>
    <row r="7968" spans="2:15" x14ac:dyDescent="0.3">
      <c r="B7968" s="1" t="s">
        <v>21</v>
      </c>
      <c r="C7968" s="1" t="str">
        <f>"4차"</f>
        <v>4차</v>
      </c>
      <c r="D7968" s="1" t="str">
        <f>"9627S86139"</f>
        <v>9627S86139</v>
      </c>
      <c r="E7968" s="1" t="s">
        <v>14</v>
      </c>
      <c r="F7968" s="1" t="str">
        <f>"10.128.114.99"</f>
        <v>10.128.114.99</v>
      </c>
      <c r="G7968" s="1" t="str">
        <f>"9627S861"</f>
        <v>9627S861</v>
      </c>
      <c r="H7968" s="1" t="str">
        <f>"와산간 23R1"</f>
        <v>와산간 23R1</v>
      </c>
      <c r="I7968" s="1" t="s">
        <v>8</v>
      </c>
      <c r="J7968" s="1" t="str">
        <f>"0/0"</f>
        <v>0/0</v>
      </c>
      <c r="K7968" s="1" t="str">
        <f>"2024-09-12 07:21:06"</f>
        <v>2024-09-12 07:21:06</v>
      </c>
      <c r="L7968" s="1" t="str">
        <f>"2018-05-10 16:45:56"</f>
        <v>2018-05-10 16:45:56</v>
      </c>
      <c r="M7968" s="1" t="s">
        <v>45</v>
      </c>
      <c r="N7968" s="1" t="s">
        <v>44</v>
      </c>
      <c r="O7968" s="1" t="s">
        <v>44</v>
      </c>
    </row>
    <row r="7969" spans="2:15" x14ac:dyDescent="0.3">
      <c r="B7969" s="1" t="s">
        <v>21</v>
      </c>
      <c r="C7969" s="1" t="str">
        <f>"1차"</f>
        <v>1차</v>
      </c>
      <c r="D7969" s="1" t="str">
        <f>"9627S93302"</f>
        <v>9627S93302</v>
      </c>
      <c r="E7969" s="1" t="s">
        <v>14</v>
      </c>
      <c r="F7969" s="1" t="str">
        <f>"10.128.96.92"</f>
        <v>10.128.96.92</v>
      </c>
      <c r="G7969" s="1" t="str">
        <f>"9627S933"</f>
        <v>9627S933</v>
      </c>
      <c r="H7969" s="1" t="str">
        <f>"와산간 13R21"</f>
        <v>와산간 13R21</v>
      </c>
      <c r="I7969" s="1" t="s">
        <v>8</v>
      </c>
      <c r="J7969" s="1" t="str">
        <f>"0/0"</f>
        <v>0/0</v>
      </c>
      <c r="K7969" s="1" t="str">
        <f>"2025-11-17 07:21:10"</f>
        <v>2025-11-17 07:21:10</v>
      </c>
      <c r="L7969" s="1" t="str">
        <f>"2015-01-06 11:57:30"</f>
        <v>2015-01-06 11:57:30</v>
      </c>
      <c r="M7969" s="1" t="s">
        <v>45</v>
      </c>
      <c r="N7969" s="1" t="s">
        <v>44</v>
      </c>
      <c r="O7969" s="1" t="s">
        <v>44</v>
      </c>
    </row>
    <row r="7970" spans="2:15" x14ac:dyDescent="0.3">
      <c r="B7970" s="1" t="s">
        <v>21</v>
      </c>
      <c r="C7970" s="1" t="str">
        <f>"4차"</f>
        <v>4차</v>
      </c>
      <c r="D7970" s="1" t="str">
        <f>"9627S94142"</f>
        <v>9627S94142</v>
      </c>
      <c r="E7970" s="1" t="s">
        <v>10</v>
      </c>
      <c r="F7970" s="1" t="str">
        <f>"10.128.96.90"</f>
        <v>10.128.96.90</v>
      </c>
      <c r="G7970" s="1" t="str">
        <f>"9627S941"</f>
        <v>9627S941</v>
      </c>
      <c r="H7970" s="1" t="str">
        <f>"와산간 13R22"</f>
        <v>와산간 13R22</v>
      </c>
      <c r="I7970" s="1" t="s">
        <v>8</v>
      </c>
      <c r="J7970" s="1" t="str">
        <f>"25/25"</f>
        <v>25/25</v>
      </c>
      <c r="K7970" s="1" t="str">
        <f>"2026-07-29 13:18:11"</f>
        <v>2026-07-29 13:18:11</v>
      </c>
      <c r="L7970" s="1" t="str">
        <f>"2025-11-21 16:24:15"</f>
        <v>2025-11-21 16:24:15</v>
      </c>
      <c r="M7970" s="1" t="s">
        <v>45</v>
      </c>
      <c r="N7970" s="1" t="s">
        <v>38</v>
      </c>
      <c r="O7970" s="1" t="s">
        <v>46</v>
      </c>
    </row>
    <row r="7971" spans="2:15" x14ac:dyDescent="0.3">
      <c r="B7971" s="1" t="s">
        <v>21</v>
      </c>
      <c r="C7971" s="1" t="str">
        <f>"1차"</f>
        <v>1차</v>
      </c>
      <c r="D7971" s="1" t="str">
        <f>"9627S94301"</f>
        <v>9627S94301</v>
      </c>
      <c r="E7971" s="1" t="s">
        <v>10</v>
      </c>
      <c r="F7971" s="1" t="str">
        <f>"10.12.129.55"</f>
        <v>10.12.129.55</v>
      </c>
      <c r="G7971" s="1" t="str">
        <f>"9627S943"</f>
        <v>9627S943</v>
      </c>
      <c r="H7971" s="1" t="str">
        <f>"와산간 13R22L1"</f>
        <v>와산간 13R22L1</v>
      </c>
      <c r="I7971" s="1" t="s">
        <v>8</v>
      </c>
      <c r="J7971" s="1" t="str">
        <f>"7/7"</f>
        <v>7/7</v>
      </c>
      <c r="K7971" s="1" t="str">
        <f>"2026-07-29 13:18:11"</f>
        <v>2026-07-29 13:18:11</v>
      </c>
      <c r="L7971" s="1" t="str">
        <f>"2015-01-06 11:53:03"</f>
        <v>2015-01-06 11:53:03</v>
      </c>
      <c r="M7971" s="1" t="s">
        <v>0</v>
      </c>
      <c r="N7971" s="1" t="s">
        <v>38</v>
      </c>
      <c r="O7971" s="1" t="s">
        <v>46</v>
      </c>
    </row>
    <row r="7972" spans="2:15" x14ac:dyDescent="0.3">
      <c r="B7972" s="1" t="s">
        <v>21</v>
      </c>
      <c r="C7972" s="1" t="str">
        <f>"1차"</f>
        <v>1차</v>
      </c>
      <c r="D7972" s="1" t="str">
        <f>"9627S95100"</f>
        <v>9627S95100</v>
      </c>
      <c r="E7972" s="1" t="s">
        <v>10</v>
      </c>
      <c r="F7972" s="1" t="str">
        <f>"10.128.96.146"</f>
        <v>10.128.96.146</v>
      </c>
      <c r="G7972" s="1" t="str">
        <f>"9627S951"</f>
        <v>9627S951</v>
      </c>
      <c r="H7972" s="1" t="str">
        <f>"와산간 23R3"</f>
        <v>와산간 23R3</v>
      </c>
      <c r="I7972" s="1" t="s">
        <v>8</v>
      </c>
      <c r="J7972" s="1" t="str">
        <f>"12/12"</f>
        <v>12/12</v>
      </c>
      <c r="K7972" s="1" t="str">
        <f>"2026-07-29 13:18:11"</f>
        <v>2026-07-29 13:18:11</v>
      </c>
      <c r="L7972" s="1" t="str">
        <f>"2014-12-05 16:05:32"</f>
        <v>2014-12-05 16:05:32</v>
      </c>
      <c r="M7972" s="1" t="s">
        <v>45</v>
      </c>
      <c r="N7972" s="1" t="s">
        <v>38</v>
      </c>
      <c r="O7972" s="1" t="s">
        <v>46</v>
      </c>
    </row>
    <row r="7973" spans="2:15" x14ac:dyDescent="0.3">
      <c r="B7973" s="1" t="s">
        <v>21</v>
      </c>
      <c r="C7973" s="1" t="str">
        <f>"1차"</f>
        <v>1차</v>
      </c>
      <c r="D7973" s="1" t="str">
        <f>"9627W06101"</f>
        <v>9627W06101</v>
      </c>
      <c r="E7973" s="1" t="s">
        <v>14</v>
      </c>
      <c r="F7973" s="1" t="str">
        <f>"10.14.6.118"</f>
        <v>10.14.6.118</v>
      </c>
      <c r="G7973" s="1" t="str">
        <f>"9627W061"</f>
        <v>9627W061</v>
      </c>
      <c r="H7973" s="1" t="str">
        <f>"수색간 57"</f>
        <v>수색간 57</v>
      </c>
      <c r="I7973" s="1" t="s">
        <v>8</v>
      </c>
      <c r="J7973" s="1" t="str">
        <f>"0/0"</f>
        <v>0/0</v>
      </c>
      <c r="K7973" s="1" t="str">
        <f>"2025-10-14 07:21:11"</f>
        <v>2025-10-14 07:21:11</v>
      </c>
      <c r="L7973" s="1" t="str">
        <f>"2015-02-10 15:56:55"</f>
        <v>2015-02-10 15:56:55</v>
      </c>
      <c r="M7973" s="1" t="s">
        <v>3</v>
      </c>
      <c r="N7973" s="1" t="s">
        <v>39</v>
      </c>
      <c r="O7973" s="1" t="s">
        <v>46</v>
      </c>
    </row>
    <row r="7974" spans="2:15" x14ac:dyDescent="0.3">
      <c r="B7974" s="1" t="s">
        <v>21</v>
      </c>
      <c r="C7974" s="1" t="str">
        <f>"4차"</f>
        <v>4차</v>
      </c>
      <c r="D7974" s="1" t="str">
        <f>"9627W13539"</f>
        <v>9627W13539</v>
      </c>
      <c r="E7974" s="1" t="s">
        <v>10</v>
      </c>
      <c r="F7974" s="1" t="str">
        <f>"10.128.3.192"</f>
        <v>10.128.3.192</v>
      </c>
      <c r="G7974" s="1" t="str">
        <f>"9627W135"</f>
        <v>9627W135</v>
      </c>
      <c r="H7974" s="1" t="str">
        <f>"성당간 42"</f>
        <v>성당간 42</v>
      </c>
      <c r="I7974" s="1" t="s">
        <v>8</v>
      </c>
      <c r="J7974" s="1" t="str">
        <f>"20/20"</f>
        <v>20/20</v>
      </c>
      <c r="K7974" s="1" t="str">
        <f t="shared" ref="K7974:K7980" si="387">"2026-07-29 13:18:11"</f>
        <v>2026-07-29 13:18:11</v>
      </c>
      <c r="L7974" s="1" t="str">
        <f>"2018-01-25 21:01:59"</f>
        <v>2018-01-25 21:01:59</v>
      </c>
      <c r="M7974" s="1" t="s">
        <v>45</v>
      </c>
      <c r="N7974" s="1" t="s">
        <v>38</v>
      </c>
      <c r="O7974" s="1" t="s">
        <v>46</v>
      </c>
    </row>
    <row r="7975" spans="2:15" x14ac:dyDescent="0.3">
      <c r="B7975" s="1" t="s">
        <v>21</v>
      </c>
      <c r="C7975" s="1" t="str">
        <f>"4차"</f>
        <v>4차</v>
      </c>
      <c r="D7975" s="1" t="str">
        <f>"9627W20239"</f>
        <v>9627W20239</v>
      </c>
      <c r="E7975" s="1" t="s">
        <v>10</v>
      </c>
      <c r="F7975" s="1" t="str">
        <f>"10.128.114.77"</f>
        <v>10.128.114.77</v>
      </c>
      <c r="G7975" s="1" t="str">
        <f>"9627W202"</f>
        <v>9627W202</v>
      </c>
      <c r="H7975" s="1" t="str">
        <f>"와산간 30R3L1"</f>
        <v>와산간 30R3L1</v>
      </c>
      <c r="I7975" s="1" t="s">
        <v>8</v>
      </c>
      <c r="J7975" s="1" t="str">
        <f>"24/24"</f>
        <v>24/24</v>
      </c>
      <c r="K7975" s="1" t="str">
        <f t="shared" si="387"/>
        <v>2026-07-29 13:18:11</v>
      </c>
      <c r="L7975" s="1" t="str">
        <f>"2018-05-10 16:31:56"</f>
        <v>2018-05-10 16:31:56</v>
      </c>
      <c r="M7975" s="1" t="s">
        <v>45</v>
      </c>
      <c r="N7975" s="1" t="s">
        <v>38</v>
      </c>
      <c r="O7975" s="1" t="s">
        <v>46</v>
      </c>
    </row>
    <row r="7976" spans="2:15" x14ac:dyDescent="0.3">
      <c r="B7976" s="1" t="s">
        <v>21</v>
      </c>
      <c r="C7976" s="1" t="str">
        <f>"4차"</f>
        <v>4차</v>
      </c>
      <c r="D7976" s="1" t="str">
        <f>"9627W21139"</f>
        <v>9627W21139</v>
      </c>
      <c r="E7976" s="1" t="s">
        <v>10</v>
      </c>
      <c r="F7976" s="1" t="str">
        <f>"10.128.115.66"</f>
        <v>10.128.115.66</v>
      </c>
      <c r="G7976" s="1" t="str">
        <f>"9627W211"</f>
        <v>9627W211</v>
      </c>
      <c r="H7976" s="1" t="str">
        <f>"와산간 31"</f>
        <v>와산간 31</v>
      </c>
      <c r="I7976" s="1" t="s">
        <v>8</v>
      </c>
      <c r="J7976" s="1" t="str">
        <f>"42/44"</f>
        <v>42/44</v>
      </c>
      <c r="K7976" s="1" t="str">
        <f t="shared" si="387"/>
        <v>2026-07-29 13:18:11</v>
      </c>
      <c r="L7976" s="1" t="str">
        <f>"2018-05-10 16:36:11"</f>
        <v>2018-05-10 16:36:11</v>
      </c>
      <c r="M7976" s="1" t="s">
        <v>45</v>
      </c>
      <c r="N7976" s="1" t="s">
        <v>38</v>
      </c>
      <c r="O7976" s="1" t="s">
        <v>46</v>
      </c>
    </row>
    <row r="7977" spans="2:15" x14ac:dyDescent="0.3">
      <c r="B7977" s="1" t="s">
        <v>21</v>
      </c>
      <c r="C7977" s="1" t="str">
        <f>"3차"</f>
        <v>3차</v>
      </c>
      <c r="D7977" s="1" t="str">
        <f>"9627W30139"</f>
        <v>9627W30139</v>
      </c>
      <c r="E7977" s="1" t="s">
        <v>10</v>
      </c>
      <c r="F7977" s="1" t="str">
        <f>"10.128.114.71"</f>
        <v>10.128.114.71</v>
      </c>
      <c r="G7977" s="1" t="str">
        <f>"9627W301"</f>
        <v>9627W301</v>
      </c>
      <c r="H7977" s="1" t="str">
        <f>"와산간 30R3L3"</f>
        <v>와산간 30R3L3</v>
      </c>
      <c r="I7977" s="1" t="s">
        <v>8</v>
      </c>
      <c r="J7977" s="1" t="str">
        <f>"62/63"</f>
        <v>62/63</v>
      </c>
      <c r="K7977" s="1" t="str">
        <f t="shared" si="387"/>
        <v>2026-07-29 13:18:11</v>
      </c>
      <c r="L7977" s="1" t="str">
        <f>"2018-05-10 16:36:26"</f>
        <v>2018-05-10 16:36:26</v>
      </c>
      <c r="M7977" s="1" t="s">
        <v>45</v>
      </c>
      <c r="N7977" s="1" t="s">
        <v>38</v>
      </c>
      <c r="O7977" s="1" t="s">
        <v>46</v>
      </c>
    </row>
    <row r="7978" spans="2:15" x14ac:dyDescent="0.3">
      <c r="B7978" s="1" t="s">
        <v>21</v>
      </c>
      <c r="C7978" s="1" t="str">
        <f>"4차"</f>
        <v>4차</v>
      </c>
      <c r="D7978" s="1" t="str">
        <f>"9627W31245"</f>
        <v>9627W31245</v>
      </c>
      <c r="E7978" s="1" t="s">
        <v>10</v>
      </c>
      <c r="F7978" s="1" t="str">
        <f>"10.14.13.10"</f>
        <v>10.14.13.10</v>
      </c>
      <c r="G7978" s="1" t="str">
        <f>"9627W312"</f>
        <v>9627W312</v>
      </c>
      <c r="H7978" s="1" t="str">
        <f>"응암로 L10"</f>
        <v>응암로 L10</v>
      </c>
      <c r="I7978" s="1" t="s">
        <v>17</v>
      </c>
      <c r="J7978" s="1" t="str">
        <f>"101/104"</f>
        <v>101/104</v>
      </c>
      <c r="K7978" s="1" t="str">
        <f t="shared" si="387"/>
        <v>2026-07-29 13:18:11</v>
      </c>
      <c r="L7978" s="1" t="str">
        <f>"2023-09-01 13:55:43"</f>
        <v>2023-09-01 13:55:43</v>
      </c>
      <c r="M7978" s="1" t="s">
        <v>3</v>
      </c>
      <c r="N7978" s="1" t="s">
        <v>38</v>
      </c>
      <c r="O7978" s="1" t="s">
        <v>46</v>
      </c>
    </row>
    <row r="7979" spans="2:15" x14ac:dyDescent="0.3">
      <c r="B7979" s="1" t="s">
        <v>21</v>
      </c>
      <c r="C7979" s="1" t="str">
        <f>"4차"</f>
        <v>4차</v>
      </c>
      <c r="D7979" s="1" t="str">
        <f>"9627W33139"</f>
        <v>9627W33139</v>
      </c>
      <c r="E7979" s="1" t="s">
        <v>10</v>
      </c>
      <c r="F7979" s="1" t="str">
        <f>"10.128.114.115"</f>
        <v>10.128.114.115</v>
      </c>
      <c r="G7979" s="1" t="str">
        <f>"9627W331"</f>
        <v>9627W331</v>
      </c>
      <c r="H7979" s="1" t="str">
        <f>"와산간 34"</f>
        <v>와산간 34</v>
      </c>
      <c r="I7979" s="1" t="s">
        <v>8</v>
      </c>
      <c r="J7979" s="1" t="str">
        <f>"41/41"</f>
        <v>41/41</v>
      </c>
      <c r="K7979" s="1" t="str">
        <f t="shared" si="387"/>
        <v>2026-07-29 13:18:11</v>
      </c>
      <c r="L7979" s="1" t="str">
        <f>"2018-06-22 12:02:24"</f>
        <v>2018-06-22 12:02:24</v>
      </c>
      <c r="M7979" s="1" t="s">
        <v>45</v>
      </c>
      <c r="N7979" s="1" t="s">
        <v>38</v>
      </c>
      <c r="O7979" s="1" t="s">
        <v>46</v>
      </c>
    </row>
    <row r="7980" spans="2:15" x14ac:dyDescent="0.3">
      <c r="B7980" s="1" t="s">
        <v>21</v>
      </c>
      <c r="C7980" s="1" t="str">
        <f>"4차"</f>
        <v>4차</v>
      </c>
      <c r="D7980" s="1" t="str">
        <f>"9627W35139"</f>
        <v>9627W35139</v>
      </c>
      <c r="E7980" s="1" t="s">
        <v>10</v>
      </c>
      <c r="F7980" s="1" t="str">
        <f>"10.128.3.191"</f>
        <v>10.128.3.191</v>
      </c>
      <c r="G7980" s="1" t="str">
        <f>"9627W351"</f>
        <v>9627W351</v>
      </c>
      <c r="H7980" s="1" t="str">
        <f>"성당간 46"</f>
        <v>성당간 46</v>
      </c>
      <c r="I7980" s="1" t="s">
        <v>8</v>
      </c>
      <c r="J7980" s="1" t="str">
        <f>"3/3"</f>
        <v>3/3</v>
      </c>
      <c r="K7980" s="1" t="str">
        <f t="shared" si="387"/>
        <v>2026-07-29 13:18:11</v>
      </c>
      <c r="L7980" s="1" t="str">
        <f>"2018-01-29 17:05:41"</f>
        <v>2018-01-29 17:05:41</v>
      </c>
      <c r="M7980" s="1" t="s">
        <v>45</v>
      </c>
      <c r="N7980" s="1" t="s">
        <v>38</v>
      </c>
      <c r="O7980" s="1" t="s">
        <v>46</v>
      </c>
    </row>
    <row r="7981" spans="2:15" x14ac:dyDescent="0.3">
      <c r="B7981" s="1" t="s">
        <v>21</v>
      </c>
      <c r="C7981" s="1" t="str">
        <f>"1차"</f>
        <v>1차</v>
      </c>
      <c r="D7981" s="1" t="str">
        <f>"9627W36101"</f>
        <v>9627W36101</v>
      </c>
      <c r="E7981" s="1" t="s">
        <v>14</v>
      </c>
      <c r="F7981" s="1" t="str">
        <f>"10.128.0.129"</f>
        <v>10.128.0.129</v>
      </c>
      <c r="G7981" s="1" t="str">
        <f>"9627W361"</f>
        <v>9627W361</v>
      </c>
      <c r="H7981" s="1" t="str">
        <f>"성당간 14L31R1"</f>
        <v>성당간 14L31R1</v>
      </c>
      <c r="I7981" s="1" t="s">
        <v>8</v>
      </c>
      <c r="J7981" s="1" t="str">
        <f>"0/0"</f>
        <v>0/0</v>
      </c>
      <c r="K7981" s="1" t="str">
        <f>"2024-11-27 01:21:07"</f>
        <v>2024-11-27 01:21:07</v>
      </c>
      <c r="L7981" s="1" t="str">
        <f>"2014-12-08 09:01:39"</f>
        <v>2014-12-08 09:01:39</v>
      </c>
      <c r="M7981" s="1" t="s">
        <v>45</v>
      </c>
      <c r="N7981" s="1" t="s">
        <v>44</v>
      </c>
      <c r="O7981" s="1" t="s">
        <v>44</v>
      </c>
    </row>
    <row r="7982" spans="2:15" x14ac:dyDescent="0.3">
      <c r="B7982" s="1" t="s">
        <v>21</v>
      </c>
      <c r="C7982" s="1" t="str">
        <f>"4차"</f>
        <v>4차</v>
      </c>
      <c r="D7982" s="1" t="str">
        <f>"9627W44139"</f>
        <v>9627W44139</v>
      </c>
      <c r="E7982" s="1" t="s">
        <v>10</v>
      </c>
      <c r="F7982" s="1" t="str">
        <f>"10.128.114.116"</f>
        <v>10.128.114.116</v>
      </c>
      <c r="G7982" s="1" t="str">
        <f>"9627W441"</f>
        <v>9627W441</v>
      </c>
      <c r="H7982" s="1" t="str">
        <f>"와산간 35"</f>
        <v>와산간 35</v>
      </c>
      <c r="I7982" s="1" t="s">
        <v>8</v>
      </c>
      <c r="J7982" s="1" t="str">
        <f>"23/26"</f>
        <v>23/26</v>
      </c>
      <c r="K7982" s="1" t="str">
        <f t="shared" ref="K7982:K7989" si="388">"2026-07-29 13:18:11"</f>
        <v>2026-07-29 13:18:11</v>
      </c>
      <c r="L7982" s="1" t="str">
        <f>"2018-05-10 15:49:41"</f>
        <v>2018-05-10 15:49:41</v>
      </c>
      <c r="M7982" s="1" t="s">
        <v>45</v>
      </c>
      <c r="N7982" s="1" t="s">
        <v>38</v>
      </c>
      <c r="O7982" s="1" t="s">
        <v>46</v>
      </c>
    </row>
    <row r="7983" spans="2:15" x14ac:dyDescent="0.3">
      <c r="B7983" s="1" t="s">
        <v>21</v>
      </c>
      <c r="C7983" s="1" t="str">
        <f>"4차"</f>
        <v>4차</v>
      </c>
      <c r="D7983" s="1" t="str">
        <f>"9627W45139"</f>
        <v>9627W45139</v>
      </c>
      <c r="E7983" s="1" t="s">
        <v>10</v>
      </c>
      <c r="F7983" s="1" t="str">
        <f>"10.128.114.117"</f>
        <v>10.128.114.117</v>
      </c>
      <c r="G7983" s="1" t="str">
        <f>"9627W451"</f>
        <v>9627W451</v>
      </c>
      <c r="H7983" s="1" t="str">
        <f>"와산간 36"</f>
        <v>와산간 36</v>
      </c>
      <c r="I7983" s="1" t="s">
        <v>8</v>
      </c>
      <c r="J7983" s="1" t="str">
        <f>"43/53"</f>
        <v>43/53</v>
      </c>
      <c r="K7983" s="1" t="str">
        <f t="shared" si="388"/>
        <v>2026-07-29 13:18:11</v>
      </c>
      <c r="L7983" s="1" t="str">
        <f>"2018-06-22 12:04:10"</f>
        <v>2018-06-22 12:04:10</v>
      </c>
      <c r="M7983" s="1" t="s">
        <v>45</v>
      </c>
      <c r="N7983" s="1" t="s">
        <v>38</v>
      </c>
      <c r="O7983" s="1" t="s">
        <v>46</v>
      </c>
    </row>
    <row r="7984" spans="2:15" x14ac:dyDescent="0.3">
      <c r="B7984" s="1" t="s">
        <v>21</v>
      </c>
      <c r="C7984" s="1" t="str">
        <f>"4차"</f>
        <v>4차</v>
      </c>
      <c r="D7984" s="1" t="str">
        <f>"9627W53139"</f>
        <v>9627W53139</v>
      </c>
      <c r="E7984" s="1" t="s">
        <v>10</v>
      </c>
      <c r="F7984" s="1" t="str">
        <f>"10.128.114.90"</f>
        <v>10.128.114.90</v>
      </c>
      <c r="G7984" s="1" t="str">
        <f>"9627W531"</f>
        <v>9627W531</v>
      </c>
      <c r="H7984" s="1" t="str">
        <f>"와산간 58R16R8R1"</f>
        <v>와산간 58R16R8R1</v>
      </c>
      <c r="I7984" s="1" t="s">
        <v>8</v>
      </c>
      <c r="J7984" s="1" t="str">
        <f>"45/45"</f>
        <v>45/45</v>
      </c>
      <c r="K7984" s="1" t="str">
        <f t="shared" si="388"/>
        <v>2026-07-29 13:18:11</v>
      </c>
      <c r="L7984" s="1" t="str">
        <f>"2024-01-02 16:51:24"</f>
        <v>2024-01-02 16:51:24</v>
      </c>
      <c r="M7984" s="1" t="s">
        <v>45</v>
      </c>
      <c r="N7984" s="1" t="s">
        <v>38</v>
      </c>
      <c r="O7984" s="1" t="s">
        <v>46</v>
      </c>
    </row>
    <row r="7985" spans="2:15" x14ac:dyDescent="0.3">
      <c r="B7985" s="1" t="s">
        <v>21</v>
      </c>
      <c r="C7985" s="1" t="str">
        <f>"4차"</f>
        <v>4차</v>
      </c>
      <c r="D7985" s="1" t="str">
        <f>"9627W54239"</f>
        <v>9627W54239</v>
      </c>
      <c r="E7985" s="1" t="s">
        <v>10</v>
      </c>
      <c r="F7985" s="1" t="str">
        <f>"10.128.114.92"</f>
        <v>10.128.114.92</v>
      </c>
      <c r="G7985" s="1" t="str">
        <f>"9627W542"</f>
        <v>9627W542</v>
      </c>
      <c r="H7985" s="1" t="str">
        <f>"와산간 58R16R8R3"</f>
        <v>와산간 58R16R8R3</v>
      </c>
      <c r="I7985" s="1" t="s">
        <v>8</v>
      </c>
      <c r="J7985" s="1" t="str">
        <f>"110/110"</f>
        <v>110/110</v>
      </c>
      <c r="K7985" s="1" t="str">
        <f t="shared" si="388"/>
        <v>2026-07-29 13:18:11</v>
      </c>
      <c r="L7985" s="1" t="str">
        <f>"2018-06-22 10:13:38"</f>
        <v>2018-06-22 10:13:38</v>
      </c>
      <c r="M7985" s="1" t="s">
        <v>45</v>
      </c>
      <c r="N7985" s="1" t="s">
        <v>38</v>
      </c>
      <c r="O7985" s="1" t="s">
        <v>46</v>
      </c>
    </row>
    <row r="7986" spans="2:15" x14ac:dyDescent="0.3">
      <c r="B7986" s="1" t="s">
        <v>21</v>
      </c>
      <c r="C7986" s="1" t="str">
        <f>"3차"</f>
        <v>3차</v>
      </c>
      <c r="D7986" s="1" t="str">
        <f>"9627W56139"</f>
        <v>9627W56139</v>
      </c>
      <c r="E7986" s="1" t="s">
        <v>10</v>
      </c>
      <c r="F7986" s="1" t="str">
        <f>"10.128.114.121"</f>
        <v>10.128.114.121</v>
      </c>
      <c r="G7986" s="1" t="str">
        <f>"9627W561"</f>
        <v>9627W561</v>
      </c>
      <c r="H7986" s="1" t="str">
        <f>"와산간 38"</f>
        <v>와산간 38</v>
      </c>
      <c r="I7986" s="1" t="s">
        <v>8</v>
      </c>
      <c r="J7986" s="1" t="str">
        <f>"36/36"</f>
        <v>36/36</v>
      </c>
      <c r="K7986" s="1" t="str">
        <f t="shared" si="388"/>
        <v>2026-07-29 13:18:11</v>
      </c>
      <c r="L7986" s="1" t="str">
        <f>"2018-06-22 10:55:39"</f>
        <v>2018-06-22 10:55:39</v>
      </c>
      <c r="M7986" s="1" t="s">
        <v>45</v>
      </c>
      <c r="N7986" s="1" t="s">
        <v>38</v>
      </c>
      <c r="O7986" s="1" t="s">
        <v>46</v>
      </c>
    </row>
    <row r="7987" spans="2:15" x14ac:dyDescent="0.3">
      <c r="B7987" s="1" t="s">
        <v>21</v>
      </c>
      <c r="C7987" s="1" t="str">
        <f>"1차"</f>
        <v>1차</v>
      </c>
      <c r="D7987" s="1" t="str">
        <f>"9627W57100"</f>
        <v>9627W57100</v>
      </c>
      <c r="E7987" s="1" t="s">
        <v>10</v>
      </c>
      <c r="F7987" s="1" t="str">
        <f>"10.128.73.106"</f>
        <v>10.128.73.106</v>
      </c>
      <c r="G7987" s="1" t="str">
        <f>"9627W571"</f>
        <v>9627W571</v>
      </c>
      <c r="H7987" s="1" t="str">
        <f>"와산간 39"</f>
        <v>와산간 39</v>
      </c>
      <c r="I7987" s="1" t="s">
        <v>8</v>
      </c>
      <c r="J7987" s="1" t="str">
        <f>"23/23"</f>
        <v>23/23</v>
      </c>
      <c r="K7987" s="1" t="str">
        <f t="shared" si="388"/>
        <v>2026-07-29 13:18:11</v>
      </c>
      <c r="L7987" s="1" t="str">
        <f>"2015-07-17 11:56:57"</f>
        <v>2015-07-17 11:56:57</v>
      </c>
      <c r="M7987" s="1" t="s">
        <v>45</v>
      </c>
      <c r="N7987" s="1" t="s">
        <v>38</v>
      </c>
      <c r="O7987" s="1" t="s">
        <v>46</v>
      </c>
    </row>
    <row r="7988" spans="2:15" x14ac:dyDescent="0.3">
      <c r="B7988" s="1" t="s">
        <v>21</v>
      </c>
      <c r="C7988" s="1" t="str">
        <f>"3차"</f>
        <v>3차</v>
      </c>
      <c r="D7988" s="1" t="str">
        <f>"9627W63339"</f>
        <v>9627W63339</v>
      </c>
      <c r="E7988" s="1" t="s">
        <v>10</v>
      </c>
      <c r="F7988" s="1" t="str">
        <f>"10.128.115.146"</f>
        <v>10.128.115.146</v>
      </c>
      <c r="G7988" s="1" t="str">
        <f>"9627W633"</f>
        <v>9627W633</v>
      </c>
      <c r="H7988" s="1" t="str">
        <f>"와산간 58R16R8"</f>
        <v>와산간 58R16R8</v>
      </c>
      <c r="I7988" s="1" t="s">
        <v>8</v>
      </c>
      <c r="J7988" s="1" t="str">
        <f>"2/2"</f>
        <v>2/2</v>
      </c>
      <c r="K7988" s="1" t="str">
        <f t="shared" si="388"/>
        <v>2026-07-29 13:18:11</v>
      </c>
      <c r="L7988" s="1" t="str">
        <f>"2018-06-22 09:39:53"</f>
        <v>2018-06-22 09:39:53</v>
      </c>
      <c r="M7988" s="1" t="s">
        <v>45</v>
      </c>
      <c r="N7988" s="1" t="s">
        <v>38</v>
      </c>
      <c r="O7988" s="1" t="s">
        <v>46</v>
      </c>
    </row>
    <row r="7989" spans="2:15" x14ac:dyDescent="0.3">
      <c r="B7989" s="1" t="s">
        <v>21</v>
      </c>
      <c r="C7989" s="1" t="str">
        <f>"3차"</f>
        <v>3차</v>
      </c>
      <c r="D7989" s="1" t="str">
        <f>"9627W64139"</f>
        <v>9627W64139</v>
      </c>
      <c r="E7989" s="1" t="s">
        <v>10</v>
      </c>
      <c r="F7989" s="1" t="str">
        <f>"10.128.114.91"</f>
        <v>10.128.114.91</v>
      </c>
      <c r="G7989" s="1" t="str">
        <f>"9627W641"</f>
        <v>9627W641</v>
      </c>
      <c r="H7989" s="1" t="str">
        <f>"와산간 58R16R7"</f>
        <v>와산간 58R16R7</v>
      </c>
      <c r="I7989" s="1" t="s">
        <v>8</v>
      </c>
      <c r="J7989" s="1" t="str">
        <f>"62/63"</f>
        <v>62/63</v>
      </c>
      <c r="K7989" s="1" t="str">
        <f t="shared" si="388"/>
        <v>2026-07-29 13:18:11</v>
      </c>
      <c r="L7989" s="1" t="str">
        <f>"2018-06-22 09:45:23"</f>
        <v>2018-06-22 09:45:23</v>
      </c>
      <c r="M7989" s="1" t="s">
        <v>45</v>
      </c>
      <c r="N7989" s="1" t="s">
        <v>38</v>
      </c>
      <c r="O7989" s="1" t="s">
        <v>46</v>
      </c>
    </row>
    <row r="7990" spans="2:15" x14ac:dyDescent="0.3">
      <c r="B7990" s="1" t="s">
        <v>21</v>
      </c>
      <c r="C7990" s="1" t="str">
        <f>"1차"</f>
        <v>1차</v>
      </c>
      <c r="D7990" s="1" t="str">
        <f>"9627W66101"</f>
        <v>9627W66101</v>
      </c>
      <c r="E7990" s="1" t="s">
        <v>10</v>
      </c>
      <c r="F7990" s="1" t="str">
        <f>"10.12.128.59"</f>
        <v>10.12.128.59</v>
      </c>
      <c r="G7990" s="1" t="str">
        <f>"9627W661"</f>
        <v>9627W661</v>
      </c>
      <c r="H7990" s="1" t="str">
        <f>"와산간 41R1R2R1"</f>
        <v>와산간 41R1R2R1</v>
      </c>
      <c r="I7990" s="1" t="s">
        <v>8</v>
      </c>
      <c r="J7990" s="1" t="str">
        <f>"70/70"</f>
        <v>70/70</v>
      </c>
      <c r="K7990" s="1" t="str">
        <f>"2026-07-29 13:18:12"</f>
        <v>2026-07-29 13:18:12</v>
      </c>
      <c r="L7990" s="1" t="str">
        <f>"2015-07-17 16:02:14"</f>
        <v>2015-07-17 16:02:14</v>
      </c>
      <c r="M7990" s="1" t="s">
        <v>0</v>
      </c>
      <c r="N7990" s="1" t="s">
        <v>38</v>
      </c>
      <c r="O7990" s="1" t="s">
        <v>46</v>
      </c>
    </row>
    <row r="7991" spans="2:15" x14ac:dyDescent="0.3">
      <c r="B7991" s="1" t="s">
        <v>21</v>
      </c>
      <c r="C7991" s="1" t="str">
        <f>"3차"</f>
        <v>3차</v>
      </c>
      <c r="D7991" s="1" t="str">
        <f>"9627W70139"</f>
        <v>9627W70139</v>
      </c>
      <c r="E7991" s="1" t="s">
        <v>10</v>
      </c>
      <c r="F7991" s="1" t="str">
        <f>"10.128.115.118"</f>
        <v>10.128.115.118</v>
      </c>
      <c r="G7991" s="1" t="str">
        <f>"9627W701"</f>
        <v>9627W701</v>
      </c>
      <c r="H7991" s="1" t="str">
        <f>"와산간 80"</f>
        <v>와산간 80</v>
      </c>
      <c r="I7991" s="1" t="s">
        <v>8</v>
      </c>
      <c r="J7991" s="1" t="str">
        <f>"7/10"</f>
        <v>7/10</v>
      </c>
      <c r="K7991" s="1" t="str">
        <f t="shared" ref="K7991:K7999" si="389">"2026-07-29 13:18:11"</f>
        <v>2026-07-29 13:18:11</v>
      </c>
      <c r="L7991" s="1" t="str">
        <f>"2018-06-27 11:48:56"</f>
        <v>2018-06-27 11:48:56</v>
      </c>
      <c r="M7991" s="1" t="s">
        <v>45</v>
      </c>
      <c r="N7991" s="1" t="s">
        <v>38</v>
      </c>
      <c r="O7991" s="1" t="s">
        <v>46</v>
      </c>
    </row>
    <row r="7992" spans="2:15" x14ac:dyDescent="0.3">
      <c r="B7992" s="1" t="s">
        <v>21</v>
      </c>
      <c r="C7992" s="1" t="str">
        <f>"3차"</f>
        <v>3차</v>
      </c>
      <c r="D7992" s="1" t="str">
        <f>"9627W72139"</f>
        <v>9627W72139</v>
      </c>
      <c r="E7992" s="1" t="s">
        <v>10</v>
      </c>
      <c r="F7992" s="1" t="str">
        <f>"10.128.114.70"</f>
        <v>10.128.114.70</v>
      </c>
      <c r="G7992" s="1" t="str">
        <f>"9627W721"</f>
        <v>9627W721</v>
      </c>
      <c r="H7992" s="1" t="str">
        <f>"와산간 58R16R10"</f>
        <v>와산간 58R16R10</v>
      </c>
      <c r="I7992" s="1" t="s">
        <v>8</v>
      </c>
      <c r="J7992" s="1" t="str">
        <f>"21/21"</f>
        <v>21/21</v>
      </c>
      <c r="K7992" s="1" t="str">
        <f t="shared" si="389"/>
        <v>2026-07-29 13:18:11</v>
      </c>
      <c r="L7992" s="1" t="str">
        <f>"2018-05-10 16:54:11"</f>
        <v>2018-05-10 16:54:11</v>
      </c>
      <c r="M7992" s="1" t="s">
        <v>45</v>
      </c>
      <c r="N7992" s="1" t="s">
        <v>38</v>
      </c>
      <c r="O7992" s="1" t="s">
        <v>46</v>
      </c>
    </row>
    <row r="7993" spans="2:15" x14ac:dyDescent="0.3">
      <c r="B7993" s="1" t="s">
        <v>21</v>
      </c>
      <c r="C7993" s="1" t="str">
        <f>"3차"</f>
        <v>3차</v>
      </c>
      <c r="D7993" s="1" t="str">
        <f>"9627W72239"</f>
        <v>9627W72239</v>
      </c>
      <c r="E7993" s="1" t="s">
        <v>10</v>
      </c>
      <c r="F7993" s="1" t="str">
        <f>"10.128.115.148"</f>
        <v>10.128.115.148</v>
      </c>
      <c r="G7993" s="1" t="str">
        <f>"9627W722"</f>
        <v>9627W722</v>
      </c>
      <c r="H7993" s="1" t="str">
        <f>"와산간 58R16R10B2"</f>
        <v>와산간 58R16R10B2</v>
      </c>
      <c r="I7993" s="1" t="s">
        <v>8</v>
      </c>
      <c r="J7993" s="1" t="str">
        <f>"7/10"</f>
        <v>7/10</v>
      </c>
      <c r="K7993" s="1" t="str">
        <f t="shared" si="389"/>
        <v>2026-07-29 13:18:11</v>
      </c>
      <c r="L7993" s="1" t="str">
        <f>"2018-06-28 11:44:11"</f>
        <v>2018-06-28 11:44:11</v>
      </c>
      <c r="M7993" s="1" t="s">
        <v>45</v>
      </c>
      <c r="N7993" s="1" t="s">
        <v>38</v>
      </c>
      <c r="O7993" s="1" t="s">
        <v>46</v>
      </c>
    </row>
    <row r="7994" spans="2:15" x14ac:dyDescent="0.3">
      <c r="B7994" s="1" t="s">
        <v>21</v>
      </c>
      <c r="C7994" s="1" t="str">
        <f>"4차"</f>
        <v>4차</v>
      </c>
      <c r="D7994" s="1" t="str">
        <f>"9627W72339"</f>
        <v>9627W72339</v>
      </c>
      <c r="E7994" s="1" t="s">
        <v>10</v>
      </c>
      <c r="F7994" s="1" t="str">
        <f>"10.128.115.147"</f>
        <v>10.128.115.147</v>
      </c>
      <c r="G7994" s="1" t="str">
        <f>"9627W723"</f>
        <v>9627W723</v>
      </c>
      <c r="H7994" s="1" t="str">
        <f>"와산간 58R16R10B1"</f>
        <v>와산간 58R16R10B1</v>
      </c>
      <c r="I7994" s="1" t="s">
        <v>8</v>
      </c>
      <c r="J7994" s="1" t="str">
        <f>"3/3"</f>
        <v>3/3</v>
      </c>
      <c r="K7994" s="1" t="str">
        <f t="shared" si="389"/>
        <v>2026-07-29 13:18:11</v>
      </c>
      <c r="L7994" s="1" t="str">
        <f>"2018-06-22 10:09:08"</f>
        <v>2018-06-22 10:09:08</v>
      </c>
      <c r="M7994" s="1" t="s">
        <v>45</v>
      </c>
      <c r="N7994" s="1" t="s">
        <v>38</v>
      </c>
      <c r="O7994" s="1" t="s">
        <v>46</v>
      </c>
    </row>
    <row r="7995" spans="2:15" x14ac:dyDescent="0.3">
      <c r="B7995" s="1" t="s">
        <v>21</v>
      </c>
      <c r="C7995" s="1" t="str">
        <f>"3차"</f>
        <v>3차</v>
      </c>
      <c r="D7995" s="1" t="str">
        <f>"9627W72439"</f>
        <v>9627W72439</v>
      </c>
      <c r="E7995" s="1" t="s">
        <v>10</v>
      </c>
      <c r="F7995" s="1" t="str">
        <f>"10.128.114.93"</f>
        <v>10.128.114.93</v>
      </c>
      <c r="G7995" s="1" t="str">
        <f>"9627W724"</f>
        <v>9627W724</v>
      </c>
      <c r="H7995" s="1" t="str">
        <f>"와산간 58R16R10L1"</f>
        <v>와산간 58R16R10L1</v>
      </c>
      <c r="I7995" s="1" t="s">
        <v>8</v>
      </c>
      <c r="J7995" s="1" t="str">
        <f>"44/44"</f>
        <v>44/44</v>
      </c>
      <c r="K7995" s="1" t="str">
        <f t="shared" si="389"/>
        <v>2026-07-29 13:18:11</v>
      </c>
      <c r="L7995" s="1" t="str">
        <f>"2018-06-22 10:04:53"</f>
        <v>2018-06-22 10:04:53</v>
      </c>
      <c r="M7995" s="1" t="s">
        <v>45</v>
      </c>
      <c r="N7995" s="1" t="s">
        <v>38</v>
      </c>
      <c r="O7995" s="1" t="s">
        <v>46</v>
      </c>
    </row>
    <row r="7996" spans="2:15" x14ac:dyDescent="0.3">
      <c r="B7996" s="1" t="s">
        <v>21</v>
      </c>
      <c r="C7996" s="1" t="str">
        <f>"3차"</f>
        <v>3차</v>
      </c>
      <c r="D7996" s="1" t="str">
        <f>"9627W75139"</f>
        <v>9627W75139</v>
      </c>
      <c r="E7996" s="1" t="s">
        <v>10</v>
      </c>
      <c r="F7996" s="1" t="str">
        <f>"10.128.114.89"</f>
        <v>10.128.114.89</v>
      </c>
      <c r="G7996" s="1" t="str">
        <f>"9627W751"</f>
        <v>9627W751</v>
      </c>
      <c r="H7996" s="1" t="str">
        <f>"와산간 58R16R5"</f>
        <v>와산간 58R16R5</v>
      </c>
      <c r="I7996" s="1" t="s">
        <v>8</v>
      </c>
      <c r="J7996" s="1" t="str">
        <f>"47/47"</f>
        <v>47/47</v>
      </c>
      <c r="K7996" s="1" t="str">
        <f t="shared" si="389"/>
        <v>2026-07-29 13:18:11</v>
      </c>
      <c r="L7996" s="1" t="str">
        <f>"2018-06-22 09:59:24"</f>
        <v>2018-06-22 09:59:24</v>
      </c>
      <c r="M7996" s="1" t="s">
        <v>45</v>
      </c>
      <c r="N7996" s="1" t="s">
        <v>38</v>
      </c>
      <c r="O7996" s="1" t="s">
        <v>46</v>
      </c>
    </row>
    <row r="7997" spans="2:15" x14ac:dyDescent="0.3">
      <c r="B7997" s="1" t="s">
        <v>21</v>
      </c>
      <c r="C7997" s="1" t="str">
        <f>"3차"</f>
        <v>3차</v>
      </c>
      <c r="D7997" s="1" t="str">
        <f>"9627W75239"</f>
        <v>9627W75239</v>
      </c>
      <c r="E7997" s="1" t="s">
        <v>10</v>
      </c>
      <c r="F7997" s="1" t="str">
        <f>"10.128.3.250"</f>
        <v>10.128.3.250</v>
      </c>
      <c r="G7997" s="1" t="str">
        <f>"9627W752"</f>
        <v>9627W752</v>
      </c>
      <c r="H7997" s="1" t="str">
        <f>"와산간 58R16R4"</f>
        <v>와산간 58R16R4</v>
      </c>
      <c r="I7997" s="1" t="s">
        <v>8</v>
      </c>
      <c r="J7997" s="1" t="str">
        <f>"113/113"</f>
        <v>113/113</v>
      </c>
      <c r="K7997" s="1" t="str">
        <f t="shared" si="389"/>
        <v>2026-07-29 13:18:11</v>
      </c>
      <c r="L7997" s="1" t="str">
        <f>"2018-02-10 12:52:10"</f>
        <v>2018-02-10 12:52:10</v>
      </c>
      <c r="M7997" s="1" t="s">
        <v>45</v>
      </c>
      <c r="N7997" s="1" t="s">
        <v>38</v>
      </c>
      <c r="O7997" s="1" t="s">
        <v>46</v>
      </c>
    </row>
    <row r="7998" spans="2:15" x14ac:dyDescent="0.3">
      <c r="B7998" s="1" t="s">
        <v>21</v>
      </c>
      <c r="C7998" s="1" t="str">
        <f>"3차"</f>
        <v>3차</v>
      </c>
      <c r="D7998" s="1" t="str">
        <f>"9627W77139"</f>
        <v>9627W77139</v>
      </c>
      <c r="E7998" s="1" t="s">
        <v>10</v>
      </c>
      <c r="F7998" s="1" t="str">
        <f>"10.128.4.95"</f>
        <v>10.128.4.95</v>
      </c>
      <c r="G7998" s="1" t="str">
        <f>"9627W771"</f>
        <v>9627W771</v>
      </c>
      <c r="H7998" s="1" t="str">
        <f>"와산간 41R1R2D1"</f>
        <v>와산간 41R1R2D1</v>
      </c>
      <c r="I7998" s="1" t="s">
        <v>8</v>
      </c>
      <c r="J7998" s="1" t="str">
        <f>"38/38"</f>
        <v>38/38</v>
      </c>
      <c r="K7998" s="1" t="str">
        <f t="shared" si="389"/>
        <v>2026-07-29 13:18:11</v>
      </c>
      <c r="L7998" s="1" t="str">
        <f>"2018-03-29 17:53:44"</f>
        <v>2018-03-29 17:53:44</v>
      </c>
      <c r="M7998" s="1" t="s">
        <v>45</v>
      </c>
      <c r="N7998" s="1" t="s">
        <v>38</v>
      </c>
      <c r="O7998" s="1" t="s">
        <v>46</v>
      </c>
    </row>
    <row r="7999" spans="2:15" x14ac:dyDescent="0.3">
      <c r="B7999" s="1" t="s">
        <v>21</v>
      </c>
      <c r="C7999" s="1" t="str">
        <f>"3차"</f>
        <v>3차</v>
      </c>
      <c r="D7999" s="1" t="str">
        <f>"9627W77339"</f>
        <v>9627W77339</v>
      </c>
      <c r="E7999" s="1" t="s">
        <v>10</v>
      </c>
      <c r="F7999" s="1" t="str">
        <f>"10.128.3.244"</f>
        <v>10.128.3.244</v>
      </c>
      <c r="G7999" s="1" t="str">
        <f>"9627W773"</f>
        <v>9627W773</v>
      </c>
      <c r="H7999" s="1" t="str">
        <f>"와산간 41R1R4"</f>
        <v>와산간 41R1R4</v>
      </c>
      <c r="I7999" s="1" t="s">
        <v>8</v>
      </c>
      <c r="J7999" s="1" t="str">
        <f>"14/14"</f>
        <v>14/14</v>
      </c>
      <c r="K7999" s="1" t="str">
        <f t="shared" si="389"/>
        <v>2026-07-29 13:18:11</v>
      </c>
      <c r="L7999" s="1" t="str">
        <f>"2018-02-07 21:18:13"</f>
        <v>2018-02-07 21:18:13</v>
      </c>
      <c r="M7999" s="1" t="s">
        <v>45</v>
      </c>
      <c r="N7999" s="1" t="s">
        <v>38</v>
      </c>
      <c r="O7999" s="1" t="s">
        <v>46</v>
      </c>
    </row>
    <row r="8000" spans="2:15" x14ac:dyDescent="0.3">
      <c r="B8000" s="1" t="s">
        <v>21</v>
      </c>
      <c r="C8000" s="1" t="str">
        <f>"1차"</f>
        <v>1차</v>
      </c>
      <c r="D8000" s="1" t="str">
        <f>"9627W78100"</f>
        <v>9627W78100</v>
      </c>
      <c r="E8000" s="1" t="s">
        <v>10</v>
      </c>
      <c r="F8000" s="1" t="str">
        <f>"10.128.0.136"</f>
        <v>10.128.0.136</v>
      </c>
      <c r="G8000" s="1" t="str">
        <f>"9627W781"</f>
        <v>9627W781</v>
      </c>
      <c r="H8000" s="1" t="str">
        <f>"와산간 41R1"</f>
        <v>와산간 41R1</v>
      </c>
      <c r="I8000" s="1" t="s">
        <v>8</v>
      </c>
      <c r="J8000" s="1" t="str">
        <f>"47/47"</f>
        <v>47/47</v>
      </c>
      <c r="K8000" s="1" t="str">
        <f>"2026-07-29 13:18:13"</f>
        <v>2026-07-29 13:18:13</v>
      </c>
      <c r="L8000" s="1" t="str">
        <f>"2015-07-17 14:15:00"</f>
        <v>2015-07-17 14:15:00</v>
      </c>
      <c r="M8000" s="1" t="s">
        <v>45</v>
      </c>
      <c r="N8000" s="1" t="s">
        <v>38</v>
      </c>
      <c r="O8000" s="1" t="s">
        <v>46</v>
      </c>
    </row>
    <row r="8001" spans="2:15" x14ac:dyDescent="0.3">
      <c r="B8001" s="1" t="s">
        <v>21</v>
      </c>
      <c r="C8001" s="1" t="str">
        <f>"4차"</f>
        <v>4차</v>
      </c>
      <c r="D8001" s="1" t="str">
        <f>"9627W78239"</f>
        <v>9627W78239</v>
      </c>
      <c r="E8001" s="1" t="s">
        <v>10</v>
      </c>
      <c r="F8001" s="1" t="str">
        <f>"10.12.137.119"</f>
        <v>10.12.137.119</v>
      </c>
      <c r="G8001" s="1" t="str">
        <f>"9627W782"</f>
        <v>9627W782</v>
      </c>
      <c r="H8001" s="1" t="str">
        <f>"와산간 41R2"</f>
        <v>와산간 41R2</v>
      </c>
      <c r="I8001" s="1" t="s">
        <v>8</v>
      </c>
      <c r="J8001" s="1" t="str">
        <f>"51/51"</f>
        <v>51/51</v>
      </c>
      <c r="K8001" s="1" t="str">
        <f>"2026-07-29 13:18:11"</f>
        <v>2026-07-29 13:18:11</v>
      </c>
      <c r="L8001" s="1" t="str">
        <f>"2024-02-29 15:10:19"</f>
        <v>2024-02-29 15:10:19</v>
      </c>
      <c r="M8001" s="1" t="s">
        <v>0</v>
      </c>
      <c r="N8001" s="1" t="s">
        <v>38</v>
      </c>
      <c r="O8001" s="1" t="s">
        <v>46</v>
      </c>
    </row>
    <row r="8002" spans="2:15" x14ac:dyDescent="0.3">
      <c r="B8002" s="1" t="s">
        <v>21</v>
      </c>
      <c r="C8002" s="1" t="str">
        <f>"4차"</f>
        <v>4차</v>
      </c>
      <c r="D8002" s="1" t="str">
        <f>"9627W81144"</f>
        <v>9627W81144</v>
      </c>
      <c r="E8002" s="1" t="s">
        <v>10</v>
      </c>
      <c r="F8002" s="1" t="str">
        <f>"10.128.115.105"</f>
        <v>10.128.115.105</v>
      </c>
      <c r="G8002" s="1" t="str">
        <f>"9627W811"</f>
        <v>9627W811</v>
      </c>
      <c r="H8002" s="1" t="str">
        <f>"와산간 77"</f>
        <v>와산간 77</v>
      </c>
      <c r="I8002" s="1" t="s">
        <v>8</v>
      </c>
      <c r="J8002" s="1" t="str">
        <f>"43/43"</f>
        <v>43/43</v>
      </c>
      <c r="K8002" s="1" t="str">
        <f>"2026-07-29 13:18:11"</f>
        <v>2026-07-29 13:18:11</v>
      </c>
      <c r="L8002" s="1" t="str">
        <f>"2020-06-18 14:03:13"</f>
        <v>2020-06-18 14:03:13</v>
      </c>
      <c r="M8002" s="1" t="s">
        <v>45</v>
      </c>
      <c r="N8002" s="1" t="s">
        <v>38</v>
      </c>
      <c r="O8002" s="1" t="s">
        <v>46</v>
      </c>
    </row>
    <row r="8003" spans="2:15" x14ac:dyDescent="0.3">
      <c r="B8003" s="1" t="s">
        <v>21</v>
      </c>
      <c r="C8003" s="1" t="str">
        <f>"6차"</f>
        <v>6차</v>
      </c>
      <c r="D8003" s="1" t="str">
        <f>"9627W8126S"</f>
        <v>9627W8126S</v>
      </c>
      <c r="E8003" s="1" t="s">
        <v>10</v>
      </c>
      <c r="F8003" s="1" t="str">
        <f>"fde1:103:4:c829:0:0:0:2"</f>
        <v>fde1:103:4:c829:0:0:0:2</v>
      </c>
      <c r="G8003" s="1" t="str">
        <f>"9627W812"</f>
        <v>9627W812</v>
      </c>
      <c r="H8003" s="1" t="str">
        <f>"와산간 78L1"</f>
        <v>와산간 78L1</v>
      </c>
      <c r="I8003" s="1" t="s">
        <v>15</v>
      </c>
      <c r="J8003" s="1" t="str">
        <f>"50/50"</f>
        <v>50/50</v>
      </c>
      <c r="K8003" s="1" t="str">
        <f>"2026-07-29 14:21:44"</f>
        <v>2026-07-29 14:21:44</v>
      </c>
      <c r="L8003" s="1" t="str">
        <f>"2024-12-10 11:25:53"</f>
        <v>2024-12-10 11:25:53</v>
      </c>
      <c r="M8003" s="1" t="s">
        <v>4</v>
      </c>
      <c r="N8003" s="1" t="s">
        <v>38</v>
      </c>
      <c r="O8003" s="1" t="s">
        <v>46</v>
      </c>
    </row>
    <row r="8004" spans="2:15" x14ac:dyDescent="0.3">
      <c r="B8004" s="1" t="s">
        <v>21</v>
      </c>
      <c r="C8004" s="1" t="str">
        <f>"6차"</f>
        <v>6차</v>
      </c>
      <c r="D8004" s="1" t="str">
        <f>"9627W8246S"</f>
        <v>9627W8246S</v>
      </c>
      <c r="E8004" s="1" t="s">
        <v>10</v>
      </c>
      <c r="F8004" s="1" t="str">
        <f>"fde1:103:4:93fa:0:0:0:2"</f>
        <v>fde1:103:4:93fa:0:0:0:2</v>
      </c>
      <c r="G8004" s="1" t="str">
        <f>"9627W824"</f>
        <v>9627W824</v>
      </c>
      <c r="H8004" s="1" t="str">
        <f>"와산간 75"</f>
        <v>와산간 75</v>
      </c>
      <c r="I8004" s="1" t="s">
        <v>15</v>
      </c>
      <c r="J8004" s="1" t="str">
        <f>"66/66"</f>
        <v>66/66</v>
      </c>
      <c r="K8004" s="1" t="str">
        <f>"2026-07-29 14:21:44"</f>
        <v>2026-07-29 14:21:44</v>
      </c>
      <c r="L8004" s="1" t="str">
        <f>"2025-01-21 10:44:22"</f>
        <v>2025-01-21 10:44:22</v>
      </c>
      <c r="M8004" s="1" t="s">
        <v>4</v>
      </c>
      <c r="N8004" s="1" t="s">
        <v>38</v>
      </c>
      <c r="O8004" s="1" t="s">
        <v>46</v>
      </c>
    </row>
    <row r="8005" spans="2:15" x14ac:dyDescent="0.3">
      <c r="B8005" s="1" t="s">
        <v>21</v>
      </c>
      <c r="C8005" s="1" t="str">
        <f>"3차"</f>
        <v>3차</v>
      </c>
      <c r="D8005" s="1" t="str">
        <f>"9627W87139"</f>
        <v>9627W87139</v>
      </c>
      <c r="E8005" s="1" t="s">
        <v>10</v>
      </c>
      <c r="F8005" s="1" t="str">
        <f>"10.128.3.245"</f>
        <v>10.128.3.245</v>
      </c>
      <c r="G8005" s="1" t="str">
        <f>"9627W871"</f>
        <v>9627W871</v>
      </c>
      <c r="H8005" s="1" t="str">
        <f>"와산간 41R1R5"</f>
        <v>와산간 41R1R5</v>
      </c>
      <c r="I8005" s="1" t="s">
        <v>8</v>
      </c>
      <c r="J8005" s="1" t="str">
        <f>"41/42"</f>
        <v>41/42</v>
      </c>
      <c r="K8005" s="1" t="str">
        <f>"2026-07-29 13:18:13"</f>
        <v>2026-07-29 13:18:13</v>
      </c>
      <c r="L8005" s="1" t="str">
        <f>"2018-02-07 21:04:59"</f>
        <v>2018-02-07 21:04:59</v>
      </c>
      <c r="M8005" s="1" t="s">
        <v>45</v>
      </c>
      <c r="N8005" s="1" t="s">
        <v>38</v>
      </c>
      <c r="O8005" s="1" t="s">
        <v>46</v>
      </c>
    </row>
    <row r="8006" spans="2:15" x14ac:dyDescent="0.3">
      <c r="B8006" s="1" t="s">
        <v>21</v>
      </c>
      <c r="C8006" s="1" t="str">
        <f>"4차"</f>
        <v>4차</v>
      </c>
      <c r="D8006" s="1" t="str">
        <f>"9627W88139"</f>
        <v>9627W88139</v>
      </c>
      <c r="E8006" s="1" t="s">
        <v>10</v>
      </c>
      <c r="F8006" s="1" t="str">
        <f>"10.128.67.3"</f>
        <v>10.128.67.3</v>
      </c>
      <c r="G8006" s="1" t="str">
        <f>"9627W881"</f>
        <v>9627W881</v>
      </c>
      <c r="H8006" s="1" t="str">
        <f>"와산간 41R3"</f>
        <v>와산간 41R3</v>
      </c>
      <c r="I8006" s="1" t="s">
        <v>8</v>
      </c>
      <c r="J8006" s="1" t="str">
        <f>"34/41"</f>
        <v>34/41</v>
      </c>
      <c r="K8006" s="1" t="str">
        <f t="shared" ref="K8006:K8015" si="390">"2026-07-29 13:18:11"</f>
        <v>2026-07-29 13:18:11</v>
      </c>
      <c r="L8006" s="1" t="str">
        <f>"2018-02-28 12:03:25"</f>
        <v>2018-02-28 12:03:25</v>
      </c>
      <c r="M8006" s="1" t="s">
        <v>45</v>
      </c>
      <c r="N8006" s="1" t="s">
        <v>38</v>
      </c>
      <c r="O8006" s="1" t="s">
        <v>46</v>
      </c>
    </row>
    <row r="8007" spans="2:15" x14ac:dyDescent="0.3">
      <c r="B8007" s="1" t="s">
        <v>21</v>
      </c>
      <c r="C8007" s="1" t="str">
        <f>"3차"</f>
        <v>3차</v>
      </c>
      <c r="D8007" s="1" t="str">
        <f>"9627W90239"</f>
        <v>9627W90239</v>
      </c>
      <c r="E8007" s="1" t="s">
        <v>10</v>
      </c>
      <c r="F8007" s="1" t="str">
        <f>"10.128.67.130"</f>
        <v>10.128.67.130</v>
      </c>
      <c r="G8007" s="1" t="str">
        <f>"9627W902"</f>
        <v>9627W902</v>
      </c>
      <c r="H8007" s="1" t="str">
        <f>"와산간 76L3"</f>
        <v>와산간 76L3</v>
      </c>
      <c r="I8007" s="1" t="s">
        <v>8</v>
      </c>
      <c r="J8007" s="1" t="str">
        <f>"38/38"</f>
        <v>38/38</v>
      </c>
      <c r="K8007" s="1" t="str">
        <f t="shared" si="390"/>
        <v>2026-07-29 13:18:11</v>
      </c>
      <c r="L8007" s="1" t="str">
        <f>"2018-03-05 14:26:27"</f>
        <v>2018-03-05 14:26:27</v>
      </c>
      <c r="M8007" s="1" t="s">
        <v>45</v>
      </c>
      <c r="N8007" s="1" t="s">
        <v>38</v>
      </c>
      <c r="O8007" s="1" t="s">
        <v>46</v>
      </c>
    </row>
    <row r="8008" spans="2:15" x14ac:dyDescent="0.3">
      <c r="B8008" s="1" t="s">
        <v>21</v>
      </c>
      <c r="C8008" s="1" t="str">
        <f>"3차"</f>
        <v>3차</v>
      </c>
      <c r="D8008" s="1" t="str">
        <f>"9627W90339"</f>
        <v>9627W90339</v>
      </c>
      <c r="E8008" s="1" t="s">
        <v>10</v>
      </c>
      <c r="F8008" s="1" t="str">
        <f>"10.128.115.114"</f>
        <v>10.128.115.114</v>
      </c>
      <c r="G8008" s="1" t="str">
        <f>"9627W903"</f>
        <v>9627W903</v>
      </c>
      <c r="H8008" s="1" t="str">
        <f>"와산간 78L2"</f>
        <v>와산간 78L2</v>
      </c>
      <c r="I8008" s="1" t="s">
        <v>8</v>
      </c>
      <c r="J8008" s="1" t="str">
        <f>"20/20"</f>
        <v>20/20</v>
      </c>
      <c r="K8008" s="1" t="str">
        <f t="shared" si="390"/>
        <v>2026-07-29 13:18:11</v>
      </c>
      <c r="L8008" s="1" t="str">
        <f>"2018-06-22 11:08:38"</f>
        <v>2018-06-22 11:08:38</v>
      </c>
      <c r="M8008" s="1" t="s">
        <v>45</v>
      </c>
      <c r="N8008" s="1" t="s">
        <v>38</v>
      </c>
      <c r="O8008" s="1" t="s">
        <v>46</v>
      </c>
    </row>
    <row r="8009" spans="2:15" x14ac:dyDescent="0.3">
      <c r="B8009" s="1" t="s">
        <v>21</v>
      </c>
      <c r="C8009" s="1" t="str">
        <f>"3차"</f>
        <v>3차</v>
      </c>
      <c r="D8009" s="1" t="str">
        <f>"9627W91339"</f>
        <v>9627W91339</v>
      </c>
      <c r="E8009" s="1" t="s">
        <v>10</v>
      </c>
      <c r="F8009" s="1" t="str">
        <f>"10.128.67.62"</f>
        <v>10.128.67.62</v>
      </c>
      <c r="G8009" s="1" t="str">
        <f>"9627W913"</f>
        <v>9627W913</v>
      </c>
      <c r="H8009" s="1" t="str">
        <f>"와산간 76L4"</f>
        <v>와산간 76L4</v>
      </c>
      <c r="I8009" s="1" t="s">
        <v>8</v>
      </c>
      <c r="J8009" s="1" t="str">
        <f>"47/53"</f>
        <v>47/53</v>
      </c>
      <c r="K8009" s="1" t="str">
        <f t="shared" si="390"/>
        <v>2026-07-29 13:18:11</v>
      </c>
      <c r="L8009" s="1" t="str">
        <f>"2018-03-05 14:37:40"</f>
        <v>2018-03-05 14:37:40</v>
      </c>
      <c r="M8009" s="1" t="s">
        <v>45</v>
      </c>
      <c r="N8009" s="1" t="s">
        <v>38</v>
      </c>
      <c r="O8009" s="1" t="s">
        <v>46</v>
      </c>
    </row>
    <row r="8010" spans="2:15" x14ac:dyDescent="0.3">
      <c r="B8010" s="1" t="s">
        <v>21</v>
      </c>
      <c r="C8010" s="1" t="str">
        <f>"1차"</f>
        <v>1차</v>
      </c>
      <c r="D8010" s="1" t="str">
        <f>"9627W93102"</f>
        <v>9627W93102</v>
      </c>
      <c r="E8010" s="1" t="s">
        <v>10</v>
      </c>
      <c r="F8010" s="1" t="str">
        <f>"10.12.134.2"</f>
        <v>10.12.134.2</v>
      </c>
      <c r="G8010" s="1" t="str">
        <f>"9627W931"</f>
        <v>9627W931</v>
      </c>
      <c r="H8010" s="1" t="str">
        <f>"와산간 73"</f>
        <v>와산간 73</v>
      </c>
      <c r="I8010" s="1" t="s">
        <v>8</v>
      </c>
      <c r="J8010" s="1" t="str">
        <f>"6/6"</f>
        <v>6/6</v>
      </c>
      <c r="K8010" s="1" t="str">
        <f t="shared" si="390"/>
        <v>2026-07-29 13:18:11</v>
      </c>
      <c r="L8010" s="1" t="str">
        <f>"2014-10-16 17:26:39"</f>
        <v>2014-10-16 17:26:39</v>
      </c>
      <c r="M8010" s="1" t="s">
        <v>0</v>
      </c>
      <c r="N8010" s="1" t="s">
        <v>38</v>
      </c>
      <c r="O8010" s="1" t="s">
        <v>46</v>
      </c>
    </row>
    <row r="8011" spans="2:15" x14ac:dyDescent="0.3">
      <c r="B8011" s="1" t="s">
        <v>21</v>
      </c>
      <c r="C8011" s="1" t="str">
        <f>"4차"</f>
        <v>4차</v>
      </c>
      <c r="D8011" s="1" t="str">
        <f>"9627W95139"</f>
        <v>9627W95139</v>
      </c>
      <c r="E8011" s="1" t="s">
        <v>10</v>
      </c>
      <c r="F8011" s="1" t="str">
        <f>"10.128.4.103"</f>
        <v>10.128.4.103</v>
      </c>
      <c r="G8011" s="1" t="str">
        <f>"9627W951"</f>
        <v>9627W951</v>
      </c>
      <c r="H8011" s="1" t="str">
        <f>"와산간 58R15"</f>
        <v>와산간 58R15</v>
      </c>
      <c r="I8011" s="1" t="s">
        <v>8</v>
      </c>
      <c r="J8011" s="1" t="str">
        <f>"37/37"</f>
        <v>37/37</v>
      </c>
      <c r="K8011" s="1" t="str">
        <f t="shared" si="390"/>
        <v>2026-07-29 13:18:11</v>
      </c>
      <c r="L8011" s="1" t="str">
        <f>"2018-03-12 15:51:27"</f>
        <v>2018-03-12 15:51:27</v>
      </c>
      <c r="M8011" s="1" t="s">
        <v>45</v>
      </c>
      <c r="N8011" s="1" t="s">
        <v>38</v>
      </c>
      <c r="O8011" s="1" t="s">
        <v>46</v>
      </c>
    </row>
    <row r="8012" spans="2:15" x14ac:dyDescent="0.3">
      <c r="B8012" s="1" t="s">
        <v>21</v>
      </c>
      <c r="C8012" s="1" t="str">
        <f>"3차"</f>
        <v>3차</v>
      </c>
      <c r="D8012" s="1" t="str">
        <f>"9627W97139"</f>
        <v>9627W97139</v>
      </c>
      <c r="E8012" s="1" t="s">
        <v>10</v>
      </c>
      <c r="F8012" s="1" t="str">
        <f>"10.128.3.246"</f>
        <v>10.128.3.246</v>
      </c>
      <c r="G8012" s="1" t="str">
        <f>"9627W971"</f>
        <v>9627W971</v>
      </c>
      <c r="H8012" s="1" t="str">
        <f>"와산간 41R1R6"</f>
        <v>와산간 41R1R6</v>
      </c>
      <c r="I8012" s="1" t="s">
        <v>8</v>
      </c>
      <c r="J8012" s="1" t="str">
        <f>"30/30"</f>
        <v>30/30</v>
      </c>
      <c r="K8012" s="1" t="str">
        <f t="shared" si="390"/>
        <v>2026-07-29 13:18:11</v>
      </c>
      <c r="L8012" s="1" t="str">
        <f>"2018-02-07 23:52:15"</f>
        <v>2018-02-07 23:52:15</v>
      </c>
      <c r="M8012" s="1" t="s">
        <v>45</v>
      </c>
      <c r="N8012" s="1" t="s">
        <v>38</v>
      </c>
      <c r="O8012" s="1" t="s">
        <v>46</v>
      </c>
    </row>
    <row r="8013" spans="2:15" x14ac:dyDescent="0.3">
      <c r="B8013" s="1" t="s">
        <v>21</v>
      </c>
      <c r="C8013" s="1" t="str">
        <f>"3차"</f>
        <v>3차</v>
      </c>
      <c r="D8013" s="1" t="str">
        <f>"9627W98139"</f>
        <v>9627W98139</v>
      </c>
      <c r="E8013" s="1" t="s">
        <v>10</v>
      </c>
      <c r="F8013" s="1" t="str">
        <f>"10.128.67.4"</f>
        <v>10.128.67.4</v>
      </c>
      <c r="G8013" s="1" t="str">
        <f>"9627W981"</f>
        <v>9627W981</v>
      </c>
      <c r="H8013" s="1" t="str">
        <f>"와산간 41R4"</f>
        <v>와산간 41R4</v>
      </c>
      <c r="I8013" s="1" t="s">
        <v>8</v>
      </c>
      <c r="J8013" s="1" t="str">
        <f>"30/39"</f>
        <v>30/39</v>
      </c>
      <c r="K8013" s="1" t="str">
        <f t="shared" si="390"/>
        <v>2026-07-29 13:18:11</v>
      </c>
      <c r="L8013" s="1" t="str">
        <f>"2018-02-28 12:08:39"</f>
        <v>2018-02-28 12:08:39</v>
      </c>
      <c r="M8013" s="1" t="s">
        <v>45</v>
      </c>
      <c r="N8013" s="1" t="s">
        <v>38</v>
      </c>
      <c r="O8013" s="1" t="s">
        <v>46</v>
      </c>
    </row>
    <row r="8014" spans="2:15" x14ac:dyDescent="0.3">
      <c r="B8014" s="1" t="s">
        <v>21</v>
      </c>
      <c r="C8014" s="1" t="str">
        <f>"1차"</f>
        <v>1차</v>
      </c>
      <c r="D8014" s="1" t="str">
        <f>"9627W99101"</f>
        <v>9627W99101</v>
      </c>
      <c r="E8014" s="1" t="s">
        <v>10</v>
      </c>
      <c r="F8014" s="1" t="str">
        <f>"10.12.128.251"</f>
        <v>10.12.128.251</v>
      </c>
      <c r="G8014" s="1" t="str">
        <f>"9627W991"</f>
        <v>9627W991</v>
      </c>
      <c r="H8014" s="1" t="str">
        <f>"와산간 41R2L4"</f>
        <v>와산간 41R2L4</v>
      </c>
      <c r="I8014" s="1" t="s">
        <v>8</v>
      </c>
      <c r="J8014" s="1" t="str">
        <f>"27/28"</f>
        <v>27/28</v>
      </c>
      <c r="K8014" s="1" t="str">
        <f t="shared" si="390"/>
        <v>2026-07-29 13:18:11</v>
      </c>
      <c r="L8014" s="1" t="str">
        <f>"2015-07-17 14:43:00"</f>
        <v>2015-07-17 14:43:00</v>
      </c>
      <c r="M8014" s="1" t="s">
        <v>0</v>
      </c>
      <c r="N8014" s="1" t="s">
        <v>38</v>
      </c>
      <c r="O8014" s="1" t="s">
        <v>46</v>
      </c>
    </row>
    <row r="8015" spans="2:15" x14ac:dyDescent="0.3">
      <c r="B8015" s="1" t="s">
        <v>21</v>
      </c>
      <c r="C8015" s="1" t="str">
        <f t="shared" ref="C8015:C8024" si="391">"3차"</f>
        <v>3차</v>
      </c>
      <c r="D8015" s="1" t="str">
        <f>"9627W99239"</f>
        <v>9627W99239</v>
      </c>
      <c r="E8015" s="1" t="s">
        <v>10</v>
      </c>
      <c r="F8015" s="1" t="str">
        <f>"10.128.77.67"</f>
        <v>10.128.77.67</v>
      </c>
      <c r="G8015" s="1" t="str">
        <f>"9627W992"</f>
        <v>9627W992</v>
      </c>
      <c r="H8015" s="1" t="str">
        <f>"와산간 41R2L5"</f>
        <v>와산간 41R2L5</v>
      </c>
      <c r="I8015" s="1" t="s">
        <v>8</v>
      </c>
      <c r="J8015" s="1" t="str">
        <f>"37/37"</f>
        <v>37/37</v>
      </c>
      <c r="K8015" s="1" t="str">
        <f t="shared" si="390"/>
        <v>2026-07-29 13:18:11</v>
      </c>
      <c r="L8015" s="1" t="str">
        <f>"2018-04-17 18:46:30"</f>
        <v>2018-04-17 18:46:30</v>
      </c>
      <c r="M8015" s="1" t="s">
        <v>45</v>
      </c>
      <c r="N8015" s="1" t="s">
        <v>38</v>
      </c>
      <c r="O8015" s="1" t="s">
        <v>46</v>
      </c>
    </row>
    <row r="8016" spans="2:15" x14ac:dyDescent="0.3">
      <c r="B8016" s="1" t="s">
        <v>21</v>
      </c>
      <c r="C8016" s="1" t="str">
        <f t="shared" si="391"/>
        <v>3차</v>
      </c>
      <c r="D8016" s="1" t="str">
        <f>"9627X01339"</f>
        <v>9627X01339</v>
      </c>
      <c r="E8016" s="1" t="s">
        <v>10</v>
      </c>
      <c r="F8016" s="1" t="str">
        <f>"10.128.67.60"</f>
        <v>10.128.67.60</v>
      </c>
      <c r="G8016" s="1" t="str">
        <f>"9627X013"</f>
        <v>9627X013</v>
      </c>
      <c r="H8016" s="1" t="str">
        <f>"와산간 76L5"</f>
        <v>와산간 76L5</v>
      </c>
      <c r="I8016" s="1" t="s">
        <v>8</v>
      </c>
      <c r="J8016" s="1" t="str">
        <f>"30/30"</f>
        <v>30/30</v>
      </c>
      <c r="K8016" s="1" t="str">
        <f>"2026-07-29 13:18:10"</f>
        <v>2026-07-29 13:18:10</v>
      </c>
      <c r="L8016" s="1" t="str">
        <f>"2018-03-05 15:01:55"</f>
        <v>2018-03-05 15:01:55</v>
      </c>
      <c r="M8016" s="1" t="s">
        <v>45</v>
      </c>
      <c r="N8016" s="1" t="s">
        <v>38</v>
      </c>
      <c r="O8016" s="1" t="s">
        <v>46</v>
      </c>
    </row>
    <row r="8017" spans="2:15" x14ac:dyDescent="0.3">
      <c r="B8017" s="1" t="s">
        <v>21</v>
      </c>
      <c r="C8017" s="1" t="str">
        <f t="shared" si="391"/>
        <v>3차</v>
      </c>
      <c r="D8017" s="1" t="str">
        <f>"9627X02139"</f>
        <v>9627X02139</v>
      </c>
      <c r="E8017" s="1" t="s">
        <v>10</v>
      </c>
      <c r="F8017" s="1" t="str">
        <f>"10.128.67.61"</f>
        <v>10.128.67.61</v>
      </c>
      <c r="G8017" s="1" t="str">
        <f>"9627X021"</f>
        <v>9627X021</v>
      </c>
      <c r="H8017" s="1" t="str">
        <f>"와산간 76L7"</f>
        <v>와산간 76L7</v>
      </c>
      <c r="I8017" s="1" t="s">
        <v>8</v>
      </c>
      <c r="J8017" s="1" t="str">
        <f>"36/36"</f>
        <v>36/36</v>
      </c>
      <c r="K8017" s="1" t="str">
        <f>"2026-07-29 13:18:10"</f>
        <v>2026-07-29 13:18:10</v>
      </c>
      <c r="L8017" s="1" t="str">
        <f>"2018-03-05 15:13:55"</f>
        <v>2018-03-05 15:13:55</v>
      </c>
      <c r="M8017" s="1" t="s">
        <v>45</v>
      </c>
      <c r="N8017" s="1" t="s">
        <v>38</v>
      </c>
      <c r="O8017" s="1" t="s">
        <v>46</v>
      </c>
    </row>
    <row r="8018" spans="2:15" x14ac:dyDescent="0.3">
      <c r="B8018" s="1" t="s">
        <v>21</v>
      </c>
      <c r="C8018" s="1" t="str">
        <f t="shared" si="391"/>
        <v>3차</v>
      </c>
      <c r="D8018" s="1" t="str">
        <f>"9627X04139"</f>
        <v>9627X04139</v>
      </c>
      <c r="E8018" s="1" t="s">
        <v>10</v>
      </c>
      <c r="F8018" s="1" t="str">
        <f>"10.128.67.57"</f>
        <v>10.128.67.57</v>
      </c>
      <c r="G8018" s="1" t="str">
        <f>"9627X041"</f>
        <v>9627X041</v>
      </c>
      <c r="H8018" s="1" t="str">
        <f>"명지간 40L2"</f>
        <v>명지간 40L2</v>
      </c>
      <c r="I8018" s="1" t="s">
        <v>8</v>
      </c>
      <c r="J8018" s="1" t="str">
        <f>"52/52"</f>
        <v>52/52</v>
      </c>
      <c r="K8018" s="1" t="str">
        <f>"2026-07-29 13:18:11"</f>
        <v>2026-07-29 13:18:11</v>
      </c>
      <c r="L8018" s="1" t="str">
        <f>"2018-02-02 15:25:27"</f>
        <v>2018-02-02 15:25:27</v>
      </c>
      <c r="M8018" s="1" t="s">
        <v>45</v>
      </c>
      <c r="N8018" s="1" t="s">
        <v>38</v>
      </c>
      <c r="O8018" s="1" t="s">
        <v>46</v>
      </c>
    </row>
    <row r="8019" spans="2:15" x14ac:dyDescent="0.3">
      <c r="B8019" s="1" t="s">
        <v>21</v>
      </c>
      <c r="C8019" s="1" t="str">
        <f t="shared" si="391"/>
        <v>3차</v>
      </c>
      <c r="D8019" s="1" t="str">
        <f>"9627X05139"</f>
        <v>9627X05139</v>
      </c>
      <c r="E8019" s="1" t="s">
        <v>10</v>
      </c>
      <c r="F8019" s="1" t="str">
        <f>"10.128.67.25"</f>
        <v>10.128.67.25</v>
      </c>
      <c r="G8019" s="1" t="str">
        <f>"9627X051"</f>
        <v>9627X051</v>
      </c>
      <c r="H8019" s="1" t="str">
        <f>"와산간 70"</f>
        <v>와산간 70</v>
      </c>
      <c r="I8019" s="1" t="s">
        <v>8</v>
      </c>
      <c r="J8019" s="1" t="str">
        <f>"17/19"</f>
        <v>17/19</v>
      </c>
      <c r="K8019" s="1" t="str">
        <f>"2026-07-29 13:18:10"</f>
        <v>2026-07-29 13:18:10</v>
      </c>
      <c r="L8019" s="1" t="str">
        <f>"2018-02-27 13:10:56"</f>
        <v>2018-02-27 13:10:56</v>
      </c>
      <c r="M8019" s="1" t="s">
        <v>45</v>
      </c>
      <c r="N8019" s="1" t="s">
        <v>38</v>
      </c>
      <c r="O8019" s="1" t="s">
        <v>46</v>
      </c>
    </row>
    <row r="8020" spans="2:15" x14ac:dyDescent="0.3">
      <c r="B8020" s="1" t="s">
        <v>21</v>
      </c>
      <c r="C8020" s="1" t="str">
        <f t="shared" si="391"/>
        <v>3차</v>
      </c>
      <c r="D8020" s="1" t="str">
        <f>"9627X06439"</f>
        <v>9627X06439</v>
      </c>
      <c r="E8020" s="1" t="s">
        <v>10</v>
      </c>
      <c r="F8020" s="1" t="str">
        <f>"10.128.3.249"</f>
        <v>10.128.3.249</v>
      </c>
      <c r="G8020" s="1" t="str">
        <f>"9627X064"</f>
        <v>9627X064</v>
      </c>
      <c r="H8020" s="1" t="str">
        <f>"와산간 58R13"</f>
        <v>와산간 58R13</v>
      </c>
      <c r="I8020" s="1" t="s">
        <v>8</v>
      </c>
      <c r="J8020" s="1" t="str">
        <f>"56/56"</f>
        <v>56/56</v>
      </c>
      <c r="K8020" s="1" t="str">
        <f>"2026-07-29 13:18:11"</f>
        <v>2026-07-29 13:18:11</v>
      </c>
      <c r="L8020" s="1" t="str">
        <f>"2018-02-07 21:41:43"</f>
        <v>2018-02-07 21:41:43</v>
      </c>
      <c r="M8020" s="1" t="s">
        <v>45</v>
      </c>
      <c r="N8020" s="1" t="s">
        <v>38</v>
      </c>
      <c r="O8020" s="1" t="s">
        <v>46</v>
      </c>
    </row>
    <row r="8021" spans="2:15" x14ac:dyDescent="0.3">
      <c r="B8021" s="1" t="s">
        <v>21</v>
      </c>
      <c r="C8021" s="1" t="str">
        <f t="shared" si="391"/>
        <v>3차</v>
      </c>
      <c r="D8021" s="1" t="str">
        <f>"9627X08139"</f>
        <v>9627X08139</v>
      </c>
      <c r="E8021" s="1" t="s">
        <v>10</v>
      </c>
      <c r="F8021" s="1" t="str">
        <f>"10.128.3.248"</f>
        <v>10.128.3.248</v>
      </c>
      <c r="G8021" s="1" t="str">
        <f>"9627X081"</f>
        <v>9627X081</v>
      </c>
      <c r="H8021" s="1" t="str">
        <f>"와산간 41R5"</f>
        <v>와산간 41R5</v>
      </c>
      <c r="I8021" s="1" t="s">
        <v>8</v>
      </c>
      <c r="J8021" s="1" t="str">
        <f>"52/52"</f>
        <v>52/52</v>
      </c>
      <c r="K8021" s="1" t="str">
        <f>"2026-07-29 13:18:13"</f>
        <v>2026-07-29 13:18:13</v>
      </c>
      <c r="L8021" s="1" t="str">
        <f>"2018-02-07 20:35:13"</f>
        <v>2018-02-07 20:35:13</v>
      </c>
      <c r="M8021" s="1" t="s">
        <v>45</v>
      </c>
      <c r="N8021" s="1" t="s">
        <v>38</v>
      </c>
      <c r="O8021" s="1" t="s">
        <v>46</v>
      </c>
    </row>
    <row r="8022" spans="2:15" x14ac:dyDescent="0.3">
      <c r="B8022" s="1" t="s">
        <v>21</v>
      </c>
      <c r="C8022" s="1" t="str">
        <f t="shared" si="391"/>
        <v>3차</v>
      </c>
      <c r="D8022" s="1" t="str">
        <f>"9627X08239"</f>
        <v>9627X08239</v>
      </c>
      <c r="E8022" s="1" t="s">
        <v>10</v>
      </c>
      <c r="F8022" s="1" t="str">
        <f>"10.128.67.5"</f>
        <v>10.128.67.5</v>
      </c>
      <c r="G8022" s="1" t="str">
        <f>"9627X082"</f>
        <v>9627X082</v>
      </c>
      <c r="H8022" s="1" t="str">
        <f>"와산간 41R6"</f>
        <v>와산간 41R6</v>
      </c>
      <c r="I8022" s="1" t="s">
        <v>8</v>
      </c>
      <c r="J8022" s="1" t="str">
        <f>"16/16"</f>
        <v>16/16</v>
      </c>
      <c r="K8022" s="1" t="str">
        <f t="shared" ref="K8022:K8030" si="392">"2026-07-29 13:18:10"</f>
        <v>2026-07-29 13:18:10</v>
      </c>
      <c r="L8022" s="1" t="str">
        <f>"2018-02-28 12:29:54"</f>
        <v>2018-02-28 12:29:54</v>
      </c>
      <c r="M8022" s="1" t="s">
        <v>45</v>
      </c>
      <c r="N8022" s="1" t="s">
        <v>38</v>
      </c>
      <c r="O8022" s="1" t="s">
        <v>46</v>
      </c>
    </row>
    <row r="8023" spans="2:15" x14ac:dyDescent="0.3">
      <c r="B8023" s="1" t="s">
        <v>21</v>
      </c>
      <c r="C8023" s="1" t="str">
        <f t="shared" si="391"/>
        <v>3차</v>
      </c>
      <c r="D8023" s="1" t="str">
        <f>"9627X11139"</f>
        <v>9627X11139</v>
      </c>
      <c r="E8023" s="1" t="s">
        <v>10</v>
      </c>
      <c r="F8023" s="1" t="str">
        <f>"10.128.67.89"</f>
        <v>10.128.67.89</v>
      </c>
      <c r="G8023" s="1" t="str">
        <f>"9627X111"</f>
        <v>9627X111</v>
      </c>
      <c r="H8023" s="1" t="str">
        <f>"명지간 35L7"</f>
        <v>명지간 35L7</v>
      </c>
      <c r="I8023" s="1" t="s">
        <v>8</v>
      </c>
      <c r="J8023" s="1" t="str">
        <f>"41/41"</f>
        <v>41/41</v>
      </c>
      <c r="K8023" s="1" t="str">
        <f t="shared" si="392"/>
        <v>2026-07-29 13:18:10</v>
      </c>
      <c r="L8023" s="1" t="str">
        <f>"2018-01-23 12:16:40"</f>
        <v>2018-01-23 12:16:40</v>
      </c>
      <c r="M8023" s="1" t="s">
        <v>45</v>
      </c>
      <c r="N8023" s="1" t="s">
        <v>38</v>
      </c>
      <c r="O8023" s="1" t="s">
        <v>46</v>
      </c>
    </row>
    <row r="8024" spans="2:15" x14ac:dyDescent="0.3">
      <c r="B8024" s="1" t="s">
        <v>21</v>
      </c>
      <c r="C8024" s="1" t="str">
        <f t="shared" si="391"/>
        <v>3차</v>
      </c>
      <c r="D8024" s="1" t="str">
        <f>"9627X11239"</f>
        <v>9627X11239</v>
      </c>
      <c r="E8024" s="1" t="s">
        <v>10</v>
      </c>
      <c r="F8024" s="1" t="str">
        <f>"10.128.67.86"</f>
        <v>10.128.67.86</v>
      </c>
      <c r="G8024" s="1" t="str">
        <f>"9627X112"</f>
        <v>9627X112</v>
      </c>
      <c r="H8024" s="1" t="str">
        <f>"명지간 35L8"</f>
        <v>명지간 35L8</v>
      </c>
      <c r="I8024" s="1" t="s">
        <v>8</v>
      </c>
      <c r="J8024" s="1" t="str">
        <f>"67/67"</f>
        <v>67/67</v>
      </c>
      <c r="K8024" s="1" t="str">
        <f t="shared" si="392"/>
        <v>2026-07-29 13:18:10</v>
      </c>
      <c r="L8024" s="1" t="str">
        <f>"2018-02-10 13:33:26"</f>
        <v>2018-02-10 13:33:26</v>
      </c>
      <c r="M8024" s="1" t="s">
        <v>45</v>
      </c>
      <c r="N8024" s="1" t="s">
        <v>38</v>
      </c>
      <c r="O8024" s="1" t="s">
        <v>46</v>
      </c>
    </row>
    <row r="8025" spans="2:15" x14ac:dyDescent="0.3">
      <c r="B8025" s="1" t="s">
        <v>21</v>
      </c>
      <c r="C8025" s="1" t="str">
        <f>"4차"</f>
        <v>4차</v>
      </c>
      <c r="D8025" s="1" t="str">
        <f>"9627X11339"</f>
        <v>9627X11339</v>
      </c>
      <c r="E8025" s="1" t="s">
        <v>10</v>
      </c>
      <c r="F8025" s="1" t="str">
        <f>"10.128.67.94"</f>
        <v>10.128.67.94</v>
      </c>
      <c r="G8025" s="1" t="str">
        <f>"9627X113"</f>
        <v>9627X113</v>
      </c>
      <c r="H8025" s="1" t="str">
        <f>"명지간 35L5R3"</f>
        <v>명지간 35L5R3</v>
      </c>
      <c r="I8025" s="1" t="s">
        <v>8</v>
      </c>
      <c r="J8025" s="1" t="str">
        <f>"59/59"</f>
        <v>59/59</v>
      </c>
      <c r="K8025" s="1" t="str">
        <f t="shared" si="392"/>
        <v>2026-07-29 13:18:10</v>
      </c>
      <c r="L8025" s="1" t="str">
        <f>"2018-01-23 10:22:38"</f>
        <v>2018-01-23 10:22:38</v>
      </c>
      <c r="M8025" s="1" t="s">
        <v>45</v>
      </c>
      <c r="N8025" s="1" t="s">
        <v>38</v>
      </c>
      <c r="O8025" s="1" t="s">
        <v>46</v>
      </c>
    </row>
    <row r="8026" spans="2:15" x14ac:dyDescent="0.3">
      <c r="B8026" s="1" t="s">
        <v>21</v>
      </c>
      <c r="C8026" s="1" t="str">
        <f>"3차"</f>
        <v>3차</v>
      </c>
      <c r="D8026" s="1" t="str">
        <f>"9627X12139"</f>
        <v>9627X12139</v>
      </c>
      <c r="E8026" s="1" t="s">
        <v>10</v>
      </c>
      <c r="F8026" s="1" t="str">
        <f>"10.128.67.92"</f>
        <v>10.128.67.92</v>
      </c>
      <c r="G8026" s="1" t="str">
        <f>"9627X121"</f>
        <v>9627X121</v>
      </c>
      <c r="H8026" s="1" t="str">
        <f>"명지간 35L5R1"</f>
        <v>명지간 35L5R1</v>
      </c>
      <c r="I8026" s="1" t="s">
        <v>8</v>
      </c>
      <c r="J8026" s="1" t="str">
        <f>"8/18"</f>
        <v>8/18</v>
      </c>
      <c r="K8026" s="1" t="str">
        <f t="shared" si="392"/>
        <v>2026-07-29 13:18:10</v>
      </c>
      <c r="L8026" s="1" t="str">
        <f>"2018-01-22 14:14:56"</f>
        <v>2018-01-22 14:14:56</v>
      </c>
      <c r="M8026" s="1" t="s">
        <v>45</v>
      </c>
      <c r="N8026" s="1" t="s">
        <v>38</v>
      </c>
      <c r="O8026" s="1" t="s">
        <v>46</v>
      </c>
    </row>
    <row r="8027" spans="2:15" x14ac:dyDescent="0.3">
      <c r="B8027" s="1" t="s">
        <v>21</v>
      </c>
      <c r="C8027" s="1" t="str">
        <f>"4차"</f>
        <v>4차</v>
      </c>
      <c r="D8027" s="1" t="str">
        <f>"9627X12239"</f>
        <v>9627X12239</v>
      </c>
      <c r="E8027" s="1" t="s">
        <v>10</v>
      </c>
      <c r="F8027" s="1" t="str">
        <f>"10.128.67.135"</f>
        <v>10.128.67.135</v>
      </c>
      <c r="G8027" s="1" t="str">
        <f>"9627X122"</f>
        <v>9627X122</v>
      </c>
      <c r="H8027" s="1" t="str">
        <f>"명지간 35L5R2"</f>
        <v>명지간 35L5R2</v>
      </c>
      <c r="I8027" s="1" t="s">
        <v>8</v>
      </c>
      <c r="J8027" s="1" t="str">
        <f>"26/26"</f>
        <v>26/26</v>
      </c>
      <c r="K8027" s="1" t="str">
        <f t="shared" si="392"/>
        <v>2026-07-29 13:18:10</v>
      </c>
      <c r="L8027" s="1" t="str">
        <f>"2018-01-30 15:41:27"</f>
        <v>2018-01-30 15:41:27</v>
      </c>
      <c r="M8027" s="1" t="s">
        <v>45</v>
      </c>
      <c r="N8027" s="1" t="s">
        <v>38</v>
      </c>
      <c r="O8027" s="1" t="s">
        <v>46</v>
      </c>
    </row>
    <row r="8028" spans="2:15" x14ac:dyDescent="0.3">
      <c r="B8028" s="1" t="s">
        <v>21</v>
      </c>
      <c r="C8028" s="1" t="str">
        <f>"3차"</f>
        <v>3차</v>
      </c>
      <c r="D8028" s="1" t="str">
        <f>"9627X13139"</f>
        <v>9627X13139</v>
      </c>
      <c r="E8028" s="1" t="s">
        <v>10</v>
      </c>
      <c r="F8028" s="1" t="str">
        <f>"10.128.67.73"</f>
        <v>10.128.67.73</v>
      </c>
      <c r="G8028" s="1" t="str">
        <f>"9627X131"</f>
        <v>9627X131</v>
      </c>
      <c r="H8028" s="1" t="str">
        <f>"명지간 39L4"</f>
        <v>명지간 39L4</v>
      </c>
      <c r="I8028" s="1" t="s">
        <v>8</v>
      </c>
      <c r="J8028" s="1" t="str">
        <f>"65/67"</f>
        <v>65/67</v>
      </c>
      <c r="K8028" s="1" t="str">
        <f t="shared" si="392"/>
        <v>2026-07-29 13:18:10</v>
      </c>
      <c r="L8028" s="1" t="str">
        <f>"2018-03-12 15:40:12"</f>
        <v>2018-03-12 15:40:12</v>
      </c>
      <c r="M8028" s="1" t="s">
        <v>45</v>
      </c>
      <c r="N8028" s="1" t="s">
        <v>38</v>
      </c>
      <c r="O8028" s="1" t="s">
        <v>46</v>
      </c>
    </row>
    <row r="8029" spans="2:15" x14ac:dyDescent="0.3">
      <c r="B8029" s="1" t="s">
        <v>21</v>
      </c>
      <c r="C8029" s="1" t="str">
        <f>"4차"</f>
        <v>4차</v>
      </c>
      <c r="D8029" s="1" t="str">
        <f>"9627X15139"</f>
        <v>9627X15139</v>
      </c>
      <c r="E8029" s="1" t="s">
        <v>10</v>
      </c>
      <c r="F8029" s="1" t="str">
        <f>"10.128.67.55"</f>
        <v>10.128.67.55</v>
      </c>
      <c r="G8029" s="1" t="str">
        <f>"9627X151"</f>
        <v>9627X151</v>
      </c>
      <c r="H8029" s="1" t="str">
        <f>"명지간 40"</f>
        <v>명지간 40</v>
      </c>
      <c r="I8029" s="1" t="s">
        <v>8</v>
      </c>
      <c r="J8029" s="1" t="str">
        <f>"33/33"</f>
        <v>33/33</v>
      </c>
      <c r="K8029" s="1" t="str">
        <f t="shared" si="392"/>
        <v>2026-07-29 13:18:10</v>
      </c>
      <c r="L8029" s="1" t="str">
        <f>"2018-01-23 14:48:57"</f>
        <v>2018-01-23 14:48:57</v>
      </c>
      <c r="M8029" s="1" t="s">
        <v>45</v>
      </c>
      <c r="N8029" s="1" t="s">
        <v>38</v>
      </c>
      <c r="O8029" s="1" t="s">
        <v>46</v>
      </c>
    </row>
    <row r="8030" spans="2:15" x14ac:dyDescent="0.3">
      <c r="B8030" s="1" t="s">
        <v>21</v>
      </c>
      <c r="C8030" s="1" t="str">
        <f t="shared" ref="C8030:C8035" si="393">"3차"</f>
        <v>3차</v>
      </c>
      <c r="D8030" s="1" t="str">
        <f>"9627X15339"</f>
        <v>9627X15339</v>
      </c>
      <c r="E8030" s="1" t="s">
        <v>10</v>
      </c>
      <c r="F8030" s="1" t="str">
        <f>"10.128.67.54"</f>
        <v>10.128.67.54</v>
      </c>
      <c r="G8030" s="1" t="str">
        <f>"9627X153"</f>
        <v>9627X153</v>
      </c>
      <c r="H8030" s="1" t="str">
        <f>"명지간 40L1"</f>
        <v>명지간 40L1</v>
      </c>
      <c r="I8030" s="1" t="s">
        <v>8</v>
      </c>
      <c r="J8030" s="1" t="str">
        <f>"8/8"</f>
        <v>8/8</v>
      </c>
      <c r="K8030" s="1" t="str">
        <f t="shared" si="392"/>
        <v>2026-07-29 13:18:10</v>
      </c>
      <c r="L8030" s="1" t="str">
        <f>"2018-02-27 12:01:26"</f>
        <v>2018-02-27 12:01:26</v>
      </c>
      <c r="M8030" s="1" t="s">
        <v>45</v>
      </c>
      <c r="N8030" s="1" t="s">
        <v>38</v>
      </c>
      <c r="O8030" s="1" t="s">
        <v>46</v>
      </c>
    </row>
    <row r="8031" spans="2:15" x14ac:dyDescent="0.3">
      <c r="B8031" s="1" t="s">
        <v>21</v>
      </c>
      <c r="C8031" s="1" t="str">
        <f t="shared" si="393"/>
        <v>3차</v>
      </c>
      <c r="D8031" s="1" t="str">
        <f>"9627X16139"</f>
        <v>9627X16139</v>
      </c>
      <c r="E8031" s="1" t="s">
        <v>10</v>
      </c>
      <c r="F8031" s="1" t="str">
        <f>"10.128.67.56"</f>
        <v>10.128.67.56</v>
      </c>
      <c r="G8031" s="1" t="str">
        <f>"9627X161"</f>
        <v>9627X161</v>
      </c>
      <c r="H8031" s="1" t="str">
        <f>"명지간 41"</f>
        <v>명지간 41</v>
      </c>
      <c r="I8031" s="1" t="s">
        <v>8</v>
      </c>
      <c r="J8031" s="1" t="str">
        <f>"19/20"</f>
        <v>19/20</v>
      </c>
      <c r="K8031" s="1" t="str">
        <f>"2026-07-24 07:18:11"</f>
        <v>2026-07-24 07:18:11</v>
      </c>
      <c r="L8031" s="1" t="str">
        <f>"2018-01-23 15:02:55"</f>
        <v>2018-01-23 15:02:55</v>
      </c>
      <c r="M8031" s="1" t="s">
        <v>45</v>
      </c>
      <c r="N8031" s="1" t="s">
        <v>38</v>
      </c>
      <c r="O8031" s="1" t="s">
        <v>46</v>
      </c>
    </row>
    <row r="8032" spans="2:15" x14ac:dyDescent="0.3">
      <c r="B8032" s="1" t="s">
        <v>21</v>
      </c>
      <c r="C8032" s="1" t="str">
        <f t="shared" si="393"/>
        <v>3차</v>
      </c>
      <c r="D8032" s="1" t="str">
        <f>"9627X17139"</f>
        <v>9627X17139</v>
      </c>
      <c r="E8032" s="1" t="s">
        <v>10</v>
      </c>
      <c r="F8032" s="1" t="str">
        <f>"10.128.67.24"</f>
        <v>10.128.67.24</v>
      </c>
      <c r="G8032" s="1" t="str">
        <f>"9627X171"</f>
        <v>9627X171</v>
      </c>
      <c r="H8032" s="1" t="str">
        <f>"와산간 68"</f>
        <v>와산간 68</v>
      </c>
      <c r="I8032" s="1" t="s">
        <v>8</v>
      </c>
      <c r="J8032" s="1" t="str">
        <f>"5/5"</f>
        <v>5/5</v>
      </c>
      <c r="K8032" s="1" t="str">
        <f>"2026-07-29 13:18:11"</f>
        <v>2026-07-29 13:18:11</v>
      </c>
      <c r="L8032" s="1" t="str">
        <f>"2018-02-21 14:46:55"</f>
        <v>2018-02-21 14:46:55</v>
      </c>
      <c r="M8032" s="1" t="s">
        <v>45</v>
      </c>
      <c r="N8032" s="1" t="s">
        <v>38</v>
      </c>
      <c r="O8032" s="1" t="s">
        <v>46</v>
      </c>
    </row>
    <row r="8033" spans="2:15" x14ac:dyDescent="0.3">
      <c r="B8033" s="1" t="s">
        <v>21</v>
      </c>
      <c r="C8033" s="1" t="str">
        <f t="shared" si="393"/>
        <v>3차</v>
      </c>
      <c r="D8033" s="1" t="str">
        <f>"9627X17239"</f>
        <v>9627X17239</v>
      </c>
      <c r="E8033" s="1" t="s">
        <v>10</v>
      </c>
      <c r="F8033" s="1" t="str">
        <f>"10.128.67.23"</f>
        <v>10.128.67.23</v>
      </c>
      <c r="G8033" s="1" t="str">
        <f>"9627X172"</f>
        <v>9627X172</v>
      </c>
      <c r="H8033" s="1" t="str">
        <f>"와산간 67"</f>
        <v>와산간 67</v>
      </c>
      <c r="I8033" s="1" t="s">
        <v>8</v>
      </c>
      <c r="J8033" s="1" t="str">
        <f>"3/3"</f>
        <v>3/3</v>
      </c>
      <c r="K8033" s="1" t="str">
        <f t="shared" ref="K8033:K8048" si="394">"2026-07-29 13:18:10"</f>
        <v>2026-07-29 13:18:10</v>
      </c>
      <c r="L8033" s="1" t="str">
        <f>"2018-03-05 16:19:11"</f>
        <v>2018-03-05 16:19:11</v>
      </c>
      <c r="M8033" s="1" t="s">
        <v>45</v>
      </c>
      <c r="N8033" s="1" t="s">
        <v>38</v>
      </c>
      <c r="O8033" s="1" t="s">
        <v>46</v>
      </c>
    </row>
    <row r="8034" spans="2:15" x14ac:dyDescent="0.3">
      <c r="B8034" s="1" t="s">
        <v>21</v>
      </c>
      <c r="C8034" s="1" t="str">
        <f t="shared" si="393"/>
        <v>3차</v>
      </c>
      <c r="D8034" s="1" t="str">
        <f>"9627X18539"</f>
        <v>9627X18539</v>
      </c>
      <c r="E8034" s="1" t="s">
        <v>10</v>
      </c>
      <c r="F8034" s="1" t="str">
        <f>"10.128.67.8"</f>
        <v>10.128.67.8</v>
      </c>
      <c r="G8034" s="1" t="str">
        <f>"9627X185"</f>
        <v>9627X185</v>
      </c>
      <c r="H8034" s="1" t="str">
        <f>"와산간 58R9"</f>
        <v>와산간 58R9</v>
      </c>
      <c r="I8034" s="1" t="s">
        <v>8</v>
      </c>
      <c r="J8034" s="1" t="str">
        <f>"23/23"</f>
        <v>23/23</v>
      </c>
      <c r="K8034" s="1" t="str">
        <f t="shared" si="394"/>
        <v>2026-07-29 13:18:10</v>
      </c>
      <c r="L8034" s="1" t="str">
        <f>"2018-02-21 13:53:10"</f>
        <v>2018-02-21 13:53:10</v>
      </c>
      <c r="M8034" s="1" t="s">
        <v>45</v>
      </c>
      <c r="N8034" s="1" t="s">
        <v>38</v>
      </c>
      <c r="O8034" s="1" t="s">
        <v>46</v>
      </c>
    </row>
    <row r="8035" spans="2:15" x14ac:dyDescent="0.3">
      <c r="B8035" s="1" t="s">
        <v>21</v>
      </c>
      <c r="C8035" s="1" t="str">
        <f t="shared" si="393"/>
        <v>3차</v>
      </c>
      <c r="D8035" s="1" t="str">
        <f>"9627X19239"</f>
        <v>9627X19239</v>
      </c>
      <c r="E8035" s="1" t="s">
        <v>10</v>
      </c>
      <c r="F8035" s="1" t="str">
        <f>"10.128.67.34"</f>
        <v>10.128.67.34</v>
      </c>
      <c r="G8035" s="1" t="str">
        <f>"9627X192"</f>
        <v>9627X192</v>
      </c>
      <c r="H8035" s="1" t="str">
        <f>"와산간 63"</f>
        <v>와산간 63</v>
      </c>
      <c r="I8035" s="1" t="s">
        <v>8</v>
      </c>
      <c r="J8035" s="1" t="str">
        <f>"15/15"</f>
        <v>15/15</v>
      </c>
      <c r="K8035" s="1" t="str">
        <f t="shared" si="394"/>
        <v>2026-07-29 13:18:10</v>
      </c>
      <c r="L8035" s="1" t="str">
        <f>"2018-02-05 12:31:40"</f>
        <v>2018-02-05 12:31:40</v>
      </c>
      <c r="M8035" s="1" t="s">
        <v>45</v>
      </c>
      <c r="N8035" s="1" t="s">
        <v>38</v>
      </c>
      <c r="O8035" s="1" t="s">
        <v>46</v>
      </c>
    </row>
    <row r="8036" spans="2:15" x14ac:dyDescent="0.3">
      <c r="B8036" s="1" t="s">
        <v>21</v>
      </c>
      <c r="C8036" s="1" t="str">
        <f>"4차"</f>
        <v>4차</v>
      </c>
      <c r="D8036" s="1" t="str">
        <f>"9627X19439"</f>
        <v>9627X19439</v>
      </c>
      <c r="E8036" s="1" t="s">
        <v>10</v>
      </c>
      <c r="F8036" s="1" t="str">
        <f>"10.128.67.151"</f>
        <v>10.128.67.151</v>
      </c>
      <c r="G8036" s="1" t="str">
        <f>"9627X194"</f>
        <v>9627X194</v>
      </c>
      <c r="H8036" s="1" t="str">
        <f>"와산간 64"</f>
        <v>와산간 64</v>
      </c>
      <c r="I8036" s="1" t="s">
        <v>8</v>
      </c>
      <c r="J8036" s="1" t="str">
        <f>"7/7"</f>
        <v>7/7</v>
      </c>
      <c r="K8036" s="1" t="str">
        <f t="shared" si="394"/>
        <v>2026-07-29 13:18:10</v>
      </c>
      <c r="L8036" s="1" t="str">
        <f>"2018-03-12 16:05:57"</f>
        <v>2018-03-12 16:05:57</v>
      </c>
      <c r="M8036" s="1" t="s">
        <v>45</v>
      </c>
      <c r="N8036" s="1" t="s">
        <v>38</v>
      </c>
      <c r="O8036" s="1" t="s">
        <v>46</v>
      </c>
    </row>
    <row r="8037" spans="2:15" x14ac:dyDescent="0.3">
      <c r="B8037" s="1" t="s">
        <v>21</v>
      </c>
      <c r="C8037" s="1" t="str">
        <f>"3차"</f>
        <v>3차</v>
      </c>
      <c r="D8037" s="1" t="str">
        <f>"9627X20139"</f>
        <v>9627X20139</v>
      </c>
      <c r="E8037" s="1" t="s">
        <v>10</v>
      </c>
      <c r="F8037" s="1" t="str">
        <f>"10.128.67.87"</f>
        <v>10.128.67.87</v>
      </c>
      <c r="G8037" s="1" t="str">
        <f>"9627X201"</f>
        <v>9627X201</v>
      </c>
      <c r="H8037" s="1" t="str">
        <f>"명지간 35L9"</f>
        <v>명지간 35L9</v>
      </c>
      <c r="I8037" s="1" t="s">
        <v>8</v>
      </c>
      <c r="J8037" s="1" t="str">
        <f>"39/39"</f>
        <v>39/39</v>
      </c>
      <c r="K8037" s="1" t="str">
        <f t="shared" si="394"/>
        <v>2026-07-29 13:18:10</v>
      </c>
      <c r="L8037" s="1" t="str">
        <f>"2018-01-23 11:32:08"</f>
        <v>2018-01-23 11:32:08</v>
      </c>
      <c r="M8037" s="1" t="s">
        <v>45</v>
      </c>
      <c r="N8037" s="1" t="s">
        <v>38</v>
      </c>
      <c r="O8037" s="1" t="s">
        <v>46</v>
      </c>
    </row>
    <row r="8038" spans="2:15" x14ac:dyDescent="0.3">
      <c r="B8038" s="1" t="s">
        <v>21</v>
      </c>
      <c r="C8038" s="1" t="str">
        <f>"4차"</f>
        <v>4차</v>
      </c>
      <c r="D8038" s="1" t="str">
        <f>"9627X22239"</f>
        <v>9627X22239</v>
      </c>
      <c r="E8038" s="1" t="s">
        <v>10</v>
      </c>
      <c r="F8038" s="1" t="str">
        <f>"10.128.67.90"</f>
        <v>10.128.67.90</v>
      </c>
      <c r="G8038" s="1" t="str">
        <f>"9627X222"</f>
        <v>9627X222</v>
      </c>
      <c r="H8038" s="1" t="str">
        <f>"명지간 35L6"</f>
        <v>명지간 35L6</v>
      </c>
      <c r="I8038" s="1" t="s">
        <v>8</v>
      </c>
      <c r="J8038" s="1" t="str">
        <f>"20/20"</f>
        <v>20/20</v>
      </c>
      <c r="K8038" s="1" t="str">
        <f t="shared" si="394"/>
        <v>2026-07-29 13:18:10</v>
      </c>
      <c r="L8038" s="1" t="str">
        <f>"2018-01-22 13:28:55"</f>
        <v>2018-01-22 13:28:55</v>
      </c>
      <c r="M8038" s="1" t="s">
        <v>45</v>
      </c>
      <c r="N8038" s="1" t="s">
        <v>38</v>
      </c>
      <c r="O8038" s="1" t="s">
        <v>46</v>
      </c>
    </row>
    <row r="8039" spans="2:15" x14ac:dyDescent="0.3">
      <c r="B8039" s="1" t="s">
        <v>21</v>
      </c>
      <c r="C8039" s="1" t="str">
        <f>"4차"</f>
        <v>4차</v>
      </c>
      <c r="D8039" s="1" t="str">
        <f>"9627X22339"</f>
        <v>9627X22339</v>
      </c>
      <c r="E8039" s="1" t="s">
        <v>10</v>
      </c>
      <c r="F8039" s="1" t="str">
        <f>"10.128.67.88"</f>
        <v>10.128.67.88</v>
      </c>
      <c r="G8039" s="1" t="str">
        <f>"9627X223"</f>
        <v>9627X223</v>
      </c>
      <c r="H8039" s="1" t="str">
        <f>"명지간 35L4"</f>
        <v>명지간 35L4</v>
      </c>
      <c r="I8039" s="1" t="s">
        <v>8</v>
      </c>
      <c r="J8039" s="1" t="str">
        <f>"64/64"</f>
        <v>64/64</v>
      </c>
      <c r="K8039" s="1" t="str">
        <f t="shared" si="394"/>
        <v>2026-07-29 13:18:10</v>
      </c>
      <c r="L8039" s="1" t="str">
        <f>"2018-01-22 13:23:55"</f>
        <v>2018-01-22 13:23:55</v>
      </c>
      <c r="M8039" s="1" t="s">
        <v>45</v>
      </c>
      <c r="N8039" s="1" t="s">
        <v>38</v>
      </c>
      <c r="O8039" s="1" t="s">
        <v>46</v>
      </c>
    </row>
    <row r="8040" spans="2:15" x14ac:dyDescent="0.3">
      <c r="B8040" s="1" t="s">
        <v>21</v>
      </c>
      <c r="C8040" s="1" t="str">
        <f>"3차"</f>
        <v>3차</v>
      </c>
      <c r="D8040" s="1" t="str">
        <f>"9627X24239"</f>
        <v>9627X24239</v>
      </c>
      <c r="E8040" s="1" t="s">
        <v>10</v>
      </c>
      <c r="F8040" s="1" t="str">
        <f>"10.128.67.58"</f>
        <v>10.128.67.58</v>
      </c>
      <c r="G8040" s="1" t="str">
        <f>"9627X242"</f>
        <v>9627X242</v>
      </c>
      <c r="H8040" s="1" t="str">
        <f>"명지간 39L2"</f>
        <v>명지간 39L2</v>
      </c>
      <c r="I8040" s="1" t="s">
        <v>8</v>
      </c>
      <c r="J8040" s="1" t="str">
        <f>"80/80"</f>
        <v>80/80</v>
      </c>
      <c r="K8040" s="1" t="str">
        <f t="shared" si="394"/>
        <v>2026-07-29 13:18:10</v>
      </c>
      <c r="L8040" s="1" t="str">
        <f>"2018-03-27 15:50:43"</f>
        <v>2018-03-27 15:50:43</v>
      </c>
      <c r="M8040" s="1" t="s">
        <v>45</v>
      </c>
      <c r="N8040" s="1" t="s">
        <v>38</v>
      </c>
      <c r="O8040" s="1" t="s">
        <v>46</v>
      </c>
    </row>
    <row r="8041" spans="2:15" x14ac:dyDescent="0.3">
      <c r="B8041" s="1" t="s">
        <v>21</v>
      </c>
      <c r="C8041" s="1" t="str">
        <f>"4차"</f>
        <v>4차</v>
      </c>
      <c r="D8041" s="1" t="str">
        <f>"9627X24339"</f>
        <v>9627X24339</v>
      </c>
      <c r="E8041" s="1" t="s">
        <v>10</v>
      </c>
      <c r="F8041" s="1" t="str">
        <f>"10.128.67.59"</f>
        <v>10.128.67.59</v>
      </c>
      <c r="G8041" s="1" t="str">
        <f>"9627X243"</f>
        <v>9627X243</v>
      </c>
      <c r="H8041" s="1" t="str">
        <f>"명지간 39L1"</f>
        <v>명지간 39L1</v>
      </c>
      <c r="I8041" s="1" t="s">
        <v>8</v>
      </c>
      <c r="J8041" s="1" t="str">
        <f>"30/30"</f>
        <v>30/30</v>
      </c>
      <c r="K8041" s="1" t="str">
        <f t="shared" si="394"/>
        <v>2026-07-29 13:18:10</v>
      </c>
      <c r="L8041" s="1" t="str">
        <f>"2018-02-27 10:59:42"</f>
        <v>2018-02-27 10:59:42</v>
      </c>
      <c r="M8041" s="1" t="s">
        <v>45</v>
      </c>
      <c r="N8041" s="1" t="s">
        <v>38</v>
      </c>
      <c r="O8041" s="1" t="s">
        <v>46</v>
      </c>
    </row>
    <row r="8042" spans="2:15" x14ac:dyDescent="0.3">
      <c r="B8042" s="1" t="s">
        <v>21</v>
      </c>
      <c r="C8042" s="1" t="str">
        <f>"3차"</f>
        <v>3차</v>
      </c>
      <c r="D8042" s="1" t="str">
        <f>"9627X26139"</f>
        <v>9627X26139</v>
      </c>
      <c r="E8042" s="1" t="s">
        <v>10</v>
      </c>
      <c r="F8042" s="1" t="str">
        <f>"10.128.67.51"</f>
        <v>10.128.67.51</v>
      </c>
      <c r="G8042" s="1" t="str">
        <f>"9627X261"</f>
        <v>9627X261</v>
      </c>
      <c r="H8042" s="1" t="str">
        <f>"명지간 42"</f>
        <v>명지간 42</v>
      </c>
      <c r="I8042" s="1" t="s">
        <v>8</v>
      </c>
      <c r="J8042" s="1" t="str">
        <f>"13/15"</f>
        <v>13/15</v>
      </c>
      <c r="K8042" s="1" t="str">
        <f t="shared" si="394"/>
        <v>2026-07-29 13:18:10</v>
      </c>
      <c r="L8042" s="1" t="str">
        <f>"2018-01-23 15:22:11"</f>
        <v>2018-01-23 15:22:11</v>
      </c>
      <c r="M8042" s="1" t="s">
        <v>45</v>
      </c>
      <c r="N8042" s="1" t="s">
        <v>38</v>
      </c>
      <c r="O8042" s="1" t="s">
        <v>46</v>
      </c>
    </row>
    <row r="8043" spans="2:15" x14ac:dyDescent="0.3">
      <c r="B8043" s="1" t="s">
        <v>21</v>
      </c>
      <c r="C8043" s="1" t="str">
        <f>"3차"</f>
        <v>3차</v>
      </c>
      <c r="D8043" s="1" t="str">
        <f>"9627X27339"</f>
        <v>9627X27339</v>
      </c>
      <c r="E8043" s="1" t="s">
        <v>10</v>
      </c>
      <c r="F8043" s="1" t="str">
        <f>"10.128.67.52"</f>
        <v>10.128.67.52</v>
      </c>
      <c r="G8043" s="1" t="str">
        <f>"9627X273"</f>
        <v>9627X273</v>
      </c>
      <c r="H8043" s="1" t="str">
        <f>"명지간 43L1"</f>
        <v>명지간 43L1</v>
      </c>
      <c r="I8043" s="1" t="s">
        <v>8</v>
      </c>
      <c r="J8043" s="1" t="str">
        <f>"1/1"</f>
        <v>1/1</v>
      </c>
      <c r="K8043" s="1" t="str">
        <f t="shared" si="394"/>
        <v>2026-07-29 13:18:10</v>
      </c>
      <c r="L8043" s="1" t="str">
        <f>"2018-02-05 10:59:24"</f>
        <v>2018-02-05 10:59:24</v>
      </c>
      <c r="M8043" s="1" t="s">
        <v>45</v>
      </c>
      <c r="N8043" s="1" t="s">
        <v>38</v>
      </c>
      <c r="O8043" s="1" t="s">
        <v>46</v>
      </c>
    </row>
    <row r="8044" spans="2:15" x14ac:dyDescent="0.3">
      <c r="B8044" s="1" t="s">
        <v>21</v>
      </c>
      <c r="C8044" s="1" t="str">
        <f>"3차"</f>
        <v>3차</v>
      </c>
      <c r="D8044" s="1" t="str">
        <f>"9627X28439"</f>
        <v>9627X28439</v>
      </c>
      <c r="E8044" s="1" t="s">
        <v>10</v>
      </c>
      <c r="F8044" s="1" t="str">
        <f>"10.128.67.53"</f>
        <v>10.128.67.53</v>
      </c>
      <c r="G8044" s="1" t="str">
        <f>"9627X284"</f>
        <v>9627X284</v>
      </c>
      <c r="H8044" s="1" t="str">
        <f>"명지간 43L2"</f>
        <v>명지간 43L2</v>
      </c>
      <c r="I8044" s="1" t="s">
        <v>8</v>
      </c>
      <c r="J8044" s="1" t="str">
        <f>"26/26"</f>
        <v>26/26</v>
      </c>
      <c r="K8044" s="1" t="str">
        <f t="shared" si="394"/>
        <v>2026-07-29 13:18:10</v>
      </c>
      <c r="L8044" s="1" t="str">
        <f>"2018-02-05 10:36:10"</f>
        <v>2018-02-05 10:36:10</v>
      </c>
      <c r="M8044" s="1" t="s">
        <v>45</v>
      </c>
      <c r="N8044" s="1" t="s">
        <v>38</v>
      </c>
      <c r="O8044" s="1" t="s">
        <v>46</v>
      </c>
    </row>
    <row r="8045" spans="2:15" x14ac:dyDescent="0.3">
      <c r="B8045" s="1" t="s">
        <v>21</v>
      </c>
      <c r="C8045" s="1" t="str">
        <f>"4차"</f>
        <v>4차</v>
      </c>
      <c r="D8045" s="1" t="str">
        <f>"9627X33139"</f>
        <v>9627X33139</v>
      </c>
      <c r="E8045" s="1" t="s">
        <v>10</v>
      </c>
      <c r="F8045" s="1" t="str">
        <f>"10.128.67.91"</f>
        <v>10.128.67.91</v>
      </c>
      <c r="G8045" s="1" t="str">
        <f>"9627X331"</f>
        <v>9627X331</v>
      </c>
      <c r="H8045" s="1" t="str">
        <f>"명지간 35L3"</f>
        <v>명지간 35L3</v>
      </c>
      <c r="I8045" s="1" t="s">
        <v>8</v>
      </c>
      <c r="J8045" s="1" t="str">
        <f>"55/55"</f>
        <v>55/55</v>
      </c>
      <c r="K8045" s="1" t="str">
        <f t="shared" si="394"/>
        <v>2026-07-29 13:18:10</v>
      </c>
      <c r="L8045" s="1" t="str">
        <f>"2018-01-22 13:29:25"</f>
        <v>2018-01-22 13:29:25</v>
      </c>
      <c r="M8045" s="1" t="s">
        <v>45</v>
      </c>
      <c r="N8045" s="1" t="s">
        <v>38</v>
      </c>
      <c r="O8045" s="1" t="s">
        <v>46</v>
      </c>
    </row>
    <row r="8046" spans="2:15" x14ac:dyDescent="0.3">
      <c r="B8046" s="1" t="s">
        <v>21</v>
      </c>
      <c r="C8046" s="1" t="str">
        <f>"4차"</f>
        <v>4차</v>
      </c>
      <c r="D8046" s="1" t="str">
        <f>"9627X33444"</f>
        <v>9627X33444</v>
      </c>
      <c r="E8046" s="1" t="s">
        <v>10</v>
      </c>
      <c r="F8046" s="1" t="str">
        <f>"10.10.123.26"</f>
        <v>10.10.123.26</v>
      </c>
      <c r="G8046" s="1" t="str">
        <f>"9627X334"</f>
        <v>9627X334</v>
      </c>
      <c r="H8046" s="1" t="str">
        <f>"명지간 35L1"</f>
        <v>명지간 35L1</v>
      </c>
      <c r="I8046" s="1" t="s">
        <v>8</v>
      </c>
      <c r="J8046" s="1" t="str">
        <f>"16/16"</f>
        <v>16/16</v>
      </c>
      <c r="K8046" s="1" t="str">
        <f t="shared" si="394"/>
        <v>2026-07-29 13:18:10</v>
      </c>
      <c r="L8046" s="1" t="str">
        <f>"2019-11-05 17:43:03"</f>
        <v>2019-11-05 17:43:03</v>
      </c>
      <c r="M8046" s="1" t="s">
        <v>1</v>
      </c>
      <c r="N8046" s="1" t="s">
        <v>38</v>
      </c>
      <c r="O8046" s="1" t="s">
        <v>46</v>
      </c>
    </row>
    <row r="8047" spans="2:15" x14ac:dyDescent="0.3">
      <c r="B8047" s="1" t="s">
        <v>21</v>
      </c>
      <c r="C8047" s="1" t="str">
        <f>"3차"</f>
        <v>3차</v>
      </c>
      <c r="D8047" s="1" t="str">
        <f>"9627X34139"</f>
        <v>9627X34139</v>
      </c>
      <c r="E8047" s="1" t="s">
        <v>10</v>
      </c>
      <c r="F8047" s="1" t="str">
        <f>"10.128.67.152"</f>
        <v>10.128.67.152</v>
      </c>
      <c r="G8047" s="1" t="str">
        <f>"9627X341"</f>
        <v>9627X341</v>
      </c>
      <c r="H8047" s="1" t="str">
        <f>"명지간 38"</f>
        <v>명지간 38</v>
      </c>
      <c r="I8047" s="1" t="s">
        <v>8</v>
      </c>
      <c r="J8047" s="1" t="str">
        <f>"69/71"</f>
        <v>69/71</v>
      </c>
      <c r="K8047" s="1" t="str">
        <f t="shared" si="394"/>
        <v>2026-07-29 13:18:10</v>
      </c>
      <c r="L8047" s="1" t="str">
        <f>"2018-03-13 16:46:56"</f>
        <v>2018-03-13 16:46:56</v>
      </c>
      <c r="M8047" s="1" t="s">
        <v>45</v>
      </c>
      <c r="N8047" s="1" t="s">
        <v>38</v>
      </c>
      <c r="O8047" s="1" t="s">
        <v>46</v>
      </c>
    </row>
    <row r="8048" spans="2:15" x14ac:dyDescent="0.3">
      <c r="B8048" s="1" t="s">
        <v>21</v>
      </c>
      <c r="C8048" s="1" t="str">
        <f>"4차"</f>
        <v>4차</v>
      </c>
      <c r="D8048" s="1" t="str">
        <f>"9627X35239"</f>
        <v>9627X35239</v>
      </c>
      <c r="E8048" s="1" t="s">
        <v>10</v>
      </c>
      <c r="F8048" s="1" t="str">
        <f>"10.128.67.39"</f>
        <v>10.128.67.39</v>
      </c>
      <c r="G8048" s="1" t="str">
        <f>"9627X352"</f>
        <v>9627X352</v>
      </c>
      <c r="H8048" s="1" t="str">
        <f>"홍은간 50L8R7"</f>
        <v>홍은간 50L8R7</v>
      </c>
      <c r="I8048" s="1" t="s">
        <v>8</v>
      </c>
      <c r="J8048" s="1" t="str">
        <f>"33/33"</f>
        <v>33/33</v>
      </c>
      <c r="K8048" s="1" t="str">
        <f t="shared" si="394"/>
        <v>2026-07-29 13:18:10</v>
      </c>
      <c r="L8048" s="1" t="str">
        <f>"2018-02-02 17:03:27"</f>
        <v>2018-02-02 17:03:27</v>
      </c>
      <c r="M8048" s="1" t="s">
        <v>45</v>
      </c>
      <c r="N8048" s="1" t="s">
        <v>38</v>
      </c>
      <c r="O8048" s="1" t="s">
        <v>46</v>
      </c>
    </row>
    <row r="8049" spans="2:15" x14ac:dyDescent="0.3">
      <c r="B8049" s="1" t="s">
        <v>21</v>
      </c>
      <c r="C8049" s="1" t="str">
        <f>"4차"</f>
        <v>4차</v>
      </c>
      <c r="D8049" s="1" t="str">
        <f>"9627X37142"</f>
        <v>9627X37142</v>
      </c>
      <c r="E8049" s="1" t="s">
        <v>10</v>
      </c>
      <c r="F8049" s="1" t="str">
        <f>"10.12.132.160"</f>
        <v>10.12.132.160</v>
      </c>
      <c r="G8049" s="1" t="str">
        <f>"9627X371"</f>
        <v>9627X371</v>
      </c>
      <c r="H8049" s="1" t="str">
        <f>"홍은간 50L7R3"</f>
        <v>홍은간 50L7R3</v>
      </c>
      <c r="I8049" s="1" t="s">
        <v>8</v>
      </c>
      <c r="J8049" s="1" t="str">
        <f>"7/10"</f>
        <v>7/10</v>
      </c>
      <c r="K8049" s="1" t="str">
        <f>"2026-07-29 13:18:11"</f>
        <v>2026-07-29 13:18:11</v>
      </c>
      <c r="L8049" s="1" t="str">
        <f>"2025-06-30 15:11:31"</f>
        <v>2025-06-30 15:11:31</v>
      </c>
      <c r="M8049" s="1" t="s">
        <v>0</v>
      </c>
      <c r="N8049" s="1" t="s">
        <v>38</v>
      </c>
      <c r="O8049" s="1" t="s">
        <v>46</v>
      </c>
    </row>
    <row r="8050" spans="2:15" x14ac:dyDescent="0.3">
      <c r="B8050" s="1" t="s">
        <v>21</v>
      </c>
      <c r="C8050" s="1" t="str">
        <f>"3차"</f>
        <v>3차</v>
      </c>
      <c r="D8050" s="1" t="str">
        <f>"9627X37239"</f>
        <v>9627X37239</v>
      </c>
      <c r="E8050" s="1" t="s">
        <v>10</v>
      </c>
      <c r="F8050" s="1" t="str">
        <f>"10.128.67.50"</f>
        <v>10.128.67.50</v>
      </c>
      <c r="G8050" s="1" t="str">
        <f>"9627X372"</f>
        <v>9627X372</v>
      </c>
      <c r="H8050" s="1" t="str">
        <f>"명지간 43R1"</f>
        <v>명지간 43R1</v>
      </c>
      <c r="I8050" s="1" t="s">
        <v>8</v>
      </c>
      <c r="J8050" s="1" t="str">
        <f>"14/14"</f>
        <v>14/14</v>
      </c>
      <c r="K8050" s="1" t="str">
        <f>"2026-07-29 13:18:10"</f>
        <v>2026-07-29 13:18:10</v>
      </c>
      <c r="L8050" s="1" t="str">
        <f>"2018-02-28 11:18:40"</f>
        <v>2018-02-28 11:18:40</v>
      </c>
      <c r="M8050" s="1" t="s">
        <v>45</v>
      </c>
      <c r="N8050" s="1" t="s">
        <v>38</v>
      </c>
      <c r="O8050" s="1" t="s">
        <v>46</v>
      </c>
    </row>
    <row r="8051" spans="2:15" x14ac:dyDescent="0.3">
      <c r="B8051" s="1" t="s">
        <v>21</v>
      </c>
      <c r="C8051" s="1" t="str">
        <f>"1차"</f>
        <v>1차</v>
      </c>
      <c r="D8051" s="1" t="str">
        <f>"9627X38100"</f>
        <v>9627X38100</v>
      </c>
      <c r="E8051" s="1" t="s">
        <v>10</v>
      </c>
      <c r="F8051" s="1" t="str">
        <f>"10.128.64.242"</f>
        <v>10.128.64.242</v>
      </c>
      <c r="G8051" s="1" t="str">
        <f>"9627X381"</f>
        <v>9627X381</v>
      </c>
      <c r="H8051" s="1" t="str">
        <f>"홍은간 50L7R4"</f>
        <v>홍은간 50L7R4</v>
      </c>
      <c r="I8051" s="1" t="s">
        <v>8</v>
      </c>
      <c r="J8051" s="1" t="str">
        <f>"23/23"</f>
        <v>23/23</v>
      </c>
      <c r="K8051" s="1" t="str">
        <f>"2026-07-29 13:18:10"</f>
        <v>2026-07-29 13:18:10</v>
      </c>
      <c r="L8051" s="1" t="str">
        <f>"2015-01-16 17:57:01"</f>
        <v>2015-01-16 17:57:01</v>
      </c>
      <c r="M8051" s="1" t="s">
        <v>45</v>
      </c>
      <c r="N8051" s="1" t="s">
        <v>38</v>
      </c>
      <c r="O8051" s="1" t="s">
        <v>46</v>
      </c>
    </row>
    <row r="8052" spans="2:15" x14ac:dyDescent="0.3">
      <c r="B8052" s="1" t="s">
        <v>21</v>
      </c>
      <c r="C8052" s="1" t="str">
        <f>"3차"</f>
        <v>3차</v>
      </c>
      <c r="D8052" s="1" t="str">
        <f>"9627X39139"</f>
        <v>9627X39139</v>
      </c>
      <c r="E8052" s="1" t="s">
        <v>10</v>
      </c>
      <c r="F8052" s="1" t="str">
        <f>"10.128.67.40"</f>
        <v>10.128.67.40</v>
      </c>
      <c r="G8052" s="1" t="str">
        <f>"9627X391"</f>
        <v>9627X391</v>
      </c>
      <c r="H8052" s="1" t="str">
        <f>"홍은간 50L5R2"</f>
        <v>홍은간 50L5R2</v>
      </c>
      <c r="I8052" s="1" t="s">
        <v>8</v>
      </c>
      <c r="J8052" s="1" t="str">
        <f>"14/14"</f>
        <v>14/14</v>
      </c>
      <c r="K8052" s="1" t="str">
        <f>"2026-07-29 13:18:10"</f>
        <v>2026-07-29 13:18:10</v>
      </c>
      <c r="L8052" s="1" t="str">
        <f>"2018-02-19 14:36:42"</f>
        <v>2018-02-19 14:36:42</v>
      </c>
      <c r="M8052" s="1" t="s">
        <v>45</v>
      </c>
      <c r="N8052" s="1" t="s">
        <v>38</v>
      </c>
      <c r="O8052" s="1" t="s">
        <v>46</v>
      </c>
    </row>
    <row r="8053" spans="2:15" x14ac:dyDescent="0.3">
      <c r="B8053" s="1" t="s">
        <v>21</v>
      </c>
      <c r="C8053" s="1" t="str">
        <f>"1차"</f>
        <v>1차</v>
      </c>
      <c r="D8053" s="1" t="str">
        <f>"9627X41101"</f>
        <v>9627X41101</v>
      </c>
      <c r="E8053" s="1" t="s">
        <v>10</v>
      </c>
      <c r="F8053" s="1" t="str">
        <f>"10.12.136.132"</f>
        <v>10.12.136.132</v>
      </c>
      <c r="G8053" s="1" t="str">
        <f>"9627X411"</f>
        <v>9627X411</v>
      </c>
      <c r="H8053" s="1" t="str">
        <f>"명지간 35A2"</f>
        <v>명지간 35A2</v>
      </c>
      <c r="I8053" s="1" t="s">
        <v>8</v>
      </c>
      <c r="J8053" s="1" t="str">
        <f>"58/58"</f>
        <v>58/58</v>
      </c>
      <c r="K8053" s="1" t="str">
        <f>"2026-07-29 13:18:11"</f>
        <v>2026-07-29 13:18:11</v>
      </c>
      <c r="L8053" s="1" t="str">
        <f>"2014-12-06 10:02:30"</f>
        <v>2014-12-06 10:02:30</v>
      </c>
      <c r="M8053" s="1" t="s">
        <v>0</v>
      </c>
      <c r="N8053" s="1" t="s">
        <v>38</v>
      </c>
      <c r="O8053" s="1" t="s">
        <v>46</v>
      </c>
    </row>
    <row r="8054" spans="2:15" x14ac:dyDescent="0.3">
      <c r="B8054" s="1" t="s">
        <v>21</v>
      </c>
      <c r="C8054" s="1" t="str">
        <f>"4차"</f>
        <v>4차</v>
      </c>
      <c r="D8054" s="1" t="str">
        <f>"9627X43344"</f>
        <v>9627X43344</v>
      </c>
      <c r="E8054" s="1" t="s">
        <v>10</v>
      </c>
      <c r="F8054" s="1" t="str">
        <f>"10.128.77.90"</f>
        <v>10.128.77.90</v>
      </c>
      <c r="G8054" s="1" t="str">
        <f>"9627X433"</f>
        <v>9627X433</v>
      </c>
      <c r="H8054" s="1" t="str">
        <f>"명지간 36"</f>
        <v>명지간 36</v>
      </c>
      <c r="I8054" s="1" t="s">
        <v>8</v>
      </c>
      <c r="J8054" s="1" t="str">
        <f>"38/38"</f>
        <v>38/38</v>
      </c>
      <c r="K8054" s="1" t="str">
        <f>"2026-07-29 13:18:10"</f>
        <v>2026-07-29 13:18:10</v>
      </c>
      <c r="L8054" s="1" t="str">
        <f>"2020-01-15 14:38:31"</f>
        <v>2020-01-15 14:38:31</v>
      </c>
      <c r="M8054" s="1" t="s">
        <v>45</v>
      </c>
      <c r="N8054" s="1" t="s">
        <v>38</v>
      </c>
      <c r="O8054" s="1" t="s">
        <v>46</v>
      </c>
    </row>
    <row r="8055" spans="2:15" x14ac:dyDescent="0.3">
      <c r="B8055" s="1" t="s">
        <v>21</v>
      </c>
      <c r="C8055" s="1" t="str">
        <f>"4차"</f>
        <v>4차</v>
      </c>
      <c r="D8055" s="1" t="str">
        <f>"9627X44144"</f>
        <v>9627X44144</v>
      </c>
      <c r="E8055" s="1" t="s">
        <v>10</v>
      </c>
      <c r="F8055" s="1" t="str">
        <f>"10.10.92.130"</f>
        <v>10.10.92.130</v>
      </c>
      <c r="G8055" s="1" t="str">
        <f>"9627X441"</f>
        <v>9627X441</v>
      </c>
      <c r="H8055" s="1" t="str">
        <f>"명지간 37"</f>
        <v>명지간 37</v>
      </c>
      <c r="I8055" s="1" t="s">
        <v>8</v>
      </c>
      <c r="J8055" s="1" t="str">
        <f>"36/36"</f>
        <v>36/36</v>
      </c>
      <c r="K8055" s="1" t="str">
        <f>"2026-07-29 13:18:10"</f>
        <v>2026-07-29 13:18:10</v>
      </c>
      <c r="L8055" s="1" t="str">
        <f>"2019-11-14 12:28:03"</f>
        <v>2019-11-14 12:28:03</v>
      </c>
      <c r="M8055" s="1" t="s">
        <v>1</v>
      </c>
      <c r="N8055" s="1" t="s">
        <v>38</v>
      </c>
      <c r="O8055" s="1" t="s">
        <v>46</v>
      </c>
    </row>
    <row r="8056" spans="2:15" x14ac:dyDescent="0.3">
      <c r="B8056" s="1" t="s">
        <v>21</v>
      </c>
      <c r="C8056" s="1" t="str">
        <f>"4차"</f>
        <v>4차</v>
      </c>
      <c r="D8056" s="1" t="str">
        <f>"9627X45144"</f>
        <v>9627X45144</v>
      </c>
      <c r="E8056" s="1" t="s">
        <v>10</v>
      </c>
      <c r="F8056" s="1" t="str">
        <f>"10.10.91.250"</f>
        <v>10.10.91.250</v>
      </c>
      <c r="G8056" s="1" t="str">
        <f>"9627X451"</f>
        <v>9627X451</v>
      </c>
      <c r="H8056" s="1" t="str">
        <f>"홍은간 50L8R5"</f>
        <v>홍은간 50L8R5</v>
      </c>
      <c r="I8056" s="1" t="s">
        <v>8</v>
      </c>
      <c r="J8056" s="1" t="str">
        <f>"20/20"</f>
        <v>20/20</v>
      </c>
      <c r="K8056" s="1" t="str">
        <f>"2026-07-29 13:18:10"</f>
        <v>2026-07-29 13:18:10</v>
      </c>
      <c r="L8056" s="1" t="str">
        <f>"2019-11-07 13:13:05"</f>
        <v>2019-11-07 13:13:05</v>
      </c>
      <c r="M8056" s="1" t="s">
        <v>1</v>
      </c>
      <c r="N8056" s="1" t="s">
        <v>38</v>
      </c>
      <c r="O8056" s="1" t="s">
        <v>46</v>
      </c>
    </row>
    <row r="8057" spans="2:15" x14ac:dyDescent="0.3">
      <c r="B8057" s="1" t="s">
        <v>21</v>
      </c>
      <c r="C8057" s="1" t="str">
        <f>"4차"</f>
        <v>4차</v>
      </c>
      <c r="D8057" s="1" t="str">
        <f>"9627X46142"</f>
        <v>9627X46142</v>
      </c>
      <c r="E8057" s="1" t="s">
        <v>10</v>
      </c>
      <c r="F8057" s="1" t="str">
        <f>"10.128.65.10"</f>
        <v>10.128.65.10</v>
      </c>
      <c r="G8057" s="1" t="str">
        <f>"9627X461"</f>
        <v>9627X461</v>
      </c>
      <c r="H8057" s="1" t="str">
        <f>"홍은간 50L8R5R1"</f>
        <v>홍은간 50L8R5R1</v>
      </c>
      <c r="I8057" s="1" t="s">
        <v>8</v>
      </c>
      <c r="J8057" s="1" t="str">
        <f>"64/65"</f>
        <v>64/65</v>
      </c>
      <c r="K8057" s="1" t="str">
        <f>"2026-07-29 13:18:10"</f>
        <v>2026-07-29 13:18:10</v>
      </c>
      <c r="L8057" s="1" t="str">
        <f>"2025-01-08 17:03:13"</f>
        <v>2025-01-08 17:03:13</v>
      </c>
      <c r="M8057" s="1" t="s">
        <v>45</v>
      </c>
      <c r="N8057" s="1" t="s">
        <v>38</v>
      </c>
      <c r="O8057" s="1" t="s">
        <v>46</v>
      </c>
    </row>
    <row r="8058" spans="2:15" x14ac:dyDescent="0.3">
      <c r="B8058" s="1" t="s">
        <v>21</v>
      </c>
      <c r="C8058" s="1" t="str">
        <f>"1차"</f>
        <v>1차</v>
      </c>
      <c r="D8058" s="1" t="str">
        <f>"9627X49101"</f>
        <v>9627X49101</v>
      </c>
      <c r="E8058" s="1" t="s">
        <v>14</v>
      </c>
      <c r="F8058" s="1" t="str">
        <f>"10.128.64.212"</f>
        <v>10.128.64.212</v>
      </c>
      <c r="G8058" s="1" t="str">
        <f>"9627X491"</f>
        <v>9627X491</v>
      </c>
      <c r="H8058" s="1" t="str">
        <f>"홍은간 50L4"</f>
        <v>홍은간 50L4</v>
      </c>
      <c r="I8058" s="1" t="s">
        <v>8</v>
      </c>
      <c r="J8058" s="1" t="str">
        <f>"0/0"</f>
        <v>0/0</v>
      </c>
      <c r="K8058" s="1" t="str">
        <f>"2025-10-19 13:21:01"</f>
        <v>2025-10-19 13:21:01</v>
      </c>
      <c r="L8058" s="1" t="str">
        <f>"2015-01-17 13:40:19"</f>
        <v>2015-01-17 13:40:19</v>
      </c>
      <c r="M8058" s="1" t="s">
        <v>45</v>
      </c>
      <c r="N8058" s="1" t="s">
        <v>44</v>
      </c>
      <c r="O8058" s="1" t="s">
        <v>44</v>
      </c>
    </row>
    <row r="8059" spans="2:15" x14ac:dyDescent="0.3">
      <c r="B8059" s="1" t="s">
        <v>21</v>
      </c>
      <c r="C8059" s="1" t="str">
        <f>"1차"</f>
        <v>1차</v>
      </c>
      <c r="D8059" s="1" t="str">
        <f>"9627X49200"</f>
        <v>9627X49200</v>
      </c>
      <c r="E8059" s="1" t="s">
        <v>10</v>
      </c>
      <c r="F8059" s="1" t="str">
        <f>"10.128.64.210"</f>
        <v>10.128.64.210</v>
      </c>
      <c r="G8059" s="1" t="str">
        <f>"9627X492"</f>
        <v>9627X492</v>
      </c>
      <c r="H8059" s="1" t="str">
        <f>"홍은간 50L3"</f>
        <v>홍은간 50L3</v>
      </c>
      <c r="I8059" s="1" t="s">
        <v>8</v>
      </c>
      <c r="J8059" s="1" t="str">
        <f>"35/36"</f>
        <v>35/36</v>
      </c>
      <c r="K8059" s="1" t="str">
        <f>"2026-07-29 13:18:11"</f>
        <v>2026-07-29 13:18:11</v>
      </c>
      <c r="L8059" s="1" t="str">
        <f>"2015-01-17 13:47:02"</f>
        <v>2015-01-17 13:47:02</v>
      </c>
      <c r="M8059" s="1" t="s">
        <v>45</v>
      </c>
      <c r="N8059" s="1" t="s">
        <v>38</v>
      </c>
      <c r="O8059" s="1" t="s">
        <v>46</v>
      </c>
    </row>
    <row r="8060" spans="2:15" x14ac:dyDescent="0.3">
      <c r="B8060" s="1" t="s">
        <v>21</v>
      </c>
      <c r="C8060" s="1" t="str">
        <f>"1차"</f>
        <v>1차</v>
      </c>
      <c r="D8060" s="1" t="str">
        <f>"9627X50200"</f>
        <v>9627X50200</v>
      </c>
      <c r="E8060" s="1" t="s">
        <v>10</v>
      </c>
      <c r="F8060" s="1" t="str">
        <f>"10.128.65.18"</f>
        <v>10.128.65.18</v>
      </c>
      <c r="G8060" s="1" t="str">
        <f>"9627X502"</f>
        <v>9627X502</v>
      </c>
      <c r="H8060" s="1" t="str">
        <f>"명지간 30"</f>
        <v>명지간 30</v>
      </c>
      <c r="I8060" s="1" t="s">
        <v>8</v>
      </c>
      <c r="J8060" s="1" t="str">
        <f>"89/92"</f>
        <v>89/92</v>
      </c>
      <c r="K8060" s="1" t="str">
        <f>"2026-07-29 13:18:10"</f>
        <v>2026-07-29 13:18:10</v>
      </c>
      <c r="L8060" s="1" t="str">
        <f>"2015-03-05 03:56:04"</f>
        <v>2015-03-05 03:56:04</v>
      </c>
      <c r="M8060" s="1" t="s">
        <v>45</v>
      </c>
      <c r="N8060" s="1" t="s">
        <v>38</v>
      </c>
      <c r="O8060" s="1" t="s">
        <v>46</v>
      </c>
    </row>
    <row r="8061" spans="2:15" x14ac:dyDescent="0.3">
      <c r="B8061" s="1" t="s">
        <v>21</v>
      </c>
      <c r="C8061" s="1" t="str">
        <f>"6차"</f>
        <v>6차</v>
      </c>
      <c r="D8061" s="1" t="str">
        <f>"9627X5316S"</f>
        <v>9627X5316S</v>
      </c>
      <c r="E8061" s="1" t="s">
        <v>10</v>
      </c>
      <c r="F8061" s="1" t="str">
        <f>"fde1:103:4:c7e8:0:0:0:2"</f>
        <v>fde1:103:4:c7e8:0:0:0:2</v>
      </c>
      <c r="G8061" s="1" t="str">
        <f>"9627X531"</f>
        <v>9627X531</v>
      </c>
      <c r="H8061" s="1" t="str">
        <f>"명지간 34"</f>
        <v>명지간 34</v>
      </c>
      <c r="I8061" s="1" t="s">
        <v>15</v>
      </c>
      <c r="J8061" s="1" t="str">
        <f>"28/37"</f>
        <v>28/37</v>
      </c>
      <c r="K8061" s="1" t="str">
        <f>"2026-07-29 14:21:22"</f>
        <v>2026-07-29 14:21:22</v>
      </c>
      <c r="L8061" s="1" t="str">
        <f>"2024-12-10 11:24:38"</f>
        <v>2024-12-10 11:24:38</v>
      </c>
      <c r="M8061" s="1" t="s">
        <v>4</v>
      </c>
      <c r="N8061" s="1" t="s">
        <v>38</v>
      </c>
      <c r="O8061" s="1" t="s">
        <v>46</v>
      </c>
    </row>
    <row r="8062" spans="2:15" x14ac:dyDescent="0.3">
      <c r="B8062" s="1" t="s">
        <v>21</v>
      </c>
      <c r="C8062" s="1" t="str">
        <f>"1차"</f>
        <v>1차</v>
      </c>
      <c r="D8062" s="1" t="str">
        <f>"9627X54101"</f>
        <v>9627X54101</v>
      </c>
      <c r="E8062" s="1" t="s">
        <v>10</v>
      </c>
      <c r="F8062" s="1" t="str">
        <f>"10.128.64.219"</f>
        <v>10.128.64.219</v>
      </c>
      <c r="G8062" s="1" t="str">
        <f>"9627X541"</f>
        <v>9627X541</v>
      </c>
      <c r="H8062" s="1" t="str">
        <f>"명지간 37R1"</f>
        <v>명지간 37R1</v>
      </c>
      <c r="I8062" s="1" t="s">
        <v>8</v>
      </c>
      <c r="J8062" s="1" t="str">
        <f>"63/64"</f>
        <v>63/64</v>
      </c>
      <c r="K8062" s="1" t="str">
        <f>"2026-07-29 13:18:10"</f>
        <v>2026-07-29 13:18:10</v>
      </c>
      <c r="L8062" s="1" t="str">
        <f>"2015-02-10 15:38:13"</f>
        <v>2015-02-10 15:38:13</v>
      </c>
      <c r="M8062" s="1" t="s">
        <v>45</v>
      </c>
      <c r="N8062" s="1" t="s">
        <v>38</v>
      </c>
      <c r="O8062" s="1" t="s">
        <v>46</v>
      </c>
    </row>
    <row r="8063" spans="2:15" x14ac:dyDescent="0.3">
      <c r="B8063" s="1" t="s">
        <v>21</v>
      </c>
      <c r="C8063" s="1" t="str">
        <f>"1차"</f>
        <v>1차</v>
      </c>
      <c r="D8063" s="1" t="str">
        <f>"9627X54200"</f>
        <v>9627X54200</v>
      </c>
      <c r="E8063" s="1" t="s">
        <v>10</v>
      </c>
      <c r="F8063" s="1" t="str">
        <f>"10.128.64.218"</f>
        <v>10.128.64.218</v>
      </c>
      <c r="G8063" s="1" t="str">
        <f>"9627X542"</f>
        <v>9627X542</v>
      </c>
      <c r="H8063" s="1" t="str">
        <f>"명지간 37R2"</f>
        <v>명지간 37R2</v>
      </c>
      <c r="I8063" s="1" t="s">
        <v>8</v>
      </c>
      <c r="J8063" s="1" t="str">
        <f>"5/6"</f>
        <v>5/6</v>
      </c>
      <c r="K8063" s="1" t="str">
        <f>"2026-07-29 13:18:10"</f>
        <v>2026-07-29 13:18:10</v>
      </c>
      <c r="L8063" s="1" t="str">
        <f>"2015-01-19 00:28:14"</f>
        <v>2015-01-19 00:28:14</v>
      </c>
      <c r="M8063" s="1" t="s">
        <v>45</v>
      </c>
      <c r="N8063" s="1" t="s">
        <v>38</v>
      </c>
      <c r="O8063" s="1" t="s">
        <v>46</v>
      </c>
    </row>
    <row r="8064" spans="2:15" x14ac:dyDescent="0.3">
      <c r="B8064" s="1" t="s">
        <v>21</v>
      </c>
      <c r="C8064" s="1" t="str">
        <f>"6차"</f>
        <v>6차</v>
      </c>
      <c r="D8064" s="1" t="str">
        <f>"9627X5466S"</f>
        <v>9627X5466S</v>
      </c>
      <c r="E8064" s="1" t="s">
        <v>10</v>
      </c>
      <c r="F8064" s="1" t="str">
        <f>"fde1:103:4:c7fc:0:0:0:2"</f>
        <v>fde1:103:4:c7fc:0:0:0:2</v>
      </c>
      <c r="G8064" s="1" t="str">
        <f>"9627X546"</f>
        <v>9627X546</v>
      </c>
      <c r="H8064" s="1" t="str">
        <f>"명지간 37R3"</f>
        <v>명지간 37R3</v>
      </c>
      <c r="I8064" s="1" t="s">
        <v>15</v>
      </c>
      <c r="J8064" s="1" t="str">
        <f>"68/68"</f>
        <v>68/68</v>
      </c>
      <c r="K8064" s="1" t="str">
        <f>"2026-07-29 14:20:55"</f>
        <v>2026-07-29 14:20:55</v>
      </c>
      <c r="L8064" s="1" t="str">
        <f>"2024-12-10 11:24:46"</f>
        <v>2024-12-10 11:24:46</v>
      </c>
      <c r="M8064" s="1" t="s">
        <v>4</v>
      </c>
      <c r="N8064" s="1" t="s">
        <v>38</v>
      </c>
      <c r="O8064" s="1" t="s">
        <v>46</v>
      </c>
    </row>
    <row r="8065" spans="2:15" x14ac:dyDescent="0.3">
      <c r="B8065" s="1" t="s">
        <v>21</v>
      </c>
      <c r="C8065" s="1" t="str">
        <f>"1차"</f>
        <v>1차</v>
      </c>
      <c r="D8065" s="1" t="str">
        <f>"9627X55101"</f>
        <v>9627X55101</v>
      </c>
      <c r="E8065" s="1" t="s">
        <v>14</v>
      </c>
      <c r="F8065" s="1" t="str">
        <f>"10.128.65.3"</f>
        <v>10.128.65.3</v>
      </c>
      <c r="G8065" s="1" t="str">
        <f>"9627X551"</f>
        <v>9627X551</v>
      </c>
      <c r="H8065" s="1" t="str">
        <f>"홍은간 50L8R4"</f>
        <v>홍은간 50L8R4</v>
      </c>
      <c r="I8065" s="1" t="s">
        <v>8</v>
      </c>
      <c r="J8065" s="1" t="str">
        <f>"0/0"</f>
        <v>0/0</v>
      </c>
      <c r="K8065" s="1" t="str">
        <f>"2024-07-03 09:20:06"</f>
        <v>2024-07-03 09:20:06</v>
      </c>
      <c r="L8065" s="1" t="str">
        <f>"2015-01-16 17:51:41"</f>
        <v>2015-01-16 17:51:41</v>
      </c>
      <c r="M8065" s="1" t="s">
        <v>45</v>
      </c>
      <c r="N8065" s="1" t="s">
        <v>44</v>
      </c>
      <c r="O8065" s="1" t="s">
        <v>44</v>
      </c>
    </row>
    <row r="8066" spans="2:15" x14ac:dyDescent="0.3">
      <c r="B8066" s="1" t="s">
        <v>21</v>
      </c>
      <c r="C8066" s="1" t="str">
        <f>"1차"</f>
        <v>1차</v>
      </c>
      <c r="D8066" s="1" t="str">
        <f>"9627X56102"</f>
        <v>9627X56102</v>
      </c>
      <c r="E8066" s="1" t="s">
        <v>10</v>
      </c>
      <c r="F8066" s="1" t="str">
        <f>"10.14.9.199"</f>
        <v>10.14.9.199</v>
      </c>
      <c r="G8066" s="1" t="str">
        <f>"9627X561"</f>
        <v>9627X561</v>
      </c>
      <c r="H8066" s="1" t="str">
        <f>"홍은간 50L8R2"</f>
        <v>홍은간 50L8R2</v>
      </c>
      <c r="I8066" s="1" t="s">
        <v>8</v>
      </c>
      <c r="J8066" s="1" t="str">
        <f>"56/56"</f>
        <v>56/56</v>
      </c>
      <c r="K8066" s="1" t="str">
        <f>"2026-07-29 13:18:12"</f>
        <v>2026-07-29 13:18:12</v>
      </c>
      <c r="L8066" s="1" t="str">
        <f>"2015-01-16 17:51:25"</f>
        <v>2015-01-16 17:51:25</v>
      </c>
      <c r="M8066" s="1" t="s">
        <v>3</v>
      </c>
      <c r="N8066" s="1" t="s">
        <v>38</v>
      </c>
      <c r="O8066" s="1" t="s">
        <v>46</v>
      </c>
    </row>
    <row r="8067" spans="2:15" x14ac:dyDescent="0.3">
      <c r="B8067" s="1" t="s">
        <v>21</v>
      </c>
      <c r="C8067" s="1" t="str">
        <f>"1차"</f>
        <v>1차</v>
      </c>
      <c r="D8067" s="1" t="str">
        <f>"9627X57201"</f>
        <v>9627X57201</v>
      </c>
      <c r="E8067" s="1" t="s">
        <v>10</v>
      </c>
      <c r="F8067" s="1" t="str">
        <f>"10.14.11.117"</f>
        <v>10.14.11.117</v>
      </c>
      <c r="G8067" s="1" t="str">
        <f>"9627X572"</f>
        <v>9627X572</v>
      </c>
      <c r="H8067" s="1" t="str">
        <f>"홍은간 50L7R1"</f>
        <v>홍은간 50L7R1</v>
      </c>
      <c r="I8067" s="1" t="s">
        <v>8</v>
      </c>
      <c r="J8067" s="1" t="str">
        <f>"26/26"</f>
        <v>26/26</v>
      </c>
      <c r="K8067" s="1" t="str">
        <f>"2026-07-29 13:18:12"</f>
        <v>2026-07-29 13:18:12</v>
      </c>
      <c r="L8067" s="1" t="str">
        <f>"2015-01-16 17:51:07"</f>
        <v>2015-01-16 17:51:07</v>
      </c>
      <c r="M8067" s="1" t="s">
        <v>3</v>
      </c>
      <c r="N8067" s="1" t="s">
        <v>38</v>
      </c>
      <c r="O8067" s="1" t="s">
        <v>46</v>
      </c>
    </row>
    <row r="8068" spans="2:15" x14ac:dyDescent="0.3">
      <c r="B8068" s="1" t="s">
        <v>21</v>
      </c>
      <c r="C8068" s="1" t="str">
        <f>"1차"</f>
        <v>1차</v>
      </c>
      <c r="D8068" s="1" t="str">
        <f>"9627X59200"</f>
        <v>9627X59200</v>
      </c>
      <c r="E8068" s="1" t="s">
        <v>10</v>
      </c>
      <c r="F8068" s="1" t="str">
        <f>"10.128.64.194"</f>
        <v>10.128.64.194</v>
      </c>
      <c r="G8068" s="1" t="str">
        <f>"9627X592"</f>
        <v>9627X592</v>
      </c>
      <c r="H8068" s="1" t="str">
        <f>"홍은간 47L3"</f>
        <v>홍은간 47L3</v>
      </c>
      <c r="I8068" s="1" t="s">
        <v>8</v>
      </c>
      <c r="J8068" s="1" t="str">
        <f>"50/50"</f>
        <v>50/50</v>
      </c>
      <c r="K8068" s="1" t="str">
        <f>"2026-07-29 13:18:11"</f>
        <v>2026-07-29 13:18:11</v>
      </c>
      <c r="L8068" s="1" t="str">
        <f>"2015-01-10 13:04:24"</f>
        <v>2015-01-10 13:04:24</v>
      </c>
      <c r="M8068" s="1" t="s">
        <v>45</v>
      </c>
      <c r="N8068" s="1" t="s">
        <v>38</v>
      </c>
      <c r="O8068" s="1" t="s">
        <v>46</v>
      </c>
    </row>
    <row r="8069" spans="2:15" x14ac:dyDescent="0.3">
      <c r="B8069" s="1" t="s">
        <v>21</v>
      </c>
      <c r="C8069" s="1" t="str">
        <f>"4차"</f>
        <v>4차</v>
      </c>
      <c r="D8069" s="1" t="str">
        <f>"9627X60139"</f>
        <v>9627X60139</v>
      </c>
      <c r="E8069" s="1" t="s">
        <v>10</v>
      </c>
      <c r="F8069" s="1" t="str">
        <f>"10.128.67.115"</f>
        <v>10.128.67.115</v>
      </c>
      <c r="G8069" s="1" t="str">
        <f>"9627X601"</f>
        <v>9627X601</v>
      </c>
      <c r="H8069" s="1" t="str">
        <f>"명지간 29R1"</f>
        <v>명지간 29R1</v>
      </c>
      <c r="I8069" s="1" t="s">
        <v>8</v>
      </c>
      <c r="J8069" s="1" t="str">
        <f>"39/39"</f>
        <v>39/39</v>
      </c>
      <c r="K8069" s="1" t="str">
        <f>"2026-07-29 13:18:10"</f>
        <v>2026-07-29 13:18:10</v>
      </c>
      <c r="L8069" s="1" t="str">
        <f>"2018-03-16 10:07:11"</f>
        <v>2018-03-16 10:07:11</v>
      </c>
      <c r="M8069" s="1" t="s">
        <v>45</v>
      </c>
      <c r="N8069" s="1" t="s">
        <v>38</v>
      </c>
      <c r="O8069" s="1" t="s">
        <v>46</v>
      </c>
    </row>
    <row r="8070" spans="2:15" x14ac:dyDescent="0.3">
      <c r="B8070" s="1" t="s">
        <v>21</v>
      </c>
      <c r="C8070" s="1" t="str">
        <f>"3차"</f>
        <v>3차</v>
      </c>
      <c r="D8070" s="1" t="str">
        <f>"9627X61339"</f>
        <v>9627X61339</v>
      </c>
      <c r="E8070" s="1" t="s">
        <v>10</v>
      </c>
      <c r="F8070" s="1" t="str">
        <f>"10.128.67.99"</f>
        <v>10.128.67.99</v>
      </c>
      <c r="G8070" s="1" t="str">
        <f>"9627X613"</f>
        <v>9627X613</v>
      </c>
      <c r="H8070" s="1" t="str">
        <f>"명지간 34R4"</f>
        <v>명지간 34R4</v>
      </c>
      <c r="I8070" s="1" t="s">
        <v>8</v>
      </c>
      <c r="J8070" s="1" t="str">
        <f>"43/43"</f>
        <v>43/43</v>
      </c>
      <c r="K8070" s="1" t="str">
        <f>"2026-07-29 13:18:11"</f>
        <v>2026-07-29 13:18:11</v>
      </c>
      <c r="L8070" s="1" t="str">
        <f>"2018-01-22 13:23:54"</f>
        <v>2018-01-22 13:23:54</v>
      </c>
      <c r="M8070" s="1" t="s">
        <v>45</v>
      </c>
      <c r="N8070" s="1" t="s">
        <v>38</v>
      </c>
      <c r="O8070" s="1" t="s">
        <v>46</v>
      </c>
    </row>
    <row r="8071" spans="2:15" x14ac:dyDescent="0.3">
      <c r="B8071" s="1" t="s">
        <v>21</v>
      </c>
      <c r="C8071" s="1" t="str">
        <f>"3차"</f>
        <v>3차</v>
      </c>
      <c r="D8071" s="1" t="str">
        <f>"9627X62139"</f>
        <v>9627X62139</v>
      </c>
      <c r="E8071" s="1" t="s">
        <v>10</v>
      </c>
      <c r="F8071" s="1" t="str">
        <f>"10.128.67.98"</f>
        <v>10.128.67.98</v>
      </c>
      <c r="G8071" s="1" t="str">
        <f>"9627X621"</f>
        <v>9627X621</v>
      </c>
      <c r="H8071" s="1" t="str">
        <f>"명지간 34R3"</f>
        <v>명지간 34R3</v>
      </c>
      <c r="I8071" s="1" t="s">
        <v>8</v>
      </c>
      <c r="J8071" s="1" t="str">
        <f>"9/9"</f>
        <v>9/9</v>
      </c>
      <c r="K8071" s="1" t="str">
        <f>"2026-07-29 13:18:11"</f>
        <v>2026-07-29 13:18:11</v>
      </c>
      <c r="L8071" s="1" t="str">
        <f>"2018-01-22 13:27:40"</f>
        <v>2018-01-22 13:27:40</v>
      </c>
      <c r="M8071" s="1" t="s">
        <v>45</v>
      </c>
      <c r="N8071" s="1" t="s">
        <v>38</v>
      </c>
      <c r="O8071" s="1" t="s">
        <v>46</v>
      </c>
    </row>
    <row r="8072" spans="2:15" x14ac:dyDescent="0.3">
      <c r="B8072" s="1" t="s">
        <v>21</v>
      </c>
      <c r="C8072" s="1" t="str">
        <f>"3차"</f>
        <v>3차</v>
      </c>
      <c r="D8072" s="1" t="str">
        <f>"9627X62239"</f>
        <v>9627X62239</v>
      </c>
      <c r="E8072" s="1" t="s">
        <v>10</v>
      </c>
      <c r="F8072" s="1" t="str">
        <f>"10.128.67.100"</f>
        <v>10.128.67.100</v>
      </c>
      <c r="G8072" s="1" t="str">
        <f>"9627X622"</f>
        <v>9627X622</v>
      </c>
      <c r="H8072" s="1" t="str">
        <f>"명지간 34R2"</f>
        <v>명지간 34R2</v>
      </c>
      <c r="I8072" s="1" t="s">
        <v>8</v>
      </c>
      <c r="J8072" s="1" t="str">
        <f>"25/25"</f>
        <v>25/25</v>
      </c>
      <c r="K8072" s="1" t="str">
        <f>"2026-07-29 13:18:11"</f>
        <v>2026-07-29 13:18:11</v>
      </c>
      <c r="L8072" s="1" t="str">
        <f>"2018-01-22 13:27:10"</f>
        <v>2018-01-22 13:27:10</v>
      </c>
      <c r="M8072" s="1" t="s">
        <v>45</v>
      </c>
      <c r="N8072" s="1" t="s">
        <v>38</v>
      </c>
      <c r="O8072" s="1" t="s">
        <v>46</v>
      </c>
    </row>
    <row r="8073" spans="2:15" x14ac:dyDescent="0.3">
      <c r="B8073" s="1" t="s">
        <v>21</v>
      </c>
      <c r="C8073" s="1" t="str">
        <f>"6차"</f>
        <v>6차</v>
      </c>
      <c r="D8073" s="1" t="str">
        <f>"9627X6316S"</f>
        <v>9627X6316S</v>
      </c>
      <c r="E8073" s="1" t="s">
        <v>10</v>
      </c>
      <c r="F8073" s="1" t="str">
        <f>"fde1:103:4:c7f2:0:0:0:2"</f>
        <v>fde1:103:4:c7f2:0:0:0:2</v>
      </c>
      <c r="G8073" s="1" t="str">
        <f>"9627X631"</f>
        <v>9627X631</v>
      </c>
      <c r="H8073" s="1" t="str">
        <f>"명지간 34R1"</f>
        <v>명지간 34R1</v>
      </c>
      <c r="I8073" s="1" t="s">
        <v>15</v>
      </c>
      <c r="J8073" s="1" t="str">
        <f>"44/45"</f>
        <v>44/45</v>
      </c>
      <c r="K8073" s="1" t="str">
        <f>"2026-07-29 08:21:14"</f>
        <v>2026-07-29 08:21:14</v>
      </c>
      <c r="L8073" s="1" t="str">
        <f>"2024-12-10 11:24:24"</f>
        <v>2024-12-10 11:24:24</v>
      </c>
      <c r="M8073" s="1" t="s">
        <v>4</v>
      </c>
      <c r="N8073" s="1" t="s">
        <v>38</v>
      </c>
      <c r="O8073" s="1" t="s">
        <v>46</v>
      </c>
    </row>
    <row r="8074" spans="2:15" x14ac:dyDescent="0.3">
      <c r="B8074" s="1" t="s">
        <v>21</v>
      </c>
      <c r="C8074" s="1" t="str">
        <f>"3차"</f>
        <v>3차</v>
      </c>
      <c r="D8074" s="1" t="str">
        <f>"9627X64139"</f>
        <v>9627X64139</v>
      </c>
      <c r="E8074" s="1" t="s">
        <v>10</v>
      </c>
      <c r="F8074" s="1" t="str">
        <f>"10.128.67.105"</f>
        <v>10.128.67.105</v>
      </c>
      <c r="G8074" s="1" t="str">
        <f>"9627X641"</f>
        <v>9627X641</v>
      </c>
      <c r="H8074" s="1" t="str">
        <f>"명지간 37R4R2"</f>
        <v>명지간 37R4R2</v>
      </c>
      <c r="I8074" s="1" t="s">
        <v>8</v>
      </c>
      <c r="J8074" s="1" t="str">
        <f>"39/39"</f>
        <v>39/39</v>
      </c>
      <c r="K8074" s="1" t="str">
        <f t="shared" ref="K8074:K8085" si="395">"2026-07-29 13:18:11"</f>
        <v>2026-07-29 13:18:11</v>
      </c>
      <c r="L8074" s="1" t="str">
        <f>"2018-01-30 13:50:41"</f>
        <v>2018-01-30 13:50:41</v>
      </c>
      <c r="M8074" s="1" t="s">
        <v>45</v>
      </c>
      <c r="N8074" s="1" t="s">
        <v>38</v>
      </c>
      <c r="O8074" s="1" t="s">
        <v>46</v>
      </c>
    </row>
    <row r="8075" spans="2:15" x14ac:dyDescent="0.3">
      <c r="B8075" s="1" t="s">
        <v>21</v>
      </c>
      <c r="C8075" s="1" t="str">
        <f>"4차"</f>
        <v>4차</v>
      </c>
      <c r="D8075" s="1" t="str">
        <f>"9627X65339"</f>
        <v>9627X65339</v>
      </c>
      <c r="E8075" s="1" t="s">
        <v>10</v>
      </c>
      <c r="F8075" s="1" t="str">
        <f>"10.128.67.67"</f>
        <v>10.128.67.67</v>
      </c>
      <c r="G8075" s="1" t="str">
        <f>"9627X653"</f>
        <v>9627X653</v>
      </c>
      <c r="H8075" s="1" t="str">
        <f>"명지간 37R6"</f>
        <v>명지간 37R6</v>
      </c>
      <c r="I8075" s="1" t="s">
        <v>8</v>
      </c>
      <c r="J8075" s="1" t="str">
        <f>"34/34"</f>
        <v>34/34</v>
      </c>
      <c r="K8075" s="1" t="str">
        <f t="shared" si="395"/>
        <v>2026-07-29 13:18:11</v>
      </c>
      <c r="L8075" s="1" t="str">
        <f>"2022-06-02 13:57:49"</f>
        <v>2022-06-02 13:57:49</v>
      </c>
      <c r="M8075" s="1" t="s">
        <v>45</v>
      </c>
      <c r="N8075" s="1" t="s">
        <v>38</v>
      </c>
      <c r="O8075" s="1" t="s">
        <v>46</v>
      </c>
    </row>
    <row r="8076" spans="2:15" x14ac:dyDescent="0.3">
      <c r="B8076" s="1" t="s">
        <v>21</v>
      </c>
      <c r="C8076" s="1" t="str">
        <f>"1차"</f>
        <v>1차</v>
      </c>
      <c r="D8076" s="1" t="str">
        <f>"9627X67102"</f>
        <v>9627X67102</v>
      </c>
      <c r="E8076" s="1" t="s">
        <v>10</v>
      </c>
      <c r="F8076" s="1" t="str">
        <f>"10.128.77.26"</f>
        <v>10.128.77.26</v>
      </c>
      <c r="G8076" s="1" t="str">
        <f>"9627X671"</f>
        <v>9627X671</v>
      </c>
      <c r="H8076" s="1" t="str">
        <f>"홍은간 50L8"</f>
        <v>홍은간 50L8</v>
      </c>
      <c r="I8076" s="1" t="s">
        <v>8</v>
      </c>
      <c r="J8076" s="1" t="str">
        <f>"26/26"</f>
        <v>26/26</v>
      </c>
      <c r="K8076" s="1" t="str">
        <f t="shared" si="395"/>
        <v>2026-07-29 13:18:11</v>
      </c>
      <c r="L8076" s="1" t="str">
        <f>"2015-01-16 17:51:32"</f>
        <v>2015-01-16 17:51:32</v>
      </c>
      <c r="M8076" s="1" t="s">
        <v>45</v>
      </c>
      <c r="N8076" s="1" t="s">
        <v>38</v>
      </c>
      <c r="O8076" s="1" t="s">
        <v>46</v>
      </c>
    </row>
    <row r="8077" spans="2:15" x14ac:dyDescent="0.3">
      <c r="B8077" s="1" t="s">
        <v>21</v>
      </c>
      <c r="C8077" s="1" t="str">
        <f>"4차"</f>
        <v>4차</v>
      </c>
      <c r="D8077" s="1" t="str">
        <f>"9627X67242"</f>
        <v>9627X67242</v>
      </c>
      <c r="E8077" s="1" t="s">
        <v>10</v>
      </c>
      <c r="F8077" s="1" t="str">
        <f>"10.128.64.226"</f>
        <v>10.128.64.226</v>
      </c>
      <c r="G8077" s="1" t="str">
        <f>"9627X672"</f>
        <v>9627X672</v>
      </c>
      <c r="H8077" s="1" t="str">
        <f>"홍은간 50L8L1"</f>
        <v>홍은간 50L8L1</v>
      </c>
      <c r="I8077" s="1" t="s">
        <v>8</v>
      </c>
      <c r="J8077" s="1" t="str">
        <f>"26/26"</f>
        <v>26/26</v>
      </c>
      <c r="K8077" s="1" t="str">
        <f t="shared" si="395"/>
        <v>2026-07-29 13:18:11</v>
      </c>
      <c r="L8077" s="1" t="str">
        <f>"2025-01-08 17:00:21"</f>
        <v>2025-01-08 17:00:21</v>
      </c>
      <c r="M8077" s="1" t="s">
        <v>45</v>
      </c>
      <c r="N8077" s="1" t="s">
        <v>38</v>
      </c>
      <c r="O8077" s="1" t="s">
        <v>46</v>
      </c>
    </row>
    <row r="8078" spans="2:15" x14ac:dyDescent="0.3">
      <c r="B8078" s="1" t="s">
        <v>21</v>
      </c>
      <c r="C8078" s="1" t="str">
        <f>"3차"</f>
        <v>3차</v>
      </c>
      <c r="D8078" s="1" t="str">
        <f>"9627X70139"</f>
        <v>9627X70139</v>
      </c>
      <c r="E8078" s="1" t="s">
        <v>10</v>
      </c>
      <c r="F8078" s="1" t="str">
        <f>"10.128.67.116"</f>
        <v>10.128.67.116</v>
      </c>
      <c r="G8078" s="1" t="str">
        <f>"9627X701"</f>
        <v>9627X701</v>
      </c>
      <c r="H8078" s="1" t="str">
        <f>"명지간 29R2"</f>
        <v>명지간 29R2</v>
      </c>
      <c r="I8078" s="1" t="s">
        <v>8</v>
      </c>
      <c r="J8078" s="1" t="str">
        <f>"35/35"</f>
        <v>35/35</v>
      </c>
      <c r="K8078" s="1" t="str">
        <f t="shared" si="395"/>
        <v>2026-07-29 13:18:11</v>
      </c>
      <c r="L8078" s="1" t="str">
        <f>"2018-01-22 13:26:24"</f>
        <v>2018-01-22 13:26:24</v>
      </c>
      <c r="M8078" s="1" t="s">
        <v>45</v>
      </c>
      <c r="N8078" s="1" t="s">
        <v>38</v>
      </c>
      <c r="O8078" s="1" t="s">
        <v>46</v>
      </c>
    </row>
    <row r="8079" spans="2:15" x14ac:dyDescent="0.3">
      <c r="B8079" s="1" t="s">
        <v>21</v>
      </c>
      <c r="C8079" s="1" t="str">
        <f>"4차"</f>
        <v>4차</v>
      </c>
      <c r="D8079" s="1" t="str">
        <f>"9627X70239"</f>
        <v>9627X70239</v>
      </c>
      <c r="E8079" s="1" t="s">
        <v>10</v>
      </c>
      <c r="F8079" s="1" t="str">
        <f>"10.128.67.117"</f>
        <v>10.128.67.117</v>
      </c>
      <c r="G8079" s="1" t="str">
        <f>"9627X702"</f>
        <v>9627X702</v>
      </c>
      <c r="H8079" s="1" t="str">
        <f>"명지간 29R2R1"</f>
        <v>명지간 29R2R1</v>
      </c>
      <c r="I8079" s="1" t="s">
        <v>8</v>
      </c>
      <c r="J8079" s="1" t="str">
        <f>"34/34"</f>
        <v>34/34</v>
      </c>
      <c r="K8079" s="1" t="str">
        <f t="shared" si="395"/>
        <v>2026-07-29 13:18:11</v>
      </c>
      <c r="L8079" s="1" t="str">
        <f>"2018-03-16 10:08:10"</f>
        <v>2018-03-16 10:08:10</v>
      </c>
      <c r="M8079" s="1" t="s">
        <v>45</v>
      </c>
      <c r="N8079" s="1" t="s">
        <v>38</v>
      </c>
      <c r="O8079" s="1" t="s">
        <v>46</v>
      </c>
    </row>
    <row r="8080" spans="2:15" x14ac:dyDescent="0.3">
      <c r="B8080" s="1" t="s">
        <v>21</v>
      </c>
      <c r="C8080" s="1" t="str">
        <f t="shared" ref="C8080:C8085" si="396">"3차"</f>
        <v>3차</v>
      </c>
      <c r="D8080" s="1" t="str">
        <f>"9627X71239"</f>
        <v>9627X71239</v>
      </c>
      <c r="E8080" s="1" t="s">
        <v>10</v>
      </c>
      <c r="F8080" s="1" t="str">
        <f>"10.128.67.104"</f>
        <v>10.128.67.104</v>
      </c>
      <c r="G8080" s="1" t="str">
        <f>"9627X712"</f>
        <v>9627X712</v>
      </c>
      <c r="H8080" s="1" t="str">
        <f>"명지간 34R6"</f>
        <v>명지간 34R6</v>
      </c>
      <c r="I8080" s="1" t="s">
        <v>8</v>
      </c>
      <c r="J8080" s="1" t="str">
        <f>"28/28"</f>
        <v>28/28</v>
      </c>
      <c r="K8080" s="1" t="str">
        <f t="shared" si="395"/>
        <v>2026-07-29 13:18:11</v>
      </c>
      <c r="L8080" s="1" t="str">
        <f>"2018-03-12 14:31:41"</f>
        <v>2018-03-12 14:31:41</v>
      </c>
      <c r="M8080" s="1" t="s">
        <v>45</v>
      </c>
      <c r="N8080" s="1" t="s">
        <v>38</v>
      </c>
      <c r="O8080" s="1" t="s">
        <v>46</v>
      </c>
    </row>
    <row r="8081" spans="2:15" x14ac:dyDescent="0.3">
      <c r="B8081" s="1" t="s">
        <v>21</v>
      </c>
      <c r="C8081" s="1" t="str">
        <f t="shared" si="396"/>
        <v>3차</v>
      </c>
      <c r="D8081" s="1" t="str">
        <f>"9627X73139"</f>
        <v>9627X73139</v>
      </c>
      <c r="E8081" s="1" t="s">
        <v>10</v>
      </c>
      <c r="F8081" s="1" t="str">
        <f>"10.128.67.69"</f>
        <v>10.128.67.69</v>
      </c>
      <c r="G8081" s="1" t="str">
        <f>"9627X731"</f>
        <v>9627X731</v>
      </c>
      <c r="H8081" s="1" t="str">
        <f>"명지간 37R4R3"</f>
        <v>명지간 37R4R3</v>
      </c>
      <c r="I8081" s="1" t="s">
        <v>8</v>
      </c>
      <c r="J8081" s="1" t="str">
        <f>"14/14"</f>
        <v>14/14</v>
      </c>
      <c r="K8081" s="1" t="str">
        <f t="shared" si="395"/>
        <v>2026-07-29 13:18:11</v>
      </c>
      <c r="L8081" s="1" t="str">
        <f>"2018-01-22 13:27:55"</f>
        <v>2018-01-22 13:27:55</v>
      </c>
      <c r="M8081" s="1" t="s">
        <v>45</v>
      </c>
      <c r="N8081" s="1" t="s">
        <v>38</v>
      </c>
      <c r="O8081" s="1" t="s">
        <v>46</v>
      </c>
    </row>
    <row r="8082" spans="2:15" x14ac:dyDescent="0.3">
      <c r="B8082" s="1" t="s">
        <v>21</v>
      </c>
      <c r="C8082" s="1" t="str">
        <f t="shared" si="396"/>
        <v>3차</v>
      </c>
      <c r="D8082" s="1" t="str">
        <f>"9627X73239"</f>
        <v>9627X73239</v>
      </c>
      <c r="E8082" s="1" t="s">
        <v>10</v>
      </c>
      <c r="F8082" s="1" t="str">
        <f>"10.128.67.72"</f>
        <v>10.128.67.72</v>
      </c>
      <c r="G8082" s="1" t="str">
        <f>"9627X732"</f>
        <v>9627X732</v>
      </c>
      <c r="H8082" s="1" t="str">
        <f>"명지간 37R4R4"</f>
        <v>명지간 37R4R4</v>
      </c>
      <c r="I8082" s="1" t="s">
        <v>8</v>
      </c>
      <c r="J8082" s="1" t="str">
        <f>"39/39"</f>
        <v>39/39</v>
      </c>
      <c r="K8082" s="1" t="str">
        <f t="shared" si="395"/>
        <v>2026-07-29 13:18:11</v>
      </c>
      <c r="L8082" s="1" t="str">
        <f>"2018-01-22 13:28:10"</f>
        <v>2018-01-22 13:28:10</v>
      </c>
      <c r="M8082" s="1" t="s">
        <v>45</v>
      </c>
      <c r="N8082" s="1" t="s">
        <v>38</v>
      </c>
      <c r="O8082" s="1" t="s">
        <v>46</v>
      </c>
    </row>
    <row r="8083" spans="2:15" x14ac:dyDescent="0.3">
      <c r="B8083" s="1" t="s">
        <v>21</v>
      </c>
      <c r="C8083" s="1" t="str">
        <f t="shared" si="396"/>
        <v>3차</v>
      </c>
      <c r="D8083" s="1" t="str">
        <f>"9627X73339"</f>
        <v>9627X73339</v>
      </c>
      <c r="E8083" s="1" t="s">
        <v>10</v>
      </c>
      <c r="F8083" s="1" t="str">
        <f>"10.128.67.103"</f>
        <v>10.128.67.103</v>
      </c>
      <c r="G8083" s="1" t="str">
        <f>"9627X733"</f>
        <v>9627X733</v>
      </c>
      <c r="H8083" s="1" t="str">
        <f>"명지간 34R8L2"</f>
        <v>명지간 34R8L2</v>
      </c>
      <c r="I8083" s="1" t="s">
        <v>8</v>
      </c>
      <c r="J8083" s="1" t="str">
        <f>"47/49"</f>
        <v>47/49</v>
      </c>
      <c r="K8083" s="1" t="str">
        <f t="shared" si="395"/>
        <v>2026-07-29 13:18:11</v>
      </c>
      <c r="L8083" s="1" t="str">
        <f>"2018-01-22 13:30:39"</f>
        <v>2018-01-22 13:30:39</v>
      </c>
      <c r="M8083" s="1" t="s">
        <v>45</v>
      </c>
      <c r="N8083" s="1" t="s">
        <v>38</v>
      </c>
      <c r="O8083" s="1" t="s">
        <v>46</v>
      </c>
    </row>
    <row r="8084" spans="2:15" x14ac:dyDescent="0.3">
      <c r="B8084" s="1" t="s">
        <v>21</v>
      </c>
      <c r="C8084" s="1" t="str">
        <f t="shared" si="396"/>
        <v>3차</v>
      </c>
      <c r="D8084" s="1" t="str">
        <f>"9627X74139"</f>
        <v>9627X74139</v>
      </c>
      <c r="E8084" s="1" t="s">
        <v>10</v>
      </c>
      <c r="F8084" s="1" t="str">
        <f>"10.128.67.84"</f>
        <v>10.128.67.84</v>
      </c>
      <c r="G8084" s="1" t="str">
        <f>"9627X741"</f>
        <v>9627X741</v>
      </c>
      <c r="H8084" s="1" t="str">
        <f>"명지간 34R8C6"</f>
        <v>명지간 34R8C6</v>
      </c>
      <c r="I8084" s="1" t="s">
        <v>8</v>
      </c>
      <c r="J8084" s="1" t="str">
        <f>"32/32"</f>
        <v>32/32</v>
      </c>
      <c r="K8084" s="1" t="str">
        <f t="shared" si="395"/>
        <v>2026-07-29 13:18:11</v>
      </c>
      <c r="L8084" s="1" t="str">
        <f>"2018-01-22 13:29:39"</f>
        <v>2018-01-22 13:29:39</v>
      </c>
      <c r="M8084" s="1" t="s">
        <v>45</v>
      </c>
      <c r="N8084" s="1" t="s">
        <v>38</v>
      </c>
      <c r="O8084" s="1" t="s">
        <v>46</v>
      </c>
    </row>
    <row r="8085" spans="2:15" x14ac:dyDescent="0.3">
      <c r="B8085" s="1" t="s">
        <v>21</v>
      </c>
      <c r="C8085" s="1" t="str">
        <f t="shared" si="396"/>
        <v>3차</v>
      </c>
      <c r="D8085" s="1" t="str">
        <f>"9627X76239"</f>
        <v>9627X76239</v>
      </c>
      <c r="E8085" s="1" t="s">
        <v>10</v>
      </c>
      <c r="F8085" s="1" t="str">
        <f>"10.128.67.37"</f>
        <v>10.128.67.37</v>
      </c>
      <c r="G8085" s="1" t="str">
        <f>"9627X762"</f>
        <v>9627X762</v>
      </c>
      <c r="H8085" s="1" t="str">
        <f>"홍은간 43L4"</f>
        <v>홍은간 43L4</v>
      </c>
      <c r="I8085" s="1" t="s">
        <v>8</v>
      </c>
      <c r="J8085" s="1" t="str">
        <f>"23/23"</f>
        <v>23/23</v>
      </c>
      <c r="K8085" s="1" t="str">
        <f t="shared" si="395"/>
        <v>2026-07-29 13:18:11</v>
      </c>
      <c r="L8085" s="1" t="str">
        <f>"2018-03-30 15:22:57"</f>
        <v>2018-03-30 15:22:57</v>
      </c>
      <c r="M8085" s="1" t="s">
        <v>45</v>
      </c>
      <c r="N8085" s="1" t="s">
        <v>38</v>
      </c>
      <c r="O8085" s="1" t="s">
        <v>46</v>
      </c>
    </row>
    <row r="8086" spans="2:15" x14ac:dyDescent="0.3">
      <c r="B8086" s="1" t="s">
        <v>21</v>
      </c>
      <c r="C8086" s="1" t="str">
        <f>"4차"</f>
        <v>4차</v>
      </c>
      <c r="D8086" s="1" t="str">
        <f>"9627X77139"</f>
        <v>9627X77139</v>
      </c>
      <c r="E8086" s="1" t="s">
        <v>10</v>
      </c>
      <c r="F8086" s="1" t="str">
        <f>"10.128.73.98"</f>
        <v>10.128.73.98</v>
      </c>
      <c r="G8086" s="1" t="str">
        <f>"9627X771"</f>
        <v>9627X771</v>
      </c>
      <c r="H8086" s="1" t="str">
        <f>"홍은간 50L9"</f>
        <v>홍은간 50L9</v>
      </c>
      <c r="I8086" s="1" t="s">
        <v>8</v>
      </c>
      <c r="J8086" s="1" t="str">
        <f>"30/30"</f>
        <v>30/30</v>
      </c>
      <c r="K8086" s="1" t="str">
        <f>"2026-07-28 20:03:18"</f>
        <v>2026-07-28 20:03:18</v>
      </c>
      <c r="L8086" s="1" t="str">
        <f>"2018-04-25 15:36:58"</f>
        <v>2018-04-25 15:36:58</v>
      </c>
      <c r="M8086" s="1" t="s">
        <v>45</v>
      </c>
      <c r="N8086" s="1" t="s">
        <v>38</v>
      </c>
      <c r="O8086" s="1" t="s">
        <v>46</v>
      </c>
    </row>
    <row r="8087" spans="2:15" x14ac:dyDescent="0.3">
      <c r="B8087" s="1" t="s">
        <v>21</v>
      </c>
      <c r="C8087" s="1" t="str">
        <f>"3차"</f>
        <v>3차</v>
      </c>
      <c r="D8087" s="1" t="str">
        <f>"9627X77239"</f>
        <v>9627X77239</v>
      </c>
      <c r="E8087" s="1" t="s">
        <v>10</v>
      </c>
      <c r="F8087" s="1" t="str">
        <f>"10.128.67.7"</f>
        <v>10.128.67.7</v>
      </c>
      <c r="G8087" s="1" t="str">
        <f>"9627X772"</f>
        <v>9627X772</v>
      </c>
      <c r="H8087" s="1" t="str">
        <f>"홍은간 43L2"</f>
        <v>홍은간 43L2</v>
      </c>
      <c r="I8087" s="1" t="s">
        <v>8</v>
      </c>
      <c r="J8087" s="1" t="str">
        <f>"10/10"</f>
        <v>10/10</v>
      </c>
      <c r="K8087" s="1" t="str">
        <f t="shared" ref="K8087:K8093" si="397">"2026-07-29 13:18:11"</f>
        <v>2026-07-29 13:18:11</v>
      </c>
      <c r="L8087" s="1" t="str">
        <f>"2018-03-30 16:51:58"</f>
        <v>2018-03-30 16:51:58</v>
      </c>
      <c r="M8087" s="1" t="s">
        <v>45</v>
      </c>
      <c r="N8087" s="1" t="s">
        <v>38</v>
      </c>
      <c r="O8087" s="1" t="s">
        <v>46</v>
      </c>
    </row>
    <row r="8088" spans="2:15" x14ac:dyDescent="0.3">
      <c r="B8088" s="1" t="s">
        <v>21</v>
      </c>
      <c r="C8088" s="1" t="str">
        <f>"4차"</f>
        <v>4차</v>
      </c>
      <c r="D8088" s="1" t="str">
        <f>"9627X78339"</f>
        <v>9627X78339</v>
      </c>
      <c r="E8088" s="1" t="s">
        <v>10</v>
      </c>
      <c r="F8088" s="1" t="str">
        <f>"10.128.67.6"</f>
        <v>10.128.67.6</v>
      </c>
      <c r="G8088" s="1" t="str">
        <f>"9627X783"</f>
        <v>9627X783</v>
      </c>
      <c r="H8088" s="1" t="str">
        <f>"홍은간 44"</f>
        <v>홍은간 44</v>
      </c>
      <c r="I8088" s="1" t="s">
        <v>8</v>
      </c>
      <c r="J8088" s="1" t="str">
        <f>"10/10"</f>
        <v>10/10</v>
      </c>
      <c r="K8088" s="1" t="str">
        <f t="shared" si="397"/>
        <v>2026-07-29 13:18:11</v>
      </c>
      <c r="L8088" s="1" t="str">
        <f>"2018-03-30 12:01:10"</f>
        <v>2018-03-30 12:01:10</v>
      </c>
      <c r="M8088" s="1" t="s">
        <v>45</v>
      </c>
      <c r="N8088" s="1" t="s">
        <v>38</v>
      </c>
      <c r="O8088" s="1" t="s">
        <v>46</v>
      </c>
    </row>
    <row r="8089" spans="2:15" x14ac:dyDescent="0.3">
      <c r="B8089" s="1" t="s">
        <v>21</v>
      </c>
      <c r="C8089" s="1" t="str">
        <f>"4차"</f>
        <v>4차</v>
      </c>
      <c r="D8089" s="1" t="str">
        <f>"9627X78542"</f>
        <v>9627X78542</v>
      </c>
      <c r="E8089" s="1" t="s">
        <v>10</v>
      </c>
      <c r="F8089" s="1" t="str">
        <f>"10.12.130.223"</f>
        <v>10.12.130.223</v>
      </c>
      <c r="G8089" s="1" t="str">
        <f>"9627X785"</f>
        <v>9627X785</v>
      </c>
      <c r="H8089" s="1" t="str">
        <f>"홍은간 50L8L2"</f>
        <v>홍은간 50L8L2</v>
      </c>
      <c r="I8089" s="1" t="s">
        <v>8</v>
      </c>
      <c r="J8089" s="1" t="str">
        <f>"52/52"</f>
        <v>52/52</v>
      </c>
      <c r="K8089" s="1" t="str">
        <f t="shared" si="397"/>
        <v>2026-07-29 13:18:11</v>
      </c>
      <c r="L8089" s="1" t="str">
        <f>"2025-01-09 13:14:20"</f>
        <v>2025-01-09 13:14:20</v>
      </c>
      <c r="M8089" s="1" t="s">
        <v>0</v>
      </c>
      <c r="N8089" s="1" t="s">
        <v>38</v>
      </c>
      <c r="O8089" s="1" t="s">
        <v>46</v>
      </c>
    </row>
    <row r="8090" spans="2:15" x14ac:dyDescent="0.3">
      <c r="B8090" s="1" t="s">
        <v>21</v>
      </c>
      <c r="C8090" s="1" t="str">
        <f>"3차"</f>
        <v>3차</v>
      </c>
      <c r="D8090" s="1" t="str">
        <f>"9627X79339"</f>
        <v>9627X79339</v>
      </c>
      <c r="E8090" s="1" t="s">
        <v>10</v>
      </c>
      <c r="F8090" s="1" t="str">
        <f>"10.128.3.145"</f>
        <v>10.128.3.145</v>
      </c>
      <c r="G8090" s="1" t="str">
        <f>"9627X793"</f>
        <v>9627X793</v>
      </c>
      <c r="H8090" s="1" t="str">
        <f>"백암간 12"</f>
        <v>백암간 12</v>
      </c>
      <c r="I8090" s="1" t="s">
        <v>8</v>
      </c>
      <c r="J8090" s="1" t="str">
        <f>"27/27"</f>
        <v>27/27</v>
      </c>
      <c r="K8090" s="1" t="str">
        <f t="shared" si="397"/>
        <v>2026-07-29 13:18:11</v>
      </c>
      <c r="L8090" s="1" t="str">
        <f>"2018-03-27 16:23:44"</f>
        <v>2018-03-27 16:23:44</v>
      </c>
      <c r="M8090" s="1" t="s">
        <v>45</v>
      </c>
      <c r="N8090" s="1" t="s">
        <v>38</v>
      </c>
      <c r="O8090" s="1" t="s">
        <v>46</v>
      </c>
    </row>
    <row r="8091" spans="2:15" x14ac:dyDescent="0.3">
      <c r="B8091" s="1" t="s">
        <v>21</v>
      </c>
      <c r="C8091" s="1" t="str">
        <f>"4차"</f>
        <v>4차</v>
      </c>
      <c r="D8091" s="1" t="str">
        <f>"9627X80239"</f>
        <v>9627X80239</v>
      </c>
      <c r="E8091" s="1" t="s">
        <v>10</v>
      </c>
      <c r="F8091" s="1" t="str">
        <f>"10.128.67.122"</f>
        <v>10.128.67.122</v>
      </c>
      <c r="G8091" s="1" t="str">
        <f>"9627X802"</f>
        <v>9627X802</v>
      </c>
      <c r="H8091" s="1" t="str">
        <f>"명지간 29R3"</f>
        <v>명지간 29R3</v>
      </c>
      <c r="I8091" s="1" t="s">
        <v>8</v>
      </c>
      <c r="J8091" s="1" t="str">
        <f>"53/53"</f>
        <v>53/53</v>
      </c>
      <c r="K8091" s="1" t="str">
        <f t="shared" si="397"/>
        <v>2026-07-29 13:18:11</v>
      </c>
      <c r="L8091" s="1" t="str">
        <f>"2018-01-22 13:32:55"</f>
        <v>2018-01-22 13:32:55</v>
      </c>
      <c r="M8091" s="1" t="s">
        <v>45</v>
      </c>
      <c r="N8091" s="1" t="s">
        <v>38</v>
      </c>
      <c r="O8091" s="1" t="s">
        <v>46</v>
      </c>
    </row>
    <row r="8092" spans="2:15" x14ac:dyDescent="0.3">
      <c r="B8092" s="1" t="s">
        <v>21</v>
      </c>
      <c r="C8092" s="1" t="str">
        <f>"3차"</f>
        <v>3차</v>
      </c>
      <c r="D8092" s="1" t="str">
        <f>"9627X82139"</f>
        <v>9627X82139</v>
      </c>
      <c r="E8092" s="1" t="s">
        <v>10</v>
      </c>
      <c r="F8092" s="1" t="str">
        <f>"10.128.67.102"</f>
        <v>10.128.67.102</v>
      </c>
      <c r="G8092" s="1" t="str">
        <f>"9627X821"</f>
        <v>9627X821</v>
      </c>
      <c r="H8092" s="1" t="str">
        <f>"명지간 34R8"</f>
        <v>명지간 34R8</v>
      </c>
      <c r="I8092" s="1" t="s">
        <v>8</v>
      </c>
      <c r="J8092" s="1" t="str">
        <f>"44/45"</f>
        <v>44/45</v>
      </c>
      <c r="K8092" s="1" t="str">
        <f t="shared" si="397"/>
        <v>2026-07-29 13:18:11</v>
      </c>
      <c r="L8092" s="1" t="str">
        <f>"2018-01-22 13:32:25"</f>
        <v>2018-01-22 13:32:25</v>
      </c>
      <c r="M8092" s="1" t="s">
        <v>45</v>
      </c>
      <c r="N8092" s="1" t="s">
        <v>38</v>
      </c>
      <c r="O8092" s="1" t="s">
        <v>46</v>
      </c>
    </row>
    <row r="8093" spans="2:15" x14ac:dyDescent="0.3">
      <c r="B8093" s="1" t="s">
        <v>21</v>
      </c>
      <c r="C8093" s="1" t="str">
        <f>"3차"</f>
        <v>3차</v>
      </c>
      <c r="D8093" s="1" t="str">
        <f>"9627X82239"</f>
        <v>9627X82239</v>
      </c>
      <c r="E8093" s="1" t="s">
        <v>10</v>
      </c>
      <c r="F8093" s="1" t="str">
        <f>"10.128.67.71"</f>
        <v>10.128.67.71</v>
      </c>
      <c r="G8093" s="1" t="str">
        <f>"9627X822"</f>
        <v>9627X822</v>
      </c>
      <c r="H8093" s="1" t="str">
        <f>"명지간 34R8C1"</f>
        <v>명지간 34R8C1</v>
      </c>
      <c r="I8093" s="1" t="s">
        <v>8</v>
      </c>
      <c r="J8093" s="1" t="str">
        <f>"41/42"</f>
        <v>41/42</v>
      </c>
      <c r="K8093" s="1" t="str">
        <f t="shared" si="397"/>
        <v>2026-07-29 13:18:11</v>
      </c>
      <c r="L8093" s="1" t="str">
        <f>"2018-04-19 14:54:55"</f>
        <v>2018-04-19 14:54:55</v>
      </c>
      <c r="M8093" s="1" t="s">
        <v>45</v>
      </c>
      <c r="N8093" s="1" t="s">
        <v>38</v>
      </c>
      <c r="O8093" s="1" t="s">
        <v>46</v>
      </c>
    </row>
    <row r="8094" spans="2:15" x14ac:dyDescent="0.3">
      <c r="B8094" s="1" t="s">
        <v>21</v>
      </c>
      <c r="C8094" s="1" t="str">
        <f>"5-1차"</f>
        <v>5-1차</v>
      </c>
      <c r="D8094" s="1" t="str">
        <f>"9627X8235S"</f>
        <v>9627X8235S</v>
      </c>
      <c r="E8094" s="1" t="s">
        <v>10</v>
      </c>
      <c r="F8094" s="1" t="str">
        <f>"fde3:102:1303:2802:0:0:0:2"</f>
        <v>fde3:102:1303:2802:0:0:0:2</v>
      </c>
      <c r="G8094" s="1" t="str">
        <f>"9627X823"</f>
        <v>9627X823</v>
      </c>
      <c r="H8094" s="1" t="str">
        <f>"명지간 34R9"</f>
        <v>명지간 34R9</v>
      </c>
      <c r="I8094" s="1" t="s">
        <v>15</v>
      </c>
      <c r="J8094" s="1" t="str">
        <f>"71/76"</f>
        <v>71/76</v>
      </c>
      <c r="K8094" s="1" t="str">
        <f>"2026-07-28 20:03:34"</f>
        <v>2026-07-28 20:03:34</v>
      </c>
      <c r="L8094" s="1" t="str">
        <f>"2022-11-24 13:16:23"</f>
        <v>2022-11-24 13:16:23</v>
      </c>
      <c r="M8094" s="1" t="s">
        <v>45</v>
      </c>
      <c r="N8094" s="1" t="s">
        <v>38</v>
      </c>
      <c r="O8094" s="1" t="s">
        <v>46</v>
      </c>
    </row>
    <row r="8095" spans="2:15" x14ac:dyDescent="0.3">
      <c r="B8095" s="1" t="s">
        <v>21</v>
      </c>
      <c r="C8095" s="1" t="str">
        <f>"3차"</f>
        <v>3차</v>
      </c>
      <c r="D8095" s="1" t="str">
        <f>"9627X83239"</f>
        <v>9627X83239</v>
      </c>
      <c r="E8095" s="1" t="s">
        <v>10</v>
      </c>
      <c r="F8095" s="1" t="str">
        <f>"10.128.67.83"</f>
        <v>10.128.67.83</v>
      </c>
      <c r="G8095" s="1" t="str">
        <f>"9627X832"</f>
        <v>9627X832</v>
      </c>
      <c r="H8095" s="1" t="str">
        <f>"명지간 34R8C3"</f>
        <v>명지간 34R8C3</v>
      </c>
      <c r="I8095" s="1" t="s">
        <v>8</v>
      </c>
      <c r="J8095" s="1" t="str">
        <f>"23/23"</f>
        <v>23/23</v>
      </c>
      <c r="K8095" s="1" t="str">
        <f>"2026-07-29 13:18:11"</f>
        <v>2026-07-29 13:18:11</v>
      </c>
      <c r="L8095" s="1" t="str">
        <f>"2018-01-22 13:23:24"</f>
        <v>2018-01-22 13:23:24</v>
      </c>
      <c r="M8095" s="1" t="s">
        <v>45</v>
      </c>
      <c r="N8095" s="1" t="s">
        <v>38</v>
      </c>
      <c r="O8095" s="1" t="s">
        <v>46</v>
      </c>
    </row>
    <row r="8096" spans="2:15" x14ac:dyDescent="0.3">
      <c r="B8096" s="1" t="s">
        <v>21</v>
      </c>
      <c r="C8096" s="1" t="str">
        <f>"3차"</f>
        <v>3차</v>
      </c>
      <c r="D8096" s="1" t="str">
        <f>"9627X83339"</f>
        <v>9627X83339</v>
      </c>
      <c r="E8096" s="1" t="s">
        <v>10</v>
      </c>
      <c r="F8096" s="1" t="str">
        <f>"10.128.67.82"</f>
        <v>10.128.67.82</v>
      </c>
      <c r="G8096" s="1" t="str">
        <f>"9627X833"</f>
        <v>9627X833</v>
      </c>
      <c r="H8096" s="1" t="str">
        <f>"명지간 34R8C5"</f>
        <v>명지간 34R8C5</v>
      </c>
      <c r="I8096" s="1" t="s">
        <v>8</v>
      </c>
      <c r="J8096" s="1" t="str">
        <f>"15/15"</f>
        <v>15/15</v>
      </c>
      <c r="K8096" s="1" t="str">
        <f>"2026-07-29 13:18:11"</f>
        <v>2026-07-29 13:18:11</v>
      </c>
      <c r="L8096" s="1" t="str">
        <f>"2018-01-22 13:25:10"</f>
        <v>2018-01-22 13:25:10</v>
      </c>
      <c r="M8096" s="1" t="s">
        <v>45</v>
      </c>
      <c r="N8096" s="1" t="s">
        <v>38</v>
      </c>
      <c r="O8096" s="1" t="s">
        <v>46</v>
      </c>
    </row>
    <row r="8097" spans="2:15" x14ac:dyDescent="0.3">
      <c r="B8097" s="1" t="s">
        <v>21</v>
      </c>
      <c r="C8097" s="1" t="str">
        <f>"4차"</f>
        <v>4차</v>
      </c>
      <c r="D8097" s="1" t="str">
        <f>"9627X85141"</f>
        <v>9627X85141</v>
      </c>
      <c r="E8097" s="1" t="s">
        <v>10</v>
      </c>
      <c r="F8097" s="1" t="str">
        <f>"10.12.131.185"</f>
        <v>10.12.131.185</v>
      </c>
      <c r="G8097" s="1" t="str">
        <f>"9627X851"</f>
        <v>9627X851</v>
      </c>
      <c r="H8097" s="1" t="str">
        <f>"홍은간 37L6"</f>
        <v>홍은간 37L6</v>
      </c>
      <c r="I8097" s="1" t="s">
        <v>17</v>
      </c>
      <c r="J8097" s="1" t="str">
        <f>"26/30"</f>
        <v>26/30</v>
      </c>
      <c r="K8097" s="1" t="str">
        <f>"2026-07-29 13:18:10"</f>
        <v>2026-07-29 13:18:10</v>
      </c>
      <c r="L8097" s="1" t="str">
        <f>"2021-08-10 08:38:45"</f>
        <v>2021-08-10 08:38:45</v>
      </c>
      <c r="M8097" s="1" t="s">
        <v>0</v>
      </c>
      <c r="N8097" s="1" t="s">
        <v>38</v>
      </c>
      <c r="O8097" s="1" t="s">
        <v>46</v>
      </c>
    </row>
    <row r="8098" spans="2:15" x14ac:dyDescent="0.3">
      <c r="B8098" s="1" t="s">
        <v>21</v>
      </c>
      <c r="C8098" s="1" t="str">
        <f>"4차"</f>
        <v>4차</v>
      </c>
      <c r="D8098" s="1" t="str">
        <f>"9627X85239"</f>
        <v>9627X85239</v>
      </c>
      <c r="E8098" s="1" t="s">
        <v>10</v>
      </c>
      <c r="F8098" s="1" t="str">
        <f>"10.128.67.21"</f>
        <v>10.128.67.21</v>
      </c>
      <c r="G8098" s="1" t="str">
        <f>"9627X852"</f>
        <v>9627X852</v>
      </c>
      <c r="H8098" s="1" t="str">
        <f>"홍은간 37L4"</f>
        <v>홍은간 37L4</v>
      </c>
      <c r="I8098" s="1" t="s">
        <v>8</v>
      </c>
      <c r="J8098" s="1" t="str">
        <f>"9/9"</f>
        <v>9/9</v>
      </c>
      <c r="K8098" s="1" t="str">
        <f t="shared" ref="K8098:K8108" si="398">"2026-07-29 13:18:11"</f>
        <v>2026-07-29 13:18:11</v>
      </c>
      <c r="L8098" s="1" t="str">
        <f>"2018-03-30 14:55:12"</f>
        <v>2018-03-30 14:55:12</v>
      </c>
      <c r="M8098" s="1" t="s">
        <v>45</v>
      </c>
      <c r="N8098" s="1" t="s">
        <v>38</v>
      </c>
      <c r="O8098" s="1" t="s">
        <v>46</v>
      </c>
    </row>
    <row r="8099" spans="2:15" x14ac:dyDescent="0.3">
      <c r="B8099" s="1" t="s">
        <v>21</v>
      </c>
      <c r="C8099" s="1" t="str">
        <f>"3차"</f>
        <v>3차</v>
      </c>
      <c r="D8099" s="1" t="str">
        <f>"9627X90239"</f>
        <v>9627X90239</v>
      </c>
      <c r="E8099" s="1" t="s">
        <v>10</v>
      </c>
      <c r="F8099" s="1" t="str">
        <f>"10.128.67.123"</f>
        <v>10.128.67.123</v>
      </c>
      <c r="G8099" s="1" t="str">
        <f>"9627X902"</f>
        <v>9627X902</v>
      </c>
      <c r="H8099" s="1" t="str">
        <f>"명지간 29R5"</f>
        <v>명지간 29R5</v>
      </c>
      <c r="I8099" s="1" t="s">
        <v>8</v>
      </c>
      <c r="J8099" s="1" t="str">
        <f>"48/48"</f>
        <v>48/48</v>
      </c>
      <c r="K8099" s="1" t="str">
        <f t="shared" si="398"/>
        <v>2026-07-29 13:18:11</v>
      </c>
      <c r="L8099" s="1" t="str">
        <f>"2018-01-22 13:32:39"</f>
        <v>2018-01-22 13:32:39</v>
      </c>
      <c r="M8099" s="1" t="s">
        <v>45</v>
      </c>
      <c r="N8099" s="1" t="s">
        <v>38</v>
      </c>
      <c r="O8099" s="1" t="s">
        <v>46</v>
      </c>
    </row>
    <row r="8100" spans="2:15" x14ac:dyDescent="0.3">
      <c r="B8100" s="1" t="s">
        <v>21</v>
      </c>
      <c r="C8100" s="1" t="str">
        <f>"3차"</f>
        <v>3차</v>
      </c>
      <c r="D8100" s="1" t="str">
        <f>"9627X95139"</f>
        <v>9627X95139</v>
      </c>
      <c r="E8100" s="1" t="s">
        <v>10</v>
      </c>
      <c r="F8100" s="1" t="str">
        <f>"10.128.67.20"</f>
        <v>10.128.67.20</v>
      </c>
      <c r="G8100" s="1" t="str">
        <f>"9627X951"</f>
        <v>9627X951</v>
      </c>
      <c r="H8100" s="1" t="str">
        <f>"홍은간 37L3"</f>
        <v>홍은간 37L3</v>
      </c>
      <c r="I8100" s="1" t="s">
        <v>8</v>
      </c>
      <c r="J8100" s="1" t="str">
        <f>"29/29"</f>
        <v>29/29</v>
      </c>
      <c r="K8100" s="1" t="str">
        <f t="shared" si="398"/>
        <v>2026-07-29 13:18:11</v>
      </c>
      <c r="L8100" s="1" t="str">
        <f>"2018-03-30 14:59:27"</f>
        <v>2018-03-30 14:59:27</v>
      </c>
      <c r="M8100" s="1" t="s">
        <v>45</v>
      </c>
      <c r="N8100" s="1" t="s">
        <v>38</v>
      </c>
      <c r="O8100" s="1" t="s">
        <v>46</v>
      </c>
    </row>
    <row r="8101" spans="2:15" x14ac:dyDescent="0.3">
      <c r="B8101" s="1" t="s">
        <v>21</v>
      </c>
      <c r="C8101" s="1" t="str">
        <f>"3차"</f>
        <v>3차</v>
      </c>
      <c r="D8101" s="1" t="str">
        <f>"9627X96139"</f>
        <v>9627X96139</v>
      </c>
      <c r="E8101" s="1" t="s">
        <v>10</v>
      </c>
      <c r="F8101" s="1" t="str">
        <f>"10.128.67.19"</f>
        <v>10.128.67.19</v>
      </c>
      <c r="G8101" s="1" t="str">
        <f>"9627X961"</f>
        <v>9627X961</v>
      </c>
      <c r="H8101" s="1" t="str">
        <f>"홍은간 41"</f>
        <v>홍은간 41</v>
      </c>
      <c r="I8101" s="1" t="s">
        <v>8</v>
      </c>
      <c r="J8101" s="1" t="str">
        <f>"12/12"</f>
        <v>12/12</v>
      </c>
      <c r="K8101" s="1" t="str">
        <f t="shared" si="398"/>
        <v>2026-07-29 13:18:11</v>
      </c>
      <c r="L8101" s="1" t="str">
        <f>"2018-03-30 12:38:41"</f>
        <v>2018-03-30 12:38:41</v>
      </c>
      <c r="M8101" s="1" t="s">
        <v>45</v>
      </c>
      <c r="N8101" s="1" t="s">
        <v>38</v>
      </c>
      <c r="O8101" s="1" t="s">
        <v>46</v>
      </c>
    </row>
    <row r="8102" spans="2:15" x14ac:dyDescent="0.3">
      <c r="B8102" s="1" t="s">
        <v>21</v>
      </c>
      <c r="C8102" s="1" t="str">
        <f>"4차"</f>
        <v>4차</v>
      </c>
      <c r="D8102" s="1" t="str">
        <f>"9627Y07142"</f>
        <v>9627Y07142</v>
      </c>
      <c r="E8102" s="1" t="s">
        <v>10</v>
      </c>
      <c r="F8102" s="1" t="str">
        <f>"10.128.96.130"</f>
        <v>10.128.96.130</v>
      </c>
      <c r="G8102" s="1" t="str">
        <f>"9627Y071"</f>
        <v>9627Y071</v>
      </c>
      <c r="H8102" s="1" t="str">
        <f>"와산간 30R3R4"</f>
        <v>와산간 30R3R4</v>
      </c>
      <c r="I8102" s="1" t="s">
        <v>8</v>
      </c>
      <c r="J8102" s="1" t="str">
        <f>"124/124"</f>
        <v>124/124</v>
      </c>
      <c r="K8102" s="1" t="str">
        <f t="shared" si="398"/>
        <v>2026-07-29 13:18:11</v>
      </c>
      <c r="L8102" s="1" t="str">
        <f>"2024-06-04 13:44:26"</f>
        <v>2024-06-04 13:44:26</v>
      </c>
      <c r="M8102" s="1" t="s">
        <v>45</v>
      </c>
      <c r="N8102" s="1" t="s">
        <v>38</v>
      </c>
      <c r="O8102" s="1" t="s">
        <v>46</v>
      </c>
    </row>
    <row r="8103" spans="2:15" x14ac:dyDescent="0.3">
      <c r="B8103" s="1" t="s">
        <v>21</v>
      </c>
      <c r="C8103" s="1" t="str">
        <f>"3차"</f>
        <v>3차</v>
      </c>
      <c r="D8103" s="1" t="str">
        <f>"9627Y08139"</f>
        <v>9627Y08139</v>
      </c>
      <c r="E8103" s="1" t="s">
        <v>10</v>
      </c>
      <c r="F8103" s="1" t="str">
        <f>"10.128.114.84"</f>
        <v>10.128.114.84</v>
      </c>
      <c r="G8103" s="1" t="str">
        <f>"9627Y081"</f>
        <v>9627Y081</v>
      </c>
      <c r="H8103" s="1" t="str">
        <f>"와산간 30R3R3"</f>
        <v>와산간 30R3R3</v>
      </c>
      <c r="I8103" s="1" t="s">
        <v>8</v>
      </c>
      <c r="J8103" s="1" t="str">
        <f>"58/58"</f>
        <v>58/58</v>
      </c>
      <c r="K8103" s="1" t="str">
        <f t="shared" si="398"/>
        <v>2026-07-29 13:18:11</v>
      </c>
      <c r="L8103" s="1" t="str">
        <f>"2018-05-10 16:30:27"</f>
        <v>2018-05-10 16:30:27</v>
      </c>
      <c r="M8103" s="1" t="s">
        <v>45</v>
      </c>
      <c r="N8103" s="1" t="s">
        <v>38</v>
      </c>
      <c r="O8103" s="1" t="s">
        <v>46</v>
      </c>
    </row>
    <row r="8104" spans="2:15" x14ac:dyDescent="0.3">
      <c r="B8104" s="1" t="s">
        <v>21</v>
      </c>
      <c r="C8104" s="1" t="str">
        <f>"4차"</f>
        <v>4차</v>
      </c>
      <c r="D8104" s="1" t="str">
        <f>"9627Y10339"</f>
        <v>9627Y10339</v>
      </c>
      <c r="E8104" s="1" t="s">
        <v>10</v>
      </c>
      <c r="F8104" s="1" t="str">
        <f>"10.12.133.192"</f>
        <v>10.12.133.192</v>
      </c>
      <c r="G8104" s="1" t="str">
        <f>"9627Y103"</f>
        <v>9627Y103</v>
      </c>
      <c r="H8104" s="1" t="str">
        <f>"응암로 L2"</f>
        <v>응암로 L2</v>
      </c>
      <c r="I8104" s="1" t="s">
        <v>17</v>
      </c>
      <c r="J8104" s="1" t="str">
        <f>"29/32"</f>
        <v>29/32</v>
      </c>
      <c r="K8104" s="1" t="str">
        <f t="shared" si="398"/>
        <v>2026-07-29 13:18:11</v>
      </c>
      <c r="L8104" s="1" t="str">
        <f>"2018-06-22 09:01:28"</f>
        <v>2018-06-22 09:01:28</v>
      </c>
      <c r="M8104" s="1" t="s">
        <v>0</v>
      </c>
      <c r="N8104" s="1" t="s">
        <v>38</v>
      </c>
      <c r="O8104" s="1" t="s">
        <v>46</v>
      </c>
    </row>
    <row r="8105" spans="2:15" x14ac:dyDescent="0.3">
      <c r="B8105" s="1" t="s">
        <v>21</v>
      </c>
      <c r="C8105" s="1" t="str">
        <f>"1차"</f>
        <v>1차</v>
      </c>
      <c r="D8105" s="1" t="str">
        <f>"9627Y16100"</f>
        <v>9627Y16100</v>
      </c>
      <c r="E8105" s="1" t="s">
        <v>10</v>
      </c>
      <c r="F8105" s="1" t="str">
        <f>"10.128.96.114"</f>
        <v>10.128.96.114</v>
      </c>
      <c r="G8105" s="1" t="str">
        <f>"9627Y161"</f>
        <v>9627Y161</v>
      </c>
      <c r="H8105" s="1" t="str">
        <f>"와산간 23R9L4"</f>
        <v>와산간 23R9L4</v>
      </c>
      <c r="I8105" s="1" t="s">
        <v>8</v>
      </c>
      <c r="J8105" s="1" t="str">
        <f>"31/45"</f>
        <v>31/45</v>
      </c>
      <c r="K8105" s="1" t="str">
        <f t="shared" si="398"/>
        <v>2026-07-29 13:18:11</v>
      </c>
      <c r="L8105" s="1" t="str">
        <f>"2014-12-09 11:41:23"</f>
        <v>2014-12-09 11:41:23</v>
      </c>
      <c r="M8105" s="1" t="s">
        <v>45</v>
      </c>
      <c r="N8105" s="1" t="s">
        <v>38</v>
      </c>
      <c r="O8105" s="1" t="s">
        <v>46</v>
      </c>
    </row>
    <row r="8106" spans="2:15" x14ac:dyDescent="0.3">
      <c r="B8106" s="1" t="s">
        <v>21</v>
      </c>
      <c r="C8106" s="1" t="str">
        <f>"1차"</f>
        <v>1차</v>
      </c>
      <c r="D8106" s="1" t="str">
        <f>"9627Y17101"</f>
        <v>9627Y17101</v>
      </c>
      <c r="E8106" s="1" t="s">
        <v>10</v>
      </c>
      <c r="F8106" s="1" t="str">
        <f>"10.128.96.124"</f>
        <v>10.128.96.124</v>
      </c>
      <c r="G8106" s="1" t="str">
        <f>"9627Y171"</f>
        <v>9627Y171</v>
      </c>
      <c r="H8106" s="1" t="str">
        <f>"와산간 30R11"</f>
        <v>와산간 30R11</v>
      </c>
      <c r="I8106" s="1" t="s">
        <v>8</v>
      </c>
      <c r="J8106" s="1" t="str">
        <f>"62/62"</f>
        <v>62/62</v>
      </c>
      <c r="K8106" s="1" t="str">
        <f t="shared" si="398"/>
        <v>2026-07-29 13:18:11</v>
      </c>
      <c r="L8106" s="1" t="str">
        <f>"2014-12-09 14:44:48"</f>
        <v>2014-12-09 14:44:48</v>
      </c>
      <c r="M8106" s="1" t="s">
        <v>45</v>
      </c>
      <c r="N8106" s="1" t="s">
        <v>38</v>
      </c>
      <c r="O8106" s="1" t="s">
        <v>46</v>
      </c>
    </row>
    <row r="8107" spans="2:15" x14ac:dyDescent="0.3">
      <c r="B8107" s="1" t="s">
        <v>21</v>
      </c>
      <c r="C8107" s="1" t="str">
        <f>"3차"</f>
        <v>3차</v>
      </c>
      <c r="D8107" s="1" t="str">
        <f>"9627Y18239"</f>
        <v>9627Y18239</v>
      </c>
      <c r="E8107" s="1" t="s">
        <v>10</v>
      </c>
      <c r="F8107" s="1" t="str">
        <f>"10.128.114.68"</f>
        <v>10.128.114.68</v>
      </c>
      <c r="G8107" s="1" t="str">
        <f>"9627Y182"</f>
        <v>9627Y182</v>
      </c>
      <c r="H8107" s="1" t="str">
        <f>"와산간 30R3R2L1"</f>
        <v>와산간 30R3R2L1</v>
      </c>
      <c r="I8107" s="1" t="s">
        <v>8</v>
      </c>
      <c r="J8107" s="1" t="str">
        <f>"56/56"</f>
        <v>56/56</v>
      </c>
      <c r="K8107" s="1" t="str">
        <f t="shared" si="398"/>
        <v>2026-07-29 13:18:11</v>
      </c>
      <c r="L8107" s="1" t="str">
        <f>"2018-05-10 16:48:56"</f>
        <v>2018-05-10 16:48:56</v>
      </c>
      <c r="M8107" s="1" t="s">
        <v>45</v>
      </c>
      <c r="N8107" s="1" t="s">
        <v>38</v>
      </c>
      <c r="O8107" s="1" t="s">
        <v>46</v>
      </c>
    </row>
    <row r="8108" spans="2:15" x14ac:dyDescent="0.3">
      <c r="B8108" s="1" t="s">
        <v>21</v>
      </c>
      <c r="C8108" s="1" t="str">
        <f>"3차"</f>
        <v>3차</v>
      </c>
      <c r="D8108" s="1" t="str">
        <f>"9627Y19139"</f>
        <v>9627Y19139</v>
      </c>
      <c r="E8108" s="1" t="s">
        <v>10</v>
      </c>
      <c r="F8108" s="1" t="str">
        <f>"10.128.114.85"</f>
        <v>10.128.114.85</v>
      </c>
      <c r="G8108" s="1" t="str">
        <f>"9627Y191"</f>
        <v>9627Y191</v>
      </c>
      <c r="H8108" s="1" t="str">
        <f>"와산간 30R3R1"</f>
        <v>와산간 30R3R1</v>
      </c>
      <c r="I8108" s="1" t="s">
        <v>8</v>
      </c>
      <c r="J8108" s="1" t="str">
        <f>"58/60"</f>
        <v>58/60</v>
      </c>
      <c r="K8108" s="1" t="str">
        <f t="shared" si="398"/>
        <v>2026-07-29 13:18:11</v>
      </c>
      <c r="L8108" s="1" t="str">
        <f>"2018-05-10 16:38:41"</f>
        <v>2018-05-10 16:38:41</v>
      </c>
      <c r="M8108" s="1" t="s">
        <v>45</v>
      </c>
      <c r="N8108" s="1" t="s">
        <v>38</v>
      </c>
      <c r="O8108" s="1" t="s">
        <v>46</v>
      </c>
    </row>
    <row r="8109" spans="2:15" x14ac:dyDescent="0.3">
      <c r="B8109" s="1" t="s">
        <v>21</v>
      </c>
      <c r="C8109" s="1" t="str">
        <f>"4차"</f>
        <v>4차</v>
      </c>
      <c r="D8109" s="1" t="str">
        <f>"9627Y21444"</f>
        <v>9627Y21444</v>
      </c>
      <c r="E8109" s="1" t="s">
        <v>10</v>
      </c>
      <c r="F8109" s="1" t="str">
        <f>"10.12.131.159"</f>
        <v>10.12.131.159</v>
      </c>
      <c r="G8109" s="1" t="str">
        <f>"9627Y214"</f>
        <v>9627Y214</v>
      </c>
      <c r="H8109" s="1" t="str">
        <f>"가좌간 81L7R1"</f>
        <v>가좌간 81L7R1</v>
      </c>
      <c r="I8109" s="1" t="s">
        <v>8</v>
      </c>
      <c r="J8109" s="1" t="str">
        <f>"30/30"</f>
        <v>30/30</v>
      </c>
      <c r="K8109" s="1" t="str">
        <f>"2026-07-29 13:18:12"</f>
        <v>2026-07-29 13:18:12</v>
      </c>
      <c r="L8109" s="1" t="str">
        <f>"2020-06-29 17:56:25"</f>
        <v>2020-06-29 17:56:25</v>
      </c>
      <c r="M8109" s="1" t="s">
        <v>0</v>
      </c>
      <c r="N8109" s="1" t="s">
        <v>38</v>
      </c>
      <c r="O8109" s="1" t="s">
        <v>46</v>
      </c>
    </row>
    <row r="8110" spans="2:15" x14ac:dyDescent="0.3">
      <c r="B8110" s="1" t="s">
        <v>21</v>
      </c>
      <c r="C8110" s="1" t="str">
        <f>"4차"</f>
        <v>4차</v>
      </c>
      <c r="D8110" s="1" t="str">
        <f>"9627Y21539"</f>
        <v>9627Y21539</v>
      </c>
      <c r="E8110" s="1" t="s">
        <v>10</v>
      </c>
      <c r="F8110" s="1" t="str">
        <f>"10.12.133.48"</f>
        <v>10.12.133.48</v>
      </c>
      <c r="G8110" s="1" t="str">
        <f>"9627Y215"</f>
        <v>9627Y215</v>
      </c>
      <c r="H8110" s="1" t="str">
        <f>"응암로 R1"</f>
        <v>응암로 R1</v>
      </c>
      <c r="I8110" s="1" t="s">
        <v>17</v>
      </c>
      <c r="J8110" s="1" t="str">
        <f>"10/10"</f>
        <v>10/10</v>
      </c>
      <c r="K8110" s="1" t="str">
        <f>"2026-07-29 13:18:11"</f>
        <v>2026-07-29 13:18:11</v>
      </c>
      <c r="L8110" s="1" t="str">
        <f>"2018-06-22 09:23:09"</f>
        <v>2018-06-22 09:23:09</v>
      </c>
      <c r="M8110" s="1" t="s">
        <v>0</v>
      </c>
      <c r="N8110" s="1" t="s">
        <v>38</v>
      </c>
      <c r="O8110" s="1" t="s">
        <v>46</v>
      </c>
    </row>
    <row r="8111" spans="2:15" x14ac:dyDescent="0.3">
      <c r="B8111" s="1" t="s">
        <v>21</v>
      </c>
      <c r="C8111" s="1" t="str">
        <f>"4차"</f>
        <v>4차</v>
      </c>
      <c r="D8111" s="1" t="str">
        <f>"9627Y22639"</f>
        <v>9627Y22639</v>
      </c>
      <c r="E8111" s="1" t="s">
        <v>10</v>
      </c>
      <c r="F8111" s="1" t="str">
        <f>"10.12.133.195"</f>
        <v>10.12.133.195</v>
      </c>
      <c r="G8111" s="1" t="str">
        <f>"9627Y226"</f>
        <v>9627Y226</v>
      </c>
      <c r="H8111" s="1" t="str">
        <f>"응암로 L3"</f>
        <v>응암로 L3</v>
      </c>
      <c r="I8111" s="1" t="s">
        <v>17</v>
      </c>
      <c r="J8111" s="1" t="str">
        <f>"10/10"</f>
        <v>10/10</v>
      </c>
      <c r="K8111" s="1" t="str">
        <f>"2026-07-29 13:18:11"</f>
        <v>2026-07-29 13:18:11</v>
      </c>
      <c r="L8111" s="1" t="str">
        <f>"2018-06-22 08:50:41"</f>
        <v>2018-06-22 08:50:41</v>
      </c>
      <c r="M8111" s="1" t="s">
        <v>0</v>
      </c>
      <c r="N8111" s="1" t="s">
        <v>38</v>
      </c>
      <c r="O8111" s="1" t="s">
        <v>46</v>
      </c>
    </row>
    <row r="8112" spans="2:15" x14ac:dyDescent="0.3">
      <c r="B8112" s="1" t="s">
        <v>21</v>
      </c>
      <c r="C8112" s="1" t="str">
        <f>"4차"</f>
        <v>4차</v>
      </c>
      <c r="D8112" s="1" t="str">
        <f>"9627Y22A39"</f>
        <v>9627Y22A39</v>
      </c>
      <c r="E8112" s="1" t="s">
        <v>10</v>
      </c>
      <c r="F8112" s="1" t="str">
        <f>"10.12.133.171"</f>
        <v>10.12.133.171</v>
      </c>
      <c r="G8112" s="1" t="str">
        <f>"9627Y22A"</f>
        <v>9627Y22A</v>
      </c>
      <c r="H8112" s="1" t="str">
        <f>"응암로 R2"</f>
        <v>응암로 R2</v>
      </c>
      <c r="I8112" s="1" t="s">
        <v>17</v>
      </c>
      <c r="J8112" s="1" t="str">
        <f>"7/7"</f>
        <v>7/7</v>
      </c>
      <c r="K8112" s="1" t="str">
        <f>"2026-07-29 13:18:11"</f>
        <v>2026-07-29 13:18:11</v>
      </c>
      <c r="L8112" s="1" t="str">
        <f>"2018-06-22 09:32:54"</f>
        <v>2018-06-22 09:32:54</v>
      </c>
      <c r="M8112" s="1" t="s">
        <v>0</v>
      </c>
      <c r="N8112" s="1" t="s">
        <v>38</v>
      </c>
      <c r="O8112" s="1" t="s">
        <v>46</v>
      </c>
    </row>
    <row r="8113" spans="2:15" x14ac:dyDescent="0.3">
      <c r="B8113" s="1" t="s">
        <v>21</v>
      </c>
      <c r="C8113" s="1" t="str">
        <f>"1차"</f>
        <v>1차</v>
      </c>
      <c r="D8113" s="1" t="str">
        <f>"9627Y25100"</f>
        <v>9627Y25100</v>
      </c>
      <c r="E8113" s="1" t="s">
        <v>10</v>
      </c>
      <c r="F8113" s="1" t="str">
        <f>"10.128.96.138"</f>
        <v>10.128.96.138</v>
      </c>
      <c r="G8113" s="1" t="str">
        <f>"9627Y251"</f>
        <v>9627Y251</v>
      </c>
      <c r="H8113" s="1" t="str">
        <f>"와산간 23R9L2"</f>
        <v>와산간 23R9L2</v>
      </c>
      <c r="I8113" s="1" t="s">
        <v>8</v>
      </c>
      <c r="J8113" s="1" t="str">
        <f>"9/9"</f>
        <v>9/9</v>
      </c>
      <c r="K8113" s="1" t="str">
        <f>"2026-07-29 13:18:11"</f>
        <v>2026-07-29 13:18:11</v>
      </c>
      <c r="L8113" s="1" t="str">
        <f>"2014-12-09 14:53:22"</f>
        <v>2014-12-09 14:53:22</v>
      </c>
      <c r="M8113" s="1" t="s">
        <v>45</v>
      </c>
      <c r="N8113" s="1" t="s">
        <v>38</v>
      </c>
      <c r="O8113" s="1" t="s">
        <v>46</v>
      </c>
    </row>
    <row r="8114" spans="2:15" x14ac:dyDescent="0.3">
      <c r="B8114" s="1" t="s">
        <v>21</v>
      </c>
      <c r="C8114" s="1" t="str">
        <f>"6차"</f>
        <v>6차</v>
      </c>
      <c r="D8114" s="1" t="str">
        <f>"9627Y2526S"</f>
        <v>9627Y2526S</v>
      </c>
      <c r="E8114" s="1" t="s">
        <v>10</v>
      </c>
      <c r="F8114" s="1" t="str">
        <f>"fde1:103:4:9437:0:0:0:2"</f>
        <v>fde1:103:4:9437:0:0:0:2</v>
      </c>
      <c r="G8114" s="1" t="str">
        <f>"9627Y252"</f>
        <v>9627Y252</v>
      </c>
      <c r="H8114" s="1" t="str">
        <f>"와산간 23R9L3"</f>
        <v>와산간 23R9L3</v>
      </c>
      <c r="I8114" s="1" t="s">
        <v>15</v>
      </c>
      <c r="J8114" s="1" t="str">
        <f>"56/56"</f>
        <v>56/56</v>
      </c>
      <c r="K8114" s="1" t="str">
        <f>"2026-07-29 14:20:35"</f>
        <v>2026-07-29 14:20:35</v>
      </c>
      <c r="L8114" s="1" t="str">
        <f>"2025-01-21 10:44:25"</f>
        <v>2025-01-21 10:44:25</v>
      </c>
      <c r="M8114" s="1" t="s">
        <v>4</v>
      </c>
      <c r="N8114" s="1" t="s">
        <v>38</v>
      </c>
      <c r="O8114" s="1" t="s">
        <v>46</v>
      </c>
    </row>
    <row r="8115" spans="2:15" x14ac:dyDescent="0.3">
      <c r="B8115" s="1" t="s">
        <v>21</v>
      </c>
      <c r="C8115" s="1" t="str">
        <f>"1차"</f>
        <v>1차</v>
      </c>
      <c r="D8115" s="1" t="str">
        <f>"9627Y26100"</f>
        <v>9627Y26100</v>
      </c>
      <c r="E8115" s="1" t="s">
        <v>10</v>
      </c>
      <c r="F8115" s="1" t="str">
        <f>"10.128.96.122"</f>
        <v>10.128.96.122</v>
      </c>
      <c r="G8115" s="1" t="str">
        <f>"9627Y261"</f>
        <v>9627Y261</v>
      </c>
      <c r="H8115" s="1" t="str">
        <f>"와산간 30R10"</f>
        <v>와산간 30R10</v>
      </c>
      <c r="I8115" s="1" t="s">
        <v>8</v>
      </c>
      <c r="J8115" s="1" t="str">
        <f>"59/59"</f>
        <v>59/59</v>
      </c>
      <c r="K8115" s="1" t="str">
        <f t="shared" ref="K8115:K8131" si="399">"2026-07-29 13:18:11"</f>
        <v>2026-07-29 13:18:11</v>
      </c>
      <c r="L8115" s="1" t="str">
        <f>"2014-12-09 10:14:01"</f>
        <v>2014-12-09 10:14:01</v>
      </c>
      <c r="M8115" s="1" t="s">
        <v>45</v>
      </c>
      <c r="N8115" s="1" t="s">
        <v>38</v>
      </c>
      <c r="O8115" s="1" t="s">
        <v>46</v>
      </c>
    </row>
    <row r="8116" spans="2:15" x14ac:dyDescent="0.3">
      <c r="B8116" s="1" t="s">
        <v>21</v>
      </c>
      <c r="C8116" s="1" t="str">
        <f>"3차"</f>
        <v>3차</v>
      </c>
      <c r="D8116" s="1" t="str">
        <f>"9627Y28139"</f>
        <v>9627Y28139</v>
      </c>
      <c r="E8116" s="1" t="s">
        <v>10</v>
      </c>
      <c r="F8116" s="1" t="str">
        <f>"10.128.114.69"</f>
        <v>10.128.114.69</v>
      </c>
      <c r="G8116" s="1" t="str">
        <f>"9627Y281"</f>
        <v>9627Y281</v>
      </c>
      <c r="H8116" s="1" t="str">
        <f>"와산간 30R3R2L2"</f>
        <v>와산간 30R3R2L2</v>
      </c>
      <c r="I8116" s="1" t="s">
        <v>8</v>
      </c>
      <c r="J8116" s="1" t="str">
        <f>"66/66"</f>
        <v>66/66</v>
      </c>
      <c r="K8116" s="1" t="str">
        <f t="shared" si="399"/>
        <v>2026-07-29 13:18:11</v>
      </c>
      <c r="L8116" s="1" t="str">
        <f>"2018-05-10 16:32:56"</f>
        <v>2018-05-10 16:32:56</v>
      </c>
      <c r="M8116" s="1" t="s">
        <v>45</v>
      </c>
      <c r="N8116" s="1" t="s">
        <v>38</v>
      </c>
      <c r="O8116" s="1" t="s">
        <v>46</v>
      </c>
    </row>
    <row r="8117" spans="2:15" x14ac:dyDescent="0.3">
      <c r="B8117" s="1" t="s">
        <v>21</v>
      </c>
      <c r="C8117" s="1" t="str">
        <f>"4차"</f>
        <v>4차</v>
      </c>
      <c r="D8117" s="1" t="str">
        <f>"9627Y29239"</f>
        <v>9627Y29239</v>
      </c>
      <c r="E8117" s="1" t="s">
        <v>10</v>
      </c>
      <c r="F8117" s="1" t="str">
        <f>"10.128.114.83"</f>
        <v>10.128.114.83</v>
      </c>
      <c r="G8117" s="1" t="str">
        <f>"9627Y292"</f>
        <v>9627Y292</v>
      </c>
      <c r="H8117" s="1" t="str">
        <f>"와산간 30R3"</f>
        <v>와산간 30R3</v>
      </c>
      <c r="I8117" s="1" t="s">
        <v>8</v>
      </c>
      <c r="J8117" s="1" t="str">
        <f>"15/15"</f>
        <v>15/15</v>
      </c>
      <c r="K8117" s="1" t="str">
        <f t="shared" si="399"/>
        <v>2026-07-29 13:18:11</v>
      </c>
      <c r="L8117" s="1" t="str">
        <f>"2018-05-10 16:35:41"</f>
        <v>2018-05-10 16:35:41</v>
      </c>
      <c r="M8117" s="1" t="s">
        <v>45</v>
      </c>
      <c r="N8117" s="1" t="s">
        <v>38</v>
      </c>
      <c r="O8117" s="1" t="s">
        <v>46</v>
      </c>
    </row>
    <row r="8118" spans="2:15" x14ac:dyDescent="0.3">
      <c r="B8118" s="1" t="s">
        <v>21</v>
      </c>
      <c r="C8118" s="1" t="str">
        <f>"3차"</f>
        <v>3차</v>
      </c>
      <c r="D8118" s="1" t="str">
        <f>"9627Y29339"</f>
        <v>9627Y29339</v>
      </c>
      <c r="E8118" s="1" t="s">
        <v>10</v>
      </c>
      <c r="F8118" s="1" t="str">
        <f>"10.128.115.150"</f>
        <v>10.128.115.150</v>
      </c>
      <c r="G8118" s="1" t="str">
        <f>"9627Y293"</f>
        <v>9627Y293</v>
      </c>
      <c r="H8118" s="1" t="str">
        <f>"와산간 30R5L2"</f>
        <v>와산간 30R5L2</v>
      </c>
      <c r="I8118" s="1" t="s">
        <v>8</v>
      </c>
      <c r="J8118" s="1" t="str">
        <f>"7/7"</f>
        <v>7/7</v>
      </c>
      <c r="K8118" s="1" t="str">
        <f t="shared" si="399"/>
        <v>2026-07-29 13:18:11</v>
      </c>
      <c r="L8118" s="1" t="str">
        <f>"2018-05-10 16:32:43"</f>
        <v>2018-05-10 16:32:43</v>
      </c>
      <c r="M8118" s="1" t="s">
        <v>45</v>
      </c>
      <c r="N8118" s="1" t="s">
        <v>38</v>
      </c>
      <c r="O8118" s="1" t="s">
        <v>46</v>
      </c>
    </row>
    <row r="8119" spans="2:15" x14ac:dyDescent="0.3">
      <c r="B8119" s="1" t="s">
        <v>21</v>
      </c>
      <c r="C8119" s="1" t="str">
        <f>"3차"</f>
        <v>3차</v>
      </c>
      <c r="D8119" s="1" t="str">
        <f>"9627Y31139"</f>
        <v>9627Y31139</v>
      </c>
      <c r="E8119" s="1" t="s">
        <v>10</v>
      </c>
      <c r="F8119" s="1" t="str">
        <f>"10.128.112.59"</f>
        <v>10.128.112.59</v>
      </c>
      <c r="G8119" s="1" t="str">
        <f>"9627Y311"</f>
        <v>9627Y311</v>
      </c>
      <c r="H8119" s="1" t="str">
        <f>"가좌간 81L11"</f>
        <v>가좌간 81L11</v>
      </c>
      <c r="I8119" s="1" t="s">
        <v>8</v>
      </c>
      <c r="J8119" s="1" t="str">
        <f>"26/26"</f>
        <v>26/26</v>
      </c>
      <c r="K8119" s="1" t="str">
        <f t="shared" si="399"/>
        <v>2026-07-29 13:18:11</v>
      </c>
      <c r="L8119" s="1" t="str">
        <f>"2018-04-06 09:33:39"</f>
        <v>2018-04-06 09:33:39</v>
      </c>
      <c r="M8119" s="1" t="s">
        <v>45</v>
      </c>
      <c r="N8119" s="1" t="s">
        <v>38</v>
      </c>
      <c r="O8119" s="1" t="s">
        <v>46</v>
      </c>
    </row>
    <row r="8120" spans="2:15" x14ac:dyDescent="0.3">
      <c r="B8120" s="1" t="s">
        <v>21</v>
      </c>
      <c r="C8120" s="1" t="str">
        <f>"4차"</f>
        <v>4차</v>
      </c>
      <c r="D8120" s="1" t="str">
        <f>"9627Y34739"</f>
        <v>9627Y34739</v>
      </c>
      <c r="E8120" s="1" t="s">
        <v>10</v>
      </c>
      <c r="F8120" s="1" t="str">
        <f>"10.12.133.202"</f>
        <v>10.12.133.202</v>
      </c>
      <c r="G8120" s="1" t="str">
        <f>"9627Y347"</f>
        <v>9627Y347</v>
      </c>
      <c r="H8120" s="1" t="str">
        <f>"응암로 L4"</f>
        <v>응암로 L4</v>
      </c>
      <c r="I8120" s="1" t="s">
        <v>17</v>
      </c>
      <c r="J8120" s="1" t="str">
        <f>"20/21"</f>
        <v>20/21</v>
      </c>
      <c r="K8120" s="1" t="str">
        <f t="shared" si="399"/>
        <v>2026-07-29 13:18:11</v>
      </c>
      <c r="L8120" s="1" t="str">
        <f>"2018-06-22 08:38:55"</f>
        <v>2018-06-22 08:38:55</v>
      </c>
      <c r="M8120" s="1" t="s">
        <v>0</v>
      </c>
      <c r="N8120" s="1" t="s">
        <v>38</v>
      </c>
      <c r="O8120" s="1" t="s">
        <v>46</v>
      </c>
    </row>
    <row r="8121" spans="2:15" x14ac:dyDescent="0.3">
      <c r="B8121" s="1" t="s">
        <v>21</v>
      </c>
      <c r="C8121" s="1" t="str">
        <f>"1차"</f>
        <v>1차</v>
      </c>
      <c r="D8121" s="1" t="str">
        <f>"9627Y36202"</f>
        <v>9627Y36202</v>
      </c>
      <c r="E8121" s="1" t="str">
        <f>"검침실패(3시간 이상)"</f>
        <v>검침실패(3시간 이상)</v>
      </c>
      <c r="F8121" s="1" t="str">
        <f>"10.128.96.123"</f>
        <v>10.128.96.123</v>
      </c>
      <c r="G8121" s="1" t="str">
        <f>"9627Y362"</f>
        <v>9627Y362</v>
      </c>
      <c r="H8121" s="1" t="str">
        <f>"와산간 30R9"</f>
        <v>와산간 30R9</v>
      </c>
      <c r="I8121" s="1" t="s">
        <v>8</v>
      </c>
      <c r="J8121" s="1" t="str">
        <f>"0/66"</f>
        <v>0/66</v>
      </c>
      <c r="K8121" s="1" t="str">
        <f t="shared" si="399"/>
        <v>2026-07-29 13:18:11</v>
      </c>
      <c r="L8121" s="1" t="str">
        <f>"2014-12-09 10:32:36"</f>
        <v>2014-12-09 10:32:36</v>
      </c>
      <c r="M8121" s="1" t="s">
        <v>45</v>
      </c>
      <c r="N8121" s="1" t="s">
        <v>38</v>
      </c>
      <c r="O8121" s="1" t="s">
        <v>46</v>
      </c>
    </row>
    <row r="8122" spans="2:15" x14ac:dyDescent="0.3">
      <c r="B8122" s="1" t="s">
        <v>21</v>
      </c>
      <c r="C8122" s="1" t="str">
        <f>"3차"</f>
        <v>3차</v>
      </c>
      <c r="D8122" s="1" t="str">
        <f>"9627Y37139"</f>
        <v>9627Y37139</v>
      </c>
      <c r="E8122" s="1" t="s">
        <v>10</v>
      </c>
      <c r="F8122" s="1" t="str">
        <f>"10.128.114.66"</f>
        <v>10.128.114.66</v>
      </c>
      <c r="G8122" s="1" t="str">
        <f>"9627Y371"</f>
        <v>9627Y371</v>
      </c>
      <c r="H8122" s="1" t="str">
        <f>"와산간 30R3R2L3"</f>
        <v>와산간 30R3R2L3</v>
      </c>
      <c r="I8122" s="1" t="s">
        <v>8</v>
      </c>
      <c r="J8122" s="1" t="str">
        <f>"60/60"</f>
        <v>60/60</v>
      </c>
      <c r="K8122" s="1" t="str">
        <f t="shared" si="399"/>
        <v>2026-07-29 13:18:11</v>
      </c>
      <c r="L8122" s="1" t="str">
        <f>"2018-05-10 16:29:26"</f>
        <v>2018-05-10 16:29:26</v>
      </c>
      <c r="M8122" s="1" t="s">
        <v>45</v>
      </c>
      <c r="N8122" s="1" t="s">
        <v>38</v>
      </c>
      <c r="O8122" s="1" t="s">
        <v>46</v>
      </c>
    </row>
    <row r="8123" spans="2:15" x14ac:dyDescent="0.3">
      <c r="B8123" s="1" t="s">
        <v>21</v>
      </c>
      <c r="C8123" s="1" t="str">
        <f>"3차"</f>
        <v>3차</v>
      </c>
      <c r="D8123" s="1" t="str">
        <f>"9627Y38239"</f>
        <v>9627Y38239</v>
      </c>
      <c r="E8123" s="1" t="s">
        <v>10</v>
      </c>
      <c r="F8123" s="1" t="str">
        <f>"10.128.114.82"</f>
        <v>10.128.114.82</v>
      </c>
      <c r="G8123" s="1" t="str">
        <f>"9627Y382"</f>
        <v>9627Y382</v>
      </c>
      <c r="H8123" s="1" t="str">
        <f>"와산간 30R5"</f>
        <v>와산간 30R5</v>
      </c>
      <c r="I8123" s="1" t="s">
        <v>8</v>
      </c>
      <c r="J8123" s="1" t="str">
        <f>"19/19"</f>
        <v>19/19</v>
      </c>
      <c r="K8123" s="1" t="str">
        <f t="shared" si="399"/>
        <v>2026-07-29 13:18:11</v>
      </c>
      <c r="L8123" s="1" t="str">
        <f>"2018-05-22 12:51:55"</f>
        <v>2018-05-22 12:51:55</v>
      </c>
      <c r="M8123" s="1" t="s">
        <v>45</v>
      </c>
      <c r="N8123" s="1" t="s">
        <v>38</v>
      </c>
      <c r="O8123" s="1" t="s">
        <v>46</v>
      </c>
    </row>
    <row r="8124" spans="2:15" x14ac:dyDescent="0.3">
      <c r="B8124" s="1" t="s">
        <v>21</v>
      </c>
      <c r="C8124" s="1" t="str">
        <f>"4차"</f>
        <v>4차</v>
      </c>
      <c r="D8124" s="1" t="str">
        <f>"9627Y38444"</f>
        <v>9627Y38444</v>
      </c>
      <c r="E8124" s="1" t="s">
        <v>10</v>
      </c>
      <c r="F8124" s="1" t="str">
        <f>"10.128.113.50"</f>
        <v>10.128.113.50</v>
      </c>
      <c r="G8124" s="1" t="str">
        <f>"9627Y384"</f>
        <v>9627Y384</v>
      </c>
      <c r="H8124" s="1" t="str">
        <f>"와산간 30R6"</f>
        <v>와산간 30R6</v>
      </c>
      <c r="I8124" s="1" t="s">
        <v>8</v>
      </c>
      <c r="J8124" s="1" t="str">
        <f>"20/20"</f>
        <v>20/20</v>
      </c>
      <c r="K8124" s="1" t="str">
        <f t="shared" si="399"/>
        <v>2026-07-29 13:18:11</v>
      </c>
      <c r="L8124" s="1" t="str">
        <f>"2020-06-18 14:52:37"</f>
        <v>2020-06-18 14:52:37</v>
      </c>
      <c r="M8124" s="1" t="s">
        <v>45</v>
      </c>
      <c r="N8124" s="1" t="s">
        <v>38</v>
      </c>
      <c r="O8124" s="1" t="s">
        <v>46</v>
      </c>
    </row>
    <row r="8125" spans="2:15" x14ac:dyDescent="0.3">
      <c r="B8125" s="1" t="s">
        <v>21</v>
      </c>
      <c r="C8125" s="1" t="str">
        <f>"3차"</f>
        <v>3차</v>
      </c>
      <c r="D8125" s="1" t="str">
        <f>"9627Y39139"</f>
        <v>9627Y39139</v>
      </c>
      <c r="E8125" s="1" t="s">
        <v>10</v>
      </c>
      <c r="F8125" s="1" t="str">
        <f>"10.128.115.120"</f>
        <v>10.128.115.120</v>
      </c>
      <c r="G8125" s="1" t="str">
        <f>"9627Y391"</f>
        <v>9627Y391</v>
      </c>
      <c r="H8125" s="1" t="str">
        <f>"와산간 30R5L1"</f>
        <v>와산간 30R5L1</v>
      </c>
      <c r="I8125" s="1" t="s">
        <v>8</v>
      </c>
      <c r="J8125" s="1" t="str">
        <f>"13/13"</f>
        <v>13/13</v>
      </c>
      <c r="K8125" s="1" t="str">
        <f t="shared" si="399"/>
        <v>2026-07-29 13:18:11</v>
      </c>
      <c r="L8125" s="1" t="str">
        <f>"2018-05-10 16:36:26"</f>
        <v>2018-05-10 16:36:26</v>
      </c>
      <c r="M8125" s="1" t="s">
        <v>45</v>
      </c>
      <c r="N8125" s="1" t="s">
        <v>38</v>
      </c>
      <c r="O8125" s="1" t="s">
        <v>46</v>
      </c>
    </row>
    <row r="8126" spans="2:15" x14ac:dyDescent="0.3">
      <c r="B8126" s="1" t="s">
        <v>21</v>
      </c>
      <c r="C8126" s="1" t="str">
        <f>"4차"</f>
        <v>4차</v>
      </c>
      <c r="D8126" s="1" t="str">
        <f>"9627Y40244"</f>
        <v>9627Y40244</v>
      </c>
      <c r="E8126" s="1" t="s">
        <v>10</v>
      </c>
      <c r="F8126" s="1" t="str">
        <f>"10.11.100.10"</f>
        <v>10.11.100.10</v>
      </c>
      <c r="G8126" s="1" t="str">
        <f>"9627Y402"</f>
        <v>9627Y402</v>
      </c>
      <c r="H8126" s="1" t="str">
        <f>"가좌간 81L14"</f>
        <v>가좌간 81L14</v>
      </c>
      <c r="I8126" s="1" t="s">
        <v>8</v>
      </c>
      <c r="J8126" s="1" t="str">
        <f>"18/18"</f>
        <v>18/18</v>
      </c>
      <c r="K8126" s="1" t="str">
        <f t="shared" si="399"/>
        <v>2026-07-29 13:18:11</v>
      </c>
      <c r="L8126" s="1" t="str">
        <f>"2020-07-02 10:25:32"</f>
        <v>2020-07-02 10:25:32</v>
      </c>
      <c r="M8126" s="1" t="s">
        <v>2</v>
      </c>
      <c r="N8126" s="1" t="s">
        <v>38</v>
      </c>
      <c r="O8126" s="1" t="s">
        <v>46</v>
      </c>
    </row>
    <row r="8127" spans="2:15" x14ac:dyDescent="0.3">
      <c r="B8127" s="1" t="s">
        <v>21</v>
      </c>
      <c r="C8127" s="1" t="str">
        <f>"4차"</f>
        <v>4차</v>
      </c>
      <c r="D8127" s="1" t="str">
        <f>"9627Y41139"</f>
        <v>9627Y41139</v>
      </c>
      <c r="E8127" s="1" t="s">
        <v>10</v>
      </c>
      <c r="F8127" s="1" t="str">
        <f>"10.128.112.60"</f>
        <v>10.128.112.60</v>
      </c>
      <c r="G8127" s="1" t="str">
        <f>"9627Y411"</f>
        <v>9627Y411</v>
      </c>
      <c r="H8127" s="1" t="str">
        <f>"가좌간 81L11L1"</f>
        <v>가좌간 81L11L1</v>
      </c>
      <c r="I8127" s="1" t="s">
        <v>8</v>
      </c>
      <c r="J8127" s="1" t="str">
        <f>"46/46"</f>
        <v>46/46</v>
      </c>
      <c r="K8127" s="1" t="str">
        <f t="shared" si="399"/>
        <v>2026-07-29 13:18:11</v>
      </c>
      <c r="L8127" s="1" t="str">
        <f>"2018-04-06 09:31:24"</f>
        <v>2018-04-06 09:31:24</v>
      </c>
      <c r="M8127" s="1" t="s">
        <v>45</v>
      </c>
      <c r="N8127" s="1" t="s">
        <v>38</v>
      </c>
      <c r="O8127" s="1" t="s">
        <v>46</v>
      </c>
    </row>
    <row r="8128" spans="2:15" x14ac:dyDescent="0.3">
      <c r="B8128" s="1" t="s">
        <v>21</v>
      </c>
      <c r="C8128" s="1" t="str">
        <f>"4차"</f>
        <v>4차</v>
      </c>
      <c r="D8128" s="1" t="str">
        <f>"9627Y41239"</f>
        <v>9627Y41239</v>
      </c>
      <c r="E8128" s="1" t="s">
        <v>10</v>
      </c>
      <c r="F8128" s="1" t="str">
        <f>"10.128.103.34"</f>
        <v>10.128.103.34</v>
      </c>
      <c r="G8128" s="1" t="str">
        <f>"9627Y412"</f>
        <v>9627Y412</v>
      </c>
      <c r="H8128" s="1" t="str">
        <f>"가좌간 81L12"</f>
        <v>가좌간 81L12</v>
      </c>
      <c r="I8128" s="1" t="s">
        <v>8</v>
      </c>
      <c r="J8128" s="1" t="str">
        <f>"17/17"</f>
        <v>17/17</v>
      </c>
      <c r="K8128" s="1" t="str">
        <f t="shared" si="399"/>
        <v>2026-07-29 13:18:11</v>
      </c>
      <c r="L8128" s="1" t="str">
        <f>"2018-04-06 09:31:41"</f>
        <v>2018-04-06 09:31:41</v>
      </c>
      <c r="M8128" s="1" t="s">
        <v>45</v>
      </c>
      <c r="N8128" s="1" t="s">
        <v>38</v>
      </c>
      <c r="O8128" s="1" t="s">
        <v>46</v>
      </c>
    </row>
    <row r="8129" spans="2:15" x14ac:dyDescent="0.3">
      <c r="B8129" s="1" t="s">
        <v>21</v>
      </c>
      <c r="C8129" s="1" t="str">
        <f>"3차"</f>
        <v>3차</v>
      </c>
      <c r="D8129" s="1" t="str">
        <f>"9627Y42139"</f>
        <v>9627Y42139</v>
      </c>
      <c r="E8129" s="1" t="s">
        <v>10</v>
      </c>
      <c r="F8129" s="1" t="str">
        <f>"10.128.112.61"</f>
        <v>10.128.112.61</v>
      </c>
      <c r="G8129" s="1" t="str">
        <f>"9627Y421"</f>
        <v>9627Y421</v>
      </c>
      <c r="H8129" s="1" t="str">
        <f>"가좌간 81L10L1"</f>
        <v>가좌간 81L10L1</v>
      </c>
      <c r="I8129" s="1" t="s">
        <v>8</v>
      </c>
      <c r="J8129" s="1" t="str">
        <f>"27/27"</f>
        <v>27/27</v>
      </c>
      <c r="K8129" s="1" t="str">
        <f t="shared" si="399"/>
        <v>2026-07-29 13:18:11</v>
      </c>
      <c r="L8129" s="1" t="str">
        <f>"2018-04-06 09:34:24"</f>
        <v>2018-04-06 09:34:24</v>
      </c>
      <c r="M8129" s="1" t="s">
        <v>45</v>
      </c>
      <c r="N8129" s="1" t="s">
        <v>38</v>
      </c>
      <c r="O8129" s="1" t="s">
        <v>46</v>
      </c>
    </row>
    <row r="8130" spans="2:15" x14ac:dyDescent="0.3">
      <c r="B8130" s="1" t="s">
        <v>21</v>
      </c>
      <c r="C8130" s="1" t="str">
        <f>"3차"</f>
        <v>3차</v>
      </c>
      <c r="D8130" s="1" t="str">
        <f>"9627Y44239"</f>
        <v>9627Y44239</v>
      </c>
      <c r="E8130" s="1" t="s">
        <v>10</v>
      </c>
      <c r="F8130" s="1" t="str">
        <f>"10.128.69.242"</f>
        <v>10.128.69.242</v>
      </c>
      <c r="G8130" s="1" t="str">
        <f>"9627Y442"</f>
        <v>9627Y442</v>
      </c>
      <c r="H8130" s="1" t="str">
        <f>"홍남간 72R23L3"</f>
        <v>홍남간 72R23L3</v>
      </c>
      <c r="I8130" s="1" t="s">
        <v>8</v>
      </c>
      <c r="J8130" s="1" t="str">
        <f>"8/8"</f>
        <v>8/8</v>
      </c>
      <c r="K8130" s="1" t="str">
        <f t="shared" si="399"/>
        <v>2026-07-29 13:18:11</v>
      </c>
      <c r="L8130" s="1" t="str">
        <f>"2018-05-21 11:56:20"</f>
        <v>2018-05-21 11:56:20</v>
      </c>
      <c r="M8130" s="1" t="s">
        <v>45</v>
      </c>
      <c r="N8130" s="1" t="s">
        <v>38</v>
      </c>
      <c r="O8130" s="1" t="s">
        <v>46</v>
      </c>
    </row>
    <row r="8131" spans="2:15" x14ac:dyDescent="0.3">
      <c r="B8131" s="1" t="s">
        <v>21</v>
      </c>
      <c r="C8131" s="1" t="str">
        <f>"4차"</f>
        <v>4차</v>
      </c>
      <c r="D8131" s="1" t="str">
        <f>"9627Y44539"</f>
        <v>9627Y44539</v>
      </c>
      <c r="E8131" s="1" t="s">
        <v>10</v>
      </c>
      <c r="F8131" s="1" t="str">
        <f>"10.12.133.187"</f>
        <v>10.12.133.187</v>
      </c>
      <c r="G8131" s="1" t="str">
        <f>"9627Y445"</f>
        <v>9627Y445</v>
      </c>
      <c r="H8131" s="1" t="str">
        <f>"응암로 R4"</f>
        <v>응암로 R4</v>
      </c>
      <c r="I8131" s="1" t="s">
        <v>17</v>
      </c>
      <c r="J8131" s="1" t="str">
        <f>"34/38"</f>
        <v>34/38</v>
      </c>
      <c r="K8131" s="1" t="str">
        <f t="shared" si="399"/>
        <v>2026-07-29 13:18:11</v>
      </c>
      <c r="L8131" s="1" t="str">
        <f>"2018-06-22 09:53:27"</f>
        <v>2018-06-22 09:53:27</v>
      </c>
      <c r="M8131" s="1" t="s">
        <v>0</v>
      </c>
      <c r="N8131" s="1" t="s">
        <v>38</v>
      </c>
      <c r="O8131" s="1" t="s">
        <v>46</v>
      </c>
    </row>
    <row r="8132" spans="2:15" x14ac:dyDescent="0.3">
      <c r="B8132" s="1" t="s">
        <v>21</v>
      </c>
      <c r="C8132" s="1" t="str">
        <f>"4차"</f>
        <v>4차</v>
      </c>
      <c r="D8132" s="1" t="str">
        <f>"9627Y44639"</f>
        <v>9627Y44639</v>
      </c>
      <c r="E8132" s="1" t="s">
        <v>10</v>
      </c>
      <c r="F8132" s="1" t="str">
        <f>"10.12.133.190"</f>
        <v>10.12.133.190</v>
      </c>
      <c r="G8132" s="1" t="str">
        <f>"9627Y446"</f>
        <v>9627Y446</v>
      </c>
      <c r="H8132" s="1" t="str">
        <f>"응암로 R3"</f>
        <v>응암로 R3</v>
      </c>
      <c r="I8132" s="1" t="s">
        <v>17</v>
      </c>
      <c r="J8132" s="1" t="str">
        <f>"5/5"</f>
        <v>5/5</v>
      </c>
      <c r="K8132" s="1" t="str">
        <f>"2026-07-29 13:18:10"</f>
        <v>2026-07-29 13:18:10</v>
      </c>
      <c r="L8132" s="1" t="str">
        <f>"2018-06-22 09:44:25"</f>
        <v>2018-06-22 09:44:25</v>
      </c>
      <c r="M8132" s="1" t="s">
        <v>0</v>
      </c>
      <c r="N8132" s="1" t="s">
        <v>38</v>
      </c>
      <c r="O8132" s="1" t="s">
        <v>46</v>
      </c>
    </row>
    <row r="8133" spans="2:15" x14ac:dyDescent="0.3">
      <c r="B8133" s="1" t="s">
        <v>21</v>
      </c>
      <c r="C8133" s="1" t="str">
        <f>"4차"</f>
        <v>4차</v>
      </c>
      <c r="D8133" s="1" t="str">
        <f>"9627Y45939"</f>
        <v>9627Y45939</v>
      </c>
      <c r="E8133" s="1" t="s">
        <v>10</v>
      </c>
      <c r="F8133" s="1" t="str">
        <f>"10.12.133.35"</f>
        <v>10.12.133.35</v>
      </c>
      <c r="G8133" s="1" t="str">
        <f>"9627Y459"</f>
        <v>9627Y459</v>
      </c>
      <c r="H8133" s="1" t="str">
        <f>"응암로 R5"</f>
        <v>응암로 R5</v>
      </c>
      <c r="I8133" s="1" t="s">
        <v>17</v>
      </c>
      <c r="J8133" s="1" t="str">
        <f>"4/4"</f>
        <v>4/4</v>
      </c>
      <c r="K8133" s="1" t="str">
        <f>"2026-07-29 13:18:11"</f>
        <v>2026-07-29 13:18:11</v>
      </c>
      <c r="L8133" s="1" t="str">
        <f>"2018-06-22 10:04:55"</f>
        <v>2018-06-22 10:04:55</v>
      </c>
      <c r="M8133" s="1" t="s">
        <v>0</v>
      </c>
      <c r="N8133" s="1" t="s">
        <v>38</v>
      </c>
      <c r="O8133" s="1" t="s">
        <v>46</v>
      </c>
    </row>
    <row r="8134" spans="2:15" x14ac:dyDescent="0.3">
      <c r="B8134" s="1" t="s">
        <v>21</v>
      </c>
      <c r="C8134" s="1" t="str">
        <f>"4차"</f>
        <v>4차</v>
      </c>
      <c r="D8134" s="1" t="str">
        <f>"9627Y46439"</f>
        <v>9627Y46439</v>
      </c>
      <c r="E8134" s="1" t="s">
        <v>10</v>
      </c>
      <c r="F8134" s="1" t="str">
        <f>"10.14.11.11"</f>
        <v>10.14.11.11</v>
      </c>
      <c r="G8134" s="1" t="str">
        <f>"9627Y464"</f>
        <v>9627Y464</v>
      </c>
      <c r="H8134" s="1" t="str">
        <f>"응암로 L5"</f>
        <v>응암로 L5</v>
      </c>
      <c r="I8134" s="1" t="s">
        <v>17</v>
      </c>
      <c r="J8134" s="1" t="str">
        <f>"23/23"</f>
        <v>23/23</v>
      </c>
      <c r="K8134" s="1" t="str">
        <f>"2026-07-29 13:18:12"</f>
        <v>2026-07-29 13:18:12</v>
      </c>
      <c r="L8134" s="1" t="str">
        <f>"2018-06-22 08:28:54"</f>
        <v>2018-06-22 08:28:54</v>
      </c>
      <c r="M8134" s="1" t="s">
        <v>3</v>
      </c>
      <c r="N8134" s="1" t="s">
        <v>38</v>
      </c>
      <c r="O8134" s="1" t="s">
        <v>46</v>
      </c>
    </row>
    <row r="8135" spans="2:15" x14ac:dyDescent="0.3">
      <c r="B8135" s="1" t="s">
        <v>21</v>
      </c>
      <c r="C8135" s="1" t="str">
        <f>"3차"</f>
        <v>3차</v>
      </c>
      <c r="D8135" s="1" t="str">
        <f>"9627Y47339"</f>
        <v>9627Y47339</v>
      </c>
      <c r="E8135" s="1" t="s">
        <v>10</v>
      </c>
      <c r="F8135" s="1" t="str">
        <f>"10.128.114.67"</f>
        <v>10.128.114.67</v>
      </c>
      <c r="G8135" s="1" t="str">
        <f>"9627Y473"</f>
        <v>9627Y473</v>
      </c>
      <c r="H8135" s="1" t="str">
        <f>"와산간 30R8"</f>
        <v>와산간 30R8</v>
      </c>
      <c r="I8135" s="1" t="s">
        <v>8</v>
      </c>
      <c r="J8135" s="1" t="str">
        <f>"72/72"</f>
        <v>72/72</v>
      </c>
      <c r="K8135" s="1" t="str">
        <f>"2026-07-29 13:18:11"</f>
        <v>2026-07-29 13:18:11</v>
      </c>
      <c r="L8135" s="1" t="str">
        <f>"2018-05-10 16:29:56"</f>
        <v>2018-05-10 16:29:56</v>
      </c>
      <c r="M8135" s="1" t="s">
        <v>45</v>
      </c>
      <c r="N8135" s="1" t="s">
        <v>38</v>
      </c>
      <c r="O8135" s="1" t="s">
        <v>46</v>
      </c>
    </row>
    <row r="8136" spans="2:15" x14ac:dyDescent="0.3">
      <c r="B8136" s="1" t="s">
        <v>21</v>
      </c>
      <c r="C8136" s="1" t="str">
        <f>"4차"</f>
        <v>4차</v>
      </c>
      <c r="D8136" s="1" t="str">
        <f>"9627Y47439"</f>
        <v>9627Y47439</v>
      </c>
      <c r="E8136" s="1" t="s">
        <v>10</v>
      </c>
      <c r="F8136" s="1" t="str">
        <f>"10.12.136.191"</f>
        <v>10.12.136.191</v>
      </c>
      <c r="G8136" s="1" t="str">
        <f>"9627Y474"</f>
        <v>9627Y474</v>
      </c>
      <c r="H8136" s="1" t="str">
        <f>"응암로 L6"</f>
        <v>응암로 L6</v>
      </c>
      <c r="I8136" s="1" t="s">
        <v>17</v>
      </c>
      <c r="J8136" s="1" t="str">
        <f>"7/7"</f>
        <v>7/7</v>
      </c>
      <c r="K8136" s="1" t="str">
        <f>"2026-07-29 13:18:11"</f>
        <v>2026-07-29 13:18:11</v>
      </c>
      <c r="L8136" s="1" t="str">
        <f>"2018-10-17 12:11:56"</f>
        <v>2018-10-17 12:11:56</v>
      </c>
      <c r="M8136" s="1" t="s">
        <v>0</v>
      </c>
      <c r="N8136" s="1" t="s">
        <v>38</v>
      </c>
      <c r="O8136" s="1" t="s">
        <v>46</v>
      </c>
    </row>
    <row r="8137" spans="2:15" x14ac:dyDescent="0.3">
      <c r="B8137" s="1" t="s">
        <v>21</v>
      </c>
      <c r="C8137" s="1" t="str">
        <f>"3차"</f>
        <v>3차</v>
      </c>
      <c r="D8137" s="1" t="str">
        <f>"9627Y49239"</f>
        <v>9627Y49239</v>
      </c>
      <c r="E8137" s="1" t="s">
        <v>10</v>
      </c>
      <c r="F8137" s="1" t="str">
        <f>"10.128.114.72"</f>
        <v>10.128.114.72</v>
      </c>
      <c r="G8137" s="1" t="str">
        <f>"9627Y492"</f>
        <v>9627Y492</v>
      </c>
      <c r="H8137" s="1" t="str">
        <f>"와산간 30R6L2"</f>
        <v>와산간 30R6L2</v>
      </c>
      <c r="I8137" s="1" t="s">
        <v>8</v>
      </c>
      <c r="J8137" s="1" t="str">
        <f>"13/13"</f>
        <v>13/13</v>
      </c>
      <c r="K8137" s="1" t="str">
        <f>"2026-07-29 13:18:11"</f>
        <v>2026-07-29 13:18:11</v>
      </c>
      <c r="L8137" s="1" t="str">
        <f>"2018-05-10 16:35:27"</f>
        <v>2018-05-10 16:35:27</v>
      </c>
      <c r="M8137" s="1" t="s">
        <v>45</v>
      </c>
      <c r="N8137" s="1" t="s">
        <v>38</v>
      </c>
      <c r="O8137" s="1" t="s">
        <v>46</v>
      </c>
    </row>
    <row r="8138" spans="2:15" x14ac:dyDescent="0.3">
      <c r="B8138" s="1" t="s">
        <v>21</v>
      </c>
      <c r="C8138" s="1" t="str">
        <f>"3차"</f>
        <v>3차</v>
      </c>
      <c r="D8138" s="1" t="str">
        <f>"9627Y49339"</f>
        <v>9627Y49339</v>
      </c>
      <c r="E8138" s="1" t="s">
        <v>10</v>
      </c>
      <c r="F8138" s="1" t="str">
        <f>"10.128.114.75"</f>
        <v>10.128.114.75</v>
      </c>
      <c r="G8138" s="1" t="str">
        <f>"9627Y493"</f>
        <v>9627Y493</v>
      </c>
      <c r="H8138" s="1" t="str">
        <f>"와산간 30R6L1"</f>
        <v>와산간 30R6L1</v>
      </c>
      <c r="I8138" s="1" t="s">
        <v>8</v>
      </c>
      <c r="J8138" s="1" t="str">
        <f>"17/17"</f>
        <v>17/17</v>
      </c>
      <c r="K8138" s="1" t="str">
        <f>"2026-07-29 13:18:11"</f>
        <v>2026-07-29 13:18:11</v>
      </c>
      <c r="L8138" s="1" t="str">
        <f>"2018-05-10 16:30:43"</f>
        <v>2018-05-10 16:30:43</v>
      </c>
      <c r="M8138" s="1" t="s">
        <v>45</v>
      </c>
      <c r="N8138" s="1" t="s">
        <v>38</v>
      </c>
      <c r="O8138" s="1" t="s">
        <v>46</v>
      </c>
    </row>
    <row r="8139" spans="2:15" x14ac:dyDescent="0.3">
      <c r="B8139" s="1" t="s">
        <v>21</v>
      </c>
      <c r="C8139" s="1" t="str">
        <f>"5-2차"</f>
        <v>5-2차</v>
      </c>
      <c r="D8139" s="1" t="str">
        <f>"9627Y4975M"</f>
        <v>9627Y4975M</v>
      </c>
      <c r="E8139" s="1" t="s">
        <v>10</v>
      </c>
      <c r="F8139" s="1" t="str">
        <f>"fde1:103:4:6ebe:0:0:0:2"</f>
        <v>fde1:103:4:6ebe:0:0:0:2</v>
      </c>
      <c r="G8139" s="1" t="str">
        <f>"9627Y497"</f>
        <v>9627Y497</v>
      </c>
      <c r="H8139" s="1" t="str">
        <f>"와산간 30R3L5"</f>
        <v>와산간 30R3L5</v>
      </c>
      <c r="I8139" s="1" t="s">
        <v>15</v>
      </c>
      <c r="J8139" s="1" t="str">
        <f>"70/70"</f>
        <v>70/70</v>
      </c>
      <c r="K8139" s="1" t="str">
        <f>"2026-07-29 14:21:23"</f>
        <v>2026-07-29 14:21:23</v>
      </c>
      <c r="L8139" s="1" t="str">
        <f>"2023-11-14 16:22:04"</f>
        <v>2023-11-14 16:22:04</v>
      </c>
      <c r="M8139" s="1" t="s">
        <v>4</v>
      </c>
      <c r="N8139" s="1" t="s">
        <v>38</v>
      </c>
      <c r="O8139" s="1" t="s">
        <v>46</v>
      </c>
    </row>
    <row r="8140" spans="2:15" x14ac:dyDescent="0.3">
      <c r="B8140" s="1" t="s">
        <v>21</v>
      </c>
      <c r="C8140" s="1" t="str">
        <f>"4차"</f>
        <v>4차</v>
      </c>
      <c r="D8140" s="1" t="str">
        <f>"9627Y50144"</f>
        <v>9627Y50144</v>
      </c>
      <c r="E8140" s="1" t="s">
        <v>10</v>
      </c>
      <c r="F8140" s="1" t="str">
        <f>"10.11.100.18"</f>
        <v>10.11.100.18</v>
      </c>
      <c r="G8140" s="1" t="str">
        <f>"9627Y501"</f>
        <v>9627Y501</v>
      </c>
      <c r="H8140" s="1" t="str">
        <f>"가좌간 81L14L1"</f>
        <v>가좌간 81L14L1</v>
      </c>
      <c r="I8140" s="1" t="s">
        <v>8</v>
      </c>
      <c r="J8140" s="1" t="str">
        <f>"9/9"</f>
        <v>9/9</v>
      </c>
      <c r="K8140" s="1" t="str">
        <f>"2026-07-29 13:18:11"</f>
        <v>2026-07-29 13:18:11</v>
      </c>
      <c r="L8140" s="1" t="str">
        <f>"2020-07-02 10:26:44"</f>
        <v>2020-07-02 10:26:44</v>
      </c>
      <c r="M8140" s="1" t="s">
        <v>2</v>
      </c>
      <c r="N8140" s="1" t="s">
        <v>38</v>
      </c>
      <c r="O8140" s="1" t="s">
        <v>46</v>
      </c>
    </row>
    <row r="8141" spans="2:15" x14ac:dyDescent="0.3">
      <c r="B8141" s="1" t="s">
        <v>21</v>
      </c>
      <c r="C8141" s="1" t="str">
        <f>"4차"</f>
        <v>4차</v>
      </c>
      <c r="D8141" s="1" t="str">
        <f>"9627Y51239"</f>
        <v>9627Y51239</v>
      </c>
      <c r="E8141" s="1" t="s">
        <v>10</v>
      </c>
      <c r="F8141" s="1" t="str">
        <f>"10.12.130.150"</f>
        <v>10.12.130.150</v>
      </c>
      <c r="G8141" s="1" t="str">
        <f>"9627Y512"</f>
        <v>9627Y512</v>
      </c>
      <c r="H8141" s="1" t="str">
        <f>"가좌간 81L11L1R2"</f>
        <v>가좌간 81L11L1R2</v>
      </c>
      <c r="I8141" s="1" t="s">
        <v>8</v>
      </c>
      <c r="J8141" s="1" t="str">
        <f>"59/59"</f>
        <v>59/59</v>
      </c>
      <c r="K8141" s="1" t="str">
        <f>"2026-07-29 13:18:12"</f>
        <v>2026-07-29 13:18:12</v>
      </c>
      <c r="L8141" s="1" t="str">
        <f>"2020-06-15 13:10:32"</f>
        <v>2020-06-15 13:10:32</v>
      </c>
      <c r="M8141" s="1" t="s">
        <v>0</v>
      </c>
      <c r="N8141" s="1" t="s">
        <v>38</v>
      </c>
      <c r="O8141" s="1" t="s">
        <v>46</v>
      </c>
    </row>
    <row r="8142" spans="2:15" x14ac:dyDescent="0.3">
      <c r="B8142" s="1" t="s">
        <v>21</v>
      </c>
      <c r="C8142" s="1" t="str">
        <f>"3차"</f>
        <v>3차</v>
      </c>
      <c r="D8142" s="1" t="str">
        <f>"9627Y53139"</f>
        <v>9627Y53139</v>
      </c>
      <c r="E8142" s="1" t="s">
        <v>10</v>
      </c>
      <c r="F8142" s="1" t="str">
        <f>"10.128.112.62"</f>
        <v>10.128.112.62</v>
      </c>
      <c r="G8142" s="1" t="str">
        <f>"9627Y531"</f>
        <v>9627Y531</v>
      </c>
      <c r="H8142" s="1" t="str">
        <f>"가좌간 81L10L2"</f>
        <v>가좌간 81L10L2</v>
      </c>
      <c r="I8142" s="1" t="s">
        <v>8</v>
      </c>
      <c r="J8142" s="1" t="str">
        <f>"96/96"</f>
        <v>96/96</v>
      </c>
      <c r="K8142" s="1" t="str">
        <f>"2026-07-29 13:18:11"</f>
        <v>2026-07-29 13:18:11</v>
      </c>
      <c r="L8142" s="1" t="str">
        <f>"2018-04-06 09:29:26"</f>
        <v>2018-04-06 09:29:26</v>
      </c>
      <c r="M8142" s="1" t="s">
        <v>45</v>
      </c>
      <c r="N8142" s="1" t="s">
        <v>38</v>
      </c>
      <c r="O8142" s="1" t="s">
        <v>46</v>
      </c>
    </row>
    <row r="8143" spans="2:15" x14ac:dyDescent="0.3">
      <c r="B8143" s="1" t="s">
        <v>21</v>
      </c>
      <c r="C8143" s="1" t="str">
        <f>"4차"</f>
        <v>4차</v>
      </c>
      <c r="D8143" s="1" t="str">
        <f>"9627Y54139"</f>
        <v>9627Y54139</v>
      </c>
      <c r="E8143" s="1" t="s">
        <v>10</v>
      </c>
      <c r="F8143" s="1" t="str">
        <f>"10.128.113.59"</f>
        <v>10.128.113.59</v>
      </c>
      <c r="G8143" s="1" t="str">
        <f>"9627Y541"</f>
        <v>9627Y541</v>
      </c>
      <c r="H8143" s="1" t="str">
        <f>"홍남간 72R23L2"</f>
        <v>홍남간 72R23L2</v>
      </c>
      <c r="I8143" s="1" t="s">
        <v>8</v>
      </c>
      <c r="J8143" s="1" t="str">
        <f>"4/5"</f>
        <v>4/5</v>
      </c>
      <c r="K8143" s="1" t="str">
        <f>"2026-07-29 13:18:11"</f>
        <v>2026-07-29 13:18:11</v>
      </c>
      <c r="L8143" s="1" t="str">
        <f>"2024-05-28 17:52:21"</f>
        <v>2024-05-28 17:52:21</v>
      </c>
      <c r="M8143" s="1" t="s">
        <v>45</v>
      </c>
      <c r="N8143" s="1" t="s">
        <v>38</v>
      </c>
      <c r="O8143" s="1" t="s">
        <v>46</v>
      </c>
    </row>
    <row r="8144" spans="2:15" x14ac:dyDescent="0.3">
      <c r="B8144" s="1" t="s">
        <v>21</v>
      </c>
      <c r="C8144" s="1" t="str">
        <f>"4차"</f>
        <v>4차</v>
      </c>
      <c r="D8144" s="1" t="str">
        <f>"9627Y57D39"</f>
        <v>9627Y57D39</v>
      </c>
      <c r="E8144" s="1" t="s">
        <v>10</v>
      </c>
      <c r="F8144" s="1" t="str">
        <f>"10.12.132.222"</f>
        <v>10.12.132.222</v>
      </c>
      <c r="G8144" s="1" t="str">
        <f>"9627Y57D"</f>
        <v>9627Y57D</v>
      </c>
      <c r="H8144" s="1" t="str">
        <f>"응암로 R6"</f>
        <v>응암로 R6</v>
      </c>
      <c r="I8144" s="1" t="s">
        <v>17</v>
      </c>
      <c r="J8144" s="1" t="str">
        <f>"4/4"</f>
        <v>4/4</v>
      </c>
      <c r="K8144" s="1" t="str">
        <f>"2026-07-29 13:18:11"</f>
        <v>2026-07-29 13:18:11</v>
      </c>
      <c r="L8144" s="1" t="str">
        <f>"2018-06-23 06:32:27"</f>
        <v>2018-06-23 06:32:27</v>
      </c>
      <c r="M8144" s="1" t="s">
        <v>0</v>
      </c>
      <c r="N8144" s="1" t="s">
        <v>38</v>
      </c>
      <c r="O8144" s="1" t="s">
        <v>46</v>
      </c>
    </row>
    <row r="8145" spans="2:15" x14ac:dyDescent="0.3">
      <c r="B8145" s="1" t="s">
        <v>21</v>
      </c>
      <c r="C8145" s="1" t="str">
        <f>"4차"</f>
        <v>4차</v>
      </c>
      <c r="D8145" s="1" t="str">
        <f>"9627Y59239"</f>
        <v>9627Y59239</v>
      </c>
      <c r="E8145" s="1" t="s">
        <v>10</v>
      </c>
      <c r="F8145" s="1" t="str">
        <f>"10.12.133.30"</f>
        <v>10.12.133.30</v>
      </c>
      <c r="G8145" s="1" t="str">
        <f>"9627Y592"</f>
        <v>9627Y592</v>
      </c>
      <c r="H8145" s="1" t="str">
        <f>"응암로 L8"</f>
        <v>응암로 L8</v>
      </c>
      <c r="I8145" s="1" t="s">
        <v>17</v>
      </c>
      <c r="J8145" s="1" t="str">
        <f>"35/35"</f>
        <v>35/35</v>
      </c>
      <c r="K8145" s="1" t="str">
        <f>"2026-07-29 13:18:11"</f>
        <v>2026-07-29 13:18:11</v>
      </c>
      <c r="L8145" s="1" t="str">
        <f>"2018-06-23 07:27:40"</f>
        <v>2018-06-23 07:27:40</v>
      </c>
      <c r="M8145" s="1" t="s">
        <v>0</v>
      </c>
      <c r="N8145" s="1" t="s">
        <v>38</v>
      </c>
      <c r="O8145" s="1" t="s">
        <v>46</v>
      </c>
    </row>
    <row r="8146" spans="2:15" x14ac:dyDescent="0.3">
      <c r="B8146" s="1" t="s">
        <v>21</v>
      </c>
      <c r="C8146" s="1" t="str">
        <f>"3차"</f>
        <v>3차</v>
      </c>
      <c r="D8146" s="1" t="str">
        <f>"9627Y62130"</f>
        <v>9627Y62130</v>
      </c>
      <c r="E8146" s="1" t="s">
        <v>10</v>
      </c>
      <c r="F8146" s="1" t="str">
        <f>"10.128.115.121"</f>
        <v>10.128.115.121</v>
      </c>
      <c r="G8146" s="1" t="str">
        <f>"9627Y621"</f>
        <v>9627Y621</v>
      </c>
      <c r="H8146" s="1" t="str">
        <f>"가좌간 81L11L2"</f>
        <v>가좌간 81L11L2</v>
      </c>
      <c r="I8146" s="1" t="s">
        <v>8</v>
      </c>
      <c r="J8146" s="1" t="str">
        <f>"49/49"</f>
        <v>49/49</v>
      </c>
      <c r="K8146" s="1" t="str">
        <f>"2026-07-29 13:18:11"</f>
        <v>2026-07-29 13:18:11</v>
      </c>
      <c r="L8146" s="1" t="str">
        <f>"2018-04-06 09:35:09"</f>
        <v>2018-04-06 09:35:09</v>
      </c>
      <c r="M8146" s="1" t="s">
        <v>45</v>
      </c>
      <c r="N8146" s="1" t="s">
        <v>38</v>
      </c>
      <c r="O8146" s="1" t="s">
        <v>46</v>
      </c>
    </row>
    <row r="8147" spans="2:15" x14ac:dyDescent="0.3">
      <c r="B8147" s="1" t="s">
        <v>21</v>
      </c>
      <c r="C8147" s="1" t="str">
        <f>"4차"</f>
        <v>4차</v>
      </c>
      <c r="D8147" s="1" t="str">
        <f>"9627Y62231"</f>
        <v>9627Y62231</v>
      </c>
      <c r="E8147" s="1" t="s">
        <v>10</v>
      </c>
      <c r="F8147" s="1" t="str">
        <f>"10.12.137.53"</f>
        <v>10.12.137.53</v>
      </c>
      <c r="G8147" s="1" t="str">
        <f>"9627Y622"</f>
        <v>9627Y622</v>
      </c>
      <c r="H8147" s="1" t="str">
        <f>"가좌간 81L11L3"</f>
        <v>가좌간 81L11L3</v>
      </c>
      <c r="I8147" s="1" t="s">
        <v>8</v>
      </c>
      <c r="J8147" s="1" t="str">
        <f>"28/28"</f>
        <v>28/28</v>
      </c>
      <c r="K8147" s="1" t="str">
        <f>"2026-07-29 13:18:02"</f>
        <v>2026-07-29 13:18:02</v>
      </c>
      <c r="L8147" s="1" t="str">
        <f>"2018-04-06 09:27:40"</f>
        <v>2018-04-06 09:27:40</v>
      </c>
      <c r="M8147" s="1" t="s">
        <v>0</v>
      </c>
      <c r="N8147" s="1" t="s">
        <v>38</v>
      </c>
      <c r="O8147" s="1" t="s">
        <v>46</v>
      </c>
    </row>
    <row r="8148" spans="2:15" x14ac:dyDescent="0.3">
      <c r="B8148" s="1" t="s">
        <v>21</v>
      </c>
      <c r="C8148" s="1" t="str">
        <f>"4차"</f>
        <v>4차</v>
      </c>
      <c r="D8148" s="1" t="str">
        <f>"9627Y63144"</f>
        <v>9627Y63144</v>
      </c>
      <c r="E8148" s="1" t="s">
        <v>10</v>
      </c>
      <c r="F8148" s="1" t="str">
        <f>"10.128.77.114"</f>
        <v>10.128.77.114</v>
      </c>
      <c r="G8148" s="1" t="str">
        <f>"9627Y631"</f>
        <v>9627Y631</v>
      </c>
      <c r="H8148" s="1" t="str">
        <f>"홍남간 72R21L4R6"</f>
        <v>홍남간 72R21L4R6</v>
      </c>
      <c r="I8148" s="1" t="s">
        <v>8</v>
      </c>
      <c r="J8148" s="1" t="str">
        <f>"31/31"</f>
        <v>31/31</v>
      </c>
      <c r="K8148" s="1" t="str">
        <f t="shared" ref="K8148:K8162" si="400">"2026-07-29 13:18:11"</f>
        <v>2026-07-29 13:18:11</v>
      </c>
      <c r="L8148" s="1" t="str">
        <f>"2023-10-23 17:36:59"</f>
        <v>2023-10-23 17:36:59</v>
      </c>
      <c r="M8148" s="1" t="s">
        <v>45</v>
      </c>
      <c r="N8148" s="1" t="s">
        <v>38</v>
      </c>
      <c r="O8148" s="1" t="s">
        <v>46</v>
      </c>
    </row>
    <row r="8149" spans="2:15" x14ac:dyDescent="0.3">
      <c r="B8149" s="1" t="s">
        <v>21</v>
      </c>
      <c r="C8149" s="1" t="str">
        <f>"3차"</f>
        <v>3차</v>
      </c>
      <c r="D8149" s="1" t="str">
        <f>"9627Y65139"</f>
        <v>9627Y65139</v>
      </c>
      <c r="E8149" s="1" t="s">
        <v>10</v>
      </c>
      <c r="F8149" s="1" t="str">
        <f>"10.128.113.58"</f>
        <v>10.128.113.58</v>
      </c>
      <c r="G8149" s="1" t="str">
        <f>"9627Y651"</f>
        <v>9627Y651</v>
      </c>
      <c r="H8149" s="1" t="str">
        <f>"홍남간 72R25"</f>
        <v>홍남간 72R25</v>
      </c>
      <c r="I8149" s="1" t="s">
        <v>8</v>
      </c>
      <c r="J8149" s="1" t="str">
        <f>"21/21"</f>
        <v>21/21</v>
      </c>
      <c r="K8149" s="1" t="str">
        <f t="shared" si="400"/>
        <v>2026-07-29 13:18:11</v>
      </c>
      <c r="L8149" s="1" t="str">
        <f>"2018-05-21 12:05:20"</f>
        <v>2018-05-21 12:05:20</v>
      </c>
      <c r="M8149" s="1" t="s">
        <v>45</v>
      </c>
      <c r="N8149" s="1" t="s">
        <v>38</v>
      </c>
      <c r="O8149" s="1" t="s">
        <v>46</v>
      </c>
    </row>
    <row r="8150" spans="2:15" x14ac:dyDescent="0.3">
      <c r="B8150" s="1" t="s">
        <v>21</v>
      </c>
      <c r="C8150" s="1" t="str">
        <f>"3차"</f>
        <v>3차</v>
      </c>
      <c r="D8150" s="1" t="str">
        <f>"9627Y65239"</f>
        <v>9627Y65239</v>
      </c>
      <c r="E8150" s="1" t="s">
        <v>10</v>
      </c>
      <c r="F8150" s="1" t="str">
        <f>"10.128.114.135"</f>
        <v>10.128.114.135</v>
      </c>
      <c r="G8150" s="1" t="str">
        <f>"9627Y652"</f>
        <v>9627Y652</v>
      </c>
      <c r="H8150" s="1" t="str">
        <f>"홍남간 72R24R1"</f>
        <v>홍남간 72R24R1</v>
      </c>
      <c r="I8150" s="1" t="s">
        <v>8</v>
      </c>
      <c r="J8150" s="1" t="str">
        <f>"36/42"</f>
        <v>36/42</v>
      </c>
      <c r="K8150" s="1" t="str">
        <f t="shared" si="400"/>
        <v>2026-07-29 13:18:11</v>
      </c>
      <c r="L8150" s="1" t="str">
        <f>"2018-05-10 15:52:57"</f>
        <v>2018-05-10 15:52:57</v>
      </c>
      <c r="M8150" s="1" t="s">
        <v>45</v>
      </c>
      <c r="N8150" s="1" t="s">
        <v>38</v>
      </c>
      <c r="O8150" s="1" t="s">
        <v>46</v>
      </c>
    </row>
    <row r="8151" spans="2:15" x14ac:dyDescent="0.3">
      <c r="B8151" s="1" t="s">
        <v>21</v>
      </c>
      <c r="C8151" s="1" t="str">
        <f>"4차"</f>
        <v>4차</v>
      </c>
      <c r="D8151" s="1" t="str">
        <f>"9627Y65644"</f>
        <v>9627Y65644</v>
      </c>
      <c r="E8151" s="1" t="s">
        <v>10</v>
      </c>
      <c r="F8151" s="1" t="str">
        <f>"10.11.101.170"</f>
        <v>10.11.101.170</v>
      </c>
      <c r="G8151" s="1" t="str">
        <f>"9627Y656"</f>
        <v>9627Y656</v>
      </c>
      <c r="H8151" s="1" t="str">
        <f>"홍남간 72R23L1"</f>
        <v>홍남간 72R23L1</v>
      </c>
      <c r="I8151" s="1" t="s">
        <v>8</v>
      </c>
      <c r="J8151" s="1" t="str">
        <f>"23/24"</f>
        <v>23/24</v>
      </c>
      <c r="K8151" s="1" t="str">
        <f t="shared" si="400"/>
        <v>2026-07-29 13:18:11</v>
      </c>
      <c r="L8151" s="1" t="str">
        <f>"2020-06-18 14:19:15"</f>
        <v>2020-06-18 14:19:15</v>
      </c>
      <c r="M8151" s="1" t="s">
        <v>2</v>
      </c>
      <c r="N8151" s="1" t="s">
        <v>38</v>
      </c>
      <c r="O8151" s="1" t="s">
        <v>46</v>
      </c>
    </row>
    <row r="8152" spans="2:15" x14ac:dyDescent="0.3">
      <c r="B8152" s="1" t="s">
        <v>21</v>
      </c>
      <c r="C8152" s="1" t="str">
        <f>"3차"</f>
        <v>3차</v>
      </c>
      <c r="D8152" s="1" t="str">
        <f>"9627Y67239"</f>
        <v>9627Y67239</v>
      </c>
      <c r="E8152" s="1" t="s">
        <v>10</v>
      </c>
      <c r="F8152" s="1" t="str">
        <f>"10.128.114.133"</f>
        <v>10.128.114.133</v>
      </c>
      <c r="G8152" s="1" t="str">
        <f>"9627Y672"</f>
        <v>9627Y672</v>
      </c>
      <c r="H8152" s="1" t="str">
        <f>"명지간 25L13"</f>
        <v>명지간 25L13</v>
      </c>
      <c r="I8152" s="1" t="s">
        <v>8</v>
      </c>
      <c r="J8152" s="1" t="str">
        <f>"54/55"</f>
        <v>54/55</v>
      </c>
      <c r="K8152" s="1" t="str">
        <f t="shared" si="400"/>
        <v>2026-07-29 13:18:11</v>
      </c>
      <c r="L8152" s="1" t="str">
        <f>"2018-05-10 15:48:30"</f>
        <v>2018-05-10 15:48:30</v>
      </c>
      <c r="M8152" s="1" t="s">
        <v>45</v>
      </c>
      <c r="N8152" s="1" t="s">
        <v>38</v>
      </c>
      <c r="O8152" s="1" t="s">
        <v>46</v>
      </c>
    </row>
    <row r="8153" spans="2:15" x14ac:dyDescent="0.3">
      <c r="B8153" s="1" t="s">
        <v>21</v>
      </c>
      <c r="C8153" s="1" t="str">
        <f>"1차"</f>
        <v>1차</v>
      </c>
      <c r="D8153" s="1" t="str">
        <f>"9627Y71102"</f>
        <v>9627Y71102</v>
      </c>
      <c r="E8153" s="1" t="s">
        <v>10</v>
      </c>
      <c r="F8153" s="1" t="str">
        <f>"10.128.67.242"</f>
        <v>10.128.67.242</v>
      </c>
      <c r="G8153" s="1" t="str">
        <f>"9627Y711"</f>
        <v>9627Y711</v>
      </c>
      <c r="H8153" s="1" t="str">
        <f>"홍남간 72R21L4R3"</f>
        <v>홍남간 72R21L4R3</v>
      </c>
      <c r="I8153" s="1" t="s">
        <v>8</v>
      </c>
      <c r="J8153" s="1" t="str">
        <f>"57/57"</f>
        <v>57/57</v>
      </c>
      <c r="K8153" s="1" t="str">
        <f t="shared" si="400"/>
        <v>2026-07-29 13:18:11</v>
      </c>
      <c r="L8153" s="1" t="str">
        <f>"2014-11-24 14:56:08"</f>
        <v>2014-11-24 14:56:08</v>
      </c>
      <c r="M8153" s="1" t="s">
        <v>45</v>
      </c>
      <c r="N8153" s="1" t="s">
        <v>38</v>
      </c>
      <c r="O8153" s="1" t="s">
        <v>46</v>
      </c>
    </row>
    <row r="8154" spans="2:15" x14ac:dyDescent="0.3">
      <c r="B8154" s="1" t="s">
        <v>21</v>
      </c>
      <c r="C8154" s="1" t="str">
        <f>"4차"</f>
        <v>4차</v>
      </c>
      <c r="D8154" s="1" t="str">
        <f>"9627Y71342"</f>
        <v>9627Y71342</v>
      </c>
      <c r="E8154" s="1" t="s">
        <v>10</v>
      </c>
      <c r="F8154" s="1" t="str">
        <f>"10.128.33.81"</f>
        <v>10.128.33.81</v>
      </c>
      <c r="G8154" s="1" t="str">
        <f>"9627Y713"</f>
        <v>9627Y713</v>
      </c>
      <c r="H8154" s="1" t="str">
        <f>"가좌간 95L12L7"</f>
        <v>가좌간 95L12L7</v>
      </c>
      <c r="I8154" s="1" t="s">
        <v>8</v>
      </c>
      <c r="J8154" s="1" t="str">
        <f>"65/65"</f>
        <v>65/65</v>
      </c>
      <c r="K8154" s="1" t="str">
        <f t="shared" si="400"/>
        <v>2026-07-29 13:18:11</v>
      </c>
      <c r="L8154" s="1" t="str">
        <f>"2025-01-08 16:59:49"</f>
        <v>2025-01-08 16:59:49</v>
      </c>
      <c r="M8154" s="1" t="s">
        <v>45</v>
      </c>
      <c r="N8154" s="1" t="s">
        <v>38</v>
      </c>
      <c r="O8154" s="1" t="s">
        <v>46</v>
      </c>
    </row>
    <row r="8155" spans="2:15" x14ac:dyDescent="0.3">
      <c r="B8155" s="1" t="s">
        <v>21</v>
      </c>
      <c r="C8155" s="1" t="str">
        <f>"1차"</f>
        <v>1차</v>
      </c>
      <c r="D8155" s="1" t="str">
        <f>"9627Y72100"</f>
        <v>9627Y72100</v>
      </c>
      <c r="E8155" s="1" t="s">
        <v>10</v>
      </c>
      <c r="F8155" s="1" t="str">
        <f>"10.128.67.243"</f>
        <v>10.128.67.243</v>
      </c>
      <c r="G8155" s="1" t="str">
        <f>"9627Y721"</f>
        <v>9627Y721</v>
      </c>
      <c r="H8155" s="1" t="str">
        <f>"홍남간 72R21L4R5"</f>
        <v>홍남간 72R21L4R5</v>
      </c>
      <c r="I8155" s="1" t="s">
        <v>8</v>
      </c>
      <c r="J8155" s="1" t="str">
        <f>"31/31"</f>
        <v>31/31</v>
      </c>
      <c r="K8155" s="1" t="str">
        <f t="shared" si="400"/>
        <v>2026-07-29 13:18:11</v>
      </c>
      <c r="L8155" s="1" t="str">
        <f>"2014-10-08 00:13:41"</f>
        <v>2014-10-08 00:13:41</v>
      </c>
      <c r="M8155" s="1" t="s">
        <v>45</v>
      </c>
      <c r="N8155" s="1" t="s">
        <v>38</v>
      </c>
      <c r="O8155" s="1" t="s">
        <v>46</v>
      </c>
    </row>
    <row r="8156" spans="2:15" x14ac:dyDescent="0.3">
      <c r="B8156" s="1" t="s">
        <v>21</v>
      </c>
      <c r="C8156" s="1" t="str">
        <f>"3차"</f>
        <v>3차</v>
      </c>
      <c r="D8156" s="1" t="str">
        <f>"9627Y76139"</f>
        <v>9627Y76139</v>
      </c>
      <c r="E8156" s="1" t="s">
        <v>10</v>
      </c>
      <c r="F8156" s="1" t="str">
        <f>"10.128.115.115"</f>
        <v>10.128.115.115</v>
      </c>
      <c r="G8156" s="1" t="str">
        <f>"9627Y761"</f>
        <v>9627Y761</v>
      </c>
      <c r="H8156" s="1" t="str">
        <f>"홍남간 72R24R2"</f>
        <v>홍남간 72R24R2</v>
      </c>
      <c r="I8156" s="1" t="s">
        <v>8</v>
      </c>
      <c r="J8156" s="1" t="str">
        <f>"42/42"</f>
        <v>42/42</v>
      </c>
      <c r="K8156" s="1" t="str">
        <f t="shared" si="400"/>
        <v>2026-07-29 13:18:11</v>
      </c>
      <c r="L8156" s="1" t="str">
        <f>"2018-06-22 11:14:10"</f>
        <v>2018-06-22 11:14:10</v>
      </c>
      <c r="M8156" s="1" t="s">
        <v>45</v>
      </c>
      <c r="N8156" s="1" t="s">
        <v>38</v>
      </c>
      <c r="O8156" s="1" t="s">
        <v>46</v>
      </c>
    </row>
    <row r="8157" spans="2:15" x14ac:dyDescent="0.3">
      <c r="B8157" s="1" t="s">
        <v>21</v>
      </c>
      <c r="C8157" s="1" t="str">
        <f>"3차"</f>
        <v>3차</v>
      </c>
      <c r="D8157" s="1" t="str">
        <f>"9627Y76239"</f>
        <v>9627Y76239</v>
      </c>
      <c r="E8157" s="1" t="s">
        <v>10</v>
      </c>
      <c r="F8157" s="1" t="str">
        <f>"10.128.114.134"</f>
        <v>10.128.114.134</v>
      </c>
      <c r="G8157" s="1" t="str">
        <f>"9627Y762"</f>
        <v>9627Y762</v>
      </c>
      <c r="H8157" s="1" t="str">
        <f>"홍남간 72R24R3"</f>
        <v>홍남간 72R24R3</v>
      </c>
      <c r="I8157" s="1" t="s">
        <v>8</v>
      </c>
      <c r="J8157" s="1" t="str">
        <f>"14/14"</f>
        <v>14/14</v>
      </c>
      <c r="K8157" s="1" t="str">
        <f t="shared" si="400"/>
        <v>2026-07-29 13:18:11</v>
      </c>
      <c r="L8157" s="1" t="str">
        <f>"2018-05-10 15:47:27"</f>
        <v>2018-05-10 15:47:27</v>
      </c>
      <c r="M8157" s="1" t="s">
        <v>45</v>
      </c>
      <c r="N8157" s="1" t="s">
        <v>38</v>
      </c>
      <c r="O8157" s="1" t="s">
        <v>46</v>
      </c>
    </row>
    <row r="8158" spans="2:15" x14ac:dyDescent="0.3">
      <c r="B8158" s="1" t="s">
        <v>21</v>
      </c>
      <c r="C8158" s="1" t="str">
        <f>"4차"</f>
        <v>4차</v>
      </c>
      <c r="D8158" s="1" t="str">
        <f>"9627Y77139"</f>
        <v>9627Y77139</v>
      </c>
      <c r="E8158" s="1" t="s">
        <v>10</v>
      </c>
      <c r="F8158" s="1" t="str">
        <f>"10.128.114.131"</f>
        <v>10.128.114.131</v>
      </c>
      <c r="G8158" s="1" t="str">
        <f>"9627Y771"</f>
        <v>9627Y771</v>
      </c>
      <c r="H8158" s="1" t="str">
        <f>"명지간 25L12"</f>
        <v>명지간 25L12</v>
      </c>
      <c r="I8158" s="1" t="s">
        <v>8</v>
      </c>
      <c r="J8158" s="1" t="str">
        <f>"156/174"</f>
        <v>156/174</v>
      </c>
      <c r="K8158" s="1" t="str">
        <f t="shared" si="400"/>
        <v>2026-07-29 13:18:11</v>
      </c>
      <c r="L8158" s="1" t="str">
        <f>"2018-05-10 15:52:43"</f>
        <v>2018-05-10 15:52:43</v>
      </c>
      <c r="M8158" s="1" t="s">
        <v>45</v>
      </c>
      <c r="N8158" s="1" t="s">
        <v>38</v>
      </c>
      <c r="O8158" s="1" t="s">
        <v>46</v>
      </c>
    </row>
    <row r="8159" spans="2:15" x14ac:dyDescent="0.3">
      <c r="B8159" s="1" t="s">
        <v>21</v>
      </c>
      <c r="C8159" s="1" t="str">
        <f>"3차"</f>
        <v>3차</v>
      </c>
      <c r="D8159" s="1" t="str">
        <f>"9627Y78339"</f>
        <v>9627Y78339</v>
      </c>
      <c r="E8159" s="1" t="s">
        <v>10</v>
      </c>
      <c r="F8159" s="1" t="str">
        <f>"10.128.114.132"</f>
        <v>10.128.114.132</v>
      </c>
      <c r="G8159" s="1" t="str">
        <f>"9627Y783"</f>
        <v>9627Y783</v>
      </c>
      <c r="H8159" s="1" t="str">
        <f>"명지간 25L15"</f>
        <v>명지간 25L15</v>
      </c>
      <c r="I8159" s="1" t="s">
        <v>8</v>
      </c>
      <c r="J8159" s="1" t="str">
        <f>"47/47"</f>
        <v>47/47</v>
      </c>
      <c r="K8159" s="1" t="str">
        <f t="shared" si="400"/>
        <v>2026-07-29 13:18:11</v>
      </c>
      <c r="L8159" s="1" t="str">
        <f>"2018-05-10 16:02:27"</f>
        <v>2018-05-10 16:02:27</v>
      </c>
      <c r="M8159" s="1" t="s">
        <v>45</v>
      </c>
      <c r="N8159" s="1" t="s">
        <v>38</v>
      </c>
      <c r="O8159" s="1" t="s">
        <v>46</v>
      </c>
    </row>
    <row r="8160" spans="2:15" x14ac:dyDescent="0.3">
      <c r="B8160" s="1" t="s">
        <v>21</v>
      </c>
      <c r="C8160" s="1" t="str">
        <f>"3차"</f>
        <v>3차</v>
      </c>
      <c r="D8160" s="1" t="str">
        <f>"9627Y79139"</f>
        <v>9627Y79139</v>
      </c>
      <c r="E8160" s="1" t="s">
        <v>10</v>
      </c>
      <c r="F8160" s="1" t="str">
        <f>"10.128.115.116"</f>
        <v>10.128.115.116</v>
      </c>
      <c r="G8160" s="1" t="str">
        <f>"9627Y791"</f>
        <v>9627Y791</v>
      </c>
      <c r="H8160" s="1" t="str">
        <f>"와산간 80L2"</f>
        <v>와산간 80L2</v>
      </c>
      <c r="I8160" s="1" t="s">
        <v>8</v>
      </c>
      <c r="J8160" s="1" t="str">
        <f>"20/20"</f>
        <v>20/20</v>
      </c>
      <c r="K8160" s="1" t="str">
        <f t="shared" si="400"/>
        <v>2026-07-29 13:18:11</v>
      </c>
      <c r="L8160" s="1" t="str">
        <f>"2018-06-22 11:05:09"</f>
        <v>2018-06-22 11:05:09</v>
      </c>
      <c r="M8160" s="1" t="s">
        <v>45</v>
      </c>
      <c r="N8160" s="1" t="s">
        <v>38</v>
      </c>
      <c r="O8160" s="1" t="s">
        <v>46</v>
      </c>
    </row>
    <row r="8161" spans="2:15" x14ac:dyDescent="0.3">
      <c r="B8161" s="1" t="s">
        <v>21</v>
      </c>
      <c r="C8161" s="1" t="str">
        <f>"3차"</f>
        <v>3차</v>
      </c>
      <c r="D8161" s="1" t="str">
        <f>"9627Y79339"</f>
        <v>9627Y79339</v>
      </c>
      <c r="E8161" s="1" t="s">
        <v>10</v>
      </c>
      <c r="F8161" s="1" t="str">
        <f>"10.128.114.130"</f>
        <v>10.128.114.130</v>
      </c>
      <c r="G8161" s="1" t="str">
        <f>"9627Y793"</f>
        <v>9627Y793</v>
      </c>
      <c r="H8161" s="1" t="str">
        <f>"명지간 25L16"</f>
        <v>명지간 25L16</v>
      </c>
      <c r="I8161" s="1" t="s">
        <v>8</v>
      </c>
      <c r="J8161" s="1" t="str">
        <f>"21/21"</f>
        <v>21/21</v>
      </c>
      <c r="K8161" s="1" t="str">
        <f t="shared" si="400"/>
        <v>2026-07-29 13:18:11</v>
      </c>
      <c r="L8161" s="1" t="str">
        <f>"2018-05-10 15:49:11"</f>
        <v>2018-05-10 15:49:11</v>
      </c>
      <c r="M8161" s="1" t="s">
        <v>45</v>
      </c>
      <c r="N8161" s="1" t="s">
        <v>38</v>
      </c>
      <c r="O8161" s="1" t="s">
        <v>46</v>
      </c>
    </row>
    <row r="8162" spans="2:15" x14ac:dyDescent="0.3">
      <c r="B8162" s="1" t="s">
        <v>21</v>
      </c>
      <c r="C8162" s="1" t="str">
        <f>"3차"</f>
        <v>3차</v>
      </c>
      <c r="D8162" s="1" t="str">
        <f>"9627Y80139"</f>
        <v>9627Y80139</v>
      </c>
      <c r="E8162" s="1" t="s">
        <v>10</v>
      </c>
      <c r="F8162" s="1" t="str">
        <f>"10.128.34.26"</f>
        <v>10.128.34.26</v>
      </c>
      <c r="G8162" s="1" t="str">
        <f>"9627Y801"</f>
        <v>9627Y801</v>
      </c>
      <c r="H8162" s="1" t="str">
        <f>"가좌간 95L12L6"</f>
        <v>가좌간 95L12L6</v>
      </c>
      <c r="I8162" s="1" t="s">
        <v>8</v>
      </c>
      <c r="J8162" s="1" t="str">
        <f>"47/47"</f>
        <v>47/47</v>
      </c>
      <c r="K8162" s="1" t="str">
        <f t="shared" si="400"/>
        <v>2026-07-29 13:18:11</v>
      </c>
      <c r="L8162" s="1" t="str">
        <f>"2018-05-21 11:23:36"</f>
        <v>2018-05-21 11:23:36</v>
      </c>
      <c r="M8162" s="1" t="s">
        <v>45</v>
      </c>
      <c r="N8162" s="1" t="s">
        <v>38</v>
      </c>
      <c r="O8162" s="1" t="s">
        <v>46</v>
      </c>
    </row>
    <row r="8163" spans="2:15" x14ac:dyDescent="0.3">
      <c r="B8163" s="1" t="s">
        <v>21</v>
      </c>
      <c r="C8163" s="1" t="str">
        <f>"6차"</f>
        <v>6차</v>
      </c>
      <c r="D8163" s="1" t="str">
        <f>"9627Y8216S"</f>
        <v>9627Y8216S</v>
      </c>
      <c r="E8163" s="1" t="s">
        <v>10</v>
      </c>
      <c r="F8163" s="1" t="str">
        <f>"fde1:103:4:c7f7:0:0:0:2"</f>
        <v>fde1:103:4:c7f7:0:0:0:2</v>
      </c>
      <c r="G8163" s="1" t="str">
        <f>"9627Y821"</f>
        <v>9627Y821</v>
      </c>
      <c r="H8163" s="1" t="str">
        <f>"홍남간 72R21L4R1"</f>
        <v>홍남간 72R21L4R1</v>
      </c>
      <c r="I8163" s="1" t="s">
        <v>15</v>
      </c>
      <c r="J8163" s="1" t="str">
        <f>"46/47"</f>
        <v>46/47</v>
      </c>
      <c r="K8163" s="1" t="str">
        <f>"2026-07-29 14:21:29"</f>
        <v>2026-07-29 14:21:29</v>
      </c>
      <c r="L8163" s="1" t="str">
        <f>"2024-12-10 11:24:00"</f>
        <v>2024-12-10 11:24:00</v>
      </c>
      <c r="M8163" s="1" t="s">
        <v>4</v>
      </c>
      <c r="N8163" s="1" t="s">
        <v>38</v>
      </c>
      <c r="O8163" s="1" t="s">
        <v>46</v>
      </c>
    </row>
    <row r="8164" spans="2:15" x14ac:dyDescent="0.3">
      <c r="B8164" s="1" t="s">
        <v>21</v>
      </c>
      <c r="C8164" s="1" t="s">
        <v>16</v>
      </c>
      <c r="D8164" s="1" t="str">
        <f>"9627Y82242"</f>
        <v>9627Y82242</v>
      </c>
      <c r="E8164" s="1" t="s">
        <v>10</v>
      </c>
      <c r="F8164" s="1" t="str">
        <f>"10.12.132.67"</f>
        <v>10.12.132.67</v>
      </c>
      <c r="G8164" s="1" t="str">
        <f>"9627Y822"</f>
        <v>9627Y822</v>
      </c>
      <c r="H8164" s="1" t="str">
        <f>"홍남간 72R21L4R2"</f>
        <v>홍남간 72R21L4R2</v>
      </c>
      <c r="I8164" s="1" t="s">
        <v>8</v>
      </c>
      <c r="J8164" s="1" t="str">
        <f>"57/60"</f>
        <v>57/60</v>
      </c>
      <c r="K8164" s="1" t="str">
        <f>"2026-07-29 13:18:11"</f>
        <v>2026-07-29 13:18:11</v>
      </c>
      <c r="L8164" s="1" t="str">
        <f>"2024-07-15 15:28:42"</f>
        <v>2024-07-15 15:28:42</v>
      </c>
      <c r="M8164" s="1" t="s">
        <v>0</v>
      </c>
      <c r="N8164" s="1" t="s">
        <v>38</v>
      </c>
      <c r="O8164" s="1" t="s">
        <v>46</v>
      </c>
    </row>
    <row r="8165" spans="2:15" x14ac:dyDescent="0.3">
      <c r="B8165" s="1" t="s">
        <v>21</v>
      </c>
      <c r="C8165" s="1" t="str">
        <f>"1차"</f>
        <v>1차</v>
      </c>
      <c r="D8165" s="1" t="str">
        <f>"9627Y83100"</f>
        <v>9627Y83100</v>
      </c>
      <c r="E8165" s="1" t="s">
        <v>10</v>
      </c>
      <c r="F8165" s="1" t="str">
        <f>"10.128.69.250"</f>
        <v>10.128.69.250</v>
      </c>
      <c r="G8165" s="1" t="str">
        <f>"9627Y831"</f>
        <v>9627Y831</v>
      </c>
      <c r="H8165" s="1" t="str">
        <f>"홍남간 72R21L1"</f>
        <v>홍남간 72R21L1</v>
      </c>
      <c r="I8165" s="1" t="s">
        <v>8</v>
      </c>
      <c r="J8165" s="1" t="str">
        <f>"11/12"</f>
        <v>11/12</v>
      </c>
      <c r="K8165" s="1" t="str">
        <f>"2026-07-29 13:18:11"</f>
        <v>2026-07-29 13:18:11</v>
      </c>
      <c r="L8165" s="1" t="str">
        <f>"2014-10-07 00:13:57"</f>
        <v>2014-10-07 00:13:57</v>
      </c>
      <c r="M8165" s="1" t="s">
        <v>45</v>
      </c>
      <c r="N8165" s="1" t="s">
        <v>38</v>
      </c>
      <c r="O8165" s="1" t="s">
        <v>46</v>
      </c>
    </row>
    <row r="8166" spans="2:15" x14ac:dyDescent="0.3">
      <c r="B8166" s="1" t="s">
        <v>21</v>
      </c>
      <c r="C8166" s="1" t="str">
        <f>"1차"</f>
        <v>1차</v>
      </c>
      <c r="D8166" s="1" t="str">
        <f>"9627Y83201"</f>
        <v>9627Y83201</v>
      </c>
      <c r="E8166" s="1" t="s">
        <v>10</v>
      </c>
      <c r="F8166" s="1" t="str">
        <f>"10.12.129.124"</f>
        <v>10.12.129.124</v>
      </c>
      <c r="G8166" s="1" t="str">
        <f>"9627Y832"</f>
        <v>9627Y832</v>
      </c>
      <c r="H8166" s="1" t="str">
        <f>"홍남간 72R21L3"</f>
        <v>홍남간 72R21L3</v>
      </c>
      <c r="I8166" s="1" t="s">
        <v>8</v>
      </c>
      <c r="J8166" s="1" t="str">
        <f>"37/37"</f>
        <v>37/37</v>
      </c>
      <c r="K8166" s="1" t="str">
        <f>"2026-07-29 13:18:12"</f>
        <v>2026-07-29 13:18:12</v>
      </c>
      <c r="L8166" s="1" t="str">
        <f>"2014-11-13 17:46:50"</f>
        <v>2014-11-13 17:46:50</v>
      </c>
      <c r="M8166" s="1" t="s">
        <v>0</v>
      </c>
      <c r="N8166" s="1" t="s">
        <v>38</v>
      </c>
      <c r="O8166" s="1" t="s">
        <v>46</v>
      </c>
    </row>
    <row r="8167" spans="2:15" x14ac:dyDescent="0.3">
      <c r="B8167" s="1" t="s">
        <v>21</v>
      </c>
      <c r="C8167" s="1" t="str">
        <f>"4차"</f>
        <v>4차</v>
      </c>
      <c r="D8167" s="1" t="str">
        <f>"9627Y85339"</f>
        <v>9627Y85339</v>
      </c>
      <c r="E8167" s="1" t="s">
        <v>10</v>
      </c>
      <c r="F8167" s="1" t="str">
        <f>"10.128.114.148"</f>
        <v>10.128.114.148</v>
      </c>
      <c r="G8167" s="1" t="str">
        <f>"9627Y853"</f>
        <v>9627Y853</v>
      </c>
      <c r="H8167" s="1" t="str">
        <f>"명지간 25L9L3"</f>
        <v>명지간 25L9L3</v>
      </c>
      <c r="I8167" s="1" t="s">
        <v>8</v>
      </c>
      <c r="J8167" s="1" t="str">
        <f>"58/59"</f>
        <v>58/59</v>
      </c>
      <c r="K8167" s="1" t="str">
        <f>"2026-07-29 13:18:11"</f>
        <v>2026-07-29 13:18:11</v>
      </c>
      <c r="L8167" s="1" t="str">
        <f>"2018-06-22 13:45:26"</f>
        <v>2018-06-22 13:45:26</v>
      </c>
      <c r="M8167" s="1" t="s">
        <v>45</v>
      </c>
      <c r="N8167" s="1" t="s">
        <v>38</v>
      </c>
      <c r="O8167" s="1" t="s">
        <v>46</v>
      </c>
    </row>
    <row r="8168" spans="2:15" x14ac:dyDescent="0.3">
      <c r="B8168" s="1" t="s">
        <v>21</v>
      </c>
      <c r="C8168" s="1" t="str">
        <f>"3차"</f>
        <v>3차</v>
      </c>
      <c r="D8168" s="1" t="str">
        <f>"9627Y86139"</f>
        <v>9627Y86139</v>
      </c>
      <c r="E8168" s="1" t="s">
        <v>12</v>
      </c>
      <c r="F8168" s="1" t="str">
        <f>"10.128.114.137"</f>
        <v>10.128.114.137</v>
      </c>
      <c r="G8168" s="1" t="str">
        <f>"9627Y861"</f>
        <v>9627Y861</v>
      </c>
      <c r="H8168" s="1" t="str">
        <f>"명지간 25L11"</f>
        <v>명지간 25L11</v>
      </c>
      <c r="I8168" s="1" t="s">
        <v>8</v>
      </c>
      <c r="J8168" s="1" t="str">
        <f>"0/96"</f>
        <v>0/96</v>
      </c>
      <c r="K8168" s="1" t="str">
        <f>"2026-06-29 07:18:11"</f>
        <v>2026-06-29 07:18:11</v>
      </c>
      <c r="L8168" s="1" t="str">
        <f>"2018-05-10 15:54:11"</f>
        <v>2018-05-10 15:54:11</v>
      </c>
      <c r="M8168" s="1" t="s">
        <v>45</v>
      </c>
      <c r="N8168" s="1" t="s">
        <v>38</v>
      </c>
      <c r="O8168" s="1" t="s">
        <v>46</v>
      </c>
    </row>
    <row r="8169" spans="2:15" x14ac:dyDescent="0.3">
      <c r="B8169" s="1" t="s">
        <v>21</v>
      </c>
      <c r="C8169" s="1" t="str">
        <f>"3차"</f>
        <v>3차</v>
      </c>
      <c r="D8169" s="1" t="str">
        <f>"9627Y90139"</f>
        <v>9627Y90139</v>
      </c>
      <c r="E8169" s="1" t="s">
        <v>10</v>
      </c>
      <c r="F8169" s="1" t="str">
        <f>"10.11.100.130"</f>
        <v>10.11.100.130</v>
      </c>
      <c r="G8169" s="1" t="str">
        <f>"9627Y901"</f>
        <v>9627Y901</v>
      </c>
      <c r="H8169" s="1" t="str">
        <f>"가좌간 95L12L1R4"</f>
        <v>가좌간 95L12L1R4</v>
      </c>
      <c r="I8169" s="1" t="s">
        <v>8</v>
      </c>
      <c r="J8169" s="1" t="str">
        <f>"58/58"</f>
        <v>58/58</v>
      </c>
      <c r="K8169" s="1" t="str">
        <f t="shared" ref="K8169:K8176" si="401">"2026-07-29 13:18:11"</f>
        <v>2026-07-29 13:18:11</v>
      </c>
      <c r="L8169" s="1" t="str">
        <f>"2020-06-15 19:35:03"</f>
        <v>2020-06-15 19:35:03</v>
      </c>
      <c r="M8169" s="1" t="s">
        <v>2</v>
      </c>
      <c r="N8169" s="1" t="s">
        <v>38</v>
      </c>
      <c r="O8169" s="1" t="s">
        <v>46</v>
      </c>
    </row>
    <row r="8170" spans="2:15" x14ac:dyDescent="0.3">
      <c r="B8170" s="1" t="s">
        <v>21</v>
      </c>
      <c r="C8170" s="1" t="str">
        <f>"1차"</f>
        <v>1차</v>
      </c>
      <c r="D8170" s="1" t="str">
        <f>"9627Y91100"</f>
        <v>9627Y91100</v>
      </c>
      <c r="E8170" s="1" t="s">
        <v>10</v>
      </c>
      <c r="F8170" s="1" t="str">
        <f>"10.128.67.250"</f>
        <v>10.128.67.250</v>
      </c>
      <c r="G8170" s="1" t="str">
        <f>"9627Y911"</f>
        <v>9627Y911</v>
      </c>
      <c r="H8170" s="1" t="str">
        <f>"홍남간 72R21L6R1"</f>
        <v>홍남간 72R21L6R1</v>
      </c>
      <c r="I8170" s="1" t="s">
        <v>8</v>
      </c>
      <c r="J8170" s="1" t="str">
        <f>"24/24"</f>
        <v>24/24</v>
      </c>
      <c r="K8170" s="1" t="str">
        <f t="shared" si="401"/>
        <v>2026-07-29 13:18:11</v>
      </c>
      <c r="L8170" s="1" t="str">
        <f>"2014-10-08 00:13:51"</f>
        <v>2014-10-08 00:13:51</v>
      </c>
      <c r="M8170" s="1" t="s">
        <v>45</v>
      </c>
      <c r="N8170" s="1" t="s">
        <v>38</v>
      </c>
      <c r="O8170" s="1" t="s">
        <v>46</v>
      </c>
    </row>
    <row r="8171" spans="2:15" x14ac:dyDescent="0.3">
      <c r="B8171" s="1" t="s">
        <v>21</v>
      </c>
      <c r="C8171" s="1" t="str">
        <f>"3차"</f>
        <v>3차</v>
      </c>
      <c r="D8171" s="1" t="str">
        <f>"9627Y94139"</f>
        <v>9627Y94139</v>
      </c>
      <c r="E8171" s="1" t="s">
        <v>10</v>
      </c>
      <c r="F8171" s="1" t="str">
        <f>"10.128.114.203"</f>
        <v>10.128.114.203</v>
      </c>
      <c r="G8171" s="1" t="str">
        <f>"9627Y941"</f>
        <v>9627Y941</v>
      </c>
      <c r="H8171" s="1" t="str">
        <f>"명지간 17L13L2"</f>
        <v>명지간 17L13L2</v>
      </c>
      <c r="I8171" s="1" t="s">
        <v>8</v>
      </c>
      <c r="J8171" s="1" t="str">
        <f>"51/51"</f>
        <v>51/51</v>
      </c>
      <c r="K8171" s="1" t="str">
        <f t="shared" si="401"/>
        <v>2026-07-29 13:18:11</v>
      </c>
      <c r="L8171" s="1" t="str">
        <f>"2018-05-10 15:56:26"</f>
        <v>2018-05-10 15:56:26</v>
      </c>
      <c r="M8171" s="1" t="s">
        <v>45</v>
      </c>
      <c r="N8171" s="1" t="s">
        <v>38</v>
      </c>
      <c r="O8171" s="1" t="s">
        <v>46</v>
      </c>
    </row>
    <row r="8172" spans="2:15" x14ac:dyDescent="0.3">
      <c r="B8172" s="1" t="s">
        <v>21</v>
      </c>
      <c r="C8172" s="1" t="str">
        <f>"4차"</f>
        <v>4차</v>
      </c>
      <c r="D8172" s="1" t="str">
        <f>"9627Y95239"</f>
        <v>9627Y95239</v>
      </c>
      <c r="E8172" s="1" t="s">
        <v>10</v>
      </c>
      <c r="F8172" s="1" t="str">
        <f>"10.128.114.141"</f>
        <v>10.128.114.141</v>
      </c>
      <c r="G8172" s="1" t="str">
        <f>"9627Y952"</f>
        <v>9627Y952</v>
      </c>
      <c r="H8172" s="1" t="str">
        <f>"명지간 25L9L2"</f>
        <v>명지간 25L9L2</v>
      </c>
      <c r="I8172" s="1" t="s">
        <v>8</v>
      </c>
      <c r="J8172" s="1" t="str">
        <f>"68/68"</f>
        <v>68/68</v>
      </c>
      <c r="K8172" s="1" t="str">
        <f t="shared" si="401"/>
        <v>2026-07-29 13:18:11</v>
      </c>
      <c r="L8172" s="1" t="str">
        <f>"2018-05-10 15:52:11"</f>
        <v>2018-05-10 15:52:11</v>
      </c>
      <c r="M8172" s="1" t="s">
        <v>45</v>
      </c>
      <c r="N8172" s="1" t="s">
        <v>38</v>
      </c>
      <c r="O8172" s="1" t="s">
        <v>46</v>
      </c>
    </row>
    <row r="8173" spans="2:15" x14ac:dyDescent="0.3">
      <c r="B8173" s="1" t="s">
        <v>21</v>
      </c>
      <c r="C8173" s="1" t="str">
        <f>"4차"</f>
        <v>4차</v>
      </c>
      <c r="D8173" s="1" t="str">
        <f>"9627Y95439"</f>
        <v>9627Y95439</v>
      </c>
      <c r="E8173" s="1" t="s">
        <v>10</v>
      </c>
      <c r="F8173" s="1" t="str">
        <f>"10.128.114.142"</f>
        <v>10.128.114.142</v>
      </c>
      <c r="G8173" s="1" t="str">
        <f>"9627Y954"</f>
        <v>9627Y954</v>
      </c>
      <c r="H8173" s="1" t="str">
        <f>"명지간 25L9"</f>
        <v>명지간 25L9</v>
      </c>
      <c r="I8173" s="1" t="s">
        <v>8</v>
      </c>
      <c r="J8173" s="1" t="str">
        <f>"48/49"</f>
        <v>48/49</v>
      </c>
      <c r="K8173" s="1" t="str">
        <f t="shared" si="401"/>
        <v>2026-07-29 13:18:11</v>
      </c>
      <c r="L8173" s="1" t="str">
        <f>"2018-05-10 15:55:26"</f>
        <v>2018-05-10 15:55:26</v>
      </c>
      <c r="M8173" s="1" t="s">
        <v>45</v>
      </c>
      <c r="N8173" s="1" t="s">
        <v>38</v>
      </c>
      <c r="O8173" s="1" t="s">
        <v>46</v>
      </c>
    </row>
    <row r="8174" spans="2:15" x14ac:dyDescent="0.3">
      <c r="B8174" s="1" t="s">
        <v>21</v>
      </c>
      <c r="C8174" s="1" t="str">
        <f>"3차"</f>
        <v>3차</v>
      </c>
      <c r="D8174" s="1" t="str">
        <f>"9627Y97239"</f>
        <v>9627Y97239</v>
      </c>
      <c r="E8174" s="1" t="s">
        <v>10</v>
      </c>
      <c r="F8174" s="1" t="str">
        <f>"10.128.114.138"</f>
        <v>10.128.114.138</v>
      </c>
      <c r="G8174" s="1" t="str">
        <f>"9627Y972"</f>
        <v>9627Y972</v>
      </c>
      <c r="H8174" s="1" t="str">
        <f>"명지간 25L10R1"</f>
        <v>명지간 25L10R1</v>
      </c>
      <c r="I8174" s="1" t="s">
        <v>8</v>
      </c>
      <c r="J8174" s="1" t="str">
        <f>"51/57"</f>
        <v>51/57</v>
      </c>
      <c r="K8174" s="1" t="str">
        <f t="shared" si="401"/>
        <v>2026-07-29 13:18:11</v>
      </c>
      <c r="L8174" s="1" t="str">
        <f>"2018-06-22 12:14:38"</f>
        <v>2018-06-22 12:14:38</v>
      </c>
      <c r="M8174" s="1" t="s">
        <v>45</v>
      </c>
      <c r="N8174" s="1" t="s">
        <v>38</v>
      </c>
      <c r="O8174" s="1" t="s">
        <v>46</v>
      </c>
    </row>
    <row r="8175" spans="2:15" x14ac:dyDescent="0.3">
      <c r="B8175" s="1" t="s">
        <v>21</v>
      </c>
      <c r="C8175" s="1" t="str">
        <f>"3차"</f>
        <v>3차</v>
      </c>
      <c r="D8175" s="1" t="str">
        <f>"9627Y98139"</f>
        <v>9627Y98139</v>
      </c>
      <c r="E8175" s="1" t="s">
        <v>10</v>
      </c>
      <c r="F8175" s="1" t="str">
        <f>"10.128.114.139"</f>
        <v>10.128.114.139</v>
      </c>
      <c r="G8175" s="1" t="str">
        <f>"9627Y981"</f>
        <v>9627Y981</v>
      </c>
      <c r="H8175" s="1" t="str">
        <f>"명지간 25L10R3"</f>
        <v>명지간 25L10R3</v>
      </c>
      <c r="I8175" s="1" t="s">
        <v>8</v>
      </c>
      <c r="J8175" s="1" t="str">
        <f>"24/24"</f>
        <v>24/24</v>
      </c>
      <c r="K8175" s="1" t="str">
        <f t="shared" si="401"/>
        <v>2026-07-29 13:18:11</v>
      </c>
      <c r="L8175" s="1" t="str">
        <f>"2018-05-10 15:51:56"</f>
        <v>2018-05-10 15:51:56</v>
      </c>
      <c r="M8175" s="1" t="s">
        <v>45</v>
      </c>
      <c r="N8175" s="1" t="s">
        <v>38</v>
      </c>
      <c r="O8175" s="1" t="s">
        <v>46</v>
      </c>
    </row>
    <row r="8176" spans="2:15" x14ac:dyDescent="0.3">
      <c r="B8176" s="1" t="s">
        <v>21</v>
      </c>
      <c r="C8176" s="1" t="str">
        <f>"4차"</f>
        <v>4차</v>
      </c>
      <c r="D8176" s="1" t="str">
        <f>"9627Y99139"</f>
        <v>9627Y99139</v>
      </c>
      <c r="E8176" s="1" t="s">
        <v>10</v>
      </c>
      <c r="F8176" s="1" t="str">
        <f>"10.128.114.140"</f>
        <v>10.128.114.140</v>
      </c>
      <c r="G8176" s="1" t="str">
        <f>"9627Y991"</f>
        <v>9627Y991</v>
      </c>
      <c r="H8176" s="1" t="str">
        <f>"명지간 25L10R4"</f>
        <v>명지간 25L10R4</v>
      </c>
      <c r="I8176" s="1" t="s">
        <v>8</v>
      </c>
      <c r="J8176" s="1" t="str">
        <f>"100/100"</f>
        <v>100/100</v>
      </c>
      <c r="K8176" s="1" t="str">
        <f t="shared" si="401"/>
        <v>2026-07-29 13:18:11</v>
      </c>
      <c r="L8176" s="1" t="str">
        <f>"2018-05-10 15:47:41"</f>
        <v>2018-05-10 15:47:41</v>
      </c>
      <c r="M8176" s="1" t="s">
        <v>45</v>
      </c>
      <c r="N8176" s="1" t="s">
        <v>38</v>
      </c>
      <c r="O8176" s="1" t="s">
        <v>46</v>
      </c>
    </row>
    <row r="8177" spans="2:15" x14ac:dyDescent="0.3">
      <c r="B8177" s="1" t="s">
        <v>21</v>
      </c>
      <c r="C8177" s="1" t="str">
        <f>"4차"</f>
        <v>4차</v>
      </c>
      <c r="D8177" s="1" t="str">
        <f>"9627Z01239"</f>
        <v>9627Z01239</v>
      </c>
      <c r="E8177" s="1" t="s">
        <v>10</v>
      </c>
      <c r="F8177" s="1" t="str">
        <f>"10.12.130.152"</f>
        <v>10.12.130.152</v>
      </c>
      <c r="G8177" s="1" t="str">
        <f>"9627Z012"</f>
        <v>9627Z012</v>
      </c>
      <c r="H8177" s="1" t="str">
        <f>"홍남간 72R21L7"</f>
        <v>홍남간 72R21L7</v>
      </c>
      <c r="I8177" s="1" t="s">
        <v>8</v>
      </c>
      <c r="J8177" s="1" t="str">
        <f>"33/36"</f>
        <v>33/36</v>
      </c>
      <c r="K8177" s="1" t="str">
        <f>"2026-07-29 13:18:12"</f>
        <v>2026-07-29 13:18:12</v>
      </c>
      <c r="L8177" s="1" t="str">
        <f>"2020-06-15 19:23:29"</f>
        <v>2020-06-15 19:23:29</v>
      </c>
      <c r="M8177" s="1" t="s">
        <v>0</v>
      </c>
      <c r="N8177" s="1" t="s">
        <v>38</v>
      </c>
      <c r="O8177" s="1" t="s">
        <v>46</v>
      </c>
    </row>
    <row r="8178" spans="2:15" x14ac:dyDescent="0.3">
      <c r="B8178" s="1" t="s">
        <v>21</v>
      </c>
      <c r="C8178" s="1" t="str">
        <f>"1차"</f>
        <v>1차</v>
      </c>
      <c r="D8178" s="1" t="str">
        <f>"9627Z02200"</f>
        <v>9627Z02200</v>
      </c>
      <c r="E8178" s="1" t="s">
        <v>10</v>
      </c>
      <c r="F8178" s="1" t="str">
        <f>"10.128.96.74"</f>
        <v>10.128.96.74</v>
      </c>
      <c r="G8178" s="1" t="str">
        <f>"9627Z022"</f>
        <v>9627Z022</v>
      </c>
      <c r="H8178" s="1" t="str">
        <f>"홍남간 72R16R1"</f>
        <v>홍남간 72R16R1</v>
      </c>
      <c r="I8178" s="1" t="s">
        <v>8</v>
      </c>
      <c r="J8178" s="1" t="str">
        <f>"81/81"</f>
        <v>81/81</v>
      </c>
      <c r="K8178" s="1" t="str">
        <f t="shared" ref="K8178:K8195" si="402">"2026-07-29 13:18:11"</f>
        <v>2026-07-29 13:18:11</v>
      </c>
      <c r="L8178" s="1" t="str">
        <f>"2014-12-03 15:38:48"</f>
        <v>2014-12-03 15:38:48</v>
      </c>
      <c r="M8178" s="1" t="s">
        <v>45</v>
      </c>
      <c r="N8178" s="1" t="s">
        <v>38</v>
      </c>
      <c r="O8178" s="1" t="s">
        <v>46</v>
      </c>
    </row>
    <row r="8179" spans="2:15" x14ac:dyDescent="0.3">
      <c r="B8179" s="1" t="s">
        <v>21</v>
      </c>
      <c r="C8179" s="1" t="str">
        <f>"3차"</f>
        <v>3차</v>
      </c>
      <c r="D8179" s="1" t="str">
        <f>"9627Z02439"</f>
        <v>9627Z02439</v>
      </c>
      <c r="E8179" s="1" t="s">
        <v>10</v>
      </c>
      <c r="F8179" s="1" t="str">
        <f>"10.128.67.251"</f>
        <v>10.128.67.251</v>
      </c>
      <c r="G8179" s="1" t="str">
        <f>"9627Z024"</f>
        <v>9627Z024</v>
      </c>
      <c r="H8179" s="1" t="str">
        <f>"홍남간 72R21L5"</f>
        <v>홍남간 72R21L5</v>
      </c>
      <c r="I8179" s="1" t="s">
        <v>8</v>
      </c>
      <c r="J8179" s="1" t="str">
        <f>"11/11"</f>
        <v>11/11</v>
      </c>
      <c r="K8179" s="1" t="str">
        <f t="shared" si="402"/>
        <v>2026-07-29 13:18:11</v>
      </c>
      <c r="L8179" s="1" t="str">
        <f>"2021-08-02 09:25:11"</f>
        <v>2021-08-02 09:25:11</v>
      </c>
      <c r="M8179" s="1" t="s">
        <v>45</v>
      </c>
      <c r="N8179" s="1" t="s">
        <v>38</v>
      </c>
      <c r="O8179" s="1" t="s">
        <v>46</v>
      </c>
    </row>
    <row r="8180" spans="2:15" x14ac:dyDescent="0.3">
      <c r="B8180" s="1" t="s">
        <v>21</v>
      </c>
      <c r="C8180" s="1" t="str">
        <f>"3차"</f>
        <v>3차</v>
      </c>
      <c r="D8180" s="1" t="str">
        <f>"9627Z04139"</f>
        <v>9627Z04139</v>
      </c>
      <c r="E8180" s="1" t="s">
        <v>10</v>
      </c>
      <c r="F8180" s="1" t="str">
        <f>"10.128.114.204"</f>
        <v>10.128.114.204</v>
      </c>
      <c r="G8180" s="1" t="str">
        <f>"9627Z041"</f>
        <v>9627Z041</v>
      </c>
      <c r="H8180" s="1" t="str">
        <f>"명지간 17L13L1"</f>
        <v>명지간 17L13L1</v>
      </c>
      <c r="I8180" s="1" t="s">
        <v>8</v>
      </c>
      <c r="J8180" s="1" t="str">
        <f>"39/39"</f>
        <v>39/39</v>
      </c>
      <c r="K8180" s="1" t="str">
        <f t="shared" si="402"/>
        <v>2026-07-29 13:18:11</v>
      </c>
      <c r="L8180" s="1" t="str">
        <f>"2018-05-10 15:59:41"</f>
        <v>2018-05-10 15:59:41</v>
      </c>
      <c r="M8180" s="1" t="s">
        <v>45</v>
      </c>
      <c r="N8180" s="1" t="s">
        <v>38</v>
      </c>
      <c r="O8180" s="1" t="s">
        <v>46</v>
      </c>
    </row>
    <row r="8181" spans="2:15" x14ac:dyDescent="0.3">
      <c r="B8181" s="1" t="s">
        <v>21</v>
      </c>
      <c r="C8181" s="1" t="str">
        <f>"3차"</f>
        <v>3차</v>
      </c>
      <c r="D8181" s="1" t="str">
        <f>"9627Z04239"</f>
        <v>9627Z04239</v>
      </c>
      <c r="E8181" s="1" t="s">
        <v>10</v>
      </c>
      <c r="F8181" s="1" t="str">
        <f>"10.128.114.200"</f>
        <v>10.128.114.200</v>
      </c>
      <c r="G8181" s="1" t="str">
        <f>"9627Z042"</f>
        <v>9627Z042</v>
      </c>
      <c r="H8181" s="1" t="str">
        <f>"명지간 17L14L1"</f>
        <v>명지간 17L14L1</v>
      </c>
      <c r="I8181" s="1" t="s">
        <v>8</v>
      </c>
      <c r="J8181" s="1" t="str">
        <f>"44/44"</f>
        <v>44/44</v>
      </c>
      <c r="K8181" s="1" t="str">
        <f t="shared" si="402"/>
        <v>2026-07-29 13:18:11</v>
      </c>
      <c r="L8181" s="1" t="str">
        <f>"2018-05-10 15:59:11"</f>
        <v>2018-05-10 15:59:11</v>
      </c>
      <c r="M8181" s="1" t="s">
        <v>45</v>
      </c>
      <c r="N8181" s="1" t="s">
        <v>38</v>
      </c>
      <c r="O8181" s="1" t="s">
        <v>46</v>
      </c>
    </row>
    <row r="8182" spans="2:15" x14ac:dyDescent="0.3">
      <c r="B8182" s="1" t="s">
        <v>21</v>
      </c>
      <c r="C8182" s="1" t="str">
        <f>"3차"</f>
        <v>3차</v>
      </c>
      <c r="D8182" s="1" t="str">
        <f>"9627Z04339"</f>
        <v>9627Z04339</v>
      </c>
      <c r="E8182" s="1" t="s">
        <v>10</v>
      </c>
      <c r="F8182" s="1" t="str">
        <f>"10.128.114.146"</f>
        <v>10.128.114.146</v>
      </c>
      <c r="G8182" s="1" t="str">
        <f>"9627Z043"</f>
        <v>9627Z043</v>
      </c>
      <c r="H8182" s="1" t="str">
        <f>"명지간 25L9L1L1"</f>
        <v>명지간 25L9L1L1</v>
      </c>
      <c r="I8182" s="1" t="s">
        <v>8</v>
      </c>
      <c r="J8182" s="1" t="str">
        <f>"42/42"</f>
        <v>42/42</v>
      </c>
      <c r="K8182" s="1" t="str">
        <f t="shared" si="402"/>
        <v>2026-07-29 13:18:11</v>
      </c>
      <c r="L8182" s="1" t="str">
        <f>"2018-06-22 13:43:25"</f>
        <v>2018-06-22 13:43:25</v>
      </c>
      <c r="M8182" s="1" t="s">
        <v>45</v>
      </c>
      <c r="N8182" s="1" t="s">
        <v>38</v>
      </c>
      <c r="O8182" s="1" t="s">
        <v>46</v>
      </c>
    </row>
    <row r="8183" spans="2:15" x14ac:dyDescent="0.3">
      <c r="B8183" s="1" t="s">
        <v>21</v>
      </c>
      <c r="C8183" s="1" t="str">
        <f>"3차"</f>
        <v>3차</v>
      </c>
      <c r="D8183" s="1" t="str">
        <f>"9627Z05139"</f>
        <v>9627Z05139</v>
      </c>
      <c r="E8183" s="1" t="s">
        <v>10</v>
      </c>
      <c r="F8183" s="1" t="str">
        <f>"10.128.114.147"</f>
        <v>10.128.114.147</v>
      </c>
      <c r="G8183" s="1" t="str">
        <f>"9627Z051"</f>
        <v>9627Z051</v>
      </c>
      <c r="H8183" s="1" t="str">
        <f>"명지간 25L8"</f>
        <v>명지간 25L8</v>
      </c>
      <c r="I8183" s="1" t="s">
        <v>8</v>
      </c>
      <c r="J8183" s="1" t="str">
        <f>"26/26"</f>
        <v>26/26</v>
      </c>
      <c r="K8183" s="1" t="str">
        <f t="shared" si="402"/>
        <v>2026-07-29 13:18:11</v>
      </c>
      <c r="L8183" s="1" t="str">
        <f>"2018-05-10 15:49:42"</f>
        <v>2018-05-10 15:49:42</v>
      </c>
      <c r="M8183" s="1" t="s">
        <v>45</v>
      </c>
      <c r="N8183" s="1" t="s">
        <v>38</v>
      </c>
      <c r="O8183" s="1" t="s">
        <v>46</v>
      </c>
    </row>
    <row r="8184" spans="2:15" x14ac:dyDescent="0.3">
      <c r="B8184" s="1" t="s">
        <v>21</v>
      </c>
      <c r="C8184" s="1" t="str">
        <f>"4차"</f>
        <v>4차</v>
      </c>
      <c r="D8184" s="1" t="str">
        <f>"9627Z07139"</f>
        <v>9627Z07139</v>
      </c>
      <c r="E8184" s="1" t="str">
        <f>"검침실패(3시간 이상)"</f>
        <v>검침실패(3시간 이상)</v>
      </c>
      <c r="F8184" s="1" t="str">
        <f>"10.128.115.117"</f>
        <v>10.128.115.117</v>
      </c>
      <c r="G8184" s="1" t="str">
        <f>"9627Z071"</f>
        <v>9627Z071</v>
      </c>
      <c r="H8184" s="1" t="str">
        <f>"명지간 25L5R1L2"</f>
        <v>명지간 25L5R1L2</v>
      </c>
      <c r="I8184" s="1" t="s">
        <v>8</v>
      </c>
      <c r="J8184" s="1" t="str">
        <f>"0/91"</f>
        <v>0/91</v>
      </c>
      <c r="K8184" s="1" t="str">
        <f t="shared" si="402"/>
        <v>2026-07-29 13:18:11</v>
      </c>
      <c r="L8184" s="1" t="str">
        <f>"2018-06-21 16:24:56"</f>
        <v>2018-06-21 16:24:56</v>
      </c>
      <c r="M8184" s="1" t="s">
        <v>45</v>
      </c>
      <c r="N8184" s="1" t="s">
        <v>38</v>
      </c>
      <c r="O8184" s="1" t="s">
        <v>46</v>
      </c>
    </row>
    <row r="8185" spans="2:15" x14ac:dyDescent="0.3">
      <c r="B8185" s="1" t="s">
        <v>21</v>
      </c>
      <c r="C8185" s="1" t="str">
        <f>"3차"</f>
        <v>3차</v>
      </c>
      <c r="D8185" s="1" t="str">
        <f>"9627Z07239"</f>
        <v>9627Z07239</v>
      </c>
      <c r="E8185" s="1" t="s">
        <v>10</v>
      </c>
      <c r="F8185" s="1" t="str">
        <f>"10.128.114.150"</f>
        <v>10.128.114.150</v>
      </c>
      <c r="G8185" s="1" t="str">
        <f>"9627Z072"</f>
        <v>9627Z072</v>
      </c>
      <c r="H8185" s="1" t="str">
        <f>"명지간 25L5R2L1"</f>
        <v>명지간 25L5R2L1</v>
      </c>
      <c r="I8185" s="1" t="s">
        <v>8</v>
      </c>
      <c r="J8185" s="1" t="str">
        <f>"48/48"</f>
        <v>48/48</v>
      </c>
      <c r="K8185" s="1" t="str">
        <f t="shared" si="402"/>
        <v>2026-07-29 13:18:11</v>
      </c>
      <c r="L8185" s="1" t="str">
        <f>"2018-06-22 12:19:10"</f>
        <v>2018-06-22 12:19:10</v>
      </c>
      <c r="M8185" s="1" t="s">
        <v>45</v>
      </c>
      <c r="N8185" s="1" t="s">
        <v>38</v>
      </c>
      <c r="O8185" s="1" t="s">
        <v>46</v>
      </c>
    </row>
    <row r="8186" spans="2:15" x14ac:dyDescent="0.3">
      <c r="B8186" s="1" t="s">
        <v>21</v>
      </c>
      <c r="C8186" s="1" t="str">
        <f>"4차"</f>
        <v>4차</v>
      </c>
      <c r="D8186" s="1" t="str">
        <f>"9627Z09439"</f>
        <v>9627Z09439</v>
      </c>
      <c r="E8186" s="1" t="s">
        <v>10</v>
      </c>
      <c r="F8186" s="1" t="str">
        <f>"10.128.67.126"</f>
        <v>10.128.67.126</v>
      </c>
      <c r="G8186" s="1" t="str">
        <f>"9627Z094"</f>
        <v>9627Z094</v>
      </c>
      <c r="H8186" s="1" t="str">
        <f>"명지간 26L10"</f>
        <v>명지간 26L10</v>
      </c>
      <c r="I8186" s="1" t="s">
        <v>8</v>
      </c>
      <c r="J8186" s="1" t="str">
        <f>"23/23"</f>
        <v>23/23</v>
      </c>
      <c r="K8186" s="1" t="str">
        <f t="shared" si="402"/>
        <v>2026-07-29 13:18:11</v>
      </c>
      <c r="L8186" s="1" t="str">
        <f>"2018-01-23 10:36:38"</f>
        <v>2018-01-23 10:36:38</v>
      </c>
      <c r="M8186" s="1" t="s">
        <v>45</v>
      </c>
      <c r="N8186" s="1" t="s">
        <v>38</v>
      </c>
      <c r="O8186" s="1" t="s">
        <v>46</v>
      </c>
    </row>
    <row r="8187" spans="2:15" x14ac:dyDescent="0.3">
      <c r="B8187" s="1" t="s">
        <v>21</v>
      </c>
      <c r="C8187" s="1" t="str">
        <f>"4차"</f>
        <v>4차</v>
      </c>
      <c r="D8187" s="1" t="str">
        <f>"9627Z14139"</f>
        <v>9627Z14139</v>
      </c>
      <c r="E8187" s="1" t="s">
        <v>10</v>
      </c>
      <c r="F8187" s="1" t="str">
        <f>"10.128.114.202"</f>
        <v>10.128.114.202</v>
      </c>
      <c r="G8187" s="1" t="str">
        <f>"9627Z141"</f>
        <v>9627Z141</v>
      </c>
      <c r="H8187" s="1" t="str">
        <f>"명지간 17L15"</f>
        <v>명지간 17L15</v>
      </c>
      <c r="I8187" s="1" t="s">
        <v>8</v>
      </c>
      <c r="J8187" s="1" t="str">
        <f>"49/63"</f>
        <v>49/63</v>
      </c>
      <c r="K8187" s="1" t="str">
        <f t="shared" si="402"/>
        <v>2026-07-29 13:18:11</v>
      </c>
      <c r="L8187" s="1" t="str">
        <f>"2018-05-10 16:00:11"</f>
        <v>2018-05-10 16:00:11</v>
      </c>
      <c r="M8187" s="1" t="s">
        <v>45</v>
      </c>
      <c r="N8187" s="1" t="s">
        <v>38</v>
      </c>
      <c r="O8187" s="1" t="s">
        <v>46</v>
      </c>
    </row>
    <row r="8188" spans="2:15" x14ac:dyDescent="0.3">
      <c r="B8188" s="1" t="s">
        <v>21</v>
      </c>
      <c r="C8188" s="1" t="str">
        <f>"3차"</f>
        <v>3차</v>
      </c>
      <c r="D8188" s="1" t="str">
        <f>"9627Z14339"</f>
        <v>9627Z14339</v>
      </c>
      <c r="E8188" s="1" t="s">
        <v>10</v>
      </c>
      <c r="F8188" s="1" t="str">
        <f>"10.128.114.201"</f>
        <v>10.128.114.201</v>
      </c>
      <c r="G8188" s="1" t="str">
        <f>"9627Z143"</f>
        <v>9627Z143</v>
      </c>
      <c r="H8188" s="1" t="str">
        <f>"명지간 17L13"</f>
        <v>명지간 17L13</v>
      </c>
      <c r="I8188" s="1" t="s">
        <v>8</v>
      </c>
      <c r="J8188" s="1" t="str">
        <f>"20/21"</f>
        <v>20/21</v>
      </c>
      <c r="K8188" s="1" t="str">
        <f t="shared" si="402"/>
        <v>2026-07-29 13:18:11</v>
      </c>
      <c r="L8188" s="1" t="str">
        <f>"2018-05-22 10:56:09"</f>
        <v>2018-05-22 10:56:09</v>
      </c>
      <c r="M8188" s="1" t="s">
        <v>45</v>
      </c>
      <c r="N8188" s="1" t="s">
        <v>38</v>
      </c>
      <c r="O8188" s="1" t="s">
        <v>46</v>
      </c>
    </row>
    <row r="8189" spans="2:15" x14ac:dyDescent="0.3">
      <c r="B8189" s="1" t="s">
        <v>21</v>
      </c>
      <c r="C8189" s="1" t="str">
        <f>"4차"</f>
        <v>4차</v>
      </c>
      <c r="D8189" s="1" t="str">
        <f>"9627Z16339"</f>
        <v>9627Z16339</v>
      </c>
      <c r="E8189" s="1" t="s">
        <v>10</v>
      </c>
      <c r="F8189" s="1" t="str">
        <f>"10.128.114.149"</f>
        <v>10.128.114.149</v>
      </c>
      <c r="G8189" s="1" t="str">
        <f>"9627Z163"</f>
        <v>9627Z163</v>
      </c>
      <c r="H8189" s="1" t="str">
        <f>"명지간 25L6"</f>
        <v>명지간 25L6</v>
      </c>
      <c r="I8189" s="1" t="s">
        <v>8</v>
      </c>
      <c r="J8189" s="1" t="str">
        <f>"78/79"</f>
        <v>78/79</v>
      </c>
      <c r="K8189" s="1" t="str">
        <f t="shared" si="402"/>
        <v>2026-07-29 13:18:11</v>
      </c>
      <c r="L8189" s="1" t="str">
        <f>"2018-06-22 12:45:57"</f>
        <v>2018-06-22 12:45:57</v>
      </c>
      <c r="M8189" s="1" t="s">
        <v>45</v>
      </c>
      <c r="N8189" s="1" t="s">
        <v>38</v>
      </c>
      <c r="O8189" s="1" t="s">
        <v>46</v>
      </c>
    </row>
    <row r="8190" spans="2:15" x14ac:dyDescent="0.3">
      <c r="B8190" s="1" t="s">
        <v>21</v>
      </c>
      <c r="C8190" s="1" t="str">
        <f>"3차"</f>
        <v>3차</v>
      </c>
      <c r="D8190" s="1" t="str">
        <f>"9627Z17139"</f>
        <v>9627Z17139</v>
      </c>
      <c r="E8190" s="1" t="s">
        <v>10</v>
      </c>
      <c r="F8190" s="1" t="str">
        <f>"10.128.114.151"</f>
        <v>10.128.114.151</v>
      </c>
      <c r="G8190" s="1" t="str">
        <f>"9627Z171"</f>
        <v>9627Z171</v>
      </c>
      <c r="H8190" s="1" t="str">
        <f>"명지간 25L5R2"</f>
        <v>명지간 25L5R2</v>
      </c>
      <c r="I8190" s="1" t="s">
        <v>8</v>
      </c>
      <c r="J8190" s="1" t="str">
        <f>"36/36"</f>
        <v>36/36</v>
      </c>
      <c r="K8190" s="1" t="str">
        <f t="shared" si="402"/>
        <v>2026-07-29 13:18:11</v>
      </c>
      <c r="L8190" s="1" t="str">
        <f>"2018-06-04 16:27:37"</f>
        <v>2018-06-04 16:27:37</v>
      </c>
      <c r="M8190" s="1" t="s">
        <v>45</v>
      </c>
      <c r="N8190" s="1" t="s">
        <v>38</v>
      </c>
      <c r="O8190" s="1" t="s">
        <v>46</v>
      </c>
    </row>
    <row r="8191" spans="2:15" x14ac:dyDescent="0.3">
      <c r="B8191" s="1" t="s">
        <v>21</v>
      </c>
      <c r="C8191" s="1" t="str">
        <f>"3차"</f>
        <v>3차</v>
      </c>
      <c r="D8191" s="1" t="str">
        <f>"9627Z18239"</f>
        <v>9627Z18239</v>
      </c>
      <c r="E8191" s="1" t="s">
        <v>10</v>
      </c>
      <c r="F8191" s="1" t="str">
        <f>"10.128.114.152"</f>
        <v>10.128.114.152</v>
      </c>
      <c r="G8191" s="1" t="str">
        <f>"9627Z182"</f>
        <v>9627Z182</v>
      </c>
      <c r="H8191" s="1" t="str">
        <f>"명지간 25L5R2L2"</f>
        <v>명지간 25L5R2L2</v>
      </c>
      <c r="I8191" s="1" t="s">
        <v>8</v>
      </c>
      <c r="J8191" s="1" t="str">
        <f>"33/33"</f>
        <v>33/33</v>
      </c>
      <c r="K8191" s="1" t="str">
        <f t="shared" si="402"/>
        <v>2026-07-29 13:18:11</v>
      </c>
      <c r="L8191" s="1" t="str">
        <f>"2018-05-10 15:49:40"</f>
        <v>2018-05-10 15:49:40</v>
      </c>
      <c r="M8191" s="1" t="s">
        <v>45</v>
      </c>
      <c r="N8191" s="1" t="s">
        <v>38</v>
      </c>
      <c r="O8191" s="1" t="s">
        <v>46</v>
      </c>
    </row>
    <row r="8192" spans="2:15" x14ac:dyDescent="0.3">
      <c r="B8192" s="1" t="s">
        <v>21</v>
      </c>
      <c r="C8192" s="1" t="str">
        <f>"4차"</f>
        <v>4차</v>
      </c>
      <c r="D8192" s="1" t="str">
        <f>"9627Z19139"</f>
        <v>9627Z19139</v>
      </c>
      <c r="E8192" s="1" t="s">
        <v>10</v>
      </c>
      <c r="F8192" s="1" t="str">
        <f>"10.128.67.125"</f>
        <v>10.128.67.125</v>
      </c>
      <c r="G8192" s="1" t="str">
        <f>"9627Z191"</f>
        <v>9627Z191</v>
      </c>
      <c r="H8192" s="1" t="str">
        <f>"명지간 26L8"</f>
        <v>명지간 26L8</v>
      </c>
      <c r="I8192" s="1" t="s">
        <v>8</v>
      </c>
      <c r="J8192" s="1" t="str">
        <f>"45/45"</f>
        <v>45/45</v>
      </c>
      <c r="K8192" s="1" t="str">
        <f t="shared" si="402"/>
        <v>2026-07-29 13:18:11</v>
      </c>
      <c r="L8192" s="1" t="str">
        <f>"2018-01-23 10:53:54"</f>
        <v>2018-01-23 10:53:54</v>
      </c>
      <c r="M8192" s="1" t="s">
        <v>45</v>
      </c>
      <c r="N8192" s="1" t="s">
        <v>38</v>
      </c>
      <c r="O8192" s="1" t="s">
        <v>46</v>
      </c>
    </row>
    <row r="8193" spans="2:15" x14ac:dyDescent="0.3">
      <c r="B8193" s="1" t="s">
        <v>21</v>
      </c>
      <c r="C8193" s="1" t="str">
        <f>"4차"</f>
        <v>4차</v>
      </c>
      <c r="D8193" s="1" t="str">
        <f>"9627Z23339"</f>
        <v>9627Z23339</v>
      </c>
      <c r="E8193" s="1" t="s">
        <v>10</v>
      </c>
      <c r="F8193" s="1" t="str">
        <f>"10.128.114.189"</f>
        <v>10.128.114.189</v>
      </c>
      <c r="G8193" s="1" t="str">
        <f>"9627Z233"</f>
        <v>9627Z233</v>
      </c>
      <c r="H8193" s="1" t="str">
        <f>"명지간 17L10"</f>
        <v>명지간 17L10</v>
      </c>
      <c r="I8193" s="1" t="s">
        <v>8</v>
      </c>
      <c r="J8193" s="1" t="str">
        <f>"72/80"</f>
        <v>72/80</v>
      </c>
      <c r="K8193" s="1" t="str">
        <f t="shared" si="402"/>
        <v>2026-07-29 13:18:11</v>
      </c>
      <c r="L8193" s="1" t="str">
        <f>"2018-05-22 11:23:39"</f>
        <v>2018-05-22 11:23:39</v>
      </c>
      <c r="M8193" s="1" t="s">
        <v>45</v>
      </c>
      <c r="N8193" s="1" t="s">
        <v>38</v>
      </c>
      <c r="O8193" s="1" t="s">
        <v>46</v>
      </c>
    </row>
    <row r="8194" spans="2:15" x14ac:dyDescent="0.3">
      <c r="B8194" s="1" t="s">
        <v>21</v>
      </c>
      <c r="C8194" s="1" t="str">
        <f>"3차"</f>
        <v>3차</v>
      </c>
      <c r="D8194" s="1" t="str">
        <f>"9627Z24239"</f>
        <v>9627Z24239</v>
      </c>
      <c r="E8194" s="1" t="s">
        <v>10</v>
      </c>
      <c r="F8194" s="1" t="str">
        <f>"10.128.114.162"</f>
        <v>10.128.114.162</v>
      </c>
      <c r="G8194" s="1" t="str">
        <f>"9627Z242"</f>
        <v>9627Z242</v>
      </c>
      <c r="H8194" s="1" t="str">
        <f>"명지간 17L12R1"</f>
        <v>명지간 17L12R1</v>
      </c>
      <c r="I8194" s="1" t="s">
        <v>8</v>
      </c>
      <c r="J8194" s="1" t="str">
        <f>"60/60"</f>
        <v>60/60</v>
      </c>
      <c r="K8194" s="1" t="str">
        <f t="shared" si="402"/>
        <v>2026-07-29 13:18:11</v>
      </c>
      <c r="L8194" s="1" t="str">
        <f>"2018-06-04 16:19:08"</f>
        <v>2018-06-04 16:19:08</v>
      </c>
      <c r="M8194" s="1" t="s">
        <v>45</v>
      </c>
      <c r="N8194" s="1" t="s">
        <v>38</v>
      </c>
      <c r="O8194" s="1" t="s">
        <v>46</v>
      </c>
    </row>
    <row r="8195" spans="2:15" x14ac:dyDescent="0.3">
      <c r="B8195" s="1" t="s">
        <v>21</v>
      </c>
      <c r="C8195" s="1" t="str">
        <f>"3차"</f>
        <v>3차</v>
      </c>
      <c r="D8195" s="1" t="str">
        <f>"9627Z25139"</f>
        <v>9627Z25139</v>
      </c>
      <c r="E8195" s="1" t="s">
        <v>10</v>
      </c>
      <c r="F8195" s="1" t="str">
        <f>"10.128.115.98"</f>
        <v>10.128.115.98</v>
      </c>
      <c r="G8195" s="1" t="str">
        <f>"9627Z251"</f>
        <v>9627Z251</v>
      </c>
      <c r="H8195" s="1" t="str">
        <f>"명지간 25L5L2"</f>
        <v>명지간 25L5L2</v>
      </c>
      <c r="I8195" s="1" t="s">
        <v>8</v>
      </c>
      <c r="J8195" s="1" t="str">
        <f>"52/52"</f>
        <v>52/52</v>
      </c>
      <c r="K8195" s="1" t="str">
        <f t="shared" si="402"/>
        <v>2026-07-29 13:18:11</v>
      </c>
      <c r="L8195" s="1" t="str">
        <f>"2018-06-21 16:31:41"</f>
        <v>2018-06-21 16:31:41</v>
      </c>
      <c r="M8195" s="1" t="s">
        <v>45</v>
      </c>
      <c r="N8195" s="1" t="s">
        <v>38</v>
      </c>
      <c r="O8195" s="1" t="s">
        <v>46</v>
      </c>
    </row>
    <row r="8196" spans="2:15" x14ac:dyDescent="0.3">
      <c r="B8196" s="1" t="s">
        <v>21</v>
      </c>
      <c r="C8196" s="1" t="str">
        <f>"3차"</f>
        <v>3차</v>
      </c>
      <c r="D8196" s="1" t="str">
        <f>"9627Z26139"</f>
        <v>9627Z26139</v>
      </c>
      <c r="E8196" s="1" t="s">
        <v>10</v>
      </c>
      <c r="F8196" s="1" t="str">
        <f>"10.128.114.155"</f>
        <v>10.128.114.155</v>
      </c>
      <c r="G8196" s="1" t="str">
        <f>"9627Z261"</f>
        <v>9627Z261</v>
      </c>
      <c r="H8196" s="1" t="str">
        <f>"명지간 25L4"</f>
        <v>명지간 25L4</v>
      </c>
      <c r="I8196" s="1" t="s">
        <v>8</v>
      </c>
      <c r="J8196" s="1" t="str">
        <f>"53/53"</f>
        <v>53/53</v>
      </c>
      <c r="K8196" s="1" t="str">
        <f t="shared" ref="K8196:K8201" si="403">"2026-07-29 13:18:10"</f>
        <v>2026-07-29 13:18:10</v>
      </c>
      <c r="L8196" s="1" t="str">
        <f>"2018-06-22 13:35:25"</f>
        <v>2018-06-22 13:35:25</v>
      </c>
      <c r="M8196" s="1" t="s">
        <v>45</v>
      </c>
      <c r="N8196" s="1" t="s">
        <v>38</v>
      </c>
      <c r="O8196" s="1" t="s">
        <v>46</v>
      </c>
    </row>
    <row r="8197" spans="2:15" x14ac:dyDescent="0.3">
      <c r="B8197" s="1" t="s">
        <v>21</v>
      </c>
      <c r="C8197" s="1" t="str">
        <f>"4차"</f>
        <v>4차</v>
      </c>
      <c r="D8197" s="1" t="str">
        <f>"9627Z26239"</f>
        <v>9627Z26239</v>
      </c>
      <c r="E8197" s="1" t="s">
        <v>10</v>
      </c>
      <c r="F8197" s="1" t="str">
        <f>"10.128.115.99"</f>
        <v>10.128.115.99</v>
      </c>
      <c r="G8197" s="1" t="str">
        <f>"9627Z262"</f>
        <v>9627Z262</v>
      </c>
      <c r="H8197" s="1" t="str">
        <f>"명지간 25L5L1L1"</f>
        <v>명지간 25L5L1L1</v>
      </c>
      <c r="I8197" s="1" t="s">
        <v>8</v>
      </c>
      <c r="J8197" s="1" t="str">
        <f>"27/27"</f>
        <v>27/27</v>
      </c>
      <c r="K8197" s="1" t="str">
        <f t="shared" si="403"/>
        <v>2026-07-29 13:18:10</v>
      </c>
      <c r="L8197" s="1" t="str">
        <f>"2018-06-21 16:18:28"</f>
        <v>2018-06-21 16:18:28</v>
      </c>
      <c r="M8197" s="1" t="s">
        <v>45</v>
      </c>
      <c r="N8197" s="1" t="s">
        <v>38</v>
      </c>
      <c r="O8197" s="1" t="s">
        <v>46</v>
      </c>
    </row>
    <row r="8198" spans="2:15" x14ac:dyDescent="0.3">
      <c r="B8198" s="1" t="s">
        <v>21</v>
      </c>
      <c r="C8198" s="1" t="str">
        <f>"3차"</f>
        <v>3차</v>
      </c>
      <c r="D8198" s="1" t="str">
        <f>"9627Z27139"</f>
        <v>9627Z27139</v>
      </c>
      <c r="E8198" s="1" t="s">
        <v>10</v>
      </c>
      <c r="F8198" s="1" t="str">
        <f>"10.128.114.153"</f>
        <v>10.128.114.153</v>
      </c>
      <c r="G8198" s="1" t="str">
        <f>"9627Z271"</f>
        <v>9627Z271</v>
      </c>
      <c r="H8198" s="1" t="str">
        <f>"명지간 25L5R4"</f>
        <v>명지간 25L5R4</v>
      </c>
      <c r="I8198" s="1" t="s">
        <v>8</v>
      </c>
      <c r="J8198" s="1" t="str">
        <f>"71/71"</f>
        <v>71/71</v>
      </c>
      <c r="K8198" s="1" t="str">
        <f t="shared" si="403"/>
        <v>2026-07-29 13:18:10</v>
      </c>
      <c r="L8198" s="1" t="str">
        <f>"2018-06-22 12:40:54"</f>
        <v>2018-06-22 12:40:54</v>
      </c>
      <c r="M8198" s="1" t="s">
        <v>45</v>
      </c>
      <c r="N8198" s="1" t="s">
        <v>38</v>
      </c>
      <c r="O8198" s="1" t="s">
        <v>46</v>
      </c>
    </row>
    <row r="8199" spans="2:15" x14ac:dyDescent="0.3">
      <c r="B8199" s="1" t="s">
        <v>21</v>
      </c>
      <c r="C8199" s="1" t="str">
        <f>"3차"</f>
        <v>3차</v>
      </c>
      <c r="D8199" s="1" t="str">
        <f>"9627Z28139"</f>
        <v>9627Z28139</v>
      </c>
      <c r="E8199" s="1" t="s">
        <v>10</v>
      </c>
      <c r="F8199" s="1" t="str">
        <f>"10.128.114.154"</f>
        <v>10.128.114.154</v>
      </c>
      <c r="G8199" s="1" t="str">
        <f>"9627Z281"</f>
        <v>9627Z281</v>
      </c>
      <c r="H8199" s="1" t="str">
        <f>"명지간 25L5R2L4"</f>
        <v>명지간 25L5R2L4</v>
      </c>
      <c r="I8199" s="1" t="s">
        <v>8</v>
      </c>
      <c r="J8199" s="1" t="str">
        <f>"87/87"</f>
        <v>87/87</v>
      </c>
      <c r="K8199" s="1" t="str">
        <f t="shared" si="403"/>
        <v>2026-07-29 13:18:10</v>
      </c>
      <c r="L8199" s="1" t="str">
        <f>"2018-06-22 12:29:24"</f>
        <v>2018-06-22 12:29:24</v>
      </c>
      <c r="M8199" s="1" t="s">
        <v>45</v>
      </c>
      <c r="N8199" s="1" t="s">
        <v>38</v>
      </c>
      <c r="O8199" s="1" t="s">
        <v>46</v>
      </c>
    </row>
    <row r="8200" spans="2:15" x14ac:dyDescent="0.3">
      <c r="B8200" s="1" t="s">
        <v>21</v>
      </c>
      <c r="C8200" s="1" t="str">
        <f>"3차"</f>
        <v>3차</v>
      </c>
      <c r="D8200" s="1" t="str">
        <f>"9627Z29139"</f>
        <v>9627Z29139</v>
      </c>
      <c r="E8200" s="1" t="s">
        <v>10</v>
      </c>
      <c r="F8200" s="1" t="str">
        <f>"10.12.128.109"</f>
        <v>10.12.128.109</v>
      </c>
      <c r="G8200" s="1" t="str">
        <f>"9627Z291"</f>
        <v>9627Z291</v>
      </c>
      <c r="H8200" s="1" t="str">
        <f>"명지간 26L6"</f>
        <v>명지간 26L6</v>
      </c>
      <c r="I8200" s="1" t="s">
        <v>8</v>
      </c>
      <c r="J8200" s="1" t="str">
        <f>"15/15"</f>
        <v>15/15</v>
      </c>
      <c r="K8200" s="1" t="str">
        <f t="shared" si="403"/>
        <v>2026-07-29 13:18:10</v>
      </c>
      <c r="L8200" s="1" t="str">
        <f>"2018-03-29 09:08:12"</f>
        <v>2018-03-29 09:08:12</v>
      </c>
      <c r="M8200" s="1" t="s">
        <v>0</v>
      </c>
      <c r="N8200" s="1" t="s">
        <v>38</v>
      </c>
      <c r="O8200" s="1" t="s">
        <v>46</v>
      </c>
    </row>
    <row r="8201" spans="2:15" x14ac:dyDescent="0.3">
      <c r="B8201" s="1" t="s">
        <v>21</v>
      </c>
      <c r="C8201" s="1" t="str">
        <f>"3차"</f>
        <v>3차</v>
      </c>
      <c r="D8201" s="1" t="str">
        <f>"9627Z33239"</f>
        <v>9627Z33239</v>
      </c>
      <c r="E8201" s="1" t="s">
        <v>10</v>
      </c>
      <c r="F8201" s="1" t="str">
        <f>"10.128.115.101"</f>
        <v>10.128.115.101</v>
      </c>
      <c r="G8201" s="1" t="str">
        <f>"9627Z332"</f>
        <v>9627Z332</v>
      </c>
      <c r="H8201" s="1" t="str">
        <f>"명지간 17L11L2"</f>
        <v>명지간 17L11L2</v>
      </c>
      <c r="I8201" s="1" t="s">
        <v>8</v>
      </c>
      <c r="J8201" s="1" t="str">
        <f>"1/1"</f>
        <v>1/1</v>
      </c>
      <c r="K8201" s="1" t="str">
        <f t="shared" si="403"/>
        <v>2026-07-29 13:18:10</v>
      </c>
      <c r="L8201" s="1" t="str">
        <f>"2018-06-21 15:48:26"</f>
        <v>2018-06-21 15:48:26</v>
      </c>
      <c r="M8201" s="1" t="s">
        <v>45</v>
      </c>
      <c r="N8201" s="1" t="s">
        <v>38</v>
      </c>
      <c r="O8201" s="1" t="s">
        <v>46</v>
      </c>
    </row>
    <row r="8202" spans="2:15" x14ac:dyDescent="0.3">
      <c r="B8202" s="1" t="s">
        <v>21</v>
      </c>
      <c r="C8202" s="1" t="str">
        <f>"3차"</f>
        <v>3차</v>
      </c>
      <c r="D8202" s="1" t="str">
        <f>"9627Z34139"</f>
        <v>9627Z34139</v>
      </c>
      <c r="E8202" s="1" t="s">
        <v>10</v>
      </c>
      <c r="F8202" s="1" t="str">
        <f>"10.128.114.187"</f>
        <v>10.128.114.187</v>
      </c>
      <c r="G8202" s="1" t="str">
        <f>"9627Z341"</f>
        <v>9627Z341</v>
      </c>
      <c r="H8202" s="1" t="str">
        <f>"명지간 17L9"</f>
        <v>명지간 17L9</v>
      </c>
      <c r="I8202" s="1" t="s">
        <v>8</v>
      </c>
      <c r="J8202" s="1" t="str">
        <f>"2/29"</f>
        <v>2/29</v>
      </c>
      <c r="K8202" s="1" t="str">
        <f>"2026-07-20 18:22:43"</f>
        <v>2026-07-20 18:22:43</v>
      </c>
      <c r="L8202" s="1" t="str">
        <f>"2018-05-22 10:30:09"</f>
        <v>2018-05-22 10:30:09</v>
      </c>
      <c r="M8202" s="1" t="s">
        <v>45</v>
      </c>
      <c r="N8202" s="1" t="s">
        <v>38</v>
      </c>
      <c r="O8202" s="1" t="s">
        <v>46</v>
      </c>
    </row>
    <row r="8203" spans="2:15" x14ac:dyDescent="0.3">
      <c r="B8203" s="1" t="s">
        <v>21</v>
      </c>
      <c r="C8203" s="1" t="str">
        <f>"4차"</f>
        <v>4차</v>
      </c>
      <c r="D8203" s="1" t="str">
        <f>"9627Z35239"</f>
        <v>9627Z35239</v>
      </c>
      <c r="E8203" s="1" t="s">
        <v>10</v>
      </c>
      <c r="F8203" s="1" t="str">
        <f>"10.128.115.119"</f>
        <v>10.128.115.119</v>
      </c>
      <c r="G8203" s="1" t="str">
        <f>"9627Z352"</f>
        <v>9627Z352</v>
      </c>
      <c r="H8203" s="1" t="str">
        <f>"명지간 17L18"</f>
        <v>명지간 17L18</v>
      </c>
      <c r="I8203" s="1" t="s">
        <v>8</v>
      </c>
      <c r="J8203" s="1" t="str">
        <f>"117/119"</f>
        <v>117/119</v>
      </c>
      <c r="K8203" s="1" t="str">
        <f t="shared" ref="K8203:K8216" si="404">"2026-07-29 13:18:10"</f>
        <v>2026-07-29 13:18:10</v>
      </c>
      <c r="L8203" s="1" t="str">
        <f>"2018-06-21 17:05:28"</f>
        <v>2018-06-21 17:05:28</v>
      </c>
      <c r="M8203" s="1" t="s">
        <v>45</v>
      </c>
      <c r="N8203" s="1" t="s">
        <v>38</v>
      </c>
      <c r="O8203" s="1" t="s">
        <v>46</v>
      </c>
    </row>
    <row r="8204" spans="2:15" x14ac:dyDescent="0.3">
      <c r="B8204" s="1" t="s">
        <v>21</v>
      </c>
      <c r="C8204" s="1" t="str">
        <f>"4차"</f>
        <v>4차</v>
      </c>
      <c r="D8204" s="1" t="str">
        <f>"9627Z37139"</f>
        <v>9627Z37139</v>
      </c>
      <c r="E8204" s="1" t="s">
        <v>10</v>
      </c>
      <c r="F8204" s="1" t="str">
        <f>"10.128.114.164"</f>
        <v>10.128.114.164</v>
      </c>
      <c r="G8204" s="1" t="str">
        <f>"9627Z371"</f>
        <v>9627Z371</v>
      </c>
      <c r="H8204" s="1" t="str">
        <f>"명지간 25L3"</f>
        <v>명지간 25L3</v>
      </c>
      <c r="I8204" s="1" t="s">
        <v>8</v>
      </c>
      <c r="J8204" s="1" t="str">
        <f>"76/76"</f>
        <v>76/76</v>
      </c>
      <c r="K8204" s="1" t="str">
        <f t="shared" si="404"/>
        <v>2026-07-29 13:18:10</v>
      </c>
      <c r="L8204" s="1" t="str">
        <f>"2018-05-10 16:02:56"</f>
        <v>2018-05-10 16:02:56</v>
      </c>
      <c r="M8204" s="1" t="s">
        <v>45</v>
      </c>
      <c r="N8204" s="1" t="s">
        <v>38</v>
      </c>
      <c r="O8204" s="1" t="s">
        <v>46</v>
      </c>
    </row>
    <row r="8205" spans="2:15" x14ac:dyDescent="0.3">
      <c r="B8205" s="1" t="s">
        <v>21</v>
      </c>
      <c r="C8205" s="1" t="str">
        <f>"3차"</f>
        <v>3차</v>
      </c>
      <c r="D8205" s="1" t="str">
        <f>"9627Z43139"</f>
        <v>9627Z43139</v>
      </c>
      <c r="E8205" s="1" t="s">
        <v>10</v>
      </c>
      <c r="F8205" s="1" t="str">
        <f>"10.128.114.188"</f>
        <v>10.128.114.188</v>
      </c>
      <c r="G8205" s="1" t="str">
        <f>"9627Z431"</f>
        <v>9627Z431</v>
      </c>
      <c r="H8205" s="1" t="str">
        <f>"홍남간 72R6R9"</f>
        <v>홍남간 72R6R9</v>
      </c>
      <c r="I8205" s="1" t="s">
        <v>8</v>
      </c>
      <c r="J8205" s="1" t="str">
        <f>"56/56"</f>
        <v>56/56</v>
      </c>
      <c r="K8205" s="1" t="str">
        <f t="shared" si="404"/>
        <v>2026-07-29 13:18:10</v>
      </c>
      <c r="L8205" s="1" t="str">
        <f>"2018-05-10 15:57:56"</f>
        <v>2018-05-10 15:57:56</v>
      </c>
      <c r="M8205" s="1" t="s">
        <v>45</v>
      </c>
      <c r="N8205" s="1" t="s">
        <v>38</v>
      </c>
      <c r="O8205" s="1" t="s">
        <v>46</v>
      </c>
    </row>
    <row r="8206" spans="2:15" x14ac:dyDescent="0.3">
      <c r="B8206" s="1" t="s">
        <v>21</v>
      </c>
      <c r="C8206" s="1" t="str">
        <f>"3차"</f>
        <v>3차</v>
      </c>
      <c r="D8206" s="1" t="str">
        <f>"9627Z44239"</f>
        <v>9627Z44239</v>
      </c>
      <c r="E8206" s="1" t="s">
        <v>10</v>
      </c>
      <c r="F8206" s="1" t="str">
        <f>"10.128.114.194"</f>
        <v>10.128.114.194</v>
      </c>
      <c r="G8206" s="1" t="str">
        <f>"9627Z442"</f>
        <v>9627Z442</v>
      </c>
      <c r="H8206" s="1" t="str">
        <f>"명지간 17L8L2"</f>
        <v>명지간 17L8L2</v>
      </c>
      <c r="I8206" s="1" t="s">
        <v>8</v>
      </c>
      <c r="J8206" s="1" t="str">
        <f>"32/32"</f>
        <v>32/32</v>
      </c>
      <c r="K8206" s="1" t="str">
        <f t="shared" si="404"/>
        <v>2026-07-29 13:18:10</v>
      </c>
      <c r="L8206" s="1" t="str">
        <f>"2018-05-10 15:57:11"</f>
        <v>2018-05-10 15:57:11</v>
      </c>
      <c r="M8206" s="1" t="s">
        <v>45</v>
      </c>
      <c r="N8206" s="1" t="s">
        <v>38</v>
      </c>
      <c r="O8206" s="1" t="s">
        <v>46</v>
      </c>
    </row>
    <row r="8207" spans="2:15" x14ac:dyDescent="0.3">
      <c r="B8207" s="1" t="s">
        <v>21</v>
      </c>
      <c r="C8207" s="1" t="str">
        <f>"3차"</f>
        <v>3차</v>
      </c>
      <c r="D8207" s="1" t="str">
        <f>"9627Z44339"</f>
        <v>9627Z44339</v>
      </c>
      <c r="E8207" s="1" t="s">
        <v>10</v>
      </c>
      <c r="F8207" s="1" t="str">
        <f>"10.128.114.195"</f>
        <v>10.128.114.195</v>
      </c>
      <c r="G8207" s="1" t="str">
        <f>"9627Z443"</f>
        <v>9627Z443</v>
      </c>
      <c r="H8207" s="1" t="str">
        <f>"명지간 17L8L1"</f>
        <v>명지간 17L8L1</v>
      </c>
      <c r="I8207" s="1" t="s">
        <v>8</v>
      </c>
      <c r="J8207" s="1" t="str">
        <f>"36/36"</f>
        <v>36/36</v>
      </c>
      <c r="K8207" s="1" t="str">
        <f t="shared" si="404"/>
        <v>2026-07-29 13:18:10</v>
      </c>
      <c r="L8207" s="1" t="str">
        <f>"2018-05-24 18:04:13"</f>
        <v>2018-05-24 18:04:13</v>
      </c>
      <c r="M8207" s="1" t="s">
        <v>45</v>
      </c>
      <c r="N8207" s="1" t="s">
        <v>38</v>
      </c>
      <c r="O8207" s="1" t="s">
        <v>46</v>
      </c>
    </row>
    <row r="8208" spans="2:15" x14ac:dyDescent="0.3">
      <c r="B8208" s="1" t="s">
        <v>21</v>
      </c>
      <c r="C8208" s="1" t="str">
        <f>"3차"</f>
        <v>3차</v>
      </c>
      <c r="D8208" s="1" t="str">
        <f>"9627Z44439"</f>
        <v>9627Z44439</v>
      </c>
      <c r="E8208" s="1" t="s">
        <v>10</v>
      </c>
      <c r="F8208" s="1" t="str">
        <f>"10.128.114.196"</f>
        <v>10.128.114.196</v>
      </c>
      <c r="G8208" s="1" t="str">
        <f>"9627Z444"</f>
        <v>9627Z444</v>
      </c>
      <c r="H8208" s="1" t="str">
        <f>"명지간 17L8"</f>
        <v>명지간 17L8</v>
      </c>
      <c r="I8208" s="1" t="s">
        <v>8</v>
      </c>
      <c r="J8208" s="1" t="str">
        <f>"17/21"</f>
        <v>17/21</v>
      </c>
      <c r="K8208" s="1" t="str">
        <f t="shared" si="404"/>
        <v>2026-07-29 13:18:10</v>
      </c>
      <c r="L8208" s="1" t="str">
        <f>"2018-05-10 15:56:11"</f>
        <v>2018-05-10 15:56:11</v>
      </c>
      <c r="M8208" s="1" t="s">
        <v>45</v>
      </c>
      <c r="N8208" s="1" t="s">
        <v>38</v>
      </c>
      <c r="O8208" s="1" t="s">
        <v>46</v>
      </c>
    </row>
    <row r="8209" spans="2:15" x14ac:dyDescent="0.3">
      <c r="B8209" s="1" t="s">
        <v>21</v>
      </c>
      <c r="C8209" s="1" t="str">
        <f>"4차"</f>
        <v>4차</v>
      </c>
      <c r="D8209" s="1" t="str">
        <f>"9627Z45239"</f>
        <v>9627Z45239</v>
      </c>
      <c r="E8209" s="1" t="s">
        <v>10</v>
      </c>
      <c r="F8209" s="1" t="str">
        <f>"10.128.114.182"</f>
        <v>10.128.114.182</v>
      </c>
      <c r="G8209" s="1" t="str">
        <f>"9627Z452"</f>
        <v>9627Z452</v>
      </c>
      <c r="H8209" s="1" t="str">
        <f>"명지간 17L7"</f>
        <v>명지간 17L7</v>
      </c>
      <c r="I8209" s="1" t="s">
        <v>8</v>
      </c>
      <c r="J8209" s="1" t="str">
        <f>"30/39"</f>
        <v>30/39</v>
      </c>
      <c r="K8209" s="1" t="str">
        <f t="shared" si="404"/>
        <v>2026-07-29 13:18:10</v>
      </c>
      <c r="L8209" s="1" t="str">
        <f>"2018-05-10 15:53:57"</f>
        <v>2018-05-10 15:53:57</v>
      </c>
      <c r="M8209" s="1" t="s">
        <v>45</v>
      </c>
      <c r="N8209" s="1" t="s">
        <v>38</v>
      </c>
      <c r="O8209" s="1" t="s">
        <v>46</v>
      </c>
    </row>
    <row r="8210" spans="2:15" x14ac:dyDescent="0.3">
      <c r="B8210" s="1" t="s">
        <v>21</v>
      </c>
      <c r="C8210" s="1" t="str">
        <f>"4차"</f>
        <v>4차</v>
      </c>
      <c r="D8210" s="1" t="str">
        <f>"9627Z47139"</f>
        <v>9627Z47139</v>
      </c>
      <c r="E8210" s="1" t="s">
        <v>10</v>
      </c>
      <c r="F8210" s="1" t="str">
        <f>"10.128.114.165"</f>
        <v>10.128.114.165</v>
      </c>
      <c r="G8210" s="1" t="str">
        <f>"9627Z471"</f>
        <v>9627Z471</v>
      </c>
      <c r="H8210" s="1" t="str">
        <f>"명지간 25L2"</f>
        <v>명지간 25L2</v>
      </c>
      <c r="I8210" s="1" t="s">
        <v>8</v>
      </c>
      <c r="J8210" s="1" t="str">
        <f>"134/137"</f>
        <v>134/137</v>
      </c>
      <c r="K8210" s="1" t="str">
        <f t="shared" si="404"/>
        <v>2026-07-29 13:18:10</v>
      </c>
      <c r="L8210" s="1" t="str">
        <f>"2018-05-10 16:00:56"</f>
        <v>2018-05-10 16:00:56</v>
      </c>
      <c r="M8210" s="1" t="s">
        <v>45</v>
      </c>
      <c r="N8210" s="1" t="s">
        <v>38</v>
      </c>
      <c r="O8210" s="1" t="s">
        <v>46</v>
      </c>
    </row>
    <row r="8211" spans="2:15" x14ac:dyDescent="0.3">
      <c r="B8211" s="1" t="s">
        <v>21</v>
      </c>
      <c r="C8211" s="1" t="str">
        <f>"4차"</f>
        <v>4차</v>
      </c>
      <c r="D8211" s="1" t="str">
        <f>"9627Z48339"</f>
        <v>9627Z48339</v>
      </c>
      <c r="E8211" s="1" t="s">
        <v>10</v>
      </c>
      <c r="F8211" s="1" t="str">
        <f>"10.128.92.126"</f>
        <v>10.128.92.126</v>
      </c>
      <c r="G8211" s="1" t="str">
        <f>"9627Z483"</f>
        <v>9627Z483</v>
      </c>
      <c r="H8211" s="1" t="str">
        <f>"명지간 26L3L2"</f>
        <v>명지간 26L3L2</v>
      </c>
      <c r="I8211" s="1" t="s">
        <v>8</v>
      </c>
      <c r="J8211" s="1" t="str">
        <f>"64/64"</f>
        <v>64/64</v>
      </c>
      <c r="K8211" s="1" t="str">
        <f t="shared" si="404"/>
        <v>2026-07-29 13:18:10</v>
      </c>
      <c r="L8211" s="1" t="str">
        <f>"2018-06-22 09:23:37"</f>
        <v>2018-06-22 09:23:37</v>
      </c>
      <c r="M8211" s="1" t="s">
        <v>45</v>
      </c>
      <c r="N8211" s="1" t="s">
        <v>38</v>
      </c>
      <c r="O8211" s="1" t="s">
        <v>46</v>
      </c>
    </row>
    <row r="8212" spans="2:15" x14ac:dyDescent="0.3">
      <c r="B8212" s="1" t="s">
        <v>21</v>
      </c>
      <c r="C8212" s="1" t="str">
        <f>"3차"</f>
        <v>3차</v>
      </c>
      <c r="D8212" s="1" t="str">
        <f>"9627Z52239"</f>
        <v>9627Z52239</v>
      </c>
      <c r="E8212" s="1" t="s">
        <v>10</v>
      </c>
      <c r="F8212" s="1" t="str">
        <f>"10.128.115.100"</f>
        <v>10.128.115.100</v>
      </c>
      <c r="G8212" s="1" t="str">
        <f>"9627Z522"</f>
        <v>9627Z522</v>
      </c>
      <c r="H8212" s="1" t="str">
        <f>"홍남간 72R6R8"</f>
        <v>홍남간 72R6R8</v>
      </c>
      <c r="I8212" s="1" t="s">
        <v>8</v>
      </c>
      <c r="J8212" s="1" t="str">
        <f>"67/68"</f>
        <v>67/68</v>
      </c>
      <c r="K8212" s="1" t="str">
        <f t="shared" si="404"/>
        <v>2026-07-29 13:18:10</v>
      </c>
      <c r="L8212" s="1" t="str">
        <f>"2018-06-22 09:04:08"</f>
        <v>2018-06-22 09:04:08</v>
      </c>
      <c r="M8212" s="1" t="s">
        <v>45</v>
      </c>
      <c r="N8212" s="1" t="s">
        <v>38</v>
      </c>
      <c r="O8212" s="1" t="s">
        <v>46</v>
      </c>
    </row>
    <row r="8213" spans="2:15" x14ac:dyDescent="0.3">
      <c r="B8213" s="1" t="s">
        <v>21</v>
      </c>
      <c r="C8213" s="1" t="str">
        <f>"3차"</f>
        <v>3차</v>
      </c>
      <c r="D8213" s="1" t="str">
        <f>"9627Z53239"</f>
        <v>9627Z53239</v>
      </c>
      <c r="E8213" s="1" t="s">
        <v>10</v>
      </c>
      <c r="F8213" s="1" t="str">
        <f>"10.128.114.198"</f>
        <v>10.128.114.198</v>
      </c>
      <c r="G8213" s="1" t="str">
        <f>"9627Z532"</f>
        <v>9627Z532</v>
      </c>
      <c r="H8213" s="1" t="str">
        <f>"명지간 17L5L2R1"</f>
        <v>명지간 17L5L2R1</v>
      </c>
      <c r="I8213" s="1" t="s">
        <v>8</v>
      </c>
      <c r="J8213" s="1" t="str">
        <f>"28/28"</f>
        <v>28/28</v>
      </c>
      <c r="K8213" s="1" t="str">
        <f t="shared" si="404"/>
        <v>2026-07-29 13:18:10</v>
      </c>
      <c r="L8213" s="1" t="str">
        <f>"2018-05-10 15:55:41"</f>
        <v>2018-05-10 15:55:41</v>
      </c>
      <c r="M8213" s="1" t="s">
        <v>45</v>
      </c>
      <c r="N8213" s="1" t="s">
        <v>38</v>
      </c>
      <c r="O8213" s="1" t="s">
        <v>46</v>
      </c>
    </row>
    <row r="8214" spans="2:15" x14ac:dyDescent="0.3">
      <c r="B8214" s="1" t="s">
        <v>21</v>
      </c>
      <c r="C8214" s="1" t="str">
        <f>"3차"</f>
        <v>3차</v>
      </c>
      <c r="D8214" s="1" t="str">
        <f>"9627Z53439"</f>
        <v>9627Z53439</v>
      </c>
      <c r="E8214" s="1" t="s">
        <v>10</v>
      </c>
      <c r="F8214" s="1" t="str">
        <f>"10.128.114.197"</f>
        <v>10.128.114.197</v>
      </c>
      <c r="G8214" s="1" t="str">
        <f>"9627Z534"</f>
        <v>9627Z534</v>
      </c>
      <c r="H8214" s="1" t="str">
        <f>"명지간 17L8L3"</f>
        <v>명지간 17L8L3</v>
      </c>
      <c r="I8214" s="1" t="s">
        <v>8</v>
      </c>
      <c r="J8214" s="1" t="str">
        <f>"58/58"</f>
        <v>58/58</v>
      </c>
      <c r="K8214" s="1" t="str">
        <f t="shared" si="404"/>
        <v>2026-07-29 13:18:10</v>
      </c>
      <c r="L8214" s="1" t="str">
        <f>"2018-05-10 16:01:57"</f>
        <v>2018-05-10 16:01:57</v>
      </c>
      <c r="M8214" s="1" t="s">
        <v>45</v>
      </c>
      <c r="N8214" s="1" t="s">
        <v>38</v>
      </c>
      <c r="O8214" s="1" t="s">
        <v>46</v>
      </c>
    </row>
    <row r="8215" spans="2:15" x14ac:dyDescent="0.3">
      <c r="B8215" s="1" t="s">
        <v>21</v>
      </c>
      <c r="C8215" s="1" t="str">
        <f>"4차"</f>
        <v>4차</v>
      </c>
      <c r="D8215" s="1" t="str">
        <f>"9627Z54139"</f>
        <v>9627Z54139</v>
      </c>
      <c r="E8215" s="1" t="s">
        <v>10</v>
      </c>
      <c r="F8215" s="1" t="str">
        <f>"10.128.114.183"</f>
        <v>10.128.114.183</v>
      </c>
      <c r="G8215" s="1" t="str">
        <f>"9627Z541"</f>
        <v>9627Z541</v>
      </c>
      <c r="H8215" s="1" t="str">
        <f>"명지간 17L5L1"</f>
        <v>명지간 17L5L1</v>
      </c>
      <c r="I8215" s="1" t="s">
        <v>8</v>
      </c>
      <c r="J8215" s="1" t="str">
        <f>"33/33"</f>
        <v>33/33</v>
      </c>
      <c r="K8215" s="1" t="str">
        <f t="shared" si="404"/>
        <v>2026-07-29 13:18:10</v>
      </c>
      <c r="L8215" s="1" t="str">
        <f>"2018-06-04 16:29:37"</f>
        <v>2018-06-04 16:29:37</v>
      </c>
      <c r="M8215" s="1" t="s">
        <v>45</v>
      </c>
      <c r="N8215" s="1" t="s">
        <v>38</v>
      </c>
      <c r="O8215" s="1" t="s">
        <v>46</v>
      </c>
    </row>
    <row r="8216" spans="2:15" x14ac:dyDescent="0.3">
      <c r="B8216" s="1" t="s">
        <v>21</v>
      </c>
      <c r="C8216" s="1" t="str">
        <f>"4차"</f>
        <v>4차</v>
      </c>
      <c r="D8216" s="1" t="str">
        <f>"9627Z55139"</f>
        <v>9627Z55139</v>
      </c>
      <c r="E8216" s="1" t="s">
        <v>10</v>
      </c>
      <c r="F8216" s="1" t="str">
        <f>"10.128.114.184"</f>
        <v>10.128.114.184</v>
      </c>
      <c r="G8216" s="1" t="str">
        <f>"9627Z551"</f>
        <v>9627Z551</v>
      </c>
      <c r="H8216" s="1" t="str">
        <f>"명지간 17L5"</f>
        <v>명지간 17L5</v>
      </c>
      <c r="I8216" s="1" t="s">
        <v>8</v>
      </c>
      <c r="J8216" s="1" t="str">
        <f>"29/29"</f>
        <v>29/29</v>
      </c>
      <c r="K8216" s="1" t="str">
        <f t="shared" si="404"/>
        <v>2026-07-29 13:18:10</v>
      </c>
      <c r="L8216" s="1" t="str">
        <f>"2018-05-10 15:57:57"</f>
        <v>2018-05-10 15:57:57</v>
      </c>
      <c r="M8216" s="1" t="s">
        <v>45</v>
      </c>
      <c r="N8216" s="1" t="s">
        <v>38</v>
      </c>
      <c r="O8216" s="1" t="s">
        <v>46</v>
      </c>
    </row>
    <row r="8217" spans="2:15" x14ac:dyDescent="0.3">
      <c r="B8217" s="1" t="s">
        <v>21</v>
      </c>
      <c r="C8217" s="1" t="str">
        <f>"3차"</f>
        <v>3차</v>
      </c>
      <c r="D8217" s="1" t="str">
        <f>"9627Z57539"</f>
        <v>9627Z57539</v>
      </c>
      <c r="E8217" s="1" t="s">
        <v>10</v>
      </c>
      <c r="F8217" s="1" t="str">
        <f>"10.128.114.166"</f>
        <v>10.128.114.166</v>
      </c>
      <c r="G8217" s="1" t="str">
        <f>"9627Z575"</f>
        <v>9627Z575</v>
      </c>
      <c r="H8217" s="1" t="str">
        <f>"명지간 25"</f>
        <v>명지간 25</v>
      </c>
      <c r="I8217" s="1" t="s">
        <v>8</v>
      </c>
      <c r="J8217" s="1" t="str">
        <f>"18/19"</f>
        <v>18/19</v>
      </c>
      <c r="K8217" s="1" t="str">
        <f t="shared" ref="K8217:K8255" si="405">"2026-07-29 13:18:11"</f>
        <v>2026-07-29 13:18:11</v>
      </c>
      <c r="L8217" s="1" t="str">
        <f>"2018-05-10 15:58:11"</f>
        <v>2018-05-10 15:58:11</v>
      </c>
      <c r="M8217" s="1" t="s">
        <v>45</v>
      </c>
      <c r="N8217" s="1" t="s">
        <v>38</v>
      </c>
      <c r="O8217" s="1" t="s">
        <v>46</v>
      </c>
    </row>
    <row r="8218" spans="2:15" x14ac:dyDescent="0.3">
      <c r="B8218" s="1" t="s">
        <v>21</v>
      </c>
      <c r="C8218" s="1" t="str">
        <f>"3차"</f>
        <v>3차</v>
      </c>
      <c r="D8218" s="1" t="str">
        <f>"9627Z57639"</f>
        <v>9627Z57639</v>
      </c>
      <c r="E8218" s="1" t="s">
        <v>10</v>
      </c>
      <c r="F8218" s="1" t="str">
        <f>"10.128.114.167"</f>
        <v>10.128.114.167</v>
      </c>
      <c r="G8218" s="1" t="str">
        <f>"9627Z576"</f>
        <v>9627Z576</v>
      </c>
      <c r="H8218" s="1" t="str">
        <f>"명지간 24"</f>
        <v>명지간 24</v>
      </c>
      <c r="I8218" s="1" t="s">
        <v>8</v>
      </c>
      <c r="J8218" s="1" t="str">
        <f>"25/25"</f>
        <v>25/25</v>
      </c>
      <c r="K8218" s="1" t="str">
        <f t="shared" si="405"/>
        <v>2026-07-29 13:18:11</v>
      </c>
      <c r="L8218" s="1" t="str">
        <f>"2018-06-04 16:28:53"</f>
        <v>2018-06-04 16:28:53</v>
      </c>
      <c r="M8218" s="1" t="s">
        <v>45</v>
      </c>
      <c r="N8218" s="1" t="s">
        <v>38</v>
      </c>
      <c r="O8218" s="1" t="s">
        <v>46</v>
      </c>
    </row>
    <row r="8219" spans="2:15" x14ac:dyDescent="0.3">
      <c r="B8219" s="1" t="s">
        <v>21</v>
      </c>
      <c r="C8219" s="1" t="str">
        <f>"4차"</f>
        <v>4차</v>
      </c>
      <c r="D8219" s="1" t="str">
        <f>"9627Z58139"</f>
        <v>9627Z58139</v>
      </c>
      <c r="E8219" s="1" t="s">
        <v>10</v>
      </c>
      <c r="F8219" s="1" t="str">
        <f>"10.128.67.163"</f>
        <v>10.128.67.163</v>
      </c>
      <c r="G8219" s="1" t="str">
        <f>"9627Z581"</f>
        <v>9627Z581</v>
      </c>
      <c r="H8219" s="1" t="str">
        <f>"명지간 26L2"</f>
        <v>명지간 26L2</v>
      </c>
      <c r="I8219" s="1" t="s">
        <v>8</v>
      </c>
      <c r="J8219" s="1" t="str">
        <f>"24/24"</f>
        <v>24/24</v>
      </c>
      <c r="K8219" s="1" t="str">
        <f t="shared" si="405"/>
        <v>2026-07-29 13:18:11</v>
      </c>
      <c r="L8219" s="1" t="str">
        <f>"2018-05-08 16:57:26"</f>
        <v>2018-05-08 16:57:26</v>
      </c>
      <c r="M8219" s="1" t="s">
        <v>45</v>
      </c>
      <c r="N8219" s="1" t="s">
        <v>38</v>
      </c>
      <c r="O8219" s="1" t="s">
        <v>46</v>
      </c>
    </row>
    <row r="8220" spans="2:15" x14ac:dyDescent="0.3">
      <c r="B8220" s="1" t="s">
        <v>21</v>
      </c>
      <c r="C8220" s="1" t="str">
        <f>"4차"</f>
        <v>4차</v>
      </c>
      <c r="D8220" s="1" t="str">
        <f>"9627Z59139"</f>
        <v>9627Z59139</v>
      </c>
      <c r="E8220" s="1" t="s">
        <v>10</v>
      </c>
      <c r="F8220" s="1" t="str">
        <f>"10.128.67.120"</f>
        <v>10.128.67.120</v>
      </c>
      <c r="G8220" s="1" t="str">
        <f>"9627Z591"</f>
        <v>9627Z591</v>
      </c>
      <c r="H8220" s="1" t="str">
        <f>"명지간 29"</f>
        <v>명지간 29</v>
      </c>
      <c r="I8220" s="1" t="s">
        <v>8</v>
      </c>
      <c r="J8220" s="1" t="str">
        <f>"18/18"</f>
        <v>18/18</v>
      </c>
      <c r="K8220" s="1" t="str">
        <f t="shared" si="405"/>
        <v>2026-07-29 13:18:11</v>
      </c>
      <c r="L8220" s="1" t="str">
        <f>"2018-01-22 13:31:25"</f>
        <v>2018-01-22 13:31:25</v>
      </c>
      <c r="M8220" s="1" t="s">
        <v>45</v>
      </c>
      <c r="N8220" s="1" t="s">
        <v>38</v>
      </c>
      <c r="O8220" s="1" t="s">
        <v>46</v>
      </c>
    </row>
    <row r="8221" spans="2:15" x14ac:dyDescent="0.3">
      <c r="B8221" s="1" t="s">
        <v>21</v>
      </c>
      <c r="C8221" s="1" t="str">
        <f>"3차"</f>
        <v>3차</v>
      </c>
      <c r="D8221" s="1" t="str">
        <f>"9627Z63439"</f>
        <v>9627Z63439</v>
      </c>
      <c r="E8221" s="1" t="s">
        <v>10</v>
      </c>
      <c r="F8221" s="1" t="str">
        <f>"10.128.115.106"</f>
        <v>10.128.115.106</v>
      </c>
      <c r="G8221" s="1" t="str">
        <f>"9627Z634"</f>
        <v>9627Z634</v>
      </c>
      <c r="H8221" s="1" t="str">
        <f>"명지간 17L5L3"</f>
        <v>명지간 17L5L3</v>
      </c>
      <c r="I8221" s="1" t="s">
        <v>8</v>
      </c>
      <c r="J8221" s="1" t="str">
        <f>"23/23"</f>
        <v>23/23</v>
      </c>
      <c r="K8221" s="1" t="str">
        <f t="shared" si="405"/>
        <v>2026-07-29 13:18:11</v>
      </c>
      <c r="L8221" s="1" t="str">
        <f>"2018-04-26 11:21:13"</f>
        <v>2018-04-26 11:21:13</v>
      </c>
      <c r="M8221" s="1" t="s">
        <v>45</v>
      </c>
      <c r="N8221" s="1" t="s">
        <v>38</v>
      </c>
      <c r="O8221" s="1" t="s">
        <v>46</v>
      </c>
    </row>
    <row r="8222" spans="2:15" x14ac:dyDescent="0.3">
      <c r="B8222" s="1" t="s">
        <v>21</v>
      </c>
      <c r="C8222" s="1" t="str">
        <f>"4차"</f>
        <v>4차</v>
      </c>
      <c r="D8222" s="1" t="str">
        <f>"9627Z64139"</f>
        <v>9627Z64139</v>
      </c>
      <c r="E8222" s="1" t="s">
        <v>10</v>
      </c>
      <c r="F8222" s="1" t="str">
        <f>"10.128.114.185"</f>
        <v>10.128.114.185</v>
      </c>
      <c r="G8222" s="1" t="str">
        <f>"9627Z641"</f>
        <v>9627Z641</v>
      </c>
      <c r="H8222" s="1" t="str">
        <f>"명지간 17L5L1L1"</f>
        <v>명지간 17L5L1L1</v>
      </c>
      <c r="I8222" s="1" t="s">
        <v>8</v>
      </c>
      <c r="J8222" s="1" t="str">
        <f>"100/101"</f>
        <v>100/101</v>
      </c>
      <c r="K8222" s="1" t="str">
        <f t="shared" si="405"/>
        <v>2026-07-29 13:18:11</v>
      </c>
      <c r="L8222" s="1" t="str">
        <f>"2018-05-10 16:01:42"</f>
        <v>2018-05-10 16:01:42</v>
      </c>
      <c r="M8222" s="1" t="s">
        <v>45</v>
      </c>
      <c r="N8222" s="1" t="s">
        <v>38</v>
      </c>
      <c r="O8222" s="1" t="s">
        <v>46</v>
      </c>
    </row>
    <row r="8223" spans="2:15" x14ac:dyDescent="0.3">
      <c r="B8223" s="1" t="s">
        <v>21</v>
      </c>
      <c r="C8223" s="1" t="str">
        <f t="shared" ref="C8223:C8236" si="406">"3차"</f>
        <v>3차</v>
      </c>
      <c r="D8223" s="1" t="str">
        <f>"9627Z65139"</f>
        <v>9627Z65139</v>
      </c>
      <c r="E8223" s="1" t="s">
        <v>10</v>
      </c>
      <c r="F8223" s="1" t="str">
        <f>"10.128.114.180"</f>
        <v>10.128.114.180</v>
      </c>
      <c r="G8223" s="1" t="str">
        <f>"9627Z651"</f>
        <v>9627Z651</v>
      </c>
      <c r="H8223" s="1" t="str">
        <f>"명지간 17L3"</f>
        <v>명지간 17L3</v>
      </c>
      <c r="I8223" s="1" t="s">
        <v>8</v>
      </c>
      <c r="J8223" s="1" t="str">
        <f>"65/65"</f>
        <v>65/65</v>
      </c>
      <c r="K8223" s="1" t="str">
        <f t="shared" si="405"/>
        <v>2026-07-29 13:18:11</v>
      </c>
      <c r="L8223" s="1" t="str">
        <f>"2018-05-10 15:54:57"</f>
        <v>2018-05-10 15:54:57</v>
      </c>
      <c r="M8223" s="1" t="s">
        <v>45</v>
      </c>
      <c r="N8223" s="1" t="s">
        <v>38</v>
      </c>
      <c r="O8223" s="1" t="s">
        <v>46</v>
      </c>
    </row>
    <row r="8224" spans="2:15" x14ac:dyDescent="0.3">
      <c r="B8224" s="1" t="s">
        <v>21</v>
      </c>
      <c r="C8224" s="1" t="str">
        <f t="shared" si="406"/>
        <v>3차</v>
      </c>
      <c r="D8224" s="1" t="str">
        <f>"9627Z65239"</f>
        <v>9627Z65239</v>
      </c>
      <c r="E8224" s="1" t="s">
        <v>10</v>
      </c>
      <c r="F8224" s="1" t="str">
        <f>"10.128.114.213"</f>
        <v>10.128.114.213</v>
      </c>
      <c r="G8224" s="1" t="str">
        <f>"9627Z652"</f>
        <v>9627Z652</v>
      </c>
      <c r="H8224" s="1" t="str">
        <f>"명지간 17L3R1"</f>
        <v>명지간 17L3R1</v>
      </c>
      <c r="I8224" s="1" t="s">
        <v>8</v>
      </c>
      <c r="J8224" s="1" t="str">
        <f>"76/89"</f>
        <v>76/89</v>
      </c>
      <c r="K8224" s="1" t="str">
        <f t="shared" si="405"/>
        <v>2026-07-29 13:18:11</v>
      </c>
      <c r="L8224" s="1" t="str">
        <f>"2018-06-28 09:35:23"</f>
        <v>2018-06-28 09:35:23</v>
      </c>
      <c r="M8224" s="1" t="s">
        <v>45</v>
      </c>
      <c r="N8224" s="1" t="s">
        <v>38</v>
      </c>
      <c r="O8224" s="1" t="s">
        <v>46</v>
      </c>
    </row>
    <row r="8225" spans="2:15" x14ac:dyDescent="0.3">
      <c r="B8225" s="1" t="s">
        <v>21</v>
      </c>
      <c r="C8225" s="1" t="str">
        <f t="shared" si="406"/>
        <v>3차</v>
      </c>
      <c r="D8225" s="1" t="str">
        <f>"9627Z65339"</f>
        <v>9627Z65339</v>
      </c>
      <c r="E8225" s="1" t="s">
        <v>10</v>
      </c>
      <c r="F8225" s="1" t="str">
        <f>"10.128.114.186"</f>
        <v>10.128.114.186</v>
      </c>
      <c r="G8225" s="1" t="str">
        <f>"9627Z653"</f>
        <v>9627Z653</v>
      </c>
      <c r="H8225" s="1" t="str">
        <f>"명지간 17L4"</f>
        <v>명지간 17L4</v>
      </c>
      <c r="I8225" s="1" t="s">
        <v>8</v>
      </c>
      <c r="J8225" s="1" t="str">
        <f>"23/23"</f>
        <v>23/23</v>
      </c>
      <c r="K8225" s="1" t="str">
        <f t="shared" si="405"/>
        <v>2026-07-29 13:18:11</v>
      </c>
      <c r="L8225" s="1" t="str">
        <f>"2018-06-05 14:16:27"</f>
        <v>2018-06-05 14:16:27</v>
      </c>
      <c r="M8225" s="1" t="s">
        <v>45</v>
      </c>
      <c r="N8225" s="1" t="s">
        <v>38</v>
      </c>
      <c r="O8225" s="1" t="s">
        <v>46</v>
      </c>
    </row>
    <row r="8226" spans="2:15" x14ac:dyDescent="0.3">
      <c r="B8226" s="1" t="s">
        <v>21</v>
      </c>
      <c r="C8226" s="1" t="str">
        <f t="shared" si="406"/>
        <v>3차</v>
      </c>
      <c r="D8226" s="1" t="str">
        <f>"9627Z67139"</f>
        <v>9627Z67139</v>
      </c>
      <c r="E8226" s="1" t="s">
        <v>10</v>
      </c>
      <c r="F8226" s="1" t="str">
        <f>"10.128.114.171"</f>
        <v>10.128.114.171</v>
      </c>
      <c r="G8226" s="1" t="str">
        <f>"9627Z671"</f>
        <v>9627Z671</v>
      </c>
      <c r="H8226" s="1" t="str">
        <f>"명지간 23"</f>
        <v>명지간 23</v>
      </c>
      <c r="I8226" s="1" t="s">
        <v>8</v>
      </c>
      <c r="J8226" s="1" t="str">
        <f>"14/14"</f>
        <v>14/14</v>
      </c>
      <c r="K8226" s="1" t="str">
        <f t="shared" si="405"/>
        <v>2026-07-29 13:18:11</v>
      </c>
      <c r="L8226" s="1" t="str">
        <f>"2018-05-21 19:16:38"</f>
        <v>2018-05-21 19:16:38</v>
      </c>
      <c r="M8226" s="1" t="s">
        <v>45</v>
      </c>
      <c r="N8226" s="1" t="s">
        <v>38</v>
      </c>
      <c r="O8226" s="1" t="s">
        <v>46</v>
      </c>
    </row>
    <row r="8227" spans="2:15" x14ac:dyDescent="0.3">
      <c r="B8227" s="1" t="s">
        <v>21</v>
      </c>
      <c r="C8227" s="1" t="str">
        <f t="shared" si="406"/>
        <v>3차</v>
      </c>
      <c r="D8227" s="1" t="str">
        <f>"9627Z67339"</f>
        <v>9627Z67339</v>
      </c>
      <c r="E8227" s="1" t="s">
        <v>10</v>
      </c>
      <c r="F8227" s="1" t="str">
        <f>"10.128.114.168"</f>
        <v>10.128.114.168</v>
      </c>
      <c r="G8227" s="1" t="str">
        <f>"9627Z673"</f>
        <v>9627Z673</v>
      </c>
      <c r="H8227" s="1" t="str">
        <f>"명지간 26R1"</f>
        <v>명지간 26R1</v>
      </c>
      <c r="I8227" s="1" t="s">
        <v>8</v>
      </c>
      <c r="J8227" s="1" t="str">
        <f>"23/27"</f>
        <v>23/27</v>
      </c>
      <c r="K8227" s="1" t="str">
        <f t="shared" si="405"/>
        <v>2026-07-29 13:18:11</v>
      </c>
      <c r="L8227" s="1" t="str">
        <f>"2018-05-10 16:00:56"</f>
        <v>2018-05-10 16:00:56</v>
      </c>
      <c r="M8227" s="1" t="s">
        <v>45</v>
      </c>
      <c r="N8227" s="1" t="s">
        <v>38</v>
      </c>
      <c r="O8227" s="1" t="s">
        <v>46</v>
      </c>
    </row>
    <row r="8228" spans="2:15" x14ac:dyDescent="0.3">
      <c r="B8228" s="1" t="s">
        <v>21</v>
      </c>
      <c r="C8228" s="1" t="str">
        <f t="shared" si="406"/>
        <v>3차</v>
      </c>
      <c r="D8228" s="1" t="str">
        <f>"9627Z68139"</f>
        <v>9627Z68139</v>
      </c>
      <c r="E8228" s="1" t="s">
        <v>10</v>
      </c>
      <c r="F8228" s="1" t="str">
        <f>"10.128.67.162"</f>
        <v>10.128.67.162</v>
      </c>
      <c r="G8228" s="1" t="str">
        <f>"9627Z681"</f>
        <v>9627Z681</v>
      </c>
      <c r="H8228" s="1" t="str">
        <f>"명지간 27"</f>
        <v>명지간 27</v>
      </c>
      <c r="I8228" s="1" t="s">
        <v>8</v>
      </c>
      <c r="J8228" s="1" t="str">
        <f>"16/18"</f>
        <v>16/18</v>
      </c>
      <c r="K8228" s="1" t="str">
        <f t="shared" si="405"/>
        <v>2026-07-29 13:18:11</v>
      </c>
      <c r="L8228" s="1" t="str">
        <f>"2018-05-08 16:50:41"</f>
        <v>2018-05-08 16:50:41</v>
      </c>
      <c r="M8228" s="1" t="s">
        <v>45</v>
      </c>
      <c r="N8228" s="1" t="s">
        <v>38</v>
      </c>
      <c r="O8228" s="1" t="s">
        <v>46</v>
      </c>
    </row>
    <row r="8229" spans="2:15" x14ac:dyDescent="0.3">
      <c r="B8229" s="1" t="s">
        <v>21</v>
      </c>
      <c r="C8229" s="1" t="str">
        <f t="shared" si="406"/>
        <v>3차</v>
      </c>
      <c r="D8229" s="1" t="str">
        <f>"9627Z68339"</f>
        <v>9627Z68339</v>
      </c>
      <c r="E8229" s="1" t="s">
        <v>10</v>
      </c>
      <c r="F8229" s="1" t="str">
        <f>"10.128.67.164"</f>
        <v>10.128.67.164</v>
      </c>
      <c r="G8229" s="1" t="str">
        <f>"9627Z683"</f>
        <v>9627Z683</v>
      </c>
      <c r="H8229" s="1" t="str">
        <f>"명지간 26L1"</f>
        <v>명지간 26L1</v>
      </c>
      <c r="I8229" s="1" t="s">
        <v>8</v>
      </c>
      <c r="J8229" s="1" t="str">
        <f>"37/37"</f>
        <v>37/37</v>
      </c>
      <c r="K8229" s="1" t="str">
        <f t="shared" si="405"/>
        <v>2026-07-29 13:18:11</v>
      </c>
      <c r="L8229" s="1" t="str">
        <f>"2018-02-19 12:35:24"</f>
        <v>2018-02-19 12:35:24</v>
      </c>
      <c r="M8229" s="1" t="s">
        <v>45</v>
      </c>
      <c r="N8229" s="1" t="s">
        <v>38</v>
      </c>
      <c r="O8229" s="1" t="s">
        <v>46</v>
      </c>
    </row>
    <row r="8230" spans="2:15" x14ac:dyDescent="0.3">
      <c r="B8230" s="1" t="s">
        <v>21</v>
      </c>
      <c r="C8230" s="1" t="str">
        <f t="shared" si="406"/>
        <v>3차</v>
      </c>
      <c r="D8230" s="1" t="str">
        <f>"9627Z69139"</f>
        <v>9627Z69139</v>
      </c>
      <c r="E8230" s="1" t="s">
        <v>10</v>
      </c>
      <c r="F8230" s="1" t="str">
        <f>"10.128.67.114"</f>
        <v>10.128.67.114</v>
      </c>
      <c r="G8230" s="1" t="str">
        <f>"9627Z691"</f>
        <v>9627Z691</v>
      </c>
      <c r="H8230" s="1" t="str">
        <f>"명지간 28"</f>
        <v>명지간 28</v>
      </c>
      <c r="I8230" s="1" t="s">
        <v>8</v>
      </c>
      <c r="J8230" s="1" t="str">
        <f>"17/17"</f>
        <v>17/17</v>
      </c>
      <c r="K8230" s="1" t="str">
        <f t="shared" si="405"/>
        <v>2026-07-29 13:18:11</v>
      </c>
      <c r="L8230" s="1" t="str">
        <f>"2018-01-22 13:27:40"</f>
        <v>2018-01-22 13:27:40</v>
      </c>
      <c r="M8230" s="1" t="s">
        <v>45</v>
      </c>
      <c r="N8230" s="1" t="s">
        <v>38</v>
      </c>
      <c r="O8230" s="1" t="s">
        <v>46</v>
      </c>
    </row>
    <row r="8231" spans="2:15" x14ac:dyDescent="0.3">
      <c r="B8231" s="1" t="s">
        <v>21</v>
      </c>
      <c r="C8231" s="1" t="str">
        <f t="shared" si="406"/>
        <v>3차</v>
      </c>
      <c r="D8231" s="1" t="str">
        <f>"9627Z76239"</f>
        <v>9627Z76239</v>
      </c>
      <c r="E8231" s="1" t="s">
        <v>10</v>
      </c>
      <c r="F8231" s="1" t="str">
        <f>"10.128.114.172"</f>
        <v>10.128.114.172</v>
      </c>
      <c r="G8231" s="1" t="str">
        <f>"9627Z762"</f>
        <v>9627Z762</v>
      </c>
      <c r="H8231" s="1" t="str">
        <f>"명지간 21"</f>
        <v>명지간 21</v>
      </c>
      <c r="I8231" s="1" t="s">
        <v>8</v>
      </c>
      <c r="J8231" s="1" t="str">
        <f>"36/36"</f>
        <v>36/36</v>
      </c>
      <c r="K8231" s="1" t="str">
        <f t="shared" si="405"/>
        <v>2026-07-29 13:18:11</v>
      </c>
      <c r="L8231" s="1" t="str">
        <f>"2018-05-10 15:56:27"</f>
        <v>2018-05-10 15:56:27</v>
      </c>
      <c r="M8231" s="1" t="s">
        <v>45</v>
      </c>
      <c r="N8231" s="1" t="s">
        <v>38</v>
      </c>
      <c r="O8231" s="1" t="s">
        <v>46</v>
      </c>
    </row>
    <row r="8232" spans="2:15" x14ac:dyDescent="0.3">
      <c r="B8232" s="1" t="s">
        <v>21</v>
      </c>
      <c r="C8232" s="1" t="str">
        <f t="shared" si="406"/>
        <v>3차</v>
      </c>
      <c r="D8232" s="1" t="str">
        <f>"9627Z76339"</f>
        <v>9627Z76339</v>
      </c>
      <c r="E8232" s="1" t="s">
        <v>10</v>
      </c>
      <c r="F8232" s="1" t="str">
        <f>"10.128.115.103"</f>
        <v>10.128.115.103</v>
      </c>
      <c r="G8232" s="1" t="str">
        <f>"9627Z763"</f>
        <v>9627Z763</v>
      </c>
      <c r="H8232" s="1" t="str">
        <f>"명지간 21L1"</f>
        <v>명지간 21L1</v>
      </c>
      <c r="I8232" s="1" t="s">
        <v>8</v>
      </c>
      <c r="J8232" s="1" t="str">
        <f>"17/17"</f>
        <v>17/17</v>
      </c>
      <c r="K8232" s="1" t="str">
        <f t="shared" si="405"/>
        <v>2026-07-29 13:18:11</v>
      </c>
      <c r="L8232" s="1" t="str">
        <f>"2018-06-22 08:52:37"</f>
        <v>2018-06-22 08:52:37</v>
      </c>
      <c r="M8232" s="1" t="s">
        <v>45</v>
      </c>
      <c r="N8232" s="1" t="s">
        <v>38</v>
      </c>
      <c r="O8232" s="1" t="s">
        <v>46</v>
      </c>
    </row>
    <row r="8233" spans="2:15" x14ac:dyDescent="0.3">
      <c r="B8233" s="1" t="s">
        <v>21</v>
      </c>
      <c r="C8233" s="1" t="str">
        <f t="shared" si="406"/>
        <v>3차</v>
      </c>
      <c r="D8233" s="1" t="str">
        <f>"9627Z77139"</f>
        <v>9627Z77139</v>
      </c>
      <c r="E8233" s="1" t="s">
        <v>10</v>
      </c>
      <c r="F8233" s="1" t="str">
        <f>"10.128.114.169"</f>
        <v>10.128.114.169</v>
      </c>
      <c r="G8233" s="1" t="str">
        <f>"9627Z771"</f>
        <v>9627Z771</v>
      </c>
      <c r="H8233" s="1" t="str">
        <f>"명지간 26R2"</f>
        <v>명지간 26R2</v>
      </c>
      <c r="I8233" s="1" t="s">
        <v>8</v>
      </c>
      <c r="J8233" s="1" t="str">
        <f>"41/41"</f>
        <v>41/41</v>
      </c>
      <c r="K8233" s="1" t="str">
        <f t="shared" si="405"/>
        <v>2026-07-29 13:18:11</v>
      </c>
      <c r="L8233" s="1" t="str">
        <f>"2018-05-10 16:01:42"</f>
        <v>2018-05-10 16:01:42</v>
      </c>
      <c r="M8233" s="1" t="s">
        <v>45</v>
      </c>
      <c r="N8233" s="1" t="s">
        <v>38</v>
      </c>
      <c r="O8233" s="1" t="s">
        <v>46</v>
      </c>
    </row>
    <row r="8234" spans="2:15" x14ac:dyDescent="0.3">
      <c r="B8234" s="1" t="s">
        <v>21</v>
      </c>
      <c r="C8234" s="1" t="str">
        <f t="shared" si="406"/>
        <v>3차</v>
      </c>
      <c r="D8234" s="1" t="str">
        <f>"9627Z79339"</f>
        <v>9627Z79339</v>
      </c>
      <c r="E8234" s="1" t="s">
        <v>10</v>
      </c>
      <c r="F8234" s="1" t="str">
        <f>"10.128.67.118"</f>
        <v>10.128.67.118</v>
      </c>
      <c r="G8234" s="1" t="str">
        <f>"9627Z793"</f>
        <v>9627Z793</v>
      </c>
      <c r="H8234" s="1" t="str">
        <f>"명지간 29R2R1R1"</f>
        <v>명지간 29R2R1R1</v>
      </c>
      <c r="I8234" s="1" t="s">
        <v>8</v>
      </c>
      <c r="J8234" s="1" t="str">
        <f>"27/27"</f>
        <v>27/27</v>
      </c>
      <c r="K8234" s="1" t="str">
        <f t="shared" si="405"/>
        <v>2026-07-29 13:18:11</v>
      </c>
      <c r="L8234" s="1" t="str">
        <f>"2018-01-22 13:27:09"</f>
        <v>2018-01-22 13:27:09</v>
      </c>
      <c r="M8234" s="1" t="s">
        <v>45</v>
      </c>
      <c r="N8234" s="1" t="s">
        <v>38</v>
      </c>
      <c r="O8234" s="1" t="s">
        <v>46</v>
      </c>
    </row>
    <row r="8235" spans="2:15" x14ac:dyDescent="0.3">
      <c r="B8235" s="1" t="s">
        <v>21</v>
      </c>
      <c r="C8235" s="1" t="str">
        <f t="shared" si="406"/>
        <v>3차</v>
      </c>
      <c r="D8235" s="1" t="str">
        <f>"9627Z84139"</f>
        <v>9627Z84139</v>
      </c>
      <c r="E8235" s="1" t="s">
        <v>10</v>
      </c>
      <c r="F8235" s="1" t="str">
        <f>"10.128.115.104"</f>
        <v>10.128.115.104</v>
      </c>
      <c r="G8235" s="1" t="str">
        <f>"9627Z841"</f>
        <v>9627Z841</v>
      </c>
      <c r="H8235" s="1" t="str">
        <f>"명지간 17A1"</f>
        <v>명지간 17A1</v>
      </c>
      <c r="I8235" s="1" t="s">
        <v>8</v>
      </c>
      <c r="J8235" s="1" t="str">
        <f>"21/21"</f>
        <v>21/21</v>
      </c>
      <c r="K8235" s="1" t="str">
        <f t="shared" si="405"/>
        <v>2026-07-29 13:18:11</v>
      </c>
      <c r="L8235" s="1" t="str">
        <f>"2018-06-21 15:43:26"</f>
        <v>2018-06-21 15:43:26</v>
      </c>
      <c r="M8235" s="1" t="s">
        <v>45</v>
      </c>
      <c r="N8235" s="1" t="s">
        <v>38</v>
      </c>
      <c r="O8235" s="1" t="s">
        <v>46</v>
      </c>
    </row>
    <row r="8236" spans="2:15" x14ac:dyDescent="0.3">
      <c r="B8236" s="1" t="s">
        <v>21</v>
      </c>
      <c r="C8236" s="1" t="str">
        <f t="shared" si="406"/>
        <v>3차</v>
      </c>
      <c r="D8236" s="1" t="str">
        <f>"9627Z85339"</f>
        <v>9627Z85339</v>
      </c>
      <c r="E8236" s="1" t="s">
        <v>10</v>
      </c>
      <c r="F8236" s="1" t="str">
        <f>"10.128.114.122"</f>
        <v>10.128.114.122</v>
      </c>
      <c r="G8236" s="1" t="str">
        <f>"9627Z853"</f>
        <v>9627Z853</v>
      </c>
      <c r="H8236" s="1" t="str">
        <f>"명지간 17"</f>
        <v>명지간 17</v>
      </c>
      <c r="I8236" s="1" t="s">
        <v>8</v>
      </c>
      <c r="J8236" s="1" t="str">
        <f>"33/33"</f>
        <v>33/33</v>
      </c>
      <c r="K8236" s="1" t="str">
        <f t="shared" si="405"/>
        <v>2026-07-29 13:18:11</v>
      </c>
      <c r="L8236" s="1" t="str">
        <f>"2018-06-28 10:55:23"</f>
        <v>2018-06-28 10:55:23</v>
      </c>
      <c r="M8236" s="1" t="s">
        <v>45</v>
      </c>
      <c r="N8236" s="1" t="s">
        <v>38</v>
      </c>
      <c r="O8236" s="1" t="s">
        <v>46</v>
      </c>
    </row>
    <row r="8237" spans="2:15" x14ac:dyDescent="0.3">
      <c r="B8237" s="1" t="s">
        <v>21</v>
      </c>
      <c r="C8237" s="1" t="str">
        <f>"4차"</f>
        <v>4차</v>
      </c>
      <c r="D8237" s="1" t="str">
        <f>"9627Z86139"</f>
        <v>9627Z86139</v>
      </c>
      <c r="E8237" s="1" t="s">
        <v>10</v>
      </c>
      <c r="F8237" s="1" t="str">
        <f>"10.128.114.173"</f>
        <v>10.128.114.173</v>
      </c>
      <c r="G8237" s="1" t="str">
        <f>"9627Z861"</f>
        <v>9627Z861</v>
      </c>
      <c r="H8237" s="1" t="str">
        <f>"명지간 20"</f>
        <v>명지간 20</v>
      </c>
      <c r="I8237" s="1" t="s">
        <v>8</v>
      </c>
      <c r="J8237" s="1" t="str">
        <f>"46/46"</f>
        <v>46/46</v>
      </c>
      <c r="K8237" s="1" t="str">
        <f t="shared" si="405"/>
        <v>2026-07-29 13:18:11</v>
      </c>
      <c r="L8237" s="1" t="str">
        <f>"2018-05-10 15:53:11"</f>
        <v>2018-05-10 15:53:11</v>
      </c>
      <c r="M8237" s="1" t="s">
        <v>45</v>
      </c>
      <c r="N8237" s="1" t="s">
        <v>38</v>
      </c>
      <c r="O8237" s="1" t="s">
        <v>46</v>
      </c>
    </row>
    <row r="8238" spans="2:15" x14ac:dyDescent="0.3">
      <c r="B8238" s="1" t="s">
        <v>21</v>
      </c>
      <c r="C8238" s="1" t="str">
        <f>"3차"</f>
        <v>3차</v>
      </c>
      <c r="D8238" s="1" t="str">
        <f>"9627Z86539"</f>
        <v>9627Z86539</v>
      </c>
      <c r="E8238" s="1" t="s">
        <v>10</v>
      </c>
      <c r="F8238" s="1" t="str">
        <f>"10.128.114.178"</f>
        <v>10.128.114.178</v>
      </c>
      <c r="G8238" s="1" t="str">
        <f>"9627Z865"</f>
        <v>9627Z865</v>
      </c>
      <c r="H8238" s="1" t="str">
        <f>"명지간 19"</f>
        <v>명지간 19</v>
      </c>
      <c r="I8238" s="1" t="s">
        <v>8</v>
      </c>
      <c r="J8238" s="1" t="str">
        <f>"18/18"</f>
        <v>18/18</v>
      </c>
      <c r="K8238" s="1" t="str">
        <f t="shared" si="405"/>
        <v>2026-07-29 13:18:11</v>
      </c>
      <c r="L8238" s="1" t="str">
        <f>"2018-05-10 15:57:26"</f>
        <v>2018-05-10 15:57:26</v>
      </c>
      <c r="M8238" s="1" t="s">
        <v>45</v>
      </c>
      <c r="N8238" s="1" t="s">
        <v>38</v>
      </c>
      <c r="O8238" s="1" t="s">
        <v>46</v>
      </c>
    </row>
    <row r="8239" spans="2:15" x14ac:dyDescent="0.3">
      <c r="B8239" s="1" t="s">
        <v>21</v>
      </c>
      <c r="C8239" s="1" t="str">
        <f>"3차"</f>
        <v>3차</v>
      </c>
      <c r="D8239" s="1" t="str">
        <f>"9627Z87139"</f>
        <v>9627Z87139</v>
      </c>
      <c r="E8239" s="1" t="s">
        <v>10</v>
      </c>
      <c r="F8239" s="1" t="str">
        <f>"10.128.114.170"</f>
        <v>10.128.114.170</v>
      </c>
      <c r="G8239" s="1" t="str">
        <f>"9627Z871"</f>
        <v>9627Z871</v>
      </c>
      <c r="H8239" s="1" t="str">
        <f>"명지간 26R3"</f>
        <v>명지간 26R3</v>
      </c>
      <c r="I8239" s="1" t="s">
        <v>8</v>
      </c>
      <c r="J8239" s="1" t="str">
        <f>"16/16"</f>
        <v>16/16</v>
      </c>
      <c r="K8239" s="1" t="str">
        <f t="shared" si="405"/>
        <v>2026-07-29 13:18:11</v>
      </c>
      <c r="L8239" s="1" t="str">
        <f>"2018-05-10 15:54:41"</f>
        <v>2018-05-10 15:54:41</v>
      </c>
      <c r="M8239" s="1" t="s">
        <v>45</v>
      </c>
      <c r="N8239" s="1" t="s">
        <v>38</v>
      </c>
      <c r="O8239" s="1" t="s">
        <v>46</v>
      </c>
    </row>
    <row r="8240" spans="2:15" x14ac:dyDescent="0.3">
      <c r="B8240" s="1" t="s">
        <v>21</v>
      </c>
      <c r="C8240" s="1" t="str">
        <f>"4차"</f>
        <v>4차</v>
      </c>
      <c r="D8240" s="1" t="str">
        <f>"9627Z88139"</f>
        <v>9627Z88139</v>
      </c>
      <c r="E8240" s="1" t="s">
        <v>10</v>
      </c>
      <c r="F8240" s="1" t="str">
        <f>"10.128.67.121"</f>
        <v>10.128.67.121</v>
      </c>
      <c r="G8240" s="1" t="str">
        <f>"9627Z881"</f>
        <v>9627Z881</v>
      </c>
      <c r="H8240" s="1" t="str">
        <f>"명지간 29R2R3"</f>
        <v>명지간 29R2R3</v>
      </c>
      <c r="I8240" s="1" t="s">
        <v>8</v>
      </c>
      <c r="J8240" s="1" t="str">
        <f>"180/182"</f>
        <v>180/182</v>
      </c>
      <c r="K8240" s="1" t="str">
        <f t="shared" si="405"/>
        <v>2026-07-29 13:18:11</v>
      </c>
      <c r="L8240" s="1" t="str">
        <f>"2018-01-22 13:31:54"</f>
        <v>2018-01-22 13:31:54</v>
      </c>
      <c r="M8240" s="1" t="s">
        <v>45</v>
      </c>
      <c r="N8240" s="1" t="s">
        <v>38</v>
      </c>
      <c r="O8240" s="1" t="s">
        <v>46</v>
      </c>
    </row>
    <row r="8241" spans="2:15" x14ac:dyDescent="0.3">
      <c r="B8241" s="1" t="s">
        <v>21</v>
      </c>
      <c r="C8241" s="1" t="str">
        <f>"4차"</f>
        <v>4차</v>
      </c>
      <c r="D8241" s="1" t="str">
        <f>"9627Z89139"</f>
        <v>9627Z89139</v>
      </c>
      <c r="E8241" s="1" t="s">
        <v>10</v>
      </c>
      <c r="F8241" s="1" t="str">
        <f>"10.128.67.119"</f>
        <v>10.128.67.119</v>
      </c>
      <c r="G8241" s="1" t="str">
        <f>"9627Z891"</f>
        <v>9627Z891</v>
      </c>
      <c r="H8241" s="1" t="str">
        <f>"명지간 29R2R2"</f>
        <v>명지간 29R2R2</v>
      </c>
      <c r="I8241" s="1" t="s">
        <v>8</v>
      </c>
      <c r="J8241" s="1" t="str">
        <f>"67/67"</f>
        <v>67/67</v>
      </c>
      <c r="K8241" s="1" t="str">
        <f t="shared" si="405"/>
        <v>2026-07-29 13:18:11</v>
      </c>
      <c r="L8241" s="1" t="str">
        <f>"2018-01-22 13:31:10"</f>
        <v>2018-01-22 13:31:10</v>
      </c>
      <c r="M8241" s="1" t="s">
        <v>45</v>
      </c>
      <c r="N8241" s="1" t="s">
        <v>38</v>
      </c>
      <c r="O8241" s="1" t="s">
        <v>46</v>
      </c>
    </row>
    <row r="8242" spans="2:15" x14ac:dyDescent="0.3">
      <c r="B8242" s="1" t="s">
        <v>21</v>
      </c>
      <c r="C8242" s="1" t="str">
        <f>"3차"</f>
        <v>3차</v>
      </c>
      <c r="D8242" s="1" t="str">
        <f>"9627Z93239"</f>
        <v>9627Z93239</v>
      </c>
      <c r="E8242" s="1" t="s">
        <v>10</v>
      </c>
      <c r="F8242" s="1" t="str">
        <f>"10.128.114.3"</f>
        <v>10.128.114.3</v>
      </c>
      <c r="G8242" s="1" t="str">
        <f>"9627Z932"</f>
        <v>9627Z932</v>
      </c>
      <c r="H8242" s="1" t="str">
        <f>"명지간 15L3"</f>
        <v>명지간 15L3</v>
      </c>
      <c r="I8242" s="1" t="s">
        <v>8</v>
      </c>
      <c r="J8242" s="1" t="str">
        <f>"68/76"</f>
        <v>68/76</v>
      </c>
      <c r="K8242" s="1" t="str">
        <f t="shared" si="405"/>
        <v>2026-07-29 13:18:11</v>
      </c>
      <c r="L8242" s="1" t="str">
        <f>"2018-05-10 15:34:27"</f>
        <v>2018-05-10 15:34:27</v>
      </c>
      <c r="M8242" s="1" t="s">
        <v>45</v>
      </c>
      <c r="N8242" s="1" t="s">
        <v>38</v>
      </c>
      <c r="O8242" s="1" t="s">
        <v>46</v>
      </c>
    </row>
    <row r="8243" spans="2:15" x14ac:dyDescent="0.3">
      <c r="B8243" s="1" t="s">
        <v>21</v>
      </c>
      <c r="C8243" s="1" t="str">
        <f>"3차"</f>
        <v>3차</v>
      </c>
      <c r="D8243" s="1" t="str">
        <f>"9627Z94139"</f>
        <v>9627Z94139</v>
      </c>
      <c r="E8243" s="1" t="s">
        <v>10</v>
      </c>
      <c r="F8243" s="1" t="str">
        <f>"10.128.114.120"</f>
        <v>10.128.114.120</v>
      </c>
      <c r="G8243" s="1" t="str">
        <f>"9627Z941"</f>
        <v>9627Z941</v>
      </c>
      <c r="H8243" s="1" t="str">
        <f>"명지간 16L1"</f>
        <v>명지간 16L1</v>
      </c>
      <c r="I8243" s="1" t="s">
        <v>8</v>
      </c>
      <c r="J8243" s="1" t="str">
        <f>"70/74"</f>
        <v>70/74</v>
      </c>
      <c r="K8243" s="1" t="str">
        <f t="shared" si="405"/>
        <v>2026-07-29 13:18:11</v>
      </c>
      <c r="L8243" s="1" t="str">
        <f>"2018-06-21 15:40:27"</f>
        <v>2018-06-21 15:40:27</v>
      </c>
      <c r="M8243" s="1" t="s">
        <v>45</v>
      </c>
      <c r="N8243" s="1" t="s">
        <v>38</v>
      </c>
      <c r="O8243" s="1" t="s">
        <v>46</v>
      </c>
    </row>
    <row r="8244" spans="2:15" x14ac:dyDescent="0.3">
      <c r="B8244" s="1" t="s">
        <v>21</v>
      </c>
      <c r="C8244" s="1" t="str">
        <f>"3차"</f>
        <v>3차</v>
      </c>
      <c r="D8244" s="1" t="str">
        <f>"9627Z95139"</f>
        <v>9627Z95139</v>
      </c>
      <c r="E8244" s="1" t="s">
        <v>10</v>
      </c>
      <c r="F8244" s="1" t="str">
        <f>"10.128.114.118"</f>
        <v>10.128.114.118</v>
      </c>
      <c r="G8244" s="1" t="str">
        <f>"9627Z951"</f>
        <v>9627Z951</v>
      </c>
      <c r="H8244" s="1" t="str">
        <f>"명지간 16"</f>
        <v>명지간 16</v>
      </c>
      <c r="I8244" s="1" t="s">
        <v>8</v>
      </c>
      <c r="J8244" s="1" t="str">
        <f>"30/30"</f>
        <v>30/30</v>
      </c>
      <c r="K8244" s="1" t="str">
        <f t="shared" si="405"/>
        <v>2026-07-29 13:18:11</v>
      </c>
      <c r="L8244" s="1" t="str">
        <f>"2018-06-21 13:26:40"</f>
        <v>2018-06-21 13:26:40</v>
      </c>
      <c r="M8244" s="1" t="s">
        <v>45</v>
      </c>
      <c r="N8244" s="1" t="s">
        <v>38</v>
      </c>
      <c r="O8244" s="1" t="s">
        <v>46</v>
      </c>
    </row>
    <row r="8245" spans="2:15" x14ac:dyDescent="0.3">
      <c r="B8245" s="1" t="s">
        <v>21</v>
      </c>
      <c r="C8245" s="1" t="str">
        <f>"3차"</f>
        <v>3차</v>
      </c>
      <c r="D8245" s="1" t="str">
        <f>"9627Z95239"</f>
        <v>9627Z95239</v>
      </c>
      <c r="E8245" s="1" t="s">
        <v>10</v>
      </c>
      <c r="F8245" s="1" t="str">
        <f>"10.128.114.119"</f>
        <v>10.128.114.119</v>
      </c>
      <c r="G8245" s="1" t="str">
        <f>"9627Z952"</f>
        <v>9627Z952</v>
      </c>
      <c r="H8245" s="1" t="str">
        <f>"명지간 15"</f>
        <v>명지간 15</v>
      </c>
      <c r="I8245" s="1" t="s">
        <v>8</v>
      </c>
      <c r="J8245" s="1" t="str">
        <f>"95/125"</f>
        <v>95/125</v>
      </c>
      <c r="K8245" s="1" t="str">
        <f t="shared" si="405"/>
        <v>2026-07-29 13:18:11</v>
      </c>
      <c r="L8245" s="1" t="str">
        <f>"2018-06-21 13:28:11"</f>
        <v>2018-06-21 13:28:11</v>
      </c>
      <c r="M8245" s="1" t="s">
        <v>45</v>
      </c>
      <c r="N8245" s="1" t="s">
        <v>38</v>
      </c>
      <c r="O8245" s="1" t="s">
        <v>46</v>
      </c>
    </row>
    <row r="8246" spans="2:15" x14ac:dyDescent="0.3">
      <c r="B8246" s="1" t="s">
        <v>21</v>
      </c>
      <c r="C8246" s="1" t="str">
        <f>"3차"</f>
        <v>3차</v>
      </c>
      <c r="D8246" s="1" t="str">
        <f>"9627Z96139"</f>
        <v>9627Z96139</v>
      </c>
      <c r="E8246" s="1" t="s">
        <v>10</v>
      </c>
      <c r="F8246" s="1" t="str">
        <f>"10.128.114.30"</f>
        <v>10.128.114.30</v>
      </c>
      <c r="G8246" s="1" t="str">
        <f>"9627Z961"</f>
        <v>9627Z961</v>
      </c>
      <c r="H8246" s="1" t="str">
        <f>"명지간 13R2L4L1"</f>
        <v>명지간 13R2L4L1</v>
      </c>
      <c r="I8246" s="1" t="s">
        <v>8</v>
      </c>
      <c r="J8246" s="1" t="str">
        <f>"28/28"</f>
        <v>28/28</v>
      </c>
      <c r="K8246" s="1" t="str">
        <f t="shared" si="405"/>
        <v>2026-07-29 13:18:11</v>
      </c>
      <c r="L8246" s="1" t="str">
        <f>"2018-03-27 15:39:27"</f>
        <v>2018-03-27 15:39:27</v>
      </c>
      <c r="M8246" s="1" t="s">
        <v>45</v>
      </c>
      <c r="N8246" s="1" t="s">
        <v>38</v>
      </c>
      <c r="O8246" s="1" t="s">
        <v>46</v>
      </c>
    </row>
    <row r="8247" spans="2:15" x14ac:dyDescent="0.3">
      <c r="B8247" s="1" t="s">
        <v>21</v>
      </c>
      <c r="C8247" s="1" t="str">
        <f>"4차"</f>
        <v>4차</v>
      </c>
      <c r="D8247" s="1" t="str">
        <f>"9627Z97239"</f>
        <v>9627Z97239</v>
      </c>
      <c r="E8247" s="1" t="s">
        <v>10</v>
      </c>
      <c r="F8247" s="1" t="str">
        <f>"10.128.114.34"</f>
        <v>10.128.114.34</v>
      </c>
      <c r="G8247" s="1" t="str">
        <f>"9627Z972"</f>
        <v>9627Z972</v>
      </c>
      <c r="H8247" s="1" t="str">
        <f>"명지간 13R2L4"</f>
        <v>명지간 13R2L4</v>
      </c>
      <c r="I8247" s="1" t="s">
        <v>8</v>
      </c>
      <c r="J8247" s="1" t="str">
        <f>"65/65"</f>
        <v>65/65</v>
      </c>
      <c r="K8247" s="1" t="str">
        <f t="shared" si="405"/>
        <v>2026-07-29 13:18:11</v>
      </c>
      <c r="L8247" s="1" t="str">
        <f>"2018-03-27 15:39:58"</f>
        <v>2018-03-27 15:39:58</v>
      </c>
      <c r="M8247" s="1" t="s">
        <v>45</v>
      </c>
      <c r="N8247" s="1" t="s">
        <v>38</v>
      </c>
      <c r="O8247" s="1" t="s">
        <v>46</v>
      </c>
    </row>
    <row r="8248" spans="2:15" x14ac:dyDescent="0.3">
      <c r="B8248" s="1" t="s">
        <v>21</v>
      </c>
      <c r="C8248" s="1" t="str">
        <f>"3차"</f>
        <v>3차</v>
      </c>
      <c r="D8248" s="1" t="str">
        <f>"9627Z99239"</f>
        <v>9627Z99239</v>
      </c>
      <c r="E8248" s="1" t="s">
        <v>10</v>
      </c>
      <c r="F8248" s="1" t="str">
        <f>"10.128.67.165"</f>
        <v>10.128.67.165</v>
      </c>
      <c r="G8248" s="1" t="str">
        <f>"9627Z992"</f>
        <v>9627Z992</v>
      </c>
      <c r="H8248" s="1" t="str">
        <f>"명지간 29R2R5"</f>
        <v>명지간 29R2R5</v>
      </c>
      <c r="I8248" s="1" t="s">
        <v>8</v>
      </c>
      <c r="J8248" s="1" t="str">
        <f>"18/18"</f>
        <v>18/18</v>
      </c>
      <c r="K8248" s="1" t="str">
        <f t="shared" si="405"/>
        <v>2026-07-29 13:18:11</v>
      </c>
      <c r="L8248" s="1" t="str">
        <f>"2018-03-29 09:53:27"</f>
        <v>2018-03-29 09:53:27</v>
      </c>
      <c r="M8248" s="1" t="s">
        <v>45</v>
      </c>
      <c r="N8248" s="1" t="s">
        <v>38</v>
      </c>
      <c r="O8248" s="1" t="s">
        <v>46</v>
      </c>
    </row>
    <row r="8249" spans="2:15" x14ac:dyDescent="0.3">
      <c r="B8249" s="1" t="s">
        <v>21</v>
      </c>
      <c r="C8249" s="1" t="str">
        <f>"4차"</f>
        <v>4차</v>
      </c>
      <c r="D8249" s="1" t="str">
        <f>"9628B05139"</f>
        <v>9628B05139</v>
      </c>
      <c r="E8249" s="1" t="s">
        <v>10</v>
      </c>
      <c r="F8249" s="1" t="str">
        <f>"10.128.3.94"</f>
        <v>10.128.3.94</v>
      </c>
      <c r="G8249" s="1" t="str">
        <f>"9628B051"</f>
        <v>9628B051</v>
      </c>
      <c r="H8249" s="1" t="str">
        <f>"구산간 3R16R4"</f>
        <v>구산간 3R16R4</v>
      </c>
      <c r="I8249" s="1" t="s">
        <v>8</v>
      </c>
      <c r="J8249" s="1" t="str">
        <f>"10/10"</f>
        <v>10/10</v>
      </c>
      <c r="K8249" s="1" t="str">
        <f t="shared" si="405"/>
        <v>2026-07-29 13:18:11</v>
      </c>
      <c r="L8249" s="1" t="str">
        <f>"2018-01-03 12:27:46"</f>
        <v>2018-01-03 12:27:46</v>
      </c>
      <c r="M8249" s="1" t="s">
        <v>45</v>
      </c>
      <c r="N8249" s="1" t="s">
        <v>38</v>
      </c>
      <c r="O8249" s="1" t="s">
        <v>46</v>
      </c>
    </row>
    <row r="8250" spans="2:15" x14ac:dyDescent="0.3">
      <c r="B8250" s="1" t="s">
        <v>21</v>
      </c>
      <c r="C8250" s="1" t="str">
        <f>"3차"</f>
        <v>3차</v>
      </c>
      <c r="D8250" s="1" t="str">
        <f>"9628B15239"</f>
        <v>9628B15239</v>
      </c>
      <c r="E8250" s="1" t="s">
        <v>10</v>
      </c>
      <c r="F8250" s="1" t="str">
        <f>"10.12.132.153"</f>
        <v>10.12.132.153</v>
      </c>
      <c r="G8250" s="1" t="str">
        <f>"9628B152"</f>
        <v>9628B152</v>
      </c>
      <c r="H8250" s="1" t="str">
        <f>"구산간 3R16R2"</f>
        <v>구산간 3R16R2</v>
      </c>
      <c r="I8250" s="1" t="s">
        <v>8</v>
      </c>
      <c r="J8250" s="1" t="str">
        <f>"25/25"</f>
        <v>25/25</v>
      </c>
      <c r="K8250" s="1" t="str">
        <f t="shared" si="405"/>
        <v>2026-07-29 13:18:11</v>
      </c>
      <c r="L8250" s="1" t="str">
        <f>"2018-03-30 09:49:27"</f>
        <v>2018-03-30 09:49:27</v>
      </c>
      <c r="M8250" s="1" t="s">
        <v>0</v>
      </c>
      <c r="N8250" s="1" t="s">
        <v>38</v>
      </c>
      <c r="O8250" s="1" t="s">
        <v>46</v>
      </c>
    </row>
    <row r="8251" spans="2:15" x14ac:dyDescent="0.3">
      <c r="B8251" s="1" t="s">
        <v>21</v>
      </c>
      <c r="C8251" s="1" t="str">
        <f>"4차"</f>
        <v>4차</v>
      </c>
      <c r="D8251" s="1" t="str">
        <f>"9628B16230"</f>
        <v>9628B16230</v>
      </c>
      <c r="E8251" s="1" t="s">
        <v>10</v>
      </c>
      <c r="F8251" s="1" t="str">
        <f>"10.128.3.91"</f>
        <v>10.128.3.91</v>
      </c>
      <c r="G8251" s="1" t="str">
        <f>"9628B162"</f>
        <v>9628B162</v>
      </c>
      <c r="H8251" s="1" t="str">
        <f>"구산간 3R16R1R1"</f>
        <v>구산간 3R16R1R1</v>
      </c>
      <c r="I8251" s="1" t="s">
        <v>8</v>
      </c>
      <c r="J8251" s="1" t="str">
        <f>"33/33"</f>
        <v>33/33</v>
      </c>
      <c r="K8251" s="1" t="str">
        <f t="shared" si="405"/>
        <v>2026-07-29 13:18:11</v>
      </c>
      <c r="L8251" s="1" t="str">
        <f>"2017-12-27 17:39:43"</f>
        <v>2017-12-27 17:39:43</v>
      </c>
      <c r="M8251" s="1" t="s">
        <v>45</v>
      </c>
      <c r="N8251" s="1" t="s">
        <v>38</v>
      </c>
      <c r="O8251" s="1" t="s">
        <v>46</v>
      </c>
    </row>
    <row r="8252" spans="2:15" x14ac:dyDescent="0.3">
      <c r="B8252" s="1" t="s">
        <v>21</v>
      </c>
      <c r="C8252" s="1" t="str">
        <f>"4차"</f>
        <v>4차</v>
      </c>
      <c r="D8252" s="1" t="str">
        <f>"9628B18139"</f>
        <v>9628B18139</v>
      </c>
      <c r="E8252" s="1" t="s">
        <v>10</v>
      </c>
      <c r="F8252" s="1" t="str">
        <f>"10.128.69.73"</f>
        <v>10.128.69.73</v>
      </c>
      <c r="G8252" s="1" t="str">
        <f>"9628B181"</f>
        <v>9628B181</v>
      </c>
      <c r="H8252" s="1" t="str">
        <f>"구산간 3R12R6R1"</f>
        <v>구산간 3R12R6R1</v>
      </c>
      <c r="I8252" s="1" t="s">
        <v>8</v>
      </c>
      <c r="J8252" s="1" t="str">
        <f>"23/27"</f>
        <v>23/27</v>
      </c>
      <c r="K8252" s="1" t="str">
        <f t="shared" si="405"/>
        <v>2026-07-29 13:18:11</v>
      </c>
      <c r="L8252" s="1" t="str">
        <f>"2018-01-03 12:33:40"</f>
        <v>2018-01-03 12:33:40</v>
      </c>
      <c r="M8252" s="1" t="s">
        <v>45</v>
      </c>
      <c r="N8252" s="1" t="s">
        <v>38</v>
      </c>
      <c r="O8252" s="1" t="s">
        <v>46</v>
      </c>
    </row>
    <row r="8253" spans="2:15" x14ac:dyDescent="0.3">
      <c r="B8253" s="1" t="s">
        <v>21</v>
      </c>
      <c r="C8253" s="1" t="str">
        <f>"4차"</f>
        <v>4차</v>
      </c>
      <c r="D8253" s="1" t="str">
        <f>"9628B26131"</f>
        <v>9628B26131</v>
      </c>
      <c r="E8253" s="1" t="s">
        <v>10</v>
      </c>
      <c r="F8253" s="1" t="str">
        <f>"10.128.3.92"</f>
        <v>10.128.3.92</v>
      </c>
      <c r="G8253" s="1" t="str">
        <f>"9628B261"</f>
        <v>9628B261</v>
      </c>
      <c r="H8253" s="1" t="str">
        <f>"구산간 3R16R1R2"</f>
        <v>구산간 3R16R1R2</v>
      </c>
      <c r="I8253" s="1" t="s">
        <v>8</v>
      </c>
      <c r="J8253" s="1" t="str">
        <f>"51/51"</f>
        <v>51/51</v>
      </c>
      <c r="K8253" s="1" t="str">
        <f t="shared" si="405"/>
        <v>2026-07-29 13:18:11</v>
      </c>
      <c r="L8253" s="1" t="str">
        <f>"2017-12-27 17:45:32"</f>
        <v>2017-12-27 17:45:32</v>
      </c>
      <c r="M8253" s="1" t="s">
        <v>45</v>
      </c>
      <c r="N8253" s="1" t="s">
        <v>38</v>
      </c>
      <c r="O8253" s="1" t="s">
        <v>46</v>
      </c>
    </row>
    <row r="8254" spans="2:15" x14ac:dyDescent="0.3">
      <c r="B8254" s="1" t="s">
        <v>21</v>
      </c>
      <c r="C8254" s="1" t="str">
        <f>"4차"</f>
        <v>4차</v>
      </c>
      <c r="D8254" s="1" t="str">
        <f>"9628B27130"</f>
        <v>9628B27130</v>
      </c>
      <c r="E8254" s="1" t="s">
        <v>10</v>
      </c>
      <c r="F8254" s="1" t="str">
        <f>"10.128.69.68"</f>
        <v>10.128.69.68</v>
      </c>
      <c r="G8254" s="1" t="str">
        <f>"9628B271"</f>
        <v>9628B271</v>
      </c>
      <c r="H8254" s="1" t="str">
        <f>"구산간 3R12R4"</f>
        <v>구산간 3R12R4</v>
      </c>
      <c r="I8254" s="1" t="s">
        <v>8</v>
      </c>
      <c r="J8254" s="1" t="str">
        <f>"50/51"</f>
        <v>50/51</v>
      </c>
      <c r="K8254" s="1" t="str">
        <f t="shared" si="405"/>
        <v>2026-07-29 13:18:11</v>
      </c>
      <c r="L8254" s="1" t="str">
        <f>"2017-12-27 17:07:43"</f>
        <v>2017-12-27 17:07:43</v>
      </c>
      <c r="M8254" s="1" t="s">
        <v>45</v>
      </c>
      <c r="N8254" s="1" t="s">
        <v>38</v>
      </c>
      <c r="O8254" s="1" t="s">
        <v>46</v>
      </c>
    </row>
    <row r="8255" spans="2:15" x14ac:dyDescent="0.3">
      <c r="B8255" s="1" t="s">
        <v>21</v>
      </c>
      <c r="C8255" s="1" t="str">
        <f>"3차"</f>
        <v>3차</v>
      </c>
      <c r="D8255" s="1" t="str">
        <f>"9628B35239"</f>
        <v>9628B35239</v>
      </c>
      <c r="E8255" s="1" t="s">
        <v>10</v>
      </c>
      <c r="F8255" s="1" t="str">
        <f>"10.128.3.93"</f>
        <v>10.128.3.93</v>
      </c>
      <c r="G8255" s="1" t="str">
        <f>"9628B352"</f>
        <v>9628B352</v>
      </c>
      <c r="H8255" s="1" t="str">
        <f>"구산간 3R16"</f>
        <v>구산간 3R16</v>
      </c>
      <c r="I8255" s="1" t="s">
        <v>8</v>
      </c>
      <c r="J8255" s="1" t="str">
        <f>"12/13"</f>
        <v>12/13</v>
      </c>
      <c r="K8255" s="1" t="str">
        <f t="shared" si="405"/>
        <v>2026-07-29 13:18:11</v>
      </c>
      <c r="L8255" s="1" t="str">
        <f>"2018-01-03 17:53:13"</f>
        <v>2018-01-03 17:53:13</v>
      </c>
      <c r="M8255" s="1" t="s">
        <v>45</v>
      </c>
      <c r="N8255" s="1" t="s">
        <v>38</v>
      </c>
      <c r="O8255" s="1" t="s">
        <v>46</v>
      </c>
    </row>
    <row r="8256" spans="2:15" x14ac:dyDescent="0.3">
      <c r="B8256" s="1" t="s">
        <v>21</v>
      </c>
      <c r="C8256" s="1" t="str">
        <f>"4차"</f>
        <v>4차</v>
      </c>
      <c r="D8256" s="1" t="str">
        <f>"9628B37142"</f>
        <v>9628B37142</v>
      </c>
      <c r="E8256" s="1" t="s">
        <v>10</v>
      </c>
      <c r="F8256" s="1" t="str">
        <f>"10.12.128.184"</f>
        <v>10.12.128.184</v>
      </c>
      <c r="G8256" s="1" t="str">
        <f>"9628B371"</f>
        <v>9628B371</v>
      </c>
      <c r="H8256" s="1" t="str">
        <f>"구산간 3R12R2"</f>
        <v>구산간 3R12R2</v>
      </c>
      <c r="I8256" s="1" t="s">
        <v>8</v>
      </c>
      <c r="J8256" s="1" t="str">
        <f>"45/45"</f>
        <v>45/45</v>
      </c>
      <c r="K8256" s="1" t="str">
        <f>"2026-07-29 13:18:12"</f>
        <v>2026-07-29 13:18:12</v>
      </c>
      <c r="L8256" s="1" t="str">
        <f>"2025-01-08 16:49:30"</f>
        <v>2025-01-08 16:49:30</v>
      </c>
      <c r="M8256" s="1" t="s">
        <v>0</v>
      </c>
      <c r="N8256" s="1" t="s">
        <v>38</v>
      </c>
      <c r="O8256" s="1" t="s">
        <v>46</v>
      </c>
    </row>
    <row r="8257" spans="2:15" x14ac:dyDescent="0.3">
      <c r="B8257" s="1" t="s">
        <v>21</v>
      </c>
      <c r="C8257" s="1" t="str">
        <f>"4차"</f>
        <v>4차</v>
      </c>
      <c r="D8257" s="1" t="str">
        <f>"9628B37231"</f>
        <v>9628B37231</v>
      </c>
      <c r="E8257" s="1" t="s">
        <v>10</v>
      </c>
      <c r="F8257" s="1" t="str">
        <f>"10.128.69.69"</f>
        <v>10.128.69.69</v>
      </c>
      <c r="G8257" s="1" t="str">
        <f>"9628B372"</f>
        <v>9628B372</v>
      </c>
      <c r="H8257" s="1" t="str">
        <f>"구산간 3R12R3"</f>
        <v>구산간 3R12R3</v>
      </c>
      <c r="I8257" s="1" t="s">
        <v>8</v>
      </c>
      <c r="J8257" s="1" t="str">
        <f>"42/42"</f>
        <v>42/42</v>
      </c>
      <c r="K8257" s="1" t="str">
        <f>"2026-07-29 13:18:11"</f>
        <v>2026-07-29 13:18:11</v>
      </c>
      <c r="L8257" s="1" t="str">
        <f>"2018-01-22 17:00:57"</f>
        <v>2018-01-22 17:00:57</v>
      </c>
      <c r="M8257" s="1" t="s">
        <v>45</v>
      </c>
      <c r="N8257" s="1" t="s">
        <v>38</v>
      </c>
      <c r="O8257" s="1" t="s">
        <v>46</v>
      </c>
    </row>
    <row r="8258" spans="2:15" x14ac:dyDescent="0.3">
      <c r="B8258" s="1" t="s">
        <v>21</v>
      </c>
      <c r="C8258" s="1" t="str">
        <f>"4차"</f>
        <v>4차</v>
      </c>
      <c r="D8258" s="1" t="str">
        <f>"9628B44242"</f>
        <v>9628B44242</v>
      </c>
      <c r="E8258" s="1" t="s">
        <v>10</v>
      </c>
      <c r="F8258" s="1" t="str">
        <f>"10.12.133.100"</f>
        <v>10.12.133.100</v>
      </c>
      <c r="G8258" s="1" t="str">
        <f>"9628B442"</f>
        <v>9628B442</v>
      </c>
      <c r="H8258" s="1" t="str">
        <f>"구산간 3R19L1"</f>
        <v>구산간 3R19L1</v>
      </c>
      <c r="I8258" s="1" t="s">
        <v>8</v>
      </c>
      <c r="J8258" s="1" t="str">
        <f>"72/72"</f>
        <v>72/72</v>
      </c>
      <c r="K8258" s="1" t="str">
        <f>"2026-07-29 13:18:12"</f>
        <v>2026-07-29 13:18:12</v>
      </c>
      <c r="L8258" s="1" t="str">
        <f>"2025-09-15 17:36:16"</f>
        <v>2025-09-15 17:36:16</v>
      </c>
      <c r="M8258" s="1" t="s">
        <v>0</v>
      </c>
      <c r="N8258" s="1" t="s">
        <v>38</v>
      </c>
      <c r="O8258" s="1" t="s">
        <v>46</v>
      </c>
    </row>
    <row r="8259" spans="2:15" x14ac:dyDescent="0.3">
      <c r="B8259" s="1" t="s">
        <v>21</v>
      </c>
      <c r="C8259" s="1" t="str">
        <f>"1차"</f>
        <v>1차</v>
      </c>
      <c r="D8259" s="1" t="str">
        <f>"9628B46100"</f>
        <v>9628B46100</v>
      </c>
      <c r="E8259" s="1" t="s">
        <v>10</v>
      </c>
      <c r="F8259" s="1" t="str">
        <f>"10.128.69.71"</f>
        <v>10.128.69.71</v>
      </c>
      <c r="G8259" s="1" t="str">
        <f>"9628B461"</f>
        <v>9628B461</v>
      </c>
      <c r="H8259" s="1" t="str">
        <f>"구산간 3R12R1"</f>
        <v>구산간 3R12R1</v>
      </c>
      <c r="I8259" s="1" t="s">
        <v>8</v>
      </c>
      <c r="J8259" s="1" t="str">
        <f>"30/30"</f>
        <v>30/30</v>
      </c>
      <c r="K8259" s="1" t="str">
        <f t="shared" ref="K8259:K8273" si="407">"2026-07-29 13:18:11"</f>
        <v>2026-07-29 13:18:11</v>
      </c>
      <c r="L8259" s="1" t="str">
        <f>"2014-11-20 17:12:20"</f>
        <v>2014-11-20 17:12:20</v>
      </c>
      <c r="M8259" s="1" t="s">
        <v>45</v>
      </c>
      <c r="N8259" s="1" t="s">
        <v>38</v>
      </c>
      <c r="O8259" s="1" t="s">
        <v>46</v>
      </c>
    </row>
    <row r="8260" spans="2:15" x14ac:dyDescent="0.3">
      <c r="B8260" s="1" t="s">
        <v>21</v>
      </c>
      <c r="C8260" s="1" t="str">
        <f>"4차"</f>
        <v>4차</v>
      </c>
      <c r="D8260" s="1" t="str">
        <f>"9628B47139"</f>
        <v>9628B47139</v>
      </c>
      <c r="E8260" s="1" t="s">
        <v>10</v>
      </c>
      <c r="F8260" s="1" t="str">
        <f>"10.128.4.98"</f>
        <v>10.128.4.98</v>
      </c>
      <c r="G8260" s="1" t="str">
        <f>"9628B471"</f>
        <v>9628B471</v>
      </c>
      <c r="H8260" s="1" t="str">
        <f>"용두간 8L6"</f>
        <v>용두간 8L6</v>
      </c>
      <c r="I8260" s="1" t="s">
        <v>8</v>
      </c>
      <c r="J8260" s="1" t="str">
        <f>"10/10"</f>
        <v>10/10</v>
      </c>
      <c r="K8260" s="1" t="str">
        <f t="shared" si="407"/>
        <v>2026-07-29 13:18:11</v>
      </c>
      <c r="L8260" s="1" t="str">
        <f>"2018-03-26 18:53:59"</f>
        <v>2018-03-26 18:53:59</v>
      </c>
      <c r="M8260" s="1" t="s">
        <v>45</v>
      </c>
      <c r="N8260" s="1" t="s">
        <v>38</v>
      </c>
      <c r="O8260" s="1" t="s">
        <v>46</v>
      </c>
    </row>
    <row r="8261" spans="2:15" x14ac:dyDescent="0.3">
      <c r="B8261" s="1" t="s">
        <v>21</v>
      </c>
      <c r="C8261" s="1" t="str">
        <f>"1차"</f>
        <v>1차</v>
      </c>
      <c r="D8261" s="1" t="str">
        <f>"9628B53100"</f>
        <v>9628B53100</v>
      </c>
      <c r="E8261" s="1" t="s">
        <v>10</v>
      </c>
      <c r="F8261" s="1" t="str">
        <f>"10.128.0.144"</f>
        <v>10.128.0.144</v>
      </c>
      <c r="G8261" s="1" t="str">
        <f>"9628B531"</f>
        <v>9628B531</v>
      </c>
      <c r="H8261" s="1" t="str">
        <f>"구산간 3R19L3"</f>
        <v>구산간 3R19L3</v>
      </c>
      <c r="I8261" s="1" t="s">
        <v>8</v>
      </c>
      <c r="J8261" s="1" t="str">
        <f>"94/94"</f>
        <v>94/94</v>
      </c>
      <c r="K8261" s="1" t="str">
        <f t="shared" si="407"/>
        <v>2026-07-29 13:18:11</v>
      </c>
      <c r="L8261" s="1" t="str">
        <f>"2014-10-31 14:33:57"</f>
        <v>2014-10-31 14:33:57</v>
      </c>
      <c r="M8261" s="1" t="s">
        <v>45</v>
      </c>
      <c r="N8261" s="1" t="s">
        <v>38</v>
      </c>
      <c r="O8261" s="1" t="s">
        <v>46</v>
      </c>
    </row>
    <row r="8262" spans="2:15" x14ac:dyDescent="0.3">
      <c r="B8262" s="1" t="s">
        <v>21</v>
      </c>
      <c r="C8262" s="1" t="str">
        <f>"1차"</f>
        <v>1차</v>
      </c>
      <c r="D8262" s="1" t="str">
        <f>"9628B56102"</f>
        <v>9628B56102</v>
      </c>
      <c r="E8262" s="1" t="s">
        <v>10</v>
      </c>
      <c r="F8262" s="1" t="str">
        <f>"10.12.128.248"</f>
        <v>10.12.128.248</v>
      </c>
      <c r="G8262" s="1" t="str">
        <f>"9628B561"</f>
        <v>9628B561</v>
      </c>
      <c r="H8262" s="1" t="str">
        <f>"구산간 3R12"</f>
        <v>구산간 3R12</v>
      </c>
      <c r="I8262" s="1" t="s">
        <v>8</v>
      </c>
      <c r="J8262" s="1" t="str">
        <f>"29/30"</f>
        <v>29/30</v>
      </c>
      <c r="K8262" s="1" t="str">
        <f t="shared" si="407"/>
        <v>2026-07-29 13:18:11</v>
      </c>
      <c r="L8262" s="1" t="str">
        <f>"2014-11-20 17:10:59"</f>
        <v>2014-11-20 17:10:59</v>
      </c>
      <c r="M8262" s="1" t="s">
        <v>0</v>
      </c>
      <c r="N8262" s="1" t="s">
        <v>38</v>
      </c>
      <c r="O8262" s="1" t="s">
        <v>46</v>
      </c>
    </row>
    <row r="8263" spans="2:15" x14ac:dyDescent="0.3">
      <c r="B8263" s="1" t="s">
        <v>21</v>
      </c>
      <c r="C8263" s="1" t="str">
        <f>"3차"</f>
        <v>3차</v>
      </c>
      <c r="D8263" s="1" t="str">
        <f>"9628B56239"</f>
        <v>9628B56239</v>
      </c>
      <c r="E8263" s="1" t="s">
        <v>10</v>
      </c>
      <c r="F8263" s="1" t="str">
        <f>"10.128.4.73"</f>
        <v>10.128.4.73</v>
      </c>
      <c r="G8263" s="1" t="str">
        <f>"9628B562"</f>
        <v>9628B562</v>
      </c>
      <c r="H8263" s="1" t="str">
        <f>"구산간 3R13"</f>
        <v>구산간 3R13</v>
      </c>
      <c r="I8263" s="1" t="s">
        <v>8</v>
      </c>
      <c r="J8263" s="1" t="str">
        <f>"59/59"</f>
        <v>59/59</v>
      </c>
      <c r="K8263" s="1" t="str">
        <f t="shared" si="407"/>
        <v>2026-07-29 13:18:11</v>
      </c>
      <c r="L8263" s="1" t="str">
        <f>"2018-03-26 18:56:42"</f>
        <v>2018-03-26 18:56:42</v>
      </c>
      <c r="M8263" s="1" t="s">
        <v>45</v>
      </c>
      <c r="N8263" s="1" t="s">
        <v>38</v>
      </c>
      <c r="O8263" s="1" t="s">
        <v>46</v>
      </c>
    </row>
    <row r="8264" spans="2:15" x14ac:dyDescent="0.3">
      <c r="B8264" s="1" t="s">
        <v>21</v>
      </c>
      <c r="C8264" s="1" t="str">
        <f>"1차"</f>
        <v>1차</v>
      </c>
      <c r="D8264" s="1" t="str">
        <f>"9628B57300"</f>
        <v>9628B57300</v>
      </c>
      <c r="E8264" s="1" t="s">
        <v>10</v>
      </c>
      <c r="F8264" s="1" t="str">
        <f>"10.128.2.144"</f>
        <v>10.128.2.144</v>
      </c>
      <c r="G8264" s="1" t="str">
        <f>"9628B573"</f>
        <v>9628B573</v>
      </c>
      <c r="H8264" s="1" t="str">
        <f>"구산간 3R11R2"</f>
        <v>구산간 3R11R2</v>
      </c>
      <c r="I8264" s="1" t="s">
        <v>8</v>
      </c>
      <c r="J8264" s="1" t="str">
        <f>"37/37"</f>
        <v>37/37</v>
      </c>
      <c r="K8264" s="1" t="str">
        <f t="shared" si="407"/>
        <v>2026-07-29 13:18:11</v>
      </c>
      <c r="L8264" s="1" t="str">
        <f>"2014-12-08 13:30:32"</f>
        <v>2014-12-08 13:30:32</v>
      </c>
      <c r="M8264" s="1" t="s">
        <v>45</v>
      </c>
      <c r="N8264" s="1" t="s">
        <v>38</v>
      </c>
      <c r="O8264" s="1" t="s">
        <v>46</v>
      </c>
    </row>
    <row r="8265" spans="2:15" x14ac:dyDescent="0.3">
      <c r="B8265" s="1" t="s">
        <v>21</v>
      </c>
      <c r="C8265" s="1" t="str">
        <f>"1차"</f>
        <v>1차</v>
      </c>
      <c r="D8265" s="1" t="str">
        <f>"9628B58100"</f>
        <v>9628B58100</v>
      </c>
      <c r="E8265" s="1" t="s">
        <v>10</v>
      </c>
      <c r="F8265" s="1" t="str">
        <f>"10.128.0.147"</f>
        <v>10.128.0.147</v>
      </c>
      <c r="G8265" s="1" t="str">
        <f>"9628B581"</f>
        <v>9628B581</v>
      </c>
      <c r="H8265" s="1" t="str">
        <f>"용두간 8L4"</f>
        <v>용두간 8L4</v>
      </c>
      <c r="I8265" s="1" t="s">
        <v>8</v>
      </c>
      <c r="J8265" s="1" t="str">
        <f>"21/21"</f>
        <v>21/21</v>
      </c>
      <c r="K8265" s="1" t="str">
        <f t="shared" si="407"/>
        <v>2026-07-29 13:18:11</v>
      </c>
      <c r="L8265" s="1" t="str">
        <f>"2014-11-13 17:56:55"</f>
        <v>2014-11-13 17:56:55</v>
      </c>
      <c r="M8265" s="1" t="s">
        <v>45</v>
      </c>
      <c r="N8265" s="1" t="s">
        <v>38</v>
      </c>
      <c r="O8265" s="1" t="s">
        <v>46</v>
      </c>
    </row>
    <row r="8266" spans="2:15" x14ac:dyDescent="0.3">
      <c r="B8266" s="1" t="s">
        <v>21</v>
      </c>
      <c r="C8266" s="1" t="str">
        <f>"4차"</f>
        <v>4차</v>
      </c>
      <c r="D8266" s="1" t="str">
        <f>"9628B58339"</f>
        <v>9628B58339</v>
      </c>
      <c r="E8266" s="1" t="s">
        <v>10</v>
      </c>
      <c r="F8266" s="1" t="str">
        <f>"10.128.4.12"</f>
        <v>10.128.4.12</v>
      </c>
      <c r="G8266" s="1" t="str">
        <f>"9628B583"</f>
        <v>9628B583</v>
      </c>
      <c r="H8266" s="1" t="str">
        <f>"용두간 8HHL4L1R1"</f>
        <v>용두간 8HHL4L1R1</v>
      </c>
      <c r="I8266" s="1" t="s">
        <v>8</v>
      </c>
      <c r="J8266" s="1" t="str">
        <f>"32/32"</f>
        <v>32/32</v>
      </c>
      <c r="K8266" s="1" t="str">
        <f t="shared" si="407"/>
        <v>2026-07-29 13:18:11</v>
      </c>
      <c r="L8266" s="1" t="str">
        <f>"2018-02-19 12:27:34"</f>
        <v>2018-02-19 12:27:34</v>
      </c>
      <c r="M8266" s="1" t="s">
        <v>45</v>
      </c>
      <c r="N8266" s="1" t="s">
        <v>38</v>
      </c>
      <c r="O8266" s="1" t="s">
        <v>46</v>
      </c>
    </row>
    <row r="8267" spans="2:15" x14ac:dyDescent="0.3">
      <c r="B8267" s="1" t="s">
        <v>21</v>
      </c>
      <c r="C8267" s="1" t="str">
        <f>"3차"</f>
        <v>3차</v>
      </c>
      <c r="D8267" s="1" t="str">
        <f>"9628B59139"</f>
        <v>9628B59139</v>
      </c>
      <c r="E8267" s="1" t="s">
        <v>10</v>
      </c>
      <c r="F8267" s="1" t="str">
        <f>"10.128.4.16"</f>
        <v>10.128.4.16</v>
      </c>
      <c r="G8267" s="1" t="str">
        <f>"9628B591"</f>
        <v>9628B591</v>
      </c>
      <c r="H8267" s="1" t="str">
        <f>"용두간 8L3"</f>
        <v>용두간 8L3</v>
      </c>
      <c r="I8267" s="1" t="s">
        <v>8</v>
      </c>
      <c r="J8267" s="1" t="str">
        <f>"30/30"</f>
        <v>30/30</v>
      </c>
      <c r="K8267" s="1" t="str">
        <f t="shared" si="407"/>
        <v>2026-07-29 13:18:11</v>
      </c>
      <c r="L8267" s="1" t="str">
        <f>"2018-02-24 11:01:28"</f>
        <v>2018-02-24 11:01:28</v>
      </c>
      <c r="M8267" s="1" t="s">
        <v>45</v>
      </c>
      <c r="N8267" s="1" t="s">
        <v>38</v>
      </c>
      <c r="O8267" s="1" t="s">
        <v>46</v>
      </c>
    </row>
    <row r="8268" spans="2:15" x14ac:dyDescent="0.3">
      <c r="B8268" s="1" t="s">
        <v>21</v>
      </c>
      <c r="C8268" s="1" t="str">
        <f>"4차"</f>
        <v>4차</v>
      </c>
      <c r="D8268" s="1" t="str">
        <f>"9628B59239"</f>
        <v>9628B59239</v>
      </c>
      <c r="E8268" s="1" t="s">
        <v>10</v>
      </c>
      <c r="F8268" s="1" t="str">
        <f>"10.128.4.15"</f>
        <v>10.128.4.15</v>
      </c>
      <c r="G8268" s="1" t="str">
        <f>"9628B592"</f>
        <v>9628B592</v>
      </c>
      <c r="H8268" s="1" t="str">
        <f>"용두간 8L2"</f>
        <v>용두간 8L2</v>
      </c>
      <c r="I8268" s="1" t="s">
        <v>8</v>
      </c>
      <c r="J8268" s="1" t="str">
        <f>"24/24"</f>
        <v>24/24</v>
      </c>
      <c r="K8268" s="1" t="str">
        <f t="shared" si="407"/>
        <v>2026-07-29 13:18:11</v>
      </c>
      <c r="L8268" s="1" t="str">
        <f>"2018-02-19 12:17:10"</f>
        <v>2018-02-19 12:17:10</v>
      </c>
      <c r="M8268" s="1" t="s">
        <v>45</v>
      </c>
      <c r="N8268" s="1" t="s">
        <v>38</v>
      </c>
      <c r="O8268" s="1" t="s">
        <v>46</v>
      </c>
    </row>
    <row r="8269" spans="2:15" x14ac:dyDescent="0.3">
      <c r="B8269" s="1" t="s">
        <v>21</v>
      </c>
      <c r="C8269" s="1" t="str">
        <f>"3차"</f>
        <v>3차</v>
      </c>
      <c r="D8269" s="1" t="str">
        <f>"9628B59339"</f>
        <v>9628B59339</v>
      </c>
      <c r="E8269" s="1" t="s">
        <v>10</v>
      </c>
      <c r="F8269" s="1" t="str">
        <f>"10.128.4.11"</f>
        <v>10.128.4.11</v>
      </c>
      <c r="G8269" s="1" t="str">
        <f>"9628B593"</f>
        <v>9628B593</v>
      </c>
      <c r="H8269" s="1" t="str">
        <f>"용두간 8HHL4L1"</f>
        <v>용두간 8HHL4L1</v>
      </c>
      <c r="I8269" s="1" t="s">
        <v>8</v>
      </c>
      <c r="J8269" s="1" t="str">
        <f>"12/12"</f>
        <v>12/12</v>
      </c>
      <c r="K8269" s="1" t="str">
        <f t="shared" si="407"/>
        <v>2026-07-29 13:18:11</v>
      </c>
      <c r="L8269" s="1" t="str">
        <f>"2018-02-19 13:01:26"</f>
        <v>2018-02-19 13:01:26</v>
      </c>
      <c r="M8269" s="1" t="s">
        <v>45</v>
      </c>
      <c r="N8269" s="1" t="s">
        <v>38</v>
      </c>
      <c r="O8269" s="1" t="s">
        <v>46</v>
      </c>
    </row>
    <row r="8270" spans="2:15" x14ac:dyDescent="0.3">
      <c r="B8270" s="1" t="s">
        <v>21</v>
      </c>
      <c r="C8270" s="1" t="str">
        <f>"3차"</f>
        <v>3차</v>
      </c>
      <c r="D8270" s="1" t="str">
        <f>"9628B65331"</f>
        <v>9628B65331</v>
      </c>
      <c r="E8270" s="1" t="s">
        <v>10</v>
      </c>
      <c r="F8270" s="1" t="str">
        <f>"10.128.3.85"</f>
        <v>10.128.3.85</v>
      </c>
      <c r="G8270" s="1" t="str">
        <f>"9628B653"</f>
        <v>9628B653</v>
      </c>
      <c r="H8270" s="1" t="str">
        <f>"구산간 3R11L1"</f>
        <v>구산간 3R11L1</v>
      </c>
      <c r="I8270" s="1" t="s">
        <v>8</v>
      </c>
      <c r="J8270" s="1" t="str">
        <f>"47/47"</f>
        <v>47/47</v>
      </c>
      <c r="K8270" s="1" t="str">
        <f t="shared" si="407"/>
        <v>2026-07-29 13:18:11</v>
      </c>
      <c r="L8270" s="1" t="str">
        <f>"2018-01-18 16:34:28"</f>
        <v>2018-01-18 16:34:28</v>
      </c>
      <c r="M8270" s="1" t="s">
        <v>45</v>
      </c>
      <c r="N8270" s="1" t="s">
        <v>38</v>
      </c>
      <c r="O8270" s="1" t="s">
        <v>46</v>
      </c>
    </row>
    <row r="8271" spans="2:15" x14ac:dyDescent="0.3">
      <c r="B8271" s="1" t="s">
        <v>21</v>
      </c>
      <c r="C8271" s="1" t="str">
        <f>"4차"</f>
        <v>4차</v>
      </c>
      <c r="D8271" s="1" t="str">
        <f>"9628B66130"</f>
        <v>9628B66130</v>
      </c>
      <c r="E8271" s="1" t="s">
        <v>10</v>
      </c>
      <c r="F8271" s="1" t="str">
        <f>"10.128.3.84"</f>
        <v>10.128.3.84</v>
      </c>
      <c r="G8271" s="1" t="str">
        <f>"9628B661"</f>
        <v>9628B661</v>
      </c>
      <c r="H8271" s="1" t="str">
        <f>"구산간 3R11"</f>
        <v>구산간 3R11</v>
      </c>
      <c r="I8271" s="1" t="s">
        <v>8</v>
      </c>
      <c r="J8271" s="1" t="str">
        <f>"34/41"</f>
        <v>34/41</v>
      </c>
      <c r="K8271" s="1" t="str">
        <f t="shared" si="407"/>
        <v>2026-07-29 13:18:11</v>
      </c>
      <c r="L8271" s="1" t="str">
        <f>"2017-12-27 15:01:12"</f>
        <v>2017-12-27 15:01:12</v>
      </c>
      <c r="M8271" s="1" t="s">
        <v>45</v>
      </c>
      <c r="N8271" s="1" t="s">
        <v>38</v>
      </c>
      <c r="O8271" s="1" t="s">
        <v>46</v>
      </c>
    </row>
    <row r="8272" spans="2:15" x14ac:dyDescent="0.3">
      <c r="B8272" s="1" t="s">
        <v>21</v>
      </c>
      <c r="C8272" s="1" t="str">
        <f>"3차"</f>
        <v>3차</v>
      </c>
      <c r="D8272" s="1" t="str">
        <f>"9628B69139"</f>
        <v>9628B69139</v>
      </c>
      <c r="E8272" s="1" t="s">
        <v>10</v>
      </c>
      <c r="F8272" s="1" t="str">
        <f>"10.128.4.13"</f>
        <v>10.128.4.13</v>
      </c>
      <c r="G8272" s="1" t="str">
        <f>"9628B691"</f>
        <v>9628B691</v>
      </c>
      <c r="H8272" s="1" t="str">
        <f>"용두간 8HHL4L2"</f>
        <v>용두간 8HHL4L2</v>
      </c>
      <c r="I8272" s="1" t="s">
        <v>8</v>
      </c>
      <c r="J8272" s="1" t="str">
        <f>"14/14"</f>
        <v>14/14</v>
      </c>
      <c r="K8272" s="1" t="str">
        <f t="shared" si="407"/>
        <v>2026-07-29 13:18:11</v>
      </c>
      <c r="L8272" s="1" t="str">
        <f>"2018-02-19 14:49:19"</f>
        <v>2018-02-19 14:49:19</v>
      </c>
      <c r="M8272" s="1" t="s">
        <v>45</v>
      </c>
      <c r="N8272" s="1" t="s">
        <v>38</v>
      </c>
      <c r="O8272" s="1" t="s">
        <v>46</v>
      </c>
    </row>
    <row r="8273" spans="2:15" x14ac:dyDescent="0.3">
      <c r="B8273" s="1" t="s">
        <v>21</v>
      </c>
      <c r="C8273" s="1" t="str">
        <f>"1차"</f>
        <v>1차</v>
      </c>
      <c r="D8273" s="1" t="str">
        <f>"9628B75200"</f>
        <v>9628B75200</v>
      </c>
      <c r="E8273" s="1" t="s">
        <v>10</v>
      </c>
      <c r="F8273" s="1" t="str">
        <f>"10.128.0.149"</f>
        <v>10.128.0.149</v>
      </c>
      <c r="G8273" s="1" t="str">
        <f>"9628B752"</f>
        <v>9628B752</v>
      </c>
      <c r="H8273" s="1" t="str">
        <f>"구산간 3R5L6"</f>
        <v>구산간 3R5L6</v>
      </c>
      <c r="I8273" s="1" t="s">
        <v>8</v>
      </c>
      <c r="J8273" s="1" t="str">
        <f>"27/35"</f>
        <v>27/35</v>
      </c>
      <c r="K8273" s="1" t="str">
        <f t="shared" si="407"/>
        <v>2026-07-29 13:18:11</v>
      </c>
      <c r="L8273" s="1" t="str">
        <f>"2014-11-27 15:25:41"</f>
        <v>2014-11-27 15:25:41</v>
      </c>
      <c r="M8273" s="1" t="s">
        <v>45</v>
      </c>
      <c r="N8273" s="1" t="s">
        <v>38</v>
      </c>
      <c r="O8273" s="1" t="s">
        <v>46</v>
      </c>
    </row>
    <row r="8274" spans="2:15" x14ac:dyDescent="0.3">
      <c r="B8274" s="1" t="s">
        <v>21</v>
      </c>
      <c r="C8274" s="1" t="str">
        <f>"1차"</f>
        <v>1차</v>
      </c>
      <c r="D8274" s="1" t="str">
        <f>"9628B77202"</f>
        <v>9628B77202</v>
      </c>
      <c r="E8274" s="1" t="s">
        <v>10</v>
      </c>
      <c r="F8274" s="1" t="str">
        <f>"10.12.136.223"</f>
        <v>10.12.136.223</v>
      </c>
      <c r="G8274" s="1" t="str">
        <f>"9628B772"</f>
        <v>9628B772</v>
      </c>
      <c r="H8274" s="1" t="str">
        <f>"구산간 3R10R1"</f>
        <v>구산간 3R10R1</v>
      </c>
      <c r="I8274" s="1" t="s">
        <v>8</v>
      </c>
      <c r="J8274" s="1" t="str">
        <f>"12/14"</f>
        <v>12/14</v>
      </c>
      <c r="K8274" s="1" t="str">
        <f>"2026-07-29 13:18:12"</f>
        <v>2026-07-29 13:18:12</v>
      </c>
      <c r="L8274" s="1" t="str">
        <f>"2014-11-20 17:18:29"</f>
        <v>2014-11-20 17:18:29</v>
      </c>
      <c r="M8274" s="1" t="s">
        <v>0</v>
      </c>
      <c r="N8274" s="1" t="s">
        <v>38</v>
      </c>
      <c r="O8274" s="1" t="s">
        <v>46</v>
      </c>
    </row>
    <row r="8275" spans="2:15" x14ac:dyDescent="0.3">
      <c r="B8275" s="1" t="s">
        <v>21</v>
      </c>
      <c r="C8275" s="1" t="str">
        <f>"3차"</f>
        <v>3차</v>
      </c>
      <c r="D8275" s="1" t="str">
        <f>"9628B79139"</f>
        <v>9628B79139</v>
      </c>
      <c r="E8275" s="1" t="s">
        <v>10</v>
      </c>
      <c r="F8275" s="1" t="str">
        <f>"10.128.73.36"</f>
        <v>10.128.73.36</v>
      </c>
      <c r="G8275" s="1" t="str">
        <f>"9628B791"</f>
        <v>9628B791</v>
      </c>
      <c r="H8275" s="1" t="str">
        <f>"용두간 6"</f>
        <v>용두간 6</v>
      </c>
      <c r="I8275" s="1" t="s">
        <v>8</v>
      </c>
      <c r="J8275" s="1" t="str">
        <f>"13/13"</f>
        <v>13/13</v>
      </c>
      <c r="K8275" s="1" t="str">
        <f t="shared" ref="K8275:K8285" si="408">"2026-07-29 13:18:11"</f>
        <v>2026-07-29 13:18:11</v>
      </c>
      <c r="L8275" s="1" t="str">
        <f>"2018-02-19 14:53:11"</f>
        <v>2018-02-19 14:53:11</v>
      </c>
      <c r="M8275" s="1" t="s">
        <v>45</v>
      </c>
      <c r="N8275" s="1" t="s">
        <v>38</v>
      </c>
      <c r="O8275" s="1" t="s">
        <v>46</v>
      </c>
    </row>
    <row r="8276" spans="2:15" x14ac:dyDescent="0.3">
      <c r="B8276" s="1" t="s">
        <v>21</v>
      </c>
      <c r="C8276" s="1" t="str">
        <f>"3차"</f>
        <v>3차</v>
      </c>
      <c r="D8276" s="1" t="str">
        <f>"9628B79239"</f>
        <v>9628B79239</v>
      </c>
      <c r="E8276" s="1" t="s">
        <v>10</v>
      </c>
      <c r="F8276" s="1" t="str">
        <f>"10.128.73.38"</f>
        <v>10.128.73.38</v>
      </c>
      <c r="G8276" s="1" t="str">
        <f>"9628B792"</f>
        <v>9628B792</v>
      </c>
      <c r="H8276" s="1" t="str">
        <f>"용두간 7H1"</f>
        <v>용두간 7H1</v>
      </c>
      <c r="I8276" s="1" t="s">
        <v>8</v>
      </c>
      <c r="J8276" s="1" t="str">
        <f>"8/8"</f>
        <v>8/8</v>
      </c>
      <c r="K8276" s="1" t="str">
        <f t="shared" si="408"/>
        <v>2026-07-29 13:18:11</v>
      </c>
      <c r="L8276" s="1" t="str">
        <f>"2018-02-19 16:09:13"</f>
        <v>2018-02-19 16:09:13</v>
      </c>
      <c r="M8276" s="1" t="s">
        <v>45</v>
      </c>
      <c r="N8276" s="1" t="s">
        <v>38</v>
      </c>
      <c r="O8276" s="1" t="s">
        <v>46</v>
      </c>
    </row>
    <row r="8277" spans="2:15" x14ac:dyDescent="0.3">
      <c r="B8277" s="1" t="s">
        <v>21</v>
      </c>
      <c r="C8277" s="1" t="str">
        <f>"3차"</f>
        <v>3차</v>
      </c>
      <c r="D8277" s="1" t="str">
        <f>"9628B89439"</f>
        <v>9628B89439</v>
      </c>
      <c r="E8277" s="1" t="s">
        <v>10</v>
      </c>
      <c r="F8277" s="1" t="str">
        <f>"10.128.73.37"</f>
        <v>10.128.73.37</v>
      </c>
      <c r="G8277" s="1" t="str">
        <f>"9628B894"</f>
        <v>9628B894</v>
      </c>
      <c r="H8277" s="1" t="str">
        <f>"용두간 6H1"</f>
        <v>용두간 6H1</v>
      </c>
      <c r="I8277" s="1" t="s">
        <v>8</v>
      </c>
      <c r="J8277" s="1" t="str">
        <f>"15/15"</f>
        <v>15/15</v>
      </c>
      <c r="K8277" s="1" t="str">
        <f t="shared" si="408"/>
        <v>2026-07-29 13:18:11</v>
      </c>
      <c r="L8277" s="1" t="str">
        <f>"2018-02-19 16:04:44"</f>
        <v>2018-02-19 16:04:44</v>
      </c>
      <c r="M8277" s="1" t="s">
        <v>45</v>
      </c>
      <c r="N8277" s="1" t="s">
        <v>38</v>
      </c>
      <c r="O8277" s="1" t="s">
        <v>46</v>
      </c>
    </row>
    <row r="8278" spans="2:15" x14ac:dyDescent="0.3">
      <c r="B8278" s="1" t="s">
        <v>21</v>
      </c>
      <c r="C8278" s="1" t="str">
        <f>"3차"</f>
        <v>3차</v>
      </c>
      <c r="D8278" s="1" t="str">
        <f>"9628B90139"</f>
        <v>9628B90139</v>
      </c>
      <c r="E8278" s="1" t="s">
        <v>10</v>
      </c>
      <c r="F8278" s="1" t="str">
        <f>"10.128.3.107"</f>
        <v>10.128.3.107</v>
      </c>
      <c r="G8278" s="1" t="str">
        <f>"9628B901"</f>
        <v>9628B901</v>
      </c>
      <c r="H8278" s="1" t="str">
        <f>"구산간 3R3L5R1L2"</f>
        <v>구산간 3R3L5R1L2</v>
      </c>
      <c r="I8278" s="1" t="s">
        <v>8</v>
      </c>
      <c r="J8278" s="1" t="str">
        <f>"32/32"</f>
        <v>32/32</v>
      </c>
      <c r="K8278" s="1" t="str">
        <f t="shared" si="408"/>
        <v>2026-07-29 13:18:11</v>
      </c>
      <c r="L8278" s="1" t="str">
        <f>"2018-01-03 11:34:54"</f>
        <v>2018-01-03 11:34:54</v>
      </c>
      <c r="M8278" s="1" t="s">
        <v>45</v>
      </c>
      <c r="N8278" s="1" t="s">
        <v>38</v>
      </c>
      <c r="O8278" s="1" t="s">
        <v>46</v>
      </c>
    </row>
    <row r="8279" spans="2:15" x14ac:dyDescent="0.3">
      <c r="B8279" s="1" t="s">
        <v>21</v>
      </c>
      <c r="C8279" s="1" t="str">
        <f>"3차"</f>
        <v>3차</v>
      </c>
      <c r="D8279" s="1" t="str">
        <f>"9628B92139"</f>
        <v>9628B92139</v>
      </c>
      <c r="E8279" s="1" t="s">
        <v>10</v>
      </c>
      <c r="F8279" s="1" t="str">
        <f>"10.128.4.74"</f>
        <v>10.128.4.74</v>
      </c>
      <c r="G8279" s="1" t="str">
        <f>"9628B921"</f>
        <v>9628B921</v>
      </c>
      <c r="H8279" s="1" t="str">
        <f>"구산간 3R3L4R2"</f>
        <v>구산간 3R3L4R2</v>
      </c>
      <c r="I8279" s="1" t="s">
        <v>8</v>
      </c>
      <c r="J8279" s="1" t="str">
        <f>"56/60"</f>
        <v>56/60</v>
      </c>
      <c r="K8279" s="1" t="str">
        <f t="shared" si="408"/>
        <v>2026-07-29 13:18:11</v>
      </c>
      <c r="L8279" s="1" t="str">
        <f>"2018-03-26 20:03:58"</f>
        <v>2018-03-26 20:03:58</v>
      </c>
      <c r="M8279" s="1" t="s">
        <v>45</v>
      </c>
      <c r="N8279" s="1" t="s">
        <v>38</v>
      </c>
      <c r="O8279" s="1" t="s">
        <v>46</v>
      </c>
    </row>
    <row r="8280" spans="2:15" x14ac:dyDescent="0.3">
      <c r="B8280" s="1" t="s">
        <v>21</v>
      </c>
      <c r="C8280" s="1" t="str">
        <f>"4차"</f>
        <v>4차</v>
      </c>
      <c r="D8280" s="1" t="str">
        <f>"9628B94139"</f>
        <v>9628B94139</v>
      </c>
      <c r="E8280" s="1" t="s">
        <v>10</v>
      </c>
      <c r="F8280" s="1" t="str">
        <f>"10.128.4.75"</f>
        <v>10.128.4.75</v>
      </c>
      <c r="G8280" s="1" t="str">
        <f>"9628B941"</f>
        <v>9628B941</v>
      </c>
      <c r="H8280" s="1" t="str">
        <f>"구산간 3R5L4"</f>
        <v>구산간 3R5L4</v>
      </c>
      <c r="I8280" s="1" t="s">
        <v>8</v>
      </c>
      <c r="J8280" s="1" t="str">
        <f>"29/30"</f>
        <v>29/30</v>
      </c>
      <c r="K8280" s="1" t="str">
        <f t="shared" si="408"/>
        <v>2026-07-29 13:18:11</v>
      </c>
      <c r="L8280" s="1" t="str">
        <f>"2018-03-26 19:09:58"</f>
        <v>2018-03-26 19:09:58</v>
      </c>
      <c r="M8280" s="1" t="s">
        <v>45</v>
      </c>
      <c r="N8280" s="1" t="s">
        <v>38</v>
      </c>
      <c r="O8280" s="1" t="s">
        <v>46</v>
      </c>
    </row>
    <row r="8281" spans="2:15" x14ac:dyDescent="0.3">
      <c r="B8281" s="1" t="s">
        <v>21</v>
      </c>
      <c r="C8281" s="1" t="str">
        <f>"1차"</f>
        <v>1차</v>
      </c>
      <c r="D8281" s="1" t="str">
        <f>"9628B95101"</f>
        <v>9628B95101</v>
      </c>
      <c r="E8281" s="1" t="s">
        <v>10</v>
      </c>
      <c r="F8281" s="1" t="str">
        <f>"10.128.0.158"</f>
        <v>10.128.0.158</v>
      </c>
      <c r="G8281" s="1" t="str">
        <f>"9628B951"</f>
        <v>9628B951</v>
      </c>
      <c r="H8281" s="1" t="str">
        <f>"구산간 3R5L2"</f>
        <v>구산간 3R5L2</v>
      </c>
      <c r="I8281" s="1" t="s">
        <v>8</v>
      </c>
      <c r="J8281" s="1" t="str">
        <f>"72/74"</f>
        <v>72/74</v>
      </c>
      <c r="K8281" s="1" t="str">
        <f t="shared" si="408"/>
        <v>2026-07-29 13:18:11</v>
      </c>
      <c r="L8281" s="1" t="str">
        <f>"2015-01-12 15:20:43"</f>
        <v>2015-01-12 15:20:43</v>
      </c>
      <c r="M8281" s="1" t="s">
        <v>45</v>
      </c>
      <c r="N8281" s="1" t="s">
        <v>38</v>
      </c>
      <c r="O8281" s="1" t="s">
        <v>46</v>
      </c>
    </row>
    <row r="8282" spans="2:15" x14ac:dyDescent="0.3">
      <c r="B8282" s="1" t="s">
        <v>21</v>
      </c>
      <c r="C8282" s="1" t="str">
        <f>"1차"</f>
        <v>1차</v>
      </c>
      <c r="D8282" s="1" t="str">
        <f>"9628B96100"</f>
        <v>9628B96100</v>
      </c>
      <c r="E8282" s="1" t="s">
        <v>10</v>
      </c>
      <c r="F8282" s="1" t="str">
        <f>"10.128.0.157"</f>
        <v>10.128.0.157</v>
      </c>
      <c r="G8282" s="1" t="str">
        <f>"9628B961"</f>
        <v>9628B961</v>
      </c>
      <c r="H8282" s="1" t="str">
        <f>"구산간 3R5"</f>
        <v>구산간 3R5</v>
      </c>
      <c r="I8282" s="1" t="s">
        <v>8</v>
      </c>
      <c r="J8282" s="1" t="str">
        <f>"58/59"</f>
        <v>58/59</v>
      </c>
      <c r="K8282" s="1" t="str">
        <f t="shared" si="408"/>
        <v>2026-07-29 13:18:11</v>
      </c>
      <c r="L8282" s="1" t="str">
        <f>"2014-11-20 17:21:44"</f>
        <v>2014-11-20 17:21:44</v>
      </c>
      <c r="M8282" s="1" t="s">
        <v>45</v>
      </c>
      <c r="N8282" s="1" t="s">
        <v>38</v>
      </c>
      <c r="O8282" s="1" t="s">
        <v>46</v>
      </c>
    </row>
    <row r="8283" spans="2:15" x14ac:dyDescent="0.3">
      <c r="B8283" s="1" t="s">
        <v>21</v>
      </c>
      <c r="C8283" s="1" t="str">
        <f>"3차"</f>
        <v>3차</v>
      </c>
      <c r="D8283" s="1" t="str">
        <f>"9628B97339"</f>
        <v>9628B97339</v>
      </c>
      <c r="E8283" s="1" t="s">
        <v>10</v>
      </c>
      <c r="F8283" s="1" t="str">
        <f>"10.128.73.35"</f>
        <v>10.128.73.35</v>
      </c>
      <c r="G8283" s="1" t="str">
        <f>"9628B973"</f>
        <v>9628B973</v>
      </c>
      <c r="H8283" s="1" t="str">
        <f>"용두간 4H2"</f>
        <v>용두간 4H2</v>
      </c>
      <c r="I8283" s="1" t="s">
        <v>8</v>
      </c>
      <c r="J8283" s="1" t="str">
        <f>"13/13"</f>
        <v>13/13</v>
      </c>
      <c r="K8283" s="1" t="str">
        <f t="shared" si="408"/>
        <v>2026-07-29 13:18:11</v>
      </c>
      <c r="L8283" s="1" t="str">
        <f>"2018-02-19 18:18:14"</f>
        <v>2018-02-19 18:18:14</v>
      </c>
      <c r="M8283" s="1" t="s">
        <v>45</v>
      </c>
      <c r="N8283" s="1" t="s">
        <v>38</v>
      </c>
      <c r="O8283" s="1" t="s">
        <v>46</v>
      </c>
    </row>
    <row r="8284" spans="2:15" x14ac:dyDescent="0.3">
      <c r="B8284" s="1" t="s">
        <v>21</v>
      </c>
      <c r="C8284" s="1" t="str">
        <f>"1차"</f>
        <v>1차</v>
      </c>
      <c r="D8284" s="1" t="str">
        <f>"9628B98200"</f>
        <v>9628B98200</v>
      </c>
      <c r="E8284" s="1" t="s">
        <v>10</v>
      </c>
      <c r="F8284" s="1" t="str">
        <f>"10.128.2.145"</f>
        <v>10.128.2.145</v>
      </c>
      <c r="G8284" s="1" t="str">
        <f>"9628B982"</f>
        <v>9628B982</v>
      </c>
      <c r="H8284" s="1" t="str">
        <f>"갈현간 56"</f>
        <v>갈현간 56</v>
      </c>
      <c r="I8284" s="1" t="s">
        <v>8</v>
      </c>
      <c r="J8284" s="1" t="str">
        <f>"11/11"</f>
        <v>11/11</v>
      </c>
      <c r="K8284" s="1" t="str">
        <f t="shared" si="408"/>
        <v>2026-07-29 13:18:11</v>
      </c>
      <c r="L8284" s="1" t="str">
        <f>"2014-10-07 00:13:40"</f>
        <v>2014-10-07 00:13:40</v>
      </c>
      <c r="M8284" s="1" t="s">
        <v>45</v>
      </c>
      <c r="N8284" s="1" t="s">
        <v>38</v>
      </c>
      <c r="O8284" s="1" t="s">
        <v>46</v>
      </c>
    </row>
    <row r="8285" spans="2:15" x14ac:dyDescent="0.3">
      <c r="B8285" s="1" t="s">
        <v>21</v>
      </c>
      <c r="C8285" s="1" t="str">
        <f>"4차"</f>
        <v>4차</v>
      </c>
      <c r="D8285" s="1" t="str">
        <f>"9628B99139"</f>
        <v>9628B99139</v>
      </c>
      <c r="E8285" s="1" t="s">
        <v>10</v>
      </c>
      <c r="F8285" s="1" t="str">
        <f>"10.128.4.71"</f>
        <v>10.128.4.71</v>
      </c>
      <c r="G8285" s="1" t="str">
        <f>"9628B991"</f>
        <v>9628B991</v>
      </c>
      <c r="H8285" s="1" t="str">
        <f>"갈현간 48R5"</f>
        <v>갈현간 48R5</v>
      </c>
      <c r="I8285" s="1" t="s">
        <v>8</v>
      </c>
      <c r="J8285" s="1" t="str">
        <f>"14/23"</f>
        <v>14/23</v>
      </c>
      <c r="K8285" s="1" t="str">
        <f t="shared" si="408"/>
        <v>2026-07-29 13:18:11</v>
      </c>
      <c r="L8285" s="1" t="str">
        <f>"2024-03-05 16:28:06"</f>
        <v>2024-03-05 16:28:06</v>
      </c>
      <c r="M8285" s="1" t="s">
        <v>45</v>
      </c>
      <c r="N8285" s="1" t="s">
        <v>38</v>
      </c>
      <c r="O8285" s="1" t="s">
        <v>46</v>
      </c>
    </row>
    <row r="8286" spans="2:15" x14ac:dyDescent="0.3">
      <c r="B8286" s="1" t="s">
        <v>21</v>
      </c>
      <c r="C8286" s="1" t="str">
        <f>"5-2차"</f>
        <v>5-2차</v>
      </c>
      <c r="D8286" s="1" t="str">
        <f>"9628D5445M"</f>
        <v>9628D5445M</v>
      </c>
      <c r="E8286" s="1" t="s">
        <v>10</v>
      </c>
      <c r="F8286" s="1" t="str">
        <f>"fde3:102:1303:106:0:0:0:3"</f>
        <v>fde3:102:1303:106:0:0:0:3</v>
      </c>
      <c r="G8286" s="1" t="str">
        <f>"9628D544"</f>
        <v>9628D544</v>
      </c>
      <c r="H8286" s="1" t="str">
        <f>"구산간 21R9"</f>
        <v>구산간 21R9</v>
      </c>
      <c r="I8286" s="1" t="s">
        <v>15</v>
      </c>
      <c r="J8286" s="1" t="str">
        <f>"79/79"</f>
        <v>79/79</v>
      </c>
      <c r="K8286" s="1" t="str">
        <f>"2026-07-29 14:20:56"</f>
        <v>2026-07-29 14:20:56</v>
      </c>
      <c r="L8286" s="1" t="str">
        <f>"2023-08-24 10:06:31"</f>
        <v>2023-08-24 10:06:31</v>
      </c>
      <c r="M8286" s="1" t="s">
        <v>45</v>
      </c>
      <c r="N8286" s="1" t="s">
        <v>38</v>
      </c>
      <c r="O8286" s="1" t="s">
        <v>46</v>
      </c>
    </row>
    <row r="8287" spans="2:15" x14ac:dyDescent="0.3">
      <c r="B8287" s="1" t="s">
        <v>21</v>
      </c>
      <c r="C8287" s="1" t="str">
        <f>"5-2차"</f>
        <v>5-2차</v>
      </c>
      <c r="D8287" s="1" t="str">
        <f>"9628D5625M"</f>
        <v>9628D5625M</v>
      </c>
      <c r="E8287" s="1" t="s">
        <v>10</v>
      </c>
      <c r="F8287" s="1" t="str">
        <f>"fde3:102:1303:1705:0:0:0:6"</f>
        <v>fde3:102:1303:1705:0:0:0:6</v>
      </c>
      <c r="G8287" s="1" t="str">
        <f>"9628D562"</f>
        <v>9628D562</v>
      </c>
      <c r="H8287" s="1" t="str">
        <f>"구산간 21R3R7"</f>
        <v>구산간 21R3R7</v>
      </c>
      <c r="I8287" s="1" t="s">
        <v>15</v>
      </c>
      <c r="J8287" s="1" t="str">
        <f>"74/74"</f>
        <v>74/74</v>
      </c>
      <c r="K8287" s="1" t="str">
        <f>"2026-07-29 14:21:22"</f>
        <v>2026-07-29 14:21:22</v>
      </c>
      <c r="L8287" s="1" t="str">
        <f>"2023-11-23 16:26:17"</f>
        <v>2023-11-23 16:26:17</v>
      </c>
      <c r="M8287" s="1" t="s">
        <v>45</v>
      </c>
      <c r="N8287" s="1" t="s">
        <v>38</v>
      </c>
      <c r="O8287" s="1" t="s">
        <v>46</v>
      </c>
    </row>
    <row r="8288" spans="2:15" x14ac:dyDescent="0.3">
      <c r="B8288" s="1" t="s">
        <v>21</v>
      </c>
      <c r="C8288" s="1" t="str">
        <f>"5-2차"</f>
        <v>5-2차</v>
      </c>
      <c r="D8288" s="1" t="str">
        <f>"9628D6315M"</f>
        <v>9628D6315M</v>
      </c>
      <c r="E8288" s="1" t="s">
        <v>10</v>
      </c>
      <c r="F8288" s="1" t="str">
        <f>"fde3:102:1303:106:0:0:0:2"</f>
        <v>fde3:102:1303:106:0:0:0:2</v>
      </c>
      <c r="G8288" s="1" t="str">
        <f>"9628D631"</f>
        <v>9628D631</v>
      </c>
      <c r="H8288" s="1" t="str">
        <f>"구산간 21R7"</f>
        <v>구산간 21R7</v>
      </c>
      <c r="I8288" s="1" t="s">
        <v>15</v>
      </c>
      <c r="J8288" s="1" t="str">
        <f>"58/58"</f>
        <v>58/58</v>
      </c>
      <c r="K8288" s="1" t="str">
        <f>"2026-07-28 20:03:26"</f>
        <v>2026-07-28 20:03:26</v>
      </c>
      <c r="L8288" s="1" t="str">
        <f>"2023-06-20 16:28:40"</f>
        <v>2023-06-20 16:28:40</v>
      </c>
      <c r="M8288" s="1" t="s">
        <v>45</v>
      </c>
      <c r="N8288" s="1" t="s">
        <v>38</v>
      </c>
      <c r="O8288" s="1" t="s">
        <v>46</v>
      </c>
    </row>
    <row r="8289" spans="2:15" x14ac:dyDescent="0.3">
      <c r="B8289" s="1" t="s">
        <v>21</v>
      </c>
      <c r="C8289" s="1" t="str">
        <f>"5-2차"</f>
        <v>5-2차</v>
      </c>
      <c r="D8289" s="1" t="str">
        <f>"9628D6515S"</f>
        <v>9628D6515S</v>
      </c>
      <c r="E8289" s="1" t="s">
        <v>10</v>
      </c>
      <c r="F8289" s="1" t="str">
        <f>"fde1:103:4:6ec3:0:0:0:2"</f>
        <v>fde1:103:4:6ec3:0:0:0:2</v>
      </c>
      <c r="G8289" s="1" t="str">
        <f>"9628D651"</f>
        <v>9628D651</v>
      </c>
      <c r="H8289" s="1" t="str">
        <f>"구산간 21R8R2"</f>
        <v>구산간 21R8R2</v>
      </c>
      <c r="I8289" s="1" t="s">
        <v>15</v>
      </c>
      <c r="J8289" s="1" t="str">
        <f>"25/25"</f>
        <v>25/25</v>
      </c>
      <c r="K8289" s="1" t="str">
        <f>"2026-07-29 14:21:44"</f>
        <v>2026-07-29 14:21:44</v>
      </c>
      <c r="L8289" s="1" t="str">
        <f>"2023-11-14 16:35:40"</f>
        <v>2023-11-14 16:35:40</v>
      </c>
      <c r="M8289" s="1" t="s">
        <v>4</v>
      </c>
      <c r="N8289" s="1" t="s">
        <v>38</v>
      </c>
      <c r="O8289" s="1" t="s">
        <v>46</v>
      </c>
    </row>
    <row r="8290" spans="2:15" x14ac:dyDescent="0.3">
      <c r="B8290" s="1" t="s">
        <v>21</v>
      </c>
      <c r="C8290" s="1" t="str">
        <f>"3차"</f>
        <v>3차</v>
      </c>
      <c r="D8290" s="1" t="str">
        <f>"9628D73339"</f>
        <v>9628D73339</v>
      </c>
      <c r="E8290" s="1" t="s">
        <v>10</v>
      </c>
      <c r="F8290" s="1" t="str">
        <f>"10.128.68.71"</f>
        <v>10.128.68.71</v>
      </c>
      <c r="G8290" s="1" t="str">
        <f>"9628D733"</f>
        <v>9628D733</v>
      </c>
      <c r="H8290" s="1" t="str">
        <f>"구산간 21R6"</f>
        <v>구산간 21R6</v>
      </c>
      <c r="I8290" s="1" t="s">
        <v>8</v>
      </c>
      <c r="J8290" s="1" t="str">
        <f>"36/36"</f>
        <v>36/36</v>
      </c>
      <c r="K8290" s="1" t="str">
        <f>"2026-07-29 13:18:11"</f>
        <v>2026-07-29 13:18:11</v>
      </c>
      <c r="L8290" s="1" t="str">
        <f>"2018-03-12 16:55:57"</f>
        <v>2018-03-12 16:55:57</v>
      </c>
      <c r="M8290" s="1" t="s">
        <v>45</v>
      </c>
      <c r="N8290" s="1" t="s">
        <v>38</v>
      </c>
      <c r="O8290" s="1" t="s">
        <v>46</v>
      </c>
    </row>
    <row r="8291" spans="2:15" x14ac:dyDescent="0.3">
      <c r="B8291" s="1" t="s">
        <v>21</v>
      </c>
      <c r="C8291" s="1" t="str">
        <f>"3차"</f>
        <v>3차</v>
      </c>
      <c r="D8291" s="1" t="str">
        <f>"9628D73539"</f>
        <v>9628D73539</v>
      </c>
      <c r="E8291" s="1" t="s">
        <v>10</v>
      </c>
      <c r="F8291" s="1" t="str">
        <f>"10.128.68.70"</f>
        <v>10.128.68.70</v>
      </c>
      <c r="G8291" s="1" t="str">
        <f>"9628D735"</f>
        <v>9628D735</v>
      </c>
      <c r="H8291" s="1" t="str">
        <f>"구산간 21R5"</f>
        <v>구산간 21R5</v>
      </c>
      <c r="I8291" s="1" t="s">
        <v>8</v>
      </c>
      <c r="J8291" s="1" t="str">
        <f>"41/41"</f>
        <v>41/41</v>
      </c>
      <c r="K8291" s="1" t="str">
        <f>"2026-07-29 13:18:11"</f>
        <v>2026-07-29 13:18:11</v>
      </c>
      <c r="L8291" s="1" t="str">
        <f>"2018-03-12 16:03:28"</f>
        <v>2018-03-12 16:03:28</v>
      </c>
      <c r="M8291" s="1" t="s">
        <v>45</v>
      </c>
      <c r="N8291" s="1" t="s">
        <v>38</v>
      </c>
      <c r="O8291" s="1" t="s">
        <v>46</v>
      </c>
    </row>
    <row r="8292" spans="2:15" x14ac:dyDescent="0.3">
      <c r="B8292" s="1" t="s">
        <v>21</v>
      </c>
      <c r="C8292" s="1" t="str">
        <f>"5-2차"</f>
        <v>5-2차</v>
      </c>
      <c r="D8292" s="1" t="str">
        <f>"9628D7515S"</f>
        <v>9628D7515S</v>
      </c>
      <c r="E8292" s="1" t="s">
        <v>10</v>
      </c>
      <c r="F8292" s="1" t="str">
        <f>"fde3:102:1303:1705:0:0:0:7"</f>
        <v>fde3:102:1303:1705:0:0:0:7</v>
      </c>
      <c r="G8292" s="1" t="str">
        <f>"9628D751"</f>
        <v>9628D751</v>
      </c>
      <c r="H8292" s="1" t="str">
        <f>"구산간 21R3R4"</f>
        <v>구산간 21R3R4</v>
      </c>
      <c r="I8292" s="1" t="s">
        <v>15</v>
      </c>
      <c r="J8292" s="1" t="str">
        <f>"29/29"</f>
        <v>29/29</v>
      </c>
      <c r="K8292" s="1" t="str">
        <f>"2026-07-29 14:20:55"</f>
        <v>2026-07-29 14:20:55</v>
      </c>
      <c r="L8292" s="1" t="str">
        <f>"2023-11-23 16:17:37"</f>
        <v>2023-11-23 16:17:37</v>
      </c>
      <c r="M8292" s="1" t="s">
        <v>45</v>
      </c>
      <c r="N8292" s="1" t="s">
        <v>38</v>
      </c>
      <c r="O8292" s="1" t="s">
        <v>46</v>
      </c>
    </row>
    <row r="8293" spans="2:15" x14ac:dyDescent="0.3">
      <c r="B8293" s="1" t="s">
        <v>21</v>
      </c>
      <c r="C8293" s="1" t="str">
        <f>"5-1차"</f>
        <v>5-1차</v>
      </c>
      <c r="D8293" s="1" t="str">
        <f>"9628D8315M"</f>
        <v>9628D8315M</v>
      </c>
      <c r="E8293" s="1" t="s">
        <v>10</v>
      </c>
      <c r="F8293" s="1" t="str">
        <f>"fde3:102:1303:100:0:0:0:2"</f>
        <v>fde3:102:1303:100:0:0:0:2</v>
      </c>
      <c r="G8293" s="1" t="str">
        <f>"9628D831"</f>
        <v>9628D831</v>
      </c>
      <c r="H8293" s="1" t="str">
        <f>"구산간 21R3"</f>
        <v>구산간 21R3</v>
      </c>
      <c r="I8293" s="1" t="s">
        <v>15</v>
      </c>
      <c r="J8293" s="1" t="str">
        <f>"67/67"</f>
        <v>67/67</v>
      </c>
      <c r="K8293" s="1" t="str">
        <f>"2026-07-29 14:20:56"</f>
        <v>2026-07-29 14:20:56</v>
      </c>
      <c r="L8293" s="1" t="str">
        <f>"2022-12-15 10:07:25"</f>
        <v>2022-12-15 10:07:25</v>
      </c>
      <c r="M8293" s="1" t="s">
        <v>45</v>
      </c>
      <c r="N8293" s="1" t="s">
        <v>38</v>
      </c>
      <c r="O8293" s="1" t="s">
        <v>46</v>
      </c>
    </row>
    <row r="8294" spans="2:15" x14ac:dyDescent="0.3">
      <c r="B8294" s="1" t="s">
        <v>21</v>
      </c>
      <c r="C8294" s="1" t="str">
        <f>"3차"</f>
        <v>3차</v>
      </c>
      <c r="D8294" s="1" t="str">
        <f>"9628D83239"</f>
        <v>9628D83239</v>
      </c>
      <c r="E8294" s="1" t="s">
        <v>10</v>
      </c>
      <c r="F8294" s="1" t="str">
        <f>"10.128.68.68"</f>
        <v>10.128.68.68</v>
      </c>
      <c r="G8294" s="1" t="str">
        <f>"9628D832"</f>
        <v>9628D832</v>
      </c>
      <c r="H8294" s="1" t="str">
        <f>"구산간 21R3R1"</f>
        <v>구산간 21R3R1</v>
      </c>
      <c r="I8294" s="1" t="s">
        <v>8</v>
      </c>
      <c r="J8294" s="1" t="str">
        <f>"35/35"</f>
        <v>35/35</v>
      </c>
      <c r="K8294" s="1" t="str">
        <f>"2026-07-29 13:18:11"</f>
        <v>2026-07-29 13:18:11</v>
      </c>
      <c r="L8294" s="1" t="str">
        <f>"2018-03-29 17:27:59"</f>
        <v>2018-03-29 17:27:59</v>
      </c>
      <c r="M8294" s="1" t="s">
        <v>45</v>
      </c>
      <c r="N8294" s="1" t="s">
        <v>38</v>
      </c>
      <c r="O8294" s="1" t="s">
        <v>46</v>
      </c>
    </row>
    <row r="8295" spans="2:15" x14ac:dyDescent="0.3">
      <c r="B8295" s="1" t="s">
        <v>21</v>
      </c>
      <c r="C8295" s="1" t="str">
        <f>"6차"</f>
        <v>6차</v>
      </c>
      <c r="D8295" s="1" t="str">
        <f>"9628D9016S"</f>
        <v>9628D9016S</v>
      </c>
      <c r="E8295" s="1" t="s">
        <v>10</v>
      </c>
      <c r="F8295" s="1" t="str">
        <f>"fde1:103:4:9328:0:0:0:2"</f>
        <v>fde1:103:4:9328:0:0:0:2</v>
      </c>
      <c r="G8295" s="1" t="str">
        <f>"9628D901"</f>
        <v>9628D901</v>
      </c>
      <c r="H8295" s="1" t="str">
        <f>"구산간 26R4"</f>
        <v>구산간 26R4</v>
      </c>
      <c r="I8295" s="1" t="s">
        <v>15</v>
      </c>
      <c r="J8295" s="1" t="str">
        <f>"45/51"</f>
        <v>45/51</v>
      </c>
      <c r="K8295" s="1" t="str">
        <f>"2026-07-29 14:21:23"</f>
        <v>2026-07-29 14:21:23</v>
      </c>
      <c r="L8295" s="1" t="str">
        <f>"2025-01-21 10:44:08"</f>
        <v>2025-01-21 10:44:08</v>
      </c>
      <c r="M8295" s="1" t="s">
        <v>4</v>
      </c>
      <c r="N8295" s="1" t="s">
        <v>38</v>
      </c>
      <c r="O8295" s="1" t="s">
        <v>46</v>
      </c>
    </row>
    <row r="8296" spans="2:15" x14ac:dyDescent="0.3">
      <c r="B8296" s="1" t="s">
        <v>21</v>
      </c>
      <c r="C8296" s="1" t="str">
        <f>"3차"</f>
        <v>3차</v>
      </c>
      <c r="D8296" s="1" t="str">
        <f>"9628D91139"</f>
        <v>9628D91139</v>
      </c>
      <c r="E8296" s="1" t="s">
        <v>10</v>
      </c>
      <c r="F8296" s="1" t="str">
        <f>"10.128.68.52"</f>
        <v>10.128.68.52</v>
      </c>
      <c r="G8296" s="1" t="str">
        <f>"9628D911"</f>
        <v>9628D911</v>
      </c>
      <c r="H8296" s="1" t="str">
        <f>"구산간 26R5"</f>
        <v>구산간 26R5</v>
      </c>
      <c r="I8296" s="1" t="s">
        <v>8</v>
      </c>
      <c r="J8296" s="1" t="str">
        <f>"93/93"</f>
        <v>93/93</v>
      </c>
      <c r="K8296" s="1" t="str">
        <f>"2026-07-29 13:18:11"</f>
        <v>2026-07-29 13:18:11</v>
      </c>
      <c r="L8296" s="1" t="str">
        <f>"2018-03-29 17:42:59"</f>
        <v>2018-03-29 17:42:59</v>
      </c>
      <c r="M8296" s="1" t="s">
        <v>45</v>
      </c>
      <c r="N8296" s="1" t="s">
        <v>38</v>
      </c>
      <c r="O8296" s="1" t="s">
        <v>46</v>
      </c>
    </row>
    <row r="8297" spans="2:15" x14ac:dyDescent="0.3">
      <c r="B8297" s="1" t="s">
        <v>21</v>
      </c>
      <c r="C8297" s="1" t="str">
        <f>"5-2차"</f>
        <v>5-2차</v>
      </c>
      <c r="D8297" s="1" t="str">
        <f>"9628D9315M"</f>
        <v>9628D9315M</v>
      </c>
      <c r="E8297" s="1" t="s">
        <v>10</v>
      </c>
      <c r="F8297" s="1" t="str">
        <f>"fde3:102:1303:100:0:0:0:3"</f>
        <v>fde3:102:1303:100:0:0:0:3</v>
      </c>
      <c r="G8297" s="1" t="str">
        <f>"9628D931"</f>
        <v>9628D931</v>
      </c>
      <c r="H8297" s="1" t="str">
        <f>"구산간 21R2"</f>
        <v>구산간 21R2</v>
      </c>
      <c r="I8297" s="1" t="s">
        <v>15</v>
      </c>
      <c r="J8297" s="1" t="str">
        <f>"103/104"</f>
        <v>103/104</v>
      </c>
      <c r="K8297" s="1" t="str">
        <f>"2026-07-29 14:21:43"</f>
        <v>2026-07-29 14:21:43</v>
      </c>
      <c r="L8297" s="1" t="str">
        <f>"2023-07-24 11:22:23"</f>
        <v>2023-07-24 11:22:23</v>
      </c>
      <c r="M8297" s="1" t="s">
        <v>45</v>
      </c>
      <c r="N8297" s="1" t="s">
        <v>38</v>
      </c>
      <c r="O8297" s="1" t="s">
        <v>46</v>
      </c>
    </row>
    <row r="8298" spans="2:15" x14ac:dyDescent="0.3">
      <c r="B8298" s="1" t="s">
        <v>21</v>
      </c>
      <c r="C8298" s="1" t="str">
        <f>"3차"</f>
        <v>3차</v>
      </c>
      <c r="D8298" s="1" t="str">
        <f>"9628D93339"</f>
        <v>9628D93339</v>
      </c>
      <c r="E8298" s="1" t="s">
        <v>10</v>
      </c>
      <c r="F8298" s="1" t="str">
        <f>"10.128.3.104"</f>
        <v>10.128.3.104</v>
      </c>
      <c r="G8298" s="1" t="str">
        <f>"9628D933"</f>
        <v>9628D933</v>
      </c>
      <c r="H8298" s="1" t="str">
        <f>"구산간 3R3L16"</f>
        <v>구산간 3R3L16</v>
      </c>
      <c r="I8298" s="1" t="s">
        <v>8</v>
      </c>
      <c r="J8298" s="1" t="str">
        <f>"27/27"</f>
        <v>27/27</v>
      </c>
      <c r="K8298" s="1" t="str">
        <f>"2026-07-29 13:18:11"</f>
        <v>2026-07-29 13:18:11</v>
      </c>
      <c r="L8298" s="1" t="str">
        <f>"2018-01-03 12:16:55"</f>
        <v>2018-01-03 12:16:55</v>
      </c>
      <c r="M8298" s="1" t="s">
        <v>45</v>
      </c>
      <c r="N8298" s="1" t="s">
        <v>38</v>
      </c>
      <c r="O8298" s="1" t="s">
        <v>46</v>
      </c>
    </row>
    <row r="8299" spans="2:15" x14ac:dyDescent="0.3">
      <c r="B8299" s="1" t="s">
        <v>21</v>
      </c>
      <c r="C8299" s="1" t="str">
        <f>"4차"</f>
        <v>4차</v>
      </c>
      <c r="D8299" s="1" t="str">
        <f>"9628D94139"</f>
        <v>9628D94139</v>
      </c>
      <c r="E8299" s="1" t="s">
        <v>10</v>
      </c>
      <c r="F8299" s="1" t="str">
        <f>"10.128.3.103"</f>
        <v>10.128.3.103</v>
      </c>
      <c r="G8299" s="1" t="str">
        <f>"9628D941"</f>
        <v>9628D941</v>
      </c>
      <c r="H8299" s="1" t="str">
        <f>"구산간 3R3L15"</f>
        <v>구산간 3R3L15</v>
      </c>
      <c r="I8299" s="1" t="s">
        <v>8</v>
      </c>
      <c r="J8299" s="1" t="str">
        <f>"50/50"</f>
        <v>50/50</v>
      </c>
      <c r="K8299" s="1" t="str">
        <f>"2026-07-29 13:18:11"</f>
        <v>2026-07-29 13:18:11</v>
      </c>
      <c r="L8299" s="1" t="str">
        <f>"2018-01-17 18:17:28"</f>
        <v>2018-01-17 18:17:28</v>
      </c>
      <c r="M8299" s="1" t="s">
        <v>45</v>
      </c>
      <c r="N8299" s="1" t="s">
        <v>38</v>
      </c>
      <c r="O8299" s="1" t="s">
        <v>46</v>
      </c>
    </row>
    <row r="8300" spans="2:15" x14ac:dyDescent="0.3">
      <c r="B8300" s="1" t="s">
        <v>21</v>
      </c>
      <c r="C8300" s="1" t="str">
        <f>"4차"</f>
        <v>4차</v>
      </c>
      <c r="D8300" s="1" t="str">
        <f>"9628D95130"</f>
        <v>9628D95130</v>
      </c>
      <c r="E8300" s="1" t="s">
        <v>10</v>
      </c>
      <c r="F8300" s="1" t="str">
        <f>"10.128.3.101"</f>
        <v>10.128.3.101</v>
      </c>
      <c r="G8300" s="1" t="str">
        <f>"9628D951"</f>
        <v>9628D951</v>
      </c>
      <c r="H8300" s="1" t="str">
        <f>"구산간 3R3L13"</f>
        <v>구산간 3R3L13</v>
      </c>
      <c r="I8300" s="1" t="s">
        <v>8</v>
      </c>
      <c r="J8300" s="1" t="str">
        <f>"35/35"</f>
        <v>35/35</v>
      </c>
      <c r="K8300" s="1" t="str">
        <f>"2026-07-29 13:18:11"</f>
        <v>2026-07-29 13:18:11</v>
      </c>
      <c r="L8300" s="1" t="str">
        <f>"2018-01-18 16:36:27"</f>
        <v>2018-01-18 16:36:27</v>
      </c>
      <c r="M8300" s="1" t="s">
        <v>45</v>
      </c>
      <c r="N8300" s="1" t="s">
        <v>38</v>
      </c>
      <c r="O8300" s="1" t="s">
        <v>46</v>
      </c>
    </row>
    <row r="8301" spans="2:15" x14ac:dyDescent="0.3">
      <c r="B8301" s="1" t="s">
        <v>21</v>
      </c>
      <c r="C8301" s="1" t="str">
        <f>"3차"</f>
        <v>3차</v>
      </c>
      <c r="D8301" s="1" t="str">
        <f>"9628D95231"</f>
        <v>9628D95231</v>
      </c>
      <c r="E8301" s="1" t="s">
        <v>10</v>
      </c>
      <c r="F8301" s="1" t="str">
        <f>"10.128.3.102"</f>
        <v>10.128.3.102</v>
      </c>
      <c r="G8301" s="1" t="str">
        <f>"9628D952"</f>
        <v>9628D952</v>
      </c>
      <c r="H8301" s="1" t="str">
        <f>"구산간 3R3L14"</f>
        <v>구산간 3R3L14</v>
      </c>
      <c r="I8301" s="1" t="s">
        <v>8</v>
      </c>
      <c r="J8301" s="1" t="str">
        <f>"80/80"</f>
        <v>80/80</v>
      </c>
      <c r="K8301" s="1" t="str">
        <f>"2026-07-29 13:18:11"</f>
        <v>2026-07-29 13:18:11</v>
      </c>
      <c r="L8301" s="1" t="str">
        <f>"2018-01-18 16:42:43"</f>
        <v>2018-01-18 16:42:43</v>
      </c>
      <c r="M8301" s="1" t="s">
        <v>45</v>
      </c>
      <c r="N8301" s="1" t="s">
        <v>38</v>
      </c>
      <c r="O8301" s="1" t="s">
        <v>46</v>
      </c>
    </row>
    <row r="8302" spans="2:15" x14ac:dyDescent="0.3">
      <c r="B8302" s="1" t="s">
        <v>21</v>
      </c>
      <c r="C8302" s="1" t="str">
        <f>"3차"</f>
        <v>3차</v>
      </c>
      <c r="D8302" s="1" t="str">
        <f>"9628E00239"</f>
        <v>9628E00239</v>
      </c>
      <c r="E8302" s="1" t="s">
        <v>10</v>
      </c>
      <c r="F8302" s="1" t="str">
        <f>"10.128.3.109"</f>
        <v>10.128.3.109</v>
      </c>
      <c r="G8302" s="1" t="str">
        <f>"9628E002"</f>
        <v>9628E002</v>
      </c>
      <c r="H8302" s="1" t="str">
        <f>"구산간 3R3L7"</f>
        <v>구산간 3R3L7</v>
      </c>
      <c r="I8302" s="1" t="s">
        <v>8</v>
      </c>
      <c r="J8302" s="1" t="str">
        <f>"20/20"</f>
        <v>20/20</v>
      </c>
      <c r="K8302" s="1" t="str">
        <f>"2026-07-29 13:18:12"</f>
        <v>2026-07-29 13:18:12</v>
      </c>
      <c r="L8302" s="1" t="str">
        <f>"2018-01-03 12:46:40"</f>
        <v>2018-01-03 12:46:40</v>
      </c>
      <c r="M8302" s="1" t="s">
        <v>45</v>
      </c>
      <c r="N8302" s="1" t="s">
        <v>38</v>
      </c>
      <c r="O8302" s="1" t="s">
        <v>46</v>
      </c>
    </row>
    <row r="8303" spans="2:15" x14ac:dyDescent="0.3">
      <c r="B8303" s="1" t="s">
        <v>21</v>
      </c>
      <c r="C8303" s="1" t="str">
        <f>"3차"</f>
        <v>3차</v>
      </c>
      <c r="D8303" s="1" t="str">
        <f>"9628E01139"</f>
        <v>9628E01139</v>
      </c>
      <c r="E8303" s="1" t="s">
        <v>10</v>
      </c>
      <c r="F8303" s="1" t="str">
        <f>"10.128.3.108"</f>
        <v>10.128.3.108</v>
      </c>
      <c r="G8303" s="1" t="str">
        <f>"9628E011"</f>
        <v>9628E011</v>
      </c>
      <c r="H8303" s="1" t="str">
        <f>"구산간 3R3L6"</f>
        <v>구산간 3R3L6</v>
      </c>
      <c r="I8303" s="1" t="s">
        <v>8</v>
      </c>
      <c r="J8303" s="1" t="str">
        <f>"33/34"</f>
        <v>33/34</v>
      </c>
      <c r="K8303" s="1" t="str">
        <f t="shared" ref="K8303:K8312" si="409">"2026-07-29 13:18:11"</f>
        <v>2026-07-29 13:18:11</v>
      </c>
      <c r="L8303" s="1" t="str">
        <f>"2018-01-18 15:29:42"</f>
        <v>2018-01-18 15:29:42</v>
      </c>
      <c r="M8303" s="1" t="s">
        <v>45</v>
      </c>
      <c r="N8303" s="1" t="s">
        <v>38</v>
      </c>
      <c r="O8303" s="1" t="s">
        <v>46</v>
      </c>
    </row>
    <row r="8304" spans="2:15" x14ac:dyDescent="0.3">
      <c r="B8304" s="1" t="s">
        <v>21</v>
      </c>
      <c r="C8304" s="1" t="str">
        <f>"3차"</f>
        <v>3차</v>
      </c>
      <c r="D8304" s="1" t="str">
        <f>"9628E01239"</f>
        <v>9628E01239</v>
      </c>
      <c r="E8304" s="1" t="s">
        <v>10</v>
      </c>
      <c r="F8304" s="1" t="str">
        <f>"10.128.3.105"</f>
        <v>10.128.3.105</v>
      </c>
      <c r="G8304" s="1" t="str">
        <f>"9628E012"</f>
        <v>9628E012</v>
      </c>
      <c r="H8304" s="1" t="str">
        <f>"구산간 3R3L5"</f>
        <v>구산간 3R3L5</v>
      </c>
      <c r="I8304" s="1" t="s">
        <v>8</v>
      </c>
      <c r="J8304" s="1" t="str">
        <f>"12/12"</f>
        <v>12/12</v>
      </c>
      <c r="K8304" s="1" t="str">
        <f t="shared" si="409"/>
        <v>2026-07-29 13:18:11</v>
      </c>
      <c r="L8304" s="1" t="str">
        <f>"2018-01-03 12:58:25"</f>
        <v>2018-01-03 12:58:25</v>
      </c>
      <c r="M8304" s="1" t="s">
        <v>45</v>
      </c>
      <c r="N8304" s="1" t="s">
        <v>38</v>
      </c>
      <c r="O8304" s="1" t="s">
        <v>46</v>
      </c>
    </row>
    <row r="8305" spans="2:15" x14ac:dyDescent="0.3">
      <c r="B8305" s="1" t="s">
        <v>21</v>
      </c>
      <c r="C8305" s="1" t="str">
        <f>"3차"</f>
        <v>3차</v>
      </c>
      <c r="D8305" s="1" t="str">
        <f>"9628E02139"</f>
        <v>9628E02139</v>
      </c>
      <c r="E8305" s="1" t="s">
        <v>10</v>
      </c>
      <c r="F8305" s="1" t="str">
        <f>"10.128.3.97"</f>
        <v>10.128.3.97</v>
      </c>
      <c r="G8305" s="1" t="str">
        <f>"9628E021"</f>
        <v>9628E021</v>
      </c>
      <c r="H8305" s="1" t="str">
        <f>"구산간 3R3L3"</f>
        <v>구산간 3R3L3</v>
      </c>
      <c r="I8305" s="1" t="s">
        <v>8</v>
      </c>
      <c r="J8305" s="1" t="str">
        <f>"50/51"</f>
        <v>50/51</v>
      </c>
      <c r="K8305" s="1" t="str">
        <f t="shared" si="409"/>
        <v>2026-07-29 13:18:11</v>
      </c>
      <c r="L8305" s="1" t="str">
        <f>"2018-01-03 12:21:54"</f>
        <v>2018-01-03 12:21:54</v>
      </c>
      <c r="M8305" s="1" t="s">
        <v>45</v>
      </c>
      <c r="N8305" s="1" t="s">
        <v>38</v>
      </c>
      <c r="O8305" s="1" t="s">
        <v>46</v>
      </c>
    </row>
    <row r="8306" spans="2:15" x14ac:dyDescent="0.3">
      <c r="B8306" s="1" t="s">
        <v>21</v>
      </c>
      <c r="C8306" s="1" t="str">
        <f>"4차"</f>
        <v>4차</v>
      </c>
      <c r="D8306" s="1" t="str">
        <f>"9628E03139"</f>
        <v>9628E03139</v>
      </c>
      <c r="E8306" s="1" t="s">
        <v>10</v>
      </c>
      <c r="F8306" s="1" t="str">
        <f>"10.128.3.96"</f>
        <v>10.128.3.96</v>
      </c>
      <c r="G8306" s="1" t="str">
        <f>"9628E031"</f>
        <v>9628E031</v>
      </c>
      <c r="H8306" s="1" t="str">
        <f>"구산간 3R3L2"</f>
        <v>구산간 3R3L2</v>
      </c>
      <c r="I8306" s="1" t="s">
        <v>8</v>
      </c>
      <c r="J8306" s="1" t="str">
        <f>"52/52"</f>
        <v>52/52</v>
      </c>
      <c r="K8306" s="1" t="str">
        <f t="shared" si="409"/>
        <v>2026-07-29 13:18:11</v>
      </c>
      <c r="L8306" s="1" t="str">
        <f>"2018-01-03 13:10:40"</f>
        <v>2018-01-03 13:10:40</v>
      </c>
      <c r="M8306" s="1" t="s">
        <v>45</v>
      </c>
      <c r="N8306" s="1" t="s">
        <v>38</v>
      </c>
      <c r="O8306" s="1" t="s">
        <v>46</v>
      </c>
    </row>
    <row r="8307" spans="2:15" x14ac:dyDescent="0.3">
      <c r="B8307" s="1" t="s">
        <v>21</v>
      </c>
      <c r="C8307" s="1" t="str">
        <f>"1차"</f>
        <v>1차</v>
      </c>
      <c r="D8307" s="1" t="str">
        <f>"9628E06101"</f>
        <v>9628E06101</v>
      </c>
      <c r="E8307" s="1" t="s">
        <v>10</v>
      </c>
      <c r="F8307" s="1" t="str">
        <f>"10.12.138.63"</f>
        <v>10.12.138.63</v>
      </c>
      <c r="G8307" s="1" t="str">
        <f>"9628E061"</f>
        <v>9628E061</v>
      </c>
      <c r="H8307" s="1" t="str">
        <f>"구산간 3R4"</f>
        <v>구산간 3R4</v>
      </c>
      <c r="I8307" s="1" t="s">
        <v>8</v>
      </c>
      <c r="J8307" s="1" t="str">
        <f>"9/38"</f>
        <v>9/38</v>
      </c>
      <c r="K8307" s="1" t="str">
        <f t="shared" si="409"/>
        <v>2026-07-29 13:18:11</v>
      </c>
      <c r="L8307" s="1" t="str">
        <f>"2014-11-20 17:23:02"</f>
        <v>2014-11-20 17:23:02</v>
      </c>
      <c r="M8307" s="1" t="s">
        <v>0</v>
      </c>
      <c r="N8307" s="1" t="s">
        <v>38</v>
      </c>
      <c r="O8307" s="1" t="s">
        <v>46</v>
      </c>
    </row>
    <row r="8308" spans="2:15" x14ac:dyDescent="0.3">
      <c r="B8308" s="1" t="s">
        <v>21</v>
      </c>
      <c r="C8308" s="1" t="str">
        <f>"3차"</f>
        <v>3차</v>
      </c>
      <c r="D8308" s="1" t="str">
        <f>"9628E07239"</f>
        <v>9628E07239</v>
      </c>
      <c r="E8308" s="1" t="s">
        <v>14</v>
      </c>
      <c r="F8308" s="1" t="str">
        <f>"10.128.73.34"</f>
        <v>10.128.73.34</v>
      </c>
      <c r="G8308" s="1" t="str">
        <f>"9628E072"</f>
        <v>9628E072</v>
      </c>
      <c r="H8308" s="1" t="str">
        <f>"용두간 4H1"</f>
        <v>용두간 4H1</v>
      </c>
      <c r="I8308" s="1" t="s">
        <v>8</v>
      </c>
      <c r="J8308" s="1" t="str">
        <f>"0/0"</f>
        <v>0/0</v>
      </c>
      <c r="K8308" s="1" t="str">
        <f t="shared" si="409"/>
        <v>2026-07-29 13:18:11</v>
      </c>
      <c r="L8308" s="1" t="str">
        <f>"2018-03-29 16:57:15"</f>
        <v>2018-03-29 16:57:15</v>
      </c>
      <c r="M8308" s="1" t="s">
        <v>45</v>
      </c>
      <c r="N8308" s="1" t="s">
        <v>38</v>
      </c>
      <c r="O8308" s="1" t="s">
        <v>44</v>
      </c>
    </row>
    <row r="8309" spans="2:15" x14ac:dyDescent="0.3">
      <c r="B8309" s="1" t="s">
        <v>21</v>
      </c>
      <c r="C8309" s="1" t="str">
        <f>"3차"</f>
        <v>3차</v>
      </c>
      <c r="D8309" s="1" t="str">
        <f>"9628E10132"</f>
        <v>9628E10132</v>
      </c>
      <c r="E8309" s="1" t="s">
        <v>10</v>
      </c>
      <c r="F8309" s="1" t="str">
        <f>"10.128.3.71"</f>
        <v>10.128.3.71</v>
      </c>
      <c r="G8309" s="1" t="str">
        <f>"9628E101"</f>
        <v>9628E101</v>
      </c>
      <c r="H8309" s="1" t="str">
        <f>"구산간 10"</f>
        <v>구산간 10</v>
      </c>
      <c r="I8309" s="1" t="s">
        <v>8</v>
      </c>
      <c r="J8309" s="1" t="str">
        <f>"18/18"</f>
        <v>18/18</v>
      </c>
      <c r="K8309" s="1" t="str">
        <f t="shared" si="409"/>
        <v>2026-07-29 13:18:11</v>
      </c>
      <c r="L8309" s="1" t="str">
        <f>"2017-12-28 12:46:39"</f>
        <v>2017-12-28 12:46:39</v>
      </c>
      <c r="M8309" s="1" t="s">
        <v>45</v>
      </c>
      <c r="N8309" s="1" t="s">
        <v>38</v>
      </c>
      <c r="O8309" s="1" t="s">
        <v>46</v>
      </c>
    </row>
    <row r="8310" spans="2:15" x14ac:dyDescent="0.3">
      <c r="B8310" s="1" t="s">
        <v>21</v>
      </c>
      <c r="C8310" s="1" t="str">
        <f>"4차"</f>
        <v>4차</v>
      </c>
      <c r="D8310" s="1" t="str">
        <f>"9628E10239"</f>
        <v>9628E10239</v>
      </c>
      <c r="E8310" s="1" t="s">
        <v>10</v>
      </c>
      <c r="F8310" s="1" t="str">
        <f>"10.128.88.2"</f>
        <v>10.128.88.2</v>
      </c>
      <c r="G8310" s="1" t="str">
        <f>"9628E102"</f>
        <v>9628E102</v>
      </c>
      <c r="H8310" s="1" t="str">
        <f>"은수간 65"</f>
        <v>은수간 65</v>
      </c>
      <c r="I8310" s="1" t="s">
        <v>8</v>
      </c>
      <c r="J8310" s="1" t="str">
        <f>"47/47"</f>
        <v>47/47</v>
      </c>
      <c r="K8310" s="1" t="str">
        <f t="shared" si="409"/>
        <v>2026-07-29 13:18:11</v>
      </c>
      <c r="L8310" s="1" t="str">
        <f>"2018-02-20 18:21:15"</f>
        <v>2018-02-20 18:21:15</v>
      </c>
      <c r="M8310" s="1" t="s">
        <v>45</v>
      </c>
      <c r="N8310" s="1" t="s">
        <v>38</v>
      </c>
      <c r="O8310" s="1" t="s">
        <v>46</v>
      </c>
    </row>
    <row r="8311" spans="2:15" x14ac:dyDescent="0.3">
      <c r="B8311" s="1" t="s">
        <v>21</v>
      </c>
      <c r="C8311" s="1" t="str">
        <f>"3차"</f>
        <v>3차</v>
      </c>
      <c r="D8311" s="1" t="str">
        <f>"9628E10330"</f>
        <v>9628E10330</v>
      </c>
      <c r="E8311" s="1" t="s">
        <v>10</v>
      </c>
      <c r="F8311" s="1" t="str">
        <f>"10.128.3.69"</f>
        <v>10.128.3.69</v>
      </c>
      <c r="G8311" s="1" t="str">
        <f>"9628E103"</f>
        <v>9628E103</v>
      </c>
      <c r="H8311" s="1" t="str">
        <f>"구산간 9"</f>
        <v>구산간 9</v>
      </c>
      <c r="I8311" s="1" t="s">
        <v>8</v>
      </c>
      <c r="J8311" s="1" t="str">
        <f>"24/24"</f>
        <v>24/24</v>
      </c>
      <c r="K8311" s="1" t="str">
        <f t="shared" si="409"/>
        <v>2026-07-29 13:18:11</v>
      </c>
      <c r="L8311" s="1" t="str">
        <f>"2017-12-28 12:36:24"</f>
        <v>2017-12-28 12:36:24</v>
      </c>
      <c r="M8311" s="1" t="s">
        <v>45</v>
      </c>
      <c r="N8311" s="1" t="s">
        <v>38</v>
      </c>
      <c r="O8311" s="1" t="s">
        <v>46</v>
      </c>
    </row>
    <row r="8312" spans="2:15" x14ac:dyDescent="0.3">
      <c r="B8312" s="1" t="s">
        <v>21</v>
      </c>
      <c r="C8312" s="1" t="str">
        <f>"3차"</f>
        <v>3차</v>
      </c>
      <c r="D8312" s="1" t="str">
        <f>"9628E11131"</f>
        <v>9628E11131</v>
      </c>
      <c r="E8312" s="1" t="s">
        <v>10</v>
      </c>
      <c r="F8312" s="1" t="str">
        <f>"10.128.3.70"</f>
        <v>10.128.3.70</v>
      </c>
      <c r="G8312" s="1" t="str">
        <f>"9628E111"</f>
        <v>9628E111</v>
      </c>
      <c r="H8312" s="1" t="str">
        <f>"구산간 8"</f>
        <v>구산간 8</v>
      </c>
      <c r="I8312" s="1" t="s">
        <v>8</v>
      </c>
      <c r="J8312" s="1" t="str">
        <f>"28/29"</f>
        <v>28/29</v>
      </c>
      <c r="K8312" s="1" t="str">
        <f t="shared" si="409"/>
        <v>2026-07-29 13:18:11</v>
      </c>
      <c r="L8312" s="1" t="str">
        <f>"2017-12-28 12:42:24"</f>
        <v>2017-12-28 12:42:24</v>
      </c>
      <c r="M8312" s="1" t="s">
        <v>45</v>
      </c>
      <c r="N8312" s="1" t="s">
        <v>38</v>
      </c>
      <c r="O8312" s="1" t="s">
        <v>46</v>
      </c>
    </row>
    <row r="8313" spans="2:15" x14ac:dyDescent="0.3">
      <c r="B8313" s="1" t="s">
        <v>21</v>
      </c>
      <c r="C8313" s="1" t="str">
        <f>"4차"</f>
        <v>4차</v>
      </c>
      <c r="D8313" s="1" t="str">
        <f>"9628E14139"</f>
        <v>9628E14139</v>
      </c>
      <c r="E8313" s="1" t="s">
        <v>10</v>
      </c>
      <c r="F8313" s="1" t="str">
        <f>"10.128.3.95"</f>
        <v>10.128.3.95</v>
      </c>
      <c r="G8313" s="1" t="str">
        <f>"9628E141"</f>
        <v>9628E141</v>
      </c>
      <c r="H8313" s="1" t="str">
        <f>"구산간 3R3L1"</f>
        <v>구산간 3R3L1</v>
      </c>
      <c r="I8313" s="1" t="s">
        <v>8</v>
      </c>
      <c r="J8313" s="1" t="str">
        <f>"43/44"</f>
        <v>43/44</v>
      </c>
      <c r="K8313" s="1" t="str">
        <f>"2026-07-29 13:18:12"</f>
        <v>2026-07-29 13:18:12</v>
      </c>
      <c r="L8313" s="1" t="str">
        <f>"2018-01-03 13:26:10"</f>
        <v>2018-01-03 13:26:10</v>
      </c>
      <c r="M8313" s="1" t="s">
        <v>45</v>
      </c>
      <c r="N8313" s="1" t="s">
        <v>38</v>
      </c>
      <c r="O8313" s="1" t="s">
        <v>46</v>
      </c>
    </row>
    <row r="8314" spans="2:15" x14ac:dyDescent="0.3">
      <c r="B8314" s="1" t="s">
        <v>21</v>
      </c>
      <c r="C8314" s="1" t="str">
        <f>"1차"</f>
        <v>1차</v>
      </c>
      <c r="D8314" s="1" t="str">
        <f>"9628E15200"</f>
        <v>9628E15200</v>
      </c>
      <c r="E8314" s="1" t="s">
        <v>10</v>
      </c>
      <c r="F8314" s="1" t="str">
        <f>"10.128.0.161"</f>
        <v>10.128.0.161</v>
      </c>
      <c r="G8314" s="1" t="str">
        <f>"9628E152"</f>
        <v>9628E152</v>
      </c>
      <c r="H8314" s="1" t="str">
        <f>"구산간 3R2"</f>
        <v>구산간 3R2</v>
      </c>
      <c r="I8314" s="1" t="s">
        <v>8</v>
      </c>
      <c r="J8314" s="1" t="str">
        <f>"54/54"</f>
        <v>54/54</v>
      </c>
      <c r="K8314" s="1" t="str">
        <f>"2026-07-29 13:18:11"</f>
        <v>2026-07-29 13:18:11</v>
      </c>
      <c r="L8314" s="1" t="str">
        <f>"2014-10-07 00:13:44"</f>
        <v>2014-10-07 00:13:44</v>
      </c>
      <c r="M8314" s="1" t="s">
        <v>45</v>
      </c>
      <c r="N8314" s="1" t="s">
        <v>38</v>
      </c>
      <c r="O8314" s="1" t="s">
        <v>46</v>
      </c>
    </row>
    <row r="8315" spans="2:15" x14ac:dyDescent="0.3">
      <c r="B8315" s="1" t="s">
        <v>21</v>
      </c>
      <c r="C8315" s="1" t="str">
        <f>"6차"</f>
        <v>6차</v>
      </c>
      <c r="D8315" s="1" t="str">
        <f>"9628E1816S"</f>
        <v>9628E1816S</v>
      </c>
      <c r="E8315" s="1" t="s">
        <v>10</v>
      </c>
      <c r="F8315" s="1" t="str">
        <f>"fde1:103:4:9255:0:0:0:2"</f>
        <v>fde1:103:4:9255:0:0:0:2</v>
      </c>
      <c r="G8315" s="1" t="str">
        <f>"9628E181"</f>
        <v>9628E181</v>
      </c>
      <c r="H8315" s="1" t="str">
        <f>"갈현간 48R2R1"</f>
        <v>갈현간 48R2R1</v>
      </c>
      <c r="I8315" s="1" t="s">
        <v>15</v>
      </c>
      <c r="J8315" s="1" t="str">
        <f>"42/43"</f>
        <v>42/43</v>
      </c>
      <c r="K8315" s="1" t="str">
        <f>"2026-07-29 14:20:38"</f>
        <v>2026-07-29 14:20:38</v>
      </c>
      <c r="L8315" s="1" t="str">
        <f>"2025-02-21 17:30:45"</f>
        <v>2025-02-21 17:30:45</v>
      </c>
      <c r="M8315" s="1" t="s">
        <v>4</v>
      </c>
      <c r="N8315" s="1" t="s">
        <v>38</v>
      </c>
      <c r="O8315" s="1" t="s">
        <v>46</v>
      </c>
    </row>
    <row r="8316" spans="2:15" x14ac:dyDescent="0.3">
      <c r="B8316" s="1" t="s">
        <v>21</v>
      </c>
      <c r="C8316" s="1" t="str">
        <f>"4차"</f>
        <v>4차</v>
      </c>
      <c r="D8316" s="1" t="str">
        <f>"9628E19144"</f>
        <v>9628E19144</v>
      </c>
      <c r="E8316" s="1" t="s">
        <v>10</v>
      </c>
      <c r="F8316" s="1" t="str">
        <f>"10.10.99.2"</f>
        <v>10.10.99.2</v>
      </c>
      <c r="G8316" s="1" t="str">
        <f>"9628E191"</f>
        <v>9628E191</v>
      </c>
      <c r="H8316" s="1" t="str">
        <f>"갈현간 48R3R1"</f>
        <v>갈현간 48R3R1</v>
      </c>
      <c r="I8316" s="1" t="s">
        <v>8</v>
      </c>
      <c r="J8316" s="1" t="str">
        <f>"26/26"</f>
        <v>26/26</v>
      </c>
      <c r="K8316" s="1" t="str">
        <f t="shared" ref="K8316:K8323" si="410">"2026-07-29 13:18:11"</f>
        <v>2026-07-29 13:18:11</v>
      </c>
      <c r="L8316" s="1" t="str">
        <f>"2019-10-23 15:49:58"</f>
        <v>2019-10-23 15:49:58</v>
      </c>
      <c r="M8316" s="1" t="s">
        <v>1</v>
      </c>
      <c r="N8316" s="1" t="s">
        <v>38</v>
      </c>
      <c r="O8316" s="1" t="s">
        <v>46</v>
      </c>
    </row>
    <row r="8317" spans="2:15" x14ac:dyDescent="0.3">
      <c r="B8317" s="1" t="s">
        <v>21</v>
      </c>
      <c r="C8317" s="1" t="str">
        <f t="shared" ref="C8317:C8322" si="411">"3차"</f>
        <v>3차</v>
      </c>
      <c r="D8317" s="1" t="str">
        <f>"9628E21239"</f>
        <v>9628E21239</v>
      </c>
      <c r="E8317" s="1" t="s">
        <v>10</v>
      </c>
      <c r="F8317" s="1" t="str">
        <f>"10.128.88.3"</f>
        <v>10.128.88.3</v>
      </c>
      <c r="G8317" s="1" t="str">
        <f>"9628E212"</f>
        <v>9628E212</v>
      </c>
      <c r="H8317" s="1" t="str">
        <f>"은수간 64"</f>
        <v>은수간 64</v>
      </c>
      <c r="I8317" s="1" t="s">
        <v>8</v>
      </c>
      <c r="J8317" s="1" t="str">
        <f>"37/37"</f>
        <v>37/37</v>
      </c>
      <c r="K8317" s="1" t="str">
        <f t="shared" si="410"/>
        <v>2026-07-29 13:18:11</v>
      </c>
      <c r="L8317" s="1" t="str">
        <f>"2018-02-20 18:37:29"</f>
        <v>2018-02-20 18:37:29</v>
      </c>
      <c r="M8317" s="1" t="s">
        <v>45</v>
      </c>
      <c r="N8317" s="1" t="s">
        <v>38</v>
      </c>
      <c r="O8317" s="1" t="s">
        <v>46</v>
      </c>
    </row>
    <row r="8318" spans="2:15" x14ac:dyDescent="0.3">
      <c r="B8318" s="1" t="s">
        <v>21</v>
      </c>
      <c r="C8318" s="1" t="str">
        <f t="shared" si="411"/>
        <v>3차</v>
      </c>
      <c r="D8318" s="1" t="str">
        <f>"9628E23239"</f>
        <v>9628E23239</v>
      </c>
      <c r="E8318" s="1" t="s">
        <v>10</v>
      </c>
      <c r="F8318" s="1" t="str">
        <f>"10.128.3.67"</f>
        <v>10.128.3.67</v>
      </c>
      <c r="G8318" s="1" t="str">
        <f>"9628E232"</f>
        <v>9628E232</v>
      </c>
      <c r="H8318" s="1" t="str">
        <f>"구산간 6"</f>
        <v>구산간 6</v>
      </c>
      <c r="I8318" s="1" t="s">
        <v>8</v>
      </c>
      <c r="J8318" s="1" t="str">
        <f>"36/36"</f>
        <v>36/36</v>
      </c>
      <c r="K8318" s="1" t="str">
        <f t="shared" si="410"/>
        <v>2026-07-29 13:18:11</v>
      </c>
      <c r="L8318" s="1" t="str">
        <f>"2018-01-02 18:30:43"</f>
        <v>2018-01-02 18:30:43</v>
      </c>
      <c r="M8318" s="1" t="s">
        <v>45</v>
      </c>
      <c r="N8318" s="1" t="s">
        <v>38</v>
      </c>
      <c r="O8318" s="1" t="s">
        <v>46</v>
      </c>
    </row>
    <row r="8319" spans="2:15" x14ac:dyDescent="0.3">
      <c r="B8319" s="1" t="s">
        <v>21</v>
      </c>
      <c r="C8319" s="1" t="str">
        <f t="shared" si="411"/>
        <v>3차</v>
      </c>
      <c r="D8319" s="1" t="str">
        <f>"9628E23339"</f>
        <v>9628E23339</v>
      </c>
      <c r="E8319" s="1" t="s">
        <v>10</v>
      </c>
      <c r="F8319" s="1" t="str">
        <f>"10.14.6.122"</f>
        <v>10.14.6.122</v>
      </c>
      <c r="G8319" s="1" t="str">
        <f>"9628E233"</f>
        <v>9628E233</v>
      </c>
      <c r="H8319" s="1" t="str">
        <f>"은수간 62"</f>
        <v>은수간 62</v>
      </c>
      <c r="I8319" s="1" t="s">
        <v>8</v>
      </c>
      <c r="J8319" s="1" t="str">
        <f>"25/25"</f>
        <v>25/25</v>
      </c>
      <c r="K8319" s="1" t="str">
        <f t="shared" si="410"/>
        <v>2026-07-29 13:18:11</v>
      </c>
      <c r="L8319" s="1" t="str">
        <f>"2018-03-29 14:37:00"</f>
        <v>2018-03-29 14:37:00</v>
      </c>
      <c r="M8319" s="1" t="s">
        <v>3</v>
      </c>
      <c r="N8319" s="1" t="s">
        <v>38</v>
      </c>
      <c r="O8319" s="1" t="s">
        <v>46</v>
      </c>
    </row>
    <row r="8320" spans="2:15" x14ac:dyDescent="0.3">
      <c r="B8320" s="1" t="s">
        <v>21</v>
      </c>
      <c r="C8320" s="1" t="str">
        <f t="shared" si="411"/>
        <v>3차</v>
      </c>
      <c r="D8320" s="1" t="str">
        <f>"9628E24139"</f>
        <v>9628E24139</v>
      </c>
      <c r="E8320" s="1" t="s">
        <v>10</v>
      </c>
      <c r="F8320" s="1" t="str">
        <f>"10.128.3.66"</f>
        <v>10.128.3.66</v>
      </c>
      <c r="G8320" s="1" t="str">
        <f>"9628E241"</f>
        <v>9628E241</v>
      </c>
      <c r="H8320" s="1" t="str">
        <f>"구산간 4"</f>
        <v>구산간 4</v>
      </c>
      <c r="I8320" s="1" t="s">
        <v>8</v>
      </c>
      <c r="J8320" s="1" t="str">
        <f>"16/16"</f>
        <v>16/16</v>
      </c>
      <c r="K8320" s="1" t="str">
        <f t="shared" si="410"/>
        <v>2026-07-29 13:18:11</v>
      </c>
      <c r="L8320" s="1" t="str">
        <f>"2018-01-02 16:02:42"</f>
        <v>2018-01-02 16:02:42</v>
      </c>
      <c r="M8320" s="1" t="s">
        <v>45</v>
      </c>
      <c r="N8320" s="1" t="s">
        <v>38</v>
      </c>
      <c r="O8320" s="1" t="s">
        <v>46</v>
      </c>
    </row>
    <row r="8321" spans="2:15" x14ac:dyDescent="0.3">
      <c r="B8321" s="1" t="s">
        <v>21</v>
      </c>
      <c r="C8321" s="1" t="str">
        <f t="shared" si="411"/>
        <v>3차</v>
      </c>
      <c r="D8321" s="1" t="str">
        <f>"9628E24239"</f>
        <v>9628E24239</v>
      </c>
      <c r="E8321" s="1" t="s">
        <v>10</v>
      </c>
      <c r="F8321" s="1" t="str">
        <f>"10.128.73.226"</f>
        <v>10.128.73.226</v>
      </c>
      <c r="G8321" s="1" t="str">
        <f>"9628E242"</f>
        <v>9628E242</v>
      </c>
      <c r="H8321" s="1" t="str">
        <f>"은수간 61"</f>
        <v>은수간 61</v>
      </c>
      <c r="I8321" s="1" t="s">
        <v>8</v>
      </c>
      <c r="J8321" s="1" t="str">
        <f>"32/32"</f>
        <v>32/32</v>
      </c>
      <c r="K8321" s="1" t="str">
        <f t="shared" si="410"/>
        <v>2026-07-29 13:18:11</v>
      </c>
      <c r="L8321" s="1" t="str">
        <f>"2018-02-27 14:52:25"</f>
        <v>2018-02-27 14:52:25</v>
      </c>
      <c r="M8321" s="1" t="s">
        <v>45</v>
      </c>
      <c r="N8321" s="1" t="s">
        <v>38</v>
      </c>
      <c r="O8321" s="1" t="s">
        <v>46</v>
      </c>
    </row>
    <row r="8322" spans="2:15" x14ac:dyDescent="0.3">
      <c r="B8322" s="1" t="s">
        <v>21</v>
      </c>
      <c r="C8322" s="1" t="str">
        <f t="shared" si="411"/>
        <v>3차</v>
      </c>
      <c r="D8322" s="1" t="str">
        <f>"9628E25339"</f>
        <v>9628E25339</v>
      </c>
      <c r="E8322" s="1" t="s">
        <v>10</v>
      </c>
      <c r="F8322" s="1" t="str">
        <f>"10.128.88.51"</f>
        <v>10.128.88.51</v>
      </c>
      <c r="G8322" s="1" t="str">
        <f>"9628E253"</f>
        <v>9628E253</v>
      </c>
      <c r="H8322" s="1" t="str">
        <f>"은수간 60L1"</f>
        <v>은수간 60L1</v>
      </c>
      <c r="I8322" s="1" t="s">
        <v>8</v>
      </c>
      <c r="J8322" s="1" t="str">
        <f>"34/34"</f>
        <v>34/34</v>
      </c>
      <c r="K8322" s="1" t="str">
        <f t="shared" si="410"/>
        <v>2026-07-29 13:18:11</v>
      </c>
      <c r="L8322" s="1" t="str">
        <f>"2018-02-20 11:55:26"</f>
        <v>2018-02-20 11:55:26</v>
      </c>
      <c r="M8322" s="1" t="s">
        <v>45</v>
      </c>
      <c r="N8322" s="1" t="s">
        <v>38</v>
      </c>
      <c r="O8322" s="1" t="s">
        <v>46</v>
      </c>
    </row>
    <row r="8323" spans="2:15" x14ac:dyDescent="0.3">
      <c r="B8323" s="1" t="s">
        <v>21</v>
      </c>
      <c r="C8323" s="1" t="str">
        <f>"4차"</f>
        <v>4차</v>
      </c>
      <c r="D8323" s="1" t="str">
        <f>"9628E25444"</f>
        <v>9628E25444</v>
      </c>
      <c r="E8323" s="1" t="s">
        <v>10</v>
      </c>
      <c r="F8323" s="1" t="str">
        <f>"10.14.9.128"</f>
        <v>10.14.9.128</v>
      </c>
      <c r="G8323" s="1" t="str">
        <f>"9628E254"</f>
        <v>9628E254</v>
      </c>
      <c r="H8323" s="1" t="str">
        <f>"구산간 3R1"</f>
        <v>구산간 3R1</v>
      </c>
      <c r="I8323" s="1" t="s">
        <v>8</v>
      </c>
      <c r="J8323" s="1" t="str">
        <f>"13/13"</f>
        <v>13/13</v>
      </c>
      <c r="K8323" s="1" t="str">
        <f t="shared" si="410"/>
        <v>2026-07-29 13:18:11</v>
      </c>
      <c r="L8323" s="1" t="str">
        <f>"2020-01-29 16:41:16"</f>
        <v>2020-01-29 16:41:16</v>
      </c>
      <c r="M8323" s="1" t="s">
        <v>3</v>
      </c>
      <c r="N8323" s="1" t="s">
        <v>38</v>
      </c>
      <c r="O8323" s="1" t="s">
        <v>46</v>
      </c>
    </row>
    <row r="8324" spans="2:15" x14ac:dyDescent="0.3">
      <c r="B8324" s="1" t="s">
        <v>21</v>
      </c>
      <c r="C8324" s="1" t="str">
        <f>"4차"</f>
        <v>4차</v>
      </c>
      <c r="D8324" s="1" t="str">
        <f>"9628E28142"</f>
        <v>9628E28142</v>
      </c>
      <c r="E8324" s="1" t="s">
        <v>10</v>
      </c>
      <c r="F8324" s="1" t="str">
        <f>"10.12.131.6"</f>
        <v>10.12.131.6</v>
      </c>
      <c r="G8324" s="1" t="str">
        <f>"9628E281"</f>
        <v>9628E281</v>
      </c>
      <c r="H8324" s="1" t="str">
        <f>"갈현간 48R1"</f>
        <v>갈현간 48R1</v>
      </c>
      <c r="I8324" s="1" t="s">
        <v>8</v>
      </c>
      <c r="J8324" s="1" t="str">
        <f>"40/40"</f>
        <v>40/40</v>
      </c>
      <c r="K8324" s="1" t="str">
        <f>"2026-07-29 13:18:03"</f>
        <v>2026-07-29 13:18:03</v>
      </c>
      <c r="L8324" s="1" t="str">
        <f>"2024-12-16 14:14:29"</f>
        <v>2024-12-16 14:14:29</v>
      </c>
      <c r="M8324" s="1" t="s">
        <v>0</v>
      </c>
      <c r="N8324" s="1" t="s">
        <v>38</v>
      </c>
      <c r="O8324" s="1" t="s">
        <v>46</v>
      </c>
    </row>
    <row r="8325" spans="2:15" x14ac:dyDescent="0.3">
      <c r="B8325" s="1" t="s">
        <v>21</v>
      </c>
      <c r="C8325" s="1" t="str">
        <f>"6차"</f>
        <v>6차</v>
      </c>
      <c r="D8325" s="1" t="str">
        <f>"9628E2916S"</f>
        <v>9628E2916S</v>
      </c>
      <c r="E8325" s="1" t="s">
        <v>10</v>
      </c>
      <c r="F8325" s="1" t="str">
        <f>"fde1:103:4:9262:0:0:0:2"</f>
        <v>fde1:103:4:9262:0:0:0:2</v>
      </c>
      <c r="G8325" s="1" t="str">
        <f>"9628E291"</f>
        <v>9628E291</v>
      </c>
      <c r="H8325" s="1" t="str">
        <f>"갈현간 48R2R3"</f>
        <v>갈현간 48R2R3</v>
      </c>
      <c r="I8325" s="1" t="s">
        <v>15</v>
      </c>
      <c r="J8325" s="1" t="str">
        <f>"77/77"</f>
        <v>77/77</v>
      </c>
      <c r="K8325" s="1" t="str">
        <f>"2026-07-29 14:21:44"</f>
        <v>2026-07-29 14:21:44</v>
      </c>
      <c r="L8325" s="1" t="str">
        <f>"2025-02-20 17:50:39"</f>
        <v>2025-02-20 17:50:39</v>
      </c>
      <c r="M8325" s="1" t="s">
        <v>4</v>
      </c>
      <c r="N8325" s="1" t="s">
        <v>38</v>
      </c>
      <c r="O8325" s="1" t="s">
        <v>46</v>
      </c>
    </row>
    <row r="8326" spans="2:15" x14ac:dyDescent="0.3">
      <c r="B8326" s="1" t="s">
        <v>21</v>
      </c>
      <c r="C8326" s="1" t="str">
        <f>"3차"</f>
        <v>3차</v>
      </c>
      <c r="D8326" s="1" t="str">
        <f>"9628E29239"</f>
        <v>9628E29239</v>
      </c>
      <c r="E8326" s="1" t="s">
        <v>10</v>
      </c>
      <c r="F8326" s="1" t="str">
        <f>"10.12.128.249"</f>
        <v>10.12.128.249</v>
      </c>
      <c r="G8326" s="1" t="str">
        <f>"9628E292"</f>
        <v>9628E292</v>
      </c>
      <c r="H8326" s="1" t="str">
        <f>"갈현간 48R2R2"</f>
        <v>갈현간 48R2R2</v>
      </c>
      <c r="I8326" s="1" t="s">
        <v>8</v>
      </c>
      <c r="J8326" s="1" t="str">
        <f>"34/35"</f>
        <v>34/35</v>
      </c>
      <c r="K8326" s="1" t="str">
        <f t="shared" ref="K8326:K8363" si="412">"2026-07-29 13:18:11"</f>
        <v>2026-07-29 13:18:11</v>
      </c>
      <c r="L8326" s="1" t="str">
        <f>"2018-06-07 10:18:41"</f>
        <v>2018-06-07 10:18:41</v>
      </c>
      <c r="M8326" s="1" t="s">
        <v>0</v>
      </c>
      <c r="N8326" s="1" t="s">
        <v>38</v>
      </c>
      <c r="O8326" s="1" t="s">
        <v>46</v>
      </c>
    </row>
    <row r="8327" spans="2:15" x14ac:dyDescent="0.3">
      <c r="B8327" s="1" t="s">
        <v>21</v>
      </c>
      <c r="C8327" s="1" t="str">
        <f>"3차"</f>
        <v>3차</v>
      </c>
      <c r="D8327" s="1" t="str">
        <f>"9628E30139"</f>
        <v>9628E30139</v>
      </c>
      <c r="E8327" s="1" t="s">
        <v>10</v>
      </c>
      <c r="F8327" s="1" t="str">
        <f>"10.128.69.102"</f>
        <v>10.128.69.102</v>
      </c>
      <c r="G8327" s="1" t="str">
        <f>"9628E301"</f>
        <v>9628E301</v>
      </c>
      <c r="H8327" s="1" t="str">
        <f>"은수간 62L5"</f>
        <v>은수간 62L5</v>
      </c>
      <c r="I8327" s="1" t="s">
        <v>8</v>
      </c>
      <c r="J8327" s="1" t="str">
        <f>"71/71"</f>
        <v>71/71</v>
      </c>
      <c r="K8327" s="1" t="str">
        <f t="shared" si="412"/>
        <v>2026-07-29 13:18:11</v>
      </c>
      <c r="L8327" s="1" t="str">
        <f>"2018-02-20 14:27:27"</f>
        <v>2018-02-20 14:27:27</v>
      </c>
      <c r="M8327" s="1" t="s">
        <v>45</v>
      </c>
      <c r="N8327" s="1" t="s">
        <v>38</v>
      </c>
      <c r="O8327" s="1" t="s">
        <v>46</v>
      </c>
    </row>
    <row r="8328" spans="2:15" x14ac:dyDescent="0.3">
      <c r="B8328" s="1" t="s">
        <v>21</v>
      </c>
      <c r="C8328" s="1" t="str">
        <f>"4차"</f>
        <v>4차</v>
      </c>
      <c r="D8328" s="1" t="str">
        <f>"9628E30339"</f>
        <v>9628E30339</v>
      </c>
      <c r="E8328" s="1" t="s">
        <v>10</v>
      </c>
      <c r="F8328" s="1" t="str">
        <f>"10.12.130.43"</f>
        <v>10.12.130.43</v>
      </c>
      <c r="G8328" s="1" t="str">
        <f>"9628E303"</f>
        <v>9628E303</v>
      </c>
      <c r="H8328" s="1" t="str">
        <f>"은수간 62L5A1"</f>
        <v>은수간 62L5A1</v>
      </c>
      <c r="I8328" s="1" t="s">
        <v>8</v>
      </c>
      <c r="J8328" s="1" t="str">
        <f>"16/16"</f>
        <v>16/16</v>
      </c>
      <c r="K8328" s="1" t="str">
        <f t="shared" si="412"/>
        <v>2026-07-29 13:18:11</v>
      </c>
      <c r="L8328" s="1" t="str">
        <f>"2018-03-29 15:12:00"</f>
        <v>2018-03-29 15:12:00</v>
      </c>
      <c r="M8328" s="1" t="s">
        <v>0</v>
      </c>
      <c r="N8328" s="1" t="s">
        <v>38</v>
      </c>
      <c r="O8328" s="1" t="s">
        <v>46</v>
      </c>
    </row>
    <row r="8329" spans="2:15" x14ac:dyDescent="0.3">
      <c r="B8329" s="1" t="s">
        <v>21</v>
      </c>
      <c r="C8329" s="1" t="str">
        <f>"3차"</f>
        <v>3차</v>
      </c>
      <c r="D8329" s="1" t="str">
        <f>"9628E31139"</f>
        <v>9628E31139</v>
      </c>
      <c r="E8329" s="1" t="s">
        <v>10</v>
      </c>
      <c r="F8329" s="1" t="str">
        <f>"10.128.73.231"</f>
        <v>10.128.73.231</v>
      </c>
      <c r="G8329" s="1" t="str">
        <f>"9628E311"</f>
        <v>9628E311</v>
      </c>
      <c r="H8329" s="1" t="str">
        <f>"은수간 62L3L1"</f>
        <v>은수간 62L3L1</v>
      </c>
      <c r="I8329" s="1" t="s">
        <v>8</v>
      </c>
      <c r="J8329" s="1" t="str">
        <f>"86/86"</f>
        <v>86/86</v>
      </c>
      <c r="K8329" s="1" t="str">
        <f t="shared" si="412"/>
        <v>2026-07-29 13:18:11</v>
      </c>
      <c r="L8329" s="1" t="str">
        <f>"2018-02-20 14:29:42"</f>
        <v>2018-02-20 14:29:42</v>
      </c>
      <c r="M8329" s="1" t="s">
        <v>45</v>
      </c>
      <c r="N8329" s="1" t="s">
        <v>38</v>
      </c>
      <c r="O8329" s="1" t="s">
        <v>46</v>
      </c>
    </row>
    <row r="8330" spans="2:15" x14ac:dyDescent="0.3">
      <c r="B8330" s="1" t="s">
        <v>21</v>
      </c>
      <c r="C8330" s="1" t="str">
        <f>"3차"</f>
        <v>3차</v>
      </c>
      <c r="D8330" s="1" t="str">
        <f>"9628E31239"</f>
        <v>9628E31239</v>
      </c>
      <c r="E8330" s="1" t="s">
        <v>10</v>
      </c>
      <c r="F8330" s="1" t="str">
        <f>"10.128.69.103"</f>
        <v>10.128.69.103</v>
      </c>
      <c r="G8330" s="1" t="str">
        <f>"9628E312"</f>
        <v>9628E312</v>
      </c>
      <c r="H8330" s="1" t="str">
        <f>"은수간 62L4"</f>
        <v>은수간 62L4</v>
      </c>
      <c r="I8330" s="1" t="s">
        <v>8</v>
      </c>
      <c r="J8330" s="1" t="str">
        <f>"15/15"</f>
        <v>15/15</v>
      </c>
      <c r="K8330" s="1" t="str">
        <f t="shared" si="412"/>
        <v>2026-07-29 13:18:11</v>
      </c>
      <c r="L8330" s="1" t="str">
        <f>"2018-02-20 14:05:12"</f>
        <v>2018-02-20 14:05:12</v>
      </c>
      <c r="M8330" s="1" t="s">
        <v>45</v>
      </c>
      <c r="N8330" s="1" t="s">
        <v>38</v>
      </c>
      <c r="O8330" s="1" t="s">
        <v>46</v>
      </c>
    </row>
    <row r="8331" spans="2:15" x14ac:dyDescent="0.3">
      <c r="B8331" s="1" t="s">
        <v>21</v>
      </c>
      <c r="C8331" s="1" t="str">
        <f>"3차"</f>
        <v>3차</v>
      </c>
      <c r="D8331" s="1" t="str">
        <f>"9628E32139"</f>
        <v>9628E32139</v>
      </c>
      <c r="E8331" s="1" t="s">
        <v>10</v>
      </c>
      <c r="F8331" s="1" t="str">
        <f>"10.128.73.233"</f>
        <v>10.128.73.233</v>
      </c>
      <c r="G8331" s="1" t="str">
        <f>"9628E321"</f>
        <v>9628E321</v>
      </c>
      <c r="H8331" s="1" t="str">
        <f>"은수간 62L2"</f>
        <v>은수간 62L2</v>
      </c>
      <c r="I8331" s="1" t="s">
        <v>8</v>
      </c>
      <c r="J8331" s="1" t="str">
        <f>"44/44"</f>
        <v>44/44</v>
      </c>
      <c r="K8331" s="1" t="str">
        <f t="shared" si="412"/>
        <v>2026-07-29 13:18:11</v>
      </c>
      <c r="L8331" s="1" t="str">
        <f>"2018-02-20 14:31:58"</f>
        <v>2018-02-20 14:31:58</v>
      </c>
      <c r="M8331" s="1" t="s">
        <v>45</v>
      </c>
      <c r="N8331" s="1" t="s">
        <v>38</v>
      </c>
      <c r="O8331" s="1" t="s">
        <v>46</v>
      </c>
    </row>
    <row r="8332" spans="2:15" x14ac:dyDescent="0.3">
      <c r="B8332" s="1" t="s">
        <v>21</v>
      </c>
      <c r="C8332" s="1" t="str">
        <f>"4차"</f>
        <v>4차</v>
      </c>
      <c r="D8332" s="1" t="str">
        <f>"9628E32439"</f>
        <v>9628E32439</v>
      </c>
      <c r="E8332" s="1" t="s">
        <v>10</v>
      </c>
      <c r="F8332" s="1" t="str">
        <f>"10.128.73.232"</f>
        <v>10.128.73.232</v>
      </c>
      <c r="G8332" s="1" t="str">
        <f>"9628E324"</f>
        <v>9628E324</v>
      </c>
      <c r="H8332" s="1" t="str">
        <f>"은수간 62L3"</f>
        <v>은수간 62L3</v>
      </c>
      <c r="I8332" s="1" t="s">
        <v>8</v>
      </c>
      <c r="J8332" s="1" t="str">
        <f>"65/65"</f>
        <v>65/65</v>
      </c>
      <c r="K8332" s="1" t="str">
        <f t="shared" si="412"/>
        <v>2026-07-29 13:18:11</v>
      </c>
      <c r="L8332" s="1" t="str">
        <f>"2018-02-20 14:36:57"</f>
        <v>2018-02-20 14:36:57</v>
      </c>
      <c r="M8332" s="1" t="s">
        <v>45</v>
      </c>
      <c r="N8332" s="1" t="s">
        <v>38</v>
      </c>
      <c r="O8332" s="1" t="s">
        <v>46</v>
      </c>
    </row>
    <row r="8333" spans="2:15" x14ac:dyDescent="0.3">
      <c r="B8333" s="1" t="s">
        <v>21</v>
      </c>
      <c r="C8333" s="1" t="str">
        <f>"3차"</f>
        <v>3차</v>
      </c>
      <c r="D8333" s="1" t="str">
        <f>"9628E34139"</f>
        <v>9628E34139</v>
      </c>
      <c r="E8333" s="1" t="s">
        <v>10</v>
      </c>
      <c r="F8333" s="1" t="str">
        <f>"10.128.71.108"</f>
        <v>10.128.71.108</v>
      </c>
      <c r="G8333" s="1" t="str">
        <f>"9628E341"</f>
        <v>9628E341</v>
      </c>
      <c r="H8333" s="1" t="str">
        <f>"은수간 60L2"</f>
        <v>은수간 60L2</v>
      </c>
      <c r="I8333" s="1" t="s">
        <v>8</v>
      </c>
      <c r="J8333" s="1" t="str">
        <f>"17/17"</f>
        <v>17/17</v>
      </c>
      <c r="K8333" s="1" t="str">
        <f t="shared" si="412"/>
        <v>2026-07-29 13:18:11</v>
      </c>
      <c r="L8333" s="1" t="str">
        <f>"2018-02-20 11:37:41"</f>
        <v>2018-02-20 11:37:41</v>
      </c>
      <c r="M8333" s="1" t="s">
        <v>45</v>
      </c>
      <c r="N8333" s="1" t="s">
        <v>38</v>
      </c>
      <c r="O8333" s="1" t="s">
        <v>46</v>
      </c>
    </row>
    <row r="8334" spans="2:15" x14ac:dyDescent="0.3">
      <c r="B8334" s="1" t="s">
        <v>21</v>
      </c>
      <c r="C8334" s="1" t="str">
        <f>"4차"</f>
        <v>4차</v>
      </c>
      <c r="D8334" s="1" t="str">
        <f>"9628E34239"</f>
        <v>9628E34239</v>
      </c>
      <c r="E8334" s="1" t="s">
        <v>10</v>
      </c>
      <c r="F8334" s="1" t="str">
        <f>"10.128.69.101"</f>
        <v>10.128.69.101</v>
      </c>
      <c r="G8334" s="1" t="str">
        <f>"9628E342"</f>
        <v>9628E342</v>
      </c>
      <c r="H8334" s="1" t="str">
        <f>"은수간 62L2A2"</f>
        <v>은수간 62L2A2</v>
      </c>
      <c r="I8334" s="1" t="s">
        <v>8</v>
      </c>
      <c r="J8334" s="1" t="str">
        <f>"37/37"</f>
        <v>37/37</v>
      </c>
      <c r="K8334" s="1" t="str">
        <f t="shared" si="412"/>
        <v>2026-07-29 13:18:11</v>
      </c>
      <c r="L8334" s="1" t="str">
        <f>"2018-02-20 13:18:56"</f>
        <v>2018-02-20 13:18:56</v>
      </c>
      <c r="M8334" s="1" t="s">
        <v>45</v>
      </c>
      <c r="N8334" s="1" t="s">
        <v>38</v>
      </c>
      <c r="O8334" s="1" t="s">
        <v>46</v>
      </c>
    </row>
    <row r="8335" spans="2:15" x14ac:dyDescent="0.3">
      <c r="B8335" s="1" t="s">
        <v>21</v>
      </c>
      <c r="C8335" s="1" t="str">
        <f>"3차"</f>
        <v>3차</v>
      </c>
      <c r="D8335" s="1" t="str">
        <f>"9628E34339"</f>
        <v>9628E34339</v>
      </c>
      <c r="E8335" s="1" t="s">
        <v>10</v>
      </c>
      <c r="F8335" s="1" t="str">
        <f>"10.128.71.109"</f>
        <v>10.128.71.109</v>
      </c>
      <c r="G8335" s="1" t="str">
        <f>"9628E343"</f>
        <v>9628E343</v>
      </c>
      <c r="H8335" s="1" t="str">
        <f>"은수간 60HL3"</f>
        <v>은수간 60HL3</v>
      </c>
      <c r="I8335" s="1" t="s">
        <v>8</v>
      </c>
      <c r="J8335" s="1" t="str">
        <f>"31/31"</f>
        <v>31/31</v>
      </c>
      <c r="K8335" s="1" t="str">
        <f t="shared" si="412"/>
        <v>2026-07-29 13:18:11</v>
      </c>
      <c r="L8335" s="1" t="str">
        <f>"2018-03-26 19:09:13"</f>
        <v>2018-03-26 19:09:13</v>
      </c>
      <c r="M8335" s="1" t="s">
        <v>45</v>
      </c>
      <c r="N8335" s="1" t="s">
        <v>38</v>
      </c>
      <c r="O8335" s="1" t="s">
        <v>46</v>
      </c>
    </row>
    <row r="8336" spans="2:15" x14ac:dyDescent="0.3">
      <c r="B8336" s="1" t="s">
        <v>21</v>
      </c>
      <c r="C8336" s="1" t="str">
        <f>"4차"</f>
        <v>4차</v>
      </c>
      <c r="D8336" s="1" t="str">
        <f>"9628E35144"</f>
        <v>9628E35144</v>
      </c>
      <c r="E8336" s="1" t="s">
        <v>10</v>
      </c>
      <c r="F8336" s="1" t="str">
        <f>"10.10.120.194"</f>
        <v>10.10.120.194</v>
      </c>
      <c r="G8336" s="1" t="str">
        <f>"9628E351"</f>
        <v>9628E351</v>
      </c>
      <c r="H8336" s="1" t="str">
        <f>"서오간 58"</f>
        <v>서오간 58</v>
      </c>
      <c r="I8336" s="1" t="s">
        <v>8</v>
      </c>
      <c r="J8336" s="1" t="str">
        <f>"16/16"</f>
        <v>16/16</v>
      </c>
      <c r="K8336" s="1" t="str">
        <f t="shared" si="412"/>
        <v>2026-07-29 13:18:11</v>
      </c>
      <c r="L8336" s="1" t="str">
        <f>"2019-10-24 16:37:16"</f>
        <v>2019-10-24 16:37:16</v>
      </c>
      <c r="M8336" s="1" t="s">
        <v>1</v>
      </c>
      <c r="N8336" s="1" t="s">
        <v>38</v>
      </c>
      <c r="O8336" s="1" t="s">
        <v>46</v>
      </c>
    </row>
    <row r="8337" spans="2:15" x14ac:dyDescent="0.3">
      <c r="B8337" s="1" t="s">
        <v>21</v>
      </c>
      <c r="C8337" s="1" t="str">
        <f>"3차"</f>
        <v>3차</v>
      </c>
      <c r="D8337" s="1" t="str">
        <f>"9628E37239"</f>
        <v>9628E37239</v>
      </c>
      <c r="E8337" s="1" t="s">
        <v>10</v>
      </c>
      <c r="F8337" s="1" t="str">
        <f>"10.14.15.126"</f>
        <v>10.14.15.126</v>
      </c>
      <c r="G8337" s="1" t="str">
        <f>"9628E372"</f>
        <v>9628E372</v>
      </c>
      <c r="H8337" s="1" t="str">
        <f>"은수간 55L1"</f>
        <v>은수간 55L1</v>
      </c>
      <c r="I8337" s="1" t="s">
        <v>8</v>
      </c>
      <c r="J8337" s="1" t="str">
        <f>"33/33"</f>
        <v>33/33</v>
      </c>
      <c r="K8337" s="1" t="str">
        <f t="shared" si="412"/>
        <v>2026-07-29 13:18:11</v>
      </c>
      <c r="L8337" s="1" t="str">
        <f>"2018-04-21 10:23:55"</f>
        <v>2018-04-21 10:23:55</v>
      </c>
      <c r="M8337" s="1" t="s">
        <v>3</v>
      </c>
      <c r="N8337" s="1" t="s">
        <v>38</v>
      </c>
      <c r="O8337" s="1" t="s">
        <v>46</v>
      </c>
    </row>
    <row r="8338" spans="2:15" x14ac:dyDescent="0.3">
      <c r="B8338" s="1" t="s">
        <v>21</v>
      </c>
      <c r="C8338" s="1" t="str">
        <f>"1차"</f>
        <v>1차</v>
      </c>
      <c r="D8338" s="1" t="str">
        <f>"9628E37500"</f>
        <v>9628E37500</v>
      </c>
      <c r="E8338" s="1" t="s">
        <v>10</v>
      </c>
      <c r="F8338" s="1" t="str">
        <f>"10.128.0.168"</f>
        <v>10.128.0.168</v>
      </c>
      <c r="G8338" s="1" t="str">
        <f>"9628E375"</f>
        <v>9628E375</v>
      </c>
      <c r="H8338" s="1" t="str">
        <f>"갈현간 48"</f>
        <v>갈현간 48</v>
      </c>
      <c r="I8338" s="1" t="s">
        <v>8</v>
      </c>
      <c r="J8338" s="1" t="str">
        <f>"31/31"</f>
        <v>31/31</v>
      </c>
      <c r="K8338" s="1" t="str">
        <f t="shared" si="412"/>
        <v>2026-07-29 13:18:11</v>
      </c>
      <c r="L8338" s="1" t="str">
        <f>"2014-10-07 00:13:47"</f>
        <v>2014-10-07 00:13:47</v>
      </c>
      <c r="M8338" s="1" t="s">
        <v>45</v>
      </c>
      <c r="N8338" s="1" t="s">
        <v>38</v>
      </c>
      <c r="O8338" s="1" t="s">
        <v>46</v>
      </c>
    </row>
    <row r="8339" spans="2:15" x14ac:dyDescent="0.3">
      <c r="B8339" s="1" t="s">
        <v>21</v>
      </c>
      <c r="C8339" s="1" t="str">
        <f>"1차"</f>
        <v>1차</v>
      </c>
      <c r="D8339" s="1" t="str">
        <f>"9628E39100"</f>
        <v>9628E39100</v>
      </c>
      <c r="E8339" s="1" t="s">
        <v>10</v>
      </c>
      <c r="F8339" s="1" t="str">
        <f>"10.128.2.146"</f>
        <v>10.128.2.146</v>
      </c>
      <c r="G8339" s="1" t="str">
        <f>"9628E391"</f>
        <v>9628E391</v>
      </c>
      <c r="H8339" s="1" t="str">
        <f>"갈현간 48R2R3R1"</f>
        <v>갈현간 48R2R3R1</v>
      </c>
      <c r="I8339" s="1" t="s">
        <v>8</v>
      </c>
      <c r="J8339" s="1" t="str">
        <f>"115/115"</f>
        <v>115/115</v>
      </c>
      <c r="K8339" s="1" t="str">
        <f t="shared" si="412"/>
        <v>2026-07-29 13:18:11</v>
      </c>
      <c r="L8339" s="1" t="str">
        <f>"2014-10-07 00:13:47"</f>
        <v>2014-10-07 00:13:47</v>
      </c>
      <c r="M8339" s="1" t="s">
        <v>45</v>
      </c>
      <c r="N8339" s="1" t="s">
        <v>38</v>
      </c>
      <c r="O8339" s="1" t="s">
        <v>46</v>
      </c>
    </row>
    <row r="8340" spans="2:15" x14ac:dyDescent="0.3">
      <c r="B8340" s="1" t="s">
        <v>21</v>
      </c>
      <c r="C8340" s="1" t="str">
        <f>"3차"</f>
        <v>3차</v>
      </c>
      <c r="D8340" s="1" t="str">
        <f>"9628E40139"</f>
        <v>9628E40139</v>
      </c>
      <c r="E8340" s="1" t="s">
        <v>10</v>
      </c>
      <c r="F8340" s="1" t="str">
        <f>"10.128.69.90"</f>
        <v>10.128.69.90</v>
      </c>
      <c r="G8340" s="1" t="str">
        <f>"9628E401"</f>
        <v>9628E401</v>
      </c>
      <c r="H8340" s="1" t="str">
        <f>"서오간 45L12R4"</f>
        <v>서오간 45L12R4</v>
      </c>
      <c r="I8340" s="1" t="s">
        <v>8</v>
      </c>
      <c r="J8340" s="1" t="str">
        <f>"97/97"</f>
        <v>97/97</v>
      </c>
      <c r="K8340" s="1" t="str">
        <f t="shared" si="412"/>
        <v>2026-07-29 13:18:11</v>
      </c>
      <c r="L8340" s="1" t="str">
        <f>"2018-01-31 14:02:11"</f>
        <v>2018-01-31 14:02:11</v>
      </c>
      <c r="M8340" s="1" t="s">
        <v>45</v>
      </c>
      <c r="N8340" s="1" t="s">
        <v>38</v>
      </c>
      <c r="O8340" s="1" t="s">
        <v>46</v>
      </c>
    </row>
    <row r="8341" spans="2:15" x14ac:dyDescent="0.3">
      <c r="B8341" s="1" t="s">
        <v>21</v>
      </c>
      <c r="C8341" s="1" t="str">
        <f>"4차"</f>
        <v>4차</v>
      </c>
      <c r="D8341" s="1" t="str">
        <f>"9628E42139"</f>
        <v>9628E42139</v>
      </c>
      <c r="E8341" s="1" t="s">
        <v>10</v>
      </c>
      <c r="F8341" s="1" t="str">
        <f>"10.128.88.26"</f>
        <v>10.128.88.26</v>
      </c>
      <c r="G8341" s="1" t="str">
        <f>"9628E421"</f>
        <v>9628E421</v>
      </c>
      <c r="H8341" s="1" t="str">
        <f>"은수간 62L2L2"</f>
        <v>은수간 62L2L2</v>
      </c>
      <c r="I8341" s="1" t="s">
        <v>8</v>
      </c>
      <c r="J8341" s="1" t="str">
        <f>"114/114"</f>
        <v>114/114</v>
      </c>
      <c r="K8341" s="1" t="str">
        <f t="shared" si="412"/>
        <v>2026-07-29 13:18:11</v>
      </c>
      <c r="L8341" s="1" t="str">
        <f>"2018-02-27 14:31:12"</f>
        <v>2018-02-27 14:31:12</v>
      </c>
      <c r="M8341" s="1" t="s">
        <v>45</v>
      </c>
      <c r="N8341" s="1" t="s">
        <v>38</v>
      </c>
      <c r="O8341" s="1" t="s">
        <v>46</v>
      </c>
    </row>
    <row r="8342" spans="2:15" x14ac:dyDescent="0.3">
      <c r="B8342" s="1" t="s">
        <v>21</v>
      </c>
      <c r="C8342" s="1" t="str">
        <f>"4차"</f>
        <v>4차</v>
      </c>
      <c r="D8342" s="1" t="str">
        <f>"9628E43139"</f>
        <v>9628E43139</v>
      </c>
      <c r="E8342" s="1" t="s">
        <v>10</v>
      </c>
      <c r="F8342" s="1" t="str">
        <f>"10.128.88.34"</f>
        <v>10.128.88.34</v>
      </c>
      <c r="G8342" s="1" t="str">
        <f>"9628E431"</f>
        <v>9628E431</v>
      </c>
      <c r="H8342" s="1" t="str">
        <f>"은수간 60L5R1A2"</f>
        <v>은수간 60L5R1A2</v>
      </c>
      <c r="I8342" s="1" t="s">
        <v>8</v>
      </c>
      <c r="J8342" s="1" t="str">
        <f>"53/53"</f>
        <v>53/53</v>
      </c>
      <c r="K8342" s="1" t="str">
        <f t="shared" si="412"/>
        <v>2026-07-29 13:18:11</v>
      </c>
      <c r="L8342" s="1" t="str">
        <f>"2018-02-27 14:52:25"</f>
        <v>2018-02-27 14:52:25</v>
      </c>
      <c r="M8342" s="1" t="s">
        <v>45</v>
      </c>
      <c r="N8342" s="1" t="s">
        <v>38</v>
      </c>
      <c r="O8342" s="1" t="s">
        <v>46</v>
      </c>
    </row>
    <row r="8343" spans="2:15" x14ac:dyDescent="0.3">
      <c r="B8343" s="1" t="s">
        <v>21</v>
      </c>
      <c r="C8343" s="1" t="str">
        <f>"3차"</f>
        <v>3차</v>
      </c>
      <c r="D8343" s="1" t="str">
        <f>"9628E43239"</f>
        <v>9628E43239</v>
      </c>
      <c r="E8343" s="1" t="s">
        <v>10</v>
      </c>
      <c r="F8343" s="1" t="str">
        <f>"10.128.88.42"</f>
        <v>10.128.88.42</v>
      </c>
      <c r="G8343" s="1" t="str">
        <f>"9628E432"</f>
        <v>9628E432</v>
      </c>
      <c r="H8343" s="1" t="str">
        <f>"은수간 60L5R1A1"</f>
        <v>은수간 60L5R1A1</v>
      </c>
      <c r="I8343" s="1" t="s">
        <v>8</v>
      </c>
      <c r="J8343" s="1" t="str">
        <f>"17/17"</f>
        <v>17/17</v>
      </c>
      <c r="K8343" s="1" t="str">
        <f t="shared" si="412"/>
        <v>2026-07-29 13:18:11</v>
      </c>
      <c r="L8343" s="1" t="str">
        <f>"2018-02-27 14:25:42"</f>
        <v>2018-02-27 14:25:42</v>
      </c>
      <c r="M8343" s="1" t="s">
        <v>45</v>
      </c>
      <c r="N8343" s="1" t="s">
        <v>38</v>
      </c>
      <c r="O8343" s="1" t="s">
        <v>46</v>
      </c>
    </row>
    <row r="8344" spans="2:15" x14ac:dyDescent="0.3">
      <c r="B8344" s="1" t="s">
        <v>21</v>
      </c>
      <c r="C8344" s="1" t="str">
        <f>"3차"</f>
        <v>3차</v>
      </c>
      <c r="D8344" s="1" t="str">
        <f>"9628E44139"</f>
        <v>9628E44139</v>
      </c>
      <c r="E8344" s="1" t="s">
        <v>10</v>
      </c>
      <c r="F8344" s="1" t="str">
        <f>"10.128.71.131"</f>
        <v>10.128.71.131</v>
      </c>
      <c r="G8344" s="1" t="str">
        <f>"9628E441"</f>
        <v>9628E441</v>
      </c>
      <c r="H8344" s="1" t="str">
        <f>"은수간 60L3"</f>
        <v>은수간 60L3</v>
      </c>
      <c r="I8344" s="1" t="s">
        <v>8</v>
      </c>
      <c r="J8344" s="1" t="str">
        <f>"39/39"</f>
        <v>39/39</v>
      </c>
      <c r="K8344" s="1" t="str">
        <f t="shared" si="412"/>
        <v>2026-07-29 13:18:11</v>
      </c>
      <c r="L8344" s="1" t="str">
        <f>"2018-02-20 13:44:12"</f>
        <v>2018-02-20 13:44:12</v>
      </c>
      <c r="M8344" s="1" t="s">
        <v>45</v>
      </c>
      <c r="N8344" s="1" t="s">
        <v>38</v>
      </c>
      <c r="O8344" s="1" t="s">
        <v>46</v>
      </c>
    </row>
    <row r="8345" spans="2:15" x14ac:dyDescent="0.3">
      <c r="B8345" s="1" t="s">
        <v>21</v>
      </c>
      <c r="C8345" s="1" t="str">
        <f>"4차"</f>
        <v>4차</v>
      </c>
      <c r="D8345" s="1" t="str">
        <f>"9628E46344"</f>
        <v>9628E46344</v>
      </c>
      <c r="E8345" s="1" t="s">
        <v>10</v>
      </c>
      <c r="F8345" s="1" t="str">
        <f>"10.10.70.82"</f>
        <v>10.10.70.82</v>
      </c>
      <c r="G8345" s="1" t="str">
        <f>"9628E463"</f>
        <v>9628E463</v>
      </c>
      <c r="H8345" s="1" t="str">
        <f>"은수간 55L2"</f>
        <v>은수간 55L2</v>
      </c>
      <c r="I8345" s="1" t="s">
        <v>8</v>
      </c>
      <c r="J8345" s="1" t="str">
        <f>"94/100"</f>
        <v>94/100</v>
      </c>
      <c r="K8345" s="1" t="str">
        <f t="shared" si="412"/>
        <v>2026-07-29 13:18:11</v>
      </c>
      <c r="L8345" s="1" t="str">
        <f>"2019-10-15 15:57:45"</f>
        <v>2019-10-15 15:57:45</v>
      </c>
      <c r="M8345" s="1" t="s">
        <v>1</v>
      </c>
      <c r="N8345" s="1" t="s">
        <v>38</v>
      </c>
      <c r="O8345" s="1" t="s">
        <v>46</v>
      </c>
    </row>
    <row r="8346" spans="2:15" x14ac:dyDescent="0.3">
      <c r="B8346" s="1" t="s">
        <v>21</v>
      </c>
      <c r="C8346" s="1" t="str">
        <f>"1차"</f>
        <v>1차</v>
      </c>
      <c r="D8346" s="1" t="str">
        <f>"9628E48102"</f>
        <v>9628E48102</v>
      </c>
      <c r="E8346" s="1" t="s">
        <v>10</v>
      </c>
      <c r="F8346" s="1" t="str">
        <f>"10.128.0.170"</f>
        <v>10.128.0.170</v>
      </c>
      <c r="G8346" s="1" t="str">
        <f>"9628E481"</f>
        <v>9628E481</v>
      </c>
      <c r="H8346" s="1" t="str">
        <f>"갈현간 46"</f>
        <v>갈현간 46</v>
      </c>
      <c r="I8346" s="1" t="s">
        <v>8</v>
      </c>
      <c r="J8346" s="1" t="str">
        <f>"19/19"</f>
        <v>19/19</v>
      </c>
      <c r="K8346" s="1" t="str">
        <f t="shared" si="412"/>
        <v>2026-07-29 13:18:11</v>
      </c>
      <c r="L8346" s="1" t="str">
        <f>"2014-11-26 14:24:06"</f>
        <v>2014-11-26 14:24:06</v>
      </c>
      <c r="M8346" s="1" t="s">
        <v>45</v>
      </c>
      <c r="N8346" s="1" t="s">
        <v>38</v>
      </c>
      <c r="O8346" s="1" t="s">
        <v>46</v>
      </c>
    </row>
    <row r="8347" spans="2:15" x14ac:dyDescent="0.3">
      <c r="B8347" s="1" t="s">
        <v>21</v>
      </c>
      <c r="C8347" s="1" t="str">
        <f>"4차"</f>
        <v>4차</v>
      </c>
      <c r="D8347" s="1" t="str">
        <f>"9628E50139"</f>
        <v>9628E50139</v>
      </c>
      <c r="E8347" s="1" t="s">
        <v>10</v>
      </c>
      <c r="F8347" s="1" t="str">
        <f>"10.128.69.89"</f>
        <v>10.128.69.89</v>
      </c>
      <c r="G8347" s="1" t="str">
        <f>"9628E501"</f>
        <v>9628E501</v>
      </c>
      <c r="H8347" s="1" t="str">
        <f>"서오간 45L12R3"</f>
        <v>서오간 45L12R3</v>
      </c>
      <c r="I8347" s="1" t="s">
        <v>8</v>
      </c>
      <c r="J8347" s="1" t="str">
        <f>"86/86"</f>
        <v>86/86</v>
      </c>
      <c r="K8347" s="1" t="str">
        <f t="shared" si="412"/>
        <v>2026-07-29 13:18:11</v>
      </c>
      <c r="L8347" s="1" t="str">
        <f>"2018-01-24 16:21:28"</f>
        <v>2018-01-24 16:21:28</v>
      </c>
      <c r="M8347" s="1" t="s">
        <v>45</v>
      </c>
      <c r="N8347" s="1" t="s">
        <v>38</v>
      </c>
      <c r="O8347" s="1" t="s">
        <v>46</v>
      </c>
    </row>
    <row r="8348" spans="2:15" x14ac:dyDescent="0.3">
      <c r="B8348" s="1" t="s">
        <v>21</v>
      </c>
      <c r="C8348" s="1" t="str">
        <f>"3차"</f>
        <v>3차</v>
      </c>
      <c r="D8348" s="1" t="str">
        <f>"9628E51139"</f>
        <v>9628E51139</v>
      </c>
      <c r="E8348" s="1" t="s">
        <v>10</v>
      </c>
      <c r="F8348" s="1" t="str">
        <f>"10.128.88.50"</f>
        <v>10.128.88.50</v>
      </c>
      <c r="G8348" s="1" t="str">
        <f>"9628E511"</f>
        <v>9628E511</v>
      </c>
      <c r="H8348" s="1" t="str">
        <f>"은수간 60L5R1R1"</f>
        <v>은수간 60L5R1R1</v>
      </c>
      <c r="I8348" s="1" t="s">
        <v>8</v>
      </c>
      <c r="J8348" s="1" t="str">
        <f>"43/48"</f>
        <v>43/48</v>
      </c>
      <c r="K8348" s="1" t="str">
        <f t="shared" si="412"/>
        <v>2026-07-29 13:18:11</v>
      </c>
      <c r="L8348" s="1" t="str">
        <f>"2018-02-27 15:08:58"</f>
        <v>2018-02-27 15:08:58</v>
      </c>
      <c r="M8348" s="1" t="s">
        <v>45</v>
      </c>
      <c r="N8348" s="1" t="s">
        <v>38</v>
      </c>
      <c r="O8348" s="1" t="s">
        <v>46</v>
      </c>
    </row>
    <row r="8349" spans="2:15" x14ac:dyDescent="0.3">
      <c r="B8349" s="1" t="s">
        <v>21</v>
      </c>
      <c r="C8349" s="1" t="str">
        <f>"3차"</f>
        <v>3차</v>
      </c>
      <c r="D8349" s="1" t="str">
        <f>"9628E54139"</f>
        <v>9628E54139</v>
      </c>
      <c r="E8349" s="1" t="s">
        <v>10</v>
      </c>
      <c r="F8349" s="1" t="str">
        <f>"10.128.73.227"</f>
        <v>10.128.73.227</v>
      </c>
      <c r="G8349" s="1" t="str">
        <f>"9628E541"</f>
        <v>9628E541</v>
      </c>
      <c r="H8349" s="1" t="str">
        <f>"서오간 55"</f>
        <v>서오간 55</v>
      </c>
      <c r="I8349" s="1" t="s">
        <v>8</v>
      </c>
      <c r="J8349" s="1" t="str">
        <f>"24/24"</f>
        <v>24/24</v>
      </c>
      <c r="K8349" s="1" t="str">
        <f t="shared" si="412"/>
        <v>2026-07-29 13:18:11</v>
      </c>
      <c r="L8349" s="1" t="str">
        <f>"2018-01-11 17:28:13"</f>
        <v>2018-01-11 17:28:13</v>
      </c>
      <c r="M8349" s="1" t="s">
        <v>45</v>
      </c>
      <c r="N8349" s="1" t="s">
        <v>38</v>
      </c>
      <c r="O8349" s="1" t="s">
        <v>46</v>
      </c>
    </row>
    <row r="8350" spans="2:15" x14ac:dyDescent="0.3">
      <c r="B8350" s="1" t="s">
        <v>21</v>
      </c>
      <c r="C8350" s="1" t="str">
        <f>"1차"</f>
        <v>1차</v>
      </c>
      <c r="D8350" s="1" t="str">
        <f>"9628E54200"</f>
        <v>9628E54200</v>
      </c>
      <c r="E8350" s="1" t="s">
        <v>10</v>
      </c>
      <c r="F8350" s="1" t="str">
        <f>"10.128.71.132"</f>
        <v>10.128.71.132</v>
      </c>
      <c r="G8350" s="1" t="str">
        <f>"9628E542"</f>
        <v>9628E542</v>
      </c>
      <c r="H8350" s="1" t="str">
        <f>"은수간 60L4"</f>
        <v>은수간 60L4</v>
      </c>
      <c r="I8350" s="1" t="s">
        <v>8</v>
      </c>
      <c r="J8350" s="1" t="str">
        <f>"108/121"</f>
        <v>108/121</v>
      </c>
      <c r="K8350" s="1" t="str">
        <f t="shared" si="412"/>
        <v>2026-07-29 13:18:11</v>
      </c>
      <c r="L8350" s="1" t="str">
        <f>"2014-11-27 15:39:14"</f>
        <v>2014-11-27 15:39:14</v>
      </c>
      <c r="M8350" s="1" t="s">
        <v>45</v>
      </c>
      <c r="N8350" s="1" t="s">
        <v>38</v>
      </c>
      <c r="O8350" s="1" t="s">
        <v>46</v>
      </c>
    </row>
    <row r="8351" spans="2:15" x14ac:dyDescent="0.3">
      <c r="B8351" s="1" t="s">
        <v>21</v>
      </c>
      <c r="C8351" s="1" t="str">
        <f>"3차"</f>
        <v>3차</v>
      </c>
      <c r="D8351" s="1" t="str">
        <f>"9628E57139"</f>
        <v>9628E57139</v>
      </c>
      <c r="E8351" s="1" t="s">
        <v>10</v>
      </c>
      <c r="F8351" s="1" t="str">
        <f>"10.12.128.252"</f>
        <v>10.12.128.252</v>
      </c>
      <c r="G8351" s="1" t="str">
        <f>"9628E571"</f>
        <v>9628E571</v>
      </c>
      <c r="H8351" s="1" t="str">
        <f>"갈촌간 47R7L2"</f>
        <v>갈촌간 47R7L2</v>
      </c>
      <c r="I8351" s="1" t="s">
        <v>8</v>
      </c>
      <c r="J8351" s="1" t="str">
        <f>"48/48"</f>
        <v>48/48</v>
      </c>
      <c r="K8351" s="1" t="str">
        <f t="shared" si="412"/>
        <v>2026-07-29 13:18:11</v>
      </c>
      <c r="L8351" s="1" t="str">
        <f>"2018-04-21 10:46:25"</f>
        <v>2018-04-21 10:46:25</v>
      </c>
      <c r="M8351" s="1" t="s">
        <v>0</v>
      </c>
      <c r="N8351" s="1" t="s">
        <v>38</v>
      </c>
      <c r="O8351" s="1" t="s">
        <v>46</v>
      </c>
    </row>
    <row r="8352" spans="2:15" x14ac:dyDescent="0.3">
      <c r="B8352" s="1" t="s">
        <v>21</v>
      </c>
      <c r="C8352" s="1" t="str">
        <f>"1차"</f>
        <v>1차</v>
      </c>
      <c r="D8352" s="1" t="str">
        <f>"9628E58100"</f>
        <v>9628E58100</v>
      </c>
      <c r="E8352" s="1" t="str">
        <f>"검침실패(3시간 이상)"</f>
        <v>검침실패(3시간 이상)</v>
      </c>
      <c r="F8352" s="1" t="str">
        <f>"10.128.0.174"</f>
        <v>10.128.0.174</v>
      </c>
      <c r="G8352" s="1" t="str">
        <f>"9628E581"</f>
        <v>9628E581</v>
      </c>
      <c r="H8352" s="1" t="str">
        <f>"갈촌간 47R8"</f>
        <v>갈촌간 47R8</v>
      </c>
      <c r="I8352" s="1" t="s">
        <v>8</v>
      </c>
      <c r="J8352" s="1" t="str">
        <f>"9/38"</f>
        <v>9/38</v>
      </c>
      <c r="K8352" s="1" t="str">
        <f t="shared" si="412"/>
        <v>2026-07-29 13:18:11</v>
      </c>
      <c r="L8352" s="1" t="str">
        <f>"2014-10-07 00:14:04"</f>
        <v>2014-10-07 00:14:04</v>
      </c>
      <c r="M8352" s="1" t="s">
        <v>45</v>
      </c>
      <c r="N8352" s="1" t="s">
        <v>38</v>
      </c>
      <c r="O8352" s="1" t="s">
        <v>46</v>
      </c>
    </row>
    <row r="8353" spans="2:15" x14ac:dyDescent="0.3">
      <c r="B8353" s="1" t="s">
        <v>21</v>
      </c>
      <c r="C8353" s="1" t="str">
        <f>"4차"</f>
        <v>4차</v>
      </c>
      <c r="D8353" s="1" t="str">
        <f>"9628E58244"</f>
        <v>9628E58244</v>
      </c>
      <c r="E8353" s="1" t="s">
        <v>10</v>
      </c>
      <c r="F8353" s="1" t="str">
        <f>"10.10.93.130"</f>
        <v>10.10.93.130</v>
      </c>
      <c r="G8353" s="1" t="str">
        <f>"9628E582"</f>
        <v>9628E582</v>
      </c>
      <c r="H8353" s="1" t="str">
        <f>"갈촌간 47R10"</f>
        <v>갈촌간 47R10</v>
      </c>
      <c r="I8353" s="1" t="s">
        <v>8</v>
      </c>
      <c r="J8353" s="1" t="str">
        <f>"52/52"</f>
        <v>52/52</v>
      </c>
      <c r="K8353" s="1" t="str">
        <f t="shared" si="412"/>
        <v>2026-07-29 13:18:11</v>
      </c>
      <c r="L8353" s="1" t="str">
        <f>"2019-10-15 16:21:44"</f>
        <v>2019-10-15 16:21:44</v>
      </c>
      <c r="M8353" s="1" t="s">
        <v>1</v>
      </c>
      <c r="N8353" s="1" t="s">
        <v>38</v>
      </c>
      <c r="O8353" s="1" t="s">
        <v>46</v>
      </c>
    </row>
    <row r="8354" spans="2:15" x14ac:dyDescent="0.3">
      <c r="B8354" s="1" t="s">
        <v>21</v>
      </c>
      <c r="C8354" s="1" t="str">
        <f>"1차"</f>
        <v>1차</v>
      </c>
      <c r="D8354" s="1" t="str">
        <f>"9628E59101"</f>
        <v>9628E59101</v>
      </c>
      <c r="E8354" s="1" t="s">
        <v>10</v>
      </c>
      <c r="F8354" s="1" t="str">
        <f>"10.128.0.175"</f>
        <v>10.128.0.175</v>
      </c>
      <c r="G8354" s="1" t="str">
        <f>"9628E591"</f>
        <v>9628E591</v>
      </c>
      <c r="H8354" s="1" t="str">
        <f>"갈촌간 47R9"</f>
        <v>갈촌간 47R9</v>
      </c>
      <c r="I8354" s="1" t="s">
        <v>8</v>
      </c>
      <c r="J8354" s="1" t="str">
        <f>"75/75"</f>
        <v>75/75</v>
      </c>
      <c r="K8354" s="1" t="str">
        <f t="shared" si="412"/>
        <v>2026-07-29 13:18:11</v>
      </c>
      <c r="L8354" s="1" t="str">
        <f>"2014-11-24 15:17:19"</f>
        <v>2014-11-24 15:17:19</v>
      </c>
      <c r="M8354" s="1" t="s">
        <v>45</v>
      </c>
      <c r="N8354" s="1" t="s">
        <v>38</v>
      </c>
      <c r="O8354" s="1" t="s">
        <v>46</v>
      </c>
    </row>
    <row r="8355" spans="2:15" x14ac:dyDescent="0.3">
      <c r="B8355" s="1" t="s">
        <v>21</v>
      </c>
      <c r="C8355" s="1" t="str">
        <f>"4차"</f>
        <v>4차</v>
      </c>
      <c r="D8355" s="1" t="str">
        <f>"9628E61142"</f>
        <v>9628E61142</v>
      </c>
      <c r="E8355" s="1" t="s">
        <v>10</v>
      </c>
      <c r="F8355" s="1" t="str">
        <f>"10.128.69.87"</f>
        <v>10.128.69.87</v>
      </c>
      <c r="G8355" s="1" t="str">
        <f>"9628E611"</f>
        <v>9628E611</v>
      </c>
      <c r="H8355" s="1" t="str">
        <f>"서오간 45L8A1"</f>
        <v>서오간 45L8A1</v>
      </c>
      <c r="I8355" s="1" t="s">
        <v>8</v>
      </c>
      <c r="J8355" s="1" t="str">
        <f>"143/145"</f>
        <v>143/145</v>
      </c>
      <c r="K8355" s="1" t="str">
        <f t="shared" si="412"/>
        <v>2026-07-29 13:18:11</v>
      </c>
      <c r="L8355" s="1" t="str">
        <f>"2025-01-08 17:58:24"</f>
        <v>2025-01-08 17:58:24</v>
      </c>
      <c r="M8355" s="1" t="s">
        <v>45</v>
      </c>
      <c r="N8355" s="1" t="s">
        <v>38</v>
      </c>
      <c r="O8355" s="1" t="s">
        <v>46</v>
      </c>
    </row>
    <row r="8356" spans="2:15" x14ac:dyDescent="0.3">
      <c r="B8356" s="1" t="s">
        <v>21</v>
      </c>
      <c r="C8356" s="1" t="str">
        <f>"1차"</f>
        <v>1차</v>
      </c>
      <c r="D8356" s="1" t="str">
        <f>"9628E62100"</f>
        <v>9628E62100</v>
      </c>
      <c r="E8356" s="1" t="s">
        <v>10</v>
      </c>
      <c r="F8356" s="1" t="str">
        <f>"10.128.71.110"</f>
        <v>10.128.71.110</v>
      </c>
      <c r="G8356" s="1" t="str">
        <f>"9628E621"</f>
        <v>9628E621</v>
      </c>
      <c r="H8356" s="1" t="str">
        <f>"은수간 60L5R2"</f>
        <v>은수간 60L5R2</v>
      </c>
      <c r="I8356" s="1" t="s">
        <v>8</v>
      </c>
      <c r="J8356" s="1" t="str">
        <f>"32/33"</f>
        <v>32/33</v>
      </c>
      <c r="K8356" s="1" t="str">
        <f t="shared" si="412"/>
        <v>2026-07-29 13:18:11</v>
      </c>
      <c r="L8356" s="1" t="str">
        <f>"2014-11-21 14:48:03"</f>
        <v>2014-11-21 14:48:03</v>
      </c>
      <c r="M8356" s="1" t="s">
        <v>45</v>
      </c>
      <c r="N8356" s="1" t="s">
        <v>38</v>
      </c>
      <c r="O8356" s="1" t="s">
        <v>46</v>
      </c>
    </row>
    <row r="8357" spans="2:15" x14ac:dyDescent="0.3">
      <c r="B8357" s="1" t="s">
        <v>21</v>
      </c>
      <c r="C8357" s="1" t="str">
        <f>"3차"</f>
        <v>3차</v>
      </c>
      <c r="D8357" s="1" t="str">
        <f>"9628E64139"</f>
        <v>9628E64139</v>
      </c>
      <c r="E8357" s="1" t="s">
        <v>10</v>
      </c>
      <c r="F8357" s="1" t="str">
        <f>"10.128.73.228"</f>
        <v>10.128.73.228</v>
      </c>
      <c r="G8357" s="1" t="str">
        <f>"9628E641"</f>
        <v>9628E641</v>
      </c>
      <c r="H8357" s="1" t="str">
        <f>"서오간 54"</f>
        <v>서오간 54</v>
      </c>
      <c r="I8357" s="1" t="s">
        <v>8</v>
      </c>
      <c r="J8357" s="1" t="str">
        <f>"2/2"</f>
        <v>2/2</v>
      </c>
      <c r="K8357" s="1" t="str">
        <f t="shared" si="412"/>
        <v>2026-07-29 13:18:11</v>
      </c>
      <c r="L8357" s="1" t="str">
        <f>"2018-01-23 11:18:24"</f>
        <v>2018-01-23 11:18:24</v>
      </c>
      <c r="M8357" s="1" t="s">
        <v>45</v>
      </c>
      <c r="N8357" s="1" t="s">
        <v>38</v>
      </c>
      <c r="O8357" s="1" t="s">
        <v>46</v>
      </c>
    </row>
    <row r="8358" spans="2:15" x14ac:dyDescent="0.3">
      <c r="B8358" s="1" t="s">
        <v>21</v>
      </c>
      <c r="C8358" s="1" t="str">
        <f>"3차"</f>
        <v>3차</v>
      </c>
      <c r="D8358" s="1" t="str">
        <f>"9628E65239"</f>
        <v>9628E65239</v>
      </c>
      <c r="E8358" s="1" t="s">
        <v>10</v>
      </c>
      <c r="F8358" s="1" t="str">
        <f>"10.128.3.28"</f>
        <v>10.128.3.28</v>
      </c>
      <c r="G8358" s="1" t="str">
        <f>"9628E652"</f>
        <v>9628E652</v>
      </c>
      <c r="H8358" s="1" t="str">
        <f>"갈촌간 47R1"</f>
        <v>갈촌간 47R1</v>
      </c>
      <c r="I8358" s="1" t="s">
        <v>8</v>
      </c>
      <c r="J8358" s="1" t="str">
        <f>"30/30"</f>
        <v>30/30</v>
      </c>
      <c r="K8358" s="1" t="str">
        <f t="shared" si="412"/>
        <v>2026-07-29 13:18:11</v>
      </c>
      <c r="L8358" s="1" t="str">
        <f>"2018-01-17 18:08:28"</f>
        <v>2018-01-17 18:08:28</v>
      </c>
      <c r="M8358" s="1" t="s">
        <v>45</v>
      </c>
      <c r="N8358" s="1" t="s">
        <v>38</v>
      </c>
      <c r="O8358" s="1" t="s">
        <v>46</v>
      </c>
    </row>
    <row r="8359" spans="2:15" x14ac:dyDescent="0.3">
      <c r="B8359" s="1" t="s">
        <v>21</v>
      </c>
      <c r="C8359" s="1" t="str">
        <f>"3차"</f>
        <v>3차</v>
      </c>
      <c r="D8359" s="1" t="str">
        <f>"9628E66139"</f>
        <v>9628E66139</v>
      </c>
      <c r="E8359" s="1" t="s">
        <v>10</v>
      </c>
      <c r="F8359" s="1" t="str">
        <f>"10.128.4.29"</f>
        <v>10.128.4.29</v>
      </c>
      <c r="G8359" s="1" t="str">
        <f>"9628E661"</f>
        <v>9628E661</v>
      </c>
      <c r="H8359" s="1" t="str">
        <f>"은수간 55L4"</f>
        <v>은수간 55L4</v>
      </c>
      <c r="I8359" s="1" t="s">
        <v>8</v>
      </c>
      <c r="J8359" s="1" t="str">
        <f>"35/35"</f>
        <v>35/35</v>
      </c>
      <c r="K8359" s="1" t="str">
        <f t="shared" si="412"/>
        <v>2026-07-29 13:18:11</v>
      </c>
      <c r="L8359" s="1" t="str">
        <f>"2018-02-22 00:55:49"</f>
        <v>2018-02-22 00:55:49</v>
      </c>
      <c r="M8359" s="1" t="s">
        <v>45</v>
      </c>
      <c r="N8359" s="1" t="s">
        <v>38</v>
      </c>
      <c r="O8359" s="1" t="s">
        <v>46</v>
      </c>
    </row>
    <row r="8360" spans="2:15" x14ac:dyDescent="0.3">
      <c r="B8360" s="1" t="s">
        <v>21</v>
      </c>
      <c r="C8360" s="1" t="str">
        <f>"3차"</f>
        <v>3차</v>
      </c>
      <c r="D8360" s="1" t="str">
        <f>"9628E66239"</f>
        <v>9628E66239</v>
      </c>
      <c r="E8360" s="1" t="s">
        <v>10</v>
      </c>
      <c r="F8360" s="1" t="str">
        <f>"10.128.4.30"</f>
        <v>10.128.4.30</v>
      </c>
      <c r="G8360" s="1" t="str">
        <f>"9628E662"</f>
        <v>9628E662</v>
      </c>
      <c r="H8360" s="1" t="str">
        <f>"은수간 55L5"</f>
        <v>은수간 55L5</v>
      </c>
      <c r="I8360" s="1" t="s">
        <v>8</v>
      </c>
      <c r="J8360" s="1" t="str">
        <f>"62/62"</f>
        <v>62/62</v>
      </c>
      <c r="K8360" s="1" t="str">
        <f t="shared" si="412"/>
        <v>2026-07-29 13:18:11</v>
      </c>
      <c r="L8360" s="1" t="str">
        <f>"2018-02-22 00:57:35"</f>
        <v>2018-02-22 00:57:35</v>
      </c>
      <c r="M8360" s="1" t="s">
        <v>45</v>
      </c>
      <c r="N8360" s="1" t="s">
        <v>38</v>
      </c>
      <c r="O8360" s="1" t="s">
        <v>46</v>
      </c>
    </row>
    <row r="8361" spans="2:15" x14ac:dyDescent="0.3">
      <c r="B8361" s="1" t="s">
        <v>21</v>
      </c>
      <c r="C8361" s="1" t="str">
        <f>"3차"</f>
        <v>3차</v>
      </c>
      <c r="D8361" s="1" t="str">
        <f>"9628E67139"</f>
        <v>9628E67139</v>
      </c>
      <c r="E8361" s="1" t="s">
        <v>10</v>
      </c>
      <c r="F8361" s="1" t="str">
        <f>"10.128.4.31"</f>
        <v>10.128.4.31</v>
      </c>
      <c r="G8361" s="1" t="str">
        <f>"9628E671"</f>
        <v>9628E671</v>
      </c>
      <c r="H8361" s="1" t="str">
        <f>"은수간 55L6"</f>
        <v>은수간 55L6</v>
      </c>
      <c r="I8361" s="1" t="s">
        <v>8</v>
      </c>
      <c r="J8361" s="1" t="str">
        <f>"38/39"</f>
        <v>38/39</v>
      </c>
      <c r="K8361" s="1" t="str">
        <f t="shared" si="412"/>
        <v>2026-07-29 13:18:11</v>
      </c>
      <c r="L8361" s="1" t="str">
        <f>"2018-02-22 00:48:49"</f>
        <v>2018-02-22 00:48:49</v>
      </c>
      <c r="M8361" s="1" t="s">
        <v>45</v>
      </c>
      <c r="N8361" s="1" t="s">
        <v>38</v>
      </c>
      <c r="O8361" s="1" t="s">
        <v>46</v>
      </c>
    </row>
    <row r="8362" spans="2:15" x14ac:dyDescent="0.3">
      <c r="B8362" s="1" t="s">
        <v>21</v>
      </c>
      <c r="C8362" s="1" t="str">
        <f>"4차"</f>
        <v>4차</v>
      </c>
      <c r="D8362" s="1" t="str">
        <f>"9628E68142"</f>
        <v>9628E68142</v>
      </c>
      <c r="E8362" s="1" t="s">
        <v>10</v>
      </c>
      <c r="F8362" s="1" t="str">
        <f>"10.12.138.158"</f>
        <v>10.12.138.158</v>
      </c>
      <c r="G8362" s="1" t="str">
        <f>"9628E681"</f>
        <v>9628E681</v>
      </c>
      <c r="H8362" s="1" t="str">
        <f>"갈촌간 47R7"</f>
        <v>갈촌간 47R7</v>
      </c>
      <c r="I8362" s="1" t="s">
        <v>8</v>
      </c>
      <c r="J8362" s="1" t="str">
        <f>"29/29"</f>
        <v>29/29</v>
      </c>
      <c r="K8362" s="1" t="str">
        <f t="shared" si="412"/>
        <v>2026-07-29 13:18:11</v>
      </c>
      <c r="L8362" s="1" t="str">
        <f>"2026-02-02 15:11:17"</f>
        <v>2026-02-02 15:11:17</v>
      </c>
      <c r="M8362" s="1" t="s">
        <v>0</v>
      </c>
      <c r="N8362" s="1" t="s">
        <v>38</v>
      </c>
      <c r="O8362" s="1" t="s">
        <v>46</v>
      </c>
    </row>
    <row r="8363" spans="2:15" x14ac:dyDescent="0.3">
      <c r="B8363" s="1" t="s">
        <v>21</v>
      </c>
      <c r="C8363" s="1" t="str">
        <f>"1차"</f>
        <v>1차</v>
      </c>
      <c r="D8363" s="1" t="str">
        <f>"9628E72100"</f>
        <v>9628E72100</v>
      </c>
      <c r="E8363" s="1" t="s">
        <v>10</v>
      </c>
      <c r="F8363" s="1" t="str">
        <f>"10.128.71.133"</f>
        <v>10.128.71.133</v>
      </c>
      <c r="G8363" s="1" t="str">
        <f>"9628E721"</f>
        <v>9628E721</v>
      </c>
      <c r="H8363" s="1" t="str">
        <f>"은수간 60L8"</f>
        <v>은수간 60L8</v>
      </c>
      <c r="I8363" s="1" t="s">
        <v>8</v>
      </c>
      <c r="J8363" s="1" t="str">
        <f>"38/39"</f>
        <v>38/39</v>
      </c>
      <c r="K8363" s="1" t="str">
        <f t="shared" si="412"/>
        <v>2026-07-29 13:18:11</v>
      </c>
      <c r="L8363" s="1" t="str">
        <f>"2014-11-27 15:54:19"</f>
        <v>2014-11-27 15:54:19</v>
      </c>
      <c r="M8363" s="1" t="s">
        <v>45</v>
      </c>
      <c r="N8363" s="1" t="s">
        <v>38</v>
      </c>
      <c r="O8363" s="1" t="s">
        <v>46</v>
      </c>
    </row>
    <row r="8364" spans="2:15" x14ac:dyDescent="0.3">
      <c r="B8364" s="1" t="s">
        <v>21</v>
      </c>
      <c r="C8364" s="1" t="str">
        <f>"1차"</f>
        <v>1차</v>
      </c>
      <c r="D8364" s="1" t="str">
        <f>"9628E72201"</f>
        <v>9628E72201</v>
      </c>
      <c r="E8364" s="1" t="s">
        <v>10</v>
      </c>
      <c r="F8364" s="1" t="str">
        <f>"10.12.131.132"</f>
        <v>10.12.131.132</v>
      </c>
      <c r="G8364" s="1" t="str">
        <f>"9628E722"</f>
        <v>9628E722</v>
      </c>
      <c r="H8364" s="1" t="str">
        <f>"은수간 60L5R3"</f>
        <v>은수간 60L5R3</v>
      </c>
      <c r="I8364" s="1" t="s">
        <v>8</v>
      </c>
      <c r="J8364" s="1" t="str">
        <f>"61/79"</f>
        <v>61/79</v>
      </c>
      <c r="K8364" s="1" t="str">
        <f>"2026-07-29 13:18:10"</f>
        <v>2026-07-29 13:18:10</v>
      </c>
      <c r="L8364" s="1" t="str">
        <f>"2014-11-21 14:52:59"</f>
        <v>2014-11-21 14:52:59</v>
      </c>
      <c r="M8364" s="1" t="s">
        <v>0</v>
      </c>
      <c r="N8364" s="1" t="s">
        <v>38</v>
      </c>
      <c r="O8364" s="1" t="s">
        <v>46</v>
      </c>
    </row>
    <row r="8365" spans="2:15" x14ac:dyDescent="0.3">
      <c r="B8365" s="1" t="s">
        <v>21</v>
      </c>
      <c r="C8365" s="1" t="str">
        <f>"3차"</f>
        <v>3차</v>
      </c>
      <c r="D8365" s="1" t="str">
        <f>"9628E73139"</f>
        <v>9628E73139</v>
      </c>
      <c r="E8365" s="1" t="s">
        <v>10</v>
      </c>
      <c r="F8365" s="1" t="str">
        <f>"10.128.73.229"</f>
        <v>10.128.73.229</v>
      </c>
      <c r="G8365" s="1" t="str">
        <f>"9628E731"</f>
        <v>9628E731</v>
      </c>
      <c r="H8365" s="1" t="str">
        <f>"서오간 52"</f>
        <v>서오간 52</v>
      </c>
      <c r="I8365" s="1" t="s">
        <v>8</v>
      </c>
      <c r="J8365" s="1" t="str">
        <f>"10/10"</f>
        <v>10/10</v>
      </c>
      <c r="K8365" s="1" t="str">
        <f t="shared" ref="K8365:K8376" si="413">"2026-07-29 13:18:11"</f>
        <v>2026-07-29 13:18:11</v>
      </c>
      <c r="L8365" s="1" t="str">
        <f>"2018-01-23 11:10:23"</f>
        <v>2018-01-23 11:10:23</v>
      </c>
      <c r="M8365" s="1" t="s">
        <v>45</v>
      </c>
      <c r="N8365" s="1" t="s">
        <v>38</v>
      </c>
      <c r="O8365" s="1" t="s">
        <v>46</v>
      </c>
    </row>
    <row r="8366" spans="2:15" x14ac:dyDescent="0.3">
      <c r="B8366" s="1" t="s">
        <v>21</v>
      </c>
      <c r="C8366" s="1" t="str">
        <f>"4차"</f>
        <v>4차</v>
      </c>
      <c r="D8366" s="1" t="str">
        <f>"9628E76130"</f>
        <v>9628E76130</v>
      </c>
      <c r="E8366" s="1" t="s">
        <v>10</v>
      </c>
      <c r="F8366" s="1" t="str">
        <f>"10.128.3.48"</f>
        <v>10.128.3.48</v>
      </c>
      <c r="G8366" s="1" t="str">
        <f>"9628E761"</f>
        <v>9628E761</v>
      </c>
      <c r="H8366" s="1" t="str">
        <f>"갈촌간 47R4"</f>
        <v>갈촌간 47R4</v>
      </c>
      <c r="I8366" s="1" t="s">
        <v>8</v>
      </c>
      <c r="J8366" s="1" t="str">
        <f>"61/61"</f>
        <v>61/61</v>
      </c>
      <c r="K8366" s="1" t="str">
        <f t="shared" si="413"/>
        <v>2026-07-29 13:18:11</v>
      </c>
      <c r="L8366" s="1" t="str">
        <f>"2018-01-22 16:16:26"</f>
        <v>2018-01-22 16:16:26</v>
      </c>
      <c r="M8366" s="1" t="s">
        <v>45</v>
      </c>
      <c r="N8366" s="1" t="s">
        <v>38</v>
      </c>
      <c r="O8366" s="1" t="s">
        <v>46</v>
      </c>
    </row>
    <row r="8367" spans="2:15" x14ac:dyDescent="0.3">
      <c r="B8367" s="1" t="s">
        <v>21</v>
      </c>
      <c r="C8367" s="1" t="str">
        <f>"3차"</f>
        <v>3차</v>
      </c>
      <c r="D8367" s="1" t="str">
        <f>"9628E76231"</f>
        <v>9628E76231</v>
      </c>
      <c r="E8367" s="1" t="s">
        <v>10</v>
      </c>
      <c r="F8367" s="1" t="str">
        <f>"10.128.3.49"</f>
        <v>10.128.3.49</v>
      </c>
      <c r="G8367" s="1" t="str">
        <f>"9628E762"</f>
        <v>9628E762</v>
      </c>
      <c r="H8367" s="1" t="str">
        <f>"갈촌간 47R3"</f>
        <v>갈촌간 47R3</v>
      </c>
      <c r="I8367" s="1" t="s">
        <v>8</v>
      </c>
      <c r="J8367" s="1" t="str">
        <f>"23/23"</f>
        <v>23/23</v>
      </c>
      <c r="K8367" s="1" t="str">
        <f t="shared" si="413"/>
        <v>2026-07-29 13:18:11</v>
      </c>
      <c r="L8367" s="1" t="str">
        <f>"2017-12-29 16:22:44"</f>
        <v>2017-12-29 16:22:44</v>
      </c>
      <c r="M8367" s="1" t="s">
        <v>45</v>
      </c>
      <c r="N8367" s="1" t="s">
        <v>38</v>
      </c>
      <c r="O8367" s="1" t="s">
        <v>46</v>
      </c>
    </row>
    <row r="8368" spans="2:15" x14ac:dyDescent="0.3">
      <c r="B8368" s="1" t="s">
        <v>21</v>
      </c>
      <c r="C8368" s="1" t="str">
        <f>"1차"</f>
        <v>1차</v>
      </c>
      <c r="D8368" s="1" t="str">
        <f>"9628E78201"</f>
        <v>9628E78201</v>
      </c>
      <c r="E8368" s="1" t="s">
        <v>10</v>
      </c>
      <c r="F8368" s="1" t="str">
        <f>"10.128.2.112"</f>
        <v>10.128.2.112</v>
      </c>
      <c r="G8368" s="1" t="str">
        <f>"9628E782"</f>
        <v>9628E782</v>
      </c>
      <c r="H8368" s="1" t="str">
        <f>"갈촌간 35R10L9L2"</f>
        <v>갈촌간 35R10L9L2</v>
      </c>
      <c r="I8368" s="1" t="s">
        <v>8</v>
      </c>
      <c r="J8368" s="1" t="str">
        <f>"69/69"</f>
        <v>69/69</v>
      </c>
      <c r="K8368" s="1" t="str">
        <f t="shared" si="413"/>
        <v>2026-07-29 13:18:11</v>
      </c>
      <c r="L8368" s="1" t="str">
        <f>"2015-01-12 17:54:46"</f>
        <v>2015-01-12 17:54:46</v>
      </c>
      <c r="M8368" s="1" t="s">
        <v>45</v>
      </c>
      <c r="N8368" s="1" t="s">
        <v>38</v>
      </c>
      <c r="O8368" s="1" t="s">
        <v>46</v>
      </c>
    </row>
    <row r="8369" spans="2:15" x14ac:dyDescent="0.3">
      <c r="B8369" s="1" t="s">
        <v>21</v>
      </c>
      <c r="C8369" s="1" t="str">
        <f>"1차"</f>
        <v>1차</v>
      </c>
      <c r="D8369" s="1" t="str">
        <f>"9628E79100"</f>
        <v>9628E79100</v>
      </c>
      <c r="E8369" s="1" t="s">
        <v>10</v>
      </c>
      <c r="F8369" s="1" t="str">
        <f>"10.128.2.111"</f>
        <v>10.128.2.111</v>
      </c>
      <c r="G8369" s="1" t="str">
        <f>"9628E791"</f>
        <v>9628E791</v>
      </c>
      <c r="H8369" s="1" t="str">
        <f>"갈촌간 35R10L9L1"</f>
        <v>갈촌간 35R10L9L1</v>
      </c>
      <c r="I8369" s="1" t="s">
        <v>8</v>
      </c>
      <c r="J8369" s="1" t="str">
        <f>"47/47"</f>
        <v>47/47</v>
      </c>
      <c r="K8369" s="1" t="str">
        <f t="shared" si="413"/>
        <v>2026-07-29 13:18:11</v>
      </c>
      <c r="L8369" s="1" t="str">
        <f>"2014-10-08 00:14:22"</f>
        <v>2014-10-08 00:14:22</v>
      </c>
      <c r="M8369" s="1" t="s">
        <v>45</v>
      </c>
      <c r="N8369" s="1" t="s">
        <v>38</v>
      </c>
      <c r="O8369" s="1" t="s">
        <v>46</v>
      </c>
    </row>
    <row r="8370" spans="2:15" x14ac:dyDescent="0.3">
      <c r="B8370" s="1" t="s">
        <v>21</v>
      </c>
      <c r="C8370" s="1" t="str">
        <f>"1차"</f>
        <v>1차</v>
      </c>
      <c r="D8370" s="1" t="str">
        <f>"9628E80101"</f>
        <v>9628E80101</v>
      </c>
      <c r="E8370" s="1" t="s">
        <v>10</v>
      </c>
      <c r="F8370" s="1" t="str">
        <f>"10.12.129.68"</f>
        <v>10.12.129.68</v>
      </c>
      <c r="G8370" s="1" t="str">
        <f>"9628E801"</f>
        <v>9628E801</v>
      </c>
      <c r="H8370" s="1" t="str">
        <f>"서오간 45L6"</f>
        <v>서오간 45L6</v>
      </c>
      <c r="I8370" s="1" t="s">
        <v>8</v>
      </c>
      <c r="J8370" s="1" t="str">
        <f>"65/78"</f>
        <v>65/78</v>
      </c>
      <c r="K8370" s="1" t="str">
        <f t="shared" si="413"/>
        <v>2026-07-29 13:18:11</v>
      </c>
      <c r="L8370" s="1" t="str">
        <f>"2014-11-25 14:30:14"</f>
        <v>2014-11-25 14:30:14</v>
      </c>
      <c r="M8370" s="1" t="s">
        <v>0</v>
      </c>
      <c r="N8370" s="1" t="s">
        <v>38</v>
      </c>
      <c r="O8370" s="1" t="s">
        <v>46</v>
      </c>
    </row>
    <row r="8371" spans="2:15" x14ac:dyDescent="0.3">
      <c r="B8371" s="1" t="s">
        <v>21</v>
      </c>
      <c r="C8371" s="1" t="str">
        <f>"1차"</f>
        <v>1차</v>
      </c>
      <c r="D8371" s="1" t="str">
        <f>"9628E80200"</f>
        <v>9628E80200</v>
      </c>
      <c r="E8371" s="1" t="s">
        <v>10</v>
      </c>
      <c r="F8371" s="1" t="str">
        <f>"10.128.69.86"</f>
        <v>10.128.69.86</v>
      </c>
      <c r="G8371" s="1" t="str">
        <f>"9628E802"</f>
        <v>9628E802</v>
      </c>
      <c r="H8371" s="1" t="str">
        <f>"서오간 45L5"</f>
        <v>서오간 45L5</v>
      </c>
      <c r="I8371" s="1" t="s">
        <v>8</v>
      </c>
      <c r="J8371" s="1" t="str">
        <f>"13/13"</f>
        <v>13/13</v>
      </c>
      <c r="K8371" s="1" t="str">
        <f t="shared" si="413"/>
        <v>2026-07-29 13:18:11</v>
      </c>
      <c r="L8371" s="1" t="str">
        <f>"2014-11-24 15:21:27"</f>
        <v>2014-11-24 15:21:27</v>
      </c>
      <c r="M8371" s="1" t="s">
        <v>45</v>
      </c>
      <c r="N8371" s="1" t="s">
        <v>38</v>
      </c>
      <c r="O8371" s="1" t="s">
        <v>46</v>
      </c>
    </row>
    <row r="8372" spans="2:15" x14ac:dyDescent="0.3">
      <c r="B8372" s="1" t="s">
        <v>21</v>
      </c>
      <c r="C8372" s="1" t="str">
        <f>"1차"</f>
        <v>1차</v>
      </c>
      <c r="D8372" s="1" t="str">
        <f>"9628E81200"</f>
        <v>9628E81200</v>
      </c>
      <c r="E8372" s="1" t="s">
        <v>10</v>
      </c>
      <c r="F8372" s="1" t="str">
        <f>"10.128.90.2"</f>
        <v>10.128.90.2</v>
      </c>
      <c r="G8372" s="1" t="str">
        <f>"9628E812"</f>
        <v>9628E812</v>
      </c>
      <c r="H8372" s="1" t="str">
        <f>"서오간 45L8R1"</f>
        <v>서오간 45L8R1</v>
      </c>
      <c r="I8372" s="1" t="s">
        <v>8</v>
      </c>
      <c r="J8372" s="1" t="str">
        <f>"68/69"</f>
        <v>68/69</v>
      </c>
      <c r="K8372" s="1" t="str">
        <f t="shared" si="413"/>
        <v>2026-07-29 13:18:11</v>
      </c>
      <c r="L8372" s="1" t="str">
        <f>"2014-10-31 14:57:49"</f>
        <v>2014-10-31 14:57:49</v>
      </c>
      <c r="M8372" s="1" t="s">
        <v>45</v>
      </c>
      <c r="N8372" s="1" t="s">
        <v>38</v>
      </c>
      <c r="O8372" s="1" t="s">
        <v>46</v>
      </c>
    </row>
    <row r="8373" spans="2:15" x14ac:dyDescent="0.3">
      <c r="B8373" s="1" t="s">
        <v>21</v>
      </c>
      <c r="C8373" s="1" t="str">
        <f>"3차"</f>
        <v>3차</v>
      </c>
      <c r="D8373" s="1" t="str">
        <f>"9628E85139"</f>
        <v>9628E85139</v>
      </c>
      <c r="E8373" s="1" t="s">
        <v>10</v>
      </c>
      <c r="F8373" s="1" t="str">
        <f>"10.128.3.38"</f>
        <v>10.128.3.38</v>
      </c>
      <c r="G8373" s="1" t="str">
        <f>"9628E851"</f>
        <v>9628E851</v>
      </c>
      <c r="H8373" s="1" t="str">
        <f>"갈촌간 43R2R2"</f>
        <v>갈촌간 43R2R2</v>
      </c>
      <c r="I8373" s="1" t="s">
        <v>8</v>
      </c>
      <c r="J8373" s="1" t="str">
        <f>"15/15"</f>
        <v>15/15</v>
      </c>
      <c r="K8373" s="1" t="str">
        <f t="shared" si="413"/>
        <v>2026-07-29 13:18:11</v>
      </c>
      <c r="L8373" s="1" t="str">
        <f>"2017-12-30 16:19:12"</f>
        <v>2017-12-30 16:19:12</v>
      </c>
      <c r="M8373" s="1" t="s">
        <v>45</v>
      </c>
      <c r="N8373" s="1" t="s">
        <v>38</v>
      </c>
      <c r="O8373" s="1" t="s">
        <v>46</v>
      </c>
    </row>
    <row r="8374" spans="2:15" x14ac:dyDescent="0.3">
      <c r="B8374" s="1" t="s">
        <v>21</v>
      </c>
      <c r="C8374" s="1" t="str">
        <f>"3차"</f>
        <v>3차</v>
      </c>
      <c r="D8374" s="1" t="str">
        <f>"9628E85239"</f>
        <v>9628E85239</v>
      </c>
      <c r="E8374" s="1" t="s">
        <v>10</v>
      </c>
      <c r="F8374" s="1" t="str">
        <f>"10.128.3.39"</f>
        <v>10.128.3.39</v>
      </c>
      <c r="G8374" s="1" t="str">
        <f>"9628E852"</f>
        <v>9628E852</v>
      </c>
      <c r="H8374" s="1" t="str">
        <f>"갈촌간 43R2R1"</f>
        <v>갈촌간 43R2R1</v>
      </c>
      <c r="I8374" s="1" t="s">
        <v>8</v>
      </c>
      <c r="J8374" s="1" t="str">
        <f>"32/32"</f>
        <v>32/32</v>
      </c>
      <c r="K8374" s="1" t="str">
        <f t="shared" si="413"/>
        <v>2026-07-29 13:18:11</v>
      </c>
      <c r="L8374" s="1" t="str">
        <f>"2018-01-03 01:49:34"</f>
        <v>2018-01-03 01:49:34</v>
      </c>
      <c r="M8374" s="1" t="s">
        <v>45</v>
      </c>
      <c r="N8374" s="1" t="s">
        <v>38</v>
      </c>
      <c r="O8374" s="1" t="s">
        <v>46</v>
      </c>
    </row>
    <row r="8375" spans="2:15" x14ac:dyDescent="0.3">
      <c r="B8375" s="1" t="s">
        <v>21</v>
      </c>
      <c r="C8375" s="1" t="str">
        <f>"4차"</f>
        <v>4차</v>
      </c>
      <c r="D8375" s="1" t="str">
        <f>"9628E86144"</f>
        <v>9628E86144</v>
      </c>
      <c r="E8375" s="1" t="s">
        <v>10</v>
      </c>
      <c r="F8375" s="1" t="str">
        <f>"10.10.93.106"</f>
        <v>10.10.93.106</v>
      </c>
      <c r="G8375" s="1" t="str">
        <f>"9628E861"</f>
        <v>9628E861</v>
      </c>
      <c r="H8375" s="1" t="str">
        <f>"갈촌간 47R5A3"</f>
        <v>갈촌간 47R5A3</v>
      </c>
      <c r="I8375" s="1" t="s">
        <v>8</v>
      </c>
      <c r="J8375" s="1" t="str">
        <f>"48/48"</f>
        <v>48/48</v>
      </c>
      <c r="K8375" s="1" t="str">
        <f t="shared" si="413"/>
        <v>2026-07-29 13:18:11</v>
      </c>
      <c r="L8375" s="1" t="str">
        <f>"2019-10-15 15:43:03"</f>
        <v>2019-10-15 15:43:03</v>
      </c>
      <c r="M8375" s="1" t="s">
        <v>1</v>
      </c>
      <c r="N8375" s="1" t="s">
        <v>38</v>
      </c>
      <c r="O8375" s="1" t="s">
        <v>46</v>
      </c>
    </row>
    <row r="8376" spans="2:15" x14ac:dyDescent="0.3">
      <c r="B8376" s="1" t="s">
        <v>21</v>
      </c>
      <c r="C8376" s="1" t="str">
        <f>"4차"</f>
        <v>4차</v>
      </c>
      <c r="D8376" s="1" t="str">
        <f>"9628E87144"</f>
        <v>9628E87144</v>
      </c>
      <c r="E8376" s="1" t="s">
        <v>10</v>
      </c>
      <c r="F8376" s="1" t="str">
        <f>"10.10.93.114"</f>
        <v>10.10.93.114</v>
      </c>
      <c r="G8376" s="1" t="str">
        <f>"9628E871"</f>
        <v>9628E871</v>
      </c>
      <c r="H8376" s="1" t="str">
        <f>"갈촌간 47R5"</f>
        <v>갈촌간 47R5</v>
      </c>
      <c r="I8376" s="1" t="s">
        <v>8</v>
      </c>
      <c r="J8376" s="1" t="str">
        <f>"76/79"</f>
        <v>76/79</v>
      </c>
      <c r="K8376" s="1" t="str">
        <f t="shared" si="413"/>
        <v>2026-07-29 13:18:11</v>
      </c>
      <c r="L8376" s="1" t="str">
        <f>"2019-10-15 15:45:00"</f>
        <v>2019-10-15 15:45:00</v>
      </c>
      <c r="M8376" s="1" t="s">
        <v>1</v>
      </c>
      <c r="N8376" s="1" t="s">
        <v>38</v>
      </c>
      <c r="O8376" s="1" t="s">
        <v>46</v>
      </c>
    </row>
    <row r="8377" spans="2:15" x14ac:dyDescent="0.3">
      <c r="B8377" s="1" t="s">
        <v>21</v>
      </c>
      <c r="C8377" s="1" t="str">
        <f>"3차"</f>
        <v>3차</v>
      </c>
      <c r="D8377" s="1" t="str">
        <f>"9628E87232"</f>
        <v>9628E87232</v>
      </c>
      <c r="E8377" s="1" t="s">
        <v>10</v>
      </c>
      <c r="F8377" s="1" t="str">
        <f>"10.12.132.194"</f>
        <v>10.12.132.194</v>
      </c>
      <c r="G8377" s="1" t="str">
        <f>"9628E872"</f>
        <v>9628E872</v>
      </c>
      <c r="H8377" s="1" t="str">
        <f>"갈촌간 47R5A1"</f>
        <v>갈촌간 47R5A1</v>
      </c>
      <c r="I8377" s="1" t="s">
        <v>8</v>
      </c>
      <c r="J8377" s="1" t="str">
        <f>"46/46"</f>
        <v>46/46</v>
      </c>
      <c r="K8377" s="1" t="str">
        <f>"2026-07-29 13:18:12"</f>
        <v>2026-07-29 13:18:12</v>
      </c>
      <c r="L8377" s="1" t="str">
        <f>"2017-12-29 16:50:45"</f>
        <v>2017-12-29 16:50:45</v>
      </c>
      <c r="M8377" s="1" t="s">
        <v>0</v>
      </c>
      <c r="N8377" s="1" t="s">
        <v>38</v>
      </c>
      <c r="O8377" s="1" t="s">
        <v>46</v>
      </c>
    </row>
    <row r="8378" spans="2:15" x14ac:dyDescent="0.3">
      <c r="B8378" s="1" t="s">
        <v>21</v>
      </c>
      <c r="C8378" s="1" t="str">
        <f>"4차"</f>
        <v>4차</v>
      </c>
      <c r="D8378" s="1" t="str">
        <f>"9628E88144"</f>
        <v>9628E88144</v>
      </c>
      <c r="E8378" s="1" t="s">
        <v>10</v>
      </c>
      <c r="F8378" s="1" t="str">
        <f>"10.10.93.90"</f>
        <v>10.10.93.90</v>
      </c>
      <c r="G8378" s="1" t="str">
        <f>"9628E881"</f>
        <v>9628E881</v>
      </c>
      <c r="H8378" s="1" t="str">
        <f>"갈촌간 47R5R1"</f>
        <v>갈촌간 47R5R1</v>
      </c>
      <c r="I8378" s="1" t="s">
        <v>8</v>
      </c>
      <c r="J8378" s="1" t="str">
        <f>"90/95"</f>
        <v>90/95</v>
      </c>
      <c r="K8378" s="1" t="str">
        <f t="shared" ref="K8378:K8388" si="414">"2026-07-29 13:18:11"</f>
        <v>2026-07-29 13:18:11</v>
      </c>
      <c r="L8378" s="1" t="str">
        <f>"2019-10-15 14:53:14"</f>
        <v>2019-10-15 14:53:14</v>
      </c>
      <c r="M8378" s="1" t="s">
        <v>1</v>
      </c>
      <c r="N8378" s="1" t="s">
        <v>38</v>
      </c>
      <c r="O8378" s="1" t="s">
        <v>46</v>
      </c>
    </row>
    <row r="8379" spans="2:15" x14ac:dyDescent="0.3">
      <c r="B8379" s="1" t="s">
        <v>21</v>
      </c>
      <c r="C8379" s="1" t="str">
        <f>"4차"</f>
        <v>4차</v>
      </c>
      <c r="D8379" s="1" t="str">
        <f>"9628E89344"</f>
        <v>9628E89344</v>
      </c>
      <c r="E8379" s="1" t="s">
        <v>10</v>
      </c>
      <c r="F8379" s="1" t="str">
        <f>"10.10.93.250"</f>
        <v>10.10.93.250</v>
      </c>
      <c r="G8379" s="1" t="str">
        <f>"9628E893"</f>
        <v>9628E893</v>
      </c>
      <c r="H8379" s="1" t="str">
        <f>"갈촌간 35R10L7"</f>
        <v>갈촌간 35R10L7</v>
      </c>
      <c r="I8379" s="1" t="s">
        <v>8</v>
      </c>
      <c r="J8379" s="1" t="str">
        <f>"23/24"</f>
        <v>23/24</v>
      </c>
      <c r="K8379" s="1" t="str">
        <f t="shared" si="414"/>
        <v>2026-07-29 13:18:11</v>
      </c>
      <c r="L8379" s="1" t="str">
        <f>"2019-10-15 14:33:05"</f>
        <v>2019-10-15 14:33:05</v>
      </c>
      <c r="M8379" s="1" t="s">
        <v>1</v>
      </c>
      <c r="N8379" s="1" t="s">
        <v>38</v>
      </c>
      <c r="O8379" s="1" t="s">
        <v>46</v>
      </c>
    </row>
    <row r="8380" spans="2:15" x14ac:dyDescent="0.3">
      <c r="B8380" s="1" t="s">
        <v>21</v>
      </c>
      <c r="C8380" s="1" t="str">
        <f>"1차"</f>
        <v>1차</v>
      </c>
      <c r="D8380" s="1" t="str">
        <f>"9628E91202"</f>
        <v>9628E91202</v>
      </c>
      <c r="E8380" s="1" t="s">
        <v>10</v>
      </c>
      <c r="F8380" s="1" t="str">
        <f>"10.12.135.60"</f>
        <v>10.12.135.60</v>
      </c>
      <c r="G8380" s="1" t="str">
        <f>"9628E912"</f>
        <v>9628E912</v>
      </c>
      <c r="H8380" s="1" t="str">
        <f>"서오간 45L5R2"</f>
        <v>서오간 45L5R2</v>
      </c>
      <c r="I8380" s="1" t="s">
        <v>8</v>
      </c>
      <c r="J8380" s="1" t="str">
        <f>"55/56"</f>
        <v>55/56</v>
      </c>
      <c r="K8380" s="1" t="str">
        <f t="shared" si="414"/>
        <v>2026-07-29 13:18:11</v>
      </c>
      <c r="L8380" s="1" t="str">
        <f>"2014-11-25 17:08:52"</f>
        <v>2014-11-25 17:08:52</v>
      </c>
      <c r="M8380" s="1" t="s">
        <v>0</v>
      </c>
      <c r="N8380" s="1" t="s">
        <v>38</v>
      </c>
      <c r="O8380" s="1" t="s">
        <v>46</v>
      </c>
    </row>
    <row r="8381" spans="2:15" x14ac:dyDescent="0.3">
      <c r="B8381" s="1" t="s">
        <v>21</v>
      </c>
      <c r="C8381" s="1" t="str">
        <f>"1차"</f>
        <v>1차</v>
      </c>
      <c r="D8381" s="1" t="str">
        <f>"9628E93200"</f>
        <v>9628E93200</v>
      </c>
      <c r="E8381" s="1" t="s">
        <v>10</v>
      </c>
      <c r="F8381" s="1" t="str">
        <f>"10.128.73.250"</f>
        <v>10.128.73.250</v>
      </c>
      <c r="G8381" s="1" t="str">
        <f>"9628E932"</f>
        <v>9628E932</v>
      </c>
      <c r="H8381" s="1" t="str">
        <f>"서오간 49"</f>
        <v>서오간 49</v>
      </c>
      <c r="I8381" s="1" t="s">
        <v>8</v>
      </c>
      <c r="J8381" s="1" t="str">
        <f>"16/16"</f>
        <v>16/16</v>
      </c>
      <c r="K8381" s="1" t="str">
        <f t="shared" si="414"/>
        <v>2026-07-29 13:18:11</v>
      </c>
      <c r="L8381" s="1" t="str">
        <f>"2014-12-09 00:13:56"</f>
        <v>2014-12-09 00:13:56</v>
      </c>
      <c r="M8381" s="1" t="s">
        <v>45</v>
      </c>
      <c r="N8381" s="1" t="s">
        <v>38</v>
      </c>
      <c r="O8381" s="1" t="s">
        <v>46</v>
      </c>
    </row>
    <row r="8382" spans="2:15" x14ac:dyDescent="0.3">
      <c r="B8382" s="1" t="s">
        <v>21</v>
      </c>
      <c r="C8382" s="1" t="str">
        <f>"3차"</f>
        <v>3차</v>
      </c>
      <c r="D8382" s="1" t="str">
        <f>"9628E95139"</f>
        <v>9628E95139</v>
      </c>
      <c r="E8382" s="1" t="s">
        <v>10</v>
      </c>
      <c r="F8382" s="1" t="str">
        <f>"10.128.3.46"</f>
        <v>10.128.3.46</v>
      </c>
      <c r="G8382" s="1" t="str">
        <f>"9628E951"</f>
        <v>9628E951</v>
      </c>
      <c r="H8382" s="1" t="str">
        <f>"갈촌간 43R1L1"</f>
        <v>갈촌간 43R1L1</v>
      </c>
      <c r="I8382" s="1" t="s">
        <v>8</v>
      </c>
      <c r="J8382" s="1" t="str">
        <f>"23/23"</f>
        <v>23/23</v>
      </c>
      <c r="K8382" s="1" t="str">
        <f t="shared" si="414"/>
        <v>2026-07-29 13:18:11</v>
      </c>
      <c r="L8382" s="1" t="str">
        <f>"2017-12-30 15:46:57"</f>
        <v>2017-12-30 15:46:57</v>
      </c>
      <c r="M8382" s="1" t="s">
        <v>45</v>
      </c>
      <c r="N8382" s="1" t="s">
        <v>38</v>
      </c>
      <c r="O8382" s="1" t="s">
        <v>46</v>
      </c>
    </row>
    <row r="8383" spans="2:15" x14ac:dyDescent="0.3">
      <c r="B8383" s="1" t="s">
        <v>21</v>
      </c>
      <c r="C8383" s="1" t="str">
        <f>"4차"</f>
        <v>4차</v>
      </c>
      <c r="D8383" s="1" t="str">
        <f>"9628E95231"</f>
        <v>9628E95231</v>
      </c>
      <c r="E8383" s="1" t="s">
        <v>10</v>
      </c>
      <c r="F8383" s="1" t="str">
        <f>"10.128.3.37"</f>
        <v>10.128.3.37</v>
      </c>
      <c r="G8383" s="1" t="str">
        <f>"9628E952"</f>
        <v>9628E952</v>
      </c>
      <c r="H8383" s="1" t="str">
        <f>"갈촌간 43R2R4"</f>
        <v>갈촌간 43R2R4</v>
      </c>
      <c r="I8383" s="1" t="s">
        <v>8</v>
      </c>
      <c r="J8383" s="1" t="str">
        <f>"39/39"</f>
        <v>39/39</v>
      </c>
      <c r="K8383" s="1" t="str">
        <f t="shared" si="414"/>
        <v>2026-07-29 13:18:11</v>
      </c>
      <c r="L8383" s="1" t="str">
        <f>"2017-12-26 15:47:14"</f>
        <v>2017-12-26 15:47:14</v>
      </c>
      <c r="M8383" s="1" t="s">
        <v>45</v>
      </c>
      <c r="N8383" s="1" t="s">
        <v>38</v>
      </c>
      <c r="O8383" s="1" t="s">
        <v>46</v>
      </c>
    </row>
    <row r="8384" spans="2:15" x14ac:dyDescent="0.3">
      <c r="B8384" s="1" t="s">
        <v>21</v>
      </c>
      <c r="C8384" s="1" t="str">
        <f>"4차"</f>
        <v>4차</v>
      </c>
      <c r="D8384" s="1" t="str">
        <f>"9628E96130"</f>
        <v>9628E96130</v>
      </c>
      <c r="E8384" s="1" t="s">
        <v>10</v>
      </c>
      <c r="F8384" s="1" t="str">
        <f>"10.128.3.36"</f>
        <v>10.128.3.36</v>
      </c>
      <c r="G8384" s="1" t="str">
        <f>"9628E961"</f>
        <v>9628E961</v>
      </c>
      <c r="H8384" s="1" t="str">
        <f>"갈촌간 43R2R5"</f>
        <v>갈촌간 43R2R5</v>
      </c>
      <c r="I8384" s="1" t="s">
        <v>8</v>
      </c>
      <c r="J8384" s="1" t="str">
        <f>"53/53"</f>
        <v>53/53</v>
      </c>
      <c r="K8384" s="1" t="str">
        <f t="shared" si="414"/>
        <v>2026-07-29 13:18:11</v>
      </c>
      <c r="L8384" s="1" t="str">
        <f>"2017-12-26 15:53:59"</f>
        <v>2017-12-26 15:53:59</v>
      </c>
      <c r="M8384" s="1" t="s">
        <v>45</v>
      </c>
      <c r="N8384" s="1" t="s">
        <v>38</v>
      </c>
      <c r="O8384" s="1" t="s">
        <v>46</v>
      </c>
    </row>
    <row r="8385" spans="2:15" x14ac:dyDescent="0.3">
      <c r="B8385" s="1" t="s">
        <v>21</v>
      </c>
      <c r="C8385" s="1" t="str">
        <f>"4차"</f>
        <v>4차</v>
      </c>
      <c r="D8385" s="1" t="str">
        <f>"9628E99144"</f>
        <v>9628E99144</v>
      </c>
      <c r="E8385" s="1" t="s">
        <v>10</v>
      </c>
      <c r="F8385" s="1" t="str">
        <f>"10.10.94.130"</f>
        <v>10.10.94.130</v>
      </c>
      <c r="G8385" s="1" t="str">
        <f>"9628E991"</f>
        <v>9628E991</v>
      </c>
      <c r="H8385" s="1" t="str">
        <f>"갈촌간 35R10L6"</f>
        <v>갈촌간 35R10L6</v>
      </c>
      <c r="I8385" s="1" t="s">
        <v>8</v>
      </c>
      <c r="J8385" s="1" t="str">
        <f>"13/18"</f>
        <v>13/18</v>
      </c>
      <c r="K8385" s="1" t="str">
        <f t="shared" si="414"/>
        <v>2026-07-29 13:18:11</v>
      </c>
      <c r="L8385" s="1" t="str">
        <f>"2019-10-15 14:28:13"</f>
        <v>2019-10-15 14:28:13</v>
      </c>
      <c r="M8385" s="1" t="s">
        <v>1</v>
      </c>
      <c r="N8385" s="1" t="s">
        <v>38</v>
      </c>
      <c r="O8385" s="1" t="s">
        <v>46</v>
      </c>
    </row>
    <row r="8386" spans="2:15" x14ac:dyDescent="0.3">
      <c r="B8386" s="1" t="s">
        <v>21</v>
      </c>
      <c r="C8386" s="1" t="str">
        <f>"1차"</f>
        <v>1차</v>
      </c>
      <c r="D8386" s="1" t="str">
        <f>"9628F00101"</f>
        <v>9628F00101</v>
      </c>
      <c r="E8386" s="1" t="s">
        <v>10</v>
      </c>
      <c r="F8386" s="1" t="str">
        <f>"10.12.134.42"</f>
        <v>10.12.134.42</v>
      </c>
      <c r="G8386" s="1" t="str">
        <f>"9628F001"</f>
        <v>9628F001</v>
      </c>
      <c r="H8386" s="1" t="str">
        <f>"서오간 45L1"</f>
        <v>서오간 45L1</v>
      </c>
      <c r="I8386" s="1" t="s">
        <v>8</v>
      </c>
      <c r="J8386" s="1" t="str">
        <f>"50/51"</f>
        <v>50/51</v>
      </c>
      <c r="K8386" s="1" t="str">
        <f t="shared" si="414"/>
        <v>2026-07-29 13:18:11</v>
      </c>
      <c r="L8386" s="1" t="str">
        <f>"2014-11-21 14:56:50"</f>
        <v>2014-11-21 14:56:50</v>
      </c>
      <c r="M8386" s="1" t="s">
        <v>0</v>
      </c>
      <c r="N8386" s="1" t="s">
        <v>38</v>
      </c>
      <c r="O8386" s="1" t="s">
        <v>46</v>
      </c>
    </row>
    <row r="8387" spans="2:15" x14ac:dyDescent="0.3">
      <c r="B8387" s="1" t="s">
        <v>21</v>
      </c>
      <c r="C8387" s="1" t="str">
        <f>"1차"</f>
        <v>1차</v>
      </c>
      <c r="D8387" s="1" t="str">
        <f>"9628F00200"</f>
        <v>9628F00200</v>
      </c>
      <c r="E8387" s="1" t="s">
        <v>10</v>
      </c>
      <c r="F8387" s="1" t="str">
        <f>"10.128.69.91"</f>
        <v>10.128.69.91</v>
      </c>
      <c r="G8387" s="1" t="str">
        <f>"9628F002"</f>
        <v>9628F002</v>
      </c>
      <c r="H8387" s="1" t="str">
        <f>"서오간 45L2"</f>
        <v>서오간 45L2</v>
      </c>
      <c r="I8387" s="1" t="s">
        <v>8</v>
      </c>
      <c r="J8387" s="1" t="str">
        <f>"20/22"</f>
        <v>20/22</v>
      </c>
      <c r="K8387" s="1" t="str">
        <f t="shared" si="414"/>
        <v>2026-07-29 13:18:11</v>
      </c>
      <c r="L8387" s="1" t="str">
        <f>"2014-11-21 14:55:48"</f>
        <v>2014-11-21 14:55:48</v>
      </c>
      <c r="M8387" s="1" t="s">
        <v>45</v>
      </c>
      <c r="N8387" s="1" t="s">
        <v>38</v>
      </c>
      <c r="O8387" s="1" t="s">
        <v>46</v>
      </c>
    </row>
    <row r="8388" spans="2:15" x14ac:dyDescent="0.3">
      <c r="B8388" s="1" t="s">
        <v>21</v>
      </c>
      <c r="C8388" s="1" t="str">
        <f>"3차"</f>
        <v>3차</v>
      </c>
      <c r="D8388" s="1" t="str">
        <f>"9628F02230"</f>
        <v>9628F02230</v>
      </c>
      <c r="E8388" s="1" t="s">
        <v>10</v>
      </c>
      <c r="F8388" s="1" t="str">
        <f>"10.128.3.22"</f>
        <v>10.128.3.22</v>
      </c>
      <c r="G8388" s="1" t="str">
        <f>"9628F022"</f>
        <v>9628F022</v>
      </c>
      <c r="H8388" s="1" t="str">
        <f>"갈촌간 38"</f>
        <v>갈촌간 38</v>
      </c>
      <c r="I8388" s="1" t="s">
        <v>8</v>
      </c>
      <c r="J8388" s="1" t="str">
        <f>"11/11"</f>
        <v>11/11</v>
      </c>
      <c r="K8388" s="1" t="str">
        <f t="shared" si="414"/>
        <v>2026-07-29 13:18:11</v>
      </c>
      <c r="L8388" s="1" t="str">
        <f>"2018-01-17 18:02:28"</f>
        <v>2018-01-17 18:02:28</v>
      </c>
      <c r="M8388" s="1" t="s">
        <v>45</v>
      </c>
      <c r="N8388" s="1" t="s">
        <v>38</v>
      </c>
      <c r="O8388" s="1" t="s">
        <v>46</v>
      </c>
    </row>
    <row r="8389" spans="2:15" x14ac:dyDescent="0.3">
      <c r="B8389" s="1" t="s">
        <v>21</v>
      </c>
      <c r="C8389" s="1" t="str">
        <f>"3차"</f>
        <v>3차</v>
      </c>
      <c r="D8389" s="1" t="str">
        <f>"9628F03339"</f>
        <v>9628F03339</v>
      </c>
      <c r="E8389" s="1" t="s">
        <v>10</v>
      </c>
      <c r="F8389" s="1" t="str">
        <f>"10.12.128.144"</f>
        <v>10.12.128.144</v>
      </c>
      <c r="G8389" s="1" t="str">
        <f>"9628F033"</f>
        <v>9628F033</v>
      </c>
      <c r="H8389" s="1" t="str">
        <f>"갈촌간 35R4L3A1"</f>
        <v>갈촌간 35R4L3A1</v>
      </c>
      <c r="I8389" s="1" t="s">
        <v>8</v>
      </c>
      <c r="J8389" s="1" t="str">
        <f>"33/33"</f>
        <v>33/33</v>
      </c>
      <c r="K8389" s="1" t="str">
        <f>"2026-07-29 13:18:12"</f>
        <v>2026-07-29 13:18:12</v>
      </c>
      <c r="L8389" s="1" t="str">
        <f>"2018-03-30 11:25:12"</f>
        <v>2018-03-30 11:25:12</v>
      </c>
      <c r="M8389" s="1" t="s">
        <v>0</v>
      </c>
      <c r="N8389" s="1" t="s">
        <v>38</v>
      </c>
      <c r="O8389" s="1" t="s">
        <v>46</v>
      </c>
    </row>
    <row r="8390" spans="2:15" x14ac:dyDescent="0.3">
      <c r="B8390" s="1" t="s">
        <v>21</v>
      </c>
      <c r="C8390" s="1" t="str">
        <f>"3차"</f>
        <v>3차</v>
      </c>
      <c r="D8390" s="1" t="str">
        <f>"9628F04339"</f>
        <v>9628F04339</v>
      </c>
      <c r="E8390" s="1" t="s">
        <v>10</v>
      </c>
      <c r="F8390" s="1" t="str">
        <f>"10.128.3.42"</f>
        <v>10.128.3.42</v>
      </c>
      <c r="G8390" s="1" t="str">
        <f>"9628F043"</f>
        <v>9628F043</v>
      </c>
      <c r="H8390" s="1" t="str">
        <f>"갈촌간 35R4L3L1"</f>
        <v>갈촌간 35R4L3L1</v>
      </c>
      <c r="I8390" s="1" t="s">
        <v>8</v>
      </c>
      <c r="J8390" s="1" t="str">
        <f>"11/12"</f>
        <v>11/12</v>
      </c>
      <c r="K8390" s="1" t="str">
        <f>"2026-07-29 13:18:11"</f>
        <v>2026-07-29 13:18:11</v>
      </c>
      <c r="L8390" s="1" t="str">
        <f>"2017-12-30 15:26:27"</f>
        <v>2017-12-30 15:26:27</v>
      </c>
      <c r="M8390" s="1" t="s">
        <v>45</v>
      </c>
      <c r="N8390" s="1" t="s">
        <v>38</v>
      </c>
      <c r="O8390" s="1" t="s">
        <v>46</v>
      </c>
    </row>
    <row r="8391" spans="2:15" x14ac:dyDescent="0.3">
      <c r="B8391" s="1" t="s">
        <v>21</v>
      </c>
      <c r="C8391" s="1" t="str">
        <f>"1차"</f>
        <v>1차</v>
      </c>
      <c r="D8391" s="1" t="str">
        <f>"9628F06200"</f>
        <v>9628F06200</v>
      </c>
      <c r="E8391" s="1" t="s">
        <v>10</v>
      </c>
      <c r="F8391" s="1" t="str">
        <f>"10.128.0.189"</f>
        <v>10.128.0.189</v>
      </c>
      <c r="G8391" s="1" t="str">
        <f>"9628F062"</f>
        <v>9628F062</v>
      </c>
      <c r="H8391" s="1" t="str">
        <f>"갈촌간 43R1L3"</f>
        <v>갈촌간 43R1L3</v>
      </c>
      <c r="I8391" s="1" t="s">
        <v>8</v>
      </c>
      <c r="J8391" s="1" t="str">
        <f>"73/73"</f>
        <v>73/73</v>
      </c>
      <c r="K8391" s="1" t="str">
        <f>"2026-07-29 13:18:11"</f>
        <v>2026-07-29 13:18:11</v>
      </c>
      <c r="L8391" s="1" t="str">
        <f>"2014-10-07 00:14:19"</f>
        <v>2014-10-07 00:14:19</v>
      </c>
      <c r="M8391" s="1" t="s">
        <v>45</v>
      </c>
      <c r="N8391" s="1" t="s">
        <v>38</v>
      </c>
      <c r="O8391" s="1" t="s">
        <v>46</v>
      </c>
    </row>
    <row r="8392" spans="2:15" x14ac:dyDescent="0.3">
      <c r="B8392" s="1" t="s">
        <v>21</v>
      </c>
      <c r="C8392" s="1" t="str">
        <f>"1차"</f>
        <v>1차</v>
      </c>
      <c r="D8392" s="1" t="str">
        <f>"9628F08200"</f>
        <v>9628F08200</v>
      </c>
      <c r="E8392" s="1" t="s">
        <v>10</v>
      </c>
      <c r="F8392" s="1" t="str">
        <f>"10.128.2.120"</f>
        <v>10.128.2.120</v>
      </c>
      <c r="G8392" s="1" t="str">
        <f>"9628F082"</f>
        <v>9628F082</v>
      </c>
      <c r="H8392" s="1" t="str">
        <f>"갈촌간 43R2R7"</f>
        <v>갈촌간 43R2R7</v>
      </c>
      <c r="I8392" s="1" t="s">
        <v>8</v>
      </c>
      <c r="J8392" s="1" t="str">
        <f>"64/64"</f>
        <v>64/64</v>
      </c>
      <c r="K8392" s="1" t="str">
        <f>"2026-07-29 13:18:10"</f>
        <v>2026-07-29 13:18:10</v>
      </c>
      <c r="L8392" s="1" t="str">
        <f>"2014-12-18 11:08:53"</f>
        <v>2014-12-18 11:08:53</v>
      </c>
      <c r="M8392" s="1" t="s">
        <v>45</v>
      </c>
      <c r="N8392" s="1" t="s">
        <v>38</v>
      </c>
      <c r="O8392" s="1" t="s">
        <v>46</v>
      </c>
    </row>
    <row r="8393" spans="2:15" x14ac:dyDescent="0.3">
      <c r="B8393" s="1" t="s">
        <v>21</v>
      </c>
      <c r="C8393" s="1" t="str">
        <f>"4차"</f>
        <v>4차</v>
      </c>
      <c r="D8393" s="1" t="str">
        <f>"9628F13239"</f>
        <v>9628F13239</v>
      </c>
      <c r="E8393" s="1" t="s">
        <v>10</v>
      </c>
      <c r="F8393" s="1" t="str">
        <f>"10.128.3.41"</f>
        <v>10.128.3.41</v>
      </c>
      <c r="G8393" s="1" t="str">
        <f>"9628F132"</f>
        <v>9628F132</v>
      </c>
      <c r="H8393" s="1" t="str">
        <f>"갈촌간 35R4L2"</f>
        <v>갈촌간 35R4L2</v>
      </c>
      <c r="I8393" s="1" t="s">
        <v>8</v>
      </c>
      <c r="J8393" s="1" t="str">
        <f>"33/33"</f>
        <v>33/33</v>
      </c>
      <c r="K8393" s="1" t="str">
        <f>"2026-07-29 13:18:11"</f>
        <v>2026-07-29 13:18:11</v>
      </c>
      <c r="L8393" s="1" t="str">
        <f>"2017-12-30 15:00:14"</f>
        <v>2017-12-30 15:00:14</v>
      </c>
      <c r="M8393" s="1" t="s">
        <v>45</v>
      </c>
      <c r="N8393" s="1" t="s">
        <v>38</v>
      </c>
      <c r="O8393" s="1" t="s">
        <v>46</v>
      </c>
    </row>
    <row r="8394" spans="2:15" x14ac:dyDescent="0.3">
      <c r="B8394" s="1" t="s">
        <v>21</v>
      </c>
      <c r="C8394" s="1" t="str">
        <f>"3차"</f>
        <v>3차</v>
      </c>
      <c r="D8394" s="1" t="str">
        <f>"9628F15139"</f>
        <v>9628F15139</v>
      </c>
      <c r="E8394" s="1" t="s">
        <v>10</v>
      </c>
      <c r="F8394" s="1" t="str">
        <f>"10.128.3.44"</f>
        <v>10.128.3.44</v>
      </c>
      <c r="G8394" s="1" t="str">
        <f>"9628F151"</f>
        <v>9628F151</v>
      </c>
      <c r="H8394" s="1" t="str">
        <f>"갈촌간 35R4L6"</f>
        <v>갈촌간 35R4L6</v>
      </c>
      <c r="I8394" s="1" t="s">
        <v>8</v>
      </c>
      <c r="J8394" s="1" t="str">
        <f>"13/13"</f>
        <v>13/13</v>
      </c>
      <c r="K8394" s="1" t="str">
        <f>"2026-07-29 13:18:11"</f>
        <v>2026-07-29 13:18:11</v>
      </c>
      <c r="L8394" s="1" t="str">
        <f>"2017-12-30 14:41:42"</f>
        <v>2017-12-30 14:41:42</v>
      </c>
      <c r="M8394" s="1" t="s">
        <v>45</v>
      </c>
      <c r="N8394" s="1" t="s">
        <v>38</v>
      </c>
      <c r="O8394" s="1" t="s">
        <v>46</v>
      </c>
    </row>
    <row r="8395" spans="2:15" x14ac:dyDescent="0.3">
      <c r="B8395" s="1" t="s">
        <v>21</v>
      </c>
      <c r="C8395" s="1" t="str">
        <f>"1차"</f>
        <v>1차</v>
      </c>
      <c r="D8395" s="1" t="str">
        <f>"9628F16102"</f>
        <v>9628F16102</v>
      </c>
      <c r="E8395" s="1" t="s">
        <v>10</v>
      </c>
      <c r="F8395" s="1" t="str">
        <f>"10.128.0.190"</f>
        <v>10.128.0.190</v>
      </c>
      <c r="G8395" s="1" t="str">
        <f>"9628F161"</f>
        <v>9628F161</v>
      </c>
      <c r="H8395" s="1" t="str">
        <f>"갈촌간 43R1L5"</f>
        <v>갈촌간 43R1L5</v>
      </c>
      <c r="I8395" s="1" t="s">
        <v>8</v>
      </c>
      <c r="J8395" s="1" t="str">
        <f>"41/41"</f>
        <v>41/41</v>
      </c>
      <c r="K8395" s="1" t="str">
        <f>"2026-07-29 13:18:10"</f>
        <v>2026-07-29 13:18:10</v>
      </c>
      <c r="L8395" s="1" t="str">
        <f>"2014-11-25 17:09:59"</f>
        <v>2014-11-25 17:09:59</v>
      </c>
      <c r="M8395" s="1" t="s">
        <v>45</v>
      </c>
      <c r="N8395" s="1" t="s">
        <v>38</v>
      </c>
      <c r="O8395" s="1" t="s">
        <v>46</v>
      </c>
    </row>
    <row r="8396" spans="2:15" x14ac:dyDescent="0.3">
      <c r="B8396" s="1" t="s">
        <v>21</v>
      </c>
      <c r="C8396" s="1" t="str">
        <f>"1차"</f>
        <v>1차</v>
      </c>
      <c r="D8396" s="1" t="str">
        <f>"9628F17100"</f>
        <v>9628F17100</v>
      </c>
      <c r="E8396" s="1" t="s">
        <v>10</v>
      </c>
      <c r="F8396" s="1" t="str">
        <f>"10.128.0.191"</f>
        <v>10.128.0.191</v>
      </c>
      <c r="G8396" s="1" t="str">
        <f>"9628F171"</f>
        <v>9628F171</v>
      </c>
      <c r="H8396" s="1" t="str">
        <f>"갈촌간 35R10L3L1"</f>
        <v>갈촌간 35R10L3L1</v>
      </c>
      <c r="I8396" s="1" t="s">
        <v>8</v>
      </c>
      <c r="J8396" s="1" t="str">
        <f>"30/30"</f>
        <v>30/30</v>
      </c>
      <c r="K8396" s="1" t="str">
        <f>"2026-07-29 13:18:10"</f>
        <v>2026-07-29 13:18:10</v>
      </c>
      <c r="L8396" s="1" t="str">
        <f>"2014-10-08 00:14:10"</f>
        <v>2014-10-08 00:14:10</v>
      </c>
      <c r="M8396" s="1" t="s">
        <v>45</v>
      </c>
      <c r="N8396" s="1" t="s">
        <v>38</v>
      </c>
      <c r="O8396" s="1" t="s">
        <v>46</v>
      </c>
    </row>
    <row r="8397" spans="2:15" x14ac:dyDescent="0.3">
      <c r="B8397" s="1" t="s">
        <v>21</v>
      </c>
      <c r="C8397" s="1" t="str">
        <f>"1차"</f>
        <v>1차</v>
      </c>
      <c r="D8397" s="1" t="str">
        <f>"9628F17301"</f>
        <v>9628F17301</v>
      </c>
      <c r="E8397" s="1" t="s">
        <v>10</v>
      </c>
      <c r="F8397" s="1" t="str">
        <f>"10.128.0.192"</f>
        <v>10.128.0.192</v>
      </c>
      <c r="G8397" s="1" t="str">
        <f>"9628F173"</f>
        <v>9628F173</v>
      </c>
      <c r="H8397" s="1" t="str">
        <f>"갈촌간 35R10L3L2"</f>
        <v>갈촌간 35R10L3L2</v>
      </c>
      <c r="I8397" s="1" t="s">
        <v>8</v>
      </c>
      <c r="J8397" s="1" t="str">
        <f>"20/20"</f>
        <v>20/20</v>
      </c>
      <c r="K8397" s="1" t="str">
        <f>"2026-07-29 13:18:10"</f>
        <v>2026-07-29 13:18:10</v>
      </c>
      <c r="L8397" s="1" t="str">
        <f>"2014-11-25 17:11:04"</f>
        <v>2014-11-25 17:11:04</v>
      </c>
      <c r="M8397" s="1" t="s">
        <v>45</v>
      </c>
      <c r="N8397" s="1" t="s">
        <v>38</v>
      </c>
      <c r="O8397" s="1" t="s">
        <v>46</v>
      </c>
    </row>
    <row r="8398" spans="2:15" x14ac:dyDescent="0.3">
      <c r="B8398" s="1" t="s">
        <v>21</v>
      </c>
      <c r="C8398" s="1" t="str">
        <f>"4차"</f>
        <v>4차</v>
      </c>
      <c r="D8398" s="1" t="str">
        <f>"9628F18139"</f>
        <v>9628F18139</v>
      </c>
      <c r="E8398" s="1" t="s">
        <v>10</v>
      </c>
      <c r="F8398" s="1" t="str">
        <f>"10.128.73.42"</f>
        <v>10.128.73.42</v>
      </c>
      <c r="G8398" s="1" t="str">
        <f>"9628F181"</f>
        <v>9628F181</v>
      </c>
      <c r="H8398" s="1" t="str">
        <f>"갈촌간 35R10L3"</f>
        <v>갈촌간 35R10L3</v>
      </c>
      <c r="I8398" s="1" t="s">
        <v>8</v>
      </c>
      <c r="J8398" s="1" t="str">
        <f>"50/59"</f>
        <v>50/59</v>
      </c>
      <c r="K8398" s="1" t="str">
        <f>"2026-07-28 20:03:17"</f>
        <v>2026-07-28 20:03:17</v>
      </c>
      <c r="L8398" s="1" t="str">
        <f>"2018-04-21 11:17:57"</f>
        <v>2018-04-21 11:17:57</v>
      </c>
      <c r="M8398" s="1" t="s">
        <v>45</v>
      </c>
      <c r="N8398" s="1" t="s">
        <v>38</v>
      </c>
      <c r="O8398" s="1" t="s">
        <v>46</v>
      </c>
    </row>
    <row r="8399" spans="2:15" x14ac:dyDescent="0.3">
      <c r="B8399" s="1" t="s">
        <v>21</v>
      </c>
      <c r="C8399" s="1" t="str">
        <f>"1차"</f>
        <v>1차</v>
      </c>
      <c r="D8399" s="1" t="str">
        <f>"9628F18202"</f>
        <v>9628F18202</v>
      </c>
      <c r="E8399" s="1" t="s">
        <v>10</v>
      </c>
      <c r="F8399" s="1" t="str">
        <f>"10.14.9.121"</f>
        <v>10.14.9.121</v>
      </c>
      <c r="G8399" s="1" t="str">
        <f>"9628F182"</f>
        <v>9628F182</v>
      </c>
      <c r="H8399" s="1" t="str">
        <f>"갈촌간 35R10L4"</f>
        <v>갈촌간 35R10L4</v>
      </c>
      <c r="I8399" s="1" t="s">
        <v>8</v>
      </c>
      <c r="J8399" s="1" t="str">
        <f>"35/35"</f>
        <v>35/35</v>
      </c>
      <c r="K8399" s="1" t="str">
        <f>"2026-07-29 13:18:11"</f>
        <v>2026-07-29 13:18:11</v>
      </c>
      <c r="L8399" s="1" t="str">
        <f>"2014-11-26 17:33:08"</f>
        <v>2014-11-26 17:33:08</v>
      </c>
      <c r="M8399" s="1" t="s">
        <v>3</v>
      </c>
      <c r="N8399" s="1" t="s">
        <v>38</v>
      </c>
      <c r="O8399" s="1" t="s">
        <v>46</v>
      </c>
    </row>
    <row r="8400" spans="2:15" x14ac:dyDescent="0.3">
      <c r="B8400" s="1" t="s">
        <v>21</v>
      </c>
      <c r="C8400" s="1" t="str">
        <f>"4차"</f>
        <v>4차</v>
      </c>
      <c r="D8400" s="1" t="str">
        <f>"9628F19144"</f>
        <v>9628F19144</v>
      </c>
      <c r="E8400" s="1" t="s">
        <v>10</v>
      </c>
      <c r="F8400" s="1" t="str">
        <f>"10.10.73.146"</f>
        <v>10.10.73.146</v>
      </c>
      <c r="G8400" s="1" t="str">
        <f>"9628F191"</f>
        <v>9628F191</v>
      </c>
      <c r="H8400" s="1" t="str">
        <f>"청구지 19R2L2"</f>
        <v>청구지 19R2L2</v>
      </c>
      <c r="I8400" s="1" t="s">
        <v>8</v>
      </c>
      <c r="J8400" s="1" t="str">
        <f>"32/33"</f>
        <v>32/33</v>
      </c>
      <c r="K8400" s="1" t="str">
        <f>"2026-07-29 13:18:11"</f>
        <v>2026-07-29 13:18:11</v>
      </c>
      <c r="L8400" s="1" t="str">
        <f>"2019-11-21 00:54:43"</f>
        <v>2019-11-21 00:54:43</v>
      </c>
      <c r="M8400" s="1" t="s">
        <v>1</v>
      </c>
      <c r="N8400" s="1" t="s">
        <v>38</v>
      </c>
      <c r="O8400" s="1" t="s">
        <v>46</v>
      </c>
    </row>
    <row r="8401" spans="2:15" x14ac:dyDescent="0.3">
      <c r="B8401" s="1" t="s">
        <v>21</v>
      </c>
      <c r="C8401" s="1" t="str">
        <f>"3차"</f>
        <v>3차</v>
      </c>
      <c r="D8401" s="1" t="str">
        <f>"9628F22339"</f>
        <v>9628F22339</v>
      </c>
      <c r="E8401" s="1" t="s">
        <v>10</v>
      </c>
      <c r="F8401" s="1" t="str">
        <f>"10.14.8.192"</f>
        <v>10.14.8.192</v>
      </c>
      <c r="G8401" s="1" t="str">
        <f>"9628F223"</f>
        <v>9628F223</v>
      </c>
      <c r="H8401" s="1" t="str">
        <f>"연신간 H25"</f>
        <v>연신간 H25</v>
      </c>
      <c r="I8401" s="1" t="s">
        <v>8</v>
      </c>
      <c r="J8401" s="1" t="str">
        <f>"15/15"</f>
        <v>15/15</v>
      </c>
      <c r="K8401" s="1" t="str">
        <f>"2026-07-29 07:18:03"</f>
        <v>2026-07-29 07:18:03</v>
      </c>
      <c r="L8401" s="1" t="str">
        <f>"2018-03-30 18:01:17"</f>
        <v>2018-03-30 18:01:17</v>
      </c>
      <c r="M8401" s="1" t="s">
        <v>3</v>
      </c>
      <c r="N8401" s="1" t="s">
        <v>38</v>
      </c>
      <c r="O8401" s="1" t="s">
        <v>46</v>
      </c>
    </row>
    <row r="8402" spans="2:15" x14ac:dyDescent="0.3">
      <c r="B8402" s="1" t="s">
        <v>21</v>
      </c>
      <c r="C8402" s="1" t="str">
        <f>"3차"</f>
        <v>3차</v>
      </c>
      <c r="D8402" s="1" t="str">
        <f>"9628F23239"</f>
        <v>9628F23239</v>
      </c>
      <c r="E8402" s="1" t="s">
        <v>10</v>
      </c>
      <c r="F8402" s="1" t="str">
        <f>"10.128.3.40"</f>
        <v>10.128.3.40</v>
      </c>
      <c r="G8402" s="1" t="str">
        <f>"9628F232"</f>
        <v>9628F232</v>
      </c>
      <c r="H8402" s="1" t="str">
        <f>"갈촌간 35R4"</f>
        <v>갈촌간 35R4</v>
      </c>
      <c r="I8402" s="1" t="s">
        <v>8</v>
      </c>
      <c r="J8402" s="1" t="str">
        <f>"14/14"</f>
        <v>14/14</v>
      </c>
      <c r="K8402" s="1" t="str">
        <f>"2026-07-29 13:18:10"</f>
        <v>2026-07-29 13:18:10</v>
      </c>
      <c r="L8402" s="1" t="str">
        <f>"2017-12-30 13:48:56"</f>
        <v>2017-12-30 13:48:56</v>
      </c>
      <c r="M8402" s="1" t="s">
        <v>45</v>
      </c>
      <c r="N8402" s="1" t="s">
        <v>38</v>
      </c>
      <c r="O8402" s="1" t="s">
        <v>46</v>
      </c>
    </row>
    <row r="8403" spans="2:15" x14ac:dyDescent="0.3">
      <c r="B8403" s="1" t="s">
        <v>21</v>
      </c>
      <c r="C8403" s="1" t="str">
        <f>"3차"</f>
        <v>3차</v>
      </c>
      <c r="D8403" s="1" t="str">
        <f>"9628F24439"</f>
        <v>9628F24439</v>
      </c>
      <c r="E8403" s="1" t="s">
        <v>10</v>
      </c>
      <c r="F8403" s="1" t="str">
        <f>"10.12.131.102"</f>
        <v>10.12.131.102</v>
      </c>
      <c r="G8403" s="1" t="str">
        <f>"9628F244"</f>
        <v>9628F244</v>
      </c>
      <c r="H8403" s="1" t="str">
        <f>"갈촌간 35R6"</f>
        <v>갈촌간 35R6</v>
      </c>
      <c r="I8403" s="1" t="s">
        <v>8</v>
      </c>
      <c r="J8403" s="1" t="str">
        <f>"15/15"</f>
        <v>15/15</v>
      </c>
      <c r="K8403" s="1" t="str">
        <f>"2026-07-29 07:18:12"</f>
        <v>2026-07-29 07:18:12</v>
      </c>
      <c r="L8403" s="1" t="str">
        <f>"2018-03-30 11:56:42"</f>
        <v>2018-03-30 11:56:42</v>
      </c>
      <c r="M8403" s="1" t="s">
        <v>0</v>
      </c>
      <c r="N8403" s="1" t="s">
        <v>38</v>
      </c>
      <c r="O8403" s="1" t="s">
        <v>46</v>
      </c>
    </row>
    <row r="8404" spans="2:15" x14ac:dyDescent="0.3">
      <c r="B8404" s="1" t="s">
        <v>21</v>
      </c>
      <c r="C8404" s="1" t="str">
        <f>"4차"</f>
        <v>4차</v>
      </c>
      <c r="D8404" s="1" t="str">
        <f>"9628F26339"</f>
        <v>9628F26339</v>
      </c>
      <c r="E8404" s="1" t="s">
        <v>10</v>
      </c>
      <c r="F8404" s="1" t="str">
        <f>"10.128.4.68"</f>
        <v>10.128.4.68</v>
      </c>
      <c r="G8404" s="1" t="str">
        <f>"9628F263"</f>
        <v>9628F263</v>
      </c>
      <c r="H8404" s="1" t="str">
        <f>"갈촌간 35R9"</f>
        <v>갈촌간 35R9</v>
      </c>
      <c r="I8404" s="1" t="s">
        <v>8</v>
      </c>
      <c r="J8404" s="1" t="str">
        <f>"11/11"</f>
        <v>11/11</v>
      </c>
      <c r="K8404" s="1" t="str">
        <f t="shared" ref="K8404:K8420" si="415">"2026-07-29 13:18:10"</f>
        <v>2026-07-29 13:18:10</v>
      </c>
      <c r="L8404" s="1" t="str">
        <f>"2018-03-29 18:19:58"</f>
        <v>2018-03-29 18:19:58</v>
      </c>
      <c r="M8404" s="1" t="s">
        <v>45</v>
      </c>
      <c r="N8404" s="1" t="s">
        <v>38</v>
      </c>
      <c r="O8404" s="1" t="s">
        <v>46</v>
      </c>
    </row>
    <row r="8405" spans="2:15" x14ac:dyDescent="0.3">
      <c r="B8405" s="1" t="s">
        <v>21</v>
      </c>
      <c r="C8405" s="1" t="str">
        <f t="shared" ref="C8405:C8410" si="416">"3차"</f>
        <v>3차</v>
      </c>
      <c r="D8405" s="1" t="str">
        <f>"9628F30239"</f>
        <v>9628F30239</v>
      </c>
      <c r="E8405" s="1" t="s">
        <v>10</v>
      </c>
      <c r="F8405" s="1" t="str">
        <f>"10.128.4.66"</f>
        <v>10.128.4.66</v>
      </c>
      <c r="G8405" s="1" t="str">
        <f>"9628F302"</f>
        <v>9628F302</v>
      </c>
      <c r="H8405" s="1" t="str">
        <f>"갈촌간 31D1"</f>
        <v>갈촌간 31D1</v>
      </c>
      <c r="I8405" s="1" t="s">
        <v>8</v>
      </c>
      <c r="J8405" s="1" t="str">
        <f>"75/75"</f>
        <v>75/75</v>
      </c>
      <c r="K8405" s="1" t="str">
        <f t="shared" si="415"/>
        <v>2026-07-29 13:18:10</v>
      </c>
      <c r="L8405" s="1" t="str">
        <f>"2018-03-28 16:33:17"</f>
        <v>2018-03-28 16:33:17</v>
      </c>
      <c r="M8405" s="1" t="s">
        <v>45</v>
      </c>
      <c r="N8405" s="1" t="s">
        <v>38</v>
      </c>
      <c r="O8405" s="1" t="s">
        <v>46</v>
      </c>
    </row>
    <row r="8406" spans="2:15" x14ac:dyDescent="0.3">
      <c r="B8406" s="1" t="s">
        <v>21</v>
      </c>
      <c r="C8406" s="1" t="str">
        <f t="shared" si="416"/>
        <v>3차</v>
      </c>
      <c r="D8406" s="1" t="str">
        <f>"9628F30339"</f>
        <v>9628F30339</v>
      </c>
      <c r="E8406" s="1" t="s">
        <v>10</v>
      </c>
      <c r="F8406" s="1" t="str">
        <f>"10.128.4.65"</f>
        <v>10.128.4.65</v>
      </c>
      <c r="G8406" s="1" t="str">
        <f>"9628F303"</f>
        <v>9628F303</v>
      </c>
      <c r="H8406" s="1" t="str">
        <f>"갈촌간 33"</f>
        <v>갈촌간 33</v>
      </c>
      <c r="I8406" s="1" t="s">
        <v>8</v>
      </c>
      <c r="J8406" s="1" t="str">
        <f>"10/16"</f>
        <v>10/16</v>
      </c>
      <c r="K8406" s="1" t="str">
        <f t="shared" si="415"/>
        <v>2026-07-29 13:18:10</v>
      </c>
      <c r="L8406" s="1" t="str">
        <f>"2018-03-28 17:53:29"</f>
        <v>2018-03-28 17:53:29</v>
      </c>
      <c r="M8406" s="1" t="s">
        <v>45</v>
      </c>
      <c r="N8406" s="1" t="s">
        <v>38</v>
      </c>
      <c r="O8406" s="1" t="s">
        <v>46</v>
      </c>
    </row>
    <row r="8407" spans="2:15" x14ac:dyDescent="0.3">
      <c r="B8407" s="1" t="s">
        <v>21</v>
      </c>
      <c r="C8407" s="1" t="str">
        <f t="shared" si="416"/>
        <v>3차</v>
      </c>
      <c r="D8407" s="1" t="str">
        <f>"9628F32239"</f>
        <v>9628F32239</v>
      </c>
      <c r="E8407" s="1" t="s">
        <v>10</v>
      </c>
      <c r="F8407" s="1" t="str">
        <f>"10.128.3.238"</f>
        <v>10.128.3.238</v>
      </c>
      <c r="G8407" s="1" t="str">
        <f>"9628F322"</f>
        <v>9628F322</v>
      </c>
      <c r="H8407" s="1" t="str">
        <f>"연신간 22L2R2"</f>
        <v>연신간 22L2R2</v>
      </c>
      <c r="I8407" s="1" t="s">
        <v>8</v>
      </c>
      <c r="J8407" s="1" t="str">
        <f>"110/110"</f>
        <v>110/110</v>
      </c>
      <c r="K8407" s="1" t="str">
        <f t="shared" si="415"/>
        <v>2026-07-29 13:18:10</v>
      </c>
      <c r="L8407" s="1" t="str">
        <f>"2018-02-02 15:34:27"</f>
        <v>2018-02-02 15:34:27</v>
      </c>
      <c r="M8407" s="1" t="s">
        <v>45</v>
      </c>
      <c r="N8407" s="1" t="s">
        <v>38</v>
      </c>
      <c r="O8407" s="1" t="s">
        <v>46</v>
      </c>
    </row>
    <row r="8408" spans="2:15" x14ac:dyDescent="0.3">
      <c r="B8408" s="1" t="s">
        <v>21</v>
      </c>
      <c r="C8408" s="1" t="str">
        <f t="shared" si="416"/>
        <v>3차</v>
      </c>
      <c r="D8408" s="1" t="str">
        <f>"9628F33239"</f>
        <v>9628F33239</v>
      </c>
      <c r="E8408" s="1" t="s">
        <v>10</v>
      </c>
      <c r="F8408" s="1" t="str">
        <f>"10.128.4.92"</f>
        <v>10.128.4.92</v>
      </c>
      <c r="G8408" s="1" t="str">
        <f>"9628F332"</f>
        <v>9628F332</v>
      </c>
      <c r="H8408" s="1" t="str">
        <f>"연신간 23"</f>
        <v>연신간 23</v>
      </c>
      <c r="I8408" s="1" t="s">
        <v>8</v>
      </c>
      <c r="J8408" s="1" t="str">
        <f>"6/6"</f>
        <v>6/6</v>
      </c>
      <c r="K8408" s="1" t="str">
        <f t="shared" si="415"/>
        <v>2026-07-29 13:18:10</v>
      </c>
      <c r="L8408" s="1" t="str">
        <f>"2018-03-28 17:49:44"</f>
        <v>2018-03-28 17:49:44</v>
      </c>
      <c r="M8408" s="1" t="s">
        <v>45</v>
      </c>
      <c r="N8408" s="1" t="s">
        <v>38</v>
      </c>
      <c r="O8408" s="1" t="s">
        <v>46</v>
      </c>
    </row>
    <row r="8409" spans="2:15" x14ac:dyDescent="0.3">
      <c r="B8409" s="1" t="s">
        <v>21</v>
      </c>
      <c r="C8409" s="1" t="str">
        <f t="shared" si="416"/>
        <v>3차</v>
      </c>
      <c r="D8409" s="1" t="str">
        <f>"9628F34139"</f>
        <v>9628F34139</v>
      </c>
      <c r="E8409" s="1" t="s">
        <v>10</v>
      </c>
      <c r="F8409" s="1" t="str">
        <f>"10.128.3.235"</f>
        <v>10.128.3.235</v>
      </c>
      <c r="G8409" s="1" t="str">
        <f>"9628F341"</f>
        <v>9628F341</v>
      </c>
      <c r="H8409" s="1" t="str">
        <f>"연신간 20"</f>
        <v>연신간 20</v>
      </c>
      <c r="I8409" s="1" t="s">
        <v>8</v>
      </c>
      <c r="J8409" s="1" t="str">
        <f>"39/39"</f>
        <v>39/39</v>
      </c>
      <c r="K8409" s="1" t="str">
        <f t="shared" si="415"/>
        <v>2026-07-29 13:18:10</v>
      </c>
      <c r="L8409" s="1" t="str">
        <f>"2018-02-01 17:58:44"</f>
        <v>2018-02-01 17:58:44</v>
      </c>
      <c r="M8409" s="1" t="s">
        <v>45</v>
      </c>
      <c r="N8409" s="1" t="s">
        <v>38</v>
      </c>
      <c r="O8409" s="1" t="s">
        <v>46</v>
      </c>
    </row>
    <row r="8410" spans="2:15" x14ac:dyDescent="0.3">
      <c r="B8410" s="1" t="s">
        <v>21</v>
      </c>
      <c r="C8410" s="1" t="str">
        <f t="shared" si="416"/>
        <v>3차</v>
      </c>
      <c r="D8410" s="1" t="str">
        <f>"9628F35139"</f>
        <v>9628F35139</v>
      </c>
      <c r="E8410" s="1" t="str">
        <f>"검침실패(3시간 이상)"</f>
        <v>검침실패(3시간 이상)</v>
      </c>
      <c r="F8410" s="1" t="str">
        <f>"10.128.3.234"</f>
        <v>10.128.3.234</v>
      </c>
      <c r="G8410" s="1" t="str">
        <f>"9628F351"</f>
        <v>9628F351</v>
      </c>
      <c r="H8410" s="1" t="str">
        <f>"연신간 19"</f>
        <v>연신간 19</v>
      </c>
      <c r="I8410" s="1" t="s">
        <v>8</v>
      </c>
      <c r="J8410" s="1" t="str">
        <f>"0/7"</f>
        <v>0/7</v>
      </c>
      <c r="K8410" s="1" t="str">
        <f t="shared" si="415"/>
        <v>2026-07-29 13:18:10</v>
      </c>
      <c r="L8410" s="1" t="str">
        <f>"2018-02-01 17:10:44"</f>
        <v>2018-02-01 17:10:44</v>
      </c>
      <c r="M8410" s="1" t="s">
        <v>45</v>
      </c>
      <c r="N8410" s="1" t="s">
        <v>38</v>
      </c>
      <c r="O8410" s="1" t="s">
        <v>46</v>
      </c>
    </row>
    <row r="8411" spans="2:15" x14ac:dyDescent="0.3">
      <c r="B8411" s="1" t="s">
        <v>21</v>
      </c>
      <c r="C8411" s="1" t="str">
        <f>"4차"</f>
        <v>4차</v>
      </c>
      <c r="D8411" s="1" t="str">
        <f>"9628F35239"</f>
        <v>9628F35239</v>
      </c>
      <c r="E8411" s="1" t="s">
        <v>10</v>
      </c>
      <c r="F8411" s="1" t="str">
        <f>"10.128.4.94"</f>
        <v>10.128.4.94</v>
      </c>
      <c r="G8411" s="1" t="str">
        <f>"9628F352"</f>
        <v>9628F352</v>
      </c>
      <c r="H8411" s="1" t="str">
        <f>"연신간 H20"</f>
        <v>연신간 H20</v>
      </c>
      <c r="I8411" s="1" t="s">
        <v>8</v>
      </c>
      <c r="J8411" s="1" t="str">
        <f>"36/36"</f>
        <v>36/36</v>
      </c>
      <c r="K8411" s="1" t="str">
        <f t="shared" si="415"/>
        <v>2026-07-29 13:18:10</v>
      </c>
      <c r="L8411" s="1" t="str">
        <f>"2018-03-28 17:51:43"</f>
        <v>2018-03-28 17:51:43</v>
      </c>
      <c r="M8411" s="1" t="s">
        <v>45</v>
      </c>
      <c r="N8411" s="1" t="s">
        <v>38</v>
      </c>
      <c r="O8411" s="1" t="s">
        <v>46</v>
      </c>
    </row>
    <row r="8412" spans="2:15" x14ac:dyDescent="0.3">
      <c r="B8412" s="1" t="s">
        <v>21</v>
      </c>
      <c r="C8412" s="1" t="str">
        <f>"1차"</f>
        <v>1차</v>
      </c>
      <c r="D8412" s="1" t="str">
        <f>"9628F36100"</f>
        <v>9628F36100</v>
      </c>
      <c r="E8412" s="1" t="s">
        <v>10</v>
      </c>
      <c r="F8412" s="1" t="str">
        <f>"10.128.0.194"</f>
        <v>10.128.0.194</v>
      </c>
      <c r="G8412" s="1" t="str">
        <f>"9628F361"</f>
        <v>9628F361</v>
      </c>
      <c r="H8412" s="1" t="str">
        <f>"연신간 17"</f>
        <v>연신간 17</v>
      </c>
      <c r="I8412" s="1" t="s">
        <v>8</v>
      </c>
      <c r="J8412" s="1" t="str">
        <f>"11/11"</f>
        <v>11/11</v>
      </c>
      <c r="K8412" s="1" t="str">
        <f t="shared" si="415"/>
        <v>2026-07-29 13:18:10</v>
      </c>
      <c r="L8412" s="1" t="str">
        <f>"2014-11-25 14:31:41"</f>
        <v>2014-11-25 14:31:41</v>
      </c>
      <c r="M8412" s="1" t="s">
        <v>45</v>
      </c>
      <c r="N8412" s="1" t="s">
        <v>38</v>
      </c>
      <c r="O8412" s="1" t="s">
        <v>46</v>
      </c>
    </row>
    <row r="8413" spans="2:15" x14ac:dyDescent="0.3">
      <c r="B8413" s="1" t="s">
        <v>21</v>
      </c>
      <c r="C8413" s="1" t="str">
        <f>"1차"</f>
        <v>1차</v>
      </c>
      <c r="D8413" s="1" t="str">
        <f>"9628F36202"</f>
        <v>9628F36202</v>
      </c>
      <c r="E8413" s="1" t="s">
        <v>10</v>
      </c>
      <c r="F8413" s="1" t="str">
        <f>"10.128.0.195"</f>
        <v>10.128.0.195</v>
      </c>
      <c r="G8413" s="1" t="str">
        <f>"9628F362"</f>
        <v>9628F362</v>
      </c>
      <c r="H8413" s="1" t="str">
        <f>"연신간 18"</f>
        <v>연신간 18</v>
      </c>
      <c r="I8413" s="1" t="s">
        <v>8</v>
      </c>
      <c r="J8413" s="1" t="str">
        <f>"5/5"</f>
        <v>5/5</v>
      </c>
      <c r="K8413" s="1" t="str">
        <f t="shared" si="415"/>
        <v>2026-07-29 13:18:10</v>
      </c>
      <c r="L8413" s="1" t="str">
        <f>"2014-12-23 16:33:11"</f>
        <v>2014-12-23 16:33:11</v>
      </c>
      <c r="M8413" s="1" t="s">
        <v>45</v>
      </c>
      <c r="N8413" s="1" t="s">
        <v>44</v>
      </c>
      <c r="O8413" s="1" t="s">
        <v>44</v>
      </c>
    </row>
    <row r="8414" spans="2:15" x14ac:dyDescent="0.3">
      <c r="B8414" s="1" t="s">
        <v>21</v>
      </c>
      <c r="C8414" s="1" t="str">
        <f>"1차"</f>
        <v>1차</v>
      </c>
      <c r="D8414" s="1" t="str">
        <f>"9628F37700"</f>
        <v>9628F37700</v>
      </c>
      <c r="E8414" s="1" t="s">
        <v>10</v>
      </c>
      <c r="F8414" s="1" t="str">
        <f>"10.128.64.66"</f>
        <v>10.128.64.66</v>
      </c>
      <c r="G8414" s="1" t="str">
        <f>"9628F377"</f>
        <v>9628F377</v>
      </c>
      <c r="H8414" s="1" t="str">
        <f>"동명간 29L9"</f>
        <v>동명간 29L9</v>
      </c>
      <c r="I8414" s="1" t="s">
        <v>8</v>
      </c>
      <c r="J8414" s="1" t="str">
        <f>"8/8"</f>
        <v>8/8</v>
      </c>
      <c r="K8414" s="1" t="str">
        <f t="shared" si="415"/>
        <v>2026-07-29 13:18:10</v>
      </c>
      <c r="L8414" s="1" t="str">
        <f>"2015-03-17 15:32:28"</f>
        <v>2015-03-17 15:32:28</v>
      </c>
      <c r="M8414" s="1" t="s">
        <v>45</v>
      </c>
      <c r="N8414" s="1" t="s">
        <v>38</v>
      </c>
      <c r="O8414" s="1" t="s">
        <v>46</v>
      </c>
    </row>
    <row r="8415" spans="2:15" x14ac:dyDescent="0.3">
      <c r="B8415" s="1" t="s">
        <v>21</v>
      </c>
      <c r="C8415" s="1" t="str">
        <f>"3차"</f>
        <v>3차</v>
      </c>
      <c r="D8415" s="1" t="str">
        <f>"9628F40439"</f>
        <v>9628F40439</v>
      </c>
      <c r="E8415" s="1" t="s">
        <v>10</v>
      </c>
      <c r="F8415" s="1" t="str">
        <f>"10.128.3.32"</f>
        <v>10.128.3.32</v>
      </c>
      <c r="G8415" s="1" t="str">
        <f>"9628F404"</f>
        <v>9628F404</v>
      </c>
      <c r="H8415" s="1" t="str">
        <f>"갈촌간 31R3L1L1"</f>
        <v>갈촌간 31R3L1L1</v>
      </c>
      <c r="I8415" s="1" t="s">
        <v>8</v>
      </c>
      <c r="J8415" s="1" t="str">
        <f>"42/42"</f>
        <v>42/42</v>
      </c>
      <c r="K8415" s="1" t="str">
        <f t="shared" si="415"/>
        <v>2026-07-29 13:18:10</v>
      </c>
      <c r="L8415" s="1" t="str">
        <f>"2018-01-05 17:39:43"</f>
        <v>2018-01-05 17:39:43</v>
      </c>
      <c r="M8415" s="1" t="s">
        <v>45</v>
      </c>
      <c r="N8415" s="1" t="s">
        <v>38</v>
      </c>
      <c r="O8415" s="1" t="s">
        <v>46</v>
      </c>
    </row>
    <row r="8416" spans="2:15" x14ac:dyDescent="0.3">
      <c r="B8416" s="1" t="s">
        <v>21</v>
      </c>
      <c r="C8416" s="1" t="str">
        <f>"3차"</f>
        <v>3차</v>
      </c>
      <c r="D8416" s="1" t="str">
        <f>"9628F42139"</f>
        <v>9628F42139</v>
      </c>
      <c r="E8416" s="1" t="s">
        <v>10</v>
      </c>
      <c r="F8416" s="1" t="str">
        <f>"10.128.3.239"</f>
        <v>10.128.3.239</v>
      </c>
      <c r="G8416" s="1" t="str">
        <f>"9628F421"</f>
        <v>9628F421</v>
      </c>
      <c r="H8416" s="1" t="str">
        <f>"연신간 22L2R3"</f>
        <v>연신간 22L2R3</v>
      </c>
      <c r="I8416" s="1" t="s">
        <v>8</v>
      </c>
      <c r="J8416" s="1" t="str">
        <f>"83/83"</f>
        <v>83/83</v>
      </c>
      <c r="K8416" s="1" t="str">
        <f t="shared" si="415"/>
        <v>2026-07-29 13:18:10</v>
      </c>
      <c r="L8416" s="1" t="str">
        <f>"2018-02-02 14:59:13"</f>
        <v>2018-02-02 14:59:13</v>
      </c>
      <c r="M8416" s="1" t="s">
        <v>45</v>
      </c>
      <c r="N8416" s="1" t="s">
        <v>38</v>
      </c>
      <c r="O8416" s="1" t="s">
        <v>46</v>
      </c>
    </row>
    <row r="8417" spans="2:15" x14ac:dyDescent="0.3">
      <c r="B8417" s="1" t="s">
        <v>21</v>
      </c>
      <c r="C8417" s="1" t="str">
        <f>"3차"</f>
        <v>3차</v>
      </c>
      <c r="D8417" s="1" t="str">
        <f>"9628F43139"</f>
        <v>9628F43139</v>
      </c>
      <c r="E8417" s="1" t="s">
        <v>10</v>
      </c>
      <c r="F8417" s="1" t="str">
        <f>"10.128.3.237"</f>
        <v>10.128.3.237</v>
      </c>
      <c r="G8417" s="1" t="str">
        <f>"9628F431"</f>
        <v>9628F431</v>
      </c>
      <c r="H8417" s="1" t="str">
        <f>"연신간 22L2R1"</f>
        <v>연신간 22L2R1</v>
      </c>
      <c r="I8417" s="1" t="s">
        <v>8</v>
      </c>
      <c r="J8417" s="1" t="str">
        <f>"38/38"</f>
        <v>38/38</v>
      </c>
      <c r="K8417" s="1" t="str">
        <f t="shared" si="415"/>
        <v>2026-07-29 13:18:10</v>
      </c>
      <c r="L8417" s="1" t="str">
        <f>"2018-02-02 15:41:00"</f>
        <v>2018-02-02 15:41:00</v>
      </c>
      <c r="M8417" s="1" t="s">
        <v>45</v>
      </c>
      <c r="N8417" s="1" t="s">
        <v>38</v>
      </c>
      <c r="O8417" s="1" t="s">
        <v>46</v>
      </c>
    </row>
    <row r="8418" spans="2:15" x14ac:dyDescent="0.3">
      <c r="B8418" s="1" t="s">
        <v>21</v>
      </c>
      <c r="C8418" s="1" t="str">
        <f>"4차"</f>
        <v>4차</v>
      </c>
      <c r="D8418" s="1" t="str">
        <f>"9628F43239"</f>
        <v>9628F43239</v>
      </c>
      <c r="E8418" s="1" t="s">
        <v>10</v>
      </c>
      <c r="F8418" s="1" t="str">
        <f>"10.128.3.236"</f>
        <v>10.128.3.236</v>
      </c>
      <c r="G8418" s="1" t="str">
        <f>"9628F432"</f>
        <v>9628F432</v>
      </c>
      <c r="H8418" s="1" t="str">
        <f>"연신간 22L2L1"</f>
        <v>연신간 22L2L1</v>
      </c>
      <c r="I8418" s="1" t="s">
        <v>8</v>
      </c>
      <c r="J8418" s="1" t="str">
        <f>"63/64"</f>
        <v>63/64</v>
      </c>
      <c r="K8418" s="1" t="str">
        <f t="shared" si="415"/>
        <v>2026-07-29 13:18:10</v>
      </c>
      <c r="L8418" s="1" t="str">
        <f>"2018-02-02 14:11:57"</f>
        <v>2018-02-02 14:11:57</v>
      </c>
      <c r="M8418" s="1" t="s">
        <v>45</v>
      </c>
      <c r="N8418" s="1" t="s">
        <v>38</v>
      </c>
      <c r="O8418" s="1" t="s">
        <v>46</v>
      </c>
    </row>
    <row r="8419" spans="2:15" x14ac:dyDescent="0.3">
      <c r="B8419" s="1" t="s">
        <v>21</v>
      </c>
      <c r="C8419" s="1" t="str">
        <f>"1차"</f>
        <v>1차</v>
      </c>
      <c r="D8419" s="1" t="str">
        <f>"9628F44100"</f>
        <v>9628F44100</v>
      </c>
      <c r="E8419" s="1" t="s">
        <v>10</v>
      </c>
      <c r="F8419" s="1" t="str">
        <f>"10.128.0.197"</f>
        <v>10.128.0.197</v>
      </c>
      <c r="G8419" s="1" t="str">
        <f>"9628F441"</f>
        <v>9628F441</v>
      </c>
      <c r="H8419" s="1" t="str">
        <f>"연신간 22L2L2"</f>
        <v>연신간 22L2L2</v>
      </c>
      <c r="I8419" s="1" t="s">
        <v>8</v>
      </c>
      <c r="J8419" s="1" t="str">
        <f>"105/106"</f>
        <v>105/106</v>
      </c>
      <c r="K8419" s="1" t="str">
        <f t="shared" si="415"/>
        <v>2026-07-29 13:18:10</v>
      </c>
      <c r="L8419" s="1" t="str">
        <f>"2014-11-25 14:33:28"</f>
        <v>2014-11-25 14:33:28</v>
      </c>
      <c r="M8419" s="1" t="s">
        <v>45</v>
      </c>
      <c r="N8419" s="1" t="s">
        <v>38</v>
      </c>
      <c r="O8419" s="1" t="s">
        <v>46</v>
      </c>
    </row>
    <row r="8420" spans="2:15" x14ac:dyDescent="0.3">
      <c r="B8420" s="1" t="s">
        <v>21</v>
      </c>
      <c r="C8420" s="1" t="str">
        <f>"1차"</f>
        <v>1차</v>
      </c>
      <c r="D8420" s="1" t="str">
        <f>"9628F47101"</f>
        <v>9628F47101</v>
      </c>
      <c r="E8420" s="1" t="s">
        <v>10</v>
      </c>
      <c r="F8420" s="1" t="str">
        <f>"10.128.64.67"</f>
        <v>10.128.64.67</v>
      </c>
      <c r="G8420" s="1" t="str">
        <f>"9628F471"</f>
        <v>9628F471</v>
      </c>
      <c r="H8420" s="1" t="str">
        <f>"동명간 29L8"</f>
        <v>동명간 29L8</v>
      </c>
      <c r="I8420" s="1" t="s">
        <v>8</v>
      </c>
      <c r="J8420" s="1" t="str">
        <f>"33/33"</f>
        <v>33/33</v>
      </c>
      <c r="K8420" s="1" t="str">
        <f t="shared" si="415"/>
        <v>2026-07-29 13:18:10</v>
      </c>
      <c r="L8420" s="1" t="str">
        <f>"2015-04-16 09:32:42"</f>
        <v>2015-04-16 09:32:42</v>
      </c>
      <c r="M8420" s="1" t="s">
        <v>45</v>
      </c>
      <c r="N8420" s="1" t="s">
        <v>38</v>
      </c>
      <c r="O8420" s="1" t="s">
        <v>46</v>
      </c>
    </row>
    <row r="8421" spans="2:15" x14ac:dyDescent="0.3">
      <c r="B8421" s="1" t="s">
        <v>21</v>
      </c>
      <c r="C8421" s="1" t="str">
        <f>"6차"</f>
        <v>6차</v>
      </c>
      <c r="D8421" s="1" t="str">
        <f>"9628F4826S"</f>
        <v>9628F4826S</v>
      </c>
      <c r="E8421" s="1" t="s">
        <v>10</v>
      </c>
      <c r="F8421" s="1" t="str">
        <f>"fde1:103:4:9211:0:0:0:2"</f>
        <v>fde1:103:4:9211:0:0:0:2</v>
      </c>
      <c r="G8421" s="1" t="str">
        <f>"9628F482"</f>
        <v>9628F482</v>
      </c>
      <c r="H8421" s="1" t="str">
        <f>"연신간 13L2A2"</f>
        <v>연신간 13L2A2</v>
      </c>
      <c r="I8421" s="1" t="s">
        <v>15</v>
      </c>
      <c r="J8421" s="1" t="str">
        <f>"34/35"</f>
        <v>34/35</v>
      </c>
      <c r="K8421" s="1" t="str">
        <f>"2026-07-29 14:20:36"</f>
        <v>2026-07-29 14:20:36</v>
      </c>
      <c r="L8421" s="1" t="str">
        <f>"2025-02-20 17:36:41"</f>
        <v>2025-02-20 17:36:41</v>
      </c>
      <c r="M8421" s="1" t="s">
        <v>4</v>
      </c>
      <c r="N8421" s="1" t="s">
        <v>38</v>
      </c>
      <c r="O8421" s="1" t="s">
        <v>46</v>
      </c>
    </row>
    <row r="8422" spans="2:15" x14ac:dyDescent="0.3">
      <c r="B8422" s="1" t="s">
        <v>21</v>
      </c>
      <c r="C8422" s="1" t="str">
        <f>"4차"</f>
        <v>4차</v>
      </c>
      <c r="D8422" s="1" t="str">
        <f>"9628F48342"</f>
        <v>9628F48342</v>
      </c>
      <c r="E8422" s="1" t="s">
        <v>10</v>
      </c>
      <c r="F8422" s="1" t="str">
        <f>"10.128.64.82"</f>
        <v>10.128.64.82</v>
      </c>
      <c r="G8422" s="1" t="str">
        <f>"9628F483"</f>
        <v>9628F483</v>
      </c>
      <c r="H8422" s="1" t="str">
        <f>"연신간 13L2A1"</f>
        <v>연신간 13L2A1</v>
      </c>
      <c r="I8422" s="1" t="s">
        <v>8</v>
      </c>
      <c r="J8422" s="1" t="str">
        <f>"26/26"</f>
        <v>26/26</v>
      </c>
      <c r="K8422" s="1" t="str">
        <f>"2026-07-29 13:18:10"</f>
        <v>2026-07-29 13:18:10</v>
      </c>
      <c r="L8422" s="1" t="str">
        <f>"2025-01-08 17:58:33"</f>
        <v>2025-01-08 17:58:33</v>
      </c>
      <c r="M8422" s="1" t="s">
        <v>45</v>
      </c>
      <c r="N8422" s="1" t="s">
        <v>38</v>
      </c>
      <c r="O8422" s="1" t="s">
        <v>46</v>
      </c>
    </row>
    <row r="8423" spans="2:15" x14ac:dyDescent="0.3">
      <c r="B8423" s="1" t="s">
        <v>21</v>
      </c>
      <c r="C8423" s="1" t="str">
        <f>"4차"</f>
        <v>4차</v>
      </c>
      <c r="D8423" s="1" t="str">
        <f>"9628F50139"</f>
        <v>9628F50139</v>
      </c>
      <c r="E8423" s="1" t="s">
        <v>10</v>
      </c>
      <c r="F8423" s="1" t="str">
        <f>"10.128.3.31"</f>
        <v>10.128.3.31</v>
      </c>
      <c r="G8423" s="1" t="str">
        <f>"9628F501"</f>
        <v>9628F501</v>
      </c>
      <c r="H8423" s="1" t="str">
        <f>"갈촌간 31R3L1"</f>
        <v>갈촌간 31R3L1</v>
      </c>
      <c r="I8423" s="1" t="s">
        <v>8</v>
      </c>
      <c r="J8423" s="1" t="str">
        <f>"60/60"</f>
        <v>60/60</v>
      </c>
      <c r="K8423" s="1" t="str">
        <f>"2026-07-29 13:18:10"</f>
        <v>2026-07-29 13:18:10</v>
      </c>
      <c r="L8423" s="1" t="str">
        <f>"2018-01-05 17:42:28"</f>
        <v>2018-01-05 17:42:28</v>
      </c>
      <c r="M8423" s="1" t="s">
        <v>45</v>
      </c>
      <c r="N8423" s="1" t="s">
        <v>38</v>
      </c>
      <c r="O8423" s="1" t="s">
        <v>46</v>
      </c>
    </row>
    <row r="8424" spans="2:15" x14ac:dyDescent="0.3">
      <c r="B8424" s="1" t="s">
        <v>21</v>
      </c>
      <c r="C8424" s="1" t="str">
        <f>"4차"</f>
        <v>4차</v>
      </c>
      <c r="D8424" s="1" t="str">
        <f>"9628F51139"</f>
        <v>9628F51139</v>
      </c>
      <c r="E8424" s="1" t="s">
        <v>10</v>
      </c>
      <c r="F8424" s="1" t="str">
        <f>"10.128.3.33"</f>
        <v>10.128.3.33</v>
      </c>
      <c r="G8424" s="1" t="str">
        <f>"9628F511"</f>
        <v>9628F511</v>
      </c>
      <c r="H8424" s="1" t="str">
        <f>"갈촌간 31R3L2"</f>
        <v>갈촌간 31R3L2</v>
      </c>
      <c r="I8424" s="1" t="s">
        <v>8</v>
      </c>
      <c r="J8424" s="1" t="str">
        <f>"72/72"</f>
        <v>72/72</v>
      </c>
      <c r="K8424" s="1" t="str">
        <f>"2026-07-29 13:18:11"</f>
        <v>2026-07-29 13:18:11</v>
      </c>
      <c r="L8424" s="1" t="str">
        <f>"2018-01-05 18:38:13"</f>
        <v>2018-01-05 18:38:13</v>
      </c>
      <c r="M8424" s="1" t="s">
        <v>45</v>
      </c>
      <c r="N8424" s="1" t="s">
        <v>38</v>
      </c>
      <c r="O8424" s="1" t="s">
        <v>46</v>
      </c>
    </row>
    <row r="8425" spans="2:15" x14ac:dyDescent="0.3">
      <c r="B8425" s="1" t="s">
        <v>21</v>
      </c>
      <c r="C8425" s="1" t="str">
        <f>"3차"</f>
        <v>3차</v>
      </c>
      <c r="D8425" s="1" t="str">
        <f>"9628F52139"</f>
        <v>9628F52139</v>
      </c>
      <c r="E8425" s="1" t="s">
        <v>10</v>
      </c>
      <c r="F8425" s="1" t="str">
        <f>"10.128.3.241"</f>
        <v>10.128.3.241</v>
      </c>
      <c r="G8425" s="1" t="str">
        <f>"9628F521"</f>
        <v>9628F521</v>
      </c>
      <c r="H8425" s="1" t="str">
        <f>"연신간 22L5"</f>
        <v>연신간 22L5</v>
      </c>
      <c r="I8425" s="1" t="s">
        <v>8</v>
      </c>
      <c r="J8425" s="1" t="str">
        <f>"41/41"</f>
        <v>41/41</v>
      </c>
      <c r="K8425" s="1" t="str">
        <f>"2026-07-29 13:18:11"</f>
        <v>2026-07-29 13:18:11</v>
      </c>
      <c r="L8425" s="1" t="str">
        <f>"2018-02-02 14:49:45"</f>
        <v>2018-02-02 14:49:45</v>
      </c>
      <c r="M8425" s="1" t="s">
        <v>45</v>
      </c>
      <c r="N8425" s="1" t="s">
        <v>38</v>
      </c>
      <c r="O8425" s="1" t="s">
        <v>46</v>
      </c>
    </row>
    <row r="8426" spans="2:15" x14ac:dyDescent="0.3">
      <c r="B8426" s="1" t="s">
        <v>21</v>
      </c>
      <c r="C8426" s="1" t="str">
        <f>"3차"</f>
        <v>3차</v>
      </c>
      <c r="D8426" s="1" t="str">
        <f>"9628F53139"</f>
        <v>9628F53139</v>
      </c>
      <c r="E8426" s="1" t="s">
        <v>10</v>
      </c>
      <c r="F8426" s="1" t="str">
        <f>"10.128.3.134"</f>
        <v>10.128.3.134</v>
      </c>
      <c r="G8426" s="1" t="str">
        <f>"9628F531"</f>
        <v>9628F531</v>
      </c>
      <c r="H8426" s="1" t="str">
        <f>"동명간 26R7"</f>
        <v>동명간 26R7</v>
      </c>
      <c r="I8426" s="1" t="s">
        <v>8</v>
      </c>
      <c r="J8426" s="1" t="str">
        <f>"50/50"</f>
        <v>50/50</v>
      </c>
      <c r="K8426" s="1" t="str">
        <f>"2026-07-29 13:18:10"</f>
        <v>2026-07-29 13:18:10</v>
      </c>
      <c r="L8426" s="1" t="str">
        <f>"2018-01-03 14:46:50"</f>
        <v>2018-01-03 14:46:50</v>
      </c>
      <c r="M8426" s="1" t="s">
        <v>45</v>
      </c>
      <c r="N8426" s="1" t="s">
        <v>38</v>
      </c>
      <c r="O8426" s="1" t="s">
        <v>46</v>
      </c>
    </row>
    <row r="8427" spans="2:15" x14ac:dyDescent="0.3">
      <c r="B8427" s="1" t="s">
        <v>21</v>
      </c>
      <c r="C8427" s="1" t="str">
        <f>"4차"</f>
        <v>4차</v>
      </c>
      <c r="D8427" s="1" t="str">
        <f>"9628F53239"</f>
        <v>9628F53239</v>
      </c>
      <c r="E8427" s="1" t="s">
        <v>10</v>
      </c>
      <c r="F8427" s="1" t="str">
        <f>"10.128.3.240"</f>
        <v>10.128.3.240</v>
      </c>
      <c r="G8427" s="1" t="str">
        <f>"9628F532"</f>
        <v>9628F532</v>
      </c>
      <c r="H8427" s="1" t="str">
        <f>"연신간 22L4"</f>
        <v>연신간 22L4</v>
      </c>
      <c r="I8427" s="1" t="s">
        <v>8</v>
      </c>
      <c r="J8427" s="1" t="str">
        <f>"61/61"</f>
        <v>61/61</v>
      </c>
      <c r="K8427" s="1" t="str">
        <f>"2026-07-29 13:18:10"</f>
        <v>2026-07-29 13:18:10</v>
      </c>
      <c r="L8427" s="1" t="str">
        <f>"2018-02-02 14:36:30"</f>
        <v>2018-02-02 14:36:30</v>
      </c>
      <c r="M8427" s="1" t="s">
        <v>45</v>
      </c>
      <c r="N8427" s="1" t="s">
        <v>38</v>
      </c>
      <c r="O8427" s="1" t="s">
        <v>46</v>
      </c>
    </row>
    <row r="8428" spans="2:15" x14ac:dyDescent="0.3">
      <c r="B8428" s="1" t="s">
        <v>21</v>
      </c>
      <c r="C8428" s="1" t="str">
        <f>"3차"</f>
        <v>3차</v>
      </c>
      <c r="D8428" s="1" t="str">
        <f>"9628F54139"</f>
        <v>9628F54139</v>
      </c>
      <c r="E8428" s="1" t="s">
        <v>10</v>
      </c>
      <c r="F8428" s="1" t="str">
        <f>"10.128.3.133"</f>
        <v>10.128.3.133</v>
      </c>
      <c r="G8428" s="1" t="str">
        <f>"9628F541"</f>
        <v>9628F541</v>
      </c>
      <c r="H8428" s="1" t="str">
        <f>"동명간 26R6"</f>
        <v>동명간 26R6</v>
      </c>
      <c r="I8428" s="1" t="s">
        <v>8</v>
      </c>
      <c r="J8428" s="1" t="str">
        <f>"49/49"</f>
        <v>49/49</v>
      </c>
      <c r="K8428" s="1" t="str">
        <f>"2026-07-29 13:18:10"</f>
        <v>2026-07-29 13:18:10</v>
      </c>
      <c r="L8428" s="1" t="str">
        <f>"2018-01-03 14:52:59"</f>
        <v>2018-01-03 14:52:59</v>
      </c>
      <c r="M8428" s="1" t="s">
        <v>45</v>
      </c>
      <c r="N8428" s="1" t="s">
        <v>38</v>
      </c>
      <c r="O8428" s="1" t="s">
        <v>46</v>
      </c>
    </row>
    <row r="8429" spans="2:15" x14ac:dyDescent="0.3">
      <c r="B8429" s="1" t="s">
        <v>21</v>
      </c>
      <c r="C8429" s="1" t="str">
        <f>"3차"</f>
        <v>3차</v>
      </c>
      <c r="D8429" s="1" t="str">
        <f>"9628F55139"</f>
        <v>9628F55139</v>
      </c>
      <c r="E8429" s="1" t="s">
        <v>10</v>
      </c>
      <c r="F8429" s="1" t="str">
        <f>"10.128.3.132"</f>
        <v>10.128.3.132</v>
      </c>
      <c r="G8429" s="1" t="str">
        <f>"9628F551"</f>
        <v>9628F551</v>
      </c>
      <c r="H8429" s="1" t="str">
        <f>"동명간 26R5"</f>
        <v>동명간 26R5</v>
      </c>
      <c r="I8429" s="1" t="s">
        <v>8</v>
      </c>
      <c r="J8429" s="1" t="str">
        <f>"70/70"</f>
        <v>70/70</v>
      </c>
      <c r="K8429" s="1" t="str">
        <f>"2026-07-29 13:18:11"</f>
        <v>2026-07-29 13:18:11</v>
      </c>
      <c r="L8429" s="1" t="str">
        <f>"2018-01-03 15:02:26"</f>
        <v>2018-01-03 15:02:26</v>
      </c>
      <c r="M8429" s="1" t="s">
        <v>45</v>
      </c>
      <c r="N8429" s="1" t="s">
        <v>38</v>
      </c>
      <c r="O8429" s="1" t="s">
        <v>46</v>
      </c>
    </row>
    <row r="8430" spans="2:15" x14ac:dyDescent="0.3">
      <c r="B8430" s="1" t="s">
        <v>21</v>
      </c>
      <c r="C8430" s="1" t="str">
        <f>"1차"</f>
        <v>1차</v>
      </c>
      <c r="D8430" s="1" t="str">
        <f>"9628F56101"</f>
        <v>9628F56101</v>
      </c>
      <c r="E8430" s="1" t="s">
        <v>10</v>
      </c>
      <c r="F8430" s="1" t="str">
        <f>"10.128.0.200"</f>
        <v>10.128.0.200</v>
      </c>
      <c r="G8430" s="1" t="str">
        <f>"9628F561"</f>
        <v>9628F561</v>
      </c>
      <c r="H8430" s="1" t="str">
        <f>"동명간 26R4"</f>
        <v>동명간 26R4</v>
      </c>
      <c r="I8430" s="1" t="s">
        <v>8</v>
      </c>
      <c r="J8430" s="1" t="str">
        <f>"89/96"</f>
        <v>89/96</v>
      </c>
      <c r="K8430" s="1" t="str">
        <f>"2026-07-29 13:18:11"</f>
        <v>2026-07-29 13:18:11</v>
      </c>
      <c r="L8430" s="1" t="str">
        <f>"2014-11-28 00:28:18"</f>
        <v>2014-11-28 00:28:18</v>
      </c>
      <c r="M8430" s="1" t="s">
        <v>45</v>
      </c>
      <c r="N8430" s="1" t="s">
        <v>38</v>
      </c>
      <c r="O8430" s="1" t="s">
        <v>46</v>
      </c>
    </row>
    <row r="8431" spans="2:15" x14ac:dyDescent="0.3">
      <c r="B8431" s="1" t="s">
        <v>21</v>
      </c>
      <c r="C8431" s="1" t="str">
        <f>"1차"</f>
        <v>1차</v>
      </c>
      <c r="D8431" s="1" t="str">
        <f>"9628F57100"</f>
        <v>9628F57100</v>
      </c>
      <c r="E8431" s="1" t="s">
        <v>10</v>
      </c>
      <c r="F8431" s="1" t="str">
        <f>"10.128.64.58"</f>
        <v>10.128.64.58</v>
      </c>
      <c r="G8431" s="1" t="str">
        <f>"9628F571"</f>
        <v>9628F571</v>
      </c>
      <c r="H8431" s="1" t="str">
        <f>"동명간 29L6"</f>
        <v>동명간 29L6</v>
      </c>
      <c r="I8431" s="1" t="s">
        <v>8</v>
      </c>
      <c r="J8431" s="1" t="str">
        <f>"68/74"</f>
        <v>68/74</v>
      </c>
      <c r="K8431" s="1" t="str">
        <f>"2026-07-29 13:18:10"</f>
        <v>2026-07-29 13:18:10</v>
      </c>
      <c r="L8431" s="1" t="str">
        <f>"2015-03-24 11:52:49"</f>
        <v>2015-03-24 11:52:49</v>
      </c>
      <c r="M8431" s="1" t="s">
        <v>45</v>
      </c>
      <c r="N8431" s="1" t="s">
        <v>38</v>
      </c>
      <c r="O8431" s="1" t="s">
        <v>46</v>
      </c>
    </row>
    <row r="8432" spans="2:15" x14ac:dyDescent="0.3">
      <c r="B8432" s="1" t="s">
        <v>21</v>
      </c>
      <c r="C8432" s="1" t="str">
        <f>"1차"</f>
        <v>1차</v>
      </c>
      <c r="D8432" s="1" t="str">
        <f>"9628F57301"</f>
        <v>9628F57301</v>
      </c>
      <c r="E8432" s="1" t="s">
        <v>14</v>
      </c>
      <c r="F8432" s="1" t="str">
        <f>"10.128.64.59"</f>
        <v>10.128.64.59</v>
      </c>
      <c r="G8432" s="1" t="str">
        <f>"9628F573"</f>
        <v>9628F573</v>
      </c>
      <c r="H8432" s="1" t="str">
        <f>"동명간 29L6R1"</f>
        <v>동명간 29L6R1</v>
      </c>
      <c r="I8432" s="1" t="s">
        <v>8</v>
      </c>
      <c r="J8432" s="1" t="str">
        <f>"0/0"</f>
        <v>0/0</v>
      </c>
      <c r="K8432" s="1" t="str">
        <f>"2026-07-21 13:18:03"</f>
        <v>2026-07-21 13:18:03</v>
      </c>
      <c r="L8432" s="1" t="str">
        <f>"2015-03-17 15:34:02"</f>
        <v>2015-03-17 15:34:02</v>
      </c>
      <c r="M8432" s="1" t="s">
        <v>45</v>
      </c>
      <c r="N8432" s="1" t="s">
        <v>44</v>
      </c>
      <c r="O8432" s="1" t="s">
        <v>44</v>
      </c>
    </row>
    <row r="8433" spans="2:15" x14ac:dyDescent="0.3">
      <c r="B8433" s="1" t="s">
        <v>21</v>
      </c>
      <c r="C8433" s="1" t="str">
        <f>"6차"</f>
        <v>6차</v>
      </c>
      <c r="D8433" s="1" t="str">
        <f>"9628F5926S"</f>
        <v>9628F5926S</v>
      </c>
      <c r="E8433" s="1" t="s">
        <v>10</v>
      </c>
      <c r="F8433" s="1" t="str">
        <f>"fde1:103:4:9213:0:0:0:2"</f>
        <v>fde1:103:4:9213:0:0:0:2</v>
      </c>
      <c r="G8433" s="1" t="str">
        <f>"9628F592"</f>
        <v>9628F592</v>
      </c>
      <c r="H8433" s="1" t="str">
        <f>"연신간 13L2R1"</f>
        <v>연신간 13L2R1</v>
      </c>
      <c r="I8433" s="1" t="s">
        <v>15</v>
      </c>
      <c r="J8433" s="1" t="str">
        <f>"46/46"</f>
        <v>46/46</v>
      </c>
      <c r="K8433" s="1" t="str">
        <f>"2026-07-29 14:21:09"</f>
        <v>2026-07-29 14:21:09</v>
      </c>
      <c r="L8433" s="1" t="str">
        <f>"2025-02-20 17:46:40"</f>
        <v>2025-02-20 17:46:40</v>
      </c>
      <c r="M8433" s="1" t="s">
        <v>4</v>
      </c>
      <c r="N8433" s="1" t="s">
        <v>38</v>
      </c>
      <c r="O8433" s="1" t="s">
        <v>46</v>
      </c>
    </row>
    <row r="8434" spans="2:15" x14ac:dyDescent="0.3">
      <c r="B8434" s="1" t="s">
        <v>21</v>
      </c>
      <c r="C8434" s="1" t="str">
        <f>"4차"</f>
        <v>4차</v>
      </c>
      <c r="D8434" s="1" t="str">
        <f>"9628F62139"</f>
        <v>9628F62139</v>
      </c>
      <c r="E8434" s="1" t="s">
        <v>10</v>
      </c>
      <c r="F8434" s="1" t="str">
        <f>"10.128.4.93"</f>
        <v>10.128.4.93</v>
      </c>
      <c r="G8434" s="1" t="str">
        <f>"9628F621"</f>
        <v>9628F621</v>
      </c>
      <c r="H8434" s="1" t="str">
        <f>"연신간 22L2R6"</f>
        <v>연신간 22L2R6</v>
      </c>
      <c r="I8434" s="1" t="s">
        <v>8</v>
      </c>
      <c r="J8434" s="1" t="str">
        <f>"81/81"</f>
        <v>81/81</v>
      </c>
      <c r="K8434" s="1" t="str">
        <f t="shared" ref="K8434:K8446" si="417">"2026-07-29 13:18:11"</f>
        <v>2026-07-29 13:18:11</v>
      </c>
      <c r="L8434" s="1" t="str">
        <f>"2018-03-28 16:40:43"</f>
        <v>2018-03-28 16:40:43</v>
      </c>
      <c r="M8434" s="1" t="s">
        <v>45</v>
      </c>
      <c r="N8434" s="1" t="s">
        <v>38</v>
      </c>
      <c r="O8434" s="1" t="s">
        <v>46</v>
      </c>
    </row>
    <row r="8435" spans="2:15" x14ac:dyDescent="0.3">
      <c r="B8435" s="1" t="s">
        <v>21</v>
      </c>
      <c r="C8435" s="1" t="str">
        <f>"1차"</f>
        <v>1차</v>
      </c>
      <c r="D8435" s="1" t="str">
        <f>"9628F66100"</f>
        <v>9628F66100</v>
      </c>
      <c r="E8435" s="1" t="s">
        <v>10</v>
      </c>
      <c r="F8435" s="1" t="str">
        <f>"10.128.0.199"</f>
        <v>10.128.0.199</v>
      </c>
      <c r="G8435" s="1" t="str">
        <f>"9628F661"</f>
        <v>9628F661</v>
      </c>
      <c r="H8435" s="1" t="str">
        <f>"동명간 26R3"</f>
        <v>동명간 26R3</v>
      </c>
      <c r="I8435" s="1" t="s">
        <v>8</v>
      </c>
      <c r="J8435" s="1" t="str">
        <f>"36/37"</f>
        <v>36/37</v>
      </c>
      <c r="K8435" s="1" t="str">
        <f t="shared" si="417"/>
        <v>2026-07-29 13:18:11</v>
      </c>
      <c r="L8435" s="1" t="str">
        <f>"2014-11-25 14:34:41"</f>
        <v>2014-11-25 14:34:41</v>
      </c>
      <c r="M8435" s="1" t="s">
        <v>45</v>
      </c>
      <c r="N8435" s="1" t="s">
        <v>38</v>
      </c>
      <c r="O8435" s="1" t="s">
        <v>46</v>
      </c>
    </row>
    <row r="8436" spans="2:15" x14ac:dyDescent="0.3">
      <c r="B8436" s="1" t="s">
        <v>21</v>
      </c>
      <c r="C8436" s="1" t="str">
        <f>"3차"</f>
        <v>3차</v>
      </c>
      <c r="D8436" s="1" t="str">
        <f>"9628F67239"</f>
        <v>9628F67239</v>
      </c>
      <c r="E8436" s="1" t="s">
        <v>10</v>
      </c>
      <c r="F8436" s="1" t="str">
        <f>"10.128.4.78"</f>
        <v>10.128.4.78</v>
      </c>
      <c r="G8436" s="1" t="str">
        <f>"9628F672"</f>
        <v>9628F672</v>
      </c>
      <c r="H8436" s="1" t="str">
        <f>"동명간 29L4H1R1"</f>
        <v>동명간 29L4H1R1</v>
      </c>
      <c r="I8436" s="1" t="s">
        <v>8</v>
      </c>
      <c r="J8436" s="1" t="str">
        <f>"61/61"</f>
        <v>61/61</v>
      </c>
      <c r="K8436" s="1" t="str">
        <f t="shared" si="417"/>
        <v>2026-07-29 13:18:11</v>
      </c>
      <c r="L8436" s="1" t="str">
        <f>"2018-03-28 17:57:14"</f>
        <v>2018-03-28 17:57:14</v>
      </c>
      <c r="M8436" s="1" t="s">
        <v>45</v>
      </c>
      <c r="N8436" s="1" t="s">
        <v>38</v>
      </c>
      <c r="O8436" s="1" t="s">
        <v>46</v>
      </c>
    </row>
    <row r="8437" spans="2:15" x14ac:dyDescent="0.3">
      <c r="B8437" s="1" t="s">
        <v>21</v>
      </c>
      <c r="C8437" s="1" t="str">
        <f>"4차"</f>
        <v>4차</v>
      </c>
      <c r="D8437" s="1" t="str">
        <f>"9628F68244"</f>
        <v>9628F68244</v>
      </c>
      <c r="E8437" s="1" t="s">
        <v>10</v>
      </c>
      <c r="F8437" s="1" t="str">
        <f>"10.10.86.34"</f>
        <v>10.10.86.34</v>
      </c>
      <c r="G8437" s="1" t="str">
        <f>"9628F682"</f>
        <v>9628F682</v>
      </c>
      <c r="H8437" s="1" t="str">
        <f>"연신간 13L2R2"</f>
        <v>연신간 13L2R2</v>
      </c>
      <c r="I8437" s="1" t="s">
        <v>8</v>
      </c>
      <c r="J8437" s="1" t="str">
        <f>"56/56"</f>
        <v>56/56</v>
      </c>
      <c r="K8437" s="1" t="str">
        <f t="shared" si="417"/>
        <v>2026-07-29 13:18:11</v>
      </c>
      <c r="L8437" s="1" t="str">
        <f>"2019-12-11 18:19:27"</f>
        <v>2019-12-11 18:19:27</v>
      </c>
      <c r="M8437" s="1" t="s">
        <v>1</v>
      </c>
      <c r="N8437" s="1" t="s">
        <v>38</v>
      </c>
      <c r="O8437" s="1" t="s">
        <v>46</v>
      </c>
    </row>
    <row r="8438" spans="2:15" x14ac:dyDescent="0.3">
      <c r="B8438" s="1" t="s">
        <v>21</v>
      </c>
      <c r="C8438" s="1" t="str">
        <f>"4차"</f>
        <v>4차</v>
      </c>
      <c r="D8438" s="1" t="str">
        <f>"9628F70131"</f>
        <v>9628F70131</v>
      </c>
      <c r="E8438" s="1" t="s">
        <v>10</v>
      </c>
      <c r="F8438" s="1" t="str">
        <f>"10.128.3.35"</f>
        <v>10.128.3.35</v>
      </c>
      <c r="G8438" s="1" t="str">
        <f>"9628F701"</f>
        <v>9628F701</v>
      </c>
      <c r="H8438" s="1" t="str">
        <f>"갈촌간 31R8"</f>
        <v>갈촌간 31R8</v>
      </c>
      <c r="I8438" s="1" t="s">
        <v>8</v>
      </c>
      <c r="J8438" s="1" t="str">
        <f>"52/52"</f>
        <v>52/52</v>
      </c>
      <c r="K8438" s="1" t="str">
        <f t="shared" si="417"/>
        <v>2026-07-29 13:18:11</v>
      </c>
      <c r="L8438" s="1" t="str">
        <f>"2017-12-27 13:15:55"</f>
        <v>2017-12-27 13:15:55</v>
      </c>
      <c r="M8438" s="1" t="s">
        <v>45</v>
      </c>
      <c r="N8438" s="1" t="s">
        <v>38</v>
      </c>
      <c r="O8438" s="1" t="s">
        <v>46</v>
      </c>
    </row>
    <row r="8439" spans="2:15" x14ac:dyDescent="0.3">
      <c r="B8439" s="1" t="s">
        <v>21</v>
      </c>
      <c r="C8439" s="1" t="str">
        <f>"4차"</f>
        <v>4차</v>
      </c>
      <c r="D8439" s="1" t="str">
        <f>"9628F71239"</f>
        <v>9628F71239</v>
      </c>
      <c r="E8439" s="1" t="s">
        <v>10</v>
      </c>
      <c r="F8439" s="1" t="str">
        <f>"10.128.3.29"</f>
        <v>10.128.3.29</v>
      </c>
      <c r="G8439" s="1" t="str">
        <f>"9628F712"</f>
        <v>9628F712</v>
      </c>
      <c r="H8439" s="1" t="str">
        <f>"갈촌간 31R10"</f>
        <v>갈촌간 31R10</v>
      </c>
      <c r="I8439" s="1" t="s">
        <v>8</v>
      </c>
      <c r="J8439" s="1" t="str">
        <f>"57/57"</f>
        <v>57/57</v>
      </c>
      <c r="K8439" s="1" t="str">
        <f t="shared" si="417"/>
        <v>2026-07-29 13:18:11</v>
      </c>
      <c r="L8439" s="1" t="str">
        <f>"2018-01-03 18:14:16"</f>
        <v>2018-01-03 18:14:16</v>
      </c>
      <c r="M8439" s="1" t="s">
        <v>45</v>
      </c>
      <c r="N8439" s="1" t="s">
        <v>38</v>
      </c>
      <c r="O8439" s="1" t="s">
        <v>46</v>
      </c>
    </row>
    <row r="8440" spans="2:15" x14ac:dyDescent="0.3">
      <c r="B8440" s="1" t="s">
        <v>21</v>
      </c>
      <c r="C8440" s="1" t="str">
        <f>"3차"</f>
        <v>3차</v>
      </c>
      <c r="D8440" s="1" t="str">
        <f>"9628F72239"</f>
        <v>9628F72239</v>
      </c>
      <c r="E8440" s="1" t="s">
        <v>10</v>
      </c>
      <c r="F8440" s="1" t="str">
        <f>"10.128.3.121"</f>
        <v>10.128.3.121</v>
      </c>
      <c r="G8440" s="1" t="str">
        <f>"9628F722"</f>
        <v>9628F722</v>
      </c>
      <c r="H8440" s="1" t="str">
        <f>"동명간 16L5"</f>
        <v>동명간 16L5</v>
      </c>
      <c r="I8440" s="1" t="s">
        <v>8</v>
      </c>
      <c r="J8440" s="1" t="str">
        <f>"19/19"</f>
        <v>19/19</v>
      </c>
      <c r="K8440" s="1" t="str">
        <f t="shared" si="417"/>
        <v>2026-07-29 13:18:11</v>
      </c>
      <c r="L8440" s="1" t="str">
        <f>"2018-01-03 18:20:28"</f>
        <v>2018-01-03 18:20:28</v>
      </c>
      <c r="M8440" s="1" t="s">
        <v>45</v>
      </c>
      <c r="N8440" s="1" t="s">
        <v>38</v>
      </c>
      <c r="O8440" s="1" t="s">
        <v>46</v>
      </c>
    </row>
    <row r="8441" spans="2:15" x14ac:dyDescent="0.3">
      <c r="B8441" s="1" t="s">
        <v>21</v>
      </c>
      <c r="C8441" s="1" t="str">
        <f>"3차"</f>
        <v>3차</v>
      </c>
      <c r="D8441" s="1" t="str">
        <f>"9628F73239"</f>
        <v>9628F73239</v>
      </c>
      <c r="E8441" s="1" t="s">
        <v>10</v>
      </c>
      <c r="F8441" s="1" t="str">
        <f>"10.128.3.30"</f>
        <v>10.128.3.30</v>
      </c>
      <c r="G8441" s="1" t="str">
        <f>"9628F732"</f>
        <v>9628F732</v>
      </c>
      <c r="H8441" s="1" t="str">
        <f>"갈촌간 31R12"</f>
        <v>갈촌간 31R12</v>
      </c>
      <c r="I8441" s="1" t="s">
        <v>8</v>
      </c>
      <c r="J8441" s="1" t="str">
        <f>"54/54"</f>
        <v>54/54</v>
      </c>
      <c r="K8441" s="1" t="str">
        <f t="shared" si="417"/>
        <v>2026-07-29 13:18:11</v>
      </c>
      <c r="L8441" s="1" t="str">
        <f>"2018-01-03 15:34:56"</f>
        <v>2018-01-03 15:34:56</v>
      </c>
      <c r="M8441" s="1" t="s">
        <v>45</v>
      </c>
      <c r="N8441" s="1" t="s">
        <v>38</v>
      </c>
      <c r="O8441" s="1" t="s">
        <v>46</v>
      </c>
    </row>
    <row r="8442" spans="2:15" x14ac:dyDescent="0.3">
      <c r="B8442" s="1" t="s">
        <v>21</v>
      </c>
      <c r="C8442" s="1" t="str">
        <f>"3차"</f>
        <v>3차</v>
      </c>
      <c r="D8442" s="1" t="str">
        <f>"9628F74139"</f>
        <v>9628F74139</v>
      </c>
      <c r="E8442" s="1" t="s">
        <v>10</v>
      </c>
      <c r="F8442" s="1" t="str">
        <f>"10.128.3.131"</f>
        <v>10.128.3.131</v>
      </c>
      <c r="G8442" s="1" t="str">
        <f>"9628F741"</f>
        <v>9628F741</v>
      </c>
      <c r="H8442" s="1" t="str">
        <f>"동명간 26R2L3"</f>
        <v>동명간 26R2L3</v>
      </c>
      <c r="I8442" s="1" t="s">
        <v>8</v>
      </c>
      <c r="J8442" s="1" t="str">
        <f>"81/83"</f>
        <v>81/83</v>
      </c>
      <c r="K8442" s="1" t="str">
        <f t="shared" si="417"/>
        <v>2026-07-29 13:18:11</v>
      </c>
      <c r="L8442" s="1" t="str">
        <f>"2018-01-03 15:22:56"</f>
        <v>2018-01-03 15:22:56</v>
      </c>
      <c r="M8442" s="1" t="s">
        <v>45</v>
      </c>
      <c r="N8442" s="1" t="s">
        <v>38</v>
      </c>
      <c r="O8442" s="1" t="s">
        <v>46</v>
      </c>
    </row>
    <row r="8443" spans="2:15" x14ac:dyDescent="0.3">
      <c r="B8443" s="1" t="s">
        <v>21</v>
      </c>
      <c r="C8443" s="1" t="str">
        <f>"4차"</f>
        <v>4차</v>
      </c>
      <c r="D8443" s="1" t="str">
        <f>"9628F75139"</f>
        <v>9628F75139</v>
      </c>
      <c r="E8443" s="1" t="s">
        <v>10</v>
      </c>
      <c r="F8443" s="1" t="str">
        <f>"10.128.3.130"</f>
        <v>10.128.3.130</v>
      </c>
      <c r="G8443" s="1" t="str">
        <f>"9628F751"</f>
        <v>9628F751</v>
      </c>
      <c r="H8443" s="1" t="str">
        <f>"동명간 26R2L2"</f>
        <v>동명간 26R2L2</v>
      </c>
      <c r="I8443" s="1" t="s">
        <v>8</v>
      </c>
      <c r="J8443" s="1" t="str">
        <f>"67/67"</f>
        <v>67/67</v>
      </c>
      <c r="K8443" s="1" t="str">
        <f t="shared" si="417"/>
        <v>2026-07-29 13:18:11</v>
      </c>
      <c r="L8443" s="1" t="str">
        <f>"2018-01-03 15:43:12"</f>
        <v>2018-01-03 15:43:12</v>
      </c>
      <c r="M8443" s="1" t="s">
        <v>45</v>
      </c>
      <c r="N8443" s="1" t="s">
        <v>38</v>
      </c>
      <c r="O8443" s="1" t="s">
        <v>46</v>
      </c>
    </row>
    <row r="8444" spans="2:15" x14ac:dyDescent="0.3">
      <c r="B8444" s="1" t="s">
        <v>21</v>
      </c>
      <c r="C8444" s="1" t="str">
        <f>"1차"</f>
        <v>1차</v>
      </c>
      <c r="D8444" s="1" t="str">
        <f>"9628F77100"</f>
        <v>9628F77100</v>
      </c>
      <c r="E8444" s="1" t="s">
        <v>10</v>
      </c>
      <c r="F8444" s="1" t="str">
        <f>"10.128.2.151"</f>
        <v>10.128.2.151</v>
      </c>
      <c r="G8444" s="1" t="str">
        <f>"9628F771"</f>
        <v>9628F771</v>
      </c>
      <c r="H8444" s="1" t="str">
        <f>"동명간 29L4"</f>
        <v>동명간 29L4</v>
      </c>
      <c r="I8444" s="1" t="s">
        <v>8</v>
      </c>
      <c r="J8444" s="1" t="str">
        <f>"28/30"</f>
        <v>28/30</v>
      </c>
      <c r="K8444" s="1" t="str">
        <f t="shared" si="417"/>
        <v>2026-07-29 13:18:11</v>
      </c>
      <c r="L8444" s="1" t="str">
        <f>"2014-12-09 12:27:41"</f>
        <v>2014-12-09 12:27:41</v>
      </c>
      <c r="M8444" s="1" t="s">
        <v>45</v>
      </c>
      <c r="N8444" s="1" t="s">
        <v>38</v>
      </c>
      <c r="O8444" s="1" t="s">
        <v>46</v>
      </c>
    </row>
    <row r="8445" spans="2:15" x14ac:dyDescent="0.3">
      <c r="B8445" s="1" t="s">
        <v>21</v>
      </c>
      <c r="C8445" s="1" t="str">
        <f>"4차"</f>
        <v>4차</v>
      </c>
      <c r="D8445" s="1" t="str">
        <f>"9628F78144"</f>
        <v>9628F78144</v>
      </c>
      <c r="E8445" s="1" t="s">
        <v>10</v>
      </c>
      <c r="F8445" s="1" t="str">
        <f>"10.10.101.162"</f>
        <v>10.10.101.162</v>
      </c>
      <c r="G8445" s="1" t="str">
        <f>"9628F781"</f>
        <v>9628F781</v>
      </c>
      <c r="H8445" s="1" t="str">
        <f>"동명간 30L1"</f>
        <v>동명간 30L1</v>
      </c>
      <c r="I8445" s="1" t="s">
        <v>8</v>
      </c>
      <c r="J8445" s="1" t="str">
        <f>"52/52"</f>
        <v>52/52</v>
      </c>
      <c r="K8445" s="1" t="str">
        <f t="shared" si="417"/>
        <v>2026-07-29 13:18:11</v>
      </c>
      <c r="L8445" s="1" t="str">
        <f>"2019-09-27 16:16:02"</f>
        <v>2019-09-27 16:16:02</v>
      </c>
      <c r="M8445" s="1" t="s">
        <v>1</v>
      </c>
      <c r="N8445" s="1" t="s">
        <v>38</v>
      </c>
      <c r="O8445" s="1" t="s">
        <v>46</v>
      </c>
    </row>
    <row r="8446" spans="2:15" x14ac:dyDescent="0.3">
      <c r="B8446" s="1" t="s">
        <v>21</v>
      </c>
      <c r="C8446" s="1" t="str">
        <f>"3차"</f>
        <v>3차</v>
      </c>
      <c r="D8446" s="1" t="str">
        <f>"9628F80139"</f>
        <v>9628F80139</v>
      </c>
      <c r="E8446" s="1" t="s">
        <v>10</v>
      </c>
      <c r="F8446" s="1" t="str">
        <f>"10.128.3.117"</f>
        <v>10.128.3.117</v>
      </c>
      <c r="G8446" s="1" t="str">
        <f>"9628F801"</f>
        <v>9628F801</v>
      </c>
      <c r="H8446" s="1" t="str">
        <f>"동명간 12R3"</f>
        <v>동명간 12R3</v>
      </c>
      <c r="I8446" s="1" t="s">
        <v>8</v>
      </c>
      <c r="J8446" s="1" t="str">
        <f>"58/58"</f>
        <v>58/58</v>
      </c>
      <c r="K8446" s="1" t="str">
        <f t="shared" si="417"/>
        <v>2026-07-29 13:18:11</v>
      </c>
      <c r="L8446" s="1" t="str">
        <f>"2018-01-05 17:41:58"</f>
        <v>2018-01-05 17:41:58</v>
      </c>
      <c r="M8446" s="1" t="s">
        <v>45</v>
      </c>
      <c r="N8446" s="1" t="s">
        <v>38</v>
      </c>
      <c r="O8446" s="1" t="s">
        <v>46</v>
      </c>
    </row>
    <row r="8447" spans="2:15" x14ac:dyDescent="0.3">
      <c r="B8447" s="1" t="s">
        <v>21</v>
      </c>
      <c r="C8447" s="1" t="str">
        <f>"3차"</f>
        <v>3차</v>
      </c>
      <c r="D8447" s="1" t="str">
        <f>"9628F81139"</f>
        <v>9628F81139</v>
      </c>
      <c r="E8447" s="1" t="s">
        <v>10</v>
      </c>
      <c r="F8447" s="1" t="str">
        <f>"10.128.3.118"</f>
        <v>10.128.3.118</v>
      </c>
      <c r="G8447" s="1" t="str">
        <f>"9628F811"</f>
        <v>9628F811</v>
      </c>
      <c r="H8447" s="1" t="str">
        <f>"동명간 12R3R1"</f>
        <v>동명간 12R3R1</v>
      </c>
      <c r="I8447" s="1" t="s">
        <v>8</v>
      </c>
      <c r="J8447" s="1" t="str">
        <f>"82/82"</f>
        <v>82/82</v>
      </c>
      <c r="K8447" s="1" t="str">
        <f>"2026-07-29 13:18:12"</f>
        <v>2026-07-29 13:18:12</v>
      </c>
      <c r="L8447" s="1" t="str">
        <f>"2018-01-05 17:52:28"</f>
        <v>2018-01-05 17:52:28</v>
      </c>
      <c r="M8447" s="1" t="s">
        <v>45</v>
      </c>
      <c r="N8447" s="1" t="s">
        <v>38</v>
      </c>
      <c r="O8447" s="1" t="s">
        <v>46</v>
      </c>
    </row>
    <row r="8448" spans="2:15" x14ac:dyDescent="0.3">
      <c r="B8448" s="1" t="s">
        <v>21</v>
      </c>
      <c r="C8448" s="1" t="str">
        <f>"3차"</f>
        <v>3차</v>
      </c>
      <c r="D8448" s="1" t="str">
        <f>"9628F82139"</f>
        <v>9628F82139</v>
      </c>
      <c r="E8448" s="1" t="s">
        <v>10</v>
      </c>
      <c r="F8448" s="1" t="str">
        <f>"10.128.3.120"</f>
        <v>10.128.3.120</v>
      </c>
      <c r="G8448" s="1" t="str">
        <f>"9628F821"</f>
        <v>9628F821</v>
      </c>
      <c r="H8448" s="1" t="str">
        <f>"동명간 16L4"</f>
        <v>동명간 16L4</v>
      </c>
      <c r="I8448" s="1" t="s">
        <v>8</v>
      </c>
      <c r="J8448" s="1" t="str">
        <f>"18/18"</f>
        <v>18/18</v>
      </c>
      <c r="K8448" s="1" t="str">
        <f>"2026-07-29 13:18:11"</f>
        <v>2026-07-29 13:18:11</v>
      </c>
      <c r="L8448" s="1" t="str">
        <f>"2018-01-17 17:42:57"</f>
        <v>2018-01-17 17:42:57</v>
      </c>
      <c r="M8448" s="1" t="s">
        <v>45</v>
      </c>
      <c r="N8448" s="1" t="s">
        <v>38</v>
      </c>
      <c r="O8448" s="1" t="s">
        <v>46</v>
      </c>
    </row>
    <row r="8449" spans="2:15" x14ac:dyDescent="0.3">
      <c r="B8449" s="1" t="s">
        <v>21</v>
      </c>
      <c r="C8449" s="1" t="str">
        <f>"4차"</f>
        <v>4차</v>
      </c>
      <c r="D8449" s="1" t="str">
        <f>"9628F83139"</f>
        <v>9628F83139</v>
      </c>
      <c r="E8449" s="1" t="s">
        <v>10</v>
      </c>
      <c r="F8449" s="1" t="str">
        <f>"10.128.3.123"</f>
        <v>10.128.3.123</v>
      </c>
      <c r="G8449" s="1" t="str">
        <f>"9628F831"</f>
        <v>9628F831</v>
      </c>
      <c r="H8449" s="1" t="str">
        <f>"동명간 18L4"</f>
        <v>동명간 18L4</v>
      </c>
      <c r="I8449" s="1" t="s">
        <v>8</v>
      </c>
      <c r="J8449" s="1" t="str">
        <f>"69/69"</f>
        <v>69/69</v>
      </c>
      <c r="K8449" s="1" t="str">
        <f>"2026-07-29 13:18:11"</f>
        <v>2026-07-29 13:18:11</v>
      </c>
      <c r="L8449" s="1" t="str">
        <f>"2018-01-03 16:38:12"</f>
        <v>2018-01-03 16:38:12</v>
      </c>
      <c r="M8449" s="1" t="s">
        <v>45</v>
      </c>
      <c r="N8449" s="1" t="s">
        <v>38</v>
      </c>
      <c r="O8449" s="1" t="s">
        <v>46</v>
      </c>
    </row>
    <row r="8450" spans="2:15" x14ac:dyDescent="0.3">
      <c r="B8450" s="1" t="s">
        <v>21</v>
      </c>
      <c r="C8450" s="1" t="str">
        <f>"4차"</f>
        <v>4차</v>
      </c>
      <c r="D8450" s="1" t="str">
        <f>"9628F84239"</f>
        <v>9628F84239</v>
      </c>
      <c r="E8450" s="1" t="s">
        <v>10</v>
      </c>
      <c r="F8450" s="1" t="str">
        <f>"10.128.4.77"</f>
        <v>10.128.4.77</v>
      </c>
      <c r="G8450" s="1" t="str">
        <f>"9628F842"</f>
        <v>9628F842</v>
      </c>
      <c r="H8450" s="1" t="str">
        <f>"동명간 26R2L3L2"</f>
        <v>동명간 26R2L3L2</v>
      </c>
      <c r="I8450" s="1" t="s">
        <v>8</v>
      </c>
      <c r="J8450" s="1" t="str">
        <f>"63/63"</f>
        <v>63/63</v>
      </c>
      <c r="K8450" s="1" t="str">
        <f>"2026-07-29 13:18:11"</f>
        <v>2026-07-29 13:18:11</v>
      </c>
      <c r="L8450" s="1" t="str">
        <f>"2018-03-28 18:08:44"</f>
        <v>2018-03-28 18:08:44</v>
      </c>
      <c r="M8450" s="1" t="s">
        <v>45</v>
      </c>
      <c r="N8450" s="1" t="s">
        <v>38</v>
      </c>
      <c r="O8450" s="1" t="s">
        <v>46</v>
      </c>
    </row>
    <row r="8451" spans="2:15" x14ac:dyDescent="0.3">
      <c r="B8451" s="1" t="s">
        <v>21</v>
      </c>
      <c r="C8451" s="1" t="str">
        <f>"1차"</f>
        <v>1차</v>
      </c>
      <c r="D8451" s="1" t="str">
        <f>"9628F87101"</f>
        <v>9628F87101</v>
      </c>
      <c r="E8451" s="1" t="s">
        <v>10</v>
      </c>
      <c r="F8451" s="1" t="str">
        <f>"10.12.128.192"</f>
        <v>10.12.128.192</v>
      </c>
      <c r="G8451" s="1" t="str">
        <f>"9628F871"</f>
        <v>9628F871</v>
      </c>
      <c r="H8451" s="1" t="str">
        <f>"동명간 29L2"</f>
        <v>동명간 29L2</v>
      </c>
      <c r="I8451" s="1" t="s">
        <v>8</v>
      </c>
      <c r="J8451" s="1" t="str">
        <f>"46/49"</f>
        <v>46/49</v>
      </c>
      <c r="K8451" s="1" t="str">
        <f>"2026-07-29 13:18:12"</f>
        <v>2026-07-29 13:18:12</v>
      </c>
      <c r="L8451" s="1" t="str">
        <f>"2014-12-09 12:24:46"</f>
        <v>2014-12-09 12:24:46</v>
      </c>
      <c r="M8451" s="1" t="s">
        <v>0</v>
      </c>
      <c r="N8451" s="1" t="s">
        <v>38</v>
      </c>
      <c r="O8451" s="1" t="s">
        <v>46</v>
      </c>
    </row>
    <row r="8452" spans="2:15" x14ac:dyDescent="0.3">
      <c r="B8452" s="1" t="s">
        <v>21</v>
      </c>
      <c r="C8452" s="1" t="str">
        <f>"4차"</f>
        <v>4차</v>
      </c>
      <c r="D8452" s="1" t="str">
        <f>"9628F88144"</f>
        <v>9628F88144</v>
      </c>
      <c r="E8452" s="1" t="s">
        <v>10</v>
      </c>
      <c r="F8452" s="1" t="str">
        <f>"10.10.101.178"</f>
        <v>10.10.101.178</v>
      </c>
      <c r="G8452" s="1" t="str">
        <f>"9628F881"</f>
        <v>9628F881</v>
      </c>
      <c r="H8452" s="1" t="str">
        <f>"동명간 30"</f>
        <v>동명간 30</v>
      </c>
      <c r="I8452" s="1" t="s">
        <v>8</v>
      </c>
      <c r="J8452" s="1" t="str">
        <f>"49/50"</f>
        <v>49/50</v>
      </c>
      <c r="K8452" s="1" t="str">
        <f>"2026-07-29 13:18:11"</f>
        <v>2026-07-29 13:18:11</v>
      </c>
      <c r="L8452" s="1" t="str">
        <f>"2019-09-27 16:12:00"</f>
        <v>2019-09-27 16:12:00</v>
      </c>
      <c r="M8452" s="1" t="s">
        <v>1</v>
      </c>
      <c r="N8452" s="1" t="s">
        <v>38</v>
      </c>
      <c r="O8452" s="1" t="s">
        <v>46</v>
      </c>
    </row>
    <row r="8453" spans="2:15" x14ac:dyDescent="0.3">
      <c r="B8453" s="1" t="s">
        <v>21</v>
      </c>
      <c r="C8453" s="1" t="str">
        <f>"4차"</f>
        <v>4차</v>
      </c>
      <c r="D8453" s="1" t="str">
        <f>"9628F89144"</f>
        <v>9628F89144</v>
      </c>
      <c r="E8453" s="1" t="s">
        <v>10</v>
      </c>
      <c r="F8453" s="1" t="str">
        <f>"10.10.111.146"</f>
        <v>10.10.111.146</v>
      </c>
      <c r="G8453" s="1" t="str">
        <f>"9628F891"</f>
        <v>9628F891</v>
      </c>
      <c r="H8453" s="1" t="str">
        <f>"동명간 31"</f>
        <v>동명간 31</v>
      </c>
      <c r="I8453" s="1" t="s">
        <v>8</v>
      </c>
      <c r="J8453" s="1" t="str">
        <f>"20/20"</f>
        <v>20/20</v>
      </c>
      <c r="K8453" s="1" t="str">
        <f>"2026-07-29 13:18:11"</f>
        <v>2026-07-29 13:18:11</v>
      </c>
      <c r="L8453" s="1" t="str">
        <f>"2024-05-27 17:04:26"</f>
        <v>2024-05-27 17:04:26</v>
      </c>
      <c r="M8453" s="1" t="s">
        <v>1</v>
      </c>
      <c r="N8453" s="1" t="s">
        <v>38</v>
      </c>
      <c r="O8453" s="1" t="s">
        <v>46</v>
      </c>
    </row>
    <row r="8454" spans="2:15" x14ac:dyDescent="0.3">
      <c r="B8454" s="1" t="s">
        <v>21</v>
      </c>
      <c r="C8454" s="1" t="str">
        <f>"4차"</f>
        <v>4차</v>
      </c>
      <c r="D8454" s="1" t="str">
        <f>"9628F90131"</f>
        <v>9628F90131</v>
      </c>
      <c r="E8454" s="1" t="s">
        <v>10</v>
      </c>
      <c r="F8454" s="1" t="str">
        <f>"10.128.3.116"</f>
        <v>10.128.3.116</v>
      </c>
      <c r="G8454" s="1" t="str">
        <f>"9628F901"</f>
        <v>9628F901</v>
      </c>
      <c r="H8454" s="1" t="str">
        <f>"동명간 12R2"</f>
        <v>동명간 12R2</v>
      </c>
      <c r="I8454" s="1" t="s">
        <v>8</v>
      </c>
      <c r="J8454" s="1" t="str">
        <f>"91/91"</f>
        <v>91/91</v>
      </c>
      <c r="K8454" s="1" t="str">
        <f>"2026-07-29 13:18:12"</f>
        <v>2026-07-29 13:18:12</v>
      </c>
      <c r="L8454" s="1" t="str">
        <f>"2017-12-27 11:50:09"</f>
        <v>2017-12-27 11:50:09</v>
      </c>
      <c r="M8454" s="1" t="s">
        <v>45</v>
      </c>
      <c r="N8454" s="1" t="s">
        <v>38</v>
      </c>
      <c r="O8454" s="1" t="s">
        <v>46</v>
      </c>
    </row>
    <row r="8455" spans="2:15" x14ac:dyDescent="0.3">
      <c r="B8455" s="1" t="s">
        <v>21</v>
      </c>
      <c r="C8455" s="1" t="str">
        <f>"3차"</f>
        <v>3차</v>
      </c>
      <c r="D8455" s="1" t="str">
        <f>"9628F90230"</f>
        <v>9628F90230</v>
      </c>
      <c r="E8455" s="1" t="s">
        <v>10</v>
      </c>
      <c r="F8455" s="1" t="str">
        <f>"10.128.3.115"</f>
        <v>10.128.3.115</v>
      </c>
      <c r="G8455" s="1" t="str">
        <f>"9628F902"</f>
        <v>9628F902</v>
      </c>
      <c r="H8455" s="1" t="str">
        <f>"동명간 12R1"</f>
        <v>동명간 12R1</v>
      </c>
      <c r="I8455" s="1" t="s">
        <v>8</v>
      </c>
      <c r="J8455" s="1" t="str">
        <f>"18/19"</f>
        <v>18/19</v>
      </c>
      <c r="K8455" s="1" t="str">
        <f>"2026-07-29 13:18:12"</f>
        <v>2026-07-29 13:18:12</v>
      </c>
      <c r="L8455" s="1" t="str">
        <f>"2017-12-27 11:45:40"</f>
        <v>2017-12-27 11:45:40</v>
      </c>
      <c r="M8455" s="1" t="s">
        <v>45</v>
      </c>
      <c r="N8455" s="1" t="s">
        <v>38</v>
      </c>
      <c r="O8455" s="1" t="s">
        <v>46</v>
      </c>
    </row>
    <row r="8456" spans="2:15" x14ac:dyDescent="0.3">
      <c r="B8456" s="1" t="s">
        <v>21</v>
      </c>
      <c r="C8456" s="1" t="s">
        <v>16</v>
      </c>
      <c r="D8456" s="1" t="str">
        <f>"9628F92239"</f>
        <v>9628F92239</v>
      </c>
      <c r="E8456" s="1" t="s">
        <v>10</v>
      </c>
      <c r="F8456" s="1" t="str">
        <f>"10.128.3.119"</f>
        <v>10.128.3.119</v>
      </c>
      <c r="G8456" s="1" t="str">
        <f>"9628F922"</f>
        <v>9628F922</v>
      </c>
      <c r="H8456" s="1" t="str">
        <f>"동명간 16L3"</f>
        <v>동명간 16L3</v>
      </c>
      <c r="I8456" s="1" t="s">
        <v>8</v>
      </c>
      <c r="J8456" s="1" t="str">
        <f>"129/129"</f>
        <v>129/129</v>
      </c>
      <c r="K8456" s="1" t="str">
        <f>"2026-07-29 13:18:11"</f>
        <v>2026-07-29 13:18:11</v>
      </c>
      <c r="L8456" s="1" t="str">
        <f>"2024-05-28 16:28:00"</f>
        <v>2024-05-28 16:28:00</v>
      </c>
      <c r="M8456" s="1" t="s">
        <v>45</v>
      </c>
      <c r="N8456" s="1" t="s">
        <v>38</v>
      </c>
      <c r="O8456" s="1" t="s">
        <v>46</v>
      </c>
    </row>
    <row r="8457" spans="2:15" x14ac:dyDescent="0.3">
      <c r="B8457" s="1" t="s">
        <v>21</v>
      </c>
      <c r="C8457" s="1" t="str">
        <f>"3차"</f>
        <v>3차</v>
      </c>
      <c r="D8457" s="1" t="str">
        <f>"9628F93139"</f>
        <v>9628F93139</v>
      </c>
      <c r="E8457" s="1" t="s">
        <v>10</v>
      </c>
      <c r="F8457" s="1" t="str">
        <f>"10.128.3.122"</f>
        <v>10.128.3.122</v>
      </c>
      <c r="G8457" s="1" t="str">
        <f>"9628F931"</f>
        <v>9628F931</v>
      </c>
      <c r="H8457" s="1" t="str">
        <f>"동명간 18L2"</f>
        <v>동명간 18L2</v>
      </c>
      <c r="I8457" s="1" t="s">
        <v>8</v>
      </c>
      <c r="J8457" s="1" t="str">
        <f>"63/63"</f>
        <v>63/63</v>
      </c>
      <c r="K8457" s="1" t="str">
        <f>"2026-07-29 13:18:11"</f>
        <v>2026-07-29 13:18:11</v>
      </c>
      <c r="L8457" s="1" t="str">
        <f>"2018-01-03 16:09:27"</f>
        <v>2018-01-03 16:09:27</v>
      </c>
      <c r="M8457" s="1" t="s">
        <v>45</v>
      </c>
      <c r="N8457" s="1" t="s">
        <v>38</v>
      </c>
      <c r="O8457" s="1" t="s">
        <v>46</v>
      </c>
    </row>
    <row r="8458" spans="2:15" x14ac:dyDescent="0.3">
      <c r="B8458" s="1" t="s">
        <v>21</v>
      </c>
      <c r="C8458" s="1" t="str">
        <f>"4차"</f>
        <v>4차</v>
      </c>
      <c r="D8458" s="1" t="str">
        <f>"9628F95139"</f>
        <v>9628F95139</v>
      </c>
      <c r="E8458" s="1" t="s">
        <v>10</v>
      </c>
      <c r="F8458" s="1" t="str">
        <f>"10.128.3.128"</f>
        <v>10.128.3.128</v>
      </c>
      <c r="G8458" s="1" t="str">
        <f>"9628F951"</f>
        <v>9628F951</v>
      </c>
      <c r="H8458" s="1" t="str">
        <f>"동명간 26R1L1"</f>
        <v>동명간 26R1L1</v>
      </c>
      <c r="I8458" s="1" t="s">
        <v>8</v>
      </c>
      <c r="J8458" s="1" t="str">
        <f>"55/55"</f>
        <v>55/55</v>
      </c>
      <c r="K8458" s="1" t="str">
        <f>"2026-07-29 13:18:11"</f>
        <v>2026-07-29 13:18:11</v>
      </c>
      <c r="L8458" s="1" t="str">
        <f>"2018-01-03 18:05:04"</f>
        <v>2018-01-03 18:05:04</v>
      </c>
      <c r="M8458" s="1" t="s">
        <v>45</v>
      </c>
      <c r="N8458" s="1" t="s">
        <v>38</v>
      </c>
      <c r="O8458" s="1" t="s">
        <v>46</v>
      </c>
    </row>
    <row r="8459" spans="2:15" x14ac:dyDescent="0.3">
      <c r="B8459" s="1" t="s">
        <v>21</v>
      </c>
      <c r="C8459" s="1" t="str">
        <f>"4차"</f>
        <v>4차</v>
      </c>
      <c r="D8459" s="1" t="str">
        <f>"9628F95239"</f>
        <v>9628F95239</v>
      </c>
      <c r="E8459" s="1" t="s">
        <v>10</v>
      </c>
      <c r="F8459" s="1" t="str">
        <f>"10.128.3.129"</f>
        <v>10.128.3.129</v>
      </c>
      <c r="G8459" s="1" t="str">
        <f>"9628F952"</f>
        <v>9628F952</v>
      </c>
      <c r="H8459" s="1" t="str">
        <f>"동명간 26R1L2"</f>
        <v>동명간 26R1L2</v>
      </c>
      <c r="I8459" s="1" t="s">
        <v>8</v>
      </c>
      <c r="J8459" s="1" t="str">
        <f>"59/59"</f>
        <v>59/59</v>
      </c>
      <c r="K8459" s="1" t="str">
        <f>"2026-07-29 13:18:11"</f>
        <v>2026-07-29 13:18:11</v>
      </c>
      <c r="L8459" s="1" t="str">
        <f>"2018-01-03 17:48:19"</f>
        <v>2018-01-03 17:48:19</v>
      </c>
      <c r="M8459" s="1" t="s">
        <v>45</v>
      </c>
      <c r="N8459" s="1" t="s">
        <v>38</v>
      </c>
      <c r="O8459" s="1" t="s">
        <v>46</v>
      </c>
    </row>
    <row r="8460" spans="2:15" x14ac:dyDescent="0.3">
      <c r="B8460" s="1" t="s">
        <v>21</v>
      </c>
      <c r="C8460" s="1" t="str">
        <f>"4차"</f>
        <v>4차</v>
      </c>
      <c r="D8460" s="1" t="str">
        <f>"9628F96339"</f>
        <v>9628F96339</v>
      </c>
      <c r="E8460" s="1" t="s">
        <v>10</v>
      </c>
      <c r="F8460" s="1" t="str">
        <f>"10.128.3.135"</f>
        <v>10.128.3.135</v>
      </c>
      <c r="G8460" s="1" t="str">
        <f>"9628F963"</f>
        <v>9628F963</v>
      </c>
      <c r="H8460" s="1" t="str">
        <f>"동명간 27R1"</f>
        <v>동명간 27R1</v>
      </c>
      <c r="I8460" s="1" t="s">
        <v>8</v>
      </c>
      <c r="J8460" s="1" t="str">
        <f>"84/84"</f>
        <v>84/84</v>
      </c>
      <c r="K8460" s="1" t="str">
        <f>"2026-07-29 13:18:11"</f>
        <v>2026-07-29 13:18:11</v>
      </c>
      <c r="L8460" s="1" t="str">
        <f>"2018-01-22 15:00:26"</f>
        <v>2018-01-22 15:00:26</v>
      </c>
      <c r="M8460" s="1" t="s">
        <v>45</v>
      </c>
      <c r="N8460" s="1" t="s">
        <v>38</v>
      </c>
      <c r="O8460" s="1" t="s">
        <v>46</v>
      </c>
    </row>
    <row r="8461" spans="2:15" x14ac:dyDescent="0.3">
      <c r="B8461" s="1" t="s">
        <v>21</v>
      </c>
      <c r="C8461" s="1" t="str">
        <f>"6차"</f>
        <v>6차</v>
      </c>
      <c r="D8461" s="1" t="str">
        <f>"9628F9816S"</f>
        <v>9628F9816S</v>
      </c>
      <c r="E8461" s="1" t="s">
        <v>10</v>
      </c>
      <c r="F8461" s="1" t="str">
        <f>"fde1:103:4:c817:0:0:0:2"</f>
        <v>fde1:103:4:c817:0:0:0:2</v>
      </c>
      <c r="G8461" s="1" t="str">
        <f>"9628F981"</f>
        <v>9628F981</v>
      </c>
      <c r="H8461" s="1" t="str">
        <f>"동명간 29R1"</f>
        <v>동명간 29R1</v>
      </c>
      <c r="I8461" s="1" t="s">
        <v>15</v>
      </c>
      <c r="J8461" s="1" t="str">
        <f>"57/63"</f>
        <v>57/63</v>
      </c>
      <c r="K8461" s="1" t="str">
        <f>"2026-07-29 14:21:24"</f>
        <v>2026-07-29 14:21:24</v>
      </c>
      <c r="L8461" s="1" t="str">
        <f>"2025-01-17 17:37:52"</f>
        <v>2025-01-17 17:37:52</v>
      </c>
      <c r="M8461" s="1" t="s">
        <v>4</v>
      </c>
      <c r="N8461" s="1" t="s">
        <v>38</v>
      </c>
      <c r="O8461" s="1" t="s">
        <v>46</v>
      </c>
    </row>
    <row r="8462" spans="2:15" x14ac:dyDescent="0.3">
      <c r="B8462" s="1" t="s">
        <v>21</v>
      </c>
      <c r="C8462" s="1" t="str">
        <f>"4차"</f>
        <v>4차</v>
      </c>
      <c r="D8462" s="1" t="str">
        <f>"9628F99144"</f>
        <v>9628F99144</v>
      </c>
      <c r="E8462" s="1" t="s">
        <v>10</v>
      </c>
      <c r="F8462" s="1" t="str">
        <f>"10.10.79.154"</f>
        <v>10.10.79.154</v>
      </c>
      <c r="G8462" s="1" t="str">
        <f>"9628F991"</f>
        <v>9628F991</v>
      </c>
      <c r="H8462" s="1" t="str">
        <f>"동명간 30R2"</f>
        <v>동명간 30R2</v>
      </c>
      <c r="I8462" s="1" t="s">
        <v>8</v>
      </c>
      <c r="J8462" s="1" t="str">
        <f>"138/140"</f>
        <v>138/140</v>
      </c>
      <c r="K8462" s="1" t="str">
        <f t="shared" ref="K8462:K8468" si="418">"2026-07-29 13:18:11"</f>
        <v>2026-07-29 13:18:11</v>
      </c>
      <c r="L8462" s="1" t="str">
        <f>"2019-09-27 17:30:45"</f>
        <v>2019-09-27 17:30:45</v>
      </c>
      <c r="M8462" s="1" t="s">
        <v>1</v>
      </c>
      <c r="N8462" s="1" t="s">
        <v>38</v>
      </c>
      <c r="O8462" s="1" t="s">
        <v>46</v>
      </c>
    </row>
    <row r="8463" spans="2:15" x14ac:dyDescent="0.3">
      <c r="B8463" s="1" t="s">
        <v>21</v>
      </c>
      <c r="C8463" s="1" t="str">
        <f>"3차"</f>
        <v>3차</v>
      </c>
      <c r="D8463" s="1" t="str">
        <f>"9628G00239"</f>
        <v>9628G00239</v>
      </c>
      <c r="E8463" s="1" t="s">
        <v>10</v>
      </c>
      <c r="F8463" s="1" t="str">
        <f>"10.128.4.60"</f>
        <v>10.128.4.60</v>
      </c>
      <c r="G8463" s="1" t="str">
        <f>"9628G002"</f>
        <v>9628G002</v>
      </c>
      <c r="H8463" s="1" t="str">
        <f>"갈색지 44"</f>
        <v>갈색지 44</v>
      </c>
      <c r="I8463" s="1" t="s">
        <v>8</v>
      </c>
      <c r="J8463" s="1" t="str">
        <f>"23/24"</f>
        <v>23/24</v>
      </c>
      <c r="K8463" s="1" t="str">
        <f t="shared" si="418"/>
        <v>2026-07-29 13:18:11</v>
      </c>
      <c r="L8463" s="1" t="str">
        <f>"2018-03-26 19:46:16"</f>
        <v>2018-03-26 19:46:16</v>
      </c>
      <c r="M8463" s="1" t="s">
        <v>45</v>
      </c>
      <c r="N8463" s="1" t="s">
        <v>38</v>
      </c>
      <c r="O8463" s="1" t="s">
        <v>46</v>
      </c>
    </row>
    <row r="8464" spans="2:15" x14ac:dyDescent="0.3">
      <c r="B8464" s="1" t="s">
        <v>21</v>
      </c>
      <c r="C8464" s="1" t="str">
        <f>"3차"</f>
        <v>3차</v>
      </c>
      <c r="D8464" s="1" t="str">
        <f>"9628G00339"</f>
        <v>9628G00339</v>
      </c>
      <c r="E8464" s="1" t="s">
        <v>10</v>
      </c>
      <c r="F8464" s="1" t="str">
        <f>"10.128.68.53"</f>
        <v>10.128.68.53</v>
      </c>
      <c r="G8464" s="1" t="str">
        <f>"9628G003"</f>
        <v>9628G003</v>
      </c>
      <c r="H8464" s="1" t="str">
        <f>"구산간 25R1"</f>
        <v>구산간 25R1</v>
      </c>
      <c r="I8464" s="1" t="s">
        <v>8</v>
      </c>
      <c r="J8464" s="1" t="str">
        <f>"31/31"</f>
        <v>31/31</v>
      </c>
      <c r="K8464" s="1" t="str">
        <f t="shared" si="418"/>
        <v>2026-07-29 13:18:11</v>
      </c>
      <c r="L8464" s="1" t="str">
        <f>"2018-03-29 18:07:58"</f>
        <v>2018-03-29 18:07:58</v>
      </c>
      <c r="M8464" s="1" t="s">
        <v>45</v>
      </c>
      <c r="N8464" s="1" t="s">
        <v>38</v>
      </c>
      <c r="O8464" s="1" t="s">
        <v>46</v>
      </c>
    </row>
    <row r="8465" spans="2:15" x14ac:dyDescent="0.3">
      <c r="B8465" s="1" t="s">
        <v>21</v>
      </c>
      <c r="C8465" s="1" t="str">
        <f>"4차"</f>
        <v>4차</v>
      </c>
      <c r="D8465" s="1" t="str">
        <f>"9628G00639"</f>
        <v>9628G00639</v>
      </c>
      <c r="E8465" s="1" t="s">
        <v>10</v>
      </c>
      <c r="F8465" s="1" t="str">
        <f>"10.128.68.56"</f>
        <v>10.128.68.56</v>
      </c>
      <c r="G8465" s="1" t="str">
        <f>"9628G006"</f>
        <v>9628G006</v>
      </c>
      <c r="H8465" s="1" t="str">
        <f>"구산간 25"</f>
        <v>구산간 25</v>
      </c>
      <c r="I8465" s="1" t="s">
        <v>8</v>
      </c>
      <c r="J8465" s="1" t="str">
        <f>"26/28"</f>
        <v>26/28</v>
      </c>
      <c r="K8465" s="1" t="str">
        <f t="shared" si="418"/>
        <v>2026-07-29 13:18:11</v>
      </c>
      <c r="L8465" s="1" t="str">
        <f>"2018-03-12 16:11:13"</f>
        <v>2018-03-12 16:11:13</v>
      </c>
      <c r="M8465" s="1" t="s">
        <v>45</v>
      </c>
      <c r="N8465" s="1" t="s">
        <v>38</v>
      </c>
      <c r="O8465" s="1" t="s">
        <v>46</v>
      </c>
    </row>
    <row r="8466" spans="2:15" x14ac:dyDescent="0.3">
      <c r="B8466" s="1" t="s">
        <v>21</v>
      </c>
      <c r="C8466" s="1" t="str">
        <f>"4차"</f>
        <v>4차</v>
      </c>
      <c r="D8466" s="1" t="str">
        <f>"9628G01139"</f>
        <v>9628G01139</v>
      </c>
      <c r="E8466" s="1" t="s">
        <v>10</v>
      </c>
      <c r="F8466" s="1" t="str">
        <f>"10.128.74.42"</f>
        <v>10.128.74.42</v>
      </c>
      <c r="G8466" s="1" t="str">
        <f>"9628G011"</f>
        <v>9628G011</v>
      </c>
      <c r="H8466" s="1" t="str">
        <f>"구산간 23"</f>
        <v>구산간 23</v>
      </c>
      <c r="I8466" s="1" t="s">
        <v>8</v>
      </c>
      <c r="J8466" s="1" t="str">
        <f>"25/25"</f>
        <v>25/25</v>
      </c>
      <c r="K8466" s="1" t="str">
        <f t="shared" si="418"/>
        <v>2026-07-29 13:18:11</v>
      </c>
      <c r="L8466" s="1" t="str">
        <f>"2018-03-29 12:15:28"</f>
        <v>2018-03-29 12:15:28</v>
      </c>
      <c r="M8466" s="1" t="s">
        <v>45</v>
      </c>
      <c r="N8466" s="1" t="s">
        <v>38</v>
      </c>
      <c r="O8466" s="1" t="s">
        <v>46</v>
      </c>
    </row>
    <row r="8467" spans="2:15" x14ac:dyDescent="0.3">
      <c r="B8467" s="1" t="s">
        <v>21</v>
      </c>
      <c r="C8467" s="1" t="str">
        <f>"4차"</f>
        <v>4차</v>
      </c>
      <c r="D8467" s="1" t="str">
        <f>"9628G02139"</f>
        <v>9628G02139</v>
      </c>
      <c r="E8467" s="1" t="s">
        <v>10</v>
      </c>
      <c r="F8467" s="1" t="str">
        <f>"10.128.68.55"</f>
        <v>10.128.68.55</v>
      </c>
      <c r="G8467" s="1" t="str">
        <f>"9628G021"</f>
        <v>9628G021</v>
      </c>
      <c r="H8467" s="1" t="str">
        <f>"구산간 22"</f>
        <v>구산간 22</v>
      </c>
      <c r="I8467" s="1" t="s">
        <v>8</v>
      </c>
      <c r="J8467" s="1" t="str">
        <f>"28/30"</f>
        <v>28/30</v>
      </c>
      <c r="K8467" s="1" t="str">
        <f t="shared" si="418"/>
        <v>2026-07-29 13:18:11</v>
      </c>
      <c r="L8467" s="1" t="str">
        <f>"2018-03-12 16:09:12"</f>
        <v>2018-03-12 16:09:12</v>
      </c>
      <c r="M8467" s="1" t="s">
        <v>45</v>
      </c>
      <c r="N8467" s="1" t="s">
        <v>38</v>
      </c>
      <c r="O8467" s="1" t="s">
        <v>46</v>
      </c>
    </row>
    <row r="8468" spans="2:15" x14ac:dyDescent="0.3">
      <c r="B8468" s="1" t="s">
        <v>21</v>
      </c>
      <c r="C8468" s="1" t="str">
        <f>"3차"</f>
        <v>3차</v>
      </c>
      <c r="D8468" s="1" t="str">
        <f>"9628G02339"</f>
        <v>9628G02339</v>
      </c>
      <c r="E8468" s="1" t="s">
        <v>10</v>
      </c>
      <c r="F8468" s="1" t="str">
        <f>"10.128.74.34"</f>
        <v>10.128.74.34</v>
      </c>
      <c r="G8468" s="1" t="str">
        <f>"9628G023"</f>
        <v>9628G023</v>
      </c>
      <c r="H8468" s="1" t="str">
        <f>"구산간 21R1L1"</f>
        <v>구산간 21R1L1</v>
      </c>
      <c r="I8468" s="1" t="s">
        <v>8</v>
      </c>
      <c r="J8468" s="1" t="str">
        <f>"40/40"</f>
        <v>40/40</v>
      </c>
      <c r="K8468" s="1" t="str">
        <f t="shared" si="418"/>
        <v>2026-07-29 13:18:11</v>
      </c>
      <c r="L8468" s="1" t="str">
        <f>"2018-03-29 13:26:28"</f>
        <v>2018-03-29 13:26:28</v>
      </c>
      <c r="M8468" s="1" t="s">
        <v>45</v>
      </c>
      <c r="N8468" s="1" t="s">
        <v>38</v>
      </c>
      <c r="O8468" s="1" t="s">
        <v>46</v>
      </c>
    </row>
    <row r="8469" spans="2:15" x14ac:dyDescent="0.3">
      <c r="B8469" s="1" t="s">
        <v>21</v>
      </c>
      <c r="C8469" s="1" t="str">
        <f>"4차"</f>
        <v>4차</v>
      </c>
      <c r="D8469" s="1" t="str">
        <f>"9628G06139"</f>
        <v>9628G06139</v>
      </c>
      <c r="E8469" s="1" t="s">
        <v>10</v>
      </c>
      <c r="F8469" s="1" t="str">
        <f>"10.128.3.100"</f>
        <v>10.128.3.100</v>
      </c>
      <c r="G8469" s="1" t="str">
        <f>"9628G061"</f>
        <v>9628G061</v>
      </c>
      <c r="H8469" s="1" t="str">
        <f>"구산간 3R3L12"</f>
        <v>구산간 3R3L12</v>
      </c>
      <c r="I8469" s="1" t="s">
        <v>8</v>
      </c>
      <c r="J8469" s="1" t="str">
        <f>"51/51"</f>
        <v>51/51</v>
      </c>
      <c r="K8469" s="1" t="str">
        <f>"2026-07-29 13:18:10"</f>
        <v>2026-07-29 13:18:10</v>
      </c>
      <c r="L8469" s="1" t="str">
        <f>"2018-01-03 13:00:10"</f>
        <v>2018-01-03 13:00:10</v>
      </c>
      <c r="M8469" s="1" t="s">
        <v>45</v>
      </c>
      <c r="N8469" s="1" t="s">
        <v>38</v>
      </c>
      <c r="O8469" s="1" t="s">
        <v>46</v>
      </c>
    </row>
    <row r="8470" spans="2:15" x14ac:dyDescent="0.3">
      <c r="B8470" s="1" t="s">
        <v>21</v>
      </c>
      <c r="C8470" s="1" t="str">
        <f>"4차"</f>
        <v>4차</v>
      </c>
      <c r="D8470" s="1" t="str">
        <f>"9628G07139"</f>
        <v>9628G07139</v>
      </c>
      <c r="E8470" s="1" t="s">
        <v>10</v>
      </c>
      <c r="F8470" s="1" t="str">
        <f>"10.128.3.99"</f>
        <v>10.128.3.99</v>
      </c>
      <c r="G8470" s="1" t="str">
        <f>"9628G071"</f>
        <v>9628G071</v>
      </c>
      <c r="H8470" s="1" t="str">
        <f>"구산간 3R3L11"</f>
        <v>구산간 3R3L11</v>
      </c>
      <c r="I8470" s="1" t="s">
        <v>8</v>
      </c>
      <c r="J8470" s="1" t="str">
        <f>"105/110"</f>
        <v>105/110</v>
      </c>
      <c r="K8470" s="1" t="str">
        <f>"2026-07-29 13:18:11"</f>
        <v>2026-07-29 13:18:11</v>
      </c>
      <c r="L8470" s="1" t="str">
        <f>"2018-01-24 16:21:58"</f>
        <v>2018-01-24 16:21:58</v>
      </c>
      <c r="M8470" s="1" t="s">
        <v>45</v>
      </c>
      <c r="N8470" s="1" t="s">
        <v>38</v>
      </c>
      <c r="O8470" s="1" t="s">
        <v>46</v>
      </c>
    </row>
    <row r="8471" spans="2:15" x14ac:dyDescent="0.3">
      <c r="B8471" s="1" t="s">
        <v>21</v>
      </c>
      <c r="C8471" s="1" t="str">
        <f>"4차"</f>
        <v>4차</v>
      </c>
      <c r="D8471" s="1" t="str">
        <f>"9628G08139"</f>
        <v>9628G08139</v>
      </c>
      <c r="E8471" s="1" t="s">
        <v>10</v>
      </c>
      <c r="F8471" s="1" t="str">
        <f>"10.128.3.98"</f>
        <v>10.128.3.98</v>
      </c>
      <c r="G8471" s="1" t="str">
        <f>"9628G081"</f>
        <v>9628G081</v>
      </c>
      <c r="H8471" s="1" t="str">
        <f>"구산간 3R3L10"</f>
        <v>구산간 3R3L10</v>
      </c>
      <c r="I8471" s="1" t="s">
        <v>8</v>
      </c>
      <c r="J8471" s="1" t="str">
        <f>"68/69"</f>
        <v>68/69</v>
      </c>
      <c r="K8471" s="1" t="str">
        <f>"2026-07-29 13:18:10"</f>
        <v>2026-07-29 13:18:10</v>
      </c>
      <c r="L8471" s="1" t="str">
        <f>"2018-01-03 14:59:56"</f>
        <v>2018-01-03 14:59:56</v>
      </c>
      <c r="M8471" s="1" t="s">
        <v>45</v>
      </c>
      <c r="N8471" s="1" t="s">
        <v>38</v>
      </c>
      <c r="O8471" s="1" t="s">
        <v>46</v>
      </c>
    </row>
    <row r="8472" spans="2:15" x14ac:dyDescent="0.3">
      <c r="B8472" s="1" t="s">
        <v>21</v>
      </c>
      <c r="C8472" s="1" t="str">
        <f>"3차"</f>
        <v>3차</v>
      </c>
      <c r="D8472" s="1" t="str">
        <f>"9628G09239"</f>
        <v>9628G09239</v>
      </c>
      <c r="E8472" s="1" t="s">
        <v>10</v>
      </c>
      <c r="F8472" s="1" t="str">
        <f>"10.128.3.81"</f>
        <v>10.128.3.81</v>
      </c>
      <c r="G8472" s="1" t="str">
        <f>"9628G092"</f>
        <v>9628G092</v>
      </c>
      <c r="H8472" s="1" t="str">
        <f>"구산간 11R1"</f>
        <v>구산간 11R1</v>
      </c>
      <c r="I8472" s="1" t="s">
        <v>8</v>
      </c>
      <c r="J8472" s="1" t="str">
        <f>"48/48"</f>
        <v>48/48</v>
      </c>
      <c r="K8472" s="1" t="str">
        <f>"2026-07-29 13:18:11"</f>
        <v>2026-07-29 13:18:11</v>
      </c>
      <c r="L8472" s="1" t="str">
        <f>"2018-01-02 17:02:27"</f>
        <v>2018-01-02 17:02:27</v>
      </c>
      <c r="M8472" s="1" t="s">
        <v>45</v>
      </c>
      <c r="N8472" s="1" t="s">
        <v>38</v>
      </c>
      <c r="O8472" s="1" t="s">
        <v>46</v>
      </c>
    </row>
    <row r="8473" spans="2:15" x14ac:dyDescent="0.3">
      <c r="B8473" s="1" t="s">
        <v>21</v>
      </c>
      <c r="C8473" s="1" t="str">
        <f>"3차"</f>
        <v>3차</v>
      </c>
      <c r="D8473" s="1" t="str">
        <f>"9628G11239"</f>
        <v>9628G11239</v>
      </c>
      <c r="E8473" s="1" t="s">
        <v>10</v>
      </c>
      <c r="F8473" s="1" t="str">
        <f>"10.128.71.17"</f>
        <v>10.128.71.17</v>
      </c>
      <c r="G8473" s="1" t="str">
        <f>"9628G112"</f>
        <v>9628G112</v>
      </c>
      <c r="H8473" s="1" t="str">
        <f>"역말간 39L5R4L4"</f>
        <v>역말간 39L5R4L4</v>
      </c>
      <c r="I8473" s="1" t="s">
        <v>8</v>
      </c>
      <c r="J8473" s="1" t="str">
        <f>"69/69"</f>
        <v>69/69</v>
      </c>
      <c r="K8473" s="1" t="str">
        <f>"2026-07-29 13:18:11"</f>
        <v>2026-07-29 13:18:11</v>
      </c>
      <c r="L8473" s="1" t="str">
        <f>"2018-02-01 19:58:00"</f>
        <v>2018-02-01 19:58:00</v>
      </c>
      <c r="M8473" s="1" t="s">
        <v>45</v>
      </c>
      <c r="N8473" s="1" t="s">
        <v>38</v>
      </c>
      <c r="O8473" s="1" t="s">
        <v>46</v>
      </c>
    </row>
    <row r="8474" spans="2:15" x14ac:dyDescent="0.3">
      <c r="B8474" s="1" t="s">
        <v>21</v>
      </c>
      <c r="C8474" s="1" t="str">
        <f>"4차"</f>
        <v>4차</v>
      </c>
      <c r="D8474" s="1" t="str">
        <f>"9628G12239"</f>
        <v>9628G12239</v>
      </c>
      <c r="E8474" s="1" t="s">
        <v>10</v>
      </c>
      <c r="F8474" s="1" t="str">
        <f>"10.128.4.57"</f>
        <v>10.128.4.57</v>
      </c>
      <c r="G8474" s="1" t="str">
        <f>"9628G122"</f>
        <v>9628G122</v>
      </c>
      <c r="H8474" s="1" t="str">
        <f>"은수간 76L1"</f>
        <v>은수간 76L1</v>
      </c>
      <c r="I8474" s="1" t="s">
        <v>8</v>
      </c>
      <c r="J8474" s="1" t="str">
        <f>"122/122"</f>
        <v>122/122</v>
      </c>
      <c r="K8474" s="1" t="str">
        <f>"2026-07-29 13:18:10"</f>
        <v>2026-07-29 13:18:10</v>
      </c>
      <c r="L8474" s="1" t="str">
        <f>"2018-02-27 18:01:02"</f>
        <v>2018-02-27 18:01:02</v>
      </c>
      <c r="M8474" s="1" t="s">
        <v>45</v>
      </c>
      <c r="N8474" s="1" t="s">
        <v>38</v>
      </c>
      <c r="O8474" s="1" t="s">
        <v>46</v>
      </c>
    </row>
    <row r="8475" spans="2:15" x14ac:dyDescent="0.3">
      <c r="B8475" s="1" t="s">
        <v>21</v>
      </c>
      <c r="C8475" s="1" t="str">
        <f>"3차"</f>
        <v>3차</v>
      </c>
      <c r="D8475" s="1" t="str">
        <f>"9628G12339"</f>
        <v>9628G12339</v>
      </c>
      <c r="E8475" s="1" t="s">
        <v>10</v>
      </c>
      <c r="F8475" s="1" t="str">
        <f>"10.128.68.66"</f>
        <v>10.128.68.66</v>
      </c>
      <c r="G8475" s="1" t="str">
        <f>"9628G123"</f>
        <v>9628G123</v>
      </c>
      <c r="H8475" s="1" t="str">
        <f>"은수간 77"</f>
        <v>은수간 77</v>
      </c>
      <c r="I8475" s="1" t="s">
        <v>8</v>
      </c>
      <c r="J8475" s="1" t="str">
        <f>"13/13"</f>
        <v>13/13</v>
      </c>
      <c r="K8475" s="1" t="str">
        <f t="shared" ref="K8475:K8480" si="419">"2026-07-29 13:18:11"</f>
        <v>2026-07-29 13:18:11</v>
      </c>
      <c r="L8475" s="1" t="str">
        <f>"2018-03-12 16:05:42"</f>
        <v>2018-03-12 16:05:42</v>
      </c>
      <c r="M8475" s="1" t="s">
        <v>45</v>
      </c>
      <c r="N8475" s="1" t="s">
        <v>38</v>
      </c>
      <c r="O8475" s="1" t="s">
        <v>46</v>
      </c>
    </row>
    <row r="8476" spans="2:15" x14ac:dyDescent="0.3">
      <c r="B8476" s="1" t="s">
        <v>21</v>
      </c>
      <c r="C8476" s="1" t="str">
        <f>"4차"</f>
        <v>4차</v>
      </c>
      <c r="D8476" s="1" t="str">
        <f>"9628G13139"</f>
        <v>9628G13139</v>
      </c>
      <c r="E8476" s="1" t="s">
        <v>10</v>
      </c>
      <c r="F8476" s="1" t="str">
        <f>"10.128.4.28"</f>
        <v>10.128.4.28</v>
      </c>
      <c r="G8476" s="1" t="str">
        <f>"9628G131"</f>
        <v>9628G131</v>
      </c>
      <c r="H8476" s="1" t="str">
        <f>"은수간 75"</f>
        <v>은수간 75</v>
      </c>
      <c r="I8476" s="1" t="s">
        <v>8</v>
      </c>
      <c r="J8476" s="1" t="str">
        <f>"32/33"</f>
        <v>32/33</v>
      </c>
      <c r="K8476" s="1" t="str">
        <f t="shared" si="419"/>
        <v>2026-07-29 13:18:11</v>
      </c>
      <c r="L8476" s="1" t="str">
        <f>"2018-02-24 14:04:56"</f>
        <v>2018-02-24 14:04:56</v>
      </c>
      <c r="M8476" s="1" t="s">
        <v>45</v>
      </c>
      <c r="N8476" s="1" t="s">
        <v>38</v>
      </c>
      <c r="O8476" s="1" t="s">
        <v>46</v>
      </c>
    </row>
    <row r="8477" spans="2:15" x14ac:dyDescent="0.3">
      <c r="B8477" s="1" t="s">
        <v>21</v>
      </c>
      <c r="C8477" s="1" t="str">
        <f>"4차"</f>
        <v>4차</v>
      </c>
      <c r="D8477" s="1" t="str">
        <f>"9628G14139"</f>
        <v>9628G14139</v>
      </c>
      <c r="E8477" s="1" t="s">
        <v>10</v>
      </c>
      <c r="F8477" s="1" t="str">
        <f>"10.128.4.104"</f>
        <v>10.128.4.104</v>
      </c>
      <c r="G8477" s="1" t="str">
        <f>"9628G141"</f>
        <v>9628G141</v>
      </c>
      <c r="H8477" s="1" t="str">
        <f>"은수간 74"</f>
        <v>은수간 74</v>
      </c>
      <c r="I8477" s="1" t="s">
        <v>8</v>
      </c>
      <c r="J8477" s="1" t="str">
        <f>"22/25"</f>
        <v>22/25</v>
      </c>
      <c r="K8477" s="1" t="str">
        <f t="shared" si="419"/>
        <v>2026-07-29 13:18:11</v>
      </c>
      <c r="L8477" s="1" t="str">
        <f>"2018-03-12 14:30:58"</f>
        <v>2018-03-12 14:30:58</v>
      </c>
      <c r="M8477" s="1" t="s">
        <v>45</v>
      </c>
      <c r="N8477" s="1" t="s">
        <v>38</v>
      </c>
      <c r="O8477" s="1" t="s">
        <v>46</v>
      </c>
    </row>
    <row r="8478" spans="2:15" x14ac:dyDescent="0.3">
      <c r="B8478" s="1" t="s">
        <v>21</v>
      </c>
      <c r="C8478" s="1" t="str">
        <f>"3차"</f>
        <v>3차</v>
      </c>
      <c r="D8478" s="1" t="str">
        <f>"9628G14239"</f>
        <v>9628G14239</v>
      </c>
      <c r="E8478" s="1" t="s">
        <v>10</v>
      </c>
      <c r="F8478" s="1" t="str">
        <f>"10.128.3.77"</f>
        <v>10.128.3.77</v>
      </c>
      <c r="G8478" s="1" t="str">
        <f>"9628G142"</f>
        <v>9628G142</v>
      </c>
      <c r="H8478" s="1" t="str">
        <f>"구산간 19"</f>
        <v>구산간 19</v>
      </c>
      <c r="I8478" s="1" t="s">
        <v>8</v>
      </c>
      <c r="J8478" s="1" t="str">
        <f>"17/31"</f>
        <v>17/31</v>
      </c>
      <c r="K8478" s="1" t="str">
        <f t="shared" si="419"/>
        <v>2026-07-29 13:18:11</v>
      </c>
      <c r="L8478" s="1" t="str">
        <f>"2018-01-03 11:35:28"</f>
        <v>2018-01-03 11:35:28</v>
      </c>
      <c r="M8478" s="1" t="s">
        <v>45</v>
      </c>
      <c r="N8478" s="1" t="s">
        <v>38</v>
      </c>
      <c r="O8478" s="1" t="s">
        <v>46</v>
      </c>
    </row>
    <row r="8479" spans="2:15" x14ac:dyDescent="0.3">
      <c r="B8479" s="1" t="s">
        <v>21</v>
      </c>
      <c r="C8479" s="1" t="str">
        <f>"3차"</f>
        <v>3차</v>
      </c>
      <c r="D8479" s="1" t="str">
        <f>"9628G14339"</f>
        <v>9628G14339</v>
      </c>
      <c r="E8479" s="1" t="s">
        <v>10</v>
      </c>
      <c r="F8479" s="1" t="str">
        <f>"10.128.3.76"</f>
        <v>10.128.3.76</v>
      </c>
      <c r="G8479" s="1" t="str">
        <f>"9628G143"</f>
        <v>9628G143</v>
      </c>
      <c r="H8479" s="1" t="str">
        <f>"구산간 17"</f>
        <v>구산간 17</v>
      </c>
      <c r="I8479" s="1" t="s">
        <v>8</v>
      </c>
      <c r="J8479" s="1" t="str">
        <f>"9/11"</f>
        <v>9/11</v>
      </c>
      <c r="K8479" s="1" t="str">
        <f t="shared" si="419"/>
        <v>2026-07-29 13:18:11</v>
      </c>
      <c r="L8479" s="1" t="str">
        <f>"2018-01-03 11:35:28"</f>
        <v>2018-01-03 11:35:28</v>
      </c>
      <c r="M8479" s="1" t="s">
        <v>45</v>
      </c>
      <c r="N8479" s="1" t="s">
        <v>38</v>
      </c>
      <c r="O8479" s="1" t="s">
        <v>46</v>
      </c>
    </row>
    <row r="8480" spans="2:15" x14ac:dyDescent="0.3">
      <c r="B8480" s="1" t="s">
        <v>21</v>
      </c>
      <c r="C8480" s="1" t="str">
        <f>"3차"</f>
        <v>3차</v>
      </c>
      <c r="D8480" s="1" t="str">
        <f>"9628G15139"</f>
        <v>9628G15139</v>
      </c>
      <c r="E8480" s="1" t="s">
        <v>10</v>
      </c>
      <c r="F8480" s="1" t="str">
        <f>"10.128.4.26"</f>
        <v>10.128.4.26</v>
      </c>
      <c r="G8480" s="1" t="str">
        <f>"9628G151"</f>
        <v>9628G151</v>
      </c>
      <c r="H8480" s="1" t="str">
        <f>"은수간 73"</f>
        <v>은수간 73</v>
      </c>
      <c r="I8480" s="1" t="s">
        <v>8</v>
      </c>
      <c r="J8480" s="1" t="str">
        <f>"12/12"</f>
        <v>12/12</v>
      </c>
      <c r="K8480" s="1" t="str">
        <f t="shared" si="419"/>
        <v>2026-07-29 13:18:11</v>
      </c>
      <c r="L8480" s="1" t="str">
        <f>"2018-04-06 10:29:11"</f>
        <v>2018-04-06 10:29:11</v>
      </c>
      <c r="M8480" s="1" t="s">
        <v>45</v>
      </c>
      <c r="N8480" s="1" t="s">
        <v>38</v>
      </c>
      <c r="O8480" s="1" t="s">
        <v>46</v>
      </c>
    </row>
    <row r="8481" spans="2:15" x14ac:dyDescent="0.3">
      <c r="B8481" s="1" t="s">
        <v>21</v>
      </c>
      <c r="C8481" s="1" t="str">
        <f>"4차"</f>
        <v>4차</v>
      </c>
      <c r="D8481" s="1" t="str">
        <f>"9628G16139"</f>
        <v>9628G16139</v>
      </c>
      <c r="E8481" s="1" t="s">
        <v>10</v>
      </c>
      <c r="F8481" s="1" t="str">
        <f>"10.128.4.101"</f>
        <v>10.128.4.101</v>
      </c>
      <c r="G8481" s="1" t="str">
        <f>"9628G161"</f>
        <v>9628G161</v>
      </c>
      <c r="H8481" s="1" t="str">
        <f>"은수간 72"</f>
        <v>은수간 72</v>
      </c>
      <c r="I8481" s="1" t="s">
        <v>8</v>
      </c>
      <c r="J8481" s="1" t="str">
        <f>"23/23"</f>
        <v>23/23</v>
      </c>
      <c r="K8481" s="1" t="str">
        <f>"2026-07-29 13:18:10"</f>
        <v>2026-07-29 13:18:10</v>
      </c>
      <c r="L8481" s="1" t="str">
        <f>"2018-03-09 14:18:41"</f>
        <v>2018-03-09 14:18:41</v>
      </c>
      <c r="M8481" s="1" t="s">
        <v>45</v>
      </c>
      <c r="N8481" s="1" t="s">
        <v>38</v>
      </c>
      <c r="O8481" s="1" t="s">
        <v>46</v>
      </c>
    </row>
    <row r="8482" spans="2:15" x14ac:dyDescent="0.3">
      <c r="B8482" s="1" t="s">
        <v>21</v>
      </c>
      <c r="C8482" s="1" t="str">
        <f>"4차"</f>
        <v>4차</v>
      </c>
      <c r="D8482" s="1" t="str">
        <f>"9628G16239"</f>
        <v>9628G16239</v>
      </c>
      <c r="E8482" s="1" t="s">
        <v>10</v>
      </c>
      <c r="F8482" s="1" t="str">
        <f>"10.128.3.74"</f>
        <v>10.128.3.74</v>
      </c>
      <c r="G8482" s="1" t="str">
        <f>"9628G162"</f>
        <v>9628G162</v>
      </c>
      <c r="H8482" s="1" t="str">
        <f>"구산간 15"</f>
        <v>구산간 15</v>
      </c>
      <c r="I8482" s="1" t="s">
        <v>8</v>
      </c>
      <c r="J8482" s="1" t="str">
        <f>"48/48"</f>
        <v>48/48</v>
      </c>
      <c r="K8482" s="1" t="str">
        <f>"2026-07-29 13:18:11"</f>
        <v>2026-07-29 13:18:11</v>
      </c>
      <c r="L8482" s="1" t="str">
        <f>"2018-01-03 11:18:12"</f>
        <v>2018-01-03 11:18:12</v>
      </c>
      <c r="M8482" s="1" t="s">
        <v>45</v>
      </c>
      <c r="N8482" s="1" t="s">
        <v>38</v>
      </c>
      <c r="O8482" s="1" t="s">
        <v>46</v>
      </c>
    </row>
    <row r="8483" spans="2:15" x14ac:dyDescent="0.3">
      <c r="B8483" s="1" t="s">
        <v>21</v>
      </c>
      <c r="C8483" s="1" t="str">
        <f>"4차"</f>
        <v>4차</v>
      </c>
      <c r="D8483" s="1" t="str">
        <f>"9628G17139"</f>
        <v>9628G17139</v>
      </c>
      <c r="E8483" s="1" t="s">
        <v>10</v>
      </c>
      <c r="F8483" s="1" t="str">
        <f>"10.128.4.25"</f>
        <v>10.128.4.25</v>
      </c>
      <c r="G8483" s="1" t="str">
        <f>"9628G171"</f>
        <v>9628G171</v>
      </c>
      <c r="H8483" s="1" t="str">
        <f>"은수간 71"</f>
        <v>은수간 71</v>
      </c>
      <c r="I8483" s="1" t="s">
        <v>8</v>
      </c>
      <c r="J8483" s="1" t="str">
        <f>"16/16"</f>
        <v>16/16</v>
      </c>
      <c r="K8483" s="1" t="str">
        <f>"2026-07-29 13:18:11"</f>
        <v>2026-07-29 13:18:11</v>
      </c>
      <c r="L8483" s="1" t="str">
        <f>"2018-02-24 14:09:42"</f>
        <v>2018-02-24 14:09:42</v>
      </c>
      <c r="M8483" s="1" t="s">
        <v>45</v>
      </c>
      <c r="N8483" s="1" t="s">
        <v>38</v>
      </c>
      <c r="O8483" s="1" t="s">
        <v>46</v>
      </c>
    </row>
    <row r="8484" spans="2:15" x14ac:dyDescent="0.3">
      <c r="B8484" s="1" t="s">
        <v>21</v>
      </c>
      <c r="C8484" s="1" t="str">
        <f t="shared" ref="C8484:C8494" si="420">"3차"</f>
        <v>3차</v>
      </c>
      <c r="D8484" s="1" t="str">
        <f>"9628G17239"</f>
        <v>9628G17239</v>
      </c>
      <c r="E8484" s="1" t="s">
        <v>10</v>
      </c>
      <c r="F8484" s="1" t="str">
        <f>"10.128.3.73"</f>
        <v>10.128.3.73</v>
      </c>
      <c r="G8484" s="1" t="str">
        <f>"9628G172"</f>
        <v>9628G172</v>
      </c>
      <c r="H8484" s="1" t="str">
        <f>"구산간 14"</f>
        <v>구산간 14</v>
      </c>
      <c r="I8484" s="1" t="s">
        <v>8</v>
      </c>
      <c r="J8484" s="1" t="str">
        <f>"24/24"</f>
        <v>24/24</v>
      </c>
      <c r="K8484" s="1" t="str">
        <f>"2026-07-29 13:18:10"</f>
        <v>2026-07-29 13:18:10</v>
      </c>
      <c r="L8484" s="1" t="str">
        <f>"2018-01-02 18:58:43"</f>
        <v>2018-01-02 18:58:43</v>
      </c>
      <c r="M8484" s="1" t="s">
        <v>45</v>
      </c>
      <c r="N8484" s="1" t="s">
        <v>38</v>
      </c>
      <c r="O8484" s="1" t="s">
        <v>46</v>
      </c>
    </row>
    <row r="8485" spans="2:15" x14ac:dyDescent="0.3">
      <c r="B8485" s="1" t="s">
        <v>21</v>
      </c>
      <c r="C8485" s="1" t="str">
        <f t="shared" si="420"/>
        <v>3차</v>
      </c>
      <c r="D8485" s="1" t="str">
        <f>"9628G18139"</f>
        <v>9628G18139</v>
      </c>
      <c r="E8485" s="1" t="s">
        <v>10</v>
      </c>
      <c r="F8485" s="1" t="str">
        <f>"10.128.4.100"</f>
        <v>10.128.4.100</v>
      </c>
      <c r="G8485" s="1" t="str">
        <f>"9628G181"</f>
        <v>9628G181</v>
      </c>
      <c r="H8485" s="1" t="str">
        <f>"은수간 69"</f>
        <v>은수간 69</v>
      </c>
      <c r="I8485" s="1" t="s">
        <v>8</v>
      </c>
      <c r="J8485" s="1" t="str">
        <f>"49/49"</f>
        <v>49/49</v>
      </c>
      <c r="K8485" s="1" t="str">
        <f>"2026-07-29 13:18:11"</f>
        <v>2026-07-29 13:18:11</v>
      </c>
      <c r="L8485" s="1" t="str">
        <f>"2018-03-09 13:41:42"</f>
        <v>2018-03-09 13:41:42</v>
      </c>
      <c r="M8485" s="1" t="s">
        <v>45</v>
      </c>
      <c r="N8485" s="1" t="s">
        <v>38</v>
      </c>
      <c r="O8485" s="1" t="s">
        <v>46</v>
      </c>
    </row>
    <row r="8486" spans="2:15" x14ac:dyDescent="0.3">
      <c r="B8486" s="1" t="s">
        <v>21</v>
      </c>
      <c r="C8486" s="1" t="str">
        <f t="shared" si="420"/>
        <v>3차</v>
      </c>
      <c r="D8486" s="1" t="str">
        <f>"9628G18339"</f>
        <v>9628G18339</v>
      </c>
      <c r="E8486" s="1" t="s">
        <v>10</v>
      </c>
      <c r="F8486" s="1" t="str">
        <f>"10.128.3.72"</f>
        <v>10.128.3.72</v>
      </c>
      <c r="G8486" s="1" t="str">
        <f>"9628G183"</f>
        <v>9628G183</v>
      </c>
      <c r="H8486" s="1" t="str">
        <f>"구산간 12"</f>
        <v>구산간 12</v>
      </c>
      <c r="I8486" s="1" t="s">
        <v>8</v>
      </c>
      <c r="J8486" s="1" t="str">
        <f>"17/17"</f>
        <v>17/17</v>
      </c>
      <c r="K8486" s="1" t="str">
        <f>"2026-07-29 13:18:11"</f>
        <v>2026-07-29 13:18:11</v>
      </c>
      <c r="L8486" s="1" t="str">
        <f>"2018-01-02 17:24:27"</f>
        <v>2018-01-02 17:24:27</v>
      </c>
      <c r="M8486" s="1" t="s">
        <v>45</v>
      </c>
      <c r="N8486" s="1" t="s">
        <v>38</v>
      </c>
      <c r="O8486" s="1" t="s">
        <v>46</v>
      </c>
    </row>
    <row r="8487" spans="2:15" x14ac:dyDescent="0.3">
      <c r="B8487" s="1" t="s">
        <v>21</v>
      </c>
      <c r="C8487" s="1" t="str">
        <f t="shared" si="420"/>
        <v>3차</v>
      </c>
      <c r="D8487" s="1" t="str">
        <f>"9628G19239"</f>
        <v>9628G19239</v>
      </c>
      <c r="E8487" s="1" t="s">
        <v>10</v>
      </c>
      <c r="F8487" s="1" t="str">
        <f>"10.14.10.60"</f>
        <v>10.14.10.60</v>
      </c>
      <c r="G8487" s="1" t="str">
        <f>"9628G192"</f>
        <v>9628G192</v>
      </c>
      <c r="H8487" s="1" t="str">
        <f>"은수간 66"</f>
        <v>은수간 66</v>
      </c>
      <c r="I8487" s="1" t="s">
        <v>8</v>
      </c>
      <c r="J8487" s="1" t="str">
        <f>"16/16"</f>
        <v>16/16</v>
      </c>
      <c r="K8487" s="1" t="str">
        <f>"2026-07-29 13:18:12"</f>
        <v>2026-07-29 13:18:12</v>
      </c>
      <c r="L8487" s="1" t="str">
        <f>"2018-03-29 14:07:44"</f>
        <v>2018-03-29 14:07:44</v>
      </c>
      <c r="M8487" s="1" t="s">
        <v>3</v>
      </c>
      <c r="N8487" s="1" t="s">
        <v>38</v>
      </c>
      <c r="O8487" s="1" t="s">
        <v>46</v>
      </c>
    </row>
    <row r="8488" spans="2:15" x14ac:dyDescent="0.3">
      <c r="B8488" s="1" t="s">
        <v>21</v>
      </c>
      <c r="C8488" s="1" t="str">
        <f t="shared" si="420"/>
        <v>3차</v>
      </c>
      <c r="D8488" s="1" t="str">
        <f>"9628G19439"</f>
        <v>9628G19439</v>
      </c>
      <c r="E8488" s="1" t="s">
        <v>10</v>
      </c>
      <c r="F8488" s="1" t="str">
        <f>"10.128.73.164"</f>
        <v>10.128.73.164</v>
      </c>
      <c r="G8488" s="1" t="str">
        <f>"9628G194"</f>
        <v>9628G194</v>
      </c>
      <c r="H8488" s="1" t="str">
        <f>"은수간 68"</f>
        <v>은수간 68</v>
      </c>
      <c r="I8488" s="1" t="s">
        <v>8</v>
      </c>
      <c r="J8488" s="1" t="str">
        <f>"4/4"</f>
        <v>4/4</v>
      </c>
      <c r="K8488" s="1" t="str">
        <f>"2026-07-29 13:18:11"</f>
        <v>2026-07-29 13:18:11</v>
      </c>
      <c r="L8488" s="1" t="str">
        <f>"2018-02-24 14:35:11"</f>
        <v>2018-02-24 14:35:11</v>
      </c>
      <c r="M8488" s="1" t="s">
        <v>45</v>
      </c>
      <c r="N8488" s="1" t="s">
        <v>38</v>
      </c>
      <c r="O8488" s="1" t="s">
        <v>46</v>
      </c>
    </row>
    <row r="8489" spans="2:15" x14ac:dyDescent="0.3">
      <c r="B8489" s="1" t="s">
        <v>21</v>
      </c>
      <c r="C8489" s="1" t="str">
        <f t="shared" si="420"/>
        <v>3차</v>
      </c>
      <c r="D8489" s="1" t="str">
        <f>"9628G19539"</f>
        <v>9628G19539</v>
      </c>
      <c r="E8489" s="1" t="s">
        <v>10</v>
      </c>
      <c r="F8489" s="1" t="str">
        <f>"10.128.3.80"</f>
        <v>10.128.3.80</v>
      </c>
      <c r="G8489" s="1" t="str">
        <f>"9628G195"</f>
        <v>9628G195</v>
      </c>
      <c r="H8489" s="1" t="str">
        <f>"구산간 11H1"</f>
        <v>구산간 11H1</v>
      </c>
      <c r="I8489" s="1" t="s">
        <v>8</v>
      </c>
      <c r="J8489" s="1" t="str">
        <f>"11/11"</f>
        <v>11/11</v>
      </c>
      <c r="K8489" s="1" t="str">
        <f>"2026-07-29 13:18:11"</f>
        <v>2026-07-29 13:18:11</v>
      </c>
      <c r="L8489" s="1" t="str">
        <f>"2018-01-02 16:33:12"</f>
        <v>2018-01-02 16:33:12</v>
      </c>
      <c r="M8489" s="1" t="s">
        <v>45</v>
      </c>
      <c r="N8489" s="1" t="s">
        <v>38</v>
      </c>
      <c r="O8489" s="1" t="s">
        <v>46</v>
      </c>
    </row>
    <row r="8490" spans="2:15" x14ac:dyDescent="0.3">
      <c r="B8490" s="1" t="s">
        <v>21</v>
      </c>
      <c r="C8490" s="1" t="str">
        <f t="shared" si="420"/>
        <v>3차</v>
      </c>
      <c r="D8490" s="1" t="str">
        <f>"9628G25139"</f>
        <v>9628G25139</v>
      </c>
      <c r="E8490" s="1" t="s">
        <v>10</v>
      </c>
      <c r="F8490" s="1" t="str">
        <f>"10.128.4.27"</f>
        <v>10.128.4.27</v>
      </c>
      <c r="G8490" s="1" t="str">
        <f>"9628G251"</f>
        <v>9628G251</v>
      </c>
      <c r="H8490" s="1" t="str">
        <f>"은수간 73L2"</f>
        <v>은수간 73L2</v>
      </c>
      <c r="I8490" s="1" t="s">
        <v>8</v>
      </c>
      <c r="J8490" s="1" t="str">
        <f>"42/42"</f>
        <v>42/42</v>
      </c>
      <c r="K8490" s="1" t="str">
        <f>"2026-07-29 13:18:10"</f>
        <v>2026-07-29 13:18:10</v>
      </c>
      <c r="L8490" s="1" t="str">
        <f>"2018-02-24 15:19:45"</f>
        <v>2018-02-24 15:19:45</v>
      </c>
      <c r="M8490" s="1" t="s">
        <v>45</v>
      </c>
      <c r="N8490" s="1" t="s">
        <v>38</v>
      </c>
      <c r="O8490" s="1" t="s">
        <v>46</v>
      </c>
    </row>
    <row r="8491" spans="2:15" x14ac:dyDescent="0.3">
      <c r="B8491" s="1" t="s">
        <v>21</v>
      </c>
      <c r="C8491" s="1" t="str">
        <f t="shared" si="420"/>
        <v>3차</v>
      </c>
      <c r="D8491" s="1" t="str">
        <f>"9628G25239"</f>
        <v>9628G25239</v>
      </c>
      <c r="E8491" s="1" t="s">
        <v>10</v>
      </c>
      <c r="F8491" s="1" t="str">
        <f>"10.128.69.3"</f>
        <v>10.128.69.3</v>
      </c>
      <c r="G8491" s="1" t="str">
        <f>"9628G252"</f>
        <v>9628G252</v>
      </c>
      <c r="H8491" s="1" t="str">
        <f>"은수간 72L2"</f>
        <v>은수간 72L2</v>
      </c>
      <c r="I8491" s="1" t="s">
        <v>8</v>
      </c>
      <c r="J8491" s="1" t="str">
        <f>"51/51"</f>
        <v>51/51</v>
      </c>
      <c r="K8491" s="1" t="str">
        <f>"2026-07-29 13:18:11"</f>
        <v>2026-07-29 13:18:11</v>
      </c>
      <c r="L8491" s="1" t="str">
        <f>"2018-02-28 10:09:54"</f>
        <v>2018-02-28 10:09:54</v>
      </c>
      <c r="M8491" s="1" t="s">
        <v>45</v>
      </c>
      <c r="N8491" s="1" t="s">
        <v>38</v>
      </c>
      <c r="O8491" s="1" t="s">
        <v>46</v>
      </c>
    </row>
    <row r="8492" spans="2:15" x14ac:dyDescent="0.3">
      <c r="B8492" s="1" t="s">
        <v>21</v>
      </c>
      <c r="C8492" s="1" t="str">
        <f t="shared" si="420"/>
        <v>3차</v>
      </c>
      <c r="D8492" s="1" t="str">
        <f>"9628G26439"</f>
        <v>9628G26439</v>
      </c>
      <c r="E8492" s="1" t="s">
        <v>10</v>
      </c>
      <c r="F8492" s="1" t="str">
        <f>"10.128.4.50"</f>
        <v>10.128.4.50</v>
      </c>
      <c r="G8492" s="1" t="str">
        <f>"9628G264"</f>
        <v>9628G264</v>
      </c>
      <c r="H8492" s="1" t="str">
        <f>"은수간 72L4"</f>
        <v>은수간 72L4</v>
      </c>
      <c r="I8492" s="1" t="s">
        <v>8</v>
      </c>
      <c r="J8492" s="1" t="str">
        <f>"19/22"</f>
        <v>19/22</v>
      </c>
      <c r="K8492" s="1" t="str">
        <f>"2026-07-29 13:18:11"</f>
        <v>2026-07-29 13:18:11</v>
      </c>
      <c r="L8492" s="1" t="str">
        <f>"2018-02-27 15:41:13"</f>
        <v>2018-02-27 15:41:13</v>
      </c>
      <c r="M8492" s="1" t="s">
        <v>45</v>
      </c>
      <c r="N8492" s="1" t="s">
        <v>38</v>
      </c>
      <c r="O8492" s="1" t="s">
        <v>46</v>
      </c>
    </row>
    <row r="8493" spans="2:15" x14ac:dyDescent="0.3">
      <c r="B8493" s="1" t="s">
        <v>21</v>
      </c>
      <c r="C8493" s="1" t="str">
        <f t="shared" si="420"/>
        <v>3차</v>
      </c>
      <c r="D8493" s="1" t="str">
        <f>"9628G29139"</f>
        <v>9628G29139</v>
      </c>
      <c r="E8493" s="1" t="s">
        <v>10</v>
      </c>
      <c r="F8493" s="1" t="str">
        <f>"10.128.4.102"</f>
        <v>10.128.4.102</v>
      </c>
      <c r="G8493" s="1" t="str">
        <f>"9628G291"</f>
        <v>9628G291</v>
      </c>
      <c r="H8493" s="1" t="str">
        <f>"은수간 68L1"</f>
        <v>은수간 68L1</v>
      </c>
      <c r="I8493" s="1" t="s">
        <v>8</v>
      </c>
      <c r="J8493" s="1" t="str">
        <f>"34/34"</f>
        <v>34/34</v>
      </c>
      <c r="K8493" s="1" t="str">
        <f>"2026-07-29 13:18:10"</f>
        <v>2026-07-29 13:18:10</v>
      </c>
      <c r="L8493" s="1" t="str">
        <f>"2018-03-09 13:56:40"</f>
        <v>2018-03-09 13:56:40</v>
      </c>
      <c r="M8493" s="1" t="s">
        <v>45</v>
      </c>
      <c r="N8493" s="1" t="s">
        <v>38</v>
      </c>
      <c r="O8493" s="1" t="s">
        <v>46</v>
      </c>
    </row>
    <row r="8494" spans="2:15" x14ac:dyDescent="0.3">
      <c r="B8494" s="1" t="s">
        <v>21</v>
      </c>
      <c r="C8494" s="1" t="str">
        <f t="shared" si="420"/>
        <v>3차</v>
      </c>
      <c r="D8494" s="1" t="str">
        <f>"9628G30139"</f>
        <v>9628G30139</v>
      </c>
      <c r="E8494" s="1" t="s">
        <v>10</v>
      </c>
      <c r="F8494" s="1" t="str">
        <f>"10.128.3.220"</f>
        <v>10.128.3.220</v>
      </c>
      <c r="G8494" s="1" t="str">
        <f>"9628G301"</f>
        <v>9628G301</v>
      </c>
      <c r="H8494" s="1" t="str">
        <f>"역말간 39L5R2L2"</f>
        <v>역말간 39L5R2L2</v>
      </c>
      <c r="I8494" s="1" t="s">
        <v>8</v>
      </c>
      <c r="J8494" s="1" t="str">
        <f>"80/80"</f>
        <v>80/80</v>
      </c>
      <c r="K8494" s="1" t="str">
        <f>"2026-07-29 13:18:11"</f>
        <v>2026-07-29 13:18:11</v>
      </c>
      <c r="L8494" s="1" t="str">
        <f>"2018-02-01 16:54:59"</f>
        <v>2018-02-01 16:54:59</v>
      </c>
      <c r="M8494" s="1" t="s">
        <v>45</v>
      </c>
      <c r="N8494" s="1" t="s">
        <v>38</v>
      </c>
      <c r="O8494" s="1" t="s">
        <v>46</v>
      </c>
    </row>
    <row r="8495" spans="2:15" x14ac:dyDescent="0.3">
      <c r="B8495" s="1" t="s">
        <v>21</v>
      </c>
      <c r="C8495" s="1" t="str">
        <f>"4차"</f>
        <v>4차</v>
      </c>
      <c r="D8495" s="1" t="str">
        <f>"9628G31339"</f>
        <v>9628G31339</v>
      </c>
      <c r="E8495" s="1" t="s">
        <v>10</v>
      </c>
      <c r="F8495" s="1" t="str">
        <f>"10.128.71.15"</f>
        <v>10.128.71.15</v>
      </c>
      <c r="G8495" s="1" t="str">
        <f>"9628G313"</f>
        <v>9628G313</v>
      </c>
      <c r="H8495" s="1" t="str">
        <f>"역말간 39L5R4L1"</f>
        <v>역말간 39L5R4L1</v>
      </c>
      <c r="I8495" s="1" t="s">
        <v>8</v>
      </c>
      <c r="J8495" s="1" t="str">
        <f>"22/22"</f>
        <v>22/22</v>
      </c>
      <c r="K8495" s="1" t="str">
        <f>"2026-07-29 13:18:11"</f>
        <v>2026-07-29 13:18:11</v>
      </c>
      <c r="L8495" s="1" t="str">
        <f>"2018-02-01 16:34:59"</f>
        <v>2018-02-01 16:34:59</v>
      </c>
      <c r="M8495" s="1" t="s">
        <v>45</v>
      </c>
      <c r="N8495" s="1" t="s">
        <v>38</v>
      </c>
      <c r="O8495" s="1" t="s">
        <v>46</v>
      </c>
    </row>
    <row r="8496" spans="2:15" x14ac:dyDescent="0.3">
      <c r="B8496" s="1" t="s">
        <v>21</v>
      </c>
      <c r="C8496" s="1" t="str">
        <f>"3차"</f>
        <v>3차</v>
      </c>
      <c r="D8496" s="1" t="str">
        <f>"9628G32139"</f>
        <v>9628G32139</v>
      </c>
      <c r="E8496" s="1" t="s">
        <v>10</v>
      </c>
      <c r="F8496" s="1" t="str">
        <f>"10.128.4.58"</f>
        <v>10.128.4.58</v>
      </c>
      <c r="G8496" s="1" t="str">
        <f>"9628G321"</f>
        <v>9628G321</v>
      </c>
      <c r="H8496" s="1" t="str">
        <f>"은수간 76L2"</f>
        <v>은수간 76L2</v>
      </c>
      <c r="I8496" s="1" t="s">
        <v>8</v>
      </c>
      <c r="J8496" s="1" t="str">
        <f>"33/36"</f>
        <v>33/36</v>
      </c>
      <c r="K8496" s="1" t="str">
        <f>"2026-07-29 13:18:11"</f>
        <v>2026-07-29 13:18:11</v>
      </c>
      <c r="L8496" s="1" t="str">
        <f>"2018-03-07 12:33:14"</f>
        <v>2018-03-07 12:33:14</v>
      </c>
      <c r="M8496" s="1" t="s">
        <v>45</v>
      </c>
      <c r="N8496" s="1" t="s">
        <v>38</v>
      </c>
      <c r="O8496" s="1" t="s">
        <v>46</v>
      </c>
    </row>
    <row r="8497" spans="2:15" x14ac:dyDescent="0.3">
      <c r="B8497" s="1" t="s">
        <v>21</v>
      </c>
      <c r="C8497" s="1" t="str">
        <f>"4차"</f>
        <v>4차</v>
      </c>
      <c r="D8497" s="1" t="str">
        <f>"9628G32239"</f>
        <v>9628G32239</v>
      </c>
      <c r="E8497" s="1" t="s">
        <v>10</v>
      </c>
      <c r="F8497" s="1" t="str">
        <f>"10.128.4.59"</f>
        <v>10.128.4.59</v>
      </c>
      <c r="G8497" s="1" t="str">
        <f>"9628G322"</f>
        <v>9628G322</v>
      </c>
      <c r="H8497" s="1" t="str">
        <f>"은수간 76L3"</f>
        <v>은수간 76L3</v>
      </c>
      <c r="I8497" s="1" t="s">
        <v>8</v>
      </c>
      <c r="J8497" s="1" t="str">
        <f>"50/56"</f>
        <v>50/56</v>
      </c>
      <c r="K8497" s="1" t="str">
        <f>"2026-07-29 13:18:12"</f>
        <v>2026-07-29 13:18:12</v>
      </c>
      <c r="L8497" s="1" t="str">
        <f>"2018-02-26 17:57:05"</f>
        <v>2018-02-26 17:57:05</v>
      </c>
      <c r="M8497" s="1" t="s">
        <v>45</v>
      </c>
      <c r="N8497" s="1" t="s">
        <v>38</v>
      </c>
      <c r="O8497" s="1" t="s">
        <v>46</v>
      </c>
    </row>
    <row r="8498" spans="2:15" x14ac:dyDescent="0.3">
      <c r="B8498" s="1" t="s">
        <v>21</v>
      </c>
      <c r="C8498" s="1" t="str">
        <f>"4차"</f>
        <v>4차</v>
      </c>
      <c r="D8498" s="1" t="str">
        <f>"9628G33139"</f>
        <v>9628G33139</v>
      </c>
      <c r="E8498" s="1" t="s">
        <v>10</v>
      </c>
      <c r="F8498" s="1" t="str">
        <f>"10.128.4.54"</f>
        <v>10.128.4.54</v>
      </c>
      <c r="G8498" s="1" t="str">
        <f>"9628G331"</f>
        <v>9628G331</v>
      </c>
      <c r="H8498" s="1" t="str">
        <f>"은수간 74L1"</f>
        <v>은수간 74L1</v>
      </c>
      <c r="I8498" s="1" t="s">
        <v>8</v>
      </c>
      <c r="J8498" s="1" t="str">
        <f>"119/119"</f>
        <v>119/119</v>
      </c>
      <c r="K8498" s="1" t="str">
        <f>"2026-07-29 13:18:10"</f>
        <v>2026-07-29 13:18:10</v>
      </c>
      <c r="L8498" s="1" t="str">
        <f>"2018-02-26 17:25:20"</f>
        <v>2018-02-26 17:25:20</v>
      </c>
      <c r="M8498" s="1" t="s">
        <v>45</v>
      </c>
      <c r="N8498" s="1" t="s">
        <v>38</v>
      </c>
      <c r="O8498" s="1" t="s">
        <v>46</v>
      </c>
    </row>
    <row r="8499" spans="2:15" x14ac:dyDescent="0.3">
      <c r="B8499" s="1" t="s">
        <v>21</v>
      </c>
      <c r="C8499" s="1" t="str">
        <f>"3차"</f>
        <v>3차</v>
      </c>
      <c r="D8499" s="1" t="str">
        <f>"9628G34139"</f>
        <v>9628G34139</v>
      </c>
      <c r="E8499" s="1" t="s">
        <v>10</v>
      </c>
      <c r="F8499" s="1" t="str">
        <f>"10.128.4.55"</f>
        <v>10.128.4.55</v>
      </c>
      <c r="G8499" s="1" t="str">
        <f>"9628G341"</f>
        <v>9628G341</v>
      </c>
      <c r="H8499" s="1" t="str">
        <f>"은수간 74L2"</f>
        <v>은수간 74L2</v>
      </c>
      <c r="I8499" s="1" t="s">
        <v>8</v>
      </c>
      <c r="J8499" s="1" t="str">
        <f>"43/43"</f>
        <v>43/43</v>
      </c>
      <c r="K8499" s="1" t="str">
        <f>"2026-07-29 13:18:10"</f>
        <v>2026-07-29 13:18:10</v>
      </c>
      <c r="L8499" s="1" t="str">
        <f>"2018-02-26 17:11:28"</f>
        <v>2018-02-26 17:11:28</v>
      </c>
      <c r="M8499" s="1" t="s">
        <v>45</v>
      </c>
      <c r="N8499" s="1" t="s">
        <v>38</v>
      </c>
      <c r="O8499" s="1" t="s">
        <v>46</v>
      </c>
    </row>
    <row r="8500" spans="2:15" x14ac:dyDescent="0.3">
      <c r="B8500" s="1" t="s">
        <v>21</v>
      </c>
      <c r="C8500" s="1" t="str">
        <f>"3차"</f>
        <v>3차</v>
      </c>
      <c r="D8500" s="1" t="str">
        <f>"9628G35139"</f>
        <v>9628G35139</v>
      </c>
      <c r="E8500" s="1" t="s">
        <v>10</v>
      </c>
      <c r="F8500" s="1" t="str">
        <f>"10.128.4.51"</f>
        <v>10.128.4.51</v>
      </c>
      <c r="G8500" s="1" t="str">
        <f>"9628G351"</f>
        <v>9628G351</v>
      </c>
      <c r="H8500" s="1" t="str">
        <f>"은수간 72L2R1"</f>
        <v>은수간 72L2R1</v>
      </c>
      <c r="I8500" s="1" t="s">
        <v>8</v>
      </c>
      <c r="J8500" s="1" t="str">
        <f>"59/67"</f>
        <v>59/67</v>
      </c>
      <c r="K8500" s="1" t="str">
        <f>"2026-07-29 13:18:10"</f>
        <v>2026-07-29 13:18:10</v>
      </c>
      <c r="L8500" s="1" t="str">
        <f>"2018-02-27 15:06:43"</f>
        <v>2018-02-27 15:06:43</v>
      </c>
      <c r="M8500" s="1" t="s">
        <v>45</v>
      </c>
      <c r="N8500" s="1" t="s">
        <v>38</v>
      </c>
      <c r="O8500" s="1" t="s">
        <v>46</v>
      </c>
    </row>
    <row r="8501" spans="2:15" x14ac:dyDescent="0.3">
      <c r="B8501" s="1" t="s">
        <v>21</v>
      </c>
      <c r="C8501" s="1" t="str">
        <f>"4차"</f>
        <v>4차</v>
      </c>
      <c r="D8501" s="1" t="str">
        <f>"9628G35439"</f>
        <v>9628G35439</v>
      </c>
      <c r="E8501" s="1" t="s">
        <v>10</v>
      </c>
      <c r="F8501" s="1" t="str">
        <f>"10.128.71.130"</f>
        <v>10.128.71.130</v>
      </c>
      <c r="G8501" s="1" t="str">
        <f>"9628G354"</f>
        <v>9628G354</v>
      </c>
      <c r="H8501" s="1" t="str">
        <f>"은수간 72L2R1R1"</f>
        <v>은수간 72L2R1R1</v>
      </c>
      <c r="I8501" s="1" t="s">
        <v>8</v>
      </c>
      <c r="J8501" s="1" t="str">
        <f>"33/33"</f>
        <v>33/33</v>
      </c>
      <c r="K8501" s="1" t="str">
        <f>"2026-07-29 13:18:11"</f>
        <v>2026-07-29 13:18:11</v>
      </c>
      <c r="L8501" s="1" t="str">
        <f>"2018-03-29 15:49:59"</f>
        <v>2018-03-29 15:49:59</v>
      </c>
      <c r="M8501" s="1" t="s">
        <v>45</v>
      </c>
      <c r="N8501" s="1" t="s">
        <v>38</v>
      </c>
      <c r="O8501" s="1" t="s">
        <v>46</v>
      </c>
    </row>
    <row r="8502" spans="2:15" x14ac:dyDescent="0.3">
      <c r="B8502" s="1" t="s">
        <v>21</v>
      </c>
      <c r="C8502" s="1" t="str">
        <f>"4차"</f>
        <v>4차</v>
      </c>
      <c r="D8502" s="1" t="str">
        <f>"9628G38139"</f>
        <v>9628G38139</v>
      </c>
      <c r="E8502" s="1" t="s">
        <v>14</v>
      </c>
      <c r="F8502" s="1" t="str">
        <f>"10.128.4.46"</f>
        <v>10.128.4.46</v>
      </c>
      <c r="G8502" s="1" t="str">
        <f>"9628G381"</f>
        <v>9628G381</v>
      </c>
      <c r="H8502" s="1" t="str">
        <f>"은수간 68L2R2"</f>
        <v>은수간 68L2R2</v>
      </c>
      <c r="I8502" s="1" t="s">
        <v>8</v>
      </c>
      <c r="J8502" s="1" t="str">
        <f>"0/0"</f>
        <v>0/0</v>
      </c>
      <c r="K8502" s="1" t="str">
        <f>"2025-04-07 20:03:30"</f>
        <v>2025-04-07 20:03:30</v>
      </c>
      <c r="L8502" s="1" t="str">
        <f>"2018-02-24 14:07:11"</f>
        <v>2018-02-24 14:07:11</v>
      </c>
      <c r="M8502" s="1" t="s">
        <v>45</v>
      </c>
      <c r="N8502" s="1" t="s">
        <v>44</v>
      </c>
      <c r="O8502" s="1" t="s">
        <v>44</v>
      </c>
    </row>
    <row r="8503" spans="2:15" x14ac:dyDescent="0.3">
      <c r="B8503" s="1" t="s">
        <v>21</v>
      </c>
      <c r="C8503" s="1" t="str">
        <f>"3차"</f>
        <v>3차</v>
      </c>
      <c r="D8503" s="1" t="str">
        <f>"9628G38239"</f>
        <v>9628G38239</v>
      </c>
      <c r="E8503" s="1" t="s">
        <v>10</v>
      </c>
      <c r="F8503" s="1" t="str">
        <f>"10.128.4.45"</f>
        <v>10.128.4.45</v>
      </c>
      <c r="G8503" s="1" t="str">
        <f>"9628G382"</f>
        <v>9628G382</v>
      </c>
      <c r="H8503" s="1" t="str">
        <f>"은수간 68L2R1"</f>
        <v>은수간 68L2R1</v>
      </c>
      <c r="I8503" s="1" t="s">
        <v>8</v>
      </c>
      <c r="J8503" s="1" t="str">
        <f>"34/38"</f>
        <v>34/38</v>
      </c>
      <c r="K8503" s="1" t="str">
        <f>"2026-07-29 13:18:11"</f>
        <v>2026-07-29 13:18:11</v>
      </c>
      <c r="L8503" s="1" t="str">
        <f>"2018-02-24 14:01:59"</f>
        <v>2018-02-24 14:01:59</v>
      </c>
      <c r="M8503" s="1" t="s">
        <v>45</v>
      </c>
      <c r="N8503" s="1" t="s">
        <v>38</v>
      </c>
      <c r="O8503" s="1" t="s">
        <v>46</v>
      </c>
    </row>
    <row r="8504" spans="2:15" x14ac:dyDescent="0.3">
      <c r="B8504" s="1" t="s">
        <v>21</v>
      </c>
      <c r="C8504" s="1" t="str">
        <f>"3차"</f>
        <v>3차</v>
      </c>
      <c r="D8504" s="1" t="str">
        <f>"9628G40139"</f>
        <v>9628G40139</v>
      </c>
      <c r="E8504" s="1" t="s">
        <v>10</v>
      </c>
      <c r="F8504" s="1" t="str">
        <f>"10.128.3.219"</f>
        <v>10.128.3.219</v>
      </c>
      <c r="G8504" s="1" t="str">
        <f>"9628G401"</f>
        <v>9628G401</v>
      </c>
      <c r="H8504" s="1" t="str">
        <f>"역말간 39L5R2"</f>
        <v>역말간 39L5R2</v>
      </c>
      <c r="I8504" s="1" t="s">
        <v>8</v>
      </c>
      <c r="J8504" s="1" t="str">
        <f>"37/37"</f>
        <v>37/37</v>
      </c>
      <c r="K8504" s="1" t="str">
        <f>"2026-07-29 13:18:11"</f>
        <v>2026-07-29 13:18:11</v>
      </c>
      <c r="L8504" s="1" t="str">
        <f>"2018-02-01 16:08:31"</f>
        <v>2018-02-01 16:08:31</v>
      </c>
      <c r="M8504" s="1" t="s">
        <v>45</v>
      </c>
      <c r="N8504" s="1" t="s">
        <v>38</v>
      </c>
      <c r="O8504" s="1" t="s">
        <v>46</v>
      </c>
    </row>
    <row r="8505" spans="2:15" x14ac:dyDescent="0.3">
      <c r="B8505" s="1" t="s">
        <v>21</v>
      </c>
      <c r="C8505" s="1" t="str">
        <f>"3차"</f>
        <v>3차</v>
      </c>
      <c r="D8505" s="1" t="str">
        <f>"9628G41139"</f>
        <v>9628G41139</v>
      </c>
      <c r="E8505" s="1" t="s">
        <v>10</v>
      </c>
      <c r="F8505" s="1" t="str">
        <f>"10.128.71.13"</f>
        <v>10.128.71.13</v>
      </c>
      <c r="G8505" s="1" t="str">
        <f>"9628G411"</f>
        <v>9628G411</v>
      </c>
      <c r="H8505" s="1" t="str">
        <f>"역말간 39L5R4"</f>
        <v>역말간 39L5R4</v>
      </c>
      <c r="I8505" s="1" t="s">
        <v>8</v>
      </c>
      <c r="J8505" s="1" t="str">
        <f>"107/107"</f>
        <v>107/107</v>
      </c>
      <c r="K8505" s="1" t="str">
        <f>"2026-07-29 13:18:11"</f>
        <v>2026-07-29 13:18:11</v>
      </c>
      <c r="L8505" s="1" t="str">
        <f>"2018-02-01 18:09:44"</f>
        <v>2018-02-01 18:09:44</v>
      </c>
      <c r="M8505" s="1" t="s">
        <v>45</v>
      </c>
      <c r="N8505" s="1" t="s">
        <v>38</v>
      </c>
      <c r="O8505" s="1" t="s">
        <v>46</v>
      </c>
    </row>
    <row r="8506" spans="2:15" x14ac:dyDescent="0.3">
      <c r="B8506" s="1" t="s">
        <v>21</v>
      </c>
      <c r="C8506" s="1" t="str">
        <f>"1차"</f>
        <v>1차</v>
      </c>
      <c r="D8506" s="1" t="str">
        <f>"9628G41201"</f>
        <v>9628G41201</v>
      </c>
      <c r="E8506" s="1" t="s">
        <v>10</v>
      </c>
      <c r="F8506" s="1" t="str">
        <f>"10.128.71.20"</f>
        <v>10.128.71.20</v>
      </c>
      <c r="G8506" s="1" t="str">
        <f>"9628G412"</f>
        <v>9628G412</v>
      </c>
      <c r="H8506" s="1" t="str">
        <f>"역말간 39L1R4L4"</f>
        <v>역말간 39L1R4L4</v>
      </c>
      <c r="I8506" s="1" t="s">
        <v>8</v>
      </c>
      <c r="J8506" s="1" t="str">
        <f>"66/67"</f>
        <v>66/67</v>
      </c>
      <c r="K8506" s="1" t="str">
        <f>"2026-07-29 13:18:11"</f>
        <v>2026-07-29 13:18:11</v>
      </c>
      <c r="L8506" s="1" t="str">
        <f>"2015-07-28 11:07:13"</f>
        <v>2015-07-28 11:07:13</v>
      </c>
      <c r="M8506" s="1" t="s">
        <v>45</v>
      </c>
      <c r="N8506" s="1" t="s">
        <v>38</v>
      </c>
      <c r="O8506" s="1" t="s">
        <v>46</v>
      </c>
    </row>
    <row r="8507" spans="2:15" x14ac:dyDescent="0.3">
      <c r="B8507" s="1" t="s">
        <v>21</v>
      </c>
      <c r="C8507" s="1" t="str">
        <f>"3차"</f>
        <v>3차</v>
      </c>
      <c r="D8507" s="1" t="str">
        <f>"9628G42239"</f>
        <v>9628G42239</v>
      </c>
      <c r="E8507" s="1" t="s">
        <v>10</v>
      </c>
      <c r="F8507" s="1" t="str">
        <f>"10.12.137.162"</f>
        <v>10.12.137.162</v>
      </c>
      <c r="G8507" s="1" t="str">
        <f>"9628G422"</f>
        <v>9628G422</v>
      </c>
      <c r="H8507" s="1" t="str">
        <f>"은수간 76L4"</f>
        <v>은수간 76L4</v>
      </c>
      <c r="I8507" s="1" t="s">
        <v>8</v>
      </c>
      <c r="J8507" s="1" t="str">
        <f>"14/14"</f>
        <v>14/14</v>
      </c>
      <c r="K8507" s="1" t="str">
        <f>"2026-07-29 13:18:12"</f>
        <v>2026-07-29 13:18:12</v>
      </c>
      <c r="L8507" s="1" t="str">
        <f>"2018-07-17 17:02:28"</f>
        <v>2018-07-17 17:02:28</v>
      </c>
      <c r="M8507" s="1" t="s">
        <v>0</v>
      </c>
      <c r="N8507" s="1" t="s">
        <v>38</v>
      </c>
      <c r="O8507" s="1" t="s">
        <v>46</v>
      </c>
    </row>
    <row r="8508" spans="2:15" x14ac:dyDescent="0.3">
      <c r="B8508" s="1" t="s">
        <v>21</v>
      </c>
      <c r="C8508" s="1" t="str">
        <f>"4차"</f>
        <v>4차</v>
      </c>
      <c r="D8508" s="1" t="str">
        <f>"9628G43139"</f>
        <v>9628G43139</v>
      </c>
      <c r="E8508" s="1" t="s">
        <v>18</v>
      </c>
      <c r="F8508" s="1" t="str">
        <f>"10.128.4.56"</f>
        <v>10.128.4.56</v>
      </c>
      <c r="G8508" s="1" t="str">
        <f>"9628G431"</f>
        <v>9628G431</v>
      </c>
      <c r="H8508" s="1" t="str">
        <f>"은수간 74L3"</f>
        <v>은수간 74L3</v>
      </c>
      <c r="I8508" s="1" t="s">
        <v>8</v>
      </c>
      <c r="J8508" s="1" t="str">
        <f>"0/45"</f>
        <v>0/45</v>
      </c>
      <c r="K8508" s="1" t="str">
        <f>"2026-05-28 07:18:10"</f>
        <v>2026-05-28 07:18:10</v>
      </c>
      <c r="L8508" s="1" t="str">
        <f>"2018-02-26 18:59:07"</f>
        <v>2018-02-26 18:59:07</v>
      </c>
      <c r="M8508" s="1" t="s">
        <v>45</v>
      </c>
      <c r="N8508" s="1" t="s">
        <v>38</v>
      </c>
      <c r="O8508" s="1" t="s">
        <v>46</v>
      </c>
    </row>
    <row r="8509" spans="2:15" x14ac:dyDescent="0.3">
      <c r="B8509" s="1" t="s">
        <v>21</v>
      </c>
      <c r="C8509" s="1" t="str">
        <f>"3차"</f>
        <v>3차</v>
      </c>
      <c r="D8509" s="1" t="str">
        <f>"9628G43239"</f>
        <v>9628G43239</v>
      </c>
      <c r="E8509" s="1" t="s">
        <v>10</v>
      </c>
      <c r="F8509" s="1" t="str">
        <f>"10.128.71.11"</f>
        <v>10.128.71.11</v>
      </c>
      <c r="G8509" s="1" t="str">
        <f>"9628G432"</f>
        <v>9628G432</v>
      </c>
      <c r="H8509" s="1" t="str">
        <f>"역말간 39L5R6"</f>
        <v>역말간 39L5R6</v>
      </c>
      <c r="I8509" s="1" t="s">
        <v>8</v>
      </c>
      <c r="J8509" s="1" t="str">
        <f>"11/11"</f>
        <v>11/11</v>
      </c>
      <c r="K8509" s="1" t="str">
        <f t="shared" ref="K8509:K8527" si="421">"2026-07-29 13:18:11"</f>
        <v>2026-07-29 13:18:11</v>
      </c>
      <c r="L8509" s="1" t="str">
        <f>"2018-02-01 18:18:14"</f>
        <v>2018-02-01 18:18:14</v>
      </c>
      <c r="M8509" s="1" t="s">
        <v>45</v>
      </c>
      <c r="N8509" s="1" t="s">
        <v>38</v>
      </c>
      <c r="O8509" s="1" t="s">
        <v>46</v>
      </c>
    </row>
    <row r="8510" spans="2:15" x14ac:dyDescent="0.3">
      <c r="B8510" s="1" t="s">
        <v>21</v>
      </c>
      <c r="C8510" s="1" t="str">
        <f>"3차"</f>
        <v>3차</v>
      </c>
      <c r="D8510" s="1" t="str">
        <f>"9628G43339"</f>
        <v>9628G43339</v>
      </c>
      <c r="E8510" s="1" t="s">
        <v>10</v>
      </c>
      <c r="F8510" s="1" t="str">
        <f>"10.128.71.10"</f>
        <v>10.128.71.10</v>
      </c>
      <c r="G8510" s="1" t="str">
        <f>"9628G433"</f>
        <v>9628G433</v>
      </c>
      <c r="H8510" s="1" t="str">
        <f>"역말간 39L5R7"</f>
        <v>역말간 39L5R7</v>
      </c>
      <c r="I8510" s="1" t="s">
        <v>8</v>
      </c>
      <c r="J8510" s="1" t="str">
        <f>"19/19"</f>
        <v>19/19</v>
      </c>
      <c r="K8510" s="1" t="str">
        <f t="shared" si="421"/>
        <v>2026-07-29 13:18:11</v>
      </c>
      <c r="L8510" s="1" t="str">
        <f>"2018-02-01 19:29:46"</f>
        <v>2018-02-01 19:29:46</v>
      </c>
      <c r="M8510" s="1" t="s">
        <v>45</v>
      </c>
      <c r="N8510" s="1" t="s">
        <v>38</v>
      </c>
      <c r="O8510" s="1" t="s">
        <v>46</v>
      </c>
    </row>
    <row r="8511" spans="2:15" x14ac:dyDescent="0.3">
      <c r="B8511" s="1" t="s">
        <v>21</v>
      </c>
      <c r="C8511" s="1" t="str">
        <f>"4차"</f>
        <v>4차</v>
      </c>
      <c r="D8511" s="1" t="str">
        <f>"9628G44239"</f>
        <v>9628G44239</v>
      </c>
      <c r="E8511" s="1" t="s">
        <v>10</v>
      </c>
      <c r="F8511" s="1" t="str">
        <f>"10.128.74.74"</f>
        <v>10.128.74.74</v>
      </c>
      <c r="G8511" s="1" t="str">
        <f>"9628G442"</f>
        <v>9628G442</v>
      </c>
      <c r="H8511" s="1" t="str">
        <f>"은수간 73L5"</f>
        <v>은수간 73L5</v>
      </c>
      <c r="I8511" s="1" t="s">
        <v>8</v>
      </c>
      <c r="J8511" s="1" t="str">
        <f>"47/47"</f>
        <v>47/47</v>
      </c>
      <c r="K8511" s="1" t="str">
        <f t="shared" si="421"/>
        <v>2026-07-29 13:18:11</v>
      </c>
      <c r="L8511" s="1" t="str">
        <f>"2018-03-28 13:23:12"</f>
        <v>2018-03-28 13:23:12</v>
      </c>
      <c r="M8511" s="1" t="s">
        <v>45</v>
      </c>
      <c r="N8511" s="1" t="s">
        <v>38</v>
      </c>
      <c r="O8511" s="1" t="s">
        <v>46</v>
      </c>
    </row>
    <row r="8512" spans="2:15" x14ac:dyDescent="0.3">
      <c r="B8512" s="1" t="s">
        <v>21</v>
      </c>
      <c r="C8512" s="1" t="str">
        <f>"4차"</f>
        <v>4차</v>
      </c>
      <c r="D8512" s="1" t="str">
        <f>"9628G44339"</f>
        <v>9628G44339</v>
      </c>
      <c r="E8512" s="1" t="s">
        <v>10</v>
      </c>
      <c r="F8512" s="1" t="str">
        <f>"10.128.4.53"</f>
        <v>10.128.4.53</v>
      </c>
      <c r="G8512" s="1" t="str">
        <f>"9628G443"</f>
        <v>9628G443</v>
      </c>
      <c r="H8512" s="1" t="str">
        <f>"은수간 73L6"</f>
        <v>은수간 73L6</v>
      </c>
      <c r="I8512" s="1" t="s">
        <v>8</v>
      </c>
      <c r="J8512" s="1" t="str">
        <f>"6/6"</f>
        <v>6/6</v>
      </c>
      <c r="K8512" s="1" t="str">
        <f t="shared" si="421"/>
        <v>2026-07-29 13:18:11</v>
      </c>
      <c r="L8512" s="1" t="str">
        <f>"2018-02-27 15:17:57"</f>
        <v>2018-02-27 15:17:57</v>
      </c>
      <c r="M8512" s="1" t="s">
        <v>45</v>
      </c>
      <c r="N8512" s="1" t="s">
        <v>38</v>
      </c>
      <c r="O8512" s="1" t="s">
        <v>46</v>
      </c>
    </row>
    <row r="8513" spans="2:15" x14ac:dyDescent="0.3">
      <c r="B8513" s="1" t="s">
        <v>21</v>
      </c>
      <c r="C8513" s="1" t="str">
        <f>"3차"</f>
        <v>3차</v>
      </c>
      <c r="D8513" s="1" t="str">
        <f>"9628G46239"</f>
        <v>9628G46239</v>
      </c>
      <c r="E8513" s="1" t="s">
        <v>10</v>
      </c>
      <c r="F8513" s="1" t="str">
        <f>"10.128.3.212"</f>
        <v>10.128.3.212</v>
      </c>
      <c r="G8513" s="1" t="str">
        <f>"9628G462"</f>
        <v>9628G462</v>
      </c>
      <c r="H8513" s="1" t="str">
        <f>"역말간 39L1R15"</f>
        <v>역말간 39L1R15</v>
      </c>
      <c r="I8513" s="1" t="s">
        <v>8</v>
      </c>
      <c r="J8513" s="1" t="str">
        <f>"27/27"</f>
        <v>27/27</v>
      </c>
      <c r="K8513" s="1" t="str">
        <f t="shared" si="421"/>
        <v>2026-07-29 13:18:11</v>
      </c>
      <c r="L8513" s="1" t="str">
        <f>"2018-01-29 17:40:42"</f>
        <v>2018-01-29 17:40:42</v>
      </c>
      <c r="M8513" s="1" t="s">
        <v>45</v>
      </c>
      <c r="N8513" s="1" t="s">
        <v>38</v>
      </c>
      <c r="O8513" s="1" t="s">
        <v>46</v>
      </c>
    </row>
    <row r="8514" spans="2:15" x14ac:dyDescent="0.3">
      <c r="B8514" s="1" t="s">
        <v>21</v>
      </c>
      <c r="C8514" s="1" t="str">
        <f>"3차"</f>
        <v>3차</v>
      </c>
      <c r="D8514" s="1" t="str">
        <f>"9628G47139"</f>
        <v>9628G47139</v>
      </c>
      <c r="E8514" s="1" t="s">
        <v>10</v>
      </c>
      <c r="F8514" s="1" t="str">
        <f>"10.128.3.213"</f>
        <v>10.128.3.213</v>
      </c>
      <c r="G8514" s="1" t="str">
        <f>"9628G471"</f>
        <v>9628G471</v>
      </c>
      <c r="H8514" s="1" t="str">
        <f>"역말간 39L1R16"</f>
        <v>역말간 39L1R16</v>
      </c>
      <c r="I8514" s="1" t="s">
        <v>8</v>
      </c>
      <c r="J8514" s="1" t="str">
        <f>"42/42"</f>
        <v>42/42</v>
      </c>
      <c r="K8514" s="1" t="str">
        <f t="shared" si="421"/>
        <v>2026-07-29 13:18:11</v>
      </c>
      <c r="L8514" s="1" t="str">
        <f>"2018-01-24 16:22:58"</f>
        <v>2018-01-24 16:22:58</v>
      </c>
      <c r="M8514" s="1" t="s">
        <v>45</v>
      </c>
      <c r="N8514" s="1" t="s">
        <v>38</v>
      </c>
      <c r="O8514" s="1" t="s">
        <v>46</v>
      </c>
    </row>
    <row r="8515" spans="2:15" x14ac:dyDescent="0.3">
      <c r="B8515" s="1" t="s">
        <v>21</v>
      </c>
      <c r="C8515" s="1" t="str">
        <f>"4차"</f>
        <v>4차</v>
      </c>
      <c r="D8515" s="1" t="str">
        <f>"9628G49139"</f>
        <v>9628G49139</v>
      </c>
      <c r="E8515" s="1" t="s">
        <v>10</v>
      </c>
      <c r="F8515" s="1" t="str">
        <f>"10.128.69.6"</f>
        <v>10.128.69.6</v>
      </c>
      <c r="G8515" s="1" t="str">
        <f>"9628G491"</f>
        <v>9628G491</v>
      </c>
      <c r="H8515" s="1" t="str">
        <f>"은수간 68L3"</f>
        <v>은수간 68L3</v>
      </c>
      <c r="I8515" s="1" t="s">
        <v>8</v>
      </c>
      <c r="J8515" s="1" t="str">
        <f>"25/34"</f>
        <v>25/34</v>
      </c>
      <c r="K8515" s="1" t="str">
        <f t="shared" si="421"/>
        <v>2026-07-29 13:18:11</v>
      </c>
      <c r="L8515" s="1" t="str">
        <f>"2018-02-21 13:46:25"</f>
        <v>2018-02-21 13:46:25</v>
      </c>
      <c r="M8515" s="1" t="s">
        <v>45</v>
      </c>
      <c r="N8515" s="1" t="s">
        <v>38</v>
      </c>
      <c r="O8515" s="1" t="s">
        <v>46</v>
      </c>
    </row>
    <row r="8516" spans="2:15" x14ac:dyDescent="0.3">
      <c r="B8516" s="1" t="s">
        <v>21</v>
      </c>
      <c r="C8516" s="1" t="str">
        <f>"4차"</f>
        <v>4차</v>
      </c>
      <c r="D8516" s="1" t="str">
        <f>"9628G50244"</f>
        <v>9628G50244</v>
      </c>
      <c r="E8516" s="1" t="s">
        <v>10</v>
      </c>
      <c r="F8516" s="1" t="str">
        <f>"10.128.0.68"</f>
        <v>10.128.0.68</v>
      </c>
      <c r="G8516" s="1" t="str">
        <f>"9628G502"</f>
        <v>9628G502</v>
      </c>
      <c r="H8516" s="1" t="str">
        <f>"역말간 39L5R2R3"</f>
        <v>역말간 39L5R2R3</v>
      </c>
      <c r="I8516" s="1" t="s">
        <v>8</v>
      </c>
      <c r="J8516" s="1" t="str">
        <f>"64/64"</f>
        <v>64/64</v>
      </c>
      <c r="K8516" s="1" t="str">
        <f t="shared" si="421"/>
        <v>2026-07-29 13:18:11</v>
      </c>
      <c r="L8516" s="1" t="str">
        <f>"2023-07-17 18:17:30"</f>
        <v>2023-07-17 18:17:30</v>
      </c>
      <c r="M8516" s="1" t="s">
        <v>45</v>
      </c>
      <c r="N8516" s="1" t="s">
        <v>38</v>
      </c>
      <c r="O8516" s="1" t="s">
        <v>46</v>
      </c>
    </row>
    <row r="8517" spans="2:15" x14ac:dyDescent="0.3">
      <c r="B8517" s="1" t="s">
        <v>21</v>
      </c>
      <c r="C8517" s="1" t="str">
        <f>"1차"</f>
        <v>1차</v>
      </c>
      <c r="D8517" s="1" t="str">
        <f>"9628G51100"</f>
        <v>9628G51100</v>
      </c>
      <c r="E8517" s="1" t="s">
        <v>14</v>
      </c>
      <c r="F8517" s="1" t="str">
        <f>"10.128.71.19"</f>
        <v>10.128.71.19</v>
      </c>
      <c r="G8517" s="1" t="str">
        <f>"9628G511"</f>
        <v>9628G511</v>
      </c>
      <c r="H8517" s="1" t="str">
        <f>"역말간 39L1R4L2"</f>
        <v>역말간 39L1R4L2</v>
      </c>
      <c r="I8517" s="1" t="s">
        <v>8</v>
      </c>
      <c r="J8517" s="1" t="str">
        <f>"0/0"</f>
        <v>0/0</v>
      </c>
      <c r="K8517" s="1" t="str">
        <f t="shared" si="421"/>
        <v>2026-07-29 13:18:11</v>
      </c>
      <c r="L8517" s="1" t="str">
        <f>"2015-07-28 11:19:50"</f>
        <v>2015-07-28 11:19:50</v>
      </c>
      <c r="M8517" s="1" t="s">
        <v>45</v>
      </c>
      <c r="N8517" s="1" t="s">
        <v>38</v>
      </c>
      <c r="O8517" s="1" t="s">
        <v>44</v>
      </c>
    </row>
    <row r="8518" spans="2:15" x14ac:dyDescent="0.3">
      <c r="B8518" s="1" t="s">
        <v>21</v>
      </c>
      <c r="C8518" s="1" t="str">
        <f>"4차"</f>
        <v>4차</v>
      </c>
      <c r="D8518" s="1" t="str">
        <f>"9628G52139"</f>
        <v>9628G52139</v>
      </c>
      <c r="E8518" s="1" t="s">
        <v>10</v>
      </c>
      <c r="F8518" s="1" t="str">
        <f>"10.128.71.9"</f>
        <v>10.128.71.9</v>
      </c>
      <c r="G8518" s="1" t="str">
        <f>"9628G521"</f>
        <v>9628G521</v>
      </c>
      <c r="H8518" s="1" t="str">
        <f>"역말간 39L1R6L3"</f>
        <v>역말간 39L1R6L3</v>
      </c>
      <c r="I8518" s="1" t="s">
        <v>8</v>
      </c>
      <c r="J8518" s="1" t="str">
        <f>"17/17"</f>
        <v>17/17</v>
      </c>
      <c r="K8518" s="1" t="str">
        <f t="shared" si="421"/>
        <v>2026-07-29 13:18:11</v>
      </c>
      <c r="L8518" s="1" t="str">
        <f>"2018-01-29 16:51:26"</f>
        <v>2018-01-29 16:51:26</v>
      </c>
      <c r="M8518" s="1" t="s">
        <v>45</v>
      </c>
      <c r="N8518" s="1" t="s">
        <v>38</v>
      </c>
      <c r="O8518" s="1" t="s">
        <v>46</v>
      </c>
    </row>
    <row r="8519" spans="2:15" x14ac:dyDescent="0.3">
      <c r="B8519" s="1" t="s">
        <v>21</v>
      </c>
      <c r="C8519" s="1" t="str">
        <f>"3차"</f>
        <v>3차</v>
      </c>
      <c r="D8519" s="1" t="str">
        <f>"9628G55139"</f>
        <v>9628G55139</v>
      </c>
      <c r="E8519" s="1" t="s">
        <v>10</v>
      </c>
      <c r="F8519" s="1" t="str">
        <f>"10.128.3.207"</f>
        <v>10.128.3.207</v>
      </c>
      <c r="G8519" s="1" t="str">
        <f>"9628G551"</f>
        <v>9628G551</v>
      </c>
      <c r="H8519" s="1" t="str">
        <f>"역말간 39L1R12"</f>
        <v>역말간 39L1R12</v>
      </c>
      <c r="I8519" s="1" t="s">
        <v>8</v>
      </c>
      <c r="J8519" s="1" t="str">
        <f>"45/45"</f>
        <v>45/45</v>
      </c>
      <c r="K8519" s="1" t="str">
        <f t="shared" si="421"/>
        <v>2026-07-29 13:18:11</v>
      </c>
      <c r="L8519" s="1" t="str">
        <f>"2018-01-29 10:25:23"</f>
        <v>2018-01-29 10:25:23</v>
      </c>
      <c r="M8519" s="1" t="s">
        <v>45</v>
      </c>
      <c r="N8519" s="1" t="s">
        <v>38</v>
      </c>
      <c r="O8519" s="1" t="s">
        <v>46</v>
      </c>
    </row>
    <row r="8520" spans="2:15" x14ac:dyDescent="0.3">
      <c r="B8520" s="1" t="s">
        <v>21</v>
      </c>
      <c r="C8520" s="1" t="str">
        <f>"3차"</f>
        <v>3차</v>
      </c>
      <c r="D8520" s="1" t="str">
        <f>"9628G55239"</f>
        <v>9628G55239</v>
      </c>
      <c r="E8520" s="1" t="s">
        <v>10</v>
      </c>
      <c r="F8520" s="1" t="str">
        <f>"10.128.3.208"</f>
        <v>10.128.3.208</v>
      </c>
      <c r="G8520" s="1" t="str">
        <f>"9628G552"</f>
        <v>9628G552</v>
      </c>
      <c r="H8520" s="1" t="str">
        <f>"역말간 39L1R12L1"</f>
        <v>역말간 39L1R12L1</v>
      </c>
      <c r="I8520" s="1" t="s">
        <v>8</v>
      </c>
      <c r="J8520" s="1" t="str">
        <f>"32/32"</f>
        <v>32/32</v>
      </c>
      <c r="K8520" s="1" t="str">
        <f t="shared" si="421"/>
        <v>2026-07-29 13:18:11</v>
      </c>
      <c r="L8520" s="1" t="str">
        <f>"2018-01-25 16:54:46"</f>
        <v>2018-01-25 16:54:46</v>
      </c>
      <c r="M8520" s="1" t="s">
        <v>45</v>
      </c>
      <c r="N8520" s="1" t="s">
        <v>38</v>
      </c>
      <c r="O8520" s="1" t="s">
        <v>46</v>
      </c>
    </row>
    <row r="8521" spans="2:15" x14ac:dyDescent="0.3">
      <c r="B8521" s="1" t="s">
        <v>21</v>
      </c>
      <c r="C8521" s="1" t="str">
        <f>"4차"</f>
        <v>4차</v>
      </c>
      <c r="D8521" s="1" t="str">
        <f>"9628G55339"</f>
        <v>9628G55339</v>
      </c>
      <c r="E8521" s="1" t="s">
        <v>10</v>
      </c>
      <c r="F8521" s="1" t="str">
        <f>"10.128.3.209"</f>
        <v>10.128.3.209</v>
      </c>
      <c r="G8521" s="1" t="str">
        <f>"9628G553"</f>
        <v>9628G553</v>
      </c>
      <c r="H8521" s="1" t="str">
        <f>"역말간 39L1R13"</f>
        <v>역말간 39L1R13</v>
      </c>
      <c r="I8521" s="1" t="s">
        <v>8</v>
      </c>
      <c r="J8521" s="1" t="str">
        <f>"92/93"</f>
        <v>92/93</v>
      </c>
      <c r="K8521" s="1" t="str">
        <f t="shared" si="421"/>
        <v>2026-07-29 13:18:11</v>
      </c>
      <c r="L8521" s="1" t="str">
        <f>"2018-01-24 16:31:44"</f>
        <v>2018-01-24 16:31:44</v>
      </c>
      <c r="M8521" s="1" t="s">
        <v>45</v>
      </c>
      <c r="N8521" s="1" t="s">
        <v>38</v>
      </c>
      <c r="O8521" s="1" t="s">
        <v>46</v>
      </c>
    </row>
    <row r="8522" spans="2:15" x14ac:dyDescent="0.3">
      <c r="B8522" s="1" t="s">
        <v>21</v>
      </c>
      <c r="C8522" s="1" t="str">
        <f>"4차"</f>
        <v>4차</v>
      </c>
      <c r="D8522" s="1" t="str">
        <f>"9628G58239"</f>
        <v>9628G58239</v>
      </c>
      <c r="E8522" s="1" t="s">
        <v>10</v>
      </c>
      <c r="F8522" s="1" t="str">
        <f>"10.128.4.47"</f>
        <v>10.128.4.47</v>
      </c>
      <c r="G8522" s="1" t="str">
        <f>"9628G582"</f>
        <v>9628G582</v>
      </c>
      <c r="H8522" s="1" t="str">
        <f>"은수간 68L4"</f>
        <v>은수간 68L4</v>
      </c>
      <c r="I8522" s="1" t="s">
        <v>8</v>
      </c>
      <c r="J8522" s="1" t="str">
        <f>"79/79"</f>
        <v>79/79</v>
      </c>
      <c r="K8522" s="1" t="str">
        <f t="shared" si="421"/>
        <v>2026-07-29 13:18:11</v>
      </c>
      <c r="L8522" s="1" t="str">
        <f>"2018-02-24 14:52:56"</f>
        <v>2018-02-24 14:52:56</v>
      </c>
      <c r="M8522" s="1" t="s">
        <v>45</v>
      </c>
      <c r="N8522" s="1" t="s">
        <v>38</v>
      </c>
      <c r="O8522" s="1" t="s">
        <v>46</v>
      </c>
    </row>
    <row r="8523" spans="2:15" x14ac:dyDescent="0.3">
      <c r="B8523" s="1" t="s">
        <v>21</v>
      </c>
      <c r="C8523" s="1" t="str">
        <f>"3차"</f>
        <v>3차</v>
      </c>
      <c r="D8523" s="1" t="str">
        <f>"9628G58439"</f>
        <v>9628G58439</v>
      </c>
      <c r="E8523" s="1" t="s">
        <v>10</v>
      </c>
      <c r="F8523" s="1" t="str">
        <f>"10.128.4.48"</f>
        <v>10.128.4.48</v>
      </c>
      <c r="G8523" s="1" t="str">
        <f>"9628G584"</f>
        <v>9628G584</v>
      </c>
      <c r="H8523" s="1" t="str">
        <f>"은수간 68L5"</f>
        <v>은수간 68L5</v>
      </c>
      <c r="I8523" s="1" t="s">
        <v>8</v>
      </c>
      <c r="J8523" s="1" t="str">
        <f>"49/49"</f>
        <v>49/49</v>
      </c>
      <c r="K8523" s="1" t="str">
        <f t="shared" si="421"/>
        <v>2026-07-29 13:18:11</v>
      </c>
      <c r="L8523" s="1" t="str">
        <f>"2018-04-06 10:30:55"</f>
        <v>2018-04-06 10:30:55</v>
      </c>
      <c r="M8523" s="1" t="s">
        <v>45</v>
      </c>
      <c r="N8523" s="1" t="s">
        <v>38</v>
      </c>
      <c r="O8523" s="1" t="s">
        <v>46</v>
      </c>
    </row>
    <row r="8524" spans="2:15" x14ac:dyDescent="0.3">
      <c r="B8524" s="1" t="s">
        <v>21</v>
      </c>
      <c r="C8524" s="1" t="str">
        <f>"4차"</f>
        <v>4차</v>
      </c>
      <c r="D8524" s="1" t="str">
        <f>"9628G62239"</f>
        <v>9628G62239</v>
      </c>
      <c r="E8524" s="1" t="s">
        <v>10</v>
      </c>
      <c r="F8524" s="1" t="str">
        <f>"10.128.71.18"</f>
        <v>10.128.71.18</v>
      </c>
      <c r="G8524" s="1" t="str">
        <f>"9628G622"</f>
        <v>9628G622</v>
      </c>
      <c r="H8524" s="1" t="str">
        <f>"역말간 39L1R6L2"</f>
        <v>역말간 39L1R6L2</v>
      </c>
      <c r="I8524" s="1" t="s">
        <v>8</v>
      </c>
      <c r="J8524" s="1" t="str">
        <f>"66/67"</f>
        <v>66/67</v>
      </c>
      <c r="K8524" s="1" t="str">
        <f t="shared" si="421"/>
        <v>2026-07-29 13:18:11</v>
      </c>
      <c r="L8524" s="1" t="str">
        <f>"2018-01-25 16:44:12"</f>
        <v>2018-01-25 16:44:12</v>
      </c>
      <c r="M8524" s="1" t="s">
        <v>45</v>
      </c>
      <c r="N8524" s="1" t="s">
        <v>38</v>
      </c>
      <c r="O8524" s="1" t="s">
        <v>46</v>
      </c>
    </row>
    <row r="8525" spans="2:15" x14ac:dyDescent="0.3">
      <c r="B8525" s="1" t="s">
        <v>21</v>
      </c>
      <c r="C8525" s="1" t="str">
        <f>"3차"</f>
        <v>3차</v>
      </c>
      <c r="D8525" s="1" t="str">
        <f>"9628G63239"</f>
        <v>9628G63239</v>
      </c>
      <c r="E8525" s="1" t="s">
        <v>10</v>
      </c>
      <c r="F8525" s="1" t="str">
        <f>"10.128.3.199"</f>
        <v>10.128.3.199</v>
      </c>
      <c r="G8525" s="1" t="str">
        <f>"9628G632"</f>
        <v>9628G632</v>
      </c>
      <c r="H8525" s="1" t="str">
        <f>"역말간 39L1R6L2R1"</f>
        <v>역말간 39L1R6L2R1</v>
      </c>
      <c r="I8525" s="1" t="s">
        <v>8</v>
      </c>
      <c r="J8525" s="1" t="str">
        <f>"75/75"</f>
        <v>75/75</v>
      </c>
      <c r="K8525" s="1" t="str">
        <f t="shared" si="421"/>
        <v>2026-07-29 13:18:11</v>
      </c>
      <c r="L8525" s="1" t="str">
        <f>"2018-01-25 17:01:45"</f>
        <v>2018-01-25 17:01:45</v>
      </c>
      <c r="M8525" s="1" t="s">
        <v>45</v>
      </c>
      <c r="N8525" s="1" t="s">
        <v>38</v>
      </c>
      <c r="O8525" s="1" t="s">
        <v>46</v>
      </c>
    </row>
    <row r="8526" spans="2:15" x14ac:dyDescent="0.3">
      <c r="B8526" s="1" t="s">
        <v>21</v>
      </c>
      <c r="C8526" s="1" t="str">
        <f>"3차"</f>
        <v>3차</v>
      </c>
      <c r="D8526" s="1" t="str">
        <f>"9628G64139"</f>
        <v>9628G64139</v>
      </c>
      <c r="E8526" s="1" t="s">
        <v>10</v>
      </c>
      <c r="F8526" s="1" t="str">
        <f>"10.128.3.203"</f>
        <v>10.128.3.203</v>
      </c>
      <c r="G8526" s="1" t="str">
        <f>"9628G641"</f>
        <v>9628G641</v>
      </c>
      <c r="H8526" s="1" t="str">
        <f>"역말간 39L1R10"</f>
        <v>역말간 39L1R10</v>
      </c>
      <c r="I8526" s="1" t="s">
        <v>8</v>
      </c>
      <c r="J8526" s="1" t="str">
        <f>"36/36"</f>
        <v>36/36</v>
      </c>
      <c r="K8526" s="1" t="str">
        <f t="shared" si="421"/>
        <v>2026-07-29 13:18:11</v>
      </c>
      <c r="L8526" s="1" t="str">
        <f>"2018-01-25 16:44:42"</f>
        <v>2018-01-25 16:44:42</v>
      </c>
      <c r="M8526" s="1" t="s">
        <v>45</v>
      </c>
      <c r="N8526" s="1" t="s">
        <v>38</v>
      </c>
      <c r="O8526" s="1" t="s">
        <v>46</v>
      </c>
    </row>
    <row r="8527" spans="2:15" x14ac:dyDescent="0.3">
      <c r="B8527" s="1" t="s">
        <v>21</v>
      </c>
      <c r="C8527" s="1" t="str">
        <f>"4차"</f>
        <v>4차</v>
      </c>
      <c r="D8527" s="1" t="str">
        <f>"9628G64239"</f>
        <v>9628G64239</v>
      </c>
      <c r="E8527" s="1" t="s">
        <v>10</v>
      </c>
      <c r="F8527" s="1" t="str">
        <f>"10.128.3.204"</f>
        <v>10.128.3.204</v>
      </c>
      <c r="G8527" s="1" t="str">
        <f>"9628G642"</f>
        <v>9628G642</v>
      </c>
      <c r="H8527" s="1" t="str">
        <f>"역말간 39L1R11"</f>
        <v>역말간 39L1R11</v>
      </c>
      <c r="I8527" s="1" t="s">
        <v>8</v>
      </c>
      <c r="J8527" s="1" t="str">
        <f>"131/131"</f>
        <v>131/131</v>
      </c>
      <c r="K8527" s="1" t="str">
        <f t="shared" si="421"/>
        <v>2026-07-29 13:18:11</v>
      </c>
      <c r="L8527" s="1" t="str">
        <f>"2018-01-29 17:32:56"</f>
        <v>2018-01-29 17:32:56</v>
      </c>
      <c r="M8527" s="1" t="s">
        <v>45</v>
      </c>
      <c r="N8527" s="1" t="s">
        <v>38</v>
      </c>
      <c r="O8527" s="1" t="s">
        <v>46</v>
      </c>
    </row>
    <row r="8528" spans="2:15" x14ac:dyDescent="0.3">
      <c r="B8528" s="1" t="s">
        <v>21</v>
      </c>
      <c r="C8528" s="1" t="str">
        <f>"3차"</f>
        <v>3차</v>
      </c>
      <c r="D8528" s="1" t="str">
        <f>"9628G65139"</f>
        <v>9628G65139</v>
      </c>
      <c r="E8528" s="1" t="s">
        <v>10</v>
      </c>
      <c r="F8528" s="1" t="str">
        <f>"10.128.3.205"</f>
        <v>10.128.3.205</v>
      </c>
      <c r="G8528" s="1" t="str">
        <f>"9628G651"</f>
        <v>9628G651</v>
      </c>
      <c r="H8528" s="1" t="str">
        <f>"역말간 39L1R11R1"</f>
        <v>역말간 39L1R11R1</v>
      </c>
      <c r="I8528" s="1" t="s">
        <v>8</v>
      </c>
      <c r="J8528" s="1" t="str">
        <f>"73/73"</f>
        <v>73/73</v>
      </c>
      <c r="K8528" s="1" t="str">
        <f>"2026-07-29 13:18:10"</f>
        <v>2026-07-29 13:18:10</v>
      </c>
      <c r="L8528" s="1" t="str">
        <f>"2018-02-01 18:17:30"</f>
        <v>2018-02-01 18:17:30</v>
      </c>
      <c r="M8528" s="1" t="s">
        <v>45</v>
      </c>
      <c r="N8528" s="1" t="s">
        <v>38</v>
      </c>
      <c r="O8528" s="1" t="s">
        <v>46</v>
      </c>
    </row>
    <row r="8529" spans="2:15" x14ac:dyDescent="0.3">
      <c r="B8529" s="1" t="s">
        <v>21</v>
      </c>
      <c r="C8529" s="1" t="str">
        <f>"3차"</f>
        <v>3차</v>
      </c>
      <c r="D8529" s="1" t="str">
        <f>"9628G66139"</f>
        <v>9628G66139</v>
      </c>
      <c r="E8529" s="1" t="s">
        <v>10</v>
      </c>
      <c r="F8529" s="1" t="str">
        <f>"10.128.3.210"</f>
        <v>10.128.3.210</v>
      </c>
      <c r="G8529" s="1" t="str">
        <f>"9628G661"</f>
        <v>9628G661</v>
      </c>
      <c r="H8529" s="1" t="str">
        <f>"역말간 39L1R13R1"</f>
        <v>역말간 39L1R13R1</v>
      </c>
      <c r="I8529" s="1" t="s">
        <v>8</v>
      </c>
      <c r="J8529" s="1" t="str">
        <f>"41/41"</f>
        <v>41/41</v>
      </c>
      <c r="K8529" s="1" t="str">
        <f t="shared" ref="K8529:K8535" si="422">"2026-07-29 13:18:11"</f>
        <v>2026-07-29 13:18:11</v>
      </c>
      <c r="L8529" s="1" t="str">
        <f>"2018-01-24 16:40:42"</f>
        <v>2018-01-24 16:40:42</v>
      </c>
      <c r="M8529" s="1" t="s">
        <v>45</v>
      </c>
      <c r="N8529" s="1" t="s">
        <v>38</v>
      </c>
      <c r="O8529" s="1" t="s">
        <v>46</v>
      </c>
    </row>
    <row r="8530" spans="2:15" x14ac:dyDescent="0.3">
      <c r="B8530" s="1" t="s">
        <v>21</v>
      </c>
      <c r="C8530" s="1" t="str">
        <f>"4차"</f>
        <v>4차</v>
      </c>
      <c r="D8530" s="1" t="str">
        <f>"9628G67139"</f>
        <v>9628G67139</v>
      </c>
      <c r="E8530" s="1" t="s">
        <v>10</v>
      </c>
      <c r="F8530" s="1" t="str">
        <f>"10.128.3.211"</f>
        <v>10.128.3.211</v>
      </c>
      <c r="G8530" s="1" t="str">
        <f>"9628G671"</f>
        <v>9628G671</v>
      </c>
      <c r="H8530" s="1" t="str">
        <f>"역말간 39L1R13R2"</f>
        <v>역말간 39L1R13R2</v>
      </c>
      <c r="I8530" s="1" t="s">
        <v>8</v>
      </c>
      <c r="J8530" s="1" t="str">
        <f>"48/48"</f>
        <v>48/48</v>
      </c>
      <c r="K8530" s="1" t="str">
        <f t="shared" si="422"/>
        <v>2026-07-29 13:18:11</v>
      </c>
      <c r="L8530" s="1" t="str">
        <f>"2018-01-29 16:39:26"</f>
        <v>2018-01-29 16:39:26</v>
      </c>
      <c r="M8530" s="1" t="s">
        <v>45</v>
      </c>
      <c r="N8530" s="1" t="s">
        <v>38</v>
      </c>
      <c r="O8530" s="1" t="s">
        <v>46</v>
      </c>
    </row>
    <row r="8531" spans="2:15" x14ac:dyDescent="0.3">
      <c r="B8531" s="1" t="s">
        <v>21</v>
      </c>
      <c r="C8531" s="1" t="str">
        <f>"3차"</f>
        <v>3차</v>
      </c>
      <c r="D8531" s="1" t="str">
        <f>"9628G67339"</f>
        <v>9628G67339</v>
      </c>
      <c r="E8531" s="1" t="s">
        <v>10</v>
      </c>
      <c r="F8531" s="1" t="str">
        <f>"10.128.3.183"</f>
        <v>10.128.3.183</v>
      </c>
      <c r="G8531" s="1" t="str">
        <f>"9628G673"</f>
        <v>9628G673</v>
      </c>
      <c r="H8531" s="1" t="str">
        <f>"은수간 68L6"</f>
        <v>은수간 68L6</v>
      </c>
      <c r="I8531" s="1" t="s">
        <v>8</v>
      </c>
      <c r="J8531" s="1" t="str">
        <f>"8/8"</f>
        <v>8/8</v>
      </c>
      <c r="K8531" s="1" t="str">
        <f t="shared" si="422"/>
        <v>2026-07-29 13:18:11</v>
      </c>
      <c r="L8531" s="1" t="str">
        <f>"2018-02-01 15:08:29"</f>
        <v>2018-02-01 15:08:29</v>
      </c>
      <c r="M8531" s="1" t="s">
        <v>45</v>
      </c>
      <c r="N8531" s="1" t="s">
        <v>38</v>
      </c>
      <c r="O8531" s="1" t="s">
        <v>46</v>
      </c>
    </row>
    <row r="8532" spans="2:15" x14ac:dyDescent="0.3">
      <c r="B8532" s="1" t="s">
        <v>21</v>
      </c>
      <c r="C8532" s="1" t="str">
        <f>"3차"</f>
        <v>3차</v>
      </c>
      <c r="D8532" s="1" t="str">
        <f>"9628G68239"</f>
        <v>9628G68239</v>
      </c>
      <c r="E8532" s="1" t="s">
        <v>10</v>
      </c>
      <c r="F8532" s="1" t="str">
        <f>"10.128.3.182"</f>
        <v>10.128.3.182</v>
      </c>
      <c r="G8532" s="1" t="str">
        <f>"9628G682"</f>
        <v>9628G682</v>
      </c>
      <c r="H8532" s="1" t="str">
        <f>"서오간 45L15"</f>
        <v>서오간 45L15</v>
      </c>
      <c r="I8532" s="1" t="s">
        <v>8</v>
      </c>
      <c r="J8532" s="1" t="str">
        <f>"36/37"</f>
        <v>36/37</v>
      </c>
      <c r="K8532" s="1" t="str">
        <f t="shared" si="422"/>
        <v>2026-07-29 13:18:11</v>
      </c>
      <c r="L8532" s="1" t="str">
        <f>"2018-02-01 14:26:27"</f>
        <v>2018-02-01 14:26:27</v>
      </c>
      <c r="M8532" s="1" t="s">
        <v>45</v>
      </c>
      <c r="N8532" s="1" t="s">
        <v>38</v>
      </c>
      <c r="O8532" s="1" t="s">
        <v>46</v>
      </c>
    </row>
    <row r="8533" spans="2:15" x14ac:dyDescent="0.3">
      <c r="B8533" s="1" t="s">
        <v>21</v>
      </c>
      <c r="C8533" s="1" t="str">
        <f>"4차"</f>
        <v>4차</v>
      </c>
      <c r="D8533" s="1" t="str">
        <f>"9628G69139"</f>
        <v>9628G69139</v>
      </c>
      <c r="E8533" s="1" t="s">
        <v>10</v>
      </c>
      <c r="F8533" s="1" t="str">
        <f>"10.128.69.88"</f>
        <v>10.128.69.88</v>
      </c>
      <c r="G8533" s="1" t="str">
        <f>"9628G691"</f>
        <v>9628G691</v>
      </c>
      <c r="H8533" s="1" t="str">
        <f>"서오간 45L12R1"</f>
        <v>서오간 45L12R1</v>
      </c>
      <c r="I8533" s="1" t="s">
        <v>8</v>
      </c>
      <c r="J8533" s="1" t="str">
        <f>"81/83"</f>
        <v>81/83</v>
      </c>
      <c r="K8533" s="1" t="str">
        <f t="shared" si="422"/>
        <v>2026-07-29 13:18:11</v>
      </c>
      <c r="L8533" s="1" t="str">
        <f>"2018-01-31 16:01:03"</f>
        <v>2018-01-31 16:01:03</v>
      </c>
      <c r="M8533" s="1" t="s">
        <v>45</v>
      </c>
      <c r="N8533" s="1" t="s">
        <v>38</v>
      </c>
      <c r="O8533" s="1" t="s">
        <v>46</v>
      </c>
    </row>
    <row r="8534" spans="2:15" x14ac:dyDescent="0.3">
      <c r="B8534" s="1" t="s">
        <v>21</v>
      </c>
      <c r="C8534" s="1" t="str">
        <f>"4차"</f>
        <v>4차</v>
      </c>
      <c r="D8534" s="1" t="str">
        <f>"9628G69244"</f>
        <v>9628G69244</v>
      </c>
      <c r="E8534" s="1" t="s">
        <v>10</v>
      </c>
      <c r="F8534" s="1" t="str">
        <f>"10.10.82.58"</f>
        <v>10.10.82.58</v>
      </c>
      <c r="G8534" s="1" t="str">
        <f>"9628G692"</f>
        <v>9628G692</v>
      </c>
      <c r="H8534" s="1" t="str">
        <f>"서오간 45L12R2"</f>
        <v>서오간 45L12R2</v>
      </c>
      <c r="I8534" s="1" t="s">
        <v>8</v>
      </c>
      <c r="J8534" s="1" t="str">
        <f>"31/31"</f>
        <v>31/31</v>
      </c>
      <c r="K8534" s="1" t="str">
        <f t="shared" si="422"/>
        <v>2026-07-29 13:18:11</v>
      </c>
      <c r="L8534" s="1" t="str">
        <f>"2019-10-24 16:53:05"</f>
        <v>2019-10-24 16:53:05</v>
      </c>
      <c r="M8534" s="1" t="s">
        <v>1</v>
      </c>
      <c r="N8534" s="1" t="s">
        <v>38</v>
      </c>
      <c r="O8534" s="1" t="s">
        <v>46</v>
      </c>
    </row>
    <row r="8535" spans="2:15" x14ac:dyDescent="0.3">
      <c r="B8535" s="1" t="s">
        <v>21</v>
      </c>
      <c r="C8535" s="1" t="str">
        <f>"1차"</f>
        <v>1차</v>
      </c>
      <c r="D8535" s="1" t="str">
        <f>"9628G70100"</f>
        <v>9628G70100</v>
      </c>
      <c r="E8535" s="1" t="s">
        <v>10</v>
      </c>
      <c r="F8535" s="1" t="str">
        <f>"10.128.71.2"</f>
        <v>10.128.71.2</v>
      </c>
      <c r="G8535" s="1" t="str">
        <f>"9628G701"</f>
        <v>9628G701</v>
      </c>
      <c r="H8535" s="1" t="str">
        <f>"역말간 39L1R2"</f>
        <v>역말간 39L1R2</v>
      </c>
      <c r="I8535" s="1" t="s">
        <v>8</v>
      </c>
      <c r="J8535" s="1" t="str">
        <f>"36/39"</f>
        <v>36/39</v>
      </c>
      <c r="K8535" s="1" t="str">
        <f t="shared" si="422"/>
        <v>2026-07-29 13:18:11</v>
      </c>
      <c r="L8535" s="1" t="str">
        <f>"2014-10-08 00:13:56"</f>
        <v>2014-10-08 00:13:56</v>
      </c>
      <c r="M8535" s="1" t="s">
        <v>45</v>
      </c>
      <c r="N8535" s="1" t="s">
        <v>38</v>
      </c>
      <c r="O8535" s="1" t="s">
        <v>46</v>
      </c>
    </row>
    <row r="8536" spans="2:15" x14ac:dyDescent="0.3">
      <c r="B8536" s="1" t="s">
        <v>21</v>
      </c>
      <c r="C8536" s="1" t="str">
        <f>"1차"</f>
        <v>1차</v>
      </c>
      <c r="D8536" s="1" t="str">
        <f>"9628G70202"</f>
        <v>9628G70202</v>
      </c>
      <c r="E8536" s="1" t="s">
        <v>14</v>
      </c>
      <c r="F8536" s="1" t="str">
        <f>"10.128.71.3"</f>
        <v>10.128.71.3</v>
      </c>
      <c r="G8536" s="1" t="str">
        <f>"9628G702"</f>
        <v>9628G702</v>
      </c>
      <c r="H8536" s="1" t="str">
        <f>"역말간 39L1R3"</f>
        <v>역말간 39L1R3</v>
      </c>
      <c r="I8536" s="1" t="s">
        <v>8</v>
      </c>
      <c r="J8536" s="1" t="str">
        <f>"0/0"</f>
        <v>0/0</v>
      </c>
      <c r="K8536" s="1" t="str">
        <f>"2024-10-12 07:21:02"</f>
        <v>2024-10-12 07:21:02</v>
      </c>
      <c r="L8536" s="1" t="str">
        <f>"2014-11-28 00:14:11"</f>
        <v>2014-11-28 00:14:11</v>
      </c>
      <c r="M8536" s="1" t="s">
        <v>45</v>
      </c>
      <c r="N8536" s="1" t="s">
        <v>44</v>
      </c>
      <c r="O8536" s="1" t="s">
        <v>44</v>
      </c>
    </row>
    <row r="8537" spans="2:15" x14ac:dyDescent="0.3">
      <c r="B8537" s="1" t="s">
        <v>21</v>
      </c>
      <c r="C8537" s="1" t="str">
        <f>"1차"</f>
        <v>1차</v>
      </c>
      <c r="D8537" s="1" t="str">
        <f>"9628G72100"</f>
        <v>9628G72100</v>
      </c>
      <c r="E8537" s="1" t="s">
        <v>10</v>
      </c>
      <c r="F8537" s="1" t="str">
        <f>"10.128.71.8"</f>
        <v>10.128.71.8</v>
      </c>
      <c r="G8537" s="1" t="str">
        <f>"9628G721"</f>
        <v>9628G721</v>
      </c>
      <c r="H8537" s="1" t="str">
        <f>"역말간 39L1R6"</f>
        <v>역말간 39L1R6</v>
      </c>
      <c r="I8537" s="1" t="s">
        <v>8</v>
      </c>
      <c r="J8537" s="1" t="str">
        <f>"44/47"</f>
        <v>44/47</v>
      </c>
      <c r="K8537" s="1" t="str">
        <f>"2026-07-29 13:18:11"</f>
        <v>2026-07-29 13:18:11</v>
      </c>
      <c r="L8537" s="1" t="str">
        <f>"2014-10-10 00:13:39"</f>
        <v>2014-10-10 00:13:39</v>
      </c>
      <c r="M8537" s="1" t="s">
        <v>45</v>
      </c>
      <c r="N8537" s="1" t="s">
        <v>38</v>
      </c>
      <c r="O8537" s="1" t="s">
        <v>46</v>
      </c>
    </row>
    <row r="8538" spans="2:15" x14ac:dyDescent="0.3">
      <c r="B8538" s="1" t="s">
        <v>21</v>
      </c>
      <c r="C8538" s="1" t="str">
        <f>"1차"</f>
        <v>1차</v>
      </c>
      <c r="D8538" s="1" t="str">
        <f>"9628G72201"</f>
        <v>9628G72201</v>
      </c>
      <c r="E8538" s="1" t="s">
        <v>10</v>
      </c>
      <c r="F8538" s="1" t="str">
        <f>"10.12.138.39"</f>
        <v>10.12.138.39</v>
      </c>
      <c r="G8538" s="1" t="str">
        <f>"9628G722"</f>
        <v>9628G722</v>
      </c>
      <c r="H8538" s="1" t="str">
        <f>"역말간 39L1R5"</f>
        <v>역말간 39L1R5</v>
      </c>
      <c r="I8538" s="1" t="s">
        <v>8</v>
      </c>
      <c r="J8538" s="1" t="str">
        <f>"41/41"</f>
        <v>41/41</v>
      </c>
      <c r="K8538" s="1" t="str">
        <f>"2026-07-29 13:18:12"</f>
        <v>2026-07-29 13:18:12</v>
      </c>
      <c r="L8538" s="1" t="str">
        <f>"2014-12-23 18:04:52"</f>
        <v>2014-12-23 18:04:52</v>
      </c>
      <c r="M8538" s="1" t="s">
        <v>0</v>
      </c>
      <c r="N8538" s="1" t="s">
        <v>38</v>
      </c>
      <c r="O8538" s="1" t="s">
        <v>46</v>
      </c>
    </row>
    <row r="8539" spans="2:15" x14ac:dyDescent="0.3">
      <c r="B8539" s="1" t="s">
        <v>21</v>
      </c>
      <c r="C8539" s="1" t="str">
        <f>"3차"</f>
        <v>3차</v>
      </c>
      <c r="D8539" s="1" t="str">
        <f>"9628G73239"</f>
        <v>9628G73239</v>
      </c>
      <c r="E8539" s="1" t="s">
        <v>10</v>
      </c>
      <c r="F8539" s="1" t="str">
        <f>"10.128.71.21"</f>
        <v>10.128.71.21</v>
      </c>
      <c r="G8539" s="1" t="str">
        <f>"9628G732"</f>
        <v>9628G732</v>
      </c>
      <c r="H8539" s="1" t="str">
        <f>"역말간 39L1R7"</f>
        <v>역말간 39L1R7</v>
      </c>
      <c r="I8539" s="1" t="s">
        <v>8</v>
      </c>
      <c r="J8539" s="1" t="str">
        <f>"21/21"</f>
        <v>21/21</v>
      </c>
      <c r="K8539" s="1" t="str">
        <f>"2026-07-29 13:18:11"</f>
        <v>2026-07-29 13:18:11</v>
      </c>
      <c r="L8539" s="1" t="str">
        <f>"2018-01-25 17:00:58"</f>
        <v>2018-01-25 17:00:58</v>
      </c>
      <c r="M8539" s="1" t="s">
        <v>45</v>
      </c>
      <c r="N8539" s="1" t="s">
        <v>38</v>
      </c>
      <c r="O8539" s="1" t="s">
        <v>46</v>
      </c>
    </row>
    <row r="8540" spans="2:15" x14ac:dyDescent="0.3">
      <c r="B8540" s="1" t="s">
        <v>21</v>
      </c>
      <c r="C8540" s="1" t="str">
        <f>"4차"</f>
        <v>4차</v>
      </c>
      <c r="D8540" s="1" t="str">
        <f>"9628G74139"</f>
        <v>9628G74139</v>
      </c>
      <c r="E8540" s="1" t="s">
        <v>10</v>
      </c>
      <c r="F8540" s="1" t="str">
        <f>"10.128.3.201"</f>
        <v>10.128.3.201</v>
      </c>
      <c r="G8540" s="1" t="str">
        <f>"9628G741"</f>
        <v>9628G741</v>
      </c>
      <c r="H8540" s="1" t="str">
        <f>"역말간 39L1R8"</f>
        <v>역말간 39L1R8</v>
      </c>
      <c r="I8540" s="1" t="s">
        <v>8</v>
      </c>
      <c r="J8540" s="1" t="str">
        <f>"88/93"</f>
        <v>88/93</v>
      </c>
      <c r="K8540" s="1" t="str">
        <f>"2026-07-29 13:18:11"</f>
        <v>2026-07-29 13:18:11</v>
      </c>
      <c r="L8540" s="1" t="str">
        <f>"2018-01-25 17:20:42"</f>
        <v>2018-01-25 17:20:42</v>
      </c>
      <c r="M8540" s="1" t="s">
        <v>45</v>
      </c>
      <c r="N8540" s="1" t="s">
        <v>38</v>
      </c>
      <c r="O8540" s="1" t="s">
        <v>46</v>
      </c>
    </row>
    <row r="8541" spans="2:15" x14ac:dyDescent="0.3">
      <c r="B8541" s="1" t="s">
        <v>21</v>
      </c>
      <c r="C8541" s="1" t="str">
        <f>"3차"</f>
        <v>3차</v>
      </c>
      <c r="D8541" s="1" t="str">
        <f>"9628G74239"</f>
        <v>9628G74239</v>
      </c>
      <c r="E8541" s="1" t="s">
        <v>10</v>
      </c>
      <c r="F8541" s="1" t="str">
        <f>"10.128.3.202"</f>
        <v>10.128.3.202</v>
      </c>
      <c r="G8541" s="1" t="str">
        <f>"9628G742"</f>
        <v>9628G742</v>
      </c>
      <c r="H8541" s="1" t="str">
        <f>"역말간 39L1R9"</f>
        <v>역말간 39L1R9</v>
      </c>
      <c r="I8541" s="1" t="s">
        <v>8</v>
      </c>
      <c r="J8541" s="1" t="str">
        <f>"11/19"</f>
        <v>11/19</v>
      </c>
      <c r="K8541" s="1" t="str">
        <f>"2026-07-29 13:18:11"</f>
        <v>2026-07-29 13:18:11</v>
      </c>
      <c r="L8541" s="1" t="str">
        <f>"2018-01-25 16:34:57"</f>
        <v>2018-01-25 16:34:57</v>
      </c>
      <c r="M8541" s="1" t="s">
        <v>45</v>
      </c>
      <c r="N8541" s="1" t="s">
        <v>38</v>
      </c>
      <c r="O8541" s="1" t="s">
        <v>46</v>
      </c>
    </row>
    <row r="8542" spans="2:15" x14ac:dyDescent="0.3">
      <c r="B8542" s="1" t="s">
        <v>21</v>
      </c>
      <c r="C8542" s="1" t="str">
        <f>"3차"</f>
        <v>3차</v>
      </c>
      <c r="D8542" s="1" t="str">
        <f>"9628G76139"</f>
        <v>9628G76139</v>
      </c>
      <c r="E8542" s="1" t="s">
        <v>10</v>
      </c>
      <c r="F8542" s="1" t="str">
        <f>"10.128.3.206"</f>
        <v>10.128.3.206</v>
      </c>
      <c r="G8542" s="1" t="str">
        <f>"9628G761"</f>
        <v>9628G761</v>
      </c>
      <c r="H8542" s="1" t="str">
        <f>"역말간 39L1R11R3"</f>
        <v>역말간 39L1R11R3</v>
      </c>
      <c r="I8542" s="1" t="s">
        <v>8</v>
      </c>
      <c r="J8542" s="1" t="str">
        <f>"41/41"</f>
        <v>41/41</v>
      </c>
      <c r="K8542" s="1" t="str">
        <f>"2026-07-29 13:18:11"</f>
        <v>2026-07-29 13:18:11</v>
      </c>
      <c r="L8542" s="1" t="str">
        <f>"2018-01-24 16:41:13"</f>
        <v>2018-01-24 16:41:13</v>
      </c>
      <c r="M8542" s="1" t="s">
        <v>45</v>
      </c>
      <c r="N8542" s="1" t="s">
        <v>38</v>
      </c>
      <c r="O8542" s="1" t="s">
        <v>46</v>
      </c>
    </row>
    <row r="8543" spans="2:15" x14ac:dyDescent="0.3">
      <c r="B8543" s="1" t="s">
        <v>21</v>
      </c>
      <c r="C8543" s="1" t="str">
        <f>"3차"</f>
        <v>3차</v>
      </c>
      <c r="D8543" s="1" t="str">
        <f>"9628G77339"</f>
        <v>9628G77339</v>
      </c>
      <c r="E8543" s="1" t="s">
        <v>10</v>
      </c>
      <c r="F8543" s="1" t="str">
        <f>"10.128.3.185"</f>
        <v>10.128.3.185</v>
      </c>
      <c r="G8543" s="1" t="str">
        <f>"9628G773"</f>
        <v>9628G773</v>
      </c>
      <c r="H8543" s="1" t="str">
        <f>"은수간 68L8"</f>
        <v>은수간 68L8</v>
      </c>
      <c r="I8543" s="1" t="s">
        <v>8</v>
      </c>
      <c r="J8543" s="1" t="str">
        <f>"39/39"</f>
        <v>39/39</v>
      </c>
      <c r="K8543" s="1" t="str">
        <f>"2026-07-29 13:18:11"</f>
        <v>2026-07-29 13:18:11</v>
      </c>
      <c r="L8543" s="1" t="str">
        <f>"2018-02-01 18:35:59"</f>
        <v>2018-02-01 18:35:59</v>
      </c>
      <c r="M8543" s="1" t="s">
        <v>45</v>
      </c>
      <c r="N8543" s="1" t="s">
        <v>38</v>
      </c>
      <c r="O8543" s="1" t="s">
        <v>46</v>
      </c>
    </row>
    <row r="8544" spans="2:15" x14ac:dyDescent="0.3">
      <c r="B8544" s="1" t="s">
        <v>21</v>
      </c>
      <c r="C8544" s="1" t="str">
        <f>"3차"</f>
        <v>3차</v>
      </c>
      <c r="D8544" s="1" t="str">
        <f>"9628G77439"</f>
        <v>9628G77439</v>
      </c>
      <c r="E8544" s="1" t="s">
        <v>10</v>
      </c>
      <c r="F8544" s="1" t="str">
        <f>"10.128.3.184"</f>
        <v>10.128.3.184</v>
      </c>
      <c r="G8544" s="1" t="str">
        <f>"9628G774"</f>
        <v>9628G774</v>
      </c>
      <c r="H8544" s="1" t="str">
        <f>"은수간 68L7"</f>
        <v>은수간 68L7</v>
      </c>
      <c r="I8544" s="1" t="s">
        <v>8</v>
      </c>
      <c r="J8544" s="1" t="str">
        <f>"29/29"</f>
        <v>29/29</v>
      </c>
      <c r="K8544" s="1" t="str">
        <f>"2026-07-29 13:18:10"</f>
        <v>2026-07-29 13:18:10</v>
      </c>
      <c r="L8544" s="1" t="str">
        <f>"2018-01-31 15:34:57"</f>
        <v>2018-01-31 15:34:57</v>
      </c>
      <c r="M8544" s="1" t="s">
        <v>45</v>
      </c>
      <c r="N8544" s="1" t="s">
        <v>38</v>
      </c>
      <c r="O8544" s="1" t="s">
        <v>46</v>
      </c>
    </row>
    <row r="8545" spans="2:15" x14ac:dyDescent="0.3">
      <c r="B8545" s="1" t="s">
        <v>21</v>
      </c>
      <c r="C8545" s="1" t="str">
        <f>"3차"</f>
        <v>3차</v>
      </c>
      <c r="D8545" s="1" t="str">
        <f>"9628G79239"</f>
        <v>9628G79239</v>
      </c>
      <c r="E8545" s="1" t="s">
        <v>10</v>
      </c>
      <c r="F8545" s="1" t="str">
        <f>"10.14.7.128"</f>
        <v>10.14.7.128</v>
      </c>
      <c r="G8545" s="1" t="str">
        <f>"9628G792"</f>
        <v>9628G792</v>
      </c>
      <c r="H8545" s="1" t="str">
        <f>"서오간 45L11"</f>
        <v>서오간 45L11</v>
      </c>
      <c r="I8545" s="1" t="s">
        <v>8</v>
      </c>
      <c r="J8545" s="1" t="str">
        <f>"21/21"</f>
        <v>21/21</v>
      </c>
      <c r="K8545" s="1" t="str">
        <f>"2026-07-29 13:18:12"</f>
        <v>2026-07-29 13:18:12</v>
      </c>
      <c r="L8545" s="1" t="str">
        <f>"2018-03-30 10:41:42"</f>
        <v>2018-03-30 10:41:42</v>
      </c>
      <c r="M8545" s="1" t="s">
        <v>3</v>
      </c>
      <c r="N8545" s="1" t="s">
        <v>38</v>
      </c>
      <c r="O8545" s="1" t="s">
        <v>46</v>
      </c>
    </row>
    <row r="8546" spans="2:15" x14ac:dyDescent="0.3">
      <c r="B8546" s="1" t="s">
        <v>21</v>
      </c>
      <c r="C8546" s="1" t="str">
        <f>"1차"</f>
        <v>1차</v>
      </c>
      <c r="D8546" s="1" t="str">
        <f>"9628G80100"</f>
        <v>9628G80100</v>
      </c>
      <c r="E8546" s="1" t="s">
        <v>10</v>
      </c>
      <c r="F8546" s="1" t="str">
        <f>"10.128.71.5"</f>
        <v>10.128.71.5</v>
      </c>
      <c r="G8546" s="1" t="str">
        <f>"9628G801"</f>
        <v>9628G801</v>
      </c>
      <c r="H8546" s="1" t="str">
        <f>"역말간 44"</f>
        <v>역말간 44</v>
      </c>
      <c r="I8546" s="1" t="s">
        <v>8</v>
      </c>
      <c r="J8546" s="1" t="str">
        <f>"2/2"</f>
        <v>2/2</v>
      </c>
      <c r="K8546" s="1" t="str">
        <f>"2026-07-29 13:18:11"</f>
        <v>2026-07-29 13:18:11</v>
      </c>
      <c r="L8546" s="1" t="str">
        <f>"2014-10-31 15:00:52"</f>
        <v>2014-10-31 15:00:52</v>
      </c>
      <c r="M8546" s="1" t="s">
        <v>45</v>
      </c>
      <c r="N8546" s="1" t="s">
        <v>38</v>
      </c>
      <c r="O8546" s="1" t="s">
        <v>46</v>
      </c>
    </row>
    <row r="8547" spans="2:15" x14ac:dyDescent="0.3">
      <c r="B8547" s="1" t="s">
        <v>21</v>
      </c>
      <c r="C8547" s="1" t="str">
        <f>"1차"</f>
        <v>1차</v>
      </c>
      <c r="D8547" s="1" t="str">
        <f>"9628G81102"</f>
        <v>9628G81102</v>
      </c>
      <c r="E8547" s="1" t="s">
        <v>10</v>
      </c>
      <c r="F8547" s="1" t="str">
        <f>"10.12.129.197"</f>
        <v>10.12.129.197</v>
      </c>
      <c r="G8547" s="1" t="str">
        <f>"9628G811"</f>
        <v>9628G811</v>
      </c>
      <c r="H8547" s="1" t="str">
        <f>"역말간 45"</f>
        <v>역말간 45</v>
      </c>
      <c r="I8547" s="1" t="s">
        <v>8</v>
      </c>
      <c r="J8547" s="1" t="str">
        <f>"15/15"</f>
        <v>15/15</v>
      </c>
      <c r="K8547" s="1" t="str">
        <f>"2026-07-29 13:18:11"</f>
        <v>2026-07-29 13:18:11</v>
      </c>
      <c r="L8547" s="1" t="str">
        <f>"2014-11-24 15:23:48"</f>
        <v>2014-11-24 15:23:48</v>
      </c>
      <c r="M8547" s="1" t="s">
        <v>0</v>
      </c>
      <c r="N8547" s="1" t="s">
        <v>38</v>
      </c>
      <c r="O8547" s="1" t="s">
        <v>46</v>
      </c>
    </row>
    <row r="8548" spans="2:15" x14ac:dyDescent="0.3">
      <c r="B8548" s="1" t="s">
        <v>21</v>
      </c>
      <c r="C8548" s="1" t="str">
        <f t="shared" ref="C8548:C8560" si="423">"3차"</f>
        <v>3차</v>
      </c>
      <c r="D8548" s="1" t="str">
        <f>"9628G82139"</f>
        <v>9628G82139</v>
      </c>
      <c r="E8548" s="1" t="s">
        <v>10</v>
      </c>
      <c r="F8548" s="1" t="str">
        <f>"10.128.3.193"</f>
        <v>10.128.3.193</v>
      </c>
      <c r="G8548" s="1" t="str">
        <f>"9628G821"</f>
        <v>9628G821</v>
      </c>
      <c r="H8548" s="1" t="str">
        <f>"역말간 46"</f>
        <v>역말간 46</v>
      </c>
      <c r="I8548" s="1" t="s">
        <v>8</v>
      </c>
      <c r="J8548" s="1" t="str">
        <f>"4/4"</f>
        <v>4/4</v>
      </c>
      <c r="K8548" s="1" t="str">
        <f>"2026-07-29 13:18:10"</f>
        <v>2026-07-29 13:18:10</v>
      </c>
      <c r="L8548" s="1" t="str">
        <f>"2018-01-29 17:22:26"</f>
        <v>2018-01-29 17:22:26</v>
      </c>
      <c r="M8548" s="1" t="s">
        <v>45</v>
      </c>
      <c r="N8548" s="1" t="s">
        <v>38</v>
      </c>
      <c r="O8548" s="1" t="s">
        <v>46</v>
      </c>
    </row>
    <row r="8549" spans="2:15" x14ac:dyDescent="0.3">
      <c r="B8549" s="1" t="s">
        <v>21</v>
      </c>
      <c r="C8549" s="1" t="str">
        <f t="shared" si="423"/>
        <v>3차</v>
      </c>
      <c r="D8549" s="1" t="str">
        <f>"9628G83139"</f>
        <v>9628G83139</v>
      </c>
      <c r="E8549" s="1" t="s">
        <v>10</v>
      </c>
      <c r="F8549" s="1" t="str">
        <f>"10.128.3.195"</f>
        <v>10.128.3.195</v>
      </c>
      <c r="G8549" s="1" t="str">
        <f>"9628G831"</f>
        <v>9628G831</v>
      </c>
      <c r="H8549" s="1" t="str">
        <f>"역말간 48"</f>
        <v>역말간 48</v>
      </c>
      <c r="I8549" s="1" t="s">
        <v>8</v>
      </c>
      <c r="J8549" s="1" t="str">
        <f>"16/16"</f>
        <v>16/16</v>
      </c>
      <c r="K8549" s="1" t="str">
        <f>"2026-07-29 13:18:10"</f>
        <v>2026-07-29 13:18:10</v>
      </c>
      <c r="L8549" s="1" t="str">
        <f>"2018-01-29 16:46:41"</f>
        <v>2018-01-29 16:46:41</v>
      </c>
      <c r="M8549" s="1" t="s">
        <v>45</v>
      </c>
      <c r="N8549" s="1" t="s">
        <v>38</v>
      </c>
      <c r="O8549" s="1" t="s">
        <v>46</v>
      </c>
    </row>
    <row r="8550" spans="2:15" x14ac:dyDescent="0.3">
      <c r="B8550" s="1" t="s">
        <v>21</v>
      </c>
      <c r="C8550" s="1" t="str">
        <f t="shared" si="423"/>
        <v>3차</v>
      </c>
      <c r="D8550" s="1" t="str">
        <f>"9628G83239"</f>
        <v>9628G83239</v>
      </c>
      <c r="E8550" s="1" t="s">
        <v>10</v>
      </c>
      <c r="F8550" s="1" t="str">
        <f>"10.128.3.194"</f>
        <v>10.128.3.194</v>
      </c>
      <c r="G8550" s="1" t="str">
        <f>"9628G832"</f>
        <v>9628G832</v>
      </c>
      <c r="H8550" s="1" t="str">
        <f>"역말간 47"</f>
        <v>역말간 47</v>
      </c>
      <c r="I8550" s="1" t="s">
        <v>8</v>
      </c>
      <c r="J8550" s="1" t="str">
        <f>"12/12"</f>
        <v>12/12</v>
      </c>
      <c r="K8550" s="1" t="str">
        <f>"2026-07-29 13:18:10"</f>
        <v>2026-07-29 13:18:10</v>
      </c>
      <c r="L8550" s="1" t="str">
        <f>"2018-02-01 17:46:00"</f>
        <v>2018-02-01 17:46:00</v>
      </c>
      <c r="M8550" s="1" t="s">
        <v>45</v>
      </c>
      <c r="N8550" s="1" t="s">
        <v>38</v>
      </c>
      <c r="O8550" s="1" t="s">
        <v>46</v>
      </c>
    </row>
    <row r="8551" spans="2:15" x14ac:dyDescent="0.3">
      <c r="B8551" s="1" t="s">
        <v>21</v>
      </c>
      <c r="C8551" s="1" t="str">
        <f t="shared" si="423"/>
        <v>3차</v>
      </c>
      <c r="D8551" s="1" t="str">
        <f>"9628G85139"</f>
        <v>9628G85139</v>
      </c>
      <c r="E8551" s="1" t="s">
        <v>10</v>
      </c>
      <c r="F8551" s="1" t="str">
        <f>"10.128.4.91"</f>
        <v>10.128.4.91</v>
      </c>
      <c r="G8551" s="1" t="str">
        <f>"9628G851"</f>
        <v>9628G851</v>
      </c>
      <c r="H8551" s="1" t="str">
        <f>"역말간 39L1R8R1"</f>
        <v>역말간 39L1R8R1</v>
      </c>
      <c r="I8551" s="1" t="s">
        <v>8</v>
      </c>
      <c r="J8551" s="1" t="str">
        <f>"68/68"</f>
        <v>68/68</v>
      </c>
      <c r="K8551" s="1" t="str">
        <f>"2026-07-29 13:18:12"</f>
        <v>2026-07-29 13:18:12</v>
      </c>
      <c r="L8551" s="1" t="str">
        <f>"2018-03-29 19:01:59"</f>
        <v>2018-03-29 19:01:59</v>
      </c>
      <c r="M8551" s="1" t="s">
        <v>45</v>
      </c>
      <c r="N8551" s="1" t="s">
        <v>38</v>
      </c>
      <c r="O8551" s="1" t="s">
        <v>46</v>
      </c>
    </row>
    <row r="8552" spans="2:15" x14ac:dyDescent="0.3">
      <c r="B8552" s="1" t="s">
        <v>21</v>
      </c>
      <c r="C8552" s="1" t="str">
        <f t="shared" si="423"/>
        <v>3차</v>
      </c>
      <c r="D8552" s="1" t="str">
        <f>"9628G87239"</f>
        <v>9628G87239</v>
      </c>
      <c r="E8552" s="1" t="s">
        <v>10</v>
      </c>
      <c r="F8552" s="1" t="str">
        <f>"10.128.3.186"</f>
        <v>10.128.3.186</v>
      </c>
      <c r="G8552" s="1" t="str">
        <f>"9628G872"</f>
        <v>9628G872</v>
      </c>
      <c r="H8552" s="1" t="str">
        <f>"은수간 68L10"</f>
        <v>은수간 68L10</v>
      </c>
      <c r="I8552" s="1" t="s">
        <v>8</v>
      </c>
      <c r="J8552" s="1" t="str">
        <f>"64/73"</f>
        <v>64/73</v>
      </c>
      <c r="K8552" s="1" t="str">
        <f>"2026-07-29 13:18:10"</f>
        <v>2026-07-29 13:18:10</v>
      </c>
      <c r="L8552" s="1" t="str">
        <f>"2018-02-01 18:28:59"</f>
        <v>2018-02-01 18:28:59</v>
      </c>
      <c r="M8552" s="1" t="s">
        <v>45</v>
      </c>
      <c r="N8552" s="1" t="s">
        <v>38</v>
      </c>
      <c r="O8552" s="1" t="s">
        <v>46</v>
      </c>
    </row>
    <row r="8553" spans="2:15" x14ac:dyDescent="0.3">
      <c r="B8553" s="1" t="s">
        <v>21</v>
      </c>
      <c r="C8553" s="1" t="str">
        <f t="shared" si="423"/>
        <v>3차</v>
      </c>
      <c r="D8553" s="1" t="str">
        <f>"9628G90139"</f>
        <v>9628G90139</v>
      </c>
      <c r="E8553" s="1" t="s">
        <v>12</v>
      </c>
      <c r="F8553" s="1" t="str">
        <f>"10.128.3.148"</f>
        <v>10.128.3.148</v>
      </c>
      <c r="G8553" s="1" t="str">
        <f>"9628G901"</f>
        <v>9628G901</v>
      </c>
      <c r="H8553" s="1" t="str">
        <f>"서오간 22"</f>
        <v>서오간 22</v>
      </c>
      <c r="I8553" s="1" t="s">
        <v>8</v>
      </c>
      <c r="J8553" s="1" t="str">
        <f>"0/5"</f>
        <v>0/5</v>
      </c>
      <c r="K8553" s="1" t="str">
        <f>"2026-07-28 07:18:02"</f>
        <v>2026-07-28 07:18:02</v>
      </c>
      <c r="L8553" s="1" t="str">
        <f>"2018-01-23 11:16:39"</f>
        <v>2018-01-23 11:16:39</v>
      </c>
      <c r="M8553" s="1" t="s">
        <v>45</v>
      </c>
      <c r="N8553" s="1" t="s">
        <v>38</v>
      </c>
      <c r="O8553" s="1" t="s">
        <v>46</v>
      </c>
    </row>
    <row r="8554" spans="2:15" x14ac:dyDescent="0.3">
      <c r="B8554" s="1" t="s">
        <v>21</v>
      </c>
      <c r="C8554" s="1" t="str">
        <f t="shared" si="423"/>
        <v>3차</v>
      </c>
      <c r="D8554" s="1" t="str">
        <f>"9628G91239"</f>
        <v>9628G91239</v>
      </c>
      <c r="E8554" s="1" t="s">
        <v>10</v>
      </c>
      <c r="F8554" s="1" t="str">
        <f>"10.128.73.210"</f>
        <v>10.128.73.210</v>
      </c>
      <c r="G8554" s="1" t="str">
        <f>"9628G912"</f>
        <v>9628G912</v>
      </c>
      <c r="H8554" s="1" t="str">
        <f>"서오간 16R5"</f>
        <v>서오간 16R5</v>
      </c>
      <c r="I8554" s="1" t="s">
        <v>8</v>
      </c>
      <c r="J8554" s="1" t="str">
        <f>"23/23"</f>
        <v>23/23</v>
      </c>
      <c r="K8554" s="1" t="str">
        <f t="shared" ref="K8554:K8560" si="424">"2026-07-29 13:18:10"</f>
        <v>2026-07-29 13:18:10</v>
      </c>
      <c r="L8554" s="1" t="str">
        <f>"2018-03-28 16:20:29"</f>
        <v>2018-03-28 16:20:29</v>
      </c>
      <c r="M8554" s="1" t="s">
        <v>45</v>
      </c>
      <c r="N8554" s="1" t="s">
        <v>38</v>
      </c>
      <c r="O8554" s="1" t="s">
        <v>46</v>
      </c>
    </row>
    <row r="8555" spans="2:15" x14ac:dyDescent="0.3">
      <c r="B8555" s="1" t="s">
        <v>21</v>
      </c>
      <c r="C8555" s="1" t="str">
        <f t="shared" si="423"/>
        <v>3차</v>
      </c>
      <c r="D8555" s="1" t="str">
        <f>"9628G91339"</f>
        <v>9628G91339</v>
      </c>
      <c r="E8555" s="1" t="s">
        <v>10</v>
      </c>
      <c r="F8555" s="1" t="str">
        <f>"10.128.3.149"</f>
        <v>10.128.3.149</v>
      </c>
      <c r="G8555" s="1" t="str">
        <f>"9628G913"</f>
        <v>9628G913</v>
      </c>
      <c r="H8555" s="1" t="str">
        <f>"서오간 24"</f>
        <v>서오간 24</v>
      </c>
      <c r="I8555" s="1" t="s">
        <v>8</v>
      </c>
      <c r="J8555" s="1" t="str">
        <f>"17/17"</f>
        <v>17/17</v>
      </c>
      <c r="K8555" s="1" t="str">
        <f t="shared" si="424"/>
        <v>2026-07-29 13:18:10</v>
      </c>
      <c r="L8555" s="1" t="str">
        <f>"2018-01-31 15:44:27"</f>
        <v>2018-01-31 15:44:27</v>
      </c>
      <c r="M8555" s="1" t="s">
        <v>45</v>
      </c>
      <c r="N8555" s="1" t="s">
        <v>38</v>
      </c>
      <c r="O8555" s="1" t="s">
        <v>46</v>
      </c>
    </row>
    <row r="8556" spans="2:15" x14ac:dyDescent="0.3">
      <c r="B8556" s="1" t="s">
        <v>21</v>
      </c>
      <c r="C8556" s="1" t="str">
        <f t="shared" si="423"/>
        <v>3차</v>
      </c>
      <c r="D8556" s="1" t="str">
        <f>"9628G91439"</f>
        <v>9628G91439</v>
      </c>
      <c r="E8556" s="1" t="s">
        <v>10</v>
      </c>
      <c r="F8556" s="1" t="str">
        <f>"10.128.3.150"</f>
        <v>10.128.3.150</v>
      </c>
      <c r="G8556" s="1" t="str">
        <f>"9628G914"</f>
        <v>9628G914</v>
      </c>
      <c r="H8556" s="1" t="str">
        <f>"서오간 25"</f>
        <v>서오간 25</v>
      </c>
      <c r="I8556" s="1" t="s">
        <v>8</v>
      </c>
      <c r="J8556" s="1" t="str">
        <f>"30/30"</f>
        <v>30/30</v>
      </c>
      <c r="K8556" s="1" t="str">
        <f t="shared" si="424"/>
        <v>2026-07-29 13:18:10</v>
      </c>
      <c r="L8556" s="1" t="str">
        <f>"2018-01-31 15:47:57"</f>
        <v>2018-01-31 15:47:57</v>
      </c>
      <c r="M8556" s="1" t="s">
        <v>45</v>
      </c>
      <c r="N8556" s="1" t="s">
        <v>38</v>
      </c>
      <c r="O8556" s="1" t="s">
        <v>46</v>
      </c>
    </row>
    <row r="8557" spans="2:15" x14ac:dyDescent="0.3">
      <c r="B8557" s="1" t="s">
        <v>21</v>
      </c>
      <c r="C8557" s="1" t="str">
        <f t="shared" si="423"/>
        <v>3차</v>
      </c>
      <c r="D8557" s="1" t="str">
        <f>"9628G92139"</f>
        <v>9628G92139</v>
      </c>
      <c r="E8557" s="1" t="s">
        <v>10</v>
      </c>
      <c r="F8557" s="1" t="str">
        <f>"10.128.73.242"</f>
        <v>10.128.73.242</v>
      </c>
      <c r="G8557" s="1" t="str">
        <f>"9628G921"</f>
        <v>9628G921</v>
      </c>
      <c r="H8557" s="1" t="str">
        <f>"서오간 11R10L1"</f>
        <v>서오간 11R10L1</v>
      </c>
      <c r="I8557" s="1" t="s">
        <v>8</v>
      </c>
      <c r="J8557" s="1" t="str">
        <f>"32/33"</f>
        <v>32/33</v>
      </c>
      <c r="K8557" s="1" t="str">
        <f t="shared" si="424"/>
        <v>2026-07-29 13:18:10</v>
      </c>
      <c r="L8557" s="1" t="str">
        <f>"2018-01-23 11:04:39"</f>
        <v>2018-01-23 11:04:39</v>
      </c>
      <c r="M8557" s="1" t="s">
        <v>45</v>
      </c>
      <c r="N8557" s="1" t="s">
        <v>38</v>
      </c>
      <c r="O8557" s="1" t="s">
        <v>46</v>
      </c>
    </row>
    <row r="8558" spans="2:15" x14ac:dyDescent="0.3">
      <c r="B8558" s="1" t="s">
        <v>21</v>
      </c>
      <c r="C8558" s="1" t="str">
        <f t="shared" si="423"/>
        <v>3차</v>
      </c>
      <c r="D8558" s="1" t="str">
        <f>"9628G93139"</f>
        <v>9628G93139</v>
      </c>
      <c r="E8558" s="1" t="s">
        <v>10</v>
      </c>
      <c r="F8558" s="1" t="str">
        <f>"10.128.73.146"</f>
        <v>10.128.73.146</v>
      </c>
      <c r="G8558" s="1" t="str">
        <f>"9628G931"</f>
        <v>9628G931</v>
      </c>
      <c r="H8558" s="1" t="str">
        <f>"서오간 28"</f>
        <v>서오간 28</v>
      </c>
      <c r="I8558" s="1" t="s">
        <v>8</v>
      </c>
      <c r="J8558" s="1" t="str">
        <f>"14/14"</f>
        <v>14/14</v>
      </c>
      <c r="K8558" s="1" t="str">
        <f t="shared" si="424"/>
        <v>2026-07-29 13:18:10</v>
      </c>
      <c r="L8558" s="1" t="str">
        <f>"2018-01-15 11:21:39"</f>
        <v>2018-01-15 11:21:39</v>
      </c>
      <c r="M8558" s="1" t="s">
        <v>45</v>
      </c>
      <c r="N8558" s="1" t="s">
        <v>38</v>
      </c>
      <c r="O8558" s="1" t="s">
        <v>46</v>
      </c>
    </row>
    <row r="8559" spans="2:15" x14ac:dyDescent="0.3">
      <c r="B8559" s="1" t="s">
        <v>21</v>
      </c>
      <c r="C8559" s="1" t="str">
        <f t="shared" si="423"/>
        <v>3차</v>
      </c>
      <c r="D8559" s="1" t="str">
        <f>"9628G93239"</f>
        <v>9628G93239</v>
      </c>
      <c r="E8559" s="1" t="s">
        <v>10</v>
      </c>
      <c r="F8559" s="1" t="str">
        <f>"10.128.73.163"</f>
        <v>10.128.73.163</v>
      </c>
      <c r="G8559" s="1" t="str">
        <f>"9628G932"</f>
        <v>9628G932</v>
      </c>
      <c r="H8559" s="1" t="str">
        <f>"서오간 27"</f>
        <v>서오간 27</v>
      </c>
      <c r="I8559" s="1" t="s">
        <v>8</v>
      </c>
      <c r="J8559" s="1" t="str">
        <f>"18/18"</f>
        <v>18/18</v>
      </c>
      <c r="K8559" s="1" t="str">
        <f t="shared" si="424"/>
        <v>2026-07-29 13:18:10</v>
      </c>
      <c r="L8559" s="1" t="str">
        <f>"2018-01-15 10:00:24"</f>
        <v>2018-01-15 10:00:24</v>
      </c>
      <c r="M8559" s="1" t="s">
        <v>45</v>
      </c>
      <c r="N8559" s="1" t="s">
        <v>38</v>
      </c>
      <c r="O8559" s="1" t="s">
        <v>46</v>
      </c>
    </row>
    <row r="8560" spans="2:15" x14ac:dyDescent="0.3">
      <c r="B8560" s="1" t="s">
        <v>21</v>
      </c>
      <c r="C8560" s="1" t="str">
        <f t="shared" si="423"/>
        <v>3차</v>
      </c>
      <c r="D8560" s="1" t="str">
        <f>"9628G95339"</f>
        <v>9628G95339</v>
      </c>
      <c r="E8560" s="1" t="s">
        <v>10</v>
      </c>
      <c r="F8560" s="1" t="str">
        <f>"10.128.73.148"</f>
        <v>10.128.73.148</v>
      </c>
      <c r="G8560" s="1" t="str">
        <f>"9628G953"</f>
        <v>9628G953</v>
      </c>
      <c r="H8560" s="1" t="str">
        <f>"서오간 30"</f>
        <v>서오간 30</v>
      </c>
      <c r="I8560" s="1" t="s">
        <v>8</v>
      </c>
      <c r="J8560" s="1" t="str">
        <f>"1/1"</f>
        <v>1/1</v>
      </c>
      <c r="K8560" s="1" t="str">
        <f t="shared" si="424"/>
        <v>2026-07-29 13:18:10</v>
      </c>
      <c r="L8560" s="1" t="str">
        <f>"2018-03-16 10:07:31"</f>
        <v>2018-03-16 10:07:31</v>
      </c>
      <c r="M8560" s="1" t="s">
        <v>45</v>
      </c>
      <c r="N8560" s="1" t="s">
        <v>38</v>
      </c>
      <c r="O8560" s="1" t="s">
        <v>46</v>
      </c>
    </row>
    <row r="8561" spans="2:15" x14ac:dyDescent="0.3">
      <c r="B8561" s="1" t="s">
        <v>21</v>
      </c>
      <c r="C8561" s="1" t="str">
        <f>"1차"</f>
        <v>1차</v>
      </c>
      <c r="D8561" s="1" t="str">
        <f>"9628G99102"</f>
        <v>9628G99102</v>
      </c>
      <c r="E8561" s="1" t="s">
        <v>10</v>
      </c>
      <c r="F8561" s="1" t="str">
        <f>"10.12.130.55"</f>
        <v>10.12.130.55</v>
      </c>
      <c r="G8561" s="1" t="str">
        <f>"9628G991"</f>
        <v>9628G991</v>
      </c>
      <c r="H8561" s="1" t="str">
        <f>"서오간 45L4"</f>
        <v>서오간 45L4</v>
      </c>
      <c r="I8561" s="1" t="s">
        <v>8</v>
      </c>
      <c r="J8561" s="1" t="str">
        <f>"48/53"</f>
        <v>48/53</v>
      </c>
      <c r="K8561" s="1" t="str">
        <f>"2026-07-29 13:18:12"</f>
        <v>2026-07-29 13:18:12</v>
      </c>
      <c r="L8561" s="1" t="str">
        <f>"2015-01-02 01:37:58"</f>
        <v>2015-01-02 01:37:58</v>
      </c>
      <c r="M8561" s="1" t="s">
        <v>0</v>
      </c>
      <c r="N8561" s="1" t="s">
        <v>38</v>
      </c>
      <c r="O8561" s="1" t="s">
        <v>46</v>
      </c>
    </row>
    <row r="8562" spans="2:15" x14ac:dyDescent="0.3">
      <c r="B8562" s="1" t="s">
        <v>21</v>
      </c>
      <c r="C8562" s="1" t="str">
        <f>"1차"</f>
        <v>1차</v>
      </c>
      <c r="D8562" s="1" t="str">
        <f>"9628H01100"</f>
        <v>9628H01100</v>
      </c>
      <c r="E8562" s="1" t="s">
        <v>10</v>
      </c>
      <c r="F8562" s="1" t="str">
        <f>"10.128.73.218"</f>
        <v>10.128.73.218</v>
      </c>
      <c r="G8562" s="1" t="str">
        <f>"9628H011"</f>
        <v>9628H011</v>
      </c>
      <c r="H8562" s="1" t="str">
        <f>"서오간 16R4"</f>
        <v>서오간 16R4</v>
      </c>
      <c r="I8562" s="1" t="s">
        <v>8</v>
      </c>
      <c r="J8562" s="1" t="str">
        <f>"71/76"</f>
        <v>71/76</v>
      </c>
      <c r="K8562" s="1" t="str">
        <f>"2026-07-29 13:18:10"</f>
        <v>2026-07-29 13:18:10</v>
      </c>
      <c r="L8562" s="1" t="str">
        <f>"2015-07-20 09:46:03"</f>
        <v>2015-07-20 09:46:03</v>
      </c>
      <c r="M8562" s="1" t="s">
        <v>45</v>
      </c>
      <c r="N8562" s="1" t="s">
        <v>38</v>
      </c>
      <c r="O8562" s="1" t="s">
        <v>46</v>
      </c>
    </row>
    <row r="8563" spans="2:15" x14ac:dyDescent="0.3">
      <c r="B8563" s="1" t="s">
        <v>21</v>
      </c>
      <c r="C8563" s="1" t="str">
        <f>"3차"</f>
        <v>3차</v>
      </c>
      <c r="D8563" s="1" t="str">
        <f>"9628H03139"</f>
        <v>9628H03139</v>
      </c>
      <c r="E8563" s="1" t="s">
        <v>10</v>
      </c>
      <c r="F8563" s="1" t="str">
        <f>"10.128.73.243"</f>
        <v>10.128.73.243</v>
      </c>
      <c r="G8563" s="1" t="str">
        <f>"9628H031"</f>
        <v>9628H031</v>
      </c>
      <c r="H8563" s="1" t="str">
        <f>"서오간 11R10L2"</f>
        <v>서오간 11R10L2</v>
      </c>
      <c r="I8563" s="1" t="s">
        <v>8</v>
      </c>
      <c r="J8563" s="1" t="str">
        <f>"36/36"</f>
        <v>36/36</v>
      </c>
      <c r="K8563" s="1" t="str">
        <f>"2026-07-29 13:18:10"</f>
        <v>2026-07-29 13:18:10</v>
      </c>
      <c r="L8563" s="1" t="str">
        <f>"2018-01-23 10:45:38"</f>
        <v>2018-01-23 10:45:38</v>
      </c>
      <c r="M8563" s="1" t="s">
        <v>45</v>
      </c>
      <c r="N8563" s="1" t="s">
        <v>38</v>
      </c>
      <c r="O8563" s="1" t="s">
        <v>46</v>
      </c>
    </row>
    <row r="8564" spans="2:15" x14ac:dyDescent="0.3">
      <c r="B8564" s="1" t="s">
        <v>21</v>
      </c>
      <c r="C8564" s="1" t="str">
        <f>"3차"</f>
        <v>3차</v>
      </c>
      <c r="D8564" s="1" t="str">
        <f>"9628H04139"</f>
        <v>9628H04139</v>
      </c>
      <c r="E8564" s="1" t="s">
        <v>10</v>
      </c>
      <c r="F8564" s="1" t="str">
        <f>"10.128.73.244"</f>
        <v>10.128.73.244</v>
      </c>
      <c r="G8564" s="1" t="str">
        <f>"9628H041"</f>
        <v>9628H041</v>
      </c>
      <c r="H8564" s="1" t="str">
        <f>"서오간 11R10L3"</f>
        <v>서오간 11R10L3</v>
      </c>
      <c r="I8564" s="1" t="s">
        <v>8</v>
      </c>
      <c r="J8564" s="1" t="str">
        <f>"64/64"</f>
        <v>64/64</v>
      </c>
      <c r="K8564" s="1" t="str">
        <f>"2026-07-29 13:18:10"</f>
        <v>2026-07-29 13:18:10</v>
      </c>
      <c r="L8564" s="1" t="str">
        <f>"2018-01-23 10:52:39"</f>
        <v>2018-01-23 10:52:39</v>
      </c>
      <c r="M8564" s="1" t="s">
        <v>45</v>
      </c>
      <c r="N8564" s="1" t="s">
        <v>38</v>
      </c>
      <c r="O8564" s="1" t="s">
        <v>46</v>
      </c>
    </row>
    <row r="8565" spans="2:15" x14ac:dyDescent="0.3">
      <c r="B8565" s="1" t="s">
        <v>21</v>
      </c>
      <c r="C8565" s="1" t="str">
        <f>"3차"</f>
        <v>3차</v>
      </c>
      <c r="D8565" s="1" t="str">
        <f>"9628H05139"</f>
        <v>9628H05139</v>
      </c>
      <c r="E8565" s="1" t="s">
        <v>10</v>
      </c>
      <c r="F8565" s="1" t="str">
        <f>"10.128.73.149"</f>
        <v>10.128.73.149</v>
      </c>
      <c r="G8565" s="1" t="str">
        <f>"9628H051"</f>
        <v>9628H051</v>
      </c>
      <c r="H8565" s="1" t="str">
        <f>"서오간 31"</f>
        <v>서오간 31</v>
      </c>
      <c r="I8565" s="1" t="s">
        <v>8</v>
      </c>
      <c r="J8565" s="1" t="str">
        <f>"63/65"</f>
        <v>63/65</v>
      </c>
      <c r="K8565" s="1" t="str">
        <f>"2026-07-29 13:18:10"</f>
        <v>2026-07-29 13:18:10</v>
      </c>
      <c r="L8565" s="1" t="str">
        <f>"2018-01-31 19:05:47"</f>
        <v>2018-01-31 19:05:47</v>
      </c>
      <c r="M8565" s="1" t="s">
        <v>45</v>
      </c>
      <c r="N8565" s="1" t="s">
        <v>38</v>
      </c>
      <c r="O8565" s="1" t="s">
        <v>46</v>
      </c>
    </row>
    <row r="8566" spans="2:15" x14ac:dyDescent="0.3">
      <c r="B8566" s="1" t="s">
        <v>21</v>
      </c>
      <c r="C8566" s="1" t="str">
        <f>"3차"</f>
        <v>3차</v>
      </c>
      <c r="D8566" s="1" t="str">
        <f>"9628H06139"</f>
        <v>9628H06139</v>
      </c>
      <c r="E8566" s="1" t="s">
        <v>10</v>
      </c>
      <c r="F8566" s="1" t="str">
        <f>"10.128.73.150"</f>
        <v>10.128.73.150</v>
      </c>
      <c r="G8566" s="1" t="str">
        <f>"9628H061"</f>
        <v>9628H061</v>
      </c>
      <c r="H8566" s="1" t="str">
        <f>"서오간 33"</f>
        <v>서오간 33</v>
      </c>
      <c r="I8566" s="1" t="s">
        <v>8</v>
      </c>
      <c r="J8566" s="1" t="str">
        <f>"5/5"</f>
        <v>5/5</v>
      </c>
      <c r="K8566" s="1" t="str">
        <f>"2026-07-29 13:18:10"</f>
        <v>2026-07-29 13:18:10</v>
      </c>
      <c r="L8566" s="1" t="str">
        <f>"2018-01-15 11:36:39"</f>
        <v>2018-01-15 11:36:39</v>
      </c>
      <c r="M8566" s="1" t="s">
        <v>45</v>
      </c>
      <c r="N8566" s="1" t="s">
        <v>38</v>
      </c>
      <c r="O8566" s="1" t="s">
        <v>46</v>
      </c>
    </row>
    <row r="8567" spans="2:15" x14ac:dyDescent="0.3">
      <c r="B8567" s="1" t="s">
        <v>21</v>
      </c>
      <c r="C8567" s="1" t="str">
        <f>"4차"</f>
        <v>4차</v>
      </c>
      <c r="D8567" s="1" t="str">
        <f>"9628H11144"</f>
        <v>9628H11144</v>
      </c>
      <c r="E8567" s="1" t="s">
        <v>10</v>
      </c>
      <c r="F8567" s="1" t="str">
        <f>"10.10.82.26"</f>
        <v>10.10.82.26</v>
      </c>
      <c r="G8567" s="1" t="str">
        <f>"9628H111"</f>
        <v>9628H111</v>
      </c>
      <c r="H8567" s="1" t="str">
        <f>"서오간 11R2L3"</f>
        <v>서오간 11R2L3</v>
      </c>
      <c r="I8567" s="1" t="s">
        <v>8</v>
      </c>
      <c r="J8567" s="1" t="str">
        <f>"34/34"</f>
        <v>34/34</v>
      </c>
      <c r="K8567" s="1" t="str">
        <f>"2026-07-29 13:18:11"</f>
        <v>2026-07-29 13:18:11</v>
      </c>
      <c r="L8567" s="1" t="str">
        <f>"2019-11-04 16:23:45"</f>
        <v>2019-11-04 16:23:45</v>
      </c>
      <c r="M8567" s="1" t="s">
        <v>1</v>
      </c>
      <c r="N8567" s="1" t="s">
        <v>38</v>
      </c>
      <c r="O8567" s="1" t="s">
        <v>46</v>
      </c>
    </row>
    <row r="8568" spans="2:15" x14ac:dyDescent="0.3">
      <c r="B8568" s="1" t="s">
        <v>21</v>
      </c>
      <c r="C8568" s="1" t="str">
        <f>"3차"</f>
        <v>3차</v>
      </c>
      <c r="D8568" s="1" t="str">
        <f>"9628H12139"</f>
        <v>9628H12139</v>
      </c>
      <c r="E8568" s="1" t="s">
        <v>10</v>
      </c>
      <c r="F8568" s="1" t="str">
        <f>"10.128.73.245"</f>
        <v>10.128.73.245</v>
      </c>
      <c r="G8568" s="1" t="str">
        <f>"9628H121"</f>
        <v>9628H121</v>
      </c>
      <c r="H8568" s="1" t="str">
        <f>"서오간 11R9"</f>
        <v>서오간 11R9</v>
      </c>
      <c r="I8568" s="1" t="s">
        <v>8</v>
      </c>
      <c r="J8568" s="1" t="str">
        <f>"56/56"</f>
        <v>56/56</v>
      </c>
      <c r="K8568" s="1" t="str">
        <f t="shared" ref="K8568:K8573" si="425">"2026-07-29 13:18:10"</f>
        <v>2026-07-29 13:18:10</v>
      </c>
      <c r="L8568" s="1" t="str">
        <f>"2018-01-23 10:49:39"</f>
        <v>2018-01-23 10:49:39</v>
      </c>
      <c r="M8568" s="1" t="s">
        <v>45</v>
      </c>
      <c r="N8568" s="1" t="s">
        <v>38</v>
      </c>
      <c r="O8568" s="1" t="s">
        <v>46</v>
      </c>
    </row>
    <row r="8569" spans="2:15" x14ac:dyDescent="0.3">
      <c r="B8569" s="1" t="s">
        <v>21</v>
      </c>
      <c r="C8569" s="1" t="str">
        <f>"3차"</f>
        <v>3차</v>
      </c>
      <c r="D8569" s="1" t="str">
        <f>"9628H12239"</f>
        <v>9628H12239</v>
      </c>
      <c r="E8569" s="1" t="s">
        <v>10</v>
      </c>
      <c r="F8569" s="1" t="str">
        <f>"10.128.73.246"</f>
        <v>10.128.73.246</v>
      </c>
      <c r="G8569" s="1" t="str">
        <f>"9628H122"</f>
        <v>9628H122</v>
      </c>
      <c r="H8569" s="1" t="str">
        <f>"서오간 11R9L1"</f>
        <v>서오간 11R9L1</v>
      </c>
      <c r="I8569" s="1" t="s">
        <v>8</v>
      </c>
      <c r="J8569" s="1" t="str">
        <f>"49/49"</f>
        <v>49/49</v>
      </c>
      <c r="K8569" s="1" t="str">
        <f t="shared" si="425"/>
        <v>2026-07-29 13:18:10</v>
      </c>
      <c r="L8569" s="1" t="str">
        <f>"2018-01-23 11:10:09"</f>
        <v>2018-01-23 11:10:09</v>
      </c>
      <c r="M8569" s="1" t="s">
        <v>45</v>
      </c>
      <c r="N8569" s="1" t="s">
        <v>38</v>
      </c>
      <c r="O8569" s="1" t="s">
        <v>46</v>
      </c>
    </row>
    <row r="8570" spans="2:15" x14ac:dyDescent="0.3">
      <c r="B8570" s="1" t="s">
        <v>21</v>
      </c>
      <c r="C8570" s="1" t="str">
        <f>"3차"</f>
        <v>3차</v>
      </c>
      <c r="D8570" s="1" t="str">
        <f>"9628H13139"</f>
        <v>9628H13139</v>
      </c>
      <c r="E8570" s="1" t="s">
        <v>10</v>
      </c>
      <c r="F8570" s="1" t="str">
        <f>"10.128.73.194"</f>
        <v>10.128.73.194</v>
      </c>
      <c r="G8570" s="1" t="str">
        <f>"9628H131"</f>
        <v>9628H131</v>
      </c>
      <c r="H8570" s="1" t="str">
        <f>"서오간 11R11"</f>
        <v>서오간 11R11</v>
      </c>
      <c r="I8570" s="1" t="s">
        <v>8</v>
      </c>
      <c r="J8570" s="1" t="str">
        <f>"34/36"</f>
        <v>34/36</v>
      </c>
      <c r="K8570" s="1" t="str">
        <f t="shared" si="425"/>
        <v>2026-07-29 13:18:10</v>
      </c>
      <c r="L8570" s="1" t="str">
        <f>"2018-01-23 11:01:27"</f>
        <v>2018-01-23 11:01:27</v>
      </c>
      <c r="M8570" s="1" t="s">
        <v>45</v>
      </c>
      <c r="N8570" s="1" t="s">
        <v>38</v>
      </c>
      <c r="O8570" s="1" t="s">
        <v>46</v>
      </c>
    </row>
    <row r="8571" spans="2:15" x14ac:dyDescent="0.3">
      <c r="B8571" s="1" t="s">
        <v>21</v>
      </c>
      <c r="C8571" s="1" t="str">
        <f>"4차"</f>
        <v>4차</v>
      </c>
      <c r="D8571" s="1" t="str">
        <f>"9628H14139"</f>
        <v>9628H14139</v>
      </c>
      <c r="E8571" s="1" t="s">
        <v>10</v>
      </c>
      <c r="F8571" s="1" t="str">
        <f>"10.128.73.195"</f>
        <v>10.128.73.195</v>
      </c>
      <c r="G8571" s="1" t="str">
        <f>"9628H141"</f>
        <v>9628H141</v>
      </c>
      <c r="H8571" s="1" t="str">
        <f>"서오간 11R12"</f>
        <v>서오간 11R12</v>
      </c>
      <c r="I8571" s="1" t="s">
        <v>8</v>
      </c>
      <c r="J8571" s="1" t="str">
        <f>"22/23"</f>
        <v>22/23</v>
      </c>
      <c r="K8571" s="1" t="str">
        <f t="shared" si="425"/>
        <v>2026-07-29 13:18:10</v>
      </c>
      <c r="L8571" s="1" t="str">
        <f>"2018-01-23 10:56:39"</f>
        <v>2018-01-23 10:56:39</v>
      </c>
      <c r="M8571" s="1" t="s">
        <v>45</v>
      </c>
      <c r="N8571" s="1" t="s">
        <v>38</v>
      </c>
      <c r="O8571" s="1" t="s">
        <v>46</v>
      </c>
    </row>
    <row r="8572" spans="2:15" x14ac:dyDescent="0.3">
      <c r="B8572" s="1" t="s">
        <v>21</v>
      </c>
      <c r="C8572" s="1" t="str">
        <f>"3차"</f>
        <v>3차</v>
      </c>
      <c r="D8572" s="1" t="str">
        <f>"9628H14239"</f>
        <v>9628H14239</v>
      </c>
      <c r="E8572" s="1" t="s">
        <v>10</v>
      </c>
      <c r="F8572" s="1" t="str">
        <f>"10.128.73.197"</f>
        <v>10.128.73.197</v>
      </c>
      <c r="G8572" s="1" t="str">
        <f>"9628H142"</f>
        <v>9628H142</v>
      </c>
      <c r="H8572" s="1" t="str">
        <f>"서오간 11R10L5"</f>
        <v>서오간 11R10L5</v>
      </c>
      <c r="I8572" s="1" t="s">
        <v>8</v>
      </c>
      <c r="J8572" s="1" t="str">
        <f>"33/33"</f>
        <v>33/33</v>
      </c>
      <c r="K8572" s="1" t="str">
        <f t="shared" si="425"/>
        <v>2026-07-29 13:18:10</v>
      </c>
      <c r="L8572" s="1" t="str">
        <f>"2018-01-23 11:06:55"</f>
        <v>2018-01-23 11:06:55</v>
      </c>
      <c r="M8572" s="1" t="s">
        <v>45</v>
      </c>
      <c r="N8572" s="1" t="s">
        <v>38</v>
      </c>
      <c r="O8572" s="1" t="s">
        <v>46</v>
      </c>
    </row>
    <row r="8573" spans="2:15" x14ac:dyDescent="0.3">
      <c r="B8573" s="1" t="s">
        <v>21</v>
      </c>
      <c r="C8573" s="1" t="str">
        <f>"3차"</f>
        <v>3차</v>
      </c>
      <c r="D8573" s="1" t="str">
        <f>"9628H15139"</f>
        <v>9628H15139</v>
      </c>
      <c r="E8573" s="1" t="s">
        <v>10</v>
      </c>
      <c r="F8573" s="1" t="str">
        <f>"10.128.73.154"</f>
        <v>10.128.73.154</v>
      </c>
      <c r="G8573" s="1" t="str">
        <f>"9628H151"</f>
        <v>9628H151</v>
      </c>
      <c r="H8573" s="1" t="str">
        <f>"서오간 32R1"</f>
        <v>서오간 32R1</v>
      </c>
      <c r="I8573" s="1" t="s">
        <v>8</v>
      </c>
      <c r="J8573" s="1" t="str">
        <f>"13/13"</f>
        <v>13/13</v>
      </c>
      <c r="K8573" s="1" t="str">
        <f t="shared" si="425"/>
        <v>2026-07-29 13:18:10</v>
      </c>
      <c r="L8573" s="1" t="str">
        <f>"2018-03-28 16:58:13"</f>
        <v>2018-03-28 16:58:13</v>
      </c>
      <c r="M8573" s="1" t="s">
        <v>45</v>
      </c>
      <c r="N8573" s="1" t="s">
        <v>38</v>
      </c>
      <c r="O8573" s="1" t="s">
        <v>46</v>
      </c>
    </row>
    <row r="8574" spans="2:15" x14ac:dyDescent="0.3">
      <c r="B8574" s="1" t="s">
        <v>21</v>
      </c>
      <c r="C8574" s="1" t="str">
        <f>"5-1차"</f>
        <v>5-1차</v>
      </c>
      <c r="D8574" s="1" t="str">
        <f>"9628H1525M"</f>
        <v>9628H1525M</v>
      </c>
      <c r="E8574" s="1" t="s">
        <v>10</v>
      </c>
      <c r="F8574" s="1" t="str">
        <f>"fde2:104:0:83:0:0:0:2"</f>
        <v>fde2:104:0:83:0:0:0:2</v>
      </c>
      <c r="G8574" s="1" t="str">
        <f>"9628H152"</f>
        <v>9628H152</v>
      </c>
      <c r="H8574" s="1" t="str">
        <f>"서오간 32R2"</f>
        <v>서오간 32R2</v>
      </c>
      <c r="I8574" s="1" t="s">
        <v>15</v>
      </c>
      <c r="J8574" s="1" t="str">
        <f>"71/71"</f>
        <v>71/71</v>
      </c>
      <c r="K8574" s="1" t="str">
        <f>"2026-07-29 14:21:52"</f>
        <v>2026-07-29 14:21:52</v>
      </c>
      <c r="L8574" s="1" t="str">
        <f>"2022-09-27 18:39:11"</f>
        <v>2022-09-27 18:39:11</v>
      </c>
      <c r="M8574" s="1" t="s">
        <v>42</v>
      </c>
      <c r="N8574" s="1" t="s">
        <v>38</v>
      </c>
      <c r="O8574" s="1" t="s">
        <v>46</v>
      </c>
    </row>
    <row r="8575" spans="2:15" x14ac:dyDescent="0.3">
      <c r="B8575" s="1" t="s">
        <v>21</v>
      </c>
      <c r="C8575" s="1" t="str">
        <f>"1차"</f>
        <v>1차</v>
      </c>
      <c r="D8575" s="1" t="str">
        <f>"9628H17100"</f>
        <v>9628H17100</v>
      </c>
      <c r="E8575" s="1" t="s">
        <v>10</v>
      </c>
      <c r="F8575" s="1" t="str">
        <f>"10.128.73.162"</f>
        <v>10.128.73.162</v>
      </c>
      <c r="G8575" s="1" t="str">
        <f>"9628H171"</f>
        <v>9628H171</v>
      </c>
      <c r="H8575" s="1" t="str">
        <f>"서오간 35"</f>
        <v>서오간 35</v>
      </c>
      <c r="I8575" s="1" t="s">
        <v>8</v>
      </c>
      <c r="J8575" s="1" t="str">
        <f>"49/49"</f>
        <v>49/49</v>
      </c>
      <c r="K8575" s="1" t="str">
        <f>"2026-07-29 13:18:10"</f>
        <v>2026-07-29 13:18:10</v>
      </c>
      <c r="L8575" s="1" t="str">
        <f>"2014-10-31 16:31:29"</f>
        <v>2014-10-31 16:31:29</v>
      </c>
      <c r="M8575" s="1" t="s">
        <v>45</v>
      </c>
      <c r="N8575" s="1" t="s">
        <v>38</v>
      </c>
      <c r="O8575" s="1" t="s">
        <v>46</v>
      </c>
    </row>
    <row r="8576" spans="2:15" x14ac:dyDescent="0.3">
      <c r="B8576" s="1" t="s">
        <v>21</v>
      </c>
      <c r="C8576" s="1" t="str">
        <f>"1차"</f>
        <v>1차</v>
      </c>
      <c r="D8576" s="1" t="str">
        <f>"9628H19100"</f>
        <v>9628H19100</v>
      </c>
      <c r="E8576" s="1" t="s">
        <v>10</v>
      </c>
      <c r="F8576" s="1" t="str">
        <f>"10.128.73.230"</f>
        <v>10.128.73.230</v>
      </c>
      <c r="G8576" s="1" t="str">
        <f>"9628H191"</f>
        <v>9628H191</v>
      </c>
      <c r="H8576" s="1" t="str">
        <f>"역말간 59"</f>
        <v>역말간 59</v>
      </c>
      <c r="I8576" s="1" t="s">
        <v>8</v>
      </c>
      <c r="J8576" s="1" t="str">
        <f>"42/43"</f>
        <v>42/43</v>
      </c>
      <c r="K8576" s="1" t="str">
        <f>"2026-07-29 13:18:10"</f>
        <v>2026-07-29 13:18:10</v>
      </c>
      <c r="L8576" s="1" t="str">
        <f>"2014-10-08 00:13:57"</f>
        <v>2014-10-08 00:13:57</v>
      </c>
      <c r="M8576" s="1" t="s">
        <v>45</v>
      </c>
      <c r="N8576" s="1" t="s">
        <v>38</v>
      </c>
      <c r="O8576" s="1" t="s">
        <v>46</v>
      </c>
    </row>
    <row r="8577" spans="2:15" x14ac:dyDescent="0.3">
      <c r="B8577" s="1" t="s">
        <v>21</v>
      </c>
      <c r="C8577" s="1" t="str">
        <f>"4차"</f>
        <v>4차</v>
      </c>
      <c r="D8577" s="1" t="str">
        <f>"9628H21144"</f>
        <v>9628H21144</v>
      </c>
      <c r="E8577" s="1" t="s">
        <v>14</v>
      </c>
      <c r="F8577" s="1" t="str">
        <f>"10.10.81.234"</f>
        <v>10.10.81.234</v>
      </c>
      <c r="G8577" s="1" t="str">
        <f>"9628H211"</f>
        <v>9628H211</v>
      </c>
      <c r="H8577" s="1" t="str">
        <f>"서오간 11R2L1"</f>
        <v>서오간 11R2L1</v>
      </c>
      <c r="I8577" s="1" t="s">
        <v>8</v>
      </c>
      <c r="J8577" s="1" t="str">
        <f>"0/0"</f>
        <v>0/0</v>
      </c>
      <c r="K8577" s="1" t="str">
        <f>"2026-07-29 13:18:11"</f>
        <v>2026-07-29 13:18:11</v>
      </c>
      <c r="L8577" s="1" t="str">
        <f>"2019-12-11 18:16:33"</f>
        <v>2019-12-11 18:16:33</v>
      </c>
      <c r="M8577" s="1" t="s">
        <v>1</v>
      </c>
      <c r="N8577" s="1" t="s">
        <v>38</v>
      </c>
      <c r="O8577" s="1" t="s">
        <v>44</v>
      </c>
    </row>
    <row r="8578" spans="2:15" x14ac:dyDescent="0.3">
      <c r="B8578" s="1" t="s">
        <v>21</v>
      </c>
      <c r="C8578" s="1" t="str">
        <f>"4차"</f>
        <v>4차</v>
      </c>
      <c r="D8578" s="1" t="str">
        <f>"9628H21244"</f>
        <v>9628H21244</v>
      </c>
      <c r="E8578" s="1" t="s">
        <v>10</v>
      </c>
      <c r="F8578" s="1" t="str">
        <f>"10.10.81.250"</f>
        <v>10.10.81.250</v>
      </c>
      <c r="G8578" s="1" t="str">
        <f>"9628H212"</f>
        <v>9628H212</v>
      </c>
      <c r="H8578" s="1" t="str">
        <f>"서오간 11R2L2"</f>
        <v>서오간 11R2L2</v>
      </c>
      <c r="I8578" s="1" t="s">
        <v>8</v>
      </c>
      <c r="J8578" s="1" t="str">
        <f>"69/69"</f>
        <v>69/69</v>
      </c>
      <c r="K8578" s="1" t="str">
        <f>"2026-07-29 13:18:11"</f>
        <v>2026-07-29 13:18:11</v>
      </c>
      <c r="L8578" s="1" t="str">
        <f>"2019-11-12 10:10:09"</f>
        <v>2019-11-12 10:10:09</v>
      </c>
      <c r="M8578" s="1" t="s">
        <v>1</v>
      </c>
      <c r="N8578" s="1" t="s">
        <v>38</v>
      </c>
      <c r="O8578" s="1" t="s">
        <v>46</v>
      </c>
    </row>
    <row r="8579" spans="2:15" x14ac:dyDescent="0.3">
      <c r="B8579" s="1" t="s">
        <v>21</v>
      </c>
      <c r="C8579" s="1" t="str">
        <f>"4차"</f>
        <v>4차</v>
      </c>
      <c r="D8579" s="1" t="str">
        <f>"9628H22339"</f>
        <v>9628H22339</v>
      </c>
      <c r="E8579" s="1" t="s">
        <v>10</v>
      </c>
      <c r="F8579" s="1" t="str">
        <f>"10.128.88.10"</f>
        <v>10.128.88.10</v>
      </c>
      <c r="G8579" s="1" t="str">
        <f>"9628H223"</f>
        <v>9628H223</v>
      </c>
      <c r="H8579" s="1" t="str">
        <f>"서오간 11R7"</f>
        <v>서오간 11R7</v>
      </c>
      <c r="I8579" s="1" t="s">
        <v>8</v>
      </c>
      <c r="J8579" s="1" t="str">
        <f>"90/90"</f>
        <v>90/90</v>
      </c>
      <c r="K8579" s="1" t="str">
        <f>"2026-07-29 13:18:10"</f>
        <v>2026-07-29 13:18:10</v>
      </c>
      <c r="L8579" s="1" t="str">
        <f>"2018-01-23 11:08:54"</f>
        <v>2018-01-23 11:08:54</v>
      </c>
      <c r="M8579" s="1" t="s">
        <v>45</v>
      </c>
      <c r="N8579" s="1" t="s">
        <v>38</v>
      </c>
      <c r="O8579" s="1" t="s">
        <v>46</v>
      </c>
    </row>
    <row r="8580" spans="2:15" x14ac:dyDescent="0.3">
      <c r="B8580" s="1" t="s">
        <v>21</v>
      </c>
      <c r="C8580" s="1" t="str">
        <f>"1차"</f>
        <v>1차</v>
      </c>
      <c r="D8580" s="1" t="str">
        <f>"9628H23100"</f>
        <v>9628H23100</v>
      </c>
      <c r="E8580" s="1" t="s">
        <v>10</v>
      </c>
      <c r="F8580" s="1" t="str">
        <f>"10.128.73.196"</f>
        <v>10.128.73.196</v>
      </c>
      <c r="G8580" s="1" t="str">
        <f>"9628H231"</f>
        <v>9628H231</v>
      </c>
      <c r="H8580" s="1" t="str">
        <f>"서오간 11R12R2"</f>
        <v>서오간 11R12R2</v>
      </c>
      <c r="I8580" s="1" t="s">
        <v>8</v>
      </c>
      <c r="J8580" s="1" t="str">
        <f>"49/54"</f>
        <v>49/54</v>
      </c>
      <c r="K8580" s="1" t="str">
        <f>"2026-07-29 13:18:10"</f>
        <v>2026-07-29 13:18:10</v>
      </c>
      <c r="L8580" s="1" t="str">
        <f>"2015-07-20 11:53:00"</f>
        <v>2015-07-20 11:53:00</v>
      </c>
      <c r="M8580" s="1" t="s">
        <v>45</v>
      </c>
      <c r="N8580" s="1" t="s">
        <v>38</v>
      </c>
      <c r="O8580" s="1" t="s">
        <v>46</v>
      </c>
    </row>
    <row r="8581" spans="2:15" x14ac:dyDescent="0.3">
      <c r="B8581" s="1" t="s">
        <v>21</v>
      </c>
      <c r="C8581" s="1" t="str">
        <f>"1차"</f>
        <v>1차</v>
      </c>
      <c r="D8581" s="1" t="str">
        <f>"9628H27100"</f>
        <v>9628H27100</v>
      </c>
      <c r="E8581" s="1" t="s">
        <v>10</v>
      </c>
      <c r="F8581" s="1" t="str">
        <f>"10.128.69.115"</f>
        <v>10.128.69.115</v>
      </c>
      <c r="G8581" s="1" t="str">
        <f>"9628H271"</f>
        <v>9628H271</v>
      </c>
      <c r="H8581" s="1" t="str">
        <f>"서오간 37R3R1"</f>
        <v>서오간 37R3R1</v>
      </c>
      <c r="I8581" s="1" t="s">
        <v>8</v>
      </c>
      <c r="J8581" s="1" t="str">
        <f>"100/106"</f>
        <v>100/106</v>
      </c>
      <c r="K8581" s="1" t="str">
        <f>"2026-07-29 13:18:10"</f>
        <v>2026-07-29 13:18:10</v>
      </c>
      <c r="L8581" s="1" t="str">
        <f>"2014-10-31 16:39:13"</f>
        <v>2014-10-31 16:39:13</v>
      </c>
      <c r="M8581" s="1" t="s">
        <v>45</v>
      </c>
      <c r="N8581" s="1" t="s">
        <v>38</v>
      </c>
      <c r="O8581" s="1" t="s">
        <v>46</v>
      </c>
    </row>
    <row r="8582" spans="2:15" x14ac:dyDescent="0.3">
      <c r="B8582" s="1" t="s">
        <v>21</v>
      </c>
      <c r="C8582" s="1" t="str">
        <f>"4차"</f>
        <v>4차</v>
      </c>
      <c r="D8582" s="1" t="str">
        <f>"9628H28239"</f>
        <v>9628H28239</v>
      </c>
      <c r="E8582" s="1" t="s">
        <v>10</v>
      </c>
      <c r="F8582" s="1" t="str">
        <f>"10.128.69.82"</f>
        <v>10.128.69.82</v>
      </c>
      <c r="G8582" s="1" t="str">
        <f>"9628H282"</f>
        <v>9628H282</v>
      </c>
      <c r="H8582" s="1" t="str">
        <f>"서오간 37R2"</f>
        <v>서오간 37R2</v>
      </c>
      <c r="I8582" s="1" t="s">
        <v>8</v>
      </c>
      <c r="J8582" s="1" t="str">
        <f>"60/75"</f>
        <v>60/75</v>
      </c>
      <c r="K8582" s="1" t="str">
        <f>"2026-07-29 13:18:10"</f>
        <v>2026-07-29 13:18:10</v>
      </c>
      <c r="L8582" s="1" t="str">
        <f>"2018-01-16 12:18:28"</f>
        <v>2018-01-16 12:18:28</v>
      </c>
      <c r="M8582" s="1" t="s">
        <v>45</v>
      </c>
      <c r="N8582" s="1" t="s">
        <v>38</v>
      </c>
      <c r="O8582" s="1" t="s">
        <v>46</v>
      </c>
    </row>
    <row r="8583" spans="2:15" x14ac:dyDescent="0.3">
      <c r="B8583" s="1" t="s">
        <v>21</v>
      </c>
      <c r="C8583" s="1" t="str">
        <f>"5-1차"</f>
        <v>5-1차</v>
      </c>
      <c r="D8583" s="1" t="str">
        <f>"9628H3015M"</f>
        <v>9628H3015M</v>
      </c>
      <c r="E8583" s="1" t="s">
        <v>10</v>
      </c>
      <c r="F8583" s="1" t="str">
        <f>"fde3:102:1303:1700:0:0:0:2"</f>
        <v>fde3:102:1303:1700:0:0:0:2</v>
      </c>
      <c r="G8583" s="1" t="str">
        <f>"9628H301"</f>
        <v>9628H301</v>
      </c>
      <c r="H8583" s="1" t="str">
        <f>"서오간 11R1"</f>
        <v>서오간 11R1</v>
      </c>
      <c r="I8583" s="1" t="s">
        <v>15</v>
      </c>
      <c r="J8583" s="1" t="str">
        <f>"38/39"</f>
        <v>38/39</v>
      </c>
      <c r="K8583" s="1" t="str">
        <f>"2026-07-29 14:21:44"</f>
        <v>2026-07-29 14:21:44</v>
      </c>
      <c r="L8583" s="1" t="str">
        <f>"2022-11-21 11:51:54"</f>
        <v>2022-11-21 11:51:54</v>
      </c>
      <c r="M8583" s="1" t="s">
        <v>45</v>
      </c>
      <c r="N8583" s="1" t="s">
        <v>38</v>
      </c>
      <c r="O8583" s="1" t="s">
        <v>46</v>
      </c>
    </row>
    <row r="8584" spans="2:15" x14ac:dyDescent="0.3">
      <c r="B8584" s="1" t="s">
        <v>21</v>
      </c>
      <c r="C8584" s="1" t="str">
        <f>"5-1차"</f>
        <v>5-1차</v>
      </c>
      <c r="D8584" s="1" t="str">
        <f>"9628H3115S"</f>
        <v>9628H3115S</v>
      </c>
      <c r="E8584" s="1" t="s">
        <v>10</v>
      </c>
      <c r="F8584" s="1" t="str">
        <f>"fde3:102:1303:1702:0:0:0:2"</f>
        <v>fde3:102:1303:1702:0:0:0:2</v>
      </c>
      <c r="G8584" s="1" t="str">
        <f>"9628H311"</f>
        <v>9628H311</v>
      </c>
      <c r="H8584" s="1" t="str">
        <f>"서오간 11R2"</f>
        <v>서오간 11R2</v>
      </c>
      <c r="I8584" s="1" t="s">
        <v>15</v>
      </c>
      <c r="J8584" s="1" t="str">
        <f>"45/45"</f>
        <v>45/45</v>
      </c>
      <c r="K8584" s="1" t="str">
        <f>"2026-07-29 14:21:44"</f>
        <v>2026-07-29 14:21:44</v>
      </c>
      <c r="L8584" s="1" t="str">
        <f>"2022-11-23 10:31:35"</f>
        <v>2022-11-23 10:31:35</v>
      </c>
      <c r="M8584" s="1" t="s">
        <v>45</v>
      </c>
      <c r="N8584" s="1" t="s">
        <v>38</v>
      </c>
      <c r="O8584" s="1" t="s">
        <v>46</v>
      </c>
    </row>
    <row r="8585" spans="2:15" x14ac:dyDescent="0.3">
      <c r="B8585" s="1" t="s">
        <v>21</v>
      </c>
      <c r="C8585" s="1" t="str">
        <f>"4차"</f>
        <v>4차</v>
      </c>
      <c r="D8585" s="1" t="str">
        <f>"9628H32339"</f>
        <v>9628H32339</v>
      </c>
      <c r="E8585" s="1" t="s">
        <v>10</v>
      </c>
      <c r="F8585" s="1" t="str">
        <f>"10.128.73.202"</f>
        <v>10.128.73.202</v>
      </c>
      <c r="G8585" s="1" t="str">
        <f>"9628H323"</f>
        <v>9628H323</v>
      </c>
      <c r="H8585" s="1" t="str">
        <f>"서오간 11R4R1"</f>
        <v>서오간 11R4R1</v>
      </c>
      <c r="I8585" s="1" t="s">
        <v>8</v>
      </c>
      <c r="J8585" s="1" t="str">
        <f>"64/64"</f>
        <v>64/64</v>
      </c>
      <c r="K8585" s="1" t="str">
        <f t="shared" ref="K8585:K8595" si="426">"2026-07-29 13:18:10"</f>
        <v>2026-07-29 13:18:10</v>
      </c>
      <c r="L8585" s="1" t="str">
        <f>"2018-03-16 10:13:10"</f>
        <v>2018-03-16 10:13:10</v>
      </c>
      <c r="M8585" s="1" t="s">
        <v>45</v>
      </c>
      <c r="N8585" s="1" t="s">
        <v>38</v>
      </c>
      <c r="O8585" s="1" t="s">
        <v>46</v>
      </c>
    </row>
    <row r="8586" spans="2:15" x14ac:dyDescent="0.3">
      <c r="B8586" s="1" t="s">
        <v>21</v>
      </c>
      <c r="C8586" s="1" t="str">
        <f t="shared" ref="C8586:C8592" si="427">"3차"</f>
        <v>3차</v>
      </c>
      <c r="D8586" s="1" t="str">
        <f>"9628H33139"</f>
        <v>9628H33139</v>
      </c>
      <c r="E8586" s="1" t="s">
        <v>10</v>
      </c>
      <c r="F8586" s="1" t="str">
        <f>"10.128.69.19"</f>
        <v>10.128.69.19</v>
      </c>
      <c r="G8586" s="1" t="str">
        <f>"9628H331"</f>
        <v>9628H331</v>
      </c>
      <c r="H8586" s="1" t="str">
        <f>"서오간 37R7R4"</f>
        <v>서오간 37R7R4</v>
      </c>
      <c r="I8586" s="1" t="s">
        <v>8</v>
      </c>
      <c r="J8586" s="1" t="str">
        <f>"46/46"</f>
        <v>46/46</v>
      </c>
      <c r="K8586" s="1" t="str">
        <f t="shared" si="426"/>
        <v>2026-07-29 13:18:10</v>
      </c>
      <c r="L8586" s="1" t="str">
        <f>"2018-03-12 16:44:12"</f>
        <v>2018-03-12 16:44:12</v>
      </c>
      <c r="M8586" s="1" t="s">
        <v>45</v>
      </c>
      <c r="N8586" s="1" t="s">
        <v>38</v>
      </c>
      <c r="O8586" s="1" t="s">
        <v>46</v>
      </c>
    </row>
    <row r="8587" spans="2:15" x14ac:dyDescent="0.3">
      <c r="B8587" s="1" t="s">
        <v>21</v>
      </c>
      <c r="C8587" s="1" t="str">
        <f t="shared" si="427"/>
        <v>3차</v>
      </c>
      <c r="D8587" s="1" t="str">
        <f>"9628H34139"</f>
        <v>9628H34139</v>
      </c>
      <c r="E8587" s="1" t="s">
        <v>10</v>
      </c>
      <c r="F8587" s="1" t="str">
        <f>"10.128.69.100"</f>
        <v>10.128.69.100</v>
      </c>
      <c r="G8587" s="1" t="str">
        <f>"9628H341"</f>
        <v>9628H341</v>
      </c>
      <c r="H8587" s="1" t="str">
        <f>"서오간 37R6R4"</f>
        <v>서오간 37R6R4</v>
      </c>
      <c r="I8587" s="1" t="s">
        <v>8</v>
      </c>
      <c r="J8587" s="1" t="str">
        <f>"34/34"</f>
        <v>34/34</v>
      </c>
      <c r="K8587" s="1" t="str">
        <f t="shared" si="426"/>
        <v>2026-07-29 13:18:10</v>
      </c>
      <c r="L8587" s="1" t="str">
        <f>"2018-01-24 16:42:43"</f>
        <v>2018-01-24 16:42:43</v>
      </c>
      <c r="M8587" s="1" t="s">
        <v>45</v>
      </c>
      <c r="N8587" s="1" t="s">
        <v>38</v>
      </c>
      <c r="O8587" s="1" t="s">
        <v>46</v>
      </c>
    </row>
    <row r="8588" spans="2:15" x14ac:dyDescent="0.3">
      <c r="B8588" s="1" t="s">
        <v>21</v>
      </c>
      <c r="C8588" s="1" t="str">
        <f t="shared" si="427"/>
        <v>3차</v>
      </c>
      <c r="D8588" s="1" t="str">
        <f>"9628H34239"</f>
        <v>9628H34239</v>
      </c>
      <c r="E8588" s="1" t="s">
        <v>10</v>
      </c>
      <c r="F8588" s="1" t="str">
        <f>"10.128.73.203"</f>
        <v>10.128.73.203</v>
      </c>
      <c r="G8588" s="1" t="str">
        <f>"9628H342"</f>
        <v>9628H342</v>
      </c>
      <c r="H8588" s="1" t="str">
        <f>"서오간 11R4R3"</f>
        <v>서오간 11R4R3</v>
      </c>
      <c r="I8588" s="1" t="s">
        <v>8</v>
      </c>
      <c r="J8588" s="1" t="str">
        <f>"43/43"</f>
        <v>43/43</v>
      </c>
      <c r="K8588" s="1" t="str">
        <f t="shared" si="426"/>
        <v>2026-07-29 13:18:10</v>
      </c>
      <c r="L8588" s="1" t="str">
        <f>"2018-01-23 11:04:24"</f>
        <v>2018-01-23 11:04:24</v>
      </c>
      <c r="M8588" s="1" t="s">
        <v>45</v>
      </c>
      <c r="N8588" s="1" t="s">
        <v>38</v>
      </c>
      <c r="O8588" s="1" t="s">
        <v>46</v>
      </c>
    </row>
    <row r="8589" spans="2:15" x14ac:dyDescent="0.3">
      <c r="B8589" s="1" t="s">
        <v>21</v>
      </c>
      <c r="C8589" s="1" t="str">
        <f t="shared" si="427"/>
        <v>3차</v>
      </c>
      <c r="D8589" s="1" t="str">
        <f>"9628H35139"</f>
        <v>9628H35139</v>
      </c>
      <c r="E8589" s="1" t="s">
        <v>10</v>
      </c>
      <c r="F8589" s="1" t="str">
        <f>"10.128.69.99"</f>
        <v>10.128.69.99</v>
      </c>
      <c r="G8589" s="1" t="str">
        <f>"9628H351"</f>
        <v>9628H351</v>
      </c>
      <c r="H8589" s="1" t="str">
        <f>"서오간 37R6R2"</f>
        <v>서오간 37R6R2</v>
      </c>
      <c r="I8589" s="1" t="s">
        <v>8</v>
      </c>
      <c r="J8589" s="1" t="str">
        <f>"41/41"</f>
        <v>41/41</v>
      </c>
      <c r="K8589" s="1" t="str">
        <f t="shared" si="426"/>
        <v>2026-07-29 13:18:10</v>
      </c>
      <c r="L8589" s="1" t="str">
        <f>"2018-01-31 18:12:58"</f>
        <v>2018-01-31 18:12:58</v>
      </c>
      <c r="M8589" s="1" t="s">
        <v>45</v>
      </c>
      <c r="N8589" s="1" t="s">
        <v>38</v>
      </c>
      <c r="O8589" s="1" t="s">
        <v>46</v>
      </c>
    </row>
    <row r="8590" spans="2:15" x14ac:dyDescent="0.3">
      <c r="B8590" s="1" t="s">
        <v>21</v>
      </c>
      <c r="C8590" s="1" t="str">
        <f t="shared" si="427"/>
        <v>3차</v>
      </c>
      <c r="D8590" s="1" t="str">
        <f>"9628H35239"</f>
        <v>9628H35239</v>
      </c>
      <c r="E8590" s="1" t="s">
        <v>10</v>
      </c>
      <c r="F8590" s="1" t="str">
        <f>"10.128.69.84"</f>
        <v>10.128.69.84</v>
      </c>
      <c r="G8590" s="1" t="str">
        <f>"9628H352"</f>
        <v>9628H352</v>
      </c>
      <c r="H8590" s="1" t="str">
        <f>"서오간 37R5R3"</f>
        <v>서오간 37R5R3</v>
      </c>
      <c r="I8590" s="1" t="s">
        <v>8</v>
      </c>
      <c r="J8590" s="1" t="str">
        <f>"46/51"</f>
        <v>46/51</v>
      </c>
      <c r="K8590" s="1" t="str">
        <f t="shared" si="426"/>
        <v>2026-07-29 13:18:10</v>
      </c>
      <c r="L8590" s="1" t="str">
        <f>"2018-01-16 13:25:26"</f>
        <v>2018-01-16 13:25:26</v>
      </c>
      <c r="M8590" s="1" t="s">
        <v>45</v>
      </c>
      <c r="N8590" s="1" t="s">
        <v>38</v>
      </c>
      <c r="O8590" s="1" t="s">
        <v>46</v>
      </c>
    </row>
    <row r="8591" spans="2:15" x14ac:dyDescent="0.3">
      <c r="B8591" s="1" t="s">
        <v>21</v>
      </c>
      <c r="C8591" s="1" t="str">
        <f t="shared" si="427"/>
        <v>3차</v>
      </c>
      <c r="D8591" s="1" t="str">
        <f>"9628H36139"</f>
        <v>9628H36139</v>
      </c>
      <c r="E8591" s="1" t="s">
        <v>10</v>
      </c>
      <c r="F8591" s="1" t="str">
        <f>"10.128.69.83"</f>
        <v>10.128.69.83</v>
      </c>
      <c r="G8591" s="1" t="str">
        <f>"9628H361"</f>
        <v>9628H361</v>
      </c>
      <c r="H8591" s="1" t="str">
        <f>"서오간 37R5R2"</f>
        <v>서오간 37R5R2</v>
      </c>
      <c r="I8591" s="1" t="s">
        <v>8</v>
      </c>
      <c r="J8591" s="1" t="str">
        <f>"44/44"</f>
        <v>44/44</v>
      </c>
      <c r="K8591" s="1" t="str">
        <f t="shared" si="426"/>
        <v>2026-07-29 13:18:10</v>
      </c>
      <c r="L8591" s="1" t="str">
        <f>"2018-01-16 12:41:40"</f>
        <v>2018-01-16 12:41:40</v>
      </c>
      <c r="M8591" s="1" t="s">
        <v>45</v>
      </c>
      <c r="N8591" s="1" t="s">
        <v>38</v>
      </c>
      <c r="O8591" s="1" t="s">
        <v>46</v>
      </c>
    </row>
    <row r="8592" spans="2:15" x14ac:dyDescent="0.3">
      <c r="B8592" s="1" t="s">
        <v>21</v>
      </c>
      <c r="C8592" s="1" t="str">
        <f t="shared" si="427"/>
        <v>3차</v>
      </c>
      <c r="D8592" s="1" t="str">
        <f>"9628H37139"</f>
        <v>9628H37139</v>
      </c>
      <c r="E8592" s="1" t="s">
        <v>10</v>
      </c>
      <c r="F8592" s="1" t="str">
        <f>"10.128.69.21"</f>
        <v>10.128.69.21</v>
      </c>
      <c r="G8592" s="1" t="str">
        <f>"9628H371"</f>
        <v>9628H371</v>
      </c>
      <c r="H8592" s="1" t="str">
        <f>"서오간 37R3"</f>
        <v>서오간 37R3</v>
      </c>
      <c r="I8592" s="1" t="s">
        <v>8</v>
      </c>
      <c r="J8592" s="1" t="str">
        <f>"33/33"</f>
        <v>33/33</v>
      </c>
      <c r="K8592" s="1" t="str">
        <f t="shared" si="426"/>
        <v>2026-07-29 13:18:10</v>
      </c>
      <c r="L8592" s="1" t="str">
        <f>"2018-03-28 16:23:43"</f>
        <v>2018-03-28 16:23:43</v>
      </c>
      <c r="M8592" s="1" t="s">
        <v>45</v>
      </c>
      <c r="N8592" s="1" t="s">
        <v>38</v>
      </c>
      <c r="O8592" s="1" t="s">
        <v>46</v>
      </c>
    </row>
    <row r="8593" spans="2:15" x14ac:dyDescent="0.3">
      <c r="B8593" s="1" t="s">
        <v>21</v>
      </c>
      <c r="C8593" s="1" t="str">
        <f>"4차"</f>
        <v>4차</v>
      </c>
      <c r="D8593" s="1" t="str">
        <f>"9628H37239"</f>
        <v>9628H37239</v>
      </c>
      <c r="E8593" s="1" t="s">
        <v>10</v>
      </c>
      <c r="F8593" s="1" t="str">
        <f>"10.128.69.114"</f>
        <v>10.128.69.114</v>
      </c>
      <c r="G8593" s="1" t="str">
        <f>"9628H372"</f>
        <v>9628H372</v>
      </c>
      <c r="H8593" s="1" t="str">
        <f>"서오간 37R4"</f>
        <v>서오간 37R4</v>
      </c>
      <c r="I8593" s="1" t="s">
        <v>8</v>
      </c>
      <c r="J8593" s="1" t="str">
        <f>"89/89"</f>
        <v>89/89</v>
      </c>
      <c r="K8593" s="1" t="str">
        <f t="shared" si="426"/>
        <v>2026-07-29 13:18:10</v>
      </c>
      <c r="L8593" s="1" t="str">
        <f>"2018-01-16 16:28:14"</f>
        <v>2018-01-16 16:28:14</v>
      </c>
      <c r="M8593" s="1" t="s">
        <v>45</v>
      </c>
      <c r="N8593" s="1" t="s">
        <v>38</v>
      </c>
      <c r="O8593" s="1" t="s">
        <v>46</v>
      </c>
    </row>
    <row r="8594" spans="2:15" x14ac:dyDescent="0.3">
      <c r="B8594" s="1" t="s">
        <v>21</v>
      </c>
      <c r="C8594" s="1" t="str">
        <f>"3차"</f>
        <v>3차</v>
      </c>
      <c r="D8594" s="1" t="str">
        <f>"9628H38139"</f>
        <v>9628H38139</v>
      </c>
      <c r="E8594" s="1" t="s">
        <v>10</v>
      </c>
      <c r="F8594" s="1" t="str">
        <f>"10.128.69.67"</f>
        <v>10.128.69.67</v>
      </c>
      <c r="G8594" s="1" t="str">
        <f>"9628H381"</f>
        <v>9628H381</v>
      </c>
      <c r="H8594" s="1" t="str">
        <f>"갈촌간 29L2"</f>
        <v>갈촌간 29L2</v>
      </c>
      <c r="I8594" s="1" t="s">
        <v>8</v>
      </c>
      <c r="J8594" s="1" t="str">
        <f>"38/38"</f>
        <v>38/38</v>
      </c>
      <c r="K8594" s="1" t="str">
        <f t="shared" si="426"/>
        <v>2026-07-29 13:18:10</v>
      </c>
      <c r="L8594" s="1" t="str">
        <f>"2018-01-17 11:37:55"</f>
        <v>2018-01-17 11:37:55</v>
      </c>
      <c r="M8594" s="1" t="s">
        <v>45</v>
      </c>
      <c r="N8594" s="1" t="s">
        <v>38</v>
      </c>
      <c r="O8594" s="1" t="s">
        <v>46</v>
      </c>
    </row>
    <row r="8595" spans="2:15" x14ac:dyDescent="0.3">
      <c r="B8595" s="1" t="s">
        <v>21</v>
      </c>
      <c r="C8595" s="1" t="str">
        <f>"3차"</f>
        <v>3차</v>
      </c>
      <c r="D8595" s="1" t="str">
        <f>"9628H39239"</f>
        <v>9628H39239</v>
      </c>
      <c r="E8595" s="1" t="s">
        <v>10</v>
      </c>
      <c r="F8595" s="1" t="str">
        <f>"10.128.69.66"</f>
        <v>10.128.69.66</v>
      </c>
      <c r="G8595" s="1" t="str">
        <f>"9628H392"</f>
        <v>9628H392</v>
      </c>
      <c r="H8595" s="1" t="str">
        <f>"갈촌간 29"</f>
        <v>갈촌간 29</v>
      </c>
      <c r="I8595" s="1" t="s">
        <v>8</v>
      </c>
      <c r="J8595" s="1" t="str">
        <f>"10/10"</f>
        <v>10/10</v>
      </c>
      <c r="K8595" s="1" t="str">
        <f t="shared" si="426"/>
        <v>2026-07-29 13:18:10</v>
      </c>
      <c r="L8595" s="1" t="str">
        <f>"2018-01-05 18:14:58"</f>
        <v>2018-01-05 18:14:58</v>
      </c>
      <c r="M8595" s="1" t="s">
        <v>45</v>
      </c>
      <c r="N8595" s="1" t="s">
        <v>38</v>
      </c>
      <c r="O8595" s="1" t="s">
        <v>46</v>
      </c>
    </row>
    <row r="8596" spans="2:15" x14ac:dyDescent="0.3">
      <c r="B8596" s="1" t="s">
        <v>21</v>
      </c>
      <c r="C8596" s="1" t="str">
        <f>"3차"</f>
        <v>3차</v>
      </c>
      <c r="D8596" s="1" t="str">
        <f>"9628H44139"</f>
        <v>9628H44139</v>
      </c>
      <c r="E8596" s="1" t="s">
        <v>10</v>
      </c>
      <c r="F8596" s="1" t="str">
        <f>"10.128.69.18"</f>
        <v>10.128.69.18</v>
      </c>
      <c r="G8596" s="1" t="str">
        <f>"9628H441"</f>
        <v>9628H441</v>
      </c>
      <c r="H8596" s="1" t="str">
        <f>"서오간 37R7R2"</f>
        <v>서오간 37R7R2</v>
      </c>
      <c r="I8596" s="1" t="s">
        <v>8</v>
      </c>
      <c r="J8596" s="1" t="str">
        <f>"28/28"</f>
        <v>28/28</v>
      </c>
      <c r="K8596" s="1" t="str">
        <f>"2026-07-29 13:18:11"</f>
        <v>2026-07-29 13:18:11</v>
      </c>
      <c r="L8596" s="1" t="str">
        <f>"2018-03-12 16:56:28"</f>
        <v>2018-03-12 16:56:28</v>
      </c>
      <c r="M8596" s="1" t="s">
        <v>45</v>
      </c>
      <c r="N8596" s="1" t="s">
        <v>38</v>
      </c>
      <c r="O8596" s="1" t="s">
        <v>46</v>
      </c>
    </row>
    <row r="8597" spans="2:15" x14ac:dyDescent="0.3">
      <c r="B8597" s="1" t="s">
        <v>21</v>
      </c>
      <c r="C8597" s="1" t="str">
        <f>"3차"</f>
        <v>3차</v>
      </c>
      <c r="D8597" s="1" t="str">
        <f>"9628H44239"</f>
        <v>9628H44239</v>
      </c>
      <c r="E8597" s="1" t="s">
        <v>10</v>
      </c>
      <c r="F8597" s="1" t="str">
        <f>"10.128.69.20"</f>
        <v>10.128.69.20</v>
      </c>
      <c r="G8597" s="1" t="str">
        <f>"9628H442"</f>
        <v>9628H442</v>
      </c>
      <c r="H8597" s="1" t="str">
        <f>"서오간 37R7R3"</f>
        <v>서오간 37R7R3</v>
      </c>
      <c r="I8597" s="1" t="s">
        <v>8</v>
      </c>
      <c r="J8597" s="1" t="str">
        <f>"49/49"</f>
        <v>49/49</v>
      </c>
      <c r="K8597" s="1" t="str">
        <f>"2026-07-29 13:18:11"</f>
        <v>2026-07-29 13:18:11</v>
      </c>
      <c r="L8597" s="1" t="str">
        <f>"2018-01-31 18:29:43"</f>
        <v>2018-01-31 18:29:43</v>
      </c>
      <c r="M8597" s="1" t="s">
        <v>45</v>
      </c>
      <c r="N8597" s="1" t="s">
        <v>38</v>
      </c>
      <c r="O8597" s="1" t="s">
        <v>46</v>
      </c>
    </row>
    <row r="8598" spans="2:15" x14ac:dyDescent="0.3">
      <c r="B8598" s="1" t="s">
        <v>21</v>
      </c>
      <c r="C8598" s="1" t="str">
        <f>"5-1차"</f>
        <v>5-1차</v>
      </c>
      <c r="D8598" s="1" t="str">
        <f>"9628H4515S"</f>
        <v>9628H4515S</v>
      </c>
      <c r="E8598" s="1" t="s">
        <v>10</v>
      </c>
      <c r="F8598" s="1" t="str">
        <f>"fde3:102:1303:1900:0:0:0:2"</f>
        <v>fde3:102:1303:1900:0:0:0:2</v>
      </c>
      <c r="G8598" s="1" t="str">
        <f>"9628H451"</f>
        <v>9628H451</v>
      </c>
      <c r="H8598" s="1" t="str">
        <f>"서오간 37R7R1"</f>
        <v>서오간 37R7R1</v>
      </c>
      <c r="I8598" s="1" t="s">
        <v>15</v>
      </c>
      <c r="J8598" s="1" t="str">
        <f>"38/38"</f>
        <v>38/38</v>
      </c>
      <c r="K8598" s="1" t="str">
        <f>"2026-07-29 14:21:45"</f>
        <v>2026-07-29 14:21:45</v>
      </c>
      <c r="L8598" s="1" t="str">
        <f>"2022-11-21 11:49:47"</f>
        <v>2022-11-21 11:49:47</v>
      </c>
      <c r="M8598" s="1" t="s">
        <v>45</v>
      </c>
      <c r="N8598" s="1" t="s">
        <v>38</v>
      </c>
      <c r="O8598" s="1" t="s">
        <v>46</v>
      </c>
    </row>
    <row r="8599" spans="2:15" x14ac:dyDescent="0.3">
      <c r="B8599" s="1" t="s">
        <v>21</v>
      </c>
      <c r="C8599" s="1" t="str">
        <f>"4차"</f>
        <v>4차</v>
      </c>
      <c r="D8599" s="1" t="str">
        <f>"9628H46239"</f>
        <v>9628H46239</v>
      </c>
      <c r="E8599" s="1" t="s">
        <v>10</v>
      </c>
      <c r="F8599" s="1" t="str">
        <f>"10.128.69.98"</f>
        <v>10.128.69.98</v>
      </c>
      <c r="G8599" s="1" t="str">
        <f>"9628H462"</f>
        <v>9628H462</v>
      </c>
      <c r="H8599" s="1" t="str">
        <f>"서오간 37R6R1"</f>
        <v>서오간 37R6R1</v>
      </c>
      <c r="I8599" s="1" t="s">
        <v>8</v>
      </c>
      <c r="J8599" s="1" t="str">
        <f>"72/72"</f>
        <v>72/72</v>
      </c>
      <c r="K8599" s="1" t="str">
        <f>"2026-07-29 13:18:11"</f>
        <v>2026-07-29 13:18:11</v>
      </c>
      <c r="L8599" s="1" t="str">
        <f>"2018-01-31 21:47:15"</f>
        <v>2018-01-31 21:47:15</v>
      </c>
      <c r="M8599" s="1" t="s">
        <v>45</v>
      </c>
      <c r="N8599" s="1" t="s">
        <v>38</v>
      </c>
      <c r="O8599" s="1" t="s">
        <v>46</v>
      </c>
    </row>
    <row r="8600" spans="2:15" x14ac:dyDescent="0.3">
      <c r="B8600" s="1" t="s">
        <v>21</v>
      </c>
      <c r="C8600" s="1" t="str">
        <f>"1차"</f>
        <v>1차</v>
      </c>
      <c r="D8600" s="1" t="str">
        <f>"9628H47100"</f>
        <v>9628H47100</v>
      </c>
      <c r="E8600" s="1" t="s">
        <v>10</v>
      </c>
      <c r="F8600" s="1" t="str">
        <f>"10.128.71.34"</f>
        <v>10.128.71.34</v>
      </c>
      <c r="G8600" s="1" t="str">
        <f>"9628H471"</f>
        <v>9628H471</v>
      </c>
      <c r="H8600" s="1" t="str">
        <f>"서오간 37R5"</f>
        <v>서오간 37R5</v>
      </c>
      <c r="I8600" s="1" t="s">
        <v>8</v>
      </c>
      <c r="J8600" s="1" t="str">
        <f>"39/46"</f>
        <v>39/46</v>
      </c>
      <c r="K8600" s="1" t="str">
        <f>"2026-07-29 13:18:11"</f>
        <v>2026-07-29 13:18:11</v>
      </c>
      <c r="L8600" s="1" t="str">
        <f>"2014-11-20 11:45:40"</f>
        <v>2014-11-20 11:45:40</v>
      </c>
      <c r="M8600" s="1" t="s">
        <v>45</v>
      </c>
      <c r="N8600" s="1" t="s">
        <v>38</v>
      </c>
      <c r="O8600" s="1" t="s">
        <v>46</v>
      </c>
    </row>
    <row r="8601" spans="2:15" x14ac:dyDescent="0.3">
      <c r="B8601" s="1" t="s">
        <v>21</v>
      </c>
      <c r="C8601" s="1" t="str">
        <f>"5-2차"</f>
        <v>5-2차</v>
      </c>
      <c r="D8601" s="1" t="str">
        <f>"9628H5135S"</f>
        <v>9628H5135S</v>
      </c>
      <c r="E8601" s="1" t="s">
        <v>10</v>
      </c>
      <c r="F8601" s="1" t="str">
        <f>"fde1:103:4:6ec2:0:0:0:2"</f>
        <v>fde1:103:4:6ec2:0:0:0:2</v>
      </c>
      <c r="G8601" s="1" t="str">
        <f>"9628H513"</f>
        <v>9628H513</v>
      </c>
      <c r="H8601" s="1" t="str">
        <f>"서오간 10L4"</f>
        <v>서오간 10L4</v>
      </c>
      <c r="I8601" s="1" t="s">
        <v>15</v>
      </c>
      <c r="J8601" s="1" t="str">
        <f>"42/42"</f>
        <v>42/42</v>
      </c>
      <c r="K8601" s="1" t="str">
        <f>"2026-07-29 14:21:54"</f>
        <v>2026-07-29 14:21:54</v>
      </c>
      <c r="L8601" s="1" t="str">
        <f>"2023-11-14 16:35:46"</f>
        <v>2023-11-14 16:35:46</v>
      </c>
      <c r="M8601" s="1" t="s">
        <v>4</v>
      </c>
      <c r="N8601" s="1" t="s">
        <v>38</v>
      </c>
      <c r="O8601" s="1" t="s">
        <v>46</v>
      </c>
    </row>
    <row r="8602" spans="2:15" x14ac:dyDescent="0.3">
      <c r="B8602" s="1" t="s">
        <v>21</v>
      </c>
      <c r="C8602" s="1" t="str">
        <f>"5-1차"</f>
        <v>5-1차</v>
      </c>
      <c r="D8602" s="1" t="str">
        <f>"9628H5415S"</f>
        <v>9628H5415S</v>
      </c>
      <c r="E8602" s="1" t="s">
        <v>10</v>
      </c>
      <c r="F8602" s="1" t="str">
        <f>"fde3:102:1303:1800:0:0:0:2"</f>
        <v>fde3:102:1303:1800:0:0:0:2</v>
      </c>
      <c r="G8602" s="1" t="str">
        <f>"9628H541"</f>
        <v>9628H541</v>
      </c>
      <c r="H8602" s="1" t="str">
        <f>"서오간 37R12"</f>
        <v>서오간 37R12</v>
      </c>
      <c r="I8602" s="1" t="s">
        <v>15</v>
      </c>
      <c r="J8602" s="1" t="str">
        <f>"61/61"</f>
        <v>61/61</v>
      </c>
      <c r="K8602" s="1" t="str">
        <f>"2026-07-29 14:21:45"</f>
        <v>2026-07-29 14:21:45</v>
      </c>
      <c r="L8602" s="1" t="str">
        <f>"2022-12-20 09:33:47"</f>
        <v>2022-12-20 09:33:47</v>
      </c>
      <c r="M8602" s="1" t="s">
        <v>45</v>
      </c>
      <c r="N8602" s="1" t="s">
        <v>38</v>
      </c>
      <c r="O8602" s="1" t="s">
        <v>46</v>
      </c>
    </row>
    <row r="8603" spans="2:15" x14ac:dyDescent="0.3">
      <c r="B8603" s="1" t="s">
        <v>21</v>
      </c>
      <c r="C8603" s="1" t="str">
        <f>"5-1차"</f>
        <v>5-1차</v>
      </c>
      <c r="D8603" s="1" t="str">
        <f>"9628H5515M"</f>
        <v>9628H5515M</v>
      </c>
      <c r="E8603" s="1" t="s">
        <v>10</v>
      </c>
      <c r="F8603" s="1" t="str">
        <f>"fde3:102:1303:1900:0:0:0:3"</f>
        <v>fde3:102:1303:1900:0:0:0:3</v>
      </c>
      <c r="G8603" s="1" t="str">
        <f>"9628H551"</f>
        <v>9628H551</v>
      </c>
      <c r="H8603" s="1" t="str">
        <f>"서오간 37R7"</f>
        <v>서오간 37R7</v>
      </c>
      <c r="I8603" s="1" t="s">
        <v>15</v>
      </c>
      <c r="J8603" s="1" t="str">
        <f>"58/58"</f>
        <v>58/58</v>
      </c>
      <c r="K8603" s="1" t="str">
        <f>"2026-07-29 14:21:45"</f>
        <v>2026-07-29 14:21:45</v>
      </c>
      <c r="L8603" s="1" t="str">
        <f>"2022-12-07 15:14:51"</f>
        <v>2022-12-07 15:14:51</v>
      </c>
      <c r="M8603" s="1" t="s">
        <v>45</v>
      </c>
      <c r="N8603" s="1" t="s">
        <v>38</v>
      </c>
      <c r="O8603" s="1" t="s">
        <v>46</v>
      </c>
    </row>
    <row r="8604" spans="2:15" x14ac:dyDescent="0.3">
      <c r="B8604" s="1" t="s">
        <v>21</v>
      </c>
      <c r="C8604" s="1" t="str">
        <f>"5-1차"</f>
        <v>5-1차</v>
      </c>
      <c r="D8604" s="1" t="str">
        <f>"9628H5825M"</f>
        <v>9628H5825M</v>
      </c>
      <c r="E8604" s="1" t="s">
        <v>10</v>
      </c>
      <c r="F8604" s="1" t="str">
        <f>"fde3:102:1303:1804:0:0:0:2"</f>
        <v>fde3:102:1303:1804:0:0:0:2</v>
      </c>
      <c r="G8604" s="1" t="str">
        <f>"9628H582"</f>
        <v>9628H582</v>
      </c>
      <c r="H8604" s="1" t="str">
        <f>"갈촌간 31R5"</f>
        <v>갈촌간 31R5</v>
      </c>
      <c r="I8604" s="1" t="s">
        <v>15</v>
      </c>
      <c r="J8604" s="1" t="str">
        <f>"45/46"</f>
        <v>45/46</v>
      </c>
      <c r="K8604" s="1" t="str">
        <f>"2026-07-29 14:21:45"</f>
        <v>2026-07-29 14:21:45</v>
      </c>
      <c r="L8604" s="1" t="str">
        <f>"2022-11-23 18:26:36"</f>
        <v>2022-11-23 18:26:36</v>
      </c>
      <c r="M8604" s="1" t="s">
        <v>45</v>
      </c>
      <c r="N8604" s="1" t="s">
        <v>38</v>
      </c>
      <c r="O8604" s="1" t="s">
        <v>46</v>
      </c>
    </row>
    <row r="8605" spans="2:15" x14ac:dyDescent="0.3">
      <c r="B8605" s="1" t="s">
        <v>21</v>
      </c>
      <c r="C8605" s="1" t="str">
        <f>"5-2차"</f>
        <v>5-2차</v>
      </c>
      <c r="D8605" s="1" t="str">
        <f>"9628H5925M"</f>
        <v>9628H5925M</v>
      </c>
      <c r="E8605" s="1" t="s">
        <v>10</v>
      </c>
      <c r="F8605" s="1" t="str">
        <f>"fde1:103:4:6ec4:0:0:0:2"</f>
        <v>fde1:103:4:6ec4:0:0:0:2</v>
      </c>
      <c r="G8605" s="1" t="str">
        <f>"9628H592"</f>
        <v>9628H592</v>
      </c>
      <c r="H8605" s="1" t="str">
        <f>"갈촌간 31R4"</f>
        <v>갈촌간 31R4</v>
      </c>
      <c r="I8605" s="1" t="s">
        <v>15</v>
      </c>
      <c r="J8605" s="1" t="str">
        <f>"38/38"</f>
        <v>38/38</v>
      </c>
      <c r="K8605" s="1" t="str">
        <f>"2026-07-29 14:21:47"</f>
        <v>2026-07-29 14:21:47</v>
      </c>
      <c r="L8605" s="1" t="str">
        <f>"2023-11-14 16:35:53"</f>
        <v>2023-11-14 16:35:53</v>
      </c>
      <c r="M8605" s="1" t="s">
        <v>4</v>
      </c>
      <c r="N8605" s="1" t="s">
        <v>38</v>
      </c>
      <c r="O8605" s="1" t="s">
        <v>46</v>
      </c>
    </row>
    <row r="8606" spans="2:15" x14ac:dyDescent="0.3">
      <c r="B8606" s="1" t="s">
        <v>21</v>
      </c>
      <c r="C8606" s="1" t="str">
        <f>"4차"</f>
        <v>4차</v>
      </c>
      <c r="D8606" s="1" t="str">
        <f>"9628H60144"</f>
        <v>9628H60144</v>
      </c>
      <c r="E8606" s="1" t="s">
        <v>10</v>
      </c>
      <c r="F8606" s="1" t="str">
        <f>"10.10.81.138"</f>
        <v>10.10.81.138</v>
      </c>
      <c r="G8606" s="1" t="str">
        <f>"9628H601"</f>
        <v>9628H601</v>
      </c>
      <c r="H8606" s="1" t="str">
        <f>"서오간 10L4R1"</f>
        <v>서오간 10L4R1</v>
      </c>
      <c r="I8606" s="1" t="s">
        <v>8</v>
      </c>
      <c r="J8606" s="1" t="str">
        <f>"44/44"</f>
        <v>44/44</v>
      </c>
      <c r="K8606" s="1" t="str">
        <f>"2026-07-29 13:18:10"</f>
        <v>2026-07-29 13:18:10</v>
      </c>
      <c r="L8606" s="1" t="str">
        <f>"2019-11-04 17:16:52"</f>
        <v>2019-11-04 17:16:52</v>
      </c>
      <c r="M8606" s="1" t="s">
        <v>1</v>
      </c>
      <c r="N8606" s="1" t="s">
        <v>38</v>
      </c>
      <c r="O8606" s="1" t="s">
        <v>46</v>
      </c>
    </row>
    <row r="8607" spans="2:15" x14ac:dyDescent="0.3">
      <c r="B8607" s="1" t="s">
        <v>21</v>
      </c>
      <c r="C8607" s="1" t="str">
        <f>"1차"</f>
        <v>1차</v>
      </c>
      <c r="D8607" s="1" t="str">
        <f>"9628H61100"</f>
        <v>9628H61100</v>
      </c>
      <c r="E8607" s="1" t="s">
        <v>10</v>
      </c>
      <c r="F8607" s="1" t="str">
        <f>"10.128.2.158"</f>
        <v>10.128.2.158</v>
      </c>
      <c r="G8607" s="1" t="str">
        <f>"9628H611"</f>
        <v>9628H611</v>
      </c>
      <c r="H8607" s="1" t="str">
        <f>"서오간 10L5R1"</f>
        <v>서오간 10L5R1</v>
      </c>
      <c r="I8607" s="1" t="s">
        <v>8</v>
      </c>
      <c r="J8607" s="1" t="str">
        <f>"9/9"</f>
        <v>9/9</v>
      </c>
      <c r="K8607" s="1" t="str">
        <f>"2026-07-29 13:18:11"</f>
        <v>2026-07-29 13:18:11</v>
      </c>
      <c r="L8607" s="1" t="str">
        <f>"2014-12-18 14:22:41"</f>
        <v>2014-12-18 14:22:41</v>
      </c>
      <c r="M8607" s="1" t="s">
        <v>45</v>
      </c>
      <c r="N8607" s="1" t="s">
        <v>38</v>
      </c>
      <c r="O8607" s="1" t="s">
        <v>46</v>
      </c>
    </row>
    <row r="8608" spans="2:15" x14ac:dyDescent="0.3">
      <c r="B8608" s="1" t="s">
        <v>21</v>
      </c>
      <c r="C8608" s="1" t="str">
        <f>"4차"</f>
        <v>4차</v>
      </c>
      <c r="D8608" s="1" t="str">
        <f>"9628H69130"</f>
        <v>9628H69130</v>
      </c>
      <c r="E8608" s="1" t="s">
        <v>10</v>
      </c>
      <c r="F8608" s="1" t="str">
        <f>"10.128.3.34"</f>
        <v>10.128.3.34</v>
      </c>
      <c r="G8608" s="1" t="str">
        <f>"9628H691"</f>
        <v>9628H691</v>
      </c>
      <c r="H8608" s="1" t="str">
        <f>"갈촌간 31R7"</f>
        <v>갈촌간 31R7</v>
      </c>
      <c r="I8608" s="1" t="s">
        <v>8</v>
      </c>
      <c r="J8608" s="1" t="str">
        <f>"102/105"</f>
        <v>102/105</v>
      </c>
      <c r="K8608" s="1" t="str">
        <f>"2026-07-29 13:18:11"</f>
        <v>2026-07-29 13:18:11</v>
      </c>
      <c r="L8608" s="1" t="str">
        <f>"2017-12-27 13:09:25"</f>
        <v>2017-12-27 13:09:25</v>
      </c>
      <c r="M8608" s="1" t="s">
        <v>45</v>
      </c>
      <c r="N8608" s="1" t="s">
        <v>38</v>
      </c>
      <c r="O8608" s="1" t="s">
        <v>46</v>
      </c>
    </row>
    <row r="8609" spans="2:15" x14ac:dyDescent="0.3">
      <c r="B8609" s="1" t="s">
        <v>21</v>
      </c>
      <c r="C8609" s="1" t="str">
        <f>"4차"</f>
        <v>4차</v>
      </c>
      <c r="D8609" s="1" t="str">
        <f>"9628H70144"</f>
        <v>9628H70144</v>
      </c>
      <c r="E8609" s="1" t="s">
        <v>10</v>
      </c>
      <c r="F8609" s="1" t="str">
        <f>"10.10.90.66"</f>
        <v>10.10.90.66</v>
      </c>
      <c r="G8609" s="1" t="str">
        <f>"9628H701"</f>
        <v>9628H701</v>
      </c>
      <c r="H8609" s="1" t="str">
        <f>"서오간 10L5R3R1"</f>
        <v>서오간 10L5R3R1</v>
      </c>
      <c r="I8609" s="1" t="s">
        <v>8</v>
      </c>
      <c r="J8609" s="1" t="str">
        <f>"49/49"</f>
        <v>49/49</v>
      </c>
      <c r="K8609" s="1" t="str">
        <f>"2026-07-29 13:18:10"</f>
        <v>2026-07-29 13:18:10</v>
      </c>
      <c r="L8609" s="1" t="str">
        <f>"2019-10-23 18:23:03"</f>
        <v>2019-10-23 18:23:03</v>
      </c>
      <c r="M8609" s="1" t="s">
        <v>1</v>
      </c>
      <c r="N8609" s="1" t="s">
        <v>38</v>
      </c>
      <c r="O8609" s="1" t="s">
        <v>46</v>
      </c>
    </row>
    <row r="8610" spans="2:15" x14ac:dyDescent="0.3">
      <c r="B8610" s="1" t="s">
        <v>21</v>
      </c>
      <c r="C8610" s="1" t="str">
        <f>"1차"</f>
        <v>1차</v>
      </c>
      <c r="D8610" s="1" t="str">
        <f>"9628H71101"</f>
        <v>9628H71101</v>
      </c>
      <c r="E8610" s="1" t="s">
        <v>10</v>
      </c>
      <c r="F8610" s="1" t="str">
        <f>"10.12.130.180"</f>
        <v>10.12.130.180</v>
      </c>
      <c r="G8610" s="1" t="str">
        <f>"9628H711"</f>
        <v>9628H711</v>
      </c>
      <c r="H8610" s="1" t="str">
        <f>"서오간 10L5R2"</f>
        <v>서오간 10L5R2</v>
      </c>
      <c r="I8610" s="1" t="s">
        <v>8</v>
      </c>
      <c r="J8610" s="1" t="str">
        <f>"3/3"</f>
        <v>3/3</v>
      </c>
      <c r="K8610" s="1" t="str">
        <f>"2026-07-29 13:18:12"</f>
        <v>2026-07-29 13:18:12</v>
      </c>
      <c r="L8610" s="1" t="str">
        <f>"2014-11-04 02:26:55"</f>
        <v>2014-11-04 02:26:55</v>
      </c>
      <c r="M8610" s="1" t="s">
        <v>0</v>
      </c>
      <c r="N8610" s="1" t="s">
        <v>38</v>
      </c>
      <c r="O8610" s="1" t="s">
        <v>46</v>
      </c>
    </row>
    <row r="8611" spans="2:15" x14ac:dyDescent="0.3">
      <c r="B8611" s="1" t="s">
        <v>21</v>
      </c>
      <c r="C8611" s="1" t="str">
        <f>"4차"</f>
        <v>4차</v>
      </c>
      <c r="D8611" s="1" t="str">
        <f>"9628H71242"</f>
        <v>9628H71242</v>
      </c>
      <c r="E8611" s="1" t="s">
        <v>10</v>
      </c>
      <c r="F8611" s="1" t="str">
        <f>"10.128.0.237"</f>
        <v>10.128.0.237</v>
      </c>
      <c r="G8611" s="1" t="str">
        <f>"9628H712"</f>
        <v>9628H712</v>
      </c>
      <c r="H8611" s="1" t="str">
        <f>"서오간 10L5R2L1"</f>
        <v>서오간 10L5R2L1</v>
      </c>
      <c r="I8611" s="1" t="s">
        <v>8</v>
      </c>
      <c r="J8611" s="1" t="str">
        <f>"37/37"</f>
        <v>37/37</v>
      </c>
      <c r="K8611" s="1" t="str">
        <f>"2026-07-29 13:18:11"</f>
        <v>2026-07-29 13:18:11</v>
      </c>
      <c r="L8611" s="1" t="str">
        <f>"2025-07-21 17:44:26"</f>
        <v>2025-07-21 17:44:26</v>
      </c>
      <c r="M8611" s="1" t="s">
        <v>45</v>
      </c>
      <c r="N8611" s="1" t="s">
        <v>38</v>
      </c>
      <c r="O8611" s="1" t="s">
        <v>46</v>
      </c>
    </row>
    <row r="8612" spans="2:15" x14ac:dyDescent="0.3">
      <c r="B8612" s="1" t="s">
        <v>21</v>
      </c>
      <c r="C8612" s="1" t="str">
        <f>"1차"</f>
        <v>1차</v>
      </c>
      <c r="D8612" s="1" t="str">
        <f>"9628H73302"</f>
        <v>9628H73302</v>
      </c>
      <c r="E8612" s="1" t="s">
        <v>14</v>
      </c>
      <c r="F8612" s="1" t="str">
        <f>"10.128.0.236"</f>
        <v>10.128.0.236</v>
      </c>
      <c r="G8612" s="1" t="str">
        <f>"9628H733"</f>
        <v>9628H733</v>
      </c>
      <c r="H8612" s="1" t="str">
        <f>"서오간 10L8"</f>
        <v>서오간 10L8</v>
      </c>
      <c r="I8612" s="1" t="s">
        <v>8</v>
      </c>
      <c r="J8612" s="1" t="str">
        <f>"0/0"</f>
        <v>0/0</v>
      </c>
      <c r="K8612" s="1" t="str">
        <f>"2024-08-01 15:21:02"</f>
        <v>2024-08-01 15:21:02</v>
      </c>
      <c r="L8612" s="1" t="str">
        <f>"2014-11-24 15:26:41"</f>
        <v>2014-11-24 15:26:41</v>
      </c>
      <c r="M8612" s="1" t="s">
        <v>45</v>
      </c>
      <c r="N8612" s="1" t="s">
        <v>44</v>
      </c>
      <c r="O8612" s="1" t="s">
        <v>44</v>
      </c>
    </row>
    <row r="8613" spans="2:15" x14ac:dyDescent="0.3">
      <c r="B8613" s="1" t="s">
        <v>21</v>
      </c>
      <c r="C8613" s="1" t="str">
        <f>"1차"</f>
        <v>1차</v>
      </c>
      <c r="D8613" s="1" t="str">
        <f>"9628H77400"</f>
        <v>9628H77400</v>
      </c>
      <c r="E8613" s="1" t="s">
        <v>10</v>
      </c>
      <c r="F8613" s="1" t="str">
        <f>"10.128.2.159"</f>
        <v>10.128.2.159</v>
      </c>
      <c r="G8613" s="1" t="str">
        <f>"9628H774"</f>
        <v>9628H774</v>
      </c>
      <c r="H8613" s="1" t="str">
        <f>"대동간 33L2"</f>
        <v>대동간 33L2</v>
      </c>
      <c r="I8613" s="1" t="s">
        <v>8</v>
      </c>
      <c r="J8613" s="1" t="str">
        <f>"30/32"</f>
        <v>30/32</v>
      </c>
      <c r="K8613" s="1" t="str">
        <f>"2026-07-29 13:18:12"</f>
        <v>2026-07-29 13:18:12</v>
      </c>
      <c r="L8613" s="1" t="str">
        <f>"2014-11-13 17:50:49"</f>
        <v>2014-11-13 17:50:49</v>
      </c>
      <c r="M8613" s="1" t="s">
        <v>45</v>
      </c>
      <c r="N8613" s="1" t="s">
        <v>38</v>
      </c>
      <c r="O8613" s="1" t="s">
        <v>46</v>
      </c>
    </row>
    <row r="8614" spans="2:15" x14ac:dyDescent="0.3">
      <c r="B8614" s="1" t="s">
        <v>21</v>
      </c>
      <c r="C8614" s="1" t="str">
        <f>"1차"</f>
        <v>1차</v>
      </c>
      <c r="D8614" s="1" t="str">
        <f>"9628H78100"</f>
        <v>9628H78100</v>
      </c>
      <c r="E8614" s="1" t="s">
        <v>10</v>
      </c>
      <c r="F8614" s="1" t="str">
        <f>"10.128.0.248"</f>
        <v>10.128.0.248</v>
      </c>
      <c r="G8614" s="1" t="str">
        <f>"9628H781"</f>
        <v>9628H781</v>
      </c>
      <c r="H8614" s="1" t="str">
        <f>"동명간 12R5"</f>
        <v>동명간 12R5</v>
      </c>
      <c r="I8614" s="1" t="s">
        <v>8</v>
      </c>
      <c r="J8614" s="1" t="str">
        <f>"11/12"</f>
        <v>11/12</v>
      </c>
      <c r="K8614" s="1" t="str">
        <f>"2026-07-29 13:18:11"</f>
        <v>2026-07-29 13:18:11</v>
      </c>
      <c r="L8614" s="1" t="str">
        <f>"2014-11-29 14:38:59"</f>
        <v>2014-11-29 14:38:59</v>
      </c>
      <c r="M8614" s="1" t="s">
        <v>45</v>
      </c>
      <c r="N8614" s="1" t="s">
        <v>38</v>
      </c>
      <c r="O8614" s="1" t="s">
        <v>46</v>
      </c>
    </row>
    <row r="8615" spans="2:15" x14ac:dyDescent="0.3">
      <c r="B8615" s="1" t="s">
        <v>21</v>
      </c>
      <c r="C8615" s="1" t="str">
        <f>"6차"</f>
        <v>6차</v>
      </c>
      <c r="D8615" s="1" t="str">
        <f>"9628H7826S"</f>
        <v>9628H7826S</v>
      </c>
      <c r="E8615" s="1" t="s">
        <v>10</v>
      </c>
      <c r="F8615" s="1" t="str">
        <f>"fde1:103:4:9237:0:0:0:2"</f>
        <v>fde1:103:4:9237:0:0:0:2</v>
      </c>
      <c r="G8615" s="1" t="str">
        <f>"9628H782"</f>
        <v>9628H782</v>
      </c>
      <c r="H8615" s="1" t="str">
        <f>"동명간 12R4H1"</f>
        <v>동명간 12R4H1</v>
      </c>
      <c r="I8615" s="1" t="s">
        <v>15</v>
      </c>
      <c r="J8615" s="1" t="str">
        <f>"87/95"</f>
        <v>87/95</v>
      </c>
      <c r="K8615" s="1" t="str">
        <f>"2026-07-29 14:21:23"</f>
        <v>2026-07-29 14:21:23</v>
      </c>
      <c r="L8615" s="1" t="str">
        <f>"2025-02-20 17:36:58"</f>
        <v>2025-02-20 17:36:58</v>
      </c>
      <c r="M8615" s="1" t="s">
        <v>4</v>
      </c>
      <c r="N8615" s="1" t="s">
        <v>38</v>
      </c>
      <c r="O8615" s="1" t="s">
        <v>46</v>
      </c>
    </row>
    <row r="8616" spans="2:15" x14ac:dyDescent="0.3">
      <c r="B8616" s="1" t="s">
        <v>21</v>
      </c>
      <c r="C8616" s="1" t="str">
        <f>"4차"</f>
        <v>4차</v>
      </c>
      <c r="D8616" s="1" t="str">
        <f>"9628H80144"</f>
        <v>9628H80144</v>
      </c>
      <c r="E8616" s="1" t="s">
        <v>10</v>
      </c>
      <c r="F8616" s="1" t="str">
        <f>"10.10.89.226"</f>
        <v>10.10.89.226</v>
      </c>
      <c r="G8616" s="1" t="str">
        <f>"9628H801"</f>
        <v>9628H801</v>
      </c>
      <c r="H8616" s="1" t="str">
        <f>"서오간 10L5R4"</f>
        <v>서오간 10L5R4</v>
      </c>
      <c r="I8616" s="1" t="s">
        <v>8</v>
      </c>
      <c r="J8616" s="1" t="str">
        <f>"97/97"</f>
        <v>97/97</v>
      </c>
      <c r="K8616" s="1" t="str">
        <f>"2026-07-29 13:18:10"</f>
        <v>2026-07-29 13:18:10</v>
      </c>
      <c r="L8616" s="1" t="str">
        <f>"2019-12-17 16:08:01"</f>
        <v>2019-12-17 16:08:01</v>
      </c>
      <c r="M8616" s="1" t="s">
        <v>1</v>
      </c>
      <c r="N8616" s="1" t="s">
        <v>38</v>
      </c>
      <c r="O8616" s="1" t="s">
        <v>46</v>
      </c>
    </row>
    <row r="8617" spans="2:15" x14ac:dyDescent="0.3">
      <c r="B8617" s="1" t="s">
        <v>21</v>
      </c>
      <c r="C8617" s="1" t="str">
        <f>"4차"</f>
        <v>4차</v>
      </c>
      <c r="D8617" s="1" t="str">
        <f>"9628H80344"</f>
        <v>9628H80344</v>
      </c>
      <c r="E8617" s="1" t="s">
        <v>10</v>
      </c>
      <c r="F8617" s="1" t="str">
        <f>"10.10.89.242"</f>
        <v>10.10.89.242</v>
      </c>
      <c r="G8617" s="1" t="str">
        <f>"9628H803"</f>
        <v>9628H803</v>
      </c>
      <c r="H8617" s="1" t="str">
        <f>"서오간 10L5R3R2"</f>
        <v>서오간 10L5R3R2</v>
      </c>
      <c r="I8617" s="1" t="s">
        <v>8</v>
      </c>
      <c r="J8617" s="1" t="str">
        <f>"39/39"</f>
        <v>39/39</v>
      </c>
      <c r="K8617" s="1" t="str">
        <f>"2026-07-29 13:18:10"</f>
        <v>2026-07-29 13:18:10</v>
      </c>
      <c r="L8617" s="1" t="str">
        <f>"2019-10-23 18:03:03"</f>
        <v>2019-10-23 18:03:03</v>
      </c>
      <c r="M8617" s="1" t="s">
        <v>1</v>
      </c>
      <c r="N8617" s="1" t="s">
        <v>38</v>
      </c>
      <c r="O8617" s="1" t="s">
        <v>46</v>
      </c>
    </row>
    <row r="8618" spans="2:15" x14ac:dyDescent="0.3">
      <c r="B8618" s="1" t="s">
        <v>21</v>
      </c>
      <c r="C8618" s="1" t="str">
        <f>"4차"</f>
        <v>4차</v>
      </c>
      <c r="D8618" s="1" t="str">
        <f>"9628H80444"</f>
        <v>9628H80444</v>
      </c>
      <c r="E8618" s="1" t="s">
        <v>10</v>
      </c>
      <c r="F8618" s="1" t="str">
        <f>"10.10.90.82"</f>
        <v>10.10.90.82</v>
      </c>
      <c r="G8618" s="1" t="str">
        <f>"9628H804"</f>
        <v>9628H804</v>
      </c>
      <c r="H8618" s="1" t="str">
        <f>"서오간 10L5R3"</f>
        <v>서오간 10L5R3</v>
      </c>
      <c r="I8618" s="1" t="s">
        <v>8</v>
      </c>
      <c r="J8618" s="1" t="str">
        <f>"47/47"</f>
        <v>47/47</v>
      </c>
      <c r="K8618" s="1" t="str">
        <f>"2026-07-29 13:18:10"</f>
        <v>2026-07-29 13:18:10</v>
      </c>
      <c r="L8618" s="1" t="str">
        <f>"2019-10-24 17:03:04"</f>
        <v>2019-10-24 17:03:04</v>
      </c>
      <c r="M8618" s="1" t="s">
        <v>1</v>
      </c>
      <c r="N8618" s="1" t="s">
        <v>38</v>
      </c>
      <c r="O8618" s="1" t="s">
        <v>46</v>
      </c>
    </row>
    <row r="8619" spans="2:15" x14ac:dyDescent="0.3">
      <c r="B8619" s="1" t="s">
        <v>21</v>
      </c>
      <c r="C8619" s="1" t="str">
        <f>"3차"</f>
        <v>3차</v>
      </c>
      <c r="D8619" s="1" t="str">
        <f>"9628H82139"</f>
        <v>9628H82139</v>
      </c>
      <c r="E8619" s="1" t="s">
        <v>10</v>
      </c>
      <c r="F8619" s="1" t="str">
        <f>"10.12.129.129"</f>
        <v>10.12.129.129</v>
      </c>
      <c r="G8619" s="1" t="str">
        <f>"9628H821"</f>
        <v>9628H821</v>
      </c>
      <c r="H8619" s="1" t="str">
        <f>"서오간 10L5R2L2"</f>
        <v>서오간 10L5R2L2</v>
      </c>
      <c r="I8619" s="1" t="s">
        <v>8</v>
      </c>
      <c r="J8619" s="1" t="str">
        <f>"41/41"</f>
        <v>41/41</v>
      </c>
      <c r="K8619" s="1" t="str">
        <f>"2026-07-29 13:18:11"</f>
        <v>2026-07-29 13:18:11</v>
      </c>
      <c r="L8619" s="1" t="str">
        <f>"2018-04-20 13:26:28"</f>
        <v>2018-04-20 13:26:28</v>
      </c>
      <c r="M8619" s="1" t="s">
        <v>0</v>
      </c>
      <c r="N8619" s="1" t="s">
        <v>38</v>
      </c>
      <c r="O8619" s="1" t="s">
        <v>46</v>
      </c>
    </row>
    <row r="8620" spans="2:15" x14ac:dyDescent="0.3">
      <c r="B8620" s="1" t="s">
        <v>21</v>
      </c>
      <c r="C8620" s="1" t="str">
        <f>"1차"</f>
        <v>1차</v>
      </c>
      <c r="D8620" s="1" t="str">
        <f>"9628H87102"</f>
        <v>9628H87102</v>
      </c>
      <c r="E8620" s="1" t="s">
        <v>10</v>
      </c>
      <c r="F8620" s="1" t="str">
        <f>"10.14.1.193"</f>
        <v>10.14.1.193</v>
      </c>
      <c r="G8620" s="1" t="str">
        <f>"9628H871"</f>
        <v>9628H871</v>
      </c>
      <c r="H8620" s="1" t="str">
        <f>"동명간 12R7"</f>
        <v>동명간 12R7</v>
      </c>
      <c r="I8620" s="1" t="s">
        <v>8</v>
      </c>
      <c r="J8620" s="1" t="str">
        <f>"37/37"</f>
        <v>37/37</v>
      </c>
      <c r="K8620" s="1" t="str">
        <f>"2026-07-29 13:18:12"</f>
        <v>2026-07-29 13:18:12</v>
      </c>
      <c r="L8620" s="1" t="str">
        <f>"2014-11-29 14:39:31"</f>
        <v>2014-11-29 14:39:31</v>
      </c>
      <c r="M8620" s="1" t="s">
        <v>3</v>
      </c>
      <c r="N8620" s="1" t="s">
        <v>38</v>
      </c>
      <c r="O8620" s="1" t="s">
        <v>46</v>
      </c>
    </row>
    <row r="8621" spans="2:15" x14ac:dyDescent="0.3">
      <c r="B8621" s="1" t="s">
        <v>21</v>
      </c>
      <c r="C8621" s="1" t="str">
        <f>"5-2차"</f>
        <v>5-2차</v>
      </c>
      <c r="D8621" s="1" t="str">
        <f>"9628H8915M"</f>
        <v>9628H8915M</v>
      </c>
      <c r="E8621" s="1" t="s">
        <v>10</v>
      </c>
      <c r="F8621" s="1" t="str">
        <f>"fde3:102:1303:808:0:0:0:3"</f>
        <v>fde3:102:1303:808:0:0:0:3</v>
      </c>
      <c r="G8621" s="1" t="str">
        <f>"9628H891"</f>
        <v>9628H891</v>
      </c>
      <c r="H8621" s="1" t="str">
        <f>"동명간 12R4"</f>
        <v>동명간 12R4</v>
      </c>
      <c r="I8621" s="1" t="s">
        <v>15</v>
      </c>
      <c r="J8621" s="1" t="str">
        <f>"25/25"</f>
        <v>25/25</v>
      </c>
      <c r="K8621" s="1" t="str">
        <f>"2026-07-29 14:21:52"</f>
        <v>2026-07-29 14:21:52</v>
      </c>
      <c r="L8621" s="1" t="str">
        <f>"2023-07-24 11:23:02"</f>
        <v>2023-07-24 11:23:02</v>
      </c>
      <c r="M8621" s="1" t="s">
        <v>45</v>
      </c>
      <c r="N8621" s="1" t="s">
        <v>38</v>
      </c>
      <c r="O8621" s="1" t="s">
        <v>46</v>
      </c>
    </row>
    <row r="8622" spans="2:15" x14ac:dyDescent="0.3">
      <c r="B8622" s="1" t="s">
        <v>21</v>
      </c>
      <c r="C8622" s="1" t="str">
        <f>"5-1차"</f>
        <v>5-1차</v>
      </c>
      <c r="D8622" s="1" t="str">
        <f>"9628H8925S"</f>
        <v>9628H8925S</v>
      </c>
      <c r="E8622" s="1" t="s">
        <v>10</v>
      </c>
      <c r="F8622" s="1" t="str">
        <f>"fde3:102:1303:800:0:0:0:2"</f>
        <v>fde3:102:1303:800:0:0:0:2</v>
      </c>
      <c r="G8622" s="1" t="str">
        <f>"9628H892"</f>
        <v>9628H892</v>
      </c>
      <c r="H8622" s="1" t="str">
        <f>"동명간 12A2R2"</f>
        <v>동명간 12A2R2</v>
      </c>
      <c r="I8622" s="1" t="s">
        <v>15</v>
      </c>
      <c r="J8622" s="1" t="str">
        <f>"52/53"</f>
        <v>52/53</v>
      </c>
      <c r="K8622" s="1" t="str">
        <f>"2026-07-29 14:21:47"</f>
        <v>2026-07-29 14:21:47</v>
      </c>
      <c r="L8622" s="1" t="str">
        <f>"2022-12-01 17:53:42"</f>
        <v>2022-12-01 17:53:42</v>
      </c>
      <c r="M8622" s="1" t="s">
        <v>45</v>
      </c>
      <c r="N8622" s="1" t="s">
        <v>38</v>
      </c>
      <c r="O8622" s="1" t="s">
        <v>46</v>
      </c>
    </row>
    <row r="8623" spans="2:15" x14ac:dyDescent="0.3">
      <c r="B8623" s="1" t="s">
        <v>21</v>
      </c>
      <c r="C8623" s="1" t="str">
        <f>"4차"</f>
        <v>4차</v>
      </c>
      <c r="D8623" s="1" t="str">
        <f>"9628H90144"</f>
        <v>9628H90144</v>
      </c>
      <c r="E8623" s="1" t="s">
        <v>10</v>
      </c>
      <c r="F8623" s="1" t="str">
        <f>"10.10.109.170"</f>
        <v>10.10.109.170</v>
      </c>
      <c r="G8623" s="1" t="str">
        <f>"9628H901"</f>
        <v>9628H901</v>
      </c>
      <c r="H8623" s="1" t="str">
        <f>"서오간 10L5R5"</f>
        <v>서오간 10L5R5</v>
      </c>
      <c r="I8623" s="1" t="s">
        <v>8</v>
      </c>
      <c r="J8623" s="1" t="str">
        <f>"33/33"</f>
        <v>33/33</v>
      </c>
      <c r="K8623" s="1" t="str">
        <f>"2026-07-29 13:18:11"</f>
        <v>2026-07-29 13:18:11</v>
      </c>
      <c r="L8623" s="1" t="str">
        <f>"2019-10-24 17:33:03"</f>
        <v>2019-10-24 17:33:03</v>
      </c>
      <c r="M8623" s="1" t="s">
        <v>1</v>
      </c>
      <c r="N8623" s="1" t="s">
        <v>38</v>
      </c>
      <c r="O8623" s="1" t="s">
        <v>46</v>
      </c>
    </row>
    <row r="8624" spans="2:15" x14ac:dyDescent="0.3">
      <c r="B8624" s="1" t="s">
        <v>21</v>
      </c>
      <c r="C8624" s="1" t="str">
        <f>"4차"</f>
        <v>4차</v>
      </c>
      <c r="D8624" s="1" t="str">
        <f>"9628H90244"</f>
        <v>9628H90244</v>
      </c>
      <c r="E8624" s="1" t="s">
        <v>10</v>
      </c>
      <c r="F8624" s="1" t="str">
        <f>"10.10.77.138"</f>
        <v>10.10.77.138</v>
      </c>
      <c r="G8624" s="1" t="str">
        <f>"9628H902"</f>
        <v>9628H902</v>
      </c>
      <c r="H8624" s="1" t="str">
        <f>"갈촌간 3L3R6R2"</f>
        <v>갈촌간 3L3R6R2</v>
      </c>
      <c r="I8624" s="1" t="s">
        <v>8</v>
      </c>
      <c r="J8624" s="1" t="str">
        <f>"38/38"</f>
        <v>38/38</v>
      </c>
      <c r="K8624" s="1" t="str">
        <f>"2026-07-29 13:18:11"</f>
        <v>2026-07-29 13:18:11</v>
      </c>
      <c r="L8624" s="1" t="str">
        <f>"2019-10-23 17:53:45"</f>
        <v>2019-10-23 17:53:45</v>
      </c>
      <c r="M8624" s="1" t="s">
        <v>1</v>
      </c>
      <c r="N8624" s="1" t="s">
        <v>38</v>
      </c>
      <c r="O8624" s="1" t="s">
        <v>46</v>
      </c>
    </row>
    <row r="8625" spans="2:15" x14ac:dyDescent="0.3">
      <c r="B8625" s="1" t="s">
        <v>21</v>
      </c>
      <c r="C8625" s="1" t="str">
        <f>"4차"</f>
        <v>4차</v>
      </c>
      <c r="D8625" s="1" t="str">
        <f>"9628H92144"</f>
        <v>9628H92144</v>
      </c>
      <c r="E8625" s="1" t="s">
        <v>10</v>
      </c>
      <c r="F8625" s="1" t="str">
        <f>"10.10.94.210"</f>
        <v>10.10.94.210</v>
      </c>
      <c r="G8625" s="1" t="str">
        <f>"9628H921"</f>
        <v>9628H921</v>
      </c>
      <c r="H8625" s="1" t="str">
        <f>"갈촌간 11L2"</f>
        <v>갈촌간 11L2</v>
      </c>
      <c r="I8625" s="1" t="s">
        <v>8</v>
      </c>
      <c r="J8625" s="1" t="str">
        <f>"33/33"</f>
        <v>33/33</v>
      </c>
      <c r="K8625" s="1" t="str">
        <f>"2026-07-29 13:18:11"</f>
        <v>2026-07-29 13:18:11</v>
      </c>
      <c r="L8625" s="1" t="str">
        <f>"2019-11-04 17:28:45"</f>
        <v>2019-11-04 17:28:45</v>
      </c>
      <c r="M8625" s="1" t="s">
        <v>1</v>
      </c>
      <c r="N8625" s="1" t="s">
        <v>38</v>
      </c>
      <c r="O8625" s="1" t="s">
        <v>46</v>
      </c>
    </row>
    <row r="8626" spans="2:15" x14ac:dyDescent="0.3">
      <c r="B8626" s="1" t="s">
        <v>21</v>
      </c>
      <c r="C8626" s="1" t="str">
        <f>"1차"</f>
        <v>1차</v>
      </c>
      <c r="D8626" s="1" t="str">
        <f>"9628H97100"</f>
        <v>9628H97100</v>
      </c>
      <c r="E8626" s="1" t="s">
        <v>10</v>
      </c>
      <c r="F8626" s="1" t="str">
        <f>"10.128.1.2"</f>
        <v>10.128.1.2</v>
      </c>
      <c r="G8626" s="1" t="str">
        <f>"9628H971"</f>
        <v>9628H971</v>
      </c>
      <c r="H8626" s="1" t="str">
        <f>"동명간 12A5"</f>
        <v>동명간 12A5</v>
      </c>
      <c r="I8626" s="1" t="s">
        <v>8</v>
      </c>
      <c r="J8626" s="1" t="str">
        <f>"43/43"</f>
        <v>43/43</v>
      </c>
      <c r="K8626" s="1" t="str">
        <f>"2026-07-29 13:18:13"</f>
        <v>2026-07-29 13:18:13</v>
      </c>
      <c r="L8626" s="1" t="str">
        <f>"2014-11-13 00:14:22"</f>
        <v>2014-11-13 00:14:22</v>
      </c>
      <c r="M8626" s="1" t="s">
        <v>45</v>
      </c>
      <c r="N8626" s="1" t="s">
        <v>38</v>
      </c>
      <c r="O8626" s="1" t="s">
        <v>46</v>
      </c>
    </row>
    <row r="8627" spans="2:15" x14ac:dyDescent="0.3">
      <c r="B8627" s="1" t="s">
        <v>21</v>
      </c>
      <c r="C8627" s="1" t="str">
        <f>"1차"</f>
        <v>1차</v>
      </c>
      <c r="D8627" s="1" t="str">
        <f>"9628H97201"</f>
        <v>9628H97201</v>
      </c>
      <c r="E8627" s="1" t="s">
        <v>10</v>
      </c>
      <c r="F8627" s="1" t="str">
        <f>"10.128.1.3"</f>
        <v>10.128.1.3</v>
      </c>
      <c r="G8627" s="1" t="str">
        <f>"9628H972"</f>
        <v>9628H972</v>
      </c>
      <c r="H8627" s="1" t="str">
        <f>"동명간 12A5R1"</f>
        <v>동명간 12A5R1</v>
      </c>
      <c r="I8627" s="1" t="s">
        <v>8</v>
      </c>
      <c r="J8627" s="1" t="str">
        <f>"25/25"</f>
        <v>25/25</v>
      </c>
      <c r="K8627" s="1" t="str">
        <f>"2026-07-29 13:18:10"</f>
        <v>2026-07-29 13:18:10</v>
      </c>
      <c r="L8627" s="1" t="str">
        <f>"2014-11-29 01:09:28"</f>
        <v>2014-11-29 01:09:28</v>
      </c>
      <c r="M8627" s="1" t="s">
        <v>45</v>
      </c>
      <c r="N8627" s="1" t="s">
        <v>38</v>
      </c>
      <c r="O8627" s="1" t="s">
        <v>46</v>
      </c>
    </row>
    <row r="8628" spans="2:15" x14ac:dyDescent="0.3">
      <c r="B8628" s="1" t="s">
        <v>21</v>
      </c>
      <c r="C8628" s="1" t="str">
        <f>"1차"</f>
        <v>1차</v>
      </c>
      <c r="D8628" s="1" t="str">
        <f>"9628H98300"</f>
        <v>9628H98300</v>
      </c>
      <c r="E8628" s="1" t="s">
        <v>10</v>
      </c>
      <c r="F8628" s="1" t="str">
        <f>"10.128.2.160"</f>
        <v>10.128.2.160</v>
      </c>
      <c r="G8628" s="1" t="str">
        <f>"9628H983"</f>
        <v>9628H983</v>
      </c>
      <c r="H8628" s="1" t="str">
        <f>"동명간 12A3R2"</f>
        <v>동명간 12A3R2</v>
      </c>
      <c r="I8628" s="1" t="s">
        <v>8</v>
      </c>
      <c r="J8628" s="1" t="str">
        <f>"70/71"</f>
        <v>70/71</v>
      </c>
      <c r="K8628" s="1" t="str">
        <f>"2026-07-29 13:18:11"</f>
        <v>2026-07-29 13:18:11</v>
      </c>
      <c r="L8628" s="1" t="str">
        <f>"2014-11-13 17:52:57"</f>
        <v>2014-11-13 17:52:57</v>
      </c>
      <c r="M8628" s="1" t="s">
        <v>45</v>
      </c>
      <c r="N8628" s="1" t="s">
        <v>38</v>
      </c>
      <c r="O8628" s="1" t="s">
        <v>46</v>
      </c>
    </row>
    <row r="8629" spans="2:15" x14ac:dyDescent="0.3">
      <c r="B8629" s="1" t="s">
        <v>21</v>
      </c>
      <c r="C8629" s="1" t="str">
        <f>"5-2차"</f>
        <v>5-2차</v>
      </c>
      <c r="D8629" s="1" t="str">
        <f>"9628Q3635S"</f>
        <v>9628Q3635S</v>
      </c>
      <c r="E8629" s="1" t="s">
        <v>10</v>
      </c>
      <c r="F8629" s="1" t="str">
        <f>"fde1:103:4:6ec5:0:0:0:2"</f>
        <v>fde1:103:4:6ec5:0:0:0:2</v>
      </c>
      <c r="G8629" s="1" t="str">
        <f>"9628Q363"</f>
        <v>9628Q363</v>
      </c>
      <c r="H8629" s="1" t="str">
        <f>"천사지 18L1"</f>
        <v>천사지 18L1</v>
      </c>
      <c r="I8629" s="1" t="s">
        <v>15</v>
      </c>
      <c r="J8629" s="1" t="str">
        <f>"40/40"</f>
        <v>40/40</v>
      </c>
      <c r="K8629" s="1" t="str">
        <f>"2026-07-29 14:21:26"</f>
        <v>2026-07-29 14:21:26</v>
      </c>
      <c r="L8629" s="1" t="str">
        <f>"2023-11-14 16:35:57"</f>
        <v>2023-11-14 16:35:57</v>
      </c>
      <c r="M8629" s="1" t="s">
        <v>4</v>
      </c>
      <c r="N8629" s="1" t="s">
        <v>38</v>
      </c>
      <c r="O8629" s="1" t="s">
        <v>46</v>
      </c>
    </row>
    <row r="8630" spans="2:15" x14ac:dyDescent="0.3">
      <c r="B8630" s="1" t="s">
        <v>21</v>
      </c>
      <c r="C8630" s="1" t="str">
        <f>"5-2차"</f>
        <v>5-2차</v>
      </c>
      <c r="D8630" s="1" t="str">
        <f>"9628Q5025S"</f>
        <v>9628Q5025S</v>
      </c>
      <c r="E8630" s="1" t="s">
        <v>10</v>
      </c>
      <c r="F8630" s="1" t="str">
        <f>"fde1:103:4:6ec9:0:0:0:2"</f>
        <v>fde1:103:4:6ec9:0:0:0:2</v>
      </c>
      <c r="G8630" s="1" t="str">
        <f>"9628Q502"</f>
        <v>9628Q502</v>
      </c>
      <c r="H8630" s="1" t="str">
        <f>"천사지 3L2L11"</f>
        <v>천사지 3L2L11</v>
      </c>
      <c r="I8630" s="1" t="s">
        <v>15</v>
      </c>
      <c r="J8630" s="1" t="str">
        <f>"84/84"</f>
        <v>84/84</v>
      </c>
      <c r="K8630" s="1" t="str">
        <f>"2026-07-29 14:20:56"</f>
        <v>2026-07-29 14:20:56</v>
      </c>
      <c r="L8630" s="1" t="str">
        <f>"2023-11-14 16:55:58"</f>
        <v>2023-11-14 16:55:58</v>
      </c>
      <c r="M8630" s="1" t="s">
        <v>4</v>
      </c>
      <c r="N8630" s="1" t="s">
        <v>38</v>
      </c>
      <c r="O8630" s="1" t="s">
        <v>46</v>
      </c>
    </row>
    <row r="8631" spans="2:15" x14ac:dyDescent="0.3">
      <c r="B8631" s="1" t="s">
        <v>21</v>
      </c>
      <c r="C8631" s="1" t="str">
        <f>"5-2차"</f>
        <v>5-2차</v>
      </c>
      <c r="D8631" s="1" t="str">
        <f>"9628Q5215M"</f>
        <v>9628Q5215M</v>
      </c>
      <c r="E8631" s="1" t="s">
        <v>10</v>
      </c>
      <c r="F8631" s="1" t="str">
        <f>"fde1:103:4:91ee:0:0:0:2"</f>
        <v>fde1:103:4:91ee:0:0:0:2</v>
      </c>
      <c r="G8631" s="1" t="str">
        <f>"9628Q521"</f>
        <v>9628Q521</v>
      </c>
      <c r="H8631" s="1" t="str">
        <f>"천사지 3L2L7"</f>
        <v>천사지 3L2L7</v>
      </c>
      <c r="I8631" s="1" t="s">
        <v>15</v>
      </c>
      <c r="J8631" s="1" t="str">
        <f>"59/59"</f>
        <v>59/59</v>
      </c>
      <c r="K8631" s="1" t="str">
        <f>"2026-07-29 14:20:56"</f>
        <v>2026-07-29 14:20:56</v>
      </c>
      <c r="L8631" s="1" t="str">
        <f>"2024-01-11 17:25:37"</f>
        <v>2024-01-11 17:25:37</v>
      </c>
      <c r="M8631" s="1" t="s">
        <v>4</v>
      </c>
      <c r="N8631" s="1" t="s">
        <v>38</v>
      </c>
      <c r="O8631" s="1" t="s">
        <v>46</v>
      </c>
    </row>
    <row r="8632" spans="2:15" x14ac:dyDescent="0.3">
      <c r="B8632" s="1" t="s">
        <v>21</v>
      </c>
      <c r="C8632" s="1" t="str">
        <f>"5-2차"</f>
        <v>5-2차</v>
      </c>
      <c r="D8632" s="1" t="str">
        <f>"9628Q5715M"</f>
        <v>9628Q5715M</v>
      </c>
      <c r="E8632" s="1" t="s">
        <v>10</v>
      </c>
      <c r="F8632" s="1" t="str">
        <f>"fde1:103:4:6ec7:0:0:0:2"</f>
        <v>fde1:103:4:6ec7:0:0:0:2</v>
      </c>
      <c r="G8632" s="1" t="str">
        <f>"9628Q571"</f>
        <v>9628Q571</v>
      </c>
      <c r="H8632" s="1" t="str">
        <f>"천사지 15"</f>
        <v>천사지 15</v>
      </c>
      <c r="I8632" s="1" t="s">
        <v>15</v>
      </c>
      <c r="J8632" s="1" t="str">
        <f>"50/52"</f>
        <v>50/52</v>
      </c>
      <c r="K8632" s="1" t="str">
        <f>"2026-07-29 14:21:47"</f>
        <v>2026-07-29 14:21:47</v>
      </c>
      <c r="L8632" s="1" t="str">
        <f>"2023-11-14 16:56:08"</f>
        <v>2023-11-14 16:56:08</v>
      </c>
      <c r="M8632" s="1" t="s">
        <v>4</v>
      </c>
      <c r="N8632" s="1" t="s">
        <v>38</v>
      </c>
      <c r="O8632" s="1" t="s">
        <v>46</v>
      </c>
    </row>
    <row r="8633" spans="2:15" x14ac:dyDescent="0.3">
      <c r="B8633" s="1" t="s">
        <v>21</v>
      </c>
      <c r="C8633" s="1" t="str">
        <f>"5-2차"</f>
        <v>5-2차</v>
      </c>
      <c r="D8633" s="1" t="str">
        <f>"9628Q6115S"</f>
        <v>9628Q6115S</v>
      </c>
      <c r="E8633" s="1" t="s">
        <v>10</v>
      </c>
      <c r="F8633" s="1" t="str">
        <f>"fde1:103:4:6ecd:0:0:0:2"</f>
        <v>fde1:103:4:6ecd:0:0:0:2</v>
      </c>
      <c r="G8633" s="1" t="str">
        <f>"9628Q611"</f>
        <v>9628Q611</v>
      </c>
      <c r="H8633" s="1" t="str">
        <f>"천사지 3L2L6L1"</f>
        <v>천사지 3L2L6L1</v>
      </c>
      <c r="I8633" s="1" t="s">
        <v>15</v>
      </c>
      <c r="J8633" s="1" t="str">
        <f>"71/71"</f>
        <v>71/71</v>
      </c>
      <c r="K8633" s="1" t="str">
        <f>"2026-07-29 14:21:47"</f>
        <v>2026-07-29 14:21:47</v>
      </c>
      <c r="L8633" s="1" t="str">
        <f>"2023-11-14 17:00:38"</f>
        <v>2023-11-14 17:00:38</v>
      </c>
      <c r="M8633" s="1" t="s">
        <v>4</v>
      </c>
      <c r="N8633" s="1" t="s">
        <v>38</v>
      </c>
      <c r="O8633" s="1" t="s">
        <v>46</v>
      </c>
    </row>
    <row r="8634" spans="2:15" x14ac:dyDescent="0.3">
      <c r="B8634" s="1" t="s">
        <v>21</v>
      </c>
      <c r="C8634" s="1" t="str">
        <f>"5-1차"</f>
        <v>5-1차</v>
      </c>
      <c r="D8634" s="1" t="str">
        <f>"9628Q7115S"</f>
        <v>9628Q7115S</v>
      </c>
      <c r="E8634" s="1" t="s">
        <v>10</v>
      </c>
      <c r="F8634" s="1" t="str">
        <f>"fde3:102:1303:205:0:0:0:2"</f>
        <v>fde3:102:1303:205:0:0:0:2</v>
      </c>
      <c r="G8634" s="1" t="str">
        <f>"9628Q711"</f>
        <v>9628Q711</v>
      </c>
      <c r="H8634" s="1" t="str">
        <f>"천사지 3L2L2L2R3"</f>
        <v>천사지 3L2L2L2R3</v>
      </c>
      <c r="I8634" s="1" t="s">
        <v>15</v>
      </c>
      <c r="J8634" s="1" t="str">
        <f>"27/27"</f>
        <v>27/27</v>
      </c>
      <c r="K8634" s="1" t="str">
        <f>"2026-07-29 14:21:47"</f>
        <v>2026-07-29 14:21:47</v>
      </c>
      <c r="L8634" s="1" t="str">
        <f>"2022-11-16 14:48:27"</f>
        <v>2022-11-16 14:48:27</v>
      </c>
      <c r="M8634" s="1" t="s">
        <v>45</v>
      </c>
      <c r="N8634" s="1" t="s">
        <v>38</v>
      </c>
      <c r="O8634" s="1" t="s">
        <v>46</v>
      </c>
    </row>
    <row r="8635" spans="2:15" x14ac:dyDescent="0.3">
      <c r="B8635" s="1" t="s">
        <v>21</v>
      </c>
      <c r="C8635" s="1" t="str">
        <f>"5-1차"</f>
        <v>5-1차</v>
      </c>
      <c r="D8635" s="1" t="str">
        <f>"9628Q7615M"</f>
        <v>9628Q7615M</v>
      </c>
      <c r="E8635" s="1" t="s">
        <v>10</v>
      </c>
      <c r="F8635" s="1" t="str">
        <f>"fde3:102:1303:207:0:0:0:3"</f>
        <v>fde3:102:1303:207:0:0:0:3</v>
      </c>
      <c r="G8635" s="1" t="str">
        <f>"9628Q761"</f>
        <v>9628Q761</v>
      </c>
      <c r="H8635" s="1" t="str">
        <f>"천사지 3L4R2"</f>
        <v>천사지 3L4R2</v>
      </c>
      <c r="I8635" s="1" t="s">
        <v>15</v>
      </c>
      <c r="J8635" s="1" t="str">
        <f>"68/68"</f>
        <v>68/68</v>
      </c>
      <c r="K8635" s="1" t="str">
        <f>"2026-07-29 14:21:55"</f>
        <v>2026-07-29 14:21:55</v>
      </c>
      <c r="L8635" s="1" t="str">
        <f>"2022-11-16 14:49:24"</f>
        <v>2022-11-16 14:49:24</v>
      </c>
      <c r="M8635" s="1" t="s">
        <v>45</v>
      </c>
      <c r="N8635" s="1" t="s">
        <v>38</v>
      </c>
      <c r="O8635" s="1" t="s">
        <v>46</v>
      </c>
    </row>
    <row r="8636" spans="2:15" x14ac:dyDescent="0.3">
      <c r="B8636" s="1" t="s">
        <v>21</v>
      </c>
      <c r="C8636" s="1" t="str">
        <f>"5-2차"</f>
        <v>5-2차</v>
      </c>
      <c r="D8636" s="1" t="str">
        <f>"9628Q8025M"</f>
        <v>9628Q8025M</v>
      </c>
      <c r="E8636" s="1" t="s">
        <v>10</v>
      </c>
      <c r="F8636" s="1" t="str">
        <f>"fde1:103:4:581d:0:0:0:2"</f>
        <v>fde1:103:4:581d:0:0:0:2</v>
      </c>
      <c r="G8636" s="1" t="str">
        <f>"9628Q802"</f>
        <v>9628Q802</v>
      </c>
      <c r="H8636" s="1" t="str">
        <f>"천사지 3L2L2L2R1"</f>
        <v>천사지 3L2L2L2R1</v>
      </c>
      <c r="I8636" s="1" t="s">
        <v>15</v>
      </c>
      <c r="J8636" s="1" t="str">
        <f>"95/95"</f>
        <v>95/95</v>
      </c>
      <c r="K8636" s="1" t="str">
        <f>"2026-07-29 14:21:51"</f>
        <v>2026-07-29 14:21:51</v>
      </c>
      <c r="L8636" s="1" t="str">
        <f>"2023-10-16 17:06:45"</f>
        <v>2023-10-16 17:06:45</v>
      </c>
      <c r="M8636" s="1" t="s">
        <v>4</v>
      </c>
      <c r="N8636" s="1" t="s">
        <v>38</v>
      </c>
      <c r="O8636" s="1" t="s">
        <v>46</v>
      </c>
    </row>
    <row r="8637" spans="2:15" x14ac:dyDescent="0.3">
      <c r="B8637" s="1" t="s">
        <v>21</v>
      </c>
      <c r="C8637" s="1" t="str">
        <f>"5-2차"</f>
        <v>5-2차</v>
      </c>
      <c r="D8637" s="1" t="str">
        <f>"9628Q8035M"</f>
        <v>9628Q8035M</v>
      </c>
      <c r="E8637" s="1" t="s">
        <v>10</v>
      </c>
      <c r="F8637" s="1" t="str">
        <f>"fde1:103:4:57bc:0:0:0:2"</f>
        <v>fde1:103:4:57bc:0:0:0:2</v>
      </c>
      <c r="G8637" s="1" t="str">
        <f>"9628Q803"</f>
        <v>9628Q803</v>
      </c>
      <c r="H8637" s="1" t="str">
        <f>"천사지 3L2L2L3"</f>
        <v>천사지 3L2L2L3</v>
      </c>
      <c r="I8637" s="1" t="s">
        <v>15</v>
      </c>
      <c r="J8637" s="1" t="str">
        <f>"64/64"</f>
        <v>64/64</v>
      </c>
      <c r="K8637" s="1" t="str">
        <f>"2026-07-29 14:21:24"</f>
        <v>2026-07-29 14:21:24</v>
      </c>
      <c r="L8637" s="1" t="str">
        <f>"2023-10-16 17:08:40"</f>
        <v>2023-10-16 17:08:40</v>
      </c>
      <c r="M8637" s="1" t="s">
        <v>4</v>
      </c>
      <c r="N8637" s="1" t="s">
        <v>38</v>
      </c>
      <c r="O8637" s="1" t="s">
        <v>46</v>
      </c>
    </row>
    <row r="8638" spans="2:15" x14ac:dyDescent="0.3">
      <c r="B8638" s="1" t="s">
        <v>21</v>
      </c>
      <c r="C8638" s="1" t="str">
        <f>"4차"</f>
        <v>4차</v>
      </c>
      <c r="D8638" s="1" t="str">
        <f>"9628Q86239"</f>
        <v>9628Q86239</v>
      </c>
      <c r="E8638" s="1" t="s">
        <v>10</v>
      </c>
      <c r="F8638" s="1" t="str">
        <f>"10.128.68.20"</f>
        <v>10.128.68.20</v>
      </c>
      <c r="G8638" s="1" t="str">
        <f>"9628Q862"</f>
        <v>9628Q862</v>
      </c>
      <c r="H8638" s="1" t="str">
        <f>"천사지 3L2R5L1"</f>
        <v>천사지 3L2R5L1</v>
      </c>
      <c r="I8638" s="1" t="s">
        <v>8</v>
      </c>
      <c r="J8638" s="1" t="str">
        <f>"30/30"</f>
        <v>30/30</v>
      </c>
      <c r="K8638" s="1" t="str">
        <f>"2026-07-29 13:18:11"</f>
        <v>2026-07-29 13:18:11</v>
      </c>
      <c r="L8638" s="1" t="str">
        <f>"2018-03-30 17:34:30"</f>
        <v>2018-03-30 17:34:30</v>
      </c>
      <c r="M8638" s="1" t="s">
        <v>45</v>
      </c>
      <c r="N8638" s="1" t="s">
        <v>38</v>
      </c>
      <c r="O8638" s="1" t="s">
        <v>46</v>
      </c>
    </row>
    <row r="8639" spans="2:15" x14ac:dyDescent="0.3">
      <c r="B8639" s="1" t="s">
        <v>21</v>
      </c>
      <c r="C8639" s="1" t="str">
        <f>"5-1차"</f>
        <v>5-1차</v>
      </c>
      <c r="D8639" s="1" t="str">
        <f>"9628Q9015M"</f>
        <v>9628Q9015M</v>
      </c>
      <c r="E8639" s="1" t="s">
        <v>10</v>
      </c>
      <c r="F8639" s="1" t="str">
        <f>"fde3:102:1303:204:0:0:0:2"</f>
        <v>fde3:102:1303:204:0:0:0:2</v>
      </c>
      <c r="G8639" s="1" t="str">
        <f>"9628Q901"</f>
        <v>9628Q901</v>
      </c>
      <c r="H8639" s="1" t="str">
        <f>"숭실간 73L1"</f>
        <v>숭실간 73L1</v>
      </c>
      <c r="I8639" s="1" t="s">
        <v>15</v>
      </c>
      <c r="J8639" s="1" t="str">
        <f>"74/74"</f>
        <v>74/74</v>
      </c>
      <c r="K8639" s="1" t="str">
        <f>"2026-07-29 14:21:48"</f>
        <v>2026-07-29 14:21:48</v>
      </c>
      <c r="L8639" s="1" t="str">
        <f>"2022-11-08 14:48:29"</f>
        <v>2022-11-08 14:48:29</v>
      </c>
      <c r="M8639" s="1" t="s">
        <v>45</v>
      </c>
      <c r="N8639" s="1" t="s">
        <v>38</v>
      </c>
      <c r="O8639" s="1" t="s">
        <v>46</v>
      </c>
    </row>
    <row r="8640" spans="2:15" x14ac:dyDescent="0.3">
      <c r="B8640" s="1" t="s">
        <v>21</v>
      </c>
      <c r="C8640" s="1" t="str">
        <f>"6차"</f>
        <v>6차</v>
      </c>
      <c r="D8640" s="1" t="str">
        <f>"9628Q9216S"</f>
        <v>9628Q9216S</v>
      </c>
      <c r="E8640" s="1" t="s">
        <v>10</v>
      </c>
      <c r="F8640" s="1" t="str">
        <f>"fde1:103:4:c835:0:0:0:2"</f>
        <v>fde1:103:4:c835:0:0:0:2</v>
      </c>
      <c r="G8640" s="1" t="str">
        <f>"9628Q921"</f>
        <v>9628Q921</v>
      </c>
      <c r="H8640" s="1" t="str">
        <f>"천사지 3L2L2"</f>
        <v>천사지 3L2L2</v>
      </c>
      <c r="I8640" s="1" t="s">
        <v>15</v>
      </c>
      <c r="J8640" s="1" t="str">
        <f>"40/40"</f>
        <v>40/40</v>
      </c>
      <c r="K8640" s="1" t="str">
        <f>"2026-07-29 14:20:56"</f>
        <v>2026-07-29 14:20:56</v>
      </c>
      <c r="L8640" s="1" t="str">
        <f>"2024-12-10 11:25:40"</f>
        <v>2024-12-10 11:25:40</v>
      </c>
      <c r="M8640" s="1" t="s">
        <v>4</v>
      </c>
      <c r="N8640" s="1" t="s">
        <v>38</v>
      </c>
      <c r="O8640" s="1" t="s">
        <v>46</v>
      </c>
    </row>
    <row r="8641" spans="2:15" x14ac:dyDescent="0.3">
      <c r="B8641" s="1" t="s">
        <v>21</v>
      </c>
      <c r="C8641" s="1" t="str">
        <f>"6차"</f>
        <v>6차</v>
      </c>
      <c r="D8641" s="1" t="str">
        <f>"9628Q9326S"</f>
        <v>9628Q9326S</v>
      </c>
      <c r="E8641" s="1" t="s">
        <v>10</v>
      </c>
      <c r="F8641" s="1" t="str">
        <f>"fde1:103:4:c7b8:0:0:0:2"</f>
        <v>fde1:103:4:c7b8:0:0:0:2</v>
      </c>
      <c r="G8641" s="1" t="str">
        <f>"9628Q932"</f>
        <v>9628Q932</v>
      </c>
      <c r="H8641" s="1" t="str">
        <f>"천사지 3L2"</f>
        <v>천사지 3L2</v>
      </c>
      <c r="I8641" s="1" t="s">
        <v>15</v>
      </c>
      <c r="J8641" s="1" t="str">
        <f>"30/31"</f>
        <v>30/31</v>
      </c>
      <c r="K8641" s="1" t="str">
        <f>"2026-07-29 14:21:48"</f>
        <v>2026-07-29 14:21:48</v>
      </c>
      <c r="L8641" s="1" t="str">
        <f>"2024-12-10 11:25:31"</f>
        <v>2024-12-10 11:25:31</v>
      </c>
      <c r="M8641" s="1" t="s">
        <v>4</v>
      </c>
      <c r="N8641" s="1" t="s">
        <v>38</v>
      </c>
      <c r="O8641" s="1" t="s">
        <v>46</v>
      </c>
    </row>
    <row r="8642" spans="2:15" x14ac:dyDescent="0.3">
      <c r="B8642" s="1" t="s">
        <v>21</v>
      </c>
      <c r="C8642" s="1" t="str">
        <f>"5-1차"</f>
        <v>5-1차</v>
      </c>
      <c r="D8642" s="1" t="str">
        <f>"9628Q9425M"</f>
        <v>9628Q9425M</v>
      </c>
      <c r="E8642" s="1" t="s">
        <v>10</v>
      </c>
      <c r="F8642" s="1" t="str">
        <f>"fde3:102:1303:206:0:0:0:2"</f>
        <v>fde3:102:1303:206:0:0:0:2</v>
      </c>
      <c r="G8642" s="1" t="str">
        <f>"9628Q942"</f>
        <v>9628Q942</v>
      </c>
      <c r="H8642" s="1" t="str">
        <f>"천사지 3L2R1"</f>
        <v>천사지 3L2R1</v>
      </c>
      <c r="I8642" s="1" t="s">
        <v>15</v>
      </c>
      <c r="J8642" s="1" t="str">
        <f>"71/71"</f>
        <v>71/71</v>
      </c>
      <c r="K8642" s="1" t="str">
        <f>"2026-07-29 14:21:48"</f>
        <v>2026-07-29 14:21:48</v>
      </c>
      <c r="L8642" s="1" t="str">
        <f>"2022-11-16 14:51:31"</f>
        <v>2022-11-16 14:51:31</v>
      </c>
      <c r="M8642" s="1" t="s">
        <v>45</v>
      </c>
      <c r="N8642" s="1" t="s">
        <v>38</v>
      </c>
      <c r="O8642" s="1" t="s">
        <v>46</v>
      </c>
    </row>
    <row r="8643" spans="2:15" x14ac:dyDescent="0.3">
      <c r="B8643" s="1" t="s">
        <v>21</v>
      </c>
      <c r="C8643" s="1" t="str">
        <f>"5-1차"</f>
        <v>5-1차</v>
      </c>
      <c r="D8643" s="1" t="str">
        <f>"9628Q9515S"</f>
        <v>9628Q9515S</v>
      </c>
      <c r="E8643" s="1" t="s">
        <v>10</v>
      </c>
      <c r="F8643" s="1" t="str">
        <f>"fde3:102:1303:206:0:0:0:3"</f>
        <v>fde3:102:1303:206:0:0:0:3</v>
      </c>
      <c r="G8643" s="1" t="str">
        <f>"9628Q951"</f>
        <v>9628Q951</v>
      </c>
      <c r="H8643" s="1" t="str">
        <f>"천사지 3L2R2"</f>
        <v>천사지 3L2R2</v>
      </c>
      <c r="I8643" s="1" t="s">
        <v>15</v>
      </c>
      <c r="J8643" s="1" t="str">
        <f>"34/34"</f>
        <v>34/34</v>
      </c>
      <c r="K8643" s="1" t="str">
        <f>"2026-07-29 14:20:56"</f>
        <v>2026-07-29 14:20:56</v>
      </c>
      <c r="L8643" s="1" t="str">
        <f>"2022-12-15 10:08:44"</f>
        <v>2022-12-15 10:08:44</v>
      </c>
      <c r="M8643" s="1" t="s">
        <v>45</v>
      </c>
      <c r="N8643" s="1" t="s">
        <v>38</v>
      </c>
      <c r="O8643" s="1" t="s">
        <v>46</v>
      </c>
    </row>
    <row r="8644" spans="2:15" x14ac:dyDescent="0.3">
      <c r="B8644" s="1" t="s">
        <v>21</v>
      </c>
      <c r="C8644" s="1" t="str">
        <f>"5-1차"</f>
        <v>5-1차</v>
      </c>
      <c r="D8644" s="1" t="str">
        <f>"9628Q9535M"</f>
        <v>9628Q9535M</v>
      </c>
      <c r="E8644" s="1" t="s">
        <v>10</v>
      </c>
      <c r="F8644" s="1" t="str">
        <f>"fde3:102:1303:206:0:0:0:4"</f>
        <v>fde3:102:1303:206:0:0:0:4</v>
      </c>
      <c r="G8644" s="1" t="str">
        <f>"9628Q953"</f>
        <v>9628Q953</v>
      </c>
      <c r="H8644" s="1" t="str">
        <f>"천사지 3L2R3"</f>
        <v>천사지 3L2R3</v>
      </c>
      <c r="I8644" s="1" t="s">
        <v>15</v>
      </c>
      <c r="J8644" s="1" t="str">
        <f>"47/47"</f>
        <v>47/47</v>
      </c>
      <c r="K8644" s="1" t="str">
        <f>"2026-07-29 14:21:48"</f>
        <v>2026-07-29 14:21:48</v>
      </c>
      <c r="L8644" s="1" t="str">
        <f>"2022-11-16 15:00:22"</f>
        <v>2022-11-16 15:00:22</v>
      </c>
      <c r="M8644" s="1" t="s">
        <v>45</v>
      </c>
      <c r="N8644" s="1" t="s">
        <v>38</v>
      </c>
      <c r="O8644" s="1" t="s">
        <v>46</v>
      </c>
    </row>
    <row r="8645" spans="2:15" x14ac:dyDescent="0.3">
      <c r="B8645" s="1" t="s">
        <v>21</v>
      </c>
      <c r="C8645" s="1" t="str">
        <f>"3차"</f>
        <v>3차</v>
      </c>
      <c r="D8645" s="1" t="str">
        <f>"9628Q96239"</f>
        <v>9628Q96239</v>
      </c>
      <c r="E8645" s="1" t="s">
        <v>10</v>
      </c>
      <c r="F8645" s="1" t="str">
        <f>"10.128.68.18"</f>
        <v>10.128.68.18</v>
      </c>
      <c r="G8645" s="1" t="str">
        <f>"9628Q962"</f>
        <v>9628Q962</v>
      </c>
      <c r="H8645" s="1" t="str">
        <f>"천사지 3L2R5"</f>
        <v>천사지 3L2R5</v>
      </c>
      <c r="I8645" s="1" t="s">
        <v>8</v>
      </c>
      <c r="J8645" s="1" t="str">
        <f>"48/48"</f>
        <v>48/48</v>
      </c>
      <c r="K8645" s="1" t="str">
        <f>"2026-07-29 13:18:11"</f>
        <v>2026-07-29 13:18:11</v>
      </c>
      <c r="L8645" s="1" t="str">
        <f>"2018-03-30 17:50:13"</f>
        <v>2018-03-30 17:50:13</v>
      </c>
      <c r="M8645" s="1" t="s">
        <v>45</v>
      </c>
      <c r="N8645" s="1" t="s">
        <v>38</v>
      </c>
      <c r="O8645" s="1" t="s">
        <v>46</v>
      </c>
    </row>
    <row r="8646" spans="2:15" x14ac:dyDescent="0.3">
      <c r="B8646" s="1" t="s">
        <v>21</v>
      </c>
      <c r="C8646" s="1" t="str">
        <f>"3차"</f>
        <v>3차</v>
      </c>
      <c r="D8646" s="1" t="str">
        <f>"9628Q98139"</f>
        <v>9628Q98139</v>
      </c>
      <c r="E8646" s="1" t="s">
        <v>10</v>
      </c>
      <c r="F8646" s="1" t="str">
        <f>"10.128.68.34"</f>
        <v>10.128.68.34</v>
      </c>
      <c r="G8646" s="1" t="str">
        <f>"9628Q981"</f>
        <v>9628Q981</v>
      </c>
      <c r="H8646" s="1" t="str">
        <f>"천사지 10"</f>
        <v>천사지 10</v>
      </c>
      <c r="I8646" s="1" t="s">
        <v>8</v>
      </c>
      <c r="J8646" s="1" t="str">
        <f>"34/44"</f>
        <v>34/44</v>
      </c>
      <c r="K8646" s="1" t="str">
        <f>"2026-07-29 13:18:11"</f>
        <v>2026-07-29 13:18:11</v>
      </c>
      <c r="L8646" s="1" t="str">
        <f>"2018-03-30 17:26:14"</f>
        <v>2018-03-30 17:26:14</v>
      </c>
      <c r="M8646" s="1" t="s">
        <v>45</v>
      </c>
      <c r="N8646" s="1" t="s">
        <v>38</v>
      </c>
      <c r="O8646" s="1" t="s">
        <v>46</v>
      </c>
    </row>
    <row r="8647" spans="2:15" x14ac:dyDescent="0.3">
      <c r="B8647" s="1" t="s">
        <v>21</v>
      </c>
      <c r="C8647" s="1" t="str">
        <f>"4차"</f>
        <v>4차</v>
      </c>
      <c r="D8647" s="1" t="str">
        <f>"9628Q99131"</f>
        <v>9628Q99131</v>
      </c>
      <c r="E8647" s="1" t="s">
        <v>10</v>
      </c>
      <c r="F8647" s="1" t="str">
        <f>"10.128.68.51"</f>
        <v>10.128.68.51</v>
      </c>
      <c r="G8647" s="1" t="str">
        <f>"9628Q991"</f>
        <v>9628Q991</v>
      </c>
      <c r="H8647" s="1" t="str">
        <f>"구산간 26R2"</f>
        <v>구산간 26R2</v>
      </c>
      <c r="I8647" s="1" t="s">
        <v>8</v>
      </c>
      <c r="J8647" s="1" t="str">
        <f>"33/33"</f>
        <v>33/33</v>
      </c>
      <c r="K8647" s="1" t="str">
        <f>"2026-07-29 13:18:11"</f>
        <v>2026-07-29 13:18:11</v>
      </c>
      <c r="L8647" s="1" t="str">
        <f>"2018-06-28 13:14:25"</f>
        <v>2018-06-28 13:14:25</v>
      </c>
      <c r="M8647" s="1" t="s">
        <v>45</v>
      </c>
      <c r="N8647" s="1" t="s">
        <v>38</v>
      </c>
      <c r="O8647" s="1" t="s">
        <v>46</v>
      </c>
    </row>
    <row r="8648" spans="2:15" x14ac:dyDescent="0.3">
      <c r="B8648" s="1" t="s">
        <v>21</v>
      </c>
      <c r="C8648" s="1" t="str">
        <f>"5-2차"</f>
        <v>5-2차</v>
      </c>
      <c r="D8648" s="1" t="str">
        <f>"9628S0745M"</f>
        <v>9628S0745M</v>
      </c>
      <c r="E8648" s="1" t="s">
        <v>10</v>
      </c>
      <c r="F8648" s="1" t="str">
        <f>"fde1:103:4:58fe:0:0:0:2"</f>
        <v>fde1:103:4:58fe:0:0:0:2</v>
      </c>
      <c r="G8648" s="1" t="str">
        <f>"9628S074"</f>
        <v>9628S074</v>
      </c>
      <c r="H8648" s="1" t="str">
        <f>"숭실간 69L12L1"</f>
        <v>숭실간 69L12L1</v>
      </c>
      <c r="I8648" s="1" t="s">
        <v>15</v>
      </c>
      <c r="J8648" s="1" t="str">
        <f>"23/23"</f>
        <v>23/23</v>
      </c>
      <c r="K8648" s="1" t="str">
        <f>"2026-07-29 14:21:48"</f>
        <v>2026-07-29 14:21:48</v>
      </c>
      <c r="L8648" s="1" t="str">
        <f>"2023-10-16 17:09:07"</f>
        <v>2023-10-16 17:09:07</v>
      </c>
      <c r="M8648" s="1" t="s">
        <v>4</v>
      </c>
      <c r="N8648" s="1" t="s">
        <v>38</v>
      </c>
      <c r="O8648" s="1" t="s">
        <v>46</v>
      </c>
    </row>
    <row r="8649" spans="2:15" x14ac:dyDescent="0.3">
      <c r="B8649" s="1" t="s">
        <v>21</v>
      </c>
      <c r="C8649" s="1" t="str">
        <f>"5-2차"</f>
        <v>5-2차</v>
      </c>
      <c r="D8649" s="1" t="str">
        <f>"9628S0835S"</f>
        <v>9628S0835S</v>
      </c>
      <c r="E8649" s="1" t="s">
        <v>10</v>
      </c>
      <c r="F8649" s="1" t="str">
        <f>"fde1:103:4:5911:0:0:0:2"</f>
        <v>fde1:103:4:5911:0:0:0:2</v>
      </c>
      <c r="G8649" s="1" t="str">
        <f>"9628S083"</f>
        <v>9628S083</v>
      </c>
      <c r="H8649" s="1" t="str">
        <f>"숭실간 69L14L1"</f>
        <v>숭실간 69L14L1</v>
      </c>
      <c r="I8649" s="1" t="s">
        <v>15</v>
      </c>
      <c r="J8649" s="1" t="str">
        <f>"80/83"</f>
        <v>80/83</v>
      </c>
      <c r="K8649" s="1" t="str">
        <f>"2026-07-29 14:20:56"</f>
        <v>2026-07-29 14:20:56</v>
      </c>
      <c r="L8649" s="1" t="str">
        <f>"2023-10-16 17:29:16"</f>
        <v>2023-10-16 17:29:16</v>
      </c>
      <c r="M8649" s="1" t="s">
        <v>4</v>
      </c>
      <c r="N8649" s="1" t="s">
        <v>38</v>
      </c>
      <c r="O8649" s="1" t="s">
        <v>46</v>
      </c>
    </row>
    <row r="8650" spans="2:15" x14ac:dyDescent="0.3">
      <c r="B8650" s="1" t="s">
        <v>21</v>
      </c>
      <c r="C8650" s="1" t="str">
        <f>"5-2차"</f>
        <v>5-2차</v>
      </c>
      <c r="D8650" s="1" t="str">
        <f>"9628S1615M"</f>
        <v>9628S1615M</v>
      </c>
      <c r="E8650" s="1" t="s">
        <v>10</v>
      </c>
      <c r="F8650" s="1" t="str">
        <f>"fde1:103:4:584e:0:0:0:2"</f>
        <v>fde1:103:4:584e:0:0:0:2</v>
      </c>
      <c r="G8650" s="1" t="str">
        <f>"9628S161"</f>
        <v>9628S161</v>
      </c>
      <c r="H8650" s="1" t="str">
        <f>"숭실간 69L11L2"</f>
        <v>숭실간 69L11L2</v>
      </c>
      <c r="I8650" s="1" t="s">
        <v>15</v>
      </c>
      <c r="J8650" s="1" t="str">
        <f>"35/35"</f>
        <v>35/35</v>
      </c>
      <c r="K8650" s="1" t="str">
        <f>"2026-07-29 14:21:48"</f>
        <v>2026-07-29 14:21:48</v>
      </c>
      <c r="L8650" s="1" t="str">
        <f>"2023-10-16 17:29:42"</f>
        <v>2023-10-16 17:29:42</v>
      </c>
      <c r="M8650" s="1" t="s">
        <v>4</v>
      </c>
      <c r="N8650" s="1" t="s">
        <v>38</v>
      </c>
      <c r="O8650" s="1" t="s">
        <v>46</v>
      </c>
    </row>
    <row r="8651" spans="2:15" x14ac:dyDescent="0.3">
      <c r="B8651" s="1" t="s">
        <v>21</v>
      </c>
      <c r="C8651" s="1" t="str">
        <f>"5-1차"</f>
        <v>5-1차</v>
      </c>
      <c r="D8651" s="1" t="str">
        <f>"9628S1715M"</f>
        <v>9628S1715M</v>
      </c>
      <c r="E8651" s="1" t="s">
        <v>10</v>
      </c>
      <c r="F8651" s="1" t="str">
        <f>"fde3:102:1303:203:0:0:0:2"</f>
        <v>fde3:102:1303:203:0:0:0:2</v>
      </c>
      <c r="G8651" s="1" t="str">
        <f>"9628S171"</f>
        <v>9628S171</v>
      </c>
      <c r="H8651" s="1" t="str">
        <f>"숭실간 69L11"</f>
        <v>숭실간 69L11</v>
      </c>
      <c r="I8651" s="1" t="s">
        <v>15</v>
      </c>
      <c r="J8651" s="1" t="str">
        <f>"15/15"</f>
        <v>15/15</v>
      </c>
      <c r="K8651" s="1" t="str">
        <f>"2026-07-29 14:21:49"</f>
        <v>2026-07-29 14:21:49</v>
      </c>
      <c r="L8651" s="1" t="str">
        <f>"2022-11-16 14:49:15"</f>
        <v>2022-11-16 14:49:15</v>
      </c>
      <c r="M8651" s="1" t="s">
        <v>45</v>
      </c>
      <c r="N8651" s="1" t="s">
        <v>38</v>
      </c>
      <c r="O8651" s="1" t="s">
        <v>46</v>
      </c>
    </row>
    <row r="8652" spans="2:15" x14ac:dyDescent="0.3">
      <c r="B8652" s="1" t="s">
        <v>21</v>
      </c>
      <c r="C8652" s="1" t="str">
        <f>"5-1차"</f>
        <v>5-1차</v>
      </c>
      <c r="D8652" s="1" t="str">
        <f>"9628S1725S"</f>
        <v>9628S1725S</v>
      </c>
      <c r="E8652" s="1" t="s">
        <v>10</v>
      </c>
      <c r="F8652" s="1" t="str">
        <f>"fde3:102:1303:203:0:0:0:3"</f>
        <v>fde3:102:1303:203:0:0:0:3</v>
      </c>
      <c r="G8652" s="1" t="str">
        <f>"9628S172"</f>
        <v>9628S172</v>
      </c>
      <c r="H8652" s="1" t="str">
        <f>"숭실간 69L10R1"</f>
        <v>숭실간 69L10R1</v>
      </c>
      <c r="I8652" s="1" t="s">
        <v>15</v>
      </c>
      <c r="J8652" s="1" t="str">
        <f>"29/29"</f>
        <v>29/29</v>
      </c>
      <c r="K8652" s="1" t="str">
        <f>"2026-07-29 14:21:49"</f>
        <v>2026-07-29 14:21:49</v>
      </c>
      <c r="L8652" s="1" t="str">
        <f>"2022-11-08 14:55:00"</f>
        <v>2022-11-08 14:55:00</v>
      </c>
      <c r="M8652" s="1" t="s">
        <v>45</v>
      </c>
      <c r="N8652" s="1" t="s">
        <v>38</v>
      </c>
      <c r="O8652" s="1" t="s">
        <v>46</v>
      </c>
    </row>
    <row r="8653" spans="2:15" x14ac:dyDescent="0.3">
      <c r="B8653" s="1" t="s">
        <v>21</v>
      </c>
      <c r="C8653" s="1" t="str">
        <f>"5-1차"</f>
        <v>5-1차</v>
      </c>
      <c r="D8653" s="1" t="str">
        <f>"9628S1825S"</f>
        <v>9628S1825S</v>
      </c>
      <c r="E8653" s="1" t="s">
        <v>10</v>
      </c>
      <c r="F8653" s="1" t="str">
        <f>"fde3:102:1303:203:0:0:0:4"</f>
        <v>fde3:102:1303:203:0:0:0:4</v>
      </c>
      <c r="G8653" s="1" t="str">
        <f>"9628S182"</f>
        <v>9628S182</v>
      </c>
      <c r="H8653" s="1" t="str">
        <f>"숭실간 69L10R3"</f>
        <v>숭실간 69L10R3</v>
      </c>
      <c r="I8653" s="1" t="s">
        <v>15</v>
      </c>
      <c r="J8653" s="1" t="str">
        <f>"42/42"</f>
        <v>42/42</v>
      </c>
      <c r="K8653" s="1" t="str">
        <f>"2026-07-29 14:21:49"</f>
        <v>2026-07-29 14:21:49</v>
      </c>
      <c r="L8653" s="1" t="str">
        <f>"2022-11-08 14:48:28"</f>
        <v>2022-11-08 14:48:28</v>
      </c>
      <c r="M8653" s="1" t="s">
        <v>45</v>
      </c>
      <c r="N8653" s="1" t="s">
        <v>38</v>
      </c>
      <c r="O8653" s="1" t="s">
        <v>46</v>
      </c>
    </row>
    <row r="8654" spans="2:15" x14ac:dyDescent="0.3">
      <c r="B8654" s="1" t="s">
        <v>21</v>
      </c>
      <c r="C8654" s="1" t="str">
        <f>"5-1차"</f>
        <v>5-1차</v>
      </c>
      <c r="D8654" s="1" t="str">
        <f>"9628S2125M"</f>
        <v>9628S2125M</v>
      </c>
      <c r="E8654" s="1" t="s">
        <v>10</v>
      </c>
      <c r="F8654" s="1" t="str">
        <f>"fde2:104:0:85:0:0:0:2"</f>
        <v>fde2:104:0:85:0:0:0:2</v>
      </c>
      <c r="G8654" s="1" t="str">
        <f>"9628S212"</f>
        <v>9628S212</v>
      </c>
      <c r="H8654" s="1" t="str">
        <f>"숭실간 66L11L13"</f>
        <v>숭실간 66L11L13</v>
      </c>
      <c r="I8654" s="1" t="s">
        <v>15</v>
      </c>
      <c r="J8654" s="1" t="str">
        <f>"75/96"</f>
        <v>75/96</v>
      </c>
      <c r="K8654" s="1" t="str">
        <f>"2026-07-29 14:20:57"</f>
        <v>2026-07-29 14:20:57</v>
      </c>
      <c r="L8654" s="1" t="str">
        <f>"2022-09-16 09:59:14"</f>
        <v>2022-09-16 09:59:14</v>
      </c>
      <c r="M8654" s="1" t="s">
        <v>42</v>
      </c>
      <c r="N8654" s="1" t="s">
        <v>38</v>
      </c>
      <c r="O8654" s="1" t="s">
        <v>46</v>
      </c>
    </row>
    <row r="8655" spans="2:15" x14ac:dyDescent="0.3">
      <c r="B8655" s="1" t="s">
        <v>21</v>
      </c>
      <c r="C8655" s="1" t="str">
        <f>"5-2차"</f>
        <v>5-2차</v>
      </c>
      <c r="D8655" s="1" t="str">
        <f>"9628S2725M"</f>
        <v>9628S2725M</v>
      </c>
      <c r="E8655" s="1" t="s">
        <v>10</v>
      </c>
      <c r="F8655" s="1" t="str">
        <f>"fde1:103:4:5870:0:0:0:2"</f>
        <v>fde1:103:4:5870:0:0:0:2</v>
      </c>
      <c r="G8655" s="1" t="str">
        <f>"9628S272"</f>
        <v>9628S272</v>
      </c>
      <c r="H8655" s="1" t="str">
        <f>"숭실간 69L9"</f>
        <v>숭실간 69L9</v>
      </c>
      <c r="I8655" s="1" t="s">
        <v>15</v>
      </c>
      <c r="J8655" s="1" t="str">
        <f>"51/51"</f>
        <v>51/51</v>
      </c>
      <c r="K8655" s="1" t="str">
        <f>"2026-07-29 14:21:50"</f>
        <v>2026-07-29 14:21:50</v>
      </c>
      <c r="L8655" s="1" t="str">
        <f>"2023-10-16 17:30:08"</f>
        <v>2023-10-16 17:30:08</v>
      </c>
      <c r="M8655" s="1" t="s">
        <v>4</v>
      </c>
      <c r="N8655" s="1" t="s">
        <v>38</v>
      </c>
      <c r="O8655" s="1" t="s">
        <v>46</v>
      </c>
    </row>
    <row r="8656" spans="2:15" x14ac:dyDescent="0.3">
      <c r="B8656" s="1" t="s">
        <v>21</v>
      </c>
      <c r="C8656" s="1" t="str">
        <f>"5-2차"</f>
        <v>5-2차</v>
      </c>
      <c r="D8656" s="1" t="str">
        <f>"9628S3515S"</f>
        <v>9628S3515S</v>
      </c>
      <c r="E8656" s="1" t="s">
        <v>10</v>
      </c>
      <c r="F8656" s="1" t="str">
        <f>"fde1:103:4:57a9:0:0:0:2"</f>
        <v>fde1:103:4:57a9:0:0:0:2</v>
      </c>
      <c r="G8656" s="1" t="str">
        <f>"9628S351"</f>
        <v>9628S351</v>
      </c>
      <c r="H8656" s="1" t="str">
        <f>"숭실간 66L11"</f>
        <v>숭실간 66L11</v>
      </c>
      <c r="I8656" s="1" t="s">
        <v>15</v>
      </c>
      <c r="J8656" s="1" t="str">
        <f>"27/27"</f>
        <v>27/27</v>
      </c>
      <c r="K8656" s="1" t="str">
        <f>"2026-07-29 14:21:49"</f>
        <v>2026-07-29 14:21:49</v>
      </c>
      <c r="L8656" s="1" t="str">
        <f>"2023-12-05 15:19:49"</f>
        <v>2023-12-05 15:19:49</v>
      </c>
      <c r="M8656" s="1" t="s">
        <v>4</v>
      </c>
      <c r="N8656" s="1" t="s">
        <v>38</v>
      </c>
      <c r="O8656" s="1" t="s">
        <v>46</v>
      </c>
    </row>
    <row r="8657" spans="2:15" x14ac:dyDescent="0.3">
      <c r="B8657" s="1" t="s">
        <v>21</v>
      </c>
      <c r="C8657" s="1" t="str">
        <f>"5-1차"</f>
        <v>5-1차</v>
      </c>
      <c r="D8657" s="1" t="str">
        <f>"9628S3715M"</f>
        <v>9628S3715M</v>
      </c>
      <c r="E8657" s="1" t="s">
        <v>10</v>
      </c>
      <c r="F8657" s="1" t="str">
        <f>"fde3:102:1303:8:0:0:0:2"</f>
        <v>fde3:102:1303:8:0:0:0:2</v>
      </c>
      <c r="G8657" s="1" t="str">
        <f>"9628S371"</f>
        <v>9628S371</v>
      </c>
      <c r="H8657" s="1" t="str">
        <f>"숭실간 69L7"</f>
        <v>숭실간 69L7</v>
      </c>
      <c r="I8657" s="1" t="s">
        <v>15</v>
      </c>
      <c r="J8657" s="1" t="str">
        <f>"51/52"</f>
        <v>51/52</v>
      </c>
      <c r="K8657" s="1" t="str">
        <f>"2026-07-29 14:21:50"</f>
        <v>2026-07-29 14:21:50</v>
      </c>
      <c r="L8657" s="1" t="str">
        <f>"2022-11-23 15:05:20"</f>
        <v>2022-11-23 15:05:20</v>
      </c>
      <c r="M8657" s="1" t="s">
        <v>45</v>
      </c>
      <c r="N8657" s="1" t="s">
        <v>38</v>
      </c>
      <c r="O8657" s="1" t="s">
        <v>46</v>
      </c>
    </row>
    <row r="8658" spans="2:15" x14ac:dyDescent="0.3">
      <c r="B8658" s="1" t="s">
        <v>21</v>
      </c>
      <c r="C8658" s="1" t="str">
        <f>"5-2차"</f>
        <v>5-2차</v>
      </c>
      <c r="D8658" s="1" t="str">
        <f>"9628S3845M"</f>
        <v>9628S3845M</v>
      </c>
      <c r="E8658" s="1" t="s">
        <v>10</v>
      </c>
      <c r="F8658" s="1" t="str">
        <f>"fde1:103:4:5713:0:0:0:2"</f>
        <v>fde1:103:4:5713:0:0:0:2</v>
      </c>
      <c r="G8658" s="1" t="str">
        <f>"9628S384"</f>
        <v>9628S384</v>
      </c>
      <c r="H8658" s="1" t="str">
        <f>"숭실간 69L7R2"</f>
        <v>숭실간 69L7R2</v>
      </c>
      <c r="I8658" s="1" t="s">
        <v>15</v>
      </c>
      <c r="J8658" s="1" t="str">
        <f>"42/42"</f>
        <v>42/42</v>
      </c>
      <c r="K8658" s="1" t="str">
        <f>"2026-07-29 14:20:57"</f>
        <v>2026-07-29 14:20:57</v>
      </c>
      <c r="L8658" s="1" t="str">
        <f>"2023-10-16 17:30:53"</f>
        <v>2023-10-16 17:30:53</v>
      </c>
      <c r="M8658" s="1" t="s">
        <v>4</v>
      </c>
      <c r="N8658" s="1" t="s">
        <v>38</v>
      </c>
      <c r="O8658" s="1" t="s">
        <v>46</v>
      </c>
    </row>
    <row r="8659" spans="2:15" x14ac:dyDescent="0.3">
      <c r="B8659" s="1" t="s">
        <v>21</v>
      </c>
      <c r="C8659" s="1" t="str">
        <f>"5-1차"</f>
        <v>5-1차</v>
      </c>
      <c r="D8659" s="1" t="str">
        <f>"9628S4425M"</f>
        <v>9628S4425M</v>
      </c>
      <c r="E8659" s="1" t="s">
        <v>10</v>
      </c>
      <c r="F8659" s="1" t="str">
        <f>"fde2:104:0:84:0:0:0:2"</f>
        <v>fde2:104:0:84:0:0:0:2</v>
      </c>
      <c r="G8659" s="1" t="str">
        <f>"9628S442"</f>
        <v>9628S442</v>
      </c>
      <c r="H8659" s="1" t="str">
        <f>"숭실간 66L8"</f>
        <v>숭실간 66L8</v>
      </c>
      <c r="I8659" s="1" t="s">
        <v>15</v>
      </c>
      <c r="J8659" s="1" t="str">
        <f>"37/37"</f>
        <v>37/37</v>
      </c>
      <c r="K8659" s="1" t="str">
        <f>"2026-07-29 14:21:51"</f>
        <v>2026-07-29 14:21:51</v>
      </c>
      <c r="L8659" s="1" t="str">
        <f>"2022-09-15 13:01:35"</f>
        <v>2022-09-15 13:01:35</v>
      </c>
      <c r="M8659" s="1" t="s">
        <v>42</v>
      </c>
      <c r="N8659" s="1" t="s">
        <v>38</v>
      </c>
      <c r="O8659" s="1" t="s">
        <v>46</v>
      </c>
    </row>
    <row r="8660" spans="2:15" x14ac:dyDescent="0.3">
      <c r="B8660" s="1" t="s">
        <v>21</v>
      </c>
      <c r="C8660" s="1" t="str">
        <f>"5-1차"</f>
        <v>5-1차</v>
      </c>
      <c r="D8660" s="1" t="str">
        <f>"9628S4545M"</f>
        <v>9628S4545M</v>
      </c>
      <c r="E8660" s="1" t="s">
        <v>10</v>
      </c>
      <c r="F8660" s="1" t="str">
        <f>"fde3:102:1303:203:0:0:0:5"</f>
        <v>fde3:102:1303:203:0:0:0:5</v>
      </c>
      <c r="G8660" s="1" t="str">
        <f>"9628S454"</f>
        <v>9628S454</v>
      </c>
      <c r="H8660" s="1" t="str">
        <f>"숭실간 66L9R1"</f>
        <v>숭실간 66L9R1</v>
      </c>
      <c r="I8660" s="1" t="s">
        <v>15</v>
      </c>
      <c r="J8660" s="1" t="str">
        <f>"47/47"</f>
        <v>47/47</v>
      </c>
      <c r="K8660" s="1" t="str">
        <f>"2026-07-29 14:20:57"</f>
        <v>2026-07-29 14:20:57</v>
      </c>
      <c r="L8660" s="1" t="str">
        <f>"2022-12-15 10:11:42"</f>
        <v>2022-12-15 10:11:42</v>
      </c>
      <c r="M8660" s="1" t="s">
        <v>45</v>
      </c>
      <c r="N8660" s="1" t="s">
        <v>38</v>
      </c>
      <c r="O8660" s="1" t="s">
        <v>46</v>
      </c>
    </row>
    <row r="8661" spans="2:15" x14ac:dyDescent="0.3">
      <c r="B8661" s="1" t="s">
        <v>21</v>
      </c>
      <c r="C8661" s="1" t="str">
        <f>"5-1차"</f>
        <v>5-1차</v>
      </c>
      <c r="D8661" s="1" t="str">
        <f>"9628S4555M"</f>
        <v>9628S4555M</v>
      </c>
      <c r="E8661" s="1" t="s">
        <v>10</v>
      </c>
      <c r="F8661" s="1" t="str">
        <f>"fde2:104:0:89:0:0:0:2"</f>
        <v>fde2:104:0:89:0:0:0:2</v>
      </c>
      <c r="G8661" s="1" t="str">
        <f>"9628S455"</f>
        <v>9628S455</v>
      </c>
      <c r="H8661" s="1" t="str">
        <f>"숭실간 66L10"</f>
        <v>숭실간 66L10</v>
      </c>
      <c r="I8661" s="1" t="s">
        <v>15</v>
      </c>
      <c r="J8661" s="1" t="str">
        <f>"51/51"</f>
        <v>51/51</v>
      </c>
      <c r="K8661" s="1" t="str">
        <f>"2026-07-29 14:21:50"</f>
        <v>2026-07-29 14:21:50</v>
      </c>
      <c r="L8661" s="1" t="str">
        <f>"2022-09-27 18:50:30"</f>
        <v>2022-09-27 18:50:30</v>
      </c>
      <c r="M8661" s="1" t="s">
        <v>42</v>
      </c>
      <c r="N8661" s="1" t="s">
        <v>38</v>
      </c>
      <c r="O8661" s="1" t="s">
        <v>46</v>
      </c>
    </row>
    <row r="8662" spans="2:15" x14ac:dyDescent="0.3">
      <c r="B8662" s="1" t="s">
        <v>21</v>
      </c>
      <c r="C8662" s="1" t="str">
        <f>"5-2차"</f>
        <v>5-2차</v>
      </c>
      <c r="D8662" s="1" t="str">
        <f>"9628S4725M"</f>
        <v>9628S4725M</v>
      </c>
      <c r="E8662" s="1" t="s">
        <v>10</v>
      </c>
      <c r="F8662" s="1" t="str">
        <f>"fde1:103:4:56c0:0:0:0:2"</f>
        <v>fde1:103:4:56c0:0:0:0:2</v>
      </c>
      <c r="G8662" s="1" t="str">
        <f>"9628S472"</f>
        <v>9628S472</v>
      </c>
      <c r="H8662" s="1" t="str">
        <f>"숭실간 69L7R5"</f>
        <v>숭실간 69L7R5</v>
      </c>
      <c r="I8662" s="1" t="s">
        <v>15</v>
      </c>
      <c r="J8662" s="1" t="str">
        <f>"51/51"</f>
        <v>51/51</v>
      </c>
      <c r="K8662" s="1" t="str">
        <f>"2026-07-29 14:20:57"</f>
        <v>2026-07-29 14:20:57</v>
      </c>
      <c r="L8662" s="1" t="str">
        <f>"2023-10-19 17:13:06"</f>
        <v>2023-10-19 17:13:06</v>
      </c>
      <c r="M8662" s="1" t="s">
        <v>4</v>
      </c>
      <c r="N8662" s="1" t="s">
        <v>38</v>
      </c>
      <c r="O8662" s="1" t="s">
        <v>46</v>
      </c>
    </row>
    <row r="8663" spans="2:15" x14ac:dyDescent="0.3">
      <c r="B8663" s="1" t="s">
        <v>21</v>
      </c>
      <c r="C8663" s="1" t="str">
        <f>"5-1차"</f>
        <v>5-1차</v>
      </c>
      <c r="D8663" s="1" t="str">
        <f>"9628S5125M"</f>
        <v>9628S5125M</v>
      </c>
      <c r="E8663" s="1" t="s">
        <v>10</v>
      </c>
      <c r="F8663" s="1" t="str">
        <f>"fde2:104:0:86:0:0:0:2"</f>
        <v>fde2:104:0:86:0:0:0:2</v>
      </c>
      <c r="G8663" s="1" t="str">
        <f>"9628S512"</f>
        <v>9628S512</v>
      </c>
      <c r="H8663" s="1" t="str">
        <f>"숭실간 66L7L5R2"</f>
        <v>숭실간 66L7L5R2</v>
      </c>
      <c r="I8663" s="1" t="s">
        <v>15</v>
      </c>
      <c r="J8663" s="1" t="str">
        <f>"74/78"</f>
        <v>74/78</v>
      </c>
      <c r="K8663" s="1" t="str">
        <f>"2026-07-29 14:21:51"</f>
        <v>2026-07-29 14:21:51</v>
      </c>
      <c r="L8663" s="1" t="str">
        <f>"2022-09-15 15:38:59"</f>
        <v>2022-09-15 15:38:59</v>
      </c>
      <c r="M8663" s="1" t="s">
        <v>42</v>
      </c>
      <c r="N8663" s="1" t="s">
        <v>38</v>
      </c>
      <c r="O8663" s="1" t="s">
        <v>46</v>
      </c>
    </row>
    <row r="8664" spans="2:15" x14ac:dyDescent="0.3">
      <c r="B8664" s="1" t="s">
        <v>21</v>
      </c>
      <c r="C8664" s="1" t="str">
        <f>"5-2차"</f>
        <v>5-2차</v>
      </c>
      <c r="D8664" s="1" t="str">
        <f>"9628S5435M"</f>
        <v>9628S5435M</v>
      </c>
      <c r="E8664" s="1" t="s">
        <v>10</v>
      </c>
      <c r="F8664" s="1" t="str">
        <f>"fde1:103:4:564b:0:0:0:2"</f>
        <v>fde1:103:4:564b:0:0:0:2</v>
      </c>
      <c r="G8664" s="1" t="str">
        <f>"9628S543"</f>
        <v>9628S543</v>
      </c>
      <c r="H8664" s="1" t="str">
        <f>"숭실간 66L7"</f>
        <v>숭실간 66L7</v>
      </c>
      <c r="I8664" s="1" t="s">
        <v>15</v>
      </c>
      <c r="J8664" s="1" t="str">
        <f>"49/49"</f>
        <v>49/49</v>
      </c>
      <c r="K8664" s="1" t="str">
        <f>"2026-07-29 14:21:53"</f>
        <v>2026-07-29 14:21:53</v>
      </c>
      <c r="L8664" s="1" t="str">
        <f>"2023-10-19 17:13:58"</f>
        <v>2023-10-19 17:13:58</v>
      </c>
      <c r="M8664" s="1" t="s">
        <v>4</v>
      </c>
      <c r="N8664" s="1" t="s">
        <v>38</v>
      </c>
      <c r="O8664" s="1" t="s">
        <v>46</v>
      </c>
    </row>
    <row r="8665" spans="2:15" x14ac:dyDescent="0.3">
      <c r="B8665" s="1" t="s">
        <v>21</v>
      </c>
      <c r="C8665" s="1" t="str">
        <f>"5-1차"</f>
        <v>5-1차</v>
      </c>
      <c r="D8665" s="1" t="str">
        <f>"9628S5625M"</f>
        <v>9628S5625M</v>
      </c>
      <c r="E8665" s="1" t="s">
        <v>10</v>
      </c>
      <c r="F8665" s="1" t="str">
        <f>"fde3:102:1303:203:0:0:0:6"</f>
        <v>fde3:102:1303:203:0:0:0:6</v>
      </c>
      <c r="G8665" s="1" t="str">
        <f>"9628S562"</f>
        <v>9628S562</v>
      </c>
      <c r="H8665" s="1" t="str">
        <f>"천사지 3L2L2L11"</f>
        <v>천사지 3L2L2L11</v>
      </c>
      <c r="I8665" s="1" t="s">
        <v>15</v>
      </c>
      <c r="J8665" s="1" t="str">
        <f>"46/46"</f>
        <v>46/46</v>
      </c>
      <c r="K8665" s="1" t="str">
        <f>"2026-07-29 14:20:57"</f>
        <v>2026-07-29 14:20:57</v>
      </c>
      <c r="L8665" s="1" t="str">
        <f>"2022-12-13 08:21:45"</f>
        <v>2022-12-13 08:21:45</v>
      </c>
      <c r="M8665" s="1" t="s">
        <v>45</v>
      </c>
      <c r="N8665" s="1" t="s">
        <v>38</v>
      </c>
      <c r="O8665" s="1" t="s">
        <v>46</v>
      </c>
    </row>
    <row r="8666" spans="2:15" x14ac:dyDescent="0.3">
      <c r="B8666" s="1" t="s">
        <v>21</v>
      </c>
      <c r="C8666" s="1" t="str">
        <f>"5-1차"</f>
        <v>5-1차</v>
      </c>
      <c r="D8666" s="1" t="str">
        <f>"9628S5815M"</f>
        <v>9628S5815M</v>
      </c>
      <c r="E8666" s="1" t="s">
        <v>10</v>
      </c>
      <c r="F8666" s="1" t="str">
        <f>"fde3:102:1303:203:0:0:0:7"</f>
        <v>fde3:102:1303:203:0:0:0:7</v>
      </c>
      <c r="G8666" s="1" t="str">
        <f>"9628S581"</f>
        <v>9628S581</v>
      </c>
      <c r="H8666" s="1" t="str">
        <f>"천사지 3L2L2L9"</f>
        <v>천사지 3L2L2L9</v>
      </c>
      <c r="I8666" s="1" t="s">
        <v>15</v>
      </c>
      <c r="J8666" s="1" t="str">
        <f>"93/94"</f>
        <v>93/94</v>
      </c>
      <c r="K8666" s="1" t="str">
        <f>"2026-07-29 14:21:25"</f>
        <v>2026-07-29 14:21:25</v>
      </c>
      <c r="L8666" s="1" t="str">
        <f>"2022-11-16 14:29:41"</f>
        <v>2022-11-16 14:29:41</v>
      </c>
      <c r="M8666" s="1" t="s">
        <v>45</v>
      </c>
      <c r="N8666" s="1" t="s">
        <v>38</v>
      </c>
      <c r="O8666" s="1" t="s">
        <v>46</v>
      </c>
    </row>
    <row r="8667" spans="2:15" x14ac:dyDescent="0.3">
      <c r="B8667" s="1" t="s">
        <v>21</v>
      </c>
      <c r="C8667" s="1" t="str">
        <f>"5-2차"</f>
        <v>5-2차</v>
      </c>
      <c r="D8667" s="1" t="str">
        <f>"9628S5915S"</f>
        <v>9628S5915S</v>
      </c>
      <c r="E8667" s="1" t="s">
        <v>10</v>
      </c>
      <c r="F8667" s="1" t="str">
        <f>"fde1:103:4:556d:0:0:0:2"</f>
        <v>fde1:103:4:556d:0:0:0:2</v>
      </c>
      <c r="G8667" s="1" t="str">
        <f>"9628S591"</f>
        <v>9628S591</v>
      </c>
      <c r="H8667" s="1" t="str">
        <f>"천사지 3L2L2L8"</f>
        <v>천사지 3L2L2L8</v>
      </c>
      <c r="I8667" s="1" t="s">
        <v>15</v>
      </c>
      <c r="J8667" s="1" t="str">
        <f>"44/44"</f>
        <v>44/44</v>
      </c>
      <c r="K8667" s="1" t="str">
        <f>"2026-07-29 14:21:50"</f>
        <v>2026-07-29 14:21:50</v>
      </c>
      <c r="L8667" s="1" t="str">
        <f>"2023-10-20 09:24:56"</f>
        <v>2023-10-20 09:24:56</v>
      </c>
      <c r="M8667" s="1" t="s">
        <v>4</v>
      </c>
      <c r="N8667" s="1" t="s">
        <v>38</v>
      </c>
      <c r="O8667" s="1" t="s">
        <v>46</v>
      </c>
    </row>
    <row r="8668" spans="2:15" x14ac:dyDescent="0.3">
      <c r="B8668" s="1" t="s">
        <v>21</v>
      </c>
      <c r="C8668" s="1" t="str">
        <f>"5-1차"</f>
        <v>5-1차</v>
      </c>
      <c r="D8668" s="1" t="str">
        <f>"9628S5935M"</f>
        <v>9628S5935M</v>
      </c>
      <c r="E8668" s="1" t="s">
        <v>10</v>
      </c>
      <c r="F8668" s="1" t="str">
        <f>"fde3:102:1303:203:0:0:0:8"</f>
        <v>fde3:102:1303:203:0:0:0:8</v>
      </c>
      <c r="G8668" s="1" t="str">
        <f>"9628S593"</f>
        <v>9628S593</v>
      </c>
      <c r="H8668" s="1" t="str">
        <f>"천사지 3L2L2L9H1"</f>
        <v>천사지 3L2L2L9H1</v>
      </c>
      <c r="I8668" s="1" t="s">
        <v>15</v>
      </c>
      <c r="J8668" s="1" t="str">
        <f>"36/36"</f>
        <v>36/36</v>
      </c>
      <c r="K8668" s="1" t="str">
        <f>"2026-07-29 14:21:25"</f>
        <v>2026-07-29 14:21:25</v>
      </c>
      <c r="L8668" s="1" t="str">
        <f>"2022-12-19 14:59:55"</f>
        <v>2022-12-19 14:59:55</v>
      </c>
      <c r="M8668" s="1" t="s">
        <v>45</v>
      </c>
      <c r="N8668" s="1" t="s">
        <v>38</v>
      </c>
      <c r="O8668" s="1" t="s">
        <v>46</v>
      </c>
    </row>
    <row r="8669" spans="2:15" x14ac:dyDescent="0.3">
      <c r="B8669" s="1" t="s">
        <v>21</v>
      </c>
      <c r="C8669" s="1" t="str">
        <f t="shared" ref="C8669:C8678" si="428">"5-2차"</f>
        <v>5-2차</v>
      </c>
      <c r="D8669" s="1" t="str">
        <f>"9628S6715M"</f>
        <v>9628S6715M</v>
      </c>
      <c r="E8669" s="1" t="s">
        <v>10</v>
      </c>
      <c r="F8669" s="1" t="str">
        <f>"fde1:103:4:565f:0:0:0:2"</f>
        <v>fde1:103:4:565f:0:0:0:2</v>
      </c>
      <c r="G8669" s="1" t="str">
        <f>"9628S671"</f>
        <v>9628S671</v>
      </c>
      <c r="H8669" s="1" t="str">
        <f>"숭실간 69L4"</f>
        <v>숭실간 69L4</v>
      </c>
      <c r="I8669" s="1" t="s">
        <v>15</v>
      </c>
      <c r="J8669" s="1" t="str">
        <f>"102/102"</f>
        <v>102/102</v>
      </c>
      <c r="K8669" s="1" t="str">
        <f>"2026-07-29 14:21:50"</f>
        <v>2026-07-29 14:21:50</v>
      </c>
      <c r="L8669" s="1" t="str">
        <f>"2023-10-20 09:25:31"</f>
        <v>2023-10-20 09:25:31</v>
      </c>
      <c r="M8669" s="1" t="s">
        <v>4</v>
      </c>
      <c r="N8669" s="1" t="s">
        <v>38</v>
      </c>
      <c r="O8669" s="1" t="s">
        <v>46</v>
      </c>
    </row>
    <row r="8670" spans="2:15" x14ac:dyDescent="0.3">
      <c r="B8670" s="1" t="s">
        <v>21</v>
      </c>
      <c r="C8670" s="1" t="str">
        <f t="shared" si="428"/>
        <v>5-2차</v>
      </c>
      <c r="D8670" s="1" t="str">
        <f>"9628S7515S"</f>
        <v>9628S7515S</v>
      </c>
      <c r="E8670" s="1" t="s">
        <v>10</v>
      </c>
      <c r="F8670" s="1" t="str">
        <f>"fde1:103:4:c7f0:0:0:0:2"</f>
        <v>fde1:103:4:c7f0:0:0:0:2</v>
      </c>
      <c r="G8670" s="1" t="str">
        <f>"9628S751"</f>
        <v>9628S751</v>
      </c>
      <c r="H8670" s="1" t="str">
        <f>"천사지 3L2L2L15"</f>
        <v>천사지 3L2L2L15</v>
      </c>
      <c r="I8670" s="1" t="s">
        <v>15</v>
      </c>
      <c r="J8670" s="1" t="str">
        <f>"66/66"</f>
        <v>66/66</v>
      </c>
      <c r="K8670" s="1" t="str">
        <f>"2026-07-29 14:20:57"</f>
        <v>2026-07-29 14:20:57</v>
      </c>
      <c r="L8670" s="1" t="str">
        <f>"2023-10-20 09:26:08"</f>
        <v>2023-10-20 09:26:08</v>
      </c>
      <c r="M8670" s="1" t="s">
        <v>4</v>
      </c>
      <c r="N8670" s="1" t="s">
        <v>38</v>
      </c>
      <c r="O8670" s="1" t="s">
        <v>46</v>
      </c>
    </row>
    <row r="8671" spans="2:15" x14ac:dyDescent="0.3">
      <c r="B8671" s="1" t="s">
        <v>21</v>
      </c>
      <c r="C8671" s="1" t="str">
        <f t="shared" si="428"/>
        <v>5-2차</v>
      </c>
      <c r="D8671" s="1" t="str">
        <f>"9628S7535M"</f>
        <v>9628S7535M</v>
      </c>
      <c r="E8671" s="1" t="s">
        <v>10</v>
      </c>
      <c r="F8671" s="1" t="str">
        <f>"fde1:103:4:5642:0:0:0:2"</f>
        <v>fde1:103:4:5642:0:0:0:2</v>
      </c>
      <c r="G8671" s="1" t="str">
        <f>"9628S753"</f>
        <v>9628S753</v>
      </c>
      <c r="H8671" s="1" t="str">
        <f>"천사지 3L2L2L14"</f>
        <v>천사지 3L2L2L14</v>
      </c>
      <c r="I8671" s="1" t="s">
        <v>15</v>
      </c>
      <c r="J8671" s="1" t="str">
        <f>"65/65"</f>
        <v>65/65</v>
      </c>
      <c r="K8671" s="1" t="str">
        <f>"2026-07-29 14:21:51"</f>
        <v>2026-07-29 14:21:51</v>
      </c>
      <c r="L8671" s="1" t="str">
        <f>"2023-10-20 09:26:24"</f>
        <v>2023-10-20 09:26:24</v>
      </c>
      <c r="M8671" s="1" t="s">
        <v>4</v>
      </c>
      <c r="N8671" s="1" t="s">
        <v>38</v>
      </c>
      <c r="O8671" s="1" t="s">
        <v>46</v>
      </c>
    </row>
    <row r="8672" spans="2:15" x14ac:dyDescent="0.3">
      <c r="B8672" s="1" t="s">
        <v>21</v>
      </c>
      <c r="C8672" s="1" t="str">
        <f t="shared" si="428"/>
        <v>5-2차</v>
      </c>
      <c r="D8672" s="1" t="str">
        <f>"9628S7715S"</f>
        <v>9628S7715S</v>
      </c>
      <c r="E8672" s="1" t="s">
        <v>10</v>
      </c>
      <c r="F8672" s="1" t="str">
        <f>"fde1:103:4:57d0:0:0:0:2"</f>
        <v>fde1:103:4:57d0:0:0:0:2</v>
      </c>
      <c r="G8672" s="1" t="str">
        <f>"9628S771"</f>
        <v>9628S771</v>
      </c>
      <c r="H8672" s="1" t="str">
        <f>"숭실간 69L3"</f>
        <v>숭실간 69L3</v>
      </c>
      <c r="I8672" s="1" t="s">
        <v>15</v>
      </c>
      <c r="J8672" s="1" t="str">
        <f>"67/67"</f>
        <v>67/67</v>
      </c>
      <c r="K8672" s="1" t="str">
        <f>"2026-07-29 14:20:57"</f>
        <v>2026-07-29 14:20:57</v>
      </c>
      <c r="L8672" s="1" t="str">
        <f>"2023-10-20 09:26:59"</f>
        <v>2023-10-20 09:26:59</v>
      </c>
      <c r="M8672" s="1" t="s">
        <v>4</v>
      </c>
      <c r="N8672" s="1" t="s">
        <v>38</v>
      </c>
      <c r="O8672" s="1" t="s">
        <v>46</v>
      </c>
    </row>
    <row r="8673" spans="2:15" x14ac:dyDescent="0.3">
      <c r="B8673" s="1" t="s">
        <v>21</v>
      </c>
      <c r="C8673" s="1" t="str">
        <f t="shared" si="428"/>
        <v>5-2차</v>
      </c>
      <c r="D8673" s="1" t="str">
        <f>"9628S7925M"</f>
        <v>9628S7925M</v>
      </c>
      <c r="E8673" s="1" t="s">
        <v>10</v>
      </c>
      <c r="F8673" s="1" t="str">
        <f>"fde1:103:4:5653:0:0:0:2"</f>
        <v>fde1:103:4:5653:0:0:0:2</v>
      </c>
      <c r="G8673" s="1" t="str">
        <f>"9628S792"</f>
        <v>9628S792</v>
      </c>
      <c r="H8673" s="1" t="str">
        <f>"천사지 3L2L2L7"</f>
        <v>천사지 3L2L2L7</v>
      </c>
      <c r="I8673" s="1" t="s">
        <v>15</v>
      </c>
      <c r="J8673" s="1" t="str">
        <f>"108/108"</f>
        <v>108/108</v>
      </c>
      <c r="K8673" s="1" t="str">
        <f>"2026-07-29 14:21:51"</f>
        <v>2026-07-29 14:21:51</v>
      </c>
      <c r="L8673" s="1" t="str">
        <f>"2023-10-20 09:52:59"</f>
        <v>2023-10-20 09:52:59</v>
      </c>
      <c r="M8673" s="1" t="s">
        <v>4</v>
      </c>
      <c r="N8673" s="1" t="s">
        <v>38</v>
      </c>
      <c r="O8673" s="1" t="s">
        <v>46</v>
      </c>
    </row>
    <row r="8674" spans="2:15" x14ac:dyDescent="0.3">
      <c r="B8674" s="1" t="s">
        <v>21</v>
      </c>
      <c r="C8674" s="1" t="str">
        <f t="shared" si="428"/>
        <v>5-2차</v>
      </c>
      <c r="D8674" s="1" t="str">
        <f>"9628S8015S"</f>
        <v>9628S8015S</v>
      </c>
      <c r="E8674" s="1" t="s">
        <v>10</v>
      </c>
      <c r="F8674" s="1" t="str">
        <f>"fde1:103:4:5681:0:0:0:2"</f>
        <v>fde1:103:4:5681:0:0:0:2</v>
      </c>
      <c r="G8674" s="1" t="str">
        <f>"9628S801"</f>
        <v>9628S801</v>
      </c>
      <c r="H8674" s="1" t="str">
        <f>"숭실간 66L2L6"</f>
        <v>숭실간 66L2L6</v>
      </c>
      <c r="I8674" s="1" t="s">
        <v>15</v>
      </c>
      <c r="J8674" s="1" t="str">
        <f>"48/48"</f>
        <v>48/48</v>
      </c>
      <c r="K8674" s="1" t="str">
        <f>"2026-07-29 14:21:26"</f>
        <v>2026-07-29 14:21:26</v>
      </c>
      <c r="L8674" s="1" t="str">
        <f>"2023-10-20 09:53:30"</f>
        <v>2023-10-20 09:53:30</v>
      </c>
      <c r="M8674" s="1" t="s">
        <v>4</v>
      </c>
      <c r="N8674" s="1" t="s">
        <v>38</v>
      </c>
      <c r="O8674" s="1" t="s">
        <v>46</v>
      </c>
    </row>
    <row r="8675" spans="2:15" x14ac:dyDescent="0.3">
      <c r="B8675" s="1" t="s">
        <v>21</v>
      </c>
      <c r="C8675" s="1" t="str">
        <f t="shared" si="428"/>
        <v>5-2차</v>
      </c>
      <c r="D8675" s="1" t="str">
        <f>"9628S8545S"</f>
        <v>9628S8545S</v>
      </c>
      <c r="E8675" s="1" t="s">
        <v>10</v>
      </c>
      <c r="F8675" s="1" t="str">
        <f>"fde1:103:4:5692:0:0:0:2"</f>
        <v>fde1:103:4:5692:0:0:0:2</v>
      </c>
      <c r="G8675" s="1" t="str">
        <f>"9628S854"</f>
        <v>9628S854</v>
      </c>
      <c r="H8675" s="1" t="str">
        <f>"숭실간 66L2R2"</f>
        <v>숭실간 66L2R2</v>
      </c>
      <c r="I8675" s="1" t="s">
        <v>15</v>
      </c>
      <c r="J8675" s="1" t="str">
        <f>"56/56"</f>
        <v>56/56</v>
      </c>
      <c r="K8675" s="1" t="str">
        <f>"2026-07-29 14:21:57"</f>
        <v>2026-07-29 14:21:57</v>
      </c>
      <c r="L8675" s="1" t="str">
        <f>"2023-10-20 09:53:58"</f>
        <v>2023-10-20 09:53:58</v>
      </c>
      <c r="M8675" s="1" t="s">
        <v>4</v>
      </c>
      <c r="N8675" s="1" t="s">
        <v>38</v>
      </c>
      <c r="O8675" s="1" t="s">
        <v>46</v>
      </c>
    </row>
    <row r="8676" spans="2:15" x14ac:dyDescent="0.3">
      <c r="B8676" s="1" t="s">
        <v>21</v>
      </c>
      <c r="C8676" s="1" t="str">
        <f t="shared" si="428"/>
        <v>5-2차</v>
      </c>
      <c r="D8676" s="1" t="str">
        <f>"9628S8865M"</f>
        <v>9628S8865M</v>
      </c>
      <c r="E8676" s="1" t="s">
        <v>10</v>
      </c>
      <c r="F8676" s="1" t="str">
        <f>"fde1:103:4:57eb:0:0:0:2"</f>
        <v>fde1:103:4:57eb:0:0:0:2</v>
      </c>
      <c r="G8676" s="1" t="str">
        <f>"9628S886"</f>
        <v>9628S886</v>
      </c>
      <c r="H8676" s="1" t="str">
        <f>"천사지 3L2L2L5H1L4"</f>
        <v>천사지 3L2L2L5H1L4</v>
      </c>
      <c r="I8676" s="1" t="s">
        <v>15</v>
      </c>
      <c r="J8676" s="1" t="str">
        <f>"176/178"</f>
        <v>176/178</v>
      </c>
      <c r="K8676" s="1" t="str">
        <f>"2026-07-29 14:21:51"</f>
        <v>2026-07-29 14:21:51</v>
      </c>
      <c r="L8676" s="1" t="str">
        <f>"2023-10-20 09:54:23"</f>
        <v>2023-10-20 09:54:23</v>
      </c>
      <c r="M8676" s="1" t="s">
        <v>4</v>
      </c>
      <c r="N8676" s="1" t="s">
        <v>38</v>
      </c>
      <c r="O8676" s="1" t="s">
        <v>46</v>
      </c>
    </row>
    <row r="8677" spans="2:15" x14ac:dyDescent="0.3">
      <c r="B8677" s="1" t="s">
        <v>21</v>
      </c>
      <c r="C8677" s="1" t="str">
        <f t="shared" si="428"/>
        <v>5-2차</v>
      </c>
      <c r="D8677" s="1" t="str">
        <f>"9628S8935S"</f>
        <v>9628S8935S</v>
      </c>
      <c r="E8677" s="1" t="s">
        <v>10</v>
      </c>
      <c r="F8677" s="1" t="str">
        <f>"fde1:103:4:5616:0:0:0:2"</f>
        <v>fde1:103:4:5616:0:0:0:2</v>
      </c>
      <c r="G8677" s="1" t="str">
        <f>"9628S893"</f>
        <v>9628S893</v>
      </c>
      <c r="H8677" s="1" t="str">
        <f>"천사지 3L2L2L5"</f>
        <v>천사지 3L2L2L5</v>
      </c>
      <c r="I8677" s="1" t="s">
        <v>15</v>
      </c>
      <c r="J8677" s="1" t="str">
        <f>"48/48"</f>
        <v>48/48</v>
      </c>
      <c r="K8677" s="1" t="str">
        <f>"2026-07-29 14:21:52"</f>
        <v>2026-07-29 14:21:52</v>
      </c>
      <c r="L8677" s="1" t="str">
        <f>"2023-10-20 09:54:46"</f>
        <v>2023-10-20 09:54:46</v>
      </c>
      <c r="M8677" s="1" t="s">
        <v>4</v>
      </c>
      <c r="N8677" s="1" t="s">
        <v>38</v>
      </c>
      <c r="O8677" s="1" t="s">
        <v>46</v>
      </c>
    </row>
    <row r="8678" spans="2:15" x14ac:dyDescent="0.3">
      <c r="B8678" s="1" t="s">
        <v>21</v>
      </c>
      <c r="C8678" s="1" t="str">
        <f t="shared" si="428"/>
        <v>5-2차</v>
      </c>
      <c r="D8678" s="1" t="str">
        <f>"9628S9015M"</f>
        <v>9628S9015M</v>
      </c>
      <c r="E8678" s="1" t="s">
        <v>10</v>
      </c>
      <c r="F8678" s="1" t="str">
        <f>"fde1:103:4:59e3:0:0:0:2"</f>
        <v>fde1:103:4:59e3:0:0:0:2</v>
      </c>
      <c r="G8678" s="1" t="str">
        <f>"9628S901"</f>
        <v>9628S901</v>
      </c>
      <c r="H8678" s="1" t="str">
        <f>"갈색지 12"</f>
        <v>갈색지 12</v>
      </c>
      <c r="I8678" s="1" t="s">
        <v>15</v>
      </c>
      <c r="J8678" s="1" t="str">
        <f>"84/84"</f>
        <v>84/84</v>
      </c>
      <c r="K8678" s="1" t="str">
        <f>"2026-07-29 14:21:52"</f>
        <v>2026-07-29 14:21:52</v>
      </c>
      <c r="L8678" s="1" t="str">
        <f>"2023-10-20 10:21:32"</f>
        <v>2023-10-20 10:21:32</v>
      </c>
      <c r="M8678" s="1" t="s">
        <v>4</v>
      </c>
      <c r="N8678" s="1" t="s">
        <v>38</v>
      </c>
      <c r="O8678" s="1" t="s">
        <v>46</v>
      </c>
    </row>
    <row r="8679" spans="2:15" x14ac:dyDescent="0.3">
      <c r="B8679" s="1" t="s">
        <v>21</v>
      </c>
      <c r="C8679" s="1" t="str">
        <f>"5-1차"</f>
        <v>5-1차</v>
      </c>
      <c r="D8679" s="1" t="str">
        <f>"9628S9725M"</f>
        <v>9628S9725M</v>
      </c>
      <c r="E8679" s="1" t="s">
        <v>10</v>
      </c>
      <c r="F8679" s="1" t="str">
        <f>"fde3:102:1303:201:0:0:0:2"</f>
        <v>fde3:102:1303:201:0:0:0:2</v>
      </c>
      <c r="G8679" s="1" t="str">
        <f>"9628S972"</f>
        <v>9628S972</v>
      </c>
      <c r="H8679" s="1" t="str">
        <f>"숭실간 69"</f>
        <v>숭실간 69</v>
      </c>
      <c r="I8679" s="1" t="s">
        <v>15</v>
      </c>
      <c r="J8679" s="1" t="str">
        <f>"38/39"</f>
        <v>38/39</v>
      </c>
      <c r="K8679" s="1" t="str">
        <f>"2026-07-29 14:20:58"</f>
        <v>2026-07-29 14:20:58</v>
      </c>
      <c r="L8679" s="1" t="str">
        <f>"2022-11-24 18:47:50"</f>
        <v>2022-11-24 18:47:50</v>
      </c>
      <c r="M8679" s="1" t="s">
        <v>45</v>
      </c>
      <c r="N8679" s="1" t="s">
        <v>38</v>
      </c>
      <c r="O8679" s="1" t="s">
        <v>46</v>
      </c>
    </row>
    <row r="8680" spans="2:15" x14ac:dyDescent="0.3">
      <c r="B8680" s="1" t="s">
        <v>21</v>
      </c>
      <c r="C8680" s="1" t="str">
        <f>"6차"</f>
        <v>6차</v>
      </c>
      <c r="D8680" s="1" t="str">
        <f>"9628W0036S"</f>
        <v>9628W0036S</v>
      </c>
      <c r="E8680" s="1" t="s">
        <v>10</v>
      </c>
      <c r="F8680" s="1" t="str">
        <f>"fde1:103:4:c72e:0:0:0:2"</f>
        <v>fde1:103:4:c72e:0:0:0:2</v>
      </c>
      <c r="G8680" s="1" t="str">
        <f>"9628W003"</f>
        <v>9628W003</v>
      </c>
      <c r="H8680" s="1" t="str">
        <f>"갈색지 30"</f>
        <v>갈색지 30</v>
      </c>
      <c r="I8680" s="1" t="s">
        <v>15</v>
      </c>
      <c r="J8680" s="1" t="str">
        <f>"28/28"</f>
        <v>28/28</v>
      </c>
      <c r="K8680" s="1" t="str">
        <f>"2026-07-29 14:21:52"</f>
        <v>2026-07-29 14:21:52</v>
      </c>
      <c r="L8680" s="1" t="str">
        <f>"2024-12-11 14:10:43"</f>
        <v>2024-12-11 14:10:43</v>
      </c>
      <c r="M8680" s="1" t="s">
        <v>4</v>
      </c>
      <c r="N8680" s="1" t="s">
        <v>38</v>
      </c>
      <c r="O8680" s="1" t="s">
        <v>46</v>
      </c>
    </row>
    <row r="8681" spans="2:15" x14ac:dyDescent="0.3">
      <c r="B8681" s="1" t="s">
        <v>21</v>
      </c>
      <c r="C8681" s="1" t="str">
        <f>"1차"</f>
        <v>1차</v>
      </c>
      <c r="D8681" s="1" t="str">
        <f>"9628W02200"</f>
        <v>9628W02200</v>
      </c>
      <c r="E8681" s="1" t="s">
        <v>10</v>
      </c>
      <c r="F8681" s="1" t="str">
        <f>"10.128.66.98"</f>
        <v>10.128.66.98</v>
      </c>
      <c r="G8681" s="1" t="str">
        <f>"9628W022"</f>
        <v>9628W022</v>
      </c>
      <c r="H8681" s="1" t="str">
        <f>"천사지 1"</f>
        <v>천사지 1</v>
      </c>
      <c r="I8681" s="1" t="s">
        <v>8</v>
      </c>
      <c r="J8681" s="1" t="str">
        <f>"16/16"</f>
        <v>16/16</v>
      </c>
      <c r="K8681" s="1" t="str">
        <f>"2026-07-29 13:18:11"</f>
        <v>2026-07-29 13:18:11</v>
      </c>
      <c r="L8681" s="1" t="str">
        <f>"2014-10-31 16:29:00"</f>
        <v>2014-10-31 16:29:00</v>
      </c>
      <c r="M8681" s="1" t="s">
        <v>45</v>
      </c>
      <c r="N8681" s="1" t="s">
        <v>38</v>
      </c>
      <c r="O8681" s="1" t="s">
        <v>46</v>
      </c>
    </row>
    <row r="8682" spans="2:15" x14ac:dyDescent="0.3">
      <c r="B8682" s="1" t="s">
        <v>21</v>
      </c>
      <c r="C8682" s="1" t="str">
        <f>"1차"</f>
        <v>1차</v>
      </c>
      <c r="D8682" s="1" t="str">
        <f>"9628W02300"</f>
        <v>9628W02300</v>
      </c>
      <c r="E8682" s="1" t="s">
        <v>14</v>
      </c>
      <c r="F8682" s="1" t="str">
        <f>"10.128.1.12"</f>
        <v>10.128.1.12</v>
      </c>
      <c r="G8682" s="1" t="str">
        <f>"9628W023"</f>
        <v>9628W023</v>
      </c>
      <c r="H8682" s="1" t="str">
        <f>"갈색지 32"</f>
        <v>갈색지 32</v>
      </c>
      <c r="I8682" s="1" t="s">
        <v>8</v>
      </c>
      <c r="J8682" s="1" t="str">
        <f>"0/0"</f>
        <v>0/0</v>
      </c>
      <c r="K8682" s="1" t="str">
        <f>"2026-07-29 13:18:11"</f>
        <v>2026-07-29 13:18:11</v>
      </c>
      <c r="L8682" s="1" t="str">
        <f>"2014-10-31 15:58:41"</f>
        <v>2014-10-31 15:58:41</v>
      </c>
      <c r="M8682" s="1" t="s">
        <v>45</v>
      </c>
      <c r="N8682" s="1" t="s">
        <v>38</v>
      </c>
      <c r="O8682" s="1" t="s">
        <v>44</v>
      </c>
    </row>
    <row r="8683" spans="2:15" x14ac:dyDescent="0.3">
      <c r="B8683" s="1" t="s">
        <v>21</v>
      </c>
      <c r="C8683" s="1" t="str">
        <f>"5-2차"</f>
        <v>5-2차</v>
      </c>
      <c r="D8683" s="1" t="str">
        <f>"9628W0415M"</f>
        <v>9628W0415M</v>
      </c>
      <c r="E8683" s="1" t="s">
        <v>10</v>
      </c>
      <c r="F8683" s="1" t="str">
        <f>"fde3:102:1303:a:0:0:0:2"</f>
        <v>fde3:102:1303:a:0:0:0:2</v>
      </c>
      <c r="G8683" s="1" t="str">
        <f>"9628W041"</f>
        <v>9628W041</v>
      </c>
      <c r="H8683" s="1" t="str">
        <f>"갈색지 36"</f>
        <v>갈색지 36</v>
      </c>
      <c r="I8683" s="1" t="s">
        <v>15</v>
      </c>
      <c r="J8683" s="1" t="str">
        <f>"38/38"</f>
        <v>38/38</v>
      </c>
      <c r="K8683" s="1" t="str">
        <f>"2026-07-29 14:21:52"</f>
        <v>2026-07-29 14:21:52</v>
      </c>
      <c r="L8683" s="1" t="str">
        <f>"2023-11-23 15:37:01"</f>
        <v>2023-11-23 15:37:01</v>
      </c>
      <c r="M8683" s="1" t="s">
        <v>45</v>
      </c>
      <c r="N8683" s="1" t="s">
        <v>38</v>
      </c>
      <c r="O8683" s="1" t="s">
        <v>46</v>
      </c>
    </row>
    <row r="8684" spans="2:15" x14ac:dyDescent="0.3">
      <c r="B8684" s="1" t="s">
        <v>21</v>
      </c>
      <c r="C8684" s="1" t="str">
        <f>"5-2차"</f>
        <v>5-2차</v>
      </c>
      <c r="D8684" s="1" t="str">
        <f>"9628W0425M"</f>
        <v>9628W0425M</v>
      </c>
      <c r="E8684" s="1" t="s">
        <v>10</v>
      </c>
      <c r="F8684" s="1" t="str">
        <f>"fde3:102:1303:208:0:0:0:3"</f>
        <v>fde3:102:1303:208:0:0:0:3</v>
      </c>
      <c r="G8684" s="1" t="str">
        <f>"9628W042"</f>
        <v>9628W042</v>
      </c>
      <c r="H8684" s="1" t="str">
        <f>"천사지 5"</f>
        <v>천사지 5</v>
      </c>
      <c r="I8684" s="1" t="s">
        <v>15</v>
      </c>
      <c r="J8684" s="1" t="str">
        <f>"53/53"</f>
        <v>53/53</v>
      </c>
      <c r="K8684" s="1" t="str">
        <f>"2026-07-29 14:21:52"</f>
        <v>2026-07-29 14:21:52</v>
      </c>
      <c r="L8684" s="1" t="str">
        <f>"2023-11-23 14:48:20"</f>
        <v>2023-11-23 14:48:20</v>
      </c>
      <c r="M8684" s="1" t="s">
        <v>45</v>
      </c>
      <c r="N8684" s="1" t="s">
        <v>38</v>
      </c>
      <c r="O8684" s="1" t="s">
        <v>46</v>
      </c>
    </row>
    <row r="8685" spans="2:15" x14ac:dyDescent="0.3">
      <c r="B8685" s="1" t="s">
        <v>21</v>
      </c>
      <c r="C8685" s="1" t="str">
        <f>"3차"</f>
        <v>3차</v>
      </c>
      <c r="D8685" s="1" t="str">
        <f>"9628W06339"</f>
        <v>9628W06339</v>
      </c>
      <c r="E8685" s="1" t="s">
        <v>10</v>
      </c>
      <c r="F8685" s="1" t="str">
        <f>"10.128.68.2"</f>
        <v>10.128.68.2</v>
      </c>
      <c r="G8685" s="1" t="str">
        <f>"9628W063"</f>
        <v>9628W063</v>
      </c>
      <c r="H8685" s="1" t="str">
        <f>"천사지 7"</f>
        <v>천사지 7</v>
      </c>
      <c r="I8685" s="1" t="s">
        <v>8</v>
      </c>
      <c r="J8685" s="1" t="str">
        <f>"9/9"</f>
        <v>9/9</v>
      </c>
      <c r="K8685" s="1" t="str">
        <f>"2026-07-29 13:18:11"</f>
        <v>2026-07-29 13:18:11</v>
      </c>
      <c r="L8685" s="1" t="str">
        <f>"2018-03-30 18:45:44"</f>
        <v>2018-03-30 18:45:44</v>
      </c>
      <c r="M8685" s="1" t="s">
        <v>45</v>
      </c>
      <c r="N8685" s="1" t="s">
        <v>38</v>
      </c>
      <c r="O8685" s="1" t="s">
        <v>46</v>
      </c>
    </row>
    <row r="8686" spans="2:15" x14ac:dyDescent="0.3">
      <c r="B8686" s="1" t="s">
        <v>21</v>
      </c>
      <c r="C8686" s="1" t="str">
        <f>"3차"</f>
        <v>3차</v>
      </c>
      <c r="D8686" s="1" t="str">
        <f>"9628W06439"</f>
        <v>9628W06439</v>
      </c>
      <c r="E8686" s="1" t="s">
        <v>10</v>
      </c>
      <c r="F8686" s="1" t="str">
        <f>"10.128.68.19"</f>
        <v>10.128.68.19</v>
      </c>
      <c r="G8686" s="1" t="str">
        <f>"9628W064"</f>
        <v>9628W064</v>
      </c>
      <c r="H8686" s="1" t="str">
        <f>"천사지 3L2R5R2"</f>
        <v>천사지 3L2R5R2</v>
      </c>
      <c r="I8686" s="1" t="s">
        <v>8</v>
      </c>
      <c r="J8686" s="1" t="str">
        <f>"38/38"</f>
        <v>38/38</v>
      </c>
      <c r="K8686" s="1" t="str">
        <f>"2026-07-29 13:18:11"</f>
        <v>2026-07-29 13:18:11</v>
      </c>
      <c r="L8686" s="1" t="str">
        <f>"2018-03-30 18:11:59"</f>
        <v>2018-03-30 18:11:59</v>
      </c>
      <c r="M8686" s="1" t="s">
        <v>45</v>
      </c>
      <c r="N8686" s="1" t="s">
        <v>38</v>
      </c>
      <c r="O8686" s="1" t="s">
        <v>46</v>
      </c>
    </row>
    <row r="8687" spans="2:15" x14ac:dyDescent="0.3">
      <c r="B8687" s="1" t="s">
        <v>21</v>
      </c>
      <c r="C8687" s="1" t="str">
        <f>"3차"</f>
        <v>3차</v>
      </c>
      <c r="D8687" s="1" t="str">
        <f>"9628W08239"</f>
        <v>9628W08239</v>
      </c>
      <c r="E8687" s="1" t="s">
        <v>10</v>
      </c>
      <c r="F8687" s="1" t="str">
        <f>"10.128.4.64"</f>
        <v>10.128.4.64</v>
      </c>
      <c r="G8687" s="1" t="str">
        <f>"9628W082"</f>
        <v>9628W082</v>
      </c>
      <c r="H8687" s="1" t="str">
        <f>"갈색지 42R1"</f>
        <v>갈색지 42R1</v>
      </c>
      <c r="I8687" s="1" t="s">
        <v>8</v>
      </c>
      <c r="J8687" s="1" t="str">
        <f>"6/6"</f>
        <v>6/6</v>
      </c>
      <c r="K8687" s="1" t="str">
        <f>"2026-07-29 13:18:11"</f>
        <v>2026-07-29 13:18:11</v>
      </c>
      <c r="L8687" s="1" t="str">
        <f>"2018-03-26 20:28:58"</f>
        <v>2018-03-26 20:28:58</v>
      </c>
      <c r="M8687" s="1" t="s">
        <v>45</v>
      </c>
      <c r="N8687" s="1" t="s">
        <v>38</v>
      </c>
      <c r="O8687" s="1" t="s">
        <v>46</v>
      </c>
    </row>
    <row r="8688" spans="2:15" x14ac:dyDescent="0.3">
      <c r="B8688" s="1" t="s">
        <v>21</v>
      </c>
      <c r="C8688" s="1" t="str">
        <f>"3차"</f>
        <v>3차</v>
      </c>
      <c r="D8688" s="1" t="str">
        <f>"9628W09230"</f>
        <v>9628W09230</v>
      </c>
      <c r="E8688" s="1" t="s">
        <v>10</v>
      </c>
      <c r="F8688" s="1" t="str">
        <f>"10.128.68.50"</f>
        <v>10.128.68.50</v>
      </c>
      <c r="G8688" s="1" t="str">
        <f>"9628W092"</f>
        <v>9628W092</v>
      </c>
      <c r="H8688" s="1" t="str">
        <f>"구산간 26R1"</f>
        <v>구산간 26R1</v>
      </c>
      <c r="I8688" s="1" t="s">
        <v>8</v>
      </c>
      <c r="J8688" s="1" t="str">
        <f>"66/68"</f>
        <v>66/68</v>
      </c>
      <c r="K8688" s="1" t="str">
        <f>"2026-07-29 13:18:11"</f>
        <v>2026-07-29 13:18:11</v>
      </c>
      <c r="L8688" s="1" t="str">
        <f>"2018-03-12 16:08:42"</f>
        <v>2018-03-12 16:08:42</v>
      </c>
      <c r="M8688" s="1" t="s">
        <v>45</v>
      </c>
      <c r="N8688" s="1" t="s">
        <v>38</v>
      </c>
      <c r="O8688" s="1" t="s">
        <v>46</v>
      </c>
    </row>
    <row r="8689" spans="2:15" x14ac:dyDescent="0.3">
      <c r="B8689" s="1" t="s">
        <v>21</v>
      </c>
      <c r="C8689" s="1" t="str">
        <f>"3차"</f>
        <v>3차</v>
      </c>
      <c r="D8689" s="1" t="str">
        <f>"9628W09339"</f>
        <v>9628W09339</v>
      </c>
      <c r="E8689" s="1" t="s">
        <v>10</v>
      </c>
      <c r="F8689" s="1" t="str">
        <f>"10.12.132.161"</f>
        <v>10.12.132.161</v>
      </c>
      <c r="G8689" s="1" t="str">
        <f>"9628W093"</f>
        <v>9628W093</v>
      </c>
      <c r="H8689" s="1" t="str">
        <f>"구산간 26"</f>
        <v>구산간 26</v>
      </c>
      <c r="I8689" s="1" t="s">
        <v>8</v>
      </c>
      <c r="J8689" s="1" t="str">
        <f>"2/2"</f>
        <v>2/2</v>
      </c>
      <c r="K8689" s="1" t="str">
        <f>"2026-07-29 13:18:11"</f>
        <v>2026-07-29 13:18:11</v>
      </c>
      <c r="L8689" s="1" t="str">
        <f>"2018-03-29 11:55:42"</f>
        <v>2018-03-29 11:55:42</v>
      </c>
      <c r="M8689" s="1" t="s">
        <v>0</v>
      </c>
      <c r="N8689" s="1" t="s">
        <v>38</v>
      </c>
      <c r="O8689" s="1" t="s">
        <v>46</v>
      </c>
    </row>
    <row r="8690" spans="2:15" x14ac:dyDescent="0.3">
      <c r="B8690" s="1" t="s">
        <v>21</v>
      </c>
      <c r="C8690" s="1" t="str">
        <f>"1차"</f>
        <v>1차</v>
      </c>
      <c r="D8690" s="1" t="str">
        <f>"9628W11102"</f>
        <v>9628W11102</v>
      </c>
      <c r="E8690" s="1" t="s">
        <v>10</v>
      </c>
      <c r="F8690" s="1" t="str">
        <f>"10.12.132.102"</f>
        <v>10.12.132.102</v>
      </c>
      <c r="G8690" s="1" t="str">
        <f>"9628W111"</f>
        <v>9628W111</v>
      </c>
      <c r="H8690" s="1" t="str">
        <f>"갈색지 41R34"</f>
        <v>갈색지 41R34</v>
      </c>
      <c r="I8690" s="1" t="s">
        <v>8</v>
      </c>
      <c r="J8690" s="1" t="str">
        <f>"42/42"</f>
        <v>42/42</v>
      </c>
      <c r="K8690" s="1" t="str">
        <f>"2026-07-29 13:18:12"</f>
        <v>2026-07-29 13:18:12</v>
      </c>
      <c r="L8690" s="1" t="str">
        <f>"2014-11-14 00:13:55"</f>
        <v>2014-11-14 00:13:55</v>
      </c>
      <c r="M8690" s="1" t="s">
        <v>0</v>
      </c>
      <c r="N8690" s="1" t="s">
        <v>38</v>
      </c>
      <c r="O8690" s="1" t="s">
        <v>46</v>
      </c>
    </row>
    <row r="8691" spans="2:15" x14ac:dyDescent="0.3">
      <c r="B8691" s="1" t="s">
        <v>21</v>
      </c>
      <c r="C8691" s="1" t="str">
        <f>"1차"</f>
        <v>1차</v>
      </c>
      <c r="D8691" s="1" t="str">
        <f>"9628W12300"</f>
        <v>9628W12300</v>
      </c>
      <c r="E8691" s="1" t="s">
        <v>10</v>
      </c>
      <c r="F8691" s="1" t="str">
        <f>"10.128.2.164"</f>
        <v>10.128.2.164</v>
      </c>
      <c r="G8691" s="1" t="str">
        <f>"9628W123"</f>
        <v>9628W123</v>
      </c>
      <c r="H8691" s="1" t="str">
        <f>"갈색지 41R33D1"</f>
        <v>갈색지 41R33D1</v>
      </c>
      <c r="I8691" s="1" t="s">
        <v>8</v>
      </c>
      <c r="J8691" s="1" t="str">
        <f>"33/34"</f>
        <v>33/34</v>
      </c>
      <c r="K8691" s="1" t="str">
        <f>"2026-07-29 13:18:11"</f>
        <v>2026-07-29 13:18:11</v>
      </c>
      <c r="L8691" s="1" t="str">
        <f>"2014-12-18 15:38:09"</f>
        <v>2014-12-18 15:38:09</v>
      </c>
      <c r="M8691" s="1" t="s">
        <v>45</v>
      </c>
      <c r="N8691" s="1" t="s">
        <v>38</v>
      </c>
      <c r="O8691" s="1" t="s">
        <v>46</v>
      </c>
    </row>
    <row r="8692" spans="2:15" x14ac:dyDescent="0.3">
      <c r="B8692" s="1" t="s">
        <v>21</v>
      </c>
      <c r="C8692" s="1" t="str">
        <f>"4차"</f>
        <v>4차</v>
      </c>
      <c r="D8692" s="1" t="str">
        <f>"9628W12544"</f>
        <v>9628W12544</v>
      </c>
      <c r="E8692" s="1" t="s">
        <v>10</v>
      </c>
      <c r="F8692" s="1" t="str">
        <f>"10.10.77.26"</f>
        <v>10.10.77.26</v>
      </c>
      <c r="G8692" s="1" t="str">
        <f>"9628W125"</f>
        <v>9628W125</v>
      </c>
      <c r="H8692" s="1" t="str">
        <f>"갈색지 41R33"</f>
        <v>갈색지 41R33</v>
      </c>
      <c r="I8692" s="1" t="s">
        <v>8</v>
      </c>
      <c r="J8692" s="1" t="str">
        <f>"31/31"</f>
        <v>31/31</v>
      </c>
      <c r="K8692" s="1" t="str">
        <f>"2026-07-29 13:18:10"</f>
        <v>2026-07-29 13:18:10</v>
      </c>
      <c r="L8692" s="1" t="str">
        <f>"2019-10-24 12:49:42"</f>
        <v>2019-10-24 12:49:42</v>
      </c>
      <c r="M8692" s="1" t="s">
        <v>1</v>
      </c>
      <c r="N8692" s="1" t="s">
        <v>38</v>
      </c>
      <c r="O8692" s="1" t="s">
        <v>46</v>
      </c>
    </row>
    <row r="8693" spans="2:15" x14ac:dyDescent="0.3">
      <c r="B8693" s="1" t="s">
        <v>21</v>
      </c>
      <c r="C8693" s="1" t="str">
        <f>"4차"</f>
        <v>4차</v>
      </c>
      <c r="D8693" s="1" t="str">
        <f>"9628W13444"</f>
        <v>9628W13444</v>
      </c>
      <c r="E8693" s="1" t="s">
        <v>10</v>
      </c>
      <c r="F8693" s="1" t="str">
        <f>"10.10.99.138"</f>
        <v>10.10.99.138</v>
      </c>
      <c r="G8693" s="1" t="str">
        <f>"9628W134"</f>
        <v>9628W134</v>
      </c>
      <c r="H8693" s="1" t="str">
        <f>"갈색지 41R33R1"</f>
        <v>갈색지 41R33R1</v>
      </c>
      <c r="I8693" s="1" t="s">
        <v>8</v>
      </c>
      <c r="J8693" s="1" t="str">
        <f>"51/51"</f>
        <v>51/51</v>
      </c>
      <c r="K8693" s="1" t="str">
        <f>"2026-07-29 13:18:10"</f>
        <v>2026-07-29 13:18:10</v>
      </c>
      <c r="L8693" s="1" t="str">
        <f>"2019-10-24 12:50:27"</f>
        <v>2019-10-24 12:50:27</v>
      </c>
      <c r="M8693" s="1" t="s">
        <v>1</v>
      </c>
      <c r="N8693" s="1" t="s">
        <v>38</v>
      </c>
      <c r="O8693" s="1" t="s">
        <v>46</v>
      </c>
    </row>
    <row r="8694" spans="2:15" x14ac:dyDescent="0.3">
      <c r="B8694" s="1" t="s">
        <v>21</v>
      </c>
      <c r="C8694" s="1" t="str">
        <f>"4차"</f>
        <v>4차</v>
      </c>
      <c r="D8694" s="1" t="str">
        <f>"9628W14344"</f>
        <v>9628W14344</v>
      </c>
      <c r="E8694" s="1" t="s">
        <v>10</v>
      </c>
      <c r="F8694" s="1" t="str">
        <f>"10.10.105.18"</f>
        <v>10.10.105.18</v>
      </c>
      <c r="G8694" s="1" t="str">
        <f>"9628W143"</f>
        <v>9628W143</v>
      </c>
      <c r="H8694" s="1" t="str">
        <f>"갈색지 36R3"</f>
        <v>갈색지 36R3</v>
      </c>
      <c r="I8694" s="1" t="s">
        <v>8</v>
      </c>
      <c r="J8694" s="1" t="str">
        <f>"65/67"</f>
        <v>65/67</v>
      </c>
      <c r="K8694" s="1" t="str">
        <f>"2026-07-29 13:18:10"</f>
        <v>2026-07-29 13:18:10</v>
      </c>
      <c r="L8694" s="1" t="str">
        <f>"2019-10-24 12:56:14"</f>
        <v>2019-10-24 12:56:14</v>
      </c>
      <c r="M8694" s="1" t="s">
        <v>1</v>
      </c>
      <c r="N8694" s="1" t="s">
        <v>38</v>
      </c>
      <c r="O8694" s="1" t="s">
        <v>46</v>
      </c>
    </row>
    <row r="8695" spans="2:15" x14ac:dyDescent="0.3">
      <c r="B8695" s="1" t="s">
        <v>21</v>
      </c>
      <c r="C8695" s="1" t="str">
        <f>"4차"</f>
        <v>4차</v>
      </c>
      <c r="D8695" s="1" t="str">
        <f>"9628W17239"</f>
        <v>9628W17239</v>
      </c>
      <c r="E8695" s="1" t="s">
        <v>10</v>
      </c>
      <c r="F8695" s="1" t="str">
        <f>"10.128.3.17"</f>
        <v>10.128.3.17</v>
      </c>
      <c r="G8695" s="1" t="str">
        <f>"9628W172"</f>
        <v>9628W172</v>
      </c>
      <c r="H8695" s="1" t="str">
        <f>"갈색지 41R7R2R3"</f>
        <v>갈색지 41R7R2R3</v>
      </c>
      <c r="I8695" s="1" t="s">
        <v>8</v>
      </c>
      <c r="J8695" s="1" t="str">
        <f>"118/120"</f>
        <v>118/120</v>
      </c>
      <c r="K8695" s="1" t="str">
        <f t="shared" ref="K8695:K8721" si="429">"2026-07-29 13:18:11"</f>
        <v>2026-07-29 13:18:11</v>
      </c>
      <c r="L8695" s="1" t="str">
        <f>"2024-08-28 10:20:33"</f>
        <v>2024-08-28 10:20:33</v>
      </c>
      <c r="M8695" s="1" t="s">
        <v>45</v>
      </c>
      <c r="N8695" s="1" t="s">
        <v>38</v>
      </c>
      <c r="O8695" s="1" t="s">
        <v>46</v>
      </c>
    </row>
    <row r="8696" spans="2:15" x14ac:dyDescent="0.3">
      <c r="B8696" s="1" t="s">
        <v>21</v>
      </c>
      <c r="C8696" s="1" t="str">
        <f>"3차"</f>
        <v>3차</v>
      </c>
      <c r="D8696" s="1" t="str">
        <f>"9628W18239"</f>
        <v>9628W18239</v>
      </c>
      <c r="E8696" s="1" t="s">
        <v>10</v>
      </c>
      <c r="F8696" s="1" t="str">
        <f>"10.128.3.233"</f>
        <v>10.128.3.233</v>
      </c>
      <c r="G8696" s="1" t="str">
        <f>"9628W182"</f>
        <v>9628W182</v>
      </c>
      <c r="H8696" s="1" t="str">
        <f>"역말간 39L8"</f>
        <v>역말간 39L8</v>
      </c>
      <c r="I8696" s="1" t="s">
        <v>8</v>
      </c>
      <c r="J8696" s="1" t="str">
        <f>"13/13"</f>
        <v>13/13</v>
      </c>
      <c r="K8696" s="1" t="str">
        <f t="shared" si="429"/>
        <v>2026-07-29 13:18:11</v>
      </c>
      <c r="L8696" s="1" t="str">
        <f>"2018-02-01 16:14:01"</f>
        <v>2018-02-01 16:14:01</v>
      </c>
      <c r="M8696" s="1" t="s">
        <v>45</v>
      </c>
      <c r="N8696" s="1" t="s">
        <v>38</v>
      </c>
      <c r="O8696" s="1" t="s">
        <v>46</v>
      </c>
    </row>
    <row r="8697" spans="2:15" x14ac:dyDescent="0.3">
      <c r="B8697" s="1" t="s">
        <v>21</v>
      </c>
      <c r="C8697" s="1" t="str">
        <f>"3차"</f>
        <v>3차</v>
      </c>
      <c r="D8697" s="1" t="str">
        <f>"9628W18539"</f>
        <v>9628W18539</v>
      </c>
      <c r="E8697" s="1" t="s">
        <v>10</v>
      </c>
      <c r="F8697" s="1" t="str">
        <f>"10.128.3.9"</f>
        <v>10.128.3.9</v>
      </c>
      <c r="G8697" s="1" t="str">
        <f>"9628W185"</f>
        <v>9628W185</v>
      </c>
      <c r="H8697" s="1" t="str">
        <f>"갈색지 41R3"</f>
        <v>갈색지 41R3</v>
      </c>
      <c r="I8697" s="1" t="s">
        <v>8</v>
      </c>
      <c r="J8697" s="1" t="str">
        <f>"6/6"</f>
        <v>6/6</v>
      </c>
      <c r="K8697" s="1" t="str">
        <f t="shared" si="429"/>
        <v>2026-07-29 13:18:11</v>
      </c>
      <c r="L8697" s="1" t="str">
        <f>"2018-01-06 18:34:13"</f>
        <v>2018-01-06 18:34:13</v>
      </c>
      <c r="M8697" s="1" t="s">
        <v>45</v>
      </c>
      <c r="N8697" s="1" t="s">
        <v>38</v>
      </c>
      <c r="O8697" s="1" t="s">
        <v>46</v>
      </c>
    </row>
    <row r="8698" spans="2:15" x14ac:dyDescent="0.3">
      <c r="B8698" s="1" t="s">
        <v>21</v>
      </c>
      <c r="C8698" s="1" t="str">
        <f>"3차"</f>
        <v>3차</v>
      </c>
      <c r="D8698" s="1" t="str">
        <f>"9628W19139"</f>
        <v>9628W19139</v>
      </c>
      <c r="E8698" s="1" t="s">
        <v>10</v>
      </c>
      <c r="F8698" s="1" t="str">
        <f>"10.128.3.222"</f>
        <v>10.128.3.222</v>
      </c>
      <c r="G8698" s="1" t="str">
        <f>"9628W191"</f>
        <v>9628W191</v>
      </c>
      <c r="H8698" s="1" t="str">
        <f>"역말간 39L5R2L5"</f>
        <v>역말간 39L5R2L5</v>
      </c>
      <c r="I8698" s="1" t="s">
        <v>8</v>
      </c>
      <c r="J8698" s="1" t="str">
        <f>"17/19"</f>
        <v>17/19</v>
      </c>
      <c r="K8698" s="1" t="str">
        <f t="shared" si="429"/>
        <v>2026-07-29 13:18:11</v>
      </c>
      <c r="L8698" s="1" t="str">
        <f>"2018-02-01 17:07:29"</f>
        <v>2018-02-01 17:07:29</v>
      </c>
      <c r="M8698" s="1" t="s">
        <v>45</v>
      </c>
      <c r="N8698" s="1" t="s">
        <v>38</v>
      </c>
      <c r="O8698" s="1" t="s">
        <v>46</v>
      </c>
    </row>
    <row r="8699" spans="2:15" x14ac:dyDescent="0.3">
      <c r="B8699" s="1" t="s">
        <v>21</v>
      </c>
      <c r="C8699" s="1" t="str">
        <f t="shared" ref="C8699:C8704" si="430">"4차"</f>
        <v>4차</v>
      </c>
      <c r="D8699" s="1" t="str">
        <f>"9628W21144"</f>
        <v>9628W21144</v>
      </c>
      <c r="E8699" s="1" t="s">
        <v>10</v>
      </c>
      <c r="F8699" s="1" t="str">
        <f>"10.10.119.202"</f>
        <v>10.10.119.202</v>
      </c>
      <c r="G8699" s="1" t="str">
        <f>"9628W211"</f>
        <v>9628W211</v>
      </c>
      <c r="H8699" s="1" t="str">
        <f>"갈색지 41R31"</f>
        <v>갈색지 41R31</v>
      </c>
      <c r="I8699" s="1" t="s">
        <v>8</v>
      </c>
      <c r="J8699" s="1" t="str">
        <f>"23/23"</f>
        <v>23/23</v>
      </c>
      <c r="K8699" s="1" t="str">
        <f t="shared" si="429"/>
        <v>2026-07-29 13:18:11</v>
      </c>
      <c r="L8699" s="1" t="str">
        <f>"2019-10-23 18:13:59"</f>
        <v>2019-10-23 18:13:59</v>
      </c>
      <c r="M8699" s="1" t="s">
        <v>1</v>
      </c>
      <c r="N8699" s="1" t="s">
        <v>38</v>
      </c>
      <c r="O8699" s="1" t="s">
        <v>46</v>
      </c>
    </row>
    <row r="8700" spans="2:15" x14ac:dyDescent="0.3">
      <c r="B8700" s="1" t="s">
        <v>21</v>
      </c>
      <c r="C8700" s="1" t="str">
        <f t="shared" si="430"/>
        <v>4차</v>
      </c>
      <c r="D8700" s="1" t="str">
        <f>"9628W22144"</f>
        <v>9628W22144</v>
      </c>
      <c r="E8700" s="1" t="s">
        <v>10</v>
      </c>
      <c r="F8700" s="1" t="str">
        <f>"10.10.77.10"</f>
        <v>10.10.77.10</v>
      </c>
      <c r="G8700" s="1" t="str">
        <f>"9628W221"</f>
        <v>9628W221</v>
      </c>
      <c r="H8700" s="1" t="str">
        <f>"갈색지 41R32"</f>
        <v>갈색지 41R32</v>
      </c>
      <c r="I8700" s="1" t="s">
        <v>8</v>
      </c>
      <c r="J8700" s="1" t="str">
        <f>"32/32"</f>
        <v>32/32</v>
      </c>
      <c r="K8700" s="1" t="str">
        <f t="shared" si="429"/>
        <v>2026-07-29 13:18:11</v>
      </c>
      <c r="L8700" s="1" t="str">
        <f>"2019-10-24 12:49:57"</f>
        <v>2019-10-24 12:49:57</v>
      </c>
      <c r="M8700" s="1" t="s">
        <v>1</v>
      </c>
      <c r="N8700" s="1" t="s">
        <v>38</v>
      </c>
      <c r="O8700" s="1" t="s">
        <v>46</v>
      </c>
    </row>
    <row r="8701" spans="2:15" x14ac:dyDescent="0.3">
      <c r="B8701" s="1" t="s">
        <v>21</v>
      </c>
      <c r="C8701" s="1" t="str">
        <f t="shared" si="430"/>
        <v>4차</v>
      </c>
      <c r="D8701" s="1" t="str">
        <f>"9628W24144"</f>
        <v>9628W24144</v>
      </c>
      <c r="E8701" s="1" t="s">
        <v>10</v>
      </c>
      <c r="F8701" s="1" t="str">
        <f>"10.10.104.242"</f>
        <v>10.10.104.242</v>
      </c>
      <c r="G8701" s="1" t="str">
        <f>"9628W241"</f>
        <v>9628W241</v>
      </c>
      <c r="H8701" s="1" t="str">
        <f>"갈색지 36R4"</f>
        <v>갈색지 36R4</v>
      </c>
      <c r="I8701" s="1" t="s">
        <v>8</v>
      </c>
      <c r="J8701" s="1" t="str">
        <f>"29/29"</f>
        <v>29/29</v>
      </c>
      <c r="K8701" s="1" t="str">
        <f t="shared" si="429"/>
        <v>2026-07-29 13:18:11</v>
      </c>
      <c r="L8701" s="1" t="str">
        <f>"2019-10-24 11:45:11"</f>
        <v>2019-10-24 11:45:11</v>
      </c>
      <c r="M8701" s="1" t="s">
        <v>1</v>
      </c>
      <c r="N8701" s="1" t="s">
        <v>38</v>
      </c>
      <c r="O8701" s="1" t="s">
        <v>46</v>
      </c>
    </row>
    <row r="8702" spans="2:15" x14ac:dyDescent="0.3">
      <c r="B8702" s="1" t="s">
        <v>21</v>
      </c>
      <c r="C8702" s="1" t="str">
        <f t="shared" si="430"/>
        <v>4차</v>
      </c>
      <c r="D8702" s="1" t="str">
        <f>"9628W24244"</f>
        <v>9628W24244</v>
      </c>
      <c r="E8702" s="1" t="s">
        <v>10</v>
      </c>
      <c r="F8702" s="1" t="str">
        <f>"10.10.119.162"</f>
        <v>10.10.119.162</v>
      </c>
      <c r="G8702" s="1" t="str">
        <f>"9628W242"</f>
        <v>9628W242</v>
      </c>
      <c r="H8702" s="1" t="str">
        <f>"갈색지 41R16R5R4"</f>
        <v>갈색지 41R16R5R4</v>
      </c>
      <c r="I8702" s="1" t="s">
        <v>8</v>
      </c>
      <c r="J8702" s="1" t="str">
        <f>"31/31"</f>
        <v>31/31</v>
      </c>
      <c r="K8702" s="1" t="str">
        <f t="shared" si="429"/>
        <v>2026-07-29 13:18:11</v>
      </c>
      <c r="L8702" s="1" t="str">
        <f>"2019-11-06 11:20:12"</f>
        <v>2019-11-06 11:20:12</v>
      </c>
      <c r="M8702" s="1" t="s">
        <v>1</v>
      </c>
      <c r="N8702" s="1" t="s">
        <v>38</v>
      </c>
      <c r="O8702" s="1" t="s">
        <v>46</v>
      </c>
    </row>
    <row r="8703" spans="2:15" x14ac:dyDescent="0.3">
      <c r="B8703" s="1" t="s">
        <v>21</v>
      </c>
      <c r="C8703" s="1" t="str">
        <f t="shared" si="430"/>
        <v>4차</v>
      </c>
      <c r="D8703" s="1" t="str">
        <f>"9628W25144"</f>
        <v>9628W25144</v>
      </c>
      <c r="E8703" s="1" t="s">
        <v>10</v>
      </c>
      <c r="F8703" s="1" t="str">
        <f>"10.10.95.66"</f>
        <v>10.10.95.66</v>
      </c>
      <c r="G8703" s="1" t="str">
        <f>"9628W251"</f>
        <v>9628W251</v>
      </c>
      <c r="H8703" s="1" t="str">
        <f>"갈색지 41R7R7"</f>
        <v>갈색지 41R7R7</v>
      </c>
      <c r="I8703" s="1" t="s">
        <v>8</v>
      </c>
      <c r="J8703" s="1" t="str">
        <f>"27/27"</f>
        <v>27/27</v>
      </c>
      <c r="K8703" s="1" t="str">
        <f t="shared" si="429"/>
        <v>2026-07-29 13:18:11</v>
      </c>
      <c r="L8703" s="1" t="str">
        <f>"2019-10-24 11:23:04"</f>
        <v>2019-10-24 11:23:04</v>
      </c>
      <c r="M8703" s="1" t="s">
        <v>1</v>
      </c>
      <c r="N8703" s="1" t="s">
        <v>38</v>
      </c>
      <c r="O8703" s="1" t="s">
        <v>46</v>
      </c>
    </row>
    <row r="8704" spans="2:15" x14ac:dyDescent="0.3">
      <c r="B8704" s="1" t="s">
        <v>21</v>
      </c>
      <c r="C8704" s="1" t="str">
        <f t="shared" si="430"/>
        <v>4차</v>
      </c>
      <c r="D8704" s="1" t="str">
        <f>"9628W25244"</f>
        <v>9628W25244</v>
      </c>
      <c r="E8704" s="1" t="s">
        <v>10</v>
      </c>
      <c r="F8704" s="1" t="str">
        <f>"10.10.94.234"</f>
        <v>10.10.94.234</v>
      </c>
      <c r="G8704" s="1" t="str">
        <f>"9628W252"</f>
        <v>9628W252</v>
      </c>
      <c r="H8704" s="1" t="str">
        <f>"갈색지 41R7R8"</f>
        <v>갈색지 41R7R8</v>
      </c>
      <c r="I8704" s="1" t="s">
        <v>8</v>
      </c>
      <c r="J8704" s="1" t="str">
        <f>"63/63"</f>
        <v>63/63</v>
      </c>
      <c r="K8704" s="1" t="str">
        <f t="shared" si="429"/>
        <v>2026-07-29 13:18:11</v>
      </c>
      <c r="L8704" s="1" t="str">
        <f>"2019-10-24 11:13:56"</f>
        <v>2019-10-24 11:13:56</v>
      </c>
      <c r="M8704" s="1" t="s">
        <v>1</v>
      </c>
      <c r="N8704" s="1" t="s">
        <v>38</v>
      </c>
      <c r="O8704" s="1" t="s">
        <v>46</v>
      </c>
    </row>
    <row r="8705" spans="2:15" x14ac:dyDescent="0.3">
      <c r="B8705" s="1" t="s">
        <v>21</v>
      </c>
      <c r="C8705" s="1" t="str">
        <f>"3차"</f>
        <v>3차</v>
      </c>
      <c r="D8705" s="1" t="str">
        <f>"9628W27139"</f>
        <v>9628W27139</v>
      </c>
      <c r="E8705" s="1" t="s">
        <v>10</v>
      </c>
      <c r="F8705" s="1" t="str">
        <f>"10.128.3.16"</f>
        <v>10.128.3.16</v>
      </c>
      <c r="G8705" s="1" t="str">
        <f>"9628W271"</f>
        <v>9628W271</v>
      </c>
      <c r="H8705" s="1" t="str">
        <f>"갈색지 41R7R2R2"</f>
        <v>갈색지 41R7R2R2</v>
      </c>
      <c r="I8705" s="1" t="s">
        <v>8</v>
      </c>
      <c r="J8705" s="1" t="str">
        <f>"65/65"</f>
        <v>65/65</v>
      </c>
      <c r="K8705" s="1" t="str">
        <f t="shared" si="429"/>
        <v>2026-07-29 13:18:11</v>
      </c>
      <c r="L8705" s="1" t="str">
        <f>"2018-03-09 16:21:42"</f>
        <v>2018-03-09 16:21:42</v>
      </c>
      <c r="M8705" s="1" t="s">
        <v>45</v>
      </c>
      <c r="N8705" s="1" t="s">
        <v>38</v>
      </c>
      <c r="O8705" s="1" t="s">
        <v>46</v>
      </c>
    </row>
    <row r="8706" spans="2:15" x14ac:dyDescent="0.3">
      <c r="B8706" s="1" t="s">
        <v>21</v>
      </c>
      <c r="C8706" s="1" t="str">
        <f>"3차"</f>
        <v>3차</v>
      </c>
      <c r="D8706" s="1" t="str">
        <f>"9628W28139"</f>
        <v>9628W28139</v>
      </c>
      <c r="E8706" s="1" t="s">
        <v>10</v>
      </c>
      <c r="F8706" s="1" t="str">
        <f>"10.128.3.232"</f>
        <v>10.128.3.232</v>
      </c>
      <c r="G8706" s="1" t="str">
        <f>"9628W281"</f>
        <v>9628W281</v>
      </c>
      <c r="H8706" s="1" t="str">
        <f>"역말간 39L7"</f>
        <v>역말간 39L7</v>
      </c>
      <c r="I8706" s="1" t="s">
        <v>8</v>
      </c>
      <c r="J8706" s="1" t="str">
        <f>"31/31"</f>
        <v>31/31</v>
      </c>
      <c r="K8706" s="1" t="str">
        <f t="shared" si="429"/>
        <v>2026-07-29 13:18:11</v>
      </c>
      <c r="L8706" s="1" t="str">
        <f>"2018-02-01 15:08:28"</f>
        <v>2018-02-01 15:08:28</v>
      </c>
      <c r="M8706" s="1" t="s">
        <v>45</v>
      </c>
      <c r="N8706" s="1" t="s">
        <v>38</v>
      </c>
      <c r="O8706" s="1" t="s">
        <v>46</v>
      </c>
    </row>
    <row r="8707" spans="2:15" x14ac:dyDescent="0.3">
      <c r="B8707" s="1" t="s">
        <v>21</v>
      </c>
      <c r="C8707" s="1" t="str">
        <f>"3차"</f>
        <v>3차</v>
      </c>
      <c r="D8707" s="1" t="str">
        <f>"9628W28239"</f>
        <v>9628W28239</v>
      </c>
      <c r="E8707" s="1" t="s">
        <v>10</v>
      </c>
      <c r="F8707" s="1" t="str">
        <f>"10.128.3.10"</f>
        <v>10.128.3.10</v>
      </c>
      <c r="G8707" s="1" t="str">
        <f>"9628W282"</f>
        <v>9628W282</v>
      </c>
      <c r="H8707" s="1" t="str">
        <f>"갈색지 41R4"</f>
        <v>갈색지 41R4</v>
      </c>
      <c r="I8707" s="1" t="s">
        <v>8</v>
      </c>
      <c r="J8707" s="1" t="str">
        <f>"36/38"</f>
        <v>36/38</v>
      </c>
      <c r="K8707" s="1" t="str">
        <f t="shared" si="429"/>
        <v>2026-07-29 13:18:11</v>
      </c>
      <c r="L8707" s="1" t="str">
        <f>"2018-01-06 17:02:06"</f>
        <v>2018-01-06 17:02:06</v>
      </c>
      <c r="M8707" s="1" t="s">
        <v>45</v>
      </c>
      <c r="N8707" s="1" t="s">
        <v>38</v>
      </c>
      <c r="O8707" s="1" t="s">
        <v>46</v>
      </c>
    </row>
    <row r="8708" spans="2:15" x14ac:dyDescent="0.3">
      <c r="B8708" s="1" t="s">
        <v>21</v>
      </c>
      <c r="C8708" s="1" t="str">
        <f>"3차"</f>
        <v>3차</v>
      </c>
      <c r="D8708" s="1" t="str">
        <f>"9628W29139"</f>
        <v>9628W29139</v>
      </c>
      <c r="E8708" s="1" t="s">
        <v>10</v>
      </c>
      <c r="F8708" s="1" t="str">
        <f>"10.128.3.221"</f>
        <v>10.128.3.221</v>
      </c>
      <c r="G8708" s="1" t="str">
        <f>"9628W291"</f>
        <v>9628W291</v>
      </c>
      <c r="H8708" s="1" t="str">
        <f>"역말간 39L5R2L4"</f>
        <v>역말간 39L5R2L4</v>
      </c>
      <c r="I8708" s="1" t="s">
        <v>8</v>
      </c>
      <c r="J8708" s="1" t="str">
        <f>"78/78"</f>
        <v>78/78</v>
      </c>
      <c r="K8708" s="1" t="str">
        <f t="shared" si="429"/>
        <v>2026-07-29 13:18:11</v>
      </c>
      <c r="L8708" s="1" t="str">
        <f>"2018-02-01 16:43:15"</f>
        <v>2018-02-01 16:43:15</v>
      </c>
      <c r="M8708" s="1" t="s">
        <v>45</v>
      </c>
      <c r="N8708" s="1" t="s">
        <v>38</v>
      </c>
      <c r="O8708" s="1" t="s">
        <v>46</v>
      </c>
    </row>
    <row r="8709" spans="2:15" x14ac:dyDescent="0.3">
      <c r="B8709" s="1" t="s">
        <v>21</v>
      </c>
      <c r="C8709" s="1" t="str">
        <f t="shared" ref="C8709:C8714" si="431">"4차"</f>
        <v>4차</v>
      </c>
      <c r="D8709" s="1" t="str">
        <f>"9628W30444"</f>
        <v>9628W30444</v>
      </c>
      <c r="E8709" s="1" t="s">
        <v>10</v>
      </c>
      <c r="F8709" s="1" t="str">
        <f>"10.10.132.130"</f>
        <v>10.10.132.130</v>
      </c>
      <c r="G8709" s="1" t="str">
        <f>"9628W304"</f>
        <v>9628W304</v>
      </c>
      <c r="H8709" s="1" t="str">
        <f>"신사간 20R17R2"</f>
        <v>신사간 20R17R2</v>
      </c>
      <c r="I8709" s="1" t="s">
        <v>8</v>
      </c>
      <c r="J8709" s="1" t="str">
        <f>"21/21"</f>
        <v>21/21</v>
      </c>
      <c r="K8709" s="1" t="str">
        <f t="shared" si="429"/>
        <v>2026-07-29 13:18:11</v>
      </c>
      <c r="L8709" s="1" t="str">
        <f>"2019-12-11 18:17:30"</f>
        <v>2019-12-11 18:17:30</v>
      </c>
      <c r="M8709" s="1" t="s">
        <v>1</v>
      </c>
      <c r="N8709" s="1" t="s">
        <v>38</v>
      </c>
      <c r="O8709" s="1" t="s">
        <v>46</v>
      </c>
    </row>
    <row r="8710" spans="2:15" x14ac:dyDescent="0.3">
      <c r="B8710" s="1" t="s">
        <v>21</v>
      </c>
      <c r="C8710" s="1" t="str">
        <f t="shared" si="431"/>
        <v>4차</v>
      </c>
      <c r="D8710" s="1" t="str">
        <f>"9628W31144"</f>
        <v>9628W31144</v>
      </c>
      <c r="E8710" s="1" t="s">
        <v>10</v>
      </c>
      <c r="F8710" s="1" t="str">
        <f>"10.10.76.242"</f>
        <v>10.10.76.242</v>
      </c>
      <c r="G8710" s="1" t="str">
        <f>"9628W311"</f>
        <v>9628W311</v>
      </c>
      <c r="H8710" s="1" t="str">
        <f>"갈색지 41R30"</f>
        <v>갈색지 41R30</v>
      </c>
      <c r="I8710" s="1" t="s">
        <v>8</v>
      </c>
      <c r="J8710" s="1" t="str">
        <f>"3/14"</f>
        <v>3/14</v>
      </c>
      <c r="K8710" s="1" t="str">
        <f t="shared" si="429"/>
        <v>2026-07-29 13:18:11</v>
      </c>
      <c r="L8710" s="1" t="str">
        <f>"2019-10-23 18:03:03"</f>
        <v>2019-10-23 18:03:03</v>
      </c>
      <c r="M8710" s="1" t="s">
        <v>1</v>
      </c>
      <c r="N8710" s="1" t="s">
        <v>38</v>
      </c>
      <c r="O8710" s="1" t="s">
        <v>46</v>
      </c>
    </row>
    <row r="8711" spans="2:15" x14ac:dyDescent="0.3">
      <c r="B8711" s="1" t="s">
        <v>21</v>
      </c>
      <c r="C8711" s="1" t="str">
        <f t="shared" si="431"/>
        <v>4차</v>
      </c>
      <c r="D8711" s="1" t="str">
        <f>"9628W33144"</f>
        <v>9628W33144</v>
      </c>
      <c r="E8711" s="1" t="s">
        <v>10</v>
      </c>
      <c r="F8711" s="1" t="str">
        <f>"10.10.104.162"</f>
        <v>10.10.104.162</v>
      </c>
      <c r="G8711" s="1" t="str">
        <f>"9628W331"</f>
        <v>9628W331</v>
      </c>
      <c r="H8711" s="1" t="str">
        <f>"갈색지 41R16R10"</f>
        <v>갈색지 41R16R10</v>
      </c>
      <c r="I8711" s="1" t="s">
        <v>8</v>
      </c>
      <c r="J8711" s="1" t="str">
        <f>"77/77"</f>
        <v>77/77</v>
      </c>
      <c r="K8711" s="1" t="str">
        <f t="shared" si="429"/>
        <v>2026-07-29 13:18:11</v>
      </c>
      <c r="L8711" s="1" t="str">
        <f>"2019-11-06 11:13:04"</f>
        <v>2019-11-06 11:13:04</v>
      </c>
      <c r="M8711" s="1" t="s">
        <v>1</v>
      </c>
      <c r="N8711" s="1" t="s">
        <v>38</v>
      </c>
      <c r="O8711" s="1" t="s">
        <v>46</v>
      </c>
    </row>
    <row r="8712" spans="2:15" x14ac:dyDescent="0.3">
      <c r="B8712" s="1" t="s">
        <v>21</v>
      </c>
      <c r="C8712" s="1" t="str">
        <f t="shared" si="431"/>
        <v>4차</v>
      </c>
      <c r="D8712" s="1" t="str">
        <f>"9628W34144"</f>
        <v>9628W34144</v>
      </c>
      <c r="E8712" s="1" t="s">
        <v>10</v>
      </c>
      <c r="F8712" s="1" t="str">
        <f>"10.10.102.242"</f>
        <v>10.10.102.242</v>
      </c>
      <c r="G8712" s="1" t="str">
        <f>"9628W341"</f>
        <v>9628W341</v>
      </c>
      <c r="H8712" s="1" t="str">
        <f>"갈색지 41R16R5R3"</f>
        <v>갈색지 41R16R5R3</v>
      </c>
      <c r="I8712" s="1" t="s">
        <v>8</v>
      </c>
      <c r="J8712" s="1" t="str">
        <f>"34/34"</f>
        <v>34/34</v>
      </c>
      <c r="K8712" s="1" t="str">
        <f t="shared" si="429"/>
        <v>2026-07-29 13:18:11</v>
      </c>
      <c r="L8712" s="1" t="str">
        <f>"2019-11-04 14:43:05"</f>
        <v>2019-11-04 14:43:05</v>
      </c>
      <c r="M8712" s="1" t="s">
        <v>1</v>
      </c>
      <c r="N8712" s="1" t="s">
        <v>38</v>
      </c>
      <c r="O8712" s="1" t="s">
        <v>46</v>
      </c>
    </row>
    <row r="8713" spans="2:15" x14ac:dyDescent="0.3">
      <c r="B8713" s="1" t="s">
        <v>21</v>
      </c>
      <c r="C8713" s="1" t="str">
        <f t="shared" si="431"/>
        <v>4차</v>
      </c>
      <c r="D8713" s="1" t="str">
        <f>"9628W34244"</f>
        <v>9628W34244</v>
      </c>
      <c r="E8713" s="1" t="s">
        <v>10</v>
      </c>
      <c r="F8713" s="1" t="str">
        <f>"10.10.104.10"</f>
        <v>10.10.104.10</v>
      </c>
      <c r="G8713" s="1" t="str">
        <f>"9628W342"</f>
        <v>9628W342</v>
      </c>
      <c r="H8713" s="1" t="str">
        <f>"갈색지 41R16R5R2"</f>
        <v>갈색지 41R16R5R2</v>
      </c>
      <c r="I8713" s="1" t="s">
        <v>8</v>
      </c>
      <c r="J8713" s="1" t="str">
        <f>"68/70"</f>
        <v>68/70</v>
      </c>
      <c r="K8713" s="1" t="str">
        <f t="shared" si="429"/>
        <v>2026-07-29 13:18:11</v>
      </c>
      <c r="L8713" s="1" t="str">
        <f>"2019-11-04 15:41:57"</f>
        <v>2019-11-04 15:41:57</v>
      </c>
      <c r="M8713" s="1" t="s">
        <v>1</v>
      </c>
      <c r="N8713" s="1" t="s">
        <v>38</v>
      </c>
      <c r="O8713" s="1" t="s">
        <v>46</v>
      </c>
    </row>
    <row r="8714" spans="2:15" x14ac:dyDescent="0.3">
      <c r="B8714" s="1" t="s">
        <v>21</v>
      </c>
      <c r="C8714" s="1" t="str">
        <f t="shared" si="431"/>
        <v>4차</v>
      </c>
      <c r="D8714" s="1" t="str">
        <f>"9628W35144"</f>
        <v>9628W35144</v>
      </c>
      <c r="E8714" s="1" t="s">
        <v>10</v>
      </c>
      <c r="F8714" s="1" t="str">
        <f>"10.10.99.122"</f>
        <v>10.10.99.122</v>
      </c>
      <c r="G8714" s="1" t="str">
        <f>"9628W351"</f>
        <v>9628W351</v>
      </c>
      <c r="H8714" s="1" t="str">
        <f>"갈색지 41R7R6"</f>
        <v>갈색지 41R7R6</v>
      </c>
      <c r="I8714" s="1" t="s">
        <v>8</v>
      </c>
      <c r="J8714" s="1" t="str">
        <f>"67/71"</f>
        <v>67/71</v>
      </c>
      <c r="K8714" s="1" t="str">
        <f t="shared" si="429"/>
        <v>2026-07-29 13:18:11</v>
      </c>
      <c r="L8714" s="1" t="str">
        <f>"2019-10-24 12:53:27"</f>
        <v>2019-10-24 12:53:27</v>
      </c>
      <c r="M8714" s="1" t="s">
        <v>1</v>
      </c>
      <c r="N8714" s="1" t="s">
        <v>38</v>
      </c>
      <c r="O8714" s="1" t="s">
        <v>46</v>
      </c>
    </row>
    <row r="8715" spans="2:15" x14ac:dyDescent="0.3">
      <c r="B8715" s="1" t="s">
        <v>21</v>
      </c>
      <c r="C8715" s="1" t="str">
        <f>"3차"</f>
        <v>3차</v>
      </c>
      <c r="D8715" s="1" t="str">
        <f>"9628W37139"</f>
        <v>9628W37139</v>
      </c>
      <c r="E8715" s="1" t="s">
        <v>10</v>
      </c>
      <c r="F8715" s="1" t="str">
        <f>"10.128.3.15"</f>
        <v>10.128.3.15</v>
      </c>
      <c r="G8715" s="1" t="str">
        <f>"9628W371"</f>
        <v>9628W371</v>
      </c>
      <c r="H8715" s="1" t="str">
        <f>"갈색지 41R7R2R1"</f>
        <v>갈색지 41R7R2R1</v>
      </c>
      <c r="I8715" s="1" t="s">
        <v>8</v>
      </c>
      <c r="J8715" s="1" t="str">
        <f>"61/61"</f>
        <v>61/61</v>
      </c>
      <c r="K8715" s="1" t="str">
        <f t="shared" si="429"/>
        <v>2026-07-29 13:18:11</v>
      </c>
      <c r="L8715" s="1" t="str">
        <f>"2018-01-06 17:35:13"</f>
        <v>2018-01-06 17:35:13</v>
      </c>
      <c r="M8715" s="1" t="s">
        <v>45</v>
      </c>
      <c r="N8715" s="1" t="s">
        <v>38</v>
      </c>
      <c r="O8715" s="1" t="s">
        <v>46</v>
      </c>
    </row>
    <row r="8716" spans="2:15" x14ac:dyDescent="0.3">
      <c r="B8716" s="1" t="s">
        <v>21</v>
      </c>
      <c r="C8716" s="1" t="str">
        <f>"4차"</f>
        <v>4차</v>
      </c>
      <c r="D8716" s="1" t="str">
        <f>"9628W38139"</f>
        <v>9628W38139</v>
      </c>
      <c r="E8716" s="1" t="s">
        <v>10</v>
      </c>
      <c r="F8716" s="1" t="str">
        <f>"10.128.3.231"</f>
        <v>10.128.3.231</v>
      </c>
      <c r="G8716" s="1" t="str">
        <f>"9628W381"</f>
        <v>9628W381</v>
      </c>
      <c r="H8716" s="1" t="str">
        <f>"역말간 39L6"</f>
        <v>역말간 39L6</v>
      </c>
      <c r="I8716" s="1" t="s">
        <v>8</v>
      </c>
      <c r="J8716" s="1" t="str">
        <f>"18/18"</f>
        <v>18/18</v>
      </c>
      <c r="K8716" s="1" t="str">
        <f t="shared" si="429"/>
        <v>2026-07-29 13:18:11</v>
      </c>
      <c r="L8716" s="1" t="str">
        <f>"2018-02-01 14:34:01"</f>
        <v>2018-02-01 14:34:01</v>
      </c>
      <c r="M8716" s="1" t="s">
        <v>45</v>
      </c>
      <c r="N8716" s="1" t="s">
        <v>38</v>
      </c>
      <c r="O8716" s="1" t="s">
        <v>46</v>
      </c>
    </row>
    <row r="8717" spans="2:15" x14ac:dyDescent="0.3">
      <c r="B8717" s="1" t="s">
        <v>21</v>
      </c>
      <c r="C8717" s="1" t="str">
        <f>"4차"</f>
        <v>4차</v>
      </c>
      <c r="D8717" s="1" t="str">
        <f>"9628W41144"</f>
        <v>9628W41144</v>
      </c>
      <c r="E8717" s="1" t="s">
        <v>10</v>
      </c>
      <c r="F8717" s="1" t="str">
        <f>"10.10.76.210"</f>
        <v>10.10.76.210</v>
      </c>
      <c r="G8717" s="1" t="str">
        <f>"9628W411"</f>
        <v>9628W411</v>
      </c>
      <c r="H8717" s="1" t="str">
        <f>"갈색지 41R29"</f>
        <v>갈색지 41R29</v>
      </c>
      <c r="I8717" s="1" t="s">
        <v>8</v>
      </c>
      <c r="J8717" s="1" t="str">
        <f>"49/49"</f>
        <v>49/49</v>
      </c>
      <c r="K8717" s="1" t="str">
        <f t="shared" si="429"/>
        <v>2026-07-29 13:18:11</v>
      </c>
      <c r="L8717" s="1" t="str">
        <f>"2019-12-11 18:15:58"</f>
        <v>2019-12-11 18:15:58</v>
      </c>
      <c r="M8717" s="1" t="s">
        <v>1</v>
      </c>
      <c r="N8717" s="1" t="s">
        <v>38</v>
      </c>
      <c r="O8717" s="1" t="s">
        <v>46</v>
      </c>
    </row>
    <row r="8718" spans="2:15" x14ac:dyDescent="0.3">
      <c r="B8718" s="1" t="s">
        <v>21</v>
      </c>
      <c r="C8718" s="1" t="str">
        <f>"4차"</f>
        <v>4차</v>
      </c>
      <c r="D8718" s="1" t="str">
        <f>"9628W43144"</f>
        <v>9628W43144</v>
      </c>
      <c r="E8718" s="1" t="s">
        <v>10</v>
      </c>
      <c r="F8718" s="1" t="str">
        <f>"10.10.76.178"</f>
        <v>10.10.76.178</v>
      </c>
      <c r="G8718" s="1" t="str">
        <f>"9628W431"</f>
        <v>9628W431</v>
      </c>
      <c r="H8718" s="1" t="str">
        <f>"갈색지 41R16R7"</f>
        <v>갈색지 41R16R7</v>
      </c>
      <c r="I8718" s="1" t="s">
        <v>8</v>
      </c>
      <c r="J8718" s="1" t="str">
        <f>"82/83"</f>
        <v>82/83</v>
      </c>
      <c r="K8718" s="1" t="str">
        <f t="shared" si="429"/>
        <v>2026-07-29 13:18:11</v>
      </c>
      <c r="L8718" s="1" t="str">
        <f>"2019-11-04 14:33:05"</f>
        <v>2019-11-04 14:33:05</v>
      </c>
      <c r="M8718" s="1" t="s">
        <v>1</v>
      </c>
      <c r="N8718" s="1" t="s">
        <v>38</v>
      </c>
      <c r="O8718" s="1" t="s">
        <v>46</v>
      </c>
    </row>
    <row r="8719" spans="2:15" x14ac:dyDescent="0.3">
      <c r="B8719" s="1" t="s">
        <v>21</v>
      </c>
      <c r="C8719" s="1" t="str">
        <f>"3차"</f>
        <v>3차</v>
      </c>
      <c r="D8719" s="1" t="str">
        <f>"9628W43239"</f>
        <v>9628W43239</v>
      </c>
      <c r="E8719" s="1" t="s">
        <v>10</v>
      </c>
      <c r="F8719" s="1" t="str">
        <f>"10.128.68.130"</f>
        <v>10.128.68.130</v>
      </c>
      <c r="G8719" s="1" t="str">
        <f>"9628W432"</f>
        <v>9628W432</v>
      </c>
      <c r="H8719" s="1" t="str">
        <f>"갈색지 41R16R8"</f>
        <v>갈색지 41R16R8</v>
      </c>
      <c r="I8719" s="1" t="s">
        <v>8</v>
      </c>
      <c r="J8719" s="1" t="str">
        <f>"71/72"</f>
        <v>71/72</v>
      </c>
      <c r="K8719" s="1" t="str">
        <f t="shared" si="429"/>
        <v>2026-07-29 13:18:11</v>
      </c>
      <c r="L8719" s="1" t="str">
        <f>"2018-09-28 17:31:00"</f>
        <v>2018-09-28 17:31:00</v>
      </c>
      <c r="M8719" s="1" t="s">
        <v>45</v>
      </c>
      <c r="N8719" s="1" t="s">
        <v>38</v>
      </c>
      <c r="O8719" s="1" t="s">
        <v>46</v>
      </c>
    </row>
    <row r="8720" spans="2:15" x14ac:dyDescent="0.3">
      <c r="B8720" s="1" t="s">
        <v>21</v>
      </c>
      <c r="C8720" s="1" t="str">
        <f>"4차"</f>
        <v>4차</v>
      </c>
      <c r="D8720" s="1" t="str">
        <f>"9628W44244"</f>
        <v>9628W44244</v>
      </c>
      <c r="E8720" s="1" t="s">
        <v>10</v>
      </c>
      <c r="F8720" s="1" t="str">
        <f>"10.10.104.34"</f>
        <v>10.10.104.34</v>
      </c>
      <c r="G8720" s="1" t="str">
        <f>"9628W442"</f>
        <v>9628W442</v>
      </c>
      <c r="H8720" s="1" t="str">
        <f>"갈색지 41R16R5"</f>
        <v>갈색지 41R16R5</v>
      </c>
      <c r="I8720" s="1" t="s">
        <v>8</v>
      </c>
      <c r="J8720" s="1" t="str">
        <f>"60/73"</f>
        <v>60/73</v>
      </c>
      <c r="K8720" s="1" t="str">
        <f t="shared" si="429"/>
        <v>2026-07-29 13:18:11</v>
      </c>
      <c r="L8720" s="1" t="str">
        <f>"2019-11-04 16:16:14"</f>
        <v>2019-11-04 16:16:14</v>
      </c>
      <c r="M8720" s="1" t="s">
        <v>1</v>
      </c>
      <c r="N8720" s="1" t="s">
        <v>38</v>
      </c>
      <c r="O8720" s="1" t="s">
        <v>46</v>
      </c>
    </row>
    <row r="8721" spans="2:15" x14ac:dyDescent="0.3">
      <c r="B8721" s="1" t="s">
        <v>21</v>
      </c>
      <c r="C8721" s="1" t="str">
        <f>"3차"</f>
        <v>3차</v>
      </c>
      <c r="D8721" s="1" t="str">
        <f>"9628W46139"</f>
        <v>9628W46139</v>
      </c>
      <c r="E8721" s="1" t="s">
        <v>10</v>
      </c>
      <c r="F8721" s="1" t="str">
        <f>"10.128.4.63"</f>
        <v>10.128.4.63</v>
      </c>
      <c r="G8721" s="1" t="str">
        <f>"9628W461"</f>
        <v>9628W461</v>
      </c>
      <c r="H8721" s="1" t="str">
        <f>"갈색지 41R7R4"</f>
        <v>갈색지 41R7R4</v>
      </c>
      <c r="I8721" s="1" t="s">
        <v>8</v>
      </c>
      <c r="J8721" s="1" t="str">
        <f>"43/43"</f>
        <v>43/43</v>
      </c>
      <c r="K8721" s="1" t="str">
        <f t="shared" si="429"/>
        <v>2026-07-29 13:18:11</v>
      </c>
      <c r="L8721" s="1" t="str">
        <f>"2018-03-30 18:12:14"</f>
        <v>2018-03-30 18:12:14</v>
      </c>
      <c r="M8721" s="1" t="s">
        <v>45</v>
      </c>
      <c r="N8721" s="1" t="s">
        <v>38</v>
      </c>
      <c r="O8721" s="1" t="s">
        <v>46</v>
      </c>
    </row>
    <row r="8722" spans="2:15" x14ac:dyDescent="0.3">
      <c r="B8722" s="1" t="s">
        <v>21</v>
      </c>
      <c r="C8722" s="1" t="str">
        <f>"6차"</f>
        <v>6차</v>
      </c>
      <c r="D8722" s="1" t="str">
        <f>"9628W4716S"</f>
        <v>9628W4716S</v>
      </c>
      <c r="E8722" s="1" t="s">
        <v>10</v>
      </c>
      <c r="F8722" s="1" t="str">
        <f>"fde1:103:4:c784:0:0:0:2"</f>
        <v>fde1:103:4:c784:0:0:0:2</v>
      </c>
      <c r="G8722" s="1" t="str">
        <f>"9628W471"</f>
        <v>9628W471</v>
      </c>
      <c r="H8722" s="1" t="str">
        <f>"갈색지 41R7R2"</f>
        <v>갈색지 41R7R2</v>
      </c>
      <c r="I8722" s="1" t="s">
        <v>15</v>
      </c>
      <c r="J8722" s="1" t="str">
        <f>"104/121"</f>
        <v>104/121</v>
      </c>
      <c r="K8722" s="1" t="str">
        <f>"2026-07-29 14:21:53"</f>
        <v>2026-07-29 14:21:53</v>
      </c>
      <c r="L8722" s="1" t="str">
        <f>"2024-12-05 11:45:55"</f>
        <v>2024-12-05 11:45:55</v>
      </c>
      <c r="M8722" s="1" t="s">
        <v>4</v>
      </c>
      <c r="N8722" s="1" t="s">
        <v>38</v>
      </c>
      <c r="O8722" s="1" t="s">
        <v>46</v>
      </c>
    </row>
    <row r="8723" spans="2:15" x14ac:dyDescent="0.3">
      <c r="B8723" s="1" t="s">
        <v>21</v>
      </c>
      <c r="C8723" s="1" t="str">
        <f>"3차"</f>
        <v>3차</v>
      </c>
      <c r="D8723" s="1" t="str">
        <f>"9628W48139"</f>
        <v>9628W48139</v>
      </c>
      <c r="E8723" s="1" t="s">
        <v>10</v>
      </c>
      <c r="F8723" s="1" t="str">
        <f>"10.128.3.216"</f>
        <v>10.128.3.216</v>
      </c>
      <c r="G8723" s="1" t="str">
        <f>"9628W481"</f>
        <v>9628W481</v>
      </c>
      <c r="H8723" s="1" t="str">
        <f>"역말간 39L5"</f>
        <v>역말간 39L5</v>
      </c>
      <c r="I8723" s="1" t="s">
        <v>8</v>
      </c>
      <c r="J8723" s="1" t="str">
        <f>"13/13"</f>
        <v>13/13</v>
      </c>
      <c r="K8723" s="1" t="str">
        <f>"2026-07-29 13:18:11"</f>
        <v>2026-07-29 13:18:11</v>
      </c>
      <c r="L8723" s="1" t="str">
        <f>"2018-01-29 17:06:17"</f>
        <v>2018-01-29 17:06:17</v>
      </c>
      <c r="M8723" s="1" t="s">
        <v>45</v>
      </c>
      <c r="N8723" s="1" t="s">
        <v>38</v>
      </c>
      <c r="O8723" s="1" t="s">
        <v>46</v>
      </c>
    </row>
    <row r="8724" spans="2:15" x14ac:dyDescent="0.3">
      <c r="B8724" s="1" t="s">
        <v>21</v>
      </c>
      <c r="C8724" s="1" t="str">
        <f>"3차"</f>
        <v>3차</v>
      </c>
      <c r="D8724" s="1" t="str">
        <f>"9628W48239"</f>
        <v>9628W48239</v>
      </c>
      <c r="E8724" s="1" t="s">
        <v>10</v>
      </c>
      <c r="F8724" s="1" t="str">
        <f>"10.128.4.61"</f>
        <v>10.128.4.61</v>
      </c>
      <c r="G8724" s="1" t="str">
        <f>"9628W482"</f>
        <v>9628W482</v>
      </c>
      <c r="H8724" s="1" t="str">
        <f>"갈색지 37R6R1"</f>
        <v>갈색지 37R6R1</v>
      </c>
      <c r="I8724" s="1" t="s">
        <v>8</v>
      </c>
      <c r="J8724" s="1" t="str">
        <f>"21/21"</f>
        <v>21/21</v>
      </c>
      <c r="K8724" s="1" t="str">
        <f>"2026-07-29 13:18:11"</f>
        <v>2026-07-29 13:18:11</v>
      </c>
      <c r="L8724" s="1" t="str">
        <f>"2018-03-26 19:16:43"</f>
        <v>2018-03-26 19:16:43</v>
      </c>
      <c r="M8724" s="1" t="s">
        <v>45</v>
      </c>
      <c r="N8724" s="1" t="s">
        <v>38</v>
      </c>
      <c r="O8724" s="1" t="s">
        <v>46</v>
      </c>
    </row>
    <row r="8725" spans="2:15" x14ac:dyDescent="0.3">
      <c r="B8725" s="1" t="s">
        <v>21</v>
      </c>
      <c r="C8725" s="1" t="str">
        <f>"3차"</f>
        <v>3차</v>
      </c>
      <c r="D8725" s="1" t="str">
        <f>"9628W48339"</f>
        <v>9628W48339</v>
      </c>
      <c r="E8725" s="1" t="s">
        <v>10</v>
      </c>
      <c r="F8725" s="1" t="str">
        <f>"10.128.3.13"</f>
        <v>10.128.3.13</v>
      </c>
      <c r="G8725" s="1" t="str">
        <f>"9628W483"</f>
        <v>9628W483</v>
      </c>
      <c r="H8725" s="1" t="str">
        <f>"갈색지 41R7"</f>
        <v>갈색지 41R7</v>
      </c>
      <c r="I8725" s="1" t="s">
        <v>8</v>
      </c>
      <c r="J8725" s="1" t="str">
        <f>"3/3"</f>
        <v>3/3</v>
      </c>
      <c r="K8725" s="1" t="str">
        <f>"2026-07-29 13:18:11"</f>
        <v>2026-07-29 13:18:11</v>
      </c>
      <c r="L8725" s="1" t="str">
        <f>"2018-01-17 17:36:58"</f>
        <v>2018-01-17 17:36:58</v>
      </c>
      <c r="M8725" s="1" t="s">
        <v>45</v>
      </c>
      <c r="N8725" s="1" t="s">
        <v>38</v>
      </c>
      <c r="O8725" s="1" t="s">
        <v>46</v>
      </c>
    </row>
    <row r="8726" spans="2:15" x14ac:dyDescent="0.3">
      <c r="B8726" s="1" t="s">
        <v>21</v>
      </c>
      <c r="C8726" s="1" t="str">
        <f>"3차"</f>
        <v>3차</v>
      </c>
      <c r="D8726" s="1" t="str">
        <f>"9628W49139"</f>
        <v>9628W49139</v>
      </c>
      <c r="E8726" s="1" t="s">
        <v>10</v>
      </c>
      <c r="F8726" s="1" t="str">
        <f>"10.128.3.217"</f>
        <v>10.128.3.217</v>
      </c>
      <c r="G8726" s="1" t="str">
        <f>"9628W491"</f>
        <v>9628W491</v>
      </c>
      <c r="H8726" s="1" t="str">
        <f>"역말간 39L5R1"</f>
        <v>역말간 39L5R1</v>
      </c>
      <c r="I8726" s="1" t="s">
        <v>8</v>
      </c>
      <c r="J8726" s="1" t="str">
        <f>"43/44"</f>
        <v>43/44</v>
      </c>
      <c r="K8726" s="1" t="str">
        <f>"2026-07-29 13:18:11"</f>
        <v>2026-07-29 13:18:11</v>
      </c>
      <c r="L8726" s="1" t="str">
        <f>"2018-01-31 19:55:15"</f>
        <v>2018-01-31 19:55:15</v>
      </c>
      <c r="M8726" s="1" t="s">
        <v>45</v>
      </c>
      <c r="N8726" s="1" t="s">
        <v>38</v>
      </c>
      <c r="O8726" s="1" t="s">
        <v>46</v>
      </c>
    </row>
    <row r="8727" spans="2:15" x14ac:dyDescent="0.3">
      <c r="B8727" s="1" t="s">
        <v>21</v>
      </c>
      <c r="C8727" s="1" t="str">
        <f>"6차"</f>
        <v>6차</v>
      </c>
      <c r="D8727" s="1" t="str">
        <f>"9628W5016S"</f>
        <v>9628W5016S</v>
      </c>
      <c r="E8727" s="1" t="s">
        <v>10</v>
      </c>
      <c r="F8727" s="1" t="str">
        <f>"fde1:103:4:933b:0:0:0:2"</f>
        <v>fde1:103:4:933b:0:0:0:2</v>
      </c>
      <c r="G8727" s="1" t="str">
        <f>"9628W501"</f>
        <v>9628W501</v>
      </c>
      <c r="H8727" s="1" t="str">
        <f>"갈색지 41R27L2"</f>
        <v>갈색지 41R27L2</v>
      </c>
      <c r="I8727" s="1" t="s">
        <v>15</v>
      </c>
      <c r="J8727" s="1" t="str">
        <f>"80/80"</f>
        <v>80/80</v>
      </c>
      <c r="K8727" s="1" t="str">
        <f>"2026-07-29 14:21:58"</f>
        <v>2026-07-29 14:21:58</v>
      </c>
      <c r="L8727" s="1" t="str">
        <f>"2025-01-21 10:44:21"</f>
        <v>2025-01-21 10:44:21</v>
      </c>
      <c r="M8727" s="1" t="s">
        <v>4</v>
      </c>
      <c r="N8727" s="1" t="s">
        <v>38</v>
      </c>
      <c r="O8727" s="1" t="s">
        <v>46</v>
      </c>
    </row>
    <row r="8728" spans="2:15" x14ac:dyDescent="0.3">
      <c r="B8728" s="1" t="s">
        <v>21</v>
      </c>
      <c r="C8728" s="1" t="str">
        <f>"1차"</f>
        <v>1차</v>
      </c>
      <c r="D8728" s="1" t="str">
        <f>"9628W50200"</f>
        <v>9628W50200</v>
      </c>
      <c r="E8728" s="1" t="s">
        <v>10</v>
      </c>
      <c r="F8728" s="1" t="str">
        <f>"10.128.1.22"</f>
        <v>10.128.1.22</v>
      </c>
      <c r="G8728" s="1" t="str">
        <f>"9628W502"</f>
        <v>9628W502</v>
      </c>
      <c r="H8728" s="1" t="str">
        <f>"갈색지 41R27L1"</f>
        <v>갈색지 41R27L1</v>
      </c>
      <c r="I8728" s="1" t="s">
        <v>8</v>
      </c>
      <c r="J8728" s="1" t="str">
        <f>"41/46"</f>
        <v>41/46</v>
      </c>
      <c r="K8728" s="1" t="str">
        <f>"2026-07-29 13:18:11"</f>
        <v>2026-07-29 13:18:11</v>
      </c>
      <c r="L8728" s="1" t="str">
        <f>"2014-10-31 16:03:15"</f>
        <v>2014-10-31 16:03:15</v>
      </c>
      <c r="M8728" s="1" t="s">
        <v>45</v>
      </c>
      <c r="N8728" s="1" t="s">
        <v>38</v>
      </c>
      <c r="O8728" s="1" t="s">
        <v>46</v>
      </c>
    </row>
    <row r="8729" spans="2:15" x14ac:dyDescent="0.3">
      <c r="B8729" s="1" t="s">
        <v>21</v>
      </c>
      <c r="C8729" s="1" t="str">
        <f>"4차"</f>
        <v>4차</v>
      </c>
      <c r="D8729" s="1" t="str">
        <f>"9628W52242"</f>
        <v>9628W52242</v>
      </c>
      <c r="E8729" s="1" t="s">
        <v>10</v>
      </c>
      <c r="F8729" s="1" t="str">
        <f>"10.12.135.59"</f>
        <v>10.12.135.59</v>
      </c>
      <c r="G8729" s="1" t="str">
        <f>"9628W522"</f>
        <v>9628W522</v>
      </c>
      <c r="H8729" s="1" t="str">
        <f>"갈색지 41R21R5"</f>
        <v>갈색지 41R21R5</v>
      </c>
      <c r="I8729" s="1" t="s">
        <v>8</v>
      </c>
      <c r="J8729" s="1" t="str">
        <f>"58/58"</f>
        <v>58/58</v>
      </c>
      <c r="K8729" s="1" t="str">
        <f>"2026-07-29 13:18:11"</f>
        <v>2026-07-29 13:18:11</v>
      </c>
      <c r="L8729" s="1" t="str">
        <f>"2026-05-29 09:06:33"</f>
        <v>2026-05-29 09:06:33</v>
      </c>
      <c r="M8729" s="1" t="s">
        <v>0</v>
      </c>
      <c r="N8729" s="1" t="s">
        <v>38</v>
      </c>
      <c r="O8729" s="1" t="s">
        <v>46</v>
      </c>
    </row>
    <row r="8730" spans="2:15" x14ac:dyDescent="0.3">
      <c r="B8730" s="1" t="s">
        <v>21</v>
      </c>
      <c r="C8730" s="1" t="str">
        <f>"4차"</f>
        <v>4차</v>
      </c>
      <c r="D8730" s="1" t="str">
        <f>"9628W53144"</f>
        <v>9628W53144</v>
      </c>
      <c r="E8730" s="1" t="s">
        <v>10</v>
      </c>
      <c r="F8730" s="1" t="str">
        <f>"10.10.102.226"</f>
        <v>10.10.102.226</v>
      </c>
      <c r="G8730" s="1" t="str">
        <f>"9628W531"</f>
        <v>9628W531</v>
      </c>
      <c r="H8730" s="1" t="str">
        <f>"갈색지 41R16R7L1"</f>
        <v>갈색지 41R16R7L1</v>
      </c>
      <c r="I8730" s="1" t="s">
        <v>8</v>
      </c>
      <c r="J8730" s="1" t="str">
        <f>"43/43"</f>
        <v>43/43</v>
      </c>
      <c r="K8730" s="1" t="str">
        <f>"2026-07-29 13:18:11"</f>
        <v>2026-07-29 13:18:11</v>
      </c>
      <c r="L8730" s="1" t="str">
        <f>"2019-11-06 11:18:26"</f>
        <v>2019-11-06 11:18:26</v>
      </c>
      <c r="M8730" s="1" t="s">
        <v>1</v>
      </c>
      <c r="N8730" s="1" t="s">
        <v>38</v>
      </c>
      <c r="O8730" s="1" t="s">
        <v>46</v>
      </c>
    </row>
    <row r="8731" spans="2:15" x14ac:dyDescent="0.3">
      <c r="B8731" s="1" t="s">
        <v>21</v>
      </c>
      <c r="C8731" s="1" t="str">
        <f>"4차"</f>
        <v>4차</v>
      </c>
      <c r="D8731" s="1" t="str">
        <f>"9628W54144"</f>
        <v>9628W54144</v>
      </c>
      <c r="E8731" s="1" t="s">
        <v>10</v>
      </c>
      <c r="F8731" s="1" t="str">
        <f>"10.10.76.162"</f>
        <v>10.10.76.162</v>
      </c>
      <c r="G8731" s="1" t="str">
        <f>"9628W541"</f>
        <v>9628W541</v>
      </c>
      <c r="H8731" s="1" t="str">
        <f>"갈색지 41R16R4"</f>
        <v>갈색지 41R16R4</v>
      </c>
      <c r="I8731" s="1" t="s">
        <v>8</v>
      </c>
      <c r="J8731" s="1" t="str">
        <f>"66/66"</f>
        <v>66/66</v>
      </c>
      <c r="K8731" s="1" t="str">
        <f>"2026-07-29 13:18:11"</f>
        <v>2026-07-29 13:18:11</v>
      </c>
      <c r="L8731" s="1" t="str">
        <f>"2019-10-24 15:49:58"</f>
        <v>2019-10-24 15:49:58</v>
      </c>
      <c r="M8731" s="1" t="s">
        <v>1</v>
      </c>
      <c r="N8731" s="1" t="s">
        <v>38</v>
      </c>
      <c r="O8731" s="1" t="s">
        <v>46</v>
      </c>
    </row>
    <row r="8732" spans="2:15" x14ac:dyDescent="0.3">
      <c r="B8732" s="1" t="s">
        <v>21</v>
      </c>
      <c r="C8732" s="1" t="str">
        <f>"6차"</f>
        <v>6차</v>
      </c>
      <c r="D8732" s="1" t="str">
        <f>"9628W5616S"</f>
        <v>9628W5616S</v>
      </c>
      <c r="E8732" s="1" t="s">
        <v>10</v>
      </c>
      <c r="F8732" s="1" t="str">
        <f>"fde1:103:4:c7c6:0:0:0:2"</f>
        <v>fde1:103:4:c7c6:0:0:0:2</v>
      </c>
      <c r="G8732" s="1" t="str">
        <f>"9628W561"</f>
        <v>9628W561</v>
      </c>
      <c r="H8732" s="1" t="str">
        <f>"갈색지 41R7R5L1"</f>
        <v>갈색지 41R7R5L1</v>
      </c>
      <c r="I8732" s="1" t="s">
        <v>15</v>
      </c>
      <c r="J8732" s="1" t="str">
        <f>"27/27"</f>
        <v>27/27</v>
      </c>
      <c r="K8732" s="1" t="str">
        <f>"2026-07-29 14:21:02"</f>
        <v>2026-07-29 14:21:02</v>
      </c>
      <c r="L8732" s="1" t="str">
        <f>"2024-12-05 11:33:42"</f>
        <v>2024-12-05 11:33:42</v>
      </c>
      <c r="M8732" s="1" t="s">
        <v>4</v>
      </c>
      <c r="N8732" s="1" t="s">
        <v>38</v>
      </c>
      <c r="O8732" s="1" t="s">
        <v>46</v>
      </c>
    </row>
    <row r="8733" spans="2:15" x14ac:dyDescent="0.3">
      <c r="B8733" s="1" t="s">
        <v>21</v>
      </c>
      <c r="C8733" s="1" t="str">
        <f>"3차"</f>
        <v>3차</v>
      </c>
      <c r="D8733" s="1" t="str">
        <f>"9628W57239"</f>
        <v>9628W57239</v>
      </c>
      <c r="E8733" s="1" t="s">
        <v>10</v>
      </c>
      <c r="F8733" s="1" t="str">
        <f>"10.128.74.115"</f>
        <v>10.128.74.115</v>
      </c>
      <c r="G8733" s="1" t="str">
        <f>"9628W572"</f>
        <v>9628W572</v>
      </c>
      <c r="H8733" s="1" t="str">
        <f>"갈색지 41R13R3"</f>
        <v>갈색지 41R13R3</v>
      </c>
      <c r="I8733" s="1" t="s">
        <v>8</v>
      </c>
      <c r="J8733" s="1" t="str">
        <f>"30/35"</f>
        <v>30/35</v>
      </c>
      <c r="K8733" s="1" t="str">
        <f t="shared" ref="K8733:K8753" si="432">"2026-07-29 13:18:11"</f>
        <v>2026-07-29 13:18:11</v>
      </c>
      <c r="L8733" s="1" t="str">
        <f>"2018-03-26 19:21:42"</f>
        <v>2018-03-26 19:21:42</v>
      </c>
      <c r="M8733" s="1" t="s">
        <v>45</v>
      </c>
      <c r="N8733" s="1" t="s">
        <v>38</v>
      </c>
      <c r="O8733" s="1" t="s">
        <v>46</v>
      </c>
    </row>
    <row r="8734" spans="2:15" x14ac:dyDescent="0.3">
      <c r="B8734" s="1" t="s">
        <v>21</v>
      </c>
      <c r="C8734" s="1" t="str">
        <f>"3차"</f>
        <v>3차</v>
      </c>
      <c r="D8734" s="1" t="str">
        <f>"9628W58239"</f>
        <v>9628W58239</v>
      </c>
      <c r="E8734" s="1" t="s">
        <v>10</v>
      </c>
      <c r="F8734" s="1" t="str">
        <f>"10.128.77.162"</f>
        <v>10.128.77.162</v>
      </c>
      <c r="G8734" s="1" t="str">
        <f>"9628W582"</f>
        <v>9628W582</v>
      </c>
      <c r="H8734" s="1" t="str">
        <f>"갈색지 41R8"</f>
        <v>갈색지 41R8</v>
      </c>
      <c r="I8734" s="1" t="s">
        <v>8</v>
      </c>
      <c r="J8734" s="1" t="str">
        <f>"35/35"</f>
        <v>35/35</v>
      </c>
      <c r="K8734" s="1" t="str">
        <f t="shared" si="432"/>
        <v>2026-07-29 13:18:11</v>
      </c>
      <c r="L8734" s="1" t="str">
        <f>"2018-01-06 16:56:48"</f>
        <v>2018-01-06 16:56:48</v>
      </c>
      <c r="M8734" s="1" t="s">
        <v>45</v>
      </c>
      <c r="N8734" s="1" t="s">
        <v>38</v>
      </c>
      <c r="O8734" s="1" t="s">
        <v>46</v>
      </c>
    </row>
    <row r="8735" spans="2:15" x14ac:dyDescent="0.3">
      <c r="B8735" s="1" t="s">
        <v>21</v>
      </c>
      <c r="C8735" s="1" t="str">
        <f>"3차"</f>
        <v>3차</v>
      </c>
      <c r="D8735" s="1" t="str">
        <f>"9628W59139"</f>
        <v>9628W59139</v>
      </c>
      <c r="E8735" s="1" t="s">
        <v>10</v>
      </c>
      <c r="F8735" s="1" t="str">
        <f>"10.128.3.218"</f>
        <v>10.128.3.218</v>
      </c>
      <c r="G8735" s="1" t="str">
        <f>"9628W591"</f>
        <v>9628W591</v>
      </c>
      <c r="H8735" s="1" t="str">
        <f>"역말간 39L5R1R2"</f>
        <v>역말간 39L5R1R2</v>
      </c>
      <c r="I8735" s="1" t="s">
        <v>8</v>
      </c>
      <c r="J8735" s="1" t="str">
        <f>"58/58"</f>
        <v>58/58</v>
      </c>
      <c r="K8735" s="1" t="str">
        <f t="shared" si="432"/>
        <v>2026-07-29 13:18:11</v>
      </c>
      <c r="L8735" s="1" t="str">
        <f>"2018-03-27 16:35:44"</f>
        <v>2018-03-27 16:35:44</v>
      </c>
      <c r="M8735" s="1" t="s">
        <v>45</v>
      </c>
      <c r="N8735" s="1" t="s">
        <v>38</v>
      </c>
      <c r="O8735" s="1" t="s">
        <v>46</v>
      </c>
    </row>
    <row r="8736" spans="2:15" x14ac:dyDescent="0.3">
      <c r="B8736" s="1" t="s">
        <v>21</v>
      </c>
      <c r="C8736" s="1" t="str">
        <f>"1차"</f>
        <v>1차</v>
      </c>
      <c r="D8736" s="1" t="str">
        <f>"9628W60100"</f>
        <v>9628W60100</v>
      </c>
      <c r="E8736" s="1" t="s">
        <v>14</v>
      </c>
      <c r="F8736" s="1" t="str">
        <f>"10.128.1.29"</f>
        <v>10.128.1.29</v>
      </c>
      <c r="G8736" s="1" t="str">
        <f>"9628W601"</f>
        <v>9628W601</v>
      </c>
      <c r="H8736" s="1" t="str">
        <f>"갈색지 41R25"</f>
        <v>갈색지 41R25</v>
      </c>
      <c r="I8736" s="1" t="s">
        <v>8</v>
      </c>
      <c r="J8736" s="1" t="str">
        <f>"0/0"</f>
        <v>0/0</v>
      </c>
      <c r="K8736" s="1" t="str">
        <f t="shared" si="432"/>
        <v>2026-07-29 13:18:11</v>
      </c>
      <c r="L8736" s="1" t="str">
        <f>"2014-12-18 15:23:41"</f>
        <v>2014-12-18 15:23:41</v>
      </c>
      <c r="M8736" s="1" t="s">
        <v>45</v>
      </c>
      <c r="N8736" s="1" t="s">
        <v>38</v>
      </c>
      <c r="O8736" s="1" t="s">
        <v>44</v>
      </c>
    </row>
    <row r="8737" spans="2:15" x14ac:dyDescent="0.3">
      <c r="B8737" s="1" t="s">
        <v>21</v>
      </c>
      <c r="C8737" s="1" t="str">
        <f>"1차"</f>
        <v>1차</v>
      </c>
      <c r="D8737" s="1" t="str">
        <f>"9628W62200"</f>
        <v>9628W62200</v>
      </c>
      <c r="E8737" s="1" t="s">
        <v>10</v>
      </c>
      <c r="F8737" s="1" t="str">
        <f>"10.128.74.130"</f>
        <v>10.128.74.130</v>
      </c>
      <c r="G8737" s="1" t="str">
        <f>"9628W622"</f>
        <v>9628W622</v>
      </c>
      <c r="H8737" s="1" t="str">
        <f>"갈색지 41R21R4"</f>
        <v>갈색지 41R21R4</v>
      </c>
      <c r="I8737" s="1" t="s">
        <v>8</v>
      </c>
      <c r="J8737" s="1" t="str">
        <f>"36/36"</f>
        <v>36/36</v>
      </c>
      <c r="K8737" s="1" t="str">
        <f t="shared" si="432"/>
        <v>2026-07-29 13:18:11</v>
      </c>
      <c r="L8737" s="1" t="str">
        <f>"2014-12-13 16:21:54"</f>
        <v>2014-12-13 16:21:54</v>
      </c>
      <c r="M8737" s="1" t="s">
        <v>45</v>
      </c>
      <c r="N8737" s="1" t="s">
        <v>38</v>
      </c>
      <c r="O8737" s="1" t="s">
        <v>46</v>
      </c>
    </row>
    <row r="8738" spans="2:15" x14ac:dyDescent="0.3">
      <c r="B8738" s="1" t="s">
        <v>21</v>
      </c>
      <c r="C8738" s="1" t="str">
        <f>"4차"</f>
        <v>4차</v>
      </c>
      <c r="D8738" s="1" t="str">
        <f>"9628W63144"</f>
        <v>9628W63144</v>
      </c>
      <c r="E8738" s="1" t="s">
        <v>10</v>
      </c>
      <c r="F8738" s="1" t="str">
        <f>"10.10.76.202"</f>
        <v>10.10.76.202</v>
      </c>
      <c r="G8738" s="1" t="str">
        <f>"9628W631"</f>
        <v>9628W631</v>
      </c>
      <c r="H8738" s="1" t="str">
        <f>"갈색지 41R16R7L3"</f>
        <v>갈색지 41R16R7L3</v>
      </c>
      <c r="I8738" s="1" t="s">
        <v>8</v>
      </c>
      <c r="J8738" s="1" t="str">
        <f>"61/61"</f>
        <v>61/61</v>
      </c>
      <c r="K8738" s="1" t="str">
        <f t="shared" si="432"/>
        <v>2026-07-29 13:18:11</v>
      </c>
      <c r="L8738" s="1" t="str">
        <f>"2019-10-24 13:15:42"</f>
        <v>2019-10-24 13:15:42</v>
      </c>
      <c r="M8738" s="1" t="s">
        <v>1</v>
      </c>
      <c r="N8738" s="1" t="s">
        <v>38</v>
      </c>
      <c r="O8738" s="1" t="s">
        <v>46</v>
      </c>
    </row>
    <row r="8739" spans="2:15" x14ac:dyDescent="0.3">
      <c r="B8739" s="1" t="s">
        <v>21</v>
      </c>
      <c r="C8739" s="1" t="str">
        <f>"4차"</f>
        <v>4차</v>
      </c>
      <c r="D8739" s="1" t="str">
        <f>"9628W63244"</f>
        <v>9628W63244</v>
      </c>
      <c r="E8739" s="1" t="s">
        <v>10</v>
      </c>
      <c r="F8739" s="1" t="str">
        <f>"10.10.119.178"</f>
        <v>10.10.119.178</v>
      </c>
      <c r="G8739" s="1" t="str">
        <f>"9628W632"</f>
        <v>9628W632</v>
      </c>
      <c r="H8739" s="1" t="str">
        <f>"갈색지 41R16R7L2"</f>
        <v>갈색지 41R16R7L2</v>
      </c>
      <c r="I8739" s="1" t="s">
        <v>8</v>
      </c>
      <c r="J8739" s="1" t="str">
        <f>"51/51"</f>
        <v>51/51</v>
      </c>
      <c r="K8739" s="1" t="str">
        <f t="shared" si="432"/>
        <v>2026-07-29 13:18:11</v>
      </c>
      <c r="L8739" s="1" t="str">
        <f>"2019-11-04 13:49:59"</f>
        <v>2019-11-04 13:49:59</v>
      </c>
      <c r="M8739" s="1" t="s">
        <v>1</v>
      </c>
      <c r="N8739" s="1" t="s">
        <v>38</v>
      </c>
      <c r="O8739" s="1" t="s">
        <v>46</v>
      </c>
    </row>
    <row r="8740" spans="2:15" x14ac:dyDescent="0.3">
      <c r="B8740" s="1" t="s">
        <v>21</v>
      </c>
      <c r="C8740" s="1" t="str">
        <f>"4차"</f>
        <v>4차</v>
      </c>
      <c r="D8740" s="1" t="str">
        <f>"9628W64144"</f>
        <v>9628W64144</v>
      </c>
      <c r="E8740" s="1" t="s">
        <v>10</v>
      </c>
      <c r="F8740" s="1" t="str">
        <f>"10.10.104.58"</f>
        <v>10.10.104.58</v>
      </c>
      <c r="G8740" s="1" t="str">
        <f>"9628W641"</f>
        <v>9628W641</v>
      </c>
      <c r="H8740" s="1" t="str">
        <f>"갈색지 41R16R3"</f>
        <v>갈색지 41R16R3</v>
      </c>
      <c r="I8740" s="1" t="s">
        <v>8</v>
      </c>
      <c r="J8740" s="1" t="str">
        <f>"53/53"</f>
        <v>53/53</v>
      </c>
      <c r="K8740" s="1" t="str">
        <f t="shared" si="432"/>
        <v>2026-07-29 13:18:11</v>
      </c>
      <c r="L8740" s="1" t="str">
        <f>"2019-11-04 14:53:05"</f>
        <v>2019-11-04 14:53:05</v>
      </c>
      <c r="M8740" s="1" t="s">
        <v>1</v>
      </c>
      <c r="N8740" s="1" t="s">
        <v>38</v>
      </c>
      <c r="O8740" s="1" t="s">
        <v>46</v>
      </c>
    </row>
    <row r="8741" spans="2:15" x14ac:dyDescent="0.3">
      <c r="B8741" s="1" t="s">
        <v>21</v>
      </c>
      <c r="C8741" s="1" t="str">
        <f>"1차"</f>
        <v>1차</v>
      </c>
      <c r="D8741" s="1" t="str">
        <f>"9628W66100"</f>
        <v>9628W66100</v>
      </c>
      <c r="E8741" s="1" t="s">
        <v>10</v>
      </c>
      <c r="F8741" s="1" t="str">
        <f>"10.128.0.62"</f>
        <v>10.128.0.62</v>
      </c>
      <c r="G8741" s="1" t="str">
        <f>"9628W661"</f>
        <v>9628W661</v>
      </c>
      <c r="H8741" s="1" t="str">
        <f>"갈색지 41R7R5L3"</f>
        <v>갈색지 41R7R5L3</v>
      </c>
      <c r="I8741" s="1" t="s">
        <v>8</v>
      </c>
      <c r="J8741" s="1" t="str">
        <f>"30/30"</f>
        <v>30/30</v>
      </c>
      <c r="K8741" s="1" t="str">
        <f t="shared" si="432"/>
        <v>2026-07-29 13:18:11</v>
      </c>
      <c r="L8741" s="1" t="str">
        <f>"2015-07-17 11:05:25"</f>
        <v>2015-07-17 11:05:25</v>
      </c>
      <c r="M8741" s="1" t="s">
        <v>45</v>
      </c>
      <c r="N8741" s="1" t="s">
        <v>38</v>
      </c>
      <c r="O8741" s="1" t="s">
        <v>46</v>
      </c>
    </row>
    <row r="8742" spans="2:15" x14ac:dyDescent="0.3">
      <c r="B8742" s="1" t="s">
        <v>21</v>
      </c>
      <c r="C8742" s="1" t="str">
        <f>"3차"</f>
        <v>3차</v>
      </c>
      <c r="D8742" s="1" t="str">
        <f>"9628W68139"</f>
        <v>9628W68139</v>
      </c>
      <c r="E8742" s="1" t="s">
        <v>10</v>
      </c>
      <c r="F8742" s="1" t="str">
        <f>"10.128.3.214"</f>
        <v>10.128.3.214</v>
      </c>
      <c r="G8742" s="1" t="str">
        <f>"9628W681"</f>
        <v>9628W681</v>
      </c>
      <c r="H8742" s="1" t="str">
        <f>"역말간 39L2"</f>
        <v>역말간 39L2</v>
      </c>
      <c r="I8742" s="1" t="s">
        <v>8</v>
      </c>
      <c r="J8742" s="1" t="str">
        <f>"14/14"</f>
        <v>14/14</v>
      </c>
      <c r="K8742" s="1" t="str">
        <f t="shared" si="432"/>
        <v>2026-07-29 13:18:11</v>
      </c>
      <c r="L8742" s="1" t="str">
        <f>"2018-01-29 16:50:26"</f>
        <v>2018-01-29 16:50:26</v>
      </c>
      <c r="M8742" s="1" t="s">
        <v>45</v>
      </c>
      <c r="N8742" s="1" t="s">
        <v>38</v>
      </c>
      <c r="O8742" s="1" t="s">
        <v>46</v>
      </c>
    </row>
    <row r="8743" spans="2:15" x14ac:dyDescent="0.3">
      <c r="B8743" s="1" t="s">
        <v>21</v>
      </c>
      <c r="C8743" s="1" t="str">
        <f>"4차"</f>
        <v>4차</v>
      </c>
      <c r="D8743" s="1" t="str">
        <f>"9628W68239"</f>
        <v>9628W68239</v>
      </c>
      <c r="E8743" s="1" t="s">
        <v>10</v>
      </c>
      <c r="F8743" s="1" t="str">
        <f>"10.128.3.215"</f>
        <v>10.128.3.215</v>
      </c>
      <c r="G8743" s="1" t="str">
        <f>"9628W682"</f>
        <v>9628W682</v>
      </c>
      <c r="H8743" s="1" t="str">
        <f>"역말간 39L3"</f>
        <v>역말간 39L3</v>
      </c>
      <c r="I8743" s="1" t="s">
        <v>8</v>
      </c>
      <c r="J8743" s="1" t="str">
        <f>"43/43"</f>
        <v>43/43</v>
      </c>
      <c r="K8743" s="1" t="str">
        <f t="shared" si="432"/>
        <v>2026-07-29 13:18:11</v>
      </c>
      <c r="L8743" s="1" t="str">
        <f>"2018-01-24 16:08:58"</f>
        <v>2018-01-24 16:08:58</v>
      </c>
      <c r="M8743" s="1" t="s">
        <v>45</v>
      </c>
      <c r="N8743" s="1" t="s">
        <v>38</v>
      </c>
      <c r="O8743" s="1" t="s">
        <v>46</v>
      </c>
    </row>
    <row r="8744" spans="2:15" x14ac:dyDescent="0.3">
      <c r="B8744" s="1" t="s">
        <v>21</v>
      </c>
      <c r="C8744" s="1" t="str">
        <f>"3차"</f>
        <v>3차</v>
      </c>
      <c r="D8744" s="1" t="str">
        <f>"9628W75239"</f>
        <v>9628W75239</v>
      </c>
      <c r="E8744" s="1" t="s">
        <v>10</v>
      </c>
      <c r="F8744" s="1" t="str">
        <f>"10.128.75.18"</f>
        <v>10.128.75.18</v>
      </c>
      <c r="G8744" s="1" t="str">
        <f>"9628W752"</f>
        <v>9628W752</v>
      </c>
      <c r="H8744" s="1" t="str">
        <f>"갈색지 41R16R2"</f>
        <v>갈색지 41R16R2</v>
      </c>
      <c r="I8744" s="1" t="s">
        <v>8</v>
      </c>
      <c r="J8744" s="1" t="str">
        <f>"31/39"</f>
        <v>31/39</v>
      </c>
      <c r="K8744" s="1" t="str">
        <f t="shared" si="432"/>
        <v>2026-07-29 13:18:11</v>
      </c>
      <c r="L8744" s="1" t="str">
        <f>"2018-04-21 09:00:09"</f>
        <v>2018-04-21 09:00:09</v>
      </c>
      <c r="M8744" s="1" t="s">
        <v>45</v>
      </c>
      <c r="N8744" s="1" t="s">
        <v>38</v>
      </c>
      <c r="O8744" s="1" t="s">
        <v>46</v>
      </c>
    </row>
    <row r="8745" spans="2:15" x14ac:dyDescent="0.3">
      <c r="B8745" s="1" t="s">
        <v>21</v>
      </c>
      <c r="C8745" s="1" t="str">
        <f>"3차"</f>
        <v>3차</v>
      </c>
      <c r="D8745" s="1" t="str">
        <f>"9628W76139"</f>
        <v>9628W76139</v>
      </c>
      <c r="E8745" s="1" t="s">
        <v>10</v>
      </c>
      <c r="F8745" s="1" t="str">
        <f>"10.128.74.118"</f>
        <v>10.128.74.118</v>
      </c>
      <c r="G8745" s="1" t="str">
        <f>"9628W761"</f>
        <v>9628W761</v>
      </c>
      <c r="H8745" s="1" t="str">
        <f>"갈색지 41R14"</f>
        <v>갈색지 41R14</v>
      </c>
      <c r="I8745" s="1" t="s">
        <v>8</v>
      </c>
      <c r="J8745" s="1" t="str">
        <f>"36/36"</f>
        <v>36/36</v>
      </c>
      <c r="K8745" s="1" t="str">
        <f t="shared" si="432"/>
        <v>2026-07-29 13:18:11</v>
      </c>
      <c r="L8745" s="1" t="str">
        <f>"2018-01-06 16:48:12"</f>
        <v>2018-01-06 16:48:12</v>
      </c>
      <c r="M8745" s="1" t="s">
        <v>45</v>
      </c>
      <c r="N8745" s="1" t="s">
        <v>38</v>
      </c>
      <c r="O8745" s="1" t="s">
        <v>46</v>
      </c>
    </row>
    <row r="8746" spans="2:15" x14ac:dyDescent="0.3">
      <c r="B8746" s="1" t="s">
        <v>21</v>
      </c>
      <c r="C8746" s="1" t="str">
        <f>"3차"</f>
        <v>3차</v>
      </c>
      <c r="D8746" s="1" t="str">
        <f>"9628W77139"</f>
        <v>9628W77139</v>
      </c>
      <c r="E8746" s="1" t="s">
        <v>10</v>
      </c>
      <c r="F8746" s="1" t="str">
        <f>"10.128.74.116"</f>
        <v>10.128.74.116</v>
      </c>
      <c r="G8746" s="1" t="str">
        <f>"9628W771"</f>
        <v>9628W771</v>
      </c>
      <c r="H8746" s="1" t="str">
        <f>"갈색지 41R13"</f>
        <v>갈색지 41R13</v>
      </c>
      <c r="I8746" s="1" t="s">
        <v>8</v>
      </c>
      <c r="J8746" s="1" t="str">
        <f>"16/24"</f>
        <v>16/24</v>
      </c>
      <c r="K8746" s="1" t="str">
        <f t="shared" si="432"/>
        <v>2026-07-29 13:18:11</v>
      </c>
      <c r="L8746" s="1" t="str">
        <f>"2018-01-06 17:31:15"</f>
        <v>2018-01-06 17:31:15</v>
      </c>
      <c r="M8746" s="1" t="s">
        <v>45</v>
      </c>
      <c r="N8746" s="1" t="s">
        <v>38</v>
      </c>
      <c r="O8746" s="1" t="s">
        <v>46</v>
      </c>
    </row>
    <row r="8747" spans="2:15" x14ac:dyDescent="0.3">
      <c r="B8747" s="1" t="s">
        <v>21</v>
      </c>
      <c r="C8747" s="1" t="str">
        <f>"4차"</f>
        <v>4차</v>
      </c>
      <c r="D8747" s="1" t="str">
        <f>"9628W77244"</f>
        <v>9628W77244</v>
      </c>
      <c r="E8747" s="1" t="s">
        <v>10</v>
      </c>
      <c r="F8747" s="1" t="str">
        <f>"10.10.76.146"</f>
        <v>10.10.76.146</v>
      </c>
      <c r="G8747" s="1" t="str">
        <f>"9628W772"</f>
        <v>9628W772</v>
      </c>
      <c r="H8747" s="1" t="str">
        <f>"갈색지 41R13R1"</f>
        <v>갈색지 41R13R1</v>
      </c>
      <c r="I8747" s="1" t="s">
        <v>8</v>
      </c>
      <c r="J8747" s="1" t="str">
        <f>"65/65"</f>
        <v>65/65</v>
      </c>
      <c r="K8747" s="1" t="str">
        <f t="shared" si="432"/>
        <v>2026-07-29 13:18:11</v>
      </c>
      <c r="L8747" s="1" t="str">
        <f>"2019-10-23 17:53:16"</f>
        <v>2019-10-23 17:53:16</v>
      </c>
      <c r="M8747" s="1" t="s">
        <v>1</v>
      </c>
      <c r="N8747" s="1" t="s">
        <v>38</v>
      </c>
      <c r="O8747" s="1" t="s">
        <v>46</v>
      </c>
    </row>
    <row r="8748" spans="2:15" x14ac:dyDescent="0.3">
      <c r="B8748" s="1" t="s">
        <v>21</v>
      </c>
      <c r="C8748" s="1" t="str">
        <f>"3차"</f>
        <v>3차</v>
      </c>
      <c r="D8748" s="1" t="str">
        <f>"9628W78139"</f>
        <v>9628W78139</v>
      </c>
      <c r="E8748" s="1" t="s">
        <v>10</v>
      </c>
      <c r="F8748" s="1" t="str">
        <f>"10.128.74.117"</f>
        <v>10.128.74.117</v>
      </c>
      <c r="G8748" s="1" t="str">
        <f>"9628W781"</f>
        <v>9628W781</v>
      </c>
      <c r="H8748" s="1" t="str">
        <f>"갈색지 41R12"</f>
        <v>갈색지 41R12</v>
      </c>
      <c r="I8748" s="1" t="s">
        <v>8</v>
      </c>
      <c r="J8748" s="1" t="str">
        <f>"19/21"</f>
        <v>19/21</v>
      </c>
      <c r="K8748" s="1" t="str">
        <f t="shared" si="432"/>
        <v>2026-07-29 13:18:11</v>
      </c>
      <c r="L8748" s="1" t="str">
        <f>"2018-01-10 11:15:27"</f>
        <v>2018-01-10 11:15:27</v>
      </c>
      <c r="M8748" s="1" t="s">
        <v>45</v>
      </c>
      <c r="N8748" s="1" t="s">
        <v>38</v>
      </c>
      <c r="O8748" s="1" t="s">
        <v>46</v>
      </c>
    </row>
    <row r="8749" spans="2:15" x14ac:dyDescent="0.3">
      <c r="B8749" s="1" t="s">
        <v>21</v>
      </c>
      <c r="C8749" s="1" t="str">
        <f>"1차"</f>
        <v>1차</v>
      </c>
      <c r="D8749" s="1" t="str">
        <f>"9628W79100"</f>
        <v>9628W79100</v>
      </c>
      <c r="E8749" s="1" t="s">
        <v>10</v>
      </c>
      <c r="F8749" s="1" t="str">
        <f>"10.128.2.167"</f>
        <v>10.128.2.167</v>
      </c>
      <c r="G8749" s="1" t="str">
        <f>"9628W791"</f>
        <v>9628W791</v>
      </c>
      <c r="H8749" s="1" t="str">
        <f>"역말간 39L1"</f>
        <v>역말간 39L1</v>
      </c>
      <c r="I8749" s="1" t="s">
        <v>8</v>
      </c>
      <c r="J8749" s="1" t="str">
        <f>"22/22"</f>
        <v>22/22</v>
      </c>
      <c r="K8749" s="1" t="str">
        <f t="shared" si="432"/>
        <v>2026-07-29 13:18:11</v>
      </c>
      <c r="L8749" s="1" t="str">
        <f>"2014-10-07 14:57:22"</f>
        <v>2014-10-07 14:57:22</v>
      </c>
      <c r="M8749" s="1" t="s">
        <v>45</v>
      </c>
      <c r="N8749" s="1" t="s">
        <v>38</v>
      </c>
      <c r="O8749" s="1" t="s">
        <v>46</v>
      </c>
    </row>
    <row r="8750" spans="2:15" x14ac:dyDescent="0.3">
      <c r="B8750" s="1" t="s">
        <v>21</v>
      </c>
      <c r="C8750" s="1" t="str">
        <f>"1차"</f>
        <v>1차</v>
      </c>
      <c r="D8750" s="1" t="str">
        <f>"9628W80100"</f>
        <v>9628W80100</v>
      </c>
      <c r="E8750" s="1" t="s">
        <v>10</v>
      </c>
      <c r="F8750" s="1" t="str">
        <f>"10.128.1.30"</f>
        <v>10.128.1.30</v>
      </c>
      <c r="G8750" s="1" t="str">
        <f>"9628W801"</f>
        <v>9628W801</v>
      </c>
      <c r="H8750" s="1" t="str">
        <f>"신사간 18R14L3"</f>
        <v>신사간 18R14L3</v>
      </c>
      <c r="I8750" s="1" t="s">
        <v>8</v>
      </c>
      <c r="J8750" s="1" t="str">
        <f>"35/35"</f>
        <v>35/35</v>
      </c>
      <c r="K8750" s="1" t="str">
        <f t="shared" si="432"/>
        <v>2026-07-29 13:18:11</v>
      </c>
      <c r="L8750" s="1" t="str">
        <f>"2014-10-16 00:13:33"</f>
        <v>2014-10-16 00:13:33</v>
      </c>
      <c r="M8750" s="1" t="s">
        <v>45</v>
      </c>
      <c r="N8750" s="1" t="s">
        <v>38</v>
      </c>
      <c r="O8750" s="1" t="s">
        <v>46</v>
      </c>
    </row>
    <row r="8751" spans="2:15" x14ac:dyDescent="0.3">
      <c r="B8751" s="1" t="s">
        <v>21</v>
      </c>
      <c r="C8751" s="1" t="str">
        <f>"4차"</f>
        <v>4차</v>
      </c>
      <c r="D8751" s="1" t="str">
        <f>"9628W82144"</f>
        <v>9628W82144</v>
      </c>
      <c r="E8751" s="1" t="s">
        <v>10</v>
      </c>
      <c r="F8751" s="1" t="str">
        <f>"10.128.74.146"</f>
        <v>10.128.74.146</v>
      </c>
      <c r="G8751" s="1" t="str">
        <f>"9628W821"</f>
        <v>9628W821</v>
      </c>
      <c r="H8751" s="1" t="str">
        <f>"갈색지 41R21"</f>
        <v>갈색지 41R21</v>
      </c>
      <c r="I8751" s="1" t="s">
        <v>8</v>
      </c>
      <c r="J8751" s="1" t="str">
        <f>"31/33"</f>
        <v>31/33</v>
      </c>
      <c r="K8751" s="1" t="str">
        <f t="shared" si="432"/>
        <v>2026-07-29 13:18:11</v>
      </c>
      <c r="L8751" s="1" t="str">
        <f>"2023-11-14 15:17:51"</f>
        <v>2023-11-14 15:17:51</v>
      </c>
      <c r="M8751" s="1" t="s">
        <v>45</v>
      </c>
      <c r="N8751" s="1" t="s">
        <v>38</v>
      </c>
      <c r="O8751" s="1" t="s">
        <v>46</v>
      </c>
    </row>
    <row r="8752" spans="2:15" x14ac:dyDescent="0.3">
      <c r="B8752" s="1" t="s">
        <v>21</v>
      </c>
      <c r="C8752" s="1" t="str">
        <f>"4차"</f>
        <v>4차</v>
      </c>
      <c r="D8752" s="1" t="str">
        <f>"9628W83144"</f>
        <v>9628W83144</v>
      </c>
      <c r="E8752" s="1" t="s">
        <v>10</v>
      </c>
      <c r="F8752" s="1" t="str">
        <f>"10.10.119.194"</f>
        <v>10.10.119.194</v>
      </c>
      <c r="G8752" s="1" t="str">
        <f>"9628W831"</f>
        <v>9628W831</v>
      </c>
      <c r="H8752" s="1" t="str">
        <f>"갈색지 41R20"</f>
        <v>갈색지 41R20</v>
      </c>
      <c r="I8752" s="1" t="s">
        <v>8</v>
      </c>
      <c r="J8752" s="1" t="str">
        <f>"24/24"</f>
        <v>24/24</v>
      </c>
      <c r="K8752" s="1" t="str">
        <f t="shared" si="432"/>
        <v>2026-07-29 13:18:11</v>
      </c>
      <c r="L8752" s="1" t="str">
        <f>"2019-11-04 13:53:27"</f>
        <v>2019-11-04 13:53:27</v>
      </c>
      <c r="M8752" s="1" t="s">
        <v>1</v>
      </c>
      <c r="N8752" s="1" t="s">
        <v>38</v>
      </c>
      <c r="O8752" s="1" t="s">
        <v>46</v>
      </c>
    </row>
    <row r="8753" spans="2:15" x14ac:dyDescent="0.3">
      <c r="B8753" s="1" t="s">
        <v>21</v>
      </c>
      <c r="C8753" s="1" t="str">
        <f>"4차"</f>
        <v>4차</v>
      </c>
      <c r="D8753" s="1" t="str">
        <f>"9628W84344"</f>
        <v>9628W84344</v>
      </c>
      <c r="E8753" s="1" t="s">
        <v>10</v>
      </c>
      <c r="F8753" s="1" t="str">
        <f>"10.10.102.202"</f>
        <v>10.10.102.202</v>
      </c>
      <c r="G8753" s="1" t="str">
        <f>"9628W843"</f>
        <v>9628W843</v>
      </c>
      <c r="H8753" s="1" t="str">
        <f>"갈색지 41R18"</f>
        <v>갈색지 41R18</v>
      </c>
      <c r="I8753" s="1" t="s">
        <v>8</v>
      </c>
      <c r="J8753" s="1" t="str">
        <f>"68/68"</f>
        <v>68/68</v>
      </c>
      <c r="K8753" s="1" t="str">
        <f t="shared" si="432"/>
        <v>2026-07-29 13:18:11</v>
      </c>
      <c r="L8753" s="1" t="str">
        <f>"2019-11-04 15:43:30"</f>
        <v>2019-11-04 15:43:30</v>
      </c>
      <c r="M8753" s="1" t="s">
        <v>1</v>
      </c>
      <c r="N8753" s="1" t="s">
        <v>38</v>
      </c>
      <c r="O8753" s="1" t="s">
        <v>46</v>
      </c>
    </row>
    <row r="8754" spans="2:15" x14ac:dyDescent="0.3">
      <c r="B8754" s="1" t="s">
        <v>21</v>
      </c>
      <c r="C8754" s="1" t="str">
        <f>"4차"</f>
        <v>4차</v>
      </c>
      <c r="D8754" s="1" t="str">
        <f>"9628W85344"</f>
        <v>9628W85344</v>
      </c>
      <c r="E8754" s="1" t="s">
        <v>10</v>
      </c>
      <c r="F8754" s="1" t="str">
        <f>"10.128.74.82"</f>
        <v>10.128.74.82</v>
      </c>
      <c r="G8754" s="1" t="str">
        <f>"9628W853"</f>
        <v>9628W853</v>
      </c>
      <c r="H8754" s="1" t="str">
        <f>"갈색지 41R16L1"</f>
        <v>갈색지 41R16L1</v>
      </c>
      <c r="I8754" s="1" t="s">
        <v>8</v>
      </c>
      <c r="J8754" s="1" t="str">
        <f>"16/16"</f>
        <v>16/16</v>
      </c>
      <c r="K8754" s="1" t="str">
        <f>"2026-07-28 20:03:17"</f>
        <v>2026-07-28 20:03:17</v>
      </c>
      <c r="L8754" s="1" t="str">
        <f>"2020-01-09 14:21:01"</f>
        <v>2020-01-09 14:21:01</v>
      </c>
      <c r="M8754" s="1" t="s">
        <v>45</v>
      </c>
      <c r="N8754" s="1" t="s">
        <v>38</v>
      </c>
      <c r="O8754" s="1" t="s">
        <v>46</v>
      </c>
    </row>
    <row r="8755" spans="2:15" x14ac:dyDescent="0.3">
      <c r="B8755" s="1" t="s">
        <v>21</v>
      </c>
      <c r="C8755" s="1" t="str">
        <f>"3차"</f>
        <v>3차</v>
      </c>
      <c r="D8755" s="1" t="str">
        <f>"9628W88239"</f>
        <v>9628W88239</v>
      </c>
      <c r="E8755" s="1" t="s">
        <v>10</v>
      </c>
      <c r="F8755" s="1" t="str">
        <f>"10.128.77.163"</f>
        <v>10.128.77.163</v>
      </c>
      <c r="G8755" s="1" t="str">
        <f>"9628W882"</f>
        <v>9628W882</v>
      </c>
      <c r="H8755" s="1" t="str">
        <f>"갈색지 41R11L1"</f>
        <v>갈색지 41R11L1</v>
      </c>
      <c r="I8755" s="1" t="s">
        <v>8</v>
      </c>
      <c r="J8755" s="1" t="str">
        <f>"13/14"</f>
        <v>13/14</v>
      </c>
      <c r="K8755" s="1" t="str">
        <f t="shared" ref="K8755:K8764" si="433">"2026-07-29 13:18:11"</f>
        <v>2026-07-29 13:18:11</v>
      </c>
      <c r="L8755" s="1" t="str">
        <f>"2018-01-06 16:42:27"</f>
        <v>2018-01-06 16:42:27</v>
      </c>
      <c r="M8755" s="1" t="s">
        <v>45</v>
      </c>
      <c r="N8755" s="1" t="s">
        <v>38</v>
      </c>
      <c r="O8755" s="1" t="s">
        <v>46</v>
      </c>
    </row>
    <row r="8756" spans="2:15" x14ac:dyDescent="0.3">
      <c r="B8756" s="1" t="s">
        <v>21</v>
      </c>
      <c r="C8756" s="1" t="str">
        <f>"4차"</f>
        <v>4차</v>
      </c>
      <c r="D8756" s="1" t="str">
        <f>"9628W93344"</f>
        <v>9628W93344</v>
      </c>
      <c r="E8756" s="1" t="s">
        <v>10</v>
      </c>
      <c r="F8756" s="1" t="str">
        <f>"10.10.121.18"</f>
        <v>10.10.121.18</v>
      </c>
      <c r="G8756" s="1" t="str">
        <f>"9628W933"</f>
        <v>9628W933</v>
      </c>
      <c r="H8756" s="1" t="str">
        <f>"신사간 18R17"</f>
        <v>신사간 18R17</v>
      </c>
      <c r="I8756" s="1" t="s">
        <v>8</v>
      </c>
      <c r="J8756" s="1" t="str">
        <f>"15/15"</f>
        <v>15/15</v>
      </c>
      <c r="K8756" s="1" t="str">
        <f t="shared" si="433"/>
        <v>2026-07-29 13:18:11</v>
      </c>
      <c r="L8756" s="1" t="str">
        <f>"2019-10-24 16:03:05"</f>
        <v>2019-10-24 16:03:05</v>
      </c>
      <c r="M8756" s="1" t="s">
        <v>1</v>
      </c>
      <c r="N8756" s="1" t="s">
        <v>38</v>
      </c>
      <c r="O8756" s="1" t="s">
        <v>46</v>
      </c>
    </row>
    <row r="8757" spans="2:15" x14ac:dyDescent="0.3">
      <c r="B8757" s="1" t="s">
        <v>21</v>
      </c>
      <c r="C8757" s="1" t="str">
        <f>"1차"</f>
        <v>1차</v>
      </c>
      <c r="D8757" s="1" t="str">
        <f>"9628W94500"</f>
        <v>9628W94500</v>
      </c>
      <c r="E8757" s="1" t="s">
        <v>10</v>
      </c>
      <c r="F8757" s="1" t="str">
        <f>"10.128.74.138"</f>
        <v>10.128.74.138</v>
      </c>
      <c r="G8757" s="1" t="str">
        <f>"9628W945"</f>
        <v>9628W945</v>
      </c>
      <c r="H8757" s="1" t="str">
        <f>"신사간 18R18"</f>
        <v>신사간 18R18</v>
      </c>
      <c r="I8757" s="1" t="s">
        <v>8</v>
      </c>
      <c r="J8757" s="1" t="str">
        <f>"11/11"</f>
        <v>11/11</v>
      </c>
      <c r="K8757" s="1" t="str">
        <f t="shared" si="433"/>
        <v>2026-07-29 13:18:11</v>
      </c>
      <c r="L8757" s="1" t="str">
        <f>"2014-10-07 16:12:05"</f>
        <v>2014-10-07 16:12:05</v>
      </c>
      <c r="M8757" s="1" t="s">
        <v>45</v>
      </c>
      <c r="N8757" s="1" t="s">
        <v>38</v>
      </c>
      <c r="O8757" s="1" t="s">
        <v>46</v>
      </c>
    </row>
    <row r="8758" spans="2:15" x14ac:dyDescent="0.3">
      <c r="B8758" s="1" t="s">
        <v>21</v>
      </c>
      <c r="C8758" s="1" t="str">
        <f>"4차"</f>
        <v>4차</v>
      </c>
      <c r="D8758" s="1" t="str">
        <f>"9628W95644"</f>
        <v>9628W95644</v>
      </c>
      <c r="E8758" s="1" t="s">
        <v>10</v>
      </c>
      <c r="F8758" s="1" t="str">
        <f>"10.10.85.186"</f>
        <v>10.10.85.186</v>
      </c>
      <c r="G8758" s="1" t="str">
        <f>"9628W956"</f>
        <v>9628W956</v>
      </c>
      <c r="H8758" s="1" t="str">
        <f>"역말간 33"</f>
        <v>역말간 33</v>
      </c>
      <c r="I8758" s="1" t="s">
        <v>8</v>
      </c>
      <c r="J8758" s="1" t="str">
        <f>"24/24"</f>
        <v>24/24</v>
      </c>
      <c r="K8758" s="1" t="str">
        <f t="shared" si="433"/>
        <v>2026-07-29 13:18:11</v>
      </c>
      <c r="L8758" s="1" t="str">
        <f>"2020-01-10 17:23:32"</f>
        <v>2020-01-10 17:23:32</v>
      </c>
      <c r="M8758" s="1" t="s">
        <v>1</v>
      </c>
      <c r="N8758" s="1" t="s">
        <v>38</v>
      </c>
      <c r="O8758" s="1" t="s">
        <v>46</v>
      </c>
    </row>
    <row r="8759" spans="2:15" x14ac:dyDescent="0.3">
      <c r="B8759" s="1" t="s">
        <v>21</v>
      </c>
      <c r="C8759" s="1" t="str">
        <f>"3차"</f>
        <v>3차</v>
      </c>
      <c r="D8759" s="1" t="str">
        <f>"9628W96239"</f>
        <v>9628W96239</v>
      </c>
      <c r="E8759" s="1" t="s">
        <v>10</v>
      </c>
      <c r="F8759" s="1" t="str">
        <f>"10.128.73.29"</f>
        <v>10.128.73.29</v>
      </c>
      <c r="G8759" s="1" t="str">
        <f>"9628W962"</f>
        <v>9628W962</v>
      </c>
      <c r="H8759" s="1" t="str">
        <f>"역말간 34"</f>
        <v>역말간 34</v>
      </c>
      <c r="I8759" s="1" t="s">
        <v>8</v>
      </c>
      <c r="J8759" s="1" t="str">
        <f>"17/17"</f>
        <v>17/17</v>
      </c>
      <c r="K8759" s="1" t="str">
        <f t="shared" si="433"/>
        <v>2026-07-29 13:18:11</v>
      </c>
      <c r="L8759" s="1" t="str">
        <f>"2018-03-28 17:08:13"</f>
        <v>2018-03-28 17:08:13</v>
      </c>
      <c r="M8759" s="1" t="s">
        <v>45</v>
      </c>
      <c r="N8759" s="1" t="s">
        <v>38</v>
      </c>
      <c r="O8759" s="1" t="s">
        <v>46</v>
      </c>
    </row>
    <row r="8760" spans="2:15" x14ac:dyDescent="0.3">
      <c r="B8760" s="1" t="s">
        <v>21</v>
      </c>
      <c r="C8760" s="1" t="str">
        <f>"3차"</f>
        <v>3차</v>
      </c>
      <c r="D8760" s="1" t="str">
        <f>"9628W96439"</f>
        <v>9628W96439</v>
      </c>
      <c r="E8760" s="1" t="s">
        <v>14</v>
      </c>
      <c r="F8760" s="1" t="str">
        <f>"10.128.74.139"</f>
        <v>10.128.74.139</v>
      </c>
      <c r="G8760" s="1" t="str">
        <f>"9628W964"</f>
        <v>9628W964</v>
      </c>
      <c r="H8760" s="1" t="str">
        <f>"신사간 18R21"</f>
        <v>신사간 18R21</v>
      </c>
      <c r="I8760" s="1" t="s">
        <v>8</v>
      </c>
      <c r="J8760" s="1" t="str">
        <f>"0/0"</f>
        <v>0/0</v>
      </c>
      <c r="K8760" s="1" t="str">
        <f t="shared" si="433"/>
        <v>2026-07-29 13:18:11</v>
      </c>
      <c r="L8760" s="1" t="str">
        <f>"2018-03-28 16:33:43"</f>
        <v>2018-03-28 16:33:43</v>
      </c>
      <c r="M8760" s="1" t="s">
        <v>45</v>
      </c>
      <c r="N8760" s="1" t="s">
        <v>38</v>
      </c>
      <c r="O8760" s="1" t="s">
        <v>44</v>
      </c>
    </row>
    <row r="8761" spans="2:15" x14ac:dyDescent="0.3">
      <c r="B8761" s="1" t="s">
        <v>21</v>
      </c>
      <c r="C8761" s="1" t="str">
        <f>"1차"</f>
        <v>1차</v>
      </c>
      <c r="D8761" s="1" t="str">
        <f>"9628W97300"</f>
        <v>9628W97300</v>
      </c>
      <c r="E8761" s="1" t="s">
        <v>10</v>
      </c>
      <c r="F8761" s="1" t="str">
        <f>"10.128.74.140"</f>
        <v>10.128.74.140</v>
      </c>
      <c r="G8761" s="1" t="str">
        <f>"9628W973"</f>
        <v>9628W973</v>
      </c>
      <c r="H8761" s="1" t="str">
        <f>"신사간 18R22"</f>
        <v>신사간 18R22</v>
      </c>
      <c r="I8761" s="1" t="s">
        <v>8</v>
      </c>
      <c r="J8761" s="1" t="str">
        <f>"41/41"</f>
        <v>41/41</v>
      </c>
      <c r="K8761" s="1" t="str">
        <f t="shared" si="433"/>
        <v>2026-07-29 13:18:11</v>
      </c>
      <c r="L8761" s="1" t="str">
        <f>"2014-10-08 00:13:39"</f>
        <v>2014-10-08 00:13:39</v>
      </c>
      <c r="M8761" s="1" t="s">
        <v>45</v>
      </c>
      <c r="N8761" s="1" t="s">
        <v>38</v>
      </c>
      <c r="O8761" s="1" t="s">
        <v>46</v>
      </c>
    </row>
    <row r="8762" spans="2:15" x14ac:dyDescent="0.3">
      <c r="B8762" s="1" t="s">
        <v>21</v>
      </c>
      <c r="C8762" s="1" t="str">
        <f>"4차"</f>
        <v>4차</v>
      </c>
      <c r="D8762" s="1" t="str">
        <f>"9628W98139"</f>
        <v>9628W98139</v>
      </c>
      <c r="E8762" s="1" t="s">
        <v>10</v>
      </c>
      <c r="F8762" s="1" t="str">
        <f>"10.128.73.170"</f>
        <v>10.128.73.170</v>
      </c>
      <c r="G8762" s="1" t="str">
        <f>"9628W981"</f>
        <v>9628W981</v>
      </c>
      <c r="H8762" s="1" t="str">
        <f>"역말간 37"</f>
        <v>역말간 37</v>
      </c>
      <c r="I8762" s="1" t="s">
        <v>8</v>
      </c>
      <c r="J8762" s="1" t="str">
        <f>"8/8"</f>
        <v>8/8</v>
      </c>
      <c r="K8762" s="1" t="str">
        <f t="shared" si="433"/>
        <v>2026-07-29 13:18:11</v>
      </c>
      <c r="L8762" s="1" t="str">
        <f>"2018-03-30 12:01:26"</f>
        <v>2018-03-30 12:01:26</v>
      </c>
      <c r="M8762" s="1" t="s">
        <v>45</v>
      </c>
      <c r="N8762" s="1" t="s">
        <v>38</v>
      </c>
      <c r="O8762" s="1" t="s">
        <v>46</v>
      </c>
    </row>
    <row r="8763" spans="2:15" x14ac:dyDescent="0.3">
      <c r="B8763" s="1" t="s">
        <v>21</v>
      </c>
      <c r="C8763" s="1" t="str">
        <f>"1차"</f>
        <v>1차</v>
      </c>
      <c r="D8763" s="1" t="str">
        <f>"9628X00100"</f>
        <v>9628X00100</v>
      </c>
      <c r="E8763" s="1" t="s">
        <v>10</v>
      </c>
      <c r="F8763" s="1" t="str">
        <f>"10.128.77.10"</f>
        <v>10.128.77.10</v>
      </c>
      <c r="G8763" s="1" t="str">
        <f>"9628X001"</f>
        <v>9628X001</v>
      </c>
      <c r="H8763" s="1" t="str">
        <f>"역말간 23"</f>
        <v>역말간 23</v>
      </c>
      <c r="I8763" s="1" t="s">
        <v>8</v>
      </c>
      <c r="J8763" s="1" t="str">
        <f>"30/30"</f>
        <v>30/30</v>
      </c>
      <c r="K8763" s="1" t="str">
        <f t="shared" si="433"/>
        <v>2026-07-29 13:18:11</v>
      </c>
      <c r="L8763" s="1" t="str">
        <f>"2014-11-13 17:54:17"</f>
        <v>2014-11-13 17:54:17</v>
      </c>
      <c r="M8763" s="1" t="s">
        <v>45</v>
      </c>
      <c r="N8763" s="1" t="s">
        <v>38</v>
      </c>
      <c r="O8763" s="1" t="s">
        <v>46</v>
      </c>
    </row>
    <row r="8764" spans="2:15" x14ac:dyDescent="0.3">
      <c r="B8764" s="1" t="s">
        <v>21</v>
      </c>
      <c r="C8764" s="1" t="str">
        <f>"1차"</f>
        <v>1차</v>
      </c>
      <c r="D8764" s="1" t="str">
        <f>"9628X01100"</f>
        <v>9628X01100</v>
      </c>
      <c r="E8764" s="1" t="s">
        <v>10</v>
      </c>
      <c r="F8764" s="1" t="str">
        <f>"10.128.74.13"</f>
        <v>10.128.74.13</v>
      </c>
      <c r="G8764" s="1" t="str">
        <f>"9628X011"</f>
        <v>9628X011</v>
      </c>
      <c r="H8764" s="1" t="str">
        <f>"역말간 25"</f>
        <v>역말간 25</v>
      </c>
      <c r="I8764" s="1" t="s">
        <v>8</v>
      </c>
      <c r="J8764" s="1" t="str">
        <f>"9/9"</f>
        <v>9/9</v>
      </c>
      <c r="K8764" s="1" t="str">
        <f t="shared" si="433"/>
        <v>2026-07-29 13:18:11</v>
      </c>
      <c r="L8764" s="1" t="str">
        <f>"2014-11-13 17:45:39"</f>
        <v>2014-11-13 17:45:39</v>
      </c>
      <c r="M8764" s="1" t="s">
        <v>45</v>
      </c>
      <c r="N8764" s="1" t="s">
        <v>38</v>
      </c>
      <c r="O8764" s="1" t="s">
        <v>46</v>
      </c>
    </row>
    <row r="8765" spans="2:15" x14ac:dyDescent="0.3">
      <c r="B8765" s="1" t="s">
        <v>21</v>
      </c>
      <c r="C8765" s="1" t="str">
        <f>"6차"</f>
        <v>6차</v>
      </c>
      <c r="D8765" s="1" t="str">
        <f>"9628X0216S"</f>
        <v>9628X0216S</v>
      </c>
      <c r="E8765" s="1" t="s">
        <v>10</v>
      </c>
      <c r="F8765" s="1" t="str">
        <f>"fde1:103:4:c685:0:0:0:2"</f>
        <v>fde1:103:4:c685:0:0:0:2</v>
      </c>
      <c r="G8765" s="1" t="str">
        <f>"9628X021"</f>
        <v>9628X021</v>
      </c>
      <c r="H8765" s="1" t="str">
        <f>"역말간 26"</f>
        <v>역말간 26</v>
      </c>
      <c r="I8765" s="1" t="s">
        <v>15</v>
      </c>
      <c r="J8765" s="1" t="str">
        <f>"47/47"</f>
        <v>47/47</v>
      </c>
      <c r="K8765" s="1" t="str">
        <f>"2026-07-29 14:21:53"</f>
        <v>2026-07-29 14:21:53</v>
      </c>
      <c r="L8765" s="1" t="str">
        <f>"2024-10-28 15:49:52"</f>
        <v>2024-10-28 15:49:52</v>
      </c>
      <c r="M8765" s="1" t="s">
        <v>4</v>
      </c>
      <c r="N8765" s="1" t="s">
        <v>38</v>
      </c>
      <c r="O8765" s="1" t="s">
        <v>46</v>
      </c>
    </row>
    <row r="8766" spans="2:15" x14ac:dyDescent="0.3">
      <c r="B8766" s="1" t="s">
        <v>21</v>
      </c>
      <c r="C8766" s="1" t="str">
        <f t="shared" ref="C8766:C8773" si="434">"4차"</f>
        <v>4차</v>
      </c>
      <c r="D8766" s="1" t="str">
        <f>"9628X05142"</f>
        <v>9628X05142</v>
      </c>
      <c r="E8766" s="1" t="s">
        <v>10</v>
      </c>
      <c r="F8766" s="1" t="str">
        <f>"10.12.135.64"</f>
        <v>10.12.135.64</v>
      </c>
      <c r="G8766" s="1" t="str">
        <f>"9628X051"</f>
        <v>9628X051</v>
      </c>
      <c r="H8766" s="1" t="str">
        <f>"역말간 32R2"</f>
        <v>역말간 32R2</v>
      </c>
      <c r="I8766" s="1" t="s">
        <v>8</v>
      </c>
      <c r="J8766" s="1" t="str">
        <f>"26/26"</f>
        <v>26/26</v>
      </c>
      <c r="K8766" s="1" t="str">
        <f t="shared" ref="K8766:K8800" si="435">"2026-07-29 13:18:11"</f>
        <v>2026-07-29 13:18:11</v>
      </c>
      <c r="L8766" s="1" t="str">
        <f>"2024-12-16 15:20:49"</f>
        <v>2024-12-16 15:20:49</v>
      </c>
      <c r="M8766" s="1" t="s">
        <v>0</v>
      </c>
      <c r="N8766" s="1" t="s">
        <v>38</v>
      </c>
      <c r="O8766" s="1" t="s">
        <v>46</v>
      </c>
    </row>
    <row r="8767" spans="2:15" x14ac:dyDescent="0.3">
      <c r="B8767" s="1" t="s">
        <v>21</v>
      </c>
      <c r="C8767" s="1" t="str">
        <f t="shared" si="434"/>
        <v>4차</v>
      </c>
      <c r="D8767" s="1" t="str">
        <f>"9628X07144"</f>
        <v>9628X07144</v>
      </c>
      <c r="E8767" s="1" t="s">
        <v>10</v>
      </c>
      <c r="F8767" s="1" t="str">
        <f>"10.10.85.138"</f>
        <v>10.10.85.138</v>
      </c>
      <c r="G8767" s="1" t="str">
        <f>"9628X071"</f>
        <v>9628X071</v>
      </c>
      <c r="H8767" s="1" t="str">
        <f>"역말간 37R6R1L1"</f>
        <v>역말간 37R6R1L1</v>
      </c>
      <c r="I8767" s="1" t="s">
        <v>8</v>
      </c>
      <c r="J8767" s="1" t="str">
        <f>"48/48"</f>
        <v>48/48</v>
      </c>
      <c r="K8767" s="1" t="str">
        <f t="shared" si="435"/>
        <v>2026-07-29 13:18:11</v>
      </c>
      <c r="L8767" s="1" t="str">
        <f>"2019-10-13 09:11:12"</f>
        <v>2019-10-13 09:11:12</v>
      </c>
      <c r="M8767" s="1" t="s">
        <v>1</v>
      </c>
      <c r="N8767" s="1" t="s">
        <v>38</v>
      </c>
      <c r="O8767" s="1" t="s">
        <v>46</v>
      </c>
    </row>
    <row r="8768" spans="2:15" x14ac:dyDescent="0.3">
      <c r="B8768" s="1" t="s">
        <v>21</v>
      </c>
      <c r="C8768" s="1" t="str">
        <f t="shared" si="434"/>
        <v>4차</v>
      </c>
      <c r="D8768" s="1" t="str">
        <f>"9628X08144"</f>
        <v>9628X08144</v>
      </c>
      <c r="E8768" s="1" t="s">
        <v>10</v>
      </c>
      <c r="F8768" s="1" t="str">
        <f>"10.10.89.146"</f>
        <v>10.10.89.146</v>
      </c>
      <c r="G8768" s="1" t="str">
        <f>"9628X081"</f>
        <v>9628X081</v>
      </c>
      <c r="H8768" s="1" t="str">
        <f>"역말간 37R6R1"</f>
        <v>역말간 37R6R1</v>
      </c>
      <c r="I8768" s="1" t="s">
        <v>8</v>
      </c>
      <c r="J8768" s="1" t="str">
        <f>"22/22"</f>
        <v>22/22</v>
      </c>
      <c r="K8768" s="1" t="str">
        <f t="shared" si="435"/>
        <v>2026-07-29 13:18:11</v>
      </c>
      <c r="L8768" s="1" t="str">
        <f>"2019-10-10 17:27:00"</f>
        <v>2019-10-10 17:27:00</v>
      </c>
      <c r="M8768" s="1" t="s">
        <v>1</v>
      </c>
      <c r="N8768" s="1" t="s">
        <v>38</v>
      </c>
      <c r="O8768" s="1" t="s">
        <v>46</v>
      </c>
    </row>
    <row r="8769" spans="2:15" x14ac:dyDescent="0.3">
      <c r="B8769" s="1" t="s">
        <v>21</v>
      </c>
      <c r="C8769" s="1" t="str">
        <f t="shared" si="434"/>
        <v>4차</v>
      </c>
      <c r="D8769" s="1" t="str">
        <f>"9628X08244"</f>
        <v>9628X08244</v>
      </c>
      <c r="E8769" s="1" t="s">
        <v>10</v>
      </c>
      <c r="F8769" s="1" t="str">
        <f>"10.10.85.146"</f>
        <v>10.10.85.146</v>
      </c>
      <c r="G8769" s="1" t="str">
        <f>"9628X082"</f>
        <v>9628X082</v>
      </c>
      <c r="H8769" s="1" t="str">
        <f>"역말간 37R6R2"</f>
        <v>역말간 37R6R2</v>
      </c>
      <c r="I8769" s="1" t="s">
        <v>8</v>
      </c>
      <c r="J8769" s="1" t="str">
        <f>"40/41"</f>
        <v>40/41</v>
      </c>
      <c r="K8769" s="1" t="str">
        <f t="shared" si="435"/>
        <v>2026-07-29 13:18:11</v>
      </c>
      <c r="L8769" s="1" t="str">
        <f>"2019-10-15 12:43:04"</f>
        <v>2019-10-15 12:43:04</v>
      </c>
      <c r="M8769" s="1" t="s">
        <v>1</v>
      </c>
      <c r="N8769" s="1" t="s">
        <v>38</v>
      </c>
      <c r="O8769" s="1" t="s">
        <v>46</v>
      </c>
    </row>
    <row r="8770" spans="2:15" x14ac:dyDescent="0.3">
      <c r="B8770" s="1" t="s">
        <v>21</v>
      </c>
      <c r="C8770" s="1" t="str">
        <f t="shared" si="434"/>
        <v>4차</v>
      </c>
      <c r="D8770" s="1" t="str">
        <f>"9628X09244"</f>
        <v>9628X09244</v>
      </c>
      <c r="E8770" s="1" t="s">
        <v>10</v>
      </c>
      <c r="F8770" s="1" t="str">
        <f>"10.10.120.178"</f>
        <v>10.10.120.178</v>
      </c>
      <c r="G8770" s="1" t="str">
        <f>"9628X092"</f>
        <v>9628X092</v>
      </c>
      <c r="H8770" s="1" t="str">
        <f>"서오간 17"</f>
        <v>서오간 17</v>
      </c>
      <c r="I8770" s="1" t="s">
        <v>8</v>
      </c>
      <c r="J8770" s="1" t="str">
        <f>"23/23"</f>
        <v>23/23</v>
      </c>
      <c r="K8770" s="1" t="str">
        <f t="shared" si="435"/>
        <v>2026-07-29 13:18:11</v>
      </c>
      <c r="L8770" s="1" t="str">
        <f>"2019-11-04 16:09:29"</f>
        <v>2019-11-04 16:09:29</v>
      </c>
      <c r="M8770" s="1" t="s">
        <v>1</v>
      </c>
      <c r="N8770" s="1" t="s">
        <v>38</v>
      </c>
      <c r="O8770" s="1" t="s">
        <v>46</v>
      </c>
    </row>
    <row r="8771" spans="2:15" x14ac:dyDescent="0.3">
      <c r="B8771" s="1" t="s">
        <v>21</v>
      </c>
      <c r="C8771" s="1" t="str">
        <f t="shared" si="434"/>
        <v>4차</v>
      </c>
      <c r="D8771" s="1" t="str">
        <f>"9628X09444"</f>
        <v>9628X09444</v>
      </c>
      <c r="E8771" s="1" t="s">
        <v>10</v>
      </c>
      <c r="F8771" s="1" t="str">
        <f>"10.10.120.170"</f>
        <v>10.10.120.170</v>
      </c>
      <c r="G8771" s="1" t="str">
        <f>"9628X094"</f>
        <v>9628X094</v>
      </c>
      <c r="H8771" s="1" t="str">
        <f>"서오간 16R2"</f>
        <v>서오간 16R2</v>
      </c>
      <c r="I8771" s="1" t="s">
        <v>8</v>
      </c>
      <c r="J8771" s="1" t="str">
        <f>"28/28"</f>
        <v>28/28</v>
      </c>
      <c r="K8771" s="1" t="str">
        <f t="shared" si="435"/>
        <v>2026-07-29 13:18:11</v>
      </c>
      <c r="L8771" s="1" t="str">
        <f>"2019-11-06 11:20:59"</f>
        <v>2019-11-06 11:20:59</v>
      </c>
      <c r="M8771" s="1" t="s">
        <v>1</v>
      </c>
      <c r="N8771" s="1" t="s">
        <v>38</v>
      </c>
      <c r="O8771" s="1" t="s">
        <v>46</v>
      </c>
    </row>
    <row r="8772" spans="2:15" x14ac:dyDescent="0.3">
      <c r="B8772" s="1" t="s">
        <v>21</v>
      </c>
      <c r="C8772" s="1" t="str">
        <f t="shared" si="434"/>
        <v>4차</v>
      </c>
      <c r="D8772" s="1" t="str">
        <f>"9628X10144"</f>
        <v>9628X10144</v>
      </c>
      <c r="E8772" s="1" t="s">
        <v>10</v>
      </c>
      <c r="F8772" s="1" t="str">
        <f>"10.10.84.34"</f>
        <v>10.10.84.34</v>
      </c>
      <c r="G8772" s="1" t="str">
        <f>"9628X101"</f>
        <v>9628X101</v>
      </c>
      <c r="H8772" s="1" t="str">
        <f>"역말간 17R3L5"</f>
        <v>역말간 17R3L5</v>
      </c>
      <c r="I8772" s="1" t="s">
        <v>8</v>
      </c>
      <c r="J8772" s="1" t="str">
        <f>"43/43"</f>
        <v>43/43</v>
      </c>
      <c r="K8772" s="1" t="str">
        <f t="shared" si="435"/>
        <v>2026-07-29 13:18:11</v>
      </c>
      <c r="L8772" s="1" t="str">
        <f>"2019-10-10 11:42:58"</f>
        <v>2019-10-10 11:42:58</v>
      </c>
      <c r="M8772" s="1" t="s">
        <v>1</v>
      </c>
      <c r="N8772" s="1" t="s">
        <v>38</v>
      </c>
      <c r="O8772" s="1" t="s">
        <v>46</v>
      </c>
    </row>
    <row r="8773" spans="2:15" x14ac:dyDescent="0.3">
      <c r="B8773" s="1" t="s">
        <v>21</v>
      </c>
      <c r="C8773" s="1" t="str">
        <f t="shared" si="434"/>
        <v>4차</v>
      </c>
      <c r="D8773" s="1" t="str">
        <f>"9628X10244"</f>
        <v>9628X10244</v>
      </c>
      <c r="E8773" s="1" t="s">
        <v>10</v>
      </c>
      <c r="F8773" s="1" t="str">
        <f>"10.10.89.178"</f>
        <v>10.10.89.178</v>
      </c>
      <c r="G8773" s="1" t="str">
        <f>"9628X102"</f>
        <v>9628X102</v>
      </c>
      <c r="H8773" s="1" t="str">
        <f>"역말간 17R3L4"</f>
        <v>역말간 17R3L4</v>
      </c>
      <c r="I8773" s="1" t="s">
        <v>8</v>
      </c>
      <c r="J8773" s="1" t="str">
        <f>"45/45"</f>
        <v>45/45</v>
      </c>
      <c r="K8773" s="1" t="str">
        <f t="shared" si="435"/>
        <v>2026-07-29 13:18:11</v>
      </c>
      <c r="L8773" s="1" t="str">
        <f>"2019-10-10 11:12:11"</f>
        <v>2019-10-10 11:12:11</v>
      </c>
      <c r="M8773" s="1" t="s">
        <v>1</v>
      </c>
      <c r="N8773" s="1" t="s">
        <v>38</v>
      </c>
      <c r="O8773" s="1" t="s">
        <v>46</v>
      </c>
    </row>
    <row r="8774" spans="2:15" x14ac:dyDescent="0.3">
      <c r="B8774" s="1" t="s">
        <v>21</v>
      </c>
      <c r="C8774" s="1" t="str">
        <f>"1차"</f>
        <v>1차</v>
      </c>
      <c r="D8774" s="1" t="str">
        <f>"9628X11102"</f>
        <v>9628X11102</v>
      </c>
      <c r="E8774" s="1" t="s">
        <v>10</v>
      </c>
      <c r="F8774" s="1" t="str">
        <f>"10.12.137.35"</f>
        <v>10.12.137.35</v>
      </c>
      <c r="G8774" s="1" t="str">
        <f>"9628X111"</f>
        <v>9628X111</v>
      </c>
      <c r="H8774" s="1" t="str">
        <f>"역말간 24R1"</f>
        <v>역말간 24R1</v>
      </c>
      <c r="I8774" s="1" t="s">
        <v>8</v>
      </c>
      <c r="J8774" s="1" t="str">
        <f>"54/54"</f>
        <v>54/54</v>
      </c>
      <c r="K8774" s="1" t="str">
        <f t="shared" si="435"/>
        <v>2026-07-29 13:18:11</v>
      </c>
      <c r="L8774" s="1" t="str">
        <f>"2014-11-28 00:13:54"</f>
        <v>2014-11-28 00:13:54</v>
      </c>
      <c r="M8774" s="1" t="s">
        <v>0</v>
      </c>
      <c r="N8774" s="1" t="s">
        <v>38</v>
      </c>
      <c r="O8774" s="1" t="s">
        <v>46</v>
      </c>
    </row>
    <row r="8775" spans="2:15" x14ac:dyDescent="0.3">
      <c r="B8775" s="1" t="s">
        <v>21</v>
      </c>
      <c r="C8775" s="1" t="str">
        <f>"1차"</f>
        <v>1차</v>
      </c>
      <c r="D8775" s="1" t="str">
        <f>"9628X12100"</f>
        <v>9628X12100</v>
      </c>
      <c r="E8775" s="1" t="s">
        <v>10</v>
      </c>
      <c r="F8775" s="1" t="str">
        <f>"10.128.73.122"</f>
        <v>10.128.73.122</v>
      </c>
      <c r="G8775" s="1" t="str">
        <f>"9628X121"</f>
        <v>9628X121</v>
      </c>
      <c r="H8775" s="1" t="str">
        <f>"역말간 32R7"</f>
        <v>역말간 32R7</v>
      </c>
      <c r="I8775" s="1" t="s">
        <v>8</v>
      </c>
      <c r="J8775" s="1" t="str">
        <f>"8/8"</f>
        <v>8/8</v>
      </c>
      <c r="K8775" s="1" t="str">
        <f t="shared" si="435"/>
        <v>2026-07-29 13:18:11</v>
      </c>
      <c r="L8775" s="1" t="str">
        <f>"2014-10-26 00:14:28"</f>
        <v>2014-10-26 00:14:28</v>
      </c>
      <c r="M8775" s="1" t="s">
        <v>45</v>
      </c>
      <c r="N8775" s="1" t="s">
        <v>38</v>
      </c>
      <c r="O8775" s="1" t="s">
        <v>46</v>
      </c>
    </row>
    <row r="8776" spans="2:15" x14ac:dyDescent="0.3">
      <c r="B8776" s="1" t="s">
        <v>21</v>
      </c>
      <c r="C8776" s="1" t="str">
        <f>"1차"</f>
        <v>1차</v>
      </c>
      <c r="D8776" s="1" t="str">
        <f>"9628X13102"</f>
        <v>9628X13102</v>
      </c>
      <c r="E8776" s="1" t="s">
        <v>10</v>
      </c>
      <c r="F8776" s="1" t="str">
        <f>"10.128.73.27"</f>
        <v>10.128.73.27</v>
      </c>
      <c r="G8776" s="1" t="str">
        <f>"9628X131"</f>
        <v>9628X131</v>
      </c>
      <c r="H8776" s="1" t="str">
        <f>"역말간 32R6"</f>
        <v>역말간 32R6</v>
      </c>
      <c r="I8776" s="1" t="s">
        <v>8</v>
      </c>
      <c r="J8776" s="1" t="str">
        <f>"5/5"</f>
        <v>5/5</v>
      </c>
      <c r="K8776" s="1" t="str">
        <f t="shared" si="435"/>
        <v>2026-07-29 13:18:11</v>
      </c>
      <c r="L8776" s="1" t="str">
        <f>"2014-11-21 15:03:21"</f>
        <v>2014-11-21 15:03:21</v>
      </c>
      <c r="M8776" s="1" t="s">
        <v>45</v>
      </c>
      <c r="N8776" s="1" t="s">
        <v>38</v>
      </c>
      <c r="O8776" s="1" t="s">
        <v>46</v>
      </c>
    </row>
    <row r="8777" spans="2:15" x14ac:dyDescent="0.3">
      <c r="B8777" s="1" t="s">
        <v>21</v>
      </c>
      <c r="C8777" s="1" t="str">
        <f>"1차"</f>
        <v>1차</v>
      </c>
      <c r="D8777" s="1" t="str">
        <f>"9628X14102"</f>
        <v>9628X14102</v>
      </c>
      <c r="E8777" s="1" t="s">
        <v>14</v>
      </c>
      <c r="F8777" s="1" t="str">
        <f>"10.128.73.28"</f>
        <v>10.128.73.28</v>
      </c>
      <c r="G8777" s="1" t="str">
        <f>"9628X141"</f>
        <v>9628X141</v>
      </c>
      <c r="H8777" s="1" t="str">
        <f>"역말간 32R5"</f>
        <v>역말간 32R5</v>
      </c>
      <c r="I8777" s="1" t="s">
        <v>8</v>
      </c>
      <c r="J8777" s="1" t="str">
        <f>"0/0"</f>
        <v>0/0</v>
      </c>
      <c r="K8777" s="1" t="str">
        <f t="shared" si="435"/>
        <v>2026-07-29 13:18:11</v>
      </c>
      <c r="L8777" s="1" t="str">
        <f>"2014-11-25 17:17:54"</f>
        <v>2014-11-25 17:17:54</v>
      </c>
      <c r="M8777" s="1" t="s">
        <v>45</v>
      </c>
      <c r="N8777" s="1" t="s">
        <v>38</v>
      </c>
      <c r="O8777" s="1" t="s">
        <v>44</v>
      </c>
    </row>
    <row r="8778" spans="2:15" x14ac:dyDescent="0.3">
      <c r="B8778" s="1" t="s">
        <v>21</v>
      </c>
      <c r="C8778" s="1" t="str">
        <f>"1차"</f>
        <v>1차</v>
      </c>
      <c r="D8778" s="1" t="str">
        <f>"9628X14300"</f>
        <v>9628X14300</v>
      </c>
      <c r="E8778" s="1" t="s">
        <v>10</v>
      </c>
      <c r="F8778" s="1" t="str">
        <f>"10.128.73.30"</f>
        <v>10.128.73.30</v>
      </c>
      <c r="G8778" s="1" t="str">
        <f>"9628X143"</f>
        <v>9628X143</v>
      </c>
      <c r="H8778" s="1" t="str">
        <f>"역말간 32R4"</f>
        <v>역말간 32R4</v>
      </c>
      <c r="I8778" s="1" t="s">
        <v>8</v>
      </c>
      <c r="J8778" s="1" t="str">
        <f>"39/39"</f>
        <v>39/39</v>
      </c>
      <c r="K8778" s="1" t="str">
        <f t="shared" si="435"/>
        <v>2026-07-29 13:18:11</v>
      </c>
      <c r="L8778" s="1" t="str">
        <f>"2014-11-20 11:47:07"</f>
        <v>2014-11-20 11:47:07</v>
      </c>
      <c r="M8778" s="1" t="s">
        <v>45</v>
      </c>
      <c r="N8778" s="1" t="s">
        <v>38</v>
      </c>
      <c r="O8778" s="1" t="s">
        <v>46</v>
      </c>
    </row>
    <row r="8779" spans="2:15" x14ac:dyDescent="0.3">
      <c r="B8779" s="1" t="s">
        <v>21</v>
      </c>
      <c r="C8779" s="1" t="str">
        <f t="shared" ref="C8779:C8785" si="436">"4차"</f>
        <v>4차</v>
      </c>
      <c r="D8779" s="1" t="str">
        <f>"9628X14444"</f>
        <v>9628X14444</v>
      </c>
      <c r="E8779" s="1" t="s">
        <v>10</v>
      </c>
      <c r="F8779" s="1" t="str">
        <f>"10.10.85.18"</f>
        <v>10.10.85.18</v>
      </c>
      <c r="G8779" s="1" t="str">
        <f>"9628X144"</f>
        <v>9628X144</v>
      </c>
      <c r="H8779" s="1" t="str">
        <f>"역말간 32R5L1"</f>
        <v>역말간 32R5L1</v>
      </c>
      <c r="I8779" s="1" t="s">
        <v>8</v>
      </c>
      <c r="J8779" s="1" t="str">
        <f>"38/39"</f>
        <v>38/39</v>
      </c>
      <c r="K8779" s="1" t="str">
        <f t="shared" si="435"/>
        <v>2026-07-29 13:18:11</v>
      </c>
      <c r="L8779" s="1" t="str">
        <f>"2019-10-10 16:09:43"</f>
        <v>2019-10-10 16:09:43</v>
      </c>
      <c r="M8779" s="1" t="s">
        <v>1</v>
      </c>
      <c r="N8779" s="1" t="s">
        <v>38</v>
      </c>
      <c r="O8779" s="1" t="s">
        <v>46</v>
      </c>
    </row>
    <row r="8780" spans="2:15" x14ac:dyDescent="0.3">
      <c r="B8780" s="1" t="s">
        <v>21</v>
      </c>
      <c r="C8780" s="1" t="str">
        <f t="shared" si="436"/>
        <v>4차</v>
      </c>
      <c r="D8780" s="1" t="str">
        <f>"9628X15144"</f>
        <v>9628X15144</v>
      </c>
      <c r="E8780" s="1" t="s">
        <v>10</v>
      </c>
      <c r="F8780" s="1" t="str">
        <f>"10.10.84.170"</f>
        <v>10.10.84.170</v>
      </c>
      <c r="G8780" s="1" t="str">
        <f>"9628X151"</f>
        <v>9628X151</v>
      </c>
      <c r="H8780" s="1" t="str">
        <f>"역말간 32R3"</f>
        <v>역말간 32R3</v>
      </c>
      <c r="I8780" s="1" t="s">
        <v>8</v>
      </c>
      <c r="J8780" s="1" t="str">
        <f>"62/62"</f>
        <v>62/62</v>
      </c>
      <c r="K8780" s="1" t="str">
        <f t="shared" si="435"/>
        <v>2026-07-29 13:18:11</v>
      </c>
      <c r="L8780" s="1" t="str">
        <f>"2019-10-10 16:13:04"</f>
        <v>2019-10-10 16:13:04</v>
      </c>
      <c r="M8780" s="1" t="s">
        <v>1</v>
      </c>
      <c r="N8780" s="1" t="s">
        <v>38</v>
      </c>
      <c r="O8780" s="1" t="s">
        <v>46</v>
      </c>
    </row>
    <row r="8781" spans="2:15" x14ac:dyDescent="0.3">
      <c r="B8781" s="1" t="s">
        <v>21</v>
      </c>
      <c r="C8781" s="1" t="str">
        <f t="shared" si="436"/>
        <v>4차</v>
      </c>
      <c r="D8781" s="1" t="str">
        <f>"9628X16444"</f>
        <v>9628X16444</v>
      </c>
      <c r="E8781" s="1" t="s">
        <v>10</v>
      </c>
      <c r="F8781" s="1" t="str">
        <f>"10.10.85.122"</f>
        <v>10.10.85.122</v>
      </c>
      <c r="G8781" s="1" t="str">
        <f>"9628X164"</f>
        <v>9628X164</v>
      </c>
      <c r="H8781" s="1" t="str">
        <f>"역말간 37R16"</f>
        <v>역말간 37R16</v>
      </c>
      <c r="I8781" s="1" t="s">
        <v>8</v>
      </c>
      <c r="J8781" s="1" t="str">
        <f>"92/93"</f>
        <v>92/93</v>
      </c>
      <c r="K8781" s="1" t="str">
        <f t="shared" si="435"/>
        <v>2026-07-29 13:18:11</v>
      </c>
      <c r="L8781" s="1" t="str">
        <f>"2019-10-10 17:16:29"</f>
        <v>2019-10-10 17:16:29</v>
      </c>
      <c r="M8781" s="1" t="s">
        <v>1</v>
      </c>
      <c r="N8781" s="1" t="s">
        <v>38</v>
      </c>
      <c r="O8781" s="1" t="s">
        <v>46</v>
      </c>
    </row>
    <row r="8782" spans="2:15" x14ac:dyDescent="0.3">
      <c r="B8782" s="1" t="s">
        <v>21</v>
      </c>
      <c r="C8782" s="1" t="str">
        <f t="shared" si="436"/>
        <v>4차</v>
      </c>
      <c r="D8782" s="1" t="str">
        <f>"9628X17144"</f>
        <v>9628X17144</v>
      </c>
      <c r="E8782" s="1" t="s">
        <v>10</v>
      </c>
      <c r="F8782" s="1" t="str">
        <f>"10.10.89.162"</f>
        <v>10.10.89.162</v>
      </c>
      <c r="G8782" s="1" t="str">
        <f>"9628X171"</f>
        <v>9628X171</v>
      </c>
      <c r="H8782" s="1" t="str">
        <f>"역말간 37R6"</f>
        <v>역말간 37R6</v>
      </c>
      <c r="I8782" s="1" t="s">
        <v>8</v>
      </c>
      <c r="J8782" s="1" t="str">
        <f>"67/67"</f>
        <v>67/67</v>
      </c>
      <c r="K8782" s="1" t="str">
        <f t="shared" si="435"/>
        <v>2026-07-29 13:18:11</v>
      </c>
      <c r="L8782" s="1" t="str">
        <f>"2019-10-14 11:07:12"</f>
        <v>2019-10-14 11:07:12</v>
      </c>
      <c r="M8782" s="1" t="s">
        <v>1</v>
      </c>
      <c r="N8782" s="1" t="s">
        <v>38</v>
      </c>
      <c r="O8782" s="1" t="s">
        <v>46</v>
      </c>
    </row>
    <row r="8783" spans="2:15" x14ac:dyDescent="0.3">
      <c r="B8783" s="1" t="s">
        <v>21</v>
      </c>
      <c r="C8783" s="1" t="str">
        <f t="shared" si="436"/>
        <v>4차</v>
      </c>
      <c r="D8783" s="1" t="str">
        <f>"9628X18144"</f>
        <v>9628X18144</v>
      </c>
      <c r="E8783" s="1" t="s">
        <v>10</v>
      </c>
      <c r="F8783" s="1" t="str">
        <f>"10.10.85.130"</f>
        <v>10.10.85.130</v>
      </c>
      <c r="G8783" s="1" t="str">
        <f>"9628X181"</f>
        <v>9628X181</v>
      </c>
      <c r="H8783" s="1" t="str">
        <f>"역말간 37R5"</f>
        <v>역말간 37R5</v>
      </c>
      <c r="I8783" s="1" t="s">
        <v>8</v>
      </c>
      <c r="J8783" s="1" t="str">
        <f>"36/36"</f>
        <v>36/36</v>
      </c>
      <c r="K8783" s="1" t="str">
        <f t="shared" si="435"/>
        <v>2026-07-29 13:18:11</v>
      </c>
      <c r="L8783" s="1" t="str">
        <f>"2019-10-28 16:03:13"</f>
        <v>2019-10-28 16:03:13</v>
      </c>
      <c r="M8783" s="1" t="s">
        <v>1</v>
      </c>
      <c r="N8783" s="1" t="s">
        <v>38</v>
      </c>
      <c r="O8783" s="1" t="s">
        <v>46</v>
      </c>
    </row>
    <row r="8784" spans="2:15" x14ac:dyDescent="0.3">
      <c r="B8784" s="1" t="s">
        <v>21</v>
      </c>
      <c r="C8784" s="1" t="str">
        <f t="shared" si="436"/>
        <v>4차</v>
      </c>
      <c r="D8784" s="1" t="str">
        <f>"9628X19544"</f>
        <v>9628X19544</v>
      </c>
      <c r="E8784" s="1" t="s">
        <v>10</v>
      </c>
      <c r="F8784" s="1" t="str">
        <f>"10.10.120.154"</f>
        <v>10.10.120.154</v>
      </c>
      <c r="G8784" s="1" t="str">
        <f>"9628X195"</f>
        <v>9628X195</v>
      </c>
      <c r="H8784" s="1" t="str">
        <f>"서오간 14"</f>
        <v>서오간 14</v>
      </c>
      <c r="I8784" s="1" t="s">
        <v>8</v>
      </c>
      <c r="J8784" s="1" t="str">
        <f>"23/27"</f>
        <v>23/27</v>
      </c>
      <c r="K8784" s="1" t="str">
        <f t="shared" si="435"/>
        <v>2026-07-29 13:18:11</v>
      </c>
      <c r="L8784" s="1" t="str">
        <f>"2024-05-29 17:40:10"</f>
        <v>2024-05-29 17:40:10</v>
      </c>
      <c r="M8784" s="1" t="s">
        <v>1</v>
      </c>
      <c r="N8784" s="1" t="s">
        <v>38</v>
      </c>
      <c r="O8784" s="1" t="s">
        <v>46</v>
      </c>
    </row>
    <row r="8785" spans="2:15" x14ac:dyDescent="0.3">
      <c r="B8785" s="1" t="s">
        <v>21</v>
      </c>
      <c r="C8785" s="1" t="str">
        <f t="shared" si="436"/>
        <v>4차</v>
      </c>
      <c r="D8785" s="1" t="str">
        <f>"9628X20144"</f>
        <v>9628X20144</v>
      </c>
      <c r="E8785" s="1" t="s">
        <v>10</v>
      </c>
      <c r="F8785" s="1" t="str">
        <f>"10.10.84.98"</f>
        <v>10.10.84.98</v>
      </c>
      <c r="G8785" s="1" t="str">
        <f>"9628X201"</f>
        <v>9628X201</v>
      </c>
      <c r="H8785" s="1" t="str">
        <f>"역말간 17R3L6"</f>
        <v>역말간 17R3L6</v>
      </c>
      <c r="I8785" s="1" t="s">
        <v>8</v>
      </c>
      <c r="J8785" s="1" t="str">
        <f>"71/72"</f>
        <v>71/72</v>
      </c>
      <c r="K8785" s="1" t="str">
        <f t="shared" si="435"/>
        <v>2026-07-29 13:18:11</v>
      </c>
      <c r="L8785" s="1" t="str">
        <f>"2019-10-10 17:21:15"</f>
        <v>2019-10-10 17:21:15</v>
      </c>
      <c r="M8785" s="1" t="s">
        <v>1</v>
      </c>
      <c r="N8785" s="1" t="s">
        <v>38</v>
      </c>
      <c r="O8785" s="1" t="s">
        <v>46</v>
      </c>
    </row>
    <row r="8786" spans="2:15" x14ac:dyDescent="0.3">
      <c r="B8786" s="1" t="s">
        <v>21</v>
      </c>
      <c r="C8786" s="1" t="str">
        <f>"1차"</f>
        <v>1차</v>
      </c>
      <c r="D8786" s="1" t="str">
        <f>"9628X21101"</f>
        <v>9628X21101</v>
      </c>
      <c r="E8786" s="1" t="s">
        <v>10</v>
      </c>
      <c r="F8786" s="1" t="str">
        <f>"10.128.74.90"</f>
        <v>10.128.74.90</v>
      </c>
      <c r="G8786" s="1" t="str">
        <f>"9628X211"</f>
        <v>9628X211</v>
      </c>
      <c r="H8786" s="1" t="str">
        <f>"역말간 24R3"</f>
        <v>역말간 24R3</v>
      </c>
      <c r="I8786" s="1" t="s">
        <v>8</v>
      </c>
      <c r="J8786" s="1" t="str">
        <f>"61/62"</f>
        <v>61/62</v>
      </c>
      <c r="K8786" s="1" t="str">
        <f t="shared" si="435"/>
        <v>2026-07-29 13:18:11</v>
      </c>
      <c r="L8786" s="1" t="str">
        <f>"2014-11-25 14:45:55"</f>
        <v>2014-11-25 14:45:55</v>
      </c>
      <c r="M8786" s="1" t="s">
        <v>45</v>
      </c>
      <c r="N8786" s="1" t="s">
        <v>38</v>
      </c>
      <c r="O8786" s="1" t="s">
        <v>46</v>
      </c>
    </row>
    <row r="8787" spans="2:15" x14ac:dyDescent="0.3">
      <c r="B8787" s="1" t="s">
        <v>21</v>
      </c>
      <c r="C8787" s="1" t="str">
        <f>"1차"</f>
        <v>1차</v>
      </c>
      <c r="D8787" s="1" t="str">
        <f>"9628X22100"</f>
        <v>9628X22100</v>
      </c>
      <c r="E8787" s="1" t="s">
        <v>10</v>
      </c>
      <c r="F8787" s="1" t="str">
        <f>"10.128.73.130"</f>
        <v>10.128.73.130</v>
      </c>
      <c r="G8787" s="1" t="str">
        <f>"9628X221"</f>
        <v>9628X221</v>
      </c>
      <c r="H8787" s="1" t="str">
        <f>"역말간 32R10"</f>
        <v>역말간 32R10</v>
      </c>
      <c r="I8787" s="1" t="s">
        <v>8</v>
      </c>
      <c r="J8787" s="1" t="str">
        <f>"42/42"</f>
        <v>42/42</v>
      </c>
      <c r="K8787" s="1" t="str">
        <f t="shared" si="435"/>
        <v>2026-07-29 13:18:11</v>
      </c>
      <c r="L8787" s="1" t="str">
        <f>"2014-11-20 17:26:29"</f>
        <v>2014-11-20 17:26:29</v>
      </c>
      <c r="M8787" s="1" t="s">
        <v>45</v>
      </c>
      <c r="N8787" s="1" t="s">
        <v>38</v>
      </c>
      <c r="O8787" s="1" t="s">
        <v>46</v>
      </c>
    </row>
    <row r="8788" spans="2:15" x14ac:dyDescent="0.3">
      <c r="B8788" s="1" t="s">
        <v>21</v>
      </c>
      <c r="C8788" s="1" t="str">
        <f>"4차"</f>
        <v>4차</v>
      </c>
      <c r="D8788" s="1" t="str">
        <f>"9628X23244"</f>
        <v>9628X23244</v>
      </c>
      <c r="E8788" s="1" t="s">
        <v>10</v>
      </c>
      <c r="F8788" s="1" t="str">
        <f>"10.10.85.106"</f>
        <v>10.10.85.106</v>
      </c>
      <c r="G8788" s="1" t="str">
        <f>"9628X232"</f>
        <v>9628X232</v>
      </c>
      <c r="H8788" s="1" t="str">
        <f>"역말간 32R6L2"</f>
        <v>역말간 32R6L2</v>
      </c>
      <c r="I8788" s="1" t="s">
        <v>8</v>
      </c>
      <c r="J8788" s="1" t="str">
        <f>"61/61"</f>
        <v>61/61</v>
      </c>
      <c r="K8788" s="1" t="str">
        <f t="shared" si="435"/>
        <v>2026-07-29 13:18:11</v>
      </c>
      <c r="L8788" s="1" t="str">
        <f>"2019-10-10 16:07:13"</f>
        <v>2019-10-10 16:07:13</v>
      </c>
      <c r="M8788" s="1" t="s">
        <v>1</v>
      </c>
      <c r="N8788" s="1" t="s">
        <v>38</v>
      </c>
      <c r="O8788" s="1" t="s">
        <v>46</v>
      </c>
    </row>
    <row r="8789" spans="2:15" x14ac:dyDescent="0.3">
      <c r="B8789" s="1" t="s">
        <v>21</v>
      </c>
      <c r="C8789" s="1" t="str">
        <f>"4차"</f>
        <v>4차</v>
      </c>
      <c r="D8789" s="1" t="str">
        <f>"9628X25144"</f>
        <v>9628X25144</v>
      </c>
      <c r="E8789" s="1" t="s">
        <v>10</v>
      </c>
      <c r="F8789" s="1" t="str">
        <f>"10.10.85.42"</f>
        <v>10.10.85.42</v>
      </c>
      <c r="G8789" s="1" t="str">
        <f>"9628X251"</f>
        <v>9628X251</v>
      </c>
      <c r="H8789" s="1" t="str">
        <f>"역말간 32R3L2"</f>
        <v>역말간 32R3L2</v>
      </c>
      <c r="I8789" s="1" t="s">
        <v>8</v>
      </c>
      <c r="J8789" s="1" t="str">
        <f>"95/95"</f>
        <v>95/95</v>
      </c>
      <c r="K8789" s="1" t="str">
        <f t="shared" si="435"/>
        <v>2026-07-29 13:18:11</v>
      </c>
      <c r="L8789" s="1" t="str">
        <f>"2019-10-10 16:09:15"</f>
        <v>2019-10-10 16:09:15</v>
      </c>
      <c r="M8789" s="1" t="s">
        <v>1</v>
      </c>
      <c r="N8789" s="1" t="s">
        <v>38</v>
      </c>
      <c r="O8789" s="1" t="s">
        <v>46</v>
      </c>
    </row>
    <row r="8790" spans="2:15" x14ac:dyDescent="0.3">
      <c r="B8790" s="1" t="s">
        <v>21</v>
      </c>
      <c r="C8790" s="1" t="str">
        <f>"3차"</f>
        <v>3차</v>
      </c>
      <c r="D8790" s="1" t="str">
        <f>"9628X25239"</f>
        <v>9628X25239</v>
      </c>
      <c r="E8790" s="1" t="s">
        <v>10</v>
      </c>
      <c r="F8790" s="1" t="str">
        <f>"10.128.73.26"</f>
        <v>10.128.73.26</v>
      </c>
      <c r="G8790" s="1" t="str">
        <f>"9628X252"</f>
        <v>9628X252</v>
      </c>
      <c r="H8790" s="1" t="str">
        <f>"역말간 32R3L1"</f>
        <v>역말간 32R3L1</v>
      </c>
      <c r="I8790" s="1" t="s">
        <v>8</v>
      </c>
      <c r="J8790" s="1" t="str">
        <f>"38/44"</f>
        <v>38/44</v>
      </c>
      <c r="K8790" s="1" t="str">
        <f t="shared" si="435"/>
        <v>2026-07-29 13:18:11</v>
      </c>
      <c r="L8790" s="1" t="str">
        <f>"2018-04-21 08:16:40"</f>
        <v>2018-04-21 08:16:40</v>
      </c>
      <c r="M8790" s="1" t="s">
        <v>45</v>
      </c>
      <c r="N8790" s="1" t="s">
        <v>38</v>
      </c>
      <c r="O8790" s="1" t="s">
        <v>46</v>
      </c>
    </row>
    <row r="8791" spans="2:15" x14ac:dyDescent="0.3">
      <c r="B8791" s="1" t="s">
        <v>21</v>
      </c>
      <c r="C8791" s="1" t="str">
        <f t="shared" ref="C8791:C8796" si="437">"4차"</f>
        <v>4차</v>
      </c>
      <c r="D8791" s="1" t="str">
        <f>"9628X25344"</f>
        <v>9628X25344</v>
      </c>
      <c r="E8791" s="1" t="s">
        <v>10</v>
      </c>
      <c r="F8791" s="1" t="str">
        <f>"10.10.121.42"</f>
        <v>10.10.121.42</v>
      </c>
      <c r="G8791" s="1" t="str">
        <f>"9628X253"</f>
        <v>9628X253</v>
      </c>
      <c r="H8791" s="1" t="str">
        <f>"역말간 32R3L3"</f>
        <v>역말간 32R3L3</v>
      </c>
      <c r="I8791" s="1" t="s">
        <v>8</v>
      </c>
      <c r="J8791" s="1" t="str">
        <f>"26/26"</f>
        <v>26/26</v>
      </c>
      <c r="K8791" s="1" t="str">
        <f t="shared" si="435"/>
        <v>2026-07-29 13:18:11</v>
      </c>
      <c r="L8791" s="1" t="str">
        <f>"2019-10-10 16:23:04"</f>
        <v>2019-10-10 16:23:04</v>
      </c>
      <c r="M8791" s="1" t="s">
        <v>1</v>
      </c>
      <c r="N8791" s="1" t="s">
        <v>38</v>
      </c>
      <c r="O8791" s="1" t="s">
        <v>46</v>
      </c>
    </row>
    <row r="8792" spans="2:15" x14ac:dyDescent="0.3">
      <c r="B8792" s="1" t="s">
        <v>21</v>
      </c>
      <c r="C8792" s="1" t="str">
        <f t="shared" si="437"/>
        <v>4차</v>
      </c>
      <c r="D8792" s="1" t="str">
        <f>"9628X26144"</f>
        <v>9628X26144</v>
      </c>
      <c r="E8792" s="1" t="s">
        <v>10</v>
      </c>
      <c r="F8792" s="1" t="str">
        <f>"10.10.85.202"</f>
        <v>10.10.85.202</v>
      </c>
      <c r="G8792" s="1" t="str">
        <f>"9628X261"</f>
        <v>9628X261</v>
      </c>
      <c r="H8792" s="1" t="str">
        <f>"역말간 37R15"</f>
        <v>역말간 37R15</v>
      </c>
      <c r="I8792" s="1" t="s">
        <v>8</v>
      </c>
      <c r="J8792" s="1" t="str">
        <f>"45/45"</f>
        <v>45/45</v>
      </c>
      <c r="K8792" s="1" t="str">
        <f t="shared" si="435"/>
        <v>2026-07-29 13:18:11</v>
      </c>
      <c r="L8792" s="1" t="str">
        <f>"2019-10-10 17:17:00"</f>
        <v>2019-10-10 17:17:00</v>
      </c>
      <c r="M8792" s="1" t="s">
        <v>1</v>
      </c>
      <c r="N8792" s="1" t="s">
        <v>38</v>
      </c>
      <c r="O8792" s="1" t="s">
        <v>46</v>
      </c>
    </row>
    <row r="8793" spans="2:15" x14ac:dyDescent="0.3">
      <c r="B8793" s="1" t="s">
        <v>21</v>
      </c>
      <c r="C8793" s="1" t="str">
        <f t="shared" si="437"/>
        <v>4차</v>
      </c>
      <c r="D8793" s="1" t="str">
        <f>"9628X28144"</f>
        <v>9628X28144</v>
      </c>
      <c r="E8793" s="1" t="s">
        <v>10</v>
      </c>
      <c r="F8793" s="1" t="str">
        <f>"10.10.86.2"</f>
        <v>10.10.86.2</v>
      </c>
      <c r="G8793" s="1" t="str">
        <f>"9628X281"</f>
        <v>9628X281</v>
      </c>
      <c r="H8793" s="1" t="str">
        <f>"역말간 37R8"</f>
        <v>역말간 37R8</v>
      </c>
      <c r="I8793" s="1" t="s">
        <v>8</v>
      </c>
      <c r="J8793" s="1" t="str">
        <f>"59/59"</f>
        <v>59/59</v>
      </c>
      <c r="K8793" s="1" t="str">
        <f t="shared" si="435"/>
        <v>2026-07-29 13:18:11</v>
      </c>
      <c r="L8793" s="1" t="str">
        <f>"2019-11-04 09:13:03"</f>
        <v>2019-11-04 09:13:03</v>
      </c>
      <c r="M8793" s="1" t="s">
        <v>1</v>
      </c>
      <c r="N8793" s="1" t="s">
        <v>38</v>
      </c>
      <c r="O8793" s="1" t="s">
        <v>46</v>
      </c>
    </row>
    <row r="8794" spans="2:15" x14ac:dyDescent="0.3">
      <c r="B8794" s="1" t="s">
        <v>21</v>
      </c>
      <c r="C8794" s="1" t="str">
        <f t="shared" si="437"/>
        <v>4차</v>
      </c>
      <c r="D8794" s="1" t="str">
        <f>"9628X29244"</f>
        <v>9628X29244</v>
      </c>
      <c r="E8794" s="1" t="s">
        <v>10</v>
      </c>
      <c r="F8794" s="1" t="str">
        <f>"10.10.121.66"</f>
        <v>10.10.121.66</v>
      </c>
      <c r="G8794" s="1" t="str">
        <f>"9628X292"</f>
        <v>9628X292</v>
      </c>
      <c r="H8794" s="1" t="str">
        <f>"역말간 37R4L1"</f>
        <v>역말간 37R4L1</v>
      </c>
      <c r="I8794" s="1" t="s">
        <v>8</v>
      </c>
      <c r="J8794" s="1" t="str">
        <f>"7/7"</f>
        <v>7/7</v>
      </c>
      <c r="K8794" s="1" t="str">
        <f t="shared" si="435"/>
        <v>2026-07-29 13:18:11</v>
      </c>
      <c r="L8794" s="1" t="str">
        <f>"2019-10-14 18:09:14"</f>
        <v>2019-10-14 18:09:14</v>
      </c>
      <c r="M8794" s="1" t="s">
        <v>1</v>
      </c>
      <c r="N8794" s="1" t="s">
        <v>38</v>
      </c>
      <c r="O8794" s="1" t="s">
        <v>46</v>
      </c>
    </row>
    <row r="8795" spans="2:15" x14ac:dyDescent="0.3">
      <c r="B8795" s="1" t="s">
        <v>21</v>
      </c>
      <c r="C8795" s="1" t="str">
        <f t="shared" si="437"/>
        <v>4차</v>
      </c>
      <c r="D8795" s="1" t="str">
        <f>"9628X30144"</f>
        <v>9628X30144</v>
      </c>
      <c r="E8795" s="1" t="s">
        <v>10</v>
      </c>
      <c r="F8795" s="1" t="str">
        <f>"10.10.84.130"</f>
        <v>10.10.84.130</v>
      </c>
      <c r="G8795" s="1" t="str">
        <f>"9628X301"</f>
        <v>9628X301</v>
      </c>
      <c r="H8795" s="1" t="str">
        <f>"역말간 17R3L7"</f>
        <v>역말간 17R3L7</v>
      </c>
      <c r="I8795" s="1" t="s">
        <v>8</v>
      </c>
      <c r="J8795" s="1" t="str">
        <f>"52/52"</f>
        <v>52/52</v>
      </c>
      <c r="K8795" s="1" t="str">
        <f t="shared" si="435"/>
        <v>2026-07-29 13:18:11</v>
      </c>
      <c r="L8795" s="1" t="str">
        <f>"2019-10-10 11:53:05"</f>
        <v>2019-10-10 11:53:05</v>
      </c>
      <c r="M8795" s="1" t="s">
        <v>1</v>
      </c>
      <c r="N8795" s="1" t="s">
        <v>38</v>
      </c>
      <c r="O8795" s="1" t="s">
        <v>46</v>
      </c>
    </row>
    <row r="8796" spans="2:15" x14ac:dyDescent="0.3">
      <c r="B8796" s="1" t="s">
        <v>21</v>
      </c>
      <c r="C8796" s="1" t="str">
        <f t="shared" si="437"/>
        <v>4차</v>
      </c>
      <c r="D8796" s="1" t="str">
        <f>"9628X31244"</f>
        <v>9628X31244</v>
      </c>
      <c r="E8796" s="1" t="s">
        <v>10</v>
      </c>
      <c r="F8796" s="1" t="str">
        <f>"10.10.84.114"</f>
        <v>10.10.84.114</v>
      </c>
      <c r="G8796" s="1" t="str">
        <f>"9628X312"</f>
        <v>9628X312</v>
      </c>
      <c r="H8796" s="1" t="str">
        <f>"역말간 24R5"</f>
        <v>역말간 24R5</v>
      </c>
      <c r="I8796" s="1" t="s">
        <v>8</v>
      </c>
      <c r="J8796" s="1" t="str">
        <f>"33/33"</f>
        <v>33/33</v>
      </c>
      <c r="K8796" s="1" t="str">
        <f t="shared" si="435"/>
        <v>2026-07-29 13:18:11</v>
      </c>
      <c r="L8796" s="1" t="str">
        <f>"2019-10-10 11:51:56"</f>
        <v>2019-10-10 11:51:56</v>
      </c>
      <c r="M8796" s="1" t="s">
        <v>1</v>
      </c>
      <c r="N8796" s="1" t="s">
        <v>38</v>
      </c>
      <c r="O8796" s="1" t="s">
        <v>46</v>
      </c>
    </row>
    <row r="8797" spans="2:15" x14ac:dyDescent="0.3">
      <c r="B8797" s="1" t="s">
        <v>21</v>
      </c>
      <c r="C8797" s="1" t="str">
        <f>"1차"</f>
        <v>1차</v>
      </c>
      <c r="D8797" s="1" t="str">
        <f>"9628X32101"</f>
        <v>9628X32101</v>
      </c>
      <c r="E8797" s="1" t="s">
        <v>10</v>
      </c>
      <c r="F8797" s="1" t="str">
        <f>"10.128.73.131"</f>
        <v>10.128.73.131</v>
      </c>
      <c r="G8797" s="1" t="str">
        <f>"9628X321"</f>
        <v>9628X321</v>
      </c>
      <c r="H8797" s="1" t="str">
        <f>"역말간 32R11"</f>
        <v>역말간 32R11</v>
      </c>
      <c r="I8797" s="1" t="s">
        <v>8</v>
      </c>
      <c r="J8797" s="1" t="str">
        <f>"51/53"</f>
        <v>51/53</v>
      </c>
      <c r="K8797" s="1" t="str">
        <f t="shared" si="435"/>
        <v>2026-07-29 13:18:11</v>
      </c>
      <c r="L8797" s="1" t="str">
        <f>"2014-11-26 16:45:04"</f>
        <v>2014-11-26 16:45:04</v>
      </c>
      <c r="M8797" s="1" t="s">
        <v>45</v>
      </c>
      <c r="N8797" s="1" t="s">
        <v>38</v>
      </c>
      <c r="O8797" s="1" t="s">
        <v>46</v>
      </c>
    </row>
    <row r="8798" spans="2:15" x14ac:dyDescent="0.3">
      <c r="B8798" s="1" t="s">
        <v>21</v>
      </c>
      <c r="C8798" s="1" t="str">
        <f>"4차"</f>
        <v>4차</v>
      </c>
      <c r="D8798" s="1" t="str">
        <f>"9628X35144"</f>
        <v>9628X35144</v>
      </c>
      <c r="E8798" s="1" t="s">
        <v>10</v>
      </c>
      <c r="F8798" s="1" t="str">
        <f>"10.10.85.2"</f>
        <v>10.10.85.2</v>
      </c>
      <c r="G8798" s="1" t="str">
        <f>"9628X351"</f>
        <v>9628X351</v>
      </c>
      <c r="H8798" s="1" t="str">
        <f>"역말간 32R3L4"</f>
        <v>역말간 32R3L4</v>
      </c>
      <c r="I8798" s="1" t="s">
        <v>8</v>
      </c>
      <c r="J8798" s="1" t="str">
        <f>"53/53"</f>
        <v>53/53</v>
      </c>
      <c r="K8798" s="1" t="str">
        <f t="shared" si="435"/>
        <v>2026-07-29 13:18:11</v>
      </c>
      <c r="L8798" s="1" t="str">
        <f>"2019-10-10 16:13:04"</f>
        <v>2019-10-10 16:13:04</v>
      </c>
      <c r="M8798" s="1" t="s">
        <v>1</v>
      </c>
      <c r="N8798" s="1" t="s">
        <v>38</v>
      </c>
      <c r="O8798" s="1" t="s">
        <v>46</v>
      </c>
    </row>
    <row r="8799" spans="2:15" x14ac:dyDescent="0.3">
      <c r="B8799" s="1" t="s">
        <v>21</v>
      </c>
      <c r="C8799" s="1" t="str">
        <f>"4차"</f>
        <v>4차</v>
      </c>
      <c r="D8799" s="1" t="str">
        <f>"9628X36244"</f>
        <v>9628X36244</v>
      </c>
      <c r="E8799" s="1" t="s">
        <v>10</v>
      </c>
      <c r="F8799" s="1" t="str">
        <f>"10.10.85.114"</f>
        <v>10.10.85.114</v>
      </c>
      <c r="G8799" s="1" t="str">
        <f>"9628X362"</f>
        <v>9628X362</v>
      </c>
      <c r="H8799" s="1" t="str">
        <f>"역말간 37R13"</f>
        <v>역말간 37R13</v>
      </c>
      <c r="I8799" s="1" t="s">
        <v>8</v>
      </c>
      <c r="J8799" s="1" t="str">
        <f>"46/47"</f>
        <v>46/47</v>
      </c>
      <c r="K8799" s="1" t="str">
        <f t="shared" si="435"/>
        <v>2026-07-29 13:18:11</v>
      </c>
      <c r="L8799" s="1" t="str">
        <f>"2019-10-10 17:17:44"</f>
        <v>2019-10-10 17:17:44</v>
      </c>
      <c r="M8799" s="1" t="s">
        <v>1</v>
      </c>
      <c r="N8799" s="1" t="s">
        <v>38</v>
      </c>
      <c r="O8799" s="1" t="s">
        <v>46</v>
      </c>
    </row>
    <row r="8800" spans="2:15" x14ac:dyDescent="0.3">
      <c r="B8800" s="1" t="s">
        <v>21</v>
      </c>
      <c r="C8800" s="1" t="str">
        <f>"4차"</f>
        <v>4차</v>
      </c>
      <c r="D8800" s="1" t="str">
        <f>"9628X38144"</f>
        <v>9628X38144</v>
      </c>
      <c r="E8800" s="1" t="s">
        <v>10</v>
      </c>
      <c r="F8800" s="1" t="str">
        <f>"10.10.86.10"</f>
        <v>10.10.86.10</v>
      </c>
      <c r="G8800" s="1" t="str">
        <f>"9628X381"</f>
        <v>9628X381</v>
      </c>
      <c r="H8800" s="1" t="str">
        <f>"역말간 37R9"</f>
        <v>역말간 37R9</v>
      </c>
      <c r="I8800" s="1" t="s">
        <v>8</v>
      </c>
      <c r="J8800" s="1" t="str">
        <f>"29/30"</f>
        <v>29/30</v>
      </c>
      <c r="K8800" s="1" t="str">
        <f t="shared" si="435"/>
        <v>2026-07-29 13:18:11</v>
      </c>
      <c r="L8800" s="1" t="str">
        <f>"2019-10-14 17:43:05"</f>
        <v>2019-10-14 17:43:05</v>
      </c>
      <c r="M8800" s="1" t="s">
        <v>1</v>
      </c>
      <c r="N8800" s="1" t="s">
        <v>38</v>
      </c>
      <c r="O8800" s="1" t="s">
        <v>46</v>
      </c>
    </row>
    <row r="8801" spans="2:15" x14ac:dyDescent="0.3">
      <c r="B8801" s="1" t="s">
        <v>21</v>
      </c>
      <c r="C8801" s="1" t="str">
        <f>"5-2차"</f>
        <v>5-2차</v>
      </c>
      <c r="D8801" s="1" t="str">
        <f>"9628X3915M"</f>
        <v>9628X3915M</v>
      </c>
      <c r="E8801" s="1" t="s">
        <v>10</v>
      </c>
      <c r="F8801" s="1" t="str">
        <f>"fde3:102:1303:1700:0:0:0:10"</f>
        <v>fde3:102:1303:1700:0:0:0:10</v>
      </c>
      <c r="G8801" s="1" t="str">
        <f>"9628X391"</f>
        <v>9628X391</v>
      </c>
      <c r="H8801" s="1" t="str">
        <f>"서오간 11"</f>
        <v>서오간 11</v>
      </c>
      <c r="I8801" s="1" t="s">
        <v>15</v>
      </c>
      <c r="J8801" s="1" t="str">
        <f>"49/50"</f>
        <v>49/50</v>
      </c>
      <c r="K8801" s="1" t="str">
        <f>"2026-07-29 14:21:24"</f>
        <v>2026-07-29 14:21:24</v>
      </c>
      <c r="L8801" s="1" t="str">
        <f>"2023-11-23 13:41:04"</f>
        <v>2023-11-23 13:41:04</v>
      </c>
      <c r="M8801" s="1" t="s">
        <v>45</v>
      </c>
      <c r="N8801" s="1" t="s">
        <v>38</v>
      </c>
      <c r="O8801" s="1" t="s">
        <v>46</v>
      </c>
    </row>
    <row r="8802" spans="2:15" x14ac:dyDescent="0.3">
      <c r="B8802" s="1" t="s">
        <v>21</v>
      </c>
      <c r="C8802" s="1" t="str">
        <f>"4차"</f>
        <v>4차</v>
      </c>
      <c r="D8802" s="1" t="str">
        <f>"9628X41D39"</f>
        <v>9628X41D39</v>
      </c>
      <c r="E8802" s="1" t="s">
        <v>10</v>
      </c>
      <c r="F8802" s="1" t="str">
        <f>"10.12.133.194"</f>
        <v>10.12.133.194</v>
      </c>
      <c r="G8802" s="1" t="str">
        <f>"9628X41D"</f>
        <v>9628X41D</v>
      </c>
      <c r="H8802" s="1" t="str">
        <f>"역촌 L4"</f>
        <v>역촌 L4</v>
      </c>
      <c r="I8802" s="1" t="s">
        <v>17</v>
      </c>
      <c r="J8802" s="1" t="str">
        <f>"7/7"</f>
        <v>7/7</v>
      </c>
      <c r="K8802" s="1" t="str">
        <f>"2026-07-29 13:18:11"</f>
        <v>2026-07-29 13:18:11</v>
      </c>
      <c r="L8802" s="1" t="str">
        <f>"2018-06-23 08:40:27"</f>
        <v>2018-06-23 08:40:27</v>
      </c>
      <c r="M8802" s="1" t="s">
        <v>0</v>
      </c>
      <c r="N8802" s="1" t="s">
        <v>38</v>
      </c>
      <c r="O8802" s="1" t="s">
        <v>46</v>
      </c>
    </row>
    <row r="8803" spans="2:15" x14ac:dyDescent="0.3">
      <c r="B8803" s="1" t="s">
        <v>21</v>
      </c>
      <c r="C8803" s="1" t="str">
        <f>"4차"</f>
        <v>4차</v>
      </c>
      <c r="D8803" s="1" t="str">
        <f>"9628X43839"</f>
        <v>9628X43839</v>
      </c>
      <c r="E8803" s="1" t="s">
        <v>10</v>
      </c>
      <c r="F8803" s="1" t="str">
        <f>"10.12.133.197"</f>
        <v>10.12.133.197</v>
      </c>
      <c r="G8803" s="1" t="str">
        <f>"9628X438"</f>
        <v>9628X438</v>
      </c>
      <c r="H8803" s="1" t="str">
        <f>"역촌 L5"</f>
        <v>역촌 L5</v>
      </c>
      <c r="I8803" s="1" t="s">
        <v>17</v>
      </c>
      <c r="J8803" s="1" t="str">
        <f>"3/3"</f>
        <v>3/3</v>
      </c>
      <c r="K8803" s="1" t="str">
        <f>"2026-07-29 13:18:12"</f>
        <v>2026-07-29 13:18:12</v>
      </c>
      <c r="L8803" s="1" t="str">
        <f>"2018-06-23 08:40:40"</f>
        <v>2018-06-23 08:40:40</v>
      </c>
      <c r="M8803" s="1" t="s">
        <v>0</v>
      </c>
      <c r="N8803" s="1" t="s">
        <v>38</v>
      </c>
      <c r="O8803" s="1" t="s">
        <v>46</v>
      </c>
    </row>
    <row r="8804" spans="2:15" x14ac:dyDescent="0.3">
      <c r="B8804" s="1" t="s">
        <v>21</v>
      </c>
      <c r="C8804" s="1" t="str">
        <f>"4차"</f>
        <v>4차</v>
      </c>
      <c r="D8804" s="1" t="str">
        <f>"9628X45A39"</f>
        <v>9628X45A39</v>
      </c>
      <c r="E8804" s="1" t="s">
        <v>10</v>
      </c>
      <c r="F8804" s="1" t="str">
        <f>"10.12.133.29"</f>
        <v>10.12.133.29</v>
      </c>
      <c r="G8804" s="1" t="str">
        <f>"9628X45A"</f>
        <v>9628X45A</v>
      </c>
      <c r="H8804" s="1" t="str">
        <f>"역촌 R4"</f>
        <v>역촌 R4</v>
      </c>
      <c r="I8804" s="1" t="s">
        <v>17</v>
      </c>
      <c r="J8804" s="1" t="str">
        <f>"41/41"</f>
        <v>41/41</v>
      </c>
      <c r="K8804" s="1" t="str">
        <f>"2026-07-29 13:18:13"</f>
        <v>2026-07-29 13:18:13</v>
      </c>
      <c r="L8804" s="1" t="str">
        <f>"2018-06-23 08:52:57"</f>
        <v>2018-06-23 08:52:57</v>
      </c>
      <c r="M8804" s="1" t="s">
        <v>0</v>
      </c>
      <c r="N8804" s="1" t="s">
        <v>38</v>
      </c>
      <c r="O8804" s="1" t="s">
        <v>46</v>
      </c>
    </row>
    <row r="8805" spans="2:15" x14ac:dyDescent="0.3">
      <c r="B8805" s="1" t="s">
        <v>21</v>
      </c>
      <c r="C8805" s="1" t="str">
        <f>"4차"</f>
        <v>4차</v>
      </c>
      <c r="D8805" s="1" t="str">
        <f>"9628X45B39"</f>
        <v>9628X45B39</v>
      </c>
      <c r="E8805" s="1" t="s">
        <v>10</v>
      </c>
      <c r="F8805" s="1" t="str">
        <f>"10.12.133.188"</f>
        <v>10.12.133.188</v>
      </c>
      <c r="G8805" s="1" t="str">
        <f>"9628X45B"</f>
        <v>9628X45B</v>
      </c>
      <c r="H8805" s="1" t="str">
        <f>"역촌 L6"</f>
        <v>역촌 L6</v>
      </c>
      <c r="I8805" s="1" t="s">
        <v>17</v>
      </c>
      <c r="J8805" s="1" t="str">
        <f>"16/18"</f>
        <v>16/18</v>
      </c>
      <c r="K8805" s="1" t="str">
        <f>"2026-07-29 13:18:12"</f>
        <v>2026-07-29 13:18:12</v>
      </c>
      <c r="L8805" s="1" t="str">
        <f>"2018-06-23 09:01:46"</f>
        <v>2018-06-23 09:01:46</v>
      </c>
      <c r="M8805" s="1" t="s">
        <v>0</v>
      </c>
      <c r="N8805" s="1" t="s">
        <v>38</v>
      </c>
      <c r="O8805" s="1" t="s">
        <v>46</v>
      </c>
    </row>
    <row r="8806" spans="2:15" x14ac:dyDescent="0.3">
      <c r="B8806" s="1" t="s">
        <v>21</v>
      </c>
      <c r="C8806" s="1" t="str">
        <f>"4차"</f>
        <v>4차</v>
      </c>
      <c r="D8806" s="1" t="str">
        <f>"9628X47639"</f>
        <v>9628X47639</v>
      </c>
      <c r="E8806" s="1" t="s">
        <v>10</v>
      </c>
      <c r="F8806" s="1" t="str">
        <f>"10.14.1.188"</f>
        <v>10.14.1.188</v>
      </c>
      <c r="G8806" s="1" t="str">
        <f>"9628X476"</f>
        <v>9628X476</v>
      </c>
      <c r="H8806" s="1" t="str">
        <f>"역촌 R5"</f>
        <v>역촌 R5</v>
      </c>
      <c r="I8806" s="1" t="s">
        <v>17</v>
      </c>
      <c r="J8806" s="1" t="str">
        <f>"37/37"</f>
        <v>37/37</v>
      </c>
      <c r="K8806" s="1" t="str">
        <f>"2026-07-29 13:18:11"</f>
        <v>2026-07-29 13:18:11</v>
      </c>
      <c r="L8806" s="1" t="str">
        <f>"2018-06-23 09:13:26"</f>
        <v>2018-06-23 09:13:26</v>
      </c>
      <c r="M8806" s="1" t="s">
        <v>3</v>
      </c>
      <c r="N8806" s="1" t="s">
        <v>38</v>
      </c>
      <c r="O8806" s="1" t="s">
        <v>46</v>
      </c>
    </row>
    <row r="8807" spans="2:15" x14ac:dyDescent="0.3">
      <c r="B8807" s="1" t="s">
        <v>21</v>
      </c>
      <c r="C8807" s="1" t="str">
        <f>"3차"</f>
        <v>3차</v>
      </c>
      <c r="D8807" s="1" t="str">
        <f>"9628X47739"</f>
        <v>9628X47739</v>
      </c>
      <c r="E8807" s="1" t="s">
        <v>10</v>
      </c>
      <c r="F8807" s="1" t="str">
        <f>"10.12.133.69"</f>
        <v>10.12.133.69</v>
      </c>
      <c r="G8807" s="1" t="str">
        <f>"9628X477"</f>
        <v>9628X477</v>
      </c>
      <c r="H8807" s="1" t="str">
        <f>"역촌 L7"</f>
        <v>역촌 L7</v>
      </c>
      <c r="I8807" s="1" t="s">
        <v>17</v>
      </c>
      <c r="J8807" s="1" t="str">
        <f>"4/4"</f>
        <v>4/4</v>
      </c>
      <c r="K8807" s="1" t="str">
        <f>"2026-07-29 13:18:12"</f>
        <v>2026-07-29 13:18:12</v>
      </c>
      <c r="L8807" s="1" t="str">
        <f>"2018-06-23 09:42:26"</f>
        <v>2018-06-23 09:42:26</v>
      </c>
      <c r="M8807" s="1" t="s">
        <v>0</v>
      </c>
      <c r="N8807" s="1" t="s">
        <v>38</v>
      </c>
      <c r="O8807" s="1" t="s">
        <v>46</v>
      </c>
    </row>
    <row r="8808" spans="2:15" x14ac:dyDescent="0.3">
      <c r="B8808" s="1" t="s">
        <v>21</v>
      </c>
      <c r="C8808" s="1" t="str">
        <f>"4차"</f>
        <v>4차</v>
      </c>
      <c r="D8808" s="1" t="str">
        <f>"9628X49339"</f>
        <v>9628X49339</v>
      </c>
      <c r="E8808" s="1" t="s">
        <v>10</v>
      </c>
      <c r="F8808" s="1" t="str">
        <f>"10.14.2.28"</f>
        <v>10.14.2.28</v>
      </c>
      <c r="G8808" s="1" t="str">
        <f>"9628X493"</f>
        <v>9628X493</v>
      </c>
      <c r="H8808" s="1" t="str">
        <f>"역촌 R6"</f>
        <v>역촌 R6</v>
      </c>
      <c r="I8808" s="1" t="s">
        <v>17</v>
      </c>
      <c r="J8808" s="1" t="str">
        <f>"17/17"</f>
        <v>17/17</v>
      </c>
      <c r="K8808" s="1" t="str">
        <f>"2026-07-29 13:18:12"</f>
        <v>2026-07-29 13:18:12</v>
      </c>
      <c r="L8808" s="1" t="str">
        <f>"2018-10-18 12:17:41"</f>
        <v>2018-10-18 12:17:41</v>
      </c>
      <c r="M8808" s="1" t="s">
        <v>3</v>
      </c>
      <c r="N8808" s="1" t="s">
        <v>38</v>
      </c>
      <c r="O8808" s="1" t="s">
        <v>46</v>
      </c>
    </row>
    <row r="8809" spans="2:15" x14ac:dyDescent="0.3">
      <c r="B8809" s="1" t="s">
        <v>21</v>
      </c>
      <c r="C8809" s="1" t="str">
        <f>"1차"</f>
        <v>1차</v>
      </c>
      <c r="D8809" s="1" t="str">
        <f>"9628X50101"</f>
        <v>9628X50101</v>
      </c>
      <c r="E8809" s="1" t="s">
        <v>10</v>
      </c>
      <c r="F8809" s="1" t="str">
        <f>"10.12.134.199"</f>
        <v>10.12.134.199</v>
      </c>
      <c r="G8809" s="1" t="str">
        <f>"9628X501"</f>
        <v>9628X501</v>
      </c>
      <c r="H8809" s="1" t="str">
        <f>"갈촌간 3L13R4"</f>
        <v>갈촌간 3L13R4</v>
      </c>
      <c r="I8809" s="1" t="s">
        <v>8</v>
      </c>
      <c r="J8809" s="1" t="str">
        <f>"51/51"</f>
        <v>51/51</v>
      </c>
      <c r="K8809" s="1" t="str">
        <f>"2026-07-29 13:18:11"</f>
        <v>2026-07-29 13:18:11</v>
      </c>
      <c r="L8809" s="1" t="str">
        <f>"2015-01-12 10:48:39"</f>
        <v>2015-01-12 10:48:39</v>
      </c>
      <c r="M8809" s="1" t="s">
        <v>0</v>
      </c>
      <c r="N8809" s="1" t="s">
        <v>38</v>
      </c>
      <c r="O8809" s="1" t="s">
        <v>46</v>
      </c>
    </row>
    <row r="8810" spans="2:15" x14ac:dyDescent="0.3">
      <c r="B8810" s="1" t="s">
        <v>21</v>
      </c>
      <c r="C8810" s="1" t="str">
        <f t="shared" ref="C8810:C8818" si="438">"4차"</f>
        <v>4차</v>
      </c>
      <c r="D8810" s="1" t="str">
        <f>"9628X50439"</f>
        <v>9628X50439</v>
      </c>
      <c r="E8810" s="1" t="s">
        <v>10</v>
      </c>
      <c r="F8810" s="1" t="str">
        <f>"10.12.133.36"</f>
        <v>10.12.133.36</v>
      </c>
      <c r="G8810" s="1" t="str">
        <f>"9628X504"</f>
        <v>9628X504</v>
      </c>
      <c r="H8810" s="1" t="str">
        <f>"역촌 R3"</f>
        <v>역촌 R3</v>
      </c>
      <c r="I8810" s="1" t="s">
        <v>17</v>
      </c>
      <c r="J8810" s="1" t="str">
        <f>"13/13"</f>
        <v>13/13</v>
      </c>
      <c r="K8810" s="1" t="str">
        <f>"2026-07-28 20:03:50"</f>
        <v>2026-07-28 20:03:50</v>
      </c>
      <c r="L8810" s="1" t="str">
        <f>"2018-06-23 08:19:40"</f>
        <v>2018-06-23 08:19:40</v>
      </c>
      <c r="M8810" s="1" t="s">
        <v>0</v>
      </c>
      <c r="N8810" s="1" t="s">
        <v>38</v>
      </c>
      <c r="O8810" s="1" t="s">
        <v>46</v>
      </c>
    </row>
    <row r="8811" spans="2:15" x14ac:dyDescent="0.3">
      <c r="B8811" s="1" t="s">
        <v>21</v>
      </c>
      <c r="C8811" s="1" t="str">
        <f t="shared" si="438"/>
        <v>4차</v>
      </c>
      <c r="D8811" s="1" t="str">
        <f>"9628X54144"</f>
        <v>9628X54144</v>
      </c>
      <c r="E8811" s="1" t="s">
        <v>10</v>
      </c>
      <c r="F8811" s="1" t="str">
        <f>"10.10.119.234"</f>
        <v>10.10.119.234</v>
      </c>
      <c r="G8811" s="1" t="str">
        <f>"9628X541"</f>
        <v>9628X541</v>
      </c>
      <c r="H8811" s="1" t="str">
        <f>"갈촌간 3L11R11"</f>
        <v>갈촌간 3L11R11</v>
      </c>
      <c r="I8811" s="1" t="s">
        <v>8</v>
      </c>
      <c r="J8811" s="1" t="str">
        <f>"30/30"</f>
        <v>30/30</v>
      </c>
      <c r="K8811" s="1" t="str">
        <f t="shared" ref="K8811:K8818" si="439">"2026-07-29 13:18:11"</f>
        <v>2026-07-29 13:18:11</v>
      </c>
      <c r="L8811" s="1" t="str">
        <f>"2019-10-14 18:13:04"</f>
        <v>2019-10-14 18:13:04</v>
      </c>
      <c r="M8811" s="1" t="s">
        <v>1</v>
      </c>
      <c r="N8811" s="1" t="s">
        <v>38</v>
      </c>
      <c r="O8811" s="1" t="s">
        <v>46</v>
      </c>
    </row>
    <row r="8812" spans="2:15" x14ac:dyDescent="0.3">
      <c r="B8812" s="1" t="s">
        <v>21</v>
      </c>
      <c r="C8812" s="1" t="str">
        <f t="shared" si="438"/>
        <v>4차</v>
      </c>
      <c r="D8812" s="1" t="str">
        <f>"9628X54244"</f>
        <v>9628X54244</v>
      </c>
      <c r="E8812" s="1" t="s">
        <v>10</v>
      </c>
      <c r="F8812" s="1" t="str">
        <f>"10.10.93.226"</f>
        <v>10.10.93.226</v>
      </c>
      <c r="G8812" s="1" t="str">
        <f>"9628X542"</f>
        <v>9628X542</v>
      </c>
      <c r="H8812" s="1" t="str">
        <f>"갈촌간 3L11R10"</f>
        <v>갈촌간 3L11R10</v>
      </c>
      <c r="I8812" s="1" t="s">
        <v>8</v>
      </c>
      <c r="J8812" s="1" t="str">
        <f>"50/50"</f>
        <v>50/50</v>
      </c>
      <c r="K8812" s="1" t="str">
        <f t="shared" si="439"/>
        <v>2026-07-29 13:18:11</v>
      </c>
      <c r="L8812" s="1" t="str">
        <f>"2019-10-14 16:54:59"</f>
        <v>2019-10-14 16:54:59</v>
      </c>
      <c r="M8812" s="1" t="s">
        <v>1</v>
      </c>
      <c r="N8812" s="1" t="s">
        <v>38</v>
      </c>
      <c r="O8812" s="1" t="s">
        <v>46</v>
      </c>
    </row>
    <row r="8813" spans="2:15" x14ac:dyDescent="0.3">
      <c r="B8813" s="1" t="s">
        <v>21</v>
      </c>
      <c r="C8813" s="1" t="str">
        <f t="shared" si="438"/>
        <v>4차</v>
      </c>
      <c r="D8813" s="1" t="str">
        <f>"9628X55244"</f>
        <v>9628X55244</v>
      </c>
      <c r="E8813" s="1" t="s">
        <v>10</v>
      </c>
      <c r="F8813" s="1" t="str">
        <f>"10.10.111.42"</f>
        <v>10.10.111.42</v>
      </c>
      <c r="G8813" s="1" t="str">
        <f>"9628X552"</f>
        <v>9628X552</v>
      </c>
      <c r="H8813" s="1" t="str">
        <f>"갈촌간 3L7R8"</f>
        <v>갈촌간 3L7R8</v>
      </c>
      <c r="I8813" s="1" t="s">
        <v>8</v>
      </c>
      <c r="J8813" s="1" t="str">
        <f>"10/10"</f>
        <v>10/10</v>
      </c>
      <c r="K8813" s="1" t="str">
        <f t="shared" si="439"/>
        <v>2026-07-29 13:18:11</v>
      </c>
      <c r="L8813" s="1" t="str">
        <f>"2019-10-14 11:39:11"</f>
        <v>2019-10-14 11:39:11</v>
      </c>
      <c r="M8813" s="1" t="s">
        <v>1</v>
      </c>
      <c r="N8813" s="1" t="s">
        <v>38</v>
      </c>
      <c r="O8813" s="1" t="s">
        <v>46</v>
      </c>
    </row>
    <row r="8814" spans="2:15" x14ac:dyDescent="0.3">
      <c r="B8814" s="1" t="s">
        <v>21</v>
      </c>
      <c r="C8814" s="1" t="str">
        <f t="shared" si="438"/>
        <v>4차</v>
      </c>
      <c r="D8814" s="1" t="str">
        <f>"9628X55344"</f>
        <v>9628X55344</v>
      </c>
      <c r="E8814" s="1" t="s">
        <v>10</v>
      </c>
      <c r="F8814" s="1" t="str">
        <f>"10.10.93.154"</f>
        <v>10.10.93.154</v>
      </c>
      <c r="G8814" s="1" t="str">
        <f>"9628X553"</f>
        <v>9628X553</v>
      </c>
      <c r="H8814" s="1" t="str">
        <f>"갈촌간 3L7R9"</f>
        <v>갈촌간 3L7R9</v>
      </c>
      <c r="I8814" s="1" t="s">
        <v>8</v>
      </c>
      <c r="J8814" s="1" t="str">
        <f>"29/38"</f>
        <v>29/38</v>
      </c>
      <c r="K8814" s="1" t="str">
        <f t="shared" si="439"/>
        <v>2026-07-29 13:18:11</v>
      </c>
      <c r="L8814" s="1" t="str">
        <f>"2020-01-21 16:49:48"</f>
        <v>2020-01-21 16:49:48</v>
      </c>
      <c r="M8814" s="1" t="s">
        <v>1</v>
      </c>
      <c r="N8814" s="1" t="s">
        <v>38</v>
      </c>
      <c r="O8814" s="1" t="s">
        <v>46</v>
      </c>
    </row>
    <row r="8815" spans="2:15" x14ac:dyDescent="0.3">
      <c r="B8815" s="1" t="s">
        <v>21</v>
      </c>
      <c r="C8815" s="1" t="str">
        <f t="shared" si="438"/>
        <v>4차</v>
      </c>
      <c r="D8815" s="1" t="str">
        <f>"9628X56144"</f>
        <v>9628X56144</v>
      </c>
      <c r="E8815" s="1" t="s">
        <v>10</v>
      </c>
      <c r="F8815" s="1" t="str">
        <f>"10.10.77.202"</f>
        <v>10.10.77.202</v>
      </c>
      <c r="G8815" s="1" t="str">
        <f>"9628X561"</f>
        <v>9628X561</v>
      </c>
      <c r="H8815" s="1" t="str">
        <f>"갈촌간 3L7R10"</f>
        <v>갈촌간 3L7R10</v>
      </c>
      <c r="I8815" s="1" t="s">
        <v>8</v>
      </c>
      <c r="J8815" s="1" t="str">
        <f>"28/29"</f>
        <v>28/29</v>
      </c>
      <c r="K8815" s="1" t="str">
        <f t="shared" si="439"/>
        <v>2026-07-29 13:18:11</v>
      </c>
      <c r="L8815" s="1" t="str">
        <f>"2019-10-15 14:03:04"</f>
        <v>2019-10-15 14:03:04</v>
      </c>
      <c r="M8815" s="1" t="s">
        <v>1</v>
      </c>
      <c r="N8815" s="1" t="s">
        <v>38</v>
      </c>
      <c r="O8815" s="1" t="s">
        <v>46</v>
      </c>
    </row>
    <row r="8816" spans="2:15" x14ac:dyDescent="0.3">
      <c r="B8816" s="1" t="s">
        <v>21</v>
      </c>
      <c r="C8816" s="1" t="str">
        <f t="shared" si="438"/>
        <v>4차</v>
      </c>
      <c r="D8816" s="1" t="str">
        <f>"9628X56244"</f>
        <v>9628X56244</v>
      </c>
      <c r="E8816" s="1" t="s">
        <v>10</v>
      </c>
      <c r="F8816" s="1" t="str">
        <f>"10.10.78.42"</f>
        <v>10.10.78.42</v>
      </c>
      <c r="G8816" s="1" t="str">
        <f>"9628X562"</f>
        <v>9628X562</v>
      </c>
      <c r="H8816" s="1" t="str">
        <f>"갈촌간 3L7R7R3"</f>
        <v>갈촌간 3L7R7R3</v>
      </c>
      <c r="I8816" s="1" t="s">
        <v>8</v>
      </c>
      <c r="J8816" s="1" t="str">
        <f>"54/54"</f>
        <v>54/54</v>
      </c>
      <c r="K8816" s="1" t="str">
        <f t="shared" si="439"/>
        <v>2026-07-29 13:18:11</v>
      </c>
      <c r="L8816" s="1" t="str">
        <f>"2019-11-04 09:33:44"</f>
        <v>2019-11-04 09:33:44</v>
      </c>
      <c r="M8816" s="1" t="s">
        <v>1</v>
      </c>
      <c r="N8816" s="1" t="s">
        <v>38</v>
      </c>
      <c r="O8816" s="1" t="s">
        <v>46</v>
      </c>
    </row>
    <row r="8817" spans="2:15" x14ac:dyDescent="0.3">
      <c r="B8817" s="1" t="s">
        <v>21</v>
      </c>
      <c r="C8817" s="1" t="str">
        <f t="shared" si="438"/>
        <v>4차</v>
      </c>
      <c r="D8817" s="1" t="str">
        <f>"9628X58144"</f>
        <v>9628X58144</v>
      </c>
      <c r="E8817" s="1" t="s">
        <v>10</v>
      </c>
      <c r="F8817" s="1" t="str">
        <f>"10.10.77.74"</f>
        <v>10.10.77.74</v>
      </c>
      <c r="G8817" s="1" t="str">
        <f>"9628X581"</f>
        <v>9628X581</v>
      </c>
      <c r="H8817" s="1" t="str">
        <f>"갈촌간 3L3R14"</f>
        <v>갈촌간 3L3R14</v>
      </c>
      <c r="I8817" s="1" t="s">
        <v>8</v>
      </c>
      <c r="J8817" s="1" t="str">
        <f>"43/51"</f>
        <v>43/51</v>
      </c>
      <c r="K8817" s="1" t="str">
        <f t="shared" si="439"/>
        <v>2026-07-29 13:18:11</v>
      </c>
      <c r="L8817" s="1" t="str">
        <f>"2019-10-15 14:03:04"</f>
        <v>2019-10-15 14:03:04</v>
      </c>
      <c r="M8817" s="1" t="s">
        <v>1</v>
      </c>
      <c r="N8817" s="1" t="s">
        <v>38</v>
      </c>
      <c r="O8817" s="1" t="s">
        <v>46</v>
      </c>
    </row>
    <row r="8818" spans="2:15" x14ac:dyDescent="0.3">
      <c r="B8818" s="1" t="s">
        <v>21</v>
      </c>
      <c r="C8818" s="1" t="str">
        <f t="shared" si="438"/>
        <v>4차</v>
      </c>
      <c r="D8818" s="1" t="str">
        <f>"9628X58244"</f>
        <v>9628X58244</v>
      </c>
      <c r="E8818" s="1" t="s">
        <v>10</v>
      </c>
      <c r="F8818" s="1" t="str">
        <f>"10.10.77.50"</f>
        <v>10.10.77.50</v>
      </c>
      <c r="G8818" s="1" t="str">
        <f>"9628X582"</f>
        <v>9628X582</v>
      </c>
      <c r="H8818" s="1" t="str">
        <f>"갈촌간 3L3R13R1"</f>
        <v>갈촌간 3L3R13R1</v>
      </c>
      <c r="I8818" s="1" t="s">
        <v>8</v>
      </c>
      <c r="J8818" s="1" t="str">
        <f>"33/34"</f>
        <v>33/34</v>
      </c>
      <c r="K8818" s="1" t="str">
        <f t="shared" si="439"/>
        <v>2026-07-29 13:18:11</v>
      </c>
      <c r="L8818" s="1" t="str">
        <f>"2019-10-15 13:54:58"</f>
        <v>2019-10-15 13:54:58</v>
      </c>
      <c r="M8818" s="1" t="s">
        <v>1</v>
      </c>
      <c r="N8818" s="1" t="s">
        <v>38</v>
      </c>
      <c r="O8818" s="1" t="s">
        <v>46</v>
      </c>
    </row>
    <row r="8819" spans="2:15" x14ac:dyDescent="0.3">
      <c r="B8819" s="1" t="s">
        <v>21</v>
      </c>
      <c r="C8819" s="1" t="str">
        <f>"6차"</f>
        <v>6차</v>
      </c>
      <c r="D8819" s="1" t="str">
        <f>"9628X6016S"</f>
        <v>9628X6016S</v>
      </c>
      <c r="E8819" s="1" t="s">
        <v>12</v>
      </c>
      <c r="F8819" s="1" t="str">
        <f>"fde1:103:4:c7e9:0:0:0:2"</f>
        <v>fde1:103:4:c7e9:0:0:0:2</v>
      </c>
      <c r="G8819" s="1" t="str">
        <f>"9628X601"</f>
        <v>9628X601</v>
      </c>
      <c r="H8819" s="1" t="str">
        <f>"갈촌간 3L13R2"</f>
        <v>갈촌간 3L13R2</v>
      </c>
      <c r="I8819" s="1" t="s">
        <v>15</v>
      </c>
      <c r="J8819" s="1" t="str">
        <f>"0/25"</f>
        <v>0/25</v>
      </c>
      <c r="K8819" s="1" t="str">
        <f>"2025-08-30 20:21:38"</f>
        <v>2025-08-30 20:21:38</v>
      </c>
      <c r="L8819" s="1" t="str">
        <f>"2024-12-05 11:33:21"</f>
        <v>2024-12-05 11:33:21</v>
      </c>
      <c r="M8819" s="1" t="s">
        <v>4</v>
      </c>
      <c r="N8819" s="1" t="s">
        <v>38</v>
      </c>
      <c r="O8819" s="1" t="s">
        <v>46</v>
      </c>
    </row>
    <row r="8820" spans="2:15" x14ac:dyDescent="0.3">
      <c r="B8820" s="1" t="s">
        <v>21</v>
      </c>
      <c r="C8820" s="1" t="str">
        <f>"1차"</f>
        <v>1차</v>
      </c>
      <c r="D8820" s="1" t="str">
        <f>"9628X62101"</f>
        <v>9628X62101</v>
      </c>
      <c r="E8820" s="1" t="s">
        <v>14</v>
      </c>
      <c r="F8820" s="1" t="str">
        <f>"10.128.1.66"</f>
        <v>10.128.1.66</v>
      </c>
      <c r="G8820" s="1" t="str">
        <f>"9628X621"</f>
        <v>9628X621</v>
      </c>
      <c r="H8820" s="1" t="str">
        <f>"갈촌간 3L11R3L1"</f>
        <v>갈촌간 3L11R3L1</v>
      </c>
      <c r="I8820" s="1" t="s">
        <v>8</v>
      </c>
      <c r="J8820" s="1" t="str">
        <f>"0/0"</f>
        <v>0/0</v>
      </c>
      <c r="K8820" s="1" t="str">
        <f>"2024-09-02 01:21:05"</f>
        <v>2024-09-02 01:21:05</v>
      </c>
      <c r="L8820" s="1" t="str">
        <f>"2015-01-12 17:56:29"</f>
        <v>2015-01-12 17:56:29</v>
      </c>
      <c r="M8820" s="1" t="s">
        <v>45</v>
      </c>
      <c r="N8820" s="1" t="s">
        <v>44</v>
      </c>
      <c r="O8820" s="1" t="s">
        <v>44</v>
      </c>
    </row>
    <row r="8821" spans="2:15" x14ac:dyDescent="0.3">
      <c r="B8821" s="1" t="s">
        <v>21</v>
      </c>
      <c r="C8821" s="1" t="str">
        <f t="shared" ref="C8821:C8829" si="440">"4차"</f>
        <v>4차</v>
      </c>
      <c r="D8821" s="1" t="str">
        <f>"9628X63144"</f>
        <v>9628X63144</v>
      </c>
      <c r="E8821" s="1" t="s">
        <v>10</v>
      </c>
      <c r="F8821" s="1" t="str">
        <f>"10.10.86.18"</f>
        <v>10.10.86.18</v>
      </c>
      <c r="G8821" s="1" t="str">
        <f>"9628X631"</f>
        <v>9628X631</v>
      </c>
      <c r="H8821" s="1" t="str">
        <f>"역촌sw R4R2"</f>
        <v>역촌sw R4R2</v>
      </c>
      <c r="I8821" s="1" t="s">
        <v>8</v>
      </c>
      <c r="J8821" s="1" t="str">
        <f>"63/63"</f>
        <v>63/63</v>
      </c>
      <c r="K8821" s="1" t="str">
        <f t="shared" ref="K8821:K8830" si="441">"2026-07-29 13:18:11"</f>
        <v>2026-07-29 13:18:11</v>
      </c>
      <c r="L8821" s="1" t="str">
        <f>"2019-11-07 10:03:05"</f>
        <v>2019-11-07 10:03:05</v>
      </c>
      <c r="M8821" s="1" t="s">
        <v>1</v>
      </c>
      <c r="N8821" s="1" t="s">
        <v>38</v>
      </c>
      <c r="O8821" s="1" t="s">
        <v>46</v>
      </c>
    </row>
    <row r="8822" spans="2:15" x14ac:dyDescent="0.3">
      <c r="B8822" s="1" t="s">
        <v>21</v>
      </c>
      <c r="C8822" s="1" t="str">
        <f t="shared" si="440"/>
        <v>4차</v>
      </c>
      <c r="D8822" s="1" t="str">
        <f>"9628X63244"</f>
        <v>9628X63244</v>
      </c>
      <c r="E8822" s="1" t="s">
        <v>10</v>
      </c>
      <c r="F8822" s="1" t="str">
        <f>"10.10.86.26"</f>
        <v>10.10.86.26</v>
      </c>
      <c r="G8822" s="1" t="str">
        <f>"9628X632"</f>
        <v>9628X632</v>
      </c>
      <c r="H8822" s="1" t="str">
        <f>"역촌sw R4R3"</f>
        <v>역촌sw R4R3</v>
      </c>
      <c r="I8822" s="1" t="s">
        <v>8</v>
      </c>
      <c r="J8822" s="1" t="str">
        <f>"86/86"</f>
        <v>86/86</v>
      </c>
      <c r="K8822" s="1" t="str">
        <f t="shared" si="441"/>
        <v>2026-07-29 13:18:11</v>
      </c>
      <c r="L8822" s="1" t="str">
        <f>"2019-10-14 17:53:04"</f>
        <v>2019-10-14 17:53:04</v>
      </c>
      <c r="M8822" s="1" t="s">
        <v>1</v>
      </c>
      <c r="N8822" s="1" t="s">
        <v>38</v>
      </c>
      <c r="O8822" s="1" t="s">
        <v>46</v>
      </c>
    </row>
    <row r="8823" spans="2:15" x14ac:dyDescent="0.3">
      <c r="B8823" s="1" t="s">
        <v>21</v>
      </c>
      <c r="C8823" s="1" t="str">
        <f t="shared" si="440"/>
        <v>4차</v>
      </c>
      <c r="D8823" s="1" t="str">
        <f>"9628X64144"</f>
        <v>9628X64144</v>
      </c>
      <c r="E8823" s="1" t="s">
        <v>10</v>
      </c>
      <c r="F8823" s="1" t="str">
        <f>"10.10.93.218"</f>
        <v>10.10.93.218</v>
      </c>
      <c r="G8823" s="1" t="str">
        <f>"9628X641"</f>
        <v>9628X641</v>
      </c>
      <c r="H8823" s="1" t="str">
        <f>"갈촌간 3L11R9"</f>
        <v>갈촌간 3L11R9</v>
      </c>
      <c r="I8823" s="1" t="s">
        <v>8</v>
      </c>
      <c r="J8823" s="1" t="str">
        <f>"67/67"</f>
        <v>67/67</v>
      </c>
      <c r="K8823" s="1" t="str">
        <f t="shared" si="441"/>
        <v>2026-07-29 13:18:11</v>
      </c>
      <c r="L8823" s="1" t="str">
        <f>"2019-10-14 16:51:58"</f>
        <v>2019-10-14 16:51:58</v>
      </c>
      <c r="M8823" s="1" t="s">
        <v>1</v>
      </c>
      <c r="N8823" s="1" t="s">
        <v>38</v>
      </c>
      <c r="O8823" s="1" t="s">
        <v>46</v>
      </c>
    </row>
    <row r="8824" spans="2:15" x14ac:dyDescent="0.3">
      <c r="B8824" s="1" t="s">
        <v>21</v>
      </c>
      <c r="C8824" s="1" t="str">
        <f t="shared" si="440"/>
        <v>4차</v>
      </c>
      <c r="D8824" s="1" t="str">
        <f>"9628X65244"</f>
        <v>9628X65244</v>
      </c>
      <c r="E8824" s="1" t="s">
        <v>10</v>
      </c>
      <c r="F8824" s="1" t="str">
        <f>"10.10.77.218"</f>
        <v>10.10.77.218</v>
      </c>
      <c r="G8824" s="1" t="str">
        <f>"9628X652"</f>
        <v>9628X652</v>
      </c>
      <c r="H8824" s="1" t="str">
        <f>"갈촌간 3L7R6"</f>
        <v>갈촌간 3L7R6</v>
      </c>
      <c r="I8824" s="1" t="s">
        <v>8</v>
      </c>
      <c r="J8824" s="1" t="str">
        <f>"7/7"</f>
        <v>7/7</v>
      </c>
      <c r="K8824" s="1" t="str">
        <f t="shared" si="441"/>
        <v>2026-07-29 13:18:11</v>
      </c>
      <c r="L8824" s="1" t="str">
        <f>"2019-10-14 15:39:25"</f>
        <v>2019-10-14 15:39:25</v>
      </c>
      <c r="M8824" s="1" t="s">
        <v>1</v>
      </c>
      <c r="N8824" s="1" t="s">
        <v>38</v>
      </c>
      <c r="O8824" s="1" t="s">
        <v>46</v>
      </c>
    </row>
    <row r="8825" spans="2:15" x14ac:dyDescent="0.3">
      <c r="B8825" s="1" t="s">
        <v>21</v>
      </c>
      <c r="C8825" s="1" t="str">
        <f t="shared" si="440"/>
        <v>4차</v>
      </c>
      <c r="D8825" s="1" t="str">
        <f>"9628X65444"</f>
        <v>9628X65444</v>
      </c>
      <c r="E8825" s="1" t="s">
        <v>10</v>
      </c>
      <c r="F8825" s="1" t="str">
        <f>"10.10.77.242"</f>
        <v>10.10.77.242</v>
      </c>
      <c r="G8825" s="1" t="str">
        <f>"9628X654"</f>
        <v>9628X654</v>
      </c>
      <c r="H8825" s="1" t="str">
        <f>"갈촌간 3L7R7"</f>
        <v>갈촌간 3L7R7</v>
      </c>
      <c r="I8825" s="1" t="s">
        <v>8</v>
      </c>
      <c r="J8825" s="1" t="str">
        <f>"39/39"</f>
        <v>39/39</v>
      </c>
      <c r="K8825" s="1" t="str">
        <f t="shared" si="441"/>
        <v>2026-07-29 13:18:11</v>
      </c>
      <c r="L8825" s="1" t="str">
        <f>"2019-10-14 15:43:05"</f>
        <v>2019-10-14 15:43:05</v>
      </c>
      <c r="M8825" s="1" t="s">
        <v>1</v>
      </c>
      <c r="N8825" s="1" t="s">
        <v>38</v>
      </c>
      <c r="O8825" s="1" t="s">
        <v>46</v>
      </c>
    </row>
    <row r="8826" spans="2:15" x14ac:dyDescent="0.3">
      <c r="B8826" s="1" t="s">
        <v>21</v>
      </c>
      <c r="C8826" s="1" t="str">
        <f t="shared" si="440"/>
        <v>4차</v>
      </c>
      <c r="D8826" s="1" t="str">
        <f>"9628X66144"</f>
        <v>9628X66144</v>
      </c>
      <c r="E8826" s="1" t="s">
        <v>10</v>
      </c>
      <c r="F8826" s="1" t="str">
        <f>"10.10.78.2"</f>
        <v>10.10.78.2</v>
      </c>
      <c r="G8826" s="1" t="str">
        <f>"9628X661"</f>
        <v>9628X661</v>
      </c>
      <c r="H8826" s="1" t="str">
        <f>"갈촌간 3L7R7R1"</f>
        <v>갈촌간 3L7R7R1</v>
      </c>
      <c r="I8826" s="1" t="s">
        <v>8</v>
      </c>
      <c r="J8826" s="1" t="str">
        <f>"35/35"</f>
        <v>35/35</v>
      </c>
      <c r="K8826" s="1" t="str">
        <f t="shared" si="441"/>
        <v>2026-07-29 13:18:11</v>
      </c>
      <c r="L8826" s="1" t="str">
        <f>"2019-10-24 14:58:13"</f>
        <v>2019-10-24 14:58:13</v>
      </c>
      <c r="M8826" s="1" t="s">
        <v>1</v>
      </c>
      <c r="N8826" s="1" t="s">
        <v>38</v>
      </c>
      <c r="O8826" s="1" t="s">
        <v>46</v>
      </c>
    </row>
    <row r="8827" spans="2:15" x14ac:dyDescent="0.3">
      <c r="B8827" s="1" t="s">
        <v>21</v>
      </c>
      <c r="C8827" s="1" t="str">
        <f t="shared" si="440"/>
        <v>4차</v>
      </c>
      <c r="D8827" s="1" t="str">
        <f>"9628X67144"</f>
        <v>9628X67144</v>
      </c>
      <c r="E8827" s="1" t="s">
        <v>10</v>
      </c>
      <c r="F8827" s="1" t="str">
        <f>"10.10.77.98"</f>
        <v>10.10.77.98</v>
      </c>
      <c r="G8827" s="1" t="str">
        <f>"9628X671"</f>
        <v>9628X671</v>
      </c>
      <c r="H8827" s="1" t="str">
        <f>"갈촌간 3L3R19"</f>
        <v>갈촌간 3L3R19</v>
      </c>
      <c r="I8827" s="1" t="s">
        <v>8</v>
      </c>
      <c r="J8827" s="1" t="str">
        <f>"108/108"</f>
        <v>108/108</v>
      </c>
      <c r="K8827" s="1" t="str">
        <f t="shared" si="441"/>
        <v>2026-07-29 13:18:11</v>
      </c>
      <c r="L8827" s="1" t="str">
        <f>"2019-09-09 13:33:04"</f>
        <v>2019-09-09 13:33:04</v>
      </c>
      <c r="M8827" s="1" t="s">
        <v>1</v>
      </c>
      <c r="N8827" s="1" t="s">
        <v>38</v>
      </c>
      <c r="O8827" s="1" t="s">
        <v>46</v>
      </c>
    </row>
    <row r="8828" spans="2:15" x14ac:dyDescent="0.3">
      <c r="B8828" s="1" t="s">
        <v>21</v>
      </c>
      <c r="C8828" s="1" t="str">
        <f t="shared" si="440"/>
        <v>4차</v>
      </c>
      <c r="D8828" s="1" t="str">
        <f>"9628X69144"</f>
        <v>9628X69144</v>
      </c>
      <c r="E8828" s="1" t="s">
        <v>10</v>
      </c>
      <c r="F8828" s="1" t="str">
        <f>"10.10.77.186"</f>
        <v>10.10.77.186</v>
      </c>
      <c r="G8828" s="1" t="str">
        <f>"9628X691"</f>
        <v>9628X691</v>
      </c>
      <c r="H8828" s="1" t="str">
        <f>"갈촌간 3L3R9"</f>
        <v>갈촌간 3L3R9</v>
      </c>
      <c r="I8828" s="1" t="s">
        <v>8</v>
      </c>
      <c r="J8828" s="1" t="str">
        <f>"54/54"</f>
        <v>54/54</v>
      </c>
      <c r="K8828" s="1" t="str">
        <f t="shared" si="441"/>
        <v>2026-07-29 13:18:11</v>
      </c>
      <c r="L8828" s="1" t="str">
        <f>"2019-09-03 16:03:04"</f>
        <v>2019-09-03 16:03:04</v>
      </c>
      <c r="M8828" s="1" t="s">
        <v>1</v>
      </c>
      <c r="N8828" s="1" t="s">
        <v>38</v>
      </c>
      <c r="O8828" s="1" t="s">
        <v>46</v>
      </c>
    </row>
    <row r="8829" spans="2:15" x14ac:dyDescent="0.3">
      <c r="B8829" s="1" t="s">
        <v>21</v>
      </c>
      <c r="C8829" s="1" t="str">
        <f t="shared" si="440"/>
        <v>4차</v>
      </c>
      <c r="D8829" s="1" t="str">
        <f>"9628X69344"</f>
        <v>9628X69344</v>
      </c>
      <c r="E8829" s="1" t="s">
        <v>10</v>
      </c>
      <c r="F8829" s="1" t="str">
        <f>"10.10.77.42"</f>
        <v>10.10.77.42</v>
      </c>
      <c r="G8829" s="1" t="str">
        <f>"9628X693"</f>
        <v>9628X693</v>
      </c>
      <c r="H8829" s="1" t="str">
        <f>"갈촌간 3L3R11"</f>
        <v>갈촌간 3L3R11</v>
      </c>
      <c r="I8829" s="1" t="s">
        <v>8</v>
      </c>
      <c r="J8829" s="1" t="str">
        <f>"35/35"</f>
        <v>35/35</v>
      </c>
      <c r="K8829" s="1" t="str">
        <f t="shared" si="441"/>
        <v>2026-07-29 13:18:11</v>
      </c>
      <c r="L8829" s="1" t="str">
        <f>"2019-09-03 16:49:43"</f>
        <v>2019-09-03 16:49:43</v>
      </c>
      <c r="M8829" s="1" t="s">
        <v>1</v>
      </c>
      <c r="N8829" s="1" t="s">
        <v>38</v>
      </c>
      <c r="O8829" s="1" t="s">
        <v>46</v>
      </c>
    </row>
    <row r="8830" spans="2:15" x14ac:dyDescent="0.3">
      <c r="B8830" s="1" t="s">
        <v>21</v>
      </c>
      <c r="C8830" s="1" t="str">
        <f>"1차"</f>
        <v>1차</v>
      </c>
      <c r="D8830" s="1" t="str">
        <f>"9628X72100"</f>
        <v>9628X72100</v>
      </c>
      <c r="E8830" s="1" t="s">
        <v>10</v>
      </c>
      <c r="F8830" s="1" t="str">
        <f>"10.128.1.65"</f>
        <v>10.128.1.65</v>
      </c>
      <c r="G8830" s="1" t="str">
        <f>"9628X721"</f>
        <v>9628X721</v>
      </c>
      <c r="H8830" s="1" t="str">
        <f>"갈촌간 3L11R3"</f>
        <v>갈촌간 3L11R3</v>
      </c>
      <c r="I8830" s="1" t="s">
        <v>8</v>
      </c>
      <c r="J8830" s="1" t="str">
        <f>"94/94"</f>
        <v>94/94</v>
      </c>
      <c r="K8830" s="1" t="str">
        <f t="shared" si="441"/>
        <v>2026-07-29 13:18:11</v>
      </c>
      <c r="L8830" s="1" t="str">
        <f>"2014-11-20 17:27:32"</f>
        <v>2014-11-20 17:27:32</v>
      </c>
      <c r="M8830" s="1" t="s">
        <v>45</v>
      </c>
      <c r="N8830" s="1" t="s">
        <v>38</v>
      </c>
      <c r="O8830" s="1" t="s">
        <v>46</v>
      </c>
    </row>
    <row r="8831" spans="2:15" x14ac:dyDescent="0.3">
      <c r="B8831" s="1" t="s">
        <v>21</v>
      </c>
      <c r="C8831" s="1" t="str">
        <f>"4차"</f>
        <v>4차</v>
      </c>
      <c r="D8831" s="1" t="str">
        <f>"9628X74139"</f>
        <v>9628X74139</v>
      </c>
      <c r="E8831" s="1" t="s">
        <v>10</v>
      </c>
      <c r="F8831" s="1" t="str">
        <f>"10.12.136.144"</f>
        <v>10.12.136.144</v>
      </c>
      <c r="G8831" s="1" t="str">
        <f>"9628X741"</f>
        <v>9628X741</v>
      </c>
      <c r="H8831" s="1" t="str">
        <f>"갈촌간 3L11R5"</f>
        <v>갈촌간 3L11R5</v>
      </c>
      <c r="I8831" s="1" t="s">
        <v>8</v>
      </c>
      <c r="J8831" s="1" t="str">
        <f>"182/196"</f>
        <v>182/196</v>
      </c>
      <c r="K8831" s="1" t="str">
        <f>"2026-07-29 13:18:01"</f>
        <v>2026-07-29 13:18:01</v>
      </c>
      <c r="L8831" s="1" t="str">
        <f>"2018-09-28 15:51:28"</f>
        <v>2018-09-28 15:51:28</v>
      </c>
      <c r="M8831" s="1" t="s">
        <v>0</v>
      </c>
      <c r="N8831" s="1" t="s">
        <v>38</v>
      </c>
      <c r="O8831" s="1" t="s">
        <v>46</v>
      </c>
    </row>
    <row r="8832" spans="2:15" x14ac:dyDescent="0.3">
      <c r="B8832" s="1" t="s">
        <v>21</v>
      </c>
      <c r="C8832" s="1" t="str">
        <f>"4차"</f>
        <v>4차</v>
      </c>
      <c r="D8832" s="1" t="str">
        <f>"9628X76144"</f>
        <v>9628X76144</v>
      </c>
      <c r="E8832" s="1" t="s">
        <v>10</v>
      </c>
      <c r="F8832" s="1" t="str">
        <f>"10.10.77.122"</f>
        <v>10.10.77.122</v>
      </c>
      <c r="G8832" s="1" t="str">
        <f>"9628X761"</f>
        <v>9628X761</v>
      </c>
      <c r="H8832" s="1" t="str">
        <f>"갈촌간 3L3R6L3"</f>
        <v>갈촌간 3L3R6L3</v>
      </c>
      <c r="I8832" s="1" t="s">
        <v>8</v>
      </c>
      <c r="J8832" s="1" t="str">
        <f>"61/67"</f>
        <v>61/67</v>
      </c>
      <c r="K8832" s="1" t="str">
        <f>"2026-07-29 13:18:11"</f>
        <v>2026-07-29 13:18:11</v>
      </c>
      <c r="L8832" s="1" t="str">
        <f>"2019-09-03 17:33:05"</f>
        <v>2019-09-03 17:33:05</v>
      </c>
      <c r="M8832" s="1" t="s">
        <v>1</v>
      </c>
      <c r="N8832" s="1" t="s">
        <v>38</v>
      </c>
      <c r="O8832" s="1" t="s">
        <v>46</v>
      </c>
    </row>
    <row r="8833" spans="2:15" x14ac:dyDescent="0.3">
      <c r="B8833" s="1" t="s">
        <v>21</v>
      </c>
      <c r="C8833" s="1" t="str">
        <f>"4차"</f>
        <v>4차</v>
      </c>
      <c r="D8833" s="1" t="str">
        <f>"9628X76244"</f>
        <v>9628X76244</v>
      </c>
      <c r="E8833" s="1" t="s">
        <v>10</v>
      </c>
      <c r="F8833" s="1" t="str">
        <f>"10.10.111.26"</f>
        <v>10.10.111.26</v>
      </c>
      <c r="G8833" s="1" t="str">
        <f>"9628X762"</f>
        <v>9628X762</v>
      </c>
      <c r="H8833" s="1" t="str">
        <f>"갈촌간 3L3R6L4"</f>
        <v>갈촌간 3L3R6L4</v>
      </c>
      <c r="I8833" s="1" t="s">
        <v>8</v>
      </c>
      <c r="J8833" s="1" t="str">
        <f>"31/39"</f>
        <v>31/39</v>
      </c>
      <c r="K8833" s="1" t="str">
        <f>"2026-07-29 13:18:11"</f>
        <v>2026-07-29 13:18:11</v>
      </c>
      <c r="L8833" s="1" t="str">
        <f>"2019-09-03 18:03:04"</f>
        <v>2019-09-03 18:03:04</v>
      </c>
      <c r="M8833" s="1" t="s">
        <v>1</v>
      </c>
      <c r="N8833" s="1" t="s">
        <v>38</v>
      </c>
      <c r="O8833" s="1" t="s">
        <v>46</v>
      </c>
    </row>
    <row r="8834" spans="2:15" x14ac:dyDescent="0.3">
      <c r="B8834" s="1" t="s">
        <v>21</v>
      </c>
      <c r="C8834" s="1" t="str">
        <f>"4차"</f>
        <v>4차</v>
      </c>
      <c r="D8834" s="1" t="str">
        <f>"9628X79144"</f>
        <v>9628X79144</v>
      </c>
      <c r="E8834" s="1" t="s">
        <v>10</v>
      </c>
      <c r="F8834" s="1" t="str">
        <f>"10.10.77.146"</f>
        <v>10.10.77.146</v>
      </c>
      <c r="G8834" s="1" t="str">
        <f>"9628X791"</f>
        <v>9628X791</v>
      </c>
      <c r="H8834" s="1" t="str">
        <f>"갈촌간 3L3R7"</f>
        <v>갈촌간 3L3R7</v>
      </c>
      <c r="I8834" s="1" t="s">
        <v>8</v>
      </c>
      <c r="J8834" s="1" t="str">
        <f>"101/101"</f>
        <v>101/101</v>
      </c>
      <c r="K8834" s="1" t="str">
        <f>"2026-07-29 13:18:11"</f>
        <v>2026-07-29 13:18:11</v>
      </c>
      <c r="L8834" s="1" t="str">
        <f>"2019-11-15 17:54:34"</f>
        <v>2019-11-15 17:54:34</v>
      </c>
      <c r="M8834" s="1" t="s">
        <v>1</v>
      </c>
      <c r="N8834" s="1" t="s">
        <v>38</v>
      </c>
      <c r="O8834" s="1" t="s">
        <v>46</v>
      </c>
    </row>
    <row r="8835" spans="2:15" x14ac:dyDescent="0.3">
      <c r="B8835" s="1" t="s">
        <v>21</v>
      </c>
      <c r="C8835" s="1" t="str">
        <f>"1차"</f>
        <v>1차</v>
      </c>
      <c r="D8835" s="1" t="str">
        <f>"9628X81300"</f>
        <v>9628X81300</v>
      </c>
      <c r="E8835" s="1" t="s">
        <v>14</v>
      </c>
      <c r="F8835" s="1" t="str">
        <f>"10.128.71.107"</f>
        <v>10.128.71.107</v>
      </c>
      <c r="G8835" s="1" t="str">
        <f>"9628X813"</f>
        <v>9628X813</v>
      </c>
      <c r="H8835" s="1" t="str">
        <f>"갈촌간 3L13"</f>
        <v>갈촌간 3L13</v>
      </c>
      <c r="I8835" s="1" t="s">
        <v>8</v>
      </c>
      <c r="J8835" s="1" t="str">
        <f>"0/0"</f>
        <v>0/0</v>
      </c>
      <c r="K8835" s="1" t="str">
        <f>"2026-07-29 13:18:11"</f>
        <v>2026-07-29 13:18:11</v>
      </c>
      <c r="L8835" s="1" t="str">
        <f>"2021-07-13 17:10:54"</f>
        <v>2021-07-13 17:10:54</v>
      </c>
      <c r="M8835" s="1" t="s">
        <v>45</v>
      </c>
      <c r="N8835" s="1" t="s">
        <v>38</v>
      </c>
      <c r="O8835" s="1" t="s">
        <v>44</v>
      </c>
    </row>
    <row r="8836" spans="2:15" x14ac:dyDescent="0.3">
      <c r="B8836" s="1" t="s">
        <v>21</v>
      </c>
      <c r="C8836" s="1" t="str">
        <f>"4차"</f>
        <v>4차</v>
      </c>
      <c r="D8836" s="1" t="str">
        <f>"9628X85144"</f>
        <v>9628X85144</v>
      </c>
      <c r="E8836" s="1" t="s">
        <v>10</v>
      </c>
      <c r="F8836" s="1" t="str">
        <f>"10.10.77.210"</f>
        <v>10.10.77.210</v>
      </c>
      <c r="G8836" s="1" t="str">
        <f>"9628X851"</f>
        <v>9628X851</v>
      </c>
      <c r="H8836" s="1" t="str">
        <f>"갈촌간 3L7R4"</f>
        <v>갈촌간 3L7R4</v>
      </c>
      <c r="I8836" s="1" t="s">
        <v>8</v>
      </c>
      <c r="J8836" s="1" t="str">
        <f>"31/31"</f>
        <v>31/31</v>
      </c>
      <c r="K8836" s="1" t="str">
        <f>"2026-07-29 13:18:11"</f>
        <v>2026-07-29 13:18:11</v>
      </c>
      <c r="L8836" s="1" t="str">
        <f>"2019-09-03 18:33:13"</f>
        <v>2019-09-03 18:33:13</v>
      </c>
      <c r="M8836" s="1" t="s">
        <v>1</v>
      </c>
      <c r="N8836" s="1" t="s">
        <v>38</v>
      </c>
      <c r="O8836" s="1" t="s">
        <v>46</v>
      </c>
    </row>
    <row r="8837" spans="2:15" x14ac:dyDescent="0.3">
      <c r="B8837" s="1" t="s">
        <v>21</v>
      </c>
      <c r="C8837" s="1" t="str">
        <f>"4차"</f>
        <v>4차</v>
      </c>
      <c r="D8837" s="1" t="str">
        <f>"9628X85244"</f>
        <v>9628X85244</v>
      </c>
      <c r="E8837" s="1" t="s">
        <v>10</v>
      </c>
      <c r="F8837" s="1" t="str">
        <f>"10.10.93.170"</f>
        <v>10.10.93.170</v>
      </c>
      <c r="G8837" s="1" t="str">
        <f>"9628X852"</f>
        <v>9628X852</v>
      </c>
      <c r="H8837" s="1" t="str">
        <f>"갈촌간 3L7R3"</f>
        <v>갈촌간 3L7R3</v>
      </c>
      <c r="I8837" s="1" t="s">
        <v>8</v>
      </c>
      <c r="J8837" s="1" t="str">
        <f>"22/22"</f>
        <v>22/22</v>
      </c>
      <c r="K8837" s="1" t="str">
        <f>"2026-07-29 13:18:10"</f>
        <v>2026-07-29 13:18:10</v>
      </c>
      <c r="L8837" s="1" t="str">
        <f>"2023-05-17 16:38:25"</f>
        <v>2023-05-17 16:38:25</v>
      </c>
      <c r="M8837" s="1" t="s">
        <v>1</v>
      </c>
      <c r="N8837" s="1" t="s">
        <v>38</v>
      </c>
      <c r="O8837" s="1" t="s">
        <v>46</v>
      </c>
    </row>
    <row r="8838" spans="2:15" x14ac:dyDescent="0.3">
      <c r="B8838" s="1" t="s">
        <v>21</v>
      </c>
      <c r="C8838" s="1" t="str">
        <f>"4차"</f>
        <v>4차</v>
      </c>
      <c r="D8838" s="1" t="str">
        <f>"9628X88144"</f>
        <v>9628X88144</v>
      </c>
      <c r="E8838" s="1" t="s">
        <v>10</v>
      </c>
      <c r="F8838" s="1" t="str">
        <f>"10.10.120.34"</f>
        <v>10.10.120.34</v>
      </c>
      <c r="G8838" s="1" t="str">
        <f>"9628X881"</f>
        <v>9628X881</v>
      </c>
      <c r="H8838" s="1" t="str">
        <f>"갈촌간 3L3R6"</f>
        <v>갈촌간 3L3R6</v>
      </c>
      <c r="I8838" s="1" t="s">
        <v>8</v>
      </c>
      <c r="J8838" s="1" t="str">
        <f>"22/22"</f>
        <v>22/22</v>
      </c>
      <c r="K8838" s="1" t="str">
        <f>"2026-07-29 13:18:10"</f>
        <v>2026-07-29 13:18:10</v>
      </c>
      <c r="L8838" s="1" t="str">
        <f>"2019-12-17 16:08:51"</f>
        <v>2019-12-17 16:08:51</v>
      </c>
      <c r="M8838" s="1" t="s">
        <v>1</v>
      </c>
      <c r="N8838" s="1" t="s">
        <v>38</v>
      </c>
      <c r="O8838" s="1" t="s">
        <v>46</v>
      </c>
    </row>
    <row r="8839" spans="2:15" x14ac:dyDescent="0.3">
      <c r="B8839" s="1" t="s">
        <v>21</v>
      </c>
      <c r="C8839" s="1" t="str">
        <f>"4차"</f>
        <v>4차</v>
      </c>
      <c r="D8839" s="1" t="str">
        <f>"9628X88444"</f>
        <v>9628X88444</v>
      </c>
      <c r="E8839" s="1" t="s">
        <v>10</v>
      </c>
      <c r="F8839" s="1" t="str">
        <f>"10.10.77.114"</f>
        <v>10.10.77.114</v>
      </c>
      <c r="G8839" s="1" t="str">
        <f>"9628X884"</f>
        <v>9628X884</v>
      </c>
      <c r="H8839" s="1" t="str">
        <f>"갈촌간 3L3R6L1"</f>
        <v>갈촌간 3L3R6L1</v>
      </c>
      <c r="I8839" s="1" t="s">
        <v>8</v>
      </c>
      <c r="J8839" s="1" t="str">
        <f>"57/57"</f>
        <v>57/57</v>
      </c>
      <c r="K8839" s="1" t="str">
        <f>"2026-07-29 13:18:10"</f>
        <v>2026-07-29 13:18:10</v>
      </c>
      <c r="L8839" s="1" t="str">
        <f>"2019-10-23 17:33:05"</f>
        <v>2019-10-23 17:33:05</v>
      </c>
      <c r="M8839" s="1" t="s">
        <v>1</v>
      </c>
      <c r="N8839" s="1" t="s">
        <v>38</v>
      </c>
      <c r="O8839" s="1" t="s">
        <v>46</v>
      </c>
    </row>
    <row r="8840" spans="2:15" x14ac:dyDescent="0.3">
      <c r="B8840" s="1" t="s">
        <v>21</v>
      </c>
      <c r="C8840" s="1" t="str">
        <f>"1차"</f>
        <v>1차</v>
      </c>
      <c r="D8840" s="1" t="str">
        <f>"9628X91200"</f>
        <v>9628X91200</v>
      </c>
      <c r="E8840" s="1" t="s">
        <v>10</v>
      </c>
      <c r="F8840" s="1" t="str">
        <f>"10.128.80.20"</f>
        <v>10.128.80.20</v>
      </c>
      <c r="G8840" s="1" t="str">
        <f>"9628X912"</f>
        <v>9628X912</v>
      </c>
      <c r="H8840" s="1" t="str">
        <f>"서경간 19"</f>
        <v>서경간 19</v>
      </c>
      <c r="I8840" s="1" t="s">
        <v>8</v>
      </c>
      <c r="J8840" s="1" t="str">
        <f>"28/28"</f>
        <v>28/28</v>
      </c>
      <c r="K8840" s="1" t="str">
        <f>"2026-07-29 13:18:11"</f>
        <v>2026-07-29 13:18:11</v>
      </c>
      <c r="L8840" s="1" t="str">
        <f>"2015-01-26 17:28:00"</f>
        <v>2015-01-26 17:28:00</v>
      </c>
      <c r="M8840" s="1" t="s">
        <v>45</v>
      </c>
      <c r="N8840" s="1" t="s">
        <v>38</v>
      </c>
      <c r="O8840" s="1" t="s">
        <v>46</v>
      </c>
    </row>
    <row r="8841" spans="2:15" x14ac:dyDescent="0.3">
      <c r="B8841" s="1" t="s">
        <v>21</v>
      </c>
      <c r="C8841" s="1" t="str">
        <f t="shared" ref="C8841:C8848" si="442">"4차"</f>
        <v>4차</v>
      </c>
      <c r="D8841" s="1" t="str">
        <f>"9628X93144"</f>
        <v>9628X93144</v>
      </c>
      <c r="E8841" s="1" t="s">
        <v>10</v>
      </c>
      <c r="F8841" s="1" t="str">
        <f>"10.10.93.138"</f>
        <v>10.10.93.138</v>
      </c>
      <c r="G8841" s="1" t="str">
        <f>"9628X931"</f>
        <v>9628X931</v>
      </c>
      <c r="H8841" s="1" t="str">
        <f>"갈촌간 3L9"</f>
        <v>갈촌간 3L9</v>
      </c>
      <c r="I8841" s="1" t="s">
        <v>8</v>
      </c>
      <c r="J8841" s="1" t="str">
        <f>"51/51"</f>
        <v>51/51</v>
      </c>
      <c r="K8841" s="1" t="str">
        <f>"2026-07-29 13:18:10"</f>
        <v>2026-07-29 13:18:10</v>
      </c>
      <c r="L8841" s="1" t="str">
        <f>"2019-09-16 14:59:28"</f>
        <v>2019-09-16 14:59:28</v>
      </c>
      <c r="M8841" s="1" t="s">
        <v>1</v>
      </c>
      <c r="N8841" s="1" t="s">
        <v>38</v>
      </c>
      <c r="O8841" s="1" t="s">
        <v>46</v>
      </c>
    </row>
    <row r="8842" spans="2:15" x14ac:dyDescent="0.3">
      <c r="B8842" s="1" t="s">
        <v>21</v>
      </c>
      <c r="C8842" s="1" t="str">
        <f t="shared" si="442"/>
        <v>4차</v>
      </c>
      <c r="D8842" s="1" t="str">
        <f>"9628X94344"</f>
        <v>9628X94344</v>
      </c>
      <c r="E8842" s="1" t="s">
        <v>10</v>
      </c>
      <c r="F8842" s="1" t="str">
        <f>"10.10.78.50"</f>
        <v>10.10.78.50</v>
      </c>
      <c r="G8842" s="1" t="str">
        <f>"9628X943"</f>
        <v>9628X943</v>
      </c>
      <c r="H8842" s="1" t="str">
        <f>"갈촌간 3L8"</f>
        <v>갈촌간 3L8</v>
      </c>
      <c r="I8842" s="1" t="s">
        <v>8</v>
      </c>
      <c r="J8842" s="1" t="str">
        <f>"11/11"</f>
        <v>11/11</v>
      </c>
      <c r="K8842" s="1" t="str">
        <f>"2026-07-29 13:18:10"</f>
        <v>2026-07-29 13:18:10</v>
      </c>
      <c r="L8842" s="1" t="str">
        <f>"2019-11-04 10:53:05"</f>
        <v>2019-11-04 10:53:05</v>
      </c>
      <c r="M8842" s="1" t="s">
        <v>1</v>
      </c>
      <c r="N8842" s="1" t="s">
        <v>38</v>
      </c>
      <c r="O8842" s="1" t="s">
        <v>46</v>
      </c>
    </row>
    <row r="8843" spans="2:15" x14ac:dyDescent="0.3">
      <c r="B8843" s="1" t="s">
        <v>21</v>
      </c>
      <c r="C8843" s="1" t="str">
        <f t="shared" si="442"/>
        <v>4차</v>
      </c>
      <c r="D8843" s="1" t="str">
        <f>"9628X95144"</f>
        <v>9628X95144</v>
      </c>
      <c r="E8843" s="1" t="s">
        <v>10</v>
      </c>
      <c r="F8843" s="1" t="str">
        <f>"10.10.93.178"</f>
        <v>10.10.93.178</v>
      </c>
      <c r="G8843" s="1" t="str">
        <f>"9628X951"</f>
        <v>9628X951</v>
      </c>
      <c r="H8843" s="1" t="str">
        <f>"갈촌간 3L7R2"</f>
        <v>갈촌간 3L7R2</v>
      </c>
      <c r="I8843" s="1" t="s">
        <v>8</v>
      </c>
      <c r="J8843" s="1" t="str">
        <f>"46/46"</f>
        <v>46/46</v>
      </c>
      <c r="K8843" s="1" t="str">
        <f t="shared" ref="K8843:K8850" si="443">"2026-07-29 13:18:11"</f>
        <v>2026-07-29 13:18:11</v>
      </c>
      <c r="L8843" s="1" t="str">
        <f>"2019-09-16 15:00:44"</f>
        <v>2019-09-16 15:00:44</v>
      </c>
      <c r="M8843" s="1" t="s">
        <v>1</v>
      </c>
      <c r="N8843" s="1" t="s">
        <v>38</v>
      </c>
      <c r="O8843" s="1" t="s">
        <v>46</v>
      </c>
    </row>
    <row r="8844" spans="2:15" x14ac:dyDescent="0.3">
      <c r="B8844" s="1" t="s">
        <v>21</v>
      </c>
      <c r="C8844" s="1" t="str">
        <f t="shared" si="442"/>
        <v>4차</v>
      </c>
      <c r="D8844" s="1" t="str">
        <f>"9628X96139"</f>
        <v>9628X96139</v>
      </c>
      <c r="E8844" s="1" t="s">
        <v>10</v>
      </c>
      <c r="F8844" s="1" t="str">
        <f>"10.12.136.228"</f>
        <v>10.12.136.228</v>
      </c>
      <c r="G8844" s="1" t="str">
        <f>"9628X961"</f>
        <v>9628X961</v>
      </c>
      <c r="H8844" s="1" t="str">
        <f>"갈촌간 3L3R3L2"</f>
        <v>갈촌간 3L3R3L2</v>
      </c>
      <c r="I8844" s="1" t="s">
        <v>8</v>
      </c>
      <c r="J8844" s="1" t="str">
        <f>"68/70"</f>
        <v>68/70</v>
      </c>
      <c r="K8844" s="1" t="str">
        <f t="shared" si="443"/>
        <v>2026-07-29 13:18:11</v>
      </c>
      <c r="L8844" s="1" t="str">
        <f>"2018-09-28 16:34:29"</f>
        <v>2018-09-28 16:34:29</v>
      </c>
      <c r="M8844" s="1" t="s">
        <v>0</v>
      </c>
      <c r="N8844" s="1" t="s">
        <v>38</v>
      </c>
      <c r="O8844" s="1" t="s">
        <v>46</v>
      </c>
    </row>
    <row r="8845" spans="2:15" x14ac:dyDescent="0.3">
      <c r="B8845" s="1" t="s">
        <v>21</v>
      </c>
      <c r="C8845" s="1" t="str">
        <f t="shared" si="442"/>
        <v>4차</v>
      </c>
      <c r="D8845" s="1" t="str">
        <f>"9628X97144"</f>
        <v>9628X97144</v>
      </c>
      <c r="E8845" s="1" t="s">
        <v>10</v>
      </c>
      <c r="F8845" s="1" t="str">
        <f>"10.10.93.202"</f>
        <v>10.10.93.202</v>
      </c>
      <c r="G8845" s="1" t="str">
        <f>"9628X971"</f>
        <v>9628X971</v>
      </c>
      <c r="H8845" s="1" t="str">
        <f>"갈촌간 3L3R3L1"</f>
        <v>갈촌간 3L3R3L1</v>
      </c>
      <c r="I8845" s="1" t="s">
        <v>8</v>
      </c>
      <c r="J8845" s="1" t="str">
        <f>"46/46"</f>
        <v>46/46</v>
      </c>
      <c r="K8845" s="1" t="str">
        <f t="shared" si="443"/>
        <v>2026-07-29 13:18:11</v>
      </c>
      <c r="L8845" s="1" t="str">
        <f>"2019-09-09 13:41:29"</f>
        <v>2019-09-09 13:41:29</v>
      </c>
      <c r="M8845" s="1" t="s">
        <v>1</v>
      </c>
      <c r="N8845" s="1" t="s">
        <v>38</v>
      </c>
      <c r="O8845" s="1" t="s">
        <v>46</v>
      </c>
    </row>
    <row r="8846" spans="2:15" x14ac:dyDescent="0.3">
      <c r="B8846" s="1" t="s">
        <v>21</v>
      </c>
      <c r="C8846" s="1" t="str">
        <f t="shared" si="442"/>
        <v>4차</v>
      </c>
      <c r="D8846" s="1" t="str">
        <f>"9628X98244"</f>
        <v>9628X98244</v>
      </c>
      <c r="E8846" s="1" t="s">
        <v>10</v>
      </c>
      <c r="F8846" s="1" t="str">
        <f>"10.10.77.106"</f>
        <v>10.10.77.106</v>
      </c>
      <c r="G8846" s="1" t="str">
        <f>"9628X982"</f>
        <v>9628X982</v>
      </c>
      <c r="H8846" s="1" t="str">
        <f>"갈촌간 3L3R5"</f>
        <v>갈촌간 3L3R5</v>
      </c>
      <c r="I8846" s="1" t="s">
        <v>8</v>
      </c>
      <c r="J8846" s="1" t="str">
        <f>"55/55"</f>
        <v>55/55</v>
      </c>
      <c r="K8846" s="1" t="str">
        <f t="shared" si="443"/>
        <v>2026-07-29 13:18:11</v>
      </c>
      <c r="L8846" s="1" t="str">
        <f>"2019-09-03 17:30:44"</f>
        <v>2019-09-03 17:30:44</v>
      </c>
      <c r="M8846" s="1" t="s">
        <v>1</v>
      </c>
      <c r="N8846" s="1" t="s">
        <v>38</v>
      </c>
      <c r="O8846" s="1" t="s">
        <v>46</v>
      </c>
    </row>
    <row r="8847" spans="2:15" x14ac:dyDescent="0.3">
      <c r="B8847" s="1" t="s">
        <v>21</v>
      </c>
      <c r="C8847" s="1" t="str">
        <f t="shared" si="442"/>
        <v>4차</v>
      </c>
      <c r="D8847" s="1" t="str">
        <f>"9628X99144"</f>
        <v>9628X99144</v>
      </c>
      <c r="E8847" s="1" t="s">
        <v>10</v>
      </c>
      <c r="F8847" s="1" t="str">
        <f>"10.10.77.130"</f>
        <v>10.10.77.130</v>
      </c>
      <c r="G8847" s="1" t="str">
        <f>"9628X991"</f>
        <v>9628X991</v>
      </c>
      <c r="H8847" s="1" t="str">
        <f>"갈촌간 3L3R6R1"</f>
        <v>갈촌간 3L3R6R1</v>
      </c>
      <c r="I8847" s="1" t="s">
        <v>8</v>
      </c>
      <c r="J8847" s="1" t="str">
        <f>"37/37"</f>
        <v>37/37</v>
      </c>
      <c r="K8847" s="1" t="str">
        <f t="shared" si="443"/>
        <v>2026-07-29 13:18:11</v>
      </c>
      <c r="L8847" s="1" t="str">
        <f>"2023-03-17 15:01:38"</f>
        <v>2023-03-17 15:01:38</v>
      </c>
      <c r="M8847" s="1" t="s">
        <v>1</v>
      </c>
      <c r="N8847" s="1" t="s">
        <v>38</v>
      </c>
      <c r="O8847" s="1" t="s">
        <v>46</v>
      </c>
    </row>
    <row r="8848" spans="2:15" x14ac:dyDescent="0.3">
      <c r="B8848" s="1" t="s">
        <v>21</v>
      </c>
      <c r="C8848" s="1" t="str">
        <f t="shared" si="442"/>
        <v>4차</v>
      </c>
      <c r="D8848" s="1" t="str">
        <f>"9628Y00244"</f>
        <v>9628Y00244</v>
      </c>
      <c r="E8848" s="1" t="s">
        <v>10</v>
      </c>
      <c r="F8848" s="1" t="str">
        <f>"10.10.131.234"</f>
        <v>10.10.131.234</v>
      </c>
      <c r="G8848" s="1" t="str">
        <f>"9628Y002"</f>
        <v>9628Y002</v>
      </c>
      <c r="H8848" s="1" t="str">
        <f>"신사간 28L3R5"</f>
        <v>신사간 28L3R5</v>
      </c>
      <c r="I8848" s="1" t="s">
        <v>8</v>
      </c>
      <c r="J8848" s="1" t="str">
        <f>"43/43"</f>
        <v>43/43</v>
      </c>
      <c r="K8848" s="1" t="str">
        <f t="shared" si="443"/>
        <v>2026-07-29 13:18:11</v>
      </c>
      <c r="L8848" s="1" t="str">
        <f>"2019-10-28 10:03:05"</f>
        <v>2019-10-28 10:03:05</v>
      </c>
      <c r="M8848" s="1" t="s">
        <v>1</v>
      </c>
      <c r="N8848" s="1" t="s">
        <v>38</v>
      </c>
      <c r="O8848" s="1" t="s">
        <v>46</v>
      </c>
    </row>
    <row r="8849" spans="2:15" x14ac:dyDescent="0.3">
      <c r="B8849" s="1" t="s">
        <v>21</v>
      </c>
      <c r="C8849" s="1" t="str">
        <f>"1차"</f>
        <v>1차</v>
      </c>
      <c r="D8849" s="1" t="str">
        <f>"9628Y02100"</f>
        <v>9628Y02100</v>
      </c>
      <c r="E8849" s="1" t="s">
        <v>10</v>
      </c>
      <c r="F8849" s="1" t="str">
        <f>"10.128.2.171"</f>
        <v>10.128.2.171</v>
      </c>
      <c r="G8849" s="1" t="str">
        <f>"9628Y021"</f>
        <v>9628Y021</v>
      </c>
      <c r="H8849" s="1" t="str">
        <f>"갈색지 17"</f>
        <v>갈색지 17</v>
      </c>
      <c r="I8849" s="1" t="s">
        <v>8</v>
      </c>
      <c r="J8849" s="1" t="str">
        <f>"13/13"</f>
        <v>13/13</v>
      </c>
      <c r="K8849" s="1" t="str">
        <f t="shared" si="443"/>
        <v>2026-07-29 13:18:11</v>
      </c>
      <c r="L8849" s="1" t="str">
        <f>"2014-11-14 15:20:12"</f>
        <v>2014-11-14 15:20:12</v>
      </c>
      <c r="M8849" s="1" t="s">
        <v>45</v>
      </c>
      <c r="N8849" s="1" t="s">
        <v>38</v>
      </c>
      <c r="O8849" s="1" t="s">
        <v>46</v>
      </c>
    </row>
    <row r="8850" spans="2:15" x14ac:dyDescent="0.3">
      <c r="B8850" s="1" t="s">
        <v>21</v>
      </c>
      <c r="C8850" s="1" t="str">
        <f>"1차"</f>
        <v>1차</v>
      </c>
      <c r="D8850" s="1" t="str">
        <f>"9628Y04100"</f>
        <v>9628Y04100</v>
      </c>
      <c r="E8850" s="1" t="s">
        <v>10</v>
      </c>
      <c r="F8850" s="1" t="str">
        <f>"10.128.1.67"</f>
        <v>10.128.1.67</v>
      </c>
      <c r="G8850" s="1" t="str">
        <f>"9628Y041"</f>
        <v>9628Y041</v>
      </c>
      <c r="H8850" s="1" t="str">
        <f>"갈색지 21"</f>
        <v>갈색지 21</v>
      </c>
      <c r="I8850" s="1" t="s">
        <v>8</v>
      </c>
      <c r="J8850" s="1" t="str">
        <f>"16/16"</f>
        <v>16/16</v>
      </c>
      <c r="K8850" s="1" t="str">
        <f t="shared" si="443"/>
        <v>2026-07-29 13:18:11</v>
      </c>
      <c r="L8850" s="1" t="str">
        <f>"2014-10-14 00:14:19"</f>
        <v>2014-10-14 00:14:19</v>
      </c>
      <c r="M8850" s="1" t="s">
        <v>45</v>
      </c>
      <c r="N8850" s="1" t="s">
        <v>38</v>
      </c>
      <c r="O8850" s="1" t="s">
        <v>46</v>
      </c>
    </row>
    <row r="8851" spans="2:15" x14ac:dyDescent="0.3">
      <c r="B8851" s="1" t="s">
        <v>21</v>
      </c>
      <c r="C8851" s="1" t="str">
        <f>"4차"</f>
        <v>4차</v>
      </c>
      <c r="D8851" s="1" t="str">
        <f>"9628Y04244"</f>
        <v>9628Y04244</v>
      </c>
      <c r="E8851" s="1" t="s">
        <v>10</v>
      </c>
      <c r="F8851" s="1" t="str">
        <f>"10.12.129.186"</f>
        <v>10.12.129.186</v>
      </c>
      <c r="G8851" s="1" t="str">
        <f>"9628Y042"</f>
        <v>9628Y042</v>
      </c>
      <c r="H8851" s="1" t="str">
        <f>"갈색지 20"</f>
        <v>갈색지 20</v>
      </c>
      <c r="I8851" s="1" t="s">
        <v>8</v>
      </c>
      <c r="J8851" s="1" t="str">
        <f>"37/37"</f>
        <v>37/37</v>
      </c>
      <c r="K8851" s="1" t="str">
        <f>"2026-07-29 13:18:12"</f>
        <v>2026-07-29 13:18:12</v>
      </c>
      <c r="L8851" s="1" t="str">
        <f>"2023-11-14 09:08:26"</f>
        <v>2023-11-14 09:08:26</v>
      </c>
      <c r="M8851" s="1" t="s">
        <v>0</v>
      </c>
      <c r="N8851" s="1" t="s">
        <v>38</v>
      </c>
      <c r="O8851" s="1" t="s">
        <v>46</v>
      </c>
    </row>
    <row r="8852" spans="2:15" x14ac:dyDescent="0.3">
      <c r="B8852" s="1" t="s">
        <v>21</v>
      </c>
      <c r="C8852" s="1" t="str">
        <f>"1차"</f>
        <v>1차</v>
      </c>
      <c r="D8852" s="1" t="str">
        <f>"9628Y07100"</f>
        <v>9628Y07100</v>
      </c>
      <c r="E8852" s="1" t="s">
        <v>10</v>
      </c>
      <c r="F8852" s="1" t="str">
        <f>"10.128.68.3"</f>
        <v>10.128.68.3</v>
      </c>
      <c r="G8852" s="1" t="str">
        <f>"9628Y071"</f>
        <v>9628Y071</v>
      </c>
      <c r="H8852" s="1" t="str">
        <f>"갈색지 25"</f>
        <v>갈색지 25</v>
      </c>
      <c r="I8852" s="1" t="s">
        <v>8</v>
      </c>
      <c r="J8852" s="1" t="str">
        <f>"2/3"</f>
        <v>2/3</v>
      </c>
      <c r="K8852" s="1" t="str">
        <f>"2026-07-29 13:18:11"</f>
        <v>2026-07-29 13:18:11</v>
      </c>
      <c r="L8852" s="1" t="str">
        <f>"2014-11-14 00:13:34"</f>
        <v>2014-11-14 00:13:34</v>
      </c>
      <c r="M8852" s="1" t="s">
        <v>45</v>
      </c>
      <c r="N8852" s="1" t="s">
        <v>38</v>
      </c>
      <c r="O8852" s="1" t="s">
        <v>46</v>
      </c>
    </row>
    <row r="8853" spans="2:15" x14ac:dyDescent="0.3">
      <c r="B8853" s="1" t="s">
        <v>21</v>
      </c>
      <c r="C8853" s="1" t="str">
        <f>"4차"</f>
        <v>4차</v>
      </c>
      <c r="D8853" s="1" t="str">
        <f>"9628Y10144"</f>
        <v>9628Y10144</v>
      </c>
      <c r="E8853" s="1" t="s">
        <v>10</v>
      </c>
      <c r="F8853" s="1" t="str">
        <f>"10.10.131.218"</f>
        <v>10.10.131.218</v>
      </c>
      <c r="G8853" s="1" t="str">
        <f>"9628Y101"</f>
        <v>9628Y101</v>
      </c>
      <c r="H8853" s="1" t="str">
        <f>"신사간 28L3R4"</f>
        <v>신사간 28L3R4</v>
      </c>
      <c r="I8853" s="1" t="s">
        <v>8</v>
      </c>
      <c r="J8853" s="1" t="str">
        <f>"26/26"</f>
        <v>26/26</v>
      </c>
      <c r="K8853" s="1" t="str">
        <f>"2026-07-29 13:18:11"</f>
        <v>2026-07-29 13:18:11</v>
      </c>
      <c r="L8853" s="1" t="str">
        <f>"2019-10-28 09:56:11"</f>
        <v>2019-10-28 09:56:11</v>
      </c>
      <c r="M8853" s="1" t="s">
        <v>1</v>
      </c>
      <c r="N8853" s="1" t="s">
        <v>38</v>
      </c>
      <c r="O8853" s="1" t="s">
        <v>46</v>
      </c>
    </row>
    <row r="8854" spans="2:15" x14ac:dyDescent="0.3">
      <c r="B8854" s="1" t="s">
        <v>21</v>
      </c>
      <c r="C8854" s="1" t="str">
        <f>"1차"</f>
        <v>1차</v>
      </c>
      <c r="D8854" s="1" t="str">
        <f>"9628Y13101"</f>
        <v>9628Y13101</v>
      </c>
      <c r="E8854" s="1" t="s">
        <v>14</v>
      </c>
      <c r="F8854" s="1" t="str">
        <f>"10.12.130.133"</f>
        <v>10.12.130.133</v>
      </c>
      <c r="G8854" s="1" t="str">
        <f>"9628Y131"</f>
        <v>9628Y131</v>
      </c>
      <c r="H8854" s="1" t="str">
        <f>"신사간 20R1L13"</f>
        <v>신사간 20R1L13</v>
      </c>
      <c r="I8854" s="1" t="s">
        <v>8</v>
      </c>
      <c r="J8854" s="1" t="str">
        <f>"0/0"</f>
        <v>0/0</v>
      </c>
      <c r="K8854" s="1" t="str">
        <f>"2026-07-28 13:18:13"</f>
        <v>2026-07-28 13:18:13</v>
      </c>
      <c r="L8854" s="1" t="str">
        <f>"2014-11-21 15:05:46"</f>
        <v>2014-11-21 15:05:46</v>
      </c>
      <c r="M8854" s="1" t="s">
        <v>0</v>
      </c>
      <c r="N8854" s="1" t="s">
        <v>39</v>
      </c>
      <c r="O8854" s="1" t="s">
        <v>46</v>
      </c>
    </row>
    <row r="8855" spans="2:15" x14ac:dyDescent="0.3">
      <c r="B8855" s="1" t="s">
        <v>21</v>
      </c>
      <c r="C8855" s="1" t="str">
        <f>"1차"</f>
        <v>1차</v>
      </c>
      <c r="D8855" s="1" t="str">
        <f>"9628Y13202"</f>
        <v>9628Y13202</v>
      </c>
      <c r="E8855" s="1" t="s">
        <v>10</v>
      </c>
      <c r="F8855" s="1" t="str">
        <f>"10.128.1.77"</f>
        <v>10.128.1.77</v>
      </c>
      <c r="G8855" s="1" t="str">
        <f>"9628Y132"</f>
        <v>9628Y132</v>
      </c>
      <c r="H8855" s="1" t="str">
        <f>"갈색지 24R7"</f>
        <v>갈색지 24R7</v>
      </c>
      <c r="I8855" s="1" t="s">
        <v>8</v>
      </c>
      <c r="J8855" s="1" t="str">
        <f>"35/35"</f>
        <v>35/35</v>
      </c>
      <c r="K8855" s="1" t="str">
        <f>"2026-07-29 13:18:11"</f>
        <v>2026-07-29 13:18:11</v>
      </c>
      <c r="L8855" s="1" t="str">
        <f>"2014-11-20 17:30:12"</f>
        <v>2014-11-20 17:30:12</v>
      </c>
      <c r="M8855" s="1" t="s">
        <v>45</v>
      </c>
      <c r="N8855" s="1" t="s">
        <v>38</v>
      </c>
      <c r="O8855" s="1" t="s">
        <v>46</v>
      </c>
    </row>
    <row r="8856" spans="2:15" x14ac:dyDescent="0.3">
      <c r="B8856" s="1" t="s">
        <v>21</v>
      </c>
      <c r="C8856" s="1" t="str">
        <f>"1차"</f>
        <v>1차</v>
      </c>
      <c r="D8856" s="1" t="str">
        <f>"9628Y13400"</f>
        <v>9628Y13400</v>
      </c>
      <c r="E8856" s="1" t="s">
        <v>14</v>
      </c>
      <c r="F8856" s="1" t="str">
        <f>"10.128.1.73"</f>
        <v>10.128.1.73</v>
      </c>
      <c r="G8856" s="1" t="str">
        <f>"9628Y134"</f>
        <v>9628Y134</v>
      </c>
      <c r="H8856" s="1" t="str">
        <f>"신사간 20R1L12"</f>
        <v>신사간 20R1L12</v>
      </c>
      <c r="I8856" s="1" t="s">
        <v>8</v>
      </c>
      <c r="J8856" s="1" t="str">
        <f>"0/0"</f>
        <v>0/0</v>
      </c>
      <c r="K8856" s="1" t="str">
        <f>"2024-08-25 19:21:05"</f>
        <v>2024-08-25 19:21:05</v>
      </c>
      <c r="L8856" s="1" t="str">
        <f>"2014-11-20 11:49:30"</f>
        <v>2014-11-20 11:49:30</v>
      </c>
      <c r="M8856" s="1" t="s">
        <v>45</v>
      </c>
      <c r="N8856" s="1" t="s">
        <v>44</v>
      </c>
      <c r="O8856" s="1" t="s">
        <v>44</v>
      </c>
    </row>
    <row r="8857" spans="2:15" x14ac:dyDescent="0.3">
      <c r="B8857" s="1" t="s">
        <v>21</v>
      </c>
      <c r="C8857" s="1" t="str">
        <f>"1차"</f>
        <v>1차</v>
      </c>
      <c r="D8857" s="1" t="str">
        <f>"9628Y14110"</f>
        <v>9628Y14110</v>
      </c>
      <c r="E8857" s="1" t="s">
        <v>10</v>
      </c>
      <c r="F8857" s="1" t="str">
        <f>"10.128.1.76"</f>
        <v>10.128.1.76</v>
      </c>
      <c r="G8857" s="1" t="str">
        <f>"9628Y141"</f>
        <v>9628Y141</v>
      </c>
      <c r="H8857" s="1" t="str">
        <f>"갈색지 24R6"</f>
        <v>갈색지 24R6</v>
      </c>
      <c r="I8857" s="1" t="s">
        <v>8</v>
      </c>
      <c r="J8857" s="1" t="str">
        <f>"45/45"</f>
        <v>45/45</v>
      </c>
      <c r="K8857" s="1" t="str">
        <f>"2026-07-29 13:18:11"</f>
        <v>2026-07-29 13:18:11</v>
      </c>
      <c r="L8857" s="1" t="str">
        <f>"2017-02-24 15:07:15"</f>
        <v>2017-02-24 15:07:15</v>
      </c>
      <c r="M8857" s="1" t="s">
        <v>45</v>
      </c>
      <c r="N8857" s="1" t="s">
        <v>38</v>
      </c>
      <c r="O8857" s="1" t="s">
        <v>46</v>
      </c>
    </row>
    <row r="8858" spans="2:15" x14ac:dyDescent="0.3">
      <c r="B8858" s="1" t="s">
        <v>21</v>
      </c>
      <c r="C8858" s="1" t="str">
        <f>"1차"</f>
        <v>1차</v>
      </c>
      <c r="D8858" s="1" t="str">
        <f>"9628Y16101"</f>
        <v>9628Y16101</v>
      </c>
      <c r="E8858" s="1" t="s">
        <v>10</v>
      </c>
      <c r="F8858" s="1" t="str">
        <f>"10.12.136.58"</f>
        <v>10.12.136.58</v>
      </c>
      <c r="G8858" s="1" t="str">
        <f>"9628Y161"</f>
        <v>9628Y161</v>
      </c>
      <c r="H8858" s="1" t="str">
        <f>"갈색지 24R1"</f>
        <v>갈색지 24R1</v>
      </c>
      <c r="I8858" s="1" t="s">
        <v>8</v>
      </c>
      <c r="J8858" s="1" t="str">
        <f>"54/57"</f>
        <v>54/57</v>
      </c>
      <c r="K8858" s="1" t="str">
        <f>"2026-07-29 13:18:12"</f>
        <v>2026-07-29 13:18:12</v>
      </c>
      <c r="L8858" s="1" t="str">
        <f>"2014-11-20 17:28:40"</f>
        <v>2014-11-20 17:28:40</v>
      </c>
      <c r="M8858" s="1" t="s">
        <v>0</v>
      </c>
      <c r="N8858" s="1" t="s">
        <v>38</v>
      </c>
      <c r="O8858" s="1" t="s">
        <v>46</v>
      </c>
    </row>
    <row r="8859" spans="2:15" x14ac:dyDescent="0.3">
      <c r="B8859" s="1" t="s">
        <v>21</v>
      </c>
      <c r="C8859" s="1" t="str">
        <f>"4차"</f>
        <v>4차</v>
      </c>
      <c r="D8859" s="1" t="str">
        <f>"9628Y17244"</f>
        <v>9628Y17244</v>
      </c>
      <c r="E8859" s="1" t="s">
        <v>10</v>
      </c>
      <c r="F8859" s="1" t="str">
        <f>"10.10.2.2"</f>
        <v>10.10.2.2</v>
      </c>
      <c r="G8859" s="1" t="str">
        <f>"9628Y172"</f>
        <v>9628Y172</v>
      </c>
      <c r="H8859" s="1" t="str">
        <f>"갈색지 24R2L1"</f>
        <v>갈색지 24R2L1</v>
      </c>
      <c r="I8859" s="1" t="s">
        <v>8</v>
      </c>
      <c r="J8859" s="1" t="str">
        <f>"57/57"</f>
        <v>57/57</v>
      </c>
      <c r="K8859" s="1" t="str">
        <f>"2026-07-29 13:18:11"</f>
        <v>2026-07-29 13:18:11</v>
      </c>
      <c r="L8859" s="1" t="str">
        <f>"2019-09-09 10:31:57"</f>
        <v>2019-09-09 10:31:57</v>
      </c>
      <c r="M8859" s="1" t="s">
        <v>1</v>
      </c>
      <c r="N8859" s="1" t="s">
        <v>38</v>
      </c>
      <c r="O8859" s="1" t="s">
        <v>46</v>
      </c>
    </row>
    <row r="8860" spans="2:15" x14ac:dyDescent="0.3">
      <c r="B8860" s="1" t="s">
        <v>21</v>
      </c>
      <c r="C8860" s="1" t="str">
        <f>"1차"</f>
        <v>1차</v>
      </c>
      <c r="D8860" s="1" t="str">
        <f>"9628Y18100"</f>
        <v>9628Y18100</v>
      </c>
      <c r="E8860" s="1" t="s">
        <v>10</v>
      </c>
      <c r="F8860" s="1" t="str">
        <f>"10.128.1.79"</f>
        <v>10.128.1.79</v>
      </c>
      <c r="G8860" s="1" t="str">
        <f>"9628Y181"</f>
        <v>9628Y181</v>
      </c>
      <c r="H8860" s="1" t="str">
        <f>"갈색지 41R39"</f>
        <v>갈색지 41R39</v>
      </c>
      <c r="I8860" s="1" t="s">
        <v>8</v>
      </c>
      <c r="J8860" s="1" t="str">
        <f>"53/55"</f>
        <v>53/55</v>
      </c>
      <c r="K8860" s="1" t="str">
        <f>"2026-07-29 13:18:11"</f>
        <v>2026-07-29 13:18:11</v>
      </c>
      <c r="L8860" s="1" t="str">
        <f>"2014-11-20 13:03:06"</f>
        <v>2014-11-20 13:03:06</v>
      </c>
      <c r="M8860" s="1" t="s">
        <v>45</v>
      </c>
      <c r="N8860" s="1" t="s">
        <v>38</v>
      </c>
      <c r="O8860" s="1" t="s">
        <v>46</v>
      </c>
    </row>
    <row r="8861" spans="2:15" x14ac:dyDescent="0.3">
      <c r="B8861" s="1" t="s">
        <v>21</v>
      </c>
      <c r="C8861" s="1" t="str">
        <f>"4차"</f>
        <v>4차</v>
      </c>
      <c r="D8861" s="1" t="str">
        <f>"9628Y20144"</f>
        <v>9628Y20144</v>
      </c>
      <c r="E8861" s="1" t="s">
        <v>10</v>
      </c>
      <c r="F8861" s="1" t="str">
        <f>"10.10.131.202"</f>
        <v>10.10.131.202</v>
      </c>
      <c r="G8861" s="1" t="str">
        <f>"9628Y201"</f>
        <v>9628Y201</v>
      </c>
      <c r="H8861" s="1" t="str">
        <f>"신사간 28L3R2"</f>
        <v>신사간 28L3R2</v>
      </c>
      <c r="I8861" s="1" t="s">
        <v>8</v>
      </c>
      <c r="J8861" s="1" t="str">
        <f>"23/23"</f>
        <v>23/23</v>
      </c>
      <c r="K8861" s="1" t="str">
        <f>"2026-07-29 13:18:11"</f>
        <v>2026-07-29 13:18:11</v>
      </c>
      <c r="L8861" s="1" t="str">
        <f>"2019-10-28 09:52:10"</f>
        <v>2019-10-28 09:52:10</v>
      </c>
      <c r="M8861" s="1" t="s">
        <v>1</v>
      </c>
      <c r="N8861" s="1" t="s">
        <v>38</v>
      </c>
      <c r="O8861" s="1" t="s">
        <v>46</v>
      </c>
    </row>
    <row r="8862" spans="2:15" x14ac:dyDescent="0.3">
      <c r="B8862" s="1" t="s">
        <v>21</v>
      </c>
      <c r="C8862" s="1" t="str">
        <f>"5-2차"</f>
        <v>5-2차</v>
      </c>
      <c r="D8862" s="1" t="str">
        <f>"9628Y2025M"</f>
        <v>9628Y2025M</v>
      </c>
      <c r="E8862" s="1" t="s">
        <v>10</v>
      </c>
      <c r="F8862" s="1" t="str">
        <f>"fde1:103:4:5672:0:0:0:2"</f>
        <v>fde1:103:4:5672:0:0:0:2</v>
      </c>
      <c r="G8862" s="1" t="str">
        <f>"9628Y202"</f>
        <v>9628Y202</v>
      </c>
      <c r="H8862" s="1" t="str">
        <f>"신사간 28L3R1"</f>
        <v>신사간 28L3R1</v>
      </c>
      <c r="I8862" s="1" t="s">
        <v>15</v>
      </c>
      <c r="J8862" s="1" t="str">
        <f>"54/54"</f>
        <v>54/54</v>
      </c>
      <c r="K8862" s="1" t="str">
        <f>"2026-07-29 14:21:56"</f>
        <v>2026-07-29 14:21:56</v>
      </c>
      <c r="L8862" s="1" t="str">
        <f>"2023-10-20 10:22:01"</f>
        <v>2023-10-20 10:22:01</v>
      </c>
      <c r="M8862" s="1" t="s">
        <v>4</v>
      </c>
      <c r="N8862" s="1" t="s">
        <v>38</v>
      </c>
      <c r="O8862" s="1" t="s">
        <v>46</v>
      </c>
    </row>
    <row r="8863" spans="2:15" x14ac:dyDescent="0.3">
      <c r="B8863" s="1" t="s">
        <v>21</v>
      </c>
      <c r="C8863" s="1" t="str">
        <f>"4차"</f>
        <v>4차</v>
      </c>
      <c r="D8863" s="1" t="str">
        <f>"9628Y21444"</f>
        <v>9628Y21444</v>
      </c>
      <c r="E8863" s="1" t="s">
        <v>10</v>
      </c>
      <c r="F8863" s="1" t="str">
        <f>"10.10.132.162"</f>
        <v>10.10.132.162</v>
      </c>
      <c r="G8863" s="1" t="str">
        <f>"9628Y214"</f>
        <v>9628Y214</v>
      </c>
      <c r="H8863" s="1" t="str">
        <f>"신사간 29"</f>
        <v>신사간 29</v>
      </c>
      <c r="I8863" s="1" t="s">
        <v>8</v>
      </c>
      <c r="J8863" s="1" t="str">
        <f>"21/22"</f>
        <v>21/22</v>
      </c>
      <c r="K8863" s="1" t="str">
        <f>"2026-07-29 13:18:11"</f>
        <v>2026-07-29 13:18:11</v>
      </c>
      <c r="L8863" s="1" t="str">
        <f>"2019-10-28 09:48:10"</f>
        <v>2019-10-28 09:48:10</v>
      </c>
      <c r="M8863" s="1" t="s">
        <v>1</v>
      </c>
      <c r="N8863" s="1" t="s">
        <v>38</v>
      </c>
      <c r="O8863" s="1" t="s">
        <v>46</v>
      </c>
    </row>
    <row r="8864" spans="2:15" x14ac:dyDescent="0.3">
      <c r="B8864" s="1" t="s">
        <v>21</v>
      </c>
      <c r="C8864" s="1" t="str">
        <f>"1차"</f>
        <v>1차</v>
      </c>
      <c r="D8864" s="1" t="str">
        <f>"9628Y23102"</f>
        <v>9628Y23102</v>
      </c>
      <c r="E8864" s="1" t="s">
        <v>14</v>
      </c>
      <c r="F8864" s="1" t="str">
        <f>"10.128.1.75"</f>
        <v>10.128.1.75</v>
      </c>
      <c r="G8864" s="1" t="str">
        <f>"9628Y231"</f>
        <v>9628Y231</v>
      </c>
      <c r="H8864" s="1" t="str">
        <f>"신사간 20R1L11"</f>
        <v>신사간 20R1L11</v>
      </c>
      <c r="I8864" s="1" t="s">
        <v>8</v>
      </c>
      <c r="J8864" s="1" t="str">
        <f>"0/0"</f>
        <v>0/0</v>
      </c>
      <c r="K8864" s="1" t="str">
        <f>"2024-09-15 13:21:03"</f>
        <v>2024-09-15 13:21:03</v>
      </c>
      <c r="L8864" s="1" t="str">
        <f>"2015-01-12 10:18:12"</f>
        <v>2015-01-12 10:18:12</v>
      </c>
      <c r="M8864" s="1" t="s">
        <v>45</v>
      </c>
      <c r="N8864" s="1" t="s">
        <v>44</v>
      </c>
      <c r="O8864" s="1" t="s">
        <v>44</v>
      </c>
    </row>
    <row r="8865" spans="2:15" x14ac:dyDescent="0.3">
      <c r="B8865" s="1" t="s">
        <v>21</v>
      </c>
      <c r="C8865" s="1" t="str">
        <f>"4차"</f>
        <v>4차</v>
      </c>
      <c r="D8865" s="1" t="str">
        <f>"9628Y24244"</f>
        <v>9628Y24244</v>
      </c>
      <c r="E8865" s="1" t="s">
        <v>10</v>
      </c>
      <c r="F8865" s="1" t="str">
        <f>"10.10.132.178"</f>
        <v>10.10.132.178</v>
      </c>
      <c r="G8865" s="1" t="str">
        <f>"9628Y242"</f>
        <v>9628Y242</v>
      </c>
      <c r="H8865" s="1" t="str">
        <f>"신사간 20R1L11R2"</f>
        <v>신사간 20R1L11R2</v>
      </c>
      <c r="I8865" s="1" t="s">
        <v>8</v>
      </c>
      <c r="J8865" s="1" t="str">
        <f>"21/22"</f>
        <v>21/22</v>
      </c>
      <c r="K8865" s="1" t="str">
        <f>"2026-07-29 13:18:11"</f>
        <v>2026-07-29 13:18:11</v>
      </c>
      <c r="L8865" s="1" t="str">
        <f>"2019-10-28 10:12:26"</f>
        <v>2019-10-28 10:12:26</v>
      </c>
      <c r="M8865" s="1" t="s">
        <v>1</v>
      </c>
      <c r="N8865" s="1" t="s">
        <v>38</v>
      </c>
      <c r="O8865" s="1" t="s">
        <v>46</v>
      </c>
    </row>
    <row r="8866" spans="2:15" x14ac:dyDescent="0.3">
      <c r="B8866" s="1" t="s">
        <v>21</v>
      </c>
      <c r="C8866" s="1" t="str">
        <f>"4차"</f>
        <v>4차</v>
      </c>
      <c r="D8866" s="1" t="str">
        <f>"9628Y25144"</f>
        <v>9628Y25144</v>
      </c>
      <c r="E8866" s="1" t="s">
        <v>10</v>
      </c>
      <c r="F8866" s="1" t="str">
        <f>"10.10.132.202"</f>
        <v>10.10.132.202</v>
      </c>
      <c r="G8866" s="1" t="str">
        <f>"9628Y251"</f>
        <v>9628Y251</v>
      </c>
      <c r="H8866" s="1" t="str">
        <f>"신사간 20R1L9R3"</f>
        <v>신사간 20R1L9R3</v>
      </c>
      <c r="I8866" s="1" t="s">
        <v>8</v>
      </c>
      <c r="J8866" s="1" t="str">
        <f>"23/23"</f>
        <v>23/23</v>
      </c>
      <c r="K8866" s="1" t="str">
        <f>"2026-07-29 13:18:11"</f>
        <v>2026-07-29 13:18:11</v>
      </c>
      <c r="L8866" s="1" t="str">
        <f>"2019-10-28 10:23:06"</f>
        <v>2019-10-28 10:23:06</v>
      </c>
      <c r="M8866" s="1" t="s">
        <v>1</v>
      </c>
      <c r="N8866" s="1" t="s">
        <v>38</v>
      </c>
      <c r="O8866" s="1" t="s">
        <v>46</v>
      </c>
    </row>
    <row r="8867" spans="2:15" x14ac:dyDescent="0.3">
      <c r="B8867" s="1" t="s">
        <v>21</v>
      </c>
      <c r="C8867" s="1" t="str">
        <f>"5-2차"</f>
        <v>5-2차</v>
      </c>
      <c r="D8867" s="1" t="str">
        <f>"9628Y2635M"</f>
        <v>9628Y2635M</v>
      </c>
      <c r="E8867" s="1" t="s">
        <v>10</v>
      </c>
      <c r="F8867" s="1" t="str">
        <f>"fde1:103:4:5946:0:0:0:2"</f>
        <v>fde1:103:4:5946:0:0:0:2</v>
      </c>
      <c r="G8867" s="1" t="str">
        <f>"9628Y263"</f>
        <v>9628Y263</v>
      </c>
      <c r="H8867" s="1" t="str">
        <f>"갈색지 24R2B2"</f>
        <v>갈색지 24R2B2</v>
      </c>
      <c r="I8867" s="1" t="s">
        <v>15</v>
      </c>
      <c r="J8867" s="1" t="str">
        <f>"85/85"</f>
        <v>85/85</v>
      </c>
      <c r="K8867" s="1" t="str">
        <f>"2026-07-29 14:21:53"</f>
        <v>2026-07-29 14:21:53</v>
      </c>
      <c r="L8867" s="1" t="str">
        <f>"2023-10-20 10:22:37"</f>
        <v>2023-10-20 10:22:37</v>
      </c>
      <c r="M8867" s="1" t="s">
        <v>4</v>
      </c>
      <c r="N8867" s="1" t="s">
        <v>38</v>
      </c>
      <c r="O8867" s="1" t="s">
        <v>46</v>
      </c>
    </row>
    <row r="8868" spans="2:15" x14ac:dyDescent="0.3">
      <c r="B8868" s="1" t="s">
        <v>21</v>
      </c>
      <c r="C8868" s="1" t="str">
        <f>"4차"</f>
        <v>4차</v>
      </c>
      <c r="D8868" s="1" t="str">
        <f>"9628Y29244"</f>
        <v>9628Y29244</v>
      </c>
      <c r="E8868" s="1" t="s">
        <v>10</v>
      </c>
      <c r="F8868" s="1" t="str">
        <f>"10.10.132.146"</f>
        <v>10.10.132.146</v>
      </c>
      <c r="G8868" s="1" t="str">
        <f>"9628Y292"</f>
        <v>9628Y292</v>
      </c>
      <c r="H8868" s="1" t="str">
        <f>"갈색지 41R37L1"</f>
        <v>갈색지 41R37L1</v>
      </c>
      <c r="I8868" s="1" t="s">
        <v>8</v>
      </c>
      <c r="J8868" s="1" t="str">
        <f>"39/39"</f>
        <v>39/39</v>
      </c>
      <c r="K8868" s="1" t="str">
        <f>"2026-07-29 13:18:11"</f>
        <v>2026-07-29 13:18:11</v>
      </c>
      <c r="L8868" s="1" t="str">
        <f>"2019-09-09 10:43:04"</f>
        <v>2019-09-09 10:43:04</v>
      </c>
      <c r="M8868" s="1" t="s">
        <v>1</v>
      </c>
      <c r="N8868" s="1" t="s">
        <v>38</v>
      </c>
      <c r="O8868" s="1" t="s">
        <v>46</v>
      </c>
    </row>
    <row r="8869" spans="2:15" x14ac:dyDescent="0.3">
      <c r="B8869" s="1" t="s">
        <v>21</v>
      </c>
      <c r="C8869" s="1" t="str">
        <f>"5-2차"</f>
        <v>5-2차</v>
      </c>
      <c r="D8869" s="1" t="str">
        <f>"9628Y3015S"</f>
        <v>9628Y3015S</v>
      </c>
      <c r="E8869" s="1" t="s">
        <v>10</v>
      </c>
      <c r="F8869" s="1" t="str">
        <f>"fde1:103:4:5973:0:0:0:2"</f>
        <v>fde1:103:4:5973:0:0:0:2</v>
      </c>
      <c r="G8869" s="1" t="str">
        <f>"9628Y301"</f>
        <v>9628Y301</v>
      </c>
      <c r="H8869" s="1" t="str">
        <f>"신사간 28L3L1"</f>
        <v>신사간 28L3L1</v>
      </c>
      <c r="I8869" s="1" t="s">
        <v>15</v>
      </c>
      <c r="J8869" s="1" t="str">
        <f>"89/89"</f>
        <v>89/89</v>
      </c>
      <c r="K8869" s="1" t="str">
        <f>"2026-07-29 14:21:53"</f>
        <v>2026-07-29 14:21:53</v>
      </c>
      <c r="L8869" s="1" t="str">
        <f>"2023-10-20 10:23:02"</f>
        <v>2023-10-20 10:23:02</v>
      </c>
      <c r="M8869" s="1" t="s">
        <v>4</v>
      </c>
      <c r="N8869" s="1" t="s">
        <v>38</v>
      </c>
      <c r="O8869" s="1" t="s">
        <v>46</v>
      </c>
    </row>
    <row r="8870" spans="2:15" x14ac:dyDescent="0.3">
      <c r="B8870" s="1" t="s">
        <v>21</v>
      </c>
      <c r="C8870" s="1" t="str">
        <f>"5-2차"</f>
        <v>5-2차</v>
      </c>
      <c r="D8870" s="1" t="str">
        <f>"9628Y3255M"</f>
        <v>9628Y3255M</v>
      </c>
      <c r="E8870" s="1" t="s">
        <v>10</v>
      </c>
      <c r="F8870" s="1" t="str">
        <f>"fde1:103:4:560b:0:0:0:2"</f>
        <v>fde1:103:4:560b:0:0:0:2</v>
      </c>
      <c r="G8870" s="1" t="str">
        <f>"9628Y325"</f>
        <v>9628Y325</v>
      </c>
      <c r="H8870" s="1" t="str">
        <f>"신사간 20R1L7L1"</f>
        <v>신사간 20R1L7L1</v>
      </c>
      <c r="I8870" s="1" t="s">
        <v>15</v>
      </c>
      <c r="J8870" s="1" t="str">
        <f>"18/18"</f>
        <v>18/18</v>
      </c>
      <c r="K8870" s="1" t="str">
        <f>"2026-07-29 14:21:53"</f>
        <v>2026-07-29 14:21:53</v>
      </c>
      <c r="L8870" s="1" t="str">
        <f>"2023-10-20 10:23:31"</f>
        <v>2023-10-20 10:23:31</v>
      </c>
      <c r="M8870" s="1" t="s">
        <v>4</v>
      </c>
      <c r="N8870" s="1" t="s">
        <v>38</v>
      </c>
      <c r="O8870" s="1" t="s">
        <v>46</v>
      </c>
    </row>
    <row r="8871" spans="2:15" x14ac:dyDescent="0.3">
      <c r="B8871" s="1" t="s">
        <v>21</v>
      </c>
      <c r="C8871" s="1" t="str">
        <f>"1차"</f>
        <v>1차</v>
      </c>
      <c r="D8871" s="1" t="str">
        <f>"9628Y33101"</f>
        <v>9628Y33101</v>
      </c>
      <c r="E8871" s="1" t="s">
        <v>10</v>
      </c>
      <c r="F8871" s="1" t="str">
        <f>"10.12.138.11"</f>
        <v>10.12.138.11</v>
      </c>
      <c r="G8871" s="1" t="str">
        <f>"9628Y331"</f>
        <v>9628Y331</v>
      </c>
      <c r="H8871" s="1" t="str">
        <f>"신사간 20R1L10"</f>
        <v>신사간 20R1L10</v>
      </c>
      <c r="I8871" s="1" t="s">
        <v>8</v>
      </c>
      <c r="J8871" s="1" t="str">
        <f>"53/55"</f>
        <v>53/55</v>
      </c>
      <c r="K8871" s="1" t="str">
        <f>"2026-07-29 13:18:12"</f>
        <v>2026-07-29 13:18:12</v>
      </c>
      <c r="L8871" s="1" t="str">
        <f>"2014-11-20 17:31:52"</f>
        <v>2014-11-20 17:31:52</v>
      </c>
      <c r="M8871" s="1" t="s">
        <v>0</v>
      </c>
      <c r="N8871" s="1" t="s">
        <v>38</v>
      </c>
      <c r="O8871" s="1" t="s">
        <v>46</v>
      </c>
    </row>
    <row r="8872" spans="2:15" x14ac:dyDescent="0.3">
      <c r="B8872" s="1" t="s">
        <v>21</v>
      </c>
      <c r="C8872" s="1" t="str">
        <f>"4차"</f>
        <v>4차</v>
      </c>
      <c r="D8872" s="1" t="str">
        <f>"9628Y34244"</f>
        <v>9628Y34244</v>
      </c>
      <c r="E8872" s="1" t="s">
        <v>10</v>
      </c>
      <c r="F8872" s="1" t="str">
        <f>"10.10.132.194"</f>
        <v>10.10.132.194</v>
      </c>
      <c r="G8872" s="1" t="str">
        <f>"9628Y342"</f>
        <v>9628Y342</v>
      </c>
      <c r="H8872" s="1" t="str">
        <f>"신사간 20R1L9R2"</f>
        <v>신사간 20R1L9R2</v>
      </c>
      <c r="I8872" s="1" t="s">
        <v>8</v>
      </c>
      <c r="J8872" s="1" t="str">
        <f>"14/14"</f>
        <v>14/14</v>
      </c>
      <c r="K8872" s="1" t="str">
        <f>"2026-07-29 13:18:11"</f>
        <v>2026-07-29 13:18:11</v>
      </c>
      <c r="L8872" s="1" t="str">
        <f>"2019-10-28 10:05:11"</f>
        <v>2019-10-28 10:05:11</v>
      </c>
      <c r="M8872" s="1" t="s">
        <v>1</v>
      </c>
      <c r="N8872" s="1" t="s">
        <v>38</v>
      </c>
      <c r="O8872" s="1" t="s">
        <v>46</v>
      </c>
    </row>
    <row r="8873" spans="2:15" x14ac:dyDescent="0.3">
      <c r="B8873" s="1" t="s">
        <v>21</v>
      </c>
      <c r="C8873" s="1" t="str">
        <f>"5-1차"</f>
        <v>5-1차</v>
      </c>
      <c r="D8873" s="1" t="str">
        <f>"9628Y3615S"</f>
        <v>9628Y3615S</v>
      </c>
      <c r="E8873" s="1" t="s">
        <v>10</v>
      </c>
      <c r="F8873" s="1" t="str">
        <f>"fde2:104:0:58:0:0:0:2"</f>
        <v>fde2:104:0:58:0:0:0:2</v>
      </c>
      <c r="G8873" s="1" t="str">
        <f>"9628Y361"</f>
        <v>9628Y361</v>
      </c>
      <c r="H8873" s="1" t="str">
        <f>"신사간 20R1L3R6L1"</f>
        <v>신사간 20R1L3R6L1</v>
      </c>
      <c r="I8873" s="1" t="s">
        <v>15</v>
      </c>
      <c r="J8873" s="1" t="str">
        <f>"46/46"</f>
        <v>46/46</v>
      </c>
      <c r="K8873" s="1" t="str">
        <f>"2026-07-29 14:21:21"</f>
        <v>2026-07-29 14:21:21</v>
      </c>
      <c r="L8873" s="1" t="str">
        <f>"2022-09-27 18:41:59"</f>
        <v>2022-09-27 18:41:59</v>
      </c>
      <c r="M8873" s="1" t="s">
        <v>42</v>
      </c>
      <c r="N8873" s="1" t="s">
        <v>38</v>
      </c>
      <c r="O8873" s="1" t="s">
        <v>46</v>
      </c>
    </row>
    <row r="8874" spans="2:15" x14ac:dyDescent="0.3">
      <c r="B8874" s="1" t="s">
        <v>21</v>
      </c>
      <c r="C8874" s="1" t="str">
        <f>"4차"</f>
        <v>4차</v>
      </c>
      <c r="D8874" s="1" t="str">
        <f>"9628Y39144"</f>
        <v>9628Y39144</v>
      </c>
      <c r="E8874" s="1" t="s">
        <v>10</v>
      </c>
      <c r="F8874" s="1" t="str">
        <f>"10.10.132.226"</f>
        <v>10.10.132.226</v>
      </c>
      <c r="G8874" s="1" t="str">
        <f>"9628Y391"</f>
        <v>9628Y391</v>
      </c>
      <c r="H8874" s="1" t="str">
        <f>"신사간 20R17"</f>
        <v>신사간 20R17</v>
      </c>
      <c r="I8874" s="1" t="s">
        <v>8</v>
      </c>
      <c r="J8874" s="1" t="str">
        <f>"49/49"</f>
        <v>49/49</v>
      </c>
      <c r="K8874" s="1" t="str">
        <f>"2026-07-29 13:18:11"</f>
        <v>2026-07-29 13:18:11</v>
      </c>
      <c r="L8874" s="1" t="str">
        <f>"2019-12-11 18:22:03"</f>
        <v>2019-12-11 18:22:03</v>
      </c>
      <c r="M8874" s="1" t="s">
        <v>1</v>
      </c>
      <c r="N8874" s="1" t="s">
        <v>38</v>
      </c>
      <c r="O8874" s="1" t="s">
        <v>46</v>
      </c>
    </row>
    <row r="8875" spans="2:15" x14ac:dyDescent="0.3">
      <c r="B8875" s="1" t="s">
        <v>21</v>
      </c>
      <c r="C8875" s="1" t="str">
        <f>"4차"</f>
        <v>4차</v>
      </c>
      <c r="D8875" s="1" t="str">
        <f>"9628Y40144"</f>
        <v>9628Y40144</v>
      </c>
      <c r="E8875" s="1" t="s">
        <v>10</v>
      </c>
      <c r="F8875" s="1" t="str">
        <f>"10.10.131.90"</f>
        <v>10.10.131.90</v>
      </c>
      <c r="G8875" s="1" t="str">
        <f>"9628Y401"</f>
        <v>9628Y401</v>
      </c>
      <c r="H8875" s="1" t="str">
        <f>"신사간 28L3L2"</f>
        <v>신사간 28L3L2</v>
      </c>
      <c r="I8875" s="1" t="s">
        <v>8</v>
      </c>
      <c r="J8875" s="1" t="str">
        <f>"19/19"</f>
        <v>19/19</v>
      </c>
      <c r="K8875" s="1" t="str">
        <f>"2026-07-29 13:18:11"</f>
        <v>2026-07-29 13:18:11</v>
      </c>
      <c r="L8875" s="1" t="str">
        <f>"2019-10-28 09:49:00"</f>
        <v>2019-10-28 09:49:00</v>
      </c>
      <c r="M8875" s="1" t="s">
        <v>1</v>
      </c>
      <c r="N8875" s="1" t="s">
        <v>38</v>
      </c>
      <c r="O8875" s="1" t="s">
        <v>46</v>
      </c>
    </row>
    <row r="8876" spans="2:15" x14ac:dyDescent="0.3">
      <c r="B8876" s="1" t="s">
        <v>21</v>
      </c>
      <c r="C8876" s="1" t="str">
        <f>"4차"</f>
        <v>4차</v>
      </c>
      <c r="D8876" s="1" t="str">
        <f>"9628Y41244"</f>
        <v>9628Y41244</v>
      </c>
      <c r="E8876" s="1" t="s">
        <v>10</v>
      </c>
      <c r="F8876" s="1" t="str">
        <f>"10.10.131.82"</f>
        <v>10.10.131.82</v>
      </c>
      <c r="G8876" s="1" t="str">
        <f>"9628Y412"</f>
        <v>9628Y412</v>
      </c>
      <c r="H8876" s="1" t="str">
        <f>"신사간 27L3"</f>
        <v>신사간 27L3</v>
      </c>
      <c r="I8876" s="1" t="s">
        <v>8</v>
      </c>
      <c r="J8876" s="1" t="str">
        <f>"15/15"</f>
        <v>15/15</v>
      </c>
      <c r="K8876" s="1" t="str">
        <f>"2026-07-29 13:18:11"</f>
        <v>2026-07-29 13:18:11</v>
      </c>
      <c r="L8876" s="1" t="str">
        <f>"2019-10-28 09:43:05"</f>
        <v>2019-10-28 09:43:05</v>
      </c>
      <c r="M8876" s="1" t="s">
        <v>1</v>
      </c>
      <c r="N8876" s="1" t="s">
        <v>38</v>
      </c>
      <c r="O8876" s="1" t="s">
        <v>46</v>
      </c>
    </row>
    <row r="8877" spans="2:15" x14ac:dyDescent="0.3">
      <c r="B8877" s="1" t="s">
        <v>21</v>
      </c>
      <c r="C8877" s="1" t="str">
        <f>"5-2차"</f>
        <v>5-2차</v>
      </c>
      <c r="D8877" s="1" t="str">
        <f>"9628Y4215M"</f>
        <v>9628Y4215M</v>
      </c>
      <c r="E8877" s="1" t="s">
        <v>10</v>
      </c>
      <c r="F8877" s="1" t="str">
        <f>"fde1:103:4:5935:0:0:0:2"</f>
        <v>fde1:103:4:5935:0:0:0:2</v>
      </c>
      <c r="G8877" s="1" t="str">
        <f>"9628Y421"</f>
        <v>9628Y421</v>
      </c>
      <c r="H8877" s="1" t="str">
        <f>"신사간 26"</f>
        <v>신사간 26</v>
      </c>
      <c r="I8877" s="1" t="s">
        <v>15</v>
      </c>
      <c r="J8877" s="1" t="str">
        <f>"42/42"</f>
        <v>42/42</v>
      </c>
      <c r="K8877" s="1" t="str">
        <f>"2026-07-29 14:21:25"</f>
        <v>2026-07-29 14:21:25</v>
      </c>
      <c r="L8877" s="1" t="str">
        <f>"2023-10-20 10:46:26"</f>
        <v>2023-10-20 10:46:26</v>
      </c>
      <c r="M8877" s="1" t="s">
        <v>4</v>
      </c>
      <c r="N8877" s="1" t="s">
        <v>38</v>
      </c>
      <c r="O8877" s="1" t="s">
        <v>46</v>
      </c>
    </row>
    <row r="8878" spans="2:15" x14ac:dyDescent="0.3">
      <c r="B8878" s="1" t="s">
        <v>21</v>
      </c>
      <c r="C8878" s="1" t="str">
        <f>"1차"</f>
        <v>1차</v>
      </c>
      <c r="D8878" s="1" t="str">
        <f>"9628Y43200"</f>
        <v>9628Y43200</v>
      </c>
      <c r="E8878" s="1" t="s">
        <v>10</v>
      </c>
      <c r="F8878" s="1" t="str">
        <f>"10.128.68.102"</f>
        <v>10.128.68.102</v>
      </c>
      <c r="G8878" s="1" t="str">
        <f>"9628Y432"</f>
        <v>9628Y432</v>
      </c>
      <c r="H8878" s="1" t="str">
        <f>"신사간 20R1L9"</f>
        <v>신사간 20R1L9</v>
      </c>
      <c r="I8878" s="1" t="s">
        <v>8</v>
      </c>
      <c r="J8878" s="1" t="str">
        <f>"48/48"</f>
        <v>48/48</v>
      </c>
      <c r="K8878" s="1" t="str">
        <f>"2026-07-29 13:18:11"</f>
        <v>2026-07-29 13:18:11</v>
      </c>
      <c r="L8878" s="1" t="str">
        <f>"2014-11-14 15:18:20"</f>
        <v>2014-11-14 15:18:20</v>
      </c>
      <c r="M8878" s="1" t="s">
        <v>45</v>
      </c>
      <c r="N8878" s="1" t="s">
        <v>38</v>
      </c>
      <c r="O8878" s="1" t="s">
        <v>46</v>
      </c>
    </row>
    <row r="8879" spans="2:15" x14ac:dyDescent="0.3">
      <c r="B8879" s="1" t="s">
        <v>21</v>
      </c>
      <c r="C8879" s="1" t="str">
        <f>"4차"</f>
        <v>4차</v>
      </c>
      <c r="D8879" s="1" t="str">
        <f>"9628Y44144"</f>
        <v>9628Y44144</v>
      </c>
      <c r="E8879" s="1" t="s">
        <v>10</v>
      </c>
      <c r="F8879" s="1" t="str">
        <f>"10.10.131.26"</f>
        <v>10.10.131.26</v>
      </c>
      <c r="G8879" s="1" t="str">
        <f>"9628Y441"</f>
        <v>9628Y441</v>
      </c>
      <c r="H8879" s="1" t="str">
        <f>"신사간 20R1L3R5"</f>
        <v>신사간 20R1L3R5</v>
      </c>
      <c r="I8879" s="1" t="s">
        <v>8</v>
      </c>
      <c r="J8879" s="1" t="str">
        <f>"21/21"</f>
        <v>21/21</v>
      </c>
      <c r="K8879" s="1" t="str">
        <f>"2026-07-29 13:18:11"</f>
        <v>2026-07-29 13:18:11</v>
      </c>
      <c r="L8879" s="1" t="str">
        <f>"2019-10-28 09:38:14"</f>
        <v>2019-10-28 09:38:14</v>
      </c>
      <c r="M8879" s="1" t="s">
        <v>1</v>
      </c>
      <c r="N8879" s="1" t="s">
        <v>38</v>
      </c>
      <c r="O8879" s="1" t="s">
        <v>46</v>
      </c>
    </row>
    <row r="8880" spans="2:15" x14ac:dyDescent="0.3">
      <c r="B8880" s="1" t="s">
        <v>21</v>
      </c>
      <c r="C8880" s="1" t="str">
        <f>"4차"</f>
        <v>4차</v>
      </c>
      <c r="D8880" s="1" t="str">
        <f>"9628Y45144"</f>
        <v>9628Y45144</v>
      </c>
      <c r="E8880" s="1" t="s">
        <v>10</v>
      </c>
      <c r="F8880" s="1" t="str">
        <f>"10.10.130.250"</f>
        <v>10.10.130.250</v>
      </c>
      <c r="G8880" s="1" t="str">
        <f>"9628Y451"</f>
        <v>9628Y451</v>
      </c>
      <c r="H8880" s="1" t="str">
        <f>"신사간 20R1L3R6"</f>
        <v>신사간 20R1L3R6</v>
      </c>
      <c r="I8880" s="1" t="s">
        <v>8</v>
      </c>
      <c r="J8880" s="1" t="str">
        <f>"83/84"</f>
        <v>83/84</v>
      </c>
      <c r="K8880" s="1" t="str">
        <f>"2026-07-29 13:18:11"</f>
        <v>2026-07-29 13:18:11</v>
      </c>
      <c r="L8880" s="1" t="str">
        <f>"2019-10-28 09:42:56"</f>
        <v>2019-10-28 09:42:56</v>
      </c>
      <c r="M8880" s="1" t="s">
        <v>1</v>
      </c>
      <c r="N8880" s="1" t="s">
        <v>38</v>
      </c>
      <c r="O8880" s="1" t="s">
        <v>46</v>
      </c>
    </row>
    <row r="8881" spans="2:15" x14ac:dyDescent="0.3">
      <c r="B8881" s="1" t="s">
        <v>21</v>
      </c>
      <c r="C8881" s="1" t="str">
        <f>"5-2차"</f>
        <v>5-2차</v>
      </c>
      <c r="D8881" s="1" t="str">
        <f>"9628Y4735S"</f>
        <v>9628Y4735S</v>
      </c>
      <c r="E8881" s="1" t="s">
        <v>10</v>
      </c>
      <c r="F8881" s="1" t="str">
        <f>"fde1:103:4:5650:0:0:0:2"</f>
        <v>fde1:103:4:5650:0:0:0:2</v>
      </c>
      <c r="G8881" s="1" t="str">
        <f>"9628Y473"</f>
        <v>9628Y473</v>
      </c>
      <c r="H8881" s="1" t="str">
        <f>"신사간 20R1L3R9"</f>
        <v>신사간 20R1L3R9</v>
      </c>
      <c r="I8881" s="1" t="s">
        <v>15</v>
      </c>
      <c r="J8881" s="1" t="str">
        <f>"50/50"</f>
        <v>50/50</v>
      </c>
      <c r="K8881" s="1" t="str">
        <f>"2026-07-29 14:20:58"</f>
        <v>2026-07-29 14:20:58</v>
      </c>
      <c r="L8881" s="1" t="str">
        <f>"2023-10-20 10:46:53"</f>
        <v>2023-10-20 10:46:53</v>
      </c>
      <c r="M8881" s="1" t="s">
        <v>4</v>
      </c>
      <c r="N8881" s="1" t="s">
        <v>38</v>
      </c>
      <c r="O8881" s="1" t="s">
        <v>46</v>
      </c>
    </row>
    <row r="8882" spans="2:15" x14ac:dyDescent="0.3">
      <c r="B8882" s="1" t="s">
        <v>21</v>
      </c>
      <c r="C8882" s="1" t="str">
        <f>"4차"</f>
        <v>4차</v>
      </c>
      <c r="D8882" s="1" t="str">
        <f>"9628Y48144"</f>
        <v>9628Y48144</v>
      </c>
      <c r="E8882" s="1" t="s">
        <v>10</v>
      </c>
      <c r="F8882" s="1" t="str">
        <f>"10.10.130.50"</f>
        <v>10.10.130.50</v>
      </c>
      <c r="G8882" s="1" t="str">
        <f>"9628Y481"</f>
        <v>9628Y481</v>
      </c>
      <c r="H8882" s="1" t="str">
        <f>"신사간 20R15"</f>
        <v>신사간 20R15</v>
      </c>
      <c r="I8882" s="1" t="s">
        <v>8</v>
      </c>
      <c r="J8882" s="1" t="str">
        <f>"20/20"</f>
        <v>20/20</v>
      </c>
      <c r="K8882" s="1" t="str">
        <f>"2026-07-29 13:18:11"</f>
        <v>2026-07-29 13:18:11</v>
      </c>
      <c r="L8882" s="1" t="str">
        <f>"2019-12-11 18:19:36"</f>
        <v>2019-12-11 18:19:36</v>
      </c>
      <c r="M8882" s="1" t="s">
        <v>1</v>
      </c>
      <c r="N8882" s="1" t="s">
        <v>38</v>
      </c>
      <c r="O8882" s="1" t="s">
        <v>46</v>
      </c>
    </row>
    <row r="8883" spans="2:15" x14ac:dyDescent="0.3">
      <c r="B8883" s="1" t="s">
        <v>21</v>
      </c>
      <c r="C8883" s="1" t="str">
        <f>"5-2차"</f>
        <v>5-2차</v>
      </c>
      <c r="D8883" s="1" t="str">
        <f>"9628Y4825M"</f>
        <v>9628Y4825M</v>
      </c>
      <c r="E8883" s="1" t="s">
        <v>10</v>
      </c>
      <c r="F8883" s="1" t="str">
        <f>"fde1:103:4:593f:0:0:0:2"</f>
        <v>fde1:103:4:593f:0:0:0:2</v>
      </c>
      <c r="G8883" s="1" t="str">
        <f>"9628Y482"</f>
        <v>9628Y482</v>
      </c>
      <c r="H8883" s="1" t="str">
        <f>"신사간 20R16"</f>
        <v>신사간 20R16</v>
      </c>
      <c r="I8883" s="1" t="s">
        <v>15</v>
      </c>
      <c r="J8883" s="1" t="str">
        <f>"84/84"</f>
        <v>84/84</v>
      </c>
      <c r="K8883" s="1" t="str">
        <f>"2026-07-29 14:21:27"</f>
        <v>2026-07-29 14:21:27</v>
      </c>
      <c r="L8883" s="1" t="str">
        <f>"2023-10-20 10:48:34"</f>
        <v>2023-10-20 10:48:34</v>
      </c>
      <c r="M8883" s="1" t="s">
        <v>4</v>
      </c>
      <c r="N8883" s="1" t="s">
        <v>38</v>
      </c>
      <c r="O8883" s="1" t="s">
        <v>46</v>
      </c>
    </row>
    <row r="8884" spans="2:15" x14ac:dyDescent="0.3">
      <c r="B8884" s="1" t="s">
        <v>21</v>
      </c>
      <c r="C8884" s="1" t="str">
        <f>"5-2차"</f>
        <v>5-2차</v>
      </c>
      <c r="D8884" s="1" t="str">
        <f>"9628Y5415S"</f>
        <v>9628Y5415S</v>
      </c>
      <c r="E8884" s="1" t="s">
        <v>10</v>
      </c>
      <c r="F8884" s="1" t="str">
        <f>"fde1:103:4:56bd:0:0:0:2"</f>
        <v>fde1:103:4:56bd:0:0:0:2</v>
      </c>
      <c r="G8884" s="1" t="str">
        <f>"9628Y541"</f>
        <v>9628Y541</v>
      </c>
      <c r="H8884" s="1" t="str">
        <f>"신사간 20R1L3R3"</f>
        <v>신사간 20R1L3R3</v>
      </c>
      <c r="I8884" s="1" t="s">
        <v>15</v>
      </c>
      <c r="J8884" s="1" t="str">
        <f>"40/40"</f>
        <v>40/40</v>
      </c>
      <c r="K8884" s="1" t="str">
        <f>"2026-07-29 14:21:25"</f>
        <v>2026-07-29 14:21:25</v>
      </c>
      <c r="L8884" s="1" t="str">
        <f>"2023-10-20 10:49:07"</f>
        <v>2023-10-20 10:49:07</v>
      </c>
      <c r="M8884" s="1" t="s">
        <v>4</v>
      </c>
      <c r="N8884" s="1" t="s">
        <v>38</v>
      </c>
      <c r="O8884" s="1" t="s">
        <v>46</v>
      </c>
    </row>
    <row r="8885" spans="2:15" x14ac:dyDescent="0.3">
      <c r="B8885" s="1" t="s">
        <v>21</v>
      </c>
      <c r="C8885" s="1" t="str">
        <f>"5-2차"</f>
        <v>5-2차</v>
      </c>
      <c r="D8885" s="1" t="str">
        <f>"9628Y5425M"</f>
        <v>9628Y5425M</v>
      </c>
      <c r="E8885" s="1" t="s">
        <v>10</v>
      </c>
      <c r="F8885" s="1" t="str">
        <f>"fde1:103:4:55e9:0:0:0:2"</f>
        <v>fde1:103:4:55e9:0:0:0:2</v>
      </c>
      <c r="G8885" s="1" t="str">
        <f>"9628Y542"</f>
        <v>9628Y542</v>
      </c>
      <c r="H8885" s="1" t="str">
        <f>"신사간 20R1L3R2"</f>
        <v>신사간 20R1L3R2</v>
      </c>
      <c r="I8885" s="1" t="s">
        <v>15</v>
      </c>
      <c r="J8885" s="1" t="str">
        <f>"51/69"</f>
        <v>51/69</v>
      </c>
      <c r="K8885" s="1" t="str">
        <f>"2026-07-29 14:20:57"</f>
        <v>2026-07-29 14:20:57</v>
      </c>
      <c r="L8885" s="1" t="str">
        <f>"2023-10-20 10:49:33"</f>
        <v>2023-10-20 10:49:33</v>
      </c>
      <c r="M8885" s="1" t="s">
        <v>4</v>
      </c>
      <c r="N8885" s="1" t="s">
        <v>38</v>
      </c>
      <c r="O8885" s="1" t="s">
        <v>46</v>
      </c>
    </row>
    <row r="8886" spans="2:15" x14ac:dyDescent="0.3">
      <c r="B8886" s="1" t="s">
        <v>21</v>
      </c>
      <c r="C8886" s="1" t="str">
        <f>"4차"</f>
        <v>4차</v>
      </c>
      <c r="D8886" s="1" t="str">
        <f>"9628Y55344"</f>
        <v>9628Y55344</v>
      </c>
      <c r="E8886" s="1" t="s">
        <v>10</v>
      </c>
      <c r="F8886" s="1" t="str">
        <f>"10.10.131.10"</f>
        <v>10.10.131.10</v>
      </c>
      <c r="G8886" s="1" t="str">
        <f>"9628Y553"</f>
        <v>9628Y553</v>
      </c>
      <c r="H8886" s="1" t="str">
        <f>"신사간 20R1L3R4R2"</f>
        <v>신사간 20R1L3R4R2</v>
      </c>
      <c r="I8886" s="1" t="s">
        <v>8</v>
      </c>
      <c r="J8886" s="1" t="str">
        <f>"14/14"</f>
        <v>14/14</v>
      </c>
      <c r="K8886" s="1" t="str">
        <f>"2026-07-29 13:18:11"</f>
        <v>2026-07-29 13:18:11</v>
      </c>
      <c r="L8886" s="1" t="str">
        <f>"2019-10-28 09:38:55"</f>
        <v>2019-10-28 09:38:55</v>
      </c>
      <c r="M8886" s="1" t="s">
        <v>1</v>
      </c>
      <c r="N8886" s="1" t="s">
        <v>38</v>
      </c>
      <c r="O8886" s="1" t="s">
        <v>46</v>
      </c>
    </row>
    <row r="8887" spans="2:15" x14ac:dyDescent="0.3">
      <c r="B8887" s="1" t="s">
        <v>21</v>
      </c>
      <c r="C8887" s="1" t="str">
        <f>"1차"</f>
        <v>1차</v>
      </c>
      <c r="D8887" s="1" t="str">
        <f>"9628Y58101"</f>
        <v>9628Y58101</v>
      </c>
      <c r="E8887" s="1" t="s">
        <v>10</v>
      </c>
      <c r="F8887" s="1" t="str">
        <f>"10.128.68.138"</f>
        <v>10.128.68.138</v>
      </c>
      <c r="G8887" s="1" t="str">
        <f>"9628Y581"</f>
        <v>9628Y581</v>
      </c>
      <c r="H8887" s="1" t="str">
        <f>"신사간 20R14"</f>
        <v>신사간 20R14</v>
      </c>
      <c r="I8887" s="1" t="s">
        <v>8</v>
      </c>
      <c r="J8887" s="1" t="str">
        <f>"35/36"</f>
        <v>35/36</v>
      </c>
      <c r="K8887" s="1" t="str">
        <f>"2026-07-29 13:18:11"</f>
        <v>2026-07-29 13:18:11</v>
      </c>
      <c r="L8887" s="1" t="str">
        <f>"2014-11-29 10:11:53"</f>
        <v>2014-11-29 10:11:53</v>
      </c>
      <c r="M8887" s="1" t="s">
        <v>45</v>
      </c>
      <c r="N8887" s="1" t="s">
        <v>38</v>
      </c>
      <c r="O8887" s="1" t="s">
        <v>46</v>
      </c>
    </row>
    <row r="8888" spans="2:15" x14ac:dyDescent="0.3">
      <c r="B8888" s="1" t="s">
        <v>21</v>
      </c>
      <c r="C8888" s="1" t="str">
        <f>"1차"</f>
        <v>1차</v>
      </c>
      <c r="D8888" s="1" t="str">
        <f>"9628Y59200"</f>
        <v>9628Y59200</v>
      </c>
      <c r="E8888" s="1" t="s">
        <v>10</v>
      </c>
      <c r="F8888" s="1" t="str">
        <f>"10.128.2.173"</f>
        <v>10.128.2.173</v>
      </c>
      <c r="G8888" s="1" t="str">
        <f>"9628Y592"</f>
        <v>9628Y592</v>
      </c>
      <c r="H8888" s="1" t="str">
        <f>"갈색지 41R27L4"</f>
        <v>갈색지 41R27L4</v>
      </c>
      <c r="I8888" s="1" t="s">
        <v>8</v>
      </c>
      <c r="J8888" s="1" t="str">
        <f>"24/24"</f>
        <v>24/24</v>
      </c>
      <c r="K8888" s="1" t="str">
        <f>"2026-07-29 13:18:11"</f>
        <v>2026-07-29 13:18:11</v>
      </c>
      <c r="L8888" s="1" t="str">
        <f>"2014-11-14 15:20:56"</f>
        <v>2014-11-14 15:20:56</v>
      </c>
      <c r="M8888" s="1" t="s">
        <v>45</v>
      </c>
      <c r="N8888" s="1" t="s">
        <v>38</v>
      </c>
      <c r="O8888" s="1" t="s">
        <v>46</v>
      </c>
    </row>
    <row r="8889" spans="2:15" x14ac:dyDescent="0.3">
      <c r="B8889" s="1" t="s">
        <v>21</v>
      </c>
      <c r="C8889" s="1" t="str">
        <f>"5-1차"</f>
        <v>5-1차</v>
      </c>
      <c r="D8889" s="1" t="str">
        <f>"9628Y6015M"</f>
        <v>9628Y6015M</v>
      </c>
      <c r="E8889" s="1" t="s">
        <v>10</v>
      </c>
      <c r="F8889" s="1" t="str">
        <f>"fde3:102:1303:7:0:0:0:2"</f>
        <v>fde3:102:1303:7:0:0:0:2</v>
      </c>
      <c r="G8889" s="1" t="str">
        <f>"9628Y601"</f>
        <v>9628Y601</v>
      </c>
      <c r="H8889" s="1" t="str">
        <f>"신사간 22L3"</f>
        <v>신사간 22L3</v>
      </c>
      <c r="I8889" s="1" t="s">
        <v>15</v>
      </c>
      <c r="J8889" s="1" t="str">
        <f>"39/39"</f>
        <v>39/39</v>
      </c>
      <c r="K8889" s="1" t="str">
        <f>"2026-07-29 14:20:58"</f>
        <v>2026-07-29 14:20:58</v>
      </c>
      <c r="L8889" s="1" t="str">
        <f>"2022-11-08 15:10:33"</f>
        <v>2022-11-08 15:10:33</v>
      </c>
      <c r="M8889" s="1" t="s">
        <v>45</v>
      </c>
      <c r="N8889" s="1" t="s">
        <v>38</v>
      </c>
      <c r="O8889" s="1" t="s">
        <v>46</v>
      </c>
    </row>
    <row r="8890" spans="2:15" x14ac:dyDescent="0.3">
      <c r="B8890" s="1" t="s">
        <v>21</v>
      </c>
      <c r="C8890" s="1" t="str">
        <f>"4차"</f>
        <v>4차</v>
      </c>
      <c r="D8890" s="1" t="str">
        <f>"9628Y61144"</f>
        <v>9628Y61144</v>
      </c>
      <c r="E8890" s="1" t="s">
        <v>10</v>
      </c>
      <c r="F8890" s="1" t="str">
        <f>"10.10.129.114"</f>
        <v>10.10.129.114</v>
      </c>
      <c r="G8890" s="1" t="str">
        <f>"9628Y611"</f>
        <v>9628Y611</v>
      </c>
      <c r="H8890" s="1" t="str">
        <f>"신사간 22L2"</f>
        <v>신사간 22L2</v>
      </c>
      <c r="I8890" s="1" t="s">
        <v>8</v>
      </c>
      <c r="J8890" s="1" t="str">
        <f>"13/13"</f>
        <v>13/13</v>
      </c>
      <c r="K8890" s="1" t="str">
        <f>"2026-07-29 13:18:11"</f>
        <v>2026-07-29 13:18:11</v>
      </c>
      <c r="L8890" s="1" t="str">
        <f>"2019-12-11 18:25:22"</f>
        <v>2019-12-11 18:25:22</v>
      </c>
      <c r="M8890" s="1" t="s">
        <v>1</v>
      </c>
      <c r="N8890" s="1" t="s">
        <v>38</v>
      </c>
      <c r="O8890" s="1" t="s">
        <v>46</v>
      </c>
    </row>
    <row r="8891" spans="2:15" x14ac:dyDescent="0.3">
      <c r="B8891" s="1" t="s">
        <v>21</v>
      </c>
      <c r="C8891" s="1" t="str">
        <f>"4차"</f>
        <v>4차</v>
      </c>
      <c r="D8891" s="1" t="str">
        <f>"9628Y62244"</f>
        <v>9628Y62244</v>
      </c>
      <c r="E8891" s="1" t="s">
        <v>10</v>
      </c>
      <c r="F8891" s="1" t="str">
        <f>"10.10.131.42"</f>
        <v>10.10.131.42</v>
      </c>
      <c r="G8891" s="1" t="str">
        <f>"9628Y622"</f>
        <v>9628Y622</v>
      </c>
      <c r="H8891" s="1" t="str">
        <f>"신사간 22L1"</f>
        <v>신사간 22L1</v>
      </c>
      <c r="I8891" s="1" t="s">
        <v>8</v>
      </c>
      <c r="J8891" s="1" t="str">
        <f>"28/28"</f>
        <v>28/28</v>
      </c>
      <c r="K8891" s="1" t="str">
        <f>"2026-07-29 13:18:11"</f>
        <v>2026-07-29 13:18:11</v>
      </c>
      <c r="L8891" s="1" t="str">
        <f>"2019-12-11 18:22:18"</f>
        <v>2019-12-11 18:22:18</v>
      </c>
      <c r="M8891" s="1" t="s">
        <v>1</v>
      </c>
      <c r="N8891" s="1" t="s">
        <v>38</v>
      </c>
      <c r="O8891" s="1" t="s">
        <v>46</v>
      </c>
    </row>
    <row r="8892" spans="2:15" x14ac:dyDescent="0.3">
      <c r="B8892" s="1" t="s">
        <v>21</v>
      </c>
      <c r="C8892" s="1" t="str">
        <f>"1차"</f>
        <v>1차</v>
      </c>
      <c r="D8892" s="1" t="str">
        <f>"9628Y63300"</f>
        <v>9628Y63300</v>
      </c>
      <c r="E8892" s="1" t="s">
        <v>10</v>
      </c>
      <c r="F8892" s="1" t="str">
        <f>"10.128.74.122"</f>
        <v>10.128.74.122</v>
      </c>
      <c r="G8892" s="1" t="str">
        <f>"9628Y633"</f>
        <v>9628Y633</v>
      </c>
      <c r="H8892" s="1" t="str">
        <f>"신사간 20R1L2"</f>
        <v>신사간 20R1L2</v>
      </c>
      <c r="I8892" s="1" t="s">
        <v>8</v>
      </c>
      <c r="J8892" s="1" t="str">
        <f>"6/13"</f>
        <v>6/13</v>
      </c>
      <c r="K8892" s="1" t="str">
        <f>"2026-07-29 13:18:11"</f>
        <v>2026-07-29 13:18:11</v>
      </c>
      <c r="L8892" s="1" t="str">
        <f>"2021-07-27 11:11:22"</f>
        <v>2021-07-27 11:11:22</v>
      </c>
      <c r="M8892" s="1" t="s">
        <v>45</v>
      </c>
      <c r="N8892" s="1" t="s">
        <v>38</v>
      </c>
      <c r="O8892" s="1" t="s">
        <v>46</v>
      </c>
    </row>
    <row r="8893" spans="2:15" x14ac:dyDescent="0.3">
      <c r="B8893" s="1" t="s">
        <v>21</v>
      </c>
      <c r="C8893" s="1" t="str">
        <f>"4차"</f>
        <v>4차</v>
      </c>
      <c r="D8893" s="1" t="str">
        <f>"9628Y64244"</f>
        <v>9628Y64244</v>
      </c>
      <c r="E8893" s="1" t="s">
        <v>10</v>
      </c>
      <c r="F8893" s="1" t="str">
        <f>"10.10.132.122"</f>
        <v>10.10.132.122</v>
      </c>
      <c r="G8893" s="1" t="str">
        <f>"9628Y642"</f>
        <v>9628Y642</v>
      </c>
      <c r="H8893" s="1" t="str">
        <f>"신사간 20R1L3R1"</f>
        <v>신사간 20R1L3R1</v>
      </c>
      <c r="I8893" s="1" t="s">
        <v>8</v>
      </c>
      <c r="J8893" s="1" t="str">
        <f>"16/18"</f>
        <v>16/18</v>
      </c>
      <c r="K8893" s="1" t="str">
        <f>"2026-07-29 13:18:11"</f>
        <v>2026-07-29 13:18:11</v>
      </c>
      <c r="L8893" s="1" t="str">
        <f>"2019-10-28 10:03:05"</f>
        <v>2019-10-28 10:03:05</v>
      </c>
      <c r="M8893" s="1" t="s">
        <v>1</v>
      </c>
      <c r="N8893" s="1" t="s">
        <v>38</v>
      </c>
      <c r="O8893" s="1" t="s">
        <v>46</v>
      </c>
    </row>
    <row r="8894" spans="2:15" x14ac:dyDescent="0.3">
      <c r="B8894" s="1" t="s">
        <v>21</v>
      </c>
      <c r="C8894" s="1" t="str">
        <f>"6차"</f>
        <v>6차</v>
      </c>
      <c r="D8894" s="1" t="str">
        <f>"9628Y6726S"</f>
        <v>9628Y6726S</v>
      </c>
      <c r="E8894" s="1" t="s">
        <v>10</v>
      </c>
      <c r="F8894" s="1" t="str">
        <f>"fde1:103:4:934d:0:0:0:2"</f>
        <v>fde1:103:4:934d:0:0:0:2</v>
      </c>
      <c r="G8894" s="1" t="str">
        <f>"9628Y672"</f>
        <v>9628Y672</v>
      </c>
      <c r="H8894" s="1" t="str">
        <f>"신사간 20R13L3"</f>
        <v>신사간 20R13L3</v>
      </c>
      <c r="I8894" s="1" t="s">
        <v>15</v>
      </c>
      <c r="J8894" s="1" t="str">
        <f>"50/50"</f>
        <v>50/50</v>
      </c>
      <c r="K8894" s="1" t="str">
        <f>"2026-07-29 14:21:25"</f>
        <v>2026-07-29 14:21:25</v>
      </c>
      <c r="L8894" s="1" t="str">
        <f>"2025-01-22 14:34:42"</f>
        <v>2025-01-22 14:34:42</v>
      </c>
      <c r="M8894" s="1" t="s">
        <v>4</v>
      </c>
      <c r="N8894" s="1" t="s">
        <v>38</v>
      </c>
      <c r="O8894" s="1" t="s">
        <v>46</v>
      </c>
    </row>
    <row r="8895" spans="2:15" x14ac:dyDescent="0.3">
      <c r="B8895" s="1" t="s">
        <v>21</v>
      </c>
      <c r="C8895" s="1" t="str">
        <f>"1차"</f>
        <v>1차</v>
      </c>
      <c r="D8895" s="1" t="str">
        <f>"9628Y68100"</f>
        <v>9628Y68100</v>
      </c>
      <c r="E8895" s="1" t="s">
        <v>10</v>
      </c>
      <c r="F8895" s="1" t="str">
        <f>"10.128.89.214"</f>
        <v>10.128.89.214</v>
      </c>
      <c r="G8895" s="1" t="str">
        <f>"9628Y681"</f>
        <v>9628Y681</v>
      </c>
      <c r="H8895" s="1" t="str">
        <f>"신사간 20R13"</f>
        <v>신사간 20R13</v>
      </c>
      <c r="I8895" s="1" t="s">
        <v>8</v>
      </c>
      <c r="J8895" s="1" t="str">
        <f>"59/59"</f>
        <v>59/59</v>
      </c>
      <c r="K8895" s="1" t="str">
        <f t="shared" ref="K8895:K8901" si="444">"2026-07-29 13:18:11"</f>
        <v>2026-07-29 13:18:11</v>
      </c>
      <c r="L8895" s="1" t="str">
        <f>"2014-10-23 00:13:37"</f>
        <v>2014-10-23 00:13:37</v>
      </c>
      <c r="M8895" s="1" t="s">
        <v>45</v>
      </c>
      <c r="N8895" s="1" t="s">
        <v>38</v>
      </c>
      <c r="O8895" s="1" t="s">
        <v>46</v>
      </c>
    </row>
    <row r="8896" spans="2:15" x14ac:dyDescent="0.3">
      <c r="B8896" s="1" t="s">
        <v>21</v>
      </c>
      <c r="C8896" s="1" t="str">
        <f>"1차"</f>
        <v>1차</v>
      </c>
      <c r="D8896" s="1" t="str">
        <f>"9628Y70201"</f>
        <v>9628Y70201</v>
      </c>
      <c r="E8896" s="1" t="s">
        <v>10</v>
      </c>
      <c r="F8896" s="1" t="str">
        <f>"10.12.130.158"</f>
        <v>10.12.130.158</v>
      </c>
      <c r="G8896" s="1" t="str">
        <f>"9628Y702"</f>
        <v>9628Y702</v>
      </c>
      <c r="H8896" s="1" t="str">
        <f>"신사간 20L5L2"</f>
        <v>신사간 20L5L2</v>
      </c>
      <c r="I8896" s="1" t="s">
        <v>8</v>
      </c>
      <c r="J8896" s="1" t="str">
        <f>"73/74"</f>
        <v>73/74</v>
      </c>
      <c r="K8896" s="1" t="str">
        <f t="shared" si="444"/>
        <v>2026-07-29 13:18:11</v>
      </c>
      <c r="L8896" s="1" t="str">
        <f>"2014-11-21 15:10:18"</f>
        <v>2014-11-21 15:10:18</v>
      </c>
      <c r="M8896" s="1" t="s">
        <v>0</v>
      </c>
      <c r="N8896" s="1" t="s">
        <v>38</v>
      </c>
      <c r="O8896" s="1" t="s">
        <v>46</v>
      </c>
    </row>
    <row r="8897" spans="2:15" x14ac:dyDescent="0.3">
      <c r="B8897" s="1" t="s">
        <v>21</v>
      </c>
      <c r="C8897" s="1" t="str">
        <f>"1차"</f>
        <v>1차</v>
      </c>
      <c r="D8897" s="1" t="str">
        <f>"9628Y70300"</f>
        <v>9628Y70300</v>
      </c>
      <c r="E8897" s="1" t="s">
        <v>10</v>
      </c>
      <c r="F8897" s="1" t="str">
        <f>"10.128.74.106"</f>
        <v>10.128.74.106</v>
      </c>
      <c r="G8897" s="1" t="str">
        <f>"9628Y703"</f>
        <v>9628Y703</v>
      </c>
      <c r="H8897" s="1" t="str">
        <f>"신사간 20L5L1"</f>
        <v>신사간 20L5L1</v>
      </c>
      <c r="I8897" s="1" t="s">
        <v>8</v>
      </c>
      <c r="J8897" s="1" t="str">
        <f>"20/23"</f>
        <v>20/23</v>
      </c>
      <c r="K8897" s="1" t="str">
        <f t="shared" si="444"/>
        <v>2026-07-29 13:18:11</v>
      </c>
      <c r="L8897" s="1" t="str">
        <f>"2014-11-14 15:19:27"</f>
        <v>2014-11-14 15:19:27</v>
      </c>
      <c r="M8897" s="1" t="s">
        <v>45</v>
      </c>
      <c r="N8897" s="1" t="s">
        <v>38</v>
      </c>
      <c r="O8897" s="1" t="s">
        <v>46</v>
      </c>
    </row>
    <row r="8898" spans="2:15" x14ac:dyDescent="0.3">
      <c r="B8898" s="1" t="s">
        <v>21</v>
      </c>
      <c r="C8898" s="1" t="str">
        <f>"1차"</f>
        <v>1차</v>
      </c>
      <c r="D8898" s="1" t="str">
        <f>"9628Y71200"</f>
        <v>9628Y71200</v>
      </c>
      <c r="E8898" s="1" t="s">
        <v>10</v>
      </c>
      <c r="F8898" s="1" t="str">
        <f>"10.128.77.130"</f>
        <v>10.128.77.130</v>
      </c>
      <c r="G8898" s="1" t="str">
        <f>"9628Y712"</f>
        <v>9628Y712</v>
      </c>
      <c r="H8898" s="1" t="str">
        <f>"신사간 20L3"</f>
        <v>신사간 20L3</v>
      </c>
      <c r="I8898" s="1" t="s">
        <v>8</v>
      </c>
      <c r="J8898" s="1" t="str">
        <f>"34/35"</f>
        <v>34/35</v>
      </c>
      <c r="K8898" s="1" t="str">
        <f t="shared" si="444"/>
        <v>2026-07-29 13:18:11</v>
      </c>
      <c r="L8898" s="1" t="str">
        <f>"2014-11-24 15:28:22"</f>
        <v>2014-11-24 15:28:22</v>
      </c>
      <c r="M8898" s="1" t="s">
        <v>45</v>
      </c>
      <c r="N8898" s="1" t="s">
        <v>38</v>
      </c>
      <c r="O8898" s="1" t="s">
        <v>46</v>
      </c>
    </row>
    <row r="8899" spans="2:15" x14ac:dyDescent="0.3">
      <c r="B8899" s="1" t="s">
        <v>21</v>
      </c>
      <c r="C8899" s="1" t="str">
        <f>"1차"</f>
        <v>1차</v>
      </c>
      <c r="D8899" s="1" t="str">
        <f>"9628Y73300"</f>
        <v>9628Y73300</v>
      </c>
      <c r="E8899" s="1" t="s">
        <v>10</v>
      </c>
      <c r="F8899" s="1" t="str">
        <f>"10.128.74.67"</f>
        <v>10.128.74.67</v>
      </c>
      <c r="G8899" s="1" t="str">
        <f>"9628Y733"</f>
        <v>9628Y733</v>
      </c>
      <c r="H8899" s="1" t="str">
        <f>"신사간 20"</f>
        <v>신사간 20</v>
      </c>
      <c r="I8899" s="1" t="s">
        <v>8</v>
      </c>
      <c r="J8899" s="1" t="str">
        <f>"38/38"</f>
        <v>38/38</v>
      </c>
      <c r="K8899" s="1" t="str">
        <f t="shared" si="444"/>
        <v>2026-07-29 13:18:11</v>
      </c>
      <c r="L8899" s="1" t="str">
        <f>"2014-11-13 17:58:02"</f>
        <v>2014-11-13 17:58:02</v>
      </c>
      <c r="M8899" s="1" t="s">
        <v>45</v>
      </c>
      <c r="N8899" s="1" t="s">
        <v>38</v>
      </c>
      <c r="O8899" s="1" t="s">
        <v>46</v>
      </c>
    </row>
    <row r="8900" spans="2:15" x14ac:dyDescent="0.3">
      <c r="B8900" s="1" t="s">
        <v>21</v>
      </c>
      <c r="C8900" s="1" t="str">
        <f>"4차"</f>
        <v>4차</v>
      </c>
      <c r="D8900" s="1" t="str">
        <f>"9628Y74144"</f>
        <v>9628Y74144</v>
      </c>
      <c r="E8900" s="1" t="s">
        <v>10</v>
      </c>
      <c r="F8900" s="1" t="str">
        <f>"10.10.129.122"</f>
        <v>10.10.129.122</v>
      </c>
      <c r="G8900" s="1" t="str">
        <f>"9628Y741"</f>
        <v>9628Y741</v>
      </c>
      <c r="H8900" s="1" t="str">
        <f>"신사간 20R1L3R1R1R1"</f>
        <v>신사간 20R1L3R1R1R1</v>
      </c>
      <c r="I8900" s="1" t="s">
        <v>8</v>
      </c>
      <c r="J8900" s="1" t="str">
        <f>"16/16"</f>
        <v>16/16</v>
      </c>
      <c r="K8900" s="1" t="str">
        <f t="shared" si="444"/>
        <v>2026-07-29 13:18:11</v>
      </c>
      <c r="L8900" s="1" t="str">
        <f>"2019-10-28 09:36:42"</f>
        <v>2019-10-28 09:36:42</v>
      </c>
      <c r="M8900" s="1" t="s">
        <v>1</v>
      </c>
      <c r="N8900" s="1" t="s">
        <v>38</v>
      </c>
      <c r="O8900" s="1" t="s">
        <v>46</v>
      </c>
    </row>
    <row r="8901" spans="2:15" x14ac:dyDescent="0.3">
      <c r="B8901" s="1" t="s">
        <v>21</v>
      </c>
      <c r="C8901" s="1" t="str">
        <f>"4차"</f>
        <v>4차</v>
      </c>
      <c r="D8901" s="1" t="str">
        <f>"9628Y76144"</f>
        <v>9628Y76144</v>
      </c>
      <c r="E8901" s="1" t="s">
        <v>10</v>
      </c>
      <c r="F8901" s="1" t="str">
        <f>"10.128.74.66"</f>
        <v>10.128.74.66</v>
      </c>
      <c r="G8901" s="1" t="str">
        <f>"9628Y761"</f>
        <v>9628Y761</v>
      </c>
      <c r="H8901" s="1" t="str">
        <f>"신사간 20R5L1"</f>
        <v>신사간 20R5L1</v>
      </c>
      <c r="I8901" s="1" t="s">
        <v>8</v>
      </c>
      <c r="J8901" s="1" t="str">
        <f>"18/18"</f>
        <v>18/18</v>
      </c>
      <c r="K8901" s="1" t="str">
        <f t="shared" si="444"/>
        <v>2026-07-29 13:18:11</v>
      </c>
      <c r="L8901" s="1" t="str">
        <f>"2020-02-10 18:39:40"</f>
        <v>2020-02-10 18:39:40</v>
      </c>
      <c r="M8901" s="1" t="s">
        <v>45</v>
      </c>
      <c r="N8901" s="1" t="s">
        <v>38</v>
      </c>
      <c r="O8901" s="1" t="s">
        <v>46</v>
      </c>
    </row>
    <row r="8902" spans="2:15" x14ac:dyDescent="0.3">
      <c r="B8902" s="1" t="s">
        <v>21</v>
      </c>
      <c r="C8902" s="1" t="str">
        <f>"5-2차"</f>
        <v>5-2차</v>
      </c>
      <c r="D8902" s="1" t="str">
        <f>"9628Y7845M"</f>
        <v>9628Y7845M</v>
      </c>
      <c r="E8902" s="1" t="s">
        <v>10</v>
      </c>
      <c r="F8902" s="1" t="str">
        <f>"fde1:103:4:6eca:0:0:0:2"</f>
        <v>fde1:103:4:6eca:0:0:0:2</v>
      </c>
      <c r="G8902" s="1" t="str">
        <f>"9628Y784"</f>
        <v>9628Y784</v>
      </c>
      <c r="H8902" s="1" t="str">
        <f>"신사간 20R12"</f>
        <v>신사간 20R12</v>
      </c>
      <c r="I8902" s="1" t="s">
        <v>15</v>
      </c>
      <c r="J8902" s="1" t="str">
        <f>"38/38"</f>
        <v>38/38</v>
      </c>
      <c r="K8902" s="1" t="str">
        <f>"2026-07-29 14:21:53"</f>
        <v>2026-07-29 14:21:53</v>
      </c>
      <c r="L8902" s="1" t="str">
        <f>"2023-11-14 17:13:30"</f>
        <v>2023-11-14 17:13:30</v>
      </c>
      <c r="M8902" s="1" t="s">
        <v>4</v>
      </c>
      <c r="N8902" s="1" t="s">
        <v>38</v>
      </c>
      <c r="O8902" s="1" t="s">
        <v>46</v>
      </c>
    </row>
    <row r="8903" spans="2:15" x14ac:dyDescent="0.3">
      <c r="B8903" s="1" t="s">
        <v>21</v>
      </c>
      <c r="C8903" s="1" t="str">
        <f>"5-2차"</f>
        <v>5-2차</v>
      </c>
      <c r="D8903" s="1" t="str">
        <f>"9628Y8745M"</f>
        <v>9628Y8745M</v>
      </c>
      <c r="E8903" s="1" t="s">
        <v>10</v>
      </c>
      <c r="F8903" s="1" t="str">
        <f>"fde1:103:4:6ec6:0:0:0:2"</f>
        <v>fde1:103:4:6ec6:0:0:0:2</v>
      </c>
      <c r="G8903" s="1" t="str">
        <f>"9628Y874"</f>
        <v>9628Y874</v>
      </c>
      <c r="H8903" s="1" t="str">
        <f>"신사간 20R7"</f>
        <v>신사간 20R7</v>
      </c>
      <c r="I8903" s="1" t="s">
        <v>15</v>
      </c>
      <c r="J8903" s="1" t="str">
        <f>"62/62"</f>
        <v>62/62</v>
      </c>
      <c r="K8903" s="1" t="str">
        <f>"2026-07-29 14:21:53"</f>
        <v>2026-07-29 14:21:53</v>
      </c>
      <c r="L8903" s="1" t="str">
        <f>"2023-11-14 17:18:30"</f>
        <v>2023-11-14 17:18:30</v>
      </c>
      <c r="M8903" s="1" t="s">
        <v>4</v>
      </c>
      <c r="N8903" s="1" t="s">
        <v>38</v>
      </c>
      <c r="O8903" s="1" t="s">
        <v>46</v>
      </c>
    </row>
    <row r="8904" spans="2:15" x14ac:dyDescent="0.3">
      <c r="B8904" s="1" t="s">
        <v>21</v>
      </c>
      <c r="C8904" s="1" t="str">
        <f>"4차"</f>
        <v>4차</v>
      </c>
      <c r="D8904" s="1" t="str">
        <f>"9628Y88144"</f>
        <v>9628Y88144</v>
      </c>
      <c r="E8904" s="1" t="s">
        <v>10</v>
      </c>
      <c r="F8904" s="1" t="str">
        <f>"10.10.85.10"</f>
        <v>10.10.85.10</v>
      </c>
      <c r="G8904" s="1" t="str">
        <f>"9628Y881"</f>
        <v>9628Y881</v>
      </c>
      <c r="H8904" s="1" t="str">
        <f>"신사간 20R9"</f>
        <v>신사간 20R9</v>
      </c>
      <c r="I8904" s="1" t="s">
        <v>8</v>
      </c>
      <c r="J8904" s="1" t="str">
        <f>"19/20"</f>
        <v>19/20</v>
      </c>
      <c r="K8904" s="1" t="str">
        <f>"2026-07-29 13:18:11"</f>
        <v>2026-07-29 13:18:11</v>
      </c>
      <c r="L8904" s="1" t="str">
        <f>"2020-01-20 10:12:46"</f>
        <v>2020-01-20 10:12:46</v>
      </c>
      <c r="M8904" s="1" t="s">
        <v>1</v>
      </c>
      <c r="N8904" s="1" t="s">
        <v>38</v>
      </c>
      <c r="O8904" s="1" t="s">
        <v>46</v>
      </c>
    </row>
    <row r="8905" spans="2:15" x14ac:dyDescent="0.3">
      <c r="B8905" s="1" t="s">
        <v>21</v>
      </c>
      <c r="C8905" s="1" t="str">
        <f>"1차"</f>
        <v>1차</v>
      </c>
      <c r="D8905" s="1" t="str">
        <f>"9628Y91201"</f>
        <v>9628Y91201</v>
      </c>
      <c r="E8905" s="1" t="s">
        <v>10</v>
      </c>
      <c r="F8905" s="1" t="str">
        <f>"10.12.129.214"</f>
        <v>10.12.129.214</v>
      </c>
      <c r="G8905" s="1" t="str">
        <f>"9628Y912"</f>
        <v>9628Y912</v>
      </c>
      <c r="H8905" s="1" t="str">
        <f>"수색간 106"</f>
        <v>수색간 106</v>
      </c>
      <c r="I8905" s="1" t="s">
        <v>8</v>
      </c>
      <c r="J8905" s="1" t="str">
        <f>"46/48"</f>
        <v>46/48</v>
      </c>
      <c r="K8905" s="1" t="str">
        <f>"2026-07-29 13:18:11"</f>
        <v>2026-07-29 13:18:11</v>
      </c>
      <c r="L8905" s="1" t="str">
        <f>"2014-11-24 15:31:30"</f>
        <v>2014-11-24 15:31:30</v>
      </c>
      <c r="M8905" s="1" t="s">
        <v>0</v>
      </c>
      <c r="N8905" s="1" t="s">
        <v>38</v>
      </c>
      <c r="O8905" s="1" t="s">
        <v>46</v>
      </c>
    </row>
    <row r="8906" spans="2:15" x14ac:dyDescent="0.3">
      <c r="B8906" s="1" t="s">
        <v>21</v>
      </c>
      <c r="C8906" s="1" t="str">
        <f>"4차"</f>
        <v>4차</v>
      </c>
      <c r="D8906" s="1" t="str">
        <f>"9628Z00144"</f>
        <v>9628Z00144</v>
      </c>
      <c r="E8906" s="1" t="s">
        <v>10</v>
      </c>
      <c r="F8906" s="1" t="str">
        <f>"10.10.66.98"</f>
        <v>10.10.66.98</v>
      </c>
      <c r="G8906" s="1" t="str">
        <f>"9628Z001"</f>
        <v>9628Z001</v>
      </c>
      <c r="H8906" s="1" t="str">
        <f>"신사간 16L8"</f>
        <v>신사간 16L8</v>
      </c>
      <c r="I8906" s="1" t="s">
        <v>8</v>
      </c>
      <c r="J8906" s="1" t="str">
        <f>"26/26"</f>
        <v>26/26</v>
      </c>
      <c r="K8906" s="1" t="str">
        <f>"2026-07-29 13:18:11"</f>
        <v>2026-07-29 13:18:11</v>
      </c>
      <c r="L8906" s="1" t="str">
        <f>"2019-11-05 14:40:28"</f>
        <v>2019-11-05 14:40:28</v>
      </c>
      <c r="M8906" s="1" t="s">
        <v>1</v>
      </c>
      <c r="N8906" s="1" t="s">
        <v>38</v>
      </c>
      <c r="O8906" s="1" t="s">
        <v>46</v>
      </c>
    </row>
    <row r="8907" spans="2:15" x14ac:dyDescent="0.3">
      <c r="B8907" s="1" t="s">
        <v>21</v>
      </c>
      <c r="C8907" s="1" t="str">
        <f>"1차"</f>
        <v>1차</v>
      </c>
      <c r="D8907" s="1" t="str">
        <f>"9628Z09101"</f>
        <v>9628Z09101</v>
      </c>
      <c r="E8907" s="1" t="s">
        <v>14</v>
      </c>
      <c r="F8907" s="1" t="str">
        <f>"10.128.69.38"</f>
        <v>10.128.69.38</v>
      </c>
      <c r="G8907" s="1" t="str">
        <f>"9628Z091"</f>
        <v>9628Z091</v>
      </c>
      <c r="H8907" s="1" t="str">
        <f>"역말간 20"</f>
        <v>역말간 20</v>
      </c>
      <c r="I8907" s="1" t="s">
        <v>8</v>
      </c>
      <c r="J8907" s="1" t="str">
        <f>"0/0"</f>
        <v>0/0</v>
      </c>
      <c r="K8907" s="1" t="str">
        <f>"2024-09-11 13:21:00"</f>
        <v>2024-09-11 13:21:00</v>
      </c>
      <c r="L8907" s="1" t="str">
        <f>"2015-01-07 18:00:40"</f>
        <v>2015-01-07 18:00:40</v>
      </c>
      <c r="M8907" s="1" t="s">
        <v>45</v>
      </c>
      <c r="N8907" s="1" t="s">
        <v>44</v>
      </c>
      <c r="O8907" s="1" t="s">
        <v>44</v>
      </c>
    </row>
    <row r="8908" spans="2:15" x14ac:dyDescent="0.3">
      <c r="B8908" s="1" t="s">
        <v>21</v>
      </c>
      <c r="C8908" s="1" t="str">
        <f>"1차"</f>
        <v>1차</v>
      </c>
      <c r="D8908" s="1" t="str">
        <f>"9628Z09500"</f>
        <v>9628Z09500</v>
      </c>
      <c r="E8908" s="1" t="s">
        <v>14</v>
      </c>
      <c r="F8908" s="1" t="str">
        <f>"10.128.69.37"</f>
        <v>10.128.69.37</v>
      </c>
      <c r="G8908" s="1" t="str">
        <f>"9628Z095"</f>
        <v>9628Z095</v>
      </c>
      <c r="H8908" s="1" t="str">
        <f>"역말간 21"</f>
        <v>역말간 21</v>
      </c>
      <c r="I8908" s="1" t="s">
        <v>8</v>
      </c>
      <c r="J8908" s="1" t="str">
        <f>"0/0"</f>
        <v>0/0</v>
      </c>
      <c r="K8908" s="1" t="str">
        <f>"2024-08-05 03:21:05"</f>
        <v>2024-08-05 03:21:05</v>
      </c>
      <c r="L8908" s="1" t="str">
        <f>"2015-01-07 16:54:10"</f>
        <v>2015-01-07 16:54:10</v>
      </c>
      <c r="M8908" s="1" t="s">
        <v>45</v>
      </c>
      <c r="N8908" s="1" t="s">
        <v>44</v>
      </c>
      <c r="O8908" s="1" t="s">
        <v>44</v>
      </c>
    </row>
    <row r="8909" spans="2:15" x14ac:dyDescent="0.3">
      <c r="B8909" s="1" t="s">
        <v>21</v>
      </c>
      <c r="C8909" s="1" t="str">
        <f>"1차"</f>
        <v>1차</v>
      </c>
      <c r="D8909" s="1" t="str">
        <f>"9628Z10100"</f>
        <v>9628Z10100</v>
      </c>
      <c r="E8909" s="1" t="s">
        <v>10</v>
      </c>
      <c r="F8909" s="1" t="str">
        <f>"10.128.73.140"</f>
        <v>10.128.73.140</v>
      </c>
      <c r="G8909" s="1" t="str">
        <f>"9628Z101"</f>
        <v>9628Z101</v>
      </c>
      <c r="H8909" s="1" t="str">
        <f>"신사간 16L10L2L2"</f>
        <v>신사간 16L10L2L2</v>
      </c>
      <c r="I8909" s="1" t="s">
        <v>8</v>
      </c>
      <c r="J8909" s="1" t="str">
        <f>"68/80"</f>
        <v>68/80</v>
      </c>
      <c r="K8909" s="1" t="str">
        <f>"2026-07-29 13:18:11"</f>
        <v>2026-07-29 13:18:11</v>
      </c>
      <c r="L8909" s="1" t="str">
        <f>"2015-07-20 13:25:19"</f>
        <v>2015-07-20 13:25:19</v>
      </c>
      <c r="M8909" s="1" t="s">
        <v>45</v>
      </c>
      <c r="N8909" s="1" t="s">
        <v>38</v>
      </c>
      <c r="O8909" s="1" t="s">
        <v>46</v>
      </c>
    </row>
    <row r="8910" spans="2:15" x14ac:dyDescent="0.3">
      <c r="B8910" s="1" t="s">
        <v>21</v>
      </c>
      <c r="C8910" s="1" t="str">
        <f>"4차"</f>
        <v>4차</v>
      </c>
      <c r="D8910" s="1" t="str">
        <f>"9628Z13244"</f>
        <v>9628Z13244</v>
      </c>
      <c r="E8910" s="1" t="s">
        <v>10</v>
      </c>
      <c r="F8910" s="1" t="str">
        <f>"10.10.84.74"</f>
        <v>10.10.84.74</v>
      </c>
      <c r="G8910" s="1" t="str">
        <f>"9628Z132"</f>
        <v>9628Z132</v>
      </c>
      <c r="H8910" s="1" t="str">
        <f>"신사간 16L1"</f>
        <v>신사간 16L1</v>
      </c>
      <c r="I8910" s="1" t="s">
        <v>8</v>
      </c>
      <c r="J8910" s="1" t="str">
        <f>"14/14"</f>
        <v>14/14</v>
      </c>
      <c r="K8910" s="1" t="str">
        <f>"2026-07-29 13:18:11"</f>
        <v>2026-07-29 13:18:11</v>
      </c>
      <c r="L8910" s="1" t="str">
        <f>"2019-11-05 15:38:15"</f>
        <v>2019-11-05 15:38:15</v>
      </c>
      <c r="M8910" s="1" t="s">
        <v>1</v>
      </c>
      <c r="N8910" s="1" t="s">
        <v>38</v>
      </c>
      <c r="O8910" s="1" t="s">
        <v>46</v>
      </c>
    </row>
    <row r="8911" spans="2:15" x14ac:dyDescent="0.3">
      <c r="B8911" s="1" t="s">
        <v>21</v>
      </c>
      <c r="C8911" s="1" t="str">
        <f>"4차"</f>
        <v>4차</v>
      </c>
      <c r="D8911" s="1" t="str">
        <f>"9628Z16244"</f>
        <v>9628Z16244</v>
      </c>
      <c r="E8911" s="1" t="s">
        <v>10</v>
      </c>
      <c r="F8911" s="1" t="str">
        <f>"10.10.84.18"</f>
        <v>10.10.84.18</v>
      </c>
      <c r="G8911" s="1" t="str">
        <f>"9628Z162"</f>
        <v>9628Z162</v>
      </c>
      <c r="H8911" s="1" t="str">
        <f>"역말간 17R2R1"</f>
        <v>역말간 17R2R1</v>
      </c>
      <c r="I8911" s="1" t="s">
        <v>8</v>
      </c>
      <c r="J8911" s="1" t="str">
        <f>"35/35"</f>
        <v>35/35</v>
      </c>
      <c r="K8911" s="1" t="str">
        <f>"2026-07-29 13:18:11"</f>
        <v>2026-07-29 13:18:11</v>
      </c>
      <c r="L8911" s="1" t="str">
        <f>"2019-11-04 14:52:42"</f>
        <v>2019-11-04 14:52:42</v>
      </c>
      <c r="M8911" s="1" t="s">
        <v>1</v>
      </c>
      <c r="N8911" s="1" t="s">
        <v>38</v>
      </c>
      <c r="O8911" s="1" t="s">
        <v>46</v>
      </c>
    </row>
    <row r="8912" spans="2:15" x14ac:dyDescent="0.3">
      <c r="B8912" s="1" t="s">
        <v>21</v>
      </c>
      <c r="C8912" s="1" t="str">
        <f>"4차"</f>
        <v>4차</v>
      </c>
      <c r="D8912" s="1" t="str">
        <f>"9628Z17344"</f>
        <v>9628Z17344</v>
      </c>
      <c r="E8912" s="1" t="s">
        <v>10</v>
      </c>
      <c r="F8912" s="1" t="str">
        <f>"10.10.121.34"</f>
        <v>10.10.121.34</v>
      </c>
      <c r="G8912" s="1" t="str">
        <f>"9628Z173"</f>
        <v>9628Z173</v>
      </c>
      <c r="H8912" s="1" t="str">
        <f>"역말간 17R3R1"</f>
        <v>역말간 17R3R1</v>
      </c>
      <c r="I8912" s="1" t="s">
        <v>8</v>
      </c>
      <c r="J8912" s="1" t="str">
        <f>"22/22"</f>
        <v>22/22</v>
      </c>
      <c r="K8912" s="1" t="str">
        <f>"2026-07-29 13:18:11"</f>
        <v>2026-07-29 13:18:11</v>
      </c>
      <c r="L8912" s="1" t="str">
        <f>"2019-11-04 14:33:05"</f>
        <v>2019-11-04 14:33:05</v>
      </c>
      <c r="M8912" s="1" t="s">
        <v>1</v>
      </c>
      <c r="N8912" s="1" t="s">
        <v>38</v>
      </c>
      <c r="O8912" s="1" t="s">
        <v>46</v>
      </c>
    </row>
    <row r="8913" spans="2:15" x14ac:dyDescent="0.3">
      <c r="B8913" s="1" t="s">
        <v>21</v>
      </c>
      <c r="C8913" s="1" t="str">
        <f>"6차"</f>
        <v>6차</v>
      </c>
      <c r="D8913" s="1" t="str">
        <f>"9628Z1746S"</f>
        <v>9628Z1746S</v>
      </c>
      <c r="E8913" s="1" t="s">
        <v>10</v>
      </c>
      <c r="F8913" s="1" t="str">
        <f>"fde1:103:4:935d:0:0:0:2"</f>
        <v>fde1:103:4:935d:0:0:0:2</v>
      </c>
      <c r="G8913" s="1" t="str">
        <f>"9628Z174"</f>
        <v>9628Z174</v>
      </c>
      <c r="H8913" s="1" t="str">
        <f>"역말간 17R2"</f>
        <v>역말간 17R2</v>
      </c>
      <c r="I8913" s="1" t="s">
        <v>15</v>
      </c>
      <c r="J8913" s="1" t="str">
        <f>"78/78"</f>
        <v>78/78</v>
      </c>
      <c r="K8913" s="1" t="str">
        <f>"2026-07-29 14:20:37"</f>
        <v>2026-07-29 14:20:37</v>
      </c>
      <c r="L8913" s="1" t="str">
        <f>"2025-01-22 14:34:41"</f>
        <v>2025-01-22 14:34:41</v>
      </c>
      <c r="M8913" s="1" t="s">
        <v>4</v>
      </c>
      <c r="N8913" s="1" t="s">
        <v>38</v>
      </c>
      <c r="O8913" s="1" t="s">
        <v>46</v>
      </c>
    </row>
    <row r="8914" spans="2:15" x14ac:dyDescent="0.3">
      <c r="B8914" s="1" t="s">
        <v>21</v>
      </c>
      <c r="C8914" s="1" t="str">
        <f>"1차"</f>
        <v>1차</v>
      </c>
      <c r="D8914" s="1" t="str">
        <f>"9628Z18101"</f>
        <v>9628Z18101</v>
      </c>
      <c r="E8914" s="1" t="s">
        <v>10</v>
      </c>
      <c r="F8914" s="1" t="str">
        <f>"10.14.14.193"</f>
        <v>10.14.14.193</v>
      </c>
      <c r="G8914" s="1" t="str">
        <f>"9628Z181"</f>
        <v>9628Z181</v>
      </c>
      <c r="H8914" s="1" t="str">
        <f>"역말간 17R3L1"</f>
        <v>역말간 17R3L1</v>
      </c>
      <c r="I8914" s="1" t="s">
        <v>8</v>
      </c>
      <c r="J8914" s="1" t="str">
        <f>"36/36"</f>
        <v>36/36</v>
      </c>
      <c r="K8914" s="1" t="str">
        <f>"2026-07-29 13:18:12"</f>
        <v>2026-07-29 13:18:12</v>
      </c>
      <c r="L8914" s="1" t="str">
        <f>"2014-11-24 15:34:59"</f>
        <v>2014-11-24 15:34:59</v>
      </c>
      <c r="M8914" s="1" t="s">
        <v>3</v>
      </c>
      <c r="N8914" s="1" t="s">
        <v>38</v>
      </c>
      <c r="O8914" s="1" t="s">
        <v>46</v>
      </c>
    </row>
    <row r="8915" spans="2:15" x14ac:dyDescent="0.3">
      <c r="B8915" s="1" t="s">
        <v>21</v>
      </c>
      <c r="C8915" s="1" t="str">
        <f>"1차"</f>
        <v>1차</v>
      </c>
      <c r="D8915" s="1" t="str">
        <f>"9628Z19100"</f>
        <v>9628Z19100</v>
      </c>
      <c r="E8915" s="1" t="s">
        <v>10</v>
      </c>
      <c r="F8915" s="1" t="str">
        <f>"10.128.74.9"</f>
        <v>10.128.74.9</v>
      </c>
      <c r="G8915" s="1" t="str">
        <f>"9628Z191"</f>
        <v>9628Z191</v>
      </c>
      <c r="H8915" s="1" t="str">
        <f>"역말간 17R3L2"</f>
        <v>역말간 17R3L2</v>
      </c>
      <c r="I8915" s="1" t="s">
        <v>8</v>
      </c>
      <c r="J8915" s="1" t="str">
        <f>"76/76"</f>
        <v>76/76</v>
      </c>
      <c r="K8915" s="1" t="str">
        <f>"2026-07-29 13:18:11"</f>
        <v>2026-07-29 13:18:11</v>
      </c>
      <c r="L8915" s="1" t="str">
        <f>"2014-10-28 00:13:23"</f>
        <v>2014-10-28 00:13:23</v>
      </c>
      <c r="M8915" s="1" t="s">
        <v>45</v>
      </c>
      <c r="N8915" s="1" t="s">
        <v>38</v>
      </c>
      <c r="O8915" s="1" t="s">
        <v>46</v>
      </c>
    </row>
    <row r="8916" spans="2:15" x14ac:dyDescent="0.3">
      <c r="B8916" s="1" t="s">
        <v>21</v>
      </c>
      <c r="C8916" s="1" t="str">
        <f>"1차"</f>
        <v>1차</v>
      </c>
      <c r="D8916" s="1" t="str">
        <f>"9628Z19402"</f>
        <v>9628Z19402</v>
      </c>
      <c r="E8916" s="1" t="s">
        <v>10</v>
      </c>
      <c r="F8916" s="1" t="str">
        <f>"10.14.2.185"</f>
        <v>10.14.2.185</v>
      </c>
      <c r="G8916" s="1" t="str">
        <f>"9628Z194"</f>
        <v>9628Z194</v>
      </c>
      <c r="H8916" s="1" t="str">
        <f>"역말간 17R3L3"</f>
        <v>역말간 17R3L3</v>
      </c>
      <c r="I8916" s="1" t="s">
        <v>8</v>
      </c>
      <c r="J8916" s="1" t="str">
        <f>"20/20"</f>
        <v>20/20</v>
      </c>
      <c r="K8916" s="1" t="str">
        <f>"2026-07-29 13:18:12"</f>
        <v>2026-07-29 13:18:12</v>
      </c>
      <c r="L8916" s="1" t="str">
        <f>"2014-11-24 15:36:21"</f>
        <v>2014-11-24 15:36:21</v>
      </c>
      <c r="M8916" s="1" t="s">
        <v>3</v>
      </c>
      <c r="N8916" s="1" t="s">
        <v>38</v>
      </c>
      <c r="O8916" s="1" t="s">
        <v>46</v>
      </c>
    </row>
    <row r="8917" spans="2:15" x14ac:dyDescent="0.3">
      <c r="B8917" s="1" t="s">
        <v>21</v>
      </c>
      <c r="C8917" s="1" t="str">
        <f>"4차"</f>
        <v>4차</v>
      </c>
      <c r="D8917" s="1" t="str">
        <f>"9628Z22144"</f>
        <v>9628Z22144</v>
      </c>
      <c r="E8917" s="1" t="s">
        <v>10</v>
      </c>
      <c r="F8917" s="1" t="str">
        <f>"10.10.84.82"</f>
        <v>10.10.84.82</v>
      </c>
      <c r="G8917" s="1" t="str">
        <f>"9628Z221"</f>
        <v>9628Z221</v>
      </c>
      <c r="H8917" s="1" t="str">
        <f>"신사간 15L9R4R6"</f>
        <v>신사간 15L9R4R6</v>
      </c>
      <c r="I8917" s="1" t="s">
        <v>8</v>
      </c>
      <c r="J8917" s="1" t="str">
        <f>"30/30"</f>
        <v>30/30</v>
      </c>
      <c r="K8917" s="1" t="str">
        <f>"2026-07-29 13:18:11"</f>
        <v>2026-07-29 13:18:11</v>
      </c>
      <c r="L8917" s="1" t="str">
        <f>"2019-11-05 17:32:45"</f>
        <v>2019-11-05 17:32:45</v>
      </c>
      <c r="M8917" s="1" t="s">
        <v>1</v>
      </c>
      <c r="N8917" s="1" t="s">
        <v>38</v>
      </c>
      <c r="O8917" s="1" t="s">
        <v>46</v>
      </c>
    </row>
    <row r="8918" spans="2:15" x14ac:dyDescent="0.3">
      <c r="B8918" s="1" t="s">
        <v>21</v>
      </c>
      <c r="C8918" s="1" t="str">
        <f>"4차"</f>
        <v>4차</v>
      </c>
      <c r="D8918" s="1" t="str">
        <f>"9628Z22344"</f>
        <v>9628Z22344</v>
      </c>
      <c r="E8918" s="1" t="s">
        <v>10</v>
      </c>
      <c r="F8918" s="1" t="str">
        <f>"10.10.84.146"</f>
        <v>10.10.84.146</v>
      </c>
      <c r="G8918" s="1" t="str">
        <f>"9628Z223"</f>
        <v>9628Z223</v>
      </c>
      <c r="H8918" s="1" t="str">
        <f>"신사간 16L2L3"</f>
        <v>신사간 16L2L3</v>
      </c>
      <c r="I8918" s="1" t="s">
        <v>8</v>
      </c>
      <c r="J8918" s="1" t="str">
        <f>"58/64"</f>
        <v>58/64</v>
      </c>
      <c r="K8918" s="1" t="str">
        <f>"2026-07-29 13:18:11"</f>
        <v>2026-07-29 13:18:11</v>
      </c>
      <c r="L8918" s="1" t="str">
        <f>"2019-11-05 13:07:58"</f>
        <v>2019-11-05 13:07:58</v>
      </c>
      <c r="M8918" s="1" t="s">
        <v>1</v>
      </c>
      <c r="N8918" s="1" t="s">
        <v>38</v>
      </c>
      <c r="O8918" s="1" t="s">
        <v>46</v>
      </c>
    </row>
    <row r="8919" spans="2:15" x14ac:dyDescent="0.3">
      <c r="B8919" s="1" t="s">
        <v>21</v>
      </c>
      <c r="C8919" s="1" t="str">
        <f>"4차"</f>
        <v>4차</v>
      </c>
      <c r="D8919" s="1" t="str">
        <f>"9628Z23344"</f>
        <v>9628Z23344</v>
      </c>
      <c r="E8919" s="1" t="s">
        <v>10</v>
      </c>
      <c r="F8919" s="1" t="str">
        <f>"10.10.83.130"</f>
        <v>10.10.83.130</v>
      </c>
      <c r="G8919" s="1" t="str">
        <f>"9628Z233"</f>
        <v>9628Z233</v>
      </c>
      <c r="H8919" s="1" t="str">
        <f>"신사간 14L1R3"</f>
        <v>신사간 14L1R3</v>
      </c>
      <c r="I8919" s="1" t="s">
        <v>8</v>
      </c>
      <c r="J8919" s="1" t="str">
        <f>"43/43"</f>
        <v>43/43</v>
      </c>
      <c r="K8919" s="1" t="str">
        <f>"2026-07-29 13:18:11"</f>
        <v>2026-07-29 13:18:11</v>
      </c>
      <c r="L8919" s="1" t="str">
        <f>"2020-02-10 18:32:53"</f>
        <v>2020-02-10 18:32:53</v>
      </c>
      <c r="M8919" s="1" t="s">
        <v>1</v>
      </c>
      <c r="N8919" s="1" t="s">
        <v>38</v>
      </c>
      <c r="O8919" s="1" t="s">
        <v>46</v>
      </c>
    </row>
    <row r="8920" spans="2:15" x14ac:dyDescent="0.3">
      <c r="B8920" s="1" t="s">
        <v>21</v>
      </c>
      <c r="C8920" s="1" t="str">
        <f>"4차"</f>
        <v>4차</v>
      </c>
      <c r="D8920" s="1" t="str">
        <f>"9628Z24344"</f>
        <v>9628Z24344</v>
      </c>
      <c r="E8920" s="1" t="s">
        <v>10</v>
      </c>
      <c r="F8920" s="1" t="str">
        <f>"10.10.109.18"</f>
        <v>10.10.109.18</v>
      </c>
      <c r="G8920" s="1" t="str">
        <f>"9628Z243"</f>
        <v>9628Z243</v>
      </c>
      <c r="H8920" s="1" t="str">
        <f>"신사간 15L2R1"</f>
        <v>신사간 15L2R1</v>
      </c>
      <c r="I8920" s="1" t="s">
        <v>8</v>
      </c>
      <c r="J8920" s="1" t="str">
        <f>"12/12"</f>
        <v>12/12</v>
      </c>
      <c r="K8920" s="1" t="str">
        <f>"2026-07-29 13:18:11"</f>
        <v>2026-07-29 13:18:11</v>
      </c>
      <c r="L8920" s="1" t="str">
        <f>"2019-12-11 18:15:48"</f>
        <v>2019-12-11 18:15:48</v>
      </c>
      <c r="M8920" s="1" t="s">
        <v>1</v>
      </c>
      <c r="N8920" s="1" t="s">
        <v>38</v>
      </c>
      <c r="O8920" s="1" t="s">
        <v>46</v>
      </c>
    </row>
    <row r="8921" spans="2:15" x14ac:dyDescent="0.3">
      <c r="B8921" s="1" t="s">
        <v>21</v>
      </c>
      <c r="C8921" s="1" t="str">
        <f>"6차"</f>
        <v>6차</v>
      </c>
      <c r="D8921" s="1" t="str">
        <f>"9628Z2566S"</f>
        <v>9628Z2566S</v>
      </c>
      <c r="E8921" s="1" t="s">
        <v>10</v>
      </c>
      <c r="F8921" s="1" t="str">
        <f>"fde1:103:4:9148:0:0:0:2"</f>
        <v>fde1:103:4:9148:0:0:0:2</v>
      </c>
      <c r="G8921" s="1" t="str">
        <f>"9628Z256"</f>
        <v>9628Z256</v>
      </c>
      <c r="H8921" s="1" t="str">
        <f>"역말간 9"</f>
        <v>역말간 9</v>
      </c>
      <c r="I8921" s="1" t="s">
        <v>15</v>
      </c>
      <c r="J8921" s="1" t="str">
        <f>"36/36"</f>
        <v>36/36</v>
      </c>
      <c r="K8921" s="1" t="str">
        <f>"2026-07-29 14:20:58"</f>
        <v>2026-07-29 14:20:58</v>
      </c>
      <c r="L8921" s="1" t="str">
        <f>"2025-03-19 16:34:13"</f>
        <v>2025-03-19 16:34:13</v>
      </c>
      <c r="M8921" s="1" t="s">
        <v>4</v>
      </c>
      <c r="N8921" s="1" t="s">
        <v>38</v>
      </c>
      <c r="O8921" s="1" t="s">
        <v>46</v>
      </c>
    </row>
    <row r="8922" spans="2:15" x14ac:dyDescent="0.3">
      <c r="B8922" s="1" t="s">
        <v>21</v>
      </c>
      <c r="C8922" s="1" t="str">
        <f>"6차"</f>
        <v>6차</v>
      </c>
      <c r="D8922" s="1" t="str">
        <f>"9628Z2616S"</f>
        <v>9628Z2616S</v>
      </c>
      <c r="E8922" s="1" t="s">
        <v>10</v>
      </c>
      <c r="F8922" s="1" t="str">
        <f>"fde1:103:4:c721:0:0:0:2"</f>
        <v>fde1:103:4:c721:0:0:0:2</v>
      </c>
      <c r="G8922" s="1" t="str">
        <f>"9628Z261"</f>
        <v>9628Z261</v>
      </c>
      <c r="H8922" s="1" t="str">
        <f>"역말간 8"</f>
        <v>역말간 8</v>
      </c>
      <c r="I8922" s="1" t="s">
        <v>15</v>
      </c>
      <c r="J8922" s="1" t="str">
        <f>"72/72"</f>
        <v>72/72</v>
      </c>
      <c r="K8922" s="1" t="str">
        <f>"2026-07-29 14:21:25"</f>
        <v>2026-07-29 14:21:25</v>
      </c>
      <c r="L8922" s="1" t="str">
        <f>"2024-12-10 11:25:40"</f>
        <v>2024-12-10 11:25:40</v>
      </c>
      <c r="M8922" s="1" t="s">
        <v>4</v>
      </c>
      <c r="N8922" s="1" t="s">
        <v>38</v>
      </c>
      <c r="O8922" s="1" t="s">
        <v>46</v>
      </c>
    </row>
    <row r="8923" spans="2:15" x14ac:dyDescent="0.3">
      <c r="B8923" s="1" t="s">
        <v>21</v>
      </c>
      <c r="C8923" s="1" t="str">
        <f>"1차"</f>
        <v>1차</v>
      </c>
      <c r="D8923" s="1" t="str">
        <f>"9628Z28102"</f>
        <v>9628Z28102</v>
      </c>
      <c r="E8923" s="1" t="s">
        <v>10</v>
      </c>
      <c r="F8923" s="1" t="str">
        <f>"10.12.137.107"</f>
        <v>10.12.137.107</v>
      </c>
      <c r="G8923" s="1" t="str">
        <f>"9628Z281"</f>
        <v>9628Z281</v>
      </c>
      <c r="H8923" s="1" t="str">
        <f>"역말간 17R5"</f>
        <v>역말간 17R5</v>
      </c>
      <c r="I8923" s="1" t="s">
        <v>8</v>
      </c>
      <c r="J8923" s="1" t="str">
        <f>"39/55"</f>
        <v>39/55</v>
      </c>
      <c r="K8923" s="1" t="str">
        <f>"2026-07-29 13:18:11"</f>
        <v>2026-07-29 13:18:11</v>
      </c>
      <c r="L8923" s="1" t="str">
        <f>"2014-12-23 14:56:23"</f>
        <v>2014-12-23 14:56:23</v>
      </c>
      <c r="M8923" s="1" t="s">
        <v>0</v>
      </c>
      <c r="N8923" s="1" t="s">
        <v>38</v>
      </c>
      <c r="O8923" s="1" t="s">
        <v>46</v>
      </c>
    </row>
    <row r="8924" spans="2:15" x14ac:dyDescent="0.3">
      <c r="B8924" s="1" t="s">
        <v>21</v>
      </c>
      <c r="C8924" s="1" t="str">
        <f>"4차"</f>
        <v>4차</v>
      </c>
      <c r="D8924" s="1" t="str">
        <f>"9628Z29139"</f>
        <v>9628Z29139</v>
      </c>
      <c r="E8924" s="1" t="s">
        <v>10</v>
      </c>
      <c r="F8924" s="1" t="str">
        <f>"10.12.138.9"</f>
        <v>10.12.138.9</v>
      </c>
      <c r="G8924" s="1" t="str">
        <f>"9628Z291"</f>
        <v>9628Z291</v>
      </c>
      <c r="H8924" s="1" t="str">
        <f>"역말간 17R3L2R2"</f>
        <v>역말간 17R3L2R2</v>
      </c>
      <c r="I8924" s="1" t="s">
        <v>8</v>
      </c>
      <c r="J8924" s="1" t="str">
        <f>"100/101"</f>
        <v>100/101</v>
      </c>
      <c r="K8924" s="1" t="str">
        <f>"2026-07-29 13:18:12"</f>
        <v>2026-07-29 13:18:12</v>
      </c>
      <c r="L8924" s="1" t="str">
        <f>"2018-10-01 12:12:12"</f>
        <v>2018-10-01 12:12:12</v>
      </c>
      <c r="M8924" s="1" t="s">
        <v>0</v>
      </c>
      <c r="N8924" s="1" t="s">
        <v>38</v>
      </c>
      <c r="O8924" s="1" t="s">
        <v>46</v>
      </c>
    </row>
    <row r="8925" spans="2:15" x14ac:dyDescent="0.3">
      <c r="B8925" s="1" t="s">
        <v>21</v>
      </c>
      <c r="C8925" s="1" t="str">
        <f>"4차"</f>
        <v>4차</v>
      </c>
      <c r="D8925" s="1" t="str">
        <f>"9628Z30144"</f>
        <v>9628Z30144</v>
      </c>
      <c r="E8925" s="1" t="s">
        <v>10</v>
      </c>
      <c r="F8925" s="1" t="str">
        <f>"10.10.79.114"</f>
        <v>10.10.79.114</v>
      </c>
      <c r="G8925" s="1" t="str">
        <f>"9628Z301"</f>
        <v>9628Z301</v>
      </c>
      <c r="H8925" s="1" t="str">
        <f>"광천간 27L11L6"</f>
        <v>광천간 27L11L6</v>
      </c>
      <c r="I8925" s="1" t="s">
        <v>8</v>
      </c>
      <c r="J8925" s="1" t="str">
        <f>"43/43"</f>
        <v>43/43</v>
      </c>
      <c r="K8925" s="1" t="str">
        <f>"2026-07-29 13:18:11"</f>
        <v>2026-07-29 13:18:11</v>
      </c>
      <c r="L8925" s="1" t="str">
        <f>"2019-09-30 14:51:28"</f>
        <v>2019-09-30 14:51:28</v>
      </c>
      <c r="M8925" s="1" t="s">
        <v>1</v>
      </c>
      <c r="N8925" s="1" t="s">
        <v>38</v>
      </c>
      <c r="O8925" s="1" t="s">
        <v>46</v>
      </c>
    </row>
    <row r="8926" spans="2:15" x14ac:dyDescent="0.3">
      <c r="B8926" s="1" t="s">
        <v>21</v>
      </c>
      <c r="C8926" s="1" t="str">
        <f>"3차"</f>
        <v>3차</v>
      </c>
      <c r="D8926" s="1" t="str">
        <f>"9628Z33339"</f>
        <v>9628Z33339</v>
      </c>
      <c r="E8926" s="1" t="s">
        <v>10</v>
      </c>
      <c r="F8926" s="1" t="str">
        <f>"10.12.136.224"</f>
        <v>10.12.136.224</v>
      </c>
      <c r="G8926" s="1" t="str">
        <f>"9628Z333"</f>
        <v>9628Z333</v>
      </c>
      <c r="H8926" s="1" t="str">
        <f>"신사간 15L9R4R4"</f>
        <v>신사간 15L9R4R4</v>
      </c>
      <c r="I8926" s="1" t="s">
        <v>8</v>
      </c>
      <c r="J8926" s="1" t="str">
        <f>"38/38"</f>
        <v>38/38</v>
      </c>
      <c r="K8926" s="1" t="str">
        <f>"2026-07-29 13:18:12"</f>
        <v>2026-07-29 13:18:12</v>
      </c>
      <c r="L8926" s="1" t="str">
        <f>"2018-10-02 10:36:10"</f>
        <v>2018-10-02 10:36:10</v>
      </c>
      <c r="M8926" s="1" t="s">
        <v>0</v>
      </c>
      <c r="N8926" s="1" t="s">
        <v>38</v>
      </c>
      <c r="O8926" s="1" t="s">
        <v>46</v>
      </c>
    </row>
    <row r="8927" spans="2:15" x14ac:dyDescent="0.3">
      <c r="B8927" s="1" t="s">
        <v>21</v>
      </c>
      <c r="C8927" s="1" t="str">
        <f>"1차"</f>
        <v>1차</v>
      </c>
      <c r="D8927" s="1" t="str">
        <f>"9628Z37401"</f>
        <v>9628Z37401</v>
      </c>
      <c r="E8927" s="1" t="s">
        <v>10</v>
      </c>
      <c r="F8927" s="1" t="str">
        <f>"10.14.11.116"</f>
        <v>10.14.11.116</v>
      </c>
      <c r="G8927" s="1" t="str">
        <f>"9628Z374"</f>
        <v>9628Z374</v>
      </c>
      <c r="H8927" s="1" t="str">
        <f>"역말간 17R6R1"</f>
        <v>역말간 17R6R1</v>
      </c>
      <c r="I8927" s="1" t="s">
        <v>8</v>
      </c>
      <c r="J8927" s="1" t="str">
        <f>"90/90"</f>
        <v>90/90</v>
      </c>
      <c r="K8927" s="1" t="str">
        <f>"2026-07-29 13:18:12"</f>
        <v>2026-07-29 13:18:12</v>
      </c>
      <c r="L8927" s="1" t="str">
        <f>"2014-11-27 10:57:18"</f>
        <v>2014-11-27 10:57:18</v>
      </c>
      <c r="M8927" s="1" t="s">
        <v>3</v>
      </c>
      <c r="N8927" s="1" t="s">
        <v>38</v>
      </c>
      <c r="O8927" s="1" t="s">
        <v>46</v>
      </c>
    </row>
    <row r="8928" spans="2:15" x14ac:dyDescent="0.3">
      <c r="B8928" s="1" t="s">
        <v>21</v>
      </c>
      <c r="C8928" s="1" t="str">
        <f>"4차"</f>
        <v>4차</v>
      </c>
      <c r="D8928" s="1" t="str">
        <f>"9628Z39141"</f>
        <v>9628Z39141</v>
      </c>
      <c r="E8928" s="1" t="s">
        <v>10</v>
      </c>
      <c r="F8928" s="1" t="str">
        <f>"10.12.133.151"</f>
        <v>10.12.133.151</v>
      </c>
      <c r="G8928" s="1" t="str">
        <f>"9628Z391"</f>
        <v>9628Z391</v>
      </c>
      <c r="H8928" s="1" t="str">
        <f>"역말간 17R3L2R4"</f>
        <v>역말간 17R3L2R4</v>
      </c>
      <c r="I8928" s="1" t="s">
        <v>17</v>
      </c>
      <c r="J8928" s="1" t="str">
        <f>"93/106"</f>
        <v>93/106</v>
      </c>
      <c r="K8928" s="1" t="str">
        <f>"2026-07-29 13:18:11"</f>
        <v>2026-07-29 13:18:11</v>
      </c>
      <c r="L8928" s="1" t="str">
        <f>"2021-08-10 10:25:17"</f>
        <v>2021-08-10 10:25:17</v>
      </c>
      <c r="M8928" s="1" t="s">
        <v>0</v>
      </c>
      <c r="N8928" s="1" t="s">
        <v>38</v>
      </c>
      <c r="O8928" s="1" t="s">
        <v>46</v>
      </c>
    </row>
    <row r="8929" spans="2:15" x14ac:dyDescent="0.3">
      <c r="B8929" s="1" t="s">
        <v>21</v>
      </c>
      <c r="C8929" s="1" t="str">
        <f>"3차"</f>
        <v>3차</v>
      </c>
      <c r="D8929" s="1" t="str">
        <f>"9628Z43139"</f>
        <v>9628Z43139</v>
      </c>
      <c r="E8929" s="1" t="s">
        <v>10</v>
      </c>
      <c r="F8929" s="1" t="str">
        <f>"10.12.136.226"</f>
        <v>10.12.136.226</v>
      </c>
      <c r="G8929" s="1" t="str">
        <f>"9628Z431"</f>
        <v>9628Z431</v>
      </c>
      <c r="H8929" s="1" t="str">
        <f>"신사간 15L9R4R2"</f>
        <v>신사간 15L9R4R2</v>
      </c>
      <c r="I8929" s="1" t="s">
        <v>8</v>
      </c>
      <c r="J8929" s="1" t="str">
        <f>"78/78"</f>
        <v>78/78</v>
      </c>
      <c r="K8929" s="1" t="str">
        <f>"2026-07-29 13:18:11"</f>
        <v>2026-07-29 13:18:11</v>
      </c>
      <c r="L8929" s="1" t="str">
        <f>"2018-10-02 09:37:39"</f>
        <v>2018-10-02 09:37:39</v>
      </c>
      <c r="M8929" s="1" t="s">
        <v>0</v>
      </c>
      <c r="N8929" s="1" t="s">
        <v>38</v>
      </c>
      <c r="O8929" s="1" t="s">
        <v>46</v>
      </c>
    </row>
    <row r="8930" spans="2:15" x14ac:dyDescent="0.3">
      <c r="B8930" s="1" t="s">
        <v>21</v>
      </c>
      <c r="C8930" s="1" t="str">
        <f>"4차"</f>
        <v>4차</v>
      </c>
      <c r="D8930" s="1" t="str">
        <f>"9628Z45241"</f>
        <v>9628Z45241</v>
      </c>
      <c r="E8930" s="1" t="s">
        <v>10</v>
      </c>
      <c r="F8930" s="1" t="str">
        <f>"10.14.15.182"</f>
        <v>10.14.15.182</v>
      </c>
      <c r="G8930" s="1" t="str">
        <f>"9628Z452"</f>
        <v>9628Z452</v>
      </c>
      <c r="H8930" s="1" t="str">
        <f>"신사간 15L7"</f>
        <v>신사간 15L7</v>
      </c>
      <c r="I8930" s="1" t="s">
        <v>17</v>
      </c>
      <c r="J8930" s="1" t="str">
        <f>"30/43"</f>
        <v>30/43</v>
      </c>
      <c r="K8930" s="1" t="str">
        <f>"2026-07-29 13:18:11"</f>
        <v>2026-07-29 13:18:11</v>
      </c>
      <c r="L8930" s="1" t="str">
        <f>"2021-08-10 09:14:20"</f>
        <v>2021-08-10 09:14:20</v>
      </c>
      <c r="M8930" s="1" t="s">
        <v>3</v>
      </c>
      <c r="N8930" s="1" t="s">
        <v>38</v>
      </c>
      <c r="O8930" s="1" t="s">
        <v>46</v>
      </c>
    </row>
    <row r="8931" spans="2:15" x14ac:dyDescent="0.3">
      <c r="B8931" s="1" t="s">
        <v>21</v>
      </c>
      <c r="C8931" s="1" t="str">
        <f>"1차"</f>
        <v>1차</v>
      </c>
      <c r="D8931" s="1" t="str">
        <f>"9628Z48100"</f>
        <v>9628Z48100</v>
      </c>
      <c r="E8931" s="1" t="s">
        <v>10</v>
      </c>
      <c r="F8931" s="1" t="str">
        <f>"10.128.74.4"</f>
        <v>10.128.74.4</v>
      </c>
      <c r="G8931" s="1" t="str">
        <f>"9628Z481"</f>
        <v>9628Z481</v>
      </c>
      <c r="H8931" s="1" t="str">
        <f>"역말간 17R9"</f>
        <v>역말간 17R9</v>
      </c>
      <c r="I8931" s="1" t="s">
        <v>8</v>
      </c>
      <c r="J8931" s="1" t="str">
        <f>"44/44"</f>
        <v>44/44</v>
      </c>
      <c r="K8931" s="1" t="str">
        <f>"2026-07-29 13:18:11"</f>
        <v>2026-07-29 13:18:11</v>
      </c>
      <c r="L8931" s="1" t="str">
        <f>"2014-10-23 00:14:09"</f>
        <v>2014-10-23 00:14:09</v>
      </c>
      <c r="M8931" s="1" t="s">
        <v>45</v>
      </c>
      <c r="N8931" s="1" t="s">
        <v>38</v>
      </c>
      <c r="O8931" s="1" t="s">
        <v>46</v>
      </c>
    </row>
    <row r="8932" spans="2:15" x14ac:dyDescent="0.3">
      <c r="B8932" s="1" t="s">
        <v>21</v>
      </c>
      <c r="C8932" s="1" t="str">
        <f t="shared" ref="C8932:C8938" si="445">"4차"</f>
        <v>4차</v>
      </c>
      <c r="D8932" s="1" t="str">
        <f>"9628Z49839"</f>
        <v>9628Z49839</v>
      </c>
      <c r="E8932" s="1" t="s">
        <v>10</v>
      </c>
      <c r="F8932" s="1" t="str">
        <f>"10.12.133.185"</f>
        <v>10.12.133.185</v>
      </c>
      <c r="G8932" s="1" t="str">
        <f>"9628Z498"</f>
        <v>9628Z498</v>
      </c>
      <c r="H8932" s="1" t="str">
        <f>"역촌 L3"</f>
        <v>역촌 L3</v>
      </c>
      <c r="I8932" s="1" t="s">
        <v>17</v>
      </c>
      <c r="J8932" s="1" t="str">
        <f>"21/21"</f>
        <v>21/21</v>
      </c>
      <c r="K8932" s="1" t="str">
        <f>"2026-07-29 13:18:12"</f>
        <v>2026-07-29 13:18:12</v>
      </c>
      <c r="L8932" s="1" t="str">
        <f>"2018-06-23 08:48:40"</f>
        <v>2018-06-23 08:48:40</v>
      </c>
      <c r="M8932" s="1" t="s">
        <v>0</v>
      </c>
      <c r="N8932" s="1" t="s">
        <v>38</v>
      </c>
      <c r="O8932" s="1" t="s">
        <v>46</v>
      </c>
    </row>
    <row r="8933" spans="2:15" x14ac:dyDescent="0.3">
      <c r="B8933" s="1" t="s">
        <v>21</v>
      </c>
      <c r="C8933" s="1" t="str">
        <f t="shared" si="445"/>
        <v>4차</v>
      </c>
      <c r="D8933" s="1" t="str">
        <f>"9628Z53344"</f>
        <v>9628Z53344</v>
      </c>
      <c r="E8933" s="1" t="s">
        <v>10</v>
      </c>
      <c r="F8933" s="1" t="str">
        <f>"10.10.84.50"</f>
        <v>10.10.84.50</v>
      </c>
      <c r="G8933" s="1" t="str">
        <f>"9628Z533"</f>
        <v>9628Z533</v>
      </c>
      <c r="H8933" s="1" t="str">
        <f>"신사간 15L9R5"</f>
        <v>신사간 15L9R5</v>
      </c>
      <c r="I8933" s="1" t="s">
        <v>8</v>
      </c>
      <c r="J8933" s="1" t="str">
        <f>"69/69"</f>
        <v>69/69</v>
      </c>
      <c r="K8933" s="1" t="str">
        <f>"2026-07-29 13:18:11"</f>
        <v>2026-07-29 13:18:11</v>
      </c>
      <c r="L8933" s="1" t="str">
        <f>"2020-02-10 18:38:09"</f>
        <v>2020-02-10 18:38:09</v>
      </c>
      <c r="M8933" s="1" t="s">
        <v>1</v>
      </c>
      <c r="N8933" s="1" t="s">
        <v>38</v>
      </c>
      <c r="O8933" s="1" t="s">
        <v>46</v>
      </c>
    </row>
    <row r="8934" spans="2:15" x14ac:dyDescent="0.3">
      <c r="B8934" s="1" t="s">
        <v>21</v>
      </c>
      <c r="C8934" s="1" t="str">
        <f t="shared" si="445"/>
        <v>4차</v>
      </c>
      <c r="D8934" s="1" t="str">
        <f>"9628Z53444"</f>
        <v>9628Z53444</v>
      </c>
      <c r="E8934" s="1" t="s">
        <v>10</v>
      </c>
      <c r="F8934" s="1" t="str">
        <f>"10.10.83.250"</f>
        <v>10.10.83.250</v>
      </c>
      <c r="G8934" s="1" t="str">
        <f>"9628Z534"</f>
        <v>9628Z534</v>
      </c>
      <c r="H8934" s="1" t="str">
        <f>"신사간 15L9R4L1"</f>
        <v>신사간 15L9R4L1</v>
      </c>
      <c r="I8934" s="1" t="s">
        <v>8</v>
      </c>
      <c r="J8934" s="1" t="str">
        <f>"27/27"</f>
        <v>27/27</v>
      </c>
      <c r="K8934" s="1" t="str">
        <f>"2026-07-29 13:18:11"</f>
        <v>2026-07-29 13:18:11</v>
      </c>
      <c r="L8934" s="1" t="str">
        <f>"2019-11-05 17:09:00"</f>
        <v>2019-11-05 17:09:00</v>
      </c>
      <c r="M8934" s="1" t="s">
        <v>1</v>
      </c>
      <c r="N8934" s="1" t="s">
        <v>38</v>
      </c>
      <c r="O8934" s="1" t="s">
        <v>46</v>
      </c>
    </row>
    <row r="8935" spans="2:15" x14ac:dyDescent="0.3">
      <c r="B8935" s="1" t="s">
        <v>21</v>
      </c>
      <c r="C8935" s="1" t="str">
        <f t="shared" si="445"/>
        <v>4차</v>
      </c>
      <c r="D8935" s="1" t="str">
        <f>"9628Z54444"</f>
        <v>9628Z54444</v>
      </c>
      <c r="E8935" s="1" t="s">
        <v>10</v>
      </c>
      <c r="F8935" s="1" t="str">
        <f>"10.10.83.146"</f>
        <v>10.10.83.146</v>
      </c>
      <c r="G8935" s="1" t="str">
        <f>"9628Z544"</f>
        <v>9628Z544</v>
      </c>
      <c r="H8935" s="1" t="str">
        <f>"신사간 15L9R3"</f>
        <v>신사간 15L9R3</v>
      </c>
      <c r="I8935" s="1" t="s">
        <v>8</v>
      </c>
      <c r="J8935" s="1" t="str">
        <f>"27/28"</f>
        <v>27/28</v>
      </c>
      <c r="K8935" s="1" t="str">
        <f>"2026-07-29 13:18:11"</f>
        <v>2026-07-29 13:18:11</v>
      </c>
      <c r="L8935" s="1" t="str">
        <f>"2019-11-05 16:45:47"</f>
        <v>2019-11-05 16:45:47</v>
      </c>
      <c r="M8935" s="1" t="s">
        <v>1</v>
      </c>
      <c r="N8935" s="1" t="s">
        <v>38</v>
      </c>
      <c r="O8935" s="1" t="s">
        <v>46</v>
      </c>
    </row>
    <row r="8936" spans="2:15" x14ac:dyDescent="0.3">
      <c r="B8936" s="1" t="s">
        <v>21</v>
      </c>
      <c r="C8936" s="1" t="str">
        <f t="shared" si="445"/>
        <v>4차</v>
      </c>
      <c r="D8936" s="1" t="str">
        <f>"9628Z56541"</f>
        <v>9628Z56541</v>
      </c>
      <c r="E8936" s="1" t="s">
        <v>10</v>
      </c>
      <c r="F8936" s="1" t="str">
        <f>"10.14.7.50"</f>
        <v>10.14.7.50</v>
      </c>
      <c r="G8936" s="1" t="str">
        <f>"9628Z565"</f>
        <v>9628Z565</v>
      </c>
      <c r="H8936" s="1" t="str">
        <f>"역말간 5R2"</f>
        <v>역말간 5R2</v>
      </c>
      <c r="I8936" s="1" t="s">
        <v>17</v>
      </c>
      <c r="J8936" s="1" t="str">
        <f>"15/15"</f>
        <v>15/15</v>
      </c>
      <c r="K8936" s="1" t="str">
        <f>"2026-07-29 13:18:12"</f>
        <v>2026-07-29 13:18:12</v>
      </c>
      <c r="L8936" s="1" t="str">
        <f>"2021-08-10 09:50:49"</f>
        <v>2021-08-10 09:50:49</v>
      </c>
      <c r="M8936" s="1" t="s">
        <v>3</v>
      </c>
      <c r="N8936" s="1" t="s">
        <v>38</v>
      </c>
      <c r="O8936" s="1" t="s">
        <v>46</v>
      </c>
    </row>
    <row r="8937" spans="2:15" x14ac:dyDescent="0.3">
      <c r="B8937" s="1" t="s">
        <v>21</v>
      </c>
      <c r="C8937" s="1" t="str">
        <f t="shared" si="445"/>
        <v>4차</v>
      </c>
      <c r="D8937" s="1" t="str">
        <f>"9628Z57939"</f>
        <v>9628Z57939</v>
      </c>
      <c r="E8937" s="1" t="s">
        <v>10</v>
      </c>
      <c r="F8937" s="1" t="str">
        <f>"10.12.135.148"</f>
        <v>10.12.135.148</v>
      </c>
      <c r="G8937" s="1" t="str">
        <f>"9628Z579"</f>
        <v>9628Z579</v>
      </c>
      <c r="H8937" s="1" t="str">
        <f>"역촌 R1"</f>
        <v>역촌 R1</v>
      </c>
      <c r="I8937" s="1" t="s">
        <v>17</v>
      </c>
      <c r="J8937" s="1" t="str">
        <f>"89/89"</f>
        <v>89/89</v>
      </c>
      <c r="K8937" s="1" t="str">
        <f>"2026-07-29 13:18:12"</f>
        <v>2026-07-29 13:18:12</v>
      </c>
      <c r="L8937" s="1" t="str">
        <f>"2018-05-28 08:04:11"</f>
        <v>2018-05-28 08:04:11</v>
      </c>
      <c r="M8937" s="1" t="s">
        <v>0</v>
      </c>
      <c r="N8937" s="1" t="s">
        <v>38</v>
      </c>
      <c r="O8937" s="1" t="s">
        <v>46</v>
      </c>
    </row>
    <row r="8938" spans="2:15" x14ac:dyDescent="0.3">
      <c r="B8938" s="1" t="s">
        <v>21</v>
      </c>
      <c r="C8938" s="1" t="str">
        <f t="shared" si="445"/>
        <v>4차</v>
      </c>
      <c r="D8938" s="1" t="str">
        <f>"9628Z58C45"</f>
        <v>9628Z58C45</v>
      </c>
      <c r="E8938" s="1" t="s">
        <v>10</v>
      </c>
      <c r="F8938" s="1" t="str">
        <f>"10.14.13.9"</f>
        <v>10.14.13.9</v>
      </c>
      <c r="G8938" s="1" t="str">
        <f>"9628Z58C"</f>
        <v>9628Z58C</v>
      </c>
      <c r="H8938" s="1" t="str">
        <f>"역촌 R2"</f>
        <v>역촌 R2</v>
      </c>
      <c r="I8938" s="1" t="s">
        <v>17</v>
      </c>
      <c r="J8938" s="1" t="str">
        <f>"29/29"</f>
        <v>29/29</v>
      </c>
      <c r="K8938" s="1" t="str">
        <f>"2026-07-29 13:18:13"</f>
        <v>2026-07-29 13:18:13</v>
      </c>
      <c r="L8938" s="1" t="str">
        <f>"2021-06-17 15:19:50"</f>
        <v>2021-06-17 15:19:50</v>
      </c>
      <c r="M8938" s="1" t="s">
        <v>3</v>
      </c>
      <c r="N8938" s="1" t="s">
        <v>38</v>
      </c>
      <c r="O8938" s="1" t="s">
        <v>46</v>
      </c>
    </row>
    <row r="8939" spans="2:15" x14ac:dyDescent="0.3">
      <c r="B8939" s="1" t="s">
        <v>21</v>
      </c>
      <c r="C8939" s="1" t="str">
        <f>"6차"</f>
        <v>6차</v>
      </c>
      <c r="D8939" s="1" t="str">
        <f>"9628Z5916S"</f>
        <v>9628Z5916S</v>
      </c>
      <c r="E8939" s="1" t="s">
        <v>10</v>
      </c>
      <c r="F8939" s="1" t="str">
        <f>"fde1:103:4:c814:0:0:0:2"</f>
        <v>fde1:103:4:c814:0:0:0:2</v>
      </c>
      <c r="G8939" s="1" t="str">
        <f>"9628Z591"</f>
        <v>9628Z591</v>
      </c>
      <c r="H8939" s="1" t="str">
        <f>"갈촌간 3L16R4"</f>
        <v>갈촌간 3L16R4</v>
      </c>
      <c r="I8939" s="1" t="s">
        <v>15</v>
      </c>
      <c r="J8939" s="1" t="str">
        <f>"46/46"</f>
        <v>46/46</v>
      </c>
      <c r="K8939" s="1" t="str">
        <f>"2026-07-29 14:21:26"</f>
        <v>2026-07-29 14:21:26</v>
      </c>
      <c r="L8939" s="1" t="str">
        <f>"2024-12-05 11:33:14"</f>
        <v>2024-12-05 11:33:14</v>
      </c>
      <c r="M8939" s="1" t="s">
        <v>4</v>
      </c>
      <c r="N8939" s="1" t="s">
        <v>38</v>
      </c>
      <c r="O8939" s="1" t="s">
        <v>46</v>
      </c>
    </row>
    <row r="8940" spans="2:15" x14ac:dyDescent="0.3">
      <c r="B8940" s="1" t="s">
        <v>21</v>
      </c>
      <c r="C8940" s="1" t="str">
        <f>"4차"</f>
        <v>4차</v>
      </c>
      <c r="D8940" s="1" t="str">
        <f>"9628Z64144"</f>
        <v>9628Z64144</v>
      </c>
      <c r="E8940" s="1" t="s">
        <v>10</v>
      </c>
      <c r="F8940" s="1" t="str">
        <f>"10.10.84.66"</f>
        <v>10.10.84.66</v>
      </c>
      <c r="G8940" s="1" t="str">
        <f>"9628Z641"</f>
        <v>9628Z641</v>
      </c>
      <c r="H8940" s="1" t="str">
        <f>"신사간 15L9R4L2"</f>
        <v>신사간 15L9R4L2</v>
      </c>
      <c r="I8940" s="1" t="s">
        <v>8</v>
      </c>
      <c r="J8940" s="1" t="str">
        <f>"61/61"</f>
        <v>61/61</v>
      </c>
      <c r="K8940" s="1" t="str">
        <f>"2026-07-29 13:18:11"</f>
        <v>2026-07-29 13:18:11</v>
      </c>
      <c r="L8940" s="1" t="str">
        <f>"2019-11-05 17:13:03"</f>
        <v>2019-11-05 17:13:03</v>
      </c>
      <c r="M8940" s="1" t="s">
        <v>1</v>
      </c>
      <c r="N8940" s="1" t="s">
        <v>38</v>
      </c>
      <c r="O8940" s="1" t="s">
        <v>46</v>
      </c>
    </row>
    <row r="8941" spans="2:15" x14ac:dyDescent="0.3">
      <c r="B8941" s="1" t="s">
        <v>21</v>
      </c>
      <c r="C8941" s="1" t="str">
        <f>"6차"</f>
        <v>6차</v>
      </c>
      <c r="D8941" s="1" t="str">
        <f>"9628Z6936S"</f>
        <v>9628Z6936S</v>
      </c>
      <c r="E8941" s="1" t="s">
        <v>10</v>
      </c>
      <c r="F8941" s="1" t="str">
        <f>"fde1:103:4:c812:0:0:0:2"</f>
        <v>fde1:103:4:c812:0:0:0:2</v>
      </c>
      <c r="G8941" s="1" t="str">
        <f>"9628Z693"</f>
        <v>9628Z693</v>
      </c>
      <c r="H8941" s="1" t="str">
        <f>"갈촌간 3L16R3"</f>
        <v>갈촌간 3L16R3</v>
      </c>
      <c r="I8941" s="1" t="s">
        <v>15</v>
      </c>
      <c r="J8941" s="1" t="str">
        <f>"117/118"</f>
        <v>117/118</v>
      </c>
      <c r="K8941" s="1" t="str">
        <f>"2026-07-29 14:20:38"</f>
        <v>2026-07-29 14:20:38</v>
      </c>
      <c r="L8941" s="1" t="str">
        <f>"2024-12-05 11:45:57"</f>
        <v>2024-12-05 11:45:57</v>
      </c>
      <c r="M8941" s="1" t="s">
        <v>4</v>
      </c>
      <c r="N8941" s="1" t="s">
        <v>38</v>
      </c>
      <c r="O8941" s="1" t="s">
        <v>46</v>
      </c>
    </row>
    <row r="8942" spans="2:15" x14ac:dyDescent="0.3">
      <c r="B8942" s="1" t="s">
        <v>21</v>
      </c>
      <c r="C8942" s="1" t="str">
        <f>"4차"</f>
        <v>4차</v>
      </c>
      <c r="D8942" s="1" t="str">
        <f>"9628Z70144"</f>
        <v>9628Z70144</v>
      </c>
      <c r="E8942" s="1" t="s">
        <v>10</v>
      </c>
      <c r="F8942" s="1" t="str">
        <f>"10.10.92.170"</f>
        <v>10.10.92.170</v>
      </c>
      <c r="G8942" s="1" t="str">
        <f>"9628Z701"</f>
        <v>9628Z701</v>
      </c>
      <c r="H8942" s="1" t="str">
        <f>"서경간 1L12"</f>
        <v>서경간 1L12</v>
      </c>
      <c r="I8942" s="1" t="s">
        <v>8</v>
      </c>
      <c r="J8942" s="1" t="str">
        <f>"40/40"</f>
        <v>40/40</v>
      </c>
      <c r="K8942" s="1" t="str">
        <f>"2026-07-29 13:18:11"</f>
        <v>2026-07-29 13:18:11</v>
      </c>
      <c r="L8942" s="1" t="str">
        <f>"2019-10-21 13:09:18"</f>
        <v>2019-10-21 13:09:18</v>
      </c>
      <c r="M8942" s="1" t="s">
        <v>1</v>
      </c>
      <c r="N8942" s="1" t="s">
        <v>38</v>
      </c>
      <c r="O8942" s="1" t="s">
        <v>46</v>
      </c>
    </row>
    <row r="8943" spans="2:15" x14ac:dyDescent="0.3">
      <c r="B8943" s="1" t="s">
        <v>21</v>
      </c>
      <c r="C8943" s="1" t="str">
        <f>"1차"</f>
        <v>1차</v>
      </c>
      <c r="D8943" s="1" t="str">
        <f>"9628Z70200"</f>
        <v>9628Z70200</v>
      </c>
      <c r="E8943" s="1" t="s">
        <v>10</v>
      </c>
      <c r="F8943" s="1" t="str">
        <f>"10.128.0.48"</f>
        <v>10.128.0.48</v>
      </c>
      <c r="G8943" s="1" t="str">
        <f>"9628Z702"</f>
        <v>9628Z702</v>
      </c>
      <c r="H8943" s="1" t="str">
        <f>"광천간 43"</f>
        <v>광천간 43</v>
      </c>
      <c r="I8943" s="1" t="s">
        <v>8</v>
      </c>
      <c r="J8943" s="1" t="str">
        <f>"51/51"</f>
        <v>51/51</v>
      </c>
      <c r="K8943" s="1" t="str">
        <f>"2026-07-29 13:18:11"</f>
        <v>2026-07-29 13:18:11</v>
      </c>
      <c r="L8943" s="1" t="str">
        <f>"2014-11-12 00:13:22"</f>
        <v>2014-11-12 00:13:22</v>
      </c>
      <c r="M8943" s="1" t="s">
        <v>45</v>
      </c>
      <c r="N8943" s="1" t="s">
        <v>38</v>
      </c>
      <c r="O8943" s="1" t="s">
        <v>46</v>
      </c>
    </row>
    <row r="8944" spans="2:15" x14ac:dyDescent="0.3">
      <c r="B8944" s="1" t="s">
        <v>21</v>
      </c>
      <c r="C8944" s="1" t="str">
        <f>"5-2차"</f>
        <v>5-2차</v>
      </c>
      <c r="D8944" s="1" t="str">
        <f>"9628Z7115M"</f>
        <v>9628Z7115M</v>
      </c>
      <c r="E8944" s="1" t="s">
        <v>10</v>
      </c>
      <c r="F8944" s="1" t="str">
        <f>"fde1:103:4:59f4:0:0:0:2"</f>
        <v>fde1:103:4:59f4:0:0:0:2</v>
      </c>
      <c r="G8944" s="1" t="str">
        <f>"9628Z711"</f>
        <v>9628Z711</v>
      </c>
      <c r="H8944" s="1" t="str">
        <f>"신사간 15L9R11H1"</f>
        <v>신사간 15L9R11H1</v>
      </c>
      <c r="I8944" s="1" t="s">
        <v>15</v>
      </c>
      <c r="J8944" s="1" t="str">
        <f>"54/54"</f>
        <v>54/54</v>
      </c>
      <c r="K8944" s="1" t="str">
        <f>"2026-07-29 14:21:26"</f>
        <v>2026-07-29 14:21:26</v>
      </c>
      <c r="L8944" s="1" t="str">
        <f>"2023-10-20 11:18:12"</f>
        <v>2023-10-20 11:18:12</v>
      </c>
      <c r="M8944" s="1" t="s">
        <v>4</v>
      </c>
      <c r="N8944" s="1" t="s">
        <v>38</v>
      </c>
      <c r="O8944" s="1" t="s">
        <v>46</v>
      </c>
    </row>
    <row r="8945" spans="2:15" x14ac:dyDescent="0.3">
      <c r="B8945" s="1" t="s">
        <v>21</v>
      </c>
      <c r="C8945" s="1" t="str">
        <f>"4차"</f>
        <v>4차</v>
      </c>
      <c r="D8945" s="1" t="str">
        <f>"9628Z72144"</f>
        <v>9628Z72144</v>
      </c>
      <c r="E8945" s="1" t="s">
        <v>10</v>
      </c>
      <c r="F8945" s="1" t="str">
        <f>"10.10.83.138"</f>
        <v>10.10.83.138</v>
      </c>
      <c r="G8945" s="1" t="str">
        <f>"9628Z721"</f>
        <v>9628Z721</v>
      </c>
      <c r="H8945" s="1" t="str">
        <f>"신사간 15L24"</f>
        <v>신사간 15L24</v>
      </c>
      <c r="I8945" s="1" t="s">
        <v>8</v>
      </c>
      <c r="J8945" s="1" t="str">
        <f>"35/35"</f>
        <v>35/35</v>
      </c>
      <c r="K8945" s="1" t="str">
        <f>"2026-07-29 13:18:11"</f>
        <v>2026-07-29 13:18:11</v>
      </c>
      <c r="L8945" s="1" t="str">
        <f>"2019-12-11 18:15:27"</f>
        <v>2019-12-11 18:15:27</v>
      </c>
      <c r="M8945" s="1" t="s">
        <v>1</v>
      </c>
      <c r="N8945" s="1" t="s">
        <v>38</v>
      </c>
      <c r="O8945" s="1" t="s">
        <v>46</v>
      </c>
    </row>
    <row r="8946" spans="2:15" x14ac:dyDescent="0.3">
      <c r="B8946" s="1" t="s">
        <v>21</v>
      </c>
      <c r="C8946" s="1" t="str">
        <f>"4차"</f>
        <v>4차</v>
      </c>
      <c r="D8946" s="1" t="str">
        <f>"9628Z72344"</f>
        <v>9628Z72344</v>
      </c>
      <c r="E8946" s="1" t="s">
        <v>10</v>
      </c>
      <c r="F8946" s="1" t="str">
        <f>"10.10.66.34"</f>
        <v>10.10.66.34</v>
      </c>
      <c r="G8946" s="1" t="str">
        <f>"9628Z723"</f>
        <v>9628Z723</v>
      </c>
      <c r="H8946" s="1" t="str">
        <f>"신사간 15L9R9L1"</f>
        <v>신사간 15L9R9L1</v>
      </c>
      <c r="I8946" s="1" t="s">
        <v>8</v>
      </c>
      <c r="J8946" s="1" t="str">
        <f>"40/40"</f>
        <v>40/40</v>
      </c>
      <c r="K8946" s="1" t="str">
        <f>"2026-07-29 13:18:11"</f>
        <v>2026-07-29 13:18:11</v>
      </c>
      <c r="L8946" s="1" t="str">
        <f>"2019-12-17 16:12:06"</f>
        <v>2019-12-17 16:12:06</v>
      </c>
      <c r="M8946" s="1" t="s">
        <v>1</v>
      </c>
      <c r="N8946" s="1" t="s">
        <v>38</v>
      </c>
      <c r="O8946" s="1" t="s">
        <v>46</v>
      </c>
    </row>
    <row r="8947" spans="2:15" x14ac:dyDescent="0.3">
      <c r="B8947" s="1" t="s">
        <v>21</v>
      </c>
      <c r="C8947" s="1" t="str">
        <f>"4차"</f>
        <v>4차</v>
      </c>
      <c r="D8947" s="1" t="str">
        <f>"9628Z74144"</f>
        <v>9628Z74144</v>
      </c>
      <c r="E8947" s="1" t="s">
        <v>10</v>
      </c>
      <c r="F8947" s="1" t="str">
        <f>"10.10.96.210"</f>
        <v>10.10.96.210</v>
      </c>
      <c r="G8947" s="1" t="str">
        <f>"9628Z741"</f>
        <v>9628Z741</v>
      </c>
      <c r="H8947" s="1" t="str">
        <f>"신사간 15L22"</f>
        <v>신사간 15L22</v>
      </c>
      <c r="I8947" s="1" t="s">
        <v>8</v>
      </c>
      <c r="J8947" s="1" t="str">
        <f>"36/36"</f>
        <v>36/36</v>
      </c>
      <c r="K8947" s="1" t="str">
        <f>"2026-07-29 13:18:11"</f>
        <v>2026-07-29 13:18:11</v>
      </c>
      <c r="L8947" s="1" t="str">
        <f>"2019-12-24 16:55:50"</f>
        <v>2019-12-24 16:55:50</v>
      </c>
      <c r="M8947" s="1" t="s">
        <v>1</v>
      </c>
      <c r="N8947" s="1" t="s">
        <v>38</v>
      </c>
      <c r="O8947" s="1" t="s">
        <v>46</v>
      </c>
    </row>
    <row r="8948" spans="2:15" x14ac:dyDescent="0.3">
      <c r="B8948" s="1" t="s">
        <v>21</v>
      </c>
      <c r="C8948" s="1" t="str">
        <f>"5-2차"</f>
        <v>5-2차</v>
      </c>
      <c r="D8948" s="1" t="str">
        <f>"9628Z8215M"</f>
        <v>9628Z8215M</v>
      </c>
      <c r="E8948" s="1" t="s">
        <v>10</v>
      </c>
      <c r="F8948" s="1" t="str">
        <f>"fde1:103:4:55f7:0:0:0:2"</f>
        <v>fde1:103:4:55f7:0:0:0:2</v>
      </c>
      <c r="G8948" s="1" t="str">
        <f>"9628Z821"</f>
        <v>9628Z821</v>
      </c>
      <c r="H8948" s="1" t="str">
        <f>"서경간 1L8"</f>
        <v>서경간 1L8</v>
      </c>
      <c r="I8948" s="1" t="s">
        <v>15</v>
      </c>
      <c r="J8948" s="1" t="str">
        <f>"75/75"</f>
        <v>75/75</v>
      </c>
      <c r="K8948" s="1" t="str">
        <f>"2026-07-29 14:21:25"</f>
        <v>2026-07-29 14:21:25</v>
      </c>
      <c r="L8948" s="1" t="str">
        <f>"2023-10-20 11:15:09"</f>
        <v>2023-10-20 11:15:09</v>
      </c>
      <c r="M8948" s="1" t="s">
        <v>4</v>
      </c>
      <c r="N8948" s="1" t="s">
        <v>38</v>
      </c>
      <c r="O8948" s="1" t="s">
        <v>46</v>
      </c>
    </row>
    <row r="8949" spans="2:15" x14ac:dyDescent="0.3">
      <c r="B8949" s="1" t="s">
        <v>21</v>
      </c>
      <c r="C8949" s="1" t="str">
        <f>"4차"</f>
        <v>4차</v>
      </c>
      <c r="D8949" s="1" t="str">
        <f>"9628Z83144"</f>
        <v>9628Z83144</v>
      </c>
      <c r="E8949" s="1" t="s">
        <v>10</v>
      </c>
      <c r="F8949" s="1" t="str">
        <f>"10.10.92.186"</f>
        <v>10.10.92.186</v>
      </c>
      <c r="G8949" s="1" t="str">
        <f>"9628Z831"</f>
        <v>9628Z831</v>
      </c>
      <c r="H8949" s="1" t="str">
        <f>"서경간 1L6"</f>
        <v>서경간 1L6</v>
      </c>
      <c r="I8949" s="1" t="s">
        <v>8</v>
      </c>
      <c r="J8949" s="1" t="str">
        <f>"33/33"</f>
        <v>33/33</v>
      </c>
      <c r="K8949" s="1" t="str">
        <f>"2026-07-29 13:18:11"</f>
        <v>2026-07-29 13:18:11</v>
      </c>
      <c r="L8949" s="1" t="str">
        <f>"2019-10-21 13:08:19"</f>
        <v>2019-10-21 13:08:19</v>
      </c>
      <c r="M8949" s="1" t="s">
        <v>1</v>
      </c>
      <c r="N8949" s="1" t="s">
        <v>38</v>
      </c>
      <c r="O8949" s="1" t="s">
        <v>46</v>
      </c>
    </row>
    <row r="8950" spans="2:15" x14ac:dyDescent="0.3">
      <c r="B8950" s="1" t="s">
        <v>21</v>
      </c>
      <c r="C8950" s="1" t="str">
        <f>"4차"</f>
        <v>4차</v>
      </c>
      <c r="D8950" s="1" t="str">
        <f>"9628Z85144"</f>
        <v>9628Z85144</v>
      </c>
      <c r="E8950" s="1" t="s">
        <v>10</v>
      </c>
      <c r="F8950" s="1" t="str">
        <f>"10.10.83.82"</f>
        <v>10.10.83.82</v>
      </c>
      <c r="G8950" s="1" t="str">
        <f>"9628Z851"</f>
        <v>9628Z851</v>
      </c>
      <c r="H8950" s="1" t="str">
        <f>"신사간 15L20"</f>
        <v>신사간 15L20</v>
      </c>
      <c r="I8950" s="1" t="s">
        <v>8</v>
      </c>
      <c r="J8950" s="1" t="str">
        <f>"51/51"</f>
        <v>51/51</v>
      </c>
      <c r="K8950" s="1" t="str">
        <f>"2026-07-29 13:18:11"</f>
        <v>2026-07-29 13:18:11</v>
      </c>
      <c r="L8950" s="1" t="str">
        <f>"2019-12-11 18:21:51"</f>
        <v>2019-12-11 18:21:51</v>
      </c>
      <c r="M8950" s="1" t="s">
        <v>1</v>
      </c>
      <c r="N8950" s="1" t="s">
        <v>38</v>
      </c>
      <c r="O8950" s="1" t="s">
        <v>46</v>
      </c>
    </row>
    <row r="8951" spans="2:15" x14ac:dyDescent="0.3">
      <c r="B8951" s="1" t="s">
        <v>21</v>
      </c>
      <c r="C8951" s="1" t="str">
        <f>"4차"</f>
        <v>4차</v>
      </c>
      <c r="D8951" s="1" t="str">
        <f>"9628Z88244"</f>
        <v>9628Z88244</v>
      </c>
      <c r="E8951" s="1" t="s">
        <v>10</v>
      </c>
      <c r="F8951" s="1" t="str">
        <f>"10.12.138.107"</f>
        <v>10.12.138.107</v>
      </c>
      <c r="G8951" s="1" t="str">
        <f>"9628Z882"</f>
        <v>9628Z882</v>
      </c>
      <c r="H8951" s="1" t="str">
        <f>"서경간 16L2"</f>
        <v>서경간 16L2</v>
      </c>
      <c r="I8951" s="1" t="s">
        <v>8</v>
      </c>
      <c r="J8951" s="1" t="str">
        <f>"27/27"</f>
        <v>27/27</v>
      </c>
      <c r="K8951" s="1" t="str">
        <f>"2026-07-29 13:18:12"</f>
        <v>2026-07-29 13:18:12</v>
      </c>
      <c r="L8951" s="1" t="str">
        <f>"2020-02-10 18:41:27"</f>
        <v>2020-02-10 18:41:27</v>
      </c>
      <c r="M8951" s="1" t="s">
        <v>0</v>
      </c>
      <c r="N8951" s="1" t="s">
        <v>38</v>
      </c>
      <c r="O8951" s="1" t="s">
        <v>46</v>
      </c>
    </row>
    <row r="8952" spans="2:15" x14ac:dyDescent="0.3">
      <c r="B8952" s="1" t="s">
        <v>21</v>
      </c>
      <c r="C8952" s="1" t="str">
        <f>"4차"</f>
        <v>4차</v>
      </c>
      <c r="D8952" s="1" t="str">
        <f>"9628Z89344"</f>
        <v>9628Z89344</v>
      </c>
      <c r="E8952" s="1" t="s">
        <v>10</v>
      </c>
      <c r="F8952" s="1" t="str">
        <f>"10.10.92.154"</f>
        <v>10.10.92.154</v>
      </c>
      <c r="G8952" s="1" t="str">
        <f>"9628Z893"</f>
        <v>9628Z893</v>
      </c>
      <c r="H8952" s="1" t="str">
        <f>"서경간 16L1"</f>
        <v>서경간 16L1</v>
      </c>
      <c r="I8952" s="1" t="s">
        <v>8</v>
      </c>
      <c r="J8952" s="1" t="str">
        <f>"22/22"</f>
        <v>22/22</v>
      </c>
      <c r="K8952" s="1" t="str">
        <f>"2026-07-29 13:18:11"</f>
        <v>2026-07-29 13:18:11</v>
      </c>
      <c r="L8952" s="1" t="str">
        <f>"2019-10-21 13:03:20"</f>
        <v>2019-10-21 13:03:20</v>
      </c>
      <c r="M8952" s="1" t="s">
        <v>1</v>
      </c>
      <c r="N8952" s="1" t="s">
        <v>38</v>
      </c>
      <c r="O8952" s="1" t="s">
        <v>46</v>
      </c>
    </row>
    <row r="8953" spans="2:15" x14ac:dyDescent="0.3">
      <c r="B8953" s="1" t="s">
        <v>21</v>
      </c>
      <c r="C8953" s="1" t="str">
        <f>"1차"</f>
        <v>1차</v>
      </c>
      <c r="D8953" s="1" t="str">
        <f>"9628Z90100"</f>
        <v>9628Z90100</v>
      </c>
      <c r="E8953" s="1" t="s">
        <v>10</v>
      </c>
      <c r="F8953" s="1" t="str">
        <f>"10.128.0.130"</f>
        <v>10.128.0.130</v>
      </c>
      <c r="G8953" s="1" t="str">
        <f>"9628Z901"</f>
        <v>9628Z901</v>
      </c>
      <c r="H8953" s="1" t="str">
        <f>"광천간 44R2L1"</f>
        <v>광천간 44R2L1</v>
      </c>
      <c r="I8953" s="1" t="s">
        <v>8</v>
      </c>
      <c r="J8953" s="1" t="str">
        <f>"38/42"</f>
        <v>38/42</v>
      </c>
      <c r="K8953" s="1" t="str">
        <f>"2026-07-29 13:18:11"</f>
        <v>2026-07-29 13:18:11</v>
      </c>
      <c r="L8953" s="1" t="str">
        <f>"2015-07-17 15:35:11"</f>
        <v>2015-07-17 15:35:11</v>
      </c>
      <c r="M8953" s="1" t="s">
        <v>45</v>
      </c>
      <c r="N8953" s="1" t="s">
        <v>38</v>
      </c>
      <c r="O8953" s="1" t="s">
        <v>46</v>
      </c>
    </row>
    <row r="8954" spans="2:15" x14ac:dyDescent="0.3">
      <c r="B8954" s="1" t="s">
        <v>21</v>
      </c>
      <c r="C8954" s="1" t="str">
        <f>"1차"</f>
        <v>1차</v>
      </c>
      <c r="D8954" s="1" t="str">
        <f>"9628Z90201"</f>
        <v>9628Z90201</v>
      </c>
      <c r="E8954" s="1" t="s">
        <v>10</v>
      </c>
      <c r="F8954" s="1" t="str">
        <f>"10.128.0.97"</f>
        <v>10.128.0.97</v>
      </c>
      <c r="G8954" s="1" t="str">
        <f>"9628Z902"</f>
        <v>9628Z902</v>
      </c>
      <c r="H8954" s="1" t="str">
        <f>"광천간 44R2L2"</f>
        <v>광천간 44R2L2</v>
      </c>
      <c r="I8954" s="1" t="s">
        <v>8</v>
      </c>
      <c r="J8954" s="1" t="str">
        <f>"55/55"</f>
        <v>55/55</v>
      </c>
      <c r="K8954" s="1" t="str">
        <f>"2026-07-29 13:18:11"</f>
        <v>2026-07-29 13:18:11</v>
      </c>
      <c r="L8954" s="1" t="str">
        <f>"2015-07-17 14:33:45"</f>
        <v>2015-07-17 14:33:45</v>
      </c>
      <c r="M8954" s="1" t="s">
        <v>45</v>
      </c>
      <c r="N8954" s="1" t="s">
        <v>38</v>
      </c>
      <c r="O8954" s="1" t="s">
        <v>46</v>
      </c>
    </row>
    <row r="8955" spans="2:15" x14ac:dyDescent="0.3">
      <c r="B8955" s="1" t="s">
        <v>21</v>
      </c>
      <c r="C8955" s="1" t="str">
        <f>"1차"</f>
        <v>1차</v>
      </c>
      <c r="D8955" s="1" t="str">
        <f>"9628Z92200"</f>
        <v>9628Z92200</v>
      </c>
      <c r="E8955" s="1" t="s">
        <v>10</v>
      </c>
      <c r="F8955" s="1" t="str">
        <f>"10.128.0.232"</f>
        <v>10.128.0.232</v>
      </c>
      <c r="G8955" s="1" t="str">
        <f>"9628Z922"</f>
        <v>9628Z922</v>
      </c>
      <c r="H8955" s="1" t="str">
        <f>"서부간 17R9"</f>
        <v>서부간 17R9</v>
      </c>
      <c r="I8955" s="1" t="s">
        <v>8</v>
      </c>
      <c r="J8955" s="1" t="str">
        <f>"53/56"</f>
        <v>53/56</v>
      </c>
      <c r="K8955" s="1" t="str">
        <f>"2026-07-29 13:18:11"</f>
        <v>2026-07-29 13:18:11</v>
      </c>
      <c r="L8955" s="1" t="str">
        <f>"2015-07-20 10:00:57"</f>
        <v>2015-07-20 10:00:57</v>
      </c>
      <c r="M8955" s="1" t="s">
        <v>45</v>
      </c>
      <c r="N8955" s="1" t="s">
        <v>38</v>
      </c>
      <c r="O8955" s="1" t="s">
        <v>46</v>
      </c>
    </row>
    <row r="8956" spans="2:15" x14ac:dyDescent="0.3">
      <c r="B8956" s="1" t="s">
        <v>21</v>
      </c>
      <c r="C8956" s="1" t="str">
        <f>"4차"</f>
        <v>4차</v>
      </c>
      <c r="D8956" s="1" t="str">
        <f>"9628Z97141"</f>
        <v>9628Z97141</v>
      </c>
      <c r="E8956" s="1" t="s">
        <v>10</v>
      </c>
      <c r="F8956" s="1" t="str">
        <f>"10.14.6.109"</f>
        <v>10.14.6.109</v>
      </c>
      <c r="G8956" s="1" t="str">
        <f>"9628Z971"</f>
        <v>9628Z971</v>
      </c>
      <c r="H8956" s="1" t="str">
        <f>"서경간 13L4"</f>
        <v>서경간 13L4</v>
      </c>
      <c r="I8956" s="1" t="s">
        <v>17</v>
      </c>
      <c r="J8956" s="1" t="str">
        <f>"27/31"</f>
        <v>27/31</v>
      </c>
      <c r="K8956" s="1" t="str">
        <f>"2026-07-29 13:18:13"</f>
        <v>2026-07-29 13:18:13</v>
      </c>
      <c r="L8956" s="1" t="str">
        <f>"2021-08-10 11:07:10"</f>
        <v>2021-08-10 11:07:10</v>
      </c>
      <c r="M8956" s="1" t="s">
        <v>3</v>
      </c>
      <c r="N8956" s="1" t="s">
        <v>38</v>
      </c>
      <c r="O8956" s="1" t="s">
        <v>46</v>
      </c>
    </row>
    <row r="8957" spans="2:15" x14ac:dyDescent="0.3">
      <c r="B8957" s="1" t="s">
        <v>21</v>
      </c>
      <c r="C8957" s="1" t="str">
        <f>"4차"</f>
        <v>4차</v>
      </c>
      <c r="D8957" s="1" t="str">
        <f>"9628Z98141"</f>
        <v>9628Z98141</v>
      </c>
      <c r="E8957" s="1" t="s">
        <v>10</v>
      </c>
      <c r="F8957" s="1" t="str">
        <f>"10.14.1.181"</f>
        <v>10.14.1.181</v>
      </c>
      <c r="G8957" s="1" t="str">
        <f>"9628Z981"</f>
        <v>9628Z981</v>
      </c>
      <c r="H8957" s="1" t="str">
        <f>"서경간 13L3"</f>
        <v>서경간 13L3</v>
      </c>
      <c r="I8957" s="1" t="s">
        <v>17</v>
      </c>
      <c r="J8957" s="1" t="str">
        <f>"42/58"</f>
        <v>42/58</v>
      </c>
      <c r="K8957" s="1" t="str">
        <f>"2026-07-29 13:18:11"</f>
        <v>2026-07-29 13:18:11</v>
      </c>
      <c r="L8957" s="1" t="str">
        <f>"2021-08-10 12:03:04"</f>
        <v>2021-08-10 12:03:04</v>
      </c>
      <c r="M8957" s="1" t="s">
        <v>3</v>
      </c>
      <c r="N8957" s="1" t="s">
        <v>38</v>
      </c>
      <c r="O8957" s="1" t="s">
        <v>46</v>
      </c>
    </row>
    <row r="8958" spans="2:15" x14ac:dyDescent="0.3">
      <c r="B8958" s="1" t="s">
        <v>21</v>
      </c>
      <c r="C8958" s="1" t="str">
        <f>"5-2차"</f>
        <v>5-2차</v>
      </c>
      <c r="D8958" s="1" t="str">
        <f>"9629E7025S"</f>
        <v>9629E7025S</v>
      </c>
      <c r="E8958" s="1" t="s">
        <v>10</v>
      </c>
      <c r="F8958" s="1" t="str">
        <f>"fde1:103:4:6ed3:0:0:0:2"</f>
        <v>fde1:103:4:6ed3:0:0:0:2</v>
      </c>
      <c r="G8958" s="1" t="str">
        <f>"9629E702"</f>
        <v>9629E702</v>
      </c>
      <c r="H8958" s="1" t="str">
        <f>"갈현간 6R14"</f>
        <v>갈현간 6R14</v>
      </c>
      <c r="I8958" s="1" t="s">
        <v>15</v>
      </c>
      <c r="J8958" s="1" t="str">
        <f>"24/24"</f>
        <v>24/24</v>
      </c>
      <c r="K8958" s="1" t="str">
        <f>"2026-07-29 14:21:19"</f>
        <v>2026-07-29 14:21:19</v>
      </c>
      <c r="L8958" s="1" t="str">
        <f>"2023-11-14 17:14:48"</f>
        <v>2023-11-14 17:14:48</v>
      </c>
      <c r="M8958" s="1" t="s">
        <v>4</v>
      </c>
      <c r="N8958" s="1" t="s">
        <v>38</v>
      </c>
      <c r="O8958" s="1" t="s">
        <v>46</v>
      </c>
    </row>
    <row r="8959" spans="2:15" x14ac:dyDescent="0.3">
      <c r="B8959" s="1" t="s">
        <v>21</v>
      </c>
      <c r="C8959" s="1" t="str">
        <f>"5-2차"</f>
        <v>5-2차</v>
      </c>
      <c r="D8959" s="1" t="str">
        <f>"9629E7115S"</f>
        <v>9629E7115S</v>
      </c>
      <c r="E8959" s="1" t="s">
        <v>10</v>
      </c>
      <c r="F8959" s="1" t="str">
        <f>"fde3:102:1303:1804:0:0:0:4"</f>
        <v>fde3:102:1303:1804:0:0:0:4</v>
      </c>
      <c r="G8959" s="1" t="str">
        <f>"9629E711"</f>
        <v>9629E711</v>
      </c>
      <c r="H8959" s="1" t="str">
        <f>"갈현간 6R15R1"</f>
        <v>갈현간 6R15R1</v>
      </c>
      <c r="I8959" s="1" t="s">
        <v>15</v>
      </c>
      <c r="J8959" s="1" t="str">
        <f>"73/78"</f>
        <v>73/78</v>
      </c>
      <c r="K8959" s="1" t="str">
        <f>"2026-07-29 14:21:25"</f>
        <v>2026-07-29 14:21:25</v>
      </c>
      <c r="L8959" s="1" t="str">
        <f>"2023-06-27 14:26:27"</f>
        <v>2023-06-27 14:26:27</v>
      </c>
      <c r="M8959" s="1" t="s">
        <v>45</v>
      </c>
      <c r="N8959" s="1" t="s">
        <v>38</v>
      </c>
      <c r="O8959" s="1" t="s">
        <v>46</v>
      </c>
    </row>
    <row r="8960" spans="2:15" x14ac:dyDescent="0.3">
      <c r="B8960" s="1" t="s">
        <v>21</v>
      </c>
      <c r="C8960" s="1" t="str">
        <f>"5-1차"</f>
        <v>5-1차</v>
      </c>
      <c r="D8960" s="1" t="str">
        <f>"9629E8015S"</f>
        <v>9629E8015S</v>
      </c>
      <c r="E8960" s="1" t="s">
        <v>10</v>
      </c>
      <c r="F8960" s="1" t="str">
        <f>"fde2:104:0:8a:0:0:0:2"</f>
        <v>fde2:104:0:8a:0:0:0:2</v>
      </c>
      <c r="G8960" s="1" t="str">
        <f>"9629E801"</f>
        <v>9629E801</v>
      </c>
      <c r="H8960" s="1" t="str">
        <f>"갈현간 6R15R3"</f>
        <v>갈현간 6R15R3</v>
      </c>
      <c r="I8960" s="1" t="s">
        <v>15</v>
      </c>
      <c r="J8960" s="1" t="str">
        <f>"26/26"</f>
        <v>26/26</v>
      </c>
      <c r="K8960" s="1" t="str">
        <f>"2026-07-29 14:21:27"</f>
        <v>2026-07-29 14:21:27</v>
      </c>
      <c r="L8960" s="1" t="str">
        <f>"2022-09-19 15:50:54"</f>
        <v>2022-09-19 15:50:54</v>
      </c>
      <c r="M8960" s="1" t="s">
        <v>42</v>
      </c>
      <c r="N8960" s="1" t="s">
        <v>38</v>
      </c>
      <c r="O8960" s="1" t="s">
        <v>46</v>
      </c>
    </row>
    <row r="8961" spans="2:15" x14ac:dyDescent="0.3">
      <c r="B8961" s="1" t="s">
        <v>21</v>
      </c>
      <c r="C8961" s="1" t="str">
        <f>"5-2차"</f>
        <v>5-2차</v>
      </c>
      <c r="D8961" s="1" t="str">
        <f>"9629E9015S"</f>
        <v>9629E9015S</v>
      </c>
      <c r="E8961" s="1" t="s">
        <v>10</v>
      </c>
      <c r="F8961" s="1" t="str">
        <f>"fde3:102:1303:1804:0:0:0:3"</f>
        <v>fde3:102:1303:1804:0:0:0:3</v>
      </c>
      <c r="G8961" s="1" t="str">
        <f>"9629E901"</f>
        <v>9629E901</v>
      </c>
      <c r="H8961" s="1" t="str">
        <f>"갈현간 6R12R2"</f>
        <v>갈현간 6R12R2</v>
      </c>
      <c r="I8961" s="1" t="s">
        <v>15</v>
      </c>
      <c r="J8961" s="1" t="str">
        <f>"60/60"</f>
        <v>60/60</v>
      </c>
      <c r="K8961" s="1" t="str">
        <f>"2026-07-29 14:21:25"</f>
        <v>2026-07-29 14:21:25</v>
      </c>
      <c r="L8961" s="1" t="str">
        <f>"2023-06-27 11:45:13"</f>
        <v>2023-06-27 11:45:13</v>
      </c>
      <c r="M8961" s="1" t="s">
        <v>45</v>
      </c>
      <c r="N8961" s="1" t="s">
        <v>38</v>
      </c>
      <c r="O8961" s="1" t="s">
        <v>46</v>
      </c>
    </row>
    <row r="8962" spans="2:15" x14ac:dyDescent="0.3">
      <c r="B8962" s="1" t="s">
        <v>21</v>
      </c>
      <c r="C8962" s="1" t="str">
        <f>"5-1차"</f>
        <v>5-1차</v>
      </c>
      <c r="D8962" s="1" t="str">
        <f>"9629E9115M"</f>
        <v>9629E9115M</v>
      </c>
      <c r="E8962" s="1" t="s">
        <v>10</v>
      </c>
      <c r="F8962" s="1" t="str">
        <f>"fde3:102:1303:1201:0:0:0:2"</f>
        <v>fde3:102:1303:1201:0:0:0:2</v>
      </c>
      <c r="G8962" s="1" t="str">
        <f>"9629E911"</f>
        <v>9629E911</v>
      </c>
      <c r="H8962" s="1" t="str">
        <f>"갈현간 6R12R4"</f>
        <v>갈현간 6R12R4</v>
      </c>
      <c r="I8962" s="1" t="s">
        <v>15</v>
      </c>
      <c r="J8962" s="1" t="str">
        <f>"55/55"</f>
        <v>55/55</v>
      </c>
      <c r="K8962" s="1" t="str">
        <f>"2026-07-29 14:21:20"</f>
        <v>2026-07-29 14:21:20</v>
      </c>
      <c r="L8962" s="1" t="str">
        <f>"2022-12-01 16:49:43"</f>
        <v>2022-12-01 16:49:43</v>
      </c>
      <c r="M8962" s="1" t="s">
        <v>45</v>
      </c>
      <c r="N8962" s="1" t="s">
        <v>38</v>
      </c>
      <c r="O8962" s="1" t="s">
        <v>46</v>
      </c>
    </row>
    <row r="8963" spans="2:15" x14ac:dyDescent="0.3">
      <c r="B8963" s="1" t="s">
        <v>21</v>
      </c>
      <c r="C8963" s="1" t="str">
        <f>"5-2차"</f>
        <v>5-2차</v>
      </c>
      <c r="D8963" s="1" t="str">
        <f>"9629F0035S"</f>
        <v>9629F0035S</v>
      </c>
      <c r="E8963" s="1" t="s">
        <v>10</v>
      </c>
      <c r="F8963" s="1" t="str">
        <f>"fde1:103:4:6ecf:0:0:0:2"</f>
        <v>fde1:103:4:6ecf:0:0:0:2</v>
      </c>
      <c r="G8963" s="1" t="str">
        <f>"9629F003"</f>
        <v>9629F003</v>
      </c>
      <c r="H8963" s="1" t="str">
        <f>"갈현간 6R12R4R2"</f>
        <v>갈현간 6R12R4R2</v>
      </c>
      <c r="I8963" s="1" t="s">
        <v>15</v>
      </c>
      <c r="J8963" s="1" t="str">
        <f>"72/73"</f>
        <v>72/73</v>
      </c>
      <c r="K8963" s="1" t="str">
        <f>"2026-07-29 14:21:26"</f>
        <v>2026-07-29 14:21:26</v>
      </c>
      <c r="L8963" s="1" t="str">
        <f>"2023-11-14 17:14:48"</f>
        <v>2023-11-14 17:14:48</v>
      </c>
      <c r="M8963" s="1" t="s">
        <v>4</v>
      </c>
      <c r="N8963" s="1" t="s">
        <v>38</v>
      </c>
      <c r="O8963" s="1" t="s">
        <v>46</v>
      </c>
    </row>
    <row r="8964" spans="2:15" x14ac:dyDescent="0.3">
      <c r="B8964" s="1" t="s">
        <v>21</v>
      </c>
      <c r="C8964" s="1" t="str">
        <f>"5-2차"</f>
        <v>5-2차</v>
      </c>
      <c r="D8964" s="1" t="str">
        <f>"9629F0045S"</f>
        <v>9629F0045S</v>
      </c>
      <c r="E8964" s="1" t="s">
        <v>10</v>
      </c>
      <c r="F8964" s="1" t="str">
        <f>"fde1:103:4:6ecb:0:0:0:2"</f>
        <v>fde1:103:4:6ecb:0:0:0:2</v>
      </c>
      <c r="G8964" s="1" t="str">
        <f>"9629F004"</f>
        <v>9629F004</v>
      </c>
      <c r="H8964" s="1" t="str">
        <f>"갈현간 6R12R3R1"</f>
        <v>갈현간 6R12R3R1</v>
      </c>
      <c r="I8964" s="1" t="s">
        <v>15</v>
      </c>
      <c r="J8964" s="1" t="str">
        <f>"44/44"</f>
        <v>44/44</v>
      </c>
      <c r="K8964" s="1" t="str">
        <f>"2026-07-29 14:20:58"</f>
        <v>2026-07-29 14:20:58</v>
      </c>
      <c r="L8964" s="1" t="str">
        <f>"2023-11-15 08:33:24"</f>
        <v>2023-11-15 08:33:24</v>
      </c>
      <c r="M8964" s="1" t="s">
        <v>4</v>
      </c>
      <c r="N8964" s="1" t="s">
        <v>38</v>
      </c>
      <c r="O8964" s="1" t="s">
        <v>46</v>
      </c>
    </row>
    <row r="8965" spans="2:15" x14ac:dyDescent="0.3">
      <c r="B8965" s="1" t="s">
        <v>21</v>
      </c>
      <c r="C8965" s="1" t="str">
        <f>"5-1차"</f>
        <v>5-1차</v>
      </c>
      <c r="D8965" s="1" t="str">
        <f>"9629G8915M"</f>
        <v>9629G8915M</v>
      </c>
      <c r="E8965" s="1" t="s">
        <v>10</v>
      </c>
      <c r="F8965" s="1" t="str">
        <f>"fde2:104:0:87:0:0:0:2"</f>
        <v>fde2:104:0:87:0:0:0:2</v>
      </c>
      <c r="G8965" s="1" t="str">
        <f>"9629G891"</f>
        <v>9629G891</v>
      </c>
      <c r="H8965" s="1" t="str">
        <f>"갈현간 6R12R1"</f>
        <v>갈현간 6R12R1</v>
      </c>
      <c r="I8965" s="1" t="s">
        <v>15</v>
      </c>
      <c r="J8965" s="1" t="str">
        <f>"42/42"</f>
        <v>42/42</v>
      </c>
      <c r="K8965" s="1" t="str">
        <f>"2026-07-29 14:21:27"</f>
        <v>2026-07-29 14:21:27</v>
      </c>
      <c r="L8965" s="1" t="str">
        <f>"2022-09-27 18:52:52"</f>
        <v>2022-09-27 18:52:52</v>
      </c>
      <c r="M8965" s="1" t="s">
        <v>42</v>
      </c>
      <c r="N8965" s="1" t="s">
        <v>38</v>
      </c>
      <c r="O8965" s="1" t="s">
        <v>46</v>
      </c>
    </row>
    <row r="8966" spans="2:15" x14ac:dyDescent="0.3">
      <c r="B8966" s="1" t="s">
        <v>21</v>
      </c>
      <c r="C8966" s="1" t="str">
        <f>"5-1차"</f>
        <v>5-1차</v>
      </c>
      <c r="D8966" s="1" t="str">
        <f>"9629G9915S"</f>
        <v>9629G9915S</v>
      </c>
      <c r="E8966" s="1" t="s">
        <v>10</v>
      </c>
      <c r="F8966" s="1" t="str">
        <f>"fde3:102:1303:1801:0:0:0:2"</f>
        <v>fde3:102:1303:1801:0:0:0:2</v>
      </c>
      <c r="G8966" s="1" t="str">
        <f>"9629G991"</f>
        <v>9629G991</v>
      </c>
      <c r="H8966" s="1" t="str">
        <f>"갈현간 6R11R2"</f>
        <v>갈현간 6R11R2</v>
      </c>
      <c r="I8966" s="1" t="s">
        <v>15</v>
      </c>
      <c r="J8966" s="1" t="str">
        <f>"48/48"</f>
        <v>48/48</v>
      </c>
      <c r="K8966" s="1" t="str">
        <f>"2026-07-29 14:21:26"</f>
        <v>2026-07-29 14:21:26</v>
      </c>
      <c r="L8966" s="1" t="str">
        <f>"2022-11-23 15:19:37"</f>
        <v>2022-11-23 15:19:37</v>
      </c>
      <c r="M8966" s="1" t="s">
        <v>45</v>
      </c>
      <c r="N8966" s="1" t="s">
        <v>38</v>
      </c>
      <c r="O8966" s="1" t="s">
        <v>46</v>
      </c>
    </row>
    <row r="8967" spans="2:15" x14ac:dyDescent="0.3">
      <c r="B8967" s="1" t="s">
        <v>21</v>
      </c>
      <c r="C8967" s="1" t="str">
        <f>"1차"</f>
        <v>1차</v>
      </c>
      <c r="D8967" s="1" t="str">
        <f>"9629H00100"</f>
        <v>9629H00100</v>
      </c>
      <c r="E8967" s="1" t="s">
        <v>10</v>
      </c>
      <c r="F8967" s="1" t="str">
        <f>"10.128.1.123"</f>
        <v>10.128.1.123</v>
      </c>
      <c r="G8967" s="1" t="str">
        <f>"9629H001"</f>
        <v>9629H001</v>
      </c>
      <c r="H8967" s="1" t="str">
        <f>"갈현간 11R5"</f>
        <v>갈현간 11R5</v>
      </c>
      <c r="I8967" s="1" t="s">
        <v>8</v>
      </c>
      <c r="J8967" s="1" t="str">
        <f>"24/24"</f>
        <v>24/24</v>
      </c>
      <c r="K8967" s="1" t="str">
        <f>"2026-07-29 13:18:11"</f>
        <v>2026-07-29 13:18:11</v>
      </c>
      <c r="L8967" s="1" t="str">
        <f>"2014-10-25 00:14:10"</f>
        <v>2014-10-25 00:14:10</v>
      </c>
      <c r="M8967" s="1" t="s">
        <v>45</v>
      </c>
      <c r="N8967" s="1" t="s">
        <v>38</v>
      </c>
      <c r="O8967" s="1" t="s">
        <v>46</v>
      </c>
    </row>
    <row r="8968" spans="2:15" x14ac:dyDescent="0.3">
      <c r="B8968" s="1" t="s">
        <v>21</v>
      </c>
      <c r="C8968" s="1" t="str">
        <f>"5-2차"</f>
        <v>5-2차</v>
      </c>
      <c r="D8968" s="1" t="str">
        <f>"9629H0715M"</f>
        <v>9629H0715M</v>
      </c>
      <c r="E8968" s="1" t="s">
        <v>10</v>
      </c>
      <c r="F8968" s="1" t="str">
        <f>"fde1:103:4:6ece:0:0:0:2"</f>
        <v>fde1:103:4:6ece:0:0:0:2</v>
      </c>
      <c r="G8968" s="1" t="str">
        <f>"9629H071"</f>
        <v>9629H071</v>
      </c>
      <c r="H8968" s="1" t="str">
        <f>"갈현간 6R8"</f>
        <v>갈현간 6R8</v>
      </c>
      <c r="I8968" s="1" t="s">
        <v>15</v>
      </c>
      <c r="J8968" s="1" t="str">
        <f>"26/27"</f>
        <v>26/27</v>
      </c>
      <c r="K8968" s="1" t="str">
        <f>"2026-07-29 14:21:26"</f>
        <v>2026-07-29 14:21:26</v>
      </c>
      <c r="L8968" s="1" t="str">
        <f>"2023-11-15 08:34:56"</f>
        <v>2023-11-15 08:34:56</v>
      </c>
      <c r="M8968" s="1" t="s">
        <v>4</v>
      </c>
      <c r="N8968" s="1" t="s">
        <v>38</v>
      </c>
      <c r="O8968" s="1" t="s">
        <v>46</v>
      </c>
    </row>
    <row r="8969" spans="2:15" x14ac:dyDescent="0.3">
      <c r="B8969" s="1" t="s">
        <v>21</v>
      </c>
      <c r="C8969" s="1" t="str">
        <f>"5-2차"</f>
        <v>5-2차</v>
      </c>
      <c r="D8969" s="1" t="str">
        <f>"9629H0935M"</f>
        <v>9629H0935M</v>
      </c>
      <c r="E8969" s="1" t="s">
        <v>10</v>
      </c>
      <c r="F8969" s="1" t="str">
        <f>"fde1:103:4:6ec8:0:0:0:2"</f>
        <v>fde1:103:4:6ec8:0:0:0:2</v>
      </c>
      <c r="G8969" s="1" t="str">
        <f>"9629H093"</f>
        <v>9629H093</v>
      </c>
      <c r="H8969" s="1" t="str">
        <f>"갈현간 6R12R3R2"</f>
        <v>갈현간 6R12R3R2</v>
      </c>
      <c r="I8969" s="1" t="s">
        <v>15</v>
      </c>
      <c r="J8969" s="1" t="str">
        <f>"72/73"</f>
        <v>72/73</v>
      </c>
      <c r="K8969" s="1" t="str">
        <f>"2026-07-29 14:20:58"</f>
        <v>2026-07-29 14:20:58</v>
      </c>
      <c r="L8969" s="1" t="str">
        <f>"2023-11-15 08:35:12"</f>
        <v>2023-11-15 08:35:12</v>
      </c>
      <c r="M8969" s="1" t="s">
        <v>4</v>
      </c>
      <c r="N8969" s="1" t="s">
        <v>38</v>
      </c>
      <c r="O8969" s="1" t="s">
        <v>46</v>
      </c>
    </row>
    <row r="8970" spans="2:15" x14ac:dyDescent="0.3">
      <c r="B8970" s="1" t="s">
        <v>21</v>
      </c>
      <c r="C8970" s="1" t="str">
        <f>"1차"</f>
        <v>1차</v>
      </c>
      <c r="D8970" s="1" t="str">
        <f>"9629H11100"</f>
        <v>9629H11100</v>
      </c>
      <c r="E8970" s="1" t="s">
        <v>10</v>
      </c>
      <c r="F8970" s="1" t="str">
        <f>"10.128.1.127"</f>
        <v>10.128.1.127</v>
      </c>
      <c r="G8970" s="1" t="str">
        <f>"9629H111"</f>
        <v>9629H111</v>
      </c>
      <c r="H8970" s="1" t="str">
        <f>"갈현간 11R2"</f>
        <v>갈현간 11R2</v>
      </c>
      <c r="I8970" s="1" t="s">
        <v>8</v>
      </c>
      <c r="J8970" s="1" t="str">
        <f>"53/54"</f>
        <v>53/54</v>
      </c>
      <c r="K8970" s="1" t="str">
        <f>"2026-07-29 13:18:11"</f>
        <v>2026-07-29 13:18:11</v>
      </c>
      <c r="L8970" s="1" t="str">
        <f>"2014-11-12 00:14:10"</f>
        <v>2014-11-12 00:14:10</v>
      </c>
      <c r="M8970" s="1" t="s">
        <v>45</v>
      </c>
      <c r="N8970" s="1" t="s">
        <v>38</v>
      </c>
      <c r="O8970" s="1" t="s">
        <v>46</v>
      </c>
    </row>
    <row r="8971" spans="2:15" x14ac:dyDescent="0.3">
      <c r="B8971" s="1" t="s">
        <v>21</v>
      </c>
      <c r="C8971" s="1" t="str">
        <f>"5-2차"</f>
        <v>5-2차</v>
      </c>
      <c r="D8971" s="1" t="str">
        <f>"9629H1615M"</f>
        <v>9629H1615M</v>
      </c>
      <c r="E8971" s="1" t="s">
        <v>10</v>
      </c>
      <c r="F8971" s="1" t="str">
        <f>"fde3:102:1303:1708:0:0:0:5"</f>
        <v>fde3:102:1303:1708:0:0:0:5</v>
      </c>
      <c r="G8971" s="1" t="str">
        <f>"9629H161"</f>
        <v>9629H161</v>
      </c>
      <c r="H8971" s="1" t="str">
        <f>"갈현간 6R7"</f>
        <v>갈현간 6R7</v>
      </c>
      <c r="I8971" s="1" t="s">
        <v>15</v>
      </c>
      <c r="J8971" s="1" t="str">
        <f>"36/36"</f>
        <v>36/36</v>
      </c>
      <c r="K8971" s="1" t="str">
        <f>"2026-07-29 14:21:26"</f>
        <v>2026-07-29 14:21:26</v>
      </c>
      <c r="L8971" s="1" t="str">
        <f>"2023-07-24 11:23:32"</f>
        <v>2023-07-24 11:23:32</v>
      </c>
      <c r="M8971" s="1" t="s">
        <v>45</v>
      </c>
      <c r="N8971" s="1" t="s">
        <v>38</v>
      </c>
      <c r="O8971" s="1" t="s">
        <v>46</v>
      </c>
    </row>
    <row r="8972" spans="2:15" x14ac:dyDescent="0.3">
      <c r="B8972" s="1" t="s">
        <v>21</v>
      </c>
      <c r="C8972" s="1" t="str">
        <f>"5-2차"</f>
        <v>5-2차</v>
      </c>
      <c r="D8972" s="1" t="str">
        <f>"9629H1725S"</f>
        <v>9629H1725S</v>
      </c>
      <c r="E8972" s="1" t="s">
        <v>10</v>
      </c>
      <c r="F8972" s="1" t="str">
        <f>"fde3:102:1303:1005:0:0:0:2"</f>
        <v>fde3:102:1303:1005:0:0:0:2</v>
      </c>
      <c r="G8972" s="1" t="str">
        <f>"9629H172"</f>
        <v>9629H172</v>
      </c>
      <c r="H8972" s="1" t="str">
        <f>"갈현간 6R8R2"</f>
        <v>갈현간 6R8R2</v>
      </c>
      <c r="I8972" s="1" t="s">
        <v>15</v>
      </c>
      <c r="J8972" s="1" t="str">
        <f>"94/94"</f>
        <v>94/94</v>
      </c>
      <c r="K8972" s="1" t="str">
        <f>"2026-07-29 14:20:58"</f>
        <v>2026-07-29 14:20:58</v>
      </c>
      <c r="L8972" s="1" t="str">
        <f>"2023-07-07 08:54:42"</f>
        <v>2023-07-07 08:54:42</v>
      </c>
      <c r="M8972" s="1" t="s">
        <v>45</v>
      </c>
      <c r="N8972" s="1" t="s">
        <v>38</v>
      </c>
      <c r="O8972" s="1" t="s">
        <v>46</v>
      </c>
    </row>
    <row r="8973" spans="2:15" x14ac:dyDescent="0.3">
      <c r="B8973" s="1" t="s">
        <v>21</v>
      </c>
      <c r="C8973" s="1" t="str">
        <f>"5-2차"</f>
        <v>5-2차</v>
      </c>
      <c r="D8973" s="1" t="str">
        <f>"9629H1735S"</f>
        <v>9629H1735S</v>
      </c>
      <c r="E8973" s="1" t="s">
        <v>10</v>
      </c>
      <c r="F8973" s="1" t="str">
        <f>"fde3:102:1303:1806:0:0:0:2"</f>
        <v>fde3:102:1303:1806:0:0:0:2</v>
      </c>
      <c r="G8973" s="1" t="str">
        <f>"9629H173"</f>
        <v>9629H173</v>
      </c>
      <c r="H8973" s="1" t="str">
        <f>"갈현간 6R8R1"</f>
        <v>갈현간 6R8R1</v>
      </c>
      <c r="I8973" s="1" t="s">
        <v>15</v>
      </c>
      <c r="J8973" s="1" t="str">
        <f>"69/74"</f>
        <v>69/74</v>
      </c>
      <c r="K8973" s="1" t="str">
        <f>"2026-07-29 14:20:58"</f>
        <v>2026-07-29 14:20:58</v>
      </c>
      <c r="L8973" s="1" t="str">
        <f>"2023-06-06 08:33:12"</f>
        <v>2023-06-06 08:33:12</v>
      </c>
      <c r="M8973" s="1" t="s">
        <v>45</v>
      </c>
      <c r="N8973" s="1" t="s">
        <v>38</v>
      </c>
      <c r="O8973" s="1" t="s">
        <v>46</v>
      </c>
    </row>
    <row r="8974" spans="2:15" x14ac:dyDescent="0.3">
      <c r="B8974" s="1" t="s">
        <v>21</v>
      </c>
      <c r="C8974" s="1" t="str">
        <f>"4차"</f>
        <v>4차</v>
      </c>
      <c r="D8974" s="1" t="str">
        <f>"9629H20244"</f>
        <v>9629H20244</v>
      </c>
      <c r="E8974" s="1" t="s">
        <v>10</v>
      </c>
      <c r="F8974" s="1" t="str">
        <f>"10.10.121.170"</f>
        <v>10.10.121.170</v>
      </c>
      <c r="G8974" s="1" t="str">
        <f>"9629H202"</f>
        <v>9629H202</v>
      </c>
      <c r="H8974" s="1" t="str">
        <f>"은수간 17R4L1"</f>
        <v>은수간 17R4L1</v>
      </c>
      <c r="I8974" s="1" t="s">
        <v>8</v>
      </c>
      <c r="J8974" s="1" t="str">
        <f>"17/17"</f>
        <v>17/17</v>
      </c>
      <c r="K8974" s="1" t="str">
        <f>"2026-07-29 13:18:11"</f>
        <v>2026-07-29 13:18:11</v>
      </c>
      <c r="L8974" s="1" t="str">
        <f>"2019-11-21 00:54:18"</f>
        <v>2019-11-21 00:54:18</v>
      </c>
      <c r="M8974" s="1" t="s">
        <v>1</v>
      </c>
      <c r="N8974" s="1" t="s">
        <v>38</v>
      </c>
      <c r="O8974" s="1" t="s">
        <v>46</v>
      </c>
    </row>
    <row r="8975" spans="2:15" x14ac:dyDescent="0.3">
      <c r="B8975" s="1" t="s">
        <v>21</v>
      </c>
      <c r="C8975" s="1" t="str">
        <f>"1차"</f>
        <v>1차</v>
      </c>
      <c r="D8975" s="1" t="str">
        <f>"9629H21302"</f>
        <v>9629H21302</v>
      </c>
      <c r="E8975" s="1" t="s">
        <v>14</v>
      </c>
      <c r="F8975" s="1" t="str">
        <f>"10.128.1.129"</f>
        <v>10.128.1.129</v>
      </c>
      <c r="G8975" s="1" t="str">
        <f>"9629H213"</f>
        <v>9629H213</v>
      </c>
      <c r="H8975" s="1" t="str">
        <f>"갈현간 11R1"</f>
        <v>갈현간 11R1</v>
      </c>
      <c r="I8975" s="1" t="s">
        <v>8</v>
      </c>
      <c r="J8975" s="1" t="str">
        <f>"0/0"</f>
        <v>0/0</v>
      </c>
      <c r="K8975" s="1" t="str">
        <f>"2024-07-09 20:03:33"</f>
        <v>2024-07-09 20:03:33</v>
      </c>
      <c r="L8975" s="1" t="str">
        <f>"2014-11-24 15:37:43"</f>
        <v>2014-11-24 15:37:43</v>
      </c>
      <c r="M8975" s="1" t="s">
        <v>45</v>
      </c>
      <c r="N8975" s="1" t="s">
        <v>44</v>
      </c>
      <c r="O8975" s="1" t="s">
        <v>44</v>
      </c>
    </row>
    <row r="8976" spans="2:15" x14ac:dyDescent="0.3">
      <c r="B8976" s="1" t="s">
        <v>21</v>
      </c>
      <c r="C8976" s="1" t="str">
        <f>"5-2차"</f>
        <v>5-2차</v>
      </c>
      <c r="D8976" s="1" t="str">
        <f>"9629H2625S"</f>
        <v>9629H2625S</v>
      </c>
      <c r="E8976" s="1" t="s">
        <v>10</v>
      </c>
      <c r="F8976" s="1" t="str">
        <f>"fde1:103:4:6ed9:0:0:0:2"</f>
        <v>fde1:103:4:6ed9:0:0:0:2</v>
      </c>
      <c r="G8976" s="1" t="str">
        <f>"9629H262"</f>
        <v>9629H262</v>
      </c>
      <c r="H8976" s="1" t="str">
        <f>"갈현간 6R8R1R2"</f>
        <v>갈현간 6R8R1R2</v>
      </c>
      <c r="I8976" s="1" t="s">
        <v>15</v>
      </c>
      <c r="J8976" s="1" t="str">
        <f>"91/91"</f>
        <v>91/91</v>
      </c>
      <c r="K8976" s="1" t="str">
        <f>"2026-07-29 14:21:26"</f>
        <v>2026-07-29 14:21:26</v>
      </c>
      <c r="L8976" s="1" t="str">
        <f>"2023-11-15 08:34:06"</f>
        <v>2023-11-15 08:34:06</v>
      </c>
      <c r="M8976" s="1" t="s">
        <v>4</v>
      </c>
      <c r="N8976" s="1" t="s">
        <v>38</v>
      </c>
      <c r="O8976" s="1" t="s">
        <v>46</v>
      </c>
    </row>
    <row r="8977" spans="2:15" x14ac:dyDescent="0.3">
      <c r="B8977" s="1" t="s">
        <v>21</v>
      </c>
      <c r="C8977" s="1" t="str">
        <f t="shared" ref="C8977:C8982" si="446">"4차"</f>
        <v>4차</v>
      </c>
      <c r="D8977" s="1" t="str">
        <f>"9629H30244"</f>
        <v>9629H30244</v>
      </c>
      <c r="E8977" s="1" t="s">
        <v>10</v>
      </c>
      <c r="F8977" s="1" t="str">
        <f>"10.10.88.18"</f>
        <v>10.10.88.18</v>
      </c>
      <c r="G8977" s="1" t="str">
        <f>"9629H302"</f>
        <v>9629H302</v>
      </c>
      <c r="H8977" s="1" t="str">
        <f>"은수간 17R4"</f>
        <v>은수간 17R4</v>
      </c>
      <c r="I8977" s="1" t="s">
        <v>8</v>
      </c>
      <c r="J8977" s="1" t="str">
        <f>"19/19"</f>
        <v>19/19</v>
      </c>
      <c r="K8977" s="1" t="str">
        <f>"2026-07-29 13:18:11"</f>
        <v>2026-07-29 13:18:11</v>
      </c>
      <c r="L8977" s="1" t="str">
        <f>"2019-11-20 22:52:18"</f>
        <v>2019-11-20 22:52:18</v>
      </c>
      <c r="M8977" s="1" t="s">
        <v>1</v>
      </c>
      <c r="N8977" s="1" t="s">
        <v>38</v>
      </c>
      <c r="O8977" s="1" t="s">
        <v>46</v>
      </c>
    </row>
    <row r="8978" spans="2:15" x14ac:dyDescent="0.3">
      <c r="B8978" s="1" t="s">
        <v>21</v>
      </c>
      <c r="C8978" s="1" t="str">
        <f t="shared" si="446"/>
        <v>4차</v>
      </c>
      <c r="D8978" s="1" t="str">
        <f>"9629H30444"</f>
        <v>9629H30444</v>
      </c>
      <c r="E8978" s="1" t="s">
        <v>10</v>
      </c>
      <c r="F8978" s="1" t="str">
        <f>"10.10.121.162"</f>
        <v>10.10.121.162</v>
      </c>
      <c r="G8978" s="1" t="str">
        <f>"9629H304"</f>
        <v>9629H304</v>
      </c>
      <c r="H8978" s="1" t="str">
        <f>"은수간 17R3"</f>
        <v>은수간 17R3</v>
      </c>
      <c r="I8978" s="1" t="s">
        <v>8</v>
      </c>
      <c r="J8978" s="1" t="str">
        <f>"9/9"</f>
        <v>9/9</v>
      </c>
      <c r="K8978" s="1" t="str">
        <f>"2026-07-29 13:18:11"</f>
        <v>2026-07-29 13:18:11</v>
      </c>
      <c r="L8978" s="1" t="str">
        <f>"2019-11-20 20:54:01"</f>
        <v>2019-11-20 20:54:01</v>
      </c>
      <c r="M8978" s="1" t="s">
        <v>1</v>
      </c>
      <c r="N8978" s="1" t="s">
        <v>38</v>
      </c>
      <c r="O8978" s="1" t="s">
        <v>46</v>
      </c>
    </row>
    <row r="8979" spans="2:15" x14ac:dyDescent="0.3">
      <c r="B8979" s="1" t="s">
        <v>21</v>
      </c>
      <c r="C8979" s="1" t="str">
        <f t="shared" si="446"/>
        <v>4차</v>
      </c>
      <c r="D8979" s="1" t="str">
        <f>"9629H31144"</f>
        <v>9629H31144</v>
      </c>
      <c r="E8979" s="1" t="s">
        <v>10</v>
      </c>
      <c r="F8979" s="1" t="str">
        <f>"10.10.88.42"</f>
        <v>10.10.88.42</v>
      </c>
      <c r="G8979" s="1" t="str">
        <f>"9629H311"</f>
        <v>9629H311</v>
      </c>
      <c r="H8979" s="1" t="str">
        <f>"은수간 17R5"</f>
        <v>은수간 17R5</v>
      </c>
      <c r="I8979" s="1" t="s">
        <v>8</v>
      </c>
      <c r="J8979" s="1" t="str">
        <f>"63/63"</f>
        <v>63/63</v>
      </c>
      <c r="K8979" s="1" t="str">
        <f>"2026-07-29 13:18:11"</f>
        <v>2026-07-29 13:18:11</v>
      </c>
      <c r="L8979" s="1" t="str">
        <f>"2019-12-11 18:26:17"</f>
        <v>2019-12-11 18:26:17</v>
      </c>
      <c r="M8979" s="1" t="s">
        <v>1</v>
      </c>
      <c r="N8979" s="1" t="s">
        <v>38</v>
      </c>
      <c r="O8979" s="1" t="s">
        <v>46</v>
      </c>
    </row>
    <row r="8980" spans="2:15" x14ac:dyDescent="0.3">
      <c r="B8980" s="1" t="s">
        <v>21</v>
      </c>
      <c r="C8980" s="1" t="str">
        <f t="shared" si="446"/>
        <v>4차</v>
      </c>
      <c r="D8980" s="1" t="str">
        <f>"9629H40144"</f>
        <v>9629H40144</v>
      </c>
      <c r="E8980" s="1" t="s">
        <v>10</v>
      </c>
      <c r="F8980" s="1" t="str">
        <f>"10.10.88.34"</f>
        <v>10.10.88.34</v>
      </c>
      <c r="G8980" s="1" t="str">
        <f>"9629H401"</f>
        <v>9629H401</v>
      </c>
      <c r="H8980" s="1" t="str">
        <f>"은수간 17R4R1"</f>
        <v>은수간 17R4R1</v>
      </c>
      <c r="I8980" s="1" t="s">
        <v>8</v>
      </c>
      <c r="J8980" s="1" t="str">
        <f>"16/16"</f>
        <v>16/16</v>
      </c>
      <c r="K8980" s="1" t="str">
        <f>"2026-07-29 13:18:11"</f>
        <v>2026-07-29 13:18:11</v>
      </c>
      <c r="L8980" s="1" t="str">
        <f>"2019-11-21 00:48:37"</f>
        <v>2019-11-21 00:48:37</v>
      </c>
      <c r="M8980" s="1" t="s">
        <v>1</v>
      </c>
      <c r="N8980" s="1" t="s">
        <v>38</v>
      </c>
      <c r="O8980" s="1" t="s">
        <v>46</v>
      </c>
    </row>
    <row r="8981" spans="2:15" x14ac:dyDescent="0.3">
      <c r="B8981" s="1" t="s">
        <v>21</v>
      </c>
      <c r="C8981" s="1" t="str">
        <f t="shared" si="446"/>
        <v>4차</v>
      </c>
      <c r="D8981" s="1" t="str">
        <f>"9629H40239"</f>
        <v>9629H40239</v>
      </c>
      <c r="E8981" s="1" t="s">
        <v>10</v>
      </c>
      <c r="F8981" s="1" t="str">
        <f>"10.12.129.40"</f>
        <v>10.12.129.40</v>
      </c>
      <c r="G8981" s="1" t="str">
        <f>"9629H402"</f>
        <v>9629H402</v>
      </c>
      <c r="H8981" s="1" t="str">
        <f>"은수간 17R4R2"</f>
        <v>은수간 17R4R2</v>
      </c>
      <c r="I8981" s="1" t="s">
        <v>8</v>
      </c>
      <c r="J8981" s="1" t="str">
        <f>"52/52"</f>
        <v>52/52</v>
      </c>
      <c r="K8981" s="1" t="str">
        <f>"2026-07-29 13:18:12"</f>
        <v>2026-07-29 13:18:12</v>
      </c>
      <c r="L8981" s="1" t="str">
        <f>"2018-04-26 09:38:57"</f>
        <v>2018-04-26 09:38:57</v>
      </c>
      <c r="M8981" s="1" t="s">
        <v>0</v>
      </c>
      <c r="N8981" s="1" t="s">
        <v>38</v>
      </c>
      <c r="O8981" s="1" t="s">
        <v>46</v>
      </c>
    </row>
    <row r="8982" spans="2:15" x14ac:dyDescent="0.3">
      <c r="B8982" s="1" t="s">
        <v>21</v>
      </c>
      <c r="C8982" s="1" t="str">
        <f t="shared" si="446"/>
        <v>4차</v>
      </c>
      <c r="D8982" s="1" t="str">
        <f>"9629H41144"</f>
        <v>9629H41144</v>
      </c>
      <c r="E8982" s="1" t="s">
        <v>10</v>
      </c>
      <c r="F8982" s="1" t="str">
        <f>"10.10.88.50"</f>
        <v>10.10.88.50</v>
      </c>
      <c r="G8982" s="1" t="str">
        <f>"9629H411"</f>
        <v>9629H411</v>
      </c>
      <c r="H8982" s="1" t="str">
        <f>"은수간 17R7"</f>
        <v>은수간 17R7</v>
      </c>
      <c r="I8982" s="1" t="s">
        <v>8</v>
      </c>
      <c r="J8982" s="1" t="str">
        <f>"16/16"</f>
        <v>16/16</v>
      </c>
      <c r="K8982" s="1" t="str">
        <f>"2026-07-29 13:18:11"</f>
        <v>2026-07-29 13:18:11</v>
      </c>
      <c r="L8982" s="1" t="str">
        <f>"2020-01-11 01:54:17"</f>
        <v>2020-01-11 01:54:17</v>
      </c>
      <c r="M8982" s="1" t="s">
        <v>1</v>
      </c>
      <c r="N8982" s="1" t="s">
        <v>38</v>
      </c>
      <c r="O8982" s="1" t="s">
        <v>46</v>
      </c>
    </row>
    <row r="8983" spans="2:15" x14ac:dyDescent="0.3">
      <c r="B8983" s="1" t="s">
        <v>21</v>
      </c>
      <c r="C8983" s="1" t="str">
        <f>"5-1차"</f>
        <v>5-1차</v>
      </c>
      <c r="D8983" s="1" t="str">
        <f>"9629H4315M"</f>
        <v>9629H4315M</v>
      </c>
      <c r="E8983" s="1" t="s">
        <v>10</v>
      </c>
      <c r="F8983" s="1" t="str">
        <f>"fde2:104:0:5f:0:0:0:2"</f>
        <v>fde2:104:0:5f:0:0:0:2</v>
      </c>
      <c r="G8983" s="1" t="str">
        <f>"9629H431"</f>
        <v>9629H431</v>
      </c>
      <c r="H8983" s="1" t="str">
        <f>"갈현간 5"</f>
        <v>갈현간 5</v>
      </c>
      <c r="I8983" s="1" t="s">
        <v>15</v>
      </c>
      <c r="J8983" s="1" t="str">
        <f>"45/45"</f>
        <v>45/45</v>
      </c>
      <c r="K8983" s="1" t="str">
        <f>"2026-07-29 14:21:27"</f>
        <v>2026-07-29 14:21:27</v>
      </c>
      <c r="L8983" s="1" t="str">
        <f>"2022-09-19 11:56:09"</f>
        <v>2022-09-19 11:56:09</v>
      </c>
      <c r="M8983" s="1" t="s">
        <v>42</v>
      </c>
      <c r="N8983" s="1" t="s">
        <v>38</v>
      </c>
      <c r="O8983" s="1" t="s">
        <v>46</v>
      </c>
    </row>
    <row r="8984" spans="2:15" x14ac:dyDescent="0.3">
      <c r="B8984" s="1" t="s">
        <v>21</v>
      </c>
      <c r="C8984" s="1" t="str">
        <f>"6차"</f>
        <v>6차</v>
      </c>
      <c r="D8984" s="1" t="str">
        <f>"9629H4516S"</f>
        <v>9629H4516S</v>
      </c>
      <c r="E8984" s="1" t="s">
        <v>10</v>
      </c>
      <c r="F8984" s="1" t="str">
        <f>"fde1:103:4:c6e1:0:0:0:2"</f>
        <v>fde1:103:4:c6e1:0:0:0:2</v>
      </c>
      <c r="G8984" s="1" t="str">
        <f>"9629H451"</f>
        <v>9629H451</v>
      </c>
      <c r="H8984" s="1" t="str">
        <f>"갈현간 2R3L1"</f>
        <v>갈현간 2R3L1</v>
      </c>
      <c r="I8984" s="1" t="s">
        <v>15</v>
      </c>
      <c r="J8984" s="1" t="str">
        <f>"77/77"</f>
        <v>77/77</v>
      </c>
      <c r="K8984" s="1" t="str">
        <f>"2026-07-29 08:20:57"</f>
        <v>2026-07-29 08:20:57</v>
      </c>
      <c r="L8984" s="1" t="str">
        <f>"2024-12-10 15:44:26"</f>
        <v>2024-12-10 15:44:26</v>
      </c>
      <c r="M8984" s="1" t="s">
        <v>4</v>
      </c>
      <c r="N8984" s="1" t="s">
        <v>38</v>
      </c>
      <c r="O8984" s="1" t="s">
        <v>46</v>
      </c>
    </row>
    <row r="8985" spans="2:15" x14ac:dyDescent="0.3">
      <c r="B8985" s="1" t="s">
        <v>21</v>
      </c>
      <c r="C8985" s="1" t="str">
        <f>"5-1차"</f>
        <v>5-1차</v>
      </c>
      <c r="D8985" s="1" t="str">
        <f>"9629H4625M"</f>
        <v>9629H4625M</v>
      </c>
      <c r="E8985" s="1" t="s">
        <v>10</v>
      </c>
      <c r="F8985" s="1" t="str">
        <f>"fde3:102:1303:1100:0:0:0:2"</f>
        <v>fde3:102:1303:1100:0:0:0:2</v>
      </c>
      <c r="G8985" s="1" t="str">
        <f>"9629H462"</f>
        <v>9629H462</v>
      </c>
      <c r="H8985" s="1" t="str">
        <f>"갈현간 2R4"</f>
        <v>갈현간 2R4</v>
      </c>
      <c r="I8985" s="1" t="s">
        <v>15</v>
      </c>
      <c r="J8985" s="1" t="str">
        <f>"187/188"</f>
        <v>187/188</v>
      </c>
      <c r="K8985" s="1" t="str">
        <f>"2026-07-29 14:21:27"</f>
        <v>2026-07-29 14:21:27</v>
      </c>
      <c r="L8985" s="1" t="str">
        <f>"2022-12-01 17:56:57"</f>
        <v>2022-12-01 17:56:57</v>
      </c>
      <c r="M8985" s="1" t="s">
        <v>45</v>
      </c>
      <c r="N8985" s="1" t="s">
        <v>38</v>
      </c>
      <c r="O8985" s="1" t="s">
        <v>46</v>
      </c>
    </row>
    <row r="8986" spans="2:15" x14ac:dyDescent="0.3">
      <c r="B8986" s="1" t="s">
        <v>21</v>
      </c>
      <c r="C8986" s="1" t="str">
        <f>"4차"</f>
        <v>4차</v>
      </c>
      <c r="D8986" s="1" t="str">
        <f>"9629H50244"</f>
        <v>9629H50244</v>
      </c>
      <c r="E8986" s="1" t="s">
        <v>10</v>
      </c>
      <c r="F8986" s="1" t="str">
        <f>"10.10.88.26"</f>
        <v>10.10.88.26</v>
      </c>
      <c r="G8986" s="1" t="str">
        <f>"9629H502"</f>
        <v>9629H502</v>
      </c>
      <c r="H8986" s="1" t="str">
        <f>"은수간 17R4R3"</f>
        <v>은수간 17R4R3</v>
      </c>
      <c r="I8986" s="1" t="s">
        <v>8</v>
      </c>
      <c r="J8986" s="1" t="str">
        <f>"18/18"</f>
        <v>18/18</v>
      </c>
      <c r="K8986" s="1" t="str">
        <f>"2026-07-29 13:18:11"</f>
        <v>2026-07-29 13:18:11</v>
      </c>
      <c r="L8986" s="1" t="str">
        <f>"2019-11-20 22:52:41"</f>
        <v>2019-11-20 22:52:41</v>
      </c>
      <c r="M8986" s="1" t="s">
        <v>1</v>
      </c>
      <c r="N8986" s="1" t="s">
        <v>38</v>
      </c>
      <c r="O8986" s="1" t="s">
        <v>46</v>
      </c>
    </row>
    <row r="8987" spans="2:15" x14ac:dyDescent="0.3">
      <c r="B8987" s="1" t="s">
        <v>21</v>
      </c>
      <c r="C8987" s="1" t="str">
        <f>"4차"</f>
        <v>4차</v>
      </c>
      <c r="D8987" s="1" t="str">
        <f>"9629H53144"</f>
        <v>9629H53144</v>
      </c>
      <c r="E8987" s="1" t="s">
        <v>10</v>
      </c>
      <c r="F8987" s="1" t="str">
        <f>"10.10.93.122"</f>
        <v>10.10.93.122</v>
      </c>
      <c r="G8987" s="1" t="str">
        <f>"9629H531"</f>
        <v>9629H531</v>
      </c>
      <c r="H8987" s="1" t="str">
        <f>"갈현간 3L3R2"</f>
        <v>갈현간 3L3R2</v>
      </c>
      <c r="I8987" s="1" t="s">
        <v>8</v>
      </c>
      <c r="J8987" s="1" t="str">
        <f>"38/43"</f>
        <v>38/43</v>
      </c>
      <c r="K8987" s="1" t="str">
        <f>"2026-07-29 13:18:11"</f>
        <v>2026-07-29 13:18:11</v>
      </c>
      <c r="L8987" s="1" t="str">
        <f>"2019-10-22 13:20:49"</f>
        <v>2019-10-22 13:20:49</v>
      </c>
      <c r="M8987" s="1" t="s">
        <v>1</v>
      </c>
      <c r="N8987" s="1" t="s">
        <v>38</v>
      </c>
      <c r="O8987" s="1" t="s">
        <v>46</v>
      </c>
    </row>
    <row r="8988" spans="2:15" x14ac:dyDescent="0.3">
      <c r="B8988" s="1" t="s">
        <v>21</v>
      </c>
      <c r="C8988" s="1" t="str">
        <f>"4차"</f>
        <v>4차</v>
      </c>
      <c r="D8988" s="1" t="str">
        <f>"9629H55241"</f>
        <v>9629H55241</v>
      </c>
      <c r="E8988" s="1" t="s">
        <v>10</v>
      </c>
      <c r="F8988" s="1" t="str">
        <f>"10.12.136.211"</f>
        <v>10.12.136.211</v>
      </c>
      <c r="G8988" s="1" t="str">
        <f>"9629H552"</f>
        <v>9629H552</v>
      </c>
      <c r="H8988" s="1" t="str">
        <f>"갈현간 2R1"</f>
        <v>갈현간 2R1</v>
      </c>
      <c r="I8988" s="1" t="s">
        <v>17</v>
      </c>
      <c r="J8988" s="1" t="str">
        <f>"42/42"</f>
        <v>42/42</v>
      </c>
      <c r="K8988" s="1" t="str">
        <f>"2026-07-29 13:18:12"</f>
        <v>2026-07-29 13:18:12</v>
      </c>
      <c r="L8988" s="1" t="str">
        <f>"2021-08-06 08:14:25"</f>
        <v>2021-08-06 08:14:25</v>
      </c>
      <c r="M8988" s="1" t="s">
        <v>0</v>
      </c>
      <c r="N8988" s="1" t="s">
        <v>38</v>
      </c>
      <c r="O8988" s="1" t="s">
        <v>46</v>
      </c>
    </row>
    <row r="8989" spans="2:15" x14ac:dyDescent="0.3">
      <c r="B8989" s="1" t="s">
        <v>21</v>
      </c>
      <c r="C8989" s="1" t="str">
        <f>"5-2차"</f>
        <v>5-2차</v>
      </c>
      <c r="D8989" s="1" t="str">
        <f>"9629H5625S"</f>
        <v>9629H5625S</v>
      </c>
      <c r="E8989" s="1" t="s">
        <v>10</v>
      </c>
      <c r="F8989" s="1" t="str">
        <f>"fde3:102:1303:1108:0:0:0:2"</f>
        <v>fde3:102:1303:1108:0:0:0:2</v>
      </c>
      <c r="G8989" s="1" t="str">
        <f>"9629H562"</f>
        <v>9629H562</v>
      </c>
      <c r="H8989" s="1" t="str">
        <f>"갈현간 2R3R1"</f>
        <v>갈현간 2R3R1</v>
      </c>
      <c r="I8989" s="1" t="s">
        <v>15</v>
      </c>
      <c r="J8989" s="1" t="str">
        <f>"32/33"</f>
        <v>32/33</v>
      </c>
      <c r="K8989" s="1" t="str">
        <f>"2026-07-29 14:21:19"</f>
        <v>2026-07-29 14:21:19</v>
      </c>
      <c r="L8989" s="1" t="str">
        <f>"2023-10-27 04:08:41"</f>
        <v>2023-10-27 04:08:41</v>
      </c>
      <c r="M8989" s="1" t="s">
        <v>45</v>
      </c>
      <c r="N8989" s="1" t="s">
        <v>38</v>
      </c>
      <c r="O8989" s="1" t="s">
        <v>46</v>
      </c>
    </row>
    <row r="8990" spans="2:15" x14ac:dyDescent="0.3">
      <c r="B8990" s="1" t="s">
        <v>21</v>
      </c>
      <c r="C8990" s="1" t="str">
        <f>"6차"</f>
        <v>6차</v>
      </c>
      <c r="D8990" s="1" t="str">
        <f>"9629H5726S"</f>
        <v>9629H5726S</v>
      </c>
      <c r="E8990" s="1" t="s">
        <v>10</v>
      </c>
      <c r="F8990" s="1" t="str">
        <f>"fde3:102:1303:1108:0:0:0:3"</f>
        <v>fde3:102:1303:1108:0:0:0:3</v>
      </c>
      <c r="G8990" s="1" t="str">
        <f>"9629H572"</f>
        <v>9629H572</v>
      </c>
      <c r="H8990" s="1" t="str">
        <f>"갈현간 2R4R2"</f>
        <v>갈현간 2R4R2</v>
      </c>
      <c r="I8990" s="1" t="s">
        <v>15</v>
      </c>
      <c r="J8990" s="1" t="str">
        <f>"54/54"</f>
        <v>54/54</v>
      </c>
      <c r="K8990" s="1" t="str">
        <f>"2026-07-29 14:21:26"</f>
        <v>2026-07-29 14:21:26</v>
      </c>
      <c r="L8990" s="1" t="str">
        <f>"2024-11-22 15:32:19"</f>
        <v>2024-11-22 15:32:19</v>
      </c>
      <c r="M8990" s="1" t="s">
        <v>45</v>
      </c>
      <c r="N8990" s="1" t="s">
        <v>38</v>
      </c>
      <c r="O8990" s="1" t="s">
        <v>46</v>
      </c>
    </row>
    <row r="8991" spans="2:15" x14ac:dyDescent="0.3">
      <c r="B8991" s="1" t="s">
        <v>21</v>
      </c>
      <c r="C8991" s="1" t="str">
        <f>"4차"</f>
        <v>4차</v>
      </c>
      <c r="D8991" s="1" t="str">
        <f>"9629H62141"</f>
        <v>9629H62141</v>
      </c>
      <c r="E8991" s="1" t="s">
        <v>10</v>
      </c>
      <c r="F8991" s="1" t="str">
        <f>"10.12.128.110"</f>
        <v>10.12.128.110</v>
      </c>
      <c r="G8991" s="1" t="str">
        <f>"9629H621"</f>
        <v>9629H621</v>
      </c>
      <c r="H8991" s="1" t="str">
        <f>"갈현간 3L3"</f>
        <v>갈현간 3L3</v>
      </c>
      <c r="I8991" s="1" t="s">
        <v>17</v>
      </c>
      <c r="J8991" s="1" t="str">
        <f>"25/25"</f>
        <v>25/25</v>
      </c>
      <c r="K8991" s="1" t="str">
        <f>"2026-07-29 13:18:12"</f>
        <v>2026-07-29 13:18:12</v>
      </c>
      <c r="L8991" s="1" t="str">
        <f>"2021-08-06 09:06:27"</f>
        <v>2021-08-06 09:06:27</v>
      </c>
      <c r="M8991" s="1" t="s">
        <v>0</v>
      </c>
      <c r="N8991" s="1" t="s">
        <v>38</v>
      </c>
      <c r="O8991" s="1" t="s">
        <v>46</v>
      </c>
    </row>
    <row r="8992" spans="2:15" x14ac:dyDescent="0.3">
      <c r="B8992" s="1" t="s">
        <v>21</v>
      </c>
      <c r="C8992" s="1" t="str">
        <f>"4차"</f>
        <v>4차</v>
      </c>
      <c r="D8992" s="1" t="str">
        <f>"9629H62244"</f>
        <v>9629H62244</v>
      </c>
      <c r="E8992" s="1" t="s">
        <v>10</v>
      </c>
      <c r="F8992" s="1" t="str">
        <f>"10.10.93.98"</f>
        <v>10.10.93.98</v>
      </c>
      <c r="G8992" s="1" t="str">
        <f>"9629H622"</f>
        <v>9629H622</v>
      </c>
      <c r="H8992" s="1" t="str">
        <f>"갈현간 3L5"</f>
        <v>갈현간 3L5</v>
      </c>
      <c r="I8992" s="1" t="s">
        <v>8</v>
      </c>
      <c r="J8992" s="1" t="str">
        <f>"24/24"</f>
        <v>24/24</v>
      </c>
      <c r="K8992" s="1" t="str">
        <f>"2026-07-29 13:18:11"</f>
        <v>2026-07-29 13:18:11</v>
      </c>
      <c r="L8992" s="1" t="str">
        <f>"2019-10-22 13:24:20"</f>
        <v>2019-10-22 13:24:20</v>
      </c>
      <c r="M8992" s="1" t="s">
        <v>1</v>
      </c>
      <c r="N8992" s="1" t="s">
        <v>38</v>
      </c>
      <c r="O8992" s="1" t="s">
        <v>46</v>
      </c>
    </row>
    <row r="8993" spans="2:15" x14ac:dyDescent="0.3">
      <c r="B8993" s="1" t="s">
        <v>21</v>
      </c>
      <c r="C8993" s="1" t="str">
        <f>"4차"</f>
        <v>4차</v>
      </c>
      <c r="D8993" s="1" t="str">
        <f>"9629H72245"</f>
        <v>9629H72245</v>
      </c>
      <c r="E8993" s="1" t="s">
        <v>10</v>
      </c>
      <c r="F8993" s="1" t="str">
        <f>"10.14.2.61"</f>
        <v>10.14.2.61</v>
      </c>
      <c r="G8993" s="1" t="str">
        <f>"9629H722"</f>
        <v>9629H722</v>
      </c>
      <c r="H8993" s="1" t="str">
        <f>"통일로 L31"</f>
        <v>통일로 L31</v>
      </c>
      <c r="I8993" s="1" t="s">
        <v>17</v>
      </c>
      <c r="J8993" s="1" t="str">
        <f>"7/10"</f>
        <v>7/10</v>
      </c>
      <c r="K8993" s="1" t="str">
        <f>"2026-07-29 13:18:12"</f>
        <v>2026-07-29 13:18:12</v>
      </c>
      <c r="L8993" s="1" t="str">
        <f>"2021-06-21 13:15:57"</f>
        <v>2021-06-21 13:15:57</v>
      </c>
      <c r="M8993" s="1" t="s">
        <v>3</v>
      </c>
      <c r="N8993" s="1" t="s">
        <v>38</v>
      </c>
      <c r="O8993" s="1" t="s">
        <v>46</v>
      </c>
    </row>
    <row r="8994" spans="2:15" x14ac:dyDescent="0.3">
      <c r="B8994" s="1" t="s">
        <v>21</v>
      </c>
      <c r="C8994" s="1" t="str">
        <f>"4차"</f>
        <v>4차</v>
      </c>
      <c r="D8994" s="1" t="str">
        <f>"9629H72J45"</f>
        <v>9629H72J45</v>
      </c>
      <c r="E8994" s="1" t="s">
        <v>10</v>
      </c>
      <c r="F8994" s="1" t="str">
        <f>"10.14.11.64"</f>
        <v>10.14.11.64</v>
      </c>
      <c r="G8994" s="1" t="str">
        <f>"9629H72J"</f>
        <v>9629H72J</v>
      </c>
      <c r="H8994" s="1" t="str">
        <f>"통일로 R17-3"</f>
        <v>통일로 R17-3</v>
      </c>
      <c r="I8994" s="1" t="s">
        <v>17</v>
      </c>
      <c r="J8994" s="1" t="str">
        <f>"9/10"</f>
        <v>9/10</v>
      </c>
      <c r="K8994" s="1" t="str">
        <f>"2026-07-29 13:18:11"</f>
        <v>2026-07-29 13:18:11</v>
      </c>
      <c r="L8994" s="1" t="str">
        <f>"2021-06-22 10:40:50"</f>
        <v>2021-06-22 10:40:50</v>
      </c>
      <c r="M8994" s="1" t="s">
        <v>3</v>
      </c>
      <c r="N8994" s="1" t="s">
        <v>38</v>
      </c>
      <c r="O8994" s="1" t="s">
        <v>46</v>
      </c>
    </row>
    <row r="8995" spans="2:15" x14ac:dyDescent="0.3">
      <c r="B8995" s="1" t="s">
        <v>21</v>
      </c>
      <c r="C8995" s="1" t="str">
        <f>"5-2차"</f>
        <v>5-2차</v>
      </c>
      <c r="D8995" s="1" t="str">
        <f>"9629H7635M"</f>
        <v>9629H7635M</v>
      </c>
      <c r="E8995" s="1" t="s">
        <v>10</v>
      </c>
      <c r="F8995" s="1" t="str">
        <f>"fde3:102:1303:1103:0:0:0:6"</f>
        <v>fde3:102:1303:1103:0:0:0:6</v>
      </c>
      <c r="G8995" s="1" t="str">
        <f>"9629H763"</f>
        <v>9629H763</v>
      </c>
      <c r="H8995" s="1" t="str">
        <f>"숭덕지 4L1L6"</f>
        <v>숭덕지 4L1L6</v>
      </c>
      <c r="I8995" s="1" t="s">
        <v>15</v>
      </c>
      <c r="J8995" s="1" t="str">
        <f>"33/33"</f>
        <v>33/33</v>
      </c>
      <c r="K8995" s="1" t="str">
        <f>"2026-07-29 14:21:26"</f>
        <v>2026-07-29 14:21:26</v>
      </c>
      <c r="L8995" s="1" t="str">
        <f>"2023-06-13 18:21:58"</f>
        <v>2023-06-13 18:21:58</v>
      </c>
      <c r="M8995" s="1" t="s">
        <v>45</v>
      </c>
      <c r="N8995" s="1" t="s">
        <v>38</v>
      </c>
      <c r="O8995" s="1" t="s">
        <v>46</v>
      </c>
    </row>
    <row r="8996" spans="2:15" x14ac:dyDescent="0.3">
      <c r="B8996" s="1" t="s">
        <v>21</v>
      </c>
      <c r="C8996" s="1" t="str">
        <f>"5-2차"</f>
        <v>5-2차</v>
      </c>
      <c r="D8996" s="1" t="str">
        <f>"9629H8115S"</f>
        <v>9629H8115S</v>
      </c>
      <c r="E8996" s="1" t="s">
        <v>10</v>
      </c>
      <c r="F8996" s="1" t="str">
        <f>"fde3:102:1303:f0a:0:0:0:2"</f>
        <v>fde3:102:1303:f0a:0:0:0:2</v>
      </c>
      <c r="G8996" s="1" t="str">
        <f>"9629H811"</f>
        <v>9629H811</v>
      </c>
      <c r="H8996" s="1" t="str">
        <f>"숭덕지 2R1R4"</f>
        <v>숭덕지 2R1R4</v>
      </c>
      <c r="I8996" s="1" t="s">
        <v>15</v>
      </c>
      <c r="J8996" s="1" t="str">
        <f>"103/103"</f>
        <v>103/103</v>
      </c>
      <c r="K8996" s="1" t="str">
        <f>"2026-07-29 14:21:27"</f>
        <v>2026-07-29 14:21:27</v>
      </c>
      <c r="L8996" s="1" t="str">
        <f>"2023-06-06 07:52:33"</f>
        <v>2023-06-06 07:52:33</v>
      </c>
      <c r="M8996" s="1" t="s">
        <v>45</v>
      </c>
      <c r="N8996" s="1" t="s">
        <v>38</v>
      </c>
      <c r="O8996" s="1" t="s">
        <v>46</v>
      </c>
    </row>
    <row r="8997" spans="2:15" x14ac:dyDescent="0.3">
      <c r="B8997" s="1" t="s">
        <v>21</v>
      </c>
      <c r="C8997" s="1" t="str">
        <f>"5-2차"</f>
        <v>5-2차</v>
      </c>
      <c r="D8997" s="1" t="str">
        <f>"9629H8215S"</f>
        <v>9629H8215S</v>
      </c>
      <c r="E8997" s="1" t="s">
        <v>10</v>
      </c>
      <c r="F8997" s="1" t="str">
        <f>"fde1:103:4:55cc:0:0:0:2"</f>
        <v>fde1:103:4:55cc:0:0:0:2</v>
      </c>
      <c r="G8997" s="1" t="str">
        <f>"9629H821"</f>
        <v>9629H821</v>
      </c>
      <c r="H8997" s="1" t="str">
        <f>"숭덕지 2R1R3"</f>
        <v>숭덕지 2R1R3</v>
      </c>
      <c r="I8997" s="1" t="s">
        <v>15</v>
      </c>
      <c r="J8997" s="1" t="str">
        <f>"51/51"</f>
        <v>51/51</v>
      </c>
      <c r="K8997" s="1" t="str">
        <f>"2026-07-29 14:21:28"</f>
        <v>2026-07-29 14:21:28</v>
      </c>
      <c r="L8997" s="1" t="str">
        <f>"2023-10-20 11:15:31"</f>
        <v>2023-10-20 11:15:31</v>
      </c>
      <c r="M8997" s="1" t="s">
        <v>4</v>
      </c>
      <c r="N8997" s="1" t="s">
        <v>38</v>
      </c>
      <c r="O8997" s="1" t="s">
        <v>46</v>
      </c>
    </row>
    <row r="8998" spans="2:15" x14ac:dyDescent="0.3">
      <c r="B8998" s="1" t="s">
        <v>21</v>
      </c>
      <c r="C8998" s="1" t="str">
        <f>"5-1차"</f>
        <v>5-1차</v>
      </c>
      <c r="D8998" s="1" t="str">
        <f>"9629H8545M"</f>
        <v>9629H8545M</v>
      </c>
      <c r="E8998" s="1" t="s">
        <v>10</v>
      </c>
      <c r="F8998" s="1" t="str">
        <f>"fde3:102:1303:1103:0:0:0:2"</f>
        <v>fde3:102:1303:1103:0:0:0:2</v>
      </c>
      <c r="G8998" s="1" t="str">
        <f>"9629H854"</f>
        <v>9629H854</v>
      </c>
      <c r="H8998" s="1" t="str">
        <f>"숭덕지 4L1L3"</f>
        <v>숭덕지 4L1L3</v>
      </c>
      <c r="I8998" s="1" t="s">
        <v>15</v>
      </c>
      <c r="J8998" s="1" t="str">
        <f>"45/45"</f>
        <v>45/45</v>
      </c>
      <c r="K8998" s="1" t="str">
        <f>"2026-07-29 14:21:31"</f>
        <v>2026-07-29 14:21:31</v>
      </c>
      <c r="L8998" s="1" t="str">
        <f>"2022-12-13 09:29:18"</f>
        <v>2022-12-13 09:29:18</v>
      </c>
      <c r="M8998" s="1" t="s">
        <v>45</v>
      </c>
      <c r="N8998" s="1" t="s">
        <v>38</v>
      </c>
      <c r="O8998" s="1" t="s">
        <v>46</v>
      </c>
    </row>
    <row r="8999" spans="2:15" x14ac:dyDescent="0.3">
      <c r="B8999" s="1" t="s">
        <v>21</v>
      </c>
      <c r="C8999" s="1" t="str">
        <f>"5-2차"</f>
        <v>5-2차</v>
      </c>
      <c r="D8999" s="1" t="str">
        <f>"9629H9315M"</f>
        <v>9629H9315M</v>
      </c>
      <c r="E8999" s="1" t="s">
        <v>10</v>
      </c>
      <c r="F8999" s="1" t="str">
        <f>"fde1:103:4:58cf:0:0:0:2"</f>
        <v>fde1:103:4:58cf:0:0:0:2</v>
      </c>
      <c r="G8999" s="1" t="str">
        <f>"9629H931"</f>
        <v>9629H931</v>
      </c>
      <c r="H8999" s="1" t="str">
        <f>"숭덕지 2R1"</f>
        <v>숭덕지 2R1</v>
      </c>
      <c r="I8999" s="1" t="s">
        <v>15</v>
      </c>
      <c r="J8999" s="1" t="str">
        <f>"53/53"</f>
        <v>53/53</v>
      </c>
      <c r="K8999" s="1" t="str">
        <f>"2026-07-29 14:21:28"</f>
        <v>2026-07-29 14:21:28</v>
      </c>
      <c r="L8999" s="1" t="str">
        <f>"2023-10-20 11:15:58"</f>
        <v>2023-10-20 11:15:58</v>
      </c>
      <c r="M8999" s="1" t="s">
        <v>4</v>
      </c>
      <c r="N8999" s="1" t="s">
        <v>38</v>
      </c>
      <c r="O8999" s="1" t="s">
        <v>46</v>
      </c>
    </row>
    <row r="9000" spans="2:15" x14ac:dyDescent="0.3">
      <c r="B9000" s="1" t="s">
        <v>21</v>
      </c>
      <c r="C9000" s="1" t="str">
        <f>"5-1차"</f>
        <v>5-1차</v>
      </c>
      <c r="D9000" s="1" t="str">
        <f>"9629H9515M"</f>
        <v>9629H9515M</v>
      </c>
      <c r="E9000" s="1" t="s">
        <v>10</v>
      </c>
      <c r="F9000" s="1" t="str">
        <f>"fde3:102:1303:1103:0:0:0:3"</f>
        <v>fde3:102:1303:1103:0:0:0:3</v>
      </c>
      <c r="G9000" s="1" t="str">
        <f>"9629H951"</f>
        <v>9629H951</v>
      </c>
      <c r="H9000" s="1" t="str">
        <f>"숭덕지 4L1L2"</f>
        <v>숭덕지 4L1L2</v>
      </c>
      <c r="I9000" s="1" t="s">
        <v>15</v>
      </c>
      <c r="J9000" s="1" t="str">
        <f>"37/37"</f>
        <v>37/37</v>
      </c>
      <c r="K9000" s="1" t="str">
        <f>"2026-07-29 14:21:28"</f>
        <v>2026-07-29 14:21:28</v>
      </c>
      <c r="L9000" s="1" t="str">
        <f>"2022-11-16 14:28:33"</f>
        <v>2022-11-16 14:28:33</v>
      </c>
      <c r="M9000" s="1" t="s">
        <v>45</v>
      </c>
      <c r="N9000" s="1" t="s">
        <v>38</v>
      </c>
      <c r="O9000" s="1" t="s">
        <v>46</v>
      </c>
    </row>
    <row r="9001" spans="2:15" x14ac:dyDescent="0.3">
      <c r="B9001" s="1" t="s">
        <v>21</v>
      </c>
      <c r="C9001" s="1" t="str">
        <f t="shared" ref="C9001:C9010" si="447">"4차"</f>
        <v>4차</v>
      </c>
      <c r="D9001" s="1" t="str">
        <f>"9629R82144"</f>
        <v>9629R82144</v>
      </c>
      <c r="E9001" s="1" t="s">
        <v>10</v>
      </c>
      <c r="F9001" s="1" t="str">
        <f>"10.10.87.34"</f>
        <v>10.10.87.34</v>
      </c>
      <c r="G9001" s="1" t="str">
        <f>"9629R821"</f>
        <v>9629R821</v>
      </c>
      <c r="H9001" s="1" t="str">
        <f>"용두간 17L8L2"</f>
        <v>용두간 17L8L2</v>
      </c>
      <c r="I9001" s="1" t="s">
        <v>8</v>
      </c>
      <c r="J9001" s="1" t="str">
        <f>"33/33"</f>
        <v>33/33</v>
      </c>
      <c r="K9001" s="1" t="str">
        <f>"2026-07-29 13:18:11"</f>
        <v>2026-07-29 13:18:11</v>
      </c>
      <c r="L9001" s="1" t="str">
        <f>"2019-12-24 16:57:39"</f>
        <v>2019-12-24 16:57:39</v>
      </c>
      <c r="M9001" s="1" t="s">
        <v>1</v>
      </c>
      <c r="N9001" s="1" t="s">
        <v>38</v>
      </c>
      <c r="O9001" s="1" t="s">
        <v>46</v>
      </c>
    </row>
    <row r="9002" spans="2:15" x14ac:dyDescent="0.3">
      <c r="B9002" s="1" t="s">
        <v>21</v>
      </c>
      <c r="C9002" s="1" t="str">
        <f t="shared" si="447"/>
        <v>4차</v>
      </c>
      <c r="D9002" s="1" t="str">
        <f>"9629R83444"</f>
        <v>9629R83444</v>
      </c>
      <c r="E9002" s="1" t="s">
        <v>10</v>
      </c>
      <c r="F9002" s="1" t="str">
        <f>"10.10.87.58"</f>
        <v>10.10.87.58</v>
      </c>
      <c r="G9002" s="1" t="str">
        <f>"9629R834"</f>
        <v>9629R834</v>
      </c>
      <c r="H9002" s="1" t="str">
        <f>"용두간 17L9"</f>
        <v>용두간 17L9</v>
      </c>
      <c r="I9002" s="1" t="s">
        <v>8</v>
      </c>
      <c r="J9002" s="1" t="str">
        <f>"59/59"</f>
        <v>59/59</v>
      </c>
      <c r="K9002" s="1" t="str">
        <f>"2026-07-29 13:18:11"</f>
        <v>2026-07-29 13:18:11</v>
      </c>
      <c r="L9002" s="1" t="str">
        <f>"2019-12-11 18:24:21"</f>
        <v>2019-12-11 18:24:21</v>
      </c>
      <c r="M9002" s="1" t="s">
        <v>1</v>
      </c>
      <c r="N9002" s="1" t="s">
        <v>38</v>
      </c>
      <c r="O9002" s="1" t="s">
        <v>46</v>
      </c>
    </row>
    <row r="9003" spans="2:15" x14ac:dyDescent="0.3">
      <c r="B9003" s="1" t="s">
        <v>21</v>
      </c>
      <c r="C9003" s="1" t="str">
        <f t="shared" si="447"/>
        <v>4차</v>
      </c>
      <c r="D9003" s="1" t="str">
        <f>"9629R94244"</f>
        <v>9629R94244</v>
      </c>
      <c r="E9003" s="1" t="s">
        <v>10</v>
      </c>
      <c r="F9003" s="1" t="str">
        <f>"10.14.15.24"</f>
        <v>10.14.15.24</v>
      </c>
      <c r="G9003" s="1" t="str">
        <f>"9629R942"</f>
        <v>9629R942</v>
      </c>
      <c r="H9003" s="1" t="str">
        <f>"용두간 17L6"</f>
        <v>용두간 17L6</v>
      </c>
      <c r="I9003" s="1" t="s">
        <v>8</v>
      </c>
      <c r="J9003" s="1" t="str">
        <f>"47/49"</f>
        <v>47/49</v>
      </c>
      <c r="K9003" s="1" t="str">
        <f>"2026-07-29 13:18:12"</f>
        <v>2026-07-29 13:18:12</v>
      </c>
      <c r="L9003" s="1" t="str">
        <f>"2019-11-11 19:48:56"</f>
        <v>2019-11-11 19:48:56</v>
      </c>
      <c r="M9003" s="1" t="s">
        <v>3</v>
      </c>
      <c r="N9003" s="1" t="s">
        <v>38</v>
      </c>
      <c r="O9003" s="1" t="s">
        <v>46</v>
      </c>
    </row>
    <row r="9004" spans="2:15" x14ac:dyDescent="0.3">
      <c r="B9004" s="1" t="s">
        <v>21</v>
      </c>
      <c r="C9004" s="1" t="str">
        <f t="shared" si="447"/>
        <v>4차</v>
      </c>
      <c r="D9004" s="1" t="str">
        <f>"9629R95239"</f>
        <v>9629R95239</v>
      </c>
      <c r="E9004" s="1" t="s">
        <v>10</v>
      </c>
      <c r="F9004" s="1" t="str">
        <f>"10.128.73.50"</f>
        <v>10.128.73.50</v>
      </c>
      <c r="G9004" s="1" t="str">
        <f>"9629R952"</f>
        <v>9629R952</v>
      </c>
      <c r="H9004" s="1" t="str">
        <f>"용두간 17L5"</f>
        <v>용두간 17L5</v>
      </c>
      <c r="I9004" s="1" t="s">
        <v>8</v>
      </c>
      <c r="J9004" s="1" t="str">
        <f>"59/59"</f>
        <v>59/59</v>
      </c>
      <c r="K9004" s="1" t="str">
        <f>"2026-07-28 20:03:17"</f>
        <v>2026-07-28 20:03:17</v>
      </c>
      <c r="L9004" s="1" t="str">
        <f>"2018-04-27 20:51:32"</f>
        <v>2018-04-27 20:51:32</v>
      </c>
      <c r="M9004" s="1" t="s">
        <v>45</v>
      </c>
      <c r="N9004" s="1" t="s">
        <v>38</v>
      </c>
      <c r="O9004" s="1" t="s">
        <v>46</v>
      </c>
    </row>
    <row r="9005" spans="2:15" x14ac:dyDescent="0.3">
      <c r="B9005" s="1" t="s">
        <v>21</v>
      </c>
      <c r="C9005" s="1" t="str">
        <f t="shared" si="447"/>
        <v>4차</v>
      </c>
      <c r="D9005" s="1" t="str">
        <f>"9629S03244"</f>
        <v>9629S03244</v>
      </c>
      <c r="E9005" s="1" t="s">
        <v>10</v>
      </c>
      <c r="F9005" s="1" t="str">
        <f>"10.10.87.10"</f>
        <v>10.10.87.10</v>
      </c>
      <c r="G9005" s="1" t="str">
        <f>"9629S032"</f>
        <v>9629S032</v>
      </c>
      <c r="H9005" s="1" t="str">
        <f>"용두간 17L8A2"</f>
        <v>용두간 17L8A2</v>
      </c>
      <c r="I9005" s="1" t="s">
        <v>8</v>
      </c>
      <c r="J9005" s="1" t="str">
        <f>"44/51"</f>
        <v>44/51</v>
      </c>
      <c r="K9005" s="1" t="str">
        <f t="shared" ref="K9005:K9010" si="448">"2026-07-29 13:18:11"</f>
        <v>2026-07-29 13:18:11</v>
      </c>
      <c r="L9005" s="1" t="str">
        <f>"2020-02-10 18:32:54"</f>
        <v>2020-02-10 18:32:54</v>
      </c>
      <c r="M9005" s="1" t="s">
        <v>1</v>
      </c>
      <c r="N9005" s="1" t="s">
        <v>38</v>
      </c>
      <c r="O9005" s="1" t="s">
        <v>46</v>
      </c>
    </row>
    <row r="9006" spans="2:15" x14ac:dyDescent="0.3">
      <c r="B9006" s="1" t="s">
        <v>21</v>
      </c>
      <c r="C9006" s="1" t="str">
        <f t="shared" si="447"/>
        <v>4차</v>
      </c>
      <c r="D9006" s="1" t="str">
        <f>"9629S03344"</f>
        <v>9629S03344</v>
      </c>
      <c r="E9006" s="1" t="s">
        <v>10</v>
      </c>
      <c r="F9006" s="1" t="str">
        <f>"10.10.87.18"</f>
        <v>10.10.87.18</v>
      </c>
      <c r="G9006" s="1" t="str">
        <f>"9629S033"</f>
        <v>9629S033</v>
      </c>
      <c r="H9006" s="1" t="str">
        <f>"용두간 17L8A4"</f>
        <v>용두간 17L8A4</v>
      </c>
      <c r="I9006" s="1" t="s">
        <v>8</v>
      </c>
      <c r="J9006" s="1" t="str">
        <f>"25/25"</f>
        <v>25/25</v>
      </c>
      <c r="K9006" s="1" t="str">
        <f t="shared" si="448"/>
        <v>2026-07-29 13:18:11</v>
      </c>
      <c r="L9006" s="1" t="str">
        <f>"2019-12-11 18:22:03"</f>
        <v>2019-12-11 18:22:03</v>
      </c>
      <c r="M9006" s="1" t="s">
        <v>1</v>
      </c>
      <c r="N9006" s="1" t="s">
        <v>38</v>
      </c>
      <c r="O9006" s="1" t="s">
        <v>46</v>
      </c>
    </row>
    <row r="9007" spans="2:15" x14ac:dyDescent="0.3">
      <c r="B9007" s="1" t="s">
        <v>21</v>
      </c>
      <c r="C9007" s="1" t="str">
        <f t="shared" si="447"/>
        <v>4차</v>
      </c>
      <c r="D9007" s="1" t="str">
        <f>"9629S06144"</f>
        <v>9629S06144</v>
      </c>
      <c r="E9007" s="1" t="s">
        <v>10</v>
      </c>
      <c r="F9007" s="1" t="str">
        <f>"10.10.87.2"</f>
        <v>10.10.87.2</v>
      </c>
      <c r="G9007" s="1" t="str">
        <f>"9629S061"</f>
        <v>9629S061</v>
      </c>
      <c r="H9007" s="1" t="str">
        <f>"용두간 17L3"</f>
        <v>용두간 17L3</v>
      </c>
      <c r="I9007" s="1" t="s">
        <v>8</v>
      </c>
      <c r="J9007" s="1" t="str">
        <f>"22/22"</f>
        <v>22/22</v>
      </c>
      <c r="K9007" s="1" t="str">
        <f t="shared" si="448"/>
        <v>2026-07-29 13:18:11</v>
      </c>
      <c r="L9007" s="1" t="str">
        <f>"2019-12-11 18:21:52"</f>
        <v>2019-12-11 18:21:52</v>
      </c>
      <c r="M9007" s="1" t="s">
        <v>1</v>
      </c>
      <c r="N9007" s="1" t="s">
        <v>38</v>
      </c>
      <c r="O9007" s="1" t="s">
        <v>46</v>
      </c>
    </row>
    <row r="9008" spans="2:15" x14ac:dyDescent="0.3">
      <c r="B9008" s="1" t="s">
        <v>21</v>
      </c>
      <c r="C9008" s="1" t="str">
        <f t="shared" si="447"/>
        <v>4차</v>
      </c>
      <c r="D9008" s="1" t="str">
        <f>"9629S14144"</f>
        <v>9629S14144</v>
      </c>
      <c r="E9008" s="1" t="s">
        <v>10</v>
      </c>
      <c r="F9008" s="1" t="str">
        <f>"10.10.87.26"</f>
        <v>10.10.87.26</v>
      </c>
      <c r="G9008" s="1" t="str">
        <f>"9629S141"</f>
        <v>9629S141</v>
      </c>
      <c r="H9008" s="1" t="str">
        <f>"용두간 17L8A5"</f>
        <v>용두간 17L8A5</v>
      </c>
      <c r="I9008" s="1" t="s">
        <v>8</v>
      </c>
      <c r="J9008" s="1" t="str">
        <f>"36/36"</f>
        <v>36/36</v>
      </c>
      <c r="K9008" s="1" t="str">
        <f t="shared" si="448"/>
        <v>2026-07-29 13:18:11</v>
      </c>
      <c r="L9008" s="1" t="str">
        <f>"2019-12-11 18:22:31"</f>
        <v>2019-12-11 18:22:31</v>
      </c>
      <c r="M9008" s="1" t="s">
        <v>1</v>
      </c>
      <c r="N9008" s="1" t="s">
        <v>38</v>
      </c>
      <c r="O9008" s="1" t="s">
        <v>46</v>
      </c>
    </row>
    <row r="9009" spans="2:15" x14ac:dyDescent="0.3">
      <c r="B9009" s="1" t="s">
        <v>21</v>
      </c>
      <c r="C9009" s="1" t="str">
        <f t="shared" si="447"/>
        <v>4차</v>
      </c>
      <c r="D9009" s="1" t="str">
        <f>"9629S14344"</f>
        <v>9629S14344</v>
      </c>
      <c r="E9009" s="1" t="s">
        <v>10</v>
      </c>
      <c r="F9009" s="1" t="str">
        <f>"10.10.86.114"</f>
        <v>10.10.86.114</v>
      </c>
      <c r="G9009" s="1" t="str">
        <f>"9629S143"</f>
        <v>9629S143</v>
      </c>
      <c r="H9009" s="1" t="str">
        <f>"용두간 13L6"</f>
        <v>용두간 13L6</v>
      </c>
      <c r="I9009" s="1" t="s">
        <v>8</v>
      </c>
      <c r="J9009" s="1" t="str">
        <f>"48/50"</f>
        <v>48/50</v>
      </c>
      <c r="K9009" s="1" t="str">
        <f t="shared" si="448"/>
        <v>2026-07-29 13:18:11</v>
      </c>
      <c r="L9009" s="1" t="str">
        <f>"2019-12-11 18:17:13"</f>
        <v>2019-12-11 18:17:13</v>
      </c>
      <c r="M9009" s="1" t="s">
        <v>1</v>
      </c>
      <c r="N9009" s="1" t="s">
        <v>38</v>
      </c>
      <c r="O9009" s="1" t="s">
        <v>46</v>
      </c>
    </row>
    <row r="9010" spans="2:15" x14ac:dyDescent="0.3">
      <c r="B9010" s="1" t="s">
        <v>21</v>
      </c>
      <c r="C9010" s="1" t="str">
        <f t="shared" si="447"/>
        <v>4차</v>
      </c>
      <c r="D9010" s="1" t="str">
        <f>"9629S16144"</f>
        <v>9629S16144</v>
      </c>
      <c r="E9010" s="1" t="s">
        <v>10</v>
      </c>
      <c r="F9010" s="1" t="str">
        <f>"10.10.86.122"</f>
        <v>10.10.86.122</v>
      </c>
      <c r="G9010" s="1" t="str">
        <f>"9629S161"</f>
        <v>9629S161</v>
      </c>
      <c r="H9010" s="1" t="str">
        <f>"용두간 17L2"</f>
        <v>용두간 17L2</v>
      </c>
      <c r="I9010" s="1" t="s">
        <v>8</v>
      </c>
      <c r="J9010" s="1" t="str">
        <f>"36/36"</f>
        <v>36/36</v>
      </c>
      <c r="K9010" s="1" t="str">
        <f t="shared" si="448"/>
        <v>2026-07-29 13:18:11</v>
      </c>
      <c r="L9010" s="1" t="str">
        <f>"2020-01-10 17:16:46"</f>
        <v>2020-01-10 17:16:46</v>
      </c>
      <c r="M9010" s="1" t="s">
        <v>1</v>
      </c>
      <c r="N9010" s="1" t="s">
        <v>38</v>
      </c>
      <c r="O9010" s="1" t="s">
        <v>46</v>
      </c>
    </row>
    <row r="9011" spans="2:15" x14ac:dyDescent="0.3">
      <c r="B9011" s="1" t="s">
        <v>21</v>
      </c>
      <c r="C9011" s="1" t="str">
        <f>"3차"</f>
        <v>3차</v>
      </c>
      <c r="D9011" s="1" t="str">
        <f>"9629S20139"</f>
        <v>9629S20139</v>
      </c>
      <c r="E9011" s="1" t="s">
        <v>10</v>
      </c>
      <c r="F9011" s="1" t="str">
        <f>"10.14.9.194"</f>
        <v>10.14.9.194</v>
      </c>
      <c r="G9011" s="1" t="str">
        <f>"9629S201"</f>
        <v>9629S201</v>
      </c>
      <c r="H9011" s="1" t="str">
        <f>"용두간 8L2R7"</f>
        <v>용두간 8L2R7</v>
      </c>
      <c r="I9011" s="1" t="s">
        <v>8</v>
      </c>
      <c r="J9011" s="1" t="str">
        <f>"5/5"</f>
        <v>5/5</v>
      </c>
      <c r="K9011" s="1" t="str">
        <f>"2026-07-29 13:18:12"</f>
        <v>2026-07-29 13:18:12</v>
      </c>
      <c r="L9011" s="1" t="str">
        <f>"2018-03-29 17:52:46"</f>
        <v>2018-03-29 17:52:46</v>
      </c>
      <c r="M9011" s="1" t="s">
        <v>3</v>
      </c>
      <c r="N9011" s="1" t="s">
        <v>38</v>
      </c>
      <c r="O9011" s="1" t="s">
        <v>46</v>
      </c>
    </row>
    <row r="9012" spans="2:15" x14ac:dyDescent="0.3">
      <c r="B9012" s="1" t="s">
        <v>21</v>
      </c>
      <c r="C9012" s="1" t="str">
        <f>"4차"</f>
        <v>4차</v>
      </c>
      <c r="D9012" s="1" t="str">
        <f>"9629S23144"</f>
        <v>9629S23144</v>
      </c>
      <c r="E9012" s="1" t="s">
        <v>10</v>
      </c>
      <c r="F9012" s="1" t="str">
        <f>"10.14.3.192"</f>
        <v>10.14.3.192</v>
      </c>
      <c r="G9012" s="1" t="str">
        <f>"9629S231"</f>
        <v>9629S231</v>
      </c>
      <c r="H9012" s="1" t="str">
        <f>"용두간 13L2L2"</f>
        <v>용두간 13L2L2</v>
      </c>
      <c r="I9012" s="1" t="s">
        <v>8</v>
      </c>
      <c r="J9012" s="1" t="str">
        <f>"25/25"</f>
        <v>25/25</v>
      </c>
      <c r="K9012" s="1" t="str">
        <f>"2026-07-29 13:18:11"</f>
        <v>2026-07-29 13:18:11</v>
      </c>
      <c r="L9012" s="1" t="str">
        <f>"2022-04-07 11:02:42"</f>
        <v>2022-04-07 11:02:42</v>
      </c>
      <c r="M9012" s="1" t="s">
        <v>3</v>
      </c>
      <c r="N9012" s="1" t="s">
        <v>38</v>
      </c>
      <c r="O9012" s="1" t="s">
        <v>46</v>
      </c>
    </row>
    <row r="9013" spans="2:15" x14ac:dyDescent="0.3">
      <c r="B9013" s="1" t="s">
        <v>21</v>
      </c>
      <c r="C9013" s="1" t="str">
        <f>"3차"</f>
        <v>3차</v>
      </c>
      <c r="D9013" s="1" t="str">
        <f>"9629S24239"</f>
        <v>9629S24239</v>
      </c>
      <c r="E9013" s="1" t="s">
        <v>10</v>
      </c>
      <c r="F9013" s="1" t="str">
        <f>"10.14.9.21"</f>
        <v>10.14.9.21</v>
      </c>
      <c r="G9013" s="1" t="str">
        <f>"9629S242"</f>
        <v>9629S242</v>
      </c>
      <c r="H9013" s="1" t="str">
        <f>"용두간 13L4"</f>
        <v>용두간 13L4</v>
      </c>
      <c r="I9013" s="1" t="s">
        <v>8</v>
      </c>
      <c r="J9013" s="1" t="str">
        <f>"65/68"</f>
        <v>65/68</v>
      </c>
      <c r="K9013" s="1" t="str">
        <f>"2026-07-29 13:18:11"</f>
        <v>2026-07-29 13:18:11</v>
      </c>
      <c r="L9013" s="1" t="str">
        <f>"2018-10-01 13:31:42"</f>
        <v>2018-10-01 13:31:42</v>
      </c>
      <c r="M9013" s="1" t="s">
        <v>3</v>
      </c>
      <c r="N9013" s="1" t="s">
        <v>38</v>
      </c>
      <c r="O9013" s="1" t="s">
        <v>46</v>
      </c>
    </row>
    <row r="9014" spans="2:15" x14ac:dyDescent="0.3">
      <c r="B9014" s="1" t="s">
        <v>21</v>
      </c>
      <c r="C9014" s="1" t="str">
        <f>"4차"</f>
        <v>4차</v>
      </c>
      <c r="D9014" s="1" t="str">
        <f>"9629S26144"</f>
        <v>9629S26144</v>
      </c>
      <c r="E9014" s="1" t="s">
        <v>10</v>
      </c>
      <c r="F9014" s="1" t="str">
        <f>"10.10.86.138"</f>
        <v>10.10.86.138</v>
      </c>
      <c r="G9014" s="1" t="str">
        <f>"9629S261"</f>
        <v>9629S261</v>
      </c>
      <c r="H9014" s="1" t="str">
        <f>"용두간 16H2"</f>
        <v>용두간 16H2</v>
      </c>
      <c r="I9014" s="1" t="s">
        <v>8</v>
      </c>
      <c r="J9014" s="1" t="str">
        <f>"2/2"</f>
        <v>2/2</v>
      </c>
      <c r="K9014" s="1" t="str">
        <f>"2026-07-29 13:18:11"</f>
        <v>2026-07-29 13:18:11</v>
      </c>
      <c r="L9014" s="1" t="str">
        <f>"2019-12-11 18:17:47"</f>
        <v>2019-12-11 18:17:47</v>
      </c>
      <c r="M9014" s="1" t="s">
        <v>1</v>
      </c>
      <c r="N9014" s="1" t="s">
        <v>38</v>
      </c>
      <c r="O9014" s="1" t="s">
        <v>46</v>
      </c>
    </row>
    <row r="9015" spans="2:15" x14ac:dyDescent="0.3">
      <c r="B9015" s="1" t="s">
        <v>21</v>
      </c>
      <c r="C9015" s="1" t="str">
        <f>"4차"</f>
        <v>4차</v>
      </c>
      <c r="D9015" s="1" t="str">
        <f>"9629S26244"</f>
        <v>9629S26244</v>
      </c>
      <c r="E9015" s="1" t="s">
        <v>10</v>
      </c>
      <c r="F9015" s="1" t="str">
        <f>"10.14.9.22"</f>
        <v>10.14.9.22</v>
      </c>
      <c r="G9015" s="1" t="str">
        <f>"9629S262"</f>
        <v>9629S262</v>
      </c>
      <c r="H9015" s="1" t="str">
        <f>"용두간 16H1"</f>
        <v>용두간 16H1</v>
      </c>
      <c r="I9015" s="1" t="s">
        <v>8</v>
      </c>
      <c r="J9015" s="1" t="str">
        <f>"33/33"</f>
        <v>33/33</v>
      </c>
      <c r="K9015" s="1" t="str">
        <f>"2026-07-29 13:18:12"</f>
        <v>2026-07-29 13:18:12</v>
      </c>
      <c r="L9015" s="1" t="str">
        <f>"2019-11-11 19:48:40"</f>
        <v>2019-11-11 19:48:40</v>
      </c>
      <c r="M9015" s="1" t="s">
        <v>3</v>
      </c>
      <c r="N9015" s="1" t="s">
        <v>38</v>
      </c>
      <c r="O9015" s="1" t="s">
        <v>46</v>
      </c>
    </row>
    <row r="9016" spans="2:15" x14ac:dyDescent="0.3">
      <c r="B9016" s="1" t="s">
        <v>21</v>
      </c>
      <c r="C9016" s="1" t="str">
        <f>"3차"</f>
        <v>3차</v>
      </c>
      <c r="D9016" s="1" t="str">
        <f>"9629S31139"</f>
        <v>9629S31139</v>
      </c>
      <c r="E9016" s="1" t="s">
        <v>10</v>
      </c>
      <c r="F9016" s="1" t="str">
        <f>"10.128.4.19"</f>
        <v>10.128.4.19</v>
      </c>
      <c r="G9016" s="1" t="str">
        <f>"9629S311"</f>
        <v>9629S311</v>
      </c>
      <c r="H9016" s="1" t="str">
        <f>"용두간 8L2R5"</f>
        <v>용두간 8L2R5</v>
      </c>
      <c r="I9016" s="1" t="s">
        <v>8</v>
      </c>
      <c r="J9016" s="1" t="str">
        <f>"36/36"</f>
        <v>36/36</v>
      </c>
      <c r="K9016" s="1" t="str">
        <f t="shared" ref="K9016:K9028" si="449">"2026-07-29 13:18:11"</f>
        <v>2026-07-29 13:18:11</v>
      </c>
      <c r="L9016" s="1" t="str">
        <f>"2018-02-24 11:08:10"</f>
        <v>2018-02-24 11:08:10</v>
      </c>
      <c r="M9016" s="1" t="s">
        <v>45</v>
      </c>
      <c r="N9016" s="1" t="s">
        <v>38</v>
      </c>
      <c r="O9016" s="1" t="s">
        <v>46</v>
      </c>
    </row>
    <row r="9017" spans="2:15" x14ac:dyDescent="0.3">
      <c r="B9017" s="1" t="s">
        <v>21</v>
      </c>
      <c r="C9017" s="1" t="str">
        <f>"3차"</f>
        <v>3차</v>
      </c>
      <c r="D9017" s="1" t="str">
        <f>"9629S31339"</f>
        <v>9629S31339</v>
      </c>
      <c r="E9017" s="1" t="s">
        <v>10</v>
      </c>
      <c r="F9017" s="1" t="str">
        <f>"10.128.4.20"</f>
        <v>10.128.4.20</v>
      </c>
      <c r="G9017" s="1" t="str">
        <f>"9629S313"</f>
        <v>9629S313</v>
      </c>
      <c r="H9017" s="1" t="str">
        <f>"용두간 8L2R6H1L1"</f>
        <v>용두간 8L2R6H1L1</v>
      </c>
      <c r="I9017" s="1" t="s">
        <v>8</v>
      </c>
      <c r="J9017" s="1" t="str">
        <f>"19/19"</f>
        <v>19/19</v>
      </c>
      <c r="K9017" s="1" t="str">
        <f t="shared" si="449"/>
        <v>2026-07-29 13:18:11</v>
      </c>
      <c r="L9017" s="1" t="str">
        <f>"2018-02-19 10:13:54"</f>
        <v>2018-02-19 10:13:54</v>
      </c>
      <c r="M9017" s="1" t="s">
        <v>45</v>
      </c>
      <c r="N9017" s="1" t="s">
        <v>38</v>
      </c>
      <c r="O9017" s="1" t="s">
        <v>46</v>
      </c>
    </row>
    <row r="9018" spans="2:15" x14ac:dyDescent="0.3">
      <c r="B9018" s="1" t="s">
        <v>21</v>
      </c>
      <c r="C9018" s="1" t="str">
        <f>"4차"</f>
        <v>4차</v>
      </c>
      <c r="D9018" s="1" t="str">
        <f>"9629S35144"</f>
        <v>9629S35144</v>
      </c>
      <c r="E9018" s="1" t="s">
        <v>10</v>
      </c>
      <c r="F9018" s="1" t="str">
        <f>"10.10.121.138"</f>
        <v>10.10.121.138</v>
      </c>
      <c r="G9018" s="1" t="str">
        <f>"9629S351"</f>
        <v>9629S351</v>
      </c>
      <c r="H9018" s="1" t="str">
        <f>"용두간 14"</f>
        <v>용두간 14</v>
      </c>
      <c r="I9018" s="1" t="s">
        <v>8</v>
      </c>
      <c r="J9018" s="1" t="str">
        <f>"12/12"</f>
        <v>12/12</v>
      </c>
      <c r="K9018" s="1" t="str">
        <f t="shared" si="449"/>
        <v>2026-07-29 13:18:11</v>
      </c>
      <c r="L9018" s="1" t="str">
        <f>"2019-12-11 18:17:49"</f>
        <v>2019-12-11 18:17:49</v>
      </c>
      <c r="M9018" s="1" t="s">
        <v>1</v>
      </c>
      <c r="N9018" s="1" t="s">
        <v>38</v>
      </c>
      <c r="O9018" s="1" t="s">
        <v>46</v>
      </c>
    </row>
    <row r="9019" spans="2:15" x14ac:dyDescent="0.3">
      <c r="B9019" s="1" t="s">
        <v>21</v>
      </c>
      <c r="C9019" s="1" t="str">
        <f>"3차"</f>
        <v>3차</v>
      </c>
      <c r="D9019" s="1" t="str">
        <f>"9629S41139"</f>
        <v>9629S41139</v>
      </c>
      <c r="E9019" s="1" t="s">
        <v>10</v>
      </c>
      <c r="F9019" s="1" t="str">
        <f>"10.128.4.18"</f>
        <v>10.128.4.18</v>
      </c>
      <c r="G9019" s="1" t="str">
        <f>"9629S411"</f>
        <v>9629S411</v>
      </c>
      <c r="H9019" s="1" t="str">
        <f>"용두간 8L2R3"</f>
        <v>용두간 8L2R3</v>
      </c>
      <c r="I9019" s="1" t="s">
        <v>8</v>
      </c>
      <c r="J9019" s="1" t="str">
        <f>"23/23"</f>
        <v>23/23</v>
      </c>
      <c r="K9019" s="1" t="str">
        <f t="shared" si="449"/>
        <v>2026-07-29 13:18:11</v>
      </c>
      <c r="L9019" s="1" t="str">
        <f>"2018-02-19 10:36:54"</f>
        <v>2018-02-19 10:36:54</v>
      </c>
      <c r="M9019" s="1" t="s">
        <v>45</v>
      </c>
      <c r="N9019" s="1" t="s">
        <v>38</v>
      </c>
      <c r="O9019" s="1" t="s">
        <v>46</v>
      </c>
    </row>
    <row r="9020" spans="2:15" x14ac:dyDescent="0.3">
      <c r="B9020" s="1" t="s">
        <v>21</v>
      </c>
      <c r="C9020" s="1" t="str">
        <f>"3차"</f>
        <v>3차</v>
      </c>
      <c r="D9020" s="1" t="str">
        <f>"9629S41239"</f>
        <v>9629S41239</v>
      </c>
      <c r="E9020" s="1" t="s">
        <v>10</v>
      </c>
      <c r="F9020" s="1" t="str">
        <f>"10.128.71.211"</f>
        <v>10.128.71.211</v>
      </c>
      <c r="G9020" s="1" t="str">
        <f>"9629S412"</f>
        <v>9629S412</v>
      </c>
      <c r="H9020" s="1" t="str">
        <f>"용두간 10L1"</f>
        <v>용두간 10L1</v>
      </c>
      <c r="I9020" s="1" t="s">
        <v>8</v>
      </c>
      <c r="J9020" s="1" t="str">
        <f>"17/17"</f>
        <v>17/17</v>
      </c>
      <c r="K9020" s="1" t="str">
        <f t="shared" si="449"/>
        <v>2026-07-29 13:18:11</v>
      </c>
      <c r="L9020" s="1" t="str">
        <f>"2018-02-19 17:19:58"</f>
        <v>2018-02-19 17:19:58</v>
      </c>
      <c r="M9020" s="1" t="s">
        <v>45</v>
      </c>
      <c r="N9020" s="1" t="s">
        <v>38</v>
      </c>
      <c r="O9020" s="1" t="s">
        <v>46</v>
      </c>
    </row>
    <row r="9021" spans="2:15" x14ac:dyDescent="0.3">
      <c r="B9021" s="1" t="s">
        <v>21</v>
      </c>
      <c r="C9021" s="1" t="str">
        <f>"4차"</f>
        <v>4차</v>
      </c>
      <c r="D9021" s="1" t="str">
        <f>"9629S46144"</f>
        <v>9629S46144</v>
      </c>
      <c r="E9021" s="1" t="s">
        <v>10</v>
      </c>
      <c r="F9021" s="1" t="str">
        <f>"10.10.99.34"</f>
        <v>10.10.99.34</v>
      </c>
      <c r="G9021" s="1" t="str">
        <f>"9629S461"</f>
        <v>9629S461</v>
      </c>
      <c r="H9021" s="1" t="str">
        <f>"갈현간 68R1L3"</f>
        <v>갈현간 68R1L3</v>
      </c>
      <c r="I9021" s="1" t="s">
        <v>8</v>
      </c>
      <c r="J9021" s="1" t="str">
        <f>"42/62"</f>
        <v>42/62</v>
      </c>
      <c r="K9021" s="1" t="str">
        <f t="shared" si="449"/>
        <v>2026-07-29 13:18:11</v>
      </c>
      <c r="L9021" s="1" t="str">
        <f>"2019-09-24 15:29:32"</f>
        <v>2019-09-24 15:29:32</v>
      </c>
      <c r="M9021" s="1" t="s">
        <v>1</v>
      </c>
      <c r="N9021" s="1" t="s">
        <v>38</v>
      </c>
      <c r="O9021" s="1" t="s">
        <v>46</v>
      </c>
    </row>
    <row r="9022" spans="2:15" x14ac:dyDescent="0.3">
      <c r="B9022" s="1" t="s">
        <v>21</v>
      </c>
      <c r="C9022" s="1" t="str">
        <f>"1차"</f>
        <v>1차</v>
      </c>
      <c r="D9022" s="1" t="str">
        <f>"9629S52200"</f>
        <v>9629S52200</v>
      </c>
      <c r="E9022" s="1" t="s">
        <v>10</v>
      </c>
      <c r="F9022" s="1" t="str">
        <f>"10.128.1.133"</f>
        <v>10.128.1.133</v>
      </c>
      <c r="G9022" s="1" t="str">
        <f>"9629S522"</f>
        <v>9629S522</v>
      </c>
      <c r="H9022" s="1" t="str">
        <f>"갈현간 65"</f>
        <v>갈현간 65</v>
      </c>
      <c r="I9022" s="1" t="s">
        <v>8</v>
      </c>
      <c r="J9022" s="1" t="str">
        <f>"24/24"</f>
        <v>24/24</v>
      </c>
      <c r="K9022" s="1" t="str">
        <f t="shared" si="449"/>
        <v>2026-07-29 13:18:11</v>
      </c>
      <c r="L9022" s="1" t="str">
        <f>"2014-11-21 15:11:46"</f>
        <v>2014-11-21 15:11:46</v>
      </c>
      <c r="M9022" s="1" t="s">
        <v>45</v>
      </c>
      <c r="N9022" s="1" t="s">
        <v>38</v>
      </c>
      <c r="O9022" s="1" t="s">
        <v>46</v>
      </c>
    </row>
    <row r="9023" spans="2:15" x14ac:dyDescent="0.3">
      <c r="B9023" s="1" t="s">
        <v>21</v>
      </c>
      <c r="C9023" s="1" t="str">
        <f>"4차"</f>
        <v>4차</v>
      </c>
      <c r="D9023" s="1" t="str">
        <f>"9629S54444"</f>
        <v>9629S54444</v>
      </c>
      <c r="E9023" s="1" t="s">
        <v>10</v>
      </c>
      <c r="F9023" s="1" t="str">
        <f>"10.10.121.146"</f>
        <v>10.10.121.146</v>
      </c>
      <c r="G9023" s="1" t="str">
        <f>"9629S544"</f>
        <v>9629S544</v>
      </c>
      <c r="H9023" s="1" t="str">
        <f>"갈현간 68R1L1R1"</f>
        <v>갈현간 68R1L1R1</v>
      </c>
      <c r="I9023" s="1" t="s">
        <v>8</v>
      </c>
      <c r="J9023" s="1" t="str">
        <f>"26/26"</f>
        <v>26/26</v>
      </c>
      <c r="K9023" s="1" t="str">
        <f t="shared" si="449"/>
        <v>2026-07-29 13:18:11</v>
      </c>
      <c r="L9023" s="1" t="str">
        <f>"2019-10-15 15:53:03"</f>
        <v>2019-10-15 15:53:03</v>
      </c>
      <c r="M9023" s="1" t="s">
        <v>1</v>
      </c>
      <c r="N9023" s="1" t="s">
        <v>38</v>
      </c>
      <c r="O9023" s="1" t="s">
        <v>46</v>
      </c>
    </row>
    <row r="9024" spans="2:15" x14ac:dyDescent="0.3">
      <c r="B9024" s="1" t="s">
        <v>21</v>
      </c>
      <c r="C9024" s="1" t="str">
        <f>"4차"</f>
        <v>4차</v>
      </c>
      <c r="D9024" s="1" t="str">
        <f>"9629S55144"</f>
        <v>9629S55144</v>
      </c>
      <c r="E9024" s="1" t="s">
        <v>10</v>
      </c>
      <c r="F9024" s="1" t="str">
        <f>"10.10.99.26"</f>
        <v>10.10.99.26</v>
      </c>
      <c r="G9024" s="1" t="str">
        <f>"9629S551"</f>
        <v>9629S551</v>
      </c>
      <c r="H9024" s="1" t="str">
        <f>"갈현간 68R1L2"</f>
        <v>갈현간 68R1L2</v>
      </c>
      <c r="I9024" s="1" t="s">
        <v>8</v>
      </c>
      <c r="J9024" s="1" t="str">
        <f>"23/26"</f>
        <v>23/26</v>
      </c>
      <c r="K9024" s="1" t="str">
        <f t="shared" si="449"/>
        <v>2026-07-29 13:18:11</v>
      </c>
      <c r="L9024" s="1" t="str">
        <f>"2020-02-10 18:44:05"</f>
        <v>2020-02-10 18:44:05</v>
      </c>
      <c r="M9024" s="1" t="s">
        <v>1</v>
      </c>
      <c r="N9024" s="1" t="s">
        <v>38</v>
      </c>
      <c r="O9024" s="1" t="s">
        <v>46</v>
      </c>
    </row>
    <row r="9025" spans="2:15" x14ac:dyDescent="0.3">
      <c r="B9025" s="1" t="s">
        <v>21</v>
      </c>
      <c r="C9025" s="1" t="str">
        <f>"4차"</f>
        <v>4차</v>
      </c>
      <c r="D9025" s="1" t="str">
        <f>"9629S55244"</f>
        <v>9629S55244</v>
      </c>
      <c r="E9025" s="1" t="s">
        <v>10</v>
      </c>
      <c r="F9025" s="1" t="str">
        <f>"10.10.99.18"</f>
        <v>10.10.99.18</v>
      </c>
      <c r="G9025" s="1" t="str">
        <f>"9629S552"</f>
        <v>9629S552</v>
      </c>
      <c r="H9025" s="1" t="str">
        <f>"갈현간 68R1L1R2"</f>
        <v>갈현간 68R1L1R2</v>
      </c>
      <c r="I9025" s="1" t="s">
        <v>8</v>
      </c>
      <c r="J9025" s="1" t="str">
        <f>"13/13"</f>
        <v>13/13</v>
      </c>
      <c r="K9025" s="1" t="str">
        <f t="shared" si="449"/>
        <v>2026-07-29 13:18:11</v>
      </c>
      <c r="L9025" s="1" t="str">
        <f>"2019-09-24 17:03:05"</f>
        <v>2019-09-24 17:03:05</v>
      </c>
      <c r="M9025" s="1" t="s">
        <v>1</v>
      </c>
      <c r="N9025" s="1" t="s">
        <v>38</v>
      </c>
      <c r="O9025" s="1" t="s">
        <v>46</v>
      </c>
    </row>
    <row r="9026" spans="2:15" x14ac:dyDescent="0.3">
      <c r="B9026" s="1" t="s">
        <v>21</v>
      </c>
      <c r="C9026" s="1" t="str">
        <f>"3차"</f>
        <v>3차</v>
      </c>
      <c r="D9026" s="1" t="str">
        <f>"9629S60139"</f>
        <v>9629S60139</v>
      </c>
      <c r="E9026" s="1" t="s">
        <v>10</v>
      </c>
      <c r="F9026" s="1" t="str">
        <f>"10.128.71.212"</f>
        <v>10.128.71.212</v>
      </c>
      <c r="G9026" s="1" t="str">
        <f>"9629S601"</f>
        <v>9629S601</v>
      </c>
      <c r="H9026" s="1" t="str">
        <f>"용두간 8"</f>
        <v>용두간 8</v>
      </c>
      <c r="I9026" s="1" t="s">
        <v>8</v>
      </c>
      <c r="J9026" s="1" t="str">
        <f>"19/19"</f>
        <v>19/19</v>
      </c>
      <c r="K9026" s="1" t="str">
        <f t="shared" si="449"/>
        <v>2026-07-29 13:18:11</v>
      </c>
      <c r="L9026" s="1" t="str">
        <f>"2018-02-19 16:45:44"</f>
        <v>2018-02-19 16:45:44</v>
      </c>
      <c r="M9026" s="1" t="s">
        <v>45</v>
      </c>
      <c r="N9026" s="1" t="s">
        <v>38</v>
      </c>
      <c r="O9026" s="1" t="s">
        <v>46</v>
      </c>
    </row>
    <row r="9027" spans="2:15" x14ac:dyDescent="0.3">
      <c r="B9027" s="1" t="s">
        <v>21</v>
      </c>
      <c r="C9027" s="1" t="str">
        <f>"1차"</f>
        <v>1차</v>
      </c>
      <c r="D9027" s="1" t="str">
        <f>"9629S60200"</f>
        <v>9629S60200</v>
      </c>
      <c r="E9027" s="1" t="s">
        <v>10</v>
      </c>
      <c r="F9027" s="1" t="str">
        <f>"10.128.2.179"</f>
        <v>10.128.2.179</v>
      </c>
      <c r="G9027" s="1" t="str">
        <f>"9629S602"</f>
        <v>9629S602</v>
      </c>
      <c r="H9027" s="1" t="str">
        <f>"갈현간 62"</f>
        <v>갈현간 62</v>
      </c>
      <c r="I9027" s="1" t="s">
        <v>8</v>
      </c>
      <c r="J9027" s="1" t="str">
        <f>"4/4"</f>
        <v>4/4</v>
      </c>
      <c r="K9027" s="1" t="str">
        <f t="shared" si="449"/>
        <v>2026-07-29 13:18:11</v>
      </c>
      <c r="L9027" s="1" t="str">
        <f>"2015-01-05 10:25:50"</f>
        <v>2015-01-05 10:25:50</v>
      </c>
      <c r="M9027" s="1" t="s">
        <v>45</v>
      </c>
      <c r="N9027" s="1" t="s">
        <v>38</v>
      </c>
      <c r="O9027" s="1" t="s">
        <v>46</v>
      </c>
    </row>
    <row r="9028" spans="2:15" x14ac:dyDescent="0.3">
      <c r="B9028" s="1" t="s">
        <v>21</v>
      </c>
      <c r="C9028" s="1" t="str">
        <f>"4차"</f>
        <v>4차</v>
      </c>
      <c r="D9028" s="1" t="str">
        <f>"9629S60439"</f>
        <v>9629S60439</v>
      </c>
      <c r="E9028" s="1" t="s">
        <v>10</v>
      </c>
      <c r="F9028" s="1" t="str">
        <f>"10.128.4.14"</f>
        <v>10.128.4.14</v>
      </c>
      <c r="G9028" s="1" t="str">
        <f>"9629S604"</f>
        <v>9629S604</v>
      </c>
      <c r="H9028" s="1" t="str">
        <f>"용두간 8L1"</f>
        <v>용두간 8L1</v>
      </c>
      <c r="I9028" s="1" t="s">
        <v>8</v>
      </c>
      <c r="J9028" s="1" t="str">
        <f>"14/14"</f>
        <v>14/14</v>
      </c>
      <c r="K9028" s="1" t="str">
        <f t="shared" si="449"/>
        <v>2026-07-29 13:18:11</v>
      </c>
      <c r="L9028" s="1" t="str">
        <f>"2018-02-19 15:49:27"</f>
        <v>2018-02-19 15:49:27</v>
      </c>
      <c r="M9028" s="1" t="s">
        <v>45</v>
      </c>
      <c r="N9028" s="1" t="s">
        <v>38</v>
      </c>
      <c r="O9028" s="1" t="s">
        <v>46</v>
      </c>
    </row>
    <row r="9029" spans="2:15" x14ac:dyDescent="0.3">
      <c r="B9029" s="1" t="s">
        <v>21</v>
      </c>
      <c r="C9029" s="1" t="str">
        <f>"1차"</f>
        <v>1차</v>
      </c>
      <c r="D9029" s="1" t="str">
        <f>"9629S61302"</f>
        <v>9629S61302</v>
      </c>
      <c r="E9029" s="1" t="s">
        <v>10</v>
      </c>
      <c r="F9029" s="1" t="str">
        <f>"10.12.134.176"</f>
        <v>10.12.134.176</v>
      </c>
      <c r="G9029" s="1" t="str">
        <f>"9629S613"</f>
        <v>9629S613</v>
      </c>
      <c r="H9029" s="1" t="str">
        <f>"갈현간 63"</f>
        <v>갈현간 63</v>
      </c>
      <c r="I9029" s="1" t="s">
        <v>8</v>
      </c>
      <c r="J9029" s="1" t="str">
        <f>"10/15"</f>
        <v>10/15</v>
      </c>
      <c r="K9029" s="1" t="str">
        <f>"2026-07-29 13:18:12"</f>
        <v>2026-07-29 13:18:12</v>
      </c>
      <c r="L9029" s="1" t="str">
        <f>"2015-01-10 15:15:11"</f>
        <v>2015-01-10 15:15:11</v>
      </c>
      <c r="M9029" s="1" t="s">
        <v>0</v>
      </c>
      <c r="N9029" s="1" t="s">
        <v>38</v>
      </c>
      <c r="O9029" s="1" t="s">
        <v>46</v>
      </c>
    </row>
    <row r="9030" spans="2:15" x14ac:dyDescent="0.3">
      <c r="B9030" s="1" t="s">
        <v>21</v>
      </c>
      <c r="C9030" s="1" t="str">
        <f>"1차"</f>
        <v>1차</v>
      </c>
      <c r="D9030" s="1" t="str">
        <f>"9629S63319"</f>
        <v>9629S63319</v>
      </c>
      <c r="E9030" s="1" t="s">
        <v>10</v>
      </c>
      <c r="F9030" s="1" t="str">
        <f>"10.128.2.180"</f>
        <v>10.128.2.180</v>
      </c>
      <c r="G9030" s="1" t="str">
        <f>"9629S633"</f>
        <v>9629S633</v>
      </c>
      <c r="H9030" s="1" t="str">
        <f>"갈현간 68R3"</f>
        <v>갈현간 68R3</v>
      </c>
      <c r="I9030" s="1" t="s">
        <v>8</v>
      </c>
      <c r="J9030" s="1" t="str">
        <f>"52/52"</f>
        <v>52/52</v>
      </c>
      <c r="K9030" s="1" t="str">
        <f>"2026-07-29 13:18:11"</f>
        <v>2026-07-29 13:18:11</v>
      </c>
      <c r="L9030" s="1" t="str">
        <f>"2017-02-24 15:03:54"</f>
        <v>2017-02-24 15:03:54</v>
      </c>
      <c r="M9030" s="1" t="s">
        <v>45</v>
      </c>
      <c r="N9030" s="1" t="s">
        <v>38</v>
      </c>
      <c r="O9030" s="1" t="s">
        <v>46</v>
      </c>
    </row>
    <row r="9031" spans="2:15" x14ac:dyDescent="0.3">
      <c r="B9031" s="1" t="s">
        <v>21</v>
      </c>
      <c r="C9031" s="1" t="str">
        <f>"3차"</f>
        <v>3차</v>
      </c>
      <c r="D9031" s="1" t="str">
        <f>"9629S70139"</f>
        <v>9629S70139</v>
      </c>
      <c r="E9031" s="1" t="s">
        <v>10</v>
      </c>
      <c r="F9031" s="1" t="str">
        <f>"10.128.73.51"</f>
        <v>10.128.73.51</v>
      </c>
      <c r="G9031" s="1" t="str">
        <f>"9629S701"</f>
        <v>9629S701</v>
      </c>
      <c r="H9031" s="1" t="str">
        <f>"용두간 7"</f>
        <v>용두간 7</v>
      </c>
      <c r="I9031" s="1" t="s">
        <v>8</v>
      </c>
      <c r="J9031" s="1" t="str">
        <f>"11/11"</f>
        <v>11/11</v>
      </c>
      <c r="K9031" s="1" t="str">
        <f>"2026-07-29 13:18:11"</f>
        <v>2026-07-29 13:18:11</v>
      </c>
      <c r="L9031" s="1" t="str">
        <f>"2018-02-19 15:55:42"</f>
        <v>2018-02-19 15:55:42</v>
      </c>
      <c r="M9031" s="1" t="s">
        <v>45</v>
      </c>
      <c r="N9031" s="1" t="s">
        <v>38</v>
      </c>
      <c r="O9031" s="1" t="s">
        <v>46</v>
      </c>
    </row>
    <row r="9032" spans="2:15" x14ac:dyDescent="0.3">
      <c r="B9032" s="1" t="s">
        <v>21</v>
      </c>
      <c r="C9032" s="1" t="str">
        <f>"3차"</f>
        <v>3차</v>
      </c>
      <c r="D9032" s="1" t="str">
        <f>"9629S70239"</f>
        <v>9629S70239</v>
      </c>
      <c r="E9032" s="1" t="s">
        <v>10</v>
      </c>
      <c r="F9032" s="1" t="str">
        <f>"10.128.3.54"</f>
        <v>10.128.3.54</v>
      </c>
      <c r="G9032" s="1" t="str">
        <f>"9629S702"</f>
        <v>9629S702</v>
      </c>
      <c r="H9032" s="1" t="str">
        <f>"갈현간 61R1"</f>
        <v>갈현간 61R1</v>
      </c>
      <c r="I9032" s="1" t="s">
        <v>8</v>
      </c>
      <c r="J9032" s="1" t="str">
        <f>"37/37"</f>
        <v>37/37</v>
      </c>
      <c r="K9032" s="1" t="str">
        <f>"2026-07-29 13:18:11"</f>
        <v>2026-07-29 13:18:11</v>
      </c>
      <c r="L9032" s="1" t="str">
        <f>"2018-01-10 18:24:43"</f>
        <v>2018-01-10 18:24:43</v>
      </c>
      <c r="M9032" s="1" t="s">
        <v>45</v>
      </c>
      <c r="N9032" s="1" t="s">
        <v>38</v>
      </c>
      <c r="O9032" s="1" t="s">
        <v>46</v>
      </c>
    </row>
    <row r="9033" spans="2:15" x14ac:dyDescent="0.3">
      <c r="B9033" s="1" t="s">
        <v>21</v>
      </c>
      <c r="C9033" s="1" t="str">
        <f>"3차"</f>
        <v>3차</v>
      </c>
      <c r="D9033" s="1" t="str">
        <f>"9629S70539"</f>
        <v>9629S70539</v>
      </c>
      <c r="E9033" s="1" t="s">
        <v>10</v>
      </c>
      <c r="F9033" s="1" t="str">
        <f>"10.128.3.53"</f>
        <v>10.128.3.53</v>
      </c>
      <c r="G9033" s="1" t="str">
        <f>"9629S705"</f>
        <v>9629S705</v>
      </c>
      <c r="H9033" s="1" t="str">
        <f>"갈현간 60"</f>
        <v>갈현간 60</v>
      </c>
      <c r="I9033" s="1" t="s">
        <v>8</v>
      </c>
      <c r="J9033" s="1" t="str">
        <f>"32/32"</f>
        <v>32/32</v>
      </c>
      <c r="K9033" s="1" t="str">
        <f>"2026-07-29 13:18:11"</f>
        <v>2026-07-29 13:18:11</v>
      </c>
      <c r="L9033" s="1" t="str">
        <f>"2018-01-10 17:42:12"</f>
        <v>2018-01-10 17:42:12</v>
      </c>
      <c r="M9033" s="1" t="s">
        <v>45</v>
      </c>
      <c r="N9033" s="1" t="s">
        <v>38</v>
      </c>
      <c r="O9033" s="1" t="s">
        <v>46</v>
      </c>
    </row>
    <row r="9034" spans="2:15" x14ac:dyDescent="0.3">
      <c r="B9034" s="1" t="s">
        <v>21</v>
      </c>
      <c r="C9034" s="1" t="str">
        <f>"1차"</f>
        <v>1차</v>
      </c>
      <c r="D9034" s="1" t="str">
        <f>"9629S71101"</f>
        <v>9629S71101</v>
      </c>
      <c r="E9034" s="1" t="s">
        <v>10</v>
      </c>
      <c r="F9034" s="1" t="str">
        <f>"10.128.1.140"</f>
        <v>10.128.1.140</v>
      </c>
      <c r="G9034" s="1" t="str">
        <f>"9629S711"</f>
        <v>9629S711</v>
      </c>
      <c r="H9034" s="1" t="str">
        <f>"갈현간 61R2L1"</f>
        <v>갈현간 61R2L1</v>
      </c>
      <c r="I9034" s="1" t="s">
        <v>8</v>
      </c>
      <c r="J9034" s="1" t="str">
        <f>"44/46"</f>
        <v>44/46</v>
      </c>
      <c r="K9034" s="1" t="str">
        <f>"2026-07-29 13:18:12"</f>
        <v>2026-07-29 13:18:12</v>
      </c>
      <c r="L9034" s="1" t="str">
        <f>"2014-11-26 16:46:13"</f>
        <v>2014-11-26 16:46:13</v>
      </c>
      <c r="M9034" s="1" t="s">
        <v>45</v>
      </c>
      <c r="N9034" s="1" t="s">
        <v>38</v>
      </c>
      <c r="O9034" s="1" t="s">
        <v>46</v>
      </c>
    </row>
    <row r="9035" spans="2:15" x14ac:dyDescent="0.3">
      <c r="B9035" s="1" t="s">
        <v>21</v>
      </c>
      <c r="C9035" s="1" t="str">
        <f>"4차"</f>
        <v>4차</v>
      </c>
      <c r="D9035" s="1" t="str">
        <f>"9629S80139"</f>
        <v>9629S80139</v>
      </c>
      <c r="E9035" s="1" t="s">
        <v>10</v>
      </c>
      <c r="F9035" s="1" t="str">
        <f>"10.128.3.55"</f>
        <v>10.128.3.55</v>
      </c>
      <c r="G9035" s="1" t="str">
        <f>"9629S801"</f>
        <v>9629S801</v>
      </c>
      <c r="H9035" s="1" t="str">
        <f>"갈현간 61R1R1"</f>
        <v>갈현간 61R1R1</v>
      </c>
      <c r="I9035" s="1" t="s">
        <v>8</v>
      </c>
      <c r="J9035" s="1" t="str">
        <f>"47/47"</f>
        <v>47/47</v>
      </c>
      <c r="K9035" s="1" t="str">
        <f t="shared" ref="K9035:K9042" si="450">"2026-07-29 13:18:11"</f>
        <v>2026-07-29 13:18:11</v>
      </c>
      <c r="L9035" s="1" t="str">
        <f>"2018-01-10 18:36:13"</f>
        <v>2018-01-10 18:36:13</v>
      </c>
      <c r="M9035" s="1" t="s">
        <v>45</v>
      </c>
      <c r="N9035" s="1" t="s">
        <v>38</v>
      </c>
      <c r="O9035" s="1" t="s">
        <v>46</v>
      </c>
    </row>
    <row r="9036" spans="2:15" x14ac:dyDescent="0.3">
      <c r="B9036" s="1" t="s">
        <v>21</v>
      </c>
      <c r="C9036" s="1" t="str">
        <f>"1차"</f>
        <v>1차</v>
      </c>
      <c r="D9036" s="1" t="str">
        <f>"9629S81200"</f>
        <v>9629S81200</v>
      </c>
      <c r="E9036" s="1" t="s">
        <v>10</v>
      </c>
      <c r="F9036" s="1" t="str">
        <f>"10.128.1.139"</f>
        <v>10.128.1.139</v>
      </c>
      <c r="G9036" s="1" t="str">
        <f>"9629S812"</f>
        <v>9629S812</v>
      </c>
      <c r="H9036" s="1" t="str">
        <f>"갈현간 61R2R1"</f>
        <v>갈현간 61R2R1</v>
      </c>
      <c r="I9036" s="1" t="s">
        <v>8</v>
      </c>
      <c r="J9036" s="1" t="str">
        <f>"34/35"</f>
        <v>34/35</v>
      </c>
      <c r="K9036" s="1" t="str">
        <f t="shared" si="450"/>
        <v>2026-07-29 13:18:11</v>
      </c>
      <c r="L9036" s="1" t="str">
        <f>"2014-10-23 00:13:43"</f>
        <v>2014-10-23 00:13:43</v>
      </c>
      <c r="M9036" s="1" t="s">
        <v>45</v>
      </c>
      <c r="N9036" s="1" t="s">
        <v>38</v>
      </c>
      <c r="O9036" s="1" t="s">
        <v>46</v>
      </c>
    </row>
    <row r="9037" spans="2:15" x14ac:dyDescent="0.3">
      <c r="B9037" s="1" t="s">
        <v>21</v>
      </c>
      <c r="C9037" s="1" t="str">
        <f>"4차"</f>
        <v>4차</v>
      </c>
      <c r="D9037" s="1" t="str">
        <f>"9629S82239"</f>
        <v>9629S82239</v>
      </c>
      <c r="E9037" s="1" t="s">
        <v>10</v>
      </c>
      <c r="F9037" s="1" t="str">
        <f>"10.128.69.226"</f>
        <v>10.128.69.226</v>
      </c>
      <c r="G9037" s="1" t="str">
        <f>"9629S822"</f>
        <v>9629S822</v>
      </c>
      <c r="H9037" s="1" t="str">
        <f>"갈현간 61R3"</f>
        <v>갈현간 61R3</v>
      </c>
      <c r="I9037" s="1" t="s">
        <v>8</v>
      </c>
      <c r="J9037" s="1" t="str">
        <f>"62/62"</f>
        <v>62/62</v>
      </c>
      <c r="K9037" s="1" t="str">
        <f t="shared" si="450"/>
        <v>2026-07-29 13:18:11</v>
      </c>
      <c r="L9037" s="1" t="str">
        <f>"2021-07-06 18:31:36"</f>
        <v>2021-07-06 18:31:36</v>
      </c>
      <c r="M9037" s="1" t="s">
        <v>45</v>
      </c>
      <c r="N9037" s="1" t="s">
        <v>38</v>
      </c>
      <c r="O9037" s="1" t="s">
        <v>46</v>
      </c>
    </row>
    <row r="9038" spans="2:15" x14ac:dyDescent="0.3">
      <c r="B9038" s="1" t="s">
        <v>21</v>
      </c>
      <c r="C9038" s="1" t="str">
        <f>"1차"</f>
        <v>1차</v>
      </c>
      <c r="D9038" s="1" t="str">
        <f>"9629S84200"</f>
        <v>9629S84200</v>
      </c>
      <c r="E9038" s="1" t="s">
        <v>10</v>
      </c>
      <c r="F9038" s="1" t="str">
        <f>"10.128.2.181"</f>
        <v>10.128.2.181</v>
      </c>
      <c r="G9038" s="1" t="str">
        <f>"9629S842"</f>
        <v>9629S842</v>
      </c>
      <c r="H9038" s="1" t="str">
        <f>"갈현간 61R6"</f>
        <v>갈현간 61R6</v>
      </c>
      <c r="I9038" s="1" t="s">
        <v>8</v>
      </c>
      <c r="J9038" s="1" t="str">
        <f>"83/85"</f>
        <v>83/85</v>
      </c>
      <c r="K9038" s="1" t="str">
        <f t="shared" si="450"/>
        <v>2026-07-29 13:18:11</v>
      </c>
      <c r="L9038" s="1" t="str">
        <f>"2022-12-02 17:02:54"</f>
        <v>2022-12-02 17:02:54</v>
      </c>
      <c r="M9038" s="1" t="s">
        <v>45</v>
      </c>
      <c r="N9038" s="1" t="s">
        <v>38</v>
      </c>
      <c r="O9038" s="1" t="s">
        <v>46</v>
      </c>
    </row>
    <row r="9039" spans="2:15" x14ac:dyDescent="0.3">
      <c r="B9039" s="1" t="s">
        <v>21</v>
      </c>
      <c r="C9039" s="1" t="str">
        <f t="shared" ref="C9039:C9052" si="451">"4차"</f>
        <v>4차</v>
      </c>
      <c r="D9039" s="1" t="str">
        <f>"9629S93244"</f>
        <v>9629S93244</v>
      </c>
      <c r="E9039" s="1" t="s">
        <v>10</v>
      </c>
      <c r="F9039" s="1" t="str">
        <f>"10.10.99.10"</f>
        <v>10.10.99.10</v>
      </c>
      <c r="G9039" s="1" t="str">
        <f>"9629S932"</f>
        <v>9629S932</v>
      </c>
      <c r="H9039" s="1" t="str">
        <f>"갈현간 61R8"</f>
        <v>갈현간 61R8</v>
      </c>
      <c r="I9039" s="1" t="s">
        <v>8</v>
      </c>
      <c r="J9039" s="1" t="str">
        <f>"22/22"</f>
        <v>22/22</v>
      </c>
      <c r="K9039" s="1" t="str">
        <f t="shared" si="450"/>
        <v>2026-07-29 13:18:11</v>
      </c>
      <c r="L9039" s="1" t="str">
        <f>"2019-11-14 13:17:33"</f>
        <v>2019-11-14 13:17:33</v>
      </c>
      <c r="M9039" s="1" t="s">
        <v>1</v>
      </c>
      <c r="N9039" s="1" t="s">
        <v>38</v>
      </c>
      <c r="O9039" s="1" t="s">
        <v>46</v>
      </c>
    </row>
    <row r="9040" spans="2:15" x14ac:dyDescent="0.3">
      <c r="B9040" s="1" t="s">
        <v>21</v>
      </c>
      <c r="C9040" s="1" t="str">
        <f t="shared" si="451"/>
        <v>4차</v>
      </c>
      <c r="D9040" s="1" t="str">
        <f>"9629S97244"</f>
        <v>9629S97244</v>
      </c>
      <c r="E9040" s="1" t="s">
        <v>10</v>
      </c>
      <c r="F9040" s="1" t="str">
        <f>"10.10.120.242"</f>
        <v>10.10.120.242</v>
      </c>
      <c r="G9040" s="1" t="str">
        <f>"9629S972"</f>
        <v>9629S972</v>
      </c>
      <c r="H9040" s="1" t="str">
        <f>"갈현간 42R12L1"</f>
        <v>갈현간 42R12L1</v>
      </c>
      <c r="I9040" s="1" t="s">
        <v>8</v>
      </c>
      <c r="J9040" s="1" t="str">
        <f>"15/16"</f>
        <v>15/16</v>
      </c>
      <c r="K9040" s="1" t="str">
        <f t="shared" si="450"/>
        <v>2026-07-29 13:18:11</v>
      </c>
      <c r="L9040" s="1" t="str">
        <f>"2019-09-17 13:33:04"</f>
        <v>2019-09-17 13:33:04</v>
      </c>
      <c r="M9040" s="1" t="s">
        <v>1</v>
      </c>
      <c r="N9040" s="1" t="s">
        <v>38</v>
      </c>
      <c r="O9040" s="1" t="s">
        <v>46</v>
      </c>
    </row>
    <row r="9041" spans="2:15" x14ac:dyDescent="0.3">
      <c r="B9041" s="1" t="s">
        <v>21</v>
      </c>
      <c r="C9041" s="1" t="str">
        <f t="shared" si="451"/>
        <v>4차</v>
      </c>
      <c r="D9041" s="1" t="str">
        <f>"9629W06141"</f>
        <v>9629W06141</v>
      </c>
      <c r="E9041" s="1" t="s">
        <v>10</v>
      </c>
      <c r="F9041" s="1" t="str">
        <f>"10.14.1.109"</f>
        <v>10.14.1.109</v>
      </c>
      <c r="G9041" s="1" t="str">
        <f>"9629W061"</f>
        <v>9629W061</v>
      </c>
      <c r="H9041" s="1" t="str">
        <f>"갈현간 26R12L9"</f>
        <v>갈현간 26R12L9</v>
      </c>
      <c r="I9041" s="1" t="s">
        <v>17</v>
      </c>
      <c r="J9041" s="1" t="str">
        <f>"13/23"</f>
        <v>13/23</v>
      </c>
      <c r="K9041" s="1" t="str">
        <f t="shared" si="450"/>
        <v>2026-07-29 13:18:11</v>
      </c>
      <c r="L9041" s="1" t="str">
        <f>"2021-08-06 11:40:16"</f>
        <v>2021-08-06 11:40:16</v>
      </c>
      <c r="M9041" s="1" t="s">
        <v>3</v>
      </c>
      <c r="N9041" s="1" t="s">
        <v>38</v>
      </c>
      <c r="O9041" s="1" t="s">
        <v>46</v>
      </c>
    </row>
    <row r="9042" spans="2:15" x14ac:dyDescent="0.3">
      <c r="B9042" s="1" t="s">
        <v>21</v>
      </c>
      <c r="C9042" s="1" t="str">
        <f t="shared" si="451"/>
        <v>4차</v>
      </c>
      <c r="D9042" s="1" t="str">
        <f>"9629W15244"</f>
        <v>9629W15244</v>
      </c>
      <c r="E9042" s="1" t="s">
        <v>10</v>
      </c>
      <c r="F9042" s="1" t="str">
        <f>"10.10.120.98"</f>
        <v>10.10.120.98</v>
      </c>
      <c r="G9042" s="1" t="str">
        <f>"9629W152"</f>
        <v>9629W152</v>
      </c>
      <c r="H9042" s="1" t="str">
        <f>"갈현간 26R12L8L1"</f>
        <v>갈현간 26R12L8L1</v>
      </c>
      <c r="I9042" s="1" t="s">
        <v>8</v>
      </c>
      <c r="J9042" s="1" t="str">
        <f>"19/19"</f>
        <v>19/19</v>
      </c>
      <c r="K9042" s="1" t="str">
        <f t="shared" si="450"/>
        <v>2026-07-29 13:18:11</v>
      </c>
      <c r="L9042" s="1" t="str">
        <f>"2019-10-22 14:01:50"</f>
        <v>2019-10-22 14:01:50</v>
      </c>
      <c r="M9042" s="1" t="s">
        <v>1</v>
      </c>
      <c r="N9042" s="1" t="s">
        <v>38</v>
      </c>
      <c r="O9042" s="1" t="s">
        <v>46</v>
      </c>
    </row>
    <row r="9043" spans="2:15" x14ac:dyDescent="0.3">
      <c r="B9043" s="1" t="s">
        <v>21</v>
      </c>
      <c r="C9043" s="1" t="str">
        <f t="shared" si="451"/>
        <v>4차</v>
      </c>
      <c r="D9043" s="1" t="str">
        <f>"9629W25244"</f>
        <v>9629W25244</v>
      </c>
      <c r="E9043" s="1" t="s">
        <v>10</v>
      </c>
      <c r="F9043" s="1" t="str">
        <f>"10.10.97.154"</f>
        <v>10.10.97.154</v>
      </c>
      <c r="G9043" s="1" t="str">
        <f>"9629W252"</f>
        <v>9629W252</v>
      </c>
      <c r="H9043" s="1" t="str">
        <f>"갈현간 26R12L6"</f>
        <v>갈현간 26R12L6</v>
      </c>
      <c r="I9043" s="1" t="s">
        <v>8</v>
      </c>
      <c r="J9043" s="1" t="str">
        <f>"38/38"</f>
        <v>38/38</v>
      </c>
      <c r="K9043" s="1" t="str">
        <f>"2026-07-29 13:18:00"</f>
        <v>2026-07-29 13:18:00</v>
      </c>
      <c r="L9043" s="1" t="str">
        <f>"2019-09-03 13:34:33"</f>
        <v>2019-09-03 13:34:33</v>
      </c>
      <c r="M9043" s="1" t="s">
        <v>1</v>
      </c>
      <c r="N9043" s="1" t="s">
        <v>38</v>
      </c>
      <c r="O9043" s="1" t="s">
        <v>46</v>
      </c>
    </row>
    <row r="9044" spans="2:15" x14ac:dyDescent="0.3">
      <c r="B9044" s="1" t="s">
        <v>21</v>
      </c>
      <c r="C9044" s="1" t="str">
        <f t="shared" si="451"/>
        <v>4차</v>
      </c>
      <c r="D9044" s="1" t="str">
        <f>"9629W26244"</f>
        <v>9629W26244</v>
      </c>
      <c r="E9044" s="1" t="s">
        <v>10</v>
      </c>
      <c r="F9044" s="1" t="str">
        <f>"10.10.97.18"</f>
        <v>10.10.97.18</v>
      </c>
      <c r="G9044" s="1" t="str">
        <f>"9629W262"</f>
        <v>9629W262</v>
      </c>
      <c r="H9044" s="1" t="str">
        <f>"갈현간 26R16L7"</f>
        <v>갈현간 26R16L7</v>
      </c>
      <c r="I9044" s="1" t="s">
        <v>8</v>
      </c>
      <c r="J9044" s="1" t="str">
        <f>"25/25"</f>
        <v>25/25</v>
      </c>
      <c r="K9044" s="1" t="str">
        <f t="shared" ref="K9044:K9052" si="452">"2026-07-29 13:18:11"</f>
        <v>2026-07-29 13:18:11</v>
      </c>
      <c r="L9044" s="1" t="str">
        <f>"2019-09-24 13:16:43"</f>
        <v>2019-09-24 13:16:43</v>
      </c>
      <c r="M9044" s="1" t="s">
        <v>1</v>
      </c>
      <c r="N9044" s="1" t="s">
        <v>38</v>
      </c>
      <c r="O9044" s="1" t="s">
        <v>46</v>
      </c>
    </row>
    <row r="9045" spans="2:15" x14ac:dyDescent="0.3">
      <c r="B9045" s="1" t="s">
        <v>21</v>
      </c>
      <c r="C9045" s="1" t="str">
        <f t="shared" si="451"/>
        <v>4차</v>
      </c>
      <c r="D9045" s="1" t="str">
        <f>"9629W33344"</f>
        <v>9629W33344</v>
      </c>
      <c r="E9045" s="1" t="s">
        <v>10</v>
      </c>
      <c r="F9045" s="1" t="str">
        <f>"10.10.97.186"</f>
        <v>10.10.97.186</v>
      </c>
      <c r="G9045" s="1" t="str">
        <f>"9629W333"</f>
        <v>9629W333</v>
      </c>
      <c r="H9045" s="1" t="str">
        <f>"갈현간 26R12L3"</f>
        <v>갈현간 26R12L3</v>
      </c>
      <c r="I9045" s="1" t="s">
        <v>8</v>
      </c>
      <c r="J9045" s="1" t="str">
        <f>"88/90"</f>
        <v>88/90</v>
      </c>
      <c r="K9045" s="1" t="str">
        <f t="shared" si="452"/>
        <v>2026-07-29 13:18:11</v>
      </c>
      <c r="L9045" s="1" t="str">
        <f>"2019-10-22 13:31:21"</f>
        <v>2019-10-22 13:31:21</v>
      </c>
      <c r="M9045" s="1" t="s">
        <v>1</v>
      </c>
      <c r="N9045" s="1" t="s">
        <v>38</v>
      </c>
      <c r="O9045" s="1" t="s">
        <v>46</v>
      </c>
    </row>
    <row r="9046" spans="2:15" x14ac:dyDescent="0.3">
      <c r="B9046" s="1" t="s">
        <v>21</v>
      </c>
      <c r="C9046" s="1" t="str">
        <f t="shared" si="451"/>
        <v>4차</v>
      </c>
      <c r="D9046" s="1" t="str">
        <f>"9629W34144"</f>
        <v>9629W34144</v>
      </c>
      <c r="E9046" s="1" t="s">
        <v>10</v>
      </c>
      <c r="F9046" s="1" t="str">
        <f>"10.10.97.178"</f>
        <v>10.10.97.178</v>
      </c>
      <c r="G9046" s="1" t="str">
        <f>"9629W341"</f>
        <v>9629W341</v>
      </c>
      <c r="H9046" s="1" t="str">
        <f>"갈현간 26R12L4"</f>
        <v>갈현간 26R12L4</v>
      </c>
      <c r="I9046" s="1" t="s">
        <v>8</v>
      </c>
      <c r="J9046" s="1" t="str">
        <f>"34/34"</f>
        <v>34/34</v>
      </c>
      <c r="K9046" s="1" t="str">
        <f t="shared" si="452"/>
        <v>2026-07-29 13:18:11</v>
      </c>
      <c r="L9046" s="1" t="str">
        <f>"2019-10-22 13:32:05"</f>
        <v>2019-10-22 13:32:05</v>
      </c>
      <c r="M9046" s="1" t="s">
        <v>1</v>
      </c>
      <c r="N9046" s="1" t="s">
        <v>38</v>
      </c>
      <c r="O9046" s="1" t="s">
        <v>46</v>
      </c>
    </row>
    <row r="9047" spans="2:15" x14ac:dyDescent="0.3">
      <c r="B9047" s="1" t="s">
        <v>21</v>
      </c>
      <c r="C9047" s="1" t="str">
        <f t="shared" si="451"/>
        <v>4차</v>
      </c>
      <c r="D9047" s="1" t="str">
        <f>"9629W35144"</f>
        <v>9629W35144</v>
      </c>
      <c r="E9047" s="1" t="s">
        <v>10</v>
      </c>
      <c r="F9047" s="1" t="str">
        <f>"10.10.97.74"</f>
        <v>10.10.97.74</v>
      </c>
      <c r="G9047" s="1" t="str">
        <f>"9629W351"</f>
        <v>9629W351</v>
      </c>
      <c r="H9047" s="1" t="str">
        <f>"갈현간 26R16L5"</f>
        <v>갈현간 26R16L5</v>
      </c>
      <c r="I9047" s="1" t="s">
        <v>8</v>
      </c>
      <c r="J9047" s="1" t="str">
        <f>"34/34"</f>
        <v>34/34</v>
      </c>
      <c r="K9047" s="1" t="str">
        <f t="shared" si="452"/>
        <v>2026-07-29 13:18:11</v>
      </c>
      <c r="L9047" s="1" t="str">
        <f>"2019-09-24 11:33:12"</f>
        <v>2019-09-24 11:33:12</v>
      </c>
      <c r="M9047" s="1" t="s">
        <v>1</v>
      </c>
      <c r="N9047" s="1" t="s">
        <v>38</v>
      </c>
      <c r="O9047" s="1" t="s">
        <v>46</v>
      </c>
    </row>
    <row r="9048" spans="2:15" x14ac:dyDescent="0.3">
      <c r="B9048" s="1" t="s">
        <v>21</v>
      </c>
      <c r="C9048" s="1" t="str">
        <f t="shared" si="451"/>
        <v>4차</v>
      </c>
      <c r="D9048" s="1" t="str">
        <f>"9629W35244"</f>
        <v>9629W35244</v>
      </c>
      <c r="E9048" s="1" t="s">
        <v>10</v>
      </c>
      <c r="F9048" s="1" t="str">
        <f>"10.10.120.114"</f>
        <v>10.10.120.114</v>
      </c>
      <c r="G9048" s="1" t="str">
        <f>"9629W352"</f>
        <v>9629W352</v>
      </c>
      <c r="H9048" s="1" t="str">
        <f>"갈현간 26R16L2L2"</f>
        <v>갈현간 26R16L2L2</v>
      </c>
      <c r="I9048" s="1" t="s">
        <v>8</v>
      </c>
      <c r="J9048" s="1" t="str">
        <f>"20/20"</f>
        <v>20/20</v>
      </c>
      <c r="K9048" s="1" t="str">
        <f t="shared" si="452"/>
        <v>2026-07-29 13:18:11</v>
      </c>
      <c r="L9048" s="1" t="str">
        <f>"2019-10-22 14:24:21"</f>
        <v>2019-10-22 14:24:21</v>
      </c>
      <c r="M9048" s="1" t="s">
        <v>1</v>
      </c>
      <c r="N9048" s="1" t="s">
        <v>38</v>
      </c>
      <c r="O9048" s="1" t="s">
        <v>46</v>
      </c>
    </row>
    <row r="9049" spans="2:15" x14ac:dyDescent="0.3">
      <c r="B9049" s="1" t="s">
        <v>21</v>
      </c>
      <c r="C9049" s="1" t="str">
        <f t="shared" si="451"/>
        <v>4차</v>
      </c>
      <c r="D9049" s="1" t="str">
        <f>"9629W36244"</f>
        <v>9629W36244</v>
      </c>
      <c r="E9049" s="1" t="s">
        <v>10</v>
      </c>
      <c r="F9049" s="1" t="str">
        <f>"10.10.97.50"</f>
        <v>10.10.97.50</v>
      </c>
      <c r="G9049" s="1" t="str">
        <f>"9629W362"</f>
        <v>9629W362</v>
      </c>
      <c r="H9049" s="1" t="str">
        <f>"갈현간 26R16L6"</f>
        <v>갈현간 26R16L6</v>
      </c>
      <c r="I9049" s="1" t="s">
        <v>8</v>
      </c>
      <c r="J9049" s="1" t="str">
        <f>"21/21"</f>
        <v>21/21</v>
      </c>
      <c r="K9049" s="1" t="str">
        <f t="shared" si="452"/>
        <v>2026-07-29 13:18:11</v>
      </c>
      <c r="L9049" s="1" t="str">
        <f>"2019-09-24 13:11:59"</f>
        <v>2019-09-24 13:11:59</v>
      </c>
      <c r="M9049" s="1" t="s">
        <v>1</v>
      </c>
      <c r="N9049" s="1" t="s">
        <v>38</v>
      </c>
      <c r="O9049" s="1" t="s">
        <v>46</v>
      </c>
    </row>
    <row r="9050" spans="2:15" x14ac:dyDescent="0.3">
      <c r="B9050" s="1" t="s">
        <v>21</v>
      </c>
      <c r="C9050" s="1" t="str">
        <f t="shared" si="451"/>
        <v>4차</v>
      </c>
      <c r="D9050" s="1" t="str">
        <f>"9629W43144"</f>
        <v>9629W43144</v>
      </c>
      <c r="E9050" s="1" t="s">
        <v>10</v>
      </c>
      <c r="F9050" s="1" t="str">
        <f>"10.10.97.114"</f>
        <v>10.10.97.114</v>
      </c>
      <c r="G9050" s="1" t="str">
        <f>"9629W431"</f>
        <v>9629W431</v>
      </c>
      <c r="H9050" s="1" t="str">
        <f>"갈현간 26R16L2"</f>
        <v>갈현간 26R16L2</v>
      </c>
      <c r="I9050" s="1" t="s">
        <v>8</v>
      </c>
      <c r="J9050" s="1" t="str">
        <f>"69/69"</f>
        <v>69/69</v>
      </c>
      <c r="K9050" s="1" t="str">
        <f t="shared" si="452"/>
        <v>2026-07-29 13:18:11</v>
      </c>
      <c r="L9050" s="1" t="str">
        <f>"2019-09-24 11:54:12"</f>
        <v>2019-09-24 11:54:12</v>
      </c>
      <c r="M9050" s="1" t="s">
        <v>1</v>
      </c>
      <c r="N9050" s="1" t="s">
        <v>38</v>
      </c>
      <c r="O9050" s="1" t="s">
        <v>46</v>
      </c>
    </row>
    <row r="9051" spans="2:15" x14ac:dyDescent="0.3">
      <c r="B9051" s="1" t="s">
        <v>21</v>
      </c>
      <c r="C9051" s="1" t="str">
        <f t="shared" si="451"/>
        <v>4차</v>
      </c>
      <c r="D9051" s="1" t="str">
        <f>"9629W43344"</f>
        <v>9629W43344</v>
      </c>
      <c r="E9051" s="1" t="s">
        <v>10</v>
      </c>
      <c r="F9051" s="1" t="str">
        <f>"10.10.97.90"</f>
        <v>10.10.97.90</v>
      </c>
      <c r="G9051" s="1" t="str">
        <f>"9629W433"</f>
        <v>9629W433</v>
      </c>
      <c r="H9051" s="1" t="str">
        <f>"갈현간 26R16L4"</f>
        <v>갈현간 26R16L4</v>
      </c>
      <c r="I9051" s="1" t="s">
        <v>8</v>
      </c>
      <c r="J9051" s="1" t="str">
        <f>"56/57"</f>
        <v>56/57</v>
      </c>
      <c r="K9051" s="1" t="str">
        <f t="shared" si="452"/>
        <v>2026-07-29 13:18:11</v>
      </c>
      <c r="L9051" s="1" t="str">
        <f>"2019-10-22 14:23:04"</f>
        <v>2019-10-22 14:23:04</v>
      </c>
      <c r="M9051" s="1" t="s">
        <v>1</v>
      </c>
      <c r="N9051" s="1" t="s">
        <v>38</v>
      </c>
      <c r="O9051" s="1" t="s">
        <v>46</v>
      </c>
    </row>
    <row r="9052" spans="2:15" x14ac:dyDescent="0.3">
      <c r="B9052" s="1" t="s">
        <v>21</v>
      </c>
      <c r="C9052" s="1" t="str">
        <f t="shared" si="451"/>
        <v>4차</v>
      </c>
      <c r="D9052" s="1" t="str">
        <f>"9629W46139"</f>
        <v>9629W46139</v>
      </c>
      <c r="E9052" s="1" t="s">
        <v>10</v>
      </c>
      <c r="F9052" s="1" t="str">
        <f>"10.128.71.66"</f>
        <v>10.128.71.66</v>
      </c>
      <c r="G9052" s="1" t="str">
        <f>"9629W461"</f>
        <v>9629W461</v>
      </c>
      <c r="H9052" s="1" t="str">
        <f>"갈현간 26R25"</f>
        <v>갈현간 26R25</v>
      </c>
      <c r="I9052" s="1" t="s">
        <v>8</v>
      </c>
      <c r="J9052" s="1" t="str">
        <f>"70/93"</f>
        <v>70/93</v>
      </c>
      <c r="K9052" s="1" t="str">
        <f t="shared" si="452"/>
        <v>2026-07-29 13:18:11</v>
      </c>
      <c r="L9052" s="1" t="str">
        <f>"2018-10-01 15:02:56"</f>
        <v>2018-10-01 15:02:56</v>
      </c>
      <c r="M9052" s="1" t="s">
        <v>45</v>
      </c>
      <c r="N9052" s="1" t="s">
        <v>38</v>
      </c>
      <c r="O9052" s="1" t="s">
        <v>46</v>
      </c>
    </row>
    <row r="9053" spans="2:15" x14ac:dyDescent="0.3">
      <c r="B9053" s="1" t="s">
        <v>21</v>
      </c>
      <c r="C9053" s="1" t="str">
        <f>"3차"</f>
        <v>3차</v>
      </c>
      <c r="D9053" s="1" t="str">
        <f>"9629W50139"</f>
        <v>9629W50139</v>
      </c>
      <c r="E9053" s="1" t="s">
        <v>10</v>
      </c>
      <c r="F9053" s="1" t="str">
        <f>"10.14.4.184"</f>
        <v>10.14.4.184</v>
      </c>
      <c r="G9053" s="1" t="str">
        <f>"9629W501"</f>
        <v>9629W501</v>
      </c>
      <c r="H9053" s="1" t="str">
        <f>"갈현간 26R10"</f>
        <v>갈현간 26R10</v>
      </c>
      <c r="I9053" s="1" t="s">
        <v>8</v>
      </c>
      <c r="J9053" s="1" t="str">
        <f>"6/8"</f>
        <v>6/8</v>
      </c>
      <c r="K9053" s="1" t="str">
        <f>"2026-07-29 13:18:13"</f>
        <v>2026-07-29 13:18:13</v>
      </c>
      <c r="L9053" s="1" t="str">
        <f>"2021-07-15 14:58:15"</f>
        <v>2021-07-15 14:58:15</v>
      </c>
      <c r="M9053" s="1" t="s">
        <v>3</v>
      </c>
      <c r="N9053" s="1" t="s">
        <v>38</v>
      </c>
      <c r="O9053" s="1" t="s">
        <v>46</v>
      </c>
    </row>
    <row r="9054" spans="2:15" x14ac:dyDescent="0.3">
      <c r="B9054" s="1" t="s">
        <v>21</v>
      </c>
      <c r="C9054" s="1" t="str">
        <f t="shared" ref="C9054:C9060" si="453">"4차"</f>
        <v>4차</v>
      </c>
      <c r="D9054" s="1" t="str">
        <f>"9629W51144"</f>
        <v>9629W51144</v>
      </c>
      <c r="E9054" s="1" t="s">
        <v>10</v>
      </c>
      <c r="F9054" s="1" t="str">
        <f>"10.10.81.170"</f>
        <v>10.10.81.170</v>
      </c>
      <c r="G9054" s="1" t="str">
        <f>"9629W511"</f>
        <v>9629W511</v>
      </c>
      <c r="H9054" s="1" t="str">
        <f>"갈현간 26R7R3"</f>
        <v>갈현간 26R7R3</v>
      </c>
      <c r="I9054" s="1" t="s">
        <v>8</v>
      </c>
      <c r="J9054" s="1" t="str">
        <f>"56/56"</f>
        <v>56/56</v>
      </c>
      <c r="K9054" s="1" t="str">
        <f t="shared" ref="K9054:K9063" si="454">"2026-07-29 13:18:11"</f>
        <v>2026-07-29 13:18:11</v>
      </c>
      <c r="L9054" s="1" t="str">
        <f>"2019-09-02 15:31:50"</f>
        <v>2019-09-02 15:31:50</v>
      </c>
      <c r="M9054" s="1" t="s">
        <v>1</v>
      </c>
      <c r="N9054" s="1" t="s">
        <v>38</v>
      </c>
      <c r="O9054" s="1" t="s">
        <v>46</v>
      </c>
    </row>
    <row r="9055" spans="2:15" x14ac:dyDescent="0.3">
      <c r="B9055" s="1" t="s">
        <v>21</v>
      </c>
      <c r="C9055" s="1" t="str">
        <f t="shared" si="453"/>
        <v>4차</v>
      </c>
      <c r="D9055" s="1" t="str">
        <f>"9629W53144"</f>
        <v>9629W53144</v>
      </c>
      <c r="E9055" s="1" t="s">
        <v>10</v>
      </c>
      <c r="F9055" s="1" t="str">
        <f>"10.10.81.178"</f>
        <v>10.10.81.178</v>
      </c>
      <c r="G9055" s="1" t="str">
        <f>"9629W531"</f>
        <v>9629W531</v>
      </c>
      <c r="H9055" s="1" t="str">
        <f>"갈현간 26R16"</f>
        <v>갈현간 26R16</v>
      </c>
      <c r="I9055" s="1" t="s">
        <v>8</v>
      </c>
      <c r="J9055" s="1" t="str">
        <f>"32/33"</f>
        <v>32/33</v>
      </c>
      <c r="K9055" s="1" t="str">
        <f t="shared" si="454"/>
        <v>2026-07-29 13:18:11</v>
      </c>
      <c r="L9055" s="1" t="str">
        <f>"2019-09-24 13:01:43"</f>
        <v>2019-09-24 13:01:43</v>
      </c>
      <c r="M9055" s="1" t="s">
        <v>1</v>
      </c>
      <c r="N9055" s="1" t="s">
        <v>38</v>
      </c>
      <c r="O9055" s="1" t="s">
        <v>46</v>
      </c>
    </row>
    <row r="9056" spans="2:15" x14ac:dyDescent="0.3">
      <c r="B9056" s="1" t="s">
        <v>21</v>
      </c>
      <c r="C9056" s="1" t="str">
        <f t="shared" si="453"/>
        <v>4차</v>
      </c>
      <c r="D9056" s="1" t="str">
        <f>"9629W53244"</f>
        <v>9629W53244</v>
      </c>
      <c r="E9056" s="1" t="s">
        <v>10</v>
      </c>
      <c r="F9056" s="1" t="str">
        <f>"10.10.97.138"</f>
        <v>10.10.97.138</v>
      </c>
      <c r="G9056" s="1" t="str">
        <f>"9629W532"</f>
        <v>9629W532</v>
      </c>
      <c r="H9056" s="1" t="str">
        <f>"갈현간 26R15"</f>
        <v>갈현간 26R15</v>
      </c>
      <c r="I9056" s="1" t="s">
        <v>8</v>
      </c>
      <c r="J9056" s="1" t="str">
        <f>"30/30"</f>
        <v>30/30</v>
      </c>
      <c r="K9056" s="1" t="str">
        <f t="shared" si="454"/>
        <v>2026-07-29 13:18:11</v>
      </c>
      <c r="L9056" s="1" t="str">
        <f>"2019-09-24 11:47:57"</f>
        <v>2019-09-24 11:47:57</v>
      </c>
      <c r="M9056" s="1" t="s">
        <v>1</v>
      </c>
      <c r="N9056" s="1" t="s">
        <v>38</v>
      </c>
      <c r="O9056" s="1" t="s">
        <v>46</v>
      </c>
    </row>
    <row r="9057" spans="2:15" x14ac:dyDescent="0.3">
      <c r="B9057" s="1" t="s">
        <v>21</v>
      </c>
      <c r="C9057" s="1" t="str">
        <f t="shared" si="453"/>
        <v>4차</v>
      </c>
      <c r="D9057" s="1" t="str">
        <f>"9629W54144"</f>
        <v>9629W54144</v>
      </c>
      <c r="E9057" s="1" t="s">
        <v>10</v>
      </c>
      <c r="F9057" s="1" t="str">
        <f>"10.10.120.106"</f>
        <v>10.10.120.106</v>
      </c>
      <c r="G9057" s="1" t="str">
        <f>"9629W541"</f>
        <v>9629W541</v>
      </c>
      <c r="H9057" s="1" t="str">
        <f>"갈현간 26R16L1"</f>
        <v>갈현간 26R16L1</v>
      </c>
      <c r="I9057" s="1" t="s">
        <v>8</v>
      </c>
      <c r="J9057" s="1" t="str">
        <f>"16/16"</f>
        <v>16/16</v>
      </c>
      <c r="K9057" s="1" t="str">
        <f t="shared" si="454"/>
        <v>2026-07-29 13:18:11</v>
      </c>
      <c r="L9057" s="1" t="str">
        <f>"2019-09-24 13:23:43"</f>
        <v>2019-09-24 13:23:43</v>
      </c>
      <c r="M9057" s="1" t="s">
        <v>1</v>
      </c>
      <c r="N9057" s="1" t="s">
        <v>38</v>
      </c>
      <c r="O9057" s="1" t="s">
        <v>46</v>
      </c>
    </row>
    <row r="9058" spans="2:15" x14ac:dyDescent="0.3">
      <c r="B9058" s="1" t="s">
        <v>21</v>
      </c>
      <c r="C9058" s="1" t="str">
        <f t="shared" si="453"/>
        <v>4차</v>
      </c>
      <c r="D9058" s="1" t="str">
        <f>"9629W55144"</f>
        <v>9629W55144</v>
      </c>
      <c r="E9058" s="1" t="s">
        <v>10</v>
      </c>
      <c r="F9058" s="1" t="str">
        <f>"10.10.96.250"</f>
        <v>10.10.96.250</v>
      </c>
      <c r="G9058" s="1" t="str">
        <f>"9629W551"</f>
        <v>9629W551</v>
      </c>
      <c r="H9058" s="1" t="str">
        <f>"갈현간 26R23"</f>
        <v>갈현간 26R23</v>
      </c>
      <c r="I9058" s="1" t="s">
        <v>8</v>
      </c>
      <c r="J9058" s="1" t="str">
        <f>"25/25"</f>
        <v>25/25</v>
      </c>
      <c r="K9058" s="1" t="str">
        <f t="shared" si="454"/>
        <v>2026-07-29 13:18:11</v>
      </c>
      <c r="L9058" s="1" t="str">
        <f>"2019-10-15 16:26:38"</f>
        <v>2019-10-15 16:26:38</v>
      </c>
      <c r="M9058" s="1" t="s">
        <v>1</v>
      </c>
      <c r="N9058" s="1" t="s">
        <v>38</v>
      </c>
      <c r="O9058" s="1" t="s">
        <v>46</v>
      </c>
    </row>
    <row r="9059" spans="2:15" x14ac:dyDescent="0.3">
      <c r="B9059" s="1" t="s">
        <v>21</v>
      </c>
      <c r="C9059" s="1" t="str">
        <f t="shared" si="453"/>
        <v>4차</v>
      </c>
      <c r="D9059" s="1" t="str">
        <f>"9629W61142"</f>
        <v>9629W61142</v>
      </c>
      <c r="E9059" s="1" t="s">
        <v>10</v>
      </c>
      <c r="F9059" s="1" t="str">
        <f>"10.128.2.217"</f>
        <v>10.128.2.217</v>
      </c>
      <c r="G9059" s="1" t="str">
        <f>"9629W611"</f>
        <v>9629W611</v>
      </c>
      <c r="H9059" s="1" t="str">
        <f>"갈현간 26R7R2"</f>
        <v>갈현간 26R7R2</v>
      </c>
      <c r="I9059" s="1" t="s">
        <v>8</v>
      </c>
      <c r="J9059" s="1" t="str">
        <f>"52/52"</f>
        <v>52/52</v>
      </c>
      <c r="K9059" s="1" t="str">
        <f t="shared" si="454"/>
        <v>2026-07-29 13:18:11</v>
      </c>
      <c r="L9059" s="1" t="str">
        <f>"2025-01-08 16:31:09"</f>
        <v>2025-01-08 16:31:09</v>
      </c>
      <c r="M9059" s="1" t="s">
        <v>45</v>
      </c>
      <c r="N9059" s="1" t="s">
        <v>38</v>
      </c>
      <c r="O9059" s="1" t="s">
        <v>46</v>
      </c>
    </row>
    <row r="9060" spans="2:15" x14ac:dyDescent="0.3">
      <c r="B9060" s="1" t="s">
        <v>21</v>
      </c>
      <c r="C9060" s="1" t="str">
        <f t="shared" si="453"/>
        <v>4차</v>
      </c>
      <c r="D9060" s="1" t="str">
        <f>"9629W62144"</f>
        <v>9629W62144</v>
      </c>
      <c r="E9060" s="1" t="s">
        <v>10</v>
      </c>
      <c r="F9060" s="1" t="str">
        <f>"10.10.120.186"</f>
        <v>10.10.120.186</v>
      </c>
      <c r="G9060" s="1" t="str">
        <f>"9629W621"</f>
        <v>9629W621</v>
      </c>
      <c r="H9060" s="1" t="str">
        <f>"갈현간 26R7R4"</f>
        <v>갈현간 26R7R4</v>
      </c>
      <c r="I9060" s="1" t="s">
        <v>8</v>
      </c>
      <c r="J9060" s="1" t="str">
        <f>"16/16"</f>
        <v>16/16</v>
      </c>
      <c r="K9060" s="1" t="str">
        <f t="shared" si="454"/>
        <v>2026-07-29 13:18:11</v>
      </c>
      <c r="L9060" s="1" t="str">
        <f>"2019-10-22 13:33:04"</f>
        <v>2019-10-22 13:33:04</v>
      </c>
      <c r="M9060" s="1" t="s">
        <v>1</v>
      </c>
      <c r="N9060" s="1" t="s">
        <v>38</v>
      </c>
      <c r="O9060" s="1" t="s">
        <v>46</v>
      </c>
    </row>
    <row r="9061" spans="2:15" x14ac:dyDescent="0.3">
      <c r="B9061" s="1" t="s">
        <v>21</v>
      </c>
      <c r="C9061" s="1" t="str">
        <f>"1차"</f>
        <v>1차</v>
      </c>
      <c r="D9061" s="1" t="str">
        <f>"9629W64301"</f>
        <v>9629W64301</v>
      </c>
      <c r="E9061" s="1" t="s">
        <v>10</v>
      </c>
      <c r="F9061" s="1" t="str">
        <f>"10.128.69.194"</f>
        <v>10.128.69.194</v>
      </c>
      <c r="G9061" s="1" t="str">
        <f>"9629W643"</f>
        <v>9629W643</v>
      </c>
      <c r="H9061" s="1" t="str">
        <f>"갈현간 26R22"</f>
        <v>갈현간 26R22</v>
      </c>
      <c r="I9061" s="1" t="s">
        <v>8</v>
      </c>
      <c r="J9061" s="1" t="str">
        <f>"31/32"</f>
        <v>31/32</v>
      </c>
      <c r="K9061" s="1" t="str">
        <f t="shared" si="454"/>
        <v>2026-07-29 13:18:11</v>
      </c>
      <c r="L9061" s="1" t="str">
        <f>"2014-11-25 14:48:12"</f>
        <v>2014-11-25 14:48:12</v>
      </c>
      <c r="M9061" s="1" t="s">
        <v>45</v>
      </c>
      <c r="N9061" s="1" t="s">
        <v>38</v>
      </c>
      <c r="O9061" s="1" t="s">
        <v>46</v>
      </c>
    </row>
    <row r="9062" spans="2:15" x14ac:dyDescent="0.3">
      <c r="B9062" s="1" t="s">
        <v>21</v>
      </c>
      <c r="C9062" s="1" t="str">
        <f>"4차"</f>
        <v>4차</v>
      </c>
      <c r="D9062" s="1" t="str">
        <f>"9629W65144"</f>
        <v>9629W65144</v>
      </c>
      <c r="E9062" s="1" t="s">
        <v>10</v>
      </c>
      <c r="F9062" s="1" t="str">
        <f>"10.10.120.138"</f>
        <v>10.10.120.138</v>
      </c>
      <c r="G9062" s="1" t="str">
        <f>"9629W651"</f>
        <v>9629W651</v>
      </c>
      <c r="H9062" s="1" t="str">
        <f>"갈현간 26R22R1"</f>
        <v>갈현간 26R22R1</v>
      </c>
      <c r="I9062" s="1" t="s">
        <v>8</v>
      </c>
      <c r="J9062" s="1" t="str">
        <f>"21/21"</f>
        <v>21/21</v>
      </c>
      <c r="K9062" s="1" t="str">
        <f t="shared" si="454"/>
        <v>2026-07-29 13:18:11</v>
      </c>
      <c r="L9062" s="1" t="str">
        <f>"2019-09-24 15:33:04"</f>
        <v>2019-09-24 15:33:04</v>
      </c>
      <c r="M9062" s="1" t="s">
        <v>1</v>
      </c>
      <c r="N9062" s="1" t="s">
        <v>38</v>
      </c>
      <c r="O9062" s="1" t="s">
        <v>46</v>
      </c>
    </row>
    <row r="9063" spans="2:15" x14ac:dyDescent="0.3">
      <c r="B9063" s="1" t="s">
        <v>21</v>
      </c>
      <c r="C9063" s="1" t="str">
        <f>"4차"</f>
        <v>4차</v>
      </c>
      <c r="D9063" s="1" t="str">
        <f>"9629W70344"</f>
        <v>9629W70344</v>
      </c>
      <c r="E9063" s="1" t="s">
        <v>10</v>
      </c>
      <c r="F9063" s="1" t="str">
        <f>"10.10.96.154"</f>
        <v>10.10.96.154</v>
      </c>
      <c r="G9063" s="1" t="str">
        <f>"9629W703"</f>
        <v>9629W703</v>
      </c>
      <c r="H9063" s="1" t="str">
        <f>"갈현간 26R8"</f>
        <v>갈현간 26R8</v>
      </c>
      <c r="I9063" s="1" t="s">
        <v>8</v>
      </c>
      <c r="J9063" s="1" t="str">
        <f>"24/24"</f>
        <v>24/24</v>
      </c>
      <c r="K9063" s="1" t="str">
        <f t="shared" si="454"/>
        <v>2026-07-29 13:18:11</v>
      </c>
      <c r="L9063" s="1" t="str">
        <f>"2019-10-22 13:18:20"</f>
        <v>2019-10-22 13:18:20</v>
      </c>
      <c r="M9063" s="1" t="s">
        <v>1</v>
      </c>
      <c r="N9063" s="1" t="s">
        <v>38</v>
      </c>
      <c r="O9063" s="1" t="s">
        <v>46</v>
      </c>
    </row>
    <row r="9064" spans="2:15" x14ac:dyDescent="0.3">
      <c r="B9064" s="1" t="s">
        <v>21</v>
      </c>
      <c r="C9064" s="1" t="str">
        <f>"3차"</f>
        <v>3차</v>
      </c>
      <c r="D9064" s="1" t="str">
        <f>"9629W70539"</f>
        <v>9629W70539</v>
      </c>
      <c r="E9064" s="1" t="s">
        <v>10</v>
      </c>
      <c r="F9064" s="1" t="str">
        <f>"10.12.130.208"</f>
        <v>10.12.130.208</v>
      </c>
      <c r="G9064" s="1" t="str">
        <f>"9629W705"</f>
        <v>9629W705</v>
      </c>
      <c r="H9064" s="1" t="str">
        <f>"갈현간 26R6L1"</f>
        <v>갈현간 26R6L1</v>
      </c>
      <c r="I9064" s="1" t="s">
        <v>8</v>
      </c>
      <c r="J9064" s="1" t="str">
        <f>"27/27"</f>
        <v>27/27</v>
      </c>
      <c r="K9064" s="1" t="str">
        <f>"2026-07-29 13:18:12"</f>
        <v>2026-07-29 13:18:12</v>
      </c>
      <c r="L9064" s="1" t="str">
        <f>"2023-07-21 18:08:35"</f>
        <v>2023-07-21 18:08:35</v>
      </c>
      <c r="M9064" s="1" t="s">
        <v>0</v>
      </c>
      <c r="N9064" s="1" t="s">
        <v>38</v>
      </c>
      <c r="O9064" s="1" t="s">
        <v>46</v>
      </c>
    </row>
    <row r="9065" spans="2:15" x14ac:dyDescent="0.3">
      <c r="B9065" s="1" t="s">
        <v>21</v>
      </c>
      <c r="C9065" s="1" t="str">
        <f>"4차"</f>
        <v>4차</v>
      </c>
      <c r="D9065" s="1" t="str">
        <f>"9629W71144"</f>
        <v>9629W71144</v>
      </c>
      <c r="E9065" s="1" t="s">
        <v>10</v>
      </c>
      <c r="F9065" s="1" t="str">
        <f>"10.10.96.170"</f>
        <v>10.10.96.170</v>
      </c>
      <c r="G9065" s="1" t="str">
        <f>"9629W711"</f>
        <v>9629W711</v>
      </c>
      <c r="H9065" s="1" t="str">
        <f>"갈현간 26R7A1"</f>
        <v>갈현간 26R7A1</v>
      </c>
      <c r="I9065" s="1" t="s">
        <v>8</v>
      </c>
      <c r="J9065" s="1" t="str">
        <f>"40/41"</f>
        <v>40/41</v>
      </c>
      <c r="K9065" s="1" t="str">
        <f>"2026-07-29 13:18:11"</f>
        <v>2026-07-29 13:18:11</v>
      </c>
      <c r="L9065" s="1" t="str">
        <f>"2019-10-22 13:08:03"</f>
        <v>2019-10-22 13:08:03</v>
      </c>
      <c r="M9065" s="1" t="s">
        <v>1</v>
      </c>
      <c r="N9065" s="1" t="s">
        <v>38</v>
      </c>
      <c r="O9065" s="1" t="s">
        <v>46</v>
      </c>
    </row>
    <row r="9066" spans="2:15" x14ac:dyDescent="0.3">
      <c r="B9066" s="1" t="s">
        <v>21</v>
      </c>
      <c r="C9066" s="1" t="str">
        <f>"1차"</f>
        <v>1차</v>
      </c>
      <c r="D9066" s="1" t="str">
        <f>"9629W72102"</f>
        <v>9629W72102</v>
      </c>
      <c r="E9066" s="1" t="s">
        <v>10</v>
      </c>
      <c r="F9066" s="1" t="str">
        <f>"10.128.71.58"</f>
        <v>10.128.71.58</v>
      </c>
      <c r="G9066" s="1" t="str">
        <f>"9629W721"</f>
        <v>9629W721</v>
      </c>
      <c r="H9066" s="1" t="str">
        <f>"갈현간 26R18R2"</f>
        <v>갈현간 26R18R2</v>
      </c>
      <c r="I9066" s="1" t="s">
        <v>8</v>
      </c>
      <c r="J9066" s="1" t="str">
        <f>"35/35"</f>
        <v>35/35</v>
      </c>
      <c r="K9066" s="1" t="str">
        <f>"2026-07-29 13:18:11"</f>
        <v>2026-07-29 13:18:11</v>
      </c>
      <c r="L9066" s="1" t="str">
        <f>"2014-11-25 17:22:22"</f>
        <v>2014-11-25 17:22:22</v>
      </c>
      <c r="M9066" s="1" t="s">
        <v>45</v>
      </c>
      <c r="N9066" s="1" t="s">
        <v>38</v>
      </c>
      <c r="O9066" s="1" t="s">
        <v>46</v>
      </c>
    </row>
    <row r="9067" spans="2:15" x14ac:dyDescent="0.3">
      <c r="B9067" s="1" t="s">
        <v>21</v>
      </c>
      <c r="C9067" s="1" t="str">
        <f>"1차"</f>
        <v>1차</v>
      </c>
      <c r="D9067" s="1" t="str">
        <f>"9629W72200"</f>
        <v>9629W72200</v>
      </c>
      <c r="E9067" s="1" t="s">
        <v>10</v>
      </c>
      <c r="F9067" s="1" t="str">
        <f>"10.128.69.162"</f>
        <v>10.128.69.162</v>
      </c>
      <c r="G9067" s="1" t="str">
        <f>"9629W722"</f>
        <v>9629W722</v>
      </c>
      <c r="H9067" s="1" t="str">
        <f>"갈현간 26R18R1"</f>
        <v>갈현간 26R18R1</v>
      </c>
      <c r="I9067" s="1" t="s">
        <v>8</v>
      </c>
      <c r="J9067" s="1" t="str">
        <f>"22/25"</f>
        <v>22/25</v>
      </c>
      <c r="K9067" s="1" t="str">
        <f>"2026-07-29 13:18:11"</f>
        <v>2026-07-29 13:18:11</v>
      </c>
      <c r="L9067" s="1" t="str">
        <f>"2014-11-13 00:13:55"</f>
        <v>2014-11-13 00:13:55</v>
      </c>
      <c r="M9067" s="1" t="s">
        <v>45</v>
      </c>
      <c r="N9067" s="1" t="s">
        <v>38</v>
      </c>
      <c r="O9067" s="1" t="s">
        <v>46</v>
      </c>
    </row>
    <row r="9068" spans="2:15" x14ac:dyDescent="0.3">
      <c r="B9068" s="1" t="s">
        <v>21</v>
      </c>
      <c r="C9068" s="1" t="str">
        <f>"1차"</f>
        <v>1차</v>
      </c>
      <c r="D9068" s="1" t="str">
        <f>"9629W73102"</f>
        <v>9629W73102</v>
      </c>
      <c r="E9068" s="1" t="s">
        <v>10</v>
      </c>
      <c r="F9068" s="1" t="str">
        <f>"10.128.1.149"</f>
        <v>10.128.1.149</v>
      </c>
      <c r="G9068" s="1" t="str">
        <f>"9629W731"</f>
        <v>9629W731</v>
      </c>
      <c r="H9068" s="1" t="str">
        <f>"갈현간 24R4L2"</f>
        <v>갈현간 24R4L2</v>
      </c>
      <c r="I9068" s="1" t="s">
        <v>8</v>
      </c>
      <c r="J9068" s="1" t="str">
        <f>"39/39"</f>
        <v>39/39</v>
      </c>
      <c r="K9068" s="1" t="str">
        <f>"2026-07-29 13:18:10"</f>
        <v>2026-07-29 13:18:10</v>
      </c>
      <c r="L9068" s="1" t="str">
        <f>"2014-11-24 15:54:54"</f>
        <v>2014-11-24 15:54:54</v>
      </c>
      <c r="M9068" s="1" t="s">
        <v>45</v>
      </c>
      <c r="N9068" s="1" t="s">
        <v>38</v>
      </c>
      <c r="O9068" s="1" t="s">
        <v>46</v>
      </c>
    </row>
    <row r="9069" spans="2:15" x14ac:dyDescent="0.3">
      <c r="B9069" s="1" t="s">
        <v>21</v>
      </c>
      <c r="C9069" s="1" t="str">
        <f>"4차"</f>
        <v>4차</v>
      </c>
      <c r="D9069" s="1" t="str">
        <f>"9629W80142"</f>
        <v>9629W80142</v>
      </c>
      <c r="E9069" s="1" t="s">
        <v>10</v>
      </c>
      <c r="F9069" s="1" t="str">
        <f>"10.128.69.210"</f>
        <v>10.128.69.210</v>
      </c>
      <c r="G9069" s="1" t="str">
        <f>"9629W801"</f>
        <v>9629W801</v>
      </c>
      <c r="H9069" s="1" t="str">
        <f>"갈현간 26R5"</f>
        <v>갈현간 26R5</v>
      </c>
      <c r="I9069" s="1" t="s">
        <v>8</v>
      </c>
      <c r="J9069" s="1" t="str">
        <f>"48/48"</f>
        <v>48/48</v>
      </c>
      <c r="K9069" s="1" t="str">
        <f>"2026-07-29 13:18:11"</f>
        <v>2026-07-29 13:18:11</v>
      </c>
      <c r="L9069" s="1" t="str">
        <f>"2025-01-08 16:32:30"</f>
        <v>2025-01-08 16:32:30</v>
      </c>
      <c r="M9069" s="1" t="s">
        <v>45</v>
      </c>
      <c r="N9069" s="1" t="s">
        <v>38</v>
      </c>
      <c r="O9069" s="1" t="s">
        <v>46</v>
      </c>
    </row>
    <row r="9070" spans="2:15" x14ac:dyDescent="0.3">
      <c r="B9070" s="1" t="s">
        <v>21</v>
      </c>
      <c r="C9070" s="1" t="str">
        <f>"1차"</f>
        <v>1차</v>
      </c>
      <c r="D9070" s="1" t="str">
        <f>"9629W83200"</f>
        <v>9629W83200</v>
      </c>
      <c r="E9070" s="1" t="s">
        <v>10</v>
      </c>
      <c r="F9070" s="1" t="str">
        <f>"10.128.1.148"</f>
        <v>10.128.1.148</v>
      </c>
      <c r="G9070" s="1" t="str">
        <f>"9629W832"</f>
        <v>9629W832</v>
      </c>
      <c r="H9070" s="1" t="str">
        <f>"갈현간 24R4L1"</f>
        <v>갈현간 24R4L1</v>
      </c>
      <c r="I9070" s="1" t="s">
        <v>8</v>
      </c>
      <c r="J9070" s="1" t="str">
        <f>"46/47"</f>
        <v>46/47</v>
      </c>
      <c r="K9070" s="1" t="str">
        <f>"2026-07-29 13:18:11"</f>
        <v>2026-07-29 13:18:11</v>
      </c>
      <c r="L9070" s="1" t="str">
        <f>"2014-10-24 00:14:03"</f>
        <v>2014-10-24 00:14:03</v>
      </c>
      <c r="M9070" s="1" t="s">
        <v>45</v>
      </c>
      <c r="N9070" s="1" t="s">
        <v>38</v>
      </c>
      <c r="O9070" s="1" t="s">
        <v>46</v>
      </c>
    </row>
    <row r="9071" spans="2:15" x14ac:dyDescent="0.3">
      <c r="B9071" s="1" t="s">
        <v>21</v>
      </c>
      <c r="C9071" s="1" t="str">
        <f>"6차"</f>
        <v>6차</v>
      </c>
      <c r="D9071" s="1" t="str">
        <f>"9629W9126S"</f>
        <v>9629W9126S</v>
      </c>
      <c r="E9071" s="1" t="s">
        <v>10</v>
      </c>
      <c r="F9071" s="1" t="str">
        <f>"fde1:103:4:93b6:0:0:0:2"</f>
        <v>fde1:103:4:93b6:0:0:0:2</v>
      </c>
      <c r="G9071" s="1" t="str">
        <f>"9629W912"</f>
        <v>9629W912</v>
      </c>
      <c r="H9071" s="1" t="str">
        <f>"갈현간 26R18R4"</f>
        <v>갈현간 26R18R4</v>
      </c>
      <c r="I9071" s="1" t="s">
        <v>15</v>
      </c>
      <c r="J9071" s="1" t="str">
        <f>"42/47"</f>
        <v>42/47</v>
      </c>
      <c r="K9071" s="1" t="str">
        <f>"2026-07-29 14:21:28"</f>
        <v>2026-07-29 14:21:28</v>
      </c>
      <c r="L9071" s="1" t="str">
        <f>"2025-01-22 14:34:36"</f>
        <v>2025-01-22 14:34:36</v>
      </c>
      <c r="M9071" s="1" t="s">
        <v>4</v>
      </c>
      <c r="N9071" s="1" t="s">
        <v>38</v>
      </c>
      <c r="O9071" s="1" t="s">
        <v>46</v>
      </c>
    </row>
    <row r="9072" spans="2:15" x14ac:dyDescent="0.3">
      <c r="B9072" s="1" t="s">
        <v>21</v>
      </c>
      <c r="C9072" s="1" t="str">
        <f>"1차"</f>
        <v>1차</v>
      </c>
      <c r="D9072" s="1" t="str">
        <f>"9629W92100"</f>
        <v>9629W92100</v>
      </c>
      <c r="E9072" s="1" t="str">
        <f>"검침실패(3시간 이상)"</f>
        <v>검침실패(3시간 이상)</v>
      </c>
      <c r="F9072" s="1" t="str">
        <f>"10.128.1.151"</f>
        <v>10.128.1.151</v>
      </c>
      <c r="G9072" s="1" t="str">
        <f>"9629W921"</f>
        <v>9629W921</v>
      </c>
      <c r="H9072" s="1" t="str">
        <f>"갈현간 24R3"</f>
        <v>갈현간 24R3</v>
      </c>
      <c r="I9072" s="1" t="s">
        <v>8</v>
      </c>
      <c r="J9072" s="1" t="str">
        <f>"0/8"</f>
        <v>0/8</v>
      </c>
      <c r="K9072" s="1" t="str">
        <f>"2026-07-29 13:18:11"</f>
        <v>2026-07-29 13:18:11</v>
      </c>
      <c r="L9072" s="1" t="str">
        <f>"2014-10-24 00:14:19"</f>
        <v>2014-10-24 00:14:19</v>
      </c>
      <c r="M9072" s="1" t="s">
        <v>45</v>
      </c>
      <c r="N9072" s="1" t="s">
        <v>38</v>
      </c>
      <c r="O9072" s="1" t="s">
        <v>46</v>
      </c>
    </row>
    <row r="9073" spans="2:15" x14ac:dyDescent="0.3">
      <c r="B9073" s="1" t="s">
        <v>21</v>
      </c>
      <c r="C9073" s="1" t="str">
        <f>"1차"</f>
        <v>1차</v>
      </c>
      <c r="D9073" s="1" t="str">
        <f>"9629W92201"</f>
        <v>9629W92201</v>
      </c>
      <c r="E9073" s="1" t="s">
        <v>10</v>
      </c>
      <c r="F9073" s="1" t="str">
        <f>"10.128.1.152"</f>
        <v>10.128.1.152</v>
      </c>
      <c r="G9073" s="1" t="str">
        <f>"9629W922"</f>
        <v>9629W922</v>
      </c>
      <c r="H9073" s="1" t="str">
        <f>"갈현간 24R2L1"</f>
        <v>갈현간 24R2L1</v>
      </c>
      <c r="I9073" s="1" t="s">
        <v>8</v>
      </c>
      <c r="J9073" s="1" t="str">
        <f>"35/35"</f>
        <v>35/35</v>
      </c>
      <c r="K9073" s="1" t="str">
        <f>"2026-07-18 01:18:11"</f>
        <v>2026-07-18 01:18:11</v>
      </c>
      <c r="L9073" s="1" t="str">
        <f>"2014-12-01 09:56:55"</f>
        <v>2014-12-01 09:56:55</v>
      </c>
      <c r="M9073" s="1" t="s">
        <v>45</v>
      </c>
      <c r="N9073" s="1" t="s">
        <v>38</v>
      </c>
      <c r="O9073" s="1" t="s">
        <v>46</v>
      </c>
    </row>
    <row r="9074" spans="2:15" x14ac:dyDescent="0.3">
      <c r="B9074" s="1" t="s">
        <v>21</v>
      </c>
      <c r="C9074" s="1" t="str">
        <f>"1차"</f>
        <v>1차</v>
      </c>
      <c r="D9074" s="1" t="str">
        <f>"9629W93101"</f>
        <v>9629W93101</v>
      </c>
      <c r="E9074" s="1" t="s">
        <v>14</v>
      </c>
      <c r="F9074" s="1" t="str">
        <f>"10.128.71.106"</f>
        <v>10.128.71.106</v>
      </c>
      <c r="G9074" s="1" t="str">
        <f>"9629W931"</f>
        <v>9629W931</v>
      </c>
      <c r="H9074" s="1" t="str">
        <f>"갈현간 24R4A1"</f>
        <v>갈현간 24R4A1</v>
      </c>
      <c r="I9074" s="1" t="s">
        <v>8</v>
      </c>
      <c r="J9074" s="1" t="str">
        <f>"0/0"</f>
        <v>0/0</v>
      </c>
      <c r="K9074" s="1" t="str">
        <f>"2026-07-29 13:18:11"</f>
        <v>2026-07-29 13:18:11</v>
      </c>
      <c r="L9074" s="1" t="str">
        <f>"2014-11-25 14:49:28"</f>
        <v>2014-11-25 14:49:28</v>
      </c>
      <c r="M9074" s="1" t="s">
        <v>45</v>
      </c>
      <c r="N9074" s="1" t="s">
        <v>38</v>
      </c>
      <c r="O9074" s="1" t="s">
        <v>797</v>
      </c>
    </row>
    <row r="9075" spans="2:15" x14ac:dyDescent="0.3">
      <c r="B9075" s="1" t="s">
        <v>21</v>
      </c>
      <c r="C9075" s="1" t="str">
        <f>"3차"</f>
        <v>3차</v>
      </c>
      <c r="D9075" s="1" t="str">
        <f>"9629W93239"</f>
        <v>9629W93239</v>
      </c>
      <c r="E9075" s="1" t="s">
        <v>10</v>
      </c>
      <c r="F9075" s="1" t="str">
        <f>"10.12.129.51"</f>
        <v>10.12.129.51</v>
      </c>
      <c r="G9075" s="1" t="str">
        <f>"9629W932"</f>
        <v>9629W932</v>
      </c>
      <c r="H9075" s="1" t="str">
        <f>"갈현간 24R5"</f>
        <v>갈현간 24R5</v>
      </c>
      <c r="I9075" s="1" t="s">
        <v>8</v>
      </c>
      <c r="J9075" s="1" t="str">
        <f>"32/32"</f>
        <v>32/32</v>
      </c>
      <c r="K9075" s="1" t="str">
        <f>"2026-07-29 13:18:12"</f>
        <v>2026-07-29 13:18:12</v>
      </c>
      <c r="L9075" s="1" t="str">
        <f>"2018-04-17 18:20:01"</f>
        <v>2018-04-17 18:20:01</v>
      </c>
      <c r="M9075" s="1" t="s">
        <v>0</v>
      </c>
      <c r="N9075" s="1" t="s">
        <v>38</v>
      </c>
      <c r="O9075" s="1" t="s">
        <v>46</v>
      </c>
    </row>
    <row r="9076" spans="2:15" x14ac:dyDescent="0.3">
      <c r="B9076" s="1" t="s">
        <v>21</v>
      </c>
      <c r="C9076" s="1" t="str">
        <f>"5-1차"</f>
        <v>5-1차</v>
      </c>
      <c r="D9076" s="1" t="str">
        <f>"9629X0015M"</f>
        <v>9629X0015M</v>
      </c>
      <c r="E9076" s="1" t="s">
        <v>10</v>
      </c>
      <c r="F9076" s="1" t="str">
        <f>"fde3:102:1303:1901:0:0:0:2"</f>
        <v>fde3:102:1303:1901:0:0:0:2</v>
      </c>
      <c r="G9076" s="1" t="str">
        <f>"9629X001"</f>
        <v>9629X001</v>
      </c>
      <c r="H9076" s="1" t="str">
        <f>"갈현간 26"</f>
        <v>갈현간 26</v>
      </c>
      <c r="I9076" s="1" t="s">
        <v>15</v>
      </c>
      <c r="J9076" s="1" t="str">
        <f>"23/23"</f>
        <v>23/23</v>
      </c>
      <c r="K9076" s="1" t="str">
        <f>"2026-07-29 14:20:59"</f>
        <v>2026-07-29 14:20:59</v>
      </c>
      <c r="L9076" s="1" t="str">
        <f>"2022-11-23 15:20:13"</f>
        <v>2022-11-23 15:20:13</v>
      </c>
      <c r="M9076" s="1" t="s">
        <v>45</v>
      </c>
      <c r="N9076" s="1" t="s">
        <v>38</v>
      </c>
      <c r="O9076" s="1" t="s">
        <v>46</v>
      </c>
    </row>
    <row r="9077" spans="2:15" x14ac:dyDescent="0.3">
      <c r="B9077" s="1" t="s">
        <v>21</v>
      </c>
      <c r="C9077" s="1" t="str">
        <f>"1차"</f>
        <v>1차</v>
      </c>
      <c r="D9077" s="1" t="str">
        <f>"9629X01100"</f>
        <v>9629X01100</v>
      </c>
      <c r="E9077" s="1" t="s">
        <v>10</v>
      </c>
      <c r="F9077" s="1" t="str">
        <f>"10.128.71.59"</f>
        <v>10.128.71.59</v>
      </c>
      <c r="G9077" s="1" t="str">
        <f>"9629X011"</f>
        <v>9629X011</v>
      </c>
      <c r="H9077" s="1" t="str">
        <f>"갈현간 26R2R1"</f>
        <v>갈현간 26R2R1</v>
      </c>
      <c r="I9077" s="1" t="s">
        <v>8</v>
      </c>
      <c r="J9077" s="1" t="str">
        <f>"51/51"</f>
        <v>51/51</v>
      </c>
      <c r="K9077" s="1" t="str">
        <f>"2026-07-29 13:18:11"</f>
        <v>2026-07-29 13:18:11</v>
      </c>
      <c r="L9077" s="1" t="str">
        <f>"2014-12-03 17:59:57"</f>
        <v>2014-12-03 17:59:57</v>
      </c>
      <c r="M9077" s="1" t="s">
        <v>45</v>
      </c>
      <c r="N9077" s="1" t="s">
        <v>38</v>
      </c>
      <c r="O9077" s="1" t="s">
        <v>46</v>
      </c>
    </row>
    <row r="9078" spans="2:15" x14ac:dyDescent="0.3">
      <c r="B9078" s="1" t="s">
        <v>21</v>
      </c>
      <c r="C9078" s="1" t="str">
        <f>"1차"</f>
        <v>1차</v>
      </c>
      <c r="D9078" s="1" t="str">
        <f>"9629X02100"</f>
        <v>9629X02100</v>
      </c>
      <c r="E9078" s="1" t="s">
        <v>10</v>
      </c>
      <c r="F9078" s="1" t="str">
        <f>"10.128.1.155"</f>
        <v>10.128.1.155</v>
      </c>
      <c r="G9078" s="1" t="str">
        <f>"9629X021"</f>
        <v>9629X021</v>
      </c>
      <c r="H9078" s="1" t="str">
        <f>"갈현간 24R1"</f>
        <v>갈현간 24R1</v>
      </c>
      <c r="I9078" s="1" t="s">
        <v>8</v>
      </c>
      <c r="J9078" s="1" t="str">
        <f>"29/30"</f>
        <v>29/30</v>
      </c>
      <c r="K9078" s="1" t="str">
        <f>"2026-07-29 13:18:11"</f>
        <v>2026-07-29 13:18:11</v>
      </c>
      <c r="L9078" s="1" t="str">
        <f>"2014-11-24 16:21:18"</f>
        <v>2014-11-24 16:21:18</v>
      </c>
      <c r="M9078" s="1" t="s">
        <v>45</v>
      </c>
      <c r="N9078" s="1" t="s">
        <v>38</v>
      </c>
      <c r="O9078" s="1" t="s">
        <v>46</v>
      </c>
    </row>
    <row r="9079" spans="2:15" x14ac:dyDescent="0.3">
      <c r="B9079" s="1" t="s">
        <v>21</v>
      </c>
      <c r="C9079" s="1" t="str">
        <f>"4차"</f>
        <v>4차</v>
      </c>
      <c r="D9079" s="1" t="str">
        <f>"9629X04144"</f>
        <v>9629X04144</v>
      </c>
      <c r="E9079" s="1" t="s">
        <v>10</v>
      </c>
      <c r="F9079" s="1" t="str">
        <f>"10.10.120.90"</f>
        <v>10.10.120.90</v>
      </c>
      <c r="G9079" s="1" t="str">
        <f>"9629X041"</f>
        <v>9629X041</v>
      </c>
      <c r="H9079" s="1" t="str">
        <f>"갈현간 24R7"</f>
        <v>갈현간 24R7</v>
      </c>
      <c r="I9079" s="1" t="s">
        <v>8</v>
      </c>
      <c r="J9079" s="1" t="str">
        <f>"18/18"</f>
        <v>18/18</v>
      </c>
      <c r="K9079" s="1" t="str">
        <f>"2026-07-29 13:18:11"</f>
        <v>2026-07-29 13:18:11</v>
      </c>
      <c r="L9079" s="1" t="str">
        <f>"2019-09-16 13:33:04"</f>
        <v>2019-09-16 13:33:04</v>
      </c>
      <c r="M9079" s="1" t="s">
        <v>1</v>
      </c>
      <c r="N9079" s="1" t="s">
        <v>38</v>
      </c>
      <c r="O9079" s="1" t="s">
        <v>46</v>
      </c>
    </row>
    <row r="9080" spans="2:15" x14ac:dyDescent="0.3">
      <c r="B9080" s="1" t="s">
        <v>21</v>
      </c>
      <c r="C9080" s="1" t="str">
        <f>"4차"</f>
        <v>4차</v>
      </c>
      <c r="D9080" s="1" t="str">
        <f>"9629X05344"</f>
        <v>9629X05344</v>
      </c>
      <c r="E9080" s="1" t="s">
        <v>14</v>
      </c>
      <c r="F9080" s="1" t="str">
        <f>"10.10.120.74"</f>
        <v>10.10.120.74</v>
      </c>
      <c r="G9080" s="1" t="str">
        <f>"9629X053"</f>
        <v>9629X053</v>
      </c>
      <c r="H9080" s="1" t="str">
        <f>"갈현간 16R4L2A1"</f>
        <v>갈현간 16R4L2A1</v>
      </c>
      <c r="I9080" s="1" t="s">
        <v>8</v>
      </c>
      <c r="J9080" s="1" t="str">
        <f>"0/0"</f>
        <v>0/0</v>
      </c>
      <c r="K9080" s="1" t="str">
        <f>"2024-09-14 07:21:06"</f>
        <v>2024-09-14 07:21:06</v>
      </c>
      <c r="L9080" s="1" t="str">
        <f>"2019-09-03 14:01:01"</f>
        <v>2019-09-03 14:01:01</v>
      </c>
      <c r="M9080" s="1" t="s">
        <v>1</v>
      </c>
      <c r="N9080" s="1" t="s">
        <v>44</v>
      </c>
      <c r="O9080" s="1" t="s">
        <v>44</v>
      </c>
    </row>
    <row r="9081" spans="2:15" x14ac:dyDescent="0.3">
      <c r="B9081" s="1" t="s">
        <v>21</v>
      </c>
      <c r="C9081" s="1" t="str">
        <f>"6차"</f>
        <v>6차</v>
      </c>
      <c r="D9081" s="1" t="str">
        <f>"9629X0716S"</f>
        <v>9629X0716S</v>
      </c>
      <c r="E9081" s="1" t="s">
        <v>10</v>
      </c>
      <c r="F9081" s="1" t="str">
        <f>"fde3:102:1303:170d:0:0:0:2"</f>
        <v>fde3:102:1303:170d:0:0:0:2</v>
      </c>
      <c r="G9081" s="1" t="str">
        <f>"9629X071"</f>
        <v>9629X071</v>
      </c>
      <c r="H9081" s="1" t="str">
        <f>"갈현간 17R4L1"</f>
        <v>갈현간 17R4L1</v>
      </c>
      <c r="I9081" s="1" t="s">
        <v>15</v>
      </c>
      <c r="J9081" s="1" t="str">
        <f>"67/67"</f>
        <v>67/67</v>
      </c>
      <c r="K9081" s="1" t="str">
        <f>"2026-07-29 14:20:58"</f>
        <v>2026-07-29 14:20:58</v>
      </c>
      <c r="L9081" s="1" t="str">
        <f>"2024-11-22 15:09:49"</f>
        <v>2024-11-22 15:09:49</v>
      </c>
      <c r="M9081" s="1" t="s">
        <v>45</v>
      </c>
      <c r="N9081" s="1" t="s">
        <v>38</v>
      </c>
      <c r="O9081" s="1" t="s">
        <v>46</v>
      </c>
    </row>
    <row r="9082" spans="2:15" x14ac:dyDescent="0.3">
      <c r="B9082" s="1" t="s">
        <v>21</v>
      </c>
      <c r="C9082" s="1" t="str">
        <f t="shared" ref="C9082:C9093" si="455">"4차"</f>
        <v>4차</v>
      </c>
      <c r="D9082" s="1" t="str">
        <f>"9629X08444"</f>
        <v>9629X08444</v>
      </c>
      <c r="E9082" s="1" t="s">
        <v>10</v>
      </c>
      <c r="F9082" s="1" t="str">
        <f>"10.10.93.74"</f>
        <v>10.10.93.74</v>
      </c>
      <c r="G9082" s="1" t="str">
        <f>"9629X084"</f>
        <v>9629X084</v>
      </c>
      <c r="H9082" s="1" t="str">
        <f>"갈현간 11R5L4"</f>
        <v>갈현간 11R5L4</v>
      </c>
      <c r="I9082" s="1" t="s">
        <v>8</v>
      </c>
      <c r="J9082" s="1" t="str">
        <f>"32/32"</f>
        <v>32/32</v>
      </c>
      <c r="K9082" s="1" t="str">
        <f>"2026-07-29 13:18:11"</f>
        <v>2026-07-29 13:18:11</v>
      </c>
      <c r="L9082" s="1" t="str">
        <f>"2019-09-24 11:34:27"</f>
        <v>2019-09-24 11:34:27</v>
      </c>
      <c r="M9082" s="1" t="s">
        <v>1</v>
      </c>
      <c r="N9082" s="1" t="s">
        <v>38</v>
      </c>
      <c r="O9082" s="1" t="s">
        <v>46</v>
      </c>
    </row>
    <row r="9083" spans="2:15" x14ac:dyDescent="0.3">
      <c r="B9083" s="1" t="s">
        <v>21</v>
      </c>
      <c r="C9083" s="1" t="str">
        <f t="shared" si="455"/>
        <v>4차</v>
      </c>
      <c r="D9083" s="1" t="str">
        <f>"9629X11144"</f>
        <v>9629X11144</v>
      </c>
      <c r="E9083" s="1" t="s">
        <v>10</v>
      </c>
      <c r="F9083" s="1" t="str">
        <f>"10.10.74.250"</f>
        <v>10.10.74.250</v>
      </c>
      <c r="G9083" s="1" t="str">
        <f>"9629X111"</f>
        <v>9629X111</v>
      </c>
      <c r="H9083" s="1" t="str">
        <f>"청구지 1R5R3L3L1"</f>
        <v>청구지 1R5R3L3L1</v>
      </c>
      <c r="I9083" s="1" t="s">
        <v>8</v>
      </c>
      <c r="J9083" s="1" t="str">
        <f>"27/27"</f>
        <v>27/27</v>
      </c>
      <c r="K9083" s="1" t="str">
        <f>"2026-07-29 13:18:11"</f>
        <v>2026-07-29 13:18:11</v>
      </c>
      <c r="L9083" s="1" t="str">
        <f>"2019-11-20 22:52:53"</f>
        <v>2019-11-20 22:52:53</v>
      </c>
      <c r="M9083" s="1" t="s">
        <v>1</v>
      </c>
      <c r="N9083" s="1" t="s">
        <v>38</v>
      </c>
      <c r="O9083" s="1" t="s">
        <v>46</v>
      </c>
    </row>
    <row r="9084" spans="2:15" x14ac:dyDescent="0.3">
      <c r="B9084" s="1" t="s">
        <v>21</v>
      </c>
      <c r="C9084" s="1" t="str">
        <f t="shared" si="455"/>
        <v>4차</v>
      </c>
      <c r="D9084" s="1" t="str">
        <f>"9629X13144"</f>
        <v>9629X13144</v>
      </c>
      <c r="E9084" s="1" t="s">
        <v>10</v>
      </c>
      <c r="F9084" s="1" t="str">
        <f>"10.10.111.82"</f>
        <v>10.10.111.82</v>
      </c>
      <c r="G9084" s="1" t="str">
        <f>"9629X131"</f>
        <v>9629X131</v>
      </c>
      <c r="H9084" s="1" t="str">
        <f>"갈현간 22"</f>
        <v>갈현간 22</v>
      </c>
      <c r="I9084" s="1" t="s">
        <v>8</v>
      </c>
      <c r="J9084" s="1" t="str">
        <f>"14/14"</f>
        <v>14/14</v>
      </c>
      <c r="K9084" s="1" t="str">
        <f>"2026-07-29 13:18:11"</f>
        <v>2026-07-29 13:18:11</v>
      </c>
      <c r="L9084" s="1" t="str">
        <f>"2019-10-29 11:43:04"</f>
        <v>2019-10-29 11:43:04</v>
      </c>
      <c r="M9084" s="1" t="s">
        <v>1</v>
      </c>
      <c r="N9084" s="1" t="s">
        <v>38</v>
      </c>
      <c r="O9084" s="1" t="s">
        <v>46</v>
      </c>
    </row>
    <row r="9085" spans="2:15" x14ac:dyDescent="0.3">
      <c r="B9085" s="1" t="s">
        <v>21</v>
      </c>
      <c r="C9085" s="1" t="str">
        <f t="shared" si="455"/>
        <v>4차</v>
      </c>
      <c r="D9085" s="1" t="str">
        <f>"9629X13244"</f>
        <v>9629X13244</v>
      </c>
      <c r="E9085" s="1" t="s">
        <v>10</v>
      </c>
      <c r="F9085" s="1" t="str">
        <f>"10.10.112.162"</f>
        <v>10.10.112.162</v>
      </c>
      <c r="G9085" s="1" t="str">
        <f>"9629X132"</f>
        <v>9629X132</v>
      </c>
      <c r="H9085" s="1" t="str">
        <f>"은수간 27"</f>
        <v>은수간 27</v>
      </c>
      <c r="I9085" s="1" t="s">
        <v>8</v>
      </c>
      <c r="J9085" s="1" t="str">
        <f>"19/19"</f>
        <v>19/19</v>
      </c>
      <c r="K9085" s="1" t="str">
        <f>"2026-07-29 13:18:11"</f>
        <v>2026-07-29 13:18:11</v>
      </c>
      <c r="L9085" s="1" t="str">
        <f>"2019-11-20 22:12:59"</f>
        <v>2019-11-20 22:12:59</v>
      </c>
      <c r="M9085" s="1" t="s">
        <v>1</v>
      </c>
      <c r="N9085" s="1" t="s">
        <v>38</v>
      </c>
      <c r="O9085" s="1" t="s">
        <v>46</v>
      </c>
    </row>
    <row r="9086" spans="2:15" x14ac:dyDescent="0.3">
      <c r="B9086" s="1" t="s">
        <v>21</v>
      </c>
      <c r="C9086" s="1" t="str">
        <f t="shared" si="455"/>
        <v>4차</v>
      </c>
      <c r="D9086" s="1" t="str">
        <f>"9629X14444"</f>
        <v>9629X14444</v>
      </c>
      <c r="E9086" s="1" t="s">
        <v>10</v>
      </c>
      <c r="F9086" s="1" t="str">
        <f>"10.10.91.170"</f>
        <v>10.10.91.170</v>
      </c>
      <c r="G9086" s="1" t="str">
        <f>"9629X144"</f>
        <v>9629X144</v>
      </c>
      <c r="H9086" s="1" t="str">
        <f>"갈현간 21"</f>
        <v>갈현간 21</v>
      </c>
      <c r="I9086" s="1" t="s">
        <v>8</v>
      </c>
      <c r="J9086" s="1" t="str">
        <f>"34/35"</f>
        <v>34/35</v>
      </c>
      <c r="K9086" s="1" t="str">
        <f>"2026-07-29 13:18:10"</f>
        <v>2026-07-29 13:18:10</v>
      </c>
      <c r="L9086" s="1" t="str">
        <f>"2019-09-03 14:03:05"</f>
        <v>2019-09-03 14:03:05</v>
      </c>
      <c r="M9086" s="1" t="s">
        <v>1</v>
      </c>
      <c r="N9086" s="1" t="s">
        <v>38</v>
      </c>
      <c r="O9086" s="1" t="s">
        <v>46</v>
      </c>
    </row>
    <row r="9087" spans="2:15" x14ac:dyDescent="0.3">
      <c r="B9087" s="1" t="s">
        <v>21</v>
      </c>
      <c r="C9087" s="1" t="str">
        <f t="shared" si="455"/>
        <v>4차</v>
      </c>
      <c r="D9087" s="1" t="str">
        <f>"9629X15644"</f>
        <v>9629X15644</v>
      </c>
      <c r="E9087" s="1" t="s">
        <v>10</v>
      </c>
      <c r="F9087" s="1" t="str">
        <f>"10.12.138.32"</f>
        <v>10.12.138.32</v>
      </c>
      <c r="G9087" s="1" t="str">
        <f>"9629X156"</f>
        <v>9629X156</v>
      </c>
      <c r="H9087" s="1" t="str">
        <f>"갈현간 17R4L5"</f>
        <v>갈현간 17R4L5</v>
      </c>
      <c r="I9087" s="1" t="s">
        <v>8</v>
      </c>
      <c r="J9087" s="1" t="str">
        <f>"49/49"</f>
        <v>49/49</v>
      </c>
      <c r="K9087" s="1" t="str">
        <f>"2026-07-29 13:18:13"</f>
        <v>2026-07-29 13:18:13</v>
      </c>
      <c r="L9087" s="1" t="str">
        <f>"2019-11-11 20:07:06"</f>
        <v>2019-11-11 20:07:06</v>
      </c>
      <c r="M9087" s="1" t="s">
        <v>0</v>
      </c>
      <c r="N9087" s="1" t="s">
        <v>38</v>
      </c>
      <c r="O9087" s="1" t="s">
        <v>46</v>
      </c>
    </row>
    <row r="9088" spans="2:15" x14ac:dyDescent="0.3">
      <c r="B9088" s="1" t="s">
        <v>21</v>
      </c>
      <c r="C9088" s="1" t="str">
        <f t="shared" si="455"/>
        <v>4차</v>
      </c>
      <c r="D9088" s="1" t="str">
        <f>"9629X16144"</f>
        <v>9629X16144</v>
      </c>
      <c r="E9088" s="1" t="s">
        <v>10</v>
      </c>
      <c r="F9088" s="1" t="str">
        <f>"10.10.92.90"</f>
        <v>10.10.92.90</v>
      </c>
      <c r="G9088" s="1" t="str">
        <f>"9629X161"</f>
        <v>9629X161</v>
      </c>
      <c r="H9088" s="1" t="str">
        <f>"갈현간 17R4L4"</f>
        <v>갈현간 17R4L4</v>
      </c>
      <c r="I9088" s="1" t="s">
        <v>8</v>
      </c>
      <c r="J9088" s="1" t="str">
        <f>"42/43"</f>
        <v>42/43</v>
      </c>
      <c r="K9088" s="1" t="str">
        <f t="shared" ref="K9088:K9096" si="456">"2026-07-29 13:18:11"</f>
        <v>2026-07-29 13:18:11</v>
      </c>
      <c r="L9088" s="1" t="str">
        <f>"2019-10-22 16:13:03"</f>
        <v>2019-10-22 16:13:03</v>
      </c>
      <c r="M9088" s="1" t="s">
        <v>1</v>
      </c>
      <c r="N9088" s="1" t="s">
        <v>38</v>
      </c>
      <c r="O9088" s="1" t="s">
        <v>46</v>
      </c>
    </row>
    <row r="9089" spans="2:15" x14ac:dyDescent="0.3">
      <c r="B9089" s="1" t="s">
        <v>21</v>
      </c>
      <c r="C9089" s="1" t="str">
        <f t="shared" si="455"/>
        <v>4차</v>
      </c>
      <c r="D9089" s="1" t="str">
        <f>"9629X16244"</f>
        <v>9629X16244</v>
      </c>
      <c r="E9089" s="1" t="s">
        <v>10</v>
      </c>
      <c r="F9089" s="1" t="str">
        <f>"10.10.91.242"</f>
        <v>10.10.91.242</v>
      </c>
      <c r="G9089" s="1" t="str">
        <f>"9629X162"</f>
        <v>9629X162</v>
      </c>
      <c r="H9089" s="1" t="str">
        <f>"갈현간 18"</f>
        <v>갈현간 18</v>
      </c>
      <c r="I9089" s="1" t="s">
        <v>8</v>
      </c>
      <c r="J9089" s="1" t="str">
        <f>"56/57"</f>
        <v>56/57</v>
      </c>
      <c r="K9089" s="1" t="str">
        <f t="shared" si="456"/>
        <v>2026-07-29 13:18:11</v>
      </c>
      <c r="L9089" s="1" t="str">
        <f>"2019-09-03 13:43:04"</f>
        <v>2019-09-03 13:43:04</v>
      </c>
      <c r="M9089" s="1" t="s">
        <v>1</v>
      </c>
      <c r="N9089" s="1" t="s">
        <v>38</v>
      </c>
      <c r="O9089" s="1" t="s">
        <v>46</v>
      </c>
    </row>
    <row r="9090" spans="2:15" x14ac:dyDescent="0.3">
      <c r="B9090" s="1" t="s">
        <v>21</v>
      </c>
      <c r="C9090" s="1" t="str">
        <f t="shared" si="455"/>
        <v>4차</v>
      </c>
      <c r="D9090" s="1" t="str">
        <f>"9629X16344"</f>
        <v>9629X16344</v>
      </c>
      <c r="E9090" s="1" t="s">
        <v>10</v>
      </c>
      <c r="F9090" s="1" t="str">
        <f>"10.10.111.66"</f>
        <v>10.10.111.66</v>
      </c>
      <c r="G9090" s="1" t="str">
        <f>"9629X163"</f>
        <v>9629X163</v>
      </c>
      <c r="H9090" s="1" t="str">
        <f>"갈현간 19"</f>
        <v>갈현간 19</v>
      </c>
      <c r="I9090" s="1" t="s">
        <v>8</v>
      </c>
      <c r="J9090" s="1" t="str">
        <f>"11/11"</f>
        <v>11/11</v>
      </c>
      <c r="K9090" s="1" t="str">
        <f t="shared" si="456"/>
        <v>2026-07-29 13:18:11</v>
      </c>
      <c r="L9090" s="1" t="str">
        <f>"2019-09-16 16:57:30"</f>
        <v>2019-09-16 16:57:30</v>
      </c>
      <c r="M9090" s="1" t="s">
        <v>1</v>
      </c>
      <c r="N9090" s="1" t="s">
        <v>38</v>
      </c>
      <c r="O9090" s="1" t="s">
        <v>46</v>
      </c>
    </row>
    <row r="9091" spans="2:15" x14ac:dyDescent="0.3">
      <c r="B9091" s="1" t="s">
        <v>21</v>
      </c>
      <c r="C9091" s="1" t="str">
        <f t="shared" si="455"/>
        <v>4차</v>
      </c>
      <c r="D9091" s="1" t="str">
        <f>"9629X18544"</f>
        <v>9629X18544</v>
      </c>
      <c r="E9091" s="1" t="s">
        <v>10</v>
      </c>
      <c r="F9091" s="1" t="str">
        <f>"10.10.92.178"</f>
        <v>10.10.92.178</v>
      </c>
      <c r="G9091" s="1" t="str">
        <f>"9629X185"</f>
        <v>9629X185</v>
      </c>
      <c r="H9091" s="1" t="str">
        <f>"갈현간 16"</f>
        <v>갈현간 16</v>
      </c>
      <c r="I9091" s="1" t="s">
        <v>8</v>
      </c>
      <c r="J9091" s="1" t="str">
        <f>"7/7"</f>
        <v>7/7</v>
      </c>
      <c r="K9091" s="1" t="str">
        <f t="shared" si="456"/>
        <v>2026-07-29 13:18:11</v>
      </c>
      <c r="L9091" s="1" t="str">
        <f>"2024-02-28 16:04:36"</f>
        <v>2024-02-28 16:04:36</v>
      </c>
      <c r="M9091" s="1" t="s">
        <v>1</v>
      </c>
      <c r="N9091" s="1" t="s">
        <v>38</v>
      </c>
      <c r="O9091" s="1" t="s">
        <v>46</v>
      </c>
    </row>
    <row r="9092" spans="2:15" x14ac:dyDescent="0.3">
      <c r="B9092" s="1" t="s">
        <v>21</v>
      </c>
      <c r="C9092" s="1" t="str">
        <f t="shared" si="455"/>
        <v>4차</v>
      </c>
      <c r="D9092" s="1" t="str">
        <f>"9629X20144"</f>
        <v>9629X20144</v>
      </c>
      <c r="E9092" s="1" t="s">
        <v>10</v>
      </c>
      <c r="F9092" s="1" t="str">
        <f>"10.10.74.122"</f>
        <v>10.10.74.122</v>
      </c>
      <c r="G9092" s="1" t="str">
        <f>"9629X201"</f>
        <v>9629X201</v>
      </c>
      <c r="H9092" s="1" t="str">
        <f>"청구지 1R5A2R1"</f>
        <v>청구지 1R5A2R1</v>
      </c>
      <c r="I9092" s="1" t="s">
        <v>8</v>
      </c>
      <c r="J9092" s="1" t="str">
        <f>"38/38"</f>
        <v>38/38</v>
      </c>
      <c r="K9092" s="1" t="str">
        <f t="shared" si="456"/>
        <v>2026-07-29 13:18:11</v>
      </c>
      <c r="L9092" s="1" t="str">
        <f>"2020-01-10 17:25:18"</f>
        <v>2020-01-10 17:25:18</v>
      </c>
      <c r="M9092" s="1" t="s">
        <v>1</v>
      </c>
      <c r="N9092" s="1" t="s">
        <v>38</v>
      </c>
      <c r="O9092" s="1" t="s">
        <v>46</v>
      </c>
    </row>
    <row r="9093" spans="2:15" x14ac:dyDescent="0.3">
      <c r="B9093" s="1" t="s">
        <v>21</v>
      </c>
      <c r="C9093" s="1" t="str">
        <f t="shared" si="455"/>
        <v>4차</v>
      </c>
      <c r="D9093" s="1" t="str">
        <f>"9629X21144"</f>
        <v>9629X21144</v>
      </c>
      <c r="E9093" s="1" t="s">
        <v>10</v>
      </c>
      <c r="F9093" s="1" t="str">
        <f>"10.10.74.242"</f>
        <v>10.10.74.242</v>
      </c>
      <c r="G9093" s="1" t="str">
        <f>"9629X211"</f>
        <v>9629X211</v>
      </c>
      <c r="H9093" s="1" t="str">
        <f>"청구지 1R5R3L3"</f>
        <v>청구지 1R5R3L3</v>
      </c>
      <c r="I9093" s="1" t="s">
        <v>8</v>
      </c>
      <c r="J9093" s="1" t="str">
        <f>"40/42"</f>
        <v>40/42</v>
      </c>
      <c r="K9093" s="1" t="str">
        <f t="shared" si="456"/>
        <v>2026-07-29 13:18:11</v>
      </c>
      <c r="L9093" s="1" t="str">
        <f>"2020-01-10 17:18:25"</f>
        <v>2020-01-10 17:18:25</v>
      </c>
      <c r="M9093" s="1" t="s">
        <v>1</v>
      </c>
      <c r="N9093" s="1" t="s">
        <v>38</v>
      </c>
      <c r="O9093" s="1" t="s">
        <v>46</v>
      </c>
    </row>
    <row r="9094" spans="2:15" x14ac:dyDescent="0.3">
      <c r="B9094" s="1" t="s">
        <v>21</v>
      </c>
      <c r="C9094" s="1" t="str">
        <f>"1차"</f>
        <v>1차</v>
      </c>
      <c r="D9094" s="1" t="str">
        <f>"9629X26201"</f>
        <v>9629X26201</v>
      </c>
      <c r="E9094" s="1" t="s">
        <v>10</v>
      </c>
      <c r="F9094" s="1" t="str">
        <f>"10.128.1.168"</f>
        <v>10.128.1.168</v>
      </c>
      <c r="G9094" s="1" t="str">
        <f>"9629X262"</f>
        <v>9629X262</v>
      </c>
      <c r="H9094" s="1" t="str">
        <f>"은수간 17L2R1"</f>
        <v>은수간 17L2R1</v>
      </c>
      <c r="I9094" s="1" t="s">
        <v>8</v>
      </c>
      <c r="J9094" s="1" t="str">
        <f>"56/56"</f>
        <v>56/56</v>
      </c>
      <c r="K9094" s="1" t="str">
        <f t="shared" si="456"/>
        <v>2026-07-29 13:18:11</v>
      </c>
      <c r="L9094" s="1" t="str">
        <f>"2014-11-24 16:01:48"</f>
        <v>2014-11-24 16:01:48</v>
      </c>
      <c r="M9094" s="1" t="s">
        <v>45</v>
      </c>
      <c r="N9094" s="1" t="s">
        <v>38</v>
      </c>
      <c r="O9094" s="1" t="s">
        <v>46</v>
      </c>
    </row>
    <row r="9095" spans="2:15" x14ac:dyDescent="0.3">
      <c r="B9095" s="1" t="s">
        <v>21</v>
      </c>
      <c r="C9095" s="1" t="str">
        <f>"4차"</f>
        <v>4차</v>
      </c>
      <c r="D9095" s="1" t="str">
        <f>"9629X29144"</f>
        <v>9629X29144</v>
      </c>
      <c r="E9095" s="1" t="s">
        <v>10</v>
      </c>
      <c r="F9095" s="1" t="str">
        <f>"10.10.92.202"</f>
        <v>10.10.92.202</v>
      </c>
      <c r="G9095" s="1" t="str">
        <f>"9629X291"</f>
        <v>9629X291</v>
      </c>
      <c r="H9095" s="1" t="str">
        <f>"갈현간 14"</f>
        <v>갈현간 14</v>
      </c>
      <c r="I9095" s="1" t="s">
        <v>8</v>
      </c>
      <c r="J9095" s="1" t="str">
        <f>"31/31"</f>
        <v>31/31</v>
      </c>
      <c r="K9095" s="1" t="str">
        <f t="shared" si="456"/>
        <v>2026-07-29 13:18:11</v>
      </c>
      <c r="L9095" s="1" t="str">
        <f>"2019-10-22 13:13:03"</f>
        <v>2019-10-22 13:13:03</v>
      </c>
      <c r="M9095" s="1" t="s">
        <v>1</v>
      </c>
      <c r="N9095" s="1" t="s">
        <v>38</v>
      </c>
      <c r="O9095" s="1" t="s">
        <v>46</v>
      </c>
    </row>
    <row r="9096" spans="2:15" x14ac:dyDescent="0.3">
      <c r="B9096" s="1" t="s">
        <v>21</v>
      </c>
      <c r="C9096" s="1" t="str">
        <f>"1차"</f>
        <v>1차</v>
      </c>
      <c r="D9096" s="1" t="str">
        <f>"9629X31102"</f>
        <v>9629X31102</v>
      </c>
      <c r="E9096" s="1" t="s">
        <v>10</v>
      </c>
      <c r="F9096" s="1" t="str">
        <f>"10.128.64.155"</f>
        <v>10.128.64.155</v>
      </c>
      <c r="G9096" s="1" t="str">
        <f>"9629X311"</f>
        <v>9629X311</v>
      </c>
      <c r="H9096" s="1" t="str">
        <f>"청구지 1R5R3"</f>
        <v>청구지 1R5R3</v>
      </c>
      <c r="I9096" s="1" t="s">
        <v>8</v>
      </c>
      <c r="J9096" s="1" t="str">
        <f>"12/12"</f>
        <v>12/12</v>
      </c>
      <c r="K9096" s="1" t="str">
        <f t="shared" si="456"/>
        <v>2026-07-29 13:18:11</v>
      </c>
      <c r="L9096" s="1" t="str">
        <f>"2015-01-07 13:50:18"</f>
        <v>2015-01-07 13:50:18</v>
      </c>
      <c r="M9096" s="1" t="s">
        <v>45</v>
      </c>
      <c r="N9096" s="1" t="s">
        <v>38</v>
      </c>
      <c r="O9096" s="1" t="s">
        <v>46</v>
      </c>
    </row>
    <row r="9097" spans="2:15" x14ac:dyDescent="0.3">
      <c r="B9097" s="1" t="s">
        <v>21</v>
      </c>
      <c r="C9097" s="1" t="str">
        <f>"6차"</f>
        <v>6차</v>
      </c>
      <c r="D9097" s="1" t="str">
        <f>"9629X3126S"</f>
        <v>9629X3126S</v>
      </c>
      <c r="E9097" s="1" t="s">
        <v>10</v>
      </c>
      <c r="F9097" s="1" t="str">
        <f>"fde1:103:4:93dc:0:0:0:2"</f>
        <v>fde1:103:4:93dc:0:0:0:2</v>
      </c>
      <c r="G9097" s="1" t="str">
        <f>"9629X312"</f>
        <v>9629X312</v>
      </c>
      <c r="H9097" s="1" t="str">
        <f>"청구지 1R5R2"</f>
        <v>청구지 1R5R2</v>
      </c>
      <c r="I9097" s="1" t="s">
        <v>15</v>
      </c>
      <c r="J9097" s="1" t="str">
        <f>"22/22"</f>
        <v>22/22</v>
      </c>
      <c r="K9097" s="1" t="str">
        <f>"2026-07-29 08:21:45"</f>
        <v>2026-07-29 08:21:45</v>
      </c>
      <c r="L9097" s="1" t="str">
        <f>"2025-01-22 14:34:30"</f>
        <v>2025-01-22 14:34:30</v>
      </c>
      <c r="M9097" s="1" t="s">
        <v>4</v>
      </c>
      <c r="N9097" s="1" t="s">
        <v>38</v>
      </c>
      <c r="O9097" s="1" t="s">
        <v>46</v>
      </c>
    </row>
    <row r="9098" spans="2:15" x14ac:dyDescent="0.3">
      <c r="B9098" s="1" t="s">
        <v>21</v>
      </c>
      <c r="C9098" s="1" t="str">
        <f>"1차"</f>
        <v>1차</v>
      </c>
      <c r="D9098" s="1" t="str">
        <f>"9629X32200"</f>
        <v>9629X32200</v>
      </c>
      <c r="E9098" s="1" t="s">
        <v>10</v>
      </c>
      <c r="F9098" s="1" t="str">
        <f>"10.128.64.154"</f>
        <v>10.128.64.154</v>
      </c>
      <c r="G9098" s="1" t="str">
        <f>"9629X322"</f>
        <v>9629X322</v>
      </c>
      <c r="H9098" s="1" t="str">
        <f>"청구지 1R5R4"</f>
        <v>청구지 1R5R4</v>
      </c>
      <c r="I9098" s="1" t="s">
        <v>8</v>
      </c>
      <c r="J9098" s="1" t="str">
        <f>"62/63"</f>
        <v>62/63</v>
      </c>
      <c r="K9098" s="1" t="str">
        <f>"2026-07-29 13:18:11"</f>
        <v>2026-07-29 13:18:11</v>
      </c>
      <c r="L9098" s="1" t="str">
        <f>"2014-12-09 10:24:38"</f>
        <v>2014-12-09 10:24:38</v>
      </c>
      <c r="M9098" s="1" t="s">
        <v>45</v>
      </c>
      <c r="N9098" s="1" t="s">
        <v>38</v>
      </c>
      <c r="O9098" s="1" t="s">
        <v>46</v>
      </c>
    </row>
    <row r="9099" spans="2:15" x14ac:dyDescent="0.3">
      <c r="B9099" s="1" t="s">
        <v>21</v>
      </c>
      <c r="C9099" s="1" t="str">
        <f>"5-2차"</f>
        <v>5-2차</v>
      </c>
      <c r="D9099" s="1" t="str">
        <f>"9629X3415M"</f>
        <v>9629X3415M</v>
      </c>
      <c r="E9099" s="1" t="s">
        <v>10</v>
      </c>
      <c r="F9099" s="1" t="str">
        <f>"fde1:103:4:6ed5:0:0:0:2"</f>
        <v>fde1:103:4:6ed5:0:0:0:2</v>
      </c>
      <c r="G9099" s="1" t="str">
        <f>"9629X341"</f>
        <v>9629X341</v>
      </c>
      <c r="H9099" s="1" t="str">
        <f>"은수간 17L4"</f>
        <v>은수간 17L4</v>
      </c>
      <c r="I9099" s="1" t="s">
        <v>15</v>
      </c>
      <c r="J9099" s="1" t="str">
        <f>"17/17"</f>
        <v>17/17</v>
      </c>
      <c r="K9099" s="1" t="str">
        <f>"2026-07-29 14:21:28"</f>
        <v>2026-07-29 14:21:28</v>
      </c>
      <c r="L9099" s="1" t="str">
        <f>"2023-11-15 09:03:26"</f>
        <v>2023-11-15 09:03:26</v>
      </c>
      <c r="M9099" s="1" t="s">
        <v>4</v>
      </c>
      <c r="N9099" s="1" t="s">
        <v>38</v>
      </c>
      <c r="O9099" s="1" t="s">
        <v>46</v>
      </c>
    </row>
    <row r="9100" spans="2:15" x14ac:dyDescent="0.3">
      <c r="B9100" s="1" t="s">
        <v>21</v>
      </c>
      <c r="C9100" s="1" t="str">
        <f>"1차"</f>
        <v>1차</v>
      </c>
      <c r="D9100" s="1" t="str">
        <f>"9629X34200"</f>
        <v>9629X34200</v>
      </c>
      <c r="E9100" s="1" t="s">
        <v>10</v>
      </c>
      <c r="F9100" s="1" t="str">
        <f>"10.128.1.163"</f>
        <v>10.128.1.163</v>
      </c>
      <c r="G9100" s="1" t="str">
        <f>"9629X342"</f>
        <v>9629X342</v>
      </c>
      <c r="H9100" s="1" t="str">
        <f>"은수간 17L6"</f>
        <v>은수간 17L6</v>
      </c>
      <c r="I9100" s="1" t="s">
        <v>8</v>
      </c>
      <c r="J9100" s="1" t="str">
        <f>"55/55"</f>
        <v>55/55</v>
      </c>
      <c r="K9100" s="1" t="str">
        <f>"2026-07-29 13:18:11"</f>
        <v>2026-07-29 13:18:11</v>
      </c>
      <c r="L9100" s="1" t="str">
        <f>"2014-11-12 00:13:50"</f>
        <v>2014-11-12 00:13:50</v>
      </c>
      <c r="M9100" s="1" t="s">
        <v>45</v>
      </c>
      <c r="N9100" s="1" t="s">
        <v>38</v>
      </c>
      <c r="O9100" s="1" t="s">
        <v>46</v>
      </c>
    </row>
    <row r="9101" spans="2:15" x14ac:dyDescent="0.3">
      <c r="B9101" s="1" t="s">
        <v>21</v>
      </c>
      <c r="C9101" s="1" t="str">
        <f>"1차"</f>
        <v>1차</v>
      </c>
      <c r="D9101" s="1" t="str">
        <f>"9629X36202"</f>
        <v>9629X36202</v>
      </c>
      <c r="E9101" s="1" t="s">
        <v>10</v>
      </c>
      <c r="F9101" s="1" t="str">
        <f>"10.128.1.169"</f>
        <v>10.128.1.169</v>
      </c>
      <c r="G9101" s="1" t="str">
        <f>"9629X362"</f>
        <v>9629X362</v>
      </c>
      <c r="H9101" s="1" t="str">
        <f>"은수간 17L2L1"</f>
        <v>은수간 17L2L1</v>
      </c>
      <c r="I9101" s="1" t="s">
        <v>8</v>
      </c>
      <c r="J9101" s="1" t="str">
        <f>"39/42"</f>
        <v>39/42</v>
      </c>
      <c r="K9101" s="1" t="str">
        <f>"2026-07-29 13:18:11"</f>
        <v>2026-07-29 13:18:11</v>
      </c>
      <c r="L9101" s="1" t="str">
        <f>"2014-11-24 16:02:52"</f>
        <v>2014-11-24 16:02:52</v>
      </c>
      <c r="M9101" s="1" t="s">
        <v>45</v>
      </c>
      <c r="N9101" s="1" t="s">
        <v>38</v>
      </c>
      <c r="O9101" s="1" t="s">
        <v>46</v>
      </c>
    </row>
    <row r="9102" spans="2:15" x14ac:dyDescent="0.3">
      <c r="B9102" s="1" t="s">
        <v>21</v>
      </c>
      <c r="C9102" s="1" t="str">
        <f>"1차"</f>
        <v>1차</v>
      </c>
      <c r="D9102" s="1" t="str">
        <f>"9629X36300"</f>
        <v>9629X36300</v>
      </c>
      <c r="E9102" s="1" t="s">
        <v>10</v>
      </c>
      <c r="F9102" s="1" t="str">
        <f>"10.128.1.167"</f>
        <v>10.128.1.167</v>
      </c>
      <c r="G9102" s="1" t="str">
        <f>"9629X363"</f>
        <v>9629X363</v>
      </c>
      <c r="H9102" s="1" t="str">
        <f>"은수간 17L2"</f>
        <v>은수간 17L2</v>
      </c>
      <c r="I9102" s="1" t="s">
        <v>8</v>
      </c>
      <c r="J9102" s="1" t="str">
        <f>"37/38"</f>
        <v>37/38</v>
      </c>
      <c r="K9102" s="1" t="str">
        <f>"2026-07-29 13:18:11"</f>
        <v>2026-07-29 13:18:11</v>
      </c>
      <c r="L9102" s="1" t="str">
        <f>"2014-11-21 15:14:34"</f>
        <v>2014-11-21 15:14:34</v>
      </c>
      <c r="M9102" s="1" t="s">
        <v>45</v>
      </c>
      <c r="N9102" s="1" t="s">
        <v>38</v>
      </c>
      <c r="O9102" s="1" t="s">
        <v>46</v>
      </c>
    </row>
    <row r="9103" spans="2:15" x14ac:dyDescent="0.3">
      <c r="B9103" s="1" t="s">
        <v>21</v>
      </c>
      <c r="C9103" s="1" t="str">
        <f>"1차"</f>
        <v>1차</v>
      </c>
      <c r="D9103" s="1" t="str">
        <f>"9629X38100"</f>
        <v>9629X38100</v>
      </c>
      <c r="E9103" s="1" t="s">
        <v>10</v>
      </c>
      <c r="F9103" s="1" t="str">
        <f>"10.128.1.160"</f>
        <v>10.128.1.160</v>
      </c>
      <c r="G9103" s="1" t="str">
        <f>"9629X381"</f>
        <v>9629X381</v>
      </c>
      <c r="H9103" s="1" t="str">
        <f>"은수간 17"</f>
        <v>은수간 17</v>
      </c>
      <c r="I9103" s="1" t="s">
        <v>8</v>
      </c>
      <c r="J9103" s="1" t="str">
        <f>"24/24"</f>
        <v>24/24</v>
      </c>
      <c r="K9103" s="1" t="str">
        <f>"2026-07-29 13:18:11"</f>
        <v>2026-07-29 13:18:11</v>
      </c>
      <c r="L9103" s="1" t="str">
        <f>"2014-11-12 14:58:44"</f>
        <v>2014-11-12 14:58:44</v>
      </c>
      <c r="M9103" s="1" t="s">
        <v>45</v>
      </c>
      <c r="N9103" s="1" t="s">
        <v>38</v>
      </c>
      <c r="O9103" s="1" t="s">
        <v>46</v>
      </c>
    </row>
    <row r="9104" spans="2:15" x14ac:dyDescent="0.3">
      <c r="B9104" s="1" t="s">
        <v>21</v>
      </c>
      <c r="C9104" s="1" t="str">
        <f>"4차"</f>
        <v>4차</v>
      </c>
      <c r="D9104" s="1" t="str">
        <f>"9629X38244"</f>
        <v>9629X38244</v>
      </c>
      <c r="E9104" s="1" t="s">
        <v>10</v>
      </c>
      <c r="F9104" s="1" t="str">
        <f>"10.10.88.2"</f>
        <v>10.10.88.2</v>
      </c>
      <c r="G9104" s="1" t="str">
        <f>"9629X382"</f>
        <v>9629X382</v>
      </c>
      <c r="H9104" s="1" t="str">
        <f>"은수간 17R1"</f>
        <v>은수간 17R1</v>
      </c>
      <c r="I9104" s="1" t="s">
        <v>8</v>
      </c>
      <c r="J9104" s="1" t="str">
        <f>"28/29"</f>
        <v>28/29</v>
      </c>
      <c r="K9104" s="1" t="str">
        <f>"2026-07-29 13:18:11"</f>
        <v>2026-07-29 13:18:11</v>
      </c>
      <c r="L9104" s="1" t="str">
        <f>"2019-12-11 18:19:01"</f>
        <v>2019-12-11 18:19:01</v>
      </c>
      <c r="M9104" s="1" t="s">
        <v>1</v>
      </c>
      <c r="N9104" s="1" t="s">
        <v>38</v>
      </c>
      <c r="O9104" s="1" t="s">
        <v>46</v>
      </c>
    </row>
    <row r="9105" spans="2:15" x14ac:dyDescent="0.3">
      <c r="B9105" s="1" t="s">
        <v>21</v>
      </c>
      <c r="C9105" s="1" t="str">
        <f>"4차"</f>
        <v>4차</v>
      </c>
      <c r="D9105" s="1" t="str">
        <f>"9629X39139"</f>
        <v>9629X39139</v>
      </c>
      <c r="E9105" s="1" t="s">
        <v>10</v>
      </c>
      <c r="F9105" s="1" t="str">
        <f>"10.14.15.183"</f>
        <v>10.14.15.183</v>
      </c>
      <c r="G9105" s="1" t="str">
        <f>"9629X391"</f>
        <v>9629X391</v>
      </c>
      <c r="H9105" s="1" t="str">
        <f>"은수간 17R2"</f>
        <v>은수간 17R2</v>
      </c>
      <c r="I9105" s="1" t="s">
        <v>8</v>
      </c>
      <c r="J9105" s="1" t="str">
        <f>"38/38"</f>
        <v>38/38</v>
      </c>
      <c r="K9105" s="1" t="str">
        <f>"2026-07-29 13:18:13"</f>
        <v>2026-07-29 13:18:13</v>
      </c>
      <c r="L9105" s="1" t="str">
        <f>"2018-04-21 13:29:58"</f>
        <v>2018-04-21 13:29:58</v>
      </c>
      <c r="M9105" s="1" t="s">
        <v>3</v>
      </c>
      <c r="N9105" s="1" t="s">
        <v>38</v>
      </c>
      <c r="O9105" s="1" t="s">
        <v>46</v>
      </c>
    </row>
    <row r="9106" spans="2:15" x14ac:dyDescent="0.3">
      <c r="B9106" s="1" t="s">
        <v>21</v>
      </c>
      <c r="C9106" s="1" t="str">
        <f>"4차"</f>
        <v>4차</v>
      </c>
      <c r="D9106" s="1" t="str">
        <f>"9629X39444"</f>
        <v>9629X39444</v>
      </c>
      <c r="E9106" s="1" t="s">
        <v>10</v>
      </c>
      <c r="F9106" s="1" t="str">
        <f>"10.10.121.178"</f>
        <v>10.10.121.178</v>
      </c>
      <c r="G9106" s="1" t="str">
        <f>"9629X394"</f>
        <v>9629X394</v>
      </c>
      <c r="H9106" s="1" t="str">
        <f>"은수간 17R4L3"</f>
        <v>은수간 17R4L3</v>
      </c>
      <c r="I9106" s="1" t="s">
        <v>8</v>
      </c>
      <c r="J9106" s="1" t="str">
        <f>"24/24"</f>
        <v>24/24</v>
      </c>
      <c r="K9106" s="1" t="str">
        <f>"2026-07-29 13:18:11"</f>
        <v>2026-07-29 13:18:11</v>
      </c>
      <c r="L9106" s="1" t="str">
        <f>"2019-11-20 22:08:49"</f>
        <v>2019-11-20 22:08:49</v>
      </c>
      <c r="M9106" s="1" t="s">
        <v>1</v>
      </c>
      <c r="N9106" s="1" t="s">
        <v>38</v>
      </c>
      <c r="O9106" s="1" t="s">
        <v>46</v>
      </c>
    </row>
    <row r="9107" spans="2:15" x14ac:dyDescent="0.3">
      <c r="B9107" s="1" t="s">
        <v>21</v>
      </c>
      <c r="C9107" s="1" t="str">
        <f>"4차"</f>
        <v>4차</v>
      </c>
      <c r="D9107" s="1" t="str">
        <f>"9629X40241"</f>
        <v>9629X40241</v>
      </c>
      <c r="E9107" s="1" t="s">
        <v>10</v>
      </c>
      <c r="F9107" s="1" t="str">
        <f>"10.12.131.151"</f>
        <v>10.12.131.151</v>
      </c>
      <c r="G9107" s="1" t="str">
        <f>"9629X402"</f>
        <v>9629X402</v>
      </c>
      <c r="H9107" s="1" t="str">
        <f>"청구지 1R5R1R2"</f>
        <v>청구지 1R5R1R2</v>
      </c>
      <c r="I9107" s="1" t="s">
        <v>17</v>
      </c>
      <c r="J9107" s="1" t="str">
        <f>"9/9"</f>
        <v>9/9</v>
      </c>
      <c r="K9107" s="1" t="str">
        <f>"2026-07-29 13:18:12"</f>
        <v>2026-07-29 13:18:12</v>
      </c>
      <c r="L9107" s="1" t="str">
        <f>"2021-08-09 09:11:36"</f>
        <v>2021-08-09 09:11:36</v>
      </c>
      <c r="M9107" s="1" t="s">
        <v>0</v>
      </c>
      <c r="N9107" s="1" t="s">
        <v>38</v>
      </c>
      <c r="O9107" s="1" t="s">
        <v>46</v>
      </c>
    </row>
    <row r="9108" spans="2:15" x14ac:dyDescent="0.3">
      <c r="B9108" s="1" t="s">
        <v>21</v>
      </c>
      <c r="C9108" s="1" t="str">
        <f>"4차"</f>
        <v>4차</v>
      </c>
      <c r="D9108" s="1" t="str">
        <f>"9629X40341"</f>
        <v>9629X40341</v>
      </c>
      <c r="E9108" s="1" t="s">
        <v>10</v>
      </c>
      <c r="F9108" s="1" t="str">
        <f>"10.12.128.88"</f>
        <v>10.12.128.88</v>
      </c>
      <c r="G9108" s="1" t="str">
        <f>"9629X403"</f>
        <v>9629X403</v>
      </c>
      <c r="H9108" s="1" t="str">
        <f>"청구지 1R5R1HR1"</f>
        <v>청구지 1R5R1HR1</v>
      </c>
      <c r="I9108" s="1" t="s">
        <v>17</v>
      </c>
      <c r="J9108" s="1" t="str">
        <f>"27/27"</f>
        <v>27/27</v>
      </c>
      <c r="K9108" s="1" t="str">
        <f>"2026-07-29 13:18:11"</f>
        <v>2026-07-29 13:18:11</v>
      </c>
      <c r="L9108" s="1" t="str">
        <f>"2021-08-09 08:39:00"</f>
        <v>2021-08-09 08:39:00</v>
      </c>
      <c r="M9108" s="1" t="s">
        <v>0</v>
      </c>
      <c r="N9108" s="1" t="s">
        <v>38</v>
      </c>
      <c r="O9108" s="1" t="s">
        <v>46</v>
      </c>
    </row>
    <row r="9109" spans="2:15" x14ac:dyDescent="0.3">
      <c r="B9109" s="1" t="s">
        <v>21</v>
      </c>
      <c r="C9109" s="1" t="str">
        <f>"1차"</f>
        <v>1차</v>
      </c>
      <c r="D9109" s="1" t="str">
        <f>"9629X41100"</f>
        <v>9629X41100</v>
      </c>
      <c r="E9109" s="1" t="s">
        <v>10</v>
      </c>
      <c r="F9109" s="1" t="str">
        <f>"10.128.64.162"</f>
        <v>10.128.64.162</v>
      </c>
      <c r="G9109" s="1" t="str">
        <f>"9629X411"</f>
        <v>9629X411</v>
      </c>
      <c r="H9109" s="1" t="str">
        <f>"청구지 1R5R2R1"</f>
        <v>청구지 1R5R2R1</v>
      </c>
      <c r="I9109" s="1" t="s">
        <v>8</v>
      </c>
      <c r="J9109" s="1" t="str">
        <f>"43/46"</f>
        <v>43/46</v>
      </c>
      <c r="K9109" s="1" t="str">
        <f>"2026-07-29 13:18:11"</f>
        <v>2026-07-29 13:18:11</v>
      </c>
      <c r="L9109" s="1" t="str">
        <f>"2014-12-09 09:55:10"</f>
        <v>2014-12-09 09:55:10</v>
      </c>
      <c r="M9109" s="1" t="s">
        <v>45</v>
      </c>
      <c r="N9109" s="1" t="s">
        <v>38</v>
      </c>
      <c r="O9109" s="1" t="s">
        <v>46</v>
      </c>
    </row>
    <row r="9110" spans="2:15" x14ac:dyDescent="0.3">
      <c r="B9110" s="1" t="s">
        <v>21</v>
      </c>
      <c r="C9110" s="1" t="str">
        <f>"1차"</f>
        <v>1차</v>
      </c>
      <c r="D9110" s="1" t="str">
        <f>"9629X41201"</f>
        <v>9629X41201</v>
      </c>
      <c r="E9110" s="1" t="s">
        <v>10</v>
      </c>
      <c r="F9110" s="1" t="str">
        <f>"10.14.10.122"</f>
        <v>10.14.10.122</v>
      </c>
      <c r="G9110" s="1" t="str">
        <f>"9629X412"</f>
        <v>9629X412</v>
      </c>
      <c r="H9110" s="1" t="str">
        <f>"청구지 1R5R2R2"</f>
        <v>청구지 1R5R2R2</v>
      </c>
      <c r="I9110" s="1" t="s">
        <v>8</v>
      </c>
      <c r="J9110" s="1" t="str">
        <f>"72/72"</f>
        <v>72/72</v>
      </c>
      <c r="K9110" s="1" t="str">
        <f>"2026-07-29 13:18:12"</f>
        <v>2026-07-29 13:18:12</v>
      </c>
      <c r="L9110" s="1" t="str">
        <f>"2014-12-09 09:55:57"</f>
        <v>2014-12-09 09:55:57</v>
      </c>
      <c r="M9110" s="1" t="s">
        <v>3</v>
      </c>
      <c r="N9110" s="1" t="s">
        <v>38</v>
      </c>
      <c r="O9110" s="1" t="s">
        <v>46</v>
      </c>
    </row>
    <row r="9111" spans="2:15" x14ac:dyDescent="0.3">
      <c r="B9111" s="1" t="s">
        <v>21</v>
      </c>
      <c r="C9111" s="1" t="str">
        <f>"1차"</f>
        <v>1차</v>
      </c>
      <c r="D9111" s="1" t="str">
        <f>"9629X42101"</f>
        <v>9629X42101</v>
      </c>
      <c r="E9111" s="1" t="s">
        <v>10</v>
      </c>
      <c r="F9111" s="1" t="str">
        <f>"10.14.7.126"</f>
        <v>10.14.7.126</v>
      </c>
      <c r="G9111" s="1" t="str">
        <f>"9629X421"</f>
        <v>9629X421</v>
      </c>
      <c r="H9111" s="1" t="str">
        <f>"청구지 1R5R3L1R1"</f>
        <v>청구지 1R5R3L1R1</v>
      </c>
      <c r="I9111" s="1" t="s">
        <v>8</v>
      </c>
      <c r="J9111" s="1" t="str">
        <f>"34/42"</f>
        <v>34/42</v>
      </c>
      <c r="K9111" s="1" t="str">
        <f>"2026-07-29 13:18:12"</f>
        <v>2026-07-29 13:18:12</v>
      </c>
      <c r="L9111" s="1" t="str">
        <f>"2014-11-24 16:04:02"</f>
        <v>2014-11-24 16:04:02</v>
      </c>
      <c r="M9111" s="1" t="s">
        <v>3</v>
      </c>
      <c r="N9111" s="1" t="s">
        <v>38</v>
      </c>
      <c r="O9111" s="1" t="s">
        <v>46</v>
      </c>
    </row>
    <row r="9112" spans="2:15" x14ac:dyDescent="0.3">
      <c r="B9112" s="1" t="s">
        <v>21</v>
      </c>
      <c r="C9112" s="1" t="str">
        <f>"6차"</f>
        <v>6차</v>
      </c>
      <c r="D9112" s="1" t="str">
        <f>"9629X4416S"</f>
        <v>9629X4416S</v>
      </c>
      <c r="E9112" s="1" t="s">
        <v>10</v>
      </c>
      <c r="F9112" s="1" t="str">
        <f>"fde1:103:4:93fd:0:0:0:2"</f>
        <v>fde1:103:4:93fd:0:0:0:2</v>
      </c>
      <c r="G9112" s="1" t="str">
        <f>"9629X441"</f>
        <v>9629X441</v>
      </c>
      <c r="H9112" s="1" t="str">
        <f>"은수간 17L7"</f>
        <v>은수간 17L7</v>
      </c>
      <c r="I9112" s="1" t="s">
        <v>15</v>
      </c>
      <c r="J9112" s="1" t="str">
        <f>"62/62"</f>
        <v>62/62</v>
      </c>
      <c r="K9112" s="1" t="str">
        <f>"2026-07-29 08:20:55"</f>
        <v>2026-07-29 08:20:55</v>
      </c>
      <c r="L9112" s="1" t="str">
        <f>"2025-01-22 14:35:15"</f>
        <v>2025-01-22 14:35:15</v>
      </c>
      <c r="M9112" s="1" t="s">
        <v>4</v>
      </c>
      <c r="N9112" s="1" t="s">
        <v>38</v>
      </c>
      <c r="O9112" s="1" t="s">
        <v>46</v>
      </c>
    </row>
    <row r="9113" spans="2:15" x14ac:dyDescent="0.3">
      <c r="B9113" s="1" t="s">
        <v>21</v>
      </c>
      <c r="C9113" s="1" t="str">
        <f>"1차"</f>
        <v>1차</v>
      </c>
      <c r="D9113" s="1" t="str">
        <f>"9629X45100"</f>
        <v>9629X45100</v>
      </c>
      <c r="E9113" s="1" t="s">
        <v>10</v>
      </c>
      <c r="F9113" s="1" t="str">
        <f>"10.128.69.130"</f>
        <v>10.128.69.130</v>
      </c>
      <c r="G9113" s="1" t="str">
        <f>"9629X451"</f>
        <v>9629X451</v>
      </c>
      <c r="H9113" s="1" t="str">
        <f>"은수간 15L4"</f>
        <v>은수간 15L4</v>
      </c>
      <c r="I9113" s="1" t="s">
        <v>8</v>
      </c>
      <c r="J9113" s="1" t="str">
        <f>"36/36"</f>
        <v>36/36</v>
      </c>
      <c r="K9113" s="1" t="str">
        <f t="shared" ref="K9113:K9119" si="457">"2026-07-29 13:18:11"</f>
        <v>2026-07-29 13:18:11</v>
      </c>
      <c r="L9113" s="1" t="str">
        <f>"2014-11-12 00:14:02"</f>
        <v>2014-11-12 00:14:02</v>
      </c>
      <c r="M9113" s="1" t="s">
        <v>45</v>
      </c>
      <c r="N9113" s="1" t="s">
        <v>38</v>
      </c>
      <c r="O9113" s="1" t="s">
        <v>46</v>
      </c>
    </row>
    <row r="9114" spans="2:15" x14ac:dyDescent="0.3">
      <c r="B9114" s="1" t="s">
        <v>21</v>
      </c>
      <c r="C9114" s="1" t="str">
        <f>"4차"</f>
        <v>4차</v>
      </c>
      <c r="D9114" s="1" t="str">
        <f>"9629X45244"</f>
        <v>9629X45244</v>
      </c>
      <c r="E9114" s="1" t="s">
        <v>10</v>
      </c>
      <c r="F9114" s="1" t="str">
        <f>"10.128.71.190"</f>
        <v>10.128.71.190</v>
      </c>
      <c r="G9114" s="1" t="str">
        <f>"9629X452"</f>
        <v>9629X452</v>
      </c>
      <c r="H9114" s="1" t="str">
        <f>"은수간 15L5"</f>
        <v>은수간 15L5</v>
      </c>
      <c r="I9114" s="1" t="s">
        <v>8</v>
      </c>
      <c r="J9114" s="1" t="str">
        <f>"36/36"</f>
        <v>36/36</v>
      </c>
      <c r="K9114" s="1" t="str">
        <f t="shared" si="457"/>
        <v>2026-07-29 13:18:11</v>
      </c>
      <c r="L9114" s="1" t="str">
        <f>"2023-08-17 17:37:33"</f>
        <v>2023-08-17 17:37:33</v>
      </c>
      <c r="M9114" s="1" t="s">
        <v>45</v>
      </c>
      <c r="N9114" s="1" t="s">
        <v>38</v>
      </c>
      <c r="O9114" s="1" t="s">
        <v>46</v>
      </c>
    </row>
    <row r="9115" spans="2:15" x14ac:dyDescent="0.3">
      <c r="B9115" s="1" t="s">
        <v>21</v>
      </c>
      <c r="C9115" s="1" t="str">
        <f>"1차"</f>
        <v>1차</v>
      </c>
      <c r="D9115" s="1" t="str">
        <f>"9629X48100"</f>
        <v>9629X48100</v>
      </c>
      <c r="E9115" s="1" t="s">
        <v>10</v>
      </c>
      <c r="F9115" s="1" t="str">
        <f>"10.128.69.133"</f>
        <v>10.128.69.133</v>
      </c>
      <c r="G9115" s="1" t="str">
        <f>"9629X481"</f>
        <v>9629X481</v>
      </c>
      <c r="H9115" s="1" t="str">
        <f>"은수간 15"</f>
        <v>은수간 15</v>
      </c>
      <c r="I9115" s="1" t="s">
        <v>8</v>
      </c>
      <c r="J9115" s="1" t="str">
        <f>"36/37"</f>
        <v>36/37</v>
      </c>
      <c r="K9115" s="1" t="str">
        <f t="shared" si="457"/>
        <v>2026-07-29 13:18:11</v>
      </c>
      <c r="L9115" s="1" t="str">
        <f>"2014-11-13 00:13:40"</f>
        <v>2014-11-13 00:13:40</v>
      </c>
      <c r="M9115" s="1" t="s">
        <v>45</v>
      </c>
      <c r="N9115" s="1" t="s">
        <v>38</v>
      </c>
      <c r="O9115" s="1" t="s">
        <v>46</v>
      </c>
    </row>
    <row r="9116" spans="2:15" x14ac:dyDescent="0.3">
      <c r="B9116" s="1" t="s">
        <v>21</v>
      </c>
      <c r="C9116" s="1" t="str">
        <f>"4차"</f>
        <v>4차</v>
      </c>
      <c r="D9116" s="1" t="str">
        <f>"9629X49144"</f>
        <v>9629X49144</v>
      </c>
      <c r="E9116" s="1" t="s">
        <v>10</v>
      </c>
      <c r="F9116" s="1" t="str">
        <f>"10.10.88.10"</f>
        <v>10.10.88.10</v>
      </c>
      <c r="G9116" s="1" t="str">
        <f>"9629X491"</f>
        <v>9629X491</v>
      </c>
      <c r="H9116" s="1" t="str">
        <f>"은수간 17R2R2"</f>
        <v>은수간 17R2R2</v>
      </c>
      <c r="I9116" s="1" t="s">
        <v>8</v>
      </c>
      <c r="J9116" s="1" t="str">
        <f>"55/55"</f>
        <v>55/55</v>
      </c>
      <c r="K9116" s="1" t="str">
        <f t="shared" si="457"/>
        <v>2026-07-29 13:18:11</v>
      </c>
      <c r="L9116" s="1" t="str">
        <f>"2019-11-20 22:42:12"</f>
        <v>2019-11-20 22:42:12</v>
      </c>
      <c r="M9116" s="1" t="s">
        <v>1</v>
      </c>
      <c r="N9116" s="1" t="s">
        <v>38</v>
      </c>
      <c r="O9116" s="1" t="s">
        <v>46</v>
      </c>
    </row>
    <row r="9117" spans="2:15" x14ac:dyDescent="0.3">
      <c r="B9117" s="1" t="s">
        <v>21</v>
      </c>
      <c r="C9117" s="1" t="str">
        <f>"4차"</f>
        <v>4차</v>
      </c>
      <c r="D9117" s="1" t="str">
        <f>"9629X50244"</f>
        <v>9629X50244</v>
      </c>
      <c r="E9117" s="1" t="s">
        <v>10</v>
      </c>
      <c r="F9117" s="1" t="str">
        <f>"10.10.96.66"</f>
        <v>10.10.96.66</v>
      </c>
      <c r="G9117" s="1" t="str">
        <f>"9629X502"</f>
        <v>9629X502</v>
      </c>
      <c r="H9117" s="1" t="str">
        <f>"청구지 1R6L2"</f>
        <v>청구지 1R6L2</v>
      </c>
      <c r="I9117" s="1" t="s">
        <v>8</v>
      </c>
      <c r="J9117" s="1" t="str">
        <f>"6/9"</f>
        <v>6/9</v>
      </c>
      <c r="K9117" s="1" t="str">
        <f t="shared" si="457"/>
        <v>2026-07-29 13:18:11</v>
      </c>
      <c r="L9117" s="1" t="str">
        <f>"2019-12-11 18:25:27"</f>
        <v>2019-12-11 18:25:27</v>
      </c>
      <c r="M9117" s="1" t="s">
        <v>1</v>
      </c>
      <c r="N9117" s="1" t="s">
        <v>38</v>
      </c>
      <c r="O9117" s="1" t="s">
        <v>46</v>
      </c>
    </row>
    <row r="9118" spans="2:15" x14ac:dyDescent="0.3">
      <c r="B9118" s="1" t="s">
        <v>21</v>
      </c>
      <c r="C9118" s="1" t="str">
        <f>"1차"</f>
        <v>1차</v>
      </c>
      <c r="D9118" s="1" t="str">
        <f>"9629X52100"</f>
        <v>9629X52100</v>
      </c>
      <c r="E9118" s="1" t="s">
        <v>10</v>
      </c>
      <c r="F9118" s="1" t="str">
        <f>"10.128.94.5"</f>
        <v>10.128.94.5</v>
      </c>
      <c r="G9118" s="1" t="str">
        <f>"9629X521"</f>
        <v>9629X521</v>
      </c>
      <c r="H9118" s="1" t="str">
        <f>"은수간 7L1"</f>
        <v>은수간 7L1</v>
      </c>
      <c r="I9118" s="1" t="s">
        <v>8</v>
      </c>
      <c r="J9118" s="1" t="str">
        <f>"15/21"</f>
        <v>15/21</v>
      </c>
      <c r="K9118" s="1" t="str">
        <f t="shared" si="457"/>
        <v>2026-07-29 13:18:11</v>
      </c>
      <c r="L9118" s="1" t="str">
        <f>"2014-11-12 15:00:07"</f>
        <v>2014-11-12 15:00:07</v>
      </c>
      <c r="M9118" s="1" t="s">
        <v>45</v>
      </c>
      <c r="N9118" s="1" t="s">
        <v>38</v>
      </c>
      <c r="O9118" s="1" t="s">
        <v>46</v>
      </c>
    </row>
    <row r="9119" spans="2:15" x14ac:dyDescent="0.3">
      <c r="B9119" s="1" t="s">
        <v>21</v>
      </c>
      <c r="C9119" s="1" t="str">
        <f>"1차"</f>
        <v>1차</v>
      </c>
      <c r="D9119" s="1" t="str">
        <f>"9629X54100"</f>
        <v>9629X54100</v>
      </c>
      <c r="E9119" s="1" t="s">
        <v>10</v>
      </c>
      <c r="F9119" s="1" t="str">
        <f>"10.128.71.218"</f>
        <v>10.128.71.218</v>
      </c>
      <c r="G9119" s="1" t="str">
        <f>"9629X541"</f>
        <v>9629X541</v>
      </c>
      <c r="H9119" s="1" t="str">
        <f>"은수간 9"</f>
        <v>은수간 9</v>
      </c>
      <c r="I9119" s="1" t="s">
        <v>8</v>
      </c>
      <c r="J9119" s="1" t="str">
        <f>"47/47"</f>
        <v>47/47</v>
      </c>
      <c r="K9119" s="1" t="str">
        <f t="shared" si="457"/>
        <v>2026-07-29 13:18:11</v>
      </c>
      <c r="L9119" s="1" t="str">
        <f>"2014-11-12 00:26:54"</f>
        <v>2014-11-12 00:26:54</v>
      </c>
      <c r="M9119" s="1" t="s">
        <v>45</v>
      </c>
      <c r="N9119" s="1" t="s">
        <v>38</v>
      </c>
      <c r="O9119" s="1" t="s">
        <v>46</v>
      </c>
    </row>
    <row r="9120" spans="2:15" x14ac:dyDescent="0.3">
      <c r="B9120" s="1" t="s">
        <v>21</v>
      </c>
      <c r="C9120" s="1" t="str">
        <f>"4차"</f>
        <v>4차</v>
      </c>
      <c r="D9120" s="1" t="str">
        <f>"9629X56141"</f>
        <v>9629X56141</v>
      </c>
      <c r="E9120" s="1" t="s">
        <v>10</v>
      </c>
      <c r="F9120" s="1" t="str">
        <f>"10.14.13.27"</f>
        <v>10.14.13.27</v>
      </c>
      <c r="G9120" s="1" t="str">
        <f>"9629X561"</f>
        <v>9629X561</v>
      </c>
      <c r="H9120" s="1" t="str">
        <f>"은수간 11"</f>
        <v>은수간 11</v>
      </c>
      <c r="I9120" s="1" t="s">
        <v>17</v>
      </c>
      <c r="J9120" s="1" t="str">
        <f>"18/19"</f>
        <v>18/19</v>
      </c>
      <c r="K9120" s="1" t="str">
        <f>"2026-07-29 13:18:02"</f>
        <v>2026-07-29 13:18:02</v>
      </c>
      <c r="L9120" s="1" t="str">
        <f>"2021-08-06 12:55:55"</f>
        <v>2021-08-06 12:55:55</v>
      </c>
      <c r="M9120" s="1" t="s">
        <v>3</v>
      </c>
      <c r="N9120" s="1" t="s">
        <v>38</v>
      </c>
      <c r="O9120" s="1" t="s">
        <v>46</v>
      </c>
    </row>
    <row r="9121" spans="2:15" x14ac:dyDescent="0.3">
      <c r="B9121" s="1" t="s">
        <v>21</v>
      </c>
      <c r="C9121" s="1" t="str">
        <f>"3차"</f>
        <v>3차</v>
      </c>
      <c r="D9121" s="1" t="str">
        <f>"9629X57439"</f>
        <v>9629X57439</v>
      </c>
      <c r="E9121" s="1" t="s">
        <v>10</v>
      </c>
      <c r="F9121" s="1" t="str">
        <f>"10.128.90.35"</f>
        <v>10.128.90.35</v>
      </c>
      <c r="G9121" s="1" t="str">
        <f>"9629X574"</f>
        <v>9629X574</v>
      </c>
      <c r="H9121" s="1" t="str">
        <f>"은수간 13"</f>
        <v>은수간 13</v>
      </c>
      <c r="I9121" s="1" t="s">
        <v>8</v>
      </c>
      <c r="J9121" s="1" t="str">
        <f>"18/18"</f>
        <v>18/18</v>
      </c>
      <c r="K9121" s="1" t="str">
        <f>"2026-07-29 13:18:11"</f>
        <v>2026-07-29 13:18:11</v>
      </c>
      <c r="L9121" s="1" t="str">
        <f>"2018-04-21 13:06:58"</f>
        <v>2018-04-21 13:06:58</v>
      </c>
      <c r="M9121" s="1" t="s">
        <v>45</v>
      </c>
      <c r="N9121" s="1" t="s">
        <v>38</v>
      </c>
      <c r="O9121" s="1" t="s">
        <v>46</v>
      </c>
    </row>
    <row r="9122" spans="2:15" x14ac:dyDescent="0.3">
      <c r="B9122" s="1" t="s">
        <v>21</v>
      </c>
      <c r="C9122" s="1" t="str">
        <f t="shared" ref="C9122:C9128" si="458">"4차"</f>
        <v>4차</v>
      </c>
      <c r="D9122" s="1" t="str">
        <f>"9629X58244"</f>
        <v>9629X58244</v>
      </c>
      <c r="E9122" s="1" t="s">
        <v>10</v>
      </c>
      <c r="F9122" s="1" t="str">
        <f>"10.10.70.50"</f>
        <v>10.10.70.50</v>
      </c>
      <c r="G9122" s="1" t="str">
        <f>"9629X582"</f>
        <v>9629X582</v>
      </c>
      <c r="H9122" s="1" t="str">
        <f>"은수간 15R1"</f>
        <v>은수간 15R1</v>
      </c>
      <c r="I9122" s="1" t="s">
        <v>8</v>
      </c>
      <c r="J9122" s="1" t="str">
        <f>"48/48"</f>
        <v>48/48</v>
      </c>
      <c r="K9122" s="1" t="str">
        <f>"2026-07-29 13:18:11"</f>
        <v>2026-07-29 13:18:11</v>
      </c>
      <c r="L9122" s="1" t="str">
        <f>"2020-01-10 17:22:52"</f>
        <v>2020-01-10 17:22:52</v>
      </c>
      <c r="M9122" s="1" t="s">
        <v>1</v>
      </c>
      <c r="N9122" s="1" t="s">
        <v>38</v>
      </c>
      <c r="O9122" s="1" t="s">
        <v>46</v>
      </c>
    </row>
    <row r="9123" spans="2:15" x14ac:dyDescent="0.3">
      <c r="B9123" s="1" t="s">
        <v>21</v>
      </c>
      <c r="C9123" s="1" t="str">
        <f t="shared" si="458"/>
        <v>4차</v>
      </c>
      <c r="D9123" s="1" t="str">
        <f>"9629X59144"</f>
        <v>9629X59144</v>
      </c>
      <c r="E9123" s="1" t="s">
        <v>10</v>
      </c>
      <c r="F9123" s="1" t="str">
        <f>"10.10.70.58"</f>
        <v>10.10.70.58</v>
      </c>
      <c r="G9123" s="1" t="str">
        <f>"9629X591"</f>
        <v>9629X591</v>
      </c>
      <c r="H9123" s="1" t="str">
        <f>"은수간 15R2"</f>
        <v>은수간 15R2</v>
      </c>
      <c r="I9123" s="1" t="s">
        <v>8</v>
      </c>
      <c r="J9123" s="1" t="str">
        <f>"22/22"</f>
        <v>22/22</v>
      </c>
      <c r="K9123" s="1" t="str">
        <f>"2026-07-29 13:18:11"</f>
        <v>2026-07-29 13:18:11</v>
      </c>
      <c r="L9123" s="1" t="str">
        <f>"2019-11-21 00:55:02"</f>
        <v>2019-11-21 00:55:02</v>
      </c>
      <c r="M9123" s="1" t="s">
        <v>1</v>
      </c>
      <c r="N9123" s="1" t="s">
        <v>38</v>
      </c>
      <c r="O9123" s="1" t="s">
        <v>46</v>
      </c>
    </row>
    <row r="9124" spans="2:15" x14ac:dyDescent="0.3">
      <c r="B9124" s="1" t="s">
        <v>21</v>
      </c>
      <c r="C9124" s="1" t="str">
        <f t="shared" si="458"/>
        <v>4차</v>
      </c>
      <c r="D9124" s="1" t="str">
        <f>"9629X64245"</f>
        <v>9629X64245</v>
      </c>
      <c r="E9124" s="1" t="s">
        <v>10</v>
      </c>
      <c r="F9124" s="1" t="str">
        <f>"10.14.10.19"</f>
        <v>10.14.10.19</v>
      </c>
      <c r="G9124" s="1" t="str">
        <f>"9629X642"</f>
        <v>9629X642</v>
      </c>
      <c r="H9124" s="1" t="str">
        <f>"통일로 L30-2"</f>
        <v>통일로 L30-2</v>
      </c>
      <c r="I9124" s="1" t="s">
        <v>17</v>
      </c>
      <c r="J9124" s="1" t="str">
        <f>"16/20"</f>
        <v>16/20</v>
      </c>
      <c r="K9124" s="1" t="str">
        <f>"2026-07-29 13:18:12"</f>
        <v>2026-07-29 13:18:12</v>
      </c>
      <c r="L9124" s="1" t="str">
        <f>"2021-06-21 14:43:51"</f>
        <v>2021-06-21 14:43:51</v>
      </c>
      <c r="M9124" s="1" t="s">
        <v>3</v>
      </c>
      <c r="N9124" s="1" t="s">
        <v>38</v>
      </c>
      <c r="O9124" s="1" t="s">
        <v>46</v>
      </c>
    </row>
    <row r="9125" spans="2:15" x14ac:dyDescent="0.3">
      <c r="B9125" s="1" t="s">
        <v>21</v>
      </c>
      <c r="C9125" s="1" t="str">
        <f t="shared" si="458"/>
        <v>4차</v>
      </c>
      <c r="D9125" s="1" t="str">
        <f>"9629X65241"</f>
        <v>9629X65241</v>
      </c>
      <c r="E9125" s="1" t="s">
        <v>10</v>
      </c>
      <c r="F9125" s="1" t="str">
        <f>"10.12.129.20"</f>
        <v>10.12.129.20</v>
      </c>
      <c r="G9125" s="1" t="str">
        <f>"9629X652"</f>
        <v>9629X652</v>
      </c>
      <c r="H9125" s="1" t="str">
        <f>"은수간 10R1"</f>
        <v>은수간 10R1</v>
      </c>
      <c r="I9125" s="1" t="s">
        <v>17</v>
      </c>
      <c r="J9125" s="1" t="str">
        <f>"9/23"</f>
        <v>9/23</v>
      </c>
      <c r="K9125" s="1" t="str">
        <f>"2026-07-29 13:18:12"</f>
        <v>2026-07-29 13:18:12</v>
      </c>
      <c r="L9125" s="1" t="str">
        <f>"2021-08-09 07:29:17"</f>
        <v>2021-08-09 07:29:17</v>
      </c>
      <c r="M9125" s="1" t="s">
        <v>0</v>
      </c>
      <c r="N9125" s="1" t="s">
        <v>38</v>
      </c>
      <c r="O9125" s="1" t="s">
        <v>46</v>
      </c>
    </row>
    <row r="9126" spans="2:15" x14ac:dyDescent="0.3">
      <c r="B9126" s="1" t="s">
        <v>21</v>
      </c>
      <c r="C9126" s="1" t="str">
        <f t="shared" si="458"/>
        <v>4차</v>
      </c>
      <c r="D9126" s="1" t="str">
        <f>"9629X69144"</f>
        <v>9629X69144</v>
      </c>
      <c r="E9126" s="1" t="s">
        <v>12</v>
      </c>
      <c r="F9126" s="1" t="str">
        <f>"10.10.87.66"</f>
        <v>10.10.87.66</v>
      </c>
      <c r="G9126" s="1" t="str">
        <f>"9629X691"</f>
        <v>9629X691</v>
      </c>
      <c r="H9126" s="1" t="str">
        <f>"은수간 14R2"</f>
        <v>은수간 14R2</v>
      </c>
      <c r="I9126" s="1" t="s">
        <v>8</v>
      </c>
      <c r="J9126" s="1" t="str">
        <f>"0/17"</f>
        <v>0/17</v>
      </c>
      <c r="K9126" s="1" t="str">
        <f>"2026-07-26 01:18:10"</f>
        <v>2026-07-26 01:18:10</v>
      </c>
      <c r="L9126" s="1" t="str">
        <f>"2024-11-12 14:11:48"</f>
        <v>2024-11-12 14:11:48</v>
      </c>
      <c r="M9126" s="1" t="s">
        <v>1</v>
      </c>
      <c r="N9126" s="1" t="s">
        <v>38</v>
      </c>
      <c r="O9126" s="1" t="s">
        <v>46</v>
      </c>
    </row>
    <row r="9127" spans="2:15" x14ac:dyDescent="0.3">
      <c r="B9127" s="1" t="s">
        <v>21</v>
      </c>
      <c r="C9127" s="1" t="str">
        <f t="shared" si="458"/>
        <v>4차</v>
      </c>
      <c r="D9127" s="1" t="str">
        <f>"9629X69445"</f>
        <v>9629X69445</v>
      </c>
      <c r="E9127" s="1" t="s">
        <v>10</v>
      </c>
      <c r="F9127" s="1" t="str">
        <f>"10.12.136.220"</f>
        <v>10.12.136.220</v>
      </c>
      <c r="G9127" s="1" t="str">
        <f>"9629X694"</f>
        <v>9629X694</v>
      </c>
      <c r="H9127" s="1" t="str">
        <f>"통일로 L31-1"</f>
        <v>통일로 L31-1</v>
      </c>
      <c r="I9127" s="1" t="s">
        <v>17</v>
      </c>
      <c r="J9127" s="1" t="str">
        <f>"24/24"</f>
        <v>24/24</v>
      </c>
      <c r="K9127" s="1" t="str">
        <f>"2026-07-29 13:18:14"</f>
        <v>2026-07-29 13:18:14</v>
      </c>
      <c r="L9127" s="1" t="str">
        <f>"2021-06-21 14:09:42"</f>
        <v>2021-06-21 14:09:42</v>
      </c>
      <c r="M9127" s="1" t="s">
        <v>0</v>
      </c>
      <c r="N9127" s="1" t="s">
        <v>38</v>
      </c>
      <c r="O9127" s="1" t="s">
        <v>46</v>
      </c>
    </row>
    <row r="9128" spans="2:15" x14ac:dyDescent="0.3">
      <c r="B9128" s="1" t="s">
        <v>21</v>
      </c>
      <c r="C9128" s="1" t="str">
        <f t="shared" si="458"/>
        <v>4차</v>
      </c>
      <c r="D9128" s="1" t="str">
        <f>"9629X71339"</f>
        <v>9629X71339</v>
      </c>
      <c r="E9128" s="1" t="s">
        <v>14</v>
      </c>
      <c r="F9128" s="1" t="str">
        <f>"10.12.134.17"</f>
        <v>10.12.134.17</v>
      </c>
      <c r="G9128" s="1" t="str">
        <f>"9629X713"</f>
        <v>9629X713</v>
      </c>
      <c r="H9128" s="1" t="str">
        <f>"통일로 L30-1"</f>
        <v>통일로 L30-1</v>
      </c>
      <c r="I9128" s="1" t="s">
        <v>17</v>
      </c>
      <c r="J9128" s="1" t="str">
        <f>"0/0"</f>
        <v>0/0</v>
      </c>
      <c r="K9128" s="1" t="str">
        <f>"2026-06-10 07:18:11"</f>
        <v>2026-06-10 07:18:11</v>
      </c>
      <c r="L9128" s="1" t="str">
        <f>"2018-05-28 08:28:09"</f>
        <v>2018-05-28 08:28:09</v>
      </c>
      <c r="M9128" s="1" t="s">
        <v>0</v>
      </c>
      <c r="N9128" s="1" t="s">
        <v>39</v>
      </c>
      <c r="O9128" s="1" t="s">
        <v>46</v>
      </c>
    </row>
    <row r="9129" spans="2:15" x14ac:dyDescent="0.3">
      <c r="B9129" s="1" t="s">
        <v>21</v>
      </c>
      <c r="C9129" s="1" t="str">
        <f>"3차"</f>
        <v>3차</v>
      </c>
      <c r="D9129" s="1" t="str">
        <f>"9629X71D39"</f>
        <v>9629X71D39</v>
      </c>
      <c r="E9129" s="1" t="s">
        <v>10</v>
      </c>
      <c r="F9129" s="1" t="str">
        <f>"10.12.135.239"</f>
        <v>10.12.135.239</v>
      </c>
      <c r="G9129" s="1" t="str">
        <f>"9629X71D"</f>
        <v>9629X71D</v>
      </c>
      <c r="H9129" s="1" t="str">
        <f>"통일로 R17-1"</f>
        <v>통일로 R17-1</v>
      </c>
      <c r="I9129" s="1" t="s">
        <v>17</v>
      </c>
      <c r="J9129" s="1" t="str">
        <f>"19/19"</f>
        <v>19/19</v>
      </c>
      <c r="K9129" s="1" t="str">
        <f>"2026-07-29 13:18:11"</f>
        <v>2026-07-29 13:18:11</v>
      </c>
      <c r="L9129" s="1" t="str">
        <f>"2018-05-21 12:40:22"</f>
        <v>2018-05-21 12:40:22</v>
      </c>
      <c r="M9129" s="1" t="s">
        <v>0</v>
      </c>
      <c r="N9129" s="1" t="s">
        <v>38</v>
      </c>
      <c r="O9129" s="1" t="s">
        <v>46</v>
      </c>
    </row>
    <row r="9130" spans="2:15" x14ac:dyDescent="0.3">
      <c r="B9130" s="1" t="s">
        <v>21</v>
      </c>
      <c r="C9130" s="1" t="str">
        <f>"1차"</f>
        <v>1차</v>
      </c>
      <c r="D9130" s="1" t="str">
        <f>"9629X74200"</f>
        <v>9629X74200</v>
      </c>
      <c r="E9130" s="1" t="s">
        <v>10</v>
      </c>
      <c r="F9130" s="1" t="str">
        <f>"10.128.72.12"</f>
        <v>10.128.72.12</v>
      </c>
      <c r="G9130" s="1" t="str">
        <f>"9629X742"</f>
        <v>9629X742</v>
      </c>
      <c r="H9130" s="1" t="str">
        <f>"연서간 34"</f>
        <v>연서간 34</v>
      </c>
      <c r="I9130" s="1" t="s">
        <v>8</v>
      </c>
      <c r="J9130" s="1" t="str">
        <f>"81/82"</f>
        <v>81/82</v>
      </c>
      <c r="K9130" s="1" t="str">
        <f>"2026-07-29 13:18:11"</f>
        <v>2026-07-29 13:18:11</v>
      </c>
      <c r="L9130" s="1" t="str">
        <f>"2014-11-24 16:15:30"</f>
        <v>2014-11-24 16:15:30</v>
      </c>
      <c r="M9130" s="1" t="s">
        <v>45</v>
      </c>
      <c r="N9130" s="1" t="s">
        <v>38</v>
      </c>
      <c r="O9130" s="1" t="s">
        <v>46</v>
      </c>
    </row>
    <row r="9131" spans="2:15" x14ac:dyDescent="0.3">
      <c r="B9131" s="1" t="s">
        <v>21</v>
      </c>
      <c r="C9131" s="1" t="str">
        <f>"4차"</f>
        <v>4차</v>
      </c>
      <c r="D9131" s="1" t="str">
        <f>"9629X75745"</f>
        <v>9629X75745</v>
      </c>
      <c r="E9131" s="1" t="s">
        <v>10</v>
      </c>
      <c r="F9131" s="1" t="str">
        <f>"10.12.136.175"</f>
        <v>10.12.136.175</v>
      </c>
      <c r="G9131" s="1" t="str">
        <f>"9629X757"</f>
        <v>9629X757</v>
      </c>
      <c r="H9131" s="1" t="str">
        <f>"통일로 R17"</f>
        <v>통일로 R17</v>
      </c>
      <c r="I9131" s="1" t="s">
        <v>17</v>
      </c>
      <c r="J9131" s="1" t="str">
        <f>"5/5"</f>
        <v>5/5</v>
      </c>
      <c r="K9131" s="1" t="str">
        <f>"2026-07-29 13:18:12"</f>
        <v>2026-07-29 13:18:12</v>
      </c>
      <c r="L9131" s="1" t="str">
        <f>"2021-06-22 09:39:55"</f>
        <v>2021-06-22 09:39:55</v>
      </c>
      <c r="M9131" s="1" t="s">
        <v>0</v>
      </c>
      <c r="N9131" s="1" t="s">
        <v>38</v>
      </c>
      <c r="O9131" s="1" t="s">
        <v>46</v>
      </c>
    </row>
    <row r="9132" spans="2:15" x14ac:dyDescent="0.3">
      <c r="B9132" s="1" t="s">
        <v>21</v>
      </c>
      <c r="C9132" s="1" t="str">
        <f>"4차"</f>
        <v>4차</v>
      </c>
      <c r="D9132" s="1" t="str">
        <f>"9629X79845"</f>
        <v>9629X79845</v>
      </c>
      <c r="E9132" s="1" t="s">
        <v>10</v>
      </c>
      <c r="F9132" s="1" t="str">
        <f>"10.14.15.66"</f>
        <v>10.14.15.66</v>
      </c>
      <c r="G9132" s="1" t="str">
        <f>"9629X798"</f>
        <v>9629X798</v>
      </c>
      <c r="H9132" s="1" t="str">
        <f>"통일로 R17-4"</f>
        <v>통일로 R17-4</v>
      </c>
      <c r="I9132" s="1" t="s">
        <v>17</v>
      </c>
      <c r="J9132" s="1" t="str">
        <f>"8/8"</f>
        <v>8/8</v>
      </c>
      <c r="K9132" s="1" t="str">
        <f>"2026-07-29 13:18:11"</f>
        <v>2026-07-29 13:18:11</v>
      </c>
      <c r="L9132" s="1" t="str">
        <f>"2021-06-22 10:07:18"</f>
        <v>2021-06-22 10:07:18</v>
      </c>
      <c r="M9132" s="1" t="s">
        <v>3</v>
      </c>
      <c r="N9132" s="1" t="s">
        <v>38</v>
      </c>
      <c r="O9132" s="1" t="s">
        <v>46</v>
      </c>
    </row>
    <row r="9133" spans="2:15" x14ac:dyDescent="0.3">
      <c r="B9133" s="1" t="s">
        <v>21</v>
      </c>
      <c r="C9133" s="1" t="str">
        <f>"5-2차"</f>
        <v>5-2차</v>
      </c>
      <c r="D9133" s="1" t="str">
        <f>"9629X8015M"</f>
        <v>9629X8015M</v>
      </c>
      <c r="E9133" s="1" t="s">
        <v>10</v>
      </c>
      <c r="F9133" s="1" t="str">
        <f>"fde1:103:4:5984:0:0:0:2"</f>
        <v>fde1:103:4:5984:0:0:0:2</v>
      </c>
      <c r="G9133" s="1" t="str">
        <f>"9629X801"</f>
        <v>9629X801</v>
      </c>
      <c r="H9133" s="1" t="str">
        <f>"연서간 42R2"</f>
        <v>연서간 42R2</v>
      </c>
      <c r="I9133" s="1" t="s">
        <v>15</v>
      </c>
      <c r="J9133" s="1" t="str">
        <f>"77/77"</f>
        <v>77/77</v>
      </c>
      <c r="K9133" s="1" t="str">
        <f>"2026-07-29 14:21:28"</f>
        <v>2026-07-29 14:21:28</v>
      </c>
      <c r="L9133" s="1" t="str">
        <f>"2023-10-20 11:20:29"</f>
        <v>2023-10-20 11:20:29</v>
      </c>
      <c r="M9133" s="1" t="s">
        <v>4</v>
      </c>
      <c r="N9133" s="1" t="s">
        <v>38</v>
      </c>
      <c r="O9133" s="1" t="s">
        <v>46</v>
      </c>
    </row>
    <row r="9134" spans="2:15" x14ac:dyDescent="0.3">
      <c r="B9134" s="1" t="s">
        <v>21</v>
      </c>
      <c r="C9134" s="1" t="str">
        <f>"1차"</f>
        <v>1차</v>
      </c>
      <c r="D9134" s="1" t="str">
        <f>"9629X82200"</f>
        <v>9629X82200</v>
      </c>
      <c r="E9134" s="1" t="s">
        <v>10</v>
      </c>
      <c r="F9134" s="1" t="str">
        <f>"10.128.72.9"</f>
        <v>10.128.72.9</v>
      </c>
      <c r="G9134" s="1" t="str">
        <f>"9629X822"</f>
        <v>9629X822</v>
      </c>
      <c r="H9134" s="1" t="str">
        <f>"연서간 38"</f>
        <v>연서간 38</v>
      </c>
      <c r="I9134" s="1" t="s">
        <v>8</v>
      </c>
      <c r="J9134" s="1" t="str">
        <f>"21/21"</f>
        <v>21/21</v>
      </c>
      <c r="K9134" s="1" t="str">
        <f>"2026-07-29 13:18:11"</f>
        <v>2026-07-29 13:18:11</v>
      </c>
      <c r="L9134" s="1" t="str">
        <f>"2014-11-12 15:03:06"</f>
        <v>2014-11-12 15:03:06</v>
      </c>
      <c r="M9134" s="1" t="s">
        <v>45</v>
      </c>
      <c r="N9134" s="1" t="s">
        <v>38</v>
      </c>
      <c r="O9134" s="1" t="s">
        <v>46</v>
      </c>
    </row>
    <row r="9135" spans="2:15" x14ac:dyDescent="0.3">
      <c r="B9135" s="1" t="s">
        <v>21</v>
      </c>
      <c r="C9135" s="1" t="str">
        <f>"1차"</f>
        <v>1차</v>
      </c>
      <c r="D9135" s="1" t="str">
        <f>"9629X82402"</f>
        <v>9629X82402</v>
      </c>
      <c r="E9135" s="1" t="s">
        <v>14</v>
      </c>
      <c r="F9135" s="1" t="str">
        <f>"10.128.72.11"</f>
        <v>10.128.72.11</v>
      </c>
      <c r="G9135" s="1" t="str">
        <f>"9629X824"</f>
        <v>9629X824</v>
      </c>
      <c r="H9135" s="1" t="str">
        <f>"연서간 39"</f>
        <v>연서간 39</v>
      </c>
      <c r="I9135" s="1" t="s">
        <v>8</v>
      </c>
      <c r="J9135" s="1" t="str">
        <f>"0/0"</f>
        <v>0/0</v>
      </c>
      <c r="K9135" s="1" t="str">
        <f>"2025-12-29 01:21:01"</f>
        <v>2025-12-29 01:21:01</v>
      </c>
      <c r="L9135" s="1" t="str">
        <f>"2014-11-12 00:13:51"</f>
        <v>2014-11-12 00:13:51</v>
      </c>
      <c r="M9135" s="1" t="s">
        <v>45</v>
      </c>
      <c r="N9135" s="1" t="s">
        <v>44</v>
      </c>
      <c r="O9135" s="1" t="s">
        <v>44</v>
      </c>
    </row>
    <row r="9136" spans="2:15" x14ac:dyDescent="0.3">
      <c r="B9136" s="1" t="s">
        <v>21</v>
      </c>
      <c r="C9136" s="1" t="str">
        <f>"1차"</f>
        <v>1차</v>
      </c>
      <c r="D9136" s="1" t="str">
        <f>"9629X85101"</f>
        <v>9629X85101</v>
      </c>
      <c r="E9136" s="1" t="s">
        <v>10</v>
      </c>
      <c r="F9136" s="1" t="str">
        <f>"10.128.1.188"</f>
        <v>10.128.1.188</v>
      </c>
      <c r="G9136" s="1" t="str">
        <f>"9629X851"</f>
        <v>9629X851</v>
      </c>
      <c r="H9136" s="1" t="str">
        <f>"연서간 30"</f>
        <v>연서간 30</v>
      </c>
      <c r="I9136" s="1" t="s">
        <v>8</v>
      </c>
      <c r="J9136" s="1" t="str">
        <f>"75/75"</f>
        <v>75/75</v>
      </c>
      <c r="K9136" s="1" t="str">
        <f>"2026-07-29 13:18:11"</f>
        <v>2026-07-29 13:18:11</v>
      </c>
      <c r="L9136" s="1" t="str">
        <f>"2014-11-12 00:26:30"</f>
        <v>2014-11-12 00:26:30</v>
      </c>
      <c r="M9136" s="1" t="s">
        <v>45</v>
      </c>
      <c r="N9136" s="1" t="s">
        <v>38</v>
      </c>
      <c r="O9136" s="1" t="s">
        <v>46</v>
      </c>
    </row>
    <row r="9137" spans="2:15" x14ac:dyDescent="0.3">
      <c r="B9137" s="1" t="s">
        <v>21</v>
      </c>
      <c r="C9137" s="1" t="str">
        <f>"1차"</f>
        <v>1차</v>
      </c>
      <c r="D9137" s="1" t="str">
        <f>"9629X86200"</f>
        <v>9629X86200</v>
      </c>
      <c r="E9137" s="1" t="s">
        <v>10</v>
      </c>
      <c r="F9137" s="1" t="str">
        <f>"10.128.1.187"</f>
        <v>10.128.1.187</v>
      </c>
      <c r="G9137" s="1" t="str">
        <f>"9629X862"</f>
        <v>9629X862</v>
      </c>
      <c r="H9137" s="1" t="str">
        <f>"연서간 29"</f>
        <v>연서간 29</v>
      </c>
      <c r="I9137" s="1" t="s">
        <v>8</v>
      </c>
      <c r="J9137" s="1" t="str">
        <f>"34/34"</f>
        <v>34/34</v>
      </c>
      <c r="K9137" s="1" t="str">
        <f>"2026-07-29 13:18:11"</f>
        <v>2026-07-29 13:18:11</v>
      </c>
      <c r="L9137" s="1" t="str">
        <f>"2014-11-12 00:14:20"</f>
        <v>2014-11-12 00:14:20</v>
      </c>
      <c r="M9137" s="1" t="s">
        <v>45</v>
      </c>
      <c r="N9137" s="1" t="s">
        <v>38</v>
      </c>
      <c r="O9137" s="1" t="s">
        <v>46</v>
      </c>
    </row>
    <row r="9138" spans="2:15" x14ac:dyDescent="0.3">
      <c r="B9138" s="1" t="s">
        <v>21</v>
      </c>
      <c r="C9138" s="1" t="str">
        <f>"6차"</f>
        <v>6차</v>
      </c>
      <c r="D9138" s="1" t="str">
        <f>"9629X8716S"</f>
        <v>9629X8716S</v>
      </c>
      <c r="E9138" s="1" t="s">
        <v>10</v>
      </c>
      <c r="F9138" s="1" t="str">
        <f>"fde1:103:4:9401:0:0:0:2"</f>
        <v>fde1:103:4:9401:0:0:0:2</v>
      </c>
      <c r="G9138" s="1" t="str">
        <f>"9629X871"</f>
        <v>9629X871</v>
      </c>
      <c r="H9138" s="1" t="str">
        <f>"연서간 28"</f>
        <v>연서간 28</v>
      </c>
      <c r="I9138" s="1" t="s">
        <v>15</v>
      </c>
      <c r="J9138" s="1" t="str">
        <f>"21/21"</f>
        <v>21/21</v>
      </c>
      <c r="K9138" s="1" t="str">
        <f>"2026-07-29 14:21:28"</f>
        <v>2026-07-29 14:21:28</v>
      </c>
      <c r="L9138" s="1" t="str">
        <f>"2025-01-22 14:34:17"</f>
        <v>2025-01-22 14:34:17</v>
      </c>
      <c r="M9138" s="1" t="s">
        <v>4</v>
      </c>
      <c r="N9138" s="1" t="s">
        <v>38</v>
      </c>
      <c r="O9138" s="1" t="s">
        <v>46</v>
      </c>
    </row>
    <row r="9139" spans="2:15" x14ac:dyDescent="0.3">
      <c r="B9139" s="1" t="s">
        <v>21</v>
      </c>
      <c r="C9139" s="1" t="str">
        <f>"1차"</f>
        <v>1차</v>
      </c>
      <c r="D9139" s="1" t="str">
        <f>"9629X88100"</f>
        <v>9629X88100</v>
      </c>
      <c r="E9139" s="1" t="s">
        <v>10</v>
      </c>
      <c r="F9139" s="1" t="str">
        <f>"10.128.2.183"</f>
        <v>10.128.2.183</v>
      </c>
      <c r="G9139" s="1" t="str">
        <f>"9629X881"</f>
        <v>9629X881</v>
      </c>
      <c r="H9139" s="1" t="str">
        <f>"연서간 27"</f>
        <v>연서간 27</v>
      </c>
      <c r="I9139" s="1" t="s">
        <v>8</v>
      </c>
      <c r="J9139" s="1" t="str">
        <f>"42/43"</f>
        <v>42/43</v>
      </c>
      <c r="K9139" s="1" t="str">
        <f>"2026-07-29 13:18:11"</f>
        <v>2026-07-29 13:18:11</v>
      </c>
      <c r="L9139" s="1" t="str">
        <f>"2014-11-24 16:19:05"</f>
        <v>2014-11-24 16:19:05</v>
      </c>
      <c r="M9139" s="1" t="s">
        <v>45</v>
      </c>
      <c r="N9139" s="1" t="s">
        <v>38</v>
      </c>
      <c r="O9139" s="1" t="s">
        <v>46</v>
      </c>
    </row>
    <row r="9140" spans="2:15" x14ac:dyDescent="0.3">
      <c r="B9140" s="1" t="s">
        <v>21</v>
      </c>
      <c r="C9140" s="1" t="str">
        <f>"1차"</f>
        <v>1차</v>
      </c>
      <c r="D9140" s="1" t="str">
        <f>"9629X88200"</f>
        <v>9629X88200</v>
      </c>
      <c r="E9140" s="1" t="s">
        <v>10</v>
      </c>
      <c r="F9140" s="1" t="str">
        <f>"10.128.1.179"</f>
        <v>10.128.1.179</v>
      </c>
      <c r="G9140" s="1" t="str">
        <f>"9629X882"</f>
        <v>9629X882</v>
      </c>
      <c r="H9140" s="1" t="str">
        <f>"연서간 25R1"</f>
        <v>연서간 25R1</v>
      </c>
      <c r="I9140" s="1" t="s">
        <v>8</v>
      </c>
      <c r="J9140" s="1" t="str">
        <f>"63/63"</f>
        <v>63/63</v>
      </c>
      <c r="K9140" s="1" t="str">
        <f>"2026-07-29 13:18:11"</f>
        <v>2026-07-29 13:18:11</v>
      </c>
      <c r="L9140" s="1" t="str">
        <f>"2014-11-12 15:01:21"</f>
        <v>2014-11-12 15:01:21</v>
      </c>
      <c r="M9140" s="1" t="s">
        <v>45</v>
      </c>
      <c r="N9140" s="1" t="s">
        <v>38</v>
      </c>
      <c r="O9140" s="1" t="s">
        <v>46</v>
      </c>
    </row>
    <row r="9141" spans="2:15" x14ac:dyDescent="0.3">
      <c r="B9141" s="1" t="s">
        <v>21</v>
      </c>
      <c r="C9141" s="1" t="str">
        <f>"1차"</f>
        <v>1차</v>
      </c>
      <c r="D9141" s="1" t="str">
        <f>"9629X89100"</f>
        <v>9629X89100</v>
      </c>
      <c r="E9141" s="1" t="s">
        <v>14</v>
      </c>
      <c r="F9141" s="1" t="str">
        <f>"10.128.1.181"</f>
        <v>10.128.1.181</v>
      </c>
      <c r="G9141" s="1" t="str">
        <f>"9629X891"</f>
        <v>9629X891</v>
      </c>
      <c r="H9141" s="1" t="str">
        <f>"연서간 24R1"</f>
        <v>연서간 24R1</v>
      </c>
      <c r="I9141" s="1" t="s">
        <v>8</v>
      </c>
      <c r="J9141" s="1" t="str">
        <f>"0/0"</f>
        <v>0/0</v>
      </c>
      <c r="K9141" s="1" t="str">
        <f>"2024-06-26 21:20:10"</f>
        <v>2024-06-26 21:20:10</v>
      </c>
      <c r="L9141" s="1" t="str">
        <f>"2014-11-24 16:16:50"</f>
        <v>2014-11-24 16:16:50</v>
      </c>
      <c r="M9141" s="1" t="s">
        <v>45</v>
      </c>
      <c r="N9141" s="1" t="s">
        <v>44</v>
      </c>
      <c r="O9141" s="1" t="s">
        <v>44</v>
      </c>
    </row>
    <row r="9142" spans="2:15" x14ac:dyDescent="0.3">
      <c r="B9142" s="1" t="s">
        <v>21</v>
      </c>
      <c r="C9142" s="1" t="str">
        <f>"1차"</f>
        <v>1차</v>
      </c>
      <c r="D9142" s="1" t="str">
        <f>"9629X91200"</f>
        <v>9629X91200</v>
      </c>
      <c r="E9142" s="1" t="s">
        <v>10</v>
      </c>
      <c r="F9142" s="1" t="str">
        <f>"10.128.72.7"</f>
        <v>10.128.72.7</v>
      </c>
      <c r="G9142" s="1" t="str">
        <f>"9629X912"</f>
        <v>9629X912</v>
      </c>
      <c r="H9142" s="1" t="str">
        <f>"연서간 42"</f>
        <v>연서간 42</v>
      </c>
      <c r="I9142" s="1" t="s">
        <v>8</v>
      </c>
      <c r="J9142" s="1" t="str">
        <f>"11/11"</f>
        <v>11/11</v>
      </c>
      <c r="K9142" s="1" t="str">
        <f>"2026-07-29 13:18:11"</f>
        <v>2026-07-29 13:18:11</v>
      </c>
      <c r="L9142" s="1" t="str">
        <f>"2014-11-20 17:32:52"</f>
        <v>2014-11-20 17:32:52</v>
      </c>
      <c r="M9142" s="1" t="s">
        <v>45</v>
      </c>
      <c r="N9142" s="1" t="s">
        <v>38</v>
      </c>
      <c r="O9142" s="1" t="s">
        <v>46</v>
      </c>
    </row>
    <row r="9143" spans="2:15" x14ac:dyDescent="0.3">
      <c r="B9143" s="1" t="s">
        <v>21</v>
      </c>
      <c r="C9143" s="1" t="str">
        <f>"6차"</f>
        <v>6차</v>
      </c>
      <c r="D9143" s="1" t="str">
        <f>"9629X9216S"</f>
        <v>9629X9216S</v>
      </c>
      <c r="E9143" s="1" t="s">
        <v>10</v>
      </c>
      <c r="F9143" s="1" t="str">
        <f>"fde1:103:4:9439:0:0:0:2"</f>
        <v>fde1:103:4:9439:0:0:0:2</v>
      </c>
      <c r="G9143" s="1" t="str">
        <f>"9629X921"</f>
        <v>9629X921</v>
      </c>
      <c r="H9143" s="1" t="str">
        <f>"연서간 39L1"</f>
        <v>연서간 39L1</v>
      </c>
      <c r="I9143" s="1" t="s">
        <v>15</v>
      </c>
      <c r="J9143" s="1" t="str">
        <f>"37/43"</f>
        <v>37/43</v>
      </c>
      <c r="K9143" s="1" t="str">
        <f>"2026-07-29 14:21:36"</f>
        <v>2026-07-29 14:21:36</v>
      </c>
      <c r="L9143" s="1" t="str">
        <f>"2025-01-22 14:34:08"</f>
        <v>2025-01-22 14:34:08</v>
      </c>
      <c r="M9143" s="1" t="s">
        <v>4</v>
      </c>
      <c r="N9143" s="1" t="s">
        <v>38</v>
      </c>
      <c r="O9143" s="1" t="s">
        <v>46</v>
      </c>
    </row>
    <row r="9144" spans="2:15" x14ac:dyDescent="0.3">
      <c r="B9144" s="1" t="s">
        <v>21</v>
      </c>
      <c r="C9144" s="1" t="str">
        <f>"6차"</f>
        <v>6차</v>
      </c>
      <c r="D9144" s="1" t="str">
        <f>"9629X9316S"</f>
        <v>9629X9316S</v>
      </c>
      <c r="E9144" s="1" t="s">
        <v>10</v>
      </c>
      <c r="F9144" s="1" t="str">
        <f>"fde1:103:4:c7f4:0:0:0:2"</f>
        <v>fde1:103:4:c7f4:0:0:0:2</v>
      </c>
      <c r="G9144" s="1" t="str">
        <f>"9629X931"</f>
        <v>9629X931</v>
      </c>
      <c r="H9144" s="1" t="str">
        <f>"연서간 39L3"</f>
        <v>연서간 39L3</v>
      </c>
      <c r="I9144" s="1" t="s">
        <v>15</v>
      </c>
      <c r="J9144" s="1" t="str">
        <f>"38/44"</f>
        <v>38/44</v>
      </c>
      <c r="K9144" s="1" t="str">
        <f>"2026-07-29 14:21:29"</f>
        <v>2026-07-29 14:21:29</v>
      </c>
      <c r="L9144" s="1" t="str">
        <f>"2024-12-11 15:56:37"</f>
        <v>2024-12-11 15:56:37</v>
      </c>
      <c r="M9144" s="1" t="s">
        <v>4</v>
      </c>
      <c r="N9144" s="1" t="s">
        <v>38</v>
      </c>
      <c r="O9144" s="1" t="s">
        <v>46</v>
      </c>
    </row>
    <row r="9145" spans="2:15" x14ac:dyDescent="0.3">
      <c r="B9145" s="1" t="s">
        <v>21</v>
      </c>
      <c r="C9145" s="1" t="str">
        <f>"1차"</f>
        <v>1차</v>
      </c>
      <c r="D9145" s="1" t="str">
        <f>"9629X93401"</f>
        <v>9629X93401</v>
      </c>
      <c r="E9145" s="1" t="s">
        <v>10</v>
      </c>
      <c r="F9145" s="1" t="str">
        <f>"10.12.128.118"</f>
        <v>10.12.128.118</v>
      </c>
      <c r="G9145" s="1" t="str">
        <f>"9629X934"</f>
        <v>9629X934</v>
      </c>
      <c r="H9145" s="1" t="str">
        <f>"연서간 39L4"</f>
        <v>연서간 39L4</v>
      </c>
      <c r="I9145" s="1" t="s">
        <v>8</v>
      </c>
      <c r="J9145" s="1" t="str">
        <f>"105/105"</f>
        <v>105/105</v>
      </c>
      <c r="K9145" s="1" t="str">
        <f>"2026-07-28 19:18:01"</f>
        <v>2026-07-28 19:18:01</v>
      </c>
      <c r="L9145" s="1" t="str">
        <f>"2014-11-26 16:55:05"</f>
        <v>2014-11-26 16:55:05</v>
      </c>
      <c r="M9145" s="1" t="s">
        <v>0</v>
      </c>
      <c r="N9145" s="1" t="s">
        <v>38</v>
      </c>
      <c r="O9145" s="1" t="s">
        <v>46</v>
      </c>
    </row>
    <row r="9146" spans="2:15" x14ac:dyDescent="0.3">
      <c r="B9146" s="1" t="s">
        <v>21</v>
      </c>
      <c r="C9146" s="1" t="str">
        <f>"1차"</f>
        <v>1차</v>
      </c>
      <c r="D9146" s="1" t="str">
        <f>"9629X95300"</f>
        <v>9629X95300</v>
      </c>
      <c r="E9146" s="1" t="s">
        <v>10</v>
      </c>
      <c r="F9146" s="1" t="str">
        <f>"10.128.72.15"</f>
        <v>10.128.72.15</v>
      </c>
      <c r="G9146" s="1" t="str">
        <f>"9629X953"</f>
        <v>9629X953</v>
      </c>
      <c r="H9146" s="1" t="str">
        <f>"연서간 34L3"</f>
        <v>연서간 34L3</v>
      </c>
      <c r="I9146" s="1" t="s">
        <v>8</v>
      </c>
      <c r="J9146" s="1" t="str">
        <f>"111/111"</f>
        <v>111/111</v>
      </c>
      <c r="K9146" s="1" t="str">
        <f>"2026-07-29 13:18:11"</f>
        <v>2026-07-29 13:18:11</v>
      </c>
      <c r="L9146" s="1" t="str">
        <f>"2014-11-12 00:13:48"</f>
        <v>2014-11-12 00:13:48</v>
      </c>
      <c r="M9146" s="1" t="s">
        <v>45</v>
      </c>
      <c r="N9146" s="1" t="s">
        <v>38</v>
      </c>
      <c r="O9146" s="1" t="s">
        <v>46</v>
      </c>
    </row>
    <row r="9147" spans="2:15" x14ac:dyDescent="0.3">
      <c r="B9147" s="1" t="s">
        <v>21</v>
      </c>
      <c r="C9147" s="1" t="str">
        <f>"5-2차"</f>
        <v>5-2차</v>
      </c>
      <c r="D9147" s="1" t="str">
        <f>"9629X9625M"</f>
        <v>9629X9625M</v>
      </c>
      <c r="E9147" s="1" t="s">
        <v>10</v>
      </c>
      <c r="F9147" s="1" t="str">
        <f>"fde3:102:1303:1107:0:0:0:2"</f>
        <v>fde3:102:1303:1107:0:0:0:2</v>
      </c>
      <c r="G9147" s="1" t="str">
        <f>"9629X962"</f>
        <v>9629X962</v>
      </c>
      <c r="H9147" s="1" t="str">
        <f>"연서간 34L4L2"</f>
        <v>연서간 34L4L2</v>
      </c>
      <c r="I9147" s="1" t="s">
        <v>15</v>
      </c>
      <c r="J9147" s="1" t="str">
        <f>"64/64"</f>
        <v>64/64</v>
      </c>
      <c r="K9147" s="1" t="str">
        <f>"2026-07-29 14:20:58"</f>
        <v>2026-07-29 14:20:58</v>
      </c>
      <c r="L9147" s="1" t="str">
        <f>"2023-06-21 14:46:35"</f>
        <v>2023-06-21 14:46:35</v>
      </c>
      <c r="M9147" s="1" t="s">
        <v>45</v>
      </c>
      <c r="N9147" s="1" t="s">
        <v>38</v>
      </c>
      <c r="O9147" s="1" t="s">
        <v>46</v>
      </c>
    </row>
    <row r="9148" spans="2:15" x14ac:dyDescent="0.3">
      <c r="B9148" s="1" t="s">
        <v>21</v>
      </c>
      <c r="C9148" s="1" t="str">
        <f>"5-2차"</f>
        <v>5-2차</v>
      </c>
      <c r="D9148" s="1" t="str">
        <f>"9629X9715S"</f>
        <v>9629X9715S</v>
      </c>
      <c r="E9148" s="1" t="s">
        <v>10</v>
      </c>
      <c r="F9148" s="1" t="str">
        <f>"fde3:102:1303:1106:0:0:0:3"</f>
        <v>fde3:102:1303:1106:0:0:0:3</v>
      </c>
      <c r="G9148" s="1" t="str">
        <f>"9629X971"</f>
        <v>9629X971</v>
      </c>
      <c r="H9148" s="1" t="str">
        <f>"연서간 34L5L2"</f>
        <v>연서간 34L5L2</v>
      </c>
      <c r="I9148" s="1" t="s">
        <v>15</v>
      </c>
      <c r="J9148" s="1" t="str">
        <f>"49/49"</f>
        <v>49/49</v>
      </c>
      <c r="K9148" s="1" t="str">
        <f>"2026-07-29 14:21:28"</f>
        <v>2026-07-29 14:21:28</v>
      </c>
      <c r="L9148" s="1" t="str">
        <f>"2023-06-27 15:33:03"</f>
        <v>2023-06-27 15:33:03</v>
      </c>
      <c r="M9148" s="1" t="s">
        <v>45</v>
      </c>
      <c r="N9148" s="1" t="s">
        <v>38</v>
      </c>
      <c r="O9148" s="1" t="s">
        <v>46</v>
      </c>
    </row>
    <row r="9149" spans="2:15" x14ac:dyDescent="0.3">
      <c r="B9149" s="1" t="s">
        <v>21</v>
      </c>
      <c r="C9149" s="1" t="str">
        <f>"5-2차"</f>
        <v>5-2차</v>
      </c>
      <c r="D9149" s="1" t="str">
        <f>"9629X9825M"</f>
        <v>9629X9825M</v>
      </c>
      <c r="E9149" s="1" t="s">
        <v>10</v>
      </c>
      <c r="F9149" s="1" t="str">
        <f>"fde3:102:1303:f0b:0:0:0:2"</f>
        <v>fde3:102:1303:f0b:0:0:0:2</v>
      </c>
      <c r="G9149" s="1" t="str">
        <f>"9629X982"</f>
        <v>9629X982</v>
      </c>
      <c r="H9149" s="1" t="str">
        <f>"연서간 23"</f>
        <v>연서간 23</v>
      </c>
      <c r="I9149" s="1" t="s">
        <v>15</v>
      </c>
      <c r="J9149" s="1" t="str">
        <f>"62/62"</f>
        <v>62/62</v>
      </c>
      <c r="K9149" s="1" t="str">
        <f>"2026-07-29 14:20:59"</f>
        <v>2026-07-29 14:20:59</v>
      </c>
      <c r="L9149" s="1" t="str">
        <f>"2023-06-13 18:23:22"</f>
        <v>2023-06-13 18:23:22</v>
      </c>
      <c r="M9149" s="1" t="s">
        <v>45</v>
      </c>
      <c r="N9149" s="1" t="s">
        <v>38</v>
      </c>
      <c r="O9149" s="1" t="s">
        <v>46</v>
      </c>
    </row>
    <row r="9150" spans="2:15" x14ac:dyDescent="0.3">
      <c r="B9150" s="1" t="s">
        <v>21</v>
      </c>
      <c r="C9150" s="1" t="str">
        <f>"5-1차"</f>
        <v>5-1차</v>
      </c>
      <c r="D9150" s="1" t="str">
        <f>"9629X9935S"</f>
        <v>9629X9935S</v>
      </c>
      <c r="E9150" s="1" t="s">
        <v>10</v>
      </c>
      <c r="F9150" s="1" t="str">
        <f>"fde3:102:1303:1000:0:0:0:2"</f>
        <v>fde3:102:1303:1000:0:0:0:2</v>
      </c>
      <c r="G9150" s="1" t="str">
        <f>"9629X993"</f>
        <v>9629X993</v>
      </c>
      <c r="H9150" s="1" t="str">
        <f>"연서간 25L1L1"</f>
        <v>연서간 25L1L1</v>
      </c>
      <c r="I9150" s="1" t="s">
        <v>15</v>
      </c>
      <c r="J9150" s="1" t="str">
        <f>"44/44"</f>
        <v>44/44</v>
      </c>
      <c r="K9150" s="1" t="str">
        <f>"2026-07-29 14:21:30"</f>
        <v>2026-07-29 14:21:30</v>
      </c>
      <c r="L9150" s="1" t="str">
        <f>"2022-12-19 15:45:29"</f>
        <v>2022-12-19 15:45:29</v>
      </c>
      <c r="M9150" s="1" t="s">
        <v>45</v>
      </c>
      <c r="N9150" s="1" t="s">
        <v>38</v>
      </c>
      <c r="O9150" s="1" t="s">
        <v>46</v>
      </c>
    </row>
    <row r="9151" spans="2:15" x14ac:dyDescent="0.3">
      <c r="B9151" s="1" t="s">
        <v>21</v>
      </c>
      <c r="C9151" s="1" t="str">
        <f>"1차"</f>
        <v>1차</v>
      </c>
      <c r="D9151" s="1" t="str">
        <f>"9629X99402"</f>
        <v>9629X99402</v>
      </c>
      <c r="E9151" s="1" t="s">
        <v>10</v>
      </c>
      <c r="F9151" s="1" t="str">
        <f>"10.14.8.121"</f>
        <v>10.14.8.121</v>
      </c>
      <c r="G9151" s="1" t="str">
        <f>"9629X994"</f>
        <v>9629X994</v>
      </c>
      <c r="H9151" s="1" t="str">
        <f>"연서간 24"</f>
        <v>연서간 24</v>
      </c>
      <c r="I9151" s="1" t="s">
        <v>8</v>
      </c>
      <c r="J9151" s="1" t="str">
        <f>"13/13"</f>
        <v>13/13</v>
      </c>
      <c r="K9151" s="1" t="str">
        <f t="shared" ref="K9151:K9168" si="459">"2026-07-29 13:18:11"</f>
        <v>2026-07-29 13:18:11</v>
      </c>
      <c r="L9151" s="1" t="str">
        <f>"2014-11-26 16:53:47"</f>
        <v>2014-11-26 16:53:47</v>
      </c>
      <c r="M9151" s="1" t="s">
        <v>3</v>
      </c>
      <c r="N9151" s="1" t="s">
        <v>38</v>
      </c>
      <c r="O9151" s="1" t="s">
        <v>46</v>
      </c>
    </row>
    <row r="9152" spans="2:15" x14ac:dyDescent="0.3">
      <c r="B9152" s="1" t="s">
        <v>21</v>
      </c>
      <c r="C9152" s="1" t="str">
        <f t="shared" ref="C9152:C9174" si="460">"4차"</f>
        <v>4차</v>
      </c>
      <c r="D9152" s="1" t="str">
        <f>"9629Y00239"</f>
        <v>9629Y00239</v>
      </c>
      <c r="E9152" s="1" t="s">
        <v>10</v>
      </c>
      <c r="F9152" s="1" t="str">
        <f>"10.128.3.56"</f>
        <v>10.128.3.56</v>
      </c>
      <c r="G9152" s="1" t="str">
        <f>"9629Y002"</f>
        <v>9629Y002</v>
      </c>
      <c r="H9152" s="1" t="str">
        <f>"갈현간 48R2R6"</f>
        <v>갈현간 48R2R6</v>
      </c>
      <c r="I9152" s="1" t="s">
        <v>8</v>
      </c>
      <c r="J9152" s="1" t="str">
        <f>"42/45"</f>
        <v>42/45</v>
      </c>
      <c r="K9152" s="1" t="str">
        <f t="shared" si="459"/>
        <v>2026-07-29 13:18:11</v>
      </c>
      <c r="L9152" s="1" t="str">
        <f>"2018-01-10 16:14:57"</f>
        <v>2018-01-10 16:14:57</v>
      </c>
      <c r="M9152" s="1" t="s">
        <v>45</v>
      </c>
      <c r="N9152" s="1" t="s">
        <v>38</v>
      </c>
      <c r="O9152" s="1" t="s">
        <v>46</v>
      </c>
    </row>
    <row r="9153" spans="2:15" x14ac:dyDescent="0.3">
      <c r="B9153" s="1" t="s">
        <v>21</v>
      </c>
      <c r="C9153" s="1" t="str">
        <f t="shared" si="460"/>
        <v>4차</v>
      </c>
      <c r="D9153" s="1" t="str">
        <f>"9629Y01239"</f>
        <v>9629Y01239</v>
      </c>
      <c r="E9153" s="1" t="s">
        <v>10</v>
      </c>
      <c r="F9153" s="1" t="str">
        <f>"10.128.3.57"</f>
        <v>10.128.3.57</v>
      </c>
      <c r="G9153" s="1" t="str">
        <f>"9629Y012"</f>
        <v>9629Y012</v>
      </c>
      <c r="H9153" s="1" t="str">
        <f>"갈현간 48R2R6R1"</f>
        <v>갈현간 48R2R6R1</v>
      </c>
      <c r="I9153" s="1" t="s">
        <v>8</v>
      </c>
      <c r="J9153" s="1" t="str">
        <f>"31/31"</f>
        <v>31/31</v>
      </c>
      <c r="K9153" s="1" t="str">
        <f t="shared" si="459"/>
        <v>2026-07-29 13:18:11</v>
      </c>
      <c r="L9153" s="1" t="str">
        <f>"2018-01-10 12:01:39"</f>
        <v>2018-01-10 12:01:39</v>
      </c>
      <c r="M9153" s="1" t="s">
        <v>45</v>
      </c>
      <c r="N9153" s="1" t="s">
        <v>38</v>
      </c>
      <c r="O9153" s="1" t="s">
        <v>46</v>
      </c>
    </row>
    <row r="9154" spans="2:15" x14ac:dyDescent="0.3">
      <c r="B9154" s="1" t="s">
        <v>21</v>
      </c>
      <c r="C9154" s="1" t="str">
        <f t="shared" si="460"/>
        <v>4차</v>
      </c>
      <c r="D9154" s="1" t="str">
        <f>"9629Y02144"</f>
        <v>9629Y02144</v>
      </c>
      <c r="E9154" s="1" t="s">
        <v>10</v>
      </c>
      <c r="F9154" s="1" t="str">
        <f>"10.10.98.122"</f>
        <v>10.10.98.122</v>
      </c>
      <c r="G9154" s="1" t="str">
        <f>"9629Y021"</f>
        <v>9629Y021</v>
      </c>
      <c r="H9154" s="1" t="str">
        <f>"갈현간 48R2R8R1"</f>
        <v>갈현간 48R2R8R1</v>
      </c>
      <c r="I9154" s="1" t="s">
        <v>8</v>
      </c>
      <c r="J9154" s="1" t="str">
        <f>"93/93"</f>
        <v>93/93</v>
      </c>
      <c r="K9154" s="1" t="str">
        <f t="shared" si="459"/>
        <v>2026-07-29 13:18:11</v>
      </c>
      <c r="L9154" s="1" t="str">
        <f>"2019-09-17 18:13:03"</f>
        <v>2019-09-17 18:13:03</v>
      </c>
      <c r="M9154" s="1" t="s">
        <v>1</v>
      </c>
      <c r="N9154" s="1" t="s">
        <v>38</v>
      </c>
      <c r="O9154" s="1" t="s">
        <v>46</v>
      </c>
    </row>
    <row r="9155" spans="2:15" x14ac:dyDescent="0.3">
      <c r="B9155" s="1" t="s">
        <v>21</v>
      </c>
      <c r="C9155" s="1" t="str">
        <f t="shared" si="460"/>
        <v>4차</v>
      </c>
      <c r="D9155" s="1" t="str">
        <f>"9629Y05244"</f>
        <v>9629Y05244</v>
      </c>
      <c r="E9155" s="1" t="s">
        <v>10</v>
      </c>
      <c r="F9155" s="1" t="str">
        <f>"10.10.96.10"</f>
        <v>10.10.96.10</v>
      </c>
      <c r="G9155" s="1" t="str">
        <f>"9629Y052"</f>
        <v>9629Y052</v>
      </c>
      <c r="H9155" s="1" t="str">
        <f>"갈현간 42R7L3R2"</f>
        <v>갈현간 42R7L3R2</v>
      </c>
      <c r="I9155" s="1" t="s">
        <v>8</v>
      </c>
      <c r="J9155" s="1" t="str">
        <f>"13/13"</f>
        <v>13/13</v>
      </c>
      <c r="K9155" s="1" t="str">
        <f t="shared" si="459"/>
        <v>2026-07-29 13:18:11</v>
      </c>
      <c r="L9155" s="1" t="str">
        <f>"2019-09-17 17:33:05"</f>
        <v>2019-09-17 17:33:05</v>
      </c>
      <c r="M9155" s="1" t="s">
        <v>1</v>
      </c>
      <c r="N9155" s="1" t="s">
        <v>38</v>
      </c>
      <c r="O9155" s="1" t="s">
        <v>46</v>
      </c>
    </row>
    <row r="9156" spans="2:15" x14ac:dyDescent="0.3">
      <c r="B9156" s="1" t="s">
        <v>21</v>
      </c>
      <c r="C9156" s="1" t="str">
        <f t="shared" si="460"/>
        <v>4차</v>
      </c>
      <c r="D9156" s="1" t="str">
        <f>"9629Y07144"</f>
        <v>9629Y07144</v>
      </c>
      <c r="E9156" s="1" t="s">
        <v>10</v>
      </c>
      <c r="F9156" s="1" t="str">
        <f>"10.10.104.26"</f>
        <v>10.10.104.26</v>
      </c>
      <c r="G9156" s="1" t="str">
        <f>"9629Y071"</f>
        <v>9629Y071</v>
      </c>
      <c r="H9156" s="1" t="str">
        <f>"갈현간 42R11"</f>
        <v>갈현간 42R11</v>
      </c>
      <c r="I9156" s="1" t="s">
        <v>8</v>
      </c>
      <c r="J9156" s="1" t="str">
        <f>"43/44"</f>
        <v>43/44</v>
      </c>
      <c r="K9156" s="1" t="str">
        <f t="shared" si="459"/>
        <v>2026-07-29 13:18:11</v>
      </c>
      <c r="L9156" s="1" t="str">
        <f>"2019-10-22 16:25:45"</f>
        <v>2019-10-22 16:25:45</v>
      </c>
      <c r="M9156" s="1" t="s">
        <v>1</v>
      </c>
      <c r="N9156" s="1" t="s">
        <v>38</v>
      </c>
      <c r="O9156" s="1" t="s">
        <v>46</v>
      </c>
    </row>
    <row r="9157" spans="2:15" x14ac:dyDescent="0.3">
      <c r="B9157" s="1" t="s">
        <v>21</v>
      </c>
      <c r="C9157" s="1" t="str">
        <f t="shared" si="460"/>
        <v>4차</v>
      </c>
      <c r="D9157" s="1" t="str">
        <f>"9629Y08144"</f>
        <v>9629Y08144</v>
      </c>
      <c r="E9157" s="1" t="s">
        <v>10</v>
      </c>
      <c r="F9157" s="1" t="str">
        <f>"10.10.90.130"</f>
        <v>10.10.90.130</v>
      </c>
      <c r="G9157" s="1" t="str">
        <f>"9629Y081"</f>
        <v>9629Y081</v>
      </c>
      <c r="H9157" s="1" t="str">
        <f>"갈현간 42R13"</f>
        <v>갈현간 42R13</v>
      </c>
      <c r="I9157" s="1" t="s">
        <v>8</v>
      </c>
      <c r="J9157" s="1" t="str">
        <f>"38/38"</f>
        <v>38/38</v>
      </c>
      <c r="K9157" s="1" t="str">
        <f t="shared" si="459"/>
        <v>2026-07-29 13:18:11</v>
      </c>
      <c r="L9157" s="1" t="str">
        <f>"2019-09-17 13:27:57"</f>
        <v>2019-09-17 13:27:57</v>
      </c>
      <c r="M9157" s="1" t="s">
        <v>1</v>
      </c>
      <c r="N9157" s="1" t="s">
        <v>38</v>
      </c>
      <c r="O9157" s="1" t="s">
        <v>46</v>
      </c>
    </row>
    <row r="9158" spans="2:15" x14ac:dyDescent="0.3">
      <c r="B9158" s="1" t="s">
        <v>21</v>
      </c>
      <c r="C9158" s="1" t="str">
        <f t="shared" si="460"/>
        <v>4차</v>
      </c>
      <c r="D9158" s="1" t="str">
        <f>"9629Y09144"</f>
        <v>9629Y09144</v>
      </c>
      <c r="E9158" s="1" t="s">
        <v>10</v>
      </c>
      <c r="F9158" s="1" t="str">
        <f>"10.10.93.66"</f>
        <v>10.10.93.66</v>
      </c>
      <c r="G9158" s="1" t="str">
        <f>"9629Y091"</f>
        <v>9629Y091</v>
      </c>
      <c r="H9158" s="1" t="str">
        <f>"갈현간 42R16"</f>
        <v>갈현간 42R16</v>
      </c>
      <c r="I9158" s="1" t="s">
        <v>8</v>
      </c>
      <c r="J9158" s="1" t="str">
        <f>"68/75"</f>
        <v>68/75</v>
      </c>
      <c r="K9158" s="1" t="str">
        <f t="shared" si="459"/>
        <v>2026-07-29 13:18:11</v>
      </c>
      <c r="L9158" s="1" t="str">
        <f>"2019-09-17 10:38:11"</f>
        <v>2019-09-17 10:38:11</v>
      </c>
      <c r="M9158" s="1" t="s">
        <v>1</v>
      </c>
      <c r="N9158" s="1" t="s">
        <v>38</v>
      </c>
      <c r="O9158" s="1" t="s">
        <v>46</v>
      </c>
    </row>
    <row r="9159" spans="2:15" x14ac:dyDescent="0.3">
      <c r="B9159" s="1" t="s">
        <v>21</v>
      </c>
      <c r="C9159" s="1" t="str">
        <f t="shared" si="460"/>
        <v>4차</v>
      </c>
      <c r="D9159" s="1" t="str">
        <f>"9629Y11144"</f>
        <v>9629Y11144</v>
      </c>
      <c r="E9159" s="1" t="s">
        <v>10</v>
      </c>
      <c r="F9159" s="1" t="str">
        <f>"10.14.3.200"</f>
        <v>10.14.3.200</v>
      </c>
      <c r="G9159" s="1" t="str">
        <f>"9629Y111"</f>
        <v>9629Y111</v>
      </c>
      <c r="H9159" s="1" t="str">
        <f>"갈현간 42R7L7"</f>
        <v>갈현간 42R7L7</v>
      </c>
      <c r="I9159" s="1" t="s">
        <v>8</v>
      </c>
      <c r="J9159" s="1" t="str">
        <f>"44/44"</f>
        <v>44/44</v>
      </c>
      <c r="K9159" s="1" t="str">
        <f t="shared" si="459"/>
        <v>2026-07-29 13:18:11</v>
      </c>
      <c r="L9159" s="1" t="str">
        <f>"2020-02-10 18:36:56"</f>
        <v>2020-02-10 18:36:56</v>
      </c>
      <c r="M9159" s="1" t="s">
        <v>3</v>
      </c>
      <c r="N9159" s="1" t="s">
        <v>38</v>
      </c>
      <c r="O9159" s="1" t="s">
        <v>46</v>
      </c>
    </row>
    <row r="9160" spans="2:15" x14ac:dyDescent="0.3">
      <c r="B9160" s="1" t="s">
        <v>21</v>
      </c>
      <c r="C9160" s="1" t="str">
        <f t="shared" si="460"/>
        <v>4차</v>
      </c>
      <c r="D9160" s="1" t="str">
        <f>"9629Y11244"</f>
        <v>9629Y11244</v>
      </c>
      <c r="E9160" s="1" t="s">
        <v>10</v>
      </c>
      <c r="F9160" s="1" t="str">
        <f>"10.10.121.106"</f>
        <v>10.10.121.106</v>
      </c>
      <c r="G9160" s="1" t="str">
        <f>"9629Y112"</f>
        <v>9629Y112</v>
      </c>
      <c r="H9160" s="1" t="str">
        <f>"갈현간 42R7L3L9"</f>
        <v>갈현간 42R7L3L9</v>
      </c>
      <c r="I9160" s="1" t="s">
        <v>8</v>
      </c>
      <c r="J9160" s="1" t="str">
        <f>"23/23"</f>
        <v>23/23</v>
      </c>
      <c r="K9160" s="1" t="str">
        <f t="shared" si="459"/>
        <v>2026-07-29 13:18:11</v>
      </c>
      <c r="L9160" s="1" t="str">
        <f>"2019-10-22 16:13:03"</f>
        <v>2019-10-22 16:13:03</v>
      </c>
      <c r="M9160" s="1" t="s">
        <v>1</v>
      </c>
      <c r="N9160" s="1" t="s">
        <v>38</v>
      </c>
      <c r="O9160" s="1" t="s">
        <v>46</v>
      </c>
    </row>
    <row r="9161" spans="2:15" x14ac:dyDescent="0.3">
      <c r="B9161" s="1" t="s">
        <v>21</v>
      </c>
      <c r="C9161" s="1" t="str">
        <f t="shared" si="460"/>
        <v>4차</v>
      </c>
      <c r="D9161" s="1" t="str">
        <f>"9629Y12144"</f>
        <v>9629Y12144</v>
      </c>
      <c r="E9161" s="1" t="s">
        <v>10</v>
      </c>
      <c r="F9161" s="1" t="str">
        <f>"10.10.98.90"</f>
        <v>10.10.98.90</v>
      </c>
      <c r="G9161" s="1" t="str">
        <f>"9629Y121"</f>
        <v>9629Y121</v>
      </c>
      <c r="H9161" s="1" t="str">
        <f>"갈현간 42R7L5"</f>
        <v>갈현간 42R7L5</v>
      </c>
      <c r="I9161" s="1" t="s">
        <v>8</v>
      </c>
      <c r="J9161" s="1" t="str">
        <f>"4/4"</f>
        <v>4/4</v>
      </c>
      <c r="K9161" s="1" t="str">
        <f t="shared" si="459"/>
        <v>2026-07-29 13:18:11</v>
      </c>
      <c r="L9161" s="1" t="str">
        <f>"2019-10-22 16:10:22"</f>
        <v>2019-10-22 16:10:22</v>
      </c>
      <c r="M9161" s="1" t="s">
        <v>1</v>
      </c>
      <c r="N9161" s="1" t="s">
        <v>38</v>
      </c>
      <c r="O9161" s="1" t="s">
        <v>46</v>
      </c>
    </row>
    <row r="9162" spans="2:15" x14ac:dyDescent="0.3">
      <c r="B9162" s="1" t="s">
        <v>21</v>
      </c>
      <c r="C9162" s="1" t="str">
        <f t="shared" si="460"/>
        <v>4차</v>
      </c>
      <c r="D9162" s="1" t="str">
        <f>"9629Y13144"</f>
        <v>9629Y13144</v>
      </c>
      <c r="E9162" s="1" t="s">
        <v>10</v>
      </c>
      <c r="F9162" s="1" t="str">
        <f>"10.10.96.74"</f>
        <v>10.10.96.74</v>
      </c>
      <c r="G9162" s="1" t="str">
        <f>"9629Y131"</f>
        <v>9629Y131</v>
      </c>
      <c r="H9162" s="1" t="str">
        <f>"갈현간 42R7L4"</f>
        <v>갈현간 42R7L4</v>
      </c>
      <c r="I9162" s="1" t="s">
        <v>8</v>
      </c>
      <c r="J9162" s="1" t="str">
        <f>"34/34"</f>
        <v>34/34</v>
      </c>
      <c r="K9162" s="1" t="str">
        <f t="shared" si="459"/>
        <v>2026-07-29 13:18:11</v>
      </c>
      <c r="L9162" s="1" t="str">
        <f>"2019-10-22 16:13:03"</f>
        <v>2019-10-22 16:13:03</v>
      </c>
      <c r="M9162" s="1" t="s">
        <v>1</v>
      </c>
      <c r="N9162" s="1" t="s">
        <v>38</v>
      </c>
      <c r="O9162" s="1" t="s">
        <v>46</v>
      </c>
    </row>
    <row r="9163" spans="2:15" x14ac:dyDescent="0.3">
      <c r="B9163" s="1" t="s">
        <v>21</v>
      </c>
      <c r="C9163" s="1" t="str">
        <f t="shared" si="460"/>
        <v>4차</v>
      </c>
      <c r="D9163" s="1" t="str">
        <f>"9629Y14144"</f>
        <v>9629Y14144</v>
      </c>
      <c r="E9163" s="1" t="s">
        <v>10</v>
      </c>
      <c r="F9163" s="1" t="str">
        <f>"10.10.95.58"</f>
        <v>10.10.95.58</v>
      </c>
      <c r="G9163" s="1" t="str">
        <f>"9629Y141"</f>
        <v>9629Y141</v>
      </c>
      <c r="H9163" s="1" t="str">
        <f>"갈현간 42R7L3R1"</f>
        <v>갈현간 42R7L3R1</v>
      </c>
      <c r="I9163" s="1" t="s">
        <v>8</v>
      </c>
      <c r="J9163" s="1" t="str">
        <f>"66/66"</f>
        <v>66/66</v>
      </c>
      <c r="K9163" s="1" t="str">
        <f t="shared" si="459"/>
        <v>2026-07-29 13:18:11</v>
      </c>
      <c r="L9163" s="1" t="str">
        <f>"2019-10-22 16:08:50"</f>
        <v>2019-10-22 16:08:50</v>
      </c>
      <c r="M9163" s="1" t="s">
        <v>1</v>
      </c>
      <c r="N9163" s="1" t="s">
        <v>38</v>
      </c>
      <c r="O9163" s="1" t="s">
        <v>46</v>
      </c>
    </row>
    <row r="9164" spans="2:15" x14ac:dyDescent="0.3">
      <c r="B9164" s="1" t="s">
        <v>21</v>
      </c>
      <c r="C9164" s="1" t="str">
        <f t="shared" si="460"/>
        <v>4차</v>
      </c>
      <c r="D9164" s="1" t="str">
        <f>"9629Y15144"</f>
        <v>9629Y15144</v>
      </c>
      <c r="E9164" s="1" t="s">
        <v>10</v>
      </c>
      <c r="F9164" s="1" t="str">
        <f>"10.10.96.2"</f>
        <v>10.10.96.2</v>
      </c>
      <c r="G9164" s="1" t="str">
        <f>"9629Y151"</f>
        <v>9629Y151</v>
      </c>
      <c r="H9164" s="1" t="str">
        <f>"갈현간 42R7L3R1R1"</f>
        <v>갈현간 42R7L3R1R1</v>
      </c>
      <c r="I9164" s="1" t="s">
        <v>8</v>
      </c>
      <c r="J9164" s="1" t="str">
        <f>"31/31"</f>
        <v>31/31</v>
      </c>
      <c r="K9164" s="1" t="str">
        <f t="shared" si="459"/>
        <v>2026-07-29 13:18:11</v>
      </c>
      <c r="L9164" s="1" t="str">
        <f>"2019-09-17 17:23:05"</f>
        <v>2019-09-17 17:23:05</v>
      </c>
      <c r="M9164" s="1" t="s">
        <v>1</v>
      </c>
      <c r="N9164" s="1" t="s">
        <v>38</v>
      </c>
      <c r="O9164" s="1" t="s">
        <v>46</v>
      </c>
    </row>
    <row r="9165" spans="2:15" x14ac:dyDescent="0.3">
      <c r="B9165" s="1" t="s">
        <v>21</v>
      </c>
      <c r="C9165" s="1" t="str">
        <f t="shared" si="460"/>
        <v>4차</v>
      </c>
      <c r="D9165" s="1" t="str">
        <f>"9629Y16144"</f>
        <v>9629Y16144</v>
      </c>
      <c r="E9165" s="1" t="s">
        <v>10</v>
      </c>
      <c r="F9165" s="1" t="str">
        <f>"10.10.98.114"</f>
        <v>10.10.98.114</v>
      </c>
      <c r="G9165" s="1" t="str">
        <f>"9629Y161"</f>
        <v>9629Y161</v>
      </c>
      <c r="H9165" s="1" t="str">
        <f>"갈현간 42R9"</f>
        <v>갈현간 42R9</v>
      </c>
      <c r="I9165" s="1" t="s">
        <v>8</v>
      </c>
      <c r="J9165" s="1" t="str">
        <f>"61/61"</f>
        <v>61/61</v>
      </c>
      <c r="K9165" s="1" t="str">
        <f t="shared" si="459"/>
        <v>2026-07-29 13:18:11</v>
      </c>
      <c r="L9165" s="1" t="str">
        <f>"2019-09-17 15:00:44"</f>
        <v>2019-09-17 15:00:44</v>
      </c>
      <c r="M9165" s="1" t="s">
        <v>1</v>
      </c>
      <c r="N9165" s="1" t="s">
        <v>38</v>
      </c>
      <c r="O9165" s="1" t="s">
        <v>46</v>
      </c>
    </row>
    <row r="9166" spans="2:15" x14ac:dyDescent="0.3">
      <c r="B9166" s="1" t="s">
        <v>21</v>
      </c>
      <c r="C9166" s="1" t="str">
        <f t="shared" si="460"/>
        <v>4차</v>
      </c>
      <c r="D9166" s="1" t="str">
        <f>"9629Y17144"</f>
        <v>9629Y17144</v>
      </c>
      <c r="E9166" s="1" t="s">
        <v>10</v>
      </c>
      <c r="F9166" s="1" t="str">
        <f>"10.10.90.186"</f>
        <v>10.10.90.186</v>
      </c>
      <c r="G9166" s="1" t="str">
        <f>"9629Y171"</f>
        <v>9629Y171</v>
      </c>
      <c r="H9166" s="1" t="str">
        <f>"갈현간 42R11R1"</f>
        <v>갈현간 42R11R1</v>
      </c>
      <c r="I9166" s="1" t="s">
        <v>8</v>
      </c>
      <c r="J9166" s="1" t="str">
        <f>"78/78"</f>
        <v>78/78</v>
      </c>
      <c r="K9166" s="1" t="str">
        <f t="shared" si="459"/>
        <v>2026-07-29 13:18:11</v>
      </c>
      <c r="L9166" s="1" t="str">
        <f>"2019-10-22 16:51:53"</f>
        <v>2019-10-22 16:51:53</v>
      </c>
      <c r="M9166" s="1" t="s">
        <v>1</v>
      </c>
      <c r="N9166" s="1" t="s">
        <v>38</v>
      </c>
      <c r="O9166" s="1" t="s">
        <v>46</v>
      </c>
    </row>
    <row r="9167" spans="2:15" x14ac:dyDescent="0.3">
      <c r="B9167" s="1" t="s">
        <v>21</v>
      </c>
      <c r="C9167" s="1" t="str">
        <f t="shared" si="460"/>
        <v>4차</v>
      </c>
      <c r="D9167" s="1" t="str">
        <f>"9629Y19244"</f>
        <v>9629Y19244</v>
      </c>
      <c r="E9167" s="1" t="s">
        <v>10</v>
      </c>
      <c r="F9167" s="1" t="str">
        <f>"10.10.90.114"</f>
        <v>10.10.90.114</v>
      </c>
      <c r="G9167" s="1" t="str">
        <f>"9629Y192"</f>
        <v>9629Y192</v>
      </c>
      <c r="H9167" s="1" t="str">
        <f>"갈현간 42R15"</f>
        <v>갈현간 42R15</v>
      </c>
      <c r="I9167" s="1" t="s">
        <v>8</v>
      </c>
      <c r="J9167" s="1" t="str">
        <f>"38/40"</f>
        <v>38/40</v>
      </c>
      <c r="K9167" s="1" t="str">
        <f t="shared" si="459"/>
        <v>2026-07-29 13:18:11</v>
      </c>
      <c r="L9167" s="1" t="str">
        <f>"2019-09-17 11:03:41"</f>
        <v>2019-09-17 11:03:41</v>
      </c>
      <c r="M9167" s="1" t="s">
        <v>1</v>
      </c>
      <c r="N9167" s="1" t="s">
        <v>38</v>
      </c>
      <c r="O9167" s="1" t="s">
        <v>46</v>
      </c>
    </row>
    <row r="9168" spans="2:15" x14ac:dyDescent="0.3">
      <c r="B9168" s="1" t="s">
        <v>21</v>
      </c>
      <c r="C9168" s="1" t="str">
        <f t="shared" si="460"/>
        <v>4차</v>
      </c>
      <c r="D9168" s="1" t="str">
        <f>"9629Y19344"</f>
        <v>9629Y19344</v>
      </c>
      <c r="E9168" s="1" t="s">
        <v>10</v>
      </c>
      <c r="F9168" s="1" t="str">
        <f>"10.10.90.98"</f>
        <v>10.10.90.98</v>
      </c>
      <c r="G9168" s="1" t="str">
        <f>"9629Y193"</f>
        <v>9629Y193</v>
      </c>
      <c r="H9168" s="1" t="str">
        <f>"갈현간 42R15R1"</f>
        <v>갈현간 42R15R1</v>
      </c>
      <c r="I9168" s="1" t="s">
        <v>8</v>
      </c>
      <c r="J9168" s="1" t="str">
        <f>"68/68"</f>
        <v>68/68</v>
      </c>
      <c r="K9168" s="1" t="str">
        <f t="shared" si="459"/>
        <v>2026-07-29 13:18:11</v>
      </c>
      <c r="L9168" s="1" t="str">
        <f>"2019-09-16 17:24:00"</f>
        <v>2019-09-16 17:24:00</v>
      </c>
      <c r="M9168" s="1" t="s">
        <v>1</v>
      </c>
      <c r="N9168" s="1" t="s">
        <v>38</v>
      </c>
      <c r="O9168" s="1" t="s">
        <v>46</v>
      </c>
    </row>
    <row r="9169" spans="2:15" x14ac:dyDescent="0.3">
      <c r="B9169" s="1" t="s">
        <v>21</v>
      </c>
      <c r="C9169" s="1" t="str">
        <f t="shared" si="460"/>
        <v>4차</v>
      </c>
      <c r="D9169" s="1" t="str">
        <f>"9629Y21242"</f>
        <v>9629Y21242</v>
      </c>
      <c r="E9169" s="1" t="s">
        <v>10</v>
      </c>
      <c r="F9169" s="1" t="str">
        <f>"10.12.133.172"</f>
        <v>10.12.133.172</v>
      </c>
      <c r="G9169" s="1" t="str">
        <f>"9629Y212"</f>
        <v>9629Y212</v>
      </c>
      <c r="H9169" s="1" t="str">
        <f>"갈현간 42R7L3L5L1"</f>
        <v>갈현간 42R7L3L5L1</v>
      </c>
      <c r="I9169" s="1" t="s">
        <v>8</v>
      </c>
      <c r="J9169" s="1" t="str">
        <f>"50/51"</f>
        <v>50/51</v>
      </c>
      <c r="K9169" s="1" t="str">
        <f>"2026-07-29 13:18:12"</f>
        <v>2026-07-29 13:18:12</v>
      </c>
      <c r="L9169" s="1" t="str">
        <f>"2024-12-16 15:21:23"</f>
        <v>2024-12-16 15:21:23</v>
      </c>
      <c r="M9169" s="1" t="s">
        <v>0</v>
      </c>
      <c r="N9169" s="1" t="s">
        <v>38</v>
      </c>
      <c r="O9169" s="1" t="s">
        <v>46</v>
      </c>
    </row>
    <row r="9170" spans="2:15" x14ac:dyDescent="0.3">
      <c r="B9170" s="1" t="s">
        <v>21</v>
      </c>
      <c r="C9170" s="1" t="str">
        <f t="shared" si="460"/>
        <v>4차</v>
      </c>
      <c r="D9170" s="1" t="str">
        <f>"9629Y21444"</f>
        <v>9629Y21444</v>
      </c>
      <c r="E9170" s="1" t="s">
        <v>10</v>
      </c>
      <c r="F9170" s="1" t="str">
        <f>"10.10.95.50"</f>
        <v>10.10.95.50</v>
      </c>
      <c r="G9170" s="1" t="str">
        <f>"9629Y214"</f>
        <v>9629Y214</v>
      </c>
      <c r="H9170" s="1" t="str">
        <f>"갈현간 42R7L3L6L1"</f>
        <v>갈현간 42R7L3L6L1</v>
      </c>
      <c r="I9170" s="1" t="s">
        <v>8</v>
      </c>
      <c r="J9170" s="1" t="str">
        <f>"22/22"</f>
        <v>22/22</v>
      </c>
      <c r="K9170" s="1" t="str">
        <f t="shared" ref="K9170:K9184" si="461">"2026-07-29 13:18:11"</f>
        <v>2026-07-29 13:18:11</v>
      </c>
      <c r="L9170" s="1" t="str">
        <f>"2019-09-17 17:03:05"</f>
        <v>2019-09-17 17:03:05</v>
      </c>
      <c r="M9170" s="1" t="s">
        <v>1</v>
      </c>
      <c r="N9170" s="1" t="s">
        <v>38</v>
      </c>
      <c r="O9170" s="1" t="s">
        <v>46</v>
      </c>
    </row>
    <row r="9171" spans="2:15" x14ac:dyDescent="0.3">
      <c r="B9171" s="1" t="s">
        <v>21</v>
      </c>
      <c r="C9171" s="1" t="str">
        <f t="shared" si="460"/>
        <v>4차</v>
      </c>
      <c r="D9171" s="1" t="str">
        <f>"9629Y22344"</f>
        <v>9629Y22344</v>
      </c>
      <c r="E9171" s="1" t="s">
        <v>10</v>
      </c>
      <c r="F9171" s="1" t="str">
        <f>"10.10.95.42"</f>
        <v>10.10.95.42</v>
      </c>
      <c r="G9171" s="1" t="str">
        <f>"9629Y223"</f>
        <v>9629Y223</v>
      </c>
      <c r="H9171" s="1" t="str">
        <f>"갈현간 42R7L3L6"</f>
        <v>갈현간 42R7L3L6</v>
      </c>
      <c r="I9171" s="1" t="s">
        <v>8</v>
      </c>
      <c r="J9171" s="1" t="str">
        <f>"40/42"</f>
        <v>40/42</v>
      </c>
      <c r="K9171" s="1" t="str">
        <f t="shared" si="461"/>
        <v>2026-07-29 13:18:11</v>
      </c>
      <c r="L9171" s="1" t="str">
        <f>"2019-09-17 16:50:01"</f>
        <v>2019-09-17 16:50:01</v>
      </c>
      <c r="M9171" s="1" t="s">
        <v>1</v>
      </c>
      <c r="N9171" s="1" t="s">
        <v>38</v>
      </c>
      <c r="O9171" s="1" t="s">
        <v>46</v>
      </c>
    </row>
    <row r="9172" spans="2:15" x14ac:dyDescent="0.3">
      <c r="B9172" s="1" t="s">
        <v>21</v>
      </c>
      <c r="C9172" s="1" t="str">
        <f t="shared" si="460"/>
        <v>4차</v>
      </c>
      <c r="D9172" s="1" t="str">
        <f>"9629Y24244"</f>
        <v>9629Y24244</v>
      </c>
      <c r="E9172" s="1" t="s">
        <v>10</v>
      </c>
      <c r="F9172" s="1" t="str">
        <f>"10.10.121.74"</f>
        <v>10.10.121.74</v>
      </c>
      <c r="G9172" s="1" t="str">
        <f>"9629Y242"</f>
        <v>9629Y242</v>
      </c>
      <c r="H9172" s="1" t="str">
        <f>"갈현간 42R7L3"</f>
        <v>갈현간 42R7L3</v>
      </c>
      <c r="I9172" s="1" t="s">
        <v>8</v>
      </c>
      <c r="J9172" s="1" t="str">
        <f>"28/28"</f>
        <v>28/28</v>
      </c>
      <c r="K9172" s="1" t="str">
        <f t="shared" si="461"/>
        <v>2026-07-29 13:18:11</v>
      </c>
      <c r="L9172" s="1" t="str">
        <f>"2019-09-17 15:40:44"</f>
        <v>2019-09-17 15:40:44</v>
      </c>
      <c r="M9172" s="1" t="s">
        <v>1</v>
      </c>
      <c r="N9172" s="1" t="s">
        <v>38</v>
      </c>
      <c r="O9172" s="1" t="s">
        <v>46</v>
      </c>
    </row>
    <row r="9173" spans="2:15" x14ac:dyDescent="0.3">
      <c r="B9173" s="1" t="s">
        <v>21</v>
      </c>
      <c r="C9173" s="1" t="str">
        <f t="shared" si="460"/>
        <v>4차</v>
      </c>
      <c r="D9173" s="1" t="str">
        <f>"9629Y24344"</f>
        <v>9629Y24344</v>
      </c>
      <c r="E9173" s="1" t="s">
        <v>10</v>
      </c>
      <c r="F9173" s="1" t="str">
        <f>"10.10.95.34"</f>
        <v>10.10.95.34</v>
      </c>
      <c r="G9173" s="1" t="str">
        <f>"9629Y243"</f>
        <v>9629Y243</v>
      </c>
      <c r="H9173" s="1" t="str">
        <f>"갈현간 42R7L2"</f>
        <v>갈현간 42R7L2</v>
      </c>
      <c r="I9173" s="1" t="s">
        <v>8</v>
      </c>
      <c r="J9173" s="1" t="str">
        <f>"24/25"</f>
        <v>24/25</v>
      </c>
      <c r="K9173" s="1" t="str">
        <f t="shared" si="461"/>
        <v>2026-07-29 13:18:11</v>
      </c>
      <c r="L9173" s="1" t="str">
        <f>"2019-09-17 14:52:29"</f>
        <v>2019-09-17 14:52:29</v>
      </c>
      <c r="M9173" s="1" t="s">
        <v>1</v>
      </c>
      <c r="N9173" s="1" t="s">
        <v>38</v>
      </c>
      <c r="O9173" s="1" t="s">
        <v>46</v>
      </c>
    </row>
    <row r="9174" spans="2:15" x14ac:dyDescent="0.3">
      <c r="B9174" s="1" t="s">
        <v>21</v>
      </c>
      <c r="C9174" s="1" t="str">
        <f t="shared" si="460"/>
        <v>4차</v>
      </c>
      <c r="D9174" s="1" t="str">
        <f>"9629Y25144"</f>
        <v>9629Y25144</v>
      </c>
      <c r="E9174" s="1" t="s">
        <v>10</v>
      </c>
      <c r="F9174" s="1" t="str">
        <f>"10.10.98.106"</f>
        <v>10.10.98.106</v>
      </c>
      <c r="G9174" s="1" t="str">
        <f>"9629Y251"</f>
        <v>9629Y251</v>
      </c>
      <c r="H9174" s="1" t="str">
        <f>"갈현간 42R8"</f>
        <v>갈현간 42R8</v>
      </c>
      <c r="I9174" s="1" t="s">
        <v>8</v>
      </c>
      <c r="J9174" s="1" t="str">
        <f>"44/44"</f>
        <v>44/44</v>
      </c>
      <c r="K9174" s="1" t="str">
        <f t="shared" si="461"/>
        <v>2026-07-29 13:18:11</v>
      </c>
      <c r="L9174" s="1" t="str">
        <f>"2019-10-15 15:43:03"</f>
        <v>2019-10-15 15:43:03</v>
      </c>
      <c r="M9174" s="1" t="s">
        <v>1</v>
      </c>
      <c r="N9174" s="1" t="s">
        <v>38</v>
      </c>
      <c r="O9174" s="1" t="s">
        <v>46</v>
      </c>
    </row>
    <row r="9175" spans="2:15" x14ac:dyDescent="0.3">
      <c r="B9175" s="1" t="s">
        <v>21</v>
      </c>
      <c r="C9175" s="1" t="str">
        <f>"3차"</f>
        <v>3차</v>
      </c>
      <c r="D9175" s="1" t="str">
        <f>"9629Y27139"</f>
        <v>9629Y27139</v>
      </c>
      <c r="E9175" s="1" t="s">
        <v>10</v>
      </c>
      <c r="F9175" s="1" t="str">
        <f>"10.128.71.91"</f>
        <v>10.128.71.91</v>
      </c>
      <c r="G9175" s="1" t="str">
        <f>"9629Y271"</f>
        <v>9629Y271</v>
      </c>
      <c r="H9175" s="1" t="str">
        <f>"갈현간 42R3R9"</f>
        <v>갈현간 42R3R9</v>
      </c>
      <c r="I9175" s="1" t="s">
        <v>8</v>
      </c>
      <c r="J9175" s="1" t="str">
        <f>"55/55"</f>
        <v>55/55</v>
      </c>
      <c r="K9175" s="1" t="str">
        <f t="shared" si="461"/>
        <v>2026-07-29 13:18:11</v>
      </c>
      <c r="L9175" s="1" t="str">
        <f>"2018-04-21 09:32:10"</f>
        <v>2018-04-21 09:32:10</v>
      </c>
      <c r="M9175" s="1" t="s">
        <v>45</v>
      </c>
      <c r="N9175" s="1" t="s">
        <v>38</v>
      </c>
      <c r="O9175" s="1" t="s">
        <v>46</v>
      </c>
    </row>
    <row r="9176" spans="2:15" x14ac:dyDescent="0.3">
      <c r="B9176" s="1" t="s">
        <v>21</v>
      </c>
      <c r="C9176" s="1" t="str">
        <f>"4차"</f>
        <v>4차</v>
      </c>
      <c r="D9176" s="1" t="str">
        <f>"9629Y27244"</f>
        <v>9629Y27244</v>
      </c>
      <c r="E9176" s="1" t="s">
        <v>10</v>
      </c>
      <c r="F9176" s="1" t="str">
        <f>"10.10.94.10"</f>
        <v>10.10.94.10</v>
      </c>
      <c r="G9176" s="1" t="str">
        <f>"9629Y272"</f>
        <v>9629Y272</v>
      </c>
      <c r="H9176" s="1" t="str">
        <f>"갈현간 42R3R10"</f>
        <v>갈현간 42R3R10</v>
      </c>
      <c r="I9176" s="1" t="s">
        <v>8</v>
      </c>
      <c r="J9176" s="1" t="str">
        <f>"46/46"</f>
        <v>46/46</v>
      </c>
      <c r="K9176" s="1" t="str">
        <f t="shared" si="461"/>
        <v>2026-07-29 13:18:11</v>
      </c>
      <c r="L9176" s="1" t="str">
        <f>"2019-10-14 13:53:04"</f>
        <v>2019-10-14 13:53:04</v>
      </c>
      <c r="M9176" s="1" t="s">
        <v>1</v>
      </c>
      <c r="N9176" s="1" t="s">
        <v>38</v>
      </c>
      <c r="O9176" s="1" t="s">
        <v>46</v>
      </c>
    </row>
    <row r="9177" spans="2:15" x14ac:dyDescent="0.3">
      <c r="B9177" s="1" t="s">
        <v>21</v>
      </c>
      <c r="C9177" s="1" t="str">
        <f>"1차"</f>
        <v>1차</v>
      </c>
      <c r="D9177" s="1" t="str">
        <f>"9629Y32300"</f>
        <v>9629Y32300</v>
      </c>
      <c r="E9177" s="1" t="s">
        <v>10</v>
      </c>
      <c r="F9177" s="1" t="str">
        <f>"10.128.71.226"</f>
        <v>10.128.71.226</v>
      </c>
      <c r="G9177" s="1" t="str">
        <f>"9629Y323"</f>
        <v>9629Y323</v>
      </c>
      <c r="H9177" s="1" t="str">
        <f>"갈현간 42R7L3L3"</f>
        <v>갈현간 42R7L3L3</v>
      </c>
      <c r="I9177" s="1" t="s">
        <v>8</v>
      </c>
      <c r="J9177" s="1" t="str">
        <f>"21/46"</f>
        <v>21/46</v>
      </c>
      <c r="K9177" s="1" t="str">
        <f t="shared" si="461"/>
        <v>2026-07-29 13:18:11</v>
      </c>
      <c r="L9177" s="1" t="str">
        <f>"2014-12-01 16:17:52"</f>
        <v>2014-12-01 16:17:52</v>
      </c>
      <c r="M9177" s="1" t="s">
        <v>45</v>
      </c>
      <c r="N9177" s="1" t="s">
        <v>38</v>
      </c>
      <c r="O9177" s="1" t="s">
        <v>46</v>
      </c>
    </row>
    <row r="9178" spans="2:15" x14ac:dyDescent="0.3">
      <c r="B9178" s="1" t="s">
        <v>21</v>
      </c>
      <c r="C9178" s="1" t="str">
        <f>"1차"</f>
        <v>1차</v>
      </c>
      <c r="D9178" s="1" t="str">
        <f>"9629Y33102"</f>
        <v>9629Y33102</v>
      </c>
      <c r="E9178" s="1" t="s">
        <v>10</v>
      </c>
      <c r="F9178" s="1" t="str">
        <f>"10.128.71.98"</f>
        <v>10.128.71.98</v>
      </c>
      <c r="G9178" s="1" t="str">
        <f>"9629Y331"</f>
        <v>9629Y331</v>
      </c>
      <c r="H9178" s="1" t="str">
        <f>"갈현간 42R7L3L2"</f>
        <v>갈현간 42R7L3L2</v>
      </c>
      <c r="I9178" s="1" t="s">
        <v>8</v>
      </c>
      <c r="J9178" s="1" t="str">
        <f>"2/3"</f>
        <v>2/3</v>
      </c>
      <c r="K9178" s="1" t="str">
        <f t="shared" si="461"/>
        <v>2026-07-29 13:18:11</v>
      </c>
      <c r="L9178" s="1" t="str">
        <f>"2014-12-01 12:10:16"</f>
        <v>2014-12-01 12:10:16</v>
      </c>
      <c r="M9178" s="1" t="s">
        <v>45</v>
      </c>
      <c r="N9178" s="1" t="s">
        <v>38</v>
      </c>
      <c r="O9178" s="1" t="s">
        <v>46</v>
      </c>
    </row>
    <row r="9179" spans="2:15" x14ac:dyDescent="0.3">
      <c r="B9179" s="1" t="s">
        <v>21</v>
      </c>
      <c r="C9179" s="1" t="str">
        <f>"4차"</f>
        <v>4차</v>
      </c>
      <c r="D9179" s="1" t="str">
        <f>"9629Y34144"</f>
        <v>9629Y34144</v>
      </c>
      <c r="E9179" s="1" t="s">
        <v>10</v>
      </c>
      <c r="F9179" s="1" t="str">
        <f>"10.10.95.10"</f>
        <v>10.10.95.10</v>
      </c>
      <c r="G9179" s="1" t="str">
        <f>"9629Y341"</f>
        <v>9629Y341</v>
      </c>
      <c r="H9179" s="1" t="str">
        <f>"갈현간 42R6"</f>
        <v>갈현간 42R6</v>
      </c>
      <c r="I9179" s="1" t="s">
        <v>8</v>
      </c>
      <c r="J9179" s="1" t="str">
        <f>"60/60"</f>
        <v>60/60</v>
      </c>
      <c r="K9179" s="1" t="str">
        <f t="shared" si="461"/>
        <v>2026-07-29 13:18:11</v>
      </c>
      <c r="L9179" s="1" t="str">
        <f>"2019-09-17 18:33:03"</f>
        <v>2019-09-17 18:33:03</v>
      </c>
      <c r="M9179" s="1" t="s">
        <v>1</v>
      </c>
      <c r="N9179" s="1" t="s">
        <v>38</v>
      </c>
      <c r="O9179" s="1" t="s">
        <v>46</v>
      </c>
    </row>
    <row r="9180" spans="2:15" x14ac:dyDescent="0.3">
      <c r="B9180" s="1" t="s">
        <v>21</v>
      </c>
      <c r="C9180" s="1" t="str">
        <f>"4차"</f>
        <v>4차</v>
      </c>
      <c r="D9180" s="1" t="str">
        <f>"9629Y35139"</f>
        <v>9629Y35139</v>
      </c>
      <c r="E9180" s="1" t="s">
        <v>10</v>
      </c>
      <c r="F9180" s="1" t="str">
        <f>"10.128.71.90"</f>
        <v>10.128.71.90</v>
      </c>
      <c r="G9180" s="1" t="str">
        <f>"9629Y351"</f>
        <v>9629Y351</v>
      </c>
      <c r="H9180" s="1" t="str">
        <f>"갈현간 42R3R7"</f>
        <v>갈현간 42R3R7</v>
      </c>
      <c r="I9180" s="1" t="s">
        <v>8</v>
      </c>
      <c r="J9180" s="1" t="str">
        <f>"146/146"</f>
        <v>146/146</v>
      </c>
      <c r="K9180" s="1" t="str">
        <f t="shared" si="461"/>
        <v>2026-07-29 13:18:11</v>
      </c>
      <c r="L9180" s="1" t="str">
        <f>"2018-10-01 15:38:12"</f>
        <v>2018-10-01 15:38:12</v>
      </c>
      <c r="M9180" s="1" t="s">
        <v>45</v>
      </c>
      <c r="N9180" s="1" t="s">
        <v>38</v>
      </c>
      <c r="O9180" s="1" t="s">
        <v>46</v>
      </c>
    </row>
    <row r="9181" spans="2:15" x14ac:dyDescent="0.3">
      <c r="B9181" s="1" t="s">
        <v>21</v>
      </c>
      <c r="C9181" s="1" t="str">
        <f>"4차"</f>
        <v>4차</v>
      </c>
      <c r="D9181" s="1" t="str">
        <f>"9629Y35344"</f>
        <v>9629Y35344</v>
      </c>
      <c r="E9181" s="1" t="s">
        <v>10</v>
      </c>
      <c r="F9181" s="1" t="str">
        <f>"10.10.121.50"</f>
        <v>10.10.121.50</v>
      </c>
      <c r="G9181" s="1" t="str">
        <f>"9629Y353"</f>
        <v>9629Y353</v>
      </c>
      <c r="H9181" s="1" t="str">
        <f>"갈현간 42R7"</f>
        <v>갈현간 42R7</v>
      </c>
      <c r="I9181" s="1" t="s">
        <v>8</v>
      </c>
      <c r="J9181" s="1" t="str">
        <f>"7/7"</f>
        <v>7/7</v>
      </c>
      <c r="K9181" s="1" t="str">
        <f t="shared" si="461"/>
        <v>2026-07-29 13:18:11</v>
      </c>
      <c r="L9181" s="1" t="str">
        <f>"2019-09-17 18:24:00"</f>
        <v>2019-09-17 18:24:00</v>
      </c>
      <c r="M9181" s="1" t="s">
        <v>1</v>
      </c>
      <c r="N9181" s="1" t="s">
        <v>38</v>
      </c>
      <c r="O9181" s="1" t="s">
        <v>46</v>
      </c>
    </row>
    <row r="9182" spans="2:15" x14ac:dyDescent="0.3">
      <c r="B9182" s="1" t="s">
        <v>21</v>
      </c>
      <c r="C9182" s="1" t="str">
        <f>"4차"</f>
        <v>4차</v>
      </c>
      <c r="D9182" s="1" t="str">
        <f>"9629Y36144"</f>
        <v>9629Y36144</v>
      </c>
      <c r="E9182" s="1" t="s">
        <v>10</v>
      </c>
      <c r="F9182" s="1" t="str">
        <f>"10.10.121.26"</f>
        <v>10.10.121.26</v>
      </c>
      <c r="G9182" s="1" t="str">
        <f>"9629Y361"</f>
        <v>9629Y361</v>
      </c>
      <c r="H9182" s="1" t="str">
        <f>"갈현간 42R3R8"</f>
        <v>갈현간 42R3R8</v>
      </c>
      <c r="I9182" s="1" t="s">
        <v>8</v>
      </c>
      <c r="J9182" s="1" t="str">
        <f>"36/36"</f>
        <v>36/36</v>
      </c>
      <c r="K9182" s="1" t="str">
        <f t="shared" si="461"/>
        <v>2026-07-29 13:18:11</v>
      </c>
      <c r="L9182" s="1" t="str">
        <f>"2019-10-22 17:43:04"</f>
        <v>2019-10-22 17:43:04</v>
      </c>
      <c r="M9182" s="1" t="s">
        <v>1</v>
      </c>
      <c r="N9182" s="1" t="s">
        <v>38</v>
      </c>
      <c r="O9182" s="1" t="s">
        <v>46</v>
      </c>
    </row>
    <row r="9183" spans="2:15" x14ac:dyDescent="0.3">
      <c r="B9183" s="1" t="s">
        <v>21</v>
      </c>
      <c r="C9183" s="1" t="str">
        <f>"4차"</f>
        <v>4차</v>
      </c>
      <c r="D9183" s="1" t="str">
        <f>"9629Y37344"</f>
        <v>9629Y37344</v>
      </c>
      <c r="E9183" s="1" t="s">
        <v>10</v>
      </c>
      <c r="F9183" s="1" t="str">
        <f>"10.10.93.186"</f>
        <v>10.10.93.186</v>
      </c>
      <c r="G9183" s="1" t="str">
        <f>"9629Y373"</f>
        <v>9629Y373</v>
      </c>
      <c r="H9183" s="1" t="str">
        <f>"갈현간 33R9"</f>
        <v>갈현간 33R9</v>
      </c>
      <c r="I9183" s="1" t="s">
        <v>8</v>
      </c>
      <c r="J9183" s="1" t="str">
        <f>"70/70"</f>
        <v>70/70</v>
      </c>
      <c r="K9183" s="1" t="str">
        <f t="shared" si="461"/>
        <v>2026-07-29 13:18:11</v>
      </c>
      <c r="L9183" s="1" t="str">
        <f>"2019-09-17 11:02:57"</f>
        <v>2019-09-17 11:02:57</v>
      </c>
      <c r="M9183" s="1" t="s">
        <v>1</v>
      </c>
      <c r="N9183" s="1" t="s">
        <v>38</v>
      </c>
      <c r="O9183" s="1" t="s">
        <v>46</v>
      </c>
    </row>
    <row r="9184" spans="2:15" x14ac:dyDescent="0.3">
      <c r="B9184" s="1" t="s">
        <v>21</v>
      </c>
      <c r="C9184" s="1" t="str">
        <f>"1차"</f>
        <v>1차</v>
      </c>
      <c r="D9184" s="1" t="str">
        <f>"9629Y40102"</f>
        <v>9629Y40102</v>
      </c>
      <c r="E9184" s="1" t="s">
        <v>10</v>
      </c>
      <c r="F9184" s="1" t="str">
        <f>"10.128.1.196"</f>
        <v>10.128.1.196</v>
      </c>
      <c r="G9184" s="1" t="str">
        <f>"9629Y401"</f>
        <v>9629Y401</v>
      </c>
      <c r="H9184" s="1" t="str">
        <f>"갈현간 42R3L3"</f>
        <v>갈현간 42R3L3</v>
      </c>
      <c r="I9184" s="1" t="s">
        <v>8</v>
      </c>
      <c r="J9184" s="1" t="str">
        <f>"42/45"</f>
        <v>42/45</v>
      </c>
      <c r="K9184" s="1" t="str">
        <f t="shared" si="461"/>
        <v>2026-07-29 13:18:11</v>
      </c>
      <c r="L9184" s="1" t="str">
        <f>"2015-01-07 15:08:45"</f>
        <v>2015-01-07 15:08:45</v>
      </c>
      <c r="M9184" s="1" t="s">
        <v>45</v>
      </c>
      <c r="N9184" s="1" t="s">
        <v>38</v>
      </c>
      <c r="O9184" s="1" t="s">
        <v>46</v>
      </c>
    </row>
    <row r="9185" spans="2:15" x14ac:dyDescent="0.3">
      <c r="B9185" s="1" t="s">
        <v>21</v>
      </c>
      <c r="C9185" s="1" t="str">
        <f>"1차"</f>
        <v>1차</v>
      </c>
      <c r="D9185" s="1" t="str">
        <f>"9629Y41100"</f>
        <v>9629Y41100</v>
      </c>
      <c r="E9185" s="1" t="s">
        <v>10</v>
      </c>
      <c r="F9185" s="1" t="str">
        <f>"10.128.1.195"</f>
        <v>10.128.1.195</v>
      </c>
      <c r="G9185" s="1" t="str">
        <f>"9629Y411"</f>
        <v>9629Y411</v>
      </c>
      <c r="H9185" s="1" t="str">
        <f>"갈현간 42R3L2"</f>
        <v>갈현간 42R3L2</v>
      </c>
      <c r="I9185" s="1" t="s">
        <v>8</v>
      </c>
      <c r="J9185" s="1" t="str">
        <f>"96/100"</f>
        <v>96/100</v>
      </c>
      <c r="K9185" s="1" t="str">
        <f>"2026-07-29 13:18:10"</f>
        <v>2026-07-29 13:18:10</v>
      </c>
      <c r="L9185" s="1" t="str">
        <f>"2015-01-07 15:10:01"</f>
        <v>2015-01-07 15:10:01</v>
      </c>
      <c r="M9185" s="1" t="s">
        <v>45</v>
      </c>
      <c r="N9185" s="1" t="s">
        <v>38</v>
      </c>
      <c r="O9185" s="1" t="s">
        <v>46</v>
      </c>
    </row>
    <row r="9186" spans="2:15" x14ac:dyDescent="0.3">
      <c r="B9186" s="1" t="s">
        <v>21</v>
      </c>
      <c r="C9186" s="1" t="str">
        <f>"1차"</f>
        <v>1차</v>
      </c>
      <c r="D9186" s="1" t="str">
        <f>"9629Y42201"</f>
        <v>9629Y42201</v>
      </c>
      <c r="E9186" s="1" t="s">
        <v>14</v>
      </c>
      <c r="F9186" s="1" t="str">
        <f>"10.128.1.197"</f>
        <v>10.128.1.197</v>
      </c>
      <c r="G9186" s="1" t="str">
        <f>"9629Y422"</f>
        <v>9629Y422</v>
      </c>
      <c r="H9186" s="1" t="str">
        <f>"갈현간 42R3L1"</f>
        <v>갈현간 42R3L1</v>
      </c>
      <c r="I9186" s="1" t="s">
        <v>8</v>
      </c>
      <c r="J9186" s="1" t="str">
        <f>"0/0"</f>
        <v>0/0</v>
      </c>
      <c r="K9186" s="1" t="str">
        <f>"2024-08-04 09:21:06"</f>
        <v>2024-08-04 09:21:06</v>
      </c>
      <c r="L9186" s="1" t="str">
        <f>"2015-01-07 15:11:37"</f>
        <v>2015-01-07 15:11:37</v>
      </c>
      <c r="M9186" s="1" t="s">
        <v>45</v>
      </c>
      <c r="N9186" s="1" t="s">
        <v>44</v>
      </c>
      <c r="O9186" s="1" t="s">
        <v>44</v>
      </c>
    </row>
    <row r="9187" spans="2:15" x14ac:dyDescent="0.3">
      <c r="B9187" s="1" t="s">
        <v>21</v>
      </c>
      <c r="C9187" s="1" t="str">
        <f>"1차"</f>
        <v>1차</v>
      </c>
      <c r="D9187" s="1" t="str">
        <f>"9629Y43100"</f>
        <v>9629Y43100</v>
      </c>
      <c r="E9187" s="1" t="s">
        <v>10</v>
      </c>
      <c r="F9187" s="1" t="str">
        <f>"10.128.1.193"</f>
        <v>10.128.1.193</v>
      </c>
      <c r="G9187" s="1" t="str">
        <f>"9629Y431"</f>
        <v>9629Y431</v>
      </c>
      <c r="H9187" s="1" t="str">
        <f>"갈현간 42R5"</f>
        <v>갈현간 42R5</v>
      </c>
      <c r="I9187" s="1" t="s">
        <v>8</v>
      </c>
      <c r="J9187" s="1" t="str">
        <f>"63/63"</f>
        <v>63/63</v>
      </c>
      <c r="K9187" s="1" t="str">
        <f>"2026-07-29 13:18:10"</f>
        <v>2026-07-29 13:18:10</v>
      </c>
      <c r="L9187" s="1" t="str">
        <f>"2014-12-22 18:10:41"</f>
        <v>2014-12-22 18:10:41</v>
      </c>
      <c r="M9187" s="1" t="s">
        <v>45</v>
      </c>
      <c r="N9187" s="1" t="s">
        <v>38</v>
      </c>
      <c r="O9187" s="1" t="s">
        <v>46</v>
      </c>
    </row>
    <row r="9188" spans="2:15" x14ac:dyDescent="0.3">
      <c r="B9188" s="1" t="s">
        <v>21</v>
      </c>
      <c r="C9188" s="1" t="str">
        <f>"4차"</f>
        <v>4차</v>
      </c>
      <c r="D9188" s="1" t="str">
        <f>"9629Y45144"</f>
        <v>9629Y45144</v>
      </c>
      <c r="E9188" s="1" t="s">
        <v>10</v>
      </c>
      <c r="F9188" s="1" t="str">
        <f>"10.10.95.2"</f>
        <v>10.10.95.2</v>
      </c>
      <c r="G9188" s="1" t="str">
        <f>"9629Y451"</f>
        <v>9629Y451</v>
      </c>
      <c r="H9188" s="1" t="str">
        <f>"갈현간 42R3R6"</f>
        <v>갈현간 42R3R6</v>
      </c>
      <c r="I9188" s="1" t="s">
        <v>8</v>
      </c>
      <c r="J9188" s="1" t="str">
        <f>"48/48"</f>
        <v>48/48</v>
      </c>
      <c r="K9188" s="1" t="str">
        <f>"2026-07-29 13:18:11"</f>
        <v>2026-07-29 13:18:11</v>
      </c>
      <c r="L9188" s="1" t="str">
        <f>"2019-09-24 14:32:00"</f>
        <v>2019-09-24 14:32:00</v>
      </c>
      <c r="M9188" s="1" t="s">
        <v>1</v>
      </c>
      <c r="N9188" s="1" t="s">
        <v>38</v>
      </c>
      <c r="O9188" s="1" t="s">
        <v>46</v>
      </c>
    </row>
    <row r="9189" spans="2:15" x14ac:dyDescent="0.3">
      <c r="B9189" s="1" t="s">
        <v>21</v>
      </c>
      <c r="C9189" s="1" t="str">
        <f>"1차"</f>
        <v>1차</v>
      </c>
      <c r="D9189" s="1" t="str">
        <f>"9629Y50100"</f>
        <v>9629Y50100</v>
      </c>
      <c r="E9189" s="1" t="s">
        <v>10</v>
      </c>
      <c r="F9189" s="1" t="str">
        <f>"10.128.1.198"</f>
        <v>10.128.1.198</v>
      </c>
      <c r="G9189" s="1" t="str">
        <f>"9629Y501"</f>
        <v>9629Y501</v>
      </c>
      <c r="H9189" s="1" t="str">
        <f>"갈현간 43"</f>
        <v>갈현간 43</v>
      </c>
      <c r="I9189" s="1" t="s">
        <v>8</v>
      </c>
      <c r="J9189" s="1" t="str">
        <f>"50/50"</f>
        <v>50/50</v>
      </c>
      <c r="K9189" s="1" t="str">
        <f>"2026-07-29 13:18:10"</f>
        <v>2026-07-29 13:18:10</v>
      </c>
      <c r="L9189" s="1" t="str">
        <f>"2014-11-25 14:52:15"</f>
        <v>2014-11-25 14:52:15</v>
      </c>
      <c r="M9189" s="1" t="s">
        <v>45</v>
      </c>
      <c r="N9189" s="1" t="s">
        <v>38</v>
      </c>
      <c r="O9189" s="1" t="s">
        <v>46</v>
      </c>
    </row>
    <row r="9190" spans="2:15" x14ac:dyDescent="0.3">
      <c r="B9190" s="1" t="s">
        <v>21</v>
      </c>
      <c r="C9190" s="1" t="str">
        <f>"4차"</f>
        <v>4차</v>
      </c>
      <c r="D9190" s="1" t="str">
        <f>"9629Y50244"</f>
        <v>9629Y50244</v>
      </c>
      <c r="E9190" s="1" t="s">
        <v>10</v>
      </c>
      <c r="F9190" s="1" t="str">
        <f>"10.10.89.10"</f>
        <v>10.10.89.10</v>
      </c>
      <c r="G9190" s="1" t="str">
        <f>"9629Y502"</f>
        <v>9629Y502</v>
      </c>
      <c r="H9190" s="1" t="str">
        <f>"은수간 49"</f>
        <v>은수간 49</v>
      </c>
      <c r="I9190" s="1" t="s">
        <v>8</v>
      </c>
      <c r="J9190" s="1" t="str">
        <f>"26/26"</f>
        <v>26/26</v>
      </c>
      <c r="K9190" s="1" t="str">
        <f>"2026-07-29 13:18:11"</f>
        <v>2026-07-29 13:18:11</v>
      </c>
      <c r="L9190" s="1" t="str">
        <f>"2019-11-21 11:47:06"</f>
        <v>2019-11-21 11:47:06</v>
      </c>
      <c r="M9190" s="1" t="s">
        <v>1</v>
      </c>
      <c r="N9190" s="1" t="s">
        <v>38</v>
      </c>
      <c r="O9190" s="1" t="s">
        <v>46</v>
      </c>
    </row>
    <row r="9191" spans="2:15" x14ac:dyDescent="0.3">
      <c r="B9191" s="1" t="s">
        <v>21</v>
      </c>
      <c r="C9191" s="1" t="str">
        <f>"1차"</f>
        <v>1차</v>
      </c>
      <c r="D9191" s="1" t="str">
        <f>"9629Y50302"</f>
        <v>9629Y50302</v>
      </c>
      <c r="E9191" s="1" t="s">
        <v>10</v>
      </c>
      <c r="F9191" s="1" t="str">
        <f>"10.12.137.115"</f>
        <v>10.12.137.115</v>
      </c>
      <c r="G9191" s="1" t="str">
        <f>"9629Y503"</f>
        <v>9629Y503</v>
      </c>
      <c r="H9191" s="1" t="str">
        <f>"갈현간 44"</f>
        <v>갈현간 44</v>
      </c>
      <c r="I9191" s="1" t="s">
        <v>8</v>
      </c>
      <c r="J9191" s="1" t="str">
        <f>"28/28"</f>
        <v>28/28</v>
      </c>
      <c r="K9191" s="1" t="str">
        <f>"2026-07-29 13:18:12"</f>
        <v>2026-07-29 13:18:12</v>
      </c>
      <c r="L9191" s="1" t="str">
        <f>"2015-01-10 16:11:00"</f>
        <v>2015-01-10 16:11:00</v>
      </c>
      <c r="M9191" s="1" t="s">
        <v>0</v>
      </c>
      <c r="N9191" s="1" t="s">
        <v>38</v>
      </c>
      <c r="O9191" s="1" t="s">
        <v>46</v>
      </c>
    </row>
    <row r="9192" spans="2:15" x14ac:dyDescent="0.3">
      <c r="B9192" s="1" t="s">
        <v>21</v>
      </c>
      <c r="C9192" s="1" t="str">
        <f>"1차"</f>
        <v>1차</v>
      </c>
      <c r="D9192" s="1" t="str">
        <f>"9629Y50400"</f>
        <v>9629Y50400</v>
      </c>
      <c r="E9192" s="1" t="s">
        <v>10</v>
      </c>
      <c r="F9192" s="1" t="str">
        <f>"10.128.1.201"</f>
        <v>10.128.1.201</v>
      </c>
      <c r="G9192" s="1" t="str">
        <f>"9629Y504"</f>
        <v>9629Y504</v>
      </c>
      <c r="H9192" s="1" t="str">
        <f>"은수간 50"</f>
        <v>은수간 50</v>
      </c>
      <c r="I9192" s="1" t="s">
        <v>8</v>
      </c>
      <c r="J9192" s="1" t="str">
        <f>"30/30"</f>
        <v>30/30</v>
      </c>
      <c r="K9192" s="1" t="str">
        <f t="shared" ref="K9192:K9199" si="462">"2026-07-29 13:18:10"</f>
        <v>2026-07-29 13:18:10</v>
      </c>
      <c r="L9192" s="1" t="str">
        <f>"2014-11-12 15:05:13"</f>
        <v>2014-11-12 15:05:13</v>
      </c>
      <c r="M9192" s="1" t="s">
        <v>45</v>
      </c>
      <c r="N9192" s="1" t="s">
        <v>38</v>
      </c>
      <c r="O9192" s="1" t="s">
        <v>46</v>
      </c>
    </row>
    <row r="9193" spans="2:15" x14ac:dyDescent="0.3">
      <c r="B9193" s="1" t="s">
        <v>21</v>
      </c>
      <c r="C9193" s="1" t="str">
        <f>"1차"</f>
        <v>1차</v>
      </c>
      <c r="D9193" s="1" t="str">
        <f>"9629Y52100"</f>
        <v>9629Y52100</v>
      </c>
      <c r="E9193" s="1" t="s">
        <v>10</v>
      </c>
      <c r="F9193" s="1" t="str">
        <f>"10.128.2.187"</f>
        <v>10.128.2.187</v>
      </c>
      <c r="G9193" s="1" t="str">
        <f>"9629Y521"</f>
        <v>9629Y521</v>
      </c>
      <c r="H9193" s="1" t="str">
        <f>"갈현간 42R2"</f>
        <v>갈현간 42R2</v>
      </c>
      <c r="I9193" s="1" t="s">
        <v>8</v>
      </c>
      <c r="J9193" s="1" t="str">
        <f>"45/58"</f>
        <v>45/58</v>
      </c>
      <c r="K9193" s="1" t="str">
        <f t="shared" si="462"/>
        <v>2026-07-29 13:18:10</v>
      </c>
      <c r="L9193" s="1" t="str">
        <f>"2014-12-18 15:39:40"</f>
        <v>2014-12-18 15:39:40</v>
      </c>
      <c r="M9193" s="1" t="s">
        <v>45</v>
      </c>
      <c r="N9193" s="1" t="s">
        <v>38</v>
      </c>
      <c r="O9193" s="1" t="s">
        <v>46</v>
      </c>
    </row>
    <row r="9194" spans="2:15" x14ac:dyDescent="0.3">
      <c r="B9194" s="1" t="s">
        <v>21</v>
      </c>
      <c r="C9194" s="1" t="str">
        <f>"4차"</f>
        <v>4차</v>
      </c>
      <c r="D9194" s="1" t="str">
        <f>"9629Y53144"</f>
        <v>9629Y53144</v>
      </c>
      <c r="E9194" s="1" t="s">
        <v>10</v>
      </c>
      <c r="F9194" s="1" t="str">
        <f>"10.10.94.2"</f>
        <v>10.10.94.2</v>
      </c>
      <c r="G9194" s="1" t="str">
        <f>"9629Y531"</f>
        <v>9629Y531</v>
      </c>
      <c r="H9194" s="1" t="str">
        <f>"갈현간 42R3R1"</f>
        <v>갈현간 42R3R1</v>
      </c>
      <c r="I9194" s="1" t="s">
        <v>8</v>
      </c>
      <c r="J9194" s="1" t="str">
        <f>"44/44"</f>
        <v>44/44</v>
      </c>
      <c r="K9194" s="1" t="str">
        <f t="shared" si="462"/>
        <v>2026-07-29 13:18:10</v>
      </c>
      <c r="L9194" s="1" t="str">
        <f>"2019-10-22 18:28:14"</f>
        <v>2019-10-22 18:28:14</v>
      </c>
      <c r="M9194" s="1" t="s">
        <v>1</v>
      </c>
      <c r="N9194" s="1" t="s">
        <v>38</v>
      </c>
      <c r="O9194" s="1" t="s">
        <v>46</v>
      </c>
    </row>
    <row r="9195" spans="2:15" x14ac:dyDescent="0.3">
      <c r="B9195" s="1" t="s">
        <v>21</v>
      </c>
      <c r="C9195" s="1" t="str">
        <f>"4차"</f>
        <v>4차</v>
      </c>
      <c r="D9195" s="1" t="str">
        <f>"9629Y53244"</f>
        <v>9629Y53244</v>
      </c>
      <c r="E9195" s="1" t="s">
        <v>10</v>
      </c>
      <c r="F9195" s="1" t="str">
        <f>"10.10.94.82"</f>
        <v>10.10.94.82</v>
      </c>
      <c r="G9195" s="1" t="str">
        <f>"9629Y532"</f>
        <v>9629Y532</v>
      </c>
      <c r="H9195" s="1" t="str">
        <f>"갈현간 42R3R2"</f>
        <v>갈현간 42R3R2</v>
      </c>
      <c r="I9195" s="1" t="s">
        <v>8</v>
      </c>
      <c r="J9195" s="1" t="str">
        <f>"20/23"</f>
        <v>20/23</v>
      </c>
      <c r="K9195" s="1" t="str">
        <f t="shared" si="462"/>
        <v>2026-07-29 13:18:10</v>
      </c>
      <c r="L9195" s="1" t="str">
        <f>"2019-09-17 11:49:58"</f>
        <v>2019-09-17 11:49:58</v>
      </c>
      <c r="M9195" s="1" t="s">
        <v>1</v>
      </c>
      <c r="N9195" s="1" t="s">
        <v>38</v>
      </c>
      <c r="O9195" s="1" t="s">
        <v>46</v>
      </c>
    </row>
    <row r="9196" spans="2:15" x14ac:dyDescent="0.3">
      <c r="B9196" s="1" t="s">
        <v>21</v>
      </c>
      <c r="C9196" s="1" t="str">
        <f>"3차"</f>
        <v>3차</v>
      </c>
      <c r="D9196" s="1" t="str">
        <f>"9629Y54139"</f>
        <v>9629Y54139</v>
      </c>
      <c r="E9196" s="1" t="s">
        <v>10</v>
      </c>
      <c r="F9196" s="1" t="str">
        <f>"10.128.71.74"</f>
        <v>10.128.71.74</v>
      </c>
      <c r="G9196" s="1" t="str">
        <f>"9629Y541"</f>
        <v>9629Y541</v>
      </c>
      <c r="H9196" s="1" t="str">
        <f>"갈현간 42R3R4"</f>
        <v>갈현간 42R3R4</v>
      </c>
      <c r="I9196" s="1" t="s">
        <v>8</v>
      </c>
      <c r="J9196" s="1" t="str">
        <f>"35/35"</f>
        <v>35/35</v>
      </c>
      <c r="K9196" s="1" t="str">
        <f t="shared" si="462"/>
        <v>2026-07-29 13:18:10</v>
      </c>
      <c r="L9196" s="1" t="str">
        <f>"2018-04-17 18:16:15"</f>
        <v>2018-04-17 18:16:15</v>
      </c>
      <c r="M9196" s="1" t="s">
        <v>45</v>
      </c>
      <c r="N9196" s="1" t="s">
        <v>38</v>
      </c>
      <c r="O9196" s="1" t="s">
        <v>46</v>
      </c>
    </row>
    <row r="9197" spans="2:15" x14ac:dyDescent="0.3">
      <c r="B9197" s="1" t="s">
        <v>21</v>
      </c>
      <c r="C9197" s="1" t="str">
        <f>"4차"</f>
        <v>4차</v>
      </c>
      <c r="D9197" s="1" t="str">
        <f>"9629Y54344"</f>
        <v>9629Y54344</v>
      </c>
      <c r="E9197" s="1" t="s">
        <v>10</v>
      </c>
      <c r="F9197" s="1" t="str">
        <f>"10.10.94.114"</f>
        <v>10.10.94.114</v>
      </c>
      <c r="G9197" s="1" t="str">
        <f>"9629Y543"</f>
        <v>9629Y543</v>
      </c>
      <c r="H9197" s="1" t="str">
        <f>"갈현간 42R3R4L2"</f>
        <v>갈현간 42R3R4L2</v>
      </c>
      <c r="I9197" s="1" t="s">
        <v>8</v>
      </c>
      <c r="J9197" s="1" t="str">
        <f>"63/63"</f>
        <v>63/63</v>
      </c>
      <c r="K9197" s="1" t="str">
        <f t="shared" si="462"/>
        <v>2026-07-29 13:18:10</v>
      </c>
      <c r="L9197" s="1" t="str">
        <f>"2019-09-17 14:52:29"</f>
        <v>2019-09-17 14:52:29</v>
      </c>
      <c r="M9197" s="1" t="s">
        <v>1</v>
      </c>
      <c r="N9197" s="1" t="s">
        <v>38</v>
      </c>
      <c r="O9197" s="1" t="s">
        <v>46</v>
      </c>
    </row>
    <row r="9198" spans="2:15" x14ac:dyDescent="0.3">
      <c r="B9198" s="1" t="s">
        <v>21</v>
      </c>
      <c r="C9198" s="1" t="str">
        <f>"3차"</f>
        <v>3차</v>
      </c>
      <c r="D9198" s="1" t="str">
        <f>"9629Y56139"</f>
        <v>9629Y56139</v>
      </c>
      <c r="E9198" s="1" t="s">
        <v>10</v>
      </c>
      <c r="F9198" s="1" t="str">
        <f>"10.128.71.82"</f>
        <v>10.128.71.82</v>
      </c>
      <c r="G9198" s="1" t="str">
        <f>"9629Y561"</f>
        <v>9629Y561</v>
      </c>
      <c r="H9198" s="1" t="str">
        <f>"갈현간 42R3R6R2"</f>
        <v>갈현간 42R3R6R2</v>
      </c>
      <c r="I9198" s="1" t="s">
        <v>8</v>
      </c>
      <c r="J9198" s="1" t="str">
        <f>"20/20"</f>
        <v>20/20</v>
      </c>
      <c r="K9198" s="1" t="str">
        <f t="shared" si="462"/>
        <v>2026-07-29 13:18:10</v>
      </c>
      <c r="L9198" s="1" t="str">
        <f>"2018-04-17 18:15:44"</f>
        <v>2018-04-17 18:15:44</v>
      </c>
      <c r="M9198" s="1" t="s">
        <v>45</v>
      </c>
      <c r="N9198" s="1" t="s">
        <v>38</v>
      </c>
      <c r="O9198" s="1" t="s">
        <v>46</v>
      </c>
    </row>
    <row r="9199" spans="2:15" x14ac:dyDescent="0.3">
      <c r="B9199" s="1" t="s">
        <v>21</v>
      </c>
      <c r="C9199" s="1" t="str">
        <f>"4차"</f>
        <v>4차</v>
      </c>
      <c r="D9199" s="1" t="str">
        <f>"9629Y56444"</f>
        <v>9629Y56444</v>
      </c>
      <c r="E9199" s="1" t="s">
        <v>10</v>
      </c>
      <c r="F9199" s="1" t="str">
        <f>"10.10.81.146"</f>
        <v>10.10.81.146</v>
      </c>
      <c r="G9199" s="1" t="str">
        <f>"9629Y564"</f>
        <v>9629Y564</v>
      </c>
      <c r="H9199" s="1" t="str">
        <f>"갈현간 33R6"</f>
        <v>갈현간 33R6</v>
      </c>
      <c r="I9199" s="1" t="s">
        <v>8</v>
      </c>
      <c r="J9199" s="1" t="str">
        <f>"50/50"</f>
        <v>50/50</v>
      </c>
      <c r="K9199" s="1" t="str">
        <f t="shared" si="462"/>
        <v>2026-07-29 13:18:10</v>
      </c>
      <c r="L9199" s="1" t="str">
        <f>"2019-09-16 17:55:45"</f>
        <v>2019-09-16 17:55:45</v>
      </c>
      <c r="M9199" s="1" t="s">
        <v>1</v>
      </c>
      <c r="N9199" s="1" t="s">
        <v>38</v>
      </c>
      <c r="O9199" s="1" t="s">
        <v>46</v>
      </c>
    </row>
    <row r="9200" spans="2:15" x14ac:dyDescent="0.3">
      <c r="B9200" s="1" t="s">
        <v>21</v>
      </c>
      <c r="C9200" s="1" t="str">
        <f>"6차"</f>
        <v>6차</v>
      </c>
      <c r="D9200" s="1" t="str">
        <f>"9629Y6016S"</f>
        <v>9629Y6016S</v>
      </c>
      <c r="E9200" s="1" t="s">
        <v>10</v>
      </c>
      <c r="F9200" s="1" t="str">
        <f>"fde1:103:4:9156:0:0:0:2"</f>
        <v>fde1:103:4:9156:0:0:0:2</v>
      </c>
      <c r="G9200" s="1" t="str">
        <f>"9629Y601"</f>
        <v>9629Y601</v>
      </c>
      <c r="H9200" s="1" t="str">
        <f>"갈촌간 35R10L11"</f>
        <v>갈촌간 35R10L11</v>
      </c>
      <c r="I9200" s="1" t="s">
        <v>15</v>
      </c>
      <c r="J9200" s="1" t="str">
        <f>"16/16"</f>
        <v>16/16</v>
      </c>
      <c r="K9200" s="1" t="str">
        <f>"2026-07-29 14:20:59"</f>
        <v>2026-07-29 14:20:59</v>
      </c>
      <c r="L9200" s="1" t="str">
        <f>"2025-02-20 17:36:55"</f>
        <v>2025-02-20 17:36:55</v>
      </c>
      <c r="M9200" s="1" t="s">
        <v>4</v>
      </c>
      <c r="N9200" s="1" t="s">
        <v>38</v>
      </c>
      <c r="O9200" s="1" t="s">
        <v>46</v>
      </c>
    </row>
    <row r="9201" spans="2:15" x14ac:dyDescent="0.3">
      <c r="B9201" s="1" t="s">
        <v>21</v>
      </c>
      <c r="C9201" s="1" t="str">
        <f>"1차"</f>
        <v>1차</v>
      </c>
      <c r="D9201" s="1" t="str">
        <f>"9629Y61101"</f>
        <v>9629Y61101</v>
      </c>
      <c r="E9201" s="1" t="s">
        <v>10</v>
      </c>
      <c r="F9201" s="1" t="str">
        <f>"10.12.129.50"</f>
        <v>10.12.129.50</v>
      </c>
      <c r="G9201" s="1" t="str">
        <f>"9629Y611"</f>
        <v>9629Y611</v>
      </c>
      <c r="H9201" s="1" t="str">
        <f>"갈현간 42"</f>
        <v>갈현간 42</v>
      </c>
      <c r="I9201" s="1" t="s">
        <v>8</v>
      </c>
      <c r="J9201" s="1" t="str">
        <f>"33/33"</f>
        <v>33/33</v>
      </c>
      <c r="K9201" s="1" t="str">
        <f>"2026-07-29 13:18:12"</f>
        <v>2026-07-29 13:18:12</v>
      </c>
      <c r="L9201" s="1" t="str">
        <f>"2015-01-12 00:15:28"</f>
        <v>2015-01-12 00:15:28</v>
      </c>
      <c r="M9201" s="1" t="s">
        <v>0</v>
      </c>
      <c r="N9201" s="1" t="s">
        <v>38</v>
      </c>
      <c r="O9201" s="1" t="s">
        <v>46</v>
      </c>
    </row>
    <row r="9202" spans="2:15" x14ac:dyDescent="0.3">
      <c r="B9202" s="1" t="s">
        <v>21</v>
      </c>
      <c r="C9202" s="1" t="str">
        <f t="shared" ref="C9202:C9207" si="463">"4차"</f>
        <v>4차</v>
      </c>
      <c r="D9202" s="1" t="str">
        <f>"9629Y62144"</f>
        <v>9629Y62144</v>
      </c>
      <c r="E9202" s="1" t="s">
        <v>10</v>
      </c>
      <c r="F9202" s="1" t="str">
        <f>"10.10.120.218"</f>
        <v>10.10.120.218</v>
      </c>
      <c r="G9202" s="1" t="str">
        <f>"9629Y621"</f>
        <v>9629Y621</v>
      </c>
      <c r="H9202" s="1" t="str">
        <f>"갈현간 41"</f>
        <v>갈현간 41</v>
      </c>
      <c r="I9202" s="1" t="s">
        <v>8</v>
      </c>
      <c r="J9202" s="1" t="str">
        <f>"28/28"</f>
        <v>28/28</v>
      </c>
      <c r="K9202" s="1" t="str">
        <f>"2026-07-29 13:18:10"</f>
        <v>2026-07-29 13:18:10</v>
      </c>
      <c r="L9202" s="1" t="str">
        <f>"2019-09-17 16:51:59"</f>
        <v>2019-09-17 16:51:59</v>
      </c>
      <c r="M9202" s="1" t="s">
        <v>1</v>
      </c>
      <c r="N9202" s="1" t="s">
        <v>38</v>
      </c>
      <c r="O9202" s="1" t="s">
        <v>46</v>
      </c>
    </row>
    <row r="9203" spans="2:15" x14ac:dyDescent="0.3">
      <c r="B9203" s="1" t="s">
        <v>21</v>
      </c>
      <c r="C9203" s="1" t="str">
        <f t="shared" si="463"/>
        <v>4차</v>
      </c>
      <c r="D9203" s="1" t="str">
        <f>"9629Y63144"</f>
        <v>9629Y63144</v>
      </c>
      <c r="E9203" s="1" t="s">
        <v>10</v>
      </c>
      <c r="F9203" s="1" t="str">
        <f>"10.10.121.2"</f>
        <v>10.10.121.2</v>
      </c>
      <c r="G9203" s="1" t="str">
        <f>"9629Y631"</f>
        <v>9629Y631</v>
      </c>
      <c r="H9203" s="1" t="str">
        <f>"갈현간 42R3R3R3"</f>
        <v>갈현간 42R3R3R3</v>
      </c>
      <c r="I9203" s="1" t="s">
        <v>8</v>
      </c>
      <c r="J9203" s="1" t="str">
        <f>"24/24"</f>
        <v>24/24</v>
      </c>
      <c r="K9203" s="1" t="str">
        <f>"2026-07-29 13:18:10"</f>
        <v>2026-07-29 13:18:10</v>
      </c>
      <c r="L9203" s="1" t="str">
        <f>"2019-09-17 15:21:14"</f>
        <v>2019-09-17 15:21:14</v>
      </c>
      <c r="M9203" s="1" t="s">
        <v>1</v>
      </c>
      <c r="N9203" s="1" t="s">
        <v>38</v>
      </c>
      <c r="O9203" s="1" t="s">
        <v>46</v>
      </c>
    </row>
    <row r="9204" spans="2:15" x14ac:dyDescent="0.3">
      <c r="B9204" s="1" t="s">
        <v>21</v>
      </c>
      <c r="C9204" s="1" t="str">
        <f t="shared" si="463"/>
        <v>4차</v>
      </c>
      <c r="D9204" s="1" t="str">
        <f>"9629Y64344"</f>
        <v>9629Y64344</v>
      </c>
      <c r="E9204" s="1" t="s">
        <v>10</v>
      </c>
      <c r="F9204" s="1" t="str">
        <f>"10.10.94.90"</f>
        <v>10.10.94.90</v>
      </c>
      <c r="G9204" s="1" t="str">
        <f>"9629Y643"</f>
        <v>9629Y643</v>
      </c>
      <c r="H9204" s="1" t="str">
        <f>"갈현간 42R3R3A1"</f>
        <v>갈현간 42R3R3A1</v>
      </c>
      <c r="I9204" s="1" t="s">
        <v>8</v>
      </c>
      <c r="J9204" s="1" t="str">
        <f>"35/35"</f>
        <v>35/35</v>
      </c>
      <c r="K9204" s="1" t="str">
        <f>"2026-07-29 13:18:10"</f>
        <v>2026-07-29 13:18:10</v>
      </c>
      <c r="L9204" s="1" t="str">
        <f>"2019-09-17 11:57:27"</f>
        <v>2019-09-17 11:57:27</v>
      </c>
      <c r="M9204" s="1" t="s">
        <v>1</v>
      </c>
      <c r="N9204" s="1" t="s">
        <v>38</v>
      </c>
      <c r="O9204" s="1" t="s">
        <v>46</v>
      </c>
    </row>
    <row r="9205" spans="2:15" x14ac:dyDescent="0.3">
      <c r="B9205" s="1" t="s">
        <v>21</v>
      </c>
      <c r="C9205" s="1" t="str">
        <f t="shared" si="463"/>
        <v>4차</v>
      </c>
      <c r="D9205" s="1" t="str">
        <f>"9629Y64444"</f>
        <v>9629Y64444</v>
      </c>
      <c r="E9205" s="1" t="s">
        <v>10</v>
      </c>
      <c r="F9205" s="1" t="str">
        <f>"10.10.94.98"</f>
        <v>10.10.94.98</v>
      </c>
      <c r="G9205" s="1" t="str">
        <f>"9629Y644"</f>
        <v>9629Y644</v>
      </c>
      <c r="H9205" s="1" t="str">
        <f>"갈현간 42R3R3R1"</f>
        <v>갈현간 42R3R3R1</v>
      </c>
      <c r="I9205" s="1" t="s">
        <v>8</v>
      </c>
      <c r="J9205" s="1" t="str">
        <f>"46/47"</f>
        <v>46/47</v>
      </c>
      <c r="K9205" s="1" t="str">
        <f>"2026-07-29 13:18:11"</f>
        <v>2026-07-29 13:18:11</v>
      </c>
      <c r="L9205" s="1" t="str">
        <f>"2019-09-17 10:36:57"</f>
        <v>2019-09-17 10:36:57</v>
      </c>
      <c r="M9205" s="1" t="s">
        <v>1</v>
      </c>
      <c r="N9205" s="1" t="s">
        <v>38</v>
      </c>
      <c r="O9205" s="1" t="s">
        <v>46</v>
      </c>
    </row>
    <row r="9206" spans="2:15" x14ac:dyDescent="0.3">
      <c r="B9206" s="1" t="s">
        <v>21</v>
      </c>
      <c r="C9206" s="1" t="str">
        <f t="shared" si="463"/>
        <v>4차</v>
      </c>
      <c r="D9206" s="1" t="str">
        <f>"9629Y65144"</f>
        <v>9629Y65144</v>
      </c>
      <c r="E9206" s="1" t="s">
        <v>10</v>
      </c>
      <c r="F9206" s="1" t="str">
        <f>"10.10.81.114"</f>
        <v>10.10.81.114</v>
      </c>
      <c r="G9206" s="1" t="str">
        <f>"9629Y651"</f>
        <v>9629Y651</v>
      </c>
      <c r="H9206" s="1" t="str">
        <f>"갈현간 42R3R3D1"</f>
        <v>갈현간 42R3R3D1</v>
      </c>
      <c r="I9206" s="1" t="s">
        <v>8</v>
      </c>
      <c r="J9206" s="1" t="str">
        <f>"76/78"</f>
        <v>76/78</v>
      </c>
      <c r="K9206" s="1" t="str">
        <f>"2026-07-29 13:18:11"</f>
        <v>2026-07-29 13:18:11</v>
      </c>
      <c r="L9206" s="1" t="str">
        <f>"2019-10-22 17:33:04"</f>
        <v>2019-10-22 17:33:04</v>
      </c>
      <c r="M9206" s="1" t="s">
        <v>1</v>
      </c>
      <c r="N9206" s="1" t="s">
        <v>38</v>
      </c>
      <c r="O9206" s="1" t="s">
        <v>46</v>
      </c>
    </row>
    <row r="9207" spans="2:15" x14ac:dyDescent="0.3">
      <c r="B9207" s="1" t="s">
        <v>21</v>
      </c>
      <c r="C9207" s="1" t="str">
        <f t="shared" si="463"/>
        <v>4차</v>
      </c>
      <c r="D9207" s="1" t="str">
        <f>"9629Y66144"</f>
        <v>9629Y66144</v>
      </c>
      <c r="E9207" s="1" t="s">
        <v>10</v>
      </c>
      <c r="F9207" s="1" t="str">
        <f>"10.10.93.210"</f>
        <v>10.10.93.210</v>
      </c>
      <c r="G9207" s="1" t="str">
        <f>"9629Y661"</f>
        <v>9629Y661</v>
      </c>
      <c r="H9207" s="1" t="str">
        <f>"갈현간 33R4"</f>
        <v>갈현간 33R4</v>
      </c>
      <c r="I9207" s="1" t="s">
        <v>8</v>
      </c>
      <c r="J9207" s="1" t="str">
        <f>"56/56"</f>
        <v>56/56</v>
      </c>
      <c r="K9207" s="1" t="str">
        <f>"2026-07-29 13:18:11"</f>
        <v>2026-07-29 13:18:11</v>
      </c>
      <c r="L9207" s="1" t="str">
        <f>"2019-09-17 10:56:26"</f>
        <v>2019-09-17 10:56:26</v>
      </c>
      <c r="M9207" s="1" t="s">
        <v>1</v>
      </c>
      <c r="N9207" s="1" t="s">
        <v>38</v>
      </c>
      <c r="O9207" s="1" t="s">
        <v>46</v>
      </c>
    </row>
    <row r="9208" spans="2:15" x14ac:dyDescent="0.3">
      <c r="B9208" s="1" t="s">
        <v>21</v>
      </c>
      <c r="C9208" s="1" t="str">
        <f>"6차"</f>
        <v>6차</v>
      </c>
      <c r="D9208" s="1" t="str">
        <f>"9629Y7016S"</f>
        <v>9629Y7016S</v>
      </c>
      <c r="E9208" s="1" t="s">
        <v>10</v>
      </c>
      <c r="F9208" s="1" t="str">
        <f>"fde1:103:4:c82e:0:0:0:2"</f>
        <v>fde1:103:4:c82e:0:0:0:2</v>
      </c>
      <c r="G9208" s="1" t="str">
        <f>"9629Y701"</f>
        <v>9629Y701</v>
      </c>
      <c r="H9208" s="1" t="str">
        <f>"갈촌간 35R10L10"</f>
        <v>갈촌간 35R10L10</v>
      </c>
      <c r="I9208" s="1" t="s">
        <v>15</v>
      </c>
      <c r="J9208" s="1" t="str">
        <f>"65/67"</f>
        <v>65/67</v>
      </c>
      <c r="K9208" s="1" t="str">
        <f>"2026-07-29 02:21:16"</f>
        <v>2026-07-29 02:21:16</v>
      </c>
      <c r="L9208" s="1" t="str">
        <f>"2025-01-17 17:36:53"</f>
        <v>2025-01-17 17:36:53</v>
      </c>
      <c r="M9208" s="1" t="s">
        <v>4</v>
      </c>
      <c r="N9208" s="1" t="s">
        <v>38</v>
      </c>
      <c r="O9208" s="1" t="s">
        <v>46</v>
      </c>
    </row>
    <row r="9209" spans="2:15" x14ac:dyDescent="0.3">
      <c r="B9209" s="1" t="s">
        <v>21</v>
      </c>
      <c r="C9209" s="1" t="str">
        <f>"4차"</f>
        <v>4차</v>
      </c>
      <c r="D9209" s="1" t="str">
        <f>"9629Y72244"</f>
        <v>9629Y72244</v>
      </c>
      <c r="E9209" s="1" t="s">
        <v>10</v>
      </c>
      <c r="F9209" s="1" t="str">
        <f>"10.10.121.194"</f>
        <v>10.10.121.194</v>
      </c>
      <c r="G9209" s="1" t="str">
        <f>"9629Y722"</f>
        <v>9629Y722</v>
      </c>
      <c r="H9209" s="1" t="str">
        <f>"은수간 46L1"</f>
        <v>은수간 46L1</v>
      </c>
      <c r="I9209" s="1" t="s">
        <v>8</v>
      </c>
      <c r="J9209" s="1" t="str">
        <f>"20/20"</f>
        <v>20/20</v>
      </c>
      <c r="K9209" s="1" t="str">
        <f>"2026-07-29 13:18:11"</f>
        <v>2026-07-29 13:18:11</v>
      </c>
      <c r="L9209" s="1" t="str">
        <f>"2019-11-21 11:54:01"</f>
        <v>2019-11-21 11:54:01</v>
      </c>
      <c r="M9209" s="1" t="s">
        <v>1</v>
      </c>
      <c r="N9209" s="1" t="s">
        <v>38</v>
      </c>
      <c r="O9209" s="1" t="s">
        <v>46</v>
      </c>
    </row>
    <row r="9210" spans="2:15" x14ac:dyDescent="0.3">
      <c r="B9210" s="1" t="s">
        <v>21</v>
      </c>
      <c r="C9210" s="1" t="str">
        <f>"4차"</f>
        <v>4차</v>
      </c>
      <c r="D9210" s="1" t="str">
        <f>"9629Y76144"</f>
        <v>9629Y76144</v>
      </c>
      <c r="E9210" s="1" t="s">
        <v>10</v>
      </c>
      <c r="F9210" s="1" t="str">
        <f>"10.10.81.154"</f>
        <v>10.10.81.154</v>
      </c>
      <c r="G9210" s="1" t="str">
        <f>"9629Y761"</f>
        <v>9629Y761</v>
      </c>
      <c r="H9210" s="1" t="str">
        <f>"갈현간 33R2"</f>
        <v>갈현간 33R2</v>
      </c>
      <c r="I9210" s="1" t="s">
        <v>8</v>
      </c>
      <c r="J9210" s="1" t="str">
        <f>"61/69"</f>
        <v>61/69</v>
      </c>
      <c r="K9210" s="1" t="str">
        <f>"2026-07-29 13:18:12"</f>
        <v>2026-07-29 13:18:12</v>
      </c>
      <c r="L9210" s="1" t="str">
        <f>"2019-10-22 16:55:39"</f>
        <v>2019-10-22 16:55:39</v>
      </c>
      <c r="M9210" s="1" t="s">
        <v>1</v>
      </c>
      <c r="N9210" s="1" t="s">
        <v>38</v>
      </c>
      <c r="O9210" s="1" t="s">
        <v>46</v>
      </c>
    </row>
    <row r="9211" spans="2:15" x14ac:dyDescent="0.3">
      <c r="B9211" s="1" t="s">
        <v>21</v>
      </c>
      <c r="C9211" s="1" t="str">
        <f>"4차"</f>
        <v>4차</v>
      </c>
      <c r="D9211" s="1" t="str">
        <f>"9629Y77144"</f>
        <v>9629Y77144</v>
      </c>
      <c r="E9211" s="1" t="s">
        <v>10</v>
      </c>
      <c r="F9211" s="1" t="str">
        <f>"10.10.96.202"</f>
        <v>10.10.96.202</v>
      </c>
      <c r="G9211" s="1" t="str">
        <f>"9629Y771"</f>
        <v>9629Y771</v>
      </c>
      <c r="H9211" s="1" t="str">
        <f>"갈현간 26R6L6"</f>
        <v>갈현간 26R6L6</v>
      </c>
      <c r="I9211" s="1" t="s">
        <v>8</v>
      </c>
      <c r="J9211" s="1" t="str">
        <f>"50/54"</f>
        <v>50/54</v>
      </c>
      <c r="K9211" s="1" t="str">
        <f>"2026-07-29 13:18:12"</f>
        <v>2026-07-29 13:18:12</v>
      </c>
      <c r="L9211" s="1" t="str">
        <f>"2019-10-22 16:19:22"</f>
        <v>2019-10-22 16:19:22</v>
      </c>
      <c r="M9211" s="1" t="s">
        <v>1</v>
      </c>
      <c r="N9211" s="1" t="s">
        <v>38</v>
      </c>
      <c r="O9211" s="1" t="s">
        <v>46</v>
      </c>
    </row>
    <row r="9212" spans="2:15" x14ac:dyDescent="0.3">
      <c r="B9212" s="1" t="s">
        <v>21</v>
      </c>
      <c r="C9212" s="1" t="str">
        <f>"3차"</f>
        <v>3차</v>
      </c>
      <c r="D9212" s="1" t="str">
        <f>"9629Y78139"</f>
        <v>9629Y78139</v>
      </c>
      <c r="E9212" s="1" t="s">
        <v>10</v>
      </c>
      <c r="F9212" s="1" t="str">
        <f>"10.12.129.69"</f>
        <v>10.12.129.69</v>
      </c>
      <c r="G9212" s="1" t="str">
        <f>"9629Y781"</f>
        <v>9629Y781</v>
      </c>
      <c r="H9212" s="1" t="str">
        <f>"갈현간 26R6L4"</f>
        <v>갈현간 26R6L4</v>
      </c>
      <c r="I9212" s="1" t="s">
        <v>8</v>
      </c>
      <c r="J9212" s="1" t="str">
        <f>"38/38"</f>
        <v>38/38</v>
      </c>
      <c r="K9212" s="1" t="str">
        <f>"2026-07-29 13:18:11"</f>
        <v>2026-07-29 13:18:11</v>
      </c>
      <c r="L9212" s="1" t="str">
        <f>"2018-04-17 18:19:15"</f>
        <v>2018-04-17 18:19:15</v>
      </c>
      <c r="M9212" s="1" t="s">
        <v>0</v>
      </c>
      <c r="N9212" s="1" t="s">
        <v>38</v>
      </c>
      <c r="O9212" s="1" t="s">
        <v>46</v>
      </c>
    </row>
    <row r="9213" spans="2:15" x14ac:dyDescent="0.3">
      <c r="B9213" s="1" t="s">
        <v>21</v>
      </c>
      <c r="C9213" s="1" t="str">
        <f t="shared" ref="C9213:C9224" si="464">"4차"</f>
        <v>4차</v>
      </c>
      <c r="D9213" s="1" t="str">
        <f>"9629Y78244"</f>
        <v>9629Y78244</v>
      </c>
      <c r="E9213" s="1" t="s">
        <v>10</v>
      </c>
      <c r="F9213" s="1" t="str">
        <f>"10.10.120.162"</f>
        <v>10.10.120.162</v>
      </c>
      <c r="G9213" s="1" t="str">
        <f>"9629Y782"</f>
        <v>9629Y782</v>
      </c>
      <c r="H9213" s="1" t="str">
        <f>"갈현간 26R6L5"</f>
        <v>갈현간 26R6L5</v>
      </c>
      <c r="I9213" s="1" t="s">
        <v>8</v>
      </c>
      <c r="J9213" s="1" t="str">
        <f>"20/20"</f>
        <v>20/20</v>
      </c>
      <c r="K9213" s="1" t="str">
        <f>"2026-07-29 13:18:12"</f>
        <v>2026-07-29 13:18:12</v>
      </c>
      <c r="L9213" s="1" t="str">
        <f>"2019-10-22 16:03:22"</f>
        <v>2019-10-22 16:03:22</v>
      </c>
      <c r="M9213" s="1" t="s">
        <v>1</v>
      </c>
      <c r="N9213" s="1" t="s">
        <v>38</v>
      </c>
      <c r="O9213" s="1" t="s">
        <v>46</v>
      </c>
    </row>
    <row r="9214" spans="2:15" x14ac:dyDescent="0.3">
      <c r="B9214" s="1" t="s">
        <v>21</v>
      </c>
      <c r="C9214" s="1" t="str">
        <f t="shared" si="464"/>
        <v>4차</v>
      </c>
      <c r="D9214" s="1" t="str">
        <f>"9629Y79144"</f>
        <v>9629Y79144</v>
      </c>
      <c r="E9214" s="1" t="s">
        <v>10</v>
      </c>
      <c r="F9214" s="1" t="str">
        <f>"10.10.120.130"</f>
        <v>10.10.120.130</v>
      </c>
      <c r="G9214" s="1" t="str">
        <f>"9629Y791"</f>
        <v>9629Y791</v>
      </c>
      <c r="H9214" s="1" t="str">
        <f>"갈현간 26R6L2"</f>
        <v>갈현간 26R6L2</v>
      </c>
      <c r="I9214" s="1" t="s">
        <v>8</v>
      </c>
      <c r="J9214" s="1" t="str">
        <f>"21/23"</f>
        <v>21/23</v>
      </c>
      <c r="K9214" s="1" t="str">
        <f t="shared" ref="K9214:K9219" si="465">"2026-07-29 13:18:11"</f>
        <v>2026-07-29 13:18:11</v>
      </c>
      <c r="L9214" s="1" t="str">
        <f>"2019-09-24 14:43:03"</f>
        <v>2019-09-24 14:43:03</v>
      </c>
      <c r="M9214" s="1" t="s">
        <v>1</v>
      </c>
      <c r="N9214" s="1" t="s">
        <v>38</v>
      </c>
      <c r="O9214" s="1" t="s">
        <v>46</v>
      </c>
    </row>
    <row r="9215" spans="2:15" x14ac:dyDescent="0.3">
      <c r="B9215" s="1" t="s">
        <v>21</v>
      </c>
      <c r="C9215" s="1" t="str">
        <f t="shared" si="464"/>
        <v>4차</v>
      </c>
      <c r="D9215" s="1" t="str">
        <f>"9629Y79344"</f>
        <v>9629Y79344</v>
      </c>
      <c r="E9215" s="1" t="s">
        <v>10</v>
      </c>
      <c r="F9215" s="1" t="str">
        <f>"10.10.94.138"</f>
        <v>10.10.94.138</v>
      </c>
      <c r="G9215" s="1" t="str">
        <f>"9629Y793"</f>
        <v>9629Y793</v>
      </c>
      <c r="H9215" s="1" t="str">
        <f>"갈현간 26R9L2"</f>
        <v>갈현간 26R9L2</v>
      </c>
      <c r="I9215" s="1" t="s">
        <v>8</v>
      </c>
      <c r="J9215" s="1" t="str">
        <f>"26/26"</f>
        <v>26/26</v>
      </c>
      <c r="K9215" s="1" t="str">
        <f t="shared" si="465"/>
        <v>2026-07-29 13:18:11</v>
      </c>
      <c r="L9215" s="1" t="str">
        <f>"2019-09-02 17:21:49"</f>
        <v>2019-09-02 17:21:49</v>
      </c>
      <c r="M9215" s="1" t="s">
        <v>1</v>
      </c>
      <c r="N9215" s="1" t="s">
        <v>38</v>
      </c>
      <c r="O9215" s="1" t="s">
        <v>46</v>
      </c>
    </row>
    <row r="9216" spans="2:15" x14ac:dyDescent="0.3">
      <c r="B9216" s="1" t="s">
        <v>21</v>
      </c>
      <c r="C9216" s="1" t="str">
        <f t="shared" si="464"/>
        <v>4차</v>
      </c>
      <c r="D9216" s="1" t="str">
        <f>"9629Y80144"</f>
        <v>9629Y80144</v>
      </c>
      <c r="E9216" s="1" t="s">
        <v>10</v>
      </c>
      <c r="F9216" s="1" t="str">
        <f>"10.10.119.218"</f>
        <v>10.10.119.218</v>
      </c>
      <c r="G9216" s="1" t="str">
        <f>"9629Y801"</f>
        <v>9629Y801</v>
      </c>
      <c r="H9216" s="1" t="str">
        <f>"갈촌간 35R10L9"</f>
        <v>갈촌간 35R10L9</v>
      </c>
      <c r="I9216" s="1" t="s">
        <v>8</v>
      </c>
      <c r="J9216" s="1" t="str">
        <f>"5/7"</f>
        <v>5/7</v>
      </c>
      <c r="K9216" s="1" t="str">
        <f t="shared" si="465"/>
        <v>2026-07-29 13:18:11</v>
      </c>
      <c r="L9216" s="1" t="str">
        <f>"2019-10-22 18:07:20"</f>
        <v>2019-10-22 18:07:20</v>
      </c>
      <c r="M9216" s="1" t="s">
        <v>1</v>
      </c>
      <c r="N9216" s="1" t="s">
        <v>38</v>
      </c>
      <c r="O9216" s="1" t="s">
        <v>46</v>
      </c>
    </row>
    <row r="9217" spans="2:15" x14ac:dyDescent="0.3">
      <c r="B9217" s="1" t="s">
        <v>21</v>
      </c>
      <c r="C9217" s="1" t="str">
        <f t="shared" si="464"/>
        <v>4차</v>
      </c>
      <c r="D9217" s="1" t="str">
        <f>"9629Y80244"</f>
        <v>9629Y80244</v>
      </c>
      <c r="E9217" s="1" t="s">
        <v>10</v>
      </c>
      <c r="F9217" s="1" t="str">
        <f>"10.10.93.242"</f>
        <v>10.10.93.242</v>
      </c>
      <c r="G9217" s="1" t="str">
        <f>"9629Y802"</f>
        <v>9629Y802</v>
      </c>
      <c r="H9217" s="1" t="str">
        <f>"갈촌간 35R10L9R1"</f>
        <v>갈촌간 35R10L9R1</v>
      </c>
      <c r="I9217" s="1" t="s">
        <v>8</v>
      </c>
      <c r="J9217" s="1" t="str">
        <f>"48/49"</f>
        <v>48/49</v>
      </c>
      <c r="K9217" s="1" t="str">
        <f t="shared" si="465"/>
        <v>2026-07-29 13:18:11</v>
      </c>
      <c r="L9217" s="1" t="str">
        <f>"2019-09-03 13:48:12"</f>
        <v>2019-09-03 13:48:12</v>
      </c>
      <c r="M9217" s="1" t="s">
        <v>1</v>
      </c>
      <c r="N9217" s="1" t="s">
        <v>38</v>
      </c>
      <c r="O9217" s="1" t="s">
        <v>46</v>
      </c>
    </row>
    <row r="9218" spans="2:15" x14ac:dyDescent="0.3">
      <c r="B9218" s="1" t="s">
        <v>21</v>
      </c>
      <c r="C9218" s="1" t="str">
        <f t="shared" si="464"/>
        <v>4차</v>
      </c>
      <c r="D9218" s="1" t="str">
        <f>"9629Y82144"</f>
        <v>9629Y82144</v>
      </c>
      <c r="E9218" s="1" t="s">
        <v>10</v>
      </c>
      <c r="F9218" s="1" t="str">
        <f>"10.10.89.2"</f>
        <v>10.10.89.2</v>
      </c>
      <c r="G9218" s="1" t="str">
        <f>"9629Y821"</f>
        <v>9629Y821</v>
      </c>
      <c r="H9218" s="1" t="str">
        <f>"은수간 46L2"</f>
        <v>은수간 46L2</v>
      </c>
      <c r="I9218" s="1" t="s">
        <v>8</v>
      </c>
      <c r="J9218" s="1" t="str">
        <f>"12/12"</f>
        <v>12/12</v>
      </c>
      <c r="K9218" s="1" t="str">
        <f t="shared" si="465"/>
        <v>2026-07-29 13:18:11</v>
      </c>
      <c r="L9218" s="1" t="str">
        <f>"2022-11-23 11:33:08"</f>
        <v>2022-11-23 11:33:08</v>
      </c>
      <c r="M9218" s="1" t="s">
        <v>1</v>
      </c>
      <c r="N9218" s="1" t="s">
        <v>38</v>
      </c>
      <c r="O9218" s="1" t="s">
        <v>46</v>
      </c>
    </row>
    <row r="9219" spans="2:15" x14ac:dyDescent="0.3">
      <c r="B9219" s="1" t="s">
        <v>21</v>
      </c>
      <c r="C9219" s="1" t="str">
        <f t="shared" si="464"/>
        <v>4차</v>
      </c>
      <c r="D9219" s="1" t="str">
        <f>"9629Y83144"</f>
        <v>9629Y83144</v>
      </c>
      <c r="E9219" s="1" t="s">
        <v>10</v>
      </c>
      <c r="F9219" s="1" t="str">
        <f>"10.10.93.146"</f>
        <v>10.10.93.146</v>
      </c>
      <c r="G9219" s="1" t="str">
        <f>"9629Y831"</f>
        <v>9629Y831</v>
      </c>
      <c r="H9219" s="1" t="str">
        <f>"갈현간 37"</f>
        <v>갈현간 37</v>
      </c>
      <c r="I9219" s="1" t="s">
        <v>8</v>
      </c>
      <c r="J9219" s="1" t="str">
        <f>"31/31"</f>
        <v>31/31</v>
      </c>
      <c r="K9219" s="1" t="str">
        <f t="shared" si="465"/>
        <v>2026-07-29 13:18:11</v>
      </c>
      <c r="L9219" s="1" t="str">
        <f>"2019-09-17 10:43:05"</f>
        <v>2019-09-17 10:43:05</v>
      </c>
      <c r="M9219" s="1" t="s">
        <v>1</v>
      </c>
      <c r="N9219" s="1" t="s">
        <v>38</v>
      </c>
      <c r="O9219" s="1" t="s">
        <v>46</v>
      </c>
    </row>
    <row r="9220" spans="2:15" x14ac:dyDescent="0.3">
      <c r="B9220" s="1" t="s">
        <v>21</v>
      </c>
      <c r="C9220" s="1" t="str">
        <f t="shared" si="464"/>
        <v>4차</v>
      </c>
      <c r="D9220" s="1" t="str">
        <f>"9629Y83344"</f>
        <v>9629Y83344</v>
      </c>
      <c r="E9220" s="1" t="s">
        <v>10</v>
      </c>
      <c r="F9220" s="1" t="str">
        <f>"10.10.88.66"</f>
        <v>10.10.88.66</v>
      </c>
      <c r="G9220" s="1" t="str">
        <f>"9629Y833"</f>
        <v>9629Y833</v>
      </c>
      <c r="H9220" s="1" t="str">
        <f>"은수간 44"</f>
        <v>은수간 44</v>
      </c>
      <c r="I9220" s="1" t="s">
        <v>8</v>
      </c>
      <c r="J9220" s="1" t="str">
        <f>"69/69"</f>
        <v>69/69</v>
      </c>
      <c r="K9220" s="1" t="str">
        <f>"2026-07-29 13:18:10"</f>
        <v>2026-07-29 13:18:10</v>
      </c>
      <c r="L9220" s="1" t="str">
        <f>"2019-12-11 18:23:59"</f>
        <v>2019-12-11 18:23:59</v>
      </c>
      <c r="M9220" s="1" t="s">
        <v>1</v>
      </c>
      <c r="N9220" s="1" t="s">
        <v>38</v>
      </c>
      <c r="O9220" s="1" t="s">
        <v>46</v>
      </c>
    </row>
    <row r="9221" spans="2:15" x14ac:dyDescent="0.3">
      <c r="B9221" s="1" t="s">
        <v>21</v>
      </c>
      <c r="C9221" s="1" t="str">
        <f t="shared" si="464"/>
        <v>4차</v>
      </c>
      <c r="D9221" s="1" t="str">
        <f>"9629Y85244"</f>
        <v>9629Y85244</v>
      </c>
      <c r="E9221" s="1" t="s">
        <v>10</v>
      </c>
      <c r="F9221" s="1" t="str">
        <f>"10.10.93.162"</f>
        <v>10.10.93.162</v>
      </c>
      <c r="G9221" s="1" t="str">
        <f>"9629Y852"</f>
        <v>9629Y852</v>
      </c>
      <c r="H9221" s="1" t="str">
        <f>"갈현간 34"</f>
        <v>갈현간 34</v>
      </c>
      <c r="I9221" s="1" t="s">
        <v>8</v>
      </c>
      <c r="J9221" s="1" t="str">
        <f>"79/79"</f>
        <v>79/79</v>
      </c>
      <c r="K9221" s="1" t="str">
        <f>"2026-07-29 13:18:10"</f>
        <v>2026-07-29 13:18:10</v>
      </c>
      <c r="L9221" s="1" t="str">
        <f>"2019-09-17 10:43:05"</f>
        <v>2019-09-17 10:43:05</v>
      </c>
      <c r="M9221" s="1" t="s">
        <v>1</v>
      </c>
      <c r="N9221" s="1" t="s">
        <v>38</v>
      </c>
      <c r="O9221" s="1" t="s">
        <v>46</v>
      </c>
    </row>
    <row r="9222" spans="2:15" x14ac:dyDescent="0.3">
      <c r="B9222" s="1" t="s">
        <v>21</v>
      </c>
      <c r="C9222" s="1" t="str">
        <f t="shared" si="464"/>
        <v>4차</v>
      </c>
      <c r="D9222" s="1" t="str">
        <f>"9629Y85444"</f>
        <v>9629Y85444</v>
      </c>
      <c r="E9222" s="1" t="s">
        <v>10</v>
      </c>
      <c r="F9222" s="1" t="str">
        <f>"10.10.88.58"</f>
        <v>10.10.88.58</v>
      </c>
      <c r="G9222" s="1" t="str">
        <f>"9629Y854"</f>
        <v>9629Y854</v>
      </c>
      <c r="H9222" s="1" t="str">
        <f>"은수간 41"</f>
        <v>은수간 41</v>
      </c>
      <c r="I9222" s="1" t="s">
        <v>8</v>
      </c>
      <c r="J9222" s="1" t="str">
        <f>"22/22"</f>
        <v>22/22</v>
      </c>
      <c r="K9222" s="1" t="str">
        <f>"2026-07-29 13:18:10"</f>
        <v>2026-07-29 13:18:10</v>
      </c>
      <c r="L9222" s="1" t="str">
        <f>"2020-01-10 17:22:48"</f>
        <v>2020-01-10 17:22:48</v>
      </c>
      <c r="M9222" s="1" t="s">
        <v>1</v>
      </c>
      <c r="N9222" s="1" t="s">
        <v>38</v>
      </c>
      <c r="O9222" s="1" t="s">
        <v>46</v>
      </c>
    </row>
    <row r="9223" spans="2:15" x14ac:dyDescent="0.3">
      <c r="B9223" s="1" t="s">
        <v>21</v>
      </c>
      <c r="C9223" s="1" t="str">
        <f t="shared" si="464"/>
        <v>4차</v>
      </c>
      <c r="D9223" s="1" t="str">
        <f>"9629Y86144"</f>
        <v>9629Y86144</v>
      </c>
      <c r="E9223" s="1" t="s">
        <v>10</v>
      </c>
      <c r="F9223" s="1" t="str">
        <f>"10.10.93.234"</f>
        <v>10.10.93.234</v>
      </c>
      <c r="G9223" s="1" t="str">
        <f>"9629Y861"</f>
        <v>9629Y861</v>
      </c>
      <c r="H9223" s="1" t="str">
        <f>"갈현간 32"</f>
        <v>갈현간 32</v>
      </c>
      <c r="I9223" s="1" t="s">
        <v>8</v>
      </c>
      <c r="J9223" s="1" t="str">
        <f>"16/16"</f>
        <v>16/16</v>
      </c>
      <c r="K9223" s="1" t="str">
        <f>"2026-07-29 13:18:10"</f>
        <v>2026-07-29 13:18:10</v>
      </c>
      <c r="L9223" s="1" t="str">
        <f>"2019-09-16 17:24:30"</f>
        <v>2019-09-16 17:24:30</v>
      </c>
      <c r="M9223" s="1" t="s">
        <v>1</v>
      </c>
      <c r="N9223" s="1" t="s">
        <v>38</v>
      </c>
      <c r="O9223" s="1" t="s">
        <v>46</v>
      </c>
    </row>
    <row r="9224" spans="2:15" x14ac:dyDescent="0.3">
      <c r="B9224" s="1" t="s">
        <v>21</v>
      </c>
      <c r="C9224" s="1" t="str">
        <f t="shared" si="464"/>
        <v>4차</v>
      </c>
      <c r="D9224" s="1" t="str">
        <f>"9629Y86242"</f>
        <v>9629Y86242</v>
      </c>
      <c r="E9224" s="1" t="s">
        <v>10</v>
      </c>
      <c r="F9224" s="1" t="str">
        <f>"10.12.131.96"</f>
        <v>10.12.131.96</v>
      </c>
      <c r="G9224" s="1" t="str">
        <f>"9629Y862"</f>
        <v>9629Y862</v>
      </c>
      <c r="H9224" s="1" t="str">
        <f>"은수간 39"</f>
        <v>은수간 39</v>
      </c>
      <c r="I9224" s="1" t="s">
        <v>8</v>
      </c>
      <c r="J9224" s="1" t="str">
        <f>"28/28"</f>
        <v>28/28</v>
      </c>
      <c r="K9224" s="1" t="str">
        <f>"2026-07-29 13:18:10"</f>
        <v>2026-07-29 13:18:10</v>
      </c>
      <c r="L9224" s="1" t="str">
        <f>"2025-09-12 17:42:44"</f>
        <v>2025-09-12 17:42:44</v>
      </c>
      <c r="M9224" s="1" t="s">
        <v>0</v>
      </c>
      <c r="N9224" s="1" t="s">
        <v>38</v>
      </c>
      <c r="O9224" s="1" t="s">
        <v>46</v>
      </c>
    </row>
    <row r="9225" spans="2:15" x14ac:dyDescent="0.3">
      <c r="B9225" s="1" t="s">
        <v>21</v>
      </c>
      <c r="C9225" s="1" t="str">
        <f>"6차"</f>
        <v>6차</v>
      </c>
      <c r="D9225" s="1" t="str">
        <f>"9629Y8636S"</f>
        <v>9629Y8636S</v>
      </c>
      <c r="E9225" s="1" t="s">
        <v>10</v>
      </c>
      <c r="F9225" s="1" t="str">
        <f>"fde1:103:4:c743:0:0:0:2"</f>
        <v>fde1:103:4:c743:0:0:0:2</v>
      </c>
      <c r="G9225" s="1" t="str">
        <f>"9629Y863"</f>
        <v>9629Y863</v>
      </c>
      <c r="H9225" s="1" t="str">
        <f>"은수간 38"</f>
        <v>은수간 38</v>
      </c>
      <c r="I9225" s="1" t="s">
        <v>15</v>
      </c>
      <c r="J9225" s="1" t="str">
        <f>"61/61"</f>
        <v>61/61</v>
      </c>
      <c r="K9225" s="1" t="str">
        <f>"2026-07-29 14:21:29"</f>
        <v>2026-07-29 14:21:29</v>
      </c>
      <c r="L9225" s="1" t="str">
        <f>"2025-01-20 14:07:35"</f>
        <v>2025-01-20 14:07:35</v>
      </c>
      <c r="M9225" s="1" t="s">
        <v>4</v>
      </c>
      <c r="N9225" s="1" t="s">
        <v>38</v>
      </c>
      <c r="O9225" s="1" t="s">
        <v>46</v>
      </c>
    </row>
    <row r="9226" spans="2:15" x14ac:dyDescent="0.3">
      <c r="B9226" s="1" t="s">
        <v>21</v>
      </c>
      <c r="C9226" s="1" t="str">
        <f t="shared" ref="C9226:C9231" si="466">"4차"</f>
        <v>4차</v>
      </c>
      <c r="D9226" s="1" t="str">
        <f>"9629Y87244"</f>
        <v>9629Y87244</v>
      </c>
      <c r="E9226" s="1" t="s">
        <v>10</v>
      </c>
      <c r="F9226" s="1" t="str">
        <f>"10.10.94.106"</f>
        <v>10.10.94.106</v>
      </c>
      <c r="G9226" s="1" t="str">
        <f>"9629Y872"</f>
        <v>9629Y872</v>
      </c>
      <c r="H9226" s="1" t="str">
        <f>"갈현간 30"</f>
        <v>갈현간 30</v>
      </c>
      <c r="I9226" s="1" t="s">
        <v>8</v>
      </c>
      <c r="J9226" s="1" t="str">
        <f>"44/44"</f>
        <v>44/44</v>
      </c>
      <c r="K9226" s="1" t="str">
        <f>"2026-07-29 13:18:10"</f>
        <v>2026-07-29 13:18:10</v>
      </c>
      <c r="L9226" s="1" t="str">
        <f>"2019-09-03 13:43:57"</f>
        <v>2019-09-03 13:43:57</v>
      </c>
      <c r="M9226" s="1" t="s">
        <v>1</v>
      </c>
      <c r="N9226" s="1" t="s">
        <v>38</v>
      </c>
      <c r="O9226" s="1" t="s">
        <v>46</v>
      </c>
    </row>
    <row r="9227" spans="2:15" x14ac:dyDescent="0.3">
      <c r="B9227" s="1" t="s">
        <v>21</v>
      </c>
      <c r="C9227" s="1" t="str">
        <f t="shared" si="466"/>
        <v>4차</v>
      </c>
      <c r="D9227" s="1" t="str">
        <f>"9629Y90144"</f>
        <v>9629Y90144</v>
      </c>
      <c r="E9227" s="1" t="s">
        <v>10</v>
      </c>
      <c r="F9227" s="1" t="str">
        <f>"10.10.73.218"</f>
        <v>10.10.73.218</v>
      </c>
      <c r="G9227" s="1" t="str">
        <f>"9629Y901"</f>
        <v>9629Y901</v>
      </c>
      <c r="H9227" s="1" t="str">
        <f>"청구지 19R6L3"</f>
        <v>청구지 19R6L3</v>
      </c>
      <c r="I9227" s="1" t="s">
        <v>8</v>
      </c>
      <c r="J9227" s="1" t="str">
        <f>"33/36"</f>
        <v>33/36</v>
      </c>
      <c r="K9227" s="1" t="str">
        <f>"2026-07-29 13:18:10"</f>
        <v>2026-07-29 13:18:10</v>
      </c>
      <c r="L9227" s="1" t="str">
        <f>"2019-11-21 00:53:55"</f>
        <v>2019-11-21 00:53:55</v>
      </c>
      <c r="M9227" s="1" t="s">
        <v>1</v>
      </c>
      <c r="N9227" s="1" t="s">
        <v>38</v>
      </c>
      <c r="O9227" s="1" t="s">
        <v>46</v>
      </c>
    </row>
    <row r="9228" spans="2:15" x14ac:dyDescent="0.3">
      <c r="B9228" s="1" t="s">
        <v>21</v>
      </c>
      <c r="C9228" s="1" t="str">
        <f t="shared" si="466"/>
        <v>4차</v>
      </c>
      <c r="D9228" s="1" t="str">
        <f>"9629Y91344"</f>
        <v>9629Y91344</v>
      </c>
      <c r="E9228" s="1" t="s">
        <v>10</v>
      </c>
      <c r="F9228" s="1" t="str">
        <f>"10.10.114.82"</f>
        <v>10.10.114.82</v>
      </c>
      <c r="G9228" s="1" t="str">
        <f>"9629Y913"</f>
        <v>9629Y913</v>
      </c>
      <c r="H9228" s="1" t="str">
        <f>"청구지 19R6L2"</f>
        <v>청구지 19R6L2</v>
      </c>
      <c r="I9228" s="1" t="s">
        <v>8</v>
      </c>
      <c r="J9228" s="1" t="str">
        <f>"15/15"</f>
        <v>15/15</v>
      </c>
      <c r="K9228" s="1" t="str">
        <f>"2026-07-29 13:18:10"</f>
        <v>2026-07-29 13:18:10</v>
      </c>
      <c r="L9228" s="1" t="str">
        <f>"2020-01-10 17:22:52"</f>
        <v>2020-01-10 17:22:52</v>
      </c>
      <c r="M9228" s="1" t="s">
        <v>1</v>
      </c>
      <c r="N9228" s="1" t="s">
        <v>38</v>
      </c>
      <c r="O9228" s="1" t="s">
        <v>46</v>
      </c>
    </row>
    <row r="9229" spans="2:15" x14ac:dyDescent="0.3">
      <c r="B9229" s="1" t="s">
        <v>21</v>
      </c>
      <c r="C9229" s="1" t="str">
        <f t="shared" si="466"/>
        <v>4차</v>
      </c>
      <c r="D9229" s="1" t="str">
        <f>"9629Y93144"</f>
        <v>9629Y93144</v>
      </c>
      <c r="E9229" s="1" t="s">
        <v>10</v>
      </c>
      <c r="F9229" s="1" t="str">
        <f>"10.10.70.66"</f>
        <v>10.10.70.66</v>
      </c>
      <c r="G9229" s="1" t="str">
        <f>"9629Y931"</f>
        <v>9629Y931</v>
      </c>
      <c r="H9229" s="1" t="str">
        <f>"은수간 44L2"</f>
        <v>은수간 44L2</v>
      </c>
      <c r="I9229" s="1" t="s">
        <v>8</v>
      </c>
      <c r="J9229" s="1" t="str">
        <f>"31/31"</f>
        <v>31/31</v>
      </c>
      <c r="K9229" s="1" t="str">
        <f>"2026-07-29 13:18:11"</f>
        <v>2026-07-29 13:18:11</v>
      </c>
      <c r="L9229" s="1" t="str">
        <f>"2020-01-10 17:23:35"</f>
        <v>2020-01-10 17:23:35</v>
      </c>
      <c r="M9229" s="1" t="s">
        <v>1</v>
      </c>
      <c r="N9229" s="1" t="s">
        <v>38</v>
      </c>
      <c r="O9229" s="1" t="s">
        <v>46</v>
      </c>
    </row>
    <row r="9230" spans="2:15" x14ac:dyDescent="0.3">
      <c r="B9230" s="1" t="s">
        <v>21</v>
      </c>
      <c r="C9230" s="1" t="str">
        <f t="shared" si="466"/>
        <v>4차</v>
      </c>
      <c r="D9230" s="1" t="str">
        <f>"9629Y94144"</f>
        <v>9629Y94144</v>
      </c>
      <c r="E9230" s="1" t="s">
        <v>10</v>
      </c>
      <c r="F9230" s="1" t="str">
        <f>"10.10.73.130"</f>
        <v>10.10.73.130</v>
      </c>
      <c r="G9230" s="1" t="str">
        <f>"9629Y941"</f>
        <v>9629Y941</v>
      </c>
      <c r="H9230" s="1" t="str">
        <f>"청구지 19R16"</f>
        <v>청구지 19R16</v>
      </c>
      <c r="I9230" s="1" t="s">
        <v>8</v>
      </c>
      <c r="J9230" s="1" t="str">
        <f>"60/60"</f>
        <v>60/60</v>
      </c>
      <c r="K9230" s="1" t="str">
        <f>"2026-07-29 13:18:11"</f>
        <v>2026-07-29 13:18:11</v>
      </c>
      <c r="L9230" s="1" t="str">
        <f>"2019-11-20 23:14:39"</f>
        <v>2019-11-20 23:14:39</v>
      </c>
      <c r="M9230" s="1" t="s">
        <v>1</v>
      </c>
      <c r="N9230" s="1" t="s">
        <v>38</v>
      </c>
      <c r="O9230" s="1" t="s">
        <v>46</v>
      </c>
    </row>
    <row r="9231" spans="2:15" x14ac:dyDescent="0.3">
      <c r="B9231" s="1" t="s">
        <v>21</v>
      </c>
      <c r="C9231" s="1" t="str">
        <f t="shared" si="466"/>
        <v>4차</v>
      </c>
      <c r="D9231" s="1" t="str">
        <f>"9629Y95444"</f>
        <v>9629Y95444</v>
      </c>
      <c r="E9231" s="1" t="s">
        <v>10</v>
      </c>
      <c r="F9231" s="1" t="str">
        <f>"10.128.71.178"</f>
        <v>10.128.71.178</v>
      </c>
      <c r="G9231" s="1" t="str">
        <f>"9629Y954"</f>
        <v>9629Y954</v>
      </c>
      <c r="H9231" s="1" t="str">
        <f>"청구지 1R15"</f>
        <v>청구지 1R15</v>
      </c>
      <c r="I9231" s="1" t="s">
        <v>8</v>
      </c>
      <c r="J9231" s="1" t="str">
        <f>"60/60"</f>
        <v>60/60</v>
      </c>
      <c r="K9231" s="1" t="str">
        <f>"2026-07-29 13:18:11"</f>
        <v>2026-07-29 13:18:11</v>
      </c>
      <c r="L9231" s="1" t="str">
        <f>"2020-01-09 15:10:06"</f>
        <v>2020-01-09 15:10:06</v>
      </c>
      <c r="M9231" s="1" t="s">
        <v>45</v>
      </c>
      <c r="N9231" s="1" t="s">
        <v>38</v>
      </c>
      <c r="O9231" s="1" t="s">
        <v>46</v>
      </c>
    </row>
    <row r="9232" spans="2:15" x14ac:dyDescent="0.3">
      <c r="B9232" s="1" t="s">
        <v>21</v>
      </c>
      <c r="C9232" s="1" t="str">
        <f>"1차"</f>
        <v>1차</v>
      </c>
      <c r="D9232" s="1" t="str">
        <f>"9629Y98101"</f>
        <v>9629Y98101</v>
      </c>
      <c r="E9232" s="1" t="s">
        <v>10</v>
      </c>
      <c r="F9232" s="1" t="str">
        <f>"10.12.133.230"</f>
        <v>10.12.133.230</v>
      </c>
      <c r="G9232" s="1" t="str">
        <f>"9629Y981"</f>
        <v>9629Y981</v>
      </c>
      <c r="H9232" s="1" t="str">
        <f>"갈현간 29"</f>
        <v>갈현간 29</v>
      </c>
      <c r="I9232" s="1" t="s">
        <v>8</v>
      </c>
      <c r="J9232" s="1" t="str">
        <f>"30/31"</f>
        <v>30/31</v>
      </c>
      <c r="K9232" s="1" t="str">
        <f>"2026-07-29 13:18:11"</f>
        <v>2026-07-29 13:18:11</v>
      </c>
      <c r="L9232" s="1" t="str">
        <f>"2014-12-01 10:43:38"</f>
        <v>2014-12-01 10:43:38</v>
      </c>
      <c r="M9232" s="1" t="s">
        <v>0</v>
      </c>
      <c r="N9232" s="1" t="s">
        <v>38</v>
      </c>
      <c r="O9232" s="1" t="s">
        <v>46</v>
      </c>
    </row>
    <row r="9233" spans="2:15" x14ac:dyDescent="0.3">
      <c r="B9233" s="1" t="s">
        <v>21</v>
      </c>
      <c r="C9233" s="1" t="str">
        <f>"4차"</f>
        <v>4차</v>
      </c>
      <c r="D9233" s="1" t="str">
        <f>"9629Y98344"</f>
        <v>9629Y98344</v>
      </c>
      <c r="E9233" s="1" t="s">
        <v>10</v>
      </c>
      <c r="F9233" s="1" t="str">
        <f>"10.128.69.146"</f>
        <v>10.128.69.146</v>
      </c>
      <c r="G9233" s="1" t="str">
        <f>"9629Y983"</f>
        <v>9629Y983</v>
      </c>
      <c r="H9233" s="1" t="str">
        <f>"갈현간 28"</f>
        <v>갈현간 28</v>
      </c>
      <c r="I9233" s="1" t="s">
        <v>8</v>
      </c>
      <c r="J9233" s="1" t="str">
        <f>"58/58"</f>
        <v>58/58</v>
      </c>
      <c r="K9233" s="1" t="str">
        <f>"2026-07-29 13:18:11"</f>
        <v>2026-07-29 13:18:11</v>
      </c>
      <c r="L9233" s="1" t="str">
        <f>"2023-11-01 13:34:14"</f>
        <v>2023-11-01 13:34:14</v>
      </c>
      <c r="M9233" s="1" t="s">
        <v>45</v>
      </c>
      <c r="N9233" s="1" t="s">
        <v>38</v>
      </c>
      <c r="O9233" s="1" t="s">
        <v>46</v>
      </c>
    </row>
    <row r="9234" spans="2:15" x14ac:dyDescent="0.3">
      <c r="B9234" s="1" t="s">
        <v>21</v>
      </c>
      <c r="C9234" s="1" t="str">
        <f>"3차"</f>
        <v>3차</v>
      </c>
      <c r="D9234" s="1" t="str">
        <f>"9629Z00139"</f>
        <v>9629Z00139</v>
      </c>
      <c r="E9234" s="1" t="s">
        <v>10</v>
      </c>
      <c r="F9234" s="1" t="str">
        <f>"10.12.129.64"</f>
        <v>10.12.129.64</v>
      </c>
      <c r="G9234" s="1" t="str">
        <f>"9629Z001"</f>
        <v>9629Z001</v>
      </c>
      <c r="H9234" s="1" t="str">
        <f>"갈촌간 35R10L6R2"</f>
        <v>갈촌간 35R10L6R2</v>
      </c>
      <c r="I9234" s="1" t="s">
        <v>8</v>
      </c>
      <c r="J9234" s="1" t="str">
        <f>"28/28"</f>
        <v>28/28</v>
      </c>
      <c r="K9234" s="1" t="str">
        <f>"2026-07-29 13:18:12"</f>
        <v>2026-07-29 13:18:12</v>
      </c>
      <c r="L9234" s="1" t="str">
        <f>"2018-04-21 12:37:43"</f>
        <v>2018-04-21 12:37:43</v>
      </c>
      <c r="M9234" s="1" t="s">
        <v>0</v>
      </c>
      <c r="N9234" s="1" t="s">
        <v>38</v>
      </c>
      <c r="O9234" s="1" t="s">
        <v>46</v>
      </c>
    </row>
    <row r="9235" spans="2:15" x14ac:dyDescent="0.3">
      <c r="B9235" s="1" t="s">
        <v>21</v>
      </c>
      <c r="C9235" s="1" t="str">
        <f>"3차"</f>
        <v>3차</v>
      </c>
      <c r="D9235" s="1" t="str">
        <f>"9629Z00239"</f>
        <v>9629Z00239</v>
      </c>
      <c r="E9235" s="1" t="s">
        <v>10</v>
      </c>
      <c r="F9235" s="1" t="str">
        <f>"10.12.128.247"</f>
        <v>10.12.128.247</v>
      </c>
      <c r="G9235" s="1" t="str">
        <f>"9629Z002"</f>
        <v>9629Z002</v>
      </c>
      <c r="H9235" s="1" t="str">
        <f>"갈촌간 35R10L6R1"</f>
        <v>갈촌간 35R10L6R1</v>
      </c>
      <c r="I9235" s="1" t="s">
        <v>8</v>
      </c>
      <c r="J9235" s="1" t="str">
        <f>"40/40"</f>
        <v>40/40</v>
      </c>
      <c r="K9235" s="1" t="str">
        <f t="shared" ref="K9235:K9241" si="467">"2026-07-29 13:18:11"</f>
        <v>2026-07-29 13:18:11</v>
      </c>
      <c r="L9235" s="1" t="str">
        <f>"2018-04-21 12:21:12"</f>
        <v>2018-04-21 12:21:12</v>
      </c>
      <c r="M9235" s="1" t="s">
        <v>0</v>
      </c>
      <c r="N9235" s="1" t="s">
        <v>38</v>
      </c>
      <c r="O9235" s="1" t="s">
        <v>46</v>
      </c>
    </row>
    <row r="9236" spans="2:15" x14ac:dyDescent="0.3">
      <c r="B9236" s="1" t="s">
        <v>21</v>
      </c>
      <c r="C9236" s="1" t="str">
        <f>"4차"</f>
        <v>4차</v>
      </c>
      <c r="D9236" s="1" t="str">
        <f>"9629Z01144"</f>
        <v>9629Z01144</v>
      </c>
      <c r="E9236" s="1" t="s">
        <v>10</v>
      </c>
      <c r="F9236" s="1" t="str">
        <f>"10.10.73.194"</f>
        <v>10.10.73.194</v>
      </c>
      <c r="G9236" s="1" t="str">
        <f>"9629Z011"</f>
        <v>9629Z011</v>
      </c>
      <c r="H9236" s="1" t="str">
        <f>"청구지 19R6L1"</f>
        <v>청구지 19R6L1</v>
      </c>
      <c r="I9236" s="1" t="s">
        <v>8</v>
      </c>
      <c r="J9236" s="1" t="str">
        <f>"53/53"</f>
        <v>53/53</v>
      </c>
      <c r="K9236" s="1" t="str">
        <f t="shared" si="467"/>
        <v>2026-07-29 13:18:11</v>
      </c>
      <c r="L9236" s="1" t="str">
        <f>"2019-11-20 21:19:33"</f>
        <v>2019-11-20 21:19:33</v>
      </c>
      <c r="M9236" s="1" t="s">
        <v>1</v>
      </c>
      <c r="N9236" s="1" t="s">
        <v>38</v>
      </c>
      <c r="O9236" s="1" t="s">
        <v>46</v>
      </c>
    </row>
    <row r="9237" spans="2:15" x14ac:dyDescent="0.3">
      <c r="B9237" s="1" t="s">
        <v>21</v>
      </c>
      <c r="C9237" s="1" t="str">
        <f>"4차"</f>
        <v>4차</v>
      </c>
      <c r="D9237" s="1" t="str">
        <f>"9629Z02144"</f>
        <v>9629Z02144</v>
      </c>
      <c r="E9237" s="1" t="s">
        <v>10</v>
      </c>
      <c r="F9237" s="1" t="str">
        <f>"10.10.73.186"</f>
        <v>10.10.73.186</v>
      </c>
      <c r="G9237" s="1" t="str">
        <f>"9629Z021"</f>
        <v>9629Z021</v>
      </c>
      <c r="H9237" s="1" t="str">
        <f>"청구지 19R6"</f>
        <v>청구지 19R6</v>
      </c>
      <c r="I9237" s="1" t="s">
        <v>8</v>
      </c>
      <c r="J9237" s="1" t="str">
        <f>"56/56"</f>
        <v>56/56</v>
      </c>
      <c r="K9237" s="1" t="str">
        <f t="shared" si="467"/>
        <v>2026-07-29 13:18:11</v>
      </c>
      <c r="L9237" s="1" t="str">
        <f>"2019-11-20 20:35:37"</f>
        <v>2019-11-20 20:35:37</v>
      </c>
      <c r="M9237" s="1" t="s">
        <v>1</v>
      </c>
      <c r="N9237" s="1" t="s">
        <v>38</v>
      </c>
      <c r="O9237" s="1" t="s">
        <v>46</v>
      </c>
    </row>
    <row r="9238" spans="2:15" x14ac:dyDescent="0.3">
      <c r="B9238" s="1" t="s">
        <v>21</v>
      </c>
      <c r="C9238" s="1" t="str">
        <f>"4차"</f>
        <v>4차</v>
      </c>
      <c r="D9238" s="1" t="str">
        <f>"9629Z02244"</f>
        <v>9629Z02244</v>
      </c>
      <c r="E9238" s="1" t="s">
        <v>10</v>
      </c>
      <c r="F9238" s="1" t="str">
        <f>"10.10.73.242"</f>
        <v>10.10.73.242</v>
      </c>
      <c r="G9238" s="1" t="str">
        <f>"9629Z022"</f>
        <v>9629Z022</v>
      </c>
      <c r="H9238" s="1" t="str">
        <f>"청구지 19R7"</f>
        <v>청구지 19R7</v>
      </c>
      <c r="I9238" s="1" t="s">
        <v>8</v>
      </c>
      <c r="J9238" s="1" t="str">
        <f>"39/39"</f>
        <v>39/39</v>
      </c>
      <c r="K9238" s="1" t="str">
        <f t="shared" si="467"/>
        <v>2026-07-29 13:18:11</v>
      </c>
      <c r="L9238" s="1" t="str">
        <f>"2019-11-20 20:49:40"</f>
        <v>2019-11-20 20:49:40</v>
      </c>
      <c r="M9238" s="1" t="s">
        <v>1</v>
      </c>
      <c r="N9238" s="1" t="s">
        <v>38</v>
      </c>
      <c r="O9238" s="1" t="s">
        <v>46</v>
      </c>
    </row>
    <row r="9239" spans="2:15" x14ac:dyDescent="0.3">
      <c r="B9239" s="1" t="s">
        <v>21</v>
      </c>
      <c r="C9239" s="1" t="str">
        <f>"1차"</f>
        <v>1차</v>
      </c>
      <c r="D9239" s="1" t="str">
        <f>"9629Z03100"</f>
        <v>9629Z03100</v>
      </c>
      <c r="E9239" s="1" t="s">
        <v>10</v>
      </c>
      <c r="F9239" s="1" t="str">
        <f>"10.128.65.210"</f>
        <v>10.128.65.210</v>
      </c>
      <c r="G9239" s="1" t="str">
        <f>"9629Z031"</f>
        <v>9629Z031</v>
      </c>
      <c r="H9239" s="1" t="str">
        <f>"청구지 19R15L1"</f>
        <v>청구지 19R15L1</v>
      </c>
      <c r="I9239" s="1" t="s">
        <v>8</v>
      </c>
      <c r="J9239" s="1" t="str">
        <f>"99/99"</f>
        <v>99/99</v>
      </c>
      <c r="K9239" s="1" t="str">
        <f t="shared" si="467"/>
        <v>2026-07-29 13:18:11</v>
      </c>
      <c r="L9239" s="1" t="str">
        <f>"2015-03-24 10:56:19"</f>
        <v>2015-03-24 10:56:19</v>
      </c>
      <c r="M9239" s="1" t="s">
        <v>45</v>
      </c>
      <c r="N9239" s="1" t="s">
        <v>38</v>
      </c>
      <c r="O9239" s="1" t="s">
        <v>46</v>
      </c>
    </row>
    <row r="9240" spans="2:15" x14ac:dyDescent="0.3">
      <c r="B9240" s="1" t="s">
        <v>21</v>
      </c>
      <c r="C9240" s="1" t="str">
        <f>"4차"</f>
        <v>4차</v>
      </c>
      <c r="D9240" s="1" t="str">
        <f>"9629Z04244"</f>
        <v>9629Z04244</v>
      </c>
      <c r="E9240" s="1" t="s">
        <v>10</v>
      </c>
      <c r="F9240" s="1" t="str">
        <f>"10.10.73.122"</f>
        <v>10.10.73.122</v>
      </c>
      <c r="G9240" s="1" t="str">
        <f>"9629Z042"</f>
        <v>9629Z042</v>
      </c>
      <c r="H9240" s="1" t="str">
        <f>"청구지 19R14"</f>
        <v>청구지 19R14</v>
      </c>
      <c r="I9240" s="1" t="s">
        <v>8</v>
      </c>
      <c r="J9240" s="1" t="str">
        <f>"45/45"</f>
        <v>45/45</v>
      </c>
      <c r="K9240" s="1" t="str">
        <f t="shared" si="467"/>
        <v>2026-07-29 13:18:11</v>
      </c>
      <c r="L9240" s="1" t="str">
        <f>"2019-11-21 00:54:37"</f>
        <v>2019-11-21 00:54:37</v>
      </c>
      <c r="M9240" s="1" t="s">
        <v>1</v>
      </c>
      <c r="N9240" s="1" t="s">
        <v>38</v>
      </c>
      <c r="O9240" s="1" t="s">
        <v>46</v>
      </c>
    </row>
    <row r="9241" spans="2:15" x14ac:dyDescent="0.3">
      <c r="B9241" s="1" t="s">
        <v>21</v>
      </c>
      <c r="C9241" s="1" t="str">
        <f>"1차"</f>
        <v>1차</v>
      </c>
      <c r="D9241" s="1" t="str">
        <f>"9629Z06401"</f>
        <v>9629Z06401</v>
      </c>
      <c r="E9241" s="1" t="s">
        <v>10</v>
      </c>
      <c r="F9241" s="1" t="str">
        <f>"10.12.135.72"</f>
        <v>10.12.135.72</v>
      </c>
      <c r="G9241" s="1" t="str">
        <f>"9629Z064"</f>
        <v>9629Z064</v>
      </c>
      <c r="H9241" s="1" t="str">
        <f>"청구지 1R14"</f>
        <v>청구지 1R14</v>
      </c>
      <c r="I9241" s="1" t="s">
        <v>8</v>
      </c>
      <c r="J9241" s="1" t="str">
        <f>"39/57"</f>
        <v>39/57</v>
      </c>
      <c r="K9241" s="1" t="str">
        <f t="shared" si="467"/>
        <v>2026-07-29 13:18:11</v>
      </c>
      <c r="L9241" s="1" t="str">
        <f>"2017-10-10 14:43:49"</f>
        <v>2017-10-10 14:43:49</v>
      </c>
      <c r="M9241" s="1" t="s">
        <v>0</v>
      </c>
      <c r="N9241" s="1" t="s">
        <v>38</v>
      </c>
      <c r="O9241" s="1" t="s">
        <v>46</v>
      </c>
    </row>
    <row r="9242" spans="2:15" x14ac:dyDescent="0.3">
      <c r="B9242" s="1" t="s">
        <v>21</v>
      </c>
      <c r="C9242" s="1" t="str">
        <f>"4차"</f>
        <v>4차</v>
      </c>
      <c r="D9242" s="1" t="str">
        <f>"9629Z08139"</f>
        <v>9629Z08139</v>
      </c>
      <c r="E9242" s="1" t="s">
        <v>10</v>
      </c>
      <c r="F9242" s="1" t="str">
        <f>"10.14.5.59"</f>
        <v>10.14.5.59</v>
      </c>
      <c r="G9242" s="1" t="str">
        <f>"9629Z081"</f>
        <v>9629Z081</v>
      </c>
      <c r="H9242" s="1" t="str">
        <f>"청구지 1R5A5"</f>
        <v>청구지 1R5A5</v>
      </c>
      <c r="I9242" s="1" t="s">
        <v>8</v>
      </c>
      <c r="J9242" s="1" t="str">
        <f>"41/41"</f>
        <v>41/41</v>
      </c>
      <c r="K9242" s="1" t="str">
        <f>"2026-07-29 13:18:12"</f>
        <v>2026-07-29 13:18:12</v>
      </c>
      <c r="L9242" s="1" t="str">
        <f>"2018-04-26 09:05:26"</f>
        <v>2018-04-26 09:05:26</v>
      </c>
      <c r="M9242" s="1" t="s">
        <v>3</v>
      </c>
      <c r="N9242" s="1" t="s">
        <v>38</v>
      </c>
      <c r="O9242" s="1" t="s">
        <v>46</v>
      </c>
    </row>
    <row r="9243" spans="2:15" x14ac:dyDescent="0.3">
      <c r="B9243" s="1" t="s">
        <v>21</v>
      </c>
      <c r="C9243" s="1" t="str">
        <f>"4차"</f>
        <v>4차</v>
      </c>
      <c r="D9243" s="1" t="str">
        <f>"9629Z10144"</f>
        <v>9629Z10144</v>
      </c>
      <c r="E9243" s="1" t="s">
        <v>10</v>
      </c>
      <c r="F9243" s="1" t="str">
        <f>"10.10.73.178"</f>
        <v>10.10.73.178</v>
      </c>
      <c r="G9243" s="1" t="str">
        <f>"9629Z101"</f>
        <v>9629Z101</v>
      </c>
      <c r="H9243" s="1" t="str">
        <f>"청구지 19R3L1"</f>
        <v>청구지 19R3L1</v>
      </c>
      <c r="I9243" s="1" t="s">
        <v>8</v>
      </c>
      <c r="J9243" s="1" t="str">
        <f>"34/35"</f>
        <v>34/35</v>
      </c>
      <c r="K9243" s="1" t="str">
        <f t="shared" ref="K9243:K9253" si="468">"2026-07-29 13:18:11"</f>
        <v>2026-07-29 13:18:11</v>
      </c>
      <c r="L9243" s="1" t="str">
        <f>"2019-11-20 19:26:31"</f>
        <v>2019-11-20 19:26:31</v>
      </c>
      <c r="M9243" s="1" t="s">
        <v>1</v>
      </c>
      <c r="N9243" s="1" t="s">
        <v>38</v>
      </c>
      <c r="O9243" s="1" t="s">
        <v>46</v>
      </c>
    </row>
    <row r="9244" spans="2:15" x14ac:dyDescent="0.3">
      <c r="B9244" s="1" t="s">
        <v>21</v>
      </c>
      <c r="C9244" s="1" t="str">
        <f>"3차"</f>
        <v>3차</v>
      </c>
      <c r="D9244" s="1" t="str">
        <f>"9629Z11139"</f>
        <v>9629Z11139</v>
      </c>
      <c r="E9244" s="1" t="s">
        <v>10</v>
      </c>
      <c r="F9244" s="1" t="str">
        <f>"10.128.70.2"</f>
        <v>10.128.70.2</v>
      </c>
      <c r="G9244" s="1" t="str">
        <f>"9629Z111"</f>
        <v>9629Z111</v>
      </c>
      <c r="H9244" s="1" t="str">
        <f>"청구지 19R3"</f>
        <v>청구지 19R3</v>
      </c>
      <c r="I9244" s="1" t="s">
        <v>8</v>
      </c>
      <c r="J9244" s="1" t="str">
        <f>"26/26"</f>
        <v>26/26</v>
      </c>
      <c r="K9244" s="1" t="str">
        <f t="shared" si="468"/>
        <v>2026-07-29 13:18:11</v>
      </c>
      <c r="L9244" s="1" t="str">
        <f>"2018-04-24 14:16:43"</f>
        <v>2018-04-24 14:16:43</v>
      </c>
      <c r="M9244" s="1" t="s">
        <v>45</v>
      </c>
      <c r="N9244" s="1" t="s">
        <v>38</v>
      </c>
      <c r="O9244" s="1" t="s">
        <v>46</v>
      </c>
    </row>
    <row r="9245" spans="2:15" x14ac:dyDescent="0.3">
      <c r="B9245" s="1" t="s">
        <v>21</v>
      </c>
      <c r="C9245" s="1" t="str">
        <f>"4차"</f>
        <v>4차</v>
      </c>
      <c r="D9245" s="1" t="str">
        <f>"9629Z13144"</f>
        <v>9629Z13144</v>
      </c>
      <c r="E9245" s="1" t="s">
        <v>10</v>
      </c>
      <c r="F9245" s="1" t="str">
        <f>"10.10.73.250"</f>
        <v>10.10.73.250</v>
      </c>
      <c r="G9245" s="1" t="str">
        <f>"9629Z131"</f>
        <v>9629Z131</v>
      </c>
      <c r="H9245" s="1" t="str">
        <f>"청구지 19R8"</f>
        <v>청구지 19R8</v>
      </c>
      <c r="I9245" s="1" t="s">
        <v>8</v>
      </c>
      <c r="J9245" s="1" t="str">
        <f>"32/32"</f>
        <v>32/32</v>
      </c>
      <c r="K9245" s="1" t="str">
        <f t="shared" si="468"/>
        <v>2026-07-29 13:18:11</v>
      </c>
      <c r="L9245" s="1" t="str">
        <f>"2020-01-17 10:49:37"</f>
        <v>2020-01-17 10:49:37</v>
      </c>
      <c r="M9245" s="1" t="s">
        <v>1</v>
      </c>
      <c r="N9245" s="1" t="s">
        <v>38</v>
      </c>
      <c r="O9245" s="1" t="s">
        <v>46</v>
      </c>
    </row>
    <row r="9246" spans="2:15" x14ac:dyDescent="0.3">
      <c r="B9246" s="1" t="s">
        <v>21</v>
      </c>
      <c r="C9246" s="1" t="str">
        <f>"1차"</f>
        <v>1차</v>
      </c>
      <c r="D9246" s="1" t="str">
        <f>"9629Z15100"</f>
        <v>9629Z15100</v>
      </c>
      <c r="E9246" s="1" t="s">
        <v>10</v>
      </c>
      <c r="F9246" s="1" t="str">
        <f>"10.128.64.98"</f>
        <v>10.128.64.98</v>
      </c>
      <c r="G9246" s="1" t="str">
        <f>"9629Z151"</f>
        <v>9629Z151</v>
      </c>
      <c r="H9246" s="1" t="str">
        <f>"청구지 19R13"</f>
        <v>청구지 19R13</v>
      </c>
      <c r="I9246" s="1" t="s">
        <v>8</v>
      </c>
      <c r="J9246" s="1" t="str">
        <f>"83/83"</f>
        <v>83/83</v>
      </c>
      <c r="K9246" s="1" t="str">
        <f t="shared" si="468"/>
        <v>2026-07-29 13:18:11</v>
      </c>
      <c r="L9246" s="1" t="str">
        <f>"2014-12-20 12:41:11"</f>
        <v>2014-12-20 12:41:11</v>
      </c>
      <c r="M9246" s="1" t="s">
        <v>45</v>
      </c>
      <c r="N9246" s="1" t="s">
        <v>38</v>
      </c>
      <c r="O9246" s="1" t="s">
        <v>46</v>
      </c>
    </row>
    <row r="9247" spans="2:15" x14ac:dyDescent="0.3">
      <c r="B9247" s="1" t="s">
        <v>21</v>
      </c>
      <c r="C9247" s="1" t="str">
        <f>"1차"</f>
        <v>1차</v>
      </c>
      <c r="D9247" s="1" t="str">
        <f>"9629Z16102"</f>
        <v>9629Z16102</v>
      </c>
      <c r="E9247" s="1" t="s">
        <v>10</v>
      </c>
      <c r="F9247" s="1" t="str">
        <f>"10.128.78.10"</f>
        <v>10.128.78.10</v>
      </c>
      <c r="G9247" s="1" t="str">
        <f>"9629Z161"</f>
        <v>9629Z161</v>
      </c>
      <c r="H9247" s="1" t="str">
        <f>"청구지 19R13R2"</f>
        <v>청구지 19R13R2</v>
      </c>
      <c r="I9247" s="1" t="s">
        <v>8</v>
      </c>
      <c r="J9247" s="1" t="str">
        <f>"41/42"</f>
        <v>41/42</v>
      </c>
      <c r="K9247" s="1" t="str">
        <f t="shared" si="468"/>
        <v>2026-07-29 13:18:11</v>
      </c>
      <c r="L9247" s="1" t="str">
        <f>"2015-01-12 17:57:32"</f>
        <v>2015-01-12 17:57:32</v>
      </c>
      <c r="M9247" s="1" t="s">
        <v>45</v>
      </c>
      <c r="N9247" s="1" t="s">
        <v>38</v>
      </c>
      <c r="O9247" s="1" t="s">
        <v>46</v>
      </c>
    </row>
    <row r="9248" spans="2:15" x14ac:dyDescent="0.3">
      <c r="B9248" s="1" t="s">
        <v>21</v>
      </c>
      <c r="C9248" s="1" t="str">
        <f>"4차"</f>
        <v>4차</v>
      </c>
      <c r="D9248" s="1" t="str">
        <f>"9629Z17141"</f>
        <v>9629Z17141</v>
      </c>
      <c r="E9248" s="1" t="s">
        <v>10</v>
      </c>
      <c r="F9248" s="1" t="str">
        <f>"10.12.128.56"</f>
        <v>10.12.128.56</v>
      </c>
      <c r="G9248" s="1" t="str">
        <f>"9629Z171"</f>
        <v>9629Z171</v>
      </c>
      <c r="H9248" s="1" t="str">
        <f>"청구지 1R10"</f>
        <v>청구지 1R10</v>
      </c>
      <c r="I9248" s="1" t="s">
        <v>17</v>
      </c>
      <c r="J9248" s="1" t="str">
        <f>"15/15"</f>
        <v>15/15</v>
      </c>
      <c r="K9248" s="1" t="str">
        <f t="shared" si="468"/>
        <v>2026-07-29 13:18:11</v>
      </c>
      <c r="L9248" s="1" t="str">
        <f>"2021-08-09 10:18:15"</f>
        <v>2021-08-09 10:18:15</v>
      </c>
      <c r="M9248" s="1" t="s">
        <v>0</v>
      </c>
      <c r="N9248" s="1" t="s">
        <v>38</v>
      </c>
      <c r="O9248" s="1" t="s">
        <v>46</v>
      </c>
    </row>
    <row r="9249" spans="2:15" x14ac:dyDescent="0.3">
      <c r="B9249" s="1" t="s">
        <v>21</v>
      </c>
      <c r="C9249" s="1" t="str">
        <f>"4차"</f>
        <v>4차</v>
      </c>
      <c r="D9249" s="1" t="str">
        <f>"9629Z17244"</f>
        <v>9629Z17244</v>
      </c>
      <c r="E9249" s="1" t="s">
        <v>10</v>
      </c>
      <c r="F9249" s="1" t="str">
        <f>"10.12.131.186"</f>
        <v>10.12.131.186</v>
      </c>
      <c r="G9249" s="1" t="str">
        <f>"9629Z172"</f>
        <v>9629Z172</v>
      </c>
      <c r="H9249" s="1" t="str">
        <f>"청구지 1R11"</f>
        <v>청구지 1R11</v>
      </c>
      <c r="I9249" s="1" t="s">
        <v>8</v>
      </c>
      <c r="J9249" s="1" t="str">
        <f>"14/22"</f>
        <v>14/22</v>
      </c>
      <c r="K9249" s="1" t="str">
        <f t="shared" si="468"/>
        <v>2026-07-29 13:18:11</v>
      </c>
      <c r="L9249" s="1" t="str">
        <f>"2023-07-17 18:04:00"</f>
        <v>2023-07-17 18:04:00</v>
      </c>
      <c r="M9249" s="1" t="s">
        <v>0</v>
      </c>
      <c r="N9249" s="1" t="s">
        <v>38</v>
      </c>
      <c r="O9249" s="1" t="s">
        <v>46</v>
      </c>
    </row>
    <row r="9250" spans="2:15" x14ac:dyDescent="0.3">
      <c r="B9250" s="1" t="s">
        <v>21</v>
      </c>
      <c r="C9250" s="1" t="str">
        <f>"1차"</f>
        <v>1차</v>
      </c>
      <c r="D9250" s="1" t="str">
        <f>"9629Z22101"</f>
        <v>9629Z22101</v>
      </c>
      <c r="E9250" s="1" t="s">
        <v>10</v>
      </c>
      <c r="F9250" s="1" t="str">
        <f>"10.128.64.131"</f>
        <v>10.128.64.131</v>
      </c>
      <c r="G9250" s="1" t="str">
        <f>"9629Z221"</f>
        <v>9629Z221</v>
      </c>
      <c r="H9250" s="1" t="str">
        <f>"청구지 19R3R3"</f>
        <v>청구지 19R3R3</v>
      </c>
      <c r="I9250" s="1" t="s">
        <v>8</v>
      </c>
      <c r="J9250" s="1" t="str">
        <f>"50/50"</f>
        <v>50/50</v>
      </c>
      <c r="K9250" s="1" t="str">
        <f t="shared" si="468"/>
        <v>2026-07-29 13:18:11</v>
      </c>
      <c r="L9250" s="1" t="str">
        <f>"2015-02-10 12:39:43"</f>
        <v>2015-02-10 12:39:43</v>
      </c>
      <c r="M9250" s="1" t="s">
        <v>45</v>
      </c>
      <c r="N9250" s="1" t="s">
        <v>38</v>
      </c>
      <c r="O9250" s="1" t="s">
        <v>46</v>
      </c>
    </row>
    <row r="9251" spans="2:15" x14ac:dyDescent="0.3">
      <c r="B9251" s="1" t="s">
        <v>21</v>
      </c>
      <c r="C9251" s="1" t="str">
        <f>"1차"</f>
        <v>1차</v>
      </c>
      <c r="D9251" s="1" t="str">
        <f>"9629Z22200"</f>
        <v>9629Z22200</v>
      </c>
      <c r="E9251" s="1" t="s">
        <v>10</v>
      </c>
      <c r="F9251" s="1" t="str">
        <f>"10.128.64.130"</f>
        <v>10.128.64.130</v>
      </c>
      <c r="G9251" s="1" t="str">
        <f>"9629Z222"</f>
        <v>9629Z222</v>
      </c>
      <c r="H9251" s="1" t="str">
        <f>"청구지 19R3R2"</f>
        <v>청구지 19R3R2</v>
      </c>
      <c r="I9251" s="1" t="s">
        <v>8</v>
      </c>
      <c r="J9251" s="1" t="str">
        <f>"81/81"</f>
        <v>81/81</v>
      </c>
      <c r="K9251" s="1" t="str">
        <f t="shared" si="468"/>
        <v>2026-07-29 13:18:11</v>
      </c>
      <c r="L9251" s="1" t="str">
        <f>"2015-02-10 12:36:02"</f>
        <v>2015-02-10 12:36:02</v>
      </c>
      <c r="M9251" s="1" t="s">
        <v>45</v>
      </c>
      <c r="N9251" s="1" t="s">
        <v>38</v>
      </c>
      <c r="O9251" s="1" t="s">
        <v>46</v>
      </c>
    </row>
    <row r="9252" spans="2:15" x14ac:dyDescent="0.3">
      <c r="B9252" s="1" t="s">
        <v>21</v>
      </c>
      <c r="C9252" s="1" t="str">
        <f>"4차"</f>
        <v>4차</v>
      </c>
      <c r="D9252" s="1" t="str">
        <f>"9629Z23144"</f>
        <v>9629Z23144</v>
      </c>
      <c r="E9252" s="1" t="s">
        <v>10</v>
      </c>
      <c r="F9252" s="1" t="str">
        <f>"10.10.74.18"</f>
        <v>10.10.74.18</v>
      </c>
      <c r="G9252" s="1" t="str">
        <f>"9629Z231"</f>
        <v>9629Z231</v>
      </c>
      <c r="H9252" s="1" t="str">
        <f>"청구지 19R9R1"</f>
        <v>청구지 19R9R1</v>
      </c>
      <c r="I9252" s="1" t="s">
        <v>8</v>
      </c>
      <c r="J9252" s="1" t="str">
        <f>"82/85"</f>
        <v>82/85</v>
      </c>
      <c r="K9252" s="1" t="str">
        <f t="shared" si="468"/>
        <v>2026-07-29 13:18:11</v>
      </c>
      <c r="L9252" s="1" t="str">
        <f>"2019-11-20 15:32:20"</f>
        <v>2019-11-20 15:32:20</v>
      </c>
      <c r="M9252" s="1" t="s">
        <v>1</v>
      </c>
      <c r="N9252" s="1" t="s">
        <v>38</v>
      </c>
      <c r="O9252" s="1" t="s">
        <v>46</v>
      </c>
    </row>
    <row r="9253" spans="2:15" x14ac:dyDescent="0.3">
      <c r="B9253" s="1" t="s">
        <v>21</v>
      </c>
      <c r="C9253" s="1" t="str">
        <f>"1차"</f>
        <v>1차</v>
      </c>
      <c r="D9253" s="1" t="str">
        <f>"9629Z25101"</f>
        <v>9629Z25101</v>
      </c>
      <c r="E9253" s="1" t="s">
        <v>10</v>
      </c>
      <c r="F9253" s="1" t="str">
        <f>"10.128.64.102"</f>
        <v>10.128.64.102</v>
      </c>
      <c r="G9253" s="1" t="str">
        <f>"9629Z251"</f>
        <v>9629Z251</v>
      </c>
      <c r="H9253" s="1" t="str">
        <f>"청구지 19R10"</f>
        <v>청구지 19R10</v>
      </c>
      <c r="I9253" s="1" t="s">
        <v>8</v>
      </c>
      <c r="J9253" s="1" t="str">
        <f>"50/51"</f>
        <v>50/51</v>
      </c>
      <c r="K9253" s="1" t="str">
        <f t="shared" si="468"/>
        <v>2026-07-29 13:18:11</v>
      </c>
      <c r="L9253" s="1" t="str">
        <f>"2014-12-24 17:24:39"</f>
        <v>2014-12-24 17:24:39</v>
      </c>
      <c r="M9253" s="1" t="s">
        <v>45</v>
      </c>
      <c r="N9253" s="1" t="s">
        <v>38</v>
      </c>
      <c r="O9253" s="1" t="s">
        <v>46</v>
      </c>
    </row>
    <row r="9254" spans="2:15" x14ac:dyDescent="0.3">
      <c r="B9254" s="1" t="s">
        <v>21</v>
      </c>
      <c r="C9254" s="1" t="str">
        <f>"4차"</f>
        <v>4차</v>
      </c>
      <c r="D9254" s="1" t="str">
        <f>"9629Z28144"</f>
        <v>9629Z28144</v>
      </c>
      <c r="E9254" s="1" t="s">
        <v>10</v>
      </c>
      <c r="F9254" s="1" t="str">
        <f>"10.10.74.98"</f>
        <v>10.10.74.98</v>
      </c>
      <c r="G9254" s="1" t="str">
        <f>"9629Z281"</f>
        <v>9629Z281</v>
      </c>
      <c r="H9254" s="1" t="str">
        <f>"청구지 1R5A1L3"</f>
        <v>청구지 1R5A1L3</v>
      </c>
      <c r="I9254" s="1" t="s">
        <v>8</v>
      </c>
      <c r="J9254" s="1" t="str">
        <f>"37/37"</f>
        <v>37/37</v>
      </c>
      <c r="K9254" s="1" t="str">
        <f>"2026-07-29 13:18:00"</f>
        <v>2026-07-29 13:18:00</v>
      </c>
      <c r="L9254" s="1" t="str">
        <f>"2019-12-11 18:19:30"</f>
        <v>2019-12-11 18:19:30</v>
      </c>
      <c r="M9254" s="1" t="s">
        <v>1</v>
      </c>
      <c r="N9254" s="1" t="s">
        <v>38</v>
      </c>
      <c r="O9254" s="1" t="s">
        <v>46</v>
      </c>
    </row>
    <row r="9255" spans="2:15" x14ac:dyDescent="0.3">
      <c r="B9255" s="1" t="s">
        <v>21</v>
      </c>
      <c r="C9255" s="1" t="str">
        <f>"1차"</f>
        <v>1차</v>
      </c>
      <c r="D9255" s="1" t="str">
        <f>"9629Z30200"</f>
        <v>9629Z30200</v>
      </c>
      <c r="E9255" s="1" t="s">
        <v>10</v>
      </c>
      <c r="F9255" s="1" t="str">
        <f>"10.128.1.207"</f>
        <v>10.128.1.207</v>
      </c>
      <c r="G9255" s="1" t="str">
        <f>"9629Z302"</f>
        <v>9629Z302</v>
      </c>
      <c r="H9255" s="1" t="str">
        <f>"청구지 19R1"</f>
        <v>청구지 19R1</v>
      </c>
      <c r="I9255" s="1" t="s">
        <v>8</v>
      </c>
      <c r="J9255" s="1" t="str">
        <f>"36/36"</f>
        <v>36/36</v>
      </c>
      <c r="K9255" s="1" t="str">
        <f>"2026-07-29 13:18:11"</f>
        <v>2026-07-29 13:18:11</v>
      </c>
      <c r="L9255" s="1" t="str">
        <f>"2014-12-18 13:55:53"</f>
        <v>2014-12-18 13:55:53</v>
      </c>
      <c r="M9255" s="1" t="s">
        <v>45</v>
      </c>
      <c r="N9255" s="1" t="s">
        <v>38</v>
      </c>
      <c r="O9255" s="1" t="s">
        <v>46</v>
      </c>
    </row>
    <row r="9256" spans="2:15" x14ac:dyDescent="0.3">
      <c r="B9256" s="1" t="s">
        <v>21</v>
      </c>
      <c r="C9256" s="1" t="str">
        <f t="shared" ref="C9256:C9270" si="469">"4차"</f>
        <v>4차</v>
      </c>
      <c r="D9256" s="1" t="str">
        <f>"9629Z34344"</f>
        <v>9629Z34344</v>
      </c>
      <c r="E9256" s="1" t="s">
        <v>10</v>
      </c>
      <c r="F9256" s="1" t="str">
        <f>"10.128.94.69"</f>
        <v>10.128.94.69</v>
      </c>
      <c r="G9256" s="1" t="str">
        <f>"9629Z343"</f>
        <v>9629Z343</v>
      </c>
      <c r="H9256" s="1" t="str">
        <f>"청구지 1R9L3R1"</f>
        <v>청구지 1R9L3R1</v>
      </c>
      <c r="I9256" s="1" t="s">
        <v>8</v>
      </c>
      <c r="J9256" s="1" t="str">
        <f>"110/110"</f>
        <v>110/110</v>
      </c>
      <c r="K9256" s="1" t="str">
        <f>"2026-07-28 20:03:17"</f>
        <v>2026-07-28 20:03:17</v>
      </c>
      <c r="L9256" s="1" t="str">
        <f>"2020-02-10 18:46:44"</f>
        <v>2020-02-10 18:46:44</v>
      </c>
      <c r="M9256" s="1" t="s">
        <v>45</v>
      </c>
      <c r="N9256" s="1" t="s">
        <v>38</v>
      </c>
      <c r="O9256" s="1" t="s">
        <v>46</v>
      </c>
    </row>
    <row r="9257" spans="2:15" x14ac:dyDescent="0.3">
      <c r="B9257" s="1" t="s">
        <v>21</v>
      </c>
      <c r="C9257" s="1" t="str">
        <f t="shared" si="469"/>
        <v>4차</v>
      </c>
      <c r="D9257" s="1" t="str">
        <f>"9629Z37141"</f>
        <v>9629Z37141</v>
      </c>
      <c r="E9257" s="1" t="s">
        <v>10</v>
      </c>
      <c r="F9257" s="1" t="str">
        <f>"10.14.5.20"</f>
        <v>10.14.5.20</v>
      </c>
      <c r="G9257" s="1" t="str">
        <f>"9629Z371"</f>
        <v>9629Z371</v>
      </c>
      <c r="H9257" s="1" t="str">
        <f>"청구지 1R8"</f>
        <v>청구지 1R8</v>
      </c>
      <c r="I9257" s="1" t="s">
        <v>17</v>
      </c>
      <c r="J9257" s="1" t="str">
        <f>"33/37"</f>
        <v>33/37</v>
      </c>
      <c r="K9257" s="1" t="str">
        <f>"2026-07-29 13:18:12"</f>
        <v>2026-07-29 13:18:12</v>
      </c>
      <c r="L9257" s="1" t="str">
        <f>"2021-08-09 10:58:59"</f>
        <v>2021-08-09 10:58:59</v>
      </c>
      <c r="M9257" s="1" t="s">
        <v>3</v>
      </c>
      <c r="N9257" s="1" t="s">
        <v>38</v>
      </c>
      <c r="O9257" s="1" t="s">
        <v>46</v>
      </c>
    </row>
    <row r="9258" spans="2:15" x14ac:dyDescent="0.3">
      <c r="B9258" s="1" t="s">
        <v>21</v>
      </c>
      <c r="C9258" s="1" t="str">
        <f t="shared" si="469"/>
        <v>4차</v>
      </c>
      <c r="D9258" s="1" t="str">
        <f>"9629Z38144"</f>
        <v>9629Z38144</v>
      </c>
      <c r="E9258" s="1" t="s">
        <v>10</v>
      </c>
      <c r="F9258" s="1" t="str">
        <f>"10.12.131.89"</f>
        <v>10.12.131.89</v>
      </c>
      <c r="G9258" s="1" t="str">
        <f>"9629Z381"</f>
        <v>9629Z381</v>
      </c>
      <c r="H9258" s="1" t="str">
        <f>"청구지 1R6A1"</f>
        <v>청구지 1R6A1</v>
      </c>
      <c r="I9258" s="1" t="s">
        <v>8</v>
      </c>
      <c r="J9258" s="1" t="str">
        <f>"35/36"</f>
        <v>35/36</v>
      </c>
      <c r="K9258" s="1" t="str">
        <f>"2026-07-29 13:18:12"</f>
        <v>2026-07-29 13:18:12</v>
      </c>
      <c r="L9258" s="1" t="str">
        <f>"2020-02-10 18:35:05"</f>
        <v>2020-02-10 18:35:05</v>
      </c>
      <c r="M9258" s="1" t="s">
        <v>0</v>
      </c>
      <c r="N9258" s="1" t="s">
        <v>38</v>
      </c>
      <c r="O9258" s="1" t="s">
        <v>46</v>
      </c>
    </row>
    <row r="9259" spans="2:15" x14ac:dyDescent="0.3">
      <c r="B9259" s="1" t="s">
        <v>21</v>
      </c>
      <c r="C9259" s="1" t="str">
        <f t="shared" si="469"/>
        <v>4차</v>
      </c>
      <c r="D9259" s="1" t="str">
        <f>"9629Z40139"</f>
        <v>9629Z40139</v>
      </c>
      <c r="E9259" s="1" t="s">
        <v>10</v>
      </c>
      <c r="F9259" s="1" t="str">
        <f>"10.12.129.46"</f>
        <v>10.12.129.46</v>
      </c>
      <c r="G9259" s="1" t="str">
        <f>"9629Z401"</f>
        <v>9629Z401</v>
      </c>
      <c r="H9259" s="1" t="str">
        <f>"연신간 12"</f>
        <v>연신간 12</v>
      </c>
      <c r="I9259" s="1" t="s">
        <v>8</v>
      </c>
      <c r="J9259" s="1" t="str">
        <f>"33/33"</f>
        <v>33/33</v>
      </c>
      <c r="K9259" s="1" t="str">
        <f>"2026-07-29 13:18:12"</f>
        <v>2026-07-29 13:18:12</v>
      </c>
      <c r="L9259" s="1" t="str">
        <f>"2018-04-24 13:51:58"</f>
        <v>2018-04-24 13:51:58</v>
      </c>
      <c r="M9259" s="1" t="s">
        <v>0</v>
      </c>
      <c r="N9259" s="1" t="s">
        <v>38</v>
      </c>
      <c r="O9259" s="1" t="s">
        <v>46</v>
      </c>
    </row>
    <row r="9260" spans="2:15" x14ac:dyDescent="0.3">
      <c r="B9260" s="1" t="s">
        <v>21</v>
      </c>
      <c r="C9260" s="1" t="str">
        <f t="shared" si="469"/>
        <v>4차</v>
      </c>
      <c r="D9260" s="1" t="str">
        <f>"9629Z43144"</f>
        <v>9629Z43144</v>
      </c>
      <c r="E9260" s="1" t="s">
        <v>10</v>
      </c>
      <c r="F9260" s="1" t="str">
        <f>"10.10.73.50"</f>
        <v>10.10.73.50</v>
      </c>
      <c r="G9260" s="1" t="str">
        <f>"9629Z431"</f>
        <v>9629Z431</v>
      </c>
      <c r="H9260" s="1" t="str">
        <f>"청구지 15R3"</f>
        <v>청구지 15R3</v>
      </c>
      <c r="I9260" s="1" t="s">
        <v>8</v>
      </c>
      <c r="J9260" s="1" t="str">
        <f>"7/10"</f>
        <v>7/10</v>
      </c>
      <c r="K9260" s="1" t="str">
        <f>"2026-07-29 13:18:11"</f>
        <v>2026-07-29 13:18:11</v>
      </c>
      <c r="L9260" s="1" t="str">
        <f>"2019-11-21 00:49:50"</f>
        <v>2019-11-21 00:49:50</v>
      </c>
      <c r="M9260" s="1" t="s">
        <v>1</v>
      </c>
      <c r="N9260" s="1" t="s">
        <v>38</v>
      </c>
      <c r="O9260" s="1" t="s">
        <v>46</v>
      </c>
    </row>
    <row r="9261" spans="2:15" x14ac:dyDescent="0.3">
      <c r="B9261" s="1" t="s">
        <v>21</v>
      </c>
      <c r="C9261" s="1" t="str">
        <f t="shared" si="469"/>
        <v>4차</v>
      </c>
      <c r="D9261" s="1" t="str">
        <f>"9629Z45141"</f>
        <v>9629Z45141</v>
      </c>
      <c r="E9261" s="1" t="s">
        <v>10</v>
      </c>
      <c r="F9261" s="1" t="str">
        <f>"10.14.13.66"</f>
        <v>10.14.13.66</v>
      </c>
      <c r="G9261" s="1" t="str">
        <f>"9629Z451"</f>
        <v>9629Z451</v>
      </c>
      <c r="H9261" s="1" t="str">
        <f>"청구지 1R9L3"</f>
        <v>청구지 1R9L3</v>
      </c>
      <c r="I9261" s="1" t="s">
        <v>17</v>
      </c>
      <c r="J9261" s="1" t="str">
        <f>"31/31"</f>
        <v>31/31</v>
      </c>
      <c r="K9261" s="1" t="str">
        <f>"2026-07-29 13:18:12"</f>
        <v>2026-07-29 13:18:12</v>
      </c>
      <c r="L9261" s="1" t="str">
        <f>"2021-08-12 14:17:05"</f>
        <v>2021-08-12 14:17:05</v>
      </c>
      <c r="M9261" s="1" t="s">
        <v>3</v>
      </c>
      <c r="N9261" s="1" t="s">
        <v>38</v>
      </c>
      <c r="O9261" s="1" t="s">
        <v>46</v>
      </c>
    </row>
    <row r="9262" spans="2:15" x14ac:dyDescent="0.3">
      <c r="B9262" s="1" t="s">
        <v>21</v>
      </c>
      <c r="C9262" s="1" t="str">
        <f t="shared" si="469"/>
        <v>4차</v>
      </c>
      <c r="D9262" s="1" t="str">
        <f>"9629Z46144"</f>
        <v>9629Z46144</v>
      </c>
      <c r="E9262" s="1" t="s">
        <v>10</v>
      </c>
      <c r="F9262" s="1" t="str">
        <f>"10.10.96.82"</f>
        <v>10.10.96.82</v>
      </c>
      <c r="G9262" s="1" t="str">
        <f>"9629Z461"</f>
        <v>9629Z461</v>
      </c>
      <c r="H9262" s="1" t="str">
        <f>"청구지 1R9L3L1"</f>
        <v>청구지 1R9L3L1</v>
      </c>
      <c r="I9262" s="1" t="s">
        <v>8</v>
      </c>
      <c r="J9262" s="1" t="str">
        <f>"46/46"</f>
        <v>46/46</v>
      </c>
      <c r="K9262" s="1" t="str">
        <f>"2026-07-29 13:18:11"</f>
        <v>2026-07-29 13:18:11</v>
      </c>
      <c r="L9262" s="1" t="str">
        <f>"2019-12-11 18:26:38"</f>
        <v>2019-12-11 18:26:38</v>
      </c>
      <c r="M9262" s="1" t="s">
        <v>1</v>
      </c>
      <c r="N9262" s="1" t="s">
        <v>38</v>
      </c>
      <c r="O9262" s="1" t="s">
        <v>46</v>
      </c>
    </row>
    <row r="9263" spans="2:15" x14ac:dyDescent="0.3">
      <c r="B9263" s="1" t="s">
        <v>21</v>
      </c>
      <c r="C9263" s="1" t="str">
        <f t="shared" si="469"/>
        <v>4차</v>
      </c>
      <c r="D9263" s="1" t="str">
        <f>"9629Z49141"</f>
        <v>9629Z49141</v>
      </c>
      <c r="E9263" s="1" t="s">
        <v>10</v>
      </c>
      <c r="F9263" s="1" t="str">
        <f>"10.12.136.186"</f>
        <v>10.12.136.186</v>
      </c>
      <c r="G9263" s="1" t="str">
        <f>"9629Z491"</f>
        <v>9629Z491</v>
      </c>
      <c r="H9263" s="1" t="str">
        <f>"청구지 1R6L1"</f>
        <v>청구지 1R6L1</v>
      </c>
      <c r="I9263" s="1" t="s">
        <v>17</v>
      </c>
      <c r="J9263" s="1" t="str">
        <f>"7/7"</f>
        <v>7/7</v>
      </c>
      <c r="K9263" s="1" t="str">
        <f>"2026-07-29 13:18:12"</f>
        <v>2026-07-29 13:18:12</v>
      </c>
      <c r="L9263" s="1" t="str">
        <f>"2021-08-09 08:18:14"</f>
        <v>2021-08-09 08:18:14</v>
      </c>
      <c r="M9263" s="1" t="s">
        <v>0</v>
      </c>
      <c r="N9263" s="1" t="s">
        <v>38</v>
      </c>
      <c r="O9263" s="1" t="s">
        <v>46</v>
      </c>
    </row>
    <row r="9264" spans="2:15" x14ac:dyDescent="0.3">
      <c r="B9264" s="1" t="s">
        <v>21</v>
      </c>
      <c r="C9264" s="1" t="str">
        <f t="shared" si="469"/>
        <v>4차</v>
      </c>
      <c r="D9264" s="1" t="str">
        <f>"9629Z50444"</f>
        <v>9629Z50444</v>
      </c>
      <c r="E9264" s="1" t="s">
        <v>10</v>
      </c>
      <c r="F9264" s="1" t="str">
        <f>"10.10.86.42"</f>
        <v>10.10.86.42</v>
      </c>
      <c r="G9264" s="1" t="str">
        <f>"9629Z504"</f>
        <v>9629Z504</v>
      </c>
      <c r="H9264" s="1" t="str">
        <f>"연신간 13L3"</f>
        <v>연신간 13L3</v>
      </c>
      <c r="I9264" s="1" t="s">
        <v>8</v>
      </c>
      <c r="J9264" s="1" t="str">
        <f>"34/34"</f>
        <v>34/34</v>
      </c>
      <c r="K9264" s="1" t="str">
        <f>"2026-07-29 13:18:11"</f>
        <v>2026-07-29 13:18:11</v>
      </c>
      <c r="L9264" s="1" t="str">
        <f>"2020-02-01 10:59:36"</f>
        <v>2020-02-01 10:59:36</v>
      </c>
      <c r="M9264" s="1" t="s">
        <v>1</v>
      </c>
      <c r="N9264" s="1" t="s">
        <v>38</v>
      </c>
      <c r="O9264" s="1" t="s">
        <v>46</v>
      </c>
    </row>
    <row r="9265" spans="2:15" x14ac:dyDescent="0.3">
      <c r="B9265" s="1" t="s">
        <v>21</v>
      </c>
      <c r="C9265" s="1" t="str">
        <f t="shared" si="469"/>
        <v>4차</v>
      </c>
      <c r="D9265" s="1" t="str">
        <f>"9629Z55244"</f>
        <v>9629Z55244</v>
      </c>
      <c r="E9265" s="1" t="s">
        <v>10</v>
      </c>
      <c r="F9265" s="1" t="str">
        <f>"10.14.9.119"</f>
        <v>10.14.9.119</v>
      </c>
      <c r="G9265" s="1" t="str">
        <f>"9629Z552"</f>
        <v>9629Z552</v>
      </c>
      <c r="H9265" s="1" t="str">
        <f>"청구지 1R9L5"</f>
        <v>청구지 1R9L5</v>
      </c>
      <c r="I9265" s="1" t="s">
        <v>8</v>
      </c>
      <c r="J9265" s="1" t="str">
        <f>"8/8"</f>
        <v>8/8</v>
      </c>
      <c r="K9265" s="1" t="str">
        <f>"2026-07-29 13:18:12"</f>
        <v>2026-07-29 13:18:12</v>
      </c>
      <c r="L9265" s="1" t="str">
        <f>"2020-02-10 18:38:28"</f>
        <v>2020-02-10 18:38:28</v>
      </c>
      <c r="M9265" s="1" t="s">
        <v>3</v>
      </c>
      <c r="N9265" s="1" t="s">
        <v>38</v>
      </c>
      <c r="O9265" s="1" t="s">
        <v>46</v>
      </c>
    </row>
    <row r="9266" spans="2:15" x14ac:dyDescent="0.3">
      <c r="B9266" s="1" t="s">
        <v>21</v>
      </c>
      <c r="C9266" s="1" t="str">
        <f t="shared" si="469"/>
        <v>4차</v>
      </c>
      <c r="D9266" s="1" t="str">
        <f>"9629Z56144"</f>
        <v>9629Z56144</v>
      </c>
      <c r="E9266" s="1" t="s">
        <v>10</v>
      </c>
      <c r="F9266" s="1" t="str">
        <f>"10.10.94.74"</f>
        <v>10.10.94.74</v>
      </c>
      <c r="G9266" s="1" t="str">
        <f>"9629Z561"</f>
        <v>9629Z561</v>
      </c>
      <c r="H9266" s="1" t="str">
        <f>"청구지 1R2L3"</f>
        <v>청구지 1R2L3</v>
      </c>
      <c r="I9266" s="1" t="s">
        <v>8</v>
      </c>
      <c r="J9266" s="1" t="str">
        <f>"17/17"</f>
        <v>17/17</v>
      </c>
      <c r="K9266" s="1" t="str">
        <f>"2026-07-29 13:18:11"</f>
        <v>2026-07-29 13:18:11</v>
      </c>
      <c r="L9266" s="1" t="str">
        <f>"2020-01-17 11:37:41"</f>
        <v>2020-01-17 11:37:41</v>
      </c>
      <c r="M9266" s="1" t="s">
        <v>1</v>
      </c>
      <c r="N9266" s="1" t="s">
        <v>38</v>
      </c>
      <c r="O9266" s="1" t="s">
        <v>46</v>
      </c>
    </row>
    <row r="9267" spans="2:15" x14ac:dyDescent="0.3">
      <c r="B9267" s="1" t="s">
        <v>21</v>
      </c>
      <c r="C9267" s="1" t="str">
        <f t="shared" si="469"/>
        <v>4차</v>
      </c>
      <c r="D9267" s="1" t="str">
        <f>"9629Z56344"</f>
        <v>9629Z56344</v>
      </c>
      <c r="E9267" s="1" t="s">
        <v>10</v>
      </c>
      <c r="F9267" s="1" t="str">
        <f>"10.12.138.97"</f>
        <v>10.12.138.97</v>
      </c>
      <c r="G9267" s="1" t="str">
        <f>"9629Z563"</f>
        <v>9629Z563</v>
      </c>
      <c r="H9267" s="1" t="str">
        <f>"청구지 1R2L2L1"</f>
        <v>청구지 1R2L2L1</v>
      </c>
      <c r="I9267" s="1" t="s">
        <v>8</v>
      </c>
      <c r="J9267" s="1" t="str">
        <f>"110/115"</f>
        <v>110/115</v>
      </c>
      <c r="K9267" s="1" t="str">
        <f>"2026-07-29 13:18:10"</f>
        <v>2026-07-29 13:18:10</v>
      </c>
      <c r="L9267" s="1" t="str">
        <f>"2020-01-30 16:42:53"</f>
        <v>2020-01-30 16:42:53</v>
      </c>
      <c r="M9267" s="1" t="s">
        <v>0</v>
      </c>
      <c r="N9267" s="1" t="s">
        <v>38</v>
      </c>
      <c r="O9267" s="1" t="s">
        <v>46</v>
      </c>
    </row>
    <row r="9268" spans="2:15" x14ac:dyDescent="0.3">
      <c r="B9268" s="1" t="s">
        <v>21</v>
      </c>
      <c r="C9268" s="1" t="str">
        <f t="shared" si="469"/>
        <v>4차</v>
      </c>
      <c r="D9268" s="1" t="str">
        <f>"9629Z60239"</f>
        <v>9629Z60239</v>
      </c>
      <c r="E9268" s="1" t="s">
        <v>10</v>
      </c>
      <c r="F9268" s="1" t="str">
        <f>"10.128.81.2"</f>
        <v>10.128.81.2</v>
      </c>
      <c r="G9268" s="1" t="str">
        <f>"9629Z602"</f>
        <v>9629Z602</v>
      </c>
      <c r="H9268" s="1" t="str">
        <f>"연신간 13L2R1L2"</f>
        <v>연신간 13L2R1L2</v>
      </c>
      <c r="I9268" s="1" t="s">
        <v>8</v>
      </c>
      <c r="J9268" s="1" t="str">
        <f>"94/94"</f>
        <v>94/94</v>
      </c>
      <c r="K9268" s="1" t="str">
        <f>"2026-07-28 20:03:17"</f>
        <v>2026-07-28 20:03:17</v>
      </c>
      <c r="L9268" s="1" t="str">
        <f>"2018-10-01 14:21:27"</f>
        <v>2018-10-01 14:21:27</v>
      </c>
      <c r="M9268" s="1" t="s">
        <v>45</v>
      </c>
      <c r="N9268" s="1" t="s">
        <v>38</v>
      </c>
      <c r="O9268" s="1" t="s">
        <v>46</v>
      </c>
    </row>
    <row r="9269" spans="2:15" x14ac:dyDescent="0.3">
      <c r="B9269" s="1" t="s">
        <v>21</v>
      </c>
      <c r="C9269" s="1" t="str">
        <f t="shared" si="469"/>
        <v>4차</v>
      </c>
      <c r="D9269" s="1" t="str">
        <f>"9629Z61144"</f>
        <v>9629Z61144</v>
      </c>
      <c r="E9269" s="1" t="s">
        <v>10</v>
      </c>
      <c r="F9269" s="1" t="str">
        <f>"10.10.86.50"</f>
        <v>10.10.86.50</v>
      </c>
      <c r="G9269" s="1" t="str">
        <f>"9629Z611"</f>
        <v>9629Z611</v>
      </c>
      <c r="H9269" s="1" t="str">
        <f>"연신간 13L4"</f>
        <v>연신간 13L4</v>
      </c>
      <c r="I9269" s="1" t="s">
        <v>8</v>
      </c>
      <c r="J9269" s="1" t="str">
        <f>"23/23"</f>
        <v>23/23</v>
      </c>
      <c r="K9269" s="1" t="str">
        <f>"2026-07-29 13:18:11"</f>
        <v>2026-07-29 13:18:11</v>
      </c>
      <c r="L9269" s="1" t="str">
        <f>"2019-12-11 18:24:41"</f>
        <v>2019-12-11 18:24:41</v>
      </c>
      <c r="M9269" s="1" t="s">
        <v>1</v>
      </c>
      <c r="N9269" s="1" t="s">
        <v>38</v>
      </c>
      <c r="O9269" s="1" t="s">
        <v>46</v>
      </c>
    </row>
    <row r="9270" spans="2:15" x14ac:dyDescent="0.3">
      <c r="B9270" s="1" t="s">
        <v>21</v>
      </c>
      <c r="C9270" s="1" t="str">
        <f t="shared" si="469"/>
        <v>4차</v>
      </c>
      <c r="D9270" s="1" t="str">
        <f>"9629Z62144"</f>
        <v>9629Z62144</v>
      </c>
      <c r="E9270" s="1" t="s">
        <v>10</v>
      </c>
      <c r="F9270" s="1" t="str">
        <f>"10.128.64.50"</f>
        <v>10.128.64.50</v>
      </c>
      <c r="G9270" s="1" t="str">
        <f>"9629Z621"</f>
        <v>9629Z621</v>
      </c>
      <c r="H9270" s="1" t="str">
        <f>"연신간 13L6"</f>
        <v>연신간 13L6</v>
      </c>
      <c r="I9270" s="1" t="s">
        <v>8</v>
      </c>
      <c r="J9270" s="1" t="str">
        <f>"35/35"</f>
        <v>35/35</v>
      </c>
      <c r="K9270" s="1" t="str">
        <f>"2026-07-29 13:18:11"</f>
        <v>2026-07-29 13:18:11</v>
      </c>
      <c r="L9270" s="1" t="str">
        <f>"2023-09-11 11:43:10"</f>
        <v>2023-09-11 11:43:10</v>
      </c>
      <c r="M9270" s="1" t="s">
        <v>45</v>
      </c>
      <c r="N9270" s="1" t="s">
        <v>38</v>
      </c>
      <c r="O9270" s="1" t="s">
        <v>46</v>
      </c>
    </row>
    <row r="9271" spans="2:15" x14ac:dyDescent="0.3">
      <c r="B9271" s="1" t="s">
        <v>21</v>
      </c>
      <c r="C9271" s="1" t="str">
        <f>"1차"</f>
        <v>1차</v>
      </c>
      <c r="D9271" s="1" t="str">
        <f>"9629Z62201"</f>
        <v>9629Z62201</v>
      </c>
      <c r="E9271" s="1" t="s">
        <v>10</v>
      </c>
      <c r="F9271" s="1" t="str">
        <f>"10.12.131.171"</f>
        <v>10.12.131.171</v>
      </c>
      <c r="G9271" s="1" t="str">
        <f>"9629Z622"</f>
        <v>9629Z622</v>
      </c>
      <c r="H9271" s="1" t="str">
        <f>"연신간 13L5"</f>
        <v>연신간 13L5</v>
      </c>
      <c r="I9271" s="1" t="s">
        <v>8</v>
      </c>
      <c r="J9271" s="1" t="str">
        <f>"25/25"</f>
        <v>25/25</v>
      </c>
      <c r="K9271" s="1" t="str">
        <f>"2026-07-29 13:18:12"</f>
        <v>2026-07-29 13:18:12</v>
      </c>
      <c r="L9271" s="1" t="str">
        <f>"2015-02-05 17:06:56"</f>
        <v>2015-02-05 17:06:56</v>
      </c>
      <c r="M9271" s="1" t="s">
        <v>0</v>
      </c>
      <c r="N9271" s="1" t="s">
        <v>38</v>
      </c>
      <c r="O9271" s="1" t="s">
        <v>46</v>
      </c>
    </row>
    <row r="9272" spans="2:15" x14ac:dyDescent="0.3">
      <c r="B9272" s="1" t="s">
        <v>21</v>
      </c>
      <c r="C9272" s="1" t="str">
        <f>"1차"</f>
        <v>1차</v>
      </c>
      <c r="D9272" s="1" t="str">
        <f>"9629Z63100"</f>
        <v>9629Z63100</v>
      </c>
      <c r="E9272" s="1" t="s">
        <v>10</v>
      </c>
      <c r="F9272" s="1" t="str">
        <f>"10.128.64.34"</f>
        <v>10.128.64.34</v>
      </c>
      <c r="G9272" s="1" t="str">
        <f>"9629Z631"</f>
        <v>9629Z631</v>
      </c>
      <c r="H9272" s="1" t="str">
        <f>"연신간 8"</f>
        <v>연신간 8</v>
      </c>
      <c r="I9272" s="1" t="s">
        <v>8</v>
      </c>
      <c r="J9272" s="1" t="str">
        <f>"5/5"</f>
        <v>5/5</v>
      </c>
      <c r="K9272" s="1" t="str">
        <f>"2026-07-29 13:18:11"</f>
        <v>2026-07-29 13:18:11</v>
      </c>
      <c r="L9272" s="1" t="str">
        <f>"2015-02-05 14:07:14"</f>
        <v>2015-02-05 14:07:14</v>
      </c>
      <c r="M9272" s="1" t="s">
        <v>45</v>
      </c>
      <c r="N9272" s="1" t="s">
        <v>38</v>
      </c>
      <c r="O9272" s="1" t="s">
        <v>46</v>
      </c>
    </row>
    <row r="9273" spans="2:15" x14ac:dyDescent="0.3">
      <c r="B9273" s="1" t="s">
        <v>21</v>
      </c>
      <c r="C9273" s="1" t="str">
        <f>"4차"</f>
        <v>4차</v>
      </c>
      <c r="D9273" s="1" t="str">
        <f>"9629Z70344"</f>
        <v>9629Z70344</v>
      </c>
      <c r="E9273" s="1" t="s">
        <v>10</v>
      </c>
      <c r="F9273" s="1" t="str">
        <f>"10.10.101.138"</f>
        <v>10.10.101.138</v>
      </c>
      <c r="G9273" s="1" t="str">
        <f>"9629Z703"</f>
        <v>9629Z703</v>
      </c>
      <c r="H9273" s="1" t="str">
        <f>"동명간 32"</f>
        <v>동명간 32</v>
      </c>
      <c r="I9273" s="1" t="s">
        <v>8</v>
      </c>
      <c r="J9273" s="1" t="str">
        <f>"14/14"</f>
        <v>14/14</v>
      </c>
      <c r="K9273" s="1" t="str">
        <f>"2026-07-29 13:18:11"</f>
        <v>2026-07-29 13:18:11</v>
      </c>
      <c r="L9273" s="1" t="str">
        <f>"2020-02-10 18:26:39"</f>
        <v>2020-02-10 18:26:39</v>
      </c>
      <c r="M9273" s="1" t="s">
        <v>1</v>
      </c>
      <c r="N9273" s="1" t="s">
        <v>38</v>
      </c>
      <c r="O9273" s="1" t="s">
        <v>46</v>
      </c>
    </row>
    <row r="9274" spans="2:15" x14ac:dyDescent="0.3">
      <c r="B9274" s="1" t="s">
        <v>21</v>
      </c>
      <c r="C9274" s="1" t="str">
        <f>"1차"</f>
        <v>1차</v>
      </c>
      <c r="D9274" s="1" t="str">
        <f>"9629Z72201"</f>
        <v>9629Z72201</v>
      </c>
      <c r="E9274" s="1" t="s">
        <v>14</v>
      </c>
      <c r="F9274" s="1" t="str">
        <f>"10.14.12.10"</f>
        <v>10.14.12.10</v>
      </c>
      <c r="G9274" s="1" t="str">
        <f>"9629Z722"</f>
        <v>9629Z722</v>
      </c>
      <c r="H9274" s="1" t="str">
        <f>"연신간 13L5R2H1"</f>
        <v>연신간 13L5R2H1</v>
      </c>
      <c r="I9274" s="1" t="s">
        <v>8</v>
      </c>
      <c r="J9274" s="1" t="str">
        <f>"0/0"</f>
        <v>0/0</v>
      </c>
      <c r="K9274" s="1" t="str">
        <f>"2024-06-02 03:20:11"</f>
        <v>2024-06-02 03:20:11</v>
      </c>
      <c r="L9274" s="1" t="str">
        <f>"2015-03-10 11:49:50"</f>
        <v>2015-03-10 11:49:50</v>
      </c>
      <c r="M9274" s="1" t="s">
        <v>3</v>
      </c>
      <c r="N9274" s="1" t="s">
        <v>39</v>
      </c>
      <c r="O9274" s="1" t="s">
        <v>46</v>
      </c>
    </row>
    <row r="9275" spans="2:15" x14ac:dyDescent="0.3">
      <c r="B9275" s="1" t="s">
        <v>21</v>
      </c>
      <c r="C9275" s="1" t="str">
        <f>"1차"</f>
        <v>1차</v>
      </c>
      <c r="D9275" s="1" t="str">
        <f>"9629Z73102"</f>
        <v>9629Z73102</v>
      </c>
      <c r="E9275" s="1" t="s">
        <v>10</v>
      </c>
      <c r="F9275" s="1" t="str">
        <f>"10.128.95.134"</f>
        <v>10.128.95.134</v>
      </c>
      <c r="G9275" s="1" t="str">
        <f>"9629Z731"</f>
        <v>9629Z731</v>
      </c>
      <c r="H9275" s="1" t="str">
        <f>"연신간 13L7"</f>
        <v>연신간 13L7</v>
      </c>
      <c r="I9275" s="1" t="s">
        <v>8</v>
      </c>
      <c r="J9275" s="1" t="str">
        <f>"33/33"</f>
        <v>33/33</v>
      </c>
      <c r="K9275" s="1" t="str">
        <f t="shared" ref="K9275:K9281" si="470">"2026-07-29 13:18:11"</f>
        <v>2026-07-29 13:18:11</v>
      </c>
      <c r="L9275" s="1" t="str">
        <f>"2015-02-04 14:39:34"</f>
        <v>2015-02-04 14:39:34</v>
      </c>
      <c r="M9275" s="1" t="s">
        <v>45</v>
      </c>
      <c r="N9275" s="1" t="s">
        <v>38</v>
      </c>
      <c r="O9275" s="1" t="s">
        <v>46</v>
      </c>
    </row>
    <row r="9276" spans="2:15" x14ac:dyDescent="0.3">
      <c r="B9276" s="1" t="s">
        <v>21</v>
      </c>
      <c r="C9276" s="1" t="str">
        <f>"4차"</f>
        <v>4차</v>
      </c>
      <c r="D9276" s="1" t="str">
        <f>"9629Z73244"</f>
        <v>9629Z73244</v>
      </c>
      <c r="E9276" s="1" t="s">
        <v>10</v>
      </c>
      <c r="F9276" s="1" t="str">
        <f>"10.10.112.2"</f>
        <v>10.10.112.2</v>
      </c>
      <c r="G9276" s="1" t="str">
        <f>"9629Z732"</f>
        <v>9629Z732</v>
      </c>
      <c r="H9276" s="1" t="str">
        <f>"연신간 13L5R3H1"</f>
        <v>연신간 13L5R3H1</v>
      </c>
      <c r="I9276" s="1" t="s">
        <v>8</v>
      </c>
      <c r="J9276" s="1" t="str">
        <f>"26/26"</f>
        <v>26/26</v>
      </c>
      <c r="K9276" s="1" t="str">
        <f t="shared" si="470"/>
        <v>2026-07-29 13:18:11</v>
      </c>
      <c r="L9276" s="1" t="str">
        <f>"2019-12-17 16:09:15"</f>
        <v>2019-12-17 16:09:15</v>
      </c>
      <c r="M9276" s="1" t="s">
        <v>1</v>
      </c>
      <c r="N9276" s="1" t="s">
        <v>38</v>
      </c>
      <c r="O9276" s="1" t="s">
        <v>46</v>
      </c>
    </row>
    <row r="9277" spans="2:15" x14ac:dyDescent="0.3">
      <c r="B9277" s="1" t="s">
        <v>21</v>
      </c>
      <c r="C9277" s="1" t="str">
        <f>"4차"</f>
        <v>4차</v>
      </c>
      <c r="D9277" s="1" t="str">
        <f>"9629Z74144"</f>
        <v>9629Z74144</v>
      </c>
      <c r="E9277" s="1" t="s">
        <v>10</v>
      </c>
      <c r="F9277" s="1" t="str">
        <f>"10.10.68.26"</f>
        <v>10.10.68.26</v>
      </c>
      <c r="G9277" s="1" t="str">
        <f>"9629Z741"</f>
        <v>9629Z741</v>
      </c>
      <c r="H9277" s="1" t="str">
        <f>"연신간 13L8"</f>
        <v>연신간 13L8</v>
      </c>
      <c r="I9277" s="1" t="s">
        <v>8</v>
      </c>
      <c r="J9277" s="1" t="str">
        <f>"15/16"</f>
        <v>15/16</v>
      </c>
      <c r="K9277" s="1" t="str">
        <f t="shared" si="470"/>
        <v>2026-07-29 13:18:11</v>
      </c>
      <c r="L9277" s="1" t="str">
        <f>"2019-12-11 18:24:52"</f>
        <v>2019-12-11 18:24:52</v>
      </c>
      <c r="M9277" s="1" t="s">
        <v>1</v>
      </c>
      <c r="N9277" s="1" t="s">
        <v>38</v>
      </c>
      <c r="O9277" s="1" t="s">
        <v>46</v>
      </c>
    </row>
    <row r="9278" spans="2:15" x14ac:dyDescent="0.3">
      <c r="B9278" s="1" t="s">
        <v>21</v>
      </c>
      <c r="C9278" s="1" t="str">
        <f>"4차"</f>
        <v>4차</v>
      </c>
      <c r="D9278" s="1" t="str">
        <f>"9629Z81144"</f>
        <v>9629Z81144</v>
      </c>
      <c r="E9278" s="1" t="s">
        <v>10</v>
      </c>
      <c r="F9278" s="1" t="str">
        <f>"10.10.79.170"</f>
        <v>10.10.79.170</v>
      </c>
      <c r="G9278" s="1" t="str">
        <f>"9629Z811"</f>
        <v>9629Z811</v>
      </c>
      <c r="H9278" s="1" t="str">
        <f>"동명간 34"</f>
        <v>동명간 34</v>
      </c>
      <c r="I9278" s="1" t="s">
        <v>8</v>
      </c>
      <c r="J9278" s="1" t="str">
        <f>"126/126"</f>
        <v>126/126</v>
      </c>
      <c r="K9278" s="1" t="str">
        <f t="shared" si="470"/>
        <v>2026-07-29 13:18:11</v>
      </c>
      <c r="L9278" s="1" t="str">
        <f>"2019-12-17 16:11:38"</f>
        <v>2019-12-17 16:11:38</v>
      </c>
      <c r="M9278" s="1" t="s">
        <v>1</v>
      </c>
      <c r="N9278" s="1" t="s">
        <v>38</v>
      </c>
      <c r="O9278" s="1" t="s">
        <v>46</v>
      </c>
    </row>
    <row r="9279" spans="2:15" x14ac:dyDescent="0.3">
      <c r="B9279" s="1" t="s">
        <v>21</v>
      </c>
      <c r="C9279" s="1" t="str">
        <f>"4차"</f>
        <v>4차</v>
      </c>
      <c r="D9279" s="1" t="str">
        <f>"9629Z83144"</f>
        <v>9629Z83144</v>
      </c>
      <c r="E9279" s="1" t="s">
        <v>10</v>
      </c>
      <c r="F9279" s="1" t="str">
        <f>"10.10.79.226"</f>
        <v>10.10.79.226</v>
      </c>
      <c r="G9279" s="1" t="str">
        <f>"9629Z831"</f>
        <v>9629Z831</v>
      </c>
      <c r="H9279" s="1" t="str">
        <f>"동명간 36L2"</f>
        <v>동명간 36L2</v>
      </c>
      <c r="I9279" s="1" t="s">
        <v>8</v>
      </c>
      <c r="J9279" s="1" t="str">
        <f>"50/50"</f>
        <v>50/50</v>
      </c>
      <c r="K9279" s="1" t="str">
        <f t="shared" si="470"/>
        <v>2026-07-29 13:18:11</v>
      </c>
      <c r="L9279" s="1" t="str">
        <f>"2019-10-23 16:16:35"</f>
        <v>2019-10-23 16:16:35</v>
      </c>
      <c r="M9279" s="1" t="s">
        <v>1</v>
      </c>
      <c r="N9279" s="1" t="s">
        <v>38</v>
      </c>
      <c r="O9279" s="1" t="s">
        <v>46</v>
      </c>
    </row>
    <row r="9280" spans="2:15" x14ac:dyDescent="0.3">
      <c r="B9280" s="1" t="s">
        <v>21</v>
      </c>
      <c r="C9280" s="1" t="str">
        <f>"4차"</f>
        <v>4차</v>
      </c>
      <c r="D9280" s="1" t="str">
        <f>"9629Z84444"</f>
        <v>9629Z84444</v>
      </c>
      <c r="E9280" s="1" t="s">
        <v>10</v>
      </c>
      <c r="F9280" s="1" t="str">
        <f>"10.10.80.66"</f>
        <v>10.10.80.66</v>
      </c>
      <c r="G9280" s="1" t="str">
        <f>"9629Z844"</f>
        <v>9629Z844</v>
      </c>
      <c r="H9280" s="1" t="str">
        <f>"동명간 43L2"</f>
        <v>동명간 43L2</v>
      </c>
      <c r="I9280" s="1" t="s">
        <v>8</v>
      </c>
      <c r="J9280" s="1" t="str">
        <f>"16/18"</f>
        <v>16/18</v>
      </c>
      <c r="K9280" s="1" t="str">
        <f t="shared" si="470"/>
        <v>2026-07-29 13:18:11</v>
      </c>
      <c r="L9280" s="1" t="str">
        <f>"2019-10-23 16:18:22"</f>
        <v>2019-10-23 16:18:22</v>
      </c>
      <c r="M9280" s="1" t="s">
        <v>1</v>
      </c>
      <c r="N9280" s="1" t="s">
        <v>38</v>
      </c>
      <c r="O9280" s="1" t="s">
        <v>46</v>
      </c>
    </row>
    <row r="9281" spans="2:15" x14ac:dyDescent="0.3">
      <c r="B9281" s="1" t="s">
        <v>21</v>
      </c>
      <c r="C9281" s="1" t="str">
        <f>"1차"</f>
        <v>1차</v>
      </c>
      <c r="D9281" s="1" t="str">
        <f>"9629Z85200"</f>
        <v>9629Z85200</v>
      </c>
      <c r="E9281" s="1" t="s">
        <v>10</v>
      </c>
      <c r="F9281" s="1" t="str">
        <f>"10.128.64.42"</f>
        <v>10.128.64.42</v>
      </c>
      <c r="G9281" s="1" t="str">
        <f>"9629Z852"</f>
        <v>9629Z852</v>
      </c>
      <c r="H9281" s="1" t="str">
        <f>"연신간 13L9"</f>
        <v>연신간 13L9</v>
      </c>
      <c r="I9281" s="1" t="s">
        <v>8</v>
      </c>
      <c r="J9281" s="1" t="str">
        <f>"111/111"</f>
        <v>111/111</v>
      </c>
      <c r="K9281" s="1" t="str">
        <f t="shared" si="470"/>
        <v>2026-07-29 13:18:11</v>
      </c>
      <c r="L9281" s="1" t="str">
        <f>"2015-02-04 14:24:42"</f>
        <v>2015-02-04 14:24:42</v>
      </c>
      <c r="M9281" s="1" t="s">
        <v>45</v>
      </c>
      <c r="N9281" s="1" t="s">
        <v>38</v>
      </c>
      <c r="O9281" s="1" t="s">
        <v>46</v>
      </c>
    </row>
    <row r="9282" spans="2:15" x14ac:dyDescent="0.3">
      <c r="B9282" s="1" t="s">
        <v>21</v>
      </c>
      <c r="C9282" s="1" t="str">
        <f t="shared" ref="C9282:C9304" si="471">"4차"</f>
        <v>4차</v>
      </c>
      <c r="D9282" s="1" t="str">
        <f>"9629Z87441"</f>
        <v>9629Z87441</v>
      </c>
      <c r="E9282" s="1" t="s">
        <v>10</v>
      </c>
      <c r="F9282" s="1" t="str">
        <f>"10.14.4.180"</f>
        <v>10.14.4.180</v>
      </c>
      <c r="G9282" s="1" t="str">
        <f>"9629Z874"</f>
        <v>9629Z874</v>
      </c>
      <c r="H9282" s="1" t="str">
        <f>"연신간 1HR2"</f>
        <v>연신간 1HR2</v>
      </c>
      <c r="I9282" s="1" t="s">
        <v>17</v>
      </c>
      <c r="J9282" s="1" t="str">
        <f>"17/17"</f>
        <v>17/17</v>
      </c>
      <c r="K9282" s="1" t="str">
        <f>"2026-07-29 13:18:12"</f>
        <v>2026-07-29 13:18:12</v>
      </c>
      <c r="L9282" s="1" t="str">
        <f>"2021-08-09 12:08:28"</f>
        <v>2021-08-09 12:08:28</v>
      </c>
      <c r="M9282" s="1" t="s">
        <v>3</v>
      </c>
      <c r="N9282" s="1" t="s">
        <v>38</v>
      </c>
      <c r="O9282" s="1" t="s">
        <v>46</v>
      </c>
    </row>
    <row r="9283" spans="2:15" x14ac:dyDescent="0.3">
      <c r="B9283" s="1" t="s">
        <v>21</v>
      </c>
      <c r="C9283" s="1" t="str">
        <f t="shared" si="471"/>
        <v>4차</v>
      </c>
      <c r="D9283" s="1" t="str">
        <f>"9629Z90144"</f>
        <v>9629Z90144</v>
      </c>
      <c r="E9283" s="1" t="s">
        <v>10</v>
      </c>
      <c r="F9283" s="1" t="str">
        <f>"10.10.80.10"</f>
        <v>10.10.80.10</v>
      </c>
      <c r="G9283" s="1" t="str">
        <f>"9629Z901"</f>
        <v>9629Z901</v>
      </c>
      <c r="H9283" s="1" t="str">
        <f>"동명간 36R1R1"</f>
        <v>동명간 36R1R1</v>
      </c>
      <c r="I9283" s="1" t="s">
        <v>8</v>
      </c>
      <c r="J9283" s="1" t="str">
        <f>"74/74"</f>
        <v>74/74</v>
      </c>
      <c r="K9283" s="1" t="str">
        <f>"2026-07-29 13:18:11"</f>
        <v>2026-07-29 13:18:11</v>
      </c>
      <c r="L9283" s="1" t="str">
        <f>"2019-10-23 16:13:05"</f>
        <v>2019-10-23 16:13:05</v>
      </c>
      <c r="M9283" s="1" t="s">
        <v>1</v>
      </c>
      <c r="N9283" s="1" t="s">
        <v>38</v>
      </c>
      <c r="O9283" s="1" t="s">
        <v>46</v>
      </c>
    </row>
    <row r="9284" spans="2:15" x14ac:dyDescent="0.3">
      <c r="B9284" s="1" t="s">
        <v>21</v>
      </c>
      <c r="C9284" s="1" t="str">
        <f t="shared" si="471"/>
        <v>4차</v>
      </c>
      <c r="D9284" s="1" t="str">
        <f>"9629Z91144"</f>
        <v>9629Z91144</v>
      </c>
      <c r="E9284" s="1" t="s">
        <v>10</v>
      </c>
      <c r="F9284" s="1" t="str">
        <f>"10.10.79.186"</f>
        <v>10.10.79.186</v>
      </c>
      <c r="G9284" s="1" t="str">
        <f>"9629Z911"</f>
        <v>9629Z911</v>
      </c>
      <c r="H9284" s="1" t="str">
        <f>"동명간 36"</f>
        <v>동명간 36</v>
      </c>
      <c r="I9284" s="1" t="s">
        <v>8</v>
      </c>
      <c r="J9284" s="1" t="str">
        <f>"41/41"</f>
        <v>41/41</v>
      </c>
      <c r="K9284" s="1" t="str">
        <f>"2026-07-29 13:18:11"</f>
        <v>2026-07-29 13:18:11</v>
      </c>
      <c r="L9284" s="1" t="str">
        <f>"2019-10-23 16:11:17"</f>
        <v>2019-10-23 16:11:17</v>
      </c>
      <c r="M9284" s="1" t="s">
        <v>1</v>
      </c>
      <c r="N9284" s="1" t="s">
        <v>38</v>
      </c>
      <c r="O9284" s="1" t="s">
        <v>46</v>
      </c>
    </row>
    <row r="9285" spans="2:15" x14ac:dyDescent="0.3">
      <c r="B9285" s="1" t="s">
        <v>21</v>
      </c>
      <c r="C9285" s="1" t="str">
        <f t="shared" si="471"/>
        <v>4차</v>
      </c>
      <c r="D9285" s="1" t="str">
        <f>"9629Z91244"</f>
        <v>9629Z91244</v>
      </c>
      <c r="E9285" s="1" t="s">
        <v>10</v>
      </c>
      <c r="F9285" s="1" t="str">
        <f>"10.10.111.130"</f>
        <v>10.10.111.130</v>
      </c>
      <c r="G9285" s="1" t="str">
        <f>"9629Z912"</f>
        <v>9629Z912</v>
      </c>
      <c r="H9285" s="1" t="str">
        <f>"동명간 35"</f>
        <v>동명간 35</v>
      </c>
      <c r="I9285" s="1" t="s">
        <v>8</v>
      </c>
      <c r="J9285" s="1" t="str">
        <f>"20/20"</f>
        <v>20/20</v>
      </c>
      <c r="K9285" s="1" t="str">
        <f>"2026-07-29 13:18:11"</f>
        <v>2026-07-29 13:18:11</v>
      </c>
      <c r="L9285" s="1" t="str">
        <f>"2019-10-23 16:23:05"</f>
        <v>2019-10-23 16:23:05</v>
      </c>
      <c r="M9285" s="1" t="s">
        <v>1</v>
      </c>
      <c r="N9285" s="1" t="s">
        <v>38</v>
      </c>
      <c r="O9285" s="1" t="s">
        <v>46</v>
      </c>
    </row>
    <row r="9286" spans="2:15" x14ac:dyDescent="0.3">
      <c r="B9286" s="1" t="s">
        <v>21</v>
      </c>
      <c r="C9286" s="1" t="str">
        <f t="shared" si="471"/>
        <v>4차</v>
      </c>
      <c r="D9286" s="1" t="str">
        <f>"9629Z92144"</f>
        <v>9629Z92144</v>
      </c>
      <c r="E9286" s="1" t="s">
        <v>10</v>
      </c>
      <c r="F9286" s="1" t="str">
        <f>"10.10.79.194"</f>
        <v>10.10.79.194</v>
      </c>
      <c r="G9286" s="1" t="str">
        <f>"9629Z921"</f>
        <v>9629Z921</v>
      </c>
      <c r="H9286" s="1" t="str">
        <f>"동명간 36L1"</f>
        <v>동명간 36L1</v>
      </c>
      <c r="I9286" s="1" t="s">
        <v>8</v>
      </c>
      <c r="J9286" s="1" t="str">
        <f>"51/61"</f>
        <v>51/61</v>
      </c>
      <c r="K9286" s="1" t="str">
        <f>"2026-07-29 13:18:11"</f>
        <v>2026-07-29 13:18:11</v>
      </c>
      <c r="L9286" s="1" t="str">
        <f>"2019-12-17 16:07:32"</f>
        <v>2019-12-17 16:07:32</v>
      </c>
      <c r="M9286" s="1" t="s">
        <v>1</v>
      </c>
      <c r="N9286" s="1" t="s">
        <v>38</v>
      </c>
      <c r="O9286" s="1" t="s">
        <v>46</v>
      </c>
    </row>
    <row r="9287" spans="2:15" x14ac:dyDescent="0.3">
      <c r="B9287" s="1" t="s">
        <v>21</v>
      </c>
      <c r="C9287" s="1" t="str">
        <f t="shared" si="471"/>
        <v>4차</v>
      </c>
      <c r="D9287" s="1" t="str">
        <f>"9629Z93144"</f>
        <v>9629Z93144</v>
      </c>
      <c r="E9287" s="1" t="s">
        <v>10</v>
      </c>
      <c r="F9287" s="1" t="str">
        <f>"10.10.79.202"</f>
        <v>10.10.79.202</v>
      </c>
      <c r="G9287" s="1" t="str">
        <f>"9629Z931"</f>
        <v>9629Z931</v>
      </c>
      <c r="H9287" s="1" t="str">
        <f>"동명간 36L1R1"</f>
        <v>동명간 36L1R1</v>
      </c>
      <c r="I9287" s="1" t="s">
        <v>8</v>
      </c>
      <c r="J9287" s="1" t="str">
        <f>"78/78"</f>
        <v>78/78</v>
      </c>
      <c r="K9287" s="1" t="str">
        <f>"2026-07-29 13:18:11"</f>
        <v>2026-07-29 13:18:11</v>
      </c>
      <c r="L9287" s="1" t="str">
        <f>"2019-10-23 16:10:04"</f>
        <v>2019-10-23 16:10:04</v>
      </c>
      <c r="M9287" s="1" t="s">
        <v>1</v>
      </c>
      <c r="N9287" s="1" t="s">
        <v>38</v>
      </c>
      <c r="O9287" s="1" t="s">
        <v>46</v>
      </c>
    </row>
    <row r="9288" spans="2:15" x14ac:dyDescent="0.3">
      <c r="B9288" s="1" t="s">
        <v>21</v>
      </c>
      <c r="C9288" s="1" t="str">
        <f t="shared" si="471"/>
        <v>4차</v>
      </c>
      <c r="D9288" s="1" t="str">
        <f>"9630B70339"</f>
        <v>9630B70339</v>
      </c>
      <c r="E9288" s="1" t="s">
        <v>14</v>
      </c>
      <c r="F9288" s="1" t="str">
        <f>"10.12.135.128"</f>
        <v>10.12.135.128</v>
      </c>
      <c r="G9288" s="1" t="str">
        <f>"9630B703"</f>
        <v>9630B703</v>
      </c>
      <c r="H9288" s="1" t="str">
        <f>"삼지구 113"</f>
        <v>삼지구 113</v>
      </c>
      <c r="I9288" s="1" t="s">
        <v>17</v>
      </c>
      <c r="J9288" s="1" t="str">
        <f t="shared" ref="J9288:J9293" si="472">"0/0"</f>
        <v>0/0</v>
      </c>
      <c r="K9288" s="1" t="str">
        <f>"2024-01-22 20:03:47"</f>
        <v>2024-01-22 20:03:47</v>
      </c>
      <c r="L9288" s="1" t="str">
        <f>"2018-05-23 15:37:14"</f>
        <v>2018-05-23 15:37:14</v>
      </c>
      <c r="M9288" s="1" t="s">
        <v>0</v>
      </c>
      <c r="N9288" s="1" t="s">
        <v>39</v>
      </c>
      <c r="O9288" s="1" t="s">
        <v>46</v>
      </c>
    </row>
    <row r="9289" spans="2:15" x14ac:dyDescent="0.3">
      <c r="B9289" s="1" t="s">
        <v>21</v>
      </c>
      <c r="C9289" s="1" t="str">
        <f t="shared" si="471"/>
        <v>4차</v>
      </c>
      <c r="D9289" s="1" t="str">
        <f>"9630H24439"</f>
        <v>9630H24439</v>
      </c>
      <c r="E9289" s="1" t="s">
        <v>14</v>
      </c>
      <c r="F9289" s="1" t="str">
        <f>"10.12.135.133"</f>
        <v>10.12.135.133</v>
      </c>
      <c r="G9289" s="1" t="str">
        <f>"9630H244"</f>
        <v>9630H244</v>
      </c>
      <c r="H9289" s="1" t="str">
        <f>"삼지구 108"</f>
        <v>삼지구 108</v>
      </c>
      <c r="I9289" s="1" t="s">
        <v>17</v>
      </c>
      <c r="J9289" s="1" t="str">
        <f t="shared" si="472"/>
        <v>0/0</v>
      </c>
      <c r="K9289" s="1" t="str">
        <f>"2026-06-10 07:18:11"</f>
        <v>2026-06-10 07:18:11</v>
      </c>
      <c r="L9289" s="1" t="str">
        <f>"2018-05-23 14:57:30"</f>
        <v>2018-05-23 14:57:30</v>
      </c>
      <c r="M9289" s="1" t="s">
        <v>0</v>
      </c>
      <c r="N9289" s="1" t="s">
        <v>39</v>
      </c>
      <c r="O9289" s="1" t="s">
        <v>46</v>
      </c>
    </row>
    <row r="9290" spans="2:15" x14ac:dyDescent="0.3">
      <c r="B9290" s="1" t="s">
        <v>21</v>
      </c>
      <c r="C9290" s="1" t="str">
        <f t="shared" si="471"/>
        <v>4차</v>
      </c>
      <c r="D9290" s="1" t="str">
        <f>"9630H31339"</f>
        <v>9630H31339</v>
      </c>
      <c r="E9290" s="1" t="s">
        <v>14</v>
      </c>
      <c r="F9290" s="1" t="str">
        <f>"10.12.135.109"</f>
        <v>10.12.135.109</v>
      </c>
      <c r="G9290" s="1" t="str">
        <f>"9630H313"</f>
        <v>9630H313</v>
      </c>
      <c r="H9290" s="1" t="str">
        <f>"삼지구 109"</f>
        <v>삼지구 109</v>
      </c>
      <c r="I9290" s="1" t="s">
        <v>17</v>
      </c>
      <c r="J9290" s="1" t="str">
        <f t="shared" si="472"/>
        <v>0/0</v>
      </c>
      <c r="K9290" s="1" t="str">
        <f>"2026-07-28 13:18:11"</f>
        <v>2026-07-28 13:18:11</v>
      </c>
      <c r="L9290" s="1" t="str">
        <f>"2018-05-23 14:06:27"</f>
        <v>2018-05-23 14:06:27</v>
      </c>
      <c r="M9290" s="1" t="s">
        <v>0</v>
      </c>
      <c r="N9290" s="1" t="s">
        <v>39</v>
      </c>
      <c r="O9290" s="1" t="s">
        <v>46</v>
      </c>
    </row>
    <row r="9291" spans="2:15" x14ac:dyDescent="0.3">
      <c r="B9291" s="1" t="s">
        <v>21</v>
      </c>
      <c r="C9291" s="1" t="str">
        <f t="shared" si="471"/>
        <v>4차</v>
      </c>
      <c r="D9291" s="1" t="str">
        <f>"9630H40439"</f>
        <v>9630H40439</v>
      </c>
      <c r="E9291" s="1" t="s">
        <v>14</v>
      </c>
      <c r="F9291" s="1" t="str">
        <f>"10.12.135.100"</f>
        <v>10.12.135.100</v>
      </c>
      <c r="G9291" s="1" t="str">
        <f>"9630H404"</f>
        <v>9630H404</v>
      </c>
      <c r="H9291" s="1" t="str">
        <f>"삼지구 110"</f>
        <v>삼지구 110</v>
      </c>
      <c r="I9291" s="1" t="s">
        <v>17</v>
      </c>
      <c r="J9291" s="1" t="str">
        <f t="shared" si="472"/>
        <v>0/0</v>
      </c>
      <c r="K9291" s="1" t="str">
        <f>"2026-07-28 13:18:12"</f>
        <v>2026-07-28 13:18:12</v>
      </c>
      <c r="L9291" s="1" t="str">
        <f>"2018-05-21 13:52:07"</f>
        <v>2018-05-21 13:52:07</v>
      </c>
      <c r="M9291" s="1" t="s">
        <v>0</v>
      </c>
      <c r="N9291" s="1" t="s">
        <v>39</v>
      </c>
      <c r="O9291" s="1" t="s">
        <v>46</v>
      </c>
    </row>
    <row r="9292" spans="2:15" x14ac:dyDescent="0.3">
      <c r="B9292" s="1" t="s">
        <v>21</v>
      </c>
      <c r="C9292" s="1" t="str">
        <f t="shared" si="471"/>
        <v>4차</v>
      </c>
      <c r="D9292" s="1" t="str">
        <f>"9630H41A39"</f>
        <v>9630H41A39</v>
      </c>
      <c r="E9292" s="1" t="s">
        <v>14</v>
      </c>
      <c r="F9292" s="1" t="str">
        <f>"10.12.135.99"</f>
        <v>10.12.135.99</v>
      </c>
      <c r="G9292" s="1" t="str">
        <f>"9630H41A"</f>
        <v>9630H41A</v>
      </c>
      <c r="H9292" s="1" t="str">
        <f>"삼지구 205"</f>
        <v>삼지구 205</v>
      </c>
      <c r="I9292" s="1" t="s">
        <v>17</v>
      </c>
      <c r="J9292" s="1" t="str">
        <f t="shared" si="472"/>
        <v>0/0</v>
      </c>
      <c r="K9292" s="1" t="str">
        <f>"2026-06-10 07:18:12"</f>
        <v>2026-06-10 07:18:12</v>
      </c>
      <c r="L9292" s="1" t="str">
        <f>"2018-05-23 13:49:13"</f>
        <v>2018-05-23 13:49:13</v>
      </c>
      <c r="M9292" s="1" t="s">
        <v>0</v>
      </c>
      <c r="N9292" s="1" t="s">
        <v>39</v>
      </c>
      <c r="O9292" s="1" t="s">
        <v>46</v>
      </c>
    </row>
    <row r="9293" spans="2:15" x14ac:dyDescent="0.3">
      <c r="B9293" s="1" t="s">
        <v>21</v>
      </c>
      <c r="C9293" s="1" t="str">
        <f t="shared" si="471"/>
        <v>4차</v>
      </c>
      <c r="D9293" s="1" t="str">
        <f>"9630H71339"</f>
        <v>9630H71339</v>
      </c>
      <c r="E9293" s="1" t="s">
        <v>14</v>
      </c>
      <c r="F9293" s="1" t="str">
        <f>"10.12.135.101"</f>
        <v>10.12.135.101</v>
      </c>
      <c r="G9293" s="1" t="str">
        <f>"9630H713"</f>
        <v>9630H713</v>
      </c>
      <c r="H9293" s="1" t="str">
        <f>"삼지구 204"</f>
        <v>삼지구 204</v>
      </c>
      <c r="I9293" s="1" t="s">
        <v>17</v>
      </c>
      <c r="J9293" s="1" t="str">
        <f t="shared" si="472"/>
        <v>0/0</v>
      </c>
      <c r="K9293" s="1" t="str">
        <f>"2026-07-28 13:18:12"</f>
        <v>2026-07-28 13:18:12</v>
      </c>
      <c r="L9293" s="1" t="str">
        <f>"2018-05-23 13:37:30"</f>
        <v>2018-05-23 13:37:30</v>
      </c>
      <c r="M9293" s="1" t="s">
        <v>0</v>
      </c>
      <c r="N9293" s="1" t="s">
        <v>39</v>
      </c>
      <c r="O9293" s="1" t="s">
        <v>46</v>
      </c>
    </row>
    <row r="9294" spans="2:15" x14ac:dyDescent="0.3">
      <c r="B9294" s="1" t="s">
        <v>21</v>
      </c>
      <c r="C9294" s="1" t="str">
        <f t="shared" si="471"/>
        <v>4차</v>
      </c>
      <c r="D9294" s="1" t="str">
        <f>"9630H91839"</f>
        <v>9630H91839</v>
      </c>
      <c r="E9294" s="1" t="s">
        <v>10</v>
      </c>
      <c r="F9294" s="1" t="str">
        <f>"10.12.135.102"</f>
        <v>10.12.135.102</v>
      </c>
      <c r="G9294" s="1" t="str">
        <f>"9630H918"</f>
        <v>9630H918</v>
      </c>
      <c r="H9294" s="1" t="str">
        <f>"삼지구 207"</f>
        <v>삼지구 207</v>
      </c>
      <c r="I9294" s="1" t="s">
        <v>17</v>
      </c>
      <c r="J9294" s="1" t="str">
        <f>"1/1"</f>
        <v>1/1</v>
      </c>
      <c r="K9294" s="1" t="str">
        <f>"2026-07-29 13:18:10"</f>
        <v>2026-07-29 13:18:10</v>
      </c>
      <c r="L9294" s="1" t="str">
        <f>"2018-05-21 13:25:24"</f>
        <v>2018-05-21 13:25:24</v>
      </c>
      <c r="M9294" s="1" t="s">
        <v>0</v>
      </c>
      <c r="N9294" s="1" t="s">
        <v>38</v>
      </c>
      <c r="O9294" s="1" t="s">
        <v>46</v>
      </c>
    </row>
    <row r="9295" spans="2:15" x14ac:dyDescent="0.3">
      <c r="B9295" s="1" t="s">
        <v>21</v>
      </c>
      <c r="C9295" s="1" t="str">
        <f t="shared" si="471"/>
        <v>4차</v>
      </c>
      <c r="D9295" s="1" t="str">
        <f>"9630H92439"</f>
        <v>9630H92439</v>
      </c>
      <c r="E9295" s="1" t="s">
        <v>10</v>
      </c>
      <c r="F9295" s="1" t="str">
        <f>"10.12.135.80"</f>
        <v>10.12.135.80</v>
      </c>
      <c r="G9295" s="1" t="str">
        <f>"9630H924"</f>
        <v>9630H924</v>
      </c>
      <c r="H9295" s="1" t="str">
        <f>"삼지구 203"</f>
        <v>삼지구 203</v>
      </c>
      <c r="I9295" s="1" t="s">
        <v>17</v>
      </c>
      <c r="J9295" s="1" t="str">
        <f>"10/10"</f>
        <v>10/10</v>
      </c>
      <c r="K9295" s="1" t="str">
        <f>"2026-07-29 13:18:12"</f>
        <v>2026-07-29 13:18:12</v>
      </c>
      <c r="L9295" s="1" t="str">
        <f>"2018-05-21 15:17:23"</f>
        <v>2018-05-21 15:17:23</v>
      </c>
      <c r="M9295" s="1" t="s">
        <v>0</v>
      </c>
      <c r="N9295" s="1" t="s">
        <v>38</v>
      </c>
      <c r="O9295" s="1" t="s">
        <v>46</v>
      </c>
    </row>
    <row r="9296" spans="2:15" x14ac:dyDescent="0.3">
      <c r="B9296" s="1" t="s">
        <v>21</v>
      </c>
      <c r="C9296" s="1" t="str">
        <f t="shared" si="471"/>
        <v>4차</v>
      </c>
      <c r="D9296" s="1" t="str">
        <f>"9630W82839"</f>
        <v>9630W82839</v>
      </c>
      <c r="E9296" s="1" t="s">
        <v>14</v>
      </c>
      <c r="F9296" s="1" t="str">
        <f>"10.12.135.155"</f>
        <v>10.12.135.155</v>
      </c>
      <c r="G9296" s="1" t="str">
        <f>"9630W828"</f>
        <v>9630W828</v>
      </c>
      <c r="H9296" s="1" t="str">
        <f>"삼지구 103"</f>
        <v>삼지구 103</v>
      </c>
      <c r="I9296" s="1" t="s">
        <v>17</v>
      </c>
      <c r="J9296" s="1" t="str">
        <f t="shared" ref="J9296:J9307" si="473">"0/0"</f>
        <v>0/0</v>
      </c>
      <c r="K9296" s="1" t="str">
        <f>"2026-06-10 07:18:12"</f>
        <v>2026-06-10 07:18:12</v>
      </c>
      <c r="L9296" s="1" t="str">
        <f>"2018-07-26 15:28:29"</f>
        <v>2018-07-26 15:28:29</v>
      </c>
      <c r="M9296" s="1" t="s">
        <v>0</v>
      </c>
      <c r="N9296" s="1" t="s">
        <v>39</v>
      </c>
      <c r="O9296" s="1" t="s">
        <v>46</v>
      </c>
    </row>
    <row r="9297" spans="2:15" x14ac:dyDescent="0.3">
      <c r="B9297" s="1" t="s">
        <v>21</v>
      </c>
      <c r="C9297" s="1" t="str">
        <f t="shared" si="471"/>
        <v>4차</v>
      </c>
      <c r="D9297" s="1" t="str">
        <f>"9630X05639"</f>
        <v>9630X05639</v>
      </c>
      <c r="E9297" s="1" t="s">
        <v>14</v>
      </c>
      <c r="F9297" s="1" t="str">
        <f>"10.12.135.84"</f>
        <v>10.12.135.84</v>
      </c>
      <c r="G9297" s="1" t="str">
        <f>"9630X056"</f>
        <v>9630X056</v>
      </c>
      <c r="H9297" s="1" t="str">
        <f>"삼지구 104"</f>
        <v>삼지구 104</v>
      </c>
      <c r="I9297" s="1" t="s">
        <v>17</v>
      </c>
      <c r="J9297" s="1" t="str">
        <f t="shared" si="473"/>
        <v>0/0</v>
      </c>
      <c r="K9297" s="1" t="str">
        <f>"2026-07-28 13:18:11"</f>
        <v>2026-07-28 13:18:11</v>
      </c>
      <c r="L9297" s="1" t="str">
        <f>"2018-05-15 14:45:13"</f>
        <v>2018-05-15 14:45:13</v>
      </c>
      <c r="M9297" s="1" t="s">
        <v>0</v>
      </c>
      <c r="N9297" s="1" t="s">
        <v>39</v>
      </c>
      <c r="O9297" s="1" t="s">
        <v>46</v>
      </c>
    </row>
    <row r="9298" spans="2:15" x14ac:dyDescent="0.3">
      <c r="B9298" s="1" t="s">
        <v>21</v>
      </c>
      <c r="C9298" s="1" t="str">
        <f t="shared" si="471"/>
        <v>4차</v>
      </c>
      <c r="D9298" s="1" t="str">
        <f>"9630X24139"</f>
        <v>9630X24139</v>
      </c>
      <c r="E9298" s="1" t="s">
        <v>14</v>
      </c>
      <c r="F9298" s="1" t="str">
        <f>"10.12.135.89"</f>
        <v>10.12.135.89</v>
      </c>
      <c r="G9298" s="1" t="str">
        <f>"9630X241"</f>
        <v>9630X241</v>
      </c>
      <c r="H9298" s="1" t="str">
        <f>"삼지구 105"</f>
        <v>삼지구 105</v>
      </c>
      <c r="I9298" s="1" t="s">
        <v>17</v>
      </c>
      <c r="J9298" s="1" t="str">
        <f t="shared" si="473"/>
        <v>0/0</v>
      </c>
      <c r="K9298" s="1" t="str">
        <f>"2026-01-31 07:21:12"</f>
        <v>2026-01-31 07:21:12</v>
      </c>
      <c r="L9298" s="1" t="str">
        <f>"2018-05-23 12:05:44"</f>
        <v>2018-05-23 12:05:44</v>
      </c>
      <c r="M9298" s="1" t="s">
        <v>0</v>
      </c>
      <c r="N9298" s="1" t="s">
        <v>39</v>
      </c>
      <c r="O9298" s="1" t="s">
        <v>46</v>
      </c>
    </row>
    <row r="9299" spans="2:15" x14ac:dyDescent="0.3">
      <c r="B9299" s="1" t="s">
        <v>21</v>
      </c>
      <c r="C9299" s="1" t="str">
        <f t="shared" si="471"/>
        <v>4차</v>
      </c>
      <c r="D9299" s="1" t="str">
        <f>"9630X32239"</f>
        <v>9630X32239</v>
      </c>
      <c r="E9299" s="1" t="s">
        <v>14</v>
      </c>
      <c r="F9299" s="1" t="str">
        <f>"10.12.135.85"</f>
        <v>10.12.135.85</v>
      </c>
      <c r="G9299" s="1" t="str">
        <f>"9630X322"</f>
        <v>9630X322</v>
      </c>
      <c r="H9299" s="1" t="str">
        <f>"삼지구 107"</f>
        <v>삼지구 107</v>
      </c>
      <c r="I9299" s="1" t="s">
        <v>17</v>
      </c>
      <c r="J9299" s="1" t="str">
        <f t="shared" si="473"/>
        <v>0/0</v>
      </c>
      <c r="K9299" s="1" t="str">
        <f>"2026-06-10 07:18:11"</f>
        <v>2026-06-10 07:18:11</v>
      </c>
      <c r="L9299" s="1" t="str">
        <f>"2018-05-23 12:58:57"</f>
        <v>2018-05-23 12:58:57</v>
      </c>
      <c r="M9299" s="1" t="s">
        <v>0</v>
      </c>
      <c r="N9299" s="1" t="s">
        <v>39</v>
      </c>
      <c r="O9299" s="1" t="s">
        <v>46</v>
      </c>
    </row>
    <row r="9300" spans="2:15" x14ac:dyDescent="0.3">
      <c r="B9300" s="1" t="s">
        <v>21</v>
      </c>
      <c r="C9300" s="1" t="str">
        <f t="shared" si="471"/>
        <v>4차</v>
      </c>
      <c r="D9300" s="1" t="str">
        <f>"9630X45139"</f>
        <v>9630X45139</v>
      </c>
      <c r="E9300" s="1" t="s">
        <v>14</v>
      </c>
      <c r="F9300" s="1" t="str">
        <f>"10.12.135.90"</f>
        <v>10.12.135.90</v>
      </c>
      <c r="G9300" s="1" t="str">
        <f>"9630X451"</f>
        <v>9630X451</v>
      </c>
      <c r="H9300" s="1" t="str">
        <f>"삼지구 106"</f>
        <v>삼지구 106</v>
      </c>
      <c r="I9300" s="1" t="s">
        <v>17</v>
      </c>
      <c r="J9300" s="1" t="str">
        <f t="shared" si="473"/>
        <v>0/0</v>
      </c>
      <c r="K9300" s="1" t="str">
        <f>"2026-06-10 07:18:11"</f>
        <v>2026-06-10 07:18:11</v>
      </c>
      <c r="L9300" s="1" t="str">
        <f>"2018-05-21 14:20:55"</f>
        <v>2018-05-21 14:20:55</v>
      </c>
      <c r="M9300" s="1" t="s">
        <v>0</v>
      </c>
      <c r="N9300" s="1" t="s">
        <v>39</v>
      </c>
      <c r="O9300" s="1" t="s">
        <v>46</v>
      </c>
    </row>
    <row r="9301" spans="2:15" x14ac:dyDescent="0.3">
      <c r="B9301" s="1" t="s">
        <v>21</v>
      </c>
      <c r="C9301" s="1" t="str">
        <f t="shared" si="471"/>
        <v>4차</v>
      </c>
      <c r="D9301" s="1" t="str">
        <f>"9630X61539"</f>
        <v>9630X61539</v>
      </c>
      <c r="E9301" s="1" t="s">
        <v>14</v>
      </c>
      <c r="F9301" s="1" t="str">
        <f>"10.12.135.86"</f>
        <v>10.12.135.86</v>
      </c>
      <c r="G9301" s="1" t="str">
        <f>"9630X615"</f>
        <v>9630X615</v>
      </c>
      <c r="H9301" s="1" t="str">
        <f>"삼지구 107-2"</f>
        <v>삼지구 107-2</v>
      </c>
      <c r="I9301" s="1" t="s">
        <v>17</v>
      </c>
      <c r="J9301" s="1" t="str">
        <f t="shared" si="473"/>
        <v>0/0</v>
      </c>
      <c r="K9301" s="1" t="str">
        <f>"2026-06-10 07:18:11"</f>
        <v>2026-06-10 07:18:11</v>
      </c>
      <c r="L9301" s="1" t="str">
        <f>"2018-05-21 10:21:52"</f>
        <v>2018-05-21 10:21:52</v>
      </c>
      <c r="M9301" s="1" t="s">
        <v>0</v>
      </c>
      <c r="N9301" s="1" t="s">
        <v>39</v>
      </c>
      <c r="O9301" s="1" t="s">
        <v>46</v>
      </c>
    </row>
    <row r="9302" spans="2:15" x14ac:dyDescent="0.3">
      <c r="B9302" s="1" t="s">
        <v>21</v>
      </c>
      <c r="C9302" s="1" t="str">
        <f t="shared" si="471"/>
        <v>4차</v>
      </c>
      <c r="D9302" s="1" t="str">
        <f>"9630X65439"</f>
        <v>9630X65439</v>
      </c>
      <c r="E9302" s="1" t="s">
        <v>14</v>
      </c>
      <c r="F9302" s="1" t="str">
        <f>"10.12.135.103"</f>
        <v>10.12.135.103</v>
      </c>
      <c r="G9302" s="1" t="str">
        <f>"9630X654"</f>
        <v>9630X654</v>
      </c>
      <c r="H9302" s="1" t="str">
        <f>"삼지구 210"</f>
        <v>삼지구 210</v>
      </c>
      <c r="I9302" s="1" t="s">
        <v>17</v>
      </c>
      <c r="J9302" s="1" t="str">
        <f t="shared" si="473"/>
        <v>0/0</v>
      </c>
      <c r="K9302" s="1" t="str">
        <f>"2026-06-10 01:18:12"</f>
        <v>2026-06-10 01:18:12</v>
      </c>
      <c r="L9302" s="1" t="str">
        <f>"2018-05-21 13:25:51"</f>
        <v>2018-05-21 13:25:51</v>
      </c>
      <c r="M9302" s="1" t="s">
        <v>0</v>
      </c>
      <c r="N9302" s="1" t="s">
        <v>39</v>
      </c>
      <c r="O9302" s="1" t="s">
        <v>46</v>
      </c>
    </row>
    <row r="9303" spans="2:15" x14ac:dyDescent="0.3">
      <c r="B9303" s="1" t="s">
        <v>21</v>
      </c>
      <c r="C9303" s="1" t="str">
        <f t="shared" si="471"/>
        <v>4차</v>
      </c>
      <c r="D9303" s="1" t="str">
        <f>"9630X87139"</f>
        <v>9630X87139</v>
      </c>
      <c r="E9303" s="1" t="s">
        <v>14</v>
      </c>
      <c r="F9303" s="1" t="str">
        <f>"10.12.135.113"</f>
        <v>10.12.135.113</v>
      </c>
      <c r="G9303" s="1" t="str">
        <f>"9630X871"</f>
        <v>9630X871</v>
      </c>
      <c r="H9303" s="1" t="str">
        <f>"삼지구 209"</f>
        <v>삼지구 209</v>
      </c>
      <c r="I9303" s="1" t="s">
        <v>17</v>
      </c>
      <c r="J9303" s="1" t="str">
        <f t="shared" si="473"/>
        <v>0/0</v>
      </c>
      <c r="K9303" s="1" t="str">
        <f>"2026-07-28 13:18:12"</f>
        <v>2026-07-28 13:18:12</v>
      </c>
      <c r="L9303" s="1" t="str">
        <f>"2018-05-21 12:08:21"</f>
        <v>2018-05-21 12:08:21</v>
      </c>
      <c r="M9303" s="1" t="s">
        <v>0</v>
      </c>
      <c r="N9303" s="1" t="s">
        <v>39</v>
      </c>
      <c r="O9303" s="1" t="s">
        <v>46</v>
      </c>
    </row>
    <row r="9304" spans="2:15" x14ac:dyDescent="0.3">
      <c r="B9304" s="1" t="s">
        <v>21</v>
      </c>
      <c r="C9304" s="1" t="str">
        <f t="shared" si="471"/>
        <v>4차</v>
      </c>
      <c r="D9304" s="1" t="str">
        <f>"9630X99239"</f>
        <v>9630X99239</v>
      </c>
      <c r="E9304" s="1" t="s">
        <v>14</v>
      </c>
      <c r="F9304" s="1" t="str">
        <f>"10.12.135.79"</f>
        <v>10.12.135.79</v>
      </c>
      <c r="G9304" s="1" t="str">
        <f>"9630X992"</f>
        <v>9630X992</v>
      </c>
      <c r="H9304" s="1" t="str">
        <f>"삼지구 208"</f>
        <v>삼지구 208</v>
      </c>
      <c r="I9304" s="1" t="s">
        <v>17</v>
      </c>
      <c r="J9304" s="1" t="str">
        <f t="shared" si="473"/>
        <v>0/0</v>
      </c>
      <c r="K9304" s="1" t="str">
        <f>"2026-06-10 07:18:11"</f>
        <v>2026-06-10 07:18:11</v>
      </c>
      <c r="L9304" s="1" t="str">
        <f>"2018-05-21 11:20:54"</f>
        <v>2018-05-21 11:20:54</v>
      </c>
      <c r="M9304" s="1" t="s">
        <v>0</v>
      </c>
      <c r="N9304" s="1" t="s">
        <v>39</v>
      </c>
      <c r="O9304" s="1" t="s">
        <v>46</v>
      </c>
    </row>
    <row r="9305" spans="2:15" x14ac:dyDescent="0.3">
      <c r="B9305" s="1" t="s">
        <v>21</v>
      </c>
      <c r="C9305" s="1" t="str">
        <f>"3차"</f>
        <v>3차</v>
      </c>
      <c r="D9305" s="1" t="str">
        <f>"9630Z27739"</f>
        <v>9630Z27739</v>
      </c>
      <c r="E9305" s="1" t="s">
        <v>14</v>
      </c>
      <c r="F9305" s="1" t="str">
        <f>"10.12.135.83"</f>
        <v>10.12.135.83</v>
      </c>
      <c r="G9305" s="1" t="str">
        <f>"9630Z277"</f>
        <v>9630Z277</v>
      </c>
      <c r="H9305" s="1" t="str">
        <f>"삼지구 102"</f>
        <v>삼지구 102</v>
      </c>
      <c r="I9305" s="1" t="s">
        <v>17</v>
      </c>
      <c r="J9305" s="1" t="str">
        <f t="shared" si="473"/>
        <v>0/0</v>
      </c>
      <c r="K9305" s="1" t="str">
        <f>"2023-10-18 20:03:37"</f>
        <v>2023-10-18 20:03:37</v>
      </c>
      <c r="L9305" s="1" t="str">
        <f>"2018-05-15 14:16:14"</f>
        <v>2018-05-15 14:16:14</v>
      </c>
      <c r="M9305" s="1" t="s">
        <v>0</v>
      </c>
      <c r="N9305" s="1" t="s">
        <v>39</v>
      </c>
      <c r="O9305" s="1" t="s">
        <v>46</v>
      </c>
    </row>
    <row r="9306" spans="2:15" x14ac:dyDescent="0.3">
      <c r="B9306" s="1" t="s">
        <v>21</v>
      </c>
      <c r="C9306" s="1" t="str">
        <f>"4차"</f>
        <v>4차</v>
      </c>
      <c r="D9306" s="1" t="str">
        <f>"9630Z60539"</f>
        <v>9630Z60539</v>
      </c>
      <c r="E9306" s="1" t="s">
        <v>14</v>
      </c>
      <c r="F9306" s="1" t="str">
        <f>"10.12.131.218"</f>
        <v>10.12.131.218</v>
      </c>
      <c r="G9306" s="1" t="str">
        <f>"9630Z605"</f>
        <v>9630Z605</v>
      </c>
      <c r="H9306" s="1" t="str">
        <f>"이지구 1"</f>
        <v>이지구 1</v>
      </c>
      <c r="I9306" s="1" t="s">
        <v>17</v>
      </c>
      <c r="J9306" s="1" t="str">
        <f t="shared" si="473"/>
        <v>0/0</v>
      </c>
      <c r="K9306" s="1" t="str">
        <f>"2026-07-28 13:18:11"</f>
        <v>2026-07-28 13:18:11</v>
      </c>
      <c r="L9306" s="1" t="str">
        <f>"2018-10-18 09:47:08"</f>
        <v>2018-10-18 09:47:08</v>
      </c>
      <c r="M9306" s="1" t="s">
        <v>0</v>
      </c>
      <c r="N9306" s="1" t="s">
        <v>39</v>
      </c>
      <c r="O9306" s="1" t="s">
        <v>46</v>
      </c>
    </row>
    <row r="9307" spans="2:15" x14ac:dyDescent="0.3">
      <c r="B9307" s="1" t="s">
        <v>21</v>
      </c>
      <c r="C9307" s="1" t="str">
        <f>"1차"</f>
        <v>1차</v>
      </c>
      <c r="D9307" s="1" t="str">
        <f>"9725A99201"</f>
        <v>9725A99201</v>
      </c>
      <c r="E9307" s="1" t="s">
        <v>14</v>
      </c>
      <c r="F9307" s="1" t="str">
        <f>"10.128.32.20"</f>
        <v>10.128.32.20</v>
      </c>
      <c r="G9307" s="1" t="str">
        <f>"9725A992"</f>
        <v>9725A992</v>
      </c>
      <c r="H9307" s="1" t="str">
        <f>"동교SW 1L6"</f>
        <v>동교SW 1L6</v>
      </c>
      <c r="I9307" s="1" t="s">
        <v>8</v>
      </c>
      <c r="J9307" s="1" t="str">
        <f t="shared" si="473"/>
        <v>0/0</v>
      </c>
      <c r="K9307" s="1" t="str">
        <f>"2024-07-09 18:21:55"</f>
        <v>2024-07-09 18:21:55</v>
      </c>
      <c r="L9307" s="1" t="str">
        <f>"2014-11-04 00:12:58"</f>
        <v>2014-11-04 00:12:58</v>
      </c>
      <c r="M9307" s="1" t="s">
        <v>45</v>
      </c>
      <c r="N9307" s="1" t="s">
        <v>44</v>
      </c>
      <c r="O9307" s="1" t="s">
        <v>44</v>
      </c>
    </row>
    <row r="9308" spans="2:15" x14ac:dyDescent="0.3">
      <c r="B9308" s="1" t="s">
        <v>21</v>
      </c>
      <c r="C9308" s="1" t="str">
        <f>"4차"</f>
        <v>4차</v>
      </c>
      <c r="D9308" s="1" t="str">
        <f>"9725B06141"</f>
        <v>9725B06141</v>
      </c>
      <c r="E9308" s="1" t="s">
        <v>10</v>
      </c>
      <c r="F9308" s="1" t="str">
        <f>"10.14.3.26"</f>
        <v>10.14.3.26</v>
      </c>
      <c r="G9308" s="1" t="str">
        <f>"9725B061"</f>
        <v>9725B061</v>
      </c>
      <c r="H9308" s="1" t="str">
        <f>"창천간 36L4"</f>
        <v>창천간 36L4</v>
      </c>
      <c r="I9308" s="1" t="s">
        <v>17</v>
      </c>
      <c r="J9308" s="1" t="str">
        <f>"68/68"</f>
        <v>68/68</v>
      </c>
      <c r="K9308" s="1" t="str">
        <f>"2026-07-29 13:18:11"</f>
        <v>2026-07-29 13:18:11</v>
      </c>
      <c r="L9308" s="1" t="str">
        <f>"2021-08-13 13:28:55"</f>
        <v>2021-08-13 13:28:55</v>
      </c>
      <c r="M9308" s="1" t="s">
        <v>3</v>
      </c>
      <c r="N9308" s="1" t="s">
        <v>38</v>
      </c>
      <c r="O9308" s="1" t="s">
        <v>46</v>
      </c>
    </row>
    <row r="9309" spans="2:15" x14ac:dyDescent="0.3">
      <c r="B9309" s="1" t="s">
        <v>21</v>
      </c>
      <c r="C9309" s="1" t="str">
        <f>"4차"</f>
        <v>4차</v>
      </c>
      <c r="D9309" s="1" t="str">
        <f>"9725B06441"</f>
        <v>9725B06441</v>
      </c>
      <c r="E9309" s="1" t="s">
        <v>10</v>
      </c>
      <c r="F9309" s="1" t="str">
        <f>"10.12.138.164"</f>
        <v>10.12.138.164</v>
      </c>
      <c r="G9309" s="1" t="str">
        <f>"9725B064"</f>
        <v>9725B064</v>
      </c>
      <c r="H9309" s="1" t="str">
        <f>"창천간 36L7"</f>
        <v>창천간 36L7</v>
      </c>
      <c r="I9309" s="1" t="s">
        <v>17</v>
      </c>
      <c r="J9309" s="1" t="str">
        <f>"32/32"</f>
        <v>32/32</v>
      </c>
      <c r="K9309" s="1" t="str">
        <f>"2026-07-29 13:18:13"</f>
        <v>2026-07-29 13:18:13</v>
      </c>
      <c r="L9309" s="1" t="str">
        <f>"2021-08-13 15:28:37"</f>
        <v>2021-08-13 15:28:37</v>
      </c>
      <c r="M9309" s="1" t="s">
        <v>0</v>
      </c>
      <c r="N9309" s="1" t="s">
        <v>38</v>
      </c>
      <c r="O9309" s="1" t="s">
        <v>46</v>
      </c>
    </row>
    <row r="9310" spans="2:15" x14ac:dyDescent="0.3">
      <c r="B9310" s="1" t="s">
        <v>21</v>
      </c>
      <c r="C9310" s="1" t="str">
        <f>"4차"</f>
        <v>4차</v>
      </c>
      <c r="D9310" s="1" t="str">
        <f>"9725B08141"</f>
        <v>9725B08141</v>
      </c>
      <c r="E9310" s="1" t="s">
        <v>10</v>
      </c>
      <c r="F9310" s="1" t="str">
        <f>"10.12.138.141"</f>
        <v>10.12.138.141</v>
      </c>
      <c r="G9310" s="1" t="str">
        <f>"9725B081"</f>
        <v>9725B081</v>
      </c>
      <c r="H9310" s="1" t="str">
        <f>"창천간 36L8"</f>
        <v>창천간 36L8</v>
      </c>
      <c r="I9310" s="1" t="s">
        <v>17</v>
      </c>
      <c r="J9310" s="1" t="str">
        <f>"89/95"</f>
        <v>89/95</v>
      </c>
      <c r="K9310" s="1" t="str">
        <f>"2026-07-29 13:18:11"</f>
        <v>2026-07-29 13:18:11</v>
      </c>
      <c r="L9310" s="1" t="str">
        <f>"2021-08-13 14:44:54"</f>
        <v>2021-08-13 14:44:54</v>
      </c>
      <c r="M9310" s="1" t="s">
        <v>0</v>
      </c>
      <c r="N9310" s="1" t="s">
        <v>38</v>
      </c>
      <c r="O9310" s="1" t="s">
        <v>46</v>
      </c>
    </row>
    <row r="9311" spans="2:15" x14ac:dyDescent="0.3">
      <c r="B9311" s="1" t="s">
        <v>21</v>
      </c>
      <c r="C9311" s="1" t="str">
        <f>"1차"</f>
        <v>1차</v>
      </c>
      <c r="D9311" s="1" t="str">
        <f>"9725B09100"</f>
        <v>9725B09100</v>
      </c>
      <c r="E9311" s="1" t="s">
        <v>10</v>
      </c>
      <c r="F9311" s="1" t="str">
        <f>"10.128.32.17"</f>
        <v>10.128.32.17</v>
      </c>
      <c r="G9311" s="1" t="str">
        <f>"9725B091"</f>
        <v>9725B091</v>
      </c>
      <c r="H9311" s="1" t="str">
        <f>"동교SW 1L7R2"</f>
        <v>동교SW 1L7R2</v>
      </c>
      <c r="I9311" s="1" t="s">
        <v>8</v>
      </c>
      <c r="J9311" s="1" t="str">
        <f>"41/41"</f>
        <v>41/41</v>
      </c>
      <c r="K9311" s="1" t="str">
        <f>"2026-07-29 13:18:10"</f>
        <v>2026-07-29 13:18:10</v>
      </c>
      <c r="L9311" s="1" t="str">
        <f>"2014-11-03 15:58:36"</f>
        <v>2014-11-03 15:58:36</v>
      </c>
      <c r="M9311" s="1" t="s">
        <v>45</v>
      </c>
      <c r="N9311" s="1" t="s">
        <v>38</v>
      </c>
      <c r="O9311" s="1" t="s">
        <v>46</v>
      </c>
    </row>
    <row r="9312" spans="2:15" x14ac:dyDescent="0.3">
      <c r="B9312" s="1" t="s">
        <v>21</v>
      </c>
      <c r="C9312" s="1" t="str">
        <f>"4차"</f>
        <v>4차</v>
      </c>
      <c r="D9312" s="1" t="str">
        <f>"9725B09242"</f>
        <v>9725B09242</v>
      </c>
      <c r="E9312" s="1" t="s">
        <v>10</v>
      </c>
      <c r="F9312" s="1" t="str">
        <f>"10.12.129.199"</f>
        <v>10.12.129.199</v>
      </c>
      <c r="G9312" s="1" t="str">
        <f>"9725B092"</f>
        <v>9725B092</v>
      </c>
      <c r="H9312" s="1" t="str">
        <f>"동교SW 1L7R2L1"</f>
        <v>동교SW 1L7R2L1</v>
      </c>
      <c r="I9312" s="1" t="s">
        <v>8</v>
      </c>
      <c r="J9312" s="1" t="str">
        <f>"62/62"</f>
        <v>62/62</v>
      </c>
      <c r="K9312" s="1" t="str">
        <f>"2026-07-29 13:18:12"</f>
        <v>2026-07-29 13:18:12</v>
      </c>
      <c r="L9312" s="1" t="str">
        <f>"2024-12-23 14:22:39"</f>
        <v>2024-12-23 14:22:39</v>
      </c>
      <c r="M9312" s="1" t="s">
        <v>0</v>
      </c>
      <c r="N9312" s="1" t="s">
        <v>38</v>
      </c>
      <c r="O9312" s="1" t="s">
        <v>46</v>
      </c>
    </row>
    <row r="9313" spans="2:15" x14ac:dyDescent="0.3">
      <c r="B9313" s="1" t="s">
        <v>21</v>
      </c>
      <c r="C9313" s="1" t="str">
        <f>"1차"</f>
        <v>1차</v>
      </c>
      <c r="D9313" s="1" t="str">
        <f>"9725B15100"</f>
        <v>9725B15100</v>
      </c>
      <c r="E9313" s="1" t="s">
        <v>10</v>
      </c>
      <c r="F9313" s="1" t="str">
        <f>"10.128.32.31"</f>
        <v>10.128.32.31</v>
      </c>
      <c r="G9313" s="1" t="str">
        <f>"9725B151"</f>
        <v>9725B151</v>
      </c>
      <c r="H9313" s="1" t="str">
        <f>"창천간 36L3L1"</f>
        <v>창천간 36L3L1</v>
      </c>
      <c r="I9313" s="1" t="s">
        <v>8</v>
      </c>
      <c r="J9313" s="1" t="str">
        <f>"52/52"</f>
        <v>52/52</v>
      </c>
      <c r="K9313" s="1" t="str">
        <f>"2026-07-29 13:18:10"</f>
        <v>2026-07-29 13:18:10</v>
      </c>
      <c r="L9313" s="1" t="str">
        <f>"2014-11-19 10:57:03"</f>
        <v>2014-11-19 10:57:03</v>
      </c>
      <c r="M9313" s="1" t="s">
        <v>45</v>
      </c>
      <c r="N9313" s="1" t="s">
        <v>38</v>
      </c>
      <c r="O9313" s="1" t="s">
        <v>46</v>
      </c>
    </row>
    <row r="9314" spans="2:15" x14ac:dyDescent="0.3">
      <c r="B9314" s="1" t="s">
        <v>21</v>
      </c>
      <c r="C9314" s="1" t="str">
        <f>"1차"</f>
        <v>1차</v>
      </c>
      <c r="D9314" s="1" t="str">
        <f>"9725B15301"</f>
        <v>9725B15301</v>
      </c>
      <c r="E9314" s="1" t="s">
        <v>10</v>
      </c>
      <c r="F9314" s="1" t="str">
        <f>"10.12.137.94"</f>
        <v>10.12.137.94</v>
      </c>
      <c r="G9314" s="1" t="str">
        <f>"9725B153"</f>
        <v>9725B153</v>
      </c>
      <c r="H9314" s="1" t="str">
        <f>"창천간 36L3L3"</f>
        <v>창천간 36L3L3</v>
      </c>
      <c r="I9314" s="1" t="s">
        <v>8</v>
      </c>
      <c r="J9314" s="1" t="str">
        <f>"8/8"</f>
        <v>8/8</v>
      </c>
      <c r="K9314" s="1" t="str">
        <f>"2026-07-29 13:18:12"</f>
        <v>2026-07-29 13:18:12</v>
      </c>
      <c r="L9314" s="1" t="str">
        <f>"2014-11-19 10:58:33"</f>
        <v>2014-11-19 10:58:33</v>
      </c>
      <c r="M9314" s="1" t="s">
        <v>0</v>
      </c>
      <c r="N9314" s="1" t="s">
        <v>38</v>
      </c>
      <c r="O9314" s="1" t="s">
        <v>46</v>
      </c>
    </row>
    <row r="9315" spans="2:15" x14ac:dyDescent="0.3">
      <c r="B9315" s="1" t="s">
        <v>21</v>
      </c>
      <c r="C9315" s="1" t="str">
        <f>"4차"</f>
        <v>4차</v>
      </c>
      <c r="D9315" s="1" t="str">
        <f>"9725B16144"</f>
        <v>9725B16144</v>
      </c>
      <c r="E9315" s="1" t="s">
        <v>10</v>
      </c>
      <c r="F9315" s="1" t="str">
        <f>"10.10.114.58"</f>
        <v>10.10.114.58</v>
      </c>
      <c r="G9315" s="1" t="str">
        <f>"9725B161"</f>
        <v>9725B161</v>
      </c>
      <c r="H9315" s="1" t="str">
        <f>"창천간 36L3"</f>
        <v>창천간 36L3</v>
      </c>
      <c r="I9315" s="1" t="s">
        <v>8</v>
      </c>
      <c r="J9315" s="1" t="str">
        <f>"25/25"</f>
        <v>25/25</v>
      </c>
      <c r="K9315" s="1" t="str">
        <f>"2026-07-29 13:18:11"</f>
        <v>2026-07-29 13:18:11</v>
      </c>
      <c r="L9315" s="1" t="str">
        <f>"2019-11-08 17:42:29"</f>
        <v>2019-11-08 17:42:29</v>
      </c>
      <c r="M9315" s="1" t="s">
        <v>1</v>
      </c>
      <c r="N9315" s="1" t="s">
        <v>38</v>
      </c>
      <c r="O9315" s="1" t="s">
        <v>46</v>
      </c>
    </row>
    <row r="9316" spans="2:15" x14ac:dyDescent="0.3">
      <c r="B9316" s="1" t="s">
        <v>21</v>
      </c>
      <c r="C9316" s="1" t="str">
        <f>"4차"</f>
        <v>4차</v>
      </c>
      <c r="D9316" s="1" t="str">
        <f>"9725B16241"</f>
        <v>9725B16241</v>
      </c>
      <c r="E9316" s="1" t="s">
        <v>10</v>
      </c>
      <c r="F9316" s="1" t="str">
        <f>"10.12.131.95"</f>
        <v>10.12.131.95</v>
      </c>
      <c r="G9316" s="1" t="str">
        <f>"9725B162"</f>
        <v>9725B162</v>
      </c>
      <c r="H9316" s="1" t="str">
        <f>"창천간 36L3R1"</f>
        <v>창천간 36L3R1</v>
      </c>
      <c r="I9316" s="1" t="s">
        <v>17</v>
      </c>
      <c r="J9316" s="1" t="str">
        <f>"36/36"</f>
        <v>36/36</v>
      </c>
      <c r="K9316" s="1" t="str">
        <f>"2026-07-29 13:18:12"</f>
        <v>2026-07-29 13:18:12</v>
      </c>
      <c r="L9316" s="1" t="str">
        <f>"2021-08-27 16:33:49"</f>
        <v>2021-08-27 16:33:49</v>
      </c>
      <c r="M9316" s="1" t="s">
        <v>0</v>
      </c>
      <c r="N9316" s="1" t="s">
        <v>38</v>
      </c>
      <c r="O9316" s="1" t="s">
        <v>46</v>
      </c>
    </row>
    <row r="9317" spans="2:15" x14ac:dyDescent="0.3">
      <c r="B9317" s="1" t="s">
        <v>21</v>
      </c>
      <c r="C9317" s="1" t="str">
        <f>"4차"</f>
        <v>4차</v>
      </c>
      <c r="D9317" s="1" t="str">
        <f>"9725B18239"</f>
        <v>9725B18239</v>
      </c>
      <c r="E9317" s="1" t="s">
        <v>10</v>
      </c>
      <c r="F9317" s="1" t="str">
        <f>"10.12.129.70"</f>
        <v>10.12.129.70</v>
      </c>
      <c r="G9317" s="1" t="str">
        <f>"9725B182"</f>
        <v>9725B182</v>
      </c>
      <c r="H9317" s="1" t="str">
        <f>"창천간 36L3R3"</f>
        <v>창천간 36L3R3</v>
      </c>
      <c r="I9317" s="1" t="s">
        <v>8</v>
      </c>
      <c r="J9317" s="1" t="str">
        <f>"27/27"</f>
        <v>27/27</v>
      </c>
      <c r="K9317" s="1" t="str">
        <f>"2026-07-29 13:18:11"</f>
        <v>2026-07-29 13:18:11</v>
      </c>
      <c r="L9317" s="1" t="str">
        <f>"2024-03-22 10:37:46"</f>
        <v>2024-03-22 10:37:46</v>
      </c>
      <c r="M9317" s="1" t="s">
        <v>0</v>
      </c>
      <c r="N9317" s="1" t="s">
        <v>38</v>
      </c>
      <c r="O9317" s="1" t="s">
        <v>46</v>
      </c>
    </row>
    <row r="9318" spans="2:15" x14ac:dyDescent="0.3">
      <c r="B9318" s="1" t="s">
        <v>21</v>
      </c>
      <c r="C9318" s="1" t="str">
        <f>"4차"</f>
        <v>4차</v>
      </c>
      <c r="D9318" s="1" t="str">
        <f>"9725B19444"</f>
        <v>9725B19444</v>
      </c>
      <c r="E9318" s="1" t="s">
        <v>10</v>
      </c>
      <c r="F9318" s="1" t="str">
        <f>"10.128.32.82"</f>
        <v>10.128.32.82</v>
      </c>
      <c r="G9318" s="1" t="str">
        <f>"9725B194"</f>
        <v>9725B194</v>
      </c>
      <c r="H9318" s="1" t="str">
        <f>"동교SW 1L10R7"</f>
        <v>동교SW 1L10R7</v>
      </c>
      <c r="I9318" s="1" t="s">
        <v>8</v>
      </c>
      <c r="J9318" s="1" t="str">
        <f>"48/48"</f>
        <v>48/48</v>
      </c>
      <c r="K9318" s="1" t="str">
        <f>"2026-07-29 13:18:10"</f>
        <v>2026-07-29 13:18:10</v>
      </c>
      <c r="L9318" s="1" t="str">
        <f>"2023-12-18 17:13:09"</f>
        <v>2023-12-18 17:13:09</v>
      </c>
      <c r="M9318" s="1" t="s">
        <v>45</v>
      </c>
      <c r="N9318" s="1" t="s">
        <v>38</v>
      </c>
      <c r="O9318" s="1" t="s">
        <v>46</v>
      </c>
    </row>
    <row r="9319" spans="2:15" x14ac:dyDescent="0.3">
      <c r="B9319" s="1" t="s">
        <v>21</v>
      </c>
      <c r="C9319" s="1" t="str">
        <f>"4차"</f>
        <v>4차</v>
      </c>
      <c r="D9319" s="1" t="str">
        <f>"9725B24141"</f>
        <v>9725B24141</v>
      </c>
      <c r="E9319" s="1" t="s">
        <v>10</v>
      </c>
      <c r="F9319" s="1" t="str">
        <f>"10.14.14.201"</f>
        <v>10.14.14.201</v>
      </c>
      <c r="G9319" s="1" t="str">
        <f>"9725B241"</f>
        <v>9725B241</v>
      </c>
      <c r="H9319" s="1" t="str">
        <f>"창천간 36L1L3"</f>
        <v>창천간 36L1L3</v>
      </c>
      <c r="I9319" s="1" t="s">
        <v>17</v>
      </c>
      <c r="J9319" s="1" t="str">
        <f>"35/35"</f>
        <v>35/35</v>
      </c>
      <c r="K9319" s="1" t="str">
        <f>"2026-07-29 13:18:12"</f>
        <v>2026-07-29 13:18:12</v>
      </c>
      <c r="L9319" s="1" t="str">
        <f>"2021-10-20 15:31:22"</f>
        <v>2021-10-20 15:31:22</v>
      </c>
      <c r="M9319" s="1" t="s">
        <v>3</v>
      </c>
      <c r="N9319" s="1" t="s">
        <v>38</v>
      </c>
      <c r="O9319" s="1" t="s">
        <v>46</v>
      </c>
    </row>
    <row r="9320" spans="2:15" x14ac:dyDescent="0.3">
      <c r="B9320" s="1" t="s">
        <v>21</v>
      </c>
      <c r="C9320" s="1" t="str">
        <f>"1차"</f>
        <v>1차</v>
      </c>
      <c r="D9320" s="1" t="str">
        <f>"9725B25301"</f>
        <v>9725B25301</v>
      </c>
      <c r="E9320" s="1" t="s">
        <v>10</v>
      </c>
      <c r="F9320" s="1" t="str">
        <f>"10.128.32.57"</f>
        <v>10.128.32.57</v>
      </c>
      <c r="G9320" s="1" t="str">
        <f>"9725B253"</f>
        <v>9725B253</v>
      </c>
      <c r="H9320" s="1" t="str">
        <f>"창천간 36L2"</f>
        <v>창천간 36L2</v>
      </c>
      <c r="I9320" s="1" t="s">
        <v>8</v>
      </c>
      <c r="J9320" s="1" t="str">
        <f>"43/44"</f>
        <v>43/44</v>
      </c>
      <c r="K9320" s="1" t="str">
        <f>"2026-07-29 13:18:10"</f>
        <v>2026-07-29 13:18:10</v>
      </c>
      <c r="L9320" s="1" t="str">
        <f>"2014-11-19 11:00:23"</f>
        <v>2014-11-19 11:00:23</v>
      </c>
      <c r="M9320" s="1" t="s">
        <v>45</v>
      </c>
      <c r="N9320" s="1" t="s">
        <v>38</v>
      </c>
      <c r="O9320" s="1" t="s">
        <v>46</v>
      </c>
    </row>
    <row r="9321" spans="2:15" x14ac:dyDescent="0.3">
      <c r="B9321" s="1" t="s">
        <v>21</v>
      </c>
      <c r="C9321" s="1" t="str">
        <f>"1차"</f>
        <v>1차</v>
      </c>
      <c r="D9321" s="1" t="str">
        <f>"9725B26100"</f>
        <v>9725B26100</v>
      </c>
      <c r="E9321" s="1" t="s">
        <v>10</v>
      </c>
      <c r="F9321" s="1" t="str">
        <f>"10.128.33.139"</f>
        <v>10.128.33.139</v>
      </c>
      <c r="G9321" s="1" t="str">
        <f>"9725B261"</f>
        <v>9725B261</v>
      </c>
      <c r="H9321" s="1" t="str">
        <f>"창천간 40"</f>
        <v>창천간 40</v>
      </c>
      <c r="I9321" s="1" t="s">
        <v>8</v>
      </c>
      <c r="J9321" s="1" t="str">
        <f>"63/63"</f>
        <v>63/63</v>
      </c>
      <c r="K9321" s="1" t="str">
        <f>"2026-07-29 13:18:11"</f>
        <v>2026-07-29 13:18:11</v>
      </c>
      <c r="L9321" s="1" t="str">
        <f>"2014-11-21 15:21:23"</f>
        <v>2014-11-21 15:21:23</v>
      </c>
      <c r="M9321" s="1" t="s">
        <v>45</v>
      </c>
      <c r="N9321" s="1" t="s">
        <v>38</v>
      </c>
      <c r="O9321" s="1" t="s">
        <v>46</v>
      </c>
    </row>
    <row r="9322" spans="2:15" x14ac:dyDescent="0.3">
      <c r="B9322" s="1" t="s">
        <v>21</v>
      </c>
      <c r="C9322" s="1" t="str">
        <f>"4차"</f>
        <v>4차</v>
      </c>
      <c r="D9322" s="1" t="str">
        <f>"9725B27144"</f>
        <v>9725B27144</v>
      </c>
      <c r="E9322" s="1" t="s">
        <v>10</v>
      </c>
      <c r="F9322" s="1" t="str">
        <f>"10.10.93.58"</f>
        <v>10.10.93.58</v>
      </c>
      <c r="G9322" s="1" t="str">
        <f>"9725B271"</f>
        <v>9725B271</v>
      </c>
      <c r="H9322" s="1" t="str">
        <f>"창천간 41"</f>
        <v>창천간 41</v>
      </c>
      <c r="I9322" s="1" t="s">
        <v>8</v>
      </c>
      <c r="J9322" s="1" t="str">
        <f>"43/43"</f>
        <v>43/43</v>
      </c>
      <c r="K9322" s="1" t="str">
        <f>"2026-07-29 13:18:11"</f>
        <v>2026-07-29 13:18:11</v>
      </c>
      <c r="L9322" s="1" t="str">
        <f>"2019-11-08 15:39:58"</f>
        <v>2019-11-08 15:39:58</v>
      </c>
      <c r="M9322" s="1" t="s">
        <v>1</v>
      </c>
      <c r="N9322" s="1" t="s">
        <v>38</v>
      </c>
      <c r="O9322" s="1" t="s">
        <v>46</v>
      </c>
    </row>
    <row r="9323" spans="2:15" x14ac:dyDescent="0.3">
      <c r="B9323" s="1" t="s">
        <v>21</v>
      </c>
      <c r="C9323" s="1" t="str">
        <f>"4차"</f>
        <v>4차</v>
      </c>
      <c r="D9323" s="1" t="str">
        <f>"9725B28144"</f>
        <v>9725B28144</v>
      </c>
      <c r="E9323" s="1" t="s">
        <v>10</v>
      </c>
      <c r="F9323" s="1" t="str">
        <f>"10.10.94.50"</f>
        <v>10.10.94.50</v>
      </c>
      <c r="G9323" s="1" t="str">
        <f>"9725B281"</f>
        <v>9725B281</v>
      </c>
      <c r="H9323" s="1" t="str">
        <f>"창천간 42"</f>
        <v>창천간 42</v>
      </c>
      <c r="I9323" s="1" t="s">
        <v>8</v>
      </c>
      <c r="J9323" s="1" t="str">
        <f>"39/40"</f>
        <v>39/40</v>
      </c>
      <c r="K9323" s="1" t="str">
        <f>"2026-07-29 13:18:11"</f>
        <v>2026-07-29 13:18:11</v>
      </c>
      <c r="L9323" s="1" t="str">
        <f>"2019-11-08 15:13:04"</f>
        <v>2019-11-08 15:13:04</v>
      </c>
      <c r="M9323" s="1" t="s">
        <v>1</v>
      </c>
      <c r="N9323" s="1" t="s">
        <v>38</v>
      </c>
      <c r="O9323" s="1" t="s">
        <v>46</v>
      </c>
    </row>
    <row r="9324" spans="2:15" x14ac:dyDescent="0.3">
      <c r="B9324" s="1" t="s">
        <v>21</v>
      </c>
      <c r="C9324" s="1" t="str">
        <f>"4차"</f>
        <v>4차</v>
      </c>
      <c r="D9324" s="1" t="str">
        <f>"9725B29144"</f>
        <v>9725B29144</v>
      </c>
      <c r="E9324" s="1" t="s">
        <v>10</v>
      </c>
      <c r="F9324" s="1" t="str">
        <f>"10.12.131.250"</f>
        <v>10.12.131.250</v>
      </c>
      <c r="G9324" s="1" t="str">
        <f>"9725B291"</f>
        <v>9725B291</v>
      </c>
      <c r="H9324" s="1" t="str">
        <f>"동교SW 1L10R7L1"</f>
        <v>동교SW 1L10R7L1</v>
      </c>
      <c r="I9324" s="1" t="s">
        <v>8</v>
      </c>
      <c r="J9324" s="1" t="str">
        <f>"32/32"</f>
        <v>32/32</v>
      </c>
      <c r="K9324" s="1" t="str">
        <f>"2026-07-29 13:18:12"</f>
        <v>2026-07-29 13:18:12</v>
      </c>
      <c r="L9324" s="1" t="str">
        <f>"2023-07-12 14:40:53"</f>
        <v>2023-07-12 14:40:53</v>
      </c>
      <c r="M9324" s="1" t="s">
        <v>0</v>
      </c>
      <c r="N9324" s="1" t="s">
        <v>38</v>
      </c>
      <c r="O9324" s="1" t="s">
        <v>46</v>
      </c>
    </row>
    <row r="9325" spans="2:15" x14ac:dyDescent="0.3">
      <c r="B9325" s="1" t="s">
        <v>21</v>
      </c>
      <c r="C9325" s="1" t="str">
        <f>"1차"</f>
        <v>1차</v>
      </c>
      <c r="D9325" s="1" t="str">
        <f>"9725B34100"</f>
        <v>9725B34100</v>
      </c>
      <c r="E9325" s="1" t="s">
        <v>10</v>
      </c>
      <c r="F9325" s="1" t="str">
        <f>"10.128.33.82"</f>
        <v>10.128.33.82</v>
      </c>
      <c r="G9325" s="1" t="str">
        <f>"9725B341"</f>
        <v>9725B341</v>
      </c>
      <c r="H9325" s="1" t="str">
        <f>"창천간 34L1"</f>
        <v>창천간 34L1</v>
      </c>
      <c r="I9325" s="1" t="s">
        <v>8</v>
      </c>
      <c r="J9325" s="1" t="str">
        <f>"31/31"</f>
        <v>31/31</v>
      </c>
      <c r="K9325" s="1" t="str">
        <f>"2026-07-29 13:18:10"</f>
        <v>2026-07-29 13:18:10</v>
      </c>
      <c r="L9325" s="1" t="str">
        <f>"2014-12-05 15:04:37"</f>
        <v>2014-12-05 15:04:37</v>
      </c>
      <c r="M9325" s="1" t="s">
        <v>45</v>
      </c>
      <c r="N9325" s="1" t="s">
        <v>38</v>
      </c>
      <c r="O9325" s="1" t="s">
        <v>46</v>
      </c>
    </row>
    <row r="9326" spans="2:15" x14ac:dyDescent="0.3">
      <c r="B9326" s="1" t="s">
        <v>21</v>
      </c>
      <c r="C9326" s="1" t="str">
        <f>"1차"</f>
        <v>1차</v>
      </c>
      <c r="D9326" s="1" t="str">
        <f>"9725B35100"</f>
        <v>9725B35100</v>
      </c>
      <c r="E9326" s="1" t="s">
        <v>10</v>
      </c>
      <c r="F9326" s="1" t="str">
        <f>"10.128.32.39"</f>
        <v>10.128.32.39</v>
      </c>
      <c r="G9326" s="1" t="str">
        <f>"9725B351"</f>
        <v>9725B351</v>
      </c>
      <c r="H9326" s="1" t="str">
        <f>"창천간 36"</f>
        <v>창천간 36</v>
      </c>
      <c r="I9326" s="1" t="s">
        <v>8</v>
      </c>
      <c r="J9326" s="1" t="str">
        <f>"3/3"</f>
        <v>3/3</v>
      </c>
      <c r="K9326" s="1" t="str">
        <f>"2026-07-29 13:18:10"</f>
        <v>2026-07-29 13:18:10</v>
      </c>
      <c r="L9326" s="1" t="str">
        <f>"2014-11-19 10:59:23"</f>
        <v>2014-11-19 10:59:23</v>
      </c>
      <c r="M9326" s="1" t="s">
        <v>45</v>
      </c>
      <c r="N9326" s="1" t="s">
        <v>38</v>
      </c>
      <c r="O9326" s="1" t="s">
        <v>46</v>
      </c>
    </row>
    <row r="9327" spans="2:15" x14ac:dyDescent="0.3">
      <c r="B9327" s="1" t="s">
        <v>21</v>
      </c>
      <c r="C9327" s="1" t="str">
        <f>"4차"</f>
        <v>4차</v>
      </c>
      <c r="D9327" s="1" t="str">
        <f>"9725B36239"</f>
        <v>9725B36239</v>
      </c>
      <c r="E9327" s="1" t="s">
        <v>10</v>
      </c>
      <c r="F9327" s="1" t="str">
        <f>"10.12.136.232"</f>
        <v>10.12.136.232</v>
      </c>
      <c r="G9327" s="1" t="str">
        <f>"9725B362"</f>
        <v>9725B362</v>
      </c>
      <c r="H9327" s="1" t="str">
        <f>"창천간 38A1"</f>
        <v>창천간 38A1</v>
      </c>
      <c r="I9327" s="1" t="s">
        <v>8</v>
      </c>
      <c r="J9327" s="1" t="str">
        <f>"81/81"</f>
        <v>81/81</v>
      </c>
      <c r="K9327" s="1" t="str">
        <f>"2026-07-29 13:18:11"</f>
        <v>2026-07-29 13:18:11</v>
      </c>
      <c r="L9327" s="1" t="str">
        <f>"2018-10-04 10:14:10"</f>
        <v>2018-10-04 10:14:10</v>
      </c>
      <c r="M9327" s="1" t="s">
        <v>0</v>
      </c>
      <c r="N9327" s="1" t="s">
        <v>38</v>
      </c>
      <c r="O9327" s="1" t="s">
        <v>46</v>
      </c>
    </row>
    <row r="9328" spans="2:15" x14ac:dyDescent="0.3">
      <c r="B9328" s="1" t="s">
        <v>21</v>
      </c>
      <c r="C9328" s="1" t="str">
        <f>"1차"</f>
        <v>1차</v>
      </c>
      <c r="D9328" s="1" t="str">
        <f>"9725B37200"</f>
        <v>9725B37200</v>
      </c>
      <c r="E9328" s="1" t="s">
        <v>10</v>
      </c>
      <c r="F9328" s="1" t="str">
        <f>"10.128.33.136"</f>
        <v>10.128.33.136</v>
      </c>
      <c r="G9328" s="1" t="str">
        <f>"9725B372"</f>
        <v>9725B372</v>
      </c>
      <c r="H9328" s="1" t="str">
        <f>"창천간 38R2"</f>
        <v>창천간 38R2</v>
      </c>
      <c r="I9328" s="1" t="s">
        <v>8</v>
      </c>
      <c r="J9328" s="1" t="str">
        <f>"83/83"</f>
        <v>83/83</v>
      </c>
      <c r="K9328" s="1" t="str">
        <f>"2026-07-29 13:18:10"</f>
        <v>2026-07-29 13:18:10</v>
      </c>
      <c r="L9328" s="1" t="str">
        <f>"2014-12-05 15:15:09"</f>
        <v>2014-12-05 15:15:09</v>
      </c>
      <c r="M9328" s="1" t="s">
        <v>45</v>
      </c>
      <c r="N9328" s="1" t="s">
        <v>38</v>
      </c>
      <c r="O9328" s="1" t="s">
        <v>46</v>
      </c>
    </row>
    <row r="9329" spans="2:15" x14ac:dyDescent="0.3">
      <c r="B9329" s="1" t="s">
        <v>21</v>
      </c>
      <c r="C9329" s="1" t="str">
        <f>"4차"</f>
        <v>4차</v>
      </c>
      <c r="D9329" s="1" t="str">
        <f>"9725B37344"</f>
        <v>9725B37344</v>
      </c>
      <c r="E9329" s="1" t="s">
        <v>10</v>
      </c>
      <c r="F9329" s="1" t="str">
        <f>"10.10.122.58"</f>
        <v>10.10.122.58</v>
      </c>
      <c r="G9329" s="1" t="str">
        <f>"9725B373"</f>
        <v>9725B373</v>
      </c>
      <c r="H9329" s="1" t="str">
        <f>"창천간 38R1"</f>
        <v>창천간 38R1</v>
      </c>
      <c r="I9329" s="1" t="s">
        <v>8</v>
      </c>
      <c r="J9329" s="1" t="str">
        <f>"12/12"</f>
        <v>12/12</v>
      </c>
      <c r="K9329" s="1" t="str">
        <f>"2026-07-29 13:18:11"</f>
        <v>2026-07-29 13:18:11</v>
      </c>
      <c r="L9329" s="1" t="str">
        <f>"2019-11-08 15:54:44"</f>
        <v>2019-11-08 15:54:44</v>
      </c>
      <c r="M9329" s="1" t="s">
        <v>1</v>
      </c>
      <c r="N9329" s="1" t="s">
        <v>38</v>
      </c>
      <c r="O9329" s="1" t="s">
        <v>46</v>
      </c>
    </row>
    <row r="9330" spans="2:15" x14ac:dyDescent="0.3">
      <c r="B9330" s="1" t="s">
        <v>21</v>
      </c>
      <c r="C9330" s="1" t="str">
        <f>"1차"</f>
        <v>1차</v>
      </c>
      <c r="D9330" s="1" t="str">
        <f>"9725B43101"</f>
        <v>9725B43101</v>
      </c>
      <c r="E9330" s="1" t="s">
        <v>10</v>
      </c>
      <c r="F9330" s="1" t="str">
        <f>"10.14.12.192"</f>
        <v>10.14.12.192</v>
      </c>
      <c r="G9330" s="1" t="str">
        <f>"9725B431"</f>
        <v>9725B431</v>
      </c>
      <c r="H9330" s="1" t="str">
        <f>"창천간 34H1L2"</f>
        <v>창천간 34H1L2</v>
      </c>
      <c r="I9330" s="1" t="s">
        <v>8</v>
      </c>
      <c r="J9330" s="1" t="str">
        <f>"8/8"</f>
        <v>8/8</v>
      </c>
      <c r="K9330" s="1" t="str">
        <f>"2026-07-29 13:18:12"</f>
        <v>2026-07-29 13:18:12</v>
      </c>
      <c r="L9330" s="1" t="str">
        <f>"2014-11-25 14:54:35"</f>
        <v>2014-11-25 14:54:35</v>
      </c>
      <c r="M9330" s="1" t="s">
        <v>3</v>
      </c>
      <c r="N9330" s="1" t="s">
        <v>38</v>
      </c>
      <c r="O9330" s="1" t="s">
        <v>46</v>
      </c>
    </row>
    <row r="9331" spans="2:15" x14ac:dyDescent="0.3">
      <c r="B9331" s="1" t="s">
        <v>21</v>
      </c>
      <c r="C9331" s="1" t="str">
        <f>"6차"</f>
        <v>6차</v>
      </c>
      <c r="D9331" s="1" t="str">
        <f>"9725B4446S"</f>
        <v>9725B4446S</v>
      </c>
      <c r="E9331" s="1" t="s">
        <v>10</v>
      </c>
      <c r="F9331" s="1" t="str">
        <f>"fde1:103:4:9221:0:0:0:2"</f>
        <v>fde1:103:4:9221:0:0:0:2</v>
      </c>
      <c r="G9331" s="1" t="str">
        <f>"9725B444"</f>
        <v>9725B444</v>
      </c>
      <c r="H9331" s="1" t="str">
        <f>"창천간 34H1L1"</f>
        <v>창천간 34H1L1</v>
      </c>
      <c r="I9331" s="1" t="s">
        <v>15</v>
      </c>
      <c r="J9331" s="1" t="str">
        <f>"14/14"</f>
        <v>14/14</v>
      </c>
      <c r="K9331" s="1" t="str">
        <f>"2026-07-29 14:21:55"</f>
        <v>2026-07-29 14:21:55</v>
      </c>
      <c r="L9331" s="1" t="str">
        <f>"2025-02-20 17:35:25"</f>
        <v>2025-02-20 17:35:25</v>
      </c>
      <c r="M9331" s="1" t="s">
        <v>4</v>
      </c>
      <c r="N9331" s="1" t="s">
        <v>38</v>
      </c>
      <c r="O9331" s="1" t="s">
        <v>46</v>
      </c>
    </row>
    <row r="9332" spans="2:15" x14ac:dyDescent="0.3">
      <c r="B9332" s="1" t="s">
        <v>21</v>
      </c>
      <c r="C9332" s="1" t="str">
        <f>"4차"</f>
        <v>4차</v>
      </c>
      <c r="D9332" s="1" t="str">
        <f>"9725B45144"</f>
        <v>9725B45144</v>
      </c>
      <c r="E9332" s="1" t="s">
        <v>10</v>
      </c>
      <c r="F9332" s="1" t="str">
        <f>"10.12.129.97"</f>
        <v>10.12.129.97</v>
      </c>
      <c r="G9332" s="1" t="str">
        <f>"9725B451"</f>
        <v>9725B451</v>
      </c>
      <c r="H9332" s="1" t="str">
        <f>"창천간 35"</f>
        <v>창천간 35</v>
      </c>
      <c r="I9332" s="1" t="s">
        <v>8</v>
      </c>
      <c r="J9332" s="1" t="str">
        <f>"27/27"</f>
        <v>27/27</v>
      </c>
      <c r="K9332" s="1" t="str">
        <f>"2026-07-29 13:18:07"</f>
        <v>2026-07-29 13:18:07</v>
      </c>
      <c r="L9332" s="1" t="str">
        <f>"2019-11-08 16:22:06"</f>
        <v>2019-11-08 16:22:06</v>
      </c>
      <c r="M9332" s="1" t="s">
        <v>0</v>
      </c>
      <c r="N9332" s="1" t="s">
        <v>38</v>
      </c>
      <c r="O9332" s="1" t="s">
        <v>46</v>
      </c>
    </row>
    <row r="9333" spans="2:15" x14ac:dyDescent="0.3">
      <c r="B9333" s="1" t="s">
        <v>21</v>
      </c>
      <c r="C9333" s="1" t="str">
        <f>"1차"</f>
        <v>1차</v>
      </c>
      <c r="D9333" s="1" t="str">
        <f>"9725B46201"</f>
        <v>9725B46201</v>
      </c>
      <c r="E9333" s="1" t="s">
        <v>10</v>
      </c>
      <c r="F9333" s="1" t="str">
        <f>"10.12.133.61"</f>
        <v>10.12.133.61</v>
      </c>
      <c r="G9333" s="1" t="str">
        <f>"9725B462"</f>
        <v>9725B462</v>
      </c>
      <c r="H9333" s="1" t="str">
        <f>"창천간 35R2"</f>
        <v>창천간 35R2</v>
      </c>
      <c r="I9333" s="1" t="s">
        <v>8</v>
      </c>
      <c r="J9333" s="1" t="str">
        <f>"54/67"</f>
        <v>54/67</v>
      </c>
      <c r="K9333" s="1" t="str">
        <f>"2026-07-29 13:18:02"</f>
        <v>2026-07-29 13:18:02</v>
      </c>
      <c r="L9333" s="1" t="str">
        <f>"2014-10-31 16:10:29"</f>
        <v>2014-10-31 16:10:29</v>
      </c>
      <c r="M9333" s="1" t="s">
        <v>0</v>
      </c>
      <c r="N9333" s="1" t="s">
        <v>38</v>
      </c>
      <c r="O9333" s="1" t="s">
        <v>46</v>
      </c>
    </row>
    <row r="9334" spans="2:15" x14ac:dyDescent="0.3">
      <c r="B9334" s="1" t="s">
        <v>21</v>
      </c>
      <c r="C9334" s="1" t="str">
        <f>"1차"</f>
        <v>1차</v>
      </c>
      <c r="D9334" s="1" t="str">
        <f>"9725B48100"</f>
        <v>9725B48100</v>
      </c>
      <c r="E9334" s="1" t="s">
        <v>10</v>
      </c>
      <c r="F9334" s="1" t="str">
        <f>"10.128.33.140"</f>
        <v>10.128.33.140</v>
      </c>
      <c r="G9334" s="1" t="str">
        <f>"9725B481"</f>
        <v>9725B481</v>
      </c>
      <c r="H9334" s="1" t="str">
        <f>"창천간 43R2"</f>
        <v>창천간 43R2</v>
      </c>
      <c r="I9334" s="1" t="s">
        <v>8</v>
      </c>
      <c r="J9334" s="1" t="str">
        <f>"42/42"</f>
        <v>42/42</v>
      </c>
      <c r="K9334" s="1" t="str">
        <f>"2026-07-29 13:18:10"</f>
        <v>2026-07-29 13:18:10</v>
      </c>
      <c r="L9334" s="1" t="str">
        <f>"2014-11-21 15:22:33"</f>
        <v>2014-11-21 15:22:33</v>
      </c>
      <c r="M9334" s="1" t="s">
        <v>45</v>
      </c>
      <c r="N9334" s="1" t="s">
        <v>38</v>
      </c>
      <c r="O9334" s="1" t="s">
        <v>46</v>
      </c>
    </row>
    <row r="9335" spans="2:15" x14ac:dyDescent="0.3">
      <c r="B9335" s="1" t="s">
        <v>21</v>
      </c>
      <c r="C9335" s="1" t="str">
        <f>"6차"</f>
        <v>6차</v>
      </c>
      <c r="D9335" s="1" t="str">
        <f>"9725B5316S"</f>
        <v>9725B5316S</v>
      </c>
      <c r="E9335" s="1" t="s">
        <v>10</v>
      </c>
      <c r="F9335" s="1" t="str">
        <f>"fde1:103:4:9442:0:0:0:2"</f>
        <v>fde1:103:4:9442:0:0:0:2</v>
      </c>
      <c r="G9335" s="1" t="str">
        <f>"9725B531"</f>
        <v>9725B531</v>
      </c>
      <c r="H9335" s="1" t="str">
        <f>"창천간 31"</f>
        <v>창천간 31</v>
      </c>
      <c r="I9335" s="1" t="s">
        <v>15</v>
      </c>
      <c r="J9335" s="1" t="str">
        <f>"35/35"</f>
        <v>35/35</v>
      </c>
      <c r="K9335" s="1" t="str">
        <f>"2026-07-29 14:20:59"</f>
        <v>2026-07-29 14:20:59</v>
      </c>
      <c r="L9335" s="1" t="str">
        <f>"2025-02-05 16:45:07"</f>
        <v>2025-02-05 16:45:07</v>
      </c>
      <c r="M9335" s="1" t="s">
        <v>4</v>
      </c>
      <c r="N9335" s="1" t="s">
        <v>38</v>
      </c>
      <c r="O9335" s="1" t="s">
        <v>46</v>
      </c>
    </row>
    <row r="9336" spans="2:15" x14ac:dyDescent="0.3">
      <c r="B9336" s="1" t="s">
        <v>21</v>
      </c>
      <c r="C9336" s="1" t="str">
        <f>"6차"</f>
        <v>6차</v>
      </c>
      <c r="D9336" s="1" t="str">
        <f>"9725B5416S"</f>
        <v>9725B5416S</v>
      </c>
      <c r="E9336" s="1" t="s">
        <v>10</v>
      </c>
      <c r="F9336" s="1" t="str">
        <f>"fde1:103:4:9309:0:0:0:2"</f>
        <v>fde1:103:4:9309:0:0:0:2</v>
      </c>
      <c r="G9336" s="1" t="str">
        <f>"9725B541"</f>
        <v>9725B541</v>
      </c>
      <c r="H9336" s="1" t="str">
        <f>"창천간 32"</f>
        <v>창천간 32</v>
      </c>
      <c r="I9336" s="1" t="s">
        <v>15</v>
      </c>
      <c r="J9336" s="1" t="str">
        <f>"57/57"</f>
        <v>57/57</v>
      </c>
      <c r="K9336" s="1" t="str">
        <f>"2026-07-29 14:21:30"</f>
        <v>2026-07-29 14:21:30</v>
      </c>
      <c r="L9336" s="1" t="str">
        <f>"2025-02-05 16:36:10"</f>
        <v>2025-02-05 16:36:10</v>
      </c>
      <c r="M9336" s="1" t="s">
        <v>4</v>
      </c>
      <c r="N9336" s="1" t="s">
        <v>38</v>
      </c>
      <c r="O9336" s="1" t="s">
        <v>46</v>
      </c>
    </row>
    <row r="9337" spans="2:15" x14ac:dyDescent="0.3">
      <c r="B9337" s="1" t="s">
        <v>21</v>
      </c>
      <c r="C9337" s="1" t="str">
        <f>"4차"</f>
        <v>4차</v>
      </c>
      <c r="D9337" s="1" t="str">
        <f>"9725B55441"</f>
        <v>9725B55441</v>
      </c>
      <c r="E9337" s="1" t="s">
        <v>10</v>
      </c>
      <c r="F9337" s="1" t="str">
        <f>"10.12.128.45"</f>
        <v>10.12.128.45</v>
      </c>
      <c r="G9337" s="1" t="str">
        <f>"9725B554"</f>
        <v>9725B554</v>
      </c>
      <c r="H9337" s="1" t="str">
        <f>"창천간 33R1"</f>
        <v>창천간 33R1</v>
      </c>
      <c r="I9337" s="1" t="s">
        <v>17</v>
      </c>
      <c r="J9337" s="1" t="str">
        <f>"58/65"</f>
        <v>58/65</v>
      </c>
      <c r="K9337" s="1" t="str">
        <f>"2026-07-29 13:18:12"</f>
        <v>2026-07-29 13:18:12</v>
      </c>
      <c r="L9337" s="1" t="str">
        <f>"2021-10-20 14:33:48"</f>
        <v>2021-10-20 14:33:48</v>
      </c>
      <c r="M9337" s="1" t="s">
        <v>0</v>
      </c>
      <c r="N9337" s="1" t="s">
        <v>38</v>
      </c>
      <c r="O9337" s="1" t="s">
        <v>46</v>
      </c>
    </row>
    <row r="9338" spans="2:15" x14ac:dyDescent="0.3">
      <c r="B9338" s="1" t="s">
        <v>21</v>
      </c>
      <c r="C9338" s="1" t="str">
        <f>"6차"</f>
        <v>6차</v>
      </c>
      <c r="D9338" s="1" t="str">
        <f>"9725B5736S"</f>
        <v>9725B5736S</v>
      </c>
      <c r="E9338" s="1" t="s">
        <v>10</v>
      </c>
      <c r="F9338" s="1" t="str">
        <f>"fde1:103:4:c790:0:0:0:2"</f>
        <v>fde1:103:4:c790:0:0:0:2</v>
      </c>
      <c r="G9338" s="1" t="str">
        <f>"9725B573"</f>
        <v>9725B573</v>
      </c>
      <c r="H9338" s="1" t="str">
        <f>"창천간 22R9"</f>
        <v>창천간 22R9</v>
      </c>
      <c r="I9338" s="1" t="s">
        <v>15</v>
      </c>
      <c r="J9338" s="1" t="str">
        <f>"32/32"</f>
        <v>32/32</v>
      </c>
      <c r="K9338" s="1" t="str">
        <f>"2026-07-29 14:21:30"</f>
        <v>2026-07-29 14:21:30</v>
      </c>
      <c r="L9338" s="1" t="str">
        <f>"2024-12-10 11:23:52"</f>
        <v>2024-12-10 11:23:52</v>
      </c>
      <c r="M9338" s="1" t="s">
        <v>4</v>
      </c>
      <c r="N9338" s="1" t="s">
        <v>38</v>
      </c>
      <c r="O9338" s="1" t="s">
        <v>46</v>
      </c>
    </row>
    <row r="9339" spans="2:15" x14ac:dyDescent="0.3">
      <c r="B9339" s="1" t="s">
        <v>21</v>
      </c>
      <c r="C9339" s="1" t="str">
        <f>"1차"</f>
        <v>1차</v>
      </c>
      <c r="D9339" s="1" t="str">
        <f>"9725B58100"</f>
        <v>9725B58100</v>
      </c>
      <c r="E9339" s="1" t="s">
        <v>10</v>
      </c>
      <c r="F9339" s="1" t="str">
        <f>"10.128.32.86"</f>
        <v>10.128.32.86</v>
      </c>
      <c r="G9339" s="1" t="str">
        <f>"9725B581"</f>
        <v>9725B581</v>
      </c>
      <c r="H9339" s="1" t="str">
        <f>"창천간 43R3"</f>
        <v>창천간 43R3</v>
      </c>
      <c r="I9339" s="1" t="s">
        <v>8</v>
      </c>
      <c r="J9339" s="1" t="str">
        <f>"48/48"</f>
        <v>48/48</v>
      </c>
      <c r="K9339" s="1" t="str">
        <f>"2026-07-29 13:18:10"</f>
        <v>2026-07-29 13:18:10</v>
      </c>
      <c r="L9339" s="1" t="str">
        <f>"2014-11-21 15:17:35"</f>
        <v>2014-11-21 15:17:35</v>
      </c>
      <c r="M9339" s="1" t="s">
        <v>45</v>
      </c>
      <c r="N9339" s="1" t="s">
        <v>38</v>
      </c>
      <c r="O9339" s="1" t="s">
        <v>46</v>
      </c>
    </row>
    <row r="9340" spans="2:15" x14ac:dyDescent="0.3">
      <c r="B9340" s="1" t="s">
        <v>21</v>
      </c>
      <c r="C9340" s="1" t="str">
        <f>"1차"</f>
        <v>1차</v>
      </c>
      <c r="D9340" s="1" t="str">
        <f>"9725B58201"</f>
        <v>9725B58201</v>
      </c>
      <c r="E9340" s="1" t="s">
        <v>10</v>
      </c>
      <c r="F9340" s="1" t="str">
        <f>"10.128.32.87"</f>
        <v>10.128.32.87</v>
      </c>
      <c r="G9340" s="1" t="str">
        <f>"9725B582"</f>
        <v>9725B582</v>
      </c>
      <c r="H9340" s="1" t="str">
        <f>"창천간 43R4"</f>
        <v>창천간 43R4</v>
      </c>
      <c r="I9340" s="1" t="s">
        <v>8</v>
      </c>
      <c r="J9340" s="1" t="str">
        <f>"70/70"</f>
        <v>70/70</v>
      </c>
      <c r="K9340" s="1" t="str">
        <f>"2026-07-29 13:18:11"</f>
        <v>2026-07-29 13:18:11</v>
      </c>
      <c r="L9340" s="1" t="str">
        <f>"2014-11-21 15:19:07"</f>
        <v>2014-11-21 15:19:07</v>
      </c>
      <c r="M9340" s="1" t="s">
        <v>45</v>
      </c>
      <c r="N9340" s="1" t="s">
        <v>38</v>
      </c>
      <c r="O9340" s="1" t="s">
        <v>46</v>
      </c>
    </row>
    <row r="9341" spans="2:15" x14ac:dyDescent="0.3">
      <c r="B9341" s="1" t="s">
        <v>21</v>
      </c>
      <c r="C9341" s="1" t="str">
        <f>"1차"</f>
        <v>1차</v>
      </c>
      <c r="D9341" s="1" t="str">
        <f>"9725B63100"</f>
        <v>9725B63100</v>
      </c>
      <c r="E9341" s="1" t="s">
        <v>14</v>
      </c>
      <c r="F9341" s="1" t="str">
        <f>"10.128.97.210"</f>
        <v>10.128.97.210</v>
      </c>
      <c r="G9341" s="1" t="str">
        <f>"9725B631"</f>
        <v>9725B631</v>
      </c>
      <c r="H9341" s="1" t="str">
        <f>"창천간 30"</f>
        <v>창천간 30</v>
      </c>
      <c r="I9341" s="1" t="s">
        <v>8</v>
      </c>
      <c r="J9341" s="1" t="str">
        <f>"0/0"</f>
        <v>0/0</v>
      </c>
      <c r="K9341" s="1" t="str">
        <f>"2026-07-29 13:18:10"</f>
        <v>2026-07-29 13:18:10</v>
      </c>
      <c r="L9341" s="1" t="str">
        <f>"2014-11-27 11:01:26"</f>
        <v>2014-11-27 11:01:26</v>
      </c>
      <c r="M9341" s="1" t="s">
        <v>45</v>
      </c>
      <c r="N9341" s="1" t="s">
        <v>38</v>
      </c>
      <c r="O9341" s="1" t="s">
        <v>44</v>
      </c>
    </row>
    <row r="9342" spans="2:15" x14ac:dyDescent="0.3">
      <c r="B9342" s="1" t="s">
        <v>21</v>
      </c>
      <c r="C9342" s="1" t="str">
        <f>"4차"</f>
        <v>4차</v>
      </c>
      <c r="D9342" s="1" t="str">
        <f>"9725B65341"</f>
        <v>9725B65341</v>
      </c>
      <c r="E9342" s="1" t="s">
        <v>10</v>
      </c>
      <c r="F9342" s="1" t="str">
        <f>"10.12.135.71"</f>
        <v>10.12.135.71</v>
      </c>
      <c r="G9342" s="1" t="str">
        <f>"9725B653"</f>
        <v>9725B653</v>
      </c>
      <c r="H9342" s="1" t="str">
        <f>"창천간 33R2"</f>
        <v>창천간 33R2</v>
      </c>
      <c r="I9342" s="1" t="s">
        <v>17</v>
      </c>
      <c r="J9342" s="1" t="str">
        <f>"14/14"</f>
        <v>14/14</v>
      </c>
      <c r="K9342" s="1" t="str">
        <f>"2026-07-29 13:18:11"</f>
        <v>2026-07-29 13:18:11</v>
      </c>
      <c r="L9342" s="1" t="str">
        <f>"2021-12-08 16:40:11"</f>
        <v>2021-12-08 16:40:11</v>
      </c>
      <c r="M9342" s="1" t="s">
        <v>0</v>
      </c>
      <c r="N9342" s="1" t="s">
        <v>38</v>
      </c>
      <c r="O9342" s="1" t="s">
        <v>46</v>
      </c>
    </row>
    <row r="9343" spans="2:15" x14ac:dyDescent="0.3">
      <c r="B9343" s="1" t="s">
        <v>21</v>
      </c>
      <c r="C9343" s="1" t="str">
        <f>"6차"</f>
        <v>6차</v>
      </c>
      <c r="D9343" s="1" t="str">
        <f>"9725B6716S"</f>
        <v>9725B6716S</v>
      </c>
      <c r="E9343" s="1" t="s">
        <v>10</v>
      </c>
      <c r="F9343" s="1" t="str">
        <f>"fde1:103:4:c78d:0:0:0:2"</f>
        <v>fde1:103:4:c78d:0:0:0:2</v>
      </c>
      <c r="G9343" s="1" t="str">
        <f>"9725B671"</f>
        <v>9725B671</v>
      </c>
      <c r="H9343" s="1" t="str">
        <f>"창천간 22R8"</f>
        <v>창천간 22R8</v>
      </c>
      <c r="I9343" s="1" t="s">
        <v>15</v>
      </c>
      <c r="J9343" s="1" t="str">
        <f>"51/52"</f>
        <v>51/52</v>
      </c>
      <c r="K9343" s="1" t="str">
        <f>"2026-07-29 14:21:29"</f>
        <v>2026-07-29 14:21:29</v>
      </c>
      <c r="L9343" s="1" t="str">
        <f>"2024-12-10 11:23:56"</f>
        <v>2024-12-10 11:23:56</v>
      </c>
      <c r="M9343" s="1" t="s">
        <v>4</v>
      </c>
      <c r="N9343" s="1" t="s">
        <v>38</v>
      </c>
      <c r="O9343" s="1" t="s">
        <v>46</v>
      </c>
    </row>
    <row r="9344" spans="2:15" x14ac:dyDescent="0.3">
      <c r="B9344" s="1" t="s">
        <v>21</v>
      </c>
      <c r="C9344" s="1" t="str">
        <f>"3차"</f>
        <v>3차</v>
      </c>
      <c r="D9344" s="1" t="str">
        <f>"9725B68239"</f>
        <v>9725B68239</v>
      </c>
      <c r="E9344" s="1" t="s">
        <v>10</v>
      </c>
      <c r="F9344" s="1" t="str">
        <f>"10.12.136.135"</f>
        <v>10.12.136.135</v>
      </c>
      <c r="G9344" s="1" t="str">
        <f>"9725B682"</f>
        <v>9725B682</v>
      </c>
      <c r="H9344" s="1" t="str">
        <f>"창천간 22R7"</f>
        <v>창천간 22R7</v>
      </c>
      <c r="I9344" s="1" t="s">
        <v>8</v>
      </c>
      <c r="J9344" s="1" t="str">
        <f>"71/74"</f>
        <v>71/74</v>
      </c>
      <c r="K9344" s="1" t="str">
        <f>"2026-07-29 13:18:12"</f>
        <v>2026-07-29 13:18:12</v>
      </c>
      <c r="L9344" s="1" t="str">
        <f>"2018-10-04 09:40:24"</f>
        <v>2018-10-04 09:40:24</v>
      </c>
      <c r="M9344" s="1" t="s">
        <v>0</v>
      </c>
      <c r="N9344" s="1" t="s">
        <v>38</v>
      </c>
      <c r="O9344" s="1" t="s">
        <v>46</v>
      </c>
    </row>
    <row r="9345" spans="2:15" x14ac:dyDescent="0.3">
      <c r="B9345" s="1" t="s">
        <v>21</v>
      </c>
      <c r="C9345" s="1" t="str">
        <f>"6차"</f>
        <v>6차</v>
      </c>
      <c r="D9345" s="1" t="str">
        <f>"9725B7116S"</f>
        <v>9725B7116S</v>
      </c>
      <c r="E9345" s="1" t="s">
        <v>10</v>
      </c>
      <c r="F9345" s="1" t="str">
        <f>"fde1:103:4:c5d6:0:0:0:2"</f>
        <v>fde1:103:4:c5d6:0:0:0:2</v>
      </c>
      <c r="G9345" s="1" t="str">
        <f>"9725B711"</f>
        <v>9725B711</v>
      </c>
      <c r="H9345" s="1" t="str">
        <f>"창천간 28R2"</f>
        <v>창천간 28R2</v>
      </c>
      <c r="I9345" s="1" t="s">
        <v>15</v>
      </c>
      <c r="J9345" s="1" t="str">
        <f>"6/6"</f>
        <v>6/6</v>
      </c>
      <c r="K9345" s="1" t="str">
        <f>"2026-07-29 14:21:20"</f>
        <v>2026-07-29 14:21:20</v>
      </c>
      <c r="L9345" s="1" t="str">
        <f>"2024-11-21 17:23:17"</f>
        <v>2024-11-21 17:23:17</v>
      </c>
      <c r="M9345" s="1" t="s">
        <v>4</v>
      </c>
      <c r="N9345" s="1" t="s">
        <v>38</v>
      </c>
      <c r="O9345" s="1" t="s">
        <v>46</v>
      </c>
    </row>
    <row r="9346" spans="2:15" x14ac:dyDescent="0.3">
      <c r="B9346" s="1" t="s">
        <v>21</v>
      </c>
      <c r="C9346" s="1" t="str">
        <f>"6차"</f>
        <v>6차</v>
      </c>
      <c r="D9346" s="1" t="str">
        <f>"9725B7216S"</f>
        <v>9725B7216S</v>
      </c>
      <c r="E9346" s="1" t="s">
        <v>10</v>
      </c>
      <c r="F9346" s="1" t="str">
        <f>"fde1:103:4:c795:0:0:0:2"</f>
        <v>fde1:103:4:c795:0:0:0:2</v>
      </c>
      <c r="G9346" s="1" t="str">
        <f>"9725B721"</f>
        <v>9725B721</v>
      </c>
      <c r="H9346" s="1" t="str">
        <f>"창천간 28"</f>
        <v>창천간 28</v>
      </c>
      <c r="I9346" s="1" t="s">
        <v>15</v>
      </c>
      <c r="J9346" s="1" t="str">
        <f>"77/78"</f>
        <v>77/78</v>
      </c>
      <c r="K9346" s="1" t="str">
        <f>"2026-07-29 14:20:59"</f>
        <v>2026-07-29 14:20:59</v>
      </c>
      <c r="L9346" s="1" t="str">
        <f>"2024-12-10 11:24:02"</f>
        <v>2024-12-10 11:24:02</v>
      </c>
      <c r="M9346" s="1" t="s">
        <v>4</v>
      </c>
      <c r="N9346" s="1" t="s">
        <v>38</v>
      </c>
      <c r="O9346" s="1" t="s">
        <v>46</v>
      </c>
    </row>
    <row r="9347" spans="2:15" x14ac:dyDescent="0.3">
      <c r="B9347" s="1" t="s">
        <v>21</v>
      </c>
      <c r="C9347" s="1" t="str">
        <f>"4차"</f>
        <v>4차</v>
      </c>
      <c r="D9347" s="1" t="str">
        <f>"9725B75144"</f>
        <v>9725B75144</v>
      </c>
      <c r="E9347" s="1" t="s">
        <v>10</v>
      </c>
      <c r="F9347" s="1" t="str">
        <f>"10.10.132.98"</f>
        <v>10.10.132.98</v>
      </c>
      <c r="G9347" s="1" t="str">
        <f>"9725B751"</f>
        <v>9725B751</v>
      </c>
      <c r="H9347" s="1" t="str">
        <f>"창천간 22A2"</f>
        <v>창천간 22A2</v>
      </c>
      <c r="I9347" s="1" t="s">
        <v>8</v>
      </c>
      <c r="J9347" s="1" t="str">
        <f>"49/51"</f>
        <v>49/51</v>
      </c>
      <c r="K9347" s="1" t="str">
        <f>"2026-07-29 13:18:11"</f>
        <v>2026-07-29 13:18:11</v>
      </c>
      <c r="L9347" s="1" t="str">
        <f>"2019-11-12 14:53:04"</f>
        <v>2019-11-12 14:53:04</v>
      </c>
      <c r="M9347" s="1" t="s">
        <v>1</v>
      </c>
      <c r="N9347" s="1" t="s">
        <v>38</v>
      </c>
      <c r="O9347" s="1" t="s">
        <v>46</v>
      </c>
    </row>
    <row r="9348" spans="2:15" x14ac:dyDescent="0.3">
      <c r="B9348" s="1" t="s">
        <v>21</v>
      </c>
      <c r="C9348" s="1" t="str">
        <f>"4차"</f>
        <v>4차</v>
      </c>
      <c r="D9348" s="1" t="str">
        <f>"9725B76139"</f>
        <v>9725B76139</v>
      </c>
      <c r="E9348" s="1" t="s">
        <v>10</v>
      </c>
      <c r="F9348" s="1" t="str">
        <f>"10.12.133.110"</f>
        <v>10.12.133.110</v>
      </c>
      <c r="G9348" s="1" t="str">
        <f>"9725B761"</f>
        <v>9725B761</v>
      </c>
      <c r="H9348" s="1" t="str">
        <f>"창천간 22R4"</f>
        <v>창천간 22R4</v>
      </c>
      <c r="I9348" s="1" t="s">
        <v>17</v>
      </c>
      <c r="J9348" s="1" t="str">
        <f>"212/213"</f>
        <v>212/213</v>
      </c>
      <c r="K9348" s="1" t="str">
        <f>"2026-07-29 13:18:12"</f>
        <v>2026-07-29 13:18:12</v>
      </c>
      <c r="L9348" s="1" t="str">
        <f>"2018-09-20 19:34:46"</f>
        <v>2018-09-20 19:34:46</v>
      </c>
      <c r="M9348" s="1" t="s">
        <v>0</v>
      </c>
      <c r="N9348" s="1" t="s">
        <v>38</v>
      </c>
      <c r="O9348" s="1" t="s">
        <v>46</v>
      </c>
    </row>
    <row r="9349" spans="2:15" x14ac:dyDescent="0.3">
      <c r="B9349" s="1" t="s">
        <v>21</v>
      </c>
      <c r="C9349" s="1" t="str">
        <f>"4차"</f>
        <v>4차</v>
      </c>
      <c r="D9349" s="1" t="str">
        <f>"9725B77144"</f>
        <v>9725B77144</v>
      </c>
      <c r="E9349" s="1" t="s">
        <v>10</v>
      </c>
      <c r="F9349" s="1" t="str">
        <f>"10.10.93.50"</f>
        <v>10.10.93.50</v>
      </c>
      <c r="G9349" s="1" t="str">
        <f>"9725B771"</f>
        <v>9725B771</v>
      </c>
      <c r="H9349" s="1" t="str">
        <f>"창천간 22R6"</f>
        <v>창천간 22R6</v>
      </c>
      <c r="I9349" s="1" t="s">
        <v>8</v>
      </c>
      <c r="J9349" s="1" t="str">
        <f>"59/59"</f>
        <v>59/59</v>
      </c>
      <c r="K9349" s="1" t="str">
        <f>"2026-07-29 13:18:11"</f>
        <v>2026-07-29 13:18:11</v>
      </c>
      <c r="L9349" s="1" t="str">
        <f>"2019-11-08 17:23:03"</f>
        <v>2019-11-08 17:23:03</v>
      </c>
      <c r="M9349" s="1" t="s">
        <v>1</v>
      </c>
      <c r="N9349" s="1" t="s">
        <v>38</v>
      </c>
      <c r="O9349" s="1" t="s">
        <v>46</v>
      </c>
    </row>
    <row r="9350" spans="2:15" x14ac:dyDescent="0.3">
      <c r="B9350" s="1" t="s">
        <v>21</v>
      </c>
      <c r="C9350" s="1" t="str">
        <f>"4차"</f>
        <v>4차</v>
      </c>
      <c r="D9350" s="1" t="str">
        <f>"9725B80545"</f>
        <v>9725B80545</v>
      </c>
      <c r="E9350" s="1" t="s">
        <v>10</v>
      </c>
      <c r="F9350" s="1" t="str">
        <f>"10.14.1.15"</f>
        <v>10.14.1.15</v>
      </c>
      <c r="G9350" s="1" t="str">
        <f>"9725B805"</f>
        <v>9725B805</v>
      </c>
      <c r="H9350" s="1" t="str">
        <f>"동교 5"</f>
        <v>동교 5</v>
      </c>
      <c r="I9350" s="1" t="s">
        <v>17</v>
      </c>
      <c r="J9350" s="1" t="str">
        <f>"12/21"</f>
        <v>12/21</v>
      </c>
      <c r="K9350" s="1" t="str">
        <f>"2026-07-29 13:18:11"</f>
        <v>2026-07-29 13:18:11</v>
      </c>
      <c r="L9350" s="1" t="str">
        <f>"2021-06-17 10:17:14"</f>
        <v>2021-06-17 10:17:14</v>
      </c>
      <c r="M9350" s="1" t="s">
        <v>3</v>
      </c>
      <c r="N9350" s="1" t="s">
        <v>38</v>
      </c>
      <c r="O9350" s="1" t="s">
        <v>46</v>
      </c>
    </row>
    <row r="9351" spans="2:15" x14ac:dyDescent="0.3">
      <c r="B9351" s="1" t="s">
        <v>21</v>
      </c>
      <c r="C9351" s="1" t="str">
        <f>"6차"</f>
        <v>6차</v>
      </c>
      <c r="D9351" s="1" t="str">
        <f>"9725B8126S"</f>
        <v>9725B8126S</v>
      </c>
      <c r="E9351" s="1" t="s">
        <v>10</v>
      </c>
      <c r="F9351" s="1" t="str">
        <f>"fde1:103:4:c796:0:0:0:2"</f>
        <v>fde1:103:4:c796:0:0:0:2</v>
      </c>
      <c r="G9351" s="1" t="str">
        <f>"9725B812"</f>
        <v>9725B812</v>
      </c>
      <c r="H9351" s="1" t="str">
        <f>"창천간 28R3"</f>
        <v>창천간 28R3</v>
      </c>
      <c r="I9351" s="1" t="s">
        <v>15</v>
      </c>
      <c r="J9351" s="1" t="str">
        <f>"50/52"</f>
        <v>50/52</v>
      </c>
      <c r="K9351" s="1" t="str">
        <f>"2026-07-29 14:20:59"</f>
        <v>2026-07-29 14:20:59</v>
      </c>
      <c r="L9351" s="1" t="str">
        <f>"2024-12-10 11:33:52"</f>
        <v>2024-12-10 11:33:52</v>
      </c>
      <c r="M9351" s="1" t="s">
        <v>4</v>
      </c>
      <c r="N9351" s="1" t="s">
        <v>38</v>
      </c>
      <c r="O9351" s="1" t="s">
        <v>46</v>
      </c>
    </row>
    <row r="9352" spans="2:15" x14ac:dyDescent="0.3">
      <c r="B9352" s="1" t="s">
        <v>21</v>
      </c>
      <c r="C9352" s="1" t="str">
        <f>"5-1차"</f>
        <v>5-1차</v>
      </c>
      <c r="D9352" s="1" t="str">
        <f>"9725B8215S"</f>
        <v>9725B8215S</v>
      </c>
      <c r="E9352" s="1" t="s">
        <v>10</v>
      </c>
      <c r="F9352" s="1" t="str">
        <f>"fde3:102:1302:2201:0:0:0:2"</f>
        <v>fde3:102:1302:2201:0:0:0:2</v>
      </c>
      <c r="G9352" s="1" t="str">
        <f>"9725B821"</f>
        <v>9725B821</v>
      </c>
      <c r="H9352" s="1" t="str">
        <f>"창천간 19L3"</f>
        <v>창천간 19L3</v>
      </c>
      <c r="I9352" s="1" t="s">
        <v>15</v>
      </c>
      <c r="J9352" s="1" t="str">
        <f>"34/34"</f>
        <v>34/34</v>
      </c>
      <c r="K9352" s="1" t="str">
        <f>"2026-07-29 14:20:59"</f>
        <v>2026-07-29 14:20:59</v>
      </c>
      <c r="L9352" s="1" t="str">
        <f>"2022-11-16 14:25:06"</f>
        <v>2022-11-16 14:25:06</v>
      </c>
      <c r="M9352" s="1" t="s">
        <v>45</v>
      </c>
      <c r="N9352" s="1" t="s">
        <v>38</v>
      </c>
      <c r="O9352" s="1" t="s">
        <v>46</v>
      </c>
    </row>
    <row r="9353" spans="2:15" x14ac:dyDescent="0.3">
      <c r="B9353" s="1" t="s">
        <v>21</v>
      </c>
      <c r="C9353" s="1" t="str">
        <f>"4차"</f>
        <v>4차</v>
      </c>
      <c r="D9353" s="1" t="str">
        <f>"9725B84144"</f>
        <v>9725B84144</v>
      </c>
      <c r="E9353" s="1" t="s">
        <v>10</v>
      </c>
      <c r="F9353" s="1" t="str">
        <f>"10.10.130.114"</f>
        <v>10.10.130.114</v>
      </c>
      <c r="G9353" s="1" t="str">
        <f>"9725B841"</f>
        <v>9725B841</v>
      </c>
      <c r="H9353" s="1" t="str">
        <f>"창천간 22"</f>
        <v>창천간 22</v>
      </c>
      <c r="I9353" s="1" t="s">
        <v>8</v>
      </c>
      <c r="J9353" s="1" t="str">
        <f>"19/19"</f>
        <v>19/19</v>
      </c>
      <c r="K9353" s="1" t="str">
        <f>"2026-07-29 13:18:11"</f>
        <v>2026-07-29 13:18:11</v>
      </c>
      <c r="L9353" s="1" t="str">
        <f>"2020-02-12 15:13:36"</f>
        <v>2020-02-12 15:13:36</v>
      </c>
      <c r="M9353" s="1" t="s">
        <v>1</v>
      </c>
      <c r="N9353" s="1" t="s">
        <v>38</v>
      </c>
      <c r="O9353" s="1" t="s">
        <v>46</v>
      </c>
    </row>
    <row r="9354" spans="2:15" x14ac:dyDescent="0.3">
      <c r="B9354" s="1" t="s">
        <v>21</v>
      </c>
      <c r="C9354" s="1" t="str">
        <f>"4차"</f>
        <v>4차</v>
      </c>
      <c r="D9354" s="1" t="str">
        <f>"9725B87241"</f>
        <v>9725B87241</v>
      </c>
      <c r="E9354" s="1" t="s">
        <v>10</v>
      </c>
      <c r="F9354" s="1" t="str">
        <f>"10.14.12.17"</f>
        <v>10.14.12.17</v>
      </c>
      <c r="G9354" s="1" t="str">
        <f>"9725B872"</f>
        <v>9725B872</v>
      </c>
      <c r="H9354" s="1" t="str">
        <f>"창천간 22R5"</f>
        <v>창천간 22R5</v>
      </c>
      <c r="I9354" s="1" t="s">
        <v>17</v>
      </c>
      <c r="J9354" s="1" t="str">
        <f>"63/89"</f>
        <v>63/89</v>
      </c>
      <c r="K9354" s="1" t="str">
        <f>"2026-07-29 13:18:11"</f>
        <v>2026-07-29 13:18:11</v>
      </c>
      <c r="L9354" s="1" t="str">
        <f>"2021-07-16 16:36:50"</f>
        <v>2021-07-16 16:36:50</v>
      </c>
      <c r="M9354" s="1" t="s">
        <v>3</v>
      </c>
      <c r="N9354" s="1" t="s">
        <v>38</v>
      </c>
      <c r="O9354" s="1" t="s">
        <v>46</v>
      </c>
    </row>
    <row r="9355" spans="2:15" x14ac:dyDescent="0.3">
      <c r="B9355" s="1" t="s">
        <v>21</v>
      </c>
      <c r="C9355" s="1" t="str">
        <f>"1차"</f>
        <v>1차</v>
      </c>
      <c r="D9355" s="1" t="str">
        <f>"9725B89400"</f>
        <v>9725B89400</v>
      </c>
      <c r="E9355" s="1" t="s">
        <v>10</v>
      </c>
      <c r="F9355" s="1" t="str">
        <f>"10.128.32.134"</f>
        <v>10.128.32.134</v>
      </c>
      <c r="G9355" s="1" t="str">
        <f>"9725B894"</f>
        <v>9725B894</v>
      </c>
      <c r="H9355" s="1" t="str">
        <f>"이연지 15R4"</f>
        <v>이연지 15R4</v>
      </c>
      <c r="I9355" s="1" t="s">
        <v>8</v>
      </c>
      <c r="J9355" s="1" t="str">
        <f>"25/25"</f>
        <v>25/25</v>
      </c>
      <c r="K9355" s="1" t="str">
        <f>"2026-07-29 13:18:10"</f>
        <v>2026-07-29 13:18:10</v>
      </c>
      <c r="L9355" s="1" t="str">
        <f>"2014-11-21 15:20:15"</f>
        <v>2014-11-21 15:20:15</v>
      </c>
      <c r="M9355" s="1" t="s">
        <v>45</v>
      </c>
      <c r="N9355" s="1" t="s">
        <v>38</v>
      </c>
      <c r="O9355" s="1" t="s">
        <v>46</v>
      </c>
    </row>
    <row r="9356" spans="2:15" x14ac:dyDescent="0.3">
      <c r="B9356" s="1" t="s">
        <v>21</v>
      </c>
      <c r="C9356" s="1" t="str">
        <f>"1차"</f>
        <v>1차</v>
      </c>
      <c r="D9356" s="1" t="str">
        <f>"9725B90101"</f>
        <v>9725B90101</v>
      </c>
      <c r="E9356" s="1" t="s">
        <v>10</v>
      </c>
      <c r="F9356" s="1" t="str">
        <f>"10.12.130.217"</f>
        <v>10.12.130.217</v>
      </c>
      <c r="G9356" s="1" t="str">
        <f>"9725B901"</f>
        <v>9725B901</v>
      </c>
      <c r="H9356" s="1" t="str">
        <f>"창천간 15"</f>
        <v>창천간 15</v>
      </c>
      <c r="I9356" s="1" t="s">
        <v>8</v>
      </c>
      <c r="J9356" s="1" t="str">
        <f>"72/77"</f>
        <v>72/77</v>
      </c>
      <c r="K9356" s="1" t="str">
        <f>"2026-07-29 13:18:12"</f>
        <v>2026-07-29 13:18:12</v>
      </c>
      <c r="L9356" s="1" t="str">
        <f>"2014-12-06 00:05:35"</f>
        <v>2014-12-06 00:05:35</v>
      </c>
      <c r="M9356" s="1" t="s">
        <v>0</v>
      </c>
      <c r="N9356" s="1" t="s">
        <v>38</v>
      </c>
      <c r="O9356" s="1" t="s">
        <v>46</v>
      </c>
    </row>
    <row r="9357" spans="2:15" x14ac:dyDescent="0.3">
      <c r="B9357" s="1" t="s">
        <v>21</v>
      </c>
      <c r="C9357" s="1" t="str">
        <f>"5-2차"</f>
        <v>5-2차</v>
      </c>
      <c r="D9357" s="1" t="str">
        <f>"9725B9215M"</f>
        <v>9725B9215M</v>
      </c>
      <c r="E9357" s="1" t="s">
        <v>10</v>
      </c>
      <c r="F9357" s="1" t="str">
        <f>"fde3:102:1302:2201:0:0:0:3"</f>
        <v>fde3:102:1302:2201:0:0:0:3</v>
      </c>
      <c r="G9357" s="1" t="str">
        <f>"9725B921"</f>
        <v>9725B921</v>
      </c>
      <c r="H9357" s="1" t="str">
        <f>"창천간 19L2"</f>
        <v>창천간 19L2</v>
      </c>
      <c r="I9357" s="1" t="s">
        <v>15</v>
      </c>
      <c r="J9357" s="1" t="str">
        <f>"74/74"</f>
        <v>74/74</v>
      </c>
      <c r="K9357" s="1" t="str">
        <f>"2026-07-29 14:21:39"</f>
        <v>2026-07-29 14:21:39</v>
      </c>
      <c r="L9357" s="1" t="str">
        <f>"2023-07-24 20:22:45"</f>
        <v>2023-07-24 20:22:45</v>
      </c>
      <c r="M9357" s="1" t="s">
        <v>45</v>
      </c>
      <c r="N9357" s="1" t="s">
        <v>38</v>
      </c>
      <c r="O9357" s="1" t="s">
        <v>46</v>
      </c>
    </row>
    <row r="9358" spans="2:15" x14ac:dyDescent="0.3">
      <c r="B9358" s="1" t="s">
        <v>21</v>
      </c>
      <c r="C9358" s="1" t="str">
        <f>"1차"</f>
        <v>1차</v>
      </c>
      <c r="D9358" s="1" t="str">
        <f>"9725B93100"</f>
        <v>9725B93100</v>
      </c>
      <c r="E9358" s="1" t="s">
        <v>14</v>
      </c>
      <c r="F9358" s="1" t="str">
        <f>"10.128.98.170"</f>
        <v>10.128.98.170</v>
      </c>
      <c r="G9358" s="1" t="str">
        <f>"9725B931"</f>
        <v>9725B931</v>
      </c>
      <c r="H9358" s="1" t="str">
        <f>"창천간 20"</f>
        <v>창천간 20</v>
      </c>
      <c r="I9358" s="1" t="s">
        <v>8</v>
      </c>
      <c r="J9358" s="1" t="str">
        <f>"0/0"</f>
        <v>0/0</v>
      </c>
      <c r="K9358" s="1" t="str">
        <f>"2026-04-09 01:18:03"</f>
        <v>2026-04-09 01:18:03</v>
      </c>
      <c r="L9358" s="1" t="str">
        <f>"2014-11-24 16:23:18"</f>
        <v>2014-11-24 16:23:18</v>
      </c>
      <c r="M9358" s="1" t="s">
        <v>45</v>
      </c>
      <c r="N9358" s="1" t="s">
        <v>44</v>
      </c>
      <c r="O9358" s="1" t="s">
        <v>44</v>
      </c>
    </row>
    <row r="9359" spans="2:15" x14ac:dyDescent="0.3">
      <c r="B9359" s="1" t="s">
        <v>21</v>
      </c>
      <c r="C9359" s="1" t="str">
        <f>"1차"</f>
        <v>1차</v>
      </c>
      <c r="D9359" s="1" t="str">
        <f>"9725B95100"</f>
        <v>9725B95100</v>
      </c>
      <c r="E9359" s="1" t="s">
        <v>10</v>
      </c>
      <c r="F9359" s="1" t="str">
        <f>"10.128.98.58"</f>
        <v>10.128.98.58</v>
      </c>
      <c r="G9359" s="1" t="str">
        <f>"9725B951"</f>
        <v>9725B951</v>
      </c>
      <c r="H9359" s="1" t="str">
        <f>"창천간 22R1"</f>
        <v>창천간 22R1</v>
      </c>
      <c r="I9359" s="1" t="s">
        <v>8</v>
      </c>
      <c r="J9359" s="1" t="str">
        <f>"51/51"</f>
        <v>51/51</v>
      </c>
      <c r="K9359" s="1" t="str">
        <f>"2026-07-29 13:18:10"</f>
        <v>2026-07-29 13:18:10</v>
      </c>
      <c r="L9359" s="1" t="str">
        <f>"2014-11-27 11:07:33"</f>
        <v>2014-11-27 11:07:33</v>
      </c>
      <c r="M9359" s="1" t="s">
        <v>45</v>
      </c>
      <c r="N9359" s="1" t="s">
        <v>38</v>
      </c>
      <c r="O9359" s="1" t="s">
        <v>46</v>
      </c>
    </row>
    <row r="9360" spans="2:15" x14ac:dyDescent="0.3">
      <c r="B9360" s="1" t="s">
        <v>21</v>
      </c>
      <c r="C9360" s="1" t="str">
        <f>"6차"</f>
        <v>6차</v>
      </c>
      <c r="D9360" s="1" t="str">
        <f>"9725B9536S"</f>
        <v>9725B9536S</v>
      </c>
      <c r="E9360" s="1" t="s">
        <v>10</v>
      </c>
      <c r="F9360" s="1" t="str">
        <f>"fde1:103:4:932e:0:0:0:2"</f>
        <v>fde1:103:4:932e:0:0:0:2</v>
      </c>
      <c r="G9360" s="1" t="str">
        <f>"9725B953"</f>
        <v>9725B953</v>
      </c>
      <c r="H9360" s="1" t="str">
        <f>"창천간 22R1R1"</f>
        <v>창천간 22R1R1</v>
      </c>
      <c r="I9360" s="1" t="s">
        <v>15</v>
      </c>
      <c r="J9360" s="1" t="str">
        <f>"42/42"</f>
        <v>42/42</v>
      </c>
      <c r="K9360" s="1" t="str">
        <f>"2026-07-29 14:21:00"</f>
        <v>2026-07-29 14:21:00</v>
      </c>
      <c r="L9360" s="1" t="str">
        <f>"2025-02-05 16:47:27"</f>
        <v>2025-02-05 16:47:27</v>
      </c>
      <c r="M9360" s="1" t="s">
        <v>4</v>
      </c>
      <c r="N9360" s="1" t="s">
        <v>38</v>
      </c>
      <c r="O9360" s="1" t="s">
        <v>46</v>
      </c>
    </row>
    <row r="9361" spans="2:15" x14ac:dyDescent="0.3">
      <c r="B9361" s="1" t="s">
        <v>21</v>
      </c>
      <c r="C9361" s="1" t="s">
        <v>16</v>
      </c>
      <c r="D9361" s="1" t="str">
        <f>"9725E00241"</f>
        <v>9725E00241</v>
      </c>
      <c r="E9361" s="1" t="s">
        <v>10</v>
      </c>
      <c r="F9361" s="1" t="str">
        <f>"10.14.15.131"</f>
        <v>10.14.15.131</v>
      </c>
      <c r="G9361" s="1" t="str">
        <f>"9725E002"</f>
        <v>9725E002</v>
      </c>
      <c r="H9361" s="1" t="str">
        <f>"창천간 14"</f>
        <v>창천간 14</v>
      </c>
      <c r="I9361" s="1" t="s">
        <v>17</v>
      </c>
      <c r="J9361" s="1" t="str">
        <f>"38/38"</f>
        <v>38/38</v>
      </c>
      <c r="K9361" s="1" t="str">
        <f>"2026-07-29 13:18:12"</f>
        <v>2026-07-29 13:18:12</v>
      </c>
      <c r="L9361" s="1" t="str">
        <f>"2022-11-15 13:27:49"</f>
        <v>2022-11-15 13:27:49</v>
      </c>
      <c r="M9361" s="1" t="s">
        <v>3</v>
      </c>
      <c r="N9361" s="1" t="s">
        <v>38</v>
      </c>
      <c r="O9361" s="1" t="s">
        <v>46</v>
      </c>
    </row>
    <row r="9362" spans="2:15" x14ac:dyDescent="0.3">
      <c r="B9362" s="1" t="s">
        <v>21</v>
      </c>
      <c r="C9362" s="1" t="str">
        <f>"6차"</f>
        <v>6차</v>
      </c>
      <c r="D9362" s="1" t="str">
        <f>"9725E0126S"</f>
        <v>9725E0126S</v>
      </c>
      <c r="E9362" s="1" t="s">
        <v>10</v>
      </c>
      <c r="F9362" s="1" t="str">
        <f>"fde1:103:4:c851:0:0:0:2"</f>
        <v>fde1:103:4:c851:0:0:0:2</v>
      </c>
      <c r="G9362" s="1" t="str">
        <f>"9725E012"</f>
        <v>9725E012</v>
      </c>
      <c r="H9362" s="1" t="str">
        <f>"창천간 16"</f>
        <v>창천간 16</v>
      </c>
      <c r="I9362" s="1" t="s">
        <v>15</v>
      </c>
      <c r="J9362" s="1" t="str">
        <f>"23/29"</f>
        <v>23/29</v>
      </c>
      <c r="K9362" s="1" t="str">
        <f>"2026-07-29 14:21:02"</f>
        <v>2026-07-29 14:21:02</v>
      </c>
      <c r="L9362" s="1" t="str">
        <f>"2024-12-06 11:23:27"</f>
        <v>2024-12-06 11:23:27</v>
      </c>
      <c r="M9362" s="1" t="s">
        <v>4</v>
      </c>
      <c r="N9362" s="1" t="s">
        <v>38</v>
      </c>
      <c r="O9362" s="1" t="s">
        <v>46</v>
      </c>
    </row>
    <row r="9363" spans="2:15" x14ac:dyDescent="0.3">
      <c r="B9363" s="1" t="s">
        <v>21</v>
      </c>
      <c r="C9363" s="1" t="str">
        <f>"1차"</f>
        <v>1차</v>
      </c>
      <c r="D9363" s="1" t="str">
        <f>"9725E03202"</f>
        <v>9725E03202</v>
      </c>
      <c r="E9363" s="1" t="s">
        <v>10</v>
      </c>
      <c r="F9363" s="1" t="str">
        <f>"10.14.5.127"</f>
        <v>10.14.5.127</v>
      </c>
      <c r="G9363" s="1" t="str">
        <f>"9725E032"</f>
        <v>9725E032</v>
      </c>
      <c r="H9363" s="1" t="str">
        <f>"창천간 19"</f>
        <v>창천간 19</v>
      </c>
      <c r="I9363" s="1" t="s">
        <v>8</v>
      </c>
      <c r="J9363" s="1" t="str">
        <f>"26/41"</f>
        <v>26/41</v>
      </c>
      <c r="K9363" s="1" t="str">
        <f>"2026-07-29 13:18:12"</f>
        <v>2026-07-29 13:18:12</v>
      </c>
      <c r="L9363" s="1" t="str">
        <f>"2014-11-20 13:10:12"</f>
        <v>2014-11-20 13:10:12</v>
      </c>
      <c r="M9363" s="1" t="s">
        <v>3</v>
      </c>
      <c r="N9363" s="1" t="s">
        <v>38</v>
      </c>
      <c r="O9363" s="1" t="s">
        <v>46</v>
      </c>
    </row>
    <row r="9364" spans="2:15" x14ac:dyDescent="0.3">
      <c r="B9364" s="1" t="s">
        <v>21</v>
      </c>
      <c r="C9364" s="1" t="str">
        <f>"1차"</f>
        <v>1차</v>
      </c>
      <c r="D9364" s="1" t="str">
        <f>"9725E04202"</f>
        <v>9725E04202</v>
      </c>
      <c r="E9364" s="1" t="s">
        <v>10</v>
      </c>
      <c r="F9364" s="1" t="str">
        <f>"10.128.98.60"</f>
        <v>10.128.98.60</v>
      </c>
      <c r="G9364" s="1" t="str">
        <f>"9725E042"</f>
        <v>9725E042</v>
      </c>
      <c r="H9364" s="1" t="str">
        <f>"창천간 22R1B2"</f>
        <v>창천간 22R1B2</v>
      </c>
      <c r="I9364" s="1" t="s">
        <v>8</v>
      </c>
      <c r="J9364" s="1" t="str">
        <f>"85/88"</f>
        <v>85/88</v>
      </c>
      <c r="K9364" s="1" t="str">
        <f>"2026-07-29 13:18:11"</f>
        <v>2026-07-29 13:18:11</v>
      </c>
      <c r="L9364" s="1" t="str">
        <f>"2014-11-27 11:32:05"</f>
        <v>2014-11-27 11:32:05</v>
      </c>
      <c r="M9364" s="1" t="s">
        <v>45</v>
      </c>
      <c r="N9364" s="1" t="s">
        <v>38</v>
      </c>
      <c r="O9364" s="1" t="s">
        <v>46</v>
      </c>
    </row>
    <row r="9365" spans="2:15" x14ac:dyDescent="0.3">
      <c r="B9365" s="1" t="s">
        <v>21</v>
      </c>
      <c r="C9365" s="1" t="str">
        <f>"1차"</f>
        <v>1차</v>
      </c>
      <c r="D9365" s="1" t="str">
        <f>"9725E10200"</f>
        <v>9725E10200</v>
      </c>
      <c r="E9365" s="1" t="s">
        <v>10</v>
      </c>
      <c r="F9365" s="1" t="str">
        <f>"10.128.112.195"</f>
        <v>10.128.112.195</v>
      </c>
      <c r="G9365" s="1" t="str">
        <f>"9725E102"</f>
        <v>9725E102</v>
      </c>
      <c r="H9365" s="1" t="str">
        <f>"창천간 12"</f>
        <v>창천간 12</v>
      </c>
      <c r="I9365" s="1" t="s">
        <v>8</v>
      </c>
      <c r="J9365" s="1" t="str">
        <f>"14/14"</f>
        <v>14/14</v>
      </c>
      <c r="K9365" s="1" t="str">
        <f>"2026-07-29 13:18:11"</f>
        <v>2026-07-29 13:18:11</v>
      </c>
      <c r="L9365" s="1" t="str">
        <f>"2019-10-08 15:37:28"</f>
        <v>2019-10-08 15:37:28</v>
      </c>
      <c r="M9365" s="1" t="s">
        <v>45</v>
      </c>
      <c r="N9365" s="1" t="s">
        <v>38</v>
      </c>
      <c r="O9365" s="1" t="s">
        <v>46</v>
      </c>
    </row>
    <row r="9366" spans="2:15" x14ac:dyDescent="0.3">
      <c r="B9366" s="1" t="s">
        <v>21</v>
      </c>
      <c r="C9366" s="1" t="str">
        <f>"1차"</f>
        <v>1차</v>
      </c>
      <c r="D9366" s="1" t="str">
        <f>"9725E11200"</f>
        <v>9725E11200</v>
      </c>
      <c r="E9366" s="1" t="s">
        <v>10</v>
      </c>
      <c r="F9366" s="1" t="str">
        <f>"10.128.98.154"</f>
        <v>10.128.98.154</v>
      </c>
      <c r="G9366" s="1" t="str">
        <f>"9725E112"</f>
        <v>9725E112</v>
      </c>
      <c r="H9366" s="1" t="str">
        <f>"창천간 16R3"</f>
        <v>창천간 16R3</v>
      </c>
      <c r="I9366" s="1" t="s">
        <v>8</v>
      </c>
      <c r="J9366" s="1" t="str">
        <f>"45/45"</f>
        <v>45/45</v>
      </c>
      <c r="K9366" s="1" t="str">
        <f>"2026-07-29 13:18:11"</f>
        <v>2026-07-29 13:18:11</v>
      </c>
      <c r="L9366" s="1" t="str">
        <f>"2014-11-27 11:33:15"</f>
        <v>2014-11-27 11:33:15</v>
      </c>
      <c r="M9366" s="1" t="s">
        <v>45</v>
      </c>
      <c r="N9366" s="1" t="s">
        <v>38</v>
      </c>
      <c r="O9366" s="1" t="s">
        <v>46</v>
      </c>
    </row>
    <row r="9367" spans="2:15" x14ac:dyDescent="0.3">
      <c r="B9367" s="1" t="s">
        <v>21</v>
      </c>
      <c r="C9367" s="1" t="str">
        <f>"5-1차"</f>
        <v>5-1차</v>
      </c>
      <c r="D9367" s="1" t="str">
        <f>"9725E1145M"</f>
        <v>9725E1145M</v>
      </c>
      <c r="E9367" s="1" t="s">
        <v>10</v>
      </c>
      <c r="F9367" s="1" t="str">
        <f>"fde3:102:1302:2100:0:0:0:2"</f>
        <v>fde3:102:1302:2100:0:0:0:2</v>
      </c>
      <c r="G9367" s="1" t="str">
        <f>"9725E114"</f>
        <v>9725E114</v>
      </c>
      <c r="H9367" s="1" t="str">
        <f>"창천간 16R2"</f>
        <v>창천간 16R2</v>
      </c>
      <c r="I9367" s="1" t="s">
        <v>15</v>
      </c>
      <c r="J9367" s="1" t="str">
        <f>"64/64"</f>
        <v>64/64</v>
      </c>
      <c r="K9367" s="1" t="str">
        <f>"2026-07-29 14:21:32"</f>
        <v>2026-07-29 14:21:32</v>
      </c>
      <c r="L9367" s="1" t="str">
        <f>"2022-12-01 08:33:05"</f>
        <v>2022-12-01 08:33:05</v>
      </c>
      <c r="M9367" s="1" t="s">
        <v>45</v>
      </c>
      <c r="N9367" s="1" t="s">
        <v>38</v>
      </c>
      <c r="O9367" s="1" t="s">
        <v>46</v>
      </c>
    </row>
    <row r="9368" spans="2:15" x14ac:dyDescent="0.3">
      <c r="B9368" s="1" t="s">
        <v>21</v>
      </c>
      <c r="C9368" s="1" t="str">
        <f>"6차"</f>
        <v>6차</v>
      </c>
      <c r="D9368" s="1" t="str">
        <f>"9725E1326S"</f>
        <v>9725E1326S</v>
      </c>
      <c r="E9368" s="1" t="s">
        <v>10</v>
      </c>
      <c r="F9368" s="1" t="str">
        <f>"fde1:103:4:c703:0:0:0:2"</f>
        <v>fde1:103:4:c703:0:0:0:2</v>
      </c>
      <c r="G9368" s="1" t="str">
        <f>"9725E132"</f>
        <v>9725E132</v>
      </c>
      <c r="H9368" s="1" t="str">
        <f>"창천간 18A1"</f>
        <v>창천간 18A1</v>
      </c>
      <c r="I9368" s="1" t="s">
        <v>15</v>
      </c>
      <c r="J9368" s="1" t="str">
        <f>"31/31"</f>
        <v>31/31</v>
      </c>
      <c r="K9368" s="1" t="str">
        <f>"2026-07-29 08:21:47"</f>
        <v>2026-07-29 08:21:47</v>
      </c>
      <c r="L9368" s="1" t="str">
        <f>"2024-12-06 11:33:15"</f>
        <v>2024-12-06 11:33:15</v>
      </c>
      <c r="M9368" s="1" t="s">
        <v>4</v>
      </c>
      <c r="N9368" s="1" t="s">
        <v>38</v>
      </c>
      <c r="O9368" s="1" t="s">
        <v>46</v>
      </c>
    </row>
    <row r="9369" spans="2:15" x14ac:dyDescent="0.3">
      <c r="B9369" s="1" t="s">
        <v>21</v>
      </c>
      <c r="C9369" s="1" t="str">
        <f>"1차"</f>
        <v>1차</v>
      </c>
      <c r="D9369" s="1" t="str">
        <f>"9725E13300"</f>
        <v>9725E13300</v>
      </c>
      <c r="E9369" s="1" t="s">
        <v>10</v>
      </c>
      <c r="F9369" s="1" t="str">
        <f>"10.128.112.194"</f>
        <v>10.128.112.194</v>
      </c>
      <c r="G9369" s="1" t="str">
        <f>"9725E133"</f>
        <v>9725E133</v>
      </c>
      <c r="H9369" s="1" t="str">
        <f>"창천간 1R11R4"</f>
        <v>창천간 1R11R4</v>
      </c>
      <c r="I9369" s="1" t="s">
        <v>8</v>
      </c>
      <c r="J9369" s="1" t="str">
        <f>"41/41"</f>
        <v>41/41</v>
      </c>
      <c r="K9369" s="1" t="str">
        <f>"2026-07-29 13:18:11"</f>
        <v>2026-07-29 13:18:11</v>
      </c>
      <c r="L9369" s="1" t="str">
        <f>"2014-11-24 16:31:26"</f>
        <v>2014-11-24 16:31:26</v>
      </c>
      <c r="M9369" s="1" t="s">
        <v>45</v>
      </c>
      <c r="N9369" s="1" t="s">
        <v>38</v>
      </c>
      <c r="O9369" s="1" t="s">
        <v>46</v>
      </c>
    </row>
    <row r="9370" spans="2:15" x14ac:dyDescent="0.3">
      <c r="B9370" s="1" t="s">
        <v>21</v>
      </c>
      <c r="C9370" s="1" t="str">
        <f>"5-2차"</f>
        <v>5-2차</v>
      </c>
      <c r="D9370" s="1" t="str">
        <f>"9725E1415S"</f>
        <v>9725E1415S</v>
      </c>
      <c r="E9370" s="1" t="s">
        <v>10</v>
      </c>
      <c r="F9370" s="1" t="str">
        <f>"fde3:102:1302:2202:0:0:0:3"</f>
        <v>fde3:102:1302:2202:0:0:0:3</v>
      </c>
      <c r="G9370" s="1" t="str">
        <f>"9725E141"</f>
        <v>9725E141</v>
      </c>
      <c r="H9370" s="1" t="str">
        <f>"창천간 19R2"</f>
        <v>창천간 19R2</v>
      </c>
      <c r="I9370" s="1" t="s">
        <v>15</v>
      </c>
      <c r="J9370" s="1" t="str">
        <f>"75/75"</f>
        <v>75/75</v>
      </c>
      <c r="K9370" s="1" t="str">
        <f>"2026-07-29 14:21:30"</f>
        <v>2026-07-29 14:21:30</v>
      </c>
      <c r="L9370" s="1" t="str">
        <f>"2023-09-14 17:17:38"</f>
        <v>2023-09-14 17:17:38</v>
      </c>
      <c r="M9370" s="1" t="s">
        <v>45</v>
      </c>
      <c r="N9370" s="1" t="s">
        <v>38</v>
      </c>
      <c r="O9370" s="1" t="s">
        <v>46</v>
      </c>
    </row>
    <row r="9371" spans="2:15" x14ac:dyDescent="0.3">
      <c r="B9371" s="1" t="s">
        <v>21</v>
      </c>
      <c r="C9371" s="1" t="str">
        <f>"6차"</f>
        <v>6차</v>
      </c>
      <c r="D9371" s="1" t="str">
        <f>"9725E1526S"</f>
        <v>9725E1526S</v>
      </c>
      <c r="E9371" s="1" t="s">
        <v>10</v>
      </c>
      <c r="F9371" s="1" t="str">
        <f>"fde1:103:4:c71e:0:0:0:2"</f>
        <v>fde1:103:4:c71e:0:0:0:2</v>
      </c>
      <c r="G9371" s="1" t="str">
        <f>"9725E152"</f>
        <v>9725E152</v>
      </c>
      <c r="H9371" s="1" t="str">
        <f>"창천간 19R2L1"</f>
        <v>창천간 19R2L1</v>
      </c>
      <c r="I9371" s="1" t="s">
        <v>15</v>
      </c>
      <c r="J9371" s="1" t="str">
        <f>"40/40"</f>
        <v>40/40</v>
      </c>
      <c r="K9371" s="1" t="str">
        <f>"2026-07-29 14:21:30"</f>
        <v>2026-07-29 14:21:30</v>
      </c>
      <c r="L9371" s="1" t="str">
        <f>"2024-12-06 11:23:31"</f>
        <v>2024-12-06 11:23:31</v>
      </c>
      <c r="M9371" s="1" t="s">
        <v>4</v>
      </c>
      <c r="N9371" s="1" t="s">
        <v>38</v>
      </c>
      <c r="O9371" s="1" t="s">
        <v>46</v>
      </c>
    </row>
    <row r="9372" spans="2:15" x14ac:dyDescent="0.3">
      <c r="B9372" s="1" t="s">
        <v>21</v>
      </c>
      <c r="C9372" s="1" t="str">
        <f>"1차"</f>
        <v>1차</v>
      </c>
      <c r="D9372" s="1" t="str">
        <f>"9725E17102"</f>
        <v>9725E17102</v>
      </c>
      <c r="E9372" s="1" t="s">
        <v>14</v>
      </c>
      <c r="F9372" s="1" t="str">
        <f>"10.128.32.232"</f>
        <v>10.128.32.232</v>
      </c>
      <c r="G9372" s="1" t="str">
        <f>"9725E171"</f>
        <v>9725E171</v>
      </c>
      <c r="H9372" s="1" t="str">
        <f>"이연지 19"</f>
        <v>이연지 19</v>
      </c>
      <c r="I9372" s="1" t="s">
        <v>8</v>
      </c>
      <c r="J9372" s="1" t="str">
        <f>"0/0"</f>
        <v>0/0</v>
      </c>
      <c r="K9372" s="1" t="str">
        <f>"2024-04-28 15:20:04"</f>
        <v>2024-04-28 15:20:04</v>
      </c>
      <c r="L9372" s="1" t="str">
        <f>"2014-11-26 16:57:44"</f>
        <v>2014-11-26 16:57:44</v>
      </c>
      <c r="M9372" s="1" t="s">
        <v>45</v>
      </c>
      <c r="N9372" s="1" t="s">
        <v>44</v>
      </c>
      <c r="O9372" s="1" t="s">
        <v>44</v>
      </c>
    </row>
    <row r="9373" spans="2:15" x14ac:dyDescent="0.3">
      <c r="B9373" s="1" t="s">
        <v>21</v>
      </c>
      <c r="C9373" s="1" t="str">
        <f>"1차"</f>
        <v>1차</v>
      </c>
      <c r="D9373" s="1" t="str">
        <f>"9725E23101"</f>
        <v>9725E23101</v>
      </c>
      <c r="E9373" s="1" t="s">
        <v>14</v>
      </c>
      <c r="F9373" s="1" t="str">
        <f>"10.128.98.51"</f>
        <v>10.128.98.51</v>
      </c>
      <c r="G9373" s="1" t="str">
        <f>"9725E231"</f>
        <v>9725E231</v>
      </c>
      <c r="H9373" s="1" t="str">
        <f>"창천간 1R11R2"</f>
        <v>창천간 1R11R2</v>
      </c>
      <c r="I9373" s="1" t="s">
        <v>8</v>
      </c>
      <c r="J9373" s="1" t="str">
        <f>"0/0"</f>
        <v>0/0</v>
      </c>
      <c r="K9373" s="1" t="str">
        <f>"2024-05-02 15:20:22"</f>
        <v>2024-05-02 15:20:22</v>
      </c>
      <c r="L9373" s="1" t="str">
        <f>"2014-11-04 00:12:40"</f>
        <v>2014-11-04 00:12:40</v>
      </c>
      <c r="M9373" s="1" t="s">
        <v>45</v>
      </c>
      <c r="N9373" s="1" t="s">
        <v>44</v>
      </c>
      <c r="O9373" s="1" t="s">
        <v>44</v>
      </c>
    </row>
    <row r="9374" spans="2:15" x14ac:dyDescent="0.3">
      <c r="B9374" s="1" t="s">
        <v>21</v>
      </c>
      <c r="C9374" s="1" t="str">
        <f>"1차"</f>
        <v>1차</v>
      </c>
      <c r="D9374" s="1" t="str">
        <f>"9725E24101"</f>
        <v>9725E24101</v>
      </c>
      <c r="E9374" s="1" t="s">
        <v>10</v>
      </c>
      <c r="F9374" s="1" t="str">
        <f>"10.128.97.235"</f>
        <v>10.128.97.235</v>
      </c>
      <c r="G9374" s="1" t="str">
        <f>"9725E241"</f>
        <v>9725E241</v>
      </c>
      <c r="H9374" s="1" t="str">
        <f>"창천간 1R10A2"</f>
        <v>창천간 1R10A2</v>
      </c>
      <c r="I9374" s="1" t="s">
        <v>8</v>
      </c>
      <c r="J9374" s="1" t="str">
        <f>"20/20"</f>
        <v>20/20</v>
      </c>
      <c r="K9374" s="1" t="str">
        <f>"2026-07-29 13:18:11"</f>
        <v>2026-07-29 13:18:11</v>
      </c>
      <c r="L9374" s="1" t="str">
        <f>"2014-11-03 15:49:01"</f>
        <v>2014-11-03 15:49:01</v>
      </c>
      <c r="M9374" s="1" t="s">
        <v>45</v>
      </c>
      <c r="N9374" s="1" t="s">
        <v>38</v>
      </c>
      <c r="O9374" s="1" t="s">
        <v>46</v>
      </c>
    </row>
    <row r="9375" spans="2:15" x14ac:dyDescent="0.3">
      <c r="B9375" s="1" t="s">
        <v>21</v>
      </c>
      <c r="C9375" s="1" t="str">
        <f>"4차"</f>
        <v>4차</v>
      </c>
      <c r="D9375" s="1" t="str">
        <f>"9725E25144"</f>
        <v>9725E25144</v>
      </c>
      <c r="E9375" s="1" t="s">
        <v>10</v>
      </c>
      <c r="F9375" s="1" t="str">
        <f>"10.10.130.138"</f>
        <v>10.10.130.138</v>
      </c>
      <c r="G9375" s="1" t="str">
        <f>"9725E251"</f>
        <v>9725E251</v>
      </c>
      <c r="H9375" s="1" t="str">
        <f>"창천간 19R4"</f>
        <v>창천간 19R4</v>
      </c>
      <c r="I9375" s="1" t="s">
        <v>8</v>
      </c>
      <c r="J9375" s="1" t="str">
        <f>"18/18"</f>
        <v>18/18</v>
      </c>
      <c r="K9375" s="1" t="str">
        <f>"2026-07-29 13:18:11"</f>
        <v>2026-07-29 13:18:11</v>
      </c>
      <c r="L9375" s="1" t="str">
        <f>"2019-11-08 15:43:04"</f>
        <v>2019-11-08 15:43:04</v>
      </c>
      <c r="M9375" s="1" t="s">
        <v>1</v>
      </c>
      <c r="N9375" s="1" t="s">
        <v>38</v>
      </c>
      <c r="O9375" s="1" t="s">
        <v>46</v>
      </c>
    </row>
    <row r="9376" spans="2:15" x14ac:dyDescent="0.3">
      <c r="B9376" s="1" t="s">
        <v>21</v>
      </c>
      <c r="C9376" s="1" t="str">
        <f>"1차"</f>
        <v>1차</v>
      </c>
      <c r="D9376" s="1" t="str">
        <f>"9725E25400"</f>
        <v>9725E25400</v>
      </c>
      <c r="E9376" s="1" t="s">
        <v>10</v>
      </c>
      <c r="F9376" s="1" t="str">
        <f>"10.128.98.138"</f>
        <v>10.128.98.138</v>
      </c>
      <c r="G9376" s="1" t="str">
        <f>"9725E254"</f>
        <v>9725E254</v>
      </c>
      <c r="H9376" s="1" t="str">
        <f>"창천간 19R5"</f>
        <v>창천간 19R5</v>
      </c>
      <c r="I9376" s="1" t="s">
        <v>8</v>
      </c>
      <c r="J9376" s="1" t="str">
        <f>"23/23"</f>
        <v>23/23</v>
      </c>
      <c r="K9376" s="1" t="str">
        <f>"2026-07-29 13:18:11"</f>
        <v>2026-07-29 13:18:11</v>
      </c>
      <c r="L9376" s="1" t="str">
        <f>"2014-12-05 14:08:58"</f>
        <v>2014-12-05 14:08:58</v>
      </c>
      <c r="M9376" s="1" t="s">
        <v>45</v>
      </c>
      <c r="N9376" s="1" t="s">
        <v>38</v>
      </c>
      <c r="O9376" s="1" t="s">
        <v>46</v>
      </c>
    </row>
    <row r="9377" spans="2:15" x14ac:dyDescent="0.3">
      <c r="B9377" s="1" t="s">
        <v>21</v>
      </c>
      <c r="C9377" s="1" t="str">
        <f>"5-2차"</f>
        <v>5-2차</v>
      </c>
      <c r="D9377" s="1" t="str">
        <f>"9725E3125M"</f>
        <v>9725E3125M</v>
      </c>
      <c r="E9377" s="1" t="s">
        <v>10</v>
      </c>
      <c r="F9377" s="1" t="str">
        <f>"fde3:102:1302:2100:0:0:0:4"</f>
        <v>fde3:102:1302:2100:0:0:0:4</v>
      </c>
      <c r="G9377" s="1" t="str">
        <f>"9725E312"</f>
        <v>9725E312</v>
      </c>
      <c r="H9377" s="1" t="str">
        <f>"창천간 1R14L2"</f>
        <v>창천간 1R14L2</v>
      </c>
      <c r="I9377" s="1" t="s">
        <v>15</v>
      </c>
      <c r="J9377" s="1" t="str">
        <f>"15/29"</f>
        <v>15/29</v>
      </c>
      <c r="K9377" s="1" t="str">
        <f>"2026-07-29 14:21:00"</f>
        <v>2026-07-29 14:21:00</v>
      </c>
      <c r="L9377" s="1" t="str">
        <f>"2023-07-24 20:23:17"</f>
        <v>2023-07-24 20:23:17</v>
      </c>
      <c r="M9377" s="1" t="s">
        <v>45</v>
      </c>
      <c r="N9377" s="1" t="s">
        <v>38</v>
      </c>
      <c r="O9377" s="1" t="s">
        <v>46</v>
      </c>
    </row>
    <row r="9378" spans="2:15" x14ac:dyDescent="0.3">
      <c r="B9378" s="1" t="s">
        <v>21</v>
      </c>
      <c r="C9378" s="1" t="str">
        <f>"1차"</f>
        <v>1차</v>
      </c>
      <c r="D9378" s="1" t="str">
        <f>"9725E31600"</f>
        <v>9725E31600</v>
      </c>
      <c r="E9378" s="1" t="s">
        <v>10</v>
      </c>
      <c r="F9378" s="1" t="str">
        <f>"10.128.97.90"</f>
        <v>10.128.97.90</v>
      </c>
      <c r="G9378" s="1" t="str">
        <f>"9725E316"</f>
        <v>9725E316</v>
      </c>
      <c r="H9378" s="1" t="str">
        <f>"창천간 1R12"</f>
        <v>창천간 1R12</v>
      </c>
      <c r="I9378" s="1" t="s">
        <v>8</v>
      </c>
      <c r="J9378" s="1" t="str">
        <f>"1/1"</f>
        <v>1/1</v>
      </c>
      <c r="K9378" s="1" t="str">
        <f t="shared" ref="K9378:K9384" si="474">"2026-07-29 13:18:11"</f>
        <v>2026-07-29 13:18:11</v>
      </c>
      <c r="L9378" s="1" t="str">
        <f>"2021-07-27 10:22:38"</f>
        <v>2021-07-27 10:22:38</v>
      </c>
      <c r="M9378" s="1" t="s">
        <v>45</v>
      </c>
      <c r="N9378" s="1" t="s">
        <v>38</v>
      </c>
      <c r="O9378" s="1" t="s">
        <v>46</v>
      </c>
    </row>
    <row r="9379" spans="2:15" x14ac:dyDescent="0.3">
      <c r="B9379" s="1" t="s">
        <v>21</v>
      </c>
      <c r="C9379" s="1" t="str">
        <f>"4차"</f>
        <v>4차</v>
      </c>
      <c r="D9379" s="1" t="str">
        <f>"9725E32244"</f>
        <v>9725E32244</v>
      </c>
      <c r="E9379" s="1" t="s">
        <v>10</v>
      </c>
      <c r="F9379" s="1" t="str">
        <f>"10.10.130.154"</f>
        <v>10.10.130.154</v>
      </c>
      <c r="G9379" s="1" t="str">
        <f>"9725E322"</f>
        <v>9725E322</v>
      </c>
      <c r="H9379" s="1" t="str">
        <f>"창천간 1R12L1"</f>
        <v>창천간 1R12L1</v>
      </c>
      <c r="I9379" s="1" t="s">
        <v>8</v>
      </c>
      <c r="J9379" s="1" t="str">
        <f>"4/13"</f>
        <v>4/13</v>
      </c>
      <c r="K9379" s="1" t="str">
        <f t="shared" si="474"/>
        <v>2026-07-29 13:18:11</v>
      </c>
      <c r="L9379" s="1" t="str">
        <f>"2019-11-08 15:23:04"</f>
        <v>2019-11-08 15:23:04</v>
      </c>
      <c r="M9379" s="1" t="s">
        <v>1</v>
      </c>
      <c r="N9379" s="1" t="s">
        <v>38</v>
      </c>
      <c r="O9379" s="1" t="s">
        <v>46</v>
      </c>
    </row>
    <row r="9380" spans="2:15" x14ac:dyDescent="0.3">
      <c r="B9380" s="1" t="s">
        <v>21</v>
      </c>
      <c r="C9380" s="1" t="str">
        <f>"1차"</f>
        <v>1차</v>
      </c>
      <c r="D9380" s="1" t="str">
        <f>"9725E32401"</f>
        <v>9725E32401</v>
      </c>
      <c r="E9380" s="1" t="s">
        <v>10</v>
      </c>
      <c r="F9380" s="1" t="str">
        <f>"10.12.132.158"</f>
        <v>10.12.132.158</v>
      </c>
      <c r="G9380" s="1" t="str">
        <f>"9725E324"</f>
        <v>9725E324</v>
      </c>
      <c r="H9380" s="1" t="str">
        <f>"창천간 18A4"</f>
        <v>창천간 18A4</v>
      </c>
      <c r="I9380" s="1" t="s">
        <v>8</v>
      </c>
      <c r="J9380" s="1" t="str">
        <f>"25/34"</f>
        <v>25/34</v>
      </c>
      <c r="K9380" s="1" t="str">
        <f t="shared" si="474"/>
        <v>2026-07-29 13:18:11</v>
      </c>
      <c r="L9380" s="1" t="str">
        <f>"2014-11-20 13:11:18"</f>
        <v>2014-11-20 13:11:18</v>
      </c>
      <c r="M9380" s="1" t="s">
        <v>0</v>
      </c>
      <c r="N9380" s="1" t="s">
        <v>38</v>
      </c>
      <c r="O9380" s="1" t="s">
        <v>46</v>
      </c>
    </row>
    <row r="9381" spans="2:15" x14ac:dyDescent="0.3">
      <c r="B9381" s="1" t="s">
        <v>21</v>
      </c>
      <c r="C9381" s="1" t="str">
        <f>"1차"</f>
        <v>1차</v>
      </c>
      <c r="D9381" s="1" t="str">
        <f>"9725E33100"</f>
        <v>9725E33100</v>
      </c>
      <c r="E9381" s="1" t="s">
        <v>10</v>
      </c>
      <c r="F9381" s="1" t="str">
        <f>"10.128.97.234"</f>
        <v>10.128.97.234</v>
      </c>
      <c r="G9381" s="1" t="str">
        <f>"9725E331"</f>
        <v>9725E331</v>
      </c>
      <c r="H9381" s="1" t="str">
        <f>"창천간 1R10"</f>
        <v>창천간 1R10</v>
      </c>
      <c r="I9381" s="1" t="s">
        <v>8</v>
      </c>
      <c r="J9381" s="1" t="str">
        <f>"26/26"</f>
        <v>26/26</v>
      </c>
      <c r="K9381" s="1" t="str">
        <f t="shared" si="474"/>
        <v>2026-07-29 13:18:11</v>
      </c>
      <c r="L9381" s="1" t="str">
        <f>"2014-11-03 15:46:50"</f>
        <v>2014-11-03 15:46:50</v>
      </c>
      <c r="M9381" s="1" t="s">
        <v>45</v>
      </c>
      <c r="N9381" s="1" t="s">
        <v>38</v>
      </c>
      <c r="O9381" s="1" t="s">
        <v>46</v>
      </c>
    </row>
    <row r="9382" spans="2:15" x14ac:dyDescent="0.3">
      <c r="B9382" s="1" t="s">
        <v>21</v>
      </c>
      <c r="C9382" s="1" t="str">
        <f>"1차"</f>
        <v>1차</v>
      </c>
      <c r="D9382" s="1" t="str">
        <f>"9725E33200"</f>
        <v>9725E33200</v>
      </c>
      <c r="E9382" s="1" t="s">
        <v>10</v>
      </c>
      <c r="F9382" s="1" t="str">
        <f>"10.128.98.50"</f>
        <v>10.128.98.50</v>
      </c>
      <c r="G9382" s="1" t="str">
        <f>"9725E332"</f>
        <v>9725E332</v>
      </c>
      <c r="H9382" s="1" t="str">
        <f>"창천간 1R11R1"</f>
        <v>창천간 1R11R1</v>
      </c>
      <c r="I9382" s="1" t="s">
        <v>8</v>
      </c>
      <c r="J9382" s="1" t="str">
        <f>"37/37"</f>
        <v>37/37</v>
      </c>
      <c r="K9382" s="1" t="str">
        <f t="shared" si="474"/>
        <v>2026-07-29 13:18:11</v>
      </c>
      <c r="L9382" s="1" t="str">
        <f>"2014-11-03 15:55:11"</f>
        <v>2014-11-03 15:55:11</v>
      </c>
      <c r="M9382" s="1" t="s">
        <v>45</v>
      </c>
      <c r="N9382" s="1" t="s">
        <v>38</v>
      </c>
      <c r="O9382" s="1" t="s">
        <v>46</v>
      </c>
    </row>
    <row r="9383" spans="2:15" x14ac:dyDescent="0.3">
      <c r="B9383" s="1" t="s">
        <v>21</v>
      </c>
      <c r="C9383" s="1" t="str">
        <f>"4차"</f>
        <v>4차</v>
      </c>
      <c r="D9383" s="1" t="str">
        <f>"9725E34244"</f>
        <v>9725E34244</v>
      </c>
      <c r="E9383" s="1" t="s">
        <v>10</v>
      </c>
      <c r="F9383" s="1" t="str">
        <f>"10.10.130.162"</f>
        <v>10.10.130.162</v>
      </c>
      <c r="G9383" s="1" t="str">
        <f>"9725E342"</f>
        <v>9725E342</v>
      </c>
      <c r="H9383" s="1" t="str">
        <f>"창천간 1R10R2"</f>
        <v>창천간 1R10R2</v>
      </c>
      <c r="I9383" s="1" t="s">
        <v>8</v>
      </c>
      <c r="J9383" s="1" t="str">
        <f>"8/8"</f>
        <v>8/8</v>
      </c>
      <c r="K9383" s="1" t="str">
        <f t="shared" si="474"/>
        <v>2026-07-29 13:18:11</v>
      </c>
      <c r="L9383" s="1" t="str">
        <f>"2019-11-08 17:13:05"</f>
        <v>2019-11-08 17:13:05</v>
      </c>
      <c r="M9383" s="1" t="s">
        <v>1</v>
      </c>
      <c r="N9383" s="1" t="s">
        <v>38</v>
      </c>
      <c r="O9383" s="1" t="s">
        <v>46</v>
      </c>
    </row>
    <row r="9384" spans="2:15" x14ac:dyDescent="0.3">
      <c r="B9384" s="1" t="s">
        <v>21</v>
      </c>
      <c r="C9384" s="1" t="str">
        <f>"4차"</f>
        <v>4차</v>
      </c>
      <c r="D9384" s="1" t="str">
        <f>"9725E34344"</f>
        <v>9725E34344</v>
      </c>
      <c r="E9384" s="1" t="s">
        <v>14</v>
      </c>
      <c r="F9384" s="1" t="str">
        <f>"10.10.130.170"</f>
        <v>10.10.130.170</v>
      </c>
      <c r="G9384" s="1" t="str">
        <f>"9725E343"</f>
        <v>9725E343</v>
      </c>
      <c r="H9384" s="1" t="str">
        <f>"창천간 1R10A1H1"</f>
        <v>창천간 1R10A1H1</v>
      </c>
      <c r="I9384" s="1" t="s">
        <v>8</v>
      </c>
      <c r="J9384" s="1" t="str">
        <f>"0/0"</f>
        <v>0/0</v>
      </c>
      <c r="K9384" s="1" t="str">
        <f t="shared" si="474"/>
        <v>2026-07-29 13:18:11</v>
      </c>
      <c r="L9384" s="1" t="str">
        <f>"2019-11-08 15:53:04"</f>
        <v>2019-11-08 15:53:04</v>
      </c>
      <c r="M9384" s="1" t="s">
        <v>1</v>
      </c>
      <c r="N9384" s="1" t="s">
        <v>38</v>
      </c>
      <c r="O9384" s="1" t="s">
        <v>44</v>
      </c>
    </row>
    <row r="9385" spans="2:15" x14ac:dyDescent="0.3">
      <c r="B9385" s="1" t="s">
        <v>21</v>
      </c>
      <c r="C9385" s="1" t="str">
        <f>"6차"</f>
        <v>6차</v>
      </c>
      <c r="D9385" s="1" t="str">
        <f>"9725E4116S"</f>
        <v>9725E4116S</v>
      </c>
      <c r="E9385" s="1" t="s">
        <v>10</v>
      </c>
      <c r="F9385" s="1" t="str">
        <f>"fde1:103:4:c846:0:0:0:2"</f>
        <v>fde1:103:4:c846:0:0:0:2</v>
      </c>
      <c r="G9385" s="1" t="str">
        <f>"9725E411"</f>
        <v>9725E411</v>
      </c>
      <c r="H9385" s="1" t="str">
        <f>"창천간 1R14L3"</f>
        <v>창천간 1R14L3</v>
      </c>
      <c r="I9385" s="1" t="s">
        <v>15</v>
      </c>
      <c r="J9385" s="1" t="str">
        <f>"26/26"</f>
        <v>26/26</v>
      </c>
      <c r="K9385" s="1" t="str">
        <f>"2026-07-29 14:21:31"</f>
        <v>2026-07-29 14:21:31</v>
      </c>
      <c r="L9385" s="1" t="str">
        <f>"2024-12-06 11:23:31"</f>
        <v>2024-12-06 11:23:31</v>
      </c>
      <c r="M9385" s="1" t="s">
        <v>4</v>
      </c>
      <c r="N9385" s="1" t="s">
        <v>38</v>
      </c>
      <c r="O9385" s="1" t="s">
        <v>46</v>
      </c>
    </row>
    <row r="9386" spans="2:15" x14ac:dyDescent="0.3">
      <c r="B9386" s="1" t="s">
        <v>21</v>
      </c>
      <c r="C9386" s="1" t="str">
        <f>"1차"</f>
        <v>1차</v>
      </c>
      <c r="D9386" s="1" t="str">
        <f>"9725E41200"</f>
        <v>9725E41200</v>
      </c>
      <c r="E9386" s="1" t="s">
        <v>10</v>
      </c>
      <c r="F9386" s="1" t="str">
        <f>"10.128.98.106"</f>
        <v>10.128.98.106</v>
      </c>
      <c r="G9386" s="1" t="str">
        <f>"9725E412"</f>
        <v>9725E412</v>
      </c>
      <c r="H9386" s="1" t="str">
        <f>"창천간 1R14L4"</f>
        <v>창천간 1R14L4</v>
      </c>
      <c r="I9386" s="1" t="s">
        <v>8</v>
      </c>
      <c r="J9386" s="1" t="str">
        <f>"6/6"</f>
        <v>6/6</v>
      </c>
      <c r="K9386" s="1" t="str">
        <f>"2026-07-29 13:18:11"</f>
        <v>2026-07-29 13:18:11</v>
      </c>
      <c r="L9386" s="1" t="str">
        <f>"2014-12-08 11:14:50"</f>
        <v>2014-12-08 11:14:50</v>
      </c>
      <c r="M9386" s="1" t="s">
        <v>45</v>
      </c>
      <c r="N9386" s="1" t="s">
        <v>38</v>
      </c>
      <c r="O9386" s="1" t="s">
        <v>46</v>
      </c>
    </row>
    <row r="9387" spans="2:15" x14ac:dyDescent="0.3">
      <c r="B9387" s="1" t="s">
        <v>21</v>
      </c>
      <c r="C9387" s="1" t="str">
        <f>"1차"</f>
        <v>1차</v>
      </c>
      <c r="D9387" s="1" t="str">
        <f>"9725E42201"</f>
        <v>9725E42201</v>
      </c>
      <c r="E9387" s="1" t="s">
        <v>10</v>
      </c>
      <c r="F9387" s="1" t="str">
        <f>"10.12.130.228"</f>
        <v>10.12.130.228</v>
      </c>
      <c r="G9387" s="1" t="str">
        <f>"9725E422"</f>
        <v>9725E422</v>
      </c>
      <c r="H9387" s="1" t="str">
        <f>"창천간 1R3L3"</f>
        <v>창천간 1R3L3</v>
      </c>
      <c r="I9387" s="1" t="s">
        <v>8</v>
      </c>
      <c r="J9387" s="1" t="str">
        <f>"16/20"</f>
        <v>16/20</v>
      </c>
      <c r="K9387" s="1" t="str">
        <f>"2026-07-29 13:18:11"</f>
        <v>2026-07-29 13:18:11</v>
      </c>
      <c r="L9387" s="1" t="str">
        <f>"2014-11-25 17:26:39"</f>
        <v>2014-11-25 17:26:39</v>
      </c>
      <c r="M9387" s="1" t="s">
        <v>0</v>
      </c>
      <c r="N9387" s="1" t="s">
        <v>38</v>
      </c>
      <c r="O9387" s="1" t="s">
        <v>46</v>
      </c>
    </row>
    <row r="9388" spans="2:15" x14ac:dyDescent="0.3">
      <c r="B9388" s="1" t="s">
        <v>21</v>
      </c>
      <c r="C9388" s="1" t="str">
        <f>"1차"</f>
        <v>1차</v>
      </c>
      <c r="D9388" s="1" t="str">
        <f>"9725E43101"</f>
        <v>9725E43101</v>
      </c>
      <c r="E9388" s="1" t="s">
        <v>10</v>
      </c>
      <c r="F9388" s="1" t="str">
        <f>"10.12.132.6"</f>
        <v>10.12.132.6</v>
      </c>
      <c r="G9388" s="1" t="str">
        <f>"9725E431"</f>
        <v>9725E431</v>
      </c>
      <c r="H9388" s="1" t="str">
        <f>"창천간 1R9"</f>
        <v>창천간 1R9</v>
      </c>
      <c r="I9388" s="1" t="s">
        <v>8</v>
      </c>
      <c r="J9388" s="1" t="str">
        <f>"30/30"</f>
        <v>30/30</v>
      </c>
      <c r="K9388" s="1" t="str">
        <f>"2026-07-29 13:18:12"</f>
        <v>2026-07-29 13:18:12</v>
      </c>
      <c r="L9388" s="1" t="str">
        <f>"2014-11-24 16:28:05"</f>
        <v>2014-11-24 16:28:05</v>
      </c>
      <c r="M9388" s="1" t="s">
        <v>0</v>
      </c>
      <c r="N9388" s="1" t="s">
        <v>38</v>
      </c>
      <c r="O9388" s="1" t="s">
        <v>46</v>
      </c>
    </row>
    <row r="9389" spans="2:15" x14ac:dyDescent="0.3">
      <c r="B9389" s="1" t="s">
        <v>21</v>
      </c>
      <c r="C9389" s="1" t="str">
        <f>"1차"</f>
        <v>1차</v>
      </c>
      <c r="D9389" s="1" t="str">
        <f>"9725E43301"</f>
        <v>9725E43301</v>
      </c>
      <c r="E9389" s="1" t="s">
        <v>10</v>
      </c>
      <c r="F9389" s="1" t="str">
        <f>"10.12.130.49"</f>
        <v>10.12.130.49</v>
      </c>
      <c r="G9389" s="1" t="str">
        <f>"9725E433"</f>
        <v>9725E433</v>
      </c>
      <c r="H9389" s="1" t="str">
        <f>"창천간 1R11L1"</f>
        <v>창천간 1R11L1</v>
      </c>
      <c r="I9389" s="1" t="s">
        <v>8</v>
      </c>
      <c r="J9389" s="1" t="str">
        <f>"38/38"</f>
        <v>38/38</v>
      </c>
      <c r="K9389" s="1" t="str">
        <f>"2026-07-29 13:18:12"</f>
        <v>2026-07-29 13:18:12</v>
      </c>
      <c r="L9389" s="1" t="str">
        <f>"2014-11-24 16:30:20"</f>
        <v>2014-11-24 16:30:20</v>
      </c>
      <c r="M9389" s="1" t="s">
        <v>0</v>
      </c>
      <c r="N9389" s="1" t="s">
        <v>38</v>
      </c>
      <c r="O9389" s="1" t="s">
        <v>46</v>
      </c>
    </row>
    <row r="9390" spans="2:15" x14ac:dyDescent="0.3">
      <c r="B9390" s="1" t="s">
        <v>21</v>
      </c>
      <c r="C9390" s="1" t="str">
        <f>"1차"</f>
        <v>1차</v>
      </c>
      <c r="D9390" s="1" t="str">
        <f>"9725E43400"</f>
        <v>9725E43400</v>
      </c>
      <c r="E9390" s="1" t="s">
        <v>10</v>
      </c>
      <c r="F9390" s="1" t="str">
        <f>"10.128.98.98"</f>
        <v>10.128.98.98</v>
      </c>
      <c r="G9390" s="1" t="str">
        <f>"9725E434"</f>
        <v>9725E434</v>
      </c>
      <c r="H9390" s="1" t="str">
        <f>"창천간 1R11L2"</f>
        <v>창천간 1R11L2</v>
      </c>
      <c r="I9390" s="1" t="s">
        <v>8</v>
      </c>
      <c r="J9390" s="1" t="str">
        <f>"8/8"</f>
        <v>8/8</v>
      </c>
      <c r="K9390" s="1" t="str">
        <f>"2026-07-29 13:18:11"</f>
        <v>2026-07-29 13:18:11</v>
      </c>
      <c r="L9390" s="1" t="str">
        <f>"2014-11-24 16:29:13"</f>
        <v>2014-11-24 16:29:13</v>
      </c>
      <c r="M9390" s="1" t="s">
        <v>45</v>
      </c>
      <c r="N9390" s="1" t="s">
        <v>38</v>
      </c>
      <c r="O9390" s="1" t="s">
        <v>46</v>
      </c>
    </row>
    <row r="9391" spans="2:15" x14ac:dyDescent="0.3">
      <c r="B9391" s="1" t="s">
        <v>21</v>
      </c>
      <c r="C9391" s="1" t="str">
        <f>"6차"</f>
        <v>6차</v>
      </c>
      <c r="D9391" s="1" t="str">
        <f>"9725E4416S"</f>
        <v>9725E4416S</v>
      </c>
      <c r="E9391" s="1" t="s">
        <v>10</v>
      </c>
      <c r="F9391" s="1" t="str">
        <f>"fde1:103:4:c83f:0:0:0:2"</f>
        <v>fde1:103:4:c83f:0:0:0:2</v>
      </c>
      <c r="G9391" s="1" t="str">
        <f>"9725E441"</f>
        <v>9725E441</v>
      </c>
      <c r="H9391" s="1" t="str">
        <f>"창천간 1R6R3"</f>
        <v>창천간 1R6R3</v>
      </c>
      <c r="I9391" s="1" t="s">
        <v>15</v>
      </c>
      <c r="J9391" s="1" t="str">
        <f>"66/66"</f>
        <v>66/66</v>
      </c>
      <c r="K9391" s="1" t="str">
        <f>"2026-07-29 14:21:31"</f>
        <v>2026-07-29 14:21:31</v>
      </c>
      <c r="L9391" s="1" t="str">
        <f>"2024-12-06 11:36:09"</f>
        <v>2024-12-06 11:36:09</v>
      </c>
      <c r="M9391" s="1" t="s">
        <v>4</v>
      </c>
      <c r="N9391" s="1" t="s">
        <v>38</v>
      </c>
      <c r="O9391" s="1" t="s">
        <v>46</v>
      </c>
    </row>
    <row r="9392" spans="2:15" x14ac:dyDescent="0.3">
      <c r="B9392" s="1" t="s">
        <v>21</v>
      </c>
      <c r="C9392" s="1" t="str">
        <f>"6차"</f>
        <v>6차</v>
      </c>
      <c r="D9392" s="1" t="str">
        <f>"9725E4426S"</f>
        <v>9725E4426S</v>
      </c>
      <c r="E9392" s="1" t="s">
        <v>10</v>
      </c>
      <c r="F9392" s="1" t="str">
        <f>"fde1:103:4:c840:0:0:0:2"</f>
        <v>fde1:103:4:c840:0:0:0:2</v>
      </c>
      <c r="G9392" s="1" t="str">
        <f>"9725E442"</f>
        <v>9725E442</v>
      </c>
      <c r="H9392" s="1" t="str">
        <f>"창천간 1R6R4"</f>
        <v>창천간 1R6R4</v>
      </c>
      <c r="I9392" s="1" t="s">
        <v>15</v>
      </c>
      <c r="J9392" s="1" t="str">
        <f>"38/38"</f>
        <v>38/38</v>
      </c>
      <c r="K9392" s="1" t="str">
        <f>"2026-07-29 14:21:01"</f>
        <v>2026-07-29 14:21:01</v>
      </c>
      <c r="L9392" s="1" t="str">
        <f>"2024-12-06 11:23:02"</f>
        <v>2024-12-06 11:23:02</v>
      </c>
      <c r="M9392" s="1" t="s">
        <v>4</v>
      </c>
      <c r="N9392" s="1" t="s">
        <v>38</v>
      </c>
      <c r="O9392" s="1" t="s">
        <v>46</v>
      </c>
    </row>
    <row r="9393" spans="2:15" x14ac:dyDescent="0.3">
      <c r="B9393" s="1" t="s">
        <v>21</v>
      </c>
      <c r="C9393" s="1" t="str">
        <f>"1차"</f>
        <v>1차</v>
      </c>
      <c r="D9393" s="1" t="str">
        <f>"9725E52202"</f>
        <v>9725E52202</v>
      </c>
      <c r="E9393" s="1" t="s">
        <v>14</v>
      </c>
      <c r="F9393" s="1" t="str">
        <f>"10.12.137.155"</f>
        <v>10.12.137.155</v>
      </c>
      <c r="G9393" s="1" t="str">
        <f>"9725E522"</f>
        <v>9725E522</v>
      </c>
      <c r="H9393" s="1" t="str">
        <f>"창천간 1R3L1"</f>
        <v>창천간 1R3L1</v>
      </c>
      <c r="I9393" s="1" t="s">
        <v>8</v>
      </c>
      <c r="J9393" s="1" t="str">
        <f>"0/0"</f>
        <v>0/0</v>
      </c>
      <c r="K9393" s="1" t="str">
        <f>"2025-08-25 07:21:13"</f>
        <v>2025-08-25 07:21:13</v>
      </c>
      <c r="L9393" s="1" t="str">
        <f>"2014-11-25 17:27:39"</f>
        <v>2014-11-25 17:27:39</v>
      </c>
      <c r="M9393" s="1" t="s">
        <v>0</v>
      </c>
      <c r="N9393" s="1" t="s">
        <v>39</v>
      </c>
      <c r="O9393" s="1" t="s">
        <v>46</v>
      </c>
    </row>
    <row r="9394" spans="2:15" x14ac:dyDescent="0.3">
      <c r="B9394" s="1" t="s">
        <v>21</v>
      </c>
      <c r="C9394" s="1" t="str">
        <f>"1차"</f>
        <v>1차</v>
      </c>
      <c r="D9394" s="1" t="str">
        <f>"9725E52400"</f>
        <v>9725E52400</v>
      </c>
      <c r="E9394" s="1" t="s">
        <v>10</v>
      </c>
      <c r="F9394" s="1" t="str">
        <f>"10.128.98.82"</f>
        <v>10.128.98.82</v>
      </c>
      <c r="G9394" s="1" t="str">
        <f>"9725E524"</f>
        <v>9725E524</v>
      </c>
      <c r="H9394" s="1" t="str">
        <f>"창천간 1R3L2"</f>
        <v>창천간 1R3L2</v>
      </c>
      <c r="I9394" s="1" t="s">
        <v>8</v>
      </c>
      <c r="J9394" s="1" t="str">
        <f>"8/8"</f>
        <v>8/8</v>
      </c>
      <c r="K9394" s="1" t="str">
        <f>"2026-07-29 13:18:11"</f>
        <v>2026-07-29 13:18:11</v>
      </c>
      <c r="L9394" s="1" t="str">
        <f>"2014-11-25 15:10:33"</f>
        <v>2014-11-25 15:10:33</v>
      </c>
      <c r="M9394" s="1" t="s">
        <v>45</v>
      </c>
      <c r="N9394" s="1" t="s">
        <v>38</v>
      </c>
      <c r="O9394" s="1" t="s">
        <v>46</v>
      </c>
    </row>
    <row r="9395" spans="2:15" x14ac:dyDescent="0.3">
      <c r="B9395" s="1" t="s">
        <v>21</v>
      </c>
      <c r="C9395" s="1" t="str">
        <f>"1차"</f>
        <v>1차</v>
      </c>
      <c r="D9395" s="1" t="str">
        <f>"9725E52502"</f>
        <v>9725E52502</v>
      </c>
      <c r="E9395" s="1" t="s">
        <v>10</v>
      </c>
      <c r="F9395" s="1" t="str">
        <f>"10.12.132.2"</f>
        <v>10.12.132.2</v>
      </c>
      <c r="G9395" s="1" t="str">
        <f>"9725E525"</f>
        <v>9725E525</v>
      </c>
      <c r="H9395" s="1" t="str">
        <f>"창천간 1R11L3"</f>
        <v>창천간 1R11L3</v>
      </c>
      <c r="I9395" s="1" t="s">
        <v>8</v>
      </c>
      <c r="J9395" s="1" t="str">
        <f>"12/12"</f>
        <v>12/12</v>
      </c>
      <c r="K9395" s="1" t="str">
        <f>"2026-07-29 13:18:02"</f>
        <v>2026-07-29 13:18:02</v>
      </c>
      <c r="L9395" s="1" t="str">
        <f>"2014-11-25 15:11:36"</f>
        <v>2014-11-25 15:11:36</v>
      </c>
      <c r="M9395" s="1" t="s">
        <v>0</v>
      </c>
      <c r="N9395" s="1" t="s">
        <v>38</v>
      </c>
      <c r="O9395" s="1" t="s">
        <v>46</v>
      </c>
    </row>
    <row r="9396" spans="2:15" x14ac:dyDescent="0.3">
      <c r="B9396" s="1" t="s">
        <v>21</v>
      </c>
      <c r="C9396" s="1" t="str">
        <f>"1차"</f>
        <v>1차</v>
      </c>
      <c r="D9396" s="1" t="str">
        <f>"9725E53400"</f>
        <v>9725E53400</v>
      </c>
      <c r="E9396" s="1" t="s">
        <v>10</v>
      </c>
      <c r="F9396" s="1" t="str">
        <f>"10.128.98.90"</f>
        <v>10.128.98.90</v>
      </c>
      <c r="G9396" s="1" t="str">
        <f>"9725E534"</f>
        <v>9725E534</v>
      </c>
      <c r="H9396" s="1" t="str">
        <f>"창천간 1R8H1"</f>
        <v>창천간 1R8H1</v>
      </c>
      <c r="I9396" s="1" t="s">
        <v>8</v>
      </c>
      <c r="J9396" s="1" t="str">
        <f>"7/7"</f>
        <v>7/7</v>
      </c>
      <c r="K9396" s="1" t="str">
        <f>"2026-07-29 13:18:11"</f>
        <v>2026-07-29 13:18:11</v>
      </c>
      <c r="L9396" s="1" t="str">
        <f>"2014-11-24 16:26:53"</f>
        <v>2014-11-24 16:26:53</v>
      </c>
      <c r="M9396" s="1" t="s">
        <v>45</v>
      </c>
      <c r="N9396" s="1" t="s">
        <v>38</v>
      </c>
      <c r="O9396" s="1" t="s">
        <v>46</v>
      </c>
    </row>
    <row r="9397" spans="2:15" x14ac:dyDescent="0.3">
      <c r="B9397" s="1" t="s">
        <v>21</v>
      </c>
      <c r="C9397" s="1" t="str">
        <f>"4차"</f>
        <v>4차</v>
      </c>
      <c r="D9397" s="1" t="str">
        <f>"9725E54144"</f>
        <v>9725E54144</v>
      </c>
      <c r="E9397" s="1" t="s">
        <v>10</v>
      </c>
      <c r="F9397" s="1" t="str">
        <f>"10.10.130.178"</f>
        <v>10.10.130.178</v>
      </c>
      <c r="G9397" s="1" t="str">
        <f>"9725E541"</f>
        <v>9725E541</v>
      </c>
      <c r="H9397" s="1" t="str">
        <f>"창천간 1R6R2"</f>
        <v>창천간 1R6R2</v>
      </c>
      <c r="I9397" s="1" t="s">
        <v>8</v>
      </c>
      <c r="J9397" s="1" t="str">
        <f>"6/6"</f>
        <v>6/6</v>
      </c>
      <c r="K9397" s="1" t="str">
        <f>"2026-07-29 13:18:11"</f>
        <v>2026-07-29 13:18:11</v>
      </c>
      <c r="L9397" s="1" t="str">
        <f>"2019-11-08 16:03:04"</f>
        <v>2019-11-08 16:03:04</v>
      </c>
      <c r="M9397" s="1" t="s">
        <v>1</v>
      </c>
      <c r="N9397" s="1" t="s">
        <v>38</v>
      </c>
      <c r="O9397" s="1" t="s">
        <v>46</v>
      </c>
    </row>
    <row r="9398" spans="2:15" x14ac:dyDescent="0.3">
      <c r="B9398" s="1" t="s">
        <v>21</v>
      </c>
      <c r="C9398" s="1" t="str">
        <f>"5-2차"</f>
        <v>5-2차</v>
      </c>
      <c r="D9398" s="1" t="str">
        <f>"9725E5525M"</f>
        <v>9725E5525M</v>
      </c>
      <c r="E9398" s="1" t="s">
        <v>10</v>
      </c>
      <c r="F9398" s="1" t="str">
        <f>"fde3:102:1302:2202:0:0:0:2"</f>
        <v>fde3:102:1302:2202:0:0:0:2</v>
      </c>
      <c r="G9398" s="1" t="str">
        <f>"9725E552"</f>
        <v>9725E552</v>
      </c>
      <c r="H9398" s="1" t="str">
        <f>"창천간 19R10"</f>
        <v>창천간 19R10</v>
      </c>
      <c r="I9398" s="1" t="s">
        <v>15</v>
      </c>
      <c r="J9398" s="1" t="str">
        <f>"44/44"</f>
        <v>44/44</v>
      </c>
      <c r="K9398" s="1" t="str">
        <f>"2026-07-29 14:21:00"</f>
        <v>2026-07-29 14:21:00</v>
      </c>
      <c r="L9398" s="1" t="str">
        <f>"2023-09-18 10:07:49"</f>
        <v>2023-09-18 10:07:49</v>
      </c>
      <c r="M9398" s="1" t="s">
        <v>45</v>
      </c>
      <c r="N9398" s="1" t="s">
        <v>38</v>
      </c>
      <c r="O9398" s="1" t="s">
        <v>46</v>
      </c>
    </row>
    <row r="9399" spans="2:15" x14ac:dyDescent="0.3">
      <c r="B9399" s="1" t="s">
        <v>21</v>
      </c>
      <c r="C9399" s="1" t="str">
        <f>"1차"</f>
        <v>1차</v>
      </c>
      <c r="D9399" s="1" t="str">
        <f>"9725E63300"</f>
        <v>9725E63300</v>
      </c>
      <c r="E9399" s="1" t="s">
        <v>10</v>
      </c>
      <c r="F9399" s="1" t="str">
        <f>"10.128.97.50"</f>
        <v>10.128.97.50</v>
      </c>
      <c r="G9399" s="1" t="str">
        <f>"9725E633"</f>
        <v>9725E633</v>
      </c>
      <c r="H9399" s="1" t="str">
        <f>"창천간 1R5"</f>
        <v>창천간 1R5</v>
      </c>
      <c r="I9399" s="1" t="s">
        <v>8</v>
      </c>
      <c r="J9399" s="1" t="str">
        <f>"1/1"</f>
        <v>1/1</v>
      </c>
      <c r="K9399" s="1" t="str">
        <f t="shared" ref="K9399:K9404" si="475">"2026-07-29 13:18:11"</f>
        <v>2026-07-29 13:18:11</v>
      </c>
      <c r="L9399" s="1" t="str">
        <f>"2014-12-15 13:56:51"</f>
        <v>2014-12-15 13:56:51</v>
      </c>
      <c r="M9399" s="1" t="s">
        <v>45</v>
      </c>
      <c r="N9399" s="1" t="s">
        <v>38</v>
      </c>
      <c r="O9399" s="1" t="s">
        <v>46</v>
      </c>
    </row>
    <row r="9400" spans="2:15" x14ac:dyDescent="0.3">
      <c r="B9400" s="1" t="s">
        <v>21</v>
      </c>
      <c r="C9400" s="1" t="str">
        <f>"4차"</f>
        <v>4차</v>
      </c>
      <c r="D9400" s="1" t="str">
        <f>"9725E65241"</f>
        <v>9725E65241</v>
      </c>
      <c r="E9400" s="1" t="s">
        <v>10</v>
      </c>
      <c r="F9400" s="1" t="str">
        <f>"10.14.3.10"</f>
        <v>10.14.3.10</v>
      </c>
      <c r="G9400" s="1" t="str">
        <f>"9725E652"</f>
        <v>9725E652</v>
      </c>
      <c r="H9400" s="1" t="str">
        <f>"창천간 19R11"</f>
        <v>창천간 19R11</v>
      </c>
      <c r="I9400" s="1" t="s">
        <v>17</v>
      </c>
      <c r="J9400" s="1" t="str">
        <f>"16/27"</f>
        <v>16/27</v>
      </c>
      <c r="K9400" s="1" t="str">
        <f t="shared" si="475"/>
        <v>2026-07-29 13:18:11</v>
      </c>
      <c r="L9400" s="1" t="str">
        <f>"2021-10-20 10:48:31"</f>
        <v>2021-10-20 10:48:31</v>
      </c>
      <c r="M9400" s="1" t="s">
        <v>3</v>
      </c>
      <c r="N9400" s="1" t="s">
        <v>38</v>
      </c>
      <c r="O9400" s="1" t="s">
        <v>46</v>
      </c>
    </row>
    <row r="9401" spans="2:15" x14ac:dyDescent="0.3">
      <c r="B9401" s="1" t="s">
        <v>21</v>
      </c>
      <c r="C9401" s="1" t="str">
        <f>"4차"</f>
        <v>4차</v>
      </c>
      <c r="D9401" s="1" t="str">
        <f>"9725E81739"</f>
        <v>9725E81739</v>
      </c>
      <c r="E9401" s="1" t="s">
        <v>10</v>
      </c>
      <c r="F9401" s="1" t="str">
        <f>"10.12.135.175"</f>
        <v>10.12.135.175</v>
      </c>
      <c r="G9401" s="1" t="str">
        <f>"9725E817"</f>
        <v>9725E817</v>
      </c>
      <c r="H9401" s="1" t="str">
        <f>"창서 R1"</f>
        <v>창서 R1</v>
      </c>
      <c r="I9401" s="1" t="s">
        <v>17</v>
      </c>
      <c r="J9401" s="1" t="str">
        <f>"1/1"</f>
        <v>1/1</v>
      </c>
      <c r="K9401" s="1" t="str">
        <f t="shared" si="475"/>
        <v>2026-07-29 13:18:11</v>
      </c>
      <c r="L9401" s="1" t="str">
        <f>"2018-08-03 15:06:12"</f>
        <v>2018-08-03 15:06:12</v>
      </c>
      <c r="M9401" s="1" t="s">
        <v>0</v>
      </c>
      <c r="N9401" s="1" t="s">
        <v>38</v>
      </c>
      <c r="O9401" s="1" t="s">
        <v>46</v>
      </c>
    </row>
    <row r="9402" spans="2:15" x14ac:dyDescent="0.3">
      <c r="B9402" s="1" t="s">
        <v>21</v>
      </c>
      <c r="C9402" s="1" t="str">
        <f>"1차"</f>
        <v>1차</v>
      </c>
      <c r="D9402" s="1" t="str">
        <f>"9725E90100"</f>
        <v>9725E90100</v>
      </c>
      <c r="E9402" s="1" t="s">
        <v>10</v>
      </c>
      <c r="F9402" s="1" t="str">
        <f>"10.12.138.120"</f>
        <v>10.12.138.120</v>
      </c>
      <c r="G9402" s="1" t="str">
        <f>"9725E901"</f>
        <v>9725E901</v>
      </c>
      <c r="H9402" s="1" t="str">
        <f>"신촌간 29R3"</f>
        <v>신촌간 29R3</v>
      </c>
      <c r="I9402" s="1" t="s">
        <v>8</v>
      </c>
      <c r="J9402" s="1" t="str">
        <f>"76/77"</f>
        <v>76/77</v>
      </c>
      <c r="K9402" s="1" t="str">
        <f t="shared" si="475"/>
        <v>2026-07-29 13:18:11</v>
      </c>
      <c r="L9402" s="1" t="str">
        <f>"2021-01-07 16:40:03"</f>
        <v>2021-01-07 16:40:03</v>
      </c>
      <c r="M9402" s="1" t="s">
        <v>0</v>
      </c>
      <c r="N9402" s="1" t="s">
        <v>38</v>
      </c>
      <c r="O9402" s="1" t="s">
        <v>46</v>
      </c>
    </row>
    <row r="9403" spans="2:15" x14ac:dyDescent="0.3">
      <c r="B9403" s="1" t="s">
        <v>21</v>
      </c>
      <c r="C9403" s="1" t="str">
        <f>"4차"</f>
        <v>4차</v>
      </c>
      <c r="D9403" s="1" t="str">
        <f>"9725E92139"</f>
        <v>9725E92139</v>
      </c>
      <c r="E9403" s="1" t="s">
        <v>10</v>
      </c>
      <c r="F9403" s="1" t="str">
        <f>"10.12.136.202"</f>
        <v>10.12.136.202</v>
      </c>
      <c r="G9403" s="1" t="str">
        <f>"9725E921"</f>
        <v>9725E921</v>
      </c>
      <c r="H9403" s="1" t="str">
        <f>"창서 R3"</f>
        <v>창서 R3</v>
      </c>
      <c r="I9403" s="1" t="s">
        <v>17</v>
      </c>
      <c r="J9403" s="1" t="str">
        <f>"5/5"</f>
        <v>5/5</v>
      </c>
      <c r="K9403" s="1" t="str">
        <f t="shared" si="475"/>
        <v>2026-07-29 13:18:11</v>
      </c>
      <c r="L9403" s="1" t="str">
        <f>"2018-10-19 10:02:39"</f>
        <v>2018-10-19 10:02:39</v>
      </c>
      <c r="M9403" s="1" t="s">
        <v>0</v>
      </c>
      <c r="N9403" s="1" t="s">
        <v>38</v>
      </c>
      <c r="O9403" s="1" t="s">
        <v>46</v>
      </c>
    </row>
    <row r="9404" spans="2:15" x14ac:dyDescent="0.3">
      <c r="B9404" s="1" t="s">
        <v>21</v>
      </c>
      <c r="C9404" s="1" t="str">
        <f>"4차"</f>
        <v>4차</v>
      </c>
      <c r="D9404" s="1" t="str">
        <f>"9725E93239"</f>
        <v>9725E93239</v>
      </c>
      <c r="E9404" s="1" t="s">
        <v>10</v>
      </c>
      <c r="F9404" s="1" t="str">
        <f>"10.12.135.172"</f>
        <v>10.12.135.172</v>
      </c>
      <c r="G9404" s="1" t="str">
        <f>"9725E932"</f>
        <v>9725E932</v>
      </c>
      <c r="H9404" s="1" t="str">
        <f>"창서 L2"</f>
        <v>창서 L2</v>
      </c>
      <c r="I9404" s="1" t="s">
        <v>17</v>
      </c>
      <c r="J9404" s="1" t="str">
        <f>"28/28"</f>
        <v>28/28</v>
      </c>
      <c r="K9404" s="1" t="str">
        <f t="shared" si="475"/>
        <v>2026-07-29 13:18:11</v>
      </c>
      <c r="L9404" s="1" t="str">
        <f>"2018-05-21 13:35:52"</f>
        <v>2018-05-21 13:35:52</v>
      </c>
      <c r="M9404" s="1" t="s">
        <v>0</v>
      </c>
      <c r="N9404" s="1" t="s">
        <v>38</v>
      </c>
      <c r="O9404" s="1" t="s">
        <v>46</v>
      </c>
    </row>
    <row r="9405" spans="2:15" x14ac:dyDescent="0.3">
      <c r="B9405" s="1" t="s">
        <v>21</v>
      </c>
      <c r="C9405" s="1" t="str">
        <f>"4차"</f>
        <v>4차</v>
      </c>
      <c r="D9405" s="1" t="str">
        <f>"9725E93339"</f>
        <v>9725E93339</v>
      </c>
      <c r="E9405" s="1" t="s">
        <v>14</v>
      </c>
      <c r="F9405" s="1" t="str">
        <f>"10.12.135.235"</f>
        <v>10.12.135.235</v>
      </c>
      <c r="G9405" s="1" t="str">
        <f>"9725E933"</f>
        <v>9725E933</v>
      </c>
      <c r="H9405" s="1" t="str">
        <f>"창서 L3"</f>
        <v>창서 L3</v>
      </c>
      <c r="I9405" s="1" t="s">
        <v>17</v>
      </c>
      <c r="J9405" s="1" t="str">
        <f>"0/0"</f>
        <v>0/0</v>
      </c>
      <c r="K9405" s="1" t="str">
        <f>"2026-06-10 07:18:11"</f>
        <v>2026-06-10 07:18:11</v>
      </c>
      <c r="L9405" s="1" t="str">
        <f>"2018-05-21 13:20:07"</f>
        <v>2018-05-21 13:20:07</v>
      </c>
      <c r="M9405" s="1" t="s">
        <v>0</v>
      </c>
      <c r="N9405" s="1" t="s">
        <v>39</v>
      </c>
      <c r="O9405" s="1" t="s">
        <v>46</v>
      </c>
    </row>
    <row r="9406" spans="2:15" x14ac:dyDescent="0.3">
      <c r="B9406" s="1" t="s">
        <v>21</v>
      </c>
      <c r="C9406" s="1" t="str">
        <f>"5-2차"</f>
        <v>5-2차</v>
      </c>
      <c r="D9406" s="1" t="str">
        <f>"9725F0015S"</f>
        <v>9725F0015S</v>
      </c>
      <c r="E9406" s="1" t="s">
        <v>10</v>
      </c>
      <c r="F9406" s="1" t="str">
        <f>"fde3:102:1302:2100:0:0:0:3"</f>
        <v>fde3:102:1302:2100:0:0:0:3</v>
      </c>
      <c r="G9406" s="1" t="str">
        <f>"9725F001"</f>
        <v>9725F001</v>
      </c>
      <c r="H9406" s="1" t="str">
        <f>"신촌간 29R3R2"</f>
        <v>신촌간 29R3R2</v>
      </c>
      <c r="I9406" s="1" t="s">
        <v>15</v>
      </c>
      <c r="J9406" s="1" t="str">
        <f>"20/20"</f>
        <v>20/20</v>
      </c>
      <c r="K9406" s="1" t="str">
        <f>"2026-07-29 14:21:00"</f>
        <v>2026-07-29 14:21:00</v>
      </c>
      <c r="L9406" s="1" t="str">
        <f>"2023-06-24 09:22:56"</f>
        <v>2023-06-24 09:22:56</v>
      </c>
      <c r="M9406" s="1" t="s">
        <v>45</v>
      </c>
      <c r="N9406" s="1" t="s">
        <v>38</v>
      </c>
      <c r="O9406" s="1" t="s">
        <v>46</v>
      </c>
    </row>
    <row r="9407" spans="2:15" x14ac:dyDescent="0.3">
      <c r="B9407" s="1" t="s">
        <v>21</v>
      </c>
      <c r="C9407" s="1" t="str">
        <f>"6차"</f>
        <v>6차</v>
      </c>
      <c r="D9407" s="1" t="str">
        <f>"9725F0036S"</f>
        <v>9725F0036S</v>
      </c>
      <c r="E9407" s="1" t="s">
        <v>10</v>
      </c>
      <c r="F9407" s="1" t="str">
        <f>"fde1:103:4:c82b:0:0:0:2"</f>
        <v>fde1:103:4:c82b:0:0:0:2</v>
      </c>
      <c r="G9407" s="1" t="str">
        <f>"9725F003"</f>
        <v>9725F003</v>
      </c>
      <c r="H9407" s="1" t="str">
        <f>"신촌간 29R3R4"</f>
        <v>신촌간 29R3R4</v>
      </c>
      <c r="I9407" s="1" t="s">
        <v>15</v>
      </c>
      <c r="J9407" s="1" t="str">
        <f>"38/39"</f>
        <v>38/39</v>
      </c>
      <c r="K9407" s="1" t="str">
        <f>"2026-07-29 14:20:37"</f>
        <v>2026-07-29 14:20:37</v>
      </c>
      <c r="L9407" s="1" t="str">
        <f>"2024-12-06 11:23:46"</f>
        <v>2024-12-06 11:23:46</v>
      </c>
      <c r="M9407" s="1" t="s">
        <v>4</v>
      </c>
      <c r="N9407" s="1" t="s">
        <v>38</v>
      </c>
      <c r="O9407" s="1" t="s">
        <v>46</v>
      </c>
    </row>
    <row r="9408" spans="2:15" x14ac:dyDescent="0.3">
      <c r="B9408" s="1" t="s">
        <v>21</v>
      </c>
      <c r="C9408" s="1" t="str">
        <f>"5-2차"</f>
        <v>5-2차</v>
      </c>
      <c r="D9408" s="1" t="str">
        <f>"9725F0235M"</f>
        <v>9725F0235M</v>
      </c>
      <c r="E9408" s="1" t="s">
        <v>10</v>
      </c>
      <c r="F9408" s="1" t="str">
        <f>"fde3:102:1302:2600:0:0:0:2"</f>
        <v>fde3:102:1302:2600:0:0:0:2</v>
      </c>
      <c r="G9408" s="1" t="str">
        <f>"9725F023"</f>
        <v>9725F023</v>
      </c>
      <c r="H9408" s="1" t="str">
        <f>"신촌간 38R3"</f>
        <v>신촌간 38R3</v>
      </c>
      <c r="I9408" s="1" t="s">
        <v>15</v>
      </c>
      <c r="J9408" s="1" t="str">
        <f>"37/39"</f>
        <v>37/39</v>
      </c>
      <c r="K9408" s="1" t="str">
        <f>"2026-07-29 14:21:30"</f>
        <v>2026-07-29 14:21:30</v>
      </c>
      <c r="L9408" s="1" t="str">
        <f>"2023-08-24 10:17:04"</f>
        <v>2023-08-24 10:17:04</v>
      </c>
      <c r="M9408" s="1" t="s">
        <v>45</v>
      </c>
      <c r="N9408" s="1" t="s">
        <v>38</v>
      </c>
      <c r="O9408" s="1" t="s">
        <v>46</v>
      </c>
    </row>
    <row r="9409" spans="2:15" x14ac:dyDescent="0.3">
      <c r="B9409" s="1" t="s">
        <v>21</v>
      </c>
      <c r="C9409" s="1" t="str">
        <f>"4차"</f>
        <v>4차</v>
      </c>
      <c r="D9409" s="1" t="str">
        <f>"9725F04139"</f>
        <v>9725F04139</v>
      </c>
      <c r="E9409" s="1" t="s">
        <v>10</v>
      </c>
      <c r="F9409" s="1" t="str">
        <f>"10.12.133.252"</f>
        <v>10.12.133.252</v>
      </c>
      <c r="G9409" s="1" t="str">
        <f>"9725F041"</f>
        <v>9725F041</v>
      </c>
      <c r="H9409" s="1" t="str">
        <f>"창서 L4"</f>
        <v>창서 L4</v>
      </c>
      <c r="I9409" s="1" t="s">
        <v>17</v>
      </c>
      <c r="J9409" s="1" t="str">
        <f>"7/7"</f>
        <v>7/7</v>
      </c>
      <c r="K9409" s="1" t="str">
        <f>"2026-07-29 13:18:11"</f>
        <v>2026-07-29 13:18:11</v>
      </c>
      <c r="L9409" s="1" t="str">
        <f>"2018-05-21 13:05:07"</f>
        <v>2018-05-21 13:05:07</v>
      </c>
      <c r="M9409" s="1" t="s">
        <v>0</v>
      </c>
      <c r="N9409" s="1" t="s">
        <v>38</v>
      </c>
      <c r="O9409" s="1" t="s">
        <v>46</v>
      </c>
    </row>
    <row r="9410" spans="2:15" x14ac:dyDescent="0.3">
      <c r="B9410" s="1" t="s">
        <v>21</v>
      </c>
      <c r="C9410" s="1" t="str">
        <f>"4차"</f>
        <v>4차</v>
      </c>
      <c r="D9410" s="1" t="str">
        <f>"9725F04339"</f>
        <v>9725F04339</v>
      </c>
      <c r="E9410" s="1" t="s">
        <v>10</v>
      </c>
      <c r="F9410" s="1" t="str">
        <f>"10.12.133.248"</f>
        <v>10.12.133.248</v>
      </c>
      <c r="G9410" s="1" t="str">
        <f>"9725F043"</f>
        <v>9725F043</v>
      </c>
      <c r="H9410" s="1" t="str">
        <f>"창서 L5"</f>
        <v>창서 L5</v>
      </c>
      <c r="I9410" s="1" t="s">
        <v>17</v>
      </c>
      <c r="J9410" s="1" t="str">
        <f>"2/2"</f>
        <v>2/2</v>
      </c>
      <c r="K9410" s="1" t="str">
        <f>"2026-07-29 13:18:11"</f>
        <v>2026-07-29 13:18:11</v>
      </c>
      <c r="L9410" s="1" t="str">
        <f>"2018-05-21 12:39:09"</f>
        <v>2018-05-21 12:39:09</v>
      </c>
      <c r="M9410" s="1" t="s">
        <v>0</v>
      </c>
      <c r="N9410" s="1" t="s">
        <v>38</v>
      </c>
      <c r="O9410" s="1" t="s">
        <v>46</v>
      </c>
    </row>
    <row r="9411" spans="2:15" x14ac:dyDescent="0.3">
      <c r="B9411" s="1" t="s">
        <v>21</v>
      </c>
      <c r="C9411" s="1" t="str">
        <f>"4차"</f>
        <v>4차</v>
      </c>
      <c r="D9411" s="1" t="str">
        <f>"9725F04439"</f>
        <v>9725F04439</v>
      </c>
      <c r="E9411" s="1" t="s">
        <v>14</v>
      </c>
      <c r="F9411" s="1" t="str">
        <f>"10.12.136.26"</f>
        <v>10.12.136.26</v>
      </c>
      <c r="G9411" s="1" t="str">
        <f>"9725F044"</f>
        <v>9725F044</v>
      </c>
      <c r="H9411" s="1" t="str">
        <f>"창서 L6"</f>
        <v>창서 L6</v>
      </c>
      <c r="I9411" s="1" t="s">
        <v>17</v>
      </c>
      <c r="J9411" s="1" t="str">
        <f>"0/0"</f>
        <v>0/0</v>
      </c>
      <c r="K9411" s="1" t="str">
        <f>"2026-07-28 13:18:11"</f>
        <v>2026-07-28 13:18:11</v>
      </c>
      <c r="L9411" s="1" t="str">
        <f>"2018-05-21 12:49:54"</f>
        <v>2018-05-21 12:49:54</v>
      </c>
      <c r="M9411" s="1" t="s">
        <v>0</v>
      </c>
      <c r="N9411" s="1" t="s">
        <v>39</v>
      </c>
      <c r="O9411" s="1" t="s">
        <v>46</v>
      </c>
    </row>
    <row r="9412" spans="2:15" x14ac:dyDescent="0.3">
      <c r="B9412" s="1" t="s">
        <v>21</v>
      </c>
      <c r="C9412" s="1" t="str">
        <f>"5-2차"</f>
        <v>5-2차</v>
      </c>
      <c r="D9412" s="1" t="str">
        <f>"9725F0515M"</f>
        <v>9725F0515M</v>
      </c>
      <c r="E9412" s="1" t="s">
        <v>10</v>
      </c>
      <c r="F9412" s="1" t="str">
        <f>"fde1:103:4:6ed4:0:0:0:2"</f>
        <v>fde1:103:4:6ed4:0:0:0:2</v>
      </c>
      <c r="G9412" s="1" t="str">
        <f>"9725F051"</f>
        <v>9725F051</v>
      </c>
      <c r="H9412" s="1" t="str">
        <f>"창서SW L4R5"</f>
        <v>창서SW L4R5</v>
      </c>
      <c r="I9412" s="1" t="s">
        <v>15</v>
      </c>
      <c r="J9412" s="1" t="str">
        <f>"16/16"</f>
        <v>16/16</v>
      </c>
      <c r="K9412" s="1" t="str">
        <f>"2026-07-29 14:21:30"</f>
        <v>2026-07-29 14:21:30</v>
      </c>
      <c r="L9412" s="1" t="str">
        <f>"2023-11-15 09:03:25"</f>
        <v>2023-11-15 09:03:25</v>
      </c>
      <c r="M9412" s="1" t="s">
        <v>4</v>
      </c>
      <c r="N9412" s="1" t="s">
        <v>38</v>
      </c>
      <c r="O9412" s="1" t="s">
        <v>46</v>
      </c>
    </row>
    <row r="9413" spans="2:15" x14ac:dyDescent="0.3">
      <c r="B9413" s="1" t="s">
        <v>21</v>
      </c>
      <c r="C9413" s="1" t="str">
        <f>"4차"</f>
        <v>4차</v>
      </c>
      <c r="D9413" s="1" t="str">
        <f>"9725F10144"</f>
        <v>9725F10144</v>
      </c>
      <c r="E9413" s="1" t="s">
        <v>10</v>
      </c>
      <c r="F9413" s="1" t="str">
        <f>"10.10.130.186"</f>
        <v>10.10.130.186</v>
      </c>
      <c r="G9413" s="1" t="str">
        <f>"9725F101"</f>
        <v>9725F101</v>
      </c>
      <c r="H9413" s="1" t="str">
        <f>"신촌간 24R2"</f>
        <v>신촌간 24R2</v>
      </c>
      <c r="I9413" s="1" t="s">
        <v>8</v>
      </c>
      <c r="J9413" s="1" t="str">
        <f>"47/47"</f>
        <v>47/47</v>
      </c>
      <c r="K9413" s="1" t="str">
        <f>"2026-07-29 13:18:11"</f>
        <v>2026-07-29 13:18:11</v>
      </c>
      <c r="L9413" s="1" t="str">
        <f>"2019-11-08 17:13:05"</f>
        <v>2019-11-08 17:13:05</v>
      </c>
      <c r="M9413" s="1" t="s">
        <v>1</v>
      </c>
      <c r="N9413" s="1" t="s">
        <v>38</v>
      </c>
      <c r="O9413" s="1" t="s">
        <v>46</v>
      </c>
    </row>
    <row r="9414" spans="2:15" x14ac:dyDescent="0.3">
      <c r="B9414" s="1" t="s">
        <v>21</v>
      </c>
      <c r="C9414" s="1" t="str">
        <f>"6차"</f>
        <v>6차</v>
      </c>
      <c r="D9414" s="1" t="str">
        <f>"9725F1046S"</f>
        <v>9725F1046S</v>
      </c>
      <c r="E9414" s="1" t="s">
        <v>10</v>
      </c>
      <c r="F9414" s="1" t="str">
        <f>"fde1:103:4:c816:0:0:0:2"</f>
        <v>fde1:103:4:c816:0:0:0:2</v>
      </c>
      <c r="G9414" s="1" t="str">
        <f>"9725F104"</f>
        <v>9725F104</v>
      </c>
      <c r="H9414" s="1" t="str">
        <f>"신촌간 24R3"</f>
        <v>신촌간 24R3</v>
      </c>
      <c r="I9414" s="1" t="s">
        <v>15</v>
      </c>
      <c r="J9414" s="1" t="str">
        <f>"56/57"</f>
        <v>56/57</v>
      </c>
      <c r="K9414" s="1" t="str">
        <f>"2026-07-29 14:21:02"</f>
        <v>2026-07-29 14:21:02</v>
      </c>
      <c r="L9414" s="1" t="str">
        <f>"2024-12-06 11:23:30"</f>
        <v>2024-12-06 11:23:30</v>
      </c>
      <c r="M9414" s="1" t="s">
        <v>4</v>
      </c>
      <c r="N9414" s="1" t="s">
        <v>38</v>
      </c>
      <c r="O9414" s="1" t="s">
        <v>46</v>
      </c>
    </row>
    <row r="9415" spans="2:15" x14ac:dyDescent="0.3">
      <c r="B9415" s="1" t="s">
        <v>21</v>
      </c>
      <c r="C9415" s="1" t="str">
        <f>"1차"</f>
        <v>1차</v>
      </c>
      <c r="D9415" s="1" t="str">
        <f>"9725F12200"</f>
        <v>9725F12200</v>
      </c>
      <c r="E9415" s="1" t="str">
        <f>"검침실패(3시간 이상)"</f>
        <v>검침실패(3시간 이상)</v>
      </c>
      <c r="F9415" s="1" t="str">
        <f>"10.12.131.231"</f>
        <v>10.12.131.231</v>
      </c>
      <c r="G9415" s="1" t="str">
        <f>"9725F122"</f>
        <v>9725F122</v>
      </c>
      <c r="H9415" s="1" t="str">
        <f>"신촌간 38R4R1"</f>
        <v>신촌간 38R4R1</v>
      </c>
      <c r="I9415" s="1" t="s">
        <v>8</v>
      </c>
      <c r="J9415" s="1" t="str">
        <f>"0/9"</f>
        <v>0/9</v>
      </c>
      <c r="K9415" s="1" t="str">
        <f>"2026-07-29 13:18:11"</f>
        <v>2026-07-29 13:18:11</v>
      </c>
      <c r="L9415" s="1" t="str">
        <f>"2020-12-10 13:21:55"</f>
        <v>2020-12-10 13:21:55</v>
      </c>
      <c r="M9415" s="1" t="s">
        <v>0</v>
      </c>
      <c r="N9415" s="1" t="s">
        <v>38</v>
      </c>
      <c r="O9415" s="1" t="s">
        <v>46</v>
      </c>
    </row>
    <row r="9416" spans="2:15" x14ac:dyDescent="0.3">
      <c r="B9416" s="1" t="s">
        <v>21</v>
      </c>
      <c r="C9416" s="1" t="str">
        <f>"6차"</f>
        <v>6차</v>
      </c>
      <c r="D9416" s="1" t="str">
        <f>"9725F1316S"</f>
        <v>9725F1316S</v>
      </c>
      <c r="E9416" s="1" t="s">
        <v>10</v>
      </c>
      <c r="F9416" s="1" t="str">
        <f>"fde1:103:4:9336:0:0:0:2"</f>
        <v>fde1:103:4:9336:0:0:0:2</v>
      </c>
      <c r="G9416" s="1" t="str">
        <f>"9725F131"</f>
        <v>9725F131</v>
      </c>
      <c r="H9416" s="1" t="str">
        <f>"신촌간 38R6"</f>
        <v>신촌간 38R6</v>
      </c>
      <c r="I9416" s="1" t="s">
        <v>15</v>
      </c>
      <c r="J9416" s="1" t="str">
        <f>"48/48"</f>
        <v>48/48</v>
      </c>
      <c r="K9416" s="1" t="str">
        <f>"2026-07-29 14:21:20"</f>
        <v>2026-07-29 14:21:20</v>
      </c>
      <c r="L9416" s="1" t="str">
        <f>"2025-02-05 16:36:24"</f>
        <v>2025-02-05 16:36:24</v>
      </c>
      <c r="M9416" s="1" t="s">
        <v>4</v>
      </c>
      <c r="N9416" s="1" t="s">
        <v>38</v>
      </c>
      <c r="O9416" s="1" t="s">
        <v>46</v>
      </c>
    </row>
    <row r="9417" spans="2:15" x14ac:dyDescent="0.3">
      <c r="B9417" s="1" t="s">
        <v>21</v>
      </c>
      <c r="C9417" s="1" t="str">
        <f>"1차"</f>
        <v>1차</v>
      </c>
      <c r="D9417" s="1" t="str">
        <f>"9725F13200"</f>
        <v>9725F13200</v>
      </c>
      <c r="E9417" s="1" t="s">
        <v>10</v>
      </c>
      <c r="F9417" s="1" t="str">
        <f>"10.128.33.156"</f>
        <v>10.128.33.156</v>
      </c>
      <c r="G9417" s="1" t="str">
        <f>"9725F132"</f>
        <v>9725F132</v>
      </c>
      <c r="H9417" s="1" t="str">
        <f>"신촌간 38R5"</f>
        <v>신촌간 38R5</v>
      </c>
      <c r="I9417" s="1" t="s">
        <v>8</v>
      </c>
      <c r="J9417" s="1" t="str">
        <f>"41/49"</f>
        <v>41/49</v>
      </c>
      <c r="K9417" s="1" t="str">
        <f>"2026-07-29 13:18:11"</f>
        <v>2026-07-29 13:18:11</v>
      </c>
      <c r="L9417" s="1" t="str">
        <f>"2014-12-04 15:04:31"</f>
        <v>2014-12-04 15:04:31</v>
      </c>
      <c r="M9417" s="1" t="s">
        <v>45</v>
      </c>
      <c r="N9417" s="1" t="s">
        <v>38</v>
      </c>
      <c r="O9417" s="1" t="s">
        <v>46</v>
      </c>
    </row>
    <row r="9418" spans="2:15" x14ac:dyDescent="0.3">
      <c r="B9418" s="1" t="s">
        <v>21</v>
      </c>
      <c r="C9418" s="1" t="str">
        <f>"4차"</f>
        <v>4차</v>
      </c>
      <c r="D9418" s="1" t="str">
        <f>"9725F14145"</f>
        <v>9725F14145</v>
      </c>
      <c r="E9418" s="1" t="s">
        <v>10</v>
      </c>
      <c r="F9418" s="1" t="str">
        <f>"10.14.11.30"</f>
        <v>10.14.11.30</v>
      </c>
      <c r="G9418" s="1" t="str">
        <f>"9725F141"</f>
        <v>9725F141</v>
      </c>
      <c r="H9418" s="1" t="str">
        <f>"창서 R6"</f>
        <v>창서 R6</v>
      </c>
      <c r="I9418" s="1" t="s">
        <v>17</v>
      </c>
      <c r="J9418" s="1" t="str">
        <f>"5/5"</f>
        <v>5/5</v>
      </c>
      <c r="K9418" s="1" t="str">
        <f>"2026-07-29 13:18:11"</f>
        <v>2026-07-29 13:18:11</v>
      </c>
      <c r="L9418" s="1" t="str">
        <f>"2021-06-17 08:43:34"</f>
        <v>2021-06-17 08:43:34</v>
      </c>
      <c r="M9418" s="1" t="s">
        <v>3</v>
      </c>
      <c r="N9418" s="1" t="s">
        <v>38</v>
      </c>
      <c r="O9418" s="1" t="s">
        <v>46</v>
      </c>
    </row>
    <row r="9419" spans="2:15" x14ac:dyDescent="0.3">
      <c r="B9419" s="1" t="s">
        <v>21</v>
      </c>
      <c r="C9419" s="1" t="str">
        <f>"6차"</f>
        <v>6차</v>
      </c>
      <c r="D9419" s="1" t="str">
        <f>"9725F2026S"</f>
        <v>9725F2026S</v>
      </c>
      <c r="E9419" s="1" t="s">
        <v>10</v>
      </c>
      <c r="F9419" s="1" t="str">
        <f>"fde1:103:4:c7fa:0:0:0:2"</f>
        <v>fde1:103:4:c7fa:0:0:0:2</v>
      </c>
      <c r="G9419" s="1" t="str">
        <f>"9725F202"</f>
        <v>9725F202</v>
      </c>
      <c r="H9419" s="1" t="str">
        <f>"신촌간 21L2L2"</f>
        <v>신촌간 21L2L2</v>
      </c>
      <c r="I9419" s="1" t="s">
        <v>15</v>
      </c>
      <c r="J9419" s="1" t="str">
        <f>"52/52"</f>
        <v>52/52</v>
      </c>
      <c r="K9419" s="1" t="str">
        <f>"2026-07-29 14:21:31"</f>
        <v>2026-07-29 14:21:31</v>
      </c>
      <c r="L9419" s="1" t="str">
        <f>"2024-12-06 11:23:47"</f>
        <v>2024-12-06 11:23:47</v>
      </c>
      <c r="M9419" s="1" t="s">
        <v>4</v>
      </c>
      <c r="N9419" s="1" t="s">
        <v>38</v>
      </c>
      <c r="O9419" s="1" t="s">
        <v>46</v>
      </c>
    </row>
    <row r="9420" spans="2:15" x14ac:dyDescent="0.3">
      <c r="B9420" s="1" t="s">
        <v>21</v>
      </c>
      <c r="C9420" s="1" t="str">
        <f>"6차"</f>
        <v>6차</v>
      </c>
      <c r="D9420" s="1" t="str">
        <f>"9725F3116S"</f>
        <v>9725F3116S</v>
      </c>
      <c r="E9420" s="1" t="s">
        <v>10</v>
      </c>
      <c r="F9420" s="1" t="str">
        <f>"fde1:103:4:c678:0:0:0:2"</f>
        <v>fde1:103:4:c678:0:0:0:2</v>
      </c>
      <c r="G9420" s="1" t="str">
        <f>"9725F311"</f>
        <v>9725F311</v>
      </c>
      <c r="H9420" s="1" t="str">
        <f>"신촌간 21L2"</f>
        <v>신촌간 21L2</v>
      </c>
      <c r="I9420" s="1" t="s">
        <v>15</v>
      </c>
      <c r="J9420" s="1" t="str">
        <f>"45/45"</f>
        <v>45/45</v>
      </c>
      <c r="K9420" s="1" t="str">
        <f>"2026-07-29 14:21:20"</f>
        <v>2026-07-29 14:21:20</v>
      </c>
      <c r="L9420" s="1" t="str">
        <f>"2024-10-30 15:41:17"</f>
        <v>2024-10-30 15:41:17</v>
      </c>
      <c r="M9420" s="1" t="s">
        <v>4</v>
      </c>
      <c r="N9420" s="1" t="s">
        <v>38</v>
      </c>
      <c r="O9420" s="1" t="s">
        <v>46</v>
      </c>
    </row>
    <row r="9421" spans="2:15" x14ac:dyDescent="0.3">
      <c r="B9421" s="1" t="s">
        <v>21</v>
      </c>
      <c r="C9421" s="1" t="str">
        <f>"1차"</f>
        <v>1차</v>
      </c>
      <c r="D9421" s="1" t="str">
        <f>"9725F31500"</f>
        <v>9725F31500</v>
      </c>
      <c r="E9421" s="1" t="s">
        <v>10</v>
      </c>
      <c r="F9421" s="1" t="str">
        <f>"10.125.200.66"</f>
        <v>10.125.200.66</v>
      </c>
      <c r="G9421" s="1" t="str">
        <f>"9725F315"</f>
        <v>9725F315</v>
      </c>
      <c r="H9421" s="1" t="str">
        <f>"신촌간 24R6L1"</f>
        <v>신촌간 24R6L1</v>
      </c>
      <c r="I9421" s="1" t="s">
        <v>8</v>
      </c>
      <c r="J9421" s="1" t="str">
        <f>"50/51"</f>
        <v>50/51</v>
      </c>
      <c r="K9421" s="1" t="str">
        <f>"2026-07-29 13:18:11"</f>
        <v>2026-07-29 13:18:11</v>
      </c>
      <c r="L9421" s="1" t="str">
        <f>"2014-11-28 00:13:25"</f>
        <v>2014-11-28 00:13:25</v>
      </c>
      <c r="M9421" s="1" t="s">
        <v>45</v>
      </c>
      <c r="N9421" s="1" t="s">
        <v>38</v>
      </c>
      <c r="O9421" s="1" t="s">
        <v>46</v>
      </c>
    </row>
    <row r="9422" spans="2:15" x14ac:dyDescent="0.3">
      <c r="B9422" s="1" t="s">
        <v>21</v>
      </c>
      <c r="C9422" s="1" t="str">
        <f>"1차"</f>
        <v>1차</v>
      </c>
      <c r="D9422" s="1" t="str">
        <f>"9725F33300"</f>
        <v>9725F33300</v>
      </c>
      <c r="E9422" s="1" t="s">
        <v>14</v>
      </c>
      <c r="F9422" s="1" t="str">
        <f>"10.128.33.159"</f>
        <v>10.128.33.159</v>
      </c>
      <c r="G9422" s="1" t="str">
        <f>"9725F333"</f>
        <v>9725F333</v>
      </c>
      <c r="H9422" s="1" t="str">
        <f>"신촌간 38R8"</f>
        <v>신촌간 38R8</v>
      </c>
      <c r="I9422" s="1" t="s">
        <v>8</v>
      </c>
      <c r="J9422" s="1" t="str">
        <f>"0/0"</f>
        <v>0/0</v>
      </c>
      <c r="K9422" s="1" t="str">
        <f>"2024-06-15 03:20:08"</f>
        <v>2024-06-15 03:20:08</v>
      </c>
      <c r="L9422" s="1" t="str">
        <f>"2014-12-04 16:06:41"</f>
        <v>2014-12-04 16:06:41</v>
      </c>
      <c r="M9422" s="1" t="s">
        <v>45</v>
      </c>
      <c r="N9422" s="1" t="s">
        <v>44</v>
      </c>
      <c r="O9422" s="1" t="s">
        <v>44</v>
      </c>
    </row>
    <row r="9423" spans="2:15" x14ac:dyDescent="0.3">
      <c r="B9423" s="1" t="s">
        <v>21</v>
      </c>
      <c r="C9423" s="1" t="str">
        <f>"1차"</f>
        <v>1차</v>
      </c>
      <c r="D9423" s="1" t="str">
        <f>"9725F41100"</f>
        <v>9725F41100</v>
      </c>
      <c r="E9423" s="1" t="s">
        <v>10</v>
      </c>
      <c r="F9423" s="1" t="str">
        <f>"10.128.33.147"</f>
        <v>10.128.33.147</v>
      </c>
      <c r="G9423" s="1" t="str">
        <f>"9725F411"</f>
        <v>9725F411</v>
      </c>
      <c r="H9423" s="1" t="str">
        <f>"신촌간 21L3"</f>
        <v>신촌간 21L3</v>
      </c>
      <c r="I9423" s="1" t="s">
        <v>8</v>
      </c>
      <c r="J9423" s="1" t="str">
        <f>"17/17"</f>
        <v>17/17</v>
      </c>
      <c r="K9423" s="1" t="str">
        <f>"2026-07-29 13:18:11"</f>
        <v>2026-07-29 13:18:11</v>
      </c>
      <c r="L9423" s="1" t="str">
        <f>"2014-12-06 00:13:59"</f>
        <v>2014-12-06 00:13:59</v>
      </c>
      <c r="M9423" s="1" t="s">
        <v>45</v>
      </c>
      <c r="N9423" s="1" t="s">
        <v>38</v>
      </c>
      <c r="O9423" s="1" t="s">
        <v>46</v>
      </c>
    </row>
    <row r="9424" spans="2:15" x14ac:dyDescent="0.3">
      <c r="B9424" s="1" t="s">
        <v>21</v>
      </c>
      <c r="C9424" s="1" t="str">
        <f>"1차"</f>
        <v>1차</v>
      </c>
      <c r="D9424" s="1" t="str">
        <f>"9725F41300"</f>
        <v>9725F41300</v>
      </c>
      <c r="E9424" s="1" t="s">
        <v>10</v>
      </c>
      <c r="F9424" s="1" t="str">
        <f>"10.125.200.74"</f>
        <v>10.125.200.74</v>
      </c>
      <c r="G9424" s="1" t="str">
        <f>"9725F413"</f>
        <v>9725F413</v>
      </c>
      <c r="H9424" s="1" t="str">
        <f>"신촌간 24R10"</f>
        <v>신촌간 24R10</v>
      </c>
      <c r="I9424" s="1" t="s">
        <v>8</v>
      </c>
      <c r="J9424" s="1" t="str">
        <f>"24/35"</f>
        <v>24/35</v>
      </c>
      <c r="K9424" s="1" t="str">
        <f>"2026-07-29 13:18:11"</f>
        <v>2026-07-29 13:18:11</v>
      </c>
      <c r="L9424" s="1" t="str">
        <f>"2016-02-24 15:36:30"</f>
        <v>2016-02-24 15:36:30</v>
      </c>
      <c r="M9424" s="1" t="s">
        <v>45</v>
      </c>
      <c r="N9424" s="1" t="s">
        <v>38</v>
      </c>
      <c r="O9424" s="1" t="s">
        <v>46</v>
      </c>
    </row>
    <row r="9425" spans="2:15" x14ac:dyDescent="0.3">
      <c r="B9425" s="1" t="s">
        <v>21</v>
      </c>
      <c r="C9425" s="1" t="str">
        <f>"5-2차"</f>
        <v>5-2차</v>
      </c>
      <c r="D9425" s="1" t="str">
        <f>"9725F4145M"</f>
        <v>9725F4145M</v>
      </c>
      <c r="E9425" s="1" t="s">
        <v>10</v>
      </c>
      <c r="F9425" s="1" t="str">
        <f>"fde3:102:1300:6a03:0:0:0:2"</f>
        <v>fde3:102:1300:6a03:0:0:0:2</v>
      </c>
      <c r="G9425" s="1" t="str">
        <f>"9725F414"</f>
        <v>9725F414</v>
      </c>
      <c r="H9425" s="1" t="str">
        <f>"신촌간 24R8"</f>
        <v>신촌간 24R8</v>
      </c>
      <c r="I9425" s="1" t="s">
        <v>15</v>
      </c>
      <c r="J9425" s="1" t="str">
        <f>"35/35"</f>
        <v>35/35</v>
      </c>
      <c r="K9425" s="1" t="str">
        <f>"2026-07-29 14:21:00"</f>
        <v>2026-07-29 14:21:00</v>
      </c>
      <c r="L9425" s="1" t="str">
        <f>"2023-08-24 10:19:48"</f>
        <v>2023-08-24 10:19:48</v>
      </c>
      <c r="M9425" s="1" t="s">
        <v>45</v>
      </c>
      <c r="N9425" s="1" t="s">
        <v>38</v>
      </c>
      <c r="O9425" s="1" t="s">
        <v>46</v>
      </c>
    </row>
    <row r="9426" spans="2:15" x14ac:dyDescent="0.3">
      <c r="B9426" s="1" t="s">
        <v>21</v>
      </c>
      <c r="C9426" s="1" t="str">
        <f>"1차"</f>
        <v>1차</v>
      </c>
      <c r="D9426" s="1" t="str">
        <f>"9725F43100"</f>
        <v>9725F43100</v>
      </c>
      <c r="E9426" s="1" t="s">
        <v>10</v>
      </c>
      <c r="F9426" s="1" t="str">
        <f>"10.128.33.150"</f>
        <v>10.128.33.150</v>
      </c>
      <c r="G9426" s="1" t="str">
        <f>"9725F431"</f>
        <v>9725F431</v>
      </c>
      <c r="H9426" s="1" t="str">
        <f>"신촌간 6R10"</f>
        <v>신촌간 6R10</v>
      </c>
      <c r="I9426" s="1" t="s">
        <v>8</v>
      </c>
      <c r="J9426" s="1" t="str">
        <f>"58/59"</f>
        <v>58/59</v>
      </c>
      <c r="K9426" s="1" t="str">
        <f>"2026-07-29 13:18:11"</f>
        <v>2026-07-29 13:18:11</v>
      </c>
      <c r="L9426" s="1" t="str">
        <f>"2014-12-05 12:08:02"</f>
        <v>2014-12-05 12:08:02</v>
      </c>
      <c r="M9426" s="1" t="s">
        <v>45</v>
      </c>
      <c r="N9426" s="1" t="s">
        <v>38</v>
      </c>
      <c r="O9426" s="1" t="s">
        <v>46</v>
      </c>
    </row>
    <row r="9427" spans="2:15" x14ac:dyDescent="0.3">
      <c r="B9427" s="1" t="s">
        <v>21</v>
      </c>
      <c r="C9427" s="1" t="str">
        <f>"5-2차"</f>
        <v>5-2차</v>
      </c>
      <c r="D9427" s="1" t="str">
        <f>"9725F4415M"</f>
        <v>9725F4415M</v>
      </c>
      <c r="E9427" s="1" t="s">
        <v>10</v>
      </c>
      <c r="F9427" s="1" t="str">
        <f>"fde1:103:4:6ed6:0:0:0:2"</f>
        <v>fde1:103:4:6ed6:0:0:0:2</v>
      </c>
      <c r="G9427" s="1" t="str">
        <f>"9725F441"</f>
        <v>9725F441</v>
      </c>
      <c r="H9427" s="1" t="str">
        <f>"신촌간 6R8"</f>
        <v>신촌간 6R8</v>
      </c>
      <c r="I9427" s="1" t="s">
        <v>15</v>
      </c>
      <c r="J9427" s="1" t="str">
        <f>"30/30"</f>
        <v>30/30</v>
      </c>
      <c r="K9427" s="1" t="str">
        <f>"2026-07-29 14:21:21"</f>
        <v>2026-07-29 14:21:21</v>
      </c>
      <c r="L9427" s="1" t="str">
        <f>"2023-11-15 09:03:26"</f>
        <v>2023-11-15 09:03:26</v>
      </c>
      <c r="M9427" s="1" t="s">
        <v>4</v>
      </c>
      <c r="N9427" s="1" t="s">
        <v>38</v>
      </c>
      <c r="O9427" s="1" t="s">
        <v>46</v>
      </c>
    </row>
    <row r="9428" spans="2:15" x14ac:dyDescent="0.3">
      <c r="B9428" s="1" t="s">
        <v>21</v>
      </c>
      <c r="C9428" s="1" t="str">
        <f>"1차"</f>
        <v>1차</v>
      </c>
      <c r="D9428" s="1" t="str">
        <f>"9725F45100"</f>
        <v>9725F45100</v>
      </c>
      <c r="E9428" s="1" t="s">
        <v>10</v>
      </c>
      <c r="F9428" s="1" t="str">
        <f>"10.128.33.89"</f>
        <v>10.128.33.89</v>
      </c>
      <c r="G9428" s="1" t="str">
        <f>"9725F451"</f>
        <v>9725F451</v>
      </c>
      <c r="H9428" s="1" t="str">
        <f>"신촌간 6R5R1"</f>
        <v>신촌간 6R5R1</v>
      </c>
      <c r="I9428" s="1" t="s">
        <v>8</v>
      </c>
      <c r="J9428" s="1" t="str">
        <f>"11/11"</f>
        <v>11/11</v>
      </c>
      <c r="K9428" s="1" t="str">
        <f>"2026-07-29 13:18:11"</f>
        <v>2026-07-29 13:18:11</v>
      </c>
      <c r="L9428" s="1" t="str">
        <f>"2014-11-25 15:13:36"</f>
        <v>2014-11-25 15:13:36</v>
      </c>
      <c r="M9428" s="1" t="s">
        <v>45</v>
      </c>
      <c r="N9428" s="1" t="s">
        <v>38</v>
      </c>
      <c r="O9428" s="1" t="s">
        <v>46</v>
      </c>
    </row>
    <row r="9429" spans="2:15" x14ac:dyDescent="0.3">
      <c r="B9429" s="1" t="s">
        <v>21</v>
      </c>
      <c r="C9429" s="1" t="str">
        <f>"4차"</f>
        <v>4차</v>
      </c>
      <c r="D9429" s="1" t="str">
        <f>"9725F48239"</f>
        <v>9725F48239</v>
      </c>
      <c r="E9429" s="1" t="s">
        <v>10</v>
      </c>
      <c r="F9429" s="1" t="str">
        <f>"10.12.135.53"</f>
        <v>10.12.135.53</v>
      </c>
      <c r="G9429" s="1" t="str">
        <f>"9725F482"</f>
        <v>9725F482</v>
      </c>
      <c r="H9429" s="1" t="str">
        <f>"성산 R1"</f>
        <v>성산 R1</v>
      </c>
      <c r="I9429" s="1" t="s">
        <v>17</v>
      </c>
      <c r="J9429" s="1" t="str">
        <f>"5/5"</f>
        <v>5/5</v>
      </c>
      <c r="K9429" s="1" t="str">
        <f>"2026-07-29 13:18:11"</f>
        <v>2026-07-29 13:18:11</v>
      </c>
      <c r="L9429" s="1" t="str">
        <f>"2018-05-25 09:15:10"</f>
        <v>2018-05-25 09:15:10</v>
      </c>
      <c r="M9429" s="1" t="s">
        <v>0</v>
      </c>
      <c r="N9429" s="1" t="s">
        <v>38</v>
      </c>
      <c r="O9429" s="1" t="s">
        <v>46</v>
      </c>
    </row>
    <row r="9430" spans="2:15" x14ac:dyDescent="0.3">
      <c r="B9430" s="1" t="s">
        <v>21</v>
      </c>
      <c r="C9430" s="1" t="str">
        <f>"1차"</f>
        <v>1차</v>
      </c>
      <c r="D9430" s="1" t="str">
        <f>"9725F52300"</f>
        <v>9725F52300</v>
      </c>
      <c r="E9430" s="1" t="s">
        <v>10</v>
      </c>
      <c r="F9430" s="1" t="str">
        <f>"10.128.33.90"</f>
        <v>10.128.33.90</v>
      </c>
      <c r="G9430" s="1" t="str">
        <f>"9725F523"</f>
        <v>9725F523</v>
      </c>
      <c r="H9430" s="1" t="str">
        <f>"신촌간 21L6"</f>
        <v>신촌간 21L6</v>
      </c>
      <c r="I9430" s="1" t="s">
        <v>8</v>
      </c>
      <c r="J9430" s="1" t="str">
        <f>"40/40"</f>
        <v>40/40</v>
      </c>
      <c r="K9430" s="1" t="str">
        <f>"2026-07-29 13:18:11"</f>
        <v>2026-07-29 13:18:11</v>
      </c>
      <c r="L9430" s="1" t="str">
        <f>"2014-11-25 15:15:04"</f>
        <v>2014-11-25 15:15:04</v>
      </c>
      <c r="M9430" s="1" t="s">
        <v>45</v>
      </c>
      <c r="N9430" s="1" t="s">
        <v>38</v>
      </c>
      <c r="O9430" s="1" t="s">
        <v>46</v>
      </c>
    </row>
    <row r="9431" spans="2:15" x14ac:dyDescent="0.3">
      <c r="B9431" s="1" t="s">
        <v>21</v>
      </c>
      <c r="C9431" s="1" t="str">
        <f>"5-2차"</f>
        <v>5-2차</v>
      </c>
      <c r="D9431" s="1" t="str">
        <f>"9725F5425S"</f>
        <v>9725F5425S</v>
      </c>
      <c r="E9431" s="1" t="s">
        <v>10</v>
      </c>
      <c r="F9431" s="1" t="str">
        <f>"fde1:103:4:6ed0:0:0:0:2"</f>
        <v>fde1:103:4:6ed0:0:0:0:2</v>
      </c>
      <c r="G9431" s="1" t="str">
        <f>"9725F542"</f>
        <v>9725F542</v>
      </c>
      <c r="H9431" s="1" t="str">
        <f>"신촌간 6R7"</f>
        <v>신촌간 6R7</v>
      </c>
      <c r="I9431" s="1" t="s">
        <v>15</v>
      </c>
      <c r="J9431" s="1" t="str">
        <f>"21/21"</f>
        <v>21/21</v>
      </c>
      <c r="K9431" s="1" t="str">
        <f>"2026-07-29 08:20:58"</f>
        <v>2026-07-29 08:20:58</v>
      </c>
      <c r="L9431" s="1" t="str">
        <f>"2023-11-15 10:12:38"</f>
        <v>2023-11-15 10:12:38</v>
      </c>
      <c r="M9431" s="1" t="s">
        <v>4</v>
      </c>
      <c r="N9431" s="1" t="s">
        <v>38</v>
      </c>
      <c r="O9431" s="1" t="s">
        <v>46</v>
      </c>
    </row>
    <row r="9432" spans="2:15" x14ac:dyDescent="0.3">
      <c r="B9432" s="1" t="s">
        <v>21</v>
      </c>
      <c r="C9432" s="1" t="str">
        <f>"4차"</f>
        <v>4차</v>
      </c>
      <c r="D9432" s="1" t="str">
        <f>"9725F60144"</f>
        <v>9725F60144</v>
      </c>
      <c r="E9432" s="1" t="s">
        <v>14</v>
      </c>
      <c r="F9432" s="1" t="str">
        <f>"10.10.130.202"</f>
        <v>10.10.130.202</v>
      </c>
      <c r="G9432" s="1" t="str">
        <f>"9725F601"</f>
        <v>9725F601</v>
      </c>
      <c r="H9432" s="1" t="str">
        <f>"신촌간 17"</f>
        <v>신촌간 17</v>
      </c>
      <c r="I9432" s="1" t="s">
        <v>8</v>
      </c>
      <c r="J9432" s="1" t="str">
        <f>"0/0"</f>
        <v>0/0</v>
      </c>
      <c r="K9432" s="1" t="str">
        <f>"2025-10-30 13:21:10"</f>
        <v>2025-10-30 13:21:10</v>
      </c>
      <c r="L9432" s="1" t="str">
        <f>"2019-12-24 16:55:17"</f>
        <v>2019-12-24 16:55:17</v>
      </c>
      <c r="M9432" s="1" t="s">
        <v>1</v>
      </c>
      <c r="N9432" s="1" t="s">
        <v>44</v>
      </c>
      <c r="O9432" s="1" t="s">
        <v>44</v>
      </c>
    </row>
    <row r="9433" spans="2:15" x14ac:dyDescent="0.3">
      <c r="B9433" s="1" t="s">
        <v>21</v>
      </c>
      <c r="C9433" s="1" t="str">
        <f>"4차"</f>
        <v>4차</v>
      </c>
      <c r="D9433" s="1" t="str">
        <f>"9725F63244"</f>
        <v>9725F63244</v>
      </c>
      <c r="E9433" s="1" t="s">
        <v>10</v>
      </c>
      <c r="F9433" s="1" t="str">
        <f>"10.10.130.218"</f>
        <v>10.10.130.218</v>
      </c>
      <c r="G9433" s="1" t="str">
        <f>"9725F632"</f>
        <v>9725F632</v>
      </c>
      <c r="H9433" s="1" t="str">
        <f>"신촌간 12R1"</f>
        <v>신촌간 12R1</v>
      </c>
      <c r="I9433" s="1" t="s">
        <v>8</v>
      </c>
      <c r="J9433" s="1" t="str">
        <f>"1/1"</f>
        <v>1/1</v>
      </c>
      <c r="K9433" s="1" t="str">
        <f>"2026-07-29 13:18:11"</f>
        <v>2026-07-29 13:18:11</v>
      </c>
      <c r="L9433" s="1" t="str">
        <f>"2020-01-10 17:18:05"</f>
        <v>2020-01-10 17:18:05</v>
      </c>
      <c r="M9433" s="1" t="s">
        <v>1</v>
      </c>
      <c r="N9433" s="1" t="s">
        <v>38</v>
      </c>
      <c r="O9433" s="1" t="s">
        <v>46</v>
      </c>
    </row>
    <row r="9434" spans="2:15" x14ac:dyDescent="0.3">
      <c r="B9434" s="1" t="s">
        <v>21</v>
      </c>
      <c r="C9434" s="1" t="str">
        <f>"5-2차"</f>
        <v>5-2차</v>
      </c>
      <c r="D9434" s="1" t="str">
        <f>"9725F6535M"</f>
        <v>9725F6535M</v>
      </c>
      <c r="E9434" s="1" t="s">
        <v>10</v>
      </c>
      <c r="F9434" s="1" t="str">
        <f>"fde1:103:4:6ed8:0:0:0:2"</f>
        <v>fde1:103:4:6ed8:0:0:0:2</v>
      </c>
      <c r="G9434" s="1" t="str">
        <f>"9725F653"</f>
        <v>9725F653</v>
      </c>
      <c r="H9434" s="1" t="str">
        <f>"신촌간 6R4"</f>
        <v>신촌간 6R4</v>
      </c>
      <c r="I9434" s="1" t="s">
        <v>15</v>
      </c>
      <c r="J9434" s="1" t="str">
        <f>"34/36"</f>
        <v>34/36</v>
      </c>
      <c r="K9434" s="1" t="str">
        <f>"2026-07-29 14:21:21"</f>
        <v>2026-07-29 14:21:21</v>
      </c>
      <c r="L9434" s="1" t="str">
        <f>"2023-11-15 10:12:37"</f>
        <v>2023-11-15 10:12:37</v>
      </c>
      <c r="M9434" s="1" t="s">
        <v>4</v>
      </c>
      <c r="N9434" s="1" t="s">
        <v>38</v>
      </c>
      <c r="O9434" s="1" t="s">
        <v>46</v>
      </c>
    </row>
    <row r="9435" spans="2:15" x14ac:dyDescent="0.3">
      <c r="B9435" s="1" t="s">
        <v>21</v>
      </c>
      <c r="C9435" s="1" t="str">
        <f>"4차"</f>
        <v>4차</v>
      </c>
      <c r="D9435" s="1" t="str">
        <f>"9725F72441"</f>
        <v>9725F72441</v>
      </c>
      <c r="E9435" s="1" t="s">
        <v>10</v>
      </c>
      <c r="F9435" s="1" t="str">
        <f>"10.14.8.183"</f>
        <v>10.14.8.183</v>
      </c>
      <c r="G9435" s="1" t="str">
        <f>"9725F724"</f>
        <v>9725F724</v>
      </c>
      <c r="H9435" s="1" t="str">
        <f>"신촌간 3"</f>
        <v>신촌간 3</v>
      </c>
      <c r="I9435" s="1" t="s">
        <v>17</v>
      </c>
      <c r="J9435" s="1" t="str">
        <f>"9/9"</f>
        <v>9/9</v>
      </c>
      <c r="K9435" s="1" t="str">
        <f>"2026-07-29 13:18:12"</f>
        <v>2026-07-29 13:18:12</v>
      </c>
      <c r="L9435" s="1" t="str">
        <f>"2021-10-26 08:56:55"</f>
        <v>2021-10-26 08:56:55</v>
      </c>
      <c r="M9435" s="1" t="s">
        <v>3</v>
      </c>
      <c r="N9435" s="1" t="s">
        <v>38</v>
      </c>
      <c r="O9435" s="1" t="s">
        <v>46</v>
      </c>
    </row>
    <row r="9436" spans="2:15" x14ac:dyDescent="0.3">
      <c r="B9436" s="1" t="s">
        <v>21</v>
      </c>
      <c r="C9436" s="1" t="str">
        <f>"5-2차"</f>
        <v>5-2차</v>
      </c>
      <c r="D9436" s="1" t="str">
        <f>"9725F8315M"</f>
        <v>9725F8315M</v>
      </c>
      <c r="E9436" s="1" t="s">
        <v>10</v>
      </c>
      <c r="F9436" s="1" t="str">
        <f>"fde3:102:1302:2300:0:0:0:2"</f>
        <v>fde3:102:1302:2300:0:0:0:2</v>
      </c>
      <c r="G9436" s="1" t="str">
        <f>"9725F831"</f>
        <v>9725F831</v>
      </c>
      <c r="H9436" s="1" t="str">
        <f>"이대SW 12R6R5"</f>
        <v>이대SW 12R6R5</v>
      </c>
      <c r="I9436" s="1" t="s">
        <v>15</v>
      </c>
      <c r="J9436" s="1" t="str">
        <f>"99/99"</f>
        <v>99/99</v>
      </c>
      <c r="K9436" s="1" t="str">
        <f>"2026-07-29 14:21:21"</f>
        <v>2026-07-29 14:21:21</v>
      </c>
      <c r="L9436" s="1" t="str">
        <f>"2023-08-24 10:28:53"</f>
        <v>2023-08-24 10:28:53</v>
      </c>
      <c r="M9436" s="1" t="s">
        <v>45</v>
      </c>
      <c r="N9436" s="1" t="s">
        <v>38</v>
      </c>
      <c r="O9436" s="1" t="s">
        <v>46</v>
      </c>
    </row>
    <row r="9437" spans="2:15" x14ac:dyDescent="0.3">
      <c r="B9437" s="1" t="s">
        <v>21</v>
      </c>
      <c r="C9437" s="1" t="str">
        <f>"5-2차"</f>
        <v>5-2차</v>
      </c>
      <c r="D9437" s="1" t="str">
        <f>"9725F8335M"</f>
        <v>9725F8335M</v>
      </c>
      <c r="E9437" s="1" t="s">
        <v>10</v>
      </c>
      <c r="F9437" s="1" t="str">
        <f>"fde1:103:4:6ed7:0:0:0:2"</f>
        <v>fde1:103:4:6ed7:0:0:0:2</v>
      </c>
      <c r="G9437" s="1" t="str">
        <f>"9725F833"</f>
        <v>9725F833</v>
      </c>
      <c r="H9437" s="1" t="str">
        <f>"이대SW 12R6R5AR1"</f>
        <v>이대SW 12R6R5AR1</v>
      </c>
      <c r="I9437" s="1" t="s">
        <v>15</v>
      </c>
      <c r="J9437" s="1" t="str">
        <f>"54/54"</f>
        <v>54/54</v>
      </c>
      <c r="K9437" s="1" t="str">
        <f>"2026-07-29 14:21:21"</f>
        <v>2026-07-29 14:21:21</v>
      </c>
      <c r="L9437" s="1" t="str">
        <f>"2023-11-15 10:13:34"</f>
        <v>2023-11-15 10:13:34</v>
      </c>
      <c r="M9437" s="1" t="s">
        <v>4</v>
      </c>
      <c r="N9437" s="1" t="s">
        <v>38</v>
      </c>
      <c r="O9437" s="1" t="s">
        <v>46</v>
      </c>
    </row>
    <row r="9438" spans="2:15" x14ac:dyDescent="0.3">
      <c r="B9438" s="1" t="s">
        <v>21</v>
      </c>
      <c r="C9438" s="1" t="str">
        <f>"4차"</f>
        <v>4차</v>
      </c>
      <c r="D9438" s="1" t="str">
        <f>"9725F84439"</f>
        <v>9725F84439</v>
      </c>
      <c r="E9438" s="1" t="s">
        <v>14</v>
      </c>
      <c r="F9438" s="1" t="str">
        <f>"10.12.136.44"</f>
        <v>10.12.136.44</v>
      </c>
      <c r="G9438" s="1" t="str">
        <f>"9725F844"</f>
        <v>9725F844</v>
      </c>
      <c r="H9438" s="1" t="str">
        <f>"이대 14"</f>
        <v>이대 14</v>
      </c>
      <c r="I9438" s="1" t="s">
        <v>17</v>
      </c>
      <c r="J9438" s="1" t="str">
        <f>"0/0"</f>
        <v>0/0</v>
      </c>
      <c r="K9438" s="1" t="str">
        <f>"2026-06-10 07:18:12"</f>
        <v>2026-06-10 07:18:12</v>
      </c>
      <c r="L9438" s="1" t="str">
        <f>"2018-06-25 12:48:53"</f>
        <v>2018-06-25 12:48:53</v>
      </c>
      <c r="M9438" s="1" t="s">
        <v>0</v>
      </c>
      <c r="N9438" s="1" t="s">
        <v>39</v>
      </c>
      <c r="O9438" s="1" t="s">
        <v>46</v>
      </c>
    </row>
    <row r="9439" spans="2:15" x14ac:dyDescent="0.3">
      <c r="B9439" s="1" t="s">
        <v>21</v>
      </c>
      <c r="C9439" s="1" t="str">
        <f>"4차"</f>
        <v>4차</v>
      </c>
      <c r="D9439" s="1" t="str">
        <f>"9725F85939"</f>
        <v>9725F85939</v>
      </c>
      <c r="E9439" s="1" t="s">
        <v>10</v>
      </c>
      <c r="F9439" s="1" t="str">
        <f>"10.12.135.236"</f>
        <v>10.12.135.236</v>
      </c>
      <c r="G9439" s="1" t="str">
        <f>"9725F859"</f>
        <v>9725F859</v>
      </c>
      <c r="H9439" s="1" t="str">
        <f>"이대 18"</f>
        <v>이대 18</v>
      </c>
      <c r="I9439" s="1" t="s">
        <v>17</v>
      </c>
      <c r="J9439" s="1" t="str">
        <f>"10/10"</f>
        <v>10/10</v>
      </c>
      <c r="K9439" s="1" t="str">
        <f>"2026-07-29 13:18:11"</f>
        <v>2026-07-29 13:18:11</v>
      </c>
      <c r="L9439" s="1" t="str">
        <f>"2018-05-21 11:21:38"</f>
        <v>2018-05-21 11:21:38</v>
      </c>
      <c r="M9439" s="1" t="s">
        <v>0</v>
      </c>
      <c r="N9439" s="1" t="s">
        <v>38</v>
      </c>
      <c r="O9439" s="1" t="s">
        <v>46</v>
      </c>
    </row>
    <row r="9440" spans="2:15" x14ac:dyDescent="0.3">
      <c r="B9440" s="1" t="s">
        <v>21</v>
      </c>
      <c r="C9440" s="1" t="str">
        <f>"5-1차"</f>
        <v>5-1차</v>
      </c>
      <c r="D9440" s="1" t="str">
        <f>"9725F9125M"</f>
        <v>9725F9125M</v>
      </c>
      <c r="E9440" s="1" t="s">
        <v>10</v>
      </c>
      <c r="F9440" s="1" t="str">
        <f>"fde2:104:0:8c:0:0:0:2"</f>
        <v>fde2:104:0:8c:0:0:0:2</v>
      </c>
      <c r="G9440" s="1" t="str">
        <f>"9725F912"</f>
        <v>9725F912</v>
      </c>
      <c r="H9440" s="1" t="str">
        <f>"대신간 3R3"</f>
        <v>대신간 3R3</v>
      </c>
      <c r="I9440" s="1" t="s">
        <v>15</v>
      </c>
      <c r="J9440" s="1" t="str">
        <f>"40/40"</f>
        <v>40/40</v>
      </c>
      <c r="K9440" s="1" t="str">
        <f>"2026-07-29 14:21:02"</f>
        <v>2026-07-29 14:21:02</v>
      </c>
      <c r="L9440" s="1" t="str">
        <f>"2022-09-26 08:55:27"</f>
        <v>2022-09-26 08:55:27</v>
      </c>
      <c r="M9440" s="1" t="s">
        <v>42</v>
      </c>
      <c r="N9440" s="1" t="s">
        <v>38</v>
      </c>
      <c r="O9440" s="1" t="s">
        <v>46</v>
      </c>
    </row>
    <row r="9441" spans="2:15" x14ac:dyDescent="0.3">
      <c r="B9441" s="1" t="s">
        <v>21</v>
      </c>
      <c r="C9441" s="1" t="str">
        <f>"3차"</f>
        <v>3차</v>
      </c>
      <c r="D9441" s="1" t="str">
        <f>"9725F91539"</f>
        <v>9725F91539</v>
      </c>
      <c r="E9441" s="1" t="s">
        <v>10</v>
      </c>
      <c r="F9441" s="1" t="str">
        <f>"10.12.129.184"</f>
        <v>10.12.129.184</v>
      </c>
      <c r="G9441" s="1" t="str">
        <f>"9725F915"</f>
        <v>9725F915</v>
      </c>
      <c r="H9441" s="1" t="str">
        <f>"이대SW 12R12"</f>
        <v>이대SW 12R12</v>
      </c>
      <c r="I9441" s="1" t="s">
        <v>8</v>
      </c>
      <c r="J9441" s="1" t="str">
        <f>"31/31"</f>
        <v>31/31</v>
      </c>
      <c r="K9441" s="1" t="str">
        <f>"2026-07-29 13:18:11"</f>
        <v>2026-07-29 13:18:11</v>
      </c>
      <c r="L9441" s="1" t="str">
        <f>"2018-04-26 14:12:12"</f>
        <v>2018-04-26 14:12:12</v>
      </c>
      <c r="M9441" s="1" t="s">
        <v>0</v>
      </c>
      <c r="N9441" s="1" t="s">
        <v>38</v>
      </c>
      <c r="O9441" s="1" t="s">
        <v>46</v>
      </c>
    </row>
    <row r="9442" spans="2:15" x14ac:dyDescent="0.3">
      <c r="B9442" s="1" t="s">
        <v>21</v>
      </c>
      <c r="C9442" s="1" t="str">
        <f>"4차"</f>
        <v>4차</v>
      </c>
      <c r="D9442" s="1" t="str">
        <f>"9725F91639"</f>
        <v>9725F91639</v>
      </c>
      <c r="E9442" s="1" t="str">
        <f>"검침실패(3시간 이상)"</f>
        <v>검침실패(3시간 이상)</v>
      </c>
      <c r="F9442" s="1" t="str">
        <f>"10.12.137.36"</f>
        <v>10.12.137.36</v>
      </c>
      <c r="G9442" s="1" t="str">
        <f>"9725F916"</f>
        <v>9725F916</v>
      </c>
      <c r="H9442" s="1" t="str">
        <f>"대신간 3R4T1"</f>
        <v>대신간 3R4T1</v>
      </c>
      <c r="I9442" s="1" t="s">
        <v>17</v>
      </c>
      <c r="J9442" s="1" t="str">
        <f>"0/1"</f>
        <v>0/1</v>
      </c>
      <c r="K9442" s="1" t="str">
        <f>"2026-06-12 07:18:11"</f>
        <v>2026-06-12 07:18:11</v>
      </c>
      <c r="L9442" s="1" t="str">
        <f>"2018-10-12 14:47:12"</f>
        <v>2018-10-12 14:47:12</v>
      </c>
      <c r="M9442" s="1" t="s">
        <v>0</v>
      </c>
      <c r="N9442" s="1" t="s">
        <v>38</v>
      </c>
      <c r="O9442" s="1" t="s">
        <v>46</v>
      </c>
    </row>
    <row r="9443" spans="2:15" x14ac:dyDescent="0.3">
      <c r="B9443" s="1" t="s">
        <v>21</v>
      </c>
      <c r="C9443" s="1" t="str">
        <f>"5-1차"</f>
        <v>5-1차</v>
      </c>
      <c r="D9443" s="1" t="str">
        <f>"9725F9185M"</f>
        <v>9725F9185M</v>
      </c>
      <c r="E9443" s="1" t="s">
        <v>10</v>
      </c>
      <c r="F9443" s="1" t="str">
        <f>"fde3:102:1302:101:0:0:0:2"</f>
        <v>fde3:102:1302:101:0:0:0:2</v>
      </c>
      <c r="G9443" s="1" t="str">
        <f>"9725F918"</f>
        <v>9725F918</v>
      </c>
      <c r="H9443" s="1" t="str">
        <f>"이대SW 12R13"</f>
        <v>이대SW 12R13</v>
      </c>
      <c r="I9443" s="1" t="s">
        <v>15</v>
      </c>
      <c r="J9443" s="1" t="str">
        <f>"119/119"</f>
        <v>119/119</v>
      </c>
      <c r="K9443" s="1" t="str">
        <f>"2026-07-29 14:21:21"</f>
        <v>2026-07-29 14:21:21</v>
      </c>
      <c r="L9443" s="1" t="str">
        <f>"2022-12-05 10:12:39"</f>
        <v>2022-12-05 10:12:39</v>
      </c>
      <c r="M9443" s="1" t="s">
        <v>45</v>
      </c>
      <c r="N9443" s="1" t="s">
        <v>38</v>
      </c>
      <c r="O9443" s="1" t="s">
        <v>46</v>
      </c>
    </row>
    <row r="9444" spans="2:15" x14ac:dyDescent="0.3">
      <c r="B9444" s="1" t="s">
        <v>21</v>
      </c>
      <c r="C9444" s="1" t="str">
        <f>"5-2차"</f>
        <v>5-2차</v>
      </c>
      <c r="D9444" s="1" t="str">
        <f>"9725F91A5M"</f>
        <v>9725F91A5M</v>
      </c>
      <c r="E9444" s="1" t="s">
        <v>10</v>
      </c>
      <c r="F9444" s="1" t="str">
        <f>"fde1:103:4:6ed2:0:0:0:2"</f>
        <v>fde1:103:4:6ed2:0:0:0:2</v>
      </c>
      <c r="G9444" s="1" t="str">
        <f>"9725F91A"</f>
        <v>9725F91A</v>
      </c>
      <c r="H9444" s="1" t="str">
        <f>"대신간 3R4H1"</f>
        <v>대신간 3R4H1</v>
      </c>
      <c r="I9444" s="1" t="s">
        <v>15</v>
      </c>
      <c r="J9444" s="1" t="str">
        <f>"50/50"</f>
        <v>50/50</v>
      </c>
      <c r="K9444" s="1" t="str">
        <f>"2026-07-29 14:21:21"</f>
        <v>2026-07-29 14:21:21</v>
      </c>
      <c r="L9444" s="1" t="str">
        <f>"2023-11-15 10:12:40"</f>
        <v>2023-11-15 10:12:40</v>
      </c>
      <c r="M9444" s="1" t="s">
        <v>4</v>
      </c>
      <c r="N9444" s="1" t="s">
        <v>38</v>
      </c>
      <c r="O9444" s="1" t="s">
        <v>46</v>
      </c>
    </row>
    <row r="9445" spans="2:15" x14ac:dyDescent="0.3">
      <c r="B9445" s="1" t="s">
        <v>21</v>
      </c>
      <c r="C9445" s="1" t="str">
        <f>"4차"</f>
        <v>4차</v>
      </c>
      <c r="D9445" s="1" t="str">
        <f>"9725F93241"</f>
        <v>9725F93241</v>
      </c>
      <c r="E9445" s="1" t="s">
        <v>10</v>
      </c>
      <c r="F9445" s="1" t="str">
        <f>"10.14.8.13"</f>
        <v>10.14.8.13</v>
      </c>
      <c r="G9445" s="1" t="str">
        <f>"9725F932"</f>
        <v>9725F932</v>
      </c>
      <c r="H9445" s="1" t="str">
        <f>"이대SW 12R6R3"</f>
        <v>이대SW 12R6R3</v>
      </c>
      <c r="I9445" s="1" t="s">
        <v>17</v>
      </c>
      <c r="J9445" s="1" t="str">
        <f>"80/80"</f>
        <v>80/80</v>
      </c>
      <c r="K9445" s="1" t="str">
        <f>"2026-07-29 13:18:11"</f>
        <v>2026-07-29 13:18:11</v>
      </c>
      <c r="L9445" s="1" t="str">
        <f>"2021-08-27 08:36:25"</f>
        <v>2021-08-27 08:36:25</v>
      </c>
      <c r="M9445" s="1" t="s">
        <v>3</v>
      </c>
      <c r="N9445" s="1" t="s">
        <v>38</v>
      </c>
      <c r="O9445" s="1" t="s">
        <v>46</v>
      </c>
    </row>
    <row r="9446" spans="2:15" x14ac:dyDescent="0.3">
      <c r="B9446" s="1" t="s">
        <v>21</v>
      </c>
      <c r="C9446" s="1" t="str">
        <f>"4차"</f>
        <v>4차</v>
      </c>
      <c r="D9446" s="1" t="str">
        <f>"9725G09445"</f>
        <v>9725G09445</v>
      </c>
      <c r="E9446" s="1" t="s">
        <v>10</v>
      </c>
      <c r="F9446" s="1" t="str">
        <f>"10.14.10.32"</f>
        <v>10.14.10.32</v>
      </c>
      <c r="G9446" s="1" t="str">
        <f>"9725G094"</f>
        <v>9725G094</v>
      </c>
      <c r="H9446" s="1" t="str">
        <f>"동교 6"</f>
        <v>동교 6</v>
      </c>
      <c r="I9446" s="1" t="s">
        <v>17</v>
      </c>
      <c r="J9446" s="1" t="str">
        <f>"19/19"</f>
        <v>19/19</v>
      </c>
      <c r="K9446" s="1" t="str">
        <f>"2026-07-29 13:18:11"</f>
        <v>2026-07-29 13:18:11</v>
      </c>
      <c r="L9446" s="1" t="str">
        <f>"2021-06-17 09:37:53"</f>
        <v>2021-06-17 09:37:53</v>
      </c>
      <c r="M9446" s="1" t="s">
        <v>3</v>
      </c>
      <c r="N9446" s="1" t="s">
        <v>38</v>
      </c>
      <c r="O9446" s="1" t="s">
        <v>46</v>
      </c>
    </row>
    <row r="9447" spans="2:15" x14ac:dyDescent="0.3">
      <c r="B9447" s="1" t="s">
        <v>21</v>
      </c>
      <c r="C9447" s="1" t="str">
        <f>"4차"</f>
        <v>4차</v>
      </c>
      <c r="D9447" s="1" t="str">
        <f>"9725G19139"</f>
        <v>9725G19139</v>
      </c>
      <c r="E9447" s="1" t="s">
        <v>10</v>
      </c>
      <c r="F9447" s="1" t="str">
        <f>"10.12.135.159"</f>
        <v>10.12.135.159</v>
      </c>
      <c r="G9447" s="1" t="str">
        <f>"9725G191"</f>
        <v>9725G191</v>
      </c>
      <c r="H9447" s="1" t="str">
        <f>"동교 7"</f>
        <v>동교 7</v>
      </c>
      <c r="I9447" s="1" t="s">
        <v>17</v>
      </c>
      <c r="J9447" s="1" t="str">
        <f>"3/3"</f>
        <v>3/3</v>
      </c>
      <c r="K9447" s="1" t="str">
        <f>"2026-07-29 13:18:03"</f>
        <v>2026-07-29 13:18:03</v>
      </c>
      <c r="L9447" s="1" t="str">
        <f>"2018-05-14 15:20:43"</f>
        <v>2018-05-14 15:20:43</v>
      </c>
      <c r="M9447" s="1" t="s">
        <v>0</v>
      </c>
      <c r="N9447" s="1" t="s">
        <v>38</v>
      </c>
      <c r="O9447" s="1" t="s">
        <v>46</v>
      </c>
    </row>
    <row r="9448" spans="2:15" x14ac:dyDescent="0.3">
      <c r="B9448" s="1" t="s">
        <v>21</v>
      </c>
      <c r="C9448" s="1" t="str">
        <f>"4차"</f>
        <v>4차</v>
      </c>
      <c r="D9448" s="1" t="str">
        <f>"9725G28E39"</f>
        <v>9725G28E39</v>
      </c>
      <c r="E9448" s="1" t="s">
        <v>14</v>
      </c>
      <c r="F9448" s="1" t="str">
        <f>"10.12.135.162"</f>
        <v>10.12.135.162</v>
      </c>
      <c r="G9448" s="1" t="str">
        <f>"9725G28E"</f>
        <v>9725G28E</v>
      </c>
      <c r="H9448" s="1" t="str">
        <f>"동교 10"</f>
        <v>동교 10</v>
      </c>
      <c r="I9448" s="1" t="s">
        <v>17</v>
      </c>
      <c r="J9448" s="1" t="str">
        <f>"0/0"</f>
        <v>0/0</v>
      </c>
      <c r="K9448" s="1" t="str">
        <f>"2026-07-28 13:18:12"</f>
        <v>2026-07-28 13:18:12</v>
      </c>
      <c r="L9448" s="1" t="str">
        <f>"2018-05-15 09:46:42"</f>
        <v>2018-05-15 09:46:42</v>
      </c>
      <c r="M9448" s="1" t="s">
        <v>0</v>
      </c>
      <c r="N9448" s="1" t="s">
        <v>39</v>
      </c>
      <c r="O9448" s="1" t="s">
        <v>46</v>
      </c>
    </row>
    <row r="9449" spans="2:15" x14ac:dyDescent="0.3">
      <c r="B9449" s="1" t="s">
        <v>21</v>
      </c>
      <c r="C9449" s="1" t="str">
        <f>"1차"</f>
        <v>1차</v>
      </c>
      <c r="D9449" s="1" t="str">
        <f>"9725G29101"</f>
        <v>9725G29101</v>
      </c>
      <c r="E9449" s="1" t="s">
        <v>10</v>
      </c>
      <c r="F9449" s="1" t="str">
        <f>"10.12.130.47"</f>
        <v>10.12.130.47</v>
      </c>
      <c r="G9449" s="1" t="str">
        <f>"9725G291"</f>
        <v>9725G291</v>
      </c>
      <c r="H9449" s="1" t="str">
        <f>"창천간 10L1"</f>
        <v>창천간 10L1</v>
      </c>
      <c r="I9449" s="1" t="s">
        <v>8</v>
      </c>
      <c r="J9449" s="1" t="str">
        <f>"2/2"</f>
        <v>2/2</v>
      </c>
      <c r="K9449" s="1" t="str">
        <f>"2026-07-29 13:18:12"</f>
        <v>2026-07-29 13:18:12</v>
      </c>
      <c r="L9449" s="1" t="str">
        <f>"2014-11-27 11:46:45"</f>
        <v>2014-11-27 11:46:45</v>
      </c>
      <c r="M9449" s="1" t="s">
        <v>0</v>
      </c>
      <c r="N9449" s="1" t="s">
        <v>38</v>
      </c>
      <c r="O9449" s="1" t="s">
        <v>46</v>
      </c>
    </row>
    <row r="9450" spans="2:15" x14ac:dyDescent="0.3">
      <c r="B9450" s="1" t="s">
        <v>21</v>
      </c>
      <c r="C9450" s="1" t="str">
        <f>"1차"</f>
        <v>1차</v>
      </c>
      <c r="D9450" s="1" t="str">
        <f>"9725G39100"</f>
        <v>9725G39100</v>
      </c>
      <c r="E9450" s="1" t="s">
        <v>10</v>
      </c>
      <c r="F9450" s="1" t="str">
        <f>"10.128.98.114"</f>
        <v>10.128.98.114</v>
      </c>
      <c r="G9450" s="1" t="str">
        <f>"9725G391"</f>
        <v>9725G391</v>
      </c>
      <c r="H9450" s="1" t="str">
        <f>"창천간 10L2"</f>
        <v>창천간 10L2</v>
      </c>
      <c r="I9450" s="1" t="s">
        <v>8</v>
      </c>
      <c r="J9450" s="1" t="str">
        <f>"18/18"</f>
        <v>18/18</v>
      </c>
      <c r="K9450" s="1" t="str">
        <f>"2026-07-29 13:18:11"</f>
        <v>2026-07-29 13:18:11</v>
      </c>
      <c r="L9450" s="1" t="str">
        <f>"2014-11-27 11:34:27"</f>
        <v>2014-11-27 11:34:27</v>
      </c>
      <c r="M9450" s="1" t="s">
        <v>45</v>
      </c>
      <c r="N9450" s="1" t="s">
        <v>38</v>
      </c>
      <c r="O9450" s="1" t="s">
        <v>46</v>
      </c>
    </row>
    <row r="9451" spans="2:15" x14ac:dyDescent="0.3">
      <c r="B9451" s="1" t="s">
        <v>21</v>
      </c>
      <c r="C9451" s="1" t="str">
        <f>"1차"</f>
        <v>1차</v>
      </c>
      <c r="D9451" s="1" t="str">
        <f>"9725G39202"</f>
        <v>9725G39202</v>
      </c>
      <c r="E9451" s="1" t="s">
        <v>10</v>
      </c>
      <c r="F9451" s="1" t="str">
        <f>"10.12.130.46"</f>
        <v>10.12.130.46</v>
      </c>
      <c r="G9451" s="1" t="str">
        <f>"9725G392"</f>
        <v>9725G392</v>
      </c>
      <c r="H9451" s="1" t="str">
        <f>"창천간 10L3"</f>
        <v>창천간 10L3</v>
      </c>
      <c r="I9451" s="1" t="s">
        <v>8</v>
      </c>
      <c r="J9451" s="1" t="str">
        <f>"5/5"</f>
        <v>5/5</v>
      </c>
      <c r="K9451" s="1" t="str">
        <f>"2026-07-29 13:18:13"</f>
        <v>2026-07-29 13:18:13</v>
      </c>
      <c r="L9451" s="1" t="str">
        <f>"2014-12-22 14:57:45"</f>
        <v>2014-12-22 14:57:45</v>
      </c>
      <c r="M9451" s="1" t="s">
        <v>0</v>
      </c>
      <c r="N9451" s="1" t="s">
        <v>38</v>
      </c>
      <c r="O9451" s="1" t="s">
        <v>46</v>
      </c>
    </row>
    <row r="9452" spans="2:15" x14ac:dyDescent="0.3">
      <c r="B9452" s="1" t="s">
        <v>21</v>
      </c>
      <c r="C9452" s="1" t="str">
        <f>"4차"</f>
        <v>4차</v>
      </c>
      <c r="D9452" s="1" t="str">
        <f>"9725G67139"</f>
        <v>9725G67139</v>
      </c>
      <c r="E9452" s="1" t="s">
        <v>14</v>
      </c>
      <c r="F9452" s="1" t="str">
        <f>"10.12.135.40"</f>
        <v>10.12.135.40</v>
      </c>
      <c r="G9452" s="1" t="str">
        <f>"9725G671"</f>
        <v>9725G671</v>
      </c>
      <c r="H9452" s="1" t="str">
        <f>"연세 L1"</f>
        <v>연세 L1</v>
      </c>
      <c r="I9452" s="1" t="s">
        <v>17</v>
      </c>
      <c r="J9452" s="1" t="str">
        <f>"0/0"</f>
        <v>0/0</v>
      </c>
      <c r="K9452" s="1" t="str">
        <f>"2026-05-17 01:18:11"</f>
        <v>2026-05-17 01:18:11</v>
      </c>
      <c r="L9452" s="1" t="str">
        <f>"2018-05-24 08:13:41"</f>
        <v>2018-05-24 08:13:41</v>
      </c>
      <c r="M9452" s="1" t="s">
        <v>0</v>
      </c>
      <c r="N9452" s="1" t="s">
        <v>39</v>
      </c>
      <c r="O9452" s="1" t="s">
        <v>46</v>
      </c>
    </row>
    <row r="9453" spans="2:15" x14ac:dyDescent="0.3">
      <c r="B9453" s="1" t="s">
        <v>21</v>
      </c>
      <c r="C9453" s="1" t="str">
        <f>"3차"</f>
        <v>3차</v>
      </c>
      <c r="D9453" s="1" t="str">
        <f>"9725G77339"</f>
        <v>9725G77339</v>
      </c>
      <c r="E9453" s="1" t="s">
        <v>14</v>
      </c>
      <c r="F9453" s="1" t="str">
        <f>"10.12.135.157"</f>
        <v>10.12.135.157</v>
      </c>
      <c r="G9453" s="1" t="str">
        <f>"9725G773"</f>
        <v>9725G773</v>
      </c>
      <c r="H9453" s="1" t="str">
        <f>"연세 R1"</f>
        <v>연세 R1</v>
      </c>
      <c r="I9453" s="1" t="s">
        <v>17</v>
      </c>
      <c r="J9453" s="1" t="str">
        <f>"0/0"</f>
        <v>0/0</v>
      </c>
      <c r="K9453" s="1" t="str">
        <f>"2024-10-14 01:21:07"</f>
        <v>2024-10-14 01:21:07</v>
      </c>
      <c r="L9453" s="1" t="str">
        <f>"2018-05-24 08:34:10"</f>
        <v>2018-05-24 08:34:10</v>
      </c>
      <c r="M9453" s="1" t="s">
        <v>0</v>
      </c>
      <c r="N9453" s="1" t="s">
        <v>39</v>
      </c>
      <c r="O9453" s="1" t="s">
        <v>46</v>
      </c>
    </row>
    <row r="9454" spans="2:15" x14ac:dyDescent="0.3">
      <c r="B9454" s="1" t="s">
        <v>21</v>
      </c>
      <c r="C9454" s="1" t="str">
        <f>"3차"</f>
        <v>3차</v>
      </c>
      <c r="D9454" s="1" t="str">
        <f>"9725H18A39"</f>
        <v>9725H18A39</v>
      </c>
      <c r="E9454" s="1" t="s">
        <v>14</v>
      </c>
      <c r="F9454" s="1" t="str">
        <f>"10.12.135.165"</f>
        <v>10.12.135.165</v>
      </c>
      <c r="G9454" s="1" t="str">
        <f>"9725H18A"</f>
        <v>9725H18A</v>
      </c>
      <c r="H9454" s="1" t="str">
        <f>"대현 1-3"</f>
        <v>대현 1-3</v>
      </c>
      <c r="I9454" s="1" t="s">
        <v>17</v>
      </c>
      <c r="J9454" s="1" t="str">
        <f>"0/0"</f>
        <v>0/0</v>
      </c>
      <c r="K9454" s="1" t="str">
        <f>"2026-07-28 13:18:12"</f>
        <v>2026-07-28 13:18:12</v>
      </c>
      <c r="L9454" s="1" t="str">
        <f>"2018-05-15 09:37:41"</f>
        <v>2018-05-15 09:37:41</v>
      </c>
      <c r="M9454" s="1" t="s">
        <v>0</v>
      </c>
      <c r="N9454" s="1" t="s">
        <v>39</v>
      </c>
      <c r="O9454" s="1" t="s">
        <v>46</v>
      </c>
    </row>
    <row r="9455" spans="2:15" x14ac:dyDescent="0.3">
      <c r="B9455" s="1" t="s">
        <v>21</v>
      </c>
      <c r="C9455" s="1" t="str">
        <f>"4차"</f>
        <v>4차</v>
      </c>
      <c r="D9455" s="1" t="str">
        <f>"9725H28139"</f>
        <v>9725H28139</v>
      </c>
      <c r="E9455" s="1" t="s">
        <v>10</v>
      </c>
      <c r="F9455" s="1" t="str">
        <f>"10.12.135.158"</f>
        <v>10.12.135.158</v>
      </c>
      <c r="G9455" s="1" t="str">
        <f>"9725H281"</f>
        <v>9725H281</v>
      </c>
      <c r="H9455" s="1" t="str">
        <f>"대현 1"</f>
        <v>대현 1</v>
      </c>
      <c r="I9455" s="1" t="s">
        <v>17</v>
      </c>
      <c r="J9455" s="1" t="str">
        <f>"5/5"</f>
        <v>5/5</v>
      </c>
      <c r="K9455" s="1" t="str">
        <f t="shared" ref="K9455:K9466" si="476">"2026-07-29 13:18:12"</f>
        <v>2026-07-29 13:18:12</v>
      </c>
      <c r="L9455" s="1" t="str">
        <f>"2018-05-14 13:59:28"</f>
        <v>2018-05-14 13:59:28</v>
      </c>
      <c r="M9455" s="1" t="s">
        <v>0</v>
      </c>
      <c r="N9455" s="1" t="s">
        <v>38</v>
      </c>
      <c r="O9455" s="1" t="s">
        <v>46</v>
      </c>
    </row>
    <row r="9456" spans="2:15" x14ac:dyDescent="0.3">
      <c r="B9456" s="1" t="s">
        <v>21</v>
      </c>
      <c r="C9456" s="1" t="str">
        <f>"4차"</f>
        <v>4차</v>
      </c>
      <c r="D9456" s="1" t="str">
        <f>"9725H49139"</f>
        <v>9725H49139</v>
      </c>
      <c r="E9456" s="1" t="s">
        <v>10</v>
      </c>
      <c r="F9456" s="1" t="str">
        <f>"10.12.135.167"</f>
        <v>10.12.135.167</v>
      </c>
      <c r="G9456" s="1" t="str">
        <f>"9725H491"</f>
        <v>9725H491</v>
      </c>
      <c r="H9456" s="1" t="str">
        <f>"대현 1-1"</f>
        <v>대현 1-1</v>
      </c>
      <c r="I9456" s="1" t="s">
        <v>17</v>
      </c>
      <c r="J9456" s="1" t="str">
        <f>"4/4"</f>
        <v>4/4</v>
      </c>
      <c r="K9456" s="1" t="str">
        <f t="shared" si="476"/>
        <v>2026-07-29 13:18:12</v>
      </c>
      <c r="L9456" s="1" t="str">
        <f>"2018-05-14 13:46:14"</f>
        <v>2018-05-14 13:46:14</v>
      </c>
      <c r="M9456" s="1" t="s">
        <v>0</v>
      </c>
      <c r="N9456" s="1" t="s">
        <v>38</v>
      </c>
      <c r="O9456" s="1" t="s">
        <v>46</v>
      </c>
    </row>
    <row r="9457" spans="2:15" x14ac:dyDescent="0.3">
      <c r="B9457" s="1" t="s">
        <v>21</v>
      </c>
      <c r="C9457" s="1" t="str">
        <f>"4차"</f>
        <v>4차</v>
      </c>
      <c r="D9457" s="1" t="str">
        <f>"9726A01244"</f>
        <v>9726A01244</v>
      </c>
      <c r="E9457" s="1" t="s">
        <v>10</v>
      </c>
      <c r="F9457" s="1" t="str">
        <f>"10.10.98.162"</f>
        <v>10.10.98.162</v>
      </c>
      <c r="G9457" s="1" t="str">
        <f>"9726A012"</f>
        <v>9726A012</v>
      </c>
      <c r="H9457" s="1" t="str">
        <f>"홍남간 72L21R3L3"</f>
        <v>홍남간 72L21R3L3</v>
      </c>
      <c r="I9457" s="1" t="s">
        <v>8</v>
      </c>
      <c r="J9457" s="1" t="str">
        <f>"26/26"</f>
        <v>26/26</v>
      </c>
      <c r="K9457" s="1" t="str">
        <f t="shared" si="476"/>
        <v>2026-07-29 13:18:12</v>
      </c>
      <c r="L9457" s="1" t="str">
        <f>"2019-11-20 08:37:34"</f>
        <v>2019-11-20 08:37:34</v>
      </c>
      <c r="M9457" s="1" t="s">
        <v>1</v>
      </c>
      <c r="N9457" s="1" t="s">
        <v>38</v>
      </c>
      <c r="O9457" s="1" t="s">
        <v>46</v>
      </c>
    </row>
    <row r="9458" spans="2:15" x14ac:dyDescent="0.3">
      <c r="B9458" s="1" t="s">
        <v>21</v>
      </c>
      <c r="C9458" s="1" t="str">
        <f>"3차"</f>
        <v>3차</v>
      </c>
      <c r="D9458" s="1" t="str">
        <f>"9726A02139"</f>
        <v>9726A02139</v>
      </c>
      <c r="E9458" s="1" t="s">
        <v>10</v>
      </c>
      <c r="F9458" s="1" t="str">
        <f>"10.128.115.181"</f>
        <v>10.128.115.181</v>
      </c>
      <c r="G9458" s="1" t="str">
        <f>"9726A021"</f>
        <v>9726A021</v>
      </c>
      <c r="H9458" s="1" t="str">
        <f>"홍남간 72L5R6"</f>
        <v>홍남간 72L5R6</v>
      </c>
      <c r="I9458" s="1" t="s">
        <v>8</v>
      </c>
      <c r="J9458" s="1" t="str">
        <f>"24/24"</f>
        <v>24/24</v>
      </c>
      <c r="K9458" s="1" t="str">
        <f t="shared" si="476"/>
        <v>2026-07-29 13:18:12</v>
      </c>
      <c r="L9458" s="1" t="str">
        <f>"2018-04-20 11:20:42"</f>
        <v>2018-04-20 11:20:42</v>
      </c>
      <c r="M9458" s="1" t="s">
        <v>45</v>
      </c>
      <c r="N9458" s="1" t="s">
        <v>38</v>
      </c>
      <c r="O9458" s="1" t="s">
        <v>46</v>
      </c>
    </row>
    <row r="9459" spans="2:15" x14ac:dyDescent="0.3">
      <c r="B9459" s="1" t="s">
        <v>21</v>
      </c>
      <c r="C9459" s="1" t="str">
        <f>"4차"</f>
        <v>4차</v>
      </c>
      <c r="D9459" s="1" t="str">
        <f>"9726A02244"</f>
        <v>9726A02244</v>
      </c>
      <c r="E9459" s="1" t="s">
        <v>10</v>
      </c>
      <c r="F9459" s="1" t="str">
        <f>"10.10.122.154"</f>
        <v>10.10.122.154</v>
      </c>
      <c r="G9459" s="1" t="str">
        <f>"9726A022"</f>
        <v>9726A022</v>
      </c>
      <c r="H9459" s="1" t="str">
        <f>"홍남간 72L5R7"</f>
        <v>홍남간 72L5R7</v>
      </c>
      <c r="I9459" s="1" t="s">
        <v>8</v>
      </c>
      <c r="J9459" s="1" t="str">
        <f>"19/19"</f>
        <v>19/19</v>
      </c>
      <c r="K9459" s="1" t="str">
        <f t="shared" si="476"/>
        <v>2026-07-29 13:18:12</v>
      </c>
      <c r="L9459" s="1" t="str">
        <f>"2019-11-20 08:37:57"</f>
        <v>2019-11-20 08:37:57</v>
      </c>
      <c r="M9459" s="1" t="s">
        <v>1</v>
      </c>
      <c r="N9459" s="1" t="s">
        <v>38</v>
      </c>
      <c r="O9459" s="1" t="s">
        <v>46</v>
      </c>
    </row>
    <row r="9460" spans="2:15" x14ac:dyDescent="0.3">
      <c r="B9460" s="1" t="s">
        <v>21</v>
      </c>
      <c r="C9460" s="1" t="str">
        <f>"1차"</f>
        <v>1차</v>
      </c>
      <c r="D9460" s="1" t="str">
        <f>"9726A04101"</f>
        <v>9726A04101</v>
      </c>
      <c r="E9460" s="1" t="s">
        <v>10</v>
      </c>
      <c r="F9460" s="1" t="str">
        <f>"10.128.97.243"</f>
        <v>10.128.97.243</v>
      </c>
      <c r="G9460" s="1" t="str">
        <f>"9726A041"</f>
        <v>9726A041</v>
      </c>
      <c r="H9460" s="1" t="str">
        <f>"홍남간 72L5R5R1"</f>
        <v>홍남간 72L5R5R1</v>
      </c>
      <c r="I9460" s="1" t="s">
        <v>8</v>
      </c>
      <c r="J9460" s="1" t="str">
        <f>"21/21"</f>
        <v>21/21</v>
      </c>
      <c r="K9460" s="1" t="str">
        <f t="shared" si="476"/>
        <v>2026-07-29 13:18:12</v>
      </c>
      <c r="L9460" s="1" t="str">
        <f>"2014-12-13 15:06:21"</f>
        <v>2014-12-13 15:06:21</v>
      </c>
      <c r="M9460" s="1" t="s">
        <v>45</v>
      </c>
      <c r="N9460" s="1" t="s">
        <v>44</v>
      </c>
      <c r="O9460" s="1" t="s">
        <v>44</v>
      </c>
    </row>
    <row r="9461" spans="2:15" x14ac:dyDescent="0.3">
      <c r="B9461" s="1" t="s">
        <v>21</v>
      </c>
      <c r="C9461" s="1" t="str">
        <f>"4차"</f>
        <v>4차</v>
      </c>
      <c r="D9461" s="1" t="str">
        <f>"9726A04444"</f>
        <v>9726A04444</v>
      </c>
      <c r="E9461" s="1" t="s">
        <v>10</v>
      </c>
      <c r="F9461" s="1" t="str">
        <f>"10.10.98.178"</f>
        <v>10.10.98.178</v>
      </c>
      <c r="G9461" s="1" t="str">
        <f>"9726A044"</f>
        <v>9726A044</v>
      </c>
      <c r="H9461" s="1" t="str">
        <f>"홍남간 72L5R5R2"</f>
        <v>홍남간 72L5R5R2</v>
      </c>
      <c r="I9461" s="1" t="s">
        <v>8</v>
      </c>
      <c r="J9461" s="1" t="str">
        <f>"41/41"</f>
        <v>41/41</v>
      </c>
      <c r="K9461" s="1" t="str">
        <f t="shared" si="476"/>
        <v>2026-07-29 13:18:12</v>
      </c>
      <c r="L9461" s="1" t="str">
        <f>"2019-11-20 08:37:39"</f>
        <v>2019-11-20 08:37:39</v>
      </c>
      <c r="M9461" s="1" t="s">
        <v>1</v>
      </c>
      <c r="N9461" s="1" t="s">
        <v>38</v>
      </c>
      <c r="O9461" s="1" t="s">
        <v>46</v>
      </c>
    </row>
    <row r="9462" spans="2:15" x14ac:dyDescent="0.3">
      <c r="B9462" s="1" t="s">
        <v>21</v>
      </c>
      <c r="C9462" s="1" t="str">
        <f>"4차"</f>
        <v>4차</v>
      </c>
      <c r="D9462" s="1" t="str">
        <f>"9726A05139"</f>
        <v>9726A05139</v>
      </c>
      <c r="E9462" s="1" t="s">
        <v>10</v>
      </c>
      <c r="F9462" s="1" t="str">
        <f>"10.12.129.59"</f>
        <v>10.12.129.59</v>
      </c>
      <c r="G9462" s="1" t="str">
        <f>"9726A051"</f>
        <v>9726A051</v>
      </c>
      <c r="H9462" s="1" t="str">
        <f>"홍남간 73L3"</f>
        <v>홍남간 73L3</v>
      </c>
      <c r="I9462" s="1" t="s">
        <v>8</v>
      </c>
      <c r="J9462" s="1" t="str">
        <f>"21/22"</f>
        <v>21/22</v>
      </c>
      <c r="K9462" s="1" t="str">
        <f t="shared" si="476"/>
        <v>2026-07-29 13:18:12</v>
      </c>
      <c r="L9462" s="1" t="str">
        <f>"2018-04-20 11:52:11"</f>
        <v>2018-04-20 11:52:11</v>
      </c>
      <c r="M9462" s="1" t="s">
        <v>0</v>
      </c>
      <c r="N9462" s="1" t="s">
        <v>38</v>
      </c>
      <c r="O9462" s="1" t="s">
        <v>46</v>
      </c>
    </row>
    <row r="9463" spans="2:15" x14ac:dyDescent="0.3">
      <c r="B9463" s="1" t="s">
        <v>21</v>
      </c>
      <c r="C9463" s="1" t="str">
        <f>"4차"</f>
        <v>4차</v>
      </c>
      <c r="D9463" s="1" t="str">
        <f>"9726A07142"</f>
        <v>9726A07142</v>
      </c>
      <c r="E9463" s="1" t="s">
        <v>10</v>
      </c>
      <c r="F9463" s="1" t="str">
        <f>"10.128.96.18"</f>
        <v>10.128.96.18</v>
      </c>
      <c r="G9463" s="1" t="str">
        <f>"9726A071"</f>
        <v>9726A071</v>
      </c>
      <c r="H9463" s="1" t="str">
        <f>"명지간 10L7A11"</f>
        <v>명지간 10L7A11</v>
      </c>
      <c r="I9463" s="1" t="s">
        <v>8</v>
      </c>
      <c r="J9463" s="1" t="str">
        <f>"9/42"</f>
        <v>9/42</v>
      </c>
      <c r="K9463" s="1" t="str">
        <f t="shared" si="476"/>
        <v>2026-07-29 13:18:12</v>
      </c>
      <c r="L9463" s="1" t="str">
        <f>"2025-04-24 17:32:57"</f>
        <v>2025-04-24 17:32:57</v>
      </c>
      <c r="M9463" s="1" t="s">
        <v>45</v>
      </c>
      <c r="N9463" s="1" t="s">
        <v>38</v>
      </c>
      <c r="O9463" s="1" t="s">
        <v>46</v>
      </c>
    </row>
    <row r="9464" spans="2:15" x14ac:dyDescent="0.3">
      <c r="B9464" s="1" t="s">
        <v>21</v>
      </c>
      <c r="C9464" s="1" t="str">
        <f>"4차"</f>
        <v>4차</v>
      </c>
      <c r="D9464" s="1" t="str">
        <f>"9726A10244"</f>
        <v>9726A10244</v>
      </c>
      <c r="E9464" s="1" t="s">
        <v>10</v>
      </c>
      <c r="F9464" s="1" t="str">
        <f>"10.10.98.154"</f>
        <v>10.10.98.154</v>
      </c>
      <c r="G9464" s="1" t="str">
        <f>"9726A102"</f>
        <v>9726A102</v>
      </c>
      <c r="H9464" s="1" t="str">
        <f>"홍남간 72L21R2R4"</f>
        <v>홍남간 72L21R2R4</v>
      </c>
      <c r="I9464" s="1" t="s">
        <v>8</v>
      </c>
      <c r="J9464" s="1" t="str">
        <f>"41/41"</f>
        <v>41/41</v>
      </c>
      <c r="K9464" s="1" t="str">
        <f t="shared" si="476"/>
        <v>2026-07-29 13:18:12</v>
      </c>
      <c r="L9464" s="1" t="str">
        <f>"2019-11-20 08:37:48"</f>
        <v>2019-11-20 08:37:48</v>
      </c>
      <c r="M9464" s="1" t="s">
        <v>1</v>
      </c>
      <c r="N9464" s="1" t="s">
        <v>38</v>
      </c>
      <c r="O9464" s="1" t="s">
        <v>46</v>
      </c>
    </row>
    <row r="9465" spans="2:15" x14ac:dyDescent="0.3">
      <c r="B9465" s="1" t="s">
        <v>21</v>
      </c>
      <c r="C9465" s="1" t="str">
        <f>"4차"</f>
        <v>4차</v>
      </c>
      <c r="D9465" s="1" t="str">
        <f>"9726A11144"</f>
        <v>9726A11144</v>
      </c>
      <c r="E9465" s="1" t="s">
        <v>10</v>
      </c>
      <c r="F9465" s="1" t="str">
        <f>"10.10.122.130"</f>
        <v>10.10.122.130</v>
      </c>
      <c r="G9465" s="1" t="str">
        <f>"9726A111"</f>
        <v>9726A111</v>
      </c>
      <c r="H9465" s="1" t="str">
        <f>"홍남간 72L21R3L2"</f>
        <v>홍남간 72L21R3L2</v>
      </c>
      <c r="I9465" s="1" t="s">
        <v>8</v>
      </c>
      <c r="J9465" s="1" t="str">
        <f>"25/25"</f>
        <v>25/25</v>
      </c>
      <c r="K9465" s="1" t="str">
        <f t="shared" si="476"/>
        <v>2026-07-29 13:18:12</v>
      </c>
      <c r="L9465" s="1" t="str">
        <f>"2019-11-20 08:37:29"</f>
        <v>2019-11-20 08:37:29</v>
      </c>
      <c r="M9465" s="1" t="s">
        <v>1</v>
      </c>
      <c r="N9465" s="1" t="s">
        <v>38</v>
      </c>
      <c r="O9465" s="1" t="s">
        <v>46</v>
      </c>
    </row>
    <row r="9466" spans="2:15" x14ac:dyDescent="0.3">
      <c r="B9466" s="1" t="s">
        <v>21</v>
      </c>
      <c r="C9466" s="1" t="str">
        <f>"1차"</f>
        <v>1차</v>
      </c>
      <c r="D9466" s="1" t="str">
        <f>"9726A13200"</f>
        <v>9726A13200</v>
      </c>
      <c r="E9466" s="1" t="s">
        <v>10</v>
      </c>
      <c r="F9466" s="1" t="str">
        <f>"10.128.97.242"</f>
        <v>10.128.97.242</v>
      </c>
      <c r="G9466" s="1" t="str">
        <f>"9726A132"</f>
        <v>9726A132</v>
      </c>
      <c r="H9466" s="1" t="str">
        <f>"홍남간 72L5R5"</f>
        <v>홍남간 72L5R5</v>
      </c>
      <c r="I9466" s="1" t="s">
        <v>8</v>
      </c>
      <c r="J9466" s="1" t="str">
        <f>"14/14"</f>
        <v>14/14</v>
      </c>
      <c r="K9466" s="1" t="str">
        <f t="shared" si="476"/>
        <v>2026-07-29 13:18:12</v>
      </c>
      <c r="L9466" s="1" t="str">
        <f>"2014-12-12 11:27:54"</f>
        <v>2014-12-12 11:27:54</v>
      </c>
      <c r="M9466" s="1" t="s">
        <v>45</v>
      </c>
      <c r="N9466" s="1" t="s">
        <v>38</v>
      </c>
      <c r="O9466" s="1" t="s">
        <v>46</v>
      </c>
    </row>
    <row r="9467" spans="2:15" x14ac:dyDescent="0.3">
      <c r="B9467" s="1" t="s">
        <v>21</v>
      </c>
      <c r="C9467" s="1" t="str">
        <f>"6차"</f>
        <v>6차</v>
      </c>
      <c r="D9467" s="1" t="str">
        <f>"9726A1336S"</f>
        <v>9726A1336S</v>
      </c>
      <c r="E9467" s="1" t="s">
        <v>10</v>
      </c>
      <c r="F9467" s="1" t="str">
        <f>"fde1:103:4:c7ec:0:0:0:2"</f>
        <v>fde1:103:4:c7ec:0:0:0:2</v>
      </c>
      <c r="G9467" s="1" t="str">
        <f>"9726A133"</f>
        <v>9726A133</v>
      </c>
      <c r="H9467" s="1" t="str">
        <f>"홍남간 72L21R4"</f>
        <v>홍남간 72L21R4</v>
      </c>
      <c r="I9467" s="1" t="s">
        <v>15</v>
      </c>
      <c r="J9467" s="1" t="str">
        <f>"11/11"</f>
        <v>11/11</v>
      </c>
      <c r="K9467" s="1" t="str">
        <f>"2026-07-29 14:21:08"</f>
        <v>2026-07-29 14:21:08</v>
      </c>
      <c r="L9467" s="1" t="str">
        <f>"2024-12-10 11:23:54"</f>
        <v>2024-12-10 11:23:54</v>
      </c>
      <c r="M9467" s="1" t="s">
        <v>4</v>
      </c>
      <c r="N9467" s="1" t="s">
        <v>38</v>
      </c>
      <c r="O9467" s="1" t="s">
        <v>46</v>
      </c>
    </row>
    <row r="9468" spans="2:15" x14ac:dyDescent="0.3">
      <c r="B9468" s="1" t="s">
        <v>21</v>
      </c>
      <c r="C9468" s="1" t="str">
        <f>"4차"</f>
        <v>4차</v>
      </c>
      <c r="D9468" s="1" t="str">
        <f>"9726A17244"</f>
        <v>9726A17244</v>
      </c>
      <c r="E9468" s="1" t="s">
        <v>10</v>
      </c>
      <c r="F9468" s="1" t="str">
        <f>"10.10.81.10"</f>
        <v>10.10.81.10</v>
      </c>
      <c r="G9468" s="1" t="str">
        <f>"9726A172"</f>
        <v>9726A172</v>
      </c>
      <c r="H9468" s="1" t="str">
        <f>"명지간 10L7A9L1"</f>
        <v>명지간 10L7A9L1</v>
      </c>
      <c r="I9468" s="1" t="s">
        <v>8</v>
      </c>
      <c r="J9468" s="1" t="str">
        <f>"21/22"</f>
        <v>21/22</v>
      </c>
      <c r="K9468" s="1" t="str">
        <f>"2026-07-29 13:18:12"</f>
        <v>2026-07-29 13:18:12</v>
      </c>
      <c r="L9468" s="1" t="str">
        <f>"2019-12-17 16:10:12"</f>
        <v>2019-12-17 16:10:12</v>
      </c>
      <c r="M9468" s="1" t="s">
        <v>1</v>
      </c>
      <c r="N9468" s="1" t="s">
        <v>38</v>
      </c>
      <c r="O9468" s="1" t="s">
        <v>46</v>
      </c>
    </row>
    <row r="9469" spans="2:15" x14ac:dyDescent="0.3">
      <c r="B9469" s="1" t="s">
        <v>21</v>
      </c>
      <c r="C9469" s="1" t="str">
        <f>"4차"</f>
        <v>4차</v>
      </c>
      <c r="D9469" s="1" t="str">
        <f>"9726A20344"</f>
        <v>9726A20344</v>
      </c>
      <c r="E9469" s="1" t="s">
        <v>10</v>
      </c>
      <c r="F9469" s="1" t="str">
        <f>"10.10.98.170"</f>
        <v>10.10.98.170</v>
      </c>
      <c r="G9469" s="1" t="str">
        <f>"9726A203"</f>
        <v>9726A203</v>
      </c>
      <c r="H9469" s="1" t="str">
        <f>"홍남간 72L25"</f>
        <v>홍남간 72L25</v>
      </c>
      <c r="I9469" s="1" t="s">
        <v>8</v>
      </c>
      <c r="J9469" s="1" t="str">
        <f>"31/35"</f>
        <v>31/35</v>
      </c>
      <c r="K9469" s="1" t="str">
        <f>"2026-07-29 13:18:12"</f>
        <v>2026-07-29 13:18:12</v>
      </c>
      <c r="L9469" s="1" t="str">
        <f>"2019-11-20 08:44:29"</f>
        <v>2019-11-20 08:44:29</v>
      </c>
      <c r="M9469" s="1" t="s">
        <v>1</v>
      </c>
      <c r="N9469" s="1" t="s">
        <v>38</v>
      </c>
      <c r="O9469" s="1" t="s">
        <v>46</v>
      </c>
    </row>
    <row r="9470" spans="2:15" x14ac:dyDescent="0.3">
      <c r="B9470" s="1" t="s">
        <v>21</v>
      </c>
      <c r="C9470" s="1" t="str">
        <f>"4차"</f>
        <v>4차</v>
      </c>
      <c r="D9470" s="1" t="str">
        <f>"9726A20544"</f>
        <v>9726A20544</v>
      </c>
      <c r="E9470" s="1" t="s">
        <v>10</v>
      </c>
      <c r="F9470" s="1" t="str">
        <f>"10.10.122.138"</f>
        <v>10.10.122.138</v>
      </c>
      <c r="G9470" s="1" t="str">
        <f>"9726A205"</f>
        <v>9726A205</v>
      </c>
      <c r="H9470" s="1" t="str">
        <f>"홍남간 72L23"</f>
        <v>홍남간 72L23</v>
      </c>
      <c r="I9470" s="1" t="s">
        <v>8</v>
      </c>
      <c r="J9470" s="1" t="str">
        <f>"34/34"</f>
        <v>34/34</v>
      </c>
      <c r="K9470" s="1" t="str">
        <f>"2026-07-29 13:18:11"</f>
        <v>2026-07-29 13:18:11</v>
      </c>
      <c r="L9470" s="1" t="str">
        <f>"2019-11-20 08:37:39"</f>
        <v>2019-11-20 08:37:39</v>
      </c>
      <c r="M9470" s="1" t="s">
        <v>1</v>
      </c>
      <c r="N9470" s="1" t="s">
        <v>38</v>
      </c>
      <c r="O9470" s="1" t="s">
        <v>46</v>
      </c>
    </row>
    <row r="9471" spans="2:15" x14ac:dyDescent="0.3">
      <c r="B9471" s="1" t="s">
        <v>21</v>
      </c>
      <c r="C9471" s="1" t="str">
        <f>"4차"</f>
        <v>4차</v>
      </c>
      <c r="D9471" s="1" t="str">
        <f>"9726A21244"</f>
        <v>9726A21244</v>
      </c>
      <c r="E9471" s="1" t="s">
        <v>10</v>
      </c>
      <c r="F9471" s="1" t="str">
        <f>"10.10.98.130"</f>
        <v>10.10.98.130</v>
      </c>
      <c r="G9471" s="1" t="str">
        <f>"9726A212"</f>
        <v>9726A212</v>
      </c>
      <c r="H9471" s="1" t="str">
        <f>"홍남간 72L21R2R2"</f>
        <v>홍남간 72L21R2R2</v>
      </c>
      <c r="I9471" s="1" t="s">
        <v>8</v>
      </c>
      <c r="J9471" s="1" t="str">
        <f>"27/27"</f>
        <v>27/27</v>
      </c>
      <c r="K9471" s="1" t="str">
        <f>"2026-07-29 13:18:11"</f>
        <v>2026-07-29 13:18:11</v>
      </c>
      <c r="L9471" s="1" t="str">
        <f>"2019-11-20 08:37:47"</f>
        <v>2019-11-20 08:37:47</v>
      </c>
      <c r="M9471" s="1" t="s">
        <v>1</v>
      </c>
      <c r="N9471" s="1" t="s">
        <v>38</v>
      </c>
      <c r="O9471" s="1" t="s">
        <v>46</v>
      </c>
    </row>
    <row r="9472" spans="2:15" x14ac:dyDescent="0.3">
      <c r="B9472" s="1" t="s">
        <v>21</v>
      </c>
      <c r="C9472" s="1" t="str">
        <f>"4차"</f>
        <v>4차</v>
      </c>
      <c r="D9472" s="1" t="str">
        <f>"9726A22144"</f>
        <v>9726A22144</v>
      </c>
      <c r="E9472" s="1" t="s">
        <v>10</v>
      </c>
      <c r="F9472" s="1" t="str">
        <f>"10.10.97.242"</f>
        <v>10.10.97.242</v>
      </c>
      <c r="G9472" s="1" t="str">
        <f>"9726A221"</f>
        <v>9726A221</v>
      </c>
      <c r="H9472" s="1" t="str">
        <f>"홍남간 72L21R2R1"</f>
        <v>홍남간 72L21R2R1</v>
      </c>
      <c r="I9472" s="1" t="s">
        <v>8</v>
      </c>
      <c r="J9472" s="1" t="str">
        <f>"15/16"</f>
        <v>15/16</v>
      </c>
      <c r="K9472" s="1" t="str">
        <f>"2026-07-29 13:18:11"</f>
        <v>2026-07-29 13:18:11</v>
      </c>
      <c r="L9472" s="1" t="str">
        <f>"2019-12-11 18:21:59"</f>
        <v>2019-12-11 18:21:59</v>
      </c>
      <c r="M9472" s="1" t="s">
        <v>1</v>
      </c>
      <c r="N9472" s="1" t="s">
        <v>38</v>
      </c>
      <c r="O9472" s="1" t="s">
        <v>46</v>
      </c>
    </row>
    <row r="9473" spans="2:15" x14ac:dyDescent="0.3">
      <c r="B9473" s="1" t="s">
        <v>21</v>
      </c>
      <c r="C9473" s="1" t="str">
        <f>"1차"</f>
        <v>1차</v>
      </c>
      <c r="D9473" s="1" t="str">
        <f>"9726A22200"</f>
        <v>9726A22200</v>
      </c>
      <c r="E9473" s="1" t="s">
        <v>10</v>
      </c>
      <c r="F9473" s="1" t="str">
        <f>"10.128.98.2"</f>
        <v>10.128.98.2</v>
      </c>
      <c r="G9473" s="1" t="str">
        <f>"9726A222"</f>
        <v>9726A222</v>
      </c>
      <c r="H9473" s="1" t="str">
        <f>"홍남간 72L21R3"</f>
        <v>홍남간 72L21R3</v>
      </c>
      <c r="I9473" s="1" t="s">
        <v>8</v>
      </c>
      <c r="J9473" s="1" t="str">
        <f>"53/53"</f>
        <v>53/53</v>
      </c>
      <c r="K9473" s="1" t="str">
        <f>"2026-07-29 13:18:12"</f>
        <v>2026-07-29 13:18:12</v>
      </c>
      <c r="L9473" s="1" t="str">
        <f>"2014-12-12 11:43:14"</f>
        <v>2014-12-12 11:43:14</v>
      </c>
      <c r="M9473" s="1" t="s">
        <v>45</v>
      </c>
      <c r="N9473" s="1" t="s">
        <v>38</v>
      </c>
      <c r="O9473" s="1" t="s">
        <v>46</v>
      </c>
    </row>
    <row r="9474" spans="2:15" x14ac:dyDescent="0.3">
      <c r="B9474" s="1" t="s">
        <v>21</v>
      </c>
      <c r="C9474" s="1" t="str">
        <f>"6차"</f>
        <v>6차</v>
      </c>
      <c r="D9474" s="1" t="str">
        <f>"9726A2416S"</f>
        <v>9726A2416S</v>
      </c>
      <c r="E9474" s="1" t="s">
        <v>10</v>
      </c>
      <c r="F9474" s="1" t="str">
        <f>"fde1:103:4:c78a:0:0:0:2"</f>
        <v>fde1:103:4:c78a:0:0:0:2</v>
      </c>
      <c r="G9474" s="1" t="str">
        <f>"9726A241"</f>
        <v>9726A241</v>
      </c>
      <c r="H9474" s="1" t="str">
        <f>"홍남간 72L5R3"</f>
        <v>홍남간 72L5R3</v>
      </c>
      <c r="I9474" s="1" t="s">
        <v>15</v>
      </c>
      <c r="J9474" s="1" t="str">
        <f>"19/19"</f>
        <v>19/19</v>
      </c>
      <c r="K9474" s="1" t="str">
        <f>"2026-07-29 14:21:08"</f>
        <v>2026-07-29 14:21:08</v>
      </c>
      <c r="L9474" s="1" t="str">
        <f>"2024-12-10 11:23:55"</f>
        <v>2024-12-10 11:23:55</v>
      </c>
      <c r="M9474" s="1" t="s">
        <v>4</v>
      </c>
      <c r="N9474" s="1" t="s">
        <v>38</v>
      </c>
      <c r="O9474" s="1" t="s">
        <v>46</v>
      </c>
    </row>
    <row r="9475" spans="2:15" x14ac:dyDescent="0.3">
      <c r="B9475" s="1" t="s">
        <v>21</v>
      </c>
      <c r="C9475" s="1" t="str">
        <f>"4차"</f>
        <v>4차</v>
      </c>
      <c r="D9475" s="1" t="str">
        <f>"9726A27144"</f>
        <v>9726A27144</v>
      </c>
      <c r="E9475" s="1" t="s">
        <v>10</v>
      </c>
      <c r="F9475" s="1" t="str">
        <f>"10.10.81.18"</f>
        <v>10.10.81.18</v>
      </c>
      <c r="G9475" s="1" t="str">
        <f>"9726A271"</f>
        <v>9726A271</v>
      </c>
      <c r="H9475" s="1" t="str">
        <f>"명지간 10L7A9L2"</f>
        <v>명지간 10L7A9L2</v>
      </c>
      <c r="I9475" s="1" t="s">
        <v>8</v>
      </c>
      <c r="J9475" s="1" t="str">
        <f>"30/30"</f>
        <v>30/30</v>
      </c>
      <c r="K9475" s="1" t="str">
        <f>"2026-07-29 13:18:11"</f>
        <v>2026-07-29 13:18:11</v>
      </c>
      <c r="L9475" s="1" t="str">
        <f>"2019-10-14 15:53:03"</f>
        <v>2019-10-14 15:53:03</v>
      </c>
      <c r="M9475" s="1" t="s">
        <v>1</v>
      </c>
      <c r="N9475" s="1" t="s">
        <v>38</v>
      </c>
      <c r="O9475" s="1" t="s">
        <v>46</v>
      </c>
    </row>
    <row r="9476" spans="2:15" x14ac:dyDescent="0.3">
      <c r="B9476" s="1" t="s">
        <v>21</v>
      </c>
      <c r="C9476" s="1" t="str">
        <f>"4차"</f>
        <v>4차</v>
      </c>
      <c r="D9476" s="1" t="str">
        <f>"9726A27244"</f>
        <v>9726A27244</v>
      </c>
      <c r="E9476" s="1" t="s">
        <v>14</v>
      </c>
      <c r="F9476" s="1" t="str">
        <f>"10.10.115.34"</f>
        <v>10.10.115.34</v>
      </c>
      <c r="G9476" s="1" t="str">
        <f>"9726A272"</f>
        <v>9726A272</v>
      </c>
      <c r="H9476" s="1" t="str">
        <f>"홍남간 66R1"</f>
        <v>홍남간 66R1</v>
      </c>
      <c r="I9476" s="1" t="s">
        <v>8</v>
      </c>
      <c r="J9476" s="1" t="str">
        <f>"0/0"</f>
        <v>0/0</v>
      </c>
      <c r="K9476" s="1" t="str">
        <f>"2024-05-28 09:20:06"</f>
        <v>2024-05-28 09:20:06</v>
      </c>
      <c r="L9476" s="1" t="str">
        <f>"2023-04-21 17:39:33"</f>
        <v>2023-04-21 17:39:33</v>
      </c>
      <c r="M9476" s="1" t="s">
        <v>1</v>
      </c>
      <c r="N9476" s="1" t="s">
        <v>44</v>
      </c>
      <c r="O9476" s="1" t="s">
        <v>44</v>
      </c>
    </row>
    <row r="9477" spans="2:15" x14ac:dyDescent="0.3">
      <c r="B9477" s="1" t="s">
        <v>21</v>
      </c>
      <c r="C9477" s="1" t="str">
        <f>"3차"</f>
        <v>3차</v>
      </c>
      <c r="D9477" s="1" t="str">
        <f>"9726A29139"</f>
        <v>9726A29139</v>
      </c>
      <c r="E9477" s="1" t="s">
        <v>10</v>
      </c>
      <c r="F9477" s="1" t="str">
        <f>"10.128.114.227"</f>
        <v>10.128.114.227</v>
      </c>
      <c r="G9477" s="1" t="str">
        <f>"9726A291"</f>
        <v>9726A291</v>
      </c>
      <c r="H9477" s="1" t="str">
        <f>"명지간 10L7A7"</f>
        <v>명지간 10L7A7</v>
      </c>
      <c r="I9477" s="1" t="s">
        <v>8</v>
      </c>
      <c r="J9477" s="1" t="str">
        <f>"33/33"</f>
        <v>33/33</v>
      </c>
      <c r="K9477" s="1" t="str">
        <f>"2026-07-29 13:18:12"</f>
        <v>2026-07-29 13:18:12</v>
      </c>
      <c r="L9477" s="1" t="str">
        <f>"2018-04-17 18:20:14"</f>
        <v>2018-04-17 18:20:14</v>
      </c>
      <c r="M9477" s="1" t="s">
        <v>45</v>
      </c>
      <c r="N9477" s="1" t="s">
        <v>38</v>
      </c>
      <c r="O9477" s="1" t="s">
        <v>46</v>
      </c>
    </row>
    <row r="9478" spans="2:15" x14ac:dyDescent="0.3">
      <c r="B9478" s="1" t="s">
        <v>21</v>
      </c>
      <c r="C9478" s="1" t="str">
        <f>"4차"</f>
        <v>4차</v>
      </c>
      <c r="D9478" s="1" t="str">
        <f>"9726A29244"</f>
        <v>9726A29244</v>
      </c>
      <c r="E9478" s="1" t="s">
        <v>10</v>
      </c>
      <c r="F9478" s="1" t="str">
        <f>"10.10.80.250"</f>
        <v>10.10.80.250</v>
      </c>
      <c r="G9478" s="1" t="str">
        <f>"9726A292"</f>
        <v>9726A292</v>
      </c>
      <c r="H9478" s="1" t="str">
        <f>"명지간 10L7A6"</f>
        <v>명지간 10L7A6</v>
      </c>
      <c r="I9478" s="1" t="s">
        <v>8</v>
      </c>
      <c r="J9478" s="1" t="str">
        <f>"12/12"</f>
        <v>12/12</v>
      </c>
      <c r="K9478" s="1" t="str">
        <f>"2026-07-29 13:18:11"</f>
        <v>2026-07-29 13:18:11</v>
      </c>
      <c r="L9478" s="1" t="str">
        <f>"2019-10-14 15:53:03"</f>
        <v>2019-10-14 15:53:03</v>
      </c>
      <c r="M9478" s="1" t="s">
        <v>1</v>
      </c>
      <c r="N9478" s="1" t="s">
        <v>38</v>
      </c>
      <c r="O9478" s="1" t="s">
        <v>46</v>
      </c>
    </row>
    <row r="9479" spans="2:15" x14ac:dyDescent="0.3">
      <c r="B9479" s="1" t="s">
        <v>21</v>
      </c>
      <c r="C9479" s="1" t="str">
        <f>"1차"</f>
        <v>1차</v>
      </c>
      <c r="D9479" s="1" t="str">
        <f>"9726A30102"</f>
        <v>9726A30102</v>
      </c>
      <c r="E9479" s="1" t="s">
        <v>14</v>
      </c>
      <c r="F9479" s="1" t="str">
        <f>"10.128.98.19"</f>
        <v>10.128.98.19</v>
      </c>
      <c r="G9479" s="1" t="str">
        <f>"9726A301"</f>
        <v>9726A301</v>
      </c>
      <c r="H9479" s="1" t="str">
        <f>"홍남간 48L3"</f>
        <v>홍남간 48L3</v>
      </c>
      <c r="I9479" s="1" t="s">
        <v>8</v>
      </c>
      <c r="J9479" s="1" t="str">
        <f>"0/0"</f>
        <v>0/0</v>
      </c>
      <c r="K9479" s="1" t="str">
        <f>"2024-09-17 07:21:08"</f>
        <v>2024-09-17 07:21:08</v>
      </c>
      <c r="L9479" s="1" t="str">
        <f>"2014-12-18 14:44:46"</f>
        <v>2014-12-18 14:44:46</v>
      </c>
      <c r="M9479" s="1" t="s">
        <v>45</v>
      </c>
      <c r="N9479" s="1" t="s">
        <v>44</v>
      </c>
      <c r="O9479" s="1" t="s">
        <v>44</v>
      </c>
    </row>
    <row r="9480" spans="2:15" x14ac:dyDescent="0.3">
      <c r="B9480" s="1" t="s">
        <v>21</v>
      </c>
      <c r="C9480" s="1" t="str">
        <f>"4차"</f>
        <v>4차</v>
      </c>
      <c r="D9480" s="1" t="str">
        <f>"9726A31144"</f>
        <v>9726A31144</v>
      </c>
      <c r="E9480" s="1" t="s">
        <v>10</v>
      </c>
      <c r="F9480" s="1" t="str">
        <f>"10.10.97.234"</f>
        <v>10.10.97.234</v>
      </c>
      <c r="G9480" s="1" t="str">
        <f>"9726A311"</f>
        <v>9726A311</v>
      </c>
      <c r="H9480" s="1" t="str">
        <f>"홍남간 72L21"</f>
        <v>홍남간 72L21</v>
      </c>
      <c r="I9480" s="1" t="s">
        <v>8</v>
      </c>
      <c r="J9480" s="1" t="str">
        <f>"32/32"</f>
        <v>32/32</v>
      </c>
      <c r="K9480" s="1" t="str">
        <f>"2026-07-29 13:18:11"</f>
        <v>2026-07-29 13:18:11</v>
      </c>
      <c r="L9480" s="1" t="str">
        <f>"2019-11-20 08:37:10"</f>
        <v>2019-11-20 08:37:10</v>
      </c>
      <c r="M9480" s="1" t="s">
        <v>1</v>
      </c>
      <c r="N9480" s="1" t="s">
        <v>38</v>
      </c>
      <c r="O9480" s="1" t="s">
        <v>46</v>
      </c>
    </row>
    <row r="9481" spans="2:15" x14ac:dyDescent="0.3">
      <c r="B9481" s="1" t="s">
        <v>21</v>
      </c>
      <c r="C9481" s="1" t="str">
        <f>"4차"</f>
        <v>4차</v>
      </c>
      <c r="D9481" s="1" t="str">
        <f>"9726A32244"</f>
        <v>9726A32244</v>
      </c>
      <c r="E9481" s="1" t="s">
        <v>10</v>
      </c>
      <c r="F9481" s="1" t="str">
        <f>"10.10.97.250"</f>
        <v>10.10.97.250</v>
      </c>
      <c r="G9481" s="1" t="str">
        <f>"9726A322"</f>
        <v>9726A322</v>
      </c>
      <c r="H9481" s="1" t="str">
        <f>"홍남간 72L21R2R1L1"</f>
        <v>홍남간 72L21R2R1L1</v>
      </c>
      <c r="I9481" s="1" t="s">
        <v>8</v>
      </c>
      <c r="J9481" s="1" t="str">
        <f>"58/70"</f>
        <v>58/70</v>
      </c>
      <c r="K9481" s="1" t="str">
        <f>"2026-07-29 13:18:11"</f>
        <v>2026-07-29 13:18:11</v>
      </c>
      <c r="L9481" s="1" t="str">
        <f>"2019-11-20 08:37:35"</f>
        <v>2019-11-20 08:37:35</v>
      </c>
      <c r="M9481" s="1" t="s">
        <v>1</v>
      </c>
      <c r="N9481" s="1" t="s">
        <v>38</v>
      </c>
      <c r="O9481" s="1" t="s">
        <v>46</v>
      </c>
    </row>
    <row r="9482" spans="2:15" x14ac:dyDescent="0.3">
      <c r="B9482" s="1" t="s">
        <v>21</v>
      </c>
      <c r="C9482" s="1" t="str">
        <f>"4차"</f>
        <v>4차</v>
      </c>
      <c r="D9482" s="1" t="str">
        <f>"9726A34139"</f>
        <v>9726A34139</v>
      </c>
      <c r="E9482" s="1" t="s">
        <v>10</v>
      </c>
      <c r="F9482" s="1" t="str">
        <f>"10.128.115.180"</f>
        <v>10.128.115.180</v>
      </c>
      <c r="G9482" s="1" t="str">
        <f>"9726A341"</f>
        <v>9726A341</v>
      </c>
      <c r="H9482" s="1" t="str">
        <f>"홍남간 72L5R3L1"</f>
        <v>홍남간 72L5R3L1</v>
      </c>
      <c r="I9482" s="1" t="s">
        <v>8</v>
      </c>
      <c r="J9482" s="1" t="str">
        <f>"8/8"</f>
        <v>8/8</v>
      </c>
      <c r="K9482" s="1" t="str">
        <f>"2026-07-29 13:18:12"</f>
        <v>2026-07-29 13:18:12</v>
      </c>
      <c r="L9482" s="1" t="str">
        <f>"2018-04-20 10:58:26"</f>
        <v>2018-04-20 10:58:26</v>
      </c>
      <c r="M9482" s="1" t="s">
        <v>45</v>
      </c>
      <c r="N9482" s="1" t="s">
        <v>38</v>
      </c>
      <c r="O9482" s="1" t="s">
        <v>46</v>
      </c>
    </row>
    <row r="9483" spans="2:15" x14ac:dyDescent="0.3">
      <c r="B9483" s="1" t="s">
        <v>21</v>
      </c>
      <c r="C9483" s="1" t="str">
        <f>"6차"</f>
        <v>6차</v>
      </c>
      <c r="D9483" s="1" t="str">
        <f>"9726A3426S"</f>
        <v>9726A3426S</v>
      </c>
      <c r="E9483" s="1" t="s">
        <v>10</v>
      </c>
      <c r="F9483" s="1" t="str">
        <f>"fde1:103:4:c794:0:0:0:2"</f>
        <v>fde1:103:4:c794:0:0:0:2</v>
      </c>
      <c r="G9483" s="1" t="str">
        <f>"9726A342"</f>
        <v>9726A342</v>
      </c>
      <c r="H9483" s="1" t="str">
        <f>"홍남간 72L5R3L2"</f>
        <v>홍남간 72L5R3L2</v>
      </c>
      <c r="I9483" s="1" t="s">
        <v>15</v>
      </c>
      <c r="J9483" s="1" t="str">
        <f>"25/25"</f>
        <v>25/25</v>
      </c>
      <c r="K9483" s="1" t="str">
        <f>"2026-07-29 14:21:40"</f>
        <v>2026-07-29 14:21:40</v>
      </c>
      <c r="L9483" s="1" t="str">
        <f>"2024-12-10 11:24:07"</f>
        <v>2024-12-10 11:24:07</v>
      </c>
      <c r="M9483" s="1" t="s">
        <v>4</v>
      </c>
      <c r="N9483" s="1" t="s">
        <v>38</v>
      </c>
      <c r="O9483" s="1" t="s">
        <v>46</v>
      </c>
    </row>
    <row r="9484" spans="2:15" x14ac:dyDescent="0.3">
      <c r="B9484" s="1" t="s">
        <v>21</v>
      </c>
      <c r="C9484" s="1" t="str">
        <f>"4차"</f>
        <v>4차</v>
      </c>
      <c r="D9484" s="1" t="str">
        <f>"9726A37144"</f>
        <v>9726A37144</v>
      </c>
      <c r="E9484" s="1" t="s">
        <v>10</v>
      </c>
      <c r="F9484" s="1" t="str">
        <f>"10.10.81.26"</f>
        <v>10.10.81.26</v>
      </c>
      <c r="G9484" s="1" t="str">
        <f>"9726A371"</f>
        <v>9726A371</v>
      </c>
      <c r="H9484" s="1" t="str">
        <f>"명지간 10L7A9L3"</f>
        <v>명지간 10L7A9L3</v>
      </c>
      <c r="I9484" s="1" t="s">
        <v>8</v>
      </c>
      <c r="J9484" s="1" t="str">
        <f>"40/41"</f>
        <v>40/41</v>
      </c>
      <c r="K9484" s="1" t="str">
        <f>"2026-07-29 13:18:11"</f>
        <v>2026-07-29 13:18:11</v>
      </c>
      <c r="L9484" s="1" t="str">
        <f>"2019-11-05 14:33:03"</f>
        <v>2019-11-05 14:33:03</v>
      </c>
      <c r="M9484" s="1" t="s">
        <v>1</v>
      </c>
      <c r="N9484" s="1" t="s">
        <v>38</v>
      </c>
      <c r="O9484" s="1" t="s">
        <v>46</v>
      </c>
    </row>
    <row r="9485" spans="2:15" x14ac:dyDescent="0.3">
      <c r="B9485" s="1" t="s">
        <v>21</v>
      </c>
      <c r="C9485" s="1" t="str">
        <f>"4차"</f>
        <v>4차</v>
      </c>
      <c r="D9485" s="1" t="str">
        <f>"9726A38144"</f>
        <v>9726A38144</v>
      </c>
      <c r="E9485" s="1" t="s">
        <v>10</v>
      </c>
      <c r="F9485" s="1" t="str">
        <f>"10.10.81.42"</f>
        <v>10.10.81.42</v>
      </c>
      <c r="G9485" s="1" t="str">
        <f>"9726A381"</f>
        <v>9726A381</v>
      </c>
      <c r="H9485" s="1" t="str">
        <f>"명지간 10L7A9L3L1"</f>
        <v>명지간 10L7A9L3L1</v>
      </c>
      <c r="I9485" s="1" t="s">
        <v>8</v>
      </c>
      <c r="J9485" s="1" t="str">
        <f>"41/41"</f>
        <v>41/41</v>
      </c>
      <c r="K9485" s="1" t="str">
        <f>"2026-07-29 13:18:11"</f>
        <v>2026-07-29 13:18:11</v>
      </c>
      <c r="L9485" s="1" t="str">
        <f>"2019-11-05 14:13:03"</f>
        <v>2019-11-05 14:13:03</v>
      </c>
      <c r="M9485" s="1" t="s">
        <v>1</v>
      </c>
      <c r="N9485" s="1" t="s">
        <v>38</v>
      </c>
      <c r="O9485" s="1" t="s">
        <v>46</v>
      </c>
    </row>
    <row r="9486" spans="2:15" x14ac:dyDescent="0.3">
      <c r="B9486" s="1" t="s">
        <v>21</v>
      </c>
      <c r="C9486" s="1" t="str">
        <f>"6차"</f>
        <v>6차</v>
      </c>
      <c r="D9486" s="1" t="str">
        <f>"9726A4026S"</f>
        <v>9726A4026S</v>
      </c>
      <c r="E9486" s="1" t="s">
        <v>10</v>
      </c>
      <c r="F9486" s="1" t="str">
        <f>"fde1:103:4:c772:0:0:0:2"</f>
        <v>fde1:103:4:c772:0:0:0:2</v>
      </c>
      <c r="G9486" s="1" t="str">
        <f>"9726A402"</f>
        <v>9726A402</v>
      </c>
      <c r="H9486" s="1" t="str">
        <f>"홍남간 48L1"</f>
        <v>홍남간 48L1</v>
      </c>
      <c r="I9486" s="1" t="s">
        <v>15</v>
      </c>
      <c r="J9486" s="1" t="str">
        <f>"26/26"</f>
        <v>26/26</v>
      </c>
      <c r="K9486" s="1" t="str">
        <f>"2026-07-29 14:21:06"</f>
        <v>2026-07-29 14:21:06</v>
      </c>
      <c r="L9486" s="1" t="str">
        <f>"2024-12-10 11:23:42"</f>
        <v>2024-12-10 11:23:42</v>
      </c>
      <c r="M9486" s="1" t="s">
        <v>4</v>
      </c>
      <c r="N9486" s="1" t="s">
        <v>38</v>
      </c>
      <c r="O9486" s="1" t="s">
        <v>46</v>
      </c>
    </row>
    <row r="9487" spans="2:15" x14ac:dyDescent="0.3">
      <c r="B9487" s="1" t="s">
        <v>21</v>
      </c>
      <c r="C9487" s="1" t="str">
        <f t="shared" ref="C9487:C9499" si="477">"4차"</f>
        <v>4차</v>
      </c>
      <c r="D9487" s="1" t="str">
        <f>"9726A41144"</f>
        <v>9726A41144</v>
      </c>
      <c r="E9487" s="1" t="str">
        <f>"검침실패(3시간 이상)"</f>
        <v>검침실패(3시간 이상)</v>
      </c>
      <c r="F9487" s="1" t="str">
        <f>"10.10.97.226"</f>
        <v>10.10.97.226</v>
      </c>
      <c r="G9487" s="1" t="str">
        <f>"9726A411"</f>
        <v>9726A411</v>
      </c>
      <c r="H9487" s="1" t="str">
        <f>"홍남간 72L20"</f>
        <v>홍남간 72L20</v>
      </c>
      <c r="I9487" s="1" t="s">
        <v>8</v>
      </c>
      <c r="J9487" s="1" t="str">
        <f>"0/19"</f>
        <v>0/19</v>
      </c>
      <c r="K9487" s="1" t="str">
        <f>"2026-07-11 07:18:11"</f>
        <v>2026-07-11 07:18:11</v>
      </c>
      <c r="L9487" s="1" t="str">
        <f>"2019-11-20 08:37:45"</f>
        <v>2019-11-20 08:37:45</v>
      </c>
      <c r="M9487" s="1" t="s">
        <v>1</v>
      </c>
      <c r="N9487" s="1" t="s">
        <v>38</v>
      </c>
      <c r="O9487" s="1" t="s">
        <v>46</v>
      </c>
    </row>
    <row r="9488" spans="2:15" x14ac:dyDescent="0.3">
      <c r="B9488" s="1" t="s">
        <v>21</v>
      </c>
      <c r="C9488" s="1" t="str">
        <f t="shared" si="477"/>
        <v>4차</v>
      </c>
      <c r="D9488" s="1" t="str">
        <f>"9726A42144"</f>
        <v>9726A42144</v>
      </c>
      <c r="E9488" s="1" t="s">
        <v>10</v>
      </c>
      <c r="F9488" s="1" t="str">
        <f>"10.10.97.218"</f>
        <v>10.10.97.218</v>
      </c>
      <c r="G9488" s="1" t="str">
        <f>"9726A421"</f>
        <v>9726A421</v>
      </c>
      <c r="H9488" s="1" t="str">
        <f>"홍남간 72L19"</f>
        <v>홍남간 72L19</v>
      </c>
      <c r="I9488" s="1" t="s">
        <v>8</v>
      </c>
      <c r="J9488" s="1" t="str">
        <f>"62/62"</f>
        <v>62/62</v>
      </c>
      <c r="K9488" s="1" t="str">
        <f>"2026-07-29 13:18:11"</f>
        <v>2026-07-29 13:18:11</v>
      </c>
      <c r="L9488" s="1" t="str">
        <f>"2019-11-20 08:37:35"</f>
        <v>2019-11-20 08:37:35</v>
      </c>
      <c r="M9488" s="1" t="s">
        <v>1</v>
      </c>
      <c r="N9488" s="1" t="s">
        <v>38</v>
      </c>
      <c r="O9488" s="1" t="s">
        <v>46</v>
      </c>
    </row>
    <row r="9489" spans="2:15" x14ac:dyDescent="0.3">
      <c r="B9489" s="1" t="s">
        <v>21</v>
      </c>
      <c r="C9489" s="1" t="str">
        <f t="shared" si="477"/>
        <v>4차</v>
      </c>
      <c r="D9489" s="1" t="str">
        <f>"9726A46144"</f>
        <v>9726A46144</v>
      </c>
      <c r="E9489" s="1" t="s">
        <v>10</v>
      </c>
      <c r="F9489" s="1" t="str">
        <f>"10.10.70.26"</f>
        <v>10.10.70.26</v>
      </c>
      <c r="G9489" s="1" t="str">
        <f>"9726A461"</f>
        <v>9726A461</v>
      </c>
      <c r="H9489" s="1" t="str">
        <f>"명지간 10L7A9L5"</f>
        <v>명지간 10L7A9L5</v>
      </c>
      <c r="I9489" s="1" t="s">
        <v>8</v>
      </c>
      <c r="J9489" s="1" t="str">
        <f>"74/74"</f>
        <v>74/74</v>
      </c>
      <c r="K9489" s="1" t="str">
        <f>"2026-07-29 13:18:11"</f>
        <v>2026-07-29 13:18:11</v>
      </c>
      <c r="L9489" s="1" t="str">
        <f>"2019-10-14 15:48:35"</f>
        <v>2019-10-14 15:48:35</v>
      </c>
      <c r="M9489" s="1" t="s">
        <v>1</v>
      </c>
      <c r="N9489" s="1" t="s">
        <v>38</v>
      </c>
      <c r="O9489" s="1" t="s">
        <v>46</v>
      </c>
    </row>
    <row r="9490" spans="2:15" x14ac:dyDescent="0.3">
      <c r="B9490" s="1" t="s">
        <v>21</v>
      </c>
      <c r="C9490" s="1" t="str">
        <f t="shared" si="477"/>
        <v>4차</v>
      </c>
      <c r="D9490" s="1" t="str">
        <f>"9726A47144"</f>
        <v>9726A47144</v>
      </c>
      <c r="E9490" s="1" t="s">
        <v>10</v>
      </c>
      <c r="F9490" s="1" t="str">
        <f>"10.10.81.50"</f>
        <v>10.10.81.50</v>
      </c>
      <c r="G9490" s="1" t="str">
        <f>"9726A471"</f>
        <v>9726A471</v>
      </c>
      <c r="H9490" s="1" t="str">
        <f>"명지간 10L7A9L4"</f>
        <v>명지간 10L7A9L4</v>
      </c>
      <c r="I9490" s="1" t="s">
        <v>8</v>
      </c>
      <c r="J9490" s="1" t="str">
        <f>"68/68"</f>
        <v>68/68</v>
      </c>
      <c r="K9490" s="1" t="str">
        <f>"2026-07-29 13:18:11"</f>
        <v>2026-07-29 13:18:11</v>
      </c>
      <c r="L9490" s="1" t="str">
        <f>"2019-10-14 15:50:22"</f>
        <v>2019-10-14 15:50:22</v>
      </c>
      <c r="M9490" s="1" t="s">
        <v>1</v>
      </c>
      <c r="N9490" s="1" t="s">
        <v>38</v>
      </c>
      <c r="O9490" s="1" t="s">
        <v>46</v>
      </c>
    </row>
    <row r="9491" spans="2:15" x14ac:dyDescent="0.3">
      <c r="B9491" s="1" t="s">
        <v>21</v>
      </c>
      <c r="C9491" s="1" t="str">
        <f t="shared" si="477"/>
        <v>4차</v>
      </c>
      <c r="D9491" s="1" t="str">
        <f>"9726A49244"</f>
        <v>9726A49244</v>
      </c>
      <c r="E9491" s="1" t="s">
        <v>10</v>
      </c>
      <c r="F9491" s="1" t="str">
        <f>"10.10.80.210"</f>
        <v>10.10.80.210</v>
      </c>
      <c r="G9491" s="1" t="str">
        <f>"9726A492"</f>
        <v>9726A492</v>
      </c>
      <c r="H9491" s="1" t="str">
        <f>"명지간 10L7A5L1"</f>
        <v>명지간 10L7A5L1</v>
      </c>
      <c r="I9491" s="1" t="s">
        <v>8</v>
      </c>
      <c r="J9491" s="1" t="str">
        <f>"44/45"</f>
        <v>44/45</v>
      </c>
      <c r="K9491" s="1" t="str">
        <f>"2026-07-29 13:18:11"</f>
        <v>2026-07-29 13:18:11</v>
      </c>
      <c r="L9491" s="1" t="str">
        <f>"2019-10-14 15:41:11"</f>
        <v>2019-10-14 15:41:11</v>
      </c>
      <c r="M9491" s="1" t="s">
        <v>1</v>
      </c>
      <c r="N9491" s="1" t="s">
        <v>38</v>
      </c>
      <c r="O9491" s="1" t="s">
        <v>46</v>
      </c>
    </row>
    <row r="9492" spans="2:15" x14ac:dyDescent="0.3">
      <c r="B9492" s="1" t="s">
        <v>21</v>
      </c>
      <c r="C9492" s="1" t="str">
        <f t="shared" si="477"/>
        <v>4차</v>
      </c>
      <c r="D9492" s="1" t="str">
        <f>"9726A51144"</f>
        <v>9726A51144</v>
      </c>
      <c r="E9492" s="1" t="s">
        <v>10</v>
      </c>
      <c r="F9492" s="1" t="str">
        <f>"10.10.97.106"</f>
        <v>10.10.97.106</v>
      </c>
      <c r="G9492" s="1" t="str">
        <f>"9726A511"</f>
        <v>9726A511</v>
      </c>
      <c r="H9492" s="1" t="str">
        <f>"홍남간 51L3"</f>
        <v>홍남간 51L3</v>
      </c>
      <c r="I9492" s="1" t="s">
        <v>8</v>
      </c>
      <c r="J9492" s="1" t="str">
        <f>"48/48"</f>
        <v>48/48</v>
      </c>
      <c r="K9492" s="1" t="str">
        <f>"2026-07-29 13:18:11"</f>
        <v>2026-07-29 13:18:11</v>
      </c>
      <c r="L9492" s="1" t="str">
        <f>"2019-12-11 18:21:32"</f>
        <v>2019-12-11 18:21:32</v>
      </c>
      <c r="M9492" s="1" t="s">
        <v>1</v>
      </c>
      <c r="N9492" s="1" t="s">
        <v>38</v>
      </c>
      <c r="O9492" s="1" t="s">
        <v>46</v>
      </c>
    </row>
    <row r="9493" spans="2:15" x14ac:dyDescent="0.3">
      <c r="B9493" s="1" t="s">
        <v>21</v>
      </c>
      <c r="C9493" s="1" t="str">
        <f t="shared" si="477"/>
        <v>4차</v>
      </c>
      <c r="D9493" s="1" t="str">
        <f>"9726A52144"</f>
        <v>9726A52144</v>
      </c>
      <c r="E9493" s="1" t="s">
        <v>10</v>
      </c>
      <c r="F9493" s="1" t="str">
        <f>"10.10.122.122"</f>
        <v>10.10.122.122</v>
      </c>
      <c r="G9493" s="1" t="str">
        <f>"9726A521"</f>
        <v>9726A521</v>
      </c>
      <c r="H9493" s="1" t="str">
        <f>"홍남간 72L18"</f>
        <v>홍남간 72L18</v>
      </c>
      <c r="I9493" s="1" t="s">
        <v>8</v>
      </c>
      <c r="J9493" s="1" t="str">
        <f>"25/25"</f>
        <v>25/25</v>
      </c>
      <c r="K9493" s="1" t="str">
        <f>"2026-07-29 13:18:12"</f>
        <v>2026-07-29 13:18:12</v>
      </c>
      <c r="L9493" s="1" t="str">
        <f>"2019-11-20 08:37:53"</f>
        <v>2019-11-20 08:37:53</v>
      </c>
      <c r="M9493" s="1" t="s">
        <v>1</v>
      </c>
      <c r="N9493" s="1" t="s">
        <v>38</v>
      </c>
      <c r="O9493" s="1" t="s">
        <v>46</v>
      </c>
    </row>
    <row r="9494" spans="2:15" x14ac:dyDescent="0.3">
      <c r="B9494" s="1" t="s">
        <v>21</v>
      </c>
      <c r="C9494" s="1" t="str">
        <f t="shared" si="477"/>
        <v>4차</v>
      </c>
      <c r="D9494" s="1" t="str">
        <f>"9726A52244"</f>
        <v>9726A52244</v>
      </c>
      <c r="E9494" s="1" t="s">
        <v>10</v>
      </c>
      <c r="F9494" s="1" t="str">
        <f>"10.10.95.218"</f>
        <v>10.10.95.218</v>
      </c>
      <c r="G9494" s="1" t="str">
        <f>"9726A522"</f>
        <v>9726A522</v>
      </c>
      <c r="H9494" s="1" t="str">
        <f>"홍남간 51L2"</f>
        <v>홍남간 51L2</v>
      </c>
      <c r="I9494" s="1" t="s">
        <v>8</v>
      </c>
      <c r="J9494" s="1" t="str">
        <f>"61/67"</f>
        <v>61/67</v>
      </c>
      <c r="K9494" s="1" t="str">
        <f>"2026-07-29 13:18:12"</f>
        <v>2026-07-29 13:18:12</v>
      </c>
      <c r="L9494" s="1" t="str">
        <f>"2019-12-11 18:22:44"</f>
        <v>2019-12-11 18:22:44</v>
      </c>
      <c r="M9494" s="1" t="s">
        <v>1</v>
      </c>
      <c r="N9494" s="1" t="s">
        <v>38</v>
      </c>
      <c r="O9494" s="1" t="s">
        <v>46</v>
      </c>
    </row>
    <row r="9495" spans="2:15" x14ac:dyDescent="0.3">
      <c r="B9495" s="1" t="s">
        <v>21</v>
      </c>
      <c r="C9495" s="1" t="str">
        <f t="shared" si="477"/>
        <v>4차</v>
      </c>
      <c r="D9495" s="1" t="str">
        <f>"9726A53144"</f>
        <v>9726A53144</v>
      </c>
      <c r="E9495" s="1" t="s">
        <v>10</v>
      </c>
      <c r="F9495" s="1" t="str">
        <f>"10.128.115.182"</f>
        <v>10.128.115.182</v>
      </c>
      <c r="G9495" s="1" t="str">
        <f>"9726A531"</f>
        <v>9726A531</v>
      </c>
      <c r="H9495" s="1" t="str">
        <f>"홍남간 72L15"</f>
        <v>홍남간 72L15</v>
      </c>
      <c r="I9495" s="1" t="s">
        <v>8</v>
      </c>
      <c r="J9495" s="1" t="str">
        <f>"40/40"</f>
        <v>40/40</v>
      </c>
      <c r="K9495" s="1" t="str">
        <f>"2026-07-29 13:18:12"</f>
        <v>2026-07-29 13:18:12</v>
      </c>
      <c r="L9495" s="1" t="str">
        <f>"2020-01-09 11:23:02"</f>
        <v>2020-01-09 11:23:02</v>
      </c>
      <c r="M9495" s="1" t="s">
        <v>45</v>
      </c>
      <c r="N9495" s="1" t="s">
        <v>38</v>
      </c>
      <c r="O9495" s="1" t="s">
        <v>46</v>
      </c>
    </row>
    <row r="9496" spans="2:15" x14ac:dyDescent="0.3">
      <c r="B9496" s="1" t="s">
        <v>21</v>
      </c>
      <c r="C9496" s="1" t="str">
        <f t="shared" si="477"/>
        <v>4차</v>
      </c>
      <c r="D9496" s="1" t="str">
        <f>"9726A57444"</f>
        <v>9726A57444</v>
      </c>
      <c r="E9496" s="1" t="s">
        <v>10</v>
      </c>
      <c r="F9496" s="1" t="str">
        <f>"10.10.111.10"</f>
        <v>10.10.111.10</v>
      </c>
      <c r="G9496" s="1" t="str">
        <f>"9726A574"</f>
        <v>9726A574</v>
      </c>
      <c r="H9496" s="1" t="str">
        <f>"명지간 10L7R3R4"</f>
        <v>명지간 10L7R3R4</v>
      </c>
      <c r="I9496" s="1" t="s">
        <v>8</v>
      </c>
      <c r="J9496" s="1" t="str">
        <f>"19/19"</f>
        <v>19/19</v>
      </c>
      <c r="K9496" s="1" t="str">
        <f>"2026-07-29 13:18:11"</f>
        <v>2026-07-29 13:18:11</v>
      </c>
      <c r="L9496" s="1" t="str">
        <f>"2019-10-14 13:13:04"</f>
        <v>2019-10-14 13:13:04</v>
      </c>
      <c r="M9496" s="1" t="s">
        <v>1</v>
      </c>
      <c r="N9496" s="1" t="s">
        <v>38</v>
      </c>
      <c r="O9496" s="1" t="s">
        <v>46</v>
      </c>
    </row>
    <row r="9497" spans="2:15" x14ac:dyDescent="0.3">
      <c r="B9497" s="1" t="s">
        <v>21</v>
      </c>
      <c r="C9497" s="1" t="str">
        <f t="shared" si="477"/>
        <v>4차</v>
      </c>
      <c r="D9497" s="1" t="str">
        <f>"9726A58144"</f>
        <v>9726A58144</v>
      </c>
      <c r="E9497" s="1" t="s">
        <v>10</v>
      </c>
      <c r="F9497" s="1" t="str">
        <f>"10.10.70.202"</f>
        <v>10.10.70.202</v>
      </c>
      <c r="G9497" s="1" t="str">
        <f>"9726A581"</f>
        <v>9726A581</v>
      </c>
      <c r="H9497" s="1" t="str">
        <f>"명지간 10L7R3R2"</f>
        <v>명지간 10L7R3R2</v>
      </c>
      <c r="I9497" s="1" t="s">
        <v>8</v>
      </c>
      <c r="J9497" s="1" t="str">
        <f>"65/65"</f>
        <v>65/65</v>
      </c>
      <c r="K9497" s="1" t="str">
        <f t="shared" ref="K9497:K9505" si="478">"2026-07-29 13:18:12"</f>
        <v>2026-07-29 13:18:12</v>
      </c>
      <c r="L9497" s="1" t="str">
        <f>"2019-10-14 10:23:04"</f>
        <v>2019-10-14 10:23:04</v>
      </c>
      <c r="M9497" s="1" t="s">
        <v>1</v>
      </c>
      <c r="N9497" s="1" t="s">
        <v>38</v>
      </c>
      <c r="O9497" s="1" t="s">
        <v>46</v>
      </c>
    </row>
    <row r="9498" spans="2:15" x14ac:dyDescent="0.3">
      <c r="B9498" s="1" t="s">
        <v>21</v>
      </c>
      <c r="C9498" s="1" t="str">
        <f t="shared" si="477"/>
        <v>4차</v>
      </c>
      <c r="D9498" s="1" t="str">
        <f>"9726A59144"</f>
        <v>9726A59144</v>
      </c>
      <c r="E9498" s="1" t="s">
        <v>10</v>
      </c>
      <c r="F9498" s="1" t="str">
        <f>"10.10.94.162"</f>
        <v>10.10.94.162</v>
      </c>
      <c r="G9498" s="1" t="str">
        <f>"9726A591"</f>
        <v>9726A591</v>
      </c>
      <c r="H9498" s="1" t="str">
        <f>"명지간 10L7R2R1"</f>
        <v>명지간 10L7R2R1</v>
      </c>
      <c r="I9498" s="1" t="s">
        <v>8</v>
      </c>
      <c r="J9498" s="1" t="str">
        <f>"56/56"</f>
        <v>56/56</v>
      </c>
      <c r="K9498" s="1" t="str">
        <f t="shared" si="478"/>
        <v>2026-07-29 13:18:12</v>
      </c>
      <c r="L9498" s="1" t="str">
        <f>"2019-10-14 16:53:04"</f>
        <v>2019-10-14 16:53:04</v>
      </c>
      <c r="M9498" s="1" t="s">
        <v>1</v>
      </c>
      <c r="N9498" s="1" t="s">
        <v>38</v>
      </c>
      <c r="O9498" s="1" t="s">
        <v>46</v>
      </c>
    </row>
    <row r="9499" spans="2:15" x14ac:dyDescent="0.3">
      <c r="B9499" s="1" t="s">
        <v>21</v>
      </c>
      <c r="C9499" s="1" t="str">
        <f t="shared" si="477"/>
        <v>4차</v>
      </c>
      <c r="D9499" s="1" t="str">
        <f>"9726A59244"</f>
        <v>9726A59244</v>
      </c>
      <c r="E9499" s="1" t="s">
        <v>10</v>
      </c>
      <c r="F9499" s="1" t="str">
        <f>"10.10.70.122"</f>
        <v>10.10.70.122</v>
      </c>
      <c r="G9499" s="1" t="str">
        <f>"9726A592"</f>
        <v>9726A592</v>
      </c>
      <c r="H9499" s="1" t="str">
        <f>"명지간 10L7R2R2"</f>
        <v>명지간 10L7R2R2</v>
      </c>
      <c r="I9499" s="1" t="s">
        <v>8</v>
      </c>
      <c r="J9499" s="1" t="str">
        <f>"50/50"</f>
        <v>50/50</v>
      </c>
      <c r="K9499" s="1" t="str">
        <f t="shared" si="478"/>
        <v>2026-07-29 13:18:12</v>
      </c>
      <c r="L9499" s="1" t="str">
        <f>"2019-10-14 10:23:04"</f>
        <v>2019-10-14 10:23:04</v>
      </c>
      <c r="M9499" s="1" t="s">
        <v>1</v>
      </c>
      <c r="N9499" s="1" t="s">
        <v>38</v>
      </c>
      <c r="O9499" s="1" t="s">
        <v>46</v>
      </c>
    </row>
    <row r="9500" spans="2:15" x14ac:dyDescent="0.3">
      <c r="B9500" s="1" t="s">
        <v>21</v>
      </c>
      <c r="C9500" s="1" t="str">
        <f>"1차"</f>
        <v>1차</v>
      </c>
      <c r="D9500" s="1" t="str">
        <f>"9726A65200"</f>
        <v>9726A65200</v>
      </c>
      <c r="E9500" s="1" t="s">
        <v>10</v>
      </c>
      <c r="F9500" s="1" t="str">
        <f>"10.128.70.34"</f>
        <v>10.128.70.34</v>
      </c>
      <c r="G9500" s="1" t="str">
        <f>"9726A652"</f>
        <v>9726A652</v>
      </c>
      <c r="H9500" s="1" t="str">
        <f>"홍남간 61R1R1"</f>
        <v>홍남간 61R1R1</v>
      </c>
      <c r="I9500" s="1" t="s">
        <v>8</v>
      </c>
      <c r="J9500" s="1" t="str">
        <f>"2/2"</f>
        <v>2/2</v>
      </c>
      <c r="K9500" s="1" t="str">
        <f t="shared" si="478"/>
        <v>2026-07-29 13:18:12</v>
      </c>
      <c r="L9500" s="1" t="str">
        <f>"2014-12-10 14:42:46"</f>
        <v>2014-12-10 14:42:46</v>
      </c>
      <c r="M9500" s="1" t="s">
        <v>45</v>
      </c>
      <c r="N9500" s="1" t="s">
        <v>38</v>
      </c>
      <c r="O9500" s="1" t="s">
        <v>46</v>
      </c>
    </row>
    <row r="9501" spans="2:15" x14ac:dyDescent="0.3">
      <c r="B9501" s="1" t="s">
        <v>21</v>
      </c>
      <c r="C9501" s="1" t="str">
        <f>"4차"</f>
        <v>4차</v>
      </c>
      <c r="D9501" s="1" t="str">
        <f>"9726A66244"</f>
        <v>9726A66244</v>
      </c>
      <c r="E9501" s="1" t="s">
        <v>10</v>
      </c>
      <c r="F9501" s="1" t="str">
        <f>"10.10.115.162"</f>
        <v>10.10.115.162</v>
      </c>
      <c r="G9501" s="1" t="str">
        <f>"9726A662"</f>
        <v>9726A662</v>
      </c>
      <c r="H9501" s="1" t="str">
        <f>"홍남간 61R2L1"</f>
        <v>홍남간 61R2L1</v>
      </c>
      <c r="I9501" s="1" t="s">
        <v>8</v>
      </c>
      <c r="J9501" s="1" t="str">
        <f>"10/10"</f>
        <v>10/10</v>
      </c>
      <c r="K9501" s="1" t="str">
        <f t="shared" si="478"/>
        <v>2026-07-29 13:18:12</v>
      </c>
      <c r="L9501" s="1" t="str">
        <f>"2019-12-17 16:10:16"</f>
        <v>2019-12-17 16:10:16</v>
      </c>
      <c r="M9501" s="1" t="s">
        <v>1</v>
      </c>
      <c r="N9501" s="1" t="s">
        <v>38</v>
      </c>
      <c r="O9501" s="1" t="s">
        <v>46</v>
      </c>
    </row>
    <row r="9502" spans="2:15" x14ac:dyDescent="0.3">
      <c r="B9502" s="1" t="s">
        <v>21</v>
      </c>
      <c r="C9502" s="1" t="str">
        <f>"4차"</f>
        <v>4차</v>
      </c>
      <c r="D9502" s="1" t="str">
        <f>"9726A67344"</f>
        <v>9726A67344</v>
      </c>
      <c r="E9502" s="1" t="s">
        <v>10</v>
      </c>
      <c r="F9502" s="1" t="str">
        <f>"10.10.115.82"</f>
        <v>10.10.115.82</v>
      </c>
      <c r="G9502" s="1" t="str">
        <f>"9726A673"</f>
        <v>9726A673</v>
      </c>
      <c r="H9502" s="1" t="str">
        <f>"홍남간 61R2L2"</f>
        <v>홍남간 61R2L2</v>
      </c>
      <c r="I9502" s="1" t="s">
        <v>8</v>
      </c>
      <c r="J9502" s="1" t="str">
        <f>"6/6"</f>
        <v>6/6</v>
      </c>
      <c r="K9502" s="1" t="str">
        <f t="shared" si="478"/>
        <v>2026-07-29 13:18:12</v>
      </c>
      <c r="L9502" s="1" t="str">
        <f>"2019-12-17 16:15:58"</f>
        <v>2019-12-17 16:15:58</v>
      </c>
      <c r="M9502" s="1" t="s">
        <v>1</v>
      </c>
      <c r="N9502" s="1" t="s">
        <v>38</v>
      </c>
      <c r="O9502" s="1" t="s">
        <v>46</v>
      </c>
    </row>
    <row r="9503" spans="2:15" x14ac:dyDescent="0.3">
      <c r="B9503" s="1" t="s">
        <v>21</v>
      </c>
      <c r="C9503" s="1" t="str">
        <f>"4차"</f>
        <v>4차</v>
      </c>
      <c r="D9503" s="1" t="str">
        <f>"9726A69244"</f>
        <v>9726A69244</v>
      </c>
      <c r="E9503" s="1" t="s">
        <v>10</v>
      </c>
      <c r="F9503" s="1" t="str">
        <f>"10.10.70.186"</f>
        <v>10.10.70.186</v>
      </c>
      <c r="G9503" s="1" t="str">
        <f>"9726A692"</f>
        <v>9726A692</v>
      </c>
      <c r="H9503" s="1" t="str">
        <f>"명지간 10L7R3R1"</f>
        <v>명지간 10L7R3R1</v>
      </c>
      <c r="I9503" s="1" t="s">
        <v>8</v>
      </c>
      <c r="J9503" s="1" t="str">
        <f>"78/79"</f>
        <v>78/79</v>
      </c>
      <c r="K9503" s="1" t="str">
        <f t="shared" si="478"/>
        <v>2026-07-29 13:18:12</v>
      </c>
      <c r="L9503" s="1" t="str">
        <f>"2019-10-14 10:23:04"</f>
        <v>2019-10-14 10:23:04</v>
      </c>
      <c r="M9503" s="1" t="s">
        <v>1</v>
      </c>
      <c r="N9503" s="1" t="s">
        <v>38</v>
      </c>
      <c r="O9503" s="1" t="s">
        <v>46</v>
      </c>
    </row>
    <row r="9504" spans="2:15" x14ac:dyDescent="0.3">
      <c r="B9504" s="1" t="s">
        <v>21</v>
      </c>
      <c r="C9504" s="1" t="str">
        <f>"4차"</f>
        <v>4차</v>
      </c>
      <c r="D9504" s="1" t="str">
        <f>"9726A69344"</f>
        <v>9726A69344</v>
      </c>
      <c r="E9504" s="1" t="s">
        <v>10</v>
      </c>
      <c r="F9504" s="1" t="str">
        <f>"10.10.70.138"</f>
        <v>10.10.70.138</v>
      </c>
      <c r="G9504" s="1" t="str">
        <f>"9726A693"</f>
        <v>9726A693</v>
      </c>
      <c r="H9504" s="1" t="str">
        <f>"명지간 10L7R3"</f>
        <v>명지간 10L7R3</v>
      </c>
      <c r="I9504" s="1" t="s">
        <v>8</v>
      </c>
      <c r="J9504" s="1" t="str">
        <f>"34/34"</f>
        <v>34/34</v>
      </c>
      <c r="K9504" s="1" t="str">
        <f t="shared" si="478"/>
        <v>2026-07-29 13:18:12</v>
      </c>
      <c r="L9504" s="1" t="str">
        <f>"2019-10-14 10:13:04"</f>
        <v>2019-10-14 10:13:04</v>
      </c>
      <c r="M9504" s="1" t="s">
        <v>1</v>
      </c>
      <c r="N9504" s="1" t="s">
        <v>38</v>
      </c>
      <c r="O9504" s="1" t="s">
        <v>46</v>
      </c>
    </row>
    <row r="9505" spans="2:15" x14ac:dyDescent="0.3">
      <c r="B9505" s="1" t="s">
        <v>21</v>
      </c>
      <c r="C9505" s="1" t="str">
        <f>"1차"</f>
        <v>1차</v>
      </c>
      <c r="D9505" s="1" t="str">
        <f>"9726A74102"</f>
        <v>9726A74102</v>
      </c>
      <c r="E9505" s="1" t="s">
        <v>10</v>
      </c>
      <c r="F9505" s="1" t="str">
        <f>"10.128.70.35"</f>
        <v>10.128.70.35</v>
      </c>
      <c r="G9505" s="1" t="str">
        <f>"9726A741"</f>
        <v>9726A741</v>
      </c>
      <c r="H9505" s="1" t="str">
        <f>"홍남간 61R1R2"</f>
        <v>홍남간 61R1R2</v>
      </c>
      <c r="I9505" s="1" t="s">
        <v>8</v>
      </c>
      <c r="J9505" s="1" t="str">
        <f>"11/11"</f>
        <v>11/11</v>
      </c>
      <c r="K9505" s="1" t="str">
        <f t="shared" si="478"/>
        <v>2026-07-29 13:18:12</v>
      </c>
      <c r="L9505" s="1" t="str">
        <f>"2015-01-13 12:56:21"</f>
        <v>2015-01-13 12:56:21</v>
      </c>
      <c r="M9505" s="1" t="s">
        <v>45</v>
      </c>
      <c r="N9505" s="1" t="s">
        <v>38</v>
      </c>
      <c r="O9505" s="1" t="s">
        <v>46</v>
      </c>
    </row>
    <row r="9506" spans="2:15" x14ac:dyDescent="0.3">
      <c r="B9506" s="1" t="s">
        <v>21</v>
      </c>
      <c r="C9506" s="1" t="str">
        <f>"6차"</f>
        <v>6차</v>
      </c>
      <c r="D9506" s="1" t="str">
        <f>"9726A7516S"</f>
        <v>9726A7516S</v>
      </c>
      <c r="E9506" s="1" t="s">
        <v>10</v>
      </c>
      <c r="F9506" s="1" t="str">
        <f>"fde1:103:4:c773:0:0:0:2"</f>
        <v>fde1:103:4:c773:0:0:0:2</v>
      </c>
      <c r="G9506" s="1" t="str">
        <f>"9726A751"</f>
        <v>9726A751</v>
      </c>
      <c r="H9506" s="1" t="str">
        <f>"홍남간 61R2R1"</f>
        <v>홍남간 61R2R1</v>
      </c>
      <c r="I9506" s="1" t="s">
        <v>15</v>
      </c>
      <c r="J9506" s="1" t="str">
        <f>"61/72"</f>
        <v>61/72</v>
      </c>
      <c r="K9506" s="1" t="str">
        <f>"2026-07-29 14:20:44"</f>
        <v>2026-07-29 14:20:44</v>
      </c>
      <c r="L9506" s="1" t="str">
        <f>"2024-12-10 11:23:50"</f>
        <v>2024-12-10 11:23:50</v>
      </c>
      <c r="M9506" s="1" t="s">
        <v>4</v>
      </c>
      <c r="N9506" s="1" t="s">
        <v>38</v>
      </c>
      <c r="O9506" s="1" t="s">
        <v>46</v>
      </c>
    </row>
    <row r="9507" spans="2:15" x14ac:dyDescent="0.3">
      <c r="B9507" s="1" t="s">
        <v>21</v>
      </c>
      <c r="C9507" s="1" t="str">
        <f>"4차"</f>
        <v>4차</v>
      </c>
      <c r="D9507" s="1" t="str">
        <f>"9726A77144"</f>
        <v>9726A77144</v>
      </c>
      <c r="E9507" s="1" t="s">
        <v>10</v>
      </c>
      <c r="F9507" s="1" t="str">
        <f>"10.10.70.242"</f>
        <v>10.10.70.242</v>
      </c>
      <c r="G9507" s="1" t="str">
        <f>"9726A771"</f>
        <v>9726A771</v>
      </c>
      <c r="H9507" s="1" t="str">
        <f>"명지간 10L7R5"</f>
        <v>명지간 10L7R5</v>
      </c>
      <c r="I9507" s="1" t="s">
        <v>8</v>
      </c>
      <c r="J9507" s="1" t="str">
        <f>"29/29"</f>
        <v>29/29</v>
      </c>
      <c r="K9507" s="1" t="str">
        <f>"2026-07-29 13:18:12"</f>
        <v>2026-07-29 13:18:12</v>
      </c>
      <c r="L9507" s="1" t="str">
        <f>"2019-11-12 11:52:07"</f>
        <v>2019-11-12 11:52:07</v>
      </c>
      <c r="M9507" s="1" t="s">
        <v>1</v>
      </c>
      <c r="N9507" s="1" t="s">
        <v>38</v>
      </c>
      <c r="O9507" s="1" t="s">
        <v>46</v>
      </c>
    </row>
    <row r="9508" spans="2:15" x14ac:dyDescent="0.3">
      <c r="B9508" s="1" t="s">
        <v>21</v>
      </c>
      <c r="C9508" s="1" t="str">
        <f>"4차"</f>
        <v>4차</v>
      </c>
      <c r="D9508" s="1" t="str">
        <f>"9726A77244"</f>
        <v>9726A77244</v>
      </c>
      <c r="E9508" s="1" t="s">
        <v>10</v>
      </c>
      <c r="F9508" s="1" t="str">
        <f>"10.10.78.26"</f>
        <v>10.10.78.26</v>
      </c>
      <c r="G9508" s="1" t="str">
        <f>"9726A772"</f>
        <v>9726A772</v>
      </c>
      <c r="H9508" s="1" t="str">
        <f>"명지간 10L7R6"</f>
        <v>명지간 10L7R6</v>
      </c>
      <c r="I9508" s="1" t="s">
        <v>8</v>
      </c>
      <c r="J9508" s="1" t="str">
        <f>"52/52"</f>
        <v>52/52</v>
      </c>
      <c r="K9508" s="1" t="str">
        <f>"2026-07-29 13:18:12"</f>
        <v>2026-07-29 13:18:12</v>
      </c>
      <c r="L9508" s="1" t="str">
        <f>"2019-10-14 10:43:04"</f>
        <v>2019-10-14 10:43:04</v>
      </c>
      <c r="M9508" s="1" t="s">
        <v>1</v>
      </c>
      <c r="N9508" s="1" t="s">
        <v>38</v>
      </c>
      <c r="O9508" s="1" t="s">
        <v>46</v>
      </c>
    </row>
    <row r="9509" spans="2:15" x14ac:dyDescent="0.3">
      <c r="B9509" s="1" t="s">
        <v>21</v>
      </c>
      <c r="C9509" s="1" t="str">
        <f>"4차"</f>
        <v>4차</v>
      </c>
      <c r="D9509" s="1" t="str">
        <f>"9726A77344"</f>
        <v>9726A77344</v>
      </c>
      <c r="E9509" s="1" t="s">
        <v>10</v>
      </c>
      <c r="F9509" s="1" t="str">
        <f>"10.10.78.18"</f>
        <v>10.10.78.18</v>
      </c>
      <c r="G9509" s="1" t="str">
        <f>"9726A773"</f>
        <v>9726A773</v>
      </c>
      <c r="H9509" s="1" t="str">
        <f>"명지간 10L7R5R1"</f>
        <v>명지간 10L7R5R1</v>
      </c>
      <c r="I9509" s="1" t="s">
        <v>8</v>
      </c>
      <c r="J9509" s="1" t="str">
        <f>"49/50"</f>
        <v>49/50</v>
      </c>
      <c r="K9509" s="1" t="str">
        <f>"2026-07-29 13:18:12"</f>
        <v>2026-07-29 13:18:12</v>
      </c>
      <c r="L9509" s="1" t="str">
        <f>"2019-10-14 10:23:04"</f>
        <v>2019-10-14 10:23:04</v>
      </c>
      <c r="M9509" s="1" t="s">
        <v>1</v>
      </c>
      <c r="N9509" s="1" t="s">
        <v>38</v>
      </c>
      <c r="O9509" s="1" t="s">
        <v>46</v>
      </c>
    </row>
    <row r="9510" spans="2:15" x14ac:dyDescent="0.3">
      <c r="B9510" s="1" t="s">
        <v>21</v>
      </c>
      <c r="C9510" s="1" t="str">
        <f>"4차"</f>
        <v>4차</v>
      </c>
      <c r="D9510" s="1" t="str">
        <f>"9726A78144"</f>
        <v>9726A78144</v>
      </c>
      <c r="E9510" s="1" t="s">
        <v>10</v>
      </c>
      <c r="F9510" s="1" t="str">
        <f>"10.10.71.210"</f>
        <v>10.10.71.210</v>
      </c>
      <c r="G9510" s="1" t="str">
        <f>"9726A781"</f>
        <v>9726A781</v>
      </c>
      <c r="H9510" s="1" t="str">
        <f>"명지간 10L7R4"</f>
        <v>명지간 10L7R4</v>
      </c>
      <c r="I9510" s="1" t="s">
        <v>8</v>
      </c>
      <c r="J9510" s="1" t="str">
        <f>"62/65"</f>
        <v>62/65</v>
      </c>
      <c r="K9510" s="1" t="str">
        <f>"2026-07-29 13:18:12"</f>
        <v>2026-07-29 13:18:12</v>
      </c>
      <c r="L9510" s="1" t="str">
        <f>"2020-01-10 17:17:57"</f>
        <v>2020-01-10 17:17:57</v>
      </c>
      <c r="M9510" s="1" t="s">
        <v>1</v>
      </c>
      <c r="N9510" s="1" t="s">
        <v>38</v>
      </c>
      <c r="O9510" s="1" t="s">
        <v>46</v>
      </c>
    </row>
    <row r="9511" spans="2:15" x14ac:dyDescent="0.3">
      <c r="B9511" s="1" t="s">
        <v>21</v>
      </c>
      <c r="C9511" s="1" t="str">
        <f>"1차"</f>
        <v>1차</v>
      </c>
      <c r="D9511" s="1" t="str">
        <f>"9726A84100"</f>
        <v>9726A84100</v>
      </c>
      <c r="E9511" s="1" t="s">
        <v>10</v>
      </c>
      <c r="F9511" s="1" t="str">
        <f>"10.128.70.50"</f>
        <v>10.128.70.50</v>
      </c>
      <c r="G9511" s="1" t="str">
        <f>"9726A841"</f>
        <v>9726A841</v>
      </c>
      <c r="H9511" s="1" t="str">
        <f>"홍남간 55R3L2L2"</f>
        <v>홍남간 55R3L2L2</v>
      </c>
      <c r="I9511" s="1" t="s">
        <v>8</v>
      </c>
      <c r="J9511" s="1" t="str">
        <f>"32/32"</f>
        <v>32/32</v>
      </c>
      <c r="K9511" s="1" t="str">
        <f>"2026-07-29 13:18:12"</f>
        <v>2026-07-29 13:18:12</v>
      </c>
      <c r="L9511" s="1" t="str">
        <f>"2014-12-10 15:13:30"</f>
        <v>2014-12-10 15:13:30</v>
      </c>
      <c r="M9511" s="1" t="s">
        <v>45</v>
      </c>
      <c r="N9511" s="1" t="s">
        <v>38</v>
      </c>
      <c r="O9511" s="1" t="s">
        <v>46</v>
      </c>
    </row>
    <row r="9512" spans="2:15" x14ac:dyDescent="0.3">
      <c r="B9512" s="1" t="s">
        <v>21</v>
      </c>
      <c r="C9512" s="1" t="str">
        <f>"6차"</f>
        <v>6차</v>
      </c>
      <c r="D9512" s="1" t="str">
        <f>"9726A8426S"</f>
        <v>9726A8426S</v>
      </c>
      <c r="E9512" s="1" t="str">
        <f>"검침실패(3시간 이상)"</f>
        <v>검침실패(3시간 이상)</v>
      </c>
      <c r="F9512" s="1" t="str">
        <f>"fde1:103:4:9395:0:0:0:2"</f>
        <v>fde1:103:4:9395:0:0:0:2</v>
      </c>
      <c r="G9512" s="1" t="str">
        <f>"9726A842"</f>
        <v>9726A842</v>
      </c>
      <c r="H9512" s="1" t="str">
        <f>"홍남간 61R2R2"</f>
        <v>홍남간 61R2R2</v>
      </c>
      <c r="I9512" s="1" t="s">
        <v>15</v>
      </c>
      <c r="J9512" s="1" t="str">
        <f>"0/10"</f>
        <v>0/10</v>
      </c>
      <c r="K9512" s="1" t="str">
        <f>"2026-07-29 02:20:36"</f>
        <v>2026-07-29 02:20:36</v>
      </c>
      <c r="L9512" s="1" t="str">
        <f>"2025-01-22 18:02:08"</f>
        <v>2025-01-22 18:02:08</v>
      </c>
      <c r="M9512" s="1" t="s">
        <v>4</v>
      </c>
      <c r="N9512" s="1" t="s">
        <v>38</v>
      </c>
      <c r="O9512" s="1" t="s">
        <v>46</v>
      </c>
    </row>
    <row r="9513" spans="2:15" x14ac:dyDescent="0.3">
      <c r="B9513" s="1" t="s">
        <v>21</v>
      </c>
      <c r="C9513" s="1" t="str">
        <f>"4차"</f>
        <v>4차</v>
      </c>
      <c r="D9513" s="1" t="str">
        <f>"9726A85144"</f>
        <v>9726A85144</v>
      </c>
      <c r="E9513" s="1" t="s">
        <v>10</v>
      </c>
      <c r="F9513" s="1" t="str">
        <f>"10.10.115.146"</f>
        <v>10.10.115.146</v>
      </c>
      <c r="G9513" s="1" t="str">
        <f>"9726A851"</f>
        <v>9726A851</v>
      </c>
      <c r="H9513" s="1" t="str">
        <f>"홍남간 55R3L4"</f>
        <v>홍남간 55R3L4</v>
      </c>
      <c r="I9513" s="1" t="s">
        <v>8</v>
      </c>
      <c r="J9513" s="1" t="str">
        <f>"7/7"</f>
        <v>7/7</v>
      </c>
      <c r="K9513" s="1" t="str">
        <f>"2026-07-29 13:18:12"</f>
        <v>2026-07-29 13:18:12</v>
      </c>
      <c r="L9513" s="1" t="str">
        <f>"2020-01-11 02:18:17"</f>
        <v>2020-01-11 02:18:17</v>
      </c>
      <c r="M9513" s="1" t="s">
        <v>1</v>
      </c>
      <c r="N9513" s="1" t="s">
        <v>38</v>
      </c>
      <c r="O9513" s="1" t="s">
        <v>46</v>
      </c>
    </row>
    <row r="9514" spans="2:15" x14ac:dyDescent="0.3">
      <c r="B9514" s="1" t="s">
        <v>21</v>
      </c>
      <c r="C9514" s="1" t="str">
        <f>"4차"</f>
        <v>4차</v>
      </c>
      <c r="D9514" s="1" t="str">
        <f>"9726A86244"</f>
        <v>9726A86244</v>
      </c>
      <c r="E9514" s="1" t="s">
        <v>10</v>
      </c>
      <c r="F9514" s="1" t="str">
        <f>"10.10.115.154"</f>
        <v>10.10.115.154</v>
      </c>
      <c r="G9514" s="1" t="str">
        <f>"9726A862"</f>
        <v>9726A862</v>
      </c>
      <c r="H9514" s="1" t="str">
        <f>"홍남간 55R3L5"</f>
        <v>홍남간 55R3L5</v>
      </c>
      <c r="I9514" s="1" t="s">
        <v>8</v>
      </c>
      <c r="J9514" s="1" t="str">
        <f>"23/23"</f>
        <v>23/23</v>
      </c>
      <c r="K9514" s="1" t="str">
        <f>"2026-07-29 13:18:12"</f>
        <v>2026-07-29 13:18:12</v>
      </c>
      <c r="L9514" s="1" t="str">
        <f>"2019-12-17 16:08:30"</f>
        <v>2019-12-17 16:08:30</v>
      </c>
      <c r="M9514" s="1" t="s">
        <v>1</v>
      </c>
      <c r="N9514" s="1" t="s">
        <v>38</v>
      </c>
      <c r="O9514" s="1" t="s">
        <v>46</v>
      </c>
    </row>
    <row r="9515" spans="2:15" x14ac:dyDescent="0.3">
      <c r="B9515" s="1" t="s">
        <v>21</v>
      </c>
      <c r="C9515" s="1" t="str">
        <f>"4차"</f>
        <v>4차</v>
      </c>
      <c r="D9515" s="1" t="str">
        <f>"9726A87144"</f>
        <v>9726A87144</v>
      </c>
      <c r="E9515" s="1" t="s">
        <v>10</v>
      </c>
      <c r="F9515" s="1" t="str">
        <f>"10.10.110.250"</f>
        <v>10.10.110.250</v>
      </c>
      <c r="G9515" s="1" t="str">
        <f>"9726A871"</f>
        <v>9726A871</v>
      </c>
      <c r="H9515" s="1" t="str">
        <f>"명지간 10L7R8"</f>
        <v>명지간 10L7R8</v>
      </c>
      <c r="I9515" s="1" t="s">
        <v>8</v>
      </c>
      <c r="J9515" s="1" t="str">
        <f>"41/42"</f>
        <v>41/42</v>
      </c>
      <c r="K9515" s="1" t="str">
        <f>"2026-07-29 13:18:12"</f>
        <v>2026-07-29 13:18:12</v>
      </c>
      <c r="L9515" s="1" t="str">
        <f>"2019-11-19 19:02:27"</f>
        <v>2019-11-19 19:02:27</v>
      </c>
      <c r="M9515" s="1" t="s">
        <v>1</v>
      </c>
      <c r="N9515" s="1" t="s">
        <v>38</v>
      </c>
      <c r="O9515" s="1" t="s">
        <v>46</v>
      </c>
    </row>
    <row r="9516" spans="2:15" x14ac:dyDescent="0.3">
      <c r="B9516" s="1" t="s">
        <v>21</v>
      </c>
      <c r="C9516" s="1" t="str">
        <f>"3차"</f>
        <v>3차</v>
      </c>
      <c r="D9516" s="1" t="str">
        <f>"9726A87239"</f>
        <v>9726A87239</v>
      </c>
      <c r="E9516" s="1" t="s">
        <v>10</v>
      </c>
      <c r="F9516" s="1" t="str">
        <f>"10.12.128.250"</f>
        <v>10.12.128.250</v>
      </c>
      <c r="G9516" s="1" t="str">
        <f>"9726A872"</f>
        <v>9726A872</v>
      </c>
      <c r="H9516" s="1" t="str">
        <f>"명지간 10L7R7"</f>
        <v>명지간 10L7R7</v>
      </c>
      <c r="I9516" s="1" t="s">
        <v>8</v>
      </c>
      <c r="J9516" s="1" t="str">
        <f>"44/44"</f>
        <v>44/44</v>
      </c>
      <c r="K9516" s="1" t="str">
        <f>"2026-07-29 13:18:13"</f>
        <v>2026-07-29 13:18:13</v>
      </c>
      <c r="L9516" s="1" t="str">
        <f>"2018-04-17 18:18:00"</f>
        <v>2018-04-17 18:18:00</v>
      </c>
      <c r="M9516" s="1" t="s">
        <v>0</v>
      </c>
      <c r="N9516" s="1" t="s">
        <v>38</v>
      </c>
      <c r="O9516" s="1" t="s">
        <v>46</v>
      </c>
    </row>
    <row r="9517" spans="2:15" x14ac:dyDescent="0.3">
      <c r="B9517" s="1" t="s">
        <v>21</v>
      </c>
      <c r="C9517" s="1" t="str">
        <f t="shared" ref="C9517:C9526" si="479">"4차"</f>
        <v>4차</v>
      </c>
      <c r="D9517" s="1" t="str">
        <f>"9726A88244"</f>
        <v>9726A88244</v>
      </c>
      <c r="E9517" s="1" t="s">
        <v>10</v>
      </c>
      <c r="F9517" s="1" t="str">
        <f>"10.10.71.138"</f>
        <v>10.10.71.138</v>
      </c>
      <c r="G9517" s="1" t="str">
        <f>"9726A882"</f>
        <v>9726A882</v>
      </c>
      <c r="H9517" s="1" t="str">
        <f>"명지간 10L7R5L2"</f>
        <v>명지간 10L7R5L2</v>
      </c>
      <c r="I9517" s="1" t="s">
        <v>8</v>
      </c>
      <c r="J9517" s="1" t="str">
        <f>"63/67"</f>
        <v>63/67</v>
      </c>
      <c r="K9517" s="1" t="str">
        <f t="shared" ref="K9517:K9526" si="480">"2026-07-29 13:18:12"</f>
        <v>2026-07-29 13:18:12</v>
      </c>
      <c r="L9517" s="1" t="str">
        <f>"2019-10-29 18:19:52"</f>
        <v>2019-10-29 18:19:52</v>
      </c>
      <c r="M9517" s="1" t="s">
        <v>1</v>
      </c>
      <c r="N9517" s="1" t="s">
        <v>38</v>
      </c>
      <c r="O9517" s="1" t="s">
        <v>46</v>
      </c>
    </row>
    <row r="9518" spans="2:15" x14ac:dyDescent="0.3">
      <c r="B9518" s="1" t="s">
        <v>21</v>
      </c>
      <c r="C9518" s="1" t="str">
        <f t="shared" si="479"/>
        <v>4차</v>
      </c>
      <c r="D9518" s="1" t="str">
        <f>"9726A93139"</f>
        <v>9726A93139</v>
      </c>
      <c r="E9518" s="1" t="s">
        <v>10</v>
      </c>
      <c r="F9518" s="1" t="str">
        <f>"10.11.101.154"</f>
        <v>10.11.101.154</v>
      </c>
      <c r="G9518" s="1" t="str">
        <f>"9726A931"</f>
        <v>9726A931</v>
      </c>
      <c r="H9518" s="1" t="str">
        <f>"홍남간 55R3"</f>
        <v>홍남간 55R3</v>
      </c>
      <c r="I9518" s="1" t="s">
        <v>8</v>
      </c>
      <c r="J9518" s="1" t="str">
        <f>"36/36"</f>
        <v>36/36</v>
      </c>
      <c r="K9518" s="1" t="str">
        <f t="shared" si="480"/>
        <v>2026-07-29 13:18:12</v>
      </c>
      <c r="L9518" s="1" t="str">
        <f>"2018-04-20 10:33:11"</f>
        <v>2018-04-20 10:33:11</v>
      </c>
      <c r="M9518" s="1" t="s">
        <v>2</v>
      </c>
      <c r="N9518" s="1" t="s">
        <v>38</v>
      </c>
      <c r="O9518" s="1" t="s">
        <v>46</v>
      </c>
    </row>
    <row r="9519" spans="2:15" x14ac:dyDescent="0.3">
      <c r="B9519" s="1" t="s">
        <v>21</v>
      </c>
      <c r="C9519" s="1" t="str">
        <f t="shared" si="479"/>
        <v>4차</v>
      </c>
      <c r="D9519" s="1" t="str">
        <f>"9726A95144"</f>
        <v>9726A95144</v>
      </c>
      <c r="E9519" s="1" t="s">
        <v>10</v>
      </c>
      <c r="F9519" s="1" t="str">
        <f>"10.10.64.138"</f>
        <v>10.10.64.138</v>
      </c>
      <c r="G9519" s="1" t="str">
        <f>"9726A951"</f>
        <v>9726A951</v>
      </c>
      <c r="H9519" s="1" t="str">
        <f>"홍남간 55R3L3"</f>
        <v>홍남간 55R3L3</v>
      </c>
      <c r="I9519" s="1" t="s">
        <v>8</v>
      </c>
      <c r="J9519" s="1" t="str">
        <f>"65/65"</f>
        <v>65/65</v>
      </c>
      <c r="K9519" s="1" t="str">
        <f t="shared" si="480"/>
        <v>2026-07-29 13:18:12</v>
      </c>
      <c r="L9519" s="1" t="str">
        <f>"2019-12-24 16:56:27"</f>
        <v>2019-12-24 16:56:27</v>
      </c>
      <c r="M9519" s="1" t="s">
        <v>1</v>
      </c>
      <c r="N9519" s="1" t="s">
        <v>38</v>
      </c>
      <c r="O9519" s="1" t="s">
        <v>46</v>
      </c>
    </row>
    <row r="9520" spans="2:15" x14ac:dyDescent="0.3">
      <c r="B9520" s="1" t="s">
        <v>21</v>
      </c>
      <c r="C9520" s="1" t="str">
        <f t="shared" si="479"/>
        <v>4차</v>
      </c>
      <c r="D9520" s="1" t="str">
        <f>"9726A97239"</f>
        <v>9726A97239</v>
      </c>
      <c r="E9520" s="1" t="s">
        <v>10</v>
      </c>
      <c r="F9520" s="1" t="str">
        <f>"10.11.101.2"</f>
        <v>10.11.101.2</v>
      </c>
      <c r="G9520" s="1" t="str">
        <f>"9726A972"</f>
        <v>9726A972</v>
      </c>
      <c r="H9520" s="1" t="str">
        <f>"명지간 10L7R9"</f>
        <v>명지간 10L7R9</v>
      </c>
      <c r="I9520" s="1" t="s">
        <v>8</v>
      </c>
      <c r="J9520" s="1" t="str">
        <f>"40/40"</f>
        <v>40/40</v>
      </c>
      <c r="K9520" s="1" t="str">
        <f t="shared" si="480"/>
        <v>2026-07-29 13:18:12</v>
      </c>
      <c r="L9520" s="1" t="str">
        <f>"2018-04-17 18:37:30"</f>
        <v>2018-04-17 18:37:30</v>
      </c>
      <c r="M9520" s="1" t="s">
        <v>2</v>
      </c>
      <c r="N9520" s="1" t="s">
        <v>38</v>
      </c>
      <c r="O9520" s="1" t="s">
        <v>46</v>
      </c>
    </row>
    <row r="9521" spans="2:15" x14ac:dyDescent="0.3">
      <c r="B9521" s="1" t="s">
        <v>21</v>
      </c>
      <c r="C9521" s="1" t="str">
        <f t="shared" si="479"/>
        <v>4차</v>
      </c>
      <c r="D9521" s="1" t="str">
        <f>"9726A98144"</f>
        <v>9726A98144</v>
      </c>
      <c r="E9521" s="1" t="s">
        <v>10</v>
      </c>
      <c r="F9521" s="1" t="str">
        <f>"10.10.114.218"</f>
        <v>10.10.114.218</v>
      </c>
      <c r="G9521" s="1" t="str">
        <f>"9726A981"</f>
        <v>9726A981</v>
      </c>
      <c r="H9521" s="1" t="str">
        <f>"홍은간 10L9R2"</f>
        <v>홍은간 10L9R2</v>
      </c>
      <c r="I9521" s="1" t="s">
        <v>8</v>
      </c>
      <c r="J9521" s="1" t="str">
        <f>"28/28"</f>
        <v>28/28</v>
      </c>
      <c r="K9521" s="1" t="str">
        <f t="shared" si="480"/>
        <v>2026-07-29 13:18:12</v>
      </c>
      <c r="L9521" s="1" t="str">
        <f>"2019-11-20 08:54:37"</f>
        <v>2019-11-20 08:54:37</v>
      </c>
      <c r="M9521" s="1" t="s">
        <v>1</v>
      </c>
      <c r="N9521" s="1" t="s">
        <v>38</v>
      </c>
      <c r="O9521" s="1" t="s">
        <v>46</v>
      </c>
    </row>
    <row r="9522" spans="2:15" x14ac:dyDescent="0.3">
      <c r="B9522" s="1" t="s">
        <v>21</v>
      </c>
      <c r="C9522" s="1" t="str">
        <f t="shared" si="479"/>
        <v>4차</v>
      </c>
      <c r="D9522" s="1" t="str">
        <f>"9726B04144"</f>
        <v>9726B04144</v>
      </c>
      <c r="E9522" s="1" t="s">
        <v>10</v>
      </c>
      <c r="F9522" s="1" t="str">
        <f>"10.10.64.146"</f>
        <v>10.10.64.146</v>
      </c>
      <c r="G9522" s="1" t="str">
        <f>"9726B041"</f>
        <v>9726B041</v>
      </c>
      <c r="H9522" s="1" t="str">
        <f>"홍남간 55R5"</f>
        <v>홍남간 55R5</v>
      </c>
      <c r="I9522" s="1" t="s">
        <v>8</v>
      </c>
      <c r="J9522" s="1" t="str">
        <f>"30/30"</f>
        <v>30/30</v>
      </c>
      <c r="K9522" s="1" t="str">
        <f t="shared" si="480"/>
        <v>2026-07-29 13:18:12</v>
      </c>
      <c r="L9522" s="1" t="str">
        <f>"2024-03-13 15:35:13"</f>
        <v>2024-03-13 15:35:13</v>
      </c>
      <c r="M9522" s="1" t="s">
        <v>1</v>
      </c>
      <c r="N9522" s="1" t="s">
        <v>38</v>
      </c>
      <c r="O9522" s="1" t="s">
        <v>46</v>
      </c>
    </row>
    <row r="9523" spans="2:15" x14ac:dyDescent="0.3">
      <c r="B9523" s="1" t="s">
        <v>21</v>
      </c>
      <c r="C9523" s="1" t="str">
        <f t="shared" si="479"/>
        <v>4차</v>
      </c>
      <c r="D9523" s="1" t="str">
        <f>"9726B06144"</f>
        <v>9726B06144</v>
      </c>
      <c r="E9523" s="1" t="s">
        <v>10</v>
      </c>
      <c r="F9523" s="1" t="str">
        <f>"10.10.78.202"</f>
        <v>10.10.78.202</v>
      </c>
      <c r="G9523" s="1" t="str">
        <f>"9726B061"</f>
        <v>9726B061</v>
      </c>
      <c r="H9523" s="1" t="str">
        <f>"홍은간 10L16"</f>
        <v>홍은간 10L16</v>
      </c>
      <c r="I9523" s="1" t="s">
        <v>8</v>
      </c>
      <c r="J9523" s="1" t="str">
        <f>"40/40"</f>
        <v>40/40</v>
      </c>
      <c r="K9523" s="1" t="str">
        <f t="shared" si="480"/>
        <v>2026-07-29 13:18:12</v>
      </c>
      <c r="L9523" s="1" t="str">
        <f>"2019-11-20 08:37:41"</f>
        <v>2019-11-20 08:37:41</v>
      </c>
      <c r="M9523" s="1" t="s">
        <v>1</v>
      </c>
      <c r="N9523" s="1" t="s">
        <v>38</v>
      </c>
      <c r="O9523" s="1" t="s">
        <v>46</v>
      </c>
    </row>
    <row r="9524" spans="2:15" x14ac:dyDescent="0.3">
      <c r="B9524" s="1" t="s">
        <v>21</v>
      </c>
      <c r="C9524" s="1" t="str">
        <f t="shared" si="479"/>
        <v>4차</v>
      </c>
      <c r="D9524" s="1" t="str">
        <f>"9726B08244"</f>
        <v>9726B08244</v>
      </c>
      <c r="E9524" s="1" t="s">
        <v>10</v>
      </c>
      <c r="F9524" s="1" t="str">
        <f>"10.12.138.135"</f>
        <v>10.12.138.135</v>
      </c>
      <c r="G9524" s="1" t="str">
        <f>"9726B082"</f>
        <v>9726B082</v>
      </c>
      <c r="H9524" s="1" t="str">
        <f>"홍은간 10L9R1"</f>
        <v>홍은간 10L9R1</v>
      </c>
      <c r="I9524" s="1" t="s">
        <v>8</v>
      </c>
      <c r="J9524" s="1" t="str">
        <f>"78/78"</f>
        <v>78/78</v>
      </c>
      <c r="K9524" s="1" t="str">
        <f t="shared" si="480"/>
        <v>2026-07-29 13:18:12</v>
      </c>
      <c r="L9524" s="1" t="str">
        <f>"2020-01-09 11:08:25"</f>
        <v>2020-01-09 11:08:25</v>
      </c>
      <c r="M9524" s="1" t="s">
        <v>0</v>
      </c>
      <c r="N9524" s="1" t="s">
        <v>38</v>
      </c>
      <c r="O9524" s="1" t="s">
        <v>46</v>
      </c>
    </row>
    <row r="9525" spans="2:15" x14ac:dyDescent="0.3">
      <c r="B9525" s="1" t="s">
        <v>21</v>
      </c>
      <c r="C9525" s="1" t="str">
        <f t="shared" si="479"/>
        <v>4차</v>
      </c>
      <c r="D9525" s="1" t="str">
        <f>"9726B08344"</f>
        <v>9726B08344</v>
      </c>
      <c r="E9525" s="1" t="s">
        <v>10</v>
      </c>
      <c r="F9525" s="1" t="str">
        <f>"10.10.78.146"</f>
        <v>10.10.78.146</v>
      </c>
      <c r="G9525" s="1" t="str">
        <f>"9726B083"</f>
        <v>9726B083</v>
      </c>
      <c r="H9525" s="1" t="str">
        <f>"홍은간 10L10"</f>
        <v>홍은간 10L10</v>
      </c>
      <c r="I9525" s="1" t="s">
        <v>8</v>
      </c>
      <c r="J9525" s="1" t="str">
        <f>"42/42"</f>
        <v>42/42</v>
      </c>
      <c r="K9525" s="1" t="str">
        <f t="shared" si="480"/>
        <v>2026-07-29 13:18:12</v>
      </c>
      <c r="L9525" s="1" t="str">
        <f>"2019-11-20 08:38:45"</f>
        <v>2019-11-20 08:38:45</v>
      </c>
      <c r="M9525" s="1" t="s">
        <v>1</v>
      </c>
      <c r="N9525" s="1" t="s">
        <v>38</v>
      </c>
      <c r="O9525" s="1" t="s">
        <v>46</v>
      </c>
    </row>
    <row r="9526" spans="2:15" x14ac:dyDescent="0.3">
      <c r="B9526" s="1" t="s">
        <v>21</v>
      </c>
      <c r="C9526" s="1" t="str">
        <f t="shared" si="479"/>
        <v>4차</v>
      </c>
      <c r="D9526" s="1" t="str">
        <f>"9726B09144"</f>
        <v>9726B09144</v>
      </c>
      <c r="E9526" s="1" t="s">
        <v>10</v>
      </c>
      <c r="F9526" s="1" t="str">
        <f>"10.10.80.58"</f>
        <v>10.10.80.58</v>
      </c>
      <c r="G9526" s="1" t="str">
        <f>"9726B091"</f>
        <v>9726B091</v>
      </c>
      <c r="H9526" s="1" t="str">
        <f>"홍은간 10L8"</f>
        <v>홍은간 10L8</v>
      </c>
      <c r="I9526" s="1" t="s">
        <v>8</v>
      </c>
      <c r="J9526" s="1" t="str">
        <f>"92/92"</f>
        <v>92/92</v>
      </c>
      <c r="K9526" s="1" t="str">
        <f t="shared" si="480"/>
        <v>2026-07-29 13:18:12</v>
      </c>
      <c r="L9526" s="1" t="str">
        <f>"2019-11-20 08:44:21"</f>
        <v>2019-11-20 08:44:21</v>
      </c>
      <c r="M9526" s="1" t="s">
        <v>1</v>
      </c>
      <c r="N9526" s="1" t="s">
        <v>38</v>
      </c>
      <c r="O9526" s="1" t="s">
        <v>46</v>
      </c>
    </row>
    <row r="9527" spans="2:15" x14ac:dyDescent="0.3">
      <c r="B9527" s="1" t="s">
        <v>21</v>
      </c>
      <c r="C9527" s="1" t="str">
        <f>"5-2차"</f>
        <v>5-2차</v>
      </c>
      <c r="D9527" s="1" t="str">
        <f>"9726B1055M"</f>
        <v>9726B1055M</v>
      </c>
      <c r="E9527" s="1" t="s">
        <v>10</v>
      </c>
      <c r="F9527" s="1" t="str">
        <f>"fde1:103:4:6ee1:0:0:0:2"</f>
        <v>fde1:103:4:6ee1:0:0:0:2</v>
      </c>
      <c r="G9527" s="1" t="str">
        <f>"9726B105"</f>
        <v>9726B105</v>
      </c>
      <c r="H9527" s="1" t="str">
        <f>"연촌간 72L4L3"</f>
        <v>연촌간 72L4L3</v>
      </c>
      <c r="I9527" s="1" t="s">
        <v>15</v>
      </c>
      <c r="J9527" s="1" t="str">
        <f>"41/41"</f>
        <v>41/41</v>
      </c>
      <c r="K9527" s="1" t="str">
        <f>"2026-07-29 08:20:31"</f>
        <v>2026-07-29 08:20:31</v>
      </c>
      <c r="L9527" s="1" t="str">
        <f>"2023-11-15 10:29:10"</f>
        <v>2023-11-15 10:29:10</v>
      </c>
      <c r="M9527" s="1" t="s">
        <v>4</v>
      </c>
      <c r="N9527" s="1" t="s">
        <v>38</v>
      </c>
      <c r="O9527" s="1" t="s">
        <v>46</v>
      </c>
    </row>
    <row r="9528" spans="2:15" x14ac:dyDescent="0.3">
      <c r="B9528" s="1" t="s">
        <v>21</v>
      </c>
      <c r="C9528" s="1" t="str">
        <f t="shared" ref="C9528:C9536" si="481">"4차"</f>
        <v>4차</v>
      </c>
      <c r="D9528" s="1" t="str">
        <f>"9726B16144"</f>
        <v>9726B16144</v>
      </c>
      <c r="E9528" s="1" t="s">
        <v>10</v>
      </c>
      <c r="F9528" s="1" t="str">
        <f>"10.10.114.234"</f>
        <v>10.10.114.234</v>
      </c>
      <c r="G9528" s="1" t="str">
        <f>"9726B161"</f>
        <v>9726B161</v>
      </c>
      <c r="H9528" s="1" t="str">
        <f>"홍은간 10L14"</f>
        <v>홍은간 10L14</v>
      </c>
      <c r="I9528" s="1" t="s">
        <v>8</v>
      </c>
      <c r="J9528" s="1" t="str">
        <f>"19/19"</f>
        <v>19/19</v>
      </c>
      <c r="K9528" s="1" t="str">
        <f t="shared" ref="K9528:K9536" si="482">"2026-07-29 13:18:12"</f>
        <v>2026-07-29 13:18:12</v>
      </c>
      <c r="L9528" s="1" t="str">
        <f>"2019-11-20 08:37:36"</f>
        <v>2019-11-20 08:37:36</v>
      </c>
      <c r="M9528" s="1" t="s">
        <v>1</v>
      </c>
      <c r="N9528" s="1" t="s">
        <v>38</v>
      </c>
      <c r="O9528" s="1" t="s">
        <v>46</v>
      </c>
    </row>
    <row r="9529" spans="2:15" x14ac:dyDescent="0.3">
      <c r="B9529" s="1" t="s">
        <v>21</v>
      </c>
      <c r="C9529" s="1" t="str">
        <f t="shared" si="481"/>
        <v>4차</v>
      </c>
      <c r="D9529" s="1" t="str">
        <f>"9726B17444"</f>
        <v>9726B17444</v>
      </c>
      <c r="E9529" s="1" t="s">
        <v>10</v>
      </c>
      <c r="F9529" s="1" t="str">
        <f>"10.10.78.186"</f>
        <v>10.10.78.186</v>
      </c>
      <c r="G9529" s="1" t="str">
        <f>"9726B174"</f>
        <v>9726B174</v>
      </c>
      <c r="H9529" s="1" t="str">
        <f>"홍은간 10L13"</f>
        <v>홍은간 10L13</v>
      </c>
      <c r="I9529" s="1" t="s">
        <v>8</v>
      </c>
      <c r="J9529" s="1" t="str">
        <f>"23/23"</f>
        <v>23/23</v>
      </c>
      <c r="K9529" s="1" t="str">
        <f t="shared" si="482"/>
        <v>2026-07-29 13:18:12</v>
      </c>
      <c r="L9529" s="1" t="str">
        <f>"2020-01-23 15:00:16"</f>
        <v>2020-01-23 15:00:16</v>
      </c>
      <c r="M9529" s="1" t="s">
        <v>1</v>
      </c>
      <c r="N9529" s="1" t="s">
        <v>38</v>
      </c>
      <c r="O9529" s="1" t="s">
        <v>46</v>
      </c>
    </row>
    <row r="9530" spans="2:15" x14ac:dyDescent="0.3">
      <c r="B9530" s="1" t="s">
        <v>21</v>
      </c>
      <c r="C9530" s="1" t="str">
        <f t="shared" si="481"/>
        <v>4차</v>
      </c>
      <c r="D9530" s="1" t="str">
        <f>"9726B18144"</f>
        <v>9726B18144</v>
      </c>
      <c r="E9530" s="1" t="s">
        <v>10</v>
      </c>
      <c r="F9530" s="1" t="str">
        <f>"10.10.114.250"</f>
        <v>10.10.114.250</v>
      </c>
      <c r="G9530" s="1" t="str">
        <f>"9726B181"</f>
        <v>9726B181</v>
      </c>
      <c r="H9530" s="1" t="str">
        <f>"홍은간 10L11L1"</f>
        <v>홍은간 10L11L1</v>
      </c>
      <c r="I9530" s="1" t="s">
        <v>8</v>
      </c>
      <c r="J9530" s="1" t="str">
        <f>"12/12"</f>
        <v>12/12</v>
      </c>
      <c r="K9530" s="1" t="str">
        <f t="shared" si="482"/>
        <v>2026-07-29 13:18:12</v>
      </c>
      <c r="L9530" s="1" t="str">
        <f>"2019-12-17 15:58:18"</f>
        <v>2019-12-17 15:58:18</v>
      </c>
      <c r="M9530" s="1" t="s">
        <v>1</v>
      </c>
      <c r="N9530" s="1" t="s">
        <v>38</v>
      </c>
      <c r="O9530" s="1" t="s">
        <v>46</v>
      </c>
    </row>
    <row r="9531" spans="2:15" x14ac:dyDescent="0.3">
      <c r="B9531" s="1" t="s">
        <v>21</v>
      </c>
      <c r="C9531" s="1" t="str">
        <f t="shared" si="481"/>
        <v>4차</v>
      </c>
      <c r="D9531" s="1" t="str">
        <f>"9726B18244"</f>
        <v>9726B18244</v>
      </c>
      <c r="E9531" s="1" t="s">
        <v>10</v>
      </c>
      <c r="F9531" s="1" t="str">
        <f>"10.10.78.154"</f>
        <v>10.10.78.154</v>
      </c>
      <c r="G9531" s="1" t="str">
        <f>"9726B182"</f>
        <v>9726B182</v>
      </c>
      <c r="H9531" s="1" t="str">
        <f>"홍은간 10L11L2"</f>
        <v>홍은간 10L11L2</v>
      </c>
      <c r="I9531" s="1" t="s">
        <v>8</v>
      </c>
      <c r="J9531" s="1" t="str">
        <f>"38/38"</f>
        <v>38/38</v>
      </c>
      <c r="K9531" s="1" t="str">
        <f t="shared" si="482"/>
        <v>2026-07-29 13:18:12</v>
      </c>
      <c r="L9531" s="1" t="str">
        <f>"2019-11-20 08:37:45"</f>
        <v>2019-11-20 08:37:45</v>
      </c>
      <c r="M9531" s="1" t="s">
        <v>1</v>
      </c>
      <c r="N9531" s="1" t="s">
        <v>38</v>
      </c>
      <c r="O9531" s="1" t="s">
        <v>46</v>
      </c>
    </row>
    <row r="9532" spans="2:15" x14ac:dyDescent="0.3">
      <c r="B9532" s="1" t="s">
        <v>21</v>
      </c>
      <c r="C9532" s="1" t="str">
        <f t="shared" si="481"/>
        <v>4차</v>
      </c>
      <c r="D9532" s="1" t="str">
        <f>"9726B19144"</f>
        <v>9726B19144</v>
      </c>
      <c r="E9532" s="1" t="s">
        <v>10</v>
      </c>
      <c r="F9532" s="1" t="str">
        <f>"10.10.71.234"</f>
        <v>10.10.71.234</v>
      </c>
      <c r="G9532" s="1" t="str">
        <f>"9726B191"</f>
        <v>9726B191</v>
      </c>
      <c r="H9532" s="1" t="str">
        <f>"홍은간 6L2R1"</f>
        <v>홍은간 6L2R1</v>
      </c>
      <c r="I9532" s="1" t="s">
        <v>8</v>
      </c>
      <c r="J9532" s="1" t="str">
        <f>"41/41"</f>
        <v>41/41</v>
      </c>
      <c r="K9532" s="1" t="str">
        <f t="shared" si="482"/>
        <v>2026-07-29 13:18:12</v>
      </c>
      <c r="L9532" s="1" t="str">
        <f>"2019-11-20 08:41:31"</f>
        <v>2019-11-20 08:41:31</v>
      </c>
      <c r="M9532" s="1" t="s">
        <v>1</v>
      </c>
      <c r="N9532" s="1" t="s">
        <v>38</v>
      </c>
      <c r="O9532" s="1" t="s">
        <v>46</v>
      </c>
    </row>
    <row r="9533" spans="2:15" x14ac:dyDescent="0.3">
      <c r="B9533" s="1" t="s">
        <v>21</v>
      </c>
      <c r="C9533" s="1" t="str">
        <f t="shared" si="481"/>
        <v>4차</v>
      </c>
      <c r="D9533" s="1" t="str">
        <f>"9726B25144"</f>
        <v>9726B25144</v>
      </c>
      <c r="E9533" s="1" t="s">
        <v>10</v>
      </c>
      <c r="F9533" s="1" t="str">
        <f>"10.10.64.162"</f>
        <v>10.10.64.162</v>
      </c>
      <c r="G9533" s="1" t="str">
        <f>"9726B251"</f>
        <v>9726B251</v>
      </c>
      <c r="H9533" s="1" t="str">
        <f>"홍남간 55R8"</f>
        <v>홍남간 55R8</v>
      </c>
      <c r="I9533" s="1" t="s">
        <v>8</v>
      </c>
      <c r="J9533" s="1" t="str">
        <f>"44/45"</f>
        <v>44/45</v>
      </c>
      <c r="K9533" s="1" t="str">
        <f t="shared" si="482"/>
        <v>2026-07-29 13:18:12</v>
      </c>
      <c r="L9533" s="1" t="str">
        <f>"2019-11-19 17:42:34"</f>
        <v>2019-11-19 17:42:34</v>
      </c>
      <c r="M9533" s="1" t="s">
        <v>1</v>
      </c>
      <c r="N9533" s="1" t="s">
        <v>38</v>
      </c>
      <c r="O9533" s="1" t="s">
        <v>46</v>
      </c>
    </row>
    <row r="9534" spans="2:15" x14ac:dyDescent="0.3">
      <c r="B9534" s="1" t="s">
        <v>21</v>
      </c>
      <c r="C9534" s="1" t="str">
        <f t="shared" si="481"/>
        <v>4차</v>
      </c>
      <c r="D9534" s="1" t="str">
        <f>"9726B25244"</f>
        <v>9726B25244</v>
      </c>
      <c r="E9534" s="1" t="s">
        <v>10</v>
      </c>
      <c r="F9534" s="1" t="str">
        <f>"10.10.64.154"</f>
        <v>10.10.64.154</v>
      </c>
      <c r="G9534" s="1" t="str">
        <f>"9726B252"</f>
        <v>9726B252</v>
      </c>
      <c r="H9534" s="1" t="str">
        <f>"홍남간 55R7"</f>
        <v>홍남간 55R7</v>
      </c>
      <c r="I9534" s="1" t="s">
        <v>8</v>
      </c>
      <c r="J9534" s="1" t="str">
        <f>"28/28"</f>
        <v>28/28</v>
      </c>
      <c r="K9534" s="1" t="str">
        <f t="shared" si="482"/>
        <v>2026-07-29 13:18:12</v>
      </c>
      <c r="L9534" s="1" t="str">
        <f>"2019-11-19 13:57:36"</f>
        <v>2019-11-19 13:57:36</v>
      </c>
      <c r="M9534" s="1" t="s">
        <v>1</v>
      </c>
      <c r="N9534" s="1" t="s">
        <v>38</v>
      </c>
      <c r="O9534" s="1" t="s">
        <v>46</v>
      </c>
    </row>
    <row r="9535" spans="2:15" x14ac:dyDescent="0.3">
      <c r="B9535" s="1" t="s">
        <v>21</v>
      </c>
      <c r="C9535" s="1" t="str">
        <f t="shared" si="481"/>
        <v>4차</v>
      </c>
      <c r="D9535" s="1" t="str">
        <f>"9726B29144"</f>
        <v>9726B29144</v>
      </c>
      <c r="E9535" s="1" t="s">
        <v>10</v>
      </c>
      <c r="F9535" s="1" t="str">
        <f>"10.10.80.242"</f>
        <v>10.10.80.242</v>
      </c>
      <c r="G9535" s="1" t="str">
        <f>"9726B291"</f>
        <v>9726B291</v>
      </c>
      <c r="H9535" s="1" t="str">
        <f>"홍은간 6L1"</f>
        <v>홍은간 6L1</v>
      </c>
      <c r="I9535" s="1" t="s">
        <v>8</v>
      </c>
      <c r="J9535" s="1" t="str">
        <f>"41/41"</f>
        <v>41/41</v>
      </c>
      <c r="K9535" s="1" t="str">
        <f t="shared" si="482"/>
        <v>2026-07-29 13:18:12</v>
      </c>
      <c r="L9535" s="1" t="str">
        <f>"2019-11-20 08:38:36"</f>
        <v>2019-11-20 08:38:36</v>
      </c>
      <c r="M9535" s="1" t="s">
        <v>1</v>
      </c>
      <c r="N9535" s="1" t="s">
        <v>38</v>
      </c>
      <c r="O9535" s="1" t="s">
        <v>46</v>
      </c>
    </row>
    <row r="9536" spans="2:15" x14ac:dyDescent="0.3">
      <c r="B9536" s="1" t="s">
        <v>21</v>
      </c>
      <c r="C9536" s="1" t="str">
        <f t="shared" si="481"/>
        <v>4차</v>
      </c>
      <c r="D9536" s="1" t="str">
        <f>"9726B29444"</f>
        <v>9726B29444</v>
      </c>
      <c r="E9536" s="1" t="s">
        <v>10</v>
      </c>
      <c r="F9536" s="1" t="str">
        <f>"10.10.71.18"</f>
        <v>10.10.71.18</v>
      </c>
      <c r="G9536" s="1" t="str">
        <f>"9726B294"</f>
        <v>9726B294</v>
      </c>
      <c r="H9536" s="1" t="str">
        <f>"홍은간 6L3"</f>
        <v>홍은간 6L3</v>
      </c>
      <c r="I9536" s="1" t="s">
        <v>8</v>
      </c>
      <c r="J9536" s="1" t="str">
        <f>"35/35"</f>
        <v>35/35</v>
      </c>
      <c r="K9536" s="1" t="str">
        <f t="shared" si="482"/>
        <v>2026-07-29 13:18:12</v>
      </c>
      <c r="L9536" s="1" t="str">
        <f>"2019-11-20 08:37:54"</f>
        <v>2019-11-20 08:37:54</v>
      </c>
      <c r="M9536" s="1" t="s">
        <v>1</v>
      </c>
      <c r="N9536" s="1" t="s">
        <v>38</v>
      </c>
      <c r="O9536" s="1" t="s">
        <v>46</v>
      </c>
    </row>
    <row r="9537" spans="2:15" x14ac:dyDescent="0.3">
      <c r="B9537" s="1" t="s">
        <v>21</v>
      </c>
      <c r="C9537" s="1" t="str">
        <f>"5-2차"</f>
        <v>5-2차</v>
      </c>
      <c r="D9537" s="1" t="str">
        <f>"9726B3125M"</f>
        <v>9726B3125M</v>
      </c>
      <c r="E9537" s="1" t="s">
        <v>10</v>
      </c>
      <c r="F9537" s="1" t="str">
        <f>"fde1:103:4:6eda:0:0:0:2"</f>
        <v>fde1:103:4:6eda:0:0:0:2</v>
      </c>
      <c r="G9537" s="1" t="str">
        <f>"9726B312"</f>
        <v>9726B312</v>
      </c>
      <c r="H9537" s="1" t="str">
        <f>"연촌간 72L4L8"</f>
        <v>연촌간 72L4L8</v>
      </c>
      <c r="I9537" s="1" t="s">
        <v>15</v>
      </c>
      <c r="J9537" s="1" t="str">
        <f>"30/30"</f>
        <v>30/30</v>
      </c>
      <c r="K9537" s="1" t="str">
        <f>"2026-07-29 14:21:32"</f>
        <v>2026-07-29 14:21:32</v>
      </c>
      <c r="L9537" s="1" t="str">
        <f>"2023-11-15 10:29:06"</f>
        <v>2023-11-15 10:29:06</v>
      </c>
      <c r="M9537" s="1" t="s">
        <v>4</v>
      </c>
      <c r="N9537" s="1" t="s">
        <v>38</v>
      </c>
      <c r="O9537" s="1" t="s">
        <v>46</v>
      </c>
    </row>
    <row r="9538" spans="2:15" x14ac:dyDescent="0.3">
      <c r="B9538" s="1" t="s">
        <v>21</v>
      </c>
      <c r="C9538" s="1" t="str">
        <f>"5-2차"</f>
        <v>5-2차</v>
      </c>
      <c r="D9538" s="1" t="str">
        <f>"9726B3155M"</f>
        <v>9726B3155M</v>
      </c>
      <c r="E9538" s="1" t="s">
        <v>10</v>
      </c>
      <c r="F9538" s="1" t="str">
        <f>"fde1:103:4:6edb:0:0:0:2"</f>
        <v>fde1:103:4:6edb:0:0:0:2</v>
      </c>
      <c r="G9538" s="1" t="str">
        <f>"9726B315"</f>
        <v>9726B315</v>
      </c>
      <c r="H9538" s="1" t="str">
        <f>"연촌간 72L4L6"</f>
        <v>연촌간 72L4L6</v>
      </c>
      <c r="I9538" s="1" t="s">
        <v>15</v>
      </c>
      <c r="J9538" s="1" t="str">
        <f>"27/27"</f>
        <v>27/27</v>
      </c>
      <c r="K9538" s="1" t="str">
        <f>"2026-07-29 08:21:10"</f>
        <v>2026-07-29 08:21:10</v>
      </c>
      <c r="L9538" s="1" t="str">
        <f>"2023-11-15 10:29:18"</f>
        <v>2023-11-15 10:29:18</v>
      </c>
      <c r="M9538" s="1" t="s">
        <v>4</v>
      </c>
      <c r="N9538" s="1" t="s">
        <v>38</v>
      </c>
      <c r="O9538" s="1" t="s">
        <v>46</v>
      </c>
    </row>
    <row r="9539" spans="2:15" x14ac:dyDescent="0.3">
      <c r="B9539" s="1" t="s">
        <v>21</v>
      </c>
      <c r="C9539" s="1" t="str">
        <f>"4차"</f>
        <v>4차</v>
      </c>
      <c r="D9539" s="1" t="str">
        <f>"9726B37144"</f>
        <v>9726B37144</v>
      </c>
      <c r="E9539" s="1" t="s">
        <v>10</v>
      </c>
      <c r="F9539" s="1" t="str">
        <f>"10.10.78.122"</f>
        <v>10.10.78.122</v>
      </c>
      <c r="G9539" s="1" t="str">
        <f>"9726B371"</f>
        <v>9726B371</v>
      </c>
      <c r="H9539" s="1" t="str">
        <f>"홍남간 55R9L2"</f>
        <v>홍남간 55R9L2</v>
      </c>
      <c r="I9539" s="1" t="s">
        <v>8</v>
      </c>
      <c r="J9539" s="1" t="str">
        <f>"10/10"</f>
        <v>10/10</v>
      </c>
      <c r="K9539" s="1" t="str">
        <f>"2026-07-29 13:18:12"</f>
        <v>2026-07-29 13:18:12</v>
      </c>
      <c r="L9539" s="1" t="str">
        <f>"2019-11-19 17:19:50"</f>
        <v>2019-11-19 17:19:50</v>
      </c>
      <c r="M9539" s="1" t="s">
        <v>1</v>
      </c>
      <c r="N9539" s="1" t="s">
        <v>38</v>
      </c>
      <c r="O9539" s="1" t="s">
        <v>46</v>
      </c>
    </row>
    <row r="9540" spans="2:15" x14ac:dyDescent="0.3">
      <c r="B9540" s="1" t="s">
        <v>21</v>
      </c>
      <c r="C9540" s="1" t="str">
        <f>"4차"</f>
        <v>4차</v>
      </c>
      <c r="D9540" s="1" t="str">
        <f>"9726B38244"</f>
        <v>9726B38244</v>
      </c>
      <c r="E9540" s="1" t="s">
        <v>10</v>
      </c>
      <c r="F9540" s="1" t="str">
        <f>"10.10.71.42"</f>
        <v>10.10.71.42</v>
      </c>
      <c r="G9540" s="1" t="str">
        <f>"9726B382"</f>
        <v>9726B382</v>
      </c>
      <c r="H9540" s="1" t="str">
        <f>"홍은간 6L5"</f>
        <v>홍은간 6L5</v>
      </c>
      <c r="I9540" s="1" t="s">
        <v>8</v>
      </c>
      <c r="J9540" s="1" t="str">
        <f>"17/17"</f>
        <v>17/17</v>
      </c>
      <c r="K9540" s="1" t="str">
        <f>"2026-07-29 13:18:12"</f>
        <v>2026-07-29 13:18:12</v>
      </c>
      <c r="L9540" s="1" t="str">
        <f>"2019-11-20 09:18:08"</f>
        <v>2019-11-20 09:18:08</v>
      </c>
      <c r="M9540" s="1" t="s">
        <v>1</v>
      </c>
      <c r="N9540" s="1" t="s">
        <v>38</v>
      </c>
      <c r="O9540" s="1" t="s">
        <v>46</v>
      </c>
    </row>
    <row r="9541" spans="2:15" x14ac:dyDescent="0.3">
      <c r="B9541" s="1" t="s">
        <v>21</v>
      </c>
      <c r="C9541" s="1" t="str">
        <f>"4차"</f>
        <v>4차</v>
      </c>
      <c r="D9541" s="1" t="str">
        <f>"9726B39144"</f>
        <v>9726B39144</v>
      </c>
      <c r="E9541" s="1" t="s">
        <v>14</v>
      </c>
      <c r="F9541" s="1" t="str">
        <f>"10.10.80.218"</f>
        <v>10.10.80.218</v>
      </c>
      <c r="G9541" s="1" t="str">
        <f>"9726B391"</f>
        <v>9726B391</v>
      </c>
      <c r="H9541" s="1" t="str">
        <f>"홍은간 5"</f>
        <v>홍은간 5</v>
      </c>
      <c r="I9541" s="1" t="s">
        <v>8</v>
      </c>
      <c r="J9541" s="1" t="str">
        <f>"0/0"</f>
        <v>0/0</v>
      </c>
      <c r="K9541" s="1" t="str">
        <f>"2026-07-29 13:18:12"</f>
        <v>2026-07-29 13:18:12</v>
      </c>
      <c r="L9541" s="1" t="str">
        <f>"2019-11-20 08:37:35"</f>
        <v>2019-11-20 08:37:35</v>
      </c>
      <c r="M9541" s="1" t="s">
        <v>1</v>
      </c>
      <c r="N9541" s="1" t="s">
        <v>38</v>
      </c>
      <c r="O9541" s="1" t="s">
        <v>44</v>
      </c>
    </row>
    <row r="9542" spans="2:15" x14ac:dyDescent="0.3">
      <c r="B9542" s="1" t="s">
        <v>21</v>
      </c>
      <c r="C9542" s="1" t="str">
        <f>"5-2차"</f>
        <v>5-2차</v>
      </c>
      <c r="D9542" s="1" t="str">
        <f>"9726B4215M"</f>
        <v>9726B4215M</v>
      </c>
      <c r="E9542" s="1" t="s">
        <v>10</v>
      </c>
      <c r="F9542" s="1" t="str">
        <f>"fde1:103:4:6edc:0:0:0:2"</f>
        <v>fde1:103:4:6edc:0:0:0:2</v>
      </c>
      <c r="G9542" s="1" t="str">
        <f>"9726B421"</f>
        <v>9726B421</v>
      </c>
      <c r="H9542" s="1" t="str">
        <f>"연촌간 72L4L10"</f>
        <v>연촌간 72L4L10</v>
      </c>
      <c r="I9542" s="1" t="s">
        <v>15</v>
      </c>
      <c r="J9542" s="1" t="str">
        <f>"27/28"</f>
        <v>27/28</v>
      </c>
      <c r="K9542" s="1" t="str">
        <f>"2026-07-29 14:21:26"</f>
        <v>2026-07-29 14:21:26</v>
      </c>
      <c r="L9542" s="1" t="str">
        <f>"2023-11-15 10:29:23"</f>
        <v>2023-11-15 10:29:23</v>
      </c>
      <c r="M9542" s="1" t="s">
        <v>4</v>
      </c>
      <c r="N9542" s="1" t="s">
        <v>38</v>
      </c>
      <c r="O9542" s="1" t="s">
        <v>46</v>
      </c>
    </row>
    <row r="9543" spans="2:15" x14ac:dyDescent="0.3">
      <c r="B9543" s="1" t="s">
        <v>21</v>
      </c>
      <c r="C9543" s="1" t="str">
        <f>"6차"</f>
        <v>6차</v>
      </c>
      <c r="D9543" s="1" t="str">
        <f>"9726B4836S"</f>
        <v>9726B4836S</v>
      </c>
      <c r="E9543" s="1" t="s">
        <v>10</v>
      </c>
      <c r="F9543" s="1" t="str">
        <f>"fde1:103:4:c711:0:0:0:2"</f>
        <v>fde1:103:4:c711:0:0:0:2</v>
      </c>
      <c r="G9543" s="1" t="str">
        <f>"9726B483"</f>
        <v>9726B483</v>
      </c>
      <c r="H9543" s="1" t="str">
        <f>"두산간 22"</f>
        <v>두산간 22</v>
      </c>
      <c r="I9543" s="1" t="s">
        <v>15</v>
      </c>
      <c r="J9543" s="1" t="str">
        <f>"26/26"</f>
        <v>26/26</v>
      </c>
      <c r="K9543" s="1" t="str">
        <f>"2026-07-29 14:21:33"</f>
        <v>2026-07-29 14:21:33</v>
      </c>
      <c r="L9543" s="1" t="str">
        <f>"2024-12-05 11:33:26"</f>
        <v>2024-12-05 11:33:26</v>
      </c>
      <c r="M9543" s="1" t="s">
        <v>4</v>
      </c>
      <c r="N9543" s="1" t="s">
        <v>38</v>
      </c>
      <c r="O9543" s="1" t="s">
        <v>46</v>
      </c>
    </row>
    <row r="9544" spans="2:15" x14ac:dyDescent="0.3">
      <c r="B9544" s="1" t="s">
        <v>21</v>
      </c>
      <c r="C9544" s="1" t="str">
        <f>"1차"</f>
        <v>1차</v>
      </c>
      <c r="D9544" s="1" t="str">
        <f>"9726B49202"</f>
        <v>9726B49202</v>
      </c>
      <c r="E9544" s="1" t="s">
        <v>14</v>
      </c>
      <c r="F9544" s="1" t="str">
        <f>"10.12.137.179"</f>
        <v>10.12.137.179</v>
      </c>
      <c r="G9544" s="1" t="str">
        <f>"9726B492"</f>
        <v>9726B492</v>
      </c>
      <c r="H9544" s="1" t="str">
        <f>"두산간 24"</f>
        <v>두산간 24</v>
      </c>
      <c r="I9544" s="1" t="s">
        <v>8</v>
      </c>
      <c r="J9544" s="1" t="str">
        <f>"0/0"</f>
        <v>0/0</v>
      </c>
      <c r="K9544" s="1" t="str">
        <f>"2026-06-10 07:18:10"</f>
        <v>2026-06-10 07:18:10</v>
      </c>
      <c r="L9544" s="1" t="str">
        <f>"2014-12-15 17:12:25"</f>
        <v>2014-12-15 17:12:25</v>
      </c>
      <c r="M9544" s="1" t="s">
        <v>0</v>
      </c>
      <c r="N9544" s="1" t="s">
        <v>39</v>
      </c>
      <c r="O9544" s="1" t="s">
        <v>46</v>
      </c>
    </row>
    <row r="9545" spans="2:15" x14ac:dyDescent="0.3">
      <c r="B9545" s="1" t="s">
        <v>21</v>
      </c>
      <c r="C9545" s="1" t="str">
        <f>"1차"</f>
        <v>1차</v>
      </c>
      <c r="D9545" s="1" t="str">
        <f>"9726B49300"</f>
        <v>9726B49300</v>
      </c>
      <c r="E9545" s="1" t="s">
        <v>10</v>
      </c>
      <c r="F9545" s="1" t="str">
        <f>"10.128.32.89"</f>
        <v>10.128.32.89</v>
      </c>
      <c r="G9545" s="1" t="str">
        <f>"9726B493"</f>
        <v>9726B493</v>
      </c>
      <c r="H9545" s="1" t="str">
        <f>"두산간 23"</f>
        <v>두산간 23</v>
      </c>
      <c r="I9545" s="1" t="s">
        <v>8</v>
      </c>
      <c r="J9545" s="1" t="str">
        <f>"14/14"</f>
        <v>14/14</v>
      </c>
      <c r="K9545" s="1" t="str">
        <f>"2026-07-29 13:18:12"</f>
        <v>2026-07-29 13:18:12</v>
      </c>
      <c r="L9545" s="1" t="str">
        <f>"2014-12-15 17:12:50"</f>
        <v>2014-12-15 17:12:50</v>
      </c>
      <c r="M9545" s="1" t="s">
        <v>45</v>
      </c>
      <c r="N9545" s="1" t="s">
        <v>38</v>
      </c>
      <c r="O9545" s="1" t="s">
        <v>46</v>
      </c>
    </row>
    <row r="9546" spans="2:15" x14ac:dyDescent="0.3">
      <c r="B9546" s="1" t="s">
        <v>21</v>
      </c>
      <c r="C9546" s="1" t="str">
        <f>"6차"</f>
        <v>6차</v>
      </c>
      <c r="D9546" s="1" t="str">
        <f>"9726B5336S"</f>
        <v>9726B5336S</v>
      </c>
      <c r="E9546" s="1" t="s">
        <v>10</v>
      </c>
      <c r="F9546" s="1" t="str">
        <f>"fde1:103:4:c824:0:0:0:2"</f>
        <v>fde1:103:4:c824:0:0:0:2</v>
      </c>
      <c r="G9546" s="1" t="str">
        <f>"9726B533"</f>
        <v>9726B533</v>
      </c>
      <c r="H9546" s="1" t="str">
        <f>"연촌간 72L4L12"</f>
        <v>연촌간 72L4L12</v>
      </c>
      <c r="I9546" s="1" t="s">
        <v>15</v>
      </c>
      <c r="J9546" s="1" t="str">
        <f>"22/22"</f>
        <v>22/22</v>
      </c>
      <c r="K9546" s="1" t="str">
        <f>"2026-07-29 14:21:09"</f>
        <v>2026-07-29 14:21:09</v>
      </c>
      <c r="L9546" s="1" t="str">
        <f>"2024-12-10 11:24:08"</f>
        <v>2024-12-10 11:24:08</v>
      </c>
      <c r="M9546" s="1" t="s">
        <v>4</v>
      </c>
      <c r="N9546" s="1" t="s">
        <v>38</v>
      </c>
      <c r="O9546" s="1" t="s">
        <v>46</v>
      </c>
    </row>
    <row r="9547" spans="2:15" x14ac:dyDescent="0.3">
      <c r="B9547" s="1" t="s">
        <v>21</v>
      </c>
      <c r="C9547" s="1" t="str">
        <f>"1차"</f>
        <v>1차</v>
      </c>
      <c r="D9547" s="1" t="str">
        <f>"9726B59200"</f>
        <v>9726B59200</v>
      </c>
      <c r="E9547" s="1" t="s">
        <v>10</v>
      </c>
      <c r="F9547" s="1" t="str">
        <f>"10.128.33.93"</f>
        <v>10.128.33.93</v>
      </c>
      <c r="G9547" s="1" t="str">
        <f>"9726B592"</f>
        <v>9726B592</v>
      </c>
      <c r="H9547" s="1" t="str">
        <f>"두산간 25R2R2"</f>
        <v>두산간 25R2R2</v>
      </c>
      <c r="I9547" s="1" t="s">
        <v>8</v>
      </c>
      <c r="J9547" s="1" t="str">
        <f>"5/11"</f>
        <v>5/11</v>
      </c>
      <c r="K9547" s="1" t="str">
        <f>"2026-07-29 13:18:10"</f>
        <v>2026-07-29 13:18:10</v>
      </c>
      <c r="L9547" s="1" t="str">
        <f>"2014-12-13 14:37:53"</f>
        <v>2014-12-13 14:37:53</v>
      </c>
      <c r="M9547" s="1" t="s">
        <v>45</v>
      </c>
      <c r="N9547" s="1" t="s">
        <v>38</v>
      </c>
      <c r="O9547" s="1" t="s">
        <v>46</v>
      </c>
    </row>
    <row r="9548" spans="2:15" x14ac:dyDescent="0.3">
      <c r="B9548" s="1" t="s">
        <v>21</v>
      </c>
      <c r="C9548" s="1" t="str">
        <f>"6차"</f>
        <v>6차</v>
      </c>
      <c r="D9548" s="1" t="str">
        <f>"9726B6126S"</f>
        <v>9726B6126S</v>
      </c>
      <c r="E9548" s="1" t="s">
        <v>10</v>
      </c>
      <c r="F9548" s="1" t="str">
        <f>"fde1:103:4:9220:0:0:0:2"</f>
        <v>fde1:103:4:9220:0:0:0:2</v>
      </c>
      <c r="G9548" s="1" t="str">
        <f>"9726B612"</f>
        <v>9726B612</v>
      </c>
      <c r="H9548" s="1" t="str">
        <f>"연촌간 72L4L17R7"</f>
        <v>연촌간 72L4L17R7</v>
      </c>
      <c r="I9548" s="1" t="s">
        <v>15</v>
      </c>
      <c r="J9548" s="1" t="str">
        <f>"24/24"</f>
        <v>24/24</v>
      </c>
      <c r="K9548" s="1" t="str">
        <f>"2026-07-29 14:21:24"</f>
        <v>2026-07-29 14:21:24</v>
      </c>
      <c r="L9548" s="1" t="str">
        <f>"2025-02-28 17:41:27"</f>
        <v>2025-02-28 17:41:27</v>
      </c>
      <c r="M9548" s="1" t="s">
        <v>4</v>
      </c>
      <c r="N9548" s="1" t="s">
        <v>38</v>
      </c>
      <c r="O9548" s="1" t="s">
        <v>46</v>
      </c>
    </row>
    <row r="9549" spans="2:15" x14ac:dyDescent="0.3">
      <c r="B9549" s="1" t="s">
        <v>21</v>
      </c>
      <c r="C9549" s="1" t="str">
        <f>"1차"</f>
        <v>1차</v>
      </c>
      <c r="D9549" s="1" t="str">
        <f>"9726B62200"</f>
        <v>9726B62200</v>
      </c>
      <c r="E9549" s="1" t="s">
        <v>10</v>
      </c>
      <c r="F9549" s="1" t="str">
        <f>"10.128.33.94"</f>
        <v>10.128.33.94</v>
      </c>
      <c r="G9549" s="1" t="str">
        <f>"9726B622"</f>
        <v>9726B622</v>
      </c>
      <c r="H9549" s="1" t="str">
        <f>"연촌간 72L4L17A2"</f>
        <v>연촌간 72L4L17A2</v>
      </c>
      <c r="I9549" s="1" t="s">
        <v>8</v>
      </c>
      <c r="J9549" s="1" t="str">
        <f>"22/22"</f>
        <v>22/22</v>
      </c>
      <c r="K9549" s="1" t="str">
        <f>"2026-07-29 13:18:12"</f>
        <v>2026-07-29 13:18:12</v>
      </c>
      <c r="L9549" s="1" t="str">
        <f>"2014-12-13 14:37:06"</f>
        <v>2014-12-13 14:37:06</v>
      </c>
      <c r="M9549" s="1" t="s">
        <v>45</v>
      </c>
      <c r="N9549" s="1" t="s">
        <v>38</v>
      </c>
      <c r="O9549" s="1" t="s">
        <v>46</v>
      </c>
    </row>
    <row r="9550" spans="2:15" x14ac:dyDescent="0.3">
      <c r="B9550" s="1" t="s">
        <v>21</v>
      </c>
      <c r="C9550" s="1" t="str">
        <f>"4차"</f>
        <v>4차</v>
      </c>
      <c r="D9550" s="1" t="str">
        <f>"9726B65139"</f>
        <v>9726B65139</v>
      </c>
      <c r="E9550" s="1" t="s">
        <v>10</v>
      </c>
      <c r="F9550" s="1" t="str">
        <f>"10.12.129.52"</f>
        <v>10.12.129.52</v>
      </c>
      <c r="G9550" s="1" t="str">
        <f>"9726B651"</f>
        <v>9726B651</v>
      </c>
      <c r="H9550" s="1" t="str">
        <f>"연촌간 60"</f>
        <v>연촌간 60</v>
      </c>
      <c r="I9550" s="1" t="s">
        <v>8</v>
      </c>
      <c r="J9550" s="1" t="str">
        <f>"25/25"</f>
        <v>25/25</v>
      </c>
      <c r="K9550" s="1" t="str">
        <f>"2026-07-29 13:18:12"</f>
        <v>2026-07-29 13:18:12</v>
      </c>
      <c r="L9550" s="1" t="str">
        <f>"2018-04-25 10:17:25"</f>
        <v>2018-04-25 10:17:25</v>
      </c>
      <c r="M9550" s="1" t="s">
        <v>0</v>
      </c>
      <c r="N9550" s="1" t="s">
        <v>38</v>
      </c>
      <c r="O9550" s="1" t="s">
        <v>46</v>
      </c>
    </row>
    <row r="9551" spans="2:15" x14ac:dyDescent="0.3">
      <c r="B9551" s="1" t="s">
        <v>21</v>
      </c>
      <c r="C9551" s="1" t="str">
        <f>"1차"</f>
        <v>1차</v>
      </c>
      <c r="D9551" s="1" t="str">
        <f>"9726B68100"</f>
        <v>9726B68100</v>
      </c>
      <c r="E9551" s="1" t="s">
        <v>10</v>
      </c>
      <c r="F9551" s="1" t="str">
        <f>"10.128.32.94"</f>
        <v>10.128.32.94</v>
      </c>
      <c r="G9551" s="1" t="str">
        <f>"9726B681"</f>
        <v>9726B681</v>
      </c>
      <c r="H9551" s="1" t="str">
        <f>"두산간 18"</f>
        <v>두산간 18</v>
      </c>
      <c r="I9551" s="1" t="s">
        <v>8</v>
      </c>
      <c r="J9551" s="1" t="str">
        <f>"2/2"</f>
        <v>2/2</v>
      </c>
      <c r="K9551" s="1" t="str">
        <f>"2026-07-29 13:18:10"</f>
        <v>2026-07-29 13:18:10</v>
      </c>
      <c r="L9551" s="1" t="str">
        <f>"2014-12-10 14:58:12"</f>
        <v>2014-12-10 14:58:12</v>
      </c>
      <c r="M9551" s="1" t="s">
        <v>45</v>
      </c>
      <c r="N9551" s="1" t="s">
        <v>38</v>
      </c>
      <c r="O9551" s="1" t="s">
        <v>46</v>
      </c>
    </row>
    <row r="9552" spans="2:15" x14ac:dyDescent="0.3">
      <c r="B9552" s="1" t="s">
        <v>21</v>
      </c>
      <c r="C9552" s="1" t="str">
        <f>"6차"</f>
        <v>6차</v>
      </c>
      <c r="D9552" s="1" t="str">
        <f>"9726B7116S"</f>
        <v>9726B7116S</v>
      </c>
      <c r="E9552" s="1" t="s">
        <v>10</v>
      </c>
      <c r="F9552" s="1" t="str">
        <f>"fde1:103:4:c82d:0:0:0:2"</f>
        <v>fde1:103:4:c82d:0:0:0:2</v>
      </c>
      <c r="G9552" s="1" t="str">
        <f>"9726B711"</f>
        <v>9726B711</v>
      </c>
      <c r="H9552" s="1" t="str">
        <f>"연촌간 72L4L17R5"</f>
        <v>연촌간 72L4L17R5</v>
      </c>
      <c r="I9552" s="1" t="s">
        <v>15</v>
      </c>
      <c r="J9552" s="1" t="str">
        <f>"21/21"</f>
        <v>21/21</v>
      </c>
      <c r="K9552" s="1" t="str">
        <f>"2026-07-29 08:21:11"</f>
        <v>2026-07-29 08:21:11</v>
      </c>
      <c r="L9552" s="1" t="str">
        <f>"2024-12-10 11:24:26"</f>
        <v>2024-12-10 11:24:26</v>
      </c>
      <c r="M9552" s="1" t="s">
        <v>4</v>
      </c>
      <c r="N9552" s="1" t="s">
        <v>38</v>
      </c>
      <c r="O9552" s="1" t="s">
        <v>46</v>
      </c>
    </row>
    <row r="9553" spans="2:15" x14ac:dyDescent="0.3">
      <c r="B9553" s="1" t="s">
        <v>21</v>
      </c>
      <c r="C9553" s="1" t="str">
        <f>"6차"</f>
        <v>6차</v>
      </c>
      <c r="D9553" s="1" t="str">
        <f>"9726B7426S"</f>
        <v>9726B7426S</v>
      </c>
      <c r="E9553" s="1" t="s">
        <v>10</v>
      </c>
      <c r="F9553" s="1" t="str">
        <f>"fde1:103:4:913b:0:0:0:2"</f>
        <v>fde1:103:4:913b:0:0:0:2</v>
      </c>
      <c r="G9553" s="1" t="str">
        <f>"9726B742"</f>
        <v>9726B742</v>
      </c>
      <c r="H9553" s="1" t="str">
        <f>"연촌간 72L4L15L1"</f>
        <v>연촌간 72L4L15L1</v>
      </c>
      <c r="I9553" s="1" t="s">
        <v>15</v>
      </c>
      <c r="J9553" s="1" t="str">
        <f>"19/24"</f>
        <v>19/24</v>
      </c>
      <c r="K9553" s="1" t="str">
        <f>"2026-07-29 14:21:05"</f>
        <v>2026-07-29 14:21:05</v>
      </c>
      <c r="L9553" s="1" t="str">
        <f>"2025-02-20 17:37:13"</f>
        <v>2025-02-20 17:37:13</v>
      </c>
      <c r="M9553" s="1" t="s">
        <v>4</v>
      </c>
      <c r="N9553" s="1" t="s">
        <v>38</v>
      </c>
      <c r="O9553" s="1" t="s">
        <v>46</v>
      </c>
    </row>
    <row r="9554" spans="2:15" x14ac:dyDescent="0.3">
      <c r="B9554" s="1" t="s">
        <v>21</v>
      </c>
      <c r="C9554" s="1" t="str">
        <f>"4차"</f>
        <v>4차</v>
      </c>
      <c r="D9554" s="1" t="str">
        <f>"9726B81144"</f>
        <v>9726B81144</v>
      </c>
      <c r="E9554" s="1" t="s">
        <v>10</v>
      </c>
      <c r="F9554" s="1" t="str">
        <f>"10.10.69.186"</f>
        <v>10.10.69.186</v>
      </c>
      <c r="G9554" s="1" t="str">
        <f>"9726B811"</f>
        <v>9726B811</v>
      </c>
      <c r="H9554" s="1" t="str">
        <f>"연촌간 72L4L17R4"</f>
        <v>연촌간 72L4L17R4</v>
      </c>
      <c r="I9554" s="1" t="s">
        <v>8</v>
      </c>
      <c r="J9554" s="1" t="str">
        <f>"40/41"</f>
        <v>40/41</v>
      </c>
      <c r="K9554" s="1" t="str">
        <f>"2026-07-29 13:18:12"</f>
        <v>2026-07-29 13:18:12</v>
      </c>
      <c r="L9554" s="1" t="str">
        <f>"2019-11-08 13:57:28"</f>
        <v>2019-11-08 13:57:28</v>
      </c>
      <c r="M9554" s="1" t="s">
        <v>1</v>
      </c>
      <c r="N9554" s="1" t="s">
        <v>38</v>
      </c>
      <c r="O9554" s="1" t="s">
        <v>46</v>
      </c>
    </row>
    <row r="9555" spans="2:15" x14ac:dyDescent="0.3">
      <c r="B9555" s="1" t="s">
        <v>21</v>
      </c>
      <c r="C9555" s="1" t="str">
        <f>"4차"</f>
        <v>4차</v>
      </c>
      <c r="D9555" s="1" t="str">
        <f>"9726B82144"</f>
        <v>9726B82144</v>
      </c>
      <c r="E9555" s="1" t="s">
        <v>10</v>
      </c>
      <c r="F9555" s="1" t="str">
        <f>"10.10.69.66"</f>
        <v>10.10.69.66</v>
      </c>
      <c r="G9555" s="1" t="str">
        <f>"9726B821"</f>
        <v>9726B821</v>
      </c>
      <c r="H9555" s="1" t="str">
        <f>"연촌간 72L4L17R3"</f>
        <v>연촌간 72L4L17R3</v>
      </c>
      <c r="I9555" s="1" t="s">
        <v>8</v>
      </c>
      <c r="J9555" s="1" t="str">
        <f>"29/29"</f>
        <v>29/29</v>
      </c>
      <c r="K9555" s="1" t="str">
        <f>"2026-07-29 13:18:12"</f>
        <v>2026-07-29 13:18:12</v>
      </c>
      <c r="L9555" s="1" t="str">
        <f>"2019-12-24 16:53:44"</f>
        <v>2019-12-24 16:53:44</v>
      </c>
      <c r="M9555" s="1" t="s">
        <v>1</v>
      </c>
      <c r="N9555" s="1" t="s">
        <v>38</v>
      </c>
      <c r="O9555" s="1" t="s">
        <v>46</v>
      </c>
    </row>
    <row r="9556" spans="2:15" x14ac:dyDescent="0.3">
      <c r="B9556" s="1" t="s">
        <v>21</v>
      </c>
      <c r="C9556" s="1" t="str">
        <f>"1차"</f>
        <v>1차</v>
      </c>
      <c r="D9556" s="1" t="str">
        <f>"9726B83101"</f>
        <v>9726B83101</v>
      </c>
      <c r="E9556" s="1" t="s">
        <v>10</v>
      </c>
      <c r="F9556" s="1" t="str">
        <f>"10.12.130.221"</f>
        <v>10.12.130.221</v>
      </c>
      <c r="G9556" s="1" t="str">
        <f>"9726B831"</f>
        <v>9726B831</v>
      </c>
      <c r="H9556" s="1" t="str">
        <f>"연촌간 72L4L20"</f>
        <v>연촌간 72L4L20</v>
      </c>
      <c r="I9556" s="1" t="s">
        <v>8</v>
      </c>
      <c r="J9556" s="1" t="str">
        <f>"28/28"</f>
        <v>28/28</v>
      </c>
      <c r="K9556" s="1" t="str">
        <f>"2026-07-29 13:18:11"</f>
        <v>2026-07-29 13:18:11</v>
      </c>
      <c r="L9556" s="1" t="str">
        <f>"2014-12-12 13:42:41"</f>
        <v>2014-12-12 13:42:41</v>
      </c>
      <c r="M9556" s="1" t="s">
        <v>0</v>
      </c>
      <c r="N9556" s="1" t="s">
        <v>38</v>
      </c>
      <c r="O9556" s="1" t="s">
        <v>46</v>
      </c>
    </row>
    <row r="9557" spans="2:15" x14ac:dyDescent="0.3">
      <c r="B9557" s="1" t="s">
        <v>21</v>
      </c>
      <c r="C9557" s="1" t="str">
        <f>"1차"</f>
        <v>1차</v>
      </c>
      <c r="D9557" s="1" t="str">
        <f>"9726B83200"</f>
        <v>9726B83200</v>
      </c>
      <c r="E9557" s="1" t="s">
        <v>10</v>
      </c>
      <c r="F9557" s="1" t="str">
        <f>"10.128.99.218"</f>
        <v>10.128.99.218</v>
      </c>
      <c r="G9557" s="1" t="str">
        <f>"9726B832"</f>
        <v>9726B832</v>
      </c>
      <c r="H9557" s="1" t="str">
        <f>"연촌간 72L4L19"</f>
        <v>연촌간 72L4L19</v>
      </c>
      <c r="I9557" s="1" t="s">
        <v>8</v>
      </c>
      <c r="J9557" s="1" t="str">
        <f>"26/26"</f>
        <v>26/26</v>
      </c>
      <c r="K9557" s="1" t="str">
        <f>"2026-07-29 13:18:12"</f>
        <v>2026-07-29 13:18:12</v>
      </c>
      <c r="L9557" s="1" t="str">
        <f>"2014-12-12 13:42:32"</f>
        <v>2014-12-12 13:42:32</v>
      </c>
      <c r="M9557" s="1" t="s">
        <v>45</v>
      </c>
      <c r="N9557" s="1" t="s">
        <v>38</v>
      </c>
      <c r="O9557" s="1" t="s">
        <v>46</v>
      </c>
    </row>
    <row r="9558" spans="2:15" x14ac:dyDescent="0.3">
      <c r="B9558" s="1" t="s">
        <v>21</v>
      </c>
      <c r="C9558" s="1" t="str">
        <f>"1차"</f>
        <v>1차</v>
      </c>
      <c r="D9558" s="1" t="str">
        <f>"9726B84300"</f>
        <v>9726B84300</v>
      </c>
      <c r="E9558" s="1" t="s">
        <v>14</v>
      </c>
      <c r="F9558" s="1" t="str">
        <f>"10.128.99.242"</f>
        <v>10.128.99.242</v>
      </c>
      <c r="G9558" s="1" t="str">
        <f>"9726B843"</f>
        <v>9726B843</v>
      </c>
      <c r="H9558" s="1" t="str">
        <f>"연촌간 72L4L15L2"</f>
        <v>연촌간 72L4L15L2</v>
      </c>
      <c r="I9558" s="1" t="s">
        <v>8</v>
      </c>
      <c r="J9558" s="1" t="str">
        <f>"0/0"</f>
        <v>0/0</v>
      </c>
      <c r="K9558" s="1" t="str">
        <f>"2026-07-29 13:18:12"</f>
        <v>2026-07-29 13:18:12</v>
      </c>
      <c r="L9558" s="1" t="str">
        <f>"2014-12-16 15:23:42"</f>
        <v>2014-12-16 15:23:42</v>
      </c>
      <c r="M9558" s="1" t="s">
        <v>45</v>
      </c>
      <c r="N9558" s="1" t="s">
        <v>38</v>
      </c>
      <c r="O9558" s="1" t="s">
        <v>44</v>
      </c>
    </row>
    <row r="9559" spans="2:15" x14ac:dyDescent="0.3">
      <c r="B9559" s="1" t="s">
        <v>21</v>
      </c>
      <c r="C9559" s="1" t="str">
        <f>"4차"</f>
        <v>4차</v>
      </c>
      <c r="D9559" s="1" t="str">
        <f>"9726B87144"</f>
        <v>9726B87144</v>
      </c>
      <c r="E9559" s="1" t="s">
        <v>10</v>
      </c>
      <c r="F9559" s="1" t="str">
        <f>"10.10.69.50"</f>
        <v>10.10.69.50</v>
      </c>
      <c r="G9559" s="1" t="str">
        <f>"9726B871"</f>
        <v>9726B871</v>
      </c>
      <c r="H9559" s="1" t="str">
        <f>"연촌간 58R2"</f>
        <v>연촌간 58R2</v>
      </c>
      <c r="I9559" s="1" t="s">
        <v>8</v>
      </c>
      <c r="J9559" s="1" t="str">
        <f>"27/27"</f>
        <v>27/27</v>
      </c>
      <c r="K9559" s="1" t="str">
        <f>"2026-07-29 13:18:12"</f>
        <v>2026-07-29 13:18:12</v>
      </c>
      <c r="L9559" s="1" t="str">
        <f>"2019-11-08 12:13:04"</f>
        <v>2019-11-08 12:13:04</v>
      </c>
      <c r="M9559" s="1" t="s">
        <v>1</v>
      </c>
      <c r="N9559" s="1" t="s">
        <v>38</v>
      </c>
      <c r="O9559" s="1" t="s">
        <v>46</v>
      </c>
    </row>
    <row r="9560" spans="2:15" x14ac:dyDescent="0.3">
      <c r="B9560" s="1" t="s">
        <v>21</v>
      </c>
      <c r="C9560" s="1" t="str">
        <f>"4차"</f>
        <v>4차</v>
      </c>
      <c r="D9560" s="1" t="str">
        <f>"9726B91144"</f>
        <v>9726B91144</v>
      </c>
      <c r="E9560" s="1" t="s">
        <v>10</v>
      </c>
      <c r="F9560" s="1" t="str">
        <f>"10.10.68.138"</f>
        <v>10.10.68.138</v>
      </c>
      <c r="G9560" s="1" t="str">
        <f>"9726B911"</f>
        <v>9726B911</v>
      </c>
      <c r="H9560" s="1" t="str">
        <f>"연촌간 46L7"</f>
        <v>연촌간 46L7</v>
      </c>
      <c r="I9560" s="1" t="s">
        <v>8</v>
      </c>
      <c r="J9560" s="1" t="str">
        <f>"50/50"</f>
        <v>50/50</v>
      </c>
      <c r="K9560" s="1" t="str">
        <f>"2026-07-29 13:18:12"</f>
        <v>2026-07-29 13:18:12</v>
      </c>
      <c r="L9560" s="1" t="str">
        <f>"2019-11-07 11:03:03"</f>
        <v>2019-11-07 11:03:03</v>
      </c>
      <c r="M9560" s="1" t="s">
        <v>1</v>
      </c>
      <c r="N9560" s="1" t="s">
        <v>38</v>
      </c>
      <c r="O9560" s="1" t="s">
        <v>46</v>
      </c>
    </row>
    <row r="9561" spans="2:15" x14ac:dyDescent="0.3">
      <c r="B9561" s="1" t="s">
        <v>21</v>
      </c>
      <c r="C9561" s="1" t="str">
        <f>"4차"</f>
        <v>4차</v>
      </c>
      <c r="D9561" s="1" t="str">
        <f>"9726B93444"</f>
        <v>9726B93444</v>
      </c>
      <c r="E9561" s="1" t="s">
        <v>10</v>
      </c>
      <c r="F9561" s="1" t="str">
        <f>"10.10.71.50"</f>
        <v>10.10.71.50</v>
      </c>
      <c r="G9561" s="1" t="str">
        <f>"9726B934"</f>
        <v>9726B934</v>
      </c>
      <c r="H9561" s="1" t="str">
        <f>"연촌간 72L4L26"</f>
        <v>연촌간 72L4L26</v>
      </c>
      <c r="I9561" s="1" t="s">
        <v>8</v>
      </c>
      <c r="J9561" s="1" t="str">
        <f>"24/24"</f>
        <v>24/24</v>
      </c>
      <c r="K9561" s="1" t="str">
        <f>"2026-07-29 13:18:12"</f>
        <v>2026-07-29 13:18:12</v>
      </c>
      <c r="L9561" s="1" t="str">
        <f>"2019-12-24 16:48:53"</f>
        <v>2019-12-24 16:48:53</v>
      </c>
      <c r="M9561" s="1" t="s">
        <v>1</v>
      </c>
      <c r="N9561" s="1" t="s">
        <v>38</v>
      </c>
      <c r="O9561" s="1" t="s">
        <v>46</v>
      </c>
    </row>
    <row r="9562" spans="2:15" x14ac:dyDescent="0.3">
      <c r="B9562" s="1" t="s">
        <v>21</v>
      </c>
      <c r="C9562" s="1" t="str">
        <f>"1차"</f>
        <v>1차</v>
      </c>
      <c r="D9562" s="1" t="str">
        <f>"9726B94200"</f>
        <v>9726B94200</v>
      </c>
      <c r="E9562" s="1" t="s">
        <v>10</v>
      </c>
      <c r="F9562" s="1" t="str">
        <f>"10.128.99.194"</f>
        <v>10.128.99.194</v>
      </c>
      <c r="G9562" s="1" t="str">
        <f>"9726B942"</f>
        <v>9726B942</v>
      </c>
      <c r="H9562" s="1" t="str">
        <f>"연촌간 72L4L22"</f>
        <v>연촌간 72L4L22</v>
      </c>
      <c r="I9562" s="1" t="s">
        <v>8</v>
      </c>
      <c r="J9562" s="1" t="str">
        <f>"81/83"</f>
        <v>81/83</v>
      </c>
      <c r="K9562" s="1" t="str">
        <f>"2026-07-29 13:18:10"</f>
        <v>2026-07-29 13:18:10</v>
      </c>
      <c r="L9562" s="1" t="str">
        <f>"2014-12-12 11:57:36"</f>
        <v>2014-12-12 11:57:36</v>
      </c>
      <c r="M9562" s="1" t="s">
        <v>45</v>
      </c>
      <c r="N9562" s="1" t="s">
        <v>38</v>
      </c>
      <c r="O9562" s="1" t="s">
        <v>46</v>
      </c>
    </row>
    <row r="9563" spans="2:15" x14ac:dyDescent="0.3">
      <c r="B9563" s="1" t="s">
        <v>21</v>
      </c>
      <c r="C9563" s="1" t="str">
        <f>"1차"</f>
        <v>1차</v>
      </c>
      <c r="D9563" s="1" t="str">
        <f>"9726B94301"</f>
        <v>9726B94301</v>
      </c>
      <c r="E9563" s="1" t="s">
        <v>14</v>
      </c>
      <c r="F9563" s="1" t="str">
        <f>"10.128.32.102"</f>
        <v>10.128.32.102</v>
      </c>
      <c r="G9563" s="1" t="str">
        <f>"9726B943"</f>
        <v>9726B943</v>
      </c>
      <c r="H9563" s="1" t="str">
        <f>"연촌간 72L4L21"</f>
        <v>연촌간 72L4L21</v>
      </c>
      <c r="I9563" s="1" t="s">
        <v>8</v>
      </c>
      <c r="J9563" s="1" t="str">
        <f>"0/0"</f>
        <v>0/0</v>
      </c>
      <c r="K9563" s="1" t="str">
        <f>"2024-10-01 01:21:07"</f>
        <v>2024-10-01 01:21:07</v>
      </c>
      <c r="L9563" s="1" t="str">
        <f>"2014-12-12 11:57:27"</f>
        <v>2014-12-12 11:57:27</v>
      </c>
      <c r="M9563" s="1" t="s">
        <v>45</v>
      </c>
      <c r="N9563" s="1" t="s">
        <v>44</v>
      </c>
      <c r="O9563" s="1" t="s">
        <v>44</v>
      </c>
    </row>
    <row r="9564" spans="2:15" x14ac:dyDescent="0.3">
      <c r="B9564" s="1" t="s">
        <v>21</v>
      </c>
      <c r="C9564" s="1" t="str">
        <f>"4차"</f>
        <v>4차</v>
      </c>
      <c r="D9564" s="1" t="str">
        <f>"9726B94444"</f>
        <v>9726B94444</v>
      </c>
      <c r="E9564" s="1" t="s">
        <v>10</v>
      </c>
      <c r="F9564" s="1" t="str">
        <f>"10.10.71.34"</f>
        <v>10.10.71.34</v>
      </c>
      <c r="G9564" s="1" t="str">
        <f>"9726B944"</f>
        <v>9726B944</v>
      </c>
      <c r="H9564" s="1" t="str">
        <f>"연촌간 72L4L24"</f>
        <v>연촌간 72L4L24</v>
      </c>
      <c r="I9564" s="1" t="s">
        <v>8</v>
      </c>
      <c r="J9564" s="1" t="str">
        <f>"30/30"</f>
        <v>30/30</v>
      </c>
      <c r="K9564" s="1" t="str">
        <f>"2026-07-29 13:18:12"</f>
        <v>2026-07-29 13:18:12</v>
      </c>
      <c r="L9564" s="1" t="str">
        <f>"2019-12-24 16:54:56"</f>
        <v>2019-12-24 16:54:56</v>
      </c>
      <c r="M9564" s="1" t="s">
        <v>1</v>
      </c>
      <c r="N9564" s="1" t="s">
        <v>38</v>
      </c>
      <c r="O9564" s="1" t="s">
        <v>46</v>
      </c>
    </row>
    <row r="9565" spans="2:15" x14ac:dyDescent="0.3">
      <c r="B9565" s="1" t="s">
        <v>21</v>
      </c>
      <c r="C9565" s="1" t="str">
        <f>"1차"</f>
        <v>1차</v>
      </c>
      <c r="D9565" s="1" t="str">
        <f>"9726C18200"</f>
        <v>9726C18200</v>
      </c>
      <c r="E9565" s="1" t="s">
        <v>10</v>
      </c>
      <c r="F9565" s="1" t="str">
        <f>"10.128.98.146"</f>
        <v>10.128.98.146</v>
      </c>
      <c r="G9565" s="1" t="str">
        <f>"9726C182"</f>
        <v>9726C182</v>
      </c>
      <c r="H9565" s="1" t="str">
        <f>"홍남간 41L3R1"</f>
        <v>홍남간 41L3R1</v>
      </c>
      <c r="I9565" s="1" t="s">
        <v>8</v>
      </c>
      <c r="J9565" s="1" t="str">
        <f>"25/25"</f>
        <v>25/25</v>
      </c>
      <c r="K9565" s="1" t="str">
        <f>"2026-07-29 13:18:10"</f>
        <v>2026-07-29 13:18:10</v>
      </c>
      <c r="L9565" s="1" t="str">
        <f>"2014-12-10 15:12:38"</f>
        <v>2014-12-10 15:12:38</v>
      </c>
      <c r="M9565" s="1" t="s">
        <v>45</v>
      </c>
      <c r="N9565" s="1" t="s">
        <v>38</v>
      </c>
      <c r="O9565" s="1" t="s">
        <v>46</v>
      </c>
    </row>
    <row r="9566" spans="2:15" x14ac:dyDescent="0.3">
      <c r="B9566" s="1" t="s">
        <v>21</v>
      </c>
      <c r="C9566" s="1" t="str">
        <f>"1차"</f>
        <v>1차</v>
      </c>
      <c r="D9566" s="1" t="str">
        <f>"9726C27201"</f>
        <v>9726C27201</v>
      </c>
      <c r="E9566" s="1" t="s">
        <v>10</v>
      </c>
      <c r="F9566" s="1" t="str">
        <f>"10.128.98.28"</f>
        <v>10.128.98.28</v>
      </c>
      <c r="G9566" s="1" t="str">
        <f>"9726C272"</f>
        <v>9726C272</v>
      </c>
      <c r="H9566" s="1" t="str">
        <f>"홍남간 42"</f>
        <v>홍남간 42</v>
      </c>
      <c r="I9566" s="1" t="s">
        <v>8</v>
      </c>
      <c r="J9566" s="1" t="str">
        <f>"4/4"</f>
        <v>4/4</v>
      </c>
      <c r="K9566" s="1" t="str">
        <f>"2026-07-29 13:18:10"</f>
        <v>2026-07-29 13:18:10</v>
      </c>
      <c r="L9566" s="1" t="str">
        <f>"2014-12-10 14:57:51"</f>
        <v>2014-12-10 14:57:51</v>
      </c>
      <c r="M9566" s="1" t="s">
        <v>45</v>
      </c>
      <c r="N9566" s="1" t="s">
        <v>38</v>
      </c>
      <c r="O9566" s="1" t="s">
        <v>46</v>
      </c>
    </row>
    <row r="9567" spans="2:15" x14ac:dyDescent="0.3">
      <c r="B9567" s="1" t="s">
        <v>21</v>
      </c>
      <c r="C9567" s="1" t="str">
        <f>"1차"</f>
        <v>1차</v>
      </c>
      <c r="D9567" s="1" t="str">
        <f>"9726C28101"</f>
        <v>9726C28101</v>
      </c>
      <c r="E9567" s="1" t="s">
        <v>10</v>
      </c>
      <c r="F9567" s="1" t="str">
        <f>"10.12.131.92"</f>
        <v>10.12.131.92</v>
      </c>
      <c r="G9567" s="1" t="str">
        <f>"9726C281"</f>
        <v>9726C281</v>
      </c>
      <c r="H9567" s="1" t="str">
        <f>"홍남간 48L7"</f>
        <v>홍남간 48L7</v>
      </c>
      <c r="I9567" s="1" t="s">
        <v>8</v>
      </c>
      <c r="J9567" s="1" t="str">
        <f>"10/10"</f>
        <v>10/10</v>
      </c>
      <c r="K9567" s="1" t="str">
        <f>"2026-07-29 13:18:12"</f>
        <v>2026-07-29 13:18:12</v>
      </c>
      <c r="L9567" s="1" t="str">
        <f>"2014-12-10 18:08:26"</f>
        <v>2014-12-10 18:08:26</v>
      </c>
      <c r="M9567" s="1" t="s">
        <v>0</v>
      </c>
      <c r="N9567" s="1" t="s">
        <v>38</v>
      </c>
      <c r="O9567" s="1" t="s">
        <v>46</v>
      </c>
    </row>
    <row r="9568" spans="2:15" x14ac:dyDescent="0.3">
      <c r="B9568" s="1" t="s">
        <v>21</v>
      </c>
      <c r="C9568" s="1" t="str">
        <f>"1차"</f>
        <v>1차</v>
      </c>
      <c r="D9568" s="1" t="str">
        <f>"9726C29200"</f>
        <v>9726C29200</v>
      </c>
      <c r="E9568" s="1" t="s">
        <v>10</v>
      </c>
      <c r="F9568" s="1" t="str">
        <f>"10.128.98.34"</f>
        <v>10.128.98.34</v>
      </c>
      <c r="G9568" s="1" t="str">
        <f>"9726C292"</f>
        <v>9726C292</v>
      </c>
      <c r="H9568" s="1" t="str">
        <f>"홍남간 48L6"</f>
        <v>홍남간 48L6</v>
      </c>
      <c r="I9568" s="1" t="s">
        <v>8</v>
      </c>
      <c r="J9568" s="1" t="str">
        <f>"12/12"</f>
        <v>12/12</v>
      </c>
      <c r="K9568" s="1" t="str">
        <f>"2026-07-29 13:18:10"</f>
        <v>2026-07-29 13:18:10</v>
      </c>
      <c r="L9568" s="1" t="str">
        <f>"2014-12-10 14:57:43"</f>
        <v>2014-12-10 14:57:43</v>
      </c>
      <c r="M9568" s="1" t="s">
        <v>45</v>
      </c>
      <c r="N9568" s="1" t="s">
        <v>38</v>
      </c>
      <c r="O9568" s="1" t="s">
        <v>46</v>
      </c>
    </row>
    <row r="9569" spans="2:15" x14ac:dyDescent="0.3">
      <c r="B9569" s="1" t="s">
        <v>21</v>
      </c>
      <c r="C9569" s="1" t="str">
        <f>"5-2차"</f>
        <v>5-2차</v>
      </c>
      <c r="D9569" s="1" t="str">
        <f>"9726C3415S"</f>
        <v>9726C3415S</v>
      </c>
      <c r="E9569" s="1" t="s">
        <v>10</v>
      </c>
      <c r="F9569" s="1" t="str">
        <f>"fde1:103:4:6ee2:0:0:0:2"</f>
        <v>fde1:103:4:6ee2:0:0:0:2</v>
      </c>
      <c r="G9569" s="1" t="str">
        <f>"9726C341"</f>
        <v>9726C341</v>
      </c>
      <c r="H9569" s="1" t="str">
        <f>"이화간 66L5"</f>
        <v>이화간 66L5</v>
      </c>
      <c r="I9569" s="1" t="s">
        <v>15</v>
      </c>
      <c r="J9569" s="1" t="str">
        <f>"19/19"</f>
        <v>19/19</v>
      </c>
      <c r="K9569" s="1" t="str">
        <f>"2026-07-29 14:20:40"</f>
        <v>2026-07-29 14:20:40</v>
      </c>
      <c r="L9569" s="1" t="str">
        <f>"2023-11-15 10:43:46"</f>
        <v>2023-11-15 10:43:46</v>
      </c>
      <c r="M9569" s="1" t="s">
        <v>4</v>
      </c>
      <c r="N9569" s="1" t="s">
        <v>38</v>
      </c>
      <c r="O9569" s="1" t="s">
        <v>46</v>
      </c>
    </row>
    <row r="9570" spans="2:15" x14ac:dyDescent="0.3">
      <c r="B9570" s="1" t="s">
        <v>21</v>
      </c>
      <c r="C9570" s="1" t="str">
        <f>"1차"</f>
        <v>1차</v>
      </c>
      <c r="D9570" s="1" t="str">
        <f>"9726C38200"</f>
        <v>9726C38200</v>
      </c>
      <c r="E9570" s="1" t="s">
        <v>10</v>
      </c>
      <c r="F9570" s="1" t="str">
        <f>"10.128.98.26"</f>
        <v>10.128.98.26</v>
      </c>
      <c r="G9570" s="1" t="str">
        <f>"9726C382"</f>
        <v>9726C382</v>
      </c>
      <c r="H9570" s="1" t="str">
        <f>"홍남간 45"</f>
        <v>홍남간 45</v>
      </c>
      <c r="I9570" s="1" t="s">
        <v>8</v>
      </c>
      <c r="J9570" s="1" t="str">
        <f>"23/23"</f>
        <v>23/23</v>
      </c>
      <c r="K9570" s="1" t="str">
        <f>"2026-07-29 13:18:10"</f>
        <v>2026-07-29 13:18:10</v>
      </c>
      <c r="L9570" s="1" t="str">
        <f>"2014-12-10 14:58:22"</f>
        <v>2014-12-10 14:58:22</v>
      </c>
      <c r="M9570" s="1" t="s">
        <v>45</v>
      </c>
      <c r="N9570" s="1" t="s">
        <v>38</v>
      </c>
      <c r="O9570" s="1" t="s">
        <v>46</v>
      </c>
    </row>
    <row r="9571" spans="2:15" x14ac:dyDescent="0.3">
      <c r="B9571" s="1" t="s">
        <v>21</v>
      </c>
      <c r="C9571" s="1" t="str">
        <f>"4차"</f>
        <v>4차</v>
      </c>
      <c r="D9571" s="1" t="str">
        <f>"9726C39144"</f>
        <v>9726C39144</v>
      </c>
      <c r="E9571" s="1" t="s">
        <v>10</v>
      </c>
      <c r="F9571" s="1" t="str">
        <f>"10.10.95.226"</f>
        <v>10.10.95.226</v>
      </c>
      <c r="G9571" s="1" t="str">
        <f>"9726C391"</f>
        <v>9726C391</v>
      </c>
      <c r="H9571" s="1" t="str">
        <f>"홍남간 48L4"</f>
        <v>홍남간 48L4</v>
      </c>
      <c r="I9571" s="1" t="s">
        <v>8</v>
      </c>
      <c r="J9571" s="1" t="str">
        <f>"16/16"</f>
        <v>16/16</v>
      </c>
      <c r="K9571" s="1" t="str">
        <f>"2026-07-29 13:18:12"</f>
        <v>2026-07-29 13:18:12</v>
      </c>
      <c r="L9571" s="1" t="str">
        <f>"2019-12-11 18:27:50"</f>
        <v>2019-12-11 18:27:50</v>
      </c>
      <c r="M9571" s="1" t="s">
        <v>1</v>
      </c>
      <c r="N9571" s="1" t="s">
        <v>38</v>
      </c>
      <c r="O9571" s="1" t="s">
        <v>46</v>
      </c>
    </row>
    <row r="9572" spans="2:15" x14ac:dyDescent="0.3">
      <c r="B9572" s="1" t="s">
        <v>21</v>
      </c>
      <c r="C9572" s="1" t="str">
        <f>"1차"</f>
        <v>1차</v>
      </c>
      <c r="D9572" s="1" t="str">
        <f>"9726C39202"</f>
        <v>9726C39202</v>
      </c>
      <c r="E9572" s="1" t="s">
        <v>10</v>
      </c>
      <c r="F9572" s="1" t="str">
        <f>"10.128.98.36"</f>
        <v>10.128.98.36</v>
      </c>
      <c r="G9572" s="1" t="str">
        <f>"9726C392"</f>
        <v>9726C392</v>
      </c>
      <c r="H9572" s="1" t="str">
        <f>"홍남간 48L5"</f>
        <v>홍남간 48L5</v>
      </c>
      <c r="I9572" s="1" t="s">
        <v>8</v>
      </c>
      <c r="J9572" s="1" t="str">
        <f>"5/5"</f>
        <v>5/5</v>
      </c>
      <c r="K9572" s="1" t="str">
        <f>"2026-07-29 13:18:10"</f>
        <v>2026-07-29 13:18:10</v>
      </c>
      <c r="L9572" s="1" t="str">
        <f>"2014-12-10 14:58:04"</f>
        <v>2014-12-10 14:58:04</v>
      </c>
      <c r="M9572" s="1" t="s">
        <v>45</v>
      </c>
      <c r="N9572" s="1" t="s">
        <v>38</v>
      </c>
      <c r="O9572" s="1" t="s">
        <v>46</v>
      </c>
    </row>
    <row r="9573" spans="2:15" x14ac:dyDescent="0.3">
      <c r="B9573" s="1" t="s">
        <v>21</v>
      </c>
      <c r="C9573" s="1" t="str">
        <f>"5-1차"</f>
        <v>5-1차</v>
      </c>
      <c r="D9573" s="1" t="str">
        <f>"9726C4715S"</f>
        <v>9726C4715S</v>
      </c>
      <c r="E9573" s="1" t="s">
        <v>10</v>
      </c>
      <c r="F9573" s="1" t="str">
        <f>"fde2:104:0:8b:0:0:0:2"</f>
        <v>fde2:104:0:8b:0:0:0:2</v>
      </c>
      <c r="G9573" s="1" t="str">
        <f>"9726C471"</f>
        <v>9726C471</v>
      </c>
      <c r="H9573" s="1" t="str">
        <f>"연촌간 81"</f>
        <v>연촌간 81</v>
      </c>
      <c r="I9573" s="1" t="s">
        <v>15</v>
      </c>
      <c r="J9573" s="1" t="str">
        <f>"33/46"</f>
        <v>33/46</v>
      </c>
      <c r="K9573" s="1" t="str">
        <f>"2026-07-29 14:21:04"</f>
        <v>2026-07-29 14:21:04</v>
      </c>
      <c r="L9573" s="1" t="str">
        <f>"2022-09-27 18:43:57"</f>
        <v>2022-09-27 18:43:57</v>
      </c>
      <c r="M9573" s="1" t="s">
        <v>42</v>
      </c>
      <c r="N9573" s="1" t="s">
        <v>38</v>
      </c>
      <c r="O9573" s="1" t="s">
        <v>46</v>
      </c>
    </row>
    <row r="9574" spans="2:15" x14ac:dyDescent="0.3">
      <c r="B9574" s="1" t="s">
        <v>21</v>
      </c>
      <c r="C9574" s="1" t="str">
        <f>"4차"</f>
        <v>4차</v>
      </c>
      <c r="D9574" s="1" t="str">
        <f>"9726C61539"</f>
        <v>9726C61539</v>
      </c>
      <c r="E9574" s="1" t="s">
        <v>10</v>
      </c>
      <c r="F9574" s="1" t="str">
        <f>"10.12.136.248"</f>
        <v>10.12.136.248</v>
      </c>
      <c r="G9574" s="1" t="str">
        <f>"9726C615"</f>
        <v>9726C615</v>
      </c>
      <c r="H9574" s="1" t="str">
        <f>"궁동 1"</f>
        <v>궁동 1</v>
      </c>
      <c r="I9574" s="1" t="s">
        <v>17</v>
      </c>
      <c r="J9574" s="1" t="str">
        <f>"8/12"</f>
        <v>8/12</v>
      </c>
      <c r="K9574" s="1" t="str">
        <f>"2026-07-29 13:18:12"</f>
        <v>2026-07-29 13:18:12</v>
      </c>
      <c r="L9574" s="1" t="str">
        <f>"2018-10-16 14:42:59"</f>
        <v>2018-10-16 14:42:59</v>
      </c>
      <c r="M9574" s="1" t="s">
        <v>0</v>
      </c>
      <c r="N9574" s="1" t="s">
        <v>38</v>
      </c>
      <c r="O9574" s="1" t="s">
        <v>46</v>
      </c>
    </row>
    <row r="9575" spans="2:15" x14ac:dyDescent="0.3">
      <c r="B9575" s="1" t="s">
        <v>21</v>
      </c>
      <c r="C9575" s="1" t="str">
        <f>"1차"</f>
        <v>1차</v>
      </c>
      <c r="D9575" s="1" t="str">
        <f>"9726C67100"</f>
        <v>9726C67100</v>
      </c>
      <c r="E9575" s="1" t="s">
        <v>10</v>
      </c>
      <c r="F9575" s="1" t="str">
        <f>"10.128.32.109"</f>
        <v>10.128.32.109</v>
      </c>
      <c r="G9575" s="1" t="str">
        <f>"9726C671"</f>
        <v>9726C671</v>
      </c>
      <c r="H9575" s="1" t="str">
        <f>"연촌간 80L1"</f>
        <v>연촌간 80L1</v>
      </c>
      <c r="I9575" s="1" t="s">
        <v>8</v>
      </c>
      <c r="J9575" s="1" t="str">
        <f>"4/4"</f>
        <v>4/4</v>
      </c>
      <c r="K9575" s="1" t="str">
        <f>"2026-07-29 13:18:10"</f>
        <v>2026-07-29 13:18:10</v>
      </c>
      <c r="L9575" s="1" t="str">
        <f>"2014-12-12 11:57:59"</f>
        <v>2014-12-12 11:57:59</v>
      </c>
      <c r="M9575" s="1" t="s">
        <v>45</v>
      </c>
      <c r="N9575" s="1" t="s">
        <v>38</v>
      </c>
      <c r="O9575" s="1" t="s">
        <v>46</v>
      </c>
    </row>
    <row r="9576" spans="2:15" x14ac:dyDescent="0.3">
      <c r="B9576" s="1" t="s">
        <v>21</v>
      </c>
      <c r="C9576" s="1" t="str">
        <f>"6차"</f>
        <v>6차</v>
      </c>
      <c r="D9576" s="1" t="str">
        <f>"9726C7716S"</f>
        <v>9726C7716S</v>
      </c>
      <c r="E9576" s="1" t="s">
        <v>10</v>
      </c>
      <c r="F9576" s="1" t="str">
        <f>"fde1:103:4:9396:0:0:0:2"</f>
        <v>fde1:103:4:9396:0:0:0:2</v>
      </c>
      <c r="G9576" s="1" t="str">
        <f>"9726C771"</f>
        <v>9726C771</v>
      </c>
      <c r="H9576" s="1" t="str">
        <f>"연촌간 72L3R5"</f>
        <v>연촌간 72L3R5</v>
      </c>
      <c r="I9576" s="1" t="s">
        <v>15</v>
      </c>
      <c r="J9576" s="1" t="str">
        <f>"21/21"</f>
        <v>21/21</v>
      </c>
      <c r="K9576" s="1" t="str">
        <f>"2026-07-29 14:21:03"</f>
        <v>2026-07-29 14:21:03</v>
      </c>
      <c r="L9576" s="1" t="str">
        <f>"2025-01-22 17:53:56"</f>
        <v>2025-01-22 17:53:56</v>
      </c>
      <c r="M9576" s="1" t="s">
        <v>4</v>
      </c>
      <c r="N9576" s="1" t="s">
        <v>38</v>
      </c>
      <c r="O9576" s="1" t="s">
        <v>46</v>
      </c>
    </row>
    <row r="9577" spans="2:15" x14ac:dyDescent="0.3">
      <c r="B9577" s="1" t="s">
        <v>21</v>
      </c>
      <c r="C9577" s="1" t="str">
        <f>"6차"</f>
        <v>6차</v>
      </c>
      <c r="D9577" s="1" t="str">
        <f>"9726C7826S"</f>
        <v>9726C7826S</v>
      </c>
      <c r="E9577" s="1" t="s">
        <v>10</v>
      </c>
      <c r="F9577" s="1" t="str">
        <f>"fde1:103:4:c716:0:0:0:2"</f>
        <v>fde1:103:4:c716:0:0:0:2</v>
      </c>
      <c r="G9577" s="1" t="str">
        <f>"9726C782"</f>
        <v>9726C782</v>
      </c>
      <c r="H9577" s="1" t="str">
        <f>"연촌간 80L3"</f>
        <v>연촌간 80L3</v>
      </c>
      <c r="I9577" s="1" t="s">
        <v>15</v>
      </c>
      <c r="J9577" s="1" t="str">
        <f>"16/18"</f>
        <v>16/18</v>
      </c>
      <c r="K9577" s="1" t="str">
        <f>"2026-07-29 14:21:03"</f>
        <v>2026-07-29 14:21:03</v>
      </c>
      <c r="L9577" s="1" t="str">
        <f>"2024-12-10 11:24:08"</f>
        <v>2024-12-10 11:24:08</v>
      </c>
      <c r="M9577" s="1" t="s">
        <v>4</v>
      </c>
      <c r="N9577" s="1" t="s">
        <v>38</v>
      </c>
      <c r="O9577" s="1" t="s">
        <v>46</v>
      </c>
    </row>
    <row r="9578" spans="2:15" x14ac:dyDescent="0.3">
      <c r="B9578" s="1" t="s">
        <v>21</v>
      </c>
      <c r="C9578" s="1" t="str">
        <f>"4차"</f>
        <v>4차</v>
      </c>
      <c r="D9578" s="1" t="str">
        <f>"9726C80144"</f>
        <v>9726C80144</v>
      </c>
      <c r="E9578" s="1" t="s">
        <v>10</v>
      </c>
      <c r="F9578" s="1" t="str">
        <f>"10.10.67.34"</f>
        <v>10.10.67.34</v>
      </c>
      <c r="G9578" s="1" t="str">
        <f>"9726C801"</f>
        <v>9726C801</v>
      </c>
      <c r="H9578" s="1" t="str">
        <f>"연궁간 21R3L6"</f>
        <v>연궁간 21R3L6</v>
      </c>
      <c r="I9578" s="1" t="s">
        <v>8</v>
      </c>
      <c r="J9578" s="1" t="str">
        <f>"38/39"</f>
        <v>38/39</v>
      </c>
      <c r="K9578" s="1" t="str">
        <f>"2026-07-29 13:18:10"</f>
        <v>2026-07-29 13:18:10</v>
      </c>
      <c r="L9578" s="1" t="str">
        <f>"2019-11-01 15:23:05"</f>
        <v>2019-11-01 15:23:05</v>
      </c>
      <c r="M9578" s="1" t="s">
        <v>1</v>
      </c>
      <c r="N9578" s="1" t="s">
        <v>38</v>
      </c>
      <c r="O9578" s="1" t="s">
        <v>46</v>
      </c>
    </row>
    <row r="9579" spans="2:15" x14ac:dyDescent="0.3">
      <c r="B9579" s="1" t="s">
        <v>21</v>
      </c>
      <c r="C9579" s="1" t="str">
        <f>"4차"</f>
        <v>4차</v>
      </c>
      <c r="D9579" s="1" t="str">
        <f>"9726C84244"</f>
        <v>9726C84244</v>
      </c>
      <c r="E9579" s="1" t="s">
        <v>10</v>
      </c>
      <c r="F9579" s="1" t="str">
        <f>"10.10.123.50"</f>
        <v>10.10.123.50</v>
      </c>
      <c r="G9579" s="1" t="str">
        <f>"9726C842"</f>
        <v>9726C842</v>
      </c>
      <c r="H9579" s="1" t="str">
        <f>"연촌간 72L16"</f>
        <v>연촌간 72L16</v>
      </c>
      <c r="I9579" s="1" t="s">
        <v>8</v>
      </c>
      <c r="J9579" s="1" t="str">
        <f>"15/15"</f>
        <v>15/15</v>
      </c>
      <c r="K9579" s="1" t="str">
        <f>"2026-07-29 13:18:10"</f>
        <v>2026-07-29 13:18:10</v>
      </c>
      <c r="L9579" s="1" t="str">
        <f>"2025-05-07 09:47:17"</f>
        <v>2025-05-07 09:47:17</v>
      </c>
      <c r="M9579" s="1" t="s">
        <v>1</v>
      </c>
      <c r="N9579" s="1" t="s">
        <v>38</v>
      </c>
      <c r="O9579" s="1" t="s">
        <v>46</v>
      </c>
    </row>
    <row r="9580" spans="2:15" x14ac:dyDescent="0.3">
      <c r="B9580" s="1" t="s">
        <v>21</v>
      </c>
      <c r="C9580" s="1" t="str">
        <f>"4차"</f>
        <v>4차</v>
      </c>
      <c r="D9580" s="1" t="str">
        <f>"9726C88144"</f>
        <v>9726C88144</v>
      </c>
      <c r="E9580" s="1" t="s">
        <v>10</v>
      </c>
      <c r="F9580" s="1" t="str">
        <f>"10.12.135.231"</f>
        <v>10.12.135.231</v>
      </c>
      <c r="G9580" s="1" t="str">
        <f>"9726C881"</f>
        <v>9726C881</v>
      </c>
      <c r="H9580" s="1" t="str">
        <f>"연촌간 72L3R3"</f>
        <v>연촌간 72L3R3</v>
      </c>
      <c r="I9580" s="1" t="s">
        <v>8</v>
      </c>
      <c r="J9580" s="1" t="str">
        <f>"24/24"</f>
        <v>24/24</v>
      </c>
      <c r="K9580" s="1" t="str">
        <f>"2026-07-29 07:18:13"</f>
        <v>2026-07-29 07:18:13</v>
      </c>
      <c r="L9580" s="1" t="str">
        <f>"2023-11-09 09:47:08"</f>
        <v>2023-11-09 09:47:08</v>
      </c>
      <c r="M9580" s="1" t="s">
        <v>0</v>
      </c>
      <c r="N9580" s="1" t="s">
        <v>38</v>
      </c>
      <c r="O9580" s="1" t="s">
        <v>46</v>
      </c>
    </row>
    <row r="9581" spans="2:15" x14ac:dyDescent="0.3">
      <c r="B9581" s="1" t="s">
        <v>21</v>
      </c>
      <c r="C9581" s="1" t="str">
        <f>"1차"</f>
        <v>1차</v>
      </c>
      <c r="D9581" s="1" t="str">
        <f>"9726C89102"</f>
        <v>9726C89102</v>
      </c>
      <c r="E9581" s="1" t="s">
        <v>14</v>
      </c>
      <c r="F9581" s="1" t="str">
        <f>"10.128.32.117"</f>
        <v>10.128.32.117</v>
      </c>
      <c r="G9581" s="1" t="str">
        <f>"9726C891"</f>
        <v>9726C891</v>
      </c>
      <c r="H9581" s="1" t="str">
        <f>"연촌간 80L5"</f>
        <v>연촌간 80L5</v>
      </c>
      <c r="I9581" s="1" t="s">
        <v>8</v>
      </c>
      <c r="J9581" s="1" t="str">
        <f>"0/0"</f>
        <v>0/0</v>
      </c>
      <c r="K9581" s="1" t="str">
        <f>"2024-05-02 15:20:25"</f>
        <v>2024-05-02 15:20:25</v>
      </c>
      <c r="L9581" s="1" t="str">
        <f>"2014-12-22 14:27:22"</f>
        <v>2014-12-22 14:27:22</v>
      </c>
      <c r="M9581" s="1" t="s">
        <v>45</v>
      </c>
      <c r="N9581" s="1" t="s">
        <v>44</v>
      </c>
      <c r="O9581" s="1" t="s">
        <v>44</v>
      </c>
    </row>
    <row r="9582" spans="2:15" x14ac:dyDescent="0.3">
      <c r="B9582" s="1" t="s">
        <v>21</v>
      </c>
      <c r="C9582" s="1" t="str">
        <f>"1차"</f>
        <v>1차</v>
      </c>
      <c r="D9582" s="1" t="str">
        <f>"9726C89300"</f>
        <v>9726C89300</v>
      </c>
      <c r="E9582" s="1" t="s">
        <v>10</v>
      </c>
      <c r="F9582" s="1" t="str">
        <f>"10.128.32.115"</f>
        <v>10.128.32.115</v>
      </c>
      <c r="G9582" s="1" t="str">
        <f>"9726C893"</f>
        <v>9726C893</v>
      </c>
      <c r="H9582" s="1" t="str">
        <f>"연촌간 80L4"</f>
        <v>연촌간 80L4</v>
      </c>
      <c r="I9582" s="1" t="s">
        <v>8</v>
      </c>
      <c r="J9582" s="1" t="str">
        <f>"7/7"</f>
        <v>7/7</v>
      </c>
      <c r="K9582" s="1" t="str">
        <f>"2026-07-29 13:18:10"</f>
        <v>2026-07-29 13:18:10</v>
      </c>
      <c r="L9582" s="1" t="str">
        <f>"2014-12-22 14:27:54"</f>
        <v>2014-12-22 14:27:54</v>
      </c>
      <c r="M9582" s="1" t="s">
        <v>45</v>
      </c>
      <c r="N9582" s="1" t="s">
        <v>38</v>
      </c>
      <c r="O9582" s="1" t="s">
        <v>46</v>
      </c>
    </row>
    <row r="9583" spans="2:15" x14ac:dyDescent="0.3">
      <c r="B9583" s="1" t="s">
        <v>21</v>
      </c>
      <c r="C9583" s="1" t="str">
        <f>"4차"</f>
        <v>4차</v>
      </c>
      <c r="D9583" s="1" t="str">
        <f>"9726C91344"</f>
        <v>9726C91344</v>
      </c>
      <c r="E9583" s="1" t="s">
        <v>10</v>
      </c>
      <c r="F9583" s="1" t="str">
        <f>"10.10.108.106"</f>
        <v>10.10.108.106</v>
      </c>
      <c r="G9583" s="1" t="str">
        <f>"9726C913"</f>
        <v>9726C913</v>
      </c>
      <c r="H9583" s="1" t="str">
        <f>"연궁간 21R3L9"</f>
        <v>연궁간 21R3L9</v>
      </c>
      <c r="I9583" s="1" t="s">
        <v>8</v>
      </c>
      <c r="J9583" s="1" t="str">
        <f>"16/16"</f>
        <v>16/16</v>
      </c>
      <c r="K9583" s="1" t="str">
        <f>"2026-07-29 13:18:10"</f>
        <v>2026-07-29 13:18:10</v>
      </c>
      <c r="L9583" s="1" t="str">
        <f>"2019-11-01 15:23:58"</f>
        <v>2019-11-01 15:23:58</v>
      </c>
      <c r="M9583" s="1" t="s">
        <v>1</v>
      </c>
      <c r="N9583" s="1" t="s">
        <v>38</v>
      </c>
      <c r="O9583" s="1" t="s">
        <v>46</v>
      </c>
    </row>
    <row r="9584" spans="2:15" x14ac:dyDescent="0.3">
      <c r="B9584" s="1" t="s">
        <v>21</v>
      </c>
      <c r="C9584" s="1" t="str">
        <f>"3차"</f>
        <v>3차</v>
      </c>
      <c r="D9584" s="1" t="str">
        <f>"9726C92139"</f>
        <v>9726C92139</v>
      </c>
      <c r="E9584" s="1" t="s">
        <v>10</v>
      </c>
      <c r="F9584" s="1" t="str">
        <f>"10.11.101.74"</f>
        <v>10.11.101.74</v>
      </c>
      <c r="G9584" s="1" t="str">
        <f>"9726C921"</f>
        <v>9726C921</v>
      </c>
      <c r="H9584" s="1" t="str">
        <f>"연촌간 72L9L14R1"</f>
        <v>연촌간 72L9L14R1</v>
      </c>
      <c r="I9584" s="1" t="s">
        <v>8</v>
      </c>
      <c r="J9584" s="1" t="str">
        <f>"34/34"</f>
        <v>34/34</v>
      </c>
      <c r="K9584" s="1" t="str">
        <f>"2026-07-29 13:18:10"</f>
        <v>2026-07-29 13:18:10</v>
      </c>
      <c r="L9584" s="1" t="str">
        <f>"2018-04-25 12:04:11"</f>
        <v>2018-04-25 12:04:11</v>
      </c>
      <c r="M9584" s="1" t="s">
        <v>2</v>
      </c>
      <c r="N9584" s="1" t="s">
        <v>38</v>
      </c>
      <c r="O9584" s="1" t="s">
        <v>46</v>
      </c>
    </row>
    <row r="9585" spans="2:15" x14ac:dyDescent="0.3">
      <c r="B9585" s="1" t="s">
        <v>21</v>
      </c>
      <c r="C9585" s="1" t="str">
        <f>"4차"</f>
        <v>4차</v>
      </c>
      <c r="D9585" s="1" t="str">
        <f>"9726C94241"</f>
        <v>9726C94241</v>
      </c>
      <c r="E9585" s="1" t="s">
        <v>10</v>
      </c>
      <c r="F9585" s="1" t="str">
        <f>"10.12.137.111"</f>
        <v>10.12.137.111</v>
      </c>
      <c r="G9585" s="1" t="str">
        <f>"9726C942"</f>
        <v>9726C942</v>
      </c>
      <c r="H9585" s="1" t="str">
        <f>"연촌간 72L14L1R1"</f>
        <v>연촌간 72L14L1R1</v>
      </c>
      <c r="I9585" s="1" t="s">
        <v>17</v>
      </c>
      <c r="J9585" s="1" t="str">
        <f>"59/67"</f>
        <v>59/67</v>
      </c>
      <c r="K9585" s="1" t="str">
        <f>"2026-07-29 13:18:11"</f>
        <v>2026-07-29 13:18:11</v>
      </c>
      <c r="L9585" s="1" t="str">
        <f>"2021-08-11 10:23:23"</f>
        <v>2021-08-11 10:23:23</v>
      </c>
      <c r="M9585" s="1" t="s">
        <v>0</v>
      </c>
      <c r="N9585" s="1" t="s">
        <v>38</v>
      </c>
      <c r="O9585" s="1" t="s">
        <v>46</v>
      </c>
    </row>
    <row r="9586" spans="2:15" x14ac:dyDescent="0.3">
      <c r="B9586" s="1" t="s">
        <v>21</v>
      </c>
      <c r="C9586" s="1" t="str">
        <f>"4차"</f>
        <v>4차</v>
      </c>
      <c r="D9586" s="1" t="str">
        <f>"9726C95244"</f>
        <v>9726C95244</v>
      </c>
      <c r="E9586" s="1" t="s">
        <v>10</v>
      </c>
      <c r="F9586" s="1" t="str">
        <f>"10.10.111.202"</f>
        <v>10.10.111.202</v>
      </c>
      <c r="G9586" s="1" t="str">
        <f>"9726C952"</f>
        <v>9726C952</v>
      </c>
      <c r="H9586" s="1" t="str">
        <f>"연촌간 72L14L1"</f>
        <v>연촌간 72L14L1</v>
      </c>
      <c r="I9586" s="1" t="s">
        <v>8</v>
      </c>
      <c r="J9586" s="1" t="str">
        <f>"19/19"</f>
        <v>19/19</v>
      </c>
      <c r="K9586" s="1" t="str">
        <f>"2026-07-29 13:18:10"</f>
        <v>2026-07-29 13:18:10</v>
      </c>
      <c r="L9586" s="1" t="str">
        <f>"2019-11-07 15:07:28"</f>
        <v>2019-11-07 15:07:28</v>
      </c>
      <c r="M9586" s="1" t="s">
        <v>1</v>
      </c>
      <c r="N9586" s="1" t="s">
        <v>38</v>
      </c>
      <c r="O9586" s="1" t="s">
        <v>46</v>
      </c>
    </row>
    <row r="9587" spans="2:15" x14ac:dyDescent="0.3">
      <c r="B9587" s="1" t="s">
        <v>21</v>
      </c>
      <c r="C9587" s="1" t="str">
        <f>"1차"</f>
        <v>1차</v>
      </c>
      <c r="D9587" s="1" t="str">
        <f>"9726C98101"</f>
        <v>9726C98101</v>
      </c>
      <c r="E9587" s="1" t="s">
        <v>10</v>
      </c>
      <c r="F9587" s="1" t="str">
        <f>"10.128.99.211"</f>
        <v>10.128.99.211</v>
      </c>
      <c r="G9587" s="1" t="str">
        <f>"9726C981"</f>
        <v>9726C981</v>
      </c>
      <c r="H9587" s="1" t="str">
        <f>"연촌간 72L3R2"</f>
        <v>연촌간 72L3R2</v>
      </c>
      <c r="I9587" s="1" t="s">
        <v>8</v>
      </c>
      <c r="J9587" s="1" t="str">
        <f>"18/18"</f>
        <v>18/18</v>
      </c>
      <c r="K9587" s="1" t="str">
        <f>"2026-07-29 13:18:10"</f>
        <v>2026-07-29 13:18:10</v>
      </c>
      <c r="L9587" s="1" t="str">
        <f>"2014-12-12 11:57:45"</f>
        <v>2014-12-12 11:57:45</v>
      </c>
      <c r="M9587" s="1" t="s">
        <v>45</v>
      </c>
      <c r="N9587" s="1" t="s">
        <v>38</v>
      </c>
      <c r="O9587" s="1" t="s">
        <v>46</v>
      </c>
    </row>
    <row r="9588" spans="2:15" x14ac:dyDescent="0.3">
      <c r="B9588" s="1" t="s">
        <v>21</v>
      </c>
      <c r="C9588" s="1" t="str">
        <f>"1차"</f>
        <v>1차</v>
      </c>
      <c r="D9588" s="1" t="str">
        <f>"9726C99100"</f>
        <v>9726C99100</v>
      </c>
      <c r="E9588" s="1" t="s">
        <v>10</v>
      </c>
      <c r="F9588" s="1" t="str">
        <f>"10.128.99.210"</f>
        <v>10.128.99.210</v>
      </c>
      <c r="G9588" s="1" t="str">
        <f>"9726C991"</f>
        <v>9726C991</v>
      </c>
      <c r="H9588" s="1" t="str">
        <f>"연촌간 72L3R1"</f>
        <v>연촌간 72L3R1</v>
      </c>
      <c r="I9588" s="1" t="s">
        <v>8</v>
      </c>
      <c r="J9588" s="1" t="str">
        <f>"20/20"</f>
        <v>20/20</v>
      </c>
      <c r="K9588" s="1" t="str">
        <f>"2026-07-29 13:18:10"</f>
        <v>2026-07-29 13:18:10</v>
      </c>
      <c r="L9588" s="1" t="str">
        <f>"2014-12-12 11:58:07"</f>
        <v>2014-12-12 11:58:07</v>
      </c>
      <c r="M9588" s="1" t="s">
        <v>45</v>
      </c>
      <c r="N9588" s="1" t="s">
        <v>38</v>
      </c>
      <c r="O9588" s="1" t="s">
        <v>46</v>
      </c>
    </row>
    <row r="9589" spans="2:15" x14ac:dyDescent="0.3">
      <c r="B9589" s="1" t="s">
        <v>21</v>
      </c>
      <c r="C9589" s="1" t="str">
        <f t="shared" ref="C9589:C9597" si="483">"4차"</f>
        <v>4차</v>
      </c>
      <c r="D9589" s="1" t="str">
        <f>"9726D00144"</f>
        <v>9726D00144</v>
      </c>
      <c r="E9589" s="1" t="s">
        <v>10</v>
      </c>
      <c r="F9589" s="1" t="str">
        <f>"10.10.108.138"</f>
        <v>10.10.108.138</v>
      </c>
      <c r="G9589" s="1" t="str">
        <f>"9726D001"</f>
        <v>9726D001</v>
      </c>
      <c r="H9589" s="1" t="str">
        <f>"연궁간 21R3C1"</f>
        <v>연궁간 21R3C1</v>
      </c>
      <c r="I9589" s="1" t="s">
        <v>8</v>
      </c>
      <c r="J9589" s="1" t="str">
        <f>"22/22"</f>
        <v>22/22</v>
      </c>
      <c r="K9589" s="1" t="str">
        <f>"2026-07-29 13:18:10"</f>
        <v>2026-07-29 13:18:10</v>
      </c>
      <c r="L9589" s="1" t="str">
        <f>"2019-11-01 15:33:05"</f>
        <v>2019-11-01 15:33:05</v>
      </c>
      <c r="M9589" s="1" t="s">
        <v>1</v>
      </c>
      <c r="N9589" s="1" t="s">
        <v>38</v>
      </c>
      <c r="O9589" s="1" t="s">
        <v>46</v>
      </c>
    </row>
    <row r="9590" spans="2:15" x14ac:dyDescent="0.3">
      <c r="B9590" s="1" t="s">
        <v>21</v>
      </c>
      <c r="C9590" s="1" t="str">
        <f t="shared" si="483"/>
        <v>4차</v>
      </c>
      <c r="D9590" s="1" t="str">
        <f>"9726D05241"</f>
        <v>9726D05241</v>
      </c>
      <c r="E9590" s="1" t="s">
        <v>10</v>
      </c>
      <c r="F9590" s="1" t="str">
        <f>"10.14.12.109"</f>
        <v>10.14.12.109</v>
      </c>
      <c r="G9590" s="1" t="str">
        <f>"9726D052"</f>
        <v>9726D052</v>
      </c>
      <c r="H9590" s="1" t="str">
        <f>"연촌간 72L14L2"</f>
        <v>연촌간 72L14L2</v>
      </c>
      <c r="I9590" s="1" t="s">
        <v>17</v>
      </c>
      <c r="J9590" s="1" t="str">
        <f>"27/27"</f>
        <v>27/27</v>
      </c>
      <c r="K9590" s="1" t="str">
        <f>"2026-07-29 13:18:12"</f>
        <v>2026-07-29 13:18:12</v>
      </c>
      <c r="L9590" s="1" t="str">
        <f>"2021-08-11 10:57:58"</f>
        <v>2021-08-11 10:57:58</v>
      </c>
      <c r="M9590" s="1" t="s">
        <v>3</v>
      </c>
      <c r="N9590" s="1" t="s">
        <v>38</v>
      </c>
      <c r="O9590" s="1" t="s">
        <v>46</v>
      </c>
    </row>
    <row r="9591" spans="2:15" x14ac:dyDescent="0.3">
      <c r="B9591" s="1" t="s">
        <v>21</v>
      </c>
      <c r="C9591" s="1" t="str">
        <f t="shared" si="483"/>
        <v>4차</v>
      </c>
      <c r="D9591" s="1" t="str">
        <f>"9726D06444"</f>
        <v>9726D06444</v>
      </c>
      <c r="E9591" s="1" t="s">
        <v>10</v>
      </c>
      <c r="F9591" s="1" t="str">
        <f>"10.10.69.58"</f>
        <v>10.10.69.58</v>
      </c>
      <c r="G9591" s="1" t="str">
        <f>"9726D064"</f>
        <v>9726D064</v>
      </c>
      <c r="H9591" s="1" t="str">
        <f>"연촌간 72L11"</f>
        <v>연촌간 72L11</v>
      </c>
      <c r="I9591" s="1" t="s">
        <v>8</v>
      </c>
      <c r="J9591" s="1" t="str">
        <f>"44/44"</f>
        <v>44/44</v>
      </c>
      <c r="K9591" s="1" t="str">
        <f>"2026-07-29 13:18:10"</f>
        <v>2026-07-29 13:18:10</v>
      </c>
      <c r="L9591" s="1" t="str">
        <f>"2019-11-07 14:53:04"</f>
        <v>2019-11-07 14:53:04</v>
      </c>
      <c r="M9591" s="1" t="s">
        <v>1</v>
      </c>
      <c r="N9591" s="1" t="s">
        <v>38</v>
      </c>
      <c r="O9591" s="1" t="s">
        <v>46</v>
      </c>
    </row>
    <row r="9592" spans="2:15" x14ac:dyDescent="0.3">
      <c r="B9592" s="1" t="s">
        <v>21</v>
      </c>
      <c r="C9592" s="1" t="str">
        <f t="shared" si="483"/>
        <v>4차</v>
      </c>
      <c r="D9592" s="1" t="str">
        <f>"9726D08344"</f>
        <v>9726D08344</v>
      </c>
      <c r="E9592" s="1" t="s">
        <v>10</v>
      </c>
      <c r="F9592" s="1" t="str">
        <f>"10.10.69.218"</f>
        <v>10.10.69.218</v>
      </c>
      <c r="G9592" s="1" t="str">
        <f>"9726D083"</f>
        <v>9726D083</v>
      </c>
      <c r="H9592" s="1" t="str">
        <f>"연촌간 72L6"</f>
        <v>연촌간 72L6</v>
      </c>
      <c r="I9592" s="1" t="s">
        <v>8</v>
      </c>
      <c r="J9592" s="1" t="str">
        <f>"58/58"</f>
        <v>58/58</v>
      </c>
      <c r="K9592" s="1" t="str">
        <f>"2026-07-29 13:18:10"</f>
        <v>2026-07-29 13:18:10</v>
      </c>
      <c r="L9592" s="1" t="str">
        <f>"2019-11-07 13:34:43"</f>
        <v>2019-11-07 13:34:43</v>
      </c>
      <c r="M9592" s="1" t="s">
        <v>1</v>
      </c>
      <c r="N9592" s="1" t="s">
        <v>38</v>
      </c>
      <c r="O9592" s="1" t="s">
        <v>46</v>
      </c>
    </row>
    <row r="9593" spans="2:15" x14ac:dyDescent="0.3">
      <c r="B9593" s="1" t="s">
        <v>21</v>
      </c>
      <c r="C9593" s="1" t="str">
        <f t="shared" si="483"/>
        <v>4차</v>
      </c>
      <c r="D9593" s="1" t="str">
        <f>"9726D08441"</f>
        <v>9726D08441</v>
      </c>
      <c r="E9593" s="1" t="s">
        <v>10</v>
      </c>
      <c r="F9593" s="1" t="str">
        <f>"10.12.128.235"</f>
        <v>10.12.128.235</v>
      </c>
      <c r="G9593" s="1" t="str">
        <f>"9726D084"</f>
        <v>9726D084</v>
      </c>
      <c r="H9593" s="1" t="str">
        <f>"연촌간 72L3R2L3"</f>
        <v>연촌간 72L3R2L3</v>
      </c>
      <c r="I9593" s="1" t="s">
        <v>17</v>
      </c>
      <c r="J9593" s="1" t="str">
        <f>"26/26"</f>
        <v>26/26</v>
      </c>
      <c r="K9593" s="1" t="str">
        <f>"2026-07-29 13:18:13"</f>
        <v>2026-07-29 13:18:13</v>
      </c>
      <c r="L9593" s="1" t="str">
        <f>"2025-11-27 16:23:11"</f>
        <v>2025-11-27 16:23:11</v>
      </c>
      <c r="M9593" s="1" t="s">
        <v>0</v>
      </c>
      <c r="N9593" s="1" t="s">
        <v>38</v>
      </c>
      <c r="O9593" s="1" t="s">
        <v>46</v>
      </c>
    </row>
    <row r="9594" spans="2:15" x14ac:dyDescent="0.3">
      <c r="B9594" s="1" t="s">
        <v>21</v>
      </c>
      <c r="C9594" s="1" t="str">
        <f t="shared" si="483"/>
        <v>4차</v>
      </c>
      <c r="D9594" s="1" t="str">
        <f>"9726D14341"</f>
        <v>9726D14341</v>
      </c>
      <c r="E9594" s="1" t="s">
        <v>10</v>
      </c>
      <c r="F9594" s="1" t="str">
        <f>"10.12.138.112"</f>
        <v>10.12.138.112</v>
      </c>
      <c r="G9594" s="1" t="str">
        <f>"9726D143"</f>
        <v>9726D143</v>
      </c>
      <c r="H9594" s="1" t="str">
        <f>"연촌간 72L9L12R3"</f>
        <v>연촌간 72L9L12R3</v>
      </c>
      <c r="I9594" s="1" t="s">
        <v>17</v>
      </c>
      <c r="J9594" s="1" t="str">
        <f>"1/1"</f>
        <v>1/1</v>
      </c>
      <c r="K9594" s="1" t="str">
        <f>"2026-07-29 13:18:12"</f>
        <v>2026-07-29 13:18:12</v>
      </c>
      <c r="L9594" s="1" t="str">
        <f>"2021-08-25 16:05:19"</f>
        <v>2021-08-25 16:05:19</v>
      </c>
      <c r="M9594" s="1" t="s">
        <v>0</v>
      </c>
      <c r="N9594" s="1" t="s">
        <v>38</v>
      </c>
      <c r="O9594" s="1" t="s">
        <v>46</v>
      </c>
    </row>
    <row r="9595" spans="2:15" x14ac:dyDescent="0.3">
      <c r="B9595" s="1" t="s">
        <v>21</v>
      </c>
      <c r="C9595" s="1" t="str">
        <f t="shared" si="483"/>
        <v>4차</v>
      </c>
      <c r="D9595" s="1" t="str">
        <f>"9726D15141"</f>
        <v>9726D15141</v>
      </c>
      <c r="E9595" s="1" t="s">
        <v>10</v>
      </c>
      <c r="F9595" s="1" t="str">
        <f>"10.12.128.111"</f>
        <v>10.12.128.111</v>
      </c>
      <c r="G9595" s="1" t="str">
        <f>"9726D151"</f>
        <v>9726D151</v>
      </c>
      <c r="H9595" s="1" t="str">
        <f>"연촌간 72L9L12R4"</f>
        <v>연촌간 72L9L12R4</v>
      </c>
      <c r="I9595" s="1" t="s">
        <v>17</v>
      </c>
      <c r="J9595" s="1" t="str">
        <f>"29/29"</f>
        <v>29/29</v>
      </c>
      <c r="K9595" s="1" t="str">
        <f>"2026-07-29 13:18:12"</f>
        <v>2026-07-29 13:18:12</v>
      </c>
      <c r="L9595" s="1" t="str">
        <f>"2021-08-11 14:06:20"</f>
        <v>2021-08-11 14:06:20</v>
      </c>
      <c r="M9595" s="1" t="s">
        <v>0</v>
      </c>
      <c r="N9595" s="1" t="s">
        <v>38</v>
      </c>
      <c r="O9595" s="1" t="s">
        <v>46</v>
      </c>
    </row>
    <row r="9596" spans="2:15" x14ac:dyDescent="0.3">
      <c r="B9596" s="1" t="s">
        <v>21</v>
      </c>
      <c r="C9596" s="1" t="str">
        <f t="shared" si="483"/>
        <v>4차</v>
      </c>
      <c r="D9596" s="1" t="str">
        <f>"9726D18244"</f>
        <v>9726D18244</v>
      </c>
      <c r="E9596" s="1" t="s">
        <v>10</v>
      </c>
      <c r="F9596" s="1" t="str">
        <f>"10.10.69.242"</f>
        <v>10.10.69.242</v>
      </c>
      <c r="G9596" s="1" t="str">
        <f>"9726D182"</f>
        <v>9726D182</v>
      </c>
      <c r="H9596" s="1" t="str">
        <f>"연촌간 72L7L1"</f>
        <v>연촌간 72L7L1</v>
      </c>
      <c r="I9596" s="1" t="s">
        <v>8</v>
      </c>
      <c r="J9596" s="1" t="str">
        <f>"59/59"</f>
        <v>59/59</v>
      </c>
      <c r="K9596" s="1" t="str">
        <f>"2026-07-29 13:18:10"</f>
        <v>2026-07-29 13:18:10</v>
      </c>
      <c r="L9596" s="1" t="str">
        <f>"2019-11-07 13:43:05"</f>
        <v>2019-11-07 13:43:05</v>
      </c>
      <c r="M9596" s="1" t="s">
        <v>1</v>
      </c>
      <c r="N9596" s="1" t="s">
        <v>38</v>
      </c>
      <c r="O9596" s="1" t="s">
        <v>46</v>
      </c>
    </row>
    <row r="9597" spans="2:15" x14ac:dyDescent="0.3">
      <c r="B9597" s="1" t="s">
        <v>21</v>
      </c>
      <c r="C9597" s="1" t="str">
        <f t="shared" si="483"/>
        <v>4차</v>
      </c>
      <c r="D9597" s="1" t="str">
        <f>"9726D20144"</f>
        <v>9726D20144</v>
      </c>
      <c r="E9597" s="1" t="s">
        <v>10</v>
      </c>
      <c r="F9597" s="1" t="str">
        <f>"10.10.111.234"</f>
        <v>10.10.111.234</v>
      </c>
      <c r="G9597" s="1" t="str">
        <f>"9726D201"</f>
        <v>9726D201</v>
      </c>
      <c r="H9597" s="1" t="str">
        <f>"연궁간 21R5"</f>
        <v>연궁간 21R5</v>
      </c>
      <c r="I9597" s="1" t="s">
        <v>8</v>
      </c>
      <c r="J9597" s="1" t="str">
        <f>"16/16"</f>
        <v>16/16</v>
      </c>
      <c r="K9597" s="1" t="str">
        <f>"2026-07-29 13:18:10"</f>
        <v>2026-07-29 13:18:10</v>
      </c>
      <c r="L9597" s="1" t="str">
        <f>"2019-11-01 15:26:14"</f>
        <v>2019-11-01 15:26:14</v>
      </c>
      <c r="M9597" s="1" t="s">
        <v>1</v>
      </c>
      <c r="N9597" s="1" t="s">
        <v>38</v>
      </c>
      <c r="O9597" s="1" t="s">
        <v>46</v>
      </c>
    </row>
    <row r="9598" spans="2:15" x14ac:dyDescent="0.3">
      <c r="B9598" s="1" t="s">
        <v>21</v>
      </c>
      <c r="C9598" s="1" t="str">
        <f>"3차"</f>
        <v>3차</v>
      </c>
      <c r="D9598" s="1" t="str">
        <f>"9726D21139"</f>
        <v>9726D21139</v>
      </c>
      <c r="E9598" s="1" t="s">
        <v>10</v>
      </c>
      <c r="F9598" s="1" t="str">
        <f>"10.12.130.1"</f>
        <v>10.12.130.1</v>
      </c>
      <c r="G9598" s="1" t="str">
        <f>"9726D211"</f>
        <v>9726D211</v>
      </c>
      <c r="H9598" s="1" t="str">
        <f>"연궁간 21R6"</f>
        <v>연궁간 21R6</v>
      </c>
      <c r="I9598" s="1" t="s">
        <v>8</v>
      </c>
      <c r="J9598" s="1" t="str">
        <f>"31/32"</f>
        <v>31/32</v>
      </c>
      <c r="K9598" s="1" t="str">
        <f>"2026-07-29 13:18:12"</f>
        <v>2026-07-29 13:18:12</v>
      </c>
      <c r="L9598" s="1" t="str">
        <f>"2018-04-25 09:32:41"</f>
        <v>2018-04-25 09:32:41</v>
      </c>
      <c r="M9598" s="1" t="s">
        <v>0</v>
      </c>
      <c r="N9598" s="1" t="s">
        <v>38</v>
      </c>
      <c r="O9598" s="1" t="s">
        <v>46</v>
      </c>
    </row>
    <row r="9599" spans="2:15" x14ac:dyDescent="0.3">
      <c r="B9599" s="1" t="s">
        <v>21</v>
      </c>
      <c r="C9599" s="1" t="str">
        <f t="shared" ref="C9599:C9618" si="484">"4차"</f>
        <v>4차</v>
      </c>
      <c r="D9599" s="1" t="str">
        <f>"9726D25341"</f>
        <v>9726D25341</v>
      </c>
      <c r="E9599" s="1" t="s">
        <v>10</v>
      </c>
      <c r="F9599" s="1" t="str">
        <f>"10.12.132.197"</f>
        <v>10.12.132.197</v>
      </c>
      <c r="G9599" s="1" t="str">
        <f>"9726D253"</f>
        <v>9726D253</v>
      </c>
      <c r="H9599" s="1" t="str">
        <f>"연촌간 72L9L8R1"</f>
        <v>연촌간 72L9L8R1</v>
      </c>
      <c r="I9599" s="1" t="s">
        <v>17</v>
      </c>
      <c r="J9599" s="1" t="str">
        <f>"24/24"</f>
        <v>24/24</v>
      </c>
      <c r="K9599" s="1" t="str">
        <f>"2026-07-29 13:18:12"</f>
        <v>2026-07-29 13:18:12</v>
      </c>
      <c r="L9599" s="1" t="str">
        <f>"2021-08-11 08:50:38"</f>
        <v>2021-08-11 08:50:38</v>
      </c>
      <c r="M9599" s="1" t="s">
        <v>0</v>
      </c>
      <c r="N9599" s="1" t="s">
        <v>38</v>
      </c>
      <c r="O9599" s="1" t="s">
        <v>46</v>
      </c>
    </row>
    <row r="9600" spans="2:15" x14ac:dyDescent="0.3">
      <c r="B9600" s="1" t="s">
        <v>21</v>
      </c>
      <c r="C9600" s="1" t="str">
        <f t="shared" si="484"/>
        <v>4차</v>
      </c>
      <c r="D9600" s="1" t="str">
        <f>"9726D26241"</f>
        <v>9726D26241</v>
      </c>
      <c r="E9600" s="1" t="s">
        <v>10</v>
      </c>
      <c r="F9600" s="1" t="str">
        <f>"10.12.131.172"</f>
        <v>10.12.131.172</v>
      </c>
      <c r="G9600" s="1" t="str">
        <f>"9726D262"</f>
        <v>9726D262</v>
      </c>
      <c r="H9600" s="1" t="str">
        <f>"연촌간 72L9L1"</f>
        <v>연촌간 72L9L1</v>
      </c>
      <c r="I9600" s="1" t="s">
        <v>17</v>
      </c>
      <c r="J9600" s="1" t="str">
        <f>"15/23"</f>
        <v>15/23</v>
      </c>
      <c r="K9600" s="1" t="str">
        <f>"2026-07-29 13:18:12"</f>
        <v>2026-07-29 13:18:12</v>
      </c>
      <c r="L9600" s="1" t="str">
        <f>"2021-08-11 11:58:29"</f>
        <v>2021-08-11 11:58:29</v>
      </c>
      <c r="M9600" s="1" t="s">
        <v>0</v>
      </c>
      <c r="N9600" s="1" t="s">
        <v>38</v>
      </c>
      <c r="O9600" s="1" t="s">
        <v>46</v>
      </c>
    </row>
    <row r="9601" spans="2:15" x14ac:dyDescent="0.3">
      <c r="B9601" s="1" t="s">
        <v>21</v>
      </c>
      <c r="C9601" s="1" t="str">
        <f t="shared" si="484"/>
        <v>4차</v>
      </c>
      <c r="D9601" s="1" t="str">
        <f>"9726D29144"</f>
        <v>9726D29144</v>
      </c>
      <c r="E9601" s="1" t="s">
        <v>10</v>
      </c>
      <c r="F9601" s="1" t="str">
        <f>"10.10.69.210"</f>
        <v>10.10.69.210</v>
      </c>
      <c r="G9601" s="1" t="str">
        <f>"9726D291"</f>
        <v>9726D291</v>
      </c>
      <c r="H9601" s="1" t="str">
        <f>"연촌간 72L4L4R2"</f>
        <v>연촌간 72L4L4R2</v>
      </c>
      <c r="I9601" s="1" t="s">
        <v>8</v>
      </c>
      <c r="J9601" s="1" t="str">
        <f>"49/49"</f>
        <v>49/49</v>
      </c>
      <c r="K9601" s="1" t="str">
        <f>"2026-07-29 13:18:10"</f>
        <v>2026-07-29 13:18:10</v>
      </c>
      <c r="L9601" s="1" t="str">
        <f>"2019-12-24 16:58:09"</f>
        <v>2019-12-24 16:58:09</v>
      </c>
      <c r="M9601" s="1" t="s">
        <v>1</v>
      </c>
      <c r="N9601" s="1" t="s">
        <v>38</v>
      </c>
      <c r="O9601" s="1" t="s">
        <v>46</v>
      </c>
    </row>
    <row r="9602" spans="2:15" x14ac:dyDescent="0.3">
      <c r="B9602" s="1" t="s">
        <v>21</v>
      </c>
      <c r="C9602" s="1" t="str">
        <f t="shared" si="484"/>
        <v>4차</v>
      </c>
      <c r="D9602" s="1" t="str">
        <f>"9726D33141"</f>
        <v>9726D33141</v>
      </c>
      <c r="E9602" s="1" t="s">
        <v>10</v>
      </c>
      <c r="F9602" s="1" t="str">
        <f>"10.12.131.98"</f>
        <v>10.12.131.98</v>
      </c>
      <c r="G9602" s="1" t="str">
        <f>"9726D331"</f>
        <v>9726D331</v>
      </c>
      <c r="H9602" s="1" t="str">
        <f>"연촌간 72L9L7L1"</f>
        <v>연촌간 72L9L7L1</v>
      </c>
      <c r="I9602" s="1" t="s">
        <v>17</v>
      </c>
      <c r="J9602" s="1" t="str">
        <f>"34/36"</f>
        <v>34/36</v>
      </c>
      <c r="K9602" s="1" t="str">
        <f>"2026-07-29 13:18:12"</f>
        <v>2026-07-29 13:18:12</v>
      </c>
      <c r="L9602" s="1" t="str">
        <f>"2021-07-16 16:02:38"</f>
        <v>2021-07-16 16:02:38</v>
      </c>
      <c r="M9602" s="1" t="s">
        <v>0</v>
      </c>
      <c r="N9602" s="1" t="s">
        <v>38</v>
      </c>
      <c r="O9602" s="1" t="s">
        <v>46</v>
      </c>
    </row>
    <row r="9603" spans="2:15" x14ac:dyDescent="0.3">
      <c r="B9603" s="1" t="s">
        <v>21</v>
      </c>
      <c r="C9603" s="1" t="str">
        <f t="shared" si="484"/>
        <v>4차</v>
      </c>
      <c r="D9603" s="1" t="str">
        <f>"9726D33241"</f>
        <v>9726D33241</v>
      </c>
      <c r="E9603" s="1" t="s">
        <v>10</v>
      </c>
      <c r="F9603" s="1" t="str">
        <f>"10.14.1.61"</f>
        <v>10.14.1.61</v>
      </c>
      <c r="G9603" s="1" t="str">
        <f>"9726D332"</f>
        <v>9726D332</v>
      </c>
      <c r="H9603" s="1" t="str">
        <f>"연촌간 72L9L8L2"</f>
        <v>연촌간 72L9L8L2</v>
      </c>
      <c r="I9603" s="1" t="s">
        <v>17</v>
      </c>
      <c r="J9603" s="1" t="str">
        <f>"12/12"</f>
        <v>12/12</v>
      </c>
      <c r="K9603" s="1" t="str">
        <f>"2026-07-29 13:18:13"</f>
        <v>2026-07-29 13:18:13</v>
      </c>
      <c r="L9603" s="1" t="str">
        <f>"2021-08-11 09:20:42"</f>
        <v>2021-08-11 09:20:42</v>
      </c>
      <c r="M9603" s="1" t="s">
        <v>3</v>
      </c>
      <c r="N9603" s="1" t="s">
        <v>38</v>
      </c>
      <c r="O9603" s="1" t="s">
        <v>46</v>
      </c>
    </row>
    <row r="9604" spans="2:15" x14ac:dyDescent="0.3">
      <c r="B9604" s="1" t="s">
        <v>21</v>
      </c>
      <c r="C9604" s="1" t="str">
        <f t="shared" si="484"/>
        <v>4차</v>
      </c>
      <c r="D9604" s="1" t="str">
        <f>"9726D34141"</f>
        <v>9726D34141</v>
      </c>
      <c r="E9604" s="1" t="s">
        <v>10</v>
      </c>
      <c r="F9604" s="1" t="str">
        <f>"10.12.136.164"</f>
        <v>10.12.136.164</v>
      </c>
      <c r="G9604" s="1" t="str">
        <f>"9726D341"</f>
        <v>9726D341</v>
      </c>
      <c r="H9604" s="1" t="str">
        <f>"연촌간 72L9L7"</f>
        <v>연촌간 72L9L7</v>
      </c>
      <c r="I9604" s="1" t="s">
        <v>17</v>
      </c>
      <c r="J9604" s="1" t="str">
        <f>"35/35"</f>
        <v>35/35</v>
      </c>
      <c r="K9604" s="1" t="str">
        <f>"2026-07-29 13:18:11"</f>
        <v>2026-07-29 13:18:11</v>
      </c>
      <c r="L9604" s="1" t="str">
        <f>"2021-08-11 12:57:33"</f>
        <v>2021-08-11 12:57:33</v>
      </c>
      <c r="M9604" s="1" t="s">
        <v>0</v>
      </c>
      <c r="N9604" s="1" t="s">
        <v>38</v>
      </c>
      <c r="O9604" s="1" t="s">
        <v>46</v>
      </c>
    </row>
    <row r="9605" spans="2:15" x14ac:dyDescent="0.3">
      <c r="B9605" s="1" t="s">
        <v>21</v>
      </c>
      <c r="C9605" s="1" t="str">
        <f t="shared" si="484"/>
        <v>4차</v>
      </c>
      <c r="D9605" s="1" t="str">
        <f>"9726D36244"</f>
        <v>9726D36244</v>
      </c>
      <c r="E9605" s="1" t="s">
        <v>10</v>
      </c>
      <c r="F9605" s="1" t="str">
        <f>"10.10.69.250"</f>
        <v>10.10.69.250</v>
      </c>
      <c r="G9605" s="1" t="str">
        <f>"9726D362"</f>
        <v>9726D362</v>
      </c>
      <c r="H9605" s="1" t="str">
        <f>"연촌간 72L9L3L1"</f>
        <v>연촌간 72L9L3L1</v>
      </c>
      <c r="I9605" s="1" t="s">
        <v>8</v>
      </c>
      <c r="J9605" s="1" t="str">
        <f>"57/63"</f>
        <v>57/63</v>
      </c>
      <c r="K9605" s="1" t="str">
        <f t="shared" ref="K9605:K9612" si="485">"2026-07-29 13:18:10"</f>
        <v>2026-07-29 13:18:10</v>
      </c>
      <c r="L9605" s="1" t="str">
        <f>"2019-12-24 16:53:55"</f>
        <v>2019-12-24 16:53:55</v>
      </c>
      <c r="M9605" s="1" t="s">
        <v>1</v>
      </c>
      <c r="N9605" s="1" t="s">
        <v>38</v>
      </c>
      <c r="O9605" s="1" t="s">
        <v>46</v>
      </c>
    </row>
    <row r="9606" spans="2:15" x14ac:dyDescent="0.3">
      <c r="B9606" s="1" t="s">
        <v>21</v>
      </c>
      <c r="C9606" s="1" t="str">
        <f t="shared" si="484"/>
        <v>4차</v>
      </c>
      <c r="D9606" s="1" t="str">
        <f>"9726D40344"</f>
        <v>9726D40344</v>
      </c>
      <c r="E9606" s="1" t="s">
        <v>10</v>
      </c>
      <c r="F9606" s="1" t="str">
        <f>"10.10.67.210"</f>
        <v>10.10.67.210</v>
      </c>
      <c r="G9606" s="1" t="str">
        <f>"9726D403"</f>
        <v>9726D403</v>
      </c>
      <c r="H9606" s="1" t="str">
        <f>"연궁간 2R6L5L2"</f>
        <v>연궁간 2R6L5L2</v>
      </c>
      <c r="I9606" s="1" t="s">
        <v>8</v>
      </c>
      <c r="J9606" s="1" t="str">
        <f>"33/33"</f>
        <v>33/33</v>
      </c>
      <c r="K9606" s="1" t="str">
        <f t="shared" si="485"/>
        <v>2026-07-29 13:18:10</v>
      </c>
      <c r="L9606" s="1" t="str">
        <f>"2019-11-07 17:03:05"</f>
        <v>2019-11-07 17:03:05</v>
      </c>
      <c r="M9606" s="1" t="s">
        <v>1</v>
      </c>
      <c r="N9606" s="1" t="s">
        <v>38</v>
      </c>
      <c r="O9606" s="1" t="s">
        <v>46</v>
      </c>
    </row>
    <row r="9607" spans="2:15" x14ac:dyDescent="0.3">
      <c r="B9607" s="1" t="s">
        <v>21</v>
      </c>
      <c r="C9607" s="1" t="str">
        <f t="shared" si="484"/>
        <v>4차</v>
      </c>
      <c r="D9607" s="1" t="str">
        <f>"9726D42244"</f>
        <v>9726D42244</v>
      </c>
      <c r="E9607" s="1" t="s">
        <v>10</v>
      </c>
      <c r="F9607" s="1" t="str">
        <f>"10.10.67.218"</f>
        <v>10.10.67.218</v>
      </c>
      <c r="G9607" s="1" t="str">
        <f>"9726D422"</f>
        <v>9726D422</v>
      </c>
      <c r="H9607" s="1" t="str">
        <f>"연궁간 2R6L8"</f>
        <v>연궁간 2R6L8</v>
      </c>
      <c r="I9607" s="1" t="s">
        <v>8</v>
      </c>
      <c r="J9607" s="1" t="str">
        <f>"18/18"</f>
        <v>18/18</v>
      </c>
      <c r="K9607" s="1" t="str">
        <f t="shared" si="485"/>
        <v>2026-07-29 13:18:10</v>
      </c>
      <c r="L9607" s="1" t="str">
        <f>"2019-11-07 16:03:04"</f>
        <v>2019-11-07 16:03:04</v>
      </c>
      <c r="M9607" s="1" t="s">
        <v>1</v>
      </c>
      <c r="N9607" s="1" t="s">
        <v>38</v>
      </c>
      <c r="O9607" s="1" t="s">
        <v>46</v>
      </c>
    </row>
    <row r="9608" spans="2:15" x14ac:dyDescent="0.3">
      <c r="B9608" s="1" t="s">
        <v>21</v>
      </c>
      <c r="C9608" s="1" t="str">
        <f t="shared" si="484"/>
        <v>4차</v>
      </c>
      <c r="D9608" s="1" t="str">
        <f>"9726D51539"</f>
        <v>9726D51539</v>
      </c>
      <c r="E9608" s="1" t="s">
        <v>10</v>
      </c>
      <c r="F9608" s="1" t="str">
        <f>"10.11.101.50"</f>
        <v>10.11.101.50</v>
      </c>
      <c r="G9608" s="1" t="str">
        <f>"9726D515"</f>
        <v>9726D515</v>
      </c>
      <c r="H9608" s="1" t="str">
        <f>"연궁간 2R6L6"</f>
        <v>연궁간 2R6L6</v>
      </c>
      <c r="I9608" s="1" t="s">
        <v>8</v>
      </c>
      <c r="J9608" s="1" t="str">
        <f>"14/18"</f>
        <v>14/18</v>
      </c>
      <c r="K9608" s="1" t="str">
        <f t="shared" si="485"/>
        <v>2026-07-29 13:18:10</v>
      </c>
      <c r="L9608" s="1" t="str">
        <f>"2018-04-25 08:25:10"</f>
        <v>2018-04-25 08:25:10</v>
      </c>
      <c r="M9608" s="1" t="s">
        <v>2</v>
      </c>
      <c r="N9608" s="1" t="s">
        <v>38</v>
      </c>
      <c r="O9608" s="1" t="s">
        <v>46</v>
      </c>
    </row>
    <row r="9609" spans="2:15" x14ac:dyDescent="0.3">
      <c r="B9609" s="1" t="s">
        <v>21</v>
      </c>
      <c r="C9609" s="1" t="str">
        <f t="shared" si="484"/>
        <v>4차</v>
      </c>
      <c r="D9609" s="1" t="str">
        <f>"9726D53144"</f>
        <v>9726D53144</v>
      </c>
      <c r="E9609" s="1" t="s">
        <v>10</v>
      </c>
      <c r="F9609" s="1" t="str">
        <f>"10.10.67.186"</f>
        <v>10.10.67.186</v>
      </c>
      <c r="G9609" s="1" t="str">
        <f>"9726D531"</f>
        <v>9726D531</v>
      </c>
      <c r="H9609" s="1" t="str">
        <f>"연궁간 2R18R3"</f>
        <v>연궁간 2R18R3</v>
      </c>
      <c r="I9609" s="1" t="s">
        <v>8</v>
      </c>
      <c r="J9609" s="1" t="str">
        <f>"48/49"</f>
        <v>48/49</v>
      </c>
      <c r="K9609" s="1" t="str">
        <f t="shared" si="485"/>
        <v>2026-07-29 13:18:10</v>
      </c>
      <c r="L9609" s="1" t="str">
        <f>"2019-11-07 13:13:04"</f>
        <v>2019-11-07 13:13:04</v>
      </c>
      <c r="M9609" s="1" t="s">
        <v>1</v>
      </c>
      <c r="N9609" s="1" t="s">
        <v>38</v>
      </c>
      <c r="O9609" s="1" t="s">
        <v>46</v>
      </c>
    </row>
    <row r="9610" spans="2:15" x14ac:dyDescent="0.3">
      <c r="B9610" s="1" t="s">
        <v>21</v>
      </c>
      <c r="C9610" s="1" t="str">
        <f t="shared" si="484"/>
        <v>4차</v>
      </c>
      <c r="D9610" s="1" t="str">
        <f>"9726D53444"</f>
        <v>9726D53444</v>
      </c>
      <c r="E9610" s="1" t="s">
        <v>10</v>
      </c>
      <c r="F9610" s="1" t="str">
        <f>"10.10.112.66"</f>
        <v>10.10.112.66</v>
      </c>
      <c r="G9610" s="1" t="str">
        <f>"9726D534"</f>
        <v>9726D534</v>
      </c>
      <c r="H9610" s="1" t="str">
        <f>"연궁간 2R18R2"</f>
        <v>연궁간 2R18R2</v>
      </c>
      <c r="I9610" s="1" t="s">
        <v>8</v>
      </c>
      <c r="J9610" s="1" t="str">
        <f>"24/24"</f>
        <v>24/24</v>
      </c>
      <c r="K9610" s="1" t="str">
        <f t="shared" si="485"/>
        <v>2026-07-29 13:18:10</v>
      </c>
      <c r="L9610" s="1" t="str">
        <f>"2019-11-07 13:02:58"</f>
        <v>2019-11-07 13:02:58</v>
      </c>
      <c r="M9610" s="1" t="s">
        <v>1</v>
      </c>
      <c r="N9610" s="1" t="s">
        <v>38</v>
      </c>
      <c r="O9610" s="1" t="s">
        <v>46</v>
      </c>
    </row>
    <row r="9611" spans="2:15" x14ac:dyDescent="0.3">
      <c r="B9611" s="1" t="s">
        <v>21</v>
      </c>
      <c r="C9611" s="1" t="str">
        <f t="shared" si="484"/>
        <v>4차</v>
      </c>
      <c r="D9611" s="1" t="str">
        <f>"9726D56144"</f>
        <v>9726D56144</v>
      </c>
      <c r="E9611" s="1" t="s">
        <v>10</v>
      </c>
      <c r="F9611" s="1" t="str">
        <f>"10.10.112.98"</f>
        <v>10.10.112.98</v>
      </c>
      <c r="G9611" s="1" t="str">
        <f>"9726D561"</f>
        <v>9726D561</v>
      </c>
      <c r="H9611" s="1" t="str">
        <f>"연궁간 2R18R7L1"</f>
        <v>연궁간 2R18R7L1</v>
      </c>
      <c r="I9611" s="1" t="s">
        <v>8</v>
      </c>
      <c r="J9611" s="1" t="str">
        <f>"6/6"</f>
        <v>6/6</v>
      </c>
      <c r="K9611" s="1" t="str">
        <f t="shared" si="485"/>
        <v>2026-07-29 13:18:10</v>
      </c>
      <c r="L9611" s="1" t="str">
        <f>"2020-01-10 17:22:52"</f>
        <v>2020-01-10 17:22:52</v>
      </c>
      <c r="M9611" s="1" t="s">
        <v>1</v>
      </c>
      <c r="N9611" s="1" t="s">
        <v>38</v>
      </c>
      <c r="O9611" s="1" t="s">
        <v>46</v>
      </c>
    </row>
    <row r="9612" spans="2:15" x14ac:dyDescent="0.3">
      <c r="B9612" s="1" t="s">
        <v>21</v>
      </c>
      <c r="C9612" s="1" t="str">
        <f t="shared" si="484"/>
        <v>4차</v>
      </c>
      <c r="D9612" s="1" t="str">
        <f>"9726D60144"</f>
        <v>9726D60144</v>
      </c>
      <c r="E9612" s="1" t="s">
        <v>10</v>
      </c>
      <c r="F9612" s="1" t="str">
        <f>"10.10.135.242"</f>
        <v>10.10.135.242</v>
      </c>
      <c r="G9612" s="1" t="str">
        <f>"9726D601"</f>
        <v>9726D601</v>
      </c>
      <c r="H9612" s="1" t="str">
        <f>"연궁간 2R13"</f>
        <v>연궁간 2R13</v>
      </c>
      <c r="I9612" s="1" t="s">
        <v>8</v>
      </c>
      <c r="J9612" s="1" t="str">
        <f>"11/11"</f>
        <v>11/11</v>
      </c>
      <c r="K9612" s="1" t="str">
        <f t="shared" si="485"/>
        <v>2026-07-29 13:18:10</v>
      </c>
      <c r="L9612" s="1" t="str">
        <f>"2019-11-12 13:41:18"</f>
        <v>2019-11-12 13:41:18</v>
      </c>
      <c r="M9612" s="1" t="s">
        <v>1</v>
      </c>
      <c r="N9612" s="1" t="s">
        <v>38</v>
      </c>
      <c r="O9612" s="1" t="s">
        <v>46</v>
      </c>
    </row>
    <row r="9613" spans="2:15" x14ac:dyDescent="0.3">
      <c r="B9613" s="1" t="s">
        <v>21</v>
      </c>
      <c r="C9613" s="1" t="str">
        <f t="shared" si="484"/>
        <v>4차</v>
      </c>
      <c r="D9613" s="1" t="str">
        <f>"9726D65241"</f>
        <v>9726D65241</v>
      </c>
      <c r="E9613" s="1" t="s">
        <v>10</v>
      </c>
      <c r="F9613" s="1" t="str">
        <f>"10.14.7.182"</f>
        <v>10.14.7.182</v>
      </c>
      <c r="G9613" s="1" t="str">
        <f>"9726D652"</f>
        <v>9726D652</v>
      </c>
      <c r="H9613" s="1" t="str">
        <f>"연궁간 2R18R7"</f>
        <v>연궁간 2R18R7</v>
      </c>
      <c r="I9613" s="1" t="s">
        <v>17</v>
      </c>
      <c r="J9613" s="1" t="str">
        <f>"13/13"</f>
        <v>13/13</v>
      </c>
      <c r="K9613" s="1" t="str">
        <f>"2026-07-29 13:18:12"</f>
        <v>2026-07-29 13:18:12</v>
      </c>
      <c r="L9613" s="1" t="str">
        <f>"2021-08-12 16:04:06"</f>
        <v>2021-08-12 16:04:06</v>
      </c>
      <c r="M9613" s="1" t="s">
        <v>3</v>
      </c>
      <c r="N9613" s="1" t="s">
        <v>38</v>
      </c>
      <c r="O9613" s="1" t="s">
        <v>46</v>
      </c>
    </row>
    <row r="9614" spans="2:15" x14ac:dyDescent="0.3">
      <c r="B9614" s="1" t="s">
        <v>21</v>
      </c>
      <c r="C9614" s="1" t="str">
        <f t="shared" si="484"/>
        <v>4차</v>
      </c>
      <c r="D9614" s="1" t="str">
        <f>"9726E01144"</f>
        <v>9726E01144</v>
      </c>
      <c r="E9614" s="1" t="s">
        <v>10</v>
      </c>
      <c r="F9614" s="1" t="str">
        <f>"10.10.68.130"</f>
        <v>10.10.68.130</v>
      </c>
      <c r="G9614" s="1" t="str">
        <f>"9726E011"</f>
        <v>9726E011</v>
      </c>
      <c r="H9614" s="1" t="str">
        <f>"연촌간 46L6"</f>
        <v>연촌간 46L6</v>
      </c>
      <c r="I9614" s="1" t="s">
        <v>8</v>
      </c>
      <c r="J9614" s="1" t="str">
        <f>"35/39"</f>
        <v>35/39</v>
      </c>
      <c r="K9614" s="1" t="str">
        <f>"2026-07-29 13:18:10"</f>
        <v>2026-07-29 13:18:10</v>
      </c>
      <c r="L9614" s="1" t="str">
        <f>"2019-12-17 16:11:12"</f>
        <v>2019-12-17 16:11:12</v>
      </c>
      <c r="M9614" s="1" t="s">
        <v>1</v>
      </c>
      <c r="N9614" s="1" t="s">
        <v>38</v>
      </c>
      <c r="O9614" s="1" t="s">
        <v>46</v>
      </c>
    </row>
    <row r="9615" spans="2:15" x14ac:dyDescent="0.3">
      <c r="B9615" s="1" t="s">
        <v>21</v>
      </c>
      <c r="C9615" s="1" t="str">
        <f t="shared" si="484"/>
        <v>4차</v>
      </c>
      <c r="D9615" s="1" t="str">
        <f>"9726E02144"</f>
        <v>9726E02144</v>
      </c>
      <c r="E9615" s="1" t="s">
        <v>10</v>
      </c>
      <c r="F9615" s="1" t="str">
        <f>"10.10.68.74"</f>
        <v>10.10.68.74</v>
      </c>
      <c r="G9615" s="1" t="str">
        <f>"9726E021"</f>
        <v>9726E021</v>
      </c>
      <c r="H9615" s="1" t="str">
        <f>"연촌간 46L5"</f>
        <v>연촌간 46L5</v>
      </c>
      <c r="I9615" s="1" t="s">
        <v>8</v>
      </c>
      <c r="J9615" s="1" t="str">
        <f>"34/34"</f>
        <v>34/34</v>
      </c>
      <c r="K9615" s="1" t="str">
        <f>"2026-07-29 13:18:10"</f>
        <v>2026-07-29 13:18:10</v>
      </c>
      <c r="L9615" s="1" t="str">
        <f>"2019-12-17 16:10:50"</f>
        <v>2019-12-17 16:10:50</v>
      </c>
      <c r="M9615" s="1" t="s">
        <v>1</v>
      </c>
      <c r="N9615" s="1" t="s">
        <v>38</v>
      </c>
      <c r="O9615" s="1" t="s">
        <v>46</v>
      </c>
    </row>
    <row r="9616" spans="2:15" x14ac:dyDescent="0.3">
      <c r="B9616" s="1" t="s">
        <v>21</v>
      </c>
      <c r="C9616" s="1" t="str">
        <f t="shared" si="484"/>
        <v>4차</v>
      </c>
      <c r="D9616" s="1" t="str">
        <f>"9726E03144"</f>
        <v>9726E03144</v>
      </c>
      <c r="E9616" s="1" t="s">
        <v>10</v>
      </c>
      <c r="F9616" s="1" t="str">
        <f>"10.10.112.106"</f>
        <v>10.10.112.106</v>
      </c>
      <c r="G9616" s="1" t="str">
        <f>"9726E031"</f>
        <v>9726E031</v>
      </c>
      <c r="H9616" s="1" t="str">
        <f>"연촌간 72L4L25"</f>
        <v>연촌간 72L4L25</v>
      </c>
      <c r="I9616" s="1" t="s">
        <v>8</v>
      </c>
      <c r="J9616" s="1" t="str">
        <f>"28/28"</f>
        <v>28/28</v>
      </c>
      <c r="K9616" s="1" t="str">
        <f>"2026-07-29 13:18:10"</f>
        <v>2026-07-29 13:18:10</v>
      </c>
      <c r="L9616" s="1" t="str">
        <f>"2019-12-24 16:56:45"</f>
        <v>2019-12-24 16:56:45</v>
      </c>
      <c r="M9616" s="1" t="s">
        <v>1</v>
      </c>
      <c r="N9616" s="1" t="s">
        <v>38</v>
      </c>
      <c r="O9616" s="1" t="s">
        <v>46</v>
      </c>
    </row>
    <row r="9617" spans="2:15" x14ac:dyDescent="0.3">
      <c r="B9617" s="1" t="s">
        <v>21</v>
      </c>
      <c r="C9617" s="1" t="str">
        <f t="shared" si="484"/>
        <v>4차</v>
      </c>
      <c r="D9617" s="1" t="str">
        <f>"9726E06139"</f>
        <v>9726E06139</v>
      </c>
      <c r="E9617" s="1" t="s">
        <v>10</v>
      </c>
      <c r="F9617" s="1" t="str">
        <f>"10.128.99.34"</f>
        <v>10.128.99.34</v>
      </c>
      <c r="G9617" s="1" t="str">
        <f>"9726E061"</f>
        <v>9726E061</v>
      </c>
      <c r="H9617" s="1" t="str">
        <f>"연촌간 54R1"</f>
        <v>연촌간 54R1</v>
      </c>
      <c r="I9617" s="1" t="s">
        <v>8</v>
      </c>
      <c r="J9617" s="1" t="str">
        <f>"45/45"</f>
        <v>45/45</v>
      </c>
      <c r="K9617" s="1" t="str">
        <f>"2026-07-29 13:18:10"</f>
        <v>2026-07-29 13:18:10</v>
      </c>
      <c r="L9617" s="1" t="str">
        <f>"2018-10-02 13:31:26"</f>
        <v>2018-10-02 13:31:26</v>
      </c>
      <c r="M9617" s="1" t="s">
        <v>45</v>
      </c>
      <c r="N9617" s="1" t="s">
        <v>38</v>
      </c>
      <c r="O9617" s="1" t="s">
        <v>46</v>
      </c>
    </row>
    <row r="9618" spans="2:15" x14ac:dyDescent="0.3">
      <c r="B9618" s="1" t="s">
        <v>21</v>
      </c>
      <c r="C9618" s="1" t="str">
        <f t="shared" si="484"/>
        <v>4차</v>
      </c>
      <c r="D9618" s="1" t="str">
        <f>"9726E07144"</f>
        <v>9726E07144</v>
      </c>
      <c r="E9618" s="1" t="s">
        <v>10</v>
      </c>
      <c r="F9618" s="1" t="str">
        <f>"10.10.68.250"</f>
        <v>10.10.68.250</v>
      </c>
      <c r="G9618" s="1" t="str">
        <f>"9726E071"</f>
        <v>9726E071</v>
      </c>
      <c r="H9618" s="1" t="str">
        <f>"연촌간 54R4"</f>
        <v>연촌간 54R4</v>
      </c>
      <c r="I9618" s="1" t="s">
        <v>8</v>
      </c>
      <c r="J9618" s="1" t="str">
        <f>"28/28"</f>
        <v>28/28</v>
      </c>
      <c r="K9618" s="1" t="str">
        <f>"2026-07-29 13:18:10"</f>
        <v>2026-07-29 13:18:10</v>
      </c>
      <c r="L9618" s="1" t="str">
        <f>"2019-11-07 14:33:03"</f>
        <v>2019-11-07 14:33:03</v>
      </c>
      <c r="M9618" s="1" t="s">
        <v>1</v>
      </c>
      <c r="N9618" s="1" t="s">
        <v>38</v>
      </c>
      <c r="O9618" s="1" t="s">
        <v>46</v>
      </c>
    </row>
    <row r="9619" spans="2:15" x14ac:dyDescent="0.3">
      <c r="B9619" s="1" t="s">
        <v>21</v>
      </c>
      <c r="C9619" s="1" t="str">
        <f>"3차"</f>
        <v>3차</v>
      </c>
      <c r="D9619" s="1" t="str">
        <f>"9726E14239"</f>
        <v>9726E14239</v>
      </c>
      <c r="E9619" s="1" t="s">
        <v>10</v>
      </c>
      <c r="F9619" s="1" t="str">
        <f>"10.12.136.34"</f>
        <v>10.12.136.34</v>
      </c>
      <c r="G9619" s="1" t="str">
        <f>"9726E142"</f>
        <v>9726E142</v>
      </c>
      <c r="H9619" s="1" t="str">
        <f>"연촌간 52L1"</f>
        <v>연촌간 52L1</v>
      </c>
      <c r="I9619" s="1" t="s">
        <v>8</v>
      </c>
      <c r="J9619" s="1" t="str">
        <f>"19/19"</f>
        <v>19/19</v>
      </c>
      <c r="K9619" s="1" t="str">
        <f>"2026-07-29 13:18:12"</f>
        <v>2026-07-29 13:18:12</v>
      </c>
      <c r="L9619" s="1" t="str">
        <f>"2018-04-25 11:21:56"</f>
        <v>2018-04-25 11:21:56</v>
      </c>
      <c r="M9619" s="1" t="s">
        <v>0</v>
      </c>
      <c r="N9619" s="1" t="s">
        <v>38</v>
      </c>
      <c r="O9619" s="1" t="s">
        <v>46</v>
      </c>
    </row>
    <row r="9620" spans="2:15" x14ac:dyDescent="0.3">
      <c r="B9620" s="1" t="s">
        <v>21</v>
      </c>
      <c r="C9620" s="1" t="str">
        <f t="shared" ref="C9620:C9628" si="486">"4차"</f>
        <v>4차</v>
      </c>
      <c r="D9620" s="1" t="str">
        <f>"9726E14444"</f>
        <v>9726E14444</v>
      </c>
      <c r="E9620" s="1" t="s">
        <v>10</v>
      </c>
      <c r="F9620" s="1" t="str">
        <f>"10.10.68.162"</f>
        <v>10.10.68.162</v>
      </c>
      <c r="G9620" s="1" t="str">
        <f>"9726E144"</f>
        <v>9726E144</v>
      </c>
      <c r="H9620" s="1" t="str">
        <f>"연촌간 52L2"</f>
        <v>연촌간 52L2</v>
      </c>
      <c r="I9620" s="1" t="s">
        <v>8</v>
      </c>
      <c r="J9620" s="1" t="str">
        <f>"64/64"</f>
        <v>64/64</v>
      </c>
      <c r="K9620" s="1" t="str">
        <f>"2026-07-29 13:18:12"</f>
        <v>2026-07-29 13:18:12</v>
      </c>
      <c r="L9620" s="1" t="str">
        <f>"2020-02-10 18:30:38"</f>
        <v>2020-02-10 18:30:38</v>
      </c>
      <c r="M9620" s="1" t="s">
        <v>1</v>
      </c>
      <c r="N9620" s="1" t="s">
        <v>38</v>
      </c>
      <c r="O9620" s="1" t="s">
        <v>46</v>
      </c>
    </row>
    <row r="9621" spans="2:15" x14ac:dyDescent="0.3">
      <c r="B9621" s="1" t="s">
        <v>21</v>
      </c>
      <c r="C9621" s="1" t="str">
        <f t="shared" si="486"/>
        <v>4차</v>
      </c>
      <c r="D9621" s="1" t="str">
        <f>"9726E15244"</f>
        <v>9726E15244</v>
      </c>
      <c r="E9621" s="1" t="s">
        <v>10</v>
      </c>
      <c r="F9621" s="1" t="str">
        <f>"10.10.68.170"</f>
        <v>10.10.68.170</v>
      </c>
      <c r="G9621" s="1" t="str">
        <f>"9726E152"</f>
        <v>9726E152</v>
      </c>
      <c r="H9621" s="1" t="str">
        <f>"연촌간 53"</f>
        <v>연촌간 53</v>
      </c>
      <c r="I9621" s="1" t="s">
        <v>8</v>
      </c>
      <c r="J9621" s="1" t="str">
        <f>"8/8"</f>
        <v>8/8</v>
      </c>
      <c r="K9621" s="1" t="str">
        <f>"2026-07-29 13:18:12"</f>
        <v>2026-07-29 13:18:12</v>
      </c>
      <c r="L9621" s="1" t="str">
        <f>"2022-05-26 12:30:54"</f>
        <v>2022-05-26 12:30:54</v>
      </c>
      <c r="M9621" s="1" t="s">
        <v>1</v>
      </c>
      <c r="N9621" s="1" t="s">
        <v>38</v>
      </c>
      <c r="O9621" s="1" t="s">
        <v>46</v>
      </c>
    </row>
    <row r="9622" spans="2:15" x14ac:dyDescent="0.3">
      <c r="B9622" s="1" t="s">
        <v>21</v>
      </c>
      <c r="C9622" s="1" t="str">
        <f t="shared" si="486"/>
        <v>4차</v>
      </c>
      <c r="D9622" s="1" t="str">
        <f>"9726E16244"</f>
        <v>9726E16244</v>
      </c>
      <c r="E9622" s="1" t="s">
        <v>10</v>
      </c>
      <c r="F9622" s="1" t="str">
        <f>"10.10.68.234"</f>
        <v>10.10.68.234</v>
      </c>
      <c r="G9622" s="1" t="str">
        <f>"9726E162"</f>
        <v>9726E162</v>
      </c>
      <c r="H9622" s="1" t="str">
        <f>"연촌간 54R2"</f>
        <v>연촌간 54R2</v>
      </c>
      <c r="I9622" s="1" t="s">
        <v>8</v>
      </c>
      <c r="J9622" s="1" t="str">
        <f>"25/25"</f>
        <v>25/25</v>
      </c>
      <c r="K9622" s="1" t="str">
        <f>"2026-07-29 13:18:12"</f>
        <v>2026-07-29 13:18:12</v>
      </c>
      <c r="L9622" s="1" t="str">
        <f>"2019-11-07 15:03:04"</f>
        <v>2019-11-07 15:03:04</v>
      </c>
      <c r="M9622" s="1" t="s">
        <v>1</v>
      </c>
      <c r="N9622" s="1" t="s">
        <v>38</v>
      </c>
      <c r="O9622" s="1" t="s">
        <v>46</v>
      </c>
    </row>
    <row r="9623" spans="2:15" x14ac:dyDescent="0.3">
      <c r="B9623" s="1" t="s">
        <v>21</v>
      </c>
      <c r="C9623" s="1" t="str">
        <f t="shared" si="486"/>
        <v>4차</v>
      </c>
      <c r="D9623" s="1" t="str">
        <f>"9726E17144"</f>
        <v>9726E17144</v>
      </c>
      <c r="E9623" s="1" t="s">
        <v>10</v>
      </c>
      <c r="F9623" s="1" t="str">
        <f>"10.10.68.242"</f>
        <v>10.10.68.242</v>
      </c>
      <c r="G9623" s="1" t="str">
        <f>"9726E171"</f>
        <v>9726E171</v>
      </c>
      <c r="H9623" s="1" t="str">
        <f>"연촌간 54R3"</f>
        <v>연촌간 54R3</v>
      </c>
      <c r="I9623" s="1" t="s">
        <v>8</v>
      </c>
      <c r="J9623" s="1" t="str">
        <f>"32/32"</f>
        <v>32/32</v>
      </c>
      <c r="K9623" s="1" t="str">
        <f>"2026-07-29 13:18:10"</f>
        <v>2026-07-29 13:18:10</v>
      </c>
      <c r="L9623" s="1" t="str">
        <f>"2019-11-07 16:33:04"</f>
        <v>2019-11-07 16:33:04</v>
      </c>
      <c r="M9623" s="1" t="s">
        <v>1</v>
      </c>
      <c r="N9623" s="1" t="s">
        <v>38</v>
      </c>
      <c r="O9623" s="1" t="s">
        <v>46</v>
      </c>
    </row>
    <row r="9624" spans="2:15" x14ac:dyDescent="0.3">
      <c r="B9624" s="1" t="s">
        <v>21</v>
      </c>
      <c r="C9624" s="1" t="str">
        <f t="shared" si="486"/>
        <v>4차</v>
      </c>
      <c r="D9624" s="1" t="str">
        <f>"9726E18144"</f>
        <v>9726E18144</v>
      </c>
      <c r="E9624" s="1" t="s">
        <v>10</v>
      </c>
      <c r="F9624" s="1" t="str">
        <f>"10.10.69.2"</f>
        <v>10.10.69.2</v>
      </c>
      <c r="G9624" s="1" t="str">
        <f>"9726E181"</f>
        <v>9726E181</v>
      </c>
      <c r="H9624" s="1" t="str">
        <f>"연촌간 54R5"</f>
        <v>연촌간 54R5</v>
      </c>
      <c r="I9624" s="1" t="s">
        <v>8</v>
      </c>
      <c r="J9624" s="1" t="str">
        <f>"34/34"</f>
        <v>34/34</v>
      </c>
      <c r="K9624" s="1" t="str">
        <f>"2026-07-29 13:18:12"</f>
        <v>2026-07-29 13:18:12</v>
      </c>
      <c r="L9624" s="1" t="str">
        <f>"2019-12-11 18:24:51"</f>
        <v>2019-12-11 18:24:51</v>
      </c>
      <c r="M9624" s="1" t="s">
        <v>1</v>
      </c>
      <c r="N9624" s="1" t="s">
        <v>38</v>
      </c>
      <c r="O9624" s="1" t="s">
        <v>46</v>
      </c>
    </row>
    <row r="9625" spans="2:15" x14ac:dyDescent="0.3">
      <c r="B9625" s="1" t="s">
        <v>21</v>
      </c>
      <c r="C9625" s="1" t="str">
        <f t="shared" si="486"/>
        <v>4차</v>
      </c>
      <c r="D9625" s="1" t="str">
        <f>"9726E22144"</f>
        <v>9726E22144</v>
      </c>
      <c r="E9625" s="1" t="s">
        <v>10</v>
      </c>
      <c r="F9625" s="1" t="str">
        <f>"10.10.68.58"</f>
        <v>10.10.68.58</v>
      </c>
      <c r="G9625" s="1" t="str">
        <f>"9726E221"</f>
        <v>9726E221</v>
      </c>
      <c r="H9625" s="1" t="str">
        <f>"연촌간 46L2"</f>
        <v>연촌간 46L2</v>
      </c>
      <c r="I9625" s="1" t="s">
        <v>8</v>
      </c>
      <c r="J9625" s="1" t="str">
        <f>"39/39"</f>
        <v>39/39</v>
      </c>
      <c r="K9625" s="1" t="str">
        <f>"2026-07-29 13:18:10"</f>
        <v>2026-07-29 13:18:10</v>
      </c>
      <c r="L9625" s="1" t="str">
        <f>"2019-12-24 16:49:03"</f>
        <v>2019-12-24 16:49:03</v>
      </c>
      <c r="M9625" s="1" t="s">
        <v>1</v>
      </c>
      <c r="N9625" s="1" t="s">
        <v>38</v>
      </c>
      <c r="O9625" s="1" t="s">
        <v>46</v>
      </c>
    </row>
    <row r="9626" spans="2:15" x14ac:dyDescent="0.3">
      <c r="B9626" s="1" t="s">
        <v>21</v>
      </c>
      <c r="C9626" s="1" t="str">
        <f t="shared" si="486"/>
        <v>4차</v>
      </c>
      <c r="D9626" s="1" t="str">
        <f>"9726E22244"</f>
        <v>9726E22244</v>
      </c>
      <c r="E9626" s="1" t="s">
        <v>10</v>
      </c>
      <c r="F9626" s="1" t="str">
        <f>"10.10.68.66"</f>
        <v>10.10.68.66</v>
      </c>
      <c r="G9626" s="1" t="str">
        <f>"9726E222"</f>
        <v>9726E222</v>
      </c>
      <c r="H9626" s="1" t="str">
        <f>"연촌간 46L3"</f>
        <v>연촌간 46L3</v>
      </c>
      <c r="I9626" s="1" t="s">
        <v>8</v>
      </c>
      <c r="J9626" s="1" t="str">
        <f>"31/31"</f>
        <v>31/31</v>
      </c>
      <c r="K9626" s="1" t="str">
        <f>"2026-07-29 13:18:10"</f>
        <v>2026-07-29 13:18:10</v>
      </c>
      <c r="L9626" s="1" t="str">
        <f>"2019-11-07 18:23:03"</f>
        <v>2019-11-07 18:23:03</v>
      </c>
      <c r="M9626" s="1" t="s">
        <v>1</v>
      </c>
      <c r="N9626" s="1" t="s">
        <v>38</v>
      </c>
      <c r="O9626" s="1" t="s">
        <v>46</v>
      </c>
    </row>
    <row r="9627" spans="2:15" x14ac:dyDescent="0.3">
      <c r="B9627" s="1" t="s">
        <v>21</v>
      </c>
      <c r="C9627" s="1" t="str">
        <f t="shared" si="486"/>
        <v>4차</v>
      </c>
      <c r="D9627" s="1" t="str">
        <f>"9726E24144"</f>
        <v>9726E24144</v>
      </c>
      <c r="E9627" s="1" t="s">
        <v>10</v>
      </c>
      <c r="F9627" s="1" t="str">
        <f>"10.10.68.154"</f>
        <v>10.10.68.154</v>
      </c>
      <c r="G9627" s="1" t="str">
        <f>"9726E241"</f>
        <v>9726E241</v>
      </c>
      <c r="H9627" s="1" t="str">
        <f>"연촌간 50"</f>
        <v>연촌간 50</v>
      </c>
      <c r="I9627" s="1" t="s">
        <v>8</v>
      </c>
      <c r="J9627" s="1" t="str">
        <f>"54/54"</f>
        <v>54/54</v>
      </c>
      <c r="K9627" s="1" t="str">
        <f>"2026-07-29 13:18:10"</f>
        <v>2026-07-29 13:18:10</v>
      </c>
      <c r="L9627" s="1" t="str">
        <f>"2019-12-24 16:49:14"</f>
        <v>2019-12-24 16:49:14</v>
      </c>
      <c r="M9627" s="1" t="s">
        <v>1</v>
      </c>
      <c r="N9627" s="1" t="s">
        <v>38</v>
      </c>
      <c r="O9627" s="1" t="s">
        <v>46</v>
      </c>
    </row>
    <row r="9628" spans="2:15" x14ac:dyDescent="0.3">
      <c r="B9628" s="1" t="s">
        <v>21</v>
      </c>
      <c r="C9628" s="1" t="str">
        <f t="shared" si="486"/>
        <v>4차</v>
      </c>
      <c r="D9628" s="1" t="str">
        <f>"9726E27144"</f>
        <v>9726E27144</v>
      </c>
      <c r="E9628" s="1" t="s">
        <v>10</v>
      </c>
      <c r="F9628" s="1" t="str">
        <f>"10.10.111.210"</f>
        <v>10.10.111.210</v>
      </c>
      <c r="G9628" s="1" t="str">
        <f>"9726E271"</f>
        <v>9726E271</v>
      </c>
      <c r="H9628" s="1" t="str">
        <f>"연촌간 54R3R1"</f>
        <v>연촌간 54R3R1</v>
      </c>
      <c r="I9628" s="1" t="s">
        <v>8</v>
      </c>
      <c r="J9628" s="1" t="str">
        <f>"20/20"</f>
        <v>20/20</v>
      </c>
      <c r="K9628" s="1" t="str">
        <f>"2026-07-29 13:18:10"</f>
        <v>2026-07-29 13:18:10</v>
      </c>
      <c r="L9628" s="1" t="str">
        <f>"2019-11-07 14:33:03"</f>
        <v>2019-11-07 14:33:03</v>
      </c>
      <c r="M9628" s="1" t="s">
        <v>1</v>
      </c>
      <c r="N9628" s="1" t="s">
        <v>38</v>
      </c>
      <c r="O9628" s="1" t="s">
        <v>46</v>
      </c>
    </row>
    <row r="9629" spans="2:15" x14ac:dyDescent="0.3">
      <c r="B9629" s="1" t="s">
        <v>21</v>
      </c>
      <c r="C9629" s="1" t="str">
        <f>"6차"</f>
        <v>6차</v>
      </c>
      <c r="D9629" s="1" t="str">
        <f>"9726E2736S"</f>
        <v>9726E2736S</v>
      </c>
      <c r="E9629" s="1" t="s">
        <v>10</v>
      </c>
      <c r="F9629" s="1" t="str">
        <f>"fde1:103:4:c7fd:0:0:0:2"</f>
        <v>fde1:103:4:c7fd:0:0:0:2</v>
      </c>
      <c r="G9629" s="1" t="str">
        <f>"9726E273"</f>
        <v>9726E273</v>
      </c>
      <c r="H9629" s="1" t="str">
        <f>"연촌간 54R3R2"</f>
        <v>연촌간 54R3R2</v>
      </c>
      <c r="I9629" s="1" t="s">
        <v>15</v>
      </c>
      <c r="J9629" s="1" t="str">
        <f>"50/50"</f>
        <v>50/50</v>
      </c>
      <c r="K9629" s="1" t="str">
        <f>"2026-07-29 14:21:14"</f>
        <v>2026-07-29 14:21:14</v>
      </c>
      <c r="L9629" s="1" t="str">
        <f>"2025-01-17 17:37:05"</f>
        <v>2025-01-17 17:37:05</v>
      </c>
      <c r="M9629" s="1" t="s">
        <v>4</v>
      </c>
      <c r="N9629" s="1" t="s">
        <v>38</v>
      </c>
      <c r="O9629" s="1" t="s">
        <v>46</v>
      </c>
    </row>
    <row r="9630" spans="2:15" x14ac:dyDescent="0.3">
      <c r="B9630" s="1" t="s">
        <v>21</v>
      </c>
      <c r="C9630" s="1" t="str">
        <f>"4차"</f>
        <v>4차</v>
      </c>
      <c r="D9630" s="1" t="str">
        <f>"9726E28144"</f>
        <v>9726E28144</v>
      </c>
      <c r="E9630" s="1" t="s">
        <v>10</v>
      </c>
      <c r="F9630" s="1" t="str">
        <f>"10.10.69.10"</f>
        <v>10.10.69.10</v>
      </c>
      <c r="G9630" s="1" t="str">
        <f>"9726E281"</f>
        <v>9726E281</v>
      </c>
      <c r="H9630" s="1" t="str">
        <f>"연촌간 54R6"</f>
        <v>연촌간 54R6</v>
      </c>
      <c r="I9630" s="1" t="s">
        <v>8</v>
      </c>
      <c r="J9630" s="1" t="str">
        <f>"25/25"</f>
        <v>25/25</v>
      </c>
      <c r="K9630" s="1" t="str">
        <f>"2026-07-29 13:18:10"</f>
        <v>2026-07-29 13:18:10</v>
      </c>
      <c r="L9630" s="1" t="str">
        <f>"2019-11-08 11:33:04"</f>
        <v>2019-11-08 11:33:04</v>
      </c>
      <c r="M9630" s="1" t="s">
        <v>1</v>
      </c>
      <c r="N9630" s="1" t="s">
        <v>38</v>
      </c>
      <c r="O9630" s="1" t="s">
        <v>46</v>
      </c>
    </row>
    <row r="9631" spans="2:15" x14ac:dyDescent="0.3">
      <c r="B9631" s="1" t="s">
        <v>21</v>
      </c>
      <c r="C9631" s="1" t="str">
        <f>"4차"</f>
        <v>4차</v>
      </c>
      <c r="D9631" s="1" t="str">
        <f>"9726E29144"</f>
        <v>9726E29144</v>
      </c>
      <c r="E9631" s="1" t="s">
        <v>10</v>
      </c>
      <c r="F9631" s="1" t="str">
        <f>"10.10.69.18"</f>
        <v>10.10.69.18</v>
      </c>
      <c r="G9631" s="1" t="str">
        <f>"9726E291"</f>
        <v>9726E291</v>
      </c>
      <c r="H9631" s="1" t="str">
        <f>"연촌간 54R8"</f>
        <v>연촌간 54R8</v>
      </c>
      <c r="I9631" s="1" t="s">
        <v>8</v>
      </c>
      <c r="J9631" s="1" t="str">
        <f>"35/35"</f>
        <v>35/35</v>
      </c>
      <c r="K9631" s="1" t="str">
        <f>"2026-07-29 13:18:10"</f>
        <v>2026-07-29 13:18:10</v>
      </c>
      <c r="L9631" s="1" t="str">
        <f>"2019-11-08 11:43:26"</f>
        <v>2019-11-08 11:43:26</v>
      </c>
      <c r="M9631" s="1" t="s">
        <v>1</v>
      </c>
      <c r="N9631" s="1" t="s">
        <v>38</v>
      </c>
      <c r="O9631" s="1" t="s">
        <v>46</v>
      </c>
    </row>
    <row r="9632" spans="2:15" x14ac:dyDescent="0.3">
      <c r="B9632" s="1" t="s">
        <v>21</v>
      </c>
      <c r="C9632" s="1" t="str">
        <f>"4차"</f>
        <v>4차</v>
      </c>
      <c r="D9632" s="1" t="str">
        <f>"9726E32244"</f>
        <v>9726E32244</v>
      </c>
      <c r="E9632" s="1" t="s">
        <v>10</v>
      </c>
      <c r="F9632" s="1" t="str">
        <f>"10.10.68.50"</f>
        <v>10.10.68.50</v>
      </c>
      <c r="G9632" s="1" t="str">
        <f>"9726E322"</f>
        <v>9726E322</v>
      </c>
      <c r="H9632" s="1" t="str">
        <f>"연촌간 46"</f>
        <v>연촌간 46</v>
      </c>
      <c r="I9632" s="1" t="s">
        <v>8</v>
      </c>
      <c r="J9632" s="1" t="str">
        <f>"5/13"</f>
        <v>5/13</v>
      </c>
      <c r="K9632" s="1" t="str">
        <f>"2026-07-29 13:18:10"</f>
        <v>2026-07-29 13:18:10</v>
      </c>
      <c r="L9632" s="1" t="str">
        <f>"2024-09-06 16:30:03"</f>
        <v>2024-09-06 16:30:03</v>
      </c>
      <c r="M9632" s="1" t="s">
        <v>1</v>
      </c>
      <c r="N9632" s="1" t="s">
        <v>38</v>
      </c>
      <c r="O9632" s="1" t="s">
        <v>46</v>
      </c>
    </row>
    <row r="9633" spans="2:15" x14ac:dyDescent="0.3">
      <c r="B9633" s="1" t="s">
        <v>21</v>
      </c>
      <c r="C9633" s="1" t="str">
        <f>"4차"</f>
        <v>4차</v>
      </c>
      <c r="D9633" s="1" t="str">
        <f>"9726E34244"</f>
        <v>9726E34244</v>
      </c>
      <c r="E9633" s="1" t="s">
        <v>10</v>
      </c>
      <c r="F9633" s="1" t="str">
        <f>"10.10.68.146"</f>
        <v>10.10.68.146</v>
      </c>
      <c r="G9633" s="1" t="str">
        <f>"9726E342"</f>
        <v>9726E342</v>
      </c>
      <c r="H9633" s="1" t="str">
        <f>"연촌간 49"</f>
        <v>연촌간 49</v>
      </c>
      <c r="I9633" s="1" t="s">
        <v>8</v>
      </c>
      <c r="J9633" s="1" t="str">
        <f>"22/22"</f>
        <v>22/22</v>
      </c>
      <c r="K9633" s="1" t="str">
        <f>"2026-07-29 13:18:12"</f>
        <v>2026-07-29 13:18:12</v>
      </c>
      <c r="L9633" s="1" t="str">
        <f>"2019-12-24 16:54:25"</f>
        <v>2019-12-24 16:54:25</v>
      </c>
      <c r="M9633" s="1" t="s">
        <v>1</v>
      </c>
      <c r="N9633" s="1" t="s">
        <v>38</v>
      </c>
      <c r="O9633" s="1" t="s">
        <v>46</v>
      </c>
    </row>
    <row r="9634" spans="2:15" x14ac:dyDescent="0.3">
      <c r="B9634" s="1" t="s">
        <v>21</v>
      </c>
      <c r="C9634" s="1" t="str">
        <f>"4차"</f>
        <v>4차</v>
      </c>
      <c r="D9634" s="1" t="str">
        <f>"9726E36244"</f>
        <v>9726E36244</v>
      </c>
      <c r="E9634" s="1" t="s">
        <v>10</v>
      </c>
      <c r="F9634" s="1" t="str">
        <f>"10.10.68.42"</f>
        <v>10.10.68.42</v>
      </c>
      <c r="G9634" s="1" t="str">
        <f>"9726E362"</f>
        <v>9726E362</v>
      </c>
      <c r="H9634" s="1" t="str">
        <f>"연촌간 45R5L3"</f>
        <v>연촌간 45R5L3</v>
      </c>
      <c r="I9634" s="1" t="s">
        <v>8</v>
      </c>
      <c r="J9634" s="1" t="str">
        <f>"76/76"</f>
        <v>76/76</v>
      </c>
      <c r="K9634" s="1" t="str">
        <f>"2026-07-29 13:18:10"</f>
        <v>2026-07-29 13:18:10</v>
      </c>
      <c r="L9634" s="1" t="str">
        <f>"2019-12-11 18:25:10"</f>
        <v>2019-12-11 18:25:10</v>
      </c>
      <c r="M9634" s="1" t="s">
        <v>1</v>
      </c>
      <c r="N9634" s="1" t="s">
        <v>38</v>
      </c>
      <c r="O9634" s="1" t="s">
        <v>46</v>
      </c>
    </row>
    <row r="9635" spans="2:15" x14ac:dyDescent="0.3">
      <c r="B9635" s="1" t="s">
        <v>21</v>
      </c>
      <c r="C9635" s="1" t="str">
        <f>"1차"</f>
        <v>1차</v>
      </c>
      <c r="D9635" s="1" t="str">
        <f>"9726E37400"</f>
        <v>9726E37400</v>
      </c>
      <c r="E9635" s="1" t="s">
        <v>10</v>
      </c>
      <c r="F9635" s="1" t="str">
        <f>"10.128.99.226"</f>
        <v>10.128.99.226</v>
      </c>
      <c r="G9635" s="1" t="str">
        <f>"9726E374"</f>
        <v>9726E374</v>
      </c>
      <c r="H9635" s="1" t="str">
        <f>"연촌간 45R5L3R1"</f>
        <v>연촌간 45R5L3R1</v>
      </c>
      <c r="I9635" s="1" t="s">
        <v>8</v>
      </c>
      <c r="J9635" s="1" t="str">
        <f>"48/48"</f>
        <v>48/48</v>
      </c>
      <c r="K9635" s="1" t="str">
        <f>"2026-07-29 13:18:10"</f>
        <v>2026-07-29 13:18:10</v>
      </c>
      <c r="L9635" s="1" t="str">
        <f>"2014-12-12 13:43:22"</f>
        <v>2014-12-12 13:43:22</v>
      </c>
      <c r="M9635" s="1" t="s">
        <v>45</v>
      </c>
      <c r="N9635" s="1" t="s">
        <v>38</v>
      </c>
      <c r="O9635" s="1" t="s">
        <v>46</v>
      </c>
    </row>
    <row r="9636" spans="2:15" x14ac:dyDescent="0.3">
      <c r="B9636" s="1" t="s">
        <v>21</v>
      </c>
      <c r="C9636" s="1" t="str">
        <f>"4차"</f>
        <v>4차</v>
      </c>
      <c r="D9636" s="1" t="str">
        <f>"9726E46344"</f>
        <v>9726E46344</v>
      </c>
      <c r="E9636" s="1" t="s">
        <v>10</v>
      </c>
      <c r="F9636" s="1" t="str">
        <f>"10.10.111.218"</f>
        <v>10.10.111.218</v>
      </c>
      <c r="G9636" s="1" t="str">
        <f>"9726E463"</f>
        <v>9726E463</v>
      </c>
      <c r="H9636" s="1" t="str">
        <f>"연촌간 45R5L2"</f>
        <v>연촌간 45R5L2</v>
      </c>
      <c r="I9636" s="1" t="s">
        <v>8</v>
      </c>
      <c r="J9636" s="1" t="str">
        <f>"14/14"</f>
        <v>14/14</v>
      </c>
      <c r="K9636" s="1" t="str">
        <f>"2026-07-29 13:18:12"</f>
        <v>2026-07-29 13:18:12</v>
      </c>
      <c r="L9636" s="1" t="str">
        <f>"2020-01-20 14:52:03"</f>
        <v>2020-01-20 14:52:03</v>
      </c>
      <c r="M9636" s="1" t="s">
        <v>1</v>
      </c>
      <c r="N9636" s="1" t="s">
        <v>38</v>
      </c>
      <c r="O9636" s="1" t="s">
        <v>46</v>
      </c>
    </row>
    <row r="9637" spans="2:15" x14ac:dyDescent="0.3">
      <c r="B9637" s="1" t="s">
        <v>21</v>
      </c>
      <c r="C9637" s="1" t="str">
        <f>"1차"</f>
        <v>1차</v>
      </c>
      <c r="D9637" s="1" t="str">
        <f>"9726E48200"</f>
        <v>9726E48200</v>
      </c>
      <c r="E9637" s="1" t="s">
        <v>10</v>
      </c>
      <c r="F9637" s="1" t="str">
        <f>"10.128.99.27"</f>
        <v>10.128.99.27</v>
      </c>
      <c r="G9637" s="1" t="str">
        <f>"9726E482"</f>
        <v>9726E482</v>
      </c>
      <c r="H9637" s="1" t="str">
        <f>"연촌간 45R8L2"</f>
        <v>연촌간 45R8L2</v>
      </c>
      <c r="I9637" s="1" t="s">
        <v>8</v>
      </c>
      <c r="J9637" s="1" t="str">
        <f>"17/17"</f>
        <v>17/17</v>
      </c>
      <c r="K9637" s="1" t="str">
        <f>"2026-07-29 13:18:10"</f>
        <v>2026-07-29 13:18:10</v>
      </c>
      <c r="L9637" s="1" t="str">
        <f>"2014-12-16 15:23:53"</f>
        <v>2014-12-16 15:23:53</v>
      </c>
      <c r="M9637" s="1" t="s">
        <v>45</v>
      </c>
      <c r="N9637" s="1" t="s">
        <v>38</v>
      </c>
      <c r="O9637" s="1" t="s">
        <v>46</v>
      </c>
    </row>
    <row r="9638" spans="2:15" x14ac:dyDescent="0.3">
      <c r="B9638" s="1" t="s">
        <v>21</v>
      </c>
      <c r="C9638" s="1" t="str">
        <f>"1차"</f>
        <v>1차</v>
      </c>
      <c r="D9638" s="1" t="str">
        <f>"9726E48401"</f>
        <v>9726E48401</v>
      </c>
      <c r="E9638" s="1" t="s">
        <v>10</v>
      </c>
      <c r="F9638" s="1" t="str">
        <f>"10.12.130.205"</f>
        <v>10.12.130.205</v>
      </c>
      <c r="G9638" s="1" t="str">
        <f>"9726E484"</f>
        <v>9726E484</v>
      </c>
      <c r="H9638" s="1" t="str">
        <f>"연촌간 45R9L2"</f>
        <v>연촌간 45R9L2</v>
      </c>
      <c r="I9638" s="1" t="s">
        <v>8</v>
      </c>
      <c r="J9638" s="1" t="str">
        <f>"18/18"</f>
        <v>18/18</v>
      </c>
      <c r="K9638" s="1" t="str">
        <f>"2026-07-29 13:18:12"</f>
        <v>2026-07-29 13:18:12</v>
      </c>
      <c r="L9638" s="1" t="str">
        <f>"2014-12-13 00:13:21"</f>
        <v>2014-12-13 00:13:21</v>
      </c>
      <c r="M9638" s="1" t="s">
        <v>0</v>
      </c>
      <c r="N9638" s="1" t="s">
        <v>38</v>
      </c>
      <c r="O9638" s="1" t="s">
        <v>46</v>
      </c>
    </row>
    <row r="9639" spans="2:15" x14ac:dyDescent="0.3">
      <c r="B9639" s="1" t="s">
        <v>21</v>
      </c>
      <c r="C9639" s="1" t="str">
        <f>"1차"</f>
        <v>1차</v>
      </c>
      <c r="D9639" s="1" t="str">
        <f>"9726E49301"</f>
        <v>9726E49301</v>
      </c>
      <c r="E9639" s="1" t="s">
        <v>14</v>
      </c>
      <c r="F9639" s="1" t="str">
        <f>"10.128.33.66"</f>
        <v>10.128.33.66</v>
      </c>
      <c r="G9639" s="1" t="str">
        <f>"9726E493"</f>
        <v>9726E493</v>
      </c>
      <c r="H9639" s="1" t="str">
        <f>"연촌간 54R11"</f>
        <v>연촌간 54R11</v>
      </c>
      <c r="I9639" s="1" t="s">
        <v>8</v>
      </c>
      <c r="J9639" s="1" t="str">
        <f>"0/0"</f>
        <v>0/0</v>
      </c>
      <c r="K9639" s="1" t="str">
        <f>"2024-11-07 07:21:08"</f>
        <v>2024-11-07 07:21:08</v>
      </c>
      <c r="L9639" s="1" t="str">
        <f>"2014-12-12 13:27:54"</f>
        <v>2014-12-12 13:27:54</v>
      </c>
      <c r="M9639" s="1" t="s">
        <v>45</v>
      </c>
      <c r="N9639" s="1" t="s">
        <v>44</v>
      </c>
      <c r="O9639" s="1" t="s">
        <v>44</v>
      </c>
    </row>
    <row r="9640" spans="2:15" x14ac:dyDescent="0.3">
      <c r="B9640" s="1" t="s">
        <v>21</v>
      </c>
      <c r="C9640" s="1" t="str">
        <f>"1차"</f>
        <v>1차</v>
      </c>
      <c r="D9640" s="1" t="str">
        <f>"9726E59200"</f>
        <v>9726E59200</v>
      </c>
      <c r="E9640" s="1" t="s">
        <v>10</v>
      </c>
      <c r="F9640" s="1" t="str">
        <f>"10.128.99.26"</f>
        <v>10.128.99.26</v>
      </c>
      <c r="G9640" s="1" t="str">
        <f>"9726E592"</f>
        <v>9726E592</v>
      </c>
      <c r="H9640" s="1" t="str">
        <f>"연촌간 45R11"</f>
        <v>연촌간 45R11</v>
      </c>
      <c r="I9640" s="1" t="s">
        <v>8</v>
      </c>
      <c r="J9640" s="1" t="str">
        <f>"1/1"</f>
        <v>1/1</v>
      </c>
      <c r="K9640" s="1" t="str">
        <f>"2026-07-29 13:18:10"</f>
        <v>2026-07-29 13:18:10</v>
      </c>
      <c r="L9640" s="1" t="str">
        <f>"2014-12-12 12:13:19"</f>
        <v>2014-12-12 12:13:19</v>
      </c>
      <c r="M9640" s="1" t="s">
        <v>45</v>
      </c>
      <c r="N9640" s="1" t="s">
        <v>38</v>
      </c>
      <c r="O9640" s="1" t="s">
        <v>46</v>
      </c>
    </row>
    <row r="9641" spans="2:15" x14ac:dyDescent="0.3">
      <c r="B9641" s="1" t="s">
        <v>21</v>
      </c>
      <c r="C9641" s="1" t="str">
        <f>"1차"</f>
        <v>1차</v>
      </c>
      <c r="D9641" s="1" t="str">
        <f>"9726E59502"</f>
        <v>9726E59502</v>
      </c>
      <c r="E9641" s="1" t="s">
        <v>10</v>
      </c>
      <c r="F9641" s="1" t="str">
        <f>"10.14.8.62"</f>
        <v>10.14.8.62</v>
      </c>
      <c r="G9641" s="1" t="str">
        <f>"9726E595"</f>
        <v>9726E595</v>
      </c>
      <c r="H9641" s="1" t="str">
        <f>"연촌간 45R10"</f>
        <v>연촌간 45R10</v>
      </c>
      <c r="I9641" s="1" t="s">
        <v>8</v>
      </c>
      <c r="J9641" s="1" t="str">
        <f>"16/16"</f>
        <v>16/16</v>
      </c>
      <c r="K9641" s="1" t="str">
        <f>"2026-07-29 13:18:12"</f>
        <v>2026-07-29 13:18:12</v>
      </c>
      <c r="L9641" s="1" t="str">
        <f>"2022-07-29 11:10:02"</f>
        <v>2022-07-29 11:10:02</v>
      </c>
      <c r="M9641" s="1" t="s">
        <v>3</v>
      </c>
      <c r="N9641" s="1" t="s">
        <v>38</v>
      </c>
      <c r="O9641" s="1" t="s">
        <v>46</v>
      </c>
    </row>
    <row r="9642" spans="2:15" x14ac:dyDescent="0.3">
      <c r="B9642" s="1" t="s">
        <v>21</v>
      </c>
      <c r="C9642" s="1" t="str">
        <f>"4차"</f>
        <v>4차</v>
      </c>
      <c r="D9642" s="1" t="str">
        <f>"9726E65141"</f>
        <v>9726E65141</v>
      </c>
      <c r="E9642" s="1" t="s">
        <v>10</v>
      </c>
      <c r="F9642" s="1" t="str">
        <f>"10.14.2.46"</f>
        <v>10.14.2.46</v>
      </c>
      <c r="G9642" s="1" t="str">
        <f>"9726E651"</f>
        <v>9726E651</v>
      </c>
      <c r="H9642" s="1" t="str">
        <f>"고은간 53L1"</f>
        <v>고은간 53L1</v>
      </c>
      <c r="I9642" s="1" t="s">
        <v>17</v>
      </c>
      <c r="J9642" s="1" t="str">
        <f>"36/43"</f>
        <v>36/43</v>
      </c>
      <c r="K9642" s="1" t="str">
        <f>"2026-07-29 13:18:13"</f>
        <v>2026-07-29 13:18:13</v>
      </c>
      <c r="L9642" s="1" t="str">
        <f>"2021-08-12 13:36:53"</f>
        <v>2021-08-12 13:36:53</v>
      </c>
      <c r="M9642" s="1" t="s">
        <v>3</v>
      </c>
      <c r="N9642" s="1" t="s">
        <v>38</v>
      </c>
      <c r="O9642" s="1" t="s">
        <v>46</v>
      </c>
    </row>
    <row r="9643" spans="2:15" x14ac:dyDescent="0.3">
      <c r="B9643" s="1" t="s">
        <v>21</v>
      </c>
      <c r="C9643" s="1" t="str">
        <f>"5-2차"</f>
        <v>5-2차</v>
      </c>
      <c r="D9643" s="1" t="str">
        <f>"9726E6825M"</f>
        <v>9726E6825M</v>
      </c>
      <c r="E9643" s="1" t="s">
        <v>10</v>
      </c>
      <c r="F9643" s="1" t="str">
        <f>"fde1:103:4:6edf:0:0:0:2"</f>
        <v>fde1:103:4:6edf:0:0:0:2</v>
      </c>
      <c r="G9643" s="1" t="str">
        <f>"9726E682"</f>
        <v>9726E682</v>
      </c>
      <c r="H9643" s="1" t="str">
        <f>"고은간 48L2"</f>
        <v>고은간 48L2</v>
      </c>
      <c r="I9643" s="1" t="s">
        <v>15</v>
      </c>
      <c r="J9643" s="1" t="str">
        <f>"63/63"</f>
        <v>63/63</v>
      </c>
      <c r="K9643" s="1" t="str">
        <f>"2026-07-29 14:21:33"</f>
        <v>2026-07-29 14:21:33</v>
      </c>
      <c r="L9643" s="1" t="str">
        <f>"2023-11-15 10:44:10"</f>
        <v>2023-11-15 10:44:10</v>
      </c>
      <c r="M9643" s="1" t="s">
        <v>4</v>
      </c>
      <c r="N9643" s="1" t="s">
        <v>38</v>
      </c>
      <c r="O9643" s="1" t="s">
        <v>46</v>
      </c>
    </row>
    <row r="9644" spans="2:15" x14ac:dyDescent="0.3">
      <c r="B9644" s="1" t="s">
        <v>21</v>
      </c>
      <c r="C9644" s="1" t="str">
        <f>"4차"</f>
        <v>4차</v>
      </c>
      <c r="D9644" s="1" t="str">
        <f>"9726E77441"</f>
        <v>9726E77441</v>
      </c>
      <c r="E9644" s="1" t="s">
        <v>10</v>
      </c>
      <c r="F9644" s="1" t="str">
        <f>"10.14.13.108"</f>
        <v>10.14.13.108</v>
      </c>
      <c r="G9644" s="1" t="str">
        <f>"9726E774"</f>
        <v>9726E774</v>
      </c>
      <c r="H9644" s="1" t="str">
        <f>"고은간 48L6"</f>
        <v>고은간 48L6</v>
      </c>
      <c r="I9644" s="1" t="s">
        <v>17</v>
      </c>
      <c r="J9644" s="1" t="str">
        <f>"43/51"</f>
        <v>43/51</v>
      </c>
      <c r="K9644" s="1" t="str">
        <f>"2026-07-29 13:18:13"</f>
        <v>2026-07-29 13:18:13</v>
      </c>
      <c r="L9644" s="1" t="str">
        <f>"2021-08-12 11:39:28"</f>
        <v>2021-08-12 11:39:28</v>
      </c>
      <c r="M9644" s="1" t="s">
        <v>3</v>
      </c>
      <c r="N9644" s="1" t="s">
        <v>38</v>
      </c>
      <c r="O9644" s="1" t="s">
        <v>46</v>
      </c>
    </row>
    <row r="9645" spans="2:15" x14ac:dyDescent="0.3">
      <c r="B9645" s="1" t="s">
        <v>21</v>
      </c>
      <c r="C9645" s="1" t="str">
        <f>"4차"</f>
        <v>4차</v>
      </c>
      <c r="D9645" s="1" t="str">
        <f>"9726E85241"</f>
        <v>9726E85241</v>
      </c>
      <c r="E9645" s="1" t="s">
        <v>10</v>
      </c>
      <c r="F9645" s="1" t="str">
        <f>"10.14.8.182"</f>
        <v>10.14.8.182</v>
      </c>
      <c r="G9645" s="1" t="str">
        <f>"9726E852"</f>
        <v>9726E852</v>
      </c>
      <c r="H9645" s="1" t="str">
        <f>"고은간 53L4"</f>
        <v>고은간 53L4</v>
      </c>
      <c r="I9645" s="1" t="s">
        <v>17</v>
      </c>
      <c r="J9645" s="1" t="str">
        <f>"54/58"</f>
        <v>54/58</v>
      </c>
      <c r="K9645" s="1" t="str">
        <f>"2026-07-29 13:18:13"</f>
        <v>2026-07-29 13:18:13</v>
      </c>
      <c r="L9645" s="1" t="str">
        <f>"2021-08-12 10:43:57"</f>
        <v>2021-08-12 10:43:57</v>
      </c>
      <c r="M9645" s="1" t="s">
        <v>3</v>
      </c>
      <c r="N9645" s="1" t="s">
        <v>38</v>
      </c>
      <c r="O9645" s="1" t="s">
        <v>46</v>
      </c>
    </row>
    <row r="9646" spans="2:15" x14ac:dyDescent="0.3">
      <c r="B9646" s="1" t="s">
        <v>21</v>
      </c>
      <c r="C9646" s="1" t="str">
        <f>"4차"</f>
        <v>4차</v>
      </c>
      <c r="D9646" s="1" t="str">
        <f>"9726E87241"</f>
        <v>9726E87241</v>
      </c>
      <c r="E9646" s="1" t="s">
        <v>10</v>
      </c>
      <c r="F9646" s="1" t="str">
        <f>"10.14.9.183"</f>
        <v>10.14.9.183</v>
      </c>
      <c r="G9646" s="1" t="str">
        <f>"9726E872"</f>
        <v>9726E872</v>
      </c>
      <c r="H9646" s="1" t="str">
        <f>"고은간 48L6L1L1"</f>
        <v>고은간 48L6L1L1</v>
      </c>
      <c r="I9646" s="1" t="s">
        <v>17</v>
      </c>
      <c r="J9646" s="1" t="str">
        <f>"14/14"</f>
        <v>14/14</v>
      </c>
      <c r="K9646" s="1" t="str">
        <f>"2026-07-29 13:18:13"</f>
        <v>2026-07-29 13:18:13</v>
      </c>
      <c r="L9646" s="1" t="str">
        <f>"2021-08-12 12:19:16"</f>
        <v>2021-08-12 12:19:16</v>
      </c>
      <c r="M9646" s="1" t="s">
        <v>3</v>
      </c>
      <c r="N9646" s="1" t="s">
        <v>38</v>
      </c>
      <c r="O9646" s="1" t="s">
        <v>46</v>
      </c>
    </row>
    <row r="9647" spans="2:15" x14ac:dyDescent="0.3">
      <c r="B9647" s="1" t="s">
        <v>21</v>
      </c>
      <c r="C9647" s="1" t="str">
        <f>"1차"</f>
        <v>1차</v>
      </c>
      <c r="D9647" s="1" t="str">
        <f>"9726E90101"</f>
        <v>9726E90101</v>
      </c>
      <c r="E9647" s="1" t="s">
        <v>10</v>
      </c>
      <c r="F9647" s="1" t="str">
        <f>"10.128.32.132"</f>
        <v>10.128.32.132</v>
      </c>
      <c r="G9647" s="1" t="str">
        <f>"9726E901"</f>
        <v>9726E901</v>
      </c>
      <c r="H9647" s="1" t="str">
        <f>"화교간 7L12"</f>
        <v>화교간 7L12</v>
      </c>
      <c r="I9647" s="1" t="s">
        <v>8</v>
      </c>
      <c r="J9647" s="1" t="str">
        <f>"15/15"</f>
        <v>15/15</v>
      </c>
      <c r="K9647" s="1" t="str">
        <f>"2026-07-29 13:18:10"</f>
        <v>2026-07-29 13:18:10</v>
      </c>
      <c r="L9647" s="1" t="str">
        <f>"2015-01-29 11:42:51"</f>
        <v>2015-01-29 11:42:51</v>
      </c>
      <c r="M9647" s="1" t="s">
        <v>45</v>
      </c>
      <c r="N9647" s="1" t="s">
        <v>38</v>
      </c>
      <c r="O9647" s="1" t="s">
        <v>46</v>
      </c>
    </row>
    <row r="9648" spans="2:15" x14ac:dyDescent="0.3">
      <c r="B9648" s="1" t="s">
        <v>21</v>
      </c>
      <c r="C9648" s="1" t="str">
        <f>"5-2차"</f>
        <v>5-2차</v>
      </c>
      <c r="D9648" s="1" t="str">
        <f>"9726F3025M"</f>
        <v>9726F3025M</v>
      </c>
      <c r="E9648" s="1" t="s">
        <v>10</v>
      </c>
      <c r="F9648" s="1" t="str">
        <f>"fde1:103:4:6edd:0:0:0:2"</f>
        <v>fde1:103:4:6edd:0:0:0:2</v>
      </c>
      <c r="G9648" s="1" t="str">
        <f>"9726F302"</f>
        <v>9726F302</v>
      </c>
      <c r="H9648" s="1" t="str">
        <f>"봉원간 44"</f>
        <v>봉원간 44</v>
      </c>
      <c r="I9648" s="1" t="s">
        <v>15</v>
      </c>
      <c r="J9648" s="1" t="str">
        <f>"18/18"</f>
        <v>18/18</v>
      </c>
      <c r="K9648" s="1" t="str">
        <f>"2026-07-29 14:21:33"</f>
        <v>2026-07-29 14:21:33</v>
      </c>
      <c r="L9648" s="1" t="str">
        <f>"2023-11-15 10:44:20"</f>
        <v>2023-11-15 10:44:20</v>
      </c>
      <c r="M9648" s="1" t="s">
        <v>4</v>
      </c>
      <c r="N9648" s="1" t="s">
        <v>38</v>
      </c>
      <c r="O9648" s="1" t="s">
        <v>46</v>
      </c>
    </row>
    <row r="9649" spans="2:15" x14ac:dyDescent="0.3">
      <c r="B9649" s="1" t="s">
        <v>21</v>
      </c>
      <c r="C9649" s="1" t="str">
        <f>"4차"</f>
        <v>4차</v>
      </c>
      <c r="D9649" s="1" t="str">
        <f>"9726G01141"</f>
        <v>9726G01141</v>
      </c>
      <c r="E9649" s="1" t="s">
        <v>10</v>
      </c>
      <c r="F9649" s="1" t="str">
        <f>"10.14.12.182"</f>
        <v>10.14.12.182</v>
      </c>
      <c r="G9649" s="1" t="str">
        <f>"9726G011"</f>
        <v>9726G011</v>
      </c>
      <c r="H9649" s="1" t="str">
        <f>"연궁간 2R7R6"</f>
        <v>연궁간 2R7R6</v>
      </c>
      <c r="I9649" s="1" t="s">
        <v>17</v>
      </c>
      <c r="J9649" s="1" t="str">
        <f>"5/21"</f>
        <v>5/21</v>
      </c>
      <c r="K9649" s="1" t="str">
        <f>"2026-07-29 13:18:12"</f>
        <v>2026-07-29 13:18:12</v>
      </c>
      <c r="L9649" s="1" t="str">
        <f>"2021-08-12 15:07:04"</f>
        <v>2021-08-12 15:07:04</v>
      </c>
      <c r="M9649" s="1" t="s">
        <v>3</v>
      </c>
      <c r="N9649" s="1" t="s">
        <v>38</v>
      </c>
      <c r="O9649" s="1" t="s">
        <v>46</v>
      </c>
    </row>
    <row r="9650" spans="2:15" x14ac:dyDescent="0.3">
      <c r="B9650" s="1" t="s">
        <v>21</v>
      </c>
      <c r="C9650" s="1" t="str">
        <f>"5-2차"</f>
        <v>5-2차</v>
      </c>
      <c r="D9650" s="1" t="str">
        <f>"9726G1525M"</f>
        <v>9726G1525M</v>
      </c>
      <c r="E9650" s="1" t="s">
        <v>10</v>
      </c>
      <c r="F9650" s="1" t="str">
        <f>"fde3:102:1302:102:0:0:0:3"</f>
        <v>fde3:102:1302:102:0:0:0:3</v>
      </c>
      <c r="G9650" s="1" t="str">
        <f>"9726G152"</f>
        <v>9726G152</v>
      </c>
      <c r="H9650" s="1" t="str">
        <f>"연촌간 39L5"</f>
        <v>연촌간 39L5</v>
      </c>
      <c r="I9650" s="1" t="s">
        <v>15</v>
      </c>
      <c r="J9650" s="1" t="str">
        <f>"13/13"</f>
        <v>13/13</v>
      </c>
      <c r="K9650" s="1" t="str">
        <f>"2026-07-29 14:21:03"</f>
        <v>2026-07-29 14:21:03</v>
      </c>
      <c r="L9650" s="1" t="str">
        <f>"2024-08-29 13:57:22"</f>
        <v>2024-08-29 13:57:22</v>
      </c>
      <c r="M9650" s="1" t="s">
        <v>45</v>
      </c>
      <c r="N9650" s="1" t="s">
        <v>38</v>
      </c>
      <c r="O9650" s="1" t="s">
        <v>46</v>
      </c>
    </row>
    <row r="9651" spans="2:15" x14ac:dyDescent="0.3">
      <c r="B9651" s="1" t="s">
        <v>21</v>
      </c>
      <c r="C9651" s="1" t="str">
        <f>"4차"</f>
        <v>4차</v>
      </c>
      <c r="D9651" s="1" t="str">
        <f>"9726G26144"</f>
        <v>9726G26144</v>
      </c>
      <c r="E9651" s="1" t="s">
        <v>10</v>
      </c>
      <c r="F9651" s="1" t="str">
        <f>"10.10.135.234"</f>
        <v>10.10.135.234</v>
      </c>
      <c r="G9651" s="1" t="str">
        <f>"9726G261"</f>
        <v>9726G261</v>
      </c>
      <c r="H9651" s="1" t="str">
        <f>"연촌간 39L4"</f>
        <v>연촌간 39L4</v>
      </c>
      <c r="I9651" s="1" t="s">
        <v>8</v>
      </c>
      <c r="J9651" s="1" t="str">
        <f>"13/13"</f>
        <v>13/13</v>
      </c>
      <c r="K9651" s="1" t="str">
        <f>"2026-07-29 13:18:10"</f>
        <v>2026-07-29 13:18:10</v>
      </c>
      <c r="L9651" s="1" t="str">
        <f>"2019-12-17 16:12:25"</f>
        <v>2019-12-17 16:12:25</v>
      </c>
      <c r="M9651" s="1" t="s">
        <v>1</v>
      </c>
      <c r="N9651" s="1" t="s">
        <v>38</v>
      </c>
      <c r="O9651" s="1" t="s">
        <v>46</v>
      </c>
    </row>
    <row r="9652" spans="2:15" x14ac:dyDescent="0.3">
      <c r="B9652" s="1" t="s">
        <v>21</v>
      </c>
      <c r="C9652" s="1" t="str">
        <f>"5-2차"</f>
        <v>5-2차</v>
      </c>
      <c r="D9652" s="1" t="str">
        <f>"9726G2835M"</f>
        <v>9726G2835M</v>
      </c>
      <c r="E9652" s="1" t="s">
        <v>10</v>
      </c>
      <c r="F9652" s="1" t="str">
        <f>"fde1:103:4:9353:0:0:0:2"</f>
        <v>fde1:103:4:9353:0:0:0:2</v>
      </c>
      <c r="G9652" s="1" t="str">
        <f>"9726G283"</f>
        <v>9726G283</v>
      </c>
      <c r="H9652" s="1" t="str">
        <f>"연촌간 40L3"</f>
        <v>연촌간 40L3</v>
      </c>
      <c r="I9652" s="1" t="s">
        <v>15</v>
      </c>
      <c r="J9652" s="1" t="str">
        <f>"32/32"</f>
        <v>32/32</v>
      </c>
      <c r="K9652" s="1" t="str">
        <f>"2026-07-29 14:21:20"</f>
        <v>2026-07-29 14:21:20</v>
      </c>
      <c r="L9652" s="1" t="str">
        <f>"2023-12-15 08:37:17"</f>
        <v>2023-12-15 08:37:17</v>
      </c>
      <c r="M9652" s="1" t="s">
        <v>4</v>
      </c>
      <c r="N9652" s="1" t="s">
        <v>38</v>
      </c>
      <c r="O9652" s="1" t="s">
        <v>46</v>
      </c>
    </row>
    <row r="9653" spans="2:15" x14ac:dyDescent="0.3">
      <c r="B9653" s="1" t="s">
        <v>21</v>
      </c>
      <c r="C9653" s="1" t="str">
        <f>"1차"</f>
        <v>1차</v>
      </c>
      <c r="D9653" s="1" t="str">
        <f>"9726G42200"</f>
        <v>9726G42200</v>
      </c>
      <c r="E9653" s="1" t="s">
        <v>10</v>
      </c>
      <c r="F9653" s="1" t="str">
        <f>"10.128.103.4"</f>
        <v>10.128.103.4</v>
      </c>
      <c r="G9653" s="1" t="str">
        <f>"9726G422"</f>
        <v>9726G422</v>
      </c>
      <c r="H9653" s="1" t="str">
        <f>"화교간 12L1"</f>
        <v>화교간 12L1</v>
      </c>
      <c r="I9653" s="1" t="s">
        <v>8</v>
      </c>
      <c r="J9653" s="1" t="str">
        <f>"9/9"</f>
        <v>9/9</v>
      </c>
      <c r="K9653" s="1" t="str">
        <f>"2026-07-29 13:18:10"</f>
        <v>2026-07-29 13:18:10</v>
      </c>
      <c r="L9653" s="1" t="str">
        <f>"2014-12-12 13:43:02"</f>
        <v>2014-12-12 13:43:02</v>
      </c>
      <c r="M9653" s="1" t="s">
        <v>45</v>
      </c>
      <c r="N9653" s="1" t="s">
        <v>38</v>
      </c>
      <c r="O9653" s="1" t="s">
        <v>46</v>
      </c>
    </row>
    <row r="9654" spans="2:15" x14ac:dyDescent="0.3">
      <c r="B9654" s="1" t="s">
        <v>21</v>
      </c>
      <c r="C9654" s="1" t="str">
        <f>"6차"</f>
        <v>6차</v>
      </c>
      <c r="D9654" s="1" t="str">
        <f>"9726G4236S"</f>
        <v>9726G4236S</v>
      </c>
      <c r="E9654" s="1" t="s">
        <v>10</v>
      </c>
      <c r="F9654" s="1" t="str">
        <f>"fde1:103:4:c656:0:0:0:2"</f>
        <v>fde1:103:4:c656:0:0:0:2</v>
      </c>
      <c r="G9654" s="1" t="str">
        <f>"9726G423"</f>
        <v>9726G423</v>
      </c>
      <c r="H9654" s="1" t="str">
        <f>"화교간 12L1L1H1"</f>
        <v>화교간 12L1L1H1</v>
      </c>
      <c r="I9654" s="1" t="s">
        <v>15</v>
      </c>
      <c r="J9654" s="1" t="str">
        <f>"41/41"</f>
        <v>41/41</v>
      </c>
      <c r="K9654" s="1" t="str">
        <f>"2026-07-29 14:21:03"</f>
        <v>2026-07-29 14:21:03</v>
      </c>
      <c r="L9654" s="1" t="str">
        <f>"2024-10-29 16:58:45"</f>
        <v>2024-10-29 16:58:45</v>
      </c>
      <c r="M9654" s="1" t="s">
        <v>4</v>
      </c>
      <c r="N9654" s="1" t="s">
        <v>38</v>
      </c>
      <c r="O9654" s="1" t="s">
        <v>46</v>
      </c>
    </row>
    <row r="9655" spans="2:15" x14ac:dyDescent="0.3">
      <c r="B9655" s="1" t="s">
        <v>21</v>
      </c>
      <c r="C9655" s="1" t="str">
        <f>"1차"</f>
        <v>1차</v>
      </c>
      <c r="D9655" s="1" t="str">
        <f>"9726G44400"</f>
        <v>9726G44400</v>
      </c>
      <c r="E9655" s="1" t="s">
        <v>14</v>
      </c>
      <c r="F9655" s="1" t="str">
        <f>"10.128.32.139"</f>
        <v>10.128.32.139</v>
      </c>
      <c r="G9655" s="1" t="str">
        <f>"9726G444"</f>
        <v>9726G444</v>
      </c>
      <c r="H9655" s="1" t="str">
        <f>"화교간 9L2"</f>
        <v>화교간 9L2</v>
      </c>
      <c r="I9655" s="1" t="s">
        <v>8</v>
      </c>
      <c r="J9655" s="1" t="str">
        <f>"0/0"</f>
        <v>0/0</v>
      </c>
      <c r="K9655" s="1" t="str">
        <f>"2026-07-29 13:18:10"</f>
        <v>2026-07-29 13:18:10</v>
      </c>
      <c r="L9655" s="1" t="str">
        <f>"2021-03-31 08:55:00"</f>
        <v>2021-03-31 08:55:00</v>
      </c>
      <c r="M9655" s="1" t="s">
        <v>45</v>
      </c>
      <c r="N9655" s="1" t="s">
        <v>38</v>
      </c>
      <c r="O9655" s="1" t="s">
        <v>44</v>
      </c>
    </row>
    <row r="9656" spans="2:15" x14ac:dyDescent="0.3">
      <c r="B9656" s="1" t="s">
        <v>21</v>
      </c>
      <c r="C9656" s="1" t="str">
        <f>"5-2차"</f>
        <v>5-2차</v>
      </c>
      <c r="D9656" s="1" t="str">
        <f>"9726G4545M"</f>
        <v>9726G4545M</v>
      </c>
      <c r="E9656" s="1" t="s">
        <v>10</v>
      </c>
      <c r="F9656" s="1" t="str">
        <f>"fde1:103:4:9413:0:0:0:2"</f>
        <v>fde1:103:4:9413:0:0:0:2</v>
      </c>
      <c r="G9656" s="1" t="str">
        <f>"9726G454"</f>
        <v>9726G454</v>
      </c>
      <c r="H9656" s="1" t="str">
        <f>"연촌간 32"</f>
        <v>연촌간 32</v>
      </c>
      <c r="I9656" s="1" t="s">
        <v>15</v>
      </c>
      <c r="J9656" s="1" t="str">
        <f>"31/39"</f>
        <v>31/39</v>
      </c>
      <c r="K9656" s="1" t="str">
        <f>"2026-07-29 14:21:03"</f>
        <v>2026-07-29 14:21:03</v>
      </c>
      <c r="L9656" s="1" t="str">
        <f>"2023-12-15 08:37:50"</f>
        <v>2023-12-15 08:37:50</v>
      </c>
      <c r="M9656" s="1" t="s">
        <v>4</v>
      </c>
      <c r="N9656" s="1" t="s">
        <v>38</v>
      </c>
      <c r="O9656" s="1" t="s">
        <v>46</v>
      </c>
    </row>
    <row r="9657" spans="2:15" x14ac:dyDescent="0.3">
      <c r="B9657" s="1" t="s">
        <v>21</v>
      </c>
      <c r="C9657" s="1" t="str">
        <f>"5-2차"</f>
        <v>5-2차</v>
      </c>
      <c r="D9657" s="1" t="str">
        <f>"9726G4915M"</f>
        <v>9726G4915M</v>
      </c>
      <c r="E9657" s="1" t="s">
        <v>10</v>
      </c>
      <c r="F9657" s="1" t="str">
        <f>"fde1:103:4:9408:0:0:0:2"</f>
        <v>fde1:103:4:9408:0:0:0:2</v>
      </c>
      <c r="G9657" s="1" t="str">
        <f>"9726G491"</f>
        <v>9726G491</v>
      </c>
      <c r="H9657" s="1" t="str">
        <f>"연촌간 41"</f>
        <v>연촌간 41</v>
      </c>
      <c r="I9657" s="1" t="s">
        <v>15</v>
      </c>
      <c r="J9657" s="1" t="str">
        <f>"22/22"</f>
        <v>22/22</v>
      </c>
      <c r="K9657" s="1" t="str">
        <f>"2026-07-29 14:21:15"</f>
        <v>2026-07-29 14:21:15</v>
      </c>
      <c r="L9657" s="1" t="str">
        <f>"2023-12-15 08:38:19"</f>
        <v>2023-12-15 08:38:19</v>
      </c>
      <c r="M9657" s="1" t="s">
        <v>4</v>
      </c>
      <c r="N9657" s="1" t="s">
        <v>38</v>
      </c>
      <c r="O9657" s="1" t="s">
        <v>46</v>
      </c>
    </row>
    <row r="9658" spans="2:15" x14ac:dyDescent="0.3">
      <c r="B9658" s="1" t="s">
        <v>21</v>
      </c>
      <c r="C9658" s="1" t="str">
        <f>"5-1차"</f>
        <v>5-1차</v>
      </c>
      <c r="D9658" s="1" t="str">
        <f>"9726G5715M"</f>
        <v>9726G5715M</v>
      </c>
      <c r="E9658" s="1" t="s">
        <v>10</v>
      </c>
      <c r="F9658" s="1" t="str">
        <f>"fde2:104:0:82:0:0:0:2"</f>
        <v>fde2:104:0:82:0:0:0:2</v>
      </c>
      <c r="G9658" s="1" t="str">
        <f>"9726G571"</f>
        <v>9726G571</v>
      </c>
      <c r="H9658" s="1" t="str">
        <f>"화교간 6"</f>
        <v>화교간 6</v>
      </c>
      <c r="I9658" s="1" t="s">
        <v>15</v>
      </c>
      <c r="J9658" s="1" t="str">
        <f>"11/11"</f>
        <v>11/11</v>
      </c>
      <c r="K9658" s="1" t="str">
        <f>"2026-07-29 14:21:05"</f>
        <v>2026-07-29 14:21:05</v>
      </c>
      <c r="L9658" s="1" t="str">
        <f>"2022-09-23 09:36:48"</f>
        <v>2022-09-23 09:36:48</v>
      </c>
      <c r="M9658" s="1" t="s">
        <v>42</v>
      </c>
      <c r="N9658" s="1" t="s">
        <v>38</v>
      </c>
      <c r="O9658" s="1" t="s">
        <v>46</v>
      </c>
    </row>
    <row r="9659" spans="2:15" x14ac:dyDescent="0.3">
      <c r="B9659" s="1" t="s">
        <v>21</v>
      </c>
      <c r="C9659" s="1" t="str">
        <f>"1차"</f>
        <v>1차</v>
      </c>
      <c r="D9659" s="1" t="str">
        <f>"9726G59101"</f>
        <v>9726G59101</v>
      </c>
      <c r="E9659" s="1" t="s">
        <v>10</v>
      </c>
      <c r="F9659" s="1" t="str">
        <f>"10.12.136.130"</f>
        <v>10.12.136.130</v>
      </c>
      <c r="G9659" s="1" t="str">
        <f>"9726G591"</f>
        <v>9726G591</v>
      </c>
      <c r="H9659" s="1" t="str">
        <f>"화교간 7L10L4"</f>
        <v>화교간 7L10L4</v>
      </c>
      <c r="I9659" s="1" t="s">
        <v>8</v>
      </c>
      <c r="J9659" s="1" t="str">
        <f>"10/10"</f>
        <v>10/10</v>
      </c>
      <c r="K9659" s="1" t="str">
        <f>"2026-07-29 13:18:11"</f>
        <v>2026-07-29 13:18:11</v>
      </c>
      <c r="L9659" s="1" t="str">
        <f>"2014-12-12 13:28:29"</f>
        <v>2014-12-12 13:28:29</v>
      </c>
      <c r="M9659" s="1" t="s">
        <v>0</v>
      </c>
      <c r="N9659" s="1" t="s">
        <v>38</v>
      </c>
      <c r="O9659" s="1" t="s">
        <v>46</v>
      </c>
    </row>
    <row r="9660" spans="2:15" x14ac:dyDescent="0.3">
      <c r="B9660" s="1" t="s">
        <v>21</v>
      </c>
      <c r="C9660" s="1" t="str">
        <f>"1차"</f>
        <v>1차</v>
      </c>
      <c r="D9660" s="1" t="str">
        <f>"9726G65100"</f>
        <v>9726G65100</v>
      </c>
      <c r="E9660" s="1" t="s">
        <v>10</v>
      </c>
      <c r="F9660" s="1" t="str">
        <f>"10.128.32.141"</f>
        <v>10.128.32.141</v>
      </c>
      <c r="G9660" s="1" t="str">
        <f>"9726G651"</f>
        <v>9726G651</v>
      </c>
      <c r="H9660" s="1" t="str">
        <f>"화교간 7L2"</f>
        <v>화교간 7L2</v>
      </c>
      <c r="I9660" s="1" t="s">
        <v>8</v>
      </c>
      <c r="J9660" s="1" t="str">
        <f>"3/3"</f>
        <v>3/3</v>
      </c>
      <c r="K9660" s="1" t="str">
        <f>"2026-07-29 13:18:12"</f>
        <v>2026-07-29 13:18:12</v>
      </c>
      <c r="L9660" s="1" t="str">
        <f>"2014-12-23 11:30:45"</f>
        <v>2014-12-23 11:30:45</v>
      </c>
      <c r="M9660" s="1" t="s">
        <v>45</v>
      </c>
      <c r="N9660" s="1" t="s">
        <v>38</v>
      </c>
      <c r="O9660" s="1" t="s">
        <v>46</v>
      </c>
    </row>
    <row r="9661" spans="2:15" x14ac:dyDescent="0.3">
      <c r="B9661" s="1" t="s">
        <v>21</v>
      </c>
      <c r="C9661" s="1" t="str">
        <f>"5-2차"</f>
        <v>5-2차</v>
      </c>
      <c r="D9661" s="1" t="str">
        <f>"9726G6825M"</f>
        <v>9726G6825M</v>
      </c>
      <c r="E9661" s="1" t="s">
        <v>10</v>
      </c>
      <c r="F9661" s="1" t="str">
        <f>"fde1:103:4:93d7:0:0:0:2"</f>
        <v>fde1:103:4:93d7:0:0:0:2</v>
      </c>
      <c r="G9661" s="1" t="str">
        <f>"9726G682"</f>
        <v>9726G682</v>
      </c>
      <c r="H9661" s="1" t="str">
        <f>"화교간 7L8L1H1"</f>
        <v>화교간 7L8L1H1</v>
      </c>
      <c r="I9661" s="1" t="s">
        <v>15</v>
      </c>
      <c r="J9661" s="1" t="str">
        <f>"23/23"</f>
        <v>23/23</v>
      </c>
      <c r="K9661" s="1" t="str">
        <f>"2026-07-29 14:21:03"</f>
        <v>2026-07-29 14:21:03</v>
      </c>
      <c r="L9661" s="1" t="str">
        <f>"2023-12-15 08:38:48"</f>
        <v>2023-12-15 08:38:48</v>
      </c>
      <c r="M9661" s="1" t="s">
        <v>4</v>
      </c>
      <c r="N9661" s="1" t="s">
        <v>38</v>
      </c>
      <c r="O9661" s="1" t="s">
        <v>46</v>
      </c>
    </row>
    <row r="9662" spans="2:15" x14ac:dyDescent="0.3">
      <c r="B9662" s="1" t="s">
        <v>21</v>
      </c>
      <c r="C9662" s="1" t="str">
        <f>"6차"</f>
        <v>6차</v>
      </c>
      <c r="D9662" s="1" t="str">
        <f>"9726G6926S"</f>
        <v>9726G6926S</v>
      </c>
      <c r="E9662" s="1" t="s">
        <v>10</v>
      </c>
      <c r="F9662" s="1" t="str">
        <f>"fde1:103:4:c860:0:0:0:2"</f>
        <v>fde1:103:4:c860:0:0:0:2</v>
      </c>
      <c r="G9662" s="1" t="str">
        <f>"9726G692"</f>
        <v>9726G692</v>
      </c>
      <c r="H9662" s="1" t="str">
        <f>"화교간 7L10L2"</f>
        <v>화교간 7L10L2</v>
      </c>
      <c r="I9662" s="1" t="s">
        <v>15</v>
      </c>
      <c r="J9662" s="1" t="str">
        <f>"14/20"</f>
        <v>14/20</v>
      </c>
      <c r="K9662" s="1" t="str">
        <f>"2026-07-29 14:21:33"</f>
        <v>2026-07-29 14:21:33</v>
      </c>
      <c r="L9662" s="1" t="str">
        <f>"2025-01-17 17:37:04"</f>
        <v>2025-01-17 17:37:04</v>
      </c>
      <c r="M9662" s="1" t="s">
        <v>4</v>
      </c>
      <c r="N9662" s="1" t="s">
        <v>38</v>
      </c>
      <c r="O9662" s="1" t="s">
        <v>46</v>
      </c>
    </row>
    <row r="9663" spans="2:15" x14ac:dyDescent="0.3">
      <c r="B9663" s="1" t="s">
        <v>21</v>
      </c>
      <c r="C9663" s="1" t="str">
        <f>"1차"</f>
        <v>1차</v>
      </c>
      <c r="D9663" s="1" t="str">
        <f>"9726G75300"</f>
        <v>9726G75300</v>
      </c>
      <c r="E9663" s="1" t="s">
        <v>10</v>
      </c>
      <c r="F9663" s="1" t="str">
        <f>"10.128.33.103"</f>
        <v>10.128.33.103</v>
      </c>
      <c r="G9663" s="1" t="str">
        <f>"9726G753"</f>
        <v>9726G753</v>
      </c>
      <c r="H9663" s="1" t="str">
        <f>"화교간 7L3R1"</f>
        <v>화교간 7L3R1</v>
      </c>
      <c r="I9663" s="1" t="s">
        <v>8</v>
      </c>
      <c r="J9663" s="1" t="str">
        <f>"1/1"</f>
        <v>1/1</v>
      </c>
      <c r="K9663" s="1" t="str">
        <f>"2026-07-29 13:18:12"</f>
        <v>2026-07-29 13:18:12</v>
      </c>
      <c r="L9663" s="1" t="str">
        <f>"2014-12-12 13:42:44"</f>
        <v>2014-12-12 13:42:44</v>
      </c>
      <c r="M9663" s="1" t="s">
        <v>45</v>
      </c>
      <c r="N9663" s="1" t="s">
        <v>38</v>
      </c>
      <c r="O9663" s="1" t="s">
        <v>46</v>
      </c>
    </row>
    <row r="9664" spans="2:15" x14ac:dyDescent="0.3">
      <c r="B9664" s="1" t="s">
        <v>21</v>
      </c>
      <c r="C9664" s="1" t="str">
        <f>"1차"</f>
        <v>1차</v>
      </c>
      <c r="D9664" s="1" t="str">
        <f>"9726G79202"</f>
        <v>9726G79202</v>
      </c>
      <c r="E9664" s="1" t="s">
        <v>10</v>
      </c>
      <c r="F9664" s="1" t="str">
        <f>"10.12.128.217"</f>
        <v>10.12.128.217</v>
      </c>
      <c r="G9664" s="1" t="str">
        <f>"9726G792"</f>
        <v>9726G792</v>
      </c>
      <c r="H9664" s="1" t="str">
        <f>"화교간 7L10L1"</f>
        <v>화교간 7L10L1</v>
      </c>
      <c r="I9664" s="1" t="s">
        <v>8</v>
      </c>
      <c r="J9664" s="1" t="str">
        <f>"6/6"</f>
        <v>6/6</v>
      </c>
      <c r="K9664" s="1" t="str">
        <f>"2026-07-29 13:18:13"</f>
        <v>2026-07-29 13:18:13</v>
      </c>
      <c r="L9664" s="1" t="str">
        <f>"2014-12-15 11:07:58"</f>
        <v>2014-12-15 11:07:58</v>
      </c>
      <c r="M9664" s="1" t="s">
        <v>0</v>
      </c>
      <c r="N9664" s="1" t="s">
        <v>38</v>
      </c>
      <c r="O9664" s="1" t="s">
        <v>46</v>
      </c>
    </row>
    <row r="9665" spans="2:15" x14ac:dyDescent="0.3">
      <c r="B9665" s="1" t="s">
        <v>21</v>
      </c>
      <c r="C9665" s="1" t="str">
        <f t="shared" ref="C9665:C9670" si="487">"4차"</f>
        <v>4차</v>
      </c>
      <c r="D9665" s="1" t="str">
        <f>"9726P02244"</f>
        <v>9726P02244</v>
      </c>
      <c r="E9665" s="1" t="s">
        <v>10</v>
      </c>
      <c r="F9665" s="1" t="str">
        <f>"10.10.114.42"</f>
        <v>10.10.114.42</v>
      </c>
      <c r="G9665" s="1" t="str">
        <f>"9726P022"</f>
        <v>9726P022</v>
      </c>
      <c r="H9665" s="1" t="str">
        <f>"이화간 47R9"</f>
        <v>이화간 47R9</v>
      </c>
      <c r="I9665" s="1" t="s">
        <v>8</v>
      </c>
      <c r="J9665" s="1" t="str">
        <f>"28/28"</f>
        <v>28/28</v>
      </c>
      <c r="K9665" s="1" t="str">
        <f t="shared" ref="K9665:K9676" si="488">"2026-07-29 13:18:12"</f>
        <v>2026-07-29 13:18:12</v>
      </c>
      <c r="L9665" s="1" t="str">
        <f>"2019-11-08 10:43:03"</f>
        <v>2019-11-08 10:43:03</v>
      </c>
      <c r="M9665" s="1" t="s">
        <v>1</v>
      </c>
      <c r="N9665" s="1" t="s">
        <v>38</v>
      </c>
      <c r="O9665" s="1" t="s">
        <v>46</v>
      </c>
    </row>
    <row r="9666" spans="2:15" x14ac:dyDescent="0.3">
      <c r="B9666" s="1" t="s">
        <v>21</v>
      </c>
      <c r="C9666" s="1" t="str">
        <f t="shared" si="487"/>
        <v>4차</v>
      </c>
      <c r="D9666" s="1" t="str">
        <f>"9726P12144"</f>
        <v>9726P12144</v>
      </c>
      <c r="E9666" s="1" t="s">
        <v>10</v>
      </c>
      <c r="F9666" s="1" t="str">
        <f>"10.10.114.2"</f>
        <v>10.10.114.2</v>
      </c>
      <c r="G9666" s="1" t="str">
        <f>"9726P121"</f>
        <v>9726P121</v>
      </c>
      <c r="H9666" s="1" t="str">
        <f>"이화간 34"</f>
        <v>이화간 34</v>
      </c>
      <c r="I9666" s="1" t="s">
        <v>8</v>
      </c>
      <c r="J9666" s="1" t="str">
        <f>"14/14"</f>
        <v>14/14</v>
      </c>
      <c r="K9666" s="1" t="str">
        <f t="shared" si="488"/>
        <v>2026-07-29 13:18:12</v>
      </c>
      <c r="L9666" s="1" t="str">
        <f>"2019-11-08 13:33:27"</f>
        <v>2019-11-08 13:33:27</v>
      </c>
      <c r="M9666" s="1" t="s">
        <v>1</v>
      </c>
      <c r="N9666" s="1" t="s">
        <v>38</v>
      </c>
      <c r="O9666" s="1" t="s">
        <v>46</v>
      </c>
    </row>
    <row r="9667" spans="2:15" x14ac:dyDescent="0.3">
      <c r="B9667" s="1" t="s">
        <v>21</v>
      </c>
      <c r="C9667" s="1" t="str">
        <f t="shared" si="487"/>
        <v>4차</v>
      </c>
      <c r="D9667" s="1" t="str">
        <f>"9726P21244"</f>
        <v>9726P21244</v>
      </c>
      <c r="E9667" s="1" t="s">
        <v>10</v>
      </c>
      <c r="F9667" s="1" t="str">
        <f>"10.10.113.234"</f>
        <v>10.10.113.234</v>
      </c>
      <c r="G9667" s="1" t="str">
        <f>"9726P212"</f>
        <v>9726P212</v>
      </c>
      <c r="H9667" s="1" t="str">
        <f>"이화간 32"</f>
        <v>이화간 32</v>
      </c>
      <c r="I9667" s="1" t="s">
        <v>8</v>
      </c>
      <c r="J9667" s="1" t="str">
        <f>"21/21"</f>
        <v>21/21</v>
      </c>
      <c r="K9667" s="1" t="str">
        <f t="shared" si="488"/>
        <v>2026-07-29 13:18:12</v>
      </c>
      <c r="L9667" s="1" t="str">
        <f>"2019-11-08 10:03:46"</f>
        <v>2019-11-08 10:03:46</v>
      </c>
      <c r="M9667" s="1" t="s">
        <v>1</v>
      </c>
      <c r="N9667" s="1" t="s">
        <v>38</v>
      </c>
      <c r="O9667" s="1" t="s">
        <v>46</v>
      </c>
    </row>
    <row r="9668" spans="2:15" x14ac:dyDescent="0.3">
      <c r="B9668" s="1" t="s">
        <v>21</v>
      </c>
      <c r="C9668" s="1" t="str">
        <f t="shared" si="487"/>
        <v>4차</v>
      </c>
      <c r="D9668" s="1" t="str">
        <f>"9726P22144"</f>
        <v>9726P22144</v>
      </c>
      <c r="E9668" s="1" t="s">
        <v>10</v>
      </c>
      <c r="F9668" s="1" t="str">
        <f>"10.14.1.185"</f>
        <v>10.14.1.185</v>
      </c>
      <c r="G9668" s="1" t="str">
        <f>"9726P221"</f>
        <v>9726P221</v>
      </c>
      <c r="H9668" s="1" t="str">
        <f>"이화간 32R1"</f>
        <v>이화간 32R1</v>
      </c>
      <c r="I9668" s="1" t="s">
        <v>8</v>
      </c>
      <c r="J9668" s="1" t="str">
        <f>"57/57"</f>
        <v>57/57</v>
      </c>
      <c r="K9668" s="1" t="str">
        <f t="shared" si="488"/>
        <v>2026-07-29 13:18:12</v>
      </c>
      <c r="L9668" s="1" t="str">
        <f>"2019-11-08 10:13:05"</f>
        <v>2019-11-08 10:13:05</v>
      </c>
      <c r="M9668" s="1" t="s">
        <v>3</v>
      </c>
      <c r="N9668" s="1" t="s">
        <v>38</v>
      </c>
      <c r="O9668" s="1" t="s">
        <v>46</v>
      </c>
    </row>
    <row r="9669" spans="2:15" x14ac:dyDescent="0.3">
      <c r="B9669" s="1" t="s">
        <v>21</v>
      </c>
      <c r="C9669" s="1" t="str">
        <f t="shared" si="487"/>
        <v>4차</v>
      </c>
      <c r="D9669" s="1" t="str">
        <f>"9726P34144"</f>
        <v>9726P34144</v>
      </c>
      <c r="E9669" s="1" t="s">
        <v>10</v>
      </c>
      <c r="F9669" s="1" t="str">
        <f>"10.10.113.242"</f>
        <v>10.10.113.242</v>
      </c>
      <c r="G9669" s="1" t="str">
        <f>"9726P341"</f>
        <v>9726P341</v>
      </c>
      <c r="H9669" s="1" t="str">
        <f>"이화간 32R3"</f>
        <v>이화간 32R3</v>
      </c>
      <c r="I9669" s="1" t="s">
        <v>8</v>
      </c>
      <c r="J9669" s="1" t="str">
        <f>"17/17"</f>
        <v>17/17</v>
      </c>
      <c r="K9669" s="1" t="str">
        <f t="shared" si="488"/>
        <v>2026-07-29 13:18:12</v>
      </c>
      <c r="L9669" s="1" t="str">
        <f>"2019-11-08 10:23:05"</f>
        <v>2019-11-08 10:23:05</v>
      </c>
      <c r="M9669" s="1" t="s">
        <v>1</v>
      </c>
      <c r="N9669" s="1" t="s">
        <v>38</v>
      </c>
      <c r="O9669" s="1" t="s">
        <v>46</v>
      </c>
    </row>
    <row r="9670" spans="2:15" x14ac:dyDescent="0.3">
      <c r="B9670" s="1" t="s">
        <v>21</v>
      </c>
      <c r="C9670" s="1" t="str">
        <f t="shared" si="487"/>
        <v>4차</v>
      </c>
      <c r="D9670" s="1" t="str">
        <f>"9726P41744"</f>
        <v>9726P41744</v>
      </c>
      <c r="E9670" s="1" t="s">
        <v>10</v>
      </c>
      <c r="F9670" s="1" t="str">
        <f>"10.14.6.57"</f>
        <v>10.14.6.57</v>
      </c>
      <c r="G9670" s="1" t="str">
        <f>"9726P417"</f>
        <v>9726P417</v>
      </c>
      <c r="H9670" s="1" t="str">
        <f>"이화간 28R1"</f>
        <v>이화간 28R1</v>
      </c>
      <c r="I9670" s="1" t="s">
        <v>8</v>
      </c>
      <c r="J9670" s="1" t="str">
        <f>"35/35"</f>
        <v>35/35</v>
      </c>
      <c r="K9670" s="1" t="str">
        <f t="shared" si="488"/>
        <v>2026-07-29 13:18:12</v>
      </c>
      <c r="L9670" s="1" t="str">
        <f>"2019-11-11 19:48:56"</f>
        <v>2019-11-11 19:48:56</v>
      </c>
      <c r="M9670" s="1" t="s">
        <v>3</v>
      </c>
      <c r="N9670" s="1" t="s">
        <v>38</v>
      </c>
      <c r="O9670" s="1" t="s">
        <v>46</v>
      </c>
    </row>
    <row r="9671" spans="2:15" x14ac:dyDescent="0.3">
      <c r="B9671" s="1" t="s">
        <v>21</v>
      </c>
      <c r="C9671" s="1" t="str">
        <f>"3차"</f>
        <v>3차</v>
      </c>
      <c r="D9671" s="1" t="str">
        <f>"9726P41939"</f>
        <v>9726P41939</v>
      </c>
      <c r="E9671" s="1" t="s">
        <v>10</v>
      </c>
      <c r="F9671" s="1" t="str">
        <f>"10.14.10.12"</f>
        <v>10.14.10.12</v>
      </c>
      <c r="G9671" s="1" t="str">
        <f>"9726P419"</f>
        <v>9726P419</v>
      </c>
      <c r="H9671" s="1" t="str">
        <f>"이화간 19L7"</f>
        <v>이화간 19L7</v>
      </c>
      <c r="I9671" s="1" t="s">
        <v>8</v>
      </c>
      <c r="J9671" s="1" t="str">
        <f>"27/28"</f>
        <v>27/28</v>
      </c>
      <c r="K9671" s="1" t="str">
        <f t="shared" si="488"/>
        <v>2026-07-29 13:18:12</v>
      </c>
      <c r="L9671" s="1" t="str">
        <f>"2018-04-25 14:00:43"</f>
        <v>2018-04-25 14:00:43</v>
      </c>
      <c r="M9671" s="1" t="s">
        <v>3</v>
      </c>
      <c r="N9671" s="1" t="s">
        <v>38</v>
      </c>
      <c r="O9671" s="1" t="s">
        <v>46</v>
      </c>
    </row>
    <row r="9672" spans="2:15" x14ac:dyDescent="0.3">
      <c r="B9672" s="1" t="s">
        <v>21</v>
      </c>
      <c r="C9672" s="1" t="str">
        <f t="shared" ref="C9672:C9678" si="489">"4차"</f>
        <v>4차</v>
      </c>
      <c r="D9672" s="1" t="str">
        <f>"9726P43144"</f>
        <v>9726P43144</v>
      </c>
      <c r="E9672" s="1" t="s">
        <v>10</v>
      </c>
      <c r="F9672" s="1" t="str">
        <f>"10.10.112.242"</f>
        <v>10.10.112.242</v>
      </c>
      <c r="G9672" s="1" t="str">
        <f>"9726P431"</f>
        <v>9726P431</v>
      </c>
      <c r="H9672" s="1" t="str">
        <f>"이화간 28R4"</f>
        <v>이화간 28R4</v>
      </c>
      <c r="I9672" s="1" t="s">
        <v>8</v>
      </c>
      <c r="J9672" s="1" t="str">
        <f>"20/20"</f>
        <v>20/20</v>
      </c>
      <c r="K9672" s="1" t="str">
        <f t="shared" si="488"/>
        <v>2026-07-29 13:18:12</v>
      </c>
      <c r="L9672" s="1" t="str">
        <f>"2019-11-08 10:03:05"</f>
        <v>2019-11-08 10:03:05</v>
      </c>
      <c r="M9672" s="1" t="s">
        <v>1</v>
      </c>
      <c r="N9672" s="1" t="s">
        <v>38</v>
      </c>
      <c r="O9672" s="1" t="s">
        <v>46</v>
      </c>
    </row>
    <row r="9673" spans="2:15" x14ac:dyDescent="0.3">
      <c r="B9673" s="1" t="s">
        <v>21</v>
      </c>
      <c r="C9673" s="1" t="str">
        <f t="shared" si="489"/>
        <v>4차</v>
      </c>
      <c r="D9673" s="1" t="str">
        <f>"9726P48644"</f>
        <v>9726P48644</v>
      </c>
      <c r="E9673" s="1" t="s">
        <v>10</v>
      </c>
      <c r="F9673" s="1" t="str">
        <f>"10.10.69.170"</f>
        <v>10.10.69.170</v>
      </c>
      <c r="G9673" s="1" t="str">
        <f>"9726P486"</f>
        <v>9726P486</v>
      </c>
      <c r="H9673" s="1" t="str">
        <f>"연궁간 35"</f>
        <v>연궁간 35</v>
      </c>
      <c r="I9673" s="1" t="s">
        <v>8</v>
      </c>
      <c r="J9673" s="1" t="str">
        <f>"19/19"</f>
        <v>19/19</v>
      </c>
      <c r="K9673" s="1" t="str">
        <f t="shared" si="488"/>
        <v>2026-07-29 13:18:12</v>
      </c>
      <c r="L9673" s="1" t="str">
        <f>"2019-12-24 16:51:34"</f>
        <v>2019-12-24 16:51:34</v>
      </c>
      <c r="M9673" s="1" t="s">
        <v>1</v>
      </c>
      <c r="N9673" s="1" t="s">
        <v>38</v>
      </c>
      <c r="O9673" s="1" t="s">
        <v>46</v>
      </c>
    </row>
    <row r="9674" spans="2:15" x14ac:dyDescent="0.3">
      <c r="B9674" s="1" t="s">
        <v>21</v>
      </c>
      <c r="C9674" s="1" t="str">
        <f t="shared" si="489"/>
        <v>4차</v>
      </c>
      <c r="D9674" s="1" t="str">
        <f>"9726P51444"</f>
        <v>9726P51444</v>
      </c>
      <c r="E9674" s="1" t="s">
        <v>10</v>
      </c>
      <c r="F9674" s="1" t="str">
        <f>"10.10.71.178"</f>
        <v>10.10.71.178</v>
      </c>
      <c r="G9674" s="1" t="str">
        <f>"9726P514"</f>
        <v>9726P514</v>
      </c>
      <c r="H9674" s="1" t="str">
        <f>"이화간 26"</f>
        <v>이화간 26</v>
      </c>
      <c r="I9674" s="1" t="s">
        <v>8</v>
      </c>
      <c r="J9674" s="1" t="str">
        <f>"22/22"</f>
        <v>22/22</v>
      </c>
      <c r="K9674" s="1" t="str">
        <f t="shared" si="488"/>
        <v>2026-07-29 13:18:12</v>
      </c>
      <c r="L9674" s="1" t="str">
        <f>"2019-11-08 10:13:11"</f>
        <v>2019-11-08 10:13:11</v>
      </c>
      <c r="M9674" s="1" t="s">
        <v>1</v>
      </c>
      <c r="N9674" s="1" t="s">
        <v>38</v>
      </c>
      <c r="O9674" s="1" t="s">
        <v>46</v>
      </c>
    </row>
    <row r="9675" spans="2:15" x14ac:dyDescent="0.3">
      <c r="B9675" s="1" t="s">
        <v>21</v>
      </c>
      <c r="C9675" s="1" t="str">
        <f t="shared" si="489"/>
        <v>4차</v>
      </c>
      <c r="D9675" s="1" t="str">
        <f>"9726P67144"</f>
        <v>9726P67144</v>
      </c>
      <c r="E9675" s="1" t="s">
        <v>10</v>
      </c>
      <c r="F9675" s="1" t="str">
        <f>"10.10.67.242"</f>
        <v>10.10.67.242</v>
      </c>
      <c r="G9675" s="1" t="str">
        <f>"9726P671"</f>
        <v>9726P671</v>
      </c>
      <c r="H9675" s="1" t="str">
        <f>"연궁간 30"</f>
        <v>연궁간 30</v>
      </c>
      <c r="I9675" s="1" t="s">
        <v>8</v>
      </c>
      <c r="J9675" s="1" t="str">
        <f>"44/44"</f>
        <v>44/44</v>
      </c>
      <c r="K9675" s="1" t="str">
        <f t="shared" si="488"/>
        <v>2026-07-29 13:18:12</v>
      </c>
      <c r="L9675" s="1" t="str">
        <f>"2019-11-01 16:35:58"</f>
        <v>2019-11-01 16:35:58</v>
      </c>
      <c r="M9675" s="1" t="s">
        <v>1</v>
      </c>
      <c r="N9675" s="1" t="s">
        <v>38</v>
      </c>
      <c r="O9675" s="1" t="s">
        <v>46</v>
      </c>
    </row>
    <row r="9676" spans="2:15" x14ac:dyDescent="0.3">
      <c r="B9676" s="1" t="s">
        <v>21</v>
      </c>
      <c r="C9676" s="1" t="str">
        <f t="shared" si="489"/>
        <v>4차</v>
      </c>
      <c r="D9676" s="1" t="str">
        <f>"9726P68144"</f>
        <v>9726P68144</v>
      </c>
      <c r="E9676" s="1" t="s">
        <v>10</v>
      </c>
      <c r="F9676" s="1" t="str">
        <f>"10.10.67.250"</f>
        <v>10.10.67.250</v>
      </c>
      <c r="G9676" s="1" t="str">
        <f>"9726P681"</f>
        <v>9726P681</v>
      </c>
      <c r="H9676" s="1" t="str">
        <f>"연궁간 30R3"</f>
        <v>연궁간 30R3</v>
      </c>
      <c r="I9676" s="1" t="s">
        <v>8</v>
      </c>
      <c r="J9676" s="1" t="str">
        <f>"20/21"</f>
        <v>20/21</v>
      </c>
      <c r="K9676" s="1" t="str">
        <f t="shared" si="488"/>
        <v>2026-07-29 13:18:12</v>
      </c>
      <c r="L9676" s="1" t="str">
        <f>"2020-01-10 17:19:28"</f>
        <v>2020-01-10 17:19:28</v>
      </c>
      <c r="M9676" s="1" t="s">
        <v>1</v>
      </c>
      <c r="N9676" s="1" t="s">
        <v>38</v>
      </c>
      <c r="O9676" s="1" t="s">
        <v>46</v>
      </c>
    </row>
    <row r="9677" spans="2:15" x14ac:dyDescent="0.3">
      <c r="B9677" s="1" t="s">
        <v>21</v>
      </c>
      <c r="C9677" s="1" t="str">
        <f t="shared" si="489"/>
        <v>4차</v>
      </c>
      <c r="D9677" s="1" t="str">
        <f>"9726P70344"</f>
        <v>9726P70344</v>
      </c>
      <c r="E9677" s="1" t="s">
        <v>10</v>
      </c>
      <c r="F9677" s="1" t="str">
        <f>"10.10.71.154"</f>
        <v>10.10.71.154</v>
      </c>
      <c r="G9677" s="1" t="str">
        <f>"9726P703"</f>
        <v>9726P703</v>
      </c>
      <c r="H9677" s="1" t="str">
        <f>"이화간 19L3"</f>
        <v>이화간 19L3</v>
      </c>
      <c r="I9677" s="1" t="s">
        <v>8</v>
      </c>
      <c r="J9677" s="1" t="str">
        <f>"50/50"</f>
        <v>50/50</v>
      </c>
      <c r="K9677" s="1" t="str">
        <f>"2026-07-29 13:18:00"</f>
        <v>2026-07-29 13:18:00</v>
      </c>
      <c r="L9677" s="1" t="str">
        <f>"2019-11-08 10:43:03"</f>
        <v>2019-11-08 10:43:03</v>
      </c>
      <c r="M9677" s="1" t="s">
        <v>1</v>
      </c>
      <c r="N9677" s="1" t="s">
        <v>38</v>
      </c>
      <c r="O9677" s="1" t="s">
        <v>46</v>
      </c>
    </row>
    <row r="9678" spans="2:15" x14ac:dyDescent="0.3">
      <c r="B9678" s="1" t="s">
        <v>21</v>
      </c>
      <c r="C9678" s="1" t="str">
        <f t="shared" si="489"/>
        <v>4차</v>
      </c>
      <c r="D9678" s="1" t="str">
        <f>"9726P70544"</f>
        <v>9726P70544</v>
      </c>
      <c r="E9678" s="1" t="s">
        <v>10</v>
      </c>
      <c r="F9678" s="1" t="str">
        <f>"10.10.71.162"</f>
        <v>10.10.71.162</v>
      </c>
      <c r="G9678" s="1" t="str">
        <f>"9726P705"</f>
        <v>9726P705</v>
      </c>
      <c r="H9678" s="1" t="str">
        <f>"이화간 19L4"</f>
        <v>이화간 19L4</v>
      </c>
      <c r="I9678" s="1" t="s">
        <v>8</v>
      </c>
      <c r="J9678" s="1" t="str">
        <f>"27/28"</f>
        <v>27/28</v>
      </c>
      <c r="K9678" s="1" t="str">
        <f>"2026-07-29 13:18:12"</f>
        <v>2026-07-29 13:18:12</v>
      </c>
      <c r="L9678" s="1" t="str">
        <f>"2019-11-08 12:33:12"</f>
        <v>2019-11-08 12:33:12</v>
      </c>
      <c r="M9678" s="1" t="s">
        <v>1</v>
      </c>
      <c r="N9678" s="1" t="s">
        <v>38</v>
      </c>
      <c r="O9678" s="1" t="s">
        <v>46</v>
      </c>
    </row>
    <row r="9679" spans="2:15" x14ac:dyDescent="0.3">
      <c r="B9679" s="1" t="s">
        <v>21</v>
      </c>
      <c r="C9679" s="1" t="str">
        <f>"1차"</f>
        <v>1차</v>
      </c>
      <c r="D9679" s="1" t="str">
        <f>"9726P74101"</f>
        <v>9726P74101</v>
      </c>
      <c r="E9679" s="1" t="s">
        <v>10</v>
      </c>
      <c r="F9679" s="1" t="str">
        <f>"10.14.7.124"</f>
        <v>10.14.7.124</v>
      </c>
      <c r="G9679" s="1" t="str">
        <f>"9726P741"</f>
        <v>9726P741</v>
      </c>
      <c r="H9679" s="1" t="str">
        <f>"이화간 22R5"</f>
        <v>이화간 22R5</v>
      </c>
      <c r="I9679" s="1" t="s">
        <v>8</v>
      </c>
      <c r="J9679" s="1" t="str">
        <f>"39/39"</f>
        <v>39/39</v>
      </c>
      <c r="K9679" s="1" t="str">
        <f>"2026-07-29 13:18:10"</f>
        <v>2026-07-29 13:18:10</v>
      </c>
      <c r="L9679" s="1" t="str">
        <f>"2015-10-23 13:52:50"</f>
        <v>2015-10-23 13:52:50</v>
      </c>
      <c r="M9679" s="1" t="s">
        <v>3</v>
      </c>
      <c r="N9679" s="1" t="s">
        <v>38</v>
      </c>
      <c r="O9679" s="1" t="s">
        <v>46</v>
      </c>
    </row>
    <row r="9680" spans="2:15" x14ac:dyDescent="0.3">
      <c r="B9680" s="1" t="s">
        <v>21</v>
      </c>
      <c r="C9680" s="1" t="str">
        <f>"4차"</f>
        <v>4차</v>
      </c>
      <c r="D9680" s="1" t="str">
        <f>"9726P76144"</f>
        <v>9726P76144</v>
      </c>
      <c r="E9680" s="1" t="s">
        <v>10</v>
      </c>
      <c r="F9680" s="1" t="str">
        <f>"10.10.67.170"</f>
        <v>10.10.67.170</v>
      </c>
      <c r="G9680" s="1" t="str">
        <f>"9726P761"</f>
        <v>9726P761</v>
      </c>
      <c r="H9680" s="1" t="str">
        <f>"연궁간 29"</f>
        <v>연궁간 29</v>
      </c>
      <c r="I9680" s="1" t="s">
        <v>8</v>
      </c>
      <c r="J9680" s="1" t="str">
        <f>"24/24"</f>
        <v>24/24</v>
      </c>
      <c r="K9680" s="1" t="str">
        <f>"2026-07-29 13:18:12"</f>
        <v>2026-07-29 13:18:12</v>
      </c>
      <c r="L9680" s="1" t="str">
        <f>"2019-11-01 16:33:28"</f>
        <v>2019-11-01 16:33:28</v>
      </c>
      <c r="M9680" s="1" t="s">
        <v>1</v>
      </c>
      <c r="N9680" s="1" t="s">
        <v>38</v>
      </c>
      <c r="O9680" s="1" t="s">
        <v>46</v>
      </c>
    </row>
    <row r="9681" spans="2:15" x14ac:dyDescent="0.3">
      <c r="B9681" s="1" t="s">
        <v>21</v>
      </c>
      <c r="C9681" s="1" t="str">
        <f>"1차"</f>
        <v>1차</v>
      </c>
      <c r="D9681" s="1" t="str">
        <f>"9726P91200"</f>
        <v>9726P91200</v>
      </c>
      <c r="E9681" s="1" t="s">
        <v>10</v>
      </c>
      <c r="F9681" s="1" t="str">
        <f>"10.128.99.202"</f>
        <v>10.128.99.202</v>
      </c>
      <c r="G9681" s="1" t="str">
        <f>"9726P912"</f>
        <v>9726P912</v>
      </c>
      <c r="H9681" s="1" t="str">
        <f>"이화간 21"</f>
        <v>이화간 21</v>
      </c>
      <c r="I9681" s="1" t="s">
        <v>8</v>
      </c>
      <c r="J9681" s="1" t="str">
        <f>"41/42"</f>
        <v>41/42</v>
      </c>
      <c r="K9681" s="1" t="str">
        <f>"2026-07-29 13:18:10"</f>
        <v>2026-07-29 13:18:10</v>
      </c>
      <c r="L9681" s="1" t="str">
        <f>"2014-12-17 10:58:29"</f>
        <v>2014-12-17 10:58:29</v>
      </c>
      <c r="M9681" s="1" t="s">
        <v>45</v>
      </c>
      <c r="N9681" s="1" t="s">
        <v>38</v>
      </c>
      <c r="O9681" s="1" t="s">
        <v>46</v>
      </c>
    </row>
    <row r="9682" spans="2:15" x14ac:dyDescent="0.3">
      <c r="B9682" s="1" t="s">
        <v>21</v>
      </c>
      <c r="C9682" s="1" t="str">
        <f>"1차"</f>
        <v>1차</v>
      </c>
      <c r="D9682" s="1" t="str">
        <f>"9726P92101"</f>
        <v>9726P92101</v>
      </c>
      <c r="E9682" s="1" t="s">
        <v>14</v>
      </c>
      <c r="F9682" s="1" t="str">
        <f>"10.128.32.150"</f>
        <v>10.128.32.150</v>
      </c>
      <c r="G9682" s="1" t="str">
        <f>"9726P921"</f>
        <v>9726P921</v>
      </c>
      <c r="H9682" s="1" t="str">
        <f>"연궁간 11L3"</f>
        <v>연궁간 11L3</v>
      </c>
      <c r="I9682" s="1" t="s">
        <v>8</v>
      </c>
      <c r="J9682" s="1" t="str">
        <f>"0/0"</f>
        <v>0/0</v>
      </c>
      <c r="K9682" s="1" t="str">
        <f>"2024-01-03 20:03:25"</f>
        <v>2024-01-03 20:03:25</v>
      </c>
      <c r="L9682" s="1" t="str">
        <f>"2015-02-06 12:19:37"</f>
        <v>2015-02-06 12:19:37</v>
      </c>
      <c r="M9682" s="1" t="s">
        <v>45</v>
      </c>
      <c r="N9682" s="1" t="s">
        <v>44</v>
      </c>
      <c r="O9682" s="1" t="s">
        <v>44</v>
      </c>
    </row>
    <row r="9683" spans="2:15" x14ac:dyDescent="0.3">
      <c r="B9683" s="1" t="s">
        <v>21</v>
      </c>
      <c r="C9683" s="1" t="str">
        <f>"4차"</f>
        <v>4차</v>
      </c>
      <c r="D9683" s="1" t="str">
        <f>"9726P97144"</f>
        <v>9726P97144</v>
      </c>
      <c r="E9683" s="1" t="s">
        <v>10</v>
      </c>
      <c r="F9683" s="1" t="str">
        <f>"10.10.67.162"</f>
        <v>10.10.67.162</v>
      </c>
      <c r="G9683" s="1" t="str">
        <f>"9726P971"</f>
        <v>9726P971</v>
      </c>
      <c r="H9683" s="1" t="str">
        <f>"연궁간 26"</f>
        <v>연궁간 26</v>
      </c>
      <c r="I9683" s="1" t="s">
        <v>8</v>
      </c>
      <c r="J9683" s="1" t="str">
        <f>"31/39"</f>
        <v>31/39</v>
      </c>
      <c r="K9683" s="1" t="str">
        <f>"2026-07-29 13:18:12"</f>
        <v>2026-07-29 13:18:12</v>
      </c>
      <c r="L9683" s="1" t="str">
        <f>"2019-11-01 16:22:43"</f>
        <v>2019-11-01 16:22:43</v>
      </c>
      <c r="M9683" s="1" t="s">
        <v>1</v>
      </c>
      <c r="N9683" s="1" t="s">
        <v>38</v>
      </c>
      <c r="O9683" s="1" t="s">
        <v>46</v>
      </c>
    </row>
    <row r="9684" spans="2:15" x14ac:dyDescent="0.3">
      <c r="B9684" s="1" t="s">
        <v>21</v>
      </c>
      <c r="C9684" s="1" t="str">
        <f>"4차"</f>
        <v>4차</v>
      </c>
      <c r="D9684" s="1" t="str">
        <f>"9726P99244"</f>
        <v>9726P99244</v>
      </c>
      <c r="E9684" s="1" t="s">
        <v>10</v>
      </c>
      <c r="F9684" s="1" t="str">
        <f>"10.10.110.138"</f>
        <v>10.10.110.138</v>
      </c>
      <c r="G9684" s="1" t="str">
        <f>"9726P992"</f>
        <v>9726P992</v>
      </c>
      <c r="H9684" s="1" t="str">
        <f>"연궁간 21R3L3"</f>
        <v>연궁간 21R3L3</v>
      </c>
      <c r="I9684" s="1" t="s">
        <v>8</v>
      </c>
      <c r="J9684" s="1" t="str">
        <f>"16/16"</f>
        <v>16/16</v>
      </c>
      <c r="K9684" s="1" t="str">
        <f>"2026-07-29 13:18:12"</f>
        <v>2026-07-29 13:18:12</v>
      </c>
      <c r="L9684" s="1" t="str">
        <f>"2019-11-01 17:23:04"</f>
        <v>2019-11-01 17:23:04</v>
      </c>
      <c r="M9684" s="1" t="s">
        <v>1</v>
      </c>
      <c r="N9684" s="1" t="s">
        <v>38</v>
      </c>
      <c r="O9684" s="1" t="s">
        <v>46</v>
      </c>
    </row>
    <row r="9685" spans="2:15" x14ac:dyDescent="0.3">
      <c r="B9685" s="1" t="s">
        <v>21</v>
      </c>
      <c r="C9685" s="1" t="str">
        <f>"1차"</f>
        <v>1차</v>
      </c>
      <c r="D9685" s="1" t="str">
        <f>"9726Q01102"</f>
        <v>9726Q01102</v>
      </c>
      <c r="E9685" s="1" t="s">
        <v>10</v>
      </c>
      <c r="F9685" s="1" t="str">
        <f>"10.12.131.253"</f>
        <v>10.12.131.253</v>
      </c>
      <c r="G9685" s="1" t="str">
        <f>"9726Q011"</f>
        <v>9726Q011</v>
      </c>
      <c r="H9685" s="1" t="str">
        <f>"연궁간 11L1"</f>
        <v>연궁간 11L1</v>
      </c>
      <c r="I9685" s="1" t="s">
        <v>8</v>
      </c>
      <c r="J9685" s="1" t="str">
        <f>"19/19"</f>
        <v>19/19</v>
      </c>
      <c r="K9685" s="1" t="str">
        <f>"2026-07-29 13:18:11"</f>
        <v>2026-07-29 13:18:11</v>
      </c>
      <c r="L9685" s="1" t="str">
        <f>"2014-12-22 14:28:26"</f>
        <v>2014-12-22 14:28:26</v>
      </c>
      <c r="M9685" s="1" t="s">
        <v>0</v>
      </c>
      <c r="N9685" s="1" t="s">
        <v>38</v>
      </c>
      <c r="O9685" s="1" t="s">
        <v>46</v>
      </c>
    </row>
    <row r="9686" spans="2:15" x14ac:dyDescent="0.3">
      <c r="B9686" s="1" t="s">
        <v>21</v>
      </c>
      <c r="C9686" s="1" t="str">
        <f>"1차"</f>
        <v>1차</v>
      </c>
      <c r="D9686" s="1" t="str">
        <f>"9726Q01200"</f>
        <v>9726Q01200</v>
      </c>
      <c r="E9686" s="1" t="s">
        <v>14</v>
      </c>
      <c r="F9686" s="1" t="str">
        <f>"10.128.32.148"</f>
        <v>10.128.32.148</v>
      </c>
      <c r="G9686" s="1" t="str">
        <f>"9726Q012"</f>
        <v>9726Q012</v>
      </c>
      <c r="H9686" s="1" t="str">
        <f>"연궁간 11L2"</f>
        <v>연궁간 11L2</v>
      </c>
      <c r="I9686" s="1" t="s">
        <v>8</v>
      </c>
      <c r="J9686" s="1" t="str">
        <f>"0/0"</f>
        <v>0/0</v>
      </c>
      <c r="K9686" s="1" t="str">
        <f>"2025-06-24 20:03:25"</f>
        <v>2025-06-24 20:03:25</v>
      </c>
      <c r="L9686" s="1" t="str">
        <f>"2014-12-22 14:28:37"</f>
        <v>2014-12-22 14:28:37</v>
      </c>
      <c r="M9686" s="1" t="s">
        <v>45</v>
      </c>
      <c r="N9686" s="1" t="s">
        <v>44</v>
      </c>
      <c r="O9686" s="1" t="s">
        <v>44</v>
      </c>
    </row>
    <row r="9687" spans="2:15" x14ac:dyDescent="0.3">
      <c r="B9687" s="1" t="s">
        <v>21</v>
      </c>
      <c r="C9687" s="1" t="str">
        <f>"6차"</f>
        <v>6차</v>
      </c>
      <c r="D9687" s="1" t="str">
        <f>"9726Q0326S"</f>
        <v>9726Q0326S</v>
      </c>
      <c r="E9687" s="1" t="s">
        <v>10</v>
      </c>
      <c r="F9687" s="1" t="str">
        <f>"fde1:103:4:c751:0:0:0:2"</f>
        <v>fde1:103:4:c751:0:0:0:2</v>
      </c>
      <c r="G9687" s="1" t="str">
        <f>"9726Q032"</f>
        <v>9726Q032</v>
      </c>
      <c r="H9687" s="1" t="str">
        <f>"연궁간 22L7"</f>
        <v>연궁간 22L7</v>
      </c>
      <c r="I9687" s="1" t="s">
        <v>15</v>
      </c>
      <c r="J9687" s="1" t="str">
        <f>"46/47"</f>
        <v>46/47</v>
      </c>
      <c r="K9687" s="1" t="str">
        <f>"2026-07-29 14:21:04"</f>
        <v>2026-07-29 14:21:04</v>
      </c>
      <c r="L9687" s="1" t="str">
        <f>"2024-12-10 11:24:16"</f>
        <v>2024-12-10 11:24:16</v>
      </c>
      <c r="M9687" s="1" t="s">
        <v>4</v>
      </c>
      <c r="N9687" s="1" t="s">
        <v>38</v>
      </c>
      <c r="O9687" s="1" t="s">
        <v>46</v>
      </c>
    </row>
    <row r="9688" spans="2:15" x14ac:dyDescent="0.3">
      <c r="B9688" s="1" t="s">
        <v>21</v>
      </c>
      <c r="C9688" s="1" t="str">
        <f t="shared" ref="C9688:C9701" si="490">"4차"</f>
        <v>4차</v>
      </c>
      <c r="D9688" s="1" t="str">
        <f>"9726Q06144"</f>
        <v>9726Q06144</v>
      </c>
      <c r="E9688" s="1" t="s">
        <v>10</v>
      </c>
      <c r="F9688" s="1" t="str">
        <f>"10.10.112.50"</f>
        <v>10.10.112.50</v>
      </c>
      <c r="G9688" s="1" t="str">
        <f>"9726Q061"</f>
        <v>9726Q061</v>
      </c>
      <c r="H9688" s="1" t="str">
        <f>"연궁간 24"</f>
        <v>연궁간 24</v>
      </c>
      <c r="I9688" s="1" t="s">
        <v>8</v>
      </c>
      <c r="J9688" s="1" t="str">
        <f>"9/9"</f>
        <v>9/9</v>
      </c>
      <c r="K9688" s="1" t="str">
        <f>"2026-07-29 13:18:12"</f>
        <v>2026-07-29 13:18:12</v>
      </c>
      <c r="L9688" s="1" t="str">
        <f>"2019-11-01 16:18:13"</f>
        <v>2019-11-01 16:18:13</v>
      </c>
      <c r="M9688" s="1" t="s">
        <v>1</v>
      </c>
      <c r="N9688" s="1" t="s">
        <v>38</v>
      </c>
      <c r="O9688" s="1" t="s">
        <v>46</v>
      </c>
    </row>
    <row r="9689" spans="2:15" x14ac:dyDescent="0.3">
      <c r="B9689" s="1" t="s">
        <v>21</v>
      </c>
      <c r="C9689" s="1" t="str">
        <f t="shared" si="490"/>
        <v>4차</v>
      </c>
      <c r="D9689" s="1" t="str">
        <f>"9726Q09144"</f>
        <v>9726Q09144</v>
      </c>
      <c r="E9689" s="1" t="s">
        <v>10</v>
      </c>
      <c r="F9689" s="1" t="str">
        <f>"10.10.67.26"</f>
        <v>10.10.67.26</v>
      </c>
      <c r="G9689" s="1" t="str">
        <f>"9726Q091"</f>
        <v>9726Q091</v>
      </c>
      <c r="H9689" s="1" t="str">
        <f>"연궁간 21R3L2"</f>
        <v>연궁간 21R3L2</v>
      </c>
      <c r="I9689" s="1" t="s">
        <v>8</v>
      </c>
      <c r="J9689" s="1" t="str">
        <f>"17/22"</f>
        <v>17/22</v>
      </c>
      <c r="K9689" s="1" t="str">
        <f>"2026-07-29 13:18:12"</f>
        <v>2026-07-29 13:18:12</v>
      </c>
      <c r="L9689" s="1" t="str">
        <f>"2019-11-01 15:23:05"</f>
        <v>2019-11-01 15:23:05</v>
      </c>
      <c r="M9689" s="1" t="s">
        <v>1</v>
      </c>
      <c r="N9689" s="1" t="s">
        <v>38</v>
      </c>
      <c r="O9689" s="1" t="s">
        <v>46</v>
      </c>
    </row>
    <row r="9690" spans="2:15" x14ac:dyDescent="0.3">
      <c r="B9690" s="1" t="s">
        <v>21</v>
      </c>
      <c r="C9690" s="1" t="str">
        <f t="shared" si="490"/>
        <v>4차</v>
      </c>
      <c r="D9690" s="1" t="str">
        <f>"9726Q12144"</f>
        <v>9726Q12144</v>
      </c>
      <c r="E9690" s="1" t="s">
        <v>10</v>
      </c>
      <c r="F9690" s="1" t="str">
        <f>"10.10.66.106"</f>
        <v>10.10.66.106</v>
      </c>
      <c r="G9690" s="1" t="str">
        <f>"9726Q121"</f>
        <v>9726Q121</v>
      </c>
      <c r="H9690" s="1" t="str">
        <f>"연궁간 11"</f>
        <v>연궁간 11</v>
      </c>
      <c r="I9690" s="1" t="s">
        <v>8</v>
      </c>
      <c r="J9690" s="1" t="str">
        <f>"25/25"</f>
        <v>25/25</v>
      </c>
      <c r="K9690" s="1" t="str">
        <f>"2026-07-29 13:18:12"</f>
        <v>2026-07-29 13:18:12</v>
      </c>
      <c r="L9690" s="1" t="str">
        <f>"2019-11-01 16:04:14"</f>
        <v>2019-11-01 16:04:14</v>
      </c>
      <c r="M9690" s="1" t="s">
        <v>1</v>
      </c>
      <c r="N9690" s="1" t="s">
        <v>38</v>
      </c>
      <c r="O9690" s="1" t="s">
        <v>46</v>
      </c>
    </row>
    <row r="9691" spans="2:15" x14ac:dyDescent="0.3">
      <c r="B9691" s="1" t="s">
        <v>21</v>
      </c>
      <c r="C9691" s="1" t="str">
        <f t="shared" si="490"/>
        <v>4차</v>
      </c>
      <c r="D9691" s="1" t="str">
        <f>"9726Q16144"</f>
        <v>9726Q16144</v>
      </c>
      <c r="E9691" s="1" t="s">
        <v>10</v>
      </c>
      <c r="F9691" s="1" t="str">
        <f>"10.10.67.154"</f>
        <v>10.10.67.154</v>
      </c>
      <c r="G9691" s="1" t="str">
        <f>"9726Q161"</f>
        <v>9726Q161</v>
      </c>
      <c r="H9691" s="1" t="str">
        <f>"연궁간 23"</f>
        <v>연궁간 23</v>
      </c>
      <c r="I9691" s="1" t="s">
        <v>8</v>
      </c>
      <c r="J9691" s="1" t="str">
        <f>"19/35"</f>
        <v>19/35</v>
      </c>
      <c r="K9691" s="1" t="str">
        <f>"2026-07-29 13:18:10"</f>
        <v>2026-07-29 13:18:10</v>
      </c>
      <c r="L9691" s="1" t="str">
        <f>"2019-11-01 16:13:04"</f>
        <v>2019-11-01 16:13:04</v>
      </c>
      <c r="M9691" s="1" t="s">
        <v>1</v>
      </c>
      <c r="N9691" s="1" t="s">
        <v>38</v>
      </c>
      <c r="O9691" s="1" t="s">
        <v>46</v>
      </c>
    </row>
    <row r="9692" spans="2:15" x14ac:dyDescent="0.3">
      <c r="B9692" s="1" t="s">
        <v>21</v>
      </c>
      <c r="C9692" s="1" t="str">
        <f t="shared" si="490"/>
        <v>4차</v>
      </c>
      <c r="D9692" s="1" t="str">
        <f>"9726Q20144"</f>
        <v>9726Q20144</v>
      </c>
      <c r="E9692" s="1" t="s">
        <v>10</v>
      </c>
      <c r="F9692" s="1" t="str">
        <f>"10.10.68.10"</f>
        <v>10.10.68.10</v>
      </c>
      <c r="G9692" s="1" t="str">
        <f>"9726Q201"</f>
        <v>9726Q201</v>
      </c>
      <c r="H9692" s="1" t="str">
        <f>"연궁간 7L1"</f>
        <v>연궁간 7L1</v>
      </c>
      <c r="I9692" s="1" t="s">
        <v>8</v>
      </c>
      <c r="J9692" s="1" t="str">
        <f>"14/20"</f>
        <v>14/20</v>
      </c>
      <c r="K9692" s="1" t="str">
        <f>"2026-07-29 13:18:10"</f>
        <v>2026-07-29 13:18:10</v>
      </c>
      <c r="L9692" s="1" t="str">
        <f>"2019-11-07 18:05:01"</f>
        <v>2019-11-07 18:05:01</v>
      </c>
      <c r="M9692" s="1" t="s">
        <v>1</v>
      </c>
      <c r="N9692" s="1" t="s">
        <v>38</v>
      </c>
      <c r="O9692" s="1" t="s">
        <v>46</v>
      </c>
    </row>
    <row r="9693" spans="2:15" x14ac:dyDescent="0.3">
      <c r="B9693" s="1" t="s">
        <v>21</v>
      </c>
      <c r="C9693" s="1" t="str">
        <f t="shared" si="490"/>
        <v>4차</v>
      </c>
      <c r="D9693" s="1" t="str">
        <f>"9726Q21144"</f>
        <v>9726Q21144</v>
      </c>
      <c r="E9693" s="1" t="s">
        <v>10</v>
      </c>
      <c r="F9693" s="1" t="str">
        <f>"10.10.68.18"</f>
        <v>10.10.68.18</v>
      </c>
      <c r="G9693" s="1" t="str">
        <f>"9726Q211"</f>
        <v>9726Q211</v>
      </c>
      <c r="H9693" s="1" t="str">
        <f>"연궁간 9"</f>
        <v>연궁간 9</v>
      </c>
      <c r="I9693" s="1" t="s">
        <v>8</v>
      </c>
      <c r="J9693" s="1" t="str">
        <f>"30/30"</f>
        <v>30/30</v>
      </c>
      <c r="K9693" s="1" t="str">
        <f>"2026-07-29 13:18:12"</f>
        <v>2026-07-29 13:18:12</v>
      </c>
      <c r="L9693" s="1" t="str">
        <f>"2019-11-07 18:38:15"</f>
        <v>2019-11-07 18:38:15</v>
      </c>
      <c r="M9693" s="1" t="s">
        <v>1</v>
      </c>
      <c r="N9693" s="1" t="s">
        <v>38</v>
      </c>
      <c r="O9693" s="1" t="s">
        <v>46</v>
      </c>
    </row>
    <row r="9694" spans="2:15" x14ac:dyDescent="0.3">
      <c r="B9694" s="1" t="s">
        <v>21</v>
      </c>
      <c r="C9694" s="1" t="str">
        <f t="shared" si="490"/>
        <v>4차</v>
      </c>
      <c r="D9694" s="1" t="str">
        <f>"9726Q26144"</f>
        <v>9726Q26144</v>
      </c>
      <c r="E9694" s="1" t="s">
        <v>10</v>
      </c>
      <c r="F9694" s="1" t="str">
        <f>"10.10.108.186"</f>
        <v>10.10.108.186</v>
      </c>
      <c r="G9694" s="1" t="str">
        <f>"9726Q261"</f>
        <v>9726Q261</v>
      </c>
      <c r="H9694" s="1" t="str">
        <f>"연궁간 20"</f>
        <v>연궁간 20</v>
      </c>
      <c r="I9694" s="1" t="s">
        <v>8</v>
      </c>
      <c r="J9694" s="1" t="str">
        <f>"5/5"</f>
        <v>5/5</v>
      </c>
      <c r="K9694" s="1" t="str">
        <f>"2026-07-29 13:18:10"</f>
        <v>2026-07-29 13:18:10</v>
      </c>
      <c r="L9694" s="1" t="str">
        <f>"2019-11-12 20:37:27"</f>
        <v>2019-11-12 20:37:27</v>
      </c>
      <c r="M9694" s="1" t="s">
        <v>1</v>
      </c>
      <c r="N9694" s="1" t="s">
        <v>38</v>
      </c>
      <c r="O9694" s="1" t="s">
        <v>46</v>
      </c>
    </row>
    <row r="9695" spans="2:15" x14ac:dyDescent="0.3">
      <c r="B9695" s="1" t="s">
        <v>21</v>
      </c>
      <c r="C9695" s="1" t="str">
        <f t="shared" si="490"/>
        <v>4차</v>
      </c>
      <c r="D9695" s="1" t="str">
        <f>"9726Q27344"</f>
        <v>9726Q27344</v>
      </c>
      <c r="E9695" s="1" t="s">
        <v>10</v>
      </c>
      <c r="F9695" s="1" t="str">
        <f>"10.10.69.178"</f>
        <v>10.10.69.178</v>
      </c>
      <c r="G9695" s="1" t="str">
        <f>"9726Q273"</f>
        <v>9726Q273</v>
      </c>
      <c r="H9695" s="1" t="str">
        <f>"연궁간 21B1"</f>
        <v>연궁간 21B1</v>
      </c>
      <c r="I9695" s="1" t="s">
        <v>8</v>
      </c>
      <c r="J9695" s="1" t="str">
        <f>"13/13"</f>
        <v>13/13</v>
      </c>
      <c r="K9695" s="1" t="str">
        <f>"2026-07-29 13:18:12"</f>
        <v>2026-07-29 13:18:12</v>
      </c>
      <c r="L9695" s="1" t="str">
        <f>"2019-12-11 18:36:58"</f>
        <v>2019-12-11 18:36:58</v>
      </c>
      <c r="M9695" s="1" t="s">
        <v>1</v>
      </c>
      <c r="N9695" s="1" t="s">
        <v>38</v>
      </c>
      <c r="O9695" s="1" t="s">
        <v>46</v>
      </c>
    </row>
    <row r="9696" spans="2:15" x14ac:dyDescent="0.3">
      <c r="B9696" s="1" t="s">
        <v>21</v>
      </c>
      <c r="C9696" s="1" t="str">
        <f t="shared" si="490"/>
        <v>4차</v>
      </c>
      <c r="D9696" s="1" t="str">
        <f>"9726Q29144"</f>
        <v>9726Q29144</v>
      </c>
      <c r="E9696" s="1" t="s">
        <v>10</v>
      </c>
      <c r="F9696" s="1" t="str">
        <f>"10.10.108.170"</f>
        <v>10.10.108.170</v>
      </c>
      <c r="G9696" s="1" t="str">
        <f>"9726Q291"</f>
        <v>9726Q291</v>
      </c>
      <c r="H9696" s="1" t="str">
        <f>"연궁간 21B2L2"</f>
        <v>연궁간 21B2L2</v>
      </c>
      <c r="I9696" s="1" t="s">
        <v>8</v>
      </c>
      <c r="J9696" s="1" t="str">
        <f>"12/12"</f>
        <v>12/12</v>
      </c>
      <c r="K9696" s="1" t="str">
        <f>"2026-07-29 13:18:12"</f>
        <v>2026-07-29 13:18:12</v>
      </c>
      <c r="L9696" s="1" t="str">
        <f>"2019-11-01 15:33:05"</f>
        <v>2019-11-01 15:33:05</v>
      </c>
      <c r="M9696" s="1" t="s">
        <v>1</v>
      </c>
      <c r="N9696" s="1" t="s">
        <v>38</v>
      </c>
      <c r="O9696" s="1" t="s">
        <v>46</v>
      </c>
    </row>
    <row r="9697" spans="2:15" x14ac:dyDescent="0.3">
      <c r="B9697" s="1" t="s">
        <v>21</v>
      </c>
      <c r="C9697" s="1" t="str">
        <f t="shared" si="490"/>
        <v>4차</v>
      </c>
      <c r="D9697" s="1" t="str">
        <f>"9726Q34144"</f>
        <v>9726Q34144</v>
      </c>
      <c r="E9697" s="1" t="s">
        <v>10</v>
      </c>
      <c r="F9697" s="1" t="str">
        <f>"10.10.66.114"</f>
        <v>10.10.66.114</v>
      </c>
      <c r="G9697" s="1" t="str">
        <f>"9726Q341"</f>
        <v>9726Q341</v>
      </c>
      <c r="H9697" s="1" t="str">
        <f>"연궁간 14"</f>
        <v>연궁간 14</v>
      </c>
      <c r="I9697" s="1" t="s">
        <v>8</v>
      </c>
      <c r="J9697" s="1" t="str">
        <f>"19/19"</f>
        <v>19/19</v>
      </c>
      <c r="K9697" s="1" t="str">
        <f>"2026-07-29 13:18:12"</f>
        <v>2026-07-29 13:18:12</v>
      </c>
      <c r="L9697" s="1" t="str">
        <f>"2019-11-01 16:08:13"</f>
        <v>2019-11-01 16:08:13</v>
      </c>
      <c r="M9697" s="1" t="s">
        <v>1</v>
      </c>
      <c r="N9697" s="1" t="s">
        <v>38</v>
      </c>
      <c r="O9697" s="1" t="s">
        <v>46</v>
      </c>
    </row>
    <row r="9698" spans="2:15" x14ac:dyDescent="0.3">
      <c r="B9698" s="1" t="s">
        <v>21</v>
      </c>
      <c r="C9698" s="1" t="str">
        <f t="shared" si="490"/>
        <v>4차</v>
      </c>
      <c r="D9698" s="1" t="str">
        <f>"9726Q37144"</f>
        <v>9726Q37144</v>
      </c>
      <c r="E9698" s="1" t="s">
        <v>10</v>
      </c>
      <c r="F9698" s="1" t="str">
        <f>"10.10.108.154"</f>
        <v>10.10.108.154</v>
      </c>
      <c r="G9698" s="1" t="str">
        <f>"9726Q371"</f>
        <v>9726Q371</v>
      </c>
      <c r="H9698" s="1" t="str">
        <f>"연궁간 21B2R1"</f>
        <v>연궁간 21B2R1</v>
      </c>
      <c r="I9698" s="1" t="s">
        <v>8</v>
      </c>
      <c r="J9698" s="1" t="str">
        <f>"14/14"</f>
        <v>14/14</v>
      </c>
      <c r="K9698" s="1" t="str">
        <f>"2026-07-29 13:18:10"</f>
        <v>2026-07-29 13:18:10</v>
      </c>
      <c r="L9698" s="1" t="str">
        <f>"2019-11-01 16:23:04"</f>
        <v>2019-11-01 16:23:04</v>
      </c>
      <c r="M9698" s="1" t="s">
        <v>1</v>
      </c>
      <c r="N9698" s="1" t="s">
        <v>38</v>
      </c>
      <c r="O9698" s="1" t="s">
        <v>46</v>
      </c>
    </row>
    <row r="9699" spans="2:15" x14ac:dyDescent="0.3">
      <c r="B9699" s="1" t="s">
        <v>21</v>
      </c>
      <c r="C9699" s="1" t="str">
        <f t="shared" si="490"/>
        <v>4차</v>
      </c>
      <c r="D9699" s="1" t="str">
        <f>"9726Q39244"</f>
        <v>9726Q39244</v>
      </c>
      <c r="E9699" s="1" t="s">
        <v>10</v>
      </c>
      <c r="F9699" s="1" t="str">
        <f>"10.10.67.146"</f>
        <v>10.10.67.146</v>
      </c>
      <c r="G9699" s="1" t="str">
        <f>"9726Q392"</f>
        <v>9726Q392</v>
      </c>
      <c r="H9699" s="1" t="str">
        <f>"연궁간 21R6R2"</f>
        <v>연궁간 21R6R2</v>
      </c>
      <c r="I9699" s="1" t="s">
        <v>8</v>
      </c>
      <c r="J9699" s="1" t="str">
        <f>"22/22"</f>
        <v>22/22</v>
      </c>
      <c r="K9699" s="1" t="str">
        <f>"2026-07-29 13:18:10"</f>
        <v>2026-07-29 13:18:10</v>
      </c>
      <c r="L9699" s="1" t="str">
        <f>"2019-11-01 15:23:28"</f>
        <v>2019-11-01 15:23:28</v>
      </c>
      <c r="M9699" s="1" t="s">
        <v>1</v>
      </c>
      <c r="N9699" s="1" t="s">
        <v>38</v>
      </c>
      <c r="O9699" s="1" t="s">
        <v>46</v>
      </c>
    </row>
    <row r="9700" spans="2:15" x14ac:dyDescent="0.3">
      <c r="B9700" s="1" t="s">
        <v>21</v>
      </c>
      <c r="C9700" s="1" t="str">
        <f t="shared" si="490"/>
        <v>4차</v>
      </c>
      <c r="D9700" s="1" t="str">
        <f>"9726Q41144"</f>
        <v>9726Q41144</v>
      </c>
      <c r="E9700" s="1" t="s">
        <v>10</v>
      </c>
      <c r="F9700" s="1" t="str">
        <f>"10.10.68.2"</f>
        <v>10.10.68.2</v>
      </c>
      <c r="G9700" s="1" t="str">
        <f>"9726Q411"</f>
        <v>9726Q411</v>
      </c>
      <c r="H9700" s="1" t="str">
        <f>"연궁간 5"</f>
        <v>연궁간 5</v>
      </c>
      <c r="I9700" s="1" t="s">
        <v>8</v>
      </c>
      <c r="J9700" s="1" t="str">
        <f>"1/9"</f>
        <v>1/9</v>
      </c>
      <c r="K9700" s="1" t="str">
        <f>"2026-07-29 13:18:12"</f>
        <v>2026-07-29 13:18:12</v>
      </c>
      <c r="L9700" s="1" t="str">
        <f>"2019-11-07 17:49:45"</f>
        <v>2019-11-07 17:49:45</v>
      </c>
      <c r="M9700" s="1" t="s">
        <v>1</v>
      </c>
      <c r="N9700" s="1" t="s">
        <v>38</v>
      </c>
      <c r="O9700" s="1" t="s">
        <v>46</v>
      </c>
    </row>
    <row r="9701" spans="2:15" x14ac:dyDescent="0.3">
      <c r="B9701" s="1" t="s">
        <v>21</v>
      </c>
      <c r="C9701" s="1" t="str">
        <f t="shared" si="490"/>
        <v>4차</v>
      </c>
      <c r="D9701" s="1" t="str">
        <f>"9726Q42241"</f>
        <v>9726Q42241</v>
      </c>
      <c r="E9701" s="1" t="s">
        <v>10</v>
      </c>
      <c r="F9701" s="1" t="str">
        <f>"10.14.15.181"</f>
        <v>10.14.15.181</v>
      </c>
      <c r="G9701" s="1" t="str">
        <f>"9726Q422"</f>
        <v>9726Q422</v>
      </c>
      <c r="H9701" s="1" t="str">
        <f>"연궁간 4"</f>
        <v>연궁간 4</v>
      </c>
      <c r="I9701" s="1" t="s">
        <v>17</v>
      </c>
      <c r="J9701" s="1" t="str">
        <f>"22/39"</f>
        <v>22/39</v>
      </c>
      <c r="K9701" s="1" t="str">
        <f>"2026-07-29 13:18:12"</f>
        <v>2026-07-29 13:18:12</v>
      </c>
      <c r="L9701" s="1" t="str">
        <f>"2021-08-11 15:06:23"</f>
        <v>2021-08-11 15:06:23</v>
      </c>
      <c r="M9701" s="1" t="s">
        <v>3</v>
      </c>
      <c r="N9701" s="1" t="s">
        <v>38</v>
      </c>
      <c r="O9701" s="1" t="s">
        <v>46</v>
      </c>
    </row>
    <row r="9702" spans="2:15" x14ac:dyDescent="0.3">
      <c r="B9702" s="1" t="s">
        <v>21</v>
      </c>
      <c r="C9702" s="1" t="str">
        <f>"1차"</f>
        <v>1차</v>
      </c>
      <c r="D9702" s="1" t="str">
        <f>"9726Q50302"</f>
        <v>9726Q50302</v>
      </c>
      <c r="E9702" s="1" t="s">
        <v>10</v>
      </c>
      <c r="F9702" s="1" t="str">
        <f>"10.128.99.18"</f>
        <v>10.128.99.18</v>
      </c>
      <c r="G9702" s="1" t="str">
        <f>"9726Q503"</f>
        <v>9726Q503</v>
      </c>
      <c r="H9702" s="1" t="str">
        <f>"연희간 7L2L2"</f>
        <v>연희간 7L2L2</v>
      </c>
      <c r="I9702" s="1" t="s">
        <v>8</v>
      </c>
      <c r="J9702" s="1" t="str">
        <f>"6/6"</f>
        <v>6/6</v>
      </c>
      <c r="K9702" s="1" t="str">
        <f>"2026-07-29 13:18:10"</f>
        <v>2026-07-29 13:18:10</v>
      </c>
      <c r="L9702" s="1" t="str">
        <f>"2014-12-22 14:43:10"</f>
        <v>2014-12-22 14:43:10</v>
      </c>
      <c r="M9702" s="1" t="s">
        <v>45</v>
      </c>
      <c r="N9702" s="1" t="s">
        <v>38</v>
      </c>
      <c r="O9702" s="1" t="s">
        <v>46</v>
      </c>
    </row>
    <row r="9703" spans="2:15" x14ac:dyDescent="0.3">
      <c r="B9703" s="1" t="s">
        <v>21</v>
      </c>
      <c r="C9703" s="1" t="str">
        <f>"4차"</f>
        <v>4차</v>
      </c>
      <c r="D9703" s="1" t="str">
        <f>"9726Q55144"</f>
        <v>9726Q55144</v>
      </c>
      <c r="E9703" s="1" t="s">
        <v>10</v>
      </c>
      <c r="F9703" s="1" t="str">
        <f>"10.10.66.202"</f>
        <v>10.10.66.202</v>
      </c>
      <c r="G9703" s="1" t="str">
        <f>"9726Q551"</f>
        <v>9726Q551</v>
      </c>
      <c r="H9703" s="1" t="str">
        <f>"연궁간 16R2"</f>
        <v>연궁간 16R2</v>
      </c>
      <c r="I9703" s="1" t="s">
        <v>8</v>
      </c>
      <c r="J9703" s="1" t="str">
        <f>"23/23"</f>
        <v>23/23</v>
      </c>
      <c r="K9703" s="1" t="str">
        <f>"2026-07-29 13:18:12"</f>
        <v>2026-07-29 13:18:12</v>
      </c>
      <c r="L9703" s="1" t="str">
        <f>"2019-11-01 16:04:58"</f>
        <v>2019-11-01 16:04:58</v>
      </c>
      <c r="M9703" s="1" t="s">
        <v>1</v>
      </c>
      <c r="N9703" s="1" t="s">
        <v>38</v>
      </c>
      <c r="O9703" s="1" t="s">
        <v>46</v>
      </c>
    </row>
    <row r="9704" spans="2:15" x14ac:dyDescent="0.3">
      <c r="B9704" s="1" t="s">
        <v>21</v>
      </c>
      <c r="C9704" s="1" t="str">
        <f>"4차"</f>
        <v>4차</v>
      </c>
      <c r="D9704" s="1" t="str">
        <f>"9726Q57141"</f>
        <v>9726Q57141</v>
      </c>
      <c r="E9704" s="1" t="s">
        <v>10</v>
      </c>
      <c r="F9704" s="1" t="str">
        <f>"10.12.131.4"</f>
        <v>10.12.131.4</v>
      </c>
      <c r="G9704" s="1" t="str">
        <f>"9726Q571"</f>
        <v>9726Q571</v>
      </c>
      <c r="H9704" s="1" t="str">
        <f>"연궁간 16R3L2"</f>
        <v>연궁간 16R3L2</v>
      </c>
      <c r="I9704" s="1" t="s">
        <v>17</v>
      </c>
      <c r="J9704" s="1" t="str">
        <f>"6/7"</f>
        <v>6/7</v>
      </c>
      <c r="K9704" s="1" t="str">
        <f>"2026-07-29 13:18:13"</f>
        <v>2026-07-29 13:18:13</v>
      </c>
      <c r="L9704" s="1" t="str">
        <f>"2021-08-13 07:40:54"</f>
        <v>2021-08-13 07:40:54</v>
      </c>
      <c r="M9704" s="1" t="s">
        <v>0</v>
      </c>
      <c r="N9704" s="1" t="s">
        <v>38</v>
      </c>
      <c r="O9704" s="1" t="s">
        <v>46</v>
      </c>
    </row>
    <row r="9705" spans="2:15" x14ac:dyDescent="0.3">
      <c r="B9705" s="1" t="s">
        <v>21</v>
      </c>
      <c r="C9705" s="1" t="str">
        <f>"4차"</f>
        <v>4차</v>
      </c>
      <c r="D9705" s="1" t="str">
        <f>"9726Q59144"</f>
        <v>9726Q59144</v>
      </c>
      <c r="E9705" s="1" t="s">
        <v>10</v>
      </c>
      <c r="F9705" s="1" t="str">
        <f>"10.10.67.18"</f>
        <v>10.10.67.18</v>
      </c>
      <c r="G9705" s="1" t="str">
        <f>"9726Q591"</f>
        <v>9726Q591</v>
      </c>
      <c r="H9705" s="1" t="str">
        <f>"연궁간 21B5"</f>
        <v>연궁간 21B5</v>
      </c>
      <c r="I9705" s="1" t="s">
        <v>8</v>
      </c>
      <c r="J9705" s="1" t="str">
        <f>"19/20"</f>
        <v>19/20</v>
      </c>
      <c r="K9705" s="1" t="str">
        <f>"2026-07-29 13:18:12"</f>
        <v>2026-07-29 13:18:12</v>
      </c>
      <c r="L9705" s="1" t="str">
        <f>"2019-11-01 15:18:15"</f>
        <v>2019-11-01 15:18:15</v>
      </c>
      <c r="M9705" s="1" t="s">
        <v>1</v>
      </c>
      <c r="N9705" s="1" t="s">
        <v>38</v>
      </c>
      <c r="O9705" s="1" t="s">
        <v>46</v>
      </c>
    </row>
    <row r="9706" spans="2:15" x14ac:dyDescent="0.3">
      <c r="B9706" s="1" t="s">
        <v>21</v>
      </c>
      <c r="C9706" s="1" t="str">
        <f>"1차"</f>
        <v>1차</v>
      </c>
      <c r="D9706" s="1" t="str">
        <f>"9726Q60100"</f>
        <v>9726Q60100</v>
      </c>
      <c r="E9706" s="1" t="s">
        <v>14</v>
      </c>
      <c r="F9706" s="1" t="str">
        <f>"10.128.99.90"</f>
        <v>10.128.99.90</v>
      </c>
      <c r="G9706" s="1" t="str">
        <f>"9726Q601"</f>
        <v>9726Q601</v>
      </c>
      <c r="H9706" s="1" t="str">
        <f>"연희간 7L4L1"</f>
        <v>연희간 7L4L1</v>
      </c>
      <c r="I9706" s="1" t="s">
        <v>8</v>
      </c>
      <c r="J9706" s="1" t="str">
        <f>"0/0"</f>
        <v>0/0</v>
      </c>
      <c r="K9706" s="1" t="str">
        <f>"2025-08-22 13:21:13"</f>
        <v>2025-08-22 13:21:13</v>
      </c>
      <c r="L9706" s="1" t="str">
        <f>"2014-12-17 10:43:26"</f>
        <v>2014-12-17 10:43:26</v>
      </c>
      <c r="M9706" s="1" t="s">
        <v>45</v>
      </c>
      <c r="N9706" s="1" t="s">
        <v>44</v>
      </c>
      <c r="O9706" s="1" t="s">
        <v>44</v>
      </c>
    </row>
    <row r="9707" spans="2:15" x14ac:dyDescent="0.3">
      <c r="B9707" s="1" t="s">
        <v>21</v>
      </c>
      <c r="C9707" s="1" t="str">
        <f>"6차"</f>
        <v>6차</v>
      </c>
      <c r="D9707" s="1" t="str">
        <f>"9726Q6026S"</f>
        <v>9726Q6026S</v>
      </c>
      <c r="E9707" s="1" t="s">
        <v>10</v>
      </c>
      <c r="F9707" s="1" t="str">
        <f>"fde1:103:4:c719:0:0:0:2"</f>
        <v>fde1:103:4:c719:0:0:0:2</v>
      </c>
      <c r="G9707" s="1" t="str">
        <f>"9726Q602"</f>
        <v>9726Q602</v>
      </c>
      <c r="H9707" s="1" t="str">
        <f>"연희간 7L4L2"</f>
        <v>연희간 7L4L2</v>
      </c>
      <c r="I9707" s="1" t="s">
        <v>15</v>
      </c>
      <c r="J9707" s="1" t="str">
        <f>"3/3"</f>
        <v>3/3</v>
      </c>
      <c r="K9707" s="1" t="str">
        <f>"2026-07-29 14:21:04"</f>
        <v>2026-07-29 14:21:04</v>
      </c>
      <c r="L9707" s="1" t="str">
        <f>"2025-01-17 17:36:46"</f>
        <v>2025-01-17 17:36:46</v>
      </c>
      <c r="M9707" s="1" t="s">
        <v>4</v>
      </c>
      <c r="N9707" s="1" t="s">
        <v>38</v>
      </c>
      <c r="O9707" s="1" t="s">
        <v>46</v>
      </c>
    </row>
    <row r="9708" spans="2:15" x14ac:dyDescent="0.3">
      <c r="B9708" s="1" t="s">
        <v>21</v>
      </c>
      <c r="C9708" s="1" t="str">
        <f>"1차"</f>
        <v>1차</v>
      </c>
      <c r="D9708" s="1" t="str">
        <f>"9726Q61300"</f>
        <v>9726Q61300</v>
      </c>
      <c r="E9708" s="1" t="s">
        <v>10</v>
      </c>
      <c r="F9708" s="1" t="str">
        <f>"10.128.98.18"</f>
        <v>10.128.98.18</v>
      </c>
      <c r="G9708" s="1" t="str">
        <f>"9726Q613"</f>
        <v>9726Q613</v>
      </c>
      <c r="H9708" s="1" t="str">
        <f>"화교간 33"</f>
        <v>화교간 33</v>
      </c>
      <c r="I9708" s="1" t="s">
        <v>8</v>
      </c>
      <c r="J9708" s="1" t="str">
        <f>"9/9"</f>
        <v>9/9</v>
      </c>
      <c r="K9708" s="1" t="str">
        <f>"2026-07-29 13:18:12"</f>
        <v>2026-07-29 13:18:12</v>
      </c>
      <c r="L9708" s="1" t="str">
        <f>"2014-12-22 14:43:47"</f>
        <v>2014-12-22 14:43:47</v>
      </c>
      <c r="M9708" s="1" t="s">
        <v>45</v>
      </c>
      <c r="N9708" s="1" t="s">
        <v>38</v>
      </c>
      <c r="O9708" s="1" t="s">
        <v>46</v>
      </c>
    </row>
    <row r="9709" spans="2:15" x14ac:dyDescent="0.3">
      <c r="B9709" s="1" t="s">
        <v>21</v>
      </c>
      <c r="C9709" s="1" t="str">
        <f>"4차"</f>
        <v>4차</v>
      </c>
      <c r="D9709" s="1" t="str">
        <f>"9726Q64141"</f>
        <v>9726Q64141</v>
      </c>
      <c r="E9709" s="1" t="s">
        <v>10</v>
      </c>
      <c r="F9709" s="1" t="str">
        <f>"10.14.14.182"</f>
        <v>10.14.14.182</v>
      </c>
      <c r="G9709" s="1" t="str">
        <f>"9726Q641"</f>
        <v>9726Q641</v>
      </c>
      <c r="H9709" s="1" t="str">
        <f>"연궁간 2R2"</f>
        <v>연궁간 2R2</v>
      </c>
      <c r="I9709" s="1" t="s">
        <v>17</v>
      </c>
      <c r="J9709" s="1" t="str">
        <f>"4/6"</f>
        <v>4/6</v>
      </c>
      <c r="K9709" s="1" t="str">
        <f>"2026-07-29 13:18:12"</f>
        <v>2026-07-29 13:18:12</v>
      </c>
      <c r="L9709" s="1" t="str">
        <f>"2021-08-13 08:23:04"</f>
        <v>2021-08-13 08:23:04</v>
      </c>
      <c r="M9709" s="1" t="s">
        <v>3</v>
      </c>
      <c r="N9709" s="1" t="s">
        <v>38</v>
      </c>
      <c r="O9709" s="1" t="s">
        <v>46</v>
      </c>
    </row>
    <row r="9710" spans="2:15" x14ac:dyDescent="0.3">
      <c r="B9710" s="1" t="s">
        <v>21</v>
      </c>
      <c r="C9710" s="1" t="str">
        <f>"4차"</f>
        <v>4차</v>
      </c>
      <c r="D9710" s="1" t="str">
        <f>"9726Q66144"</f>
        <v>9726Q66144</v>
      </c>
      <c r="E9710" s="1" t="s">
        <v>10</v>
      </c>
      <c r="F9710" s="1" t="str">
        <f>"10.10.66.234"</f>
        <v>10.10.66.234</v>
      </c>
      <c r="G9710" s="1" t="str">
        <f>"9726Q661"</f>
        <v>9726Q661</v>
      </c>
      <c r="H9710" s="1" t="str">
        <f>"연궁간 16R4"</f>
        <v>연궁간 16R4</v>
      </c>
      <c r="I9710" s="1" t="s">
        <v>8</v>
      </c>
      <c r="J9710" s="1" t="str">
        <f>"21/21"</f>
        <v>21/21</v>
      </c>
      <c r="K9710" s="1" t="str">
        <f>"2026-07-29 13:18:10"</f>
        <v>2026-07-29 13:18:10</v>
      </c>
      <c r="L9710" s="1" t="str">
        <f>"2019-11-01 16:13:03"</f>
        <v>2019-11-01 16:13:03</v>
      </c>
      <c r="M9710" s="1" t="s">
        <v>1</v>
      </c>
      <c r="N9710" s="1" t="s">
        <v>38</v>
      </c>
      <c r="O9710" s="1" t="s">
        <v>46</v>
      </c>
    </row>
    <row r="9711" spans="2:15" x14ac:dyDescent="0.3">
      <c r="B9711" s="1" t="s">
        <v>21</v>
      </c>
      <c r="C9711" s="1" t="str">
        <f>"4차"</f>
        <v>4차</v>
      </c>
      <c r="D9711" s="1" t="str">
        <f>"9726Q72142"</f>
        <v>9726Q72142</v>
      </c>
      <c r="E9711" s="1" t="s">
        <v>10</v>
      </c>
      <c r="F9711" s="1" t="str">
        <f>"10.128.99.234"</f>
        <v>10.128.99.234</v>
      </c>
      <c r="G9711" s="1" t="str">
        <f>"9726Q721"</f>
        <v>9726Q721</v>
      </c>
      <c r="H9711" s="1" t="str">
        <f>"화교간 32L3"</f>
        <v>화교간 32L3</v>
      </c>
      <c r="I9711" s="1" t="s">
        <v>8</v>
      </c>
      <c r="J9711" s="1" t="str">
        <f>"38/38"</f>
        <v>38/38</v>
      </c>
      <c r="K9711" s="1" t="str">
        <f>"2026-07-29 13:18:12"</f>
        <v>2026-07-29 13:18:12</v>
      </c>
      <c r="L9711" s="1" t="str">
        <f>"2025-01-14 16:39:54"</f>
        <v>2025-01-14 16:39:54</v>
      </c>
      <c r="M9711" s="1" t="s">
        <v>45</v>
      </c>
      <c r="N9711" s="1" t="s">
        <v>38</v>
      </c>
      <c r="O9711" s="1" t="s">
        <v>46</v>
      </c>
    </row>
    <row r="9712" spans="2:15" x14ac:dyDescent="0.3">
      <c r="B9712" s="1" t="s">
        <v>21</v>
      </c>
      <c r="C9712" s="1" t="str">
        <f>"4차"</f>
        <v>4차</v>
      </c>
      <c r="D9712" s="1" t="str">
        <f>"9726Q76144"</f>
        <v>9726Q76144</v>
      </c>
      <c r="E9712" s="1" t="s">
        <v>10</v>
      </c>
      <c r="F9712" s="1" t="str">
        <f>"10.10.67.194"</f>
        <v>10.10.67.194</v>
      </c>
      <c r="G9712" s="1" t="str">
        <f>"9726Q761"</f>
        <v>9726Q761</v>
      </c>
      <c r="H9712" s="1" t="str">
        <f>"연궁간 2R4"</f>
        <v>연궁간 2R4</v>
      </c>
      <c r="I9712" s="1" t="s">
        <v>8</v>
      </c>
      <c r="J9712" s="1" t="str">
        <f>"8/8"</f>
        <v>8/8</v>
      </c>
      <c r="K9712" s="1" t="str">
        <f>"2026-07-29 13:18:10"</f>
        <v>2026-07-29 13:18:10</v>
      </c>
      <c r="L9712" s="1" t="str">
        <f>"2019-12-11 18:17:52"</f>
        <v>2019-12-11 18:17:52</v>
      </c>
      <c r="M9712" s="1" t="s">
        <v>1</v>
      </c>
      <c r="N9712" s="1" t="s">
        <v>38</v>
      </c>
      <c r="O9712" s="1" t="s">
        <v>46</v>
      </c>
    </row>
    <row r="9713" spans="2:15" x14ac:dyDescent="0.3">
      <c r="B9713" s="1" t="s">
        <v>21</v>
      </c>
      <c r="C9713" s="1" t="str">
        <f>"3차"</f>
        <v>3차</v>
      </c>
      <c r="D9713" s="1" t="str">
        <f>"9726Q78239"</f>
        <v>9726Q78239</v>
      </c>
      <c r="E9713" s="1" t="s">
        <v>10</v>
      </c>
      <c r="F9713" s="1" t="str">
        <f>"10.12.132.185"</f>
        <v>10.12.132.185</v>
      </c>
      <c r="G9713" s="1" t="str">
        <f>"9726Q782"</f>
        <v>9726Q782</v>
      </c>
      <c r="H9713" s="1" t="str">
        <f>"연궁간 2R9"</f>
        <v>연궁간 2R9</v>
      </c>
      <c r="I9713" s="1" t="s">
        <v>8</v>
      </c>
      <c r="J9713" s="1" t="str">
        <f>"8/12"</f>
        <v>8/12</v>
      </c>
      <c r="K9713" s="1" t="str">
        <f>"2026-07-29 13:18:12"</f>
        <v>2026-07-29 13:18:12</v>
      </c>
      <c r="L9713" s="1" t="str">
        <f>"2018-04-25 09:01:24"</f>
        <v>2018-04-25 09:01:24</v>
      </c>
      <c r="M9713" s="1" t="s">
        <v>0</v>
      </c>
      <c r="N9713" s="1" t="s">
        <v>38</v>
      </c>
      <c r="O9713" s="1" t="s">
        <v>46</v>
      </c>
    </row>
    <row r="9714" spans="2:15" x14ac:dyDescent="0.3">
      <c r="B9714" s="1" t="s">
        <v>21</v>
      </c>
      <c r="C9714" s="1" t="str">
        <f>"4차"</f>
        <v>4차</v>
      </c>
      <c r="D9714" s="1" t="str">
        <f>"9726Q78344"</f>
        <v>9726Q78344</v>
      </c>
      <c r="E9714" s="1" t="s">
        <v>14</v>
      </c>
      <c r="F9714" s="1" t="str">
        <f>"10.10.67.234"</f>
        <v>10.10.67.234</v>
      </c>
      <c r="G9714" s="1" t="str">
        <f>"9726Q783"</f>
        <v>9726Q783</v>
      </c>
      <c r="H9714" s="1" t="str">
        <f>"연궁간 2R8"</f>
        <v>연궁간 2R8</v>
      </c>
      <c r="I9714" s="1" t="s">
        <v>8</v>
      </c>
      <c r="J9714" s="1" t="str">
        <f>"0/0"</f>
        <v>0/0</v>
      </c>
      <c r="K9714" s="1" t="str">
        <f>"2025-10-14 07:21:11"</f>
        <v>2025-10-14 07:21:11</v>
      </c>
      <c r="L9714" s="1" t="str">
        <f>"2019-11-01 16:39:59"</f>
        <v>2019-11-01 16:39:59</v>
      </c>
      <c r="M9714" s="1" t="s">
        <v>1</v>
      </c>
      <c r="N9714" s="1" t="s">
        <v>44</v>
      </c>
      <c r="O9714" s="1" t="s">
        <v>44</v>
      </c>
    </row>
    <row r="9715" spans="2:15" x14ac:dyDescent="0.3">
      <c r="B9715" s="1" t="s">
        <v>21</v>
      </c>
      <c r="C9715" s="1" t="str">
        <f>"4차"</f>
        <v>4차</v>
      </c>
      <c r="D9715" s="1" t="str">
        <f>"9726Q80144"</f>
        <v>9726Q80144</v>
      </c>
      <c r="E9715" s="1" t="s">
        <v>10</v>
      </c>
      <c r="F9715" s="1" t="str">
        <f>"10.10.115.234"</f>
        <v>10.10.115.234</v>
      </c>
      <c r="G9715" s="1" t="str">
        <f>"9726Q801"</f>
        <v>9726Q801</v>
      </c>
      <c r="H9715" s="1" t="str">
        <f>"화교간 33L4"</f>
        <v>화교간 33L4</v>
      </c>
      <c r="I9715" s="1" t="s">
        <v>8</v>
      </c>
      <c r="J9715" s="1" t="str">
        <f>"29/29"</f>
        <v>29/29</v>
      </c>
      <c r="K9715" s="1" t="str">
        <f>"2026-07-29 13:18:12"</f>
        <v>2026-07-29 13:18:12</v>
      </c>
      <c r="L9715" s="1" t="str">
        <f>"2019-12-24 16:49:20"</f>
        <v>2019-12-24 16:49:20</v>
      </c>
      <c r="M9715" s="1" t="s">
        <v>1</v>
      </c>
      <c r="N9715" s="1" t="s">
        <v>38</v>
      </c>
      <c r="O9715" s="1" t="s">
        <v>46</v>
      </c>
    </row>
    <row r="9716" spans="2:15" x14ac:dyDescent="0.3">
      <c r="B9716" s="1" t="s">
        <v>21</v>
      </c>
      <c r="C9716" s="1" t="str">
        <f>"3차"</f>
        <v>3차</v>
      </c>
      <c r="D9716" s="1" t="str">
        <f>"9726Q84139"</f>
        <v>9726Q84139</v>
      </c>
      <c r="E9716" s="1" t="s">
        <v>10</v>
      </c>
      <c r="F9716" s="1" t="str">
        <f>"10.128.103.7"</f>
        <v>10.128.103.7</v>
      </c>
      <c r="G9716" s="1" t="str">
        <f>"9726Q841"</f>
        <v>9726Q841</v>
      </c>
      <c r="H9716" s="1" t="str">
        <f>"화교간 27L1"</f>
        <v>화교간 27L1</v>
      </c>
      <c r="I9716" s="1" t="s">
        <v>8</v>
      </c>
      <c r="J9716" s="1" t="str">
        <f>"159/160"</f>
        <v>159/160</v>
      </c>
      <c r="K9716" s="1" t="str">
        <f>"2026-07-29 13:18:12"</f>
        <v>2026-07-29 13:18:12</v>
      </c>
      <c r="L9716" s="1" t="str">
        <f>"2018-10-02 14:16:13"</f>
        <v>2018-10-02 14:16:13</v>
      </c>
      <c r="M9716" s="1" t="s">
        <v>45</v>
      </c>
      <c r="N9716" s="1" t="s">
        <v>38</v>
      </c>
      <c r="O9716" s="1" t="s">
        <v>46</v>
      </c>
    </row>
    <row r="9717" spans="2:15" x14ac:dyDescent="0.3">
      <c r="B9717" s="1" t="s">
        <v>21</v>
      </c>
      <c r="C9717" s="1" t="str">
        <f>"4차"</f>
        <v>4차</v>
      </c>
      <c r="D9717" s="1" t="str">
        <f>"9726Q86244"</f>
        <v>9726Q86244</v>
      </c>
      <c r="E9717" s="1" t="s">
        <v>10</v>
      </c>
      <c r="F9717" s="1" t="str">
        <f>"10.10.68.34"</f>
        <v>10.10.68.34</v>
      </c>
      <c r="G9717" s="1" t="str">
        <f>"9726Q862"</f>
        <v>9726Q862</v>
      </c>
      <c r="H9717" s="1" t="str">
        <f>"연궁간 2R7A1"</f>
        <v>연궁간 2R7A1</v>
      </c>
      <c r="I9717" s="1" t="s">
        <v>8</v>
      </c>
      <c r="J9717" s="1" t="str">
        <f>"15/15"</f>
        <v>15/15</v>
      </c>
      <c r="K9717" s="1" t="str">
        <f>"2026-07-29 13:18:12"</f>
        <v>2026-07-29 13:18:12</v>
      </c>
      <c r="L9717" s="1" t="str">
        <f>"2019-12-11 18:19:48"</f>
        <v>2019-12-11 18:19:48</v>
      </c>
      <c r="M9717" s="1" t="s">
        <v>1</v>
      </c>
      <c r="N9717" s="1" t="s">
        <v>38</v>
      </c>
      <c r="O9717" s="1" t="s">
        <v>46</v>
      </c>
    </row>
    <row r="9718" spans="2:15" x14ac:dyDescent="0.3">
      <c r="B9718" s="1" t="s">
        <v>21</v>
      </c>
      <c r="C9718" s="1" t="str">
        <f>"4차"</f>
        <v>4차</v>
      </c>
      <c r="D9718" s="1" t="str">
        <f>"9726Q88144"</f>
        <v>9726Q88144</v>
      </c>
      <c r="E9718" s="1" t="s">
        <v>10</v>
      </c>
      <c r="F9718" s="1" t="str">
        <f>"10.10.67.226"</f>
        <v>10.10.67.226</v>
      </c>
      <c r="G9718" s="1" t="str">
        <f>"9726Q881"</f>
        <v>9726Q881</v>
      </c>
      <c r="H9718" s="1" t="str">
        <f>"연궁간 2R7R1"</f>
        <v>연궁간 2R7R1</v>
      </c>
      <c r="I9718" s="1" t="s">
        <v>8</v>
      </c>
      <c r="J9718" s="1" t="str">
        <f>"12/14"</f>
        <v>12/14</v>
      </c>
      <c r="K9718" s="1" t="str">
        <f>"2026-07-29 13:18:12"</f>
        <v>2026-07-29 13:18:12</v>
      </c>
      <c r="L9718" s="1" t="str">
        <f>"2019-11-01 16:43:03"</f>
        <v>2019-11-01 16:43:03</v>
      </c>
      <c r="M9718" s="1" t="s">
        <v>1</v>
      </c>
      <c r="N9718" s="1" t="s">
        <v>38</v>
      </c>
      <c r="O9718" s="1" t="s">
        <v>46</v>
      </c>
    </row>
    <row r="9719" spans="2:15" x14ac:dyDescent="0.3">
      <c r="B9719" s="1" t="s">
        <v>21</v>
      </c>
      <c r="C9719" s="1" t="str">
        <f>"4차"</f>
        <v>4차</v>
      </c>
      <c r="D9719" s="1" t="str">
        <f>"9726Q90141"</f>
        <v>9726Q90141</v>
      </c>
      <c r="E9719" s="1" t="s">
        <v>10</v>
      </c>
      <c r="F9719" s="1" t="str">
        <f>"10.14.10.120"</f>
        <v>10.14.10.120</v>
      </c>
      <c r="G9719" s="1" t="str">
        <f>"9726Q901"</f>
        <v>9726Q901</v>
      </c>
      <c r="H9719" s="1" t="str">
        <f>"화교간 33L5L1"</f>
        <v>화교간 33L5L1</v>
      </c>
      <c r="I9719" s="1" t="s">
        <v>17</v>
      </c>
      <c r="J9719" s="1" t="str">
        <f>"18/30"</f>
        <v>18/30</v>
      </c>
      <c r="K9719" s="1" t="str">
        <f>"2026-07-29 13:18:11"</f>
        <v>2026-07-29 13:18:11</v>
      </c>
      <c r="L9719" s="1" t="str">
        <f>"2021-10-19 10:59:03"</f>
        <v>2021-10-19 10:59:03</v>
      </c>
      <c r="M9719" s="1" t="s">
        <v>3</v>
      </c>
      <c r="N9719" s="1" t="s">
        <v>38</v>
      </c>
      <c r="O9719" s="1" t="s">
        <v>46</v>
      </c>
    </row>
    <row r="9720" spans="2:15" x14ac:dyDescent="0.3">
      <c r="B9720" s="1" t="s">
        <v>21</v>
      </c>
      <c r="C9720" s="1" t="str">
        <f>"4차"</f>
        <v>4차</v>
      </c>
      <c r="D9720" s="1" t="str">
        <f>"9726Q90341"</f>
        <v>9726Q90341</v>
      </c>
      <c r="E9720" s="1" t="s">
        <v>10</v>
      </c>
      <c r="F9720" s="1" t="str">
        <f>"10.14.3.188"</f>
        <v>10.14.3.188</v>
      </c>
      <c r="G9720" s="1" t="str">
        <f>"9726Q903"</f>
        <v>9726Q903</v>
      </c>
      <c r="H9720" s="1" t="str">
        <f>"화교간 32L5R1R3"</f>
        <v>화교간 32L5R1R3</v>
      </c>
      <c r="I9720" s="1" t="s">
        <v>17</v>
      </c>
      <c r="J9720" s="1" t="str">
        <f>"50/55"</f>
        <v>50/55</v>
      </c>
      <c r="K9720" s="1" t="str">
        <f>"2026-07-29 13:18:11"</f>
        <v>2026-07-29 13:18:11</v>
      </c>
      <c r="L9720" s="1" t="str">
        <f>"2021-10-19 11:46:01"</f>
        <v>2021-10-19 11:46:01</v>
      </c>
      <c r="M9720" s="1" t="s">
        <v>3</v>
      </c>
      <c r="N9720" s="1" t="s">
        <v>38</v>
      </c>
      <c r="O9720" s="1" t="s">
        <v>46</v>
      </c>
    </row>
    <row r="9721" spans="2:15" x14ac:dyDescent="0.3">
      <c r="B9721" s="1" t="s">
        <v>21</v>
      </c>
      <c r="C9721" s="1" t="str">
        <f>"6차"</f>
        <v>6차</v>
      </c>
      <c r="D9721" s="1" t="str">
        <f>"9726Q9216S"</f>
        <v>9726Q9216S</v>
      </c>
      <c r="E9721" s="1" t="s">
        <v>10</v>
      </c>
      <c r="F9721" s="1" t="str">
        <f>"fde1:103:4:c710:0:0:0:2"</f>
        <v>fde1:103:4:c710:0:0:0:2</v>
      </c>
      <c r="G9721" s="1" t="str">
        <f>"9726Q921"</f>
        <v>9726Q921</v>
      </c>
      <c r="H9721" s="1" t="str">
        <f>"화교간 32L6"</f>
        <v>화교간 32L6</v>
      </c>
      <c r="I9721" s="1" t="s">
        <v>15</v>
      </c>
      <c r="J9721" s="1" t="str">
        <f>"17/17"</f>
        <v>17/17</v>
      </c>
      <c r="K9721" s="1" t="str">
        <f>"2026-07-29 14:21:05"</f>
        <v>2026-07-29 14:21:05</v>
      </c>
      <c r="L9721" s="1" t="str">
        <f>"2025-01-17 17:45:14"</f>
        <v>2025-01-17 17:45:14</v>
      </c>
      <c r="M9721" s="1" t="s">
        <v>4</v>
      </c>
      <c r="N9721" s="1" t="s">
        <v>38</v>
      </c>
      <c r="O9721" s="1" t="s">
        <v>46</v>
      </c>
    </row>
    <row r="9722" spans="2:15" x14ac:dyDescent="0.3">
      <c r="B9722" s="1" t="s">
        <v>21</v>
      </c>
      <c r="C9722" s="1" t="str">
        <f>"4차"</f>
        <v>4차</v>
      </c>
      <c r="D9722" s="1" t="str">
        <f>"9726Q93241"</f>
        <v>9726Q93241</v>
      </c>
      <c r="E9722" s="1" t="s">
        <v>10</v>
      </c>
      <c r="F9722" s="1" t="str">
        <f>"10.12.128.18"</f>
        <v>10.12.128.18</v>
      </c>
      <c r="G9722" s="1" t="str">
        <f>"9726Q932"</f>
        <v>9726Q932</v>
      </c>
      <c r="H9722" s="1" t="str">
        <f>"화교간 32L8"</f>
        <v>화교간 32L8</v>
      </c>
      <c r="I9722" s="1" t="s">
        <v>17</v>
      </c>
      <c r="J9722" s="1" t="str">
        <f>"32/32"</f>
        <v>32/32</v>
      </c>
      <c r="K9722" s="1" t="str">
        <f>"2026-07-29 13:18:12"</f>
        <v>2026-07-29 13:18:12</v>
      </c>
      <c r="L9722" s="1" t="str">
        <f>"2021-10-19 13:19:09"</f>
        <v>2021-10-19 13:19:09</v>
      </c>
      <c r="M9722" s="1" t="s">
        <v>0</v>
      </c>
      <c r="N9722" s="1" t="s">
        <v>38</v>
      </c>
      <c r="O9722" s="1" t="s">
        <v>46</v>
      </c>
    </row>
    <row r="9723" spans="2:15" x14ac:dyDescent="0.3">
      <c r="B9723" s="1" t="s">
        <v>21</v>
      </c>
      <c r="C9723" s="1" t="str">
        <f>"4차"</f>
        <v>4차</v>
      </c>
      <c r="D9723" s="1" t="str">
        <f>"9726Q95341"</f>
        <v>9726Q95341</v>
      </c>
      <c r="E9723" s="1" t="s">
        <v>10</v>
      </c>
      <c r="F9723" s="1" t="str">
        <f>"10.14.15.187"</f>
        <v>10.14.15.187</v>
      </c>
      <c r="G9723" s="1" t="str">
        <f>"9726Q953"</f>
        <v>9726Q953</v>
      </c>
      <c r="H9723" s="1" t="str">
        <f>"화교간 27L4"</f>
        <v>화교간 27L4</v>
      </c>
      <c r="I9723" s="1" t="s">
        <v>17</v>
      </c>
      <c r="J9723" s="1" t="str">
        <f>"18/18"</f>
        <v>18/18</v>
      </c>
      <c r="K9723" s="1" t="str">
        <f>"2026-07-29 13:18:11"</f>
        <v>2026-07-29 13:18:11</v>
      </c>
      <c r="L9723" s="1" t="str">
        <f>"2021-10-19 16:45:12"</f>
        <v>2021-10-19 16:45:12</v>
      </c>
      <c r="M9723" s="1" t="s">
        <v>3</v>
      </c>
      <c r="N9723" s="1" t="s">
        <v>38</v>
      </c>
      <c r="O9723" s="1" t="s">
        <v>46</v>
      </c>
    </row>
    <row r="9724" spans="2:15" x14ac:dyDescent="0.3">
      <c r="B9724" s="1" t="s">
        <v>21</v>
      </c>
      <c r="C9724" s="1" t="str">
        <f>"3차"</f>
        <v>3차</v>
      </c>
      <c r="D9724" s="1" t="str">
        <f>"9726Q97339"</f>
        <v>9726Q97339</v>
      </c>
      <c r="E9724" s="1" t="s">
        <v>10</v>
      </c>
      <c r="F9724" s="1" t="str">
        <f>"10.11.101.178"</f>
        <v>10.11.101.178</v>
      </c>
      <c r="G9724" s="1" t="str">
        <f>"9726Q973"</f>
        <v>9726Q973</v>
      </c>
      <c r="H9724" s="1" t="str">
        <f>"화교간 23"</f>
        <v>화교간 23</v>
      </c>
      <c r="I9724" s="1" t="s">
        <v>8</v>
      </c>
      <c r="J9724" s="1" t="str">
        <f>"36/41"</f>
        <v>36/41</v>
      </c>
      <c r="K9724" s="1" t="str">
        <f>"2026-07-29 13:18:11"</f>
        <v>2026-07-29 13:18:11</v>
      </c>
      <c r="L9724" s="1" t="str">
        <f>"2018-04-25 15:37:58"</f>
        <v>2018-04-25 15:37:58</v>
      </c>
      <c r="M9724" s="1" t="s">
        <v>2</v>
      </c>
      <c r="N9724" s="1" t="s">
        <v>38</v>
      </c>
      <c r="O9724" s="1" t="s">
        <v>46</v>
      </c>
    </row>
    <row r="9725" spans="2:15" x14ac:dyDescent="0.3">
      <c r="B9725" s="1" t="s">
        <v>21</v>
      </c>
      <c r="C9725" s="1" t="str">
        <f>"4차"</f>
        <v>4차</v>
      </c>
      <c r="D9725" s="1" t="str">
        <f>"9726Q98344"</f>
        <v>9726Q98344</v>
      </c>
      <c r="E9725" s="1" t="s">
        <v>10</v>
      </c>
      <c r="F9725" s="1" t="str">
        <f>"10.10.112.74"</f>
        <v>10.10.112.74</v>
      </c>
      <c r="G9725" s="1" t="str">
        <f>"9726Q983"</f>
        <v>9726Q983</v>
      </c>
      <c r="H9725" s="1" t="str">
        <f>"연궁간 2R7R3"</f>
        <v>연궁간 2R7R3</v>
      </c>
      <c r="I9725" s="1" t="s">
        <v>8</v>
      </c>
      <c r="J9725" s="1" t="str">
        <f>"1/1"</f>
        <v>1/1</v>
      </c>
      <c r="K9725" s="1" t="str">
        <f>"2026-07-29 13:18:12"</f>
        <v>2026-07-29 13:18:12</v>
      </c>
      <c r="L9725" s="1" t="str">
        <f>"2019-11-01 16:21:28"</f>
        <v>2019-11-01 16:21:28</v>
      </c>
      <c r="M9725" s="1" t="s">
        <v>1</v>
      </c>
      <c r="N9725" s="1" t="s">
        <v>38</v>
      </c>
      <c r="O9725" s="1" t="s">
        <v>46</v>
      </c>
    </row>
    <row r="9726" spans="2:15" x14ac:dyDescent="0.3">
      <c r="B9726" s="1" t="s">
        <v>21</v>
      </c>
      <c r="C9726" s="1" t="str">
        <f>"4차"</f>
        <v>4차</v>
      </c>
      <c r="D9726" s="1" t="str">
        <f>"9726Q99141"</f>
        <v>9726Q99141</v>
      </c>
      <c r="E9726" s="1" t="s">
        <v>10</v>
      </c>
      <c r="F9726" s="1" t="str">
        <f>"10.14.13.115"</f>
        <v>10.14.13.115</v>
      </c>
      <c r="G9726" s="1" t="str">
        <f>"9726Q991"</f>
        <v>9726Q991</v>
      </c>
      <c r="H9726" s="1" t="str">
        <f>"연궁간 2R7R4"</f>
        <v>연궁간 2R7R4</v>
      </c>
      <c r="I9726" s="1" t="s">
        <v>17</v>
      </c>
      <c r="J9726" s="1" t="str">
        <f>"7/7"</f>
        <v>7/7</v>
      </c>
      <c r="K9726" s="1" t="str">
        <f>"2026-07-29 13:18:12"</f>
        <v>2026-07-29 13:18:12</v>
      </c>
      <c r="L9726" s="1" t="str">
        <f>"2021-08-12 14:37:27"</f>
        <v>2021-08-12 14:37:27</v>
      </c>
      <c r="M9726" s="1" t="s">
        <v>3</v>
      </c>
      <c r="N9726" s="1" t="s">
        <v>38</v>
      </c>
      <c r="O9726" s="1" t="s">
        <v>46</v>
      </c>
    </row>
    <row r="9727" spans="2:15" x14ac:dyDescent="0.3">
      <c r="B9727" s="1" t="s">
        <v>21</v>
      </c>
      <c r="C9727" s="1" t="str">
        <f>"4차"</f>
        <v>4차</v>
      </c>
      <c r="D9727" s="1" t="str">
        <f>"9726R69239"</f>
        <v>9726R69239</v>
      </c>
      <c r="E9727" s="1" t="s">
        <v>10</v>
      </c>
      <c r="F9727" s="1" t="str">
        <f>"10.14.8.18"</f>
        <v>10.14.8.18</v>
      </c>
      <c r="G9727" s="1" t="str">
        <f>"9726R692"</f>
        <v>9726R692</v>
      </c>
      <c r="H9727" s="1" t="str">
        <f>"이화간 17L3"</f>
        <v>이화간 17L3</v>
      </c>
      <c r="I9727" s="1" t="s">
        <v>8</v>
      </c>
      <c r="J9727" s="1" t="str">
        <f>"38/38"</f>
        <v>38/38</v>
      </c>
      <c r="K9727" s="1" t="str">
        <f>"2026-07-29 13:18:13"</f>
        <v>2026-07-29 13:18:13</v>
      </c>
      <c r="L9727" s="1" t="str">
        <f>"2018-04-25 13:25:58"</f>
        <v>2018-04-25 13:25:58</v>
      </c>
      <c r="M9727" s="1" t="s">
        <v>3</v>
      </c>
      <c r="N9727" s="1" t="s">
        <v>38</v>
      </c>
      <c r="O9727" s="1" t="s">
        <v>46</v>
      </c>
    </row>
    <row r="9728" spans="2:15" x14ac:dyDescent="0.3">
      <c r="B9728" s="1" t="s">
        <v>21</v>
      </c>
      <c r="C9728" s="1" t="str">
        <f>"4차"</f>
        <v>4차</v>
      </c>
      <c r="D9728" s="1" t="str">
        <f>"9726R88144"</f>
        <v>9726R88144</v>
      </c>
      <c r="E9728" s="1" t="s">
        <v>10</v>
      </c>
      <c r="F9728" s="1" t="str">
        <f>"10.10.71.130"</f>
        <v>10.10.71.130</v>
      </c>
      <c r="G9728" s="1" t="str">
        <f>"9726R881"</f>
        <v>9726R881</v>
      </c>
      <c r="H9728" s="1" t="str">
        <f>"이화간 17"</f>
        <v>이화간 17</v>
      </c>
      <c r="I9728" s="1" t="s">
        <v>8</v>
      </c>
      <c r="J9728" s="1" t="str">
        <f>"57/57"</f>
        <v>57/57</v>
      </c>
      <c r="K9728" s="1" t="str">
        <f>"2026-07-29 13:18:11"</f>
        <v>2026-07-29 13:18:11</v>
      </c>
      <c r="L9728" s="1" t="str">
        <f>"2019-11-08 11:43:04"</f>
        <v>2019-11-08 11:43:04</v>
      </c>
      <c r="M9728" s="1" t="s">
        <v>1</v>
      </c>
      <c r="N9728" s="1" t="s">
        <v>38</v>
      </c>
      <c r="O9728" s="1" t="s">
        <v>46</v>
      </c>
    </row>
    <row r="9729" spans="2:15" x14ac:dyDescent="0.3">
      <c r="B9729" s="1" t="s">
        <v>21</v>
      </c>
      <c r="C9729" s="1" t="str">
        <f>"4차"</f>
        <v>4차</v>
      </c>
      <c r="D9729" s="1" t="str">
        <f>"9726R89144"</f>
        <v>9726R89144</v>
      </c>
      <c r="E9729" s="1" t="s">
        <v>10</v>
      </c>
      <c r="F9729" s="1" t="str">
        <f>"10.10.71.146"</f>
        <v>10.10.71.146</v>
      </c>
      <c r="G9729" s="1" t="str">
        <f>"9726R891"</f>
        <v>9726R891</v>
      </c>
      <c r="H9729" s="1" t="str">
        <f>"이화간 18"</f>
        <v>이화간 18</v>
      </c>
      <c r="I9729" s="1" t="s">
        <v>8</v>
      </c>
      <c r="J9729" s="1" t="str">
        <f>"29/32"</f>
        <v>29/32</v>
      </c>
      <c r="K9729" s="1" t="str">
        <f>"2026-07-29 13:18:11"</f>
        <v>2026-07-29 13:18:11</v>
      </c>
      <c r="L9729" s="1" t="str">
        <f>"2019-11-08 11:23:04"</f>
        <v>2019-11-08 11:23:04</v>
      </c>
      <c r="M9729" s="1" t="s">
        <v>1</v>
      </c>
      <c r="N9729" s="1" t="s">
        <v>38</v>
      </c>
      <c r="O9729" s="1" t="s">
        <v>46</v>
      </c>
    </row>
    <row r="9730" spans="2:15" x14ac:dyDescent="0.3">
      <c r="B9730" s="1" t="s">
        <v>21</v>
      </c>
      <c r="C9730" s="1" t="str">
        <f>"1차"</f>
        <v>1차</v>
      </c>
      <c r="D9730" s="1" t="str">
        <f>"9726R90400"</f>
        <v>9726R90400</v>
      </c>
      <c r="E9730" s="1" t="str">
        <f>"검침실패(3시간 이상)"</f>
        <v>검침실패(3시간 이상)</v>
      </c>
      <c r="F9730" s="1" t="str">
        <f>"10.128.33.132"</f>
        <v>10.128.33.132</v>
      </c>
      <c r="G9730" s="1" t="str">
        <f>"9726R904"</f>
        <v>9726R904</v>
      </c>
      <c r="H9730" s="1" t="str">
        <f>"동교SW 1L9"</f>
        <v>동교SW 1L9</v>
      </c>
      <c r="I9730" s="1" t="s">
        <v>8</v>
      </c>
      <c r="J9730" s="1" t="str">
        <f>"0/24"</f>
        <v>0/24</v>
      </c>
      <c r="K9730" s="1" t="str">
        <f>"2026-07-29 13:18:11"</f>
        <v>2026-07-29 13:18:11</v>
      </c>
      <c r="L9730" s="1" t="str">
        <f>"2014-12-22 19:46:00"</f>
        <v>2014-12-22 19:46:00</v>
      </c>
      <c r="M9730" s="1" t="s">
        <v>45</v>
      </c>
      <c r="N9730" s="1" t="s">
        <v>38</v>
      </c>
      <c r="O9730" s="1" t="s">
        <v>46</v>
      </c>
    </row>
    <row r="9731" spans="2:15" x14ac:dyDescent="0.3">
      <c r="B9731" s="1" t="s">
        <v>21</v>
      </c>
      <c r="C9731" s="1" t="str">
        <f>"4차"</f>
        <v>4차</v>
      </c>
      <c r="D9731" s="1" t="str">
        <f>"9726R99144"</f>
        <v>9726R99144</v>
      </c>
      <c r="E9731" s="1" t="s">
        <v>10</v>
      </c>
      <c r="F9731" s="1" t="str">
        <f>"10.10.112.234"</f>
        <v>10.10.112.234</v>
      </c>
      <c r="G9731" s="1" t="str">
        <f>"9726R991"</f>
        <v>9726R991</v>
      </c>
      <c r="H9731" s="1" t="str">
        <f>"이화간 15R2"</f>
        <v>이화간 15R2</v>
      </c>
      <c r="I9731" s="1" t="s">
        <v>8</v>
      </c>
      <c r="J9731" s="1" t="str">
        <f>"16/17"</f>
        <v>16/17</v>
      </c>
      <c r="K9731" s="1" t="str">
        <f>"2026-07-29 13:18:11"</f>
        <v>2026-07-29 13:18:11</v>
      </c>
      <c r="L9731" s="1" t="str">
        <f>"2019-11-08 12:03:04"</f>
        <v>2019-11-08 12:03:04</v>
      </c>
      <c r="M9731" s="1" t="s">
        <v>1</v>
      </c>
      <c r="N9731" s="1" t="s">
        <v>38</v>
      </c>
      <c r="O9731" s="1" t="s">
        <v>46</v>
      </c>
    </row>
    <row r="9732" spans="2:15" x14ac:dyDescent="0.3">
      <c r="B9732" s="1" t="s">
        <v>21</v>
      </c>
      <c r="C9732" s="1" t="str">
        <f>"1차"</f>
        <v>1차</v>
      </c>
      <c r="D9732" s="1" t="str">
        <f>"9726S01301"</f>
        <v>9726S01301</v>
      </c>
      <c r="E9732" s="1" t="s">
        <v>14</v>
      </c>
      <c r="F9732" s="1" t="str">
        <f>"10.128.33.106"</f>
        <v>10.128.33.106</v>
      </c>
      <c r="G9732" s="1" t="str">
        <f>"9726S013"</f>
        <v>9726S013</v>
      </c>
      <c r="H9732" s="1" t="str">
        <f>"동교SW 1L10R2"</f>
        <v>동교SW 1L10R2</v>
      </c>
      <c r="I9732" s="1" t="s">
        <v>8</v>
      </c>
      <c r="J9732" s="1" t="str">
        <f>"0/0"</f>
        <v>0/0</v>
      </c>
      <c r="K9732" s="1" t="str">
        <f>"2024-05-02 15:20:27"</f>
        <v>2024-05-02 15:20:27</v>
      </c>
      <c r="L9732" s="1" t="str">
        <f>"2014-12-22 19:42:51"</f>
        <v>2014-12-22 19:42:51</v>
      </c>
      <c r="M9732" s="1" t="s">
        <v>45</v>
      </c>
      <c r="N9732" s="1" t="s">
        <v>44</v>
      </c>
      <c r="O9732" s="1" t="s">
        <v>44</v>
      </c>
    </row>
    <row r="9733" spans="2:15" x14ac:dyDescent="0.3">
      <c r="B9733" s="1" t="s">
        <v>21</v>
      </c>
      <c r="C9733" s="1" t="str">
        <f>"6차"</f>
        <v>6차</v>
      </c>
      <c r="D9733" s="1" t="str">
        <f>"9726S0226S"</f>
        <v>9726S0226S</v>
      </c>
      <c r="E9733" s="1" t="s">
        <v>10</v>
      </c>
      <c r="F9733" s="1" t="str">
        <f>"fde1:103:4:c7be:0:0:0:2"</f>
        <v>fde1:103:4:c7be:0:0:0:2</v>
      </c>
      <c r="G9733" s="1" t="str">
        <f>"9726S022"</f>
        <v>9726S022</v>
      </c>
      <c r="H9733" s="1" t="str">
        <f>"동교SW 1L12"</f>
        <v>동교SW 1L12</v>
      </c>
      <c r="I9733" s="1" t="s">
        <v>15</v>
      </c>
      <c r="J9733" s="1" t="str">
        <f>"29/30"</f>
        <v>29/30</v>
      </c>
      <c r="K9733" s="1" t="str">
        <f>"2026-07-29 08:21:51"</f>
        <v>2026-07-29 08:21:51</v>
      </c>
      <c r="L9733" s="1" t="str">
        <f>"2024-12-06 11:23:57"</f>
        <v>2024-12-06 11:23:57</v>
      </c>
      <c r="M9733" s="1" t="s">
        <v>4</v>
      </c>
      <c r="N9733" s="1" t="s">
        <v>38</v>
      </c>
      <c r="O9733" s="1" t="s">
        <v>46</v>
      </c>
    </row>
    <row r="9734" spans="2:15" x14ac:dyDescent="0.3">
      <c r="B9734" s="1" t="s">
        <v>21</v>
      </c>
      <c r="C9734" s="1" t="str">
        <f>"1차"</f>
        <v>1차</v>
      </c>
      <c r="D9734" s="1" t="str">
        <f>"9726S02600"</f>
        <v>9726S02600</v>
      </c>
      <c r="E9734" s="1" t="s">
        <v>14</v>
      </c>
      <c r="F9734" s="1" t="str">
        <f>"10.128.32.167"</f>
        <v>10.128.32.167</v>
      </c>
      <c r="G9734" s="1" t="str">
        <f>"9726S026"</f>
        <v>9726S026</v>
      </c>
      <c r="H9734" s="1" t="str">
        <f>"동교SW 1L13"</f>
        <v>동교SW 1L13</v>
      </c>
      <c r="I9734" s="1" t="s">
        <v>8</v>
      </c>
      <c r="J9734" s="1" t="str">
        <f>"0/0"</f>
        <v>0/0</v>
      </c>
      <c r="K9734" s="1" t="str">
        <f>"2024-10-08 01:21:06"</f>
        <v>2024-10-08 01:21:06</v>
      </c>
      <c r="L9734" s="1" t="str">
        <f>"2014-12-23 00:13:49"</f>
        <v>2014-12-23 00:13:49</v>
      </c>
      <c r="M9734" s="1" t="s">
        <v>45</v>
      </c>
      <c r="N9734" s="1" t="s">
        <v>44</v>
      </c>
      <c r="O9734" s="1" t="s">
        <v>44</v>
      </c>
    </row>
    <row r="9735" spans="2:15" x14ac:dyDescent="0.3">
      <c r="B9735" s="1" t="s">
        <v>21</v>
      </c>
      <c r="C9735" s="1" t="str">
        <f>"6차"</f>
        <v>6차</v>
      </c>
      <c r="D9735" s="1" t="str">
        <f>"9726S1036S"</f>
        <v>9726S1036S</v>
      </c>
      <c r="E9735" s="1" t="s">
        <v>10</v>
      </c>
      <c r="F9735" s="1" t="str">
        <f>"fde1:103:4:c7ba:0:0:0:2"</f>
        <v>fde1:103:4:c7ba:0:0:0:2</v>
      </c>
      <c r="G9735" s="1" t="str">
        <f>"9726S103"</f>
        <v>9726S103</v>
      </c>
      <c r="H9735" s="1" t="str">
        <f>"동교SW 1L10R5L1"</f>
        <v>동교SW 1L10R5L1</v>
      </c>
      <c r="I9735" s="1" t="s">
        <v>15</v>
      </c>
      <c r="J9735" s="1" t="str">
        <f>"58/58"</f>
        <v>58/58</v>
      </c>
      <c r="K9735" s="1" t="str">
        <f>"2026-07-29 14:21:15"</f>
        <v>2026-07-29 14:21:15</v>
      </c>
      <c r="L9735" s="1" t="str">
        <f>"2024-12-10 11:24:25"</f>
        <v>2024-12-10 11:24:25</v>
      </c>
      <c r="M9735" s="1" t="s">
        <v>4</v>
      </c>
      <c r="N9735" s="1" t="s">
        <v>38</v>
      </c>
      <c r="O9735" s="1" t="s">
        <v>46</v>
      </c>
    </row>
    <row r="9736" spans="2:15" x14ac:dyDescent="0.3">
      <c r="B9736" s="1" t="s">
        <v>21</v>
      </c>
      <c r="C9736" s="1" t="str">
        <f>"4차"</f>
        <v>4차</v>
      </c>
      <c r="D9736" s="1" t="str">
        <f>"9726S10542"</f>
        <v>9726S10542</v>
      </c>
      <c r="E9736" s="1" t="s">
        <v>10</v>
      </c>
      <c r="F9736" s="1" t="str">
        <f>"10.128.32.165"</f>
        <v>10.128.32.165</v>
      </c>
      <c r="G9736" s="1" t="str">
        <f>"9726S105"</f>
        <v>9726S105</v>
      </c>
      <c r="H9736" s="1" t="str">
        <f>"동교SW 1L10R6"</f>
        <v>동교SW 1L10R6</v>
      </c>
      <c r="I9736" s="1" t="s">
        <v>8</v>
      </c>
      <c r="J9736" s="1" t="str">
        <f>"53/53"</f>
        <v>53/53</v>
      </c>
      <c r="K9736" s="1" t="str">
        <f>"2026-07-29 13:18:10"</f>
        <v>2026-07-29 13:18:10</v>
      </c>
      <c r="L9736" s="1" t="str">
        <f>"2025-08-18 16:58:43"</f>
        <v>2025-08-18 16:58:43</v>
      </c>
      <c r="M9736" s="1" t="s">
        <v>45</v>
      </c>
      <c r="N9736" s="1" t="s">
        <v>38</v>
      </c>
      <c r="O9736" s="1" t="s">
        <v>46</v>
      </c>
    </row>
    <row r="9737" spans="2:15" x14ac:dyDescent="0.3">
      <c r="B9737" s="1" t="s">
        <v>21</v>
      </c>
      <c r="C9737" s="1" t="str">
        <f>"6차"</f>
        <v>6차</v>
      </c>
      <c r="D9737" s="1" t="str">
        <f>"9726S1226S"</f>
        <v>9726S1226S</v>
      </c>
      <c r="E9737" s="1" t="s">
        <v>10</v>
      </c>
      <c r="F9737" s="1" t="str">
        <f>"fde1:103:4:c7cb:0:0:0:2"</f>
        <v>fde1:103:4:c7cb:0:0:0:2</v>
      </c>
      <c r="G9737" s="1" t="str">
        <f>"9726S122"</f>
        <v>9726S122</v>
      </c>
      <c r="H9737" s="1" t="str">
        <f>"동교SW 1L14"</f>
        <v>동교SW 1L14</v>
      </c>
      <c r="I9737" s="1" t="s">
        <v>15</v>
      </c>
      <c r="J9737" s="1" t="str">
        <f>"23/23"</f>
        <v>23/23</v>
      </c>
      <c r="K9737" s="1" t="str">
        <f>"2026-07-29 14:21:05"</f>
        <v>2026-07-29 14:21:05</v>
      </c>
      <c r="L9737" s="1" t="str">
        <f>"2024-12-06 11:24:02"</f>
        <v>2024-12-06 11:24:02</v>
      </c>
      <c r="M9737" s="1" t="s">
        <v>4</v>
      </c>
      <c r="N9737" s="1" t="s">
        <v>38</v>
      </c>
      <c r="O9737" s="1" t="s">
        <v>46</v>
      </c>
    </row>
    <row r="9738" spans="2:15" x14ac:dyDescent="0.3">
      <c r="B9738" s="1" t="s">
        <v>21</v>
      </c>
      <c r="C9738" s="1" t="str">
        <f>"6차"</f>
        <v>6차</v>
      </c>
      <c r="D9738" s="1" t="str">
        <f>"9726S1316S"</f>
        <v>9726S1316S</v>
      </c>
      <c r="E9738" s="1" t="s">
        <v>10</v>
      </c>
      <c r="F9738" s="1" t="str">
        <f>"fde1:103:4:c7da:0:0:0:2"</f>
        <v>fde1:103:4:c7da:0:0:0:2</v>
      </c>
      <c r="G9738" s="1" t="str">
        <f>"9726S131"</f>
        <v>9726S131</v>
      </c>
      <c r="H9738" s="1" t="str">
        <f>"동교SW 1L16"</f>
        <v>동교SW 1L16</v>
      </c>
      <c r="I9738" s="1" t="s">
        <v>15</v>
      </c>
      <c r="J9738" s="1" t="str">
        <f>"27/27"</f>
        <v>27/27</v>
      </c>
      <c r="K9738" s="1" t="str">
        <f>"2026-07-29 14:21:16"</f>
        <v>2026-07-29 14:21:16</v>
      </c>
      <c r="L9738" s="1" t="str">
        <f>"2024-12-06 11:23:56"</f>
        <v>2024-12-06 11:23:56</v>
      </c>
      <c r="M9738" s="1" t="s">
        <v>4</v>
      </c>
      <c r="N9738" s="1" t="s">
        <v>38</v>
      </c>
      <c r="O9738" s="1" t="s">
        <v>46</v>
      </c>
    </row>
    <row r="9739" spans="2:15" x14ac:dyDescent="0.3">
      <c r="B9739" s="1" t="s">
        <v>21</v>
      </c>
      <c r="C9739" s="1" t="str">
        <f>"4차"</f>
        <v>4차</v>
      </c>
      <c r="D9739" s="1" t="str">
        <f>"9726S18144"</f>
        <v>9726S18144</v>
      </c>
      <c r="E9739" s="1" t="s">
        <v>10</v>
      </c>
      <c r="F9739" s="1" t="str">
        <f>"10.10.72.162"</f>
        <v>10.10.72.162</v>
      </c>
      <c r="G9739" s="1" t="str">
        <f>"9726S181"</f>
        <v>9726S181</v>
      </c>
      <c r="H9739" s="1" t="str">
        <f>"이화간 9R4"</f>
        <v>이화간 9R4</v>
      </c>
      <c r="I9739" s="1" t="s">
        <v>8</v>
      </c>
      <c r="J9739" s="1" t="str">
        <f>"36/36"</f>
        <v>36/36</v>
      </c>
      <c r="K9739" s="1" t="str">
        <f>"2026-07-29 13:18:11"</f>
        <v>2026-07-29 13:18:11</v>
      </c>
      <c r="L9739" s="1" t="str">
        <f>"2019-11-08 10:53:03"</f>
        <v>2019-11-08 10:53:03</v>
      </c>
      <c r="M9739" s="1" t="s">
        <v>1</v>
      </c>
      <c r="N9739" s="1" t="s">
        <v>38</v>
      </c>
      <c r="O9739" s="1" t="s">
        <v>46</v>
      </c>
    </row>
    <row r="9740" spans="2:15" x14ac:dyDescent="0.3">
      <c r="B9740" s="1" t="s">
        <v>21</v>
      </c>
      <c r="C9740" s="1" t="str">
        <f>"1차"</f>
        <v>1차</v>
      </c>
      <c r="D9740" s="1" t="str">
        <f>"9726S23100"</f>
        <v>9726S23100</v>
      </c>
      <c r="E9740" s="1" t="s">
        <v>10</v>
      </c>
      <c r="F9740" s="1" t="str">
        <f>"10.128.32.170"</f>
        <v>10.128.32.170</v>
      </c>
      <c r="G9740" s="1" t="str">
        <f>"9726S231"</f>
        <v>9726S231</v>
      </c>
      <c r="H9740" s="1" t="str">
        <f>"동교SW 1L19"</f>
        <v>동교SW 1L19</v>
      </c>
      <c r="I9740" s="1" t="s">
        <v>8</v>
      </c>
      <c r="J9740" s="1" t="str">
        <f>"25/25"</f>
        <v>25/25</v>
      </c>
      <c r="K9740" s="1" t="str">
        <f>"2026-07-29 13:18:11"</f>
        <v>2026-07-29 13:18:11</v>
      </c>
      <c r="L9740" s="1" t="str">
        <f>"2014-12-22 19:28:12"</f>
        <v>2014-12-22 19:28:12</v>
      </c>
      <c r="M9740" s="1" t="s">
        <v>45</v>
      </c>
      <c r="N9740" s="1" t="s">
        <v>38</v>
      </c>
      <c r="O9740" s="1" t="s">
        <v>46</v>
      </c>
    </row>
    <row r="9741" spans="2:15" x14ac:dyDescent="0.3">
      <c r="B9741" s="1" t="s">
        <v>21</v>
      </c>
      <c r="C9741" s="1" t="str">
        <f>"4차"</f>
        <v>4차</v>
      </c>
      <c r="D9741" s="1" t="str">
        <f>"9726S33244"</f>
        <v>9726S33244</v>
      </c>
      <c r="E9741" s="1" t="s">
        <v>10</v>
      </c>
      <c r="F9741" s="1" t="str">
        <f>"10.10.70.130"</f>
        <v>10.10.70.130</v>
      </c>
      <c r="G9741" s="1" t="str">
        <f>"9726S332"</f>
        <v>9726S332</v>
      </c>
      <c r="H9741" s="1" t="str">
        <f>"이연지 1R6"</f>
        <v>이연지 1R6</v>
      </c>
      <c r="I9741" s="1" t="s">
        <v>8</v>
      </c>
      <c r="J9741" s="1" t="str">
        <f>"56/56"</f>
        <v>56/56</v>
      </c>
      <c r="K9741" s="1" t="str">
        <f>"2026-07-29 13:18:11"</f>
        <v>2026-07-29 13:18:11</v>
      </c>
      <c r="L9741" s="1" t="str">
        <f>"2019-11-07 10:08:21"</f>
        <v>2019-11-07 10:08:21</v>
      </c>
      <c r="M9741" s="1" t="s">
        <v>1</v>
      </c>
      <c r="N9741" s="1" t="s">
        <v>38</v>
      </c>
      <c r="O9741" s="1" t="s">
        <v>46</v>
      </c>
    </row>
    <row r="9742" spans="2:15" x14ac:dyDescent="0.3">
      <c r="B9742" s="1" t="s">
        <v>21</v>
      </c>
      <c r="C9742" s="1" t="str">
        <f>"3차"</f>
        <v>3차</v>
      </c>
      <c r="D9742" s="1" t="str">
        <f>"9726S34339"</f>
        <v>9726S34339</v>
      </c>
      <c r="E9742" s="1" t="s">
        <v>10</v>
      </c>
      <c r="F9742" s="1" t="str">
        <f>"10.12.133.128"</f>
        <v>10.12.133.128</v>
      </c>
      <c r="G9742" s="1" t="str">
        <f>"9726S343"</f>
        <v>9726S343</v>
      </c>
      <c r="H9742" s="1" t="str">
        <f>"이연지 1R4"</f>
        <v>이연지 1R4</v>
      </c>
      <c r="I9742" s="1" t="s">
        <v>8</v>
      </c>
      <c r="J9742" s="1" t="str">
        <f>"39/39"</f>
        <v>39/39</v>
      </c>
      <c r="K9742" s="1" t="str">
        <f>"2026-07-29 13:18:12"</f>
        <v>2026-07-29 13:18:12</v>
      </c>
      <c r="L9742" s="1" t="str">
        <f>"2021-07-28 09:19:21"</f>
        <v>2021-07-28 09:19:21</v>
      </c>
      <c r="M9742" s="1" t="s">
        <v>0</v>
      </c>
      <c r="N9742" s="1" t="s">
        <v>38</v>
      </c>
      <c r="O9742" s="1" t="s">
        <v>46</v>
      </c>
    </row>
    <row r="9743" spans="2:15" x14ac:dyDescent="0.3">
      <c r="B9743" s="1" t="s">
        <v>21</v>
      </c>
      <c r="C9743" s="1" t="str">
        <f>"4차"</f>
        <v>4차</v>
      </c>
      <c r="D9743" s="1" t="str">
        <f>"9726S42239"</f>
        <v>9726S42239</v>
      </c>
      <c r="E9743" s="1" t="s">
        <v>10</v>
      </c>
      <c r="F9743" s="1" t="str">
        <f>"10.12.136.131"</f>
        <v>10.12.136.131</v>
      </c>
      <c r="G9743" s="1" t="str">
        <f>"9726S422"</f>
        <v>9726S422</v>
      </c>
      <c r="H9743" s="1" t="str">
        <f>"이연지 6R4"</f>
        <v>이연지 6R4</v>
      </c>
      <c r="I9743" s="1" t="s">
        <v>8</v>
      </c>
      <c r="J9743" s="1" t="str">
        <f>"65/67"</f>
        <v>65/67</v>
      </c>
      <c r="K9743" s="1" t="str">
        <f>"2026-07-29 13:18:11"</f>
        <v>2026-07-29 13:18:11</v>
      </c>
      <c r="L9743" s="1" t="str">
        <f>"2018-10-02 15:42:43"</f>
        <v>2018-10-02 15:42:43</v>
      </c>
      <c r="M9743" s="1" t="s">
        <v>0</v>
      </c>
      <c r="N9743" s="1" t="s">
        <v>38</v>
      </c>
      <c r="O9743" s="1" t="s">
        <v>46</v>
      </c>
    </row>
    <row r="9744" spans="2:15" x14ac:dyDescent="0.3">
      <c r="B9744" s="1" t="s">
        <v>21</v>
      </c>
      <c r="C9744" s="1" t="str">
        <f>"4차"</f>
        <v>4차</v>
      </c>
      <c r="D9744" s="1" t="str">
        <f>"9726S43144"</f>
        <v>9726S43144</v>
      </c>
      <c r="E9744" s="1" t="s">
        <v>10</v>
      </c>
      <c r="F9744" s="1" t="str">
        <f>"10.10.70.170"</f>
        <v>10.10.70.170</v>
      </c>
      <c r="G9744" s="1" t="str">
        <f>"9726S431"</f>
        <v>9726S431</v>
      </c>
      <c r="H9744" s="1" t="str">
        <f>"이연지 6R3"</f>
        <v>이연지 6R3</v>
      </c>
      <c r="I9744" s="1" t="s">
        <v>8</v>
      </c>
      <c r="J9744" s="1" t="str">
        <f>"55/55"</f>
        <v>55/55</v>
      </c>
      <c r="K9744" s="1" t="str">
        <f>"2026-07-29 13:18:11"</f>
        <v>2026-07-29 13:18:11</v>
      </c>
      <c r="L9744" s="1" t="str">
        <f>"2019-11-07 10:33:05"</f>
        <v>2019-11-07 10:33:05</v>
      </c>
      <c r="M9744" s="1" t="s">
        <v>1</v>
      </c>
      <c r="N9744" s="1" t="s">
        <v>38</v>
      </c>
      <c r="O9744" s="1" t="s">
        <v>46</v>
      </c>
    </row>
    <row r="9745" spans="2:15" x14ac:dyDescent="0.3">
      <c r="B9745" s="1" t="s">
        <v>21</v>
      </c>
      <c r="C9745" s="1" t="str">
        <f>"1차"</f>
        <v>1차</v>
      </c>
      <c r="D9745" s="1" t="str">
        <f>"9726S46100"</f>
        <v>9726S46100</v>
      </c>
      <c r="E9745" s="1" t="s">
        <v>14</v>
      </c>
      <c r="F9745" s="1" t="str">
        <f>"10.128.33.107"</f>
        <v>10.128.33.107</v>
      </c>
      <c r="G9745" s="1" t="str">
        <f>"9726S461"</f>
        <v>9726S461</v>
      </c>
      <c r="H9745" s="1" t="str">
        <f>"연희간 10"</f>
        <v>연희간 10</v>
      </c>
      <c r="I9745" s="1" t="s">
        <v>8</v>
      </c>
      <c r="J9745" s="1" t="str">
        <f>"0/0"</f>
        <v>0/0</v>
      </c>
      <c r="K9745" s="1" t="str">
        <f>"2024-06-13 03:20:05"</f>
        <v>2024-06-13 03:20:05</v>
      </c>
      <c r="L9745" s="1" t="str">
        <f>"2014-12-17 10:43:26"</f>
        <v>2014-12-17 10:43:26</v>
      </c>
      <c r="M9745" s="1" t="s">
        <v>45</v>
      </c>
      <c r="N9745" s="1" t="s">
        <v>44</v>
      </c>
      <c r="O9745" s="1" t="s">
        <v>44</v>
      </c>
    </row>
    <row r="9746" spans="2:15" x14ac:dyDescent="0.3">
      <c r="B9746" s="1" t="s">
        <v>21</v>
      </c>
      <c r="C9746" s="1" t="str">
        <f>"4차"</f>
        <v>4차</v>
      </c>
      <c r="D9746" s="1" t="str">
        <f>"9726S51139"</f>
        <v>9726S51139</v>
      </c>
      <c r="E9746" s="1" t="s">
        <v>10</v>
      </c>
      <c r="F9746" s="1" t="str">
        <f>"10.12.132.70"</f>
        <v>10.12.132.70</v>
      </c>
      <c r="G9746" s="1" t="str">
        <f>"9726S511"</f>
        <v>9726S511</v>
      </c>
      <c r="H9746" s="1" t="str">
        <f>"이연지 9R3"</f>
        <v>이연지 9R3</v>
      </c>
      <c r="I9746" s="1" t="s">
        <v>8</v>
      </c>
      <c r="J9746" s="1" t="str">
        <f>"95/152"</f>
        <v>95/152</v>
      </c>
      <c r="K9746" s="1" t="str">
        <f>"2026-07-29 13:18:11"</f>
        <v>2026-07-29 13:18:11</v>
      </c>
      <c r="L9746" s="1" t="str">
        <f>"2018-10-02 16:32:14"</f>
        <v>2018-10-02 16:32:14</v>
      </c>
      <c r="M9746" s="1" t="s">
        <v>0</v>
      </c>
      <c r="N9746" s="1" t="s">
        <v>38</v>
      </c>
      <c r="O9746" s="1" t="s">
        <v>46</v>
      </c>
    </row>
    <row r="9747" spans="2:15" x14ac:dyDescent="0.3">
      <c r="B9747" s="1" t="s">
        <v>21</v>
      </c>
      <c r="C9747" s="1" t="str">
        <f>"4차"</f>
        <v>4차</v>
      </c>
      <c r="D9747" s="1" t="str">
        <f>"9726S52144"</f>
        <v>9726S52144</v>
      </c>
      <c r="E9747" s="1" t="s">
        <v>10</v>
      </c>
      <c r="F9747" s="1" t="str">
        <f>"10.10.70.210"</f>
        <v>10.10.70.210</v>
      </c>
      <c r="G9747" s="1" t="str">
        <f>"9726S521"</f>
        <v>9726S521</v>
      </c>
      <c r="H9747" s="1" t="str">
        <f>"이연지 8R2"</f>
        <v>이연지 8R2</v>
      </c>
      <c r="I9747" s="1" t="s">
        <v>8</v>
      </c>
      <c r="J9747" s="1" t="str">
        <f>"89/89"</f>
        <v>89/89</v>
      </c>
      <c r="K9747" s="1" t="str">
        <f>"2026-07-29 13:18:11"</f>
        <v>2026-07-29 13:18:11</v>
      </c>
      <c r="L9747" s="1" t="str">
        <f>"2019-11-07 10:53:11"</f>
        <v>2019-11-07 10:53:11</v>
      </c>
      <c r="M9747" s="1" t="s">
        <v>1</v>
      </c>
      <c r="N9747" s="1" t="s">
        <v>38</v>
      </c>
      <c r="O9747" s="1" t="s">
        <v>46</v>
      </c>
    </row>
    <row r="9748" spans="2:15" x14ac:dyDescent="0.3">
      <c r="B9748" s="1" t="s">
        <v>21</v>
      </c>
      <c r="C9748" s="1" t="str">
        <f>"4차"</f>
        <v>4차</v>
      </c>
      <c r="D9748" s="1" t="str">
        <f>"9726S53144"</f>
        <v>9726S53144</v>
      </c>
      <c r="E9748" s="1" t="s">
        <v>10</v>
      </c>
      <c r="F9748" s="1" t="str">
        <f>"10.10.71.122"</f>
        <v>10.10.71.122</v>
      </c>
      <c r="G9748" s="1" t="str">
        <f>"9726S531"</f>
        <v>9726S531</v>
      </c>
      <c r="H9748" s="1" t="str">
        <f>"이연지 6R2"</f>
        <v>이연지 6R2</v>
      </c>
      <c r="I9748" s="1" t="s">
        <v>8</v>
      </c>
      <c r="J9748" s="1" t="str">
        <f>"51/52"</f>
        <v>51/52</v>
      </c>
      <c r="K9748" s="1" t="str">
        <f>"2026-07-29 13:18:11"</f>
        <v>2026-07-29 13:18:11</v>
      </c>
      <c r="L9748" s="1" t="str">
        <f>"2019-11-07 10:14:12"</f>
        <v>2019-11-07 10:14:12</v>
      </c>
      <c r="M9748" s="1" t="s">
        <v>1</v>
      </c>
      <c r="N9748" s="1" t="s">
        <v>38</v>
      </c>
      <c r="O9748" s="1" t="s">
        <v>46</v>
      </c>
    </row>
    <row r="9749" spans="2:15" x14ac:dyDescent="0.3">
      <c r="B9749" s="1" t="s">
        <v>21</v>
      </c>
      <c r="C9749" s="1" t="str">
        <f>"4차"</f>
        <v>4차</v>
      </c>
      <c r="D9749" s="1" t="str">
        <f>"9726S53244"</f>
        <v>9726S53244</v>
      </c>
      <c r="E9749" s="1" t="s">
        <v>10</v>
      </c>
      <c r="F9749" s="1" t="str">
        <f>"10.10.71.106"</f>
        <v>10.10.71.106</v>
      </c>
      <c r="G9749" s="1" t="str">
        <f>"9726S532"</f>
        <v>9726S532</v>
      </c>
      <c r="H9749" s="1" t="str">
        <f>"이연지 6R1"</f>
        <v>이연지 6R1</v>
      </c>
      <c r="I9749" s="1" t="s">
        <v>8</v>
      </c>
      <c r="J9749" s="1" t="str">
        <f>"80/80"</f>
        <v>80/80</v>
      </c>
      <c r="K9749" s="1" t="str">
        <f>"2026-07-29 13:18:11"</f>
        <v>2026-07-29 13:18:11</v>
      </c>
      <c r="L9749" s="1" t="str">
        <f>"2019-11-07 10:13:04"</f>
        <v>2019-11-07 10:13:04</v>
      </c>
      <c r="M9749" s="1" t="s">
        <v>1</v>
      </c>
      <c r="N9749" s="1" t="s">
        <v>38</v>
      </c>
      <c r="O9749" s="1" t="s">
        <v>46</v>
      </c>
    </row>
    <row r="9750" spans="2:15" x14ac:dyDescent="0.3">
      <c r="B9750" s="1" t="s">
        <v>21</v>
      </c>
      <c r="C9750" s="1" t="str">
        <f>"4차"</f>
        <v>4차</v>
      </c>
      <c r="D9750" s="1" t="str">
        <f>"9726S54544"</f>
        <v>9726S54544</v>
      </c>
      <c r="E9750" s="1" t="s">
        <v>10</v>
      </c>
      <c r="F9750" s="1" t="str">
        <f>"10.10.70.146"</f>
        <v>10.10.70.146</v>
      </c>
      <c r="G9750" s="1" t="str">
        <f>"9726S545"</f>
        <v>9726S545</v>
      </c>
      <c r="H9750" s="1" t="str">
        <f>"이연지 5"</f>
        <v>이연지 5</v>
      </c>
      <c r="I9750" s="1" t="s">
        <v>8</v>
      </c>
      <c r="J9750" s="1" t="str">
        <f>"71/71"</f>
        <v>71/71</v>
      </c>
      <c r="K9750" s="1" t="str">
        <f>"2026-07-29 13:18:11"</f>
        <v>2026-07-29 13:18:11</v>
      </c>
      <c r="L9750" s="1" t="str">
        <f>"2019-11-07 10:23:05"</f>
        <v>2019-11-07 10:23:05</v>
      </c>
      <c r="M9750" s="1" t="s">
        <v>1</v>
      </c>
      <c r="N9750" s="1" t="s">
        <v>38</v>
      </c>
      <c r="O9750" s="1" t="s">
        <v>46</v>
      </c>
    </row>
    <row r="9751" spans="2:15" x14ac:dyDescent="0.3">
      <c r="B9751" s="1" t="s">
        <v>21</v>
      </c>
      <c r="C9751" s="1" t="str">
        <f>"1차"</f>
        <v>1차</v>
      </c>
      <c r="D9751" s="1" t="str">
        <f>"9726S56300"</f>
        <v>9726S56300</v>
      </c>
      <c r="E9751" s="1" t="s">
        <v>14</v>
      </c>
      <c r="F9751" s="1" t="str">
        <f>"10.128.99.122"</f>
        <v>10.128.99.122</v>
      </c>
      <c r="G9751" s="1" t="str">
        <f>"9726S563"</f>
        <v>9726S563</v>
      </c>
      <c r="H9751" s="1" t="str">
        <f>"연희간 12L2"</f>
        <v>연희간 12L2</v>
      </c>
      <c r="I9751" s="1" t="s">
        <v>8</v>
      </c>
      <c r="J9751" s="1" t="str">
        <f>"0/0"</f>
        <v>0/0</v>
      </c>
      <c r="K9751" s="1" t="str">
        <f>"2024-07-21 03:20:07"</f>
        <v>2024-07-21 03:20:07</v>
      </c>
      <c r="L9751" s="1" t="str">
        <f>"2014-12-17 10:58:24"</f>
        <v>2014-12-17 10:58:24</v>
      </c>
      <c r="M9751" s="1" t="s">
        <v>45</v>
      </c>
      <c r="N9751" s="1" t="s">
        <v>44</v>
      </c>
      <c r="O9751" s="1" t="s">
        <v>44</v>
      </c>
    </row>
    <row r="9752" spans="2:15" x14ac:dyDescent="0.3">
      <c r="B9752" s="1" t="s">
        <v>21</v>
      </c>
      <c r="C9752" s="1" t="str">
        <f>"4차"</f>
        <v>4차</v>
      </c>
      <c r="D9752" s="1" t="str">
        <f>"9726S59444"</f>
        <v>9726S59444</v>
      </c>
      <c r="E9752" s="1" t="s">
        <v>10</v>
      </c>
      <c r="F9752" s="1" t="str">
        <f>"10.10.112.146"</f>
        <v>10.10.112.146</v>
      </c>
      <c r="G9752" s="1" t="str">
        <f>"9726S594"</f>
        <v>9726S594</v>
      </c>
      <c r="H9752" s="1" t="str">
        <f>"연희간 7L4"</f>
        <v>연희간 7L4</v>
      </c>
      <c r="I9752" s="1" t="s">
        <v>8</v>
      </c>
      <c r="J9752" s="1" t="str">
        <f>"18/18"</f>
        <v>18/18</v>
      </c>
      <c r="K9752" s="1" t="str">
        <f>"2026-07-29 13:18:11"</f>
        <v>2026-07-29 13:18:11</v>
      </c>
      <c r="L9752" s="1" t="str">
        <f>"2019-11-07 10:13:04"</f>
        <v>2019-11-07 10:13:04</v>
      </c>
      <c r="M9752" s="1" t="s">
        <v>1</v>
      </c>
      <c r="N9752" s="1" t="s">
        <v>38</v>
      </c>
      <c r="O9752" s="1" t="s">
        <v>46</v>
      </c>
    </row>
    <row r="9753" spans="2:15" x14ac:dyDescent="0.3">
      <c r="B9753" s="1" t="s">
        <v>21</v>
      </c>
      <c r="C9753" s="1" t="str">
        <f>"4차"</f>
        <v>4차</v>
      </c>
      <c r="D9753" s="1" t="str">
        <f>"9726S61144"</f>
        <v>9726S61144</v>
      </c>
      <c r="E9753" s="1" t="s">
        <v>10</v>
      </c>
      <c r="F9753" s="1" t="str">
        <f>"10.10.70.250"</f>
        <v>10.10.70.250</v>
      </c>
      <c r="G9753" s="1" t="str">
        <f>"9726S611"</f>
        <v>9726S611</v>
      </c>
      <c r="H9753" s="1" t="str">
        <f>"이연지 9R2"</f>
        <v>이연지 9R2</v>
      </c>
      <c r="I9753" s="1" t="s">
        <v>8</v>
      </c>
      <c r="J9753" s="1" t="str">
        <f>"27/27"</f>
        <v>27/27</v>
      </c>
      <c r="K9753" s="1" t="str">
        <f>"2026-07-29 13:18:11"</f>
        <v>2026-07-29 13:18:11</v>
      </c>
      <c r="L9753" s="1" t="str">
        <f>"2019-11-07 11:40:27"</f>
        <v>2019-11-07 11:40:27</v>
      </c>
      <c r="M9753" s="1" t="s">
        <v>1</v>
      </c>
      <c r="N9753" s="1" t="s">
        <v>38</v>
      </c>
      <c r="O9753" s="1" t="s">
        <v>46</v>
      </c>
    </row>
    <row r="9754" spans="2:15" x14ac:dyDescent="0.3">
      <c r="B9754" s="1" t="s">
        <v>21</v>
      </c>
      <c r="C9754" s="1" t="str">
        <f>"4차"</f>
        <v>4차</v>
      </c>
      <c r="D9754" s="1" t="str">
        <f>"9726S62144"</f>
        <v>9726S62144</v>
      </c>
      <c r="E9754" s="1" t="s">
        <v>10</v>
      </c>
      <c r="F9754" s="1" t="str">
        <f>"10.10.70.194"</f>
        <v>10.10.70.194</v>
      </c>
      <c r="G9754" s="1" t="str">
        <f>"9726S621"</f>
        <v>9726S621</v>
      </c>
      <c r="H9754" s="1" t="str">
        <f>"이연지 8R1"</f>
        <v>이연지 8R1</v>
      </c>
      <c r="I9754" s="1" t="s">
        <v>8</v>
      </c>
      <c r="J9754" s="1" t="str">
        <f>"18/18"</f>
        <v>18/18</v>
      </c>
      <c r="K9754" s="1" t="str">
        <f>"2026-07-29 13:18:11"</f>
        <v>2026-07-29 13:18:11</v>
      </c>
      <c r="L9754" s="1" t="str">
        <f>"2019-11-07 10:43:55"</f>
        <v>2019-11-07 10:43:55</v>
      </c>
      <c r="M9754" s="1" t="s">
        <v>1</v>
      </c>
      <c r="N9754" s="1" t="s">
        <v>38</v>
      </c>
      <c r="O9754" s="1" t="s">
        <v>46</v>
      </c>
    </row>
    <row r="9755" spans="2:15" x14ac:dyDescent="0.3">
      <c r="B9755" s="1" t="s">
        <v>21</v>
      </c>
      <c r="C9755" s="1" t="str">
        <f>"4차"</f>
        <v>4차</v>
      </c>
      <c r="D9755" s="1" t="str">
        <f>"9726S62244"</f>
        <v>9726S62244</v>
      </c>
      <c r="E9755" s="1" t="s">
        <v>10</v>
      </c>
      <c r="F9755" s="1" t="str">
        <f>"10.10.70.234"</f>
        <v>10.10.70.234</v>
      </c>
      <c r="G9755" s="1" t="str">
        <f>"9726S622"</f>
        <v>9726S622</v>
      </c>
      <c r="H9755" s="1" t="str">
        <f>"이연지 9R1"</f>
        <v>이연지 9R1</v>
      </c>
      <c r="I9755" s="1" t="s">
        <v>8</v>
      </c>
      <c r="J9755" s="1" t="str">
        <f>"36/43"</f>
        <v>36/43</v>
      </c>
      <c r="K9755" s="1" t="str">
        <f>"2026-07-29 13:18:11"</f>
        <v>2026-07-29 13:18:11</v>
      </c>
      <c r="L9755" s="1" t="str">
        <f>"2019-11-07 11:19:56"</f>
        <v>2019-11-07 11:19:56</v>
      </c>
      <c r="M9755" s="1" t="s">
        <v>1</v>
      </c>
      <c r="N9755" s="1" t="s">
        <v>38</v>
      </c>
      <c r="O9755" s="1" t="s">
        <v>46</v>
      </c>
    </row>
    <row r="9756" spans="2:15" x14ac:dyDescent="0.3">
      <c r="B9756" s="1" t="s">
        <v>21</v>
      </c>
      <c r="C9756" s="1" t="str">
        <f>"6차"</f>
        <v>6차</v>
      </c>
      <c r="D9756" s="1" t="str">
        <f>"9726S6516S"</f>
        <v>9726S6516S</v>
      </c>
      <c r="E9756" s="1" t="s">
        <v>10</v>
      </c>
      <c r="F9756" s="1" t="str">
        <f>"fde1:103:4:c7fb:0:0:0:2"</f>
        <v>fde1:103:4:c7fb:0:0:0:2</v>
      </c>
      <c r="G9756" s="1" t="str">
        <f>"9726S651"</f>
        <v>9726S651</v>
      </c>
      <c r="H9756" s="1" t="str">
        <f>"연희간 19L5"</f>
        <v>연희간 19L5</v>
      </c>
      <c r="I9756" s="1" t="s">
        <v>15</v>
      </c>
      <c r="J9756" s="1" t="str">
        <f>"48/48"</f>
        <v>48/48</v>
      </c>
      <c r="K9756" s="1" t="str">
        <f>"2026-07-29 08:21:02"</f>
        <v>2026-07-29 08:21:02</v>
      </c>
      <c r="L9756" s="1" t="str">
        <f>"2024-12-06 11:23:30"</f>
        <v>2024-12-06 11:23:30</v>
      </c>
      <c r="M9756" s="1" t="s">
        <v>4</v>
      </c>
      <c r="N9756" s="1" t="s">
        <v>38</v>
      </c>
      <c r="O9756" s="1" t="s">
        <v>46</v>
      </c>
    </row>
    <row r="9757" spans="2:15" x14ac:dyDescent="0.3">
      <c r="B9757" s="1" t="s">
        <v>21</v>
      </c>
      <c r="C9757" s="1" t="str">
        <f>"4차"</f>
        <v>4차</v>
      </c>
      <c r="D9757" s="1" t="str">
        <f>"9726S67144"</f>
        <v>9726S67144</v>
      </c>
      <c r="E9757" s="1" t="s">
        <v>10</v>
      </c>
      <c r="F9757" s="1" t="str">
        <f>"10.10.70.42"</f>
        <v>10.10.70.42</v>
      </c>
      <c r="G9757" s="1" t="str">
        <f>"9726S671"</f>
        <v>9726S671</v>
      </c>
      <c r="H9757" s="1" t="str">
        <f>"연희간 7L5R4"</f>
        <v>연희간 7L5R4</v>
      </c>
      <c r="I9757" s="1" t="s">
        <v>8</v>
      </c>
      <c r="J9757" s="1" t="str">
        <f>"106/112"</f>
        <v>106/112</v>
      </c>
      <c r="K9757" s="1" t="str">
        <f>"2026-07-29 13:18:11"</f>
        <v>2026-07-29 13:18:11</v>
      </c>
      <c r="L9757" s="1" t="str">
        <f>"2019-11-07 10:07:32"</f>
        <v>2019-11-07 10:07:32</v>
      </c>
      <c r="M9757" s="1" t="s">
        <v>1</v>
      </c>
      <c r="N9757" s="1" t="s">
        <v>38</v>
      </c>
      <c r="O9757" s="1" t="s">
        <v>46</v>
      </c>
    </row>
    <row r="9758" spans="2:15" x14ac:dyDescent="0.3">
      <c r="B9758" s="1" t="s">
        <v>21</v>
      </c>
      <c r="C9758" s="1" t="str">
        <f>"6차"</f>
        <v>6차</v>
      </c>
      <c r="D9758" s="1" t="str">
        <f>"9726S6736S"</f>
        <v>9726S6736S</v>
      </c>
      <c r="E9758" s="1" t="s">
        <v>10</v>
      </c>
      <c r="F9758" s="1" t="str">
        <f>"fde1:103:4:c788:0:0:0:2"</f>
        <v>fde1:103:4:c788:0:0:0:2</v>
      </c>
      <c r="G9758" s="1" t="str">
        <f>"9726S673"</f>
        <v>9726S673</v>
      </c>
      <c r="H9758" s="1" t="str">
        <f>"연희간 7L5R3R2"</f>
        <v>연희간 7L5R3R2</v>
      </c>
      <c r="I9758" s="1" t="s">
        <v>15</v>
      </c>
      <c r="J9758" s="1" t="str">
        <f>"93/93"</f>
        <v>93/93</v>
      </c>
      <c r="K9758" s="1" t="str">
        <f>"2026-07-29 14:21:06"</f>
        <v>2026-07-29 14:21:06</v>
      </c>
      <c r="L9758" s="1" t="str">
        <f>"2024-12-06 11:23:46"</f>
        <v>2024-12-06 11:23:46</v>
      </c>
      <c r="M9758" s="1" t="s">
        <v>4</v>
      </c>
      <c r="N9758" s="1" t="s">
        <v>38</v>
      </c>
      <c r="O9758" s="1" t="s">
        <v>46</v>
      </c>
    </row>
    <row r="9759" spans="2:15" x14ac:dyDescent="0.3">
      <c r="B9759" s="1" t="s">
        <v>21</v>
      </c>
      <c r="C9759" s="1" t="str">
        <f>"4차"</f>
        <v>4차</v>
      </c>
      <c r="D9759" s="1" t="str">
        <f>"9726S69144"</f>
        <v>9726S69144</v>
      </c>
      <c r="E9759" s="1" t="s">
        <v>10</v>
      </c>
      <c r="F9759" s="1" t="str">
        <f>"10.10.70.34"</f>
        <v>10.10.70.34</v>
      </c>
      <c r="G9759" s="1" t="str">
        <f>"9726S691"</f>
        <v>9726S691</v>
      </c>
      <c r="H9759" s="1" t="str">
        <f>"연희간 7L5"</f>
        <v>연희간 7L5</v>
      </c>
      <c r="I9759" s="1" t="s">
        <v>8</v>
      </c>
      <c r="J9759" s="1" t="str">
        <f>"31/75"</f>
        <v>31/75</v>
      </c>
      <c r="K9759" s="1" t="str">
        <f>"2026-07-29 13:18:11"</f>
        <v>2026-07-29 13:18:11</v>
      </c>
      <c r="L9759" s="1" t="str">
        <f>"2019-12-24 16:51:10"</f>
        <v>2019-12-24 16:51:10</v>
      </c>
      <c r="M9759" s="1" t="s">
        <v>1</v>
      </c>
      <c r="N9759" s="1" t="s">
        <v>38</v>
      </c>
      <c r="O9759" s="1" t="s">
        <v>46</v>
      </c>
    </row>
    <row r="9760" spans="2:15" x14ac:dyDescent="0.3">
      <c r="B9760" s="1" t="s">
        <v>21</v>
      </c>
      <c r="C9760" s="1" t="str">
        <f>"1차"</f>
        <v>1차</v>
      </c>
      <c r="D9760" s="1" t="str">
        <f>"9726S70101"</f>
        <v>9726S70101</v>
      </c>
      <c r="E9760" s="1" t="s">
        <v>10</v>
      </c>
      <c r="F9760" s="1" t="str">
        <f>"10.128.32.137"</f>
        <v>10.128.32.137</v>
      </c>
      <c r="G9760" s="1" t="str">
        <f>"9726S701"</f>
        <v>9726S701</v>
      </c>
      <c r="H9760" s="1" t="str">
        <f>"이연지 15R5"</f>
        <v>이연지 15R5</v>
      </c>
      <c r="I9760" s="1" t="s">
        <v>8</v>
      </c>
      <c r="J9760" s="1" t="str">
        <f>"50/50"</f>
        <v>50/50</v>
      </c>
      <c r="K9760" s="1" t="str">
        <f>"2026-07-29 13:18:11"</f>
        <v>2026-07-29 13:18:11</v>
      </c>
      <c r="L9760" s="1" t="str">
        <f>"2014-12-22 14:13:56"</f>
        <v>2014-12-22 14:13:56</v>
      </c>
      <c r="M9760" s="1" t="s">
        <v>45</v>
      </c>
      <c r="N9760" s="1" t="s">
        <v>38</v>
      </c>
      <c r="O9760" s="1" t="s">
        <v>46</v>
      </c>
    </row>
    <row r="9761" spans="2:15" x14ac:dyDescent="0.3">
      <c r="B9761" s="1" t="s">
        <v>21</v>
      </c>
      <c r="C9761" s="1" t="str">
        <f>"4차"</f>
        <v>4차</v>
      </c>
      <c r="D9761" s="1" t="str">
        <f>"9726S72544"</f>
        <v>9726S72544</v>
      </c>
      <c r="E9761" s="1" t="s">
        <v>10</v>
      </c>
      <c r="F9761" s="1" t="str">
        <f>"10.10.70.218"</f>
        <v>10.10.70.218</v>
      </c>
      <c r="G9761" s="1" t="str">
        <f>"9726S725"</f>
        <v>9726S725</v>
      </c>
      <c r="H9761" s="1" t="str">
        <f>"이연지 9"</f>
        <v>이연지 9</v>
      </c>
      <c r="I9761" s="1" t="s">
        <v>8</v>
      </c>
      <c r="J9761" s="1" t="str">
        <f>"6/6"</f>
        <v>6/6</v>
      </c>
      <c r="K9761" s="1" t="str">
        <f>"2026-07-29 13:18:11"</f>
        <v>2026-07-29 13:18:11</v>
      </c>
      <c r="L9761" s="1" t="str">
        <f>"2019-11-07 11:08:11"</f>
        <v>2019-11-07 11:08:11</v>
      </c>
      <c r="M9761" s="1" t="s">
        <v>1</v>
      </c>
      <c r="N9761" s="1" t="s">
        <v>38</v>
      </c>
      <c r="O9761" s="1" t="s">
        <v>46</v>
      </c>
    </row>
    <row r="9762" spans="2:15" x14ac:dyDescent="0.3">
      <c r="B9762" s="1" t="s">
        <v>21</v>
      </c>
      <c r="C9762" s="1" t="str">
        <f>"6차"</f>
        <v>6차</v>
      </c>
      <c r="D9762" s="1" t="str">
        <f>"9726S7326S"</f>
        <v>9726S7326S</v>
      </c>
      <c r="E9762" s="1" t="s">
        <v>10</v>
      </c>
      <c r="F9762" s="1" t="str">
        <f>"fde1:103:4:c7b9:0:0:0:2"</f>
        <v>fde1:103:4:c7b9:0:0:0:2</v>
      </c>
      <c r="G9762" s="1" t="str">
        <f>"9726S732"</f>
        <v>9726S732</v>
      </c>
      <c r="H9762" s="1" t="str">
        <f>"연희간 19"</f>
        <v>연희간 19</v>
      </c>
      <c r="I9762" s="1" t="s">
        <v>15</v>
      </c>
      <c r="J9762" s="1" t="str">
        <f>"57/57"</f>
        <v>57/57</v>
      </c>
      <c r="K9762" s="1" t="str">
        <f>"2026-07-29 14:21:05"</f>
        <v>2026-07-29 14:21:05</v>
      </c>
      <c r="L9762" s="1" t="str">
        <f>"2024-12-06 11:33:22"</f>
        <v>2024-12-06 11:33:22</v>
      </c>
      <c r="M9762" s="1" t="s">
        <v>4</v>
      </c>
      <c r="N9762" s="1" t="s">
        <v>38</v>
      </c>
      <c r="O9762" s="1" t="s">
        <v>46</v>
      </c>
    </row>
    <row r="9763" spans="2:15" x14ac:dyDescent="0.3">
      <c r="B9763" s="1" t="s">
        <v>21</v>
      </c>
      <c r="C9763" s="1" t="str">
        <f>"6차"</f>
        <v>6차</v>
      </c>
      <c r="D9763" s="1" t="str">
        <f>"9726S7426S"</f>
        <v>9726S7426S</v>
      </c>
      <c r="E9763" s="1" t="s">
        <v>10</v>
      </c>
      <c r="F9763" s="1" t="str">
        <f>"fde1:103:4:c7c2:0:0:0:2"</f>
        <v>fde1:103:4:c7c2:0:0:0:2</v>
      </c>
      <c r="G9763" s="1" t="str">
        <f>"9726S742"</f>
        <v>9726S742</v>
      </c>
      <c r="H9763" s="1" t="str">
        <f>"연희간 19L1"</f>
        <v>연희간 19L1</v>
      </c>
      <c r="I9763" s="1" t="s">
        <v>15</v>
      </c>
      <c r="J9763" s="1" t="str">
        <f>"40/40"</f>
        <v>40/40</v>
      </c>
      <c r="K9763" s="1" t="str">
        <f>"2026-07-29 14:21:41"</f>
        <v>2026-07-29 14:21:41</v>
      </c>
      <c r="L9763" s="1" t="str">
        <f>"2024-12-06 11:23:24"</f>
        <v>2024-12-06 11:23:24</v>
      </c>
      <c r="M9763" s="1" t="s">
        <v>4</v>
      </c>
      <c r="N9763" s="1" t="s">
        <v>38</v>
      </c>
      <c r="O9763" s="1" t="s">
        <v>46</v>
      </c>
    </row>
    <row r="9764" spans="2:15" x14ac:dyDescent="0.3">
      <c r="B9764" s="1" t="s">
        <v>21</v>
      </c>
      <c r="C9764" s="1" t="str">
        <f>"6차"</f>
        <v>6차</v>
      </c>
      <c r="D9764" s="1" t="str">
        <f>"9726S7436S"</f>
        <v>9726S7436S</v>
      </c>
      <c r="E9764" s="1" t="s">
        <v>10</v>
      </c>
      <c r="F9764" s="1" t="str">
        <f>"fde1:103:4:c7c8:0:0:0:2"</f>
        <v>fde1:103:4:c7c8:0:0:0:2</v>
      </c>
      <c r="G9764" s="1" t="str">
        <f>"9726S743"</f>
        <v>9726S743</v>
      </c>
      <c r="H9764" s="1" t="str">
        <f>"연희간 19L2"</f>
        <v>연희간 19L2</v>
      </c>
      <c r="I9764" s="1" t="s">
        <v>15</v>
      </c>
      <c r="J9764" s="1" t="str">
        <f>"66/66"</f>
        <v>66/66</v>
      </c>
      <c r="K9764" s="1" t="str">
        <f>"2026-07-29 14:20:38"</f>
        <v>2026-07-29 14:20:38</v>
      </c>
      <c r="L9764" s="1" t="str">
        <f>"2024-12-06 11:36:34"</f>
        <v>2024-12-06 11:36:34</v>
      </c>
      <c r="M9764" s="1" t="s">
        <v>4</v>
      </c>
      <c r="N9764" s="1" t="s">
        <v>38</v>
      </c>
      <c r="O9764" s="1" t="s">
        <v>46</v>
      </c>
    </row>
    <row r="9765" spans="2:15" x14ac:dyDescent="0.3">
      <c r="B9765" s="1" t="s">
        <v>21</v>
      </c>
      <c r="C9765" s="1" t="str">
        <f>"6차"</f>
        <v>6차</v>
      </c>
      <c r="D9765" s="1" t="str">
        <f>"9726S7516S"</f>
        <v>9726S7516S</v>
      </c>
      <c r="E9765" s="1" t="s">
        <v>10</v>
      </c>
      <c r="F9765" s="1" t="str">
        <f>"fde1:103:4:c7eb:0:0:0:2"</f>
        <v>fde1:103:4:c7eb:0:0:0:2</v>
      </c>
      <c r="G9765" s="1" t="str">
        <f>"9726S751"</f>
        <v>9726S751</v>
      </c>
      <c r="H9765" s="1" t="str">
        <f>"연희간 19L4"</f>
        <v>연희간 19L4</v>
      </c>
      <c r="I9765" s="1" t="s">
        <v>15</v>
      </c>
      <c r="J9765" s="1" t="str">
        <f>"41/49"</f>
        <v>41/49</v>
      </c>
      <c r="K9765" s="1" t="str">
        <f>"2026-07-29 14:21:06"</f>
        <v>2026-07-29 14:21:06</v>
      </c>
      <c r="L9765" s="1" t="str">
        <f>"2024-12-06 11:23:33"</f>
        <v>2024-12-06 11:23:33</v>
      </c>
      <c r="M9765" s="1" t="s">
        <v>4</v>
      </c>
      <c r="N9765" s="1" t="s">
        <v>38</v>
      </c>
      <c r="O9765" s="1" t="s">
        <v>46</v>
      </c>
    </row>
    <row r="9766" spans="2:15" x14ac:dyDescent="0.3">
      <c r="B9766" s="1" t="s">
        <v>21</v>
      </c>
      <c r="C9766" s="1" t="str">
        <f>"1차"</f>
        <v>1차</v>
      </c>
      <c r="D9766" s="1" t="str">
        <f>"9726S78200"</f>
        <v>9726S78200</v>
      </c>
      <c r="E9766" s="1" t="s">
        <v>10</v>
      </c>
      <c r="F9766" s="1" t="str">
        <f>"10.128.99.98"</f>
        <v>10.128.99.98</v>
      </c>
      <c r="G9766" s="1" t="str">
        <f>"9726S782"</f>
        <v>9726S782</v>
      </c>
      <c r="H9766" s="1" t="str">
        <f>"연희간 7L8L1"</f>
        <v>연희간 7L8L1</v>
      </c>
      <c r="I9766" s="1" t="s">
        <v>8</v>
      </c>
      <c r="J9766" s="1" t="str">
        <f>"56/56"</f>
        <v>56/56</v>
      </c>
      <c r="K9766" s="1" t="str">
        <f>"2026-07-29 13:18:00"</f>
        <v>2026-07-29 13:18:00</v>
      </c>
      <c r="L9766" s="1" t="str">
        <f>"2014-12-17 10:58:51"</f>
        <v>2014-12-17 10:58:51</v>
      </c>
      <c r="M9766" s="1" t="s">
        <v>45</v>
      </c>
      <c r="N9766" s="1" t="s">
        <v>38</v>
      </c>
      <c r="O9766" s="1" t="s">
        <v>46</v>
      </c>
    </row>
    <row r="9767" spans="2:15" x14ac:dyDescent="0.3">
      <c r="B9767" s="1" t="s">
        <v>21</v>
      </c>
      <c r="C9767" s="1" t="str">
        <f>"4차"</f>
        <v>4차</v>
      </c>
      <c r="D9767" s="1" t="str">
        <f>"9726S78444"</f>
        <v>9726S78444</v>
      </c>
      <c r="E9767" s="1" t="s">
        <v>10</v>
      </c>
      <c r="F9767" s="1" t="str">
        <f>"10.10.112.154"</f>
        <v>10.10.112.154</v>
      </c>
      <c r="G9767" s="1" t="str">
        <f>"9726S784"</f>
        <v>9726S784</v>
      </c>
      <c r="H9767" s="1" t="str">
        <f>"연희간 7L9"</f>
        <v>연희간 7L9</v>
      </c>
      <c r="I9767" s="1" t="s">
        <v>8</v>
      </c>
      <c r="J9767" s="1" t="str">
        <f>"18/18"</f>
        <v>18/18</v>
      </c>
      <c r="K9767" s="1" t="str">
        <f>"2026-07-29 13:18:11"</f>
        <v>2026-07-29 13:18:11</v>
      </c>
      <c r="L9767" s="1" t="str">
        <f>"2019-11-07 10:12:56"</f>
        <v>2019-11-07 10:12:56</v>
      </c>
      <c r="M9767" s="1" t="s">
        <v>1</v>
      </c>
      <c r="N9767" s="1" t="s">
        <v>38</v>
      </c>
      <c r="O9767" s="1" t="s">
        <v>46</v>
      </c>
    </row>
    <row r="9768" spans="2:15" x14ac:dyDescent="0.3">
      <c r="B9768" s="1" t="s">
        <v>21</v>
      </c>
      <c r="C9768" s="1" t="str">
        <f>"1차"</f>
        <v>1차</v>
      </c>
      <c r="D9768" s="1" t="str">
        <f>"9726S80400"</f>
        <v>9726S80400</v>
      </c>
      <c r="E9768" s="1" t="s">
        <v>10</v>
      </c>
      <c r="F9768" s="1" t="str">
        <f>"10.128.33.133"</f>
        <v>10.128.33.133</v>
      </c>
      <c r="G9768" s="1" t="str">
        <f>"9726S804"</f>
        <v>9726S804</v>
      </c>
      <c r="H9768" s="1" t="str">
        <f>"이연지 13"</f>
        <v>이연지 13</v>
      </c>
      <c r="I9768" s="1" t="s">
        <v>8</v>
      </c>
      <c r="J9768" s="1" t="str">
        <f>"12/12"</f>
        <v>12/12</v>
      </c>
      <c r="K9768" s="1" t="str">
        <f>"2026-07-29 13:18:11"</f>
        <v>2026-07-29 13:18:11</v>
      </c>
      <c r="L9768" s="1" t="str">
        <f>"2014-12-22 19:43:40"</f>
        <v>2014-12-22 19:43:40</v>
      </c>
      <c r="M9768" s="1" t="s">
        <v>45</v>
      </c>
      <c r="N9768" s="1" t="s">
        <v>38</v>
      </c>
      <c r="O9768" s="1" t="s">
        <v>46</v>
      </c>
    </row>
    <row r="9769" spans="2:15" x14ac:dyDescent="0.3">
      <c r="B9769" s="1" t="s">
        <v>21</v>
      </c>
      <c r="C9769" s="1" t="str">
        <f>"4차"</f>
        <v>4차</v>
      </c>
      <c r="D9769" s="1" t="str">
        <f>"9726S86239"</f>
        <v>9726S86239</v>
      </c>
      <c r="E9769" s="1" t="s">
        <v>12</v>
      </c>
      <c r="F9769" s="1" t="str">
        <f>"10.128.99.162"</f>
        <v>10.128.99.162</v>
      </c>
      <c r="G9769" s="1" t="str">
        <f>"9726S862"</f>
        <v>9726S862</v>
      </c>
      <c r="H9769" s="1" t="str">
        <f>"화교간 33L11R4"</f>
        <v>화교간 33L11R4</v>
      </c>
      <c r="I9769" s="1" t="s">
        <v>8</v>
      </c>
      <c r="J9769" s="1" t="str">
        <f>"0/181"</f>
        <v>0/181</v>
      </c>
      <c r="K9769" s="1" t="str">
        <f>"2026-07-28 20:03:17"</f>
        <v>2026-07-28 20:03:17</v>
      </c>
      <c r="L9769" s="1" t="str">
        <f>"2018-10-04 11:24:41"</f>
        <v>2018-10-04 11:24:41</v>
      </c>
      <c r="M9769" s="1" t="s">
        <v>45</v>
      </c>
      <c r="N9769" s="1" t="s">
        <v>38</v>
      </c>
      <c r="O9769" s="1" t="s">
        <v>46</v>
      </c>
    </row>
    <row r="9770" spans="2:15" x14ac:dyDescent="0.3">
      <c r="B9770" s="1" t="s">
        <v>21</v>
      </c>
      <c r="C9770" s="1" t="str">
        <f>"1차"</f>
        <v>1차</v>
      </c>
      <c r="D9770" s="1" t="str">
        <f>"9726S88201"</f>
        <v>9726S88201</v>
      </c>
      <c r="E9770" s="1" t="s">
        <v>10</v>
      </c>
      <c r="F9770" s="1" t="str">
        <f>"10.12.130.243"</f>
        <v>10.12.130.243</v>
      </c>
      <c r="G9770" s="1" t="str">
        <f>"9726S882"</f>
        <v>9726S882</v>
      </c>
      <c r="H9770" s="1" t="str">
        <f>"연희간 7L10"</f>
        <v>연희간 7L10</v>
      </c>
      <c r="I9770" s="1" t="s">
        <v>8</v>
      </c>
      <c r="J9770" s="1" t="str">
        <f>"86/86"</f>
        <v>86/86</v>
      </c>
      <c r="K9770" s="1" t="str">
        <f>"2026-07-29 13:18:12"</f>
        <v>2026-07-29 13:18:12</v>
      </c>
      <c r="L9770" s="1" t="str">
        <f>"2015-01-26 14:11:03"</f>
        <v>2015-01-26 14:11:03</v>
      </c>
      <c r="M9770" s="1" t="s">
        <v>0</v>
      </c>
      <c r="N9770" s="1" t="s">
        <v>38</v>
      </c>
      <c r="O9770" s="1" t="s">
        <v>46</v>
      </c>
    </row>
    <row r="9771" spans="2:15" x14ac:dyDescent="0.3">
      <c r="B9771" s="1" t="s">
        <v>21</v>
      </c>
      <c r="C9771" s="1" t="str">
        <f t="shared" ref="C9771:C9779" si="491">"4차"</f>
        <v>4차</v>
      </c>
      <c r="D9771" s="1" t="str">
        <f>"9726S90144"</f>
        <v>9726S90144</v>
      </c>
      <c r="E9771" s="1" t="s">
        <v>10</v>
      </c>
      <c r="F9771" s="1" t="str">
        <f>"10.10.122.18"</f>
        <v>10.10.122.18</v>
      </c>
      <c r="G9771" s="1" t="str">
        <f>"9726S901"</f>
        <v>9726S901</v>
      </c>
      <c r="H9771" s="1" t="str">
        <f>"이연지 14"</f>
        <v>이연지 14</v>
      </c>
      <c r="I9771" s="1" t="s">
        <v>8</v>
      </c>
      <c r="J9771" s="1" t="str">
        <f>"8/8"</f>
        <v>8/8</v>
      </c>
      <c r="K9771" s="1" t="str">
        <f t="shared" ref="K9771:K9776" si="492">"2026-07-29 13:18:11"</f>
        <v>2026-07-29 13:18:11</v>
      </c>
      <c r="L9771" s="1" t="str">
        <f>"2020-01-10 17:16:01"</f>
        <v>2020-01-10 17:16:01</v>
      </c>
      <c r="M9771" s="1" t="s">
        <v>1</v>
      </c>
      <c r="N9771" s="1" t="s">
        <v>38</v>
      </c>
      <c r="O9771" s="1" t="s">
        <v>46</v>
      </c>
    </row>
    <row r="9772" spans="2:15" x14ac:dyDescent="0.3">
      <c r="B9772" s="1" t="s">
        <v>21</v>
      </c>
      <c r="C9772" s="1" t="str">
        <f t="shared" si="491"/>
        <v>4차</v>
      </c>
      <c r="D9772" s="1" t="str">
        <f>"9726S94144"</f>
        <v>9726S94144</v>
      </c>
      <c r="E9772" s="1" t="s">
        <v>10</v>
      </c>
      <c r="F9772" s="1" t="str">
        <f>"10.10.70.2"</f>
        <v>10.10.70.2</v>
      </c>
      <c r="G9772" s="1" t="str">
        <f>"9726S941"</f>
        <v>9726S941</v>
      </c>
      <c r="H9772" s="1" t="str">
        <f>"연희간 22"</f>
        <v>연희간 22</v>
      </c>
      <c r="I9772" s="1" t="s">
        <v>8</v>
      </c>
      <c r="J9772" s="1" t="str">
        <f>"77/83"</f>
        <v>77/83</v>
      </c>
      <c r="K9772" s="1" t="str">
        <f t="shared" si="492"/>
        <v>2026-07-29 13:18:11</v>
      </c>
      <c r="L9772" s="1" t="str">
        <f>"2019-11-07 10:00:25"</f>
        <v>2019-11-07 10:00:25</v>
      </c>
      <c r="M9772" s="1" t="s">
        <v>1</v>
      </c>
      <c r="N9772" s="1" t="s">
        <v>38</v>
      </c>
      <c r="O9772" s="1" t="s">
        <v>46</v>
      </c>
    </row>
    <row r="9773" spans="2:15" x14ac:dyDescent="0.3">
      <c r="B9773" s="1" t="s">
        <v>21</v>
      </c>
      <c r="C9773" s="1" t="str">
        <f t="shared" si="491"/>
        <v>4차</v>
      </c>
      <c r="D9773" s="1" t="str">
        <f>"9726S95344"</f>
        <v>9726S95344</v>
      </c>
      <c r="E9773" s="1" t="s">
        <v>10</v>
      </c>
      <c r="F9773" s="1" t="str">
        <f>"10.10.70.18"</f>
        <v>10.10.70.18</v>
      </c>
      <c r="G9773" s="1" t="str">
        <f>"9726S953"</f>
        <v>9726S953</v>
      </c>
      <c r="H9773" s="1" t="str">
        <f>"연희간 22R1"</f>
        <v>연희간 22R1</v>
      </c>
      <c r="I9773" s="1" t="s">
        <v>8</v>
      </c>
      <c r="J9773" s="1" t="str">
        <f>"62/63"</f>
        <v>62/63</v>
      </c>
      <c r="K9773" s="1" t="str">
        <f t="shared" si="492"/>
        <v>2026-07-29 13:18:11</v>
      </c>
      <c r="L9773" s="1" t="str">
        <f>"2019-11-07 10:07:17"</f>
        <v>2019-11-07 10:07:17</v>
      </c>
      <c r="M9773" s="1" t="s">
        <v>1</v>
      </c>
      <c r="N9773" s="1" t="s">
        <v>38</v>
      </c>
      <c r="O9773" s="1" t="s">
        <v>46</v>
      </c>
    </row>
    <row r="9774" spans="2:15" x14ac:dyDescent="0.3">
      <c r="B9774" s="1" t="s">
        <v>21</v>
      </c>
      <c r="C9774" s="1" t="str">
        <f t="shared" si="491"/>
        <v>4차</v>
      </c>
      <c r="D9774" s="1" t="str">
        <f>"9726S96144"</f>
        <v>9726S96144</v>
      </c>
      <c r="E9774" s="1" t="s">
        <v>10</v>
      </c>
      <c r="F9774" s="1" t="str">
        <f>"10.10.72.34"</f>
        <v>10.10.72.34</v>
      </c>
      <c r="G9774" s="1" t="str">
        <f>"9726S961"</f>
        <v>9726S961</v>
      </c>
      <c r="H9774" s="1" t="str">
        <f>"화교간 33L11R1"</f>
        <v>화교간 33L11R1</v>
      </c>
      <c r="I9774" s="1" t="s">
        <v>8</v>
      </c>
      <c r="J9774" s="1" t="str">
        <f>"45/45"</f>
        <v>45/45</v>
      </c>
      <c r="K9774" s="1" t="str">
        <f t="shared" si="492"/>
        <v>2026-07-29 13:18:11</v>
      </c>
      <c r="L9774" s="1" t="str">
        <f>"2019-12-11 18:26:05"</f>
        <v>2019-12-11 18:26:05</v>
      </c>
      <c r="M9774" s="1" t="s">
        <v>1</v>
      </c>
      <c r="N9774" s="1" t="s">
        <v>38</v>
      </c>
      <c r="O9774" s="1" t="s">
        <v>46</v>
      </c>
    </row>
    <row r="9775" spans="2:15" x14ac:dyDescent="0.3">
      <c r="B9775" s="1" t="s">
        <v>21</v>
      </c>
      <c r="C9775" s="1" t="str">
        <f t="shared" si="491"/>
        <v>4차</v>
      </c>
      <c r="D9775" s="1" t="str">
        <f>"9726S96344"</f>
        <v>9726S96344</v>
      </c>
      <c r="E9775" s="1" t="s">
        <v>10</v>
      </c>
      <c r="F9775" s="1" t="str">
        <f>"10.10.72.74"</f>
        <v>10.10.72.74</v>
      </c>
      <c r="G9775" s="1" t="str">
        <f>"9726S963"</f>
        <v>9726S963</v>
      </c>
      <c r="H9775" s="1" t="str">
        <f>"화교간 33L11R3"</f>
        <v>화교간 33L11R3</v>
      </c>
      <c r="I9775" s="1" t="s">
        <v>8</v>
      </c>
      <c r="J9775" s="1" t="str">
        <f>"36/36"</f>
        <v>36/36</v>
      </c>
      <c r="K9775" s="1" t="str">
        <f t="shared" si="492"/>
        <v>2026-07-29 13:18:11</v>
      </c>
      <c r="L9775" s="1" t="str">
        <f>"2019-12-11 18:27:39"</f>
        <v>2019-12-11 18:27:39</v>
      </c>
      <c r="M9775" s="1" t="s">
        <v>1</v>
      </c>
      <c r="N9775" s="1" t="s">
        <v>38</v>
      </c>
      <c r="O9775" s="1" t="s">
        <v>46</v>
      </c>
    </row>
    <row r="9776" spans="2:15" x14ac:dyDescent="0.3">
      <c r="B9776" s="1" t="s">
        <v>21</v>
      </c>
      <c r="C9776" s="1" t="str">
        <f t="shared" si="491"/>
        <v>4차</v>
      </c>
      <c r="D9776" s="1" t="str">
        <f>"9726S96444"</f>
        <v>9726S96444</v>
      </c>
      <c r="E9776" s="1" t="s">
        <v>10</v>
      </c>
      <c r="F9776" s="1" t="str">
        <f>"10.10.72.58"</f>
        <v>10.10.72.58</v>
      </c>
      <c r="G9776" s="1" t="str">
        <f>"9726S964"</f>
        <v>9726S964</v>
      </c>
      <c r="H9776" s="1" t="str">
        <f>"화교간 33L11R2"</f>
        <v>화교간 33L11R2</v>
      </c>
      <c r="I9776" s="1" t="s">
        <v>8</v>
      </c>
      <c r="J9776" s="1" t="str">
        <f>"56/59"</f>
        <v>56/59</v>
      </c>
      <c r="K9776" s="1" t="str">
        <f t="shared" si="492"/>
        <v>2026-07-29 13:18:11</v>
      </c>
      <c r="L9776" s="1" t="str">
        <f>"2019-12-24 16:49:20"</f>
        <v>2019-12-24 16:49:20</v>
      </c>
      <c r="M9776" s="1" t="s">
        <v>1</v>
      </c>
      <c r="N9776" s="1" t="s">
        <v>38</v>
      </c>
      <c r="O9776" s="1" t="s">
        <v>46</v>
      </c>
    </row>
    <row r="9777" spans="2:15" x14ac:dyDescent="0.3">
      <c r="B9777" s="1" t="s">
        <v>21</v>
      </c>
      <c r="C9777" s="1" t="str">
        <f t="shared" si="491"/>
        <v>4차</v>
      </c>
      <c r="D9777" s="1" t="str">
        <f>"9726S97539"</f>
        <v>9726S97539</v>
      </c>
      <c r="E9777" s="1" t="s">
        <v>10</v>
      </c>
      <c r="F9777" s="1" t="str">
        <f>"10.12.137.96"</f>
        <v>10.12.137.96</v>
      </c>
      <c r="G9777" s="1" t="str">
        <f>"9726S975"</f>
        <v>9726S975</v>
      </c>
      <c r="H9777" s="1" t="str">
        <f>"화교간 33L10"</f>
        <v>화교간 33L10</v>
      </c>
      <c r="I9777" s="1" t="s">
        <v>8</v>
      </c>
      <c r="J9777" s="1" t="str">
        <f>"51/62"</f>
        <v>51/62</v>
      </c>
      <c r="K9777" s="1" t="str">
        <f>"2026-07-29 13:18:13"</f>
        <v>2026-07-29 13:18:13</v>
      </c>
      <c r="L9777" s="1" t="str">
        <f>"2018-10-04 10:47:55"</f>
        <v>2018-10-04 10:47:55</v>
      </c>
      <c r="M9777" s="1" t="s">
        <v>0</v>
      </c>
      <c r="N9777" s="1" t="s">
        <v>38</v>
      </c>
      <c r="O9777" s="1" t="s">
        <v>46</v>
      </c>
    </row>
    <row r="9778" spans="2:15" x14ac:dyDescent="0.3">
      <c r="B9778" s="1" t="s">
        <v>21</v>
      </c>
      <c r="C9778" s="1" t="str">
        <f t="shared" si="491"/>
        <v>4차</v>
      </c>
      <c r="D9778" s="1" t="str">
        <f>"9726S98144"</f>
        <v>9726S98144</v>
      </c>
      <c r="E9778" s="1" t="s">
        <v>10</v>
      </c>
      <c r="F9778" s="1" t="str">
        <f>"10.10.74.66"</f>
        <v>10.10.74.66</v>
      </c>
      <c r="G9778" s="1" t="str">
        <f>"9726S981"</f>
        <v>9726S981</v>
      </c>
      <c r="H9778" s="1" t="str">
        <f>"화교간 33L9"</f>
        <v>화교간 33L9</v>
      </c>
      <c r="I9778" s="1" t="s">
        <v>8</v>
      </c>
      <c r="J9778" s="1" t="str">
        <f>"88/88"</f>
        <v>88/88</v>
      </c>
      <c r="K9778" s="1" t="str">
        <f>"2026-07-29 13:18:11"</f>
        <v>2026-07-29 13:18:11</v>
      </c>
      <c r="L9778" s="1" t="str">
        <f>"2019-12-11 18:22:33"</f>
        <v>2019-12-11 18:22:33</v>
      </c>
      <c r="M9778" s="1" t="s">
        <v>1</v>
      </c>
      <c r="N9778" s="1" t="s">
        <v>38</v>
      </c>
      <c r="O9778" s="1" t="s">
        <v>46</v>
      </c>
    </row>
    <row r="9779" spans="2:15" x14ac:dyDescent="0.3">
      <c r="B9779" s="1" t="s">
        <v>21</v>
      </c>
      <c r="C9779" s="1" t="str">
        <f t="shared" si="491"/>
        <v>4차</v>
      </c>
      <c r="D9779" s="1" t="str">
        <f>"9726S98241"</f>
        <v>9726S98241</v>
      </c>
      <c r="E9779" s="1" t="s">
        <v>10</v>
      </c>
      <c r="F9779" s="1" t="str">
        <f>"10.14.10.186"</f>
        <v>10.14.10.186</v>
      </c>
      <c r="G9779" s="1" t="str">
        <f>"9726S982"</f>
        <v>9726S982</v>
      </c>
      <c r="H9779" s="1" t="str">
        <f>"화교간 33L8"</f>
        <v>화교간 33L8</v>
      </c>
      <c r="I9779" s="1" t="s">
        <v>17</v>
      </c>
      <c r="J9779" s="1" t="str">
        <f>"70/70"</f>
        <v>70/70</v>
      </c>
      <c r="K9779" s="1" t="str">
        <f>"2026-07-29 13:18:12"</f>
        <v>2026-07-29 13:18:12</v>
      </c>
      <c r="L9779" s="1" t="str">
        <f>"2021-10-19 07:49:32"</f>
        <v>2021-10-19 07:49:32</v>
      </c>
      <c r="M9779" s="1" t="s">
        <v>3</v>
      </c>
      <c r="N9779" s="1" t="s">
        <v>38</v>
      </c>
      <c r="O9779" s="1" t="s">
        <v>46</v>
      </c>
    </row>
    <row r="9780" spans="2:15" x14ac:dyDescent="0.3">
      <c r="B9780" s="1" t="s">
        <v>21</v>
      </c>
      <c r="C9780" s="1" t="str">
        <f>"1차"</f>
        <v>1차</v>
      </c>
      <c r="D9780" s="1" t="str">
        <f>"9726S99300"</f>
        <v>9726S99300</v>
      </c>
      <c r="E9780" s="1" t="s">
        <v>10</v>
      </c>
      <c r="F9780" s="1" t="str">
        <f>"10.128.99.250"</f>
        <v>10.128.99.250</v>
      </c>
      <c r="G9780" s="1" t="str">
        <f>"9726S993"</f>
        <v>9726S993</v>
      </c>
      <c r="H9780" s="1" t="str">
        <f>"화교간 33L7"</f>
        <v>화교간 33L7</v>
      </c>
      <c r="I9780" s="1" t="s">
        <v>8</v>
      </c>
      <c r="J9780" s="1" t="str">
        <f>"65/65"</f>
        <v>65/65</v>
      </c>
      <c r="K9780" s="1" t="str">
        <f>"2026-07-29 13:18:11"</f>
        <v>2026-07-29 13:18:11</v>
      </c>
      <c r="L9780" s="1" t="str">
        <f>"2015-02-26 13:41:34"</f>
        <v>2015-02-26 13:41:34</v>
      </c>
      <c r="M9780" s="1" t="s">
        <v>45</v>
      </c>
      <c r="N9780" s="1" t="s">
        <v>38</v>
      </c>
      <c r="O9780" s="1" t="s">
        <v>46</v>
      </c>
    </row>
    <row r="9781" spans="2:15" x14ac:dyDescent="0.3">
      <c r="B9781" s="1" t="s">
        <v>21</v>
      </c>
      <c r="C9781" s="1" t="str">
        <f t="shared" ref="C9781:C9790" si="493">"4차"</f>
        <v>4차</v>
      </c>
      <c r="D9781" s="1" t="str">
        <f>"9726W01144"</f>
        <v>9726W01144</v>
      </c>
      <c r="E9781" s="1" t="s">
        <v>10</v>
      </c>
      <c r="F9781" s="1" t="str">
        <f>"10.10.71.114"</f>
        <v>10.10.71.114</v>
      </c>
      <c r="G9781" s="1" t="str">
        <f>"9726W011"</f>
        <v>9726W011</v>
      </c>
      <c r="H9781" s="1" t="str">
        <f>"화교간 32L5R2"</f>
        <v>화교간 32L5R2</v>
      </c>
      <c r="I9781" s="1" t="s">
        <v>8</v>
      </c>
      <c r="J9781" s="1" t="str">
        <f>"45/46"</f>
        <v>45/46</v>
      </c>
      <c r="K9781" s="1" t="str">
        <f>"2026-07-29 13:18:11"</f>
        <v>2026-07-29 13:18:11</v>
      </c>
      <c r="L9781" s="1" t="str">
        <f>"2019-12-24 16:55:02"</f>
        <v>2019-12-24 16:55:02</v>
      </c>
      <c r="M9781" s="1" t="s">
        <v>1</v>
      </c>
      <c r="N9781" s="1" t="s">
        <v>38</v>
      </c>
      <c r="O9781" s="1" t="s">
        <v>46</v>
      </c>
    </row>
    <row r="9782" spans="2:15" x14ac:dyDescent="0.3">
      <c r="B9782" s="1" t="s">
        <v>21</v>
      </c>
      <c r="C9782" s="1" t="str">
        <f t="shared" si="493"/>
        <v>4차</v>
      </c>
      <c r="D9782" s="1" t="str">
        <f>"9726W04141"</f>
        <v>9726W04141</v>
      </c>
      <c r="E9782" s="1" t="s">
        <v>10</v>
      </c>
      <c r="F9782" s="1" t="str">
        <f>"10.14.3.186"</f>
        <v>10.14.3.186</v>
      </c>
      <c r="G9782" s="1" t="str">
        <f>"9726W041"</f>
        <v>9726W041</v>
      </c>
      <c r="H9782" s="1" t="str">
        <f>"화교간 27L1R2"</f>
        <v>화교간 27L1R2</v>
      </c>
      <c r="I9782" s="1" t="s">
        <v>17</v>
      </c>
      <c r="J9782" s="1" t="str">
        <f>"27/27"</f>
        <v>27/27</v>
      </c>
      <c r="K9782" s="1" t="str">
        <f>"2026-07-29 13:18:12"</f>
        <v>2026-07-29 13:18:12</v>
      </c>
      <c r="L9782" s="1" t="str">
        <f>"2021-10-19 16:09:04"</f>
        <v>2021-10-19 16:09:04</v>
      </c>
      <c r="M9782" s="1" t="s">
        <v>3</v>
      </c>
      <c r="N9782" s="1" t="s">
        <v>38</v>
      </c>
      <c r="O9782" s="1" t="s">
        <v>46</v>
      </c>
    </row>
    <row r="9783" spans="2:15" x14ac:dyDescent="0.3">
      <c r="B9783" s="1" t="s">
        <v>21</v>
      </c>
      <c r="C9783" s="1" t="str">
        <f t="shared" si="493"/>
        <v>4차</v>
      </c>
      <c r="D9783" s="1" t="str">
        <f>"9726W05144"</f>
        <v>9726W05144</v>
      </c>
      <c r="E9783" s="1" t="s">
        <v>10</v>
      </c>
      <c r="F9783" s="1" t="str">
        <f>"10.10.71.66"</f>
        <v>10.10.71.66</v>
      </c>
      <c r="G9783" s="1" t="str">
        <f>"9726W051"</f>
        <v>9726W051</v>
      </c>
      <c r="H9783" s="1" t="str">
        <f>"화교간 27L5"</f>
        <v>화교간 27L5</v>
      </c>
      <c r="I9783" s="1" t="s">
        <v>8</v>
      </c>
      <c r="J9783" s="1" t="str">
        <f>"67/67"</f>
        <v>67/67</v>
      </c>
      <c r="K9783" s="1" t="str">
        <f>"2026-07-29 13:18:11"</f>
        <v>2026-07-29 13:18:11</v>
      </c>
      <c r="L9783" s="1" t="str">
        <f>"2020-02-10 18:36:00"</f>
        <v>2020-02-10 18:36:00</v>
      </c>
      <c r="M9783" s="1" t="s">
        <v>1</v>
      </c>
      <c r="N9783" s="1" t="s">
        <v>38</v>
      </c>
      <c r="O9783" s="1" t="s">
        <v>46</v>
      </c>
    </row>
    <row r="9784" spans="2:15" x14ac:dyDescent="0.3">
      <c r="B9784" s="1" t="s">
        <v>21</v>
      </c>
      <c r="C9784" s="1" t="str">
        <f t="shared" si="493"/>
        <v>4차</v>
      </c>
      <c r="D9784" s="1" t="str">
        <f>"9726W06141"</f>
        <v>9726W06141</v>
      </c>
      <c r="E9784" s="1" t="s">
        <v>10</v>
      </c>
      <c r="F9784" s="1" t="str">
        <f>"10.14.14.6"</f>
        <v>10.14.14.6</v>
      </c>
      <c r="G9784" s="1" t="str">
        <f>"9726W061"</f>
        <v>9726W061</v>
      </c>
      <c r="H9784" s="1" t="str">
        <f>"화교간 23L1"</f>
        <v>화교간 23L1</v>
      </c>
      <c r="I9784" s="1" t="s">
        <v>17</v>
      </c>
      <c r="J9784" s="1" t="str">
        <f>"48/48"</f>
        <v>48/48</v>
      </c>
      <c r="K9784" s="1" t="str">
        <f>"2026-07-29 13:18:13"</f>
        <v>2026-07-29 13:18:13</v>
      </c>
      <c r="L9784" s="1" t="str">
        <f>"2021-08-13 09:27:43"</f>
        <v>2021-08-13 09:27:43</v>
      </c>
      <c r="M9784" s="1" t="s">
        <v>3</v>
      </c>
      <c r="N9784" s="1" t="s">
        <v>38</v>
      </c>
      <c r="O9784" s="1" t="s">
        <v>46</v>
      </c>
    </row>
    <row r="9785" spans="2:15" x14ac:dyDescent="0.3">
      <c r="B9785" s="1" t="s">
        <v>21</v>
      </c>
      <c r="C9785" s="1" t="str">
        <f t="shared" si="493"/>
        <v>4차</v>
      </c>
      <c r="D9785" s="1" t="str">
        <f>"9726W07141"</f>
        <v>9726W07141</v>
      </c>
      <c r="E9785" s="1" t="s">
        <v>10</v>
      </c>
      <c r="F9785" s="1" t="str">
        <f>"10.14.13.35"</f>
        <v>10.14.13.35</v>
      </c>
      <c r="G9785" s="1" t="str">
        <f>"9726W071"</f>
        <v>9726W071</v>
      </c>
      <c r="H9785" s="1" t="str">
        <f>"화교간 22"</f>
        <v>화교간 22</v>
      </c>
      <c r="I9785" s="1" t="s">
        <v>17</v>
      </c>
      <c r="J9785" s="1" t="str">
        <f>"7/7"</f>
        <v>7/7</v>
      </c>
      <c r="K9785" s="1" t="str">
        <f>"2026-07-29 13:18:11"</f>
        <v>2026-07-29 13:18:11</v>
      </c>
      <c r="L9785" s="1" t="str">
        <f>"2021-08-13 08:54:50"</f>
        <v>2021-08-13 08:54:50</v>
      </c>
      <c r="M9785" s="1" t="s">
        <v>3</v>
      </c>
      <c r="N9785" s="1" t="s">
        <v>38</v>
      </c>
      <c r="O9785" s="1" t="s">
        <v>46</v>
      </c>
    </row>
    <row r="9786" spans="2:15" x14ac:dyDescent="0.3">
      <c r="B9786" s="1" t="s">
        <v>21</v>
      </c>
      <c r="C9786" s="1" t="str">
        <f t="shared" si="493"/>
        <v>4차</v>
      </c>
      <c r="D9786" s="1" t="str">
        <f>"9726W13141"</f>
        <v>9726W13141</v>
      </c>
      <c r="E9786" s="1" t="s">
        <v>10</v>
      </c>
      <c r="F9786" s="1" t="str">
        <f>"10.12.128.90"</f>
        <v>10.12.128.90</v>
      </c>
      <c r="G9786" s="1" t="str">
        <f>"9726W131"</f>
        <v>9726W131</v>
      </c>
      <c r="H9786" s="1" t="str">
        <f>"화교간 32L12"</f>
        <v>화교간 32L12</v>
      </c>
      <c r="I9786" s="1" t="s">
        <v>17</v>
      </c>
      <c r="J9786" s="1" t="str">
        <f>"31/31"</f>
        <v>31/31</v>
      </c>
      <c r="K9786" s="1" t="str">
        <f>"2026-07-29 13:18:13"</f>
        <v>2026-07-29 13:18:13</v>
      </c>
      <c r="L9786" s="1" t="str">
        <f>"2021-10-19 14:02:10"</f>
        <v>2021-10-19 14:02:10</v>
      </c>
      <c r="M9786" s="1" t="s">
        <v>0</v>
      </c>
      <c r="N9786" s="1" t="s">
        <v>38</v>
      </c>
      <c r="O9786" s="1" t="s">
        <v>46</v>
      </c>
    </row>
    <row r="9787" spans="2:15" x14ac:dyDescent="0.3">
      <c r="B9787" s="1" t="s">
        <v>21</v>
      </c>
      <c r="C9787" s="1" t="str">
        <f t="shared" si="493"/>
        <v>4차</v>
      </c>
      <c r="D9787" s="1" t="str">
        <f>"9726W13241"</f>
        <v>9726W13241</v>
      </c>
      <c r="E9787" s="1" t="s">
        <v>10</v>
      </c>
      <c r="F9787" s="1" t="str">
        <f>"10.14.8.187"</f>
        <v>10.14.8.187</v>
      </c>
      <c r="G9787" s="1" t="str">
        <f>"9726W132"</f>
        <v>9726W132</v>
      </c>
      <c r="H9787" s="1" t="str">
        <f>"화교간 32L13H1"</f>
        <v>화교간 32L13H1</v>
      </c>
      <c r="I9787" s="1" t="s">
        <v>17</v>
      </c>
      <c r="J9787" s="1" t="str">
        <f>"14/14"</f>
        <v>14/14</v>
      </c>
      <c r="K9787" s="1" t="str">
        <f>"2026-07-29 13:18:11"</f>
        <v>2026-07-29 13:18:11</v>
      </c>
      <c r="L9787" s="1" t="str">
        <f>"2021-10-19 14:40:54"</f>
        <v>2021-10-19 14:40:54</v>
      </c>
      <c r="M9787" s="1" t="s">
        <v>3</v>
      </c>
      <c r="N9787" s="1" t="s">
        <v>38</v>
      </c>
      <c r="O9787" s="1" t="s">
        <v>46</v>
      </c>
    </row>
    <row r="9788" spans="2:15" x14ac:dyDescent="0.3">
      <c r="B9788" s="1" t="s">
        <v>21</v>
      </c>
      <c r="C9788" s="1" t="str">
        <f t="shared" si="493"/>
        <v>4차</v>
      </c>
      <c r="D9788" s="1" t="str">
        <f>"9726W15141"</f>
        <v>9726W15141</v>
      </c>
      <c r="E9788" s="1" t="s">
        <v>10</v>
      </c>
      <c r="F9788" s="1" t="str">
        <f>"10.14.2.187"</f>
        <v>10.14.2.187</v>
      </c>
      <c r="G9788" s="1" t="str">
        <f>"9726W151"</f>
        <v>9726W151</v>
      </c>
      <c r="H9788" s="1" t="str">
        <f>"화교간 32L15L1"</f>
        <v>화교간 32L15L1</v>
      </c>
      <c r="I9788" s="1" t="s">
        <v>17</v>
      </c>
      <c r="J9788" s="1" t="str">
        <f>"34/39"</f>
        <v>34/39</v>
      </c>
      <c r="K9788" s="1" t="str">
        <f>"2026-07-29 13:18:11"</f>
        <v>2026-07-29 13:18:11</v>
      </c>
      <c r="L9788" s="1" t="str">
        <f>"2021-10-19 15:32:53"</f>
        <v>2021-10-19 15:32:53</v>
      </c>
      <c r="M9788" s="1" t="s">
        <v>3</v>
      </c>
      <c r="N9788" s="1" t="s">
        <v>38</v>
      </c>
      <c r="O9788" s="1" t="s">
        <v>46</v>
      </c>
    </row>
    <row r="9789" spans="2:15" x14ac:dyDescent="0.3">
      <c r="B9789" s="1" t="s">
        <v>21</v>
      </c>
      <c r="C9789" s="1" t="str">
        <f t="shared" si="493"/>
        <v>4차</v>
      </c>
      <c r="D9789" s="1" t="str">
        <f>"9726W24144"</f>
        <v>9726W24144</v>
      </c>
      <c r="E9789" s="1" t="s">
        <v>10</v>
      </c>
      <c r="F9789" s="1" t="str">
        <f>"10.10.71.90"</f>
        <v>10.10.71.90</v>
      </c>
      <c r="G9789" s="1" t="str">
        <f>"9726W241"</f>
        <v>9726W241</v>
      </c>
      <c r="H9789" s="1" t="str">
        <f>"화교간 32L14"</f>
        <v>화교간 32L14</v>
      </c>
      <c r="I9789" s="1" t="s">
        <v>8</v>
      </c>
      <c r="J9789" s="1" t="str">
        <f>"131/131"</f>
        <v>131/131</v>
      </c>
      <c r="K9789" s="1" t="str">
        <f>"2026-07-29 13:18:11"</f>
        <v>2026-07-29 13:18:11</v>
      </c>
      <c r="L9789" s="1" t="str">
        <f>"2019-12-17 16:12:19"</f>
        <v>2019-12-17 16:12:19</v>
      </c>
      <c r="M9789" s="1" t="s">
        <v>1</v>
      </c>
      <c r="N9789" s="1" t="s">
        <v>38</v>
      </c>
      <c r="O9789" s="1" t="s">
        <v>46</v>
      </c>
    </row>
    <row r="9790" spans="2:15" x14ac:dyDescent="0.3">
      <c r="B9790" s="1" t="s">
        <v>21</v>
      </c>
      <c r="C9790" s="1" t="str">
        <f t="shared" si="493"/>
        <v>4차</v>
      </c>
      <c r="D9790" s="1" t="str">
        <f>"9726W26141"</f>
        <v>9726W26141</v>
      </c>
      <c r="E9790" s="1" t="s">
        <v>10</v>
      </c>
      <c r="F9790" s="1" t="str">
        <f>"10.12.138.86"</f>
        <v>10.12.138.86</v>
      </c>
      <c r="G9790" s="1" t="str">
        <f>"9726W261"</f>
        <v>9726W261</v>
      </c>
      <c r="H9790" s="1" t="str">
        <f>"화교간 20L7"</f>
        <v>화교간 20L7</v>
      </c>
      <c r="I9790" s="1" t="s">
        <v>17</v>
      </c>
      <c r="J9790" s="1" t="str">
        <f>"32/32"</f>
        <v>32/32</v>
      </c>
      <c r="K9790" s="1" t="str">
        <f>"2026-07-29 13:18:12"</f>
        <v>2026-07-29 13:18:12</v>
      </c>
      <c r="L9790" s="1" t="str">
        <f>"2021-08-13 10:33:15"</f>
        <v>2021-08-13 10:33:15</v>
      </c>
      <c r="M9790" s="1" t="s">
        <v>0</v>
      </c>
      <c r="N9790" s="1" t="s">
        <v>38</v>
      </c>
      <c r="O9790" s="1" t="s">
        <v>46</v>
      </c>
    </row>
    <row r="9791" spans="2:15" x14ac:dyDescent="0.3">
      <c r="B9791" s="1" t="s">
        <v>21</v>
      </c>
      <c r="C9791" s="1" t="str">
        <f>"1차"</f>
        <v>1차</v>
      </c>
      <c r="D9791" s="1" t="str">
        <f>"9726W28519"</f>
        <v>9726W28519</v>
      </c>
      <c r="E9791" s="1" t="s">
        <v>14</v>
      </c>
      <c r="F9791" s="1" t="str">
        <f>"10.128.32.178"</f>
        <v>10.128.32.178</v>
      </c>
      <c r="G9791" s="1" t="str">
        <f>"9726W285"</f>
        <v>9726W285</v>
      </c>
      <c r="H9791" s="1" t="str">
        <f>"화교간 20L2"</f>
        <v>화교간 20L2</v>
      </c>
      <c r="I9791" s="1" t="s">
        <v>8</v>
      </c>
      <c r="J9791" s="1" t="str">
        <f>"0/0"</f>
        <v>0/0</v>
      </c>
      <c r="K9791" s="1" t="str">
        <f>"2024-05-02 15:20:23"</f>
        <v>2024-05-02 15:20:23</v>
      </c>
      <c r="L9791" s="1" t="str">
        <f>"2017-02-24 14:04:39"</f>
        <v>2017-02-24 14:04:39</v>
      </c>
      <c r="M9791" s="1" t="s">
        <v>45</v>
      </c>
      <c r="N9791" s="1" t="s">
        <v>44</v>
      </c>
      <c r="O9791" s="1" t="s">
        <v>44</v>
      </c>
    </row>
    <row r="9792" spans="2:15" x14ac:dyDescent="0.3">
      <c r="B9792" s="1" t="s">
        <v>21</v>
      </c>
      <c r="C9792" s="1" t="str">
        <f>"1차"</f>
        <v>1차</v>
      </c>
      <c r="D9792" s="1" t="str">
        <f>"9726W29101"</f>
        <v>9726W29101</v>
      </c>
      <c r="E9792" s="1" t="s">
        <v>14</v>
      </c>
      <c r="F9792" s="1" t="str">
        <f>"10.128.32.180"</f>
        <v>10.128.32.180</v>
      </c>
      <c r="G9792" s="1" t="str">
        <f>"9726W291"</f>
        <v>9726W291</v>
      </c>
      <c r="H9792" s="1" t="str">
        <f>"화교간 20L3L2"</f>
        <v>화교간 20L3L2</v>
      </c>
      <c r="I9792" s="1" t="s">
        <v>8</v>
      </c>
      <c r="J9792" s="1" t="str">
        <f>"0/0"</f>
        <v>0/0</v>
      </c>
      <c r="K9792" s="1" t="str">
        <f>"2024-05-22 09:20:10"</f>
        <v>2024-05-22 09:20:10</v>
      </c>
      <c r="L9792" s="1" t="str">
        <f>"2015-02-27 11:22:18"</f>
        <v>2015-02-27 11:22:18</v>
      </c>
      <c r="M9792" s="1" t="s">
        <v>45</v>
      </c>
      <c r="N9792" s="1" t="s">
        <v>44</v>
      </c>
      <c r="O9792" s="1" t="s">
        <v>44</v>
      </c>
    </row>
    <row r="9793" spans="2:15" x14ac:dyDescent="0.3">
      <c r="B9793" s="1" t="s">
        <v>21</v>
      </c>
      <c r="C9793" s="1" t="str">
        <f>"3차"</f>
        <v>3차</v>
      </c>
      <c r="D9793" s="1" t="str">
        <f>"9726W33139"</f>
        <v>9726W33139</v>
      </c>
      <c r="E9793" s="1" t="s">
        <v>10</v>
      </c>
      <c r="F9793" s="1" t="str">
        <f>"10.12.136.225"</f>
        <v>10.12.136.225</v>
      </c>
      <c r="G9793" s="1" t="str">
        <f>"9726W331"</f>
        <v>9726W331</v>
      </c>
      <c r="H9793" s="1" t="str">
        <f>"화교간 32L13R2"</f>
        <v>화교간 32L13R2</v>
      </c>
      <c r="I9793" s="1" t="s">
        <v>8</v>
      </c>
      <c r="J9793" s="1" t="str">
        <f>"119/120"</f>
        <v>119/120</v>
      </c>
      <c r="K9793" s="1" t="str">
        <f>"2026-07-29 13:18:13"</f>
        <v>2026-07-29 13:18:13</v>
      </c>
      <c r="L9793" s="1" t="str">
        <f>"2018-10-27 13:04:27"</f>
        <v>2018-10-27 13:04:27</v>
      </c>
      <c r="M9793" s="1" t="s">
        <v>0</v>
      </c>
      <c r="N9793" s="1" t="s">
        <v>38</v>
      </c>
      <c r="O9793" s="1" t="s">
        <v>46</v>
      </c>
    </row>
    <row r="9794" spans="2:15" x14ac:dyDescent="0.3">
      <c r="B9794" s="1" t="s">
        <v>21</v>
      </c>
      <c r="C9794" s="1" t="str">
        <f t="shared" ref="C9794:C9804" si="494">"4차"</f>
        <v>4차</v>
      </c>
      <c r="D9794" s="1" t="str">
        <f>"9726W33444"</f>
        <v>9726W33444</v>
      </c>
      <c r="E9794" s="1" t="s">
        <v>10</v>
      </c>
      <c r="F9794" s="1" t="str">
        <f>"10.12.134.1"</f>
        <v>10.12.134.1</v>
      </c>
      <c r="G9794" s="1" t="str">
        <f>"9726W334"</f>
        <v>9726W334</v>
      </c>
      <c r="H9794" s="1" t="str">
        <f>"화교간 32L13R3"</f>
        <v>화교간 32L13R3</v>
      </c>
      <c r="I9794" s="1" t="s">
        <v>8</v>
      </c>
      <c r="J9794" s="1" t="str">
        <f>"59/63"</f>
        <v>59/63</v>
      </c>
      <c r="K9794" s="1" t="str">
        <f>"2026-07-29 07:18:11"</f>
        <v>2026-07-29 07:18:11</v>
      </c>
      <c r="L9794" s="1" t="str">
        <f>"2023-11-07 13:26:20"</f>
        <v>2023-11-07 13:26:20</v>
      </c>
      <c r="M9794" s="1" t="s">
        <v>0</v>
      </c>
      <c r="N9794" s="1" t="s">
        <v>38</v>
      </c>
      <c r="O9794" s="1" t="s">
        <v>46</v>
      </c>
    </row>
    <row r="9795" spans="2:15" x14ac:dyDescent="0.3">
      <c r="B9795" s="1" t="s">
        <v>21</v>
      </c>
      <c r="C9795" s="1" t="str">
        <f t="shared" si="494"/>
        <v>4차</v>
      </c>
      <c r="D9795" s="1" t="str">
        <f>"9726W36241"</f>
        <v>9726W36241</v>
      </c>
      <c r="E9795" s="1" t="s">
        <v>10</v>
      </c>
      <c r="F9795" s="1" t="str">
        <f>"10.12.131.61"</f>
        <v>10.12.131.61</v>
      </c>
      <c r="G9795" s="1" t="str">
        <f>"9726W362"</f>
        <v>9726W362</v>
      </c>
      <c r="H9795" s="1" t="str">
        <f>"화교간 20L6"</f>
        <v>화교간 20L6</v>
      </c>
      <c r="I9795" s="1" t="s">
        <v>17</v>
      </c>
      <c r="J9795" s="1" t="str">
        <f>"39/39"</f>
        <v>39/39</v>
      </c>
      <c r="K9795" s="1" t="str">
        <f>"2026-07-29 13:18:12"</f>
        <v>2026-07-29 13:18:12</v>
      </c>
      <c r="L9795" s="1" t="str">
        <f>"2021-08-13 11:23:19"</f>
        <v>2021-08-13 11:23:19</v>
      </c>
      <c r="M9795" s="1" t="s">
        <v>0</v>
      </c>
      <c r="N9795" s="1" t="s">
        <v>38</v>
      </c>
      <c r="O9795" s="1" t="s">
        <v>46</v>
      </c>
    </row>
    <row r="9796" spans="2:15" x14ac:dyDescent="0.3">
      <c r="B9796" s="1" t="s">
        <v>21</v>
      </c>
      <c r="C9796" s="1" t="str">
        <f t="shared" si="494"/>
        <v>4차</v>
      </c>
      <c r="D9796" s="1" t="str">
        <f>"9726Y05144"</f>
        <v>9726Y05144</v>
      </c>
      <c r="E9796" s="1" t="s">
        <v>10</v>
      </c>
      <c r="F9796" s="1" t="str">
        <f>"10.10.74.10"</f>
        <v>10.10.74.10</v>
      </c>
      <c r="G9796" s="1" t="str">
        <f>"9726Y051"</f>
        <v>9726Y051</v>
      </c>
      <c r="H9796" s="1" t="str">
        <f>"화교간 33L13"</f>
        <v>화교간 33L13</v>
      </c>
      <c r="I9796" s="1" t="s">
        <v>8</v>
      </c>
      <c r="J9796" s="1" t="str">
        <f>"22/22"</f>
        <v>22/22</v>
      </c>
      <c r="K9796" s="1" t="str">
        <f>"2026-07-29 13:18:11"</f>
        <v>2026-07-29 13:18:11</v>
      </c>
      <c r="L9796" s="1" t="str">
        <f>"2019-12-11 18:23:49"</f>
        <v>2019-12-11 18:23:49</v>
      </c>
      <c r="M9796" s="1" t="s">
        <v>1</v>
      </c>
      <c r="N9796" s="1" t="s">
        <v>38</v>
      </c>
      <c r="O9796" s="1" t="s">
        <v>46</v>
      </c>
    </row>
    <row r="9797" spans="2:15" x14ac:dyDescent="0.3">
      <c r="B9797" s="1" t="s">
        <v>21</v>
      </c>
      <c r="C9797" s="1" t="str">
        <f t="shared" si="494"/>
        <v>4차</v>
      </c>
      <c r="D9797" s="1" t="str">
        <f>"9726Y05244"</f>
        <v>9726Y05244</v>
      </c>
      <c r="E9797" s="1" t="s">
        <v>10</v>
      </c>
      <c r="F9797" s="1" t="str">
        <f>"10.10.74.26"</f>
        <v>10.10.74.26</v>
      </c>
      <c r="G9797" s="1" t="str">
        <f>"9726Y052"</f>
        <v>9726Y052</v>
      </c>
      <c r="H9797" s="1" t="str">
        <f>"화교간 33L14"</f>
        <v>화교간 33L14</v>
      </c>
      <c r="I9797" s="1" t="s">
        <v>8</v>
      </c>
      <c r="J9797" s="1" t="str">
        <f>"55/55"</f>
        <v>55/55</v>
      </c>
      <c r="K9797" s="1" t="str">
        <f>"2026-07-29 13:18:11"</f>
        <v>2026-07-29 13:18:11</v>
      </c>
      <c r="L9797" s="1" t="str">
        <f>"2019-12-11 18:22:36"</f>
        <v>2019-12-11 18:22:36</v>
      </c>
      <c r="M9797" s="1" t="s">
        <v>1</v>
      </c>
      <c r="N9797" s="1" t="s">
        <v>38</v>
      </c>
      <c r="O9797" s="1" t="s">
        <v>46</v>
      </c>
    </row>
    <row r="9798" spans="2:15" x14ac:dyDescent="0.3">
      <c r="B9798" s="1" t="s">
        <v>21</v>
      </c>
      <c r="C9798" s="1" t="str">
        <f t="shared" si="494"/>
        <v>4차</v>
      </c>
      <c r="D9798" s="1" t="str">
        <f>"9726Y06244"</f>
        <v>9726Y06244</v>
      </c>
      <c r="E9798" s="1" t="s">
        <v>10</v>
      </c>
      <c r="F9798" s="1" t="str">
        <f>"10.10.72.98"</f>
        <v>10.10.72.98</v>
      </c>
      <c r="G9798" s="1" t="str">
        <f>"9726Y062"</f>
        <v>9726Y062</v>
      </c>
      <c r="H9798" s="1" t="str">
        <f>"화교간 33L12"</f>
        <v>화교간 33L12</v>
      </c>
      <c r="I9798" s="1" t="s">
        <v>8</v>
      </c>
      <c r="J9798" s="1" t="str">
        <f>"71/71"</f>
        <v>71/71</v>
      </c>
      <c r="K9798" s="1" t="str">
        <f>"2026-07-29 13:18:11"</f>
        <v>2026-07-29 13:18:11</v>
      </c>
      <c r="L9798" s="1" t="str">
        <f>"2020-01-10 17:18:29"</f>
        <v>2020-01-10 17:18:29</v>
      </c>
      <c r="M9798" s="1" t="s">
        <v>1</v>
      </c>
      <c r="N9798" s="1" t="s">
        <v>38</v>
      </c>
      <c r="O9798" s="1" t="s">
        <v>46</v>
      </c>
    </row>
    <row r="9799" spans="2:15" x14ac:dyDescent="0.3">
      <c r="B9799" s="1" t="s">
        <v>21</v>
      </c>
      <c r="C9799" s="1" t="str">
        <f t="shared" si="494"/>
        <v>4차</v>
      </c>
      <c r="D9799" s="1" t="str">
        <f>"9726Y08141"</f>
        <v>9726Y08141</v>
      </c>
      <c r="E9799" s="1" t="s">
        <v>10</v>
      </c>
      <c r="F9799" s="1" t="str">
        <f>"10.14.12.120"</f>
        <v>10.14.12.120</v>
      </c>
      <c r="G9799" s="1" t="str">
        <f>"9726Y081"</f>
        <v>9726Y081</v>
      </c>
      <c r="H9799" s="1" t="str">
        <f>"화교간 33L8L1"</f>
        <v>화교간 33L8L1</v>
      </c>
      <c r="I9799" s="1" t="s">
        <v>17</v>
      </c>
      <c r="J9799" s="1" t="str">
        <f>"17/17"</f>
        <v>17/17</v>
      </c>
      <c r="K9799" s="1" t="str">
        <f>"2026-07-29 13:18:11"</f>
        <v>2026-07-29 13:18:11</v>
      </c>
      <c r="L9799" s="1" t="str">
        <f>"2021-10-19 08:49:14"</f>
        <v>2021-10-19 08:49:14</v>
      </c>
      <c r="M9799" s="1" t="s">
        <v>3</v>
      </c>
      <c r="N9799" s="1" t="s">
        <v>38</v>
      </c>
      <c r="O9799" s="1" t="s">
        <v>46</v>
      </c>
    </row>
    <row r="9800" spans="2:15" x14ac:dyDescent="0.3">
      <c r="B9800" s="1" t="s">
        <v>21</v>
      </c>
      <c r="C9800" s="1" t="str">
        <f t="shared" si="494"/>
        <v>4차</v>
      </c>
      <c r="D9800" s="1" t="str">
        <f>"9726Y19141"</f>
        <v>9726Y19141</v>
      </c>
      <c r="E9800" s="1" t="s">
        <v>10</v>
      </c>
      <c r="F9800" s="1" t="str">
        <f>"10.14.5.186"</f>
        <v>10.14.5.186</v>
      </c>
      <c r="G9800" s="1" t="str">
        <f>"9726Y191"</f>
        <v>9726Y191</v>
      </c>
      <c r="H9800" s="1" t="str">
        <f>"화교간 33L8L3"</f>
        <v>화교간 33L8L3</v>
      </c>
      <c r="I9800" s="1" t="s">
        <v>17</v>
      </c>
      <c r="J9800" s="1" t="str">
        <f>"42/42"</f>
        <v>42/42</v>
      </c>
      <c r="K9800" s="1" t="str">
        <f>"2026-07-29 13:18:11"</f>
        <v>2026-07-29 13:18:11</v>
      </c>
      <c r="L9800" s="1" t="str">
        <f>"2021-10-19 10:02:41"</f>
        <v>2021-10-19 10:02:41</v>
      </c>
      <c r="M9800" s="1" t="s">
        <v>3</v>
      </c>
      <c r="N9800" s="1" t="s">
        <v>38</v>
      </c>
      <c r="O9800" s="1" t="s">
        <v>46</v>
      </c>
    </row>
    <row r="9801" spans="2:15" x14ac:dyDescent="0.3">
      <c r="B9801" s="1" t="s">
        <v>21</v>
      </c>
      <c r="C9801" s="1" t="str">
        <f t="shared" si="494"/>
        <v>4차</v>
      </c>
      <c r="D9801" s="1" t="str">
        <f>"9726Z60345"</f>
        <v>9726Z60345</v>
      </c>
      <c r="E9801" s="1" t="s">
        <v>10</v>
      </c>
      <c r="F9801" s="1" t="str">
        <f>"10.12.135.39"</f>
        <v>10.12.135.39</v>
      </c>
      <c r="G9801" s="1" t="str">
        <f>"9726Z603"</f>
        <v>9726Z603</v>
      </c>
      <c r="H9801" s="1" t="str">
        <f>"성산로 R2"</f>
        <v>성산로 R2</v>
      </c>
      <c r="I9801" s="1" t="s">
        <v>17</v>
      </c>
      <c r="J9801" s="1" t="str">
        <f>"7/7"</f>
        <v>7/7</v>
      </c>
      <c r="K9801" s="1" t="str">
        <f>"2026-07-29 13:18:13"</f>
        <v>2026-07-29 13:18:13</v>
      </c>
      <c r="L9801" s="1" t="str">
        <f>"2025-02-11 15:49:03"</f>
        <v>2025-02-11 15:49:03</v>
      </c>
      <c r="M9801" s="1" t="s">
        <v>0</v>
      </c>
      <c r="N9801" s="1" t="s">
        <v>38</v>
      </c>
      <c r="O9801" s="1" t="s">
        <v>46</v>
      </c>
    </row>
    <row r="9802" spans="2:15" x14ac:dyDescent="0.3">
      <c r="B9802" s="1" t="s">
        <v>21</v>
      </c>
      <c r="C9802" s="1" t="str">
        <f t="shared" si="494"/>
        <v>4차</v>
      </c>
      <c r="D9802" s="1" t="str">
        <f>"9726Z95639"</f>
        <v>9726Z95639</v>
      </c>
      <c r="E9802" s="1" t="s">
        <v>14</v>
      </c>
      <c r="F9802" s="1" t="str">
        <f>"10.12.135.38"</f>
        <v>10.12.135.38</v>
      </c>
      <c r="G9802" s="1" t="str">
        <f>"9726Z956"</f>
        <v>9726Z956</v>
      </c>
      <c r="H9802" s="1" t="str">
        <f>"성산로 L2"</f>
        <v>성산로 L2</v>
      </c>
      <c r="I9802" s="1" t="s">
        <v>17</v>
      </c>
      <c r="J9802" s="1" t="str">
        <f>"0/0"</f>
        <v>0/0</v>
      </c>
      <c r="K9802" s="1" t="str">
        <f>"2026-07-28 13:18:11"</f>
        <v>2026-07-28 13:18:11</v>
      </c>
      <c r="L9802" s="1" t="str">
        <f>"2018-05-25 08:33:24"</f>
        <v>2018-05-25 08:33:24</v>
      </c>
      <c r="M9802" s="1" t="s">
        <v>0</v>
      </c>
      <c r="N9802" s="1" t="s">
        <v>39</v>
      </c>
      <c r="O9802" s="1" t="s">
        <v>46</v>
      </c>
    </row>
    <row r="9803" spans="2:15" x14ac:dyDescent="0.3">
      <c r="B9803" s="1" t="s">
        <v>21</v>
      </c>
      <c r="C9803" s="1" t="str">
        <f t="shared" si="494"/>
        <v>4차</v>
      </c>
      <c r="D9803" s="1" t="str">
        <f>"9726Z95739"</f>
        <v>9726Z95739</v>
      </c>
      <c r="E9803" s="1" t="s">
        <v>14</v>
      </c>
      <c r="F9803" s="1" t="str">
        <f>"10.12.135.104"</f>
        <v>10.12.135.104</v>
      </c>
      <c r="G9803" s="1" t="str">
        <f>"9726Z957"</f>
        <v>9726Z957</v>
      </c>
      <c r="H9803" s="1" t="str">
        <f>"성산로 L3"</f>
        <v>성산로 L3</v>
      </c>
      <c r="I9803" s="1" t="s">
        <v>17</v>
      </c>
      <c r="J9803" s="1" t="str">
        <f>"0/0"</f>
        <v>0/0</v>
      </c>
      <c r="K9803" s="1" t="str">
        <f>"2026-06-10 07:18:12"</f>
        <v>2026-06-10 07:18:12</v>
      </c>
      <c r="L9803" s="1" t="str">
        <f>"2018-05-25 08:40:25"</f>
        <v>2018-05-25 08:40:25</v>
      </c>
      <c r="M9803" s="1" t="s">
        <v>0</v>
      </c>
      <c r="N9803" s="1" t="s">
        <v>39</v>
      </c>
      <c r="O9803" s="1" t="s">
        <v>46</v>
      </c>
    </row>
    <row r="9804" spans="2:15" x14ac:dyDescent="0.3">
      <c r="B9804" s="1" t="s">
        <v>21</v>
      </c>
      <c r="C9804" s="1" t="str">
        <f t="shared" si="494"/>
        <v>4차</v>
      </c>
      <c r="D9804" s="1" t="str">
        <f>"9727A01242"</f>
        <v>9727A01242</v>
      </c>
      <c r="E9804" s="1" t="s">
        <v>10</v>
      </c>
      <c r="F9804" s="1" t="str">
        <f>"10.128.0.222"</f>
        <v>10.128.0.222</v>
      </c>
      <c r="G9804" s="1" t="str">
        <f>"9727A012"</f>
        <v>9727A012</v>
      </c>
      <c r="H9804" s="1" t="str">
        <f>"백암간 51R1"</f>
        <v>백암간 51R1</v>
      </c>
      <c r="I9804" s="1" t="s">
        <v>8</v>
      </c>
      <c r="J9804" s="1" t="str">
        <f>"46/46"</f>
        <v>46/46</v>
      </c>
      <c r="K9804" s="1" t="str">
        <f>"2026-07-29 13:18:11"</f>
        <v>2026-07-29 13:18:11</v>
      </c>
      <c r="L9804" s="1" t="str">
        <f>"2025-01-08 17:04:18"</f>
        <v>2025-01-08 17:04:18</v>
      </c>
      <c r="M9804" s="1" t="s">
        <v>45</v>
      </c>
      <c r="N9804" s="1" t="s">
        <v>38</v>
      </c>
      <c r="O9804" s="1" t="s">
        <v>46</v>
      </c>
    </row>
    <row r="9805" spans="2:15" x14ac:dyDescent="0.3">
      <c r="B9805" s="1" t="s">
        <v>21</v>
      </c>
      <c r="C9805" s="1" t="str">
        <f>"1차"</f>
        <v>1차</v>
      </c>
      <c r="D9805" s="1" t="str">
        <f>"9727A11300"</f>
        <v>9727A11300</v>
      </c>
      <c r="E9805" s="1" t="str">
        <f>"검침실패(3시간 이상)"</f>
        <v>검침실패(3시간 이상)</v>
      </c>
      <c r="F9805" s="1" t="str">
        <f>"10.128.0.221"</f>
        <v>10.128.0.221</v>
      </c>
      <c r="G9805" s="1" t="str">
        <f>"9727A113"</f>
        <v>9727A113</v>
      </c>
      <c r="H9805" s="1" t="str">
        <f>"백암간 50R1"</f>
        <v>백암간 50R1</v>
      </c>
      <c r="I9805" s="1" t="s">
        <v>8</v>
      </c>
      <c r="J9805" s="1" t="str">
        <f>"0/32"</f>
        <v>0/32</v>
      </c>
      <c r="K9805" s="1" t="str">
        <f>"2026-07-29 13:18:11"</f>
        <v>2026-07-29 13:18:11</v>
      </c>
      <c r="L9805" s="1" t="str">
        <f>"2015-07-20 16:11:41"</f>
        <v>2015-07-20 16:11:41</v>
      </c>
      <c r="M9805" s="1" t="s">
        <v>45</v>
      </c>
      <c r="N9805" s="1" t="s">
        <v>38</v>
      </c>
      <c r="O9805" s="1" t="s">
        <v>46</v>
      </c>
    </row>
    <row r="9806" spans="2:15" x14ac:dyDescent="0.3">
      <c r="B9806" s="1" t="s">
        <v>21</v>
      </c>
      <c r="C9806" s="1" t="str">
        <f>"1차"</f>
        <v>1차</v>
      </c>
      <c r="D9806" s="1" t="str">
        <f>"9727A22600"</f>
        <v>9727A22600</v>
      </c>
      <c r="E9806" s="1" t="s">
        <v>10</v>
      </c>
      <c r="F9806" s="1" t="str">
        <f>"10.128.0.220"</f>
        <v>10.128.0.220</v>
      </c>
      <c r="G9806" s="1" t="str">
        <f>"9727A226"</f>
        <v>9727A226</v>
      </c>
      <c r="H9806" s="1" t="str">
        <f>"서부간 20"</f>
        <v>서부간 20</v>
      </c>
      <c r="I9806" s="1" t="s">
        <v>8</v>
      </c>
      <c r="J9806" s="1" t="str">
        <f>"7/7"</f>
        <v>7/7</v>
      </c>
      <c r="K9806" s="1" t="str">
        <f>"2026-07-29 13:18:11"</f>
        <v>2026-07-29 13:18:11</v>
      </c>
      <c r="L9806" s="1" t="str">
        <f>"2021-07-27 14:32:25"</f>
        <v>2021-07-27 14:32:25</v>
      </c>
      <c r="M9806" s="1" t="s">
        <v>45</v>
      </c>
      <c r="N9806" s="1" t="s">
        <v>38</v>
      </c>
      <c r="O9806" s="1" t="s">
        <v>46</v>
      </c>
    </row>
    <row r="9807" spans="2:15" x14ac:dyDescent="0.3">
      <c r="B9807" s="1" t="s">
        <v>21</v>
      </c>
      <c r="C9807" s="1" t="str">
        <f>"5-2차"</f>
        <v>5-2차</v>
      </c>
      <c r="D9807" s="1" t="str">
        <f>"9727A2925S"</f>
        <v>9727A2925S</v>
      </c>
      <c r="E9807" s="1" t="s">
        <v>10</v>
      </c>
      <c r="F9807" s="1" t="str">
        <f>"fde1:103:4:57e3:0:0:0:2"</f>
        <v>fde1:103:4:57e3:0:0:0:2</v>
      </c>
      <c r="G9807" s="1" t="str">
        <f>"9727A292"</f>
        <v>9727A292</v>
      </c>
      <c r="H9807" s="1" t="str">
        <f>"서부간 17R3L3"</f>
        <v>서부간 17R3L3</v>
      </c>
      <c r="I9807" s="1" t="s">
        <v>15</v>
      </c>
      <c r="J9807" s="1" t="str">
        <f>"102/102"</f>
        <v>102/102</v>
      </c>
      <c r="K9807" s="1" t="str">
        <f>"2026-07-29 14:21:23"</f>
        <v>2026-07-29 14:21:23</v>
      </c>
      <c r="L9807" s="1" t="str">
        <f>"2023-10-20 13:31:46"</f>
        <v>2023-10-20 13:31:46</v>
      </c>
      <c r="M9807" s="1" t="s">
        <v>4</v>
      </c>
      <c r="N9807" s="1" t="s">
        <v>38</v>
      </c>
      <c r="O9807" s="1" t="s">
        <v>46</v>
      </c>
    </row>
    <row r="9808" spans="2:15" x14ac:dyDescent="0.3">
      <c r="B9808" s="1" t="s">
        <v>21</v>
      </c>
      <c r="C9808" s="1" t="str">
        <f>"4차"</f>
        <v>4차</v>
      </c>
      <c r="D9808" s="1" t="str">
        <f>"9727A30139"</f>
        <v>9727A30139</v>
      </c>
      <c r="E9808" s="1" t="s">
        <v>10</v>
      </c>
      <c r="F9808" s="1" t="str">
        <f>"10.12.134.4"</f>
        <v>10.12.134.4</v>
      </c>
      <c r="G9808" s="1" t="str">
        <f>"9727A301"</f>
        <v>9727A301</v>
      </c>
      <c r="H9808" s="1" t="str">
        <f>"장수로 1"</f>
        <v>장수로 1</v>
      </c>
      <c r="I9808" s="1" t="s">
        <v>17</v>
      </c>
      <c r="J9808" s="1" t="str">
        <f>"1/6"</f>
        <v>1/6</v>
      </c>
      <c r="K9808" s="1" t="str">
        <f>"2026-07-29 13:18:11"</f>
        <v>2026-07-29 13:18:11</v>
      </c>
      <c r="L9808" s="1" t="str">
        <f>"2018-05-23 11:46:56"</f>
        <v>2018-05-23 11:46:56</v>
      </c>
      <c r="M9808" s="1" t="s">
        <v>0</v>
      </c>
      <c r="N9808" s="1" t="s">
        <v>38</v>
      </c>
      <c r="O9808" s="1" t="s">
        <v>46</v>
      </c>
    </row>
    <row r="9809" spans="2:15" x14ac:dyDescent="0.3">
      <c r="B9809" s="1" t="s">
        <v>21</v>
      </c>
      <c r="C9809" s="1" t="str">
        <f>"5-2차"</f>
        <v>5-2차</v>
      </c>
      <c r="D9809" s="1" t="str">
        <f>"9727A3825M"</f>
        <v>9727A3825M</v>
      </c>
      <c r="E9809" s="1" t="s">
        <v>10</v>
      </c>
      <c r="F9809" s="1" t="str">
        <f>"fde1:103:4:58a2:0:0:0:2"</f>
        <v>fde1:103:4:58a2:0:0:0:2</v>
      </c>
      <c r="G9809" s="1" t="str">
        <f>"9727A382"</f>
        <v>9727A382</v>
      </c>
      <c r="H9809" s="1" t="str">
        <f>"서부간 18R2"</f>
        <v>서부간 18R2</v>
      </c>
      <c r="I9809" s="1" t="s">
        <v>15</v>
      </c>
      <c r="J9809" s="1" t="str">
        <f>"42/45"</f>
        <v>42/45</v>
      </c>
      <c r="K9809" s="1" t="str">
        <f>"2026-07-29 14:21:34"</f>
        <v>2026-07-29 14:21:34</v>
      </c>
      <c r="L9809" s="1" t="str">
        <f>"2023-10-20 13:32:18"</f>
        <v>2023-10-20 13:32:18</v>
      </c>
      <c r="M9809" s="1" t="s">
        <v>4</v>
      </c>
      <c r="N9809" s="1" t="s">
        <v>38</v>
      </c>
      <c r="O9809" s="1" t="s">
        <v>46</v>
      </c>
    </row>
    <row r="9810" spans="2:15" x14ac:dyDescent="0.3">
      <c r="B9810" s="1" t="s">
        <v>21</v>
      </c>
      <c r="C9810" s="1" t="str">
        <f>"4차"</f>
        <v>4차</v>
      </c>
      <c r="D9810" s="1" t="str">
        <f>"9727A48444"</f>
        <v>9727A48444</v>
      </c>
      <c r="E9810" s="1" t="s">
        <v>10</v>
      </c>
      <c r="F9810" s="1" t="str">
        <f>"10.12.138.134"</f>
        <v>10.12.138.134</v>
      </c>
      <c r="G9810" s="1" t="str">
        <f>"9727A484"</f>
        <v>9727A484</v>
      </c>
      <c r="H9810" s="1" t="str">
        <f>"한신간 30"</f>
        <v>한신간 30</v>
      </c>
      <c r="I9810" s="1" t="s">
        <v>8</v>
      </c>
      <c r="J9810" s="1" t="str">
        <f>"9/9"</f>
        <v>9/9</v>
      </c>
      <c r="K9810" s="1" t="str">
        <f>"2026-07-29 13:18:12"</f>
        <v>2026-07-29 13:18:12</v>
      </c>
      <c r="L9810" s="1" t="str">
        <f>"2020-01-09 14:20:47"</f>
        <v>2020-01-09 14:20:47</v>
      </c>
      <c r="M9810" s="1" t="s">
        <v>0</v>
      </c>
      <c r="N9810" s="1" t="s">
        <v>38</v>
      </c>
      <c r="O9810" s="1" t="s">
        <v>46</v>
      </c>
    </row>
    <row r="9811" spans="2:15" x14ac:dyDescent="0.3">
      <c r="B9811" s="1" t="s">
        <v>21</v>
      </c>
      <c r="C9811" s="1" t="str">
        <f>"3차"</f>
        <v>3차</v>
      </c>
      <c r="D9811" s="1" t="str">
        <f>"9727A49139"</f>
        <v>9727A49139</v>
      </c>
      <c r="E9811" s="1" t="s">
        <v>10</v>
      </c>
      <c r="F9811" s="1" t="str">
        <f>"10.12.136.242"</f>
        <v>10.12.136.242</v>
      </c>
      <c r="G9811" s="1" t="str">
        <f>"9727A491"</f>
        <v>9727A491</v>
      </c>
      <c r="H9811" s="1" t="str">
        <f>"서부간 17R2"</f>
        <v>서부간 17R2</v>
      </c>
      <c r="I9811" s="1" t="s">
        <v>8</v>
      </c>
      <c r="J9811" s="1" t="str">
        <f>"79/79"</f>
        <v>79/79</v>
      </c>
      <c r="K9811" s="1" t="str">
        <f>"2026-07-29 07:18:02"</f>
        <v>2026-07-29 07:18:02</v>
      </c>
      <c r="L9811" s="1" t="str">
        <f>"2018-10-27 11:38:57"</f>
        <v>2018-10-27 11:38:57</v>
      </c>
      <c r="M9811" s="1" t="s">
        <v>0</v>
      </c>
      <c r="N9811" s="1" t="s">
        <v>38</v>
      </c>
      <c r="O9811" s="1" t="s">
        <v>46</v>
      </c>
    </row>
    <row r="9812" spans="2:15" x14ac:dyDescent="0.3">
      <c r="B9812" s="1" t="s">
        <v>21</v>
      </c>
      <c r="C9812" s="1" t="str">
        <f>"3차"</f>
        <v>3차</v>
      </c>
      <c r="D9812" s="1" t="str">
        <f>"9727A49739"</f>
        <v>9727A49739</v>
      </c>
      <c r="E9812" s="1" t="s">
        <v>10</v>
      </c>
      <c r="F9812" s="1" t="str">
        <f>"10.128.80.90"</f>
        <v>10.128.80.90</v>
      </c>
      <c r="G9812" s="1" t="str">
        <f>"9727A497"</f>
        <v>9727A497</v>
      </c>
      <c r="H9812" s="1" t="str">
        <f>"서부간 17R2R1"</f>
        <v>서부간 17R2R1</v>
      </c>
      <c r="I9812" s="1" t="s">
        <v>8</v>
      </c>
      <c r="J9812" s="1" t="str">
        <f>"13/18"</f>
        <v>13/18</v>
      </c>
      <c r="K9812" s="1" t="str">
        <f>"2026-07-29 13:18:11"</f>
        <v>2026-07-29 13:18:11</v>
      </c>
      <c r="L9812" s="1" t="str">
        <f>"2018-06-08 08:11:41"</f>
        <v>2018-06-08 08:11:41</v>
      </c>
      <c r="M9812" s="1" t="s">
        <v>45</v>
      </c>
      <c r="N9812" s="1" t="s">
        <v>38</v>
      </c>
      <c r="O9812" s="1" t="s">
        <v>46</v>
      </c>
    </row>
    <row r="9813" spans="2:15" x14ac:dyDescent="0.3">
      <c r="B9813" s="1" t="s">
        <v>21</v>
      </c>
      <c r="C9813" s="1" t="str">
        <f>"5-1차"</f>
        <v>5-1차</v>
      </c>
      <c r="D9813" s="1" t="str">
        <f>"9727A5415M"</f>
        <v>9727A5415M</v>
      </c>
      <c r="E9813" s="1" t="s">
        <v>10</v>
      </c>
      <c r="F9813" s="1" t="str">
        <f>"fde2:104:0:88:0:0:0:2"</f>
        <v>fde2:104:0:88:0:0:0:2</v>
      </c>
      <c r="G9813" s="1" t="str">
        <f>"9727A541"</f>
        <v>9727A541</v>
      </c>
      <c r="H9813" s="1" t="str">
        <f>"한신간 39L6"</f>
        <v>한신간 39L6</v>
      </c>
      <c r="I9813" s="1" t="s">
        <v>15</v>
      </c>
      <c r="J9813" s="1" t="str">
        <f>"56/56"</f>
        <v>56/56</v>
      </c>
      <c r="K9813" s="1" t="str">
        <f>"2026-07-29 14:21:24"</f>
        <v>2026-07-29 14:21:24</v>
      </c>
      <c r="L9813" s="1" t="str">
        <f>"2022-09-21 13:05:26"</f>
        <v>2022-09-21 13:05:26</v>
      </c>
      <c r="M9813" s="1" t="s">
        <v>42</v>
      </c>
      <c r="N9813" s="1" t="s">
        <v>38</v>
      </c>
      <c r="O9813" s="1" t="s">
        <v>46</v>
      </c>
    </row>
    <row r="9814" spans="2:15" x14ac:dyDescent="0.3">
      <c r="B9814" s="1" t="s">
        <v>21</v>
      </c>
      <c r="C9814" s="1" t="str">
        <f>"5-2차"</f>
        <v>5-2차</v>
      </c>
      <c r="D9814" s="1" t="str">
        <f>"9727A5515S"</f>
        <v>9727A5515S</v>
      </c>
      <c r="E9814" s="1" t="s">
        <v>10</v>
      </c>
      <c r="F9814" s="1" t="str">
        <f>"fde1:103:4:557d:0:0:0:2"</f>
        <v>fde1:103:4:557d:0:0:0:2</v>
      </c>
      <c r="G9814" s="1" t="str">
        <f>"9727A551"</f>
        <v>9727A551</v>
      </c>
      <c r="H9814" s="1" t="str">
        <f>"한신간 39L6L1"</f>
        <v>한신간 39L6L1</v>
      </c>
      <c r="I9814" s="1" t="s">
        <v>15</v>
      </c>
      <c r="J9814" s="1" t="str">
        <f>"88/91"</f>
        <v>88/91</v>
      </c>
      <c r="K9814" s="1" t="str">
        <f>"2026-07-29 14:21:34"</f>
        <v>2026-07-29 14:21:34</v>
      </c>
      <c r="L9814" s="1" t="str">
        <f>"2023-10-23 09:51:40"</f>
        <v>2023-10-23 09:51:40</v>
      </c>
      <c r="M9814" s="1" t="s">
        <v>4</v>
      </c>
      <c r="N9814" s="1" t="s">
        <v>38</v>
      </c>
      <c r="O9814" s="1" t="s">
        <v>46</v>
      </c>
    </row>
    <row r="9815" spans="2:15" x14ac:dyDescent="0.3">
      <c r="B9815" s="1" t="s">
        <v>21</v>
      </c>
      <c r="C9815" s="1" t="str">
        <f>"5-1차"</f>
        <v>5-1차</v>
      </c>
      <c r="D9815" s="1" t="str">
        <f>"9727A6425M"</f>
        <v>9727A6425M</v>
      </c>
      <c r="E9815" s="1" t="s">
        <v>10</v>
      </c>
      <c r="F9815" s="1" t="str">
        <f>"fde2:104:0:b6:0:0:0:2"</f>
        <v>fde2:104:0:b6:0:0:0:2</v>
      </c>
      <c r="G9815" s="1" t="str">
        <f>"9727A642"</f>
        <v>9727A642</v>
      </c>
      <c r="H9815" s="1" t="str">
        <f>"한신간 39L8"</f>
        <v>한신간 39L8</v>
      </c>
      <c r="I9815" s="1" t="s">
        <v>15</v>
      </c>
      <c r="J9815" s="1" t="str">
        <f>"52/53"</f>
        <v>52/53</v>
      </c>
      <c r="K9815" s="1" t="str">
        <f>"2026-07-29 14:21:23"</f>
        <v>2026-07-29 14:21:23</v>
      </c>
      <c r="L9815" s="1" t="str">
        <f>"2022-09-21 14:16:05"</f>
        <v>2022-09-21 14:16:05</v>
      </c>
      <c r="M9815" s="1" t="s">
        <v>42</v>
      </c>
      <c r="N9815" s="1" t="s">
        <v>38</v>
      </c>
      <c r="O9815" s="1" t="s">
        <v>46</v>
      </c>
    </row>
    <row r="9816" spans="2:15" x14ac:dyDescent="0.3">
      <c r="B9816" s="1" t="s">
        <v>21</v>
      </c>
      <c r="C9816" s="1" t="str">
        <f>"5-2차"</f>
        <v>5-2차</v>
      </c>
      <c r="D9816" s="1" t="str">
        <f>"9727A6435M"</f>
        <v>9727A6435M</v>
      </c>
      <c r="E9816" s="1" t="s">
        <v>12</v>
      </c>
      <c r="F9816" s="1" t="str">
        <f>"fde1:103:4:562c:0:0:0:2"</f>
        <v>fde1:103:4:562c:0:0:0:2</v>
      </c>
      <c r="G9816" s="1" t="str">
        <f>"9727A643"</f>
        <v>9727A643</v>
      </c>
      <c r="H9816" s="1" t="str">
        <f>"한신간 39L9"</f>
        <v>한신간 39L9</v>
      </c>
      <c r="I9816" s="1" t="s">
        <v>15</v>
      </c>
      <c r="J9816" s="1" t="str">
        <f>"0/49"</f>
        <v>0/49</v>
      </c>
      <c r="K9816" s="1" t="str">
        <f>"2026-07-29 14:21:05"</f>
        <v>2026-07-29 14:21:05</v>
      </c>
      <c r="L9816" s="1" t="str">
        <f>"2023-10-20 13:33:20"</f>
        <v>2023-10-20 13:33:20</v>
      </c>
      <c r="M9816" s="1" t="s">
        <v>4</v>
      </c>
      <c r="N9816" s="1" t="s">
        <v>38</v>
      </c>
      <c r="O9816" s="1" t="s">
        <v>46</v>
      </c>
    </row>
    <row r="9817" spans="2:15" x14ac:dyDescent="0.3">
      <c r="B9817" s="1" t="s">
        <v>21</v>
      </c>
      <c r="C9817" s="1" t="str">
        <f>"5-1차"</f>
        <v>5-1차</v>
      </c>
      <c r="D9817" s="1" t="str">
        <f>"9727A7415M"</f>
        <v>9727A7415M</v>
      </c>
      <c r="E9817" s="1" t="s">
        <v>10</v>
      </c>
      <c r="F9817" s="1" t="str">
        <f>"fde2:104:0:eb:0:0:0:2"</f>
        <v>fde2:104:0:eb:0:0:0:2</v>
      </c>
      <c r="G9817" s="1" t="str">
        <f>"9727A741"</f>
        <v>9727A741</v>
      </c>
      <c r="H9817" s="1" t="str">
        <f>"한신간 39L10"</f>
        <v>한신간 39L10</v>
      </c>
      <c r="I9817" s="1" t="s">
        <v>15</v>
      </c>
      <c r="J9817" s="1" t="str">
        <f>"21/21"</f>
        <v>21/21</v>
      </c>
      <c r="K9817" s="1" t="str">
        <f>"2026-07-29 14:21:03"</f>
        <v>2026-07-29 14:21:03</v>
      </c>
      <c r="L9817" s="1" t="str">
        <f>"2022-09-08 10:19:30"</f>
        <v>2022-09-08 10:19:30</v>
      </c>
      <c r="M9817" s="1" t="s">
        <v>42</v>
      </c>
      <c r="N9817" s="1" t="s">
        <v>38</v>
      </c>
      <c r="O9817" s="1" t="s">
        <v>46</v>
      </c>
    </row>
    <row r="9818" spans="2:15" x14ac:dyDescent="0.3">
      <c r="B9818" s="1" t="s">
        <v>21</v>
      </c>
      <c r="C9818" s="1" t="str">
        <f>"6차"</f>
        <v>6차</v>
      </c>
      <c r="D9818" s="1" t="str">
        <f>"9727A7626S"</f>
        <v>9727A7626S</v>
      </c>
      <c r="E9818" s="1" t="s">
        <v>10</v>
      </c>
      <c r="F9818" s="1" t="str">
        <f>"fde1:103:4:c651:0:0:0:2"</f>
        <v>fde1:103:4:c651:0:0:0:2</v>
      </c>
      <c r="G9818" s="1" t="str">
        <f>"9727A762"</f>
        <v>9727A762</v>
      </c>
      <c r="H9818" s="1" t="str">
        <f>"한신간 39L9L3"</f>
        <v>한신간 39L9L3</v>
      </c>
      <c r="I9818" s="1" t="s">
        <v>15</v>
      </c>
      <c r="J9818" s="1" t="str">
        <f>"57/58"</f>
        <v>57/58</v>
      </c>
      <c r="K9818" s="1" t="str">
        <f>"2026-07-29 14:21:34"</f>
        <v>2026-07-29 14:21:34</v>
      </c>
      <c r="L9818" s="1" t="str">
        <f>"2024-10-29 17:04:56"</f>
        <v>2024-10-29 17:04:56</v>
      </c>
      <c r="M9818" s="1" t="s">
        <v>4</v>
      </c>
      <c r="N9818" s="1" t="s">
        <v>38</v>
      </c>
      <c r="O9818" s="1" t="s">
        <v>46</v>
      </c>
    </row>
    <row r="9819" spans="2:15" x14ac:dyDescent="0.3">
      <c r="B9819" s="1" t="s">
        <v>21</v>
      </c>
      <c r="C9819" s="1" t="str">
        <f>"4차"</f>
        <v>4차</v>
      </c>
      <c r="D9819" s="1" t="str">
        <f>"9727B91244"</f>
        <v>9727B91244</v>
      </c>
      <c r="E9819" s="1" t="s">
        <v>10</v>
      </c>
      <c r="F9819" s="1" t="str">
        <f>"10.10.84.210"</f>
        <v>10.10.84.210</v>
      </c>
      <c r="G9819" s="1" t="str">
        <f>"9727B912"</f>
        <v>9727B912</v>
      </c>
      <c r="H9819" s="1" t="str">
        <f>"미성지 4L24"</f>
        <v>미성지 4L24</v>
      </c>
      <c r="I9819" s="1" t="s">
        <v>8</v>
      </c>
      <c r="J9819" s="1" t="str">
        <f>"35/37"</f>
        <v>35/37</v>
      </c>
      <c r="K9819" s="1" t="str">
        <f>"2026-07-29 13:18:11"</f>
        <v>2026-07-29 13:18:11</v>
      </c>
      <c r="L9819" s="1" t="str">
        <f>"2019-10-14 15:03:05"</f>
        <v>2019-10-14 15:03:05</v>
      </c>
      <c r="M9819" s="1" t="s">
        <v>1</v>
      </c>
      <c r="N9819" s="1" t="s">
        <v>38</v>
      </c>
      <c r="O9819" s="1" t="s">
        <v>46</v>
      </c>
    </row>
    <row r="9820" spans="2:15" x14ac:dyDescent="0.3">
      <c r="B9820" s="1" t="s">
        <v>21</v>
      </c>
      <c r="C9820" s="1" t="str">
        <f>"4차"</f>
        <v>4차</v>
      </c>
      <c r="D9820" s="1" t="str">
        <f>"9727B95144"</f>
        <v>9727B95144</v>
      </c>
      <c r="E9820" s="1" t="s">
        <v>10</v>
      </c>
      <c r="F9820" s="1" t="str">
        <f>"10.10.83.154"</f>
        <v>10.10.83.154</v>
      </c>
      <c r="G9820" s="1" t="str">
        <f>"9727B951"</f>
        <v>9727B951</v>
      </c>
      <c r="H9820" s="1" t="str">
        <f>"미성지 26"</f>
        <v>미성지 26</v>
      </c>
      <c r="I9820" s="1" t="s">
        <v>8</v>
      </c>
      <c r="J9820" s="1" t="str">
        <f>"85/85"</f>
        <v>85/85</v>
      </c>
      <c r="K9820" s="1" t="str">
        <f>"2026-07-29 13:18:11"</f>
        <v>2026-07-29 13:18:11</v>
      </c>
      <c r="L9820" s="1" t="str">
        <f>"2019-10-29 18:23:04"</f>
        <v>2019-10-29 18:23:04</v>
      </c>
      <c r="M9820" s="1" t="s">
        <v>1</v>
      </c>
      <c r="N9820" s="1" t="s">
        <v>38</v>
      </c>
      <c r="O9820" s="1" t="s">
        <v>46</v>
      </c>
    </row>
    <row r="9821" spans="2:15" x14ac:dyDescent="0.3">
      <c r="B9821" s="1" t="s">
        <v>21</v>
      </c>
      <c r="C9821" s="1" t="str">
        <f>"5-2차"</f>
        <v>5-2차</v>
      </c>
      <c r="D9821" s="1" t="str">
        <f>"9727C1015M"</f>
        <v>9727C1015M</v>
      </c>
      <c r="E9821" s="1" t="s">
        <v>10</v>
      </c>
      <c r="F9821" s="1" t="str">
        <f>"fde1:103:4:6e0a:0:0:0:2"</f>
        <v>fde1:103:4:6e0a:0:0:0:2</v>
      </c>
      <c r="G9821" s="1" t="str">
        <f>"9727C101"</f>
        <v>9727C101</v>
      </c>
      <c r="H9821" s="1" t="str">
        <f>"백암간 33"</f>
        <v>백암간 33</v>
      </c>
      <c r="I9821" s="1" t="s">
        <v>15</v>
      </c>
      <c r="J9821" s="1" t="str">
        <f>"54/54"</f>
        <v>54/54</v>
      </c>
      <c r="K9821" s="1" t="str">
        <f>"2026-07-29 14:21:34"</f>
        <v>2026-07-29 14:21:34</v>
      </c>
      <c r="L9821" s="1" t="str">
        <f>"2023-11-15 12:04:27"</f>
        <v>2023-11-15 12:04:27</v>
      </c>
      <c r="M9821" s="1" t="s">
        <v>4</v>
      </c>
      <c r="N9821" s="1" t="s">
        <v>38</v>
      </c>
      <c r="O9821" s="1" t="s">
        <v>46</v>
      </c>
    </row>
    <row r="9822" spans="2:15" x14ac:dyDescent="0.3">
      <c r="B9822" s="1" t="s">
        <v>21</v>
      </c>
      <c r="C9822" s="1" t="str">
        <f t="shared" ref="C9822:C9853" si="495">"4차"</f>
        <v>4차</v>
      </c>
      <c r="D9822" s="1" t="str">
        <f>"9727C58139"</f>
        <v>9727C58139</v>
      </c>
      <c r="E9822" s="1" t="s">
        <v>10</v>
      </c>
      <c r="F9822" s="1" t="str">
        <f>"10.12.135.234"</f>
        <v>10.12.135.234</v>
      </c>
      <c r="G9822" s="1" t="str">
        <f>"9727C581"</f>
        <v>9727C581</v>
      </c>
      <c r="H9822" s="1" t="str">
        <f>"장수로 1-1"</f>
        <v>장수로 1-1</v>
      </c>
      <c r="I9822" s="1" t="s">
        <v>17</v>
      </c>
      <c r="J9822" s="1" t="str">
        <f>"11/11"</f>
        <v>11/11</v>
      </c>
      <c r="K9822" s="1" t="str">
        <f>"2026-07-29 13:18:13"</f>
        <v>2026-07-29 13:18:13</v>
      </c>
      <c r="L9822" s="1" t="str">
        <f>"2018-05-23 12:28:42"</f>
        <v>2018-05-23 12:28:42</v>
      </c>
      <c r="M9822" s="1" t="s">
        <v>0</v>
      </c>
      <c r="N9822" s="1" t="s">
        <v>38</v>
      </c>
      <c r="O9822" s="1" t="s">
        <v>46</v>
      </c>
    </row>
    <row r="9823" spans="2:15" x14ac:dyDescent="0.3">
      <c r="B9823" s="1" t="s">
        <v>21</v>
      </c>
      <c r="C9823" s="1" t="str">
        <f t="shared" si="495"/>
        <v>4차</v>
      </c>
      <c r="D9823" s="1" t="str">
        <f>"9727C62639"</f>
        <v>9727C62639</v>
      </c>
      <c r="E9823" s="1" t="s">
        <v>14</v>
      </c>
      <c r="F9823" s="1" t="str">
        <f>"10.12.135.237"</f>
        <v>10.12.135.237</v>
      </c>
      <c r="G9823" s="1" t="str">
        <f>"9727C626"</f>
        <v>9727C626</v>
      </c>
      <c r="H9823" s="1" t="str">
        <f>"장수로 1-2"</f>
        <v>장수로 1-2</v>
      </c>
      <c r="I9823" s="1" t="s">
        <v>17</v>
      </c>
      <c r="J9823" s="1" t="str">
        <f>"0/0"</f>
        <v>0/0</v>
      </c>
      <c r="K9823" s="1" t="str">
        <f>"2026-06-10 07:18:13"</f>
        <v>2026-06-10 07:18:13</v>
      </c>
      <c r="L9823" s="1" t="str">
        <f>"2018-05-23 11:27:27"</f>
        <v>2018-05-23 11:27:27</v>
      </c>
      <c r="M9823" s="1" t="s">
        <v>0</v>
      </c>
      <c r="N9823" s="1" t="s">
        <v>39</v>
      </c>
      <c r="O9823" s="1" t="s">
        <v>46</v>
      </c>
    </row>
    <row r="9824" spans="2:15" x14ac:dyDescent="0.3">
      <c r="B9824" s="1" t="s">
        <v>21</v>
      </c>
      <c r="C9824" s="1" t="str">
        <f t="shared" si="495"/>
        <v>4차</v>
      </c>
      <c r="D9824" s="1" t="str">
        <f>"9727E02239"</f>
        <v>9727E02239</v>
      </c>
      <c r="E9824" s="1" t="s">
        <v>10</v>
      </c>
      <c r="F9824" s="1" t="str">
        <f>"10.128.117.18"</f>
        <v>10.128.117.18</v>
      </c>
      <c r="G9824" s="1" t="str">
        <f>"9727E022"</f>
        <v>9727E022</v>
      </c>
      <c r="H9824" s="1" t="str">
        <f>"미성지 4L22"</f>
        <v>미성지 4L22</v>
      </c>
      <c r="I9824" s="1" t="s">
        <v>8</v>
      </c>
      <c r="J9824" s="1" t="str">
        <f>"77/78"</f>
        <v>77/78</v>
      </c>
      <c r="K9824" s="1" t="str">
        <f t="shared" ref="K9824:K9836" si="496">"2026-07-29 13:18:11"</f>
        <v>2026-07-29 13:18:11</v>
      </c>
      <c r="L9824" s="1" t="str">
        <f>"2018-10-01 16:59:28"</f>
        <v>2018-10-01 16:59:28</v>
      </c>
      <c r="M9824" s="1" t="s">
        <v>45</v>
      </c>
      <c r="N9824" s="1" t="s">
        <v>38</v>
      </c>
      <c r="O9824" s="1" t="s">
        <v>46</v>
      </c>
    </row>
    <row r="9825" spans="2:15" x14ac:dyDescent="0.3">
      <c r="B9825" s="1" t="s">
        <v>21</v>
      </c>
      <c r="C9825" s="1" t="str">
        <f t="shared" si="495"/>
        <v>4차</v>
      </c>
      <c r="D9825" s="1" t="str">
        <f>"9727E04244"</f>
        <v>9727E04244</v>
      </c>
      <c r="E9825" s="1" t="s">
        <v>10</v>
      </c>
      <c r="F9825" s="1" t="str">
        <f>"10.10.84.202"</f>
        <v>10.10.84.202</v>
      </c>
      <c r="G9825" s="1" t="str">
        <f>"9727E042"</f>
        <v>9727E042</v>
      </c>
      <c r="H9825" s="1" t="str">
        <f>"미성지 4L21R3"</f>
        <v>미성지 4L21R3</v>
      </c>
      <c r="I9825" s="1" t="s">
        <v>8</v>
      </c>
      <c r="J9825" s="1" t="str">
        <f>"77/77"</f>
        <v>77/77</v>
      </c>
      <c r="K9825" s="1" t="str">
        <f t="shared" si="496"/>
        <v>2026-07-29 13:18:11</v>
      </c>
      <c r="L9825" s="1" t="str">
        <f>"2019-10-14 14:49:34"</f>
        <v>2019-10-14 14:49:34</v>
      </c>
      <c r="M9825" s="1" t="s">
        <v>1</v>
      </c>
      <c r="N9825" s="1" t="s">
        <v>38</v>
      </c>
      <c r="O9825" s="1" t="s">
        <v>46</v>
      </c>
    </row>
    <row r="9826" spans="2:15" x14ac:dyDescent="0.3">
      <c r="B9826" s="1" t="s">
        <v>21</v>
      </c>
      <c r="C9826" s="1" t="str">
        <f t="shared" si="495"/>
        <v>4차</v>
      </c>
      <c r="D9826" s="1" t="str">
        <f>"9727E06144"</f>
        <v>9727E06144</v>
      </c>
      <c r="E9826" s="1" t="s">
        <v>10</v>
      </c>
      <c r="F9826" s="1" t="str">
        <f>"10.10.83.106"</f>
        <v>10.10.83.106</v>
      </c>
      <c r="G9826" s="1" t="str">
        <f>"9727E061"</f>
        <v>9727E061</v>
      </c>
      <c r="H9826" s="1" t="str">
        <f>"미성지 24"</f>
        <v>미성지 24</v>
      </c>
      <c r="I9826" s="1" t="s">
        <v>8</v>
      </c>
      <c r="J9826" s="1" t="str">
        <f>"60/60"</f>
        <v>60/60</v>
      </c>
      <c r="K9826" s="1" t="str">
        <f t="shared" si="496"/>
        <v>2026-07-29 13:18:11</v>
      </c>
      <c r="L9826" s="1" t="str">
        <f>"2019-10-29 18:23:04"</f>
        <v>2019-10-29 18:23:04</v>
      </c>
      <c r="M9826" s="1" t="s">
        <v>1</v>
      </c>
      <c r="N9826" s="1" t="s">
        <v>38</v>
      </c>
      <c r="O9826" s="1" t="s">
        <v>46</v>
      </c>
    </row>
    <row r="9827" spans="2:15" x14ac:dyDescent="0.3">
      <c r="B9827" s="1" t="s">
        <v>21</v>
      </c>
      <c r="C9827" s="1" t="str">
        <f t="shared" si="495"/>
        <v>4차</v>
      </c>
      <c r="D9827" s="1" t="str">
        <f>"9727E10244"</f>
        <v>9727E10244</v>
      </c>
      <c r="E9827" s="1" t="s">
        <v>10</v>
      </c>
      <c r="F9827" s="1" t="str">
        <f>"10.10.84.122"</f>
        <v>10.10.84.122</v>
      </c>
      <c r="G9827" s="1" t="str">
        <f>"9727E102"</f>
        <v>9727E102</v>
      </c>
      <c r="H9827" s="1" t="str">
        <f>"미성지 4L14L1"</f>
        <v>미성지 4L14L1</v>
      </c>
      <c r="I9827" s="1" t="s">
        <v>8</v>
      </c>
      <c r="J9827" s="1" t="str">
        <f>"47/47"</f>
        <v>47/47</v>
      </c>
      <c r="K9827" s="1" t="str">
        <f t="shared" si="496"/>
        <v>2026-07-29 13:18:11</v>
      </c>
      <c r="L9827" s="1" t="str">
        <f>"2019-10-14 14:53:04"</f>
        <v>2019-10-14 14:53:04</v>
      </c>
      <c r="M9827" s="1" t="s">
        <v>1</v>
      </c>
      <c r="N9827" s="1" t="s">
        <v>38</v>
      </c>
      <c r="O9827" s="1" t="s">
        <v>46</v>
      </c>
    </row>
    <row r="9828" spans="2:15" x14ac:dyDescent="0.3">
      <c r="B9828" s="1" t="s">
        <v>21</v>
      </c>
      <c r="C9828" s="1" t="str">
        <f t="shared" si="495"/>
        <v>4차</v>
      </c>
      <c r="D9828" s="1" t="str">
        <f>"9727E11439"</f>
        <v>9727E11439</v>
      </c>
      <c r="E9828" s="1" t="s">
        <v>10</v>
      </c>
      <c r="F9828" s="1" t="str">
        <f>"10.128.117.34"</f>
        <v>10.128.117.34</v>
      </c>
      <c r="G9828" s="1" t="str">
        <f>"9727E114"</f>
        <v>9727E114</v>
      </c>
      <c r="H9828" s="1" t="str">
        <f>"미성지 4L15"</f>
        <v>미성지 4L15</v>
      </c>
      <c r="I9828" s="1" t="s">
        <v>8</v>
      </c>
      <c r="J9828" s="1" t="str">
        <f>"46/53"</f>
        <v>46/53</v>
      </c>
      <c r="K9828" s="1" t="str">
        <f t="shared" si="496"/>
        <v>2026-07-29 13:18:11</v>
      </c>
      <c r="L9828" s="1" t="str">
        <f>"2018-10-01 16:30:13"</f>
        <v>2018-10-01 16:30:13</v>
      </c>
      <c r="M9828" s="1" t="s">
        <v>45</v>
      </c>
      <c r="N9828" s="1" t="s">
        <v>38</v>
      </c>
      <c r="O9828" s="1" t="s">
        <v>46</v>
      </c>
    </row>
    <row r="9829" spans="2:15" x14ac:dyDescent="0.3">
      <c r="B9829" s="1" t="s">
        <v>21</v>
      </c>
      <c r="C9829" s="1" t="str">
        <f t="shared" si="495"/>
        <v>4차</v>
      </c>
      <c r="D9829" s="1" t="str">
        <f>"9727E12344"</f>
        <v>9727E12344</v>
      </c>
      <c r="E9829" s="1" t="s">
        <v>10</v>
      </c>
      <c r="F9829" s="1" t="str">
        <f>"10.10.84.178"</f>
        <v>10.10.84.178</v>
      </c>
      <c r="G9829" s="1" t="str">
        <f>"9727E123"</f>
        <v>9727E123</v>
      </c>
      <c r="H9829" s="1" t="str">
        <f>"미성지 4L19"</f>
        <v>미성지 4L19</v>
      </c>
      <c r="I9829" s="1" t="s">
        <v>8</v>
      </c>
      <c r="J9829" s="1" t="str">
        <f>"21/29"</f>
        <v>21/29</v>
      </c>
      <c r="K9829" s="1" t="str">
        <f t="shared" si="496"/>
        <v>2026-07-29 13:18:11</v>
      </c>
      <c r="L9829" s="1" t="str">
        <f>"2019-10-14 14:52:05"</f>
        <v>2019-10-14 14:52:05</v>
      </c>
      <c r="M9829" s="1" t="s">
        <v>1</v>
      </c>
      <c r="N9829" s="1" t="s">
        <v>38</v>
      </c>
      <c r="O9829" s="1" t="s">
        <v>46</v>
      </c>
    </row>
    <row r="9830" spans="2:15" x14ac:dyDescent="0.3">
      <c r="B9830" s="1" t="s">
        <v>21</v>
      </c>
      <c r="C9830" s="1" t="str">
        <f t="shared" si="495"/>
        <v>4차</v>
      </c>
      <c r="D9830" s="1" t="str">
        <f>"9727E16144"</f>
        <v>9727E16144</v>
      </c>
      <c r="E9830" s="1" t="s">
        <v>10</v>
      </c>
      <c r="F9830" s="1" t="str">
        <f>"10.10.83.50"</f>
        <v>10.10.83.50</v>
      </c>
      <c r="G9830" s="1" t="str">
        <f>"9727E161"</f>
        <v>9727E161</v>
      </c>
      <c r="H9830" s="1" t="str">
        <f>"미성지 22"</f>
        <v>미성지 22</v>
      </c>
      <c r="I9830" s="1" t="s">
        <v>8</v>
      </c>
      <c r="J9830" s="1" t="str">
        <f>"3/3"</f>
        <v>3/3</v>
      </c>
      <c r="K9830" s="1" t="str">
        <f t="shared" si="496"/>
        <v>2026-07-29 13:18:11</v>
      </c>
      <c r="L9830" s="1" t="str">
        <f>"2019-10-14 10:36:36"</f>
        <v>2019-10-14 10:36:36</v>
      </c>
      <c r="M9830" s="1" t="s">
        <v>1</v>
      </c>
      <c r="N9830" s="1" t="s">
        <v>38</v>
      </c>
      <c r="O9830" s="1" t="s">
        <v>46</v>
      </c>
    </row>
    <row r="9831" spans="2:15" x14ac:dyDescent="0.3">
      <c r="B9831" s="1" t="s">
        <v>21</v>
      </c>
      <c r="C9831" s="1" t="str">
        <f t="shared" si="495"/>
        <v>4차</v>
      </c>
      <c r="D9831" s="1" t="str">
        <f>"9727E16344"</f>
        <v>9727E16344</v>
      </c>
      <c r="E9831" s="1" t="s">
        <v>10</v>
      </c>
      <c r="F9831" s="1" t="str">
        <f>"10.10.110.162"</f>
        <v>10.10.110.162</v>
      </c>
      <c r="G9831" s="1" t="str">
        <f>"9727E163"</f>
        <v>9727E163</v>
      </c>
      <c r="H9831" s="1" t="str">
        <f>"미성지 22R1"</f>
        <v>미성지 22R1</v>
      </c>
      <c r="I9831" s="1" t="s">
        <v>8</v>
      </c>
      <c r="J9831" s="1" t="str">
        <f>"52/52"</f>
        <v>52/52</v>
      </c>
      <c r="K9831" s="1" t="str">
        <f t="shared" si="496"/>
        <v>2026-07-29 13:18:11</v>
      </c>
      <c r="L9831" s="1" t="str">
        <f>"2019-12-24 16:47:18"</f>
        <v>2019-12-24 16:47:18</v>
      </c>
      <c r="M9831" s="1" t="s">
        <v>1</v>
      </c>
      <c r="N9831" s="1" t="s">
        <v>38</v>
      </c>
      <c r="O9831" s="1" t="s">
        <v>46</v>
      </c>
    </row>
    <row r="9832" spans="2:15" x14ac:dyDescent="0.3">
      <c r="B9832" s="1" t="s">
        <v>21</v>
      </c>
      <c r="C9832" s="1" t="str">
        <f t="shared" si="495"/>
        <v>4차</v>
      </c>
      <c r="D9832" s="1" t="str">
        <f>"9727E20144"</f>
        <v>9727E20144</v>
      </c>
      <c r="E9832" s="1" t="s">
        <v>10</v>
      </c>
      <c r="F9832" s="1" t="str">
        <f>"10.10.81.74"</f>
        <v>10.10.81.74</v>
      </c>
      <c r="G9832" s="1" t="str">
        <f>"9727E201"</f>
        <v>9727E201</v>
      </c>
      <c r="H9832" s="1" t="str">
        <f>"미성지 13"</f>
        <v>미성지 13</v>
      </c>
      <c r="I9832" s="1" t="s">
        <v>8</v>
      </c>
      <c r="J9832" s="1" t="str">
        <f>"44/49"</f>
        <v>44/49</v>
      </c>
      <c r="K9832" s="1" t="str">
        <f t="shared" si="496"/>
        <v>2026-07-29 13:18:11</v>
      </c>
      <c r="L9832" s="1" t="str">
        <f>"2019-10-14 10:28:03"</f>
        <v>2019-10-14 10:28:03</v>
      </c>
      <c r="M9832" s="1" t="s">
        <v>1</v>
      </c>
      <c r="N9832" s="1" t="s">
        <v>38</v>
      </c>
      <c r="O9832" s="1" t="s">
        <v>46</v>
      </c>
    </row>
    <row r="9833" spans="2:15" x14ac:dyDescent="0.3">
      <c r="B9833" s="1" t="s">
        <v>21</v>
      </c>
      <c r="C9833" s="1" t="str">
        <f t="shared" si="495"/>
        <v>4차</v>
      </c>
      <c r="D9833" s="1" t="str">
        <f>"9727E22144"</f>
        <v>9727E22144</v>
      </c>
      <c r="E9833" s="1" t="s">
        <v>10</v>
      </c>
      <c r="F9833" s="1" t="str">
        <f>"10.10.84.154"</f>
        <v>10.10.84.154</v>
      </c>
      <c r="G9833" s="1" t="str">
        <f>"9727E221"</f>
        <v>9727E221</v>
      </c>
      <c r="H9833" s="1" t="str">
        <f>"미성지 5L16"</f>
        <v>미성지 5L16</v>
      </c>
      <c r="I9833" s="1" t="s">
        <v>8</v>
      </c>
      <c r="J9833" s="1" t="str">
        <f>"25/27"</f>
        <v>25/27</v>
      </c>
      <c r="K9833" s="1" t="str">
        <f t="shared" si="496"/>
        <v>2026-07-29 13:18:11</v>
      </c>
      <c r="L9833" s="1" t="str">
        <f>"2019-10-14 10:30:47"</f>
        <v>2019-10-14 10:30:47</v>
      </c>
      <c r="M9833" s="1" t="s">
        <v>1</v>
      </c>
      <c r="N9833" s="1" t="s">
        <v>38</v>
      </c>
      <c r="O9833" s="1" t="s">
        <v>46</v>
      </c>
    </row>
    <row r="9834" spans="2:15" x14ac:dyDescent="0.3">
      <c r="B9834" s="1" t="s">
        <v>21</v>
      </c>
      <c r="C9834" s="1" t="str">
        <f t="shared" si="495"/>
        <v>4차</v>
      </c>
      <c r="D9834" s="1" t="str">
        <f>"9727E23244"</f>
        <v>9727E23244</v>
      </c>
      <c r="E9834" s="1" t="s">
        <v>10</v>
      </c>
      <c r="F9834" s="1" t="str">
        <f>"10.10.81.82"</f>
        <v>10.10.81.82</v>
      </c>
      <c r="G9834" s="1" t="str">
        <f>"9727E232"</f>
        <v>9727E232</v>
      </c>
      <c r="H9834" s="1" t="str">
        <f>"미성지 18"</f>
        <v>미성지 18</v>
      </c>
      <c r="I9834" s="1" t="s">
        <v>8</v>
      </c>
      <c r="J9834" s="1" t="str">
        <f>"35/35"</f>
        <v>35/35</v>
      </c>
      <c r="K9834" s="1" t="str">
        <f t="shared" si="496"/>
        <v>2026-07-29 13:18:11</v>
      </c>
      <c r="L9834" s="1" t="str">
        <f>"2019-10-14 10:31:09"</f>
        <v>2019-10-14 10:31:09</v>
      </c>
      <c r="M9834" s="1" t="s">
        <v>1</v>
      </c>
      <c r="N9834" s="1" t="s">
        <v>38</v>
      </c>
      <c r="O9834" s="1" t="s">
        <v>46</v>
      </c>
    </row>
    <row r="9835" spans="2:15" x14ac:dyDescent="0.3">
      <c r="B9835" s="1" t="s">
        <v>21</v>
      </c>
      <c r="C9835" s="1" t="str">
        <f t="shared" si="495"/>
        <v>4차</v>
      </c>
      <c r="D9835" s="1" t="str">
        <f>"9727E24144"</f>
        <v>9727E24144</v>
      </c>
      <c r="E9835" s="1" t="s">
        <v>10</v>
      </c>
      <c r="F9835" s="1" t="str">
        <f>"10.10.82.106"</f>
        <v>10.10.82.106</v>
      </c>
      <c r="G9835" s="1" t="str">
        <f>"9727E241"</f>
        <v>9727E241</v>
      </c>
      <c r="H9835" s="1" t="str">
        <f>"미성지 20"</f>
        <v>미성지 20</v>
      </c>
      <c r="I9835" s="1" t="s">
        <v>8</v>
      </c>
      <c r="J9835" s="1" t="str">
        <f>"24/24"</f>
        <v>24/24</v>
      </c>
      <c r="K9835" s="1" t="str">
        <f t="shared" si="496"/>
        <v>2026-07-29 13:18:11</v>
      </c>
      <c r="L9835" s="1" t="str">
        <f>"2019-10-14 10:43:04"</f>
        <v>2019-10-14 10:43:04</v>
      </c>
      <c r="M9835" s="1" t="s">
        <v>1</v>
      </c>
      <c r="N9835" s="1" t="s">
        <v>38</v>
      </c>
      <c r="O9835" s="1" t="s">
        <v>46</v>
      </c>
    </row>
    <row r="9836" spans="2:15" x14ac:dyDescent="0.3">
      <c r="B9836" s="1" t="s">
        <v>21</v>
      </c>
      <c r="C9836" s="1" t="str">
        <f t="shared" si="495"/>
        <v>4차</v>
      </c>
      <c r="D9836" s="1" t="str">
        <f>"9727F17845"</f>
        <v>9727F17845</v>
      </c>
      <c r="E9836" s="1" t="s">
        <v>10</v>
      </c>
      <c r="F9836" s="1" t="str">
        <f>"10.14.6.15"</f>
        <v>10.14.6.15</v>
      </c>
      <c r="G9836" s="1" t="str">
        <f>"9727F178"</f>
        <v>9727F178</v>
      </c>
      <c r="H9836" s="1" t="str">
        <f>"통일로 R3-1"</f>
        <v>통일로 R3-1</v>
      </c>
      <c r="I9836" s="1" t="s">
        <v>17</v>
      </c>
      <c r="J9836" s="1" t="str">
        <f>"20/20"</f>
        <v>20/20</v>
      </c>
      <c r="K9836" s="1" t="str">
        <f t="shared" si="496"/>
        <v>2026-07-29 13:18:11</v>
      </c>
      <c r="L9836" s="1" t="str">
        <f>"2021-06-22 07:17:55"</f>
        <v>2021-06-22 07:17:55</v>
      </c>
      <c r="M9836" s="1" t="s">
        <v>3</v>
      </c>
      <c r="N9836" s="1" t="s">
        <v>38</v>
      </c>
      <c r="O9836" s="1" t="s">
        <v>46</v>
      </c>
    </row>
    <row r="9837" spans="2:15" x14ac:dyDescent="0.3">
      <c r="B9837" s="1" t="s">
        <v>21</v>
      </c>
      <c r="C9837" s="1" t="str">
        <f t="shared" si="495"/>
        <v>4차</v>
      </c>
      <c r="D9837" s="1" t="str">
        <f>"9727F48141"</f>
        <v>9727F48141</v>
      </c>
      <c r="E9837" s="1" t="s">
        <v>10</v>
      </c>
      <c r="F9837" s="1" t="str">
        <f>"10.14.4.177"</f>
        <v>10.14.4.177</v>
      </c>
      <c r="G9837" s="1" t="str">
        <f>"9727F481"</f>
        <v>9727F481</v>
      </c>
      <c r="H9837" s="1" t="str">
        <f>"미미지 4L5"</f>
        <v>미미지 4L5</v>
      </c>
      <c r="I9837" s="1" t="s">
        <v>17</v>
      </c>
      <c r="J9837" s="1" t="str">
        <f>"28/28"</f>
        <v>28/28</v>
      </c>
      <c r="K9837" s="1" t="str">
        <f>"2026-07-29 13:18:13"</f>
        <v>2026-07-29 13:18:13</v>
      </c>
      <c r="L9837" s="1" t="str">
        <f>"2021-08-10 14:13:52"</f>
        <v>2021-08-10 14:13:52</v>
      </c>
      <c r="M9837" s="1" t="s">
        <v>3</v>
      </c>
      <c r="N9837" s="1" t="s">
        <v>38</v>
      </c>
      <c r="O9837" s="1" t="s">
        <v>46</v>
      </c>
    </row>
    <row r="9838" spans="2:15" x14ac:dyDescent="0.3">
      <c r="B9838" s="1" t="s">
        <v>21</v>
      </c>
      <c r="C9838" s="1" t="str">
        <f t="shared" si="495"/>
        <v>4차</v>
      </c>
      <c r="D9838" s="1" t="str">
        <f>"9727F70244"</f>
        <v>9727F70244</v>
      </c>
      <c r="E9838" s="1" t="s">
        <v>10</v>
      </c>
      <c r="F9838" s="1" t="str">
        <f>"10.10.109.66"</f>
        <v>10.10.109.66</v>
      </c>
      <c r="G9838" s="1" t="str">
        <f>"9727F702"</f>
        <v>9727F702</v>
      </c>
      <c r="H9838" s="1" t="str">
        <f>"성서간 9L2"</f>
        <v>성서간 9L2</v>
      </c>
      <c r="I9838" s="1" t="s">
        <v>8</v>
      </c>
      <c r="J9838" s="1" t="str">
        <f>"33/33"</f>
        <v>33/33</v>
      </c>
      <c r="K9838" s="1" t="str">
        <f t="shared" ref="K9838:K9853" si="497">"2026-07-29 13:18:11"</f>
        <v>2026-07-29 13:18:11</v>
      </c>
      <c r="L9838" s="1" t="str">
        <f>"2019-10-29 18:34:59"</f>
        <v>2019-10-29 18:34:59</v>
      </c>
      <c r="M9838" s="1" t="s">
        <v>1</v>
      </c>
      <c r="N9838" s="1" t="s">
        <v>38</v>
      </c>
      <c r="O9838" s="1" t="s">
        <v>46</v>
      </c>
    </row>
    <row r="9839" spans="2:15" x14ac:dyDescent="0.3">
      <c r="B9839" s="1" t="s">
        <v>21</v>
      </c>
      <c r="C9839" s="1" t="str">
        <f t="shared" si="495"/>
        <v>4차</v>
      </c>
      <c r="D9839" s="1" t="str">
        <f>"9727F90244"</f>
        <v>9727F90244</v>
      </c>
      <c r="E9839" s="1" t="s">
        <v>10</v>
      </c>
      <c r="F9839" s="1" t="str">
        <f>"10.10.109.50"</f>
        <v>10.10.109.50</v>
      </c>
      <c r="G9839" s="1" t="str">
        <f>"9727F902"</f>
        <v>9727F902</v>
      </c>
      <c r="H9839" s="1" t="str">
        <f>"성서간 10"</f>
        <v>성서간 10</v>
      </c>
      <c r="I9839" s="1" t="s">
        <v>8</v>
      </c>
      <c r="J9839" s="1" t="str">
        <f>"20/20"</f>
        <v>20/20</v>
      </c>
      <c r="K9839" s="1" t="str">
        <f t="shared" si="497"/>
        <v>2026-07-29 13:18:11</v>
      </c>
      <c r="L9839" s="1" t="str">
        <f>"2019-10-29 18:43:04"</f>
        <v>2019-10-29 18:43:04</v>
      </c>
      <c r="M9839" s="1" t="s">
        <v>1</v>
      </c>
      <c r="N9839" s="1" t="s">
        <v>38</v>
      </c>
      <c r="O9839" s="1" t="s">
        <v>46</v>
      </c>
    </row>
    <row r="9840" spans="2:15" x14ac:dyDescent="0.3">
      <c r="B9840" s="1" t="s">
        <v>21</v>
      </c>
      <c r="C9840" s="1" t="str">
        <f t="shared" si="495"/>
        <v>4차</v>
      </c>
      <c r="D9840" s="1" t="str">
        <f>"9727G08244"</f>
        <v>9727G08244</v>
      </c>
      <c r="E9840" s="1" t="s">
        <v>10</v>
      </c>
      <c r="F9840" s="1" t="str">
        <f>"10.10.85.66"</f>
        <v>10.10.85.66</v>
      </c>
      <c r="G9840" s="1" t="str">
        <f>"9727G082"</f>
        <v>9727G082</v>
      </c>
      <c r="H9840" s="1" t="str">
        <f>"미성지 4L10L1"</f>
        <v>미성지 4L10L1</v>
      </c>
      <c r="I9840" s="1" t="s">
        <v>8</v>
      </c>
      <c r="J9840" s="1" t="str">
        <f>"32/36"</f>
        <v>32/36</v>
      </c>
      <c r="K9840" s="1" t="str">
        <f t="shared" si="497"/>
        <v>2026-07-29 13:18:11</v>
      </c>
      <c r="L9840" s="1" t="str">
        <f>"2019-10-14 10:53:04"</f>
        <v>2019-10-14 10:53:04</v>
      </c>
      <c r="M9840" s="1" t="s">
        <v>1</v>
      </c>
      <c r="N9840" s="1" t="s">
        <v>38</v>
      </c>
      <c r="O9840" s="1" t="s">
        <v>46</v>
      </c>
    </row>
    <row r="9841" spans="2:15" x14ac:dyDescent="0.3">
      <c r="B9841" s="1" t="s">
        <v>21</v>
      </c>
      <c r="C9841" s="1" t="str">
        <f t="shared" si="495"/>
        <v>4차</v>
      </c>
      <c r="D9841" s="1" t="str">
        <f>"9727G15244"</f>
        <v>9727G15244</v>
      </c>
      <c r="E9841" s="1" t="s">
        <v>10</v>
      </c>
      <c r="F9841" s="1" t="str">
        <f>"10.10.136.2"</f>
        <v>10.10.136.2</v>
      </c>
      <c r="G9841" s="1" t="str">
        <f>"9727G152"</f>
        <v>9727G152</v>
      </c>
      <c r="H9841" s="1" t="str">
        <f>"미성지 4L6"</f>
        <v>미성지 4L6</v>
      </c>
      <c r="I9841" s="1" t="s">
        <v>8</v>
      </c>
      <c r="J9841" s="1" t="str">
        <f>"16/16"</f>
        <v>16/16</v>
      </c>
      <c r="K9841" s="1" t="str">
        <f t="shared" si="497"/>
        <v>2026-07-29 13:18:11</v>
      </c>
      <c r="L9841" s="1" t="str">
        <f>"2020-01-10 17:22:57"</f>
        <v>2020-01-10 17:22:57</v>
      </c>
      <c r="M9841" s="1" t="s">
        <v>1</v>
      </c>
      <c r="N9841" s="1" t="s">
        <v>38</v>
      </c>
      <c r="O9841" s="1" t="s">
        <v>46</v>
      </c>
    </row>
    <row r="9842" spans="2:15" x14ac:dyDescent="0.3">
      <c r="B9842" s="1" t="s">
        <v>21</v>
      </c>
      <c r="C9842" s="1" t="str">
        <f t="shared" si="495"/>
        <v>4차</v>
      </c>
      <c r="D9842" s="1" t="str">
        <f>"9727G17144"</f>
        <v>9727G17144</v>
      </c>
      <c r="E9842" s="1" t="s">
        <v>10</v>
      </c>
      <c r="F9842" s="1" t="str">
        <f>"10.10.85.50"</f>
        <v>10.10.85.50</v>
      </c>
      <c r="G9842" s="1" t="str">
        <f>"9727G171"</f>
        <v>9727G171</v>
      </c>
      <c r="H9842" s="1" t="str">
        <f>"미성지 4L9"</f>
        <v>미성지 4L9</v>
      </c>
      <c r="I9842" s="1" t="s">
        <v>8</v>
      </c>
      <c r="J9842" s="1" t="str">
        <f>"34/34"</f>
        <v>34/34</v>
      </c>
      <c r="K9842" s="1" t="str">
        <f t="shared" si="497"/>
        <v>2026-07-29 13:18:11</v>
      </c>
      <c r="L9842" s="1" t="str">
        <f>"2019-10-14 10:37:04"</f>
        <v>2019-10-14 10:37:04</v>
      </c>
      <c r="M9842" s="1" t="s">
        <v>1</v>
      </c>
      <c r="N9842" s="1" t="s">
        <v>38</v>
      </c>
      <c r="O9842" s="1" t="s">
        <v>46</v>
      </c>
    </row>
    <row r="9843" spans="2:15" x14ac:dyDescent="0.3">
      <c r="B9843" s="1" t="s">
        <v>21</v>
      </c>
      <c r="C9843" s="1" t="str">
        <f t="shared" si="495"/>
        <v>4차</v>
      </c>
      <c r="D9843" s="1" t="str">
        <f>"9727G18244"</f>
        <v>9727G18244</v>
      </c>
      <c r="E9843" s="1" t="s">
        <v>10</v>
      </c>
      <c r="F9843" s="1" t="str">
        <f>"10.10.110.82"</f>
        <v>10.10.110.82</v>
      </c>
      <c r="G9843" s="1" t="str">
        <f>"9727G182"</f>
        <v>9727G182</v>
      </c>
      <c r="H9843" s="1" t="str">
        <f>"미성지 4L11"</f>
        <v>미성지 4L11</v>
      </c>
      <c r="I9843" s="1" t="s">
        <v>8</v>
      </c>
      <c r="J9843" s="1" t="str">
        <f>"45/49"</f>
        <v>45/49</v>
      </c>
      <c r="K9843" s="1" t="str">
        <f t="shared" si="497"/>
        <v>2026-07-29 13:18:11</v>
      </c>
      <c r="L9843" s="1" t="str">
        <f>"2019-10-14 13:17:19"</f>
        <v>2019-10-14 13:17:19</v>
      </c>
      <c r="M9843" s="1" t="s">
        <v>1</v>
      </c>
      <c r="N9843" s="1" t="s">
        <v>38</v>
      </c>
      <c r="O9843" s="1" t="s">
        <v>46</v>
      </c>
    </row>
    <row r="9844" spans="2:15" x14ac:dyDescent="0.3">
      <c r="B9844" s="1" t="s">
        <v>21</v>
      </c>
      <c r="C9844" s="1" t="str">
        <f t="shared" si="495"/>
        <v>4차</v>
      </c>
      <c r="D9844" s="1" t="str">
        <f>"9727G19444"</f>
        <v>9727G19444</v>
      </c>
      <c r="E9844" s="1" t="s">
        <v>10</v>
      </c>
      <c r="F9844" s="1" t="str">
        <f>"10.10.84.106"</f>
        <v>10.10.84.106</v>
      </c>
      <c r="G9844" s="1" t="str">
        <f>"9727G194"</f>
        <v>9727G194</v>
      </c>
      <c r="H9844" s="1" t="str">
        <f>"미성지 4L13"</f>
        <v>미성지 4L13</v>
      </c>
      <c r="I9844" s="1" t="s">
        <v>8</v>
      </c>
      <c r="J9844" s="1" t="str">
        <f>"25/25"</f>
        <v>25/25</v>
      </c>
      <c r="K9844" s="1" t="str">
        <f t="shared" si="497"/>
        <v>2026-07-29 13:18:11</v>
      </c>
      <c r="L9844" s="1" t="str">
        <f>"2019-10-14 14:48:05"</f>
        <v>2019-10-14 14:48:05</v>
      </c>
      <c r="M9844" s="1" t="s">
        <v>1</v>
      </c>
      <c r="N9844" s="1" t="s">
        <v>38</v>
      </c>
      <c r="O9844" s="1" t="s">
        <v>46</v>
      </c>
    </row>
    <row r="9845" spans="2:15" x14ac:dyDescent="0.3">
      <c r="B9845" s="1" t="s">
        <v>21</v>
      </c>
      <c r="C9845" s="1" t="str">
        <f t="shared" si="495"/>
        <v>4차</v>
      </c>
      <c r="D9845" s="1" t="str">
        <f>"9727G24144"</f>
        <v>9727G24144</v>
      </c>
      <c r="E9845" s="1" t="s">
        <v>10</v>
      </c>
      <c r="F9845" s="1" t="str">
        <f>"10.10.83.170"</f>
        <v>10.10.83.170</v>
      </c>
      <c r="G9845" s="1" t="str">
        <f>"9727G241"</f>
        <v>9727G241</v>
      </c>
      <c r="H9845" s="1" t="str">
        <f>"미성지 4L3"</f>
        <v>미성지 4L3</v>
      </c>
      <c r="I9845" s="1" t="s">
        <v>8</v>
      </c>
      <c r="J9845" s="1" t="str">
        <f>"46/46"</f>
        <v>46/46</v>
      </c>
      <c r="K9845" s="1" t="str">
        <f t="shared" si="497"/>
        <v>2026-07-29 13:18:11</v>
      </c>
      <c r="L9845" s="1" t="str">
        <f>"2019-10-14 10:34:32"</f>
        <v>2019-10-14 10:34:32</v>
      </c>
      <c r="M9845" s="1" t="s">
        <v>1</v>
      </c>
      <c r="N9845" s="1" t="s">
        <v>38</v>
      </c>
      <c r="O9845" s="1" t="s">
        <v>46</v>
      </c>
    </row>
    <row r="9846" spans="2:15" x14ac:dyDescent="0.3">
      <c r="B9846" s="1" t="s">
        <v>21</v>
      </c>
      <c r="C9846" s="1" t="str">
        <f t="shared" si="495"/>
        <v>4차</v>
      </c>
      <c r="D9846" s="1" t="str">
        <f>"9727G26144"</f>
        <v>9727G26144</v>
      </c>
      <c r="E9846" s="1" t="s">
        <v>10</v>
      </c>
      <c r="F9846" s="1" t="str">
        <f>"10.10.84.226"</f>
        <v>10.10.84.226</v>
      </c>
      <c r="G9846" s="1" t="str">
        <f>"9727G261"</f>
        <v>9727G261</v>
      </c>
      <c r="H9846" s="1" t="str">
        <f>"미성지 4L6R2"</f>
        <v>미성지 4L6R2</v>
      </c>
      <c r="I9846" s="1" t="s">
        <v>8</v>
      </c>
      <c r="J9846" s="1" t="str">
        <f>"14/14"</f>
        <v>14/14</v>
      </c>
      <c r="K9846" s="1" t="str">
        <f t="shared" si="497"/>
        <v>2026-07-29 13:18:11</v>
      </c>
      <c r="L9846" s="1" t="str">
        <f>"2019-10-14 10:42:04"</f>
        <v>2019-10-14 10:42:04</v>
      </c>
      <c r="M9846" s="1" t="s">
        <v>1</v>
      </c>
      <c r="N9846" s="1" t="s">
        <v>38</v>
      </c>
      <c r="O9846" s="1" t="s">
        <v>46</v>
      </c>
    </row>
    <row r="9847" spans="2:15" x14ac:dyDescent="0.3">
      <c r="B9847" s="1" t="s">
        <v>21</v>
      </c>
      <c r="C9847" s="1" t="str">
        <f t="shared" si="495"/>
        <v>4차</v>
      </c>
      <c r="D9847" s="1" t="str">
        <f>"9727G26344"</f>
        <v>9727G26344</v>
      </c>
      <c r="E9847" s="1" t="s">
        <v>10</v>
      </c>
      <c r="F9847" s="1" t="str">
        <f>"10.10.110.146"</f>
        <v>10.10.110.146</v>
      </c>
      <c r="G9847" s="1" t="str">
        <f>"9727G263"</f>
        <v>9727G263</v>
      </c>
      <c r="H9847" s="1" t="str">
        <f>"미성지 4L6R3"</f>
        <v>미성지 4L6R3</v>
      </c>
      <c r="I9847" s="1" t="s">
        <v>8</v>
      </c>
      <c r="J9847" s="1" t="str">
        <f>"12/12"</f>
        <v>12/12</v>
      </c>
      <c r="K9847" s="1" t="str">
        <f t="shared" si="497"/>
        <v>2026-07-29 13:18:11</v>
      </c>
      <c r="L9847" s="1" t="str">
        <f>"2019-10-14 13:23:04"</f>
        <v>2019-10-14 13:23:04</v>
      </c>
      <c r="M9847" s="1" t="s">
        <v>1</v>
      </c>
      <c r="N9847" s="1" t="s">
        <v>38</v>
      </c>
      <c r="O9847" s="1" t="s">
        <v>46</v>
      </c>
    </row>
    <row r="9848" spans="2:15" x14ac:dyDescent="0.3">
      <c r="B9848" s="1" t="s">
        <v>21</v>
      </c>
      <c r="C9848" s="1" t="str">
        <f t="shared" si="495"/>
        <v>4차</v>
      </c>
      <c r="D9848" s="1" t="str">
        <f>"9727G28444"</f>
        <v>9727G28444</v>
      </c>
      <c r="E9848" s="1" t="s">
        <v>10</v>
      </c>
      <c r="F9848" s="1" t="str">
        <f>"10.10.84.58"</f>
        <v>10.10.84.58</v>
      </c>
      <c r="G9848" s="1" t="str">
        <f>"9727G284"</f>
        <v>9727G284</v>
      </c>
      <c r="H9848" s="1" t="str">
        <f>"미성지 4L12"</f>
        <v>미성지 4L12</v>
      </c>
      <c r="I9848" s="1" t="s">
        <v>8</v>
      </c>
      <c r="J9848" s="1" t="str">
        <f>"21/21"</f>
        <v>21/21</v>
      </c>
      <c r="K9848" s="1" t="str">
        <f t="shared" si="497"/>
        <v>2026-07-29 13:18:11</v>
      </c>
      <c r="L9848" s="1" t="str">
        <f>"2019-10-14 10:35:19"</f>
        <v>2019-10-14 10:35:19</v>
      </c>
      <c r="M9848" s="1" t="s">
        <v>1</v>
      </c>
      <c r="N9848" s="1" t="s">
        <v>38</v>
      </c>
      <c r="O9848" s="1" t="s">
        <v>46</v>
      </c>
    </row>
    <row r="9849" spans="2:15" x14ac:dyDescent="0.3">
      <c r="B9849" s="1" t="s">
        <v>21</v>
      </c>
      <c r="C9849" s="1" t="str">
        <f t="shared" si="495"/>
        <v>4차</v>
      </c>
      <c r="D9849" s="1" t="str">
        <f>"9727G34244"</f>
        <v>9727G34244</v>
      </c>
      <c r="E9849" s="1" t="s">
        <v>10</v>
      </c>
      <c r="F9849" s="1" t="str">
        <f>"10.10.95.202"</f>
        <v>10.10.95.202</v>
      </c>
      <c r="G9849" s="1" t="str">
        <f>"9727G342"</f>
        <v>9727G342</v>
      </c>
      <c r="H9849" s="1" t="str">
        <f>"미성지 4L2"</f>
        <v>미성지 4L2</v>
      </c>
      <c r="I9849" s="1" t="s">
        <v>8</v>
      </c>
      <c r="J9849" s="1" t="str">
        <f>"72/72"</f>
        <v>72/72</v>
      </c>
      <c r="K9849" s="1" t="str">
        <f t="shared" si="497"/>
        <v>2026-07-29 13:18:11</v>
      </c>
      <c r="L9849" s="1" t="str">
        <f>"2019-11-14 16:13:05"</f>
        <v>2019-11-14 16:13:05</v>
      </c>
      <c r="M9849" s="1" t="s">
        <v>1</v>
      </c>
      <c r="N9849" s="1" t="s">
        <v>38</v>
      </c>
      <c r="O9849" s="1" t="s">
        <v>46</v>
      </c>
    </row>
    <row r="9850" spans="2:15" x14ac:dyDescent="0.3">
      <c r="B9850" s="1" t="s">
        <v>21</v>
      </c>
      <c r="C9850" s="1" t="str">
        <f t="shared" si="495"/>
        <v>4차</v>
      </c>
      <c r="D9850" s="1" t="str">
        <f>"9727G36144"</f>
        <v>9727G36144</v>
      </c>
      <c r="E9850" s="1" t="s">
        <v>10</v>
      </c>
      <c r="F9850" s="1" t="str">
        <f>"10.10.85.82"</f>
        <v>10.10.85.82</v>
      </c>
      <c r="G9850" s="1" t="str">
        <f>"9727G361"</f>
        <v>9727G361</v>
      </c>
      <c r="H9850" s="1" t="str">
        <f>"미성지 8"</f>
        <v>미성지 8</v>
      </c>
      <c r="I9850" s="1" t="s">
        <v>8</v>
      </c>
      <c r="J9850" s="1" t="str">
        <f>"20/20"</f>
        <v>20/20</v>
      </c>
      <c r="K9850" s="1" t="str">
        <f t="shared" si="497"/>
        <v>2026-07-29 13:18:11</v>
      </c>
      <c r="L9850" s="1" t="str">
        <f>"2019-10-14 10:46:10"</f>
        <v>2019-10-14 10:46:10</v>
      </c>
      <c r="M9850" s="1" t="s">
        <v>1</v>
      </c>
      <c r="N9850" s="1" t="s">
        <v>38</v>
      </c>
      <c r="O9850" s="1" t="s">
        <v>46</v>
      </c>
    </row>
    <row r="9851" spans="2:15" x14ac:dyDescent="0.3">
      <c r="B9851" s="1" t="s">
        <v>21</v>
      </c>
      <c r="C9851" s="1" t="str">
        <f t="shared" si="495"/>
        <v>4차</v>
      </c>
      <c r="D9851" s="1" t="str">
        <f>"9727G37144"</f>
        <v>9727G37144</v>
      </c>
      <c r="E9851" s="1" t="s">
        <v>10</v>
      </c>
      <c r="F9851" s="1" t="str">
        <f>"10.10.87.146"</f>
        <v>10.10.87.146</v>
      </c>
      <c r="G9851" s="1" t="str">
        <f>"9727G371"</f>
        <v>9727G371</v>
      </c>
      <c r="H9851" s="1" t="str">
        <f>"미성지 9"</f>
        <v>미성지 9</v>
      </c>
      <c r="I9851" s="1" t="s">
        <v>8</v>
      </c>
      <c r="J9851" s="1" t="str">
        <f>"47/48"</f>
        <v>47/48</v>
      </c>
      <c r="K9851" s="1" t="str">
        <f t="shared" si="497"/>
        <v>2026-07-29 13:18:11</v>
      </c>
      <c r="L9851" s="1" t="str">
        <f>"2019-10-14 10:53:04"</f>
        <v>2019-10-14 10:53:04</v>
      </c>
      <c r="M9851" s="1" t="s">
        <v>1</v>
      </c>
      <c r="N9851" s="1" t="s">
        <v>38</v>
      </c>
      <c r="O9851" s="1" t="s">
        <v>46</v>
      </c>
    </row>
    <row r="9852" spans="2:15" x14ac:dyDescent="0.3">
      <c r="B9852" s="1" t="s">
        <v>21</v>
      </c>
      <c r="C9852" s="1" t="str">
        <f t="shared" si="495"/>
        <v>4차</v>
      </c>
      <c r="D9852" s="1" t="str">
        <f>"9727G44144"</f>
        <v>9727G44144</v>
      </c>
      <c r="E9852" s="1" t="s">
        <v>10</v>
      </c>
      <c r="F9852" s="1" t="str">
        <f>"10.10.85.74"</f>
        <v>10.10.85.74</v>
      </c>
      <c r="G9852" s="1" t="str">
        <f>"9727G441"</f>
        <v>9727G441</v>
      </c>
      <c r="H9852" s="1" t="str">
        <f>"미성지 5"</f>
        <v>미성지 5</v>
      </c>
      <c r="I9852" s="1" t="s">
        <v>8</v>
      </c>
      <c r="J9852" s="1" t="str">
        <f>"16/16"</f>
        <v>16/16</v>
      </c>
      <c r="K9852" s="1" t="str">
        <f t="shared" si="497"/>
        <v>2026-07-29 13:18:11</v>
      </c>
      <c r="L9852" s="1" t="str">
        <f>"2019-10-14 10:43:04"</f>
        <v>2019-10-14 10:43:04</v>
      </c>
      <c r="M9852" s="1" t="s">
        <v>1</v>
      </c>
      <c r="N9852" s="1" t="s">
        <v>38</v>
      </c>
      <c r="O9852" s="1" t="s">
        <v>46</v>
      </c>
    </row>
    <row r="9853" spans="2:15" x14ac:dyDescent="0.3">
      <c r="B9853" s="1" t="s">
        <v>21</v>
      </c>
      <c r="C9853" s="1" t="str">
        <f t="shared" si="495"/>
        <v>4차</v>
      </c>
      <c r="D9853" s="1" t="str">
        <f>"9727G62145"</f>
        <v>9727G62145</v>
      </c>
      <c r="E9853" s="1" t="s">
        <v>10</v>
      </c>
      <c r="F9853" s="1" t="str">
        <f>"10.14.5.7"</f>
        <v>10.14.5.7</v>
      </c>
      <c r="G9853" s="1" t="str">
        <f>"9727G621"</f>
        <v>9727G621</v>
      </c>
      <c r="H9853" s="1" t="str">
        <f>"백련 2"</f>
        <v>백련 2</v>
      </c>
      <c r="I9853" s="1" t="s">
        <v>17</v>
      </c>
      <c r="J9853" s="1" t="str">
        <f>"5/5"</f>
        <v>5/5</v>
      </c>
      <c r="K9853" s="1" t="str">
        <f t="shared" si="497"/>
        <v>2026-07-29 13:18:11</v>
      </c>
      <c r="L9853" s="1" t="str">
        <f>"2021-06-21 07:57:52"</f>
        <v>2021-06-21 07:57:52</v>
      </c>
      <c r="M9853" s="1" t="s">
        <v>3</v>
      </c>
      <c r="N9853" s="1" t="s">
        <v>38</v>
      </c>
      <c r="O9853" s="1" t="s">
        <v>46</v>
      </c>
    </row>
    <row r="9854" spans="2:15" x14ac:dyDescent="0.3">
      <c r="B9854" s="1" t="s">
        <v>21</v>
      </c>
      <c r="C9854" s="1" t="str">
        <f>"1차"</f>
        <v>1차</v>
      </c>
      <c r="D9854" s="1" t="str">
        <f>"9727H02100"</f>
        <v>9727H02100</v>
      </c>
      <c r="E9854" s="1" t="s">
        <v>14</v>
      </c>
      <c r="F9854" s="1" t="str">
        <f>"10.128.32.185"</f>
        <v>10.128.32.185</v>
      </c>
      <c r="G9854" s="1" t="str">
        <f>"9727H021"</f>
        <v>9727H021</v>
      </c>
      <c r="H9854" s="1" t="str">
        <f>"백련간 14L1L1L7"</f>
        <v>백련간 14L1L1L7</v>
      </c>
      <c r="I9854" s="1" t="s">
        <v>8</v>
      </c>
      <c r="J9854" s="1" t="str">
        <f>"0/0"</f>
        <v>0/0</v>
      </c>
      <c r="K9854" s="1" t="str">
        <f>"2026-07-24 20:03:23"</f>
        <v>2026-07-24 20:03:23</v>
      </c>
      <c r="L9854" s="1" t="str">
        <f>"2014-12-19 13:28:40"</f>
        <v>2014-12-19 13:28:40</v>
      </c>
      <c r="M9854" s="1" t="s">
        <v>45</v>
      </c>
      <c r="N9854" s="1" t="s">
        <v>38</v>
      </c>
      <c r="O9854" s="1" t="s">
        <v>44</v>
      </c>
    </row>
    <row r="9855" spans="2:15" x14ac:dyDescent="0.3">
      <c r="B9855" s="1" t="s">
        <v>21</v>
      </c>
      <c r="C9855" s="1" t="str">
        <f>"4차"</f>
        <v>4차</v>
      </c>
      <c r="D9855" s="1" t="str">
        <f>"9727H44139"</f>
        <v>9727H44139</v>
      </c>
      <c r="E9855" s="1" t="s">
        <v>10</v>
      </c>
      <c r="F9855" s="1" t="str">
        <f>"10.128.34.35"</f>
        <v>10.128.34.35</v>
      </c>
      <c r="G9855" s="1" t="str">
        <f>"9727H441"</f>
        <v>9727H441</v>
      </c>
      <c r="H9855" s="1" t="str">
        <f>"고은간 9R18R13R2"</f>
        <v>고은간 9R18R13R2</v>
      </c>
      <c r="I9855" s="1" t="s">
        <v>8</v>
      </c>
      <c r="J9855" s="1" t="str">
        <f>"10/11"</f>
        <v>10/11</v>
      </c>
      <c r="K9855" s="1" t="str">
        <f>"2026-07-29 13:18:11"</f>
        <v>2026-07-29 13:18:11</v>
      </c>
      <c r="L9855" s="1" t="str">
        <f>"2018-06-11 13:03:57"</f>
        <v>2018-06-11 13:03:57</v>
      </c>
      <c r="M9855" s="1" t="s">
        <v>45</v>
      </c>
      <c r="N9855" s="1" t="s">
        <v>38</v>
      </c>
      <c r="O9855" s="1" t="s">
        <v>46</v>
      </c>
    </row>
    <row r="9856" spans="2:15" x14ac:dyDescent="0.3">
      <c r="B9856" s="1" t="s">
        <v>21</v>
      </c>
      <c r="C9856" s="1" t="str">
        <f>"4차"</f>
        <v>4차</v>
      </c>
      <c r="D9856" s="1" t="str">
        <f>"9727H45245"</f>
        <v>9727H45245</v>
      </c>
      <c r="E9856" s="1" t="s">
        <v>10</v>
      </c>
      <c r="F9856" s="1" t="str">
        <f>"10.14.10.3"</f>
        <v>10.14.10.3</v>
      </c>
      <c r="G9856" s="1" t="str">
        <f>"9727H452"</f>
        <v>9727H452</v>
      </c>
      <c r="H9856" s="1" t="str">
        <f>"홍제 L20"</f>
        <v>홍제 L20</v>
      </c>
      <c r="I9856" s="1" t="s">
        <v>17</v>
      </c>
      <c r="J9856" s="1" t="str">
        <f>"9/9"</f>
        <v>9/9</v>
      </c>
      <c r="K9856" s="1" t="str">
        <f>"2026-07-29 13:18:11"</f>
        <v>2026-07-29 13:18:11</v>
      </c>
      <c r="L9856" s="1" t="str">
        <f>"2021-06-21 08:34:35"</f>
        <v>2021-06-21 08:34:35</v>
      </c>
      <c r="M9856" s="1" t="s">
        <v>3</v>
      </c>
      <c r="N9856" s="1" t="s">
        <v>38</v>
      </c>
      <c r="O9856" s="1" t="s">
        <v>46</v>
      </c>
    </row>
    <row r="9857" spans="2:15" x14ac:dyDescent="0.3">
      <c r="B9857" s="1" t="s">
        <v>21</v>
      </c>
      <c r="C9857" s="1" t="str">
        <f>"4차"</f>
        <v>4차</v>
      </c>
      <c r="D9857" s="1" t="str">
        <f>"9727H47145"</f>
        <v>9727H47145</v>
      </c>
      <c r="E9857" s="1" t="s">
        <v>10</v>
      </c>
      <c r="F9857" s="1" t="str">
        <f>"10.14.4.31"</f>
        <v>10.14.4.31</v>
      </c>
      <c r="G9857" s="1" t="str">
        <f>"9727H471"</f>
        <v>9727H471</v>
      </c>
      <c r="H9857" s="1" t="str">
        <f>"통일로 L2 "</f>
        <v xml:space="preserve">통일로 L2 </v>
      </c>
      <c r="I9857" s="1" t="s">
        <v>17</v>
      </c>
      <c r="J9857" s="1" t="str">
        <f>"20/20"</f>
        <v>20/20</v>
      </c>
      <c r="K9857" s="1" t="str">
        <f>"2026-07-29 13:18:12"</f>
        <v>2026-07-29 13:18:12</v>
      </c>
      <c r="L9857" s="1" t="str">
        <f>"2021-06-23 09:06:48"</f>
        <v>2021-06-23 09:06:48</v>
      </c>
      <c r="M9857" s="1" t="s">
        <v>3</v>
      </c>
      <c r="N9857" s="1" t="s">
        <v>38</v>
      </c>
      <c r="O9857" s="1" t="s">
        <v>46</v>
      </c>
    </row>
    <row r="9858" spans="2:15" x14ac:dyDescent="0.3">
      <c r="B9858" s="1" t="s">
        <v>21</v>
      </c>
      <c r="C9858" s="1" t="str">
        <f>"3차"</f>
        <v>3차</v>
      </c>
      <c r="D9858" s="1" t="str">
        <f>"9727H52139"</f>
        <v>9727H52139</v>
      </c>
      <c r="E9858" s="1" t="s">
        <v>10</v>
      </c>
      <c r="F9858" s="1" t="str">
        <f>"10.128.34.36"</f>
        <v>10.128.34.36</v>
      </c>
      <c r="G9858" s="1" t="str">
        <f>"9727H521"</f>
        <v>9727H521</v>
      </c>
      <c r="H9858" s="1" t="str">
        <f>"고은간 9R18R17"</f>
        <v>고은간 9R18R17</v>
      </c>
      <c r="I9858" s="1" t="s">
        <v>8</v>
      </c>
      <c r="J9858" s="1" t="str">
        <f>"25/25"</f>
        <v>25/25</v>
      </c>
      <c r="K9858" s="1" t="str">
        <f>"2026-07-29 13:18:11"</f>
        <v>2026-07-29 13:18:11</v>
      </c>
      <c r="L9858" s="1" t="str">
        <f>"2018-06-11 13:33:57"</f>
        <v>2018-06-11 13:33:57</v>
      </c>
      <c r="M9858" s="1" t="s">
        <v>45</v>
      </c>
      <c r="N9858" s="1" t="s">
        <v>38</v>
      </c>
      <c r="O9858" s="1" t="s">
        <v>46</v>
      </c>
    </row>
    <row r="9859" spans="2:15" x14ac:dyDescent="0.3">
      <c r="B9859" s="1" t="s">
        <v>21</v>
      </c>
      <c r="C9859" s="1" t="str">
        <f>"4차"</f>
        <v>4차</v>
      </c>
      <c r="D9859" s="1" t="str">
        <f>"9727H52345"</f>
        <v>9727H52345</v>
      </c>
      <c r="E9859" s="1" t="s">
        <v>10</v>
      </c>
      <c r="F9859" s="1" t="str">
        <f>"10.14.11.8"</f>
        <v>10.14.11.8</v>
      </c>
      <c r="G9859" s="1" t="str">
        <f>"9727H523"</f>
        <v>9727H523</v>
      </c>
      <c r="H9859" s="1" t="str">
        <f>"현대 1"</f>
        <v>현대 1</v>
      </c>
      <c r="I9859" s="1" t="s">
        <v>17</v>
      </c>
      <c r="J9859" s="1" t="str">
        <f>"4/7"</f>
        <v>4/7</v>
      </c>
      <c r="K9859" s="1" t="str">
        <f>"2026-07-28 07:18:01"</f>
        <v>2026-07-28 07:18:01</v>
      </c>
      <c r="L9859" s="1" t="str">
        <f>"2021-07-05 13:46:10"</f>
        <v>2021-07-05 13:46:10</v>
      </c>
      <c r="M9859" s="1" t="s">
        <v>3</v>
      </c>
      <c r="N9859" s="1" t="s">
        <v>38</v>
      </c>
      <c r="O9859" s="1" t="s">
        <v>46</v>
      </c>
    </row>
    <row r="9860" spans="2:15" x14ac:dyDescent="0.3">
      <c r="B9860" s="1" t="s">
        <v>21</v>
      </c>
      <c r="C9860" s="1" t="str">
        <f>"4차"</f>
        <v>4차</v>
      </c>
      <c r="D9860" s="1" t="str">
        <f>"9727H53139"</f>
        <v>9727H53139</v>
      </c>
      <c r="E9860" s="1" t="s">
        <v>10</v>
      </c>
      <c r="F9860" s="1" t="str">
        <f>"10.128.34.37"</f>
        <v>10.128.34.37</v>
      </c>
      <c r="G9860" s="1" t="str">
        <f>"9727H531"</f>
        <v>9727H531</v>
      </c>
      <c r="H9860" s="1" t="str">
        <f>"고은간 9R18R13"</f>
        <v>고은간 9R18R13</v>
      </c>
      <c r="I9860" s="1" t="s">
        <v>8</v>
      </c>
      <c r="J9860" s="1" t="str">
        <f>"13/13"</f>
        <v>13/13</v>
      </c>
      <c r="K9860" s="1" t="str">
        <f t="shared" ref="K9860:K9869" si="498">"2026-07-29 13:18:11"</f>
        <v>2026-07-29 13:18:11</v>
      </c>
      <c r="L9860" s="1" t="str">
        <f>"2018-06-11 12:54:12"</f>
        <v>2018-06-11 12:54:12</v>
      </c>
      <c r="M9860" s="1" t="s">
        <v>45</v>
      </c>
      <c r="N9860" s="1" t="s">
        <v>38</v>
      </c>
      <c r="O9860" s="1" t="s">
        <v>46</v>
      </c>
    </row>
    <row r="9861" spans="2:15" x14ac:dyDescent="0.3">
      <c r="B9861" s="1" t="s">
        <v>21</v>
      </c>
      <c r="C9861" s="1" t="str">
        <f>"3차"</f>
        <v>3차</v>
      </c>
      <c r="D9861" s="1" t="str">
        <f>"9727H53339"</f>
        <v>9727H53339</v>
      </c>
      <c r="E9861" s="1" t="s">
        <v>10</v>
      </c>
      <c r="F9861" s="1" t="str">
        <f>"10.128.34.39"</f>
        <v>10.128.34.39</v>
      </c>
      <c r="G9861" s="1" t="str">
        <f>"9727H533"</f>
        <v>9727H533</v>
      </c>
      <c r="H9861" s="1" t="str">
        <f>"고은간 9R18R14"</f>
        <v>고은간 9R18R14</v>
      </c>
      <c r="I9861" s="1" t="s">
        <v>8</v>
      </c>
      <c r="J9861" s="1" t="str">
        <f>"49/50"</f>
        <v>49/50</v>
      </c>
      <c r="K9861" s="1" t="str">
        <f t="shared" si="498"/>
        <v>2026-07-29 13:18:11</v>
      </c>
      <c r="L9861" s="1" t="str">
        <f>"2018-06-11 12:06:12"</f>
        <v>2018-06-11 12:06:12</v>
      </c>
      <c r="M9861" s="1" t="s">
        <v>45</v>
      </c>
      <c r="N9861" s="1" t="s">
        <v>38</v>
      </c>
      <c r="O9861" s="1" t="s">
        <v>46</v>
      </c>
    </row>
    <row r="9862" spans="2:15" x14ac:dyDescent="0.3">
      <c r="B9862" s="1" t="s">
        <v>21</v>
      </c>
      <c r="C9862" s="1" t="str">
        <f>"3차"</f>
        <v>3차</v>
      </c>
      <c r="D9862" s="1" t="str">
        <f>"9727H54339"</f>
        <v>9727H54339</v>
      </c>
      <c r="E9862" s="1" t="s">
        <v>10</v>
      </c>
      <c r="F9862" s="1" t="str">
        <f>"10.128.34.41"</f>
        <v>10.128.34.41</v>
      </c>
      <c r="G9862" s="1" t="str">
        <f>"9727H543"</f>
        <v>9727H543</v>
      </c>
      <c r="H9862" s="1" t="str">
        <f>"고은간 9R18R13R1"</f>
        <v>고은간 9R18R13R1</v>
      </c>
      <c r="I9862" s="1" t="s">
        <v>8</v>
      </c>
      <c r="J9862" s="1" t="str">
        <f>"16/16"</f>
        <v>16/16</v>
      </c>
      <c r="K9862" s="1" t="str">
        <f t="shared" si="498"/>
        <v>2026-07-29 13:18:11</v>
      </c>
      <c r="L9862" s="1" t="str">
        <f>"2018-06-11 13:07:27"</f>
        <v>2018-06-11 13:07:27</v>
      </c>
      <c r="M9862" s="1" t="s">
        <v>45</v>
      </c>
      <c r="N9862" s="1" t="s">
        <v>38</v>
      </c>
      <c r="O9862" s="1" t="s">
        <v>46</v>
      </c>
    </row>
    <row r="9863" spans="2:15" x14ac:dyDescent="0.3">
      <c r="B9863" s="1" t="s">
        <v>21</v>
      </c>
      <c r="C9863" s="1" t="str">
        <f>"4차"</f>
        <v>4차</v>
      </c>
      <c r="D9863" s="1" t="str">
        <f>"9727H62139"</f>
        <v>9727H62139</v>
      </c>
      <c r="E9863" s="1" t="s">
        <v>10</v>
      </c>
      <c r="F9863" s="1" t="str">
        <f>"10.128.34.42"</f>
        <v>10.128.34.42</v>
      </c>
      <c r="G9863" s="1" t="str">
        <f>"9727H621"</f>
        <v>9727H621</v>
      </c>
      <c r="H9863" s="1" t="str">
        <f>"고은간 9R18R10"</f>
        <v>고은간 9R18R10</v>
      </c>
      <c r="I9863" s="1" t="s">
        <v>8</v>
      </c>
      <c r="J9863" s="1" t="str">
        <f>"33/33"</f>
        <v>33/33</v>
      </c>
      <c r="K9863" s="1" t="str">
        <f t="shared" si="498"/>
        <v>2026-07-29 13:18:11</v>
      </c>
      <c r="L9863" s="1" t="str">
        <f>"2025-03-05 15:28:07"</f>
        <v>2025-03-05 15:28:07</v>
      </c>
      <c r="M9863" s="1" t="s">
        <v>45</v>
      </c>
      <c r="N9863" s="1" t="s">
        <v>38</v>
      </c>
      <c r="O9863" s="1" t="s">
        <v>46</v>
      </c>
    </row>
    <row r="9864" spans="2:15" x14ac:dyDescent="0.3">
      <c r="B9864" s="1" t="s">
        <v>21</v>
      </c>
      <c r="C9864" s="1" t="str">
        <f>"4차"</f>
        <v>4차</v>
      </c>
      <c r="D9864" s="1" t="str">
        <f>"9727H62230"</f>
        <v>9727H62230</v>
      </c>
      <c r="E9864" s="1" t="s">
        <v>10</v>
      </c>
      <c r="F9864" s="1" t="str">
        <f>"10.128.34.43"</f>
        <v>10.128.34.43</v>
      </c>
      <c r="G9864" s="1" t="str">
        <f>"9727H622"</f>
        <v>9727H622</v>
      </c>
      <c r="H9864" s="1" t="str">
        <f>"고은간 9R18R14L2"</f>
        <v>고은간 9R18R14L2</v>
      </c>
      <c r="I9864" s="1" t="s">
        <v>8</v>
      </c>
      <c r="J9864" s="1" t="str">
        <f>"32/32"</f>
        <v>32/32</v>
      </c>
      <c r="K9864" s="1" t="str">
        <f t="shared" si="498"/>
        <v>2026-07-29 13:18:11</v>
      </c>
      <c r="L9864" s="1" t="str">
        <f>"2018-06-11 12:53:27"</f>
        <v>2018-06-11 12:53:27</v>
      </c>
      <c r="M9864" s="1" t="s">
        <v>45</v>
      </c>
      <c r="N9864" s="1" t="s">
        <v>38</v>
      </c>
      <c r="O9864" s="1" t="s">
        <v>46</v>
      </c>
    </row>
    <row r="9865" spans="2:15" x14ac:dyDescent="0.3">
      <c r="B9865" s="1" t="s">
        <v>21</v>
      </c>
      <c r="C9865" s="1" t="str">
        <f>"3차"</f>
        <v>3차</v>
      </c>
      <c r="D9865" s="1" t="str">
        <f>"9727H63439"</f>
        <v>9727H63439</v>
      </c>
      <c r="E9865" s="1" t="s">
        <v>10</v>
      </c>
      <c r="F9865" s="1" t="str">
        <f>"10.11.100.242"</f>
        <v>10.11.100.242</v>
      </c>
      <c r="G9865" s="1" t="str">
        <f>"9727H634"</f>
        <v>9727H634</v>
      </c>
      <c r="H9865" s="1" t="str">
        <f>"고은간 9R18R11"</f>
        <v>고은간 9R18R11</v>
      </c>
      <c r="I9865" s="1" t="s">
        <v>8</v>
      </c>
      <c r="J9865" s="1" t="str">
        <f>"28/28"</f>
        <v>28/28</v>
      </c>
      <c r="K9865" s="1" t="str">
        <f t="shared" si="498"/>
        <v>2026-07-29 13:18:11</v>
      </c>
      <c r="L9865" s="1" t="str">
        <f>"2021-02-16 18:05:52"</f>
        <v>2021-02-16 18:05:52</v>
      </c>
      <c r="M9865" s="1" t="s">
        <v>2</v>
      </c>
      <c r="N9865" s="1" t="s">
        <v>38</v>
      </c>
      <c r="O9865" s="1" t="s">
        <v>46</v>
      </c>
    </row>
    <row r="9866" spans="2:15" x14ac:dyDescent="0.3">
      <c r="B9866" s="1" t="s">
        <v>21</v>
      </c>
      <c r="C9866" s="1" t="str">
        <f>"4차"</f>
        <v>4차</v>
      </c>
      <c r="D9866" s="1" t="str">
        <f>"9727H68144"</f>
        <v>9727H68144</v>
      </c>
      <c r="E9866" s="1" t="s">
        <v>10</v>
      </c>
      <c r="F9866" s="1" t="str">
        <f>"10.10.109.122"</f>
        <v>10.10.109.122</v>
      </c>
      <c r="G9866" s="1" t="str">
        <f>"9727H681"</f>
        <v>9727H681</v>
      </c>
      <c r="H9866" s="1" t="str">
        <f>"성서간 3"</f>
        <v>성서간 3</v>
      </c>
      <c r="I9866" s="1" t="s">
        <v>8</v>
      </c>
      <c r="J9866" s="1" t="str">
        <f>"8/8"</f>
        <v>8/8</v>
      </c>
      <c r="K9866" s="1" t="str">
        <f t="shared" si="498"/>
        <v>2026-07-29 13:18:11</v>
      </c>
      <c r="L9866" s="1" t="str">
        <f>"2019-10-29 18:42:22"</f>
        <v>2019-10-29 18:42:22</v>
      </c>
      <c r="M9866" s="1" t="s">
        <v>1</v>
      </c>
      <c r="N9866" s="1" t="s">
        <v>38</v>
      </c>
      <c r="O9866" s="1" t="s">
        <v>46</v>
      </c>
    </row>
    <row r="9867" spans="2:15" x14ac:dyDescent="0.3">
      <c r="B9867" s="1" t="s">
        <v>21</v>
      </c>
      <c r="C9867" s="1" t="str">
        <f>"3차"</f>
        <v>3차</v>
      </c>
      <c r="D9867" s="1" t="str">
        <f>"9727H71139"</f>
        <v>9727H71139</v>
      </c>
      <c r="E9867" s="1" t="s">
        <v>10</v>
      </c>
      <c r="F9867" s="1" t="str">
        <f>"10.128.117.51"</f>
        <v>10.128.117.51</v>
      </c>
      <c r="G9867" s="1" t="str">
        <f>"9727H711"</f>
        <v>9727H711</v>
      </c>
      <c r="H9867" s="1" t="str">
        <f>"고은간 9R18R9"</f>
        <v>고은간 9R18R9</v>
      </c>
      <c r="I9867" s="1" t="s">
        <v>8</v>
      </c>
      <c r="J9867" s="1" t="str">
        <f>"96/96"</f>
        <v>96/96</v>
      </c>
      <c r="K9867" s="1" t="str">
        <f t="shared" si="498"/>
        <v>2026-07-29 13:18:11</v>
      </c>
      <c r="L9867" s="1" t="str">
        <f>"2018-06-11 14:04:12"</f>
        <v>2018-06-11 14:04:12</v>
      </c>
      <c r="M9867" s="1" t="s">
        <v>45</v>
      </c>
      <c r="N9867" s="1" t="s">
        <v>38</v>
      </c>
      <c r="O9867" s="1" t="s">
        <v>46</v>
      </c>
    </row>
    <row r="9868" spans="2:15" x14ac:dyDescent="0.3">
      <c r="B9868" s="1" t="s">
        <v>21</v>
      </c>
      <c r="C9868" s="1" t="str">
        <f>"3차"</f>
        <v>3차</v>
      </c>
      <c r="D9868" s="1" t="str">
        <f>"9727H71331"</f>
        <v>9727H71331</v>
      </c>
      <c r="E9868" s="1" t="s">
        <v>10</v>
      </c>
      <c r="F9868" s="1" t="str">
        <f>"10.128.34.47"</f>
        <v>10.128.34.47</v>
      </c>
      <c r="G9868" s="1" t="str">
        <f>"9727H713"</f>
        <v>9727H713</v>
      </c>
      <c r="H9868" s="1" t="str">
        <f>"고은간 9R18R14L3"</f>
        <v>고은간 9R18R14L3</v>
      </c>
      <c r="I9868" s="1" t="s">
        <v>8</v>
      </c>
      <c r="J9868" s="1" t="str">
        <f>"29/29"</f>
        <v>29/29</v>
      </c>
      <c r="K9868" s="1" t="str">
        <f t="shared" si="498"/>
        <v>2026-07-29 13:18:11</v>
      </c>
      <c r="L9868" s="1" t="str">
        <f>"2018-06-11 12:54:27"</f>
        <v>2018-06-11 12:54:27</v>
      </c>
      <c r="M9868" s="1" t="s">
        <v>45</v>
      </c>
      <c r="N9868" s="1" t="s">
        <v>38</v>
      </c>
      <c r="O9868" s="1" t="s">
        <v>46</v>
      </c>
    </row>
    <row r="9869" spans="2:15" x14ac:dyDescent="0.3">
      <c r="B9869" s="1" t="s">
        <v>21</v>
      </c>
      <c r="C9869" s="1" t="str">
        <f t="shared" ref="C9869:C9876" si="499">"4차"</f>
        <v>4차</v>
      </c>
      <c r="D9869" s="1" t="str">
        <f>"9727H71439"</f>
        <v>9727H71439</v>
      </c>
      <c r="E9869" s="1" t="s">
        <v>10</v>
      </c>
      <c r="F9869" s="1" t="str">
        <f>"10.128.34.48"</f>
        <v>10.128.34.48</v>
      </c>
      <c r="G9869" s="1" t="str">
        <f>"9727H714"</f>
        <v>9727H714</v>
      </c>
      <c r="H9869" s="1" t="str">
        <f>"고은간 9R17R13L4"</f>
        <v>고은간 9R17R13L4</v>
      </c>
      <c r="I9869" s="1" t="s">
        <v>8</v>
      </c>
      <c r="J9869" s="1" t="str">
        <f>"36/42"</f>
        <v>36/42</v>
      </c>
      <c r="K9869" s="1" t="str">
        <f t="shared" si="498"/>
        <v>2026-07-29 13:18:11</v>
      </c>
      <c r="L9869" s="1" t="str">
        <f>"2018-06-11 12:54:13"</f>
        <v>2018-06-11 12:54:13</v>
      </c>
      <c r="M9869" s="1" t="s">
        <v>45</v>
      </c>
      <c r="N9869" s="1" t="s">
        <v>38</v>
      </c>
      <c r="O9869" s="1" t="s">
        <v>46</v>
      </c>
    </row>
    <row r="9870" spans="2:15" x14ac:dyDescent="0.3">
      <c r="B9870" s="1" t="s">
        <v>21</v>
      </c>
      <c r="C9870" s="1" t="str">
        <f t="shared" si="499"/>
        <v>4차</v>
      </c>
      <c r="D9870" s="1" t="str">
        <f>"9727H73339"</f>
        <v>9727H73339</v>
      </c>
      <c r="E9870" s="1" t="s">
        <v>10</v>
      </c>
      <c r="F9870" s="1" t="str">
        <f>"10.12.133.182"</f>
        <v>10.12.133.182</v>
      </c>
      <c r="G9870" s="1" t="str">
        <f>"9727H733"</f>
        <v>9727H733</v>
      </c>
      <c r="H9870" s="1" t="str">
        <f>"홍제 L19"</f>
        <v>홍제 L19</v>
      </c>
      <c r="I9870" s="1" t="s">
        <v>17</v>
      </c>
      <c r="J9870" s="1" t="str">
        <f>"10/11"</f>
        <v>10/11</v>
      </c>
      <c r="K9870" s="1" t="str">
        <f>"2026-07-29 13:18:12"</f>
        <v>2026-07-29 13:18:12</v>
      </c>
      <c r="L9870" s="1" t="str">
        <f>"2018-06-25 11:10:21"</f>
        <v>2018-06-25 11:10:21</v>
      </c>
      <c r="M9870" s="1" t="s">
        <v>0</v>
      </c>
      <c r="N9870" s="1" t="s">
        <v>38</v>
      </c>
      <c r="O9870" s="1" t="s">
        <v>46</v>
      </c>
    </row>
    <row r="9871" spans="2:15" x14ac:dyDescent="0.3">
      <c r="B9871" s="1" t="s">
        <v>21</v>
      </c>
      <c r="C9871" s="1" t="str">
        <f t="shared" si="499"/>
        <v>4차</v>
      </c>
      <c r="D9871" s="1" t="str">
        <f>"9727H74239"</f>
        <v>9727H74239</v>
      </c>
      <c r="E9871" s="1" t="s">
        <v>10</v>
      </c>
      <c r="F9871" s="1" t="str">
        <f>"10.12.133.9"</f>
        <v>10.12.133.9</v>
      </c>
      <c r="G9871" s="1" t="str">
        <f>"9727H742"</f>
        <v>9727H742</v>
      </c>
      <c r="H9871" s="1" t="str">
        <f>"홍제 R21-1"</f>
        <v>홍제 R21-1</v>
      </c>
      <c r="I9871" s="1" t="s">
        <v>17</v>
      </c>
      <c r="J9871" s="1" t="str">
        <f>"4/4"</f>
        <v>4/4</v>
      </c>
      <c r="K9871" s="1" t="str">
        <f>"2026-07-29 13:18:12"</f>
        <v>2026-07-29 13:18:12</v>
      </c>
      <c r="L9871" s="1" t="str">
        <f>"2018-06-22 08:32:11"</f>
        <v>2018-06-22 08:32:11</v>
      </c>
      <c r="M9871" s="1" t="s">
        <v>0</v>
      </c>
      <c r="N9871" s="1" t="s">
        <v>38</v>
      </c>
      <c r="O9871" s="1" t="s">
        <v>46</v>
      </c>
    </row>
    <row r="9872" spans="2:15" x14ac:dyDescent="0.3">
      <c r="B9872" s="1" t="s">
        <v>21</v>
      </c>
      <c r="C9872" s="1" t="str">
        <f t="shared" si="499"/>
        <v>4차</v>
      </c>
      <c r="D9872" s="1" t="str">
        <f>"9727H74839"</f>
        <v>9727H74839</v>
      </c>
      <c r="E9872" s="1" t="s">
        <v>14</v>
      </c>
      <c r="F9872" s="1" t="str">
        <f>"10.12.133.177"</f>
        <v>10.12.133.177</v>
      </c>
      <c r="G9872" s="1" t="str">
        <f>"9727H748"</f>
        <v>9727H748</v>
      </c>
      <c r="H9872" s="1" t="str">
        <f>"홍제 R23"</f>
        <v>홍제 R23</v>
      </c>
      <c r="I9872" s="1" t="s">
        <v>17</v>
      </c>
      <c r="J9872" s="1" t="str">
        <f>"0/0"</f>
        <v>0/0</v>
      </c>
      <c r="K9872" s="1" t="str">
        <f>"2026-07-28 13:18:11"</f>
        <v>2026-07-28 13:18:11</v>
      </c>
      <c r="L9872" s="1" t="str">
        <f>"2018-06-22 08:52:40"</f>
        <v>2018-06-22 08:52:40</v>
      </c>
      <c r="M9872" s="1" t="s">
        <v>0</v>
      </c>
      <c r="N9872" s="1" t="s">
        <v>39</v>
      </c>
      <c r="O9872" s="1" t="s">
        <v>46</v>
      </c>
    </row>
    <row r="9873" spans="2:15" x14ac:dyDescent="0.3">
      <c r="B9873" s="1" t="s">
        <v>21</v>
      </c>
      <c r="C9873" s="1" t="str">
        <f t="shared" si="499"/>
        <v>4차</v>
      </c>
      <c r="D9873" s="1" t="str">
        <f>"9727H76339"</f>
        <v>9727H76339</v>
      </c>
      <c r="E9873" s="1" t="s">
        <v>10</v>
      </c>
      <c r="F9873" s="1" t="str">
        <f>"10.128.75.68"</f>
        <v>10.128.75.68</v>
      </c>
      <c r="G9873" s="1" t="str">
        <f>"9727H763"</f>
        <v>9727H763</v>
      </c>
      <c r="H9873" s="1" t="str">
        <f>"문화간 17L15"</f>
        <v>문화간 17L15</v>
      </c>
      <c r="I9873" s="1" t="s">
        <v>8</v>
      </c>
      <c r="J9873" s="1" t="str">
        <f>"11/14"</f>
        <v>11/14</v>
      </c>
      <c r="K9873" s="1" t="str">
        <f>"2026-07-29 13:18:11"</f>
        <v>2026-07-29 13:18:11</v>
      </c>
      <c r="L9873" s="1" t="str">
        <f>"2018-05-24 01:06:20"</f>
        <v>2018-05-24 01:06:20</v>
      </c>
      <c r="M9873" s="1" t="s">
        <v>45</v>
      </c>
      <c r="N9873" s="1" t="s">
        <v>38</v>
      </c>
      <c r="O9873" s="1" t="s">
        <v>46</v>
      </c>
    </row>
    <row r="9874" spans="2:15" x14ac:dyDescent="0.3">
      <c r="B9874" s="1" t="s">
        <v>21</v>
      </c>
      <c r="C9874" s="1" t="str">
        <f t="shared" si="499"/>
        <v>4차</v>
      </c>
      <c r="D9874" s="1" t="str">
        <f>"9727H76439"</f>
        <v>9727H76439</v>
      </c>
      <c r="E9874" s="1" t="s">
        <v>10</v>
      </c>
      <c r="F9874" s="1" t="str">
        <f>"10.128.75.67"</f>
        <v>10.128.75.67</v>
      </c>
      <c r="G9874" s="1" t="str">
        <f>"9727H764"</f>
        <v>9727H764</v>
      </c>
      <c r="H9874" s="1" t="str">
        <f>"문화간 17L16"</f>
        <v>문화간 17L16</v>
      </c>
      <c r="I9874" s="1" t="s">
        <v>8</v>
      </c>
      <c r="J9874" s="1" t="str">
        <f>"10/10"</f>
        <v>10/10</v>
      </c>
      <c r="K9874" s="1" t="str">
        <f>"2026-07-29 13:18:11"</f>
        <v>2026-07-29 13:18:11</v>
      </c>
      <c r="L9874" s="1" t="str">
        <f>"2018-05-24 01:18:20"</f>
        <v>2018-05-24 01:18:20</v>
      </c>
      <c r="M9874" s="1" t="s">
        <v>45</v>
      </c>
      <c r="N9874" s="1" t="s">
        <v>38</v>
      </c>
      <c r="O9874" s="1" t="s">
        <v>46</v>
      </c>
    </row>
    <row r="9875" spans="2:15" x14ac:dyDescent="0.3">
      <c r="B9875" s="1" t="s">
        <v>21</v>
      </c>
      <c r="C9875" s="1" t="str">
        <f t="shared" si="499"/>
        <v>4차</v>
      </c>
      <c r="D9875" s="1" t="str">
        <f>"9727H78344"</f>
        <v>9727H78344</v>
      </c>
      <c r="E9875" s="1" t="s">
        <v>10</v>
      </c>
      <c r="F9875" s="1" t="str">
        <f>"10.10.109.90"</f>
        <v>10.10.109.90</v>
      </c>
      <c r="G9875" s="1" t="str">
        <f>"9727H783"</f>
        <v>9727H783</v>
      </c>
      <c r="H9875" s="1" t="str">
        <f>"성서간 4R1"</f>
        <v>성서간 4R1</v>
      </c>
      <c r="I9875" s="1" t="s">
        <v>8</v>
      </c>
      <c r="J9875" s="1" t="str">
        <f>"19/19"</f>
        <v>19/19</v>
      </c>
      <c r="K9875" s="1" t="str">
        <f>"2026-07-29 13:18:11"</f>
        <v>2026-07-29 13:18:11</v>
      </c>
      <c r="L9875" s="1" t="str">
        <f>"2019-10-29 18:41:58"</f>
        <v>2019-10-29 18:41:58</v>
      </c>
      <c r="M9875" s="1" t="s">
        <v>1</v>
      </c>
      <c r="N9875" s="1" t="s">
        <v>38</v>
      </c>
      <c r="O9875" s="1" t="s">
        <v>46</v>
      </c>
    </row>
    <row r="9876" spans="2:15" x14ac:dyDescent="0.3">
      <c r="B9876" s="1" t="s">
        <v>21</v>
      </c>
      <c r="C9876" s="1" t="str">
        <f t="shared" si="499"/>
        <v>4차</v>
      </c>
      <c r="D9876" s="1" t="str">
        <f>"9727H80139"</f>
        <v>9727H80139</v>
      </c>
      <c r="E9876" s="1" t="s">
        <v>10</v>
      </c>
      <c r="F9876" s="1" t="str">
        <f>"10.128.117.50"</f>
        <v>10.128.117.50</v>
      </c>
      <c r="G9876" s="1" t="str">
        <f>"9727H801"</f>
        <v>9727H801</v>
      </c>
      <c r="H9876" s="1" t="str">
        <f>"고은간 9R18R6"</f>
        <v>고은간 9R18R6</v>
      </c>
      <c r="I9876" s="1" t="s">
        <v>8</v>
      </c>
      <c r="J9876" s="1" t="str">
        <f>"32/32"</f>
        <v>32/32</v>
      </c>
      <c r="K9876" s="1" t="str">
        <f>"2026-07-29 13:18:11"</f>
        <v>2026-07-29 13:18:11</v>
      </c>
      <c r="L9876" s="1" t="str">
        <f>"2025-06-19 11:15:07"</f>
        <v>2025-06-19 11:15:07</v>
      </c>
      <c r="M9876" s="1" t="s">
        <v>45</v>
      </c>
      <c r="N9876" s="1" t="s">
        <v>38</v>
      </c>
      <c r="O9876" s="1" t="s">
        <v>46</v>
      </c>
    </row>
    <row r="9877" spans="2:15" x14ac:dyDescent="0.3">
      <c r="B9877" s="1" t="s">
        <v>21</v>
      </c>
      <c r="C9877" s="1" t="str">
        <f>"3차"</f>
        <v>3차</v>
      </c>
      <c r="D9877" s="1" t="str">
        <f>"9727H80339"</f>
        <v>9727H80339</v>
      </c>
      <c r="E9877" s="1" t="s">
        <v>10</v>
      </c>
      <c r="F9877" s="1" t="str">
        <f>"10.128.34.53"</f>
        <v>10.128.34.53</v>
      </c>
      <c r="G9877" s="1" t="str">
        <f>"9727H803"</f>
        <v>9727H803</v>
      </c>
      <c r="H9877" s="1" t="str">
        <f>"고은간 9R18R7"</f>
        <v>고은간 9R18R7</v>
      </c>
      <c r="I9877" s="1" t="s">
        <v>8</v>
      </c>
      <c r="J9877" s="1" t="str">
        <f>"11/21"</f>
        <v>11/21</v>
      </c>
      <c r="K9877" s="1" t="str">
        <f>"2026-07-29 13:18:11"</f>
        <v>2026-07-29 13:18:11</v>
      </c>
      <c r="L9877" s="1" t="str">
        <f>"2018-06-11 13:04:12"</f>
        <v>2018-06-11 13:04:12</v>
      </c>
      <c r="M9877" s="1" t="s">
        <v>45</v>
      </c>
      <c r="N9877" s="1" t="s">
        <v>38</v>
      </c>
      <c r="O9877" s="1" t="s">
        <v>46</v>
      </c>
    </row>
    <row r="9878" spans="2:15" x14ac:dyDescent="0.3">
      <c r="B9878" s="1" t="s">
        <v>21</v>
      </c>
      <c r="C9878" s="1" t="str">
        <f>"4차"</f>
        <v>4차</v>
      </c>
      <c r="D9878" s="1" t="str">
        <f>"9727H82139"</f>
        <v>9727H82139</v>
      </c>
      <c r="E9878" s="1" t="s">
        <v>10</v>
      </c>
      <c r="F9878" s="1" t="str">
        <f>"10.12.131.71"</f>
        <v>10.12.131.71</v>
      </c>
      <c r="G9878" s="1" t="str">
        <f>"9727H821"</f>
        <v>9727H821</v>
      </c>
      <c r="H9878" s="1" t="str">
        <f>"홍제 R20"</f>
        <v>홍제 R20</v>
      </c>
      <c r="I9878" s="1" t="s">
        <v>17</v>
      </c>
      <c r="J9878" s="1" t="str">
        <f>"2/2"</f>
        <v>2/2</v>
      </c>
      <c r="K9878" s="1" t="str">
        <f>"2026-07-29 13:18:10"</f>
        <v>2026-07-29 13:18:10</v>
      </c>
      <c r="L9878" s="1" t="str">
        <f>"2018-06-22 08:18:24"</f>
        <v>2018-06-22 08:18:24</v>
      </c>
      <c r="M9878" s="1" t="s">
        <v>0</v>
      </c>
      <c r="N9878" s="1" t="s">
        <v>38</v>
      </c>
      <c r="O9878" s="1" t="s">
        <v>46</v>
      </c>
    </row>
    <row r="9879" spans="2:15" x14ac:dyDescent="0.3">
      <c r="B9879" s="1" t="s">
        <v>21</v>
      </c>
      <c r="C9879" s="1" t="str">
        <f>"4차"</f>
        <v>4차</v>
      </c>
      <c r="D9879" s="1" t="str">
        <f>"9727H84139"</f>
        <v>9727H84139</v>
      </c>
      <c r="E9879" s="1" t="s">
        <v>10</v>
      </c>
      <c r="F9879" s="1" t="str">
        <f>"10.128.75.69"</f>
        <v>10.128.75.69</v>
      </c>
      <c r="G9879" s="1" t="str">
        <f>"9727H841"</f>
        <v>9727H841</v>
      </c>
      <c r="H9879" s="1" t="str">
        <f>"문화간 17L10L10L1"</f>
        <v>문화간 17L10L10L1</v>
      </c>
      <c r="I9879" s="1" t="s">
        <v>8</v>
      </c>
      <c r="J9879" s="1" t="str">
        <f>"16/16"</f>
        <v>16/16</v>
      </c>
      <c r="K9879" s="1" t="str">
        <f>"2026-07-29 13:18:11"</f>
        <v>2026-07-29 13:18:11</v>
      </c>
      <c r="L9879" s="1" t="str">
        <f>"2018-05-24 01:37:36"</f>
        <v>2018-05-24 01:37:36</v>
      </c>
      <c r="M9879" s="1" t="s">
        <v>45</v>
      </c>
      <c r="N9879" s="1" t="s">
        <v>38</v>
      </c>
      <c r="O9879" s="1" t="s">
        <v>46</v>
      </c>
    </row>
    <row r="9880" spans="2:15" x14ac:dyDescent="0.3">
      <c r="B9880" s="1" t="s">
        <v>21</v>
      </c>
      <c r="C9880" s="1" t="str">
        <f>"3차"</f>
        <v>3차</v>
      </c>
      <c r="D9880" s="1" t="str">
        <f>"9727H85139"</f>
        <v>9727H85139</v>
      </c>
      <c r="E9880" s="1" t="s">
        <v>10</v>
      </c>
      <c r="F9880" s="1" t="str">
        <f>"10.128.34.55"</f>
        <v>10.128.34.55</v>
      </c>
      <c r="G9880" s="1" t="str">
        <f>"9727H851"</f>
        <v>9727H851</v>
      </c>
      <c r="H9880" s="1" t="str">
        <f>"문화간 17L10L11L1"</f>
        <v>문화간 17L10L11L1</v>
      </c>
      <c r="I9880" s="1" t="s">
        <v>8</v>
      </c>
      <c r="J9880" s="1" t="str">
        <f>"15/15"</f>
        <v>15/15</v>
      </c>
      <c r="K9880" s="1" t="str">
        <f>"2026-07-29 13:18:11"</f>
        <v>2026-07-29 13:18:11</v>
      </c>
      <c r="L9880" s="1" t="str">
        <f>"2018-05-24 01:17:21"</f>
        <v>2018-05-24 01:17:21</v>
      </c>
      <c r="M9880" s="1" t="s">
        <v>45</v>
      </c>
      <c r="N9880" s="1" t="s">
        <v>38</v>
      </c>
      <c r="O9880" s="1" t="s">
        <v>46</v>
      </c>
    </row>
    <row r="9881" spans="2:15" x14ac:dyDescent="0.3">
      <c r="B9881" s="1" t="s">
        <v>21</v>
      </c>
      <c r="C9881" s="1" t="str">
        <f>"4차"</f>
        <v>4차</v>
      </c>
      <c r="D9881" s="1" t="str">
        <f>"9727H88144"</f>
        <v>9727H88144</v>
      </c>
      <c r="E9881" s="1" t="s">
        <v>10</v>
      </c>
      <c r="F9881" s="1" t="str">
        <f>"10.10.66.2"</f>
        <v>10.10.66.2</v>
      </c>
      <c r="G9881" s="1" t="str">
        <f>"9727H881"</f>
        <v>9727H881</v>
      </c>
      <c r="H9881" s="1" t="str">
        <f>"성서간 7"</f>
        <v>성서간 7</v>
      </c>
      <c r="I9881" s="1" t="s">
        <v>8</v>
      </c>
      <c r="J9881" s="1" t="str">
        <f>"49/49"</f>
        <v>49/49</v>
      </c>
      <c r="K9881" s="1" t="str">
        <f>"2026-07-29 13:18:11"</f>
        <v>2026-07-29 13:18:11</v>
      </c>
      <c r="L9881" s="1" t="str">
        <f>"2019-10-29 18:33:04"</f>
        <v>2019-10-29 18:33:04</v>
      </c>
      <c r="M9881" s="1" t="s">
        <v>1</v>
      </c>
      <c r="N9881" s="1" t="s">
        <v>38</v>
      </c>
      <c r="O9881" s="1" t="s">
        <v>46</v>
      </c>
    </row>
    <row r="9882" spans="2:15" x14ac:dyDescent="0.3">
      <c r="B9882" s="1" t="s">
        <v>21</v>
      </c>
      <c r="C9882" s="1" t="str">
        <f>"4차"</f>
        <v>4차</v>
      </c>
      <c r="D9882" s="1" t="str">
        <f>"9727H89244"</f>
        <v>9727H89244</v>
      </c>
      <c r="E9882" s="1" t="s">
        <v>10</v>
      </c>
      <c r="F9882" s="1" t="str">
        <f>"10.10.66.10"</f>
        <v>10.10.66.10</v>
      </c>
      <c r="G9882" s="1" t="str">
        <f>"9727H892"</f>
        <v>9727H892</v>
      </c>
      <c r="H9882" s="1" t="str">
        <f>"성서간 8"</f>
        <v>성서간 8</v>
      </c>
      <c r="I9882" s="1" t="s">
        <v>8</v>
      </c>
      <c r="J9882" s="1" t="str">
        <f>"15/15"</f>
        <v>15/15</v>
      </c>
      <c r="K9882" s="1" t="str">
        <f>"2026-07-29 13:18:11"</f>
        <v>2026-07-29 13:18:11</v>
      </c>
      <c r="L9882" s="1" t="str">
        <f>"2019-10-29 18:37:46"</f>
        <v>2019-10-29 18:37:46</v>
      </c>
      <c r="M9882" s="1" t="s">
        <v>1</v>
      </c>
      <c r="N9882" s="1" t="s">
        <v>38</v>
      </c>
      <c r="O9882" s="1" t="s">
        <v>46</v>
      </c>
    </row>
    <row r="9883" spans="2:15" x14ac:dyDescent="0.3">
      <c r="B9883" s="1" t="s">
        <v>21</v>
      </c>
      <c r="C9883" s="1" t="str">
        <f>"4차"</f>
        <v>4차</v>
      </c>
      <c r="D9883" s="1" t="str">
        <f>"9727H90139"</f>
        <v>9727H90139</v>
      </c>
      <c r="E9883" s="1" t="s">
        <v>10</v>
      </c>
      <c r="F9883" s="1" t="str">
        <f>"10.128.100.210"</f>
        <v>10.128.100.210</v>
      </c>
      <c r="G9883" s="1" t="str">
        <f>"9727H901"</f>
        <v>9727H901</v>
      </c>
      <c r="H9883" s="1" t="str">
        <f>"고은간 9R18R5"</f>
        <v>고은간 9R18R5</v>
      </c>
      <c r="I9883" s="1" t="s">
        <v>8</v>
      </c>
      <c r="J9883" s="1" t="str">
        <f>"14/14"</f>
        <v>14/14</v>
      </c>
      <c r="K9883" s="1" t="str">
        <f>"2026-07-29 13:18:11"</f>
        <v>2026-07-29 13:18:11</v>
      </c>
      <c r="L9883" s="1" t="str">
        <f>"2018-06-11 17:14:30"</f>
        <v>2018-06-11 17:14:30</v>
      </c>
      <c r="M9883" s="1" t="s">
        <v>45</v>
      </c>
      <c r="N9883" s="1" t="s">
        <v>38</v>
      </c>
      <c r="O9883" s="1" t="s">
        <v>46</v>
      </c>
    </row>
    <row r="9884" spans="2:15" x14ac:dyDescent="0.3">
      <c r="B9884" s="1" t="s">
        <v>21</v>
      </c>
      <c r="C9884" s="1" t="str">
        <f>"4차"</f>
        <v>4차</v>
      </c>
      <c r="D9884" s="1" t="str">
        <f>"9727H90439"</f>
        <v>9727H90439</v>
      </c>
      <c r="E9884" s="1" t="s">
        <v>10</v>
      </c>
      <c r="F9884" s="1" t="str">
        <f>"10.12.133.179"</f>
        <v>10.12.133.179</v>
      </c>
      <c r="G9884" s="1" t="str">
        <f>"9727H904"</f>
        <v>9727H904</v>
      </c>
      <c r="H9884" s="1" t="str">
        <f>"홍제 L17"</f>
        <v>홍제 L17</v>
      </c>
      <c r="I9884" s="1" t="s">
        <v>17</v>
      </c>
      <c r="J9884" s="1" t="str">
        <f>"1/1"</f>
        <v>1/1</v>
      </c>
      <c r="K9884" s="1" t="str">
        <f>"2026-07-29 13:18:13"</f>
        <v>2026-07-29 13:18:13</v>
      </c>
      <c r="L9884" s="1" t="str">
        <f>"2018-06-25 13:36:53"</f>
        <v>2018-06-25 13:36:53</v>
      </c>
      <c r="M9884" s="1" t="s">
        <v>0</v>
      </c>
      <c r="N9884" s="1" t="s">
        <v>38</v>
      </c>
      <c r="O9884" s="1" t="s">
        <v>46</v>
      </c>
    </row>
    <row r="9885" spans="2:15" x14ac:dyDescent="0.3">
      <c r="B9885" s="1" t="s">
        <v>21</v>
      </c>
      <c r="C9885" s="1" t="str">
        <f>"3차"</f>
        <v>3차</v>
      </c>
      <c r="D9885" s="1" t="str">
        <f>"9727H94139"</f>
        <v>9727H94139</v>
      </c>
      <c r="E9885" s="1" t="s">
        <v>10</v>
      </c>
      <c r="F9885" s="1" t="str">
        <f>"10.128.75.70"</f>
        <v>10.128.75.70</v>
      </c>
      <c r="G9885" s="1" t="str">
        <f>"9727H941"</f>
        <v>9727H941</v>
      </c>
      <c r="H9885" s="1" t="str">
        <f>"문화간 17L10L12"</f>
        <v>문화간 17L10L12</v>
      </c>
      <c r="I9885" s="1" t="s">
        <v>8</v>
      </c>
      <c r="J9885" s="1" t="str">
        <f>"40/42"</f>
        <v>40/42</v>
      </c>
      <c r="K9885" s="1" t="str">
        <f>"2026-07-29 13:18:12"</f>
        <v>2026-07-29 13:18:12</v>
      </c>
      <c r="L9885" s="1" t="str">
        <f>"2018-05-21 10:43:19"</f>
        <v>2018-05-21 10:43:19</v>
      </c>
      <c r="M9885" s="1" t="s">
        <v>45</v>
      </c>
      <c r="N9885" s="1" t="s">
        <v>38</v>
      </c>
      <c r="O9885" s="1" t="s">
        <v>46</v>
      </c>
    </row>
    <row r="9886" spans="2:15" x14ac:dyDescent="0.3">
      <c r="B9886" s="1" t="s">
        <v>21</v>
      </c>
      <c r="C9886" s="1" t="str">
        <f>"3차"</f>
        <v>3차</v>
      </c>
      <c r="D9886" s="1" t="str">
        <f>"9727H95139"</f>
        <v>9727H95139</v>
      </c>
      <c r="E9886" s="1" t="s">
        <v>14</v>
      </c>
      <c r="F9886" s="1" t="str">
        <f>"10.128.34.58"</f>
        <v>10.128.34.58</v>
      </c>
      <c r="G9886" s="1" t="str">
        <f>"9727H951"</f>
        <v>9727H951</v>
      </c>
      <c r="H9886" s="1" t="str">
        <f>"문화간 17L10L13"</f>
        <v>문화간 17L10L13</v>
      </c>
      <c r="I9886" s="1" t="s">
        <v>8</v>
      </c>
      <c r="J9886" s="1" t="str">
        <f>"0/0"</f>
        <v>0/0</v>
      </c>
      <c r="K9886" s="1" t="str">
        <f>"2024-08-12 13:21:06"</f>
        <v>2024-08-12 13:21:06</v>
      </c>
      <c r="L9886" s="1" t="str">
        <f>"2018-05-21 12:08:22"</f>
        <v>2018-05-21 12:08:22</v>
      </c>
      <c r="M9886" s="1" t="s">
        <v>45</v>
      </c>
      <c r="N9886" s="1" t="s">
        <v>44</v>
      </c>
      <c r="O9886" s="1" t="s">
        <v>44</v>
      </c>
    </row>
    <row r="9887" spans="2:15" x14ac:dyDescent="0.3">
      <c r="B9887" s="1" t="s">
        <v>21</v>
      </c>
      <c r="C9887" s="1" t="str">
        <f>"3차"</f>
        <v>3차</v>
      </c>
      <c r="D9887" s="1" t="str">
        <f>"9727H95239"</f>
        <v>9727H95239</v>
      </c>
      <c r="E9887" s="1" t="s">
        <v>10</v>
      </c>
      <c r="F9887" s="1" t="str">
        <f>"10.128.75.61"</f>
        <v>10.128.75.61</v>
      </c>
      <c r="G9887" s="1" t="str">
        <f>"9727H952"</f>
        <v>9727H952</v>
      </c>
      <c r="H9887" s="1" t="str">
        <f>"문화간 17L10L13L1"</f>
        <v>문화간 17L10L13L1</v>
      </c>
      <c r="I9887" s="1" t="s">
        <v>8</v>
      </c>
      <c r="J9887" s="1" t="str">
        <f>"32/34"</f>
        <v>32/34</v>
      </c>
      <c r="K9887" s="1" t="str">
        <f>"2026-07-29 13:18:12"</f>
        <v>2026-07-29 13:18:12</v>
      </c>
      <c r="L9887" s="1" t="str">
        <f>"2018-05-23 09:02:24"</f>
        <v>2018-05-23 09:02:24</v>
      </c>
      <c r="M9887" s="1" t="s">
        <v>45</v>
      </c>
      <c r="N9887" s="1" t="s">
        <v>38</v>
      </c>
      <c r="O9887" s="1" t="s">
        <v>46</v>
      </c>
    </row>
    <row r="9888" spans="2:15" x14ac:dyDescent="0.3">
      <c r="B9888" s="1" t="s">
        <v>21</v>
      </c>
      <c r="C9888" s="1" t="str">
        <f>"3차"</f>
        <v>3차</v>
      </c>
      <c r="D9888" s="1" t="str">
        <f>"9727H97139"</f>
        <v>9727H97139</v>
      </c>
      <c r="E9888" s="1" t="s">
        <v>10</v>
      </c>
      <c r="F9888" s="1" t="str">
        <f>"10.128.75.66"</f>
        <v>10.128.75.66</v>
      </c>
      <c r="G9888" s="1" t="str">
        <f>"9727H971"</f>
        <v>9727H971</v>
      </c>
      <c r="H9888" s="1" t="str">
        <f>"문화간 17L12"</f>
        <v>문화간 17L12</v>
      </c>
      <c r="I9888" s="1" t="s">
        <v>8</v>
      </c>
      <c r="J9888" s="1" t="str">
        <f>"13/13"</f>
        <v>13/13</v>
      </c>
      <c r="K9888" s="1" t="str">
        <f>"2026-07-29 13:18:12"</f>
        <v>2026-07-29 13:18:12</v>
      </c>
      <c r="L9888" s="1" t="str">
        <f>"2018-05-21 12:50:05"</f>
        <v>2018-05-21 12:50:05</v>
      </c>
      <c r="M9888" s="1" t="s">
        <v>45</v>
      </c>
      <c r="N9888" s="1" t="s">
        <v>38</v>
      </c>
      <c r="O9888" s="1" t="s">
        <v>46</v>
      </c>
    </row>
    <row r="9889" spans="2:15" x14ac:dyDescent="0.3">
      <c r="B9889" s="1" t="s">
        <v>21</v>
      </c>
      <c r="C9889" s="1" t="str">
        <f>"3차"</f>
        <v>3차</v>
      </c>
      <c r="D9889" s="1" t="str">
        <f>"9727P00239"</f>
        <v>9727P00239</v>
      </c>
      <c r="E9889" s="1" t="s">
        <v>10</v>
      </c>
      <c r="F9889" s="1" t="str">
        <f>"10.128.67.124"</f>
        <v>10.128.67.124</v>
      </c>
      <c r="G9889" s="1" t="str">
        <f>"9727P002"</f>
        <v>9727P002</v>
      </c>
      <c r="H9889" s="1" t="str">
        <f>"명지간 29R7"</f>
        <v>명지간 29R7</v>
      </c>
      <c r="I9889" s="1" t="s">
        <v>8</v>
      </c>
      <c r="J9889" s="1" t="str">
        <f>"37/39"</f>
        <v>37/39</v>
      </c>
      <c r="K9889" s="1" t="str">
        <f>"2026-07-29 13:18:12"</f>
        <v>2026-07-29 13:18:12</v>
      </c>
      <c r="L9889" s="1" t="str">
        <f>"2018-01-22 13:25:55"</f>
        <v>2018-01-22 13:25:55</v>
      </c>
      <c r="M9889" s="1" t="s">
        <v>45</v>
      </c>
      <c r="N9889" s="1" t="s">
        <v>38</v>
      </c>
      <c r="O9889" s="1" t="s">
        <v>46</v>
      </c>
    </row>
    <row r="9890" spans="2:15" x14ac:dyDescent="0.3">
      <c r="B9890" s="1" t="s">
        <v>21</v>
      </c>
      <c r="C9890" s="1" t="str">
        <f>"5-1차"</f>
        <v>5-1차</v>
      </c>
      <c r="D9890" s="1" t="str">
        <f>"9727P0525M"</f>
        <v>9727P0525M</v>
      </c>
      <c r="E9890" s="1" t="s">
        <v>10</v>
      </c>
      <c r="F9890" s="1" t="str">
        <f>"fde3:102:1303:2900:0:0:0:2"</f>
        <v>fde3:102:1303:2900:0:0:0:2</v>
      </c>
      <c r="G9890" s="1" t="str">
        <f>"9727P052"</f>
        <v>9727P052</v>
      </c>
      <c r="H9890" s="1" t="str">
        <f>"홍은간 38"</f>
        <v>홍은간 38</v>
      </c>
      <c r="I9890" s="1" t="s">
        <v>15</v>
      </c>
      <c r="J9890" s="1" t="str">
        <f>"37/37"</f>
        <v>37/37</v>
      </c>
      <c r="K9890" s="1" t="str">
        <f>"2026-07-29 14:21:35"</f>
        <v>2026-07-29 14:21:35</v>
      </c>
      <c r="L9890" s="1" t="str">
        <f>"2022-11-23 15:26:21"</f>
        <v>2022-11-23 15:26:21</v>
      </c>
      <c r="M9890" s="1" t="s">
        <v>45</v>
      </c>
      <c r="N9890" s="1" t="s">
        <v>38</v>
      </c>
      <c r="O9890" s="1" t="s">
        <v>46</v>
      </c>
    </row>
    <row r="9891" spans="2:15" x14ac:dyDescent="0.3">
      <c r="B9891" s="1" t="s">
        <v>21</v>
      </c>
      <c r="C9891" s="1" t="str">
        <f>"3차"</f>
        <v>3차</v>
      </c>
      <c r="D9891" s="1" t="str">
        <f>"9727P10239"</f>
        <v>9727P10239</v>
      </c>
      <c r="E9891" s="1" t="s">
        <v>10</v>
      </c>
      <c r="F9891" s="1" t="str">
        <f>"10.128.114.41"</f>
        <v>10.128.114.41</v>
      </c>
      <c r="G9891" s="1" t="str">
        <f>"9727P102"</f>
        <v>9727P102</v>
      </c>
      <c r="H9891" s="1" t="str">
        <f>"명지간 4R3"</f>
        <v>명지간 4R3</v>
      </c>
      <c r="I9891" s="1" t="s">
        <v>8</v>
      </c>
      <c r="J9891" s="1" t="str">
        <f>"56/56"</f>
        <v>56/56</v>
      </c>
      <c r="K9891" s="1" t="str">
        <f>"2026-07-29 13:18:12"</f>
        <v>2026-07-29 13:18:12</v>
      </c>
      <c r="L9891" s="1" t="str">
        <f>"2018-03-27 15:40:43"</f>
        <v>2018-03-27 15:40:43</v>
      </c>
      <c r="M9891" s="1" t="s">
        <v>45</v>
      </c>
      <c r="N9891" s="1" t="s">
        <v>38</v>
      </c>
      <c r="O9891" s="1" t="s">
        <v>46</v>
      </c>
    </row>
    <row r="9892" spans="2:15" x14ac:dyDescent="0.3">
      <c r="B9892" s="1" t="s">
        <v>21</v>
      </c>
      <c r="C9892" s="1" t="str">
        <f>"3차"</f>
        <v>3차</v>
      </c>
      <c r="D9892" s="1" t="str">
        <f>"9727P11339"</f>
        <v>9727P11339</v>
      </c>
      <c r="E9892" s="1" t="s">
        <v>10</v>
      </c>
      <c r="F9892" s="1" t="str">
        <f>"10.128.114.42"</f>
        <v>10.128.114.42</v>
      </c>
      <c r="G9892" s="1" t="str">
        <f>"9727P113"</f>
        <v>9727P113</v>
      </c>
      <c r="H9892" s="1" t="str">
        <f>"명지간 4R5"</f>
        <v>명지간 4R5</v>
      </c>
      <c r="I9892" s="1" t="s">
        <v>8</v>
      </c>
      <c r="J9892" s="1" t="str">
        <f>"56/56"</f>
        <v>56/56</v>
      </c>
      <c r="K9892" s="1" t="str">
        <f>"2026-07-29 13:18:12"</f>
        <v>2026-07-29 13:18:12</v>
      </c>
      <c r="L9892" s="1" t="str">
        <f>"2018-03-27 15:39:27"</f>
        <v>2018-03-27 15:39:27</v>
      </c>
      <c r="M9892" s="1" t="s">
        <v>45</v>
      </c>
      <c r="N9892" s="1" t="s">
        <v>38</v>
      </c>
      <c r="O9892" s="1" t="s">
        <v>46</v>
      </c>
    </row>
    <row r="9893" spans="2:15" x14ac:dyDescent="0.3">
      <c r="B9893" s="1" t="s">
        <v>21</v>
      </c>
      <c r="C9893" s="1" t="str">
        <f>"6차"</f>
        <v>6차</v>
      </c>
      <c r="D9893" s="1" t="str">
        <f>"9727P2016S"</f>
        <v>9727P2016S</v>
      </c>
      <c r="E9893" s="1" t="s">
        <v>10</v>
      </c>
      <c r="F9893" s="1" t="str">
        <f>"fde1:103:4:c657:0:0:0:2"</f>
        <v>fde1:103:4:c657:0:0:0:2</v>
      </c>
      <c r="G9893" s="1" t="str">
        <f>"9727P201"</f>
        <v>9727P201</v>
      </c>
      <c r="H9893" s="1" t="str">
        <f>"명지간 4R1"</f>
        <v>명지간 4R1</v>
      </c>
      <c r="I9893" s="1" t="s">
        <v>15</v>
      </c>
      <c r="J9893" s="1" t="str">
        <f>"37/38"</f>
        <v>37/38</v>
      </c>
      <c r="K9893" s="1" t="str">
        <f>"2026-07-29 14:21:35"</f>
        <v>2026-07-29 14:21:35</v>
      </c>
      <c r="L9893" s="1" t="str">
        <f>"2024-10-29 17:01:17"</f>
        <v>2024-10-29 17:01:17</v>
      </c>
      <c r="M9893" s="1" t="s">
        <v>4</v>
      </c>
      <c r="N9893" s="1" t="s">
        <v>38</v>
      </c>
      <c r="O9893" s="1" t="s">
        <v>46</v>
      </c>
    </row>
    <row r="9894" spans="2:15" x14ac:dyDescent="0.3">
      <c r="B9894" s="1" t="s">
        <v>21</v>
      </c>
      <c r="C9894" s="1" t="str">
        <f>"1차"</f>
        <v>1차</v>
      </c>
      <c r="D9894" s="1" t="str">
        <f>"9727P21101"</f>
        <v>9727P21101</v>
      </c>
      <c r="E9894" s="1" t="s">
        <v>10</v>
      </c>
      <c r="F9894" s="1" t="str">
        <f>"10.128.96.67"</f>
        <v>10.128.96.67</v>
      </c>
      <c r="G9894" s="1" t="str">
        <f>"9727P211"</f>
        <v>9727P211</v>
      </c>
      <c r="H9894" s="1" t="str">
        <f>"명지간 2"</f>
        <v>명지간 2</v>
      </c>
      <c r="I9894" s="1" t="s">
        <v>8</v>
      </c>
      <c r="J9894" s="1" t="str">
        <f>"4/6"</f>
        <v>4/6</v>
      </c>
      <c r="K9894" s="1" t="str">
        <f>"2026-07-29 13:18:11"</f>
        <v>2026-07-29 13:18:11</v>
      </c>
      <c r="L9894" s="1" t="str">
        <f>"2014-12-11 09:57:38"</f>
        <v>2014-12-11 09:57:38</v>
      </c>
      <c r="M9894" s="1" t="s">
        <v>45</v>
      </c>
      <c r="N9894" s="1" t="s">
        <v>38</v>
      </c>
      <c r="O9894" s="1" t="s">
        <v>46</v>
      </c>
    </row>
    <row r="9895" spans="2:15" x14ac:dyDescent="0.3">
      <c r="B9895" s="1" t="s">
        <v>21</v>
      </c>
      <c r="C9895" s="1" t="str">
        <f>"1차"</f>
        <v>1차</v>
      </c>
      <c r="D9895" s="1" t="str">
        <f>"9727P30100"</f>
        <v>9727P30100</v>
      </c>
      <c r="E9895" s="1" t="s">
        <v>10</v>
      </c>
      <c r="F9895" s="1" t="str">
        <f>"10.128.96.66"</f>
        <v>10.128.96.66</v>
      </c>
      <c r="G9895" s="1" t="str">
        <f>"9727P301"</f>
        <v>9727P301</v>
      </c>
      <c r="H9895" s="1" t="str">
        <f>"명지간 4"</f>
        <v>명지간 4</v>
      </c>
      <c r="I9895" s="1" t="s">
        <v>8</v>
      </c>
      <c r="J9895" s="1" t="str">
        <f>"26/26"</f>
        <v>26/26</v>
      </c>
      <c r="K9895" s="1" t="str">
        <f>"2026-07-29 13:18:02"</f>
        <v>2026-07-29 13:18:02</v>
      </c>
      <c r="L9895" s="1" t="str">
        <f>"2014-12-09 00:13:19"</f>
        <v>2014-12-09 00:13:19</v>
      </c>
      <c r="M9895" s="1" t="s">
        <v>45</v>
      </c>
      <c r="N9895" s="1" t="s">
        <v>38</v>
      </c>
      <c r="O9895" s="1" t="s">
        <v>46</v>
      </c>
    </row>
    <row r="9896" spans="2:15" x14ac:dyDescent="0.3">
      <c r="B9896" s="1" t="s">
        <v>21</v>
      </c>
      <c r="C9896" s="1" t="str">
        <f>"3차"</f>
        <v>3차</v>
      </c>
      <c r="D9896" s="1" t="str">
        <f>"9727P32339"</f>
        <v>9727P32339</v>
      </c>
      <c r="E9896" s="1" t="s">
        <v>10</v>
      </c>
      <c r="F9896" s="1" t="str">
        <f>"10.128.114.44"</f>
        <v>10.128.114.44</v>
      </c>
      <c r="G9896" s="1" t="str">
        <f>"9727P323"</f>
        <v>9727P323</v>
      </c>
      <c r="H9896" s="1" t="str">
        <f>"홍은간 29"</f>
        <v>홍은간 29</v>
      </c>
      <c r="I9896" s="1" t="s">
        <v>8</v>
      </c>
      <c r="J9896" s="1" t="str">
        <f>"4/4"</f>
        <v>4/4</v>
      </c>
      <c r="K9896" s="1" t="str">
        <f t="shared" ref="K9896:K9903" si="500">"2026-07-29 13:18:12"</f>
        <v>2026-07-29 13:18:12</v>
      </c>
      <c r="L9896" s="1" t="str">
        <f>"2018-06-27 14:38:11"</f>
        <v>2018-06-27 14:38:11</v>
      </c>
      <c r="M9896" s="1" t="s">
        <v>45</v>
      </c>
      <c r="N9896" s="1" t="s">
        <v>38</v>
      </c>
      <c r="O9896" s="1" t="s">
        <v>46</v>
      </c>
    </row>
    <row r="9897" spans="2:15" x14ac:dyDescent="0.3">
      <c r="B9897" s="1" t="s">
        <v>21</v>
      </c>
      <c r="C9897" s="1" t="str">
        <f>"3차"</f>
        <v>3차</v>
      </c>
      <c r="D9897" s="1" t="str">
        <f>"9727P34139"</f>
        <v>9727P34139</v>
      </c>
      <c r="E9897" s="1" t="s">
        <v>10</v>
      </c>
      <c r="F9897" s="1" t="str">
        <f>"10.128.115.35"</f>
        <v>10.128.115.35</v>
      </c>
      <c r="G9897" s="1" t="str">
        <f>"9727P341"</f>
        <v>9727P341</v>
      </c>
      <c r="H9897" s="1" t="str">
        <f>"백암간 24R3L1L1"</f>
        <v>백암간 24R3L1L1</v>
      </c>
      <c r="I9897" s="1" t="s">
        <v>8</v>
      </c>
      <c r="J9897" s="1" t="str">
        <f>"21/21"</f>
        <v>21/21</v>
      </c>
      <c r="K9897" s="1" t="str">
        <f t="shared" si="500"/>
        <v>2026-07-29 13:18:12</v>
      </c>
      <c r="L9897" s="1" t="str">
        <f>"2018-06-27 14:09:27"</f>
        <v>2018-06-27 14:09:27</v>
      </c>
      <c r="M9897" s="1" t="s">
        <v>45</v>
      </c>
      <c r="N9897" s="1" t="s">
        <v>38</v>
      </c>
      <c r="O9897" s="1" t="s">
        <v>46</v>
      </c>
    </row>
    <row r="9898" spans="2:15" x14ac:dyDescent="0.3">
      <c r="B9898" s="1" t="s">
        <v>21</v>
      </c>
      <c r="C9898" s="1" t="str">
        <f>"1차"</f>
        <v>1차</v>
      </c>
      <c r="D9898" s="1" t="str">
        <f>"9727P40100"</f>
        <v>9727P40100</v>
      </c>
      <c r="E9898" s="1" t="s">
        <v>14</v>
      </c>
      <c r="F9898" s="1" t="str">
        <f>"10.128.115.61"</f>
        <v>10.128.115.61</v>
      </c>
      <c r="G9898" s="1" t="str">
        <f>"9727P401"</f>
        <v>9727P401</v>
      </c>
      <c r="H9898" s="1" t="str">
        <f>"홍은간 26"</f>
        <v>홍은간 26</v>
      </c>
      <c r="I9898" s="1" t="s">
        <v>8</v>
      </c>
      <c r="J9898" s="1" t="str">
        <f>"0/0"</f>
        <v>0/0</v>
      </c>
      <c r="K9898" s="1" t="str">
        <f t="shared" si="500"/>
        <v>2026-07-29 13:18:12</v>
      </c>
      <c r="L9898" s="1" t="str">
        <f>"2014-12-10 15:13:18"</f>
        <v>2014-12-10 15:13:18</v>
      </c>
      <c r="M9898" s="1" t="s">
        <v>45</v>
      </c>
      <c r="N9898" s="1" t="s">
        <v>38</v>
      </c>
      <c r="O9898" s="1" t="s">
        <v>44</v>
      </c>
    </row>
    <row r="9899" spans="2:15" x14ac:dyDescent="0.3">
      <c r="B9899" s="1" t="s">
        <v>21</v>
      </c>
      <c r="C9899" s="1" t="str">
        <f>"3차"</f>
        <v>3차</v>
      </c>
      <c r="D9899" s="1" t="str">
        <f>"9727P41139"</f>
        <v>9727P41139</v>
      </c>
      <c r="E9899" s="1" t="s">
        <v>10</v>
      </c>
      <c r="F9899" s="1" t="str">
        <f>"10.128.115.59"</f>
        <v>10.128.115.59</v>
      </c>
      <c r="G9899" s="1" t="str">
        <f>"9727P411"</f>
        <v>9727P411</v>
      </c>
      <c r="H9899" s="1" t="str">
        <f>"홍은간 27"</f>
        <v>홍은간 27</v>
      </c>
      <c r="I9899" s="1" t="s">
        <v>8</v>
      </c>
      <c r="J9899" s="1" t="str">
        <f>"10/10"</f>
        <v>10/10</v>
      </c>
      <c r="K9899" s="1" t="str">
        <f t="shared" si="500"/>
        <v>2026-07-29 13:18:12</v>
      </c>
      <c r="L9899" s="1" t="str">
        <f>"2018-06-27 14:42:26"</f>
        <v>2018-06-27 14:42:26</v>
      </c>
      <c r="M9899" s="1" t="s">
        <v>45</v>
      </c>
      <c r="N9899" s="1" t="s">
        <v>38</v>
      </c>
      <c r="O9899" s="1" t="s">
        <v>46</v>
      </c>
    </row>
    <row r="9900" spans="2:15" x14ac:dyDescent="0.3">
      <c r="B9900" s="1" t="s">
        <v>21</v>
      </c>
      <c r="C9900" s="1" t="str">
        <f>"3차"</f>
        <v>3차</v>
      </c>
      <c r="D9900" s="1" t="str">
        <f>"9727P41339"</f>
        <v>9727P41339</v>
      </c>
      <c r="E9900" s="1" t="s">
        <v>10</v>
      </c>
      <c r="F9900" s="1" t="str">
        <f>"10.128.115.162"</f>
        <v>10.128.115.162</v>
      </c>
      <c r="G9900" s="1" t="str">
        <f>"9727P413"</f>
        <v>9727P413</v>
      </c>
      <c r="H9900" s="1" t="str">
        <f>"백암간 24R6"</f>
        <v>백암간 24R6</v>
      </c>
      <c r="I9900" s="1" t="s">
        <v>8</v>
      </c>
      <c r="J9900" s="1" t="str">
        <f>"6/6"</f>
        <v>6/6</v>
      </c>
      <c r="K9900" s="1" t="str">
        <f t="shared" si="500"/>
        <v>2026-07-29 13:18:12</v>
      </c>
      <c r="L9900" s="1" t="str">
        <f>"2018-06-27 14:29:41"</f>
        <v>2018-06-27 14:29:41</v>
      </c>
      <c r="M9900" s="1" t="s">
        <v>45</v>
      </c>
      <c r="N9900" s="1" t="s">
        <v>38</v>
      </c>
      <c r="O9900" s="1" t="s">
        <v>46</v>
      </c>
    </row>
    <row r="9901" spans="2:15" x14ac:dyDescent="0.3">
      <c r="B9901" s="1" t="s">
        <v>21</v>
      </c>
      <c r="C9901" s="1" t="str">
        <f>"4차"</f>
        <v>4차</v>
      </c>
      <c r="D9901" s="1" t="str">
        <f>"9727P53139"</f>
        <v>9727P53139</v>
      </c>
      <c r="E9901" s="1" t="s">
        <v>10</v>
      </c>
      <c r="F9901" s="1" t="str">
        <f>"10.128.115.168"</f>
        <v>10.128.115.168</v>
      </c>
      <c r="G9901" s="1" t="str">
        <f>"9727P531"</f>
        <v>9727P531</v>
      </c>
      <c r="H9901" s="1" t="str">
        <f>"백암간 24R3L3R1"</f>
        <v>백암간 24R3L3R1</v>
      </c>
      <c r="I9901" s="1" t="s">
        <v>8</v>
      </c>
      <c r="J9901" s="1" t="str">
        <f>"22/22"</f>
        <v>22/22</v>
      </c>
      <c r="K9901" s="1" t="str">
        <f t="shared" si="500"/>
        <v>2026-07-29 13:18:12</v>
      </c>
      <c r="L9901" s="1" t="str">
        <f>"2018-06-27 14:16:12"</f>
        <v>2018-06-27 14:16:12</v>
      </c>
      <c r="M9901" s="1" t="s">
        <v>45</v>
      </c>
      <c r="N9901" s="1" t="s">
        <v>38</v>
      </c>
      <c r="O9901" s="1" t="s">
        <v>46</v>
      </c>
    </row>
    <row r="9902" spans="2:15" x14ac:dyDescent="0.3">
      <c r="B9902" s="1" t="s">
        <v>21</v>
      </c>
      <c r="C9902" s="1" t="str">
        <f>"4차"</f>
        <v>4차</v>
      </c>
      <c r="D9902" s="1" t="str">
        <f>"9727P63139"</f>
        <v>9727P63139</v>
      </c>
      <c r="E9902" s="1" t="s">
        <v>10</v>
      </c>
      <c r="F9902" s="1" t="str">
        <f>"10.128.115.30"</f>
        <v>10.128.115.30</v>
      </c>
      <c r="G9902" s="1" t="str">
        <f>"9727P631"</f>
        <v>9727P631</v>
      </c>
      <c r="H9902" s="1" t="str">
        <f>"백암간 24R3L6"</f>
        <v>백암간 24R3L6</v>
      </c>
      <c r="I9902" s="1" t="s">
        <v>8</v>
      </c>
      <c r="J9902" s="1" t="str">
        <f>"19/19"</f>
        <v>19/19</v>
      </c>
      <c r="K9902" s="1" t="str">
        <f t="shared" si="500"/>
        <v>2026-07-29 13:18:12</v>
      </c>
      <c r="L9902" s="1" t="str">
        <f>"2018-04-26 14:34:11"</f>
        <v>2018-04-26 14:34:11</v>
      </c>
      <c r="M9902" s="1" t="s">
        <v>45</v>
      </c>
      <c r="N9902" s="1" t="s">
        <v>38</v>
      </c>
      <c r="O9902" s="1" t="s">
        <v>46</v>
      </c>
    </row>
    <row r="9903" spans="2:15" x14ac:dyDescent="0.3">
      <c r="B9903" s="1" t="s">
        <v>21</v>
      </c>
      <c r="C9903" s="1" t="str">
        <f>"4차"</f>
        <v>4차</v>
      </c>
      <c r="D9903" s="1" t="str">
        <f>"9727P73239"</f>
        <v>9727P73239</v>
      </c>
      <c r="E9903" s="1" t="s">
        <v>10</v>
      </c>
      <c r="F9903" s="1" t="str">
        <f>"10.128.115.34"</f>
        <v>10.128.115.34</v>
      </c>
      <c r="G9903" s="1" t="str">
        <f>"9727P732"</f>
        <v>9727P732</v>
      </c>
      <c r="H9903" s="1" t="str">
        <f>"백암간 24R3L9"</f>
        <v>백암간 24R3L9</v>
      </c>
      <c r="I9903" s="1" t="s">
        <v>8</v>
      </c>
      <c r="J9903" s="1" t="str">
        <f>"18/18"</f>
        <v>18/18</v>
      </c>
      <c r="K9903" s="1" t="str">
        <f t="shared" si="500"/>
        <v>2026-07-29 13:18:12</v>
      </c>
      <c r="L9903" s="1" t="str">
        <f>"2018-04-20 11:41:09"</f>
        <v>2018-04-20 11:41:09</v>
      </c>
      <c r="M9903" s="1" t="s">
        <v>45</v>
      </c>
      <c r="N9903" s="1" t="s">
        <v>38</v>
      </c>
      <c r="O9903" s="1" t="s">
        <v>46</v>
      </c>
    </row>
    <row r="9904" spans="2:15" x14ac:dyDescent="0.3">
      <c r="B9904" s="1" t="s">
        <v>21</v>
      </c>
      <c r="C9904" s="1" t="str">
        <f>"4차"</f>
        <v>4차</v>
      </c>
      <c r="D9904" s="1" t="str">
        <f>"9727P73439"</f>
        <v>9727P73439</v>
      </c>
      <c r="E9904" s="1" t="s">
        <v>10</v>
      </c>
      <c r="F9904" s="1" t="str">
        <f>"10.128.115.164"</f>
        <v>10.128.115.164</v>
      </c>
      <c r="G9904" s="1" t="str">
        <f>"9727P734"</f>
        <v>9727P734</v>
      </c>
      <c r="H9904" s="1" t="str">
        <f>"백암간 24R3L3R8"</f>
        <v>백암간 24R3L3R8</v>
      </c>
      <c r="I9904" s="1" t="s">
        <v>8</v>
      </c>
      <c r="J9904" s="1" t="str">
        <f>"19/19"</f>
        <v>19/19</v>
      </c>
      <c r="K9904" s="1" t="str">
        <f>"2026-07-29 13:18:11"</f>
        <v>2026-07-29 13:18:11</v>
      </c>
      <c r="L9904" s="1" t="str">
        <f>"2018-06-27 16:36:27"</f>
        <v>2018-06-27 16:36:27</v>
      </c>
      <c r="M9904" s="1" t="s">
        <v>45</v>
      </c>
      <c r="N9904" s="1" t="s">
        <v>38</v>
      </c>
      <c r="O9904" s="1" t="s">
        <v>46</v>
      </c>
    </row>
    <row r="9905" spans="2:15" x14ac:dyDescent="0.3">
      <c r="B9905" s="1" t="s">
        <v>21</v>
      </c>
      <c r="C9905" s="1" t="str">
        <f>"3차"</f>
        <v>3차</v>
      </c>
      <c r="D9905" s="1" t="str">
        <f>"9727P81239"</f>
        <v>9727P81239</v>
      </c>
      <c r="E9905" s="1" t="s">
        <v>12</v>
      </c>
      <c r="F9905" s="1" t="str">
        <f>"10.128.115.51"</f>
        <v>10.128.115.51</v>
      </c>
      <c r="G9905" s="1" t="str">
        <f>"9727P812"</f>
        <v>9727P812</v>
      </c>
      <c r="H9905" s="1" t="str">
        <f>"두산간 41R8"</f>
        <v>두산간 41R8</v>
      </c>
      <c r="I9905" s="1" t="s">
        <v>8</v>
      </c>
      <c r="J9905" s="1" t="str">
        <f>"0/18"</f>
        <v>0/18</v>
      </c>
      <c r="K9905" s="1" t="str">
        <f>"2026-07-25 01:18:12"</f>
        <v>2026-07-25 01:18:12</v>
      </c>
      <c r="L9905" s="1" t="str">
        <f>"2018-06-21 12:45:41"</f>
        <v>2018-06-21 12:45:41</v>
      </c>
      <c r="M9905" s="1" t="s">
        <v>45</v>
      </c>
      <c r="N9905" s="1" t="s">
        <v>38</v>
      </c>
      <c r="O9905" s="1" t="s">
        <v>46</v>
      </c>
    </row>
    <row r="9906" spans="2:15" x14ac:dyDescent="0.3">
      <c r="B9906" s="1" t="s">
        <v>21</v>
      </c>
      <c r="C9906" s="1" t="str">
        <f>"3차"</f>
        <v>3차</v>
      </c>
      <c r="D9906" s="1" t="str">
        <f>"9727P83139"</f>
        <v>9727P83139</v>
      </c>
      <c r="E9906" s="1" t="s">
        <v>10</v>
      </c>
      <c r="F9906" s="1" t="str">
        <f>"10.128.115.20"</f>
        <v>10.128.115.20</v>
      </c>
      <c r="G9906" s="1" t="str">
        <f>"9727P831"</f>
        <v>9727P831</v>
      </c>
      <c r="H9906" s="1" t="str">
        <f>"두산간 41R10L1"</f>
        <v>두산간 41R10L1</v>
      </c>
      <c r="I9906" s="1" t="s">
        <v>8</v>
      </c>
      <c r="J9906" s="1" t="str">
        <f>"13/13"</f>
        <v>13/13</v>
      </c>
      <c r="K9906" s="1" t="str">
        <f t="shared" ref="K9906:K9934" si="501">"2026-07-29 13:18:11"</f>
        <v>2026-07-29 13:18:11</v>
      </c>
      <c r="L9906" s="1" t="str">
        <f>"2018-04-26 12:20:11"</f>
        <v>2018-04-26 12:20:11</v>
      </c>
      <c r="M9906" s="1" t="s">
        <v>45</v>
      </c>
      <c r="N9906" s="1" t="s">
        <v>38</v>
      </c>
      <c r="O9906" s="1" t="s">
        <v>46</v>
      </c>
    </row>
    <row r="9907" spans="2:15" x14ac:dyDescent="0.3">
      <c r="B9907" s="1" t="s">
        <v>21</v>
      </c>
      <c r="C9907" s="1" t="str">
        <f>"3차"</f>
        <v>3차</v>
      </c>
      <c r="D9907" s="1" t="str">
        <f>"9727P92139"</f>
        <v>9727P92139</v>
      </c>
      <c r="E9907" s="1" t="s">
        <v>10</v>
      </c>
      <c r="F9907" s="1" t="str">
        <f>"10.128.115.21"</f>
        <v>10.128.115.21</v>
      </c>
      <c r="G9907" s="1" t="str">
        <f>"9727P921"</f>
        <v>9727P921</v>
      </c>
      <c r="H9907" s="1" t="str">
        <f>"두산간 41R10"</f>
        <v>두산간 41R10</v>
      </c>
      <c r="I9907" s="1" t="s">
        <v>8</v>
      </c>
      <c r="J9907" s="1" t="str">
        <f>"3/3"</f>
        <v>3/3</v>
      </c>
      <c r="K9907" s="1" t="str">
        <f t="shared" si="501"/>
        <v>2026-07-29 13:18:11</v>
      </c>
      <c r="L9907" s="1" t="str">
        <f>"2018-04-20 12:03:11"</f>
        <v>2018-04-20 12:03:11</v>
      </c>
      <c r="M9907" s="1" t="s">
        <v>45</v>
      </c>
      <c r="N9907" s="1" t="s">
        <v>38</v>
      </c>
      <c r="O9907" s="1" t="s">
        <v>46</v>
      </c>
    </row>
    <row r="9908" spans="2:15" x14ac:dyDescent="0.3">
      <c r="B9908" s="1" t="s">
        <v>21</v>
      </c>
      <c r="C9908" s="1" t="str">
        <f>"3차"</f>
        <v>3차</v>
      </c>
      <c r="D9908" s="1" t="str">
        <f>"9727P94139"</f>
        <v>9727P94139</v>
      </c>
      <c r="E9908" s="1" t="s">
        <v>10</v>
      </c>
      <c r="F9908" s="1" t="str">
        <f>"10.128.115.52"</f>
        <v>10.128.115.52</v>
      </c>
      <c r="G9908" s="1" t="str">
        <f>"9727P941"</f>
        <v>9727P941</v>
      </c>
      <c r="H9908" s="1" t="str">
        <f>"두산간 3B29"</f>
        <v>두산간 3B29</v>
      </c>
      <c r="I9908" s="1" t="s">
        <v>8</v>
      </c>
      <c r="J9908" s="1" t="str">
        <f>"12/12"</f>
        <v>12/12</v>
      </c>
      <c r="K9908" s="1" t="str">
        <f t="shared" si="501"/>
        <v>2026-07-29 13:18:11</v>
      </c>
      <c r="L9908" s="1" t="str">
        <f>"2018-06-21 12:39:55"</f>
        <v>2018-06-21 12:39:55</v>
      </c>
      <c r="M9908" s="1" t="s">
        <v>45</v>
      </c>
      <c r="N9908" s="1" t="s">
        <v>38</v>
      </c>
      <c r="O9908" s="1" t="s">
        <v>46</v>
      </c>
    </row>
    <row r="9909" spans="2:15" x14ac:dyDescent="0.3">
      <c r="B9909" s="1" t="s">
        <v>21</v>
      </c>
      <c r="C9909" s="1" t="str">
        <f>"3차"</f>
        <v>3차</v>
      </c>
      <c r="D9909" s="1" t="str">
        <f>"9727Q04239"</f>
        <v>9727Q04239</v>
      </c>
      <c r="E9909" s="1" t="s">
        <v>10</v>
      </c>
      <c r="F9909" s="1" t="str">
        <f>"10.128.115.53"</f>
        <v>10.128.115.53</v>
      </c>
      <c r="G9909" s="1" t="str">
        <f>"9727Q042"</f>
        <v>9727Q042</v>
      </c>
      <c r="H9909" s="1" t="str">
        <f>"두산간 3B28R1"</f>
        <v>두산간 3B28R1</v>
      </c>
      <c r="I9909" s="1" t="s">
        <v>8</v>
      </c>
      <c r="J9909" s="1" t="str">
        <f>"12/12"</f>
        <v>12/12</v>
      </c>
      <c r="K9909" s="1" t="str">
        <f t="shared" si="501"/>
        <v>2026-07-29 13:18:11</v>
      </c>
      <c r="L9909" s="1" t="str">
        <f>"2018-06-21 12:31:55"</f>
        <v>2018-06-21 12:31:55</v>
      </c>
      <c r="M9909" s="1" t="s">
        <v>45</v>
      </c>
      <c r="N9909" s="1" t="s">
        <v>38</v>
      </c>
      <c r="O9909" s="1" t="s">
        <v>46</v>
      </c>
    </row>
    <row r="9910" spans="2:15" x14ac:dyDescent="0.3">
      <c r="B9910" s="1" t="s">
        <v>21</v>
      </c>
      <c r="C9910" s="1" t="str">
        <f>"4차"</f>
        <v>4차</v>
      </c>
      <c r="D9910" s="1" t="str">
        <f>"9727Q67344"</f>
        <v>9727Q67344</v>
      </c>
      <c r="E9910" s="1" t="s">
        <v>10</v>
      </c>
      <c r="F9910" s="1" t="str">
        <f>"10.10.81.66"</f>
        <v>10.10.81.66</v>
      </c>
      <c r="G9910" s="1" t="str">
        <f>"9727Q673"</f>
        <v>9727Q673</v>
      </c>
      <c r="H9910" s="1" t="str">
        <f>"백련간 19R20"</f>
        <v>백련간 19R20</v>
      </c>
      <c r="I9910" s="1" t="s">
        <v>8</v>
      </c>
      <c r="J9910" s="1" t="str">
        <f>"44/47"</f>
        <v>44/47</v>
      </c>
      <c r="K9910" s="1" t="str">
        <f t="shared" si="501"/>
        <v>2026-07-29 13:18:11</v>
      </c>
      <c r="L9910" s="1" t="str">
        <f>"2019-11-07 14:03:05"</f>
        <v>2019-11-07 14:03:05</v>
      </c>
      <c r="M9910" s="1" t="s">
        <v>1</v>
      </c>
      <c r="N9910" s="1" t="s">
        <v>38</v>
      </c>
      <c r="O9910" s="1" t="s">
        <v>46</v>
      </c>
    </row>
    <row r="9911" spans="2:15" x14ac:dyDescent="0.3">
      <c r="B9911" s="1" t="s">
        <v>21</v>
      </c>
      <c r="C9911" s="1" t="str">
        <f>"4차"</f>
        <v>4차</v>
      </c>
      <c r="D9911" s="1" t="str">
        <f>"9727Q68244"</f>
        <v>9727Q68244</v>
      </c>
      <c r="E9911" s="1" t="s">
        <v>10</v>
      </c>
      <c r="F9911" s="1" t="str">
        <f>"10.10.72.122"</f>
        <v>10.10.72.122</v>
      </c>
      <c r="G9911" s="1" t="str">
        <f>"9727Q682"</f>
        <v>9727Q682</v>
      </c>
      <c r="H9911" s="1" t="str">
        <f>"백련간 19R23"</f>
        <v>백련간 19R23</v>
      </c>
      <c r="I9911" s="1" t="s">
        <v>8</v>
      </c>
      <c r="J9911" s="1" t="str">
        <f>"121/123"</f>
        <v>121/123</v>
      </c>
      <c r="K9911" s="1" t="str">
        <f t="shared" si="501"/>
        <v>2026-07-29 13:18:11</v>
      </c>
      <c r="L9911" s="1" t="str">
        <f>"2019-10-14 10:53:04"</f>
        <v>2019-10-14 10:53:04</v>
      </c>
      <c r="M9911" s="1" t="s">
        <v>1</v>
      </c>
      <c r="N9911" s="1" t="s">
        <v>38</v>
      </c>
      <c r="O9911" s="1" t="s">
        <v>46</v>
      </c>
    </row>
    <row r="9912" spans="2:15" x14ac:dyDescent="0.3">
      <c r="B9912" s="1" t="s">
        <v>21</v>
      </c>
      <c r="C9912" s="1" t="str">
        <f>"3차"</f>
        <v>3차</v>
      </c>
      <c r="D9912" s="1" t="str">
        <f>"9727Q76139"</f>
        <v>9727Q76139</v>
      </c>
      <c r="E9912" s="1" t="s">
        <v>10</v>
      </c>
      <c r="F9912" s="1" t="str">
        <f>"10.11.101.42"</f>
        <v>10.11.101.42</v>
      </c>
      <c r="G9912" s="1" t="str">
        <f>"9727Q761"</f>
        <v>9727Q761</v>
      </c>
      <c r="H9912" s="1" t="str">
        <f>"백련간 19R18"</f>
        <v>백련간 19R18</v>
      </c>
      <c r="I9912" s="1" t="s">
        <v>8</v>
      </c>
      <c r="J9912" s="1" t="str">
        <f>"43/43"</f>
        <v>43/43</v>
      </c>
      <c r="K9912" s="1" t="str">
        <f t="shared" si="501"/>
        <v>2026-07-29 13:18:11</v>
      </c>
      <c r="L9912" s="1" t="str">
        <f>"2018-04-24 10:46:26"</f>
        <v>2018-04-24 10:46:26</v>
      </c>
      <c r="M9912" s="1" t="s">
        <v>2</v>
      </c>
      <c r="N9912" s="1" t="s">
        <v>38</v>
      </c>
      <c r="O9912" s="1" t="s">
        <v>46</v>
      </c>
    </row>
    <row r="9913" spans="2:15" x14ac:dyDescent="0.3">
      <c r="B9913" s="1" t="s">
        <v>21</v>
      </c>
      <c r="C9913" s="1" t="str">
        <f>"4차"</f>
        <v>4차</v>
      </c>
      <c r="D9913" s="1" t="str">
        <f>"9727Q77244"</f>
        <v>9727Q77244</v>
      </c>
      <c r="E9913" s="1" t="s">
        <v>10</v>
      </c>
      <c r="F9913" s="1" t="str">
        <f>"10.10.72.90"</f>
        <v>10.10.72.90</v>
      </c>
      <c r="G9913" s="1" t="str">
        <f>"9727Q772"</f>
        <v>9727Q772</v>
      </c>
      <c r="H9913" s="1" t="str">
        <f>"백련간 19R20R1"</f>
        <v>백련간 19R20R1</v>
      </c>
      <c r="I9913" s="1" t="s">
        <v>8</v>
      </c>
      <c r="J9913" s="1" t="str">
        <f>"79/80"</f>
        <v>79/80</v>
      </c>
      <c r="K9913" s="1" t="str">
        <f t="shared" si="501"/>
        <v>2026-07-29 13:18:11</v>
      </c>
      <c r="L9913" s="1" t="str">
        <f>"2019-10-29 18:25:20"</f>
        <v>2019-10-29 18:25:20</v>
      </c>
      <c r="M9913" s="1" t="s">
        <v>1</v>
      </c>
      <c r="N9913" s="1" t="s">
        <v>38</v>
      </c>
      <c r="O9913" s="1" t="s">
        <v>46</v>
      </c>
    </row>
    <row r="9914" spans="2:15" x14ac:dyDescent="0.3">
      <c r="B9914" s="1" t="s">
        <v>21</v>
      </c>
      <c r="C9914" s="1" t="str">
        <f>"4차"</f>
        <v>4차</v>
      </c>
      <c r="D9914" s="1" t="str">
        <f>"9727Q85144"</f>
        <v>9727Q85144</v>
      </c>
      <c r="E9914" s="1" t="s">
        <v>10</v>
      </c>
      <c r="F9914" s="1" t="str">
        <f>"10.128.100.202"</f>
        <v>10.128.100.202</v>
      </c>
      <c r="G9914" s="1" t="str">
        <f>"9727Q851"</f>
        <v>9727Q851</v>
      </c>
      <c r="H9914" s="1" t="str">
        <f>"백련간 19R17L1"</f>
        <v>백련간 19R17L1</v>
      </c>
      <c r="I9914" s="1" t="s">
        <v>8</v>
      </c>
      <c r="J9914" s="1" t="str">
        <f>"43/43"</f>
        <v>43/43</v>
      </c>
      <c r="K9914" s="1" t="str">
        <f t="shared" si="501"/>
        <v>2026-07-29 13:18:11</v>
      </c>
      <c r="L9914" s="1" t="str">
        <f>"2020-02-10 18:32:35"</f>
        <v>2020-02-10 18:32:35</v>
      </c>
      <c r="M9914" s="1" t="s">
        <v>45</v>
      </c>
      <c r="N9914" s="1" t="s">
        <v>38</v>
      </c>
      <c r="O9914" s="1" t="s">
        <v>46</v>
      </c>
    </row>
    <row r="9915" spans="2:15" x14ac:dyDescent="0.3">
      <c r="B9915" s="1" t="s">
        <v>21</v>
      </c>
      <c r="C9915" s="1" t="str">
        <f>"3차"</f>
        <v>3차</v>
      </c>
      <c r="D9915" s="1" t="str">
        <f>"9727Q85339"</f>
        <v>9727Q85339</v>
      </c>
      <c r="E9915" s="1" t="s">
        <v>10</v>
      </c>
      <c r="F9915" s="1" t="str">
        <f>"10.11.101.34"</f>
        <v>10.11.101.34</v>
      </c>
      <c r="G9915" s="1" t="str">
        <f>"9727Q853"</f>
        <v>9727Q853</v>
      </c>
      <c r="H9915" s="1" t="str">
        <f>"백련간 19R17L1R1"</f>
        <v>백련간 19R17L1R1</v>
      </c>
      <c r="I9915" s="1" t="s">
        <v>8</v>
      </c>
      <c r="J9915" s="1" t="str">
        <f>"23/28"</f>
        <v>23/28</v>
      </c>
      <c r="K9915" s="1" t="str">
        <f t="shared" si="501"/>
        <v>2026-07-29 13:18:11</v>
      </c>
      <c r="L9915" s="1" t="str">
        <f>"2018-04-24 10:10:56"</f>
        <v>2018-04-24 10:10:56</v>
      </c>
      <c r="M9915" s="1" t="s">
        <v>2</v>
      </c>
      <c r="N9915" s="1" t="s">
        <v>38</v>
      </c>
      <c r="O9915" s="1" t="s">
        <v>46</v>
      </c>
    </row>
    <row r="9916" spans="2:15" x14ac:dyDescent="0.3">
      <c r="B9916" s="1" t="s">
        <v>21</v>
      </c>
      <c r="C9916" s="1" t="str">
        <f>"4차"</f>
        <v>4차</v>
      </c>
      <c r="D9916" s="1" t="str">
        <f>"9727Q87144"</f>
        <v>9727Q87144</v>
      </c>
      <c r="E9916" s="1" t="s">
        <v>10</v>
      </c>
      <c r="F9916" s="1" t="str">
        <f>"10.10.71.58"</f>
        <v>10.10.71.58</v>
      </c>
      <c r="G9916" s="1" t="str">
        <f>"9727Q871"</f>
        <v>9727Q871</v>
      </c>
      <c r="H9916" s="1" t="str">
        <f>"백련간 19R15"</f>
        <v>백련간 19R15</v>
      </c>
      <c r="I9916" s="1" t="s">
        <v>8</v>
      </c>
      <c r="J9916" s="1" t="str">
        <f>"34/34"</f>
        <v>34/34</v>
      </c>
      <c r="K9916" s="1" t="str">
        <f t="shared" si="501"/>
        <v>2026-07-29 13:18:11</v>
      </c>
      <c r="L9916" s="1" t="str">
        <f>"2019-10-29 18:23:04"</f>
        <v>2019-10-29 18:23:04</v>
      </c>
      <c r="M9916" s="1" t="s">
        <v>1</v>
      </c>
      <c r="N9916" s="1" t="s">
        <v>38</v>
      </c>
      <c r="O9916" s="1" t="s">
        <v>46</v>
      </c>
    </row>
    <row r="9917" spans="2:15" x14ac:dyDescent="0.3">
      <c r="B9917" s="1" t="s">
        <v>21</v>
      </c>
      <c r="C9917" s="1" t="str">
        <f>"4차"</f>
        <v>4차</v>
      </c>
      <c r="D9917" s="1" t="str">
        <f>"9727Q88444"</f>
        <v>9727Q88444</v>
      </c>
      <c r="E9917" s="1" t="s">
        <v>10</v>
      </c>
      <c r="F9917" s="1" t="str">
        <f>"10.10.71.26"</f>
        <v>10.10.71.26</v>
      </c>
      <c r="G9917" s="1" t="str">
        <f>"9727Q884"</f>
        <v>9727Q884</v>
      </c>
      <c r="H9917" s="1" t="str">
        <f>"백련간 19R14"</f>
        <v>백련간 19R14</v>
      </c>
      <c r="I9917" s="1" t="s">
        <v>8</v>
      </c>
      <c r="J9917" s="1" t="str">
        <f>"57/57"</f>
        <v>57/57</v>
      </c>
      <c r="K9917" s="1" t="str">
        <f t="shared" si="501"/>
        <v>2026-07-29 13:18:11</v>
      </c>
      <c r="L9917" s="1" t="str">
        <f>"2019-10-29 18:33:04"</f>
        <v>2019-10-29 18:33:04</v>
      </c>
      <c r="M9917" s="1" t="s">
        <v>1</v>
      </c>
      <c r="N9917" s="1" t="s">
        <v>38</v>
      </c>
      <c r="O9917" s="1" t="s">
        <v>46</v>
      </c>
    </row>
    <row r="9918" spans="2:15" x14ac:dyDescent="0.3">
      <c r="B9918" s="1" t="s">
        <v>21</v>
      </c>
      <c r="C9918" s="1" t="str">
        <f>"4차"</f>
        <v>4차</v>
      </c>
      <c r="D9918" s="1" t="str">
        <f>"9727Q95144"</f>
        <v>9727Q95144</v>
      </c>
      <c r="E9918" s="1" t="s">
        <v>10</v>
      </c>
      <c r="F9918" s="1" t="str">
        <f>"10.10.70.226"</f>
        <v>10.10.70.226</v>
      </c>
      <c r="G9918" s="1" t="str">
        <f>"9727Q951"</f>
        <v>9727Q951</v>
      </c>
      <c r="H9918" s="1" t="str">
        <f>"백련간 19R10L3"</f>
        <v>백련간 19R10L3</v>
      </c>
      <c r="I9918" s="1" t="s">
        <v>8</v>
      </c>
      <c r="J9918" s="1" t="str">
        <f>"33/33"</f>
        <v>33/33</v>
      </c>
      <c r="K9918" s="1" t="str">
        <f t="shared" si="501"/>
        <v>2026-07-29 13:18:11</v>
      </c>
      <c r="L9918" s="1" t="str">
        <f>"2020-01-17 14:17:52"</f>
        <v>2020-01-17 14:17:52</v>
      </c>
      <c r="M9918" s="1" t="s">
        <v>1</v>
      </c>
      <c r="N9918" s="1" t="s">
        <v>38</v>
      </c>
      <c r="O9918" s="1" t="s">
        <v>46</v>
      </c>
    </row>
    <row r="9919" spans="2:15" x14ac:dyDescent="0.3">
      <c r="B9919" s="1" t="s">
        <v>21</v>
      </c>
      <c r="C9919" s="1" t="str">
        <f>"4차"</f>
        <v>4차</v>
      </c>
      <c r="D9919" s="1" t="str">
        <f>"9727Q96144"</f>
        <v>9727Q96144</v>
      </c>
      <c r="E9919" s="1" t="s">
        <v>10</v>
      </c>
      <c r="F9919" s="1" t="str">
        <f>"10.10.71.10"</f>
        <v>10.10.71.10</v>
      </c>
      <c r="G9919" s="1" t="str">
        <f>"9727Q961"</f>
        <v>9727Q961</v>
      </c>
      <c r="H9919" s="1" t="str">
        <f>"백련간 19R11L3"</f>
        <v>백련간 19R11L3</v>
      </c>
      <c r="I9919" s="1" t="s">
        <v>8</v>
      </c>
      <c r="J9919" s="1" t="str">
        <f>"26/33"</f>
        <v>26/33</v>
      </c>
      <c r="K9919" s="1" t="str">
        <f t="shared" si="501"/>
        <v>2026-07-29 13:18:11</v>
      </c>
      <c r="L9919" s="1" t="str">
        <f>"2019-11-07 11:43:03"</f>
        <v>2019-11-07 11:43:03</v>
      </c>
      <c r="M9919" s="1" t="s">
        <v>1</v>
      </c>
      <c r="N9919" s="1" t="s">
        <v>38</v>
      </c>
      <c r="O9919" s="1" t="s">
        <v>46</v>
      </c>
    </row>
    <row r="9920" spans="2:15" x14ac:dyDescent="0.3">
      <c r="B9920" s="1" t="s">
        <v>21</v>
      </c>
      <c r="C9920" s="1" t="str">
        <f>"4차"</f>
        <v>4차</v>
      </c>
      <c r="D9920" s="1" t="str">
        <f>"9727Q97244"</f>
        <v>9727Q97244</v>
      </c>
      <c r="E9920" s="1" t="s">
        <v>10</v>
      </c>
      <c r="F9920" s="1" t="str">
        <f>"10.10.71.2"</f>
        <v>10.10.71.2</v>
      </c>
      <c r="G9920" s="1" t="str">
        <f>"9727Q972"</f>
        <v>9727Q972</v>
      </c>
      <c r="H9920" s="1" t="str">
        <f>"백련간 19R11L1"</f>
        <v>백련간 19R11L1</v>
      </c>
      <c r="I9920" s="1" t="s">
        <v>8</v>
      </c>
      <c r="J9920" s="1" t="str">
        <f>"48/49"</f>
        <v>48/49</v>
      </c>
      <c r="K9920" s="1" t="str">
        <f t="shared" si="501"/>
        <v>2026-07-29 13:18:11</v>
      </c>
      <c r="L9920" s="1" t="str">
        <f>"2019-10-29 18:43:04"</f>
        <v>2019-10-29 18:43:04</v>
      </c>
      <c r="M9920" s="1" t="s">
        <v>1</v>
      </c>
      <c r="N9920" s="1" t="s">
        <v>38</v>
      </c>
      <c r="O9920" s="1" t="s">
        <v>46</v>
      </c>
    </row>
    <row r="9921" spans="2:15" x14ac:dyDescent="0.3">
      <c r="B9921" s="1" t="s">
        <v>21</v>
      </c>
      <c r="C9921" s="1" t="str">
        <f>"3차"</f>
        <v>3차</v>
      </c>
      <c r="D9921" s="1" t="str">
        <f>"9727Q98339"</f>
        <v>9727Q98339</v>
      </c>
      <c r="E9921" s="1" t="s">
        <v>10</v>
      </c>
      <c r="F9921" s="1" t="str">
        <f>"10.11.101.26"</f>
        <v>10.11.101.26</v>
      </c>
      <c r="G9921" s="1" t="str">
        <f>"9727Q983"</f>
        <v>9727Q983</v>
      </c>
      <c r="H9921" s="1" t="str">
        <f>"백련간 19R12"</f>
        <v>백련간 19R12</v>
      </c>
      <c r="I9921" s="1" t="s">
        <v>8</v>
      </c>
      <c r="J9921" s="1" t="str">
        <f>"33/33"</f>
        <v>33/33</v>
      </c>
      <c r="K9921" s="1" t="str">
        <f t="shared" si="501"/>
        <v>2026-07-29 13:18:11</v>
      </c>
      <c r="L9921" s="1" t="str">
        <f>"2018-04-24 11:13:27"</f>
        <v>2018-04-24 11:13:27</v>
      </c>
      <c r="M9921" s="1" t="s">
        <v>2</v>
      </c>
      <c r="N9921" s="1" t="s">
        <v>38</v>
      </c>
      <c r="O9921" s="1" t="s">
        <v>46</v>
      </c>
    </row>
    <row r="9922" spans="2:15" x14ac:dyDescent="0.3">
      <c r="B9922" s="1" t="s">
        <v>21</v>
      </c>
      <c r="C9922" s="1" t="str">
        <f>"3차"</f>
        <v>3차</v>
      </c>
      <c r="D9922" s="1" t="str">
        <f>"9727R03239"</f>
        <v>9727R03239</v>
      </c>
      <c r="E9922" s="1" t="s">
        <v>10</v>
      </c>
      <c r="F9922" s="1" t="str">
        <f>"10.128.114.2"</f>
        <v>10.128.114.2</v>
      </c>
      <c r="G9922" s="1" t="str">
        <f>"9727R032"</f>
        <v>9727R032</v>
      </c>
      <c r="H9922" s="1" t="str">
        <f>"명지간 15L4"</f>
        <v>명지간 15L4</v>
      </c>
      <c r="I9922" s="1" t="s">
        <v>8</v>
      </c>
      <c r="J9922" s="1" t="str">
        <f>"71/77"</f>
        <v>71/77</v>
      </c>
      <c r="K9922" s="1" t="str">
        <f t="shared" si="501"/>
        <v>2026-07-29 13:18:11</v>
      </c>
      <c r="L9922" s="1" t="str">
        <f>"2018-05-10 15:36:27"</f>
        <v>2018-05-10 15:36:27</v>
      </c>
      <c r="M9922" s="1" t="s">
        <v>45</v>
      </c>
      <c r="N9922" s="1" t="s">
        <v>38</v>
      </c>
      <c r="O9922" s="1" t="s">
        <v>46</v>
      </c>
    </row>
    <row r="9923" spans="2:15" x14ac:dyDescent="0.3">
      <c r="B9923" s="1" t="s">
        <v>21</v>
      </c>
      <c r="C9923" s="1" t="str">
        <f>"4차"</f>
        <v>4차</v>
      </c>
      <c r="D9923" s="1" t="str">
        <f>"9727R03339"</f>
        <v>9727R03339</v>
      </c>
      <c r="E9923" s="1" t="s">
        <v>10</v>
      </c>
      <c r="F9923" s="1" t="str">
        <f>"10.128.114.4"</f>
        <v>10.128.114.4</v>
      </c>
      <c r="G9923" s="1" t="str">
        <f>"9727R033"</f>
        <v>9727R033</v>
      </c>
      <c r="H9923" s="1" t="str">
        <f>"명지간 15L5"</f>
        <v>명지간 15L5</v>
      </c>
      <c r="I9923" s="1" t="s">
        <v>8</v>
      </c>
      <c r="J9923" s="1" t="str">
        <f>"160/160"</f>
        <v>160/160</v>
      </c>
      <c r="K9923" s="1" t="str">
        <f t="shared" si="501"/>
        <v>2026-07-29 13:18:11</v>
      </c>
      <c r="L9923" s="1" t="str">
        <f>"2018-05-10 15:42:56"</f>
        <v>2018-05-10 15:42:56</v>
      </c>
      <c r="M9923" s="1" t="s">
        <v>45</v>
      </c>
      <c r="N9923" s="1" t="s">
        <v>38</v>
      </c>
      <c r="O9923" s="1" t="s">
        <v>46</v>
      </c>
    </row>
    <row r="9924" spans="2:15" x14ac:dyDescent="0.3">
      <c r="B9924" s="1" t="s">
        <v>21</v>
      </c>
      <c r="C9924" s="1" t="str">
        <f>"3차"</f>
        <v>3차</v>
      </c>
      <c r="D9924" s="1" t="str">
        <f>"9727R04239"</f>
        <v>9727R04239</v>
      </c>
      <c r="E9924" s="1" t="s">
        <v>10</v>
      </c>
      <c r="F9924" s="1" t="str">
        <f>"10.128.114.212"</f>
        <v>10.128.114.212</v>
      </c>
      <c r="G9924" s="1" t="str">
        <f>"9727R042"</f>
        <v>9727R042</v>
      </c>
      <c r="H9924" s="1" t="str">
        <f>"명지간 13L2R1"</f>
        <v>명지간 13L2R1</v>
      </c>
      <c r="I9924" s="1" t="s">
        <v>8</v>
      </c>
      <c r="J9924" s="1" t="str">
        <f>"87/88"</f>
        <v>87/88</v>
      </c>
      <c r="K9924" s="1" t="str">
        <f t="shared" si="501"/>
        <v>2026-07-29 13:18:11</v>
      </c>
      <c r="L9924" s="1" t="str">
        <f>"2018-06-21 15:23:27"</f>
        <v>2018-06-21 15:23:27</v>
      </c>
      <c r="M9924" s="1" t="s">
        <v>45</v>
      </c>
      <c r="N9924" s="1" t="s">
        <v>38</v>
      </c>
      <c r="O9924" s="1" t="s">
        <v>46</v>
      </c>
    </row>
    <row r="9925" spans="2:15" x14ac:dyDescent="0.3">
      <c r="B9925" s="1" t="s">
        <v>21</v>
      </c>
      <c r="C9925" s="1" t="str">
        <f>"3차"</f>
        <v>3차</v>
      </c>
      <c r="D9925" s="1" t="str">
        <f>"9727R07139"</f>
        <v>9727R07139</v>
      </c>
      <c r="E9925" s="1" t="s">
        <v>10</v>
      </c>
      <c r="F9925" s="1" t="str">
        <f>"10.128.115.178"</f>
        <v>10.128.115.178</v>
      </c>
      <c r="G9925" s="1" t="str">
        <f>"9727R071"</f>
        <v>9727R071</v>
      </c>
      <c r="H9925" s="1" t="str">
        <f>"명지간 13R2L2"</f>
        <v>명지간 13R2L2</v>
      </c>
      <c r="I9925" s="1" t="s">
        <v>8</v>
      </c>
      <c r="J9925" s="1" t="str">
        <f>"75/78"</f>
        <v>75/78</v>
      </c>
      <c r="K9925" s="1" t="str">
        <f t="shared" si="501"/>
        <v>2026-07-29 13:18:11</v>
      </c>
      <c r="L9925" s="1" t="str">
        <f>"2018-07-06 09:23:09"</f>
        <v>2018-07-06 09:23:09</v>
      </c>
      <c r="M9925" s="1" t="s">
        <v>45</v>
      </c>
      <c r="N9925" s="1" t="s">
        <v>38</v>
      </c>
      <c r="O9925" s="1" t="s">
        <v>46</v>
      </c>
    </row>
    <row r="9926" spans="2:15" x14ac:dyDescent="0.3">
      <c r="B9926" s="1" t="s">
        <v>21</v>
      </c>
      <c r="C9926" s="1" t="str">
        <f>"3차"</f>
        <v>3차</v>
      </c>
      <c r="D9926" s="1" t="str">
        <f>"9727R07539"</f>
        <v>9727R07539</v>
      </c>
      <c r="E9926" s="1" t="s">
        <v>10</v>
      </c>
      <c r="F9926" s="1" t="str">
        <f>"10.128.115.84"</f>
        <v>10.128.115.84</v>
      </c>
      <c r="G9926" s="1" t="str">
        <f>"9727R075"</f>
        <v>9727R075</v>
      </c>
      <c r="H9926" s="1" t="str">
        <f>"명지간 13R2L3"</f>
        <v>명지간 13R2L3</v>
      </c>
      <c r="I9926" s="1" t="s">
        <v>8</v>
      </c>
      <c r="J9926" s="1" t="str">
        <f>"76/81"</f>
        <v>76/81</v>
      </c>
      <c r="K9926" s="1" t="str">
        <f t="shared" si="501"/>
        <v>2026-07-29 13:18:11</v>
      </c>
      <c r="L9926" s="1" t="str">
        <f>"2018-06-21 13:12:55"</f>
        <v>2018-06-21 13:12:55</v>
      </c>
      <c r="M9926" s="1" t="s">
        <v>45</v>
      </c>
      <c r="N9926" s="1" t="s">
        <v>38</v>
      </c>
      <c r="O9926" s="1" t="s">
        <v>46</v>
      </c>
    </row>
    <row r="9927" spans="2:15" x14ac:dyDescent="0.3">
      <c r="B9927" s="1" t="s">
        <v>21</v>
      </c>
      <c r="C9927" s="1" t="str">
        <f>"3차"</f>
        <v>3차</v>
      </c>
      <c r="D9927" s="1" t="str">
        <f>"9727R08139"</f>
        <v>9727R08139</v>
      </c>
      <c r="E9927" s="1" t="s">
        <v>10</v>
      </c>
      <c r="F9927" s="1" t="str">
        <f>"10.128.114.26"</f>
        <v>10.128.114.26</v>
      </c>
      <c r="G9927" s="1" t="str">
        <f>"9727R081"</f>
        <v>9727R081</v>
      </c>
      <c r="H9927" s="1" t="str">
        <f>"명지간 13R3"</f>
        <v>명지간 13R3</v>
      </c>
      <c r="I9927" s="1" t="s">
        <v>8</v>
      </c>
      <c r="J9927" s="1" t="str">
        <f>"63/63"</f>
        <v>63/63</v>
      </c>
      <c r="K9927" s="1" t="str">
        <f t="shared" si="501"/>
        <v>2026-07-29 13:18:11</v>
      </c>
      <c r="L9927" s="1" t="str">
        <f>"2018-04-06 10:37:54"</f>
        <v>2018-04-06 10:37:54</v>
      </c>
      <c r="M9927" s="1" t="s">
        <v>45</v>
      </c>
      <c r="N9927" s="1" t="s">
        <v>38</v>
      </c>
      <c r="O9927" s="1" t="s">
        <v>46</v>
      </c>
    </row>
    <row r="9928" spans="2:15" x14ac:dyDescent="0.3">
      <c r="B9928" s="1" t="s">
        <v>21</v>
      </c>
      <c r="C9928" s="1" t="str">
        <f>"4차"</f>
        <v>4차</v>
      </c>
      <c r="D9928" s="1" t="str">
        <f>"9727R08239"</f>
        <v>9727R08239</v>
      </c>
      <c r="E9928" s="1" t="s">
        <v>10</v>
      </c>
      <c r="F9928" s="1" t="str">
        <f>"10.128.115.179"</f>
        <v>10.128.115.179</v>
      </c>
      <c r="G9928" s="1" t="str">
        <f>"9727R082"</f>
        <v>9727R082</v>
      </c>
      <c r="H9928" s="1" t="str">
        <f>"명지간 13R2L2R1"</f>
        <v>명지간 13R2L2R1</v>
      </c>
      <c r="I9928" s="1" t="s">
        <v>8</v>
      </c>
      <c r="J9928" s="1" t="str">
        <f>"70/70"</f>
        <v>70/70</v>
      </c>
      <c r="K9928" s="1" t="str">
        <f t="shared" si="501"/>
        <v>2026-07-29 13:18:11</v>
      </c>
      <c r="L9928" s="1" t="str">
        <f>"2018-07-06 09:19:13"</f>
        <v>2018-07-06 09:19:13</v>
      </c>
      <c r="M9928" s="1" t="s">
        <v>45</v>
      </c>
      <c r="N9928" s="1" t="s">
        <v>38</v>
      </c>
      <c r="O9928" s="1" t="s">
        <v>46</v>
      </c>
    </row>
    <row r="9929" spans="2:15" x14ac:dyDescent="0.3">
      <c r="B9929" s="1" t="s">
        <v>21</v>
      </c>
      <c r="C9929" s="1" t="str">
        <f>"3차"</f>
        <v>3차</v>
      </c>
      <c r="D9929" s="1" t="str">
        <f>"9727R09139"</f>
        <v>9727R09139</v>
      </c>
      <c r="E9929" s="1" t="s">
        <v>10</v>
      </c>
      <c r="F9929" s="1" t="str">
        <f>"10.128.114.27"</f>
        <v>10.128.114.27</v>
      </c>
      <c r="G9929" s="1" t="str">
        <f>"9727R091"</f>
        <v>9727R091</v>
      </c>
      <c r="H9929" s="1" t="str">
        <f>"명지간 13R4"</f>
        <v>명지간 13R4</v>
      </c>
      <c r="I9929" s="1" t="s">
        <v>8</v>
      </c>
      <c r="J9929" s="1" t="str">
        <f>"9/9"</f>
        <v>9/9</v>
      </c>
      <c r="K9929" s="1" t="str">
        <f t="shared" si="501"/>
        <v>2026-07-29 13:18:11</v>
      </c>
      <c r="L9929" s="1" t="str">
        <f>"2018-03-27 15:40:58"</f>
        <v>2018-03-27 15:40:58</v>
      </c>
      <c r="M9929" s="1" t="s">
        <v>45</v>
      </c>
      <c r="N9929" s="1" t="s">
        <v>38</v>
      </c>
      <c r="O9929" s="1" t="s">
        <v>46</v>
      </c>
    </row>
    <row r="9930" spans="2:15" x14ac:dyDescent="0.3">
      <c r="B9930" s="1" t="s">
        <v>21</v>
      </c>
      <c r="C9930" s="1" t="str">
        <f>"3차"</f>
        <v>3차</v>
      </c>
      <c r="D9930" s="1" t="str">
        <f>"9727R09339"</f>
        <v>9727R09339</v>
      </c>
      <c r="E9930" s="1" t="s">
        <v>10</v>
      </c>
      <c r="F9930" s="1" t="str">
        <f>"10.128.114.28"</f>
        <v>10.128.114.28</v>
      </c>
      <c r="G9930" s="1" t="str">
        <f>"9727R093"</f>
        <v>9727R093</v>
      </c>
      <c r="H9930" s="1" t="str">
        <f>"명지간 13R5"</f>
        <v>명지간 13R5</v>
      </c>
      <c r="I9930" s="1" t="s">
        <v>8</v>
      </c>
      <c r="J9930" s="1" t="str">
        <f>"14/14"</f>
        <v>14/14</v>
      </c>
      <c r="K9930" s="1" t="str">
        <f t="shared" si="501"/>
        <v>2026-07-29 13:18:11</v>
      </c>
      <c r="L9930" s="1" t="str">
        <f>"2018-04-09 09:51:09"</f>
        <v>2018-04-09 09:51:09</v>
      </c>
      <c r="M9930" s="1" t="s">
        <v>45</v>
      </c>
      <c r="N9930" s="1" t="s">
        <v>38</v>
      </c>
      <c r="O9930" s="1" t="s">
        <v>46</v>
      </c>
    </row>
    <row r="9931" spans="2:15" x14ac:dyDescent="0.3">
      <c r="B9931" s="1" t="s">
        <v>21</v>
      </c>
      <c r="C9931" s="1" t="str">
        <f>"3차"</f>
        <v>3차</v>
      </c>
      <c r="D9931" s="1" t="str">
        <f>"9727R13139"</f>
        <v>9727R13139</v>
      </c>
      <c r="E9931" s="1" t="s">
        <v>10</v>
      </c>
      <c r="F9931" s="1" t="str">
        <f>"10.128.114.5"</f>
        <v>10.128.114.5</v>
      </c>
      <c r="G9931" s="1" t="str">
        <f>"9727R131"</f>
        <v>9727R131</v>
      </c>
      <c r="H9931" s="1" t="str">
        <f>"명지간 15L5L1"</f>
        <v>명지간 15L5L1</v>
      </c>
      <c r="I9931" s="1" t="s">
        <v>8</v>
      </c>
      <c r="J9931" s="1" t="str">
        <f>"144/169"</f>
        <v>144/169</v>
      </c>
      <c r="K9931" s="1" t="str">
        <f t="shared" si="501"/>
        <v>2026-07-29 13:18:11</v>
      </c>
      <c r="L9931" s="1" t="str">
        <f>"2018-05-23 17:38:43"</f>
        <v>2018-05-23 17:38:43</v>
      </c>
      <c r="M9931" s="1" t="s">
        <v>45</v>
      </c>
      <c r="N9931" s="1" t="s">
        <v>38</v>
      </c>
      <c r="O9931" s="1" t="s">
        <v>46</v>
      </c>
    </row>
    <row r="9932" spans="2:15" x14ac:dyDescent="0.3">
      <c r="B9932" s="1" t="s">
        <v>21</v>
      </c>
      <c r="C9932" s="1" t="str">
        <f>"3차"</f>
        <v>3차</v>
      </c>
      <c r="D9932" s="1" t="str">
        <f>"9727R15239"</f>
        <v>9727R15239</v>
      </c>
      <c r="E9932" s="1" t="s">
        <v>10</v>
      </c>
      <c r="F9932" s="1" t="str">
        <f>"10.128.115.169"</f>
        <v>10.128.115.169</v>
      </c>
      <c r="G9932" s="1" t="str">
        <f>"9727R152"</f>
        <v>9727R152</v>
      </c>
      <c r="H9932" s="1" t="str">
        <f>"명지간 13L1R1"</f>
        <v>명지간 13L1R1</v>
      </c>
      <c r="I9932" s="1" t="s">
        <v>8</v>
      </c>
      <c r="J9932" s="1" t="str">
        <f>"27/30"</f>
        <v>27/30</v>
      </c>
      <c r="K9932" s="1" t="str">
        <f t="shared" si="501"/>
        <v>2026-07-29 13:18:11</v>
      </c>
      <c r="L9932" s="1" t="str">
        <f>"2018-06-21 15:08:57"</f>
        <v>2018-06-21 15:08:57</v>
      </c>
      <c r="M9932" s="1" t="s">
        <v>45</v>
      </c>
      <c r="N9932" s="1" t="s">
        <v>38</v>
      </c>
      <c r="O9932" s="1" t="s">
        <v>46</v>
      </c>
    </row>
    <row r="9933" spans="2:15" x14ac:dyDescent="0.3">
      <c r="B9933" s="1" t="s">
        <v>21</v>
      </c>
      <c r="C9933" s="1" t="str">
        <f>"3차"</f>
        <v>3차</v>
      </c>
      <c r="D9933" s="1" t="str">
        <f>"9727R15339"</f>
        <v>9727R15339</v>
      </c>
      <c r="E9933" s="1" t="s">
        <v>10</v>
      </c>
      <c r="F9933" s="1" t="str">
        <f>"10.128.115.83"</f>
        <v>10.128.115.83</v>
      </c>
      <c r="G9933" s="1" t="str">
        <f>"9727R153"</f>
        <v>9727R153</v>
      </c>
      <c r="H9933" s="1" t="str">
        <f>"명지간 13L2"</f>
        <v>명지간 13L2</v>
      </c>
      <c r="I9933" s="1" t="s">
        <v>8</v>
      </c>
      <c r="J9933" s="1" t="str">
        <f>"59/59"</f>
        <v>59/59</v>
      </c>
      <c r="K9933" s="1" t="str">
        <f t="shared" si="501"/>
        <v>2026-07-29 13:18:11</v>
      </c>
      <c r="L9933" s="1" t="str">
        <f>"2023-08-01 17:34:58"</f>
        <v>2023-08-01 17:34:58</v>
      </c>
      <c r="M9933" s="1" t="s">
        <v>45</v>
      </c>
      <c r="N9933" s="1" t="s">
        <v>38</v>
      </c>
      <c r="O9933" s="1" t="s">
        <v>46</v>
      </c>
    </row>
    <row r="9934" spans="2:15" x14ac:dyDescent="0.3">
      <c r="B9934" s="1" t="s">
        <v>21</v>
      </c>
      <c r="C9934" s="1" t="str">
        <f>"4차"</f>
        <v>4차</v>
      </c>
      <c r="D9934" s="1" t="str">
        <f>"9727R15439"</f>
        <v>9727R15439</v>
      </c>
      <c r="E9934" s="1" t="s">
        <v>10</v>
      </c>
      <c r="F9934" s="1" t="str">
        <f>"10.128.115.88"</f>
        <v>10.128.115.88</v>
      </c>
      <c r="G9934" s="1" t="str">
        <f>"9727R154"</f>
        <v>9727R154</v>
      </c>
      <c r="H9934" s="1" t="str">
        <f>"명지간 13L1"</f>
        <v>명지간 13L1</v>
      </c>
      <c r="I9934" s="1" t="s">
        <v>8</v>
      </c>
      <c r="J9934" s="1" t="str">
        <f>"83/88"</f>
        <v>83/88</v>
      </c>
      <c r="K9934" s="1" t="str">
        <f t="shared" si="501"/>
        <v>2026-07-29 13:18:11</v>
      </c>
      <c r="L9934" s="1" t="str">
        <f>"2018-07-18 11:28:04"</f>
        <v>2018-07-18 11:28:04</v>
      </c>
      <c r="M9934" s="1" t="s">
        <v>45</v>
      </c>
      <c r="N9934" s="1" t="s">
        <v>38</v>
      </c>
      <c r="O9934" s="1" t="s">
        <v>46</v>
      </c>
    </row>
    <row r="9935" spans="2:15" x14ac:dyDescent="0.3">
      <c r="B9935" s="1" t="s">
        <v>21</v>
      </c>
      <c r="C9935" s="1" t="str">
        <f>"4차"</f>
        <v>4차</v>
      </c>
      <c r="D9935" s="1" t="str">
        <f>"9727R16339"</f>
        <v>9727R16339</v>
      </c>
      <c r="E9935" s="1" t="s">
        <v>10</v>
      </c>
      <c r="F9935" s="1" t="str">
        <f>"10.128.114.6"</f>
        <v>10.128.114.6</v>
      </c>
      <c r="G9935" s="1" t="str">
        <f>"9727R163"</f>
        <v>9727R163</v>
      </c>
      <c r="H9935" s="1" t="str">
        <f>"명지간 13"</f>
        <v>명지간 13</v>
      </c>
      <c r="I9935" s="1" t="s">
        <v>8</v>
      </c>
      <c r="J9935" s="1" t="str">
        <f>"57/63"</f>
        <v>57/63</v>
      </c>
      <c r="K9935" s="1" t="str">
        <f>"2026-07-29 13:18:12"</f>
        <v>2026-07-29 13:18:12</v>
      </c>
      <c r="L9935" s="1" t="str">
        <f>"2018-05-23 17:42:44"</f>
        <v>2018-05-23 17:42:44</v>
      </c>
      <c r="M9935" s="1" t="s">
        <v>45</v>
      </c>
      <c r="N9935" s="1" t="s">
        <v>38</v>
      </c>
      <c r="O9935" s="1" t="s">
        <v>46</v>
      </c>
    </row>
    <row r="9936" spans="2:15" x14ac:dyDescent="0.3">
      <c r="B9936" s="1" t="s">
        <v>21</v>
      </c>
      <c r="C9936" s="1" t="str">
        <f>"4차"</f>
        <v>4차</v>
      </c>
      <c r="D9936" s="1" t="str">
        <f>"9727R17139"</f>
        <v>9727R17139</v>
      </c>
      <c r="E9936" s="1" t="s">
        <v>10</v>
      </c>
      <c r="F9936" s="1" t="str">
        <f>"10.128.114.21"</f>
        <v>10.128.114.21</v>
      </c>
      <c r="G9936" s="1" t="str">
        <f>"9727R171"</f>
        <v>9727R171</v>
      </c>
      <c r="H9936" s="1" t="str">
        <f>"명지간 13R2L1"</f>
        <v>명지간 13R2L1</v>
      </c>
      <c r="I9936" s="1" t="s">
        <v>8</v>
      </c>
      <c r="J9936" s="1" t="str">
        <f>"57/57"</f>
        <v>57/57</v>
      </c>
      <c r="K9936" s="1" t="str">
        <f>"2026-07-29 13:18:12"</f>
        <v>2026-07-29 13:18:12</v>
      </c>
      <c r="L9936" s="1" t="str">
        <f>"2018-04-20 13:31:40"</f>
        <v>2018-04-20 13:31:40</v>
      </c>
      <c r="M9936" s="1" t="s">
        <v>45</v>
      </c>
      <c r="N9936" s="1" t="s">
        <v>38</v>
      </c>
      <c r="O9936" s="1" t="s">
        <v>46</v>
      </c>
    </row>
    <row r="9937" spans="2:15" x14ac:dyDescent="0.3">
      <c r="B9937" s="1" t="s">
        <v>21</v>
      </c>
      <c r="C9937" s="1" t="str">
        <f>"4차"</f>
        <v>4차</v>
      </c>
      <c r="D9937" s="1" t="str">
        <f>"9727R17239"</f>
        <v>9727R17239</v>
      </c>
      <c r="E9937" s="1" t="s">
        <v>10</v>
      </c>
      <c r="F9937" s="1" t="str">
        <f>"10.128.115.82"</f>
        <v>10.128.115.82</v>
      </c>
      <c r="G9937" s="1" t="str">
        <f>"9727R172"</f>
        <v>9727R172</v>
      </c>
      <c r="H9937" s="1" t="str">
        <f>"명지간 13R2L1R1"</f>
        <v>명지간 13R2L1R1</v>
      </c>
      <c r="I9937" s="1" t="s">
        <v>8</v>
      </c>
      <c r="J9937" s="1" t="str">
        <f>"57/61"</f>
        <v>57/61</v>
      </c>
      <c r="K9937" s="1" t="str">
        <f t="shared" ref="K9937:K9942" si="502">"2026-07-29 13:18:11"</f>
        <v>2026-07-29 13:18:11</v>
      </c>
      <c r="L9937" s="1" t="str">
        <f>"2018-06-12 11:23:09"</f>
        <v>2018-06-12 11:23:09</v>
      </c>
      <c r="M9937" s="1" t="s">
        <v>45</v>
      </c>
      <c r="N9937" s="1" t="s">
        <v>38</v>
      </c>
      <c r="O9937" s="1" t="s">
        <v>46</v>
      </c>
    </row>
    <row r="9938" spans="2:15" x14ac:dyDescent="0.3">
      <c r="B9938" s="1" t="s">
        <v>21</v>
      </c>
      <c r="C9938" s="1" t="str">
        <f>"4차"</f>
        <v>4차</v>
      </c>
      <c r="D9938" s="1" t="str">
        <f>"9727R18139"</f>
        <v>9727R18139</v>
      </c>
      <c r="E9938" s="1" t="s">
        <v>10</v>
      </c>
      <c r="F9938" s="1" t="str">
        <f>"10.128.114.24"</f>
        <v>10.128.114.24</v>
      </c>
      <c r="G9938" s="1" t="str">
        <f>"9727R181"</f>
        <v>9727R181</v>
      </c>
      <c r="H9938" s="1" t="str">
        <f>"명지간 13R2L1R1L1"</f>
        <v>명지간 13R2L1R1L1</v>
      </c>
      <c r="I9938" s="1" t="s">
        <v>8</v>
      </c>
      <c r="J9938" s="1" t="str">
        <f>"58/58"</f>
        <v>58/58</v>
      </c>
      <c r="K9938" s="1" t="str">
        <f t="shared" si="502"/>
        <v>2026-07-29 13:18:11</v>
      </c>
      <c r="L9938" s="1" t="str">
        <f>"2018-04-30 14:16:42"</f>
        <v>2018-04-30 14:16:42</v>
      </c>
      <c r="M9938" s="1" t="s">
        <v>45</v>
      </c>
      <c r="N9938" s="1" t="s">
        <v>38</v>
      </c>
      <c r="O9938" s="1" t="s">
        <v>46</v>
      </c>
    </row>
    <row r="9939" spans="2:15" x14ac:dyDescent="0.3">
      <c r="B9939" s="1" t="s">
        <v>21</v>
      </c>
      <c r="C9939" s="1" t="str">
        <f>"3차"</f>
        <v>3차</v>
      </c>
      <c r="D9939" s="1" t="str">
        <f>"9727R25139"</f>
        <v>9727R25139</v>
      </c>
      <c r="E9939" s="1" t="s">
        <v>10</v>
      </c>
      <c r="F9939" s="1" t="str">
        <f>"10.128.114.20"</f>
        <v>10.128.114.20</v>
      </c>
      <c r="G9939" s="1" t="str">
        <f>"9727R251"</f>
        <v>9727R251</v>
      </c>
      <c r="H9939" s="1" t="str">
        <f>"명지간 13L2L1"</f>
        <v>명지간 13L2L1</v>
      </c>
      <c r="I9939" s="1" t="s">
        <v>8</v>
      </c>
      <c r="J9939" s="1" t="str">
        <f>"58/58"</f>
        <v>58/58</v>
      </c>
      <c r="K9939" s="1" t="str">
        <f t="shared" si="502"/>
        <v>2026-07-29 13:18:11</v>
      </c>
      <c r="L9939" s="1" t="str">
        <f>"2018-04-20 13:10:41"</f>
        <v>2018-04-20 13:10:41</v>
      </c>
      <c r="M9939" s="1" t="s">
        <v>45</v>
      </c>
      <c r="N9939" s="1" t="s">
        <v>38</v>
      </c>
      <c r="O9939" s="1" t="s">
        <v>46</v>
      </c>
    </row>
    <row r="9940" spans="2:15" x14ac:dyDescent="0.3">
      <c r="B9940" s="1" t="s">
        <v>21</v>
      </c>
      <c r="C9940" s="1" t="str">
        <f>"3차"</f>
        <v>3차</v>
      </c>
      <c r="D9940" s="1" t="str">
        <f>"9727R27139"</f>
        <v>9727R27139</v>
      </c>
      <c r="E9940" s="1" t="s">
        <v>10</v>
      </c>
      <c r="F9940" s="1" t="str">
        <f>"10.128.114.22"</f>
        <v>10.128.114.22</v>
      </c>
      <c r="G9940" s="1" t="str">
        <f>"9727R271"</f>
        <v>9727R271</v>
      </c>
      <c r="H9940" s="1" t="str">
        <f>"명지간 13R2L1R3"</f>
        <v>명지간 13R2L1R3</v>
      </c>
      <c r="I9940" s="1" t="s">
        <v>8</v>
      </c>
      <c r="J9940" s="1" t="str">
        <f>"48/48"</f>
        <v>48/48</v>
      </c>
      <c r="K9940" s="1" t="str">
        <f t="shared" si="502"/>
        <v>2026-07-29 13:18:11</v>
      </c>
      <c r="L9940" s="1" t="str">
        <f>"2018-04-06 10:33:25"</f>
        <v>2018-04-06 10:33:25</v>
      </c>
      <c r="M9940" s="1" t="s">
        <v>45</v>
      </c>
      <c r="N9940" s="1" t="s">
        <v>38</v>
      </c>
      <c r="O9940" s="1" t="s">
        <v>46</v>
      </c>
    </row>
    <row r="9941" spans="2:15" x14ac:dyDescent="0.3">
      <c r="B9941" s="1" t="s">
        <v>21</v>
      </c>
      <c r="C9941" s="1" t="str">
        <f>"3차"</f>
        <v>3차</v>
      </c>
      <c r="D9941" s="1" t="str">
        <f>"9727R28139"</f>
        <v>9727R28139</v>
      </c>
      <c r="E9941" s="1" t="s">
        <v>10</v>
      </c>
      <c r="F9941" s="1" t="str">
        <f>"10.128.114.23"</f>
        <v>10.128.114.23</v>
      </c>
      <c r="G9941" s="1" t="str">
        <f>"9727R281"</f>
        <v>9727R281</v>
      </c>
      <c r="H9941" s="1" t="str">
        <f>"명지간 13R2L1R2"</f>
        <v>명지간 13R2L1R2</v>
      </c>
      <c r="I9941" s="1" t="s">
        <v>8</v>
      </c>
      <c r="J9941" s="1" t="str">
        <f>"77/77"</f>
        <v>77/77</v>
      </c>
      <c r="K9941" s="1" t="str">
        <f t="shared" si="502"/>
        <v>2026-07-29 13:18:11</v>
      </c>
      <c r="L9941" s="1" t="str">
        <f>"2018-03-27 15:40:58"</f>
        <v>2018-03-27 15:40:58</v>
      </c>
      <c r="M9941" s="1" t="s">
        <v>45</v>
      </c>
      <c r="N9941" s="1" t="s">
        <v>38</v>
      </c>
      <c r="O9941" s="1" t="s">
        <v>46</v>
      </c>
    </row>
    <row r="9942" spans="2:15" x14ac:dyDescent="0.3">
      <c r="B9942" s="1" t="s">
        <v>21</v>
      </c>
      <c r="C9942" s="1" t="str">
        <f>"3차"</f>
        <v>3차</v>
      </c>
      <c r="D9942" s="1" t="str">
        <f>"9727R36139"</f>
        <v>9727R36139</v>
      </c>
      <c r="E9942" s="1" t="s">
        <v>10</v>
      </c>
      <c r="F9942" s="1" t="str">
        <f>"10.128.114.35"</f>
        <v>10.128.114.35</v>
      </c>
      <c r="G9942" s="1" t="str">
        <f>"9727R361"</f>
        <v>9727R361</v>
      </c>
      <c r="H9942" s="1" t="str">
        <f>"명지간 11"</f>
        <v>명지간 11</v>
      </c>
      <c r="I9942" s="1" t="s">
        <v>8</v>
      </c>
      <c r="J9942" s="1" t="str">
        <f>"78/78"</f>
        <v>78/78</v>
      </c>
      <c r="K9942" s="1" t="str">
        <f t="shared" si="502"/>
        <v>2026-07-29 13:18:11</v>
      </c>
      <c r="L9942" s="1" t="str">
        <f>"2018-05-09 13:52:11"</f>
        <v>2018-05-09 13:52:11</v>
      </c>
      <c r="M9942" s="1" t="s">
        <v>45</v>
      </c>
      <c r="N9942" s="1" t="s">
        <v>38</v>
      </c>
      <c r="O9942" s="1" t="s">
        <v>46</v>
      </c>
    </row>
    <row r="9943" spans="2:15" x14ac:dyDescent="0.3">
      <c r="B9943" s="1" t="s">
        <v>21</v>
      </c>
      <c r="C9943" s="1" t="str">
        <f>"5-2차"</f>
        <v>5-2차</v>
      </c>
      <c r="D9943" s="1" t="str">
        <f>"9727R3715M"</f>
        <v>9727R3715M</v>
      </c>
      <c r="E9943" s="1" t="s">
        <v>10</v>
      </c>
      <c r="F9943" s="1" t="str">
        <f>"fde1:103:4:93f3:0:0:0:2"</f>
        <v>fde1:103:4:93f3:0:0:0:2</v>
      </c>
      <c r="G9943" s="1" t="str">
        <f>"9727R371"</f>
        <v>9727R371</v>
      </c>
      <c r="H9943" s="1" t="str">
        <f>"명지간 8"</f>
        <v>명지간 8</v>
      </c>
      <c r="I9943" s="1" t="s">
        <v>15</v>
      </c>
      <c r="J9943" s="1" t="str">
        <f>"56/59"</f>
        <v>56/59</v>
      </c>
      <c r="K9943" s="1" t="str">
        <f>"2026-07-29 14:21:35"</f>
        <v>2026-07-29 14:21:35</v>
      </c>
      <c r="L9943" s="1" t="str">
        <f>"2023-12-15 09:04:20"</f>
        <v>2023-12-15 09:04:20</v>
      </c>
      <c r="M9943" s="1" t="s">
        <v>4</v>
      </c>
      <c r="N9943" s="1" t="s">
        <v>38</v>
      </c>
      <c r="O9943" s="1" t="s">
        <v>46</v>
      </c>
    </row>
    <row r="9944" spans="2:15" x14ac:dyDescent="0.3">
      <c r="B9944" s="1" t="s">
        <v>21</v>
      </c>
      <c r="C9944" s="1" t="str">
        <f>"3차"</f>
        <v>3차</v>
      </c>
      <c r="D9944" s="1" t="str">
        <f>"9727R38139"</f>
        <v>9727R38139</v>
      </c>
      <c r="E9944" s="1" t="s">
        <v>10</v>
      </c>
      <c r="F9944" s="1" t="str">
        <f>"10.128.114.38"</f>
        <v>10.128.114.38</v>
      </c>
      <c r="G9944" s="1" t="str">
        <f>"9727R381"</f>
        <v>9727R381</v>
      </c>
      <c r="H9944" s="1" t="str">
        <f>"명지간 7"</f>
        <v>명지간 7</v>
      </c>
      <c r="I9944" s="1" t="s">
        <v>8</v>
      </c>
      <c r="J9944" s="1" t="str">
        <f>"45/45"</f>
        <v>45/45</v>
      </c>
      <c r="K9944" s="1" t="str">
        <f t="shared" ref="K9944:K9950" si="503">"2026-07-29 13:18:11"</f>
        <v>2026-07-29 13:18:11</v>
      </c>
      <c r="L9944" s="1" t="str">
        <f>"2018-05-09 13:27:42"</f>
        <v>2018-05-09 13:27:42</v>
      </c>
      <c r="M9944" s="1" t="s">
        <v>45</v>
      </c>
      <c r="N9944" s="1" t="s">
        <v>38</v>
      </c>
      <c r="O9944" s="1" t="s">
        <v>46</v>
      </c>
    </row>
    <row r="9945" spans="2:15" x14ac:dyDescent="0.3">
      <c r="B9945" s="1" t="s">
        <v>21</v>
      </c>
      <c r="C9945" s="1" t="str">
        <f>"3차"</f>
        <v>3차</v>
      </c>
      <c r="D9945" s="1" t="str">
        <f>"9727R38239"</f>
        <v>9727R38239</v>
      </c>
      <c r="E9945" s="1" t="s">
        <v>10</v>
      </c>
      <c r="F9945" s="1" t="str">
        <f>"10.128.114.39"</f>
        <v>10.128.114.39</v>
      </c>
      <c r="G9945" s="1" t="str">
        <f>"9727R382"</f>
        <v>9727R382</v>
      </c>
      <c r="H9945" s="1" t="str">
        <f>"명지간 6"</f>
        <v>명지간 6</v>
      </c>
      <c r="I9945" s="1" t="s">
        <v>8</v>
      </c>
      <c r="J9945" s="1" t="str">
        <f>"5/6"</f>
        <v>5/6</v>
      </c>
      <c r="K9945" s="1" t="str">
        <f t="shared" si="503"/>
        <v>2026-07-29 13:18:11</v>
      </c>
      <c r="L9945" s="1" t="str">
        <f>"2018-03-27 15:37:12"</f>
        <v>2018-03-27 15:37:12</v>
      </c>
      <c r="M9945" s="1" t="s">
        <v>45</v>
      </c>
      <c r="N9945" s="1" t="s">
        <v>38</v>
      </c>
      <c r="O9945" s="1" t="s">
        <v>46</v>
      </c>
    </row>
    <row r="9946" spans="2:15" x14ac:dyDescent="0.3">
      <c r="B9946" s="1" t="s">
        <v>21</v>
      </c>
      <c r="C9946" s="1" t="str">
        <f>"3차"</f>
        <v>3차</v>
      </c>
      <c r="D9946" s="1" t="str">
        <f>"9727R39139"</f>
        <v>9727R39139</v>
      </c>
      <c r="E9946" s="1" t="s">
        <v>14</v>
      </c>
      <c r="F9946" s="1" t="str">
        <f>"10.128.114.40"</f>
        <v>10.128.114.40</v>
      </c>
      <c r="G9946" s="1" t="str">
        <f>"9727R391"</f>
        <v>9727R391</v>
      </c>
      <c r="H9946" s="1" t="str">
        <f>"명지간 5"</f>
        <v>명지간 5</v>
      </c>
      <c r="I9946" s="1" t="s">
        <v>8</v>
      </c>
      <c r="J9946" s="1" t="str">
        <f>"0/0"</f>
        <v>0/0</v>
      </c>
      <c r="K9946" s="1" t="str">
        <f t="shared" si="503"/>
        <v>2026-07-29 13:18:11</v>
      </c>
      <c r="L9946" s="1" t="str">
        <f>"2018-03-27 15:40:28"</f>
        <v>2018-03-27 15:40:28</v>
      </c>
      <c r="M9946" s="1" t="s">
        <v>45</v>
      </c>
      <c r="N9946" s="1" t="s">
        <v>38</v>
      </c>
      <c r="O9946" s="1" t="s">
        <v>44</v>
      </c>
    </row>
    <row r="9947" spans="2:15" x14ac:dyDescent="0.3">
      <c r="B9947" s="1" t="s">
        <v>21</v>
      </c>
      <c r="C9947" s="1" t="str">
        <f>"4차"</f>
        <v>4차</v>
      </c>
      <c r="D9947" s="1" t="str">
        <f>"9727R40344"</f>
        <v>9727R40344</v>
      </c>
      <c r="E9947" s="1" t="s">
        <v>10</v>
      </c>
      <c r="F9947" s="1" t="str">
        <f>"10.10.80.194"</f>
        <v>10.10.80.194</v>
      </c>
      <c r="G9947" s="1" t="str">
        <f>"9727R403"</f>
        <v>9727R403</v>
      </c>
      <c r="H9947" s="1" t="str">
        <f>"명지간 10L7A3"</f>
        <v>명지간 10L7A3</v>
      </c>
      <c r="I9947" s="1" t="s">
        <v>8</v>
      </c>
      <c r="J9947" s="1" t="str">
        <f>"3/3"</f>
        <v>3/3</v>
      </c>
      <c r="K9947" s="1" t="str">
        <f t="shared" si="503"/>
        <v>2026-07-29 13:18:11</v>
      </c>
      <c r="L9947" s="1" t="str">
        <f>"2019-10-14 15:37:35"</f>
        <v>2019-10-14 15:37:35</v>
      </c>
      <c r="M9947" s="1" t="s">
        <v>1</v>
      </c>
      <c r="N9947" s="1" t="s">
        <v>38</v>
      </c>
      <c r="O9947" s="1" t="s">
        <v>46</v>
      </c>
    </row>
    <row r="9948" spans="2:15" x14ac:dyDescent="0.3">
      <c r="B9948" s="1" t="s">
        <v>21</v>
      </c>
      <c r="C9948" s="1" t="str">
        <f>"3차"</f>
        <v>3차</v>
      </c>
      <c r="D9948" s="1" t="str">
        <f>"9727R44139"</f>
        <v>9727R44139</v>
      </c>
      <c r="E9948" s="1" t="s">
        <v>10</v>
      </c>
      <c r="F9948" s="1" t="str">
        <f>"10.128.115.56"</f>
        <v>10.128.115.56</v>
      </c>
      <c r="G9948" s="1" t="str">
        <f>"9727R441"</f>
        <v>9727R441</v>
      </c>
      <c r="H9948" s="1" t="str">
        <f>"명지간 10B3"</f>
        <v>명지간 10B3</v>
      </c>
      <c r="I9948" s="1" t="s">
        <v>8</v>
      </c>
      <c r="J9948" s="1" t="str">
        <f>"80/80"</f>
        <v>80/80</v>
      </c>
      <c r="K9948" s="1" t="str">
        <f t="shared" si="503"/>
        <v>2026-07-29 13:18:11</v>
      </c>
      <c r="L9948" s="1" t="str">
        <f>"2018-06-28 08:13:09"</f>
        <v>2018-06-28 08:13:09</v>
      </c>
      <c r="M9948" s="1" t="s">
        <v>45</v>
      </c>
      <c r="N9948" s="1" t="s">
        <v>38</v>
      </c>
      <c r="O9948" s="1" t="s">
        <v>46</v>
      </c>
    </row>
    <row r="9949" spans="2:15" x14ac:dyDescent="0.3">
      <c r="B9949" s="1" t="s">
        <v>21</v>
      </c>
      <c r="C9949" s="1" t="str">
        <f>"3차"</f>
        <v>3차</v>
      </c>
      <c r="D9949" s="1" t="str">
        <f>"9727R44239"</f>
        <v>9727R44239</v>
      </c>
      <c r="E9949" s="1" t="s">
        <v>10</v>
      </c>
      <c r="F9949" s="1" t="str">
        <f>"10.128.114.43"</f>
        <v>10.128.114.43</v>
      </c>
      <c r="G9949" s="1" t="str">
        <f>"9727R442"</f>
        <v>9727R442</v>
      </c>
      <c r="H9949" s="1" t="str">
        <f>"명지간 10L4R3"</f>
        <v>명지간 10L4R3</v>
      </c>
      <c r="I9949" s="1" t="s">
        <v>8</v>
      </c>
      <c r="J9949" s="1" t="str">
        <f>"29/29"</f>
        <v>29/29</v>
      </c>
      <c r="K9949" s="1" t="str">
        <f t="shared" si="503"/>
        <v>2026-07-29 13:18:11</v>
      </c>
      <c r="L9949" s="1" t="str">
        <f>"2018-06-22 08:43:23"</f>
        <v>2018-06-22 08:43:23</v>
      </c>
      <c r="M9949" s="1" t="s">
        <v>45</v>
      </c>
      <c r="N9949" s="1" t="s">
        <v>38</v>
      </c>
      <c r="O9949" s="1" t="s">
        <v>46</v>
      </c>
    </row>
    <row r="9950" spans="2:15" x14ac:dyDescent="0.3">
      <c r="B9950" s="1" t="s">
        <v>21</v>
      </c>
      <c r="C9950" s="1" t="str">
        <f>"4차"</f>
        <v>4차</v>
      </c>
      <c r="D9950" s="1" t="str">
        <f>"9727R45139"</f>
        <v>9727R45139</v>
      </c>
      <c r="E9950" s="1" t="s">
        <v>10</v>
      </c>
      <c r="F9950" s="1" t="str">
        <f>"10.128.115.85"</f>
        <v>10.128.115.85</v>
      </c>
      <c r="G9950" s="1" t="str">
        <f>"9727R451"</f>
        <v>9727R451</v>
      </c>
      <c r="H9950" s="1" t="str">
        <f>"명지간 10B2"</f>
        <v>명지간 10B2</v>
      </c>
      <c r="I9950" s="1" t="s">
        <v>8</v>
      </c>
      <c r="J9950" s="1" t="str">
        <f>"57/62"</f>
        <v>57/62</v>
      </c>
      <c r="K9950" s="1" t="str">
        <f t="shared" si="503"/>
        <v>2026-07-29 13:18:11</v>
      </c>
      <c r="L9950" s="1" t="str">
        <f>"2018-06-28 11:00:24"</f>
        <v>2018-06-28 11:00:24</v>
      </c>
      <c r="M9950" s="1" t="s">
        <v>45</v>
      </c>
      <c r="N9950" s="1" t="s">
        <v>38</v>
      </c>
      <c r="O9950" s="1" t="s">
        <v>46</v>
      </c>
    </row>
    <row r="9951" spans="2:15" x14ac:dyDescent="0.3">
      <c r="B9951" s="1" t="s">
        <v>21</v>
      </c>
      <c r="C9951" s="1" t="str">
        <f>"6차"</f>
        <v>6차</v>
      </c>
      <c r="D9951" s="1" t="str">
        <f>"9727R4636S"</f>
        <v>9727R4636S</v>
      </c>
      <c r="E9951" s="1" t="s">
        <v>10</v>
      </c>
      <c r="F9951" s="1" t="str">
        <f>"fde1:103:4:c722:0:0:0:2"</f>
        <v>fde1:103:4:c722:0:0:0:2</v>
      </c>
      <c r="G9951" s="1" t="str">
        <f>"9727R463"</f>
        <v>9727R463</v>
      </c>
      <c r="H9951" s="1" t="str">
        <f>"명지간 10L1"</f>
        <v>명지간 10L1</v>
      </c>
      <c r="I9951" s="1" t="s">
        <v>15</v>
      </c>
      <c r="J9951" s="1" t="str">
        <f>"109/109"</f>
        <v>109/109</v>
      </c>
      <c r="K9951" s="1" t="str">
        <f>"2026-07-29 14:21:05"</f>
        <v>2026-07-29 14:21:05</v>
      </c>
      <c r="L9951" s="1" t="str">
        <f>"2024-12-05 11:33:17"</f>
        <v>2024-12-05 11:33:17</v>
      </c>
      <c r="M9951" s="1" t="s">
        <v>4</v>
      </c>
      <c r="N9951" s="1" t="s">
        <v>38</v>
      </c>
      <c r="O9951" s="1" t="s">
        <v>46</v>
      </c>
    </row>
    <row r="9952" spans="2:15" x14ac:dyDescent="0.3">
      <c r="B9952" s="1" t="s">
        <v>21</v>
      </c>
      <c r="C9952" s="1" t="str">
        <f>"6차"</f>
        <v>6차</v>
      </c>
      <c r="D9952" s="1" t="str">
        <f>"9727R4716S"</f>
        <v>9727R4716S</v>
      </c>
      <c r="E9952" s="1" t="s">
        <v>10</v>
      </c>
      <c r="F9952" s="1" t="str">
        <f>"fde1:103:4:93a4:0:0:0:2"</f>
        <v>fde1:103:4:93a4:0:0:0:2</v>
      </c>
      <c r="G9952" s="1" t="str">
        <f>"9727R471"</f>
        <v>9727R471</v>
      </c>
      <c r="H9952" s="1" t="str">
        <f>"명지간 10A1"</f>
        <v>명지간 10A1</v>
      </c>
      <c r="I9952" s="1" t="s">
        <v>15</v>
      </c>
      <c r="J9952" s="1" t="str">
        <f>"54/54"</f>
        <v>54/54</v>
      </c>
      <c r="K9952" s="1" t="str">
        <f>"2026-07-29 14:21:22"</f>
        <v>2026-07-29 14:21:22</v>
      </c>
      <c r="L9952" s="1" t="str">
        <f>"2025-01-22 17:55:13"</f>
        <v>2025-01-22 17:55:13</v>
      </c>
      <c r="M9952" s="1" t="s">
        <v>4</v>
      </c>
      <c r="N9952" s="1" t="s">
        <v>38</v>
      </c>
      <c r="O9952" s="1" t="s">
        <v>46</v>
      </c>
    </row>
    <row r="9953" spans="2:15" x14ac:dyDescent="0.3">
      <c r="B9953" s="1" t="s">
        <v>21</v>
      </c>
      <c r="C9953" s="1" t="str">
        <f>"6차"</f>
        <v>6차</v>
      </c>
      <c r="D9953" s="1" t="str">
        <f>"9727R4816S"</f>
        <v>9727R4816S</v>
      </c>
      <c r="E9953" s="1" t="s">
        <v>10</v>
      </c>
      <c r="F9953" s="1" t="str">
        <f>"fde1:103:4:93af:0:0:0:2"</f>
        <v>fde1:103:4:93af:0:0:0:2</v>
      </c>
      <c r="G9953" s="1" t="str">
        <f>"9727R481"</f>
        <v>9727R481</v>
      </c>
      <c r="H9953" s="1" t="str">
        <f>"명지간 7L2"</f>
        <v>명지간 7L2</v>
      </c>
      <c r="I9953" s="1" t="s">
        <v>15</v>
      </c>
      <c r="J9953" s="1" t="str">
        <f>"44/45"</f>
        <v>44/45</v>
      </c>
      <c r="K9953" s="1" t="str">
        <f>"2026-07-29 14:21:06"</f>
        <v>2026-07-29 14:21:06</v>
      </c>
      <c r="L9953" s="1" t="str">
        <f>"2025-01-22 17:54:58"</f>
        <v>2025-01-22 17:54:58</v>
      </c>
      <c r="M9953" s="1" t="s">
        <v>4</v>
      </c>
      <c r="N9953" s="1" t="s">
        <v>38</v>
      </c>
      <c r="O9953" s="1" t="s">
        <v>46</v>
      </c>
    </row>
    <row r="9954" spans="2:15" x14ac:dyDescent="0.3">
      <c r="B9954" s="1" t="s">
        <v>21</v>
      </c>
      <c r="C9954" s="1" t="str">
        <f>"1차"</f>
        <v>1차</v>
      </c>
      <c r="D9954" s="1" t="str">
        <f>"9727R49102"</f>
        <v>9727R49102</v>
      </c>
      <c r="E9954" s="1" t="s">
        <v>10</v>
      </c>
      <c r="F9954" s="1" t="str">
        <f>"10.14.6.194"</f>
        <v>10.14.6.194</v>
      </c>
      <c r="G9954" s="1" t="str">
        <f>"9727R491"</f>
        <v>9727R491</v>
      </c>
      <c r="H9954" s="1" t="str">
        <f>"명지간 10A2L2"</f>
        <v>명지간 10A2L2</v>
      </c>
      <c r="I9954" s="1" t="s">
        <v>8</v>
      </c>
      <c r="J9954" s="1" t="str">
        <f>"18/21"</f>
        <v>18/21</v>
      </c>
      <c r="K9954" s="1" t="str">
        <f>"2026-07-29 13:18:10"</f>
        <v>2026-07-29 13:18:10</v>
      </c>
      <c r="L9954" s="1" t="str">
        <f>"2015-01-09 15:01:38"</f>
        <v>2015-01-09 15:01:38</v>
      </c>
      <c r="M9954" s="1" t="s">
        <v>3</v>
      </c>
      <c r="N9954" s="1" t="s">
        <v>38</v>
      </c>
      <c r="O9954" s="1" t="s">
        <v>46</v>
      </c>
    </row>
    <row r="9955" spans="2:15" x14ac:dyDescent="0.3">
      <c r="B9955" s="1" t="s">
        <v>21</v>
      </c>
      <c r="C9955" s="1" t="str">
        <f>"3차"</f>
        <v>3차</v>
      </c>
      <c r="D9955" s="1" t="str">
        <f>"9727R51139"</f>
        <v>9727R51139</v>
      </c>
      <c r="E9955" s="1" t="s">
        <v>10</v>
      </c>
      <c r="F9955" s="1" t="str">
        <f>"10.128.114.226"</f>
        <v>10.128.114.226</v>
      </c>
      <c r="G9955" s="1" t="str">
        <f>"9727R511"</f>
        <v>9727R511</v>
      </c>
      <c r="H9955" s="1" t="str">
        <f>"명지간 10L7A1"</f>
        <v>명지간 10L7A1</v>
      </c>
      <c r="I9955" s="1" t="s">
        <v>8</v>
      </c>
      <c r="J9955" s="1" t="str">
        <f>"19/19"</f>
        <v>19/19</v>
      </c>
      <c r="K9955" s="1" t="str">
        <f>"2026-07-29 13:18:11"</f>
        <v>2026-07-29 13:18:11</v>
      </c>
      <c r="L9955" s="1" t="str">
        <f>"2018-03-27 15:37:57"</f>
        <v>2018-03-27 15:37:57</v>
      </c>
      <c r="M9955" s="1" t="s">
        <v>45</v>
      </c>
      <c r="N9955" s="1" t="s">
        <v>38</v>
      </c>
      <c r="O9955" s="1" t="s">
        <v>46</v>
      </c>
    </row>
    <row r="9956" spans="2:15" x14ac:dyDescent="0.3">
      <c r="B9956" s="1" t="s">
        <v>21</v>
      </c>
      <c r="C9956" s="1" t="str">
        <f>"6차"</f>
        <v>6차</v>
      </c>
      <c r="D9956" s="1" t="str">
        <f>"9727R5416S"</f>
        <v>9727R5416S</v>
      </c>
      <c r="E9956" s="1" t="s">
        <v>10</v>
      </c>
      <c r="F9956" s="1" t="str">
        <f>"fde1:103:4:c731:0:0:0:2"</f>
        <v>fde1:103:4:c731:0:0:0:2</v>
      </c>
      <c r="G9956" s="1" t="str">
        <f>"9727R541"</f>
        <v>9727R541</v>
      </c>
      <c r="H9956" s="1" t="str">
        <f>"명지간 10L3"</f>
        <v>명지간 10L3</v>
      </c>
      <c r="I9956" s="1" t="s">
        <v>15</v>
      </c>
      <c r="J9956" s="1" t="str">
        <f>"16/17"</f>
        <v>16/17</v>
      </c>
      <c r="K9956" s="1" t="str">
        <f>"2026-07-29 14:20:39"</f>
        <v>2026-07-29 14:20:39</v>
      </c>
      <c r="L9956" s="1" t="str">
        <f>"2024-12-05 11:33:19"</f>
        <v>2024-12-05 11:33:19</v>
      </c>
      <c r="M9956" s="1" t="s">
        <v>4</v>
      </c>
      <c r="N9956" s="1" t="s">
        <v>38</v>
      </c>
      <c r="O9956" s="1" t="s">
        <v>46</v>
      </c>
    </row>
    <row r="9957" spans="2:15" x14ac:dyDescent="0.3">
      <c r="B9957" s="1" t="s">
        <v>21</v>
      </c>
      <c r="C9957" s="1" t="str">
        <f>"6차"</f>
        <v>6차</v>
      </c>
      <c r="D9957" s="1" t="str">
        <f>"9727R5736S"</f>
        <v>9727R5736S</v>
      </c>
      <c r="E9957" s="1" t="s">
        <v>10</v>
      </c>
      <c r="F9957" s="1" t="str">
        <f>"fde1:103:4:93c6:0:0:0:2"</f>
        <v>fde1:103:4:93c6:0:0:0:2</v>
      </c>
      <c r="G9957" s="1" t="str">
        <f>"9727R573"</f>
        <v>9727R573</v>
      </c>
      <c r="H9957" s="1" t="str">
        <f>"명지간 10A2"</f>
        <v>명지간 10A2</v>
      </c>
      <c r="I9957" s="1" t="s">
        <v>15</v>
      </c>
      <c r="J9957" s="1" t="str">
        <f>"21/21"</f>
        <v>21/21</v>
      </c>
      <c r="K9957" s="1" t="str">
        <f>"2026-07-29 02:21:37"</f>
        <v>2026-07-29 02:21:37</v>
      </c>
      <c r="L9957" s="1" t="str">
        <f>"2025-01-22 17:55:12"</f>
        <v>2025-01-22 17:55:12</v>
      </c>
      <c r="M9957" s="1" t="s">
        <v>4</v>
      </c>
      <c r="N9957" s="1" t="s">
        <v>38</v>
      </c>
      <c r="O9957" s="1" t="s">
        <v>46</v>
      </c>
    </row>
    <row r="9958" spans="2:15" x14ac:dyDescent="0.3">
      <c r="B9958" s="1" t="s">
        <v>21</v>
      </c>
      <c r="C9958" s="1" t="str">
        <f>"4차"</f>
        <v>4차</v>
      </c>
      <c r="D9958" s="1" t="str">
        <f>"9727R59139"</f>
        <v>9727R59139</v>
      </c>
      <c r="E9958" s="1" t="s">
        <v>14</v>
      </c>
      <c r="F9958" s="1" t="str">
        <f>"10.128.114.45"</f>
        <v>10.128.114.45</v>
      </c>
      <c r="G9958" s="1" t="str">
        <f>"9727R591"</f>
        <v>9727R591</v>
      </c>
      <c r="H9958" s="1" t="str">
        <f>"홍은간 25"</f>
        <v>홍은간 25</v>
      </c>
      <c r="I9958" s="1" t="s">
        <v>8</v>
      </c>
      <c r="J9958" s="1" t="str">
        <f>"0/0"</f>
        <v>0/0</v>
      </c>
      <c r="K9958" s="1" t="str">
        <f>"2026-07-29 13:18:11"</f>
        <v>2026-07-29 13:18:11</v>
      </c>
      <c r="L9958" s="1" t="str">
        <f>"2018-06-27 14:47:41"</f>
        <v>2018-06-27 14:47:41</v>
      </c>
      <c r="M9958" s="1" t="s">
        <v>45</v>
      </c>
      <c r="N9958" s="1" t="s">
        <v>38</v>
      </c>
      <c r="O9958" s="1" t="s">
        <v>44</v>
      </c>
    </row>
    <row r="9959" spans="2:15" x14ac:dyDescent="0.3">
      <c r="B9959" s="1" t="s">
        <v>21</v>
      </c>
      <c r="C9959" s="1" t="str">
        <f>"4차"</f>
        <v>4차</v>
      </c>
      <c r="D9959" s="1" t="str">
        <f>"9727R60144"</f>
        <v>9727R60144</v>
      </c>
      <c r="E9959" s="1" t="s">
        <v>10</v>
      </c>
      <c r="F9959" s="1" t="str">
        <f>"10.10.70.74"</f>
        <v>10.10.70.74</v>
      </c>
      <c r="G9959" s="1" t="str">
        <f>"9727R601"</f>
        <v>9727R601</v>
      </c>
      <c r="H9959" s="1" t="str">
        <f>"명지간 10L7R2"</f>
        <v>명지간 10L7R2</v>
      </c>
      <c r="I9959" s="1" t="s">
        <v>8</v>
      </c>
      <c r="J9959" s="1" t="str">
        <f>"45/45"</f>
        <v>45/45</v>
      </c>
      <c r="K9959" s="1" t="str">
        <f>"2026-07-29 13:18:11"</f>
        <v>2026-07-29 13:18:11</v>
      </c>
      <c r="L9959" s="1" t="str">
        <f>"2019-11-06 13:03:05"</f>
        <v>2019-11-06 13:03:05</v>
      </c>
      <c r="M9959" s="1" t="s">
        <v>1</v>
      </c>
      <c r="N9959" s="1" t="s">
        <v>38</v>
      </c>
      <c r="O9959" s="1" t="s">
        <v>46</v>
      </c>
    </row>
    <row r="9960" spans="2:15" x14ac:dyDescent="0.3">
      <c r="B9960" s="1" t="s">
        <v>21</v>
      </c>
      <c r="C9960" s="1" t="str">
        <f>"4차"</f>
        <v>4차</v>
      </c>
      <c r="D9960" s="1" t="str">
        <f>"9727R60244"</f>
        <v>9727R60244</v>
      </c>
      <c r="E9960" s="1" t="s">
        <v>10</v>
      </c>
      <c r="F9960" s="1" t="str">
        <f>"10.10.111.34"</f>
        <v>10.10.111.34</v>
      </c>
      <c r="G9960" s="1" t="str">
        <f>"9727R602"</f>
        <v>9727R602</v>
      </c>
      <c r="H9960" s="1" t="str">
        <f>"명지간 10L7R2L1"</f>
        <v>명지간 10L7R2L1</v>
      </c>
      <c r="I9960" s="1" t="s">
        <v>8</v>
      </c>
      <c r="J9960" s="1" t="str">
        <f>"9/9"</f>
        <v>9/9</v>
      </c>
      <c r="K9960" s="1" t="str">
        <f>"2026-07-29 13:18:11"</f>
        <v>2026-07-29 13:18:11</v>
      </c>
      <c r="L9960" s="1" t="str">
        <f>"2019-11-05 13:52:49"</f>
        <v>2019-11-05 13:52:49</v>
      </c>
      <c r="M9960" s="1" t="s">
        <v>1</v>
      </c>
      <c r="N9960" s="1" t="s">
        <v>38</v>
      </c>
      <c r="O9960" s="1" t="s">
        <v>46</v>
      </c>
    </row>
    <row r="9961" spans="2:15" x14ac:dyDescent="0.3">
      <c r="B9961" s="1" t="s">
        <v>21</v>
      </c>
      <c r="C9961" s="1" t="str">
        <f>"6차"</f>
        <v>6차</v>
      </c>
      <c r="D9961" s="1" t="str">
        <f>"9727R6116S"</f>
        <v>9727R6116S</v>
      </c>
      <c r="E9961" s="1" t="s">
        <v>10</v>
      </c>
      <c r="F9961" s="1" t="str">
        <f>"fde1:103:4:c741:0:0:0:2"</f>
        <v>fde1:103:4:c741:0:0:0:2</v>
      </c>
      <c r="G9961" s="1" t="str">
        <f>"9727R611"</f>
        <v>9727R611</v>
      </c>
      <c r="H9961" s="1" t="str">
        <f>"명지간 10L7R1"</f>
        <v>명지간 10L7R1</v>
      </c>
      <c r="I9961" s="1" t="s">
        <v>15</v>
      </c>
      <c r="J9961" s="1" t="str">
        <f>"21/21"</f>
        <v>21/21</v>
      </c>
      <c r="K9961" s="1" t="str">
        <f>"2026-07-29 14:21:36"</f>
        <v>2026-07-29 14:21:36</v>
      </c>
      <c r="L9961" s="1" t="str">
        <f>"2024-12-05 11:33:21"</f>
        <v>2024-12-05 11:33:21</v>
      </c>
      <c r="M9961" s="1" t="s">
        <v>4</v>
      </c>
      <c r="N9961" s="1" t="s">
        <v>38</v>
      </c>
      <c r="O9961" s="1" t="s">
        <v>46</v>
      </c>
    </row>
    <row r="9962" spans="2:15" x14ac:dyDescent="0.3">
      <c r="B9962" s="1" t="s">
        <v>21</v>
      </c>
      <c r="C9962" s="1" t="str">
        <f>"6차"</f>
        <v>6차</v>
      </c>
      <c r="D9962" s="1" t="str">
        <f>"9727R6236S"</f>
        <v>9727R6236S</v>
      </c>
      <c r="E9962" s="1" t="s">
        <v>10</v>
      </c>
      <c r="F9962" s="1" t="str">
        <f>"fde1:103:4:c7c0:0:0:0:2"</f>
        <v>fde1:103:4:c7c0:0:0:0:2</v>
      </c>
      <c r="G9962" s="1" t="str">
        <f>"9727R623"</f>
        <v>9727R623</v>
      </c>
      <c r="H9962" s="1" t="str">
        <f>"명지간 10L8"</f>
        <v>명지간 10L8</v>
      </c>
      <c r="I9962" s="1" t="s">
        <v>15</v>
      </c>
      <c r="J9962" s="1" t="str">
        <f>"23/23"</f>
        <v>23/23</v>
      </c>
      <c r="K9962" s="1" t="str">
        <f>"2026-07-29 14:21:36"</f>
        <v>2026-07-29 14:21:36</v>
      </c>
      <c r="L9962" s="1" t="str">
        <f>"2024-12-05 11:33:14"</f>
        <v>2024-12-05 11:33:14</v>
      </c>
      <c r="M9962" s="1" t="s">
        <v>4</v>
      </c>
      <c r="N9962" s="1" t="s">
        <v>38</v>
      </c>
      <c r="O9962" s="1" t="s">
        <v>46</v>
      </c>
    </row>
    <row r="9963" spans="2:15" x14ac:dyDescent="0.3">
      <c r="B9963" s="1" t="s">
        <v>21</v>
      </c>
      <c r="C9963" s="1" t="str">
        <f>"1차"</f>
        <v>1차</v>
      </c>
      <c r="D9963" s="1" t="str">
        <f>"9727R63100"</f>
        <v>9727R63100</v>
      </c>
      <c r="E9963" s="1" t="s">
        <v>10</v>
      </c>
      <c r="F9963" s="1" t="str">
        <f>"10.128.96.50"</f>
        <v>10.128.96.50</v>
      </c>
      <c r="G9963" s="1" t="str">
        <f>"9727R631"</f>
        <v>9727R631</v>
      </c>
      <c r="H9963" s="1" t="str">
        <f>"명지간 10L5"</f>
        <v>명지간 10L5</v>
      </c>
      <c r="I9963" s="1" t="s">
        <v>8</v>
      </c>
      <c r="J9963" s="1" t="str">
        <f>"5/5"</f>
        <v>5/5</v>
      </c>
      <c r="K9963" s="1" t="str">
        <f>"2026-07-29 13:18:11"</f>
        <v>2026-07-29 13:18:11</v>
      </c>
      <c r="L9963" s="1" t="str">
        <f>"2015-03-24 18:54:49"</f>
        <v>2015-03-24 18:54:49</v>
      </c>
      <c r="M9963" s="1" t="s">
        <v>45</v>
      </c>
      <c r="N9963" s="1" t="s">
        <v>38</v>
      </c>
      <c r="O9963" s="1" t="s">
        <v>46</v>
      </c>
    </row>
    <row r="9964" spans="2:15" x14ac:dyDescent="0.3">
      <c r="B9964" s="1" t="s">
        <v>21</v>
      </c>
      <c r="C9964" s="1" t="str">
        <f>"1차"</f>
        <v>1차</v>
      </c>
      <c r="D9964" s="1" t="str">
        <f>"9727R65100"</f>
        <v>9727R65100</v>
      </c>
      <c r="E9964" s="1" t="s">
        <v>10</v>
      </c>
      <c r="F9964" s="1" t="str">
        <f>"10.128.97.26"</f>
        <v>10.128.97.26</v>
      </c>
      <c r="G9964" s="1" t="str">
        <f>"9727R651"</f>
        <v>9727R651</v>
      </c>
      <c r="H9964" s="1" t="str">
        <f>"명지간 10A6"</f>
        <v>명지간 10A6</v>
      </c>
      <c r="I9964" s="1" t="s">
        <v>8</v>
      </c>
      <c r="J9964" s="1" t="str">
        <f>"9/11"</f>
        <v>9/11</v>
      </c>
      <c r="K9964" s="1" t="str">
        <f>"2026-07-29 13:18:11"</f>
        <v>2026-07-29 13:18:11</v>
      </c>
      <c r="L9964" s="1" t="str">
        <f>"2014-12-15 18:08:26"</f>
        <v>2014-12-15 18:08:26</v>
      </c>
      <c r="M9964" s="1" t="s">
        <v>45</v>
      </c>
      <c r="N9964" s="1" t="s">
        <v>38</v>
      </c>
      <c r="O9964" s="1" t="s">
        <v>46</v>
      </c>
    </row>
    <row r="9965" spans="2:15" x14ac:dyDescent="0.3">
      <c r="B9965" s="1" t="s">
        <v>21</v>
      </c>
      <c r="C9965" s="1" t="str">
        <f>"1차"</f>
        <v>1차</v>
      </c>
      <c r="D9965" s="1" t="str">
        <f>"9727R66101"</f>
        <v>9727R66101</v>
      </c>
      <c r="E9965" s="1" t="s">
        <v>10</v>
      </c>
      <c r="F9965" s="1" t="str">
        <f>"10.12.130.151"</f>
        <v>10.12.130.151</v>
      </c>
      <c r="G9965" s="1" t="str">
        <f>"9727R661"</f>
        <v>9727R661</v>
      </c>
      <c r="H9965" s="1" t="str">
        <f>"명지간 10A5"</f>
        <v>명지간 10A5</v>
      </c>
      <c r="I9965" s="1" t="s">
        <v>8</v>
      </c>
      <c r="J9965" s="1" t="str">
        <f>"3/4"</f>
        <v>3/4</v>
      </c>
      <c r="K9965" s="1" t="str">
        <f>"2026-07-29 13:18:11"</f>
        <v>2026-07-29 13:18:11</v>
      </c>
      <c r="L9965" s="1" t="str">
        <f>"2014-12-15 18:08:57"</f>
        <v>2014-12-15 18:08:57</v>
      </c>
      <c r="M9965" s="1" t="s">
        <v>0</v>
      </c>
      <c r="N9965" s="1" t="s">
        <v>38</v>
      </c>
      <c r="O9965" s="1" t="s">
        <v>46</v>
      </c>
    </row>
    <row r="9966" spans="2:15" x14ac:dyDescent="0.3">
      <c r="B9966" s="1" t="s">
        <v>21</v>
      </c>
      <c r="C9966" s="1" t="str">
        <f>"1차"</f>
        <v>1차</v>
      </c>
      <c r="D9966" s="1" t="str">
        <f>"9727R68400"</f>
        <v>9727R68400</v>
      </c>
      <c r="E9966" s="1" t="s">
        <v>14</v>
      </c>
      <c r="F9966" s="1" t="str">
        <f>"10.128.115.60"</f>
        <v>10.128.115.60</v>
      </c>
      <c r="G9966" s="1" t="str">
        <f>"9727R684"</f>
        <v>9727R684</v>
      </c>
      <c r="H9966" s="1" t="str">
        <f>"홍은간 22"</f>
        <v>홍은간 22</v>
      </c>
      <c r="I9966" s="1" t="s">
        <v>8</v>
      </c>
      <c r="J9966" s="1" t="str">
        <f>"0/0"</f>
        <v>0/0</v>
      </c>
      <c r="K9966" s="1" t="str">
        <f>"2026-07-24 07:18:11"</f>
        <v>2026-07-24 07:18:11</v>
      </c>
      <c r="L9966" s="1" t="str">
        <f>"2014-12-10 15:12:51"</f>
        <v>2014-12-10 15:12:51</v>
      </c>
      <c r="M9966" s="1" t="s">
        <v>45</v>
      </c>
      <c r="N9966" s="1" t="s">
        <v>38</v>
      </c>
      <c r="O9966" s="1" t="s">
        <v>44</v>
      </c>
    </row>
    <row r="9967" spans="2:15" x14ac:dyDescent="0.3">
      <c r="B9967" s="1" t="s">
        <v>21</v>
      </c>
      <c r="C9967" s="1" t="str">
        <f>"4차"</f>
        <v>4차</v>
      </c>
      <c r="D9967" s="1" t="str">
        <f>"9727R70144"</f>
        <v>9727R70144</v>
      </c>
      <c r="E9967" s="1" t="s">
        <v>10</v>
      </c>
      <c r="F9967" s="1" t="str">
        <f>"10.10.70.98"</f>
        <v>10.10.70.98</v>
      </c>
      <c r="G9967" s="1" t="str">
        <f>"9727R701"</f>
        <v>9727R701</v>
      </c>
      <c r="H9967" s="1" t="str">
        <f>"명지간 10L7R2L2R1"</f>
        <v>명지간 10L7R2L2R1</v>
      </c>
      <c r="I9967" s="1" t="s">
        <v>8</v>
      </c>
      <c r="J9967" s="1" t="str">
        <f>"9/9"</f>
        <v>9/9</v>
      </c>
      <c r="K9967" s="1" t="str">
        <f>"2026-07-29 13:18:11"</f>
        <v>2026-07-29 13:18:11</v>
      </c>
      <c r="L9967" s="1" t="str">
        <f>"2019-10-14 18:33:04"</f>
        <v>2019-10-14 18:33:04</v>
      </c>
      <c r="M9967" s="1" t="s">
        <v>1</v>
      </c>
      <c r="N9967" s="1" t="s">
        <v>38</v>
      </c>
      <c r="O9967" s="1" t="s">
        <v>46</v>
      </c>
    </row>
    <row r="9968" spans="2:15" x14ac:dyDescent="0.3">
      <c r="B9968" s="1" t="s">
        <v>21</v>
      </c>
      <c r="C9968" s="1" t="str">
        <f>"6차"</f>
        <v>6차</v>
      </c>
      <c r="D9968" s="1" t="str">
        <f>"9727R7116S"</f>
        <v>9727R7116S</v>
      </c>
      <c r="E9968" s="1" t="s">
        <v>10</v>
      </c>
      <c r="F9968" s="1" t="str">
        <f>"fde1:103:4:93cf:0:0:0:2"</f>
        <v>fde1:103:4:93cf:0:0:0:2</v>
      </c>
      <c r="G9968" s="1" t="str">
        <f>"9727R711"</f>
        <v>9727R711</v>
      </c>
      <c r="H9968" s="1" t="str">
        <f>"명지간 10L7R2L2"</f>
        <v>명지간 10L7R2L2</v>
      </c>
      <c r="I9968" s="1" t="s">
        <v>15</v>
      </c>
      <c r="J9968" s="1" t="str">
        <f>"46/46"</f>
        <v>46/46</v>
      </c>
      <c r="K9968" s="1" t="str">
        <f>"2026-07-29 02:22:14"</f>
        <v>2026-07-29 02:22:14</v>
      </c>
      <c r="L9968" s="1" t="str">
        <f>"2025-01-22 17:55:16"</f>
        <v>2025-01-22 17:55:16</v>
      </c>
      <c r="M9968" s="1" t="s">
        <v>4</v>
      </c>
      <c r="N9968" s="1" t="s">
        <v>38</v>
      </c>
      <c r="O9968" s="1" t="s">
        <v>46</v>
      </c>
    </row>
    <row r="9969" spans="2:15" x14ac:dyDescent="0.3">
      <c r="B9969" s="1" t="s">
        <v>21</v>
      </c>
      <c r="C9969" s="1" t="str">
        <f>"1차"</f>
        <v>1차</v>
      </c>
      <c r="D9969" s="1" t="str">
        <f>"9727R71200"</f>
        <v>9727R71200</v>
      </c>
      <c r="E9969" s="1" t="s">
        <v>10</v>
      </c>
      <c r="F9969" s="1" t="str">
        <f>"10.128.70.18"</f>
        <v>10.128.70.18</v>
      </c>
      <c r="G9969" s="1" t="str">
        <f>"9727R712"</f>
        <v>9727R712</v>
      </c>
      <c r="H9969" s="1" t="str">
        <f>"명지간 10L7R2L3"</f>
        <v>명지간 10L7R2L3</v>
      </c>
      <c r="I9969" s="1" t="s">
        <v>8</v>
      </c>
      <c r="J9969" s="1" t="str">
        <f>"3/3"</f>
        <v>3/3</v>
      </c>
      <c r="K9969" s="1" t="str">
        <f>"2026-07-29 13:18:11"</f>
        <v>2026-07-29 13:18:11</v>
      </c>
      <c r="L9969" s="1" t="str">
        <f>"2014-12-12 13:28:03"</f>
        <v>2014-12-12 13:28:03</v>
      </c>
      <c r="M9969" s="1" t="s">
        <v>45</v>
      </c>
      <c r="N9969" s="1" t="s">
        <v>38</v>
      </c>
      <c r="O9969" s="1" t="s">
        <v>46</v>
      </c>
    </row>
    <row r="9970" spans="2:15" x14ac:dyDescent="0.3">
      <c r="B9970" s="1" t="s">
        <v>21</v>
      </c>
      <c r="C9970" s="1" t="str">
        <f>"1차"</f>
        <v>1차</v>
      </c>
      <c r="D9970" s="1" t="str">
        <f>"9727R73201"</f>
        <v>9727R73201</v>
      </c>
      <c r="E9970" s="1" t="s">
        <v>10</v>
      </c>
      <c r="F9970" s="1" t="str">
        <f>"10.12.137.160"</f>
        <v>10.12.137.160</v>
      </c>
      <c r="G9970" s="1" t="str">
        <f>"9727R732"</f>
        <v>9727R732</v>
      </c>
      <c r="H9970" s="1" t="str">
        <f>"명지간 10L10L1"</f>
        <v>명지간 10L10L1</v>
      </c>
      <c r="I9970" s="1" t="s">
        <v>8</v>
      </c>
      <c r="J9970" s="1" t="str">
        <f>"21/21"</f>
        <v>21/21</v>
      </c>
      <c r="K9970" s="1" t="str">
        <f>"2026-07-29 13:18:13"</f>
        <v>2026-07-29 13:18:13</v>
      </c>
      <c r="L9970" s="1" t="str">
        <f>"2014-12-15 16:27:42"</f>
        <v>2014-12-15 16:27:42</v>
      </c>
      <c r="M9970" s="1" t="s">
        <v>0</v>
      </c>
      <c r="N9970" s="1" t="s">
        <v>38</v>
      </c>
      <c r="O9970" s="1" t="s">
        <v>46</v>
      </c>
    </row>
    <row r="9971" spans="2:15" x14ac:dyDescent="0.3">
      <c r="B9971" s="1" t="s">
        <v>21</v>
      </c>
      <c r="C9971" s="1" t="str">
        <f>"3차"</f>
        <v>3차</v>
      </c>
      <c r="D9971" s="1" t="str">
        <f>"9727R73339"</f>
        <v>9727R73339</v>
      </c>
      <c r="E9971" s="1" t="s">
        <v>10</v>
      </c>
      <c r="F9971" s="1" t="str">
        <f>"10.128.114.243"</f>
        <v>10.128.114.243</v>
      </c>
      <c r="G9971" s="1" t="str">
        <f>"9727R733"</f>
        <v>9727R733</v>
      </c>
      <c r="H9971" s="1" t="str">
        <f>"명지간 10L11"</f>
        <v>명지간 10L11</v>
      </c>
      <c r="I9971" s="1" t="s">
        <v>8</v>
      </c>
      <c r="J9971" s="1" t="str">
        <f>"13/13"</f>
        <v>13/13</v>
      </c>
      <c r="K9971" s="1" t="str">
        <f t="shared" ref="K9971:K9976" si="504">"2026-07-29 13:18:11"</f>
        <v>2026-07-29 13:18:11</v>
      </c>
      <c r="L9971" s="1" t="str">
        <f>"2018-06-28 07:55:07"</f>
        <v>2018-06-28 07:55:07</v>
      </c>
      <c r="M9971" s="1" t="s">
        <v>45</v>
      </c>
      <c r="N9971" s="1" t="s">
        <v>38</v>
      </c>
      <c r="O9971" s="1" t="s">
        <v>46</v>
      </c>
    </row>
    <row r="9972" spans="2:15" x14ac:dyDescent="0.3">
      <c r="B9972" s="1" t="s">
        <v>21</v>
      </c>
      <c r="C9972" s="1" t="str">
        <f>"1차"</f>
        <v>1차</v>
      </c>
      <c r="D9972" s="1" t="str">
        <f>"9727R75100"</f>
        <v>9727R75100</v>
      </c>
      <c r="E9972" s="1" t="s">
        <v>10</v>
      </c>
      <c r="F9972" s="1" t="str">
        <f>"10.128.97.2"</f>
        <v>10.128.97.2</v>
      </c>
      <c r="G9972" s="1" t="str">
        <f>"9727R751"</f>
        <v>9727R751</v>
      </c>
      <c r="H9972" s="1" t="str">
        <f>"명지간 10L10L5"</f>
        <v>명지간 10L10L5</v>
      </c>
      <c r="I9972" s="1" t="s">
        <v>8</v>
      </c>
      <c r="J9972" s="1" t="str">
        <f>"7/7"</f>
        <v>7/7</v>
      </c>
      <c r="K9972" s="1" t="str">
        <f t="shared" si="504"/>
        <v>2026-07-29 13:18:11</v>
      </c>
      <c r="L9972" s="1" t="str">
        <f>"2014-12-15 16:12:32"</f>
        <v>2014-12-15 16:12:32</v>
      </c>
      <c r="M9972" s="1" t="s">
        <v>45</v>
      </c>
      <c r="N9972" s="1" t="s">
        <v>38</v>
      </c>
      <c r="O9972" s="1" t="s">
        <v>46</v>
      </c>
    </row>
    <row r="9973" spans="2:15" x14ac:dyDescent="0.3">
      <c r="B9973" s="1" t="s">
        <v>21</v>
      </c>
      <c r="C9973" s="1" t="str">
        <f>"1차"</f>
        <v>1차</v>
      </c>
      <c r="D9973" s="1" t="str">
        <f>"9727R76101"</f>
        <v>9727R76101</v>
      </c>
      <c r="E9973" s="1" t="s">
        <v>10</v>
      </c>
      <c r="F9973" s="1" t="str">
        <f>"10.128.97.3"</f>
        <v>10.128.97.3</v>
      </c>
      <c r="G9973" s="1" t="str">
        <f>"9727R761"</f>
        <v>9727R761</v>
      </c>
      <c r="H9973" s="1" t="str">
        <f>"명지간 10L10L6"</f>
        <v>명지간 10L10L6</v>
      </c>
      <c r="I9973" s="1" t="s">
        <v>8</v>
      </c>
      <c r="J9973" s="1" t="str">
        <f>"43/44"</f>
        <v>43/44</v>
      </c>
      <c r="K9973" s="1" t="str">
        <f t="shared" si="504"/>
        <v>2026-07-29 13:18:11</v>
      </c>
      <c r="L9973" s="1" t="str">
        <f>"2014-12-15 16:12:25"</f>
        <v>2014-12-15 16:12:25</v>
      </c>
      <c r="M9973" s="1" t="s">
        <v>45</v>
      </c>
      <c r="N9973" s="1" t="s">
        <v>38</v>
      </c>
      <c r="O9973" s="1" t="s">
        <v>46</v>
      </c>
    </row>
    <row r="9974" spans="2:15" x14ac:dyDescent="0.3">
      <c r="B9974" s="1" t="s">
        <v>21</v>
      </c>
      <c r="C9974" s="1" t="str">
        <f>"3차"</f>
        <v>3차</v>
      </c>
      <c r="D9974" s="1" t="str">
        <f>"9727R77139"</f>
        <v>9727R77139</v>
      </c>
      <c r="E9974" s="1" t="s">
        <v>10</v>
      </c>
      <c r="F9974" s="1" t="str">
        <f>"10.128.114.37"</f>
        <v>10.128.114.37</v>
      </c>
      <c r="G9974" s="1" t="str">
        <f>"9727R771"</f>
        <v>9727R771</v>
      </c>
      <c r="H9974" s="1" t="str">
        <f>"홍은간 20"</f>
        <v>홍은간 20</v>
      </c>
      <c r="I9974" s="1" t="s">
        <v>8</v>
      </c>
      <c r="J9974" s="1" t="str">
        <f>"55/60"</f>
        <v>55/60</v>
      </c>
      <c r="K9974" s="1" t="str">
        <f t="shared" si="504"/>
        <v>2026-07-29 13:18:11</v>
      </c>
      <c r="L9974" s="1" t="str">
        <f>"2018-07-26 10:25:14"</f>
        <v>2018-07-26 10:25:14</v>
      </c>
      <c r="M9974" s="1" t="s">
        <v>45</v>
      </c>
      <c r="N9974" s="1" t="s">
        <v>38</v>
      </c>
      <c r="O9974" s="1" t="s">
        <v>46</v>
      </c>
    </row>
    <row r="9975" spans="2:15" x14ac:dyDescent="0.3">
      <c r="B9975" s="1" t="s">
        <v>21</v>
      </c>
      <c r="C9975" s="1" t="str">
        <f>"3차"</f>
        <v>3차</v>
      </c>
      <c r="D9975" s="1" t="str">
        <f>"9727R77239"</f>
        <v>9727R77239</v>
      </c>
      <c r="E9975" s="1" t="s">
        <v>10</v>
      </c>
      <c r="F9975" s="1" t="str">
        <f>"10.128.34.68"</f>
        <v>10.128.34.68</v>
      </c>
      <c r="G9975" s="1" t="str">
        <f>"9727R772"</f>
        <v>9727R772</v>
      </c>
      <c r="H9975" s="1" t="str">
        <f>"두산간 38"</f>
        <v>두산간 38</v>
      </c>
      <c r="I9975" s="1" t="s">
        <v>8</v>
      </c>
      <c r="J9975" s="1" t="str">
        <f>"6/6"</f>
        <v>6/6</v>
      </c>
      <c r="K9975" s="1" t="str">
        <f t="shared" si="504"/>
        <v>2026-07-29 13:18:11</v>
      </c>
      <c r="L9975" s="1" t="str">
        <f>"2018-05-21 17:04:09"</f>
        <v>2018-05-21 17:04:09</v>
      </c>
      <c r="M9975" s="1" t="s">
        <v>45</v>
      </c>
      <c r="N9975" s="1" t="s">
        <v>38</v>
      </c>
      <c r="O9975" s="1" t="s">
        <v>46</v>
      </c>
    </row>
    <row r="9976" spans="2:15" x14ac:dyDescent="0.3">
      <c r="B9976" s="1" t="s">
        <v>21</v>
      </c>
      <c r="C9976" s="1" t="str">
        <f>"3차"</f>
        <v>3차</v>
      </c>
      <c r="D9976" s="1" t="str">
        <f>"9727R77339"</f>
        <v>9727R77339</v>
      </c>
      <c r="E9976" s="1" t="s">
        <v>10</v>
      </c>
      <c r="F9976" s="1" t="str">
        <f>"10.128.34.69"</f>
        <v>10.128.34.69</v>
      </c>
      <c r="G9976" s="1" t="str">
        <f>"9727R773"</f>
        <v>9727R773</v>
      </c>
      <c r="H9976" s="1" t="str">
        <f>"두산간 37"</f>
        <v>두산간 37</v>
      </c>
      <c r="I9976" s="1" t="s">
        <v>8</v>
      </c>
      <c r="J9976" s="1" t="str">
        <f>"21/21"</f>
        <v>21/21</v>
      </c>
      <c r="K9976" s="1" t="str">
        <f t="shared" si="504"/>
        <v>2026-07-29 13:18:11</v>
      </c>
      <c r="L9976" s="1" t="str">
        <f>"2018-05-23 09:41:43"</f>
        <v>2018-05-23 09:41:43</v>
      </c>
      <c r="M9976" s="1" t="s">
        <v>45</v>
      </c>
      <c r="N9976" s="1" t="s">
        <v>38</v>
      </c>
      <c r="O9976" s="1" t="s">
        <v>46</v>
      </c>
    </row>
    <row r="9977" spans="2:15" x14ac:dyDescent="0.3">
      <c r="B9977" s="1" t="s">
        <v>21</v>
      </c>
      <c r="C9977" s="1" t="str">
        <f>"4차"</f>
        <v>4차</v>
      </c>
      <c r="D9977" s="1" t="str">
        <f>"9727R78139"</f>
        <v>9727R78139</v>
      </c>
      <c r="E9977" s="1" t="s">
        <v>14</v>
      </c>
      <c r="F9977" s="1" t="str">
        <f>"10.128.115.23"</f>
        <v>10.128.115.23</v>
      </c>
      <c r="G9977" s="1" t="str">
        <f>"9727R781"</f>
        <v>9727R781</v>
      </c>
      <c r="H9977" s="1" t="str">
        <f>"두산간 40"</f>
        <v>두산간 40</v>
      </c>
      <c r="I9977" s="1" t="s">
        <v>8</v>
      </c>
      <c r="J9977" s="1" t="str">
        <f>"0/0"</f>
        <v>0/0</v>
      </c>
      <c r="K9977" s="1" t="str">
        <f>"2026-01-30 07:21:14"</f>
        <v>2026-01-30 07:21:14</v>
      </c>
      <c r="L9977" s="1" t="str">
        <f>"2018-04-27 16:04:12"</f>
        <v>2018-04-27 16:04:12</v>
      </c>
      <c r="M9977" s="1" t="s">
        <v>45</v>
      </c>
      <c r="N9977" s="1" t="s">
        <v>44</v>
      </c>
      <c r="O9977" s="1" t="s">
        <v>44</v>
      </c>
    </row>
    <row r="9978" spans="2:15" x14ac:dyDescent="0.3">
      <c r="B9978" s="1" t="s">
        <v>21</v>
      </c>
      <c r="C9978" s="1" t="str">
        <f>"4차"</f>
        <v>4차</v>
      </c>
      <c r="D9978" s="1" t="str">
        <f>"9727R79239"</f>
        <v>9727R79239</v>
      </c>
      <c r="E9978" s="1" t="s">
        <v>10</v>
      </c>
      <c r="F9978" s="1" t="str">
        <f>"10.128.115.55"</f>
        <v>10.128.115.55</v>
      </c>
      <c r="G9978" s="1" t="str">
        <f>"9727R792"</f>
        <v>9727R792</v>
      </c>
      <c r="H9978" s="1" t="str">
        <f>"두산간 41R1"</f>
        <v>두산간 41R1</v>
      </c>
      <c r="I9978" s="1" t="s">
        <v>8</v>
      </c>
      <c r="J9978" s="1" t="str">
        <f>"54/54"</f>
        <v>54/54</v>
      </c>
      <c r="K9978" s="1" t="str">
        <f>"2026-07-29 13:18:11"</f>
        <v>2026-07-29 13:18:11</v>
      </c>
      <c r="L9978" s="1" t="str">
        <f>"2018-06-21 12:25:10"</f>
        <v>2018-06-21 12:25:10</v>
      </c>
      <c r="M9978" s="1" t="s">
        <v>45</v>
      </c>
      <c r="N9978" s="1" t="s">
        <v>38</v>
      </c>
      <c r="O9978" s="1" t="s">
        <v>46</v>
      </c>
    </row>
    <row r="9979" spans="2:15" x14ac:dyDescent="0.3">
      <c r="B9979" s="1" t="s">
        <v>21</v>
      </c>
      <c r="C9979" s="1" t="str">
        <f>"6차"</f>
        <v>6차</v>
      </c>
      <c r="D9979" s="1" t="str">
        <f>"9727R8116S"</f>
        <v>9727R8116S</v>
      </c>
      <c r="E9979" s="1" t="s">
        <v>10</v>
      </c>
      <c r="F9979" s="1" t="str">
        <f>"fde1:103:4:921a:0:0:0:2"</f>
        <v>fde1:103:4:921a:0:0:0:2</v>
      </c>
      <c r="G9979" s="1" t="str">
        <f>"9727R811"</f>
        <v>9727R811</v>
      </c>
      <c r="H9979" s="1" t="str">
        <f>"명지간 10L7R2L4"</f>
        <v>명지간 10L7R2L4</v>
      </c>
      <c r="I9979" s="1" t="s">
        <v>15</v>
      </c>
      <c r="J9979" s="1" t="str">
        <f>"27/27"</f>
        <v>27/27</v>
      </c>
      <c r="K9979" s="1" t="str">
        <f>"2026-07-29 14:21:37"</f>
        <v>2026-07-29 14:21:37</v>
      </c>
      <c r="L9979" s="1" t="str">
        <f>"2025-02-28 17:42:00"</f>
        <v>2025-02-28 17:42:00</v>
      </c>
      <c r="M9979" s="1" t="s">
        <v>4</v>
      </c>
      <c r="N9979" s="1" t="s">
        <v>38</v>
      </c>
      <c r="O9979" s="1" t="s">
        <v>46</v>
      </c>
    </row>
    <row r="9980" spans="2:15" x14ac:dyDescent="0.3">
      <c r="B9980" s="1" t="s">
        <v>21</v>
      </c>
      <c r="C9980" s="1" t="str">
        <f>"4차"</f>
        <v>4차</v>
      </c>
      <c r="D9980" s="1" t="str">
        <f>"9727R81244"</f>
        <v>9727R81244</v>
      </c>
      <c r="E9980" s="1" t="s">
        <v>10</v>
      </c>
      <c r="F9980" s="1" t="str">
        <f>"10.10.80.34"</f>
        <v>10.10.80.34</v>
      </c>
      <c r="G9980" s="1" t="str">
        <f>"9727R812"</f>
        <v>9727R812</v>
      </c>
      <c r="H9980" s="1" t="str">
        <f>"홍은간 10L5R2"</f>
        <v>홍은간 10L5R2</v>
      </c>
      <c r="I9980" s="1" t="s">
        <v>8</v>
      </c>
      <c r="J9980" s="1" t="str">
        <f>"27/27"</f>
        <v>27/27</v>
      </c>
      <c r="K9980" s="1" t="str">
        <f t="shared" ref="K9980:K9990" si="505">"2026-07-29 13:18:11"</f>
        <v>2026-07-29 13:18:11</v>
      </c>
      <c r="L9980" s="1" t="str">
        <f>"2019-11-20 08:37:48"</f>
        <v>2019-11-20 08:37:48</v>
      </c>
      <c r="M9980" s="1" t="s">
        <v>1</v>
      </c>
      <c r="N9980" s="1" t="s">
        <v>38</v>
      </c>
      <c r="O9980" s="1" t="s">
        <v>46</v>
      </c>
    </row>
    <row r="9981" spans="2:15" x14ac:dyDescent="0.3">
      <c r="B9981" s="1" t="s">
        <v>21</v>
      </c>
      <c r="C9981" s="1" t="str">
        <f>"1차"</f>
        <v>1차</v>
      </c>
      <c r="D9981" s="1" t="str">
        <f>"9727R83100"</f>
        <v>9727R83100</v>
      </c>
      <c r="E9981" s="1" t="s">
        <v>10</v>
      </c>
      <c r="F9981" s="1" t="str">
        <f>"10.128.97.18"</f>
        <v>10.128.97.18</v>
      </c>
      <c r="G9981" s="1" t="str">
        <f>"9727R831"</f>
        <v>9727R831</v>
      </c>
      <c r="H9981" s="1" t="str">
        <f>"명지간 10L10L2"</f>
        <v>명지간 10L10L2</v>
      </c>
      <c r="I9981" s="1" t="s">
        <v>8</v>
      </c>
      <c r="J9981" s="1" t="str">
        <f>"9/9"</f>
        <v>9/9</v>
      </c>
      <c r="K9981" s="1" t="str">
        <f t="shared" si="505"/>
        <v>2026-07-29 13:18:11</v>
      </c>
      <c r="L9981" s="1" t="str">
        <f>"2014-12-15 16:28:08"</f>
        <v>2014-12-15 16:28:08</v>
      </c>
      <c r="M9981" s="1" t="s">
        <v>45</v>
      </c>
      <c r="N9981" s="1" t="s">
        <v>38</v>
      </c>
      <c r="O9981" s="1" t="s">
        <v>46</v>
      </c>
    </row>
    <row r="9982" spans="2:15" x14ac:dyDescent="0.3">
      <c r="B9982" s="1" t="s">
        <v>21</v>
      </c>
      <c r="C9982" s="1" t="str">
        <f>"4차"</f>
        <v>4차</v>
      </c>
      <c r="D9982" s="1" t="str">
        <f>"9727R83344"</f>
        <v>9727R83344</v>
      </c>
      <c r="E9982" s="1" t="s">
        <v>10</v>
      </c>
      <c r="F9982" s="1" t="str">
        <f>"10.10.78.234"</f>
        <v>10.10.78.234</v>
      </c>
      <c r="G9982" s="1" t="str">
        <f>"9727R833"</f>
        <v>9727R833</v>
      </c>
      <c r="H9982" s="1" t="str">
        <f>"홍은간 10L3R3"</f>
        <v>홍은간 10L3R3</v>
      </c>
      <c r="I9982" s="1" t="s">
        <v>8</v>
      </c>
      <c r="J9982" s="1" t="str">
        <f>"41/41"</f>
        <v>41/41</v>
      </c>
      <c r="K9982" s="1" t="str">
        <f t="shared" si="505"/>
        <v>2026-07-29 13:18:11</v>
      </c>
      <c r="L9982" s="1" t="str">
        <f>"2019-11-20 08:46:46"</f>
        <v>2019-11-20 08:46:46</v>
      </c>
      <c r="M9982" s="1" t="s">
        <v>1</v>
      </c>
      <c r="N9982" s="1" t="s">
        <v>38</v>
      </c>
      <c r="O9982" s="1" t="s">
        <v>46</v>
      </c>
    </row>
    <row r="9983" spans="2:15" x14ac:dyDescent="0.3">
      <c r="B9983" s="1" t="s">
        <v>21</v>
      </c>
      <c r="C9983" s="1" t="str">
        <f>"1차"</f>
        <v>1차</v>
      </c>
      <c r="D9983" s="1" t="str">
        <f>"9727R84102"</f>
        <v>9727R84102</v>
      </c>
      <c r="E9983" s="1" t="s">
        <v>10</v>
      </c>
      <c r="F9983" s="1" t="str">
        <f>"10.128.97.4"</f>
        <v>10.128.97.4</v>
      </c>
      <c r="G9983" s="1" t="str">
        <f>"9727R841"</f>
        <v>9727R841</v>
      </c>
      <c r="H9983" s="1" t="str">
        <f>"명지간 10L10L3"</f>
        <v>명지간 10L10L3</v>
      </c>
      <c r="I9983" s="1" t="s">
        <v>8</v>
      </c>
      <c r="J9983" s="1" t="str">
        <f>"13/13"</f>
        <v>13/13</v>
      </c>
      <c r="K9983" s="1" t="str">
        <f t="shared" si="505"/>
        <v>2026-07-29 13:18:11</v>
      </c>
      <c r="L9983" s="1" t="str">
        <f>"2014-12-15 16:12:26"</f>
        <v>2014-12-15 16:12:26</v>
      </c>
      <c r="M9983" s="1" t="s">
        <v>45</v>
      </c>
      <c r="N9983" s="1" t="s">
        <v>38</v>
      </c>
      <c r="O9983" s="1" t="s">
        <v>46</v>
      </c>
    </row>
    <row r="9984" spans="2:15" x14ac:dyDescent="0.3">
      <c r="B9984" s="1" t="s">
        <v>21</v>
      </c>
      <c r="C9984" s="1" t="str">
        <f>"3차"</f>
        <v>3차</v>
      </c>
      <c r="D9984" s="1" t="str">
        <f>"9727R84239"</f>
        <v>9727R84239</v>
      </c>
      <c r="E9984" s="1" t="s">
        <v>10</v>
      </c>
      <c r="F9984" s="1" t="str">
        <f>"10.128.115.4"</f>
        <v>10.128.115.4</v>
      </c>
      <c r="G9984" s="1" t="str">
        <f>"9727R842"</f>
        <v>9727R842</v>
      </c>
      <c r="H9984" s="1" t="str">
        <f>"명지간 10L13"</f>
        <v>명지간 10L13</v>
      </c>
      <c r="I9984" s="1" t="s">
        <v>8</v>
      </c>
      <c r="J9984" s="1" t="str">
        <f>"7/7"</f>
        <v>7/7</v>
      </c>
      <c r="K9984" s="1" t="str">
        <f t="shared" si="505"/>
        <v>2026-07-29 13:18:11</v>
      </c>
      <c r="L9984" s="1" t="str">
        <f>"2018-06-21 10:40:40"</f>
        <v>2018-06-21 10:40:40</v>
      </c>
      <c r="M9984" s="1" t="s">
        <v>45</v>
      </c>
      <c r="N9984" s="1" t="s">
        <v>38</v>
      </c>
      <c r="O9984" s="1" t="s">
        <v>46</v>
      </c>
    </row>
    <row r="9985" spans="2:15" x14ac:dyDescent="0.3">
      <c r="B9985" s="1" t="s">
        <v>21</v>
      </c>
      <c r="C9985" s="1" t="str">
        <f>"3차"</f>
        <v>3차</v>
      </c>
      <c r="D9985" s="1" t="str">
        <f>"9727R85139"</f>
        <v>9727R85139</v>
      </c>
      <c r="E9985" s="1" t="s">
        <v>10</v>
      </c>
      <c r="F9985" s="1" t="str">
        <f>"10.128.115.11"</f>
        <v>10.128.115.11</v>
      </c>
      <c r="G9985" s="1" t="str">
        <f>"9727R851"</f>
        <v>9727R851</v>
      </c>
      <c r="H9985" s="1" t="str">
        <f>"홍은간 17"</f>
        <v>홍은간 17</v>
      </c>
      <c r="I9985" s="1" t="s">
        <v>8</v>
      </c>
      <c r="J9985" s="1" t="str">
        <f>"1/2"</f>
        <v>1/2</v>
      </c>
      <c r="K9985" s="1" t="str">
        <f t="shared" si="505"/>
        <v>2026-07-29 13:18:11</v>
      </c>
      <c r="L9985" s="1" t="str">
        <f>"2018-05-23 09:00:09"</f>
        <v>2018-05-23 09:00:09</v>
      </c>
      <c r="M9985" s="1" t="s">
        <v>45</v>
      </c>
      <c r="N9985" s="1" t="s">
        <v>38</v>
      </c>
      <c r="O9985" s="1" t="s">
        <v>46</v>
      </c>
    </row>
    <row r="9986" spans="2:15" x14ac:dyDescent="0.3">
      <c r="B9986" s="1" t="s">
        <v>21</v>
      </c>
      <c r="C9986" s="1" t="str">
        <f>"3차"</f>
        <v>3차</v>
      </c>
      <c r="D9986" s="1" t="str">
        <f>"9727R86139"</f>
        <v>9727R86139</v>
      </c>
      <c r="E9986" s="1" t="s">
        <v>10</v>
      </c>
      <c r="F9986" s="1" t="str">
        <f>"10.128.34.72"</f>
        <v>10.128.34.72</v>
      </c>
      <c r="G9986" s="1" t="str">
        <f>"9727R861"</f>
        <v>9727R861</v>
      </c>
      <c r="H9986" s="1" t="str">
        <f>"두산간 35"</f>
        <v>두산간 35</v>
      </c>
      <c r="I9986" s="1" t="s">
        <v>8</v>
      </c>
      <c r="J9986" s="1" t="str">
        <f>"71/88"</f>
        <v>71/88</v>
      </c>
      <c r="K9986" s="1" t="str">
        <f t="shared" si="505"/>
        <v>2026-07-29 13:18:11</v>
      </c>
      <c r="L9986" s="1" t="str">
        <f>"2018-05-23 09:42:10"</f>
        <v>2018-05-23 09:42:10</v>
      </c>
      <c r="M9986" s="1" t="s">
        <v>45</v>
      </c>
      <c r="N9986" s="1" t="s">
        <v>38</v>
      </c>
      <c r="O9986" s="1" t="s">
        <v>46</v>
      </c>
    </row>
    <row r="9987" spans="2:15" x14ac:dyDescent="0.3">
      <c r="B9987" s="1" t="s">
        <v>21</v>
      </c>
      <c r="C9987" s="1" t="str">
        <f>"4차"</f>
        <v>4차</v>
      </c>
      <c r="D9987" s="1" t="str">
        <f>"9727R90244"</f>
        <v>9727R90244</v>
      </c>
      <c r="E9987" s="1" t="s">
        <v>10</v>
      </c>
      <c r="F9987" s="1" t="str">
        <f>"10.10.79.210"</f>
        <v>10.10.79.210</v>
      </c>
      <c r="G9987" s="1" t="str">
        <f>"9727R902"</f>
        <v>9727R902</v>
      </c>
      <c r="H9987" s="1" t="str">
        <f>"홍은간 10L5"</f>
        <v>홍은간 10L5</v>
      </c>
      <c r="I9987" s="1" t="s">
        <v>8</v>
      </c>
      <c r="J9987" s="1" t="str">
        <f>"91/91"</f>
        <v>91/91</v>
      </c>
      <c r="K9987" s="1" t="str">
        <f t="shared" si="505"/>
        <v>2026-07-29 13:18:11</v>
      </c>
      <c r="L9987" s="1" t="str">
        <f>"2019-11-20 08:41:19"</f>
        <v>2019-11-20 08:41:19</v>
      </c>
      <c r="M9987" s="1" t="s">
        <v>1</v>
      </c>
      <c r="N9987" s="1" t="s">
        <v>38</v>
      </c>
      <c r="O9987" s="1" t="s">
        <v>46</v>
      </c>
    </row>
    <row r="9988" spans="2:15" x14ac:dyDescent="0.3">
      <c r="B9988" s="1" t="s">
        <v>21</v>
      </c>
      <c r="C9988" s="1" t="str">
        <f>"3차"</f>
        <v>3차</v>
      </c>
      <c r="D9988" s="1" t="str">
        <f>"9727R92239"</f>
        <v>9727R92239</v>
      </c>
      <c r="E9988" s="1" t="s">
        <v>10</v>
      </c>
      <c r="F9988" s="1" t="str">
        <f>"10.128.114.242"</f>
        <v>10.128.114.242</v>
      </c>
      <c r="G9988" s="1" t="str">
        <f>"9727R922"</f>
        <v>9727R922</v>
      </c>
      <c r="H9988" s="1" t="str">
        <f>"홍은간 10L3R2"</f>
        <v>홍은간 10L3R2</v>
      </c>
      <c r="I9988" s="1" t="s">
        <v>8</v>
      </c>
      <c r="J9988" s="1" t="str">
        <f>"29/29"</f>
        <v>29/29</v>
      </c>
      <c r="K9988" s="1" t="str">
        <f t="shared" si="505"/>
        <v>2026-07-29 13:18:11</v>
      </c>
      <c r="L9988" s="1" t="str">
        <f>"2018-06-21 10:39:23"</f>
        <v>2018-06-21 10:39:23</v>
      </c>
      <c r="M9988" s="1" t="s">
        <v>45</v>
      </c>
      <c r="N9988" s="1" t="s">
        <v>38</v>
      </c>
      <c r="O9988" s="1" t="s">
        <v>46</v>
      </c>
    </row>
    <row r="9989" spans="2:15" x14ac:dyDescent="0.3">
      <c r="B9989" s="1" t="s">
        <v>21</v>
      </c>
      <c r="C9989" s="1" t="str">
        <f>"3차"</f>
        <v>3차</v>
      </c>
      <c r="D9989" s="1" t="str">
        <f>"9727R94339"</f>
        <v>9727R94339</v>
      </c>
      <c r="E9989" s="1" t="s">
        <v>10</v>
      </c>
      <c r="F9989" s="1" t="str">
        <f>"10.128.34.73"</f>
        <v>10.128.34.73</v>
      </c>
      <c r="G9989" s="1" t="str">
        <f>"9727R943"</f>
        <v>9727R943</v>
      </c>
      <c r="H9989" s="1" t="str">
        <f>"두산간 33"</f>
        <v>두산간 33</v>
      </c>
      <c r="I9989" s="1" t="s">
        <v>8</v>
      </c>
      <c r="J9989" s="1" t="str">
        <f>"5/5"</f>
        <v>5/5</v>
      </c>
      <c r="K9989" s="1" t="str">
        <f t="shared" si="505"/>
        <v>2026-07-29 13:18:11</v>
      </c>
      <c r="L9989" s="1" t="str">
        <f>"2018-05-23 10:24:39"</f>
        <v>2018-05-23 10:24:39</v>
      </c>
      <c r="M9989" s="1" t="s">
        <v>45</v>
      </c>
      <c r="N9989" s="1" t="s">
        <v>38</v>
      </c>
      <c r="O9989" s="1" t="s">
        <v>46</v>
      </c>
    </row>
    <row r="9990" spans="2:15" x14ac:dyDescent="0.3">
      <c r="B9990" s="1" t="s">
        <v>21</v>
      </c>
      <c r="C9990" s="1" t="str">
        <f>"3차"</f>
        <v>3차</v>
      </c>
      <c r="D9990" s="1" t="str">
        <f>"9727R95239"</f>
        <v>9727R95239</v>
      </c>
      <c r="E9990" s="1" t="s">
        <v>10</v>
      </c>
      <c r="F9990" s="1" t="str">
        <f>"10.128.34.74"</f>
        <v>10.128.34.74</v>
      </c>
      <c r="G9990" s="1" t="str">
        <f>"9727R952"</f>
        <v>9727R952</v>
      </c>
      <c r="H9990" s="1" t="str">
        <f>"두산간 34"</f>
        <v>두산간 34</v>
      </c>
      <c r="I9990" s="1" t="s">
        <v>8</v>
      </c>
      <c r="J9990" s="1" t="str">
        <f>"12/12"</f>
        <v>12/12</v>
      </c>
      <c r="K9990" s="1" t="str">
        <f t="shared" si="505"/>
        <v>2026-07-29 13:18:11</v>
      </c>
      <c r="L9990" s="1" t="str">
        <f>"2018-05-23 10:22:40"</f>
        <v>2018-05-23 10:22:40</v>
      </c>
      <c r="M9990" s="1" t="s">
        <v>45</v>
      </c>
      <c r="N9990" s="1" t="s">
        <v>38</v>
      </c>
      <c r="O9990" s="1" t="s">
        <v>46</v>
      </c>
    </row>
    <row r="9991" spans="2:15" x14ac:dyDescent="0.3">
      <c r="B9991" s="1" t="s">
        <v>21</v>
      </c>
      <c r="C9991" s="1" t="str">
        <f>"4차"</f>
        <v>4차</v>
      </c>
      <c r="D9991" s="1" t="str">
        <f>"9727R97239"</f>
        <v>9727R97239</v>
      </c>
      <c r="E9991" s="1" t="s">
        <v>10</v>
      </c>
      <c r="F9991" s="1" t="str">
        <f>"10.128.115.163"</f>
        <v>10.128.115.163</v>
      </c>
      <c r="G9991" s="1" t="str">
        <f>"9727R972"</f>
        <v>9727R972</v>
      </c>
      <c r="H9991" s="1" t="str">
        <f>"두산간 35R3L1"</f>
        <v>두산간 35R3L1</v>
      </c>
      <c r="I9991" s="1" t="s">
        <v>8</v>
      </c>
      <c r="J9991" s="1" t="str">
        <f>"83/86"</f>
        <v>83/86</v>
      </c>
      <c r="K9991" s="1" t="str">
        <f>"2026-07-29 13:18:12"</f>
        <v>2026-07-29 13:18:12</v>
      </c>
      <c r="L9991" s="1" t="str">
        <f>"2018-06-27 16:48:12"</f>
        <v>2018-06-27 16:48:12</v>
      </c>
      <c r="M9991" s="1" t="s">
        <v>45</v>
      </c>
      <c r="N9991" s="1" t="s">
        <v>38</v>
      </c>
      <c r="O9991" s="1" t="s">
        <v>46</v>
      </c>
    </row>
    <row r="9992" spans="2:15" x14ac:dyDescent="0.3">
      <c r="B9992" s="1" t="s">
        <v>21</v>
      </c>
      <c r="C9992" s="1" t="str">
        <f>"3차"</f>
        <v>3차</v>
      </c>
      <c r="D9992" s="1" t="str">
        <f>"9727R97439"</f>
        <v>9727R97439</v>
      </c>
      <c r="E9992" s="1" t="s">
        <v>10</v>
      </c>
      <c r="F9992" s="1" t="str">
        <f>"10.128.115.25"</f>
        <v>10.128.115.25</v>
      </c>
      <c r="G9992" s="1" t="str">
        <f>"9727R974"</f>
        <v>9727R974</v>
      </c>
      <c r="H9992" s="1" t="str">
        <f>"두산간 35R3L1H1"</f>
        <v>두산간 35R3L1H1</v>
      </c>
      <c r="I9992" s="1" t="s">
        <v>8</v>
      </c>
      <c r="J9992" s="1" t="str">
        <f>"8/8"</f>
        <v>8/8</v>
      </c>
      <c r="K9992" s="1" t="str">
        <f>"2026-07-29 13:18:12"</f>
        <v>2026-07-29 13:18:12</v>
      </c>
      <c r="L9992" s="1" t="str">
        <f>"2018-04-26 10:38:10"</f>
        <v>2018-04-26 10:38:10</v>
      </c>
      <c r="M9992" s="1" t="s">
        <v>45</v>
      </c>
      <c r="N9992" s="1" t="s">
        <v>38</v>
      </c>
      <c r="O9992" s="1" t="s">
        <v>46</v>
      </c>
    </row>
    <row r="9993" spans="2:15" x14ac:dyDescent="0.3">
      <c r="B9993" s="1" t="s">
        <v>21</v>
      </c>
      <c r="C9993" s="1" t="str">
        <f>"3차"</f>
        <v>3차</v>
      </c>
      <c r="D9993" s="1" t="str">
        <f>"9727R99230"</f>
        <v>9727R99230</v>
      </c>
      <c r="E9993" s="1" t="s">
        <v>10</v>
      </c>
      <c r="F9993" s="1" t="str">
        <f>"10.128.115.28"</f>
        <v>10.128.115.28</v>
      </c>
      <c r="G9993" s="1" t="str">
        <f>"9727R992"</f>
        <v>9727R992</v>
      </c>
      <c r="H9993" s="1" t="str">
        <f>"두산간 41R6R3"</f>
        <v>두산간 41R6R3</v>
      </c>
      <c r="I9993" s="1" t="s">
        <v>8</v>
      </c>
      <c r="J9993" s="1" t="str">
        <f>"20/21"</f>
        <v>20/21</v>
      </c>
      <c r="K9993" s="1" t="str">
        <f>"2026-07-29 13:18:12"</f>
        <v>2026-07-29 13:18:12</v>
      </c>
      <c r="L9993" s="1" t="str">
        <f>"2018-04-26 11:26:11"</f>
        <v>2018-04-26 11:26:11</v>
      </c>
      <c r="M9993" s="1" t="s">
        <v>45</v>
      </c>
      <c r="N9993" s="1" t="s">
        <v>38</v>
      </c>
      <c r="O9993" s="1" t="s">
        <v>46</v>
      </c>
    </row>
    <row r="9994" spans="2:15" x14ac:dyDescent="0.3">
      <c r="B9994" s="1" t="s">
        <v>21</v>
      </c>
      <c r="C9994" s="1" t="str">
        <f>"4차"</f>
        <v>4차</v>
      </c>
      <c r="D9994" s="1" t="str">
        <f>"9727S01139"</f>
        <v>9727S01139</v>
      </c>
      <c r="E9994" s="1" t="s">
        <v>10</v>
      </c>
      <c r="F9994" s="1" t="str">
        <f>"10.128.115.7"</f>
        <v>10.128.115.7</v>
      </c>
      <c r="G9994" s="1" t="str">
        <f>"9727S011"</f>
        <v>9727S011</v>
      </c>
      <c r="H9994" s="1" t="str">
        <f>"홍은간 10L2"</f>
        <v>홍은간 10L2</v>
      </c>
      <c r="I9994" s="1" t="s">
        <v>8</v>
      </c>
      <c r="J9994" s="1" t="str">
        <f>"12/12"</f>
        <v>12/12</v>
      </c>
      <c r="K9994" s="1" t="str">
        <f>"2026-07-29 13:18:12"</f>
        <v>2026-07-29 13:18:12</v>
      </c>
      <c r="L9994" s="1" t="str">
        <f>"2018-06-21 10:36:53"</f>
        <v>2018-06-21 10:36:53</v>
      </c>
      <c r="M9994" s="1" t="s">
        <v>45</v>
      </c>
      <c r="N9994" s="1" t="s">
        <v>38</v>
      </c>
      <c r="O9994" s="1" t="s">
        <v>46</v>
      </c>
    </row>
    <row r="9995" spans="2:15" x14ac:dyDescent="0.3">
      <c r="B9995" s="1" t="s">
        <v>21</v>
      </c>
      <c r="C9995" s="1" t="str">
        <f>"4차"</f>
        <v>4차</v>
      </c>
      <c r="D9995" s="1" t="str">
        <f>"9727S01244"</f>
        <v>9727S01244</v>
      </c>
      <c r="E9995" s="1" t="s">
        <v>10</v>
      </c>
      <c r="F9995" s="1" t="str">
        <f>"10.10.78.218"</f>
        <v>10.10.78.218</v>
      </c>
      <c r="G9995" s="1" t="str">
        <f>"9727S012"</f>
        <v>9727S012</v>
      </c>
      <c r="H9995" s="1" t="str">
        <f>"홍은간 10L3"</f>
        <v>홍은간 10L3</v>
      </c>
      <c r="I9995" s="1" t="s">
        <v>8</v>
      </c>
      <c r="J9995" s="1" t="str">
        <f>"55/58"</f>
        <v>55/58</v>
      </c>
      <c r="K9995" s="1" t="str">
        <f>"2026-07-29 13:18:11"</f>
        <v>2026-07-29 13:18:11</v>
      </c>
      <c r="L9995" s="1" t="str">
        <f>"2019-11-20 08:49:21"</f>
        <v>2019-11-20 08:49:21</v>
      </c>
      <c r="M9995" s="1" t="s">
        <v>1</v>
      </c>
      <c r="N9995" s="1" t="s">
        <v>38</v>
      </c>
      <c r="O9995" s="1" t="s">
        <v>46</v>
      </c>
    </row>
    <row r="9996" spans="2:15" x14ac:dyDescent="0.3">
      <c r="B9996" s="1" t="s">
        <v>21</v>
      </c>
      <c r="C9996" s="1" t="str">
        <f>"3차"</f>
        <v>3차</v>
      </c>
      <c r="D9996" s="1" t="str">
        <f>"9727S03139"</f>
        <v>9727S03139</v>
      </c>
      <c r="E9996" s="1" t="s">
        <v>10</v>
      </c>
      <c r="F9996" s="1" t="str">
        <f>"10.128.115.6"</f>
        <v>10.128.115.6</v>
      </c>
      <c r="G9996" s="1" t="str">
        <f>"9727S031"</f>
        <v>9727S031</v>
      </c>
      <c r="H9996" s="1" t="str">
        <f>"홍은간 12"</f>
        <v>홍은간 12</v>
      </c>
      <c r="I9996" s="1" t="s">
        <v>8</v>
      </c>
      <c r="J9996" s="1" t="str">
        <f>"5/5"</f>
        <v>5/5</v>
      </c>
      <c r="K9996" s="1" t="str">
        <f>"2026-07-29 13:18:12"</f>
        <v>2026-07-29 13:18:12</v>
      </c>
      <c r="L9996" s="1" t="str">
        <f>"2018-06-21 11:00:09"</f>
        <v>2018-06-21 11:00:09</v>
      </c>
      <c r="M9996" s="1" t="s">
        <v>45</v>
      </c>
      <c r="N9996" s="1" t="s">
        <v>38</v>
      </c>
      <c r="O9996" s="1" t="s">
        <v>46</v>
      </c>
    </row>
    <row r="9997" spans="2:15" x14ac:dyDescent="0.3">
      <c r="B9997" s="1" t="s">
        <v>21</v>
      </c>
      <c r="C9997" s="1" t="str">
        <f>"3차"</f>
        <v>3차</v>
      </c>
      <c r="D9997" s="1" t="str">
        <f>"9727S03239"</f>
        <v>9727S03239</v>
      </c>
      <c r="E9997" s="1" t="s">
        <v>10</v>
      </c>
      <c r="F9997" s="1" t="str">
        <f>"10.128.34.76"</f>
        <v>10.128.34.76</v>
      </c>
      <c r="G9997" s="1" t="str">
        <f>"9727S032"</f>
        <v>9727S032</v>
      </c>
      <c r="H9997" s="1" t="str">
        <f>"두산간 31"</f>
        <v>두산간 31</v>
      </c>
      <c r="I9997" s="1" t="s">
        <v>8</v>
      </c>
      <c r="J9997" s="1" t="str">
        <f>"32/32"</f>
        <v>32/32</v>
      </c>
      <c r="K9997" s="1" t="str">
        <f>"2026-07-29 13:18:12"</f>
        <v>2026-07-29 13:18:12</v>
      </c>
      <c r="L9997" s="1" t="str">
        <f>"2018-05-23 10:07:11"</f>
        <v>2018-05-23 10:07:11</v>
      </c>
      <c r="M9997" s="1" t="s">
        <v>45</v>
      </c>
      <c r="N9997" s="1" t="s">
        <v>38</v>
      </c>
      <c r="O9997" s="1" t="s">
        <v>46</v>
      </c>
    </row>
    <row r="9998" spans="2:15" x14ac:dyDescent="0.3">
      <c r="B9998" s="1" t="s">
        <v>21</v>
      </c>
      <c r="C9998" s="1" t="str">
        <f>"4차"</f>
        <v>4차</v>
      </c>
      <c r="D9998" s="1" t="str">
        <f>"9727S03339"</f>
        <v>9727S03339</v>
      </c>
      <c r="E9998" s="1" t="s">
        <v>10</v>
      </c>
      <c r="F9998" s="1" t="str">
        <f>"10.128.115.10"</f>
        <v>10.128.115.10</v>
      </c>
      <c r="G9998" s="1" t="str">
        <f>"9727S033"</f>
        <v>9727S033</v>
      </c>
      <c r="H9998" s="1" t="str">
        <f>"홍은간 13"</f>
        <v>홍은간 13</v>
      </c>
      <c r="I9998" s="1" t="s">
        <v>8</v>
      </c>
      <c r="J9998" s="1" t="str">
        <f>"19/20"</f>
        <v>19/20</v>
      </c>
      <c r="K9998" s="1" t="str">
        <f>"2026-07-29 13:18:12"</f>
        <v>2026-07-29 13:18:12</v>
      </c>
      <c r="L9998" s="1" t="str">
        <f>"2018-06-21 10:35:38"</f>
        <v>2018-06-21 10:35:38</v>
      </c>
      <c r="M9998" s="1" t="s">
        <v>45</v>
      </c>
      <c r="N9998" s="1" t="s">
        <v>38</v>
      </c>
      <c r="O9998" s="1" t="s">
        <v>46</v>
      </c>
    </row>
    <row r="9999" spans="2:15" x14ac:dyDescent="0.3">
      <c r="B9999" s="1" t="s">
        <v>21</v>
      </c>
      <c r="C9999" s="1" t="str">
        <f>"3차"</f>
        <v>3차</v>
      </c>
      <c r="D9999" s="1" t="str">
        <f>"9727S04239"</f>
        <v>9727S04239</v>
      </c>
      <c r="E9999" s="1" t="s">
        <v>10</v>
      </c>
      <c r="F9999" s="1" t="str">
        <f>"10.128.34.77"</f>
        <v>10.128.34.77</v>
      </c>
      <c r="G9999" s="1" t="str">
        <f>"9727S042"</f>
        <v>9727S042</v>
      </c>
      <c r="H9999" s="1" t="str">
        <f>"두산간 32"</f>
        <v>두산간 32</v>
      </c>
      <c r="I9999" s="1" t="s">
        <v>8</v>
      </c>
      <c r="J9999" s="1" t="str">
        <f>"3/3"</f>
        <v>3/3</v>
      </c>
      <c r="K9999" s="1" t="str">
        <f>"2026-07-29 13:18:12"</f>
        <v>2026-07-29 13:18:12</v>
      </c>
      <c r="L9999" s="1" t="str">
        <f>"2018-05-23 12:31:02"</f>
        <v>2018-05-23 12:31:02</v>
      </c>
      <c r="M9999" s="1" t="s">
        <v>45</v>
      </c>
      <c r="N9999" s="1" t="s">
        <v>38</v>
      </c>
      <c r="O9999" s="1" t="s">
        <v>46</v>
      </c>
    </row>
    <row r="10000" spans="2:15" x14ac:dyDescent="0.3">
      <c r="B10000" s="1" t="s">
        <v>21</v>
      </c>
      <c r="C10000" s="1" t="str">
        <f>"3차"</f>
        <v>3차</v>
      </c>
      <c r="D10000" s="1" t="str">
        <f>"9727S08232"</f>
        <v>9727S08232</v>
      </c>
      <c r="E10000" s="1" t="s">
        <v>10</v>
      </c>
      <c r="F10000" s="1" t="str">
        <f>"10.128.115.29"</f>
        <v>10.128.115.29</v>
      </c>
      <c r="G10000" s="1" t="str">
        <f>"9727S082"</f>
        <v>9727S082</v>
      </c>
      <c r="H10000" s="1" t="str">
        <f>"두산간 41R6R3R2"</f>
        <v>두산간 41R6R3R2</v>
      </c>
      <c r="I10000" s="1" t="s">
        <v>8</v>
      </c>
      <c r="J10000" s="1" t="str">
        <f>"24/24"</f>
        <v>24/24</v>
      </c>
      <c r="K10000" s="1" t="str">
        <f>"2026-07-29 13:18:11"</f>
        <v>2026-07-29 13:18:11</v>
      </c>
      <c r="L10000" s="1" t="str">
        <f>"2018-04-26 10:50:41"</f>
        <v>2018-04-26 10:50:41</v>
      </c>
      <c r="M10000" s="1" t="s">
        <v>45</v>
      </c>
      <c r="N10000" s="1" t="s">
        <v>38</v>
      </c>
      <c r="O10000" s="1" t="s">
        <v>46</v>
      </c>
    </row>
    <row r="10001" spans="2:15" x14ac:dyDescent="0.3">
      <c r="B10001" s="1" t="s">
        <v>21</v>
      </c>
      <c r="C10001" s="1" t="str">
        <f>"3차"</f>
        <v>3차</v>
      </c>
      <c r="D10001" s="1" t="str">
        <f>"9727S11139"</f>
        <v>9727S11139</v>
      </c>
      <c r="E10001" s="1" t="s">
        <v>14</v>
      </c>
      <c r="F10001" s="1" t="str">
        <f>"10.128.115.9"</f>
        <v>10.128.115.9</v>
      </c>
      <c r="G10001" s="1" t="str">
        <f>"9727S111"</f>
        <v>9727S111</v>
      </c>
      <c r="H10001" s="1" t="str">
        <f>"홍은간 9"</f>
        <v>홍은간 9</v>
      </c>
      <c r="I10001" s="1" t="s">
        <v>8</v>
      </c>
      <c r="J10001" s="1" t="str">
        <f>"0/0"</f>
        <v>0/0</v>
      </c>
      <c r="K10001" s="1" t="str">
        <f>"2026-07-29 13:18:11"</f>
        <v>2026-07-29 13:18:11</v>
      </c>
      <c r="L10001" s="1" t="str">
        <f>"2018-06-21 11:26:09"</f>
        <v>2018-06-21 11:26:09</v>
      </c>
      <c r="M10001" s="1" t="s">
        <v>45</v>
      </c>
      <c r="N10001" s="1" t="s">
        <v>38</v>
      </c>
      <c r="O10001" s="1" t="s">
        <v>44</v>
      </c>
    </row>
    <row r="10002" spans="2:15" x14ac:dyDescent="0.3">
      <c r="B10002" s="1" t="s">
        <v>21</v>
      </c>
      <c r="C10002" s="1" t="str">
        <f>"3차"</f>
        <v>3차</v>
      </c>
      <c r="D10002" s="1" t="str">
        <f>"9727S12239"</f>
        <v>9727S12239</v>
      </c>
      <c r="E10002" s="1" t="s">
        <v>14</v>
      </c>
      <c r="F10002" s="1" t="str">
        <f>"10.128.34.79"</f>
        <v>10.128.34.79</v>
      </c>
      <c r="G10002" s="1" t="str">
        <f>"9727S122"</f>
        <v>9727S122</v>
      </c>
      <c r="H10002" s="1" t="str">
        <f>"두산간 29"</f>
        <v>두산간 29</v>
      </c>
      <c r="I10002" s="1" t="s">
        <v>8</v>
      </c>
      <c r="J10002" s="1" t="str">
        <f>"0/0"</f>
        <v>0/0</v>
      </c>
      <c r="K10002" s="1" t="str">
        <f>"2026-07-29 13:18:12"</f>
        <v>2026-07-29 13:18:12</v>
      </c>
      <c r="L10002" s="1" t="str">
        <f>"2018-05-23 09:05:53"</f>
        <v>2018-05-23 09:05:53</v>
      </c>
      <c r="M10002" s="1" t="s">
        <v>45</v>
      </c>
      <c r="N10002" s="1" t="s">
        <v>38</v>
      </c>
      <c r="O10002" s="1" t="s">
        <v>44</v>
      </c>
    </row>
    <row r="10003" spans="2:15" x14ac:dyDescent="0.3">
      <c r="B10003" s="1" t="s">
        <v>21</v>
      </c>
      <c r="C10003" s="1" t="str">
        <f>"3차"</f>
        <v>3차</v>
      </c>
      <c r="D10003" s="1" t="str">
        <f>"9727S12439"</f>
        <v>9727S12439</v>
      </c>
      <c r="E10003" s="1" t="s">
        <v>10</v>
      </c>
      <c r="F10003" s="1" t="str">
        <f>"10.128.115.8"</f>
        <v>10.128.115.8</v>
      </c>
      <c r="G10003" s="1" t="str">
        <f>"9727S124"</f>
        <v>9727S124</v>
      </c>
      <c r="H10003" s="1" t="str">
        <f>"홍은간 10L1"</f>
        <v>홍은간 10L1</v>
      </c>
      <c r="I10003" s="1" t="s">
        <v>8</v>
      </c>
      <c r="J10003" s="1" t="str">
        <f>"23/23"</f>
        <v>23/23</v>
      </c>
      <c r="K10003" s="1" t="str">
        <f>"2026-07-29 13:18:11"</f>
        <v>2026-07-29 13:18:11</v>
      </c>
      <c r="L10003" s="1" t="str">
        <f>"2018-06-21 10:37:38"</f>
        <v>2018-06-21 10:37:38</v>
      </c>
      <c r="M10003" s="1" t="s">
        <v>45</v>
      </c>
      <c r="N10003" s="1" t="s">
        <v>38</v>
      </c>
      <c r="O10003" s="1" t="s">
        <v>46</v>
      </c>
    </row>
    <row r="10004" spans="2:15" x14ac:dyDescent="0.3">
      <c r="B10004" s="1" t="s">
        <v>21</v>
      </c>
      <c r="C10004" s="1" t="str">
        <f>"1차"</f>
        <v>1차</v>
      </c>
      <c r="D10004" s="1" t="str">
        <f>"9727S13100"</f>
        <v>9727S13100</v>
      </c>
      <c r="E10004" s="1" t="s">
        <v>14</v>
      </c>
      <c r="F10004" s="1" t="str">
        <f>"10.128.32.198"</f>
        <v>10.128.32.198</v>
      </c>
      <c r="G10004" s="1" t="str">
        <f>"9727S131"</f>
        <v>9727S131</v>
      </c>
      <c r="H10004" s="1" t="str">
        <f>"두산간 30"</f>
        <v>두산간 30</v>
      </c>
      <c r="I10004" s="1" t="s">
        <v>8</v>
      </c>
      <c r="J10004" s="1" t="str">
        <f>"0/0"</f>
        <v>0/0</v>
      </c>
      <c r="K10004" s="1" t="str">
        <f>"2026-07-29 13:18:12"</f>
        <v>2026-07-29 13:18:12</v>
      </c>
      <c r="L10004" s="1" t="str">
        <f>"2014-12-10 14:58:30"</f>
        <v>2014-12-10 14:58:30</v>
      </c>
      <c r="M10004" s="1" t="s">
        <v>45</v>
      </c>
      <c r="N10004" s="1" t="s">
        <v>38</v>
      </c>
      <c r="O10004" s="1" t="s">
        <v>44</v>
      </c>
    </row>
    <row r="10005" spans="2:15" x14ac:dyDescent="0.3">
      <c r="B10005" s="1" t="s">
        <v>21</v>
      </c>
      <c r="C10005" s="1" t="str">
        <f>"3차"</f>
        <v>3차</v>
      </c>
      <c r="D10005" s="1" t="str">
        <f>"9727S15139"</f>
        <v>9727S15139</v>
      </c>
      <c r="E10005" s="1" t="s">
        <v>10</v>
      </c>
      <c r="F10005" s="1" t="str">
        <f>"10.128.115.172"</f>
        <v>10.128.115.172</v>
      </c>
      <c r="G10005" s="1" t="str">
        <f>"9727S151"</f>
        <v>9727S151</v>
      </c>
      <c r="H10005" s="1" t="str">
        <f>"두산간 35R2R3"</f>
        <v>두산간 35R2R3</v>
      </c>
      <c r="I10005" s="1" t="s">
        <v>8</v>
      </c>
      <c r="J10005" s="1" t="str">
        <f>"133/139"</f>
        <v>133/139</v>
      </c>
      <c r="K10005" s="1" t="str">
        <f>"2026-07-29 13:18:11"</f>
        <v>2026-07-29 13:18:11</v>
      </c>
      <c r="L10005" s="1" t="str">
        <f>"2018-06-28 11:28:26"</f>
        <v>2018-06-28 11:28:26</v>
      </c>
      <c r="M10005" s="1" t="s">
        <v>45</v>
      </c>
      <c r="N10005" s="1" t="s">
        <v>38</v>
      </c>
      <c r="O10005" s="1" t="s">
        <v>46</v>
      </c>
    </row>
    <row r="10006" spans="2:15" x14ac:dyDescent="0.3">
      <c r="B10006" s="1" t="s">
        <v>21</v>
      </c>
      <c r="C10006" s="1" t="str">
        <f>"4차"</f>
        <v>4차</v>
      </c>
      <c r="D10006" s="1" t="str">
        <f>"9727S21139"</f>
        <v>9727S21139</v>
      </c>
      <c r="E10006" s="1" t="s">
        <v>10</v>
      </c>
      <c r="F10006" s="1" t="str">
        <f>"10.128.34.81"</f>
        <v>10.128.34.81</v>
      </c>
      <c r="G10006" s="1" t="str">
        <f>"9727S211"</f>
        <v>9727S211</v>
      </c>
      <c r="H10006" s="1" t="str">
        <f>"두산간 27"</f>
        <v>두산간 27</v>
      </c>
      <c r="I10006" s="1" t="s">
        <v>8</v>
      </c>
      <c r="J10006" s="1" t="str">
        <f>"48/48"</f>
        <v>48/48</v>
      </c>
      <c r="K10006" s="1" t="str">
        <f>"2026-07-29 13:18:12"</f>
        <v>2026-07-29 13:18:12</v>
      </c>
      <c r="L10006" s="1" t="str">
        <f>"2018-05-23 10:08:56"</f>
        <v>2018-05-23 10:08:56</v>
      </c>
      <c r="M10006" s="1" t="s">
        <v>45</v>
      </c>
      <c r="N10006" s="1" t="s">
        <v>38</v>
      </c>
      <c r="O10006" s="1" t="s">
        <v>46</v>
      </c>
    </row>
    <row r="10007" spans="2:15" x14ac:dyDescent="0.3">
      <c r="B10007" s="1" t="s">
        <v>21</v>
      </c>
      <c r="C10007" s="1" t="str">
        <f>"1차"</f>
        <v>1차</v>
      </c>
      <c r="D10007" s="1" t="str">
        <f>"9727S22101"</f>
        <v>9727S22101</v>
      </c>
      <c r="E10007" s="1" t="s">
        <v>10</v>
      </c>
      <c r="F10007" s="1" t="str">
        <f>"10.12.128.146"</f>
        <v>10.12.128.146</v>
      </c>
      <c r="G10007" s="1" t="str">
        <f>"9727S221"</f>
        <v>9727S221</v>
      </c>
      <c r="H10007" s="1" t="str">
        <f>"두산간 29R1"</f>
        <v>두산간 29R1</v>
      </c>
      <c r="I10007" s="1" t="s">
        <v>8</v>
      </c>
      <c r="J10007" s="1" t="str">
        <f>"18/18"</f>
        <v>18/18</v>
      </c>
      <c r="K10007" s="1" t="str">
        <f>"2026-07-29 13:18:13"</f>
        <v>2026-07-29 13:18:13</v>
      </c>
      <c r="L10007" s="1" t="str">
        <f>"2015-01-06 10:42:19"</f>
        <v>2015-01-06 10:42:19</v>
      </c>
      <c r="M10007" s="1" t="s">
        <v>0</v>
      </c>
      <c r="N10007" s="1" t="s">
        <v>38</v>
      </c>
      <c r="O10007" s="1" t="s">
        <v>46</v>
      </c>
    </row>
    <row r="10008" spans="2:15" x14ac:dyDescent="0.3">
      <c r="B10008" s="1" t="s">
        <v>21</v>
      </c>
      <c r="C10008" s="1" t="str">
        <f>"1차"</f>
        <v>1차</v>
      </c>
      <c r="D10008" s="1" t="str">
        <f>"9727S23101"</f>
        <v>9727S23101</v>
      </c>
      <c r="E10008" s="1" t="s">
        <v>10</v>
      </c>
      <c r="F10008" s="1" t="str">
        <f>"10.12.129.146"</f>
        <v>10.12.129.146</v>
      </c>
      <c r="G10008" s="1" t="str">
        <f>"9727S231"</f>
        <v>9727S231</v>
      </c>
      <c r="H10008" s="1" t="str">
        <f>"두산간 35R2R5"</f>
        <v>두산간 35R2R5</v>
      </c>
      <c r="I10008" s="1" t="s">
        <v>8</v>
      </c>
      <c r="J10008" s="1" t="str">
        <f>"27/27"</f>
        <v>27/27</v>
      </c>
      <c r="K10008" s="1" t="str">
        <f>"2026-07-29 13:18:12"</f>
        <v>2026-07-29 13:18:12</v>
      </c>
      <c r="L10008" s="1" t="str">
        <f>"2014-12-12 13:28:28"</f>
        <v>2014-12-12 13:28:28</v>
      </c>
      <c r="M10008" s="1" t="s">
        <v>0</v>
      </c>
      <c r="N10008" s="1" t="s">
        <v>38</v>
      </c>
      <c r="O10008" s="1" t="s">
        <v>46</v>
      </c>
    </row>
    <row r="10009" spans="2:15" x14ac:dyDescent="0.3">
      <c r="B10009" s="1" t="s">
        <v>21</v>
      </c>
      <c r="C10009" s="1" t="str">
        <f>"1차"</f>
        <v>1차</v>
      </c>
      <c r="D10009" s="1" t="str">
        <f>"9727S30200"</f>
        <v>9727S30200</v>
      </c>
      <c r="E10009" s="1" t="s">
        <v>10</v>
      </c>
      <c r="F10009" s="1" t="str">
        <f>"10.128.33.112"</f>
        <v>10.128.33.112</v>
      </c>
      <c r="G10009" s="1" t="str">
        <f>"9727S302"</f>
        <v>9727S302</v>
      </c>
      <c r="H10009" s="1" t="str">
        <f>"두산간 25"</f>
        <v>두산간 25</v>
      </c>
      <c r="I10009" s="1" t="s">
        <v>8</v>
      </c>
      <c r="J10009" s="1" t="str">
        <f>"28/28"</f>
        <v>28/28</v>
      </c>
      <c r="K10009" s="1" t="str">
        <f>"2026-07-29 13:18:12"</f>
        <v>2026-07-29 13:18:12</v>
      </c>
      <c r="L10009" s="1" t="str">
        <f>"2014-12-26 11:09:03"</f>
        <v>2014-12-26 11:09:03</v>
      </c>
      <c r="M10009" s="1" t="s">
        <v>45</v>
      </c>
      <c r="N10009" s="1" t="s">
        <v>38</v>
      </c>
      <c r="O10009" s="1" t="s">
        <v>46</v>
      </c>
    </row>
    <row r="10010" spans="2:15" x14ac:dyDescent="0.3">
      <c r="B10010" s="1" t="s">
        <v>21</v>
      </c>
      <c r="C10010" s="1" t="str">
        <f>"1차"</f>
        <v>1차</v>
      </c>
      <c r="D10010" s="1" t="str">
        <f>"9727S31100"</f>
        <v>9727S31100</v>
      </c>
      <c r="E10010" s="1" t="s">
        <v>10</v>
      </c>
      <c r="F10010" s="1" t="str">
        <f>"10.128.32.205"</f>
        <v>10.128.32.205</v>
      </c>
      <c r="G10010" s="1" t="str">
        <f>"9727S311"</f>
        <v>9727S311</v>
      </c>
      <c r="H10010" s="1" t="str">
        <f>"두산간 25R3"</f>
        <v>두산간 25R3</v>
      </c>
      <c r="I10010" s="1" t="s">
        <v>8</v>
      </c>
      <c r="J10010" s="1" t="str">
        <f>"32/32"</f>
        <v>32/32</v>
      </c>
      <c r="K10010" s="1" t="str">
        <f>"2026-07-29 13:18:12"</f>
        <v>2026-07-29 13:18:12</v>
      </c>
      <c r="L10010" s="1" t="str">
        <f>"2014-12-10 15:12:36"</f>
        <v>2014-12-10 15:12:36</v>
      </c>
      <c r="M10010" s="1" t="s">
        <v>45</v>
      </c>
      <c r="N10010" s="1" t="s">
        <v>38</v>
      </c>
      <c r="O10010" s="1" t="s">
        <v>46</v>
      </c>
    </row>
    <row r="10011" spans="2:15" x14ac:dyDescent="0.3">
      <c r="B10011" s="1" t="s">
        <v>21</v>
      </c>
      <c r="C10011" s="1" t="str">
        <f>"1차"</f>
        <v>1차</v>
      </c>
      <c r="D10011" s="1" t="str">
        <f>"9727S32101"</f>
        <v>9727S32101</v>
      </c>
      <c r="E10011" s="1" t="s">
        <v>10</v>
      </c>
      <c r="F10011" s="1" t="str">
        <f>"10.128.32.206"</f>
        <v>10.128.32.206</v>
      </c>
      <c r="G10011" s="1" t="str">
        <f>"9727S321"</f>
        <v>9727S321</v>
      </c>
      <c r="H10011" s="1" t="str">
        <f>"두산간 25R4"</f>
        <v>두산간 25R4</v>
      </c>
      <c r="I10011" s="1" t="s">
        <v>8</v>
      </c>
      <c r="J10011" s="1" t="str">
        <f>"38/38"</f>
        <v>38/38</v>
      </c>
      <c r="K10011" s="1" t="str">
        <f>"2026-07-29 13:18:12"</f>
        <v>2026-07-29 13:18:12</v>
      </c>
      <c r="L10011" s="1" t="str">
        <f>"2014-12-10 15:13:03"</f>
        <v>2014-12-10 15:13:03</v>
      </c>
      <c r="M10011" s="1" t="s">
        <v>45</v>
      </c>
      <c r="N10011" s="1" t="s">
        <v>38</v>
      </c>
      <c r="O10011" s="1" t="s">
        <v>46</v>
      </c>
    </row>
    <row r="10012" spans="2:15" x14ac:dyDescent="0.3">
      <c r="B10012" s="1" t="s">
        <v>21</v>
      </c>
      <c r="C10012" s="1" t="str">
        <f>"3차"</f>
        <v>3차</v>
      </c>
      <c r="D10012" s="1" t="str">
        <f>"9727S41139"</f>
        <v>9727S41139</v>
      </c>
      <c r="E10012" s="1" t="s">
        <v>10</v>
      </c>
      <c r="F10012" s="1" t="str">
        <f>"10.12.129.25"</f>
        <v>10.12.129.25</v>
      </c>
      <c r="G10012" s="1" t="str">
        <f>"9727S411"</f>
        <v>9727S411</v>
      </c>
      <c r="H10012" s="1" t="str">
        <f>"두산간 25R2"</f>
        <v>두산간 25R2</v>
      </c>
      <c r="I10012" s="1" t="s">
        <v>8</v>
      </c>
      <c r="J10012" s="1" t="str">
        <f>"40/40"</f>
        <v>40/40</v>
      </c>
      <c r="K10012" s="1" t="str">
        <f>"2026-07-29 13:18:11"</f>
        <v>2026-07-29 13:18:11</v>
      </c>
      <c r="L10012" s="1" t="str">
        <f>"2018-04-24 12:01:56"</f>
        <v>2018-04-24 12:01:56</v>
      </c>
      <c r="M10012" s="1" t="s">
        <v>0</v>
      </c>
      <c r="N10012" s="1" t="s">
        <v>38</v>
      </c>
      <c r="O10012" s="1" t="s">
        <v>46</v>
      </c>
    </row>
    <row r="10013" spans="2:15" x14ac:dyDescent="0.3">
      <c r="B10013" s="1" t="s">
        <v>21</v>
      </c>
      <c r="C10013" s="1" t="str">
        <f>"1차"</f>
        <v>1차</v>
      </c>
      <c r="D10013" s="1" t="str">
        <f>"9727S50200"</f>
        <v>9727S50200</v>
      </c>
      <c r="E10013" s="1" t="s">
        <v>10</v>
      </c>
      <c r="F10013" s="1" t="str">
        <f>"10.128.32.203"</f>
        <v>10.128.32.203</v>
      </c>
      <c r="G10013" s="1" t="str">
        <f>"9727S502"</f>
        <v>9727S502</v>
      </c>
      <c r="H10013" s="1" t="str">
        <f>"두산간 25R2R1"</f>
        <v>두산간 25R2R1</v>
      </c>
      <c r="I10013" s="1" t="s">
        <v>8</v>
      </c>
      <c r="J10013" s="1" t="str">
        <f>"33/33"</f>
        <v>33/33</v>
      </c>
      <c r="K10013" s="1" t="str">
        <f>"2026-07-29 13:18:12"</f>
        <v>2026-07-29 13:18:12</v>
      </c>
      <c r="L10013" s="1" t="str">
        <f>"2014-12-26 10:27:34"</f>
        <v>2014-12-26 10:27:34</v>
      </c>
      <c r="M10013" s="1" t="s">
        <v>45</v>
      </c>
      <c r="N10013" s="1" t="s">
        <v>38</v>
      </c>
      <c r="O10013" s="1" t="s">
        <v>46</v>
      </c>
    </row>
    <row r="10014" spans="2:15" x14ac:dyDescent="0.3">
      <c r="B10014" s="1" t="s">
        <v>21</v>
      </c>
      <c r="C10014" s="1" t="str">
        <f>"4차"</f>
        <v>4차</v>
      </c>
      <c r="D10014" s="1" t="str">
        <f>"9727S94244"</f>
        <v>9727S94244</v>
      </c>
      <c r="E10014" s="1" t="s">
        <v>10</v>
      </c>
      <c r="F10014" s="1" t="str">
        <f>"10.10.80.98"</f>
        <v>10.10.80.98</v>
      </c>
      <c r="G10014" s="1" t="str">
        <f>"9727S942"</f>
        <v>9727S942</v>
      </c>
      <c r="H10014" s="1" t="str">
        <f>"두산간 3B8"</f>
        <v>두산간 3B8</v>
      </c>
      <c r="I10014" s="1" t="s">
        <v>8</v>
      </c>
      <c r="J10014" s="1" t="str">
        <f>"17/21"</f>
        <v>17/21</v>
      </c>
      <c r="K10014" s="1" t="str">
        <f>"2026-07-29 13:18:11"</f>
        <v>2026-07-29 13:18:11</v>
      </c>
      <c r="L10014" s="1" t="str">
        <f>"2019-10-24 17:26:52"</f>
        <v>2019-10-24 17:26:52</v>
      </c>
      <c r="M10014" s="1" t="s">
        <v>1</v>
      </c>
      <c r="N10014" s="1" t="s">
        <v>38</v>
      </c>
      <c r="O10014" s="1" t="s">
        <v>46</v>
      </c>
    </row>
    <row r="10015" spans="2:15" x14ac:dyDescent="0.3">
      <c r="B10015" s="1" t="s">
        <v>21</v>
      </c>
      <c r="C10015" s="1" t="str">
        <f>"4차"</f>
        <v>4차</v>
      </c>
      <c r="D10015" s="1" t="str">
        <f>"9727S94344"</f>
        <v>9727S94344</v>
      </c>
      <c r="E10015" s="1" t="s">
        <v>10</v>
      </c>
      <c r="F10015" s="1" t="str">
        <f>"10.10.80.114"</f>
        <v>10.10.80.114</v>
      </c>
      <c r="G10015" s="1" t="str">
        <f>"9727S943"</f>
        <v>9727S943</v>
      </c>
      <c r="H10015" s="1" t="str">
        <f>"두산간 3R10"</f>
        <v>두산간 3R10</v>
      </c>
      <c r="I10015" s="1" t="s">
        <v>8</v>
      </c>
      <c r="J10015" s="1" t="str">
        <f>"16/16"</f>
        <v>16/16</v>
      </c>
      <c r="K10015" s="1" t="str">
        <f>"2026-07-29 13:18:11"</f>
        <v>2026-07-29 13:18:11</v>
      </c>
      <c r="L10015" s="1" t="str">
        <f>"2019-10-14 14:44:50"</f>
        <v>2019-10-14 14:44:50</v>
      </c>
      <c r="M10015" s="1" t="s">
        <v>1</v>
      </c>
      <c r="N10015" s="1" t="s">
        <v>38</v>
      </c>
      <c r="O10015" s="1" t="s">
        <v>46</v>
      </c>
    </row>
    <row r="10016" spans="2:15" x14ac:dyDescent="0.3">
      <c r="B10016" s="1" t="s">
        <v>21</v>
      </c>
      <c r="C10016" s="1" t="str">
        <f>"4차"</f>
        <v>4차</v>
      </c>
      <c r="D10016" s="1" t="str">
        <f>"9727W07344"</f>
        <v>9727W07344</v>
      </c>
      <c r="E10016" s="1" t="s">
        <v>10</v>
      </c>
      <c r="F10016" s="1" t="str">
        <f>"10.10.97.66"</f>
        <v>10.10.97.66</v>
      </c>
      <c r="G10016" s="1" t="str">
        <f>"9727W073"</f>
        <v>9727W073</v>
      </c>
      <c r="H10016" s="1" t="str">
        <f>"백련간 19R10"</f>
        <v>백련간 19R10</v>
      </c>
      <c r="I10016" s="1" t="s">
        <v>8</v>
      </c>
      <c r="J10016" s="1" t="str">
        <f>"95/95"</f>
        <v>95/95</v>
      </c>
      <c r="K10016" s="1" t="str">
        <f>"2026-07-29 13:18:12"</f>
        <v>2026-07-29 13:18:12</v>
      </c>
      <c r="L10016" s="1" t="str">
        <f>"2019-10-29 18:33:04"</f>
        <v>2019-10-29 18:33:04</v>
      </c>
      <c r="M10016" s="1" t="s">
        <v>1</v>
      </c>
      <c r="N10016" s="1" t="s">
        <v>38</v>
      </c>
      <c r="O10016" s="1" t="s">
        <v>46</v>
      </c>
    </row>
    <row r="10017" spans="2:15" x14ac:dyDescent="0.3">
      <c r="B10017" s="1" t="s">
        <v>21</v>
      </c>
      <c r="C10017" s="1" t="str">
        <f>"3차"</f>
        <v>3차</v>
      </c>
      <c r="D10017" s="1" t="str">
        <f>"9727W15139"</f>
        <v>9727W15139</v>
      </c>
      <c r="E10017" s="1" t="s">
        <v>10</v>
      </c>
      <c r="F10017" s="1" t="str">
        <f>"10.12.129.220"</f>
        <v>10.12.129.220</v>
      </c>
      <c r="G10017" s="1" t="str">
        <f>"9727W151"</f>
        <v>9727W151</v>
      </c>
      <c r="H10017" s="1" t="str">
        <f>"백련간 19R1L5R5"</f>
        <v>백련간 19R1L5R5</v>
      </c>
      <c r="I10017" s="1" t="s">
        <v>8</v>
      </c>
      <c r="J10017" s="1" t="str">
        <f>"34/40"</f>
        <v>34/40</v>
      </c>
      <c r="K10017" s="1" t="str">
        <f>"2026-07-29 07:18:01"</f>
        <v>2026-07-29 07:18:01</v>
      </c>
      <c r="L10017" s="1" t="str">
        <f>"2018-04-25 14:25:43"</f>
        <v>2018-04-25 14:25:43</v>
      </c>
      <c r="M10017" s="1" t="s">
        <v>0</v>
      </c>
      <c r="N10017" s="1" t="s">
        <v>38</v>
      </c>
      <c r="O10017" s="1" t="s">
        <v>46</v>
      </c>
    </row>
    <row r="10018" spans="2:15" x14ac:dyDescent="0.3">
      <c r="B10018" s="1" t="s">
        <v>21</v>
      </c>
      <c r="C10018" s="1" t="str">
        <f t="shared" ref="C10018:C10035" si="506">"4차"</f>
        <v>4차</v>
      </c>
      <c r="D10018" s="1" t="str">
        <f>"9727W15244"</f>
        <v>9727W15244</v>
      </c>
      <c r="E10018" s="1" t="s">
        <v>10</v>
      </c>
      <c r="F10018" s="1" t="str">
        <f>"10.10.73.138"</f>
        <v>10.10.73.138</v>
      </c>
      <c r="G10018" s="1" t="str">
        <f>"9727W152"</f>
        <v>9727W152</v>
      </c>
      <c r="H10018" s="1" t="str">
        <f>"백련간 19R7L3"</f>
        <v>백련간 19R7L3</v>
      </c>
      <c r="I10018" s="1" t="s">
        <v>8</v>
      </c>
      <c r="J10018" s="1" t="str">
        <f>"34/34"</f>
        <v>34/34</v>
      </c>
      <c r="K10018" s="1" t="str">
        <f>"2026-07-29 13:18:12"</f>
        <v>2026-07-29 13:18:12</v>
      </c>
      <c r="L10018" s="1" t="str">
        <f>"2020-01-10 17:25:11"</f>
        <v>2020-01-10 17:25:11</v>
      </c>
      <c r="M10018" s="1" t="s">
        <v>1</v>
      </c>
      <c r="N10018" s="1" t="s">
        <v>38</v>
      </c>
      <c r="O10018" s="1" t="s">
        <v>46</v>
      </c>
    </row>
    <row r="10019" spans="2:15" x14ac:dyDescent="0.3">
      <c r="B10019" s="1" t="s">
        <v>21</v>
      </c>
      <c r="C10019" s="1" t="str">
        <f t="shared" si="506"/>
        <v>4차</v>
      </c>
      <c r="D10019" s="1" t="str">
        <f>"9727W17144"</f>
        <v>9727W17144</v>
      </c>
      <c r="E10019" s="1" t="s">
        <v>10</v>
      </c>
      <c r="F10019" s="1" t="str">
        <f>"10.10.73.154"</f>
        <v>10.10.73.154</v>
      </c>
      <c r="G10019" s="1" t="str">
        <f>"9727W171"</f>
        <v>9727W171</v>
      </c>
      <c r="H10019" s="1" t="str">
        <f>"백련간 19R7"</f>
        <v>백련간 19R7</v>
      </c>
      <c r="I10019" s="1" t="s">
        <v>8</v>
      </c>
      <c r="J10019" s="1" t="str">
        <f>"63/65"</f>
        <v>63/65</v>
      </c>
      <c r="K10019" s="1" t="str">
        <f>"2026-07-29 13:18:12"</f>
        <v>2026-07-29 13:18:12</v>
      </c>
      <c r="L10019" s="1" t="str">
        <f>"2019-10-14 11:10:02"</f>
        <v>2019-10-14 11:10:02</v>
      </c>
      <c r="M10019" s="1" t="s">
        <v>1</v>
      </c>
      <c r="N10019" s="1" t="s">
        <v>38</v>
      </c>
      <c r="O10019" s="1" t="s">
        <v>46</v>
      </c>
    </row>
    <row r="10020" spans="2:15" x14ac:dyDescent="0.3">
      <c r="B10020" s="1" t="s">
        <v>21</v>
      </c>
      <c r="C10020" s="1" t="str">
        <f t="shared" si="506"/>
        <v>4차</v>
      </c>
      <c r="D10020" s="1" t="str">
        <f>"9727W21144"</f>
        <v>9727W21144</v>
      </c>
      <c r="E10020" s="1" t="s">
        <v>10</v>
      </c>
      <c r="F10020" s="1" t="str">
        <f>"10.10.72.10"</f>
        <v>10.10.72.10</v>
      </c>
      <c r="G10020" s="1" t="str">
        <f>"9727W211"</f>
        <v>9727W211</v>
      </c>
      <c r="H10020" s="1" t="str">
        <f>"백련간 19R1L9R2"</f>
        <v>백련간 19R1L9R2</v>
      </c>
      <c r="I10020" s="1" t="s">
        <v>8</v>
      </c>
      <c r="J10020" s="1" t="str">
        <f>"31/31"</f>
        <v>31/31</v>
      </c>
      <c r="K10020" s="1" t="str">
        <f>"2026-07-29 13:18:12"</f>
        <v>2026-07-29 13:18:12</v>
      </c>
      <c r="L10020" s="1" t="str">
        <f>"2019-11-07 11:33:04"</f>
        <v>2019-11-07 11:33:04</v>
      </c>
      <c r="M10020" s="1" t="s">
        <v>1</v>
      </c>
      <c r="N10020" s="1" t="s">
        <v>38</v>
      </c>
      <c r="O10020" s="1" t="s">
        <v>46</v>
      </c>
    </row>
    <row r="10021" spans="2:15" x14ac:dyDescent="0.3">
      <c r="B10021" s="1" t="s">
        <v>21</v>
      </c>
      <c r="C10021" s="1" t="str">
        <f t="shared" si="506"/>
        <v>4차</v>
      </c>
      <c r="D10021" s="1" t="str">
        <f>"9727W22244"</f>
        <v>9727W22244</v>
      </c>
      <c r="E10021" s="1" t="s">
        <v>10</v>
      </c>
      <c r="F10021" s="1" t="str">
        <f>"10.10.110.34"</f>
        <v>10.10.110.34</v>
      </c>
      <c r="G10021" s="1" t="str">
        <f>"9727W222"</f>
        <v>9727W222</v>
      </c>
      <c r="H10021" s="1" t="str">
        <f>"백련간 19R1L8R3"</f>
        <v>백련간 19R1L8R3</v>
      </c>
      <c r="I10021" s="1" t="s">
        <v>8</v>
      </c>
      <c r="J10021" s="1" t="str">
        <f>"20/20"</f>
        <v>20/20</v>
      </c>
      <c r="K10021" s="1" t="str">
        <f>"2026-07-29 13:18:12"</f>
        <v>2026-07-29 13:18:12</v>
      </c>
      <c r="L10021" s="1" t="str">
        <f>"2019-10-29 18:43:04"</f>
        <v>2019-10-29 18:43:04</v>
      </c>
      <c r="M10021" s="1" t="s">
        <v>1</v>
      </c>
      <c r="N10021" s="1" t="s">
        <v>38</v>
      </c>
      <c r="O10021" s="1" t="s">
        <v>46</v>
      </c>
    </row>
    <row r="10022" spans="2:15" x14ac:dyDescent="0.3">
      <c r="B10022" s="1" t="s">
        <v>21</v>
      </c>
      <c r="C10022" s="1" t="str">
        <f t="shared" si="506"/>
        <v>4차</v>
      </c>
      <c r="D10022" s="1" t="str">
        <f>"9727W23139"</f>
        <v>9727W23139</v>
      </c>
      <c r="E10022" s="1" t="s">
        <v>10</v>
      </c>
      <c r="F10022" s="1" t="str">
        <f>"10.128.117.26"</f>
        <v>10.128.117.26</v>
      </c>
      <c r="G10022" s="1" t="str">
        <f>"9727W231"</f>
        <v>9727W231</v>
      </c>
      <c r="H10022" s="1" t="str">
        <f>"백련간 19R1L5R2"</f>
        <v>백련간 19R1L5R2</v>
      </c>
      <c r="I10022" s="1" t="s">
        <v>8</v>
      </c>
      <c r="J10022" s="1" t="str">
        <f>"39/39"</f>
        <v>39/39</v>
      </c>
      <c r="K10022" s="1" t="str">
        <f>"2026-07-29 13:18:12"</f>
        <v>2026-07-29 13:18:12</v>
      </c>
      <c r="L10022" s="1" t="str">
        <f>"2018-04-24 11:34:26"</f>
        <v>2018-04-24 11:34:26</v>
      </c>
      <c r="M10022" s="1" t="s">
        <v>45</v>
      </c>
      <c r="N10022" s="1" t="s">
        <v>38</v>
      </c>
      <c r="O10022" s="1" t="s">
        <v>46</v>
      </c>
    </row>
    <row r="10023" spans="2:15" x14ac:dyDescent="0.3">
      <c r="B10023" s="1" t="s">
        <v>21</v>
      </c>
      <c r="C10023" s="1" t="str">
        <f t="shared" si="506"/>
        <v>4차</v>
      </c>
      <c r="D10023" s="1" t="str">
        <f>"9727W24141"</f>
        <v>9727W24141</v>
      </c>
      <c r="E10023" s="1" t="s">
        <v>10</v>
      </c>
      <c r="F10023" s="1" t="str">
        <f>"10.14.13.182"</f>
        <v>10.14.13.182</v>
      </c>
      <c r="G10023" s="1" t="str">
        <f>"9727W241"</f>
        <v>9727W241</v>
      </c>
      <c r="H10023" s="1" t="str">
        <f>"백련간 19R1L4R1"</f>
        <v>백련간 19R1L4R1</v>
      </c>
      <c r="I10023" s="1" t="s">
        <v>17</v>
      </c>
      <c r="J10023" s="1" t="str">
        <f>"15/15"</f>
        <v>15/15</v>
      </c>
      <c r="K10023" s="1" t="str">
        <f>"2026-07-29 13:18:13"</f>
        <v>2026-07-29 13:18:13</v>
      </c>
      <c r="L10023" s="1" t="str">
        <f>"2021-08-10 13:28:11"</f>
        <v>2021-08-10 13:28:11</v>
      </c>
      <c r="M10023" s="1" t="s">
        <v>3</v>
      </c>
      <c r="N10023" s="1" t="s">
        <v>38</v>
      </c>
      <c r="O10023" s="1" t="s">
        <v>46</v>
      </c>
    </row>
    <row r="10024" spans="2:15" x14ac:dyDescent="0.3">
      <c r="B10024" s="1" t="s">
        <v>21</v>
      </c>
      <c r="C10024" s="1" t="str">
        <f t="shared" si="506"/>
        <v>4차</v>
      </c>
      <c r="D10024" s="1" t="str">
        <f>"9727W26244"</f>
        <v>9727W26244</v>
      </c>
      <c r="E10024" s="1" t="s">
        <v>10</v>
      </c>
      <c r="F10024" s="1" t="str">
        <f>"10.10.72.130"</f>
        <v>10.10.72.130</v>
      </c>
      <c r="G10024" s="1" t="str">
        <f>"9727W262"</f>
        <v>9727W262</v>
      </c>
      <c r="H10024" s="1" t="str">
        <f>"백련간 19R4"</f>
        <v>백련간 19R4</v>
      </c>
      <c r="I10024" s="1" t="s">
        <v>8</v>
      </c>
      <c r="J10024" s="1" t="str">
        <f>"45/45"</f>
        <v>45/45</v>
      </c>
      <c r="K10024" s="1" t="str">
        <f t="shared" ref="K10024:K10032" si="507">"2026-07-29 13:18:12"</f>
        <v>2026-07-29 13:18:12</v>
      </c>
      <c r="L10024" s="1" t="str">
        <f>"2019-10-14 11:03:04"</f>
        <v>2019-10-14 11:03:04</v>
      </c>
      <c r="M10024" s="1" t="s">
        <v>1</v>
      </c>
      <c r="N10024" s="1" t="s">
        <v>38</v>
      </c>
      <c r="O10024" s="1" t="s">
        <v>46</v>
      </c>
    </row>
    <row r="10025" spans="2:15" x14ac:dyDescent="0.3">
      <c r="B10025" s="1" t="s">
        <v>21</v>
      </c>
      <c r="C10025" s="1" t="str">
        <f t="shared" si="506"/>
        <v>4차</v>
      </c>
      <c r="D10025" s="1" t="str">
        <f>"9727W27144"</f>
        <v>9727W27144</v>
      </c>
      <c r="E10025" s="1" t="s">
        <v>10</v>
      </c>
      <c r="F10025" s="1" t="str">
        <f>"10.10.69.226"</f>
        <v>10.10.69.226</v>
      </c>
      <c r="G10025" s="1" t="str">
        <f>"9727W271"</f>
        <v>9727W271</v>
      </c>
      <c r="H10025" s="1" t="str">
        <f>"백련간 19R5"</f>
        <v>백련간 19R5</v>
      </c>
      <c r="I10025" s="1" t="s">
        <v>8</v>
      </c>
      <c r="J10025" s="1" t="str">
        <f>"22/23"</f>
        <v>22/23</v>
      </c>
      <c r="K10025" s="1" t="str">
        <f t="shared" si="507"/>
        <v>2026-07-29 13:18:12</v>
      </c>
      <c r="L10025" s="1" t="str">
        <f>"2019-10-24 18:29:51"</f>
        <v>2019-10-24 18:29:51</v>
      </c>
      <c r="M10025" s="1" t="s">
        <v>1</v>
      </c>
      <c r="N10025" s="1" t="s">
        <v>38</v>
      </c>
      <c r="O10025" s="1" t="s">
        <v>46</v>
      </c>
    </row>
    <row r="10026" spans="2:15" x14ac:dyDescent="0.3">
      <c r="B10026" s="1" t="s">
        <v>21</v>
      </c>
      <c r="C10026" s="1" t="str">
        <f t="shared" si="506"/>
        <v>4차</v>
      </c>
      <c r="D10026" s="1" t="str">
        <f>"9727W27244"</f>
        <v>9727W27244</v>
      </c>
      <c r="E10026" s="1" t="s">
        <v>10</v>
      </c>
      <c r="F10026" s="1" t="str">
        <f>"10.10.72.210"</f>
        <v>10.10.72.210</v>
      </c>
      <c r="G10026" s="1" t="str">
        <f>"9727W272"</f>
        <v>9727W272</v>
      </c>
      <c r="H10026" s="1" t="str">
        <f>"백련간 19R6"</f>
        <v>백련간 19R6</v>
      </c>
      <c r="I10026" s="1" t="s">
        <v>8</v>
      </c>
      <c r="J10026" s="1" t="str">
        <f>"35/35"</f>
        <v>35/35</v>
      </c>
      <c r="K10026" s="1" t="str">
        <f t="shared" si="507"/>
        <v>2026-07-29 13:18:12</v>
      </c>
      <c r="L10026" s="1" t="str">
        <f>"2019-10-29 18:53:04"</f>
        <v>2019-10-29 18:53:04</v>
      </c>
      <c r="M10026" s="1" t="s">
        <v>1</v>
      </c>
      <c r="N10026" s="1" t="s">
        <v>38</v>
      </c>
      <c r="O10026" s="1" t="s">
        <v>46</v>
      </c>
    </row>
    <row r="10027" spans="2:15" x14ac:dyDescent="0.3">
      <c r="B10027" s="1" t="s">
        <v>21</v>
      </c>
      <c r="C10027" s="1" t="str">
        <f t="shared" si="506"/>
        <v>4차</v>
      </c>
      <c r="D10027" s="1" t="str">
        <f>"9727W30344"</f>
        <v>9727W30344</v>
      </c>
      <c r="E10027" s="1" t="s">
        <v>10</v>
      </c>
      <c r="F10027" s="1" t="str">
        <f>"10.10.71.98"</f>
        <v>10.10.71.98</v>
      </c>
      <c r="G10027" s="1" t="str">
        <f>"9727W303"</f>
        <v>9727W303</v>
      </c>
      <c r="H10027" s="1" t="str">
        <f>"백련간 19R1L12L2"</f>
        <v>백련간 19R1L12L2</v>
      </c>
      <c r="I10027" s="1" t="s">
        <v>8</v>
      </c>
      <c r="J10027" s="1" t="str">
        <f>"22/22"</f>
        <v>22/22</v>
      </c>
      <c r="K10027" s="1" t="str">
        <f t="shared" si="507"/>
        <v>2026-07-29 13:18:12</v>
      </c>
      <c r="L10027" s="1" t="str">
        <f>"2019-10-29 18:33:04"</f>
        <v>2019-10-29 18:33:04</v>
      </c>
      <c r="M10027" s="1" t="s">
        <v>1</v>
      </c>
      <c r="N10027" s="1" t="s">
        <v>38</v>
      </c>
      <c r="O10027" s="1" t="s">
        <v>46</v>
      </c>
    </row>
    <row r="10028" spans="2:15" x14ac:dyDescent="0.3">
      <c r="B10028" s="1" t="s">
        <v>21</v>
      </c>
      <c r="C10028" s="1" t="str">
        <f t="shared" si="506"/>
        <v>4차</v>
      </c>
      <c r="D10028" s="1" t="str">
        <f>"9727W31144"</f>
        <v>9727W31144</v>
      </c>
      <c r="E10028" s="1" t="s">
        <v>10</v>
      </c>
      <c r="F10028" s="1" t="str">
        <f>"10.10.71.186"</f>
        <v>10.10.71.186</v>
      </c>
      <c r="G10028" s="1" t="str">
        <f>"9727W311"</f>
        <v>9727W311</v>
      </c>
      <c r="H10028" s="1" t="str">
        <f>"백련간 19R1L8"</f>
        <v>백련간 19R1L8</v>
      </c>
      <c r="I10028" s="1" t="s">
        <v>8</v>
      </c>
      <c r="J10028" s="1" t="str">
        <f>"7/7"</f>
        <v>7/7</v>
      </c>
      <c r="K10028" s="1" t="str">
        <f t="shared" si="507"/>
        <v>2026-07-29 13:18:12</v>
      </c>
      <c r="L10028" s="1" t="str">
        <f>"2019-10-29 18:26:51"</f>
        <v>2019-10-29 18:26:51</v>
      </c>
      <c r="M10028" s="1" t="s">
        <v>1</v>
      </c>
      <c r="N10028" s="1" t="s">
        <v>38</v>
      </c>
      <c r="O10028" s="1" t="s">
        <v>46</v>
      </c>
    </row>
    <row r="10029" spans="2:15" x14ac:dyDescent="0.3">
      <c r="B10029" s="1" t="s">
        <v>21</v>
      </c>
      <c r="C10029" s="1" t="str">
        <f t="shared" si="506"/>
        <v>4차</v>
      </c>
      <c r="D10029" s="1" t="str">
        <f>"9727W56144"</f>
        <v>9727W56144</v>
      </c>
      <c r="E10029" s="1" t="s">
        <v>10</v>
      </c>
      <c r="F10029" s="1" t="str">
        <f>"10.10.91.162"</f>
        <v>10.10.91.162</v>
      </c>
      <c r="G10029" s="1" t="str">
        <f>"9727W561"</f>
        <v>9727W561</v>
      </c>
      <c r="H10029" s="1" t="str">
        <f>"백련간 14L5"</f>
        <v>백련간 14L5</v>
      </c>
      <c r="I10029" s="1" t="s">
        <v>8</v>
      </c>
      <c r="J10029" s="1" t="str">
        <f>"18/18"</f>
        <v>18/18</v>
      </c>
      <c r="K10029" s="1" t="str">
        <f t="shared" si="507"/>
        <v>2026-07-29 13:18:12</v>
      </c>
      <c r="L10029" s="1" t="str">
        <f>"2019-10-14 16:53:34"</f>
        <v>2019-10-14 16:53:34</v>
      </c>
      <c r="M10029" s="1" t="s">
        <v>1</v>
      </c>
      <c r="N10029" s="1" t="s">
        <v>38</v>
      </c>
      <c r="O10029" s="1" t="s">
        <v>46</v>
      </c>
    </row>
    <row r="10030" spans="2:15" x14ac:dyDescent="0.3">
      <c r="B10030" s="1" t="s">
        <v>21</v>
      </c>
      <c r="C10030" s="1" t="str">
        <f t="shared" si="506"/>
        <v>4차</v>
      </c>
      <c r="D10030" s="1" t="str">
        <f>"9727W60244"</f>
        <v>9727W60244</v>
      </c>
      <c r="E10030" s="1" t="s">
        <v>10</v>
      </c>
      <c r="F10030" s="1" t="str">
        <f>"10.10.119.226"</f>
        <v>10.10.119.226</v>
      </c>
      <c r="G10030" s="1" t="str">
        <f>"9727W602"</f>
        <v>9727W602</v>
      </c>
      <c r="H10030" s="1" t="str">
        <f>"백련간 14L13L1R2"</f>
        <v>백련간 14L13L1R2</v>
      </c>
      <c r="I10030" s="1" t="s">
        <v>8</v>
      </c>
      <c r="J10030" s="1" t="str">
        <f>"28/28"</f>
        <v>28/28</v>
      </c>
      <c r="K10030" s="1" t="str">
        <f t="shared" si="507"/>
        <v>2026-07-29 13:18:12</v>
      </c>
      <c r="L10030" s="1" t="str">
        <f>"2019-10-14 18:04:50"</f>
        <v>2019-10-14 18:04:50</v>
      </c>
      <c r="M10030" s="1" t="s">
        <v>1</v>
      </c>
      <c r="N10030" s="1" t="s">
        <v>38</v>
      </c>
      <c r="O10030" s="1" t="s">
        <v>46</v>
      </c>
    </row>
    <row r="10031" spans="2:15" x14ac:dyDescent="0.3">
      <c r="B10031" s="1" t="s">
        <v>21</v>
      </c>
      <c r="C10031" s="1" t="str">
        <f t="shared" si="506"/>
        <v>4차</v>
      </c>
      <c r="D10031" s="1" t="str">
        <f>"9727W61244"</f>
        <v>9727W61244</v>
      </c>
      <c r="E10031" s="1" t="s">
        <v>10</v>
      </c>
      <c r="F10031" s="1" t="str">
        <f>"10.10.87.194"</f>
        <v>10.10.87.194</v>
      </c>
      <c r="G10031" s="1" t="str">
        <f>"9727W612"</f>
        <v>9727W612</v>
      </c>
      <c r="H10031" s="1" t="str">
        <f>"백련간 14L13L1R1"</f>
        <v>백련간 14L13L1R1</v>
      </c>
      <c r="I10031" s="1" t="s">
        <v>8</v>
      </c>
      <c r="J10031" s="1" t="str">
        <f>"24/24"</f>
        <v>24/24</v>
      </c>
      <c r="K10031" s="1" t="str">
        <f t="shared" si="507"/>
        <v>2026-07-29 13:18:12</v>
      </c>
      <c r="L10031" s="1" t="str">
        <f>"2019-10-14 14:58:20"</f>
        <v>2019-10-14 14:58:20</v>
      </c>
      <c r="M10031" s="1" t="s">
        <v>1</v>
      </c>
      <c r="N10031" s="1" t="s">
        <v>38</v>
      </c>
      <c r="O10031" s="1" t="s">
        <v>46</v>
      </c>
    </row>
    <row r="10032" spans="2:15" x14ac:dyDescent="0.3">
      <c r="B10032" s="1" t="s">
        <v>21</v>
      </c>
      <c r="C10032" s="1" t="str">
        <f t="shared" si="506"/>
        <v>4차</v>
      </c>
      <c r="D10032" s="1" t="str">
        <f>"9727W62344"</f>
        <v>9727W62344</v>
      </c>
      <c r="E10032" s="1" t="s">
        <v>10</v>
      </c>
      <c r="F10032" s="1" t="str">
        <f>"10.10.87.226"</f>
        <v>10.10.87.226</v>
      </c>
      <c r="G10032" s="1" t="str">
        <f>"9727W623"</f>
        <v>9727W623</v>
      </c>
      <c r="H10032" s="1" t="str">
        <f>"백련간 14L13L2C1"</f>
        <v>백련간 14L13L2C1</v>
      </c>
      <c r="I10032" s="1" t="s">
        <v>8</v>
      </c>
      <c r="J10032" s="1" t="str">
        <f>"40/40"</f>
        <v>40/40</v>
      </c>
      <c r="K10032" s="1" t="str">
        <f t="shared" si="507"/>
        <v>2026-07-29 13:18:12</v>
      </c>
      <c r="L10032" s="1" t="str">
        <f>"2019-10-14 14:58:20"</f>
        <v>2019-10-14 14:58:20</v>
      </c>
      <c r="M10032" s="1" t="s">
        <v>1</v>
      </c>
      <c r="N10032" s="1" t="s">
        <v>38</v>
      </c>
      <c r="O10032" s="1" t="s">
        <v>46</v>
      </c>
    </row>
    <row r="10033" spans="2:15" x14ac:dyDescent="0.3">
      <c r="B10033" s="1" t="s">
        <v>21</v>
      </c>
      <c r="C10033" s="1" t="str">
        <f t="shared" si="506"/>
        <v>4차</v>
      </c>
      <c r="D10033" s="1" t="str">
        <f>"9727W63144"</f>
        <v>9727W63144</v>
      </c>
      <c r="E10033" s="1" t="s">
        <v>10</v>
      </c>
      <c r="F10033" s="1" t="str">
        <f>"10.10.91.130"</f>
        <v>10.10.91.130</v>
      </c>
      <c r="G10033" s="1" t="str">
        <f>"9727W631"</f>
        <v>9727W631</v>
      </c>
      <c r="H10033" s="1" t="str">
        <f>"백련간 14L13L1L1"</f>
        <v>백련간 14L13L1L1</v>
      </c>
      <c r="I10033" s="1" t="s">
        <v>8</v>
      </c>
      <c r="J10033" s="1" t="str">
        <f>"53/53"</f>
        <v>53/53</v>
      </c>
      <c r="K10033" s="1" t="str">
        <f>"2026-07-29 13:18:11"</f>
        <v>2026-07-29 13:18:11</v>
      </c>
      <c r="L10033" s="1" t="str">
        <f>"2019-10-14 16:53:36"</f>
        <v>2019-10-14 16:53:36</v>
      </c>
      <c r="M10033" s="1" t="s">
        <v>1</v>
      </c>
      <c r="N10033" s="1" t="s">
        <v>38</v>
      </c>
      <c r="O10033" s="1" t="s">
        <v>46</v>
      </c>
    </row>
    <row r="10034" spans="2:15" x14ac:dyDescent="0.3">
      <c r="B10034" s="1" t="s">
        <v>21</v>
      </c>
      <c r="C10034" s="1" t="str">
        <f t="shared" si="506"/>
        <v>4차</v>
      </c>
      <c r="D10034" s="1" t="str">
        <f>"9727W64244"</f>
        <v>9727W64244</v>
      </c>
      <c r="E10034" s="1" t="s">
        <v>10</v>
      </c>
      <c r="F10034" s="1" t="str">
        <f>"10.10.119.210"</f>
        <v>10.10.119.210</v>
      </c>
      <c r="G10034" s="1" t="str">
        <f>"9727W642"</f>
        <v>9727W642</v>
      </c>
      <c r="H10034" s="1" t="str">
        <f>"백련간 14L13L1L2"</f>
        <v>백련간 14L13L1L2</v>
      </c>
      <c r="I10034" s="1" t="s">
        <v>8</v>
      </c>
      <c r="J10034" s="1" t="str">
        <f>"8/8"</f>
        <v>8/8</v>
      </c>
      <c r="K10034" s="1" t="str">
        <f>"2026-07-29 13:18:12"</f>
        <v>2026-07-29 13:18:12</v>
      </c>
      <c r="L10034" s="1" t="str">
        <f>"2019-10-14 18:13:04"</f>
        <v>2019-10-14 18:13:04</v>
      </c>
      <c r="M10034" s="1" t="s">
        <v>1</v>
      </c>
      <c r="N10034" s="1" t="s">
        <v>38</v>
      </c>
      <c r="O10034" s="1" t="s">
        <v>46</v>
      </c>
    </row>
    <row r="10035" spans="2:15" x14ac:dyDescent="0.3">
      <c r="B10035" s="1" t="s">
        <v>21</v>
      </c>
      <c r="C10035" s="1" t="str">
        <f t="shared" si="506"/>
        <v>4차</v>
      </c>
      <c r="D10035" s="1" t="str">
        <f>"9727W67244"</f>
        <v>9727W67244</v>
      </c>
      <c r="E10035" s="1" t="s">
        <v>10</v>
      </c>
      <c r="F10035" s="1" t="str">
        <f>"10.10.97.58"</f>
        <v>10.10.97.58</v>
      </c>
      <c r="G10035" s="1" t="str">
        <f>"9727W672"</f>
        <v>9727W672</v>
      </c>
      <c r="H10035" s="1" t="str">
        <f>"백련간 14L1L5R2"</f>
        <v>백련간 14L1L5R2</v>
      </c>
      <c r="I10035" s="1" t="s">
        <v>8</v>
      </c>
      <c r="J10035" s="1" t="str">
        <f>"36/36"</f>
        <v>36/36</v>
      </c>
      <c r="K10035" s="1" t="str">
        <f>"2026-07-29 13:18:12"</f>
        <v>2026-07-29 13:18:12</v>
      </c>
      <c r="L10035" s="1" t="str">
        <f>"2020-01-21 16:47:59"</f>
        <v>2020-01-21 16:47:59</v>
      </c>
      <c r="M10035" s="1" t="s">
        <v>1</v>
      </c>
      <c r="N10035" s="1" t="s">
        <v>38</v>
      </c>
      <c r="O10035" s="1" t="s">
        <v>46</v>
      </c>
    </row>
    <row r="10036" spans="2:15" x14ac:dyDescent="0.3">
      <c r="B10036" s="1" t="s">
        <v>21</v>
      </c>
      <c r="C10036" s="1" t="str">
        <f>"6차"</f>
        <v>6차</v>
      </c>
      <c r="D10036" s="1" t="str">
        <f>"9727W6746S"</f>
        <v>9727W6746S</v>
      </c>
      <c r="E10036" s="1" t="s">
        <v>10</v>
      </c>
      <c r="F10036" s="1" t="str">
        <f>"fde1:103:4:c7c3:0:0:0:2"</f>
        <v>fde1:103:4:c7c3:0:0:0:2</v>
      </c>
      <c r="G10036" s="1" t="str">
        <f>"9727W674"</f>
        <v>9727W674</v>
      </c>
      <c r="H10036" s="1" t="str">
        <f>"백련간 14L1L5"</f>
        <v>백련간 14L1L5</v>
      </c>
      <c r="I10036" s="1" t="s">
        <v>15</v>
      </c>
      <c r="J10036" s="1" t="str">
        <f>"82/83"</f>
        <v>82/83</v>
      </c>
      <c r="K10036" s="1" t="str">
        <f>"2026-07-29 14:21:39"</f>
        <v>2026-07-29 14:21:39</v>
      </c>
      <c r="L10036" s="1" t="str">
        <f>"2025-01-17 17:47:59"</f>
        <v>2025-01-17 17:47:59</v>
      </c>
      <c r="M10036" s="1" t="s">
        <v>4</v>
      </c>
      <c r="N10036" s="1" t="s">
        <v>38</v>
      </c>
      <c r="O10036" s="1" t="s">
        <v>46</v>
      </c>
    </row>
    <row r="10037" spans="2:15" x14ac:dyDescent="0.3">
      <c r="B10037" s="1" t="s">
        <v>21</v>
      </c>
      <c r="C10037" s="1" t="str">
        <f>"1차"</f>
        <v>1차</v>
      </c>
      <c r="D10037" s="1" t="str">
        <f>"9727W69101"</f>
        <v>9727W69101</v>
      </c>
      <c r="E10037" s="1" t="s">
        <v>14</v>
      </c>
      <c r="F10037" s="1" t="str">
        <f>"10.128.32.208"</f>
        <v>10.128.32.208</v>
      </c>
      <c r="G10037" s="1" t="str">
        <f>"9727W691"</f>
        <v>9727W691</v>
      </c>
      <c r="H10037" s="1" t="str">
        <f>"백련간 14L1L1L2"</f>
        <v>백련간 14L1L1L2</v>
      </c>
      <c r="I10037" s="1" t="s">
        <v>8</v>
      </c>
      <c r="J10037" s="1" t="str">
        <f>"0/0"</f>
        <v>0/0</v>
      </c>
      <c r="K10037" s="1" t="str">
        <f>"2024-07-08 20:03:29"</f>
        <v>2024-07-08 20:03:29</v>
      </c>
      <c r="L10037" s="1" t="str">
        <f>"2014-12-17 10:43:01"</f>
        <v>2014-12-17 10:43:01</v>
      </c>
      <c r="M10037" s="1" t="s">
        <v>45</v>
      </c>
      <c r="N10037" s="1" t="s">
        <v>44</v>
      </c>
      <c r="O10037" s="1" t="s">
        <v>44</v>
      </c>
    </row>
    <row r="10038" spans="2:15" x14ac:dyDescent="0.3">
      <c r="B10038" s="1" t="s">
        <v>21</v>
      </c>
      <c r="C10038" s="1" t="str">
        <f>"6차"</f>
        <v>6차</v>
      </c>
      <c r="D10038" s="1" t="str">
        <f>"9727W6926S"</f>
        <v>9727W6926S</v>
      </c>
      <c r="E10038" s="1" t="s">
        <v>10</v>
      </c>
      <c r="F10038" s="1" t="str">
        <f>"fde1:103:4:c730:0:0:0:2"</f>
        <v>fde1:103:4:c730:0:0:0:2</v>
      </c>
      <c r="G10038" s="1" t="str">
        <f>"9727W692"</f>
        <v>9727W692</v>
      </c>
      <c r="H10038" s="1" t="str">
        <f>"백련간 14L1L1"</f>
        <v>백련간 14L1L1</v>
      </c>
      <c r="I10038" s="1" t="s">
        <v>15</v>
      </c>
      <c r="J10038" s="1" t="str">
        <f>"34/34"</f>
        <v>34/34</v>
      </c>
      <c r="K10038" s="1" t="str">
        <f>"2026-07-29 14:21:39"</f>
        <v>2026-07-29 14:21:39</v>
      </c>
      <c r="L10038" s="1" t="str">
        <f>"2025-01-17 17:35:23"</f>
        <v>2025-01-17 17:35:23</v>
      </c>
      <c r="M10038" s="1" t="s">
        <v>4</v>
      </c>
      <c r="N10038" s="1" t="s">
        <v>38</v>
      </c>
      <c r="O10038" s="1" t="s">
        <v>46</v>
      </c>
    </row>
    <row r="10039" spans="2:15" x14ac:dyDescent="0.3">
      <c r="B10039" s="1" t="s">
        <v>21</v>
      </c>
      <c r="C10039" s="1" t="str">
        <f>"4차"</f>
        <v>4차</v>
      </c>
      <c r="D10039" s="1" t="str">
        <f>"9727W71144"</f>
        <v>9727W71144</v>
      </c>
      <c r="E10039" s="1" t="s">
        <v>10</v>
      </c>
      <c r="F10039" s="1" t="str">
        <f>"10.10.95.90"</f>
        <v>10.10.95.90</v>
      </c>
      <c r="G10039" s="1" t="str">
        <f>"9727W711"</f>
        <v>9727W711</v>
      </c>
      <c r="H10039" s="1" t="str">
        <f>"백련간 14L13L4"</f>
        <v>백련간 14L13L4</v>
      </c>
      <c r="I10039" s="1" t="s">
        <v>8</v>
      </c>
      <c r="J10039" s="1" t="str">
        <f>"45/45"</f>
        <v>45/45</v>
      </c>
      <c r="K10039" s="1" t="str">
        <f>"2026-07-29 13:18:12"</f>
        <v>2026-07-29 13:18:12</v>
      </c>
      <c r="L10039" s="1" t="str">
        <f>"2019-10-14 15:14:34"</f>
        <v>2019-10-14 15:14:34</v>
      </c>
      <c r="M10039" s="1" t="s">
        <v>1</v>
      </c>
      <c r="N10039" s="1" t="s">
        <v>38</v>
      </c>
      <c r="O10039" s="1" t="s">
        <v>46</v>
      </c>
    </row>
    <row r="10040" spans="2:15" x14ac:dyDescent="0.3">
      <c r="B10040" s="1" t="s">
        <v>21</v>
      </c>
      <c r="C10040" s="1" t="str">
        <f>"4차"</f>
        <v>4차</v>
      </c>
      <c r="D10040" s="1" t="str">
        <f>"9727W72144"</f>
        <v>9727W72144</v>
      </c>
      <c r="E10040" s="1" t="s">
        <v>10</v>
      </c>
      <c r="F10040" s="1" t="str">
        <f>"10.10.88.162"</f>
        <v>10.10.88.162</v>
      </c>
      <c r="G10040" s="1" t="str">
        <f>"9727W721"</f>
        <v>9727W721</v>
      </c>
      <c r="H10040" s="1" t="str">
        <f>"백련간 14L13L3"</f>
        <v>백련간 14L13L3</v>
      </c>
      <c r="I10040" s="1" t="s">
        <v>8</v>
      </c>
      <c r="J10040" s="1" t="str">
        <f>"42/42"</f>
        <v>42/42</v>
      </c>
      <c r="K10040" s="1" t="str">
        <f>"2026-07-29 13:18:12"</f>
        <v>2026-07-29 13:18:12</v>
      </c>
      <c r="L10040" s="1" t="str">
        <f>"2019-10-14 14:59:49"</f>
        <v>2019-10-14 14:59:49</v>
      </c>
      <c r="M10040" s="1" t="s">
        <v>1</v>
      </c>
      <c r="N10040" s="1" t="s">
        <v>38</v>
      </c>
      <c r="O10040" s="1" t="s">
        <v>46</v>
      </c>
    </row>
    <row r="10041" spans="2:15" x14ac:dyDescent="0.3">
      <c r="B10041" s="1" t="s">
        <v>21</v>
      </c>
      <c r="C10041" s="1" t="str">
        <f>"4차"</f>
        <v>4차</v>
      </c>
      <c r="D10041" s="1" t="str">
        <f>"9727W74144"</f>
        <v>9727W74144</v>
      </c>
      <c r="E10041" s="1" t="s">
        <v>10</v>
      </c>
      <c r="F10041" s="1" t="str">
        <f>"10.10.97.10"</f>
        <v>10.10.97.10</v>
      </c>
      <c r="G10041" s="1" t="str">
        <f>"9727W741"</f>
        <v>9727W741</v>
      </c>
      <c r="H10041" s="1" t="str">
        <f>"백련간 14L1L10R2"</f>
        <v>백련간 14L1L10R2</v>
      </c>
      <c r="I10041" s="1" t="s">
        <v>8</v>
      </c>
      <c r="J10041" s="1" t="str">
        <f>"43/43"</f>
        <v>43/43</v>
      </c>
      <c r="K10041" s="1" t="str">
        <f>"2026-07-29 13:18:12"</f>
        <v>2026-07-29 13:18:12</v>
      </c>
      <c r="L10041" s="1" t="str">
        <f>"2019-10-14 15:01:50"</f>
        <v>2019-10-14 15:01:50</v>
      </c>
      <c r="M10041" s="1" t="s">
        <v>1</v>
      </c>
      <c r="N10041" s="1" t="s">
        <v>38</v>
      </c>
      <c r="O10041" s="1" t="s">
        <v>46</v>
      </c>
    </row>
    <row r="10042" spans="2:15" x14ac:dyDescent="0.3">
      <c r="B10042" s="1" t="s">
        <v>21</v>
      </c>
      <c r="C10042" s="1" t="str">
        <f>"4차"</f>
        <v>4차</v>
      </c>
      <c r="D10042" s="1" t="str">
        <f>"9727W74344"</f>
        <v>9727W74344</v>
      </c>
      <c r="E10042" s="1" t="s">
        <v>10</v>
      </c>
      <c r="F10042" s="1" t="str">
        <f>"10.10.97.2"</f>
        <v>10.10.97.2</v>
      </c>
      <c r="G10042" s="1" t="str">
        <f>"9727W743"</f>
        <v>9727W743</v>
      </c>
      <c r="H10042" s="1" t="str">
        <f>"백련간 14L1L11"</f>
        <v>백련간 14L1L11</v>
      </c>
      <c r="I10042" s="1" t="s">
        <v>8</v>
      </c>
      <c r="J10042" s="1" t="str">
        <f>"27/27"</f>
        <v>27/27</v>
      </c>
      <c r="K10042" s="1" t="str">
        <f>"2026-07-29 13:18:11"</f>
        <v>2026-07-29 13:18:11</v>
      </c>
      <c r="L10042" s="1" t="str">
        <f>"2019-10-14 15:07:20"</f>
        <v>2019-10-14 15:07:20</v>
      </c>
      <c r="M10042" s="1" t="s">
        <v>1</v>
      </c>
      <c r="N10042" s="1" t="s">
        <v>38</v>
      </c>
      <c r="O10042" s="1" t="s">
        <v>46</v>
      </c>
    </row>
    <row r="10043" spans="2:15" x14ac:dyDescent="0.3">
      <c r="B10043" s="1" t="s">
        <v>21</v>
      </c>
      <c r="C10043" s="1" t="str">
        <f>"4차"</f>
        <v>4차</v>
      </c>
      <c r="D10043" s="1" t="str">
        <f>"9727W75139"</f>
        <v>9727W75139</v>
      </c>
      <c r="E10043" s="1" t="s">
        <v>10</v>
      </c>
      <c r="F10043" s="1" t="str">
        <f>"10.128.100.154"</f>
        <v>10.128.100.154</v>
      </c>
      <c r="G10043" s="1" t="str">
        <f>"9727W751"</f>
        <v>9727W751</v>
      </c>
      <c r="H10043" s="1" t="str">
        <f>"백련간 14L1L10R1"</f>
        <v>백련간 14L1L10R1</v>
      </c>
      <c r="I10043" s="1" t="s">
        <v>8</v>
      </c>
      <c r="J10043" s="1" t="str">
        <f>"44/44"</f>
        <v>44/44</v>
      </c>
      <c r="K10043" s="1" t="str">
        <f>"2026-07-29 13:18:12"</f>
        <v>2026-07-29 13:18:12</v>
      </c>
      <c r="L10043" s="1" t="str">
        <f>"2018-04-25 09:06:10"</f>
        <v>2018-04-25 09:06:10</v>
      </c>
      <c r="M10043" s="1" t="s">
        <v>45</v>
      </c>
      <c r="N10043" s="1" t="s">
        <v>38</v>
      </c>
      <c r="O10043" s="1" t="s">
        <v>46</v>
      </c>
    </row>
    <row r="10044" spans="2:15" x14ac:dyDescent="0.3">
      <c r="B10044" s="1" t="s">
        <v>21</v>
      </c>
      <c r="C10044" s="1" t="str">
        <f>"3차"</f>
        <v>3차</v>
      </c>
      <c r="D10044" s="1" t="str">
        <f>"9727W76139"</f>
        <v>9727W76139</v>
      </c>
      <c r="E10044" s="1" t="s">
        <v>10</v>
      </c>
      <c r="F10044" s="1" t="str">
        <f>"10.14.13.59"</f>
        <v>10.14.13.59</v>
      </c>
      <c r="G10044" s="1" t="str">
        <f>"9727W761"</f>
        <v>9727W761</v>
      </c>
      <c r="H10044" s="1" t="str">
        <f>"백련간 14L1L8"</f>
        <v>백련간 14L1L8</v>
      </c>
      <c r="I10044" s="1" t="s">
        <v>8</v>
      </c>
      <c r="J10044" s="1" t="str">
        <f>"42/42"</f>
        <v>42/42</v>
      </c>
      <c r="K10044" s="1" t="str">
        <f>"2026-07-29 13:18:12"</f>
        <v>2026-07-29 13:18:12</v>
      </c>
      <c r="L10044" s="1" t="str">
        <f>"2018-04-25 08:43:25"</f>
        <v>2018-04-25 08:43:25</v>
      </c>
      <c r="M10044" s="1" t="s">
        <v>3</v>
      </c>
      <c r="N10044" s="1" t="s">
        <v>38</v>
      </c>
      <c r="O10044" s="1" t="s">
        <v>46</v>
      </c>
    </row>
    <row r="10045" spans="2:15" x14ac:dyDescent="0.3">
      <c r="B10045" s="1" t="s">
        <v>21</v>
      </c>
      <c r="C10045" s="1" t="str">
        <f>"6차"</f>
        <v>6차</v>
      </c>
      <c r="D10045" s="1" t="str">
        <f>"9727W7816S"</f>
        <v>9727W7816S</v>
      </c>
      <c r="E10045" s="1" t="s">
        <v>10</v>
      </c>
      <c r="F10045" s="1" t="str">
        <f>"fde1:103:4:c735:0:0:0:2"</f>
        <v>fde1:103:4:c735:0:0:0:2</v>
      </c>
      <c r="G10045" s="1" t="str">
        <f>"9727W781"</f>
        <v>9727W781</v>
      </c>
      <c r="H10045" s="1" t="str">
        <f>"백련간 14L1L3"</f>
        <v>백련간 14L1L3</v>
      </c>
      <c r="I10045" s="1" t="s">
        <v>15</v>
      </c>
      <c r="J10045" s="1" t="str">
        <f>"69/69"</f>
        <v>69/69</v>
      </c>
      <c r="K10045" s="1" t="str">
        <f>"2026-07-29 14:21:40"</f>
        <v>2026-07-29 14:21:40</v>
      </c>
      <c r="L10045" s="1" t="str">
        <f>"2025-01-17 17:40:28"</f>
        <v>2025-01-17 17:40:28</v>
      </c>
      <c r="M10045" s="1" t="s">
        <v>4</v>
      </c>
      <c r="N10045" s="1" t="s">
        <v>38</v>
      </c>
      <c r="O10045" s="1" t="s">
        <v>46</v>
      </c>
    </row>
    <row r="10046" spans="2:15" x14ac:dyDescent="0.3">
      <c r="B10046" s="1" t="s">
        <v>21</v>
      </c>
      <c r="C10046" s="1" t="str">
        <f>"1차"</f>
        <v>1차</v>
      </c>
      <c r="D10046" s="1" t="str">
        <f>"9727W78202"</f>
        <v>9727W78202</v>
      </c>
      <c r="E10046" s="1" t="s">
        <v>14</v>
      </c>
      <c r="F10046" s="1" t="str">
        <f>"10.128.32.211"</f>
        <v>10.128.32.211</v>
      </c>
      <c r="G10046" s="1" t="str">
        <f>"9727W782"</f>
        <v>9727W782</v>
      </c>
      <c r="H10046" s="1" t="str">
        <f>"백련간 14L1L3A1"</f>
        <v>백련간 14L1L3A1</v>
      </c>
      <c r="I10046" s="1" t="s">
        <v>8</v>
      </c>
      <c r="J10046" s="1" t="str">
        <f>"0/0"</f>
        <v>0/0</v>
      </c>
      <c r="K10046" s="1" t="str">
        <f>"2024-03-31 09:20:28"</f>
        <v>2024-03-31 09:20:28</v>
      </c>
      <c r="L10046" s="1" t="str">
        <f>"2015-01-03 00:14:02"</f>
        <v>2015-01-03 00:14:02</v>
      </c>
      <c r="M10046" s="1" t="s">
        <v>45</v>
      </c>
      <c r="N10046" s="1" t="s">
        <v>44</v>
      </c>
      <c r="O10046" s="1" t="s">
        <v>44</v>
      </c>
    </row>
    <row r="10047" spans="2:15" x14ac:dyDescent="0.3">
      <c r="B10047" s="1" t="s">
        <v>21</v>
      </c>
      <c r="C10047" s="1" t="str">
        <f t="shared" ref="C10047:C10052" si="508">"4차"</f>
        <v>4차</v>
      </c>
      <c r="D10047" s="1" t="str">
        <f>"9727W80344"</f>
        <v>9727W80344</v>
      </c>
      <c r="E10047" s="1" t="s">
        <v>10</v>
      </c>
      <c r="F10047" s="1" t="str">
        <f>"10.10.91.146"</f>
        <v>10.10.91.146</v>
      </c>
      <c r="G10047" s="1" t="str">
        <f>"9727W803"</f>
        <v>9727W803</v>
      </c>
      <c r="H10047" s="1" t="str">
        <f>"백련간 14L13L5R1"</f>
        <v>백련간 14L13L5R1</v>
      </c>
      <c r="I10047" s="1" t="s">
        <v>8</v>
      </c>
      <c r="J10047" s="1" t="str">
        <f>"24/24"</f>
        <v>24/24</v>
      </c>
      <c r="K10047" s="1" t="str">
        <f>"2026-07-29 13:18:12"</f>
        <v>2026-07-29 13:18:12</v>
      </c>
      <c r="L10047" s="1" t="str">
        <f>"2019-10-14 16:53:04"</f>
        <v>2019-10-14 16:53:04</v>
      </c>
      <c r="M10047" s="1" t="s">
        <v>1</v>
      </c>
      <c r="N10047" s="1" t="s">
        <v>38</v>
      </c>
      <c r="O10047" s="1" t="s">
        <v>46</v>
      </c>
    </row>
    <row r="10048" spans="2:15" x14ac:dyDescent="0.3">
      <c r="B10048" s="1" t="s">
        <v>21</v>
      </c>
      <c r="C10048" s="1" t="str">
        <f t="shared" si="508"/>
        <v>4차</v>
      </c>
      <c r="D10048" s="1" t="str">
        <f>"9727W82144"</f>
        <v>9727W82144</v>
      </c>
      <c r="E10048" s="1" t="s">
        <v>10</v>
      </c>
      <c r="F10048" s="1" t="str">
        <f>"10.10.95.82"</f>
        <v>10.10.95.82</v>
      </c>
      <c r="G10048" s="1" t="str">
        <f>"9727W821"</f>
        <v>9727W821</v>
      </c>
      <c r="H10048" s="1" t="str">
        <f>"백련간 14L13L3L3"</f>
        <v>백련간 14L13L3L3</v>
      </c>
      <c r="I10048" s="1" t="s">
        <v>8</v>
      </c>
      <c r="J10048" s="1" t="str">
        <f>"52/52"</f>
        <v>52/52</v>
      </c>
      <c r="K10048" s="1" t="str">
        <f>"2026-07-29 13:18:12"</f>
        <v>2026-07-29 13:18:12</v>
      </c>
      <c r="L10048" s="1" t="str">
        <f>"2019-10-14 15:01:19"</f>
        <v>2019-10-14 15:01:19</v>
      </c>
      <c r="M10048" s="1" t="s">
        <v>1</v>
      </c>
      <c r="N10048" s="1" t="s">
        <v>38</v>
      </c>
      <c r="O10048" s="1" t="s">
        <v>46</v>
      </c>
    </row>
    <row r="10049" spans="2:15" x14ac:dyDescent="0.3">
      <c r="B10049" s="1" t="s">
        <v>21</v>
      </c>
      <c r="C10049" s="1" t="str">
        <f t="shared" si="508"/>
        <v>4차</v>
      </c>
      <c r="D10049" s="1" t="str">
        <f>"9727W82544"</f>
        <v>9727W82544</v>
      </c>
      <c r="E10049" s="1" t="s">
        <v>10</v>
      </c>
      <c r="F10049" s="1" t="str">
        <f>"10.10.95.74"</f>
        <v>10.10.95.74</v>
      </c>
      <c r="G10049" s="1" t="str">
        <f>"9727W825"</f>
        <v>9727W825</v>
      </c>
      <c r="H10049" s="1" t="str">
        <f>"백련간 14L13L3L2"</f>
        <v>백련간 14L13L3L2</v>
      </c>
      <c r="I10049" s="1" t="s">
        <v>8</v>
      </c>
      <c r="J10049" s="1" t="str">
        <f>"72/72"</f>
        <v>72/72</v>
      </c>
      <c r="K10049" s="1" t="str">
        <f>"2026-07-29 13:18:11"</f>
        <v>2026-07-29 13:18:11</v>
      </c>
      <c r="L10049" s="1" t="str">
        <f>"2019-10-14 15:03:05"</f>
        <v>2019-10-14 15:03:05</v>
      </c>
      <c r="M10049" s="1" t="s">
        <v>1</v>
      </c>
      <c r="N10049" s="1" t="s">
        <v>38</v>
      </c>
      <c r="O10049" s="1" t="s">
        <v>46</v>
      </c>
    </row>
    <row r="10050" spans="2:15" x14ac:dyDescent="0.3">
      <c r="B10050" s="1" t="s">
        <v>21</v>
      </c>
      <c r="C10050" s="1" t="str">
        <f t="shared" si="508"/>
        <v>4차</v>
      </c>
      <c r="D10050" s="1" t="str">
        <f>"9727W83239"</f>
        <v>9727W83239</v>
      </c>
      <c r="E10050" s="1" t="s">
        <v>10</v>
      </c>
      <c r="F10050" s="1" t="str">
        <f>"10.14.14.62"</f>
        <v>10.14.14.62</v>
      </c>
      <c r="G10050" s="1" t="str">
        <f>"9727W832"</f>
        <v>9727W832</v>
      </c>
      <c r="H10050" s="1" t="str">
        <f>"백련간 14L1L13R1"</f>
        <v>백련간 14L1L13R1</v>
      </c>
      <c r="I10050" s="1" t="s">
        <v>8</v>
      </c>
      <c r="J10050" s="1" t="str">
        <f>"42/42"</f>
        <v>42/42</v>
      </c>
      <c r="K10050" s="1" t="str">
        <f>"2026-07-29 13:18:13"</f>
        <v>2026-07-29 13:18:13</v>
      </c>
      <c r="L10050" s="1" t="str">
        <f>"2018-04-25 09:43:41"</f>
        <v>2018-04-25 09:43:41</v>
      </c>
      <c r="M10050" s="1" t="s">
        <v>3</v>
      </c>
      <c r="N10050" s="1" t="s">
        <v>38</v>
      </c>
      <c r="O10050" s="1" t="s">
        <v>46</v>
      </c>
    </row>
    <row r="10051" spans="2:15" x14ac:dyDescent="0.3">
      <c r="B10051" s="1" t="s">
        <v>21</v>
      </c>
      <c r="C10051" s="1" t="str">
        <f t="shared" si="508"/>
        <v>4차</v>
      </c>
      <c r="D10051" s="1" t="str">
        <f>"9727W84144"</f>
        <v>9727W84144</v>
      </c>
      <c r="E10051" s="1" t="s">
        <v>10</v>
      </c>
      <c r="F10051" s="1" t="str">
        <f>"10.10.96.234"</f>
        <v>10.10.96.234</v>
      </c>
      <c r="G10051" s="1" t="str">
        <f>"9727W841"</f>
        <v>9727W841</v>
      </c>
      <c r="H10051" s="1" t="str">
        <f>"백련간 14L1L12"</f>
        <v>백련간 14L1L12</v>
      </c>
      <c r="I10051" s="1" t="s">
        <v>8</v>
      </c>
      <c r="J10051" s="1" t="str">
        <f>"34/42"</f>
        <v>34/42</v>
      </c>
      <c r="K10051" s="1" t="str">
        <f>"2026-07-29 13:18:12"</f>
        <v>2026-07-29 13:18:12</v>
      </c>
      <c r="L10051" s="1" t="str">
        <f>"2020-01-10 17:18:03"</f>
        <v>2020-01-10 17:18:03</v>
      </c>
      <c r="M10051" s="1" t="s">
        <v>1</v>
      </c>
      <c r="N10051" s="1" t="s">
        <v>38</v>
      </c>
      <c r="O10051" s="1" t="s">
        <v>46</v>
      </c>
    </row>
    <row r="10052" spans="2:15" x14ac:dyDescent="0.3">
      <c r="B10052" s="1" t="s">
        <v>21</v>
      </c>
      <c r="C10052" s="1" t="str">
        <f t="shared" si="508"/>
        <v>4차</v>
      </c>
      <c r="D10052" s="1" t="str">
        <f>"9727W85144"</f>
        <v>9727W85144</v>
      </c>
      <c r="E10052" s="1" t="s">
        <v>10</v>
      </c>
      <c r="F10052" s="1" t="str">
        <f>"10.10.96.218"</f>
        <v>10.10.96.218</v>
      </c>
      <c r="G10052" s="1" t="str">
        <f>"9727W851"</f>
        <v>9727W851</v>
      </c>
      <c r="H10052" s="1" t="str">
        <f>"백련간 14L1L10"</f>
        <v>백련간 14L1L10</v>
      </c>
      <c r="I10052" s="1" t="s">
        <v>8</v>
      </c>
      <c r="J10052" s="1" t="str">
        <f>"26/26"</f>
        <v>26/26</v>
      </c>
      <c r="K10052" s="1" t="str">
        <f>"2026-07-29 13:18:11"</f>
        <v>2026-07-29 13:18:11</v>
      </c>
      <c r="L10052" s="1" t="str">
        <f>"2020-01-10 17:19:42"</f>
        <v>2020-01-10 17:19:42</v>
      </c>
      <c r="M10052" s="1" t="s">
        <v>1</v>
      </c>
      <c r="N10052" s="1" t="s">
        <v>38</v>
      </c>
      <c r="O10052" s="1" t="s">
        <v>46</v>
      </c>
    </row>
    <row r="10053" spans="2:15" x14ac:dyDescent="0.3">
      <c r="B10053" s="1" t="s">
        <v>21</v>
      </c>
      <c r="C10053" s="1" t="str">
        <f>"1차"</f>
        <v>1차</v>
      </c>
      <c r="D10053" s="1" t="str">
        <f>"9727W90300"</f>
        <v>9727W90300</v>
      </c>
      <c r="E10053" s="1" t="s">
        <v>10</v>
      </c>
      <c r="F10053" s="1" t="str">
        <f>"10.128.100.131"</f>
        <v>10.128.100.131</v>
      </c>
      <c r="G10053" s="1" t="str">
        <f>"9727W903"</f>
        <v>9727W903</v>
      </c>
      <c r="H10053" s="1" t="str">
        <f>"백련간 14L1L16R3"</f>
        <v>백련간 14L1L16R3</v>
      </c>
      <c r="I10053" s="1" t="s">
        <v>8</v>
      </c>
      <c r="J10053" s="1" t="str">
        <f>"33/35"</f>
        <v>33/35</v>
      </c>
      <c r="K10053" s="1" t="str">
        <f>"2026-07-29 13:18:12"</f>
        <v>2026-07-29 13:18:12</v>
      </c>
      <c r="L10053" s="1" t="str">
        <f>"2014-12-17 10:58:13"</f>
        <v>2014-12-17 10:58:13</v>
      </c>
      <c r="M10053" s="1" t="s">
        <v>45</v>
      </c>
      <c r="N10053" s="1" t="s">
        <v>38</v>
      </c>
      <c r="O10053" s="1" t="s">
        <v>46</v>
      </c>
    </row>
    <row r="10054" spans="2:15" x14ac:dyDescent="0.3">
      <c r="B10054" s="1" t="s">
        <v>21</v>
      </c>
      <c r="C10054" s="1" t="str">
        <f t="shared" ref="C10054:C10059" si="509">"4차"</f>
        <v>4차</v>
      </c>
      <c r="D10054" s="1" t="str">
        <f>"9727W91244"</f>
        <v>9727W91244</v>
      </c>
      <c r="E10054" s="1" t="s">
        <v>10</v>
      </c>
      <c r="F10054" s="1" t="str">
        <f>"10.10.96.138"</f>
        <v>10.10.96.138</v>
      </c>
      <c r="G10054" s="1" t="str">
        <f>"9727W912"</f>
        <v>9727W912</v>
      </c>
      <c r="H10054" s="1" t="str">
        <f>"백련간 14L1L16R2"</f>
        <v>백련간 14L1L16R2</v>
      </c>
      <c r="I10054" s="1" t="s">
        <v>8</v>
      </c>
      <c r="J10054" s="1" t="str">
        <f>"56/56"</f>
        <v>56/56</v>
      </c>
      <c r="K10054" s="1" t="str">
        <f>"2026-07-29 13:18:12"</f>
        <v>2026-07-29 13:18:12</v>
      </c>
      <c r="L10054" s="1" t="str">
        <f>"2019-10-14 15:14:50"</f>
        <v>2019-10-14 15:14:50</v>
      </c>
      <c r="M10054" s="1" t="s">
        <v>1</v>
      </c>
      <c r="N10054" s="1" t="s">
        <v>38</v>
      </c>
      <c r="O10054" s="1" t="s">
        <v>46</v>
      </c>
    </row>
    <row r="10055" spans="2:15" x14ac:dyDescent="0.3">
      <c r="B10055" s="1" t="s">
        <v>21</v>
      </c>
      <c r="C10055" s="1" t="str">
        <f t="shared" si="509"/>
        <v>4차</v>
      </c>
      <c r="D10055" s="1" t="str">
        <f>"9727W92144"</f>
        <v>9727W92144</v>
      </c>
      <c r="E10055" s="1" t="s">
        <v>10</v>
      </c>
      <c r="F10055" s="1" t="str">
        <f>"10.10.96.226"</f>
        <v>10.10.96.226</v>
      </c>
      <c r="G10055" s="1" t="str">
        <f>"9727W921"</f>
        <v>9727W921</v>
      </c>
      <c r="H10055" s="1" t="str">
        <f>"백련간 14L1L13R2"</f>
        <v>백련간 14L1L13R2</v>
      </c>
      <c r="I10055" s="1" t="s">
        <v>8</v>
      </c>
      <c r="J10055" s="1" t="str">
        <f>"20/25"</f>
        <v>20/25</v>
      </c>
      <c r="K10055" s="1" t="str">
        <f>"2026-07-29 13:18:12"</f>
        <v>2026-07-29 13:18:12</v>
      </c>
      <c r="L10055" s="1" t="str">
        <f>"2019-11-15 13:46:58"</f>
        <v>2019-11-15 13:46:58</v>
      </c>
      <c r="M10055" s="1" t="s">
        <v>1</v>
      </c>
      <c r="N10055" s="1" t="s">
        <v>38</v>
      </c>
      <c r="O10055" s="1" t="s">
        <v>46</v>
      </c>
    </row>
    <row r="10056" spans="2:15" x14ac:dyDescent="0.3">
      <c r="B10056" s="1" t="s">
        <v>21</v>
      </c>
      <c r="C10056" s="1" t="str">
        <f t="shared" si="509"/>
        <v>4차</v>
      </c>
      <c r="D10056" s="1" t="str">
        <f>"9727X00144"</f>
        <v>9727X00144</v>
      </c>
      <c r="E10056" s="1" t="s">
        <v>10</v>
      </c>
      <c r="F10056" s="1" t="str">
        <f>"10.10.95.234"</f>
        <v>10.10.95.234</v>
      </c>
      <c r="G10056" s="1" t="str">
        <f>"9727X001"</f>
        <v>9727X001</v>
      </c>
      <c r="H10056" s="1" t="str">
        <f>"고은간 26L1"</f>
        <v>고은간 26L1</v>
      </c>
      <c r="I10056" s="1" t="s">
        <v>8</v>
      </c>
      <c r="J10056" s="1" t="str">
        <f>"35/35"</f>
        <v>35/35</v>
      </c>
      <c r="K10056" s="1" t="str">
        <f>"2026-07-29 13:18:12"</f>
        <v>2026-07-29 13:18:12</v>
      </c>
      <c r="L10056" s="1" t="str">
        <f>"2020-01-10 17:23:42"</f>
        <v>2020-01-10 17:23:42</v>
      </c>
      <c r="M10056" s="1" t="s">
        <v>1</v>
      </c>
      <c r="N10056" s="1" t="s">
        <v>38</v>
      </c>
      <c r="O10056" s="1" t="s">
        <v>46</v>
      </c>
    </row>
    <row r="10057" spans="2:15" x14ac:dyDescent="0.3">
      <c r="B10057" s="1" t="s">
        <v>21</v>
      </c>
      <c r="C10057" s="1" t="str">
        <f t="shared" si="509"/>
        <v>4차</v>
      </c>
      <c r="D10057" s="1" t="str">
        <f>"9727X02244"</f>
        <v>9727X02244</v>
      </c>
      <c r="E10057" s="1" t="s">
        <v>10</v>
      </c>
      <c r="F10057" s="1" t="str">
        <f>"10.10.97.146"</f>
        <v>10.10.97.146</v>
      </c>
      <c r="G10057" s="1" t="str">
        <f>"9727X022"</f>
        <v>9727X022</v>
      </c>
      <c r="H10057" s="1" t="str">
        <f>"백련간 14L1L17"</f>
        <v>백련간 14L1L17</v>
      </c>
      <c r="I10057" s="1" t="s">
        <v>8</v>
      </c>
      <c r="J10057" s="1" t="str">
        <f>"75/75"</f>
        <v>75/75</v>
      </c>
      <c r="K10057" s="1" t="str">
        <f>"2026-07-29 13:18:12"</f>
        <v>2026-07-29 13:18:12</v>
      </c>
      <c r="L10057" s="1" t="str">
        <f>"2020-01-10 17:18:39"</f>
        <v>2020-01-10 17:18:39</v>
      </c>
      <c r="M10057" s="1" t="s">
        <v>1</v>
      </c>
      <c r="N10057" s="1" t="s">
        <v>38</v>
      </c>
      <c r="O10057" s="1" t="s">
        <v>46</v>
      </c>
    </row>
    <row r="10058" spans="2:15" x14ac:dyDescent="0.3">
      <c r="B10058" s="1" t="s">
        <v>21</v>
      </c>
      <c r="C10058" s="1" t="str">
        <f t="shared" si="509"/>
        <v>4차</v>
      </c>
      <c r="D10058" s="1" t="str">
        <f>"9727X10244"</f>
        <v>9727X10244</v>
      </c>
      <c r="E10058" s="1" t="s">
        <v>10</v>
      </c>
      <c r="F10058" s="1" t="str">
        <f>"10.128.99.7"</f>
        <v>10.128.99.7</v>
      </c>
      <c r="G10058" s="1" t="str">
        <f>"9727X102"</f>
        <v>9727X102</v>
      </c>
      <c r="H10058" s="1" t="str">
        <f>"백련간 14L1L19"</f>
        <v>백련간 14L1L19</v>
      </c>
      <c r="I10058" s="1" t="s">
        <v>8</v>
      </c>
      <c r="J10058" s="1" t="str">
        <f>"13/13"</f>
        <v>13/13</v>
      </c>
      <c r="K10058" s="1" t="str">
        <f>"2026-07-29 13:18:11"</f>
        <v>2026-07-29 13:18:11</v>
      </c>
      <c r="L10058" s="1" t="str">
        <f>"2020-02-10 18:47:52"</f>
        <v>2020-02-10 18:47:52</v>
      </c>
      <c r="M10058" s="1" t="s">
        <v>45</v>
      </c>
      <c r="N10058" s="1" t="s">
        <v>38</v>
      </c>
      <c r="O10058" s="1" t="s">
        <v>46</v>
      </c>
    </row>
    <row r="10059" spans="2:15" x14ac:dyDescent="0.3">
      <c r="B10059" s="1" t="s">
        <v>21</v>
      </c>
      <c r="C10059" s="1" t="str">
        <f t="shared" si="509"/>
        <v>4차</v>
      </c>
      <c r="D10059" s="1" t="str">
        <f>"9727X11144"</f>
        <v>9727X11144</v>
      </c>
      <c r="E10059" s="1" t="s">
        <v>10</v>
      </c>
      <c r="F10059" s="1" t="str">
        <f>"10.10.97.170"</f>
        <v>10.10.97.170</v>
      </c>
      <c r="G10059" s="1" t="str">
        <f>"9727X111"</f>
        <v>9727X111</v>
      </c>
      <c r="H10059" s="1" t="str">
        <f>"백련간 14L1L18"</f>
        <v>백련간 14L1L18</v>
      </c>
      <c r="I10059" s="1" t="s">
        <v>8</v>
      </c>
      <c r="J10059" s="1" t="str">
        <f>"48/48"</f>
        <v>48/48</v>
      </c>
      <c r="K10059" s="1" t="str">
        <f>"2026-07-29 13:18:11"</f>
        <v>2026-07-29 13:18:11</v>
      </c>
      <c r="L10059" s="1" t="str">
        <f>"2019-10-24 17:53:04"</f>
        <v>2019-10-24 17:53:04</v>
      </c>
      <c r="M10059" s="1" t="s">
        <v>1</v>
      </c>
      <c r="N10059" s="1" t="s">
        <v>38</v>
      </c>
      <c r="O10059" s="1" t="s">
        <v>46</v>
      </c>
    </row>
    <row r="10060" spans="2:15" x14ac:dyDescent="0.3">
      <c r="B10060" s="1" t="s">
        <v>21</v>
      </c>
      <c r="C10060" s="1" t="s">
        <v>16</v>
      </c>
      <c r="D10060" s="1" t="str">
        <f>"9727X20144"</f>
        <v>9727X20144</v>
      </c>
      <c r="E10060" s="1" t="s">
        <v>10</v>
      </c>
      <c r="F10060" s="1" t="str">
        <f>"10.10.78.90"</f>
        <v>10.10.78.90</v>
      </c>
      <c r="G10060" s="1" t="str">
        <f>"9727X201"</f>
        <v>9727X201</v>
      </c>
      <c r="H10060" s="1" t="str">
        <f>"고은간 24"</f>
        <v>고은간 24</v>
      </c>
      <c r="I10060" s="1" t="s">
        <v>8</v>
      </c>
      <c r="J10060" s="1" t="str">
        <f>"25/25"</f>
        <v>25/25</v>
      </c>
      <c r="K10060" s="1" t="str">
        <f>"2026-07-29 13:18:11"</f>
        <v>2026-07-29 13:18:11</v>
      </c>
      <c r="L10060" s="1" t="str">
        <f>"2025-08-05 11:36:32"</f>
        <v>2025-08-05 11:36:32</v>
      </c>
      <c r="M10060" s="1" t="s">
        <v>1</v>
      </c>
      <c r="N10060" s="1" t="s">
        <v>38</v>
      </c>
      <c r="O10060" s="1" t="s">
        <v>46</v>
      </c>
    </row>
    <row r="10061" spans="2:15" x14ac:dyDescent="0.3">
      <c r="B10061" s="1" t="s">
        <v>21</v>
      </c>
      <c r="C10061" s="1" t="str">
        <f t="shared" ref="C10061:C10080" si="510">"4차"</f>
        <v>4차</v>
      </c>
      <c r="D10061" s="1" t="str">
        <f>"9727X35144"</f>
        <v>9727X35144</v>
      </c>
      <c r="E10061" s="1" t="s">
        <v>10</v>
      </c>
      <c r="F10061" s="1" t="str">
        <f>"10.10.103.234"</f>
        <v>10.10.103.234</v>
      </c>
      <c r="G10061" s="1" t="str">
        <f>"9727X351"</f>
        <v>9727X351</v>
      </c>
      <c r="H10061" s="1" t="str">
        <f>"고은간 9R27"</f>
        <v>고은간 9R27</v>
      </c>
      <c r="I10061" s="1" t="s">
        <v>8</v>
      </c>
      <c r="J10061" s="1" t="str">
        <f>"44/44"</f>
        <v>44/44</v>
      </c>
      <c r="K10061" s="1" t="str">
        <f>"2026-07-29 13:18:12"</f>
        <v>2026-07-29 13:18:12</v>
      </c>
      <c r="L10061" s="1" t="str">
        <f>"2019-10-01 18:53:49"</f>
        <v>2019-10-01 18:53:49</v>
      </c>
      <c r="M10061" s="1" t="s">
        <v>1</v>
      </c>
      <c r="N10061" s="1" t="s">
        <v>38</v>
      </c>
      <c r="O10061" s="1" t="s">
        <v>46</v>
      </c>
    </row>
    <row r="10062" spans="2:15" x14ac:dyDescent="0.3">
      <c r="B10062" s="1" t="s">
        <v>21</v>
      </c>
      <c r="C10062" s="1" t="str">
        <f t="shared" si="510"/>
        <v>4차</v>
      </c>
      <c r="D10062" s="1" t="str">
        <f>"9727X35244"</f>
        <v>9727X35244</v>
      </c>
      <c r="E10062" s="1" t="s">
        <v>10</v>
      </c>
      <c r="F10062" s="1" t="str">
        <f>"10.10.103.210"</f>
        <v>10.10.103.210</v>
      </c>
      <c r="G10062" s="1" t="str">
        <f>"9727X352"</f>
        <v>9727X352</v>
      </c>
      <c r="H10062" s="1" t="str">
        <f>"고은간 9R26"</f>
        <v>고은간 9R26</v>
      </c>
      <c r="I10062" s="1" t="s">
        <v>8</v>
      </c>
      <c r="J10062" s="1" t="str">
        <f>"52/52"</f>
        <v>52/52</v>
      </c>
      <c r="K10062" s="1" t="str">
        <f>"2026-07-29 13:18:12"</f>
        <v>2026-07-29 13:18:12</v>
      </c>
      <c r="L10062" s="1" t="str">
        <f>"2020-01-10 17:18:00"</f>
        <v>2020-01-10 17:18:00</v>
      </c>
      <c r="M10062" s="1" t="s">
        <v>1</v>
      </c>
      <c r="N10062" s="1" t="s">
        <v>38</v>
      </c>
      <c r="O10062" s="1" t="s">
        <v>46</v>
      </c>
    </row>
    <row r="10063" spans="2:15" x14ac:dyDescent="0.3">
      <c r="B10063" s="1" t="s">
        <v>21</v>
      </c>
      <c r="C10063" s="1" t="str">
        <f t="shared" si="510"/>
        <v>4차</v>
      </c>
      <c r="D10063" s="1" t="str">
        <f>"9727X44244"</f>
        <v>9727X44244</v>
      </c>
      <c r="E10063" s="1" t="s">
        <v>10</v>
      </c>
      <c r="F10063" s="1" t="str">
        <f>"10.10.104.186"</f>
        <v>10.10.104.186</v>
      </c>
      <c r="G10063" s="1" t="str">
        <f>"9727X442"</f>
        <v>9727X442</v>
      </c>
      <c r="H10063" s="1" t="str">
        <f>"고은간 9R29"</f>
        <v>고은간 9R29</v>
      </c>
      <c r="I10063" s="1" t="s">
        <v>8</v>
      </c>
      <c r="J10063" s="1" t="str">
        <f>"63/71"</f>
        <v>63/71</v>
      </c>
      <c r="K10063" s="1" t="str">
        <f>"2026-07-29 13:18:12"</f>
        <v>2026-07-29 13:18:12</v>
      </c>
      <c r="L10063" s="1" t="str">
        <f>"2019-10-01 18:58:33"</f>
        <v>2019-10-01 18:58:33</v>
      </c>
      <c r="M10063" s="1" t="s">
        <v>1</v>
      </c>
      <c r="N10063" s="1" t="s">
        <v>38</v>
      </c>
      <c r="O10063" s="1" t="s">
        <v>46</v>
      </c>
    </row>
    <row r="10064" spans="2:15" x14ac:dyDescent="0.3">
      <c r="B10064" s="1" t="s">
        <v>21</v>
      </c>
      <c r="C10064" s="1" t="str">
        <f t="shared" si="510"/>
        <v>4차</v>
      </c>
      <c r="D10064" s="1" t="str">
        <f>"9727X46144"</f>
        <v>9727X46144</v>
      </c>
      <c r="E10064" s="1" t="s">
        <v>10</v>
      </c>
      <c r="F10064" s="1" t="str">
        <f>"10.10.79.90"</f>
        <v>10.10.79.90</v>
      </c>
      <c r="G10064" s="1" t="str">
        <f>"9727X461"</f>
        <v>9727X461</v>
      </c>
      <c r="H10064" s="1" t="str">
        <f>"고은간 9R21L2"</f>
        <v>고은간 9R21L2</v>
      </c>
      <c r="I10064" s="1" t="s">
        <v>8</v>
      </c>
      <c r="J10064" s="1" t="str">
        <f>"48/48"</f>
        <v>48/48</v>
      </c>
      <c r="K10064" s="1" t="str">
        <f>"2026-07-29 13:18:12"</f>
        <v>2026-07-29 13:18:12</v>
      </c>
      <c r="L10064" s="1" t="str">
        <f>"2019-09-30 09:21:27"</f>
        <v>2019-09-30 09:21:27</v>
      </c>
      <c r="M10064" s="1" t="s">
        <v>1</v>
      </c>
      <c r="N10064" s="1" t="s">
        <v>38</v>
      </c>
      <c r="O10064" s="1" t="s">
        <v>46</v>
      </c>
    </row>
    <row r="10065" spans="2:15" x14ac:dyDescent="0.3">
      <c r="B10065" s="1" t="s">
        <v>21</v>
      </c>
      <c r="C10065" s="1" t="str">
        <f t="shared" si="510"/>
        <v>4차</v>
      </c>
      <c r="D10065" s="1" t="str">
        <f>"9727X46244"</f>
        <v>9727X46244</v>
      </c>
      <c r="E10065" s="1" t="s">
        <v>14</v>
      </c>
      <c r="F10065" s="1" t="str">
        <f>"10.10.103.186"</f>
        <v>10.10.103.186</v>
      </c>
      <c r="G10065" s="1" t="str">
        <f>"9727X462"</f>
        <v>9727X462</v>
      </c>
      <c r="H10065" s="1" t="str">
        <f>"고은간 9R24"</f>
        <v>고은간 9R24</v>
      </c>
      <c r="I10065" s="1" t="s">
        <v>8</v>
      </c>
      <c r="J10065" s="1" t="str">
        <f>"0/0"</f>
        <v>0/0</v>
      </c>
      <c r="K10065" s="1" t="str">
        <f>"2026-01-13 07:21:13"</f>
        <v>2026-01-13 07:21:13</v>
      </c>
      <c r="L10065" s="1" t="str">
        <f>"2019-09-30 09:43:05"</f>
        <v>2019-09-30 09:43:05</v>
      </c>
      <c r="M10065" s="1" t="s">
        <v>1</v>
      </c>
      <c r="N10065" s="1" t="s">
        <v>44</v>
      </c>
      <c r="O10065" s="1" t="s">
        <v>44</v>
      </c>
    </row>
    <row r="10066" spans="2:15" x14ac:dyDescent="0.3">
      <c r="B10066" s="1" t="s">
        <v>21</v>
      </c>
      <c r="C10066" s="1" t="str">
        <f t="shared" si="510"/>
        <v>4차</v>
      </c>
      <c r="D10066" s="1" t="str">
        <f>"9727X47244"</f>
        <v>9727X47244</v>
      </c>
      <c r="E10066" s="1" t="s">
        <v>10</v>
      </c>
      <c r="F10066" s="1" t="str">
        <f>"10.10.103.162"</f>
        <v>10.10.103.162</v>
      </c>
      <c r="G10066" s="1" t="str">
        <f>"9727X472"</f>
        <v>9727X472</v>
      </c>
      <c r="H10066" s="1" t="str">
        <f>"고은간 9R23"</f>
        <v>고은간 9R23</v>
      </c>
      <c r="I10066" s="1" t="s">
        <v>8</v>
      </c>
      <c r="J10066" s="1" t="str">
        <f>"70/70"</f>
        <v>70/70</v>
      </c>
      <c r="K10066" s="1" t="str">
        <f>"2026-07-29 13:18:12"</f>
        <v>2026-07-29 13:18:12</v>
      </c>
      <c r="L10066" s="1" t="str">
        <f>"2019-09-30 09:40:37"</f>
        <v>2019-09-30 09:40:37</v>
      </c>
      <c r="M10066" s="1" t="s">
        <v>1</v>
      </c>
      <c r="N10066" s="1" t="s">
        <v>38</v>
      </c>
      <c r="O10066" s="1" t="s">
        <v>46</v>
      </c>
    </row>
    <row r="10067" spans="2:15" x14ac:dyDescent="0.3">
      <c r="B10067" s="1" t="s">
        <v>21</v>
      </c>
      <c r="C10067" s="1" t="str">
        <f t="shared" si="510"/>
        <v>4차</v>
      </c>
      <c r="D10067" s="1" t="str">
        <f>"9727X65244"</f>
        <v>9727X65244</v>
      </c>
      <c r="E10067" s="1" t="s">
        <v>10</v>
      </c>
      <c r="F10067" s="1" t="str">
        <f>"10.10.103.74"</f>
        <v>10.10.103.74</v>
      </c>
      <c r="G10067" s="1" t="str">
        <f>"9727X652"</f>
        <v>9727X652</v>
      </c>
      <c r="H10067" s="1" t="str">
        <f>"고은간 9R15R3"</f>
        <v>고은간 9R15R3</v>
      </c>
      <c r="I10067" s="1" t="s">
        <v>8</v>
      </c>
      <c r="J10067" s="1" t="str">
        <f>"34/34"</f>
        <v>34/34</v>
      </c>
      <c r="K10067" s="1" t="str">
        <f>"2026-07-29 13:18:12"</f>
        <v>2026-07-29 13:18:12</v>
      </c>
      <c r="L10067" s="1" t="str">
        <f>"2023-09-11 13:24:12"</f>
        <v>2023-09-11 13:24:12</v>
      </c>
      <c r="M10067" s="1" t="s">
        <v>1</v>
      </c>
      <c r="N10067" s="1" t="s">
        <v>38</v>
      </c>
      <c r="O10067" s="1" t="s">
        <v>46</v>
      </c>
    </row>
    <row r="10068" spans="2:15" x14ac:dyDescent="0.3">
      <c r="B10068" s="1" t="s">
        <v>21</v>
      </c>
      <c r="C10068" s="1" t="str">
        <f t="shared" si="510"/>
        <v>4차</v>
      </c>
      <c r="D10068" s="1" t="str">
        <f>"9727X66544"</f>
        <v>9727X66544</v>
      </c>
      <c r="E10068" s="1" t="s">
        <v>10</v>
      </c>
      <c r="F10068" s="1" t="str">
        <f>"10.12.138.40"</f>
        <v>10.12.138.40</v>
      </c>
      <c r="G10068" s="1" t="str">
        <f>"9727X665"</f>
        <v>9727X665</v>
      </c>
      <c r="H10068" s="1" t="str">
        <f>"고은간 9R15R2"</f>
        <v>고은간 9R15R2</v>
      </c>
      <c r="I10068" s="1" t="s">
        <v>8</v>
      </c>
      <c r="J10068" s="1" t="str">
        <f>"25/28"</f>
        <v>25/28</v>
      </c>
      <c r="K10068" s="1" t="str">
        <f>"2026-07-29 13:18:13"</f>
        <v>2026-07-29 13:18:13</v>
      </c>
      <c r="L10068" s="1" t="str">
        <f>"2019-11-11 20:05:41"</f>
        <v>2019-11-11 20:05:41</v>
      </c>
      <c r="M10068" s="1" t="s">
        <v>0</v>
      </c>
      <c r="N10068" s="1" t="s">
        <v>38</v>
      </c>
      <c r="O10068" s="1" t="s">
        <v>46</v>
      </c>
    </row>
    <row r="10069" spans="2:15" x14ac:dyDescent="0.3">
      <c r="B10069" s="1" t="s">
        <v>21</v>
      </c>
      <c r="C10069" s="1" t="str">
        <f t="shared" si="510"/>
        <v>4차</v>
      </c>
      <c r="D10069" s="1" t="str">
        <f>"9727X67144"</f>
        <v>9727X67144</v>
      </c>
      <c r="E10069" s="1" t="s">
        <v>10</v>
      </c>
      <c r="F10069" s="1" t="str">
        <f>"10.10.79.66"</f>
        <v>10.10.79.66</v>
      </c>
      <c r="G10069" s="1" t="str">
        <f>"9727X671"</f>
        <v>9727X671</v>
      </c>
      <c r="H10069" s="1" t="str">
        <f>"고은간 9R19"</f>
        <v>고은간 9R19</v>
      </c>
      <c r="I10069" s="1" t="s">
        <v>8</v>
      </c>
      <c r="J10069" s="1" t="str">
        <f>"39/39"</f>
        <v>39/39</v>
      </c>
      <c r="K10069" s="1" t="str">
        <f t="shared" ref="K10069:K10074" si="511">"2026-07-29 13:18:12"</f>
        <v>2026-07-29 13:18:12</v>
      </c>
      <c r="L10069" s="1" t="str">
        <f>"2019-09-30 09:23:05"</f>
        <v>2019-09-30 09:23:05</v>
      </c>
      <c r="M10069" s="1" t="s">
        <v>1</v>
      </c>
      <c r="N10069" s="1" t="s">
        <v>38</v>
      </c>
      <c r="O10069" s="1" t="s">
        <v>46</v>
      </c>
    </row>
    <row r="10070" spans="2:15" x14ac:dyDescent="0.3">
      <c r="B10070" s="1" t="s">
        <v>21</v>
      </c>
      <c r="C10070" s="1" t="str">
        <f t="shared" si="510"/>
        <v>4차</v>
      </c>
      <c r="D10070" s="1" t="str">
        <f>"9727X67244"</f>
        <v>9727X67244</v>
      </c>
      <c r="E10070" s="1" t="s">
        <v>10</v>
      </c>
      <c r="F10070" s="1" t="str">
        <f>"10.10.103.122"</f>
        <v>10.10.103.122</v>
      </c>
      <c r="G10070" s="1" t="str">
        <f>"9727X672"</f>
        <v>9727X672</v>
      </c>
      <c r="H10070" s="1" t="str">
        <f>"고은간 9R20"</f>
        <v>고은간 9R20</v>
      </c>
      <c r="I10070" s="1" t="s">
        <v>8</v>
      </c>
      <c r="J10070" s="1" t="str">
        <f>"89/89"</f>
        <v>89/89</v>
      </c>
      <c r="K10070" s="1" t="str">
        <f t="shared" si="511"/>
        <v>2026-07-29 13:18:12</v>
      </c>
      <c r="L10070" s="1" t="str">
        <f>"2019-09-30 09:37:42"</f>
        <v>2019-09-30 09:37:42</v>
      </c>
      <c r="M10070" s="1" t="s">
        <v>1</v>
      </c>
      <c r="N10070" s="1" t="s">
        <v>38</v>
      </c>
      <c r="O10070" s="1" t="s">
        <v>46</v>
      </c>
    </row>
    <row r="10071" spans="2:15" x14ac:dyDescent="0.3">
      <c r="B10071" s="1" t="s">
        <v>21</v>
      </c>
      <c r="C10071" s="1" t="str">
        <f t="shared" si="510"/>
        <v>4차</v>
      </c>
      <c r="D10071" s="1" t="str">
        <f>"9727X68244"</f>
        <v>9727X68244</v>
      </c>
      <c r="E10071" s="1" t="s">
        <v>10</v>
      </c>
      <c r="F10071" s="1" t="str">
        <f>"10.10.103.98"</f>
        <v>10.10.103.98</v>
      </c>
      <c r="G10071" s="1" t="str">
        <f>"9727X682"</f>
        <v>9727X682</v>
      </c>
      <c r="H10071" s="1" t="str">
        <f>"고은간 9R18C1"</f>
        <v>고은간 9R18C1</v>
      </c>
      <c r="I10071" s="1" t="s">
        <v>8</v>
      </c>
      <c r="J10071" s="1" t="str">
        <f>"33/33"</f>
        <v>33/33</v>
      </c>
      <c r="K10071" s="1" t="str">
        <f t="shared" si="511"/>
        <v>2026-07-29 13:18:12</v>
      </c>
      <c r="L10071" s="1" t="str">
        <f>"2020-01-10 17:19:20"</f>
        <v>2020-01-10 17:19:20</v>
      </c>
      <c r="M10071" s="1" t="s">
        <v>1</v>
      </c>
      <c r="N10071" s="1" t="s">
        <v>38</v>
      </c>
      <c r="O10071" s="1" t="s">
        <v>46</v>
      </c>
    </row>
    <row r="10072" spans="2:15" x14ac:dyDescent="0.3">
      <c r="B10072" s="1" t="s">
        <v>21</v>
      </c>
      <c r="C10072" s="1" t="str">
        <f t="shared" si="510"/>
        <v>4차</v>
      </c>
      <c r="D10072" s="1" t="str">
        <f>"9727X68344"</f>
        <v>9727X68344</v>
      </c>
      <c r="E10072" s="1" t="s">
        <v>10</v>
      </c>
      <c r="F10072" s="1" t="str">
        <f>"10.10.103.114"</f>
        <v>10.10.103.114</v>
      </c>
      <c r="G10072" s="1" t="str">
        <f>"9727X683"</f>
        <v>9727X683</v>
      </c>
      <c r="H10072" s="1" t="str">
        <f>"고은간 9R18C2"</f>
        <v>고은간 9R18C2</v>
      </c>
      <c r="I10072" s="1" t="s">
        <v>8</v>
      </c>
      <c r="J10072" s="1" t="str">
        <f>"45/46"</f>
        <v>45/46</v>
      </c>
      <c r="K10072" s="1" t="str">
        <f t="shared" si="511"/>
        <v>2026-07-29 13:18:12</v>
      </c>
      <c r="L10072" s="1" t="str">
        <f>"2019-09-30 09:36:13"</f>
        <v>2019-09-30 09:36:13</v>
      </c>
      <c r="M10072" s="1" t="s">
        <v>1</v>
      </c>
      <c r="N10072" s="1" t="s">
        <v>38</v>
      </c>
      <c r="O10072" s="1" t="s">
        <v>46</v>
      </c>
    </row>
    <row r="10073" spans="2:15" x14ac:dyDescent="0.3">
      <c r="B10073" s="1" t="s">
        <v>21</v>
      </c>
      <c r="C10073" s="1" t="str">
        <f t="shared" si="510"/>
        <v>4차</v>
      </c>
      <c r="D10073" s="1" t="str">
        <f>"9727X76144"</f>
        <v>9727X76144</v>
      </c>
      <c r="E10073" s="1" t="s">
        <v>10</v>
      </c>
      <c r="F10073" s="1" t="str">
        <f>"10.10.103.58"</f>
        <v>10.10.103.58</v>
      </c>
      <c r="G10073" s="1" t="str">
        <f>"9727X761"</f>
        <v>9727X761</v>
      </c>
      <c r="H10073" s="1" t="str">
        <f>"고은간 9R15L1R1"</f>
        <v>고은간 9R15L1R1</v>
      </c>
      <c r="I10073" s="1" t="s">
        <v>8</v>
      </c>
      <c r="J10073" s="1" t="str">
        <f>"45/45"</f>
        <v>45/45</v>
      </c>
      <c r="K10073" s="1" t="str">
        <f t="shared" si="511"/>
        <v>2026-07-29 13:18:12</v>
      </c>
      <c r="L10073" s="1" t="str">
        <f>"2019-09-30 09:37:13"</f>
        <v>2019-09-30 09:37:13</v>
      </c>
      <c r="M10073" s="1" t="s">
        <v>1</v>
      </c>
      <c r="N10073" s="1" t="s">
        <v>38</v>
      </c>
      <c r="O10073" s="1" t="s">
        <v>46</v>
      </c>
    </row>
    <row r="10074" spans="2:15" x14ac:dyDescent="0.3">
      <c r="B10074" s="1" t="s">
        <v>21</v>
      </c>
      <c r="C10074" s="1" t="str">
        <f t="shared" si="510"/>
        <v>4차</v>
      </c>
      <c r="D10074" s="1" t="str">
        <f>"9727X78239"</f>
        <v>9727X78239</v>
      </c>
      <c r="E10074" s="1" t="s">
        <v>10</v>
      </c>
      <c r="F10074" s="1" t="str">
        <f>"10.128.100.235"</f>
        <v>10.128.100.235</v>
      </c>
      <c r="G10074" s="1" t="str">
        <f>"9727X782"</f>
        <v>9727X782</v>
      </c>
      <c r="H10074" s="1" t="str">
        <f>"고은간 9R18R2"</f>
        <v>고은간 9R18R2</v>
      </c>
      <c r="I10074" s="1" t="s">
        <v>8</v>
      </c>
      <c r="J10074" s="1" t="str">
        <f>"24/35"</f>
        <v>24/35</v>
      </c>
      <c r="K10074" s="1" t="str">
        <f t="shared" si="511"/>
        <v>2026-07-29 13:18:12</v>
      </c>
      <c r="L10074" s="1" t="str">
        <f>"2018-06-11 12:34:12"</f>
        <v>2018-06-11 12:34:12</v>
      </c>
      <c r="M10074" s="1" t="s">
        <v>45</v>
      </c>
      <c r="N10074" s="1" t="s">
        <v>38</v>
      </c>
      <c r="O10074" s="1" t="s">
        <v>46</v>
      </c>
    </row>
    <row r="10075" spans="2:15" x14ac:dyDescent="0.3">
      <c r="B10075" s="1" t="s">
        <v>21</v>
      </c>
      <c r="C10075" s="1" t="str">
        <f t="shared" si="510"/>
        <v>4차</v>
      </c>
      <c r="D10075" s="1" t="str">
        <f>"9727X78344"</f>
        <v>9727X78344</v>
      </c>
      <c r="E10075" s="1" t="s">
        <v>10</v>
      </c>
      <c r="F10075" s="1" t="str">
        <f>"10.128.100.194"</f>
        <v>10.128.100.194</v>
      </c>
      <c r="G10075" s="1" t="str">
        <f>"9727X783"</f>
        <v>9727X783</v>
      </c>
      <c r="H10075" s="1" t="str">
        <f>"고은간 9R18R1"</f>
        <v>고은간 9R18R1</v>
      </c>
      <c r="I10075" s="1" t="s">
        <v>8</v>
      </c>
      <c r="J10075" s="1" t="str">
        <f>"32/32"</f>
        <v>32/32</v>
      </c>
      <c r="K10075" s="1" t="str">
        <f>"2026-07-29 13:18:10"</f>
        <v>2026-07-29 13:18:10</v>
      </c>
      <c r="L10075" s="1" t="str">
        <f>"2019-11-11 20:05:56"</f>
        <v>2019-11-11 20:05:56</v>
      </c>
      <c r="M10075" s="1" t="s">
        <v>45</v>
      </c>
      <c r="N10075" s="1" t="s">
        <v>38</v>
      </c>
      <c r="O10075" s="1" t="s">
        <v>46</v>
      </c>
    </row>
    <row r="10076" spans="2:15" x14ac:dyDescent="0.3">
      <c r="B10076" s="1" t="s">
        <v>21</v>
      </c>
      <c r="C10076" s="1" t="str">
        <f t="shared" si="510"/>
        <v>4차</v>
      </c>
      <c r="D10076" s="1" t="str">
        <f>"9727X85244"</f>
        <v>9727X85244</v>
      </c>
      <c r="E10076" s="1" t="s">
        <v>10</v>
      </c>
      <c r="F10076" s="1" t="str">
        <f>"10.10.105.34"</f>
        <v>10.10.105.34</v>
      </c>
      <c r="G10076" s="1" t="str">
        <f>"9727X852"</f>
        <v>9727X852</v>
      </c>
      <c r="H10076" s="1" t="str">
        <f>"고은간 9R4L4"</f>
        <v>고은간 9R4L4</v>
      </c>
      <c r="I10076" s="1" t="s">
        <v>8</v>
      </c>
      <c r="J10076" s="1" t="str">
        <f>"56/56"</f>
        <v>56/56</v>
      </c>
      <c r="K10076" s="1" t="str">
        <f>"2026-07-29 13:18:12"</f>
        <v>2026-07-29 13:18:12</v>
      </c>
      <c r="L10076" s="1" t="str">
        <f>"2019-09-30 09:44:42"</f>
        <v>2019-09-30 09:44:42</v>
      </c>
      <c r="M10076" s="1" t="s">
        <v>1</v>
      </c>
      <c r="N10076" s="1" t="s">
        <v>38</v>
      </c>
      <c r="O10076" s="1" t="s">
        <v>46</v>
      </c>
    </row>
    <row r="10077" spans="2:15" x14ac:dyDescent="0.3">
      <c r="B10077" s="1" t="s">
        <v>21</v>
      </c>
      <c r="C10077" s="1" t="str">
        <f t="shared" si="510"/>
        <v>4차</v>
      </c>
      <c r="D10077" s="1" t="str">
        <f>"9727X86144"</f>
        <v>9727X86144</v>
      </c>
      <c r="E10077" s="1" t="s">
        <v>10</v>
      </c>
      <c r="F10077" s="1" t="str">
        <f>"10.10.79.42"</f>
        <v>10.10.79.42</v>
      </c>
      <c r="G10077" s="1" t="str">
        <f>"9727X861"</f>
        <v>9727X861</v>
      </c>
      <c r="H10077" s="1" t="str">
        <f>"고은간 9R15L3"</f>
        <v>고은간 9R15L3</v>
      </c>
      <c r="I10077" s="1" t="s">
        <v>8</v>
      </c>
      <c r="J10077" s="1" t="str">
        <f>"50/50"</f>
        <v>50/50</v>
      </c>
      <c r="K10077" s="1" t="str">
        <f>"2026-07-29 13:18:12"</f>
        <v>2026-07-29 13:18:12</v>
      </c>
      <c r="L10077" s="1" t="str">
        <f>"2019-09-30 09:20:59"</f>
        <v>2019-09-30 09:20:59</v>
      </c>
      <c r="M10077" s="1" t="s">
        <v>1</v>
      </c>
      <c r="N10077" s="1" t="s">
        <v>38</v>
      </c>
      <c r="O10077" s="1" t="s">
        <v>46</v>
      </c>
    </row>
    <row r="10078" spans="2:15" x14ac:dyDescent="0.3">
      <c r="B10078" s="1" t="s">
        <v>21</v>
      </c>
      <c r="C10078" s="1" t="str">
        <f t="shared" si="510"/>
        <v>4차</v>
      </c>
      <c r="D10078" s="1" t="str">
        <f>"9727X87144"</f>
        <v>9727X87144</v>
      </c>
      <c r="E10078" s="1" t="s">
        <v>10</v>
      </c>
      <c r="F10078" s="1" t="str">
        <f>"10.10.78.242"</f>
        <v>10.10.78.242</v>
      </c>
      <c r="G10078" s="1" t="str">
        <f>"9727X871"</f>
        <v>9727X871</v>
      </c>
      <c r="H10078" s="1" t="str">
        <f>"고은간 9R13"</f>
        <v>고은간 9R13</v>
      </c>
      <c r="I10078" s="1" t="s">
        <v>8</v>
      </c>
      <c r="J10078" s="1" t="str">
        <f>"49/53"</f>
        <v>49/53</v>
      </c>
      <c r="K10078" s="1" t="str">
        <f>"2026-07-29 13:18:12"</f>
        <v>2026-07-29 13:18:12</v>
      </c>
      <c r="L10078" s="1" t="str">
        <f>"2020-02-10 18:35:47"</f>
        <v>2020-02-10 18:35:47</v>
      </c>
      <c r="M10078" s="1" t="s">
        <v>1</v>
      </c>
      <c r="N10078" s="1" t="s">
        <v>38</v>
      </c>
      <c r="O10078" s="1" t="s">
        <v>46</v>
      </c>
    </row>
    <row r="10079" spans="2:15" x14ac:dyDescent="0.3">
      <c r="B10079" s="1" t="s">
        <v>21</v>
      </c>
      <c r="C10079" s="1" t="str">
        <f t="shared" si="510"/>
        <v>4차</v>
      </c>
      <c r="D10079" s="1" t="str">
        <f>"9727X87344"</f>
        <v>9727X87344</v>
      </c>
      <c r="E10079" s="1" t="s">
        <v>10</v>
      </c>
      <c r="F10079" s="1" t="str">
        <f>"10.10.122.178"</f>
        <v>10.10.122.178</v>
      </c>
      <c r="G10079" s="1" t="str">
        <f>"9727X873"</f>
        <v>9727X873</v>
      </c>
      <c r="H10079" s="1" t="str">
        <f>"고은간 9R13L1"</f>
        <v>고은간 9R13L1</v>
      </c>
      <c r="I10079" s="1" t="s">
        <v>8</v>
      </c>
      <c r="J10079" s="1" t="str">
        <f>"29/29"</f>
        <v>29/29</v>
      </c>
      <c r="K10079" s="1" t="str">
        <f>"2026-07-29 13:18:12"</f>
        <v>2026-07-29 13:18:12</v>
      </c>
      <c r="L10079" s="1" t="str">
        <f>"2019-09-30 10:43:03"</f>
        <v>2019-09-30 10:43:03</v>
      </c>
      <c r="M10079" s="1" t="s">
        <v>1</v>
      </c>
      <c r="N10079" s="1" t="s">
        <v>38</v>
      </c>
      <c r="O10079" s="1" t="s">
        <v>46</v>
      </c>
    </row>
    <row r="10080" spans="2:15" x14ac:dyDescent="0.3">
      <c r="B10080" s="1" t="s">
        <v>21</v>
      </c>
      <c r="C10080" s="1" t="str">
        <f t="shared" si="510"/>
        <v>4차</v>
      </c>
      <c r="D10080" s="1" t="str">
        <f>"9727X87544"</f>
        <v>9727X87544</v>
      </c>
      <c r="E10080" s="1" t="s">
        <v>10</v>
      </c>
      <c r="F10080" s="1" t="str">
        <f>"10.10.79.26"</f>
        <v>10.10.79.26</v>
      </c>
      <c r="G10080" s="1" t="str">
        <f>"9727X875"</f>
        <v>9727X875</v>
      </c>
      <c r="H10080" s="1" t="str">
        <f>"고은간 9R14"</f>
        <v>고은간 9R14</v>
      </c>
      <c r="I10080" s="1" t="s">
        <v>8</v>
      </c>
      <c r="J10080" s="1" t="str">
        <f>"32/35"</f>
        <v>32/35</v>
      </c>
      <c r="K10080" s="1" t="str">
        <f>"2026-07-29 13:18:00"</f>
        <v>2026-07-29 13:18:00</v>
      </c>
      <c r="L10080" s="1" t="str">
        <f>"2019-09-30 09:13:05"</f>
        <v>2019-09-30 09:13:05</v>
      </c>
      <c r="M10080" s="1" t="s">
        <v>1</v>
      </c>
      <c r="N10080" s="1" t="s">
        <v>38</v>
      </c>
      <c r="O10080" s="1" t="s">
        <v>46</v>
      </c>
    </row>
    <row r="10081" spans="2:15" x14ac:dyDescent="0.3">
      <c r="B10081" s="1" t="s">
        <v>21</v>
      </c>
      <c r="C10081" s="1" t="str">
        <f>"3차"</f>
        <v>3차</v>
      </c>
      <c r="D10081" s="1" t="str">
        <f>"9727X89139"</f>
        <v>9727X89139</v>
      </c>
      <c r="E10081" s="1" t="s">
        <v>10</v>
      </c>
      <c r="F10081" s="1" t="str">
        <f>"10.128.100.234"</f>
        <v>10.128.100.234</v>
      </c>
      <c r="G10081" s="1" t="str">
        <f>"9727X891"</f>
        <v>9727X891</v>
      </c>
      <c r="H10081" s="1" t="str">
        <f>"고은간 9R18R3"</f>
        <v>고은간 9R18R3</v>
      </c>
      <c r="I10081" s="1" t="s">
        <v>8</v>
      </c>
      <c r="J10081" s="1" t="str">
        <f>"19/19"</f>
        <v>19/19</v>
      </c>
      <c r="K10081" s="1" t="str">
        <f>"2026-07-29 13:18:10"</f>
        <v>2026-07-29 13:18:10</v>
      </c>
      <c r="L10081" s="1" t="str">
        <f>"2018-06-11 18:34:53"</f>
        <v>2018-06-11 18:34:53</v>
      </c>
      <c r="M10081" s="1" t="s">
        <v>45</v>
      </c>
      <c r="N10081" s="1" t="s">
        <v>38</v>
      </c>
      <c r="O10081" s="1" t="s">
        <v>46</v>
      </c>
    </row>
    <row r="10082" spans="2:15" x14ac:dyDescent="0.3">
      <c r="B10082" s="1" t="s">
        <v>21</v>
      </c>
      <c r="C10082" s="1" t="str">
        <f t="shared" ref="C10082:C10088" si="512">"4차"</f>
        <v>4차</v>
      </c>
      <c r="D10082" s="1" t="str">
        <f>"9727X90244"</f>
        <v>9727X90244</v>
      </c>
      <c r="E10082" s="1" t="s">
        <v>10</v>
      </c>
      <c r="F10082" s="1" t="str">
        <f>"10.10.99.42"</f>
        <v>10.10.99.42</v>
      </c>
      <c r="G10082" s="1" t="str">
        <f>"9727X902"</f>
        <v>9727X902</v>
      </c>
      <c r="H10082" s="1" t="str">
        <f>"고은간 12L1"</f>
        <v>고은간 12L1</v>
      </c>
      <c r="I10082" s="1" t="s">
        <v>8</v>
      </c>
      <c r="J10082" s="1" t="str">
        <f>"40/40"</f>
        <v>40/40</v>
      </c>
      <c r="K10082" s="1" t="str">
        <f>"2026-07-29 13:18:12"</f>
        <v>2026-07-29 13:18:12</v>
      </c>
      <c r="L10082" s="1" t="str">
        <f>"2019-10-29 09:23:05"</f>
        <v>2019-10-29 09:23:05</v>
      </c>
      <c r="M10082" s="1" t="s">
        <v>1</v>
      </c>
      <c r="N10082" s="1" t="s">
        <v>38</v>
      </c>
      <c r="O10082" s="1" t="s">
        <v>46</v>
      </c>
    </row>
    <row r="10083" spans="2:15" x14ac:dyDescent="0.3">
      <c r="B10083" s="1" t="s">
        <v>21</v>
      </c>
      <c r="C10083" s="1" t="str">
        <f t="shared" si="512"/>
        <v>4차</v>
      </c>
      <c r="D10083" s="1" t="str">
        <f>"9727X94344"</f>
        <v>9727X94344</v>
      </c>
      <c r="E10083" s="1" t="s">
        <v>10</v>
      </c>
      <c r="F10083" s="1" t="str">
        <f>"10.10.104.234"</f>
        <v>10.10.104.234</v>
      </c>
      <c r="G10083" s="1" t="str">
        <f>"9727X943"</f>
        <v>9727X943</v>
      </c>
      <c r="H10083" s="1" t="str">
        <f>"고은간 9R4L2"</f>
        <v>고은간 9R4L2</v>
      </c>
      <c r="I10083" s="1" t="s">
        <v>8</v>
      </c>
      <c r="J10083" s="1" t="str">
        <f>"55/55"</f>
        <v>55/55</v>
      </c>
      <c r="K10083" s="1" t="str">
        <f>"2026-07-29 13:18:12"</f>
        <v>2026-07-29 13:18:12</v>
      </c>
      <c r="L10083" s="1" t="str">
        <f>"2019-09-30 09:41:27"</f>
        <v>2019-09-30 09:41:27</v>
      </c>
      <c r="M10083" s="1" t="s">
        <v>1</v>
      </c>
      <c r="N10083" s="1" t="s">
        <v>38</v>
      </c>
      <c r="O10083" s="1" t="s">
        <v>46</v>
      </c>
    </row>
    <row r="10084" spans="2:15" x14ac:dyDescent="0.3">
      <c r="B10084" s="1" t="s">
        <v>21</v>
      </c>
      <c r="C10084" s="1" t="str">
        <f t="shared" si="512"/>
        <v>4차</v>
      </c>
      <c r="D10084" s="1" t="str">
        <f>"9727X95144"</f>
        <v>9727X95144</v>
      </c>
      <c r="E10084" s="1" t="s">
        <v>10</v>
      </c>
      <c r="F10084" s="1" t="str">
        <f>"10.10.105.26"</f>
        <v>10.10.105.26</v>
      </c>
      <c r="G10084" s="1" t="str">
        <f>"9727X951"</f>
        <v>9727X951</v>
      </c>
      <c r="H10084" s="1" t="str">
        <f>"고은간 9R6"</f>
        <v>고은간 9R6</v>
      </c>
      <c r="I10084" s="1" t="s">
        <v>8</v>
      </c>
      <c r="J10084" s="1" t="str">
        <f>"14/18"</f>
        <v>14/18</v>
      </c>
      <c r="K10084" s="1" t="str">
        <f>"2026-07-29 13:18:10"</f>
        <v>2026-07-29 13:18:10</v>
      </c>
      <c r="L10084" s="1" t="str">
        <f>"2019-09-30 09:43:42"</f>
        <v>2019-09-30 09:43:42</v>
      </c>
      <c r="M10084" s="1" t="s">
        <v>1</v>
      </c>
      <c r="N10084" s="1" t="s">
        <v>38</v>
      </c>
      <c r="O10084" s="1" t="s">
        <v>46</v>
      </c>
    </row>
    <row r="10085" spans="2:15" x14ac:dyDescent="0.3">
      <c r="B10085" s="1" t="s">
        <v>21</v>
      </c>
      <c r="C10085" s="1" t="str">
        <f t="shared" si="512"/>
        <v>4차</v>
      </c>
      <c r="D10085" s="1" t="str">
        <f>"9727X96139"</f>
        <v>9727X96139</v>
      </c>
      <c r="E10085" s="1" t="s">
        <v>10</v>
      </c>
      <c r="F10085" s="1" t="str">
        <f>"10.128.100.203"</f>
        <v>10.128.100.203</v>
      </c>
      <c r="G10085" s="1" t="str">
        <f>"9727X961"</f>
        <v>9727X961</v>
      </c>
      <c r="H10085" s="1" t="str">
        <f>"고은간 9R8"</f>
        <v>고은간 9R8</v>
      </c>
      <c r="I10085" s="1" t="s">
        <v>8</v>
      </c>
      <c r="J10085" s="1" t="str">
        <f>"32/34"</f>
        <v>32/34</v>
      </c>
      <c r="K10085" s="1" t="str">
        <f>"2026-07-29 13:18:12"</f>
        <v>2026-07-29 13:18:12</v>
      </c>
      <c r="L10085" s="1" t="str">
        <f>"2018-04-25 10:22:27"</f>
        <v>2018-04-25 10:22:27</v>
      </c>
      <c r="M10085" s="1" t="s">
        <v>45</v>
      </c>
      <c r="N10085" s="1" t="s">
        <v>38</v>
      </c>
      <c r="O10085" s="1" t="s">
        <v>46</v>
      </c>
    </row>
    <row r="10086" spans="2:15" x14ac:dyDescent="0.3">
      <c r="B10086" s="1" t="s">
        <v>21</v>
      </c>
      <c r="C10086" s="1" t="str">
        <f t="shared" si="512"/>
        <v>4차</v>
      </c>
      <c r="D10086" s="1" t="str">
        <f>"9727X97244"</f>
        <v>9727X97244</v>
      </c>
      <c r="E10086" s="1" t="s">
        <v>10</v>
      </c>
      <c r="F10086" s="1" t="str">
        <f>"10.10.105.42"</f>
        <v>10.10.105.42</v>
      </c>
      <c r="G10086" s="1" t="str">
        <f>"9727X972"</f>
        <v>9727X972</v>
      </c>
      <c r="H10086" s="1" t="str">
        <f>"고은간 9R9"</f>
        <v>고은간 9R9</v>
      </c>
      <c r="I10086" s="1" t="s">
        <v>8</v>
      </c>
      <c r="J10086" s="1" t="str">
        <f>"1/1"</f>
        <v>1/1</v>
      </c>
      <c r="K10086" s="1" t="str">
        <f>"2026-07-29 13:18:10"</f>
        <v>2026-07-29 13:18:10</v>
      </c>
      <c r="L10086" s="1" t="str">
        <f>"2019-09-30 09:53:05"</f>
        <v>2019-09-30 09:53:05</v>
      </c>
      <c r="M10086" s="1" t="s">
        <v>1</v>
      </c>
      <c r="N10086" s="1" t="s">
        <v>38</v>
      </c>
      <c r="O10086" s="1" t="s">
        <v>46</v>
      </c>
    </row>
    <row r="10087" spans="2:15" x14ac:dyDescent="0.3">
      <c r="B10087" s="1" t="s">
        <v>21</v>
      </c>
      <c r="C10087" s="1" t="str">
        <f t="shared" si="512"/>
        <v>4차</v>
      </c>
      <c r="D10087" s="1" t="str">
        <f>"9727Y00244"</f>
        <v>9727Y00244</v>
      </c>
      <c r="E10087" s="1" t="s">
        <v>10</v>
      </c>
      <c r="F10087" s="1" t="str">
        <f>"10.10.80.82"</f>
        <v>10.10.80.82</v>
      </c>
      <c r="G10087" s="1" t="str">
        <f>"9727Y002"</f>
        <v>9727Y002</v>
      </c>
      <c r="H10087" s="1" t="str">
        <f>"두산간 13R2"</f>
        <v>두산간 13R2</v>
      </c>
      <c r="I10087" s="1" t="s">
        <v>8</v>
      </c>
      <c r="J10087" s="1" t="str">
        <f>"25/25"</f>
        <v>25/25</v>
      </c>
      <c r="K10087" s="1" t="str">
        <f>"2026-07-29 13:18:10"</f>
        <v>2026-07-29 13:18:10</v>
      </c>
      <c r="L10087" s="1" t="str">
        <f>"2019-10-29 18:15:36"</f>
        <v>2019-10-29 18:15:36</v>
      </c>
      <c r="M10087" s="1" t="s">
        <v>1</v>
      </c>
      <c r="N10087" s="1" t="s">
        <v>38</v>
      </c>
      <c r="O10087" s="1" t="s">
        <v>46</v>
      </c>
    </row>
    <row r="10088" spans="2:15" x14ac:dyDescent="0.3">
      <c r="B10088" s="1" t="s">
        <v>21</v>
      </c>
      <c r="C10088" s="1" t="str">
        <f t="shared" si="512"/>
        <v>4차</v>
      </c>
      <c r="D10088" s="1" t="str">
        <f>"9727Y02444"</f>
        <v>9727Y02444</v>
      </c>
      <c r="E10088" s="1" t="s">
        <v>10</v>
      </c>
      <c r="F10088" s="1" t="str">
        <f>"10.10.80.186"</f>
        <v>10.10.80.186</v>
      </c>
      <c r="G10088" s="1" t="str">
        <f>"9727Y024"</f>
        <v>9727Y024</v>
      </c>
      <c r="H10088" s="1" t="str">
        <f>"두산간 9R3"</f>
        <v>두산간 9R3</v>
      </c>
      <c r="I10088" s="1" t="s">
        <v>8</v>
      </c>
      <c r="J10088" s="1" t="str">
        <f>"36/36"</f>
        <v>36/36</v>
      </c>
      <c r="K10088" s="1" t="str">
        <f>"2026-07-29 13:18:10"</f>
        <v>2026-07-29 13:18:10</v>
      </c>
      <c r="L10088" s="1" t="str">
        <f>"2019-10-24 17:43:04"</f>
        <v>2019-10-24 17:43:04</v>
      </c>
      <c r="M10088" s="1" t="s">
        <v>1</v>
      </c>
      <c r="N10088" s="1" t="s">
        <v>38</v>
      </c>
      <c r="O10088" s="1" t="s">
        <v>46</v>
      </c>
    </row>
    <row r="10089" spans="2:15" x14ac:dyDescent="0.3">
      <c r="B10089" s="1" t="s">
        <v>21</v>
      </c>
      <c r="C10089" s="1" t="str">
        <f>"3차"</f>
        <v>3차</v>
      </c>
      <c r="D10089" s="1" t="str">
        <f>"9727Y03139"</f>
        <v>9727Y03139</v>
      </c>
      <c r="E10089" s="1" t="s">
        <v>10</v>
      </c>
      <c r="F10089" s="1" t="str">
        <f>"10.12.130.11"</f>
        <v>10.12.130.11</v>
      </c>
      <c r="G10089" s="1" t="str">
        <f>"9727Y031"</f>
        <v>9727Y031</v>
      </c>
      <c r="H10089" s="1" t="str">
        <f>"두산간 3B6"</f>
        <v>두산간 3B6</v>
      </c>
      <c r="I10089" s="1" t="s">
        <v>8</v>
      </c>
      <c r="J10089" s="1" t="str">
        <f>"37/37"</f>
        <v>37/37</v>
      </c>
      <c r="K10089" s="1" t="str">
        <f>"2026-07-29 13:18:11"</f>
        <v>2026-07-29 13:18:11</v>
      </c>
      <c r="L10089" s="1" t="str">
        <f>"2018-04-25 14:54:44"</f>
        <v>2018-04-25 14:54:44</v>
      </c>
      <c r="M10089" s="1" t="s">
        <v>0</v>
      </c>
      <c r="N10089" s="1" t="s">
        <v>38</v>
      </c>
      <c r="O10089" s="1" t="s">
        <v>46</v>
      </c>
    </row>
    <row r="10090" spans="2:15" x14ac:dyDescent="0.3">
      <c r="B10090" s="1" t="s">
        <v>21</v>
      </c>
      <c r="C10090" s="1" t="str">
        <f t="shared" ref="C10090:C10096" si="513">"4차"</f>
        <v>4차</v>
      </c>
      <c r="D10090" s="1" t="str">
        <f>"9727Y04144"</f>
        <v>9727Y04144</v>
      </c>
      <c r="E10090" s="1" t="s">
        <v>10</v>
      </c>
      <c r="F10090" s="1" t="str">
        <f>"10.10.111.122"</f>
        <v>10.10.111.122</v>
      </c>
      <c r="G10090" s="1" t="str">
        <f>"9727Y041"</f>
        <v>9727Y041</v>
      </c>
      <c r="H10090" s="1" t="str">
        <f>"두산간 3R5L3"</f>
        <v>두산간 3R5L3</v>
      </c>
      <c r="I10090" s="1" t="s">
        <v>8</v>
      </c>
      <c r="J10090" s="1" t="str">
        <f>"17/17"</f>
        <v>17/17</v>
      </c>
      <c r="K10090" s="1" t="str">
        <f t="shared" ref="K10090:K10096" si="514">"2026-07-29 13:18:10"</f>
        <v>2026-07-29 13:18:10</v>
      </c>
      <c r="L10090" s="1" t="str">
        <f>"2019-10-14 15:33:05"</f>
        <v>2019-10-14 15:33:05</v>
      </c>
      <c r="M10090" s="1" t="s">
        <v>1</v>
      </c>
      <c r="N10090" s="1" t="s">
        <v>38</v>
      </c>
      <c r="O10090" s="1" t="s">
        <v>46</v>
      </c>
    </row>
    <row r="10091" spans="2:15" x14ac:dyDescent="0.3">
      <c r="B10091" s="1" t="s">
        <v>21</v>
      </c>
      <c r="C10091" s="1" t="str">
        <f t="shared" si="513"/>
        <v>4차</v>
      </c>
      <c r="D10091" s="1" t="str">
        <f>"9727Y14144"</f>
        <v>9727Y14144</v>
      </c>
      <c r="E10091" s="1" t="s">
        <v>10</v>
      </c>
      <c r="F10091" s="1" t="str">
        <f>"10.10.80.138"</f>
        <v>10.10.80.138</v>
      </c>
      <c r="G10091" s="1" t="str">
        <f>"9727Y141"</f>
        <v>9727Y141</v>
      </c>
      <c r="H10091" s="1" t="str">
        <f>"두산간 3R5L2"</f>
        <v>두산간 3R5L2</v>
      </c>
      <c r="I10091" s="1" t="s">
        <v>8</v>
      </c>
      <c r="J10091" s="1" t="str">
        <f>"10/10"</f>
        <v>10/10</v>
      </c>
      <c r="K10091" s="1" t="str">
        <f t="shared" si="514"/>
        <v>2026-07-29 13:18:10</v>
      </c>
      <c r="L10091" s="1" t="str">
        <f>"2020-01-10 17:18:09"</f>
        <v>2020-01-10 17:18:09</v>
      </c>
      <c r="M10091" s="1" t="s">
        <v>1</v>
      </c>
      <c r="N10091" s="1" t="s">
        <v>38</v>
      </c>
      <c r="O10091" s="1" t="s">
        <v>46</v>
      </c>
    </row>
    <row r="10092" spans="2:15" x14ac:dyDescent="0.3">
      <c r="B10092" s="1" t="s">
        <v>21</v>
      </c>
      <c r="C10092" s="1" t="str">
        <f t="shared" si="513"/>
        <v>4차</v>
      </c>
      <c r="D10092" s="1" t="str">
        <f>"9727Y15244"</f>
        <v>9727Y15244</v>
      </c>
      <c r="E10092" s="1" t="s">
        <v>10</v>
      </c>
      <c r="F10092" s="1" t="str">
        <f>"10.10.80.154"</f>
        <v>10.10.80.154</v>
      </c>
      <c r="G10092" s="1" t="str">
        <f>"9727Y152"</f>
        <v>9727Y152</v>
      </c>
      <c r="H10092" s="1" t="str">
        <f>"두산간 3R7"</f>
        <v>두산간 3R7</v>
      </c>
      <c r="I10092" s="1" t="s">
        <v>8</v>
      </c>
      <c r="J10092" s="1" t="str">
        <f>"4/4"</f>
        <v>4/4</v>
      </c>
      <c r="K10092" s="1" t="str">
        <f t="shared" si="514"/>
        <v>2026-07-29 13:18:10</v>
      </c>
      <c r="L10092" s="1" t="str">
        <f>"2019-10-14 14:51:09"</f>
        <v>2019-10-14 14:51:09</v>
      </c>
      <c r="M10092" s="1" t="s">
        <v>1</v>
      </c>
      <c r="N10092" s="1" t="s">
        <v>38</v>
      </c>
      <c r="O10092" s="1" t="s">
        <v>46</v>
      </c>
    </row>
    <row r="10093" spans="2:15" x14ac:dyDescent="0.3">
      <c r="B10093" s="1" t="s">
        <v>21</v>
      </c>
      <c r="C10093" s="1" t="str">
        <f t="shared" si="513"/>
        <v>4차</v>
      </c>
      <c r="D10093" s="1" t="str">
        <f>"9727Y16244"</f>
        <v>9727Y16244</v>
      </c>
      <c r="E10093" s="1" t="s">
        <v>10</v>
      </c>
      <c r="F10093" s="1" t="str">
        <f>"10.10.111.98"</f>
        <v>10.10.111.98</v>
      </c>
      <c r="G10093" s="1" t="str">
        <f>"9727Y162"</f>
        <v>9727Y162</v>
      </c>
      <c r="H10093" s="1" t="str">
        <f>"두산간 3R7H1R1"</f>
        <v>두산간 3R7H1R1</v>
      </c>
      <c r="I10093" s="1" t="s">
        <v>8</v>
      </c>
      <c r="J10093" s="1" t="str">
        <f>"21/21"</f>
        <v>21/21</v>
      </c>
      <c r="K10093" s="1" t="str">
        <f t="shared" si="514"/>
        <v>2026-07-29 13:18:10</v>
      </c>
      <c r="L10093" s="1" t="str">
        <f>"2019-10-29 18:31:35"</f>
        <v>2019-10-29 18:31:35</v>
      </c>
      <c r="M10093" s="1" t="s">
        <v>1</v>
      </c>
      <c r="N10093" s="1" t="s">
        <v>38</v>
      </c>
      <c r="O10093" s="1" t="s">
        <v>46</v>
      </c>
    </row>
    <row r="10094" spans="2:15" x14ac:dyDescent="0.3">
      <c r="B10094" s="1" t="s">
        <v>21</v>
      </c>
      <c r="C10094" s="1" t="str">
        <f t="shared" si="513"/>
        <v>4차</v>
      </c>
      <c r="D10094" s="1" t="str">
        <f>"9727Y22244"</f>
        <v>9727Y22244</v>
      </c>
      <c r="E10094" s="1" t="s">
        <v>10</v>
      </c>
      <c r="F10094" s="1" t="str">
        <f>"10.10.80.178"</f>
        <v>10.10.80.178</v>
      </c>
      <c r="G10094" s="1" t="str">
        <f>"9727Y222"</f>
        <v>9727Y222</v>
      </c>
      <c r="H10094" s="1" t="str">
        <f>"두산간 7"</f>
        <v>두산간 7</v>
      </c>
      <c r="I10094" s="1" t="s">
        <v>8</v>
      </c>
      <c r="J10094" s="1" t="str">
        <f>"53/60"</f>
        <v>53/60</v>
      </c>
      <c r="K10094" s="1" t="str">
        <f t="shared" si="514"/>
        <v>2026-07-29 13:18:10</v>
      </c>
      <c r="L10094" s="1" t="str">
        <f>"2019-10-24 17:33:04"</f>
        <v>2019-10-24 17:33:04</v>
      </c>
      <c r="M10094" s="1" t="s">
        <v>1</v>
      </c>
      <c r="N10094" s="1" t="s">
        <v>38</v>
      </c>
      <c r="O10094" s="1" t="s">
        <v>46</v>
      </c>
    </row>
    <row r="10095" spans="2:15" x14ac:dyDescent="0.3">
      <c r="B10095" s="1" t="s">
        <v>21</v>
      </c>
      <c r="C10095" s="1" t="str">
        <f t="shared" si="513"/>
        <v>4차</v>
      </c>
      <c r="D10095" s="1" t="str">
        <f>"9727Y23144"</f>
        <v>9727Y23144</v>
      </c>
      <c r="E10095" s="1" t="s">
        <v>10</v>
      </c>
      <c r="F10095" s="1" t="str">
        <f>"10.10.80.90"</f>
        <v>10.10.80.90</v>
      </c>
      <c r="G10095" s="1" t="str">
        <f>"9727Y231"</f>
        <v>9727Y231</v>
      </c>
      <c r="H10095" s="1" t="str">
        <f>"두산간 3B3"</f>
        <v>두산간 3B3</v>
      </c>
      <c r="I10095" s="1" t="s">
        <v>8</v>
      </c>
      <c r="J10095" s="1" t="str">
        <f>"25/25"</f>
        <v>25/25</v>
      </c>
      <c r="K10095" s="1" t="str">
        <f t="shared" si="514"/>
        <v>2026-07-29 13:18:10</v>
      </c>
      <c r="L10095" s="1" t="str">
        <f>"2019-10-24 17:23:37"</f>
        <v>2019-10-24 17:23:37</v>
      </c>
      <c r="M10095" s="1" t="s">
        <v>1</v>
      </c>
      <c r="N10095" s="1" t="s">
        <v>38</v>
      </c>
      <c r="O10095" s="1" t="s">
        <v>46</v>
      </c>
    </row>
    <row r="10096" spans="2:15" x14ac:dyDescent="0.3">
      <c r="B10096" s="1" t="s">
        <v>21</v>
      </c>
      <c r="C10096" s="1" t="str">
        <f t="shared" si="513"/>
        <v>4차</v>
      </c>
      <c r="D10096" s="1" t="str">
        <f>"9727Y24144"</f>
        <v>9727Y24144</v>
      </c>
      <c r="E10096" s="1" t="s">
        <v>10</v>
      </c>
      <c r="F10096" s="1" t="str">
        <f>"10.10.80.130"</f>
        <v>10.10.80.130</v>
      </c>
      <c r="G10096" s="1" t="str">
        <f>"9727Y241"</f>
        <v>9727Y241</v>
      </c>
      <c r="H10096" s="1" t="str">
        <f>"두산간 3R5"</f>
        <v>두산간 3R5</v>
      </c>
      <c r="I10096" s="1" t="s">
        <v>8</v>
      </c>
      <c r="J10096" s="1" t="str">
        <f>"45/45"</f>
        <v>45/45</v>
      </c>
      <c r="K10096" s="1" t="str">
        <f t="shared" si="514"/>
        <v>2026-07-29 13:18:10</v>
      </c>
      <c r="L10096" s="1" t="str">
        <f>"2019-10-24 17:30:08"</f>
        <v>2019-10-24 17:30:08</v>
      </c>
      <c r="M10096" s="1" t="s">
        <v>1</v>
      </c>
      <c r="N10096" s="1" t="s">
        <v>38</v>
      </c>
      <c r="O10096" s="1" t="s">
        <v>46</v>
      </c>
    </row>
    <row r="10097" spans="2:15" x14ac:dyDescent="0.3">
      <c r="B10097" s="1" t="s">
        <v>21</v>
      </c>
      <c r="C10097" s="1" t="str">
        <f>"6차"</f>
        <v>6차</v>
      </c>
      <c r="D10097" s="1" t="str">
        <f>"9727Y2516S"</f>
        <v>9727Y2516S</v>
      </c>
      <c r="E10097" s="1" t="s">
        <v>10</v>
      </c>
      <c r="F10097" s="1" t="str">
        <f>"fde1:103:4:c823:0:0:0:2"</f>
        <v>fde1:103:4:c823:0:0:0:2</v>
      </c>
      <c r="G10097" s="1" t="str">
        <f>"9727Y251"</f>
        <v>9727Y251</v>
      </c>
      <c r="H10097" s="1" t="str">
        <f>"두산간 3R4"</f>
        <v>두산간 3R4</v>
      </c>
      <c r="I10097" s="1" t="s">
        <v>15</v>
      </c>
      <c r="J10097" s="1" t="str">
        <f>"30/30"</f>
        <v>30/30</v>
      </c>
      <c r="K10097" s="1" t="str">
        <f>"2026-07-29 14:21:42"</f>
        <v>2026-07-29 14:21:42</v>
      </c>
      <c r="L10097" s="1" t="str">
        <f>"2024-12-05 11:33:23"</f>
        <v>2024-12-05 11:33:23</v>
      </c>
      <c r="M10097" s="1" t="s">
        <v>4</v>
      </c>
      <c r="N10097" s="1" t="s">
        <v>38</v>
      </c>
      <c r="O10097" s="1" t="s">
        <v>46</v>
      </c>
    </row>
    <row r="10098" spans="2:15" x14ac:dyDescent="0.3">
      <c r="B10098" s="1" t="s">
        <v>21</v>
      </c>
      <c r="C10098" s="1" t="str">
        <f>"6차"</f>
        <v>6차</v>
      </c>
      <c r="D10098" s="1" t="str">
        <f>"9727Y2636S"</f>
        <v>9727Y2636S</v>
      </c>
      <c r="E10098" s="1" t="s">
        <v>10</v>
      </c>
      <c r="F10098" s="1" t="str">
        <f>"fde1:103:4:c81f:0:0:0:2"</f>
        <v>fde1:103:4:c81f:0:0:0:2</v>
      </c>
      <c r="G10098" s="1" t="str">
        <f>"9727Y263"</f>
        <v>9727Y263</v>
      </c>
      <c r="H10098" s="1" t="str">
        <f>"두산간 3R2C2"</f>
        <v>두산간 3R2C2</v>
      </c>
      <c r="I10098" s="1" t="s">
        <v>15</v>
      </c>
      <c r="J10098" s="1" t="str">
        <f>"8/8"</f>
        <v>8/8</v>
      </c>
      <c r="K10098" s="1" t="str">
        <f>"2026-07-29 14:21:40"</f>
        <v>2026-07-29 14:21:40</v>
      </c>
      <c r="L10098" s="1" t="str">
        <f>"2024-12-05 11:33:18"</f>
        <v>2024-12-05 11:33:18</v>
      </c>
      <c r="M10098" s="1" t="s">
        <v>4</v>
      </c>
      <c r="N10098" s="1" t="s">
        <v>38</v>
      </c>
      <c r="O10098" s="1" t="s">
        <v>46</v>
      </c>
    </row>
    <row r="10099" spans="2:15" x14ac:dyDescent="0.3">
      <c r="B10099" s="1" t="s">
        <v>21</v>
      </c>
      <c r="C10099" s="1" t="str">
        <f>"4차"</f>
        <v>4차</v>
      </c>
      <c r="D10099" s="1" t="str">
        <f>"9727Y36142"</f>
        <v>9727Y36142</v>
      </c>
      <c r="E10099" s="1" t="s">
        <v>10</v>
      </c>
      <c r="F10099" s="1" t="str">
        <f>"10.12.138.166"</f>
        <v>10.12.138.166</v>
      </c>
      <c r="G10099" s="1" t="str">
        <f>"9727Y361"</f>
        <v>9727Y361</v>
      </c>
      <c r="H10099" s="1" t="str">
        <f>"두산간 3R2R1"</f>
        <v>두산간 3R2R1</v>
      </c>
      <c r="I10099" s="1" t="s">
        <v>8</v>
      </c>
      <c r="J10099" s="1" t="str">
        <f>"26/26"</f>
        <v>26/26</v>
      </c>
      <c r="K10099" s="1" t="str">
        <f>"2026-07-29 13:18:12"</f>
        <v>2026-07-29 13:18:12</v>
      </c>
      <c r="L10099" s="1" t="str">
        <f>"2025-09-05 10:34:37"</f>
        <v>2025-09-05 10:34:37</v>
      </c>
      <c r="M10099" s="1" t="s">
        <v>0</v>
      </c>
      <c r="N10099" s="1" t="s">
        <v>38</v>
      </c>
      <c r="O10099" s="1" t="s">
        <v>46</v>
      </c>
    </row>
    <row r="10100" spans="2:15" x14ac:dyDescent="0.3">
      <c r="B10100" s="1" t="s">
        <v>21</v>
      </c>
      <c r="C10100" s="1" t="str">
        <f>"4차"</f>
        <v>4차</v>
      </c>
      <c r="D10100" s="1" t="str">
        <f>"9727Y39144"</f>
        <v>9727Y39144</v>
      </c>
      <c r="E10100" s="1" t="s">
        <v>10</v>
      </c>
      <c r="F10100" s="1" t="str">
        <f>"10.10.71.82"</f>
        <v>10.10.71.82</v>
      </c>
      <c r="G10100" s="1" t="str">
        <f>"9727Y391"</f>
        <v>9727Y391</v>
      </c>
      <c r="H10100" s="1" t="str">
        <f>"백련간 19R1L11"</f>
        <v>백련간 19R1L11</v>
      </c>
      <c r="I10100" s="1" t="s">
        <v>8</v>
      </c>
      <c r="J10100" s="1" t="str">
        <f>"33/33"</f>
        <v>33/33</v>
      </c>
      <c r="K10100" s="1" t="str">
        <f>"2026-07-29 13:18:10"</f>
        <v>2026-07-29 13:18:10</v>
      </c>
      <c r="L10100" s="1" t="str">
        <f>"2019-10-29 18:33:04"</f>
        <v>2019-10-29 18:33:04</v>
      </c>
      <c r="M10100" s="1" t="s">
        <v>1</v>
      </c>
      <c r="N10100" s="1" t="s">
        <v>38</v>
      </c>
      <c r="O10100" s="1" t="s">
        <v>46</v>
      </c>
    </row>
    <row r="10101" spans="2:15" x14ac:dyDescent="0.3">
      <c r="B10101" s="1" t="s">
        <v>21</v>
      </c>
      <c r="C10101" s="1" t="str">
        <f>"4차"</f>
        <v>4차</v>
      </c>
      <c r="D10101" s="1" t="str">
        <f>"9727Y44339"</f>
        <v>9727Y44339</v>
      </c>
      <c r="E10101" s="1" t="s">
        <v>10</v>
      </c>
      <c r="F10101" s="1" t="str">
        <f>"10.12.132.164"</f>
        <v>10.12.132.164</v>
      </c>
      <c r="G10101" s="1" t="str">
        <f>"9727Y443"</f>
        <v>9727Y443</v>
      </c>
      <c r="H10101" s="1" t="str">
        <f>"두산간 4"</f>
        <v>두산간 4</v>
      </c>
      <c r="I10101" s="1" t="s">
        <v>8</v>
      </c>
      <c r="J10101" s="1" t="str">
        <f>"24/24"</f>
        <v>24/24</v>
      </c>
      <c r="K10101" s="1" t="str">
        <f>"2026-07-29 13:18:11"</f>
        <v>2026-07-29 13:18:11</v>
      </c>
      <c r="L10101" s="1" t="str">
        <f>"2018-04-25 18:27:46"</f>
        <v>2018-04-25 18:27:46</v>
      </c>
      <c r="M10101" s="1" t="s">
        <v>0</v>
      </c>
      <c r="N10101" s="1" t="s">
        <v>38</v>
      </c>
      <c r="O10101" s="1" t="s">
        <v>46</v>
      </c>
    </row>
    <row r="10102" spans="2:15" x14ac:dyDescent="0.3">
      <c r="B10102" s="1" t="s">
        <v>21</v>
      </c>
      <c r="C10102" s="1" t="str">
        <f>"1차"</f>
        <v>1차</v>
      </c>
      <c r="D10102" s="1" t="str">
        <f>"9727Y45100"</f>
        <v>9727Y45100</v>
      </c>
      <c r="E10102" s="1" t="s">
        <v>14</v>
      </c>
      <c r="F10102" s="1" t="str">
        <f>"10.128.32.217"</f>
        <v>10.128.32.217</v>
      </c>
      <c r="G10102" s="1" t="str">
        <f>"9727Y451"</f>
        <v>9727Y451</v>
      </c>
      <c r="H10102" s="1" t="str">
        <f>"두산간 1"</f>
        <v>두산간 1</v>
      </c>
      <c r="I10102" s="1" t="s">
        <v>8</v>
      </c>
      <c r="J10102" s="1" t="str">
        <f>"0/0"</f>
        <v>0/0</v>
      </c>
      <c r="K10102" s="1" t="str">
        <f>"2024-06-28 21:20:08"</f>
        <v>2024-06-28 21:20:08</v>
      </c>
      <c r="L10102" s="1" t="str">
        <f>"2014-12-12 13:27:33"</f>
        <v>2014-12-12 13:27:33</v>
      </c>
      <c r="M10102" s="1" t="s">
        <v>45</v>
      </c>
      <c r="N10102" s="1" t="s">
        <v>44</v>
      </c>
      <c r="O10102" s="1" t="s">
        <v>44</v>
      </c>
    </row>
    <row r="10103" spans="2:15" x14ac:dyDescent="0.3">
      <c r="B10103" s="1" t="s">
        <v>21</v>
      </c>
      <c r="C10103" s="1" t="str">
        <f>"4차"</f>
        <v>4차</v>
      </c>
      <c r="D10103" s="1" t="str">
        <f>"9727Y48144"</f>
        <v>9727Y48144</v>
      </c>
      <c r="E10103" s="1" t="s">
        <v>10</v>
      </c>
      <c r="F10103" s="1" t="str">
        <f>"10.10.71.170"</f>
        <v>10.10.71.170</v>
      </c>
      <c r="G10103" s="1" t="str">
        <f>"9727Y481"</f>
        <v>9727Y481</v>
      </c>
      <c r="H10103" s="1" t="str">
        <f>"백련간 19R1L13"</f>
        <v>백련간 19R1L13</v>
      </c>
      <c r="I10103" s="1" t="s">
        <v>8</v>
      </c>
      <c r="J10103" s="1" t="str">
        <f>"28/28"</f>
        <v>28/28</v>
      </c>
      <c r="K10103" s="1" t="str">
        <f>"2026-07-29 13:18:10"</f>
        <v>2026-07-29 13:18:10</v>
      </c>
      <c r="L10103" s="1" t="str">
        <f>"2020-01-10 17:23:32"</f>
        <v>2020-01-10 17:23:32</v>
      </c>
      <c r="M10103" s="1" t="s">
        <v>1</v>
      </c>
      <c r="N10103" s="1" t="s">
        <v>38</v>
      </c>
      <c r="O10103" s="1" t="s">
        <v>46</v>
      </c>
    </row>
    <row r="10104" spans="2:15" x14ac:dyDescent="0.3">
      <c r="B10104" s="1" t="s">
        <v>21</v>
      </c>
      <c r="C10104" s="1" t="str">
        <f>"5-2차"</f>
        <v>5-2차</v>
      </c>
      <c r="D10104" s="1" t="str">
        <f>"9727Y4935M"</f>
        <v>9727Y4935M</v>
      </c>
      <c r="E10104" s="1" t="s">
        <v>10</v>
      </c>
      <c r="F10104" s="1" t="str">
        <f>"fde3:102:1302:3500:0:0:0:2"</f>
        <v>fde3:102:1302:3500:0:0:0:2</v>
      </c>
      <c r="G10104" s="1" t="str">
        <f>"9727Y493"</f>
        <v>9727Y493</v>
      </c>
      <c r="H10104" s="1" t="str">
        <f>"백련간 19R1L12L1"</f>
        <v>백련간 19R1L12L1</v>
      </c>
      <c r="I10104" s="1" t="s">
        <v>15</v>
      </c>
      <c r="J10104" s="1" t="str">
        <f>"13/13"</f>
        <v>13/13</v>
      </c>
      <c r="K10104" s="1" t="str">
        <f>"2026-07-29 14:21:22"</f>
        <v>2026-07-29 14:21:22</v>
      </c>
      <c r="L10104" s="1" t="str">
        <f>"2023-07-24 20:24:22"</f>
        <v>2023-07-24 20:24:22</v>
      </c>
      <c r="M10104" s="1" t="s">
        <v>45</v>
      </c>
      <c r="N10104" s="1" t="s">
        <v>38</v>
      </c>
      <c r="O10104" s="1" t="s">
        <v>46</v>
      </c>
    </row>
    <row r="10105" spans="2:15" x14ac:dyDescent="0.3">
      <c r="B10105" s="1" t="s">
        <v>21</v>
      </c>
      <c r="C10105" s="1" t="str">
        <f>"4차"</f>
        <v>4차</v>
      </c>
      <c r="D10105" s="1" t="str">
        <f>"9727Y51244"</f>
        <v>9727Y51244</v>
      </c>
      <c r="E10105" s="1" t="s">
        <v>10</v>
      </c>
      <c r="F10105" s="1" t="str">
        <f>"10.10.69.202"</f>
        <v>10.10.69.202</v>
      </c>
      <c r="G10105" s="1" t="str">
        <f>"9727Y512"</f>
        <v>9727Y512</v>
      </c>
      <c r="H10105" s="1" t="str">
        <f>"백련간 39"</f>
        <v>백련간 39</v>
      </c>
      <c r="I10105" s="1" t="s">
        <v>8</v>
      </c>
      <c r="J10105" s="1" t="str">
        <f>"37/37"</f>
        <v>37/37</v>
      </c>
      <c r="K10105" s="1" t="str">
        <f>"2026-07-29 13:18:10"</f>
        <v>2026-07-29 13:18:10</v>
      </c>
      <c r="L10105" s="1" t="str">
        <f>"2020-01-10 17:18:52"</f>
        <v>2020-01-10 17:18:52</v>
      </c>
      <c r="M10105" s="1" t="s">
        <v>1</v>
      </c>
      <c r="N10105" s="1" t="s">
        <v>38</v>
      </c>
      <c r="O10105" s="1" t="s">
        <v>46</v>
      </c>
    </row>
    <row r="10106" spans="2:15" x14ac:dyDescent="0.3">
      <c r="B10106" s="1" t="s">
        <v>21</v>
      </c>
      <c r="C10106" s="1" t="str">
        <f>"4차"</f>
        <v>4차</v>
      </c>
      <c r="D10106" s="1" t="str">
        <f>"9727Y53444"</f>
        <v>9727Y53444</v>
      </c>
      <c r="E10106" s="1" t="s">
        <v>10</v>
      </c>
      <c r="F10106" s="1" t="str">
        <f>"10.10.73.170"</f>
        <v>10.10.73.170</v>
      </c>
      <c r="G10106" s="1" t="str">
        <f>"9727Y534"</f>
        <v>9727Y534</v>
      </c>
      <c r="H10106" s="1" t="str">
        <f>"백련간 36R1"</f>
        <v>백련간 36R1</v>
      </c>
      <c r="I10106" s="1" t="s">
        <v>8</v>
      </c>
      <c r="J10106" s="1" t="str">
        <f>"26/26"</f>
        <v>26/26</v>
      </c>
      <c r="K10106" s="1" t="str">
        <f>"2026-07-29 13:18:10"</f>
        <v>2026-07-29 13:18:10</v>
      </c>
      <c r="L10106" s="1" t="str">
        <f>"2019-10-24 17:39:51"</f>
        <v>2019-10-24 17:39:51</v>
      </c>
      <c r="M10106" s="1" t="s">
        <v>1</v>
      </c>
      <c r="N10106" s="1" t="s">
        <v>38</v>
      </c>
      <c r="O10106" s="1" t="s">
        <v>46</v>
      </c>
    </row>
    <row r="10107" spans="2:15" x14ac:dyDescent="0.3">
      <c r="B10107" s="1" t="s">
        <v>21</v>
      </c>
      <c r="C10107" s="1" t="str">
        <f>"4차"</f>
        <v>4차</v>
      </c>
      <c r="D10107" s="1" t="str">
        <f>"9727Y75144"</f>
        <v>9727Y75144</v>
      </c>
      <c r="E10107" s="1" t="s">
        <v>10</v>
      </c>
      <c r="F10107" s="1" t="str">
        <f>"10.10.111.186"</f>
        <v>10.10.111.186</v>
      </c>
      <c r="G10107" s="1" t="str">
        <f>"9727Y751"</f>
        <v>9727Y751</v>
      </c>
      <c r="H10107" s="1" t="str">
        <f>"고은간 37"</f>
        <v>고은간 37</v>
      </c>
      <c r="I10107" s="1" t="s">
        <v>8</v>
      </c>
      <c r="J10107" s="1" t="str">
        <f>"12/12"</f>
        <v>12/12</v>
      </c>
      <c r="K10107" s="1" t="str">
        <f>"2026-07-29 13:18:10"</f>
        <v>2026-07-29 13:18:10</v>
      </c>
      <c r="L10107" s="1" t="str">
        <f>"2019-09-30 16:23:05"</f>
        <v>2019-09-30 16:23:05</v>
      </c>
      <c r="M10107" s="1" t="s">
        <v>1</v>
      </c>
      <c r="N10107" s="1" t="s">
        <v>38</v>
      </c>
      <c r="O10107" s="1" t="s">
        <v>46</v>
      </c>
    </row>
    <row r="10108" spans="2:15" x14ac:dyDescent="0.3">
      <c r="B10108" s="1" t="s">
        <v>21</v>
      </c>
      <c r="C10108" s="1" t="str">
        <f>"4차"</f>
        <v>4차</v>
      </c>
      <c r="D10108" s="1" t="str">
        <f>"9727Y76244"</f>
        <v>9727Y76244</v>
      </c>
      <c r="E10108" s="1" t="s">
        <v>10</v>
      </c>
      <c r="F10108" s="1" t="str">
        <f>"10.128.99.6"</f>
        <v>10.128.99.6</v>
      </c>
      <c r="G10108" s="1" t="str">
        <f>"9727Y762"</f>
        <v>9727Y762</v>
      </c>
      <c r="H10108" s="1" t="str">
        <f>"고은간 36"</f>
        <v>고은간 36</v>
      </c>
      <c r="I10108" s="1" t="s">
        <v>8</v>
      </c>
      <c r="J10108" s="1" t="str">
        <f>"34/35"</f>
        <v>34/35</v>
      </c>
      <c r="K10108" s="1" t="str">
        <f>"2026-07-29 13:18:12"</f>
        <v>2026-07-29 13:18:12</v>
      </c>
      <c r="L10108" s="1" t="str">
        <f>"2020-01-09 10:39:29"</f>
        <v>2020-01-09 10:39:29</v>
      </c>
      <c r="M10108" s="1" t="s">
        <v>45</v>
      </c>
      <c r="N10108" s="1" t="s">
        <v>38</v>
      </c>
      <c r="O10108" s="1" t="s">
        <v>46</v>
      </c>
    </row>
    <row r="10109" spans="2:15" x14ac:dyDescent="0.3">
      <c r="B10109" s="1" t="s">
        <v>21</v>
      </c>
      <c r="C10109" s="1" t="str">
        <f>"6차"</f>
        <v>6차</v>
      </c>
      <c r="D10109" s="1" t="str">
        <f>"9727Y7836S"</f>
        <v>9727Y7836S</v>
      </c>
      <c r="E10109" s="1" t="s">
        <v>10</v>
      </c>
      <c r="F10109" s="1" t="str">
        <f>"fde1:103:4:9170:0:0:0:2"</f>
        <v>fde1:103:4:9170:0:0:0:2</v>
      </c>
      <c r="G10109" s="1" t="str">
        <f>"9727Y783"</f>
        <v>9727Y783</v>
      </c>
      <c r="H10109" s="1" t="str">
        <f>"고은간 32R1"</f>
        <v>고은간 32R1</v>
      </c>
      <c r="I10109" s="1" t="s">
        <v>15</v>
      </c>
      <c r="J10109" s="1" t="str">
        <f>"21/21"</f>
        <v>21/21</v>
      </c>
      <c r="K10109" s="1" t="str">
        <f>"2026-07-29 14:21:46"</f>
        <v>2026-07-29 14:21:46</v>
      </c>
      <c r="L10109" s="1" t="str">
        <f>"2025-02-20 17:36:15"</f>
        <v>2025-02-20 17:36:15</v>
      </c>
      <c r="M10109" s="1" t="s">
        <v>4</v>
      </c>
      <c r="N10109" s="1" t="s">
        <v>38</v>
      </c>
      <c r="O10109" s="1" t="s">
        <v>46</v>
      </c>
    </row>
    <row r="10110" spans="2:15" x14ac:dyDescent="0.3">
      <c r="B10110" s="1" t="s">
        <v>21</v>
      </c>
      <c r="C10110" s="1" t="str">
        <f>"6차"</f>
        <v>6차</v>
      </c>
      <c r="D10110" s="1" t="str">
        <f>"9727Y7946S"</f>
        <v>9727Y7946S</v>
      </c>
      <c r="E10110" s="1" t="s">
        <v>10</v>
      </c>
      <c r="F10110" s="1" t="str">
        <f>"fde1:103:4:c74b:0:0:0:2"</f>
        <v>fde1:103:4:c74b:0:0:0:2</v>
      </c>
      <c r="G10110" s="1" t="str">
        <f>"9727Y794"</f>
        <v>9727Y794</v>
      </c>
      <c r="H10110" s="1" t="str">
        <f>"고은간 32R2"</f>
        <v>고은간 32R2</v>
      </c>
      <c r="I10110" s="1" t="s">
        <v>15</v>
      </c>
      <c r="J10110" s="1" t="str">
        <f>"42/44"</f>
        <v>42/44</v>
      </c>
      <c r="K10110" s="1" t="str">
        <f>"2026-07-29 14:21:41"</f>
        <v>2026-07-29 14:21:41</v>
      </c>
      <c r="L10110" s="1" t="str">
        <f>"2025-01-17 17:37:50"</f>
        <v>2025-01-17 17:37:50</v>
      </c>
      <c r="M10110" s="1" t="s">
        <v>4</v>
      </c>
      <c r="N10110" s="1" t="s">
        <v>38</v>
      </c>
      <c r="O10110" s="1" t="s">
        <v>46</v>
      </c>
    </row>
    <row r="10111" spans="2:15" x14ac:dyDescent="0.3">
      <c r="B10111" s="1" t="s">
        <v>21</v>
      </c>
      <c r="C10111" s="1" t="str">
        <f>"4차"</f>
        <v>4차</v>
      </c>
      <c r="D10111" s="1" t="str">
        <f>"9727Y86144"</f>
        <v>9727Y86144</v>
      </c>
      <c r="E10111" s="1" t="s">
        <v>10</v>
      </c>
      <c r="F10111" s="1" t="str">
        <f>"10.10.111.170"</f>
        <v>10.10.111.170</v>
      </c>
      <c r="G10111" s="1" t="str">
        <f>"9727Y861"</f>
        <v>9727Y861</v>
      </c>
      <c r="H10111" s="1" t="str">
        <f>"고은간 30L4"</f>
        <v>고은간 30L4</v>
      </c>
      <c r="I10111" s="1" t="s">
        <v>8</v>
      </c>
      <c r="J10111" s="1" t="str">
        <f>"13/14"</f>
        <v>13/14</v>
      </c>
      <c r="K10111" s="1" t="str">
        <f>"2026-07-29 13:18:10"</f>
        <v>2026-07-29 13:18:10</v>
      </c>
      <c r="L10111" s="1" t="str">
        <f>"2020-01-16 15:58:58"</f>
        <v>2020-01-16 15:58:58</v>
      </c>
      <c r="M10111" s="1" t="s">
        <v>1</v>
      </c>
      <c r="N10111" s="1" t="s">
        <v>38</v>
      </c>
      <c r="O10111" s="1" t="s">
        <v>46</v>
      </c>
    </row>
    <row r="10112" spans="2:15" x14ac:dyDescent="0.3">
      <c r="B10112" s="1" t="s">
        <v>21</v>
      </c>
      <c r="C10112" s="1" t="str">
        <f>"1차"</f>
        <v>1차</v>
      </c>
      <c r="D10112" s="1" t="str">
        <f>"9727Y88100"</f>
        <v>9727Y88100</v>
      </c>
      <c r="E10112" s="1" t="s">
        <v>10</v>
      </c>
      <c r="F10112" s="1" t="str">
        <f>"10.128.32.224"</f>
        <v>10.128.32.224</v>
      </c>
      <c r="G10112" s="1" t="str">
        <f>"9727Y881"</f>
        <v>9727Y881</v>
      </c>
      <c r="H10112" s="1" t="str">
        <f>"고은간 30"</f>
        <v>고은간 30</v>
      </c>
      <c r="I10112" s="1" t="s">
        <v>8</v>
      </c>
      <c r="J10112" s="1" t="str">
        <f>"16/16"</f>
        <v>16/16</v>
      </c>
      <c r="K10112" s="1" t="str">
        <f>"2026-07-29 13:18:12"</f>
        <v>2026-07-29 13:18:12</v>
      </c>
      <c r="L10112" s="1" t="str">
        <f>"2014-12-23 14:16:30"</f>
        <v>2014-12-23 14:16:30</v>
      </c>
      <c r="M10112" s="1" t="s">
        <v>45</v>
      </c>
      <c r="N10112" s="1" t="s">
        <v>38</v>
      </c>
      <c r="O10112" s="1" t="s">
        <v>46</v>
      </c>
    </row>
    <row r="10113" spans="2:15" x14ac:dyDescent="0.3">
      <c r="B10113" s="1" t="s">
        <v>21</v>
      </c>
      <c r="C10113" s="1" t="str">
        <f>"1차"</f>
        <v>1차</v>
      </c>
      <c r="D10113" s="1" t="str">
        <f>"9727Y88401"</f>
        <v>9727Y88401</v>
      </c>
      <c r="E10113" s="1" t="s">
        <v>10</v>
      </c>
      <c r="F10113" s="1" t="str">
        <f>"10.12.128.179"</f>
        <v>10.12.128.179</v>
      </c>
      <c r="G10113" s="1" t="str">
        <f>"9727Y884"</f>
        <v>9727Y884</v>
      </c>
      <c r="H10113" s="1" t="str">
        <f>"고은간 31"</f>
        <v>고은간 31</v>
      </c>
      <c r="I10113" s="1" t="s">
        <v>8</v>
      </c>
      <c r="J10113" s="1" t="str">
        <f>"2/2"</f>
        <v>2/2</v>
      </c>
      <c r="K10113" s="1" t="str">
        <f>"2026-07-29 13:18:13"</f>
        <v>2026-07-29 13:18:13</v>
      </c>
      <c r="L10113" s="1" t="str">
        <f>"2014-12-23 14:12:33"</f>
        <v>2014-12-23 14:12:33</v>
      </c>
      <c r="M10113" s="1" t="s">
        <v>0</v>
      </c>
      <c r="N10113" s="1" t="s">
        <v>38</v>
      </c>
      <c r="O10113" s="1" t="s">
        <v>46</v>
      </c>
    </row>
    <row r="10114" spans="2:15" x14ac:dyDescent="0.3">
      <c r="B10114" s="1" t="s">
        <v>21</v>
      </c>
      <c r="C10114" s="1" t="str">
        <f>"4차"</f>
        <v>4차</v>
      </c>
      <c r="D10114" s="1" t="str">
        <f>"9727Y96144"</f>
        <v>9727Y96144</v>
      </c>
      <c r="E10114" s="1" t="s">
        <v>10</v>
      </c>
      <c r="F10114" s="1" t="str">
        <f>"10.10.111.114"</f>
        <v>10.10.111.114</v>
      </c>
      <c r="G10114" s="1" t="str">
        <f>"9727Y961"</f>
        <v>9727Y961</v>
      </c>
      <c r="H10114" s="1" t="str">
        <f>"고은간 30L2L3"</f>
        <v>고은간 30L2L3</v>
      </c>
      <c r="I10114" s="1" t="s">
        <v>8</v>
      </c>
      <c r="J10114" s="1" t="str">
        <f>"43/43"</f>
        <v>43/43</v>
      </c>
      <c r="K10114" s="1" t="str">
        <f>"2026-07-29 13:18:10"</f>
        <v>2026-07-29 13:18:10</v>
      </c>
      <c r="L10114" s="1" t="str">
        <f>"2021-07-27 09:59:45"</f>
        <v>2021-07-27 09:59:45</v>
      </c>
      <c r="M10114" s="1" t="s">
        <v>1</v>
      </c>
      <c r="N10114" s="1" t="s">
        <v>38</v>
      </c>
      <c r="O10114" s="1" t="s">
        <v>46</v>
      </c>
    </row>
    <row r="10115" spans="2:15" x14ac:dyDescent="0.3">
      <c r="B10115" s="1" t="s">
        <v>21</v>
      </c>
      <c r="C10115" s="1" t="str">
        <f>"4차"</f>
        <v>4차</v>
      </c>
      <c r="D10115" s="1" t="str">
        <f>"9727Y97144"</f>
        <v>9727Y97144</v>
      </c>
      <c r="E10115" s="1" t="s">
        <v>10</v>
      </c>
      <c r="F10115" s="1" t="str">
        <f>"10.10.78.106"</f>
        <v>10.10.78.106</v>
      </c>
      <c r="G10115" s="1" t="str">
        <f>"9727Y971"</f>
        <v>9727Y971</v>
      </c>
      <c r="H10115" s="1" t="str">
        <f>"고은간 30L2L4"</f>
        <v>고은간 30L2L4</v>
      </c>
      <c r="I10115" s="1" t="s">
        <v>8</v>
      </c>
      <c r="J10115" s="1" t="str">
        <f>"44/44"</f>
        <v>44/44</v>
      </c>
      <c r="K10115" s="1" t="str">
        <f>"2026-07-29 13:18:10"</f>
        <v>2026-07-29 13:18:10</v>
      </c>
      <c r="L10115" s="1" t="str">
        <f>"2019-09-30 16:17:30"</f>
        <v>2019-09-30 16:17:30</v>
      </c>
      <c r="M10115" s="1" t="s">
        <v>1</v>
      </c>
      <c r="N10115" s="1" t="s">
        <v>38</v>
      </c>
      <c r="O10115" s="1" t="s">
        <v>46</v>
      </c>
    </row>
    <row r="10116" spans="2:15" x14ac:dyDescent="0.3">
      <c r="B10116" s="1" t="s">
        <v>21</v>
      </c>
      <c r="C10116" s="1" t="str">
        <f>"4차"</f>
        <v>4차</v>
      </c>
      <c r="D10116" s="1" t="str">
        <f>"9727Y99144"</f>
        <v>9727Y99144</v>
      </c>
      <c r="E10116" s="1" t="s">
        <v>10</v>
      </c>
      <c r="F10116" s="1" t="str">
        <f>"10.10.78.98"</f>
        <v>10.10.78.98</v>
      </c>
      <c r="G10116" s="1" t="str">
        <f>"9727Y991"</f>
        <v>9727Y991</v>
      </c>
      <c r="H10116" s="1" t="str">
        <f>"고은간 29"</f>
        <v>고은간 29</v>
      </c>
      <c r="I10116" s="1" t="s">
        <v>8</v>
      </c>
      <c r="J10116" s="1" t="str">
        <f>"8/8"</f>
        <v>8/8</v>
      </c>
      <c r="K10116" s="1" t="str">
        <f>"2026-07-29 13:18:12"</f>
        <v>2026-07-29 13:18:12</v>
      </c>
      <c r="L10116" s="1" t="str">
        <f>"2019-09-30 15:46:15"</f>
        <v>2019-09-30 15:46:15</v>
      </c>
      <c r="M10116" s="1" t="s">
        <v>1</v>
      </c>
      <c r="N10116" s="1" t="s">
        <v>38</v>
      </c>
      <c r="O10116" s="1" t="s">
        <v>46</v>
      </c>
    </row>
    <row r="10117" spans="2:15" x14ac:dyDescent="0.3">
      <c r="B10117" s="1" t="s">
        <v>21</v>
      </c>
      <c r="C10117" s="1" t="str">
        <f>"1차"</f>
        <v>1차</v>
      </c>
      <c r="D10117" s="1" t="str">
        <f>"9727Y99200"</f>
        <v>9727Y99200</v>
      </c>
      <c r="E10117" s="1" t="s">
        <v>10</v>
      </c>
      <c r="F10117" s="1" t="str">
        <f>"10.128.99.5"</f>
        <v>10.128.99.5</v>
      </c>
      <c r="G10117" s="1" t="str">
        <f>"9727Y992"</f>
        <v>9727Y992</v>
      </c>
      <c r="H10117" s="1" t="str">
        <f>"고은간 28"</f>
        <v>고은간 28</v>
      </c>
      <c r="I10117" s="1" t="s">
        <v>8</v>
      </c>
      <c r="J10117" s="1" t="str">
        <f>"10/10"</f>
        <v>10/10</v>
      </c>
      <c r="K10117" s="1" t="str">
        <f>"2026-07-29 13:18:10"</f>
        <v>2026-07-29 13:18:10</v>
      </c>
      <c r="L10117" s="1" t="str">
        <f>"2014-12-19 02:28:05"</f>
        <v>2014-12-19 02:28:05</v>
      </c>
      <c r="M10117" s="1" t="s">
        <v>45</v>
      </c>
      <c r="N10117" s="1" t="s">
        <v>38</v>
      </c>
      <c r="O10117" s="1" t="s">
        <v>46</v>
      </c>
    </row>
    <row r="10118" spans="2:15" x14ac:dyDescent="0.3">
      <c r="B10118" s="1" t="s">
        <v>21</v>
      </c>
      <c r="C10118" s="1" t="str">
        <f>"5-2차"</f>
        <v>5-2차</v>
      </c>
      <c r="D10118" s="1" t="str">
        <f>"9727Z0915M"</f>
        <v>9727Z0915M</v>
      </c>
      <c r="E10118" s="1" t="s">
        <v>10</v>
      </c>
      <c r="F10118" s="1" t="str">
        <f>"fde3:102:1302:102:0:0:0:2"</f>
        <v>fde3:102:1302:102:0:0:0:2</v>
      </c>
      <c r="G10118" s="1" t="str">
        <f>"9727Z091"</f>
        <v>9727Z091</v>
      </c>
      <c r="H10118" s="1" t="str">
        <f>"고은간 27"</f>
        <v>고은간 27</v>
      </c>
      <c r="I10118" s="1" t="s">
        <v>15</v>
      </c>
      <c r="J10118" s="1" t="str">
        <f>"11/11"</f>
        <v>11/11</v>
      </c>
      <c r="K10118" s="1" t="str">
        <f>"2026-07-29 14:21:40"</f>
        <v>2026-07-29 14:21:40</v>
      </c>
      <c r="L10118" s="1" t="str">
        <f>"2024-01-26 13:27:24"</f>
        <v>2024-01-26 13:27:24</v>
      </c>
      <c r="M10118" s="1" t="s">
        <v>45</v>
      </c>
      <c r="N10118" s="1" t="s">
        <v>38</v>
      </c>
      <c r="O10118" s="1" t="s">
        <v>46</v>
      </c>
    </row>
    <row r="10119" spans="2:15" x14ac:dyDescent="0.3">
      <c r="B10119" s="1" t="s">
        <v>21</v>
      </c>
      <c r="C10119" s="1" t="str">
        <f t="shared" ref="C10119:C10129" si="515">"4차"</f>
        <v>4차</v>
      </c>
      <c r="D10119" s="1" t="str">
        <f>"9727Z77144"</f>
        <v>9727Z77144</v>
      </c>
      <c r="E10119" s="1" t="s">
        <v>10</v>
      </c>
      <c r="F10119" s="1" t="str">
        <f>"10.10.122.26"</f>
        <v>10.10.122.26</v>
      </c>
      <c r="G10119" s="1" t="str">
        <f>"9727Z771"</f>
        <v>9727Z771</v>
      </c>
      <c r="H10119" s="1" t="str">
        <f>"고은간 12L8R2"</f>
        <v>고은간 12L8R2</v>
      </c>
      <c r="I10119" s="1" t="s">
        <v>8</v>
      </c>
      <c r="J10119" s="1" t="str">
        <f>"15/15"</f>
        <v>15/15</v>
      </c>
      <c r="K10119" s="1" t="str">
        <f>"2026-07-29 13:18:11"</f>
        <v>2026-07-29 13:18:11</v>
      </c>
      <c r="L10119" s="1" t="str">
        <f>"2019-09-24 18:45:11"</f>
        <v>2019-09-24 18:45:11</v>
      </c>
      <c r="M10119" s="1" t="s">
        <v>1</v>
      </c>
      <c r="N10119" s="1" t="s">
        <v>38</v>
      </c>
      <c r="O10119" s="1" t="s">
        <v>46</v>
      </c>
    </row>
    <row r="10120" spans="2:15" x14ac:dyDescent="0.3">
      <c r="B10120" s="1" t="s">
        <v>21</v>
      </c>
      <c r="C10120" s="1" t="str">
        <f t="shared" si="515"/>
        <v>4차</v>
      </c>
      <c r="D10120" s="1" t="str">
        <f>"9727Z78244"</f>
        <v>9727Z78244</v>
      </c>
      <c r="E10120" s="1" t="s">
        <v>10</v>
      </c>
      <c r="F10120" s="1" t="str">
        <f>"10.10.78.82"</f>
        <v>10.10.78.82</v>
      </c>
      <c r="G10120" s="1" t="str">
        <f>"9727Z782"</f>
        <v>9727Z782</v>
      </c>
      <c r="H10120" s="1" t="str">
        <f>"고은간 12L8R4"</f>
        <v>고은간 12L8R4</v>
      </c>
      <c r="I10120" s="1" t="s">
        <v>8</v>
      </c>
      <c r="J10120" s="1" t="str">
        <f>"61/61"</f>
        <v>61/61</v>
      </c>
      <c r="K10120" s="1" t="str">
        <f t="shared" ref="K10120:K10132" si="516">"2026-07-29 13:18:10"</f>
        <v>2026-07-29 13:18:10</v>
      </c>
      <c r="L10120" s="1" t="str">
        <f>"2019-09-24 18:42:39"</f>
        <v>2019-09-24 18:42:39</v>
      </c>
      <c r="M10120" s="1" t="s">
        <v>1</v>
      </c>
      <c r="N10120" s="1" t="s">
        <v>38</v>
      </c>
      <c r="O10120" s="1" t="s">
        <v>46</v>
      </c>
    </row>
    <row r="10121" spans="2:15" x14ac:dyDescent="0.3">
      <c r="B10121" s="1" t="s">
        <v>21</v>
      </c>
      <c r="C10121" s="1" t="str">
        <f t="shared" si="515"/>
        <v>4차</v>
      </c>
      <c r="D10121" s="1" t="str">
        <f>"9727Z86344"</f>
        <v>9727Z86344</v>
      </c>
      <c r="E10121" s="1" t="s">
        <v>10</v>
      </c>
      <c r="F10121" s="1" t="str">
        <f>"10.10.99.82"</f>
        <v>10.10.99.82</v>
      </c>
      <c r="G10121" s="1" t="str">
        <f>"9727Z863"</f>
        <v>9727Z863</v>
      </c>
      <c r="H10121" s="1" t="str">
        <f>"고은간 12L8R1"</f>
        <v>고은간 12L8R1</v>
      </c>
      <c r="I10121" s="1" t="s">
        <v>8</v>
      </c>
      <c r="J10121" s="1" t="str">
        <f>"76/76"</f>
        <v>76/76</v>
      </c>
      <c r="K10121" s="1" t="str">
        <f t="shared" si="516"/>
        <v>2026-07-29 13:18:10</v>
      </c>
      <c r="L10121" s="1" t="str">
        <f>"2020-01-10 17:18:00"</f>
        <v>2020-01-10 17:18:00</v>
      </c>
      <c r="M10121" s="1" t="s">
        <v>1</v>
      </c>
      <c r="N10121" s="1" t="s">
        <v>38</v>
      </c>
      <c r="O10121" s="1" t="s">
        <v>46</v>
      </c>
    </row>
    <row r="10122" spans="2:15" x14ac:dyDescent="0.3">
      <c r="B10122" s="1" t="s">
        <v>21</v>
      </c>
      <c r="C10122" s="1" t="str">
        <f t="shared" si="515"/>
        <v>4차</v>
      </c>
      <c r="D10122" s="1" t="str">
        <f>"9727Z88244"</f>
        <v>9727Z88244</v>
      </c>
      <c r="E10122" s="1" t="s">
        <v>10</v>
      </c>
      <c r="F10122" s="1" t="str">
        <f>"10.10.99.74"</f>
        <v>10.10.99.74</v>
      </c>
      <c r="G10122" s="1" t="str">
        <f>"9727Z882"</f>
        <v>9727Z882</v>
      </c>
      <c r="H10122" s="1" t="str">
        <f>"고은간 12L6R2"</f>
        <v>고은간 12L6R2</v>
      </c>
      <c r="I10122" s="1" t="s">
        <v>8</v>
      </c>
      <c r="J10122" s="1" t="str">
        <f>"52/53"</f>
        <v>52/53</v>
      </c>
      <c r="K10122" s="1" t="str">
        <f t="shared" si="516"/>
        <v>2026-07-29 13:18:10</v>
      </c>
      <c r="L10122" s="1" t="str">
        <f>"2019-09-24 17:30:31"</f>
        <v>2019-09-24 17:30:31</v>
      </c>
      <c r="M10122" s="1" t="s">
        <v>1</v>
      </c>
      <c r="N10122" s="1" t="s">
        <v>38</v>
      </c>
      <c r="O10122" s="1" t="s">
        <v>46</v>
      </c>
    </row>
    <row r="10123" spans="2:15" x14ac:dyDescent="0.3">
      <c r="B10123" s="1" t="s">
        <v>21</v>
      </c>
      <c r="C10123" s="1" t="str">
        <f t="shared" si="515"/>
        <v>4차</v>
      </c>
      <c r="D10123" s="1" t="str">
        <f>"9727Z97144"</f>
        <v>9727Z97144</v>
      </c>
      <c r="E10123" s="1" t="s">
        <v>10</v>
      </c>
      <c r="F10123" s="1" t="str">
        <f>"10.10.99.66"</f>
        <v>10.10.99.66</v>
      </c>
      <c r="G10123" s="1" t="str">
        <f>"9727Z971"</f>
        <v>9727Z971</v>
      </c>
      <c r="H10123" s="1" t="str">
        <f>"고은간 12L6L2"</f>
        <v>고은간 12L6L2</v>
      </c>
      <c r="I10123" s="1" t="s">
        <v>8</v>
      </c>
      <c r="J10123" s="1" t="str">
        <f>"28/28"</f>
        <v>28/28</v>
      </c>
      <c r="K10123" s="1" t="str">
        <f t="shared" si="516"/>
        <v>2026-07-29 13:18:10</v>
      </c>
      <c r="L10123" s="1" t="str">
        <f>"2019-09-24 17:31:30"</f>
        <v>2019-09-24 17:31:30</v>
      </c>
      <c r="M10123" s="1" t="s">
        <v>1</v>
      </c>
      <c r="N10123" s="1" t="s">
        <v>38</v>
      </c>
      <c r="O10123" s="1" t="s">
        <v>46</v>
      </c>
    </row>
    <row r="10124" spans="2:15" x14ac:dyDescent="0.3">
      <c r="B10124" s="1" t="s">
        <v>21</v>
      </c>
      <c r="C10124" s="1" t="str">
        <f t="shared" si="515"/>
        <v>4차</v>
      </c>
      <c r="D10124" s="1" t="str">
        <f>"9727Z98244"</f>
        <v>9727Z98244</v>
      </c>
      <c r="E10124" s="1" t="s">
        <v>10</v>
      </c>
      <c r="F10124" s="1" t="str">
        <f>"10.10.121.218"</f>
        <v>10.10.121.218</v>
      </c>
      <c r="G10124" s="1" t="str">
        <f>"9727Z982"</f>
        <v>9727Z982</v>
      </c>
      <c r="H10124" s="1" t="str">
        <f>"고은간 12L5"</f>
        <v>고은간 12L5</v>
      </c>
      <c r="I10124" s="1" t="s">
        <v>8</v>
      </c>
      <c r="J10124" s="1" t="str">
        <f>"6/19"</f>
        <v>6/19</v>
      </c>
      <c r="K10124" s="1" t="str">
        <f t="shared" si="516"/>
        <v>2026-07-29 13:18:10</v>
      </c>
      <c r="L10124" s="1" t="str">
        <f>"2019-09-24 18:41:40"</f>
        <v>2019-09-24 18:41:40</v>
      </c>
      <c r="M10124" s="1" t="s">
        <v>1</v>
      </c>
      <c r="N10124" s="1" t="s">
        <v>38</v>
      </c>
      <c r="O10124" s="1" t="s">
        <v>46</v>
      </c>
    </row>
    <row r="10125" spans="2:15" x14ac:dyDescent="0.3">
      <c r="B10125" s="1" t="s">
        <v>21</v>
      </c>
      <c r="C10125" s="1" t="str">
        <f t="shared" si="515"/>
        <v>4차</v>
      </c>
      <c r="D10125" s="1" t="str">
        <f>"9727Z98544"</f>
        <v>9727Z98544</v>
      </c>
      <c r="E10125" s="1" t="s">
        <v>10</v>
      </c>
      <c r="F10125" s="1" t="str">
        <f>"10.10.99.58"</f>
        <v>10.10.99.58</v>
      </c>
      <c r="G10125" s="1" t="str">
        <f>"9727Z985"</f>
        <v>9727Z985</v>
      </c>
      <c r="H10125" s="1" t="str">
        <f>"고은간 12L5L1"</f>
        <v>고은간 12L5L1</v>
      </c>
      <c r="I10125" s="1" t="s">
        <v>8</v>
      </c>
      <c r="J10125" s="1" t="str">
        <f>"32/32"</f>
        <v>32/32</v>
      </c>
      <c r="K10125" s="1" t="str">
        <f t="shared" si="516"/>
        <v>2026-07-29 13:18:10</v>
      </c>
      <c r="L10125" s="1" t="str">
        <f>"2019-10-14 19:13:05"</f>
        <v>2019-10-14 19:13:05</v>
      </c>
      <c r="M10125" s="1" t="s">
        <v>1</v>
      </c>
      <c r="N10125" s="1" t="s">
        <v>38</v>
      </c>
      <c r="O10125" s="1" t="s">
        <v>46</v>
      </c>
    </row>
    <row r="10126" spans="2:15" x14ac:dyDescent="0.3">
      <c r="B10126" s="1" t="s">
        <v>21</v>
      </c>
      <c r="C10126" s="1" t="str">
        <f t="shared" si="515"/>
        <v>4차</v>
      </c>
      <c r="D10126" s="1" t="str">
        <f>"9727Z99144"</f>
        <v>9727Z99144</v>
      </c>
      <c r="E10126" s="1" t="s">
        <v>10</v>
      </c>
      <c r="F10126" s="1" t="str">
        <f>"10.10.99.50"</f>
        <v>10.10.99.50</v>
      </c>
      <c r="G10126" s="1" t="str">
        <f>"9727Z991"</f>
        <v>9727Z991</v>
      </c>
      <c r="H10126" s="1" t="str">
        <f>"고은간 12L4"</f>
        <v>고은간 12L4</v>
      </c>
      <c r="I10126" s="1" t="s">
        <v>8</v>
      </c>
      <c r="J10126" s="1" t="str">
        <f>"54/54"</f>
        <v>54/54</v>
      </c>
      <c r="K10126" s="1" t="str">
        <f t="shared" si="516"/>
        <v>2026-07-29 13:18:10</v>
      </c>
      <c r="L10126" s="1" t="str">
        <f>"2019-09-24 18:43:12"</f>
        <v>2019-09-24 18:43:12</v>
      </c>
      <c r="M10126" s="1" t="s">
        <v>1</v>
      </c>
      <c r="N10126" s="1" t="s">
        <v>38</v>
      </c>
      <c r="O10126" s="1" t="s">
        <v>46</v>
      </c>
    </row>
    <row r="10127" spans="2:15" x14ac:dyDescent="0.3">
      <c r="B10127" s="1" t="s">
        <v>21</v>
      </c>
      <c r="C10127" s="1" t="str">
        <f t="shared" si="515"/>
        <v>4차</v>
      </c>
      <c r="D10127" s="1" t="str">
        <f>"9727Z99244"</f>
        <v>9727Z99244</v>
      </c>
      <c r="E10127" s="1" t="s">
        <v>10</v>
      </c>
      <c r="F10127" s="1" t="str">
        <f>"10.10.121.186"</f>
        <v>10.10.121.186</v>
      </c>
      <c r="G10127" s="1" t="str">
        <f>"9727Z992"</f>
        <v>9727Z992</v>
      </c>
      <c r="H10127" s="1" t="str">
        <f>"고은간 12L3"</f>
        <v>고은간 12L3</v>
      </c>
      <c r="I10127" s="1" t="s">
        <v>8</v>
      </c>
      <c r="J10127" s="1" t="str">
        <f>"1/1"</f>
        <v>1/1</v>
      </c>
      <c r="K10127" s="1" t="str">
        <f t="shared" si="516"/>
        <v>2026-07-29 13:18:10</v>
      </c>
      <c r="L10127" s="1" t="str">
        <f>"2019-09-24 17:23:05"</f>
        <v>2019-09-24 17:23:05</v>
      </c>
      <c r="M10127" s="1" t="s">
        <v>1</v>
      </c>
      <c r="N10127" s="1" t="s">
        <v>38</v>
      </c>
      <c r="O10127" s="1" t="s">
        <v>46</v>
      </c>
    </row>
    <row r="10128" spans="2:15" x14ac:dyDescent="0.3">
      <c r="B10128" s="1" t="s">
        <v>21</v>
      </c>
      <c r="C10128" s="1" t="str">
        <f t="shared" si="515"/>
        <v>4차</v>
      </c>
      <c r="D10128" s="1" t="str">
        <f>"9728A00630"</f>
        <v>9728A00630</v>
      </c>
      <c r="E10128" s="1" t="s">
        <v>10</v>
      </c>
      <c r="F10128" s="1" t="str">
        <f>"10.128.3.110"</f>
        <v>10.128.3.110</v>
      </c>
      <c r="G10128" s="1" t="str">
        <f>"9728A006"</f>
        <v>9728A006</v>
      </c>
      <c r="H10128" s="1" t="str">
        <f>"동명간 13"</f>
        <v>동명간 13</v>
      </c>
      <c r="I10128" s="1" t="s">
        <v>8</v>
      </c>
      <c r="J10128" s="1" t="str">
        <f>"34/34"</f>
        <v>34/34</v>
      </c>
      <c r="K10128" s="1" t="str">
        <f t="shared" si="516"/>
        <v>2026-07-29 13:18:10</v>
      </c>
      <c r="L10128" s="1" t="str">
        <f>"2017-12-28 17:58:12"</f>
        <v>2017-12-28 17:58:12</v>
      </c>
      <c r="M10128" s="1" t="s">
        <v>45</v>
      </c>
      <c r="N10128" s="1" t="s">
        <v>38</v>
      </c>
      <c r="O10128" s="1" t="s">
        <v>46</v>
      </c>
    </row>
    <row r="10129" spans="2:15" x14ac:dyDescent="0.3">
      <c r="B10129" s="1" t="s">
        <v>21</v>
      </c>
      <c r="C10129" s="1" t="str">
        <f t="shared" si="515"/>
        <v>4차</v>
      </c>
      <c r="D10129" s="1" t="str">
        <f>"9728A01131"</f>
        <v>9728A01131</v>
      </c>
      <c r="E10129" s="1" t="s">
        <v>10</v>
      </c>
      <c r="F10129" s="1" t="str">
        <f>"10.128.3.111"</f>
        <v>10.128.3.111</v>
      </c>
      <c r="G10129" s="1" t="str">
        <f>"9728A011"</f>
        <v>9728A011</v>
      </c>
      <c r="H10129" s="1" t="str">
        <f>"동명간 14"</f>
        <v>동명간 14</v>
      </c>
      <c r="I10129" s="1" t="s">
        <v>8</v>
      </c>
      <c r="J10129" s="1" t="str">
        <f>"50/50"</f>
        <v>50/50</v>
      </c>
      <c r="K10129" s="1" t="str">
        <f t="shared" si="516"/>
        <v>2026-07-29 13:18:10</v>
      </c>
      <c r="L10129" s="1" t="str">
        <f>"2017-12-28 18:01:12"</f>
        <v>2017-12-28 18:01:12</v>
      </c>
      <c r="M10129" s="1" t="s">
        <v>45</v>
      </c>
      <c r="N10129" s="1" t="s">
        <v>38</v>
      </c>
      <c r="O10129" s="1" t="s">
        <v>46</v>
      </c>
    </row>
    <row r="10130" spans="2:15" x14ac:dyDescent="0.3">
      <c r="B10130" s="1" t="s">
        <v>21</v>
      </c>
      <c r="C10130" s="1" t="str">
        <f>"3차"</f>
        <v>3차</v>
      </c>
      <c r="D10130" s="1" t="str">
        <f>"9728A03339"</f>
        <v>9728A03339</v>
      </c>
      <c r="E10130" s="1" t="s">
        <v>10</v>
      </c>
      <c r="F10130" s="1" t="str">
        <f>"10.128.3.112"</f>
        <v>10.128.3.112</v>
      </c>
      <c r="G10130" s="1" t="str">
        <f>"9728A033"</f>
        <v>9728A033</v>
      </c>
      <c r="H10130" s="1" t="str">
        <f>"동명간 17"</f>
        <v>동명간 17</v>
      </c>
      <c r="I10130" s="1" t="s">
        <v>8</v>
      </c>
      <c r="J10130" s="1" t="str">
        <f>"94/94"</f>
        <v>94/94</v>
      </c>
      <c r="K10130" s="1" t="str">
        <f t="shared" si="516"/>
        <v>2026-07-29 13:18:10</v>
      </c>
      <c r="L10130" s="1" t="str">
        <f>"2018-01-17 17:40:58"</f>
        <v>2018-01-17 17:40:58</v>
      </c>
      <c r="M10130" s="1" t="s">
        <v>45</v>
      </c>
      <c r="N10130" s="1" t="s">
        <v>38</v>
      </c>
      <c r="O10130" s="1" t="s">
        <v>46</v>
      </c>
    </row>
    <row r="10131" spans="2:15" x14ac:dyDescent="0.3">
      <c r="B10131" s="1" t="s">
        <v>21</v>
      </c>
      <c r="C10131" s="1" t="str">
        <f>"3차"</f>
        <v>3차</v>
      </c>
      <c r="D10131" s="1" t="str">
        <f>"9728A04139"</f>
        <v>9728A04139</v>
      </c>
      <c r="E10131" s="1" t="s">
        <v>10</v>
      </c>
      <c r="F10131" s="1" t="str">
        <f>"10.128.3.113"</f>
        <v>10.128.3.113</v>
      </c>
      <c r="G10131" s="1" t="str">
        <f>"9728A041"</f>
        <v>9728A041</v>
      </c>
      <c r="H10131" s="1" t="str">
        <f>"동명간 19"</f>
        <v>동명간 19</v>
      </c>
      <c r="I10131" s="1" t="s">
        <v>8</v>
      </c>
      <c r="J10131" s="1" t="str">
        <f>"26/26"</f>
        <v>26/26</v>
      </c>
      <c r="K10131" s="1" t="str">
        <f t="shared" si="516"/>
        <v>2026-07-29 13:18:10</v>
      </c>
      <c r="L10131" s="1" t="str">
        <f>"2018-01-03 17:16:27"</f>
        <v>2018-01-03 17:16:27</v>
      </c>
      <c r="M10131" s="1" t="s">
        <v>45</v>
      </c>
      <c r="N10131" s="1" t="s">
        <v>38</v>
      </c>
      <c r="O10131" s="1" t="s">
        <v>46</v>
      </c>
    </row>
    <row r="10132" spans="2:15" x14ac:dyDescent="0.3">
      <c r="B10132" s="1" t="s">
        <v>21</v>
      </c>
      <c r="C10132" s="1" t="str">
        <f>"3차"</f>
        <v>3차</v>
      </c>
      <c r="D10132" s="1" t="str">
        <f>"9728A05139"</f>
        <v>9728A05139</v>
      </c>
      <c r="E10132" s="1" t="s">
        <v>10</v>
      </c>
      <c r="F10132" s="1" t="str">
        <f>"10.128.3.136"</f>
        <v>10.128.3.136</v>
      </c>
      <c r="G10132" s="1" t="str">
        <f>"9728A051"</f>
        <v>9728A051</v>
      </c>
      <c r="H10132" s="1" t="str">
        <f>"동명간 27R2"</f>
        <v>동명간 27R2</v>
      </c>
      <c r="I10132" s="1" t="s">
        <v>8</v>
      </c>
      <c r="J10132" s="1" t="str">
        <f>"30/30"</f>
        <v>30/30</v>
      </c>
      <c r="K10132" s="1" t="str">
        <f t="shared" si="516"/>
        <v>2026-07-29 13:18:10</v>
      </c>
      <c r="L10132" s="1" t="str">
        <f>"2018-01-12 11:51:00"</f>
        <v>2018-01-12 11:51:00</v>
      </c>
      <c r="M10132" s="1" t="s">
        <v>45</v>
      </c>
      <c r="N10132" s="1" t="s">
        <v>38</v>
      </c>
      <c r="O10132" s="1" t="s">
        <v>46</v>
      </c>
    </row>
    <row r="10133" spans="2:15" x14ac:dyDescent="0.3">
      <c r="B10133" s="1" t="s">
        <v>21</v>
      </c>
      <c r="C10133" s="1" t="str">
        <f>"3차"</f>
        <v>3차</v>
      </c>
      <c r="D10133" s="1" t="str">
        <f>"9728A05339"</f>
        <v>9728A05339</v>
      </c>
      <c r="E10133" s="1" t="s">
        <v>10</v>
      </c>
      <c r="F10133" s="1" t="str">
        <f>"10.14.14.191"</f>
        <v>10.14.14.191</v>
      </c>
      <c r="G10133" s="1" t="str">
        <f>"9728A053"</f>
        <v>9728A053</v>
      </c>
      <c r="H10133" s="1" t="str">
        <f>"동명간 20"</f>
        <v>동명간 20</v>
      </c>
      <c r="I10133" s="1" t="s">
        <v>8</v>
      </c>
      <c r="J10133" s="1" t="str">
        <f>"38/38"</f>
        <v>38/38</v>
      </c>
      <c r="K10133" s="1" t="str">
        <f>"2026-07-29 13:18:13"</f>
        <v>2026-07-29 13:18:13</v>
      </c>
      <c r="L10133" s="1" t="str">
        <f>"2018-03-30 13:24:43"</f>
        <v>2018-03-30 13:24:43</v>
      </c>
      <c r="M10133" s="1" t="s">
        <v>3</v>
      </c>
      <c r="N10133" s="1" t="s">
        <v>38</v>
      </c>
      <c r="O10133" s="1" t="s">
        <v>46</v>
      </c>
    </row>
    <row r="10134" spans="2:15" x14ac:dyDescent="0.3">
      <c r="B10134" s="1" t="s">
        <v>21</v>
      </c>
      <c r="C10134" s="1" t="str">
        <f>"6차"</f>
        <v>6차</v>
      </c>
      <c r="D10134" s="1" t="str">
        <f>"9728A0816S"</f>
        <v>9728A0816S</v>
      </c>
      <c r="E10134" s="1" t="s">
        <v>10</v>
      </c>
      <c r="F10134" s="1" t="str">
        <f>"fde1:103:4:c81a:0:0:0:2"</f>
        <v>fde1:103:4:c81a:0:0:0:2</v>
      </c>
      <c r="G10134" s="1" t="str">
        <f>"9728A081"</f>
        <v>9728A081</v>
      </c>
      <c r="H10134" s="1" t="str">
        <f>"동명간 29R2"</f>
        <v>동명간 29R2</v>
      </c>
      <c r="I10134" s="1" t="s">
        <v>15</v>
      </c>
      <c r="J10134" s="1" t="str">
        <f>"44/49"</f>
        <v>44/49</v>
      </c>
      <c r="K10134" s="1" t="str">
        <f>"2026-07-29 14:21:23"</f>
        <v>2026-07-29 14:21:23</v>
      </c>
      <c r="L10134" s="1" t="str">
        <f>"2025-01-17 17:37:02"</f>
        <v>2025-01-17 17:37:02</v>
      </c>
      <c r="M10134" s="1" t="s">
        <v>4</v>
      </c>
      <c r="N10134" s="1" t="s">
        <v>38</v>
      </c>
      <c r="O10134" s="1" t="s">
        <v>46</v>
      </c>
    </row>
    <row r="10135" spans="2:15" x14ac:dyDescent="0.3">
      <c r="B10135" s="1" t="s">
        <v>21</v>
      </c>
      <c r="C10135" s="1" t="str">
        <f>"4차"</f>
        <v>4차</v>
      </c>
      <c r="D10135" s="1" t="str">
        <f>"9728A11439"</f>
        <v>9728A11439</v>
      </c>
      <c r="E10135" s="1" t="s">
        <v>10</v>
      </c>
      <c r="F10135" s="1" t="str">
        <f>"10.128.4.76"</f>
        <v>10.128.4.76</v>
      </c>
      <c r="G10135" s="1" t="str">
        <f>"9728A114"</f>
        <v>9728A114</v>
      </c>
      <c r="H10135" s="1" t="str">
        <f>"동명간 10"</f>
        <v>동명간 10</v>
      </c>
      <c r="I10135" s="1" t="s">
        <v>8</v>
      </c>
      <c r="J10135" s="1" t="str">
        <f>"35/35"</f>
        <v>35/35</v>
      </c>
      <c r="K10135" s="1" t="str">
        <f t="shared" ref="K10135:K10141" si="517">"2026-07-29 13:18:10"</f>
        <v>2026-07-29 13:18:10</v>
      </c>
      <c r="L10135" s="1" t="str">
        <f>"2023-12-04 11:04:11"</f>
        <v>2023-12-04 11:04:11</v>
      </c>
      <c r="M10135" s="1" t="s">
        <v>45</v>
      </c>
      <c r="N10135" s="1" t="s">
        <v>38</v>
      </c>
      <c r="O10135" s="1" t="s">
        <v>46</v>
      </c>
    </row>
    <row r="10136" spans="2:15" x14ac:dyDescent="0.3">
      <c r="B10136" s="1" t="s">
        <v>21</v>
      </c>
      <c r="C10136" s="1" t="str">
        <f>"3차"</f>
        <v>3차</v>
      </c>
      <c r="D10136" s="1" t="str">
        <f>"9728A12139"</f>
        <v>9728A12139</v>
      </c>
      <c r="E10136" s="1" t="s">
        <v>10</v>
      </c>
      <c r="F10136" s="1" t="str">
        <f>"10.128.3.125"</f>
        <v>10.128.3.125</v>
      </c>
      <c r="G10136" s="1" t="str">
        <f>"9728A121"</f>
        <v>9728A121</v>
      </c>
      <c r="H10136" s="1" t="str">
        <f>"동명간 19R3"</f>
        <v>동명간 19R3</v>
      </c>
      <c r="I10136" s="1" t="s">
        <v>8</v>
      </c>
      <c r="J10136" s="1" t="str">
        <f>"37/38"</f>
        <v>37/38</v>
      </c>
      <c r="K10136" s="1" t="str">
        <f t="shared" si="517"/>
        <v>2026-07-29 13:18:10</v>
      </c>
      <c r="L10136" s="1" t="str">
        <f>"2018-01-06 16:31:57"</f>
        <v>2018-01-06 16:31:57</v>
      </c>
      <c r="M10136" s="1" t="s">
        <v>45</v>
      </c>
      <c r="N10136" s="1" t="s">
        <v>38</v>
      </c>
      <c r="O10136" s="1" t="s">
        <v>46</v>
      </c>
    </row>
    <row r="10137" spans="2:15" x14ac:dyDescent="0.3">
      <c r="B10137" s="1" t="s">
        <v>21</v>
      </c>
      <c r="C10137" s="1" t="str">
        <f>"3차"</f>
        <v>3차</v>
      </c>
      <c r="D10137" s="1" t="str">
        <f>"9728A13139"</f>
        <v>9728A13139</v>
      </c>
      <c r="E10137" s="1" t="s">
        <v>10</v>
      </c>
      <c r="F10137" s="1" t="str">
        <f>"10.128.3.124"</f>
        <v>10.128.3.124</v>
      </c>
      <c r="G10137" s="1" t="str">
        <f>"9728A131"</f>
        <v>9728A131</v>
      </c>
      <c r="H10137" s="1" t="str">
        <f>"동명간 19R2"</f>
        <v>동명간 19R2</v>
      </c>
      <c r="I10137" s="1" t="s">
        <v>8</v>
      </c>
      <c r="J10137" s="1" t="str">
        <f>"79/79"</f>
        <v>79/79</v>
      </c>
      <c r="K10137" s="1" t="str">
        <f t="shared" si="517"/>
        <v>2026-07-29 13:18:10</v>
      </c>
      <c r="L10137" s="1" t="str">
        <f>"2018-01-06 16:22:42"</f>
        <v>2018-01-06 16:22:42</v>
      </c>
      <c r="M10137" s="1" t="s">
        <v>45</v>
      </c>
      <c r="N10137" s="1" t="s">
        <v>38</v>
      </c>
      <c r="O10137" s="1" t="s">
        <v>46</v>
      </c>
    </row>
    <row r="10138" spans="2:15" x14ac:dyDescent="0.3">
      <c r="B10138" s="1" t="s">
        <v>21</v>
      </c>
      <c r="C10138" s="1" t="str">
        <f>"3차"</f>
        <v>3차</v>
      </c>
      <c r="D10138" s="1" t="str">
        <f>"9728A15139"</f>
        <v>9728A15139</v>
      </c>
      <c r="E10138" s="1" t="s">
        <v>10</v>
      </c>
      <c r="F10138" s="1" t="str">
        <f>"10.128.75.4"</f>
        <v>10.128.75.4</v>
      </c>
      <c r="G10138" s="1" t="str">
        <f>"9728A151"</f>
        <v>9728A151</v>
      </c>
      <c r="H10138" s="1" t="str">
        <f>"동명간 20R1L1"</f>
        <v>동명간 20R1L1</v>
      </c>
      <c r="I10138" s="1" t="s">
        <v>8</v>
      </c>
      <c r="J10138" s="1" t="str">
        <f>"76/76"</f>
        <v>76/76</v>
      </c>
      <c r="K10138" s="1" t="str">
        <f t="shared" si="517"/>
        <v>2026-07-29 13:18:10</v>
      </c>
      <c r="L10138" s="1" t="str">
        <f>"2018-01-05 10:31:09"</f>
        <v>2018-01-05 10:31:09</v>
      </c>
      <c r="M10138" s="1" t="s">
        <v>45</v>
      </c>
      <c r="N10138" s="1" t="s">
        <v>38</v>
      </c>
      <c r="O10138" s="1" t="s">
        <v>46</v>
      </c>
    </row>
    <row r="10139" spans="2:15" x14ac:dyDescent="0.3">
      <c r="B10139" s="1" t="s">
        <v>21</v>
      </c>
      <c r="C10139" s="1" t="str">
        <f>"3차"</f>
        <v>3차</v>
      </c>
      <c r="D10139" s="1" t="str">
        <f>"9728A16239"</f>
        <v>9728A16239</v>
      </c>
      <c r="E10139" s="1" t="s">
        <v>10</v>
      </c>
      <c r="F10139" s="1" t="str">
        <f>"10.128.3.114"</f>
        <v>10.128.3.114</v>
      </c>
      <c r="G10139" s="1" t="str">
        <f>"9728A162"</f>
        <v>9728A162</v>
      </c>
      <c r="H10139" s="1" t="str">
        <f>"동명간 21"</f>
        <v>동명간 21</v>
      </c>
      <c r="I10139" s="1" t="s">
        <v>8</v>
      </c>
      <c r="J10139" s="1" t="str">
        <f>"28/28"</f>
        <v>28/28</v>
      </c>
      <c r="K10139" s="1" t="str">
        <f t="shared" si="517"/>
        <v>2026-07-29 13:18:10</v>
      </c>
      <c r="L10139" s="1" t="str">
        <f>"2018-01-03 17:43:43"</f>
        <v>2018-01-03 17:43:43</v>
      </c>
      <c r="M10139" s="1" t="s">
        <v>45</v>
      </c>
      <c r="N10139" s="1" t="s">
        <v>38</v>
      </c>
      <c r="O10139" s="1" t="s">
        <v>46</v>
      </c>
    </row>
    <row r="10140" spans="2:15" x14ac:dyDescent="0.3">
      <c r="B10140" s="1" t="s">
        <v>21</v>
      </c>
      <c r="C10140" s="1" t="str">
        <f>"3차"</f>
        <v>3차</v>
      </c>
      <c r="D10140" s="1" t="str">
        <f>"9728A16339"</f>
        <v>9728A16339</v>
      </c>
      <c r="E10140" s="1" t="s">
        <v>10</v>
      </c>
      <c r="F10140" s="1" t="str">
        <f>"10.128.4.79"</f>
        <v>10.128.4.79</v>
      </c>
      <c r="G10140" s="1" t="str">
        <f>"9728A163"</f>
        <v>9728A163</v>
      </c>
      <c r="H10140" s="1" t="str">
        <f>"동명간 H22"</f>
        <v>동명간 H22</v>
      </c>
      <c r="I10140" s="1" t="s">
        <v>8</v>
      </c>
      <c r="J10140" s="1" t="str">
        <f>"29/29"</f>
        <v>29/29</v>
      </c>
      <c r="K10140" s="1" t="str">
        <f t="shared" si="517"/>
        <v>2026-07-29 13:18:10</v>
      </c>
      <c r="L10140" s="1" t="str">
        <f>"2018-03-28 17:58:14"</f>
        <v>2018-03-28 17:58:14</v>
      </c>
      <c r="M10140" s="1" t="s">
        <v>45</v>
      </c>
      <c r="N10140" s="1" t="s">
        <v>38</v>
      </c>
      <c r="O10140" s="1" t="s">
        <v>46</v>
      </c>
    </row>
    <row r="10141" spans="2:15" x14ac:dyDescent="0.3">
      <c r="B10141" s="1" t="s">
        <v>21</v>
      </c>
      <c r="C10141" s="1" t="str">
        <f>"1차"</f>
        <v>1차</v>
      </c>
      <c r="D10141" s="1" t="str">
        <f>"9728A17200"</f>
        <v>9728A17200</v>
      </c>
      <c r="E10141" s="1" t="s">
        <v>10</v>
      </c>
      <c r="F10141" s="1" t="str">
        <f>"10.128.1.229"</f>
        <v>10.128.1.229</v>
      </c>
      <c r="G10141" s="1" t="str">
        <f>"9728A172"</f>
        <v>9728A172</v>
      </c>
      <c r="H10141" s="1" t="str">
        <f>"동명간 23"</f>
        <v>동명간 23</v>
      </c>
      <c r="I10141" s="1" t="s">
        <v>8</v>
      </c>
      <c r="J10141" s="1" t="str">
        <f>"6/8"</f>
        <v>6/8</v>
      </c>
      <c r="K10141" s="1" t="str">
        <f t="shared" si="517"/>
        <v>2026-07-29 13:18:10</v>
      </c>
      <c r="L10141" s="1" t="str">
        <f>"2014-12-18 11:42:53"</f>
        <v>2014-12-18 11:42:53</v>
      </c>
      <c r="M10141" s="1" t="s">
        <v>45</v>
      </c>
      <c r="N10141" s="1" t="s">
        <v>38</v>
      </c>
      <c r="O10141" s="1" t="s">
        <v>46</v>
      </c>
    </row>
    <row r="10142" spans="2:15" x14ac:dyDescent="0.3">
      <c r="B10142" s="1" t="s">
        <v>21</v>
      </c>
      <c r="C10142" s="1" t="str">
        <f>"1차"</f>
        <v>1차</v>
      </c>
      <c r="D10142" s="1" t="str">
        <f>"9728A19101"</f>
        <v>9728A19101</v>
      </c>
      <c r="E10142" s="1" t="s">
        <v>14</v>
      </c>
      <c r="F10142" s="1" t="str">
        <f>"10.128.1.232"</f>
        <v>10.128.1.232</v>
      </c>
      <c r="G10142" s="1" t="str">
        <f>"9728A191"</f>
        <v>9728A191</v>
      </c>
      <c r="H10142" s="1" t="str">
        <f>"동명간 29R3"</f>
        <v>동명간 29R3</v>
      </c>
      <c r="I10142" s="1" t="s">
        <v>8</v>
      </c>
      <c r="J10142" s="1" t="str">
        <f>"0/0"</f>
        <v>0/0</v>
      </c>
      <c r="K10142" s="1" t="str">
        <f>"2024-11-27 19:21:08"</f>
        <v>2024-11-27 19:21:08</v>
      </c>
      <c r="L10142" s="1" t="str">
        <f>"2014-12-17 14:12:32"</f>
        <v>2014-12-17 14:12:32</v>
      </c>
      <c r="M10142" s="1" t="s">
        <v>45</v>
      </c>
      <c r="N10142" s="1" t="s">
        <v>44</v>
      </c>
      <c r="O10142" s="1" t="s">
        <v>44</v>
      </c>
    </row>
    <row r="10143" spans="2:15" x14ac:dyDescent="0.3">
      <c r="B10143" s="1" t="s">
        <v>21</v>
      </c>
      <c r="C10143" s="1" t="str">
        <f>"1차"</f>
        <v>1차</v>
      </c>
      <c r="D10143" s="1" t="str">
        <f>"9728A19200"</f>
        <v>9728A19200</v>
      </c>
      <c r="E10143" s="1" t="str">
        <f>"검침실패(3시간 이상)"</f>
        <v>검침실패(3시간 이상)</v>
      </c>
      <c r="F10143" s="1" t="str">
        <f>"10.128.1.231"</f>
        <v>10.128.1.231</v>
      </c>
      <c r="G10143" s="1" t="str">
        <f>"9728A192"</f>
        <v>9728A192</v>
      </c>
      <c r="H10143" s="1" t="str">
        <f>"동명간 29R3H1"</f>
        <v>동명간 29R3H1</v>
      </c>
      <c r="I10143" s="1" t="s">
        <v>8</v>
      </c>
      <c r="J10143" s="1" t="str">
        <f>"0/54"</f>
        <v>0/54</v>
      </c>
      <c r="K10143" s="1" t="str">
        <f>"2026-07-29 13:18:10"</f>
        <v>2026-07-29 13:18:10</v>
      </c>
      <c r="L10143" s="1" t="str">
        <f>"2014-12-17 14:13:10"</f>
        <v>2014-12-17 14:13:10</v>
      </c>
      <c r="M10143" s="1" t="s">
        <v>45</v>
      </c>
      <c r="N10143" s="1" t="s">
        <v>38</v>
      </c>
      <c r="O10143" s="1" t="s">
        <v>46</v>
      </c>
    </row>
    <row r="10144" spans="2:15" x14ac:dyDescent="0.3">
      <c r="B10144" s="1" t="s">
        <v>21</v>
      </c>
      <c r="C10144" s="1" t="str">
        <f>"3차"</f>
        <v>3차</v>
      </c>
      <c r="D10144" s="1" t="str">
        <f>"9728A24139"</f>
        <v>9728A24139</v>
      </c>
      <c r="E10144" s="1" t="s">
        <v>10</v>
      </c>
      <c r="F10144" s="1" t="str">
        <f>"10.128.75.3"</f>
        <v>10.128.75.3</v>
      </c>
      <c r="G10144" s="1" t="str">
        <f>"9728A241"</f>
        <v>9728A241</v>
      </c>
      <c r="H10144" s="1" t="str">
        <f>"동명간 20R2"</f>
        <v>동명간 20R2</v>
      </c>
      <c r="I10144" s="1" t="s">
        <v>8</v>
      </c>
      <c r="J10144" s="1" t="str">
        <f>"70/70"</f>
        <v>70/70</v>
      </c>
      <c r="K10144" s="1" t="str">
        <f>"2026-07-29 13:18:11"</f>
        <v>2026-07-29 13:18:11</v>
      </c>
      <c r="L10144" s="1" t="str">
        <f>"2018-01-05 18:53:13"</f>
        <v>2018-01-05 18:53:13</v>
      </c>
      <c r="M10144" s="1" t="s">
        <v>45</v>
      </c>
      <c r="N10144" s="1" t="s">
        <v>38</v>
      </c>
      <c r="O10144" s="1" t="s">
        <v>46</v>
      </c>
    </row>
    <row r="10145" spans="2:15" x14ac:dyDescent="0.3">
      <c r="B10145" s="1" t="s">
        <v>21</v>
      </c>
      <c r="C10145" s="1" t="str">
        <f>"5-2차"</f>
        <v>5-2차</v>
      </c>
      <c r="D10145" s="1" t="str">
        <f>"9728A2435S"</f>
        <v>9728A2435S</v>
      </c>
      <c r="E10145" s="1" t="s">
        <v>10</v>
      </c>
      <c r="F10145" s="1" t="str">
        <f>"fde3:102:1303:803:0:0:0:8"</f>
        <v>fde3:102:1303:803:0:0:0:8</v>
      </c>
      <c r="G10145" s="1" t="str">
        <f>"9728A243"</f>
        <v>9728A243</v>
      </c>
      <c r="H10145" s="1" t="str">
        <f>"동명간 20R4"</f>
        <v>동명간 20R4</v>
      </c>
      <c r="I10145" s="1" t="s">
        <v>15</v>
      </c>
      <c r="J10145" s="1" t="str">
        <f>"69/69"</f>
        <v>69/69</v>
      </c>
      <c r="K10145" s="1" t="str">
        <f>"2026-07-29 14:21:05"</f>
        <v>2026-07-29 14:21:05</v>
      </c>
      <c r="L10145" s="1" t="str">
        <f>"2023-07-06 10:10:15"</f>
        <v>2023-07-06 10:10:15</v>
      </c>
      <c r="M10145" s="1" t="s">
        <v>45</v>
      </c>
      <c r="N10145" s="1" t="s">
        <v>38</v>
      </c>
      <c r="O10145" s="1" t="s">
        <v>46</v>
      </c>
    </row>
    <row r="10146" spans="2:15" x14ac:dyDescent="0.3">
      <c r="B10146" s="1" t="s">
        <v>21</v>
      </c>
      <c r="C10146" s="1" t="str">
        <f>"4차"</f>
        <v>4차</v>
      </c>
      <c r="D10146" s="1" t="str">
        <f>"9728A26144"</f>
        <v>9728A26144</v>
      </c>
      <c r="E10146" s="1" t="s">
        <v>10</v>
      </c>
      <c r="F10146" s="1" t="str">
        <f>"10.10.100.146"</f>
        <v>10.10.100.146</v>
      </c>
      <c r="G10146" s="1" t="str">
        <f>"9728A261"</f>
        <v>9728A261</v>
      </c>
      <c r="H10146" s="1" t="str">
        <f>"동명간 20R1L3"</f>
        <v>동명간 20R1L3</v>
      </c>
      <c r="I10146" s="1" t="s">
        <v>8</v>
      </c>
      <c r="J10146" s="1" t="str">
        <f>"51/51"</f>
        <v>51/51</v>
      </c>
      <c r="K10146" s="1" t="str">
        <f>"2026-07-29 13:18:10"</f>
        <v>2026-07-29 13:18:10</v>
      </c>
      <c r="L10146" s="1" t="str">
        <f>"2019-12-11 18:14:42"</f>
        <v>2019-12-11 18:14:42</v>
      </c>
      <c r="M10146" s="1" t="s">
        <v>1</v>
      </c>
      <c r="N10146" s="1" t="s">
        <v>38</v>
      </c>
      <c r="O10146" s="1" t="s">
        <v>46</v>
      </c>
    </row>
    <row r="10147" spans="2:15" x14ac:dyDescent="0.3">
      <c r="B10147" s="1" t="s">
        <v>21</v>
      </c>
      <c r="C10147" s="1" t="str">
        <f>"1차"</f>
        <v>1차</v>
      </c>
      <c r="D10147" s="1" t="str">
        <f>"9728A28101"</f>
        <v>9728A28101</v>
      </c>
      <c r="E10147" s="1" t="s">
        <v>10</v>
      </c>
      <c r="F10147" s="1" t="str">
        <f>"10.12.134.132"</f>
        <v>10.12.134.132</v>
      </c>
      <c r="G10147" s="1" t="str">
        <f>"9728A281"</f>
        <v>9728A281</v>
      </c>
      <c r="H10147" s="1" t="str">
        <f>"동명간 24R2"</f>
        <v>동명간 24R2</v>
      </c>
      <c r="I10147" s="1" t="s">
        <v>8</v>
      </c>
      <c r="J10147" s="1" t="str">
        <f>"63/64"</f>
        <v>63/64</v>
      </c>
      <c r="K10147" s="1" t="str">
        <f>"2026-07-29 13:18:11"</f>
        <v>2026-07-29 13:18:11</v>
      </c>
      <c r="L10147" s="1" t="str">
        <f>"2015-01-12 14:55:47"</f>
        <v>2015-01-12 14:55:47</v>
      </c>
      <c r="M10147" s="1" t="s">
        <v>0</v>
      </c>
      <c r="N10147" s="1" t="s">
        <v>38</v>
      </c>
      <c r="O10147" s="1" t="s">
        <v>46</v>
      </c>
    </row>
    <row r="10148" spans="2:15" x14ac:dyDescent="0.3">
      <c r="B10148" s="1" t="s">
        <v>21</v>
      </c>
      <c r="C10148" s="1" t="str">
        <f>"6차"</f>
        <v>6차</v>
      </c>
      <c r="D10148" s="1" t="str">
        <f>"9728A2926S"</f>
        <v>9728A2926S</v>
      </c>
      <c r="E10148" s="1" t="s">
        <v>10</v>
      </c>
      <c r="F10148" s="1" t="str">
        <f>"fde1:103:4:93d6:0:0:0:2"</f>
        <v>fde1:103:4:93d6:0:0:0:2</v>
      </c>
      <c r="G10148" s="1" t="str">
        <f>"9728A292"</f>
        <v>9728A292</v>
      </c>
      <c r="H10148" s="1" t="str">
        <f>"동명간 29R5"</f>
        <v>동명간 29R5</v>
      </c>
      <c r="I10148" s="1" t="s">
        <v>15</v>
      </c>
      <c r="J10148" s="1" t="str">
        <f>"23/33"</f>
        <v>23/33</v>
      </c>
      <c r="K10148" s="1" t="str">
        <f>"2026-07-29 14:21:03"</f>
        <v>2026-07-29 14:21:03</v>
      </c>
      <c r="L10148" s="1" t="str">
        <f>"2025-01-22 17:54:16"</f>
        <v>2025-01-22 17:54:16</v>
      </c>
      <c r="M10148" s="1" t="s">
        <v>4</v>
      </c>
      <c r="N10148" s="1" t="s">
        <v>38</v>
      </c>
      <c r="O10148" s="1" t="s">
        <v>46</v>
      </c>
    </row>
    <row r="10149" spans="2:15" x14ac:dyDescent="0.3">
      <c r="B10149" s="1" t="s">
        <v>21</v>
      </c>
      <c r="C10149" s="1" t="str">
        <f>"5-2차"</f>
        <v>5-2차</v>
      </c>
      <c r="D10149" s="1" t="str">
        <f>"9728A3335M"</f>
        <v>9728A3335M</v>
      </c>
      <c r="E10149" s="1" t="s">
        <v>10</v>
      </c>
      <c r="F10149" s="1" t="str">
        <f>"fde1:103:4:9445:0:0:0:2"</f>
        <v>fde1:103:4:9445:0:0:0:2</v>
      </c>
      <c r="G10149" s="1" t="str">
        <f>"9728A333"</f>
        <v>9728A333</v>
      </c>
      <c r="H10149" s="1" t="str">
        <f>"동명간 7"</f>
        <v>동명간 7</v>
      </c>
      <c r="I10149" s="1" t="s">
        <v>15</v>
      </c>
      <c r="J10149" s="1" t="str">
        <f>"35/35"</f>
        <v>35/35</v>
      </c>
      <c r="K10149" s="1" t="str">
        <f>"2026-07-29 14:20:40"</f>
        <v>2026-07-29 14:20:40</v>
      </c>
      <c r="L10149" s="1" t="str">
        <f>"2024-01-08 14:57:42"</f>
        <v>2024-01-08 14:57:42</v>
      </c>
      <c r="M10149" s="1" t="s">
        <v>4</v>
      </c>
      <c r="N10149" s="1" t="s">
        <v>38</v>
      </c>
      <c r="O10149" s="1" t="s">
        <v>46</v>
      </c>
    </row>
    <row r="10150" spans="2:15" x14ac:dyDescent="0.3">
      <c r="B10150" s="1" t="s">
        <v>21</v>
      </c>
      <c r="C10150" s="1" t="str">
        <f>"1차"</f>
        <v>1차</v>
      </c>
      <c r="D10150" s="1" t="str">
        <f>"9728A38100"</f>
        <v>9728A38100</v>
      </c>
      <c r="E10150" s="1" t="s">
        <v>10</v>
      </c>
      <c r="F10150" s="1" t="str">
        <f>"10.128.1.234"</f>
        <v>10.128.1.234</v>
      </c>
      <c r="G10150" s="1" t="str">
        <f>"9728A381"</f>
        <v>9728A381</v>
      </c>
      <c r="H10150" s="1" t="str">
        <f>"동명간 24R3"</f>
        <v>동명간 24R3</v>
      </c>
      <c r="I10150" s="1" t="s">
        <v>8</v>
      </c>
      <c r="J10150" s="1" t="str">
        <f>"40/46"</f>
        <v>40/46</v>
      </c>
      <c r="K10150" s="1" t="str">
        <f>"2026-07-29 13:18:11"</f>
        <v>2026-07-29 13:18:11</v>
      </c>
      <c r="L10150" s="1" t="str">
        <f>"2015-01-08 11:12:13"</f>
        <v>2015-01-08 11:12:13</v>
      </c>
      <c r="M10150" s="1" t="s">
        <v>45</v>
      </c>
      <c r="N10150" s="1" t="s">
        <v>38</v>
      </c>
      <c r="O10150" s="1" t="s">
        <v>46</v>
      </c>
    </row>
    <row r="10151" spans="2:15" x14ac:dyDescent="0.3">
      <c r="B10151" s="1" t="s">
        <v>21</v>
      </c>
      <c r="C10151" s="1" t="str">
        <f>"3차"</f>
        <v>3차</v>
      </c>
      <c r="D10151" s="1" t="str">
        <f>"9728A39139"</f>
        <v>9728A39139</v>
      </c>
      <c r="E10151" s="1" t="s">
        <v>10</v>
      </c>
      <c r="F10151" s="1" t="str">
        <f>"10.12.129.160"</f>
        <v>10.12.129.160</v>
      </c>
      <c r="G10151" s="1" t="str">
        <f>"9728A391"</f>
        <v>9728A391</v>
      </c>
      <c r="H10151" s="1" t="str">
        <f>"동명간 24R5"</f>
        <v>동명간 24R5</v>
      </c>
      <c r="I10151" s="1" t="s">
        <v>8</v>
      </c>
      <c r="J10151" s="1" t="str">
        <f>"35/35"</f>
        <v>35/35</v>
      </c>
      <c r="K10151" s="1" t="str">
        <f>"2026-07-29 13:18:13"</f>
        <v>2026-07-29 13:18:13</v>
      </c>
      <c r="L10151" s="1" t="str">
        <f>"2018-04-26 08:27:25"</f>
        <v>2018-04-26 08:27:25</v>
      </c>
      <c r="M10151" s="1" t="s">
        <v>0</v>
      </c>
      <c r="N10151" s="1" t="s">
        <v>38</v>
      </c>
      <c r="O10151" s="1" t="s">
        <v>46</v>
      </c>
    </row>
    <row r="10152" spans="2:15" x14ac:dyDescent="0.3">
      <c r="B10152" s="1" t="s">
        <v>21</v>
      </c>
      <c r="C10152" s="1" t="str">
        <f>"4차"</f>
        <v>4차</v>
      </c>
      <c r="D10152" s="1" t="str">
        <f>"9728A49244"</f>
        <v>9728A49244</v>
      </c>
      <c r="E10152" s="1" t="s">
        <v>10</v>
      </c>
      <c r="F10152" s="1" t="str">
        <f>"10.10.101.242"</f>
        <v>10.10.101.242</v>
      </c>
      <c r="G10152" s="1" t="str">
        <f>"9728A492"</f>
        <v>9728A492</v>
      </c>
      <c r="H10152" s="1" t="str">
        <f>"동명간 24HR6"</f>
        <v>동명간 24HR6</v>
      </c>
      <c r="I10152" s="1" t="s">
        <v>8</v>
      </c>
      <c r="J10152" s="1" t="str">
        <f>"33/34"</f>
        <v>33/34</v>
      </c>
      <c r="K10152" s="1" t="str">
        <f>"2026-07-29 13:18:10"</f>
        <v>2026-07-29 13:18:10</v>
      </c>
      <c r="L10152" s="1" t="str">
        <f>"2019-09-27 15:18:57"</f>
        <v>2019-09-27 15:18:57</v>
      </c>
      <c r="M10152" s="1" t="s">
        <v>1</v>
      </c>
      <c r="N10152" s="1" t="s">
        <v>38</v>
      </c>
      <c r="O10152" s="1" t="s">
        <v>46</v>
      </c>
    </row>
    <row r="10153" spans="2:15" x14ac:dyDescent="0.3">
      <c r="B10153" s="1" t="s">
        <v>21</v>
      </c>
      <c r="C10153" s="1" t="str">
        <f>"1차"</f>
        <v>1차</v>
      </c>
      <c r="D10153" s="1" t="str">
        <f>"9728A49300"</f>
        <v>9728A49300</v>
      </c>
      <c r="E10153" s="1" t="s">
        <v>10</v>
      </c>
      <c r="F10153" s="1" t="str">
        <f>"10.128.2.192"</f>
        <v>10.128.2.192</v>
      </c>
      <c r="G10153" s="1" t="str">
        <f>"9728A493"</f>
        <v>9728A493</v>
      </c>
      <c r="H10153" s="1" t="str">
        <f>"동명간 29R7R2"</f>
        <v>동명간 29R7R2</v>
      </c>
      <c r="I10153" s="1" t="s">
        <v>8</v>
      </c>
      <c r="J10153" s="1" t="str">
        <f>"20/20"</f>
        <v>20/20</v>
      </c>
      <c r="K10153" s="1" t="str">
        <f>"2026-07-29 13:18:11"</f>
        <v>2026-07-29 13:18:11</v>
      </c>
      <c r="L10153" s="1" t="str">
        <f>"2014-12-18 12:28:37"</f>
        <v>2014-12-18 12:28:37</v>
      </c>
      <c r="M10153" s="1" t="s">
        <v>45</v>
      </c>
      <c r="N10153" s="1" t="s">
        <v>38</v>
      </c>
      <c r="O10153" s="1" t="s">
        <v>46</v>
      </c>
    </row>
    <row r="10154" spans="2:15" x14ac:dyDescent="0.3">
      <c r="B10154" s="1" t="s">
        <v>21</v>
      </c>
      <c r="C10154" s="1" t="str">
        <f>"5-1차"</f>
        <v>5-1차</v>
      </c>
      <c r="D10154" s="1" t="str">
        <f>"9728A6515M"</f>
        <v>9728A6515M</v>
      </c>
      <c r="E10154" s="1" t="s">
        <v>10</v>
      </c>
      <c r="F10154" s="1" t="str">
        <f>"fde3:102:1303:1803:0:0:0:2"</f>
        <v>fde3:102:1303:1803:0:0:0:2</v>
      </c>
      <c r="G10154" s="1" t="str">
        <f>"9728A651"</f>
        <v>9728A651</v>
      </c>
      <c r="H10154" s="1" t="str">
        <f>"대조간 2R2"</f>
        <v>대조간 2R2</v>
      </c>
      <c r="I10154" s="1" t="s">
        <v>15</v>
      </c>
      <c r="J10154" s="1" t="str">
        <f>"87/87"</f>
        <v>87/87</v>
      </c>
      <c r="K10154" s="1" t="str">
        <f>"2026-07-29 14:21:23"</f>
        <v>2026-07-29 14:21:23</v>
      </c>
      <c r="L10154" s="1" t="str">
        <f>"2022-11-21 11:48:20"</f>
        <v>2022-11-21 11:48:20</v>
      </c>
      <c r="M10154" s="1" t="s">
        <v>45</v>
      </c>
      <c r="N10154" s="1" t="s">
        <v>38</v>
      </c>
      <c r="O10154" s="1" t="s">
        <v>46</v>
      </c>
    </row>
    <row r="10155" spans="2:15" x14ac:dyDescent="0.3">
      <c r="B10155" s="1" t="s">
        <v>21</v>
      </c>
      <c r="C10155" s="1" t="str">
        <f>"5-2차"</f>
        <v>5-2차</v>
      </c>
      <c r="D10155" s="1" t="str">
        <f>"9728A6525M"</f>
        <v>9728A6525M</v>
      </c>
      <c r="E10155" s="1" t="s">
        <v>10</v>
      </c>
      <c r="F10155" s="1" t="str">
        <f>"fde3:102:1303:120b:0:0:0:2"</f>
        <v>fde3:102:1303:120b:0:0:0:2</v>
      </c>
      <c r="G10155" s="1" t="str">
        <f>"9728A652"</f>
        <v>9728A652</v>
      </c>
      <c r="H10155" s="1" t="str">
        <f>"대조간 2R3"</f>
        <v>대조간 2R3</v>
      </c>
      <c r="I10155" s="1" t="s">
        <v>15</v>
      </c>
      <c r="J10155" s="1" t="str">
        <f>"48/48"</f>
        <v>48/48</v>
      </c>
      <c r="K10155" s="1" t="str">
        <f>"2026-07-29 14:21:22"</f>
        <v>2026-07-29 14:21:22</v>
      </c>
      <c r="L10155" s="1" t="str">
        <f>"2023-06-15 10:08:00"</f>
        <v>2023-06-15 10:08:00</v>
      </c>
      <c r="M10155" s="1" t="s">
        <v>45</v>
      </c>
      <c r="N10155" s="1" t="s">
        <v>38</v>
      </c>
      <c r="O10155" s="1" t="s">
        <v>46</v>
      </c>
    </row>
    <row r="10156" spans="2:15" x14ac:dyDescent="0.3">
      <c r="B10156" s="1" t="s">
        <v>21</v>
      </c>
      <c r="C10156" s="1" t="str">
        <f>"4차"</f>
        <v>4차</v>
      </c>
      <c r="D10156" s="1" t="str">
        <f>"9728A69144"</f>
        <v>9728A69144</v>
      </c>
      <c r="E10156" s="1" t="s">
        <v>10</v>
      </c>
      <c r="F10156" s="1" t="str">
        <f>"10.10.101.218"</f>
        <v>10.10.101.218</v>
      </c>
      <c r="G10156" s="1" t="str">
        <f>"9728A691"</f>
        <v>9728A691</v>
      </c>
      <c r="H10156" s="1" t="str">
        <f>"동명간 29R7R4"</f>
        <v>동명간 29R7R4</v>
      </c>
      <c r="I10156" s="1" t="s">
        <v>8</v>
      </c>
      <c r="J10156" s="1" t="str">
        <f>"47/51"</f>
        <v>47/51</v>
      </c>
      <c r="K10156" s="1" t="str">
        <f>"2026-07-29 13:18:10"</f>
        <v>2026-07-29 13:18:10</v>
      </c>
      <c r="L10156" s="1" t="str">
        <f>"2019-09-27 15:12:41"</f>
        <v>2019-09-27 15:12:41</v>
      </c>
      <c r="M10156" s="1" t="s">
        <v>1</v>
      </c>
      <c r="N10156" s="1" t="s">
        <v>38</v>
      </c>
      <c r="O10156" s="1" t="s">
        <v>46</v>
      </c>
    </row>
    <row r="10157" spans="2:15" x14ac:dyDescent="0.3">
      <c r="B10157" s="1" t="s">
        <v>21</v>
      </c>
      <c r="C10157" s="1" t="str">
        <f>"1차"</f>
        <v>1차</v>
      </c>
      <c r="D10157" s="1" t="str">
        <f>"9728A73201"</f>
        <v>9728A73201</v>
      </c>
      <c r="E10157" s="1" t="s">
        <v>14</v>
      </c>
      <c r="F10157" s="1" t="str">
        <f>"10.128.1.237"</f>
        <v>10.128.1.237</v>
      </c>
      <c r="G10157" s="1" t="str">
        <f>"9728A732"</f>
        <v>9728A732</v>
      </c>
      <c r="H10157" s="1" t="str">
        <f>"대조간 11R1"</f>
        <v>대조간 11R1</v>
      </c>
      <c r="I10157" s="1" t="s">
        <v>8</v>
      </c>
      <c r="J10157" s="1" t="str">
        <f>"0/0"</f>
        <v>0/0</v>
      </c>
      <c r="K10157" s="1" t="str">
        <f>"2024-07-01 03:20:03"</f>
        <v>2024-07-01 03:20:03</v>
      </c>
      <c r="L10157" s="1" t="str">
        <f>"2014-12-23 12:58:38"</f>
        <v>2014-12-23 12:58:38</v>
      </c>
      <c r="M10157" s="1" t="s">
        <v>45</v>
      </c>
      <c r="N10157" s="1" t="s">
        <v>44</v>
      </c>
      <c r="O10157" s="1" t="s">
        <v>44</v>
      </c>
    </row>
    <row r="10158" spans="2:15" x14ac:dyDescent="0.3">
      <c r="B10158" s="1" t="s">
        <v>21</v>
      </c>
      <c r="C10158" s="1" t="str">
        <f>"1차"</f>
        <v>1차</v>
      </c>
      <c r="D10158" s="1" t="str">
        <f>"9728A76100"</f>
        <v>9728A76100</v>
      </c>
      <c r="E10158" s="1" t="s">
        <v>10</v>
      </c>
      <c r="F10158" s="1" t="str">
        <f>"10.128.1.239"</f>
        <v>10.128.1.239</v>
      </c>
      <c r="G10158" s="1" t="str">
        <f>"9728A761"</f>
        <v>9728A761</v>
      </c>
      <c r="H10158" s="1" t="str">
        <f>"대조간 2R1"</f>
        <v>대조간 2R1</v>
      </c>
      <c r="I10158" s="1" t="s">
        <v>8</v>
      </c>
      <c r="J10158" s="1" t="str">
        <f>"25/25"</f>
        <v>25/25</v>
      </c>
      <c r="K10158" s="1" t="str">
        <f>"2026-07-29 13:18:11"</f>
        <v>2026-07-29 13:18:11</v>
      </c>
      <c r="L10158" s="1" t="str">
        <f>"2014-12-22 18:13:33"</f>
        <v>2014-12-22 18:13:33</v>
      </c>
      <c r="M10158" s="1" t="s">
        <v>45</v>
      </c>
      <c r="N10158" s="1" t="s">
        <v>38</v>
      </c>
      <c r="O10158" s="1" t="s">
        <v>46</v>
      </c>
    </row>
    <row r="10159" spans="2:15" x14ac:dyDescent="0.3">
      <c r="B10159" s="1" t="s">
        <v>21</v>
      </c>
      <c r="C10159" s="1" t="str">
        <f>"1차"</f>
        <v>1차</v>
      </c>
      <c r="D10159" s="1" t="str">
        <f>"9728A83101"</f>
        <v>9728A83101</v>
      </c>
      <c r="E10159" s="1" t="s">
        <v>10</v>
      </c>
      <c r="F10159" s="1" t="str">
        <f>"10.128.1.242"</f>
        <v>10.128.1.242</v>
      </c>
      <c r="G10159" s="1" t="str">
        <f>"9728A831"</f>
        <v>9728A831</v>
      </c>
      <c r="H10159" s="1" t="str">
        <f>"대조간 10"</f>
        <v>대조간 10</v>
      </c>
      <c r="I10159" s="1" t="s">
        <v>8</v>
      </c>
      <c r="J10159" s="1" t="str">
        <f>"43/44"</f>
        <v>43/44</v>
      </c>
      <c r="K10159" s="1" t="str">
        <f>"2026-07-29 13:18:12"</f>
        <v>2026-07-29 13:18:12</v>
      </c>
      <c r="L10159" s="1" t="str">
        <f>"2014-12-23 14:43:12"</f>
        <v>2014-12-23 14:43:12</v>
      </c>
      <c r="M10159" s="1" t="s">
        <v>45</v>
      </c>
      <c r="N10159" s="1" t="s">
        <v>38</v>
      </c>
      <c r="O10159" s="1" t="s">
        <v>46</v>
      </c>
    </row>
    <row r="10160" spans="2:15" x14ac:dyDescent="0.3">
      <c r="B10160" s="1" t="s">
        <v>21</v>
      </c>
      <c r="C10160" s="1" t="str">
        <f>"4차"</f>
        <v>4차</v>
      </c>
      <c r="D10160" s="1" t="str">
        <f>"9728A89445"</f>
        <v>9728A89445</v>
      </c>
      <c r="E10160" s="1" t="s">
        <v>10</v>
      </c>
      <c r="F10160" s="1" t="str">
        <f>"10.14.9.23"</f>
        <v>10.14.9.23</v>
      </c>
      <c r="G10160" s="1" t="str">
        <f>"9728A894"</f>
        <v>9728A894</v>
      </c>
      <c r="H10160" s="1" t="str">
        <f>"통일로 R16"</f>
        <v>통일로 R16</v>
      </c>
      <c r="I10160" s="1" t="s">
        <v>17</v>
      </c>
      <c r="J10160" s="1" t="str">
        <f>"16/20"</f>
        <v>16/20</v>
      </c>
      <c r="K10160" s="1" t="str">
        <f>"2026-07-29 13:18:13"</f>
        <v>2026-07-29 13:18:13</v>
      </c>
      <c r="L10160" s="1" t="str">
        <f>"2021-06-22 08:55:08"</f>
        <v>2021-06-22 08:55:08</v>
      </c>
      <c r="M10160" s="1" t="s">
        <v>3</v>
      </c>
      <c r="N10160" s="1" t="s">
        <v>38</v>
      </c>
      <c r="O10160" s="1" t="s">
        <v>46</v>
      </c>
    </row>
    <row r="10161" spans="2:15" x14ac:dyDescent="0.3">
      <c r="B10161" s="1" t="s">
        <v>21</v>
      </c>
      <c r="C10161" s="1" t="str">
        <f>"5-2차"</f>
        <v>5-2차</v>
      </c>
      <c r="D10161" s="1" t="str">
        <f>"9728A9045M"</f>
        <v>9728A9045M</v>
      </c>
      <c r="E10161" s="1" t="s">
        <v>10</v>
      </c>
      <c r="F10161" s="1" t="str">
        <f>"fde1:103:4:6e0c:0:0:0:2"</f>
        <v>fde1:103:4:6e0c:0:0:0:2</v>
      </c>
      <c r="G10161" s="1" t="str">
        <f>"9728A904"</f>
        <v>9728A904</v>
      </c>
      <c r="H10161" s="1" t="str">
        <f>"대조간 17"</f>
        <v>대조간 17</v>
      </c>
      <c r="I10161" s="1" t="s">
        <v>15</v>
      </c>
      <c r="J10161" s="1" t="str">
        <f>"44/44"</f>
        <v>44/44</v>
      </c>
      <c r="K10161" s="1" t="str">
        <f>"2026-07-29 14:21:43"</f>
        <v>2026-07-29 14:21:43</v>
      </c>
      <c r="L10161" s="1" t="str">
        <f>"2023-11-15 10:35:22"</f>
        <v>2023-11-15 10:35:22</v>
      </c>
      <c r="M10161" s="1" t="s">
        <v>4</v>
      </c>
      <c r="N10161" s="1" t="s">
        <v>38</v>
      </c>
      <c r="O10161" s="1" t="s">
        <v>46</v>
      </c>
    </row>
    <row r="10162" spans="2:15" x14ac:dyDescent="0.3">
      <c r="B10162" s="1" t="s">
        <v>21</v>
      </c>
      <c r="C10162" s="1" t="str">
        <f>"1차"</f>
        <v>1차</v>
      </c>
      <c r="D10162" s="1" t="str">
        <f>"9728A92302"</f>
        <v>9728A92302</v>
      </c>
      <c r="E10162" s="1" t="s">
        <v>14</v>
      </c>
      <c r="F10162" s="1" t="str">
        <f>"10.128.1.238"</f>
        <v>10.128.1.238</v>
      </c>
      <c r="G10162" s="1" t="str">
        <f>"9728A923"</f>
        <v>9728A923</v>
      </c>
      <c r="H10162" s="1" t="str">
        <f>"대조간 13"</f>
        <v>대조간 13</v>
      </c>
      <c r="I10162" s="1" t="s">
        <v>8</v>
      </c>
      <c r="J10162" s="1" t="str">
        <f>"0/0"</f>
        <v>0/0</v>
      </c>
      <c r="K10162" s="1" t="str">
        <f>"2024-07-01 09:20:05"</f>
        <v>2024-07-01 09:20:05</v>
      </c>
      <c r="L10162" s="1" t="str">
        <f>"2014-12-23 12:58:01"</f>
        <v>2014-12-23 12:58:01</v>
      </c>
      <c r="M10162" s="1" t="s">
        <v>45</v>
      </c>
      <c r="N10162" s="1" t="s">
        <v>44</v>
      </c>
      <c r="O10162" s="1" t="s">
        <v>44</v>
      </c>
    </row>
    <row r="10163" spans="2:15" x14ac:dyDescent="0.3">
      <c r="B10163" s="1" t="s">
        <v>21</v>
      </c>
      <c r="C10163" s="1" t="str">
        <f>"1차"</f>
        <v>1차</v>
      </c>
      <c r="D10163" s="1" t="str">
        <f>"9728A94510"</f>
        <v>9728A94510</v>
      </c>
      <c r="E10163" s="1" t="s">
        <v>10</v>
      </c>
      <c r="F10163" s="1" t="str">
        <f>"10.128.1.241"</f>
        <v>10.128.1.241</v>
      </c>
      <c r="G10163" s="1" t="str">
        <f>"9728A945"</f>
        <v>9728A945</v>
      </c>
      <c r="H10163" s="1" t="str">
        <f>"대조간 8"</f>
        <v>대조간 8</v>
      </c>
      <c r="I10163" s="1" t="s">
        <v>8</v>
      </c>
      <c r="J10163" s="1" t="str">
        <f>"9/9"</f>
        <v>9/9</v>
      </c>
      <c r="K10163" s="1" t="str">
        <f>"2026-07-29 13:18:11"</f>
        <v>2026-07-29 13:18:11</v>
      </c>
      <c r="L10163" s="1" t="str">
        <f>"2017-03-08 14:31:34"</f>
        <v>2017-03-08 14:31:34</v>
      </c>
      <c r="M10163" s="1" t="s">
        <v>45</v>
      </c>
      <c r="N10163" s="1" t="s">
        <v>38</v>
      </c>
      <c r="O10163" s="1" t="s">
        <v>46</v>
      </c>
    </row>
    <row r="10164" spans="2:15" x14ac:dyDescent="0.3">
      <c r="B10164" s="1" t="s">
        <v>21</v>
      </c>
      <c r="C10164" s="1" t="str">
        <f>"1차"</f>
        <v>1차</v>
      </c>
      <c r="D10164" s="1" t="str">
        <f>"9728B00101"</f>
        <v>9728B00101</v>
      </c>
      <c r="E10164" s="1" t="s">
        <v>10</v>
      </c>
      <c r="F10164" s="1" t="str">
        <f>"10.12.128.46"</f>
        <v>10.12.128.46</v>
      </c>
      <c r="G10164" s="1" t="str">
        <f>"9728B001"</f>
        <v>9728B001</v>
      </c>
      <c r="H10164" s="1" t="str">
        <f>"대조간 22L8L1"</f>
        <v>대조간 22L8L1</v>
      </c>
      <c r="I10164" s="1" t="s">
        <v>8</v>
      </c>
      <c r="J10164" s="1" t="str">
        <f>"26/26"</f>
        <v>26/26</v>
      </c>
      <c r="K10164" s="1" t="str">
        <f>"2026-07-29 13:18:12"</f>
        <v>2026-07-29 13:18:12</v>
      </c>
      <c r="L10164" s="1" t="str">
        <f>"2014-12-23 12:28:27"</f>
        <v>2014-12-23 12:28:27</v>
      </c>
      <c r="M10164" s="1" t="s">
        <v>0</v>
      </c>
      <c r="N10164" s="1" t="s">
        <v>38</v>
      </c>
      <c r="O10164" s="1" t="s">
        <v>46</v>
      </c>
    </row>
    <row r="10165" spans="2:15" x14ac:dyDescent="0.3">
      <c r="B10165" s="1" t="s">
        <v>21</v>
      </c>
      <c r="C10165" s="1" t="str">
        <f>"6차"</f>
        <v>6차</v>
      </c>
      <c r="D10165" s="1" t="str">
        <f>"9728B0116S"</f>
        <v>9728B0116S</v>
      </c>
      <c r="E10165" s="1" t="s">
        <v>10</v>
      </c>
      <c r="F10165" s="1" t="str">
        <f>"fde1:103:4:9340:0:0:0:2"</f>
        <v>fde1:103:4:9340:0:0:0:2</v>
      </c>
      <c r="G10165" s="1" t="str">
        <f>"9728B011"</f>
        <v>9728B011</v>
      </c>
      <c r="H10165" s="1" t="str">
        <f>"대조간 18L3"</f>
        <v>대조간 18L3</v>
      </c>
      <c r="I10165" s="1" t="s">
        <v>15</v>
      </c>
      <c r="J10165" s="1" t="str">
        <f>"102/110"</f>
        <v>102/110</v>
      </c>
      <c r="K10165" s="1" t="str">
        <f>"2026-07-29 14:21:23"</f>
        <v>2026-07-29 14:21:23</v>
      </c>
      <c r="L10165" s="1" t="str">
        <f>"2025-01-22 17:55:06"</f>
        <v>2025-01-22 17:55:06</v>
      </c>
      <c r="M10165" s="1" t="s">
        <v>4</v>
      </c>
      <c r="N10165" s="1" t="s">
        <v>38</v>
      </c>
      <c r="O10165" s="1" t="s">
        <v>46</v>
      </c>
    </row>
    <row r="10166" spans="2:15" x14ac:dyDescent="0.3">
      <c r="B10166" s="1" t="s">
        <v>21</v>
      </c>
      <c r="C10166" s="1" t="str">
        <f>"1차"</f>
        <v>1차</v>
      </c>
      <c r="D10166" s="1" t="str">
        <f>"9728B01200"</f>
        <v>9728B01200</v>
      </c>
      <c r="E10166" s="1" t="s">
        <v>14</v>
      </c>
      <c r="F10166" s="1" t="str">
        <f>"10.128.1.244"</f>
        <v>10.128.1.244</v>
      </c>
      <c r="G10166" s="1" t="str">
        <f>"9728B012"</f>
        <v>9728B012</v>
      </c>
      <c r="H10166" s="1" t="str">
        <f>"대조간 16"</f>
        <v>대조간 16</v>
      </c>
      <c r="I10166" s="1" t="s">
        <v>8</v>
      </c>
      <c r="J10166" s="1" t="str">
        <f>"0/0"</f>
        <v>0/0</v>
      </c>
      <c r="K10166" s="1" t="str">
        <f>"2026-07-29 13:18:11"</f>
        <v>2026-07-29 13:18:11</v>
      </c>
      <c r="L10166" s="1" t="str">
        <f>"2014-12-22 13:58:23"</f>
        <v>2014-12-22 13:58:23</v>
      </c>
      <c r="M10166" s="1" t="s">
        <v>45</v>
      </c>
      <c r="N10166" s="1" t="s">
        <v>38</v>
      </c>
      <c r="O10166" s="1" t="s">
        <v>44</v>
      </c>
    </row>
    <row r="10167" spans="2:15" x14ac:dyDescent="0.3">
      <c r="B10167" s="1" t="s">
        <v>21</v>
      </c>
      <c r="C10167" s="1" t="str">
        <f>"1차"</f>
        <v>1차</v>
      </c>
      <c r="D10167" s="1" t="str">
        <f>"9728B02201"</f>
        <v>9728B02201</v>
      </c>
      <c r="E10167" s="1" t="s">
        <v>14</v>
      </c>
      <c r="F10167" s="1" t="str">
        <f>"10.128.2.3"</f>
        <v>10.128.2.3</v>
      </c>
      <c r="G10167" s="1" t="str">
        <f>"9728B022"</f>
        <v>9728B022</v>
      </c>
      <c r="H10167" s="1" t="str">
        <f>"대조간 16L4"</f>
        <v>대조간 16L4</v>
      </c>
      <c r="I10167" s="1" t="s">
        <v>8</v>
      </c>
      <c r="J10167" s="1" t="str">
        <f>"0/0"</f>
        <v>0/0</v>
      </c>
      <c r="K10167" s="1" t="str">
        <f>"2024-04-24 18:22:27"</f>
        <v>2024-04-24 18:22:27</v>
      </c>
      <c r="L10167" s="1" t="str">
        <f>"2015-01-07 15:57:54"</f>
        <v>2015-01-07 15:57:54</v>
      </c>
      <c r="M10167" s="1" t="s">
        <v>45</v>
      </c>
      <c r="N10167" s="1" t="s">
        <v>44</v>
      </c>
      <c r="O10167" s="1" t="s">
        <v>44</v>
      </c>
    </row>
    <row r="10168" spans="2:15" x14ac:dyDescent="0.3">
      <c r="B10168" s="1" t="s">
        <v>21</v>
      </c>
      <c r="C10168" s="1" t="str">
        <f>"1차"</f>
        <v>1차</v>
      </c>
      <c r="D10168" s="1" t="str">
        <f>"9728B04100"</f>
        <v>9728B04100</v>
      </c>
      <c r="E10168" s="1" t="s">
        <v>10</v>
      </c>
      <c r="F10168" s="1" t="str">
        <f>"10.128.1.246"</f>
        <v>10.128.1.246</v>
      </c>
      <c r="G10168" s="1" t="str">
        <f>"9728B041"</f>
        <v>9728B041</v>
      </c>
      <c r="H10168" s="1" t="str">
        <f>"대조간 6L1"</f>
        <v>대조간 6L1</v>
      </c>
      <c r="I10168" s="1" t="s">
        <v>8</v>
      </c>
      <c r="J10168" s="1" t="str">
        <f>"104/106"</f>
        <v>104/106</v>
      </c>
      <c r="K10168" s="1" t="str">
        <f>"2026-07-29 13:18:12"</f>
        <v>2026-07-29 13:18:12</v>
      </c>
      <c r="L10168" s="1" t="str">
        <f>"2015-01-22 15:40:50"</f>
        <v>2015-01-22 15:40:50</v>
      </c>
      <c r="M10168" s="1" t="s">
        <v>45</v>
      </c>
      <c r="N10168" s="1" t="s">
        <v>38</v>
      </c>
      <c r="O10168" s="1" t="s">
        <v>46</v>
      </c>
    </row>
    <row r="10169" spans="2:15" x14ac:dyDescent="0.3">
      <c r="B10169" s="1" t="s">
        <v>21</v>
      </c>
      <c r="C10169" s="1" t="str">
        <f>"5-1차"</f>
        <v>5-1차</v>
      </c>
      <c r="D10169" s="1" t="str">
        <f>"9728B1015M"</f>
        <v>9728B1015M</v>
      </c>
      <c r="E10169" s="1" t="s">
        <v>10</v>
      </c>
      <c r="F10169" s="1" t="str">
        <f>"fde3:102:1303:1703:0:0:0:2"</f>
        <v>fde3:102:1303:1703:0:0:0:2</v>
      </c>
      <c r="G10169" s="1" t="str">
        <f>"9728B101"</f>
        <v>9728B101</v>
      </c>
      <c r="H10169" s="1" t="str">
        <f>"대조간 22L11"</f>
        <v>대조간 22L11</v>
      </c>
      <c r="I10169" s="1" t="s">
        <v>15</v>
      </c>
      <c r="J10169" s="1" t="str">
        <f>"25/25"</f>
        <v>25/25</v>
      </c>
      <c r="K10169" s="1" t="str">
        <f>"2026-07-29 14:21:24"</f>
        <v>2026-07-29 14:21:24</v>
      </c>
      <c r="L10169" s="1" t="str">
        <f>"2022-11-21 11:49:09"</f>
        <v>2022-11-21 11:49:09</v>
      </c>
      <c r="M10169" s="1" t="s">
        <v>45</v>
      </c>
      <c r="N10169" s="1" t="s">
        <v>38</v>
      </c>
      <c r="O10169" s="1" t="s">
        <v>46</v>
      </c>
    </row>
    <row r="10170" spans="2:15" x14ac:dyDescent="0.3">
      <c r="B10170" s="1" t="s">
        <v>21</v>
      </c>
      <c r="C10170" s="1" t="str">
        <f>"1차"</f>
        <v>1차</v>
      </c>
      <c r="D10170" s="1" t="str">
        <f>"9728B11401"</f>
        <v>9728B11401</v>
      </c>
      <c r="E10170" s="1" t="s">
        <v>10</v>
      </c>
      <c r="F10170" s="1" t="str">
        <f>"10.128.1.250"</f>
        <v>10.128.1.250</v>
      </c>
      <c r="G10170" s="1" t="str">
        <f>"9728B114"</f>
        <v>9728B114</v>
      </c>
      <c r="H10170" s="1" t="str">
        <f>"대조간 18L6"</f>
        <v>대조간 18L6</v>
      </c>
      <c r="I10170" s="1" t="s">
        <v>8</v>
      </c>
      <c r="J10170" s="1" t="str">
        <f>"82/105"</f>
        <v>82/105</v>
      </c>
      <c r="K10170" s="1" t="str">
        <f>"2026-07-29 13:18:12"</f>
        <v>2026-07-29 13:18:12</v>
      </c>
      <c r="L10170" s="1" t="str">
        <f>"2014-12-23 11:43:22"</f>
        <v>2014-12-23 11:43:22</v>
      </c>
      <c r="M10170" s="1" t="s">
        <v>45</v>
      </c>
      <c r="N10170" s="1" t="s">
        <v>38</v>
      </c>
      <c r="O10170" s="1" t="s">
        <v>46</v>
      </c>
    </row>
    <row r="10171" spans="2:15" x14ac:dyDescent="0.3">
      <c r="B10171" s="1" t="s">
        <v>21</v>
      </c>
      <c r="C10171" s="1" t="str">
        <f>"1차"</f>
        <v>1차</v>
      </c>
      <c r="D10171" s="1" t="str">
        <f>"9728B12400"</f>
        <v>9728B12400</v>
      </c>
      <c r="E10171" s="1" t="s">
        <v>10</v>
      </c>
      <c r="F10171" s="1" t="str">
        <f>"10.128.1.248"</f>
        <v>10.128.1.248</v>
      </c>
      <c r="G10171" s="1" t="str">
        <f>"9728B124"</f>
        <v>9728B124</v>
      </c>
      <c r="H10171" s="1" t="str">
        <f>"대조간 18L5"</f>
        <v>대조간 18L5</v>
      </c>
      <c r="I10171" s="1" t="s">
        <v>8</v>
      </c>
      <c r="J10171" s="1" t="str">
        <f>"28/28"</f>
        <v>28/28</v>
      </c>
      <c r="K10171" s="1" t="str">
        <f>"2026-07-29 13:18:12"</f>
        <v>2026-07-29 13:18:12</v>
      </c>
      <c r="L10171" s="1" t="str">
        <f>"2015-01-22 15:40:39"</f>
        <v>2015-01-22 15:40:39</v>
      </c>
      <c r="M10171" s="1" t="s">
        <v>45</v>
      </c>
      <c r="N10171" s="1" t="s">
        <v>38</v>
      </c>
      <c r="O10171" s="1" t="s">
        <v>46</v>
      </c>
    </row>
    <row r="10172" spans="2:15" x14ac:dyDescent="0.3">
      <c r="B10172" s="1" t="s">
        <v>21</v>
      </c>
      <c r="C10172" s="1" t="str">
        <f>"4차"</f>
        <v>4차</v>
      </c>
      <c r="D10172" s="1" t="str">
        <f>"9728B21939"</f>
        <v>9728B21939</v>
      </c>
      <c r="E10172" s="1" t="s">
        <v>10</v>
      </c>
      <c r="F10172" s="1" t="str">
        <f>"10.12.135.243"</f>
        <v>10.12.135.243</v>
      </c>
      <c r="G10172" s="1" t="str">
        <f>"9728B219"</f>
        <v>9728B219</v>
      </c>
      <c r="H10172" s="1" t="str">
        <f>"통일로 L22"</f>
        <v>통일로 L22</v>
      </c>
      <c r="I10172" s="1" t="s">
        <v>17</v>
      </c>
      <c r="J10172" s="1" t="str">
        <f>"3/3"</f>
        <v>3/3</v>
      </c>
      <c r="K10172" s="1" t="str">
        <f>"2026-07-29 13:18:13"</f>
        <v>2026-07-29 13:18:13</v>
      </c>
      <c r="L10172" s="1" t="str">
        <f>"2018-05-23 08:13:40"</f>
        <v>2018-05-23 08:13:40</v>
      </c>
      <c r="M10172" s="1" t="s">
        <v>0</v>
      </c>
      <c r="N10172" s="1" t="s">
        <v>38</v>
      </c>
      <c r="O10172" s="1" t="s">
        <v>46</v>
      </c>
    </row>
    <row r="10173" spans="2:15" x14ac:dyDescent="0.3">
      <c r="B10173" s="1" t="s">
        <v>21</v>
      </c>
      <c r="C10173" s="1" t="str">
        <f>"4차"</f>
        <v>4차</v>
      </c>
      <c r="D10173" s="1" t="str">
        <f>"9728B26339"</f>
        <v>9728B26339</v>
      </c>
      <c r="E10173" s="1" t="s">
        <v>10</v>
      </c>
      <c r="F10173" s="1" t="str">
        <f>"10.12.136.203"</f>
        <v>10.12.136.203</v>
      </c>
      <c r="G10173" s="1" t="str">
        <f>"9728B263"</f>
        <v>9728B263</v>
      </c>
      <c r="H10173" s="1" t="str">
        <f>"통일로 R15"</f>
        <v>통일로 R15</v>
      </c>
      <c r="I10173" s="1" t="s">
        <v>17</v>
      </c>
      <c r="J10173" s="1" t="str">
        <f>"5/5"</f>
        <v>5/5</v>
      </c>
      <c r="K10173" s="1" t="str">
        <f>"2026-07-29 13:18:11"</f>
        <v>2026-07-29 13:18:11</v>
      </c>
      <c r="L10173" s="1" t="str">
        <f>"2018-10-18 09:23:24"</f>
        <v>2018-10-18 09:23:24</v>
      </c>
      <c r="M10173" s="1" t="s">
        <v>0</v>
      </c>
      <c r="N10173" s="1" t="s">
        <v>38</v>
      </c>
      <c r="O10173" s="1" t="s">
        <v>46</v>
      </c>
    </row>
    <row r="10174" spans="2:15" x14ac:dyDescent="0.3">
      <c r="B10174" s="1" t="s">
        <v>21</v>
      </c>
      <c r="C10174" s="1" t="str">
        <f>"4차"</f>
        <v>4차</v>
      </c>
      <c r="D10174" s="1" t="str">
        <f>"9728B30439"</f>
        <v>9728B30439</v>
      </c>
      <c r="E10174" s="1" t="s">
        <v>10</v>
      </c>
      <c r="F10174" s="1" t="str">
        <f>"10.12.134.13"</f>
        <v>10.12.134.13</v>
      </c>
      <c r="G10174" s="1" t="str">
        <f>"9728B304"</f>
        <v>9728B304</v>
      </c>
      <c r="H10174" s="1" t="str">
        <f>"통일로 L22-1"</f>
        <v>통일로 L22-1</v>
      </c>
      <c r="I10174" s="1" t="s">
        <v>17</v>
      </c>
      <c r="J10174" s="1" t="str">
        <f>"11/11"</f>
        <v>11/11</v>
      </c>
      <c r="K10174" s="1" t="str">
        <f>"2026-07-29 13:18:13"</f>
        <v>2026-07-29 13:18:13</v>
      </c>
      <c r="L10174" s="1" t="str">
        <f>"2018-05-23 08:24:26"</f>
        <v>2018-05-23 08:24:26</v>
      </c>
      <c r="M10174" s="1" t="s">
        <v>0</v>
      </c>
      <c r="N10174" s="1" t="s">
        <v>38</v>
      </c>
      <c r="O10174" s="1" t="s">
        <v>46</v>
      </c>
    </row>
    <row r="10175" spans="2:15" x14ac:dyDescent="0.3">
      <c r="B10175" s="1" t="s">
        <v>21</v>
      </c>
      <c r="C10175" s="1" t="str">
        <f>"4차"</f>
        <v>4차</v>
      </c>
      <c r="D10175" s="1" t="str">
        <f>"9728B40239"</f>
        <v>9728B40239</v>
      </c>
      <c r="E10175" s="1" t="s">
        <v>10</v>
      </c>
      <c r="F10175" s="1" t="str">
        <f>"10.12.133.246"</f>
        <v>10.12.133.246</v>
      </c>
      <c r="G10175" s="1" t="str">
        <f>"9728B402"</f>
        <v>9728B402</v>
      </c>
      <c r="H10175" s="1" t="str">
        <f>"통일로 R14"</f>
        <v>통일로 R14</v>
      </c>
      <c r="I10175" s="1" t="s">
        <v>17</v>
      </c>
      <c r="J10175" s="1" t="str">
        <f>"10/10"</f>
        <v>10/10</v>
      </c>
      <c r="K10175" s="1" t="str">
        <f>"2026-07-29 13:18:11"</f>
        <v>2026-07-29 13:18:11</v>
      </c>
      <c r="L10175" s="1" t="str">
        <f>"2018-05-21 12:09:09"</f>
        <v>2018-05-21 12:09:09</v>
      </c>
      <c r="M10175" s="1" t="s">
        <v>0</v>
      </c>
      <c r="N10175" s="1" t="s">
        <v>38</v>
      </c>
      <c r="O10175" s="1" t="s">
        <v>46</v>
      </c>
    </row>
    <row r="10176" spans="2:15" x14ac:dyDescent="0.3">
      <c r="B10176" s="1" t="s">
        <v>21</v>
      </c>
      <c r="C10176" s="1" t="str">
        <f>"4차"</f>
        <v>4차</v>
      </c>
      <c r="D10176" s="1" t="str">
        <f>"9728B40339"</f>
        <v>9728B40339</v>
      </c>
      <c r="E10176" s="1" t="s">
        <v>10</v>
      </c>
      <c r="F10176" s="1" t="str">
        <f>"10.12.135.241"</f>
        <v>10.12.135.241</v>
      </c>
      <c r="G10176" s="1" t="str">
        <f>"9728B403"</f>
        <v>9728B403</v>
      </c>
      <c r="H10176" s="1" t="str">
        <f>"통일로 R14-1"</f>
        <v>통일로 R14-1</v>
      </c>
      <c r="I10176" s="1" t="s">
        <v>17</v>
      </c>
      <c r="J10176" s="1" t="str">
        <f>"18/18"</f>
        <v>18/18</v>
      </c>
      <c r="K10176" s="1" t="str">
        <f>"2026-07-29 13:18:11"</f>
        <v>2026-07-29 13:18:11</v>
      </c>
      <c r="L10176" s="1" t="str">
        <f>"2018-05-21 14:37:10"</f>
        <v>2018-05-21 14:37:10</v>
      </c>
      <c r="M10176" s="1" t="s">
        <v>0</v>
      </c>
      <c r="N10176" s="1" t="s">
        <v>38</v>
      </c>
      <c r="O10176" s="1" t="s">
        <v>46</v>
      </c>
    </row>
    <row r="10177" spans="2:15" x14ac:dyDescent="0.3">
      <c r="B10177" s="1" t="s">
        <v>21</v>
      </c>
      <c r="C10177" s="1" t="s">
        <v>16</v>
      </c>
      <c r="D10177" s="1" t="str">
        <f>"9728B61441"</f>
        <v>9728B61441</v>
      </c>
      <c r="E10177" s="1" t="s">
        <v>10</v>
      </c>
      <c r="F10177" s="1" t="str">
        <f>"10.14.8.129"</f>
        <v>10.14.8.129</v>
      </c>
      <c r="G10177" s="1" t="str">
        <f>"9728B614"</f>
        <v>9728B614</v>
      </c>
      <c r="H10177" s="1" t="str">
        <f>"독박간 3"</f>
        <v>독박간 3</v>
      </c>
      <c r="I10177" s="1" t="s">
        <v>17</v>
      </c>
      <c r="J10177" s="1" t="str">
        <f>"26/26"</f>
        <v>26/26</v>
      </c>
      <c r="K10177" s="1" t="str">
        <f>"2026-07-29 13:18:13"</f>
        <v>2026-07-29 13:18:13</v>
      </c>
      <c r="L10177" s="1" t="str">
        <f>"2022-11-16 07:57:35"</f>
        <v>2022-11-16 07:57:35</v>
      </c>
      <c r="M10177" s="1" t="s">
        <v>3</v>
      </c>
      <c r="N10177" s="1" t="s">
        <v>38</v>
      </c>
      <c r="O10177" s="1" t="s">
        <v>46</v>
      </c>
    </row>
    <row r="10178" spans="2:15" x14ac:dyDescent="0.3">
      <c r="B10178" s="1" t="s">
        <v>21</v>
      </c>
      <c r="C10178" s="1" t="str">
        <f>"5-2차"</f>
        <v>5-2차</v>
      </c>
      <c r="D10178" s="1" t="str">
        <f>"9728B7015M"</f>
        <v>9728B7015M</v>
      </c>
      <c r="E10178" s="1" t="s">
        <v>10</v>
      </c>
      <c r="F10178" s="1" t="str">
        <f>"fde3:102:1303:504:0:0:0:2"</f>
        <v>fde3:102:1303:504:0:0:0:2</v>
      </c>
      <c r="G10178" s="1" t="str">
        <f>"9728B701"</f>
        <v>9728B701</v>
      </c>
      <c r="H10178" s="1" t="str">
        <f>"환경간 15"</f>
        <v>환경간 15</v>
      </c>
      <c r="I10178" s="1" t="s">
        <v>15</v>
      </c>
      <c r="J10178" s="1" t="str">
        <f>"40/40"</f>
        <v>40/40</v>
      </c>
      <c r="K10178" s="1" t="str">
        <f>"2026-07-29 14:21:40"</f>
        <v>2026-07-29 14:21:40</v>
      </c>
      <c r="L10178" s="1" t="str">
        <f>"2023-12-01 10:54:33"</f>
        <v>2023-12-01 10:54:33</v>
      </c>
      <c r="M10178" s="1" t="s">
        <v>45</v>
      </c>
      <c r="N10178" s="1" t="s">
        <v>38</v>
      </c>
      <c r="O10178" s="1" t="s">
        <v>46</v>
      </c>
    </row>
    <row r="10179" spans="2:15" x14ac:dyDescent="0.3">
      <c r="B10179" s="1" t="s">
        <v>21</v>
      </c>
      <c r="C10179" s="1" t="str">
        <f>"1차"</f>
        <v>1차</v>
      </c>
      <c r="D10179" s="1" t="str">
        <f>"9728B76101"</f>
        <v>9728B76101</v>
      </c>
      <c r="E10179" s="1" t="s">
        <v>14</v>
      </c>
      <c r="F10179" s="1" t="str">
        <f>"10.14.11.191"</f>
        <v>10.14.11.191</v>
      </c>
      <c r="G10179" s="1" t="str">
        <f>"9728B761"</f>
        <v>9728B761</v>
      </c>
      <c r="H10179" s="1" t="str">
        <f>"독박간 9L5"</f>
        <v>독박간 9L5</v>
      </c>
      <c r="I10179" s="1" t="s">
        <v>8</v>
      </c>
      <c r="J10179" s="1" t="str">
        <f>"0/0"</f>
        <v>0/0</v>
      </c>
      <c r="K10179" s="1" t="str">
        <f>"2026-07-29 13:18:11"</f>
        <v>2026-07-29 13:18:11</v>
      </c>
      <c r="L10179" s="1" t="str">
        <f>"2014-12-22 12:43:36"</f>
        <v>2014-12-22 12:43:36</v>
      </c>
      <c r="M10179" s="1" t="s">
        <v>3</v>
      </c>
      <c r="N10179" s="1" t="s">
        <v>38</v>
      </c>
      <c r="O10179" s="1" t="s">
        <v>44</v>
      </c>
    </row>
    <row r="10180" spans="2:15" x14ac:dyDescent="0.3">
      <c r="B10180" s="1" t="s">
        <v>21</v>
      </c>
      <c r="C10180" s="1" t="str">
        <f>"5-2차"</f>
        <v>5-2차</v>
      </c>
      <c r="D10180" s="1" t="str">
        <f>"9728B8125S"</f>
        <v>9728B8125S</v>
      </c>
      <c r="E10180" s="1" t="s">
        <v>10</v>
      </c>
      <c r="F10180" s="1" t="str">
        <f>"fde3:102:1303:f10:0:0:0:2"</f>
        <v>fde3:102:1303:f10:0:0:0:2</v>
      </c>
      <c r="G10180" s="1" t="str">
        <f>"9728B812"</f>
        <v>9728B812</v>
      </c>
      <c r="H10180" s="1" t="str">
        <f>"환경간 17R1"</f>
        <v>환경간 17R1</v>
      </c>
      <c r="I10180" s="1" t="s">
        <v>15</v>
      </c>
      <c r="J10180" s="1" t="str">
        <f>"71/71"</f>
        <v>71/71</v>
      </c>
      <c r="K10180" s="1" t="str">
        <f>"2026-07-29 14:21:23"</f>
        <v>2026-07-29 14:21:23</v>
      </c>
      <c r="L10180" s="1" t="str">
        <f>"2023-06-06 08:52:29"</f>
        <v>2023-06-06 08:52:29</v>
      </c>
      <c r="M10180" s="1" t="s">
        <v>45</v>
      </c>
      <c r="N10180" s="1" t="s">
        <v>38</v>
      </c>
      <c r="O10180" s="1" t="s">
        <v>46</v>
      </c>
    </row>
    <row r="10181" spans="2:15" x14ac:dyDescent="0.3">
      <c r="B10181" s="1" t="s">
        <v>21</v>
      </c>
      <c r="C10181" s="1" t="str">
        <f>"1차"</f>
        <v>1차</v>
      </c>
      <c r="D10181" s="1" t="str">
        <f>"9728B83100"</f>
        <v>9728B83100</v>
      </c>
      <c r="E10181" s="1" t="s">
        <v>10</v>
      </c>
      <c r="F10181" s="1" t="str">
        <f>"10.128.70.43"</f>
        <v>10.128.70.43</v>
      </c>
      <c r="G10181" s="1" t="str">
        <f>"9728B831"</f>
        <v>9728B831</v>
      </c>
      <c r="H10181" s="1" t="str">
        <f>"독박간 9"</f>
        <v>독박간 9</v>
      </c>
      <c r="I10181" s="1" t="s">
        <v>8</v>
      </c>
      <c r="J10181" s="1" t="str">
        <f>"4/5"</f>
        <v>4/5</v>
      </c>
      <c r="K10181" s="1" t="str">
        <f>"2026-07-29 13:18:11"</f>
        <v>2026-07-29 13:18:11</v>
      </c>
      <c r="L10181" s="1" t="str">
        <f>"2014-12-19 12:13:33"</f>
        <v>2014-12-19 12:13:33</v>
      </c>
      <c r="M10181" s="1" t="s">
        <v>45</v>
      </c>
      <c r="N10181" s="1" t="s">
        <v>38</v>
      </c>
      <c r="O10181" s="1" t="s">
        <v>46</v>
      </c>
    </row>
    <row r="10182" spans="2:15" x14ac:dyDescent="0.3">
      <c r="B10182" s="1" t="s">
        <v>21</v>
      </c>
      <c r="C10182" s="1" t="str">
        <f>"1차"</f>
        <v>1차</v>
      </c>
      <c r="D10182" s="1" t="str">
        <f>"9728B85101"</f>
        <v>9728B85101</v>
      </c>
      <c r="E10182" s="1" t="s">
        <v>10</v>
      </c>
      <c r="F10182" s="1" t="str">
        <f>"10.12.134.79"</f>
        <v>10.12.134.79</v>
      </c>
      <c r="G10182" s="1" t="str">
        <f>"9728B851"</f>
        <v>9728B851</v>
      </c>
      <c r="H10182" s="1" t="str">
        <f>"독박간 11"</f>
        <v>독박간 11</v>
      </c>
      <c r="I10182" s="1" t="s">
        <v>8</v>
      </c>
      <c r="J10182" s="1" t="str">
        <f>"1/2"</f>
        <v>1/2</v>
      </c>
      <c r="K10182" s="1" t="str">
        <f>"2026-07-29 13:18:15"</f>
        <v>2026-07-29 13:18:15</v>
      </c>
      <c r="L10182" s="1" t="str">
        <f>"2015-01-28 10:42:25"</f>
        <v>2015-01-28 10:42:25</v>
      </c>
      <c r="M10182" s="1" t="s">
        <v>0</v>
      </c>
      <c r="N10182" s="1" t="s">
        <v>38</v>
      </c>
      <c r="O10182" s="1" t="s">
        <v>46</v>
      </c>
    </row>
    <row r="10183" spans="2:15" x14ac:dyDescent="0.3">
      <c r="B10183" s="1" t="s">
        <v>21</v>
      </c>
      <c r="C10183" s="1" t="str">
        <f>"5-1차"</f>
        <v>5-1차</v>
      </c>
      <c r="D10183" s="1" t="str">
        <f>"9728B9225M"</f>
        <v>9728B9225M</v>
      </c>
      <c r="E10183" s="1" t="s">
        <v>10</v>
      </c>
      <c r="F10183" s="1" t="str">
        <f>"fde3:102:1303:500:0:0:0:2"</f>
        <v>fde3:102:1303:500:0:0:0:2</v>
      </c>
      <c r="G10183" s="1" t="str">
        <f>"9728B922"</f>
        <v>9728B922</v>
      </c>
      <c r="H10183" s="1" t="str">
        <f>"환경간 23"</f>
        <v>환경간 23</v>
      </c>
      <c r="I10183" s="1" t="s">
        <v>15</v>
      </c>
      <c r="J10183" s="1" t="str">
        <f>"39/39"</f>
        <v>39/39</v>
      </c>
      <c r="K10183" s="1" t="str">
        <f>"2026-07-29 14:21:24"</f>
        <v>2026-07-29 14:21:24</v>
      </c>
      <c r="L10183" s="1" t="str">
        <f>"2022-11-24 18:28:53"</f>
        <v>2022-11-24 18:28:53</v>
      </c>
      <c r="M10183" s="1" t="s">
        <v>45</v>
      </c>
      <c r="N10183" s="1" t="s">
        <v>38</v>
      </c>
      <c r="O10183" s="1" t="s">
        <v>46</v>
      </c>
    </row>
    <row r="10184" spans="2:15" x14ac:dyDescent="0.3">
      <c r="B10184" s="1" t="s">
        <v>21</v>
      </c>
      <c r="C10184" s="1" t="str">
        <f>"5-2차"</f>
        <v>5-2차</v>
      </c>
      <c r="D10184" s="1" t="str">
        <f>"9728B9715M"</f>
        <v>9728B9715M</v>
      </c>
      <c r="E10184" s="1" t="s">
        <v>10</v>
      </c>
      <c r="F10184" s="1" t="str">
        <f>"fde1:103:4:6e08:0:0:0:2"</f>
        <v>fde1:103:4:6e08:0:0:0:2</v>
      </c>
      <c r="G10184" s="1" t="str">
        <f>"9728B971"</f>
        <v>9728B971</v>
      </c>
      <c r="H10184" s="1" t="str">
        <f>"환경간 20L8R1"</f>
        <v>환경간 20L8R1</v>
      </c>
      <c r="I10184" s="1" t="s">
        <v>15</v>
      </c>
      <c r="J10184" s="1" t="str">
        <f>"80/80"</f>
        <v>80/80</v>
      </c>
      <c r="K10184" s="1" t="str">
        <f>"2026-07-29 14:21:41"</f>
        <v>2026-07-29 14:21:41</v>
      </c>
      <c r="L10184" s="1" t="str">
        <f>"2023-11-14 09:03:21"</f>
        <v>2023-11-14 09:03:21</v>
      </c>
      <c r="M10184" s="1" t="s">
        <v>4</v>
      </c>
      <c r="N10184" s="1" t="s">
        <v>38</v>
      </c>
      <c r="O10184" s="1" t="s">
        <v>46</v>
      </c>
    </row>
    <row r="10185" spans="2:15" x14ac:dyDescent="0.3">
      <c r="B10185" s="1" t="s">
        <v>21</v>
      </c>
      <c r="C10185" s="1" t="str">
        <f>"4차"</f>
        <v>4차</v>
      </c>
      <c r="D10185" s="1" t="str">
        <f>"9728C00244"</f>
        <v>9728C00244</v>
      </c>
      <c r="E10185" s="1" t="s">
        <v>10</v>
      </c>
      <c r="F10185" s="1" t="str">
        <f>"10.10.81.186"</f>
        <v>10.10.81.186</v>
      </c>
      <c r="G10185" s="1" t="str">
        <f>"9728C002"</f>
        <v>9728C002</v>
      </c>
      <c r="H10185" s="1" t="str">
        <f>"서오간 10L5R7"</f>
        <v>서오간 10L5R7</v>
      </c>
      <c r="I10185" s="1" t="s">
        <v>8</v>
      </c>
      <c r="J10185" s="1" t="str">
        <f>"60/60"</f>
        <v>60/60</v>
      </c>
      <c r="K10185" s="1" t="str">
        <f>"2026-07-29 13:18:11"</f>
        <v>2026-07-29 13:18:11</v>
      </c>
      <c r="L10185" s="1" t="str">
        <f>"2019-12-24 16:46:39"</f>
        <v>2019-12-24 16:46:39</v>
      </c>
      <c r="M10185" s="1" t="s">
        <v>1</v>
      </c>
      <c r="N10185" s="1" t="s">
        <v>38</v>
      </c>
      <c r="O10185" s="1" t="s">
        <v>46</v>
      </c>
    </row>
    <row r="10186" spans="2:15" x14ac:dyDescent="0.3">
      <c r="B10186" s="1" t="s">
        <v>21</v>
      </c>
      <c r="C10186" s="1" t="str">
        <f>"4차"</f>
        <v>4차</v>
      </c>
      <c r="D10186" s="1" t="str">
        <f>"9728C01344"</f>
        <v>9728C01344</v>
      </c>
      <c r="E10186" s="1" t="s">
        <v>10</v>
      </c>
      <c r="F10186" s="1" t="str">
        <f>"10.10.93.82"</f>
        <v>10.10.93.82</v>
      </c>
      <c r="G10186" s="1" t="str">
        <f>"9728C013"</f>
        <v>9728C013</v>
      </c>
      <c r="H10186" s="1" t="str">
        <f>"갈촌간 7L2"</f>
        <v>갈촌간 7L2</v>
      </c>
      <c r="I10186" s="1" t="s">
        <v>8</v>
      </c>
      <c r="J10186" s="1" t="str">
        <f>"31/31"</f>
        <v>31/31</v>
      </c>
      <c r="K10186" s="1" t="str">
        <f>"2026-07-29 13:18:11"</f>
        <v>2026-07-29 13:18:11</v>
      </c>
      <c r="L10186" s="1" t="str">
        <f>"2019-11-12 20:41:44"</f>
        <v>2019-11-12 20:41:44</v>
      </c>
      <c r="M10186" s="1" t="s">
        <v>1</v>
      </c>
      <c r="N10186" s="1" t="s">
        <v>38</v>
      </c>
      <c r="O10186" s="1" t="s">
        <v>46</v>
      </c>
    </row>
    <row r="10187" spans="2:15" x14ac:dyDescent="0.3">
      <c r="B10187" s="1" t="s">
        <v>21</v>
      </c>
      <c r="C10187" s="1" t="str">
        <f>"5-1차"</f>
        <v>5-1차</v>
      </c>
      <c r="D10187" s="1" t="str">
        <f>"9728C0225M"</f>
        <v>9728C0225M</v>
      </c>
      <c r="E10187" s="1" t="s">
        <v>10</v>
      </c>
      <c r="F10187" s="1" t="str">
        <f>"fde2:104:0:ec:0:0:0:2"</f>
        <v>fde2:104:0:ec:0:0:0:2</v>
      </c>
      <c r="G10187" s="1" t="str">
        <f>"9728C022"</f>
        <v>9728C022</v>
      </c>
      <c r="H10187" s="1" t="str">
        <f>"대동간 26"</f>
        <v>대동간 26</v>
      </c>
      <c r="I10187" s="1" t="s">
        <v>15</v>
      </c>
      <c r="J10187" s="1" t="str">
        <f>"49/49"</f>
        <v>49/49</v>
      </c>
      <c r="K10187" s="1" t="str">
        <f>"2026-07-29 14:21:25"</f>
        <v>2026-07-29 14:21:25</v>
      </c>
      <c r="L10187" s="1" t="str">
        <f>"2022-09-08 16:34:47"</f>
        <v>2022-09-08 16:34:47</v>
      </c>
      <c r="M10187" s="1" t="s">
        <v>42</v>
      </c>
      <c r="N10187" s="1" t="s">
        <v>38</v>
      </c>
      <c r="O10187" s="1" t="s">
        <v>46</v>
      </c>
    </row>
    <row r="10188" spans="2:15" x14ac:dyDescent="0.3">
      <c r="B10188" s="1" t="s">
        <v>21</v>
      </c>
      <c r="C10188" s="1" t="str">
        <f>"5-2차"</f>
        <v>5-2차</v>
      </c>
      <c r="D10188" s="1" t="str">
        <f>"9728C0335S"</f>
        <v>9728C0335S</v>
      </c>
      <c r="E10188" s="1" t="s">
        <v>10</v>
      </c>
      <c r="F10188" s="1" t="str">
        <f>"fde3:102:1303:1709:0:0:0:2"</f>
        <v>fde3:102:1303:1709:0:0:0:2</v>
      </c>
      <c r="G10188" s="1" t="str">
        <f>"9728C033"</f>
        <v>9728C033</v>
      </c>
      <c r="H10188" s="1" t="str">
        <f>"대동간 29R1"</f>
        <v>대동간 29R1</v>
      </c>
      <c r="I10188" s="1" t="s">
        <v>15</v>
      </c>
      <c r="J10188" s="1" t="str">
        <f>"52/52"</f>
        <v>52/52</v>
      </c>
      <c r="K10188" s="1" t="str">
        <f>"2026-07-29 14:21:24"</f>
        <v>2026-07-29 14:21:24</v>
      </c>
      <c r="L10188" s="1" t="str">
        <f>"2023-07-05 10:23:14"</f>
        <v>2023-07-05 10:23:14</v>
      </c>
      <c r="M10188" s="1" t="s">
        <v>45</v>
      </c>
      <c r="N10188" s="1" t="s">
        <v>38</v>
      </c>
      <c r="O10188" s="1" t="s">
        <v>46</v>
      </c>
    </row>
    <row r="10189" spans="2:15" x14ac:dyDescent="0.3">
      <c r="B10189" s="1" t="s">
        <v>21</v>
      </c>
      <c r="C10189" s="1" t="str">
        <f>"4차"</f>
        <v>4차</v>
      </c>
      <c r="D10189" s="1" t="str">
        <f>"9728C10244"</f>
        <v>9728C10244</v>
      </c>
      <c r="E10189" s="1" t="s">
        <v>10</v>
      </c>
      <c r="F10189" s="1" t="str">
        <f>"10.10.120.146"</f>
        <v>10.10.120.146</v>
      </c>
      <c r="G10189" s="1" t="str">
        <f>"9728C102"</f>
        <v>9728C102</v>
      </c>
      <c r="H10189" s="1" t="str">
        <f>"서오간 10L5R8"</f>
        <v>서오간 10L5R8</v>
      </c>
      <c r="I10189" s="1" t="s">
        <v>8</v>
      </c>
      <c r="J10189" s="1" t="str">
        <f>"18/25"</f>
        <v>18/25</v>
      </c>
      <c r="K10189" s="1" t="str">
        <f>"2026-07-29 13:18:11"</f>
        <v>2026-07-29 13:18:11</v>
      </c>
      <c r="L10189" s="1" t="str">
        <f>"2019-12-17 16:10:24"</f>
        <v>2019-12-17 16:10:24</v>
      </c>
      <c r="M10189" s="1" t="s">
        <v>1</v>
      </c>
      <c r="N10189" s="1" t="s">
        <v>38</v>
      </c>
      <c r="O10189" s="1" t="s">
        <v>46</v>
      </c>
    </row>
    <row r="10190" spans="2:15" x14ac:dyDescent="0.3">
      <c r="B10190" s="1" t="s">
        <v>21</v>
      </c>
      <c r="C10190" s="1" t="str">
        <f>"5-2차"</f>
        <v>5-2차</v>
      </c>
      <c r="D10190" s="1" t="str">
        <f>"9728C1235M"</f>
        <v>9728C1235M</v>
      </c>
      <c r="E10190" s="1" t="s">
        <v>10</v>
      </c>
      <c r="F10190" s="1" t="str">
        <f>"fde3:102:1303:1709:0:0:0:3"</f>
        <v>fde3:102:1303:1709:0:0:0:3</v>
      </c>
      <c r="G10190" s="1" t="str">
        <f>"9728C123"</f>
        <v>9728C123</v>
      </c>
      <c r="H10190" s="1" t="str">
        <f>"대조간 30L1R4"</f>
        <v>대조간 30L1R4</v>
      </c>
      <c r="I10190" s="1" t="s">
        <v>15</v>
      </c>
      <c r="J10190" s="1" t="str">
        <f>"49/49"</f>
        <v>49/49</v>
      </c>
      <c r="K10190" s="1" t="str">
        <f>"2026-07-29 14:21:23"</f>
        <v>2026-07-29 14:21:23</v>
      </c>
      <c r="L10190" s="1" t="str">
        <f>"2023-07-24 11:25:20"</f>
        <v>2023-07-24 11:25:20</v>
      </c>
      <c r="M10190" s="1" t="s">
        <v>45</v>
      </c>
      <c r="N10190" s="1" t="s">
        <v>38</v>
      </c>
      <c r="O10190" s="1" t="s">
        <v>46</v>
      </c>
    </row>
    <row r="10191" spans="2:15" x14ac:dyDescent="0.3">
      <c r="B10191" s="1" t="s">
        <v>21</v>
      </c>
      <c r="C10191" s="1" t="str">
        <f>"5-2차"</f>
        <v>5-2차</v>
      </c>
      <c r="D10191" s="1" t="str">
        <f>"9728C1315M"</f>
        <v>9728C1315M</v>
      </c>
      <c r="E10191" s="1" t="s">
        <v>10</v>
      </c>
      <c r="F10191" s="1" t="str">
        <f>"fde1:103:4:92ff:0:0:0:2"</f>
        <v>fde1:103:4:92ff:0:0:0:2</v>
      </c>
      <c r="G10191" s="1" t="str">
        <f>"9728C131"</f>
        <v>9728C131</v>
      </c>
      <c r="H10191" s="1" t="str">
        <f>"대동간 28R1"</f>
        <v>대동간 28R1</v>
      </c>
      <c r="I10191" s="1" t="s">
        <v>15</v>
      </c>
      <c r="J10191" s="1" t="str">
        <f>"57/57"</f>
        <v>57/57</v>
      </c>
      <c r="K10191" s="1" t="str">
        <f>"2026-07-29 14:21:41"</f>
        <v>2026-07-29 14:21:41</v>
      </c>
      <c r="L10191" s="1" t="str">
        <f>"2023-12-15 09:05:11"</f>
        <v>2023-12-15 09:05:11</v>
      </c>
      <c r="M10191" s="1" t="s">
        <v>4</v>
      </c>
      <c r="N10191" s="1" t="s">
        <v>38</v>
      </c>
      <c r="O10191" s="1" t="s">
        <v>46</v>
      </c>
    </row>
    <row r="10192" spans="2:15" x14ac:dyDescent="0.3">
      <c r="B10192" s="1" t="s">
        <v>21</v>
      </c>
      <c r="C10192" s="1" t="str">
        <f>"5-2차"</f>
        <v>5-2차</v>
      </c>
      <c r="D10192" s="1" t="str">
        <f>"9728C1425M"</f>
        <v>9728C1425M</v>
      </c>
      <c r="E10192" s="1" t="s">
        <v>10</v>
      </c>
      <c r="F10192" s="1" t="str">
        <f>"fde1:103:4:9384:0:0:0:2"</f>
        <v>fde1:103:4:9384:0:0:0:2</v>
      </c>
      <c r="G10192" s="1" t="str">
        <f>"9728C142"</f>
        <v>9728C142</v>
      </c>
      <c r="H10192" s="1" t="str">
        <f>"대동간 28R2L1"</f>
        <v>대동간 28R2L1</v>
      </c>
      <c r="I10192" s="1" t="s">
        <v>15</v>
      </c>
      <c r="J10192" s="1" t="str">
        <f>"84/84"</f>
        <v>84/84</v>
      </c>
      <c r="K10192" s="1" t="str">
        <f>"2026-07-29 14:21:33"</f>
        <v>2026-07-29 14:21:33</v>
      </c>
      <c r="L10192" s="1" t="str">
        <f>"2024-01-08 15:00:38"</f>
        <v>2024-01-08 15:00:38</v>
      </c>
      <c r="M10192" s="1" t="s">
        <v>4</v>
      </c>
      <c r="N10192" s="1" t="s">
        <v>38</v>
      </c>
      <c r="O10192" s="1" t="s">
        <v>46</v>
      </c>
    </row>
    <row r="10193" spans="2:15" x14ac:dyDescent="0.3">
      <c r="B10193" s="1" t="s">
        <v>21</v>
      </c>
      <c r="C10193" s="1" t="str">
        <f>"5-2차"</f>
        <v>5-2차</v>
      </c>
      <c r="D10193" s="1" t="str">
        <f>"9728C2225M"</f>
        <v>9728C2225M</v>
      </c>
      <c r="E10193" s="1" t="s">
        <v>10</v>
      </c>
      <c r="F10193" s="1" t="str">
        <f>"fde1:103:4:942d:0:0:0:2"</f>
        <v>fde1:103:4:942d:0:0:0:2</v>
      </c>
      <c r="G10193" s="1" t="str">
        <f>"9728C222"</f>
        <v>9728C222</v>
      </c>
      <c r="H10193" s="1" t="str">
        <f>"대동간 20H2R1"</f>
        <v>대동간 20H2R1</v>
      </c>
      <c r="I10193" s="1" t="s">
        <v>15</v>
      </c>
      <c r="J10193" s="1" t="str">
        <f>"70/70"</f>
        <v>70/70</v>
      </c>
      <c r="K10193" s="1" t="str">
        <f>"2026-07-29 14:21:42"</f>
        <v>2026-07-29 14:21:42</v>
      </c>
      <c r="L10193" s="1" t="str">
        <f>"2023-12-15 09:05:43"</f>
        <v>2023-12-15 09:05:43</v>
      </c>
      <c r="M10193" s="1" t="s">
        <v>4</v>
      </c>
      <c r="N10193" s="1" t="s">
        <v>38</v>
      </c>
      <c r="O10193" s="1" t="s">
        <v>46</v>
      </c>
    </row>
    <row r="10194" spans="2:15" x14ac:dyDescent="0.3">
      <c r="B10194" s="1" t="s">
        <v>21</v>
      </c>
      <c r="C10194" s="1" t="str">
        <f>"5-1차"</f>
        <v>5-1차</v>
      </c>
      <c r="D10194" s="1" t="str">
        <f>"9728C2425M"</f>
        <v>9728C2425M</v>
      </c>
      <c r="E10194" s="1" t="s">
        <v>10</v>
      </c>
      <c r="F10194" s="1" t="str">
        <f>"fde2:104:0:c2:0:0:0:2"</f>
        <v>fde2:104:0:c2:0:0:0:2</v>
      </c>
      <c r="G10194" s="1" t="str">
        <f>"9728C242"</f>
        <v>9728C242</v>
      </c>
      <c r="H10194" s="1" t="str">
        <f>"대동간 28R3"</f>
        <v>대동간 28R3</v>
      </c>
      <c r="I10194" s="1" t="s">
        <v>15</v>
      </c>
      <c r="J10194" s="1" t="str">
        <f>"25/25"</f>
        <v>25/25</v>
      </c>
      <c r="K10194" s="1" t="str">
        <f>"2026-07-29 14:21:04"</f>
        <v>2026-07-29 14:21:04</v>
      </c>
      <c r="L10194" s="1" t="str">
        <f>"2022-09-14 13:14:43"</f>
        <v>2022-09-14 13:14:43</v>
      </c>
      <c r="M10194" s="1" t="s">
        <v>42</v>
      </c>
      <c r="N10194" s="1" t="s">
        <v>38</v>
      </c>
      <c r="O10194" s="1" t="s">
        <v>46</v>
      </c>
    </row>
    <row r="10195" spans="2:15" x14ac:dyDescent="0.3">
      <c r="B10195" s="1" t="s">
        <v>21</v>
      </c>
      <c r="C10195" s="1" t="str">
        <f>"5-2차"</f>
        <v>5-2차</v>
      </c>
      <c r="D10195" s="1" t="str">
        <f>"9728C2625M"</f>
        <v>9728C2625M</v>
      </c>
      <c r="E10195" s="1" t="s">
        <v>14</v>
      </c>
      <c r="F10195" s="1" t="str">
        <f>"fde1:103:4:92a2:0:0:0:2"</f>
        <v>fde1:103:4:92a2:0:0:0:2</v>
      </c>
      <c r="G10195" s="1" t="str">
        <f>"9728C262"</f>
        <v>9728C262</v>
      </c>
      <c r="H10195" s="1" t="str">
        <f>"대조간 34"</f>
        <v>대조간 34</v>
      </c>
      <c r="I10195" s="1" t="s">
        <v>15</v>
      </c>
      <c r="J10195" s="1" t="str">
        <f>"0/0"</f>
        <v>0/0</v>
      </c>
      <c r="K10195" s="1" t="str">
        <f>"2026-07-29 08:21:25"</f>
        <v>2026-07-29 08:21:25</v>
      </c>
      <c r="L10195" s="1" t="str">
        <f>"2024-01-08 15:55:51"</f>
        <v>2024-01-08 15:55:51</v>
      </c>
      <c r="M10195" s="1" t="s">
        <v>4</v>
      </c>
      <c r="N10195" s="1" t="s">
        <v>38</v>
      </c>
      <c r="O10195" s="1" t="s">
        <v>797</v>
      </c>
    </row>
    <row r="10196" spans="2:15" x14ac:dyDescent="0.3">
      <c r="B10196" s="1" t="s">
        <v>21</v>
      </c>
      <c r="C10196" s="1" t="str">
        <f>"5-1차"</f>
        <v>5-1차</v>
      </c>
      <c r="D10196" s="1" t="str">
        <f>"9728C3015M"</f>
        <v>9728C3015M</v>
      </c>
      <c r="E10196" s="1" t="s">
        <v>10</v>
      </c>
      <c r="F10196" s="1" t="str">
        <f>"fde3:102:1303:803:0:0:0:2"</f>
        <v>fde3:102:1303:803:0:0:0:2</v>
      </c>
      <c r="G10196" s="1" t="str">
        <f>"9728C301"</f>
        <v>9728C301</v>
      </c>
      <c r="H10196" s="1" t="str">
        <f>"응암간 27L1"</f>
        <v>응암간 27L1</v>
      </c>
      <c r="I10196" s="1" t="s">
        <v>15</v>
      </c>
      <c r="J10196" s="1" t="str">
        <f>"51/60"</f>
        <v>51/60</v>
      </c>
      <c r="K10196" s="1" t="str">
        <f>"2026-07-29 14:21:24"</f>
        <v>2026-07-29 14:21:24</v>
      </c>
      <c r="L10196" s="1" t="str">
        <f>"2022-11-21 11:10:45"</f>
        <v>2022-11-21 11:10:45</v>
      </c>
      <c r="M10196" s="1" t="s">
        <v>45</v>
      </c>
      <c r="N10196" s="1" t="s">
        <v>38</v>
      </c>
      <c r="O10196" s="1" t="s">
        <v>46</v>
      </c>
    </row>
    <row r="10197" spans="2:15" x14ac:dyDescent="0.3">
      <c r="B10197" s="1" t="s">
        <v>21</v>
      </c>
      <c r="C10197" s="1" t="str">
        <f>"5-2차"</f>
        <v>5-2차</v>
      </c>
      <c r="D10197" s="1" t="str">
        <f>"9728C3115M"</f>
        <v>9728C3115M</v>
      </c>
      <c r="E10197" s="1" t="s">
        <v>10</v>
      </c>
      <c r="F10197" s="1" t="str">
        <f>"fde3:102:1303:809:0:0:0:2"</f>
        <v>fde3:102:1303:809:0:0:0:2</v>
      </c>
      <c r="G10197" s="1" t="str">
        <f>"9728C311"</f>
        <v>9728C311</v>
      </c>
      <c r="H10197" s="1" t="str">
        <f>"응암간 27"</f>
        <v>응암간 27</v>
      </c>
      <c r="I10197" s="1" t="s">
        <v>15</v>
      </c>
      <c r="J10197" s="1" t="str">
        <f>"13/13"</f>
        <v>13/13</v>
      </c>
      <c r="K10197" s="1" t="str">
        <f>"2026-07-29 14:21:41"</f>
        <v>2026-07-29 14:21:41</v>
      </c>
      <c r="L10197" s="1" t="str">
        <f>"2023-06-13 18:24:01"</f>
        <v>2023-06-13 18:24:01</v>
      </c>
      <c r="M10197" s="1" t="s">
        <v>45</v>
      </c>
      <c r="N10197" s="1" t="s">
        <v>38</v>
      </c>
      <c r="O10197" s="1" t="s">
        <v>46</v>
      </c>
    </row>
    <row r="10198" spans="2:15" x14ac:dyDescent="0.3">
      <c r="B10198" s="1" t="s">
        <v>21</v>
      </c>
      <c r="C10198" s="1" t="str">
        <f>"5-1차"</f>
        <v>5-1차</v>
      </c>
      <c r="D10198" s="1" t="str">
        <f>"9728C3125M"</f>
        <v>9728C3125M</v>
      </c>
      <c r="E10198" s="1" t="s">
        <v>10</v>
      </c>
      <c r="F10198" s="1" t="str">
        <f>"fde3:102:1303:803:0:0:0:3"</f>
        <v>fde3:102:1303:803:0:0:0:3</v>
      </c>
      <c r="G10198" s="1" t="str">
        <f>"9728C312"</f>
        <v>9728C312</v>
      </c>
      <c r="H10198" s="1" t="str">
        <f>"응암간 26"</f>
        <v>응암간 26</v>
      </c>
      <c r="I10198" s="1" t="s">
        <v>15</v>
      </c>
      <c r="J10198" s="1" t="str">
        <f>"63/63"</f>
        <v>63/63</v>
      </c>
      <c r="K10198" s="1" t="str">
        <f>"2026-07-29 14:21:25"</f>
        <v>2026-07-29 14:21:25</v>
      </c>
      <c r="L10198" s="1" t="str">
        <f>"2022-11-21 11:09:35"</f>
        <v>2022-11-21 11:09:35</v>
      </c>
      <c r="M10198" s="1" t="s">
        <v>45</v>
      </c>
      <c r="N10198" s="1" t="s">
        <v>38</v>
      </c>
      <c r="O10198" s="1" t="s">
        <v>46</v>
      </c>
    </row>
    <row r="10199" spans="2:15" x14ac:dyDescent="0.3">
      <c r="B10199" s="1" t="s">
        <v>21</v>
      </c>
      <c r="C10199" s="1" t="str">
        <f>"5-2차"</f>
        <v>5-2차</v>
      </c>
      <c r="D10199" s="1" t="str">
        <f>"9728C3315M"</f>
        <v>9728C3315M</v>
      </c>
      <c r="E10199" s="1" t="s">
        <v>10</v>
      </c>
      <c r="F10199" s="1" t="str">
        <f>"fde1:103:4:9307:0:0:0:2"</f>
        <v>fde1:103:4:9307:0:0:0:2</v>
      </c>
      <c r="G10199" s="1" t="str">
        <f>"9728C331"</f>
        <v>9728C331</v>
      </c>
      <c r="H10199" s="1" t="str">
        <f>"대조간 30L1R2"</f>
        <v>대조간 30L1R2</v>
      </c>
      <c r="I10199" s="1" t="s">
        <v>15</v>
      </c>
      <c r="J10199" s="1" t="str">
        <f>"107/107"</f>
        <v>107/107</v>
      </c>
      <c r="K10199" s="1" t="str">
        <f>"2026-07-29 14:21:06"</f>
        <v>2026-07-29 14:21:06</v>
      </c>
      <c r="L10199" s="1" t="str">
        <f>"2023-12-15 09:06:16"</f>
        <v>2023-12-15 09:06:16</v>
      </c>
      <c r="M10199" s="1" t="s">
        <v>4</v>
      </c>
      <c r="N10199" s="1" t="s">
        <v>38</v>
      </c>
      <c r="O10199" s="1" t="s">
        <v>46</v>
      </c>
    </row>
    <row r="10200" spans="2:15" x14ac:dyDescent="0.3">
      <c r="B10200" s="1" t="s">
        <v>21</v>
      </c>
      <c r="C10200" s="1" t="str">
        <f>"1차"</f>
        <v>1차</v>
      </c>
      <c r="D10200" s="1" t="str">
        <f>"9728C43101"</f>
        <v>9728C43101</v>
      </c>
      <c r="E10200" s="1" t="s">
        <v>10</v>
      </c>
      <c r="F10200" s="1" t="str">
        <f>"10.12.128.160"</f>
        <v>10.12.128.160</v>
      </c>
      <c r="G10200" s="1" t="str">
        <f>"9728C431"</f>
        <v>9728C431</v>
      </c>
      <c r="H10200" s="1" t="str">
        <f>"대동간 18H1R1"</f>
        <v>대동간 18H1R1</v>
      </c>
      <c r="I10200" s="1" t="s">
        <v>8</v>
      </c>
      <c r="J10200" s="1" t="str">
        <f>"38/40"</f>
        <v>38/40</v>
      </c>
      <c r="K10200" s="1" t="str">
        <f>"2026-07-29 13:18:12"</f>
        <v>2026-07-29 13:18:12</v>
      </c>
      <c r="L10200" s="1" t="str">
        <f>"2014-12-24 16:13:32"</f>
        <v>2014-12-24 16:13:32</v>
      </c>
      <c r="M10200" s="1" t="s">
        <v>0</v>
      </c>
      <c r="N10200" s="1" t="s">
        <v>38</v>
      </c>
      <c r="O10200" s="1" t="s">
        <v>46</v>
      </c>
    </row>
    <row r="10201" spans="2:15" x14ac:dyDescent="0.3">
      <c r="B10201" s="1" t="s">
        <v>21</v>
      </c>
      <c r="C10201" s="1" t="str">
        <f>"1차"</f>
        <v>1차</v>
      </c>
      <c r="D10201" s="1" t="str">
        <f>"9728C51201"</f>
        <v>9728C51201</v>
      </c>
      <c r="E10201" s="1" t="s">
        <v>14</v>
      </c>
      <c r="F10201" s="1" t="str">
        <f>"10.128.2.221"</f>
        <v>10.128.2.221</v>
      </c>
      <c r="G10201" s="1" t="str">
        <f>"9728C512"</f>
        <v>9728C512</v>
      </c>
      <c r="H10201" s="1" t="str">
        <f>"응암간 22L2R1"</f>
        <v>응암간 22L2R1</v>
      </c>
      <c r="I10201" s="1" t="s">
        <v>8</v>
      </c>
      <c r="J10201" s="1" t="str">
        <f>"0/0"</f>
        <v>0/0</v>
      </c>
      <c r="K10201" s="1" t="str">
        <f>"2026-07-29 13:18:12"</f>
        <v>2026-07-29 13:18:12</v>
      </c>
      <c r="L10201" s="1" t="str">
        <f>"2015-01-26 16:40:37"</f>
        <v>2015-01-26 16:40:37</v>
      </c>
      <c r="M10201" s="1" t="s">
        <v>45</v>
      </c>
      <c r="N10201" s="1" t="s">
        <v>38</v>
      </c>
      <c r="O10201" s="1" t="s">
        <v>44</v>
      </c>
    </row>
    <row r="10202" spans="2:15" x14ac:dyDescent="0.3">
      <c r="B10202" s="1" t="s">
        <v>21</v>
      </c>
      <c r="C10202" s="1" t="str">
        <f>"1차"</f>
        <v>1차</v>
      </c>
      <c r="D10202" s="1" t="str">
        <f>"9728C52100"</f>
        <v>9728C52100</v>
      </c>
      <c r="E10202" s="1" t="s">
        <v>10</v>
      </c>
      <c r="F10202" s="1" t="str">
        <f>"10.128.2.222"</f>
        <v>10.128.2.222</v>
      </c>
      <c r="G10202" s="1" t="str">
        <f>"9728C521"</f>
        <v>9728C521</v>
      </c>
      <c r="H10202" s="1" t="str">
        <f>"응암간 23L1"</f>
        <v>응암간 23L1</v>
      </c>
      <c r="I10202" s="1" t="s">
        <v>8</v>
      </c>
      <c r="J10202" s="1" t="str">
        <f>"20/20"</f>
        <v>20/20</v>
      </c>
      <c r="K10202" s="1" t="str">
        <f>"2026-07-29 13:18:12"</f>
        <v>2026-07-29 13:18:12</v>
      </c>
      <c r="L10202" s="1" t="str">
        <f>"2015-01-26 16:42:53"</f>
        <v>2015-01-26 16:42:53</v>
      </c>
      <c r="M10202" s="1" t="s">
        <v>45</v>
      </c>
      <c r="N10202" s="1" t="s">
        <v>38</v>
      </c>
      <c r="O10202" s="1" t="s">
        <v>46</v>
      </c>
    </row>
    <row r="10203" spans="2:15" x14ac:dyDescent="0.3">
      <c r="B10203" s="1" t="s">
        <v>21</v>
      </c>
      <c r="C10203" s="1" t="str">
        <f>"1차"</f>
        <v>1차</v>
      </c>
      <c r="D10203" s="1" t="str">
        <f>"9728C53200"</f>
        <v>9728C53200</v>
      </c>
      <c r="E10203" s="1" t="s">
        <v>10</v>
      </c>
      <c r="F10203" s="1" t="str">
        <f>"10.128.2.8"</f>
        <v>10.128.2.8</v>
      </c>
      <c r="G10203" s="1" t="str">
        <f>"9728C532"</f>
        <v>9728C532</v>
      </c>
      <c r="H10203" s="1" t="str">
        <f>"대동간 17"</f>
        <v>대동간 17</v>
      </c>
      <c r="I10203" s="1" t="s">
        <v>8</v>
      </c>
      <c r="J10203" s="1" t="str">
        <f>"17/17"</f>
        <v>17/17</v>
      </c>
      <c r="K10203" s="1" t="str">
        <f>"2026-07-29 13:18:12"</f>
        <v>2026-07-29 13:18:12</v>
      </c>
      <c r="L10203" s="1" t="str">
        <f>"2014-12-23 14:58:35"</f>
        <v>2014-12-23 14:58:35</v>
      </c>
      <c r="M10203" s="1" t="s">
        <v>45</v>
      </c>
      <c r="N10203" s="1" t="s">
        <v>38</v>
      </c>
      <c r="O10203" s="1" t="s">
        <v>46</v>
      </c>
    </row>
    <row r="10204" spans="2:15" x14ac:dyDescent="0.3">
      <c r="B10204" s="1" t="s">
        <v>21</v>
      </c>
      <c r="C10204" s="1" t="str">
        <f>"4차"</f>
        <v>4차</v>
      </c>
      <c r="D10204" s="1" t="str">
        <f>"9728C55142"</f>
        <v>9728C55142</v>
      </c>
      <c r="E10204" s="1" t="s">
        <v>10</v>
      </c>
      <c r="F10204" s="1" t="str">
        <f>"10.128.2.195"</f>
        <v>10.128.2.195</v>
      </c>
      <c r="G10204" s="1" t="str">
        <f>"9728C551"</f>
        <v>9728C551</v>
      </c>
      <c r="H10204" s="1" t="str">
        <f>"대조간 30L2"</f>
        <v>대조간 30L2</v>
      </c>
      <c r="I10204" s="1" t="s">
        <v>8</v>
      </c>
      <c r="J10204" s="1" t="str">
        <f>"97/112"</f>
        <v>97/112</v>
      </c>
      <c r="K10204" s="1" t="str">
        <f>"2026-07-29 13:18:12"</f>
        <v>2026-07-29 13:18:12</v>
      </c>
      <c r="L10204" s="1" t="str">
        <f>"2025-01-08 16:29:16"</f>
        <v>2025-01-08 16:29:16</v>
      </c>
      <c r="M10204" s="1" t="s">
        <v>45</v>
      </c>
      <c r="N10204" s="1" t="s">
        <v>38</v>
      </c>
      <c r="O10204" s="1" t="s">
        <v>46</v>
      </c>
    </row>
    <row r="10205" spans="2:15" x14ac:dyDescent="0.3">
      <c r="B10205" s="1" t="s">
        <v>21</v>
      </c>
      <c r="C10205" s="1" t="str">
        <f>"5-1차"</f>
        <v>5-1차</v>
      </c>
      <c r="D10205" s="1" t="str">
        <f>"9728C6015S"</f>
        <v>9728C6015S</v>
      </c>
      <c r="E10205" s="1" t="s">
        <v>10</v>
      </c>
      <c r="F10205" s="1" t="str">
        <f>"fde3:102:1303:803:0:0:0:4"</f>
        <v>fde3:102:1303:803:0:0:0:4</v>
      </c>
      <c r="G10205" s="1" t="str">
        <f>"9728C601"</f>
        <v>9728C601</v>
      </c>
      <c r="H10205" s="1" t="str">
        <f>"응암간 41L8L1L2"</f>
        <v>응암간 41L8L1L2</v>
      </c>
      <c r="I10205" s="1" t="s">
        <v>15</v>
      </c>
      <c r="J10205" s="1" t="str">
        <f>"85/85"</f>
        <v>85/85</v>
      </c>
      <c r="K10205" s="1" t="str">
        <f>"2026-07-29 14:21:42"</f>
        <v>2026-07-29 14:21:42</v>
      </c>
      <c r="L10205" s="1" t="str">
        <f>"2022-11-21 11:16:23"</f>
        <v>2022-11-21 11:16:23</v>
      </c>
      <c r="M10205" s="1" t="s">
        <v>45</v>
      </c>
      <c r="N10205" s="1" t="s">
        <v>38</v>
      </c>
      <c r="O10205" s="1" t="s">
        <v>46</v>
      </c>
    </row>
    <row r="10206" spans="2:15" x14ac:dyDescent="0.3">
      <c r="B10206" s="1" t="s">
        <v>21</v>
      </c>
      <c r="C10206" s="1" t="str">
        <f>"1차"</f>
        <v>1차</v>
      </c>
      <c r="D10206" s="1" t="str">
        <f>"9728C61200"</f>
        <v>9728C61200</v>
      </c>
      <c r="E10206" s="1" t="s">
        <v>10</v>
      </c>
      <c r="F10206" s="1" t="str">
        <f>"10.128.2.220"</f>
        <v>10.128.2.220</v>
      </c>
      <c r="G10206" s="1" t="str">
        <f>"9728C612"</f>
        <v>9728C612</v>
      </c>
      <c r="H10206" s="1" t="str">
        <f>"응암간 22L2"</f>
        <v>응암간 22L2</v>
      </c>
      <c r="I10206" s="1" t="s">
        <v>8</v>
      </c>
      <c r="J10206" s="1" t="str">
        <f>"33/33"</f>
        <v>33/33</v>
      </c>
      <c r="K10206" s="1" t="str">
        <f>"2026-07-29 13:18:12"</f>
        <v>2026-07-29 13:18:12</v>
      </c>
      <c r="L10206" s="1" t="str">
        <f>"2015-01-26 16:42:43"</f>
        <v>2015-01-26 16:42:43</v>
      </c>
      <c r="M10206" s="1" t="s">
        <v>45</v>
      </c>
      <c r="N10206" s="1" t="s">
        <v>38</v>
      </c>
      <c r="O10206" s="1" t="s">
        <v>46</v>
      </c>
    </row>
    <row r="10207" spans="2:15" x14ac:dyDescent="0.3">
      <c r="B10207" s="1" t="s">
        <v>21</v>
      </c>
      <c r="C10207" s="1" t="str">
        <f>"1차"</f>
        <v>1차</v>
      </c>
      <c r="D10207" s="1" t="str">
        <f>"9728C62101"</f>
        <v>9728C62101</v>
      </c>
      <c r="E10207" s="1" t="s">
        <v>12</v>
      </c>
      <c r="F10207" s="1" t="str">
        <f>"10.128.2.223"</f>
        <v>10.128.2.223</v>
      </c>
      <c r="G10207" s="1" t="str">
        <f>"9728C621"</f>
        <v>9728C621</v>
      </c>
      <c r="H10207" s="1" t="str">
        <f>"응암간 22L1"</f>
        <v>응암간 22L1</v>
      </c>
      <c r="I10207" s="1" t="s">
        <v>8</v>
      </c>
      <c r="J10207" s="1" t="str">
        <f>"0/34"</f>
        <v>0/34</v>
      </c>
      <c r="K10207" s="1" t="str">
        <f>"2026-07-27 20:03:44"</f>
        <v>2026-07-27 20:03:44</v>
      </c>
      <c r="L10207" s="1" t="str">
        <f>"2015-01-26 16:42:05"</f>
        <v>2015-01-26 16:42:05</v>
      </c>
      <c r="M10207" s="1" t="s">
        <v>45</v>
      </c>
      <c r="N10207" s="1" t="s">
        <v>38</v>
      </c>
      <c r="O10207" s="1" t="s">
        <v>46</v>
      </c>
    </row>
    <row r="10208" spans="2:15" x14ac:dyDescent="0.3">
      <c r="B10208" s="1" t="s">
        <v>21</v>
      </c>
      <c r="C10208" s="1" t="str">
        <f>"1차"</f>
        <v>1차</v>
      </c>
      <c r="D10208" s="1" t="str">
        <f>"9728C64219"</f>
        <v>9728C64219</v>
      </c>
      <c r="E10208" s="1" t="s">
        <v>10</v>
      </c>
      <c r="F10208" s="1" t="str">
        <f>"10.128.80.114"</f>
        <v>10.128.80.114</v>
      </c>
      <c r="G10208" s="1" t="str">
        <f>"9728C642"</f>
        <v>9728C642</v>
      </c>
      <c r="H10208" s="1" t="str">
        <f>"대동간 15"</f>
        <v>대동간 15</v>
      </c>
      <c r="I10208" s="1" t="s">
        <v>8</v>
      </c>
      <c r="J10208" s="1" t="str">
        <f>"20/21"</f>
        <v>20/21</v>
      </c>
      <c r="K10208" s="1" t="str">
        <f>"2026-07-29 13:18:12"</f>
        <v>2026-07-29 13:18:12</v>
      </c>
      <c r="L10208" s="1" t="str">
        <f>"2017-02-24 13:57:38"</f>
        <v>2017-02-24 13:57:38</v>
      </c>
      <c r="M10208" s="1" t="s">
        <v>45</v>
      </c>
      <c r="N10208" s="1" t="s">
        <v>38</v>
      </c>
      <c r="O10208" s="1" t="s">
        <v>46</v>
      </c>
    </row>
    <row r="10209" spans="2:15" x14ac:dyDescent="0.3">
      <c r="B10209" s="1" t="s">
        <v>21</v>
      </c>
      <c r="C10209" s="1" t="str">
        <f>"1차"</f>
        <v>1차</v>
      </c>
      <c r="D10209" s="1" t="str">
        <f>"9728C64302"</f>
        <v>9728C64302</v>
      </c>
      <c r="E10209" s="1" t="s">
        <v>10</v>
      </c>
      <c r="F10209" s="1" t="str">
        <f>"10.128.2.10"</f>
        <v>10.128.2.10</v>
      </c>
      <c r="G10209" s="1" t="str">
        <f>"9728C643"</f>
        <v>9728C643</v>
      </c>
      <c r="H10209" s="1" t="str">
        <f>"대동간 15H1"</f>
        <v>대동간 15H1</v>
      </c>
      <c r="I10209" s="1" t="s">
        <v>8</v>
      </c>
      <c r="J10209" s="1" t="str">
        <f>"3/15"</f>
        <v>3/15</v>
      </c>
      <c r="K10209" s="1" t="str">
        <f>"2026-07-28 20:03:24"</f>
        <v>2026-07-28 20:03:24</v>
      </c>
      <c r="L10209" s="1" t="str">
        <f>"2014-12-24 16:13:53"</f>
        <v>2014-12-24 16:13:53</v>
      </c>
      <c r="M10209" s="1" t="s">
        <v>45</v>
      </c>
      <c r="N10209" s="1" t="s">
        <v>38</v>
      </c>
      <c r="O10209" s="1" t="s">
        <v>46</v>
      </c>
    </row>
    <row r="10210" spans="2:15" x14ac:dyDescent="0.3">
      <c r="B10210" s="1" t="s">
        <v>21</v>
      </c>
      <c r="C10210" s="1" t="str">
        <f>"1차"</f>
        <v>1차</v>
      </c>
      <c r="D10210" s="1" t="str">
        <f>"9728C66100"</f>
        <v>9728C66100</v>
      </c>
      <c r="E10210" s="1" t="s">
        <v>10</v>
      </c>
      <c r="F10210" s="1" t="str">
        <f>"10.128.2.11"</f>
        <v>10.128.2.11</v>
      </c>
      <c r="G10210" s="1" t="str">
        <f>"9728C661"</f>
        <v>9728C661</v>
      </c>
      <c r="H10210" s="1" t="str">
        <f>"대조간 25L1"</f>
        <v>대조간 25L1</v>
      </c>
      <c r="I10210" s="1" t="s">
        <v>8</v>
      </c>
      <c r="J10210" s="1" t="str">
        <f>"15/16"</f>
        <v>15/16</v>
      </c>
      <c r="K10210" s="1" t="str">
        <f>"2026-07-29 13:18:12"</f>
        <v>2026-07-29 13:18:12</v>
      </c>
      <c r="L10210" s="1" t="str">
        <f>"2014-12-22 11:13:15"</f>
        <v>2014-12-22 11:13:15</v>
      </c>
      <c r="M10210" s="1" t="s">
        <v>45</v>
      </c>
      <c r="N10210" s="1" t="s">
        <v>38</v>
      </c>
      <c r="O10210" s="1" t="s">
        <v>46</v>
      </c>
    </row>
    <row r="10211" spans="2:15" x14ac:dyDescent="0.3">
      <c r="B10211" s="1" t="s">
        <v>21</v>
      </c>
      <c r="C10211" s="1" t="str">
        <f>"5-2차"</f>
        <v>5-2차</v>
      </c>
      <c r="D10211" s="1" t="str">
        <f>"9728C7025M"</f>
        <v>9728C7025M</v>
      </c>
      <c r="E10211" s="1" t="s">
        <v>10</v>
      </c>
      <c r="F10211" s="1" t="str">
        <f>"fde3:102:1303:707:0:0:0:2"</f>
        <v>fde3:102:1303:707:0:0:0:2</v>
      </c>
      <c r="G10211" s="1" t="str">
        <f>"9728C702"</f>
        <v>9728C702</v>
      </c>
      <c r="H10211" s="1" t="str">
        <f>"응암간 41L8L1"</f>
        <v>응암간 41L8L1</v>
      </c>
      <c r="I10211" s="1" t="s">
        <v>15</v>
      </c>
      <c r="J10211" s="1" t="str">
        <f>"66/66"</f>
        <v>66/66</v>
      </c>
      <c r="K10211" s="1" t="str">
        <f>"2026-07-29 14:21:24"</f>
        <v>2026-07-29 14:21:24</v>
      </c>
      <c r="L10211" s="1" t="str">
        <f>"2023-07-24 11:25:56"</f>
        <v>2023-07-24 11:25:56</v>
      </c>
      <c r="M10211" s="1" t="s">
        <v>45</v>
      </c>
      <c r="N10211" s="1" t="s">
        <v>38</v>
      </c>
      <c r="O10211" s="1" t="s">
        <v>46</v>
      </c>
    </row>
    <row r="10212" spans="2:15" x14ac:dyDescent="0.3">
      <c r="B10212" s="1" t="s">
        <v>21</v>
      </c>
      <c r="C10212" s="1" t="str">
        <f>"5-2차"</f>
        <v>5-2차</v>
      </c>
      <c r="D10212" s="1" t="str">
        <f>"9728C7115S"</f>
        <v>9728C7115S</v>
      </c>
      <c r="E10212" s="1" t="s">
        <v>10</v>
      </c>
      <c r="F10212" s="1" t="str">
        <f>"fde3:102:1303:80c:0:0:0:4"</f>
        <v>fde3:102:1303:80c:0:0:0:4</v>
      </c>
      <c r="G10212" s="1" t="str">
        <f>"9728C711"</f>
        <v>9728C711</v>
      </c>
      <c r="H10212" s="1" t="str">
        <f>"응암간 41L8L2L1"</f>
        <v>응암간 41L8L2L1</v>
      </c>
      <c r="I10212" s="1" t="s">
        <v>15</v>
      </c>
      <c r="J10212" s="1" t="str">
        <f>"38/38"</f>
        <v>38/38</v>
      </c>
      <c r="K10212" s="1" t="str">
        <f>"2026-07-29 14:21:24"</f>
        <v>2026-07-29 14:21:24</v>
      </c>
      <c r="L10212" s="1" t="str">
        <f>"2023-08-24 10:14:10"</f>
        <v>2023-08-24 10:14:10</v>
      </c>
      <c r="M10212" s="1" t="s">
        <v>45</v>
      </c>
      <c r="N10212" s="1" t="s">
        <v>38</v>
      </c>
      <c r="O10212" s="1" t="s">
        <v>46</v>
      </c>
    </row>
    <row r="10213" spans="2:15" x14ac:dyDescent="0.3">
      <c r="B10213" s="1" t="s">
        <v>21</v>
      </c>
      <c r="C10213" s="1" t="str">
        <f>"5-2차"</f>
        <v>5-2차</v>
      </c>
      <c r="D10213" s="1" t="str">
        <f>"9728C7135S"</f>
        <v>9728C7135S</v>
      </c>
      <c r="E10213" s="1" t="s">
        <v>10</v>
      </c>
      <c r="F10213" s="1" t="str">
        <f>"fde3:102:1303:80c:0:0:0:3"</f>
        <v>fde3:102:1303:80c:0:0:0:3</v>
      </c>
      <c r="G10213" s="1" t="str">
        <f>"9728C713"</f>
        <v>9728C713</v>
      </c>
      <c r="H10213" s="1" t="str">
        <f>"응암간 41L8L2"</f>
        <v>응암간 41L8L2</v>
      </c>
      <c r="I10213" s="1" t="s">
        <v>15</v>
      </c>
      <c r="J10213" s="1" t="str">
        <f>"61/61"</f>
        <v>61/61</v>
      </c>
      <c r="K10213" s="1" t="str">
        <f>"2026-07-29 14:21:24"</f>
        <v>2026-07-29 14:21:24</v>
      </c>
      <c r="L10213" s="1" t="str">
        <f>"2023-07-12 12:47:14"</f>
        <v>2023-07-12 12:47:14</v>
      </c>
      <c r="M10213" s="1" t="s">
        <v>45</v>
      </c>
      <c r="N10213" s="1" t="s">
        <v>38</v>
      </c>
      <c r="O10213" s="1" t="s">
        <v>46</v>
      </c>
    </row>
    <row r="10214" spans="2:15" x14ac:dyDescent="0.3">
      <c r="B10214" s="1" t="s">
        <v>21</v>
      </c>
      <c r="C10214" s="1" t="str">
        <f>"1차"</f>
        <v>1차</v>
      </c>
      <c r="D10214" s="1" t="str">
        <f>"9728C72202"</f>
        <v>9728C72202</v>
      </c>
      <c r="E10214" s="1" t="s">
        <v>10</v>
      </c>
      <c r="F10214" s="1" t="str">
        <f>"10.128.2.224"</f>
        <v>10.128.2.224</v>
      </c>
      <c r="G10214" s="1" t="str">
        <f>"9728C722"</f>
        <v>9728C722</v>
      </c>
      <c r="H10214" s="1" t="str">
        <f>"응암간 22L3"</f>
        <v>응암간 22L3</v>
      </c>
      <c r="I10214" s="1" t="s">
        <v>8</v>
      </c>
      <c r="J10214" s="1" t="str">
        <f>"62/63"</f>
        <v>62/63</v>
      </c>
      <c r="K10214" s="1" t="str">
        <f>"2026-07-29 13:18:12"</f>
        <v>2026-07-29 13:18:12</v>
      </c>
      <c r="L10214" s="1" t="str">
        <f>"2015-01-26 16:40:57"</f>
        <v>2015-01-26 16:40:57</v>
      </c>
      <c r="M10214" s="1" t="s">
        <v>45</v>
      </c>
      <c r="N10214" s="1" t="s">
        <v>38</v>
      </c>
      <c r="O10214" s="1" t="s">
        <v>46</v>
      </c>
    </row>
    <row r="10215" spans="2:15" x14ac:dyDescent="0.3">
      <c r="B10215" s="1" t="s">
        <v>21</v>
      </c>
      <c r="C10215" s="1" t="str">
        <f>"1차"</f>
        <v>1차</v>
      </c>
      <c r="D10215" s="1" t="str">
        <f>"9728C76101"</f>
        <v>9728C76101</v>
      </c>
      <c r="E10215" s="1" t="s">
        <v>14</v>
      </c>
      <c r="F10215" s="1" t="str">
        <f>"10.12.130.244"</f>
        <v>10.12.130.244</v>
      </c>
      <c r="G10215" s="1" t="str">
        <f>"9728C761"</f>
        <v>9728C761</v>
      </c>
      <c r="H10215" s="1" t="str">
        <f>"대조간 25L2"</f>
        <v>대조간 25L2</v>
      </c>
      <c r="I10215" s="1" t="s">
        <v>8</v>
      </c>
      <c r="J10215" s="1" t="str">
        <f>"0/0"</f>
        <v>0/0</v>
      </c>
      <c r="K10215" s="1" t="str">
        <f>"2026-06-10 01:18:12"</f>
        <v>2026-06-10 01:18:12</v>
      </c>
      <c r="L10215" s="1" t="str">
        <f>"2015-04-28 13:54:03"</f>
        <v>2015-04-28 13:54:03</v>
      </c>
      <c r="M10215" s="1" t="s">
        <v>0</v>
      </c>
      <c r="N10215" s="1" t="s">
        <v>39</v>
      </c>
      <c r="O10215" s="1" t="s">
        <v>46</v>
      </c>
    </row>
    <row r="10216" spans="2:15" x14ac:dyDescent="0.3">
      <c r="B10216" s="1" t="s">
        <v>21</v>
      </c>
      <c r="C10216" s="1" t="str">
        <f>"1차"</f>
        <v>1차</v>
      </c>
      <c r="D10216" s="1" t="str">
        <f>"9728C77101"</f>
        <v>9728C77101</v>
      </c>
      <c r="E10216" s="1" t="s">
        <v>10</v>
      </c>
      <c r="F10216" s="1" t="str">
        <f>"10.12.132.127"</f>
        <v>10.12.132.127</v>
      </c>
      <c r="G10216" s="1" t="str">
        <f>"9728C771"</f>
        <v>9728C771</v>
      </c>
      <c r="H10216" s="1" t="str">
        <f>"대조간 22L1B1"</f>
        <v>대조간 22L1B1</v>
      </c>
      <c r="I10216" s="1" t="s">
        <v>8</v>
      </c>
      <c r="J10216" s="1" t="str">
        <f>"63/63"</f>
        <v>63/63</v>
      </c>
      <c r="K10216" s="1" t="str">
        <f>"2026-07-29 13:18:11"</f>
        <v>2026-07-29 13:18:11</v>
      </c>
      <c r="L10216" s="1" t="str">
        <f>"2014-12-23 14:58:15"</f>
        <v>2014-12-23 14:58:15</v>
      </c>
      <c r="M10216" s="1" t="s">
        <v>0</v>
      </c>
      <c r="N10216" s="1" t="s">
        <v>38</v>
      </c>
      <c r="O10216" s="1" t="s">
        <v>46</v>
      </c>
    </row>
    <row r="10217" spans="2:15" x14ac:dyDescent="0.3">
      <c r="B10217" s="1" t="s">
        <v>21</v>
      </c>
      <c r="C10217" s="1" t="str">
        <f>"5-1차"</f>
        <v>5-1차</v>
      </c>
      <c r="D10217" s="1" t="str">
        <f>"9728C8015S"</f>
        <v>9728C8015S</v>
      </c>
      <c r="E10217" s="1" t="s">
        <v>10</v>
      </c>
      <c r="F10217" s="1" t="str">
        <f>"fde2:104:0:c3:0:0:0:2"</f>
        <v>fde2:104:0:c3:0:0:0:2</v>
      </c>
      <c r="G10217" s="1" t="str">
        <f>"9728C801"</f>
        <v>9728C801</v>
      </c>
      <c r="H10217" s="1" t="str">
        <f>"응암간 13L3R4"</f>
        <v>응암간 13L3R4</v>
      </c>
      <c r="I10217" s="1" t="s">
        <v>15</v>
      </c>
      <c r="J10217" s="1" t="str">
        <f>"20/20"</f>
        <v>20/20</v>
      </c>
      <c r="K10217" s="1" t="str">
        <f>"2026-07-29 14:21:27"</f>
        <v>2026-07-29 14:21:27</v>
      </c>
      <c r="L10217" s="1" t="str">
        <f>"2022-09-13 15:47:52"</f>
        <v>2022-09-13 15:47:52</v>
      </c>
      <c r="M10217" s="1" t="s">
        <v>42</v>
      </c>
      <c r="N10217" s="1" t="s">
        <v>38</v>
      </c>
      <c r="O10217" s="1" t="s">
        <v>46</v>
      </c>
    </row>
    <row r="10218" spans="2:15" x14ac:dyDescent="0.3">
      <c r="B10218" s="1" t="s">
        <v>21</v>
      </c>
      <c r="C10218" s="1" t="str">
        <f>"5-1차"</f>
        <v>5-1차</v>
      </c>
      <c r="D10218" s="1" t="str">
        <f>"9728C8025M"</f>
        <v>9728C8025M</v>
      </c>
      <c r="E10218" s="1" t="s">
        <v>10</v>
      </c>
      <c r="F10218" s="1" t="str">
        <f>"fde3:102:1303:900:0:0:0:2"</f>
        <v>fde3:102:1303:900:0:0:0:2</v>
      </c>
      <c r="G10218" s="1" t="str">
        <f>"9728C802"</f>
        <v>9728C802</v>
      </c>
      <c r="H10218" s="1" t="str">
        <f>"응암간 41L9"</f>
        <v>응암간 41L9</v>
      </c>
      <c r="I10218" s="1" t="s">
        <v>15</v>
      </c>
      <c r="J10218" s="1" t="str">
        <f>"43/43"</f>
        <v>43/43</v>
      </c>
      <c r="K10218" s="1" t="str">
        <f>"2026-07-29 14:21:03"</f>
        <v>2026-07-29 14:21:03</v>
      </c>
      <c r="L10218" s="1" t="str">
        <f>"2022-12-15 10:46:23"</f>
        <v>2022-12-15 10:46:23</v>
      </c>
      <c r="M10218" s="1" t="s">
        <v>45</v>
      </c>
      <c r="N10218" s="1" t="s">
        <v>38</v>
      </c>
      <c r="O10218" s="1" t="s">
        <v>46</v>
      </c>
    </row>
    <row r="10219" spans="2:15" x14ac:dyDescent="0.3">
      <c r="B10219" s="1" t="s">
        <v>21</v>
      </c>
      <c r="C10219" s="1" t="str">
        <f>"5-1차"</f>
        <v>5-1차</v>
      </c>
      <c r="D10219" s="1" t="str">
        <f>"9728C8115S"</f>
        <v>9728C8115S</v>
      </c>
      <c r="E10219" s="1" t="s">
        <v>10</v>
      </c>
      <c r="F10219" s="1" t="str">
        <f>"fde2:104:0:be:0:0:0:2"</f>
        <v>fde2:104:0:be:0:0:0:2</v>
      </c>
      <c r="G10219" s="1" t="str">
        <f>"9728C811"</f>
        <v>9728C811</v>
      </c>
      <c r="H10219" s="1" t="str">
        <f>"응암간 13L3R3"</f>
        <v>응암간 13L3R3</v>
      </c>
      <c r="I10219" s="1" t="s">
        <v>15</v>
      </c>
      <c r="J10219" s="1" t="str">
        <f>"21/21"</f>
        <v>21/21</v>
      </c>
      <c r="K10219" s="1" t="str">
        <f>"2026-07-29 14:21:45"</f>
        <v>2026-07-29 14:21:45</v>
      </c>
      <c r="L10219" s="1" t="str">
        <f>"2022-09-13 16:35:43"</f>
        <v>2022-09-13 16:35:43</v>
      </c>
      <c r="M10219" s="1" t="s">
        <v>42</v>
      </c>
      <c r="N10219" s="1" t="s">
        <v>38</v>
      </c>
      <c r="O10219" s="1" t="s">
        <v>46</v>
      </c>
    </row>
    <row r="10220" spans="2:15" x14ac:dyDescent="0.3">
      <c r="B10220" s="1" t="s">
        <v>21</v>
      </c>
      <c r="C10220" s="1" t="str">
        <f>"5-2차"</f>
        <v>5-2차</v>
      </c>
      <c r="D10220" s="1" t="str">
        <f>"9728C8225S"</f>
        <v>9728C8225S</v>
      </c>
      <c r="E10220" s="1" t="s">
        <v>10</v>
      </c>
      <c r="F10220" s="1" t="str">
        <f>"fde3:102:1303:706:0:0:0:4"</f>
        <v>fde3:102:1303:706:0:0:0:4</v>
      </c>
      <c r="G10220" s="1" t="str">
        <f>"9728C822"</f>
        <v>9728C822</v>
      </c>
      <c r="H10220" s="1" t="str">
        <f>"응암간 13L3R2"</f>
        <v>응암간 13L3R2</v>
      </c>
      <c r="I10220" s="1" t="s">
        <v>15</v>
      </c>
      <c r="J10220" s="1" t="str">
        <f>"16/16"</f>
        <v>16/16</v>
      </c>
      <c r="K10220" s="1" t="str">
        <f>"2026-07-29 14:21:41"</f>
        <v>2026-07-29 14:21:41</v>
      </c>
      <c r="L10220" s="1" t="str">
        <f>"2023-07-04 11:03:04"</f>
        <v>2023-07-04 11:03:04</v>
      </c>
      <c r="M10220" s="1" t="s">
        <v>45</v>
      </c>
      <c r="N10220" s="1" t="s">
        <v>38</v>
      </c>
      <c r="O10220" s="1" t="s">
        <v>46</v>
      </c>
    </row>
    <row r="10221" spans="2:15" x14ac:dyDescent="0.3">
      <c r="B10221" s="1" t="s">
        <v>21</v>
      </c>
      <c r="C10221" s="1" t="str">
        <f>"5-2차"</f>
        <v>5-2차</v>
      </c>
      <c r="D10221" s="1" t="str">
        <f>"9728C8325S"</f>
        <v>9728C8325S</v>
      </c>
      <c r="E10221" s="1" t="s">
        <v>10</v>
      </c>
      <c r="F10221" s="1" t="str">
        <f>"fde3:102:1303:706:0:0:0:3"</f>
        <v>fde3:102:1303:706:0:0:0:3</v>
      </c>
      <c r="G10221" s="1" t="str">
        <f>"9728C832"</f>
        <v>9728C832</v>
      </c>
      <c r="H10221" s="1" t="str">
        <f>"응암간 13L3R1"</f>
        <v>응암간 13L3R1</v>
      </c>
      <c r="I10221" s="1" t="s">
        <v>15</v>
      </c>
      <c r="J10221" s="1" t="str">
        <f>"50/51"</f>
        <v>50/51</v>
      </c>
      <c r="K10221" s="1" t="str">
        <f>"2026-07-29 14:21:33"</f>
        <v>2026-07-29 14:21:33</v>
      </c>
      <c r="L10221" s="1" t="str">
        <f>"2023-07-07 13:23:59"</f>
        <v>2023-07-07 13:23:59</v>
      </c>
      <c r="M10221" s="1" t="s">
        <v>45</v>
      </c>
      <c r="N10221" s="1" t="s">
        <v>38</v>
      </c>
      <c r="O10221" s="1" t="s">
        <v>46</v>
      </c>
    </row>
    <row r="10222" spans="2:15" x14ac:dyDescent="0.3">
      <c r="B10222" s="1" t="s">
        <v>21</v>
      </c>
      <c r="C10222" s="1" t="str">
        <f>"5-2차"</f>
        <v>5-2차</v>
      </c>
      <c r="D10222" s="1" t="str">
        <f>"9728C8445M"</f>
        <v>9728C8445M</v>
      </c>
      <c r="E10222" s="1" t="s">
        <v>10</v>
      </c>
      <c r="F10222" s="1" t="str">
        <f>"fde1:103:4:9349:0:0:0:2"</f>
        <v>fde1:103:4:9349:0:0:0:2</v>
      </c>
      <c r="G10222" s="1" t="str">
        <f>"9728C844"</f>
        <v>9728C844</v>
      </c>
      <c r="H10222" s="1" t="str">
        <f>"응암간 16"</f>
        <v>응암간 16</v>
      </c>
      <c r="I10222" s="1" t="s">
        <v>15</v>
      </c>
      <c r="J10222" s="1" t="str">
        <f>"37/37"</f>
        <v>37/37</v>
      </c>
      <c r="K10222" s="1" t="str">
        <f>"2026-07-29 02:21:31"</f>
        <v>2026-07-29 02:21:31</v>
      </c>
      <c r="L10222" s="1" t="str">
        <f>"2023-12-15 09:29:39"</f>
        <v>2023-12-15 09:29:39</v>
      </c>
      <c r="M10222" s="1" t="s">
        <v>4</v>
      </c>
      <c r="N10222" s="1" t="s">
        <v>38</v>
      </c>
      <c r="O10222" s="1" t="s">
        <v>46</v>
      </c>
    </row>
    <row r="10223" spans="2:15" x14ac:dyDescent="0.3">
      <c r="B10223" s="1" t="s">
        <v>21</v>
      </c>
      <c r="C10223" s="1" t="str">
        <f>"4차"</f>
        <v>4차</v>
      </c>
      <c r="D10223" s="1" t="str">
        <f>"9728C87242"</f>
        <v>9728C87242</v>
      </c>
      <c r="E10223" s="1" t="s">
        <v>10</v>
      </c>
      <c r="F10223" s="1" t="str">
        <f>"10.128.71.99"</f>
        <v>10.128.71.99</v>
      </c>
      <c r="G10223" s="1" t="str">
        <f>"9728C872"</f>
        <v>9728C872</v>
      </c>
      <c r="H10223" s="1" t="str">
        <f>"대조간 22L1R2"</f>
        <v>대조간 22L1R2</v>
      </c>
      <c r="I10223" s="1" t="s">
        <v>8</v>
      </c>
      <c r="J10223" s="1" t="str">
        <f>"151/161"</f>
        <v>151/161</v>
      </c>
      <c r="K10223" s="1" t="str">
        <f>"2026-07-29 13:18:12"</f>
        <v>2026-07-29 13:18:12</v>
      </c>
      <c r="L10223" s="1" t="str">
        <f>"2025-01-08 17:04:42"</f>
        <v>2025-01-08 17:04:42</v>
      </c>
      <c r="M10223" s="1" t="s">
        <v>45</v>
      </c>
      <c r="N10223" s="1" t="s">
        <v>38</v>
      </c>
      <c r="O10223" s="1" t="s">
        <v>46</v>
      </c>
    </row>
    <row r="10224" spans="2:15" x14ac:dyDescent="0.3">
      <c r="B10224" s="1" t="s">
        <v>21</v>
      </c>
      <c r="C10224" s="1" t="str">
        <f>"5-2차"</f>
        <v>5-2차</v>
      </c>
      <c r="D10224" s="1" t="str">
        <f>"9728C8825M"</f>
        <v>9728C8825M</v>
      </c>
      <c r="E10224" s="1" t="s">
        <v>10</v>
      </c>
      <c r="F10224" s="1" t="str">
        <f>"fde1:103:4:9269:0:0:0:2"</f>
        <v>fde1:103:4:9269:0:0:0:2</v>
      </c>
      <c r="G10224" s="1" t="str">
        <f>"9728C882"</f>
        <v>9728C882</v>
      </c>
      <c r="H10224" s="1" t="str">
        <f>"대조간 22L3"</f>
        <v>대조간 22L3</v>
      </c>
      <c r="I10224" s="1" t="s">
        <v>15</v>
      </c>
      <c r="J10224" s="1" t="str">
        <f>"11/11"</f>
        <v>11/11</v>
      </c>
      <c r="K10224" s="1" t="str">
        <f>"2026-07-29 14:21:06"</f>
        <v>2026-07-29 14:21:06</v>
      </c>
      <c r="L10224" s="1" t="str">
        <f>"2024-01-19 07:59:29"</f>
        <v>2024-01-19 07:59:29</v>
      </c>
      <c r="M10224" s="1" t="s">
        <v>4</v>
      </c>
      <c r="N10224" s="1" t="s">
        <v>38</v>
      </c>
      <c r="O10224" s="1" t="s">
        <v>46</v>
      </c>
    </row>
    <row r="10225" spans="2:15" x14ac:dyDescent="0.3">
      <c r="B10225" s="1" t="s">
        <v>21</v>
      </c>
      <c r="C10225" s="1" t="str">
        <f>"5-2차"</f>
        <v>5-2차</v>
      </c>
      <c r="D10225" s="1" t="str">
        <f>"9728C8915M"</f>
        <v>9728C8915M</v>
      </c>
      <c r="E10225" s="1" t="s">
        <v>10</v>
      </c>
      <c r="F10225" s="1" t="str">
        <f>"fde3:102:1303:170a:0:0:0:2"</f>
        <v>fde3:102:1303:170a:0:0:0:2</v>
      </c>
      <c r="G10225" s="1" t="str">
        <f>"9728C891"</f>
        <v>9728C891</v>
      </c>
      <c r="H10225" s="1" t="str">
        <f>"대조간 18A3"</f>
        <v>대조간 18A3</v>
      </c>
      <c r="I10225" s="1" t="s">
        <v>15</v>
      </c>
      <c r="J10225" s="1" t="str">
        <f>"52/52"</f>
        <v>52/52</v>
      </c>
      <c r="K10225" s="1" t="str">
        <f>"2026-07-29 14:21:41"</f>
        <v>2026-07-29 14:21:41</v>
      </c>
      <c r="L10225" s="1" t="str">
        <f>"2023-06-13 18:24:41"</f>
        <v>2023-06-13 18:24:41</v>
      </c>
      <c r="M10225" s="1" t="s">
        <v>45</v>
      </c>
      <c r="N10225" s="1" t="s">
        <v>38</v>
      </c>
      <c r="O10225" s="1" t="s">
        <v>46</v>
      </c>
    </row>
    <row r="10226" spans="2:15" x14ac:dyDescent="0.3">
      <c r="B10226" s="1" t="s">
        <v>21</v>
      </c>
      <c r="C10226" s="1" t="str">
        <f>"5-1차"</f>
        <v>5-1차</v>
      </c>
      <c r="D10226" s="1" t="str">
        <f>"9728C9025S"</f>
        <v>9728C9025S</v>
      </c>
      <c r="E10226" s="1" t="s">
        <v>10</v>
      </c>
      <c r="F10226" s="1" t="str">
        <f>"fde3:102:1303:802:0:0:0:2"</f>
        <v>fde3:102:1303:802:0:0:0:2</v>
      </c>
      <c r="G10226" s="1" t="str">
        <f>"9728C902"</f>
        <v>9728C902</v>
      </c>
      <c r="H10226" s="1" t="str">
        <f>"녹번간 6L10R3R1"</f>
        <v>녹번간 6L10R3R1</v>
      </c>
      <c r="I10226" s="1" t="s">
        <v>15</v>
      </c>
      <c r="J10226" s="1" t="str">
        <f>"37/37"</f>
        <v>37/37</v>
      </c>
      <c r="K10226" s="1" t="str">
        <f>"2026-07-29 14:21:03"</f>
        <v>2026-07-29 14:21:03</v>
      </c>
      <c r="L10226" s="1" t="str">
        <f>"2022-11-30 16:07:39"</f>
        <v>2022-11-30 16:07:39</v>
      </c>
      <c r="M10226" s="1" t="s">
        <v>45</v>
      </c>
      <c r="N10226" s="1" t="s">
        <v>38</v>
      </c>
      <c r="O10226" s="1" t="s">
        <v>46</v>
      </c>
    </row>
    <row r="10227" spans="2:15" x14ac:dyDescent="0.3">
      <c r="B10227" s="1" t="s">
        <v>21</v>
      </c>
      <c r="C10227" s="1" t="str">
        <f>"5-1차"</f>
        <v>5-1차</v>
      </c>
      <c r="D10227" s="1" t="str">
        <f>"9728C9115M"</f>
        <v>9728C9115M</v>
      </c>
      <c r="E10227" s="1" t="s">
        <v>10</v>
      </c>
      <c r="F10227" s="1" t="str">
        <f>"fde3:102:1303:900:0:0:0:3"</f>
        <v>fde3:102:1303:900:0:0:0:3</v>
      </c>
      <c r="G10227" s="1" t="str">
        <f>"9728C911"</f>
        <v>9728C911</v>
      </c>
      <c r="H10227" s="1" t="str">
        <f>"응암간 41L10"</f>
        <v>응암간 41L10</v>
      </c>
      <c r="I10227" s="1" t="s">
        <v>15</v>
      </c>
      <c r="J10227" s="1" t="str">
        <f>"44/44"</f>
        <v>44/44</v>
      </c>
      <c r="K10227" s="1" t="str">
        <f>"2026-07-29 14:21:35"</f>
        <v>2026-07-29 14:21:35</v>
      </c>
      <c r="L10227" s="1" t="str">
        <f>"2022-11-21 11:11:08"</f>
        <v>2022-11-21 11:11:08</v>
      </c>
      <c r="M10227" s="1" t="s">
        <v>45</v>
      </c>
      <c r="N10227" s="1" t="s">
        <v>38</v>
      </c>
      <c r="O10227" s="1" t="s">
        <v>46</v>
      </c>
    </row>
    <row r="10228" spans="2:15" x14ac:dyDescent="0.3">
      <c r="B10228" s="1" t="s">
        <v>21</v>
      </c>
      <c r="C10228" s="1" t="str">
        <f>"5-2차"</f>
        <v>5-2차</v>
      </c>
      <c r="D10228" s="1" t="str">
        <f>"9728C9315M"</f>
        <v>9728C9315M</v>
      </c>
      <c r="E10228" s="1" t="s">
        <v>10</v>
      </c>
      <c r="F10228" s="1" t="str">
        <f>"fde3:102:1303:902:0:0:0:4"</f>
        <v>fde3:102:1303:902:0:0:0:4</v>
      </c>
      <c r="G10228" s="1" t="str">
        <f>"9728C931"</f>
        <v>9728C931</v>
      </c>
      <c r="H10228" s="1" t="str">
        <f>"응암간 13L3"</f>
        <v>응암간 13L3</v>
      </c>
      <c r="I10228" s="1" t="s">
        <v>15</v>
      </c>
      <c r="J10228" s="1" t="str">
        <f>"43/43"</f>
        <v>43/43</v>
      </c>
      <c r="K10228" s="1" t="str">
        <f>"2026-07-29 14:21:25"</f>
        <v>2026-07-29 14:21:25</v>
      </c>
      <c r="L10228" s="1" t="str">
        <f>"2023-06-15 10:09:13"</f>
        <v>2023-06-15 10:09:13</v>
      </c>
      <c r="M10228" s="1" t="s">
        <v>45</v>
      </c>
      <c r="N10228" s="1" t="s">
        <v>38</v>
      </c>
      <c r="O10228" s="1" t="s">
        <v>46</v>
      </c>
    </row>
    <row r="10229" spans="2:15" x14ac:dyDescent="0.3">
      <c r="B10229" s="1" t="s">
        <v>21</v>
      </c>
      <c r="C10229" s="1" t="str">
        <f>"5-1차"</f>
        <v>5-1차</v>
      </c>
      <c r="D10229" s="1" t="str">
        <f>"9728C9735M"</f>
        <v>9728C9735M</v>
      </c>
      <c r="E10229" s="1" t="s">
        <v>10</v>
      </c>
      <c r="F10229" s="1" t="str">
        <f>"fde3:102:1303:600:0:0:0:2"</f>
        <v>fde3:102:1303:600:0:0:0:2</v>
      </c>
      <c r="G10229" s="1" t="str">
        <f>"9728C973"</f>
        <v>9728C973</v>
      </c>
      <c r="H10229" s="1" t="str">
        <f>"대조간 22L1R4"</f>
        <v>대조간 22L1R4</v>
      </c>
      <c r="I10229" s="1" t="s">
        <v>15</v>
      </c>
      <c r="J10229" s="1" t="str">
        <f>"128/128"</f>
        <v>128/128</v>
      </c>
      <c r="K10229" s="1" t="str">
        <f>"2026-07-29 14:21:26"</f>
        <v>2026-07-29 14:21:26</v>
      </c>
      <c r="L10229" s="1" t="str">
        <f>"2022-11-24 18:38:36"</f>
        <v>2022-11-24 18:38:36</v>
      </c>
      <c r="M10229" s="1" t="s">
        <v>45</v>
      </c>
      <c r="N10229" s="1" t="s">
        <v>38</v>
      </c>
      <c r="O10229" s="1" t="s">
        <v>46</v>
      </c>
    </row>
    <row r="10230" spans="2:15" x14ac:dyDescent="0.3">
      <c r="B10230" s="1" t="s">
        <v>21</v>
      </c>
      <c r="C10230" s="1" t="str">
        <f>"5-1차"</f>
        <v>5-1차</v>
      </c>
      <c r="D10230" s="1" t="str">
        <f>"9728C9915S"</f>
        <v>9728C9915S</v>
      </c>
      <c r="E10230" s="1" t="s">
        <v>10</v>
      </c>
      <c r="F10230" s="1" t="str">
        <f>"fde3:102:1303:1704:0:0:0:2"</f>
        <v>fde3:102:1303:1704:0:0:0:2</v>
      </c>
      <c r="G10230" s="1" t="str">
        <f>"9728C991"</f>
        <v>9728C991</v>
      </c>
      <c r="H10230" s="1" t="str">
        <f>"대조간 22L4"</f>
        <v>대조간 22L4</v>
      </c>
      <c r="I10230" s="1" t="s">
        <v>15</v>
      </c>
      <c r="J10230" s="1" t="str">
        <f>"56/57"</f>
        <v>56/57</v>
      </c>
      <c r="K10230" s="1" t="str">
        <f>"2026-07-29 14:21:26"</f>
        <v>2026-07-29 14:21:26</v>
      </c>
      <c r="L10230" s="1" t="str">
        <f>"2022-12-15 10:21:38"</f>
        <v>2022-12-15 10:21:38</v>
      </c>
      <c r="M10230" s="1" t="s">
        <v>45</v>
      </c>
      <c r="N10230" s="1" t="s">
        <v>38</v>
      </c>
      <c r="O10230" s="1" t="s">
        <v>46</v>
      </c>
    </row>
    <row r="10231" spans="2:15" x14ac:dyDescent="0.3">
      <c r="B10231" s="1" t="s">
        <v>21</v>
      </c>
      <c r="C10231" s="1" t="str">
        <f>"5-1차"</f>
        <v>5-1차</v>
      </c>
      <c r="D10231" s="1" t="str">
        <f>"9728C9935M"</f>
        <v>9728C9935M</v>
      </c>
      <c r="E10231" s="1" t="s">
        <v>10</v>
      </c>
      <c r="F10231" s="1" t="str">
        <f>"fde2:104:0:bf:0:0:0:2"</f>
        <v>fde2:104:0:bf:0:0:0:2</v>
      </c>
      <c r="G10231" s="1" t="str">
        <f>"9728C993"</f>
        <v>9728C993</v>
      </c>
      <c r="H10231" s="1" t="str">
        <f>"대조간 18A2"</f>
        <v>대조간 18A2</v>
      </c>
      <c r="I10231" s="1" t="s">
        <v>15</v>
      </c>
      <c r="J10231" s="1" t="str">
        <f>"44/44"</f>
        <v>44/44</v>
      </c>
      <c r="K10231" s="1" t="str">
        <f>"2026-07-29 14:21:27"</f>
        <v>2026-07-29 14:21:27</v>
      </c>
      <c r="L10231" s="1" t="str">
        <f>"2022-09-13 10:00:12"</f>
        <v>2022-09-13 10:00:12</v>
      </c>
      <c r="M10231" s="1" t="s">
        <v>42</v>
      </c>
      <c r="N10231" s="1" t="s">
        <v>38</v>
      </c>
      <c r="O10231" s="1" t="s">
        <v>46</v>
      </c>
    </row>
    <row r="10232" spans="2:15" x14ac:dyDescent="0.3">
      <c r="B10232" s="1" t="s">
        <v>21</v>
      </c>
      <c r="C10232" s="1" t="str">
        <f>"5-2차"</f>
        <v>5-2차</v>
      </c>
      <c r="D10232" s="1" t="str">
        <f>"9728D0015M"</f>
        <v>9728D0015M</v>
      </c>
      <c r="E10232" s="1" t="s">
        <v>10</v>
      </c>
      <c r="F10232" s="1" t="str">
        <f>"fde1:103:4:9422:0:0:0:2"</f>
        <v>fde1:103:4:9422:0:0:0:2</v>
      </c>
      <c r="G10232" s="1" t="str">
        <f>"9728D001"</f>
        <v>9728D001</v>
      </c>
      <c r="H10232" s="1" t="str">
        <f>"녹번간 6L3HR1L2"</f>
        <v>녹번간 6L3HR1L2</v>
      </c>
      <c r="I10232" s="1" t="s">
        <v>15</v>
      </c>
      <c r="J10232" s="1" t="str">
        <f>"56/56"</f>
        <v>56/56</v>
      </c>
      <c r="K10232" s="1" t="str">
        <f>"2026-07-29 14:21:06"</f>
        <v>2026-07-29 14:21:06</v>
      </c>
      <c r="L10232" s="1" t="str">
        <f>"2023-12-15 09:30:46"</f>
        <v>2023-12-15 09:30:46</v>
      </c>
      <c r="M10232" s="1" t="s">
        <v>4</v>
      </c>
      <c r="N10232" s="1" t="s">
        <v>38</v>
      </c>
      <c r="O10232" s="1" t="s">
        <v>46</v>
      </c>
    </row>
    <row r="10233" spans="2:15" x14ac:dyDescent="0.3">
      <c r="B10233" s="1" t="s">
        <v>21</v>
      </c>
      <c r="C10233" s="1" t="str">
        <f>"4차"</f>
        <v>4차</v>
      </c>
      <c r="D10233" s="1" t="str">
        <f>"9728D04642"</f>
        <v>9728D04642</v>
      </c>
      <c r="E10233" s="1" t="s">
        <v>10</v>
      </c>
      <c r="F10233" s="1" t="str">
        <f>"10.128.2.227"</f>
        <v>10.128.2.227</v>
      </c>
      <c r="G10233" s="1" t="str">
        <f>"9728D046"</f>
        <v>9728D046</v>
      </c>
      <c r="H10233" s="1" t="str">
        <f>"녹번간 10"</f>
        <v>녹번간 10</v>
      </c>
      <c r="I10233" s="1" t="s">
        <v>8</v>
      </c>
      <c r="J10233" s="1" t="str">
        <f>"55/55"</f>
        <v>55/55</v>
      </c>
      <c r="K10233" s="1" t="str">
        <f>"2026-07-29 13:18:12"</f>
        <v>2026-07-29 13:18:12</v>
      </c>
      <c r="L10233" s="1" t="str">
        <f>"2025-01-09 10:53:24"</f>
        <v>2025-01-09 10:53:24</v>
      </c>
      <c r="M10233" s="1" t="s">
        <v>45</v>
      </c>
      <c r="N10233" s="1" t="s">
        <v>38</v>
      </c>
      <c r="O10233" s="1" t="s">
        <v>46</v>
      </c>
    </row>
    <row r="10234" spans="2:15" x14ac:dyDescent="0.3">
      <c r="B10234" s="1" t="s">
        <v>21</v>
      </c>
      <c r="C10234" s="1" t="str">
        <f>"5-2차"</f>
        <v>5-2차</v>
      </c>
      <c r="D10234" s="1" t="str">
        <f>"9728D0525M"</f>
        <v>9728D0525M</v>
      </c>
      <c r="E10234" s="1" t="s">
        <v>10</v>
      </c>
      <c r="F10234" s="1" t="str">
        <f>"fde1:103:4:935b:0:0:0:2"</f>
        <v>fde1:103:4:935b:0:0:0:2</v>
      </c>
      <c r="G10234" s="1" t="str">
        <f>"9728D052"</f>
        <v>9728D052</v>
      </c>
      <c r="H10234" s="1" t="str">
        <f>"응암간 10"</f>
        <v>응암간 10</v>
      </c>
      <c r="I10234" s="1" t="s">
        <v>15</v>
      </c>
      <c r="J10234" s="1" t="str">
        <f>"27/32"</f>
        <v>27/32</v>
      </c>
      <c r="K10234" s="1" t="str">
        <f>"2026-07-29 14:21:26"</f>
        <v>2026-07-29 14:21:26</v>
      </c>
      <c r="L10234" s="1" t="str">
        <f>"2023-12-15 09:36:00"</f>
        <v>2023-12-15 09:36:00</v>
      </c>
      <c r="M10234" s="1" t="s">
        <v>4</v>
      </c>
      <c r="N10234" s="1" t="s">
        <v>38</v>
      </c>
      <c r="O10234" s="1" t="s">
        <v>46</v>
      </c>
    </row>
    <row r="10235" spans="2:15" x14ac:dyDescent="0.3">
      <c r="B10235" s="1" t="s">
        <v>21</v>
      </c>
      <c r="C10235" s="1" t="str">
        <f>"1차"</f>
        <v>1차</v>
      </c>
      <c r="D10235" s="1" t="str">
        <f>"9728D07101"</f>
        <v>9728D07101</v>
      </c>
      <c r="E10235" s="1" t="s">
        <v>14</v>
      </c>
      <c r="F10235" s="1" t="str">
        <f>"10.128.2.21"</f>
        <v>10.128.2.21</v>
      </c>
      <c r="G10235" s="1" t="str">
        <f>"9728D071"</f>
        <v>9728D071</v>
      </c>
      <c r="H10235" s="1" t="str">
        <f>"대동간 7"</f>
        <v>대동간 7</v>
      </c>
      <c r="I10235" s="1" t="s">
        <v>8</v>
      </c>
      <c r="J10235" s="1" t="str">
        <f>"0/0"</f>
        <v>0/0</v>
      </c>
      <c r="K10235" s="1" t="str">
        <f>"2024-04-25 09:20:25"</f>
        <v>2024-04-25 09:20:25</v>
      </c>
      <c r="L10235" s="1" t="str">
        <f>"2014-12-24 09:42:47"</f>
        <v>2014-12-24 09:42:47</v>
      </c>
      <c r="M10235" s="1" t="s">
        <v>45</v>
      </c>
      <c r="N10235" s="1" t="s">
        <v>44</v>
      </c>
      <c r="O10235" s="1" t="s">
        <v>44</v>
      </c>
    </row>
    <row r="10236" spans="2:15" x14ac:dyDescent="0.3">
      <c r="B10236" s="1" t="s">
        <v>21</v>
      </c>
      <c r="C10236" s="1" t="str">
        <f>"1차"</f>
        <v>1차</v>
      </c>
      <c r="D10236" s="1" t="str">
        <f>"9728D08102"</f>
        <v>9728D08102</v>
      </c>
      <c r="E10236" s="1" t="s">
        <v>14</v>
      </c>
      <c r="F10236" s="1" t="str">
        <f>"10.128.2.19"</f>
        <v>10.128.2.19</v>
      </c>
      <c r="G10236" s="1" t="str">
        <f>"9728D081"</f>
        <v>9728D081</v>
      </c>
      <c r="H10236" s="1" t="str">
        <f>"대조간 22L1R5"</f>
        <v>대조간 22L1R5</v>
      </c>
      <c r="I10236" s="1" t="s">
        <v>8</v>
      </c>
      <c r="J10236" s="1" t="str">
        <f>"0/0"</f>
        <v>0/0</v>
      </c>
      <c r="K10236" s="1" t="str">
        <f>"2024-05-01 18:22:54"</f>
        <v>2024-05-01 18:22:54</v>
      </c>
      <c r="L10236" s="1" t="str">
        <f>"2014-12-23 18:13:15"</f>
        <v>2014-12-23 18:13:15</v>
      </c>
      <c r="M10236" s="1" t="s">
        <v>45</v>
      </c>
      <c r="N10236" s="1" t="s">
        <v>44</v>
      </c>
      <c r="O10236" s="1" t="s">
        <v>44</v>
      </c>
    </row>
    <row r="10237" spans="2:15" x14ac:dyDescent="0.3">
      <c r="B10237" s="1" t="s">
        <v>21</v>
      </c>
      <c r="C10237" s="1" t="str">
        <f>"5-1차"</f>
        <v>5-1차</v>
      </c>
      <c r="D10237" s="1" t="str">
        <f>"9728D0925M"</f>
        <v>9728D0925M</v>
      </c>
      <c r="E10237" s="1" t="s">
        <v>10</v>
      </c>
      <c r="F10237" s="1" t="str">
        <f>"fde2:104:0:b4:0:0:0:2"</f>
        <v>fde2:104:0:b4:0:0:0:2</v>
      </c>
      <c r="G10237" s="1" t="str">
        <f>"9728D092"</f>
        <v>9728D092</v>
      </c>
      <c r="H10237" s="1" t="str">
        <f>"대조간 22L9R1"</f>
        <v>대조간 22L9R1</v>
      </c>
      <c r="I10237" s="1" t="s">
        <v>15</v>
      </c>
      <c r="J10237" s="1" t="str">
        <f>"46/46"</f>
        <v>46/46</v>
      </c>
      <c r="K10237" s="1" t="str">
        <f>"2026-07-29 14:21:27"</f>
        <v>2026-07-29 14:21:27</v>
      </c>
      <c r="L10237" s="1" t="str">
        <f>"2022-09-15 08:31:55"</f>
        <v>2022-09-15 08:31:55</v>
      </c>
      <c r="M10237" s="1" t="s">
        <v>42</v>
      </c>
      <c r="N10237" s="1" t="s">
        <v>38</v>
      </c>
      <c r="O10237" s="1" t="s">
        <v>46</v>
      </c>
    </row>
    <row r="10238" spans="2:15" x14ac:dyDescent="0.3">
      <c r="B10238" s="1" t="s">
        <v>21</v>
      </c>
      <c r="C10238" s="1" t="str">
        <f>"5-2차"</f>
        <v>5-2차</v>
      </c>
      <c r="D10238" s="1" t="str">
        <f>"9728D0935M"</f>
        <v>9728D0935M</v>
      </c>
      <c r="E10238" s="1" t="s">
        <v>10</v>
      </c>
      <c r="F10238" s="1" t="str">
        <f>"fde3:102:1303:170b:0:0:0:2"</f>
        <v>fde3:102:1303:170b:0:0:0:2</v>
      </c>
      <c r="G10238" s="1" t="str">
        <f>"9728D093"</f>
        <v>9728D093</v>
      </c>
      <c r="H10238" s="1" t="str">
        <f>"대조간 22L7"</f>
        <v>대조간 22L7</v>
      </c>
      <c r="I10238" s="1" t="s">
        <v>15</v>
      </c>
      <c r="J10238" s="1" t="str">
        <f>"81/82"</f>
        <v>81/82</v>
      </c>
      <c r="K10238" s="1" t="str">
        <f>"2026-07-29 14:21:26"</f>
        <v>2026-07-29 14:21:26</v>
      </c>
      <c r="L10238" s="1" t="str">
        <f>"2023-06-13 18:25:27"</f>
        <v>2023-06-13 18:25:27</v>
      </c>
      <c r="M10238" s="1" t="s">
        <v>45</v>
      </c>
      <c r="N10238" s="1" t="s">
        <v>38</v>
      </c>
      <c r="O10238" s="1" t="s">
        <v>46</v>
      </c>
    </row>
    <row r="10239" spans="2:15" x14ac:dyDescent="0.3">
      <c r="B10239" s="1" t="s">
        <v>21</v>
      </c>
      <c r="C10239" s="1" t="str">
        <f>"5-1차"</f>
        <v>5-1차</v>
      </c>
      <c r="D10239" s="1" t="str">
        <f>"9728D1215M"</f>
        <v>9728D1215M</v>
      </c>
      <c r="E10239" s="1" t="s">
        <v>10</v>
      </c>
      <c r="F10239" s="1" t="str">
        <f>"fde3:102:1303:803:0:0:0:5"</f>
        <v>fde3:102:1303:803:0:0:0:5</v>
      </c>
      <c r="G10239" s="1" t="str">
        <f>"9728D121"</f>
        <v>9728D121</v>
      </c>
      <c r="H10239" s="1" t="str">
        <f>"녹번간 6L3R1"</f>
        <v>녹번간 6L3R1</v>
      </c>
      <c r="I10239" s="1" t="s">
        <v>15</v>
      </c>
      <c r="J10239" s="1" t="str">
        <f>"43/44"</f>
        <v>43/44</v>
      </c>
      <c r="K10239" s="1" t="str">
        <f>"2026-07-29 14:21:27"</f>
        <v>2026-07-29 14:21:27</v>
      </c>
      <c r="L10239" s="1" t="str">
        <f>"2022-12-15 09:11:13"</f>
        <v>2022-12-15 09:11:13</v>
      </c>
      <c r="M10239" s="1" t="s">
        <v>45</v>
      </c>
      <c r="N10239" s="1" t="s">
        <v>38</v>
      </c>
      <c r="O10239" s="1" t="s">
        <v>46</v>
      </c>
    </row>
    <row r="10240" spans="2:15" x14ac:dyDescent="0.3">
      <c r="B10240" s="1" t="s">
        <v>21</v>
      </c>
      <c r="C10240" s="1" t="str">
        <f>"6차"</f>
        <v>6차</v>
      </c>
      <c r="D10240" s="1" t="str">
        <f>"9728D1226S"</f>
        <v>9728D1226S</v>
      </c>
      <c r="E10240" s="1" t="s">
        <v>10</v>
      </c>
      <c r="F10240" s="1" t="str">
        <f>"fde1:103:4:c7e6:0:0:0:2"</f>
        <v>fde1:103:4:c7e6:0:0:0:2</v>
      </c>
      <c r="G10240" s="1" t="str">
        <f>"9728D122"</f>
        <v>9728D122</v>
      </c>
      <c r="H10240" s="1" t="str">
        <f>"녹번간 6L3R2R2"</f>
        <v>녹번간 6L3R2R2</v>
      </c>
      <c r="I10240" s="1" t="s">
        <v>15</v>
      </c>
      <c r="J10240" s="1" t="str">
        <f>"78/86"</f>
        <v>78/86</v>
      </c>
      <c r="K10240" s="1" t="str">
        <f>"2026-07-29 14:21:06"</f>
        <v>2026-07-29 14:21:06</v>
      </c>
      <c r="L10240" s="1" t="str">
        <f>"2025-01-17 17:50:27"</f>
        <v>2025-01-17 17:50:27</v>
      </c>
      <c r="M10240" s="1" t="s">
        <v>4</v>
      </c>
      <c r="N10240" s="1" t="s">
        <v>38</v>
      </c>
      <c r="O10240" s="1" t="s">
        <v>46</v>
      </c>
    </row>
    <row r="10241" spans="2:15" x14ac:dyDescent="0.3">
      <c r="B10241" s="1" t="s">
        <v>21</v>
      </c>
      <c r="C10241" s="1" t="str">
        <f>"1차"</f>
        <v>1차</v>
      </c>
      <c r="D10241" s="1" t="str">
        <f>"9728D13300"</f>
        <v>9728D13300</v>
      </c>
      <c r="E10241" s="1" t="s">
        <v>10</v>
      </c>
      <c r="F10241" s="1" t="str">
        <f>"10.128.80.134"</f>
        <v>10.128.80.134</v>
      </c>
      <c r="G10241" s="1" t="str">
        <f>"9728D133"</f>
        <v>9728D133</v>
      </c>
      <c r="H10241" s="1" t="str">
        <f>"녹번간 8"</f>
        <v>녹번간 8</v>
      </c>
      <c r="I10241" s="1" t="s">
        <v>8</v>
      </c>
      <c r="J10241" s="1" t="str">
        <f>"61/61"</f>
        <v>61/61</v>
      </c>
      <c r="K10241" s="1" t="str">
        <f>"2026-07-29 13:18:12"</f>
        <v>2026-07-29 13:18:12</v>
      </c>
      <c r="L10241" s="1" t="str">
        <f>"2015-01-26 16:56:52"</f>
        <v>2015-01-26 16:56:52</v>
      </c>
      <c r="M10241" s="1" t="s">
        <v>45</v>
      </c>
      <c r="N10241" s="1" t="s">
        <v>38</v>
      </c>
      <c r="O10241" s="1" t="s">
        <v>46</v>
      </c>
    </row>
    <row r="10242" spans="2:15" x14ac:dyDescent="0.3">
      <c r="B10242" s="1" t="s">
        <v>21</v>
      </c>
      <c r="C10242" s="1" t="str">
        <f>"1차"</f>
        <v>1차</v>
      </c>
      <c r="D10242" s="1" t="str">
        <f>"9728D14102"</f>
        <v>9728D14102</v>
      </c>
      <c r="E10242" s="1" t="s">
        <v>14</v>
      </c>
      <c r="F10242" s="1" t="str">
        <f>"10.128.2.231"</f>
        <v>10.128.2.231</v>
      </c>
      <c r="G10242" s="1" t="str">
        <f>"9728D141"</f>
        <v>9728D141</v>
      </c>
      <c r="H10242" s="1" t="str">
        <f>"녹번간 9"</f>
        <v>녹번간 9</v>
      </c>
      <c r="I10242" s="1" t="s">
        <v>8</v>
      </c>
      <c r="J10242" s="1" t="str">
        <f>"0/0"</f>
        <v>0/0</v>
      </c>
      <c r="K10242" s="1" t="str">
        <f>"2024-05-02 15:20:24"</f>
        <v>2024-05-02 15:20:24</v>
      </c>
      <c r="L10242" s="1" t="str">
        <f>"2015-01-26 16:27:12"</f>
        <v>2015-01-26 16:27:12</v>
      </c>
      <c r="M10242" s="1" t="s">
        <v>45</v>
      </c>
      <c r="N10242" s="1" t="s">
        <v>44</v>
      </c>
      <c r="O10242" s="1" t="s">
        <v>44</v>
      </c>
    </row>
    <row r="10243" spans="2:15" x14ac:dyDescent="0.3">
      <c r="B10243" s="1" t="s">
        <v>21</v>
      </c>
      <c r="C10243" s="1" t="str">
        <f>"1차"</f>
        <v>1차</v>
      </c>
      <c r="D10243" s="1" t="str">
        <f>"9728D19100"</f>
        <v>9728D19100</v>
      </c>
      <c r="E10243" s="1" t="s">
        <v>10</v>
      </c>
      <c r="F10243" s="1" t="str">
        <f>"10.128.71.202"</f>
        <v>10.128.71.202</v>
      </c>
      <c r="G10243" s="1" t="str">
        <f>"9728D191"</f>
        <v>9728D191</v>
      </c>
      <c r="H10243" s="1" t="str">
        <f>"대조간 22L8"</f>
        <v>대조간 22L8</v>
      </c>
      <c r="I10243" s="1" t="s">
        <v>8</v>
      </c>
      <c r="J10243" s="1" t="str">
        <f>"34/34"</f>
        <v>34/34</v>
      </c>
      <c r="K10243" s="1" t="str">
        <f>"2026-07-29 13:18:12"</f>
        <v>2026-07-29 13:18:12</v>
      </c>
      <c r="L10243" s="1" t="str">
        <f>"2014-12-22 11:12:59"</f>
        <v>2014-12-22 11:12:59</v>
      </c>
      <c r="M10243" s="1" t="s">
        <v>45</v>
      </c>
      <c r="N10243" s="1" t="s">
        <v>38</v>
      </c>
      <c r="O10243" s="1" t="s">
        <v>46</v>
      </c>
    </row>
    <row r="10244" spans="2:15" x14ac:dyDescent="0.3">
      <c r="B10244" s="1" t="s">
        <v>21</v>
      </c>
      <c r="C10244" s="1" t="str">
        <f>"1차"</f>
        <v>1차</v>
      </c>
      <c r="D10244" s="1" t="str">
        <f>"9728D19200"</f>
        <v>9728D19200</v>
      </c>
      <c r="E10244" s="1" t="s">
        <v>10</v>
      </c>
      <c r="F10244" s="1" t="str">
        <f>"10.128.71.210"</f>
        <v>10.128.71.210</v>
      </c>
      <c r="G10244" s="1" t="str">
        <f>"9728D192"</f>
        <v>9728D192</v>
      </c>
      <c r="H10244" s="1" t="str">
        <f>"대조간 22L9"</f>
        <v>대조간 22L9</v>
      </c>
      <c r="I10244" s="1" t="s">
        <v>8</v>
      </c>
      <c r="J10244" s="1" t="str">
        <f>"59/64"</f>
        <v>59/64</v>
      </c>
      <c r="K10244" s="1" t="str">
        <f>"2026-07-29 13:18:12"</f>
        <v>2026-07-29 13:18:12</v>
      </c>
      <c r="L10244" s="1" t="str">
        <f>"2017-09-21 16:34:33"</f>
        <v>2017-09-21 16:34:33</v>
      </c>
      <c r="M10244" s="1" t="s">
        <v>45</v>
      </c>
      <c r="N10244" s="1" t="s">
        <v>38</v>
      </c>
      <c r="O10244" s="1" t="s">
        <v>46</v>
      </c>
    </row>
    <row r="10245" spans="2:15" x14ac:dyDescent="0.3">
      <c r="B10245" s="1" t="s">
        <v>21</v>
      </c>
      <c r="C10245" s="1" t="str">
        <f>"1차"</f>
        <v>1차</v>
      </c>
      <c r="D10245" s="1" t="str">
        <f>"9728D19203"</f>
        <v>9728D19203</v>
      </c>
      <c r="E10245" s="1" t="s">
        <v>10</v>
      </c>
      <c r="F10245" s="1" t="str">
        <f>"10.12.131.184"</f>
        <v>10.12.131.184</v>
      </c>
      <c r="G10245" s="1" t="str">
        <f>"9728D192"</f>
        <v>9728D192</v>
      </c>
      <c r="H10245" s="1" t="str">
        <f>"대조간 22L9"</f>
        <v>대조간 22L9</v>
      </c>
      <c r="I10245" s="1" t="s">
        <v>8</v>
      </c>
      <c r="J10245" s="1" t="str">
        <f>"1/1"</f>
        <v>1/1</v>
      </c>
      <c r="K10245" s="1" t="str">
        <f>"2026-07-29 13:18:11"</f>
        <v>2026-07-29 13:18:11</v>
      </c>
      <c r="L10245" s="1" t="str">
        <f>"2017-09-21 17:00:37"</f>
        <v>2017-09-21 17:00:37</v>
      </c>
      <c r="M10245" s="1" t="s">
        <v>0</v>
      </c>
      <c r="N10245" s="1" t="s">
        <v>38</v>
      </c>
      <c r="O10245" s="1" t="s">
        <v>46</v>
      </c>
    </row>
    <row r="10246" spans="2:15" x14ac:dyDescent="0.3">
      <c r="B10246" s="1" t="s">
        <v>21</v>
      </c>
      <c r="C10246" s="1" t="str">
        <f>"4차"</f>
        <v>4차</v>
      </c>
      <c r="D10246" s="1" t="str">
        <f>"9728D19745"</f>
        <v>9728D19745</v>
      </c>
      <c r="E10246" s="1" t="s">
        <v>14</v>
      </c>
      <c r="F10246" s="1" t="str">
        <f>"10.14.8.65"</f>
        <v>10.14.8.65</v>
      </c>
      <c r="G10246" s="1" t="str">
        <f>"9728D197"</f>
        <v>9728D197</v>
      </c>
      <c r="H10246" s="1" t="str">
        <f>"대조간 22L10H1A1"</f>
        <v>대조간 22L10H1A1</v>
      </c>
      <c r="I10246" s="1" t="s">
        <v>17</v>
      </c>
      <c r="J10246" s="1" t="str">
        <f>"0/0"</f>
        <v>0/0</v>
      </c>
      <c r="K10246" s="1" t="str">
        <f>"2026-07-29 13:18:11"</f>
        <v>2026-07-29 13:18:11</v>
      </c>
      <c r="L10246" s="1" t="str">
        <f>"2021-06-22 15:00:05"</f>
        <v>2021-06-22 15:00:05</v>
      </c>
      <c r="M10246" s="1" t="s">
        <v>3</v>
      </c>
      <c r="N10246" s="1" t="s">
        <v>38</v>
      </c>
      <c r="O10246" s="1" t="s">
        <v>44</v>
      </c>
    </row>
    <row r="10247" spans="2:15" x14ac:dyDescent="0.3">
      <c r="B10247" s="1" t="s">
        <v>21</v>
      </c>
      <c r="C10247" s="1" t="str">
        <f>"5-2차"</f>
        <v>5-2차</v>
      </c>
      <c r="D10247" s="1" t="str">
        <f>"9728D2015S"</f>
        <v>9728D2015S</v>
      </c>
      <c r="E10247" s="1" t="s">
        <v>10</v>
      </c>
      <c r="F10247" s="1" t="str">
        <f>"fde3:102:1303:701:0:0:0:6"</f>
        <v>fde3:102:1303:701:0:0:0:6</v>
      </c>
      <c r="G10247" s="1" t="str">
        <f>"9728D201"</f>
        <v>9728D201</v>
      </c>
      <c r="H10247" s="1" t="str">
        <f>"녹번간 6L6"</f>
        <v>녹번간 6L6</v>
      </c>
      <c r="I10247" s="1" t="s">
        <v>15</v>
      </c>
      <c r="J10247" s="1" t="str">
        <f>"65/65"</f>
        <v>65/65</v>
      </c>
      <c r="K10247" s="1" t="str">
        <f>"2026-07-29 14:21:39"</f>
        <v>2026-07-29 14:21:39</v>
      </c>
      <c r="L10247" s="1" t="str">
        <f>"2023-06-06 11:20:50"</f>
        <v>2023-06-06 11:20:50</v>
      </c>
      <c r="M10247" s="1" t="s">
        <v>45</v>
      </c>
      <c r="N10247" s="1" t="s">
        <v>38</v>
      </c>
      <c r="O10247" s="1" t="s">
        <v>46</v>
      </c>
    </row>
    <row r="10248" spans="2:15" x14ac:dyDescent="0.3">
      <c r="B10248" s="1" t="s">
        <v>21</v>
      </c>
      <c r="C10248" s="1" t="str">
        <f>"5-2차"</f>
        <v>5-2차</v>
      </c>
      <c r="D10248" s="1" t="str">
        <f>"9728D2025S"</f>
        <v>9728D2025S</v>
      </c>
      <c r="E10248" s="1" t="s">
        <v>10</v>
      </c>
      <c r="F10248" s="1" t="str">
        <f>"fde3:102:1303:808:0:0:0:2"</f>
        <v>fde3:102:1303:808:0:0:0:2</v>
      </c>
      <c r="G10248" s="1" t="str">
        <f>"9728D202"</f>
        <v>9728D202</v>
      </c>
      <c r="H10248" s="1" t="str">
        <f>"녹번간 6L7"</f>
        <v>녹번간 6L7</v>
      </c>
      <c r="I10248" s="1" t="s">
        <v>15</v>
      </c>
      <c r="J10248" s="1" t="str">
        <f>"49/49"</f>
        <v>49/49</v>
      </c>
      <c r="K10248" s="1" t="str">
        <f>"2026-07-29 14:21:03"</f>
        <v>2026-07-29 14:21:03</v>
      </c>
      <c r="L10248" s="1" t="str">
        <f>"2023-06-06 11:49:08"</f>
        <v>2023-06-06 11:49:08</v>
      </c>
      <c r="M10248" s="1" t="s">
        <v>45</v>
      </c>
      <c r="N10248" s="1" t="s">
        <v>38</v>
      </c>
      <c r="O10248" s="1" t="s">
        <v>46</v>
      </c>
    </row>
    <row r="10249" spans="2:15" x14ac:dyDescent="0.3">
      <c r="B10249" s="1" t="s">
        <v>21</v>
      </c>
      <c r="C10249" s="1" t="str">
        <f>"6차"</f>
        <v>6차</v>
      </c>
      <c r="D10249" s="1" t="str">
        <f>"9728D2116S"</f>
        <v>9728D2116S</v>
      </c>
      <c r="E10249" s="1" t="s">
        <v>10</v>
      </c>
      <c r="F10249" s="1" t="str">
        <f>"fde1:103:4:c7cc:0:0:0:2"</f>
        <v>fde1:103:4:c7cc:0:0:0:2</v>
      </c>
      <c r="G10249" s="1" t="str">
        <f>"9728D211"</f>
        <v>9728D211</v>
      </c>
      <c r="H10249" s="1" t="str">
        <f>"녹번간 6L2"</f>
        <v>녹번간 6L2</v>
      </c>
      <c r="I10249" s="1" t="s">
        <v>15</v>
      </c>
      <c r="J10249" s="1" t="str">
        <f>"89/98"</f>
        <v>89/98</v>
      </c>
      <c r="K10249" s="1" t="str">
        <f>"2026-07-29 14:21:34"</f>
        <v>2026-07-29 14:21:34</v>
      </c>
      <c r="L10249" s="1" t="str">
        <f>"2025-01-17 17:48:51"</f>
        <v>2025-01-17 17:48:51</v>
      </c>
      <c r="M10249" s="1" t="s">
        <v>4</v>
      </c>
      <c r="N10249" s="1" t="s">
        <v>38</v>
      </c>
      <c r="O10249" s="1" t="s">
        <v>46</v>
      </c>
    </row>
    <row r="10250" spans="2:15" x14ac:dyDescent="0.3">
      <c r="B10250" s="1" t="s">
        <v>21</v>
      </c>
      <c r="C10250" s="1" t="str">
        <f>"5-2차"</f>
        <v>5-2차</v>
      </c>
      <c r="D10250" s="1" t="str">
        <f>"9728D2325M"</f>
        <v>9728D2325M</v>
      </c>
      <c r="E10250" s="1" t="s">
        <v>10</v>
      </c>
      <c r="F10250" s="1" t="str">
        <f>"fde1:103:4:938f:0:0:0:2"</f>
        <v>fde1:103:4:938f:0:0:0:2</v>
      </c>
      <c r="G10250" s="1" t="str">
        <f>"9728D232"</f>
        <v>9728D232</v>
      </c>
      <c r="H10250" s="1" t="str">
        <f>"녹번간 7"</f>
        <v>녹번간 7</v>
      </c>
      <c r="I10250" s="1" t="s">
        <v>15</v>
      </c>
      <c r="J10250" s="1" t="str">
        <f>"41/41"</f>
        <v>41/41</v>
      </c>
      <c r="K10250" s="1" t="str">
        <f>"2026-07-29 14:21:07"</f>
        <v>2026-07-29 14:21:07</v>
      </c>
      <c r="L10250" s="1" t="str">
        <f>"2023-12-15 09:31:39"</f>
        <v>2023-12-15 09:31:39</v>
      </c>
      <c r="M10250" s="1" t="s">
        <v>4</v>
      </c>
      <c r="N10250" s="1" t="s">
        <v>38</v>
      </c>
      <c r="O10250" s="1" t="s">
        <v>46</v>
      </c>
    </row>
    <row r="10251" spans="2:15" x14ac:dyDescent="0.3">
      <c r="B10251" s="1" t="s">
        <v>21</v>
      </c>
      <c r="C10251" s="1" t="str">
        <f>"5-1차"</f>
        <v>5-1차</v>
      </c>
      <c r="D10251" s="1" t="str">
        <f>"9728D2415M"</f>
        <v>9728D2415M</v>
      </c>
      <c r="E10251" s="1" t="s">
        <v>10</v>
      </c>
      <c r="F10251" s="1" t="str">
        <f>"fde2:104:0:ba:0:0:0:2"</f>
        <v>fde2:104:0:ba:0:0:0:2</v>
      </c>
      <c r="G10251" s="1" t="str">
        <f>"9728D241"</f>
        <v>9728D241</v>
      </c>
      <c r="H10251" s="1" t="str">
        <f>"응암간 6"</f>
        <v>응암간 6</v>
      </c>
      <c r="I10251" s="1" t="s">
        <v>15</v>
      </c>
      <c r="J10251" s="1" t="str">
        <f>"56/56"</f>
        <v>56/56</v>
      </c>
      <c r="K10251" s="1" t="str">
        <f>"2026-07-29 14:21:48"</f>
        <v>2026-07-29 14:21:48</v>
      </c>
      <c r="L10251" s="1" t="str">
        <f>"2022-09-14 16:29:11"</f>
        <v>2022-09-14 16:29:11</v>
      </c>
      <c r="M10251" s="1" t="s">
        <v>42</v>
      </c>
      <c r="N10251" s="1" t="s">
        <v>38</v>
      </c>
      <c r="O10251" s="1" t="s">
        <v>46</v>
      </c>
    </row>
    <row r="10252" spans="2:15" x14ac:dyDescent="0.3">
      <c r="B10252" s="1" t="s">
        <v>21</v>
      </c>
      <c r="C10252" s="1" t="str">
        <f>"5-2차"</f>
        <v>5-2차</v>
      </c>
      <c r="D10252" s="1" t="str">
        <f>"9728D2525M"</f>
        <v>9728D2525M</v>
      </c>
      <c r="E10252" s="1" t="s">
        <v>10</v>
      </c>
      <c r="F10252" s="1" t="str">
        <f>"fde1:103:4:936c:0:0:0:2"</f>
        <v>fde1:103:4:936c:0:0:0:2</v>
      </c>
      <c r="G10252" s="1" t="str">
        <f>"9728D252"</f>
        <v>9728D252</v>
      </c>
      <c r="H10252" s="1" t="str">
        <f>"대동간 8L5"</f>
        <v>대동간 8L5</v>
      </c>
      <c r="I10252" s="1" t="s">
        <v>15</v>
      </c>
      <c r="J10252" s="1" t="str">
        <f>"27/27"</f>
        <v>27/27</v>
      </c>
      <c r="K10252" s="1" t="str">
        <f>"2026-07-29 14:21:37"</f>
        <v>2026-07-29 14:21:37</v>
      </c>
      <c r="L10252" s="1" t="str">
        <f>"2023-12-15 09:59:39"</f>
        <v>2023-12-15 09:59:39</v>
      </c>
      <c r="M10252" s="1" t="s">
        <v>4</v>
      </c>
      <c r="N10252" s="1" t="s">
        <v>38</v>
      </c>
      <c r="O10252" s="1" t="s">
        <v>46</v>
      </c>
    </row>
    <row r="10253" spans="2:15" x14ac:dyDescent="0.3">
      <c r="B10253" s="1" t="s">
        <v>21</v>
      </c>
      <c r="C10253" s="1" t="str">
        <f>"5-2차"</f>
        <v>5-2차</v>
      </c>
      <c r="D10253" s="1" t="str">
        <f>"9728D2735M"</f>
        <v>9728D2735M</v>
      </c>
      <c r="E10253" s="1" t="s">
        <v>10</v>
      </c>
      <c r="F10253" s="1" t="str">
        <f>"fde1:103:4:6e09:0:0:0:2"</f>
        <v>fde1:103:4:6e09:0:0:0:2</v>
      </c>
      <c r="G10253" s="1" t="str">
        <f>"9728D273"</f>
        <v>9728D273</v>
      </c>
      <c r="H10253" s="1" t="str">
        <f>"대동간 8L4L4"</f>
        <v>대동간 8L4L4</v>
      </c>
      <c r="I10253" s="1" t="s">
        <v>15</v>
      </c>
      <c r="J10253" s="1" t="str">
        <f>"66/69"</f>
        <v>66/69</v>
      </c>
      <c r="K10253" s="1" t="str">
        <f>"2026-07-29 14:21:42"</f>
        <v>2026-07-29 14:21:42</v>
      </c>
      <c r="L10253" s="1" t="str">
        <f>"2023-11-15 10:46:58"</f>
        <v>2023-11-15 10:46:58</v>
      </c>
      <c r="M10253" s="1" t="s">
        <v>4</v>
      </c>
      <c r="N10253" s="1" t="s">
        <v>38</v>
      </c>
      <c r="O10253" s="1" t="s">
        <v>46</v>
      </c>
    </row>
    <row r="10254" spans="2:15" x14ac:dyDescent="0.3">
      <c r="B10254" s="1" t="s">
        <v>21</v>
      </c>
      <c r="C10254" s="1" t="str">
        <f>"4차"</f>
        <v>4차</v>
      </c>
      <c r="D10254" s="1" t="str">
        <f>"9728D29145"</f>
        <v>9728D29145</v>
      </c>
      <c r="E10254" s="1" t="s">
        <v>10</v>
      </c>
      <c r="F10254" s="1" t="str">
        <f>"10.14.15.30"</f>
        <v>10.14.15.30</v>
      </c>
      <c r="G10254" s="1" t="str">
        <f>"9728D291"</f>
        <v>9728D291</v>
      </c>
      <c r="H10254" s="1" t="str">
        <f>"대조간 22L9A2"</f>
        <v>대조간 22L9A2</v>
      </c>
      <c r="I10254" s="1" t="s">
        <v>17</v>
      </c>
      <c r="J10254" s="1" t="str">
        <f>"24/24"</f>
        <v>24/24</v>
      </c>
      <c r="K10254" s="1" t="str">
        <f>"2026-07-29 13:18:11"</f>
        <v>2026-07-29 13:18:11</v>
      </c>
      <c r="L10254" s="1" t="str">
        <f>"2021-06-22 15:52:45"</f>
        <v>2021-06-22 15:52:45</v>
      </c>
      <c r="M10254" s="1" t="s">
        <v>3</v>
      </c>
      <c r="N10254" s="1" t="s">
        <v>38</v>
      </c>
      <c r="O10254" s="1" t="s">
        <v>46</v>
      </c>
    </row>
    <row r="10255" spans="2:15" x14ac:dyDescent="0.3">
      <c r="B10255" s="1" t="s">
        <v>21</v>
      </c>
      <c r="C10255" s="1" t="str">
        <f>"5-1차"</f>
        <v>5-1차</v>
      </c>
      <c r="D10255" s="1" t="str">
        <f>"9728D3115S"</f>
        <v>9728D3115S</v>
      </c>
      <c r="E10255" s="1" t="s">
        <v>10</v>
      </c>
      <c r="F10255" s="1" t="str">
        <f>"fde3:102:1303:801:0:0:0:2"</f>
        <v>fde3:102:1303:801:0:0:0:2</v>
      </c>
      <c r="G10255" s="1" t="str">
        <f>"9728D311"</f>
        <v>9728D311</v>
      </c>
      <c r="H10255" s="1" t="str">
        <f>"녹번간 6L5"</f>
        <v>녹번간 6L5</v>
      </c>
      <c r="I10255" s="1" t="s">
        <v>15</v>
      </c>
      <c r="J10255" s="1" t="str">
        <f>"54/54"</f>
        <v>54/54</v>
      </c>
      <c r="K10255" s="1" t="str">
        <f>"2026-07-29 14:21:29"</f>
        <v>2026-07-29 14:21:29</v>
      </c>
      <c r="L10255" s="1" t="str">
        <f>"2022-11-24 18:31:42"</f>
        <v>2022-11-24 18:31:42</v>
      </c>
      <c r="M10255" s="1" t="s">
        <v>45</v>
      </c>
      <c r="N10255" s="1" t="s">
        <v>38</v>
      </c>
      <c r="O10255" s="1" t="s">
        <v>46</v>
      </c>
    </row>
    <row r="10256" spans="2:15" x14ac:dyDescent="0.3">
      <c r="B10256" s="1" t="s">
        <v>21</v>
      </c>
      <c r="C10256" s="1" t="str">
        <f>"5-2차"</f>
        <v>5-2차</v>
      </c>
      <c r="D10256" s="1" t="str">
        <f>"9728D3125M"</f>
        <v>9728D3125M</v>
      </c>
      <c r="E10256" s="1" t="s">
        <v>10</v>
      </c>
      <c r="F10256" s="1" t="str">
        <f>"fde3:102:1303:701:0:0:0:5"</f>
        <v>fde3:102:1303:701:0:0:0:5</v>
      </c>
      <c r="G10256" s="1" t="str">
        <f>"9728D312"</f>
        <v>9728D312</v>
      </c>
      <c r="H10256" s="1" t="str">
        <f>"녹번간 6L5L1H1"</f>
        <v>녹번간 6L5L1H1</v>
      </c>
      <c r="I10256" s="1" t="s">
        <v>15</v>
      </c>
      <c r="J10256" s="1" t="str">
        <f>"55/55"</f>
        <v>55/55</v>
      </c>
      <c r="K10256" s="1" t="str">
        <f>"2026-07-28 20:03:27"</f>
        <v>2026-07-28 20:03:27</v>
      </c>
      <c r="L10256" s="1" t="str">
        <f>"2023-06-13 18:26:23"</f>
        <v>2023-06-13 18:26:23</v>
      </c>
      <c r="M10256" s="1" t="s">
        <v>45</v>
      </c>
      <c r="N10256" s="1" t="s">
        <v>38</v>
      </c>
      <c r="O10256" s="1" t="s">
        <v>46</v>
      </c>
    </row>
    <row r="10257" spans="2:15" x14ac:dyDescent="0.3">
      <c r="B10257" s="1" t="s">
        <v>21</v>
      </c>
      <c r="C10257" s="1" t="str">
        <f>"5-2차"</f>
        <v>5-2차</v>
      </c>
      <c r="D10257" s="1" t="str">
        <f>"9728D3315M"</f>
        <v>9728D3315M</v>
      </c>
      <c r="E10257" s="1" t="s">
        <v>10</v>
      </c>
      <c r="F10257" s="1" t="str">
        <f>"fde3:102:1303:703:0:0:0:2"</f>
        <v>fde3:102:1303:703:0:0:0:2</v>
      </c>
      <c r="G10257" s="1" t="str">
        <f>"9728D331"</f>
        <v>9728D331</v>
      </c>
      <c r="H10257" s="1" t="str">
        <f>"녹번간 6"</f>
        <v>녹번간 6</v>
      </c>
      <c r="I10257" s="1" t="s">
        <v>15</v>
      </c>
      <c r="J10257" s="1" t="str">
        <f>"76/76"</f>
        <v>76/76</v>
      </c>
      <c r="K10257" s="1" t="str">
        <f>"2026-07-29 14:21:42"</f>
        <v>2026-07-29 14:21:42</v>
      </c>
      <c r="L10257" s="1" t="str">
        <f>"2023-06-13 18:30:13"</f>
        <v>2023-06-13 18:30:13</v>
      </c>
      <c r="M10257" s="1" t="s">
        <v>45</v>
      </c>
      <c r="N10257" s="1" t="s">
        <v>38</v>
      </c>
      <c r="O10257" s="1" t="s">
        <v>46</v>
      </c>
    </row>
    <row r="10258" spans="2:15" x14ac:dyDescent="0.3">
      <c r="B10258" s="1" t="s">
        <v>21</v>
      </c>
      <c r="C10258" s="1" t="str">
        <f>"5-2차"</f>
        <v>5-2차</v>
      </c>
      <c r="D10258" s="1" t="str">
        <f>"9728D3515M"</f>
        <v>9728D3515M</v>
      </c>
      <c r="E10258" s="1" t="s">
        <v>10</v>
      </c>
      <c r="F10258" s="1" t="str">
        <f>"fde1:103:4:6e10:0:0:0:2"</f>
        <v>fde1:103:4:6e10:0:0:0:2</v>
      </c>
      <c r="G10258" s="1" t="str">
        <f>"9728D351"</f>
        <v>9728D351</v>
      </c>
      <c r="H10258" s="1" t="str">
        <f>"대동간 8L8R5"</f>
        <v>대동간 8L8R5</v>
      </c>
      <c r="I10258" s="1" t="s">
        <v>15</v>
      </c>
      <c r="J10258" s="1" t="str">
        <f>"18/18"</f>
        <v>18/18</v>
      </c>
      <c r="K10258" s="1" t="str">
        <f>"2026-07-29 14:21:06"</f>
        <v>2026-07-29 14:21:06</v>
      </c>
      <c r="L10258" s="1" t="str">
        <f>"2023-11-15 10:56:33"</f>
        <v>2023-11-15 10:56:33</v>
      </c>
      <c r="M10258" s="1" t="s">
        <v>4</v>
      </c>
      <c r="N10258" s="1" t="s">
        <v>38</v>
      </c>
      <c r="O10258" s="1" t="s">
        <v>46</v>
      </c>
    </row>
    <row r="10259" spans="2:15" x14ac:dyDescent="0.3">
      <c r="B10259" s="1" t="s">
        <v>21</v>
      </c>
      <c r="C10259" s="1" t="str">
        <f>"5-2차"</f>
        <v>5-2차</v>
      </c>
      <c r="D10259" s="1" t="str">
        <f>"9728D3545M"</f>
        <v>9728D3545M</v>
      </c>
      <c r="E10259" s="1" t="s">
        <v>10</v>
      </c>
      <c r="F10259" s="1" t="str">
        <f>"fde1:103:4:93e5:0:0:0:2"</f>
        <v>fde1:103:4:93e5:0:0:0:2</v>
      </c>
      <c r="G10259" s="1" t="str">
        <f>"9728D354"</f>
        <v>9728D354</v>
      </c>
      <c r="H10259" s="1" t="str">
        <f>"대동간 8L8R4"</f>
        <v>대동간 8L8R4</v>
      </c>
      <c r="I10259" s="1" t="s">
        <v>15</v>
      </c>
      <c r="J10259" s="1" t="str">
        <f>"53/57"</f>
        <v>53/57</v>
      </c>
      <c r="K10259" s="1" t="str">
        <f>"2026-07-29 14:21:30"</f>
        <v>2026-07-29 14:21:30</v>
      </c>
      <c r="L10259" s="1" t="str">
        <f>"2023-12-15 09:59:54"</f>
        <v>2023-12-15 09:59:54</v>
      </c>
      <c r="M10259" s="1" t="s">
        <v>4</v>
      </c>
      <c r="N10259" s="1" t="s">
        <v>38</v>
      </c>
      <c r="O10259" s="1" t="s">
        <v>46</v>
      </c>
    </row>
    <row r="10260" spans="2:15" x14ac:dyDescent="0.3">
      <c r="B10260" s="1" t="s">
        <v>21</v>
      </c>
      <c r="C10260" s="1" t="str">
        <f>"5-1차"</f>
        <v>5-1차</v>
      </c>
      <c r="D10260" s="1" t="str">
        <f>"9728D4025M"</f>
        <v>9728D4025M</v>
      </c>
      <c r="E10260" s="1" t="s">
        <v>10</v>
      </c>
      <c r="F10260" s="1" t="str">
        <f>"fde2:104:0:b8:0:0:0:2"</f>
        <v>fde2:104:0:b8:0:0:0:2</v>
      </c>
      <c r="G10260" s="1" t="str">
        <f>"9728D402"</f>
        <v>9728D402</v>
      </c>
      <c r="H10260" s="1" t="str">
        <f>"녹번간 6L5L2"</f>
        <v>녹번간 6L5L2</v>
      </c>
      <c r="I10260" s="1" t="s">
        <v>15</v>
      </c>
      <c r="J10260" s="1" t="str">
        <f>"102/105"</f>
        <v>102/105</v>
      </c>
      <c r="K10260" s="1" t="str">
        <f>"2026-07-29 14:21:30"</f>
        <v>2026-07-29 14:21:30</v>
      </c>
      <c r="L10260" s="1" t="str">
        <f>"2022-09-15 09:56:33"</f>
        <v>2022-09-15 09:56:33</v>
      </c>
      <c r="M10260" s="1" t="s">
        <v>42</v>
      </c>
      <c r="N10260" s="1" t="s">
        <v>38</v>
      </c>
      <c r="O10260" s="1" t="s">
        <v>46</v>
      </c>
    </row>
    <row r="10261" spans="2:15" x14ac:dyDescent="0.3">
      <c r="B10261" s="1" t="s">
        <v>21</v>
      </c>
      <c r="C10261" s="1" t="str">
        <f>"5-2차"</f>
        <v>5-2차</v>
      </c>
      <c r="D10261" s="1" t="str">
        <f>"9728D4235S"</f>
        <v>9728D4235S</v>
      </c>
      <c r="E10261" s="1" t="s">
        <v>10</v>
      </c>
      <c r="F10261" s="1" t="str">
        <f>"fde1:103:4:9214:0:0:0:2"</f>
        <v>fde1:103:4:9214:0:0:0:2</v>
      </c>
      <c r="G10261" s="1" t="str">
        <f>"9728D423"</f>
        <v>9728D423</v>
      </c>
      <c r="H10261" s="1" t="str">
        <f>"녹번간 6H1L1"</f>
        <v>녹번간 6H1L1</v>
      </c>
      <c r="I10261" s="1" t="s">
        <v>15</v>
      </c>
      <c r="J10261" s="1" t="str">
        <f>"67/74"</f>
        <v>67/74</v>
      </c>
      <c r="K10261" s="1" t="str">
        <f>"2026-07-29 14:21:31"</f>
        <v>2026-07-29 14:21:31</v>
      </c>
      <c r="L10261" s="1" t="str">
        <f>"2024-01-08 15:52:45"</f>
        <v>2024-01-08 15:52:45</v>
      </c>
      <c r="M10261" s="1" t="s">
        <v>4</v>
      </c>
      <c r="N10261" s="1" t="s">
        <v>38</v>
      </c>
      <c r="O10261" s="1" t="s">
        <v>46</v>
      </c>
    </row>
    <row r="10262" spans="2:15" x14ac:dyDescent="0.3">
      <c r="B10262" s="1" t="s">
        <v>21</v>
      </c>
      <c r="C10262" s="1" t="str">
        <f>"5-2차"</f>
        <v>5-2차</v>
      </c>
      <c r="D10262" s="1" t="str">
        <f>"9728D4315M"</f>
        <v>9728D4315M</v>
      </c>
      <c r="E10262" s="1" t="s">
        <v>10</v>
      </c>
      <c r="F10262" s="1" t="str">
        <f>"fde3:102:1303:808:0:0:0:4"</f>
        <v>fde3:102:1303:808:0:0:0:4</v>
      </c>
      <c r="G10262" s="1" t="str">
        <f>"9728D431"</f>
        <v>9728D431</v>
      </c>
      <c r="H10262" s="1" t="str">
        <f>"녹번간 6H1"</f>
        <v>녹번간 6H1</v>
      </c>
      <c r="I10262" s="1" t="s">
        <v>15</v>
      </c>
      <c r="J10262" s="1" t="str">
        <f>"70/70"</f>
        <v>70/70</v>
      </c>
      <c r="K10262" s="1" t="str">
        <f>"2026-07-29 14:21:41"</f>
        <v>2026-07-29 14:21:41</v>
      </c>
      <c r="L10262" s="1" t="str">
        <f>"2023-06-15 10:10:05"</f>
        <v>2023-06-15 10:10:05</v>
      </c>
      <c r="M10262" s="1" t="s">
        <v>45</v>
      </c>
      <c r="N10262" s="1" t="s">
        <v>38</v>
      </c>
      <c r="O10262" s="1" t="s">
        <v>46</v>
      </c>
    </row>
    <row r="10263" spans="2:15" x14ac:dyDescent="0.3">
      <c r="B10263" s="1" t="s">
        <v>21</v>
      </c>
      <c r="C10263" s="1" t="str">
        <f>"5-1차"</f>
        <v>5-1차</v>
      </c>
      <c r="D10263" s="1" t="str">
        <f>"9728D4515M"</f>
        <v>9728D4515M</v>
      </c>
      <c r="E10263" s="1" t="s">
        <v>10</v>
      </c>
      <c r="F10263" s="1" t="str">
        <f>"fde3:102:1303:1701:0:0:0:2"</f>
        <v>fde3:102:1303:1701:0:0:0:2</v>
      </c>
      <c r="G10263" s="1" t="str">
        <f>"9728D451"</f>
        <v>9728D451</v>
      </c>
      <c r="H10263" s="1" t="str">
        <f>"대동간 8L8R3"</f>
        <v>대동간 8L8R3</v>
      </c>
      <c r="I10263" s="1" t="s">
        <v>15</v>
      </c>
      <c r="J10263" s="1" t="str">
        <f>"11/11"</f>
        <v>11/11</v>
      </c>
      <c r="K10263" s="1" t="str">
        <f>"2026-07-29 14:21:48"</f>
        <v>2026-07-29 14:21:48</v>
      </c>
      <c r="L10263" s="1" t="str">
        <f>"2022-11-24 14:25:39"</f>
        <v>2022-11-24 14:25:39</v>
      </c>
      <c r="M10263" s="1" t="s">
        <v>45</v>
      </c>
      <c r="N10263" s="1" t="s">
        <v>38</v>
      </c>
      <c r="O10263" s="1" t="s">
        <v>46</v>
      </c>
    </row>
    <row r="10264" spans="2:15" x14ac:dyDescent="0.3">
      <c r="B10264" s="1" t="s">
        <v>21</v>
      </c>
      <c r="C10264" s="1" t="str">
        <f>"5-2차"</f>
        <v>5-2차</v>
      </c>
      <c r="D10264" s="1" t="str">
        <f>"9728D4675M"</f>
        <v>9728D4675M</v>
      </c>
      <c r="E10264" s="1" t="s">
        <v>10</v>
      </c>
      <c r="F10264" s="1" t="str">
        <f>"fde1:103:4:9430:0:0:0:2"</f>
        <v>fde1:103:4:9430:0:0:0:2</v>
      </c>
      <c r="G10264" s="1" t="str">
        <f>"9728D467"</f>
        <v>9728D467</v>
      </c>
      <c r="H10264" s="1" t="str">
        <f>"대동간 8L8"</f>
        <v>대동간 8L8</v>
      </c>
      <c r="I10264" s="1" t="s">
        <v>15</v>
      </c>
      <c r="J10264" s="1" t="str">
        <f>"56/56"</f>
        <v>56/56</v>
      </c>
      <c r="K10264" s="1" t="str">
        <f>"2026-07-29 14:21:42"</f>
        <v>2026-07-29 14:21:42</v>
      </c>
      <c r="L10264" s="1" t="str">
        <f>"2023-12-15 10:00:22"</f>
        <v>2023-12-15 10:00:22</v>
      </c>
      <c r="M10264" s="1" t="s">
        <v>4</v>
      </c>
      <c r="N10264" s="1" t="s">
        <v>38</v>
      </c>
      <c r="O10264" s="1" t="s">
        <v>46</v>
      </c>
    </row>
    <row r="10265" spans="2:15" x14ac:dyDescent="0.3">
      <c r="B10265" s="1" t="s">
        <v>21</v>
      </c>
      <c r="C10265" s="1" t="str">
        <f>"4차"</f>
        <v>4차</v>
      </c>
      <c r="D10265" s="1" t="str">
        <f>"9728D48439"</f>
        <v>9728D48439</v>
      </c>
      <c r="E10265" s="1" t="s">
        <v>10</v>
      </c>
      <c r="F10265" s="1" t="str">
        <f>"10.12.132.26"</f>
        <v>10.12.132.26</v>
      </c>
      <c r="G10265" s="1" t="str">
        <f>"9728D484"</f>
        <v>9728D484</v>
      </c>
      <c r="H10265" s="1" t="str">
        <f>"통일로 L20-1"</f>
        <v>통일로 L20-1</v>
      </c>
      <c r="I10265" s="1" t="s">
        <v>17</v>
      </c>
      <c r="J10265" s="1" t="str">
        <f>"9/9"</f>
        <v>9/9</v>
      </c>
      <c r="K10265" s="1" t="str">
        <f>"2026-07-29 13:18:11"</f>
        <v>2026-07-29 13:18:11</v>
      </c>
      <c r="L10265" s="1" t="str">
        <f>"2018-07-05 16:21:28"</f>
        <v>2018-07-05 16:21:28</v>
      </c>
      <c r="M10265" s="1" t="s">
        <v>0</v>
      </c>
      <c r="N10265" s="1" t="s">
        <v>38</v>
      </c>
      <c r="O10265" s="1" t="s">
        <v>46</v>
      </c>
    </row>
    <row r="10266" spans="2:15" x14ac:dyDescent="0.3">
      <c r="B10266" s="1" t="s">
        <v>21</v>
      </c>
      <c r="C10266" s="1" t="str">
        <f>"4차"</f>
        <v>4차</v>
      </c>
      <c r="D10266" s="1" t="str">
        <f>"9728D49139"</f>
        <v>9728D49139</v>
      </c>
      <c r="E10266" s="1" t="s">
        <v>10</v>
      </c>
      <c r="F10266" s="1" t="str">
        <f>"10.12.137.217"</f>
        <v>10.12.137.217</v>
      </c>
      <c r="G10266" s="1" t="str">
        <f>"9728D491"</f>
        <v>9728D491</v>
      </c>
      <c r="H10266" s="1" t="str">
        <f>"통일로 L21"</f>
        <v>통일로 L21</v>
      </c>
      <c r="I10266" s="1" t="s">
        <v>17</v>
      </c>
      <c r="J10266" s="1" t="str">
        <f>"8/8"</f>
        <v>8/8</v>
      </c>
      <c r="K10266" s="1" t="str">
        <f>"2026-07-29 13:18:11"</f>
        <v>2026-07-29 13:18:11</v>
      </c>
      <c r="L10266" s="1" t="str">
        <f>"2018-05-23 08:51:56"</f>
        <v>2018-05-23 08:51:56</v>
      </c>
      <c r="M10266" s="1" t="s">
        <v>0</v>
      </c>
      <c r="N10266" s="1" t="s">
        <v>38</v>
      </c>
      <c r="O10266" s="1" t="s">
        <v>46</v>
      </c>
    </row>
    <row r="10267" spans="2:15" x14ac:dyDescent="0.3">
      <c r="B10267" s="1" t="s">
        <v>21</v>
      </c>
      <c r="C10267" s="1" t="str">
        <f>"4차"</f>
        <v>4차</v>
      </c>
      <c r="D10267" s="1" t="str">
        <f>"9728D49539"</f>
        <v>9728D49539</v>
      </c>
      <c r="E10267" s="1" t="s">
        <v>10</v>
      </c>
      <c r="F10267" s="1" t="str">
        <f>"10.12.133.245"</f>
        <v>10.12.133.245</v>
      </c>
      <c r="G10267" s="1" t="str">
        <f>"9728D495"</f>
        <v>9728D495</v>
      </c>
      <c r="H10267" s="1" t="str">
        <f>"통일로 R12-1"</f>
        <v>통일로 R12-1</v>
      </c>
      <c r="I10267" s="1" t="s">
        <v>17</v>
      </c>
      <c r="J10267" s="1" t="str">
        <f>"4/4"</f>
        <v>4/4</v>
      </c>
      <c r="K10267" s="1" t="str">
        <f>"2026-07-29 13:18:11"</f>
        <v>2026-07-29 13:18:11</v>
      </c>
      <c r="L10267" s="1" t="str">
        <f>"2018-05-21 11:57:09"</f>
        <v>2018-05-21 11:57:09</v>
      </c>
      <c r="M10267" s="1" t="s">
        <v>0</v>
      </c>
      <c r="N10267" s="1" t="s">
        <v>38</v>
      </c>
      <c r="O10267" s="1" t="s">
        <v>46</v>
      </c>
    </row>
    <row r="10268" spans="2:15" x14ac:dyDescent="0.3">
      <c r="B10268" s="1" t="s">
        <v>21</v>
      </c>
      <c r="C10268" s="1" t="str">
        <f>"5-2차"</f>
        <v>5-2차</v>
      </c>
      <c r="D10268" s="1" t="str">
        <f>"9728D5015S"</f>
        <v>9728D5015S</v>
      </c>
      <c r="E10268" s="1" t="s">
        <v>10</v>
      </c>
      <c r="F10268" s="1" t="str">
        <f>"fde3:102:1303:705:0:0:0:2"</f>
        <v>fde3:102:1303:705:0:0:0:2</v>
      </c>
      <c r="G10268" s="1" t="str">
        <f>"9728D501"</f>
        <v>9728D501</v>
      </c>
      <c r="H10268" s="1" t="str">
        <f>"녹번간 6L5L3"</f>
        <v>녹번간 6L5L3</v>
      </c>
      <c r="I10268" s="1" t="s">
        <v>15</v>
      </c>
      <c r="J10268" s="1" t="str">
        <f>"40/40"</f>
        <v>40/40</v>
      </c>
      <c r="K10268" s="1" t="str">
        <f>"2026-07-29 14:21:42"</f>
        <v>2026-07-29 14:21:42</v>
      </c>
      <c r="L10268" s="1" t="str">
        <f>"2023-07-05 12:38:48"</f>
        <v>2023-07-05 12:38:48</v>
      </c>
      <c r="M10268" s="1" t="s">
        <v>45</v>
      </c>
      <c r="N10268" s="1" t="s">
        <v>38</v>
      </c>
      <c r="O10268" s="1" t="s">
        <v>46</v>
      </c>
    </row>
    <row r="10269" spans="2:15" x14ac:dyDescent="0.3">
      <c r="B10269" s="1" t="s">
        <v>21</v>
      </c>
      <c r="C10269" s="1" t="str">
        <f>"5-2차"</f>
        <v>5-2차</v>
      </c>
      <c r="D10269" s="1" t="str">
        <f>"9728D5025S"</f>
        <v>9728D5025S</v>
      </c>
      <c r="E10269" s="1" t="s">
        <v>10</v>
      </c>
      <c r="F10269" s="1" t="str">
        <f>"fde3:102:1303:705:0:0:0:3"</f>
        <v>fde3:102:1303:705:0:0:0:3</v>
      </c>
      <c r="G10269" s="1" t="str">
        <f>"9728D502"</f>
        <v>9728D502</v>
      </c>
      <c r="H10269" s="1" t="str">
        <f>"녹번간 6L5L3R1"</f>
        <v>녹번간 6L5L3R1</v>
      </c>
      <c r="I10269" s="1" t="s">
        <v>15</v>
      </c>
      <c r="J10269" s="1" t="str">
        <f>"33/33"</f>
        <v>33/33</v>
      </c>
      <c r="K10269" s="1" t="str">
        <f>"2026-07-29 14:21:30"</f>
        <v>2026-07-29 14:21:30</v>
      </c>
      <c r="L10269" s="1" t="str">
        <f>"2023-06-06 10:41:12"</f>
        <v>2023-06-06 10:41:12</v>
      </c>
      <c r="M10269" s="1" t="s">
        <v>45</v>
      </c>
      <c r="N10269" s="1" t="s">
        <v>38</v>
      </c>
      <c r="O10269" s="1" t="s">
        <v>46</v>
      </c>
    </row>
    <row r="10270" spans="2:15" x14ac:dyDescent="0.3">
      <c r="B10270" s="1" t="s">
        <v>21</v>
      </c>
      <c r="C10270" s="1" t="str">
        <f>"1차"</f>
        <v>1차</v>
      </c>
      <c r="D10270" s="1" t="str">
        <f>"9728D52101"</f>
        <v>9728D52101</v>
      </c>
      <c r="E10270" s="1" t="s">
        <v>10</v>
      </c>
      <c r="F10270" s="1" t="str">
        <f>"10.128.2.234"</f>
        <v>10.128.2.234</v>
      </c>
      <c r="G10270" s="1" t="str">
        <f>"9728D521"</f>
        <v>9728D521</v>
      </c>
      <c r="H10270" s="1" t="str">
        <f>"녹번간 6H1L3"</f>
        <v>녹번간 6H1L3</v>
      </c>
      <c r="I10270" s="1" t="s">
        <v>8</v>
      </c>
      <c r="J10270" s="1" t="str">
        <f>"31/31"</f>
        <v>31/31</v>
      </c>
      <c r="K10270" s="1" t="str">
        <f>"2026-07-29 13:18:12"</f>
        <v>2026-07-29 13:18:12</v>
      </c>
      <c r="L10270" s="1" t="str">
        <f>"2015-01-26 16:42:11"</f>
        <v>2015-01-26 16:42:11</v>
      </c>
      <c r="M10270" s="1" t="s">
        <v>45</v>
      </c>
      <c r="N10270" s="1" t="s">
        <v>38</v>
      </c>
      <c r="O10270" s="1" t="s">
        <v>46</v>
      </c>
    </row>
    <row r="10271" spans="2:15" x14ac:dyDescent="0.3">
      <c r="B10271" s="1" t="s">
        <v>21</v>
      </c>
      <c r="C10271" s="1" t="str">
        <f>"5-2차"</f>
        <v>5-2차</v>
      </c>
      <c r="D10271" s="1" t="str">
        <f>"9728D5225M"</f>
        <v>9728D5225M</v>
      </c>
      <c r="E10271" s="1" t="s">
        <v>10</v>
      </c>
      <c r="F10271" s="1" t="str">
        <f>"fde1:103:4:9183:0:0:0:2"</f>
        <v>fde1:103:4:9183:0:0:0:2</v>
      </c>
      <c r="G10271" s="1" t="str">
        <f>"9728D522"</f>
        <v>9728D522</v>
      </c>
      <c r="H10271" s="1" t="str">
        <f>"녹번간 6H1L2"</f>
        <v>녹번간 6H1L2</v>
      </c>
      <c r="I10271" s="1" t="s">
        <v>15</v>
      </c>
      <c r="J10271" s="1" t="str">
        <f>"16/17"</f>
        <v>16/17</v>
      </c>
      <c r="K10271" s="1" t="str">
        <f>"2026-07-29 14:21:03"</f>
        <v>2026-07-29 14:21:03</v>
      </c>
      <c r="L10271" s="1" t="str">
        <f>"2024-01-15 17:39:37"</f>
        <v>2024-01-15 17:39:37</v>
      </c>
      <c r="M10271" s="1" t="s">
        <v>4</v>
      </c>
      <c r="N10271" s="1" t="s">
        <v>38</v>
      </c>
      <c r="O10271" s="1" t="s">
        <v>46</v>
      </c>
    </row>
    <row r="10272" spans="2:15" x14ac:dyDescent="0.3">
      <c r="B10272" s="1" t="s">
        <v>21</v>
      </c>
      <c r="C10272" s="1" t="str">
        <f>"1차"</f>
        <v>1차</v>
      </c>
      <c r="D10272" s="1" t="str">
        <f>"9728D53100"</f>
        <v>9728D53100</v>
      </c>
      <c r="E10272" s="1" t="s">
        <v>10</v>
      </c>
      <c r="F10272" s="1" t="str">
        <f>"10.128.80.106"</f>
        <v>10.128.80.106</v>
      </c>
      <c r="G10272" s="1" t="str">
        <f>"9728D531"</f>
        <v>9728D531</v>
      </c>
      <c r="H10272" s="1" t="str">
        <f>"녹번간 3"</f>
        <v>녹번간 3</v>
      </c>
      <c r="I10272" s="1" t="s">
        <v>8</v>
      </c>
      <c r="J10272" s="1" t="str">
        <f>"53/53"</f>
        <v>53/53</v>
      </c>
      <c r="K10272" s="1" t="str">
        <f>"2026-07-29 13:18:12"</f>
        <v>2026-07-29 13:18:12</v>
      </c>
      <c r="L10272" s="1" t="str">
        <f>"2015-01-26 16:41:06"</f>
        <v>2015-01-26 16:41:06</v>
      </c>
      <c r="M10272" s="1" t="s">
        <v>45</v>
      </c>
      <c r="N10272" s="1" t="s">
        <v>38</v>
      </c>
      <c r="O10272" s="1" t="s">
        <v>46</v>
      </c>
    </row>
    <row r="10273" spans="2:15" x14ac:dyDescent="0.3">
      <c r="B10273" s="1" t="s">
        <v>21</v>
      </c>
      <c r="C10273" s="1" t="str">
        <f>"5-2차"</f>
        <v>5-2차</v>
      </c>
      <c r="D10273" s="1" t="str">
        <f>"9728D5325S"</f>
        <v>9728D5325S</v>
      </c>
      <c r="E10273" s="1" t="s">
        <v>10</v>
      </c>
      <c r="F10273" s="1" t="str">
        <f>"fde3:102:1303:503:0:0:0:2"</f>
        <v>fde3:102:1303:503:0:0:0:2</v>
      </c>
      <c r="G10273" s="1" t="str">
        <f>"9728D532"</f>
        <v>9728D532</v>
      </c>
      <c r="H10273" s="1" t="str">
        <f>"녹번간 4"</f>
        <v>녹번간 4</v>
      </c>
      <c r="I10273" s="1" t="s">
        <v>15</v>
      </c>
      <c r="J10273" s="1" t="str">
        <f>"70/70"</f>
        <v>70/70</v>
      </c>
      <c r="K10273" s="1" t="str">
        <f>"2026-07-29 14:21:45"</f>
        <v>2026-07-29 14:21:45</v>
      </c>
      <c r="L10273" s="1" t="str">
        <f>"2023-07-16 15:28:09"</f>
        <v>2023-07-16 15:28:09</v>
      </c>
      <c r="M10273" s="1" t="s">
        <v>45</v>
      </c>
      <c r="N10273" s="1" t="s">
        <v>38</v>
      </c>
      <c r="O10273" s="1" t="s">
        <v>46</v>
      </c>
    </row>
    <row r="10274" spans="2:15" x14ac:dyDescent="0.3">
      <c r="B10274" s="1" t="s">
        <v>21</v>
      </c>
      <c r="C10274" s="1" t="str">
        <f>"1차"</f>
        <v>1차</v>
      </c>
      <c r="D10274" s="1" t="str">
        <f>"9728D54100"</f>
        <v>9728D54100</v>
      </c>
      <c r="E10274" s="1" t="s">
        <v>10</v>
      </c>
      <c r="F10274" s="1" t="str">
        <f>"10.128.2.236"</f>
        <v>10.128.2.236</v>
      </c>
      <c r="G10274" s="1" t="str">
        <f>"9728D541"</f>
        <v>9728D541</v>
      </c>
      <c r="H10274" s="1" t="str">
        <f>"응암간 2"</f>
        <v>응암간 2</v>
      </c>
      <c r="I10274" s="1" t="s">
        <v>8</v>
      </c>
      <c r="J10274" s="1" t="str">
        <f>"44/45"</f>
        <v>44/45</v>
      </c>
      <c r="K10274" s="1" t="str">
        <f>"2026-07-29 13:18:12"</f>
        <v>2026-07-29 13:18:12</v>
      </c>
      <c r="L10274" s="1" t="str">
        <f>"2015-01-26 16:26:43"</f>
        <v>2015-01-26 16:26:43</v>
      </c>
      <c r="M10274" s="1" t="s">
        <v>45</v>
      </c>
      <c r="N10274" s="1" t="s">
        <v>38</v>
      </c>
      <c r="O10274" s="1" t="s">
        <v>46</v>
      </c>
    </row>
    <row r="10275" spans="2:15" x14ac:dyDescent="0.3">
      <c r="B10275" s="1" t="s">
        <v>21</v>
      </c>
      <c r="C10275" s="1" t="str">
        <f>"5-2차"</f>
        <v>5-2차</v>
      </c>
      <c r="D10275" s="1" t="str">
        <f>"9728D5555M"</f>
        <v>9728D5555M</v>
      </c>
      <c r="E10275" s="1" t="s">
        <v>10</v>
      </c>
      <c r="F10275" s="1" t="str">
        <f>"fde1:103:4:9315:0:0:0:2"</f>
        <v>fde1:103:4:9315:0:0:0:2</v>
      </c>
      <c r="G10275" s="1" t="str">
        <f>"9728D555"</f>
        <v>9728D555</v>
      </c>
      <c r="H10275" s="1" t="str">
        <f>"대동간 8L8R2L2"</f>
        <v>대동간 8L8R2L2</v>
      </c>
      <c r="I10275" s="1" t="s">
        <v>15</v>
      </c>
      <c r="J10275" s="1" t="str">
        <f>"65/66"</f>
        <v>65/66</v>
      </c>
      <c r="K10275" s="1" t="str">
        <f>"2026-07-29 14:21:31"</f>
        <v>2026-07-29 14:21:31</v>
      </c>
      <c r="L10275" s="1" t="str">
        <f>"2023-12-15 10:00:48"</f>
        <v>2023-12-15 10:00:48</v>
      </c>
      <c r="M10275" s="1" t="s">
        <v>4</v>
      </c>
      <c r="N10275" s="1" t="s">
        <v>38</v>
      </c>
      <c r="O10275" s="1" t="s">
        <v>46</v>
      </c>
    </row>
    <row r="10276" spans="2:15" x14ac:dyDescent="0.3">
      <c r="B10276" s="1" t="s">
        <v>21</v>
      </c>
      <c r="C10276" s="1" t="str">
        <f>"6차"</f>
        <v>6차</v>
      </c>
      <c r="D10276" s="1" t="str">
        <f>"9728D5566S"</f>
        <v>9728D5566S</v>
      </c>
      <c r="E10276" s="1" t="s">
        <v>10</v>
      </c>
      <c r="F10276" s="1" t="str">
        <f>"fde1:103:4:c5f6:0:0:0:2"</f>
        <v>fde1:103:4:c5f6:0:0:0:2</v>
      </c>
      <c r="G10276" s="1" t="str">
        <f>"9728D556"</f>
        <v>9728D556</v>
      </c>
      <c r="H10276" s="1" t="str">
        <f>"대동간 8L8R2L3"</f>
        <v>대동간 8L8R2L3</v>
      </c>
      <c r="I10276" s="1" t="s">
        <v>15</v>
      </c>
      <c r="J10276" s="1" t="str">
        <f>"64/66"</f>
        <v>64/66</v>
      </c>
      <c r="K10276" s="1" t="str">
        <f>"2026-07-29 14:21:32"</f>
        <v>2026-07-29 14:21:32</v>
      </c>
      <c r="L10276" s="1" t="str">
        <f>"2024-10-28 15:49:13"</f>
        <v>2024-10-28 15:49:13</v>
      </c>
      <c r="M10276" s="1" t="s">
        <v>4</v>
      </c>
      <c r="N10276" s="1" t="s">
        <v>38</v>
      </c>
      <c r="O10276" s="1" t="s">
        <v>46</v>
      </c>
    </row>
    <row r="10277" spans="2:15" x14ac:dyDescent="0.3">
      <c r="B10277" s="1" t="s">
        <v>21</v>
      </c>
      <c r="C10277" s="1" t="str">
        <f>"5-1차"</f>
        <v>5-1차</v>
      </c>
      <c r="D10277" s="1" t="str">
        <f>"9728D5615M"</f>
        <v>9728D5615M</v>
      </c>
      <c r="E10277" s="1" t="s">
        <v>10</v>
      </c>
      <c r="F10277" s="1" t="str">
        <f>"fde3:102:1303:1701:0:0:0:3"</f>
        <v>fde3:102:1303:1701:0:0:0:3</v>
      </c>
      <c r="G10277" s="1" t="str">
        <f>"9728D561"</f>
        <v>9728D561</v>
      </c>
      <c r="H10277" s="1" t="str">
        <f>"대동간 8L9R1"</f>
        <v>대동간 8L9R1</v>
      </c>
      <c r="I10277" s="1" t="s">
        <v>15</v>
      </c>
      <c r="J10277" s="1" t="str">
        <f>"52/52"</f>
        <v>52/52</v>
      </c>
      <c r="K10277" s="1" t="str">
        <f>"2026-07-29 14:21:33"</f>
        <v>2026-07-29 14:21:33</v>
      </c>
      <c r="L10277" s="1" t="str">
        <f>"2022-11-24 14:25:59"</f>
        <v>2022-11-24 14:25:59</v>
      </c>
      <c r="M10277" s="1" t="s">
        <v>45</v>
      </c>
      <c r="N10277" s="1" t="s">
        <v>38</v>
      </c>
      <c r="O10277" s="1" t="s">
        <v>46</v>
      </c>
    </row>
    <row r="10278" spans="2:15" x14ac:dyDescent="0.3">
      <c r="B10278" s="1" t="s">
        <v>21</v>
      </c>
      <c r="C10278" s="1" t="str">
        <f>"5-2차"</f>
        <v>5-2차</v>
      </c>
      <c r="D10278" s="1" t="str">
        <f>"9728D5625M"</f>
        <v>9728D5625M</v>
      </c>
      <c r="E10278" s="1" t="s">
        <v>10</v>
      </c>
      <c r="F10278" s="1" t="str">
        <f>"fde1:103:4:9416:0:0:0:2"</f>
        <v>fde1:103:4:9416:0:0:0:2</v>
      </c>
      <c r="G10278" s="1" t="str">
        <f>"9728D562"</f>
        <v>9728D562</v>
      </c>
      <c r="H10278" s="1" t="str">
        <f>"대동간 8L9R1R1"</f>
        <v>대동간 8L9R1R1</v>
      </c>
      <c r="I10278" s="1" t="s">
        <v>15</v>
      </c>
      <c r="J10278" s="1" t="str">
        <f>"43/43"</f>
        <v>43/43</v>
      </c>
      <c r="K10278" s="1" t="str">
        <f>"2026-07-29 14:20:39"</f>
        <v>2026-07-29 14:20:39</v>
      </c>
      <c r="L10278" s="1" t="str">
        <f>"2023-12-15 10:01:42"</f>
        <v>2023-12-15 10:01:42</v>
      </c>
      <c r="M10278" s="1" t="s">
        <v>4</v>
      </c>
      <c r="N10278" s="1" t="s">
        <v>38</v>
      </c>
      <c r="O10278" s="1" t="s">
        <v>46</v>
      </c>
    </row>
    <row r="10279" spans="2:15" x14ac:dyDescent="0.3">
      <c r="B10279" s="1" t="s">
        <v>21</v>
      </c>
      <c r="C10279" s="1" t="str">
        <f>"4차"</f>
        <v>4차</v>
      </c>
      <c r="D10279" s="1" t="str">
        <f>"9728D58439"</f>
        <v>9728D58439</v>
      </c>
      <c r="E10279" s="1" t="s">
        <v>10</v>
      </c>
      <c r="F10279" s="1" t="str">
        <f>"10.12.136.43"</f>
        <v>10.12.136.43</v>
      </c>
      <c r="G10279" s="1" t="str">
        <f>"9728D584"</f>
        <v>9728D584</v>
      </c>
      <c r="H10279" s="1" t="str">
        <f>"통일로 R12"</f>
        <v>통일로 R12</v>
      </c>
      <c r="I10279" s="1" t="s">
        <v>17</v>
      </c>
      <c r="J10279" s="1" t="str">
        <f>"7/7"</f>
        <v>7/7</v>
      </c>
      <c r="K10279" s="1" t="str">
        <f>"2026-07-29 13:18:13"</f>
        <v>2026-07-29 13:18:13</v>
      </c>
      <c r="L10279" s="1" t="str">
        <f>"2018-05-21 11:46:36"</f>
        <v>2018-05-21 11:46:36</v>
      </c>
      <c r="M10279" s="1" t="s">
        <v>0</v>
      </c>
      <c r="N10279" s="1" t="s">
        <v>38</v>
      </c>
      <c r="O10279" s="1" t="s">
        <v>46</v>
      </c>
    </row>
    <row r="10280" spans="2:15" x14ac:dyDescent="0.3">
      <c r="B10280" s="1" t="s">
        <v>21</v>
      </c>
      <c r="C10280" s="1" t="str">
        <f>"4차"</f>
        <v>4차</v>
      </c>
      <c r="D10280" s="1" t="str">
        <f>"9728D59345"</f>
        <v>9728D59345</v>
      </c>
      <c r="E10280" s="1" t="s">
        <v>14</v>
      </c>
      <c r="F10280" s="1" t="str">
        <f>"10.14.8.61"</f>
        <v>10.14.8.61</v>
      </c>
      <c r="G10280" s="1" t="str">
        <f>"9728D593"</f>
        <v>9728D593</v>
      </c>
      <c r="H10280" s="1" t="str">
        <f>"환경간 12L8A1"</f>
        <v>환경간 12L8A1</v>
      </c>
      <c r="I10280" s="1" t="s">
        <v>17</v>
      </c>
      <c r="J10280" s="1" t="str">
        <f>"0/0"</f>
        <v>0/0</v>
      </c>
      <c r="K10280" s="1" t="str">
        <f>"2026-07-29 13:18:11"</f>
        <v>2026-07-29 13:18:11</v>
      </c>
      <c r="L10280" s="1" t="str">
        <f>"2021-06-23 08:17:03"</f>
        <v>2021-06-23 08:17:03</v>
      </c>
      <c r="M10280" s="1" t="s">
        <v>3</v>
      </c>
      <c r="N10280" s="1" t="s">
        <v>38</v>
      </c>
      <c r="O10280" s="1" t="s">
        <v>44</v>
      </c>
    </row>
    <row r="10281" spans="2:15" x14ac:dyDescent="0.3">
      <c r="B10281" s="1" t="s">
        <v>21</v>
      </c>
      <c r="C10281" s="1" t="str">
        <f>"1차"</f>
        <v>1차</v>
      </c>
      <c r="D10281" s="1" t="str">
        <f>"9728D61400"</f>
        <v>9728D61400</v>
      </c>
      <c r="E10281" s="1" t="s">
        <v>10</v>
      </c>
      <c r="F10281" s="1" t="str">
        <f>"10.128.2.233"</f>
        <v>10.128.2.233</v>
      </c>
      <c r="G10281" s="1" t="str">
        <f>"9728D614"</f>
        <v>9728D614</v>
      </c>
      <c r="H10281" s="1" t="str">
        <f>"녹번간 6H1L5"</f>
        <v>녹번간 6H1L5</v>
      </c>
      <c r="I10281" s="1" t="s">
        <v>8</v>
      </c>
      <c r="J10281" s="1" t="str">
        <f>"63/66"</f>
        <v>63/66</v>
      </c>
      <c r="K10281" s="1" t="str">
        <f>"2026-07-29 13:18:12"</f>
        <v>2026-07-29 13:18:12</v>
      </c>
      <c r="L10281" s="1" t="str">
        <f>"2015-01-26 16:42:15"</f>
        <v>2015-01-26 16:42:15</v>
      </c>
      <c r="M10281" s="1" t="s">
        <v>45</v>
      </c>
      <c r="N10281" s="1" t="s">
        <v>38</v>
      </c>
      <c r="O10281" s="1" t="s">
        <v>46</v>
      </c>
    </row>
    <row r="10282" spans="2:15" x14ac:dyDescent="0.3">
      <c r="B10282" s="1" t="s">
        <v>21</v>
      </c>
      <c r="C10282" s="1" t="str">
        <f>"1차"</f>
        <v>1차</v>
      </c>
      <c r="D10282" s="1" t="str">
        <f>"9728D62101"</f>
        <v>9728D62101</v>
      </c>
      <c r="E10282" s="1" t="s">
        <v>10</v>
      </c>
      <c r="F10282" s="1" t="str">
        <f>"10.14.12.118"</f>
        <v>10.14.12.118</v>
      </c>
      <c r="G10282" s="1" t="str">
        <f>"9728D621"</f>
        <v>9728D621</v>
      </c>
      <c r="H10282" s="1" t="str">
        <f>"녹번간 3H1L1"</f>
        <v>녹번간 3H1L1</v>
      </c>
      <c r="I10282" s="1" t="s">
        <v>8</v>
      </c>
      <c r="J10282" s="1" t="str">
        <f>"41/50"</f>
        <v>41/50</v>
      </c>
      <c r="K10282" s="1" t="str">
        <f>"2026-07-29 13:18:12"</f>
        <v>2026-07-29 13:18:12</v>
      </c>
      <c r="L10282" s="1" t="str">
        <f>"2015-01-26 16:42:15"</f>
        <v>2015-01-26 16:42:15</v>
      </c>
      <c r="M10282" s="1" t="s">
        <v>3</v>
      </c>
      <c r="N10282" s="1" t="s">
        <v>38</v>
      </c>
      <c r="O10282" s="1" t="s">
        <v>46</v>
      </c>
    </row>
    <row r="10283" spans="2:15" x14ac:dyDescent="0.3">
      <c r="B10283" s="1" t="s">
        <v>21</v>
      </c>
      <c r="C10283" s="1" t="str">
        <f>"5-1차"</f>
        <v>5-1차</v>
      </c>
      <c r="D10283" s="1" t="str">
        <f>"9728D6615M"</f>
        <v>9728D6615M</v>
      </c>
      <c r="E10283" s="1" t="s">
        <v>10</v>
      </c>
      <c r="F10283" s="1" t="str">
        <f>"fde3:102:1303:1701:0:0:0:4"</f>
        <v>fde3:102:1303:1701:0:0:0:4</v>
      </c>
      <c r="G10283" s="1" t="str">
        <f>"9728D661"</f>
        <v>9728D661</v>
      </c>
      <c r="H10283" s="1" t="str">
        <f>"대동간 8L9R2"</f>
        <v>대동간 8L9R2</v>
      </c>
      <c r="I10283" s="1" t="s">
        <v>15</v>
      </c>
      <c r="J10283" s="1" t="str">
        <f>"40/40"</f>
        <v>40/40</v>
      </c>
      <c r="K10283" s="1" t="str">
        <f>"2026-07-29 14:21:04"</f>
        <v>2026-07-29 14:21:04</v>
      </c>
      <c r="L10283" s="1" t="str">
        <f>"2022-11-28 10:35:35"</f>
        <v>2022-11-28 10:35:35</v>
      </c>
      <c r="M10283" s="1" t="s">
        <v>45</v>
      </c>
      <c r="N10283" s="1" t="s">
        <v>38</v>
      </c>
      <c r="O10283" s="1" t="s">
        <v>46</v>
      </c>
    </row>
    <row r="10284" spans="2:15" x14ac:dyDescent="0.3">
      <c r="B10284" s="1" t="s">
        <v>21</v>
      </c>
      <c r="C10284" s="1" t="str">
        <f>"4차"</f>
        <v>4차</v>
      </c>
      <c r="D10284" s="1" t="str">
        <f>"9728D66839"</f>
        <v>9728D66839</v>
      </c>
      <c r="E10284" s="1" t="s">
        <v>10</v>
      </c>
      <c r="F10284" s="1" t="str">
        <f>"10.12.135.173"</f>
        <v>10.12.135.173</v>
      </c>
      <c r="G10284" s="1" t="str">
        <f>"9728D668"</f>
        <v>9728D668</v>
      </c>
      <c r="H10284" s="1" t="str">
        <f>"통일로 L20"</f>
        <v>통일로 L20</v>
      </c>
      <c r="I10284" s="1" t="s">
        <v>17</v>
      </c>
      <c r="J10284" s="1" t="str">
        <f>"5/5"</f>
        <v>5/5</v>
      </c>
      <c r="K10284" s="1" t="str">
        <f>"2026-07-29 13:18:13"</f>
        <v>2026-07-29 13:18:13</v>
      </c>
      <c r="L10284" s="1" t="str">
        <f>"2018-05-23 09:13:55"</f>
        <v>2018-05-23 09:13:55</v>
      </c>
      <c r="M10284" s="1" t="s">
        <v>0</v>
      </c>
      <c r="N10284" s="1" t="s">
        <v>38</v>
      </c>
      <c r="O10284" s="1" t="s">
        <v>46</v>
      </c>
    </row>
    <row r="10285" spans="2:15" x14ac:dyDescent="0.3">
      <c r="B10285" s="1" t="s">
        <v>21</v>
      </c>
      <c r="C10285" s="1" t="str">
        <f>"4차"</f>
        <v>4차</v>
      </c>
      <c r="D10285" s="1" t="str">
        <f>"9728D67139"</f>
        <v>9728D67139</v>
      </c>
      <c r="E10285" s="1" t="s">
        <v>10</v>
      </c>
      <c r="F10285" s="1" t="str">
        <f>"10.12.133.247"</f>
        <v>10.12.133.247</v>
      </c>
      <c r="G10285" s="1" t="str">
        <f>"9728D671"</f>
        <v>9728D671</v>
      </c>
      <c r="H10285" s="1" t="str">
        <f>"통일로 R11"</f>
        <v>통일로 R11</v>
      </c>
      <c r="I10285" s="1" t="s">
        <v>17</v>
      </c>
      <c r="J10285" s="1" t="str">
        <f>"2/2"</f>
        <v>2/2</v>
      </c>
      <c r="K10285" s="1" t="str">
        <f>"2026-07-29 13:18:11"</f>
        <v>2026-07-29 13:18:11</v>
      </c>
      <c r="L10285" s="1" t="str">
        <f>"2018-05-21 11:30:21"</f>
        <v>2018-05-21 11:30:21</v>
      </c>
      <c r="M10285" s="1" t="s">
        <v>0</v>
      </c>
      <c r="N10285" s="1" t="s">
        <v>38</v>
      </c>
      <c r="O10285" s="1" t="s">
        <v>46</v>
      </c>
    </row>
    <row r="10286" spans="2:15" x14ac:dyDescent="0.3">
      <c r="B10286" s="1" t="s">
        <v>21</v>
      </c>
      <c r="C10286" s="1" t="str">
        <f>"5-2차"</f>
        <v>5-2차</v>
      </c>
      <c r="D10286" s="1" t="str">
        <f>"9728D6955M"</f>
        <v>9728D6955M</v>
      </c>
      <c r="E10286" s="1" t="s">
        <v>10</v>
      </c>
      <c r="F10286" s="1" t="str">
        <f>"fde1:103:4:6e0e:0:0:0:2"</f>
        <v>fde1:103:4:6e0e:0:0:0:2</v>
      </c>
      <c r="G10286" s="1" t="str">
        <f>"9728D695"</f>
        <v>9728D695</v>
      </c>
      <c r="H10286" s="1" t="str">
        <f>"환경간 12L6R1"</f>
        <v>환경간 12L6R1</v>
      </c>
      <c r="I10286" s="1" t="s">
        <v>15</v>
      </c>
      <c r="J10286" s="1" t="str">
        <f>"37/37"</f>
        <v>37/37</v>
      </c>
      <c r="K10286" s="1" t="str">
        <f>"2026-07-29 14:21:40"</f>
        <v>2026-07-29 14:21:40</v>
      </c>
      <c r="L10286" s="1" t="str">
        <f>"2023-11-17 14:40:51"</f>
        <v>2023-11-17 14:40:51</v>
      </c>
      <c r="M10286" s="1" t="s">
        <v>4</v>
      </c>
      <c r="N10286" s="1" t="s">
        <v>38</v>
      </c>
      <c r="O10286" s="1" t="s">
        <v>46</v>
      </c>
    </row>
    <row r="10287" spans="2:15" x14ac:dyDescent="0.3">
      <c r="B10287" s="1" t="s">
        <v>21</v>
      </c>
      <c r="C10287" s="1" t="str">
        <f>"5-2차"</f>
        <v>5-2차</v>
      </c>
      <c r="D10287" s="1" t="str">
        <f>"9728D7025S"</f>
        <v>9728D7025S</v>
      </c>
      <c r="E10287" s="1" t="s">
        <v>10</v>
      </c>
      <c r="F10287" s="1" t="str">
        <f>"fde3:102:1303:80a:0:0:0:3"</f>
        <v>fde3:102:1303:80a:0:0:0:3</v>
      </c>
      <c r="G10287" s="1" t="str">
        <f>"9728D702"</f>
        <v>9728D702</v>
      </c>
      <c r="H10287" s="1" t="str">
        <f>"현대지 17L1HL1"</f>
        <v>현대지 17L1HL1</v>
      </c>
      <c r="I10287" s="1" t="s">
        <v>15</v>
      </c>
      <c r="J10287" s="1" t="str">
        <f>"68/68"</f>
        <v>68/68</v>
      </c>
      <c r="K10287" s="1" t="str">
        <f>"2026-07-29 14:21:34"</f>
        <v>2026-07-29 14:21:34</v>
      </c>
      <c r="L10287" s="1" t="str">
        <f>"2023-07-06 14:15:47"</f>
        <v>2023-07-06 14:15:47</v>
      </c>
      <c r="M10287" s="1" t="s">
        <v>45</v>
      </c>
      <c r="N10287" s="1" t="s">
        <v>38</v>
      </c>
      <c r="O10287" s="1" t="s">
        <v>46</v>
      </c>
    </row>
    <row r="10288" spans="2:15" x14ac:dyDescent="0.3">
      <c r="B10288" s="1" t="s">
        <v>21</v>
      </c>
      <c r="C10288" s="1" t="str">
        <f>"1차"</f>
        <v>1차</v>
      </c>
      <c r="D10288" s="1" t="str">
        <f>"9728D71202"</f>
        <v>9728D71202</v>
      </c>
      <c r="E10288" s="1" t="s">
        <v>10</v>
      </c>
      <c r="F10288" s="1" t="str">
        <f>"10.128.2.238"</f>
        <v>10.128.2.238</v>
      </c>
      <c r="G10288" s="1" t="str">
        <f>"9728D712"</f>
        <v>9728D712</v>
      </c>
      <c r="H10288" s="1" t="str">
        <f>"녹번간 6H1L6"</f>
        <v>녹번간 6H1L6</v>
      </c>
      <c r="I10288" s="1" t="s">
        <v>8</v>
      </c>
      <c r="J10288" s="1" t="str">
        <f>"29/29"</f>
        <v>29/29</v>
      </c>
      <c r="K10288" s="1" t="str">
        <f>"2026-07-29 13:18:12"</f>
        <v>2026-07-29 13:18:12</v>
      </c>
      <c r="L10288" s="1" t="str">
        <f>"2015-01-26 16:42:02"</f>
        <v>2015-01-26 16:42:02</v>
      </c>
      <c r="M10288" s="1" t="s">
        <v>45</v>
      </c>
      <c r="N10288" s="1" t="s">
        <v>38</v>
      </c>
      <c r="O10288" s="1" t="s">
        <v>46</v>
      </c>
    </row>
    <row r="10289" spans="2:15" x14ac:dyDescent="0.3">
      <c r="B10289" s="1" t="s">
        <v>21</v>
      </c>
      <c r="C10289" s="1" t="str">
        <f>"5-2차"</f>
        <v>5-2차</v>
      </c>
      <c r="D10289" s="1" t="str">
        <f>"9728D7215M"</f>
        <v>9728D7215M</v>
      </c>
      <c r="E10289" s="1" t="s">
        <v>10</v>
      </c>
      <c r="F10289" s="1" t="str">
        <f>"fde1:103:4:92e0:0:0:0:2"</f>
        <v>fde1:103:4:92e0:0:0:0:2</v>
      </c>
      <c r="G10289" s="1" t="str">
        <f>"9728D721"</f>
        <v>9728D721</v>
      </c>
      <c r="H10289" s="1" t="str">
        <f>"현대지 17L2L2"</f>
        <v>현대지 17L2L2</v>
      </c>
      <c r="I10289" s="1" t="s">
        <v>15</v>
      </c>
      <c r="J10289" s="1" t="str">
        <f>"47/47"</f>
        <v>47/47</v>
      </c>
      <c r="K10289" s="1" t="str">
        <f>"2026-07-29 14:21:37"</f>
        <v>2026-07-29 14:21:37</v>
      </c>
      <c r="L10289" s="1" t="str">
        <f>"2024-01-15 17:43:05"</f>
        <v>2024-01-15 17:43:05</v>
      </c>
      <c r="M10289" s="1" t="s">
        <v>4</v>
      </c>
      <c r="N10289" s="1" t="s">
        <v>38</v>
      </c>
      <c r="O10289" s="1" t="s">
        <v>46</v>
      </c>
    </row>
    <row r="10290" spans="2:15" x14ac:dyDescent="0.3">
      <c r="B10290" s="1" t="s">
        <v>21</v>
      </c>
      <c r="C10290" s="1" t="str">
        <f>"4차"</f>
        <v>4차</v>
      </c>
      <c r="D10290" s="1" t="str">
        <f>"9728D74639"</f>
        <v>9728D74639</v>
      </c>
      <c r="E10290" s="1" t="s">
        <v>10</v>
      </c>
      <c r="F10290" s="1" t="str">
        <f>"10.12.135.176"</f>
        <v>10.12.135.176</v>
      </c>
      <c r="G10290" s="1" t="str">
        <f>"9728D746"</f>
        <v>9728D746</v>
      </c>
      <c r="H10290" s="1" t="str">
        <f>"통일로 L19"</f>
        <v>통일로 L19</v>
      </c>
      <c r="I10290" s="1" t="s">
        <v>17</v>
      </c>
      <c r="J10290" s="1" t="str">
        <f>"28/28"</f>
        <v>28/28</v>
      </c>
      <c r="K10290" s="1" t="str">
        <f>"2026-07-29 13:18:11"</f>
        <v>2026-07-29 13:18:11</v>
      </c>
      <c r="L10290" s="1" t="str">
        <f>"2018-05-23 09:29:41"</f>
        <v>2018-05-23 09:29:41</v>
      </c>
      <c r="M10290" s="1" t="s">
        <v>0</v>
      </c>
      <c r="N10290" s="1" t="s">
        <v>38</v>
      </c>
      <c r="O10290" s="1" t="s">
        <v>46</v>
      </c>
    </row>
    <row r="10291" spans="2:15" x14ac:dyDescent="0.3">
      <c r="B10291" s="1" t="s">
        <v>21</v>
      </c>
      <c r="C10291" s="1" t="str">
        <f>"4차"</f>
        <v>4차</v>
      </c>
      <c r="D10291" s="1" t="str">
        <f>"9728D76539"</f>
        <v>9728D76539</v>
      </c>
      <c r="E10291" s="1" t="s">
        <v>10</v>
      </c>
      <c r="F10291" s="1" t="str">
        <f>"10.12.130.25"</f>
        <v>10.12.130.25</v>
      </c>
      <c r="G10291" s="1" t="str">
        <f>"9728D765"</f>
        <v>9728D765</v>
      </c>
      <c r="H10291" s="1" t="str">
        <f>"통일로 R11-1"</f>
        <v>통일로 R11-1</v>
      </c>
      <c r="I10291" s="1" t="s">
        <v>17</v>
      </c>
      <c r="J10291" s="1" t="str">
        <f>"11/11"</f>
        <v>11/11</v>
      </c>
      <c r="K10291" s="1" t="str">
        <f>"2026-07-29 13:18:11"</f>
        <v>2026-07-29 13:18:11</v>
      </c>
      <c r="L10291" s="1" t="str">
        <f>"2018-05-21 15:05:53"</f>
        <v>2018-05-21 15:05:53</v>
      </c>
      <c r="M10291" s="1" t="s">
        <v>0</v>
      </c>
      <c r="N10291" s="1" t="s">
        <v>38</v>
      </c>
      <c r="O10291" s="1" t="s">
        <v>46</v>
      </c>
    </row>
    <row r="10292" spans="2:15" x14ac:dyDescent="0.3">
      <c r="B10292" s="1" t="s">
        <v>21</v>
      </c>
      <c r="C10292" s="1" t="str">
        <f>"5-2차"</f>
        <v>5-2차</v>
      </c>
      <c r="D10292" s="1" t="str">
        <f>"9728D7735M"</f>
        <v>9728D7735M</v>
      </c>
      <c r="E10292" s="1" t="s">
        <v>10</v>
      </c>
      <c r="F10292" s="1" t="str">
        <f>"fde3:102:1303:f0e:0:0:0:2"</f>
        <v>fde3:102:1303:f0e:0:0:0:2</v>
      </c>
      <c r="G10292" s="1" t="str">
        <f>"9728D773"</f>
        <v>9728D773</v>
      </c>
      <c r="H10292" s="1" t="str">
        <f>"환경간 12L1"</f>
        <v>환경간 12L1</v>
      </c>
      <c r="I10292" s="1" t="s">
        <v>15</v>
      </c>
      <c r="J10292" s="1" t="str">
        <f>"150/150"</f>
        <v>150/150</v>
      </c>
      <c r="K10292" s="1" t="str">
        <f>"2026-07-29 14:21:42"</f>
        <v>2026-07-29 14:21:42</v>
      </c>
      <c r="L10292" s="1" t="str">
        <f>"2023-06-13 18:31:01"</f>
        <v>2023-06-13 18:31:01</v>
      </c>
      <c r="M10292" s="1" t="s">
        <v>45</v>
      </c>
      <c r="N10292" s="1" t="s">
        <v>38</v>
      </c>
      <c r="O10292" s="1" t="s">
        <v>46</v>
      </c>
    </row>
    <row r="10293" spans="2:15" x14ac:dyDescent="0.3">
      <c r="B10293" s="1" t="s">
        <v>21</v>
      </c>
      <c r="C10293" s="1" t="str">
        <f>"5-2차"</f>
        <v>5-2차</v>
      </c>
      <c r="D10293" s="1" t="str">
        <f>"9728D7925M"</f>
        <v>9728D7925M</v>
      </c>
      <c r="E10293" s="1" t="s">
        <v>10</v>
      </c>
      <c r="F10293" s="1" t="str">
        <f>"fde1:103:4:6e0f:0:0:0:2"</f>
        <v>fde1:103:4:6e0f:0:0:0:2</v>
      </c>
      <c r="G10293" s="1" t="str">
        <f>"9728D792"</f>
        <v>9728D792</v>
      </c>
      <c r="H10293" s="1" t="str">
        <f>"환경간 15L1L1"</f>
        <v>환경간 15L1L1</v>
      </c>
      <c r="I10293" s="1" t="s">
        <v>15</v>
      </c>
      <c r="J10293" s="1" t="str">
        <f>"26/26"</f>
        <v>26/26</v>
      </c>
      <c r="K10293" s="1" t="str">
        <f>"2026-07-29 14:21:35"</f>
        <v>2026-07-29 14:21:35</v>
      </c>
      <c r="L10293" s="1" t="str">
        <f>"2023-11-15 11:09:20"</f>
        <v>2023-11-15 11:09:20</v>
      </c>
      <c r="M10293" s="1" t="s">
        <v>4</v>
      </c>
      <c r="N10293" s="1" t="s">
        <v>38</v>
      </c>
      <c r="O10293" s="1" t="s">
        <v>46</v>
      </c>
    </row>
    <row r="10294" spans="2:15" x14ac:dyDescent="0.3">
      <c r="B10294" s="1" t="s">
        <v>21</v>
      </c>
      <c r="C10294" s="1" t="str">
        <f>"5-2차"</f>
        <v>5-2차</v>
      </c>
      <c r="D10294" s="1" t="str">
        <f>"9728D7935M"</f>
        <v>9728D7935M</v>
      </c>
      <c r="E10294" s="1" t="s">
        <v>10</v>
      </c>
      <c r="F10294" s="1" t="str">
        <f>"fde1:103:4:6e0d:0:0:0:2"</f>
        <v>fde1:103:4:6e0d:0:0:0:2</v>
      </c>
      <c r="G10294" s="1" t="str">
        <f>"9728D793"</f>
        <v>9728D793</v>
      </c>
      <c r="H10294" s="1" t="str">
        <f>"환경간 15L1L2"</f>
        <v>환경간 15L1L2</v>
      </c>
      <c r="I10294" s="1" t="s">
        <v>15</v>
      </c>
      <c r="J10294" s="1" t="str">
        <f>"124/128"</f>
        <v>124/128</v>
      </c>
      <c r="K10294" s="1" t="str">
        <f>"2026-07-29 14:21:12"</f>
        <v>2026-07-29 14:21:12</v>
      </c>
      <c r="L10294" s="1" t="str">
        <f>"2023-11-15 11:13:41"</f>
        <v>2023-11-15 11:13:41</v>
      </c>
      <c r="M10294" s="1" t="s">
        <v>4</v>
      </c>
      <c r="N10294" s="1" t="s">
        <v>38</v>
      </c>
      <c r="O10294" s="1" t="s">
        <v>46</v>
      </c>
    </row>
    <row r="10295" spans="2:15" x14ac:dyDescent="0.3">
      <c r="B10295" s="1" t="s">
        <v>21</v>
      </c>
      <c r="C10295" s="1" t="str">
        <f>"5-2차"</f>
        <v>5-2차</v>
      </c>
      <c r="D10295" s="1" t="str">
        <f>"9728D8015M"</f>
        <v>9728D8015M</v>
      </c>
      <c r="E10295" s="1" t="s">
        <v>10</v>
      </c>
      <c r="F10295" s="1" t="str">
        <f>"fde3:102:1303:906:0:0:0:2"</f>
        <v>fde3:102:1303:906:0:0:0:2</v>
      </c>
      <c r="G10295" s="1" t="str">
        <f>"9728D801"</f>
        <v>9728D801</v>
      </c>
      <c r="H10295" s="1" t="str">
        <f>"현대지 17L3"</f>
        <v>현대지 17L3</v>
      </c>
      <c r="I10295" s="1" t="s">
        <v>15</v>
      </c>
      <c r="J10295" s="1" t="str">
        <f>"75/75"</f>
        <v>75/75</v>
      </c>
      <c r="K10295" s="1" t="str">
        <f>"2026-07-29 14:21:42"</f>
        <v>2026-07-29 14:21:42</v>
      </c>
      <c r="L10295" s="1" t="str">
        <f>"2023-07-24 11:27:02"</f>
        <v>2023-07-24 11:27:02</v>
      </c>
      <c r="M10295" s="1" t="s">
        <v>45</v>
      </c>
      <c r="N10295" s="1" t="s">
        <v>38</v>
      </c>
      <c r="O10295" s="1" t="s">
        <v>46</v>
      </c>
    </row>
    <row r="10296" spans="2:15" x14ac:dyDescent="0.3">
      <c r="B10296" s="1" t="s">
        <v>21</v>
      </c>
      <c r="C10296" s="1" t="str">
        <f>"4차"</f>
        <v>4차</v>
      </c>
      <c r="D10296" s="1" t="str">
        <f>"9728D83639"</f>
        <v>9728D83639</v>
      </c>
      <c r="E10296" s="1" t="s">
        <v>10</v>
      </c>
      <c r="F10296" s="1" t="str">
        <f>"10.12.135.171"</f>
        <v>10.12.135.171</v>
      </c>
      <c r="G10296" s="1" t="str">
        <f>"9728D836"</f>
        <v>9728D836</v>
      </c>
      <c r="H10296" s="1" t="str">
        <f>"통일로 L18"</f>
        <v>통일로 L18</v>
      </c>
      <c r="I10296" s="1" t="s">
        <v>17</v>
      </c>
      <c r="J10296" s="1" t="str">
        <f>"14/15"</f>
        <v>14/15</v>
      </c>
      <c r="K10296" s="1" t="str">
        <f>"2026-07-29 13:18:13"</f>
        <v>2026-07-29 13:18:13</v>
      </c>
      <c r="L10296" s="1" t="str">
        <f>"2018-05-23 09:46:26"</f>
        <v>2018-05-23 09:46:26</v>
      </c>
      <c r="M10296" s="1" t="s">
        <v>0</v>
      </c>
      <c r="N10296" s="1" t="s">
        <v>38</v>
      </c>
      <c r="O10296" s="1" t="s">
        <v>46</v>
      </c>
    </row>
    <row r="10297" spans="2:15" x14ac:dyDescent="0.3">
      <c r="B10297" s="1" t="s">
        <v>21</v>
      </c>
      <c r="C10297" s="1" t="str">
        <f>"5-1차"</f>
        <v>5-1차</v>
      </c>
      <c r="D10297" s="1" t="str">
        <f>"9728D8615M"</f>
        <v>9728D8615M</v>
      </c>
      <c r="E10297" s="1" t="s">
        <v>10</v>
      </c>
      <c r="F10297" s="1" t="str">
        <f>"fde2:104:0:ed:0:0:0:2"</f>
        <v>fde2:104:0:ed:0:0:0:2</v>
      </c>
      <c r="G10297" s="1" t="str">
        <f>"9728D861"</f>
        <v>9728D861</v>
      </c>
      <c r="H10297" s="1" t="str">
        <f>"환경간 12L1L1"</f>
        <v>환경간 12L1L1</v>
      </c>
      <c r="I10297" s="1" t="s">
        <v>15</v>
      </c>
      <c r="J10297" s="1" t="str">
        <f>"44/44"</f>
        <v>44/44</v>
      </c>
      <c r="K10297" s="1" t="str">
        <f>"2026-07-29 14:21:36"</f>
        <v>2026-07-29 14:21:36</v>
      </c>
      <c r="L10297" s="1" t="str">
        <f>"2022-09-28 08:44:39"</f>
        <v>2022-09-28 08:44:39</v>
      </c>
      <c r="M10297" s="1" t="s">
        <v>42</v>
      </c>
      <c r="N10297" s="1" t="s">
        <v>38</v>
      </c>
      <c r="O10297" s="1" t="s">
        <v>46</v>
      </c>
    </row>
    <row r="10298" spans="2:15" x14ac:dyDescent="0.3">
      <c r="B10298" s="1" t="s">
        <v>21</v>
      </c>
      <c r="C10298" s="1" t="str">
        <f>"5-2차"</f>
        <v>5-2차</v>
      </c>
      <c r="D10298" s="1" t="str">
        <f>"9728D8915M"</f>
        <v>9728D8915M</v>
      </c>
      <c r="E10298" s="1" t="s">
        <v>10</v>
      </c>
      <c r="F10298" s="1" t="str">
        <f>"fde3:102:1303:f0f:0:0:0:2"</f>
        <v>fde3:102:1303:f0f:0:0:0:2</v>
      </c>
      <c r="G10298" s="1" t="str">
        <f>"9728D891"</f>
        <v>9728D891</v>
      </c>
      <c r="H10298" s="1" t="str">
        <f>"환경간 14"</f>
        <v>환경간 14</v>
      </c>
      <c r="I10298" s="1" t="s">
        <v>15</v>
      </c>
      <c r="J10298" s="1" t="str">
        <f>"127/131"</f>
        <v>127/131</v>
      </c>
      <c r="K10298" s="1" t="str">
        <f>"2026-07-29 14:21:34"</f>
        <v>2026-07-29 14:21:34</v>
      </c>
      <c r="L10298" s="1" t="str">
        <f>"2023-06-13 18:32:03"</f>
        <v>2023-06-13 18:32:03</v>
      </c>
      <c r="M10298" s="1" t="s">
        <v>45</v>
      </c>
      <c r="N10298" s="1" t="s">
        <v>38</v>
      </c>
      <c r="O10298" s="1" t="s">
        <v>46</v>
      </c>
    </row>
    <row r="10299" spans="2:15" x14ac:dyDescent="0.3">
      <c r="B10299" s="1" t="s">
        <v>21</v>
      </c>
      <c r="C10299" s="1" t="str">
        <f>"5-2차"</f>
        <v>5-2차</v>
      </c>
      <c r="D10299" s="1" t="str">
        <f>"9728D9015S"</f>
        <v>9728D9015S</v>
      </c>
      <c r="E10299" s="1" t="s">
        <v>10</v>
      </c>
      <c r="F10299" s="1" t="str">
        <f>"fde3:102:1303:505:0:0:0:2"</f>
        <v>fde3:102:1303:505:0:0:0:2</v>
      </c>
      <c r="G10299" s="1" t="str">
        <f>"9728D901"</f>
        <v>9728D901</v>
      </c>
      <c r="H10299" s="1" t="str">
        <f>"현대지 17L4"</f>
        <v>현대지 17L4</v>
      </c>
      <c r="I10299" s="1" t="s">
        <v>15</v>
      </c>
      <c r="J10299" s="1" t="str">
        <f>"42/42"</f>
        <v>42/42</v>
      </c>
      <c r="K10299" s="1" t="str">
        <f>"2026-07-29 14:21:34"</f>
        <v>2026-07-29 14:21:34</v>
      </c>
      <c r="L10299" s="1" t="str">
        <f>"2024-02-16 14:32:08"</f>
        <v>2024-02-16 14:32:08</v>
      </c>
      <c r="M10299" s="1" t="s">
        <v>45</v>
      </c>
      <c r="N10299" s="1" t="s">
        <v>38</v>
      </c>
      <c r="O10299" s="1" t="s">
        <v>46</v>
      </c>
    </row>
    <row r="10300" spans="2:15" x14ac:dyDescent="0.3">
      <c r="B10300" s="1" t="s">
        <v>21</v>
      </c>
      <c r="C10300" s="1" t="str">
        <f>"5-2차"</f>
        <v>5-2차</v>
      </c>
      <c r="D10300" s="1" t="str">
        <f>"9728E1635M"</f>
        <v>9728E1635M</v>
      </c>
      <c r="E10300" s="1" t="s">
        <v>10</v>
      </c>
      <c r="F10300" s="1" t="str">
        <f>"fde1:103:4:6e11:0:0:0:2"</f>
        <v>fde1:103:4:6e11:0:0:0:2</v>
      </c>
      <c r="G10300" s="1" t="str">
        <f>"9728E163"</f>
        <v>9728E163</v>
      </c>
      <c r="H10300" s="1" t="str">
        <f>"환경간 20L8R6R2"</f>
        <v>환경간 20L8R6R2</v>
      </c>
      <c r="I10300" s="1" t="s">
        <v>15</v>
      </c>
      <c r="J10300" s="1" t="str">
        <f>"41/41"</f>
        <v>41/41</v>
      </c>
      <c r="K10300" s="1" t="str">
        <f>"2026-07-29 14:21:16"</f>
        <v>2026-07-29 14:21:16</v>
      </c>
      <c r="L10300" s="1" t="str">
        <f>"2023-11-10 16:18:27"</f>
        <v>2023-11-10 16:18:27</v>
      </c>
      <c r="M10300" s="1" t="s">
        <v>4</v>
      </c>
      <c r="N10300" s="1" t="s">
        <v>38</v>
      </c>
      <c r="O10300" s="1" t="s">
        <v>46</v>
      </c>
    </row>
    <row r="10301" spans="2:15" x14ac:dyDescent="0.3">
      <c r="B10301" s="1" t="s">
        <v>21</v>
      </c>
      <c r="C10301" s="1" t="str">
        <f>"5-1차"</f>
        <v>5-1차</v>
      </c>
      <c r="D10301" s="1" t="str">
        <f>"9728E1715M"</f>
        <v>9728E1715M</v>
      </c>
      <c r="E10301" s="1" t="s">
        <v>10</v>
      </c>
      <c r="F10301" s="1" t="str">
        <f>"fde3:102:1303:1002:0:0:0:2"</f>
        <v>fde3:102:1303:1002:0:0:0:2</v>
      </c>
      <c r="G10301" s="1" t="str">
        <f>"9728E171"</f>
        <v>9728E171</v>
      </c>
      <c r="H10301" s="1" t="str">
        <f>"환경간 20L8R5L1"</f>
        <v>환경간 20L8R5L1</v>
      </c>
      <c r="I10301" s="1" t="s">
        <v>15</v>
      </c>
      <c r="J10301" s="1" t="str">
        <f>"39/39"</f>
        <v>39/39</v>
      </c>
      <c r="K10301" s="1" t="str">
        <f>"2026-07-29 14:21:35"</f>
        <v>2026-07-29 14:21:35</v>
      </c>
      <c r="L10301" s="1" t="str">
        <f>"2022-12-15 10:13:43"</f>
        <v>2022-12-15 10:13:43</v>
      </c>
      <c r="M10301" s="1" t="s">
        <v>45</v>
      </c>
      <c r="N10301" s="1" t="s">
        <v>38</v>
      </c>
      <c r="O10301" s="1" t="s">
        <v>46</v>
      </c>
    </row>
    <row r="10302" spans="2:15" x14ac:dyDescent="0.3">
      <c r="B10302" s="1" t="s">
        <v>21</v>
      </c>
      <c r="C10302" s="1" t="str">
        <f t="shared" ref="C10302:C10307" si="518">"5-2차"</f>
        <v>5-2차</v>
      </c>
      <c r="D10302" s="1" t="str">
        <f>"9728E3615M"</f>
        <v>9728E3615M</v>
      </c>
      <c r="E10302" s="1" t="s">
        <v>10</v>
      </c>
      <c r="F10302" s="1" t="str">
        <f>"fde1:103:4:6e0b:0:0:0:2"</f>
        <v>fde1:103:4:6e0b:0:0:0:2</v>
      </c>
      <c r="G10302" s="1" t="str">
        <f>"9728E361"</f>
        <v>9728E361</v>
      </c>
      <c r="H10302" s="1" t="str">
        <f>"환경간 20L8R8"</f>
        <v>환경간 20L8R8</v>
      </c>
      <c r="I10302" s="1" t="s">
        <v>15</v>
      </c>
      <c r="J10302" s="1" t="str">
        <f>"82/82"</f>
        <v>82/82</v>
      </c>
      <c r="K10302" s="1" t="str">
        <f>"2026-07-29 14:21:35"</f>
        <v>2026-07-29 14:21:35</v>
      </c>
      <c r="L10302" s="1" t="str">
        <f>"2023-11-10 16:49:56"</f>
        <v>2023-11-10 16:49:56</v>
      </c>
      <c r="M10302" s="1" t="s">
        <v>4</v>
      </c>
      <c r="N10302" s="1" t="s">
        <v>38</v>
      </c>
      <c r="O10302" s="1" t="s">
        <v>46</v>
      </c>
    </row>
    <row r="10303" spans="2:15" x14ac:dyDescent="0.3">
      <c r="B10303" s="1" t="s">
        <v>21</v>
      </c>
      <c r="C10303" s="1" t="str">
        <f t="shared" si="518"/>
        <v>5-2차</v>
      </c>
      <c r="D10303" s="1" t="str">
        <f>"9728F4035M"</f>
        <v>9728F4035M</v>
      </c>
      <c r="E10303" s="1" t="s">
        <v>10</v>
      </c>
      <c r="F10303" s="1" t="str">
        <f>"fde1:103:4:6e13:0:0:0:2"</f>
        <v>fde1:103:4:6e13:0:0:0:2</v>
      </c>
      <c r="G10303" s="1" t="str">
        <f>"9728F403"</f>
        <v>9728F403</v>
      </c>
      <c r="H10303" s="1" t="str">
        <f>"청운간 11L2"</f>
        <v>청운간 11L2</v>
      </c>
      <c r="I10303" s="1" t="s">
        <v>15</v>
      </c>
      <c r="J10303" s="1" t="str">
        <f>"30/36"</f>
        <v>30/36</v>
      </c>
      <c r="K10303" s="1" t="str">
        <f>"2026-07-29 14:21:35"</f>
        <v>2026-07-29 14:21:35</v>
      </c>
      <c r="L10303" s="1" t="str">
        <f>"2023-11-15 11:38:13"</f>
        <v>2023-11-15 11:38:13</v>
      </c>
      <c r="M10303" s="1" t="s">
        <v>4</v>
      </c>
      <c r="N10303" s="1" t="s">
        <v>38</v>
      </c>
      <c r="O10303" s="1" t="s">
        <v>46</v>
      </c>
    </row>
    <row r="10304" spans="2:15" x14ac:dyDescent="0.3">
      <c r="B10304" s="1" t="s">
        <v>21</v>
      </c>
      <c r="C10304" s="1" t="str">
        <f t="shared" si="518"/>
        <v>5-2차</v>
      </c>
      <c r="D10304" s="1" t="str">
        <f>"9728F4155M"</f>
        <v>9728F4155M</v>
      </c>
      <c r="E10304" s="1" t="s">
        <v>10</v>
      </c>
      <c r="F10304" s="1" t="str">
        <f>"fde1:103:4:6e14:0:0:0:2"</f>
        <v>fde1:103:4:6e14:0:0:0:2</v>
      </c>
      <c r="G10304" s="1" t="str">
        <f>"9728F415"</f>
        <v>9728F415</v>
      </c>
      <c r="H10304" s="1" t="str">
        <f>"청운간 11L4"</f>
        <v>청운간 11L4</v>
      </c>
      <c r="I10304" s="1" t="s">
        <v>15</v>
      </c>
      <c r="J10304" s="1" t="str">
        <f>"63/63"</f>
        <v>63/63</v>
      </c>
      <c r="K10304" s="1" t="str">
        <f>"2026-07-29 14:21:41"</f>
        <v>2026-07-29 14:21:41</v>
      </c>
      <c r="L10304" s="1" t="str">
        <f>"2023-11-15 11:43:58"</f>
        <v>2023-11-15 11:43:58</v>
      </c>
      <c r="M10304" s="1" t="s">
        <v>4</v>
      </c>
      <c r="N10304" s="1" t="s">
        <v>38</v>
      </c>
      <c r="O10304" s="1" t="s">
        <v>46</v>
      </c>
    </row>
    <row r="10305" spans="2:15" x14ac:dyDescent="0.3">
      <c r="B10305" s="1" t="s">
        <v>21</v>
      </c>
      <c r="C10305" s="1" t="str">
        <f t="shared" si="518"/>
        <v>5-2차</v>
      </c>
      <c r="D10305" s="1" t="str">
        <f>"9728F5025M"</f>
        <v>9728F5025M</v>
      </c>
      <c r="E10305" s="1" t="s">
        <v>10</v>
      </c>
      <c r="F10305" s="1" t="str">
        <f>"fde1:103:4:6e1a:0:0:0:2"</f>
        <v>fde1:103:4:6e1a:0:0:0:2</v>
      </c>
      <c r="G10305" s="1" t="str">
        <f>"9728F502"</f>
        <v>9728F502</v>
      </c>
      <c r="H10305" s="1" t="str">
        <f>"청운간 11L1"</f>
        <v>청운간 11L1</v>
      </c>
      <c r="I10305" s="1" t="s">
        <v>15</v>
      </c>
      <c r="J10305" s="1" t="str">
        <f>"21/21"</f>
        <v>21/21</v>
      </c>
      <c r="K10305" s="1" t="str">
        <f>"2026-07-29 14:21:35"</f>
        <v>2026-07-29 14:21:35</v>
      </c>
      <c r="L10305" s="1" t="str">
        <f>"2023-11-15 11:29:08"</f>
        <v>2023-11-15 11:29:08</v>
      </c>
      <c r="M10305" s="1" t="s">
        <v>4</v>
      </c>
      <c r="N10305" s="1" t="s">
        <v>38</v>
      </c>
      <c r="O10305" s="1" t="s">
        <v>46</v>
      </c>
    </row>
    <row r="10306" spans="2:15" x14ac:dyDescent="0.3">
      <c r="B10306" s="1" t="s">
        <v>21</v>
      </c>
      <c r="C10306" s="1" t="str">
        <f t="shared" si="518"/>
        <v>5-2차</v>
      </c>
      <c r="D10306" s="1" t="str">
        <f>"9728H1725M"</f>
        <v>9728H1725M</v>
      </c>
      <c r="E10306" s="1" t="s">
        <v>10</v>
      </c>
      <c r="F10306" s="1" t="str">
        <f>"fde3:102:1303:504:0:0:0:10"</f>
        <v>fde3:102:1303:504:0:0:0:10</v>
      </c>
      <c r="G10306" s="1" t="str">
        <f>"9728H172"</f>
        <v>9728H172</v>
      </c>
      <c r="H10306" s="1" t="str">
        <f>"청운간 1R1L3R2"</f>
        <v>청운간 1R1L3R2</v>
      </c>
      <c r="I10306" s="1" t="s">
        <v>15</v>
      </c>
      <c r="J10306" s="1" t="str">
        <f>"95/95"</f>
        <v>95/95</v>
      </c>
      <c r="K10306" s="1" t="str">
        <f>"2026-07-29 14:21:36"</f>
        <v>2026-07-29 14:21:36</v>
      </c>
      <c r="L10306" s="1" t="str">
        <f>"2024-02-16 14:47:29"</f>
        <v>2024-02-16 14:47:29</v>
      </c>
      <c r="M10306" s="1" t="s">
        <v>45</v>
      </c>
      <c r="N10306" s="1" t="s">
        <v>38</v>
      </c>
      <c r="O10306" s="1" t="s">
        <v>46</v>
      </c>
    </row>
    <row r="10307" spans="2:15" x14ac:dyDescent="0.3">
      <c r="B10307" s="1" t="s">
        <v>21</v>
      </c>
      <c r="C10307" s="1" t="str">
        <f t="shared" si="518"/>
        <v>5-2차</v>
      </c>
      <c r="D10307" s="1" t="str">
        <f>"9728H1955M"</f>
        <v>9728H1955M</v>
      </c>
      <c r="E10307" s="1" t="s">
        <v>10</v>
      </c>
      <c r="F10307" s="1" t="str">
        <f>"fde1:103:4:93c3:0:0:0:2"</f>
        <v>fde1:103:4:93c3:0:0:0:2</v>
      </c>
      <c r="G10307" s="1" t="str">
        <f>"9728H195"</f>
        <v>9728H195</v>
      </c>
      <c r="H10307" s="1" t="str">
        <f>"청운간 1R1L4H1"</f>
        <v>청운간 1R1L4H1</v>
      </c>
      <c r="I10307" s="1" t="s">
        <v>15</v>
      </c>
      <c r="J10307" s="1" t="str">
        <f>"63/63"</f>
        <v>63/63</v>
      </c>
      <c r="K10307" s="1" t="str">
        <f>"2026-07-29 14:21:37"</f>
        <v>2026-07-29 14:21:37</v>
      </c>
      <c r="L10307" s="1" t="str">
        <f>"2023-12-18 13:10:34"</f>
        <v>2023-12-18 13:10:34</v>
      </c>
      <c r="M10307" s="1" t="s">
        <v>4</v>
      </c>
      <c r="N10307" s="1" t="s">
        <v>38</v>
      </c>
      <c r="O10307" s="1" t="s">
        <v>46</v>
      </c>
    </row>
    <row r="10308" spans="2:15" x14ac:dyDescent="0.3">
      <c r="B10308" s="1" t="s">
        <v>21</v>
      </c>
      <c r="C10308" s="1" t="str">
        <f>"1차"</f>
        <v>1차</v>
      </c>
      <c r="D10308" s="1" t="str">
        <f>"9728P00101"</f>
        <v>9728P00101</v>
      </c>
      <c r="E10308" s="1" t="s">
        <v>10</v>
      </c>
      <c r="F10308" s="1" t="str">
        <f>"10.12.128.199"</f>
        <v>10.12.128.199</v>
      </c>
      <c r="G10308" s="1" t="str">
        <f>"9728P001"</f>
        <v>9728P001</v>
      </c>
      <c r="H10308" s="1" t="str">
        <f>"서경간 13R2"</f>
        <v>서경간 13R2</v>
      </c>
      <c r="I10308" s="1" t="s">
        <v>8</v>
      </c>
      <c r="J10308" s="1" t="str">
        <f>"64/64"</f>
        <v>64/64</v>
      </c>
      <c r="K10308" s="1" t="str">
        <f>"2026-07-29 13:18:13"</f>
        <v>2026-07-29 13:18:13</v>
      </c>
      <c r="L10308" s="1" t="str">
        <f>"2015-01-26 17:26:35"</f>
        <v>2015-01-26 17:26:35</v>
      </c>
      <c r="M10308" s="1" t="s">
        <v>0</v>
      </c>
      <c r="N10308" s="1" t="s">
        <v>38</v>
      </c>
      <c r="O10308" s="1" t="s">
        <v>46</v>
      </c>
    </row>
    <row r="10309" spans="2:15" x14ac:dyDescent="0.3">
      <c r="B10309" s="1" t="s">
        <v>21</v>
      </c>
      <c r="C10309" s="1" t="str">
        <f>"3차"</f>
        <v>3차</v>
      </c>
      <c r="D10309" s="1" t="str">
        <f>"9728P02239"</f>
        <v>9728P02239</v>
      </c>
      <c r="E10309" s="1" t="s">
        <v>10</v>
      </c>
      <c r="F10309" s="1" t="str">
        <f>"10.12.129.190"</f>
        <v>10.12.129.190</v>
      </c>
      <c r="G10309" s="1" t="str">
        <f>"9728P022"</f>
        <v>9728P022</v>
      </c>
      <c r="H10309" s="1" t="str">
        <f>"서경간 9R3L1"</f>
        <v>서경간 9R3L1</v>
      </c>
      <c r="I10309" s="1" t="s">
        <v>8</v>
      </c>
      <c r="J10309" s="1" t="str">
        <f>"40/40"</f>
        <v>40/40</v>
      </c>
      <c r="K10309" s="1" t="str">
        <f>"2026-07-29 13:18:11"</f>
        <v>2026-07-29 13:18:11</v>
      </c>
      <c r="L10309" s="1" t="str">
        <f>"2018-04-26 11:19:27"</f>
        <v>2018-04-26 11:19:27</v>
      </c>
      <c r="M10309" s="1" t="s">
        <v>0</v>
      </c>
      <c r="N10309" s="1" t="s">
        <v>38</v>
      </c>
      <c r="O10309" s="1" t="s">
        <v>46</v>
      </c>
    </row>
    <row r="10310" spans="2:15" x14ac:dyDescent="0.3">
      <c r="B10310" s="1" t="s">
        <v>21</v>
      </c>
      <c r="C10310" s="1" t="str">
        <f>"4차"</f>
        <v>4차</v>
      </c>
      <c r="D10310" s="1" t="str">
        <f>"9728P03344"</f>
        <v>9728P03344</v>
      </c>
      <c r="E10310" s="1" t="s">
        <v>10</v>
      </c>
      <c r="F10310" s="1" t="str">
        <f>"10.12.138.100"</f>
        <v>10.12.138.100</v>
      </c>
      <c r="G10310" s="1" t="str">
        <f>"9728P033"</f>
        <v>9728P033</v>
      </c>
      <c r="H10310" s="1" t="str">
        <f>"서경간 22H1"</f>
        <v>서경간 22H1</v>
      </c>
      <c r="I10310" s="1" t="s">
        <v>8</v>
      </c>
      <c r="J10310" s="1" t="str">
        <f>"33/33"</f>
        <v>33/33</v>
      </c>
      <c r="K10310" s="1" t="str">
        <f>"2026-07-29 07:18:12"</f>
        <v>2026-07-29 07:18:12</v>
      </c>
      <c r="L10310" s="1" t="str">
        <f>"2020-01-09 14:27:39"</f>
        <v>2020-01-09 14:27:39</v>
      </c>
      <c r="M10310" s="1" t="s">
        <v>0</v>
      </c>
      <c r="N10310" s="1" t="s">
        <v>38</v>
      </c>
      <c r="O10310" s="1" t="s">
        <v>46</v>
      </c>
    </row>
    <row r="10311" spans="2:15" x14ac:dyDescent="0.3">
      <c r="B10311" s="1" t="s">
        <v>21</v>
      </c>
      <c r="C10311" s="1" t="str">
        <f>"4차"</f>
        <v>4차</v>
      </c>
      <c r="D10311" s="1" t="str">
        <f>"9728P06144"</f>
        <v>9728P06144</v>
      </c>
      <c r="E10311" s="1" t="s">
        <v>10</v>
      </c>
      <c r="F10311" s="1" t="str">
        <f>"10.10.93.194"</f>
        <v>10.10.93.194</v>
      </c>
      <c r="G10311" s="1" t="str">
        <f>"9728P061"</f>
        <v>9728P061</v>
      </c>
      <c r="H10311" s="1" t="str">
        <f>"갈촌간 3L4"</f>
        <v>갈촌간 3L4</v>
      </c>
      <c r="I10311" s="1" t="s">
        <v>8</v>
      </c>
      <c r="J10311" s="1" t="str">
        <f>"19/19"</f>
        <v>19/19</v>
      </c>
      <c r="K10311" s="1" t="str">
        <f>"2026-07-29 13:18:12"</f>
        <v>2026-07-29 13:18:12</v>
      </c>
      <c r="L10311" s="1" t="str">
        <f>"2019-09-09 10:33:04"</f>
        <v>2019-09-09 10:33:04</v>
      </c>
      <c r="M10311" s="1" t="s">
        <v>1</v>
      </c>
      <c r="N10311" s="1" t="s">
        <v>38</v>
      </c>
      <c r="O10311" s="1" t="s">
        <v>46</v>
      </c>
    </row>
    <row r="10312" spans="2:15" x14ac:dyDescent="0.3">
      <c r="B10312" s="1" t="s">
        <v>21</v>
      </c>
      <c r="C10312" s="1" t="str">
        <f>"4차"</f>
        <v>4차</v>
      </c>
      <c r="D10312" s="1" t="str">
        <f>"9728P08144"</f>
        <v>9728P08144</v>
      </c>
      <c r="E10312" s="1" t="s">
        <v>10</v>
      </c>
      <c r="F10312" s="1" t="str">
        <f>"10.10.120.2"</f>
        <v>10.10.120.2</v>
      </c>
      <c r="G10312" s="1" t="str">
        <f>"9728P081"</f>
        <v>9728P081</v>
      </c>
      <c r="H10312" s="1" t="str">
        <f>"갈촌간 3L3R2"</f>
        <v>갈촌간 3L3R2</v>
      </c>
      <c r="I10312" s="1" t="s">
        <v>8</v>
      </c>
      <c r="J10312" s="1" t="str">
        <f>"57/57"</f>
        <v>57/57</v>
      </c>
      <c r="K10312" s="1" t="str">
        <f>"2026-07-29 13:18:12"</f>
        <v>2026-07-29 13:18:12</v>
      </c>
      <c r="L10312" s="1" t="str">
        <f>"2019-09-03 18:02:58"</f>
        <v>2019-09-03 18:02:58</v>
      </c>
      <c r="M10312" s="1" t="s">
        <v>1</v>
      </c>
      <c r="N10312" s="1" t="s">
        <v>38</v>
      </c>
      <c r="O10312" s="1" t="s">
        <v>46</v>
      </c>
    </row>
    <row r="10313" spans="2:15" x14ac:dyDescent="0.3">
      <c r="B10313" s="1" t="s">
        <v>21</v>
      </c>
      <c r="C10313" s="1" t="str">
        <f>"4차"</f>
        <v>4차</v>
      </c>
      <c r="D10313" s="1" t="str">
        <f>"9728P09344"</f>
        <v>9728P09344</v>
      </c>
      <c r="E10313" s="1" t="s">
        <v>10</v>
      </c>
      <c r="F10313" s="1" t="str">
        <f>"10.10.77.34"</f>
        <v>10.10.77.34</v>
      </c>
      <c r="G10313" s="1" t="str">
        <f>"9728P093"</f>
        <v>9728P093</v>
      </c>
      <c r="H10313" s="1" t="str">
        <f>"갈촌간 3L2R2"</f>
        <v>갈촌간 3L2R2</v>
      </c>
      <c r="I10313" s="1" t="s">
        <v>8</v>
      </c>
      <c r="J10313" s="1" t="str">
        <f>"48/50"</f>
        <v>48/50</v>
      </c>
      <c r="K10313" s="1" t="str">
        <f>"2026-07-29 13:18:12"</f>
        <v>2026-07-29 13:18:12</v>
      </c>
      <c r="L10313" s="1" t="str">
        <f>"2019-09-09 13:20:29"</f>
        <v>2019-09-09 13:20:29</v>
      </c>
      <c r="M10313" s="1" t="s">
        <v>1</v>
      </c>
      <c r="N10313" s="1" t="s">
        <v>38</v>
      </c>
      <c r="O10313" s="1" t="s">
        <v>46</v>
      </c>
    </row>
    <row r="10314" spans="2:15" x14ac:dyDescent="0.3">
      <c r="B10314" s="1" t="s">
        <v>21</v>
      </c>
      <c r="C10314" s="1" t="str">
        <f>"1차"</f>
        <v>1차</v>
      </c>
      <c r="D10314" s="1" t="str">
        <f>"9728P10100"</f>
        <v>9728P10100</v>
      </c>
      <c r="E10314" s="1" t="s">
        <v>10</v>
      </c>
      <c r="F10314" s="1" t="str">
        <f>"10.128.80.18"</f>
        <v>10.128.80.18</v>
      </c>
      <c r="G10314" s="1" t="str">
        <f>"9728P101"</f>
        <v>9728P101</v>
      </c>
      <c r="H10314" s="1" t="str">
        <f>"서경간 9R1"</f>
        <v>서경간 9R1</v>
      </c>
      <c r="I10314" s="1" t="s">
        <v>8</v>
      </c>
      <c r="J10314" s="1" t="str">
        <f>"19/19"</f>
        <v>19/19</v>
      </c>
      <c r="K10314" s="1" t="str">
        <f>"2026-07-29 13:18:12"</f>
        <v>2026-07-29 13:18:12</v>
      </c>
      <c r="L10314" s="1" t="str">
        <f>"2015-01-26 17:11:55"</f>
        <v>2015-01-26 17:11:55</v>
      </c>
      <c r="M10314" s="1" t="s">
        <v>45</v>
      </c>
      <c r="N10314" s="1" t="s">
        <v>38</v>
      </c>
      <c r="O10314" s="1" t="s">
        <v>46</v>
      </c>
    </row>
    <row r="10315" spans="2:15" x14ac:dyDescent="0.3">
      <c r="B10315" s="1" t="s">
        <v>21</v>
      </c>
      <c r="C10315" s="1" t="str">
        <f>"4차"</f>
        <v>4차</v>
      </c>
      <c r="D10315" s="1" t="str">
        <f>"9728P10244"</f>
        <v>9728P10244</v>
      </c>
      <c r="E10315" s="1" t="s">
        <v>10</v>
      </c>
      <c r="F10315" s="1" t="str">
        <f>"10.10.89.82"</f>
        <v>10.10.89.82</v>
      </c>
      <c r="G10315" s="1" t="str">
        <f>"9728P102"</f>
        <v>9728P102</v>
      </c>
      <c r="H10315" s="1" t="str">
        <f>"응암간 37R13"</f>
        <v>응암간 37R13</v>
      </c>
      <c r="I10315" s="1" t="s">
        <v>8</v>
      </c>
      <c r="J10315" s="1" t="str">
        <f>"9/9"</f>
        <v>9/9</v>
      </c>
      <c r="K10315" s="1" t="str">
        <f>"2026-07-29 13:18:12"</f>
        <v>2026-07-29 13:18:12</v>
      </c>
      <c r="L10315" s="1" t="str">
        <f>"2019-12-11 18:21:36"</f>
        <v>2019-12-11 18:21:36</v>
      </c>
      <c r="M10315" s="1" t="s">
        <v>1</v>
      </c>
      <c r="N10315" s="1" t="s">
        <v>38</v>
      </c>
      <c r="O10315" s="1" t="s">
        <v>46</v>
      </c>
    </row>
    <row r="10316" spans="2:15" x14ac:dyDescent="0.3">
      <c r="B10316" s="1" t="s">
        <v>21</v>
      </c>
      <c r="C10316" s="1" t="str">
        <f>"5-2차"</f>
        <v>5-2차</v>
      </c>
      <c r="D10316" s="1" t="str">
        <f>"9728P1035M"</f>
        <v>9728P1035M</v>
      </c>
      <c r="E10316" s="1" t="s">
        <v>10</v>
      </c>
      <c r="F10316" s="1" t="str">
        <f>"fde1:103:4:6e17:0:0:0:2"</f>
        <v>fde1:103:4:6e17:0:0:0:2</v>
      </c>
      <c r="G10316" s="1" t="str">
        <f>"9728P103"</f>
        <v>9728P103</v>
      </c>
      <c r="H10316" s="1" t="str">
        <f>"응암간 37R14H1"</f>
        <v>응암간 37R14H1</v>
      </c>
      <c r="I10316" s="1" t="s">
        <v>15</v>
      </c>
      <c r="J10316" s="1" t="str">
        <f>"54/54"</f>
        <v>54/54</v>
      </c>
      <c r="K10316" s="1" t="str">
        <f>"2026-07-29 14:21:36"</f>
        <v>2026-07-29 14:21:36</v>
      </c>
      <c r="L10316" s="1" t="str">
        <f>"2023-11-15 11:30:59"</f>
        <v>2023-11-15 11:30:59</v>
      </c>
      <c r="M10316" s="1" t="s">
        <v>4</v>
      </c>
      <c r="N10316" s="1" t="s">
        <v>38</v>
      </c>
      <c r="O10316" s="1" t="s">
        <v>46</v>
      </c>
    </row>
    <row r="10317" spans="2:15" x14ac:dyDescent="0.3">
      <c r="B10317" s="1" t="s">
        <v>21</v>
      </c>
      <c r="C10317" s="1" t="str">
        <f>"4차"</f>
        <v>4차</v>
      </c>
      <c r="D10317" s="1" t="str">
        <f>"9728P14144"</f>
        <v>9728P14144</v>
      </c>
      <c r="E10317" s="1" t="s">
        <v>10</v>
      </c>
      <c r="F10317" s="1" t="str">
        <f>"10.10.94.146"</f>
        <v>10.10.94.146</v>
      </c>
      <c r="G10317" s="1" t="str">
        <f>"9728P141"</f>
        <v>9728P141</v>
      </c>
      <c r="H10317" s="1" t="str">
        <f>"갈촌간 1R8"</f>
        <v>갈촌간 1R8</v>
      </c>
      <c r="I10317" s="1" t="s">
        <v>8</v>
      </c>
      <c r="J10317" s="1" t="str">
        <f>"25/25"</f>
        <v>25/25</v>
      </c>
      <c r="K10317" s="1" t="str">
        <f>"2026-07-29 13:18:12"</f>
        <v>2026-07-29 13:18:12</v>
      </c>
      <c r="L10317" s="1" t="str">
        <f>"2019-09-09 13:43:04"</f>
        <v>2019-09-09 13:43:04</v>
      </c>
      <c r="M10317" s="1" t="s">
        <v>1</v>
      </c>
      <c r="N10317" s="1" t="s">
        <v>38</v>
      </c>
      <c r="O10317" s="1" t="s">
        <v>46</v>
      </c>
    </row>
    <row r="10318" spans="2:15" x14ac:dyDescent="0.3">
      <c r="B10318" s="1" t="s">
        <v>21</v>
      </c>
      <c r="C10318" s="1" t="str">
        <f>"5-2차"</f>
        <v>5-2차</v>
      </c>
      <c r="D10318" s="1" t="str">
        <f>"9728P1815M"</f>
        <v>9728P1815M</v>
      </c>
      <c r="E10318" s="1" t="s">
        <v>10</v>
      </c>
      <c r="F10318" s="1" t="str">
        <f>"fde3:102:1303:170c:0:0:0:2"</f>
        <v>fde3:102:1303:170c:0:0:0:2</v>
      </c>
      <c r="G10318" s="1" t="str">
        <f>"9728P181"</f>
        <v>9728P181</v>
      </c>
      <c r="H10318" s="1" t="str">
        <f>"갈촌간 3L2R1"</f>
        <v>갈촌간 3L2R1</v>
      </c>
      <c r="I10318" s="1" t="s">
        <v>15</v>
      </c>
      <c r="J10318" s="1" t="str">
        <f>"8/8"</f>
        <v>8/8</v>
      </c>
      <c r="K10318" s="1" t="str">
        <f>"2026-07-29 14:21:36"</f>
        <v>2026-07-29 14:21:36</v>
      </c>
      <c r="L10318" s="1" t="str">
        <f>"2024-02-22 09:37:53"</f>
        <v>2024-02-22 09:37:53</v>
      </c>
      <c r="M10318" s="1" t="s">
        <v>45</v>
      </c>
      <c r="N10318" s="1" t="s">
        <v>38</v>
      </c>
      <c r="O10318" s="1" t="s">
        <v>46</v>
      </c>
    </row>
    <row r="10319" spans="2:15" x14ac:dyDescent="0.3">
      <c r="B10319" s="1" t="s">
        <v>21</v>
      </c>
      <c r="C10319" s="1" t="str">
        <f>"4차"</f>
        <v>4차</v>
      </c>
      <c r="D10319" s="1" t="str">
        <f>"9728P22144"</f>
        <v>9728P22144</v>
      </c>
      <c r="E10319" s="1" t="s">
        <v>10</v>
      </c>
      <c r="F10319" s="1" t="str">
        <f>"10.10.69.90"</f>
        <v>10.10.69.90</v>
      </c>
      <c r="G10319" s="1" t="str">
        <f>"9728P221"</f>
        <v>9728P221</v>
      </c>
      <c r="H10319" s="1" t="str">
        <f>"응암간 37R11L2"</f>
        <v>응암간 37R11L2</v>
      </c>
      <c r="I10319" s="1" t="s">
        <v>8</v>
      </c>
      <c r="J10319" s="1" t="str">
        <f>"64/68"</f>
        <v>64/68</v>
      </c>
      <c r="K10319" s="1" t="str">
        <f>"2026-07-29 13:18:12"</f>
        <v>2026-07-29 13:18:12</v>
      </c>
      <c r="L10319" s="1" t="str">
        <f>"2019-12-11 18:23:26"</f>
        <v>2019-12-11 18:23:26</v>
      </c>
      <c r="M10319" s="1" t="s">
        <v>1</v>
      </c>
      <c r="N10319" s="1" t="s">
        <v>38</v>
      </c>
      <c r="O10319" s="1" t="s">
        <v>46</v>
      </c>
    </row>
    <row r="10320" spans="2:15" x14ac:dyDescent="0.3">
      <c r="B10320" s="1" t="s">
        <v>21</v>
      </c>
      <c r="C10320" s="1" t="str">
        <f>"4차"</f>
        <v>4차</v>
      </c>
      <c r="D10320" s="1" t="str">
        <f>"9728P30144"</f>
        <v>9728P30144</v>
      </c>
      <c r="E10320" s="1" t="s">
        <v>10</v>
      </c>
      <c r="F10320" s="1" t="str">
        <f>"10.10.89.106"</f>
        <v>10.10.89.106</v>
      </c>
      <c r="G10320" s="1" t="str">
        <f>"9728P301"</f>
        <v>9728P301</v>
      </c>
      <c r="H10320" s="1" t="str">
        <f>"응암간 37R15L3"</f>
        <v>응암간 37R15L3</v>
      </c>
      <c r="I10320" s="1" t="s">
        <v>8</v>
      </c>
      <c r="J10320" s="1" t="str">
        <f>"20/20"</f>
        <v>20/20</v>
      </c>
      <c r="K10320" s="1" t="str">
        <f>"2026-07-29 13:18:12"</f>
        <v>2026-07-29 13:18:12</v>
      </c>
      <c r="L10320" s="1" t="str">
        <f>"2019-12-24 16:49:04"</f>
        <v>2019-12-24 16:49:04</v>
      </c>
      <c r="M10320" s="1" t="s">
        <v>1</v>
      </c>
      <c r="N10320" s="1" t="s">
        <v>38</v>
      </c>
      <c r="O10320" s="1" t="s">
        <v>46</v>
      </c>
    </row>
    <row r="10321" spans="2:15" x14ac:dyDescent="0.3">
      <c r="B10321" s="1" t="s">
        <v>21</v>
      </c>
      <c r="C10321" s="1" t="str">
        <f>"4차"</f>
        <v>4차</v>
      </c>
      <c r="D10321" s="1" t="str">
        <f>"9728P31144"</f>
        <v>9728P31144</v>
      </c>
      <c r="E10321" s="1" t="s">
        <v>10</v>
      </c>
      <c r="F10321" s="1" t="str">
        <f>"10.10.89.26"</f>
        <v>10.10.89.26</v>
      </c>
      <c r="G10321" s="1" t="str">
        <f>"9728P311"</f>
        <v>9728P311</v>
      </c>
      <c r="H10321" s="1" t="str">
        <f>"응암간 37R11L3R2"</f>
        <v>응암간 37R11L3R2</v>
      </c>
      <c r="I10321" s="1" t="s">
        <v>8</v>
      </c>
      <c r="J10321" s="1" t="str">
        <f>"52/53"</f>
        <v>52/53</v>
      </c>
      <c r="K10321" s="1" t="str">
        <f>"2026-07-29 13:18:12"</f>
        <v>2026-07-29 13:18:12</v>
      </c>
      <c r="L10321" s="1" t="str">
        <f>"2019-12-24 16:49:49"</f>
        <v>2019-12-24 16:49:49</v>
      </c>
      <c r="M10321" s="1" t="s">
        <v>1</v>
      </c>
      <c r="N10321" s="1" t="s">
        <v>38</v>
      </c>
      <c r="O10321" s="1" t="s">
        <v>46</v>
      </c>
    </row>
    <row r="10322" spans="2:15" x14ac:dyDescent="0.3">
      <c r="B10322" s="1" t="s">
        <v>21</v>
      </c>
      <c r="C10322" s="1" t="str">
        <f>"4차"</f>
        <v>4차</v>
      </c>
      <c r="D10322" s="1" t="str">
        <f>"9728P33244"</f>
        <v>9728P33244</v>
      </c>
      <c r="E10322" s="1" t="s">
        <v>10</v>
      </c>
      <c r="F10322" s="1" t="str">
        <f>"10.10.89.18"</f>
        <v>10.10.89.18</v>
      </c>
      <c r="G10322" s="1" t="str">
        <f>"9728P332"</f>
        <v>9728P332</v>
      </c>
      <c r="H10322" s="1" t="str">
        <f>"응암간 37R11L3L2"</f>
        <v>응암간 37R11L3L2</v>
      </c>
      <c r="I10322" s="1" t="s">
        <v>8</v>
      </c>
      <c r="J10322" s="1" t="str">
        <f>"51/51"</f>
        <v>51/51</v>
      </c>
      <c r="K10322" s="1" t="str">
        <f>"2026-07-29 13:18:12"</f>
        <v>2026-07-29 13:18:12</v>
      </c>
      <c r="L10322" s="1" t="str">
        <f>"2019-12-11 18:21:44"</f>
        <v>2019-12-11 18:21:44</v>
      </c>
      <c r="M10322" s="1" t="s">
        <v>1</v>
      </c>
      <c r="N10322" s="1" t="s">
        <v>38</v>
      </c>
      <c r="O10322" s="1" t="s">
        <v>46</v>
      </c>
    </row>
    <row r="10323" spans="2:15" x14ac:dyDescent="0.3">
      <c r="B10323" s="1" t="s">
        <v>21</v>
      </c>
      <c r="C10323" s="1" t="str">
        <f>"4차"</f>
        <v>4차</v>
      </c>
      <c r="D10323" s="1" t="str">
        <f>"9728P35144"</f>
        <v>9728P35144</v>
      </c>
      <c r="E10323" s="1" t="s">
        <v>10</v>
      </c>
      <c r="F10323" s="1" t="str">
        <f>"10.10.122.2"</f>
        <v>10.10.122.2</v>
      </c>
      <c r="G10323" s="1" t="str">
        <f>"9728P351"</f>
        <v>9728P351</v>
      </c>
      <c r="H10323" s="1" t="str">
        <f>"응암간 37R4"</f>
        <v>응암간 37R4</v>
      </c>
      <c r="I10323" s="1" t="s">
        <v>8</v>
      </c>
      <c r="J10323" s="1" t="str">
        <f>"29/29"</f>
        <v>29/29</v>
      </c>
      <c r="K10323" s="1" t="str">
        <f>"2026-07-29 13:18:12"</f>
        <v>2026-07-29 13:18:12</v>
      </c>
      <c r="L10323" s="1" t="str">
        <f>"2019-12-11 18:26:20"</f>
        <v>2019-12-11 18:26:20</v>
      </c>
      <c r="M10323" s="1" t="s">
        <v>1</v>
      </c>
      <c r="N10323" s="1" t="s">
        <v>38</v>
      </c>
      <c r="O10323" s="1" t="s">
        <v>46</v>
      </c>
    </row>
    <row r="10324" spans="2:15" x14ac:dyDescent="0.3">
      <c r="B10324" s="1" t="s">
        <v>21</v>
      </c>
      <c r="C10324" s="1" t="str">
        <f>"5-1차"</f>
        <v>5-1차</v>
      </c>
      <c r="D10324" s="1" t="str">
        <f>"9728P3835S"</f>
        <v>9728P3835S</v>
      </c>
      <c r="E10324" s="1" t="s">
        <v>10</v>
      </c>
      <c r="F10324" s="1" t="str">
        <f>"fde3:102:1303:803:0:0:0:6"</f>
        <v>fde3:102:1303:803:0:0:0:6</v>
      </c>
      <c r="G10324" s="1" t="str">
        <f>"9728P383"</f>
        <v>9728P383</v>
      </c>
      <c r="H10324" s="1" t="str">
        <f>"응암간 33"</f>
        <v>응암간 33</v>
      </c>
      <c r="I10324" s="1" t="s">
        <v>15</v>
      </c>
      <c r="J10324" s="1" t="str">
        <f>"41/41"</f>
        <v>41/41</v>
      </c>
      <c r="K10324" s="1" t="str">
        <f>"2026-07-29 14:21:37"</f>
        <v>2026-07-29 14:21:37</v>
      </c>
      <c r="L10324" s="1" t="str">
        <f>"2022-12-09 14:43:50"</f>
        <v>2022-12-09 14:43:50</v>
      </c>
      <c r="M10324" s="1" t="s">
        <v>45</v>
      </c>
      <c r="N10324" s="1" t="s">
        <v>38</v>
      </c>
      <c r="O10324" s="1" t="s">
        <v>46</v>
      </c>
    </row>
    <row r="10325" spans="2:15" x14ac:dyDescent="0.3">
      <c r="B10325" s="1" t="s">
        <v>21</v>
      </c>
      <c r="C10325" s="1" t="str">
        <f>"5-1차"</f>
        <v>5-1차</v>
      </c>
      <c r="D10325" s="1" t="str">
        <f>"9728P3925M"</f>
        <v>9728P3925M</v>
      </c>
      <c r="E10325" s="1" t="s">
        <v>10</v>
      </c>
      <c r="F10325" s="1" t="str">
        <f>"fde3:102:1303:802:0:0:0:3"</f>
        <v>fde3:102:1303:802:0:0:0:3</v>
      </c>
      <c r="G10325" s="1" t="str">
        <f>"9728P392"</f>
        <v>9728P392</v>
      </c>
      <c r="H10325" s="1" t="str">
        <f>"응암간 27L3R1"</f>
        <v>응암간 27L3R1</v>
      </c>
      <c r="I10325" s="1" t="s">
        <v>15</v>
      </c>
      <c r="J10325" s="1" t="str">
        <f>"47/47"</f>
        <v>47/47</v>
      </c>
      <c r="K10325" s="1" t="str">
        <f>"2026-07-29 14:21:37"</f>
        <v>2026-07-29 14:21:37</v>
      </c>
      <c r="L10325" s="1" t="str">
        <f>"2022-12-01 08:41:11"</f>
        <v>2022-12-01 08:41:11</v>
      </c>
      <c r="M10325" s="1" t="s">
        <v>45</v>
      </c>
      <c r="N10325" s="1" t="s">
        <v>38</v>
      </c>
      <c r="O10325" s="1" t="s">
        <v>46</v>
      </c>
    </row>
    <row r="10326" spans="2:15" x14ac:dyDescent="0.3">
      <c r="B10326" s="1" t="s">
        <v>21</v>
      </c>
      <c r="C10326" s="1" t="str">
        <f t="shared" ref="C10326:C10331" si="519">"4차"</f>
        <v>4차</v>
      </c>
      <c r="D10326" s="1" t="str">
        <f>"9728P40144"</f>
        <v>9728P40144</v>
      </c>
      <c r="E10326" s="1" t="s">
        <v>10</v>
      </c>
      <c r="F10326" s="1" t="str">
        <f>"10.10.90.2"</f>
        <v>10.10.90.2</v>
      </c>
      <c r="G10326" s="1" t="str">
        <f>"9728P401"</f>
        <v>9728P401</v>
      </c>
      <c r="H10326" s="1" t="str">
        <f>"응암간 37R15L4"</f>
        <v>응암간 37R15L4</v>
      </c>
      <c r="I10326" s="1" t="s">
        <v>8</v>
      </c>
      <c r="J10326" s="1" t="str">
        <f>"34/34"</f>
        <v>34/34</v>
      </c>
      <c r="K10326" s="1" t="str">
        <f t="shared" ref="K10326:K10331" si="520">"2026-07-29 13:18:12"</f>
        <v>2026-07-29 13:18:12</v>
      </c>
      <c r="L10326" s="1" t="str">
        <f>"2019-12-11 18:17:44"</f>
        <v>2019-12-11 18:17:44</v>
      </c>
      <c r="M10326" s="1" t="s">
        <v>1</v>
      </c>
      <c r="N10326" s="1" t="s">
        <v>38</v>
      </c>
      <c r="O10326" s="1" t="s">
        <v>46</v>
      </c>
    </row>
    <row r="10327" spans="2:15" x14ac:dyDescent="0.3">
      <c r="B10327" s="1" t="s">
        <v>21</v>
      </c>
      <c r="C10327" s="1" t="str">
        <f t="shared" si="519"/>
        <v>4차</v>
      </c>
      <c r="D10327" s="1" t="str">
        <f>"9728P41144"</f>
        <v>9728P41144</v>
      </c>
      <c r="E10327" s="1" t="s">
        <v>10</v>
      </c>
      <c r="F10327" s="1" t="str">
        <f>"10.10.91.58"</f>
        <v>10.10.91.58</v>
      </c>
      <c r="G10327" s="1" t="str">
        <f>"9728P411"</f>
        <v>9728P411</v>
      </c>
      <c r="H10327" s="1" t="str">
        <f>"응암간 37R4L8"</f>
        <v>응암간 37R4L8</v>
      </c>
      <c r="I10327" s="1" t="s">
        <v>8</v>
      </c>
      <c r="J10327" s="1" t="str">
        <f>"53/55"</f>
        <v>53/55</v>
      </c>
      <c r="K10327" s="1" t="str">
        <f t="shared" si="520"/>
        <v>2026-07-29 13:18:12</v>
      </c>
      <c r="L10327" s="1" t="str">
        <f>"2019-12-11 18:19:43"</f>
        <v>2019-12-11 18:19:43</v>
      </c>
      <c r="M10327" s="1" t="s">
        <v>1</v>
      </c>
      <c r="N10327" s="1" t="s">
        <v>38</v>
      </c>
      <c r="O10327" s="1" t="s">
        <v>46</v>
      </c>
    </row>
    <row r="10328" spans="2:15" x14ac:dyDescent="0.3">
      <c r="B10328" s="1" t="s">
        <v>21</v>
      </c>
      <c r="C10328" s="1" t="str">
        <f t="shared" si="519"/>
        <v>4차</v>
      </c>
      <c r="D10328" s="1" t="str">
        <f>"9728P41244"</f>
        <v>9728P41244</v>
      </c>
      <c r="E10328" s="1" t="s">
        <v>10</v>
      </c>
      <c r="F10328" s="1" t="str">
        <f>"10.10.91.66"</f>
        <v>10.10.91.66</v>
      </c>
      <c r="G10328" s="1" t="str">
        <f>"9728P412"</f>
        <v>9728P412</v>
      </c>
      <c r="H10328" s="1" t="str">
        <f>"응암간 37R4L9"</f>
        <v>응암간 37R4L9</v>
      </c>
      <c r="I10328" s="1" t="s">
        <v>8</v>
      </c>
      <c r="J10328" s="1" t="str">
        <f>"48/48"</f>
        <v>48/48</v>
      </c>
      <c r="K10328" s="1" t="str">
        <f t="shared" si="520"/>
        <v>2026-07-29 13:18:12</v>
      </c>
      <c r="L10328" s="1" t="str">
        <f>"2019-12-11 18:21:36"</f>
        <v>2019-12-11 18:21:36</v>
      </c>
      <c r="M10328" s="1" t="s">
        <v>1</v>
      </c>
      <c r="N10328" s="1" t="s">
        <v>38</v>
      </c>
      <c r="O10328" s="1" t="s">
        <v>46</v>
      </c>
    </row>
    <row r="10329" spans="2:15" x14ac:dyDescent="0.3">
      <c r="B10329" s="1" t="s">
        <v>21</v>
      </c>
      <c r="C10329" s="1" t="str">
        <f t="shared" si="519"/>
        <v>4차</v>
      </c>
      <c r="D10329" s="1" t="str">
        <f>"9728P42144"</f>
        <v>9728P42144</v>
      </c>
      <c r="E10329" s="1" t="s">
        <v>10</v>
      </c>
      <c r="F10329" s="1" t="str">
        <f>"10.10.89.74"</f>
        <v>10.10.89.74</v>
      </c>
      <c r="G10329" s="1" t="str">
        <f>"9728P421"</f>
        <v>9728P421</v>
      </c>
      <c r="H10329" s="1" t="str">
        <f>"응암간 37R11L5"</f>
        <v>응암간 37R11L5</v>
      </c>
      <c r="I10329" s="1" t="s">
        <v>8</v>
      </c>
      <c r="J10329" s="1" t="str">
        <f>"87/89"</f>
        <v>87/89</v>
      </c>
      <c r="K10329" s="1" t="str">
        <f t="shared" si="520"/>
        <v>2026-07-29 13:18:12</v>
      </c>
      <c r="L10329" s="1" t="str">
        <f>"2019-12-11 18:21:48"</f>
        <v>2019-12-11 18:21:48</v>
      </c>
      <c r="M10329" s="1" t="s">
        <v>1</v>
      </c>
      <c r="N10329" s="1" t="s">
        <v>38</v>
      </c>
      <c r="O10329" s="1" t="s">
        <v>46</v>
      </c>
    </row>
    <row r="10330" spans="2:15" x14ac:dyDescent="0.3">
      <c r="B10330" s="1" t="s">
        <v>21</v>
      </c>
      <c r="C10330" s="1" t="str">
        <f t="shared" si="519"/>
        <v>4차</v>
      </c>
      <c r="D10330" s="1" t="str">
        <f>"9728P44144"</f>
        <v>9728P44144</v>
      </c>
      <c r="E10330" s="1" t="s">
        <v>10</v>
      </c>
      <c r="F10330" s="1" t="str">
        <f>"10.10.69.82"</f>
        <v>10.10.69.82</v>
      </c>
      <c r="G10330" s="1" t="str">
        <f>"9728P441"</f>
        <v>9728P441</v>
      </c>
      <c r="H10330" s="1" t="str">
        <f>"응암간 37R4L2"</f>
        <v>응암간 37R4L2</v>
      </c>
      <c r="I10330" s="1" t="s">
        <v>8</v>
      </c>
      <c r="J10330" s="1" t="str">
        <f>"44/45"</f>
        <v>44/45</v>
      </c>
      <c r="K10330" s="1" t="str">
        <f t="shared" si="520"/>
        <v>2026-07-29 13:18:12</v>
      </c>
      <c r="L10330" s="1" t="str">
        <f>"2019-12-11 18:21:52"</f>
        <v>2019-12-11 18:21:52</v>
      </c>
      <c r="M10330" s="1" t="s">
        <v>1</v>
      </c>
      <c r="N10330" s="1" t="s">
        <v>38</v>
      </c>
      <c r="O10330" s="1" t="s">
        <v>46</v>
      </c>
    </row>
    <row r="10331" spans="2:15" x14ac:dyDescent="0.3">
      <c r="B10331" s="1" t="s">
        <v>21</v>
      </c>
      <c r="C10331" s="1" t="str">
        <f t="shared" si="519"/>
        <v>4차</v>
      </c>
      <c r="D10331" s="1" t="str">
        <f>"9728P44244"</f>
        <v>9728P44244</v>
      </c>
      <c r="E10331" s="1" t="s">
        <v>10</v>
      </c>
      <c r="F10331" s="1" t="str">
        <f>"10.10.69.74"</f>
        <v>10.10.69.74</v>
      </c>
      <c r="G10331" s="1" t="str">
        <f>"9728P442"</f>
        <v>9728P442</v>
      </c>
      <c r="H10331" s="1" t="str">
        <f>"응암간 37R4L3"</f>
        <v>응암간 37R4L3</v>
      </c>
      <c r="I10331" s="1" t="s">
        <v>8</v>
      </c>
      <c r="J10331" s="1" t="str">
        <f>"98/98"</f>
        <v>98/98</v>
      </c>
      <c r="K10331" s="1" t="str">
        <f t="shared" si="520"/>
        <v>2026-07-29 13:18:12</v>
      </c>
      <c r="L10331" s="1" t="str">
        <f>"2019-12-11 18:24:23"</f>
        <v>2019-12-11 18:24:23</v>
      </c>
      <c r="M10331" s="1" t="s">
        <v>1</v>
      </c>
      <c r="N10331" s="1" t="s">
        <v>38</v>
      </c>
      <c r="O10331" s="1" t="s">
        <v>46</v>
      </c>
    </row>
    <row r="10332" spans="2:15" x14ac:dyDescent="0.3">
      <c r="B10332" s="1" t="s">
        <v>21</v>
      </c>
      <c r="C10332" s="1" t="str">
        <f>"5-2차"</f>
        <v>5-2차</v>
      </c>
      <c r="D10332" s="1" t="str">
        <f>"9728P4715M"</f>
        <v>9728P4715M</v>
      </c>
      <c r="E10332" s="1" t="s">
        <v>10</v>
      </c>
      <c r="F10332" s="1" t="str">
        <f>"fde1:103:4:93ee:0:0:0:2"</f>
        <v>fde1:103:4:93ee:0:0:0:2</v>
      </c>
      <c r="G10332" s="1" t="str">
        <f>"9728P471"</f>
        <v>9728P471</v>
      </c>
      <c r="H10332" s="1" t="str">
        <f>"응암간 34"</f>
        <v>응암간 34</v>
      </c>
      <c r="I10332" s="1" t="s">
        <v>15</v>
      </c>
      <c r="J10332" s="1" t="str">
        <f>"54/54"</f>
        <v>54/54</v>
      </c>
      <c r="K10332" s="1" t="str">
        <f>"2026-07-29 14:21:37"</f>
        <v>2026-07-29 14:21:37</v>
      </c>
      <c r="L10332" s="1" t="str">
        <f>"2023-12-18 13:10:53"</f>
        <v>2023-12-18 13:10:53</v>
      </c>
      <c r="M10332" s="1" t="s">
        <v>4</v>
      </c>
      <c r="N10332" s="1" t="s">
        <v>38</v>
      </c>
      <c r="O10332" s="1" t="s">
        <v>46</v>
      </c>
    </row>
    <row r="10333" spans="2:15" x14ac:dyDescent="0.3">
      <c r="B10333" s="1" t="s">
        <v>21</v>
      </c>
      <c r="C10333" s="1" t="str">
        <f>"4차"</f>
        <v>4차</v>
      </c>
      <c r="D10333" s="1" t="str">
        <f>"9728P50144"</f>
        <v>9728P50144</v>
      </c>
      <c r="E10333" s="1" t="s">
        <v>10</v>
      </c>
      <c r="F10333" s="1" t="str">
        <f>"10.10.121.242"</f>
        <v>10.10.121.242</v>
      </c>
      <c r="G10333" s="1" t="str">
        <f>"9728P501"</f>
        <v>9728P501</v>
      </c>
      <c r="H10333" s="1" t="str">
        <f>"응암간 37R15L6"</f>
        <v>응암간 37R15L6</v>
      </c>
      <c r="I10333" s="1" t="s">
        <v>8</v>
      </c>
      <c r="J10333" s="1" t="str">
        <f>"21/21"</f>
        <v>21/21</v>
      </c>
      <c r="K10333" s="1" t="str">
        <f>"2026-07-29 13:18:12"</f>
        <v>2026-07-29 13:18:12</v>
      </c>
      <c r="L10333" s="1" t="str">
        <f>"2019-12-11 18:21:59"</f>
        <v>2019-12-11 18:21:59</v>
      </c>
      <c r="M10333" s="1" t="s">
        <v>1</v>
      </c>
      <c r="N10333" s="1" t="s">
        <v>38</v>
      </c>
      <c r="O10333" s="1" t="s">
        <v>46</v>
      </c>
    </row>
    <row r="10334" spans="2:15" x14ac:dyDescent="0.3">
      <c r="B10334" s="1" t="s">
        <v>21</v>
      </c>
      <c r="C10334" s="1" t="str">
        <f>"4차"</f>
        <v>4차</v>
      </c>
      <c r="D10334" s="1" t="str">
        <f>"9728P50344"</f>
        <v>9728P50344</v>
      </c>
      <c r="E10334" s="1" t="s">
        <v>10</v>
      </c>
      <c r="F10334" s="1" t="str">
        <f>"10.10.90.18"</f>
        <v>10.10.90.18</v>
      </c>
      <c r="G10334" s="1" t="str">
        <f>"9728P503"</f>
        <v>9728P503</v>
      </c>
      <c r="H10334" s="1" t="str">
        <f>"응암간 37R15L5"</f>
        <v>응암간 37R15L5</v>
      </c>
      <c r="I10334" s="1" t="s">
        <v>8</v>
      </c>
      <c r="J10334" s="1" t="str">
        <f>"32/32"</f>
        <v>32/32</v>
      </c>
      <c r="K10334" s="1" t="str">
        <f>"2026-07-29 13:18:12"</f>
        <v>2026-07-29 13:18:12</v>
      </c>
      <c r="L10334" s="1" t="str">
        <f>"2019-12-11 18:22:57"</f>
        <v>2019-12-11 18:22:57</v>
      </c>
      <c r="M10334" s="1" t="s">
        <v>1</v>
      </c>
      <c r="N10334" s="1" t="s">
        <v>38</v>
      </c>
      <c r="O10334" s="1" t="s">
        <v>46</v>
      </c>
    </row>
    <row r="10335" spans="2:15" x14ac:dyDescent="0.3">
      <c r="B10335" s="1" t="s">
        <v>21</v>
      </c>
      <c r="C10335" s="1" t="str">
        <f>"4차"</f>
        <v>4차</v>
      </c>
      <c r="D10335" s="1" t="str">
        <f>"9728P51144"</f>
        <v>9728P51144</v>
      </c>
      <c r="E10335" s="1" t="s">
        <v>10</v>
      </c>
      <c r="F10335" s="1" t="str">
        <f>"10.10.91.50"</f>
        <v>10.10.91.50</v>
      </c>
      <c r="G10335" s="1" t="str">
        <f>"9728P511"</f>
        <v>9728P511</v>
      </c>
      <c r="H10335" s="1" t="str">
        <f>"응암간 37R4L7"</f>
        <v>응암간 37R4L7</v>
      </c>
      <c r="I10335" s="1" t="s">
        <v>8</v>
      </c>
      <c r="J10335" s="1" t="str">
        <f>"50/50"</f>
        <v>50/50</v>
      </c>
      <c r="K10335" s="1" t="str">
        <f>"2026-07-29 13:18:11"</f>
        <v>2026-07-29 13:18:11</v>
      </c>
      <c r="L10335" s="1" t="str">
        <f>"2019-12-11 18:26:36"</f>
        <v>2019-12-11 18:26:36</v>
      </c>
      <c r="M10335" s="1" t="s">
        <v>1</v>
      </c>
      <c r="N10335" s="1" t="s">
        <v>38</v>
      </c>
      <c r="O10335" s="1" t="s">
        <v>46</v>
      </c>
    </row>
    <row r="10336" spans="2:15" x14ac:dyDescent="0.3">
      <c r="B10336" s="1" t="s">
        <v>21</v>
      </c>
      <c r="C10336" s="1" t="str">
        <f>"4차"</f>
        <v>4차</v>
      </c>
      <c r="D10336" s="1" t="str">
        <f>"9728P52144"</f>
        <v>9728P52144</v>
      </c>
      <c r="E10336" s="1" t="s">
        <v>10</v>
      </c>
      <c r="F10336" s="1" t="str">
        <f>"10.10.90.50"</f>
        <v>10.10.90.50</v>
      </c>
      <c r="G10336" s="1" t="str">
        <f>"9728P521"</f>
        <v>9728P521</v>
      </c>
      <c r="H10336" s="1" t="str">
        <f>"응암간 37R4L5"</f>
        <v>응암간 37R4L5</v>
      </c>
      <c r="I10336" s="1" t="s">
        <v>8</v>
      </c>
      <c r="J10336" s="1" t="str">
        <f>"61/61"</f>
        <v>61/61</v>
      </c>
      <c r="K10336" s="1" t="str">
        <f>"2026-07-29 13:18:11"</f>
        <v>2026-07-29 13:18:11</v>
      </c>
      <c r="L10336" s="1" t="str">
        <f>"2019-12-11 18:27:00"</f>
        <v>2019-12-11 18:27:00</v>
      </c>
      <c r="M10336" s="1" t="s">
        <v>1</v>
      </c>
      <c r="N10336" s="1" t="s">
        <v>38</v>
      </c>
      <c r="O10336" s="1" t="s">
        <v>46</v>
      </c>
    </row>
    <row r="10337" spans="2:15" x14ac:dyDescent="0.3">
      <c r="B10337" s="1" t="s">
        <v>21</v>
      </c>
      <c r="C10337" s="1" t="str">
        <f>"5-1차"</f>
        <v>5-1차</v>
      </c>
      <c r="D10337" s="1" t="str">
        <f>"9728P5835S"</f>
        <v>9728P5835S</v>
      </c>
      <c r="E10337" s="1" t="s">
        <v>10</v>
      </c>
      <c r="F10337" s="1" t="str">
        <f>"fde3:102:1303:802:0:0:0:4"</f>
        <v>fde3:102:1303:802:0:0:0:4</v>
      </c>
      <c r="G10337" s="1" t="str">
        <f>"9728P583"</f>
        <v>9728P583</v>
      </c>
      <c r="H10337" s="1" t="str">
        <f>"응암간 27L6"</f>
        <v>응암간 27L6</v>
      </c>
      <c r="I10337" s="1" t="s">
        <v>15</v>
      </c>
      <c r="J10337" s="1" t="str">
        <f>"60/60"</f>
        <v>60/60</v>
      </c>
      <c r="K10337" s="1" t="str">
        <f>"2026-07-29 14:21:07"</f>
        <v>2026-07-29 14:21:07</v>
      </c>
      <c r="L10337" s="1" t="str">
        <f>"2022-11-21 11:13:02"</f>
        <v>2022-11-21 11:13:02</v>
      </c>
      <c r="M10337" s="1" t="s">
        <v>45</v>
      </c>
      <c r="N10337" s="1" t="s">
        <v>38</v>
      </c>
      <c r="O10337" s="1" t="s">
        <v>46</v>
      </c>
    </row>
    <row r="10338" spans="2:15" x14ac:dyDescent="0.3">
      <c r="B10338" s="1" t="s">
        <v>21</v>
      </c>
      <c r="C10338" s="1" t="str">
        <f>"5-1차"</f>
        <v>5-1차</v>
      </c>
      <c r="D10338" s="1" t="str">
        <f>"9728P5915S"</f>
        <v>9728P5915S</v>
      </c>
      <c r="E10338" s="1" t="s">
        <v>10</v>
      </c>
      <c r="F10338" s="1" t="str">
        <f>"fde3:102:1303:802:0:0:0:5"</f>
        <v>fde3:102:1303:802:0:0:0:5</v>
      </c>
      <c r="G10338" s="1" t="str">
        <f>"9728P591"</f>
        <v>9728P591</v>
      </c>
      <c r="H10338" s="1" t="str">
        <f>"응암간 27L5"</f>
        <v>응암간 27L5</v>
      </c>
      <c r="I10338" s="1" t="s">
        <v>15</v>
      </c>
      <c r="J10338" s="1" t="str">
        <f>"52/52"</f>
        <v>52/52</v>
      </c>
      <c r="K10338" s="1" t="str">
        <f>"2026-07-29 14:21:38"</f>
        <v>2026-07-29 14:21:38</v>
      </c>
      <c r="L10338" s="1" t="str">
        <f>"2022-11-21 11:19:51"</f>
        <v>2022-11-21 11:19:51</v>
      </c>
      <c r="M10338" s="1" t="s">
        <v>45</v>
      </c>
      <c r="N10338" s="1" t="s">
        <v>38</v>
      </c>
      <c r="O10338" s="1" t="s">
        <v>46</v>
      </c>
    </row>
    <row r="10339" spans="2:15" x14ac:dyDescent="0.3">
      <c r="B10339" s="1" t="s">
        <v>21</v>
      </c>
      <c r="C10339" s="1" t="str">
        <f>"4차"</f>
        <v>4차</v>
      </c>
      <c r="D10339" s="1" t="str">
        <f>"9728P60144"</f>
        <v>9728P60144</v>
      </c>
      <c r="E10339" s="1" t="s">
        <v>10</v>
      </c>
      <c r="F10339" s="1" t="str">
        <f>"10.10.105.66"</f>
        <v>10.10.105.66</v>
      </c>
      <c r="G10339" s="1" t="str">
        <f>"9728P601"</f>
        <v>9728P601</v>
      </c>
      <c r="H10339" s="1" t="str">
        <f>"응암간 37R15L7"</f>
        <v>응암간 37R15L7</v>
      </c>
      <c r="I10339" s="1" t="s">
        <v>8</v>
      </c>
      <c r="J10339" s="1" t="str">
        <f>"74/77"</f>
        <v>74/77</v>
      </c>
      <c r="K10339" s="1" t="str">
        <f>"2026-07-29 13:18:12"</f>
        <v>2026-07-29 13:18:12</v>
      </c>
      <c r="L10339" s="1" t="str">
        <f>"2019-12-11 18:19:18"</f>
        <v>2019-12-11 18:19:18</v>
      </c>
      <c r="M10339" s="1" t="s">
        <v>1</v>
      </c>
      <c r="N10339" s="1" t="s">
        <v>38</v>
      </c>
      <c r="O10339" s="1" t="s">
        <v>46</v>
      </c>
    </row>
    <row r="10340" spans="2:15" x14ac:dyDescent="0.3">
      <c r="B10340" s="1" t="s">
        <v>21</v>
      </c>
      <c r="C10340" s="1" t="str">
        <f>"4차"</f>
        <v>4차</v>
      </c>
      <c r="D10340" s="1" t="str">
        <f>"9728P60244"</f>
        <v>9728P60244</v>
      </c>
      <c r="E10340" s="1" t="s">
        <v>10</v>
      </c>
      <c r="F10340" s="1" t="str">
        <f>"10.10.90.34"</f>
        <v>10.10.90.34</v>
      </c>
      <c r="G10340" s="1" t="str">
        <f>"9728P602"</f>
        <v>9728P602</v>
      </c>
      <c r="H10340" s="1" t="str">
        <f>"응암간 37R15L8"</f>
        <v>응암간 37R15L8</v>
      </c>
      <c r="I10340" s="1" t="s">
        <v>8</v>
      </c>
      <c r="J10340" s="1" t="str">
        <f>"17/17"</f>
        <v>17/17</v>
      </c>
      <c r="K10340" s="1" t="str">
        <f>"2026-07-29 13:18:11"</f>
        <v>2026-07-29 13:18:11</v>
      </c>
      <c r="L10340" s="1" t="str">
        <f>"2019-12-11 18:25:25"</f>
        <v>2019-12-11 18:25:25</v>
      </c>
      <c r="M10340" s="1" t="s">
        <v>1</v>
      </c>
      <c r="N10340" s="1" t="s">
        <v>38</v>
      </c>
      <c r="O10340" s="1" t="s">
        <v>46</v>
      </c>
    </row>
    <row r="10341" spans="2:15" x14ac:dyDescent="0.3">
      <c r="B10341" s="1" t="s">
        <v>21</v>
      </c>
      <c r="C10341" s="1" t="str">
        <f>"4차"</f>
        <v>4차</v>
      </c>
      <c r="D10341" s="1" t="str">
        <f>"9728P62144"</f>
        <v>9728P62144</v>
      </c>
      <c r="E10341" s="1" t="s">
        <v>10</v>
      </c>
      <c r="F10341" s="1" t="str">
        <f>"10.10.91.42"</f>
        <v>10.10.91.42</v>
      </c>
      <c r="G10341" s="1" t="str">
        <f>"9728P621"</f>
        <v>9728P621</v>
      </c>
      <c r="H10341" s="1" t="str">
        <f>"응암간 37R4L6"</f>
        <v>응암간 37R4L6</v>
      </c>
      <c r="I10341" s="1" t="s">
        <v>8</v>
      </c>
      <c r="J10341" s="1" t="str">
        <f>"40/40"</f>
        <v>40/40</v>
      </c>
      <c r="K10341" s="1" t="str">
        <f>"2026-07-29 13:18:11"</f>
        <v>2026-07-29 13:18:11</v>
      </c>
      <c r="L10341" s="1" t="str">
        <f>"2019-12-11 18:22:33"</f>
        <v>2019-12-11 18:22:33</v>
      </c>
      <c r="M10341" s="1" t="s">
        <v>1</v>
      </c>
      <c r="N10341" s="1" t="s">
        <v>38</v>
      </c>
      <c r="O10341" s="1" t="s">
        <v>46</v>
      </c>
    </row>
    <row r="10342" spans="2:15" x14ac:dyDescent="0.3">
      <c r="B10342" s="1" t="s">
        <v>21</v>
      </c>
      <c r="C10342" s="1" t="str">
        <f>"5-2차"</f>
        <v>5-2차</v>
      </c>
      <c r="D10342" s="1" t="str">
        <f>"9728P6315M"</f>
        <v>9728P6315M</v>
      </c>
      <c r="E10342" s="1" t="s">
        <v>10</v>
      </c>
      <c r="F10342" s="1" t="str">
        <f>"fde3:102:1303:907:0:0:0:2"</f>
        <v>fde3:102:1303:907:0:0:0:2</v>
      </c>
      <c r="G10342" s="1" t="str">
        <f>"9728P631"</f>
        <v>9728P631</v>
      </c>
      <c r="H10342" s="1" t="str">
        <f>"응암간 37R1L8"</f>
        <v>응암간 37R1L8</v>
      </c>
      <c r="I10342" s="1" t="s">
        <v>15</v>
      </c>
      <c r="J10342" s="1" t="str">
        <f>"42/46"</f>
        <v>42/46</v>
      </c>
      <c r="K10342" s="1" t="str">
        <f>"2026-07-29 14:21:37"</f>
        <v>2026-07-29 14:21:37</v>
      </c>
      <c r="L10342" s="1" t="str">
        <f>"2023-09-18 09:59:04"</f>
        <v>2023-09-18 09:59:04</v>
      </c>
      <c r="M10342" s="1" t="s">
        <v>45</v>
      </c>
      <c r="N10342" s="1" t="s">
        <v>38</v>
      </c>
      <c r="O10342" s="1" t="s">
        <v>46</v>
      </c>
    </row>
    <row r="10343" spans="2:15" x14ac:dyDescent="0.3">
      <c r="B10343" s="1" t="s">
        <v>21</v>
      </c>
      <c r="C10343" s="1" t="str">
        <f>"5-1차"</f>
        <v>5-1차</v>
      </c>
      <c r="D10343" s="1" t="str">
        <f>"9728P6615S"</f>
        <v>9728P6615S</v>
      </c>
      <c r="E10343" s="1" t="s">
        <v>10</v>
      </c>
      <c r="F10343" s="1" t="str">
        <f>"fde2:104:0:f1:0:0:0:2"</f>
        <v>fde2:104:0:f1:0:0:0:2</v>
      </c>
      <c r="G10343" s="1" t="str">
        <f>"9728P661"</f>
        <v>9728P661</v>
      </c>
      <c r="H10343" s="1" t="str">
        <f>"응암간 41L2"</f>
        <v>응암간 41L2</v>
      </c>
      <c r="I10343" s="1" t="s">
        <v>15</v>
      </c>
      <c r="J10343" s="1" t="str">
        <f>"45/45"</f>
        <v>45/45</v>
      </c>
      <c r="K10343" s="1" t="str">
        <f>"2026-07-29 14:21:43"</f>
        <v>2026-07-29 14:21:43</v>
      </c>
      <c r="L10343" s="1" t="str">
        <f>"2022-09-28 08:45:47"</f>
        <v>2022-09-28 08:45:47</v>
      </c>
      <c r="M10343" s="1" t="s">
        <v>42</v>
      </c>
      <c r="N10343" s="1" t="s">
        <v>38</v>
      </c>
      <c r="O10343" s="1" t="s">
        <v>46</v>
      </c>
    </row>
    <row r="10344" spans="2:15" x14ac:dyDescent="0.3">
      <c r="B10344" s="1" t="s">
        <v>21</v>
      </c>
      <c r="C10344" s="1" t="str">
        <f>"5-1차"</f>
        <v>5-1차</v>
      </c>
      <c r="D10344" s="1" t="str">
        <f>"9728P6925S"</f>
        <v>9728P6925S</v>
      </c>
      <c r="E10344" s="1" t="s">
        <v>10</v>
      </c>
      <c r="F10344" s="1" t="str">
        <f>"fde3:102:1303:802:0:0:0:6"</f>
        <v>fde3:102:1303:802:0:0:0:6</v>
      </c>
      <c r="G10344" s="1" t="str">
        <f>"9728P692"</f>
        <v>9728P692</v>
      </c>
      <c r="H10344" s="1" t="str">
        <f>"응암간 41L6L3"</f>
        <v>응암간 41L6L3</v>
      </c>
      <c r="I10344" s="1" t="s">
        <v>15</v>
      </c>
      <c r="J10344" s="1" t="str">
        <f>"37/37"</f>
        <v>37/37</v>
      </c>
      <c r="K10344" s="1" t="str">
        <f>"2026-07-29 14:21:39"</f>
        <v>2026-07-29 14:21:39</v>
      </c>
      <c r="L10344" s="1" t="str">
        <f>"2022-12-15 10:22:38"</f>
        <v>2022-12-15 10:22:38</v>
      </c>
      <c r="M10344" s="1" t="s">
        <v>45</v>
      </c>
      <c r="N10344" s="1" t="s">
        <v>38</v>
      </c>
      <c r="O10344" s="1" t="s">
        <v>46</v>
      </c>
    </row>
    <row r="10345" spans="2:15" x14ac:dyDescent="0.3">
      <c r="B10345" s="1" t="s">
        <v>21</v>
      </c>
      <c r="C10345" s="1" t="str">
        <f>"5-2차"</f>
        <v>5-2차</v>
      </c>
      <c r="D10345" s="1" t="str">
        <f>"9728P6935S"</f>
        <v>9728P6935S</v>
      </c>
      <c r="E10345" s="1" t="s">
        <v>10</v>
      </c>
      <c r="F10345" s="1" t="str">
        <f>"fde3:102:1303:802:0:0:0:a"</f>
        <v>fde3:102:1303:802:0:0:0:a</v>
      </c>
      <c r="G10345" s="1" t="str">
        <f>"9728P693"</f>
        <v>9728P693</v>
      </c>
      <c r="H10345" s="1" t="str">
        <f>"응암간 41L6L5"</f>
        <v>응암간 41L6L5</v>
      </c>
      <c r="I10345" s="1" t="s">
        <v>15</v>
      </c>
      <c r="J10345" s="1" t="str">
        <f>"63/63"</f>
        <v>63/63</v>
      </c>
      <c r="K10345" s="1" t="str">
        <f>"2026-07-29 14:21:37"</f>
        <v>2026-07-29 14:21:37</v>
      </c>
      <c r="L10345" s="1" t="str">
        <f>"2023-07-04 12:14:03"</f>
        <v>2023-07-04 12:14:03</v>
      </c>
      <c r="M10345" s="1" t="s">
        <v>45</v>
      </c>
      <c r="N10345" s="1" t="s">
        <v>38</v>
      </c>
      <c r="O10345" s="1" t="s">
        <v>46</v>
      </c>
    </row>
    <row r="10346" spans="2:15" x14ac:dyDescent="0.3">
      <c r="B10346" s="1" t="s">
        <v>21</v>
      </c>
      <c r="C10346" s="1" t="str">
        <f>"5-2차"</f>
        <v>5-2차</v>
      </c>
      <c r="D10346" s="1" t="str">
        <f>"9728P7035M"</f>
        <v>9728P7035M</v>
      </c>
      <c r="E10346" s="1" t="s">
        <v>10</v>
      </c>
      <c r="F10346" s="1" t="str">
        <f>"fde1:103:4:6e1b:0:0:0:2"</f>
        <v>fde1:103:4:6e1b:0:0:0:2</v>
      </c>
      <c r="G10346" s="1" t="str">
        <f>"9728P703"</f>
        <v>9728P703</v>
      </c>
      <c r="H10346" s="1" t="str">
        <f>"응암간 37R15L10"</f>
        <v>응암간 37R15L10</v>
      </c>
      <c r="I10346" s="1" t="s">
        <v>15</v>
      </c>
      <c r="J10346" s="1" t="str">
        <f>"109/109"</f>
        <v>109/109</v>
      </c>
      <c r="K10346" s="1" t="str">
        <f>"2026-07-29 14:21:18"</f>
        <v>2026-07-29 14:21:18</v>
      </c>
      <c r="L10346" s="1" t="str">
        <f>"2023-11-15 11:22:38"</f>
        <v>2023-11-15 11:22:38</v>
      </c>
      <c r="M10346" s="1" t="s">
        <v>4</v>
      </c>
      <c r="N10346" s="1" t="s">
        <v>38</v>
      </c>
      <c r="O10346" s="1" t="s">
        <v>46</v>
      </c>
    </row>
    <row r="10347" spans="2:15" x14ac:dyDescent="0.3">
      <c r="B10347" s="1" t="s">
        <v>21</v>
      </c>
      <c r="C10347" s="1" t="str">
        <f>"5-1차"</f>
        <v>5-1차</v>
      </c>
      <c r="D10347" s="1" t="str">
        <f>"9728P7615M"</f>
        <v>9728P7615M</v>
      </c>
      <c r="E10347" s="1" t="s">
        <v>10</v>
      </c>
      <c r="F10347" s="1" t="str">
        <f>"fde3:102:1303:802:0:0:0:7"</f>
        <v>fde3:102:1303:802:0:0:0:7</v>
      </c>
      <c r="G10347" s="1" t="str">
        <f>"9728P761"</f>
        <v>9728P761</v>
      </c>
      <c r="H10347" s="1" t="str">
        <f>"응암간 41L3"</f>
        <v>응암간 41L3</v>
      </c>
      <c r="I10347" s="1" t="s">
        <v>15</v>
      </c>
      <c r="J10347" s="1" t="str">
        <f>"48/48"</f>
        <v>48/48</v>
      </c>
      <c r="K10347" s="1" t="str">
        <f>"2026-07-29 14:21:07"</f>
        <v>2026-07-29 14:21:07</v>
      </c>
      <c r="L10347" s="1" t="str">
        <f>"2022-12-01 08:44:08"</f>
        <v>2022-12-01 08:44:08</v>
      </c>
      <c r="M10347" s="1" t="s">
        <v>45</v>
      </c>
      <c r="N10347" s="1" t="s">
        <v>38</v>
      </c>
      <c r="O10347" s="1" t="s">
        <v>46</v>
      </c>
    </row>
    <row r="10348" spans="2:15" x14ac:dyDescent="0.3">
      <c r="B10348" s="1" t="s">
        <v>21</v>
      </c>
      <c r="C10348" s="1" t="str">
        <f>"5-1차"</f>
        <v>5-1차</v>
      </c>
      <c r="D10348" s="1" t="str">
        <f>"9728P7715S"</f>
        <v>9728P7715S</v>
      </c>
      <c r="E10348" s="1" t="s">
        <v>10</v>
      </c>
      <c r="F10348" s="1" t="str">
        <f>"fde3:102:1303:803:0:0:0:7"</f>
        <v>fde3:102:1303:803:0:0:0:7</v>
      </c>
      <c r="G10348" s="1" t="str">
        <f>"9728P771"</f>
        <v>9728P771</v>
      </c>
      <c r="H10348" s="1" t="str">
        <f>"응암간 41L4"</f>
        <v>응암간 41L4</v>
      </c>
      <c r="I10348" s="1" t="s">
        <v>15</v>
      </c>
      <c r="J10348" s="1" t="str">
        <f>"13/13"</f>
        <v>13/13</v>
      </c>
      <c r="K10348" s="1" t="str">
        <f>"2026-07-29 14:21:38"</f>
        <v>2026-07-29 14:21:38</v>
      </c>
      <c r="L10348" s="1" t="str">
        <f>"2022-12-15 10:15:03"</f>
        <v>2022-12-15 10:15:03</v>
      </c>
      <c r="M10348" s="1" t="s">
        <v>45</v>
      </c>
      <c r="N10348" s="1" t="s">
        <v>38</v>
      </c>
      <c r="O10348" s="1" t="s">
        <v>46</v>
      </c>
    </row>
    <row r="10349" spans="2:15" x14ac:dyDescent="0.3">
      <c r="B10349" s="1" t="s">
        <v>21</v>
      </c>
      <c r="C10349" s="1" t="str">
        <f>"5-1차"</f>
        <v>5-1차</v>
      </c>
      <c r="D10349" s="1" t="str">
        <f>"9728P7815S"</f>
        <v>9728P7815S</v>
      </c>
      <c r="E10349" s="1" t="s">
        <v>10</v>
      </c>
      <c r="F10349" s="1" t="str">
        <f>"fde3:102:1303:802:0:0:0:8"</f>
        <v>fde3:102:1303:802:0:0:0:8</v>
      </c>
      <c r="G10349" s="1" t="str">
        <f>"9728P781"</f>
        <v>9728P781</v>
      </c>
      <c r="H10349" s="1" t="str">
        <f>"응암간 41L5"</f>
        <v>응암간 41L5</v>
      </c>
      <c r="I10349" s="1" t="s">
        <v>15</v>
      </c>
      <c r="J10349" s="1" t="str">
        <f>"59/59"</f>
        <v>59/59</v>
      </c>
      <c r="K10349" s="1" t="str">
        <f>"2026-07-29 14:21:38"</f>
        <v>2026-07-29 14:21:38</v>
      </c>
      <c r="L10349" s="1" t="str">
        <f>"2022-11-30 16:08:17"</f>
        <v>2022-11-30 16:08:17</v>
      </c>
      <c r="M10349" s="1" t="s">
        <v>45</v>
      </c>
      <c r="N10349" s="1" t="s">
        <v>38</v>
      </c>
      <c r="O10349" s="1" t="s">
        <v>46</v>
      </c>
    </row>
    <row r="10350" spans="2:15" x14ac:dyDescent="0.3">
      <c r="B10350" s="1" t="s">
        <v>21</v>
      </c>
      <c r="C10350" s="1" t="str">
        <f t="shared" ref="C10350:C10356" si="521">"5-2차"</f>
        <v>5-2차</v>
      </c>
      <c r="D10350" s="1" t="str">
        <f>"9728P8715S"</f>
        <v>9728P8715S</v>
      </c>
      <c r="E10350" s="1" t="s">
        <v>10</v>
      </c>
      <c r="F10350" s="1" t="str">
        <f>"fde3:102:1303:904:0:0:0:10"</f>
        <v>fde3:102:1303:904:0:0:0:10</v>
      </c>
      <c r="G10350" s="1" t="str">
        <f>"9728P871"</f>
        <v>9728P871</v>
      </c>
      <c r="H10350" s="1" t="str">
        <f>"현대지 4L4L1"</f>
        <v>현대지 4L4L1</v>
      </c>
      <c r="I10350" s="1" t="s">
        <v>15</v>
      </c>
      <c r="J10350" s="1" t="str">
        <f>"41/41"</f>
        <v>41/41</v>
      </c>
      <c r="K10350" s="1" t="str">
        <f>"2026-07-29 14:21:38"</f>
        <v>2026-07-29 14:21:38</v>
      </c>
      <c r="L10350" s="1" t="str">
        <f>"2024-02-16 14:04:06"</f>
        <v>2024-02-16 14:04:06</v>
      </c>
      <c r="M10350" s="1" t="s">
        <v>45</v>
      </c>
      <c r="N10350" s="1" t="s">
        <v>38</v>
      </c>
      <c r="O10350" s="1" t="s">
        <v>46</v>
      </c>
    </row>
    <row r="10351" spans="2:15" x14ac:dyDescent="0.3">
      <c r="B10351" s="1" t="s">
        <v>21</v>
      </c>
      <c r="C10351" s="1" t="str">
        <f t="shared" si="521"/>
        <v>5-2차</v>
      </c>
      <c r="D10351" s="1" t="str">
        <f>"9728P8915M"</f>
        <v>9728P8915M</v>
      </c>
      <c r="E10351" s="1" t="s">
        <v>10</v>
      </c>
      <c r="F10351" s="1" t="str">
        <f>"fde3:102:1303:802:0:0:0:9"</f>
        <v>fde3:102:1303:802:0:0:0:9</v>
      </c>
      <c r="G10351" s="1" t="str">
        <f>"9728P891"</f>
        <v>9728P891</v>
      </c>
      <c r="H10351" s="1" t="str">
        <f>"응암간 41L6"</f>
        <v>응암간 41L6</v>
      </c>
      <c r="I10351" s="1" t="s">
        <v>15</v>
      </c>
      <c r="J10351" s="1" t="str">
        <f>"177/177"</f>
        <v>177/177</v>
      </c>
      <c r="K10351" s="1" t="str">
        <f>"2026-07-29 14:21:38"</f>
        <v>2026-07-29 14:21:38</v>
      </c>
      <c r="L10351" s="1" t="str">
        <f>"2023-06-13 18:32:46"</f>
        <v>2023-06-13 18:32:46</v>
      </c>
      <c r="M10351" s="1" t="s">
        <v>45</v>
      </c>
      <c r="N10351" s="1" t="s">
        <v>38</v>
      </c>
      <c r="O10351" s="1" t="s">
        <v>46</v>
      </c>
    </row>
    <row r="10352" spans="2:15" x14ac:dyDescent="0.3">
      <c r="B10352" s="1" t="s">
        <v>21</v>
      </c>
      <c r="C10352" s="1" t="str">
        <f t="shared" si="521"/>
        <v>5-2차</v>
      </c>
      <c r="D10352" s="1" t="str">
        <f>"9728P8925M"</f>
        <v>9728P8925M</v>
      </c>
      <c r="E10352" s="1" t="s">
        <v>10</v>
      </c>
      <c r="F10352" s="1" t="str">
        <f>"fde1:103:4:93f6:0:0:0:2"</f>
        <v>fde1:103:4:93f6:0:0:0:2</v>
      </c>
      <c r="G10352" s="1" t="str">
        <f>"9728P892"</f>
        <v>9728P892</v>
      </c>
      <c r="H10352" s="1" t="str">
        <f>"응암간 41L7"</f>
        <v>응암간 41L7</v>
      </c>
      <c r="I10352" s="1" t="s">
        <v>15</v>
      </c>
      <c r="J10352" s="1" t="str">
        <f>"104/104"</f>
        <v>104/104</v>
      </c>
      <c r="K10352" s="1" t="str">
        <f>"2026-07-29 14:21:03"</f>
        <v>2026-07-29 14:21:03</v>
      </c>
      <c r="L10352" s="1" t="str">
        <f>"2023-12-18 13:11:21"</f>
        <v>2023-12-18 13:11:21</v>
      </c>
      <c r="M10352" s="1" t="s">
        <v>4</v>
      </c>
      <c r="N10352" s="1" t="s">
        <v>38</v>
      </c>
      <c r="O10352" s="1" t="s">
        <v>46</v>
      </c>
    </row>
    <row r="10353" spans="2:15" x14ac:dyDescent="0.3">
      <c r="B10353" s="1" t="s">
        <v>21</v>
      </c>
      <c r="C10353" s="1" t="str">
        <f t="shared" si="521"/>
        <v>5-2차</v>
      </c>
      <c r="D10353" s="1" t="str">
        <f>"9728P9145M"</f>
        <v>9728P9145M</v>
      </c>
      <c r="E10353" s="1" t="s">
        <v>10</v>
      </c>
      <c r="F10353" s="1" t="str">
        <f>"fde1:103:4:943e:0:0:0:2"</f>
        <v>fde1:103:4:943e:0:0:0:2</v>
      </c>
      <c r="G10353" s="1" t="str">
        <f>"9728P914"</f>
        <v>9728P914</v>
      </c>
      <c r="H10353" s="1" t="str">
        <f>"응암간 48L1R1"</f>
        <v>응암간 48L1R1</v>
      </c>
      <c r="I10353" s="1" t="s">
        <v>15</v>
      </c>
      <c r="J10353" s="1" t="str">
        <f>"51/51"</f>
        <v>51/51</v>
      </c>
      <c r="K10353" s="1" t="str">
        <f>"2026-07-29 14:21:39"</f>
        <v>2026-07-29 14:21:39</v>
      </c>
      <c r="L10353" s="1" t="str">
        <f>"2023-12-18 13:11:51"</f>
        <v>2023-12-18 13:11:51</v>
      </c>
      <c r="M10353" s="1" t="s">
        <v>4</v>
      </c>
      <c r="N10353" s="1" t="s">
        <v>38</v>
      </c>
      <c r="O10353" s="1" t="s">
        <v>46</v>
      </c>
    </row>
    <row r="10354" spans="2:15" x14ac:dyDescent="0.3">
      <c r="B10354" s="1" t="s">
        <v>21</v>
      </c>
      <c r="C10354" s="1" t="str">
        <f t="shared" si="521"/>
        <v>5-2차</v>
      </c>
      <c r="D10354" s="1" t="str">
        <f>"9728P9235M"</f>
        <v>9728P9235M</v>
      </c>
      <c r="E10354" s="1" t="s">
        <v>10</v>
      </c>
      <c r="F10354" s="1" t="str">
        <f>"fde3:102:1303:902:0:0:0:3"</f>
        <v>fde3:102:1303:902:0:0:0:3</v>
      </c>
      <c r="G10354" s="1" t="str">
        <f>"9728P923"</f>
        <v>9728P923</v>
      </c>
      <c r="H10354" s="1" t="str">
        <f>"현대지 2R1"</f>
        <v>현대지 2R1</v>
      </c>
      <c r="I10354" s="1" t="s">
        <v>15</v>
      </c>
      <c r="J10354" s="1" t="str">
        <f>"94/94"</f>
        <v>94/94</v>
      </c>
      <c r="K10354" s="1" t="str">
        <f>"2026-07-29 14:21:38"</f>
        <v>2026-07-29 14:21:38</v>
      </c>
      <c r="L10354" s="1" t="str">
        <f>"2023-06-20 16:30:02"</f>
        <v>2023-06-20 16:30:02</v>
      </c>
      <c r="M10354" s="1" t="s">
        <v>45</v>
      </c>
      <c r="N10354" s="1" t="s">
        <v>38</v>
      </c>
      <c r="O10354" s="1" t="s">
        <v>46</v>
      </c>
    </row>
    <row r="10355" spans="2:15" x14ac:dyDescent="0.3">
      <c r="B10355" s="1" t="s">
        <v>21</v>
      </c>
      <c r="C10355" s="1" t="str">
        <f t="shared" si="521"/>
        <v>5-2차</v>
      </c>
      <c r="D10355" s="1" t="str">
        <f>"9728P9325S"</f>
        <v>9728P9325S</v>
      </c>
      <c r="E10355" s="1" t="s">
        <v>10</v>
      </c>
      <c r="F10355" s="1" t="str">
        <f>"fde3:102:1303:902:0:0:0:2"</f>
        <v>fde3:102:1303:902:0:0:0:2</v>
      </c>
      <c r="G10355" s="1" t="str">
        <f>"9728P932"</f>
        <v>9728P932</v>
      </c>
      <c r="H10355" s="1" t="str">
        <f>"응암간 43L5"</f>
        <v>응암간 43L5</v>
      </c>
      <c r="I10355" s="1" t="s">
        <v>15</v>
      </c>
      <c r="J10355" s="1" t="str">
        <f>"42/44"</f>
        <v>42/44</v>
      </c>
      <c r="K10355" s="1" t="str">
        <f>"2026-07-29 14:21:38"</f>
        <v>2026-07-29 14:21:38</v>
      </c>
      <c r="L10355" s="1" t="str">
        <f>"2023-07-16 16:14:50"</f>
        <v>2023-07-16 16:14:50</v>
      </c>
      <c r="M10355" s="1" t="s">
        <v>45</v>
      </c>
      <c r="N10355" s="1" t="s">
        <v>38</v>
      </c>
      <c r="O10355" s="1" t="s">
        <v>46</v>
      </c>
    </row>
    <row r="10356" spans="2:15" x14ac:dyDescent="0.3">
      <c r="B10356" s="1" t="s">
        <v>21</v>
      </c>
      <c r="C10356" s="1" t="str">
        <f t="shared" si="521"/>
        <v>5-2차</v>
      </c>
      <c r="D10356" s="1" t="str">
        <f>"9728P9715M"</f>
        <v>9728P9715M</v>
      </c>
      <c r="E10356" s="1" t="s">
        <v>10</v>
      </c>
      <c r="F10356" s="1" t="str">
        <f>"fde3:102:1303:905:0:0:0:7"</f>
        <v>fde3:102:1303:905:0:0:0:7</v>
      </c>
      <c r="G10356" s="1" t="str">
        <f>"9728P971"</f>
        <v>9728P971</v>
      </c>
      <c r="H10356" s="1" t="str">
        <f>"현대지 4L4"</f>
        <v>현대지 4L4</v>
      </c>
      <c r="I10356" s="1" t="s">
        <v>15</v>
      </c>
      <c r="J10356" s="1" t="str">
        <f>"41/41"</f>
        <v>41/41</v>
      </c>
      <c r="K10356" s="1" t="str">
        <f>"2026-07-29 14:21:38"</f>
        <v>2026-07-29 14:21:38</v>
      </c>
      <c r="L10356" s="1" t="str">
        <f>"2023-06-13 18:33:28"</f>
        <v>2023-06-13 18:33:28</v>
      </c>
      <c r="M10356" s="1" t="s">
        <v>45</v>
      </c>
      <c r="N10356" s="1" t="s">
        <v>38</v>
      </c>
      <c r="O10356" s="1" t="s">
        <v>46</v>
      </c>
    </row>
    <row r="10357" spans="2:15" x14ac:dyDescent="0.3">
      <c r="B10357" s="1" t="s">
        <v>21</v>
      </c>
      <c r="C10357" s="1" t="str">
        <f>"5-1차"</f>
        <v>5-1차</v>
      </c>
      <c r="D10357" s="1" t="str">
        <f>"9728P9915S"</f>
        <v>9728P9915S</v>
      </c>
      <c r="E10357" s="1" t="s">
        <v>10</v>
      </c>
      <c r="F10357" s="1" t="str">
        <f>"fde2:104:0:e4:0:0:0:2"</f>
        <v>fde2:104:0:e4:0:0:0:2</v>
      </c>
      <c r="G10357" s="1" t="str">
        <f>"9728P991"</f>
        <v>9728P991</v>
      </c>
      <c r="H10357" s="1" t="str">
        <f>"녹번간 6L10R5"</f>
        <v>녹번간 6L10R5</v>
      </c>
      <c r="I10357" s="1" t="s">
        <v>15</v>
      </c>
      <c r="J10357" s="1" t="str">
        <f>"25/25"</f>
        <v>25/25</v>
      </c>
      <c r="K10357" s="1" t="str">
        <f>"2026-07-29 14:21:41"</f>
        <v>2026-07-29 14:21:41</v>
      </c>
      <c r="L10357" s="1" t="str">
        <f>"2022-09-16 15:09:07"</f>
        <v>2022-09-16 15:09:07</v>
      </c>
      <c r="M10357" s="1" t="s">
        <v>42</v>
      </c>
      <c r="N10357" s="1" t="s">
        <v>38</v>
      </c>
      <c r="O10357" s="1" t="s">
        <v>46</v>
      </c>
    </row>
    <row r="10358" spans="2:15" x14ac:dyDescent="0.3">
      <c r="B10358" s="1" t="s">
        <v>21</v>
      </c>
      <c r="C10358" s="1" t="str">
        <f>"1차"</f>
        <v>1차</v>
      </c>
      <c r="D10358" s="1" t="str">
        <f>"9728Q01200"</f>
        <v>9728Q01200</v>
      </c>
      <c r="E10358" s="1" t="s">
        <v>10</v>
      </c>
      <c r="F10358" s="1" t="str">
        <f>"10.128.66.26"</f>
        <v>10.128.66.26</v>
      </c>
      <c r="G10358" s="1" t="str">
        <f>"9728Q012"</f>
        <v>9728Q012</v>
      </c>
      <c r="H10358" s="1" t="str">
        <f>"응암간 48L3"</f>
        <v>응암간 48L3</v>
      </c>
      <c r="I10358" s="1" t="s">
        <v>8</v>
      </c>
      <c r="J10358" s="1" t="str">
        <f>"73/74"</f>
        <v>73/74</v>
      </c>
      <c r="K10358" s="1" t="str">
        <f>"2026-07-29 13:18:11"</f>
        <v>2026-07-29 13:18:11</v>
      </c>
      <c r="L10358" s="1" t="str">
        <f>"2015-01-26 16:26:52"</f>
        <v>2015-01-26 16:26:52</v>
      </c>
      <c r="M10358" s="1" t="s">
        <v>45</v>
      </c>
      <c r="N10358" s="1" t="s">
        <v>38</v>
      </c>
      <c r="O10358" s="1" t="s">
        <v>46</v>
      </c>
    </row>
    <row r="10359" spans="2:15" x14ac:dyDescent="0.3">
      <c r="B10359" s="1" t="s">
        <v>21</v>
      </c>
      <c r="C10359" s="1" t="str">
        <f>"6차"</f>
        <v>6차</v>
      </c>
      <c r="D10359" s="1" t="str">
        <f>"9728Q0216S"</f>
        <v>9728Q0216S</v>
      </c>
      <c r="E10359" s="1" t="s">
        <v>10</v>
      </c>
      <c r="F10359" s="1" t="str">
        <f>"fde1:103:4:c745:0:0:0:2"</f>
        <v>fde1:103:4:c745:0:0:0:2</v>
      </c>
      <c r="G10359" s="1" t="str">
        <f>"9728Q021"</f>
        <v>9728Q021</v>
      </c>
      <c r="H10359" s="1" t="str">
        <f>"현대지 2R2"</f>
        <v>현대지 2R2</v>
      </c>
      <c r="I10359" s="1" t="s">
        <v>15</v>
      </c>
      <c r="J10359" s="1" t="str">
        <f>"75/75"</f>
        <v>75/75</v>
      </c>
      <c r="K10359" s="1" t="str">
        <f>"2026-07-29 14:21:39"</f>
        <v>2026-07-29 14:21:39</v>
      </c>
      <c r="L10359" s="1" t="str">
        <f>"2025-01-17 17:36:53"</f>
        <v>2025-01-17 17:36:53</v>
      </c>
      <c r="M10359" s="1" t="s">
        <v>4</v>
      </c>
      <c r="N10359" s="1" t="s">
        <v>38</v>
      </c>
      <c r="O10359" s="1" t="s">
        <v>46</v>
      </c>
    </row>
    <row r="10360" spans="2:15" x14ac:dyDescent="0.3">
      <c r="B10360" s="1" t="s">
        <v>21</v>
      </c>
      <c r="C10360" s="1" t="str">
        <f>"6차"</f>
        <v>6차</v>
      </c>
      <c r="D10360" s="1" t="str">
        <f>"9728Q0316S"</f>
        <v>9728Q0316S</v>
      </c>
      <c r="E10360" s="1" t="s">
        <v>10</v>
      </c>
      <c r="F10360" s="1" t="str">
        <f>"fde1:103:4:c78f:0:0:0:2"</f>
        <v>fde1:103:4:c78f:0:0:0:2</v>
      </c>
      <c r="G10360" s="1" t="str">
        <f>"9728Q031"</f>
        <v>9728Q031</v>
      </c>
      <c r="H10360" s="1" t="str">
        <f>"응암간 54L6L2"</f>
        <v>응암간 54L6L2</v>
      </c>
      <c r="I10360" s="1" t="s">
        <v>15</v>
      </c>
      <c r="J10360" s="1" t="str">
        <f>"29/29"</f>
        <v>29/29</v>
      </c>
      <c r="K10360" s="1" t="str">
        <f>"2026-07-29 14:21:39"</f>
        <v>2026-07-29 14:21:39</v>
      </c>
      <c r="L10360" s="1" t="str">
        <f>"2025-01-17 17:35:52"</f>
        <v>2025-01-17 17:35:52</v>
      </c>
      <c r="M10360" s="1" t="s">
        <v>4</v>
      </c>
      <c r="N10360" s="1" t="s">
        <v>38</v>
      </c>
      <c r="O10360" s="1" t="s">
        <v>46</v>
      </c>
    </row>
    <row r="10361" spans="2:15" x14ac:dyDescent="0.3">
      <c r="B10361" s="1" t="s">
        <v>21</v>
      </c>
      <c r="C10361" s="1" t="str">
        <f>"5-2차"</f>
        <v>5-2차</v>
      </c>
      <c r="D10361" s="1" t="str">
        <f>"9728Q0815S"</f>
        <v>9728Q0815S</v>
      </c>
      <c r="E10361" s="1" t="s">
        <v>10</v>
      </c>
      <c r="F10361" s="1" t="str">
        <f>"fde3:102:1303:704:0:0:0:2"</f>
        <v>fde3:102:1303:704:0:0:0:2</v>
      </c>
      <c r="G10361" s="1" t="str">
        <f>"9728Q081"</f>
        <v>9728Q081</v>
      </c>
      <c r="H10361" s="1" t="str">
        <f>"녹번간 6L11"</f>
        <v>녹번간 6L11</v>
      </c>
      <c r="I10361" s="1" t="s">
        <v>15</v>
      </c>
      <c r="J10361" s="1" t="str">
        <f>"35/35"</f>
        <v>35/35</v>
      </c>
      <c r="K10361" s="1" t="str">
        <f>"2026-07-29 14:21:38"</f>
        <v>2026-07-29 14:21:38</v>
      </c>
      <c r="L10361" s="1" t="str">
        <f>"2023-06-06 12:06:25"</f>
        <v>2023-06-06 12:06:25</v>
      </c>
      <c r="M10361" s="1" t="s">
        <v>45</v>
      </c>
      <c r="N10361" s="1" t="s">
        <v>38</v>
      </c>
      <c r="O10361" s="1" t="s">
        <v>46</v>
      </c>
    </row>
    <row r="10362" spans="2:15" x14ac:dyDescent="0.3">
      <c r="B10362" s="1" t="s">
        <v>21</v>
      </c>
      <c r="C10362" s="1" t="str">
        <f>"5-1차"</f>
        <v>5-1차</v>
      </c>
      <c r="D10362" s="1" t="str">
        <f>"9728Q0825S"</f>
        <v>9728Q0825S</v>
      </c>
      <c r="E10362" s="1" t="s">
        <v>10</v>
      </c>
      <c r="F10362" s="1" t="str">
        <f>"fde2:104:0:e7:0:0:0:2"</f>
        <v>fde2:104:0:e7:0:0:0:2</v>
      </c>
      <c r="G10362" s="1" t="str">
        <f>"9728Q082"</f>
        <v>9728Q082</v>
      </c>
      <c r="H10362" s="1" t="str">
        <f>"녹번간 6L12"</f>
        <v>녹번간 6L12</v>
      </c>
      <c r="I10362" s="1" t="s">
        <v>15</v>
      </c>
      <c r="J10362" s="1" t="str">
        <f>"32/32"</f>
        <v>32/32</v>
      </c>
      <c r="K10362" s="1" t="str">
        <f>"2026-07-29 14:21:40"</f>
        <v>2026-07-29 14:21:40</v>
      </c>
      <c r="L10362" s="1" t="str">
        <f>"2022-09-19 08:03:10"</f>
        <v>2022-09-19 08:03:10</v>
      </c>
      <c r="M10362" s="1" t="s">
        <v>42</v>
      </c>
      <c r="N10362" s="1" t="s">
        <v>38</v>
      </c>
      <c r="O10362" s="1" t="s">
        <v>46</v>
      </c>
    </row>
    <row r="10363" spans="2:15" x14ac:dyDescent="0.3">
      <c r="B10363" s="1" t="s">
        <v>21</v>
      </c>
      <c r="C10363" s="1" t="str">
        <f>"5-1차"</f>
        <v>5-1차</v>
      </c>
      <c r="D10363" s="1" t="str">
        <f>"9728Q0935M"</f>
        <v>9728Q0935M</v>
      </c>
      <c r="E10363" s="1" t="s">
        <v>10</v>
      </c>
      <c r="F10363" s="1" t="str">
        <f>"fde2:104:0:ea:0:0:0:2"</f>
        <v>fde2:104:0:ea:0:0:0:2</v>
      </c>
      <c r="G10363" s="1" t="str">
        <f>"9728Q093"</f>
        <v>9728Q093</v>
      </c>
      <c r="H10363" s="1" t="str">
        <f>"녹번간 6L10R2"</f>
        <v>녹번간 6L10R2</v>
      </c>
      <c r="I10363" s="1" t="s">
        <v>15</v>
      </c>
      <c r="J10363" s="1" t="str">
        <f>"52/52"</f>
        <v>52/52</v>
      </c>
      <c r="K10363" s="1" t="str">
        <f>"2026-07-29 14:21:40"</f>
        <v>2026-07-29 14:21:40</v>
      </c>
      <c r="L10363" s="1" t="str">
        <f>"2022-09-19 09:40:06"</f>
        <v>2022-09-19 09:40:06</v>
      </c>
      <c r="M10363" s="1" t="s">
        <v>42</v>
      </c>
      <c r="N10363" s="1" t="s">
        <v>38</v>
      </c>
      <c r="O10363" s="1" t="s">
        <v>46</v>
      </c>
    </row>
    <row r="10364" spans="2:15" x14ac:dyDescent="0.3">
      <c r="B10364" s="1" t="s">
        <v>21</v>
      </c>
      <c r="C10364" s="1" t="str">
        <f>"5-2차"</f>
        <v>5-2차</v>
      </c>
      <c r="D10364" s="1" t="str">
        <f>"9728Q1225M"</f>
        <v>9728Q1225M</v>
      </c>
      <c r="E10364" s="1" t="s">
        <v>10</v>
      </c>
      <c r="F10364" s="1" t="str">
        <f>"fde3:102:1303:80b:0:0:0:2"</f>
        <v>fde3:102:1303:80b:0:0:0:2</v>
      </c>
      <c r="G10364" s="1" t="str">
        <f>"9728Q122"</f>
        <v>9728Q122</v>
      </c>
      <c r="H10364" s="1" t="str">
        <f>"현대지 2R4"</f>
        <v>현대지 2R4</v>
      </c>
      <c r="I10364" s="1" t="s">
        <v>15</v>
      </c>
      <c r="J10364" s="1" t="str">
        <f>"52/52"</f>
        <v>52/52</v>
      </c>
      <c r="K10364" s="1" t="str">
        <f>"2026-07-29 14:21:39"</f>
        <v>2026-07-29 14:21:39</v>
      </c>
      <c r="L10364" s="1" t="str">
        <f>"2023-06-20 16:30:49"</f>
        <v>2023-06-20 16:30:49</v>
      </c>
      <c r="M10364" s="1" t="s">
        <v>45</v>
      </c>
      <c r="N10364" s="1" t="s">
        <v>38</v>
      </c>
      <c r="O10364" s="1" t="s">
        <v>46</v>
      </c>
    </row>
    <row r="10365" spans="2:15" x14ac:dyDescent="0.3">
      <c r="B10365" s="1" t="s">
        <v>21</v>
      </c>
      <c r="C10365" s="1" t="str">
        <f>"1차"</f>
        <v>1차</v>
      </c>
      <c r="D10365" s="1" t="str">
        <f>"9728Q13100"</f>
        <v>9728Q13100</v>
      </c>
      <c r="E10365" s="1" t="s">
        <v>10</v>
      </c>
      <c r="F10365" s="1" t="str">
        <f>"10.128.66.18"</f>
        <v>10.128.66.18</v>
      </c>
      <c r="G10365" s="1" t="str">
        <f>"9728Q131"</f>
        <v>9728Q131</v>
      </c>
      <c r="H10365" s="1" t="str">
        <f>"응암간 54L6L1"</f>
        <v>응암간 54L6L1</v>
      </c>
      <c r="I10365" s="1" t="s">
        <v>8</v>
      </c>
      <c r="J10365" s="1" t="str">
        <f>"36/36"</f>
        <v>36/36</v>
      </c>
      <c r="K10365" s="1" t="str">
        <f>"2026-07-29 13:18:11"</f>
        <v>2026-07-29 13:18:11</v>
      </c>
      <c r="L10365" s="1" t="str">
        <f>"2015-01-26 17:27:48"</f>
        <v>2015-01-26 17:27:48</v>
      </c>
      <c r="M10365" s="1" t="s">
        <v>45</v>
      </c>
      <c r="N10365" s="1" t="s">
        <v>38</v>
      </c>
      <c r="O10365" s="1" t="s">
        <v>46</v>
      </c>
    </row>
    <row r="10366" spans="2:15" x14ac:dyDescent="0.3">
      <c r="B10366" s="1" t="s">
        <v>21</v>
      </c>
      <c r="C10366" s="1" t="str">
        <f>"5-2차"</f>
        <v>5-2차</v>
      </c>
      <c r="D10366" s="1" t="str">
        <f>"9728Q1615M"</f>
        <v>9728Q1615M</v>
      </c>
      <c r="E10366" s="1" t="s">
        <v>10</v>
      </c>
      <c r="F10366" s="1" t="str">
        <f>"fde1:103:4:931f:0:0:0:2"</f>
        <v>fde1:103:4:931f:0:0:0:2</v>
      </c>
      <c r="G10366" s="1" t="str">
        <f>"9728Q161"</f>
        <v>9728Q161</v>
      </c>
      <c r="H10366" s="1" t="str">
        <f>"현대지 8"</f>
        <v>현대지 8</v>
      </c>
      <c r="I10366" s="1" t="s">
        <v>15</v>
      </c>
      <c r="J10366" s="1" t="str">
        <f>"49/49"</f>
        <v>49/49</v>
      </c>
      <c r="K10366" s="1" t="str">
        <f>"2026-07-29 14:21:39"</f>
        <v>2026-07-29 14:21:39</v>
      </c>
      <c r="L10366" s="1" t="str">
        <f>"2023-12-18 13:12:28"</f>
        <v>2023-12-18 13:12:28</v>
      </c>
      <c r="M10366" s="1" t="s">
        <v>4</v>
      </c>
      <c r="N10366" s="1" t="s">
        <v>38</v>
      </c>
      <c r="O10366" s="1" t="s">
        <v>46</v>
      </c>
    </row>
    <row r="10367" spans="2:15" x14ac:dyDescent="0.3">
      <c r="B10367" s="1" t="s">
        <v>21</v>
      </c>
      <c r="C10367" s="1" t="str">
        <f>"5-2차"</f>
        <v>5-2차</v>
      </c>
      <c r="D10367" s="1" t="str">
        <f>"9728Q1715M"</f>
        <v>9728Q1715M</v>
      </c>
      <c r="E10367" s="1" t="s">
        <v>10</v>
      </c>
      <c r="F10367" s="1" t="str">
        <f>"fde1:103:4:914a:0:0:0:2"</f>
        <v>fde1:103:4:914a:0:0:0:2</v>
      </c>
      <c r="G10367" s="1" t="str">
        <f>"9728Q171"</f>
        <v>9728Q171</v>
      </c>
      <c r="H10367" s="1" t="str">
        <f>"현대지 9L1"</f>
        <v>현대지 9L1</v>
      </c>
      <c r="I10367" s="1" t="s">
        <v>15</v>
      </c>
      <c r="J10367" s="1" t="str">
        <f>"65/65"</f>
        <v>65/65</v>
      </c>
      <c r="K10367" s="1" t="str">
        <f>"2026-07-29 14:21:44"</f>
        <v>2026-07-29 14:21:44</v>
      </c>
      <c r="L10367" s="1" t="str">
        <f>"2024-01-12 13:57:51"</f>
        <v>2024-01-12 13:57:51</v>
      </c>
      <c r="M10367" s="1" t="s">
        <v>4</v>
      </c>
      <c r="N10367" s="1" t="s">
        <v>38</v>
      </c>
      <c r="O10367" s="1" t="s">
        <v>46</v>
      </c>
    </row>
    <row r="10368" spans="2:15" x14ac:dyDescent="0.3">
      <c r="B10368" s="1" t="s">
        <v>21</v>
      </c>
      <c r="C10368" s="1" t="str">
        <f>"5-1차"</f>
        <v>5-1차</v>
      </c>
      <c r="D10368" s="1" t="str">
        <f>"9728Q1925M"</f>
        <v>9728Q1925M</v>
      </c>
      <c r="E10368" s="1" t="s">
        <v>10</v>
      </c>
      <c r="F10368" s="1" t="str">
        <f>"fde3:102:1303:805:0:0:0:2"</f>
        <v>fde3:102:1303:805:0:0:0:2</v>
      </c>
      <c r="G10368" s="1" t="str">
        <f>"9728Q192"</f>
        <v>9728Q192</v>
      </c>
      <c r="H10368" s="1" t="str">
        <f>"녹번간 6L10"</f>
        <v>녹번간 6L10</v>
      </c>
      <c r="I10368" s="1" t="s">
        <v>15</v>
      </c>
      <c r="J10368" s="1" t="str">
        <f>"30/30"</f>
        <v>30/30</v>
      </c>
      <c r="K10368" s="1" t="str">
        <f>"2026-07-29 14:21:40"</f>
        <v>2026-07-29 14:21:40</v>
      </c>
      <c r="L10368" s="1" t="str">
        <f>"2022-12-15 10:23:37"</f>
        <v>2022-12-15 10:23:37</v>
      </c>
      <c r="M10368" s="1" t="s">
        <v>45</v>
      </c>
      <c r="N10368" s="1" t="s">
        <v>38</v>
      </c>
      <c r="O10368" s="1" t="s">
        <v>46</v>
      </c>
    </row>
    <row r="10369" spans="2:15" x14ac:dyDescent="0.3">
      <c r="B10369" s="1" t="s">
        <v>21</v>
      </c>
      <c r="C10369" s="1" t="str">
        <f>"5-2차"</f>
        <v>5-2차</v>
      </c>
      <c r="D10369" s="1" t="str">
        <f>"9728Q1935M"</f>
        <v>9728Q1935M</v>
      </c>
      <c r="E10369" s="1" t="s">
        <v>10</v>
      </c>
      <c r="F10369" s="1" t="str">
        <f>"fde1:103:4:9410:0:0:0:2"</f>
        <v>fde1:103:4:9410:0:0:0:2</v>
      </c>
      <c r="G10369" s="1" t="str">
        <f>"9728Q193"</f>
        <v>9728Q193</v>
      </c>
      <c r="H10369" s="1" t="str">
        <f>"녹번간 6L8"</f>
        <v>녹번간 6L8</v>
      </c>
      <c r="I10369" s="1" t="s">
        <v>15</v>
      </c>
      <c r="J10369" s="1" t="str">
        <f>"84/84"</f>
        <v>84/84</v>
      </c>
      <c r="K10369" s="1" t="str">
        <f>"2026-07-29 14:21:40"</f>
        <v>2026-07-29 14:21:40</v>
      </c>
      <c r="L10369" s="1" t="str">
        <f>"2023-12-18 13:42:53"</f>
        <v>2023-12-18 13:42:53</v>
      </c>
      <c r="M10369" s="1" t="s">
        <v>4</v>
      </c>
      <c r="N10369" s="1" t="s">
        <v>38</v>
      </c>
      <c r="O10369" s="1" t="s">
        <v>46</v>
      </c>
    </row>
    <row r="10370" spans="2:15" x14ac:dyDescent="0.3">
      <c r="B10370" s="1" t="s">
        <v>21</v>
      </c>
      <c r="C10370" s="1" t="str">
        <f>"5-2차"</f>
        <v>5-2차</v>
      </c>
      <c r="D10370" s="1" t="str">
        <f>"9728Q2055M"</f>
        <v>9728Q2055M</v>
      </c>
      <c r="E10370" s="1" t="s">
        <v>10</v>
      </c>
      <c r="F10370" s="1" t="str">
        <f>"fde1:103:4:9389:0:0:0:2"</f>
        <v>fde1:103:4:9389:0:0:0:2</v>
      </c>
      <c r="G10370" s="1" t="str">
        <f>"9728Q205"</f>
        <v>9728Q205</v>
      </c>
      <c r="H10370" s="1" t="str">
        <f>"응암간 54L3"</f>
        <v>응암간 54L3</v>
      </c>
      <c r="I10370" s="1" t="s">
        <v>15</v>
      </c>
      <c r="J10370" s="1" t="str">
        <f>"26/27"</f>
        <v>26/27</v>
      </c>
      <c r="K10370" s="1" t="str">
        <f>"2026-07-29 14:21:07"</f>
        <v>2026-07-29 14:21:07</v>
      </c>
      <c r="L10370" s="1" t="str">
        <f>"2024-01-18 16:30:55"</f>
        <v>2024-01-18 16:30:55</v>
      </c>
      <c r="M10370" s="1" t="s">
        <v>4</v>
      </c>
      <c r="N10370" s="1" t="s">
        <v>38</v>
      </c>
      <c r="O10370" s="1" t="s">
        <v>46</v>
      </c>
    </row>
    <row r="10371" spans="2:15" x14ac:dyDescent="0.3">
      <c r="B10371" s="1" t="s">
        <v>21</v>
      </c>
      <c r="C10371" s="1" t="str">
        <f>"1차"</f>
        <v>1차</v>
      </c>
      <c r="D10371" s="1" t="str">
        <f>"9728Q22102"</f>
        <v>9728Q22102</v>
      </c>
      <c r="E10371" s="1" t="s">
        <v>10</v>
      </c>
      <c r="F10371" s="1" t="str">
        <f>"10.128.66.20"</f>
        <v>10.128.66.20</v>
      </c>
      <c r="G10371" s="1" t="str">
        <f>"9728Q221"</f>
        <v>9728Q221</v>
      </c>
      <c r="H10371" s="1" t="str">
        <f>"응암간 54L5"</f>
        <v>응암간 54L5</v>
      </c>
      <c r="I10371" s="1" t="s">
        <v>8</v>
      </c>
      <c r="J10371" s="1" t="str">
        <f>"41/51"</f>
        <v>41/51</v>
      </c>
      <c r="K10371" s="1" t="str">
        <f>"2026-07-29 13:18:11"</f>
        <v>2026-07-29 13:18:11</v>
      </c>
      <c r="L10371" s="1" t="str">
        <f>"2015-01-26 17:26:36"</f>
        <v>2015-01-26 17:26:36</v>
      </c>
      <c r="M10371" s="1" t="s">
        <v>45</v>
      </c>
      <c r="N10371" s="1" t="s">
        <v>38</v>
      </c>
      <c r="O10371" s="1" t="s">
        <v>46</v>
      </c>
    </row>
    <row r="10372" spans="2:15" x14ac:dyDescent="0.3">
      <c r="B10372" s="1" t="s">
        <v>21</v>
      </c>
      <c r="C10372" s="1" t="str">
        <f t="shared" ref="C10372:C10384" si="522">"5-2차"</f>
        <v>5-2차</v>
      </c>
      <c r="D10372" s="1" t="str">
        <f>"9728Q2715M"</f>
        <v>9728Q2715M</v>
      </c>
      <c r="E10372" s="1" t="s">
        <v>10</v>
      </c>
      <c r="F10372" s="1" t="str">
        <f>"fde3:102:1303:908:0:0:0:2"</f>
        <v>fde3:102:1303:908:0:0:0:2</v>
      </c>
      <c r="G10372" s="1" t="str">
        <f>"9728Q271"</f>
        <v>9728Q271</v>
      </c>
      <c r="H10372" s="1" t="str">
        <f>"현대지 9"</f>
        <v>현대지 9</v>
      </c>
      <c r="I10372" s="1" t="s">
        <v>15</v>
      </c>
      <c r="J10372" s="1" t="str">
        <f>"68/68"</f>
        <v>68/68</v>
      </c>
      <c r="K10372" s="1" t="str">
        <f>"2026-07-29 14:21:39"</f>
        <v>2026-07-29 14:21:39</v>
      </c>
      <c r="L10372" s="1" t="str">
        <f>"2023-07-24 11:27:31"</f>
        <v>2023-07-24 11:27:31</v>
      </c>
      <c r="M10372" s="1" t="s">
        <v>45</v>
      </c>
      <c r="N10372" s="1" t="s">
        <v>38</v>
      </c>
      <c r="O10372" s="1" t="s">
        <v>46</v>
      </c>
    </row>
    <row r="10373" spans="2:15" x14ac:dyDescent="0.3">
      <c r="B10373" s="1" t="s">
        <v>21</v>
      </c>
      <c r="C10373" s="1" t="str">
        <f t="shared" si="522"/>
        <v>5-2차</v>
      </c>
      <c r="D10373" s="1" t="str">
        <f>"9728Q3735M"</f>
        <v>9728Q3735M</v>
      </c>
      <c r="E10373" s="1" t="s">
        <v>10</v>
      </c>
      <c r="F10373" s="1" t="str">
        <f>"fde3:102:1303:803:0:0:0:9"</f>
        <v>fde3:102:1303:803:0:0:0:9</v>
      </c>
      <c r="G10373" s="1" t="str">
        <f>"9728Q373"</f>
        <v>9728Q373</v>
      </c>
      <c r="H10373" s="1" t="str">
        <f>"현대지 12"</f>
        <v>현대지 12</v>
      </c>
      <c r="I10373" s="1" t="s">
        <v>15</v>
      </c>
      <c r="J10373" s="1" t="str">
        <f>"30/30"</f>
        <v>30/30</v>
      </c>
      <c r="K10373" s="1" t="str">
        <f>"2026-07-29 14:21:40"</f>
        <v>2026-07-29 14:21:40</v>
      </c>
      <c r="L10373" s="1" t="str">
        <f>"2023-07-24 11:28:07"</f>
        <v>2023-07-24 11:28:07</v>
      </c>
      <c r="M10373" s="1" t="s">
        <v>45</v>
      </c>
      <c r="N10373" s="1" t="s">
        <v>38</v>
      </c>
      <c r="O10373" s="1" t="s">
        <v>46</v>
      </c>
    </row>
    <row r="10374" spans="2:15" x14ac:dyDescent="0.3">
      <c r="B10374" s="1" t="s">
        <v>21</v>
      </c>
      <c r="C10374" s="1" t="str">
        <f t="shared" si="522"/>
        <v>5-2차</v>
      </c>
      <c r="D10374" s="1" t="str">
        <f>"9728Q3815S"</f>
        <v>9728Q3815S</v>
      </c>
      <c r="E10374" s="1" t="s">
        <v>10</v>
      </c>
      <c r="F10374" s="1" t="str">
        <f>"fde3:102:1303:905:0:0:0:2"</f>
        <v>fde3:102:1303:905:0:0:0:2</v>
      </c>
      <c r="G10374" s="1" t="str">
        <f>"9728Q381"</f>
        <v>9728Q381</v>
      </c>
      <c r="H10374" s="1" t="str">
        <f>"현대지 10A2"</f>
        <v>현대지 10A2</v>
      </c>
      <c r="I10374" s="1" t="s">
        <v>15</v>
      </c>
      <c r="J10374" s="1" t="str">
        <f>"53/53"</f>
        <v>53/53</v>
      </c>
      <c r="K10374" s="1" t="str">
        <f>"2026-07-29 14:21:07"</f>
        <v>2026-07-29 14:21:07</v>
      </c>
      <c r="L10374" s="1" t="str">
        <f>"2023-07-06 11:27:42"</f>
        <v>2023-07-06 11:27:42</v>
      </c>
      <c r="M10374" s="1" t="s">
        <v>45</v>
      </c>
      <c r="N10374" s="1" t="s">
        <v>38</v>
      </c>
      <c r="O10374" s="1" t="s">
        <v>46</v>
      </c>
    </row>
    <row r="10375" spans="2:15" x14ac:dyDescent="0.3">
      <c r="B10375" s="1" t="s">
        <v>21</v>
      </c>
      <c r="C10375" s="1" t="str">
        <f t="shared" si="522"/>
        <v>5-2차</v>
      </c>
      <c r="D10375" s="1" t="str">
        <f>"9728Q4525S"</f>
        <v>9728Q4525S</v>
      </c>
      <c r="E10375" s="1" t="s">
        <v>10</v>
      </c>
      <c r="F10375" s="1" t="str">
        <f>"fde3:102:1303:905:0:0:0:6"</f>
        <v>fde3:102:1303:905:0:0:0:6</v>
      </c>
      <c r="G10375" s="1" t="str">
        <f>"9728Q452"</f>
        <v>9728Q452</v>
      </c>
      <c r="H10375" s="1" t="str">
        <f>"응암간 54L7L6"</f>
        <v>응암간 54L7L6</v>
      </c>
      <c r="I10375" s="1" t="s">
        <v>15</v>
      </c>
      <c r="J10375" s="1" t="str">
        <f>"99/99"</f>
        <v>99/99</v>
      </c>
      <c r="K10375" s="1" t="str">
        <f>"2026-07-29 14:21:40"</f>
        <v>2026-07-29 14:21:40</v>
      </c>
      <c r="L10375" s="1" t="str">
        <f>"2023-06-27 18:12:04"</f>
        <v>2023-06-27 18:12:04</v>
      </c>
      <c r="M10375" s="1" t="s">
        <v>45</v>
      </c>
      <c r="N10375" s="1" t="s">
        <v>38</v>
      </c>
      <c r="O10375" s="1" t="s">
        <v>46</v>
      </c>
    </row>
    <row r="10376" spans="2:15" x14ac:dyDescent="0.3">
      <c r="B10376" s="1" t="s">
        <v>21</v>
      </c>
      <c r="C10376" s="1" t="str">
        <f t="shared" si="522"/>
        <v>5-2차</v>
      </c>
      <c r="D10376" s="1" t="str">
        <f>"9728Q4915M"</f>
        <v>9728Q4915M</v>
      </c>
      <c r="E10376" s="1" t="s">
        <v>10</v>
      </c>
      <c r="F10376" s="1" t="str">
        <f>"fde1:103:4:92e8:0:0:0:2"</f>
        <v>fde1:103:4:92e8:0:0:0:2</v>
      </c>
      <c r="G10376" s="1" t="str">
        <f>"9728Q491"</f>
        <v>9728Q491</v>
      </c>
      <c r="H10376" s="1" t="str">
        <f>"현대지 10L2L1"</f>
        <v>현대지 10L2L1</v>
      </c>
      <c r="I10376" s="1" t="s">
        <v>15</v>
      </c>
      <c r="J10376" s="1" t="str">
        <f>"56/56"</f>
        <v>56/56</v>
      </c>
      <c r="K10376" s="1" t="str">
        <f>"2026-07-29 14:21:40"</f>
        <v>2026-07-29 14:21:40</v>
      </c>
      <c r="L10376" s="1" t="str">
        <f>"2024-01-15 17:42:31"</f>
        <v>2024-01-15 17:42:31</v>
      </c>
      <c r="M10376" s="1" t="s">
        <v>4</v>
      </c>
      <c r="N10376" s="1" t="s">
        <v>38</v>
      </c>
      <c r="O10376" s="1" t="s">
        <v>46</v>
      </c>
    </row>
    <row r="10377" spans="2:15" x14ac:dyDescent="0.3">
      <c r="B10377" s="1" t="s">
        <v>21</v>
      </c>
      <c r="C10377" s="1" t="str">
        <f t="shared" si="522"/>
        <v>5-2차</v>
      </c>
      <c r="D10377" s="1" t="str">
        <f>"9728Q5015M"</f>
        <v>9728Q5015M</v>
      </c>
      <c r="E10377" s="1" t="s">
        <v>10</v>
      </c>
      <c r="F10377" s="1" t="str">
        <f>"fde3:102:1303:903:0:0:0:4"</f>
        <v>fde3:102:1303:903:0:0:0:4</v>
      </c>
      <c r="G10377" s="1" t="str">
        <f>"9728Q501"</f>
        <v>9728Q501</v>
      </c>
      <c r="H10377" s="1" t="str">
        <f>"응암간 59L2"</f>
        <v>응암간 59L2</v>
      </c>
      <c r="I10377" s="1" t="s">
        <v>15</v>
      </c>
      <c r="J10377" s="1" t="str">
        <f>"40/40"</f>
        <v>40/40</v>
      </c>
      <c r="K10377" s="1" t="str">
        <f>"2026-07-29 14:21:40"</f>
        <v>2026-07-29 14:21:40</v>
      </c>
      <c r="L10377" s="1" t="str">
        <f>"2023-07-06 12:12:33"</f>
        <v>2023-07-06 12:12:33</v>
      </c>
      <c r="M10377" s="1" t="s">
        <v>45</v>
      </c>
      <c r="N10377" s="1" t="s">
        <v>38</v>
      </c>
      <c r="O10377" s="1" t="s">
        <v>46</v>
      </c>
    </row>
    <row r="10378" spans="2:15" x14ac:dyDescent="0.3">
      <c r="B10378" s="1" t="s">
        <v>21</v>
      </c>
      <c r="C10378" s="1" t="str">
        <f t="shared" si="522"/>
        <v>5-2차</v>
      </c>
      <c r="D10378" s="1" t="str">
        <f>"9728Q5325M"</f>
        <v>9728Q5325M</v>
      </c>
      <c r="E10378" s="1" t="s">
        <v>10</v>
      </c>
      <c r="F10378" s="1" t="str">
        <f>"fde3:102:1303:904:0:0:0:2"</f>
        <v>fde3:102:1303:904:0:0:0:2</v>
      </c>
      <c r="G10378" s="1" t="str">
        <f>"9728Q532"</f>
        <v>9728Q532</v>
      </c>
      <c r="H10378" s="1" t="str">
        <f>"응암간 54L9L1"</f>
        <v>응암간 54L9L1</v>
      </c>
      <c r="I10378" s="1" t="s">
        <v>15</v>
      </c>
      <c r="J10378" s="1" t="str">
        <f>"60/60"</f>
        <v>60/60</v>
      </c>
      <c r="K10378" s="1" t="str">
        <f>"2026-07-28 20:03:25"</f>
        <v>2026-07-28 20:03:25</v>
      </c>
      <c r="L10378" s="1" t="str">
        <f>"2023-07-24 11:32:37"</f>
        <v>2023-07-24 11:32:37</v>
      </c>
      <c r="M10378" s="1" t="s">
        <v>45</v>
      </c>
      <c r="N10378" s="1" t="s">
        <v>38</v>
      </c>
      <c r="O10378" s="1" t="s">
        <v>46</v>
      </c>
    </row>
    <row r="10379" spans="2:15" x14ac:dyDescent="0.3">
      <c r="B10379" s="1" t="s">
        <v>21</v>
      </c>
      <c r="C10379" s="1" t="str">
        <f t="shared" si="522"/>
        <v>5-2차</v>
      </c>
      <c r="D10379" s="1" t="str">
        <f>"9728Q5515M"</f>
        <v>9728Q5515M</v>
      </c>
      <c r="E10379" s="1" t="s">
        <v>10</v>
      </c>
      <c r="F10379" s="1" t="str">
        <f>"fde3:102:1303:905:0:0:0:5"</f>
        <v>fde3:102:1303:905:0:0:0:5</v>
      </c>
      <c r="G10379" s="1" t="str">
        <f>"9728Q551"</f>
        <v>9728Q551</v>
      </c>
      <c r="H10379" s="1" t="str">
        <f>"응암간 54L7L7"</f>
        <v>응암간 54L7L7</v>
      </c>
      <c r="I10379" s="1" t="s">
        <v>15</v>
      </c>
      <c r="J10379" s="1" t="str">
        <f>"25/25"</f>
        <v>25/25</v>
      </c>
      <c r="K10379" s="1" t="str">
        <f>"2026-07-29 14:21:40"</f>
        <v>2026-07-29 14:21:40</v>
      </c>
      <c r="L10379" s="1" t="str">
        <f>"2023-07-24 11:28:34"</f>
        <v>2023-07-24 11:28:34</v>
      </c>
      <c r="M10379" s="1" t="s">
        <v>45</v>
      </c>
      <c r="N10379" s="1" t="s">
        <v>38</v>
      </c>
      <c r="O10379" s="1" t="s">
        <v>46</v>
      </c>
    </row>
    <row r="10380" spans="2:15" x14ac:dyDescent="0.3">
      <c r="B10380" s="1" t="s">
        <v>21</v>
      </c>
      <c r="C10380" s="1" t="str">
        <f t="shared" si="522"/>
        <v>5-2차</v>
      </c>
      <c r="D10380" s="1" t="str">
        <f>"9728Q5525S"</f>
        <v>9728Q5525S</v>
      </c>
      <c r="E10380" s="1" t="s">
        <v>10</v>
      </c>
      <c r="F10380" s="1" t="str">
        <f>"fde3:102:1303:905:0:0:0:4"</f>
        <v>fde3:102:1303:905:0:0:0:4</v>
      </c>
      <c r="G10380" s="1" t="str">
        <f>"9728Q552"</f>
        <v>9728Q552</v>
      </c>
      <c r="H10380" s="1" t="str">
        <f>"응암간 54L7L8"</f>
        <v>응암간 54L7L8</v>
      </c>
      <c r="I10380" s="1" t="s">
        <v>15</v>
      </c>
      <c r="J10380" s="1" t="str">
        <f>"47/47"</f>
        <v>47/47</v>
      </c>
      <c r="K10380" s="1" t="str">
        <f>"2026-07-29 14:21:07"</f>
        <v>2026-07-29 14:21:07</v>
      </c>
      <c r="L10380" s="1" t="str">
        <f>"2023-07-06 17:22:05"</f>
        <v>2023-07-06 17:22:05</v>
      </c>
      <c r="M10380" s="1" t="s">
        <v>45</v>
      </c>
      <c r="N10380" s="1" t="s">
        <v>38</v>
      </c>
      <c r="O10380" s="1" t="s">
        <v>46</v>
      </c>
    </row>
    <row r="10381" spans="2:15" x14ac:dyDescent="0.3">
      <c r="B10381" s="1" t="s">
        <v>21</v>
      </c>
      <c r="C10381" s="1" t="str">
        <f t="shared" si="522"/>
        <v>5-2차</v>
      </c>
      <c r="D10381" s="1" t="str">
        <f>"9728Q5715M"</f>
        <v>9728Q5715M</v>
      </c>
      <c r="E10381" s="1" t="s">
        <v>10</v>
      </c>
      <c r="F10381" s="1" t="str">
        <f>"fde1:103:4:92fa:0:0:0:2"</f>
        <v>fde1:103:4:92fa:0:0:0:2</v>
      </c>
      <c r="G10381" s="1" t="str">
        <f>"9728Q571"</f>
        <v>9728Q571</v>
      </c>
      <c r="H10381" s="1" t="str">
        <f>"현대지 14R1"</f>
        <v>현대지 14R1</v>
      </c>
      <c r="I10381" s="1" t="s">
        <v>15</v>
      </c>
      <c r="J10381" s="1" t="str">
        <f>"68/68"</f>
        <v>68/68</v>
      </c>
      <c r="K10381" s="1" t="str">
        <f>"2026-07-29 14:21:41"</f>
        <v>2026-07-29 14:21:41</v>
      </c>
      <c r="L10381" s="1" t="str">
        <f>"2024-01-19 09:08:23"</f>
        <v>2024-01-19 09:08:23</v>
      </c>
      <c r="M10381" s="1" t="s">
        <v>4</v>
      </c>
      <c r="N10381" s="1" t="s">
        <v>38</v>
      </c>
      <c r="O10381" s="1" t="s">
        <v>46</v>
      </c>
    </row>
    <row r="10382" spans="2:15" x14ac:dyDescent="0.3">
      <c r="B10382" s="1" t="s">
        <v>21</v>
      </c>
      <c r="C10382" s="1" t="str">
        <f t="shared" si="522"/>
        <v>5-2차</v>
      </c>
      <c r="D10382" s="1" t="str">
        <f>"9728Q5725M"</f>
        <v>9728Q5725M</v>
      </c>
      <c r="E10382" s="1" t="s">
        <v>10</v>
      </c>
      <c r="F10382" s="1" t="str">
        <f>"fde1:103:4:9386:0:0:0:2"</f>
        <v>fde1:103:4:9386:0:0:0:2</v>
      </c>
      <c r="G10382" s="1" t="str">
        <f>"9728Q572"</f>
        <v>9728Q572</v>
      </c>
      <c r="H10382" s="1" t="str">
        <f>"현대지 14R1R2"</f>
        <v>현대지 14R1R2</v>
      </c>
      <c r="I10382" s="1" t="s">
        <v>15</v>
      </c>
      <c r="J10382" s="1" t="str">
        <f>"42/42"</f>
        <v>42/42</v>
      </c>
      <c r="K10382" s="1" t="str">
        <f>"2026-07-29 14:21:41"</f>
        <v>2026-07-29 14:21:41</v>
      </c>
      <c r="L10382" s="1" t="str">
        <f>"2023-12-18 13:44:00"</f>
        <v>2023-12-18 13:44:00</v>
      </c>
      <c r="M10382" s="1" t="s">
        <v>4</v>
      </c>
      <c r="N10382" s="1" t="s">
        <v>38</v>
      </c>
      <c r="O10382" s="1" t="s">
        <v>46</v>
      </c>
    </row>
    <row r="10383" spans="2:15" x14ac:dyDescent="0.3">
      <c r="B10383" s="1" t="s">
        <v>21</v>
      </c>
      <c r="C10383" s="1" t="str">
        <f t="shared" si="522"/>
        <v>5-2차</v>
      </c>
      <c r="D10383" s="1" t="str">
        <f>"9728Q5825M"</f>
        <v>9728Q5825M</v>
      </c>
      <c r="E10383" s="1" t="s">
        <v>10</v>
      </c>
      <c r="F10383" s="1" t="str">
        <f>"fde3:102:1303:70b:0:0:0:2"</f>
        <v>fde3:102:1303:70b:0:0:0:2</v>
      </c>
      <c r="G10383" s="1" t="str">
        <f>"9728Q582"</f>
        <v>9728Q582</v>
      </c>
      <c r="H10383" s="1" t="str">
        <f>"현대지 10L3"</f>
        <v>현대지 10L3</v>
      </c>
      <c r="I10383" s="1" t="s">
        <v>15</v>
      </c>
      <c r="J10383" s="1" t="str">
        <f>"24/24"</f>
        <v>24/24</v>
      </c>
      <c r="K10383" s="1" t="str">
        <f>"2026-07-28 20:03:27"</f>
        <v>2026-07-28 20:03:27</v>
      </c>
      <c r="L10383" s="1" t="str">
        <f>"2023-07-24 11:33:28"</f>
        <v>2023-07-24 11:33:28</v>
      </c>
      <c r="M10383" s="1" t="s">
        <v>45</v>
      </c>
      <c r="N10383" s="1" t="s">
        <v>38</v>
      </c>
      <c r="O10383" s="1" t="s">
        <v>46</v>
      </c>
    </row>
    <row r="10384" spans="2:15" x14ac:dyDescent="0.3">
      <c r="B10384" s="1" t="s">
        <v>21</v>
      </c>
      <c r="C10384" s="1" t="str">
        <f t="shared" si="522"/>
        <v>5-2차</v>
      </c>
      <c r="D10384" s="1" t="str">
        <f>"9728Q5915M"</f>
        <v>9728Q5915M</v>
      </c>
      <c r="E10384" s="1" t="s">
        <v>10</v>
      </c>
      <c r="F10384" s="1" t="str">
        <f>"fde3:102:1303:70b:0:0:0:3"</f>
        <v>fde3:102:1303:70b:0:0:0:3</v>
      </c>
      <c r="G10384" s="1" t="str">
        <f>"9728Q591"</f>
        <v>9728Q591</v>
      </c>
      <c r="H10384" s="1" t="str">
        <f>"현대지 10L4"</f>
        <v>현대지 10L4</v>
      </c>
      <c r="I10384" s="1" t="s">
        <v>15</v>
      </c>
      <c r="J10384" s="1" t="str">
        <f>"36/36"</f>
        <v>36/36</v>
      </c>
      <c r="K10384" s="1" t="str">
        <f>"2026-07-28 20:03:28"</f>
        <v>2026-07-28 20:03:28</v>
      </c>
      <c r="L10384" s="1" t="str">
        <f>"2023-07-24 11:33:57"</f>
        <v>2023-07-24 11:33:57</v>
      </c>
      <c r="M10384" s="1" t="s">
        <v>45</v>
      </c>
      <c r="N10384" s="1" t="s">
        <v>38</v>
      </c>
      <c r="O10384" s="1" t="s">
        <v>46</v>
      </c>
    </row>
    <row r="10385" spans="2:15" x14ac:dyDescent="0.3">
      <c r="B10385" s="1" t="s">
        <v>21</v>
      </c>
      <c r="C10385" s="1" t="str">
        <f>"1차"</f>
        <v>1차</v>
      </c>
      <c r="D10385" s="1" t="str">
        <f>"9728Q61401"</f>
        <v>9728Q61401</v>
      </c>
      <c r="E10385" s="1" t="s">
        <v>10</v>
      </c>
      <c r="F10385" s="1" t="str">
        <f>"10.128.66.35"</f>
        <v>10.128.66.35</v>
      </c>
      <c r="G10385" s="1" t="str">
        <f>"9728Q614"</f>
        <v>9728Q614</v>
      </c>
      <c r="H10385" s="1" t="str">
        <f>"응암간 54L11"</f>
        <v>응암간 54L11</v>
      </c>
      <c r="I10385" s="1" t="s">
        <v>8</v>
      </c>
      <c r="J10385" s="1" t="str">
        <f>"68/68"</f>
        <v>68/68</v>
      </c>
      <c r="K10385" s="1" t="str">
        <f>"2026-07-29 13:18:12"</f>
        <v>2026-07-29 13:18:12</v>
      </c>
      <c r="L10385" s="1" t="str">
        <f>"2015-04-28 13:22:56"</f>
        <v>2015-04-28 13:22:56</v>
      </c>
      <c r="M10385" s="1" t="s">
        <v>45</v>
      </c>
      <c r="N10385" s="1" t="s">
        <v>38</v>
      </c>
      <c r="O10385" s="1" t="s">
        <v>46</v>
      </c>
    </row>
    <row r="10386" spans="2:15" x14ac:dyDescent="0.3">
      <c r="B10386" s="1" t="s">
        <v>21</v>
      </c>
      <c r="C10386" s="1" t="str">
        <f>"5-2차"</f>
        <v>5-2차</v>
      </c>
      <c r="D10386" s="1" t="str">
        <f>"9728Q6615S"</f>
        <v>9728Q6615S</v>
      </c>
      <c r="E10386" s="1" t="s">
        <v>10</v>
      </c>
      <c r="F10386" s="1" t="str">
        <f>"fde3:102:1303:80a:0:0:0:4"</f>
        <v>fde3:102:1303:80a:0:0:0:4</v>
      </c>
      <c r="G10386" s="1" t="str">
        <f>"9728Q661"</f>
        <v>9728Q661</v>
      </c>
      <c r="H10386" s="1" t="str">
        <f>"응암간 54L7L9"</f>
        <v>응암간 54L7L9</v>
      </c>
      <c r="I10386" s="1" t="s">
        <v>15</v>
      </c>
      <c r="J10386" s="1" t="str">
        <f>"52/52"</f>
        <v>52/52</v>
      </c>
      <c r="K10386" s="1" t="str">
        <f>"2026-07-29 14:21:40"</f>
        <v>2026-07-29 14:21:40</v>
      </c>
      <c r="L10386" s="1" t="str">
        <f>"2023-07-07 10:44:36"</f>
        <v>2023-07-07 10:44:36</v>
      </c>
      <c r="M10386" s="1" t="s">
        <v>45</v>
      </c>
      <c r="N10386" s="1" t="s">
        <v>38</v>
      </c>
      <c r="O10386" s="1" t="s">
        <v>46</v>
      </c>
    </row>
    <row r="10387" spans="2:15" x14ac:dyDescent="0.3">
      <c r="B10387" s="1" t="s">
        <v>21</v>
      </c>
      <c r="C10387" s="1" t="str">
        <f>"5-1차"</f>
        <v>5-1차</v>
      </c>
      <c r="D10387" s="1" t="str">
        <f>"9728Q6725S"</f>
        <v>9728Q6725S</v>
      </c>
      <c r="E10387" s="1" t="s">
        <v>10</v>
      </c>
      <c r="F10387" s="1" t="str">
        <f>"fde3:102:1303:901:0:0:0:2"</f>
        <v>fde3:102:1303:901:0:0:0:2</v>
      </c>
      <c r="G10387" s="1" t="str">
        <f>"9728Q672"</f>
        <v>9728Q672</v>
      </c>
      <c r="H10387" s="1" t="str">
        <f>"현대지 14HR2"</f>
        <v>현대지 14HR2</v>
      </c>
      <c r="I10387" s="1" t="s">
        <v>15</v>
      </c>
      <c r="J10387" s="1" t="str">
        <f>"29/29"</f>
        <v>29/29</v>
      </c>
      <c r="K10387" s="1" t="str">
        <f>"2026-07-29 14:21:08"</f>
        <v>2026-07-29 14:21:08</v>
      </c>
      <c r="L10387" s="1" t="str">
        <f>"2022-11-24 11:40:54"</f>
        <v>2022-11-24 11:40:54</v>
      </c>
      <c r="M10387" s="1" t="s">
        <v>45</v>
      </c>
      <c r="N10387" s="1" t="s">
        <v>38</v>
      </c>
      <c r="O10387" s="1" t="s">
        <v>46</v>
      </c>
    </row>
    <row r="10388" spans="2:15" x14ac:dyDescent="0.3">
      <c r="B10388" s="1" t="s">
        <v>21</v>
      </c>
      <c r="C10388" s="1" t="str">
        <f>"5-2차"</f>
        <v>5-2차</v>
      </c>
      <c r="D10388" s="1" t="str">
        <f>"9728Q6915M"</f>
        <v>9728Q6915M</v>
      </c>
      <c r="E10388" s="1" t="s">
        <v>10</v>
      </c>
      <c r="F10388" s="1" t="str">
        <f>"fde1:103:4:93ff:0:0:0:2"</f>
        <v>fde1:103:4:93ff:0:0:0:2</v>
      </c>
      <c r="G10388" s="1" t="str">
        <f>"9728Q691"</f>
        <v>9728Q691</v>
      </c>
      <c r="H10388" s="1" t="str">
        <f>"현대지 16"</f>
        <v>현대지 16</v>
      </c>
      <c r="I10388" s="1" t="s">
        <v>15</v>
      </c>
      <c r="J10388" s="1" t="str">
        <f>"31/31"</f>
        <v>31/31</v>
      </c>
      <c r="K10388" s="1" t="str">
        <f>"2026-07-29 14:21:08"</f>
        <v>2026-07-29 14:21:08</v>
      </c>
      <c r="L10388" s="1" t="str">
        <f>"2023-12-18 13:44:26"</f>
        <v>2023-12-18 13:44:26</v>
      </c>
      <c r="M10388" s="1" t="s">
        <v>4</v>
      </c>
      <c r="N10388" s="1" t="s">
        <v>38</v>
      </c>
      <c r="O10388" s="1" t="s">
        <v>46</v>
      </c>
    </row>
    <row r="10389" spans="2:15" x14ac:dyDescent="0.3">
      <c r="B10389" s="1" t="s">
        <v>21</v>
      </c>
      <c r="C10389" s="1" t="str">
        <f>"5-2차"</f>
        <v>5-2차</v>
      </c>
      <c r="D10389" s="1" t="str">
        <f>"9728Q6935M"</f>
        <v>9728Q6935M</v>
      </c>
      <c r="E10389" s="1" t="s">
        <v>10</v>
      </c>
      <c r="F10389" s="1" t="str">
        <f>"fde3:102:1303:70c:0:0:0:2"</f>
        <v>fde3:102:1303:70c:0:0:0:2</v>
      </c>
      <c r="G10389" s="1" t="str">
        <f>"9728Q693"</f>
        <v>9728Q693</v>
      </c>
      <c r="H10389" s="1" t="str">
        <f>"현대지 17H1"</f>
        <v>현대지 17H1</v>
      </c>
      <c r="I10389" s="1" t="s">
        <v>15</v>
      </c>
      <c r="J10389" s="1" t="str">
        <f>"43/43"</f>
        <v>43/43</v>
      </c>
      <c r="K10389" s="1" t="str">
        <f>"2026-07-29 14:21:40"</f>
        <v>2026-07-29 14:21:40</v>
      </c>
      <c r="L10389" s="1" t="str">
        <f>"2023-07-24 11:34:36"</f>
        <v>2023-07-24 11:34:36</v>
      </c>
      <c r="M10389" s="1" t="s">
        <v>45</v>
      </c>
      <c r="N10389" s="1" t="s">
        <v>38</v>
      </c>
      <c r="O10389" s="1" t="s">
        <v>46</v>
      </c>
    </row>
    <row r="10390" spans="2:15" x14ac:dyDescent="0.3">
      <c r="B10390" s="1" t="s">
        <v>21</v>
      </c>
      <c r="C10390" s="1" t="str">
        <f>"1차"</f>
        <v>1차</v>
      </c>
      <c r="D10390" s="1" t="str">
        <f>"9728Q70300"</f>
        <v>9728Q70300</v>
      </c>
      <c r="E10390" s="1" t="s">
        <v>10</v>
      </c>
      <c r="F10390" s="1" t="str">
        <f>"10.128.66.50"</f>
        <v>10.128.66.50</v>
      </c>
      <c r="G10390" s="1" t="str">
        <f>"9728Q703"</f>
        <v>9728Q703</v>
      </c>
      <c r="H10390" s="1" t="str">
        <f>"응암간 54L12A5"</f>
        <v>응암간 54L12A5</v>
      </c>
      <c r="I10390" s="1" t="s">
        <v>8</v>
      </c>
      <c r="J10390" s="1" t="str">
        <f>"32/35"</f>
        <v>32/35</v>
      </c>
      <c r="K10390" s="1" t="str">
        <f>"2026-07-29 13:18:11"</f>
        <v>2026-07-29 13:18:11</v>
      </c>
      <c r="L10390" s="1" t="str">
        <f>"2015-01-26 17:41:26"</f>
        <v>2015-01-26 17:41:26</v>
      </c>
      <c r="M10390" s="1" t="s">
        <v>45</v>
      </c>
      <c r="N10390" s="1" t="s">
        <v>38</v>
      </c>
      <c r="O10390" s="1" t="s">
        <v>46</v>
      </c>
    </row>
    <row r="10391" spans="2:15" x14ac:dyDescent="0.3">
      <c r="B10391" s="1" t="s">
        <v>21</v>
      </c>
      <c r="C10391" s="1" t="str">
        <f>"1차"</f>
        <v>1차</v>
      </c>
      <c r="D10391" s="1" t="str">
        <f>"9728Q71102"</f>
        <v>9728Q71102</v>
      </c>
      <c r="E10391" s="1" t="s">
        <v>10</v>
      </c>
      <c r="F10391" s="1" t="str">
        <f>"10.12.129.81"</f>
        <v>10.12.129.81</v>
      </c>
      <c r="G10391" s="1" t="str">
        <f>"9728Q711"</f>
        <v>9728Q711</v>
      </c>
      <c r="H10391" s="1" t="str">
        <f>"응암간 54L12A1"</f>
        <v>응암간 54L12A1</v>
      </c>
      <c r="I10391" s="1" t="s">
        <v>8</v>
      </c>
      <c r="J10391" s="1" t="str">
        <f>"92/92"</f>
        <v>92/92</v>
      </c>
      <c r="K10391" s="1" t="str">
        <f>"2026-07-29 13:18:11"</f>
        <v>2026-07-29 13:18:11</v>
      </c>
      <c r="L10391" s="1" t="str">
        <f>"2015-01-26 17:26:40"</f>
        <v>2015-01-26 17:26:40</v>
      </c>
      <c r="M10391" s="1" t="s">
        <v>0</v>
      </c>
      <c r="N10391" s="1" t="s">
        <v>38</v>
      </c>
      <c r="O10391" s="1" t="s">
        <v>46</v>
      </c>
    </row>
    <row r="10392" spans="2:15" x14ac:dyDescent="0.3">
      <c r="B10392" s="1" t="s">
        <v>21</v>
      </c>
      <c r="C10392" s="1" t="str">
        <f>"1차"</f>
        <v>1차</v>
      </c>
      <c r="D10392" s="1" t="str">
        <f>"9728Q71200"</f>
        <v>9728Q71200</v>
      </c>
      <c r="E10392" s="1" t="s">
        <v>10</v>
      </c>
      <c r="F10392" s="1" t="str">
        <f>"10.128.66.34"</f>
        <v>10.128.66.34</v>
      </c>
      <c r="G10392" s="1" t="str">
        <f>"9728Q712"</f>
        <v>9728Q712</v>
      </c>
      <c r="H10392" s="1" t="str">
        <f>"응암간 54L12"</f>
        <v>응암간 54L12</v>
      </c>
      <c r="I10392" s="1" t="s">
        <v>8</v>
      </c>
      <c r="J10392" s="1" t="str">
        <f>"57/57"</f>
        <v>57/57</v>
      </c>
      <c r="K10392" s="1" t="str">
        <f>"2026-07-29 13:18:11"</f>
        <v>2026-07-29 13:18:11</v>
      </c>
      <c r="L10392" s="1" t="str">
        <f>"2015-01-26 17:28:18"</f>
        <v>2015-01-26 17:28:18</v>
      </c>
      <c r="M10392" s="1" t="s">
        <v>45</v>
      </c>
      <c r="N10392" s="1" t="s">
        <v>38</v>
      </c>
      <c r="O10392" s="1" t="s">
        <v>46</v>
      </c>
    </row>
    <row r="10393" spans="2:15" x14ac:dyDescent="0.3">
      <c r="B10393" s="1" t="s">
        <v>21</v>
      </c>
      <c r="C10393" s="1" t="str">
        <f>"5-2차"</f>
        <v>5-2차</v>
      </c>
      <c r="D10393" s="1" t="str">
        <f>"9728Q7615S"</f>
        <v>9728Q7615S</v>
      </c>
      <c r="E10393" s="1" t="s">
        <v>10</v>
      </c>
      <c r="F10393" s="1" t="str">
        <f>"fde3:102:1303:803:0:0:0:a"</f>
        <v>fde3:102:1303:803:0:0:0:a</v>
      </c>
      <c r="G10393" s="1" t="str">
        <f>"9728Q761"</f>
        <v>9728Q761</v>
      </c>
      <c r="H10393" s="1" t="str">
        <f>"현대지 19R3"</f>
        <v>현대지 19R3</v>
      </c>
      <c r="I10393" s="1" t="s">
        <v>15</v>
      </c>
      <c r="J10393" s="1" t="str">
        <f>"73/73"</f>
        <v>73/73</v>
      </c>
      <c r="K10393" s="1" t="str">
        <f>"2026-07-29 14:21:41"</f>
        <v>2026-07-29 14:21:41</v>
      </c>
      <c r="L10393" s="1" t="str">
        <f>"2023-07-06 15:36:34"</f>
        <v>2023-07-06 15:36:34</v>
      </c>
      <c r="M10393" s="1" t="s">
        <v>45</v>
      </c>
      <c r="N10393" s="1" t="s">
        <v>38</v>
      </c>
      <c r="O10393" s="1" t="s">
        <v>46</v>
      </c>
    </row>
    <row r="10394" spans="2:15" x14ac:dyDescent="0.3">
      <c r="B10394" s="1" t="s">
        <v>21</v>
      </c>
      <c r="C10394" s="1" t="str">
        <f>"5-2차"</f>
        <v>5-2차</v>
      </c>
      <c r="D10394" s="1" t="str">
        <f>"9728Q7625M"</f>
        <v>9728Q7625M</v>
      </c>
      <c r="E10394" s="1" t="s">
        <v>14</v>
      </c>
      <c r="F10394" s="1" t="str">
        <f>"fde3:102:1303:905:0:0:0:3"</f>
        <v>fde3:102:1303:905:0:0:0:3</v>
      </c>
      <c r="G10394" s="1" t="str">
        <f>"9728Q762"</f>
        <v>9728Q762</v>
      </c>
      <c r="H10394" s="1" t="str">
        <f>"현대지 19R4"</f>
        <v>현대지 19R4</v>
      </c>
      <c r="I10394" s="1" t="s">
        <v>15</v>
      </c>
      <c r="J10394" s="1" t="str">
        <f>"0/0"</f>
        <v>0/0</v>
      </c>
      <c r="K10394" s="1" t="str">
        <f>"2024-08-20 14:20:44"</f>
        <v>2024-08-20 14:20:44</v>
      </c>
      <c r="L10394" s="1" t="str">
        <f>"2023-07-24 11:29:03"</f>
        <v>2023-07-24 11:29:03</v>
      </c>
      <c r="M10394" s="1" t="s">
        <v>45</v>
      </c>
      <c r="N10394" s="1" t="s">
        <v>44</v>
      </c>
      <c r="O10394" s="1" t="s">
        <v>44</v>
      </c>
    </row>
    <row r="10395" spans="2:15" x14ac:dyDescent="0.3">
      <c r="B10395" s="1" t="s">
        <v>21</v>
      </c>
      <c r="C10395" s="1" t="str">
        <f>"1차"</f>
        <v>1차</v>
      </c>
      <c r="D10395" s="1" t="str">
        <f>"9728Q80101"</f>
        <v>9728Q80101</v>
      </c>
      <c r="E10395" s="1" t="s">
        <v>14</v>
      </c>
      <c r="F10395" s="1" t="str">
        <f>"10.128.66.43"</f>
        <v>10.128.66.43</v>
      </c>
      <c r="G10395" s="1" t="str">
        <f>"9728Q801"</f>
        <v>9728Q801</v>
      </c>
      <c r="H10395" s="1" t="str">
        <f>"응암간 54L13"</f>
        <v>응암간 54L13</v>
      </c>
      <c r="I10395" s="1" t="s">
        <v>8</v>
      </c>
      <c r="J10395" s="1" t="str">
        <f>"0/0"</f>
        <v>0/0</v>
      </c>
      <c r="K10395" s="1" t="str">
        <f>"2026-07-29 13:18:04"</f>
        <v>2026-07-29 13:18:04</v>
      </c>
      <c r="L10395" s="1" t="str">
        <f>"2015-01-26 17:27:56"</f>
        <v>2015-01-26 17:27:56</v>
      </c>
      <c r="M10395" s="1" t="s">
        <v>45</v>
      </c>
      <c r="N10395" s="1" t="s">
        <v>38</v>
      </c>
      <c r="O10395" s="1" t="s">
        <v>44</v>
      </c>
    </row>
    <row r="10396" spans="2:15" x14ac:dyDescent="0.3">
      <c r="B10396" s="1" t="s">
        <v>21</v>
      </c>
      <c r="C10396" s="1" t="str">
        <f>"5-2차"</f>
        <v>5-2차</v>
      </c>
      <c r="D10396" s="1" t="str">
        <f>"9728Q8935M"</f>
        <v>9728Q8935M</v>
      </c>
      <c r="E10396" s="1" t="s">
        <v>10</v>
      </c>
      <c r="F10396" s="1" t="str">
        <f>"fde3:102:1303:70d:0:0:0:3"</f>
        <v>fde3:102:1303:70d:0:0:0:3</v>
      </c>
      <c r="G10396" s="1" t="str">
        <f>"9728Q893"</f>
        <v>9728Q893</v>
      </c>
      <c r="H10396" s="1" t="str">
        <f>"현대지 19"</f>
        <v>현대지 19</v>
      </c>
      <c r="I10396" s="1" t="s">
        <v>15</v>
      </c>
      <c r="J10396" s="1" t="str">
        <f>"96/98"</f>
        <v>96/98</v>
      </c>
      <c r="K10396" s="1" t="str">
        <f>"2026-07-29 14:21:08"</f>
        <v>2026-07-29 14:21:08</v>
      </c>
      <c r="L10396" s="1" t="str">
        <f>"2024-02-28 10:24:52"</f>
        <v>2024-02-28 10:24:52</v>
      </c>
      <c r="M10396" s="1" t="s">
        <v>45</v>
      </c>
      <c r="N10396" s="1" t="s">
        <v>38</v>
      </c>
      <c r="O10396" s="1" t="s">
        <v>46</v>
      </c>
    </row>
    <row r="10397" spans="2:15" x14ac:dyDescent="0.3">
      <c r="B10397" s="1" t="s">
        <v>21</v>
      </c>
      <c r="C10397" s="1" t="str">
        <f>"1차"</f>
        <v>1차</v>
      </c>
      <c r="D10397" s="1" t="str">
        <f>"9728Q90100"</f>
        <v>9728Q90100</v>
      </c>
      <c r="E10397" s="1" t="s">
        <v>10</v>
      </c>
      <c r="F10397" s="1" t="str">
        <f>"10.128.66.42"</f>
        <v>10.128.66.42</v>
      </c>
      <c r="G10397" s="1" t="str">
        <f>"9728Q901"</f>
        <v>9728Q901</v>
      </c>
      <c r="H10397" s="1" t="str">
        <f>"응암간 54L15"</f>
        <v>응암간 54L15</v>
      </c>
      <c r="I10397" s="1" t="s">
        <v>8</v>
      </c>
      <c r="J10397" s="1" t="str">
        <f>"123/140"</f>
        <v>123/140</v>
      </c>
      <c r="K10397" s="1" t="str">
        <f>"2026-07-29 13:18:11"</f>
        <v>2026-07-29 13:18:11</v>
      </c>
      <c r="L10397" s="1" t="str">
        <f>"2015-01-26 17:26:54"</f>
        <v>2015-01-26 17:26:54</v>
      </c>
      <c r="M10397" s="1" t="s">
        <v>45</v>
      </c>
      <c r="N10397" s="1" t="s">
        <v>38</v>
      </c>
      <c r="O10397" s="1" t="s">
        <v>46</v>
      </c>
    </row>
    <row r="10398" spans="2:15" x14ac:dyDescent="0.3">
      <c r="B10398" s="1" t="s">
        <v>21</v>
      </c>
      <c r="C10398" s="1" t="str">
        <f>"5-2차"</f>
        <v>5-2차</v>
      </c>
      <c r="D10398" s="1" t="str">
        <f>"9728Q9745M"</f>
        <v>9728Q9745M</v>
      </c>
      <c r="E10398" s="1" t="s">
        <v>10</v>
      </c>
      <c r="F10398" s="1" t="str">
        <f>"fde3:102:1303:70e:0:0:0:2"</f>
        <v>fde3:102:1303:70e:0:0:0:2</v>
      </c>
      <c r="G10398" s="1" t="str">
        <f>"9728Q974"</f>
        <v>9728Q974</v>
      </c>
      <c r="H10398" s="1" t="str">
        <f>"현대지 22R1"</f>
        <v>현대지 22R1</v>
      </c>
      <c r="I10398" s="1" t="s">
        <v>15</v>
      </c>
      <c r="J10398" s="1" t="str">
        <f>"148/149"</f>
        <v>148/149</v>
      </c>
      <c r="K10398" s="1" t="str">
        <f>"2026-07-29 14:21:08"</f>
        <v>2026-07-29 14:21:08</v>
      </c>
      <c r="L10398" s="1" t="str">
        <f>"2023-07-24 11:38:10"</f>
        <v>2023-07-24 11:38:10</v>
      </c>
      <c r="M10398" s="1" t="s">
        <v>45</v>
      </c>
      <c r="N10398" s="1" t="s">
        <v>38</v>
      </c>
      <c r="O10398" s="1" t="s">
        <v>46</v>
      </c>
    </row>
    <row r="10399" spans="2:15" x14ac:dyDescent="0.3">
      <c r="B10399" s="1" t="s">
        <v>21</v>
      </c>
      <c r="C10399" s="1" t="str">
        <f>"1차"</f>
        <v>1차</v>
      </c>
      <c r="D10399" s="1" t="str">
        <f>"9728R01100"</f>
        <v>9728R01100</v>
      </c>
      <c r="E10399" s="1" t="s">
        <v>10</v>
      </c>
      <c r="F10399" s="1" t="str">
        <f>"10.128.0.88"</f>
        <v>10.128.0.88</v>
      </c>
      <c r="G10399" s="1" t="str">
        <f>"9728R011"</f>
        <v>9728R011</v>
      </c>
      <c r="H10399" s="1" t="str">
        <f>"서부간 17R7"</f>
        <v>서부간 17R7</v>
      </c>
      <c r="I10399" s="1" t="s">
        <v>8</v>
      </c>
      <c r="J10399" s="1" t="str">
        <f>"39/40"</f>
        <v>39/40</v>
      </c>
      <c r="K10399" s="1" t="str">
        <f>"2026-07-29 13:18:11"</f>
        <v>2026-07-29 13:18:11</v>
      </c>
      <c r="L10399" s="1" t="str">
        <f>"2015-07-20 10:25:08"</f>
        <v>2015-07-20 10:25:08</v>
      </c>
      <c r="M10399" s="1" t="s">
        <v>45</v>
      </c>
      <c r="N10399" s="1" t="s">
        <v>38</v>
      </c>
      <c r="O10399" s="1" t="s">
        <v>46</v>
      </c>
    </row>
    <row r="10400" spans="2:15" x14ac:dyDescent="0.3">
      <c r="B10400" s="1" t="s">
        <v>21</v>
      </c>
      <c r="C10400" s="1" t="str">
        <f>"4차"</f>
        <v>4차</v>
      </c>
      <c r="D10400" s="1" t="str">
        <f>"9728R07244"</f>
        <v>9728R07244</v>
      </c>
      <c r="E10400" s="1" t="s">
        <v>10</v>
      </c>
      <c r="F10400" s="1" t="str">
        <f>"10.10.92.250"</f>
        <v>10.10.92.250</v>
      </c>
      <c r="G10400" s="1" t="str">
        <f>"9728R072"</f>
        <v>9728R072</v>
      </c>
      <c r="H10400" s="1" t="str">
        <f>"서경간 4L1"</f>
        <v>서경간 4L1</v>
      </c>
      <c r="I10400" s="1" t="s">
        <v>8</v>
      </c>
      <c r="J10400" s="1" t="str">
        <f>"46/46"</f>
        <v>46/46</v>
      </c>
      <c r="K10400" s="1" t="str">
        <f>"2026-07-29 07:18:01"</f>
        <v>2026-07-29 07:18:01</v>
      </c>
      <c r="L10400" s="1" t="str">
        <f>"2019-10-21 13:23:04"</f>
        <v>2019-10-21 13:23:04</v>
      </c>
      <c r="M10400" s="1" t="s">
        <v>1</v>
      </c>
      <c r="N10400" s="1" t="s">
        <v>38</v>
      </c>
      <c r="O10400" s="1" t="s">
        <v>46</v>
      </c>
    </row>
    <row r="10401" spans="2:15" x14ac:dyDescent="0.3">
      <c r="B10401" s="1" t="s">
        <v>21</v>
      </c>
      <c r="C10401" s="1" t="str">
        <f>"6차"</f>
        <v>6차</v>
      </c>
      <c r="D10401" s="1" t="str">
        <f>"9728R0916S"</f>
        <v>9728R0916S</v>
      </c>
      <c r="E10401" s="1" t="s">
        <v>10</v>
      </c>
      <c r="F10401" s="1" t="str">
        <f>"fde1:103:4:c752:0:0:0:2"</f>
        <v>fde1:103:4:c752:0:0:0:2</v>
      </c>
      <c r="G10401" s="1" t="str">
        <f>"9728R091"</f>
        <v>9728R091</v>
      </c>
      <c r="H10401" s="1" t="str">
        <f>"서경간 12"</f>
        <v>서경간 12</v>
      </c>
      <c r="I10401" s="1" t="s">
        <v>15</v>
      </c>
      <c r="J10401" s="1" t="str">
        <f>"57/57"</f>
        <v>57/57</v>
      </c>
      <c r="K10401" s="1" t="str">
        <f>"2026-07-29 14:21:10"</f>
        <v>2026-07-29 14:21:10</v>
      </c>
      <c r="L10401" s="1" t="str">
        <f>"2025-01-17 17:37:19"</f>
        <v>2025-01-17 17:37:19</v>
      </c>
      <c r="M10401" s="1" t="s">
        <v>4</v>
      </c>
      <c r="N10401" s="1" t="s">
        <v>38</v>
      </c>
      <c r="O10401" s="1" t="s">
        <v>46</v>
      </c>
    </row>
    <row r="10402" spans="2:15" x14ac:dyDescent="0.3">
      <c r="B10402" s="1" t="s">
        <v>21</v>
      </c>
      <c r="C10402" s="1" t="str">
        <f>"4차"</f>
        <v>4차</v>
      </c>
      <c r="D10402" s="1" t="str">
        <f>"9728R10142"</f>
        <v>9728R10142</v>
      </c>
      <c r="E10402" s="1" t="s">
        <v>10</v>
      </c>
      <c r="F10402" s="1" t="str">
        <f>"10.12.131.144"</f>
        <v>10.12.131.144</v>
      </c>
      <c r="G10402" s="1" t="str">
        <f>"9728R101"</f>
        <v>9728R101</v>
      </c>
      <c r="H10402" s="1" t="str">
        <f>"서부간 17R5L2"</f>
        <v>서부간 17R5L2</v>
      </c>
      <c r="I10402" s="1" t="s">
        <v>8</v>
      </c>
      <c r="J10402" s="1" t="str">
        <f>"32/32"</f>
        <v>32/32</v>
      </c>
      <c r="K10402" s="1" t="str">
        <f>"2026-07-29 13:18:12"</f>
        <v>2026-07-29 13:18:12</v>
      </c>
      <c r="L10402" s="1" t="str">
        <f>"2024-12-16 15:21:54"</f>
        <v>2024-12-16 15:21:54</v>
      </c>
      <c r="M10402" s="1" t="s">
        <v>0</v>
      </c>
      <c r="N10402" s="1" t="s">
        <v>38</v>
      </c>
      <c r="O10402" s="1" t="s">
        <v>46</v>
      </c>
    </row>
    <row r="10403" spans="2:15" x14ac:dyDescent="0.3">
      <c r="B10403" s="1" t="s">
        <v>21</v>
      </c>
      <c r="C10403" s="1" t="str">
        <f>"4차"</f>
        <v>4차</v>
      </c>
      <c r="D10403" s="1" t="str">
        <f>"9728R10244"</f>
        <v>9728R10244</v>
      </c>
      <c r="E10403" s="1" t="s">
        <v>10</v>
      </c>
      <c r="F10403" s="1" t="str">
        <f>"10.10.86.210"</f>
        <v>10.10.86.210</v>
      </c>
      <c r="G10403" s="1" t="str">
        <f>"9728R102"</f>
        <v>9728R102</v>
      </c>
      <c r="H10403" s="1" t="str">
        <f>"서부간 17R4L1"</f>
        <v>서부간 17R4L1</v>
      </c>
      <c r="I10403" s="1" t="s">
        <v>8</v>
      </c>
      <c r="J10403" s="1" t="str">
        <f>"39/39"</f>
        <v>39/39</v>
      </c>
      <c r="K10403" s="1" t="str">
        <f>"2026-07-29 13:18:12"</f>
        <v>2026-07-29 13:18:12</v>
      </c>
      <c r="L10403" s="1" t="str">
        <f>"2020-01-10 17:17:27"</f>
        <v>2020-01-10 17:17:27</v>
      </c>
      <c r="M10403" s="1" t="s">
        <v>1</v>
      </c>
      <c r="N10403" s="1" t="s">
        <v>38</v>
      </c>
      <c r="O10403" s="1" t="s">
        <v>46</v>
      </c>
    </row>
    <row r="10404" spans="2:15" x14ac:dyDescent="0.3">
      <c r="B10404" s="1" t="s">
        <v>21</v>
      </c>
      <c r="C10404" s="1" t="str">
        <f>"1차"</f>
        <v>1차</v>
      </c>
      <c r="D10404" s="1" t="str">
        <f>"9728R11300"</f>
        <v>9728R11300</v>
      </c>
      <c r="E10404" s="1" t="s">
        <v>14</v>
      </c>
      <c r="F10404" s="1" t="str">
        <f>"10.128.0.99"</f>
        <v>10.128.0.99</v>
      </c>
      <c r="G10404" s="1" t="str">
        <f>"9728R113"</f>
        <v>9728R113</v>
      </c>
      <c r="H10404" s="1" t="str">
        <f>"서부간 17R5H1"</f>
        <v>서부간 17R5H1</v>
      </c>
      <c r="I10404" s="1" t="s">
        <v>8</v>
      </c>
      <c r="J10404" s="1" t="str">
        <f>"0/0"</f>
        <v>0/0</v>
      </c>
      <c r="K10404" s="1" t="str">
        <f>"2024-08-27 01:21:06"</f>
        <v>2024-08-27 01:21:06</v>
      </c>
      <c r="L10404" s="1" t="str">
        <f>"2015-07-20 10:36:49"</f>
        <v>2015-07-20 10:36:49</v>
      </c>
      <c r="M10404" s="1" t="s">
        <v>45</v>
      </c>
      <c r="N10404" s="1" t="s">
        <v>44</v>
      </c>
      <c r="O10404" s="1" t="s">
        <v>44</v>
      </c>
    </row>
    <row r="10405" spans="2:15" x14ac:dyDescent="0.3">
      <c r="B10405" s="1" t="s">
        <v>21</v>
      </c>
      <c r="C10405" s="1" t="str">
        <f>"4차"</f>
        <v>4차</v>
      </c>
      <c r="D10405" s="1" t="str">
        <f>"9728R13139"</f>
        <v>9728R13139</v>
      </c>
      <c r="E10405" s="1" t="s">
        <v>10</v>
      </c>
      <c r="F10405" s="1" t="str">
        <f>"10.12.128.103"</f>
        <v>10.12.128.103</v>
      </c>
      <c r="G10405" s="1" t="str">
        <f>"9728R131"</f>
        <v>9728R131</v>
      </c>
      <c r="H10405" s="1" t="str">
        <f>"서부간 17R7R1"</f>
        <v>서부간 17R7R1</v>
      </c>
      <c r="I10405" s="1" t="s">
        <v>8</v>
      </c>
      <c r="J10405" s="1" t="str">
        <f>"40/46"</f>
        <v>40/46</v>
      </c>
      <c r="K10405" s="1" t="str">
        <f>"2026-07-29 07:18:11"</f>
        <v>2026-07-29 07:18:11</v>
      </c>
      <c r="L10405" s="1" t="str">
        <f>"2018-10-02 10:05:11"</f>
        <v>2018-10-02 10:05:11</v>
      </c>
      <c r="M10405" s="1" t="s">
        <v>0</v>
      </c>
      <c r="N10405" s="1" t="s">
        <v>38</v>
      </c>
      <c r="O10405" s="1" t="s">
        <v>46</v>
      </c>
    </row>
    <row r="10406" spans="2:15" x14ac:dyDescent="0.3">
      <c r="B10406" s="1" t="s">
        <v>21</v>
      </c>
      <c r="C10406" s="1" t="str">
        <f>"4차"</f>
        <v>4차</v>
      </c>
      <c r="D10406" s="1" t="str">
        <f>"9728R18544"</f>
        <v>9728R18544</v>
      </c>
      <c r="E10406" s="1" t="s">
        <v>10</v>
      </c>
      <c r="F10406" s="1" t="str">
        <f>"10.10.121.250"</f>
        <v>10.10.121.250</v>
      </c>
      <c r="G10406" s="1" t="str">
        <f>"9728R185"</f>
        <v>9728R185</v>
      </c>
      <c r="H10406" s="1" t="str">
        <f>"응암간 37R18"</f>
        <v>응암간 37R18</v>
      </c>
      <c r="I10406" s="1" t="s">
        <v>8</v>
      </c>
      <c r="J10406" s="1" t="str">
        <f>"20/20"</f>
        <v>20/20</v>
      </c>
      <c r="K10406" s="1" t="str">
        <f>"2026-07-29 13:18:11"</f>
        <v>2026-07-29 13:18:11</v>
      </c>
      <c r="L10406" s="1" t="str">
        <f>"2019-12-17 16:11:47"</f>
        <v>2019-12-17 16:11:47</v>
      </c>
      <c r="M10406" s="1" t="s">
        <v>1</v>
      </c>
      <c r="N10406" s="1" t="s">
        <v>38</v>
      </c>
      <c r="O10406" s="1" t="s">
        <v>46</v>
      </c>
    </row>
    <row r="10407" spans="2:15" x14ac:dyDescent="0.3">
      <c r="B10407" s="1" t="s">
        <v>21</v>
      </c>
      <c r="C10407" s="1" t="str">
        <f>"4차"</f>
        <v>4차</v>
      </c>
      <c r="D10407" s="1" t="str">
        <f>"9728R21144"</f>
        <v>9728R21144</v>
      </c>
      <c r="E10407" s="1" t="s">
        <v>10</v>
      </c>
      <c r="F10407" s="1" t="str">
        <f>"10.10.86.202"</f>
        <v>10.10.86.202</v>
      </c>
      <c r="G10407" s="1" t="str">
        <f>"9728R211"</f>
        <v>9728R211</v>
      </c>
      <c r="H10407" s="1" t="str">
        <f>"서부간 17R4"</f>
        <v>서부간 17R4</v>
      </c>
      <c r="I10407" s="1" t="s">
        <v>8</v>
      </c>
      <c r="J10407" s="1" t="str">
        <f>"53/53"</f>
        <v>53/53</v>
      </c>
      <c r="K10407" s="1" t="str">
        <f>"2026-07-29 13:18:12"</f>
        <v>2026-07-29 13:18:12</v>
      </c>
      <c r="L10407" s="1" t="str">
        <f>"2019-10-21 09:08:01"</f>
        <v>2019-10-21 09:08:01</v>
      </c>
      <c r="M10407" s="1" t="s">
        <v>1</v>
      </c>
      <c r="N10407" s="1" t="s">
        <v>38</v>
      </c>
      <c r="O10407" s="1" t="s">
        <v>46</v>
      </c>
    </row>
    <row r="10408" spans="2:15" x14ac:dyDescent="0.3">
      <c r="B10408" s="1" t="s">
        <v>21</v>
      </c>
      <c r="C10408" s="1" t="str">
        <f>"4차"</f>
        <v>4차</v>
      </c>
      <c r="D10408" s="1" t="str">
        <f>"9728R21244"</f>
        <v>9728R21244</v>
      </c>
      <c r="E10408" s="1" t="s">
        <v>10</v>
      </c>
      <c r="F10408" s="1" t="str">
        <f>"10.10.86.218"</f>
        <v>10.10.86.218</v>
      </c>
      <c r="G10408" s="1" t="str">
        <f>"9728R212"</f>
        <v>9728R212</v>
      </c>
      <c r="H10408" s="1" t="str">
        <f>"서부간 17R4R1"</f>
        <v>서부간 17R4R1</v>
      </c>
      <c r="I10408" s="1" t="s">
        <v>8</v>
      </c>
      <c r="J10408" s="1" t="str">
        <f>"42/42"</f>
        <v>42/42</v>
      </c>
      <c r="K10408" s="1" t="str">
        <f>"2026-07-29 13:18:11"</f>
        <v>2026-07-29 13:18:11</v>
      </c>
      <c r="L10408" s="1" t="str">
        <f>"2019-10-21 09:12:17"</f>
        <v>2019-10-21 09:12:17</v>
      </c>
      <c r="M10408" s="1" t="s">
        <v>1</v>
      </c>
      <c r="N10408" s="1" t="s">
        <v>38</v>
      </c>
      <c r="O10408" s="1" t="s">
        <v>46</v>
      </c>
    </row>
    <row r="10409" spans="2:15" x14ac:dyDescent="0.3">
      <c r="B10409" s="1" t="s">
        <v>21</v>
      </c>
      <c r="C10409" s="1" t="str">
        <f>"4차"</f>
        <v>4차</v>
      </c>
      <c r="D10409" s="1" t="str">
        <f>"9728R24144"</f>
        <v>9728R24144</v>
      </c>
      <c r="E10409" s="1" t="s">
        <v>10</v>
      </c>
      <c r="F10409" s="1" t="str">
        <f>"10.10.81.130"</f>
        <v>10.10.81.130</v>
      </c>
      <c r="G10409" s="1" t="str">
        <f>"9728R241"</f>
        <v>9728R241</v>
      </c>
      <c r="H10409" s="1" t="str">
        <f>"서부간 17R7R5"</f>
        <v>서부간 17R7R5</v>
      </c>
      <c r="I10409" s="1" t="s">
        <v>8</v>
      </c>
      <c r="J10409" s="1" t="str">
        <f>"44/47"</f>
        <v>44/47</v>
      </c>
      <c r="K10409" s="1" t="str">
        <f>"2026-07-29 13:18:11"</f>
        <v>2026-07-29 13:18:11</v>
      </c>
      <c r="L10409" s="1" t="str">
        <f>"2019-10-21 11:43:05"</f>
        <v>2019-10-21 11:43:05</v>
      </c>
      <c r="M10409" s="1" t="s">
        <v>1</v>
      </c>
      <c r="N10409" s="1" t="s">
        <v>38</v>
      </c>
      <c r="O10409" s="1" t="s">
        <v>46</v>
      </c>
    </row>
    <row r="10410" spans="2:15" x14ac:dyDescent="0.3">
      <c r="B10410" s="1" t="s">
        <v>21</v>
      </c>
      <c r="C10410" s="1" t="str">
        <f>"3차"</f>
        <v>3차</v>
      </c>
      <c r="D10410" s="1" t="str">
        <f>"9728R24339"</f>
        <v>9728R24339</v>
      </c>
      <c r="E10410" s="1" t="s">
        <v>10</v>
      </c>
      <c r="F10410" s="1" t="str">
        <f>"10.12.129.161"</f>
        <v>10.12.129.161</v>
      </c>
      <c r="G10410" s="1" t="str">
        <f>"9728R243"</f>
        <v>9728R243</v>
      </c>
      <c r="H10410" s="1" t="str">
        <f>"서부간 17R7R3"</f>
        <v>서부간 17R7R3</v>
      </c>
      <c r="I10410" s="1" t="s">
        <v>8</v>
      </c>
      <c r="J10410" s="1" t="str">
        <f>"21/21"</f>
        <v>21/21</v>
      </c>
      <c r="K10410" s="1" t="str">
        <f>"2026-07-29 13:18:10"</f>
        <v>2026-07-29 13:18:10</v>
      </c>
      <c r="L10410" s="1" t="str">
        <f>"2018-04-26 12:31:29"</f>
        <v>2018-04-26 12:31:29</v>
      </c>
      <c r="M10410" s="1" t="s">
        <v>0</v>
      </c>
      <c r="N10410" s="1" t="s">
        <v>38</v>
      </c>
      <c r="O10410" s="1" t="s">
        <v>46</v>
      </c>
    </row>
    <row r="10411" spans="2:15" x14ac:dyDescent="0.3">
      <c r="B10411" s="1" t="s">
        <v>21</v>
      </c>
      <c r="C10411" s="1" t="str">
        <f t="shared" ref="C10411:C10421" si="523">"4차"</f>
        <v>4차</v>
      </c>
      <c r="D10411" s="1" t="str">
        <f>"9728R26144"</f>
        <v>9728R26144</v>
      </c>
      <c r="E10411" s="1" t="s">
        <v>10</v>
      </c>
      <c r="F10411" s="1" t="str">
        <f>"10.10.101.114"</f>
        <v>10.10.101.114</v>
      </c>
      <c r="G10411" s="1" t="str">
        <f>"9728R261"</f>
        <v>9728R261</v>
      </c>
      <c r="H10411" s="1" t="str">
        <f>"광천간 55R2"</f>
        <v>광천간 55R2</v>
      </c>
      <c r="I10411" s="1" t="s">
        <v>8</v>
      </c>
      <c r="J10411" s="1" t="str">
        <f>"25/25"</f>
        <v>25/25</v>
      </c>
      <c r="K10411" s="1" t="str">
        <f t="shared" ref="K10411:K10421" si="524">"2026-07-29 13:18:11"</f>
        <v>2026-07-29 13:18:11</v>
      </c>
      <c r="L10411" s="1" t="str">
        <f>"2019-09-30 12:03:27"</f>
        <v>2019-09-30 12:03:27</v>
      </c>
      <c r="M10411" s="1" t="s">
        <v>1</v>
      </c>
      <c r="N10411" s="1" t="s">
        <v>38</v>
      </c>
      <c r="O10411" s="1" t="s">
        <v>46</v>
      </c>
    </row>
    <row r="10412" spans="2:15" x14ac:dyDescent="0.3">
      <c r="B10412" s="1" t="s">
        <v>21</v>
      </c>
      <c r="C10412" s="1" t="str">
        <f t="shared" si="523"/>
        <v>4차</v>
      </c>
      <c r="D10412" s="1" t="str">
        <f>"9728R30344"</f>
        <v>9728R30344</v>
      </c>
      <c r="E10412" s="1" t="s">
        <v>10</v>
      </c>
      <c r="F10412" s="1" t="str">
        <f>"10.10.75.66"</f>
        <v>10.10.75.66</v>
      </c>
      <c r="G10412" s="1" t="str">
        <f>"9728R303"</f>
        <v>9728R303</v>
      </c>
      <c r="H10412" s="1" t="str">
        <f>"서부간 17R3L1"</f>
        <v>서부간 17R3L1</v>
      </c>
      <c r="I10412" s="1" t="s">
        <v>8</v>
      </c>
      <c r="J10412" s="1" t="str">
        <f>"32/32"</f>
        <v>32/32</v>
      </c>
      <c r="K10412" s="1" t="str">
        <f t="shared" si="524"/>
        <v>2026-07-29 13:18:11</v>
      </c>
      <c r="L10412" s="1" t="str">
        <f>"2019-10-21 09:23:03"</f>
        <v>2019-10-21 09:23:03</v>
      </c>
      <c r="M10412" s="1" t="s">
        <v>1</v>
      </c>
      <c r="N10412" s="1" t="s">
        <v>38</v>
      </c>
      <c r="O10412" s="1" t="s">
        <v>46</v>
      </c>
    </row>
    <row r="10413" spans="2:15" x14ac:dyDescent="0.3">
      <c r="B10413" s="1" t="s">
        <v>21</v>
      </c>
      <c r="C10413" s="1" t="str">
        <f t="shared" si="523"/>
        <v>4차</v>
      </c>
      <c r="D10413" s="1" t="str">
        <f>"9728R32244"</f>
        <v>9728R32244</v>
      </c>
      <c r="E10413" s="1" t="s">
        <v>10</v>
      </c>
      <c r="F10413" s="1" t="str">
        <f>"10.10.64.234"</f>
        <v>10.10.64.234</v>
      </c>
      <c r="G10413" s="1" t="str">
        <f>"9728R322"</f>
        <v>9728R322</v>
      </c>
      <c r="H10413" s="1" t="str">
        <f>"서부간 17R4R3"</f>
        <v>서부간 17R4R3</v>
      </c>
      <c r="I10413" s="1" t="s">
        <v>8</v>
      </c>
      <c r="J10413" s="1" t="str">
        <f>"66/66"</f>
        <v>66/66</v>
      </c>
      <c r="K10413" s="1" t="str">
        <f t="shared" si="524"/>
        <v>2026-07-29 13:18:11</v>
      </c>
      <c r="L10413" s="1" t="str">
        <f>"2019-10-21 09:23:02"</f>
        <v>2019-10-21 09:23:02</v>
      </c>
      <c r="M10413" s="1" t="s">
        <v>1</v>
      </c>
      <c r="N10413" s="1" t="s">
        <v>38</v>
      </c>
      <c r="O10413" s="1" t="s">
        <v>46</v>
      </c>
    </row>
    <row r="10414" spans="2:15" x14ac:dyDescent="0.3">
      <c r="B10414" s="1" t="s">
        <v>21</v>
      </c>
      <c r="C10414" s="1" t="str">
        <f t="shared" si="523"/>
        <v>4차</v>
      </c>
      <c r="D10414" s="1" t="str">
        <f>"9728R33144"</f>
        <v>9728R33144</v>
      </c>
      <c r="E10414" s="1" t="s">
        <v>10</v>
      </c>
      <c r="F10414" s="1" t="str">
        <f>"10.10.64.242"</f>
        <v>10.10.64.242</v>
      </c>
      <c r="G10414" s="1" t="str">
        <f>"9728R331"</f>
        <v>9728R331</v>
      </c>
      <c r="H10414" s="1" t="str">
        <f>"서부간 17R4R5"</f>
        <v>서부간 17R4R5</v>
      </c>
      <c r="I10414" s="1" t="s">
        <v>8</v>
      </c>
      <c r="J10414" s="1" t="str">
        <f>"47/47"</f>
        <v>47/47</v>
      </c>
      <c r="K10414" s="1" t="str">
        <f t="shared" si="524"/>
        <v>2026-07-29 13:18:11</v>
      </c>
      <c r="L10414" s="1" t="str">
        <f>"2019-10-21 09:28:47"</f>
        <v>2019-10-21 09:28:47</v>
      </c>
      <c r="M10414" s="1" t="s">
        <v>1</v>
      </c>
      <c r="N10414" s="1" t="s">
        <v>38</v>
      </c>
      <c r="O10414" s="1" t="s">
        <v>46</v>
      </c>
    </row>
    <row r="10415" spans="2:15" x14ac:dyDescent="0.3">
      <c r="B10415" s="1" t="s">
        <v>21</v>
      </c>
      <c r="C10415" s="1" t="str">
        <f t="shared" si="523"/>
        <v>4차</v>
      </c>
      <c r="D10415" s="1" t="str">
        <f>"9728R33344"</f>
        <v>9728R33344</v>
      </c>
      <c r="E10415" s="1" t="s">
        <v>10</v>
      </c>
      <c r="F10415" s="1" t="str">
        <f>"10.10.81.106"</f>
        <v>10.10.81.106</v>
      </c>
      <c r="G10415" s="1" t="str">
        <f>"9728R333"</f>
        <v>9728R333</v>
      </c>
      <c r="H10415" s="1" t="str">
        <f>"서부간 17R7R3R1"</f>
        <v>서부간 17R7R3R1</v>
      </c>
      <c r="I10415" s="1" t="s">
        <v>8</v>
      </c>
      <c r="J10415" s="1" t="str">
        <f>"26/26"</f>
        <v>26/26</v>
      </c>
      <c r="K10415" s="1" t="str">
        <f t="shared" si="524"/>
        <v>2026-07-29 13:18:11</v>
      </c>
      <c r="L10415" s="1" t="str">
        <f>"2020-01-31 14:44:55"</f>
        <v>2020-01-31 14:44:55</v>
      </c>
      <c r="M10415" s="1" t="s">
        <v>1</v>
      </c>
      <c r="N10415" s="1" t="s">
        <v>38</v>
      </c>
      <c r="O10415" s="1" t="s">
        <v>46</v>
      </c>
    </row>
    <row r="10416" spans="2:15" x14ac:dyDescent="0.3">
      <c r="B10416" s="1" t="s">
        <v>21</v>
      </c>
      <c r="C10416" s="1" t="str">
        <f t="shared" si="523"/>
        <v>4차</v>
      </c>
      <c r="D10416" s="1" t="str">
        <f>"9728R35144"</f>
        <v>9728R35144</v>
      </c>
      <c r="E10416" s="1" t="s">
        <v>10</v>
      </c>
      <c r="F10416" s="1" t="str">
        <f>"10.10.88.242"</f>
        <v>10.10.88.242</v>
      </c>
      <c r="G10416" s="1" t="str">
        <f>"9728R351"</f>
        <v>9728R351</v>
      </c>
      <c r="H10416" s="1" t="str">
        <f>"서부간 17R4R12L4"</f>
        <v>서부간 17R4R12L4</v>
      </c>
      <c r="I10416" s="1" t="s">
        <v>8</v>
      </c>
      <c r="J10416" s="1" t="str">
        <f>"19/20"</f>
        <v>19/20</v>
      </c>
      <c r="K10416" s="1" t="str">
        <f t="shared" si="524"/>
        <v>2026-07-29 13:18:11</v>
      </c>
      <c r="L10416" s="1" t="str">
        <f>"2019-10-21 09:33:03"</f>
        <v>2019-10-21 09:33:03</v>
      </c>
      <c r="M10416" s="1" t="s">
        <v>1</v>
      </c>
      <c r="N10416" s="1" t="s">
        <v>38</v>
      </c>
      <c r="O10416" s="1" t="s">
        <v>46</v>
      </c>
    </row>
    <row r="10417" spans="2:15" x14ac:dyDescent="0.3">
      <c r="B10417" s="1" t="s">
        <v>21</v>
      </c>
      <c r="C10417" s="1" t="str">
        <f t="shared" si="523"/>
        <v>4차</v>
      </c>
      <c r="D10417" s="1" t="str">
        <f>"9728R35344"</f>
        <v>9728R35344</v>
      </c>
      <c r="E10417" s="1" t="s">
        <v>10</v>
      </c>
      <c r="F10417" s="1" t="str">
        <f>"10.10.101.90"</f>
        <v>10.10.101.90</v>
      </c>
      <c r="G10417" s="1" t="str">
        <f>"9728R353"</f>
        <v>9728R353</v>
      </c>
      <c r="H10417" s="1" t="str">
        <f>"광천간 55R4"</f>
        <v>광천간 55R4</v>
      </c>
      <c r="I10417" s="1" t="s">
        <v>8</v>
      </c>
      <c r="J10417" s="1" t="str">
        <f>"22/22"</f>
        <v>22/22</v>
      </c>
      <c r="K10417" s="1" t="str">
        <f t="shared" si="524"/>
        <v>2026-07-29 13:18:11</v>
      </c>
      <c r="L10417" s="1" t="str">
        <f>"2019-10-21 13:03:20"</f>
        <v>2019-10-21 13:03:20</v>
      </c>
      <c r="M10417" s="1" t="s">
        <v>1</v>
      </c>
      <c r="N10417" s="1" t="s">
        <v>38</v>
      </c>
      <c r="O10417" s="1" t="s">
        <v>46</v>
      </c>
    </row>
    <row r="10418" spans="2:15" x14ac:dyDescent="0.3">
      <c r="B10418" s="1" t="s">
        <v>21</v>
      </c>
      <c r="C10418" s="1" t="str">
        <f t="shared" si="523"/>
        <v>4차</v>
      </c>
      <c r="D10418" s="1" t="str">
        <f>"9728R38344"</f>
        <v>9728R38344</v>
      </c>
      <c r="E10418" s="1" t="s">
        <v>10</v>
      </c>
      <c r="F10418" s="1" t="str">
        <f>"10.10.70.90"</f>
        <v>10.10.70.90</v>
      </c>
      <c r="G10418" s="1" t="str">
        <f>"9728R383"</f>
        <v>9728R383</v>
      </c>
      <c r="H10418" s="1" t="str">
        <f>"응암간 37R15L2R3"</f>
        <v>응암간 37R15L2R3</v>
      </c>
      <c r="I10418" s="1" t="s">
        <v>8</v>
      </c>
      <c r="J10418" s="1" t="str">
        <f>"30/30"</f>
        <v>30/30</v>
      </c>
      <c r="K10418" s="1" t="str">
        <f t="shared" si="524"/>
        <v>2026-07-29 13:18:11</v>
      </c>
      <c r="L10418" s="1" t="str">
        <f>"2019-12-17 16:24:40"</f>
        <v>2019-12-17 16:24:40</v>
      </c>
      <c r="M10418" s="1" t="s">
        <v>1</v>
      </c>
      <c r="N10418" s="1" t="s">
        <v>38</v>
      </c>
      <c r="O10418" s="1" t="s">
        <v>46</v>
      </c>
    </row>
    <row r="10419" spans="2:15" x14ac:dyDescent="0.3">
      <c r="B10419" s="1" t="s">
        <v>21</v>
      </c>
      <c r="C10419" s="1" t="str">
        <f t="shared" si="523"/>
        <v>4차</v>
      </c>
      <c r="D10419" s="1" t="str">
        <f>"9728R41144"</f>
        <v>9728R41144</v>
      </c>
      <c r="E10419" s="1" t="s">
        <v>10</v>
      </c>
      <c r="F10419" s="1" t="str">
        <f>"10.10.65.90"</f>
        <v>10.10.65.90</v>
      </c>
      <c r="G10419" s="1" t="str">
        <f>"9728R411"</f>
        <v>9728R411</v>
      </c>
      <c r="H10419" s="1" t="str">
        <f>"서부간 17R4R6R5"</f>
        <v>서부간 17R4R6R5</v>
      </c>
      <c r="I10419" s="1" t="s">
        <v>8</v>
      </c>
      <c r="J10419" s="1" t="str">
        <f>"34/34"</f>
        <v>34/34</v>
      </c>
      <c r="K10419" s="1" t="str">
        <f t="shared" si="524"/>
        <v>2026-07-29 13:18:11</v>
      </c>
      <c r="L10419" s="1" t="str">
        <f>"2019-10-21 09:53:04"</f>
        <v>2019-10-21 09:53:04</v>
      </c>
      <c r="M10419" s="1" t="s">
        <v>1</v>
      </c>
      <c r="N10419" s="1" t="s">
        <v>38</v>
      </c>
      <c r="O10419" s="1" t="s">
        <v>46</v>
      </c>
    </row>
    <row r="10420" spans="2:15" x14ac:dyDescent="0.3">
      <c r="B10420" s="1" t="s">
        <v>21</v>
      </c>
      <c r="C10420" s="1" t="str">
        <f t="shared" si="523"/>
        <v>4차</v>
      </c>
      <c r="D10420" s="1" t="str">
        <f>"9728R41244"</f>
        <v>9728R41244</v>
      </c>
      <c r="E10420" s="1" t="s">
        <v>10</v>
      </c>
      <c r="F10420" s="1" t="str">
        <f>"10.10.75.98"</f>
        <v>10.10.75.98</v>
      </c>
      <c r="G10420" s="1" t="str">
        <f>"9728R412"</f>
        <v>9728R412</v>
      </c>
      <c r="H10420" s="1" t="str">
        <f>"서부간 17R3R4"</f>
        <v>서부간 17R3R4</v>
      </c>
      <c r="I10420" s="1" t="s">
        <v>8</v>
      </c>
      <c r="J10420" s="1" t="str">
        <f>"55/59"</f>
        <v>55/59</v>
      </c>
      <c r="K10420" s="1" t="str">
        <f t="shared" si="524"/>
        <v>2026-07-29 13:18:11</v>
      </c>
      <c r="L10420" s="1" t="str">
        <f>"2019-10-21 09:13:03"</f>
        <v>2019-10-21 09:13:03</v>
      </c>
      <c r="M10420" s="1" t="s">
        <v>1</v>
      </c>
      <c r="N10420" s="1" t="s">
        <v>38</v>
      </c>
      <c r="O10420" s="1" t="s">
        <v>46</v>
      </c>
    </row>
    <row r="10421" spans="2:15" x14ac:dyDescent="0.3">
      <c r="B10421" s="1" t="s">
        <v>21</v>
      </c>
      <c r="C10421" s="1" t="str">
        <f t="shared" si="523"/>
        <v>4차</v>
      </c>
      <c r="D10421" s="1" t="str">
        <f>"9728R42444"</f>
        <v>9728R42444</v>
      </c>
      <c r="E10421" s="1" t="s">
        <v>10</v>
      </c>
      <c r="F10421" s="1" t="str">
        <f>"10.10.109.202"</f>
        <v>10.10.109.202</v>
      </c>
      <c r="G10421" s="1" t="str">
        <f>"9728R424"</f>
        <v>9728R424</v>
      </c>
      <c r="H10421" s="1" t="str">
        <f>"서부간 17R4R6R4"</f>
        <v>서부간 17R4R6R4</v>
      </c>
      <c r="I10421" s="1" t="s">
        <v>8</v>
      </c>
      <c r="J10421" s="1" t="str">
        <f>"13/19"</f>
        <v>13/19</v>
      </c>
      <c r="K10421" s="1" t="str">
        <f t="shared" si="524"/>
        <v>2026-07-29 13:18:11</v>
      </c>
      <c r="L10421" s="1" t="str">
        <f>"2019-10-21 09:53:33"</f>
        <v>2019-10-21 09:53:33</v>
      </c>
      <c r="M10421" s="1" t="s">
        <v>1</v>
      </c>
      <c r="N10421" s="1" t="s">
        <v>38</v>
      </c>
      <c r="O10421" s="1" t="s">
        <v>46</v>
      </c>
    </row>
    <row r="10422" spans="2:15" x14ac:dyDescent="0.3">
      <c r="B10422" s="1" t="s">
        <v>21</v>
      </c>
      <c r="C10422" s="1" t="str">
        <f>"3차"</f>
        <v>3차</v>
      </c>
      <c r="D10422" s="1" t="str">
        <f>"9728R44139"</f>
        <v>9728R44139</v>
      </c>
      <c r="E10422" s="1" t="s">
        <v>10</v>
      </c>
      <c r="F10422" s="1" t="str">
        <f>"10.14.8.31"</f>
        <v>10.14.8.31</v>
      </c>
      <c r="G10422" s="1" t="str">
        <f>"9728R441"</f>
        <v>9728R441</v>
      </c>
      <c r="H10422" s="1" t="str">
        <f>"서부간 17R4R6"</f>
        <v>서부간 17R4R6</v>
      </c>
      <c r="I10422" s="1" t="s">
        <v>8</v>
      </c>
      <c r="J10422" s="1" t="str">
        <f>"12/12"</f>
        <v>12/12</v>
      </c>
      <c r="K10422" s="1" t="str">
        <f>"2026-07-29 13:18:10"</f>
        <v>2026-07-29 13:18:10</v>
      </c>
      <c r="L10422" s="1" t="str">
        <f>"2018-04-26 13:00:43"</f>
        <v>2018-04-26 13:00:43</v>
      </c>
      <c r="M10422" s="1" t="s">
        <v>3</v>
      </c>
      <c r="N10422" s="1" t="s">
        <v>38</v>
      </c>
      <c r="O10422" s="1" t="s">
        <v>46</v>
      </c>
    </row>
    <row r="10423" spans="2:15" x14ac:dyDescent="0.3">
      <c r="B10423" s="1" t="s">
        <v>21</v>
      </c>
      <c r="C10423" s="1" t="str">
        <f t="shared" ref="C10423:C10446" si="525">"4차"</f>
        <v>4차</v>
      </c>
      <c r="D10423" s="1" t="str">
        <f>"9728R46144"</f>
        <v>9728R46144</v>
      </c>
      <c r="E10423" s="1" t="s">
        <v>10</v>
      </c>
      <c r="F10423" s="1" t="str">
        <f>"10.10.70.10"</f>
        <v>10.10.70.10</v>
      </c>
      <c r="G10423" s="1" t="str">
        <f>"9728R461"</f>
        <v>9728R461</v>
      </c>
      <c r="H10423" s="1" t="str">
        <f>"서부간 17R4R12L3"</f>
        <v>서부간 17R4R12L3</v>
      </c>
      <c r="I10423" s="1" t="s">
        <v>8</v>
      </c>
      <c r="J10423" s="1" t="str">
        <f>"55/55"</f>
        <v>55/55</v>
      </c>
      <c r="K10423" s="1" t="str">
        <f>"2026-07-29 13:18:11"</f>
        <v>2026-07-29 13:18:11</v>
      </c>
      <c r="L10423" s="1" t="str">
        <f>"2019-10-21 09:36:18"</f>
        <v>2019-10-21 09:36:18</v>
      </c>
      <c r="M10423" s="1" t="s">
        <v>1</v>
      </c>
      <c r="N10423" s="1" t="s">
        <v>38</v>
      </c>
      <c r="O10423" s="1" t="s">
        <v>46</v>
      </c>
    </row>
    <row r="10424" spans="2:15" x14ac:dyDescent="0.3">
      <c r="B10424" s="1" t="s">
        <v>21</v>
      </c>
      <c r="C10424" s="1" t="str">
        <f t="shared" si="525"/>
        <v>4차</v>
      </c>
      <c r="D10424" s="1" t="str">
        <f>"9728R47244"</f>
        <v>9728R47244</v>
      </c>
      <c r="E10424" s="1" t="s">
        <v>10</v>
      </c>
      <c r="F10424" s="1" t="str">
        <f>"10.10.79.138"</f>
        <v>10.10.79.138</v>
      </c>
      <c r="G10424" s="1" t="str">
        <f>"9728R472"</f>
        <v>9728R472</v>
      </c>
      <c r="H10424" s="1" t="str">
        <f>"광천간 59"</f>
        <v>광천간 59</v>
      </c>
      <c r="I10424" s="1" t="s">
        <v>8</v>
      </c>
      <c r="J10424" s="1" t="str">
        <f>"3/3"</f>
        <v>3/3</v>
      </c>
      <c r="K10424" s="1" t="str">
        <f>"2026-07-29 13:18:11"</f>
        <v>2026-07-29 13:18:11</v>
      </c>
      <c r="L10424" s="1" t="str">
        <f>"2019-09-30 13:05:43"</f>
        <v>2019-09-30 13:05:43</v>
      </c>
      <c r="M10424" s="1" t="s">
        <v>1</v>
      </c>
      <c r="N10424" s="1" t="s">
        <v>38</v>
      </c>
      <c r="O10424" s="1" t="s">
        <v>46</v>
      </c>
    </row>
    <row r="10425" spans="2:15" x14ac:dyDescent="0.3">
      <c r="B10425" s="1" t="s">
        <v>21</v>
      </c>
      <c r="C10425" s="1" t="str">
        <f t="shared" si="525"/>
        <v>4차</v>
      </c>
      <c r="D10425" s="1" t="str">
        <f>"9728R49144"</f>
        <v>9728R49144</v>
      </c>
      <c r="E10425" s="1" t="s">
        <v>10</v>
      </c>
      <c r="F10425" s="1" t="str">
        <f>"10.10.90.10"</f>
        <v>10.10.90.10</v>
      </c>
      <c r="G10425" s="1" t="str">
        <f>"9728R491"</f>
        <v>9728R491</v>
      </c>
      <c r="H10425" s="1" t="str">
        <f>"응암간 37R15L4R1"</f>
        <v>응암간 37R15L4R1</v>
      </c>
      <c r="I10425" s="1" t="s">
        <v>8</v>
      </c>
      <c r="J10425" s="1" t="str">
        <f>"35/35"</f>
        <v>35/35</v>
      </c>
      <c r="K10425" s="1" t="str">
        <f>"2026-07-29 13:18:11"</f>
        <v>2026-07-29 13:18:11</v>
      </c>
      <c r="L10425" s="1" t="str">
        <f>"2019-12-11 18:21:52"</f>
        <v>2019-12-11 18:21:52</v>
      </c>
      <c r="M10425" s="1" t="s">
        <v>1</v>
      </c>
      <c r="N10425" s="1" t="s">
        <v>38</v>
      </c>
      <c r="O10425" s="1" t="s">
        <v>46</v>
      </c>
    </row>
    <row r="10426" spans="2:15" x14ac:dyDescent="0.3">
      <c r="B10426" s="1" t="s">
        <v>21</v>
      </c>
      <c r="C10426" s="1" t="str">
        <f t="shared" si="525"/>
        <v>4차</v>
      </c>
      <c r="D10426" s="1" t="str">
        <f>"9728R50144"</f>
        <v>9728R50144</v>
      </c>
      <c r="E10426" s="1" t="s">
        <v>10</v>
      </c>
      <c r="F10426" s="1" t="str">
        <f>"10.10.115.202"</f>
        <v>10.10.115.202</v>
      </c>
      <c r="G10426" s="1" t="str">
        <f>"9728R501"</f>
        <v>9728R501</v>
      </c>
      <c r="H10426" s="1" t="str">
        <f>"한신간 28"</f>
        <v>한신간 28</v>
      </c>
      <c r="I10426" s="1" t="s">
        <v>8</v>
      </c>
      <c r="J10426" s="1" t="str">
        <f>"17/17"</f>
        <v>17/17</v>
      </c>
      <c r="K10426" s="1" t="str">
        <f t="shared" ref="K10426:K10454" si="526">"2026-07-29 13:18:12"</f>
        <v>2026-07-29 13:18:12</v>
      </c>
      <c r="L10426" s="1" t="str">
        <f>"2019-12-11 18:23:17"</f>
        <v>2019-12-11 18:23:17</v>
      </c>
      <c r="M10426" s="1" t="s">
        <v>1</v>
      </c>
      <c r="N10426" s="1" t="s">
        <v>38</v>
      </c>
      <c r="O10426" s="1" t="s">
        <v>46</v>
      </c>
    </row>
    <row r="10427" spans="2:15" x14ac:dyDescent="0.3">
      <c r="B10427" s="1" t="s">
        <v>21</v>
      </c>
      <c r="C10427" s="1" t="str">
        <f t="shared" si="525"/>
        <v>4차</v>
      </c>
      <c r="D10427" s="1" t="str">
        <f>"9728R51144"</f>
        <v>9728R51144</v>
      </c>
      <c r="E10427" s="1" t="s">
        <v>10</v>
      </c>
      <c r="F10427" s="1" t="str">
        <f>"10.10.73.226"</f>
        <v>10.10.73.226</v>
      </c>
      <c r="G10427" s="1" t="str">
        <f>"9728R511"</f>
        <v>9728R511</v>
      </c>
      <c r="H10427" s="1" t="str">
        <f>"서부간 14"</f>
        <v>서부간 14</v>
      </c>
      <c r="I10427" s="1" t="s">
        <v>8</v>
      </c>
      <c r="J10427" s="1" t="str">
        <f>"19/21"</f>
        <v>19/21</v>
      </c>
      <c r="K10427" s="1" t="str">
        <f t="shared" si="526"/>
        <v>2026-07-29 13:18:12</v>
      </c>
      <c r="L10427" s="1" t="str">
        <f>"2019-10-21 09:02:47"</f>
        <v>2019-10-21 09:02:47</v>
      </c>
      <c r="M10427" s="1" t="s">
        <v>1</v>
      </c>
      <c r="N10427" s="1" t="s">
        <v>38</v>
      </c>
      <c r="O10427" s="1" t="s">
        <v>46</v>
      </c>
    </row>
    <row r="10428" spans="2:15" x14ac:dyDescent="0.3">
      <c r="B10428" s="1" t="s">
        <v>21</v>
      </c>
      <c r="C10428" s="1" t="str">
        <f t="shared" si="525"/>
        <v>4차</v>
      </c>
      <c r="D10428" s="1" t="str">
        <f>"9728R52139"</f>
        <v>9728R52139</v>
      </c>
      <c r="E10428" s="1" t="s">
        <v>10</v>
      </c>
      <c r="F10428" s="1" t="str">
        <f>"10.128.80.34"</f>
        <v>10.128.80.34</v>
      </c>
      <c r="G10428" s="1" t="str">
        <f>"9728R521"</f>
        <v>9728R521</v>
      </c>
      <c r="H10428" s="1" t="str">
        <f>"서부간 17R4R6R3"</f>
        <v>서부간 17R4R6R3</v>
      </c>
      <c r="I10428" s="1" t="s">
        <v>8</v>
      </c>
      <c r="J10428" s="1" t="str">
        <f>"42/42"</f>
        <v>42/42</v>
      </c>
      <c r="K10428" s="1" t="str">
        <f t="shared" si="526"/>
        <v>2026-07-29 13:18:12</v>
      </c>
      <c r="L10428" s="1" t="str">
        <f>"2018-10-02 11:19:28"</f>
        <v>2018-10-02 11:19:28</v>
      </c>
      <c r="M10428" s="1" t="s">
        <v>45</v>
      </c>
      <c r="N10428" s="1" t="s">
        <v>38</v>
      </c>
      <c r="O10428" s="1" t="s">
        <v>46</v>
      </c>
    </row>
    <row r="10429" spans="2:15" x14ac:dyDescent="0.3">
      <c r="B10429" s="1" t="s">
        <v>21</v>
      </c>
      <c r="C10429" s="1" t="str">
        <f t="shared" si="525"/>
        <v>4차</v>
      </c>
      <c r="D10429" s="1" t="str">
        <f>"9728R52344"</f>
        <v>9728R52344</v>
      </c>
      <c r="E10429" s="1" t="s">
        <v>10</v>
      </c>
      <c r="F10429" s="1" t="str">
        <f>"10.10.25.122"</f>
        <v>10.10.25.122</v>
      </c>
      <c r="G10429" s="1" t="str">
        <f>"9728R523"</f>
        <v>9728R523</v>
      </c>
      <c r="H10429" s="1" t="str">
        <f>"서부간 17R4R6R4H1"</f>
        <v>서부간 17R4R6R4H1</v>
      </c>
      <c r="I10429" s="1" t="s">
        <v>8</v>
      </c>
      <c r="J10429" s="1" t="str">
        <f>"58/58"</f>
        <v>58/58</v>
      </c>
      <c r="K10429" s="1" t="str">
        <f t="shared" si="526"/>
        <v>2026-07-29 13:18:12</v>
      </c>
      <c r="L10429" s="1" t="str">
        <f>"2019-10-21 09:31:17"</f>
        <v>2019-10-21 09:31:17</v>
      </c>
      <c r="M10429" s="1" t="s">
        <v>1</v>
      </c>
      <c r="N10429" s="1" t="s">
        <v>38</v>
      </c>
      <c r="O10429" s="1" t="s">
        <v>46</v>
      </c>
    </row>
    <row r="10430" spans="2:15" x14ac:dyDescent="0.3">
      <c r="B10430" s="1" t="s">
        <v>21</v>
      </c>
      <c r="C10430" s="1" t="str">
        <f t="shared" si="525"/>
        <v>4차</v>
      </c>
      <c r="D10430" s="1" t="str">
        <f>"9728R53144"</f>
        <v>9728R53144</v>
      </c>
      <c r="E10430" s="1" t="s">
        <v>10</v>
      </c>
      <c r="F10430" s="1" t="str">
        <f>"10.10.64.250"</f>
        <v>10.10.64.250</v>
      </c>
      <c r="G10430" s="1" t="str">
        <f>"9728R531"</f>
        <v>9728R531</v>
      </c>
      <c r="H10430" s="1" t="str">
        <f>"서부간 17R4R6R2"</f>
        <v>서부간 17R4R6R2</v>
      </c>
      <c r="I10430" s="1" t="s">
        <v>8</v>
      </c>
      <c r="J10430" s="1" t="str">
        <f>"37/37"</f>
        <v>37/37</v>
      </c>
      <c r="K10430" s="1" t="str">
        <f t="shared" si="526"/>
        <v>2026-07-29 13:18:12</v>
      </c>
      <c r="L10430" s="1" t="str">
        <f>"2019-10-21 09:26:18"</f>
        <v>2019-10-21 09:26:18</v>
      </c>
      <c r="M10430" s="1" t="s">
        <v>1</v>
      </c>
      <c r="N10430" s="1" t="s">
        <v>38</v>
      </c>
      <c r="O10430" s="1" t="s">
        <v>46</v>
      </c>
    </row>
    <row r="10431" spans="2:15" x14ac:dyDescent="0.3">
      <c r="B10431" s="1" t="s">
        <v>21</v>
      </c>
      <c r="C10431" s="1" t="str">
        <f t="shared" si="525"/>
        <v>4차</v>
      </c>
      <c r="D10431" s="1" t="str">
        <f>"9728R53244"</f>
        <v>9728R53244</v>
      </c>
      <c r="E10431" s="1" t="s">
        <v>10</v>
      </c>
      <c r="F10431" s="1" t="str">
        <f>"10.10.65.162"</f>
        <v>10.10.65.162</v>
      </c>
      <c r="G10431" s="1" t="str">
        <f>"9728R532"</f>
        <v>9728R532</v>
      </c>
      <c r="H10431" s="1" t="str">
        <f>"서부간 17R4R7R1"</f>
        <v>서부간 17R4R7R1</v>
      </c>
      <c r="I10431" s="1" t="s">
        <v>8</v>
      </c>
      <c r="J10431" s="1" t="str">
        <f>"32/32"</f>
        <v>32/32</v>
      </c>
      <c r="K10431" s="1" t="str">
        <f t="shared" si="526"/>
        <v>2026-07-29 13:18:12</v>
      </c>
      <c r="L10431" s="1" t="str">
        <f>"2019-10-21 09:55:49"</f>
        <v>2019-10-21 09:55:49</v>
      </c>
      <c r="M10431" s="1" t="s">
        <v>1</v>
      </c>
      <c r="N10431" s="1" t="s">
        <v>38</v>
      </c>
      <c r="O10431" s="1" t="s">
        <v>46</v>
      </c>
    </row>
    <row r="10432" spans="2:15" x14ac:dyDescent="0.3">
      <c r="B10432" s="1" t="s">
        <v>21</v>
      </c>
      <c r="C10432" s="1" t="str">
        <f t="shared" si="525"/>
        <v>4차</v>
      </c>
      <c r="D10432" s="1" t="str">
        <f>"9728R54144"</f>
        <v>9728R54144</v>
      </c>
      <c r="E10432" s="1" t="s">
        <v>10</v>
      </c>
      <c r="F10432" s="1" t="str">
        <f>"10.10.65.154"</f>
        <v>10.10.65.154</v>
      </c>
      <c r="G10432" s="1" t="str">
        <f>"9728R541"</f>
        <v>9728R541</v>
      </c>
      <c r="H10432" s="1" t="str">
        <f>"서부간 17R4R7"</f>
        <v>서부간 17R4R7</v>
      </c>
      <c r="I10432" s="1" t="s">
        <v>8</v>
      </c>
      <c r="J10432" s="1" t="str">
        <f>"77/77"</f>
        <v>77/77</v>
      </c>
      <c r="K10432" s="1" t="str">
        <f t="shared" si="526"/>
        <v>2026-07-29 13:18:12</v>
      </c>
      <c r="L10432" s="1" t="str">
        <f>"2019-10-21 10:03:04"</f>
        <v>2019-10-21 10:03:04</v>
      </c>
      <c r="M10432" s="1" t="s">
        <v>1</v>
      </c>
      <c r="N10432" s="1" t="s">
        <v>38</v>
      </c>
      <c r="O10432" s="1" t="s">
        <v>46</v>
      </c>
    </row>
    <row r="10433" spans="2:15" x14ac:dyDescent="0.3">
      <c r="B10433" s="1" t="s">
        <v>21</v>
      </c>
      <c r="C10433" s="1" t="str">
        <f t="shared" si="525"/>
        <v>4차</v>
      </c>
      <c r="D10433" s="1" t="str">
        <f>"9728R56144"</f>
        <v>9728R56144</v>
      </c>
      <c r="E10433" s="1" t="s">
        <v>10</v>
      </c>
      <c r="F10433" s="1" t="str">
        <f>"10.10.87.106"</f>
        <v>10.10.87.106</v>
      </c>
      <c r="G10433" s="1" t="str">
        <f>"9728R561"</f>
        <v>9728R561</v>
      </c>
      <c r="H10433" s="1" t="str">
        <f>"서부간 17R4R12L1"</f>
        <v>서부간 17R4R12L1</v>
      </c>
      <c r="I10433" s="1" t="s">
        <v>8</v>
      </c>
      <c r="J10433" s="1" t="str">
        <f>"37/37"</f>
        <v>37/37</v>
      </c>
      <c r="K10433" s="1" t="str">
        <f t="shared" si="526"/>
        <v>2026-07-29 13:18:12</v>
      </c>
      <c r="L10433" s="1" t="str">
        <f>"2019-10-21 09:25:32"</f>
        <v>2019-10-21 09:25:32</v>
      </c>
      <c r="M10433" s="1" t="s">
        <v>1</v>
      </c>
      <c r="N10433" s="1" t="s">
        <v>38</v>
      </c>
      <c r="O10433" s="1" t="s">
        <v>46</v>
      </c>
    </row>
    <row r="10434" spans="2:15" x14ac:dyDescent="0.3">
      <c r="B10434" s="1" t="s">
        <v>21</v>
      </c>
      <c r="C10434" s="1" t="str">
        <f t="shared" si="525"/>
        <v>4차</v>
      </c>
      <c r="D10434" s="1" t="str">
        <f>"9728R56244"</f>
        <v>9728R56244</v>
      </c>
      <c r="E10434" s="1" t="s">
        <v>10</v>
      </c>
      <c r="F10434" s="1" t="str">
        <f>"10.10.87.138"</f>
        <v>10.10.87.138</v>
      </c>
      <c r="G10434" s="1" t="str">
        <f>"9728R562"</f>
        <v>9728R562</v>
      </c>
      <c r="H10434" s="1" t="str">
        <f>"서부간 17R4R12L2"</f>
        <v>서부간 17R4R12L2</v>
      </c>
      <c r="I10434" s="1" t="s">
        <v>8</v>
      </c>
      <c r="J10434" s="1" t="str">
        <f>"48/48"</f>
        <v>48/48</v>
      </c>
      <c r="K10434" s="1" t="str">
        <f t="shared" si="526"/>
        <v>2026-07-29 13:18:12</v>
      </c>
      <c r="L10434" s="1" t="str">
        <f>"2019-10-21 09:20:19"</f>
        <v>2019-10-21 09:20:19</v>
      </c>
      <c r="M10434" s="1" t="s">
        <v>1</v>
      </c>
      <c r="N10434" s="1" t="s">
        <v>38</v>
      </c>
      <c r="O10434" s="1" t="s">
        <v>46</v>
      </c>
    </row>
    <row r="10435" spans="2:15" x14ac:dyDescent="0.3">
      <c r="B10435" s="1" t="s">
        <v>21</v>
      </c>
      <c r="C10435" s="1" t="str">
        <f t="shared" si="525"/>
        <v>4차</v>
      </c>
      <c r="D10435" s="1" t="str">
        <f>"9728R59144"</f>
        <v>9728R59144</v>
      </c>
      <c r="E10435" s="1" t="s">
        <v>10</v>
      </c>
      <c r="F10435" s="1" t="str">
        <f>"10.10.121.234"</f>
        <v>10.10.121.234</v>
      </c>
      <c r="G10435" s="1" t="str">
        <f>"9728R591"</f>
        <v>9728R591</v>
      </c>
      <c r="H10435" s="1" t="str">
        <f>"응암간 37R15L2R7"</f>
        <v>응암간 37R15L2R7</v>
      </c>
      <c r="I10435" s="1" t="s">
        <v>8</v>
      </c>
      <c r="J10435" s="1" t="str">
        <f>"25/25"</f>
        <v>25/25</v>
      </c>
      <c r="K10435" s="1" t="str">
        <f t="shared" si="526"/>
        <v>2026-07-29 13:18:12</v>
      </c>
      <c r="L10435" s="1" t="str">
        <f>"2020-01-20 09:15:24"</f>
        <v>2020-01-20 09:15:24</v>
      </c>
      <c r="M10435" s="1" t="s">
        <v>1</v>
      </c>
      <c r="N10435" s="1" t="s">
        <v>38</v>
      </c>
      <c r="O10435" s="1" t="s">
        <v>46</v>
      </c>
    </row>
    <row r="10436" spans="2:15" x14ac:dyDescent="0.3">
      <c r="B10436" s="1" t="s">
        <v>21</v>
      </c>
      <c r="C10436" s="1" t="str">
        <f t="shared" si="525"/>
        <v>4차</v>
      </c>
      <c r="D10436" s="1" t="str">
        <f>"9728R62244"</f>
        <v>9728R62244</v>
      </c>
      <c r="E10436" s="1" t="s">
        <v>10</v>
      </c>
      <c r="F10436" s="1" t="str">
        <f>"10.10.73.202"</f>
        <v>10.10.73.202</v>
      </c>
      <c r="G10436" s="1" t="str">
        <f>"9728R622"</f>
        <v>9728R622</v>
      </c>
      <c r="H10436" s="1" t="str">
        <f>"서부간 13"</f>
        <v>서부간 13</v>
      </c>
      <c r="I10436" s="1" t="s">
        <v>8</v>
      </c>
      <c r="J10436" s="1" t="str">
        <f>"28/28"</f>
        <v>28/28</v>
      </c>
      <c r="K10436" s="1" t="str">
        <f t="shared" si="526"/>
        <v>2026-07-29 13:18:12</v>
      </c>
      <c r="L10436" s="1" t="str">
        <f>"2019-10-21 09:08:02"</f>
        <v>2019-10-21 09:08:02</v>
      </c>
      <c r="M10436" s="1" t="s">
        <v>1</v>
      </c>
      <c r="N10436" s="1" t="s">
        <v>38</v>
      </c>
      <c r="O10436" s="1" t="s">
        <v>46</v>
      </c>
    </row>
    <row r="10437" spans="2:15" x14ac:dyDescent="0.3">
      <c r="B10437" s="1" t="s">
        <v>21</v>
      </c>
      <c r="C10437" s="1" t="str">
        <f t="shared" si="525"/>
        <v>4차</v>
      </c>
      <c r="D10437" s="1" t="str">
        <f>"9728R64144"</f>
        <v>9728R64144</v>
      </c>
      <c r="E10437" s="1" t="s">
        <v>10</v>
      </c>
      <c r="F10437" s="1" t="str">
        <f>"10.10.65.170"</f>
        <v>10.10.65.170</v>
      </c>
      <c r="G10437" s="1" t="str">
        <f>"9728R641"</f>
        <v>9728R641</v>
      </c>
      <c r="H10437" s="1" t="str">
        <f>"서부간 17R4R9"</f>
        <v>서부간 17R4R9</v>
      </c>
      <c r="I10437" s="1" t="s">
        <v>8</v>
      </c>
      <c r="J10437" s="1" t="str">
        <f>"54/59"</f>
        <v>54/59</v>
      </c>
      <c r="K10437" s="1" t="str">
        <f t="shared" si="526"/>
        <v>2026-07-29 13:18:12</v>
      </c>
      <c r="L10437" s="1" t="str">
        <f>"2020-02-10 18:34:13"</f>
        <v>2020-02-10 18:34:13</v>
      </c>
      <c r="M10437" s="1" t="s">
        <v>1</v>
      </c>
      <c r="N10437" s="1" t="s">
        <v>38</v>
      </c>
      <c r="O10437" s="1" t="s">
        <v>46</v>
      </c>
    </row>
    <row r="10438" spans="2:15" x14ac:dyDescent="0.3">
      <c r="B10438" s="1" t="s">
        <v>21</v>
      </c>
      <c r="C10438" s="1" t="str">
        <f t="shared" si="525"/>
        <v>4차</v>
      </c>
      <c r="D10438" s="1" t="str">
        <f>"9728R64344"</f>
        <v>9728R64344</v>
      </c>
      <c r="E10438" s="1" t="s">
        <v>10</v>
      </c>
      <c r="F10438" s="1" t="str">
        <f>"10.10.73.234"</f>
        <v>10.10.73.234</v>
      </c>
      <c r="G10438" s="1" t="str">
        <f>"9728R643"</f>
        <v>9728R643</v>
      </c>
      <c r="H10438" s="1" t="str">
        <f>"서부간 11R2"</f>
        <v>서부간 11R2</v>
      </c>
      <c r="I10438" s="1" t="s">
        <v>8</v>
      </c>
      <c r="J10438" s="1" t="str">
        <f>"49/49"</f>
        <v>49/49</v>
      </c>
      <c r="K10438" s="1" t="str">
        <f t="shared" si="526"/>
        <v>2026-07-29 13:18:12</v>
      </c>
      <c r="L10438" s="1" t="str">
        <f>"2019-10-21 09:10:47"</f>
        <v>2019-10-21 09:10:47</v>
      </c>
      <c r="M10438" s="1" t="s">
        <v>1</v>
      </c>
      <c r="N10438" s="1" t="s">
        <v>38</v>
      </c>
      <c r="O10438" s="1" t="s">
        <v>46</v>
      </c>
    </row>
    <row r="10439" spans="2:15" x14ac:dyDescent="0.3">
      <c r="B10439" s="1" t="s">
        <v>21</v>
      </c>
      <c r="C10439" s="1" t="str">
        <f t="shared" si="525"/>
        <v>4차</v>
      </c>
      <c r="D10439" s="1" t="str">
        <f>"9728R65244"</f>
        <v>9728R65244</v>
      </c>
      <c r="E10439" s="1" t="s">
        <v>10</v>
      </c>
      <c r="F10439" s="1" t="str">
        <f>"10.10.86.234"</f>
        <v>10.10.86.234</v>
      </c>
      <c r="G10439" s="1" t="str">
        <f>"9728R652"</f>
        <v>9728R652</v>
      </c>
      <c r="H10439" s="1" t="str">
        <f>"서부간 17R4R10"</f>
        <v>서부간 17R4R10</v>
      </c>
      <c r="I10439" s="1" t="s">
        <v>8</v>
      </c>
      <c r="J10439" s="1" t="str">
        <f>"53/53"</f>
        <v>53/53</v>
      </c>
      <c r="K10439" s="1" t="str">
        <f t="shared" si="526"/>
        <v>2026-07-29 13:18:12</v>
      </c>
      <c r="L10439" s="1" t="str">
        <f>"2019-10-21 09:11:47"</f>
        <v>2019-10-21 09:11:47</v>
      </c>
      <c r="M10439" s="1" t="s">
        <v>1</v>
      </c>
      <c r="N10439" s="1" t="s">
        <v>38</v>
      </c>
      <c r="O10439" s="1" t="s">
        <v>46</v>
      </c>
    </row>
    <row r="10440" spans="2:15" x14ac:dyDescent="0.3">
      <c r="B10440" s="1" t="s">
        <v>21</v>
      </c>
      <c r="C10440" s="1" t="str">
        <f t="shared" si="525"/>
        <v>4차</v>
      </c>
      <c r="D10440" s="1" t="str">
        <f>"9728R65344"</f>
        <v>9728R65344</v>
      </c>
      <c r="E10440" s="1" t="s">
        <v>10</v>
      </c>
      <c r="F10440" s="1" t="str">
        <f>"10.10.87.42"</f>
        <v>10.10.87.42</v>
      </c>
      <c r="G10440" s="1" t="str">
        <f>"9728R653"</f>
        <v>9728R653</v>
      </c>
      <c r="H10440" s="1" t="str">
        <f>"서부간 17R4R10L1"</f>
        <v>서부간 17R4R10L1</v>
      </c>
      <c r="I10440" s="1" t="s">
        <v>8</v>
      </c>
      <c r="J10440" s="1" t="str">
        <f>"69/72"</f>
        <v>69/72</v>
      </c>
      <c r="K10440" s="1" t="str">
        <f t="shared" si="526"/>
        <v>2026-07-29 13:18:12</v>
      </c>
      <c r="L10440" s="1" t="str">
        <f>"2021-12-22 09:09:56"</f>
        <v>2021-12-22 09:09:56</v>
      </c>
      <c r="M10440" s="1" t="s">
        <v>1</v>
      </c>
      <c r="N10440" s="1" t="s">
        <v>38</v>
      </c>
      <c r="O10440" s="1" t="s">
        <v>46</v>
      </c>
    </row>
    <row r="10441" spans="2:15" x14ac:dyDescent="0.3">
      <c r="B10441" s="1" t="s">
        <v>21</v>
      </c>
      <c r="C10441" s="1" t="str">
        <f t="shared" si="525"/>
        <v>4차</v>
      </c>
      <c r="D10441" s="1" t="str">
        <f>"9728R66144"</f>
        <v>9728R66144</v>
      </c>
      <c r="E10441" s="1" t="s">
        <v>10</v>
      </c>
      <c r="F10441" s="1" t="str">
        <f>"10.10.87.82"</f>
        <v>10.10.87.82</v>
      </c>
      <c r="G10441" s="1" t="str">
        <f>"9728R661"</f>
        <v>9728R661</v>
      </c>
      <c r="H10441" s="1" t="str">
        <f>"서부간 17R4R12"</f>
        <v>서부간 17R4R12</v>
      </c>
      <c r="I10441" s="1" t="s">
        <v>8</v>
      </c>
      <c r="J10441" s="1" t="str">
        <f>"31/31"</f>
        <v>31/31</v>
      </c>
      <c r="K10441" s="1" t="str">
        <f t="shared" si="526"/>
        <v>2026-07-29 13:18:12</v>
      </c>
      <c r="L10441" s="1" t="str">
        <f>"2019-11-04 11:43:05"</f>
        <v>2019-11-04 11:43:05</v>
      </c>
      <c r="M10441" s="1" t="s">
        <v>1</v>
      </c>
      <c r="N10441" s="1" t="s">
        <v>38</v>
      </c>
      <c r="O10441" s="1" t="s">
        <v>46</v>
      </c>
    </row>
    <row r="10442" spans="2:15" x14ac:dyDescent="0.3">
      <c r="B10442" s="1" t="s">
        <v>21</v>
      </c>
      <c r="C10442" s="1" t="str">
        <f t="shared" si="525"/>
        <v>4차</v>
      </c>
      <c r="D10442" s="1" t="str">
        <f>"9728R67144"</f>
        <v>9728R67144</v>
      </c>
      <c r="E10442" s="1" t="s">
        <v>10</v>
      </c>
      <c r="F10442" s="1" t="str">
        <f>"10.10.64.226"</f>
        <v>10.10.64.226</v>
      </c>
      <c r="G10442" s="1" t="str">
        <f>"9728R671"</f>
        <v>9728R671</v>
      </c>
      <c r="H10442" s="1" t="str">
        <f>"서부간 17R4R13"</f>
        <v>서부간 17R4R13</v>
      </c>
      <c r="I10442" s="1" t="s">
        <v>8</v>
      </c>
      <c r="J10442" s="1" t="str">
        <f>"33/35"</f>
        <v>33/35</v>
      </c>
      <c r="K10442" s="1" t="str">
        <f t="shared" si="526"/>
        <v>2026-07-29 13:18:12</v>
      </c>
      <c r="L10442" s="1" t="str">
        <f>"2019-11-14 16:47:43"</f>
        <v>2019-11-14 16:47:43</v>
      </c>
      <c r="M10442" s="1" t="s">
        <v>1</v>
      </c>
      <c r="N10442" s="1" t="s">
        <v>38</v>
      </c>
      <c r="O10442" s="1" t="s">
        <v>46</v>
      </c>
    </row>
    <row r="10443" spans="2:15" x14ac:dyDescent="0.3">
      <c r="B10443" s="1" t="s">
        <v>21</v>
      </c>
      <c r="C10443" s="1" t="str">
        <f t="shared" si="525"/>
        <v>4차</v>
      </c>
      <c r="D10443" s="1" t="str">
        <f>"9728R69139"</f>
        <v>9728R69139</v>
      </c>
      <c r="E10443" s="1" t="s">
        <v>10</v>
      </c>
      <c r="F10443" s="1" t="str">
        <f>"10.128.75.26"</f>
        <v>10.128.75.26</v>
      </c>
      <c r="G10443" s="1" t="str">
        <f>"9728R691"</f>
        <v>9728R691</v>
      </c>
      <c r="H10443" s="1" t="str">
        <f>"응암간 37R15L2R8"</f>
        <v>응암간 37R15L2R8</v>
      </c>
      <c r="I10443" s="1" t="s">
        <v>8</v>
      </c>
      <c r="J10443" s="1" t="str">
        <f>"31/33"</f>
        <v>31/33</v>
      </c>
      <c r="K10443" s="1" t="str">
        <f t="shared" si="526"/>
        <v>2026-07-29 13:18:12</v>
      </c>
      <c r="L10443" s="1" t="str">
        <f>"2018-04-26 13:39:28"</f>
        <v>2018-04-26 13:39:28</v>
      </c>
      <c r="M10443" s="1" t="s">
        <v>45</v>
      </c>
      <c r="N10443" s="1" t="s">
        <v>38</v>
      </c>
      <c r="O10443" s="1" t="s">
        <v>46</v>
      </c>
    </row>
    <row r="10444" spans="2:15" x14ac:dyDescent="0.3">
      <c r="B10444" s="1" t="s">
        <v>21</v>
      </c>
      <c r="C10444" s="1" t="str">
        <f t="shared" si="525"/>
        <v>4차</v>
      </c>
      <c r="D10444" s="1" t="str">
        <f>"9728R73144"</f>
        <v>9728R73144</v>
      </c>
      <c r="E10444" s="1" t="s">
        <v>10</v>
      </c>
      <c r="F10444" s="1" t="str">
        <f>"10.10.109.226"</f>
        <v>10.10.109.226</v>
      </c>
      <c r="G10444" s="1" t="str">
        <f>"9728R731"</f>
        <v>9728R731</v>
      </c>
      <c r="H10444" s="1" t="str">
        <f>"서부간 11R1"</f>
        <v>서부간 11R1</v>
      </c>
      <c r="I10444" s="1" t="s">
        <v>8</v>
      </c>
      <c r="J10444" s="1" t="str">
        <f>"21/21"</f>
        <v>21/21</v>
      </c>
      <c r="K10444" s="1" t="str">
        <f t="shared" si="526"/>
        <v>2026-07-29 13:18:12</v>
      </c>
      <c r="L10444" s="1" t="str">
        <f>"2019-11-04 12:03:03"</f>
        <v>2019-11-04 12:03:03</v>
      </c>
      <c r="M10444" s="1" t="s">
        <v>1</v>
      </c>
      <c r="N10444" s="1" t="s">
        <v>38</v>
      </c>
      <c r="O10444" s="1" t="s">
        <v>46</v>
      </c>
    </row>
    <row r="10445" spans="2:15" x14ac:dyDescent="0.3">
      <c r="B10445" s="1" t="s">
        <v>21</v>
      </c>
      <c r="C10445" s="1" t="str">
        <f t="shared" si="525"/>
        <v>4차</v>
      </c>
      <c r="D10445" s="1" t="str">
        <f>"9728R76344"</f>
        <v>9728R76344</v>
      </c>
      <c r="E10445" s="1" t="s">
        <v>10</v>
      </c>
      <c r="F10445" s="1" t="str">
        <f>"10.10.89.98"</f>
        <v>10.10.89.98</v>
      </c>
      <c r="G10445" s="1" t="str">
        <f>"9728R763"</f>
        <v>9728R763</v>
      </c>
      <c r="H10445" s="1" t="str">
        <f>"서부간 17R4R12R2"</f>
        <v>서부간 17R4R12R2</v>
      </c>
      <c r="I10445" s="1" t="s">
        <v>8</v>
      </c>
      <c r="J10445" s="1" t="str">
        <f>"61/61"</f>
        <v>61/61</v>
      </c>
      <c r="K10445" s="1" t="str">
        <f t="shared" si="526"/>
        <v>2026-07-29 13:18:12</v>
      </c>
      <c r="L10445" s="1" t="str">
        <f>"2019-10-21 09:25:48"</f>
        <v>2019-10-21 09:25:48</v>
      </c>
      <c r="M10445" s="1" t="s">
        <v>1</v>
      </c>
      <c r="N10445" s="1" t="s">
        <v>38</v>
      </c>
      <c r="O10445" s="1" t="s">
        <v>46</v>
      </c>
    </row>
    <row r="10446" spans="2:15" x14ac:dyDescent="0.3">
      <c r="B10446" s="1" t="s">
        <v>21</v>
      </c>
      <c r="C10446" s="1" t="str">
        <f t="shared" si="525"/>
        <v>4차</v>
      </c>
      <c r="D10446" s="1" t="str">
        <f>"9728R79144"</f>
        <v>9728R79144</v>
      </c>
      <c r="E10446" s="1" t="s">
        <v>10</v>
      </c>
      <c r="F10446" s="1" t="str">
        <f>"10.10.70.114"</f>
        <v>10.10.70.114</v>
      </c>
      <c r="G10446" s="1" t="str">
        <f>"9728R791"</f>
        <v>9728R791</v>
      </c>
      <c r="H10446" s="1" t="str">
        <f>"응암간 37R15L8R2"</f>
        <v>응암간 37R15L8R2</v>
      </c>
      <c r="I10446" s="1" t="s">
        <v>8</v>
      </c>
      <c r="J10446" s="1" t="str">
        <f>"52/52"</f>
        <v>52/52</v>
      </c>
      <c r="K10446" s="1" t="str">
        <f t="shared" si="526"/>
        <v>2026-07-29 13:18:12</v>
      </c>
      <c r="L10446" s="1" t="str">
        <f>"2019-12-11 18:19:44"</f>
        <v>2019-12-11 18:19:44</v>
      </c>
      <c r="M10446" s="1" t="s">
        <v>1</v>
      </c>
      <c r="N10446" s="1" t="s">
        <v>38</v>
      </c>
      <c r="O10446" s="1" t="s">
        <v>46</v>
      </c>
    </row>
    <row r="10447" spans="2:15" x14ac:dyDescent="0.3">
      <c r="B10447" s="1" t="s">
        <v>21</v>
      </c>
      <c r="C10447" s="1" t="str">
        <f>"3차"</f>
        <v>3차</v>
      </c>
      <c r="D10447" s="1" t="str">
        <f>"9728R84239"</f>
        <v>9728R84239</v>
      </c>
      <c r="E10447" s="1" t="s">
        <v>10</v>
      </c>
      <c r="F10447" s="1" t="str">
        <f>"10.128.80.50"</f>
        <v>10.128.80.50</v>
      </c>
      <c r="G10447" s="1" t="str">
        <f>"9728R842"</f>
        <v>9728R842</v>
      </c>
      <c r="H10447" s="1" t="str">
        <f>"서부간 9"</f>
        <v>서부간 9</v>
      </c>
      <c r="I10447" s="1" t="s">
        <v>8</v>
      </c>
      <c r="J10447" s="1" t="str">
        <f>"30/30"</f>
        <v>30/30</v>
      </c>
      <c r="K10447" s="1" t="str">
        <f t="shared" si="526"/>
        <v>2026-07-29 13:18:12</v>
      </c>
      <c r="L10447" s="1" t="str">
        <f>"2018-04-28 08:36:41"</f>
        <v>2018-04-28 08:36:41</v>
      </c>
      <c r="M10447" s="1" t="s">
        <v>45</v>
      </c>
      <c r="N10447" s="1" t="s">
        <v>38</v>
      </c>
      <c r="O10447" s="1" t="s">
        <v>46</v>
      </c>
    </row>
    <row r="10448" spans="2:15" x14ac:dyDescent="0.3">
      <c r="B10448" s="1" t="s">
        <v>21</v>
      </c>
      <c r="C10448" s="1" t="str">
        <f t="shared" ref="C10448:C10458" si="527">"4차"</f>
        <v>4차</v>
      </c>
      <c r="D10448" s="1" t="str">
        <f>"9728R85244"</f>
        <v>9728R85244</v>
      </c>
      <c r="E10448" s="1" t="s">
        <v>10</v>
      </c>
      <c r="F10448" s="1" t="str">
        <f>"10.10.65.178"</f>
        <v>10.10.65.178</v>
      </c>
      <c r="G10448" s="1" t="str">
        <f>"9728R852"</f>
        <v>9728R852</v>
      </c>
      <c r="H10448" s="1" t="str">
        <f>"서부간 8"</f>
        <v>서부간 8</v>
      </c>
      <c r="I10448" s="1" t="s">
        <v>8</v>
      </c>
      <c r="J10448" s="1" t="str">
        <f>"36/36"</f>
        <v>36/36</v>
      </c>
      <c r="K10448" s="1" t="str">
        <f t="shared" si="526"/>
        <v>2026-07-29 13:18:12</v>
      </c>
      <c r="L10448" s="1" t="str">
        <f>"2019-10-21 09:51:20"</f>
        <v>2019-10-21 09:51:20</v>
      </c>
      <c r="M10448" s="1" t="s">
        <v>1</v>
      </c>
      <c r="N10448" s="1" t="s">
        <v>38</v>
      </c>
      <c r="O10448" s="1" t="s">
        <v>46</v>
      </c>
    </row>
    <row r="10449" spans="2:15" x14ac:dyDescent="0.3">
      <c r="B10449" s="1" t="s">
        <v>21</v>
      </c>
      <c r="C10449" s="1" t="str">
        <f t="shared" si="527"/>
        <v>4차</v>
      </c>
      <c r="D10449" s="1" t="str">
        <f>"9728R87244"</f>
        <v>9728R87244</v>
      </c>
      <c r="E10449" s="1" t="s">
        <v>10</v>
      </c>
      <c r="F10449" s="1" t="str">
        <f>"10.10.109.218"</f>
        <v>10.10.109.218</v>
      </c>
      <c r="G10449" s="1" t="str">
        <f>"9728R872"</f>
        <v>9728R872</v>
      </c>
      <c r="H10449" s="1" t="str">
        <f>"서부간 17R4R12R4"</f>
        <v>서부간 17R4R12R4</v>
      </c>
      <c r="I10449" s="1" t="s">
        <v>8</v>
      </c>
      <c r="J10449" s="1" t="str">
        <f>"13/13"</f>
        <v>13/13</v>
      </c>
      <c r="K10449" s="1" t="str">
        <f t="shared" si="526"/>
        <v>2026-07-29 13:18:12</v>
      </c>
      <c r="L10449" s="1" t="str">
        <f>"2019-10-21 09:52:18"</f>
        <v>2019-10-21 09:52:18</v>
      </c>
      <c r="M10449" s="1" t="s">
        <v>1</v>
      </c>
      <c r="N10449" s="1" t="s">
        <v>38</v>
      </c>
      <c r="O10449" s="1" t="s">
        <v>46</v>
      </c>
    </row>
    <row r="10450" spans="2:15" x14ac:dyDescent="0.3">
      <c r="B10450" s="1" t="s">
        <v>21</v>
      </c>
      <c r="C10450" s="1" t="str">
        <f t="shared" si="527"/>
        <v>4차</v>
      </c>
      <c r="D10450" s="1" t="str">
        <f>"9728R87344"</f>
        <v>9728R87344</v>
      </c>
      <c r="E10450" s="1" t="s">
        <v>10</v>
      </c>
      <c r="F10450" s="1" t="str">
        <f>"10.10.89.154"</f>
        <v>10.10.89.154</v>
      </c>
      <c r="G10450" s="1" t="str">
        <f>"9728R873"</f>
        <v>9728R873</v>
      </c>
      <c r="H10450" s="1" t="str">
        <f>"서부간 17R4R12R5"</f>
        <v>서부간 17R4R12R5</v>
      </c>
      <c r="I10450" s="1" t="s">
        <v>8</v>
      </c>
      <c r="J10450" s="1" t="str">
        <f>"28/29"</f>
        <v>28/29</v>
      </c>
      <c r="K10450" s="1" t="str">
        <f t="shared" si="526"/>
        <v>2026-07-29 13:18:12</v>
      </c>
      <c r="L10450" s="1" t="str">
        <f>"2019-10-21 09:33:03"</f>
        <v>2019-10-21 09:33:03</v>
      </c>
      <c r="M10450" s="1" t="s">
        <v>1</v>
      </c>
      <c r="N10450" s="1" t="s">
        <v>38</v>
      </c>
      <c r="O10450" s="1" t="s">
        <v>46</v>
      </c>
    </row>
    <row r="10451" spans="2:15" x14ac:dyDescent="0.3">
      <c r="B10451" s="1" t="s">
        <v>21</v>
      </c>
      <c r="C10451" s="1" t="str">
        <f t="shared" si="527"/>
        <v>4차</v>
      </c>
      <c r="D10451" s="1" t="str">
        <f>"9728R87544"</f>
        <v>9728R87544</v>
      </c>
      <c r="E10451" s="1" t="s">
        <v>10</v>
      </c>
      <c r="F10451" s="1" t="str">
        <f>"10.10.89.122"</f>
        <v>10.10.89.122</v>
      </c>
      <c r="G10451" s="1" t="str">
        <f>"9728R875"</f>
        <v>9728R875</v>
      </c>
      <c r="H10451" s="1" t="str">
        <f>"서부간 17R4R12R3"</f>
        <v>서부간 17R4R12R3</v>
      </c>
      <c r="I10451" s="1" t="s">
        <v>8</v>
      </c>
      <c r="J10451" s="1" t="str">
        <f>"54/54"</f>
        <v>54/54</v>
      </c>
      <c r="K10451" s="1" t="str">
        <f t="shared" si="526"/>
        <v>2026-07-29 13:18:12</v>
      </c>
      <c r="L10451" s="1" t="str">
        <f>"2019-10-21 09:22:16"</f>
        <v>2019-10-21 09:22:16</v>
      </c>
      <c r="M10451" s="1" t="s">
        <v>1</v>
      </c>
      <c r="N10451" s="1" t="s">
        <v>38</v>
      </c>
      <c r="O10451" s="1" t="s">
        <v>46</v>
      </c>
    </row>
    <row r="10452" spans="2:15" x14ac:dyDescent="0.3">
      <c r="B10452" s="1" t="s">
        <v>21</v>
      </c>
      <c r="C10452" s="1" t="str">
        <f t="shared" si="527"/>
        <v>4차</v>
      </c>
      <c r="D10452" s="1" t="str">
        <f>"9728R96544"</f>
        <v>9728R96544</v>
      </c>
      <c r="E10452" s="1" t="s">
        <v>10</v>
      </c>
      <c r="F10452" s="1" t="str">
        <f>"10.10.109.194"</f>
        <v>10.10.109.194</v>
      </c>
      <c r="G10452" s="1" t="str">
        <f>"9728R965"</f>
        <v>9728R965</v>
      </c>
      <c r="H10452" s="1" t="str">
        <f>"서부간 6"</f>
        <v>서부간 6</v>
      </c>
      <c r="I10452" s="1" t="s">
        <v>8</v>
      </c>
      <c r="J10452" s="1" t="str">
        <f>"22/22"</f>
        <v>22/22</v>
      </c>
      <c r="K10452" s="1" t="str">
        <f t="shared" si="526"/>
        <v>2026-07-29 13:18:12</v>
      </c>
      <c r="L10452" s="1" t="str">
        <f>"2019-11-04 13:33:04"</f>
        <v>2019-11-04 13:33:04</v>
      </c>
      <c r="M10452" s="1" t="s">
        <v>1</v>
      </c>
      <c r="N10452" s="1" t="s">
        <v>38</v>
      </c>
      <c r="O10452" s="1" t="s">
        <v>46</v>
      </c>
    </row>
    <row r="10453" spans="2:15" x14ac:dyDescent="0.3">
      <c r="B10453" s="1" t="s">
        <v>21</v>
      </c>
      <c r="C10453" s="1" t="str">
        <f t="shared" si="527"/>
        <v>4차</v>
      </c>
      <c r="D10453" s="1" t="str">
        <f>"9728S04144"</f>
        <v>9728S04144</v>
      </c>
      <c r="E10453" s="1" t="s">
        <v>10</v>
      </c>
      <c r="F10453" s="1" t="str">
        <f>"10.10.96.130"</f>
        <v>10.10.96.130</v>
      </c>
      <c r="G10453" s="1" t="str">
        <f>"9728S041"</f>
        <v>9728S041</v>
      </c>
      <c r="H10453" s="1" t="str">
        <f>"한신간 21L3"</f>
        <v>한신간 21L3</v>
      </c>
      <c r="I10453" s="1" t="s">
        <v>8</v>
      </c>
      <c r="J10453" s="1" t="str">
        <f>"33/33"</f>
        <v>33/33</v>
      </c>
      <c r="K10453" s="1" t="str">
        <f t="shared" si="526"/>
        <v>2026-07-29 13:18:12</v>
      </c>
      <c r="L10453" s="1" t="str">
        <f>"2019-12-11 18:18:32"</f>
        <v>2019-12-11 18:18:32</v>
      </c>
      <c r="M10453" s="1" t="s">
        <v>1</v>
      </c>
      <c r="N10453" s="1" t="s">
        <v>38</v>
      </c>
      <c r="O10453" s="1" t="s">
        <v>46</v>
      </c>
    </row>
    <row r="10454" spans="2:15" x14ac:dyDescent="0.3">
      <c r="B10454" s="1" t="s">
        <v>21</v>
      </c>
      <c r="C10454" s="1" t="str">
        <f t="shared" si="527"/>
        <v>4차</v>
      </c>
      <c r="D10454" s="1" t="str">
        <f>"9728S06144"</f>
        <v>9728S06144</v>
      </c>
      <c r="E10454" s="1" t="s">
        <v>10</v>
      </c>
      <c r="F10454" s="1" t="str">
        <f>"10.10.96.114"</f>
        <v>10.10.96.114</v>
      </c>
      <c r="G10454" s="1" t="str">
        <f>"9728S061"</f>
        <v>9728S061</v>
      </c>
      <c r="H10454" s="1" t="str">
        <f>"한신간 10L9R9"</f>
        <v>한신간 10L9R9</v>
      </c>
      <c r="I10454" s="1" t="s">
        <v>8</v>
      </c>
      <c r="J10454" s="1" t="str">
        <f>"35/35"</f>
        <v>35/35</v>
      </c>
      <c r="K10454" s="1" t="str">
        <f t="shared" si="526"/>
        <v>2026-07-29 13:18:12</v>
      </c>
      <c r="L10454" s="1" t="str">
        <f>"2020-01-10 17:24:35"</f>
        <v>2020-01-10 17:24:35</v>
      </c>
      <c r="M10454" s="1" t="s">
        <v>1</v>
      </c>
      <c r="N10454" s="1" t="s">
        <v>38</v>
      </c>
      <c r="O10454" s="1" t="s">
        <v>46</v>
      </c>
    </row>
    <row r="10455" spans="2:15" x14ac:dyDescent="0.3">
      <c r="B10455" s="1" t="s">
        <v>21</v>
      </c>
      <c r="C10455" s="1" t="str">
        <f t="shared" si="527"/>
        <v>4차</v>
      </c>
      <c r="D10455" s="1" t="str">
        <f>"9728S14244"</f>
        <v>9728S14244</v>
      </c>
      <c r="E10455" s="1" t="s">
        <v>10</v>
      </c>
      <c r="F10455" s="1" t="str">
        <f>"10.10.96.106"</f>
        <v>10.10.96.106</v>
      </c>
      <c r="G10455" s="1" t="str">
        <f>"9728S142"</f>
        <v>9728S142</v>
      </c>
      <c r="H10455" s="1" t="str">
        <f>"한신간 10L9R4"</f>
        <v>한신간 10L9R4</v>
      </c>
      <c r="I10455" s="1" t="s">
        <v>8</v>
      </c>
      <c r="J10455" s="1" t="str">
        <f>"32/38"</f>
        <v>32/38</v>
      </c>
      <c r="K10455" s="1" t="str">
        <f>"2026-07-29 13:18:10"</f>
        <v>2026-07-29 13:18:10</v>
      </c>
      <c r="L10455" s="1" t="str">
        <f>"2019-12-11 18:26:42"</f>
        <v>2019-12-11 18:26:42</v>
      </c>
      <c r="M10455" s="1" t="s">
        <v>1</v>
      </c>
      <c r="N10455" s="1" t="s">
        <v>38</v>
      </c>
      <c r="O10455" s="1" t="s">
        <v>46</v>
      </c>
    </row>
    <row r="10456" spans="2:15" x14ac:dyDescent="0.3">
      <c r="B10456" s="1" t="s">
        <v>21</v>
      </c>
      <c r="C10456" s="1" t="str">
        <f t="shared" si="527"/>
        <v>4차</v>
      </c>
      <c r="D10456" s="1" t="str">
        <f>"9728S17344"</f>
        <v>9728S17344</v>
      </c>
      <c r="E10456" s="1" t="s">
        <v>10</v>
      </c>
      <c r="F10456" s="1" t="str">
        <f>"10.10.96.98"</f>
        <v>10.10.96.98</v>
      </c>
      <c r="G10456" s="1" t="str">
        <f>"9728S173"</f>
        <v>9728S173</v>
      </c>
      <c r="H10456" s="1" t="str">
        <f>"한신간 10L9R10"</f>
        <v>한신간 10L9R10</v>
      </c>
      <c r="I10456" s="1" t="s">
        <v>8</v>
      </c>
      <c r="J10456" s="1" t="str">
        <f>"55/55"</f>
        <v>55/55</v>
      </c>
      <c r="K10456" s="1" t="str">
        <f>"2026-07-29 13:18:12"</f>
        <v>2026-07-29 13:18:12</v>
      </c>
      <c r="L10456" s="1" t="str">
        <f>"2019-12-11 18:19:01"</f>
        <v>2019-12-11 18:19:01</v>
      </c>
      <c r="M10456" s="1" t="s">
        <v>1</v>
      </c>
      <c r="N10456" s="1" t="s">
        <v>38</v>
      </c>
      <c r="O10456" s="1" t="s">
        <v>46</v>
      </c>
    </row>
    <row r="10457" spans="2:15" x14ac:dyDescent="0.3">
      <c r="B10457" s="1" t="s">
        <v>21</v>
      </c>
      <c r="C10457" s="1" t="str">
        <f t="shared" si="527"/>
        <v>4차</v>
      </c>
      <c r="D10457" s="1" t="str">
        <f>"9728S19244"</f>
        <v>9728S19244</v>
      </c>
      <c r="E10457" s="1" t="s">
        <v>10</v>
      </c>
      <c r="F10457" s="1" t="str">
        <f>"10.10.96.122"</f>
        <v>10.10.96.122</v>
      </c>
      <c r="G10457" s="1" t="str">
        <f>"9728S192"</f>
        <v>9728S192</v>
      </c>
      <c r="H10457" s="1" t="str">
        <f>"한신간 14"</f>
        <v>한신간 14</v>
      </c>
      <c r="I10457" s="1" t="s">
        <v>8</v>
      </c>
      <c r="J10457" s="1" t="str">
        <f>"6/8"</f>
        <v>6/8</v>
      </c>
      <c r="K10457" s="1" t="str">
        <f>"2026-07-29 13:18:12"</f>
        <v>2026-07-29 13:18:12</v>
      </c>
      <c r="L10457" s="1" t="str">
        <f>"2019-12-11 18:18:28"</f>
        <v>2019-12-11 18:18:28</v>
      </c>
      <c r="M10457" s="1" t="s">
        <v>1</v>
      </c>
      <c r="N10457" s="1" t="s">
        <v>38</v>
      </c>
      <c r="O10457" s="1" t="s">
        <v>46</v>
      </c>
    </row>
    <row r="10458" spans="2:15" x14ac:dyDescent="0.3">
      <c r="B10458" s="1" t="s">
        <v>21</v>
      </c>
      <c r="C10458" s="1" t="str">
        <f t="shared" si="527"/>
        <v>4차</v>
      </c>
      <c r="D10458" s="1" t="str">
        <f>"9728S23144"</f>
        <v>9728S23144</v>
      </c>
      <c r="E10458" s="1" t="s">
        <v>10</v>
      </c>
      <c r="F10458" s="1" t="str">
        <f>"10.128.80.58"</f>
        <v>10.128.80.58</v>
      </c>
      <c r="G10458" s="1" t="str">
        <f>"9728S231"</f>
        <v>9728S231</v>
      </c>
      <c r="H10458" s="1" t="str">
        <f>"한신간 10L9R2"</f>
        <v>한신간 10L9R2</v>
      </c>
      <c r="I10458" s="1" t="s">
        <v>8</v>
      </c>
      <c r="J10458" s="1" t="str">
        <f>"62/63"</f>
        <v>62/63</v>
      </c>
      <c r="K10458" s="1" t="str">
        <f>"2026-07-29 13:18:12"</f>
        <v>2026-07-29 13:18:12</v>
      </c>
      <c r="L10458" s="1" t="str">
        <f>"2019-11-11 19:48:49"</f>
        <v>2019-11-11 19:48:49</v>
      </c>
      <c r="M10458" s="1" t="s">
        <v>45</v>
      </c>
      <c r="N10458" s="1" t="s">
        <v>38</v>
      </c>
      <c r="O10458" s="1" t="s">
        <v>46</v>
      </c>
    </row>
    <row r="10459" spans="2:15" x14ac:dyDescent="0.3">
      <c r="B10459" s="1" t="s">
        <v>21</v>
      </c>
      <c r="C10459" s="1" t="str">
        <f>"1차"</f>
        <v>1차</v>
      </c>
      <c r="D10459" s="1" t="str">
        <f>"9728S24100"</f>
        <v>9728S24100</v>
      </c>
      <c r="E10459" s="1" t="s">
        <v>10</v>
      </c>
      <c r="F10459" s="1" t="str">
        <f>"10.128.76.34"</f>
        <v>10.128.76.34</v>
      </c>
      <c r="G10459" s="1" t="str">
        <f>"9728S241"</f>
        <v>9728S241</v>
      </c>
      <c r="H10459" s="1" t="str">
        <f>"한신간 10L9R3R1"</f>
        <v>한신간 10L9R3R1</v>
      </c>
      <c r="I10459" s="1" t="s">
        <v>8</v>
      </c>
      <c r="J10459" s="1" t="str">
        <f>"65/65"</f>
        <v>65/65</v>
      </c>
      <c r="K10459" s="1" t="str">
        <f>"2026-07-29 13:18:12"</f>
        <v>2026-07-29 13:18:12</v>
      </c>
      <c r="L10459" s="1" t="str">
        <f>"2014-12-26 15:42:53"</f>
        <v>2014-12-26 15:42:53</v>
      </c>
      <c r="M10459" s="1" t="s">
        <v>45</v>
      </c>
      <c r="N10459" s="1" t="s">
        <v>38</v>
      </c>
      <c r="O10459" s="1" t="s">
        <v>46</v>
      </c>
    </row>
    <row r="10460" spans="2:15" x14ac:dyDescent="0.3">
      <c r="B10460" s="1" t="s">
        <v>21</v>
      </c>
      <c r="C10460" s="1" t="str">
        <f>"1차"</f>
        <v>1차</v>
      </c>
      <c r="D10460" s="1" t="str">
        <f>"9728S25101"</f>
        <v>9728S25101</v>
      </c>
      <c r="E10460" s="1" t="s">
        <v>10</v>
      </c>
      <c r="F10460" s="1" t="str">
        <f>"10.12.131.169"</f>
        <v>10.12.131.169</v>
      </c>
      <c r="G10460" s="1" t="str">
        <f>"9728S251"</f>
        <v>9728S251</v>
      </c>
      <c r="H10460" s="1" t="str">
        <f>"한신간 12L4L1"</f>
        <v>한신간 12L4L1</v>
      </c>
      <c r="I10460" s="1" t="s">
        <v>8</v>
      </c>
      <c r="J10460" s="1" t="str">
        <f>"41/41"</f>
        <v>41/41</v>
      </c>
      <c r="K10460" s="1" t="str">
        <f>"2026-07-29 13:18:13"</f>
        <v>2026-07-29 13:18:13</v>
      </c>
      <c r="L10460" s="1" t="str">
        <f>"2014-12-23 15:43:12"</f>
        <v>2014-12-23 15:43:12</v>
      </c>
      <c r="M10460" s="1" t="s">
        <v>0</v>
      </c>
      <c r="N10460" s="1" t="s">
        <v>38</v>
      </c>
      <c r="O10460" s="1" t="s">
        <v>46</v>
      </c>
    </row>
    <row r="10461" spans="2:15" x14ac:dyDescent="0.3">
      <c r="B10461" s="1" t="s">
        <v>21</v>
      </c>
      <c r="C10461" s="1" t="str">
        <f>"1차"</f>
        <v>1차</v>
      </c>
      <c r="D10461" s="1" t="str">
        <f>"9728S26100"</f>
        <v>9728S26100</v>
      </c>
      <c r="E10461" s="1" t="s">
        <v>10</v>
      </c>
      <c r="F10461" s="1" t="str">
        <f>"10.128.76.42"</f>
        <v>10.128.76.42</v>
      </c>
      <c r="G10461" s="1" t="str">
        <f>"9728S261"</f>
        <v>9728S261</v>
      </c>
      <c r="H10461" s="1" t="str">
        <f>"한신간 12L4"</f>
        <v>한신간 12L4</v>
      </c>
      <c r="I10461" s="1" t="s">
        <v>8</v>
      </c>
      <c r="J10461" s="1" t="str">
        <f>"94/94"</f>
        <v>94/94</v>
      </c>
      <c r="K10461" s="1" t="str">
        <f t="shared" ref="K10461:K10467" si="528">"2026-07-29 13:18:12"</f>
        <v>2026-07-29 13:18:12</v>
      </c>
      <c r="L10461" s="1" t="str">
        <f>"2014-12-22 11:27:47"</f>
        <v>2014-12-22 11:27:47</v>
      </c>
      <c r="M10461" s="1" t="s">
        <v>45</v>
      </c>
      <c r="N10461" s="1" t="s">
        <v>38</v>
      </c>
      <c r="O10461" s="1" t="s">
        <v>46</v>
      </c>
    </row>
    <row r="10462" spans="2:15" x14ac:dyDescent="0.3">
      <c r="B10462" s="1" t="s">
        <v>21</v>
      </c>
      <c r="C10462" s="1" t="str">
        <f>"3차"</f>
        <v>3차</v>
      </c>
      <c r="D10462" s="1" t="str">
        <f>"9728S27139"</f>
        <v>9728S27139</v>
      </c>
      <c r="E10462" s="1" t="s">
        <v>10</v>
      </c>
      <c r="F10462" s="1" t="str">
        <f>"10.128.80.66"</f>
        <v>10.128.80.66</v>
      </c>
      <c r="G10462" s="1" t="str">
        <f>"9728S271"</f>
        <v>9728S271</v>
      </c>
      <c r="H10462" s="1" t="str">
        <f>"한신간 12L2"</f>
        <v>한신간 12L2</v>
      </c>
      <c r="I10462" s="1" t="s">
        <v>8</v>
      </c>
      <c r="J10462" s="1" t="str">
        <f>"13/15"</f>
        <v>13/15</v>
      </c>
      <c r="K10462" s="1" t="str">
        <f t="shared" si="528"/>
        <v>2026-07-29 13:18:12</v>
      </c>
      <c r="L10462" s="1" t="str">
        <f>"2018-04-26 14:20:45"</f>
        <v>2018-04-26 14:20:45</v>
      </c>
      <c r="M10462" s="1" t="s">
        <v>45</v>
      </c>
      <c r="N10462" s="1" t="s">
        <v>38</v>
      </c>
      <c r="O10462" s="1" t="s">
        <v>46</v>
      </c>
    </row>
    <row r="10463" spans="2:15" x14ac:dyDescent="0.3">
      <c r="B10463" s="1" t="s">
        <v>21</v>
      </c>
      <c r="C10463" s="1" t="str">
        <f>"4차"</f>
        <v>4차</v>
      </c>
      <c r="D10463" s="1" t="str">
        <f>"9728S27539"</f>
        <v>9728S27539</v>
      </c>
      <c r="E10463" s="1" t="s">
        <v>10</v>
      </c>
      <c r="F10463" s="1" t="str">
        <f>"10.128.80.82"</f>
        <v>10.128.80.82</v>
      </c>
      <c r="G10463" s="1" t="str">
        <f>"9728S275"</f>
        <v>9728S275</v>
      </c>
      <c r="H10463" s="1" t="str">
        <f>"한신간 12L3"</f>
        <v>한신간 12L3</v>
      </c>
      <c r="I10463" s="1" t="s">
        <v>8</v>
      </c>
      <c r="J10463" s="1" t="str">
        <f>"61/61"</f>
        <v>61/61</v>
      </c>
      <c r="K10463" s="1" t="str">
        <f t="shared" si="528"/>
        <v>2026-07-29 13:18:12</v>
      </c>
      <c r="L10463" s="1" t="str">
        <f>"2018-10-02 12:09:42"</f>
        <v>2018-10-02 12:09:42</v>
      </c>
      <c r="M10463" s="1" t="s">
        <v>45</v>
      </c>
      <c r="N10463" s="1" t="s">
        <v>38</v>
      </c>
      <c r="O10463" s="1" t="s">
        <v>46</v>
      </c>
    </row>
    <row r="10464" spans="2:15" x14ac:dyDescent="0.3">
      <c r="B10464" s="1" t="s">
        <v>21</v>
      </c>
      <c r="C10464" s="1" t="str">
        <f>"3차"</f>
        <v>3차</v>
      </c>
      <c r="D10464" s="1" t="str">
        <f>"9728S29339"</f>
        <v>9728S29339</v>
      </c>
      <c r="E10464" s="1" t="s">
        <v>10</v>
      </c>
      <c r="F10464" s="1" t="str">
        <f>"10.128.80.98"</f>
        <v>10.128.80.98</v>
      </c>
      <c r="G10464" s="1" t="str">
        <f>"9728S293"</f>
        <v>9728S293</v>
      </c>
      <c r="H10464" s="1" t="str">
        <f>"한신간 13"</f>
        <v>한신간 13</v>
      </c>
      <c r="I10464" s="1" t="s">
        <v>8</v>
      </c>
      <c r="J10464" s="1" t="str">
        <f>"8/8"</f>
        <v>8/8</v>
      </c>
      <c r="K10464" s="1" t="str">
        <f t="shared" si="528"/>
        <v>2026-07-29 13:18:12</v>
      </c>
      <c r="L10464" s="1" t="str">
        <f>"2018-04-26 14:55:58"</f>
        <v>2018-04-26 14:55:58</v>
      </c>
      <c r="M10464" s="1" t="s">
        <v>45</v>
      </c>
      <c r="N10464" s="1" t="s">
        <v>38</v>
      </c>
      <c r="O10464" s="1" t="s">
        <v>46</v>
      </c>
    </row>
    <row r="10465" spans="2:15" x14ac:dyDescent="0.3">
      <c r="B10465" s="1" t="s">
        <v>21</v>
      </c>
      <c r="C10465" s="1" t="str">
        <f>"4차"</f>
        <v>4차</v>
      </c>
      <c r="D10465" s="1" t="str">
        <f>"9728S33144"</f>
        <v>9728S33144</v>
      </c>
      <c r="E10465" s="1" t="s">
        <v>10</v>
      </c>
      <c r="F10465" s="1" t="str">
        <f>"10.10.75.18"</f>
        <v>10.10.75.18</v>
      </c>
      <c r="G10465" s="1" t="str">
        <f>"9728S331"</f>
        <v>9728S331</v>
      </c>
      <c r="H10465" s="1" t="str">
        <f>"한신간 10L9R1"</f>
        <v>한신간 10L9R1</v>
      </c>
      <c r="I10465" s="1" t="s">
        <v>8</v>
      </c>
      <c r="J10465" s="1" t="str">
        <f>"61/61"</f>
        <v>61/61</v>
      </c>
      <c r="K10465" s="1" t="str">
        <f t="shared" si="528"/>
        <v>2026-07-29 13:18:12</v>
      </c>
      <c r="L10465" s="1" t="str">
        <f>"2019-12-11 18:19:56"</f>
        <v>2019-12-11 18:19:56</v>
      </c>
      <c r="M10465" s="1" t="s">
        <v>1</v>
      </c>
      <c r="N10465" s="1" t="s">
        <v>38</v>
      </c>
      <c r="O10465" s="1" t="s">
        <v>46</v>
      </c>
    </row>
    <row r="10466" spans="2:15" x14ac:dyDescent="0.3">
      <c r="B10466" s="1" t="s">
        <v>21</v>
      </c>
      <c r="C10466" s="1" t="str">
        <f>"1차"</f>
        <v>1차</v>
      </c>
      <c r="D10466" s="1" t="str">
        <f>"9728S34101"</f>
        <v>9728S34101</v>
      </c>
      <c r="E10466" s="1" t="s">
        <v>10</v>
      </c>
      <c r="F10466" s="1" t="str">
        <f>"10.128.76.35"</f>
        <v>10.128.76.35</v>
      </c>
      <c r="G10466" s="1" t="str">
        <f>"9728S341"</f>
        <v>9728S341</v>
      </c>
      <c r="H10466" s="1" t="str">
        <f>"한신간 10L9R3R3"</f>
        <v>한신간 10L9R3R3</v>
      </c>
      <c r="I10466" s="1" t="s">
        <v>8</v>
      </c>
      <c r="J10466" s="1" t="str">
        <f>"42/52"</f>
        <v>42/52</v>
      </c>
      <c r="K10466" s="1" t="str">
        <f t="shared" si="528"/>
        <v>2026-07-29 13:18:12</v>
      </c>
      <c r="L10466" s="1" t="str">
        <f>"2014-12-26 15:43:07"</f>
        <v>2014-12-26 15:43:07</v>
      </c>
      <c r="M10466" s="1" t="s">
        <v>45</v>
      </c>
      <c r="N10466" s="1" t="s">
        <v>38</v>
      </c>
      <c r="O10466" s="1" t="s">
        <v>46</v>
      </c>
    </row>
    <row r="10467" spans="2:15" x14ac:dyDescent="0.3">
      <c r="B10467" s="1" t="s">
        <v>21</v>
      </c>
      <c r="C10467" s="1" t="str">
        <f>"4차"</f>
        <v>4차</v>
      </c>
      <c r="D10467" s="1" t="str">
        <f>"9728S37444"</f>
        <v>9728S37444</v>
      </c>
      <c r="E10467" s="1" t="s">
        <v>10</v>
      </c>
      <c r="F10467" s="1" t="str">
        <f>"10.12.138.80"</f>
        <v>10.12.138.80</v>
      </c>
      <c r="G10467" s="1" t="str">
        <f>"9728S374"</f>
        <v>9728S374</v>
      </c>
      <c r="H10467" s="1" t="str">
        <f>"한신간 12L2L2"</f>
        <v>한신간 12L2L2</v>
      </c>
      <c r="I10467" s="1" t="s">
        <v>8</v>
      </c>
      <c r="J10467" s="1" t="str">
        <f>"49/49"</f>
        <v>49/49</v>
      </c>
      <c r="K10467" s="1" t="str">
        <f t="shared" si="528"/>
        <v>2026-07-29 13:18:12</v>
      </c>
      <c r="L10467" s="1" t="str">
        <f>"2019-11-11 19:50:05"</f>
        <v>2019-11-11 19:50:05</v>
      </c>
      <c r="M10467" s="1" t="s">
        <v>0</v>
      </c>
      <c r="N10467" s="1" t="s">
        <v>38</v>
      </c>
      <c r="O10467" s="1" t="s">
        <v>46</v>
      </c>
    </row>
    <row r="10468" spans="2:15" x14ac:dyDescent="0.3">
      <c r="B10468" s="1" t="s">
        <v>21</v>
      </c>
      <c r="C10468" s="1" t="str">
        <f>"5-1차"</f>
        <v>5-1차</v>
      </c>
      <c r="D10468" s="1" t="str">
        <f>"9728S3825M"</f>
        <v>9728S3825M</v>
      </c>
      <c r="E10468" s="1" t="s">
        <v>10</v>
      </c>
      <c r="F10468" s="1" t="str">
        <f>"fde3:102:1303:804:0:0:0:2"</f>
        <v>fde3:102:1303:804:0:0:0:2</v>
      </c>
      <c r="G10468" s="1" t="str">
        <f>"9728S382"</f>
        <v>9728S382</v>
      </c>
      <c r="H10468" s="1" t="str">
        <f>"한신간 11H1"</f>
        <v>한신간 11H1</v>
      </c>
      <c r="I10468" s="1" t="s">
        <v>15</v>
      </c>
      <c r="J10468" s="1" t="str">
        <f>"30/30"</f>
        <v>30/30</v>
      </c>
      <c r="K10468" s="1" t="str">
        <f>"2026-07-29 14:21:10"</f>
        <v>2026-07-29 14:21:10</v>
      </c>
      <c r="L10468" s="1" t="str">
        <f>"2022-11-24 11:35:39"</f>
        <v>2022-11-24 11:35:39</v>
      </c>
      <c r="M10468" s="1" t="s">
        <v>45</v>
      </c>
      <c r="N10468" s="1" t="s">
        <v>38</v>
      </c>
      <c r="O10468" s="1" t="s">
        <v>46</v>
      </c>
    </row>
    <row r="10469" spans="2:15" x14ac:dyDescent="0.3">
      <c r="B10469" s="1" t="s">
        <v>21</v>
      </c>
      <c r="C10469" s="1" t="str">
        <f>"1차"</f>
        <v>1차</v>
      </c>
      <c r="D10469" s="1" t="str">
        <f>"9728S46101"</f>
        <v>9728S46101</v>
      </c>
      <c r="E10469" s="1" t="str">
        <f>"검침실패(3시간 이상)"</f>
        <v>검침실패(3시간 이상)</v>
      </c>
      <c r="F10469" s="1" t="str">
        <f>"10.12.134.78"</f>
        <v>10.12.134.78</v>
      </c>
      <c r="G10469" s="1" t="str">
        <f>"9728S461"</f>
        <v>9728S461</v>
      </c>
      <c r="H10469" s="1" t="str">
        <f>"한신간 10L5"</f>
        <v>한신간 10L5</v>
      </c>
      <c r="I10469" s="1" t="s">
        <v>8</v>
      </c>
      <c r="J10469" s="1" t="str">
        <f>"3/46"</f>
        <v>3/46</v>
      </c>
      <c r="K10469" s="1" t="str">
        <f>"2026-07-29 13:18:12"</f>
        <v>2026-07-29 13:18:12</v>
      </c>
      <c r="L10469" s="1" t="str">
        <f>"2014-12-26 12:12:37"</f>
        <v>2014-12-26 12:12:37</v>
      </c>
      <c r="M10469" s="1" t="s">
        <v>0</v>
      </c>
      <c r="N10469" s="1" t="s">
        <v>38</v>
      </c>
      <c r="O10469" s="1" t="s">
        <v>46</v>
      </c>
    </row>
    <row r="10470" spans="2:15" x14ac:dyDescent="0.3">
      <c r="B10470" s="1" t="s">
        <v>21</v>
      </c>
      <c r="C10470" s="1" t="str">
        <f>"1차"</f>
        <v>1차</v>
      </c>
      <c r="D10470" s="1" t="str">
        <f>"9728S47100"</f>
        <v>9728S47100</v>
      </c>
      <c r="E10470" s="1" t="s">
        <v>10</v>
      </c>
      <c r="F10470" s="1" t="str">
        <f>"10.128.2.35"</f>
        <v>10.128.2.35</v>
      </c>
      <c r="G10470" s="1" t="str">
        <f>"9728S471"</f>
        <v>9728S471</v>
      </c>
      <c r="H10470" s="1" t="str">
        <f>"한신간 10L2"</f>
        <v>한신간 10L2</v>
      </c>
      <c r="I10470" s="1" t="s">
        <v>8</v>
      </c>
      <c r="J10470" s="1" t="str">
        <f>"6/7"</f>
        <v>6/7</v>
      </c>
      <c r="K10470" s="1" t="str">
        <f>"2026-07-29 13:18:12"</f>
        <v>2026-07-29 13:18:12</v>
      </c>
      <c r="L10470" s="1" t="str">
        <f>"2014-12-24 10:27:39"</f>
        <v>2014-12-24 10:27:39</v>
      </c>
      <c r="M10470" s="1" t="s">
        <v>45</v>
      </c>
      <c r="N10470" s="1" t="s">
        <v>38</v>
      </c>
      <c r="O10470" s="1" t="s">
        <v>46</v>
      </c>
    </row>
    <row r="10471" spans="2:15" x14ac:dyDescent="0.3">
      <c r="B10471" s="1" t="s">
        <v>21</v>
      </c>
      <c r="C10471" s="1" t="str">
        <f>"6차"</f>
        <v>6차</v>
      </c>
      <c r="D10471" s="1" t="str">
        <f>"9728S4726S"</f>
        <v>9728S4726S</v>
      </c>
      <c r="E10471" s="1" t="s">
        <v>10</v>
      </c>
      <c r="F10471" s="1" t="str">
        <f>"fde1:103:4:c64a:0:0:0:2"</f>
        <v>fde1:103:4:c64a:0:0:0:2</v>
      </c>
      <c r="G10471" s="1" t="str">
        <f>"9728S472"</f>
        <v>9728S472</v>
      </c>
      <c r="H10471" s="1" t="str">
        <f>"한신간 10L3"</f>
        <v>한신간 10L3</v>
      </c>
      <c r="I10471" s="1" t="s">
        <v>15</v>
      </c>
      <c r="J10471" s="1" t="str">
        <f>"46/46"</f>
        <v>46/46</v>
      </c>
      <c r="K10471" s="1" t="str">
        <f>"2026-07-29 14:21:10"</f>
        <v>2026-07-29 14:21:10</v>
      </c>
      <c r="L10471" s="1" t="str">
        <f>"2024-10-28 15:48:49"</f>
        <v>2024-10-28 15:48:49</v>
      </c>
      <c r="M10471" s="1" t="s">
        <v>4</v>
      </c>
      <c r="N10471" s="1" t="s">
        <v>38</v>
      </c>
      <c r="O10471" s="1" t="s">
        <v>46</v>
      </c>
    </row>
    <row r="10472" spans="2:15" x14ac:dyDescent="0.3">
      <c r="B10472" s="1" t="s">
        <v>21</v>
      </c>
      <c r="C10472" s="1" t="str">
        <f>"1차"</f>
        <v>1차</v>
      </c>
      <c r="D10472" s="1" t="str">
        <f>"9728S56100"</f>
        <v>9728S56100</v>
      </c>
      <c r="E10472" s="1" t="s">
        <v>10</v>
      </c>
      <c r="F10472" s="1" t="str">
        <f>"10.128.2.32"</f>
        <v>10.128.2.32</v>
      </c>
      <c r="G10472" s="1" t="str">
        <f>"9728S561"</f>
        <v>9728S561</v>
      </c>
      <c r="H10472" s="1" t="str">
        <f>"한신간 10L4"</f>
        <v>한신간 10L4</v>
      </c>
      <c r="I10472" s="1" t="s">
        <v>8</v>
      </c>
      <c r="J10472" s="1" t="str">
        <f>"35/41"</f>
        <v>35/41</v>
      </c>
      <c r="K10472" s="1" t="str">
        <f>"2026-07-29 13:18:12"</f>
        <v>2026-07-29 13:18:12</v>
      </c>
      <c r="L10472" s="1" t="str">
        <f>"2014-12-26 12:12:42"</f>
        <v>2014-12-26 12:12:42</v>
      </c>
      <c r="M10472" s="1" t="s">
        <v>45</v>
      </c>
      <c r="N10472" s="1" t="s">
        <v>38</v>
      </c>
      <c r="O10472" s="1" t="s">
        <v>46</v>
      </c>
    </row>
    <row r="10473" spans="2:15" x14ac:dyDescent="0.3">
      <c r="B10473" s="1" t="s">
        <v>21</v>
      </c>
      <c r="C10473" s="1" t="str">
        <f>"1차"</f>
        <v>1차</v>
      </c>
      <c r="D10473" s="1" t="str">
        <f>"9728S67201"</f>
        <v>9728S67201</v>
      </c>
      <c r="E10473" s="1" t="s">
        <v>10</v>
      </c>
      <c r="F10473" s="1" t="str">
        <f>"10.128.2.39"</f>
        <v>10.128.2.39</v>
      </c>
      <c r="G10473" s="1" t="str">
        <f>"9728S672"</f>
        <v>9728S672</v>
      </c>
      <c r="H10473" s="1" t="str">
        <f>"한신간 6L3"</f>
        <v>한신간 6L3</v>
      </c>
      <c r="I10473" s="1" t="s">
        <v>8</v>
      </c>
      <c r="J10473" s="1" t="str">
        <f>"22/34"</f>
        <v>22/34</v>
      </c>
      <c r="K10473" s="1" t="str">
        <f>"2026-07-29 13:18:12"</f>
        <v>2026-07-29 13:18:12</v>
      </c>
      <c r="L10473" s="1" t="str">
        <f>"2014-12-22 11:28:26"</f>
        <v>2014-12-22 11:28:26</v>
      </c>
      <c r="M10473" s="1" t="s">
        <v>45</v>
      </c>
      <c r="N10473" s="1" t="s">
        <v>38</v>
      </c>
      <c r="O10473" s="1" t="s">
        <v>46</v>
      </c>
    </row>
    <row r="10474" spans="2:15" x14ac:dyDescent="0.3">
      <c r="B10474" s="1" t="s">
        <v>21</v>
      </c>
      <c r="C10474" s="1" t="str">
        <f>"5-2차"</f>
        <v>5-2차</v>
      </c>
      <c r="D10474" s="1" t="str">
        <f>"9728S9915S"</f>
        <v>9728S9915S</v>
      </c>
      <c r="E10474" s="1" t="s">
        <v>10</v>
      </c>
      <c r="F10474" s="1" t="str">
        <f>"fde3:102:1303:903:0:0:0:5"</f>
        <v>fde3:102:1303:903:0:0:0:5</v>
      </c>
      <c r="G10474" s="1" t="str">
        <f>"9728S991"</f>
        <v>9728S991</v>
      </c>
      <c r="H10474" s="1" t="str">
        <f>"응암간 64L1"</f>
        <v>응암간 64L1</v>
      </c>
      <c r="I10474" s="1" t="s">
        <v>15</v>
      </c>
      <c r="J10474" s="1" t="str">
        <f>"34/37"</f>
        <v>34/37</v>
      </c>
      <c r="K10474" s="1" t="str">
        <f>"2026-07-29 14:21:10"</f>
        <v>2026-07-29 14:21:10</v>
      </c>
      <c r="L10474" s="1" t="str">
        <f>"2023-06-05 13:27:41"</f>
        <v>2023-06-05 13:27:41</v>
      </c>
      <c r="M10474" s="1" t="s">
        <v>45</v>
      </c>
      <c r="N10474" s="1" t="s">
        <v>38</v>
      </c>
      <c r="O10474" s="1" t="s">
        <v>46</v>
      </c>
    </row>
    <row r="10475" spans="2:15" x14ac:dyDescent="0.3">
      <c r="B10475" s="1" t="s">
        <v>21</v>
      </c>
      <c r="C10475" s="1" t="str">
        <f>"5-2차"</f>
        <v>5-2차</v>
      </c>
      <c r="D10475" s="1" t="str">
        <f>"9728W0415S"</f>
        <v>9728W0415S</v>
      </c>
      <c r="E10475" s="1" t="s">
        <v>10</v>
      </c>
      <c r="F10475" s="1" t="str">
        <f>"fde3:102:1303:70a:0:0:0:2"</f>
        <v>fde3:102:1303:70a:0:0:0:2</v>
      </c>
      <c r="G10475" s="1" t="str">
        <f>"9728W041"</f>
        <v>9728W041</v>
      </c>
      <c r="H10475" s="1" t="str">
        <f>"정각지 8R1"</f>
        <v>정각지 8R1</v>
      </c>
      <c r="I10475" s="1" t="s">
        <v>15</v>
      </c>
      <c r="J10475" s="1" t="str">
        <f>"70/70"</f>
        <v>70/70</v>
      </c>
      <c r="K10475" s="1" t="str">
        <f>"2026-07-29 14:21:11"</f>
        <v>2026-07-29 14:21:11</v>
      </c>
      <c r="L10475" s="1" t="str">
        <f>"2023-07-16 14:44:06"</f>
        <v>2023-07-16 14:44:06</v>
      </c>
      <c r="M10475" s="1" t="s">
        <v>45</v>
      </c>
      <c r="N10475" s="1" t="s">
        <v>38</v>
      </c>
      <c r="O10475" s="1" t="s">
        <v>46</v>
      </c>
    </row>
    <row r="10476" spans="2:15" x14ac:dyDescent="0.3">
      <c r="B10476" s="1" t="s">
        <v>21</v>
      </c>
      <c r="C10476" s="1" t="str">
        <f>"5-2차"</f>
        <v>5-2차</v>
      </c>
      <c r="D10476" s="1" t="str">
        <f>"9728W0525M"</f>
        <v>9728W0525M</v>
      </c>
      <c r="E10476" s="1" t="s">
        <v>10</v>
      </c>
      <c r="F10476" s="1" t="str">
        <f>"fde3:102:1303:709:0:0:0:2"</f>
        <v>fde3:102:1303:709:0:0:0:2</v>
      </c>
      <c r="G10476" s="1" t="str">
        <f>"9728W052"</f>
        <v>9728W052</v>
      </c>
      <c r="H10476" s="1" t="str">
        <f>"정각지 6A1"</f>
        <v>정각지 6A1</v>
      </c>
      <c r="I10476" s="1" t="s">
        <v>15</v>
      </c>
      <c r="J10476" s="1" t="str">
        <f>"82/82"</f>
        <v>82/82</v>
      </c>
      <c r="K10476" s="1" t="str">
        <f>"2026-07-29 14:21:11"</f>
        <v>2026-07-29 14:21:11</v>
      </c>
      <c r="L10476" s="1" t="str">
        <f>"2023-09-18 09:59:37"</f>
        <v>2023-09-18 09:59:37</v>
      </c>
      <c r="M10476" s="1" t="s">
        <v>45</v>
      </c>
      <c r="N10476" s="1" t="s">
        <v>38</v>
      </c>
      <c r="O10476" s="1" t="s">
        <v>46</v>
      </c>
    </row>
    <row r="10477" spans="2:15" x14ac:dyDescent="0.3">
      <c r="B10477" s="1" t="s">
        <v>21</v>
      </c>
      <c r="C10477" s="1" t="str">
        <f>"5-1차"</f>
        <v>5-1차</v>
      </c>
      <c r="D10477" s="1" t="str">
        <f>"9728W0715S"</f>
        <v>9728W0715S</v>
      </c>
      <c r="E10477" s="1" t="s">
        <v>10</v>
      </c>
      <c r="F10477" s="1" t="str">
        <f>"fde2:104:0:e8:0:0:0:2"</f>
        <v>fde2:104:0:e8:0:0:0:2</v>
      </c>
      <c r="G10477" s="1" t="str">
        <f>"9728W071"</f>
        <v>9728W071</v>
      </c>
      <c r="H10477" s="1" t="str">
        <f>"정각지 3"</f>
        <v>정각지 3</v>
      </c>
      <c r="I10477" s="1" t="s">
        <v>15</v>
      </c>
      <c r="J10477" s="1" t="str">
        <f>"43/43"</f>
        <v>43/43</v>
      </c>
      <c r="K10477" s="1" t="str">
        <f>"2026-07-29 14:21:14"</f>
        <v>2026-07-29 14:21:14</v>
      </c>
      <c r="L10477" s="1" t="str">
        <f>"2022-09-19 13:59:34"</f>
        <v>2022-09-19 13:59:34</v>
      </c>
      <c r="M10477" s="1" t="s">
        <v>42</v>
      </c>
      <c r="N10477" s="1" t="s">
        <v>38</v>
      </c>
      <c r="O10477" s="1" t="s">
        <v>46</v>
      </c>
    </row>
    <row r="10478" spans="2:15" x14ac:dyDescent="0.3">
      <c r="B10478" s="1" t="s">
        <v>21</v>
      </c>
      <c r="C10478" s="1" t="str">
        <f>"5-2차"</f>
        <v>5-2차</v>
      </c>
      <c r="D10478" s="1" t="str">
        <f>"9728W1015M"</f>
        <v>9728W1015M</v>
      </c>
      <c r="E10478" s="1" t="s">
        <v>10</v>
      </c>
      <c r="F10478" s="1" t="str">
        <f>"fde3:102:1303:903:0:0:0:3"</f>
        <v>fde3:102:1303:903:0:0:0:3</v>
      </c>
      <c r="G10478" s="1" t="str">
        <f>"9728W101"</f>
        <v>9728W101</v>
      </c>
      <c r="H10478" s="1" t="str">
        <f>"응암간 54L19"</f>
        <v>응암간 54L19</v>
      </c>
      <c r="I10478" s="1" t="s">
        <v>15</v>
      </c>
      <c r="J10478" s="1" t="str">
        <f>"76/76"</f>
        <v>76/76</v>
      </c>
      <c r="K10478" s="1" t="str">
        <f>"2026-07-29 14:21:19"</f>
        <v>2026-07-29 14:21:19</v>
      </c>
      <c r="L10478" s="1" t="str">
        <f>"2023-06-20 16:29:14"</f>
        <v>2023-06-20 16:29:14</v>
      </c>
      <c r="M10478" s="1" t="s">
        <v>45</v>
      </c>
      <c r="N10478" s="1" t="s">
        <v>38</v>
      </c>
      <c r="O10478" s="1" t="s">
        <v>46</v>
      </c>
    </row>
    <row r="10479" spans="2:15" x14ac:dyDescent="0.3">
      <c r="B10479" s="1" t="s">
        <v>21</v>
      </c>
      <c r="C10479" s="1" t="str">
        <f>"5-2차"</f>
        <v>5-2차</v>
      </c>
      <c r="D10479" s="1" t="str">
        <f>"9728W1325M"</f>
        <v>9728W1325M</v>
      </c>
      <c r="E10479" s="1" t="s">
        <v>10</v>
      </c>
      <c r="F10479" s="1" t="str">
        <f>"fde3:102:1303:70a:0:0:0:3"</f>
        <v>fde3:102:1303:70a:0:0:0:3</v>
      </c>
      <c r="G10479" s="1" t="str">
        <f>"9728W132"</f>
        <v>9728W132</v>
      </c>
      <c r="H10479" s="1" t="str">
        <f>"정각지 8R3"</f>
        <v>정각지 8R3</v>
      </c>
      <c r="I10479" s="1" t="s">
        <v>15</v>
      </c>
      <c r="J10479" s="1" t="str">
        <f>"73/74"</f>
        <v>73/74</v>
      </c>
      <c r="K10479" s="1" t="str">
        <f>"2026-07-29 14:21:13"</f>
        <v>2026-07-29 14:21:13</v>
      </c>
      <c r="L10479" s="1" t="str">
        <f>"2023-09-18 10:02:16"</f>
        <v>2023-09-18 10:02:16</v>
      </c>
      <c r="M10479" s="1" t="s">
        <v>45</v>
      </c>
      <c r="N10479" s="1" t="s">
        <v>38</v>
      </c>
      <c r="O10479" s="1" t="s">
        <v>46</v>
      </c>
    </row>
    <row r="10480" spans="2:15" x14ac:dyDescent="0.3">
      <c r="B10480" s="1" t="s">
        <v>21</v>
      </c>
      <c r="C10480" s="1" t="str">
        <f>"5-1차"</f>
        <v>5-1차</v>
      </c>
      <c r="D10480" s="1" t="str">
        <f>"9728W1515S"</f>
        <v>9728W1515S</v>
      </c>
      <c r="E10480" s="1" t="s">
        <v>10</v>
      </c>
      <c r="F10480" s="1" t="str">
        <f>"fde3:102:1303:700:0:0:0:2"</f>
        <v>fde3:102:1303:700:0:0:0:2</v>
      </c>
      <c r="G10480" s="1" t="str">
        <f>"9728W151"</f>
        <v>9728W151</v>
      </c>
      <c r="H10480" s="1" t="str">
        <f>"정각지 7"</f>
        <v>정각지 7</v>
      </c>
      <c r="I10480" s="1" t="s">
        <v>15</v>
      </c>
      <c r="J10480" s="1" t="str">
        <f>"31/31"</f>
        <v>31/31</v>
      </c>
      <c r="K10480" s="1" t="str">
        <f>"2026-07-29 14:21:14"</f>
        <v>2026-07-29 14:21:14</v>
      </c>
      <c r="L10480" s="1" t="str">
        <f>"2022-11-21 11:10:40"</f>
        <v>2022-11-21 11:10:40</v>
      </c>
      <c r="M10480" s="1" t="s">
        <v>45</v>
      </c>
      <c r="N10480" s="1" t="s">
        <v>38</v>
      </c>
      <c r="O10480" s="1" t="s">
        <v>46</v>
      </c>
    </row>
    <row r="10481" spans="2:15" x14ac:dyDescent="0.3">
      <c r="B10481" s="1" t="s">
        <v>21</v>
      </c>
      <c r="C10481" s="1" t="str">
        <f>"5-2차"</f>
        <v>5-2차</v>
      </c>
      <c r="D10481" s="1" t="str">
        <f>"9728W1625M"</f>
        <v>9728W1625M</v>
      </c>
      <c r="E10481" s="1" t="s">
        <v>10</v>
      </c>
      <c r="F10481" s="1" t="str">
        <f>"fde3:102:1303:80a:0:0:0:2"</f>
        <v>fde3:102:1303:80a:0:0:0:2</v>
      </c>
      <c r="G10481" s="1" t="str">
        <f>"9728W162"</f>
        <v>9728W162</v>
      </c>
      <c r="H10481" s="1" t="str">
        <f>"정각지 6"</f>
        <v>정각지 6</v>
      </c>
      <c r="I10481" s="1" t="s">
        <v>15</v>
      </c>
      <c r="J10481" s="1" t="str">
        <f>"79/79"</f>
        <v>79/79</v>
      </c>
      <c r="K10481" s="1" t="str">
        <f>"2026-07-29 14:21:14"</f>
        <v>2026-07-29 14:21:14</v>
      </c>
      <c r="L10481" s="1" t="str">
        <f>"2023-10-10 13:55:30"</f>
        <v>2023-10-10 13:55:30</v>
      </c>
      <c r="M10481" s="1" t="s">
        <v>45</v>
      </c>
      <c r="N10481" s="1" t="s">
        <v>38</v>
      </c>
      <c r="O10481" s="1" t="s">
        <v>46</v>
      </c>
    </row>
    <row r="10482" spans="2:15" x14ac:dyDescent="0.3">
      <c r="B10482" s="1" t="s">
        <v>21</v>
      </c>
      <c r="C10482" s="1" t="str">
        <f>"4차"</f>
        <v>4차</v>
      </c>
      <c r="D10482" s="1" t="str">
        <f>"9728W19439"</f>
        <v>9728W19439</v>
      </c>
      <c r="E10482" s="1" t="s">
        <v>10</v>
      </c>
      <c r="F10482" s="1" t="str">
        <f>"10.12.130.117"</f>
        <v>10.12.130.117</v>
      </c>
      <c r="G10482" s="1" t="str">
        <f>"9728W194"</f>
        <v>9728W194</v>
      </c>
      <c r="H10482" s="1" t="str">
        <f>"통일로 L15"</f>
        <v>통일로 L15</v>
      </c>
      <c r="I10482" s="1" t="s">
        <v>17</v>
      </c>
      <c r="J10482" s="1" t="str">
        <f>"55/55"</f>
        <v>55/55</v>
      </c>
      <c r="K10482" s="1" t="str">
        <f>"2026-07-29 13:18:11"</f>
        <v>2026-07-29 13:18:11</v>
      </c>
      <c r="L10482" s="1" t="str">
        <f>"2018-10-18 11:23:26"</f>
        <v>2018-10-18 11:23:26</v>
      </c>
      <c r="M10482" s="1" t="s">
        <v>0</v>
      </c>
      <c r="N10482" s="1" t="s">
        <v>38</v>
      </c>
      <c r="O10482" s="1" t="s">
        <v>46</v>
      </c>
    </row>
    <row r="10483" spans="2:15" x14ac:dyDescent="0.3">
      <c r="B10483" s="1" t="s">
        <v>21</v>
      </c>
      <c r="C10483" s="1" t="str">
        <f>"5-2차"</f>
        <v>5-2차</v>
      </c>
      <c r="D10483" s="1" t="str">
        <f>"9728W2525S"</f>
        <v>9728W2525S</v>
      </c>
      <c r="E10483" s="1" t="s">
        <v>10</v>
      </c>
      <c r="F10483" s="1" t="str">
        <f>"fde3:102:1303:708:0:0:0:2"</f>
        <v>fde3:102:1303:708:0:0:0:2</v>
      </c>
      <c r="G10483" s="1" t="str">
        <f>"9728W252"</f>
        <v>9728W252</v>
      </c>
      <c r="H10483" s="1" t="str">
        <f>"정각지 5A1"</f>
        <v>정각지 5A1</v>
      </c>
      <c r="I10483" s="1" t="s">
        <v>15</v>
      </c>
      <c r="J10483" s="1" t="str">
        <f>"70/70"</f>
        <v>70/70</v>
      </c>
      <c r="K10483" s="1" t="str">
        <f>"2026-07-29 14:21:14"</f>
        <v>2026-07-29 14:21:14</v>
      </c>
      <c r="L10483" s="1" t="str">
        <f>"2023-07-05 16:43:52"</f>
        <v>2023-07-05 16:43:52</v>
      </c>
      <c r="M10483" s="1" t="s">
        <v>45</v>
      </c>
      <c r="N10483" s="1" t="s">
        <v>38</v>
      </c>
      <c r="O10483" s="1" t="s">
        <v>46</v>
      </c>
    </row>
    <row r="10484" spans="2:15" x14ac:dyDescent="0.3">
      <c r="B10484" s="1" t="s">
        <v>21</v>
      </c>
      <c r="C10484" s="1" t="str">
        <f>"4차"</f>
        <v>4차</v>
      </c>
      <c r="D10484" s="1" t="str">
        <f>"9728W27139"</f>
        <v>9728W27139</v>
      </c>
      <c r="E10484" s="1" t="s">
        <v>14</v>
      </c>
      <c r="F10484" s="1" t="str">
        <f>"10.12.130.124"</f>
        <v>10.12.130.124</v>
      </c>
      <c r="G10484" s="1" t="str">
        <f>"9728W271"</f>
        <v>9728W271</v>
      </c>
      <c r="H10484" s="1" t="str">
        <f>"통일로 L14"</f>
        <v>통일로 L14</v>
      </c>
      <c r="I10484" s="1" t="s">
        <v>17</v>
      </c>
      <c r="J10484" s="1" t="str">
        <f>"0/0"</f>
        <v>0/0</v>
      </c>
      <c r="K10484" s="1" t="str">
        <f>"2026-07-28 13:18:12"</f>
        <v>2026-07-28 13:18:12</v>
      </c>
      <c r="L10484" s="1" t="str">
        <f>"2018-10-18 11:37:26"</f>
        <v>2018-10-18 11:37:26</v>
      </c>
      <c r="M10484" s="1" t="s">
        <v>0</v>
      </c>
      <c r="N10484" s="1" t="s">
        <v>39</v>
      </c>
      <c r="O10484" s="1" t="s">
        <v>46</v>
      </c>
    </row>
    <row r="10485" spans="2:15" x14ac:dyDescent="0.3">
      <c r="B10485" s="1" t="s">
        <v>21</v>
      </c>
      <c r="C10485" s="1" t="str">
        <f>"4차"</f>
        <v>4차</v>
      </c>
      <c r="D10485" s="1" t="str">
        <f>"9728W30439"</f>
        <v>9728W30439</v>
      </c>
      <c r="E10485" s="1" t="s">
        <v>10</v>
      </c>
      <c r="F10485" s="1" t="str">
        <f>"10.12.130.132"</f>
        <v>10.12.130.132</v>
      </c>
      <c r="G10485" s="1" t="str">
        <f>"9728W304"</f>
        <v>9728W304</v>
      </c>
      <c r="H10485" s="1" t="str">
        <f>"통일로 L13"</f>
        <v>통일로 L13</v>
      </c>
      <c r="I10485" s="1" t="s">
        <v>17</v>
      </c>
      <c r="J10485" s="1" t="str">
        <f>"51/56"</f>
        <v>51/56</v>
      </c>
      <c r="K10485" s="1" t="str">
        <f>"2026-07-29 13:18:11"</f>
        <v>2026-07-29 13:18:11</v>
      </c>
      <c r="L10485" s="1" t="str">
        <f>"2018-10-18 11:51:12"</f>
        <v>2018-10-18 11:51:12</v>
      </c>
      <c r="M10485" s="1" t="s">
        <v>0</v>
      </c>
      <c r="N10485" s="1" t="s">
        <v>38</v>
      </c>
      <c r="O10485" s="1" t="s">
        <v>46</v>
      </c>
    </row>
    <row r="10486" spans="2:15" x14ac:dyDescent="0.3">
      <c r="B10486" s="1" t="s">
        <v>21</v>
      </c>
      <c r="C10486" s="1" t="str">
        <f>"5-2차"</f>
        <v>5-2차</v>
      </c>
      <c r="D10486" s="1" t="str">
        <f>"9728Y1925M"</f>
        <v>9728Y1925M</v>
      </c>
      <c r="E10486" s="1" t="s">
        <v>10</v>
      </c>
      <c r="F10486" s="1" t="str">
        <f>"fde3:102:1303:903:0:0:0:2"</f>
        <v>fde3:102:1303:903:0:0:0:2</v>
      </c>
      <c r="G10486" s="1" t="str">
        <f>"9728Y192"</f>
        <v>9728Y192</v>
      </c>
      <c r="H10486" s="1" t="str">
        <f>"응암간 54L17"</f>
        <v>응암간 54L17</v>
      </c>
      <c r="I10486" s="1" t="s">
        <v>15</v>
      </c>
      <c r="J10486" s="1" t="str">
        <f>"27/38"</f>
        <v>27/38</v>
      </c>
      <c r="K10486" s="1" t="str">
        <f>"2026-07-29 14:21:41"</f>
        <v>2026-07-29 14:21:41</v>
      </c>
      <c r="L10486" s="1" t="str">
        <f>"2023-07-24 11:39:22"</f>
        <v>2023-07-24 11:39:22</v>
      </c>
      <c r="M10486" s="1" t="s">
        <v>45</v>
      </c>
      <c r="N10486" s="1" t="s">
        <v>38</v>
      </c>
      <c r="O10486" s="1" t="s">
        <v>46</v>
      </c>
    </row>
    <row r="10487" spans="2:15" x14ac:dyDescent="0.3">
      <c r="B10487" s="1" t="s">
        <v>21</v>
      </c>
      <c r="C10487" s="1" t="str">
        <f>"4차"</f>
        <v>4차</v>
      </c>
      <c r="D10487" s="1" t="str">
        <f>"9728Y55445"</f>
        <v>9728Y55445</v>
      </c>
      <c r="E10487" s="1" t="s">
        <v>10</v>
      </c>
      <c r="F10487" s="1" t="str">
        <f>"10.12.129.48"</f>
        <v>10.12.129.48</v>
      </c>
      <c r="G10487" s="1" t="str">
        <f>"9728Y554"</f>
        <v>9728Y554</v>
      </c>
      <c r="H10487" s="1" t="str">
        <f>"통일로 L12-1"</f>
        <v>통일로 L12-1</v>
      </c>
      <c r="I10487" s="1" t="s">
        <v>17</v>
      </c>
      <c r="J10487" s="1" t="str">
        <f>"4/4"</f>
        <v>4/4</v>
      </c>
      <c r="K10487" s="1" t="str">
        <f>"2026-07-29 13:18:13"</f>
        <v>2026-07-29 13:18:13</v>
      </c>
      <c r="L10487" s="1" t="str">
        <f>"2021-06-21 16:36:05"</f>
        <v>2021-06-21 16:36:05</v>
      </c>
      <c r="M10487" s="1" t="s">
        <v>0</v>
      </c>
      <c r="N10487" s="1" t="s">
        <v>38</v>
      </c>
      <c r="O10487" s="1" t="s">
        <v>46</v>
      </c>
    </row>
    <row r="10488" spans="2:15" x14ac:dyDescent="0.3">
      <c r="B10488" s="1" t="s">
        <v>21</v>
      </c>
      <c r="C10488" s="1" t="str">
        <f>"4차"</f>
        <v>4차</v>
      </c>
      <c r="D10488" s="1" t="str">
        <f>"9728Y73139"</f>
        <v>9728Y73139</v>
      </c>
      <c r="E10488" s="1" t="s">
        <v>10</v>
      </c>
      <c r="F10488" s="1" t="str">
        <f>"10.12.132.149"</f>
        <v>10.12.132.149</v>
      </c>
      <c r="G10488" s="1" t="str">
        <f>"9728Y731"</f>
        <v>9728Y731</v>
      </c>
      <c r="H10488" s="1" t="str">
        <f>"통일로 L12"</f>
        <v>통일로 L12</v>
      </c>
      <c r="I10488" s="1" t="s">
        <v>17</v>
      </c>
      <c r="J10488" s="1" t="str">
        <f>"29/29"</f>
        <v>29/29</v>
      </c>
      <c r="K10488" s="1" t="str">
        <f>"2026-07-29 13:18:11"</f>
        <v>2026-07-29 13:18:11</v>
      </c>
      <c r="L10488" s="1" t="str">
        <f>"2019-01-03 16:38:43"</f>
        <v>2019-01-03 16:38:43</v>
      </c>
      <c r="M10488" s="1" t="s">
        <v>0</v>
      </c>
      <c r="N10488" s="1" t="s">
        <v>38</v>
      </c>
      <c r="O10488" s="1" t="s">
        <v>46</v>
      </c>
    </row>
    <row r="10489" spans="2:15" x14ac:dyDescent="0.3">
      <c r="B10489" s="1" t="s">
        <v>21</v>
      </c>
      <c r="C10489" s="1" t="str">
        <f>"4차"</f>
        <v>4차</v>
      </c>
      <c r="D10489" s="1" t="str">
        <f>"9728Y74145"</f>
        <v>9728Y74145</v>
      </c>
      <c r="E10489" s="1" t="s">
        <v>10</v>
      </c>
      <c r="F10489" s="1" t="str">
        <f>"10.14.1.25"</f>
        <v>10.14.1.25</v>
      </c>
      <c r="G10489" s="1" t="str">
        <f>"9728Y741"</f>
        <v>9728Y741</v>
      </c>
      <c r="H10489" s="1" t="str">
        <f>"통일로 R4"</f>
        <v>통일로 R4</v>
      </c>
      <c r="I10489" s="1" t="s">
        <v>17</v>
      </c>
      <c r="J10489" s="1" t="str">
        <f>"3/3"</f>
        <v>3/3</v>
      </c>
      <c r="K10489" s="1" t="str">
        <f>"2026-07-29 13:18:08"</f>
        <v>2026-07-29 13:18:08</v>
      </c>
      <c r="L10489" s="1" t="str">
        <f>"2021-06-22 08:02:54"</f>
        <v>2021-06-22 08:02:54</v>
      </c>
      <c r="M10489" s="1" t="s">
        <v>3</v>
      </c>
      <c r="N10489" s="1" t="s">
        <v>38</v>
      </c>
      <c r="O10489" s="1" t="s">
        <v>46</v>
      </c>
    </row>
    <row r="10490" spans="2:15" x14ac:dyDescent="0.3">
      <c r="B10490" s="1" t="s">
        <v>21</v>
      </c>
      <c r="C10490" s="1" t="str">
        <f>"4차"</f>
        <v>4차</v>
      </c>
      <c r="D10490" s="1" t="str">
        <f>"9728Y74539"</f>
        <v>9728Y74539</v>
      </c>
      <c r="E10490" s="1" t="s">
        <v>10</v>
      </c>
      <c r="F10490" s="1" t="str">
        <f>"10.12.136.56"</f>
        <v>10.12.136.56</v>
      </c>
      <c r="G10490" s="1" t="str">
        <f>"9728Y745"</f>
        <v>9728Y745</v>
      </c>
      <c r="H10490" s="1" t="str">
        <f>"통일로 R4-1"</f>
        <v>통일로 R4-1</v>
      </c>
      <c r="I10490" s="1" t="s">
        <v>17</v>
      </c>
      <c r="J10490" s="1" t="str">
        <f>"60/60"</f>
        <v>60/60</v>
      </c>
      <c r="K10490" s="1" t="str">
        <f>"2026-07-29 13:18:10"</f>
        <v>2026-07-29 13:18:10</v>
      </c>
      <c r="L10490" s="1" t="str">
        <f>"2018-10-18 08:50:40"</f>
        <v>2018-10-18 08:50:40</v>
      </c>
      <c r="M10490" s="1" t="s">
        <v>0</v>
      </c>
      <c r="N10490" s="1" t="s">
        <v>38</v>
      </c>
      <c r="O10490" s="1" t="s">
        <v>46</v>
      </c>
    </row>
    <row r="10491" spans="2:15" x14ac:dyDescent="0.3">
      <c r="B10491" s="1" t="s">
        <v>21</v>
      </c>
      <c r="C10491" s="1" t="str">
        <f>"4차"</f>
        <v>4차</v>
      </c>
      <c r="D10491" s="1" t="str">
        <f>"9729A05745"</f>
        <v>9729A05745</v>
      </c>
      <c r="E10491" s="1" t="s">
        <v>10</v>
      </c>
      <c r="F10491" s="1" t="str">
        <f>"10.14.13.16"</f>
        <v>10.14.13.16</v>
      </c>
      <c r="G10491" s="1" t="str">
        <f>"9729A057"</f>
        <v>9729A057</v>
      </c>
      <c r="H10491" s="1" t="str">
        <f>"이지구 2"</f>
        <v>이지구 2</v>
      </c>
      <c r="I10491" s="1" t="s">
        <v>17</v>
      </c>
      <c r="J10491" s="1" t="str">
        <f>"24/24"</f>
        <v>24/24</v>
      </c>
      <c r="K10491" s="1" t="str">
        <f>"2026-07-29 13:18:11"</f>
        <v>2026-07-29 13:18:11</v>
      </c>
      <c r="L10491" s="1" t="str">
        <f>"2021-06-22 13:40:51"</f>
        <v>2021-06-22 13:40:51</v>
      </c>
      <c r="M10491" s="1" t="s">
        <v>3</v>
      </c>
      <c r="N10491" s="1" t="s">
        <v>38</v>
      </c>
      <c r="O10491" s="1" t="s">
        <v>46</v>
      </c>
    </row>
    <row r="10492" spans="2:15" x14ac:dyDescent="0.3">
      <c r="B10492" s="1" t="s">
        <v>21</v>
      </c>
      <c r="C10492" s="1" t="str">
        <f>"5-1차"</f>
        <v>5-1차</v>
      </c>
      <c r="D10492" s="1" t="str">
        <f>"9729C0065M"</f>
        <v>9729C0065M</v>
      </c>
      <c r="E10492" s="1" t="s">
        <v>10</v>
      </c>
      <c r="F10492" s="1" t="str">
        <f>"fde3:102:1303:1003:0:0:0:2"</f>
        <v>fde3:102:1303:1003:0:0:0:2</v>
      </c>
      <c r="G10492" s="1" t="str">
        <f>"9729C006"</f>
        <v>9729C006</v>
      </c>
      <c r="H10492" s="1" t="str">
        <f>"연서간 25L2"</f>
        <v>연서간 25L2</v>
      </c>
      <c r="I10492" s="1" t="s">
        <v>15</v>
      </c>
      <c r="J10492" s="1" t="str">
        <f>"120/120"</f>
        <v>120/120</v>
      </c>
      <c r="K10492" s="1" t="str">
        <f>"2026-07-29 14:21:42"</f>
        <v>2026-07-29 14:21:42</v>
      </c>
      <c r="L10492" s="1" t="str">
        <f>"2022-12-15 10:24:37"</f>
        <v>2022-12-15 10:24:37</v>
      </c>
      <c r="M10492" s="1" t="s">
        <v>45</v>
      </c>
      <c r="N10492" s="1" t="s">
        <v>38</v>
      </c>
      <c r="O10492" s="1" t="s">
        <v>46</v>
      </c>
    </row>
    <row r="10493" spans="2:15" x14ac:dyDescent="0.3">
      <c r="B10493" s="1" t="s">
        <v>21</v>
      </c>
      <c r="C10493" s="1" t="str">
        <f>"5-2차"</f>
        <v>5-2차</v>
      </c>
      <c r="D10493" s="1" t="str">
        <f>"9729C0115S"</f>
        <v>9729C0115S</v>
      </c>
      <c r="E10493" s="1" t="s">
        <v>10</v>
      </c>
      <c r="F10493" s="1" t="str">
        <f>"fde1:103:4:6e19:0:0:0:2"</f>
        <v>fde1:103:4:6e19:0:0:0:2</v>
      </c>
      <c r="G10493" s="1" t="str">
        <f>"9729C011"</f>
        <v>9729C011</v>
      </c>
      <c r="H10493" s="1" t="str">
        <f>"연서간 25L5"</f>
        <v>연서간 25L5</v>
      </c>
      <c r="I10493" s="1" t="s">
        <v>15</v>
      </c>
      <c r="J10493" s="1" t="str">
        <f>"38/38"</f>
        <v>38/38</v>
      </c>
      <c r="K10493" s="1" t="str">
        <f>"2026-07-29 14:21:46"</f>
        <v>2026-07-29 14:21:46</v>
      </c>
      <c r="L10493" s="1" t="str">
        <f>"2023-11-15 06:20:26"</f>
        <v>2023-11-15 06:20:26</v>
      </c>
      <c r="M10493" s="1" t="s">
        <v>4</v>
      </c>
      <c r="N10493" s="1" t="s">
        <v>38</v>
      </c>
      <c r="O10493" s="1" t="s">
        <v>46</v>
      </c>
    </row>
    <row r="10494" spans="2:15" x14ac:dyDescent="0.3">
      <c r="B10494" s="1" t="s">
        <v>21</v>
      </c>
      <c r="C10494" s="1" t="str">
        <f>"5-2차"</f>
        <v>5-2차</v>
      </c>
      <c r="D10494" s="1" t="str">
        <f>"9729C0235M"</f>
        <v>9729C0235M</v>
      </c>
      <c r="E10494" s="1" t="s">
        <v>10</v>
      </c>
      <c r="F10494" s="1" t="str">
        <f>"fde3:102:1303:1207:0:0:0:2"</f>
        <v>fde3:102:1303:1207:0:0:0:2</v>
      </c>
      <c r="G10494" s="1" t="str">
        <f>"9729C023"</f>
        <v>9729C023</v>
      </c>
      <c r="H10494" s="1" t="str">
        <f>"숭덕지 2R2"</f>
        <v>숭덕지 2R2</v>
      </c>
      <c r="I10494" s="1" t="s">
        <v>15</v>
      </c>
      <c r="J10494" s="1" t="str">
        <f>"29/56"</f>
        <v>29/56</v>
      </c>
      <c r="K10494" s="1" t="str">
        <f>"2026-07-29 14:21:15"</f>
        <v>2026-07-29 14:21:15</v>
      </c>
      <c r="L10494" s="1" t="str">
        <f>"2023-07-24 14:04:59"</f>
        <v>2023-07-24 14:04:59</v>
      </c>
      <c r="M10494" s="1" t="s">
        <v>45</v>
      </c>
      <c r="N10494" s="1" t="s">
        <v>38</v>
      </c>
      <c r="O10494" s="1" t="s">
        <v>46</v>
      </c>
    </row>
    <row r="10495" spans="2:15" x14ac:dyDescent="0.3">
      <c r="B10495" s="1" t="s">
        <v>21</v>
      </c>
      <c r="C10495" s="1" t="str">
        <f>"5-2차"</f>
        <v>5-2차</v>
      </c>
      <c r="D10495" s="1" t="str">
        <f>"9729C0615M"</f>
        <v>9729C0615M</v>
      </c>
      <c r="E10495" s="1" t="s">
        <v>10</v>
      </c>
      <c r="F10495" s="1" t="str">
        <f>"fde3:102:1303:1208:0:0:0:2"</f>
        <v>fde3:102:1303:1208:0:0:0:2</v>
      </c>
      <c r="G10495" s="1" t="str">
        <f>"9729C061"</f>
        <v>9729C061</v>
      </c>
      <c r="H10495" s="1" t="str">
        <f>"숭덕지 4L3"</f>
        <v>숭덕지 4L3</v>
      </c>
      <c r="I10495" s="1" t="s">
        <v>15</v>
      </c>
      <c r="J10495" s="1" t="str">
        <f>"84/84"</f>
        <v>84/84</v>
      </c>
      <c r="K10495" s="1" t="str">
        <f>"2026-07-29 14:21:15"</f>
        <v>2026-07-29 14:21:15</v>
      </c>
      <c r="L10495" s="1" t="str">
        <f>"2023-06-13 18:34:11"</f>
        <v>2023-06-13 18:34:11</v>
      </c>
      <c r="M10495" s="1" t="s">
        <v>45</v>
      </c>
      <c r="N10495" s="1" t="s">
        <v>38</v>
      </c>
      <c r="O10495" s="1" t="s">
        <v>46</v>
      </c>
    </row>
    <row r="10496" spans="2:15" x14ac:dyDescent="0.3">
      <c r="B10496" s="1" t="s">
        <v>21</v>
      </c>
      <c r="C10496" s="1" t="str">
        <f>"5-1차"</f>
        <v>5-1차</v>
      </c>
      <c r="D10496" s="1" t="str">
        <f>"9729C1235S"</f>
        <v>9729C1235S</v>
      </c>
      <c r="E10496" s="1" t="s">
        <v>10</v>
      </c>
      <c r="F10496" s="1" t="str">
        <f>"fde2:104:0:1d1:0:0:0:2"</f>
        <v>fde2:104:0:1d1:0:0:0:2</v>
      </c>
      <c r="G10496" s="1" t="str">
        <f>"9729C123"</f>
        <v>9729C123</v>
      </c>
      <c r="H10496" s="1" t="str">
        <f>"숭덕지 2R5R1"</f>
        <v>숭덕지 2R5R1</v>
      </c>
      <c r="I10496" s="1" t="s">
        <v>15</v>
      </c>
      <c r="J10496" s="1" t="str">
        <f>"3/32"</f>
        <v>3/32</v>
      </c>
      <c r="K10496" s="1" t="str">
        <f>"2026-07-28 20:03:48"</f>
        <v>2026-07-28 20:03:48</v>
      </c>
      <c r="L10496" s="1" t="str">
        <f>"2022-09-28 08:46:54"</f>
        <v>2022-09-28 08:46:54</v>
      </c>
      <c r="M10496" s="1" t="s">
        <v>42</v>
      </c>
      <c r="N10496" s="1" t="s">
        <v>38</v>
      </c>
      <c r="O10496" s="1" t="s">
        <v>46</v>
      </c>
    </row>
    <row r="10497" spans="2:15" x14ac:dyDescent="0.3">
      <c r="B10497" s="1" t="s">
        <v>21</v>
      </c>
      <c r="C10497" s="1" t="str">
        <f>"5-2차"</f>
        <v>5-2차</v>
      </c>
      <c r="D10497" s="1" t="str">
        <f>"9729C1315M"</f>
        <v>9729C1315M</v>
      </c>
      <c r="E10497" s="1" t="s">
        <v>10</v>
      </c>
      <c r="F10497" s="1" t="str">
        <f>"fde3:102:1303:1208:0:0:0:3"</f>
        <v>fde3:102:1303:1208:0:0:0:3</v>
      </c>
      <c r="G10497" s="1" t="str">
        <f>"9729C131"</f>
        <v>9729C131</v>
      </c>
      <c r="H10497" s="1" t="str">
        <f>"숭덕지 6"</f>
        <v>숭덕지 6</v>
      </c>
      <c r="I10497" s="1" t="s">
        <v>15</v>
      </c>
      <c r="J10497" s="1" t="str">
        <f>"64/64"</f>
        <v>64/64</v>
      </c>
      <c r="K10497" s="1" t="str">
        <f>"2026-07-29 14:21:41"</f>
        <v>2026-07-29 14:21:41</v>
      </c>
      <c r="L10497" s="1" t="str">
        <f>"2023-07-24 15:31:34"</f>
        <v>2023-07-24 15:31:34</v>
      </c>
      <c r="M10497" s="1" t="s">
        <v>45</v>
      </c>
      <c r="N10497" s="1" t="s">
        <v>38</v>
      </c>
      <c r="O10497" s="1" t="s">
        <v>46</v>
      </c>
    </row>
    <row r="10498" spans="2:15" x14ac:dyDescent="0.3">
      <c r="B10498" s="1" t="s">
        <v>21</v>
      </c>
      <c r="C10498" s="1" t="str">
        <f>"5-2차"</f>
        <v>5-2차</v>
      </c>
      <c r="D10498" s="1" t="str">
        <f>"9729C1415S"</f>
        <v>9729C1415S</v>
      </c>
      <c r="E10498" s="1" t="s">
        <v>10</v>
      </c>
      <c r="F10498" s="1" t="str">
        <f>"fde3:102:1303:1208:0:0:0:4"</f>
        <v>fde3:102:1303:1208:0:0:0:4</v>
      </c>
      <c r="G10498" s="1" t="str">
        <f>"9729C141"</f>
        <v>9729C141</v>
      </c>
      <c r="H10498" s="1" t="str">
        <f>"숭덕지 7"</f>
        <v>숭덕지 7</v>
      </c>
      <c r="I10498" s="1" t="s">
        <v>15</v>
      </c>
      <c r="J10498" s="1" t="str">
        <f>"64/64"</f>
        <v>64/64</v>
      </c>
      <c r="K10498" s="1" t="str">
        <f>"2026-07-29 14:21:42"</f>
        <v>2026-07-29 14:21:42</v>
      </c>
      <c r="L10498" s="1" t="str">
        <f>"2023-06-27 11:16:03"</f>
        <v>2023-06-27 11:16:03</v>
      </c>
      <c r="M10498" s="1" t="s">
        <v>45</v>
      </c>
      <c r="N10498" s="1" t="s">
        <v>38</v>
      </c>
      <c r="O10498" s="1" t="s">
        <v>46</v>
      </c>
    </row>
    <row r="10499" spans="2:15" x14ac:dyDescent="0.3">
      <c r="B10499" s="1" t="s">
        <v>21</v>
      </c>
      <c r="C10499" s="1" t="str">
        <f>"5-2차"</f>
        <v>5-2차</v>
      </c>
      <c r="D10499" s="1" t="str">
        <f>"9729C2125S"</f>
        <v>9729C2125S</v>
      </c>
      <c r="E10499" s="1" t="s">
        <v>10</v>
      </c>
      <c r="F10499" s="1" t="str">
        <f>"fde3:102:1303:f0a:0:0:0:3"</f>
        <v>fde3:102:1303:f0a:0:0:0:3</v>
      </c>
      <c r="G10499" s="1" t="str">
        <f>"9729C212"</f>
        <v>9729C212</v>
      </c>
      <c r="H10499" s="1" t="str">
        <f>"숭덕지 2R8"</f>
        <v>숭덕지 2R8</v>
      </c>
      <c r="I10499" s="1" t="s">
        <v>15</v>
      </c>
      <c r="J10499" s="1" t="str">
        <f>"39/39"</f>
        <v>39/39</v>
      </c>
      <c r="K10499" s="1" t="str">
        <f>"2026-07-29 14:21:41"</f>
        <v>2026-07-29 14:21:41</v>
      </c>
      <c r="L10499" s="1" t="str">
        <f>"2023-06-30 11:03:19"</f>
        <v>2023-06-30 11:03:19</v>
      </c>
      <c r="M10499" s="1" t="s">
        <v>45</v>
      </c>
      <c r="N10499" s="1" t="s">
        <v>38</v>
      </c>
      <c r="O10499" s="1" t="s">
        <v>46</v>
      </c>
    </row>
    <row r="10500" spans="2:15" x14ac:dyDescent="0.3">
      <c r="B10500" s="1" t="s">
        <v>21</v>
      </c>
      <c r="C10500" s="1" t="str">
        <f>"5-2차"</f>
        <v>5-2차</v>
      </c>
      <c r="D10500" s="1" t="str">
        <f>"9729C2215S"</f>
        <v>9729C2215S</v>
      </c>
      <c r="E10500" s="1" t="s">
        <v>10</v>
      </c>
      <c r="F10500" s="1" t="str">
        <f>"fde3:102:1303:1207:0:0:0:3"</f>
        <v>fde3:102:1303:1207:0:0:0:3</v>
      </c>
      <c r="G10500" s="1" t="str">
        <f>"9729C221"</f>
        <v>9729C221</v>
      </c>
      <c r="H10500" s="1" t="str">
        <f>"숭덕지 2R6"</f>
        <v>숭덕지 2R6</v>
      </c>
      <c r="I10500" s="1" t="s">
        <v>15</v>
      </c>
      <c r="J10500" s="1" t="str">
        <f>"21/66"</f>
        <v>21/66</v>
      </c>
      <c r="K10500" s="1" t="str">
        <f>"2026-07-29 14:21:42"</f>
        <v>2026-07-29 14:21:42</v>
      </c>
      <c r="L10500" s="1" t="str">
        <f>"2023-06-06 11:33:23"</f>
        <v>2023-06-06 11:33:23</v>
      </c>
      <c r="M10500" s="1" t="s">
        <v>45</v>
      </c>
      <c r="N10500" s="1" t="s">
        <v>38</v>
      </c>
      <c r="O10500" s="1" t="s">
        <v>46</v>
      </c>
    </row>
    <row r="10501" spans="2:15" x14ac:dyDescent="0.3">
      <c r="B10501" s="1" t="s">
        <v>21</v>
      </c>
      <c r="C10501" s="1" t="str">
        <f>"5-2차"</f>
        <v>5-2차</v>
      </c>
      <c r="D10501" s="1" t="str">
        <f>"9729C2615M"</f>
        <v>9729C2615M</v>
      </c>
      <c r="E10501" s="1" t="s">
        <v>10</v>
      </c>
      <c r="F10501" s="1" t="str">
        <f>"fde3:102:1303:1103:0:0:0:7"</f>
        <v>fde3:102:1303:1103:0:0:0:7</v>
      </c>
      <c r="G10501" s="1" t="str">
        <f>"9729C261"</f>
        <v>9729C261</v>
      </c>
      <c r="H10501" s="1" t="str">
        <f>"숭덕지 8L1"</f>
        <v>숭덕지 8L1</v>
      </c>
      <c r="I10501" s="1" t="s">
        <v>15</v>
      </c>
      <c r="J10501" s="1" t="str">
        <f>"135/137"</f>
        <v>135/137</v>
      </c>
      <c r="K10501" s="1" t="str">
        <f>"2026-07-29 14:21:41"</f>
        <v>2026-07-29 14:21:41</v>
      </c>
      <c r="L10501" s="1" t="str">
        <f>"2023-06-13 18:34:50"</f>
        <v>2023-06-13 18:34:50</v>
      </c>
      <c r="M10501" s="1" t="s">
        <v>45</v>
      </c>
      <c r="N10501" s="1" t="s">
        <v>38</v>
      </c>
      <c r="O10501" s="1" t="s">
        <v>46</v>
      </c>
    </row>
    <row r="10502" spans="2:15" x14ac:dyDescent="0.3">
      <c r="B10502" s="1" t="s">
        <v>21</v>
      </c>
      <c r="C10502" s="1" t="str">
        <f>"5-1차"</f>
        <v>5-1차</v>
      </c>
      <c r="D10502" s="1" t="str">
        <f>"9729C3215M"</f>
        <v>9729C3215M</v>
      </c>
      <c r="E10502" s="1" t="s">
        <v>10</v>
      </c>
      <c r="F10502" s="1" t="str">
        <f>"fde2:104:0:e2:0:0:0:2"</f>
        <v>fde2:104:0:e2:0:0:0:2</v>
      </c>
      <c r="G10502" s="1" t="str">
        <f>"9729C321"</f>
        <v>9729C321</v>
      </c>
      <c r="H10502" s="1" t="str">
        <f>"숭덕지 14R3"</f>
        <v>숭덕지 14R3</v>
      </c>
      <c r="I10502" s="1" t="s">
        <v>15</v>
      </c>
      <c r="J10502" s="1" t="str">
        <f>"42/42"</f>
        <v>42/42</v>
      </c>
      <c r="K10502" s="1" t="str">
        <f>"2026-07-29 14:21:43"</f>
        <v>2026-07-29 14:21:43</v>
      </c>
      <c r="L10502" s="1" t="str">
        <f>"2022-09-20 08:03:43"</f>
        <v>2022-09-20 08:03:43</v>
      </c>
      <c r="M10502" s="1" t="s">
        <v>42</v>
      </c>
      <c r="N10502" s="1" t="s">
        <v>38</v>
      </c>
      <c r="O10502" s="1" t="s">
        <v>46</v>
      </c>
    </row>
    <row r="10503" spans="2:15" x14ac:dyDescent="0.3">
      <c r="B10503" s="1" t="s">
        <v>21</v>
      </c>
      <c r="C10503" s="1" t="str">
        <f>"5-2차"</f>
        <v>5-2차</v>
      </c>
      <c r="D10503" s="1" t="str">
        <f>"9729C3225S"</f>
        <v>9729C3225S</v>
      </c>
      <c r="E10503" s="1" t="s">
        <v>10</v>
      </c>
      <c r="F10503" s="1" t="str">
        <f>"fde3:102:1303:1000:0:0:0:6"</f>
        <v>fde3:102:1303:1000:0:0:0:6</v>
      </c>
      <c r="G10503" s="1" t="str">
        <f>"9729C322"</f>
        <v>9729C322</v>
      </c>
      <c r="H10503" s="1" t="str">
        <f>"숭덕지 2R6L1"</f>
        <v>숭덕지 2R6L1</v>
      </c>
      <c r="I10503" s="1" t="s">
        <v>15</v>
      </c>
      <c r="J10503" s="1" t="str">
        <f>"39/39"</f>
        <v>39/39</v>
      </c>
      <c r="K10503" s="1" t="str">
        <f>"2026-07-29 14:21:41"</f>
        <v>2026-07-29 14:21:41</v>
      </c>
      <c r="L10503" s="1" t="str">
        <f>"2023-07-12 10:19:22"</f>
        <v>2023-07-12 10:19:22</v>
      </c>
      <c r="M10503" s="1" t="s">
        <v>45</v>
      </c>
      <c r="N10503" s="1" t="s">
        <v>38</v>
      </c>
      <c r="O10503" s="1" t="s">
        <v>46</v>
      </c>
    </row>
    <row r="10504" spans="2:15" x14ac:dyDescent="0.3">
      <c r="B10504" s="1" t="s">
        <v>21</v>
      </c>
      <c r="C10504" s="1" t="str">
        <f>"5-2차"</f>
        <v>5-2차</v>
      </c>
      <c r="D10504" s="1" t="str">
        <f>"9729C3315S"</f>
        <v>9729C3315S</v>
      </c>
      <c r="E10504" s="1" t="s">
        <v>10</v>
      </c>
      <c r="F10504" s="1" t="str">
        <f>"fde3:102:1303:1103:0:0:0:5"</f>
        <v>fde3:102:1303:1103:0:0:0:5</v>
      </c>
      <c r="G10504" s="1" t="str">
        <f>"9729C331"</f>
        <v>9729C331</v>
      </c>
      <c r="H10504" s="1" t="str">
        <f>"숭덕지 12R1R1"</f>
        <v>숭덕지 12R1R1</v>
      </c>
      <c r="I10504" s="1" t="s">
        <v>15</v>
      </c>
      <c r="J10504" s="1" t="str">
        <f>"81/81"</f>
        <v>81/81</v>
      </c>
      <c r="K10504" s="1" t="str">
        <f>"2026-07-29 14:21:41"</f>
        <v>2026-07-29 14:21:41</v>
      </c>
      <c r="L10504" s="1" t="str">
        <f>"2023-06-06 11:07:45"</f>
        <v>2023-06-06 11:07:45</v>
      </c>
      <c r="M10504" s="1" t="s">
        <v>45</v>
      </c>
      <c r="N10504" s="1" t="s">
        <v>38</v>
      </c>
      <c r="O10504" s="1" t="s">
        <v>46</v>
      </c>
    </row>
    <row r="10505" spans="2:15" x14ac:dyDescent="0.3">
      <c r="B10505" s="1" t="s">
        <v>21</v>
      </c>
      <c r="C10505" s="1" t="str">
        <f>"5-2차"</f>
        <v>5-2차</v>
      </c>
      <c r="D10505" s="1" t="str">
        <f>"9729C4015M"</f>
        <v>9729C4015M</v>
      </c>
      <c r="E10505" s="1" t="s">
        <v>10</v>
      </c>
      <c r="F10505" s="1" t="str">
        <f>"fde1:103:4:6e12:0:0:0:2"</f>
        <v>fde1:103:4:6e12:0:0:0:2</v>
      </c>
      <c r="G10505" s="1" t="str">
        <f>"9729C401"</f>
        <v>9729C401</v>
      </c>
      <c r="H10505" s="1" t="str">
        <f>"숭덕지 14R6"</f>
        <v>숭덕지 14R6</v>
      </c>
      <c r="I10505" s="1" t="s">
        <v>15</v>
      </c>
      <c r="J10505" s="1" t="str">
        <f>"50/50"</f>
        <v>50/50</v>
      </c>
      <c r="K10505" s="1" t="str">
        <f>"2026-07-29 14:21:42"</f>
        <v>2026-07-29 14:21:42</v>
      </c>
      <c r="L10505" s="1" t="str">
        <f>"2023-11-15 06:40:43"</f>
        <v>2023-11-15 06:40:43</v>
      </c>
      <c r="M10505" s="1" t="s">
        <v>4</v>
      </c>
      <c r="N10505" s="1" t="s">
        <v>38</v>
      </c>
      <c r="O10505" s="1" t="s">
        <v>46</v>
      </c>
    </row>
    <row r="10506" spans="2:15" x14ac:dyDescent="0.3">
      <c r="B10506" s="1" t="s">
        <v>21</v>
      </c>
      <c r="C10506" s="1" t="str">
        <f>"5-2차"</f>
        <v>5-2차</v>
      </c>
      <c r="D10506" s="1" t="str">
        <f>"9729C4215S"</f>
        <v>9729C4215S</v>
      </c>
      <c r="E10506" s="1" t="s">
        <v>10</v>
      </c>
      <c r="F10506" s="1" t="str">
        <f>"fde1:103:4:6e15:0:0:0:2"</f>
        <v>fde1:103:4:6e15:0:0:0:2</v>
      </c>
      <c r="G10506" s="1" t="str">
        <f>"9729C421"</f>
        <v>9729C421</v>
      </c>
      <c r="H10506" s="1" t="str">
        <f>"숭덕지 14R2L1"</f>
        <v>숭덕지 14R2L1</v>
      </c>
      <c r="I10506" s="1" t="s">
        <v>15</v>
      </c>
      <c r="J10506" s="1" t="str">
        <f>"70/76"</f>
        <v>70/76</v>
      </c>
      <c r="K10506" s="1" t="str">
        <f>"2026-07-29 14:21:15"</f>
        <v>2026-07-29 14:21:15</v>
      </c>
      <c r="L10506" s="1" t="str">
        <f>"2023-11-15 06:46:23"</f>
        <v>2023-11-15 06:46:23</v>
      </c>
      <c r="M10506" s="1" t="s">
        <v>4</v>
      </c>
      <c r="N10506" s="1" t="s">
        <v>38</v>
      </c>
      <c r="O10506" s="1" t="s">
        <v>46</v>
      </c>
    </row>
    <row r="10507" spans="2:15" x14ac:dyDescent="0.3">
      <c r="B10507" s="1" t="s">
        <v>21</v>
      </c>
      <c r="C10507" s="1" t="str">
        <f>"5-2차"</f>
        <v>5-2차</v>
      </c>
      <c r="D10507" s="1" t="str">
        <f>"9729C4245M"</f>
        <v>9729C4245M</v>
      </c>
      <c r="E10507" s="1" t="str">
        <f>"검침실패(3시간 이상)"</f>
        <v>검침실패(3시간 이상)</v>
      </c>
      <c r="F10507" s="1" t="str">
        <f>"fde3:102:1303:1105:0:0:0:2"</f>
        <v>fde3:102:1303:1105:0:0:0:2</v>
      </c>
      <c r="G10507" s="1" t="str">
        <f>"9729C424"</f>
        <v>9729C424</v>
      </c>
      <c r="H10507" s="1" t="str">
        <f>"숭덕지 14R2"</f>
        <v>숭덕지 14R2</v>
      </c>
      <c r="I10507" s="1" t="s">
        <v>15</v>
      </c>
      <c r="J10507" s="1" t="str">
        <f>"0/40"</f>
        <v>0/40</v>
      </c>
      <c r="K10507" s="1" t="str">
        <f t="shared" ref="K10507:K10512" si="529">"2026-07-29 14:21:42"</f>
        <v>2026-07-29 14:21:42</v>
      </c>
      <c r="L10507" s="1" t="str">
        <f>"2023-07-24 15:13:27"</f>
        <v>2023-07-24 15:13:27</v>
      </c>
      <c r="M10507" s="1" t="s">
        <v>45</v>
      </c>
      <c r="N10507" s="1" t="s">
        <v>38</v>
      </c>
      <c r="O10507" s="1" t="s">
        <v>46</v>
      </c>
    </row>
    <row r="10508" spans="2:15" x14ac:dyDescent="0.3">
      <c r="B10508" s="1" t="s">
        <v>21</v>
      </c>
      <c r="C10508" s="1" t="str">
        <f>"5-1차"</f>
        <v>5-1차</v>
      </c>
      <c r="D10508" s="1" t="str">
        <f>"9729C4435M"</f>
        <v>9729C4435M</v>
      </c>
      <c r="E10508" s="1" t="s">
        <v>10</v>
      </c>
      <c r="F10508" s="1" t="str">
        <f>"fde3:102:1303:1103:0:0:0:4"</f>
        <v>fde3:102:1303:1103:0:0:0:4</v>
      </c>
      <c r="G10508" s="1" t="str">
        <f>"9729C443"</f>
        <v>9729C443</v>
      </c>
      <c r="H10508" s="1" t="str">
        <f>"숭덕지 11"</f>
        <v>숭덕지 11</v>
      </c>
      <c r="I10508" s="1" t="s">
        <v>15</v>
      </c>
      <c r="J10508" s="1" t="str">
        <f>"43/43"</f>
        <v>43/43</v>
      </c>
      <c r="K10508" s="1" t="str">
        <f t="shared" si="529"/>
        <v>2026-07-29 14:21:42</v>
      </c>
      <c r="L10508" s="1" t="str">
        <f>"2022-11-09 09:10:07"</f>
        <v>2022-11-09 09:10:07</v>
      </c>
      <c r="M10508" s="1" t="s">
        <v>45</v>
      </c>
      <c r="N10508" s="1" t="s">
        <v>38</v>
      </c>
      <c r="O10508" s="1" t="s">
        <v>46</v>
      </c>
    </row>
    <row r="10509" spans="2:15" x14ac:dyDescent="0.3">
      <c r="B10509" s="1" t="s">
        <v>21</v>
      </c>
      <c r="C10509" s="1" t="str">
        <f>"5-2차"</f>
        <v>5-2차</v>
      </c>
      <c r="D10509" s="1" t="str">
        <f>"9729C5315M"</f>
        <v>9729C5315M</v>
      </c>
      <c r="E10509" s="1" t="s">
        <v>10</v>
      </c>
      <c r="F10509" s="1" t="str">
        <f>"fde3:102:1303:1102:0:0:0:6"</f>
        <v>fde3:102:1303:1102:0:0:0:6</v>
      </c>
      <c r="G10509" s="1" t="str">
        <f>"9729C531"</f>
        <v>9729C531</v>
      </c>
      <c r="H10509" s="1" t="str">
        <f>"숭덕지 14"</f>
        <v>숭덕지 14</v>
      </c>
      <c r="I10509" s="1" t="s">
        <v>15</v>
      </c>
      <c r="J10509" s="1" t="str">
        <f>"44/44"</f>
        <v>44/44</v>
      </c>
      <c r="K10509" s="1" t="str">
        <f t="shared" si="529"/>
        <v>2026-07-29 14:21:42</v>
      </c>
      <c r="L10509" s="1" t="str">
        <f>"2023-06-15 10:10:40"</f>
        <v>2023-06-15 10:10:40</v>
      </c>
      <c r="M10509" s="1" t="s">
        <v>45</v>
      </c>
      <c r="N10509" s="1" t="s">
        <v>38</v>
      </c>
      <c r="O10509" s="1" t="s">
        <v>46</v>
      </c>
    </row>
    <row r="10510" spans="2:15" x14ac:dyDescent="0.3">
      <c r="B10510" s="1" t="s">
        <v>21</v>
      </c>
      <c r="C10510" s="1" t="str">
        <f>"5-2차"</f>
        <v>5-2차</v>
      </c>
      <c r="D10510" s="1" t="str">
        <f>"9729C5415M"</f>
        <v>9729C5415M</v>
      </c>
      <c r="E10510" s="1" t="s">
        <v>10</v>
      </c>
      <c r="F10510" s="1" t="str">
        <f>"fde3:102:1303:1206:0:0:0:3"</f>
        <v>fde3:102:1303:1206:0:0:0:3</v>
      </c>
      <c r="G10510" s="1" t="str">
        <f>"9729C541"</f>
        <v>9729C541</v>
      </c>
      <c r="H10510" s="1" t="str">
        <f>"숭덕지 12L1"</f>
        <v>숭덕지 12L1</v>
      </c>
      <c r="I10510" s="1" t="s">
        <v>15</v>
      </c>
      <c r="J10510" s="1" t="str">
        <f>"86/87"</f>
        <v>86/87</v>
      </c>
      <c r="K10510" s="1" t="str">
        <f t="shared" si="529"/>
        <v>2026-07-29 14:21:42</v>
      </c>
      <c r="L10510" s="1" t="str">
        <f>"2023-06-13 18:35:51"</f>
        <v>2023-06-13 18:35:51</v>
      </c>
      <c r="M10510" s="1" t="s">
        <v>45</v>
      </c>
      <c r="N10510" s="1" t="s">
        <v>38</v>
      </c>
      <c r="O10510" s="1" t="s">
        <v>46</v>
      </c>
    </row>
    <row r="10511" spans="2:15" x14ac:dyDescent="0.3">
      <c r="B10511" s="1" t="s">
        <v>21</v>
      </c>
      <c r="C10511" s="1" t="str">
        <f>"5-2차"</f>
        <v>5-2차</v>
      </c>
      <c r="D10511" s="1" t="str">
        <f>"9729C5425M"</f>
        <v>9729C5425M</v>
      </c>
      <c r="E10511" s="1" t="s">
        <v>10</v>
      </c>
      <c r="F10511" s="1" t="str">
        <f>"fde3:102:1303:f01:0:0:0:6"</f>
        <v>fde3:102:1303:f01:0:0:0:6</v>
      </c>
      <c r="G10511" s="1" t="str">
        <f>"9729C542"</f>
        <v>9729C542</v>
      </c>
      <c r="H10511" s="1" t="str">
        <f>"숭덕지 15C1"</f>
        <v>숭덕지 15C1</v>
      </c>
      <c r="I10511" s="1" t="s">
        <v>15</v>
      </c>
      <c r="J10511" s="1" t="str">
        <f>"80/80"</f>
        <v>80/80</v>
      </c>
      <c r="K10511" s="1" t="str">
        <f t="shared" si="529"/>
        <v>2026-07-29 14:21:42</v>
      </c>
      <c r="L10511" s="1" t="str">
        <f>"2023-07-24 15:18:40"</f>
        <v>2023-07-24 15:18:40</v>
      </c>
      <c r="M10511" s="1" t="s">
        <v>45</v>
      </c>
      <c r="N10511" s="1" t="s">
        <v>38</v>
      </c>
      <c r="O10511" s="1" t="s">
        <v>46</v>
      </c>
    </row>
    <row r="10512" spans="2:15" x14ac:dyDescent="0.3">
      <c r="B10512" s="1" t="s">
        <v>21</v>
      </c>
      <c r="C10512" s="1" t="str">
        <f>"5-2차"</f>
        <v>5-2차</v>
      </c>
      <c r="D10512" s="1" t="str">
        <f>"9729C5635S"</f>
        <v>9729C5635S</v>
      </c>
      <c r="E10512" s="1" t="s">
        <v>10</v>
      </c>
      <c r="F10512" s="1" t="str">
        <f>"fde3:102:1303:1102:0:0:0:5"</f>
        <v>fde3:102:1303:1102:0:0:0:5</v>
      </c>
      <c r="G10512" s="1" t="str">
        <f>"9729C563"</f>
        <v>9729C563</v>
      </c>
      <c r="H10512" s="1" t="str">
        <f>"숭덕지 12L1L1R4"</f>
        <v>숭덕지 12L1L1R4</v>
      </c>
      <c r="I10512" s="1" t="s">
        <v>15</v>
      </c>
      <c r="J10512" s="1" t="str">
        <f>"48/48"</f>
        <v>48/48</v>
      </c>
      <c r="K10512" s="1" t="str">
        <f t="shared" si="529"/>
        <v>2026-07-29 14:21:42</v>
      </c>
      <c r="L10512" s="1" t="str">
        <f>"2023-06-30 09:34:36"</f>
        <v>2023-06-30 09:34:36</v>
      </c>
      <c r="M10512" s="1" t="s">
        <v>45</v>
      </c>
      <c r="N10512" s="1" t="s">
        <v>38</v>
      </c>
      <c r="O10512" s="1" t="s">
        <v>46</v>
      </c>
    </row>
    <row r="10513" spans="2:15" x14ac:dyDescent="0.3">
      <c r="B10513" s="1" t="s">
        <v>21</v>
      </c>
      <c r="C10513" s="1" t="str">
        <f>"5-2차"</f>
        <v>5-2차</v>
      </c>
      <c r="D10513" s="1" t="str">
        <f>"9729C6015M"</f>
        <v>9729C6015M</v>
      </c>
      <c r="E10513" s="1" t="s">
        <v>10</v>
      </c>
      <c r="F10513" s="1" t="str">
        <f>"fde1:103:4:6e16:0:0:0:2"</f>
        <v>fde1:103:4:6e16:0:0:0:2</v>
      </c>
      <c r="G10513" s="1" t="str">
        <f>"9729C601"</f>
        <v>9729C601</v>
      </c>
      <c r="H10513" s="1" t="str">
        <f>"진성간 31L8R1L1"</f>
        <v>진성간 31L8R1L1</v>
      </c>
      <c r="I10513" s="1" t="s">
        <v>15</v>
      </c>
      <c r="J10513" s="1" t="str">
        <f>"49/49"</f>
        <v>49/49</v>
      </c>
      <c r="K10513" s="1" t="str">
        <f>"2026-07-29 14:21:43"</f>
        <v>2026-07-29 14:21:43</v>
      </c>
      <c r="L10513" s="1" t="str">
        <f>"2023-11-15 06:55:33"</f>
        <v>2023-11-15 06:55:33</v>
      </c>
      <c r="M10513" s="1" t="s">
        <v>4</v>
      </c>
      <c r="N10513" s="1" t="s">
        <v>38</v>
      </c>
      <c r="O10513" s="1" t="s">
        <v>46</v>
      </c>
    </row>
    <row r="10514" spans="2:15" x14ac:dyDescent="0.3">
      <c r="B10514" s="1" t="s">
        <v>21</v>
      </c>
      <c r="C10514" s="1" t="str">
        <f>"5-1차"</f>
        <v>5-1차</v>
      </c>
      <c r="D10514" s="1" t="str">
        <f>"9729C6315M"</f>
        <v>9729C6315M</v>
      </c>
      <c r="E10514" s="1" t="s">
        <v>10</v>
      </c>
      <c r="F10514" s="1" t="str">
        <f>"fde3:102:1303:1102:0:0:0:2"</f>
        <v>fde3:102:1303:1102:0:0:0:2</v>
      </c>
      <c r="G10514" s="1" t="str">
        <f>"9729C631"</f>
        <v>9729C631</v>
      </c>
      <c r="H10514" s="1" t="str">
        <f>"숭덕지 15"</f>
        <v>숭덕지 15</v>
      </c>
      <c r="I10514" s="1" t="s">
        <v>15</v>
      </c>
      <c r="J10514" s="1" t="str">
        <f>"43/43"</f>
        <v>43/43</v>
      </c>
      <c r="K10514" s="1" t="str">
        <f>"2026-07-29 14:21:43"</f>
        <v>2026-07-29 14:21:43</v>
      </c>
      <c r="L10514" s="1" t="str">
        <f>"2022-11-16 14:27:44"</f>
        <v>2022-11-16 14:27:44</v>
      </c>
      <c r="M10514" s="1" t="s">
        <v>45</v>
      </c>
      <c r="N10514" s="1" t="s">
        <v>38</v>
      </c>
      <c r="O10514" s="1" t="s">
        <v>46</v>
      </c>
    </row>
    <row r="10515" spans="2:15" x14ac:dyDescent="0.3">
      <c r="B10515" s="1" t="s">
        <v>21</v>
      </c>
      <c r="C10515" s="1" t="str">
        <f>"5-2차"</f>
        <v>5-2차</v>
      </c>
      <c r="D10515" s="1" t="str">
        <f>"9729C6525S"</f>
        <v>9729C6525S</v>
      </c>
      <c r="E10515" s="1" t="s">
        <v>10</v>
      </c>
      <c r="F10515" s="1" t="str">
        <f>"fde1:103:4:6e1d:0:0:0:2"</f>
        <v>fde1:103:4:6e1d:0:0:0:2</v>
      </c>
      <c r="G10515" s="1" t="str">
        <f>"9729C652"</f>
        <v>9729C652</v>
      </c>
      <c r="H10515" s="1" t="str">
        <f>"숭덕지 12L3"</f>
        <v>숭덕지 12L3</v>
      </c>
      <c r="I10515" s="1" t="s">
        <v>15</v>
      </c>
      <c r="J10515" s="1" t="str">
        <f>"45/45"</f>
        <v>45/45</v>
      </c>
      <c r="K10515" s="1" t="str">
        <f>"2026-07-29 14:21:43"</f>
        <v>2026-07-29 14:21:43</v>
      </c>
      <c r="L10515" s="1" t="str">
        <f>"2023-11-15 07:33:39"</f>
        <v>2023-11-15 07:33:39</v>
      </c>
      <c r="M10515" s="1" t="s">
        <v>4</v>
      </c>
      <c r="N10515" s="1" t="s">
        <v>38</v>
      </c>
      <c r="O10515" s="1" t="s">
        <v>46</v>
      </c>
    </row>
    <row r="10516" spans="2:15" x14ac:dyDescent="0.3">
      <c r="B10516" s="1" t="s">
        <v>21</v>
      </c>
      <c r="C10516" s="1" t="str">
        <f>"5-1차"</f>
        <v>5-1차</v>
      </c>
      <c r="D10516" s="1" t="str">
        <f>"9729C6535S"</f>
        <v>9729C6535S</v>
      </c>
      <c r="E10516" s="1" t="s">
        <v>10</v>
      </c>
      <c r="F10516" s="1" t="str">
        <f>"fde3:102:1303:1102:0:0:0:3"</f>
        <v>fde3:102:1303:1102:0:0:0:3</v>
      </c>
      <c r="G10516" s="1" t="str">
        <f>"9729C653"</f>
        <v>9729C653</v>
      </c>
      <c r="H10516" s="1" t="str">
        <f>"숭덕지 15C3"</f>
        <v>숭덕지 15C3</v>
      </c>
      <c r="I10516" s="1" t="s">
        <v>15</v>
      </c>
      <c r="J10516" s="1" t="str">
        <f>"23/23"</f>
        <v>23/23</v>
      </c>
      <c r="K10516" s="1" t="str">
        <f>"2026-07-29 14:21:43"</f>
        <v>2026-07-29 14:21:43</v>
      </c>
      <c r="L10516" s="1" t="str">
        <f>"2022-12-13 11:41:59"</f>
        <v>2022-12-13 11:41:59</v>
      </c>
      <c r="M10516" s="1" t="s">
        <v>45</v>
      </c>
      <c r="N10516" s="1" t="s">
        <v>38</v>
      </c>
      <c r="O10516" s="1" t="s">
        <v>46</v>
      </c>
    </row>
    <row r="10517" spans="2:15" x14ac:dyDescent="0.3">
      <c r="B10517" s="1" t="s">
        <v>21</v>
      </c>
      <c r="C10517" s="1" t="str">
        <f>"5-1차"</f>
        <v>5-1차</v>
      </c>
      <c r="D10517" s="1" t="str">
        <f>"9729C7015M"</f>
        <v>9729C7015M</v>
      </c>
      <c r="E10517" s="1" t="s">
        <v>10</v>
      </c>
      <c r="F10517" s="1" t="str">
        <f>"fde2:104:0:df:0:0:0:2"</f>
        <v>fde2:104:0:df:0:0:0:2</v>
      </c>
      <c r="G10517" s="1" t="str">
        <f>"9729C701"</f>
        <v>9729C701</v>
      </c>
      <c r="H10517" s="1" t="str">
        <f>"진성간 31L7"</f>
        <v>진성간 31L7</v>
      </c>
      <c r="I10517" s="1" t="s">
        <v>15</v>
      </c>
      <c r="J10517" s="1" t="str">
        <f>"114/114"</f>
        <v>114/114</v>
      </c>
      <c r="K10517" s="1" t="str">
        <f>"2026-07-29 14:21:44"</f>
        <v>2026-07-29 14:21:44</v>
      </c>
      <c r="L10517" s="1" t="str">
        <f>"2022-09-28 08:47:45"</f>
        <v>2022-09-28 08:47:45</v>
      </c>
      <c r="M10517" s="1" t="s">
        <v>42</v>
      </c>
      <c r="N10517" s="1" t="s">
        <v>38</v>
      </c>
      <c r="O10517" s="1" t="s">
        <v>46</v>
      </c>
    </row>
    <row r="10518" spans="2:15" x14ac:dyDescent="0.3">
      <c r="B10518" s="1" t="s">
        <v>21</v>
      </c>
      <c r="C10518" s="1" t="str">
        <f>"5-2차"</f>
        <v>5-2차</v>
      </c>
      <c r="D10518" s="1" t="str">
        <f>"9729C7025S"</f>
        <v>9729C7025S</v>
      </c>
      <c r="E10518" s="1" t="s">
        <v>10</v>
      </c>
      <c r="F10518" s="1" t="str">
        <f>"fde1:103:4:6e1c:0:0:0:2"</f>
        <v>fde1:103:4:6e1c:0:0:0:2</v>
      </c>
      <c r="G10518" s="1" t="str">
        <f>"9729C702"</f>
        <v>9729C702</v>
      </c>
      <c r="H10518" s="1" t="str">
        <f>"진성간 31L8"</f>
        <v>진성간 31L8</v>
      </c>
      <c r="I10518" s="1" t="s">
        <v>15</v>
      </c>
      <c r="J10518" s="1" t="str">
        <f>"57/57"</f>
        <v>57/57</v>
      </c>
      <c r="K10518" s="1" t="str">
        <f>"2026-07-29 14:21:48"</f>
        <v>2026-07-29 14:21:48</v>
      </c>
      <c r="L10518" s="1" t="str">
        <f>"2023-11-15 07:01:34"</f>
        <v>2023-11-15 07:01:34</v>
      </c>
      <c r="M10518" s="1" t="s">
        <v>4</v>
      </c>
      <c r="N10518" s="1" t="s">
        <v>38</v>
      </c>
      <c r="O10518" s="1" t="s">
        <v>46</v>
      </c>
    </row>
    <row r="10519" spans="2:15" x14ac:dyDescent="0.3">
      <c r="B10519" s="1" t="s">
        <v>21</v>
      </c>
      <c r="C10519" s="1" t="str">
        <f>"5-2차"</f>
        <v>5-2차</v>
      </c>
      <c r="D10519" s="1" t="str">
        <f>"9729C7315M"</f>
        <v>9729C7315M</v>
      </c>
      <c r="E10519" s="1" t="s">
        <v>10</v>
      </c>
      <c r="F10519" s="1" t="str">
        <f>"fde3:102:1303:1000:0:0:0:9"</f>
        <v>fde3:102:1303:1000:0:0:0:9</v>
      </c>
      <c r="G10519" s="1" t="str">
        <f>"9729C731"</f>
        <v>9729C731</v>
      </c>
      <c r="H10519" s="1" t="str">
        <f>"진성간 40L9"</f>
        <v>진성간 40L9</v>
      </c>
      <c r="I10519" s="1" t="s">
        <v>15</v>
      </c>
      <c r="J10519" s="1" t="str">
        <f>"181/182"</f>
        <v>181/182</v>
      </c>
      <c r="K10519" s="1" t="str">
        <f>"2026-07-29 14:21:43"</f>
        <v>2026-07-29 14:21:43</v>
      </c>
      <c r="L10519" s="1" t="str">
        <f>"2023-07-24 15:31:02"</f>
        <v>2023-07-24 15:31:02</v>
      </c>
      <c r="M10519" s="1" t="s">
        <v>45</v>
      </c>
      <c r="N10519" s="1" t="s">
        <v>38</v>
      </c>
      <c r="O10519" s="1" t="s">
        <v>46</v>
      </c>
    </row>
    <row r="10520" spans="2:15" x14ac:dyDescent="0.3">
      <c r="B10520" s="1" t="s">
        <v>21</v>
      </c>
      <c r="C10520" s="1" t="str">
        <f>"5-2차"</f>
        <v>5-2차</v>
      </c>
      <c r="D10520" s="1" t="str">
        <f>"9729C9315S"</f>
        <v>9729C9315S</v>
      </c>
      <c r="E10520" s="1" t="s">
        <v>10</v>
      </c>
      <c r="F10520" s="1" t="str">
        <f>"fde3:102:1303:1000:0:0:0:8"</f>
        <v>fde3:102:1303:1000:0:0:0:8</v>
      </c>
      <c r="G10520" s="1" t="str">
        <f>"9729C931"</f>
        <v>9729C931</v>
      </c>
      <c r="H10520" s="1" t="str">
        <f>"진성간 40L6"</f>
        <v>진성간 40L6</v>
      </c>
      <c r="I10520" s="1" t="s">
        <v>15</v>
      </c>
      <c r="J10520" s="1" t="str">
        <f>"56/56"</f>
        <v>56/56</v>
      </c>
      <c r="K10520" s="1" t="str">
        <f>"2026-07-29 14:21:43"</f>
        <v>2026-07-29 14:21:43</v>
      </c>
      <c r="L10520" s="1" t="str">
        <f>"2023-06-06 12:02:05"</f>
        <v>2023-06-06 12:02:05</v>
      </c>
      <c r="M10520" s="1" t="s">
        <v>45</v>
      </c>
      <c r="N10520" s="1" t="s">
        <v>38</v>
      </c>
      <c r="O10520" s="1" t="s">
        <v>46</v>
      </c>
    </row>
    <row r="10521" spans="2:15" x14ac:dyDescent="0.3">
      <c r="B10521" s="1" t="s">
        <v>21</v>
      </c>
      <c r="C10521" s="1" t="str">
        <f>"5-1차"</f>
        <v>5-1차</v>
      </c>
      <c r="D10521" s="1" t="str">
        <f>"9729C9515S"</f>
        <v>9729C9515S</v>
      </c>
      <c r="E10521" s="1" t="s">
        <v>10</v>
      </c>
      <c r="F10521" s="1" t="str">
        <f>"fde2:104:0:db:0:0:0:2"</f>
        <v>fde2:104:0:db:0:0:0:2</v>
      </c>
      <c r="G10521" s="1" t="str">
        <f>"9729C951"</f>
        <v>9729C951</v>
      </c>
      <c r="H10521" s="1" t="str">
        <f>"진성간 40L4R4"</f>
        <v>진성간 40L4R4</v>
      </c>
      <c r="I10521" s="1" t="s">
        <v>15</v>
      </c>
      <c r="J10521" s="1" t="str">
        <f>"35/35"</f>
        <v>35/35</v>
      </c>
      <c r="K10521" s="1" t="str">
        <f>"2026-07-29 14:21:16"</f>
        <v>2026-07-29 14:21:16</v>
      </c>
      <c r="L10521" s="1" t="str">
        <f>"2022-09-20 14:48:14"</f>
        <v>2022-09-20 14:48:14</v>
      </c>
      <c r="M10521" s="1" t="s">
        <v>42</v>
      </c>
      <c r="N10521" s="1" t="s">
        <v>38</v>
      </c>
      <c r="O10521" s="1" t="s">
        <v>46</v>
      </c>
    </row>
    <row r="10522" spans="2:15" x14ac:dyDescent="0.3">
      <c r="B10522" s="1" t="s">
        <v>21</v>
      </c>
      <c r="C10522" s="1" t="str">
        <f>"5-1차"</f>
        <v>5-1차</v>
      </c>
      <c r="D10522" s="1" t="str">
        <f>"9729D0015M"</f>
        <v>9729D0015M</v>
      </c>
      <c r="E10522" s="1" t="s">
        <v>10</v>
      </c>
      <c r="F10522" s="1" t="str">
        <f>"fde2:104:0:e5:0:0:0:2"</f>
        <v>fde2:104:0:e5:0:0:0:2</v>
      </c>
      <c r="G10522" s="1" t="str">
        <f>"9729D001"</f>
        <v>9729D001</v>
      </c>
      <c r="H10522" s="1" t="str">
        <f>"진성간 31L3R2"</f>
        <v>진성간 31L3R2</v>
      </c>
      <c r="I10522" s="1" t="s">
        <v>15</v>
      </c>
      <c r="J10522" s="1" t="str">
        <f>"53/56"</f>
        <v>53/56</v>
      </c>
      <c r="K10522" s="1" t="str">
        <f>"2026-07-29 14:21:46"</f>
        <v>2026-07-29 14:21:46</v>
      </c>
      <c r="L10522" s="1" t="str">
        <f>"2022-09-20 12:31:50"</f>
        <v>2022-09-20 12:31:50</v>
      </c>
      <c r="M10522" s="1" t="s">
        <v>42</v>
      </c>
      <c r="N10522" s="1" t="s">
        <v>38</v>
      </c>
      <c r="O10522" s="1" t="s">
        <v>46</v>
      </c>
    </row>
    <row r="10523" spans="2:15" x14ac:dyDescent="0.3">
      <c r="B10523" s="1" t="s">
        <v>21</v>
      </c>
      <c r="C10523" s="1" t="str">
        <f>"1차"</f>
        <v>1차</v>
      </c>
      <c r="D10523" s="1" t="str">
        <f>"9729D00200"</f>
        <v>9729D00200</v>
      </c>
      <c r="E10523" s="1" t="s">
        <v>10</v>
      </c>
      <c r="F10523" s="1" t="str">
        <f>"10.128.72.226"</f>
        <v>10.128.72.226</v>
      </c>
      <c r="G10523" s="1" t="str">
        <f>"9729D002"</f>
        <v>9729D002</v>
      </c>
      <c r="H10523" s="1" t="str">
        <f>"진성간 31L3R2R1"</f>
        <v>진성간 31L3R2R1</v>
      </c>
      <c r="I10523" s="1" t="s">
        <v>8</v>
      </c>
      <c r="J10523" s="1" t="str">
        <f>"33/33"</f>
        <v>33/33</v>
      </c>
      <c r="K10523" s="1" t="str">
        <f>"2026-07-29 13:18:12"</f>
        <v>2026-07-29 13:18:12</v>
      </c>
      <c r="L10523" s="1" t="str">
        <f>"2014-12-22 11:28:28"</f>
        <v>2014-12-22 11:28:28</v>
      </c>
      <c r="M10523" s="1" t="s">
        <v>45</v>
      </c>
      <c r="N10523" s="1" t="s">
        <v>38</v>
      </c>
      <c r="O10523" s="1" t="s">
        <v>46</v>
      </c>
    </row>
    <row r="10524" spans="2:15" x14ac:dyDescent="0.3">
      <c r="B10524" s="1" t="s">
        <v>21</v>
      </c>
      <c r="C10524" s="1" t="str">
        <f>"5-1차"</f>
        <v>5-1차</v>
      </c>
      <c r="D10524" s="1" t="str">
        <f>"9729D0115S"</f>
        <v>9729D0115S</v>
      </c>
      <c r="E10524" s="1" t="s">
        <v>10</v>
      </c>
      <c r="F10524" s="1" t="str">
        <f>"fde2:104:0:e6:0:0:0:2"</f>
        <v>fde2:104:0:e6:0:0:0:2</v>
      </c>
      <c r="G10524" s="1" t="str">
        <f>"9729D011"</f>
        <v>9729D011</v>
      </c>
      <c r="H10524" s="1" t="str">
        <f>"진성간 31L3R2R2"</f>
        <v>진성간 31L3R2R2</v>
      </c>
      <c r="I10524" s="1" t="s">
        <v>15</v>
      </c>
      <c r="J10524" s="1" t="str">
        <f>"35/35"</f>
        <v>35/35</v>
      </c>
      <c r="K10524" s="1" t="str">
        <f>"2026-07-29 14:21:45"</f>
        <v>2026-07-29 14:21:45</v>
      </c>
      <c r="L10524" s="1" t="str">
        <f>"2022-09-20 13:42:23"</f>
        <v>2022-09-20 13:42:23</v>
      </c>
      <c r="M10524" s="1" t="s">
        <v>42</v>
      </c>
      <c r="N10524" s="1" t="s">
        <v>38</v>
      </c>
      <c r="O10524" s="1" t="s">
        <v>46</v>
      </c>
    </row>
    <row r="10525" spans="2:15" x14ac:dyDescent="0.3">
      <c r="B10525" s="1" t="s">
        <v>21</v>
      </c>
      <c r="C10525" s="1" t="str">
        <f>"5-2차"</f>
        <v>5-2차</v>
      </c>
      <c r="D10525" s="1" t="str">
        <f>"9729D0215S"</f>
        <v>9729D0215S</v>
      </c>
      <c r="E10525" s="1" t="s">
        <v>10</v>
      </c>
      <c r="F10525" s="1" t="str">
        <f>"fde3:102:1303:1000:0:0:0:7"</f>
        <v>fde3:102:1303:1000:0:0:0:7</v>
      </c>
      <c r="G10525" s="1" t="str">
        <f>"9729D021"</f>
        <v>9729D021</v>
      </c>
      <c r="H10525" s="1" t="str">
        <f>"진성간 40L4L2"</f>
        <v>진성간 40L4L2</v>
      </c>
      <c r="I10525" s="1" t="s">
        <v>15</v>
      </c>
      <c r="J10525" s="1" t="str">
        <f>"61/61"</f>
        <v>61/61</v>
      </c>
      <c r="K10525" s="1" t="str">
        <f>"2026-07-29 14:21:44"</f>
        <v>2026-07-29 14:21:44</v>
      </c>
      <c r="L10525" s="1" t="str">
        <f>"2023-06-30 16:53:08"</f>
        <v>2023-06-30 16:53:08</v>
      </c>
      <c r="M10525" s="1" t="s">
        <v>45</v>
      </c>
      <c r="N10525" s="1" t="s">
        <v>38</v>
      </c>
      <c r="O10525" s="1" t="s">
        <v>46</v>
      </c>
    </row>
    <row r="10526" spans="2:15" x14ac:dyDescent="0.3">
      <c r="B10526" s="1" t="s">
        <v>21</v>
      </c>
      <c r="C10526" s="1" t="str">
        <f>"5-2차"</f>
        <v>5-2차</v>
      </c>
      <c r="D10526" s="1" t="str">
        <f>"9729D0515S"</f>
        <v>9729D0515S</v>
      </c>
      <c r="E10526" s="1" t="s">
        <v>10</v>
      </c>
      <c r="F10526" s="1" t="str">
        <f>"fde1:103:4:6e1e:0:0:0:2"</f>
        <v>fde1:103:4:6e1e:0:0:0:2</v>
      </c>
      <c r="G10526" s="1" t="str">
        <f>"9729D051"</f>
        <v>9729D051</v>
      </c>
      <c r="H10526" s="1" t="str">
        <f>"진성간 43L7L1"</f>
        <v>진성간 43L7L1</v>
      </c>
      <c r="I10526" s="1" t="s">
        <v>15</v>
      </c>
      <c r="J10526" s="1" t="str">
        <f>"41/41"</f>
        <v>41/41</v>
      </c>
      <c r="K10526" s="1" t="str">
        <f>"2026-07-29 14:21:44"</f>
        <v>2026-07-29 14:21:44</v>
      </c>
      <c r="L10526" s="1" t="str">
        <f>"2023-11-10 16:16:00"</f>
        <v>2023-11-10 16:16:00</v>
      </c>
      <c r="M10526" s="1" t="s">
        <v>4</v>
      </c>
      <c r="N10526" s="1" t="s">
        <v>38</v>
      </c>
      <c r="O10526" s="1" t="s">
        <v>46</v>
      </c>
    </row>
    <row r="10527" spans="2:15" x14ac:dyDescent="0.3">
      <c r="B10527" s="1" t="s">
        <v>21</v>
      </c>
      <c r="C10527" s="1" t="str">
        <f>"5-1차"</f>
        <v>5-1차</v>
      </c>
      <c r="D10527" s="1" t="str">
        <f>"9729D0615S"</f>
        <v>9729D0615S</v>
      </c>
      <c r="E10527" s="1" t="s">
        <v>10</v>
      </c>
      <c r="F10527" s="1" t="str">
        <f>"fde2:104:0:17f:0:0:0:2"</f>
        <v>fde2:104:0:17f:0:0:0:2</v>
      </c>
      <c r="G10527" s="1" t="str">
        <f>"9729D061"</f>
        <v>9729D061</v>
      </c>
      <c r="H10527" s="1" t="str">
        <f>"진성간 43L8"</f>
        <v>진성간 43L8</v>
      </c>
      <c r="I10527" s="1" t="s">
        <v>15</v>
      </c>
      <c r="J10527" s="1" t="str">
        <f>"43/43"</f>
        <v>43/43</v>
      </c>
      <c r="K10527" s="1" t="str">
        <f>"2026-07-29 14:21:54"</f>
        <v>2026-07-29 14:21:54</v>
      </c>
      <c r="L10527" s="1" t="str">
        <f>"2022-12-23 16:49:31"</f>
        <v>2022-12-23 16:49:31</v>
      </c>
      <c r="M10527" s="1" t="s">
        <v>42</v>
      </c>
      <c r="N10527" s="1" t="s">
        <v>38</v>
      </c>
      <c r="O10527" s="1" t="s">
        <v>46</v>
      </c>
    </row>
    <row r="10528" spans="2:15" x14ac:dyDescent="0.3">
      <c r="B10528" s="1" t="s">
        <v>21</v>
      </c>
      <c r="C10528" s="1" t="str">
        <f>"1차"</f>
        <v>1차</v>
      </c>
      <c r="D10528" s="1" t="str">
        <f>"9729D12101"</f>
        <v>9729D12101</v>
      </c>
      <c r="E10528" s="1" t="s">
        <v>10</v>
      </c>
      <c r="F10528" s="1" t="str">
        <f>"10.14.4.200"</f>
        <v>10.14.4.200</v>
      </c>
      <c r="G10528" s="1" t="str">
        <f>"9729D121"</f>
        <v>9729D121</v>
      </c>
      <c r="H10528" s="1" t="str">
        <f>"진성간 40L3L1"</f>
        <v>진성간 40L3L1</v>
      </c>
      <c r="I10528" s="1" t="s">
        <v>8</v>
      </c>
      <c r="J10528" s="1" t="str">
        <f>"19/20"</f>
        <v>19/20</v>
      </c>
      <c r="K10528" s="1" t="str">
        <f>"2026-07-29 13:18:11"</f>
        <v>2026-07-29 13:18:11</v>
      </c>
      <c r="L10528" s="1" t="str">
        <f>"2014-12-22 11:27:58"</f>
        <v>2014-12-22 11:27:58</v>
      </c>
      <c r="M10528" s="1" t="s">
        <v>3</v>
      </c>
      <c r="N10528" s="1" t="s">
        <v>38</v>
      </c>
      <c r="O10528" s="1" t="s">
        <v>46</v>
      </c>
    </row>
    <row r="10529" spans="2:15" x14ac:dyDescent="0.3">
      <c r="B10529" s="1" t="s">
        <v>21</v>
      </c>
      <c r="C10529" s="1" t="str">
        <f>"6차"</f>
        <v>6차</v>
      </c>
      <c r="D10529" s="1" t="str">
        <f>"9729D1316S"</f>
        <v>9729D1316S</v>
      </c>
      <c r="E10529" s="1" t="s">
        <v>10</v>
      </c>
      <c r="F10529" s="1" t="str">
        <f>"fde1:103:4:c836:0:0:0:2"</f>
        <v>fde1:103:4:c836:0:0:0:2</v>
      </c>
      <c r="G10529" s="1" t="str">
        <f>"9729D131"</f>
        <v>9729D131</v>
      </c>
      <c r="H10529" s="1" t="str">
        <f>"진성간 40L2"</f>
        <v>진성간 40L2</v>
      </c>
      <c r="I10529" s="1" t="s">
        <v>15</v>
      </c>
      <c r="J10529" s="1" t="str">
        <f>"56/57"</f>
        <v>56/57</v>
      </c>
      <c r="K10529" s="1" t="str">
        <f>"2026-07-29 14:21:45"</f>
        <v>2026-07-29 14:21:45</v>
      </c>
      <c r="L10529" s="1" t="str">
        <f>"2025-01-20 14:03:48"</f>
        <v>2025-01-20 14:03:48</v>
      </c>
      <c r="M10529" s="1" t="s">
        <v>4</v>
      </c>
      <c r="N10529" s="1" t="s">
        <v>38</v>
      </c>
      <c r="O10529" s="1" t="s">
        <v>46</v>
      </c>
    </row>
    <row r="10530" spans="2:15" x14ac:dyDescent="0.3">
      <c r="B10530" s="1" t="s">
        <v>21</v>
      </c>
      <c r="C10530" s="1" t="str">
        <f>"5-2차"</f>
        <v>5-2차</v>
      </c>
      <c r="D10530" s="1" t="str">
        <f>"9729D1615M"</f>
        <v>9729D1615M</v>
      </c>
      <c r="E10530" s="1" t="s">
        <v>10</v>
      </c>
      <c r="F10530" s="1" t="str">
        <f>"fde3:102:1303:f0d:0:0:0:2"</f>
        <v>fde3:102:1303:f0d:0:0:0:2</v>
      </c>
      <c r="G10530" s="1" t="str">
        <f>"9729D161"</f>
        <v>9729D161</v>
      </c>
      <c r="H10530" s="1" t="str">
        <f>"진성간 43L4"</f>
        <v>진성간 43L4</v>
      </c>
      <c r="I10530" s="1" t="s">
        <v>15</v>
      </c>
      <c r="J10530" s="1" t="str">
        <f>"40/40"</f>
        <v>40/40</v>
      </c>
      <c r="K10530" s="1" t="str">
        <f>"2026-07-29 14:21:44"</f>
        <v>2026-07-29 14:21:44</v>
      </c>
      <c r="L10530" s="1" t="str">
        <f>"2023-06-13 18:38:31"</f>
        <v>2023-06-13 18:38:31</v>
      </c>
      <c r="M10530" s="1" t="s">
        <v>45</v>
      </c>
      <c r="N10530" s="1" t="s">
        <v>38</v>
      </c>
      <c r="O10530" s="1" t="s">
        <v>46</v>
      </c>
    </row>
    <row r="10531" spans="2:15" x14ac:dyDescent="0.3">
      <c r="B10531" s="1" t="s">
        <v>21</v>
      </c>
      <c r="C10531" s="1" t="str">
        <f>"5-1차"</f>
        <v>5-1차</v>
      </c>
      <c r="D10531" s="1" t="str">
        <f>"9729D1635S"</f>
        <v>9729D1635S</v>
      </c>
      <c r="E10531" s="1" t="s">
        <v>10</v>
      </c>
      <c r="F10531" s="1" t="str">
        <f>"fde3:102:1303:1000:0:0:0:4"</f>
        <v>fde3:102:1303:1000:0:0:0:4</v>
      </c>
      <c r="G10531" s="1" t="str">
        <f>"9729D163"</f>
        <v>9729D163</v>
      </c>
      <c r="H10531" s="1" t="str">
        <f>"진성간 43L5"</f>
        <v>진성간 43L5</v>
      </c>
      <c r="I10531" s="1" t="s">
        <v>15</v>
      </c>
      <c r="J10531" s="1" t="str">
        <f>"15/15"</f>
        <v>15/15</v>
      </c>
      <c r="K10531" s="1" t="str">
        <f>"2026-07-29 14:21:45"</f>
        <v>2026-07-29 14:21:45</v>
      </c>
      <c r="L10531" s="1" t="str">
        <f>"2022-12-15 10:17:25"</f>
        <v>2022-12-15 10:17:25</v>
      </c>
      <c r="M10531" s="1" t="s">
        <v>45</v>
      </c>
      <c r="N10531" s="1" t="s">
        <v>38</v>
      </c>
      <c r="O10531" s="1" t="s">
        <v>46</v>
      </c>
    </row>
    <row r="10532" spans="2:15" x14ac:dyDescent="0.3">
      <c r="B10532" s="1" t="s">
        <v>21</v>
      </c>
      <c r="C10532" s="1" t="str">
        <f>"1차"</f>
        <v>1차</v>
      </c>
      <c r="D10532" s="1" t="str">
        <f>"9729D20301"</f>
        <v>9729D20301</v>
      </c>
      <c r="E10532" s="1" t="s">
        <v>10</v>
      </c>
      <c r="F10532" s="1" t="str">
        <f>"10.12.129.226"</f>
        <v>10.12.129.226</v>
      </c>
      <c r="G10532" s="1" t="str">
        <f>"9729D203"</f>
        <v>9729D203</v>
      </c>
      <c r="H10532" s="1" t="str">
        <f>"진성간 36"</f>
        <v>진성간 36</v>
      </c>
      <c r="I10532" s="1" t="s">
        <v>8</v>
      </c>
      <c r="J10532" s="1" t="str">
        <f>"16/18"</f>
        <v>16/18</v>
      </c>
      <c r="K10532" s="1" t="str">
        <f>"2026-07-29 13:18:11"</f>
        <v>2026-07-29 13:18:11</v>
      </c>
      <c r="L10532" s="1" t="str">
        <f>"2015-02-24 17:15:56"</f>
        <v>2015-02-24 17:15:56</v>
      </c>
      <c r="M10532" s="1" t="s">
        <v>0</v>
      </c>
      <c r="N10532" s="1" t="s">
        <v>38</v>
      </c>
      <c r="O10532" s="1" t="s">
        <v>46</v>
      </c>
    </row>
    <row r="10533" spans="2:15" x14ac:dyDescent="0.3">
      <c r="B10533" s="1" t="s">
        <v>21</v>
      </c>
      <c r="C10533" s="1" t="str">
        <f t="shared" ref="C10533:C10539" si="530">"5-2차"</f>
        <v>5-2차</v>
      </c>
      <c r="D10533" s="1" t="str">
        <f>"9729D3435M"</f>
        <v>9729D3435M</v>
      </c>
      <c r="E10533" s="1" t="s">
        <v>10</v>
      </c>
      <c r="F10533" s="1" t="str">
        <f>"fde1:103:4:6e22:0:0:0:2"</f>
        <v>fde1:103:4:6e22:0:0:0:2</v>
      </c>
      <c r="G10533" s="1" t="str">
        <f>"9729D343"</f>
        <v>9729D343</v>
      </c>
      <c r="H10533" s="1" t="str">
        <f>"독박간 66"</f>
        <v>독박간 66</v>
      </c>
      <c r="I10533" s="1" t="s">
        <v>15</v>
      </c>
      <c r="J10533" s="1" t="str">
        <f>"58/58"</f>
        <v>58/58</v>
      </c>
      <c r="K10533" s="1" t="str">
        <f>"2026-07-29 14:21:45"</f>
        <v>2026-07-29 14:21:45</v>
      </c>
      <c r="L10533" s="1" t="str">
        <f>"2023-11-10 16:38:31"</f>
        <v>2023-11-10 16:38:31</v>
      </c>
      <c r="M10533" s="1" t="s">
        <v>4</v>
      </c>
      <c r="N10533" s="1" t="s">
        <v>38</v>
      </c>
      <c r="O10533" s="1" t="s">
        <v>46</v>
      </c>
    </row>
    <row r="10534" spans="2:15" x14ac:dyDescent="0.3">
      <c r="B10534" s="1" t="s">
        <v>21</v>
      </c>
      <c r="C10534" s="1" t="str">
        <f t="shared" si="530"/>
        <v>5-2차</v>
      </c>
      <c r="D10534" s="1" t="str">
        <f>"9729D4115S"</f>
        <v>9729D4115S</v>
      </c>
      <c r="E10534" s="1" t="s">
        <v>10</v>
      </c>
      <c r="F10534" s="1" t="str">
        <f>"fde1:103:4:6e24:0:0:0:2"</f>
        <v>fde1:103:4:6e24:0:0:0:2</v>
      </c>
      <c r="G10534" s="1" t="str">
        <f>"9729D411"</f>
        <v>9729D411</v>
      </c>
      <c r="H10534" s="1" t="str">
        <f>"독박간 58R3"</f>
        <v>독박간 58R3</v>
      </c>
      <c r="I10534" s="1" t="s">
        <v>15</v>
      </c>
      <c r="J10534" s="1" t="str">
        <f>"41/41"</f>
        <v>41/41</v>
      </c>
      <c r="K10534" s="1" t="str">
        <f>"2026-07-29 14:21:45"</f>
        <v>2026-07-29 14:21:45</v>
      </c>
      <c r="L10534" s="1" t="str">
        <f>"2023-11-14 09:03:03"</f>
        <v>2023-11-14 09:03:03</v>
      </c>
      <c r="M10534" s="1" t="s">
        <v>4</v>
      </c>
      <c r="N10534" s="1" t="s">
        <v>38</v>
      </c>
      <c r="O10534" s="1" t="s">
        <v>46</v>
      </c>
    </row>
    <row r="10535" spans="2:15" x14ac:dyDescent="0.3">
      <c r="B10535" s="1" t="s">
        <v>21</v>
      </c>
      <c r="C10535" s="1" t="str">
        <f t="shared" si="530"/>
        <v>5-2차</v>
      </c>
      <c r="D10535" s="1" t="str">
        <f>"9729D4125S"</f>
        <v>9729D4125S</v>
      </c>
      <c r="E10535" s="1" t="s">
        <v>10</v>
      </c>
      <c r="F10535" s="1" t="str">
        <f>"fde1:103:4:6e25:0:0:0:2"</f>
        <v>fde1:103:4:6e25:0:0:0:2</v>
      </c>
      <c r="G10535" s="1" t="str">
        <f>"9729D412"</f>
        <v>9729D412</v>
      </c>
      <c r="H10535" s="1" t="str">
        <f>"독박간 58R4"</f>
        <v>독박간 58R4</v>
      </c>
      <c r="I10535" s="1" t="s">
        <v>15</v>
      </c>
      <c r="J10535" s="1" t="str">
        <f>"52/56"</f>
        <v>52/56</v>
      </c>
      <c r="K10535" s="1" t="str">
        <f>"2026-07-29 14:21:46"</f>
        <v>2026-07-29 14:21:46</v>
      </c>
      <c r="L10535" s="1" t="str">
        <f>"2023-11-10 16:18:27"</f>
        <v>2023-11-10 16:18:27</v>
      </c>
      <c r="M10535" s="1" t="s">
        <v>4</v>
      </c>
      <c r="N10535" s="1" t="s">
        <v>38</v>
      </c>
      <c r="O10535" s="1" t="s">
        <v>46</v>
      </c>
    </row>
    <row r="10536" spans="2:15" x14ac:dyDescent="0.3">
      <c r="B10536" s="1" t="s">
        <v>21</v>
      </c>
      <c r="C10536" s="1" t="str">
        <f t="shared" si="530"/>
        <v>5-2차</v>
      </c>
      <c r="D10536" s="1" t="str">
        <f>"9729D5115S"</f>
        <v>9729D5115S</v>
      </c>
      <c r="E10536" s="1" t="s">
        <v>10</v>
      </c>
      <c r="F10536" s="1" t="str">
        <f>"fde3:102:1303:f08:0:0:0:3"</f>
        <v>fde3:102:1303:f08:0:0:0:3</v>
      </c>
      <c r="G10536" s="1" t="str">
        <f>"9729D511"</f>
        <v>9729D511</v>
      </c>
      <c r="H10536" s="1" t="str">
        <f>"독박간 57R5"</f>
        <v>독박간 57R5</v>
      </c>
      <c r="I10536" s="1" t="s">
        <v>15</v>
      </c>
      <c r="J10536" s="1" t="str">
        <f>"52/52"</f>
        <v>52/52</v>
      </c>
      <c r="K10536" s="1" t="str">
        <f>"2026-07-29 14:21:15"</f>
        <v>2026-07-29 14:21:15</v>
      </c>
      <c r="L10536" s="1" t="str">
        <f>"2023-07-04 09:28:58"</f>
        <v>2023-07-04 09:28:58</v>
      </c>
      <c r="M10536" s="1" t="s">
        <v>45</v>
      </c>
      <c r="N10536" s="1" t="s">
        <v>38</v>
      </c>
      <c r="O10536" s="1" t="s">
        <v>46</v>
      </c>
    </row>
    <row r="10537" spans="2:15" x14ac:dyDescent="0.3">
      <c r="B10537" s="1" t="s">
        <v>21</v>
      </c>
      <c r="C10537" s="1" t="str">
        <f t="shared" si="530"/>
        <v>5-2차</v>
      </c>
      <c r="D10537" s="1" t="str">
        <f>"9729D6115M"</f>
        <v>9729D6115M</v>
      </c>
      <c r="E10537" s="1" t="s">
        <v>10</v>
      </c>
      <c r="F10537" s="1" t="str">
        <f>"fde3:102:1303:1203:0:0:0:2"</f>
        <v>fde3:102:1303:1203:0:0:0:2</v>
      </c>
      <c r="G10537" s="1" t="str">
        <f>"9729D611"</f>
        <v>9729D611</v>
      </c>
      <c r="H10537" s="1" t="str">
        <f>"독박간 57R6"</f>
        <v>독박간 57R6</v>
      </c>
      <c r="I10537" s="1" t="s">
        <v>15</v>
      </c>
      <c r="J10537" s="1" t="str">
        <f>"42/42"</f>
        <v>42/42</v>
      </c>
      <c r="K10537" s="1" t="str">
        <f>"2026-07-29 14:21:45"</f>
        <v>2026-07-29 14:21:45</v>
      </c>
      <c r="L10537" s="1" t="str">
        <f>"2023-07-24 18:10:13"</f>
        <v>2023-07-24 18:10:13</v>
      </c>
      <c r="M10537" s="1" t="s">
        <v>45</v>
      </c>
      <c r="N10537" s="1" t="s">
        <v>38</v>
      </c>
      <c r="O10537" s="1" t="s">
        <v>46</v>
      </c>
    </row>
    <row r="10538" spans="2:15" x14ac:dyDescent="0.3">
      <c r="B10538" s="1" t="s">
        <v>21</v>
      </c>
      <c r="C10538" s="1" t="str">
        <f t="shared" si="530"/>
        <v>5-2차</v>
      </c>
      <c r="D10538" s="1" t="str">
        <f>"9729D6315M"</f>
        <v>9729D6315M</v>
      </c>
      <c r="E10538" s="1" t="s">
        <v>10</v>
      </c>
      <c r="F10538" s="1" t="str">
        <f>"fde3:102:1303:1204:0:0:0:2"</f>
        <v>fde3:102:1303:1204:0:0:0:2</v>
      </c>
      <c r="G10538" s="1" t="str">
        <f>"9729D631"</f>
        <v>9729D631</v>
      </c>
      <c r="H10538" s="1" t="str">
        <f>"독박간 57R8"</f>
        <v>독박간 57R8</v>
      </c>
      <c r="I10538" s="1" t="s">
        <v>15</v>
      </c>
      <c r="J10538" s="1" t="str">
        <f>"53/53"</f>
        <v>53/53</v>
      </c>
      <c r="K10538" s="1" t="str">
        <f>"2026-07-29 14:21:46"</f>
        <v>2026-07-29 14:21:46</v>
      </c>
      <c r="L10538" s="1" t="str">
        <f>"2023-07-24 18:03:08"</f>
        <v>2023-07-24 18:03:08</v>
      </c>
      <c r="M10538" s="1" t="s">
        <v>45</v>
      </c>
      <c r="N10538" s="1" t="s">
        <v>38</v>
      </c>
      <c r="O10538" s="1" t="s">
        <v>46</v>
      </c>
    </row>
    <row r="10539" spans="2:15" x14ac:dyDescent="0.3">
      <c r="B10539" s="1" t="s">
        <v>21</v>
      </c>
      <c r="C10539" s="1" t="str">
        <f t="shared" si="530"/>
        <v>5-2차</v>
      </c>
      <c r="D10539" s="1" t="str">
        <f>"9729D7325S"</f>
        <v>9729D7325S</v>
      </c>
      <c r="E10539" s="1" t="s">
        <v>10</v>
      </c>
      <c r="F10539" s="1" t="str">
        <f>"fde3:102:1303:f08:0:0:0:2"</f>
        <v>fde3:102:1303:f08:0:0:0:2</v>
      </c>
      <c r="G10539" s="1" t="str">
        <f>"9729D732"</f>
        <v>9729D732</v>
      </c>
      <c r="H10539" s="1" t="str">
        <f>"독박간 57R11"</f>
        <v>독박간 57R11</v>
      </c>
      <c r="I10539" s="1" t="s">
        <v>15</v>
      </c>
      <c r="J10539" s="1" t="str">
        <f>"52/52"</f>
        <v>52/52</v>
      </c>
      <c r="K10539" s="1" t="str">
        <f>"2026-07-29 14:21:45"</f>
        <v>2026-07-29 14:21:45</v>
      </c>
      <c r="L10539" s="1" t="str">
        <f>"2023-07-05 11:38:50"</f>
        <v>2023-07-05 11:38:50</v>
      </c>
      <c r="M10539" s="1" t="s">
        <v>45</v>
      </c>
      <c r="N10539" s="1" t="s">
        <v>38</v>
      </c>
      <c r="O10539" s="1" t="s">
        <v>46</v>
      </c>
    </row>
    <row r="10540" spans="2:15" x14ac:dyDescent="0.3">
      <c r="B10540" s="1" t="s">
        <v>21</v>
      </c>
      <c r="C10540" s="1" t="str">
        <f>"1차"</f>
        <v>1차</v>
      </c>
      <c r="D10540" s="1" t="str">
        <f>"9729P00201"</f>
        <v>9729P00201</v>
      </c>
      <c r="E10540" s="1" t="s">
        <v>10</v>
      </c>
      <c r="F10540" s="1" t="str">
        <f>"10.12.131.175"</f>
        <v>10.12.131.175</v>
      </c>
      <c r="G10540" s="1" t="str">
        <f>"9729P002"</f>
        <v>9729P002</v>
      </c>
      <c r="H10540" s="1" t="str">
        <f>"연서간 5L9R4"</f>
        <v>연서간 5L9R4</v>
      </c>
      <c r="I10540" s="1" t="s">
        <v>8</v>
      </c>
      <c r="J10540" s="1" t="str">
        <f>"50/66"</f>
        <v>50/66</v>
      </c>
      <c r="K10540" s="1" t="str">
        <f>"2026-07-29 13:18:12"</f>
        <v>2026-07-29 13:18:12</v>
      </c>
      <c r="L10540" s="1" t="str">
        <f>"2017-10-10 14:24:42"</f>
        <v>2017-10-10 14:24:42</v>
      </c>
      <c r="M10540" s="1" t="s">
        <v>0</v>
      </c>
      <c r="N10540" s="1" t="s">
        <v>38</v>
      </c>
      <c r="O10540" s="1" t="s">
        <v>46</v>
      </c>
    </row>
    <row r="10541" spans="2:15" x14ac:dyDescent="0.3">
      <c r="B10541" s="1" t="s">
        <v>21</v>
      </c>
      <c r="C10541" s="1" t="str">
        <f>"5-1차"</f>
        <v>5-1차</v>
      </c>
      <c r="D10541" s="1" t="str">
        <f>"9729P0115S"</f>
        <v>9729P0115S</v>
      </c>
      <c r="E10541" s="1" t="s">
        <v>10</v>
      </c>
      <c r="F10541" s="1" t="str">
        <f>"fde3:102:1303:1101:0:0:0:2"</f>
        <v>fde3:102:1303:1101:0:0:0:2</v>
      </c>
      <c r="G10541" s="1" t="str">
        <f>"9729P011"</f>
        <v>9729P011</v>
      </c>
      <c r="H10541" s="1" t="str">
        <f>"연서간 5L9R4L1"</f>
        <v>연서간 5L9R4L1</v>
      </c>
      <c r="I10541" s="1" t="s">
        <v>15</v>
      </c>
      <c r="J10541" s="1" t="str">
        <f>"55/56"</f>
        <v>55/56</v>
      </c>
      <c r="K10541" s="1" t="str">
        <f>"2026-07-29 14:21:46"</f>
        <v>2026-07-29 14:21:46</v>
      </c>
      <c r="L10541" s="1" t="str">
        <f>"2022-11-24 11:46:25"</f>
        <v>2022-11-24 11:46:25</v>
      </c>
      <c r="M10541" s="1" t="s">
        <v>45</v>
      </c>
      <c r="N10541" s="1" t="s">
        <v>38</v>
      </c>
      <c r="O10541" s="1" t="s">
        <v>46</v>
      </c>
    </row>
    <row r="10542" spans="2:15" x14ac:dyDescent="0.3">
      <c r="B10542" s="1" t="s">
        <v>21</v>
      </c>
      <c r="C10542" s="1" t="str">
        <f>"5-2차"</f>
        <v>5-2차</v>
      </c>
      <c r="D10542" s="1" t="str">
        <f>"9729P0225S"</f>
        <v>9729P0225S</v>
      </c>
      <c r="E10542" s="1" t="s">
        <v>10</v>
      </c>
      <c r="F10542" s="1" t="str">
        <f>"fde1:103:4:6e1f:0:0:0:2"</f>
        <v>fde1:103:4:6e1f:0:0:0:2</v>
      </c>
      <c r="G10542" s="1" t="str">
        <f>"9729P022"</f>
        <v>9729P022</v>
      </c>
      <c r="H10542" s="1" t="str">
        <f>"연서간 5L9R7L1"</f>
        <v>연서간 5L9R7L1</v>
      </c>
      <c r="I10542" s="1" t="s">
        <v>15</v>
      </c>
      <c r="J10542" s="1" t="str">
        <f>"60/62"</f>
        <v>60/62</v>
      </c>
      <c r="K10542" s="1" t="str">
        <f>"2026-07-29 14:21:46"</f>
        <v>2026-07-29 14:21:46</v>
      </c>
      <c r="L10542" s="1" t="str">
        <f>"2023-11-14 09:20:19"</f>
        <v>2023-11-14 09:20:19</v>
      </c>
      <c r="M10542" s="1" t="s">
        <v>4</v>
      </c>
      <c r="N10542" s="1" t="s">
        <v>38</v>
      </c>
      <c r="O10542" s="1" t="s">
        <v>46</v>
      </c>
    </row>
    <row r="10543" spans="2:15" x14ac:dyDescent="0.3">
      <c r="B10543" s="1" t="s">
        <v>21</v>
      </c>
      <c r="C10543" s="1" t="str">
        <f>"5-2차"</f>
        <v>5-2차</v>
      </c>
      <c r="D10543" s="1" t="str">
        <f>"9729P0435S"</f>
        <v>9729P0435S</v>
      </c>
      <c r="E10543" s="1" t="s">
        <v>10</v>
      </c>
      <c r="F10543" s="1" t="str">
        <f>"fde3:102:1303:1400:0:0:0:7"</f>
        <v>fde3:102:1303:1400:0:0:0:7</v>
      </c>
      <c r="G10543" s="1" t="str">
        <f>"9729P043"</f>
        <v>9729P043</v>
      </c>
      <c r="H10543" s="1" t="str">
        <f>"연서간 16L5"</f>
        <v>연서간 16L5</v>
      </c>
      <c r="I10543" s="1" t="s">
        <v>15</v>
      </c>
      <c r="J10543" s="1" t="str">
        <f>"46/46"</f>
        <v>46/46</v>
      </c>
      <c r="K10543" s="1" t="str">
        <f>"2026-07-29 14:21:45"</f>
        <v>2026-07-29 14:21:45</v>
      </c>
      <c r="L10543" s="1" t="str">
        <f>"2023-07-05 09:34:52"</f>
        <v>2023-07-05 09:34:52</v>
      </c>
      <c r="M10543" s="1" t="s">
        <v>45</v>
      </c>
      <c r="N10543" s="1" t="s">
        <v>38</v>
      </c>
      <c r="O10543" s="1" t="s">
        <v>46</v>
      </c>
    </row>
    <row r="10544" spans="2:15" x14ac:dyDescent="0.3">
      <c r="B10544" s="1" t="s">
        <v>21</v>
      </c>
      <c r="C10544" s="1" t="str">
        <f>"5-2차"</f>
        <v>5-2차</v>
      </c>
      <c r="D10544" s="1" t="str">
        <f>"9729P0615M"</f>
        <v>9729P0615M</v>
      </c>
      <c r="E10544" s="1" t="s">
        <v>10</v>
      </c>
      <c r="F10544" s="1" t="str">
        <f>"fde3:102:1303:1106:0:0:0:4"</f>
        <v>fde3:102:1303:1106:0:0:0:4</v>
      </c>
      <c r="G10544" s="1" t="str">
        <f>"9729P061"</f>
        <v>9729P061</v>
      </c>
      <c r="H10544" s="1" t="str">
        <f>"연서간 34L7"</f>
        <v>연서간 34L7</v>
      </c>
      <c r="I10544" s="1" t="s">
        <v>15</v>
      </c>
      <c r="J10544" s="1" t="str">
        <f>"58/58"</f>
        <v>58/58</v>
      </c>
      <c r="K10544" s="1" t="str">
        <f>"2026-07-29 14:21:46"</f>
        <v>2026-07-29 14:21:46</v>
      </c>
      <c r="L10544" s="1" t="str">
        <f>"2023-07-24 15:34:22"</f>
        <v>2023-07-24 15:34:22</v>
      </c>
      <c r="M10544" s="1" t="s">
        <v>45</v>
      </c>
      <c r="N10544" s="1" t="s">
        <v>38</v>
      </c>
      <c r="O10544" s="1" t="s">
        <v>46</v>
      </c>
    </row>
    <row r="10545" spans="2:15" x14ac:dyDescent="0.3">
      <c r="B10545" s="1" t="s">
        <v>21</v>
      </c>
      <c r="C10545" s="1" t="str">
        <f>"5-2차"</f>
        <v>5-2차</v>
      </c>
      <c r="D10545" s="1" t="str">
        <f>"9729P0635M"</f>
        <v>9729P0635M</v>
      </c>
      <c r="E10545" s="1" t="s">
        <v>10</v>
      </c>
      <c r="F10545" s="1" t="str">
        <f>"fde3:102:1303:1106:0:0:0:2"</f>
        <v>fde3:102:1303:1106:0:0:0:2</v>
      </c>
      <c r="G10545" s="1" t="str">
        <f>"9729P063"</f>
        <v>9729P063</v>
      </c>
      <c r="H10545" s="1" t="str">
        <f>"연서간 34L5"</f>
        <v>연서간 34L5</v>
      </c>
      <c r="I10545" s="1" t="s">
        <v>15</v>
      </c>
      <c r="J10545" s="1" t="str">
        <f>"63/63"</f>
        <v>63/63</v>
      </c>
      <c r="K10545" s="1" t="str">
        <f>"2026-07-29 14:21:46"</f>
        <v>2026-07-29 14:21:46</v>
      </c>
      <c r="L10545" s="1" t="str">
        <f>"2023-06-13 18:39:21"</f>
        <v>2023-06-13 18:39:21</v>
      </c>
      <c r="M10545" s="1" t="s">
        <v>45</v>
      </c>
      <c r="N10545" s="1" t="s">
        <v>38</v>
      </c>
      <c r="O10545" s="1" t="s">
        <v>46</v>
      </c>
    </row>
    <row r="10546" spans="2:15" x14ac:dyDescent="0.3">
      <c r="B10546" s="1" t="s">
        <v>21</v>
      </c>
      <c r="C10546" s="1" t="str">
        <f>"5-1차"</f>
        <v>5-1차</v>
      </c>
      <c r="D10546" s="1" t="str">
        <f>"9729P1625M"</f>
        <v>9729P1625M</v>
      </c>
      <c r="E10546" s="1" t="s">
        <v>10</v>
      </c>
      <c r="F10546" s="1" t="str">
        <f>"fde2:104:0:e9:0:0:0:2"</f>
        <v>fde2:104:0:e9:0:0:0:2</v>
      </c>
      <c r="G10546" s="1" t="str">
        <f>"9729P162"</f>
        <v>9729P162</v>
      </c>
      <c r="H10546" s="1" t="str">
        <f>"연서간 18"</f>
        <v>연서간 18</v>
      </c>
      <c r="I10546" s="1" t="s">
        <v>15</v>
      </c>
      <c r="J10546" s="1" t="str">
        <f>"42/42"</f>
        <v>42/42</v>
      </c>
      <c r="K10546" s="1" t="str">
        <f>"2026-07-29 14:21:48"</f>
        <v>2026-07-29 14:21:48</v>
      </c>
      <c r="L10546" s="1" t="str">
        <f>"2022-09-28 08:48:43"</f>
        <v>2022-09-28 08:48:43</v>
      </c>
      <c r="M10546" s="1" t="s">
        <v>42</v>
      </c>
      <c r="N10546" s="1" t="s">
        <v>38</v>
      </c>
      <c r="O10546" s="1" t="s">
        <v>46</v>
      </c>
    </row>
    <row r="10547" spans="2:15" x14ac:dyDescent="0.3">
      <c r="B10547" s="1" t="s">
        <v>21</v>
      </c>
      <c r="C10547" s="1" t="str">
        <f>"5-1차"</f>
        <v>5-1차</v>
      </c>
      <c r="D10547" s="1" t="str">
        <f>"9729P1815M"</f>
        <v>9729P1815M</v>
      </c>
      <c r="E10547" s="1" t="s">
        <v>10</v>
      </c>
      <c r="F10547" s="1" t="str">
        <f>"fde2:104:0:ee:0:0:0:2"</f>
        <v>fde2:104:0:ee:0:0:0:2</v>
      </c>
      <c r="G10547" s="1" t="str">
        <f>"9729P181"</f>
        <v>9729P181</v>
      </c>
      <c r="H10547" s="1" t="str">
        <f>"연서간 20"</f>
        <v>연서간 20</v>
      </c>
      <c r="I10547" s="1" t="s">
        <v>15</v>
      </c>
      <c r="J10547" s="1" t="str">
        <f>"54/54"</f>
        <v>54/54</v>
      </c>
      <c r="K10547" s="1" t="str">
        <f>"2026-07-29 14:21:14"</f>
        <v>2026-07-29 14:21:14</v>
      </c>
      <c r="L10547" s="1" t="str">
        <f>"2022-09-07 16:20:42"</f>
        <v>2022-09-07 16:20:42</v>
      </c>
      <c r="M10547" s="1" t="s">
        <v>42</v>
      </c>
      <c r="N10547" s="1" t="s">
        <v>38</v>
      </c>
      <c r="O10547" s="1" t="s">
        <v>46</v>
      </c>
    </row>
    <row r="10548" spans="2:15" x14ac:dyDescent="0.3">
      <c r="B10548" s="1" t="s">
        <v>21</v>
      </c>
      <c r="C10548" s="1" t="str">
        <f>"5-1차"</f>
        <v>5-1차</v>
      </c>
      <c r="D10548" s="1" t="str">
        <f>"9729P1825M"</f>
        <v>9729P1825M</v>
      </c>
      <c r="E10548" s="1" t="s">
        <v>10</v>
      </c>
      <c r="F10548" s="1" t="str">
        <f>"fde2:104:0:f0:0:0:0:2"</f>
        <v>fde2:104:0:f0:0:0:0:2</v>
      </c>
      <c r="G10548" s="1" t="str">
        <f>"9729P182"</f>
        <v>9729P182</v>
      </c>
      <c r="H10548" s="1" t="str">
        <f>"연서간 21"</f>
        <v>연서간 21</v>
      </c>
      <c r="I10548" s="1" t="s">
        <v>15</v>
      </c>
      <c r="J10548" s="1" t="str">
        <f>"65/65"</f>
        <v>65/65</v>
      </c>
      <c r="K10548" s="1" t="str">
        <f>"2026-07-29 14:21:48"</f>
        <v>2026-07-29 14:21:48</v>
      </c>
      <c r="L10548" s="1" t="str">
        <f>"2022-09-07 15:29:44"</f>
        <v>2022-09-07 15:29:44</v>
      </c>
      <c r="M10548" s="1" t="s">
        <v>42</v>
      </c>
      <c r="N10548" s="1" t="s">
        <v>38</v>
      </c>
      <c r="O10548" s="1" t="s">
        <v>46</v>
      </c>
    </row>
    <row r="10549" spans="2:15" x14ac:dyDescent="0.3">
      <c r="B10549" s="1" t="s">
        <v>21</v>
      </c>
      <c r="C10549" s="1" t="str">
        <f>"6차"</f>
        <v>6차</v>
      </c>
      <c r="D10549" s="1" t="str">
        <f>"9729P2036S"</f>
        <v>9729P2036S</v>
      </c>
      <c r="E10549" s="1" t="s">
        <v>10</v>
      </c>
      <c r="F10549" s="1" t="str">
        <f>"fde1:103:4:c7c4:0:0:0:2"</f>
        <v>fde1:103:4:c7c4:0:0:0:2</v>
      </c>
      <c r="G10549" s="1" t="str">
        <f>"9729P203"</f>
        <v>9729P203</v>
      </c>
      <c r="H10549" s="1" t="str">
        <f>"연서간 5L6R2"</f>
        <v>연서간 5L6R2</v>
      </c>
      <c r="I10549" s="1" t="s">
        <v>15</v>
      </c>
      <c r="J10549" s="1" t="str">
        <f>"35/40"</f>
        <v>35/40</v>
      </c>
      <c r="K10549" s="1" t="str">
        <f>"2026-07-29 14:21:16"</f>
        <v>2026-07-29 14:21:16</v>
      </c>
      <c r="L10549" s="1" t="str">
        <f>"2024-12-11 15:55:56"</f>
        <v>2024-12-11 15:55:56</v>
      </c>
      <c r="M10549" s="1" t="s">
        <v>4</v>
      </c>
      <c r="N10549" s="1" t="s">
        <v>38</v>
      </c>
      <c r="O10549" s="1" t="s">
        <v>46</v>
      </c>
    </row>
    <row r="10550" spans="2:15" x14ac:dyDescent="0.3">
      <c r="B10550" s="1" t="s">
        <v>21</v>
      </c>
      <c r="C10550" s="1" t="str">
        <f>"1차"</f>
        <v>1차</v>
      </c>
      <c r="D10550" s="1" t="str">
        <f>"9729P21200"</f>
        <v>9729P21200</v>
      </c>
      <c r="E10550" s="1" t="s">
        <v>10</v>
      </c>
      <c r="F10550" s="1" t="str">
        <f>"10.128.72.37"</f>
        <v>10.128.72.37</v>
      </c>
      <c r="G10550" s="1" t="str">
        <f>"9729P212"</f>
        <v>9729P212</v>
      </c>
      <c r="H10550" s="1" t="str">
        <f>"연서간 5L9R5R4"</f>
        <v>연서간 5L9R5R4</v>
      </c>
      <c r="I10550" s="1" t="s">
        <v>8</v>
      </c>
      <c r="J10550" s="1" t="str">
        <f>"73/75"</f>
        <v>73/75</v>
      </c>
      <c r="K10550" s="1" t="str">
        <f>"2026-07-29 13:18:12"</f>
        <v>2026-07-29 13:18:12</v>
      </c>
      <c r="L10550" s="1" t="str">
        <f>"2015-01-08 16:58:30"</f>
        <v>2015-01-08 16:58:30</v>
      </c>
      <c r="M10550" s="1" t="s">
        <v>45</v>
      </c>
      <c r="N10550" s="1" t="s">
        <v>38</v>
      </c>
      <c r="O10550" s="1" t="s">
        <v>46</v>
      </c>
    </row>
    <row r="10551" spans="2:15" x14ac:dyDescent="0.3">
      <c r="B10551" s="1" t="s">
        <v>21</v>
      </c>
      <c r="C10551" s="1" t="str">
        <f>"5-2차"</f>
        <v>5-2차</v>
      </c>
      <c r="D10551" s="1" t="str">
        <f>"9729P2525M"</f>
        <v>9729P2525M</v>
      </c>
      <c r="E10551" s="1" t="s">
        <v>10</v>
      </c>
      <c r="F10551" s="1" t="str">
        <f>"fde3:102:1303:1400:0:0:0:6"</f>
        <v>fde3:102:1303:1400:0:0:0:6</v>
      </c>
      <c r="G10551" s="1" t="str">
        <f>"9729P252"</f>
        <v>9729P252</v>
      </c>
      <c r="H10551" s="1" t="str">
        <f>"연서간 15"</f>
        <v>연서간 15</v>
      </c>
      <c r="I10551" s="1" t="s">
        <v>15</v>
      </c>
      <c r="J10551" s="1" t="str">
        <f>"79/81"</f>
        <v>79/81</v>
      </c>
      <c r="K10551" s="1" t="str">
        <f>"2026-07-29 14:21:46"</f>
        <v>2026-07-29 14:21:46</v>
      </c>
      <c r="L10551" s="1" t="str">
        <f>"2023-07-24 15:36:35"</f>
        <v>2023-07-24 15:36:35</v>
      </c>
      <c r="M10551" s="1" t="s">
        <v>45</v>
      </c>
      <c r="N10551" s="1" t="s">
        <v>38</v>
      </c>
      <c r="O10551" s="1" t="s">
        <v>46</v>
      </c>
    </row>
    <row r="10552" spans="2:15" x14ac:dyDescent="0.3">
      <c r="B10552" s="1" t="s">
        <v>21</v>
      </c>
      <c r="C10552" s="1" t="str">
        <f>"5-1차"</f>
        <v>5-1차</v>
      </c>
      <c r="D10552" s="1" t="str">
        <f>"9729P2715S"</f>
        <v>9729P2715S</v>
      </c>
      <c r="E10552" s="1" t="s">
        <v>10</v>
      </c>
      <c r="F10552" s="1" t="str">
        <f>"fde2:104:0:ef:0:0:0:2"</f>
        <v>fde2:104:0:ef:0:0:0:2</v>
      </c>
      <c r="G10552" s="1" t="str">
        <f>"9729P271"</f>
        <v>9729P271</v>
      </c>
      <c r="H10552" s="1" t="str">
        <f>"연서간 19R1"</f>
        <v>연서간 19R1</v>
      </c>
      <c r="I10552" s="1" t="s">
        <v>15</v>
      </c>
      <c r="J10552" s="1" t="str">
        <f>"51/51"</f>
        <v>51/51</v>
      </c>
      <c r="K10552" s="1" t="str">
        <f>"2026-07-29 14:21:21"</f>
        <v>2026-07-29 14:21:21</v>
      </c>
      <c r="L10552" s="1" t="str">
        <f>"2022-09-07 15:08:29"</f>
        <v>2022-09-07 15:08:29</v>
      </c>
      <c r="M10552" s="1" t="s">
        <v>42</v>
      </c>
      <c r="N10552" s="1" t="s">
        <v>38</v>
      </c>
      <c r="O10552" s="1" t="s">
        <v>46</v>
      </c>
    </row>
    <row r="10553" spans="2:15" x14ac:dyDescent="0.3">
      <c r="B10553" s="1" t="s">
        <v>21</v>
      </c>
      <c r="C10553" s="1" t="str">
        <f>"1차"</f>
        <v>1차</v>
      </c>
      <c r="D10553" s="1" t="str">
        <f>"9729P30101"</f>
        <v>9729P30101</v>
      </c>
      <c r="E10553" s="1" t="s">
        <v>14</v>
      </c>
      <c r="F10553" s="1" t="str">
        <f>"10.12.132.142"</f>
        <v>10.12.132.142</v>
      </c>
      <c r="G10553" s="1" t="str">
        <f>"9729P301"</f>
        <v>9729P301</v>
      </c>
      <c r="H10553" s="1" t="str">
        <f>"진성간 8"</f>
        <v>진성간 8</v>
      </c>
      <c r="I10553" s="1" t="s">
        <v>8</v>
      </c>
      <c r="J10553" s="1" t="str">
        <f>"0/0"</f>
        <v>0/0</v>
      </c>
      <c r="K10553" s="1" t="str">
        <f>"2026-07-28 13:18:12"</f>
        <v>2026-07-28 13:18:12</v>
      </c>
      <c r="L10553" s="1" t="str">
        <f>"2014-12-24 10:43:53"</f>
        <v>2014-12-24 10:43:53</v>
      </c>
      <c r="M10553" s="1" t="s">
        <v>0</v>
      </c>
      <c r="N10553" s="1" t="s">
        <v>39</v>
      </c>
      <c r="O10553" s="1" t="s">
        <v>46</v>
      </c>
    </row>
    <row r="10554" spans="2:15" x14ac:dyDescent="0.3">
      <c r="B10554" s="1" t="s">
        <v>21</v>
      </c>
      <c r="C10554" s="1" t="str">
        <f>"1차"</f>
        <v>1차</v>
      </c>
      <c r="D10554" s="1" t="str">
        <f>"9729P31101"</f>
        <v>9729P31101</v>
      </c>
      <c r="E10554" s="1" t="s">
        <v>10</v>
      </c>
      <c r="F10554" s="1" t="str">
        <f>"10.14.15.15"</f>
        <v>10.14.15.15</v>
      </c>
      <c r="G10554" s="1" t="str">
        <f>"9729P311"</f>
        <v>9729P311</v>
      </c>
      <c r="H10554" s="1" t="str">
        <f>"연서간 5L4R1"</f>
        <v>연서간 5L4R1</v>
      </c>
      <c r="I10554" s="1" t="s">
        <v>8</v>
      </c>
      <c r="J10554" s="1" t="str">
        <f>"14/14"</f>
        <v>14/14</v>
      </c>
      <c r="K10554" s="1" t="str">
        <f>"2026-07-29 13:18:12"</f>
        <v>2026-07-29 13:18:12</v>
      </c>
      <c r="L10554" s="1" t="str">
        <f>"2014-12-23 10:43:21"</f>
        <v>2014-12-23 10:43:21</v>
      </c>
      <c r="M10554" s="1" t="s">
        <v>3</v>
      </c>
      <c r="N10554" s="1" t="s">
        <v>38</v>
      </c>
      <c r="O10554" s="1" t="s">
        <v>46</v>
      </c>
    </row>
    <row r="10555" spans="2:15" x14ac:dyDescent="0.3">
      <c r="B10555" s="1" t="s">
        <v>21</v>
      </c>
      <c r="C10555" s="1" t="str">
        <f>"1차"</f>
        <v>1차</v>
      </c>
      <c r="D10555" s="1" t="str">
        <f>"9729P32102"</f>
        <v>9729P32102</v>
      </c>
      <c r="E10555" s="1" t="s">
        <v>10</v>
      </c>
      <c r="F10555" s="1" t="str">
        <f>"10.12.138.131"</f>
        <v>10.12.138.131</v>
      </c>
      <c r="G10555" s="1" t="str">
        <f>"9729P321"</f>
        <v>9729P321</v>
      </c>
      <c r="H10555" s="1" t="str">
        <f>"연서간 5L4R3L1"</f>
        <v>연서간 5L4R3L1</v>
      </c>
      <c r="I10555" s="1" t="s">
        <v>8</v>
      </c>
      <c r="J10555" s="1" t="str">
        <f>"24/24"</f>
        <v>24/24</v>
      </c>
      <c r="K10555" s="1" t="str">
        <f>"2026-07-29 13:18:12"</f>
        <v>2026-07-29 13:18:12</v>
      </c>
      <c r="L10555" s="1" t="str">
        <f>"2014-12-23 10:43:26"</f>
        <v>2014-12-23 10:43:26</v>
      </c>
      <c r="M10555" s="1" t="s">
        <v>0</v>
      </c>
      <c r="N10555" s="1" t="s">
        <v>38</v>
      </c>
      <c r="O10555" s="1" t="s">
        <v>46</v>
      </c>
    </row>
    <row r="10556" spans="2:15" x14ac:dyDescent="0.3">
      <c r="B10556" s="1" t="s">
        <v>21</v>
      </c>
      <c r="C10556" s="1" t="str">
        <f>"1차"</f>
        <v>1차</v>
      </c>
      <c r="D10556" s="1" t="str">
        <f>"9729P32200"</f>
        <v>9729P32200</v>
      </c>
      <c r="E10556" s="1" t="s">
        <v>10</v>
      </c>
      <c r="F10556" s="1" t="str">
        <f>"10.128.72.34"</f>
        <v>10.128.72.34</v>
      </c>
      <c r="G10556" s="1" t="str">
        <f>"9729P322"</f>
        <v>9729P322</v>
      </c>
      <c r="H10556" s="1" t="str">
        <f>"연서간 5L4R3"</f>
        <v>연서간 5L4R3</v>
      </c>
      <c r="I10556" s="1" t="s">
        <v>8</v>
      </c>
      <c r="J10556" s="1" t="str">
        <f>"47/47"</f>
        <v>47/47</v>
      </c>
      <c r="K10556" s="1" t="str">
        <f>"2026-07-29 13:18:12"</f>
        <v>2026-07-29 13:18:12</v>
      </c>
      <c r="L10556" s="1" t="str">
        <f>"2014-12-22 11:43:31"</f>
        <v>2014-12-22 11:43:31</v>
      </c>
      <c r="M10556" s="1" t="s">
        <v>45</v>
      </c>
      <c r="N10556" s="1" t="s">
        <v>38</v>
      </c>
      <c r="O10556" s="1" t="s">
        <v>46</v>
      </c>
    </row>
    <row r="10557" spans="2:15" x14ac:dyDescent="0.3">
      <c r="B10557" s="1" t="s">
        <v>21</v>
      </c>
      <c r="C10557" s="1" t="str">
        <f>"5-2차"</f>
        <v>5-2차</v>
      </c>
      <c r="D10557" s="1" t="str">
        <f>"9729P3255S"</f>
        <v>9729P3255S</v>
      </c>
      <c r="E10557" s="1" t="s">
        <v>10</v>
      </c>
      <c r="F10557" s="1" t="str">
        <f>"fde1:103:4:6e23:0:0:0:2"</f>
        <v>fde1:103:4:6e23:0:0:0:2</v>
      </c>
      <c r="G10557" s="1" t="str">
        <f>"9729P325"</f>
        <v>9729P325</v>
      </c>
      <c r="H10557" s="1" t="str">
        <f>"연서간 5L4R3R1"</f>
        <v>연서간 5L4R3R1</v>
      </c>
      <c r="I10557" s="1" t="s">
        <v>15</v>
      </c>
      <c r="J10557" s="1" t="str">
        <f>"75/75"</f>
        <v>75/75</v>
      </c>
      <c r="K10557" s="1" t="str">
        <f>"2026-07-29 14:21:43"</f>
        <v>2026-07-29 14:21:43</v>
      </c>
      <c r="L10557" s="1" t="str">
        <f>"2023-11-14 09:20:11"</f>
        <v>2023-11-14 09:20:11</v>
      </c>
      <c r="M10557" s="1" t="s">
        <v>4</v>
      </c>
      <c r="N10557" s="1" t="s">
        <v>38</v>
      </c>
      <c r="O10557" s="1" t="s">
        <v>46</v>
      </c>
    </row>
    <row r="10558" spans="2:15" x14ac:dyDescent="0.3">
      <c r="B10558" s="1" t="s">
        <v>21</v>
      </c>
      <c r="C10558" s="1" t="str">
        <f>"5-2차"</f>
        <v>5-2차</v>
      </c>
      <c r="D10558" s="1" t="str">
        <f>"9729P3415S"</f>
        <v>9729P3415S</v>
      </c>
      <c r="E10558" s="1" t="s">
        <v>10</v>
      </c>
      <c r="F10558" s="1" t="str">
        <f>"fde3:102:1303:f0c:0:0:0:2"</f>
        <v>fde3:102:1303:f0c:0:0:0:2</v>
      </c>
      <c r="G10558" s="1" t="str">
        <f>"9729P341"</f>
        <v>9729P341</v>
      </c>
      <c r="H10558" s="1" t="str">
        <f>"연서간 5L4R6"</f>
        <v>연서간 5L4R6</v>
      </c>
      <c r="I10558" s="1" t="s">
        <v>15</v>
      </c>
      <c r="J10558" s="1" t="str">
        <f>"77/82"</f>
        <v>77/82</v>
      </c>
      <c r="K10558" s="1" t="str">
        <f>"2026-07-29 14:21:16"</f>
        <v>2026-07-29 14:21:16</v>
      </c>
      <c r="L10558" s="1" t="str">
        <f>"2023-06-28 09:10:23"</f>
        <v>2023-06-28 09:10:23</v>
      </c>
      <c r="M10558" s="1" t="s">
        <v>45</v>
      </c>
      <c r="N10558" s="1" t="s">
        <v>38</v>
      </c>
      <c r="O10558" s="1" t="s">
        <v>46</v>
      </c>
    </row>
    <row r="10559" spans="2:15" x14ac:dyDescent="0.3">
      <c r="B10559" s="1" t="s">
        <v>21</v>
      </c>
      <c r="C10559" s="1" t="str">
        <f>"5-2차"</f>
        <v>5-2차</v>
      </c>
      <c r="D10559" s="1" t="str">
        <f>"9729P3545S"</f>
        <v>9729P3545S</v>
      </c>
      <c r="E10559" s="1" t="s">
        <v>10</v>
      </c>
      <c r="F10559" s="1" t="str">
        <f>"fde3:102:1303:1400:0:0:0:2"</f>
        <v>fde3:102:1303:1400:0:0:0:2</v>
      </c>
      <c r="G10559" s="1" t="str">
        <f>"9729P354"</f>
        <v>9729P354</v>
      </c>
      <c r="H10559" s="1" t="str">
        <f>"연서간 12"</f>
        <v>연서간 12</v>
      </c>
      <c r="I10559" s="1" t="s">
        <v>15</v>
      </c>
      <c r="J10559" s="1" t="str">
        <f>"52/52"</f>
        <v>52/52</v>
      </c>
      <c r="K10559" s="1" t="str">
        <f>"2026-07-29 14:21:16"</f>
        <v>2026-07-29 14:21:16</v>
      </c>
      <c r="L10559" s="1" t="str">
        <f>"2023-07-04 10:22:21"</f>
        <v>2023-07-04 10:22:21</v>
      </c>
      <c r="M10559" s="1" t="s">
        <v>45</v>
      </c>
      <c r="N10559" s="1" t="s">
        <v>38</v>
      </c>
      <c r="O10559" s="1" t="s">
        <v>46</v>
      </c>
    </row>
    <row r="10560" spans="2:15" x14ac:dyDescent="0.3">
      <c r="B10560" s="1" t="s">
        <v>21</v>
      </c>
      <c r="C10560" s="1" t="str">
        <f>"5-2차"</f>
        <v>5-2차</v>
      </c>
      <c r="D10560" s="1" t="str">
        <f>"9729P3715M"</f>
        <v>9729P3715M</v>
      </c>
      <c r="E10560" s="1" t="s">
        <v>10</v>
      </c>
      <c r="F10560" s="1" t="str">
        <f>"fde1:103:4:6e20:0:0:0:2"</f>
        <v>fde1:103:4:6e20:0:0:0:2</v>
      </c>
      <c r="G10560" s="1" t="str">
        <f>"9729P371"</f>
        <v>9729P371</v>
      </c>
      <c r="H10560" s="1" t="str">
        <f>"연서간 19R3"</f>
        <v>연서간 19R3</v>
      </c>
      <c r="I10560" s="1" t="s">
        <v>15</v>
      </c>
      <c r="J10560" s="1" t="str">
        <f>"170/170"</f>
        <v>170/170</v>
      </c>
      <c r="K10560" s="1" t="str">
        <f>"2026-07-29 14:21:47"</f>
        <v>2026-07-29 14:21:47</v>
      </c>
      <c r="L10560" s="1" t="str">
        <f>"2023-11-14 09:03:58"</f>
        <v>2023-11-14 09:03:58</v>
      </c>
      <c r="M10560" s="1" t="s">
        <v>4</v>
      </c>
      <c r="N10560" s="1" t="s">
        <v>38</v>
      </c>
      <c r="O10560" s="1" t="s">
        <v>46</v>
      </c>
    </row>
    <row r="10561" spans="2:15" x14ac:dyDescent="0.3">
      <c r="B10561" s="1" t="s">
        <v>21</v>
      </c>
      <c r="C10561" s="1" t="str">
        <f>"1차"</f>
        <v>1차</v>
      </c>
      <c r="D10561" s="1" t="str">
        <f>"9729P40100"</f>
        <v>9729P40100</v>
      </c>
      <c r="E10561" s="1" t="s">
        <v>10</v>
      </c>
      <c r="F10561" s="1" t="str">
        <f>"10.128.82.2"</f>
        <v>10.128.82.2</v>
      </c>
      <c r="G10561" s="1" t="str">
        <f>"9729P401"</f>
        <v>9729P401</v>
      </c>
      <c r="H10561" s="1" t="str">
        <f>"진성간 9"</f>
        <v>진성간 9</v>
      </c>
      <c r="I10561" s="1" t="s">
        <v>8</v>
      </c>
      <c r="J10561" s="1" t="str">
        <f>"18/18"</f>
        <v>18/18</v>
      </c>
      <c r="K10561" s="1" t="str">
        <f>"2026-07-29 13:18:12"</f>
        <v>2026-07-29 13:18:12</v>
      </c>
      <c r="L10561" s="1" t="str">
        <f>"2014-12-24 10:43:15"</f>
        <v>2014-12-24 10:43:15</v>
      </c>
      <c r="M10561" s="1" t="s">
        <v>45</v>
      </c>
      <c r="N10561" s="1" t="s">
        <v>38</v>
      </c>
      <c r="O10561" s="1" t="s">
        <v>46</v>
      </c>
    </row>
    <row r="10562" spans="2:15" x14ac:dyDescent="0.3">
      <c r="B10562" s="1" t="s">
        <v>21</v>
      </c>
      <c r="C10562" s="1" t="str">
        <f>"5-2차"</f>
        <v>5-2차</v>
      </c>
      <c r="D10562" s="1" t="str">
        <f>"9729P4115M"</f>
        <v>9729P4115M</v>
      </c>
      <c r="E10562" s="1" t="s">
        <v>10</v>
      </c>
      <c r="F10562" s="1" t="str">
        <f>"fde3:102:1303:1400:0:0:0:8"</f>
        <v>fde3:102:1303:1400:0:0:0:8</v>
      </c>
      <c r="G10562" s="1" t="str">
        <f>"9729P411"</f>
        <v>9729P411</v>
      </c>
      <c r="H10562" s="1" t="str">
        <f>"연서간 5L2"</f>
        <v>연서간 5L2</v>
      </c>
      <c r="I10562" s="1" t="s">
        <v>15</v>
      </c>
      <c r="J10562" s="1" t="str">
        <f>"35/35"</f>
        <v>35/35</v>
      </c>
      <c r="K10562" s="1" t="str">
        <f>"2026-07-29 14:21:16"</f>
        <v>2026-07-29 14:21:16</v>
      </c>
      <c r="L10562" s="1" t="str">
        <f>"2023-07-24 18:05:54"</f>
        <v>2023-07-24 18:05:54</v>
      </c>
      <c r="M10562" s="1" t="s">
        <v>45</v>
      </c>
      <c r="N10562" s="1" t="s">
        <v>38</v>
      </c>
      <c r="O10562" s="1" t="s">
        <v>46</v>
      </c>
    </row>
    <row r="10563" spans="2:15" x14ac:dyDescent="0.3">
      <c r="B10563" s="1" t="s">
        <v>21</v>
      </c>
      <c r="C10563" s="1" t="str">
        <f>"5-2차"</f>
        <v>5-2차</v>
      </c>
      <c r="D10563" s="1" t="str">
        <f>"9729P4435M"</f>
        <v>9729P4435M</v>
      </c>
      <c r="E10563" s="1" t="s">
        <v>10</v>
      </c>
      <c r="F10563" s="1" t="str">
        <f>"fde3:102:1303:1209:0:0:0:2"</f>
        <v>fde3:102:1303:1209:0:0:0:2</v>
      </c>
      <c r="G10563" s="1" t="str">
        <f>"9729P443"</f>
        <v>9729P443</v>
      </c>
      <c r="H10563" s="1" t="str">
        <f>"연서간 9"</f>
        <v>연서간 9</v>
      </c>
      <c r="I10563" s="1" t="s">
        <v>15</v>
      </c>
      <c r="J10563" s="1" t="str">
        <f>"99/101"</f>
        <v>99/101</v>
      </c>
      <c r="K10563" s="1" t="str">
        <f>"2026-07-29 14:21:46"</f>
        <v>2026-07-29 14:21:46</v>
      </c>
      <c r="L10563" s="1" t="str">
        <f>"2023-07-24 15:37:15"</f>
        <v>2023-07-24 15:37:15</v>
      </c>
      <c r="M10563" s="1" t="s">
        <v>45</v>
      </c>
      <c r="N10563" s="1" t="s">
        <v>38</v>
      </c>
      <c r="O10563" s="1" t="s">
        <v>46</v>
      </c>
    </row>
    <row r="10564" spans="2:15" x14ac:dyDescent="0.3">
      <c r="B10564" s="1" t="s">
        <v>21</v>
      </c>
      <c r="C10564" s="1" t="str">
        <f>"5-2차"</f>
        <v>5-2차</v>
      </c>
      <c r="D10564" s="1" t="str">
        <f>"9729P4615M"</f>
        <v>9729P4615M</v>
      </c>
      <c r="E10564" s="1" t="s">
        <v>10</v>
      </c>
      <c r="F10564" s="1" t="str">
        <f>"fde3:102:1303:1400:0:0:0:3"</f>
        <v>fde3:102:1303:1400:0:0:0:3</v>
      </c>
      <c r="G10564" s="1" t="str">
        <f>"9729P461"</f>
        <v>9729P461</v>
      </c>
      <c r="H10564" s="1" t="str">
        <f>"연서간 13R2"</f>
        <v>연서간 13R2</v>
      </c>
      <c r="I10564" s="1" t="s">
        <v>15</v>
      </c>
      <c r="J10564" s="1" t="str">
        <f>"79/79"</f>
        <v>79/79</v>
      </c>
      <c r="K10564" s="1" t="str">
        <f>"2026-07-29 14:21:16"</f>
        <v>2026-07-29 14:21:16</v>
      </c>
      <c r="L10564" s="1" t="str">
        <f>"2023-07-24 18:06:40"</f>
        <v>2023-07-24 18:06:40</v>
      </c>
      <c r="M10564" s="1" t="s">
        <v>45</v>
      </c>
      <c r="N10564" s="1" t="s">
        <v>38</v>
      </c>
      <c r="O10564" s="1" t="s">
        <v>46</v>
      </c>
    </row>
    <row r="10565" spans="2:15" x14ac:dyDescent="0.3">
      <c r="B10565" s="1" t="s">
        <v>21</v>
      </c>
      <c r="C10565" s="1" t="str">
        <f>"5-2차"</f>
        <v>5-2차</v>
      </c>
      <c r="D10565" s="1" t="str">
        <f>"9729P4635S"</f>
        <v>9729P4635S</v>
      </c>
      <c r="E10565" s="1" t="s">
        <v>10</v>
      </c>
      <c r="F10565" s="1" t="str">
        <f>"fde3:102:1303:1400:0:0:0:4"</f>
        <v>fde3:102:1303:1400:0:0:0:4</v>
      </c>
      <c r="G10565" s="1" t="str">
        <f>"9729P463"</f>
        <v>9729P463</v>
      </c>
      <c r="H10565" s="1" t="str">
        <f>"연서간 13R3"</f>
        <v>연서간 13R3</v>
      </c>
      <c r="I10565" s="1" t="s">
        <v>15</v>
      </c>
      <c r="J10565" s="1" t="str">
        <f>"62/62"</f>
        <v>62/62</v>
      </c>
      <c r="K10565" s="1" t="str">
        <f>"2026-07-29 14:21:47"</f>
        <v>2026-07-29 14:21:47</v>
      </c>
      <c r="L10565" s="1" t="str">
        <f>"2023-06-30 10:54:53"</f>
        <v>2023-06-30 10:54:53</v>
      </c>
      <c r="M10565" s="1" t="s">
        <v>45</v>
      </c>
      <c r="N10565" s="1" t="s">
        <v>38</v>
      </c>
      <c r="O10565" s="1" t="s">
        <v>46</v>
      </c>
    </row>
    <row r="10566" spans="2:15" x14ac:dyDescent="0.3">
      <c r="B10566" s="1" t="s">
        <v>21</v>
      </c>
      <c r="C10566" s="1" t="str">
        <f>"5-2차"</f>
        <v>5-2차</v>
      </c>
      <c r="D10566" s="1" t="str">
        <f>"9729P4645M"</f>
        <v>9729P4645M</v>
      </c>
      <c r="E10566" s="1" t="s">
        <v>10</v>
      </c>
      <c r="F10566" s="1" t="str">
        <f>"fde3:102:1303:1400:0:0:0:5"</f>
        <v>fde3:102:1303:1400:0:0:0:5</v>
      </c>
      <c r="G10566" s="1" t="str">
        <f>"9729P464"</f>
        <v>9729P464</v>
      </c>
      <c r="H10566" s="1" t="str">
        <f>"연서간 13R4"</f>
        <v>연서간 13R4</v>
      </c>
      <c r="I10566" s="1" t="s">
        <v>15</v>
      </c>
      <c r="J10566" s="1" t="str">
        <f>"35/35"</f>
        <v>35/35</v>
      </c>
      <c r="K10566" s="1" t="str">
        <f>"2026-07-29 14:21:47"</f>
        <v>2026-07-29 14:21:47</v>
      </c>
      <c r="L10566" s="1" t="str">
        <f>"2023-07-24 18:07:12"</f>
        <v>2023-07-24 18:07:12</v>
      </c>
      <c r="M10566" s="1" t="s">
        <v>45</v>
      </c>
      <c r="N10566" s="1" t="s">
        <v>38</v>
      </c>
      <c r="O10566" s="1" t="s">
        <v>46</v>
      </c>
    </row>
    <row r="10567" spans="2:15" x14ac:dyDescent="0.3">
      <c r="B10567" s="1" t="s">
        <v>21</v>
      </c>
      <c r="C10567" s="1" t="str">
        <f>"1차"</f>
        <v>1차</v>
      </c>
      <c r="D10567" s="1" t="str">
        <f>"9729P50301"</f>
        <v>9729P50301</v>
      </c>
      <c r="E10567" s="1" t="s">
        <v>10</v>
      </c>
      <c r="F10567" s="1" t="str">
        <f>"10.12.128.85"</f>
        <v>10.12.128.85</v>
      </c>
      <c r="G10567" s="1" t="str">
        <f>"9729P503"</f>
        <v>9729P503</v>
      </c>
      <c r="H10567" s="1" t="str">
        <f>"불광간 3L2"</f>
        <v>불광간 3L2</v>
      </c>
      <c r="I10567" s="1" t="s">
        <v>8</v>
      </c>
      <c r="J10567" s="1" t="str">
        <f>"32/32"</f>
        <v>32/32</v>
      </c>
      <c r="K10567" s="1" t="str">
        <f>"2026-07-29 13:18:10"</f>
        <v>2026-07-29 13:18:10</v>
      </c>
      <c r="L10567" s="1" t="str">
        <f>"2015-01-12 00:13:12"</f>
        <v>2015-01-12 00:13:12</v>
      </c>
      <c r="M10567" s="1" t="s">
        <v>0</v>
      </c>
      <c r="N10567" s="1" t="s">
        <v>38</v>
      </c>
      <c r="O10567" s="1" t="s">
        <v>46</v>
      </c>
    </row>
    <row r="10568" spans="2:15" x14ac:dyDescent="0.3">
      <c r="B10568" s="1" t="s">
        <v>21</v>
      </c>
      <c r="C10568" s="1" t="str">
        <f t="shared" ref="C10568:C10576" si="531">"5-2차"</f>
        <v>5-2차</v>
      </c>
      <c r="D10568" s="1" t="str">
        <f>"9729P5325S"</f>
        <v>9729P5325S</v>
      </c>
      <c r="E10568" s="1" t="s">
        <v>10</v>
      </c>
      <c r="F10568" s="1" t="str">
        <f>"fde3:102:1303:1400:0:0:0:10"</f>
        <v>fde3:102:1303:1400:0:0:0:10</v>
      </c>
      <c r="G10568" s="1" t="str">
        <f>"9729P532"</f>
        <v>9729P532</v>
      </c>
      <c r="H10568" s="1" t="str">
        <f>"연서간 7R1"</f>
        <v>연서간 7R1</v>
      </c>
      <c r="I10568" s="1" t="s">
        <v>15</v>
      </c>
      <c r="J10568" s="1" t="str">
        <f>"28/29"</f>
        <v>28/29</v>
      </c>
      <c r="K10568" s="1" t="str">
        <f>"2026-07-29 14:21:49"</f>
        <v>2026-07-29 14:21:49</v>
      </c>
      <c r="L10568" s="1" t="str">
        <f>"2023-07-12 11:25:36"</f>
        <v>2023-07-12 11:25:36</v>
      </c>
      <c r="M10568" s="1" t="s">
        <v>45</v>
      </c>
      <c r="N10568" s="1" t="s">
        <v>38</v>
      </c>
      <c r="O10568" s="1" t="s">
        <v>46</v>
      </c>
    </row>
    <row r="10569" spans="2:15" x14ac:dyDescent="0.3">
      <c r="B10569" s="1" t="s">
        <v>21</v>
      </c>
      <c r="C10569" s="1" t="str">
        <f t="shared" si="531"/>
        <v>5-2차</v>
      </c>
      <c r="D10569" s="1" t="str">
        <f>"9729P5335M"</f>
        <v>9729P5335M</v>
      </c>
      <c r="E10569" s="1" t="s">
        <v>10</v>
      </c>
      <c r="F10569" s="1" t="str">
        <f>"fde3:102:1303:1400:0:0:0:9"</f>
        <v>fde3:102:1303:1400:0:0:0:9</v>
      </c>
      <c r="G10569" s="1" t="str">
        <f>"9729P533"</f>
        <v>9729P533</v>
      </c>
      <c r="H10569" s="1" t="str">
        <f>"연서간 7"</f>
        <v>연서간 7</v>
      </c>
      <c r="I10569" s="1" t="s">
        <v>15</v>
      </c>
      <c r="J10569" s="1" t="str">
        <f>"89/89"</f>
        <v>89/89</v>
      </c>
      <c r="K10569" s="1" t="str">
        <f>"2026-07-29 14:21:16"</f>
        <v>2026-07-29 14:21:16</v>
      </c>
      <c r="L10569" s="1" t="str">
        <f>"2023-07-24 15:37:50"</f>
        <v>2023-07-24 15:37:50</v>
      </c>
      <c r="M10569" s="1" t="s">
        <v>45</v>
      </c>
      <c r="N10569" s="1" t="s">
        <v>38</v>
      </c>
      <c r="O10569" s="1" t="s">
        <v>46</v>
      </c>
    </row>
    <row r="10570" spans="2:15" x14ac:dyDescent="0.3">
      <c r="B10570" s="1" t="s">
        <v>21</v>
      </c>
      <c r="C10570" s="1" t="str">
        <f t="shared" si="531"/>
        <v>5-2차</v>
      </c>
      <c r="D10570" s="1" t="str">
        <f>"9729P5515M"</f>
        <v>9729P5515M</v>
      </c>
      <c r="E10570" s="1" t="s">
        <v>10</v>
      </c>
      <c r="F10570" s="1" t="str">
        <f>"fde3:102:1303:1400:0:0:0:12"</f>
        <v>fde3:102:1303:1400:0:0:0:12</v>
      </c>
      <c r="G10570" s="1" t="str">
        <f>"9729P551"</f>
        <v>9729P551</v>
      </c>
      <c r="H10570" s="1" t="str">
        <f>"연서간 9R2"</f>
        <v>연서간 9R2</v>
      </c>
      <c r="I10570" s="1" t="s">
        <v>15</v>
      </c>
      <c r="J10570" s="1" t="str">
        <f>"76/77"</f>
        <v>76/77</v>
      </c>
      <c r="K10570" s="1" t="str">
        <f>"2026-07-29 14:21:47"</f>
        <v>2026-07-29 14:21:47</v>
      </c>
      <c r="L10570" s="1" t="str">
        <f>"2023-07-24 15:55:44"</f>
        <v>2023-07-24 15:55:44</v>
      </c>
      <c r="M10570" s="1" t="s">
        <v>45</v>
      </c>
      <c r="N10570" s="1" t="s">
        <v>38</v>
      </c>
      <c r="O10570" s="1" t="s">
        <v>46</v>
      </c>
    </row>
    <row r="10571" spans="2:15" x14ac:dyDescent="0.3">
      <c r="B10571" s="1" t="s">
        <v>21</v>
      </c>
      <c r="C10571" s="1" t="str">
        <f t="shared" si="531"/>
        <v>5-2차</v>
      </c>
      <c r="D10571" s="1" t="str">
        <f>"9729P6015S"</f>
        <v>9729P6015S</v>
      </c>
      <c r="E10571" s="1" t="s">
        <v>10</v>
      </c>
      <c r="F10571" s="1" t="str">
        <f>"fde1:103:4:6e21:0:0:0:2"</f>
        <v>fde1:103:4:6e21:0:0:0:2</v>
      </c>
      <c r="G10571" s="1" t="str">
        <f>"9729P601"</f>
        <v>9729P601</v>
      </c>
      <c r="H10571" s="1" t="str">
        <f>"진성간 13R3"</f>
        <v>진성간 13R3</v>
      </c>
      <c r="I10571" s="1" t="s">
        <v>15</v>
      </c>
      <c r="J10571" s="1" t="str">
        <f>"35/36"</f>
        <v>35/36</v>
      </c>
      <c r="K10571" s="1" t="str">
        <f>"2026-07-29 14:21:21"</f>
        <v>2026-07-29 14:21:21</v>
      </c>
      <c r="L10571" s="1" t="str">
        <f>"2023-11-14 09:38:38"</f>
        <v>2023-11-14 09:38:38</v>
      </c>
      <c r="M10571" s="1" t="s">
        <v>4</v>
      </c>
      <c r="N10571" s="1" t="s">
        <v>38</v>
      </c>
      <c r="O10571" s="1" t="s">
        <v>46</v>
      </c>
    </row>
    <row r="10572" spans="2:15" x14ac:dyDescent="0.3">
      <c r="B10572" s="1" t="s">
        <v>21</v>
      </c>
      <c r="C10572" s="1" t="str">
        <f t="shared" si="531"/>
        <v>5-2차</v>
      </c>
      <c r="D10572" s="1" t="str">
        <f>"9729P6215M"</f>
        <v>9729P6215M</v>
      </c>
      <c r="E10572" s="1" t="s">
        <v>10</v>
      </c>
      <c r="F10572" s="1" t="str">
        <f>"fde1:103:4:6e2f:0:0:0:2"</f>
        <v>fde1:103:4:6e2f:0:0:0:2</v>
      </c>
      <c r="G10572" s="1" t="str">
        <f>"9729P621"</f>
        <v>9729P621</v>
      </c>
      <c r="H10572" s="1" t="str">
        <f>"진성간 15"</f>
        <v>진성간 15</v>
      </c>
      <c r="I10572" s="1" t="s">
        <v>15</v>
      </c>
      <c r="J10572" s="1" t="str">
        <f>"82/82"</f>
        <v>82/82</v>
      </c>
      <c r="K10572" s="1" t="str">
        <f>"2026-07-29 14:21:17"</f>
        <v>2026-07-29 14:21:17</v>
      </c>
      <c r="L10572" s="1" t="str">
        <f>"2023-11-15 07:53:42"</f>
        <v>2023-11-15 07:53:42</v>
      </c>
      <c r="M10572" s="1" t="s">
        <v>4</v>
      </c>
      <c r="N10572" s="1" t="s">
        <v>38</v>
      </c>
      <c r="O10572" s="1" t="s">
        <v>46</v>
      </c>
    </row>
    <row r="10573" spans="2:15" x14ac:dyDescent="0.3">
      <c r="B10573" s="1" t="s">
        <v>21</v>
      </c>
      <c r="C10573" s="1" t="str">
        <f t="shared" si="531"/>
        <v>5-2차</v>
      </c>
      <c r="D10573" s="1" t="str">
        <f>"9729P6425S"</f>
        <v>9729P6425S</v>
      </c>
      <c r="E10573" s="1" t="s">
        <v>10</v>
      </c>
      <c r="F10573" s="1" t="str">
        <f>"fde3:102:1303:1400:0:0:0:11"</f>
        <v>fde3:102:1303:1400:0:0:0:11</v>
      </c>
      <c r="G10573" s="1" t="str">
        <f>"9729P642"</f>
        <v>9729P642</v>
      </c>
      <c r="H10573" s="1" t="str">
        <f>"연서간 7R2"</f>
        <v>연서간 7R2</v>
      </c>
      <c r="I10573" s="1" t="s">
        <v>15</v>
      </c>
      <c r="J10573" s="1" t="str">
        <f>"36/36"</f>
        <v>36/36</v>
      </c>
      <c r="K10573" s="1" t="str">
        <f>"2026-07-29 14:21:47"</f>
        <v>2026-07-29 14:21:47</v>
      </c>
      <c r="L10573" s="1" t="str">
        <f>"2023-07-24 17:55:44"</f>
        <v>2023-07-24 17:55:44</v>
      </c>
      <c r="M10573" s="1" t="s">
        <v>45</v>
      </c>
      <c r="N10573" s="1" t="s">
        <v>38</v>
      </c>
      <c r="O10573" s="1" t="s">
        <v>46</v>
      </c>
    </row>
    <row r="10574" spans="2:15" x14ac:dyDescent="0.3">
      <c r="B10574" s="1" t="s">
        <v>21</v>
      </c>
      <c r="C10574" s="1" t="str">
        <f t="shared" si="531"/>
        <v>5-2차</v>
      </c>
      <c r="D10574" s="1" t="str">
        <f>"9729P7245M"</f>
        <v>9729P7245M</v>
      </c>
      <c r="E10574" s="1" t="s">
        <v>10</v>
      </c>
      <c r="F10574" s="1" t="str">
        <f>"fde1:103:4:6e2d:0:0:0:2"</f>
        <v>fde1:103:4:6e2d:0:0:0:2</v>
      </c>
      <c r="G10574" s="1" t="str">
        <f>"9729P724"</f>
        <v>9729P724</v>
      </c>
      <c r="H10574" s="1" t="str">
        <f>"진성간 16"</f>
        <v>진성간 16</v>
      </c>
      <c r="I10574" s="1" t="s">
        <v>15</v>
      </c>
      <c r="J10574" s="1" t="str">
        <f>"59/62"</f>
        <v>59/62</v>
      </c>
      <c r="K10574" s="1" t="str">
        <f>"2026-07-29 14:21:17"</f>
        <v>2026-07-29 14:21:17</v>
      </c>
      <c r="L10574" s="1" t="str">
        <f>"2023-11-15 07:57:33"</f>
        <v>2023-11-15 07:57:33</v>
      </c>
      <c r="M10574" s="1" t="s">
        <v>4</v>
      </c>
      <c r="N10574" s="1" t="s">
        <v>38</v>
      </c>
      <c r="O10574" s="1" t="s">
        <v>46</v>
      </c>
    </row>
    <row r="10575" spans="2:15" x14ac:dyDescent="0.3">
      <c r="B10575" s="1" t="s">
        <v>21</v>
      </c>
      <c r="C10575" s="1" t="str">
        <f t="shared" si="531"/>
        <v>5-2차</v>
      </c>
      <c r="D10575" s="1" t="str">
        <f>"9729P7415M"</f>
        <v>9729P7415M</v>
      </c>
      <c r="E10575" s="1" t="s">
        <v>10</v>
      </c>
      <c r="F10575" s="1" t="str">
        <f>"fde3:102:1303:1400:0:0:0:15"</f>
        <v>fde3:102:1303:1400:0:0:0:15</v>
      </c>
      <c r="G10575" s="1" t="str">
        <f>"9729P741"</f>
        <v>9729P741</v>
      </c>
      <c r="H10575" s="1" t="str">
        <f>"진성간 23L2"</f>
        <v>진성간 23L2</v>
      </c>
      <c r="I10575" s="1" t="s">
        <v>15</v>
      </c>
      <c r="J10575" s="1" t="str">
        <f>"56/56"</f>
        <v>56/56</v>
      </c>
      <c r="K10575" s="1" t="str">
        <f>"2026-07-29 14:21:18"</f>
        <v>2026-07-29 14:21:18</v>
      </c>
      <c r="L10575" s="1" t="str">
        <f>"2023-07-24 18:07:46"</f>
        <v>2023-07-24 18:07:46</v>
      </c>
      <c r="M10575" s="1" t="s">
        <v>45</v>
      </c>
      <c r="N10575" s="1" t="s">
        <v>38</v>
      </c>
      <c r="O10575" s="1" t="s">
        <v>46</v>
      </c>
    </row>
    <row r="10576" spans="2:15" x14ac:dyDescent="0.3">
      <c r="B10576" s="1" t="s">
        <v>21</v>
      </c>
      <c r="C10576" s="1" t="str">
        <f t="shared" si="531"/>
        <v>5-2차</v>
      </c>
      <c r="D10576" s="1" t="str">
        <f>"9729P7425S"</f>
        <v>9729P7425S</v>
      </c>
      <c r="E10576" s="1" t="s">
        <v>10</v>
      </c>
      <c r="F10576" s="1" t="str">
        <f>"fde3:102:1303:1400:0:0:0:16"</f>
        <v>fde3:102:1303:1400:0:0:0:16</v>
      </c>
      <c r="G10576" s="1" t="str">
        <f>"9729P742"</f>
        <v>9729P742</v>
      </c>
      <c r="H10576" s="1" t="str">
        <f>"진성간 23L3"</f>
        <v>진성간 23L3</v>
      </c>
      <c r="I10576" s="1" t="s">
        <v>15</v>
      </c>
      <c r="J10576" s="1" t="str">
        <f>"56/56"</f>
        <v>56/56</v>
      </c>
      <c r="K10576" s="1" t="str">
        <f>"2026-07-29 14:21:17"</f>
        <v>2026-07-29 14:21:17</v>
      </c>
      <c r="L10576" s="1" t="str">
        <f>"2023-06-28 14:10:37"</f>
        <v>2023-06-28 14:10:37</v>
      </c>
      <c r="M10576" s="1" t="s">
        <v>45</v>
      </c>
      <c r="N10576" s="1" t="s">
        <v>38</v>
      </c>
      <c r="O10576" s="1" t="s">
        <v>46</v>
      </c>
    </row>
    <row r="10577" spans="2:15" x14ac:dyDescent="0.3">
      <c r="B10577" s="1" t="s">
        <v>21</v>
      </c>
      <c r="C10577" s="1" t="str">
        <f>"1차"</f>
        <v>1차</v>
      </c>
      <c r="D10577" s="1" t="str">
        <f>"9729P78101"</f>
        <v>9729P78101</v>
      </c>
      <c r="E10577" s="1" t="s">
        <v>10</v>
      </c>
      <c r="F10577" s="1" t="str">
        <f>"10.128.72.227"</f>
        <v>10.128.72.227</v>
      </c>
      <c r="G10577" s="1" t="str">
        <f>"9729P781"</f>
        <v>9729P781</v>
      </c>
      <c r="H10577" s="1" t="str">
        <f>"진성간 31L4L5"</f>
        <v>진성간 31L4L5</v>
      </c>
      <c r="I10577" s="1" t="s">
        <v>8</v>
      </c>
      <c r="J10577" s="1" t="str">
        <f>"31/31"</f>
        <v>31/31</v>
      </c>
      <c r="K10577" s="1" t="str">
        <f>"2026-07-29 13:18:12"</f>
        <v>2026-07-29 13:18:12</v>
      </c>
      <c r="L10577" s="1" t="str">
        <f>"2015-01-19 13:27:27"</f>
        <v>2015-01-19 13:27:27</v>
      </c>
      <c r="M10577" s="1" t="s">
        <v>45</v>
      </c>
      <c r="N10577" s="1" t="s">
        <v>38</v>
      </c>
      <c r="O10577" s="1" t="s">
        <v>46</v>
      </c>
    </row>
    <row r="10578" spans="2:15" x14ac:dyDescent="0.3">
      <c r="B10578" s="1" t="s">
        <v>21</v>
      </c>
      <c r="C10578" s="1" t="str">
        <f>"1차"</f>
        <v>1차</v>
      </c>
      <c r="D10578" s="1" t="str">
        <f>"9729P78700"</f>
        <v>9729P78700</v>
      </c>
      <c r="E10578" s="1" t="s">
        <v>10</v>
      </c>
      <c r="F10578" s="1" t="str">
        <f>"10.128.78.19"</f>
        <v>10.128.78.19</v>
      </c>
      <c r="G10578" s="1" t="str">
        <f>"9729P787"</f>
        <v>9729P787</v>
      </c>
      <c r="H10578" s="1" t="str">
        <f>"진성간 31L11"</f>
        <v>진성간 31L11</v>
      </c>
      <c r="I10578" s="1" t="s">
        <v>8</v>
      </c>
      <c r="J10578" s="1" t="str">
        <f>"34/34"</f>
        <v>34/34</v>
      </c>
      <c r="K10578" s="1" t="str">
        <f>"2026-07-29 13:18:12"</f>
        <v>2026-07-29 13:18:12</v>
      </c>
      <c r="L10578" s="1" t="str">
        <f>"2021-07-27 12:23:31"</f>
        <v>2021-07-27 12:23:31</v>
      </c>
      <c r="M10578" s="1" t="s">
        <v>45</v>
      </c>
      <c r="N10578" s="1" t="s">
        <v>38</v>
      </c>
      <c r="O10578" s="1" t="s">
        <v>46</v>
      </c>
    </row>
    <row r="10579" spans="2:15" x14ac:dyDescent="0.3">
      <c r="B10579" s="1" t="s">
        <v>21</v>
      </c>
      <c r="C10579" s="1" t="str">
        <f>"5-1차"</f>
        <v>5-1차</v>
      </c>
      <c r="D10579" s="1" t="str">
        <f>"9729P8025M"</f>
        <v>9729P8025M</v>
      </c>
      <c r="E10579" s="1" t="s">
        <v>10</v>
      </c>
      <c r="F10579" s="1" t="str">
        <f>"fde3:102:1303:1002:0:0:0:3"</f>
        <v>fde3:102:1303:1002:0:0:0:3</v>
      </c>
      <c r="G10579" s="1" t="str">
        <f>"9729P802"</f>
        <v>9729P802</v>
      </c>
      <c r="H10579" s="1" t="str">
        <f>"진성간 18R4R1"</f>
        <v>진성간 18R4R1</v>
      </c>
      <c r="I10579" s="1" t="s">
        <v>15</v>
      </c>
      <c r="J10579" s="1" t="str">
        <f>"61/62"</f>
        <v>61/62</v>
      </c>
      <c r="K10579" s="1" t="str">
        <f>"2026-07-29 14:21:04"</f>
        <v>2026-07-29 14:21:04</v>
      </c>
      <c r="L10579" s="1" t="str">
        <f>"2022-11-10 09:24:38"</f>
        <v>2022-11-10 09:24:38</v>
      </c>
      <c r="M10579" s="1" t="s">
        <v>45</v>
      </c>
      <c r="N10579" s="1" t="s">
        <v>38</v>
      </c>
      <c r="O10579" s="1" t="s">
        <v>46</v>
      </c>
    </row>
    <row r="10580" spans="2:15" x14ac:dyDescent="0.3">
      <c r="B10580" s="1" t="s">
        <v>21</v>
      </c>
      <c r="C10580" s="1" t="str">
        <f>"5-2차"</f>
        <v>5-2차</v>
      </c>
      <c r="D10580" s="1" t="str">
        <f>"9729P8115S"</f>
        <v>9729P8115S</v>
      </c>
      <c r="E10580" s="1" t="s">
        <v>10</v>
      </c>
      <c r="F10580" s="1" t="str">
        <f>"fde1:103:4:6e27:0:0:0:2"</f>
        <v>fde1:103:4:6e27:0:0:0:2</v>
      </c>
      <c r="G10580" s="1" t="str">
        <f>"9729P811"</f>
        <v>9729P811</v>
      </c>
      <c r="H10580" s="1" t="str">
        <f>"진성간 20R2"</f>
        <v>진성간 20R2</v>
      </c>
      <c r="I10580" s="1" t="s">
        <v>15</v>
      </c>
      <c r="J10580" s="1" t="str">
        <f>"60/60"</f>
        <v>60/60</v>
      </c>
      <c r="K10580" s="1" t="str">
        <f>"2026-07-29 14:21:48"</f>
        <v>2026-07-29 14:21:48</v>
      </c>
      <c r="L10580" s="1" t="str">
        <f>"2023-11-15 08:01:37"</f>
        <v>2023-11-15 08:01:37</v>
      </c>
      <c r="M10580" s="1" t="s">
        <v>4</v>
      </c>
      <c r="N10580" s="1" t="s">
        <v>38</v>
      </c>
      <c r="O10580" s="1" t="s">
        <v>46</v>
      </c>
    </row>
    <row r="10581" spans="2:15" x14ac:dyDescent="0.3">
      <c r="B10581" s="1" t="s">
        <v>21</v>
      </c>
      <c r="C10581" s="1" t="str">
        <f>"5-2차"</f>
        <v>5-2차</v>
      </c>
      <c r="D10581" s="1" t="str">
        <f>"9729P8225M"</f>
        <v>9729P8225M</v>
      </c>
      <c r="E10581" s="1" t="s">
        <v>14</v>
      </c>
      <c r="F10581" s="1" t="str">
        <f>"fde1:103:4:6e29:0:0:0:2"</f>
        <v>fde1:103:4:6e29:0:0:0:2</v>
      </c>
      <c r="G10581" s="1" t="str">
        <f>"9729P822"</f>
        <v>9729P822</v>
      </c>
      <c r="H10581" s="1" t="str">
        <f>"진성간 20"</f>
        <v>진성간 20</v>
      </c>
      <c r="I10581" s="1" t="s">
        <v>15</v>
      </c>
      <c r="J10581" s="1" t="str">
        <f>"0/0"</f>
        <v>0/0</v>
      </c>
      <c r="K10581" s="1" t="str">
        <f>"2026-07-29 14:21:48"</f>
        <v>2026-07-29 14:21:48</v>
      </c>
      <c r="L10581" s="1" t="str">
        <f>"2023-11-15 08:08:53"</f>
        <v>2023-11-15 08:08:53</v>
      </c>
      <c r="M10581" s="1" t="s">
        <v>4</v>
      </c>
      <c r="N10581" s="1" t="s">
        <v>38</v>
      </c>
      <c r="O10581" s="1" t="s">
        <v>797</v>
      </c>
    </row>
    <row r="10582" spans="2:15" x14ac:dyDescent="0.3">
      <c r="B10582" s="1" t="s">
        <v>21</v>
      </c>
      <c r="C10582" s="1" t="str">
        <f>"1차"</f>
        <v>1차</v>
      </c>
      <c r="D10582" s="1" t="str">
        <f>"9729P83300"</f>
        <v>9729P83300</v>
      </c>
      <c r="E10582" s="1" t="s">
        <v>10</v>
      </c>
      <c r="F10582" s="1" t="str">
        <f>"10.128.72.66"</f>
        <v>10.128.72.66</v>
      </c>
      <c r="G10582" s="1" t="str">
        <f>"9729P833"</f>
        <v>9729P833</v>
      </c>
      <c r="H10582" s="1" t="str">
        <f>"진성간 23L1"</f>
        <v>진성간 23L1</v>
      </c>
      <c r="I10582" s="1" t="s">
        <v>8</v>
      </c>
      <c r="J10582" s="1" t="str">
        <f>"4/4"</f>
        <v>4/4</v>
      </c>
      <c r="K10582" s="1" t="str">
        <f>"2026-07-29 13:18:12"</f>
        <v>2026-07-29 13:18:12</v>
      </c>
      <c r="L10582" s="1" t="str">
        <f>"2015-02-05 16:12:51"</f>
        <v>2015-02-05 16:12:51</v>
      </c>
      <c r="M10582" s="1" t="s">
        <v>45</v>
      </c>
      <c r="N10582" s="1" t="s">
        <v>38</v>
      </c>
      <c r="O10582" s="1" t="s">
        <v>46</v>
      </c>
    </row>
    <row r="10583" spans="2:15" x14ac:dyDescent="0.3">
      <c r="B10583" s="1" t="s">
        <v>21</v>
      </c>
      <c r="C10583" s="1" t="str">
        <f>"4차"</f>
        <v>4차</v>
      </c>
      <c r="D10583" s="1" t="str">
        <f>"9729P86144"</f>
        <v>9729P86144</v>
      </c>
      <c r="E10583" s="1" t="s">
        <v>10</v>
      </c>
      <c r="F10583" s="1" t="str">
        <f>"10.12.138.25"</f>
        <v>10.12.138.25</v>
      </c>
      <c r="G10583" s="1" t="str">
        <f>"9729P861"</f>
        <v>9729P861</v>
      </c>
      <c r="H10583" s="1" t="str">
        <f>"진성간 23A5"</f>
        <v>진성간 23A5</v>
      </c>
      <c r="I10583" s="1" t="s">
        <v>8</v>
      </c>
      <c r="J10583" s="1" t="str">
        <f>"54/54"</f>
        <v>54/54</v>
      </c>
      <c r="K10583" s="1" t="str">
        <f>"2026-07-29 13:18:12"</f>
        <v>2026-07-29 13:18:12</v>
      </c>
      <c r="L10583" s="1" t="str">
        <f>"2023-10-17 13:44:10"</f>
        <v>2023-10-17 13:44:10</v>
      </c>
      <c r="M10583" s="1" t="s">
        <v>0</v>
      </c>
      <c r="N10583" s="1" t="s">
        <v>38</v>
      </c>
      <c r="O10583" s="1" t="s">
        <v>46</v>
      </c>
    </row>
    <row r="10584" spans="2:15" x14ac:dyDescent="0.3">
      <c r="B10584" s="1" t="s">
        <v>21</v>
      </c>
      <c r="C10584" s="1" t="str">
        <f>"6차"</f>
        <v>6차</v>
      </c>
      <c r="D10584" s="1" t="str">
        <f>"9729P8716S"</f>
        <v>9729P8716S</v>
      </c>
      <c r="E10584" s="1" t="s">
        <v>10</v>
      </c>
      <c r="F10584" s="1" t="str">
        <f>"fde1:103:4:c797:0:0:0:2"</f>
        <v>fde1:103:4:c797:0:0:0:2</v>
      </c>
      <c r="G10584" s="1" t="str">
        <f>"9729P871"</f>
        <v>9729P871</v>
      </c>
      <c r="H10584" s="1" t="str">
        <f>"진성간 31L4L3L1"</f>
        <v>진성간 31L4L3L1</v>
      </c>
      <c r="I10584" s="1" t="s">
        <v>15</v>
      </c>
      <c r="J10584" s="1" t="str">
        <f>"78/84"</f>
        <v>78/84</v>
      </c>
      <c r="K10584" s="1" t="str">
        <f>"2026-07-29 14:21:04"</f>
        <v>2026-07-29 14:21:04</v>
      </c>
      <c r="L10584" s="1" t="str">
        <f>"2024-12-10 11:25:51"</f>
        <v>2024-12-10 11:25:51</v>
      </c>
      <c r="M10584" s="1" t="s">
        <v>4</v>
      </c>
      <c r="N10584" s="1" t="s">
        <v>38</v>
      </c>
      <c r="O10584" s="1" t="s">
        <v>46</v>
      </c>
    </row>
    <row r="10585" spans="2:15" x14ac:dyDescent="0.3">
      <c r="B10585" s="1" t="s">
        <v>21</v>
      </c>
      <c r="C10585" s="1" t="str">
        <f>"1차"</f>
        <v>1차</v>
      </c>
      <c r="D10585" s="1" t="str">
        <f>"9729P88100"</f>
        <v>9729P88100</v>
      </c>
      <c r="E10585" s="1" t="s">
        <v>10</v>
      </c>
      <c r="F10585" s="1" t="str">
        <f>"10.128.72.228"</f>
        <v>10.128.72.228</v>
      </c>
      <c r="G10585" s="1" t="str">
        <f>"9729P881"</f>
        <v>9729P881</v>
      </c>
      <c r="H10585" s="1" t="str">
        <f>"진성간 31L4L4"</f>
        <v>진성간 31L4L4</v>
      </c>
      <c r="I10585" s="1" t="s">
        <v>8</v>
      </c>
      <c r="J10585" s="1" t="str">
        <f>"41/41"</f>
        <v>41/41</v>
      </c>
      <c r="K10585" s="1" t="str">
        <f>"2026-07-29 13:18:12"</f>
        <v>2026-07-29 13:18:12</v>
      </c>
      <c r="L10585" s="1" t="str">
        <f>"2015-01-19 13:25:33"</f>
        <v>2015-01-19 13:25:33</v>
      </c>
      <c r="M10585" s="1" t="s">
        <v>45</v>
      </c>
      <c r="N10585" s="1" t="s">
        <v>38</v>
      </c>
      <c r="O10585" s="1" t="s">
        <v>46</v>
      </c>
    </row>
    <row r="10586" spans="2:15" x14ac:dyDescent="0.3">
      <c r="B10586" s="1" t="s">
        <v>21</v>
      </c>
      <c r="C10586" s="1" t="str">
        <f>"5-2차"</f>
        <v>5-2차</v>
      </c>
      <c r="D10586" s="1" t="str">
        <f>"9729P8915S"</f>
        <v>9729P8915S</v>
      </c>
      <c r="E10586" s="1" t="s">
        <v>10</v>
      </c>
      <c r="F10586" s="1" t="str">
        <f>"fde1:103:4:6e26:0:0:0:2"</f>
        <v>fde1:103:4:6e26:0:0:0:2</v>
      </c>
      <c r="G10586" s="1" t="str">
        <f>"9729P891"</f>
        <v>9729P891</v>
      </c>
      <c r="H10586" s="1" t="str">
        <f>"진성간 31L4L7"</f>
        <v>진성간 31L4L7</v>
      </c>
      <c r="I10586" s="1" t="s">
        <v>15</v>
      </c>
      <c r="J10586" s="1" t="str">
        <f>"42/43"</f>
        <v>42/43</v>
      </c>
      <c r="K10586" s="1" t="str">
        <f>"2026-07-29 14:21:49"</f>
        <v>2026-07-29 14:21:49</v>
      </c>
      <c r="L10586" s="1" t="str">
        <f>"2023-11-15 07:08:09"</f>
        <v>2023-11-15 07:08:09</v>
      </c>
      <c r="M10586" s="1" t="s">
        <v>4</v>
      </c>
      <c r="N10586" s="1" t="s">
        <v>38</v>
      </c>
      <c r="O10586" s="1" t="s">
        <v>46</v>
      </c>
    </row>
    <row r="10587" spans="2:15" x14ac:dyDescent="0.3">
      <c r="B10587" s="1" t="s">
        <v>21</v>
      </c>
      <c r="C10587" s="1" t="str">
        <f>"5-1차"</f>
        <v>5-1차</v>
      </c>
      <c r="D10587" s="1" t="str">
        <f>"9729P9015S"</f>
        <v>9729P9015S</v>
      </c>
      <c r="E10587" s="1" t="s">
        <v>10</v>
      </c>
      <c r="F10587" s="1" t="str">
        <f>"fde3:102:1303:1002:0:0:0:4"</f>
        <v>fde3:102:1303:1002:0:0:0:4</v>
      </c>
      <c r="G10587" s="1" t="str">
        <f>"9729P901"</f>
        <v>9729P901</v>
      </c>
      <c r="H10587" s="1" t="str">
        <f>"진성간 18R5"</f>
        <v>진성간 18R5</v>
      </c>
      <c r="I10587" s="1" t="s">
        <v>15</v>
      </c>
      <c r="J10587" s="1" t="str">
        <f>"44/44"</f>
        <v>44/44</v>
      </c>
      <c r="K10587" s="1" t="str">
        <f>"2026-07-29 14:21:05"</f>
        <v>2026-07-29 14:21:05</v>
      </c>
      <c r="L10587" s="1" t="str">
        <f>"2022-11-21 14:51:18"</f>
        <v>2022-11-21 14:51:18</v>
      </c>
      <c r="M10587" s="1" t="s">
        <v>45</v>
      </c>
      <c r="N10587" s="1" t="s">
        <v>38</v>
      </c>
      <c r="O10587" s="1" t="s">
        <v>46</v>
      </c>
    </row>
    <row r="10588" spans="2:15" x14ac:dyDescent="0.3">
      <c r="B10588" s="1" t="s">
        <v>21</v>
      </c>
      <c r="C10588" s="1" t="str">
        <f>"5-2차"</f>
        <v>5-2차</v>
      </c>
      <c r="D10588" s="1" t="str">
        <f>"9729P9215S"</f>
        <v>9729P9215S</v>
      </c>
      <c r="E10588" s="1" t="s">
        <v>10</v>
      </c>
      <c r="F10588" s="1" t="str">
        <f>"fde1:103:4:6e2b:0:0:0:2"</f>
        <v>fde1:103:4:6e2b:0:0:0:2</v>
      </c>
      <c r="G10588" s="1" t="str">
        <f>"9729P921"</f>
        <v>9729P921</v>
      </c>
      <c r="H10588" s="1" t="str">
        <f>"진성간 21A1"</f>
        <v>진성간 21A1</v>
      </c>
      <c r="I10588" s="1" t="s">
        <v>15</v>
      </c>
      <c r="J10588" s="1" t="str">
        <f>"87/87"</f>
        <v>87/87</v>
      </c>
      <c r="K10588" s="1" t="str">
        <f>"2026-07-29 14:21:48"</f>
        <v>2026-07-29 14:21:48</v>
      </c>
      <c r="L10588" s="1" t="str">
        <f>"2023-11-17 14:15:42"</f>
        <v>2023-11-17 14:15:42</v>
      </c>
      <c r="M10588" s="1" t="s">
        <v>4</v>
      </c>
      <c r="N10588" s="1" t="s">
        <v>38</v>
      </c>
      <c r="O10588" s="1" t="s">
        <v>46</v>
      </c>
    </row>
    <row r="10589" spans="2:15" x14ac:dyDescent="0.3">
      <c r="B10589" s="1" t="s">
        <v>21</v>
      </c>
      <c r="C10589" s="1" t="str">
        <f>"5-2차"</f>
        <v>5-2차</v>
      </c>
      <c r="D10589" s="1" t="str">
        <f>"9729P9225S"</f>
        <v>9729P9225S</v>
      </c>
      <c r="E10589" s="1" t="s">
        <v>10</v>
      </c>
      <c r="F10589" s="1" t="str">
        <f>"fde1:103:4:6e2c:0:0:0:2"</f>
        <v>fde1:103:4:6e2c:0:0:0:2</v>
      </c>
      <c r="G10589" s="1" t="str">
        <f>"9729P922"</f>
        <v>9729P922</v>
      </c>
      <c r="H10589" s="1" t="str">
        <f>"진성간 21R1R1"</f>
        <v>진성간 21R1R1</v>
      </c>
      <c r="I10589" s="1" t="s">
        <v>15</v>
      </c>
      <c r="J10589" s="1" t="str">
        <f>"75/75"</f>
        <v>75/75</v>
      </c>
      <c r="K10589" s="1" t="str">
        <f>"2026-07-29 14:21:10"</f>
        <v>2026-07-29 14:21:10</v>
      </c>
      <c r="L10589" s="1" t="str">
        <f>"2023-11-15 08:17:42"</f>
        <v>2023-11-15 08:17:42</v>
      </c>
      <c r="M10589" s="1" t="s">
        <v>4</v>
      </c>
      <c r="N10589" s="1" t="s">
        <v>38</v>
      </c>
      <c r="O10589" s="1" t="s">
        <v>46</v>
      </c>
    </row>
    <row r="10590" spans="2:15" x14ac:dyDescent="0.3">
      <c r="B10590" s="1" t="s">
        <v>21</v>
      </c>
      <c r="C10590" s="1" t="str">
        <f>"5-2차"</f>
        <v>5-2차</v>
      </c>
      <c r="D10590" s="1" t="str">
        <f>"9729P9355M"</f>
        <v>9729P9355M</v>
      </c>
      <c r="E10590" s="1" t="s">
        <v>10</v>
      </c>
      <c r="F10590" s="1" t="str">
        <f>"fde1:103:4:6e2a:0:0:0:2"</f>
        <v>fde1:103:4:6e2a:0:0:0:2</v>
      </c>
      <c r="G10590" s="1" t="str">
        <f>"9729P935"</f>
        <v>9729P935</v>
      </c>
      <c r="H10590" s="1" t="str">
        <f>"진성간 21R2"</f>
        <v>진성간 21R2</v>
      </c>
      <c r="I10590" s="1" t="s">
        <v>15</v>
      </c>
      <c r="J10590" s="1" t="str">
        <f>"53/53"</f>
        <v>53/53</v>
      </c>
      <c r="K10590" s="1" t="str">
        <f>"2026-07-29 14:21:49"</f>
        <v>2026-07-29 14:21:49</v>
      </c>
      <c r="L10590" s="1" t="str">
        <f>"2023-11-15 08:23:40"</f>
        <v>2023-11-15 08:23:40</v>
      </c>
      <c r="M10590" s="1" t="s">
        <v>4</v>
      </c>
      <c r="N10590" s="1" t="s">
        <v>38</v>
      </c>
      <c r="O10590" s="1" t="s">
        <v>46</v>
      </c>
    </row>
    <row r="10591" spans="2:15" x14ac:dyDescent="0.3">
      <c r="B10591" s="1" t="s">
        <v>21</v>
      </c>
      <c r="C10591" s="1" t="s">
        <v>16</v>
      </c>
      <c r="D10591" s="1" t="str">
        <f>"9729P95241"</f>
        <v>9729P95241</v>
      </c>
      <c r="E10591" s="1" t="s">
        <v>10</v>
      </c>
      <c r="F10591" s="1" t="str">
        <f>"10.14.3.202"</f>
        <v>10.14.3.202</v>
      </c>
      <c r="G10591" s="1" t="str">
        <f>"9729P952"</f>
        <v>9729P952</v>
      </c>
      <c r="H10591" s="1" t="str">
        <f>"독박간 60L9"</f>
        <v>독박간 60L9</v>
      </c>
      <c r="I10591" s="1" t="s">
        <v>17</v>
      </c>
      <c r="J10591" s="1" t="str">
        <f>"23/23"</f>
        <v>23/23</v>
      </c>
      <c r="K10591" s="1" t="str">
        <f>"2026-07-29 13:18:12"</f>
        <v>2026-07-29 13:18:12</v>
      </c>
      <c r="L10591" s="1" t="str">
        <f>"2022-11-15 15:43:27"</f>
        <v>2022-11-15 15:43:27</v>
      </c>
      <c r="M10591" s="1" t="s">
        <v>3</v>
      </c>
      <c r="N10591" s="1" t="s">
        <v>38</v>
      </c>
      <c r="O10591" s="1" t="s">
        <v>46</v>
      </c>
    </row>
    <row r="10592" spans="2:15" x14ac:dyDescent="0.3">
      <c r="B10592" s="1" t="s">
        <v>21</v>
      </c>
      <c r="C10592" s="1" t="str">
        <f>"1차"</f>
        <v>1차</v>
      </c>
      <c r="D10592" s="1" t="str">
        <f>"9729P96100"</f>
        <v>9729P96100</v>
      </c>
      <c r="E10592" s="1" t="s">
        <v>10</v>
      </c>
      <c r="F10592" s="1" t="str">
        <f>"10.128.70.26"</f>
        <v>10.128.70.26</v>
      </c>
      <c r="G10592" s="1" t="str">
        <f>"9729P961"</f>
        <v>9729P961</v>
      </c>
      <c r="H10592" s="1" t="str">
        <f>"진성간 28"</f>
        <v>진성간 28</v>
      </c>
      <c r="I10592" s="1" t="s">
        <v>8</v>
      </c>
      <c r="J10592" s="1" t="str">
        <f>"6/6"</f>
        <v>6/6</v>
      </c>
      <c r="K10592" s="1" t="str">
        <f>"2026-07-29 13:18:12"</f>
        <v>2026-07-29 13:18:12</v>
      </c>
      <c r="L10592" s="1" t="str">
        <f>"2014-12-23 00:14:37"</f>
        <v>2014-12-23 00:14:37</v>
      </c>
      <c r="M10592" s="1" t="s">
        <v>45</v>
      </c>
      <c r="N10592" s="1" t="s">
        <v>38</v>
      </c>
      <c r="O10592" s="1" t="s">
        <v>46</v>
      </c>
    </row>
    <row r="10593" spans="2:15" x14ac:dyDescent="0.3">
      <c r="B10593" s="1" t="s">
        <v>21</v>
      </c>
      <c r="C10593" s="1" t="str">
        <f>"1차"</f>
        <v>1차</v>
      </c>
      <c r="D10593" s="1" t="str">
        <f>"9729P97100"</f>
        <v>9729P97100</v>
      </c>
      <c r="E10593" s="1" t="s">
        <v>10</v>
      </c>
      <c r="F10593" s="1" t="str">
        <f>"10.128.72.234"</f>
        <v>10.128.72.234</v>
      </c>
      <c r="G10593" s="1" t="str">
        <f>"9729P971"</f>
        <v>9729P971</v>
      </c>
      <c r="H10593" s="1" t="str">
        <f>"진성간 31L4L3L3"</f>
        <v>진성간 31L4L3L3</v>
      </c>
      <c r="I10593" s="1" t="s">
        <v>8</v>
      </c>
      <c r="J10593" s="1" t="str">
        <f>"67/73"</f>
        <v>67/73</v>
      </c>
      <c r="K10593" s="1" t="str">
        <f>"2026-07-29 13:18:12"</f>
        <v>2026-07-29 13:18:12</v>
      </c>
      <c r="L10593" s="1" t="str">
        <f>"2014-12-22 13:57:56"</f>
        <v>2014-12-22 13:57:56</v>
      </c>
      <c r="M10593" s="1" t="s">
        <v>45</v>
      </c>
      <c r="N10593" s="1" t="s">
        <v>38</v>
      </c>
      <c r="O10593" s="1" t="s">
        <v>46</v>
      </c>
    </row>
    <row r="10594" spans="2:15" x14ac:dyDescent="0.3">
      <c r="B10594" s="1" t="s">
        <v>21</v>
      </c>
      <c r="C10594" s="1" t="str">
        <f>"4차"</f>
        <v>4차</v>
      </c>
      <c r="D10594" s="1" t="str">
        <f>"9729P97244"</f>
        <v>9729P97244</v>
      </c>
      <c r="E10594" s="1" t="s">
        <v>10</v>
      </c>
      <c r="F10594" s="1" t="str">
        <f>"10.128.78.18"</f>
        <v>10.128.78.18</v>
      </c>
      <c r="G10594" s="1" t="str">
        <f>"9729P972"</f>
        <v>9729P972</v>
      </c>
      <c r="H10594" s="1" t="str">
        <f>"진성간 31L4L3L2"</f>
        <v>진성간 31L4L3L2</v>
      </c>
      <c r="I10594" s="1" t="s">
        <v>8</v>
      </c>
      <c r="J10594" s="1" t="str">
        <f>"46/46"</f>
        <v>46/46</v>
      </c>
      <c r="K10594" s="1" t="str">
        <f>"2026-07-29 13:18:12"</f>
        <v>2026-07-29 13:18:12</v>
      </c>
      <c r="L10594" s="1" t="str">
        <f>"2023-10-23 17:43:57"</f>
        <v>2023-10-23 17:43:57</v>
      </c>
      <c r="M10594" s="1" t="s">
        <v>45</v>
      </c>
      <c r="N10594" s="1" t="s">
        <v>38</v>
      </c>
      <c r="O10594" s="1" t="s">
        <v>46</v>
      </c>
    </row>
    <row r="10595" spans="2:15" x14ac:dyDescent="0.3">
      <c r="B10595" s="1" t="s">
        <v>21</v>
      </c>
      <c r="C10595" s="1" t="str">
        <f>"4차"</f>
        <v>4차</v>
      </c>
      <c r="D10595" s="1" t="str">
        <f>"9729P98342"</f>
        <v>9729P98342</v>
      </c>
      <c r="E10595" s="1" t="s">
        <v>10</v>
      </c>
      <c r="F10595" s="1" t="str">
        <f>"10.128.72.229"</f>
        <v>10.128.72.229</v>
      </c>
      <c r="G10595" s="1" t="str">
        <f>"9729P983"</f>
        <v>9729P983</v>
      </c>
      <c r="H10595" s="1" t="str">
        <f>"진성간 31L2"</f>
        <v>진성간 31L2</v>
      </c>
      <c r="I10595" s="1" t="s">
        <v>8</v>
      </c>
      <c r="J10595" s="1" t="str">
        <f>"77/77"</f>
        <v>77/77</v>
      </c>
      <c r="K10595" s="1" t="str">
        <f>"2026-07-29 13:18:12"</f>
        <v>2026-07-29 13:18:12</v>
      </c>
      <c r="L10595" s="1" t="str">
        <f>"2025-07-29 15:24:08"</f>
        <v>2025-07-29 15:24:08</v>
      </c>
      <c r="M10595" s="1" t="s">
        <v>45</v>
      </c>
      <c r="N10595" s="1" t="s">
        <v>38</v>
      </c>
      <c r="O10595" s="1" t="s">
        <v>46</v>
      </c>
    </row>
    <row r="10596" spans="2:15" x14ac:dyDescent="0.3">
      <c r="B10596" s="1" t="s">
        <v>21</v>
      </c>
      <c r="C10596" s="1" t="str">
        <f>"5-2차"</f>
        <v>5-2차</v>
      </c>
      <c r="D10596" s="1" t="str">
        <f>"9729P9925S"</f>
        <v>9729P9925S</v>
      </c>
      <c r="E10596" s="1" t="s">
        <v>10</v>
      </c>
      <c r="F10596" s="1" t="str">
        <f>"fde1:103:4:6e28:0:0:0:2"</f>
        <v>fde1:103:4:6e28:0:0:0:2</v>
      </c>
      <c r="G10596" s="1" t="str">
        <f>"9729P992"</f>
        <v>9729P992</v>
      </c>
      <c r="H10596" s="1" t="str">
        <f>"진성간 31L3R1"</f>
        <v>진성간 31L3R1</v>
      </c>
      <c r="I10596" s="1" t="s">
        <v>15</v>
      </c>
      <c r="J10596" s="1" t="str">
        <f>"56/56"</f>
        <v>56/56</v>
      </c>
      <c r="K10596" s="1" t="str">
        <f>"2026-07-29 14:21:49"</f>
        <v>2026-07-29 14:21:49</v>
      </c>
      <c r="L10596" s="1" t="str">
        <f>"2023-11-15 07:23:35"</f>
        <v>2023-11-15 07:23:35</v>
      </c>
      <c r="M10596" s="1" t="s">
        <v>4</v>
      </c>
      <c r="N10596" s="1" t="s">
        <v>38</v>
      </c>
      <c r="O10596" s="1" t="s">
        <v>46</v>
      </c>
    </row>
    <row r="10597" spans="2:15" x14ac:dyDescent="0.3">
      <c r="B10597" s="1" t="s">
        <v>21</v>
      </c>
      <c r="C10597" s="1" t="str">
        <f>"5-2차"</f>
        <v>5-2차</v>
      </c>
      <c r="D10597" s="1" t="str">
        <f>"9729Q0215S"</f>
        <v>9729Q0215S</v>
      </c>
      <c r="E10597" s="1" t="s">
        <v>10</v>
      </c>
      <c r="F10597" s="1" t="str">
        <f>"fde3:102:1303:120a:0:0:0:3"</f>
        <v>fde3:102:1303:120a:0:0:0:3</v>
      </c>
      <c r="G10597" s="1" t="str">
        <f>"9729Q021"</f>
        <v>9729Q021</v>
      </c>
      <c r="H10597" s="1" t="str">
        <f>"진성간 21R2R1"</f>
        <v>진성간 21R2R1</v>
      </c>
      <c r="I10597" s="1" t="s">
        <v>15</v>
      </c>
      <c r="J10597" s="1" t="str">
        <f>"52/52"</f>
        <v>52/52</v>
      </c>
      <c r="K10597" s="1" t="str">
        <f>"2026-07-29 14:21:48"</f>
        <v>2026-07-29 14:21:48</v>
      </c>
      <c r="L10597" s="1" t="str">
        <f>"2023-07-03 12:36:42"</f>
        <v>2023-07-03 12:36:42</v>
      </c>
      <c r="M10597" s="1" t="s">
        <v>45</v>
      </c>
      <c r="N10597" s="1" t="s">
        <v>38</v>
      </c>
      <c r="O10597" s="1" t="s">
        <v>46</v>
      </c>
    </row>
    <row r="10598" spans="2:15" x14ac:dyDescent="0.3">
      <c r="B10598" s="1" t="s">
        <v>21</v>
      </c>
      <c r="C10598" s="1" t="str">
        <f>"5-2차"</f>
        <v>5-2차</v>
      </c>
      <c r="D10598" s="1" t="str">
        <f>"9729Q0445M"</f>
        <v>9729Q0445M</v>
      </c>
      <c r="E10598" s="1" t="s">
        <v>10</v>
      </c>
      <c r="F10598" s="1" t="str">
        <f>"fde1:103:4:6e2e:0:0:0:2"</f>
        <v>fde1:103:4:6e2e:0:0:0:2</v>
      </c>
      <c r="G10598" s="1" t="str">
        <f>"9729Q044"</f>
        <v>9729Q044</v>
      </c>
      <c r="H10598" s="1" t="str">
        <f>"독박간 60L9L1"</f>
        <v>독박간 60L9L1</v>
      </c>
      <c r="I10598" s="1" t="s">
        <v>15</v>
      </c>
      <c r="J10598" s="1" t="str">
        <f>"55/55"</f>
        <v>55/55</v>
      </c>
      <c r="K10598" s="1" t="str">
        <f>"2026-07-29 14:21:50"</f>
        <v>2026-07-29 14:21:50</v>
      </c>
      <c r="L10598" s="1" t="str">
        <f>"2023-11-15 08:46:52"</f>
        <v>2023-11-15 08:46:52</v>
      </c>
      <c r="M10598" s="1" t="s">
        <v>4</v>
      </c>
      <c r="N10598" s="1" t="s">
        <v>38</v>
      </c>
      <c r="O10598" s="1" t="s">
        <v>46</v>
      </c>
    </row>
    <row r="10599" spans="2:15" x14ac:dyDescent="0.3">
      <c r="B10599" s="1" t="s">
        <v>21</v>
      </c>
      <c r="C10599" s="1" t="str">
        <f>"1차"</f>
        <v>1차</v>
      </c>
      <c r="D10599" s="1" t="str">
        <f>"9729Q08101"</f>
        <v>9729Q08101</v>
      </c>
      <c r="E10599" s="1" t="s">
        <v>10</v>
      </c>
      <c r="F10599" s="1" t="str">
        <f>"10.12.133.95"</f>
        <v>10.12.133.95</v>
      </c>
      <c r="G10599" s="1" t="str">
        <f>"9729Q081"</f>
        <v>9729Q081</v>
      </c>
      <c r="H10599" s="1" t="str">
        <f>"진성간 31L1"</f>
        <v>진성간 31L1</v>
      </c>
      <c r="I10599" s="1" t="s">
        <v>8</v>
      </c>
      <c r="J10599" s="1" t="str">
        <f>"33/33"</f>
        <v>33/33</v>
      </c>
      <c r="K10599" s="1" t="str">
        <f>"2026-07-29 13:18:13"</f>
        <v>2026-07-29 13:18:13</v>
      </c>
      <c r="L10599" s="1" t="str">
        <f>"2014-12-23 14:28:01"</f>
        <v>2014-12-23 14:28:01</v>
      </c>
      <c r="M10599" s="1" t="s">
        <v>0</v>
      </c>
      <c r="N10599" s="1" t="s">
        <v>38</v>
      </c>
      <c r="O10599" s="1" t="s">
        <v>46</v>
      </c>
    </row>
    <row r="10600" spans="2:15" x14ac:dyDescent="0.3">
      <c r="B10600" s="1" t="s">
        <v>21</v>
      </c>
      <c r="C10600" s="1" t="str">
        <f t="shared" ref="C10600:C10611" si="532">"5-2차"</f>
        <v>5-2차</v>
      </c>
      <c r="D10600" s="1" t="str">
        <f>"9729Q1025M"</f>
        <v>9729Q1025M</v>
      </c>
      <c r="E10600" s="1" t="s">
        <v>10</v>
      </c>
      <c r="F10600" s="1" t="str">
        <f>"fde1:103:4:6e39:0:0:0:2"</f>
        <v>fde1:103:4:6e39:0:0:0:2</v>
      </c>
      <c r="G10600" s="1" t="str">
        <f>"9729Q102"</f>
        <v>9729Q102</v>
      </c>
      <c r="H10600" s="1" t="str">
        <f>"진성간 21R6R4R1"</f>
        <v>진성간 21R6R4R1</v>
      </c>
      <c r="I10600" s="1" t="s">
        <v>15</v>
      </c>
      <c r="J10600" s="1" t="str">
        <f>"93/93"</f>
        <v>93/93</v>
      </c>
      <c r="K10600" s="1" t="str">
        <f>"2026-07-29 08:20:37"</f>
        <v>2026-07-29 08:20:37</v>
      </c>
      <c r="L10600" s="1" t="str">
        <f>"2023-11-15 09:42:50"</f>
        <v>2023-11-15 09:42:50</v>
      </c>
      <c r="M10600" s="1" t="s">
        <v>4</v>
      </c>
      <c r="N10600" s="1" t="s">
        <v>38</v>
      </c>
      <c r="O10600" s="1" t="s">
        <v>46</v>
      </c>
    </row>
    <row r="10601" spans="2:15" x14ac:dyDescent="0.3">
      <c r="B10601" s="1" t="s">
        <v>21</v>
      </c>
      <c r="C10601" s="1" t="str">
        <f t="shared" si="532"/>
        <v>5-2차</v>
      </c>
      <c r="D10601" s="1" t="str">
        <f>"9729Q1315M"</f>
        <v>9729Q1315M</v>
      </c>
      <c r="E10601" s="1" t="s">
        <v>10</v>
      </c>
      <c r="F10601" s="1" t="str">
        <f>"fde3:102:1303:1400:0:0:0:13"</f>
        <v>fde3:102:1303:1400:0:0:0:13</v>
      </c>
      <c r="G10601" s="1" t="str">
        <f>"9729Q131"</f>
        <v>9729Q131</v>
      </c>
      <c r="H10601" s="1" t="str">
        <f>"진성간 21R6"</f>
        <v>진성간 21R6</v>
      </c>
      <c r="I10601" s="1" t="s">
        <v>15</v>
      </c>
      <c r="J10601" s="1" t="str">
        <f>"60/60"</f>
        <v>60/60</v>
      </c>
      <c r="K10601" s="1" t="str">
        <f>"2026-07-29 14:21:49"</f>
        <v>2026-07-29 14:21:49</v>
      </c>
      <c r="L10601" s="1" t="str">
        <f>"2023-07-24 18:20:57"</f>
        <v>2023-07-24 18:20:57</v>
      </c>
      <c r="M10601" s="1" t="s">
        <v>45</v>
      </c>
      <c r="N10601" s="1" t="s">
        <v>38</v>
      </c>
      <c r="O10601" s="1" t="s">
        <v>46</v>
      </c>
    </row>
    <row r="10602" spans="2:15" x14ac:dyDescent="0.3">
      <c r="B10602" s="1" t="s">
        <v>21</v>
      </c>
      <c r="C10602" s="1" t="str">
        <f t="shared" si="532"/>
        <v>5-2차</v>
      </c>
      <c r="D10602" s="1" t="str">
        <f>"9729Q1415M"</f>
        <v>9729Q1415M</v>
      </c>
      <c r="E10602" s="1" t="s">
        <v>10</v>
      </c>
      <c r="F10602" s="1" t="str">
        <f>"fde1:103:4:6e30:0:0:0:2"</f>
        <v>fde1:103:4:6e30:0:0:0:2</v>
      </c>
      <c r="G10602" s="1" t="str">
        <f>"9729Q141"</f>
        <v>9729Q141</v>
      </c>
      <c r="H10602" s="1" t="str">
        <f>"독박간 60L9L5"</f>
        <v>독박간 60L9L5</v>
      </c>
      <c r="I10602" s="1" t="s">
        <v>15</v>
      </c>
      <c r="J10602" s="1" t="str">
        <f>"66/66"</f>
        <v>66/66</v>
      </c>
      <c r="K10602" s="1" t="str">
        <f>"2026-07-29 14:21:04"</f>
        <v>2026-07-29 14:21:04</v>
      </c>
      <c r="L10602" s="1" t="str">
        <f>"2023-11-15 08:35:06"</f>
        <v>2023-11-15 08:35:06</v>
      </c>
      <c r="M10602" s="1" t="s">
        <v>4</v>
      </c>
      <c r="N10602" s="1" t="s">
        <v>38</v>
      </c>
      <c r="O10602" s="1" t="s">
        <v>46</v>
      </c>
    </row>
    <row r="10603" spans="2:15" x14ac:dyDescent="0.3">
      <c r="B10603" s="1" t="s">
        <v>21</v>
      </c>
      <c r="C10603" s="1" t="str">
        <f t="shared" si="532"/>
        <v>5-2차</v>
      </c>
      <c r="D10603" s="1" t="str">
        <f>"9729Q1455M"</f>
        <v>9729Q1455M</v>
      </c>
      <c r="E10603" s="1" t="s">
        <v>10</v>
      </c>
      <c r="F10603" s="1" t="str">
        <f>"fde1:103:4:6e36:0:0:0:2"</f>
        <v>fde1:103:4:6e36:0:0:0:2</v>
      </c>
      <c r="G10603" s="1" t="str">
        <f>"9729Q145"</f>
        <v>9729Q145</v>
      </c>
      <c r="H10603" s="1" t="str">
        <f>"독박간 60L9L6"</f>
        <v>독박간 60L9L6</v>
      </c>
      <c r="I10603" s="1" t="s">
        <v>15</v>
      </c>
      <c r="J10603" s="1" t="str">
        <f>"65/66"</f>
        <v>65/66</v>
      </c>
      <c r="K10603" s="1" t="str">
        <f>"2026-07-29 14:21:05"</f>
        <v>2026-07-29 14:21:05</v>
      </c>
      <c r="L10603" s="1" t="str">
        <f>"2023-11-15 08:39:10"</f>
        <v>2023-11-15 08:39:10</v>
      </c>
      <c r="M10603" s="1" t="s">
        <v>4</v>
      </c>
      <c r="N10603" s="1" t="s">
        <v>38</v>
      </c>
      <c r="O10603" s="1" t="s">
        <v>46</v>
      </c>
    </row>
    <row r="10604" spans="2:15" x14ac:dyDescent="0.3">
      <c r="B10604" s="1" t="s">
        <v>21</v>
      </c>
      <c r="C10604" s="1" t="str">
        <f t="shared" si="532"/>
        <v>5-2차</v>
      </c>
      <c r="D10604" s="1" t="str">
        <f>"9729Q1835M"</f>
        <v>9729Q1835M</v>
      </c>
      <c r="E10604" s="1" t="s">
        <v>10</v>
      </c>
      <c r="F10604" s="1" t="str">
        <f>"fde3:102:1303:1000:0:0:0:5"</f>
        <v>fde3:102:1303:1000:0:0:0:5</v>
      </c>
      <c r="G10604" s="1" t="str">
        <f>"9729Q183"</f>
        <v>9729Q183</v>
      </c>
      <c r="H10604" s="1" t="str">
        <f>"독박간 60L4"</f>
        <v>독박간 60L4</v>
      </c>
      <c r="I10604" s="1" t="s">
        <v>15</v>
      </c>
      <c r="J10604" s="1" t="str">
        <f>"27/27"</f>
        <v>27/27</v>
      </c>
      <c r="K10604" s="1" t="str">
        <f>"2026-07-29 14:21:04"</f>
        <v>2026-07-29 14:21:04</v>
      </c>
      <c r="L10604" s="1" t="str">
        <f>"2023-07-24 18:29:50"</f>
        <v>2023-07-24 18:29:50</v>
      </c>
      <c r="M10604" s="1" t="s">
        <v>45</v>
      </c>
      <c r="N10604" s="1" t="s">
        <v>38</v>
      </c>
      <c r="O10604" s="1" t="s">
        <v>46</v>
      </c>
    </row>
    <row r="10605" spans="2:15" x14ac:dyDescent="0.3">
      <c r="B10605" s="1" t="s">
        <v>21</v>
      </c>
      <c r="C10605" s="1" t="str">
        <f t="shared" si="532"/>
        <v>5-2차</v>
      </c>
      <c r="D10605" s="1" t="str">
        <f>"9729Q2525M"</f>
        <v>9729Q2525M</v>
      </c>
      <c r="E10605" s="1" t="s">
        <v>10</v>
      </c>
      <c r="F10605" s="1" t="str">
        <f>"fde1:103:4:6e38:0:0:0:2"</f>
        <v>fde1:103:4:6e38:0:0:0:2</v>
      </c>
      <c r="G10605" s="1" t="str">
        <f>"9729Q252"</f>
        <v>9729Q252</v>
      </c>
      <c r="H10605" s="1" t="str">
        <f>"독박간 58L5L7"</f>
        <v>독박간 58L5L7</v>
      </c>
      <c r="I10605" s="1" t="s">
        <v>15</v>
      </c>
      <c r="J10605" s="1" t="str">
        <f>"43/44"</f>
        <v>43/44</v>
      </c>
      <c r="K10605" s="1" t="str">
        <f>"2026-07-29 14:21:05"</f>
        <v>2026-07-29 14:21:05</v>
      </c>
      <c r="L10605" s="1" t="str">
        <f>"2023-11-15 08:42:17"</f>
        <v>2023-11-15 08:42:17</v>
      </c>
      <c r="M10605" s="1" t="s">
        <v>4</v>
      </c>
      <c r="N10605" s="1" t="s">
        <v>38</v>
      </c>
      <c r="O10605" s="1" t="s">
        <v>46</v>
      </c>
    </row>
    <row r="10606" spans="2:15" x14ac:dyDescent="0.3">
      <c r="B10606" s="1" t="s">
        <v>21</v>
      </c>
      <c r="C10606" s="1" t="str">
        <f t="shared" si="532"/>
        <v>5-2차</v>
      </c>
      <c r="D10606" s="1" t="str">
        <f>"9729Q2715M"</f>
        <v>9729Q2715M</v>
      </c>
      <c r="E10606" s="1" t="s">
        <v>10</v>
      </c>
      <c r="F10606" s="1" t="str">
        <f>"fde3:102:1303:1005:0:0:0:6"</f>
        <v>fde3:102:1303:1005:0:0:0:6</v>
      </c>
      <c r="G10606" s="1" t="str">
        <f>"9729Q271"</f>
        <v>9729Q271</v>
      </c>
      <c r="H10606" s="1" t="str">
        <f>"독박간 58L7"</f>
        <v>독박간 58L7</v>
      </c>
      <c r="I10606" s="1" t="s">
        <v>15</v>
      </c>
      <c r="J10606" s="1" t="str">
        <f>"83/85"</f>
        <v>83/85</v>
      </c>
      <c r="K10606" s="1" t="str">
        <f>"2026-07-29 14:21:05"</f>
        <v>2026-07-29 14:21:05</v>
      </c>
      <c r="L10606" s="1" t="str">
        <f>"2023-07-24 18:08:25"</f>
        <v>2023-07-24 18:08:25</v>
      </c>
      <c r="M10606" s="1" t="s">
        <v>45</v>
      </c>
      <c r="N10606" s="1" t="s">
        <v>38</v>
      </c>
      <c r="O10606" s="1" t="s">
        <v>46</v>
      </c>
    </row>
    <row r="10607" spans="2:15" x14ac:dyDescent="0.3">
      <c r="B10607" s="1" t="s">
        <v>21</v>
      </c>
      <c r="C10607" s="1" t="str">
        <f t="shared" si="532"/>
        <v>5-2차</v>
      </c>
      <c r="D10607" s="1" t="str">
        <f>"9729Q2725S"</f>
        <v>9729Q2725S</v>
      </c>
      <c r="E10607" s="1" t="s">
        <v>10</v>
      </c>
      <c r="F10607" s="1" t="str">
        <f>"fde3:102:1303:1005:0:0:0:5"</f>
        <v>fde3:102:1303:1005:0:0:0:5</v>
      </c>
      <c r="G10607" s="1" t="str">
        <f>"9729Q272"</f>
        <v>9729Q272</v>
      </c>
      <c r="H10607" s="1" t="str">
        <f>"독박간 58L6"</f>
        <v>독박간 58L6</v>
      </c>
      <c r="I10607" s="1" t="s">
        <v>15</v>
      </c>
      <c r="J10607" s="1" t="str">
        <f>"86/86"</f>
        <v>86/86</v>
      </c>
      <c r="K10607" s="1" t="str">
        <f>"2026-07-29 14:21:13"</f>
        <v>2026-07-29 14:21:13</v>
      </c>
      <c r="L10607" s="1" t="str">
        <f>"2023-07-06 12:33:15"</f>
        <v>2023-07-06 12:33:15</v>
      </c>
      <c r="M10607" s="1" t="s">
        <v>45</v>
      </c>
      <c r="N10607" s="1" t="s">
        <v>38</v>
      </c>
      <c r="O10607" s="1" t="s">
        <v>46</v>
      </c>
    </row>
    <row r="10608" spans="2:15" x14ac:dyDescent="0.3">
      <c r="B10608" s="1" t="s">
        <v>21</v>
      </c>
      <c r="C10608" s="1" t="str">
        <f t="shared" si="532"/>
        <v>5-2차</v>
      </c>
      <c r="D10608" s="1" t="str">
        <f>"9729Q3315M"</f>
        <v>9729Q3315M</v>
      </c>
      <c r="E10608" s="1" t="s">
        <v>10</v>
      </c>
      <c r="F10608" s="1" t="str">
        <f>"fde3:102:1303:1400:0:0:0:14"</f>
        <v>fde3:102:1303:1400:0:0:0:14</v>
      </c>
      <c r="G10608" s="1" t="str">
        <f>"9729Q331"</f>
        <v>9729Q331</v>
      </c>
      <c r="H10608" s="1" t="str">
        <f>"진성간 21R8L1"</f>
        <v>진성간 21R8L1</v>
      </c>
      <c r="I10608" s="1" t="s">
        <v>15</v>
      </c>
      <c r="J10608" s="1" t="str">
        <f>"39/39"</f>
        <v>39/39</v>
      </c>
      <c r="K10608" s="1" t="str">
        <f>"2026-07-29 14:21:05"</f>
        <v>2026-07-29 14:21:05</v>
      </c>
      <c r="L10608" s="1" t="str">
        <f>"2023-07-24 20:03:07"</f>
        <v>2023-07-24 20:03:07</v>
      </c>
      <c r="M10608" s="1" t="s">
        <v>45</v>
      </c>
      <c r="N10608" s="1" t="s">
        <v>38</v>
      </c>
      <c r="O10608" s="1" t="s">
        <v>46</v>
      </c>
    </row>
    <row r="10609" spans="2:15" x14ac:dyDescent="0.3">
      <c r="B10609" s="1" t="s">
        <v>21</v>
      </c>
      <c r="C10609" s="1" t="str">
        <f t="shared" si="532"/>
        <v>5-2차</v>
      </c>
      <c r="D10609" s="1" t="str">
        <f>"9729Q3625M"</f>
        <v>9729Q3625M</v>
      </c>
      <c r="E10609" s="1" t="s">
        <v>10</v>
      </c>
      <c r="F10609" s="1" t="str">
        <f>"fde1:103:4:6e32:0:0:0:2"</f>
        <v>fde1:103:4:6e32:0:0:0:2</v>
      </c>
      <c r="G10609" s="1" t="str">
        <f>"9729Q362"</f>
        <v>9729Q362</v>
      </c>
      <c r="H10609" s="1" t="str">
        <f>"독박간 58L5L2R1"</f>
        <v>독박간 58L5L2R1</v>
      </c>
      <c r="I10609" s="1" t="s">
        <v>15</v>
      </c>
      <c r="J10609" s="1" t="str">
        <f>"73/76"</f>
        <v>73/76</v>
      </c>
      <c r="K10609" s="1" t="str">
        <f>"2026-07-29 14:21:18"</f>
        <v>2026-07-29 14:21:18</v>
      </c>
      <c r="L10609" s="1" t="str">
        <f>"2023-11-15 08:56:47"</f>
        <v>2023-11-15 08:56:47</v>
      </c>
      <c r="M10609" s="1" t="s">
        <v>4</v>
      </c>
      <c r="N10609" s="1" t="s">
        <v>38</v>
      </c>
      <c r="O10609" s="1" t="s">
        <v>46</v>
      </c>
    </row>
    <row r="10610" spans="2:15" x14ac:dyDescent="0.3">
      <c r="B10610" s="1" t="s">
        <v>21</v>
      </c>
      <c r="C10610" s="1" t="str">
        <f t="shared" si="532"/>
        <v>5-2차</v>
      </c>
      <c r="D10610" s="1" t="str">
        <f>"9729Q3715M"</f>
        <v>9729Q3715M</v>
      </c>
      <c r="E10610" s="1" t="s">
        <v>10</v>
      </c>
      <c r="F10610" s="1" t="str">
        <f>"fde3:102:1303:1005:0:0:0:4"</f>
        <v>fde3:102:1303:1005:0:0:0:4</v>
      </c>
      <c r="G10610" s="1" t="str">
        <f>"9729Q371"</f>
        <v>9729Q371</v>
      </c>
      <c r="H10610" s="1" t="str">
        <f>"독박간 58L5"</f>
        <v>독박간 58L5</v>
      </c>
      <c r="I10610" s="1" t="s">
        <v>15</v>
      </c>
      <c r="J10610" s="1" t="str">
        <f>"93/102"</f>
        <v>93/102</v>
      </c>
      <c r="K10610" s="1" t="str">
        <f>"2026-07-29 14:21:05"</f>
        <v>2026-07-29 14:21:05</v>
      </c>
      <c r="L10610" s="1" t="str">
        <f>"2023-07-24 18:13:08"</f>
        <v>2023-07-24 18:13:08</v>
      </c>
      <c r="M10610" s="1" t="s">
        <v>45</v>
      </c>
      <c r="N10610" s="1" t="s">
        <v>38</v>
      </c>
      <c r="O10610" s="1" t="s">
        <v>46</v>
      </c>
    </row>
    <row r="10611" spans="2:15" x14ac:dyDescent="0.3">
      <c r="B10611" s="1" t="s">
        <v>21</v>
      </c>
      <c r="C10611" s="1" t="str">
        <f t="shared" si="532"/>
        <v>5-2차</v>
      </c>
      <c r="D10611" s="1" t="str">
        <f>"9729Q3915S"</f>
        <v>9729Q3915S</v>
      </c>
      <c r="E10611" s="1" t="s">
        <v>10</v>
      </c>
      <c r="F10611" s="1" t="str">
        <f>"fde3:102:1303:1005:0:0:0:3"</f>
        <v>fde3:102:1303:1005:0:0:0:3</v>
      </c>
      <c r="G10611" s="1" t="str">
        <f>"9729Q391"</f>
        <v>9729Q391</v>
      </c>
      <c r="H10611" s="1" t="str">
        <f>"독박간 58L3"</f>
        <v>독박간 58L3</v>
      </c>
      <c r="I10611" s="1" t="s">
        <v>15</v>
      </c>
      <c r="J10611" s="1" t="str">
        <f>"77/77"</f>
        <v>77/77</v>
      </c>
      <c r="K10611" s="1" t="str">
        <f>"2026-07-29 14:21:05"</f>
        <v>2026-07-29 14:21:05</v>
      </c>
      <c r="L10611" s="1" t="str">
        <f>"2023-06-28 10:14:14"</f>
        <v>2023-06-28 10:14:14</v>
      </c>
      <c r="M10611" s="1" t="s">
        <v>45</v>
      </c>
      <c r="N10611" s="1" t="s">
        <v>38</v>
      </c>
      <c r="O10611" s="1" t="s">
        <v>46</v>
      </c>
    </row>
    <row r="10612" spans="2:15" x14ac:dyDescent="0.3">
      <c r="B10612" s="1" t="s">
        <v>21</v>
      </c>
      <c r="C10612" s="1" t="str">
        <f>"5-1차"</f>
        <v>5-1차</v>
      </c>
      <c r="D10612" s="1" t="str">
        <f>"9729Q3925M"</f>
        <v>9729Q3925M</v>
      </c>
      <c r="E10612" s="1" t="s">
        <v>10</v>
      </c>
      <c r="F10612" s="1" t="str">
        <f>"fde3:102:1303:1001:0:0:0:2"</f>
        <v>fde3:102:1303:1001:0:0:0:2</v>
      </c>
      <c r="G10612" s="1" t="str">
        <f>"9729Q392"</f>
        <v>9729Q392</v>
      </c>
      <c r="H10612" s="1" t="str">
        <f>"독박간 58L2"</f>
        <v>독박간 58L2</v>
      </c>
      <c r="I10612" s="1" t="s">
        <v>15</v>
      </c>
      <c r="J10612" s="1" t="str">
        <f>"50/50"</f>
        <v>50/50</v>
      </c>
      <c r="K10612" s="1" t="str">
        <f>"2026-07-29 14:21:18"</f>
        <v>2026-07-29 14:21:18</v>
      </c>
      <c r="L10612" s="1" t="str">
        <f>"2022-11-24 11:39:11"</f>
        <v>2022-11-24 11:39:11</v>
      </c>
      <c r="M10612" s="1" t="s">
        <v>45</v>
      </c>
      <c r="N10612" s="1" t="s">
        <v>38</v>
      </c>
      <c r="O10612" s="1" t="s">
        <v>46</v>
      </c>
    </row>
    <row r="10613" spans="2:15" x14ac:dyDescent="0.3">
      <c r="B10613" s="1" t="s">
        <v>21</v>
      </c>
      <c r="C10613" s="1" t="str">
        <f>"5-2차"</f>
        <v>5-2차</v>
      </c>
      <c r="D10613" s="1" t="str">
        <f>"9729Q4455M"</f>
        <v>9729Q4455M</v>
      </c>
      <c r="E10613" s="1" t="s">
        <v>10</v>
      </c>
      <c r="F10613" s="1" t="str">
        <f>"fde3:102:1303:120a:0:0:0:2"</f>
        <v>fde3:102:1303:120a:0:0:0:2</v>
      </c>
      <c r="G10613" s="1" t="str">
        <f>"9729Q445"</f>
        <v>9729Q445</v>
      </c>
      <c r="H10613" s="1" t="str">
        <f>"진성간 21R11"</f>
        <v>진성간 21R11</v>
      </c>
      <c r="I10613" s="1" t="s">
        <v>15</v>
      </c>
      <c r="J10613" s="1" t="str">
        <f>"29/29"</f>
        <v>29/29</v>
      </c>
      <c r="K10613" s="1" t="str">
        <f>"2026-07-29 14:21:05"</f>
        <v>2026-07-29 14:21:05</v>
      </c>
      <c r="L10613" s="1" t="str">
        <f>"2023-07-24 20:06:31"</f>
        <v>2023-07-24 20:06:31</v>
      </c>
      <c r="M10613" s="1" t="s">
        <v>45</v>
      </c>
      <c r="N10613" s="1" t="s">
        <v>38</v>
      </c>
      <c r="O10613" s="1" t="s">
        <v>46</v>
      </c>
    </row>
    <row r="10614" spans="2:15" x14ac:dyDescent="0.3">
      <c r="B10614" s="1" t="s">
        <v>21</v>
      </c>
      <c r="C10614" s="1" t="str">
        <f>"5-2차"</f>
        <v>5-2차</v>
      </c>
      <c r="D10614" s="1" t="str">
        <f>"9729Q4535M"</f>
        <v>9729Q4535M</v>
      </c>
      <c r="E10614" s="1" t="s">
        <v>10</v>
      </c>
      <c r="F10614" s="1" t="str">
        <f>"fde3:102:1303:1200:0:0:0:3"</f>
        <v>fde3:102:1303:1200:0:0:0:3</v>
      </c>
      <c r="G10614" s="1" t="str">
        <f>"9729Q453"</f>
        <v>9729Q453</v>
      </c>
      <c r="H10614" s="1" t="str">
        <f>"독박간 58L5L4L1"</f>
        <v>독박간 58L5L4L1</v>
      </c>
      <c r="I10614" s="1" t="s">
        <v>15</v>
      </c>
      <c r="J10614" s="1" t="str">
        <f>"75/80"</f>
        <v>75/80</v>
      </c>
      <c r="K10614" s="1" t="str">
        <f>"2026-07-29 14:21:05"</f>
        <v>2026-07-29 14:21:05</v>
      </c>
      <c r="L10614" s="1" t="str">
        <f>"2023-07-24 20:07:05"</f>
        <v>2023-07-24 20:07:05</v>
      </c>
      <c r="M10614" s="1" t="s">
        <v>45</v>
      </c>
      <c r="N10614" s="1" t="s">
        <v>38</v>
      </c>
      <c r="O10614" s="1" t="s">
        <v>46</v>
      </c>
    </row>
    <row r="10615" spans="2:15" x14ac:dyDescent="0.3">
      <c r="B10615" s="1" t="s">
        <v>21</v>
      </c>
      <c r="C10615" s="1" t="str">
        <f>"5-1차"</f>
        <v>5-1차</v>
      </c>
      <c r="D10615" s="1" t="str">
        <f>"9729Q4935M"</f>
        <v>9729Q4935M</v>
      </c>
      <c r="E10615" s="1" t="s">
        <v>10</v>
      </c>
      <c r="F10615" s="1" t="str">
        <f>"fde3:102:1303:1004:0:0:0:2"</f>
        <v>fde3:102:1303:1004:0:0:0:2</v>
      </c>
      <c r="G10615" s="1" t="str">
        <f>"9729Q493"</f>
        <v>9729Q493</v>
      </c>
      <c r="H10615" s="1" t="str">
        <f>"독박간 57R1"</f>
        <v>독박간 57R1</v>
      </c>
      <c r="I10615" s="1" t="s">
        <v>15</v>
      </c>
      <c r="J10615" s="1" t="str">
        <f>"27/28"</f>
        <v>27/28</v>
      </c>
      <c r="K10615" s="1" t="str">
        <f>"2026-07-29 14:21:07"</f>
        <v>2026-07-29 14:21:07</v>
      </c>
      <c r="L10615" s="1" t="str">
        <f>"2022-11-23 18:16:57"</f>
        <v>2022-11-23 18:16:57</v>
      </c>
      <c r="M10615" s="1" t="s">
        <v>45</v>
      </c>
      <c r="N10615" s="1" t="s">
        <v>38</v>
      </c>
      <c r="O10615" s="1" t="s">
        <v>46</v>
      </c>
    </row>
    <row r="10616" spans="2:15" x14ac:dyDescent="0.3">
      <c r="B10616" s="1" t="s">
        <v>21</v>
      </c>
      <c r="C10616" s="1" t="str">
        <f>"5-1차"</f>
        <v>5-1차</v>
      </c>
      <c r="D10616" s="1" t="str">
        <f>"9729Q5515M"</f>
        <v>9729Q5515M</v>
      </c>
      <c r="E10616" s="1" t="s">
        <v>10</v>
      </c>
      <c r="F10616" s="1" t="str">
        <f>"fde3:102:1303:1200:0:0:0:2"</f>
        <v>fde3:102:1303:1200:0:0:0:2</v>
      </c>
      <c r="G10616" s="1" t="str">
        <f>"9729Q551"</f>
        <v>9729Q551</v>
      </c>
      <c r="H10616" s="1" t="str">
        <f>"진성간 21R12"</f>
        <v>진성간 21R12</v>
      </c>
      <c r="I10616" s="1" t="s">
        <v>15</v>
      </c>
      <c r="J10616" s="1" t="str">
        <f>"33/33"</f>
        <v>33/33</v>
      </c>
      <c r="K10616" s="1" t="str">
        <f>"2026-07-29 14:21:18"</f>
        <v>2026-07-29 14:21:18</v>
      </c>
      <c r="L10616" s="1" t="str">
        <f>"2022-11-24 18:33:07"</f>
        <v>2022-11-24 18:33:07</v>
      </c>
      <c r="M10616" s="1" t="s">
        <v>45</v>
      </c>
      <c r="N10616" s="1" t="s">
        <v>38</v>
      </c>
      <c r="O10616" s="1" t="s">
        <v>46</v>
      </c>
    </row>
    <row r="10617" spans="2:15" x14ac:dyDescent="0.3">
      <c r="B10617" s="1" t="s">
        <v>21</v>
      </c>
      <c r="C10617" s="1" t="str">
        <f>"5-2차"</f>
        <v>5-2차</v>
      </c>
      <c r="D10617" s="1" t="str">
        <f>"9729Q5715M"</f>
        <v>9729Q5715M</v>
      </c>
      <c r="E10617" s="1" t="s">
        <v>10</v>
      </c>
      <c r="F10617" s="1" t="str">
        <f>"fde3:102:1303:1202:0:0:0:5"</f>
        <v>fde3:102:1303:1202:0:0:0:5</v>
      </c>
      <c r="G10617" s="1" t="str">
        <f>"9729Q571"</f>
        <v>9729Q571</v>
      </c>
      <c r="H10617" s="1" t="str">
        <f>"독박간 54"</f>
        <v>독박간 54</v>
      </c>
      <c r="I10617" s="1" t="s">
        <v>15</v>
      </c>
      <c r="J10617" s="1" t="str">
        <f>"70/70"</f>
        <v>70/70</v>
      </c>
      <c r="K10617" s="1" t="str">
        <f>"2026-07-29 14:21:17"</f>
        <v>2026-07-29 14:21:17</v>
      </c>
      <c r="L10617" s="1" t="str">
        <f>"2023-07-24 20:07:47"</f>
        <v>2023-07-24 20:07:47</v>
      </c>
      <c r="M10617" s="1" t="s">
        <v>45</v>
      </c>
      <c r="N10617" s="1" t="s">
        <v>38</v>
      </c>
      <c r="O10617" s="1" t="s">
        <v>46</v>
      </c>
    </row>
    <row r="10618" spans="2:15" x14ac:dyDescent="0.3">
      <c r="B10618" s="1" t="s">
        <v>21</v>
      </c>
      <c r="C10618" s="1" t="str">
        <f>"5-2차"</f>
        <v>5-2차</v>
      </c>
      <c r="D10618" s="1" t="str">
        <f>"9729Q5815M"</f>
        <v>9729Q5815M</v>
      </c>
      <c r="E10618" s="1" t="s">
        <v>10</v>
      </c>
      <c r="F10618" s="1" t="str">
        <f>"fde1:103:4:6e37:0:0:0:2"</f>
        <v>fde1:103:4:6e37:0:0:0:2</v>
      </c>
      <c r="G10618" s="1" t="str">
        <f>"9729Q581"</f>
        <v>9729Q581</v>
      </c>
      <c r="H10618" s="1" t="str">
        <f>"독박간 55"</f>
        <v>독박간 55</v>
      </c>
      <c r="I10618" s="1" t="s">
        <v>15</v>
      </c>
      <c r="J10618" s="1" t="str">
        <f>"75/75"</f>
        <v>75/75</v>
      </c>
      <c r="K10618" s="1" t="str">
        <f>"2026-07-29 14:21:07"</f>
        <v>2026-07-29 14:21:07</v>
      </c>
      <c r="L10618" s="1" t="str">
        <f>"2023-11-10 16:38:11"</f>
        <v>2023-11-10 16:38:11</v>
      </c>
      <c r="M10618" s="1" t="s">
        <v>4</v>
      </c>
      <c r="N10618" s="1" t="s">
        <v>38</v>
      </c>
      <c r="O10618" s="1" t="s">
        <v>46</v>
      </c>
    </row>
    <row r="10619" spans="2:15" x14ac:dyDescent="0.3">
      <c r="B10619" s="1" t="s">
        <v>21</v>
      </c>
      <c r="C10619" s="1" t="str">
        <f>"5-2차"</f>
        <v>5-2차</v>
      </c>
      <c r="D10619" s="1" t="str">
        <f>"9729Q6515S"</f>
        <v>9729Q6515S</v>
      </c>
      <c r="E10619" s="1" t="s">
        <v>10</v>
      </c>
      <c r="F10619" s="1" t="str">
        <f>"fde1:103:4:6e33:0:0:0:2"</f>
        <v>fde1:103:4:6e33:0:0:0:2</v>
      </c>
      <c r="G10619" s="1" t="str">
        <f>"9729Q651"</f>
        <v>9729Q651</v>
      </c>
      <c r="H10619" s="1" t="str">
        <f>"진성간 21R12L2"</f>
        <v>진성간 21R12L2</v>
      </c>
      <c r="I10619" s="1" t="s">
        <v>15</v>
      </c>
      <c r="J10619" s="1" t="str">
        <f>"79/79"</f>
        <v>79/79</v>
      </c>
      <c r="K10619" s="1" t="str">
        <f>"2026-07-29 14:21:06"</f>
        <v>2026-07-29 14:21:06</v>
      </c>
      <c r="L10619" s="1" t="str">
        <f>"2023-11-15 09:04:22"</f>
        <v>2023-11-15 09:04:22</v>
      </c>
      <c r="M10619" s="1" t="s">
        <v>4</v>
      </c>
      <c r="N10619" s="1" t="s">
        <v>38</v>
      </c>
      <c r="O10619" s="1" t="s">
        <v>46</v>
      </c>
    </row>
    <row r="10620" spans="2:15" x14ac:dyDescent="0.3">
      <c r="B10620" s="1" t="s">
        <v>21</v>
      </c>
      <c r="C10620" s="1" t="str">
        <f>"5-2차"</f>
        <v>5-2차</v>
      </c>
      <c r="D10620" s="1" t="str">
        <f>"9729Q6945S"</f>
        <v>9729Q6945S</v>
      </c>
      <c r="E10620" s="1" t="s">
        <v>10</v>
      </c>
      <c r="F10620" s="1" t="str">
        <f>"fde1:103:4:6e35:0:0:0:2"</f>
        <v>fde1:103:4:6e35:0:0:0:2</v>
      </c>
      <c r="G10620" s="1" t="str">
        <f>"9729Q694"</f>
        <v>9729Q694</v>
      </c>
      <c r="H10620" s="1" t="str">
        <f>"독박간 54R2L1"</f>
        <v>독박간 54R2L1</v>
      </c>
      <c r="I10620" s="1" t="s">
        <v>15</v>
      </c>
      <c r="J10620" s="1" t="str">
        <f>"74/77"</f>
        <v>74/77</v>
      </c>
      <c r="K10620" s="1" t="str">
        <f>"2026-07-29 14:21:18"</f>
        <v>2026-07-29 14:21:18</v>
      </c>
      <c r="L10620" s="1" t="str">
        <f>"2023-11-15 09:11:49"</f>
        <v>2023-11-15 09:11:49</v>
      </c>
      <c r="M10620" s="1" t="s">
        <v>4</v>
      </c>
      <c r="N10620" s="1" t="s">
        <v>38</v>
      </c>
      <c r="O10620" s="1" t="s">
        <v>46</v>
      </c>
    </row>
    <row r="10621" spans="2:15" x14ac:dyDescent="0.3">
      <c r="B10621" s="1" t="s">
        <v>21</v>
      </c>
      <c r="C10621" s="1" t="str">
        <f>"1차"</f>
        <v>1차</v>
      </c>
      <c r="D10621" s="1" t="str">
        <f>"9729Q75601"</f>
        <v>9729Q75601</v>
      </c>
      <c r="E10621" s="1" t="s">
        <v>10</v>
      </c>
      <c r="F10621" s="1" t="str">
        <f>"10.14.11.9"</f>
        <v>10.14.11.9</v>
      </c>
      <c r="G10621" s="1" t="str">
        <f>"9729Q756"</f>
        <v>9729Q756</v>
      </c>
      <c r="H10621" s="1" t="str">
        <f>"독박간 52R3"</f>
        <v>독박간 52R3</v>
      </c>
      <c r="I10621" s="1" t="s">
        <v>8</v>
      </c>
      <c r="J10621" s="1" t="str">
        <f>"19/19"</f>
        <v>19/19</v>
      </c>
      <c r="K10621" s="1" t="str">
        <f>"2026-07-29 13:18:11"</f>
        <v>2026-07-29 13:18:11</v>
      </c>
      <c r="L10621" s="1" t="str">
        <f>"2014-12-22 13:28:18"</f>
        <v>2014-12-22 13:28:18</v>
      </c>
      <c r="M10621" s="1" t="s">
        <v>3</v>
      </c>
      <c r="N10621" s="1" t="s">
        <v>38</v>
      </c>
      <c r="O10621" s="1" t="s">
        <v>46</v>
      </c>
    </row>
    <row r="10622" spans="2:15" x14ac:dyDescent="0.3">
      <c r="B10622" s="1" t="s">
        <v>21</v>
      </c>
      <c r="C10622" s="1" t="str">
        <f>"6차"</f>
        <v>6차</v>
      </c>
      <c r="D10622" s="1" t="str">
        <f>"9729Q8416S"</f>
        <v>9729Q8416S</v>
      </c>
      <c r="E10622" s="1" t="s">
        <v>10</v>
      </c>
      <c r="F10622" s="1" t="str">
        <f>"fde1:103:4:c791:0:0:0:2"</f>
        <v>fde1:103:4:c791:0:0:0:2</v>
      </c>
      <c r="G10622" s="1" t="str">
        <f>"9729Q841"</f>
        <v>9729Q841</v>
      </c>
      <c r="H10622" s="1" t="str">
        <f>"독박간 47R3"</f>
        <v>독박간 47R3</v>
      </c>
      <c r="I10622" s="1" t="s">
        <v>15</v>
      </c>
      <c r="J10622" s="1" t="str">
        <f>"47/48"</f>
        <v>47/48</v>
      </c>
      <c r="K10622" s="1" t="str">
        <f>"2026-07-29 14:21:06"</f>
        <v>2026-07-29 14:21:06</v>
      </c>
      <c r="L10622" s="1" t="str">
        <f>"2024-12-11 15:56:45"</f>
        <v>2024-12-11 15:56:45</v>
      </c>
      <c r="M10622" s="1" t="s">
        <v>4</v>
      </c>
      <c r="N10622" s="1" t="s">
        <v>38</v>
      </c>
      <c r="O10622" s="1" t="s">
        <v>46</v>
      </c>
    </row>
    <row r="10623" spans="2:15" x14ac:dyDescent="0.3">
      <c r="B10623" s="1" t="s">
        <v>21</v>
      </c>
      <c r="C10623" s="1" t="str">
        <f>"1차"</f>
        <v>1차</v>
      </c>
      <c r="D10623" s="1" t="str">
        <f>"9729Q95100"</f>
        <v>9729Q95100</v>
      </c>
      <c r="E10623" s="1" t="s">
        <v>10</v>
      </c>
      <c r="F10623" s="1" t="str">
        <f>"10.128.70.58"</f>
        <v>10.128.70.58</v>
      </c>
      <c r="G10623" s="1" t="str">
        <f>"9729Q951"</f>
        <v>9729Q951</v>
      </c>
      <c r="H10623" s="1" t="str">
        <f>"독박간 52R3R2"</f>
        <v>독박간 52R3R2</v>
      </c>
      <c r="I10623" s="1" t="s">
        <v>8</v>
      </c>
      <c r="J10623" s="1" t="str">
        <f>"22/23"</f>
        <v>22/23</v>
      </c>
      <c r="K10623" s="1" t="str">
        <f>"2026-07-29 13:18:11"</f>
        <v>2026-07-29 13:18:11</v>
      </c>
      <c r="L10623" s="1" t="str">
        <f>"2014-12-22 13:28:05"</f>
        <v>2014-12-22 13:28:05</v>
      </c>
      <c r="M10623" s="1" t="s">
        <v>45</v>
      </c>
      <c r="N10623" s="1" t="s">
        <v>38</v>
      </c>
      <c r="O10623" s="1" t="s">
        <v>46</v>
      </c>
    </row>
    <row r="10624" spans="2:15" x14ac:dyDescent="0.3">
      <c r="B10624" s="1" t="s">
        <v>21</v>
      </c>
      <c r="C10624" s="1" t="str">
        <f>"1차"</f>
        <v>1차</v>
      </c>
      <c r="D10624" s="1" t="str">
        <f>"9729Q95302"</f>
        <v>9729Q95302</v>
      </c>
      <c r="E10624" s="1" t="s">
        <v>10</v>
      </c>
      <c r="F10624" s="1" t="str">
        <f>"10.128.70.59"</f>
        <v>10.128.70.59</v>
      </c>
      <c r="G10624" s="1" t="str">
        <f>"9729Q953"</f>
        <v>9729Q953</v>
      </c>
      <c r="H10624" s="1" t="str">
        <f>"독박간 52R3R2L1"</f>
        <v>독박간 52R3R2L1</v>
      </c>
      <c r="I10624" s="1" t="s">
        <v>8</v>
      </c>
      <c r="J10624" s="1" t="str">
        <f>"13/13"</f>
        <v>13/13</v>
      </c>
      <c r="K10624" s="1" t="str">
        <f>"2026-07-29 13:18:00"</f>
        <v>2026-07-29 13:18:00</v>
      </c>
      <c r="L10624" s="1" t="str">
        <f>"2014-12-22 13:28:41"</f>
        <v>2014-12-22 13:28:41</v>
      </c>
      <c r="M10624" s="1" t="s">
        <v>45</v>
      </c>
      <c r="N10624" s="1" t="s">
        <v>38</v>
      </c>
      <c r="O10624" s="1" t="s">
        <v>46</v>
      </c>
    </row>
    <row r="10625" spans="2:15" x14ac:dyDescent="0.3">
      <c r="B10625" s="1" t="s">
        <v>21</v>
      </c>
      <c r="C10625" s="1" t="str">
        <f>"1차"</f>
        <v>1차</v>
      </c>
      <c r="D10625" s="1" t="str">
        <f>"9729Q97111"</f>
        <v>9729Q97111</v>
      </c>
      <c r="E10625" s="1" t="s">
        <v>10</v>
      </c>
      <c r="F10625" s="1" t="str">
        <f>"10.128.70.66"</f>
        <v>10.128.70.66</v>
      </c>
      <c r="G10625" s="1" t="str">
        <f>"9729Q971"</f>
        <v>9729Q971</v>
      </c>
      <c r="H10625" s="1" t="str">
        <f>"독박간 52R6"</f>
        <v>독박간 52R6</v>
      </c>
      <c r="I10625" s="1" t="s">
        <v>8</v>
      </c>
      <c r="J10625" s="1" t="str">
        <f>"18/18"</f>
        <v>18/18</v>
      </c>
      <c r="K10625" s="1" t="str">
        <f>"2026-07-29 13:18:12"</f>
        <v>2026-07-29 13:18:12</v>
      </c>
      <c r="L10625" s="1" t="str">
        <f>"2017-02-24 13:54:03"</f>
        <v>2017-02-24 13:54:03</v>
      </c>
      <c r="M10625" s="1" t="s">
        <v>45</v>
      </c>
      <c r="N10625" s="1" t="s">
        <v>38</v>
      </c>
      <c r="O10625" s="1" t="s">
        <v>46</v>
      </c>
    </row>
    <row r="10626" spans="2:15" x14ac:dyDescent="0.3">
      <c r="B10626" s="1" t="s">
        <v>21</v>
      </c>
      <c r="C10626" s="1" t="str">
        <f>"4차"</f>
        <v>4차</v>
      </c>
      <c r="D10626" s="1" t="str">
        <f>"9729R00144"</f>
        <v>9729R00144</v>
      </c>
      <c r="E10626" s="1" t="s">
        <v>10</v>
      </c>
      <c r="F10626" s="1" t="str">
        <f>"10.10.79.234"</f>
        <v>10.10.79.234</v>
      </c>
      <c r="G10626" s="1" t="str">
        <f>"9729R001"</f>
        <v>9729R001</v>
      </c>
      <c r="H10626" s="1" t="str">
        <f>"동명간 36R1"</f>
        <v>동명간 36R1</v>
      </c>
      <c r="I10626" s="1" t="s">
        <v>8</v>
      </c>
      <c r="J10626" s="1" t="str">
        <f>"67/72"</f>
        <v>67/72</v>
      </c>
      <c r="K10626" s="1" t="str">
        <f>"2026-07-29 13:18:12"</f>
        <v>2026-07-29 13:18:12</v>
      </c>
      <c r="L10626" s="1" t="str">
        <f>"2020-01-21 16:54:06"</f>
        <v>2020-01-21 16:54:06</v>
      </c>
      <c r="M10626" s="1" t="s">
        <v>1</v>
      </c>
      <c r="N10626" s="1" t="s">
        <v>38</v>
      </c>
      <c r="O10626" s="1" t="s">
        <v>46</v>
      </c>
    </row>
    <row r="10627" spans="2:15" x14ac:dyDescent="0.3">
      <c r="B10627" s="1" t="s">
        <v>21</v>
      </c>
      <c r="C10627" s="1" t="str">
        <f>"4차"</f>
        <v>4차</v>
      </c>
      <c r="D10627" s="1" t="str">
        <f>"9729R02144"</f>
        <v>9729R02144</v>
      </c>
      <c r="E10627" s="1" t="s">
        <v>10</v>
      </c>
      <c r="F10627" s="1" t="str">
        <f>"10.10.80.26"</f>
        <v>10.10.80.26</v>
      </c>
      <c r="G10627" s="1" t="str">
        <f>"9729R021"</f>
        <v>9729R021</v>
      </c>
      <c r="H10627" s="1" t="str">
        <f>"동명간 37"</f>
        <v>동명간 37</v>
      </c>
      <c r="I10627" s="1" t="s">
        <v>8</v>
      </c>
      <c r="J10627" s="1" t="str">
        <f>"64/64"</f>
        <v>64/64</v>
      </c>
      <c r="K10627" s="1" t="str">
        <f>"2026-07-29 13:18:12"</f>
        <v>2026-07-29 13:18:12</v>
      </c>
      <c r="L10627" s="1" t="str">
        <f>"2019-10-23 16:33:05"</f>
        <v>2019-10-23 16:33:05</v>
      </c>
      <c r="M10627" s="1" t="s">
        <v>1</v>
      </c>
      <c r="N10627" s="1" t="s">
        <v>38</v>
      </c>
      <c r="O10627" s="1" t="s">
        <v>46</v>
      </c>
    </row>
    <row r="10628" spans="2:15" x14ac:dyDescent="0.3">
      <c r="B10628" s="1" t="s">
        <v>21</v>
      </c>
      <c r="C10628" s="1" t="str">
        <f>"1차"</f>
        <v>1차</v>
      </c>
      <c r="D10628" s="1" t="str">
        <f>"9729R03100"</f>
        <v>9729R03100</v>
      </c>
      <c r="E10628" s="1" t="s">
        <v>10</v>
      </c>
      <c r="F10628" s="1" t="str">
        <f>"10.128.64.2"</f>
        <v>10.128.64.2</v>
      </c>
      <c r="G10628" s="1" t="str">
        <f>"9729R031"</f>
        <v>9729R031</v>
      </c>
      <c r="H10628" s="1" t="str">
        <f>"동명간 41"</f>
        <v>동명간 41</v>
      </c>
      <c r="I10628" s="1" t="s">
        <v>8</v>
      </c>
      <c r="J10628" s="1" t="str">
        <f>"126/131"</f>
        <v>126/131</v>
      </c>
      <c r="K10628" s="1" t="str">
        <f>"2026-07-29 13:18:12"</f>
        <v>2026-07-29 13:18:12</v>
      </c>
      <c r="L10628" s="1" t="str">
        <f>"2015-02-04 14:10:55"</f>
        <v>2015-02-04 14:10:55</v>
      </c>
      <c r="M10628" s="1" t="s">
        <v>45</v>
      </c>
      <c r="N10628" s="1" t="s">
        <v>38</v>
      </c>
      <c r="O10628" s="1" t="s">
        <v>46</v>
      </c>
    </row>
    <row r="10629" spans="2:15" x14ac:dyDescent="0.3">
      <c r="B10629" s="1" t="s">
        <v>21</v>
      </c>
      <c r="C10629" s="1" t="str">
        <f>"6차"</f>
        <v>6차</v>
      </c>
      <c r="D10629" s="1" t="str">
        <f>"9729R0426S"</f>
        <v>9729R0426S</v>
      </c>
      <c r="E10629" s="1" t="s">
        <v>10</v>
      </c>
      <c r="F10629" s="1" t="str">
        <f>"fde1:103:4:c5f8:0:0:0:2"</f>
        <v>fde1:103:4:c5f8:0:0:0:2</v>
      </c>
      <c r="G10629" s="1" t="str">
        <f>"9729R042"</f>
        <v>9729R042</v>
      </c>
      <c r="H10629" s="1" t="str">
        <f>"동명간 42R1"</f>
        <v>동명간 42R1</v>
      </c>
      <c r="I10629" s="1" t="s">
        <v>15</v>
      </c>
      <c r="J10629" s="1" t="str">
        <f>"57/58"</f>
        <v>57/58</v>
      </c>
      <c r="K10629" s="1" t="str">
        <f>"2026-07-29 14:21:07"</f>
        <v>2026-07-29 14:21:07</v>
      </c>
      <c r="L10629" s="1" t="str">
        <f>"2024-10-29 17:01:51"</f>
        <v>2024-10-29 17:01:51</v>
      </c>
      <c r="M10629" s="1" t="s">
        <v>4</v>
      </c>
      <c r="N10629" s="1" t="s">
        <v>38</v>
      </c>
      <c r="O10629" s="1" t="s">
        <v>46</v>
      </c>
    </row>
    <row r="10630" spans="2:15" x14ac:dyDescent="0.3">
      <c r="B10630" s="1" t="s">
        <v>21</v>
      </c>
      <c r="C10630" s="1" t="str">
        <f>"4차"</f>
        <v>4차</v>
      </c>
      <c r="D10630" s="1" t="str">
        <f>"9729R08244"</f>
        <v>9729R08244</v>
      </c>
      <c r="E10630" s="1" t="s">
        <v>10</v>
      </c>
      <c r="F10630" s="1" t="str">
        <f>"10.12.138.15"</f>
        <v>10.12.138.15</v>
      </c>
      <c r="G10630" s="1" t="str">
        <f>"9729R082"</f>
        <v>9729R082</v>
      </c>
      <c r="H10630" s="1" t="str">
        <f>"연서간 5L11"</f>
        <v>연서간 5L11</v>
      </c>
      <c r="I10630" s="1" t="s">
        <v>8</v>
      </c>
      <c r="J10630" s="1" t="str">
        <f>"4/6"</f>
        <v>4/6</v>
      </c>
      <c r="K10630" s="1" t="str">
        <f>"2026-07-29 13:18:02"</f>
        <v>2026-07-29 13:18:02</v>
      </c>
      <c r="L10630" s="1" t="str">
        <f>"2021-08-06 10:07:26"</f>
        <v>2021-08-06 10:07:26</v>
      </c>
      <c r="M10630" s="1" t="s">
        <v>0</v>
      </c>
      <c r="N10630" s="1" t="s">
        <v>38</v>
      </c>
      <c r="O10630" s="1" t="s">
        <v>46</v>
      </c>
    </row>
    <row r="10631" spans="2:15" x14ac:dyDescent="0.3">
      <c r="B10631" s="1" t="s">
        <v>21</v>
      </c>
      <c r="C10631" s="1" t="str">
        <f>"5-2차"</f>
        <v>5-2차</v>
      </c>
      <c r="D10631" s="1" t="str">
        <f>"9729R0915M"</f>
        <v>9729R0915M</v>
      </c>
      <c r="E10631" s="1" t="s">
        <v>10</v>
      </c>
      <c r="F10631" s="1" t="str">
        <f>"fde3:102:1303:1107:0:0:0:3"</f>
        <v>fde3:102:1303:1107:0:0:0:3</v>
      </c>
      <c r="G10631" s="1" t="str">
        <f>"9729R091"</f>
        <v>9729R091</v>
      </c>
      <c r="H10631" s="1" t="str">
        <f>"연서간 5L9R1"</f>
        <v>연서간 5L9R1</v>
      </c>
      <c r="I10631" s="1" t="s">
        <v>15</v>
      </c>
      <c r="J10631" s="1" t="str">
        <f>"14/14"</f>
        <v>14/14</v>
      </c>
      <c r="K10631" s="1" t="str">
        <f>"2026-07-29 14:21:17"</f>
        <v>2026-07-29 14:21:17</v>
      </c>
      <c r="L10631" s="1" t="str">
        <f>"2023-07-24 20:08:26"</f>
        <v>2023-07-24 20:08:26</v>
      </c>
      <c r="M10631" s="1" t="s">
        <v>45</v>
      </c>
      <c r="N10631" s="1" t="s">
        <v>38</v>
      </c>
      <c r="O10631" s="1" t="s">
        <v>46</v>
      </c>
    </row>
    <row r="10632" spans="2:15" x14ac:dyDescent="0.3">
      <c r="B10632" s="1" t="s">
        <v>21</v>
      </c>
      <c r="C10632" s="1" t="str">
        <f>"4차"</f>
        <v>4차</v>
      </c>
      <c r="D10632" s="1" t="str">
        <f>"9729R10144"</f>
        <v>9729R10144</v>
      </c>
      <c r="E10632" s="1" t="s">
        <v>10</v>
      </c>
      <c r="F10632" s="1" t="str">
        <f>"10.10.92.226"</f>
        <v>10.10.92.226</v>
      </c>
      <c r="G10632" s="1" t="str">
        <f>"9729R101"</f>
        <v>9729R101</v>
      </c>
      <c r="H10632" s="1" t="str">
        <f>"동명간 39R6"</f>
        <v>동명간 39R6</v>
      </c>
      <c r="I10632" s="1" t="s">
        <v>8</v>
      </c>
      <c r="J10632" s="1" t="str">
        <f>"46/47"</f>
        <v>46/47</v>
      </c>
      <c r="K10632" s="1" t="str">
        <f>"2026-07-29 13:18:12"</f>
        <v>2026-07-29 13:18:12</v>
      </c>
      <c r="L10632" s="1" t="str">
        <f>"2019-09-27 14:21:01"</f>
        <v>2019-09-27 14:21:01</v>
      </c>
      <c r="M10632" s="1" t="s">
        <v>1</v>
      </c>
      <c r="N10632" s="1" t="s">
        <v>38</v>
      </c>
      <c r="O10632" s="1" t="s">
        <v>46</v>
      </c>
    </row>
    <row r="10633" spans="2:15" x14ac:dyDescent="0.3">
      <c r="B10633" s="1" t="s">
        <v>21</v>
      </c>
      <c r="C10633" s="1" t="str">
        <f>"4차"</f>
        <v>4차</v>
      </c>
      <c r="D10633" s="1" t="str">
        <f>"9729R11144"</f>
        <v>9729R11144</v>
      </c>
      <c r="E10633" s="1" t="s">
        <v>10</v>
      </c>
      <c r="F10633" s="1" t="str">
        <f>"10.10.79.250"</f>
        <v>10.10.79.250</v>
      </c>
      <c r="G10633" s="1" t="str">
        <f>"9729R111"</f>
        <v>9729R111</v>
      </c>
      <c r="H10633" s="1" t="str">
        <f>"동명간 36R1L1"</f>
        <v>동명간 36R1L1</v>
      </c>
      <c r="I10633" s="1" t="s">
        <v>8</v>
      </c>
      <c r="J10633" s="1" t="str">
        <f>"105/105"</f>
        <v>105/105</v>
      </c>
      <c r="K10633" s="1" t="str">
        <f>"2026-07-29 13:18:12"</f>
        <v>2026-07-29 13:18:12</v>
      </c>
      <c r="L10633" s="1" t="str">
        <f>"2019-09-27 15:13:05"</f>
        <v>2019-09-27 15:13:05</v>
      </c>
      <c r="M10633" s="1" t="s">
        <v>1</v>
      </c>
      <c r="N10633" s="1" t="s">
        <v>38</v>
      </c>
      <c r="O10633" s="1" t="s">
        <v>46</v>
      </c>
    </row>
    <row r="10634" spans="2:15" x14ac:dyDescent="0.3">
      <c r="B10634" s="1" t="s">
        <v>21</v>
      </c>
      <c r="C10634" s="1" t="str">
        <f>"6차"</f>
        <v>6차</v>
      </c>
      <c r="D10634" s="1" t="str">
        <f>"9729R1836S"</f>
        <v>9729R1836S</v>
      </c>
      <c r="E10634" s="1" t="s">
        <v>10</v>
      </c>
      <c r="F10634" s="1" t="str">
        <f>"fde1:103:4:c7c9:0:0:0:2"</f>
        <v>fde1:103:4:c7c9:0:0:0:2</v>
      </c>
      <c r="G10634" s="1" t="str">
        <f>"9729R183"</f>
        <v>9729R183</v>
      </c>
      <c r="H10634" s="1" t="str">
        <f>"연서간 5L8"</f>
        <v>연서간 5L8</v>
      </c>
      <c r="I10634" s="1" t="s">
        <v>15</v>
      </c>
      <c r="J10634" s="1" t="str">
        <f>"18/20"</f>
        <v>18/20</v>
      </c>
      <c r="K10634" s="1" t="str">
        <f>"2026-07-29 14:21:07"</f>
        <v>2026-07-29 14:21:07</v>
      </c>
      <c r="L10634" s="1" t="str">
        <f>"2024-12-11 15:56:18"</f>
        <v>2024-12-11 15:56:18</v>
      </c>
      <c r="M10634" s="1" t="s">
        <v>4</v>
      </c>
      <c r="N10634" s="1" t="s">
        <v>38</v>
      </c>
      <c r="O10634" s="1" t="s">
        <v>46</v>
      </c>
    </row>
    <row r="10635" spans="2:15" x14ac:dyDescent="0.3">
      <c r="B10635" s="1" t="s">
        <v>21</v>
      </c>
      <c r="C10635" s="1" t="str">
        <f>"4차"</f>
        <v>4차</v>
      </c>
      <c r="D10635" s="1" t="str">
        <f>"9729R20144"</f>
        <v>9729R20144</v>
      </c>
      <c r="E10635" s="1" t="s">
        <v>10</v>
      </c>
      <c r="F10635" s="1" t="str">
        <f>"10.10.92.234"</f>
        <v>10.10.92.234</v>
      </c>
      <c r="G10635" s="1" t="str">
        <f>"9729R201"</f>
        <v>9729R201</v>
      </c>
      <c r="H10635" s="1" t="str">
        <f>"동명간 39R5"</f>
        <v>동명간 39R5</v>
      </c>
      <c r="I10635" s="1" t="s">
        <v>8</v>
      </c>
      <c r="J10635" s="1" t="str">
        <f>"42/42"</f>
        <v>42/42</v>
      </c>
      <c r="K10635" s="1" t="str">
        <f>"2026-07-29 13:18:12"</f>
        <v>2026-07-29 13:18:12</v>
      </c>
      <c r="L10635" s="1" t="str">
        <f>"2019-09-27 14:18:57"</f>
        <v>2019-09-27 14:18:57</v>
      </c>
      <c r="M10635" s="1" t="s">
        <v>1</v>
      </c>
      <c r="N10635" s="1" t="s">
        <v>38</v>
      </c>
      <c r="O10635" s="1" t="s">
        <v>46</v>
      </c>
    </row>
    <row r="10636" spans="2:15" x14ac:dyDescent="0.3">
      <c r="B10636" s="1" t="s">
        <v>21</v>
      </c>
      <c r="C10636" s="1" t="str">
        <f>"4차"</f>
        <v>4차</v>
      </c>
      <c r="D10636" s="1" t="str">
        <f>"9729R21141"</f>
        <v>9729R21141</v>
      </c>
      <c r="E10636" s="1" t="s">
        <v>10</v>
      </c>
      <c r="F10636" s="1" t="str">
        <f>"10.14.13.179"</f>
        <v>10.14.13.179</v>
      </c>
      <c r="G10636" s="1" t="str">
        <f>"9729R211"</f>
        <v>9729R211</v>
      </c>
      <c r="H10636" s="1" t="str">
        <f>"동명간 39R2"</f>
        <v>동명간 39R2</v>
      </c>
      <c r="I10636" s="1" t="s">
        <v>17</v>
      </c>
      <c r="J10636" s="1" t="str">
        <f>"24/29"</f>
        <v>24/29</v>
      </c>
      <c r="K10636" s="1" t="str">
        <f>"2026-07-29 13:18:11"</f>
        <v>2026-07-29 13:18:11</v>
      </c>
      <c r="L10636" s="1" t="str">
        <f>"2021-08-09 12:55:41"</f>
        <v>2021-08-09 12:55:41</v>
      </c>
      <c r="M10636" s="1" t="s">
        <v>3</v>
      </c>
      <c r="N10636" s="1" t="s">
        <v>38</v>
      </c>
      <c r="O10636" s="1" t="s">
        <v>46</v>
      </c>
    </row>
    <row r="10637" spans="2:15" x14ac:dyDescent="0.3">
      <c r="B10637" s="1" t="s">
        <v>21</v>
      </c>
      <c r="C10637" s="1" t="str">
        <f>"4차"</f>
        <v>4차</v>
      </c>
      <c r="D10637" s="1" t="str">
        <f>"9729R22144"</f>
        <v>9729R22144</v>
      </c>
      <c r="E10637" s="1" t="s">
        <v>10</v>
      </c>
      <c r="F10637" s="1" t="str">
        <f>"10.10.101.122"</f>
        <v>10.10.101.122</v>
      </c>
      <c r="G10637" s="1" t="str">
        <f>"9729R221"</f>
        <v>9729R221</v>
      </c>
      <c r="H10637" s="1" t="str">
        <f>"동명간 39R1"</f>
        <v>동명간 39R1</v>
      </c>
      <c r="I10637" s="1" t="s">
        <v>8</v>
      </c>
      <c r="J10637" s="1" t="str">
        <f>"32/32"</f>
        <v>32/32</v>
      </c>
      <c r="K10637" s="1" t="str">
        <f>"2026-07-29 13:18:12"</f>
        <v>2026-07-29 13:18:12</v>
      </c>
      <c r="L10637" s="1" t="str">
        <f>"2019-09-27 15:19:42"</f>
        <v>2019-09-27 15:19:42</v>
      </c>
      <c r="M10637" s="1" t="s">
        <v>1</v>
      </c>
      <c r="N10637" s="1" t="s">
        <v>38</v>
      </c>
      <c r="O10637" s="1" t="s">
        <v>46</v>
      </c>
    </row>
    <row r="10638" spans="2:15" x14ac:dyDescent="0.3">
      <c r="B10638" s="1" t="s">
        <v>21</v>
      </c>
      <c r="C10638" s="1" t="str">
        <f>"1차"</f>
        <v>1차</v>
      </c>
      <c r="D10638" s="1" t="str">
        <f>"9729R30101"</f>
        <v>9729R30101</v>
      </c>
      <c r="E10638" s="1" t="s">
        <v>10</v>
      </c>
      <c r="F10638" s="1" t="str">
        <f>"10.12.137.125"</f>
        <v>10.12.137.125</v>
      </c>
      <c r="G10638" s="1" t="str">
        <f>"9729R301"</f>
        <v>9729R301</v>
      </c>
      <c r="H10638" s="1" t="str">
        <f>"동명간 29R6"</f>
        <v>동명간 29R6</v>
      </c>
      <c r="I10638" s="1" t="s">
        <v>8</v>
      </c>
      <c r="J10638" s="1" t="str">
        <f>"43/44"</f>
        <v>43/44</v>
      </c>
      <c r="K10638" s="1" t="str">
        <f>"2026-07-29 13:18:11"</f>
        <v>2026-07-29 13:18:11</v>
      </c>
      <c r="L10638" s="1" t="str">
        <f>"2015-02-04 17:34:02"</f>
        <v>2015-02-04 17:34:02</v>
      </c>
      <c r="M10638" s="1" t="s">
        <v>0</v>
      </c>
      <c r="N10638" s="1" t="s">
        <v>38</v>
      </c>
      <c r="O10638" s="1" t="s">
        <v>46</v>
      </c>
    </row>
    <row r="10639" spans="2:15" x14ac:dyDescent="0.3">
      <c r="B10639" s="1" t="s">
        <v>21</v>
      </c>
      <c r="C10639" s="1" t="str">
        <f>"4차"</f>
        <v>4차</v>
      </c>
      <c r="D10639" s="1" t="str">
        <f>"9729R31144"</f>
        <v>9729R31144</v>
      </c>
      <c r="E10639" s="1" t="s">
        <v>10</v>
      </c>
      <c r="F10639" s="1" t="str">
        <f>"10.10.92.242"</f>
        <v>10.10.92.242</v>
      </c>
      <c r="G10639" s="1" t="str">
        <f>"9729R311"</f>
        <v>9729R311</v>
      </c>
      <c r="H10639" s="1" t="str">
        <f>"동명간 39R3"</f>
        <v>동명간 39R3</v>
      </c>
      <c r="I10639" s="1" t="s">
        <v>8</v>
      </c>
      <c r="J10639" s="1" t="str">
        <f>"30/30"</f>
        <v>30/30</v>
      </c>
      <c r="K10639" s="1" t="str">
        <f>"2026-07-29 13:18:12"</f>
        <v>2026-07-29 13:18:12</v>
      </c>
      <c r="L10639" s="1" t="str">
        <f>"2019-12-11 18:21:45"</f>
        <v>2019-12-11 18:21:45</v>
      </c>
      <c r="M10639" s="1" t="s">
        <v>1</v>
      </c>
      <c r="N10639" s="1" t="s">
        <v>38</v>
      </c>
      <c r="O10639" s="1" t="s">
        <v>46</v>
      </c>
    </row>
    <row r="10640" spans="2:15" x14ac:dyDescent="0.3">
      <c r="B10640" s="1" t="s">
        <v>21</v>
      </c>
      <c r="C10640" s="1" t="str">
        <f>"4차"</f>
        <v>4차</v>
      </c>
      <c r="D10640" s="1" t="str">
        <f>"9729R33145"</f>
        <v>9729R33145</v>
      </c>
      <c r="E10640" s="1" t="s">
        <v>10</v>
      </c>
      <c r="F10640" s="1" t="str">
        <f>"10.14.1.5"</f>
        <v>10.14.1.5</v>
      </c>
      <c r="G10640" s="1" t="str">
        <f>"9729R331"</f>
        <v>9729R331</v>
      </c>
      <c r="H10640" s="1" t="str">
        <f>"통일로 R16-3"</f>
        <v>통일로 R16-3</v>
      </c>
      <c r="I10640" s="1" t="s">
        <v>17</v>
      </c>
      <c r="J10640" s="1" t="str">
        <f>"7/7"</f>
        <v>7/7</v>
      </c>
      <c r="K10640" s="1" t="str">
        <f>"2026-07-29 13:18:11"</f>
        <v>2026-07-29 13:18:11</v>
      </c>
      <c r="L10640" s="1" t="str">
        <f>"2021-06-22 09:13:11"</f>
        <v>2021-06-22 09:13:11</v>
      </c>
      <c r="M10640" s="1" t="s">
        <v>3</v>
      </c>
      <c r="N10640" s="1" t="s">
        <v>38</v>
      </c>
      <c r="O10640" s="1" t="s">
        <v>46</v>
      </c>
    </row>
    <row r="10641" spans="2:15" x14ac:dyDescent="0.3">
      <c r="B10641" s="1" t="s">
        <v>21</v>
      </c>
      <c r="C10641" s="1" t="str">
        <f>"4차"</f>
        <v>4차</v>
      </c>
      <c r="D10641" s="1" t="str">
        <f>"9729R34244"</f>
        <v>9729R34244</v>
      </c>
      <c r="E10641" s="1" t="s">
        <v>10</v>
      </c>
      <c r="F10641" s="1" t="str">
        <f>"10.10.91.202"</f>
        <v>10.10.91.202</v>
      </c>
      <c r="G10641" s="1" t="str">
        <f>"9729R342"</f>
        <v>9729R342</v>
      </c>
      <c r="H10641" s="1" t="str">
        <f>"불광간 8R6"</f>
        <v>불광간 8R6</v>
      </c>
      <c r="I10641" s="1" t="s">
        <v>8</v>
      </c>
      <c r="J10641" s="1" t="str">
        <f>"42/42"</f>
        <v>42/42</v>
      </c>
      <c r="K10641" s="1" t="str">
        <f>"2026-07-29 13:18:12"</f>
        <v>2026-07-29 13:18:12</v>
      </c>
      <c r="L10641" s="1" t="str">
        <f>"2019-12-11 18:22:36"</f>
        <v>2019-12-11 18:22:36</v>
      </c>
      <c r="M10641" s="1" t="s">
        <v>1</v>
      </c>
      <c r="N10641" s="1" t="s">
        <v>38</v>
      </c>
      <c r="O10641" s="1" t="s">
        <v>46</v>
      </c>
    </row>
    <row r="10642" spans="2:15" x14ac:dyDescent="0.3">
      <c r="B10642" s="1" t="s">
        <v>21</v>
      </c>
      <c r="C10642" s="1" t="str">
        <f>"1차"</f>
        <v>1차</v>
      </c>
      <c r="D10642" s="1" t="str">
        <f>"9729R36200"</f>
        <v>9729R36200</v>
      </c>
      <c r="E10642" s="1" t="s">
        <v>10</v>
      </c>
      <c r="F10642" s="1" t="str">
        <f>"10.128.2.88"</f>
        <v>10.128.2.88</v>
      </c>
      <c r="G10642" s="1" t="str">
        <f>"9729R362"</f>
        <v>9729R362</v>
      </c>
      <c r="H10642" s="1" t="str">
        <f>"불광간 8R4R1"</f>
        <v>불광간 8R4R1</v>
      </c>
      <c r="I10642" s="1" t="s">
        <v>8</v>
      </c>
      <c r="J10642" s="1" t="str">
        <f>"33/33"</f>
        <v>33/33</v>
      </c>
      <c r="K10642" s="1" t="str">
        <f>"2026-07-29 13:18:12"</f>
        <v>2026-07-29 13:18:12</v>
      </c>
      <c r="L10642" s="1" t="str">
        <f>"2022-07-08 15:19:07"</f>
        <v>2022-07-08 15:19:07</v>
      </c>
      <c r="M10642" s="1" t="s">
        <v>45</v>
      </c>
      <c r="N10642" s="1" t="s">
        <v>38</v>
      </c>
      <c r="O10642" s="1" t="s">
        <v>46</v>
      </c>
    </row>
    <row r="10643" spans="2:15" x14ac:dyDescent="0.3">
      <c r="B10643" s="1" t="s">
        <v>21</v>
      </c>
      <c r="C10643" s="1" t="str">
        <f>"1차"</f>
        <v>1차</v>
      </c>
      <c r="D10643" s="1" t="str">
        <f>"9729R39101"</f>
        <v>9729R39101</v>
      </c>
      <c r="E10643" s="1" t="s">
        <v>10</v>
      </c>
      <c r="F10643" s="1" t="str">
        <f>"10.128.2.92"</f>
        <v>10.128.2.92</v>
      </c>
      <c r="G10643" s="1" t="str">
        <f>"9729R391"</f>
        <v>9729R391</v>
      </c>
      <c r="H10643" s="1" t="str">
        <f>"불광간 2R2"</f>
        <v>불광간 2R2</v>
      </c>
      <c r="I10643" s="1" t="s">
        <v>8</v>
      </c>
      <c r="J10643" s="1" t="str">
        <f>"28/33"</f>
        <v>28/33</v>
      </c>
      <c r="K10643" s="1" t="str">
        <f>"2026-07-29 13:18:12"</f>
        <v>2026-07-29 13:18:12</v>
      </c>
      <c r="L10643" s="1" t="str">
        <f>"2014-12-23 16:58:30"</f>
        <v>2014-12-23 16:58:30</v>
      </c>
      <c r="M10643" s="1" t="s">
        <v>45</v>
      </c>
      <c r="N10643" s="1" t="s">
        <v>38</v>
      </c>
      <c r="O10643" s="1" t="s">
        <v>46</v>
      </c>
    </row>
    <row r="10644" spans="2:15" x14ac:dyDescent="0.3">
      <c r="B10644" s="1" t="s">
        <v>21</v>
      </c>
      <c r="C10644" s="1" t="str">
        <f>"1차"</f>
        <v>1차</v>
      </c>
      <c r="D10644" s="1" t="str">
        <f>"9729R43100"</f>
        <v>9729R43100</v>
      </c>
      <c r="E10644" s="1" t="s">
        <v>10</v>
      </c>
      <c r="F10644" s="1" t="str">
        <f>"10.128.2.206"</f>
        <v>10.128.2.206</v>
      </c>
      <c r="G10644" s="1" t="str">
        <f>"9729R431"</f>
        <v>9729R431</v>
      </c>
      <c r="H10644" s="1" t="str">
        <f>"불광간 8R6L2R1"</f>
        <v>불광간 8R6L2R1</v>
      </c>
      <c r="I10644" s="1" t="s">
        <v>8</v>
      </c>
      <c r="J10644" s="1" t="str">
        <f>"6/6"</f>
        <v>6/6</v>
      </c>
      <c r="K10644" s="1" t="str">
        <f>"2026-07-29 13:18:12"</f>
        <v>2026-07-29 13:18:12</v>
      </c>
      <c r="L10644" s="1" t="str">
        <f>"2014-12-22 14:12:49"</f>
        <v>2014-12-22 14:12:49</v>
      </c>
      <c r="M10644" s="1" t="s">
        <v>45</v>
      </c>
      <c r="N10644" s="1" t="s">
        <v>38</v>
      </c>
      <c r="O10644" s="1" t="s">
        <v>46</v>
      </c>
    </row>
    <row r="10645" spans="2:15" x14ac:dyDescent="0.3">
      <c r="B10645" s="1" t="s">
        <v>21</v>
      </c>
      <c r="C10645" s="1" t="str">
        <f>"4차"</f>
        <v>4차</v>
      </c>
      <c r="D10645" s="1" t="str">
        <f>"9729R44244"</f>
        <v>9729R44244</v>
      </c>
      <c r="E10645" s="1" t="s">
        <v>10</v>
      </c>
      <c r="F10645" s="1" t="str">
        <f>"10.10.92.106"</f>
        <v>10.10.92.106</v>
      </c>
      <c r="G10645" s="1" t="str">
        <f>"9729R442"</f>
        <v>9729R442</v>
      </c>
      <c r="H10645" s="1" t="str">
        <f>"불광간 8R6L2"</f>
        <v>불광간 8R6L2</v>
      </c>
      <c r="I10645" s="1" t="s">
        <v>8</v>
      </c>
      <c r="J10645" s="1" t="str">
        <f>"21/21"</f>
        <v>21/21</v>
      </c>
      <c r="K10645" s="1" t="str">
        <f>"2026-07-29 13:18:12"</f>
        <v>2026-07-29 13:18:12</v>
      </c>
      <c r="L10645" s="1" t="str">
        <f>"2019-12-11 18:21:51"</f>
        <v>2019-12-11 18:21:51</v>
      </c>
      <c r="M10645" s="1" t="s">
        <v>1</v>
      </c>
      <c r="N10645" s="1" t="s">
        <v>38</v>
      </c>
      <c r="O10645" s="1" t="s">
        <v>46</v>
      </c>
    </row>
    <row r="10646" spans="2:15" x14ac:dyDescent="0.3">
      <c r="B10646" s="1" t="s">
        <v>21</v>
      </c>
      <c r="C10646" s="1" t="str">
        <f>"5-2차"</f>
        <v>5-2차</v>
      </c>
      <c r="D10646" s="1" t="str">
        <f>"9729R4535S"</f>
        <v>9729R4535S</v>
      </c>
      <c r="E10646" s="1" t="s">
        <v>10</v>
      </c>
      <c r="F10646" s="1" t="str">
        <f>"fde1:103:4:6e31:0:0:0:2"</f>
        <v>fde1:103:4:6e31:0:0:0:2</v>
      </c>
      <c r="G10646" s="1" t="str">
        <f>"9729R453"</f>
        <v>9729R453</v>
      </c>
      <c r="H10646" s="1" t="str">
        <f>"불광간 8R4L1"</f>
        <v>불광간 8R4L1</v>
      </c>
      <c r="I10646" s="1" t="s">
        <v>15</v>
      </c>
      <c r="J10646" s="1" t="str">
        <f>"77/78"</f>
        <v>77/78</v>
      </c>
      <c r="K10646" s="1" t="str">
        <f>"2026-07-29 14:21:18"</f>
        <v>2026-07-29 14:21:18</v>
      </c>
      <c r="L10646" s="1" t="str">
        <f>"2023-11-10 16:15:36"</f>
        <v>2023-11-10 16:15:36</v>
      </c>
      <c r="M10646" s="1" t="s">
        <v>4</v>
      </c>
      <c r="N10646" s="1" t="s">
        <v>38</v>
      </c>
      <c r="O10646" s="1" t="s">
        <v>46</v>
      </c>
    </row>
    <row r="10647" spans="2:15" x14ac:dyDescent="0.3">
      <c r="B10647" s="1" t="s">
        <v>21</v>
      </c>
      <c r="C10647" s="1" t="str">
        <f>"5-2차"</f>
        <v>5-2차</v>
      </c>
      <c r="D10647" s="1" t="str">
        <f>"9729R4645M"</f>
        <v>9729R4645M</v>
      </c>
      <c r="E10647" s="1" t="s">
        <v>10</v>
      </c>
      <c r="F10647" s="1" t="str">
        <f>"fde1:103:4:6e34:0:0:0:2"</f>
        <v>fde1:103:4:6e34:0:0:0:2</v>
      </c>
      <c r="G10647" s="1" t="str">
        <f>"9729R464"</f>
        <v>9729R464</v>
      </c>
      <c r="H10647" s="1" t="str">
        <f>"불광간 8R4L2"</f>
        <v>불광간 8R4L2</v>
      </c>
      <c r="I10647" s="1" t="s">
        <v>15</v>
      </c>
      <c r="J10647" s="1" t="str">
        <f>"73/73"</f>
        <v>73/73</v>
      </c>
      <c r="K10647" s="1" t="str">
        <f>"2026-07-29 14:21:18"</f>
        <v>2026-07-29 14:21:18</v>
      </c>
      <c r="L10647" s="1" t="str">
        <f>"2023-11-10 16:16:16"</f>
        <v>2023-11-10 16:16:16</v>
      </c>
      <c r="M10647" s="1" t="s">
        <v>4</v>
      </c>
      <c r="N10647" s="1" t="s">
        <v>38</v>
      </c>
      <c r="O10647" s="1" t="s">
        <v>46</v>
      </c>
    </row>
    <row r="10648" spans="2:15" x14ac:dyDescent="0.3">
      <c r="B10648" s="1" t="s">
        <v>21</v>
      </c>
      <c r="C10648" s="1" t="str">
        <f>"1차"</f>
        <v>1차</v>
      </c>
      <c r="D10648" s="1" t="str">
        <f>"9729R46501"</f>
        <v>9729R46501</v>
      </c>
      <c r="E10648" s="1" t="s">
        <v>14</v>
      </c>
      <c r="F10648" s="1" t="str">
        <f>"10.128.2.90"</f>
        <v>10.128.2.90</v>
      </c>
      <c r="G10648" s="1" t="str">
        <f>"9729R465"</f>
        <v>9729R465</v>
      </c>
      <c r="H10648" s="1" t="str">
        <f>"불광간 8R3"</f>
        <v>불광간 8R3</v>
      </c>
      <c r="I10648" s="1" t="s">
        <v>8</v>
      </c>
      <c r="J10648" s="1" t="str">
        <f>"0/0"</f>
        <v>0/0</v>
      </c>
      <c r="K10648" s="1" t="str">
        <f>"2026-07-29 13:18:12"</f>
        <v>2026-07-29 13:18:12</v>
      </c>
      <c r="L10648" s="1" t="str">
        <f>"2014-12-23 13:14:14"</f>
        <v>2014-12-23 13:14:14</v>
      </c>
      <c r="M10648" s="1" t="s">
        <v>45</v>
      </c>
      <c r="N10648" s="1" t="s">
        <v>38</v>
      </c>
      <c r="O10648" s="1" t="s">
        <v>44</v>
      </c>
    </row>
    <row r="10649" spans="2:15" x14ac:dyDescent="0.3">
      <c r="B10649" s="1" t="s">
        <v>21</v>
      </c>
      <c r="C10649" s="1" t="str">
        <f>"1차"</f>
        <v>1차</v>
      </c>
      <c r="D10649" s="1" t="str">
        <f>"9729R46702"</f>
        <v>9729R46702</v>
      </c>
      <c r="E10649" s="1" t="s">
        <v>10</v>
      </c>
      <c r="F10649" s="1" t="str">
        <f>"10.14.5.184"</f>
        <v>10.14.5.184</v>
      </c>
      <c r="G10649" s="1" t="str">
        <f>"9729R467"</f>
        <v>9729R467</v>
      </c>
      <c r="H10649" s="1" t="str">
        <f>"불광간 8R4"</f>
        <v>불광간 8R4</v>
      </c>
      <c r="I10649" s="1" t="s">
        <v>8</v>
      </c>
      <c r="J10649" s="1" t="str">
        <f>"15/15"</f>
        <v>15/15</v>
      </c>
      <c r="K10649" s="1" t="str">
        <f>"2026-07-29 13:18:10"</f>
        <v>2026-07-29 13:18:10</v>
      </c>
      <c r="L10649" s="1" t="str">
        <f>"2014-12-26 12:43:16"</f>
        <v>2014-12-26 12:43:16</v>
      </c>
      <c r="M10649" s="1" t="s">
        <v>3</v>
      </c>
      <c r="N10649" s="1" t="s">
        <v>38</v>
      </c>
      <c r="O10649" s="1" t="s">
        <v>46</v>
      </c>
    </row>
    <row r="10650" spans="2:15" x14ac:dyDescent="0.3">
      <c r="B10650" s="1" t="s">
        <v>21</v>
      </c>
      <c r="C10650" s="1" t="str">
        <f>"1차"</f>
        <v>1차</v>
      </c>
      <c r="D10650" s="1" t="str">
        <f>"9729R47400"</f>
        <v>9729R47400</v>
      </c>
      <c r="E10650" s="1" t="s">
        <v>10</v>
      </c>
      <c r="F10650" s="1" t="str">
        <f>"10.128.2.94"</f>
        <v>10.128.2.94</v>
      </c>
      <c r="G10650" s="1" t="str">
        <f>"9729R474"</f>
        <v>9729R474</v>
      </c>
      <c r="H10650" s="1" t="str">
        <f>"불광간 8R1"</f>
        <v>불광간 8R1</v>
      </c>
      <c r="I10650" s="1" t="s">
        <v>8</v>
      </c>
      <c r="J10650" s="1" t="str">
        <f>"8/8"</f>
        <v>8/8</v>
      </c>
      <c r="K10650" s="1" t="str">
        <f>"2026-07-29 13:18:12"</f>
        <v>2026-07-29 13:18:12</v>
      </c>
      <c r="L10650" s="1" t="str">
        <f>"2014-12-22 14:13:47"</f>
        <v>2014-12-22 14:13:47</v>
      </c>
      <c r="M10650" s="1" t="s">
        <v>45</v>
      </c>
      <c r="N10650" s="1" t="s">
        <v>38</v>
      </c>
      <c r="O10650" s="1" t="s">
        <v>46</v>
      </c>
    </row>
    <row r="10651" spans="2:15" x14ac:dyDescent="0.3">
      <c r="B10651" s="1" t="s">
        <v>21</v>
      </c>
      <c r="C10651" s="1" t="str">
        <f>"5-2차"</f>
        <v>5-2차</v>
      </c>
      <c r="D10651" s="1" t="str">
        <f>"9729R4755M"</f>
        <v>9729R4755M</v>
      </c>
      <c r="E10651" s="1" t="s">
        <v>10</v>
      </c>
      <c r="F10651" s="1" t="str">
        <f>"fde3:102:1303:1205:0:0:0:2"</f>
        <v>fde3:102:1303:1205:0:0:0:2</v>
      </c>
      <c r="G10651" s="1" t="str">
        <f>"9729R475"</f>
        <v>9729R475</v>
      </c>
      <c r="H10651" s="1" t="str">
        <f>"불광간 8"</f>
        <v>불광간 8</v>
      </c>
      <c r="I10651" s="1" t="s">
        <v>15</v>
      </c>
      <c r="J10651" s="1" t="str">
        <f>"87/87"</f>
        <v>87/87</v>
      </c>
      <c r="K10651" s="1" t="str">
        <f>"2026-07-29 14:21:18"</f>
        <v>2026-07-29 14:21:18</v>
      </c>
      <c r="L10651" s="1" t="str">
        <f>"2023-07-24 18:13:47"</f>
        <v>2023-07-24 18:13:47</v>
      </c>
      <c r="M10651" s="1" t="s">
        <v>45</v>
      </c>
      <c r="N10651" s="1" t="s">
        <v>38</v>
      </c>
      <c r="O10651" s="1" t="s">
        <v>46</v>
      </c>
    </row>
    <row r="10652" spans="2:15" x14ac:dyDescent="0.3">
      <c r="B10652" s="1" t="s">
        <v>21</v>
      </c>
      <c r="C10652" s="1" t="str">
        <f>"1차"</f>
        <v>1차</v>
      </c>
      <c r="D10652" s="1" t="str">
        <f>"9729R49100"</f>
        <v>9729R49100</v>
      </c>
      <c r="E10652" s="1" t="s">
        <v>10</v>
      </c>
      <c r="F10652" s="1" t="str">
        <f>"10.128.2.91"</f>
        <v>10.128.2.91</v>
      </c>
      <c r="G10652" s="1" t="str">
        <f>"9729R491"</f>
        <v>9729R491</v>
      </c>
      <c r="H10652" s="1" t="str">
        <f>"불광간 2R1"</f>
        <v>불광간 2R1</v>
      </c>
      <c r="I10652" s="1" t="s">
        <v>8</v>
      </c>
      <c r="J10652" s="1" t="str">
        <f>"23/24"</f>
        <v>23/24</v>
      </c>
      <c r="K10652" s="1" t="str">
        <f>"2026-07-29 13:18:12"</f>
        <v>2026-07-29 13:18:12</v>
      </c>
      <c r="L10652" s="1" t="str">
        <f>"2014-12-23 16:58:43"</f>
        <v>2014-12-23 16:58:43</v>
      </c>
      <c r="M10652" s="1" t="s">
        <v>45</v>
      </c>
      <c r="N10652" s="1" t="s">
        <v>38</v>
      </c>
      <c r="O10652" s="1" t="s">
        <v>46</v>
      </c>
    </row>
    <row r="10653" spans="2:15" x14ac:dyDescent="0.3">
      <c r="B10653" s="1" t="s">
        <v>21</v>
      </c>
      <c r="C10653" s="1" t="str">
        <f>"1차"</f>
        <v>1차</v>
      </c>
      <c r="D10653" s="1" t="str">
        <f>"9729R50200"</f>
        <v>9729R50200</v>
      </c>
      <c r="E10653" s="1" t="s">
        <v>10</v>
      </c>
      <c r="F10653" s="1" t="str">
        <f>"10.128.2.207"</f>
        <v>10.128.2.207</v>
      </c>
      <c r="G10653" s="1" t="str">
        <f>"9729R502"</f>
        <v>9729R502</v>
      </c>
      <c r="H10653" s="1" t="str">
        <f>"동명간 29R10"</f>
        <v>동명간 29R10</v>
      </c>
      <c r="I10653" s="1" t="s">
        <v>8</v>
      </c>
      <c r="J10653" s="1" t="str">
        <f>"21/22"</f>
        <v>21/22</v>
      </c>
      <c r="K10653" s="1" t="str">
        <f>"2026-07-29 13:18:12"</f>
        <v>2026-07-29 13:18:12</v>
      </c>
      <c r="L10653" s="1" t="str">
        <f>"2014-12-22 14:28:02"</f>
        <v>2014-12-22 14:28:02</v>
      </c>
      <c r="M10653" s="1" t="s">
        <v>45</v>
      </c>
      <c r="N10653" s="1" t="s">
        <v>38</v>
      </c>
      <c r="O10653" s="1" t="s">
        <v>46</v>
      </c>
    </row>
    <row r="10654" spans="2:15" x14ac:dyDescent="0.3">
      <c r="B10654" s="1" t="s">
        <v>21</v>
      </c>
      <c r="C10654" s="1" t="str">
        <f>"4차"</f>
        <v>4차</v>
      </c>
      <c r="D10654" s="1" t="str">
        <f>"9729R50D45"</f>
        <v>9729R50D45</v>
      </c>
      <c r="E10654" s="1" t="s">
        <v>10</v>
      </c>
      <c r="F10654" s="1" t="str">
        <f>"10.14.13.191"</f>
        <v>10.14.13.191</v>
      </c>
      <c r="G10654" s="1" t="str">
        <f>"9729R50D"</f>
        <v>9729R50D</v>
      </c>
      <c r="H10654" s="1" t="str">
        <f>"통일로 L25"</f>
        <v>통일로 L25</v>
      </c>
      <c r="I10654" s="1" t="s">
        <v>17</v>
      </c>
      <c r="J10654" s="1" t="str">
        <f>"17/20"</f>
        <v>17/20</v>
      </c>
      <c r="K10654" s="1" t="str">
        <f>"2026-07-29 13:18:12"</f>
        <v>2026-07-29 13:18:12</v>
      </c>
      <c r="L10654" s="1" t="str">
        <f>"2021-06-21 15:51:29"</f>
        <v>2021-06-21 15:51:29</v>
      </c>
      <c r="M10654" s="1" t="s">
        <v>3</v>
      </c>
      <c r="N10654" s="1" t="s">
        <v>38</v>
      </c>
      <c r="O10654" s="1" t="s">
        <v>46</v>
      </c>
    </row>
    <row r="10655" spans="2:15" x14ac:dyDescent="0.3">
      <c r="B10655" s="1" t="s">
        <v>21</v>
      </c>
      <c r="C10655" s="1" t="str">
        <f>"5-2차"</f>
        <v>5-2차</v>
      </c>
      <c r="D10655" s="1" t="str">
        <f>"9729R5415M"</f>
        <v>9729R5415M</v>
      </c>
      <c r="E10655" s="1" t="s">
        <v>10</v>
      </c>
      <c r="F10655" s="1" t="str">
        <f>"fde3:102:1303:1000:0:0:0:a"</f>
        <v>fde3:102:1303:1000:0:0:0:a</v>
      </c>
      <c r="G10655" s="1" t="str">
        <f>"9729R541"</f>
        <v>9729R541</v>
      </c>
      <c r="H10655" s="1" t="str">
        <f>"불광간 15A1"</f>
        <v>불광간 15A1</v>
      </c>
      <c r="I10655" s="1" t="s">
        <v>15</v>
      </c>
      <c r="J10655" s="1" t="str">
        <f>"56/57"</f>
        <v>56/57</v>
      </c>
      <c r="K10655" s="1" t="str">
        <f>"2026-07-29 14:21:21"</f>
        <v>2026-07-29 14:21:21</v>
      </c>
      <c r="L10655" s="1" t="str">
        <f>"2023-11-24 13:53:03"</f>
        <v>2023-11-24 13:53:03</v>
      </c>
      <c r="M10655" s="1" t="s">
        <v>45</v>
      </c>
      <c r="N10655" s="1" t="s">
        <v>38</v>
      </c>
      <c r="O10655" s="1" t="s">
        <v>46</v>
      </c>
    </row>
    <row r="10656" spans="2:15" x14ac:dyDescent="0.3">
      <c r="B10656" s="1" t="s">
        <v>21</v>
      </c>
      <c r="C10656" s="1" t="str">
        <f>"6차"</f>
        <v>6차</v>
      </c>
      <c r="D10656" s="1" t="str">
        <f>"9729R5436S"</f>
        <v>9729R5436S</v>
      </c>
      <c r="E10656" s="1" t="s">
        <v>10</v>
      </c>
      <c r="F10656" s="1" t="str">
        <f>"fde1:103:4:c82a:0:0:0:2"</f>
        <v>fde1:103:4:c82a:0:0:0:2</v>
      </c>
      <c r="G10656" s="1" t="str">
        <f>"9729R543"</f>
        <v>9729R543</v>
      </c>
      <c r="H10656" s="1" t="str">
        <f>"불광간 15A2"</f>
        <v>불광간 15A2</v>
      </c>
      <c r="I10656" s="1" t="s">
        <v>15</v>
      </c>
      <c r="J10656" s="1" t="str">
        <f>"29/33"</f>
        <v>29/33</v>
      </c>
      <c r="K10656" s="1" t="str">
        <f>"2026-07-29 14:21:18"</f>
        <v>2026-07-29 14:21:18</v>
      </c>
      <c r="L10656" s="1" t="str">
        <f>"2024-12-11 16:16:38"</f>
        <v>2024-12-11 16:16:38</v>
      </c>
      <c r="M10656" s="1" t="s">
        <v>4</v>
      </c>
      <c r="N10656" s="1" t="s">
        <v>38</v>
      </c>
      <c r="O10656" s="1" t="s">
        <v>46</v>
      </c>
    </row>
    <row r="10657" spans="2:15" x14ac:dyDescent="0.3">
      <c r="B10657" s="1" t="s">
        <v>21</v>
      </c>
      <c r="C10657" s="1" t="str">
        <f>"5-2차"</f>
        <v>5-2차</v>
      </c>
      <c r="D10657" s="1" t="str">
        <f>"9729R5885S"</f>
        <v>9729R5885S</v>
      </c>
      <c r="E10657" s="1" t="s">
        <v>10</v>
      </c>
      <c r="F10657" s="1" t="str">
        <f>"fde1:103:4:6e3f:0:0:0:2"</f>
        <v>fde1:103:4:6e3f:0:0:0:2</v>
      </c>
      <c r="G10657" s="1" t="str">
        <f>"9729R588"</f>
        <v>9729R588</v>
      </c>
      <c r="H10657" s="1" t="str">
        <f>"불광간 5"</f>
        <v>불광간 5</v>
      </c>
      <c r="I10657" s="1" t="s">
        <v>15</v>
      </c>
      <c r="J10657" s="1" t="str">
        <f>"47/47"</f>
        <v>47/47</v>
      </c>
      <c r="K10657" s="1" t="str">
        <f>"2026-07-29 14:21:16"</f>
        <v>2026-07-29 14:21:16</v>
      </c>
      <c r="L10657" s="1" t="str">
        <f>"2023-11-14 09:22:43"</f>
        <v>2023-11-14 09:22:43</v>
      </c>
      <c r="M10657" s="1" t="s">
        <v>4</v>
      </c>
      <c r="N10657" s="1" t="s">
        <v>38</v>
      </c>
      <c r="O10657" s="1" t="s">
        <v>46</v>
      </c>
    </row>
    <row r="10658" spans="2:15" x14ac:dyDescent="0.3">
      <c r="B10658" s="1" t="s">
        <v>21</v>
      </c>
      <c r="C10658" s="1" t="str">
        <f>"6차"</f>
        <v>6차</v>
      </c>
      <c r="D10658" s="1" t="str">
        <f>"9729R6216S"</f>
        <v>9729R6216S</v>
      </c>
      <c r="E10658" s="1" t="s">
        <v>10</v>
      </c>
      <c r="F10658" s="1" t="str">
        <f>"fde1:103:4:c742:0:0:0:2"</f>
        <v>fde1:103:4:c742:0:0:0:2</v>
      </c>
      <c r="G10658" s="1" t="str">
        <f>"9729R621"</f>
        <v>9729R621</v>
      </c>
      <c r="H10658" s="1" t="str">
        <f>"불광간 15R3"</f>
        <v>불광간 15R3</v>
      </c>
      <c r="I10658" s="1" t="s">
        <v>15</v>
      </c>
      <c r="J10658" s="1" t="str">
        <f>"42/51"</f>
        <v>42/51</v>
      </c>
      <c r="K10658" s="1" t="str">
        <f>"2026-07-29 14:21:07"</f>
        <v>2026-07-29 14:21:07</v>
      </c>
      <c r="L10658" s="1" t="str">
        <f>"2024-12-11 15:56:33"</f>
        <v>2024-12-11 15:56:33</v>
      </c>
      <c r="M10658" s="1" t="s">
        <v>4</v>
      </c>
      <c r="N10658" s="1" t="s">
        <v>38</v>
      </c>
      <c r="O10658" s="1" t="s">
        <v>46</v>
      </c>
    </row>
    <row r="10659" spans="2:15" x14ac:dyDescent="0.3">
      <c r="B10659" s="1" t="s">
        <v>21</v>
      </c>
      <c r="C10659" s="1" t="str">
        <f>"6차"</f>
        <v>6차</v>
      </c>
      <c r="D10659" s="1" t="str">
        <f>"9729R6346S"</f>
        <v>9729R6346S</v>
      </c>
      <c r="E10659" s="1" t="s">
        <v>10</v>
      </c>
      <c r="F10659" s="1" t="str">
        <f>"fde1:103:4:c833:0:0:0:2"</f>
        <v>fde1:103:4:c833:0:0:0:2</v>
      </c>
      <c r="G10659" s="1" t="str">
        <f>"9729R634"</f>
        <v>9729R634</v>
      </c>
      <c r="H10659" s="1" t="str">
        <f>"불광간 15R1"</f>
        <v>불광간 15R1</v>
      </c>
      <c r="I10659" s="1" t="s">
        <v>15</v>
      </c>
      <c r="J10659" s="1" t="str">
        <f>"24/24"</f>
        <v>24/24</v>
      </c>
      <c r="K10659" s="1" t="str">
        <f>"2026-07-29 14:21:19"</f>
        <v>2026-07-29 14:21:19</v>
      </c>
      <c r="L10659" s="1" t="str">
        <f>"2024-12-11 16:09:15"</f>
        <v>2024-12-11 16:09:15</v>
      </c>
      <c r="M10659" s="1" t="s">
        <v>4</v>
      </c>
      <c r="N10659" s="1" t="s">
        <v>38</v>
      </c>
      <c r="O10659" s="1" t="s">
        <v>46</v>
      </c>
    </row>
    <row r="10660" spans="2:15" x14ac:dyDescent="0.3">
      <c r="B10660" s="1" t="s">
        <v>21</v>
      </c>
      <c r="C10660" s="1" t="str">
        <f>"5-1차"</f>
        <v>5-1차</v>
      </c>
      <c r="D10660" s="1" t="str">
        <f>"9729R6645M"</f>
        <v>9729R6645M</v>
      </c>
      <c r="E10660" s="1" t="s">
        <v>10</v>
      </c>
      <c r="F10660" s="1" t="str">
        <f>"fde2:104:0:e1:0:0:0:2"</f>
        <v>fde2:104:0:e1:0:0:0:2</v>
      </c>
      <c r="G10660" s="1" t="str">
        <f>"9729R664"</f>
        <v>9729R664</v>
      </c>
      <c r="H10660" s="1" t="str">
        <f>"불광간 11L1"</f>
        <v>불광간 11L1</v>
      </c>
      <c r="I10660" s="1" t="s">
        <v>15</v>
      </c>
      <c r="J10660" s="1" t="str">
        <f>"52/52"</f>
        <v>52/52</v>
      </c>
      <c r="K10660" s="1" t="str">
        <f>"2026-07-29 14:21:09"</f>
        <v>2026-07-29 14:21:09</v>
      </c>
      <c r="L10660" s="1" t="str">
        <f>"2022-09-08 10:33:11"</f>
        <v>2022-09-08 10:33:11</v>
      </c>
      <c r="M10660" s="1" t="s">
        <v>42</v>
      </c>
      <c r="N10660" s="1" t="s">
        <v>38</v>
      </c>
      <c r="O10660" s="1" t="s">
        <v>46</v>
      </c>
    </row>
    <row r="10661" spans="2:15" x14ac:dyDescent="0.3">
      <c r="B10661" s="1" t="s">
        <v>21</v>
      </c>
      <c r="C10661" s="1" t="str">
        <f t="shared" ref="C10661:C10674" si="533">"5-2차"</f>
        <v>5-2차</v>
      </c>
      <c r="D10661" s="1" t="str">
        <f>"9729R6735M"</f>
        <v>9729R6735M</v>
      </c>
      <c r="E10661" s="1" t="s">
        <v>10</v>
      </c>
      <c r="F10661" s="1" t="str">
        <f>"fde1:103:4:6e3b:0:0:0:2"</f>
        <v>fde1:103:4:6e3b:0:0:0:2</v>
      </c>
      <c r="G10661" s="1" t="str">
        <f>"9729R673"</f>
        <v>9729R673</v>
      </c>
      <c r="H10661" s="1" t="str">
        <f>"불광간 10H1"</f>
        <v>불광간 10H1</v>
      </c>
      <c r="I10661" s="1" t="s">
        <v>15</v>
      </c>
      <c r="J10661" s="1" t="str">
        <f>"65/65"</f>
        <v>65/65</v>
      </c>
      <c r="K10661" s="1" t="str">
        <f>"2026-07-29 14:21:19"</f>
        <v>2026-07-29 14:21:19</v>
      </c>
      <c r="L10661" s="1" t="str">
        <f>"2023-11-15 10:35:12"</f>
        <v>2023-11-15 10:35:12</v>
      </c>
      <c r="M10661" s="1" t="s">
        <v>4</v>
      </c>
      <c r="N10661" s="1" t="s">
        <v>38</v>
      </c>
      <c r="O10661" s="1" t="s">
        <v>46</v>
      </c>
    </row>
    <row r="10662" spans="2:15" x14ac:dyDescent="0.3">
      <c r="B10662" s="1" t="s">
        <v>21</v>
      </c>
      <c r="C10662" s="1" t="str">
        <f t="shared" si="533"/>
        <v>5-2차</v>
      </c>
      <c r="D10662" s="1" t="str">
        <f>"9729R7415M"</f>
        <v>9729R7415M</v>
      </c>
      <c r="E10662" s="1" t="s">
        <v>10</v>
      </c>
      <c r="F10662" s="1" t="str">
        <f>"fde1:103:4:6e3d:0:0:0:2"</f>
        <v>fde1:103:4:6e3d:0:0:0:2</v>
      </c>
      <c r="G10662" s="1" t="str">
        <f>"9729R741"</f>
        <v>9729R741</v>
      </c>
      <c r="H10662" s="1" t="str">
        <f>"불광간 16L1"</f>
        <v>불광간 16L1</v>
      </c>
      <c r="I10662" s="1" t="s">
        <v>15</v>
      </c>
      <c r="J10662" s="1" t="str">
        <f>"87/87"</f>
        <v>87/87</v>
      </c>
      <c r="K10662" s="1" t="str">
        <f>"2026-07-29 14:21:19"</f>
        <v>2026-07-29 14:21:19</v>
      </c>
      <c r="L10662" s="1" t="str">
        <f>"2023-11-10 16:38:47"</f>
        <v>2023-11-10 16:38:47</v>
      </c>
      <c r="M10662" s="1" t="s">
        <v>4</v>
      </c>
      <c r="N10662" s="1" t="s">
        <v>38</v>
      </c>
      <c r="O10662" s="1" t="s">
        <v>46</v>
      </c>
    </row>
    <row r="10663" spans="2:15" x14ac:dyDescent="0.3">
      <c r="B10663" s="1" t="s">
        <v>21</v>
      </c>
      <c r="C10663" s="1" t="str">
        <f t="shared" si="533"/>
        <v>5-2차</v>
      </c>
      <c r="D10663" s="1" t="str">
        <f>"9729R7735M"</f>
        <v>9729R7735M</v>
      </c>
      <c r="E10663" s="1" t="s">
        <v>10</v>
      </c>
      <c r="F10663" s="1" t="str">
        <f>"fde1:103:4:6e42:0:0:0:2"</f>
        <v>fde1:103:4:6e42:0:0:0:2</v>
      </c>
      <c r="G10663" s="1" t="str">
        <f>"9729R773"</f>
        <v>9729R773</v>
      </c>
      <c r="H10663" s="1" t="str">
        <f>"불광간 9L4"</f>
        <v>불광간 9L4</v>
      </c>
      <c r="I10663" s="1" t="s">
        <v>15</v>
      </c>
      <c r="J10663" s="1" t="str">
        <f>"58/58"</f>
        <v>58/58</v>
      </c>
      <c r="K10663" s="1" t="str">
        <f>"2026-07-29 14:21:19"</f>
        <v>2026-07-29 14:21:19</v>
      </c>
      <c r="L10663" s="1" t="str">
        <f>"2023-11-15 10:40:04"</f>
        <v>2023-11-15 10:40:04</v>
      </c>
      <c r="M10663" s="1" t="s">
        <v>4</v>
      </c>
      <c r="N10663" s="1" t="s">
        <v>38</v>
      </c>
      <c r="O10663" s="1" t="s">
        <v>46</v>
      </c>
    </row>
    <row r="10664" spans="2:15" x14ac:dyDescent="0.3">
      <c r="B10664" s="1" t="s">
        <v>21</v>
      </c>
      <c r="C10664" s="1" t="str">
        <f t="shared" si="533"/>
        <v>5-2차</v>
      </c>
      <c r="D10664" s="1" t="str">
        <f>"9729R7835M"</f>
        <v>9729R7835M</v>
      </c>
      <c r="E10664" s="1" t="s">
        <v>10</v>
      </c>
      <c r="F10664" s="1" t="str">
        <f>"fde1:103:4:6e3a:0:0:0:2"</f>
        <v>fde1:103:4:6e3a:0:0:0:2</v>
      </c>
      <c r="G10664" s="1" t="str">
        <f>"9729R783"</f>
        <v>9729R783</v>
      </c>
      <c r="H10664" s="1" t="str">
        <f>"진성간 18R4R5"</f>
        <v>진성간 18R4R5</v>
      </c>
      <c r="I10664" s="1" t="s">
        <v>15</v>
      </c>
      <c r="J10664" s="1" t="str">
        <f>"66/66"</f>
        <v>66/66</v>
      </c>
      <c r="K10664" s="1" t="str">
        <f>"2026-07-29 14:21:08"</f>
        <v>2026-07-29 14:21:08</v>
      </c>
      <c r="L10664" s="1" t="str">
        <f>"2023-11-15 10:29:42"</f>
        <v>2023-11-15 10:29:42</v>
      </c>
      <c r="M10664" s="1" t="s">
        <v>4</v>
      </c>
      <c r="N10664" s="1" t="s">
        <v>38</v>
      </c>
      <c r="O10664" s="1" t="s">
        <v>46</v>
      </c>
    </row>
    <row r="10665" spans="2:15" x14ac:dyDescent="0.3">
      <c r="B10665" s="1" t="s">
        <v>21</v>
      </c>
      <c r="C10665" s="1" t="str">
        <f t="shared" si="533"/>
        <v>5-2차</v>
      </c>
      <c r="D10665" s="1" t="str">
        <f>"9729R7925S"</f>
        <v>9729R7925S</v>
      </c>
      <c r="E10665" s="1" t="s">
        <v>10</v>
      </c>
      <c r="F10665" s="1" t="str">
        <f>"fde3:102:1303:1002:0:0:0:6"</f>
        <v>fde3:102:1303:1002:0:0:0:6</v>
      </c>
      <c r="G10665" s="1" t="str">
        <f>"9729R792"</f>
        <v>9729R792</v>
      </c>
      <c r="H10665" s="1" t="str">
        <f>"진성간 18R4R4"</f>
        <v>진성간 18R4R4</v>
      </c>
      <c r="I10665" s="1" t="s">
        <v>15</v>
      </c>
      <c r="J10665" s="1" t="str">
        <f>"50/50"</f>
        <v>50/50</v>
      </c>
      <c r="K10665" s="1" t="str">
        <f>"2026-07-29 14:21:08"</f>
        <v>2026-07-29 14:21:08</v>
      </c>
      <c r="L10665" s="1" t="str">
        <f>"2023-06-28 15:28:24"</f>
        <v>2023-06-28 15:28:24</v>
      </c>
      <c r="M10665" s="1" t="s">
        <v>45</v>
      </c>
      <c r="N10665" s="1" t="s">
        <v>38</v>
      </c>
      <c r="O10665" s="1" t="s">
        <v>46</v>
      </c>
    </row>
    <row r="10666" spans="2:15" x14ac:dyDescent="0.3">
      <c r="B10666" s="1" t="s">
        <v>21</v>
      </c>
      <c r="C10666" s="1" t="str">
        <f t="shared" si="533"/>
        <v>5-2차</v>
      </c>
      <c r="D10666" s="1" t="str">
        <f>"9729R8525S"</f>
        <v>9729R8525S</v>
      </c>
      <c r="E10666" s="1" t="s">
        <v>10</v>
      </c>
      <c r="F10666" s="1" t="str">
        <f>"fde1:103:4:6e3e:0:0:0:2"</f>
        <v>fde1:103:4:6e3e:0:0:0:2</v>
      </c>
      <c r="G10666" s="1" t="str">
        <f>"9729R852"</f>
        <v>9729R852</v>
      </c>
      <c r="H10666" s="1" t="str">
        <f>"불광간 16L5"</f>
        <v>불광간 16L5</v>
      </c>
      <c r="I10666" s="1" t="s">
        <v>15</v>
      </c>
      <c r="J10666" s="1" t="str">
        <f>"65/65"</f>
        <v>65/65</v>
      </c>
      <c r="K10666" s="1" t="str">
        <f>"2026-07-29 14:21:19"</f>
        <v>2026-07-29 14:21:19</v>
      </c>
      <c r="L10666" s="1" t="str">
        <f>"2023-11-10 16:39:26"</f>
        <v>2023-11-10 16:39:26</v>
      </c>
      <c r="M10666" s="1" t="s">
        <v>4</v>
      </c>
      <c r="N10666" s="1" t="s">
        <v>38</v>
      </c>
      <c r="O10666" s="1" t="s">
        <v>46</v>
      </c>
    </row>
    <row r="10667" spans="2:15" x14ac:dyDescent="0.3">
      <c r="B10667" s="1" t="s">
        <v>21</v>
      </c>
      <c r="C10667" s="1" t="str">
        <f t="shared" si="533"/>
        <v>5-2차</v>
      </c>
      <c r="D10667" s="1" t="str">
        <f>"9729R8625S"</f>
        <v>9729R8625S</v>
      </c>
      <c r="E10667" s="1" t="s">
        <v>10</v>
      </c>
      <c r="F10667" s="1" t="str">
        <f>"fde3:102:1303:1206:0:0:0:2"</f>
        <v>fde3:102:1303:1206:0:0:0:2</v>
      </c>
      <c r="G10667" s="1" t="str">
        <f>"9729R862"</f>
        <v>9729R862</v>
      </c>
      <c r="H10667" s="1" t="str">
        <f>"불광간 9L6"</f>
        <v>불광간 9L6</v>
      </c>
      <c r="I10667" s="1" t="s">
        <v>15</v>
      </c>
      <c r="J10667" s="1" t="str">
        <f>"52/52"</f>
        <v>52/52</v>
      </c>
      <c r="K10667" s="1" t="str">
        <f>"2026-07-29 14:21:08"</f>
        <v>2026-07-29 14:21:08</v>
      </c>
      <c r="L10667" s="1" t="str">
        <f>"2023-06-30 10:35:29"</f>
        <v>2023-06-30 10:35:29</v>
      </c>
      <c r="M10667" s="1" t="s">
        <v>45</v>
      </c>
      <c r="N10667" s="1" t="s">
        <v>38</v>
      </c>
      <c r="O10667" s="1" t="s">
        <v>46</v>
      </c>
    </row>
    <row r="10668" spans="2:15" x14ac:dyDescent="0.3">
      <c r="B10668" s="1" t="s">
        <v>21</v>
      </c>
      <c r="C10668" s="1" t="str">
        <f t="shared" si="533"/>
        <v>5-2차</v>
      </c>
      <c r="D10668" s="1" t="str">
        <f>"9729R9715S"</f>
        <v>9729R9715S</v>
      </c>
      <c r="E10668" s="1" t="s">
        <v>10</v>
      </c>
      <c r="F10668" s="1" t="str">
        <f>"fde3:102:1303:f09:0:0:0:2"</f>
        <v>fde3:102:1303:f09:0:0:0:2</v>
      </c>
      <c r="G10668" s="1" t="str">
        <f>"9729R971"</f>
        <v>9729R971</v>
      </c>
      <c r="H10668" s="1" t="str">
        <f>"불광간 9L5L1R1"</f>
        <v>불광간 9L5L1R1</v>
      </c>
      <c r="I10668" s="1" t="s">
        <v>15</v>
      </c>
      <c r="J10668" s="1" t="str">
        <f>"28/28"</f>
        <v>28/28</v>
      </c>
      <c r="K10668" s="1" t="str">
        <f>"2026-07-29 14:21:08"</f>
        <v>2026-07-29 14:21:08</v>
      </c>
      <c r="L10668" s="1" t="str">
        <f>"2023-07-03 15:38:52"</f>
        <v>2023-07-03 15:38:52</v>
      </c>
      <c r="M10668" s="1" t="s">
        <v>45</v>
      </c>
      <c r="N10668" s="1" t="s">
        <v>38</v>
      </c>
      <c r="O10668" s="1" t="s">
        <v>46</v>
      </c>
    </row>
    <row r="10669" spans="2:15" x14ac:dyDescent="0.3">
      <c r="B10669" s="1" t="s">
        <v>21</v>
      </c>
      <c r="C10669" s="1" t="str">
        <f t="shared" si="533"/>
        <v>5-2차</v>
      </c>
      <c r="D10669" s="1" t="str">
        <f>"9729R9725M"</f>
        <v>9729R9725M</v>
      </c>
      <c r="E10669" s="1" t="s">
        <v>10</v>
      </c>
      <c r="F10669" s="1" t="str">
        <f>"fde1:103:4:6e41:0:0:0:2"</f>
        <v>fde1:103:4:6e41:0:0:0:2</v>
      </c>
      <c r="G10669" s="1" t="str">
        <f>"9729R972"</f>
        <v>9729R972</v>
      </c>
      <c r="H10669" s="1" t="str">
        <f>"불광간 9L5L2"</f>
        <v>불광간 9L5L2</v>
      </c>
      <c r="I10669" s="1" t="s">
        <v>15</v>
      </c>
      <c r="J10669" s="1" t="str">
        <f>"67/67"</f>
        <v>67/67</v>
      </c>
      <c r="K10669" s="1" t="str">
        <f>"2026-07-29 14:21:09"</f>
        <v>2026-07-29 14:21:09</v>
      </c>
      <c r="L10669" s="1" t="str">
        <f>"2023-11-15 10:45:01"</f>
        <v>2023-11-15 10:45:01</v>
      </c>
      <c r="M10669" s="1" t="s">
        <v>4</v>
      </c>
      <c r="N10669" s="1" t="s">
        <v>38</v>
      </c>
      <c r="O10669" s="1" t="s">
        <v>46</v>
      </c>
    </row>
    <row r="10670" spans="2:15" x14ac:dyDescent="0.3">
      <c r="B10670" s="1" t="s">
        <v>21</v>
      </c>
      <c r="C10670" s="1" t="str">
        <f t="shared" si="533"/>
        <v>5-2차</v>
      </c>
      <c r="D10670" s="1" t="str">
        <f>"9729R9925S"</f>
        <v>9729R9925S</v>
      </c>
      <c r="E10670" s="1" t="s">
        <v>10</v>
      </c>
      <c r="F10670" s="1" t="str">
        <f>"fde3:102:1303:1002:0:0:0:7"</f>
        <v>fde3:102:1303:1002:0:0:0:7</v>
      </c>
      <c r="G10670" s="1" t="str">
        <f>"9729R992"</f>
        <v>9729R992</v>
      </c>
      <c r="H10670" s="1" t="str">
        <f>"진성간 18R6"</f>
        <v>진성간 18R6</v>
      </c>
      <c r="I10670" s="1" t="s">
        <v>15</v>
      </c>
      <c r="J10670" s="1" t="str">
        <f>"69/69"</f>
        <v>69/69</v>
      </c>
      <c r="K10670" s="1" t="str">
        <f>"2026-07-29 14:21:19"</f>
        <v>2026-07-29 14:21:19</v>
      </c>
      <c r="L10670" s="1" t="str">
        <f>"2023-06-30 12:10:07"</f>
        <v>2023-06-30 12:10:07</v>
      </c>
      <c r="M10670" s="1" t="s">
        <v>45</v>
      </c>
      <c r="N10670" s="1" t="s">
        <v>38</v>
      </c>
      <c r="O10670" s="1" t="s">
        <v>46</v>
      </c>
    </row>
    <row r="10671" spans="2:15" x14ac:dyDescent="0.3">
      <c r="B10671" s="1" t="s">
        <v>21</v>
      </c>
      <c r="C10671" s="1" t="str">
        <f t="shared" si="533"/>
        <v>5-2차</v>
      </c>
      <c r="D10671" s="1" t="str">
        <f>"9729S0625S"</f>
        <v>9729S0625S</v>
      </c>
      <c r="E10671" s="1" t="s">
        <v>10</v>
      </c>
      <c r="F10671" s="1" t="str">
        <f>"fde3:102:1303:1203:0:0:0:5"</f>
        <v>fde3:102:1303:1203:0:0:0:5</v>
      </c>
      <c r="G10671" s="1" t="str">
        <f>"9729S062"</f>
        <v>9729S062</v>
      </c>
      <c r="H10671" s="1" t="str">
        <f>"불광간 9L5L1R2"</f>
        <v>불광간 9L5L1R2</v>
      </c>
      <c r="I10671" s="1" t="s">
        <v>15</v>
      </c>
      <c r="J10671" s="1" t="str">
        <f>"45/51"</f>
        <v>45/51</v>
      </c>
      <c r="K10671" s="1" t="str">
        <f>"2026-07-29 14:21:19"</f>
        <v>2026-07-29 14:21:19</v>
      </c>
      <c r="L10671" s="1" t="str">
        <f>"2023-06-30 11:07:39"</f>
        <v>2023-06-30 11:07:39</v>
      </c>
      <c r="M10671" s="1" t="s">
        <v>45</v>
      </c>
      <c r="N10671" s="1" t="s">
        <v>38</v>
      </c>
      <c r="O10671" s="1" t="s">
        <v>46</v>
      </c>
    </row>
    <row r="10672" spans="2:15" x14ac:dyDescent="0.3">
      <c r="B10672" s="1" t="s">
        <v>21</v>
      </c>
      <c r="C10672" s="1" t="str">
        <f t="shared" si="533"/>
        <v>5-2차</v>
      </c>
      <c r="D10672" s="1" t="str">
        <f>"9729S1525S"</f>
        <v>9729S1525S</v>
      </c>
      <c r="E10672" s="1" t="s">
        <v>10</v>
      </c>
      <c r="F10672" s="1" t="str">
        <f>"fde3:102:1303:1203:0:0:0:4"</f>
        <v>fde3:102:1303:1203:0:0:0:4</v>
      </c>
      <c r="G10672" s="1" t="str">
        <f>"9729S152"</f>
        <v>9729S152</v>
      </c>
      <c r="H10672" s="1" t="str">
        <f>"불광간 9L11"</f>
        <v>불광간 9L11</v>
      </c>
      <c r="I10672" s="1" t="s">
        <v>15</v>
      </c>
      <c r="J10672" s="1" t="str">
        <f>"68/68"</f>
        <v>68/68</v>
      </c>
      <c r="K10672" s="1" t="str">
        <f>"2026-07-29 14:21:21"</f>
        <v>2026-07-29 14:21:21</v>
      </c>
      <c r="L10672" s="1" t="str">
        <f>"2023-07-06 08:17:55"</f>
        <v>2023-07-06 08:17:55</v>
      </c>
      <c r="M10672" s="1" t="s">
        <v>45</v>
      </c>
      <c r="N10672" s="1" t="s">
        <v>38</v>
      </c>
      <c r="O10672" s="1" t="s">
        <v>46</v>
      </c>
    </row>
    <row r="10673" spans="2:15" x14ac:dyDescent="0.3">
      <c r="B10673" s="1" t="s">
        <v>21</v>
      </c>
      <c r="C10673" s="1" t="str">
        <f t="shared" si="533"/>
        <v>5-2차</v>
      </c>
      <c r="D10673" s="1" t="str">
        <f>"9729S1535M"</f>
        <v>9729S1535M</v>
      </c>
      <c r="E10673" s="1" t="s">
        <v>10</v>
      </c>
      <c r="F10673" s="1" t="str">
        <f>"fde3:102:1303:1203:0:0:0:3"</f>
        <v>fde3:102:1303:1203:0:0:0:3</v>
      </c>
      <c r="G10673" s="1" t="str">
        <f>"9729S153"</f>
        <v>9729S153</v>
      </c>
      <c r="H10673" s="1" t="str">
        <f>"불광간 9L10"</f>
        <v>불광간 9L10</v>
      </c>
      <c r="I10673" s="1" t="s">
        <v>15</v>
      </c>
      <c r="J10673" s="1" t="str">
        <f>"69/69"</f>
        <v>69/69</v>
      </c>
      <c r="K10673" s="1" t="str">
        <f>"2026-07-29 14:21:19"</f>
        <v>2026-07-29 14:21:19</v>
      </c>
      <c r="L10673" s="1" t="str">
        <f>"2023-07-24 21:42:34"</f>
        <v>2023-07-24 21:42:34</v>
      </c>
      <c r="M10673" s="1" t="s">
        <v>45</v>
      </c>
      <c r="N10673" s="1" t="s">
        <v>38</v>
      </c>
      <c r="O10673" s="1" t="s">
        <v>46</v>
      </c>
    </row>
    <row r="10674" spans="2:15" x14ac:dyDescent="0.3">
      <c r="B10674" s="1" t="s">
        <v>21</v>
      </c>
      <c r="C10674" s="1" t="str">
        <f t="shared" si="533"/>
        <v>5-2차</v>
      </c>
      <c r="D10674" s="1" t="str">
        <f>"9729S1825S"</f>
        <v>9729S1825S</v>
      </c>
      <c r="E10674" s="1" t="s">
        <v>10</v>
      </c>
      <c r="F10674" s="1" t="str">
        <f>"fde3:102:1303:f09:0:0:0:3"</f>
        <v>fde3:102:1303:f09:0:0:0:3</v>
      </c>
      <c r="G10674" s="1" t="str">
        <f>"9729S182"</f>
        <v>9729S182</v>
      </c>
      <c r="H10674" s="1" t="str">
        <f>"불광간 9L5L5"</f>
        <v>불광간 9L5L5</v>
      </c>
      <c r="I10674" s="1" t="s">
        <v>15</v>
      </c>
      <c r="J10674" s="1" t="str">
        <f>"42/42"</f>
        <v>42/42</v>
      </c>
      <c r="K10674" s="1" t="str">
        <f>"2026-07-29 14:21:19"</f>
        <v>2026-07-29 14:21:19</v>
      </c>
      <c r="L10674" s="1" t="str">
        <f>"2023-06-30 11:38:06"</f>
        <v>2023-06-30 11:38:06</v>
      </c>
      <c r="M10674" s="1" t="s">
        <v>45</v>
      </c>
      <c r="N10674" s="1" t="s">
        <v>38</v>
      </c>
      <c r="O10674" s="1" t="s">
        <v>46</v>
      </c>
    </row>
    <row r="10675" spans="2:15" x14ac:dyDescent="0.3">
      <c r="B10675" s="1" t="s">
        <v>21</v>
      </c>
      <c r="C10675" s="1" t="str">
        <f>"5-1차"</f>
        <v>5-1차</v>
      </c>
      <c r="D10675" s="1" t="str">
        <f>"9729S2935M"</f>
        <v>9729S2935M</v>
      </c>
      <c r="E10675" s="1" t="s">
        <v>10</v>
      </c>
      <c r="F10675" s="1" t="str">
        <f>"fde3:102:1303:1002:0:0:0:5"</f>
        <v>fde3:102:1303:1002:0:0:0:5</v>
      </c>
      <c r="G10675" s="1" t="str">
        <f>"9729S293"</f>
        <v>9729S293</v>
      </c>
      <c r="H10675" s="1" t="str">
        <f>"진성간 21R6R7"</f>
        <v>진성간 21R6R7</v>
      </c>
      <c r="I10675" s="1" t="s">
        <v>15</v>
      </c>
      <c r="J10675" s="1" t="str">
        <f>"42/42"</f>
        <v>42/42</v>
      </c>
      <c r="K10675" s="1" t="str">
        <f>"2026-07-29 14:21:21"</f>
        <v>2026-07-29 14:21:21</v>
      </c>
      <c r="L10675" s="1" t="str">
        <f>"2022-11-09 09:11:55"</f>
        <v>2022-11-09 09:11:55</v>
      </c>
      <c r="M10675" s="1" t="s">
        <v>45</v>
      </c>
      <c r="N10675" s="1" t="s">
        <v>38</v>
      </c>
      <c r="O10675" s="1" t="s">
        <v>46</v>
      </c>
    </row>
    <row r="10676" spans="2:15" x14ac:dyDescent="0.3">
      <c r="B10676" s="1" t="s">
        <v>21</v>
      </c>
      <c r="C10676" s="1" t="str">
        <f>"4차"</f>
        <v>4차</v>
      </c>
      <c r="D10676" s="1" t="str">
        <f>"9729S71139"</f>
        <v>9729S71139</v>
      </c>
      <c r="E10676" s="1" t="s">
        <v>14</v>
      </c>
      <c r="F10676" s="1" t="str">
        <f>"10.12.130.37"</f>
        <v>10.12.130.37</v>
      </c>
      <c r="G10676" s="1" t="str">
        <f>"9729S711"</f>
        <v>9729S711</v>
      </c>
      <c r="H10676" s="1" t="str">
        <f>"독박간 15L3R5"</f>
        <v>독박간 15L3R5</v>
      </c>
      <c r="I10676" s="1" t="s">
        <v>17</v>
      </c>
      <c r="J10676" s="1" t="str">
        <f>"0/0"</f>
        <v>0/0</v>
      </c>
      <c r="K10676" s="1" t="str">
        <f>"2026-04-22 07:18:11"</f>
        <v>2026-04-22 07:18:11</v>
      </c>
      <c r="L10676" s="1" t="str">
        <f>"2020-11-20 11:47:41"</f>
        <v>2020-11-20 11:47:41</v>
      </c>
      <c r="M10676" s="1" t="s">
        <v>0</v>
      </c>
      <c r="N10676" s="1" t="s">
        <v>39</v>
      </c>
      <c r="O10676" s="1" t="s">
        <v>46</v>
      </c>
    </row>
    <row r="10677" spans="2:15" x14ac:dyDescent="0.3">
      <c r="B10677" s="1" t="s">
        <v>21</v>
      </c>
      <c r="C10677" s="1" t="str">
        <f>"5-2차"</f>
        <v>5-2차</v>
      </c>
      <c r="D10677" s="1" t="str">
        <f>"9729S7635M"</f>
        <v>9729S7635M</v>
      </c>
      <c r="E10677" s="1" t="s">
        <v>10</v>
      </c>
      <c r="F10677" s="1" t="str">
        <f>"fde1:103:4:6e3c:0:0:0:2"</f>
        <v>fde1:103:4:6e3c:0:0:0:2</v>
      </c>
      <c r="G10677" s="1" t="str">
        <f>"9729S763"</f>
        <v>9729S763</v>
      </c>
      <c r="H10677" s="1" t="str">
        <f>"독박간 34L6H1R1"</f>
        <v>독박간 34L6H1R1</v>
      </c>
      <c r="I10677" s="1" t="s">
        <v>15</v>
      </c>
      <c r="J10677" s="1" t="str">
        <f>"64/64"</f>
        <v>64/64</v>
      </c>
      <c r="K10677" s="1" t="str">
        <f>"2026-07-29 08:21:21"</f>
        <v>2026-07-29 08:21:21</v>
      </c>
      <c r="L10677" s="1" t="str">
        <f>"2023-11-15 10:55:48"</f>
        <v>2023-11-15 10:55:48</v>
      </c>
      <c r="M10677" s="1" t="s">
        <v>4</v>
      </c>
      <c r="N10677" s="1" t="s">
        <v>38</v>
      </c>
      <c r="O10677" s="1" t="s">
        <v>46</v>
      </c>
    </row>
    <row r="10678" spans="2:15" x14ac:dyDescent="0.3">
      <c r="B10678" s="1" t="s">
        <v>21</v>
      </c>
      <c r="C10678" s="1" t="str">
        <f>"5-2차"</f>
        <v>5-2차</v>
      </c>
      <c r="D10678" s="1" t="str">
        <f>"9729S7825S"</f>
        <v>9729S7825S</v>
      </c>
      <c r="E10678" s="1" t="s">
        <v>10</v>
      </c>
      <c r="F10678" s="1" t="str">
        <f>"fde3:102:1303:f07:0:0:0:2"</f>
        <v>fde3:102:1303:f07:0:0:0:2</v>
      </c>
      <c r="G10678" s="1" t="str">
        <f>"9729S782"</f>
        <v>9729S782</v>
      </c>
      <c r="H10678" s="1" t="str">
        <f>"독박간 34L5R3L1"</f>
        <v>독박간 34L5R3L1</v>
      </c>
      <c r="I10678" s="1" t="s">
        <v>15</v>
      </c>
      <c r="J10678" s="1" t="str">
        <f>"71/71"</f>
        <v>71/71</v>
      </c>
      <c r="K10678" s="1" t="str">
        <f>"2026-07-29 14:21:16"</f>
        <v>2026-07-29 14:21:16</v>
      </c>
      <c r="L10678" s="1" t="str">
        <f>"2023-06-30 15:04:48"</f>
        <v>2023-06-30 15:04:48</v>
      </c>
      <c r="M10678" s="1" t="s">
        <v>45</v>
      </c>
      <c r="N10678" s="1" t="s">
        <v>38</v>
      </c>
      <c r="O10678" s="1" t="s">
        <v>46</v>
      </c>
    </row>
    <row r="10679" spans="2:15" x14ac:dyDescent="0.3">
      <c r="B10679" s="1" t="s">
        <v>21</v>
      </c>
      <c r="C10679" s="1" t="str">
        <f>"5-1차"</f>
        <v>5-1차</v>
      </c>
      <c r="D10679" s="1" t="str">
        <f>"9729S7915S"</f>
        <v>9729S7915S</v>
      </c>
      <c r="E10679" s="1" t="s">
        <v>10</v>
      </c>
      <c r="F10679" s="1" t="str">
        <f>"fde2:104:0:e0:0:0:0:2"</f>
        <v>fde2:104:0:e0:0:0:0:2</v>
      </c>
      <c r="G10679" s="1" t="str">
        <f>"9729S791"</f>
        <v>9729S791</v>
      </c>
      <c r="H10679" s="1" t="str">
        <f>"독박간 39L1"</f>
        <v>독박간 39L1</v>
      </c>
      <c r="I10679" s="1" t="s">
        <v>15</v>
      </c>
      <c r="J10679" s="1" t="str">
        <f>"40/49"</f>
        <v>40/49</v>
      </c>
      <c r="K10679" s="1" t="str">
        <f>"2026-07-29 14:21:10"</f>
        <v>2026-07-29 14:21:10</v>
      </c>
      <c r="L10679" s="1" t="str">
        <f>"2022-09-28 08:49:45"</f>
        <v>2022-09-28 08:49:45</v>
      </c>
      <c r="M10679" s="1" t="s">
        <v>42</v>
      </c>
      <c r="N10679" s="1" t="s">
        <v>38</v>
      </c>
      <c r="O10679" s="1" t="s">
        <v>46</v>
      </c>
    </row>
    <row r="10680" spans="2:15" x14ac:dyDescent="0.3">
      <c r="B10680" s="1" t="s">
        <v>21</v>
      </c>
      <c r="C10680" s="1" t="str">
        <f>"5-2차"</f>
        <v>5-2차</v>
      </c>
      <c r="D10680" s="1" t="str">
        <f>"9729S7935S"</f>
        <v>9729S7935S</v>
      </c>
      <c r="E10680" s="1" t="s">
        <v>10</v>
      </c>
      <c r="F10680" s="1" t="str">
        <f>"fde3:102:1303:f07:0:0:0:3"</f>
        <v>fde3:102:1303:f07:0:0:0:3</v>
      </c>
      <c r="G10680" s="1" t="str">
        <f>"9729S793"</f>
        <v>9729S793</v>
      </c>
      <c r="H10680" s="1" t="str">
        <f>"독박간 34L5R3L1R1"</f>
        <v>독박간 34L5R3L1R1</v>
      </c>
      <c r="I10680" s="1" t="s">
        <v>15</v>
      </c>
      <c r="J10680" s="1" t="str">
        <f>"39/39"</f>
        <v>39/39</v>
      </c>
      <c r="K10680" s="1" t="str">
        <f>"2026-07-29 14:21:19"</f>
        <v>2026-07-29 14:21:19</v>
      </c>
      <c r="L10680" s="1" t="str">
        <f>"2023-06-28 11:52:41"</f>
        <v>2023-06-28 11:52:41</v>
      </c>
      <c r="M10680" s="1" t="s">
        <v>45</v>
      </c>
      <c r="N10680" s="1" t="s">
        <v>38</v>
      </c>
      <c r="O10680" s="1" t="s">
        <v>46</v>
      </c>
    </row>
    <row r="10681" spans="2:15" x14ac:dyDescent="0.3">
      <c r="B10681" s="1" t="s">
        <v>21</v>
      </c>
      <c r="C10681" s="1" t="str">
        <f>"1차"</f>
        <v>1차</v>
      </c>
      <c r="D10681" s="1" t="str">
        <f>"9729S83100"</f>
        <v>9729S83100</v>
      </c>
      <c r="E10681" s="1" t="s">
        <v>10</v>
      </c>
      <c r="F10681" s="1" t="str">
        <f>"10.128.72.242"</f>
        <v>10.128.72.242</v>
      </c>
      <c r="G10681" s="1" t="str">
        <f>"9729S831"</f>
        <v>9729S831</v>
      </c>
      <c r="H10681" s="1" t="str">
        <f>"독박간 27L3"</f>
        <v>독박간 27L3</v>
      </c>
      <c r="I10681" s="1" t="s">
        <v>8</v>
      </c>
      <c r="J10681" s="1" t="str">
        <f>"43/45"</f>
        <v>43/45</v>
      </c>
      <c r="K10681" s="1" t="str">
        <f>"2026-07-29 13:18:12"</f>
        <v>2026-07-29 13:18:12</v>
      </c>
      <c r="L10681" s="1" t="str">
        <f>"2014-12-22 13:42:56"</f>
        <v>2014-12-22 13:42:56</v>
      </c>
      <c r="M10681" s="1" t="s">
        <v>45</v>
      </c>
      <c r="N10681" s="1" t="s">
        <v>38</v>
      </c>
      <c r="O10681" s="1" t="s">
        <v>46</v>
      </c>
    </row>
    <row r="10682" spans="2:15" x14ac:dyDescent="0.3">
      <c r="B10682" s="1" t="s">
        <v>21</v>
      </c>
      <c r="C10682" s="1" t="str">
        <f>"5-1차"</f>
        <v>5-1차</v>
      </c>
      <c r="D10682" s="1" t="str">
        <f>"9729S8725S"</f>
        <v>9729S8725S</v>
      </c>
      <c r="E10682" s="1" t="s">
        <v>10</v>
      </c>
      <c r="F10682" s="1" t="str">
        <f>"fde2:104:0:dc:0:0:0:2"</f>
        <v>fde2:104:0:dc:0:0:0:2</v>
      </c>
      <c r="G10682" s="1" t="str">
        <f>"9729S872"</f>
        <v>9729S872</v>
      </c>
      <c r="H10682" s="1" t="str">
        <f>"독박간 34L3R1"</f>
        <v>독박간 34L3R1</v>
      </c>
      <c r="I10682" s="1" t="s">
        <v>15</v>
      </c>
      <c r="J10682" s="1" t="str">
        <f>"41/43"</f>
        <v>41/43</v>
      </c>
      <c r="K10682" s="1" t="str">
        <f>"2026-07-29 14:21:10"</f>
        <v>2026-07-29 14:21:10</v>
      </c>
      <c r="L10682" s="1" t="str">
        <f>"2022-09-28 08:50:43"</f>
        <v>2022-09-28 08:50:43</v>
      </c>
      <c r="M10682" s="1" t="s">
        <v>42</v>
      </c>
      <c r="N10682" s="1" t="s">
        <v>38</v>
      </c>
      <c r="O10682" s="1" t="s">
        <v>46</v>
      </c>
    </row>
    <row r="10683" spans="2:15" x14ac:dyDescent="0.3">
      <c r="B10683" s="1" t="s">
        <v>21</v>
      </c>
      <c r="C10683" s="1" t="str">
        <f>"5-2차"</f>
        <v>5-2차</v>
      </c>
      <c r="D10683" s="1" t="str">
        <f>"9729S8735M"</f>
        <v>9729S8735M</v>
      </c>
      <c r="E10683" s="1" t="s">
        <v>10</v>
      </c>
      <c r="F10683" s="1" t="str">
        <f>"fde3:102:1303:f06:0:0:0:2"</f>
        <v>fde3:102:1303:f06:0:0:0:2</v>
      </c>
      <c r="G10683" s="1" t="str">
        <f>"9729S873"</f>
        <v>9729S873</v>
      </c>
      <c r="H10683" s="1" t="str">
        <f>"독박간 34L5R1"</f>
        <v>독박간 34L5R1</v>
      </c>
      <c r="I10683" s="1" t="s">
        <v>15</v>
      </c>
      <c r="J10683" s="1" t="str">
        <f>"59/59"</f>
        <v>59/59</v>
      </c>
      <c r="K10683" s="1" t="str">
        <f>"2026-07-29 14:21:22"</f>
        <v>2026-07-29 14:21:22</v>
      </c>
      <c r="L10683" s="1" t="str">
        <f>"2023-07-24 20:09:47"</f>
        <v>2023-07-24 20:09:47</v>
      </c>
      <c r="M10683" s="1" t="s">
        <v>45</v>
      </c>
      <c r="N10683" s="1" t="s">
        <v>38</v>
      </c>
      <c r="O10683" s="1" t="s">
        <v>46</v>
      </c>
    </row>
    <row r="10684" spans="2:15" x14ac:dyDescent="0.3">
      <c r="B10684" s="1" t="s">
        <v>21</v>
      </c>
      <c r="C10684" s="1" t="str">
        <f>"5-1차"</f>
        <v>5-1차</v>
      </c>
      <c r="D10684" s="1" t="str">
        <f>"9729S8915M"</f>
        <v>9729S8915M</v>
      </c>
      <c r="E10684" s="1" t="s">
        <v>10</v>
      </c>
      <c r="F10684" s="1" t="str">
        <f>"fde3:102:1303:501:0:0:0:2"</f>
        <v>fde3:102:1303:501:0:0:0:2</v>
      </c>
      <c r="G10684" s="1" t="str">
        <f>"9729S891"</f>
        <v>9729S891</v>
      </c>
      <c r="H10684" s="1" t="str">
        <f>"독박간 39"</f>
        <v>독박간 39</v>
      </c>
      <c r="I10684" s="1" t="s">
        <v>15</v>
      </c>
      <c r="J10684" s="1" t="str">
        <f>"81/81"</f>
        <v>81/81</v>
      </c>
      <c r="K10684" s="1" t="str">
        <f>"2026-07-29 14:21:10"</f>
        <v>2026-07-29 14:21:10</v>
      </c>
      <c r="L10684" s="1" t="str">
        <f>"2022-12-07 15:27:14"</f>
        <v>2022-12-07 15:27:14</v>
      </c>
      <c r="M10684" s="1" t="s">
        <v>45</v>
      </c>
      <c r="N10684" s="1" t="s">
        <v>38</v>
      </c>
      <c r="O10684" s="1" t="s">
        <v>46</v>
      </c>
    </row>
    <row r="10685" spans="2:15" x14ac:dyDescent="0.3">
      <c r="B10685" s="1" t="s">
        <v>21</v>
      </c>
      <c r="C10685" s="1" t="str">
        <f>"1차"</f>
        <v>1차</v>
      </c>
      <c r="D10685" s="1" t="str">
        <f>"9729S93100"</f>
        <v>9729S93100</v>
      </c>
      <c r="E10685" s="1" t="s">
        <v>10</v>
      </c>
      <c r="F10685" s="1" t="str">
        <f>"10.128.72.243"</f>
        <v>10.128.72.243</v>
      </c>
      <c r="G10685" s="1" t="str">
        <f>"9729S931"</f>
        <v>9729S931</v>
      </c>
      <c r="H10685" s="1" t="str">
        <f>"독박간 30"</f>
        <v>독박간 30</v>
      </c>
      <c r="I10685" s="1" t="s">
        <v>8</v>
      </c>
      <c r="J10685" s="1" t="str">
        <f>"16/16"</f>
        <v>16/16</v>
      </c>
      <c r="K10685" s="1" t="str">
        <f>"2026-07-29 13:18:12"</f>
        <v>2026-07-29 13:18:12</v>
      </c>
      <c r="L10685" s="1" t="str">
        <f>"2014-12-22 13:42:21"</f>
        <v>2014-12-22 13:42:21</v>
      </c>
      <c r="M10685" s="1" t="s">
        <v>45</v>
      </c>
      <c r="N10685" s="1" t="s">
        <v>38</v>
      </c>
      <c r="O10685" s="1" t="s">
        <v>46</v>
      </c>
    </row>
    <row r="10686" spans="2:15" x14ac:dyDescent="0.3">
      <c r="B10686" s="1" t="s">
        <v>21</v>
      </c>
      <c r="C10686" s="1" t="str">
        <f>"1차"</f>
        <v>1차</v>
      </c>
      <c r="D10686" s="1" t="str">
        <f>"9729S93201"</f>
        <v>9729S93201</v>
      </c>
      <c r="E10686" s="1" t="s">
        <v>10</v>
      </c>
      <c r="F10686" s="1" t="str">
        <f>"10.12.138.7"</f>
        <v>10.12.138.7</v>
      </c>
      <c r="G10686" s="1" t="str">
        <f>"9729S932"</f>
        <v>9729S932</v>
      </c>
      <c r="H10686" s="1" t="str">
        <f>"독박간 29"</f>
        <v>독박간 29</v>
      </c>
      <c r="I10686" s="1" t="s">
        <v>8</v>
      </c>
      <c r="J10686" s="1" t="str">
        <f>"11/11"</f>
        <v>11/11</v>
      </c>
      <c r="K10686" s="1" t="str">
        <f>"2026-07-29 13:18:13"</f>
        <v>2026-07-29 13:18:13</v>
      </c>
      <c r="L10686" s="1" t="str">
        <f>"2015-01-11 00:13:19"</f>
        <v>2015-01-11 00:13:19</v>
      </c>
      <c r="M10686" s="1" t="s">
        <v>0</v>
      </c>
      <c r="N10686" s="1" t="s">
        <v>38</v>
      </c>
      <c r="O10686" s="1" t="s">
        <v>46</v>
      </c>
    </row>
    <row r="10687" spans="2:15" x14ac:dyDescent="0.3">
      <c r="B10687" s="1" t="s">
        <v>21</v>
      </c>
      <c r="C10687" s="1" t="str">
        <f>"5-2차"</f>
        <v>5-2차</v>
      </c>
      <c r="D10687" s="1" t="str">
        <f>"9729S9515M"</f>
        <v>9729S9515M</v>
      </c>
      <c r="E10687" s="1" t="s">
        <v>10</v>
      </c>
      <c r="F10687" s="1" t="str">
        <f>"fde3:102:1303:f04:0:0:0:2"</f>
        <v>fde3:102:1303:f04:0:0:0:2</v>
      </c>
      <c r="G10687" s="1" t="str">
        <f>"9729S951"</f>
        <v>9729S951</v>
      </c>
      <c r="H10687" s="1" t="str">
        <f>"독박간 34L12"</f>
        <v>독박간 34L12</v>
      </c>
      <c r="I10687" s="1" t="s">
        <v>15</v>
      </c>
      <c r="J10687" s="1" t="str">
        <f>"39/39"</f>
        <v>39/39</v>
      </c>
      <c r="K10687" s="1" t="str">
        <f>"2026-07-29 14:21:19"</f>
        <v>2026-07-29 14:21:19</v>
      </c>
      <c r="L10687" s="1" t="str">
        <f>"2023-07-24 20:10:27"</f>
        <v>2023-07-24 20:10:27</v>
      </c>
      <c r="M10687" s="1" t="s">
        <v>45</v>
      </c>
      <c r="N10687" s="1" t="s">
        <v>38</v>
      </c>
      <c r="O10687" s="1" t="s">
        <v>46</v>
      </c>
    </row>
    <row r="10688" spans="2:15" x14ac:dyDescent="0.3">
      <c r="B10688" s="1" t="s">
        <v>21</v>
      </c>
      <c r="C10688" s="1" t="str">
        <f>"5-2차"</f>
        <v>5-2차</v>
      </c>
      <c r="D10688" s="1" t="str">
        <f>"9729S9525M"</f>
        <v>9729S9525M</v>
      </c>
      <c r="E10688" s="1" t="s">
        <v>10</v>
      </c>
      <c r="F10688" s="1" t="str">
        <f>"fde1:103:4:6e40:0:0:0:2"</f>
        <v>fde1:103:4:6e40:0:0:0:2</v>
      </c>
      <c r="G10688" s="1" t="str">
        <f>"9729S952"</f>
        <v>9729S952</v>
      </c>
      <c r="H10688" s="1" t="str">
        <f>"독박간 34L11"</f>
        <v>독박간 34L11</v>
      </c>
      <c r="I10688" s="1" t="s">
        <v>15</v>
      </c>
      <c r="J10688" s="1" t="str">
        <f>"29/29"</f>
        <v>29/29</v>
      </c>
      <c r="K10688" s="1" t="str">
        <f>"2026-07-29 14:21:11"</f>
        <v>2026-07-29 14:21:11</v>
      </c>
      <c r="L10688" s="1" t="str">
        <f>"2023-11-15 11:06:26"</f>
        <v>2023-11-15 11:06:26</v>
      </c>
      <c r="M10688" s="1" t="s">
        <v>4</v>
      </c>
      <c r="N10688" s="1" t="s">
        <v>38</v>
      </c>
      <c r="O10688" s="1" t="s">
        <v>46</v>
      </c>
    </row>
    <row r="10689" spans="2:15" x14ac:dyDescent="0.3">
      <c r="B10689" s="1" t="s">
        <v>21</v>
      </c>
      <c r="C10689" s="1" t="str">
        <f>"5-2차"</f>
        <v>5-2차</v>
      </c>
      <c r="D10689" s="1" t="str">
        <f>"9729S9615M"</f>
        <v>9729S9615M</v>
      </c>
      <c r="E10689" s="1" t="s">
        <v>10</v>
      </c>
      <c r="F10689" s="1" t="str">
        <f>"fde1:103:4:6e43:0:0:0:2"</f>
        <v>fde1:103:4:6e43:0:0:0:2</v>
      </c>
      <c r="G10689" s="1" t="str">
        <f>"9729S961"</f>
        <v>9729S961</v>
      </c>
      <c r="H10689" s="1" t="str">
        <f>"독박간 34L1"</f>
        <v>독박간 34L1</v>
      </c>
      <c r="I10689" s="1" t="s">
        <v>15</v>
      </c>
      <c r="J10689" s="1" t="str">
        <f>"40/40"</f>
        <v>40/40</v>
      </c>
      <c r="K10689" s="1" t="str">
        <f>"2026-07-29 02:21:19"</f>
        <v>2026-07-29 02:21:19</v>
      </c>
      <c r="L10689" s="1" t="str">
        <f>"2023-11-15 11:00:52"</f>
        <v>2023-11-15 11:00:52</v>
      </c>
      <c r="M10689" s="1" t="s">
        <v>4</v>
      </c>
      <c r="N10689" s="1" t="s">
        <v>38</v>
      </c>
      <c r="O10689" s="1" t="s">
        <v>46</v>
      </c>
    </row>
    <row r="10690" spans="2:15" x14ac:dyDescent="0.3">
      <c r="B10690" s="1" t="s">
        <v>21</v>
      </c>
      <c r="C10690" s="1" t="str">
        <f>"5-2차"</f>
        <v>5-2차</v>
      </c>
      <c r="D10690" s="1" t="str">
        <f>"9729S9625S"</f>
        <v>9729S9625S</v>
      </c>
      <c r="E10690" s="1" t="s">
        <v>10</v>
      </c>
      <c r="F10690" s="1" t="str">
        <f>"fde3:102:1303:f05:0:0:0:2"</f>
        <v>fde3:102:1303:f05:0:0:0:2</v>
      </c>
      <c r="G10690" s="1" t="str">
        <f>"9729S962"</f>
        <v>9729S962</v>
      </c>
      <c r="H10690" s="1" t="str">
        <f>"독박간 34L3"</f>
        <v>독박간 34L3</v>
      </c>
      <c r="I10690" s="1" t="s">
        <v>15</v>
      </c>
      <c r="J10690" s="1" t="str">
        <f>"47/47"</f>
        <v>47/47</v>
      </c>
      <c r="K10690" s="1" t="str">
        <f>"2026-07-29 14:21:19"</f>
        <v>2026-07-29 14:21:19</v>
      </c>
      <c r="L10690" s="1" t="str">
        <f>"2023-06-30 14:06:14"</f>
        <v>2023-06-30 14:06:14</v>
      </c>
      <c r="M10690" s="1" t="s">
        <v>45</v>
      </c>
      <c r="N10690" s="1" t="s">
        <v>38</v>
      </c>
      <c r="O10690" s="1" t="s">
        <v>46</v>
      </c>
    </row>
    <row r="10691" spans="2:15" x14ac:dyDescent="0.3">
      <c r="B10691" s="1" t="s">
        <v>21</v>
      </c>
      <c r="C10691" s="1" t="str">
        <f>"1차"</f>
        <v>1차</v>
      </c>
      <c r="D10691" s="1" t="str">
        <f>"9729W04100"</f>
        <v>9729W04100</v>
      </c>
      <c r="E10691" s="1" t="s">
        <v>10</v>
      </c>
      <c r="F10691" s="1" t="str">
        <f>"10.128.70.60"</f>
        <v>10.128.70.60</v>
      </c>
      <c r="G10691" s="1" t="str">
        <f>"9729W041"</f>
        <v>9729W041</v>
      </c>
      <c r="H10691" s="1" t="str">
        <f>"독박간 52R3R4"</f>
        <v>독박간 52R3R4</v>
      </c>
      <c r="I10691" s="1" t="s">
        <v>8</v>
      </c>
      <c r="J10691" s="1" t="str">
        <f>"79/81"</f>
        <v>79/81</v>
      </c>
      <c r="K10691" s="1" t="str">
        <f>"2026-07-29 13:18:12"</f>
        <v>2026-07-29 13:18:12</v>
      </c>
      <c r="L10691" s="1" t="str">
        <f>"2014-12-22 13:42:39"</f>
        <v>2014-12-22 13:42:39</v>
      </c>
      <c r="M10691" s="1" t="s">
        <v>45</v>
      </c>
      <c r="N10691" s="1" t="s">
        <v>38</v>
      </c>
      <c r="O10691" s="1" t="s">
        <v>46</v>
      </c>
    </row>
    <row r="10692" spans="2:15" x14ac:dyDescent="0.3">
      <c r="B10692" s="1" t="s">
        <v>21</v>
      </c>
      <c r="C10692" s="1" t="str">
        <f>"4차"</f>
        <v>4차</v>
      </c>
      <c r="D10692" s="1" t="str">
        <f>"9729W06242"</f>
        <v>9729W06242</v>
      </c>
      <c r="E10692" s="1" t="s">
        <v>10</v>
      </c>
      <c r="F10692" s="1" t="str">
        <f>"10.12.131.107"</f>
        <v>10.12.131.107</v>
      </c>
      <c r="G10692" s="1" t="str">
        <f>"9729W062"</f>
        <v>9729W062</v>
      </c>
      <c r="H10692" s="1" t="str">
        <f>"독박간 52R3R2L2"</f>
        <v>독박간 52R3R2L2</v>
      </c>
      <c r="I10692" s="1" t="s">
        <v>8</v>
      </c>
      <c r="J10692" s="1" t="str">
        <f>"58/79"</f>
        <v>58/79</v>
      </c>
      <c r="K10692" s="1" t="str">
        <f>"2026-07-29 13:18:12"</f>
        <v>2026-07-29 13:18:12</v>
      </c>
      <c r="L10692" s="1" t="str">
        <f>"2025-08-27 17:17:52"</f>
        <v>2025-08-27 17:17:52</v>
      </c>
      <c r="M10692" s="1" t="s">
        <v>0</v>
      </c>
      <c r="N10692" s="1" t="s">
        <v>38</v>
      </c>
      <c r="O10692" s="1" t="s">
        <v>46</v>
      </c>
    </row>
    <row r="10693" spans="2:15" x14ac:dyDescent="0.3">
      <c r="B10693" s="1" t="s">
        <v>21</v>
      </c>
      <c r="C10693" s="1" t="str">
        <f>"1차"</f>
        <v>1차</v>
      </c>
      <c r="D10693" s="1" t="str">
        <f>"9729W07100"</f>
        <v>9729W07100</v>
      </c>
      <c r="E10693" s="1" t="s">
        <v>10</v>
      </c>
      <c r="F10693" s="1" t="str">
        <f>"10.128.70.67"</f>
        <v>10.128.70.67</v>
      </c>
      <c r="G10693" s="1" t="str">
        <f>"9729W071"</f>
        <v>9729W071</v>
      </c>
      <c r="H10693" s="1" t="str">
        <f>"독박간 52R7"</f>
        <v>독박간 52R7</v>
      </c>
      <c r="I10693" s="1" t="s">
        <v>8</v>
      </c>
      <c r="J10693" s="1" t="str">
        <f>"29/30"</f>
        <v>29/30</v>
      </c>
      <c r="K10693" s="1" t="str">
        <f>"2026-07-29 13:18:12"</f>
        <v>2026-07-29 13:18:12</v>
      </c>
      <c r="L10693" s="1" t="str">
        <f>"2014-12-22 14:43:22"</f>
        <v>2014-12-22 14:43:22</v>
      </c>
      <c r="M10693" s="1" t="s">
        <v>45</v>
      </c>
      <c r="N10693" s="1" t="s">
        <v>38</v>
      </c>
      <c r="O10693" s="1" t="s">
        <v>46</v>
      </c>
    </row>
    <row r="10694" spans="2:15" x14ac:dyDescent="0.3">
      <c r="B10694" s="1" t="s">
        <v>21</v>
      </c>
      <c r="C10694" s="1" t="str">
        <f>"1차"</f>
        <v>1차</v>
      </c>
      <c r="D10694" s="1" t="str">
        <f>"9729W16300"</f>
        <v>9729W16300</v>
      </c>
      <c r="E10694" s="1" t="s">
        <v>10</v>
      </c>
      <c r="F10694" s="1" t="str">
        <f>"10.128.70.61"</f>
        <v>10.128.70.61</v>
      </c>
      <c r="G10694" s="1" t="str">
        <f>"9729W163"</f>
        <v>9729W163</v>
      </c>
      <c r="H10694" s="1" t="str">
        <f>"독박간 52R3R2L4"</f>
        <v>독박간 52R3R2L4</v>
      </c>
      <c r="I10694" s="1" t="s">
        <v>8</v>
      </c>
      <c r="J10694" s="1" t="str">
        <f>"25/25"</f>
        <v>25/25</v>
      </c>
      <c r="K10694" s="1" t="str">
        <f>"2026-07-29 13:18:12"</f>
        <v>2026-07-29 13:18:12</v>
      </c>
      <c r="L10694" s="1" t="str">
        <f>"2015-01-05 10:29:36"</f>
        <v>2015-01-05 10:29:36</v>
      </c>
      <c r="M10694" s="1" t="s">
        <v>45</v>
      </c>
      <c r="N10694" s="1" t="s">
        <v>38</v>
      </c>
      <c r="O10694" s="1" t="s">
        <v>46</v>
      </c>
    </row>
    <row r="10695" spans="2:15" x14ac:dyDescent="0.3">
      <c r="B10695" s="1" t="s">
        <v>21</v>
      </c>
      <c r="C10695" s="1" t="str">
        <f>"5-2차"</f>
        <v>5-2차</v>
      </c>
      <c r="D10695" s="1" t="str">
        <f>"9729W2415M"</f>
        <v>9729W2415M</v>
      </c>
      <c r="E10695" s="1" t="s">
        <v>10</v>
      </c>
      <c r="F10695" s="1" t="str">
        <f>"fde1:103:4:6e44:0:0:0:2"</f>
        <v>fde1:103:4:6e44:0:0:0:2</v>
      </c>
      <c r="G10695" s="1" t="str">
        <f>"9729W241"</f>
        <v>9729W241</v>
      </c>
      <c r="H10695" s="1" t="str">
        <f>"독박간 52R3R8"</f>
        <v>독박간 52R3R8</v>
      </c>
      <c r="I10695" s="1" t="s">
        <v>15</v>
      </c>
      <c r="J10695" s="1" t="str">
        <f>"67/67"</f>
        <v>67/67</v>
      </c>
      <c r="K10695" s="1" t="str">
        <f>"2026-07-29 14:21:12"</f>
        <v>2026-07-29 14:21:12</v>
      </c>
      <c r="L10695" s="1" t="str">
        <f>"2023-11-15 09:22:11"</f>
        <v>2023-11-15 09:22:11</v>
      </c>
      <c r="M10695" s="1" t="s">
        <v>4</v>
      </c>
      <c r="N10695" s="1" t="s">
        <v>38</v>
      </c>
      <c r="O10695" s="1" t="s">
        <v>46</v>
      </c>
    </row>
    <row r="10696" spans="2:15" x14ac:dyDescent="0.3">
      <c r="B10696" s="1" t="s">
        <v>21</v>
      </c>
      <c r="C10696" s="1" t="str">
        <f>"5-2차"</f>
        <v>5-2차</v>
      </c>
      <c r="D10696" s="1" t="str">
        <f>"9729W2535M"</f>
        <v>9729W2535M</v>
      </c>
      <c r="E10696" s="1" t="s">
        <v>10</v>
      </c>
      <c r="F10696" s="1" t="str">
        <f>"fde1:103:4:6e4a:0:0:0:2"</f>
        <v>fde1:103:4:6e4a:0:0:0:2</v>
      </c>
      <c r="G10696" s="1" t="str">
        <f>"9729W253"</f>
        <v>9729W253</v>
      </c>
      <c r="H10696" s="1" t="str">
        <f>"독박간 52R3R9L1"</f>
        <v>독박간 52R3R9L1</v>
      </c>
      <c r="I10696" s="1" t="s">
        <v>15</v>
      </c>
      <c r="J10696" s="1" t="str">
        <f>"28/32"</f>
        <v>28/32</v>
      </c>
      <c r="K10696" s="1" t="str">
        <f>"2026-07-29 14:21:14"</f>
        <v>2026-07-29 14:21:14</v>
      </c>
      <c r="L10696" s="1" t="str">
        <f>"2023-11-15 09:29:31"</f>
        <v>2023-11-15 09:29:31</v>
      </c>
      <c r="M10696" s="1" t="s">
        <v>4</v>
      </c>
      <c r="N10696" s="1" t="s">
        <v>38</v>
      </c>
      <c r="O10696" s="1" t="s">
        <v>46</v>
      </c>
    </row>
    <row r="10697" spans="2:15" x14ac:dyDescent="0.3">
      <c r="B10697" s="1" t="s">
        <v>21</v>
      </c>
      <c r="C10697" s="1" t="str">
        <f>"5-2차"</f>
        <v>5-2차</v>
      </c>
      <c r="D10697" s="1" t="str">
        <f>"9729Y0025M"</f>
        <v>9729Y0025M</v>
      </c>
      <c r="E10697" s="1" t="s">
        <v>10</v>
      </c>
      <c r="F10697" s="1" t="str">
        <f>"fde3:102:1303:f11:0:0:0:2"</f>
        <v>fde3:102:1303:f11:0:0:0:2</v>
      </c>
      <c r="G10697" s="1" t="str">
        <f>"9729Y002"</f>
        <v>9729Y002</v>
      </c>
      <c r="H10697" s="1" t="str">
        <f>"환경간 20L12"</f>
        <v>환경간 20L12</v>
      </c>
      <c r="I10697" s="1" t="s">
        <v>15</v>
      </c>
      <c r="J10697" s="1" t="str">
        <f>"34/37"</f>
        <v>34/37</v>
      </c>
      <c r="K10697" s="1" t="str">
        <f>"2026-07-29 14:21:11"</f>
        <v>2026-07-29 14:21:11</v>
      </c>
      <c r="L10697" s="1" t="str">
        <f>"2023-07-24 20:10:57"</f>
        <v>2023-07-24 20:10:57</v>
      </c>
      <c r="M10697" s="1" t="s">
        <v>45</v>
      </c>
      <c r="N10697" s="1" t="s">
        <v>38</v>
      </c>
      <c r="O10697" s="1" t="s">
        <v>46</v>
      </c>
    </row>
    <row r="10698" spans="2:15" x14ac:dyDescent="0.3">
      <c r="B10698" s="1" t="s">
        <v>21</v>
      </c>
      <c r="C10698" s="1" t="str">
        <f>"5-2차"</f>
        <v>5-2차</v>
      </c>
      <c r="D10698" s="1" t="str">
        <f>"9729Y0115M"</f>
        <v>9729Y0115M</v>
      </c>
      <c r="E10698" s="1" t="s">
        <v>10</v>
      </c>
      <c r="F10698" s="1" t="str">
        <f>"fde3:102:1303:f11:0:0:0:3"</f>
        <v>fde3:102:1303:f11:0:0:0:3</v>
      </c>
      <c r="G10698" s="1" t="str">
        <f>"9729Y011"</f>
        <v>9729Y011</v>
      </c>
      <c r="H10698" s="1" t="str">
        <f>"환경간 20L13"</f>
        <v>환경간 20L13</v>
      </c>
      <c r="I10698" s="1" t="s">
        <v>15</v>
      </c>
      <c r="J10698" s="1" t="str">
        <f>"36/38"</f>
        <v>36/38</v>
      </c>
      <c r="K10698" s="1" t="str">
        <f>"2026-07-29 14:21:20"</f>
        <v>2026-07-29 14:21:20</v>
      </c>
      <c r="L10698" s="1" t="str">
        <f>"2023-07-24 20:11:31"</f>
        <v>2023-07-24 20:11:31</v>
      </c>
      <c r="M10698" s="1" t="s">
        <v>45</v>
      </c>
      <c r="N10698" s="1" t="s">
        <v>38</v>
      </c>
      <c r="O10698" s="1" t="s">
        <v>46</v>
      </c>
    </row>
    <row r="10699" spans="2:15" x14ac:dyDescent="0.3">
      <c r="B10699" s="1" t="s">
        <v>21</v>
      </c>
      <c r="C10699" s="1" t="str">
        <f>"5-2차"</f>
        <v>5-2차</v>
      </c>
      <c r="D10699" s="1" t="str">
        <f>"9729Y0315S"</f>
        <v>9729Y0315S</v>
      </c>
      <c r="E10699" s="1" t="s">
        <v>10</v>
      </c>
      <c r="F10699" s="1" t="str">
        <f>"fde3:102:1303:f14:0:0:0:2"</f>
        <v>fde3:102:1303:f14:0:0:0:2</v>
      </c>
      <c r="G10699" s="1" t="str">
        <f>"9729Y031"</f>
        <v>9729Y031</v>
      </c>
      <c r="H10699" s="1" t="str">
        <f>"환경간 20L18"</f>
        <v>환경간 20L18</v>
      </c>
      <c r="I10699" s="1" t="s">
        <v>15</v>
      </c>
      <c r="J10699" s="1" t="str">
        <f>"42/42"</f>
        <v>42/42</v>
      </c>
      <c r="K10699" s="1" t="str">
        <f>"2026-07-29 14:21:11"</f>
        <v>2026-07-29 14:21:11</v>
      </c>
      <c r="L10699" s="1" t="str">
        <f>"2023-07-03 10:28:03"</f>
        <v>2023-07-03 10:28:03</v>
      </c>
      <c r="M10699" s="1" t="s">
        <v>45</v>
      </c>
      <c r="N10699" s="1" t="s">
        <v>38</v>
      </c>
      <c r="O10699" s="1" t="s">
        <v>46</v>
      </c>
    </row>
    <row r="10700" spans="2:15" x14ac:dyDescent="0.3">
      <c r="B10700" s="1" t="s">
        <v>21</v>
      </c>
      <c r="C10700" s="1" t="str">
        <f>"1차"</f>
        <v>1차</v>
      </c>
      <c r="D10700" s="1" t="str">
        <f>"9729Y04100"</f>
        <v>9729Y04100</v>
      </c>
      <c r="E10700" s="1" t="s">
        <v>10</v>
      </c>
      <c r="F10700" s="1" t="str">
        <f>"10.128.72.244"</f>
        <v>10.128.72.244</v>
      </c>
      <c r="G10700" s="1" t="str">
        <f>"9729Y041"</f>
        <v>9729Y041</v>
      </c>
      <c r="H10700" s="1" t="str">
        <f>"독박간 32"</f>
        <v>독박간 32</v>
      </c>
      <c r="I10700" s="1" t="s">
        <v>8</v>
      </c>
      <c r="J10700" s="1" t="str">
        <f>"77/77"</f>
        <v>77/77</v>
      </c>
      <c r="K10700" s="1" t="str">
        <f>"2026-07-29 13:18:12"</f>
        <v>2026-07-29 13:18:12</v>
      </c>
      <c r="L10700" s="1" t="str">
        <f>"2014-12-22 10:27:25"</f>
        <v>2014-12-22 10:27:25</v>
      </c>
      <c r="M10700" s="1" t="s">
        <v>45</v>
      </c>
      <c r="N10700" s="1" t="s">
        <v>38</v>
      </c>
      <c r="O10700" s="1" t="s">
        <v>46</v>
      </c>
    </row>
    <row r="10701" spans="2:15" x14ac:dyDescent="0.3">
      <c r="B10701" s="1" t="s">
        <v>21</v>
      </c>
      <c r="C10701" s="1" t="str">
        <f>"6차"</f>
        <v>6차</v>
      </c>
      <c r="D10701" s="1" t="str">
        <f>"9729Y0516S"</f>
        <v>9729Y0516S</v>
      </c>
      <c r="E10701" s="1" t="s">
        <v>10</v>
      </c>
      <c r="F10701" s="1" t="str">
        <f>"fde1:103:4:c70a:0:0:0:2"</f>
        <v>fde1:103:4:c70a:0:0:0:2</v>
      </c>
      <c r="G10701" s="1" t="str">
        <f>"9729Y051"</f>
        <v>9729Y051</v>
      </c>
      <c r="H10701" s="1" t="str">
        <f>"독박간 33"</f>
        <v>독박간 33</v>
      </c>
      <c r="I10701" s="1" t="s">
        <v>15</v>
      </c>
      <c r="J10701" s="1" t="str">
        <f>"47/52"</f>
        <v>47/52</v>
      </c>
      <c r="K10701" s="1" t="str">
        <f>"2026-07-28 18:22:35"</f>
        <v>2026-07-28 18:22:35</v>
      </c>
      <c r="L10701" s="1" t="str">
        <f>"2025-01-20 14:04:45"</f>
        <v>2025-01-20 14:04:45</v>
      </c>
      <c r="M10701" s="1" t="s">
        <v>4</v>
      </c>
      <c r="N10701" s="1" t="s">
        <v>38</v>
      </c>
      <c r="O10701" s="1" t="s">
        <v>46</v>
      </c>
    </row>
    <row r="10702" spans="2:15" x14ac:dyDescent="0.3">
      <c r="B10702" s="1" t="s">
        <v>21</v>
      </c>
      <c r="C10702" s="1" t="str">
        <f>"5-2차"</f>
        <v>5-2차</v>
      </c>
      <c r="D10702" s="1" t="str">
        <f>"9729Y0725M"</f>
        <v>9729Y0725M</v>
      </c>
      <c r="E10702" s="1" t="s">
        <v>10</v>
      </c>
      <c r="F10702" s="1" t="str">
        <f>"fde3:102:1303:502:0:0:0:3"</f>
        <v>fde3:102:1303:502:0:0:0:3</v>
      </c>
      <c r="G10702" s="1" t="str">
        <f>"9729Y072"</f>
        <v>9729Y072</v>
      </c>
      <c r="H10702" s="1" t="str">
        <f>"독박간 36H1"</f>
        <v>독박간 36H1</v>
      </c>
      <c r="I10702" s="1" t="s">
        <v>15</v>
      </c>
      <c r="J10702" s="1" t="str">
        <f>"22/22"</f>
        <v>22/22</v>
      </c>
      <c r="K10702" s="1" t="str">
        <f>"2026-07-29 14:21:21"</f>
        <v>2026-07-29 14:21:21</v>
      </c>
      <c r="L10702" s="1" t="str">
        <f>"2023-07-24 20:14:05"</f>
        <v>2023-07-24 20:14:05</v>
      </c>
      <c r="M10702" s="1" t="s">
        <v>45</v>
      </c>
      <c r="N10702" s="1" t="s">
        <v>38</v>
      </c>
      <c r="O10702" s="1" t="s">
        <v>46</v>
      </c>
    </row>
    <row r="10703" spans="2:15" x14ac:dyDescent="0.3">
      <c r="B10703" s="1" t="s">
        <v>21</v>
      </c>
      <c r="C10703" s="1" t="str">
        <f>"5-1차"</f>
        <v>5-1차</v>
      </c>
      <c r="D10703" s="1" t="str">
        <f>"9729Y0815M"</f>
        <v>9729Y0815M</v>
      </c>
      <c r="E10703" s="1" t="s">
        <v>10</v>
      </c>
      <c r="F10703" s="1" t="str">
        <f>"fde3:102:1303:502:0:0:0:2"</f>
        <v>fde3:102:1303:502:0:0:0:2</v>
      </c>
      <c r="G10703" s="1" t="str">
        <f>"9729Y081"</f>
        <v>9729Y081</v>
      </c>
      <c r="H10703" s="1" t="str">
        <f>"독박간 36R2"</f>
        <v>독박간 36R2</v>
      </c>
      <c r="I10703" s="1" t="s">
        <v>15</v>
      </c>
      <c r="J10703" s="1" t="str">
        <f>"37/37"</f>
        <v>37/37</v>
      </c>
      <c r="K10703" s="1" t="str">
        <f>"2026-07-29 14:21:12"</f>
        <v>2026-07-29 14:21:12</v>
      </c>
      <c r="L10703" s="1" t="str">
        <f>"2022-12-07 15:47:09"</f>
        <v>2022-12-07 15:47:09</v>
      </c>
      <c r="M10703" s="1" t="s">
        <v>45</v>
      </c>
      <c r="N10703" s="1" t="s">
        <v>38</v>
      </c>
      <c r="O10703" s="1" t="s">
        <v>46</v>
      </c>
    </row>
    <row r="10704" spans="2:15" x14ac:dyDescent="0.3">
      <c r="B10704" s="1" t="s">
        <v>21</v>
      </c>
      <c r="C10704" s="1" t="str">
        <f>"5-2차"</f>
        <v>5-2차</v>
      </c>
      <c r="D10704" s="1" t="str">
        <f>"9729Y0825M"</f>
        <v>9729Y0825M</v>
      </c>
      <c r="E10704" s="1" t="s">
        <v>10</v>
      </c>
      <c r="F10704" s="1" t="str">
        <f>"fde3:102:1303:502:0:0:0:4"</f>
        <v>fde3:102:1303:502:0:0:0:4</v>
      </c>
      <c r="G10704" s="1" t="str">
        <f>"9729Y082"</f>
        <v>9729Y082</v>
      </c>
      <c r="H10704" s="1" t="str">
        <f>"독박간 36R3R2"</f>
        <v>독박간 36R3R2</v>
      </c>
      <c r="I10704" s="1" t="s">
        <v>15</v>
      </c>
      <c r="J10704" s="1" t="str">
        <f>"48/48"</f>
        <v>48/48</v>
      </c>
      <c r="K10704" s="1" t="str">
        <f>"2026-07-29 14:21:11"</f>
        <v>2026-07-29 14:21:11</v>
      </c>
      <c r="L10704" s="1" t="str">
        <f>"2023-07-24 20:14:48"</f>
        <v>2023-07-24 20:14:48</v>
      </c>
      <c r="M10704" s="1" t="s">
        <v>45</v>
      </c>
      <c r="N10704" s="1" t="s">
        <v>38</v>
      </c>
      <c r="O10704" s="1" t="s">
        <v>46</v>
      </c>
    </row>
    <row r="10705" spans="2:15" x14ac:dyDescent="0.3">
      <c r="B10705" s="1" t="s">
        <v>21</v>
      </c>
      <c r="C10705" s="1" t="str">
        <f>"5-2차"</f>
        <v>5-2차</v>
      </c>
      <c r="D10705" s="1" t="str">
        <f>"9729Y1215S"</f>
        <v>9729Y1215S</v>
      </c>
      <c r="E10705" s="1" t="s">
        <v>10</v>
      </c>
      <c r="F10705" s="1" t="str">
        <f>"fde3:102:1303:f12:0:0:0:2"</f>
        <v>fde3:102:1303:f12:0:0:0:2</v>
      </c>
      <c r="G10705" s="1" t="str">
        <f>"9729Y121"</f>
        <v>9729Y121</v>
      </c>
      <c r="H10705" s="1" t="str">
        <f>"환경간 20L13R2"</f>
        <v>환경간 20L13R2</v>
      </c>
      <c r="I10705" s="1" t="s">
        <v>15</v>
      </c>
      <c r="J10705" s="1" t="str">
        <f>"42/42"</f>
        <v>42/42</v>
      </c>
      <c r="K10705" s="1" t="str">
        <f>"2026-07-29 14:21:20"</f>
        <v>2026-07-29 14:21:20</v>
      </c>
      <c r="L10705" s="1" t="str">
        <f>"2023-06-30 15:39:23"</f>
        <v>2023-06-30 15:39:23</v>
      </c>
      <c r="M10705" s="1" t="s">
        <v>45</v>
      </c>
      <c r="N10705" s="1" t="s">
        <v>38</v>
      </c>
      <c r="O10705" s="1" t="s">
        <v>46</v>
      </c>
    </row>
    <row r="10706" spans="2:15" x14ac:dyDescent="0.3">
      <c r="B10706" s="1" t="s">
        <v>21</v>
      </c>
      <c r="C10706" s="1" t="str">
        <f>"5-2차"</f>
        <v>5-2차</v>
      </c>
      <c r="D10706" s="1" t="str">
        <f>"9729Y1225M"</f>
        <v>9729Y1225M</v>
      </c>
      <c r="E10706" s="1" t="s">
        <v>10</v>
      </c>
      <c r="F10706" s="1" t="str">
        <f>"fde3:102:1303:f13:0:0:0:2"</f>
        <v>fde3:102:1303:f13:0:0:0:2</v>
      </c>
      <c r="G10706" s="1" t="str">
        <f>"9729Y122"</f>
        <v>9729Y122</v>
      </c>
      <c r="H10706" s="1" t="str">
        <f>"환경간 20L13R3"</f>
        <v>환경간 20L13R3</v>
      </c>
      <c r="I10706" s="1" t="s">
        <v>15</v>
      </c>
      <c r="J10706" s="1" t="str">
        <f>"35/36"</f>
        <v>35/36</v>
      </c>
      <c r="K10706" s="1" t="str">
        <f>"2026-07-29 14:21:11"</f>
        <v>2026-07-29 14:21:11</v>
      </c>
      <c r="L10706" s="1" t="str">
        <f>"2023-07-24 20:17:56"</f>
        <v>2023-07-24 20:17:56</v>
      </c>
      <c r="M10706" s="1" t="s">
        <v>45</v>
      </c>
      <c r="N10706" s="1" t="s">
        <v>38</v>
      </c>
      <c r="O10706" s="1" t="s">
        <v>46</v>
      </c>
    </row>
    <row r="10707" spans="2:15" x14ac:dyDescent="0.3">
      <c r="B10707" s="1" t="s">
        <v>21</v>
      </c>
      <c r="C10707" s="1" t="str">
        <f>"5-2차"</f>
        <v>5-2차</v>
      </c>
      <c r="D10707" s="1" t="str">
        <f>"9729Y1415M"</f>
        <v>9729Y1415M</v>
      </c>
      <c r="E10707" s="1" t="s">
        <v>10</v>
      </c>
      <c r="F10707" s="1" t="str">
        <f>"fde3:102:1303:f15:0:0:0:2"</f>
        <v>fde3:102:1303:f15:0:0:0:2</v>
      </c>
      <c r="G10707" s="1" t="str">
        <f>"9729Y141"</f>
        <v>9729Y141</v>
      </c>
      <c r="H10707" s="1" t="str">
        <f>"환경간 20L19"</f>
        <v>환경간 20L19</v>
      </c>
      <c r="I10707" s="1" t="s">
        <v>15</v>
      </c>
      <c r="J10707" s="1" t="str">
        <f>"84/84"</f>
        <v>84/84</v>
      </c>
      <c r="K10707" s="1" t="str">
        <f>"2026-07-29 14:21:12"</f>
        <v>2026-07-29 14:21:12</v>
      </c>
      <c r="L10707" s="1" t="str">
        <f>"2023-07-24 20:21:07"</f>
        <v>2023-07-24 20:21:07</v>
      </c>
      <c r="M10707" s="1" t="s">
        <v>45</v>
      </c>
      <c r="N10707" s="1" t="s">
        <v>38</v>
      </c>
      <c r="O10707" s="1" t="s">
        <v>46</v>
      </c>
    </row>
    <row r="10708" spans="2:15" x14ac:dyDescent="0.3">
      <c r="B10708" s="1" t="s">
        <v>21</v>
      </c>
      <c r="C10708" s="1" t="str">
        <f>"5-2차"</f>
        <v>5-2차</v>
      </c>
      <c r="D10708" s="1" t="str">
        <f>"9729Y2215S"</f>
        <v>9729Y2215S</v>
      </c>
      <c r="E10708" s="1" t="s">
        <v>10</v>
      </c>
      <c r="F10708" s="1" t="str">
        <f>"fde3:102:1303:f13:0:0:0:3"</f>
        <v>fde3:102:1303:f13:0:0:0:3</v>
      </c>
      <c r="G10708" s="1" t="str">
        <f>"9729Y221"</f>
        <v>9729Y221</v>
      </c>
      <c r="H10708" s="1" t="str">
        <f>"환경간 20L13R4"</f>
        <v>환경간 20L13R4</v>
      </c>
      <c r="I10708" s="1" t="s">
        <v>15</v>
      </c>
      <c r="J10708" s="1" t="str">
        <f>"103/107"</f>
        <v>103/107</v>
      </c>
      <c r="K10708" s="1" t="str">
        <f>"2026-07-29 14:21:12"</f>
        <v>2026-07-29 14:21:12</v>
      </c>
      <c r="L10708" s="1" t="str">
        <f>"2023-06-30 16:21:52"</f>
        <v>2023-06-30 16:21:52</v>
      </c>
      <c r="M10708" s="1" t="s">
        <v>45</v>
      </c>
      <c r="N10708" s="1" t="s">
        <v>38</v>
      </c>
      <c r="O10708" s="1" t="s">
        <v>46</v>
      </c>
    </row>
    <row r="10709" spans="2:15" x14ac:dyDescent="0.3">
      <c r="B10709" s="1" t="s">
        <v>21</v>
      </c>
      <c r="C10709" s="1" t="str">
        <f t="shared" ref="C10709:C10719" si="534">"4차"</f>
        <v>4차</v>
      </c>
      <c r="D10709" s="1" t="str">
        <f>"9730B11639"</f>
        <v>9730B11639</v>
      </c>
      <c r="E10709" s="1" t="s">
        <v>10</v>
      </c>
      <c r="F10709" s="1" t="str">
        <f>"10.12.135.154"</f>
        <v>10.12.135.154</v>
      </c>
      <c r="G10709" s="1" t="str">
        <f>"9730B116"</f>
        <v>9730B116</v>
      </c>
      <c r="H10709" s="1" t="str">
        <f>"방패 7"</f>
        <v>방패 7</v>
      </c>
      <c r="I10709" s="1" t="s">
        <v>17</v>
      </c>
      <c r="J10709" s="1" t="str">
        <f>"9/12"</f>
        <v>9/12</v>
      </c>
      <c r="K10709" s="1" t="str">
        <f>"2026-07-29 13:18:12"</f>
        <v>2026-07-29 13:18:12</v>
      </c>
      <c r="L10709" s="1" t="str">
        <f>"2018-05-15 11:27:42"</f>
        <v>2018-05-15 11:27:42</v>
      </c>
      <c r="M10709" s="1" t="s">
        <v>0</v>
      </c>
      <c r="N10709" s="1" t="s">
        <v>38</v>
      </c>
      <c r="O10709" s="1" t="s">
        <v>46</v>
      </c>
    </row>
    <row r="10710" spans="2:15" x14ac:dyDescent="0.3">
      <c r="B10710" s="1" t="s">
        <v>21</v>
      </c>
      <c r="C10710" s="1" t="str">
        <f t="shared" si="534"/>
        <v>4차</v>
      </c>
      <c r="D10710" s="1" t="str">
        <f>"9730C04139"</f>
        <v>9730C04139</v>
      </c>
      <c r="E10710" s="1" t="s">
        <v>10</v>
      </c>
      <c r="F10710" s="1" t="str">
        <f>"10.12.135.81"</f>
        <v>10.12.135.81</v>
      </c>
      <c r="G10710" s="1" t="str">
        <f>"9730C041"</f>
        <v>9730C041</v>
      </c>
      <c r="H10710" s="1" t="str">
        <f>"방패 2"</f>
        <v>방패 2</v>
      </c>
      <c r="I10710" s="1" t="s">
        <v>17</v>
      </c>
      <c r="J10710" s="1" t="str">
        <f>"7/7"</f>
        <v>7/7</v>
      </c>
      <c r="K10710" s="1" t="str">
        <f>"2026-07-29 13:18:13"</f>
        <v>2026-07-29 13:18:13</v>
      </c>
      <c r="L10710" s="1" t="str">
        <f>"2018-05-15 13:14:29"</f>
        <v>2018-05-15 13:14:29</v>
      </c>
      <c r="M10710" s="1" t="s">
        <v>0</v>
      </c>
      <c r="N10710" s="1" t="s">
        <v>38</v>
      </c>
      <c r="O10710" s="1" t="s">
        <v>46</v>
      </c>
    </row>
    <row r="10711" spans="2:15" x14ac:dyDescent="0.3">
      <c r="B10711" s="1" t="s">
        <v>21</v>
      </c>
      <c r="C10711" s="1" t="str">
        <f t="shared" si="534"/>
        <v>4차</v>
      </c>
      <c r="D10711" s="1" t="str">
        <f>"9730C05239"</f>
        <v>9730C05239</v>
      </c>
      <c r="E10711" s="1" t="s">
        <v>14</v>
      </c>
      <c r="F10711" s="1" t="str">
        <f>"10.12.135.170"</f>
        <v>10.12.135.170</v>
      </c>
      <c r="G10711" s="1" t="str">
        <f>"9730C052"</f>
        <v>9730C052</v>
      </c>
      <c r="H10711" s="1" t="str">
        <f>"방패 1"</f>
        <v>방패 1</v>
      </c>
      <c r="I10711" s="1" t="s">
        <v>17</v>
      </c>
      <c r="J10711" s="1" t="str">
        <f>"0/0"</f>
        <v>0/0</v>
      </c>
      <c r="K10711" s="1" t="str">
        <f>"2026-06-10 07:18:13"</f>
        <v>2026-06-10 07:18:13</v>
      </c>
      <c r="L10711" s="1" t="str">
        <f>"2018-05-15 12:56:27"</f>
        <v>2018-05-15 12:56:27</v>
      </c>
      <c r="M10711" s="1" t="s">
        <v>0</v>
      </c>
      <c r="N10711" s="1" t="s">
        <v>39</v>
      </c>
      <c r="O10711" s="1" t="s">
        <v>46</v>
      </c>
    </row>
    <row r="10712" spans="2:15" x14ac:dyDescent="0.3">
      <c r="B10712" s="1" t="s">
        <v>21</v>
      </c>
      <c r="C10712" s="1" t="str">
        <f t="shared" si="534"/>
        <v>4차</v>
      </c>
      <c r="D10712" s="1" t="str">
        <f>"9730C68339"</f>
        <v>9730C68339</v>
      </c>
      <c r="E10712" s="1" t="s">
        <v>14</v>
      </c>
      <c r="F10712" s="1" t="str">
        <f>"10.12.135.153"</f>
        <v>10.12.135.153</v>
      </c>
      <c r="G10712" s="1" t="str">
        <f>"9730C683"</f>
        <v>9730C683</v>
      </c>
      <c r="H10712" s="1" t="str">
        <f>"방패 5"</f>
        <v>방패 5</v>
      </c>
      <c r="I10712" s="1" t="s">
        <v>17</v>
      </c>
      <c r="J10712" s="1" t="str">
        <f>"0/0"</f>
        <v>0/0</v>
      </c>
      <c r="K10712" s="1" t="str">
        <f>"2026-06-10 07:18:12"</f>
        <v>2026-06-10 07:18:12</v>
      </c>
      <c r="L10712" s="1" t="str">
        <f>"2018-05-15 10:37:11"</f>
        <v>2018-05-15 10:37:11</v>
      </c>
      <c r="M10712" s="1" t="s">
        <v>0</v>
      </c>
      <c r="N10712" s="1" t="s">
        <v>39</v>
      </c>
      <c r="O10712" s="1" t="s">
        <v>46</v>
      </c>
    </row>
    <row r="10713" spans="2:15" x14ac:dyDescent="0.3">
      <c r="B10713" s="1" t="s">
        <v>21</v>
      </c>
      <c r="C10713" s="1" t="str">
        <f t="shared" si="534"/>
        <v>4차</v>
      </c>
      <c r="D10713" s="1" t="str">
        <f>"9730C77339"</f>
        <v>9730C77339</v>
      </c>
      <c r="E10713" s="1" t="s">
        <v>10</v>
      </c>
      <c r="F10713" s="1" t="str">
        <f>"10.12.135.82"</f>
        <v>10.12.135.82</v>
      </c>
      <c r="G10713" s="1" t="str">
        <f>"9730C773"</f>
        <v>9730C773</v>
      </c>
      <c r="H10713" s="1" t="str">
        <f>"방패 6"</f>
        <v>방패 6</v>
      </c>
      <c r="I10713" s="1" t="s">
        <v>17</v>
      </c>
      <c r="J10713" s="1" t="str">
        <f>"12/16"</f>
        <v>12/16</v>
      </c>
      <c r="K10713" s="1" t="str">
        <f>"2026-07-29 13:18:12"</f>
        <v>2026-07-29 13:18:12</v>
      </c>
      <c r="L10713" s="1" t="str">
        <f>"2018-05-15 11:50:44"</f>
        <v>2018-05-15 11:50:44</v>
      </c>
      <c r="M10713" s="1" t="s">
        <v>0</v>
      </c>
      <c r="N10713" s="1" t="s">
        <v>38</v>
      </c>
      <c r="O10713" s="1" t="s">
        <v>46</v>
      </c>
    </row>
    <row r="10714" spans="2:15" x14ac:dyDescent="0.3">
      <c r="B10714" s="1" t="s">
        <v>21</v>
      </c>
      <c r="C10714" s="1" t="str">
        <f t="shared" si="534"/>
        <v>4차</v>
      </c>
      <c r="D10714" s="1" t="str">
        <f>"9730C94339"</f>
        <v>9730C94339</v>
      </c>
      <c r="E10714" s="1" t="s">
        <v>14</v>
      </c>
      <c r="F10714" s="1" t="str">
        <f>"10.12.135.252"</f>
        <v>10.12.135.252</v>
      </c>
      <c r="G10714" s="1" t="str">
        <f>"9730C943"</f>
        <v>9730C943</v>
      </c>
      <c r="H10714" s="1" t="str">
        <f>"연화 5"</f>
        <v>연화 5</v>
      </c>
      <c r="I10714" s="1" t="s">
        <v>17</v>
      </c>
      <c r="J10714" s="1" t="str">
        <f>"0/0"</f>
        <v>0/0</v>
      </c>
      <c r="K10714" s="1" t="str">
        <f>"2026-06-10 07:18:12"</f>
        <v>2026-06-10 07:18:12</v>
      </c>
      <c r="L10714" s="1" t="str">
        <f>"2018-05-23 10:02:11"</f>
        <v>2018-05-23 10:02:11</v>
      </c>
      <c r="M10714" s="1" t="s">
        <v>0</v>
      </c>
      <c r="N10714" s="1" t="s">
        <v>39</v>
      </c>
      <c r="O10714" s="1" t="s">
        <v>46</v>
      </c>
    </row>
    <row r="10715" spans="2:15" x14ac:dyDescent="0.3">
      <c r="B10715" s="1" t="s">
        <v>21</v>
      </c>
      <c r="C10715" s="1" t="str">
        <f t="shared" si="534"/>
        <v>4차</v>
      </c>
      <c r="D10715" s="1" t="str">
        <f>"9730C94439"</f>
        <v>9730C94439</v>
      </c>
      <c r="E10715" s="1" t="s">
        <v>10</v>
      </c>
      <c r="F10715" s="1" t="str">
        <f>"10.12.134.180"</f>
        <v>10.12.134.180</v>
      </c>
      <c r="G10715" s="1" t="str">
        <f>"9730C944"</f>
        <v>9730C944</v>
      </c>
      <c r="H10715" s="1" t="str">
        <f>"연화 14"</f>
        <v>연화 14</v>
      </c>
      <c r="I10715" s="1" t="s">
        <v>17</v>
      </c>
      <c r="J10715" s="1" t="str">
        <f>"4/8"</f>
        <v>4/8</v>
      </c>
      <c r="K10715" s="1" t="str">
        <f>"2026-07-29 13:18:12"</f>
        <v>2026-07-29 13:18:12</v>
      </c>
      <c r="L10715" s="1" t="str">
        <f>"2018-05-23 10:17:56"</f>
        <v>2018-05-23 10:17:56</v>
      </c>
      <c r="M10715" s="1" t="s">
        <v>0</v>
      </c>
      <c r="N10715" s="1" t="s">
        <v>38</v>
      </c>
      <c r="O10715" s="1" t="s">
        <v>46</v>
      </c>
    </row>
    <row r="10716" spans="2:15" x14ac:dyDescent="0.3">
      <c r="B10716" s="1" t="s">
        <v>21</v>
      </c>
      <c r="C10716" s="1" t="str">
        <f t="shared" si="534"/>
        <v>4차</v>
      </c>
      <c r="D10716" s="1" t="str">
        <f>"9730D48845"</f>
        <v>9730D48845</v>
      </c>
      <c r="E10716" s="1" t="s">
        <v>10</v>
      </c>
      <c r="F10716" s="1" t="str">
        <f>"10.12.135.50"</f>
        <v>10.12.135.50</v>
      </c>
      <c r="G10716" s="1" t="str">
        <f>"9730D488"</f>
        <v>9730D488</v>
      </c>
      <c r="H10716" s="1" t="str">
        <f>"연화 13"</f>
        <v>연화 13</v>
      </c>
      <c r="I10716" s="1" t="s">
        <v>17</v>
      </c>
      <c r="J10716" s="1" t="str">
        <f>"7/8"</f>
        <v>7/8</v>
      </c>
      <c r="K10716" s="1" t="str">
        <f>"2026-07-29 13:18:11"</f>
        <v>2026-07-29 13:18:11</v>
      </c>
      <c r="L10716" s="1" t="str">
        <f>"2024-12-13 15:46:28"</f>
        <v>2024-12-13 15:46:28</v>
      </c>
      <c r="M10716" s="1" t="s">
        <v>0</v>
      </c>
      <c r="N10716" s="1" t="s">
        <v>38</v>
      </c>
      <c r="O10716" s="1" t="s">
        <v>46</v>
      </c>
    </row>
    <row r="10717" spans="2:15" x14ac:dyDescent="0.3">
      <c r="B10717" s="1" t="s">
        <v>21</v>
      </c>
      <c r="C10717" s="1" t="str">
        <f t="shared" si="534"/>
        <v>4차</v>
      </c>
      <c r="D10717" s="1" t="str">
        <f>"9730D50339"</f>
        <v>9730D50339</v>
      </c>
      <c r="E10717" s="1" t="s">
        <v>10</v>
      </c>
      <c r="F10717" s="1" t="str">
        <f>"10.12.135.240"</f>
        <v>10.12.135.240</v>
      </c>
      <c r="G10717" s="1" t="str">
        <f>"9730D503"</f>
        <v>9730D503</v>
      </c>
      <c r="H10717" s="1" t="str">
        <f>"연화 7"</f>
        <v>연화 7</v>
      </c>
      <c r="I10717" s="1" t="s">
        <v>17</v>
      </c>
      <c r="J10717" s="1" t="str">
        <f>"5/5"</f>
        <v>5/5</v>
      </c>
      <c r="K10717" s="1" t="str">
        <f>"2026-07-29 13:18:11"</f>
        <v>2026-07-29 13:18:11</v>
      </c>
      <c r="L10717" s="1" t="str">
        <f>"2018-05-23 11:51:59"</f>
        <v>2018-05-23 11:51:59</v>
      </c>
      <c r="M10717" s="1" t="s">
        <v>0</v>
      </c>
      <c r="N10717" s="1" t="s">
        <v>38</v>
      </c>
      <c r="O10717" s="1" t="s">
        <v>46</v>
      </c>
    </row>
    <row r="10718" spans="2:15" x14ac:dyDescent="0.3">
      <c r="B10718" s="1" t="s">
        <v>21</v>
      </c>
      <c r="C10718" s="1" t="str">
        <f t="shared" si="534"/>
        <v>4차</v>
      </c>
      <c r="D10718" s="1" t="str">
        <f>"9730D74239"</f>
        <v>9730D74239</v>
      </c>
      <c r="E10718" s="1" t="s">
        <v>14</v>
      </c>
      <c r="F10718" s="1" t="str">
        <f>"10.12.136.18"</f>
        <v>10.12.136.18</v>
      </c>
      <c r="G10718" s="1" t="str">
        <f>"9730D742"</f>
        <v>9730D742</v>
      </c>
      <c r="H10718" s="1" t="str">
        <f>"연화 10"</f>
        <v>연화 10</v>
      </c>
      <c r="I10718" s="1" t="s">
        <v>17</v>
      </c>
      <c r="J10718" s="1" t="str">
        <f>"0/0"</f>
        <v>0/0</v>
      </c>
      <c r="K10718" s="1" t="str">
        <f>"2026-06-10 07:18:12"</f>
        <v>2026-06-10 07:18:12</v>
      </c>
      <c r="L10718" s="1" t="str">
        <f>"2018-05-23 10:54:41"</f>
        <v>2018-05-23 10:54:41</v>
      </c>
      <c r="M10718" s="1" t="s">
        <v>0</v>
      </c>
      <c r="N10718" s="1" t="s">
        <v>39</v>
      </c>
      <c r="O10718" s="1" t="s">
        <v>46</v>
      </c>
    </row>
    <row r="10719" spans="2:15" x14ac:dyDescent="0.3">
      <c r="B10719" s="1" t="s">
        <v>21</v>
      </c>
      <c r="C10719" s="1" t="str">
        <f t="shared" si="534"/>
        <v>4차</v>
      </c>
      <c r="D10719" s="1" t="str">
        <f>"9730H00239"</f>
        <v>9730H00239</v>
      </c>
      <c r="E10719" s="1" t="s">
        <v>10</v>
      </c>
      <c r="F10719" s="1" t="str">
        <f>"10.12.131.217"</f>
        <v>10.12.131.217</v>
      </c>
      <c r="G10719" s="1" t="str">
        <f>"9730H002"</f>
        <v>9730H002</v>
      </c>
      <c r="H10719" s="1" t="str">
        <f>"삼지구 313"</f>
        <v>삼지구 313</v>
      </c>
      <c r="I10719" s="1" t="s">
        <v>17</v>
      </c>
      <c r="J10719" s="1" t="str">
        <f>"23/23"</f>
        <v>23/23</v>
      </c>
      <c r="K10719" s="1" t="str">
        <f>"2026-07-29 13:18:13"</f>
        <v>2026-07-29 13:18:13</v>
      </c>
      <c r="L10719" s="1" t="str">
        <f>"2018-10-18 10:51:25"</f>
        <v>2018-10-18 10:51:25</v>
      </c>
      <c r="M10719" s="1" t="s">
        <v>0</v>
      </c>
      <c r="N10719" s="1" t="s">
        <v>38</v>
      </c>
      <c r="O10719" s="1" t="s">
        <v>46</v>
      </c>
    </row>
    <row r="10720" spans="2:15" x14ac:dyDescent="0.3">
      <c r="B10720" s="1" t="s">
        <v>21</v>
      </c>
      <c r="C10720" s="1" t="str">
        <f>"3차"</f>
        <v>3차</v>
      </c>
      <c r="D10720" s="1" t="str">
        <f>"9730P08139"</f>
        <v>9730P08139</v>
      </c>
      <c r="E10720" s="1" t="s">
        <v>10</v>
      </c>
      <c r="F10720" s="1" t="str">
        <f>"10.12.135.253"</f>
        <v>10.12.135.253</v>
      </c>
      <c r="G10720" s="1" t="str">
        <f>"9730P081"</f>
        <v>9730P081</v>
      </c>
      <c r="H10720" s="1" t="str">
        <f>"연화 2"</f>
        <v>연화 2</v>
      </c>
      <c r="I10720" s="1" t="s">
        <v>17</v>
      </c>
      <c r="J10720" s="1" t="str">
        <f>"34/34"</f>
        <v>34/34</v>
      </c>
      <c r="K10720" s="1" t="str">
        <f>"2026-07-29 13:18:12"</f>
        <v>2026-07-29 13:18:12</v>
      </c>
      <c r="L10720" s="1" t="str">
        <f>"2018-05-21 11:42:36"</f>
        <v>2018-05-21 11:42:36</v>
      </c>
      <c r="M10720" s="1" t="s">
        <v>0</v>
      </c>
      <c r="N10720" s="1" t="s">
        <v>38</v>
      </c>
      <c r="O10720" s="1" t="s">
        <v>46</v>
      </c>
    </row>
    <row r="10721" spans="2:15" x14ac:dyDescent="0.3">
      <c r="B10721" s="1" t="s">
        <v>21</v>
      </c>
      <c r="C10721" s="1" t="str">
        <f>"4차"</f>
        <v>4차</v>
      </c>
      <c r="D10721" s="1" t="str">
        <f>"9730R31245"</f>
        <v>9730R31245</v>
      </c>
      <c r="E10721" s="1" t="s">
        <v>10</v>
      </c>
      <c r="F10721" s="1" t="str">
        <f>"10.14.14.5"</f>
        <v>10.14.14.5</v>
      </c>
      <c r="G10721" s="1" t="str">
        <f>"9730R312"</f>
        <v>9730R312</v>
      </c>
      <c r="H10721" s="1" t="str">
        <f>"은평이지구 T105"</f>
        <v>은평이지구 T105</v>
      </c>
      <c r="I10721" s="1" t="s">
        <v>17</v>
      </c>
      <c r="J10721" s="1" t="str">
        <f>"11/11"</f>
        <v>11/11</v>
      </c>
      <c r="K10721" s="1" t="str">
        <f>"2026-07-29 13:18:12"</f>
        <v>2026-07-29 13:18:12</v>
      </c>
      <c r="L10721" s="1" t="str">
        <f>"2021-06-22 11:34:10"</f>
        <v>2021-06-22 11:34:10</v>
      </c>
      <c r="M10721" s="1" t="s">
        <v>3</v>
      </c>
      <c r="N10721" s="1" t="s">
        <v>38</v>
      </c>
      <c r="O10721" s="1" t="s">
        <v>46</v>
      </c>
    </row>
    <row r="10722" spans="2:15" x14ac:dyDescent="0.3">
      <c r="B10722" s="1" t="s">
        <v>21</v>
      </c>
      <c r="C10722" s="1" t="str">
        <f>"4차"</f>
        <v>4차</v>
      </c>
      <c r="D10722" s="1" t="str">
        <f>"9730R91645"</f>
        <v>9730R91645</v>
      </c>
      <c r="E10722" s="1" t="s">
        <v>10</v>
      </c>
      <c r="F10722" s="1" t="str">
        <f>"10.14.14.3"</f>
        <v>10.14.14.3</v>
      </c>
      <c r="G10722" s="1" t="str">
        <f>"9730R916"</f>
        <v>9730R916</v>
      </c>
      <c r="H10722" s="1" t="str">
        <f>"이지구 107"</f>
        <v>이지구 107</v>
      </c>
      <c r="I10722" s="1" t="s">
        <v>17</v>
      </c>
      <c r="J10722" s="1" t="str">
        <f>"12/12"</f>
        <v>12/12</v>
      </c>
      <c r="K10722" s="1" t="str">
        <f>"2026-07-29 13:18:12"</f>
        <v>2026-07-29 13:18:12</v>
      </c>
      <c r="L10722" s="1" t="str">
        <f>"2021-06-22 12:04:05"</f>
        <v>2021-06-22 12:04:05</v>
      </c>
      <c r="M10722" s="1" t="s">
        <v>3</v>
      </c>
      <c r="N10722" s="1" t="s">
        <v>38</v>
      </c>
      <c r="O10722" s="1" t="s">
        <v>46</v>
      </c>
    </row>
    <row r="10723" spans="2:15" x14ac:dyDescent="0.3">
      <c r="B10723" s="1" t="s">
        <v>21</v>
      </c>
      <c r="C10723" s="1" t="str">
        <f>"4차"</f>
        <v>4차</v>
      </c>
      <c r="D10723" s="1" t="str">
        <f>"9730W97439"</f>
        <v>9730W97439</v>
      </c>
      <c r="E10723" s="1" t="s">
        <v>10</v>
      </c>
      <c r="F10723" s="1" t="str">
        <f>"10.12.128.219"</f>
        <v>10.12.128.219</v>
      </c>
      <c r="G10723" s="1" t="str">
        <f>"9730W974"</f>
        <v>9730W974</v>
      </c>
      <c r="H10723" s="1" t="str">
        <f>"삼지구 310"</f>
        <v>삼지구 310</v>
      </c>
      <c r="I10723" s="1" t="s">
        <v>17</v>
      </c>
      <c r="J10723" s="1" t="str">
        <f>"19/19"</f>
        <v>19/19</v>
      </c>
      <c r="K10723" s="1" t="str">
        <f>"2026-07-29 13:18:12"</f>
        <v>2026-07-29 13:18:12</v>
      </c>
      <c r="L10723" s="1" t="str">
        <f>"2018-10-18 10:14:39"</f>
        <v>2018-10-18 10:14:39</v>
      </c>
      <c r="M10723" s="1" t="s">
        <v>0</v>
      </c>
      <c r="N10723" s="1" t="s">
        <v>38</v>
      </c>
      <c r="O10723" s="1" t="s">
        <v>46</v>
      </c>
    </row>
    <row r="10724" spans="2:15" x14ac:dyDescent="0.3">
      <c r="B10724" s="1" t="s">
        <v>21</v>
      </c>
      <c r="C10724" s="1" t="str">
        <f>"4차"</f>
        <v>4차</v>
      </c>
      <c r="D10724" s="1" t="str">
        <f>"9730X11239"</f>
        <v>9730X11239</v>
      </c>
      <c r="E10724" s="1" t="s">
        <v>10</v>
      </c>
      <c r="F10724" s="1" t="str">
        <f>"10.12.131.39"</f>
        <v>10.12.131.39</v>
      </c>
      <c r="G10724" s="1" t="str">
        <f>"9730X112"</f>
        <v>9730X112</v>
      </c>
      <c r="H10724" s="1" t="str">
        <f>"삼지구 318"</f>
        <v>삼지구 318</v>
      </c>
      <c r="I10724" s="1" t="s">
        <v>17</v>
      </c>
      <c r="J10724" s="1" t="str">
        <f>"25/26"</f>
        <v>25/26</v>
      </c>
      <c r="K10724" s="1" t="str">
        <f>"2026-07-29 13:18:13"</f>
        <v>2026-07-29 13:18:13</v>
      </c>
      <c r="L10724" s="1" t="str">
        <f>"2018-10-18 10:32:39"</f>
        <v>2018-10-18 10:32:39</v>
      </c>
      <c r="M10724" s="1" t="s">
        <v>0</v>
      </c>
      <c r="N10724" s="1" t="s">
        <v>38</v>
      </c>
      <c r="O10724" s="1" t="s">
        <v>46</v>
      </c>
    </row>
    <row r="10725" spans="2:15" x14ac:dyDescent="0.3">
      <c r="B10725" s="1" t="s">
        <v>21</v>
      </c>
      <c r="C10725" s="1" t="str">
        <f>"1차"</f>
        <v>1차</v>
      </c>
      <c r="D10725" s="1" t="str">
        <f>"9731Z03400"</f>
        <v>9731Z03400</v>
      </c>
      <c r="E10725" s="1" t="s">
        <v>10</v>
      </c>
      <c r="F10725" s="1" t="str">
        <f>"10.128.66.2"</f>
        <v>10.128.66.2</v>
      </c>
      <c r="G10725" s="1" t="str">
        <f>"9731Z034"</f>
        <v>9731Z034</v>
      </c>
      <c r="H10725" s="1" t="str">
        <f>"산성간 10R1H1"</f>
        <v>산성간 10R1H1</v>
      </c>
      <c r="I10725" s="1" t="s">
        <v>8</v>
      </c>
      <c r="J10725" s="1" t="str">
        <f>"12/12"</f>
        <v>12/12</v>
      </c>
      <c r="K10725" s="1" t="str">
        <f>"2026-07-29 13:18:12"</f>
        <v>2026-07-29 13:18:12</v>
      </c>
      <c r="L10725" s="1" t="str">
        <f>"2015-03-10 13:53:50"</f>
        <v>2015-03-10 13:53:50</v>
      </c>
      <c r="M10725" s="1" t="s">
        <v>45</v>
      </c>
      <c r="N10725" s="1" t="s">
        <v>38</v>
      </c>
      <c r="O10725" s="1" t="s">
        <v>46</v>
      </c>
    </row>
    <row r="10726" spans="2:15" x14ac:dyDescent="0.3">
      <c r="B10726" s="1" t="s">
        <v>21</v>
      </c>
      <c r="C10726" s="1" t="str">
        <f>"1차"</f>
        <v>1차</v>
      </c>
      <c r="D10726" s="1" t="str">
        <f>"9731Z24500"</f>
        <v>9731Z24500</v>
      </c>
      <c r="E10726" s="1" t="s">
        <v>14</v>
      </c>
      <c r="F10726" s="1" t="str">
        <f>"10.128.66.10"</f>
        <v>10.128.66.10</v>
      </c>
      <c r="G10726" s="1" t="str">
        <f>"9731Z245"</f>
        <v>9731Z245</v>
      </c>
      <c r="H10726" s="1" t="str">
        <f>"산성간 10R2"</f>
        <v>산성간 10R2</v>
      </c>
      <c r="I10726" s="1" t="s">
        <v>8</v>
      </c>
      <c r="J10726" s="1" t="str">
        <f>"0/0"</f>
        <v>0/0</v>
      </c>
      <c r="K10726" s="1" t="str">
        <f>"2024-07-22 09:20:09"</f>
        <v>2024-07-22 09:20:09</v>
      </c>
      <c r="L10726" s="1" t="str">
        <f>"2021-07-27 14:15:48"</f>
        <v>2021-07-27 14:15:48</v>
      </c>
      <c r="M10726" s="1" t="s">
        <v>45</v>
      </c>
      <c r="N10726" s="1" t="s">
        <v>44</v>
      </c>
      <c r="O10726" s="1" t="s">
        <v>44</v>
      </c>
    </row>
    <row r="10727" spans="2:15" x14ac:dyDescent="0.3">
      <c r="B10727" s="1" t="s">
        <v>21</v>
      </c>
      <c r="C10727" s="1" t="str">
        <f>"4차"</f>
        <v>4차</v>
      </c>
      <c r="D10727" s="1" t="str">
        <f>"9825A01541"</f>
        <v>9825A01541</v>
      </c>
      <c r="E10727" s="1" t="str">
        <f>"검침실패(3시간 이상)"</f>
        <v>검침실패(3시간 이상)</v>
      </c>
      <c r="F10727" s="1" t="str">
        <f>"10.14.7.30"</f>
        <v>10.14.7.30</v>
      </c>
      <c r="G10727" s="1" t="str">
        <f>"9825A015"</f>
        <v>9825A015</v>
      </c>
      <c r="H10727" s="1" t="str">
        <f>"이대SW 12R10"</f>
        <v>이대SW 12R10</v>
      </c>
      <c r="I10727" s="1" t="s">
        <v>17</v>
      </c>
      <c r="J10727" s="1" t="str">
        <f>"0/1"</f>
        <v>0/1</v>
      </c>
      <c r="K10727" s="1" t="str">
        <f>"2026-07-29 13:18:12"</f>
        <v>2026-07-29 13:18:12</v>
      </c>
      <c r="L10727" s="1" t="str">
        <f>"2021-08-27 07:51:06"</f>
        <v>2021-08-27 07:51:06</v>
      </c>
      <c r="M10727" s="1" t="s">
        <v>3</v>
      </c>
      <c r="N10727" s="1" t="s">
        <v>38</v>
      </c>
      <c r="O10727" s="1" t="s">
        <v>46</v>
      </c>
    </row>
    <row r="10728" spans="2:15" x14ac:dyDescent="0.3">
      <c r="B10728" s="1" t="s">
        <v>21</v>
      </c>
      <c r="C10728" s="1" t="str">
        <f>"4차"</f>
        <v>4차</v>
      </c>
      <c r="D10728" s="1" t="str">
        <f>"9825A01841"</f>
        <v>9825A01841</v>
      </c>
      <c r="E10728" s="1" t="s">
        <v>10</v>
      </c>
      <c r="F10728" s="1" t="str">
        <f>"10.12.134.252"</f>
        <v>10.12.134.252</v>
      </c>
      <c r="G10728" s="1" t="str">
        <f>"9825A018"</f>
        <v>9825A018</v>
      </c>
      <c r="H10728" s="1" t="str">
        <f>"대신간 2L1"</f>
        <v>대신간 2L1</v>
      </c>
      <c r="I10728" s="1" t="s">
        <v>17</v>
      </c>
      <c r="J10728" s="1" t="str">
        <f>"9/9"</f>
        <v>9/9</v>
      </c>
      <c r="K10728" s="1" t="str">
        <f>"2026-07-29 13:18:12"</f>
        <v>2026-07-29 13:18:12</v>
      </c>
      <c r="L10728" s="1" t="str">
        <f>"2021-08-27 07:10:58"</f>
        <v>2021-08-27 07:10:58</v>
      </c>
      <c r="M10728" s="1" t="s">
        <v>0</v>
      </c>
      <c r="N10728" s="1" t="s">
        <v>38</v>
      </c>
      <c r="O10728" s="1" t="s">
        <v>46</v>
      </c>
    </row>
    <row r="10729" spans="2:15" x14ac:dyDescent="0.3">
      <c r="B10729" s="1" t="s">
        <v>21</v>
      </c>
      <c r="C10729" s="1" t="str">
        <f>"4차"</f>
        <v>4차</v>
      </c>
      <c r="D10729" s="1" t="str">
        <f>"9825A01B45"</f>
        <v>9825A01B45</v>
      </c>
      <c r="E10729" s="1" t="s">
        <v>10</v>
      </c>
      <c r="F10729" s="1" t="str">
        <f>"10.14.6.11"</f>
        <v>10.14.6.11</v>
      </c>
      <c r="G10729" s="1" t="str">
        <f>"9825A01B"</f>
        <v>9825A01B</v>
      </c>
      <c r="H10729" s="1" t="str">
        <f>"대신간 3R2R1"</f>
        <v>대신간 3R2R1</v>
      </c>
      <c r="I10729" s="1" t="s">
        <v>17</v>
      </c>
      <c r="J10729" s="1" t="str">
        <f>"41/55"</f>
        <v>41/55</v>
      </c>
      <c r="K10729" s="1" t="str">
        <f>"2026-07-29 13:18:12"</f>
        <v>2026-07-29 13:18:12</v>
      </c>
      <c r="L10729" s="1" t="str">
        <f>"2021-06-23 07:22:39"</f>
        <v>2021-06-23 07:22:39</v>
      </c>
      <c r="M10729" s="1" t="s">
        <v>3</v>
      </c>
      <c r="N10729" s="1" t="s">
        <v>38</v>
      </c>
      <c r="O10729" s="1" t="s">
        <v>46</v>
      </c>
    </row>
    <row r="10730" spans="2:15" x14ac:dyDescent="0.3">
      <c r="B10730" s="1" t="s">
        <v>21</v>
      </c>
      <c r="C10730" s="1" t="str">
        <f>"4차"</f>
        <v>4차</v>
      </c>
      <c r="D10730" s="1" t="str">
        <f>"9825A02244"</f>
        <v>9825A02244</v>
      </c>
      <c r="E10730" s="1" t="s">
        <v>10</v>
      </c>
      <c r="F10730" s="1" t="str">
        <f>"10.10.132.218"</f>
        <v>10.10.132.218</v>
      </c>
      <c r="G10730" s="1" t="str">
        <f>"9825A022"</f>
        <v>9825A022</v>
      </c>
      <c r="H10730" s="1" t="str">
        <f>"이대SW 12R7"</f>
        <v>이대SW 12R7</v>
      </c>
      <c r="I10730" s="1" t="s">
        <v>8</v>
      </c>
      <c r="J10730" s="1" t="str">
        <f>"3/3"</f>
        <v>3/3</v>
      </c>
      <c r="K10730" s="1" t="str">
        <f>"2026-07-29 13:18:12"</f>
        <v>2026-07-29 13:18:12</v>
      </c>
      <c r="L10730" s="1" t="str">
        <f>"2019-12-11 18:27:30"</f>
        <v>2019-12-11 18:27:30</v>
      </c>
      <c r="M10730" s="1" t="s">
        <v>1</v>
      </c>
      <c r="N10730" s="1" t="s">
        <v>38</v>
      </c>
      <c r="O10730" s="1" t="s">
        <v>46</v>
      </c>
    </row>
    <row r="10731" spans="2:15" x14ac:dyDescent="0.3">
      <c r="B10731" s="1" t="s">
        <v>21</v>
      </c>
      <c r="C10731" s="1" t="str">
        <f>"4차"</f>
        <v>4차</v>
      </c>
      <c r="D10731" s="1" t="str">
        <f>"9825A02544"</f>
        <v>9825A02544</v>
      </c>
      <c r="E10731" s="1" t="s">
        <v>10</v>
      </c>
      <c r="F10731" s="1" t="str">
        <f>"10.10.132.242"</f>
        <v>10.10.132.242</v>
      </c>
      <c r="G10731" s="1" t="str">
        <f>"9825A025"</f>
        <v>9825A025</v>
      </c>
      <c r="H10731" s="1" t="str">
        <f>"이대SW 12R7R1"</f>
        <v>이대SW 12R7R1</v>
      </c>
      <c r="I10731" s="1" t="s">
        <v>8</v>
      </c>
      <c r="J10731" s="1" t="str">
        <f>"2/2"</f>
        <v>2/2</v>
      </c>
      <c r="K10731" s="1" t="str">
        <f>"2026-07-29 13:18:12"</f>
        <v>2026-07-29 13:18:12</v>
      </c>
      <c r="L10731" s="1" t="str">
        <f>"2020-01-11 02:22:42"</f>
        <v>2020-01-11 02:22:42</v>
      </c>
      <c r="M10731" s="1" t="s">
        <v>1</v>
      </c>
      <c r="N10731" s="1" t="s">
        <v>38</v>
      </c>
      <c r="O10731" s="1" t="s">
        <v>46</v>
      </c>
    </row>
    <row r="10732" spans="2:15" x14ac:dyDescent="0.3">
      <c r="B10732" s="1" t="s">
        <v>21</v>
      </c>
      <c r="C10732" s="1" t="str">
        <f>"5-2차"</f>
        <v>5-2차</v>
      </c>
      <c r="D10732" s="1" t="str">
        <f>"9825A0265S"</f>
        <v>9825A0265S</v>
      </c>
      <c r="E10732" s="1" t="s">
        <v>10</v>
      </c>
      <c r="F10732" s="1" t="str">
        <f>"fde1:103:4:929f:0:0:0:2"</f>
        <v>fde1:103:4:929f:0:0:0:2</v>
      </c>
      <c r="G10732" s="1" t="str">
        <f>"9825A026"</f>
        <v>9825A026</v>
      </c>
      <c r="H10732" s="1" t="str">
        <f>"이대SW 12R7R1H1"</f>
        <v>이대SW 12R7R1H1</v>
      </c>
      <c r="I10732" s="1" t="s">
        <v>15</v>
      </c>
      <c r="J10732" s="1" t="str">
        <f>"57/57"</f>
        <v>57/57</v>
      </c>
      <c r="K10732" s="1" t="str">
        <f>"2026-07-29 14:21:27"</f>
        <v>2026-07-29 14:21:27</v>
      </c>
      <c r="L10732" s="1" t="str">
        <f>"2024-01-19 08:06:39"</f>
        <v>2024-01-19 08:06:39</v>
      </c>
      <c r="M10732" s="1" t="s">
        <v>4</v>
      </c>
      <c r="N10732" s="1" t="s">
        <v>38</v>
      </c>
      <c r="O10732" s="1" t="s">
        <v>46</v>
      </c>
    </row>
    <row r="10733" spans="2:15" x14ac:dyDescent="0.3">
      <c r="B10733" s="1" t="s">
        <v>21</v>
      </c>
      <c r="C10733" s="1" t="str">
        <f>"4차"</f>
        <v>4차</v>
      </c>
      <c r="D10733" s="1" t="str">
        <f>"9825A03344"</f>
        <v>9825A03344</v>
      </c>
      <c r="E10733" s="1" t="s">
        <v>10</v>
      </c>
      <c r="F10733" s="1" t="str">
        <f>"10.10.133.2"</f>
        <v>10.10.133.2</v>
      </c>
      <c r="G10733" s="1" t="str">
        <f>"9825A033"</f>
        <v>9825A033</v>
      </c>
      <c r="H10733" s="1" t="str">
        <f>"이대SW 12R6R1"</f>
        <v>이대SW 12R6R1</v>
      </c>
      <c r="I10733" s="1" t="s">
        <v>8</v>
      </c>
      <c r="J10733" s="1" t="str">
        <f>"27/27"</f>
        <v>27/27</v>
      </c>
      <c r="K10733" s="1" t="str">
        <f>"2026-07-29 13:18:12"</f>
        <v>2026-07-29 13:18:12</v>
      </c>
      <c r="L10733" s="1" t="str">
        <f>"2019-12-11 18:24:20"</f>
        <v>2019-12-11 18:24:20</v>
      </c>
      <c r="M10733" s="1" t="s">
        <v>1</v>
      </c>
      <c r="N10733" s="1" t="s">
        <v>38</v>
      </c>
      <c r="O10733" s="1" t="s">
        <v>46</v>
      </c>
    </row>
    <row r="10734" spans="2:15" x14ac:dyDescent="0.3">
      <c r="B10734" s="1" t="s">
        <v>21</v>
      </c>
      <c r="C10734" s="1" t="str">
        <f>"5-2차"</f>
        <v>5-2차</v>
      </c>
      <c r="D10734" s="1" t="str">
        <f>"9825A0355M"</f>
        <v>9825A0355M</v>
      </c>
      <c r="E10734" s="1" t="s">
        <v>10</v>
      </c>
      <c r="F10734" s="1" t="str">
        <f>"fde3:102:1302:103:0:0:0:2"</f>
        <v>fde3:102:1302:103:0:0:0:2</v>
      </c>
      <c r="G10734" s="1" t="str">
        <f>"9825A035"</f>
        <v>9825A035</v>
      </c>
      <c r="H10734" s="1" t="str">
        <f>"이대SW 12R6R2"</f>
        <v>이대SW 12R6R2</v>
      </c>
      <c r="I10734" s="1" t="s">
        <v>15</v>
      </c>
      <c r="J10734" s="1" t="str">
        <f>"42/42"</f>
        <v>42/42</v>
      </c>
      <c r="K10734" s="1" t="str">
        <f>"2026-07-29 14:21:26"</f>
        <v>2026-07-29 14:21:26</v>
      </c>
      <c r="L10734" s="1" t="str">
        <f>"2024-01-26 15:04:23"</f>
        <v>2024-01-26 15:04:23</v>
      </c>
      <c r="M10734" s="1" t="s">
        <v>45</v>
      </c>
      <c r="N10734" s="1" t="s">
        <v>38</v>
      </c>
      <c r="O10734" s="1" t="s">
        <v>46</v>
      </c>
    </row>
    <row r="10735" spans="2:15" x14ac:dyDescent="0.3">
      <c r="B10735" s="1" t="s">
        <v>21</v>
      </c>
      <c r="C10735" s="1" t="str">
        <f>"4차"</f>
        <v>4차</v>
      </c>
      <c r="D10735" s="1" t="str">
        <f>"9825A06144"</f>
        <v>9825A06144</v>
      </c>
      <c r="E10735" s="1" t="s">
        <v>10</v>
      </c>
      <c r="F10735" s="1" t="str">
        <f>"10.10.133.26"</f>
        <v>10.10.133.26</v>
      </c>
      <c r="G10735" s="1" t="str">
        <f>"9825A061"</f>
        <v>9825A061</v>
      </c>
      <c r="H10735" s="1" t="str">
        <f>"이대SW 13L2"</f>
        <v>이대SW 13L2</v>
      </c>
      <c r="I10735" s="1" t="s">
        <v>8</v>
      </c>
      <c r="J10735" s="1" t="str">
        <f>"3/3"</f>
        <v>3/3</v>
      </c>
      <c r="K10735" s="1" t="str">
        <f>"2026-07-29 13:18:12"</f>
        <v>2026-07-29 13:18:12</v>
      </c>
      <c r="L10735" s="1" t="str">
        <f>"2019-12-11 18:22:01"</f>
        <v>2019-12-11 18:22:01</v>
      </c>
      <c r="M10735" s="1" t="s">
        <v>1</v>
      </c>
      <c r="N10735" s="1" t="s">
        <v>38</v>
      </c>
      <c r="O10735" s="1" t="s">
        <v>46</v>
      </c>
    </row>
    <row r="10736" spans="2:15" x14ac:dyDescent="0.3">
      <c r="B10736" s="1" t="s">
        <v>21</v>
      </c>
      <c r="C10736" s="1" t="str">
        <f>"4차"</f>
        <v>4차</v>
      </c>
      <c r="D10736" s="1" t="str">
        <f>"9825A06639"</f>
        <v>9825A06639</v>
      </c>
      <c r="E10736" s="1" t="s">
        <v>10</v>
      </c>
      <c r="F10736" s="1" t="str">
        <f>"10.12.136.190"</f>
        <v>10.12.136.190</v>
      </c>
      <c r="G10736" s="1" t="str">
        <f>"9825A066"</f>
        <v>9825A066</v>
      </c>
      <c r="H10736" s="1" t="str">
        <f>"이대 16"</f>
        <v>이대 16</v>
      </c>
      <c r="I10736" s="1" t="s">
        <v>17</v>
      </c>
      <c r="J10736" s="1" t="str">
        <f>"9/9"</f>
        <v>9/9</v>
      </c>
      <c r="K10736" s="1" t="str">
        <f>"2026-07-29 13:18:12"</f>
        <v>2026-07-29 13:18:12</v>
      </c>
      <c r="L10736" s="1" t="str">
        <f>"2018-10-15 16:22:44"</f>
        <v>2018-10-15 16:22:44</v>
      </c>
      <c r="M10736" s="1" t="s">
        <v>0</v>
      </c>
      <c r="N10736" s="1" t="s">
        <v>38</v>
      </c>
      <c r="O10736" s="1" t="s">
        <v>46</v>
      </c>
    </row>
    <row r="10737" spans="2:15" x14ac:dyDescent="0.3">
      <c r="B10737" s="1" t="s">
        <v>21</v>
      </c>
      <c r="C10737" s="1" t="str">
        <f>"5-2차"</f>
        <v>5-2차</v>
      </c>
      <c r="D10737" s="1" t="str">
        <f>"9825A1285M"</f>
        <v>9825A1285M</v>
      </c>
      <c r="E10737" s="1" t="s">
        <v>10</v>
      </c>
      <c r="F10737" s="1" t="str">
        <f>"fde1:103:4:93b8:0:0:0:2"</f>
        <v>fde1:103:4:93b8:0:0:0:2</v>
      </c>
      <c r="G10737" s="1" t="str">
        <f>"9825A128"</f>
        <v>9825A128</v>
      </c>
      <c r="H10737" s="1" t="str">
        <f>"이대SW 12R7L2"</f>
        <v>이대SW 12R7L2</v>
      </c>
      <c r="I10737" s="1" t="s">
        <v>15</v>
      </c>
      <c r="J10737" s="1" t="str">
        <f>"39/39"</f>
        <v>39/39</v>
      </c>
      <c r="K10737" s="1" t="str">
        <f>"2026-07-29 14:21:22"</f>
        <v>2026-07-29 14:21:22</v>
      </c>
      <c r="L10737" s="1" t="str">
        <f>"2023-12-18 13:45:04"</f>
        <v>2023-12-18 13:45:04</v>
      </c>
      <c r="M10737" s="1" t="s">
        <v>4</v>
      </c>
      <c r="N10737" s="1" t="s">
        <v>38</v>
      </c>
      <c r="O10737" s="1" t="s">
        <v>46</v>
      </c>
    </row>
    <row r="10738" spans="2:15" x14ac:dyDescent="0.3">
      <c r="B10738" s="1" t="s">
        <v>21</v>
      </c>
      <c r="C10738" s="1" t="str">
        <f>"5-2차"</f>
        <v>5-2차</v>
      </c>
      <c r="D10738" s="1" t="str">
        <f>"9825A1345M"</f>
        <v>9825A1345M</v>
      </c>
      <c r="E10738" s="1" t="s">
        <v>10</v>
      </c>
      <c r="F10738" s="1" t="str">
        <f>"fde1:103:4:9277:0:0:0:2"</f>
        <v>fde1:103:4:9277:0:0:0:2</v>
      </c>
      <c r="G10738" s="1" t="str">
        <f>"9825A134"</f>
        <v>9825A134</v>
      </c>
      <c r="H10738" s="1" t="str">
        <f>"이대SW 12R6R1L2H1"</f>
        <v>이대SW 12R6R1L2H1</v>
      </c>
      <c r="I10738" s="1" t="s">
        <v>15</v>
      </c>
      <c r="J10738" s="1" t="str">
        <f>"62/62"</f>
        <v>62/62</v>
      </c>
      <c r="K10738" s="1" t="str">
        <f>"2026-07-29 14:21:27"</f>
        <v>2026-07-29 14:21:27</v>
      </c>
      <c r="L10738" s="1" t="str">
        <f>"2023-12-21 15:52:38"</f>
        <v>2023-12-21 15:52:38</v>
      </c>
      <c r="M10738" s="1" t="s">
        <v>4</v>
      </c>
      <c r="N10738" s="1" t="s">
        <v>38</v>
      </c>
      <c r="O10738" s="1" t="s">
        <v>46</v>
      </c>
    </row>
    <row r="10739" spans="2:15" x14ac:dyDescent="0.3">
      <c r="B10739" s="1" t="s">
        <v>21</v>
      </c>
      <c r="C10739" s="1" t="str">
        <f t="shared" ref="C10739:C10751" si="535">"4차"</f>
        <v>4차</v>
      </c>
      <c r="D10739" s="1" t="str">
        <f>"9825A14139"</f>
        <v>9825A14139</v>
      </c>
      <c r="E10739" s="1" t="s">
        <v>10</v>
      </c>
      <c r="F10739" s="1" t="str">
        <f>"10.12.134.47"</f>
        <v>10.12.134.47</v>
      </c>
      <c r="G10739" s="1" t="str">
        <f>"9825A141"</f>
        <v>9825A141</v>
      </c>
      <c r="H10739" s="1" t="str">
        <f>"이대SW 12R4R1"</f>
        <v>이대SW 12R4R1</v>
      </c>
      <c r="I10739" s="1" t="s">
        <v>17</v>
      </c>
      <c r="J10739" s="1" t="str">
        <f>"6/6"</f>
        <v>6/6</v>
      </c>
      <c r="K10739" s="1" t="str">
        <f>"2026-07-29 13:18:10"</f>
        <v>2026-07-29 13:18:10</v>
      </c>
      <c r="L10739" s="1" t="str">
        <f>"2018-06-15 14:58:59"</f>
        <v>2018-06-15 14:58:59</v>
      </c>
      <c r="M10739" s="1" t="s">
        <v>0</v>
      </c>
      <c r="N10739" s="1" t="s">
        <v>38</v>
      </c>
      <c r="O10739" s="1" t="s">
        <v>46</v>
      </c>
    </row>
    <row r="10740" spans="2:15" x14ac:dyDescent="0.3">
      <c r="B10740" s="1" t="s">
        <v>21</v>
      </c>
      <c r="C10740" s="1" t="str">
        <f t="shared" si="535"/>
        <v>4차</v>
      </c>
      <c r="D10740" s="1" t="str">
        <f>"9825A15139"</f>
        <v>9825A15139</v>
      </c>
      <c r="E10740" s="1" t="s">
        <v>10</v>
      </c>
      <c r="F10740" s="1" t="str">
        <f>"10.12.135.245"</f>
        <v>10.12.135.245</v>
      </c>
      <c r="G10740" s="1" t="str">
        <f>"9825A151"</f>
        <v>9825A151</v>
      </c>
      <c r="H10740" s="1" t="str">
        <f>"이대 11"</f>
        <v>이대 11</v>
      </c>
      <c r="I10740" s="1" t="s">
        <v>17</v>
      </c>
      <c r="J10740" s="1" t="str">
        <f>"39/39"</f>
        <v>39/39</v>
      </c>
      <c r="K10740" s="1" t="str">
        <f>"2026-07-29 13:18:13"</f>
        <v>2026-07-29 13:18:13</v>
      </c>
      <c r="L10740" s="1" t="str">
        <f>"2018-06-25 15:23:23"</f>
        <v>2018-06-25 15:23:23</v>
      </c>
      <c r="M10740" s="1" t="s">
        <v>0</v>
      </c>
      <c r="N10740" s="1" t="s">
        <v>38</v>
      </c>
      <c r="O10740" s="1" t="s">
        <v>46</v>
      </c>
    </row>
    <row r="10741" spans="2:15" x14ac:dyDescent="0.3">
      <c r="B10741" s="1" t="s">
        <v>21</v>
      </c>
      <c r="C10741" s="1" t="str">
        <f t="shared" si="535"/>
        <v>4차</v>
      </c>
      <c r="D10741" s="1" t="str">
        <f>"9825A20339"</f>
        <v>9825A20339</v>
      </c>
      <c r="E10741" s="1" t="s">
        <v>10</v>
      </c>
      <c r="F10741" s="1" t="str">
        <f>"10.12.135.178"</f>
        <v>10.12.135.178</v>
      </c>
      <c r="G10741" s="1" t="str">
        <f>"9825A203"</f>
        <v>9825A203</v>
      </c>
      <c r="H10741" s="1" t="str">
        <f>"대현 9"</f>
        <v>대현 9</v>
      </c>
      <c r="I10741" s="1" t="s">
        <v>17</v>
      </c>
      <c r="J10741" s="1" t="str">
        <f>"7/9"</f>
        <v>7/9</v>
      </c>
      <c r="K10741" s="1" t="str">
        <f>"2026-07-29 13:18:13"</f>
        <v>2026-07-29 13:18:13</v>
      </c>
      <c r="L10741" s="1" t="str">
        <f>"2018-05-14 11:30:57"</f>
        <v>2018-05-14 11:30:57</v>
      </c>
      <c r="M10741" s="1" t="s">
        <v>0</v>
      </c>
      <c r="N10741" s="1" t="s">
        <v>38</v>
      </c>
      <c r="O10741" s="1" t="s">
        <v>46</v>
      </c>
    </row>
    <row r="10742" spans="2:15" x14ac:dyDescent="0.3">
      <c r="B10742" s="1" t="s">
        <v>21</v>
      </c>
      <c r="C10742" s="1" t="str">
        <f t="shared" si="535"/>
        <v>4차</v>
      </c>
      <c r="D10742" s="1" t="str">
        <f>"9825A22A39"</f>
        <v>9825A22A39</v>
      </c>
      <c r="E10742" s="1" t="s">
        <v>10</v>
      </c>
      <c r="F10742" s="1" t="str">
        <f>"10.12.135.250"</f>
        <v>10.12.135.250</v>
      </c>
      <c r="G10742" s="1" t="str">
        <f>"9825A22A"</f>
        <v>9825A22A</v>
      </c>
      <c r="H10742" s="1" t="str">
        <f>"이대 1"</f>
        <v>이대 1</v>
      </c>
      <c r="I10742" s="1" t="s">
        <v>17</v>
      </c>
      <c r="J10742" s="1" t="str">
        <f>"2/3"</f>
        <v>2/3</v>
      </c>
      <c r="K10742" s="1" t="str">
        <f>"2026-07-29 13:18:13"</f>
        <v>2026-07-29 13:18:13</v>
      </c>
      <c r="L10742" s="1" t="str">
        <f>"2018-05-21 10:34:37"</f>
        <v>2018-05-21 10:34:37</v>
      </c>
      <c r="M10742" s="1" t="s">
        <v>0</v>
      </c>
      <c r="N10742" s="1" t="s">
        <v>38</v>
      </c>
      <c r="O10742" s="1" t="s">
        <v>46</v>
      </c>
    </row>
    <row r="10743" spans="2:15" x14ac:dyDescent="0.3">
      <c r="B10743" s="1" t="s">
        <v>21</v>
      </c>
      <c r="C10743" s="1" t="str">
        <f t="shared" si="535"/>
        <v>4차</v>
      </c>
      <c r="D10743" s="1" t="str">
        <f>"9825A22B39"</f>
        <v>9825A22B39</v>
      </c>
      <c r="E10743" s="1" t="s">
        <v>10</v>
      </c>
      <c r="F10743" s="1" t="str">
        <f>"10.12.135.249"</f>
        <v>10.12.135.249</v>
      </c>
      <c r="G10743" s="1" t="str">
        <f>"9825A22B"</f>
        <v>9825A22B</v>
      </c>
      <c r="H10743" s="1" t="str">
        <f>"이대 2"</f>
        <v>이대 2</v>
      </c>
      <c r="I10743" s="1" t="s">
        <v>17</v>
      </c>
      <c r="J10743" s="1" t="str">
        <f>"2/2"</f>
        <v>2/2</v>
      </c>
      <c r="K10743" s="1" t="str">
        <f>"2026-07-29 13:18:12"</f>
        <v>2026-07-29 13:18:12</v>
      </c>
      <c r="L10743" s="1" t="str">
        <f>"2018-05-21 10:22:22"</f>
        <v>2018-05-21 10:22:22</v>
      </c>
      <c r="M10743" s="1" t="s">
        <v>0</v>
      </c>
      <c r="N10743" s="1" t="s">
        <v>38</v>
      </c>
      <c r="O10743" s="1" t="s">
        <v>46</v>
      </c>
    </row>
    <row r="10744" spans="2:15" x14ac:dyDescent="0.3">
      <c r="B10744" s="1" t="s">
        <v>21</v>
      </c>
      <c r="C10744" s="1" t="str">
        <f t="shared" si="535"/>
        <v>4차</v>
      </c>
      <c r="D10744" s="1" t="str">
        <f>"9825A23244"</f>
        <v>9825A23244</v>
      </c>
      <c r="E10744" s="1" t="s">
        <v>10</v>
      </c>
      <c r="F10744" s="1" t="str">
        <f>"10.10.133.50"</f>
        <v>10.10.133.50</v>
      </c>
      <c r="G10744" s="1" t="str">
        <f>"9825A232"</f>
        <v>9825A232</v>
      </c>
      <c r="H10744" s="1" t="str">
        <f>"이대SW 12R6R1L3"</f>
        <v>이대SW 12R6R1L3</v>
      </c>
      <c r="I10744" s="1" t="s">
        <v>8</v>
      </c>
      <c r="J10744" s="1" t="str">
        <f>"8/9"</f>
        <v>8/9</v>
      </c>
      <c r="K10744" s="1" t="str">
        <f>"2026-07-29 13:18:12"</f>
        <v>2026-07-29 13:18:12</v>
      </c>
      <c r="L10744" s="1" t="str">
        <f>"2019-12-11 18:23:28"</f>
        <v>2019-12-11 18:23:28</v>
      </c>
      <c r="M10744" s="1" t="s">
        <v>1</v>
      </c>
      <c r="N10744" s="1" t="s">
        <v>38</v>
      </c>
      <c r="O10744" s="1" t="s">
        <v>46</v>
      </c>
    </row>
    <row r="10745" spans="2:15" x14ac:dyDescent="0.3">
      <c r="B10745" s="1" t="s">
        <v>21</v>
      </c>
      <c r="C10745" s="1" t="str">
        <f t="shared" si="535"/>
        <v>4차</v>
      </c>
      <c r="D10745" s="1" t="str">
        <f>"9825A24B39"</f>
        <v>9825A24B39</v>
      </c>
      <c r="E10745" s="1" t="s">
        <v>14</v>
      </c>
      <c r="F10745" s="1" t="str">
        <f>"10.12.136.30"</f>
        <v>10.12.136.30</v>
      </c>
      <c r="G10745" s="1" t="str">
        <f>"9825A24B"</f>
        <v>9825A24B</v>
      </c>
      <c r="H10745" s="1" t="str">
        <f>"이대 3"</f>
        <v>이대 3</v>
      </c>
      <c r="I10745" s="1" t="s">
        <v>17</v>
      </c>
      <c r="J10745" s="1" t="str">
        <f>"0/0"</f>
        <v>0/0</v>
      </c>
      <c r="K10745" s="1" t="str">
        <f>"2024-04-12 20:04:04"</f>
        <v>2024-04-12 20:04:04</v>
      </c>
      <c r="L10745" s="1" t="str">
        <f>"2018-05-24 14:04:44"</f>
        <v>2018-05-24 14:04:44</v>
      </c>
      <c r="M10745" s="1" t="s">
        <v>0</v>
      </c>
      <c r="N10745" s="1" t="s">
        <v>39</v>
      </c>
      <c r="O10745" s="1" t="s">
        <v>46</v>
      </c>
    </row>
    <row r="10746" spans="2:15" x14ac:dyDescent="0.3">
      <c r="B10746" s="1" t="s">
        <v>21</v>
      </c>
      <c r="C10746" s="1" t="str">
        <f t="shared" si="535"/>
        <v>4차</v>
      </c>
      <c r="D10746" s="1" t="str">
        <f>"9825A26739"</f>
        <v>9825A26739</v>
      </c>
      <c r="E10746" s="1" t="s">
        <v>10</v>
      </c>
      <c r="F10746" s="1" t="str">
        <f>"10.12.136.42"</f>
        <v>10.12.136.42</v>
      </c>
      <c r="G10746" s="1" t="str">
        <f>"9825A267"</f>
        <v>9825A267</v>
      </c>
      <c r="H10746" s="1" t="str">
        <f>"이대 9"</f>
        <v>이대 9</v>
      </c>
      <c r="I10746" s="1" t="s">
        <v>17</v>
      </c>
      <c r="J10746" s="1" t="str">
        <f>"2/2"</f>
        <v>2/2</v>
      </c>
      <c r="K10746" s="1" t="str">
        <f>"2026-07-29 07:18:13"</f>
        <v>2026-07-29 07:18:13</v>
      </c>
      <c r="L10746" s="1" t="str">
        <f>"2018-06-25 13:49:24"</f>
        <v>2018-06-25 13:49:24</v>
      </c>
      <c r="M10746" s="1" t="s">
        <v>0</v>
      </c>
      <c r="N10746" s="1" t="s">
        <v>38</v>
      </c>
      <c r="O10746" s="1" t="s">
        <v>46</v>
      </c>
    </row>
    <row r="10747" spans="2:15" x14ac:dyDescent="0.3">
      <c r="B10747" s="1" t="s">
        <v>21</v>
      </c>
      <c r="C10747" s="1" t="str">
        <f t="shared" si="535"/>
        <v>4차</v>
      </c>
      <c r="D10747" s="1" t="str">
        <f>"9825A26839"</f>
        <v>9825A26839</v>
      </c>
      <c r="E10747" s="1" t="s">
        <v>14</v>
      </c>
      <c r="F10747" s="1" t="str">
        <f>"10.12.135.246"</f>
        <v>10.12.135.246</v>
      </c>
      <c r="G10747" s="1" t="str">
        <f>"9825A268"</f>
        <v>9825A268</v>
      </c>
      <c r="H10747" s="1" t="str">
        <f>"이대 8"</f>
        <v>이대 8</v>
      </c>
      <c r="I10747" s="1" t="s">
        <v>17</v>
      </c>
      <c r="J10747" s="1" t="str">
        <f>"0/0"</f>
        <v>0/0</v>
      </c>
      <c r="K10747" s="1" t="str">
        <f>"2026-06-10 07:18:13"</f>
        <v>2026-06-10 07:18:13</v>
      </c>
      <c r="L10747" s="1" t="str">
        <f>"2018-06-25 13:59:55"</f>
        <v>2018-06-25 13:59:55</v>
      </c>
      <c r="M10747" s="1" t="s">
        <v>0</v>
      </c>
      <c r="N10747" s="1" t="s">
        <v>39</v>
      </c>
      <c r="O10747" s="1" t="s">
        <v>46</v>
      </c>
    </row>
    <row r="10748" spans="2:15" x14ac:dyDescent="0.3">
      <c r="B10748" s="1" t="s">
        <v>21</v>
      </c>
      <c r="C10748" s="1" t="str">
        <f t="shared" si="535"/>
        <v>4차</v>
      </c>
      <c r="D10748" s="1" t="str">
        <f>"9825A26939"</f>
        <v>9825A26939</v>
      </c>
      <c r="E10748" s="1" t="s">
        <v>14</v>
      </c>
      <c r="F10748" s="1" t="str">
        <f>"10.12.135.228"</f>
        <v>10.12.135.228</v>
      </c>
      <c r="G10748" s="1" t="str">
        <f>"9825A269"</f>
        <v>9825A269</v>
      </c>
      <c r="H10748" s="1" t="str">
        <f>"이대 7"</f>
        <v>이대 7</v>
      </c>
      <c r="I10748" s="1" t="s">
        <v>17</v>
      </c>
      <c r="J10748" s="1" t="str">
        <f>"0/0"</f>
        <v>0/0</v>
      </c>
      <c r="K10748" s="1" t="str">
        <f>"2026-07-28 13:18:11"</f>
        <v>2026-07-28 13:18:11</v>
      </c>
      <c r="L10748" s="1" t="str">
        <f>"2018-06-25 14:11:55"</f>
        <v>2018-06-25 14:11:55</v>
      </c>
      <c r="M10748" s="1" t="s">
        <v>0</v>
      </c>
      <c r="N10748" s="1" t="s">
        <v>39</v>
      </c>
      <c r="O10748" s="1" t="s">
        <v>46</v>
      </c>
    </row>
    <row r="10749" spans="2:15" x14ac:dyDescent="0.3">
      <c r="B10749" s="1" t="s">
        <v>21</v>
      </c>
      <c r="C10749" s="1" t="str">
        <f t="shared" si="535"/>
        <v>4차</v>
      </c>
      <c r="D10749" s="1" t="str">
        <f>"9825A26A39"</f>
        <v>9825A26A39</v>
      </c>
      <c r="E10749" s="1" t="s">
        <v>10</v>
      </c>
      <c r="F10749" s="1" t="str">
        <f>"10.12.135.251"</f>
        <v>10.12.135.251</v>
      </c>
      <c r="G10749" s="1" t="str">
        <f>"9825A26A"</f>
        <v>9825A26A</v>
      </c>
      <c r="H10749" s="1" t="str">
        <f>"이대 6"</f>
        <v>이대 6</v>
      </c>
      <c r="I10749" s="1" t="s">
        <v>17</v>
      </c>
      <c r="J10749" s="1" t="str">
        <f>"12/12"</f>
        <v>12/12</v>
      </c>
      <c r="K10749" s="1" t="str">
        <f>"2026-07-29 13:18:13"</f>
        <v>2026-07-29 13:18:13</v>
      </c>
      <c r="L10749" s="1" t="str">
        <f>"2018-06-25 14:21:41"</f>
        <v>2018-06-25 14:21:41</v>
      </c>
      <c r="M10749" s="1" t="s">
        <v>0</v>
      </c>
      <c r="N10749" s="1" t="s">
        <v>38</v>
      </c>
      <c r="O10749" s="1" t="s">
        <v>46</v>
      </c>
    </row>
    <row r="10750" spans="2:15" x14ac:dyDescent="0.3">
      <c r="B10750" s="1" t="s">
        <v>21</v>
      </c>
      <c r="C10750" s="1" t="str">
        <f t="shared" si="535"/>
        <v>4차</v>
      </c>
      <c r="D10750" s="1" t="str">
        <f>"9825A30239"</f>
        <v>9825A30239</v>
      </c>
      <c r="E10750" s="1" t="s">
        <v>10</v>
      </c>
      <c r="F10750" s="1" t="str">
        <f>"10.12.135.168"</f>
        <v>10.12.135.168</v>
      </c>
      <c r="G10750" s="1" t="str">
        <f>"9825A302"</f>
        <v>9825A302</v>
      </c>
      <c r="H10750" s="1" t="str">
        <f>"대현 11"</f>
        <v>대현 11</v>
      </c>
      <c r="I10750" s="1" t="s">
        <v>17</v>
      </c>
      <c r="J10750" s="1" t="str">
        <f>"6/6"</f>
        <v>6/6</v>
      </c>
      <c r="K10750" s="1" t="str">
        <f>"2026-07-29 13:18:10"</f>
        <v>2026-07-29 13:18:10</v>
      </c>
      <c r="L10750" s="1" t="str">
        <f>"2018-05-14 11:13:57"</f>
        <v>2018-05-14 11:13:57</v>
      </c>
      <c r="M10750" s="1" t="s">
        <v>0</v>
      </c>
      <c r="N10750" s="1" t="s">
        <v>38</v>
      </c>
      <c r="O10750" s="1" t="s">
        <v>46</v>
      </c>
    </row>
    <row r="10751" spans="2:15" x14ac:dyDescent="0.3">
      <c r="B10751" s="1" t="s">
        <v>21</v>
      </c>
      <c r="C10751" s="1" t="str">
        <f t="shared" si="535"/>
        <v>4차</v>
      </c>
      <c r="D10751" s="1" t="str">
        <f>"9825A32144"</f>
        <v>9825A32144</v>
      </c>
      <c r="E10751" s="1" t="s">
        <v>10</v>
      </c>
      <c r="F10751" s="1" t="str">
        <f>"10.10.133.66"</f>
        <v>10.10.133.66</v>
      </c>
      <c r="G10751" s="1" t="str">
        <f>"9825A321"</f>
        <v>9825A321</v>
      </c>
      <c r="H10751" s="1" t="str">
        <f>"대신간 5L1"</f>
        <v>대신간 5L1</v>
      </c>
      <c r="I10751" s="1" t="s">
        <v>8</v>
      </c>
      <c r="J10751" s="1" t="str">
        <f>"19/19"</f>
        <v>19/19</v>
      </c>
      <c r="K10751" s="1" t="str">
        <f>"2026-07-29 13:18:12"</f>
        <v>2026-07-29 13:18:12</v>
      </c>
      <c r="L10751" s="1" t="str">
        <f>"2024-08-02 15:40:58"</f>
        <v>2024-08-02 15:40:58</v>
      </c>
      <c r="M10751" s="1" t="s">
        <v>1</v>
      </c>
      <c r="N10751" s="1" t="s">
        <v>38</v>
      </c>
      <c r="O10751" s="1" t="s">
        <v>46</v>
      </c>
    </row>
    <row r="10752" spans="2:15" x14ac:dyDescent="0.3">
      <c r="B10752" s="1" t="s">
        <v>21</v>
      </c>
      <c r="C10752" s="1" t="str">
        <f>"3차"</f>
        <v>3차</v>
      </c>
      <c r="D10752" s="1" t="str">
        <f>"9825A34239"</f>
        <v>9825A34239</v>
      </c>
      <c r="E10752" s="1" t="s">
        <v>14</v>
      </c>
      <c r="F10752" s="1" t="str">
        <f>"10.12.135.244"</f>
        <v>10.12.135.244</v>
      </c>
      <c r="G10752" s="1" t="str">
        <f>"9825A342"</f>
        <v>9825A342</v>
      </c>
      <c r="H10752" s="1" t="str">
        <f>"이대 5"</f>
        <v>이대 5</v>
      </c>
      <c r="I10752" s="1" t="s">
        <v>17</v>
      </c>
      <c r="J10752" s="1" t="str">
        <f>"0/0"</f>
        <v>0/0</v>
      </c>
      <c r="K10752" s="1" t="str">
        <f>"2026-07-28 13:18:13"</f>
        <v>2026-07-28 13:18:13</v>
      </c>
      <c r="L10752" s="1" t="str">
        <f>"2018-05-24 10:35:28"</f>
        <v>2018-05-24 10:35:28</v>
      </c>
      <c r="M10752" s="1" t="s">
        <v>0</v>
      </c>
      <c r="N10752" s="1" t="s">
        <v>39</v>
      </c>
      <c r="O10752" s="1" t="s">
        <v>46</v>
      </c>
    </row>
    <row r="10753" spans="2:15" x14ac:dyDescent="0.3">
      <c r="B10753" s="1" t="s">
        <v>21</v>
      </c>
      <c r="C10753" s="1" t="str">
        <f>"5-1차"</f>
        <v>5-1차</v>
      </c>
      <c r="D10753" s="1" t="str">
        <f>"9825A4155S"</f>
        <v>9825A4155S</v>
      </c>
      <c r="E10753" s="1" t="s">
        <v>10</v>
      </c>
      <c r="F10753" s="1" t="str">
        <f>"fde3:102:1302:2200:0:0:0:2"</f>
        <v>fde3:102:1302:2200:0:0:0:2</v>
      </c>
      <c r="G10753" s="1" t="str">
        <f>"9825A415"</f>
        <v>9825A415</v>
      </c>
      <c r="H10753" s="1" t="str">
        <f>"대신간 7"</f>
        <v>대신간 7</v>
      </c>
      <c r="I10753" s="1" t="s">
        <v>15</v>
      </c>
      <c r="J10753" s="1" t="str">
        <f>"18/19"</f>
        <v>18/19</v>
      </c>
      <c r="K10753" s="1" t="str">
        <f>"2026-07-29 14:21:28"</f>
        <v>2026-07-29 14:21:28</v>
      </c>
      <c r="L10753" s="1" t="str">
        <f>"2022-12-06 17:42:30"</f>
        <v>2022-12-06 17:42:30</v>
      </c>
      <c r="M10753" s="1" t="s">
        <v>45</v>
      </c>
      <c r="N10753" s="1" t="s">
        <v>38</v>
      </c>
      <c r="O10753" s="1" t="s">
        <v>46</v>
      </c>
    </row>
    <row r="10754" spans="2:15" x14ac:dyDescent="0.3">
      <c r="B10754" s="1" t="s">
        <v>21</v>
      </c>
      <c r="C10754" s="1" t="str">
        <f>"4차"</f>
        <v>4차</v>
      </c>
      <c r="D10754" s="1" t="str">
        <f>"9825A42439"</f>
        <v>9825A42439</v>
      </c>
      <c r="E10754" s="1" t="s">
        <v>10</v>
      </c>
      <c r="F10754" s="1" t="str">
        <f>"10.12.135.169"</f>
        <v>10.12.135.169</v>
      </c>
      <c r="G10754" s="1" t="str">
        <f>"9825A424"</f>
        <v>9825A424</v>
      </c>
      <c r="H10754" s="1" t="str">
        <f>"랜드마크 1"</f>
        <v>랜드마크 1</v>
      </c>
      <c r="I10754" s="1" t="s">
        <v>17</v>
      </c>
      <c r="J10754" s="1" t="str">
        <f>"42/42"</f>
        <v>42/42</v>
      </c>
      <c r="K10754" s="1" t="str">
        <f>"2026-07-29 13:18:13"</f>
        <v>2026-07-29 13:18:13</v>
      </c>
      <c r="L10754" s="1" t="str">
        <f>"2018-05-15 09:22:28"</f>
        <v>2018-05-15 09:22:28</v>
      </c>
      <c r="M10754" s="1" t="s">
        <v>0</v>
      </c>
      <c r="N10754" s="1" t="s">
        <v>38</v>
      </c>
      <c r="O10754" s="1" t="s">
        <v>46</v>
      </c>
    </row>
    <row r="10755" spans="2:15" x14ac:dyDescent="0.3">
      <c r="B10755" s="1" t="s">
        <v>21</v>
      </c>
      <c r="C10755" s="1" t="str">
        <f>"4차"</f>
        <v>4차</v>
      </c>
      <c r="D10755" s="1" t="str">
        <f>"9825A50139"</f>
        <v>9825A50139</v>
      </c>
      <c r="E10755" s="1" t="s">
        <v>10</v>
      </c>
      <c r="F10755" s="1" t="str">
        <f>"10.12.135.166"</f>
        <v>10.12.135.166</v>
      </c>
      <c r="G10755" s="1" t="str">
        <f>"9825A501"</f>
        <v>9825A501</v>
      </c>
      <c r="H10755" s="1" t="str">
        <f>"대현 12"</f>
        <v>대현 12</v>
      </c>
      <c r="I10755" s="1" t="s">
        <v>17</v>
      </c>
      <c r="J10755" s="1" t="str">
        <f>"9/9"</f>
        <v>9/9</v>
      </c>
      <c r="K10755" s="1" t="str">
        <f>"2026-07-29 13:18:10"</f>
        <v>2026-07-29 13:18:10</v>
      </c>
      <c r="L10755" s="1" t="str">
        <f>"2018-05-14 13:02:12"</f>
        <v>2018-05-14 13:02:12</v>
      </c>
      <c r="M10755" s="1" t="s">
        <v>0</v>
      </c>
      <c r="N10755" s="1" t="s">
        <v>38</v>
      </c>
      <c r="O10755" s="1" t="s">
        <v>46</v>
      </c>
    </row>
    <row r="10756" spans="2:15" x14ac:dyDescent="0.3">
      <c r="B10756" s="1" t="s">
        <v>21</v>
      </c>
      <c r="C10756" s="1" t="str">
        <f>"5-2차"</f>
        <v>5-2차</v>
      </c>
      <c r="D10756" s="1" t="str">
        <f>"9825A6415M"</f>
        <v>9825A6415M</v>
      </c>
      <c r="E10756" s="1" t="s">
        <v>10</v>
      </c>
      <c r="F10756" s="1" t="str">
        <f>"fde3:102:1302:2802:0:0:0:2"</f>
        <v>fde3:102:1302:2802:0:0:0:2</v>
      </c>
      <c r="G10756" s="1" t="str">
        <f>"9825A641"</f>
        <v>9825A641</v>
      </c>
      <c r="H10756" s="1" t="str">
        <f>"대신간 24L20"</f>
        <v>대신간 24L20</v>
      </c>
      <c r="I10756" s="1" t="s">
        <v>15</v>
      </c>
      <c r="J10756" s="1" t="str">
        <f>"43/43"</f>
        <v>43/43</v>
      </c>
      <c r="K10756" s="1" t="str">
        <f>"2026-07-29 14:21:27"</f>
        <v>2026-07-29 14:21:27</v>
      </c>
      <c r="L10756" s="1" t="str">
        <f>"2023-08-24 10:20:20"</f>
        <v>2023-08-24 10:20:20</v>
      </c>
      <c r="M10756" s="1" t="s">
        <v>45</v>
      </c>
      <c r="N10756" s="1" t="s">
        <v>38</v>
      </c>
      <c r="O10756" s="1" t="s">
        <v>46</v>
      </c>
    </row>
    <row r="10757" spans="2:15" x14ac:dyDescent="0.3">
      <c r="B10757" s="1" t="s">
        <v>21</v>
      </c>
      <c r="C10757" s="1" t="str">
        <f t="shared" ref="C10757:C10762" si="536">"4차"</f>
        <v>4차</v>
      </c>
      <c r="D10757" s="1" t="str">
        <f>"9825A64339"</f>
        <v>9825A64339</v>
      </c>
      <c r="E10757" s="1" t="s">
        <v>14</v>
      </c>
      <c r="F10757" s="1" t="str">
        <f>"10.12.136.192"</f>
        <v>10.12.136.192</v>
      </c>
      <c r="G10757" s="1" t="str">
        <f>"9825A643"</f>
        <v>9825A643</v>
      </c>
      <c r="H10757" s="1" t="str">
        <f>"송림 1"</f>
        <v>송림 1</v>
      </c>
      <c r="I10757" s="1" t="s">
        <v>17</v>
      </c>
      <c r="J10757" s="1" t="str">
        <f>"0/0"</f>
        <v>0/0</v>
      </c>
      <c r="K10757" s="1" t="str">
        <f>"2026-07-28 13:18:12"</f>
        <v>2026-07-28 13:18:12</v>
      </c>
      <c r="L10757" s="1" t="str">
        <f>"2018-10-15 15:56:58"</f>
        <v>2018-10-15 15:56:58</v>
      </c>
      <c r="M10757" s="1" t="s">
        <v>0</v>
      </c>
      <c r="N10757" s="1" t="s">
        <v>39</v>
      </c>
      <c r="O10757" s="1" t="s">
        <v>46</v>
      </c>
    </row>
    <row r="10758" spans="2:15" x14ac:dyDescent="0.3">
      <c r="B10758" s="1" t="s">
        <v>21</v>
      </c>
      <c r="C10758" s="1" t="str">
        <f t="shared" si="536"/>
        <v>4차</v>
      </c>
      <c r="D10758" s="1" t="str">
        <f>"9825B00539"</f>
        <v>9825B00539</v>
      </c>
      <c r="E10758" s="1" t="s">
        <v>10</v>
      </c>
      <c r="F10758" s="1" t="str">
        <f>"10.12.136.249"</f>
        <v>10.12.136.249</v>
      </c>
      <c r="G10758" s="1" t="str">
        <f>"9825B005"</f>
        <v>9825B005</v>
      </c>
      <c r="H10758" s="1" t="str">
        <f>"대현 21"</f>
        <v>대현 21</v>
      </c>
      <c r="I10758" s="1" t="s">
        <v>17</v>
      </c>
      <c r="J10758" s="1" t="str">
        <f>"7/7"</f>
        <v>7/7</v>
      </c>
      <c r="K10758" s="1" t="str">
        <f>"2026-07-29 13:18:13"</f>
        <v>2026-07-29 13:18:13</v>
      </c>
      <c r="L10758" s="1" t="str">
        <f>"2018-10-17 11:08:10"</f>
        <v>2018-10-17 11:08:10</v>
      </c>
      <c r="M10758" s="1" t="s">
        <v>0</v>
      </c>
      <c r="N10758" s="1" t="s">
        <v>38</v>
      </c>
      <c r="O10758" s="1" t="s">
        <v>46</v>
      </c>
    </row>
    <row r="10759" spans="2:15" x14ac:dyDescent="0.3">
      <c r="B10759" s="1" t="s">
        <v>21</v>
      </c>
      <c r="C10759" s="1" t="str">
        <f t="shared" si="536"/>
        <v>4차</v>
      </c>
      <c r="D10759" s="1" t="str">
        <f>"9825B20139"</f>
        <v>9825B20139</v>
      </c>
      <c r="E10759" s="1" t="s">
        <v>10</v>
      </c>
      <c r="F10759" s="1" t="str">
        <f>"10.12.136.195"</f>
        <v>10.12.136.195</v>
      </c>
      <c r="G10759" s="1" t="str">
        <f>"9825B201"</f>
        <v>9825B201</v>
      </c>
      <c r="H10759" s="1" t="str">
        <f>"대현 22"</f>
        <v>대현 22</v>
      </c>
      <c r="I10759" s="1" t="s">
        <v>17</v>
      </c>
      <c r="J10759" s="1" t="str">
        <f>"10/10"</f>
        <v>10/10</v>
      </c>
      <c r="K10759" s="1" t="str">
        <f>"2026-07-29 13:18:13"</f>
        <v>2026-07-29 13:18:13</v>
      </c>
      <c r="L10759" s="1" t="str">
        <f>"2018-10-17 10:52:55"</f>
        <v>2018-10-17 10:52:55</v>
      </c>
      <c r="M10759" s="1" t="s">
        <v>0</v>
      </c>
      <c r="N10759" s="1" t="s">
        <v>38</v>
      </c>
      <c r="O10759" s="1" t="s">
        <v>46</v>
      </c>
    </row>
    <row r="10760" spans="2:15" x14ac:dyDescent="0.3">
      <c r="B10760" s="1" t="s">
        <v>21</v>
      </c>
      <c r="C10760" s="1" t="str">
        <f t="shared" si="536"/>
        <v>4차</v>
      </c>
      <c r="D10760" s="1" t="str">
        <f>"9825B41239"</f>
        <v>9825B41239</v>
      </c>
      <c r="E10760" s="1" t="s">
        <v>10</v>
      </c>
      <c r="F10760" s="1" t="str">
        <f>"10.12.131.22"</f>
        <v>10.12.131.22</v>
      </c>
      <c r="G10760" s="1" t="str">
        <f>"9825B412"</f>
        <v>9825B412</v>
      </c>
      <c r="H10760" s="1" t="str">
        <f>"대현 24"</f>
        <v>대현 24</v>
      </c>
      <c r="I10760" s="1" t="s">
        <v>17</v>
      </c>
      <c r="J10760" s="1" t="str">
        <f>"10/10"</f>
        <v>10/10</v>
      </c>
      <c r="K10760" s="1" t="str">
        <f>"2026-07-29 13:18:12"</f>
        <v>2026-07-29 13:18:12</v>
      </c>
      <c r="L10760" s="1" t="str">
        <f>"2020-11-20 15:19:55"</f>
        <v>2020-11-20 15:19:55</v>
      </c>
      <c r="M10760" s="1" t="s">
        <v>0</v>
      </c>
      <c r="N10760" s="1" t="s">
        <v>38</v>
      </c>
      <c r="O10760" s="1" t="s">
        <v>46</v>
      </c>
    </row>
    <row r="10761" spans="2:15" x14ac:dyDescent="0.3">
      <c r="B10761" s="1" t="s">
        <v>21</v>
      </c>
      <c r="C10761" s="1" t="str">
        <f t="shared" si="536"/>
        <v>4차</v>
      </c>
      <c r="D10761" s="1" t="str">
        <f>"9825B56239"</f>
        <v>9825B56239</v>
      </c>
      <c r="E10761" s="1" t="s">
        <v>10</v>
      </c>
      <c r="F10761" s="1" t="str">
        <f>"10.12.136.201"</f>
        <v>10.12.136.201</v>
      </c>
      <c r="G10761" s="1" t="str">
        <f>"9825B562"</f>
        <v>9825B562</v>
      </c>
      <c r="H10761" s="1" t="str">
        <f>"대현 14"</f>
        <v>대현 14</v>
      </c>
      <c r="I10761" s="1" t="s">
        <v>17</v>
      </c>
      <c r="J10761" s="1" t="str">
        <f>"1/1"</f>
        <v>1/1</v>
      </c>
      <c r="K10761" s="1" t="str">
        <f>"2026-07-29 13:18:13"</f>
        <v>2026-07-29 13:18:13</v>
      </c>
      <c r="L10761" s="1" t="str">
        <f>"2019-01-14 10:51:14"</f>
        <v>2019-01-14 10:51:14</v>
      </c>
      <c r="M10761" s="1" t="s">
        <v>0</v>
      </c>
      <c r="N10761" s="1" t="s">
        <v>38</v>
      </c>
      <c r="O10761" s="1" t="s">
        <v>46</v>
      </c>
    </row>
    <row r="10762" spans="2:15" x14ac:dyDescent="0.3">
      <c r="B10762" s="1" t="s">
        <v>21</v>
      </c>
      <c r="C10762" s="1" t="str">
        <f t="shared" si="536"/>
        <v>4차</v>
      </c>
      <c r="D10762" s="1" t="str">
        <f>"9825E11439"</f>
        <v>9825E11439</v>
      </c>
      <c r="E10762" s="1" t="s">
        <v>10</v>
      </c>
      <c r="F10762" s="1" t="str">
        <f>"10.14.4.30"</f>
        <v>10.14.4.30</v>
      </c>
      <c r="G10762" s="1" t="str">
        <f>"9825E114"</f>
        <v>9825E114</v>
      </c>
      <c r="H10762" s="1" t="str">
        <f>"충덕 1"</f>
        <v>충덕 1</v>
      </c>
      <c r="I10762" s="1" t="s">
        <v>17</v>
      </c>
      <c r="J10762" s="1" t="str">
        <f>"3/12"</f>
        <v>3/12</v>
      </c>
      <c r="K10762" s="1" t="str">
        <f>"2026-07-29 13:18:13"</f>
        <v>2026-07-29 13:18:13</v>
      </c>
      <c r="L10762" s="1" t="str">
        <f>"2018-10-17 10:29:40"</f>
        <v>2018-10-17 10:29:40</v>
      </c>
      <c r="M10762" s="1" t="s">
        <v>3</v>
      </c>
      <c r="N10762" s="1" t="s">
        <v>38</v>
      </c>
      <c r="O10762" s="1" t="s">
        <v>46</v>
      </c>
    </row>
    <row r="10763" spans="2:15" x14ac:dyDescent="0.3">
      <c r="B10763" s="1" t="s">
        <v>21</v>
      </c>
      <c r="C10763" s="1" t="str">
        <f>"5-2차"</f>
        <v>5-2차</v>
      </c>
      <c r="D10763" s="1" t="str">
        <f>"9825E2445M"</f>
        <v>9825E2445M</v>
      </c>
      <c r="E10763" s="1" t="s">
        <v>10</v>
      </c>
      <c r="F10763" s="1" t="str">
        <f>"fde1:103:4:925a:0:0:0:2"</f>
        <v>fde1:103:4:925a:0:0:0:2</v>
      </c>
      <c r="G10763" s="1" t="str">
        <f>"9825E244"</f>
        <v>9825E244</v>
      </c>
      <c r="H10763" s="1" t="str">
        <f>"북아현간 8R2"</f>
        <v>북아현간 8R2</v>
      </c>
      <c r="I10763" s="1" t="s">
        <v>15</v>
      </c>
      <c r="J10763" s="1" t="str">
        <f>"31/34"</f>
        <v>31/34</v>
      </c>
      <c r="K10763" s="1" t="str">
        <f>"2026-07-29 14:21:33"</f>
        <v>2026-07-29 14:21:33</v>
      </c>
      <c r="L10763" s="1" t="str">
        <f>"2023-12-21 15:57:28"</f>
        <v>2023-12-21 15:57:28</v>
      </c>
      <c r="M10763" s="1" t="s">
        <v>4</v>
      </c>
      <c r="N10763" s="1" t="s">
        <v>38</v>
      </c>
      <c r="O10763" s="1" t="s">
        <v>46</v>
      </c>
    </row>
    <row r="10764" spans="2:15" x14ac:dyDescent="0.3">
      <c r="B10764" s="1" t="s">
        <v>21</v>
      </c>
      <c r="C10764" s="1" t="str">
        <f>"5-2차"</f>
        <v>5-2차</v>
      </c>
      <c r="D10764" s="1" t="str">
        <f>"9825E2525M"</f>
        <v>9825E2525M</v>
      </c>
      <c r="E10764" s="1" t="s">
        <v>10</v>
      </c>
      <c r="F10764" s="1" t="str">
        <f>"fde1:103:4:91f3:0:0:0:2"</f>
        <v>fde1:103:4:91f3:0:0:0:2</v>
      </c>
      <c r="G10764" s="1" t="str">
        <f>"9825E252"</f>
        <v>9825E252</v>
      </c>
      <c r="H10764" s="1" t="str">
        <f>"북아현간 8"</f>
        <v>북아현간 8</v>
      </c>
      <c r="I10764" s="1" t="s">
        <v>15</v>
      </c>
      <c r="J10764" s="1" t="str">
        <f>"46/47"</f>
        <v>46/47</v>
      </c>
      <c r="K10764" s="1" t="str">
        <f>"2026-07-29 14:21:25"</f>
        <v>2026-07-29 14:21:25</v>
      </c>
      <c r="L10764" s="1" t="str">
        <f>"2023-12-21 15:57:55"</f>
        <v>2023-12-21 15:57:55</v>
      </c>
      <c r="M10764" s="1" t="s">
        <v>4</v>
      </c>
      <c r="N10764" s="1" t="s">
        <v>38</v>
      </c>
      <c r="O10764" s="1" t="s">
        <v>46</v>
      </c>
    </row>
    <row r="10765" spans="2:15" x14ac:dyDescent="0.3">
      <c r="B10765" s="1" t="s">
        <v>21</v>
      </c>
      <c r="C10765" s="1" t="str">
        <f>"5-2차"</f>
        <v>5-2차</v>
      </c>
      <c r="D10765" s="1" t="str">
        <f>"9825E2915M"</f>
        <v>9825E2915M</v>
      </c>
      <c r="E10765" s="1" t="s">
        <v>10</v>
      </c>
      <c r="F10765" s="1" t="str">
        <f>"fde3:102:1302:2801:0:0:0:5"</f>
        <v>fde3:102:1302:2801:0:0:0:5</v>
      </c>
      <c r="G10765" s="1" t="str">
        <f>"9825E291"</f>
        <v>9825E291</v>
      </c>
      <c r="H10765" s="1" t="str">
        <f>"북아현간 7L8R4"</f>
        <v>북아현간 7L8R4</v>
      </c>
      <c r="I10765" s="1" t="s">
        <v>15</v>
      </c>
      <c r="J10765" s="1" t="str">
        <f>"37/39"</f>
        <v>37/39</v>
      </c>
      <c r="K10765" s="1" t="str">
        <f>"2026-07-29 14:21:25"</f>
        <v>2026-07-29 14:21:25</v>
      </c>
      <c r="L10765" s="1" t="str">
        <f>"2023-12-01 13:50:23"</f>
        <v>2023-12-01 13:50:23</v>
      </c>
      <c r="M10765" s="1" t="s">
        <v>45</v>
      </c>
      <c r="N10765" s="1" t="s">
        <v>38</v>
      </c>
      <c r="O10765" s="1" t="s">
        <v>46</v>
      </c>
    </row>
    <row r="10766" spans="2:15" x14ac:dyDescent="0.3">
      <c r="B10766" s="1" t="s">
        <v>21</v>
      </c>
      <c r="C10766" s="1" t="str">
        <f>"4차"</f>
        <v>4차</v>
      </c>
      <c r="D10766" s="1" t="str">
        <f>"9825E61139"</f>
        <v>9825E61139</v>
      </c>
      <c r="E10766" s="1" t="s">
        <v>14</v>
      </c>
      <c r="F10766" s="1" t="str">
        <f>"10.12.136.196"</f>
        <v>10.12.136.196</v>
      </c>
      <c r="G10766" s="1" t="str">
        <f>"9825E611"</f>
        <v>9825E611</v>
      </c>
      <c r="H10766" s="1" t="str">
        <f>"충덕 3"</f>
        <v>충덕 3</v>
      </c>
      <c r="I10766" s="1" t="s">
        <v>17</v>
      </c>
      <c r="J10766" s="1" t="str">
        <f>"0/0"</f>
        <v>0/0</v>
      </c>
      <c r="K10766" s="1" t="str">
        <f>"2026-07-29 13:18:02"</f>
        <v>2026-07-29 13:18:02</v>
      </c>
      <c r="L10766" s="1" t="str">
        <f>"2018-10-17 09:10:12"</f>
        <v>2018-10-17 09:10:12</v>
      </c>
      <c r="M10766" s="1" t="s">
        <v>0</v>
      </c>
      <c r="N10766" s="1" t="s">
        <v>38</v>
      </c>
      <c r="O10766" s="1" t="s">
        <v>44</v>
      </c>
    </row>
    <row r="10767" spans="2:15" x14ac:dyDescent="0.3">
      <c r="B10767" s="1" t="s">
        <v>21</v>
      </c>
      <c r="C10767" s="1" t="str">
        <f>"1차"</f>
        <v>1차</v>
      </c>
      <c r="D10767" s="1" t="str">
        <f>"9825E65300"</f>
        <v>9825E65300</v>
      </c>
      <c r="E10767" s="1" t="s">
        <v>10</v>
      </c>
      <c r="F10767" s="1" t="str">
        <f>"10.128.33.115"</f>
        <v>10.128.33.115</v>
      </c>
      <c r="G10767" s="1" t="str">
        <f>"9825E653"</f>
        <v>9825E653</v>
      </c>
      <c r="H10767" s="1" t="str">
        <f>"북아현간 2R12R1"</f>
        <v>북아현간 2R12R1</v>
      </c>
      <c r="I10767" s="1" t="s">
        <v>8</v>
      </c>
      <c r="J10767" s="1" t="str">
        <f>"31/31"</f>
        <v>31/31</v>
      </c>
      <c r="K10767" s="1" t="str">
        <f>"2026-07-29 13:18:12"</f>
        <v>2026-07-29 13:18:12</v>
      </c>
      <c r="L10767" s="1" t="str">
        <f>"2015-01-09 10:56:51"</f>
        <v>2015-01-09 10:56:51</v>
      </c>
      <c r="M10767" s="1" t="s">
        <v>45</v>
      </c>
      <c r="N10767" s="1" t="s">
        <v>38</v>
      </c>
      <c r="O10767" s="1" t="s">
        <v>46</v>
      </c>
    </row>
    <row r="10768" spans="2:15" x14ac:dyDescent="0.3">
      <c r="B10768" s="1" t="s">
        <v>21</v>
      </c>
      <c r="C10768" s="1" t="str">
        <f>"4차"</f>
        <v>4차</v>
      </c>
      <c r="D10768" s="1" t="str">
        <f>"9825E74142"</f>
        <v>9825E74142</v>
      </c>
      <c r="E10768" s="1" t="s">
        <v>10</v>
      </c>
      <c r="F10768" s="1" t="str">
        <f>"10.12.131.25"</f>
        <v>10.12.131.25</v>
      </c>
      <c r="G10768" s="1" t="str">
        <f>"9825E741"</f>
        <v>9825E741</v>
      </c>
      <c r="H10768" s="1" t="str">
        <f>"북아현간 15R3R3"</f>
        <v>북아현간 15R3R3</v>
      </c>
      <c r="I10768" s="1" t="s">
        <v>8</v>
      </c>
      <c r="J10768" s="1" t="str">
        <f>"16/16"</f>
        <v>16/16</v>
      </c>
      <c r="K10768" s="1" t="str">
        <f>"2026-07-29 13:18:13"</f>
        <v>2026-07-29 13:18:13</v>
      </c>
      <c r="L10768" s="1" t="str">
        <f>"2025-10-30 17:52:01"</f>
        <v>2025-10-30 17:52:01</v>
      </c>
      <c r="M10768" s="1" t="s">
        <v>0</v>
      </c>
      <c r="N10768" s="1" t="s">
        <v>38</v>
      </c>
      <c r="O10768" s="1" t="s">
        <v>46</v>
      </c>
    </row>
    <row r="10769" spans="2:15" x14ac:dyDescent="0.3">
      <c r="B10769" s="1" t="s">
        <v>21</v>
      </c>
      <c r="C10769" s="1" t="str">
        <f>"1차"</f>
        <v>1차</v>
      </c>
      <c r="D10769" s="1" t="str">
        <f>"9825E75102"</f>
        <v>9825E75102</v>
      </c>
      <c r="E10769" s="1" t="s">
        <v>10</v>
      </c>
      <c r="F10769" s="1" t="str">
        <f>"10.12.137.50"</f>
        <v>10.12.137.50</v>
      </c>
      <c r="G10769" s="1" t="str">
        <f>"9825E751"</f>
        <v>9825E751</v>
      </c>
      <c r="H10769" s="1" t="str">
        <f>"북아현간 15R3R1"</f>
        <v>북아현간 15R3R1</v>
      </c>
      <c r="I10769" s="1" t="s">
        <v>8</v>
      </c>
      <c r="J10769" s="1" t="str">
        <f>"65/65"</f>
        <v>65/65</v>
      </c>
      <c r="K10769" s="1" t="str">
        <f>"2026-07-29 13:18:13"</f>
        <v>2026-07-29 13:18:13</v>
      </c>
      <c r="L10769" s="1" t="str">
        <f>"2014-12-18 16:57:40"</f>
        <v>2014-12-18 16:57:40</v>
      </c>
      <c r="M10769" s="1" t="s">
        <v>0</v>
      </c>
      <c r="N10769" s="1" t="s">
        <v>38</v>
      </c>
      <c r="O10769" s="1" t="s">
        <v>46</v>
      </c>
    </row>
    <row r="10770" spans="2:15" x14ac:dyDescent="0.3">
      <c r="B10770" s="1" t="s">
        <v>21</v>
      </c>
      <c r="C10770" s="1" t="str">
        <f>"6차"</f>
        <v>6차</v>
      </c>
      <c r="D10770" s="1" t="str">
        <f>"9825E7616S"</f>
        <v>9825E7616S</v>
      </c>
      <c r="E10770" s="1" t="s">
        <v>10</v>
      </c>
      <c r="F10770" s="1" t="str">
        <f>"fde1:103:4:934f:0:0:0:2"</f>
        <v>fde1:103:4:934f:0:0:0:2</v>
      </c>
      <c r="G10770" s="1" t="str">
        <f>"9825E761"</f>
        <v>9825E761</v>
      </c>
      <c r="H10770" s="1" t="str">
        <f>"북아현간 15R3"</f>
        <v>북아현간 15R3</v>
      </c>
      <c r="I10770" s="1" t="s">
        <v>15</v>
      </c>
      <c r="J10770" s="1" t="str">
        <f>"30/40"</f>
        <v>30/40</v>
      </c>
      <c r="K10770" s="1" t="str">
        <f>"2026-07-29 14:20:41"</f>
        <v>2026-07-29 14:20:41</v>
      </c>
      <c r="L10770" s="1" t="str">
        <f>"2025-02-05 16:35:40"</f>
        <v>2025-02-05 16:35:40</v>
      </c>
      <c r="M10770" s="1" t="s">
        <v>4</v>
      </c>
      <c r="N10770" s="1" t="s">
        <v>38</v>
      </c>
      <c r="O10770" s="1" t="s">
        <v>46</v>
      </c>
    </row>
    <row r="10771" spans="2:15" x14ac:dyDescent="0.3">
      <c r="B10771" s="1" t="s">
        <v>21</v>
      </c>
      <c r="C10771" s="1" t="str">
        <f>"1차"</f>
        <v>1차</v>
      </c>
      <c r="D10771" s="1" t="str">
        <f>"9825E76401"</f>
        <v>9825E76401</v>
      </c>
      <c r="E10771" s="1" t="s">
        <v>10</v>
      </c>
      <c r="F10771" s="1" t="str">
        <f>"10.14.3.121"</f>
        <v>10.14.3.121</v>
      </c>
      <c r="G10771" s="1" t="str">
        <f>"9825E764"</f>
        <v>9825E764</v>
      </c>
      <c r="H10771" s="1" t="str">
        <f>"북아현간 15R4"</f>
        <v>북아현간 15R4</v>
      </c>
      <c r="I10771" s="1" t="s">
        <v>8</v>
      </c>
      <c r="J10771" s="1" t="str">
        <f>"32/38"</f>
        <v>32/38</v>
      </c>
      <c r="K10771" s="1" t="str">
        <f>"2026-07-29 13:18:10"</f>
        <v>2026-07-29 13:18:10</v>
      </c>
      <c r="L10771" s="1" t="str">
        <f>"2014-12-18 16:58:33"</f>
        <v>2014-12-18 16:58:33</v>
      </c>
      <c r="M10771" s="1" t="s">
        <v>3</v>
      </c>
      <c r="N10771" s="1" t="s">
        <v>38</v>
      </c>
      <c r="O10771" s="1" t="s">
        <v>46</v>
      </c>
    </row>
    <row r="10772" spans="2:15" x14ac:dyDescent="0.3">
      <c r="B10772" s="1" t="s">
        <v>21</v>
      </c>
      <c r="C10772" s="1" t="str">
        <f>"5-1차"</f>
        <v>5-1차</v>
      </c>
      <c r="D10772" s="1" t="str">
        <f>"9825F5815M"</f>
        <v>9825F5815M</v>
      </c>
      <c r="E10772" s="1" t="s">
        <v>10</v>
      </c>
      <c r="F10772" s="1" t="str">
        <f>"fde2:104:0:d8:0:0:0:2"</f>
        <v>fde2:104:0:d8:0:0:0:2</v>
      </c>
      <c r="G10772" s="1" t="str">
        <f>"9825F581"</f>
        <v>9825F581</v>
      </c>
      <c r="H10772" s="1" t="str">
        <f>"미근SW 2L4"</f>
        <v>미근SW 2L4</v>
      </c>
      <c r="I10772" s="1" t="s">
        <v>15</v>
      </c>
      <c r="J10772" s="1" t="str">
        <f>"27/27"</f>
        <v>27/27</v>
      </c>
      <c r="K10772" s="1" t="str">
        <f>"2026-07-29 14:21:30"</f>
        <v>2026-07-29 14:21:30</v>
      </c>
      <c r="L10772" s="1" t="str">
        <f>"2022-09-28 08:51:31"</f>
        <v>2022-09-28 08:51:31</v>
      </c>
      <c r="M10772" s="1" t="s">
        <v>42</v>
      </c>
      <c r="N10772" s="1" t="s">
        <v>38</v>
      </c>
      <c r="O10772" s="1" t="s">
        <v>46</v>
      </c>
    </row>
    <row r="10773" spans="2:15" x14ac:dyDescent="0.3">
      <c r="B10773" s="1" t="s">
        <v>21</v>
      </c>
      <c r="C10773" s="1" t="str">
        <f>"5-2차"</f>
        <v>5-2차</v>
      </c>
      <c r="D10773" s="1" t="str">
        <f>"9825F5835S"</f>
        <v>9825F5835S</v>
      </c>
      <c r="E10773" s="1" t="s">
        <v>10</v>
      </c>
      <c r="F10773" s="1" t="str">
        <f>"fde3:102:1305:1400:0:0:0:2"</f>
        <v>fde3:102:1305:1400:0:0:0:2</v>
      </c>
      <c r="G10773" s="1" t="str">
        <f>"9825F583"</f>
        <v>9825F583</v>
      </c>
      <c r="H10773" s="1" t="str">
        <f>"미근SW 2L5"</f>
        <v>미근SW 2L5</v>
      </c>
      <c r="I10773" s="1" t="s">
        <v>15</v>
      </c>
      <c r="J10773" s="1" t="str">
        <f>"40/40"</f>
        <v>40/40</v>
      </c>
      <c r="K10773" s="1" t="str">
        <f>"2026-07-29 14:21:29"</f>
        <v>2026-07-29 14:21:29</v>
      </c>
      <c r="L10773" s="1" t="str">
        <f>"2023-06-28 15:40:03"</f>
        <v>2023-06-28 15:40:03</v>
      </c>
      <c r="M10773" s="1" t="s">
        <v>45</v>
      </c>
      <c r="N10773" s="1" t="s">
        <v>38</v>
      </c>
      <c r="O10773" s="1" t="s">
        <v>46</v>
      </c>
    </row>
    <row r="10774" spans="2:15" x14ac:dyDescent="0.3">
      <c r="B10774" s="1" t="s">
        <v>21</v>
      </c>
      <c r="C10774" s="1" t="str">
        <f>"5-1차"</f>
        <v>5-1차</v>
      </c>
      <c r="D10774" s="1" t="str">
        <f>"9825F6925M"</f>
        <v>9825F6925M</v>
      </c>
      <c r="E10774" s="1" t="s">
        <v>10</v>
      </c>
      <c r="F10774" s="1" t="str">
        <f>"fde2:104:0:dd:0:0:0:2"</f>
        <v>fde2:104:0:dd:0:0:0:2</v>
      </c>
      <c r="G10774" s="1" t="str">
        <f>"9825F692"</f>
        <v>9825F692</v>
      </c>
      <c r="H10774" s="1" t="str">
        <f>"미근SW 2L6"</f>
        <v>미근SW 2L6</v>
      </c>
      <c r="I10774" s="1" t="s">
        <v>15</v>
      </c>
      <c r="J10774" s="1" t="str">
        <f>"35/35"</f>
        <v>35/35</v>
      </c>
      <c r="K10774" s="1" t="str">
        <f>"2026-07-29 14:21:30"</f>
        <v>2026-07-29 14:21:30</v>
      </c>
      <c r="L10774" s="1" t="str">
        <f>"2022-09-28 08:52:30"</f>
        <v>2022-09-28 08:52:30</v>
      </c>
      <c r="M10774" s="1" t="s">
        <v>42</v>
      </c>
      <c r="N10774" s="1" t="s">
        <v>38</v>
      </c>
      <c r="O10774" s="1" t="s">
        <v>46</v>
      </c>
    </row>
    <row r="10775" spans="2:15" x14ac:dyDescent="0.3">
      <c r="B10775" s="1" t="s">
        <v>21</v>
      </c>
      <c r="C10775" s="1" t="str">
        <f>"4차"</f>
        <v>4차</v>
      </c>
      <c r="D10775" s="1" t="str">
        <f>"9826H10639"</f>
        <v>9826H10639</v>
      </c>
      <c r="E10775" s="1" t="s">
        <v>10</v>
      </c>
      <c r="F10775" s="1" t="str">
        <f>"10.12.136.200"</f>
        <v>10.12.136.200</v>
      </c>
      <c r="G10775" s="1" t="str">
        <f>"9826H106"</f>
        <v>9826H106</v>
      </c>
      <c r="H10775" s="1" t="str">
        <f>"현저 5"</f>
        <v>현저 5</v>
      </c>
      <c r="I10775" s="1" t="s">
        <v>17</v>
      </c>
      <c r="J10775" s="1" t="str">
        <f>"7/7"</f>
        <v>7/7</v>
      </c>
      <c r="K10775" s="1" t="str">
        <f>"2026-07-29 13:18:13"</f>
        <v>2026-07-29 13:18:13</v>
      </c>
      <c r="L10775" s="1" t="str">
        <f>"2018-10-16 11:55:26"</f>
        <v>2018-10-16 11:55:26</v>
      </c>
      <c r="M10775" s="1" t="s">
        <v>0</v>
      </c>
      <c r="N10775" s="1" t="s">
        <v>38</v>
      </c>
      <c r="O10775" s="1" t="s">
        <v>46</v>
      </c>
    </row>
    <row r="10776" spans="2:15" x14ac:dyDescent="0.3">
      <c r="B10776" s="1" t="s">
        <v>21</v>
      </c>
      <c r="C10776" s="1" t="str">
        <f>"5-1차"</f>
        <v>5-1차</v>
      </c>
      <c r="D10776" s="1" t="str">
        <f>"9826P0835M"</f>
        <v>9826P0835M</v>
      </c>
      <c r="E10776" s="1" t="s">
        <v>10</v>
      </c>
      <c r="F10776" s="1" t="str">
        <f>"fde3:102:1302:100:0:0:0:2"</f>
        <v>fde3:102:1302:100:0:0:0:2</v>
      </c>
      <c r="G10776" s="1" t="str">
        <f>"9826P083"</f>
        <v>9826P083</v>
      </c>
      <c r="H10776" s="1" t="str">
        <f>"봉원간 13L8R3"</f>
        <v>봉원간 13L8R3</v>
      </c>
      <c r="I10776" s="1" t="s">
        <v>15</v>
      </c>
      <c r="J10776" s="1" t="str">
        <f>"42/43"</f>
        <v>42/43</v>
      </c>
      <c r="K10776" s="1" t="str">
        <f>"2026-07-29 14:21:43"</f>
        <v>2026-07-29 14:21:43</v>
      </c>
      <c r="L10776" s="1" t="str">
        <f>"2022-12-02 14:10:43"</f>
        <v>2022-12-02 14:10:43</v>
      </c>
      <c r="M10776" s="1" t="s">
        <v>45</v>
      </c>
      <c r="N10776" s="1" t="s">
        <v>38</v>
      </c>
      <c r="O10776" s="1" t="s">
        <v>46</v>
      </c>
    </row>
    <row r="10777" spans="2:15" x14ac:dyDescent="0.3">
      <c r="B10777" s="1" t="s">
        <v>21</v>
      </c>
      <c r="C10777" s="1" t="str">
        <f t="shared" ref="C10777:C10782" si="537">"4차"</f>
        <v>4차</v>
      </c>
      <c r="D10777" s="1" t="str">
        <f>"9826P15144"</f>
        <v>9826P15144</v>
      </c>
      <c r="E10777" s="1" t="s">
        <v>10</v>
      </c>
      <c r="F10777" s="1" t="str">
        <f>"10.10.131.154"</f>
        <v>10.10.131.154</v>
      </c>
      <c r="G10777" s="1" t="str">
        <f>"9826P151"</f>
        <v>9826P151</v>
      </c>
      <c r="H10777" s="1" t="str">
        <f>"봉원간 13L11"</f>
        <v>봉원간 13L11</v>
      </c>
      <c r="I10777" s="1" t="s">
        <v>8</v>
      </c>
      <c r="J10777" s="1" t="str">
        <f>"21/21"</f>
        <v>21/21</v>
      </c>
      <c r="K10777" s="1" t="str">
        <f t="shared" ref="K10777:K10782" si="538">"2026-07-29 13:18:12"</f>
        <v>2026-07-29 13:18:12</v>
      </c>
      <c r="L10777" s="1" t="str">
        <f>"2019-10-23 14:03:04"</f>
        <v>2019-10-23 14:03:04</v>
      </c>
      <c r="M10777" s="1" t="s">
        <v>1</v>
      </c>
      <c r="N10777" s="1" t="s">
        <v>38</v>
      </c>
      <c r="O10777" s="1" t="s">
        <v>46</v>
      </c>
    </row>
    <row r="10778" spans="2:15" x14ac:dyDescent="0.3">
      <c r="B10778" s="1" t="s">
        <v>21</v>
      </c>
      <c r="C10778" s="1" t="str">
        <f t="shared" si="537"/>
        <v>4차</v>
      </c>
      <c r="D10778" s="1" t="str">
        <f>"9826P17344"</f>
        <v>9826P17344</v>
      </c>
      <c r="E10778" s="1" t="s">
        <v>10</v>
      </c>
      <c r="F10778" s="1" t="str">
        <f>"10.10.131.162"</f>
        <v>10.10.131.162</v>
      </c>
      <c r="G10778" s="1" t="str">
        <f>"9826P173"</f>
        <v>9826P173</v>
      </c>
      <c r="H10778" s="1" t="str">
        <f>"봉원간 13L8"</f>
        <v>봉원간 13L8</v>
      </c>
      <c r="I10778" s="1" t="s">
        <v>8</v>
      </c>
      <c r="J10778" s="1" t="str">
        <f>"26/27"</f>
        <v>26/27</v>
      </c>
      <c r="K10778" s="1" t="str">
        <f t="shared" si="538"/>
        <v>2026-07-29 13:18:12</v>
      </c>
      <c r="L10778" s="1" t="str">
        <f>"2019-10-23 14:01:21"</f>
        <v>2019-10-23 14:01:21</v>
      </c>
      <c r="M10778" s="1" t="s">
        <v>1</v>
      </c>
      <c r="N10778" s="1" t="s">
        <v>38</v>
      </c>
      <c r="O10778" s="1" t="s">
        <v>46</v>
      </c>
    </row>
    <row r="10779" spans="2:15" x14ac:dyDescent="0.3">
      <c r="B10779" s="1" t="s">
        <v>21</v>
      </c>
      <c r="C10779" s="1" t="str">
        <f t="shared" si="537"/>
        <v>4차</v>
      </c>
      <c r="D10779" s="1" t="str">
        <f>"9826P24344"</f>
        <v>9826P24344</v>
      </c>
      <c r="E10779" s="1" t="s">
        <v>10</v>
      </c>
      <c r="F10779" s="1" t="str">
        <f>"10.10.131.178"</f>
        <v>10.10.131.178</v>
      </c>
      <c r="G10779" s="1" t="str">
        <f>"9826P243"</f>
        <v>9826P243</v>
      </c>
      <c r="H10779" s="1" t="str">
        <f>"봉원간 13L3"</f>
        <v>봉원간 13L3</v>
      </c>
      <c r="I10779" s="1" t="s">
        <v>8</v>
      </c>
      <c r="J10779" s="1" t="str">
        <f>"32/32"</f>
        <v>32/32</v>
      </c>
      <c r="K10779" s="1" t="str">
        <f t="shared" si="538"/>
        <v>2026-07-29 13:18:12</v>
      </c>
      <c r="L10779" s="1" t="str">
        <f>"2019-10-23 14:10:50"</f>
        <v>2019-10-23 14:10:50</v>
      </c>
      <c r="M10779" s="1" t="s">
        <v>1</v>
      </c>
      <c r="N10779" s="1" t="s">
        <v>38</v>
      </c>
      <c r="O10779" s="1" t="s">
        <v>46</v>
      </c>
    </row>
    <row r="10780" spans="2:15" x14ac:dyDescent="0.3">
      <c r="B10780" s="1" t="s">
        <v>21</v>
      </c>
      <c r="C10780" s="1" t="str">
        <f t="shared" si="537"/>
        <v>4차</v>
      </c>
      <c r="D10780" s="1" t="str">
        <f>"9826P26144"</f>
        <v>9826P26144</v>
      </c>
      <c r="E10780" s="1" t="s">
        <v>10</v>
      </c>
      <c r="F10780" s="1" t="str">
        <f>"10.10.131.194"</f>
        <v>10.10.131.194</v>
      </c>
      <c r="G10780" s="1" t="str">
        <f>"9826P261"</f>
        <v>9826P261</v>
      </c>
      <c r="H10780" s="1" t="str">
        <f>"봉원간 13L6"</f>
        <v>봉원간 13L6</v>
      </c>
      <c r="I10780" s="1" t="s">
        <v>8</v>
      </c>
      <c r="J10780" s="1" t="str">
        <f>"4/4"</f>
        <v>4/4</v>
      </c>
      <c r="K10780" s="1" t="str">
        <f t="shared" si="538"/>
        <v>2026-07-29 13:18:12</v>
      </c>
      <c r="L10780" s="1" t="str">
        <f>"2019-10-23 13:58:34"</f>
        <v>2019-10-23 13:58:34</v>
      </c>
      <c r="M10780" s="1" t="s">
        <v>1</v>
      </c>
      <c r="N10780" s="1" t="s">
        <v>38</v>
      </c>
      <c r="O10780" s="1" t="s">
        <v>46</v>
      </c>
    </row>
    <row r="10781" spans="2:15" x14ac:dyDescent="0.3">
      <c r="B10781" s="1" t="s">
        <v>21</v>
      </c>
      <c r="C10781" s="1" t="str">
        <f t="shared" si="537"/>
        <v>4차</v>
      </c>
      <c r="D10781" s="1" t="str">
        <f>"9826P27344"</f>
        <v>9826P27344</v>
      </c>
      <c r="E10781" s="1" t="s">
        <v>10</v>
      </c>
      <c r="F10781" s="1" t="str">
        <f>"10.10.131.210"</f>
        <v>10.10.131.210</v>
      </c>
      <c r="G10781" s="1" t="str">
        <f>"9826P273"</f>
        <v>9826P273</v>
      </c>
      <c r="H10781" s="1" t="str">
        <f>"봉원간 17"</f>
        <v>봉원간 17</v>
      </c>
      <c r="I10781" s="1" t="s">
        <v>8</v>
      </c>
      <c r="J10781" s="1" t="str">
        <f>"5/5"</f>
        <v>5/5</v>
      </c>
      <c r="K10781" s="1" t="str">
        <f t="shared" si="538"/>
        <v>2026-07-29 13:18:12</v>
      </c>
      <c r="L10781" s="1" t="str">
        <f>"2019-10-23 13:18:51"</f>
        <v>2019-10-23 13:18:51</v>
      </c>
      <c r="M10781" s="1" t="s">
        <v>1</v>
      </c>
      <c r="N10781" s="1" t="s">
        <v>38</v>
      </c>
      <c r="O10781" s="1" t="s">
        <v>46</v>
      </c>
    </row>
    <row r="10782" spans="2:15" x14ac:dyDescent="0.3">
      <c r="B10782" s="1" t="s">
        <v>21</v>
      </c>
      <c r="C10782" s="1" t="str">
        <f t="shared" si="537"/>
        <v>4차</v>
      </c>
      <c r="D10782" s="1" t="str">
        <f>"9826P32244"</f>
        <v>9826P32244</v>
      </c>
      <c r="E10782" s="1" t="s">
        <v>10</v>
      </c>
      <c r="F10782" s="1" t="str">
        <f>"10.10.131.226"</f>
        <v>10.10.131.226</v>
      </c>
      <c r="G10782" s="1" t="str">
        <f>"9826P322"</f>
        <v>9826P322</v>
      </c>
      <c r="H10782" s="1" t="str">
        <f>"봉원간 13L2L2"</f>
        <v>봉원간 13L2L2</v>
      </c>
      <c r="I10782" s="1" t="s">
        <v>8</v>
      </c>
      <c r="J10782" s="1" t="str">
        <f>"23/23"</f>
        <v>23/23</v>
      </c>
      <c r="K10782" s="1" t="str">
        <f t="shared" si="538"/>
        <v>2026-07-29 13:18:12</v>
      </c>
      <c r="L10782" s="1" t="str">
        <f>"2019-10-23 16:17:52"</f>
        <v>2019-10-23 16:17:52</v>
      </c>
      <c r="M10782" s="1" t="s">
        <v>1</v>
      </c>
      <c r="N10782" s="1" t="s">
        <v>38</v>
      </c>
      <c r="O10782" s="1" t="s">
        <v>46</v>
      </c>
    </row>
    <row r="10783" spans="2:15" x14ac:dyDescent="0.3">
      <c r="B10783" s="1" t="s">
        <v>21</v>
      </c>
      <c r="C10783" s="1" t="str">
        <f>"5-2차"</f>
        <v>5-2차</v>
      </c>
      <c r="D10783" s="1" t="str">
        <f>"9826P3235M"</f>
        <v>9826P3235M</v>
      </c>
      <c r="E10783" s="1" t="s">
        <v>10</v>
      </c>
      <c r="F10783" s="1" t="str">
        <f>"fde1:103:4:9243:0:0:0:2"</f>
        <v>fde1:103:4:9243:0:0:0:2</v>
      </c>
      <c r="G10783" s="1" t="str">
        <f>"9826P323"</f>
        <v>9826P323</v>
      </c>
      <c r="H10783" s="1" t="str">
        <f>"봉원간 12L2L3"</f>
        <v>봉원간 12L2L3</v>
      </c>
      <c r="I10783" s="1" t="s">
        <v>15</v>
      </c>
      <c r="J10783" s="1" t="str">
        <f>"64/64"</f>
        <v>64/64</v>
      </c>
      <c r="K10783" s="1" t="str">
        <f>"2026-07-29 14:21:33"</f>
        <v>2026-07-29 14:21:33</v>
      </c>
      <c r="L10783" s="1" t="str">
        <f>"2023-12-21 16:19:06"</f>
        <v>2023-12-21 16:19:06</v>
      </c>
      <c r="M10783" s="1" t="s">
        <v>4</v>
      </c>
      <c r="N10783" s="1" t="s">
        <v>38</v>
      </c>
      <c r="O10783" s="1" t="s">
        <v>46</v>
      </c>
    </row>
    <row r="10784" spans="2:15" x14ac:dyDescent="0.3">
      <c r="B10784" s="1" t="s">
        <v>21</v>
      </c>
      <c r="C10784" s="1" t="str">
        <f>"5-2차"</f>
        <v>5-2차</v>
      </c>
      <c r="D10784" s="1" t="str">
        <f>"9826P3315M"</f>
        <v>9826P3315M</v>
      </c>
      <c r="E10784" s="1" t="s">
        <v>10</v>
      </c>
      <c r="F10784" s="1" t="str">
        <f>"fde1:103:4:9245:0:0:0:2"</f>
        <v>fde1:103:4:9245:0:0:0:2</v>
      </c>
      <c r="G10784" s="1" t="str">
        <f>"9826P331"</f>
        <v>9826P331</v>
      </c>
      <c r="H10784" s="1" t="str">
        <f>"봉원간 13"</f>
        <v>봉원간 13</v>
      </c>
      <c r="I10784" s="1" t="s">
        <v>15</v>
      </c>
      <c r="J10784" s="1" t="str">
        <f>"1/3"</f>
        <v>1/3</v>
      </c>
      <c r="K10784" s="1" t="str">
        <f>"2026-07-29 14:21:33"</f>
        <v>2026-07-29 14:21:33</v>
      </c>
      <c r="L10784" s="1" t="str">
        <f>"2023-12-21 16:19:15"</f>
        <v>2023-12-21 16:19:15</v>
      </c>
      <c r="M10784" s="1" t="s">
        <v>4</v>
      </c>
      <c r="N10784" s="1" t="s">
        <v>38</v>
      </c>
      <c r="O10784" s="1" t="s">
        <v>46</v>
      </c>
    </row>
    <row r="10785" spans="2:15" x14ac:dyDescent="0.3">
      <c r="B10785" s="1" t="s">
        <v>21</v>
      </c>
      <c r="C10785" s="1" t="str">
        <f>"5-1차"</f>
        <v>5-1차</v>
      </c>
      <c r="D10785" s="1" t="str">
        <f>"9826P3335M"</f>
        <v>9826P3335M</v>
      </c>
      <c r="E10785" s="1" t="s">
        <v>10</v>
      </c>
      <c r="F10785" s="1" t="str">
        <f>"fde2:104:0:c4:0:0:0:2"</f>
        <v>fde2:104:0:c4:0:0:0:2</v>
      </c>
      <c r="G10785" s="1" t="str">
        <f>"9826P333"</f>
        <v>9826P333</v>
      </c>
      <c r="H10785" s="1" t="str">
        <f>"봉원간 13L2L1"</f>
        <v>봉원간 13L2L1</v>
      </c>
      <c r="I10785" s="1" t="s">
        <v>15</v>
      </c>
      <c r="J10785" s="1" t="str">
        <f>"45/45"</f>
        <v>45/45</v>
      </c>
      <c r="K10785" s="1" t="str">
        <f>"2026-07-29 14:21:45"</f>
        <v>2026-07-29 14:21:45</v>
      </c>
      <c r="L10785" s="1" t="str">
        <f>"2022-09-13 15:58:24"</f>
        <v>2022-09-13 15:58:24</v>
      </c>
      <c r="M10785" s="1" t="s">
        <v>42</v>
      </c>
      <c r="N10785" s="1" t="s">
        <v>38</v>
      </c>
      <c r="O10785" s="1" t="s">
        <v>46</v>
      </c>
    </row>
    <row r="10786" spans="2:15" x14ac:dyDescent="0.3">
      <c r="B10786" s="1" t="s">
        <v>21</v>
      </c>
      <c r="C10786" s="1" t="str">
        <f>"5-2차"</f>
        <v>5-2차</v>
      </c>
      <c r="D10786" s="1" t="str">
        <f>"9826P3435M"</f>
        <v>9826P3435M</v>
      </c>
      <c r="E10786" s="1" t="s">
        <v>10</v>
      </c>
      <c r="F10786" s="1" t="str">
        <f>"fde1:103:4:91e6:0:0:0:2"</f>
        <v>fde1:103:4:91e6:0:0:0:2</v>
      </c>
      <c r="G10786" s="1" t="str">
        <f>"9826P343"</f>
        <v>9826P343</v>
      </c>
      <c r="H10786" s="1" t="str">
        <f>"봉원간 14R1"</f>
        <v>봉원간 14R1</v>
      </c>
      <c r="I10786" s="1" t="s">
        <v>15</v>
      </c>
      <c r="J10786" s="1" t="str">
        <f>"80/80"</f>
        <v>80/80</v>
      </c>
      <c r="K10786" s="1" t="str">
        <f>"2026-07-29 14:21:33"</f>
        <v>2026-07-29 14:21:33</v>
      </c>
      <c r="L10786" s="1" t="str">
        <f>"2023-12-21 16:19:41"</f>
        <v>2023-12-21 16:19:41</v>
      </c>
      <c r="M10786" s="1" t="s">
        <v>4</v>
      </c>
      <c r="N10786" s="1" t="s">
        <v>38</v>
      </c>
      <c r="O10786" s="1" t="s">
        <v>46</v>
      </c>
    </row>
    <row r="10787" spans="2:15" x14ac:dyDescent="0.3">
      <c r="B10787" s="1" t="s">
        <v>21</v>
      </c>
      <c r="C10787" s="1" t="str">
        <f>"4차"</f>
        <v>4차</v>
      </c>
      <c r="D10787" s="1" t="str">
        <f>"9826P35144"</f>
        <v>9826P35144</v>
      </c>
      <c r="E10787" s="1" t="s">
        <v>10</v>
      </c>
      <c r="F10787" s="1" t="str">
        <f>"10.10.131.250"</f>
        <v>10.10.131.250</v>
      </c>
      <c r="G10787" s="1" t="str">
        <f>"9826P351"</f>
        <v>9826P351</v>
      </c>
      <c r="H10787" s="1" t="str">
        <f>"봉원간 15"</f>
        <v>봉원간 15</v>
      </c>
      <c r="I10787" s="1" t="s">
        <v>8</v>
      </c>
      <c r="J10787" s="1" t="str">
        <f>"26/26"</f>
        <v>26/26</v>
      </c>
      <c r="K10787" s="1" t="str">
        <f>"2026-07-29 13:18:12"</f>
        <v>2026-07-29 13:18:12</v>
      </c>
      <c r="L10787" s="1" t="str">
        <f>"2019-10-23 14:23:04"</f>
        <v>2019-10-23 14:23:04</v>
      </c>
      <c r="M10787" s="1" t="s">
        <v>1</v>
      </c>
      <c r="N10787" s="1" t="s">
        <v>38</v>
      </c>
      <c r="O10787" s="1" t="s">
        <v>46</v>
      </c>
    </row>
    <row r="10788" spans="2:15" x14ac:dyDescent="0.3">
      <c r="B10788" s="1" t="s">
        <v>21</v>
      </c>
      <c r="C10788" s="1" t="str">
        <f>"4차"</f>
        <v>4차</v>
      </c>
      <c r="D10788" s="1" t="str">
        <f>"9826P36144"</f>
        <v>9826P36144</v>
      </c>
      <c r="E10788" s="1" t="s">
        <v>10</v>
      </c>
      <c r="F10788" s="1" t="str">
        <f>"10.10.132.10"</f>
        <v>10.10.132.10</v>
      </c>
      <c r="G10788" s="1" t="str">
        <f>"9826P361"</f>
        <v>9826P361</v>
      </c>
      <c r="H10788" s="1" t="str">
        <f>"봉원간 16"</f>
        <v>봉원간 16</v>
      </c>
      <c r="I10788" s="1" t="s">
        <v>8</v>
      </c>
      <c r="J10788" s="1" t="str">
        <f>"19/19"</f>
        <v>19/19</v>
      </c>
      <c r="K10788" s="1" t="str">
        <f>"2026-07-29 13:18:12"</f>
        <v>2026-07-29 13:18:12</v>
      </c>
      <c r="L10788" s="1" t="str">
        <f>"2019-10-23 13:22:18"</f>
        <v>2019-10-23 13:22:18</v>
      </c>
      <c r="M10788" s="1" t="s">
        <v>1</v>
      </c>
      <c r="N10788" s="1" t="s">
        <v>38</v>
      </c>
      <c r="O10788" s="1" t="s">
        <v>46</v>
      </c>
    </row>
    <row r="10789" spans="2:15" x14ac:dyDescent="0.3">
      <c r="B10789" s="1" t="s">
        <v>21</v>
      </c>
      <c r="C10789" s="1" t="str">
        <f>"4차"</f>
        <v>4차</v>
      </c>
      <c r="D10789" s="1" t="str">
        <f>"9826P42244"</f>
        <v>9826P42244</v>
      </c>
      <c r="E10789" s="1" t="s">
        <v>10</v>
      </c>
      <c r="F10789" s="1" t="str">
        <f>"10.10.132.18"</f>
        <v>10.10.132.18</v>
      </c>
      <c r="G10789" s="1" t="str">
        <f>"9826P422"</f>
        <v>9826P422</v>
      </c>
      <c r="H10789" s="1" t="str">
        <f>"봉원간 12"</f>
        <v>봉원간 12</v>
      </c>
      <c r="I10789" s="1" t="s">
        <v>8</v>
      </c>
      <c r="J10789" s="1" t="str">
        <f>"39/40"</f>
        <v>39/40</v>
      </c>
      <c r="K10789" s="1" t="str">
        <f>"2026-07-29 13:18:12"</f>
        <v>2026-07-29 13:18:12</v>
      </c>
      <c r="L10789" s="1" t="str">
        <f>"2019-10-23 14:39:04"</f>
        <v>2019-10-23 14:39:04</v>
      </c>
      <c r="M10789" s="1" t="s">
        <v>1</v>
      </c>
      <c r="N10789" s="1" t="s">
        <v>38</v>
      </c>
      <c r="O10789" s="1" t="s">
        <v>46</v>
      </c>
    </row>
    <row r="10790" spans="2:15" x14ac:dyDescent="0.3">
      <c r="B10790" s="1" t="s">
        <v>21</v>
      </c>
      <c r="C10790" s="1" t="str">
        <f>"5-1차"</f>
        <v>5-1차</v>
      </c>
      <c r="D10790" s="1" t="str">
        <f>"9826P4445M"</f>
        <v>9826P4445M</v>
      </c>
      <c r="E10790" s="1" t="s">
        <v>10</v>
      </c>
      <c r="F10790" s="1" t="str">
        <f>"fde2:104:0:116:0:0:0:2"</f>
        <v>fde2:104:0:116:0:0:0:2</v>
      </c>
      <c r="G10790" s="1" t="str">
        <f>"9826P444"</f>
        <v>9826P444</v>
      </c>
      <c r="H10790" s="1" t="str">
        <f>"봉원간 13R3"</f>
        <v>봉원간 13R3</v>
      </c>
      <c r="I10790" s="1" t="s">
        <v>15</v>
      </c>
      <c r="J10790" s="1" t="str">
        <f>"48/48"</f>
        <v>48/48</v>
      </c>
      <c r="K10790" s="1" t="str">
        <f>"2026-07-29 14:21:14"</f>
        <v>2026-07-29 14:21:14</v>
      </c>
      <c r="L10790" s="1" t="str">
        <f>"2022-09-28 08:53:29"</f>
        <v>2022-09-28 08:53:29</v>
      </c>
      <c r="M10790" s="1" t="s">
        <v>42</v>
      </c>
      <c r="N10790" s="1" t="s">
        <v>38</v>
      </c>
      <c r="O10790" s="1" t="s">
        <v>46</v>
      </c>
    </row>
    <row r="10791" spans="2:15" x14ac:dyDescent="0.3">
      <c r="B10791" s="1" t="s">
        <v>21</v>
      </c>
      <c r="C10791" s="1" t="str">
        <f>"1차"</f>
        <v>1차</v>
      </c>
      <c r="D10791" s="1" t="str">
        <f>"9826P55100"</f>
        <v>9826P55100</v>
      </c>
      <c r="E10791" s="1" t="s">
        <v>10</v>
      </c>
      <c r="F10791" s="1" t="str">
        <f>"10.128.33.134"</f>
        <v>10.128.33.134</v>
      </c>
      <c r="G10791" s="1" t="str">
        <f>"9826P551"</f>
        <v>9826P551</v>
      </c>
      <c r="H10791" s="1" t="str">
        <f>"봉원간 13R4"</f>
        <v>봉원간 13R4</v>
      </c>
      <c r="I10791" s="1" t="s">
        <v>8</v>
      </c>
      <c r="J10791" s="1" t="str">
        <f>"2/2"</f>
        <v>2/2</v>
      </c>
      <c r="K10791" s="1" t="str">
        <f>"2026-07-29 13:18:12"</f>
        <v>2026-07-29 13:18:12</v>
      </c>
      <c r="L10791" s="1" t="str">
        <f>"2015-04-01 15:38:28"</f>
        <v>2015-04-01 15:38:28</v>
      </c>
      <c r="M10791" s="1" t="s">
        <v>45</v>
      </c>
      <c r="N10791" s="1" t="s">
        <v>38</v>
      </c>
      <c r="O10791" s="1" t="s">
        <v>46</v>
      </c>
    </row>
    <row r="10792" spans="2:15" x14ac:dyDescent="0.3">
      <c r="B10792" s="1" t="s">
        <v>21</v>
      </c>
      <c r="C10792" s="1" t="str">
        <f>"5-2차"</f>
        <v>5-2차</v>
      </c>
      <c r="D10792" s="1" t="str">
        <f>"9826P6315M"</f>
        <v>9826P6315M</v>
      </c>
      <c r="E10792" s="1" t="s">
        <v>10</v>
      </c>
      <c r="F10792" s="1" t="str">
        <f>"fde1:103:4:9122:0:0:0:2"</f>
        <v>fde1:103:4:9122:0:0:0:2</v>
      </c>
      <c r="G10792" s="1" t="str">
        <f>"9826P631"</f>
        <v>9826P631</v>
      </c>
      <c r="H10792" s="1" t="str">
        <f>"봉원간 8L10"</f>
        <v>봉원간 8L10</v>
      </c>
      <c r="I10792" s="1" t="s">
        <v>15</v>
      </c>
      <c r="J10792" s="1" t="str">
        <f>"41/44"</f>
        <v>41/44</v>
      </c>
      <c r="K10792" s="1" t="str">
        <f>"2026-07-29 14:21:43"</f>
        <v>2026-07-29 14:21:43</v>
      </c>
      <c r="L10792" s="1" t="str">
        <f>"2024-02-28 19:58:30"</f>
        <v>2024-02-28 19:58:30</v>
      </c>
      <c r="M10792" s="1" t="s">
        <v>4</v>
      </c>
      <c r="N10792" s="1" t="s">
        <v>38</v>
      </c>
      <c r="O10792" s="1" t="s">
        <v>46</v>
      </c>
    </row>
    <row r="10793" spans="2:15" x14ac:dyDescent="0.3">
      <c r="B10793" s="1" t="s">
        <v>21</v>
      </c>
      <c r="C10793" s="1" t="str">
        <f>"4차"</f>
        <v>4차</v>
      </c>
      <c r="D10793" s="1" t="str">
        <f>"9826P66144"</f>
        <v>9826P66144</v>
      </c>
      <c r="E10793" s="1" t="s">
        <v>10</v>
      </c>
      <c r="F10793" s="1" t="str">
        <f>"10.10.132.26"</f>
        <v>10.10.132.26</v>
      </c>
      <c r="G10793" s="1" t="str">
        <f>"9826P661"</f>
        <v>9826P661</v>
      </c>
      <c r="H10793" s="1" t="str">
        <f>"봉원간 13R5"</f>
        <v>봉원간 13R5</v>
      </c>
      <c r="I10793" s="1" t="s">
        <v>8</v>
      </c>
      <c r="J10793" s="1" t="str">
        <f>"4/4"</f>
        <v>4/4</v>
      </c>
      <c r="K10793" s="1" t="str">
        <f>"2026-07-29 13:18:12"</f>
        <v>2026-07-29 13:18:12</v>
      </c>
      <c r="L10793" s="1" t="str">
        <f>"2019-10-23 15:21:23"</f>
        <v>2019-10-23 15:21:23</v>
      </c>
      <c r="M10793" s="1" t="s">
        <v>1</v>
      </c>
      <c r="N10793" s="1" t="s">
        <v>38</v>
      </c>
      <c r="O10793" s="1" t="s">
        <v>46</v>
      </c>
    </row>
    <row r="10794" spans="2:15" x14ac:dyDescent="0.3">
      <c r="B10794" s="1" t="s">
        <v>21</v>
      </c>
      <c r="C10794" s="1" t="str">
        <f>"5-2차"</f>
        <v>5-2차</v>
      </c>
      <c r="D10794" s="1" t="str">
        <f>"9826P7315S"</f>
        <v>9826P7315S</v>
      </c>
      <c r="E10794" s="1" t="s">
        <v>10</v>
      </c>
      <c r="F10794" s="1" t="str">
        <f>"fde3:102:1302:2000:0:0:0:3"</f>
        <v>fde3:102:1302:2000:0:0:0:3</v>
      </c>
      <c r="G10794" s="1" t="str">
        <f>"9826P731"</f>
        <v>9826P731</v>
      </c>
      <c r="H10794" s="1" t="str">
        <f>"봉원간 8L11R1"</f>
        <v>봉원간 8L11R1</v>
      </c>
      <c r="I10794" s="1" t="s">
        <v>15</v>
      </c>
      <c r="J10794" s="1" t="str">
        <f>"33/42"</f>
        <v>33/42</v>
      </c>
      <c r="K10794" s="1" t="str">
        <f>"2026-07-29 14:21:32"</f>
        <v>2026-07-29 14:21:32</v>
      </c>
      <c r="L10794" s="1" t="str">
        <f>"2023-08-04 09:40:22"</f>
        <v>2023-08-04 09:40:22</v>
      </c>
      <c r="M10794" s="1" t="s">
        <v>45</v>
      </c>
      <c r="N10794" s="1" t="s">
        <v>38</v>
      </c>
      <c r="O10794" s="1" t="s">
        <v>46</v>
      </c>
    </row>
    <row r="10795" spans="2:15" x14ac:dyDescent="0.3">
      <c r="B10795" s="1" t="s">
        <v>21</v>
      </c>
      <c r="C10795" s="1" t="str">
        <f>"5-2차"</f>
        <v>5-2차</v>
      </c>
      <c r="D10795" s="1" t="str">
        <f>"9826P7415S"</f>
        <v>9826P7415S</v>
      </c>
      <c r="E10795" s="1" t="s">
        <v>10</v>
      </c>
      <c r="F10795" s="1" t="str">
        <f>"fde3:102:1302:2000:0:0:0:2"</f>
        <v>fde3:102:1302:2000:0:0:0:2</v>
      </c>
      <c r="G10795" s="1" t="str">
        <f>"9826P741"</f>
        <v>9826P741</v>
      </c>
      <c r="H10795" s="1" t="str">
        <f>"봉원간 8L11D1"</f>
        <v>봉원간 8L11D1</v>
      </c>
      <c r="I10795" s="1" t="s">
        <v>15</v>
      </c>
      <c r="J10795" s="1" t="str">
        <f>"2/14"</f>
        <v>2/14</v>
      </c>
      <c r="K10795" s="1" t="str">
        <f>"2026-07-29 14:21:33"</f>
        <v>2026-07-29 14:21:33</v>
      </c>
      <c r="L10795" s="1" t="str">
        <f>"2023-08-04 09:03:16"</f>
        <v>2023-08-04 09:03:16</v>
      </c>
      <c r="M10795" s="1" t="s">
        <v>45</v>
      </c>
      <c r="N10795" s="1" t="s">
        <v>38</v>
      </c>
      <c r="O10795" s="1" t="s">
        <v>46</v>
      </c>
    </row>
    <row r="10796" spans="2:15" x14ac:dyDescent="0.3">
      <c r="B10796" s="1" t="s">
        <v>21</v>
      </c>
      <c r="C10796" s="1" t="str">
        <f>"4차"</f>
        <v>4차</v>
      </c>
      <c r="D10796" s="1" t="str">
        <f>"9826P75144"</f>
        <v>9826P75144</v>
      </c>
      <c r="E10796" s="1" t="s">
        <v>10</v>
      </c>
      <c r="F10796" s="1" t="str">
        <f>"10.12.138.30"</f>
        <v>10.12.138.30</v>
      </c>
      <c r="G10796" s="1" t="str">
        <f>"9826P751"</f>
        <v>9826P751</v>
      </c>
      <c r="H10796" s="1" t="str">
        <f>"봉원간 8L11D2"</f>
        <v>봉원간 8L11D2</v>
      </c>
      <c r="I10796" s="1" t="s">
        <v>8</v>
      </c>
      <c r="J10796" s="1" t="str">
        <f>"20/20"</f>
        <v>20/20</v>
      </c>
      <c r="K10796" s="1" t="str">
        <f>"2026-07-29 13:18:10"</f>
        <v>2026-07-29 13:18:10</v>
      </c>
      <c r="L10796" s="1" t="str">
        <f>"2019-11-11 20:07:15"</f>
        <v>2019-11-11 20:07:15</v>
      </c>
      <c r="M10796" s="1" t="s">
        <v>0</v>
      </c>
      <c r="N10796" s="1" t="s">
        <v>38</v>
      </c>
      <c r="O10796" s="1" t="s">
        <v>46</v>
      </c>
    </row>
    <row r="10797" spans="2:15" x14ac:dyDescent="0.3">
      <c r="B10797" s="1" t="s">
        <v>21</v>
      </c>
      <c r="C10797" s="1" t="str">
        <f>"5-2차"</f>
        <v>5-2차</v>
      </c>
      <c r="D10797" s="1" t="str">
        <f>"9826Q3215M"</f>
        <v>9826Q3215M</v>
      </c>
      <c r="E10797" s="1" t="s">
        <v>10</v>
      </c>
      <c r="F10797" s="1" t="str">
        <f>"fde3:102:1302:2800:0:0:0:4"</f>
        <v>fde3:102:1302:2800:0:0:0:4</v>
      </c>
      <c r="G10797" s="1" t="str">
        <f>"9826Q321"</f>
        <v>9826Q321</v>
      </c>
      <c r="H10797" s="1" t="str">
        <f>"대신간 64R2"</f>
        <v>대신간 64R2</v>
      </c>
      <c r="I10797" s="1" t="s">
        <v>15</v>
      </c>
      <c r="J10797" s="1" t="str">
        <f>"30/30"</f>
        <v>30/30</v>
      </c>
      <c r="K10797" s="1" t="str">
        <f>"2026-07-29 14:21:49"</f>
        <v>2026-07-29 14:21:49</v>
      </c>
      <c r="L10797" s="1" t="str">
        <f>"2023-08-24 10:21:00"</f>
        <v>2023-08-24 10:21:00</v>
      </c>
      <c r="M10797" s="1" t="s">
        <v>45</v>
      </c>
      <c r="N10797" s="1" t="s">
        <v>38</v>
      </c>
      <c r="O10797" s="1" t="s">
        <v>46</v>
      </c>
    </row>
    <row r="10798" spans="2:15" x14ac:dyDescent="0.3">
      <c r="B10798" s="1" t="s">
        <v>21</v>
      </c>
      <c r="C10798" s="1" t="str">
        <f>"5-1차"</f>
        <v>5-1차</v>
      </c>
      <c r="D10798" s="1" t="str">
        <f>"9826Q5215S"</f>
        <v>9826Q5215S</v>
      </c>
      <c r="E10798" s="1" t="s">
        <v>10</v>
      </c>
      <c r="F10798" s="1" t="str">
        <f>"fde3:102:1302:2800:0:0:0:2"</f>
        <v>fde3:102:1302:2800:0:0:0:2</v>
      </c>
      <c r="G10798" s="1" t="str">
        <f>"9826Q521"</f>
        <v>9826Q521</v>
      </c>
      <c r="H10798" s="1" t="str">
        <f>"충정간 34R7"</f>
        <v>충정간 34R7</v>
      </c>
      <c r="I10798" s="1" t="s">
        <v>15</v>
      </c>
      <c r="J10798" s="1" t="str">
        <f>"37/40"</f>
        <v>37/40</v>
      </c>
      <c r="K10798" s="1" t="str">
        <f>"2026-07-29 14:21:44"</f>
        <v>2026-07-29 14:21:44</v>
      </c>
      <c r="L10798" s="1" t="str">
        <f>"2022-12-06 17:43:37"</f>
        <v>2022-12-06 17:43:37</v>
      </c>
      <c r="M10798" s="1" t="s">
        <v>45</v>
      </c>
      <c r="N10798" s="1" t="s">
        <v>38</v>
      </c>
      <c r="O10798" s="1" t="s">
        <v>46</v>
      </c>
    </row>
    <row r="10799" spans="2:15" x14ac:dyDescent="0.3">
      <c r="B10799" s="1" t="s">
        <v>21</v>
      </c>
      <c r="C10799" s="1" t="str">
        <f>"5-2차"</f>
        <v>5-2차</v>
      </c>
      <c r="D10799" s="1" t="str">
        <f>"9826Q6115M"</f>
        <v>9826Q6115M</v>
      </c>
      <c r="E10799" s="1" t="s">
        <v>10</v>
      </c>
      <c r="F10799" s="1" t="str">
        <f>"fde3:102:1302:2800:0:0:0:5"</f>
        <v>fde3:102:1302:2800:0:0:0:5</v>
      </c>
      <c r="G10799" s="1" t="str">
        <f>"9826Q611"</f>
        <v>9826Q611</v>
      </c>
      <c r="H10799" s="1" t="str">
        <f>"충정간 34R4"</f>
        <v>충정간 34R4</v>
      </c>
      <c r="I10799" s="1" t="s">
        <v>15</v>
      </c>
      <c r="J10799" s="1" t="str">
        <f>"72/72"</f>
        <v>72/72</v>
      </c>
      <c r="K10799" s="1" t="str">
        <f>"2026-07-29 14:21:33"</f>
        <v>2026-07-29 14:21:33</v>
      </c>
      <c r="L10799" s="1" t="str">
        <f>"2023-08-24 11:05:23"</f>
        <v>2023-08-24 11:05:23</v>
      </c>
      <c r="M10799" s="1" t="s">
        <v>45</v>
      </c>
      <c r="N10799" s="1" t="s">
        <v>38</v>
      </c>
      <c r="O10799" s="1" t="s">
        <v>46</v>
      </c>
    </row>
    <row r="10800" spans="2:15" x14ac:dyDescent="0.3">
      <c r="B10800" s="1" t="s">
        <v>21</v>
      </c>
      <c r="C10800" s="1" t="str">
        <f>"5-2차"</f>
        <v>5-2차</v>
      </c>
      <c r="D10800" s="1" t="str">
        <f>"9826Q6135S"</f>
        <v>9826Q6135S</v>
      </c>
      <c r="E10800" s="1" t="s">
        <v>10</v>
      </c>
      <c r="F10800" s="1" t="str">
        <f>"fde1:103:4:929e:0:0:0:2"</f>
        <v>fde1:103:4:929e:0:0:0:2</v>
      </c>
      <c r="G10800" s="1" t="str">
        <f>"9826Q613"</f>
        <v>9826Q613</v>
      </c>
      <c r="H10800" s="1" t="str">
        <f>"충정간 34R3"</f>
        <v>충정간 34R3</v>
      </c>
      <c r="I10800" s="1" t="s">
        <v>15</v>
      </c>
      <c r="J10800" s="1" t="str">
        <f>"16/16"</f>
        <v>16/16</v>
      </c>
      <c r="K10800" s="1" t="str">
        <f>"2026-07-29 14:21:50"</f>
        <v>2026-07-29 14:21:50</v>
      </c>
      <c r="L10800" s="1" t="str">
        <f>"2024-01-18 17:58:10"</f>
        <v>2024-01-18 17:58:10</v>
      </c>
      <c r="M10800" s="1" t="s">
        <v>4</v>
      </c>
      <c r="N10800" s="1" t="s">
        <v>38</v>
      </c>
      <c r="O10800" s="1" t="s">
        <v>46</v>
      </c>
    </row>
    <row r="10801" spans="2:15" x14ac:dyDescent="0.3">
      <c r="B10801" s="1" t="s">
        <v>21</v>
      </c>
      <c r="C10801" s="1" t="str">
        <f>"5-2차"</f>
        <v>5-2차</v>
      </c>
      <c r="D10801" s="1" t="str">
        <f>"9826Q6215M"</f>
        <v>9826Q6215M</v>
      </c>
      <c r="E10801" s="1" t="s">
        <v>10</v>
      </c>
      <c r="F10801" s="1" t="str">
        <f>"fde3:102:1302:2800:0:0:0:10"</f>
        <v>fde3:102:1302:2800:0:0:0:10</v>
      </c>
      <c r="G10801" s="1" t="str">
        <f>"9826Q621"</f>
        <v>9826Q621</v>
      </c>
      <c r="H10801" s="1" t="str">
        <f>"충정간 34R6"</f>
        <v>충정간 34R6</v>
      </c>
      <c r="I10801" s="1" t="s">
        <v>15</v>
      </c>
      <c r="J10801" s="1" t="str">
        <f>"42/44"</f>
        <v>42/44</v>
      </c>
      <c r="K10801" s="1" t="str">
        <f>"2026-07-29 14:21:33"</f>
        <v>2026-07-29 14:21:33</v>
      </c>
      <c r="L10801" s="1" t="str">
        <f>"2024-01-27 10:44:32"</f>
        <v>2024-01-27 10:44:32</v>
      </c>
      <c r="M10801" s="1" t="s">
        <v>45</v>
      </c>
      <c r="N10801" s="1" t="s">
        <v>38</v>
      </c>
      <c r="O10801" s="1" t="s">
        <v>46</v>
      </c>
    </row>
    <row r="10802" spans="2:15" x14ac:dyDescent="0.3">
      <c r="B10802" s="1" t="s">
        <v>21</v>
      </c>
      <c r="C10802" s="1" t="str">
        <f>"5-2차"</f>
        <v>5-2차</v>
      </c>
      <c r="D10802" s="1" t="str">
        <f>"9826R0725M"</f>
        <v>9826R0725M</v>
      </c>
      <c r="E10802" s="1" t="s">
        <v>10</v>
      </c>
      <c r="F10802" s="1" t="str">
        <f>"fde1:103:4:91e9:0:0:0:2"</f>
        <v>fde1:103:4:91e9:0:0:0:2</v>
      </c>
      <c r="G10802" s="1" t="str">
        <f>"9826R072"</f>
        <v>9826R072</v>
      </c>
      <c r="H10802" s="1" t="str">
        <f>"봉원간 2L1A2"</f>
        <v>봉원간 2L1A2</v>
      </c>
      <c r="I10802" s="1" t="s">
        <v>15</v>
      </c>
      <c r="J10802" s="1" t="str">
        <f>"25/25"</f>
        <v>25/25</v>
      </c>
      <c r="K10802" s="1" t="str">
        <f>"2026-07-29 14:21:44"</f>
        <v>2026-07-29 14:21:44</v>
      </c>
      <c r="L10802" s="1" t="str">
        <f>"2023-12-21 16:20:10"</f>
        <v>2023-12-21 16:20:10</v>
      </c>
      <c r="M10802" s="1" t="s">
        <v>4</v>
      </c>
      <c r="N10802" s="1" t="s">
        <v>38</v>
      </c>
      <c r="O10802" s="1" t="s">
        <v>46</v>
      </c>
    </row>
    <row r="10803" spans="2:15" x14ac:dyDescent="0.3">
      <c r="B10803" s="1" t="s">
        <v>21</v>
      </c>
      <c r="C10803" s="1" t="str">
        <f>"5-1차"</f>
        <v>5-1차</v>
      </c>
      <c r="D10803" s="1" t="str">
        <f>"9826R1715M"</f>
        <v>9826R1715M</v>
      </c>
      <c r="E10803" s="1" t="s">
        <v>10</v>
      </c>
      <c r="F10803" s="1" t="str">
        <f>"fde2:104:0:d0:0:0:0:2"</f>
        <v>fde2:104:0:d0:0:0:0:2</v>
      </c>
      <c r="G10803" s="1" t="str">
        <f>"9826R171"</f>
        <v>9826R171</v>
      </c>
      <c r="H10803" s="1" t="str">
        <f>"봉원간 2L1R1"</f>
        <v>봉원간 2L1R1</v>
      </c>
      <c r="I10803" s="1" t="s">
        <v>15</v>
      </c>
      <c r="J10803" s="1" t="str">
        <f>"48/49"</f>
        <v>48/49</v>
      </c>
      <c r="K10803" s="1" t="str">
        <f>"2026-07-29 14:21:45"</f>
        <v>2026-07-29 14:21:45</v>
      </c>
      <c r="L10803" s="1" t="str">
        <f>"2022-09-28 08:55:58"</f>
        <v>2022-09-28 08:55:58</v>
      </c>
      <c r="M10803" s="1" t="s">
        <v>42</v>
      </c>
      <c r="N10803" s="1" t="s">
        <v>38</v>
      </c>
      <c r="O10803" s="1" t="s">
        <v>46</v>
      </c>
    </row>
    <row r="10804" spans="2:15" x14ac:dyDescent="0.3">
      <c r="B10804" s="1" t="s">
        <v>21</v>
      </c>
      <c r="C10804" s="1" t="str">
        <f>"5-1차"</f>
        <v>5-1차</v>
      </c>
      <c r="D10804" s="1" t="str">
        <f>"9826R1825S"</f>
        <v>9826R1825S</v>
      </c>
      <c r="E10804" s="1" t="s">
        <v>10</v>
      </c>
      <c r="F10804" s="1" t="str">
        <f>"fde2:104:0:d1:0:0:0:2"</f>
        <v>fde2:104:0:d1:0:0:0:2</v>
      </c>
      <c r="G10804" s="1" t="str">
        <f>"9826R182"</f>
        <v>9826R182</v>
      </c>
      <c r="H10804" s="1" t="str">
        <f>"봉원간 2L1A1R1"</f>
        <v>봉원간 2L1A1R1</v>
      </c>
      <c r="I10804" s="1" t="s">
        <v>15</v>
      </c>
      <c r="J10804" s="1" t="str">
        <f>"20/21"</f>
        <v>20/21</v>
      </c>
      <c r="K10804" s="1" t="str">
        <f>"2026-07-29 14:21:45"</f>
        <v>2026-07-29 14:21:45</v>
      </c>
      <c r="L10804" s="1" t="str">
        <f>"2022-09-28 09:09:15"</f>
        <v>2022-09-28 09:09:15</v>
      </c>
      <c r="M10804" s="1" t="s">
        <v>42</v>
      </c>
      <c r="N10804" s="1" t="s">
        <v>38</v>
      </c>
      <c r="O10804" s="1" t="s">
        <v>46</v>
      </c>
    </row>
    <row r="10805" spans="2:15" x14ac:dyDescent="0.3">
      <c r="B10805" s="1" t="s">
        <v>21</v>
      </c>
      <c r="C10805" s="1" t="str">
        <f>"5-2차"</f>
        <v>5-2차</v>
      </c>
      <c r="D10805" s="1" t="str">
        <f>"9826S3615M"</f>
        <v>9826S3615M</v>
      </c>
      <c r="E10805" s="1" t="s">
        <v>10</v>
      </c>
      <c r="F10805" s="1" t="str">
        <f>"fde3:102:1302:2801:0:0:0:4"</f>
        <v>fde3:102:1302:2801:0:0:0:4</v>
      </c>
      <c r="G10805" s="1" t="str">
        <f>"9826S361"</f>
        <v>9826S361</v>
      </c>
      <c r="H10805" s="1" t="str">
        <f>"대신간 59L1L3"</f>
        <v>대신간 59L1L3</v>
      </c>
      <c r="I10805" s="1" t="s">
        <v>15</v>
      </c>
      <c r="J10805" s="1" t="str">
        <f>"24/24"</f>
        <v>24/24</v>
      </c>
      <c r="K10805" s="1" t="str">
        <f>"2026-07-28 20:03:24"</f>
        <v>2026-07-28 20:03:24</v>
      </c>
      <c r="L10805" s="1" t="str">
        <f>"2023-08-24 10:22:40"</f>
        <v>2023-08-24 10:22:40</v>
      </c>
      <c r="M10805" s="1" t="s">
        <v>45</v>
      </c>
      <c r="N10805" s="1" t="s">
        <v>38</v>
      </c>
      <c r="O10805" s="1" t="s">
        <v>46</v>
      </c>
    </row>
    <row r="10806" spans="2:15" x14ac:dyDescent="0.3">
      <c r="B10806" s="1" t="s">
        <v>21</v>
      </c>
      <c r="C10806" s="1" t="str">
        <f>"5-1차"</f>
        <v>5-1차</v>
      </c>
      <c r="D10806" s="1" t="str">
        <f>"9826S4725M"</f>
        <v>9826S4725M</v>
      </c>
      <c r="E10806" s="1" t="s">
        <v>10</v>
      </c>
      <c r="F10806" s="1" t="str">
        <f>"fde3:102:1302:2801:0:0:0:2"</f>
        <v>fde3:102:1302:2801:0:0:0:2</v>
      </c>
      <c r="G10806" s="1" t="str">
        <f>"9826S472"</f>
        <v>9826S472</v>
      </c>
      <c r="H10806" s="1" t="str">
        <f>"대신간 56"</f>
        <v>대신간 56</v>
      </c>
      <c r="I10806" s="1" t="s">
        <v>15</v>
      </c>
      <c r="J10806" s="1" t="str">
        <f>"42/42"</f>
        <v>42/42</v>
      </c>
      <c r="K10806" s="1" t="str">
        <f>"2026-07-29 14:21:44"</f>
        <v>2026-07-29 14:21:44</v>
      </c>
      <c r="L10806" s="1" t="str">
        <f>"2022-12-06 17:56:45"</f>
        <v>2022-12-06 17:56:45</v>
      </c>
      <c r="M10806" s="1" t="s">
        <v>45</v>
      </c>
      <c r="N10806" s="1" t="s">
        <v>38</v>
      </c>
      <c r="O10806" s="1" t="s">
        <v>46</v>
      </c>
    </row>
    <row r="10807" spans="2:15" x14ac:dyDescent="0.3">
      <c r="B10807" s="1" t="s">
        <v>21</v>
      </c>
      <c r="C10807" s="1" t="str">
        <f>"5-2차"</f>
        <v>5-2차</v>
      </c>
      <c r="D10807" s="1" t="str">
        <f>"9826S4815M"</f>
        <v>9826S4815M</v>
      </c>
      <c r="E10807" s="1" t="s">
        <v>10</v>
      </c>
      <c r="F10807" s="1" t="str">
        <f>"fde3:102:1302:2801:0:0:0:10"</f>
        <v>fde3:102:1302:2801:0:0:0:10</v>
      </c>
      <c r="G10807" s="1" t="str">
        <f>"9826S481"</f>
        <v>9826S481</v>
      </c>
      <c r="H10807" s="1" t="str">
        <f>"대신간 59R1"</f>
        <v>대신간 59R1</v>
      </c>
      <c r="I10807" s="1" t="s">
        <v>15</v>
      </c>
      <c r="J10807" s="1" t="str">
        <f>"45/45"</f>
        <v>45/45</v>
      </c>
      <c r="K10807" s="1" t="str">
        <f>"2026-07-29 14:21:44"</f>
        <v>2026-07-29 14:21:44</v>
      </c>
      <c r="L10807" s="1" t="str">
        <f>"2024-01-27 10:37:45"</f>
        <v>2024-01-27 10:37:45</v>
      </c>
      <c r="M10807" s="1" t="s">
        <v>45</v>
      </c>
      <c r="N10807" s="1" t="s">
        <v>38</v>
      </c>
      <c r="O10807" s="1" t="s">
        <v>46</v>
      </c>
    </row>
    <row r="10808" spans="2:15" x14ac:dyDescent="0.3">
      <c r="B10808" s="1" t="s">
        <v>21</v>
      </c>
      <c r="C10808" s="1" t="str">
        <f>"5-1차"</f>
        <v>5-1차</v>
      </c>
      <c r="D10808" s="1" t="str">
        <f>"9826S5625M"</f>
        <v>9826S5625M</v>
      </c>
      <c r="E10808" s="1" t="s">
        <v>10</v>
      </c>
      <c r="F10808" s="1" t="str">
        <f>"fde3:102:1302:2800:0:0:0:3"</f>
        <v>fde3:102:1302:2800:0:0:0:3</v>
      </c>
      <c r="G10808" s="1" t="str">
        <f>"9826S562"</f>
        <v>9826S562</v>
      </c>
      <c r="H10808" s="1" t="str">
        <f>"대신간 54"</f>
        <v>대신간 54</v>
      </c>
      <c r="I10808" s="1" t="s">
        <v>15</v>
      </c>
      <c r="J10808" s="1" t="str">
        <f>"26/26"</f>
        <v>26/26</v>
      </c>
      <c r="K10808" s="1" t="str">
        <f>"2026-07-29 14:21:14"</f>
        <v>2026-07-29 14:21:14</v>
      </c>
      <c r="L10808" s="1" t="str">
        <f>"2022-12-05 17:15:38"</f>
        <v>2022-12-05 17:15:38</v>
      </c>
      <c r="M10808" s="1" t="s">
        <v>45</v>
      </c>
      <c r="N10808" s="1" t="s">
        <v>38</v>
      </c>
      <c r="O10808" s="1" t="s">
        <v>46</v>
      </c>
    </row>
    <row r="10809" spans="2:15" x14ac:dyDescent="0.3">
      <c r="B10809" s="1" t="s">
        <v>21</v>
      </c>
      <c r="C10809" s="1" t="str">
        <f>"5-2차"</f>
        <v>5-2차</v>
      </c>
      <c r="D10809" s="1" t="str">
        <f>"9826S6615S"</f>
        <v>9826S6615S</v>
      </c>
      <c r="E10809" s="1" t="s">
        <v>10</v>
      </c>
      <c r="F10809" s="1" t="str">
        <f>"fde3:102:1302:2806:0:0:0:2"</f>
        <v>fde3:102:1302:2806:0:0:0:2</v>
      </c>
      <c r="G10809" s="1" t="str">
        <f>"9826S661"</f>
        <v>9826S661</v>
      </c>
      <c r="H10809" s="1" t="str">
        <f>"대신간 53R1"</f>
        <v>대신간 53R1</v>
      </c>
      <c r="I10809" s="1" t="s">
        <v>15</v>
      </c>
      <c r="J10809" s="1" t="str">
        <f>"52/52"</f>
        <v>52/52</v>
      </c>
      <c r="K10809" s="1" t="str">
        <f>"2026-07-29 14:21:46"</f>
        <v>2026-07-29 14:21:46</v>
      </c>
      <c r="L10809" s="1" t="str">
        <f>"2024-01-27 10:50:58"</f>
        <v>2024-01-27 10:50:58</v>
      </c>
      <c r="M10809" s="1" t="s">
        <v>45</v>
      </c>
      <c r="N10809" s="1" t="s">
        <v>38</v>
      </c>
      <c r="O10809" s="1" t="s">
        <v>46</v>
      </c>
    </row>
    <row r="10810" spans="2:15" x14ac:dyDescent="0.3">
      <c r="B10810" s="1" t="s">
        <v>21</v>
      </c>
      <c r="C10810" s="1" t="str">
        <f>"5-2차"</f>
        <v>5-2차</v>
      </c>
      <c r="D10810" s="1" t="str">
        <f>"9826S6715S"</f>
        <v>9826S6715S</v>
      </c>
      <c r="E10810" s="1" t="s">
        <v>10</v>
      </c>
      <c r="F10810" s="1" t="str">
        <f>"fde1:103:4:912f:0:0:0:2"</f>
        <v>fde1:103:4:912f:0:0:0:2</v>
      </c>
      <c r="G10810" s="1" t="str">
        <f>"9826S671"</f>
        <v>9826S671</v>
      </c>
      <c r="H10810" s="1" t="str">
        <f>"충정간 33L1"</f>
        <v>충정간 33L1</v>
      </c>
      <c r="I10810" s="1" t="s">
        <v>15</v>
      </c>
      <c r="J10810" s="1" t="str">
        <f>"38/38"</f>
        <v>38/38</v>
      </c>
      <c r="K10810" s="1" t="str">
        <f>"2026-07-29 14:20:42"</f>
        <v>2026-07-29 14:20:42</v>
      </c>
      <c r="L10810" s="1" t="str">
        <f>"2024-01-19 11:11:50"</f>
        <v>2024-01-19 11:11:50</v>
      </c>
      <c r="M10810" s="1" t="s">
        <v>4</v>
      </c>
      <c r="N10810" s="1" t="s">
        <v>38</v>
      </c>
      <c r="O10810" s="1" t="s">
        <v>46</v>
      </c>
    </row>
    <row r="10811" spans="2:15" x14ac:dyDescent="0.3">
      <c r="B10811" s="1" t="s">
        <v>21</v>
      </c>
      <c r="C10811" s="1" t="str">
        <f>"5-1차"</f>
        <v>5-1차</v>
      </c>
      <c r="D10811" s="1" t="str">
        <f>"9826S6825M"</f>
        <v>9826S6825M</v>
      </c>
      <c r="E10811" s="1" t="s">
        <v>10</v>
      </c>
      <c r="F10811" s="1" t="str">
        <f>"fde3:102:1302:2801:0:0:0:3"</f>
        <v>fde3:102:1302:2801:0:0:0:3</v>
      </c>
      <c r="G10811" s="1" t="str">
        <f>"9826S682"</f>
        <v>9826S682</v>
      </c>
      <c r="H10811" s="1" t="str">
        <f>"충정간 33R1"</f>
        <v>충정간 33R1</v>
      </c>
      <c r="I10811" s="1" t="s">
        <v>15</v>
      </c>
      <c r="J10811" s="1" t="str">
        <f>"29/29"</f>
        <v>29/29</v>
      </c>
      <c r="K10811" s="1" t="str">
        <f>"2026-07-29 14:21:34"</f>
        <v>2026-07-29 14:21:34</v>
      </c>
      <c r="L10811" s="1" t="str">
        <f>"2022-12-05 17:01:15"</f>
        <v>2022-12-05 17:01:15</v>
      </c>
      <c r="M10811" s="1" t="s">
        <v>45</v>
      </c>
      <c r="N10811" s="1" t="s">
        <v>38</v>
      </c>
      <c r="O10811" s="1" t="s">
        <v>46</v>
      </c>
    </row>
    <row r="10812" spans="2:15" x14ac:dyDescent="0.3">
      <c r="B10812" s="1" t="s">
        <v>21</v>
      </c>
      <c r="C10812" s="1" t="str">
        <f>"5-2차"</f>
        <v>5-2차</v>
      </c>
      <c r="D10812" s="1" t="str">
        <f>"9826S7415M"</f>
        <v>9826S7415M</v>
      </c>
      <c r="E10812" s="1" t="s">
        <v>10</v>
      </c>
      <c r="F10812" s="1" t="str">
        <f>"fde3:102:1302:2805:0:0:0:2"</f>
        <v>fde3:102:1302:2805:0:0:0:2</v>
      </c>
      <c r="G10812" s="1" t="str">
        <f>"9826S741"</f>
        <v>9826S741</v>
      </c>
      <c r="H10812" s="1" t="str">
        <f>"충정간 25L9L4D6"</f>
        <v>충정간 25L9L4D6</v>
      </c>
      <c r="I10812" s="1" t="s">
        <v>15</v>
      </c>
      <c r="J10812" s="1" t="str">
        <f>"52/52"</f>
        <v>52/52</v>
      </c>
      <c r="K10812" s="1" t="str">
        <f>"2026-07-29 14:21:49"</f>
        <v>2026-07-29 14:21:49</v>
      </c>
      <c r="L10812" s="1" t="str">
        <f>"2023-08-24 10:28:18"</f>
        <v>2023-08-24 10:28:18</v>
      </c>
      <c r="M10812" s="1" t="s">
        <v>45</v>
      </c>
      <c r="N10812" s="1" t="s">
        <v>38</v>
      </c>
      <c r="O10812" s="1" t="s">
        <v>46</v>
      </c>
    </row>
    <row r="10813" spans="2:15" x14ac:dyDescent="0.3">
      <c r="B10813" s="1" t="s">
        <v>21</v>
      </c>
      <c r="C10813" s="1" t="str">
        <f>"5-1차"</f>
        <v>5-1차</v>
      </c>
      <c r="D10813" s="1" t="str">
        <f>"9826S8945M"</f>
        <v>9826S8945M</v>
      </c>
      <c r="E10813" s="1" t="s">
        <v>10</v>
      </c>
      <c r="F10813" s="1" t="str">
        <f>"fde3:102:1302:2c00:0:0:0:2"</f>
        <v>fde3:102:1302:2c00:0:0:0:2</v>
      </c>
      <c r="G10813" s="1" t="str">
        <f>"9826S894"</f>
        <v>9826S894</v>
      </c>
      <c r="H10813" s="1" t="str">
        <f>"충정간 31R1"</f>
        <v>충정간 31R1</v>
      </c>
      <c r="I10813" s="1" t="s">
        <v>15</v>
      </c>
      <c r="J10813" s="1" t="str">
        <f>"132/132"</f>
        <v>132/132</v>
      </c>
      <c r="K10813" s="1" t="str">
        <f>"2026-07-29 14:21:45"</f>
        <v>2026-07-29 14:21:45</v>
      </c>
      <c r="L10813" s="1" t="str">
        <f>"2022-12-05 17:00:10"</f>
        <v>2022-12-05 17:00:10</v>
      </c>
      <c r="M10813" s="1" t="s">
        <v>45</v>
      </c>
      <c r="N10813" s="1" t="s">
        <v>38</v>
      </c>
      <c r="O10813" s="1" t="s">
        <v>46</v>
      </c>
    </row>
    <row r="10814" spans="2:15" x14ac:dyDescent="0.3">
      <c r="B10814" s="1" t="s">
        <v>21</v>
      </c>
      <c r="C10814" s="1" t="str">
        <f>"5-2차"</f>
        <v>5-2차</v>
      </c>
      <c r="D10814" s="1" t="str">
        <f>"9826W6215M"</f>
        <v>9826W6215M</v>
      </c>
      <c r="E10814" s="1" t="s">
        <v>10</v>
      </c>
      <c r="F10814" s="1" t="str">
        <f>"fde3:102:1302:2e00:0:0:0:5"</f>
        <v>fde3:102:1302:2e00:0:0:0:5</v>
      </c>
      <c r="G10814" s="1" t="str">
        <f>"9826W621"</f>
        <v>9826W621</v>
      </c>
      <c r="H10814" s="1" t="str">
        <f>"천연지 3L2R11"</f>
        <v>천연지 3L2R11</v>
      </c>
      <c r="I10814" s="1" t="s">
        <v>15</v>
      </c>
      <c r="J10814" s="1" t="str">
        <f>"39/39"</f>
        <v>39/39</v>
      </c>
      <c r="K10814" s="1" t="str">
        <f>"2026-07-29 14:21:44"</f>
        <v>2026-07-29 14:21:44</v>
      </c>
      <c r="L10814" s="1" t="str">
        <f>"2023-08-24 10:29:40"</f>
        <v>2023-08-24 10:29:40</v>
      </c>
      <c r="M10814" s="1" t="s">
        <v>45</v>
      </c>
      <c r="N10814" s="1" t="s">
        <v>38</v>
      </c>
      <c r="O10814" s="1" t="s">
        <v>46</v>
      </c>
    </row>
    <row r="10815" spans="2:15" x14ac:dyDescent="0.3">
      <c r="B10815" s="1" t="s">
        <v>21</v>
      </c>
      <c r="C10815" s="1" t="str">
        <f>"5-2차"</f>
        <v>5-2차</v>
      </c>
      <c r="D10815" s="1" t="str">
        <f>"9826W6325S"</f>
        <v>9826W6325S</v>
      </c>
      <c r="E10815" s="1" t="s">
        <v>10</v>
      </c>
      <c r="F10815" s="1" t="str">
        <f>"fde3:102:1302:2e00:0:0:0:6"</f>
        <v>fde3:102:1302:2e00:0:0:0:6</v>
      </c>
      <c r="G10815" s="1" t="str">
        <f>"9826W632"</f>
        <v>9826W632</v>
      </c>
      <c r="H10815" s="1" t="str">
        <f>"천연지 3L2R11R1"</f>
        <v>천연지 3L2R11R1</v>
      </c>
      <c r="I10815" s="1" t="s">
        <v>15</v>
      </c>
      <c r="J10815" s="1" t="str">
        <f>"33/33"</f>
        <v>33/33</v>
      </c>
      <c r="K10815" s="1" t="str">
        <f>"2026-07-29 14:21:49"</f>
        <v>2026-07-29 14:21:49</v>
      </c>
      <c r="L10815" s="1" t="str">
        <f>"2023-07-28 10:53:47"</f>
        <v>2023-07-28 10:53:47</v>
      </c>
      <c r="M10815" s="1" t="s">
        <v>45</v>
      </c>
      <c r="N10815" s="1" t="s">
        <v>38</v>
      </c>
      <c r="O10815" s="1" t="s">
        <v>46</v>
      </c>
    </row>
    <row r="10816" spans="2:15" x14ac:dyDescent="0.3">
      <c r="B10816" s="1" t="s">
        <v>21</v>
      </c>
      <c r="C10816" s="1" t="str">
        <f>"5-2차"</f>
        <v>5-2차</v>
      </c>
      <c r="D10816" s="1" t="str">
        <f>"9826W6715S"</f>
        <v>9826W6715S</v>
      </c>
      <c r="E10816" s="1" t="s">
        <v>10</v>
      </c>
      <c r="F10816" s="1" t="str">
        <f>"fde3:102:1302:2b00:0:0:0:5"</f>
        <v>fde3:102:1302:2b00:0:0:0:5</v>
      </c>
      <c r="G10816" s="1" t="str">
        <f>"9826W671"</f>
        <v>9826W671</v>
      </c>
      <c r="H10816" s="1" t="str">
        <f>"천연지 3R9L5"</f>
        <v>천연지 3R9L5</v>
      </c>
      <c r="I10816" s="1" t="s">
        <v>15</v>
      </c>
      <c r="J10816" s="1" t="str">
        <f>"19/19"</f>
        <v>19/19</v>
      </c>
      <c r="K10816" s="1" t="str">
        <f>"2026-07-29 14:21:15"</f>
        <v>2026-07-29 14:21:15</v>
      </c>
      <c r="L10816" s="1" t="str">
        <f>"2023-08-02 09:27:19"</f>
        <v>2023-08-02 09:27:19</v>
      </c>
      <c r="M10816" s="1" t="s">
        <v>45</v>
      </c>
      <c r="N10816" s="1" t="s">
        <v>38</v>
      </c>
      <c r="O10816" s="1" t="s">
        <v>46</v>
      </c>
    </row>
    <row r="10817" spans="2:15" x14ac:dyDescent="0.3">
      <c r="B10817" s="1" t="s">
        <v>21</v>
      </c>
      <c r="C10817" s="1" t="str">
        <f>"5-2차"</f>
        <v>5-2차</v>
      </c>
      <c r="D10817" s="1" t="str">
        <f>"9826W6735S"</f>
        <v>9826W6735S</v>
      </c>
      <c r="E10817" s="1" t="s">
        <v>10</v>
      </c>
      <c r="F10817" s="1" t="str">
        <f>"fde3:102:1302:2b00:0:0:0:10"</f>
        <v>fde3:102:1302:2b00:0:0:0:10</v>
      </c>
      <c r="G10817" s="1" t="str">
        <f>"9826W673"</f>
        <v>9826W673</v>
      </c>
      <c r="H10817" s="1" t="str">
        <f>"천연지 3R9L6"</f>
        <v>천연지 3R9L6</v>
      </c>
      <c r="I10817" s="1" t="s">
        <v>15</v>
      </c>
      <c r="J10817" s="1" t="str">
        <f>"34/34"</f>
        <v>34/34</v>
      </c>
      <c r="K10817" s="1" t="str">
        <f>"2026-07-29 14:21:45"</f>
        <v>2026-07-29 14:21:45</v>
      </c>
      <c r="L10817" s="1" t="str">
        <f>"2024-01-26 14:08:54"</f>
        <v>2024-01-26 14:08:54</v>
      </c>
      <c r="M10817" s="1" t="s">
        <v>45</v>
      </c>
      <c r="N10817" s="1" t="s">
        <v>38</v>
      </c>
      <c r="O10817" s="1" t="s">
        <v>46</v>
      </c>
    </row>
    <row r="10818" spans="2:15" x14ac:dyDescent="0.3">
      <c r="B10818" s="1" t="s">
        <v>21</v>
      </c>
      <c r="C10818" s="1" t="str">
        <f>"5-1차"</f>
        <v>5-1차</v>
      </c>
      <c r="D10818" s="1" t="str">
        <f>"9826W7315S"</f>
        <v>9826W7315S</v>
      </c>
      <c r="E10818" s="1" t="s">
        <v>10</v>
      </c>
      <c r="F10818" s="1" t="str">
        <f>"fde3:102:1302:2e00:0:0:0:2"</f>
        <v>fde3:102:1302:2e00:0:0:0:2</v>
      </c>
      <c r="G10818" s="1" t="str">
        <f>"9826W731"</f>
        <v>9826W731</v>
      </c>
      <c r="H10818" s="1" t="str">
        <f>"천연지 3L2R7R2"</f>
        <v>천연지 3L2R7R2</v>
      </c>
      <c r="I10818" s="1" t="s">
        <v>15</v>
      </c>
      <c r="J10818" s="1" t="str">
        <f>"37/37"</f>
        <v>37/37</v>
      </c>
      <c r="K10818" s="1" t="str">
        <f>"2026-07-29 14:21:34"</f>
        <v>2026-07-29 14:21:34</v>
      </c>
      <c r="L10818" s="1" t="str">
        <f>"2022-12-06 17:57:04"</f>
        <v>2022-12-06 17:57:04</v>
      </c>
      <c r="M10818" s="1" t="s">
        <v>45</v>
      </c>
      <c r="N10818" s="1" t="s">
        <v>38</v>
      </c>
      <c r="O10818" s="1" t="s">
        <v>46</v>
      </c>
    </row>
    <row r="10819" spans="2:15" x14ac:dyDescent="0.3">
      <c r="B10819" s="1" t="s">
        <v>21</v>
      </c>
      <c r="C10819" s="1" t="str">
        <f>"5-2차"</f>
        <v>5-2차</v>
      </c>
      <c r="D10819" s="1" t="str">
        <f>"9826W7715M"</f>
        <v>9826W7715M</v>
      </c>
      <c r="E10819" s="1" t="s">
        <v>10</v>
      </c>
      <c r="F10819" s="1" t="str">
        <f>"fde3:102:1302:2b00:0:0:0:4"</f>
        <v>fde3:102:1302:2b00:0:0:0:4</v>
      </c>
      <c r="G10819" s="1" t="str">
        <f>"9826W771"</f>
        <v>9826W771</v>
      </c>
      <c r="H10819" s="1" t="str">
        <f>"천연지 3R9L4"</f>
        <v>천연지 3R9L4</v>
      </c>
      <c r="I10819" s="1" t="s">
        <v>15</v>
      </c>
      <c r="J10819" s="1" t="str">
        <f>"32/32"</f>
        <v>32/32</v>
      </c>
      <c r="K10819" s="1" t="str">
        <f>"2026-07-29 14:21:45"</f>
        <v>2026-07-29 14:21:45</v>
      </c>
      <c r="L10819" s="1" t="str">
        <f>"2023-08-24 11:05:52"</f>
        <v>2023-08-24 11:05:52</v>
      </c>
      <c r="M10819" s="1" t="s">
        <v>45</v>
      </c>
      <c r="N10819" s="1" t="s">
        <v>38</v>
      </c>
      <c r="O10819" s="1" t="s">
        <v>46</v>
      </c>
    </row>
    <row r="10820" spans="2:15" x14ac:dyDescent="0.3">
      <c r="B10820" s="1" t="s">
        <v>21</v>
      </c>
      <c r="C10820" s="1" t="str">
        <f>"5-2차"</f>
        <v>5-2차</v>
      </c>
      <c r="D10820" s="1" t="str">
        <f>"9826W7925S"</f>
        <v>9826W7925S</v>
      </c>
      <c r="E10820" s="1" t="s">
        <v>10</v>
      </c>
      <c r="F10820" s="1" t="str">
        <f>"fde3:102:1302:2b00:0:0:0:3"</f>
        <v>fde3:102:1302:2b00:0:0:0:3</v>
      </c>
      <c r="G10820" s="1" t="str">
        <f>"9826W792"</f>
        <v>9826W792</v>
      </c>
      <c r="H10820" s="1" t="str">
        <f>"천연지 3R9L2"</f>
        <v>천연지 3R9L2</v>
      </c>
      <c r="I10820" s="1" t="s">
        <v>15</v>
      </c>
      <c r="J10820" s="1" t="str">
        <f>"47/48"</f>
        <v>47/48</v>
      </c>
      <c r="K10820" s="1" t="str">
        <f>"2026-07-29 14:21:34"</f>
        <v>2026-07-29 14:21:34</v>
      </c>
      <c r="L10820" s="1" t="str">
        <f>"2023-07-28 12:25:50"</f>
        <v>2023-07-28 12:25:50</v>
      </c>
      <c r="M10820" s="1" t="s">
        <v>45</v>
      </c>
      <c r="N10820" s="1" t="s">
        <v>38</v>
      </c>
      <c r="O10820" s="1" t="s">
        <v>46</v>
      </c>
    </row>
    <row r="10821" spans="2:15" x14ac:dyDescent="0.3">
      <c r="B10821" s="1" t="s">
        <v>21</v>
      </c>
      <c r="C10821" s="1" t="str">
        <f>"5-1차"</f>
        <v>5-1차</v>
      </c>
      <c r="D10821" s="1" t="str">
        <f>"9826W8235M"</f>
        <v>9826W8235M</v>
      </c>
      <c r="E10821" s="1" t="s">
        <v>10</v>
      </c>
      <c r="F10821" s="1" t="str">
        <f>"fde3:102:1302:2e00:0:0:0:3"</f>
        <v>fde3:102:1302:2e00:0:0:0:3</v>
      </c>
      <c r="G10821" s="1" t="str">
        <f>"9826W823"</f>
        <v>9826W823</v>
      </c>
      <c r="H10821" s="1" t="str">
        <f>"천연지 3L2R8L1"</f>
        <v>천연지 3L2R8L1</v>
      </c>
      <c r="I10821" s="1" t="s">
        <v>15</v>
      </c>
      <c r="J10821" s="1" t="str">
        <f>"27/27"</f>
        <v>27/27</v>
      </c>
      <c r="K10821" s="1" t="str">
        <f>"2026-07-29 14:21:35"</f>
        <v>2026-07-29 14:21:35</v>
      </c>
      <c r="L10821" s="1" t="str">
        <f>"2022-12-06 17:49:03"</f>
        <v>2022-12-06 17:49:03</v>
      </c>
      <c r="M10821" s="1" t="s">
        <v>45</v>
      </c>
      <c r="N10821" s="1" t="s">
        <v>38</v>
      </c>
      <c r="O10821" s="1" t="s">
        <v>46</v>
      </c>
    </row>
    <row r="10822" spans="2:15" x14ac:dyDescent="0.3">
      <c r="B10822" s="1" t="s">
        <v>21</v>
      </c>
      <c r="C10822" s="1" t="str">
        <f>"5-1차"</f>
        <v>5-1차</v>
      </c>
      <c r="D10822" s="1" t="str">
        <f>"9826W8415M"</f>
        <v>9826W8415M</v>
      </c>
      <c r="E10822" s="1" t="s">
        <v>10</v>
      </c>
      <c r="F10822" s="1" t="str">
        <f>"fde3:102:1302:2e00:0:0:0:4"</f>
        <v>fde3:102:1302:2e00:0:0:0:4</v>
      </c>
      <c r="G10822" s="1" t="str">
        <f>"9826W841"</f>
        <v>9826W841</v>
      </c>
      <c r="H10822" s="1" t="str">
        <f>"천연지 3L2R4R1"</f>
        <v>천연지 3L2R4R1</v>
      </c>
      <c r="I10822" s="1" t="s">
        <v>15</v>
      </c>
      <c r="J10822" s="1" t="str">
        <f>"39/39"</f>
        <v>39/39</v>
      </c>
      <c r="K10822" s="1" t="str">
        <f>"2026-07-29 14:21:35"</f>
        <v>2026-07-29 14:21:35</v>
      </c>
      <c r="L10822" s="1" t="str">
        <f>"2022-12-06 18:03:10"</f>
        <v>2022-12-06 18:03:10</v>
      </c>
      <c r="M10822" s="1" t="s">
        <v>45</v>
      </c>
      <c r="N10822" s="1" t="s">
        <v>38</v>
      </c>
      <c r="O10822" s="1" t="s">
        <v>46</v>
      </c>
    </row>
    <row r="10823" spans="2:15" x14ac:dyDescent="0.3">
      <c r="B10823" s="1" t="s">
        <v>21</v>
      </c>
      <c r="C10823" s="1" t="str">
        <f>"5-2차"</f>
        <v>5-2차</v>
      </c>
      <c r="D10823" s="1" t="str">
        <f>"9826W8425M"</f>
        <v>9826W8425M</v>
      </c>
      <c r="E10823" s="1" t="s">
        <v>10</v>
      </c>
      <c r="F10823" s="1" t="str">
        <f>"fde3:102:1302:2e00:0:0:0:7"</f>
        <v>fde3:102:1302:2e00:0:0:0:7</v>
      </c>
      <c r="G10823" s="1" t="str">
        <f>"9826W842"</f>
        <v>9826W842</v>
      </c>
      <c r="H10823" s="1" t="str">
        <f>"천연지 3L2R4R2"</f>
        <v>천연지 3L2R4R2</v>
      </c>
      <c r="I10823" s="1" t="s">
        <v>15</v>
      </c>
      <c r="J10823" s="1" t="str">
        <f>"23/23"</f>
        <v>23/23</v>
      </c>
      <c r="K10823" s="1" t="str">
        <f>"2026-07-29 14:21:34"</f>
        <v>2026-07-29 14:21:34</v>
      </c>
      <c r="L10823" s="1" t="str">
        <f>"2023-08-24 14:06:47"</f>
        <v>2023-08-24 14:06:47</v>
      </c>
      <c r="M10823" s="1" t="s">
        <v>45</v>
      </c>
      <c r="N10823" s="1" t="s">
        <v>38</v>
      </c>
      <c r="O10823" s="1" t="s">
        <v>46</v>
      </c>
    </row>
    <row r="10824" spans="2:15" x14ac:dyDescent="0.3">
      <c r="B10824" s="1" t="s">
        <v>21</v>
      </c>
      <c r="C10824" s="1" t="str">
        <f>"5-1차"</f>
        <v>5-1차</v>
      </c>
      <c r="D10824" s="1" t="str">
        <f>"9826W8615M"</f>
        <v>9826W8615M</v>
      </c>
      <c r="E10824" s="1" t="s">
        <v>10</v>
      </c>
      <c r="F10824" s="1" t="str">
        <f>"fde2:104:0:d4:0:0:0:2"</f>
        <v>fde2:104:0:d4:0:0:0:2</v>
      </c>
      <c r="G10824" s="1" t="str">
        <f>"9826W861"</f>
        <v>9826W861</v>
      </c>
      <c r="H10824" s="1" t="str">
        <f>"천연지 11"</f>
        <v>천연지 11</v>
      </c>
      <c r="I10824" s="1" t="s">
        <v>15</v>
      </c>
      <c r="J10824" s="1" t="str">
        <f>"14/14"</f>
        <v>14/14</v>
      </c>
      <c r="K10824" s="1" t="str">
        <f>"2026-07-29 14:21:46"</f>
        <v>2026-07-29 14:21:46</v>
      </c>
      <c r="L10824" s="1" t="str">
        <f>"2022-09-28 09:36:58"</f>
        <v>2022-09-28 09:36:58</v>
      </c>
      <c r="M10824" s="1" t="s">
        <v>42</v>
      </c>
      <c r="N10824" s="1" t="s">
        <v>38</v>
      </c>
      <c r="O10824" s="1" t="s">
        <v>46</v>
      </c>
    </row>
    <row r="10825" spans="2:15" x14ac:dyDescent="0.3">
      <c r="B10825" s="1" t="s">
        <v>21</v>
      </c>
      <c r="C10825" s="1" t="str">
        <f>"5-1차"</f>
        <v>5-1차</v>
      </c>
      <c r="D10825" s="1" t="str">
        <f>"9826W8625M"</f>
        <v>9826W8625M</v>
      </c>
      <c r="E10825" s="1" t="s">
        <v>10</v>
      </c>
      <c r="F10825" s="1" t="str">
        <f>"fde2:104:0:d6:0:0:0:2"</f>
        <v>fde2:104:0:d6:0:0:0:2</v>
      </c>
      <c r="G10825" s="1" t="str">
        <f>"9826W862"</f>
        <v>9826W862</v>
      </c>
      <c r="H10825" s="1" t="str">
        <f>"천연지 12"</f>
        <v>천연지 12</v>
      </c>
      <c r="I10825" s="1" t="s">
        <v>15</v>
      </c>
      <c r="J10825" s="1" t="str">
        <f>"30/42"</f>
        <v>30/42</v>
      </c>
      <c r="K10825" s="1" t="str">
        <f>"2026-07-29 14:21:47"</f>
        <v>2026-07-29 14:21:47</v>
      </c>
      <c r="L10825" s="1" t="str">
        <f>"2022-09-30 20:56:14"</f>
        <v>2022-09-30 20:56:14</v>
      </c>
      <c r="M10825" s="1" t="s">
        <v>42</v>
      </c>
      <c r="N10825" s="1" t="s">
        <v>38</v>
      </c>
      <c r="O10825" s="1" t="s">
        <v>46</v>
      </c>
    </row>
    <row r="10826" spans="2:15" x14ac:dyDescent="0.3">
      <c r="B10826" s="1" t="s">
        <v>21</v>
      </c>
      <c r="C10826" s="1" t="str">
        <f>"5-2차"</f>
        <v>5-2차</v>
      </c>
      <c r="D10826" s="1" t="str">
        <f>"9826W8915S"</f>
        <v>9826W8915S</v>
      </c>
      <c r="E10826" s="1" t="s">
        <v>10</v>
      </c>
      <c r="F10826" s="1" t="str">
        <f>"fde3:102:1302:2803:0:0:0:2"</f>
        <v>fde3:102:1302:2803:0:0:0:2</v>
      </c>
      <c r="G10826" s="1" t="str">
        <f>"9826W891"</f>
        <v>9826W891</v>
      </c>
      <c r="H10826" s="1" t="str">
        <f>"천연지 3R7L1"</f>
        <v>천연지 3R7L1</v>
      </c>
      <c r="I10826" s="1" t="s">
        <v>15</v>
      </c>
      <c r="J10826" s="1" t="str">
        <f>"31/31"</f>
        <v>31/31</v>
      </c>
      <c r="K10826" s="1" t="str">
        <f>"2026-07-29 14:21:42"</f>
        <v>2026-07-29 14:21:42</v>
      </c>
      <c r="L10826" s="1" t="str">
        <f>"2023-08-04 12:10:02"</f>
        <v>2023-08-04 12:10:02</v>
      </c>
      <c r="M10826" s="1" t="s">
        <v>45</v>
      </c>
      <c r="N10826" s="1" t="s">
        <v>38</v>
      </c>
      <c r="O10826" s="1" t="s">
        <v>46</v>
      </c>
    </row>
    <row r="10827" spans="2:15" x14ac:dyDescent="0.3">
      <c r="B10827" s="1" t="s">
        <v>21</v>
      </c>
      <c r="C10827" s="1" t="str">
        <f>"1차"</f>
        <v>1차</v>
      </c>
      <c r="D10827" s="1" t="str">
        <f>"9826W89500"</f>
        <v>9826W89500</v>
      </c>
      <c r="E10827" s="1" t="s">
        <v>10</v>
      </c>
      <c r="F10827" s="1" t="str">
        <f>"10.128.98.186"</f>
        <v>10.128.98.186</v>
      </c>
      <c r="G10827" s="1" t="str">
        <f>"9826W895"</f>
        <v>9826W895</v>
      </c>
      <c r="H10827" s="1" t="str">
        <f>"천연지 3R7"</f>
        <v>천연지 3R7</v>
      </c>
      <c r="I10827" s="1" t="s">
        <v>8</v>
      </c>
      <c r="J10827" s="1" t="str">
        <f>"21/22"</f>
        <v>21/22</v>
      </c>
      <c r="K10827" s="1" t="str">
        <f>"2026-07-29 13:18:12"</f>
        <v>2026-07-29 13:18:12</v>
      </c>
      <c r="L10827" s="1" t="str">
        <f>"2015-04-21 10:05:00"</f>
        <v>2015-04-21 10:05:00</v>
      </c>
      <c r="M10827" s="1" t="s">
        <v>45</v>
      </c>
      <c r="N10827" s="1" t="s">
        <v>38</v>
      </c>
      <c r="O10827" s="1" t="s">
        <v>46</v>
      </c>
    </row>
    <row r="10828" spans="2:15" x14ac:dyDescent="0.3">
      <c r="B10828" s="1" t="s">
        <v>21</v>
      </c>
      <c r="C10828" s="1" t="str">
        <f>"5-2차"</f>
        <v>5-2차</v>
      </c>
      <c r="D10828" s="1" t="str">
        <f>"9826W9315S"</f>
        <v>9826W9315S</v>
      </c>
      <c r="E10828" s="1" t="s">
        <v>10</v>
      </c>
      <c r="F10828" s="1" t="str">
        <f>"fde3:102:1302:2e00:0:0:0:9"</f>
        <v>fde3:102:1302:2e00:0:0:0:9</v>
      </c>
      <c r="G10828" s="1" t="str">
        <f>"9826W931"</f>
        <v>9826W931</v>
      </c>
      <c r="H10828" s="1" t="str">
        <f>"천연지 3L2R7"</f>
        <v>천연지 3L2R7</v>
      </c>
      <c r="I10828" s="1" t="s">
        <v>15</v>
      </c>
      <c r="J10828" s="1" t="str">
        <f>"40/40"</f>
        <v>40/40</v>
      </c>
      <c r="K10828" s="1" t="str">
        <f>"2026-07-29 14:21:34"</f>
        <v>2026-07-29 14:21:34</v>
      </c>
      <c r="L10828" s="1" t="str">
        <f>"2023-08-02 10:57:42"</f>
        <v>2023-08-02 10:57:42</v>
      </c>
      <c r="M10828" s="1" t="s">
        <v>45</v>
      </c>
      <c r="N10828" s="1" t="s">
        <v>38</v>
      </c>
      <c r="O10828" s="1" t="s">
        <v>46</v>
      </c>
    </row>
    <row r="10829" spans="2:15" x14ac:dyDescent="0.3">
      <c r="B10829" s="1" t="s">
        <v>21</v>
      </c>
      <c r="C10829" s="1" t="str">
        <f>"5-2차"</f>
        <v>5-2차</v>
      </c>
      <c r="D10829" s="1" t="str">
        <f>"9826W9435S"</f>
        <v>9826W9435S</v>
      </c>
      <c r="E10829" s="1" t="s">
        <v>10</v>
      </c>
      <c r="F10829" s="1" t="str">
        <f>"fde3:102:1302:2e00:0:0:0:8"</f>
        <v>fde3:102:1302:2e00:0:0:0:8</v>
      </c>
      <c r="G10829" s="1" t="str">
        <f>"9826W943"</f>
        <v>9826W943</v>
      </c>
      <c r="H10829" s="1" t="str">
        <f>"천연지 3L2R5"</f>
        <v>천연지 3L2R5</v>
      </c>
      <c r="I10829" s="1" t="s">
        <v>15</v>
      </c>
      <c r="J10829" s="1" t="str">
        <f>"58/58"</f>
        <v>58/58</v>
      </c>
      <c r="K10829" s="1" t="str">
        <f>"2026-07-29 14:21:46"</f>
        <v>2026-07-29 14:21:46</v>
      </c>
      <c r="L10829" s="1" t="str">
        <f>"2023-08-02 11:31:22"</f>
        <v>2023-08-02 11:31:22</v>
      </c>
      <c r="M10829" s="1" t="s">
        <v>45</v>
      </c>
      <c r="N10829" s="1" t="s">
        <v>38</v>
      </c>
      <c r="O10829" s="1" t="s">
        <v>46</v>
      </c>
    </row>
    <row r="10830" spans="2:15" x14ac:dyDescent="0.3">
      <c r="B10830" s="1" t="s">
        <v>21</v>
      </c>
      <c r="C10830" s="1" t="str">
        <f>"5-2차"</f>
        <v>5-2차</v>
      </c>
      <c r="D10830" s="1" t="str">
        <f>"9826W9625M"</f>
        <v>9826W9625M</v>
      </c>
      <c r="E10830" s="1" t="s">
        <v>10</v>
      </c>
      <c r="F10830" s="1" t="str">
        <f>"fde3:102:1302:2b00:0:0:0:2"</f>
        <v>fde3:102:1302:2b00:0:0:0:2</v>
      </c>
      <c r="G10830" s="1" t="str">
        <f>"9826W962"</f>
        <v>9826W962</v>
      </c>
      <c r="H10830" s="1" t="str">
        <f>"천연지 10"</f>
        <v>천연지 10</v>
      </c>
      <c r="I10830" s="1" t="s">
        <v>15</v>
      </c>
      <c r="J10830" s="1" t="str">
        <f>"185/186"</f>
        <v>185/186</v>
      </c>
      <c r="K10830" s="1" t="str">
        <f>"2026-07-29 14:21:46"</f>
        <v>2026-07-29 14:21:46</v>
      </c>
      <c r="L10830" s="1" t="str">
        <f>"2023-08-24 11:25:48"</f>
        <v>2023-08-24 11:25:48</v>
      </c>
      <c r="M10830" s="1" t="s">
        <v>45</v>
      </c>
      <c r="N10830" s="1" t="s">
        <v>38</v>
      </c>
      <c r="O10830" s="1" t="s">
        <v>46</v>
      </c>
    </row>
    <row r="10831" spans="2:15" x14ac:dyDescent="0.3">
      <c r="B10831" s="1" t="s">
        <v>21</v>
      </c>
      <c r="C10831" s="1" t="str">
        <f>"5-1차"</f>
        <v>5-1차</v>
      </c>
      <c r="D10831" s="1" t="str">
        <f>"9826X0515S"</f>
        <v>9826X0515S</v>
      </c>
      <c r="E10831" s="1" t="s">
        <v>10</v>
      </c>
      <c r="F10831" s="1" t="str">
        <f>"fde2:104:0:193:0:0:0:2"</f>
        <v>fde2:104:0:193:0:0:0:2</v>
      </c>
      <c r="G10831" s="1" t="str">
        <f>"9826X051"</f>
        <v>9826X051</v>
      </c>
      <c r="H10831" s="1" t="str">
        <f>"천연지 3L2R1"</f>
        <v>천연지 3L2R1</v>
      </c>
      <c r="I10831" s="1" t="s">
        <v>15</v>
      </c>
      <c r="J10831" s="1" t="str">
        <f>"52/52"</f>
        <v>52/52</v>
      </c>
      <c r="K10831" s="1" t="str">
        <f>"2026-07-29 14:21:51"</f>
        <v>2026-07-29 14:21:51</v>
      </c>
      <c r="L10831" s="1" t="str">
        <f>"2022-12-23 15:47:47"</f>
        <v>2022-12-23 15:47:47</v>
      </c>
      <c r="M10831" s="1" t="s">
        <v>42</v>
      </c>
      <c r="N10831" s="1" t="s">
        <v>38</v>
      </c>
      <c r="O10831" s="1" t="s">
        <v>46</v>
      </c>
    </row>
    <row r="10832" spans="2:15" x14ac:dyDescent="0.3">
      <c r="B10832" s="1" t="s">
        <v>21</v>
      </c>
      <c r="C10832" s="1" t="str">
        <f>"5-2차"</f>
        <v>5-2차</v>
      </c>
      <c r="D10832" s="1" t="str">
        <f>"9826X0645M"</f>
        <v>9826X0645M</v>
      </c>
      <c r="E10832" s="1" t="s">
        <v>10</v>
      </c>
      <c r="F10832" s="1" t="str">
        <f>"fde3:102:1302:2b00:0:0:0:7"</f>
        <v>fde3:102:1302:2b00:0:0:0:7</v>
      </c>
      <c r="G10832" s="1" t="str">
        <f>"9826X064"</f>
        <v>9826X064</v>
      </c>
      <c r="H10832" s="1" t="str">
        <f>"천연지 8"</f>
        <v>천연지 8</v>
      </c>
      <c r="I10832" s="1" t="s">
        <v>15</v>
      </c>
      <c r="J10832" s="1" t="str">
        <f>"49/53"</f>
        <v>49/53</v>
      </c>
      <c r="K10832" s="1" t="str">
        <f>"2026-07-29 14:21:46"</f>
        <v>2026-07-29 14:21:46</v>
      </c>
      <c r="L10832" s="1" t="str">
        <f>"2023-08-24 11:26:42"</f>
        <v>2023-08-24 11:26:42</v>
      </c>
      <c r="M10832" s="1" t="s">
        <v>45</v>
      </c>
      <c r="N10832" s="1" t="s">
        <v>38</v>
      </c>
      <c r="O10832" s="1" t="s">
        <v>46</v>
      </c>
    </row>
    <row r="10833" spans="2:15" x14ac:dyDescent="0.3">
      <c r="B10833" s="1" t="s">
        <v>21</v>
      </c>
      <c r="C10833" s="1" t="str">
        <f>"5-2차"</f>
        <v>5-2차</v>
      </c>
      <c r="D10833" s="1" t="str">
        <f>"9826X0655M"</f>
        <v>9826X0655M</v>
      </c>
      <c r="E10833" s="1" t="s">
        <v>10</v>
      </c>
      <c r="F10833" s="1" t="str">
        <f>"fde3:102:1302:2b00:0:0:0:6"</f>
        <v>fde3:102:1302:2b00:0:0:0:6</v>
      </c>
      <c r="G10833" s="1" t="str">
        <f>"9826X065"</f>
        <v>9826X065</v>
      </c>
      <c r="H10833" s="1" t="str">
        <f>"천연지 5"</f>
        <v>천연지 5</v>
      </c>
      <c r="I10833" s="1" t="s">
        <v>15</v>
      </c>
      <c r="J10833" s="1" t="str">
        <f>"70/71"</f>
        <v>70/71</v>
      </c>
      <c r="K10833" s="1" t="str">
        <f>"2026-07-29 14:21:49"</f>
        <v>2026-07-29 14:21:49</v>
      </c>
      <c r="L10833" s="1" t="str">
        <f>"2023-08-24 11:27:25"</f>
        <v>2023-08-24 11:27:25</v>
      </c>
      <c r="M10833" s="1" t="s">
        <v>45</v>
      </c>
      <c r="N10833" s="1" t="s">
        <v>38</v>
      </c>
      <c r="O10833" s="1" t="s">
        <v>46</v>
      </c>
    </row>
    <row r="10834" spans="2:15" x14ac:dyDescent="0.3">
      <c r="B10834" s="1" t="s">
        <v>21</v>
      </c>
      <c r="C10834" s="1" t="str">
        <f>"1차"</f>
        <v>1차</v>
      </c>
      <c r="D10834" s="1" t="str">
        <f>"9826X08100"</f>
        <v>9826X08100</v>
      </c>
      <c r="E10834" s="1" t="s">
        <v>10</v>
      </c>
      <c r="F10834" s="1" t="str">
        <f>"10.128.98.178"</f>
        <v>10.128.98.178</v>
      </c>
      <c r="G10834" s="1" t="str">
        <f>"9826X081"</f>
        <v>9826X081</v>
      </c>
      <c r="H10834" s="1" t="str">
        <f>"천연지 3R5R1"</f>
        <v>천연지 3R5R1</v>
      </c>
      <c r="I10834" s="1" t="s">
        <v>8</v>
      </c>
      <c r="J10834" s="1" t="str">
        <f>"5/7"</f>
        <v>5/7</v>
      </c>
      <c r="K10834" s="1" t="str">
        <f>"2026-07-29 13:18:12"</f>
        <v>2026-07-29 13:18:12</v>
      </c>
      <c r="L10834" s="1" t="str">
        <f>"2015-03-31 17:43:32"</f>
        <v>2015-03-31 17:43:32</v>
      </c>
      <c r="M10834" s="1" t="s">
        <v>45</v>
      </c>
      <c r="N10834" s="1" t="s">
        <v>38</v>
      </c>
      <c r="O10834" s="1" t="s">
        <v>46</v>
      </c>
    </row>
    <row r="10835" spans="2:15" x14ac:dyDescent="0.3">
      <c r="B10835" s="1" t="s">
        <v>21</v>
      </c>
      <c r="C10835" s="1" t="str">
        <f>"5-1차"</f>
        <v>5-1차</v>
      </c>
      <c r="D10835" s="1" t="str">
        <f>"9826X0835M"</f>
        <v>9826X0835M</v>
      </c>
      <c r="E10835" s="1" t="s">
        <v>10</v>
      </c>
      <c r="F10835" s="1" t="str">
        <f>"fde3:102:1302:2d00:0:0:0:2"</f>
        <v>fde3:102:1302:2d00:0:0:0:2</v>
      </c>
      <c r="G10835" s="1" t="str">
        <f>"9826X083"</f>
        <v>9826X083</v>
      </c>
      <c r="H10835" s="1" t="str">
        <f>"천연지 3R4"</f>
        <v>천연지 3R4</v>
      </c>
      <c r="I10835" s="1" t="s">
        <v>15</v>
      </c>
      <c r="J10835" s="1" t="str">
        <f>"31/31"</f>
        <v>31/31</v>
      </c>
      <c r="K10835" s="1" t="str">
        <f>"2026-07-29 14:21:47"</f>
        <v>2026-07-29 14:21:47</v>
      </c>
      <c r="L10835" s="1" t="str">
        <f>"2022-12-06 17:41:08"</f>
        <v>2022-12-06 17:41:08</v>
      </c>
      <c r="M10835" s="1" t="s">
        <v>45</v>
      </c>
      <c r="N10835" s="1" t="s">
        <v>38</v>
      </c>
      <c r="O10835" s="1" t="s">
        <v>46</v>
      </c>
    </row>
    <row r="10836" spans="2:15" x14ac:dyDescent="0.3">
      <c r="B10836" s="1" t="s">
        <v>21</v>
      </c>
      <c r="C10836" s="1" t="str">
        <f>"6차"</f>
        <v>6차</v>
      </c>
      <c r="D10836" s="1" t="str">
        <f>"9826X1716S"</f>
        <v>9826X1716S</v>
      </c>
      <c r="E10836" s="1" t="s">
        <v>10</v>
      </c>
      <c r="F10836" s="1" t="str">
        <f>"fde1:103:4:c84d:0:0:0:2"</f>
        <v>fde1:103:4:c84d:0:0:0:2</v>
      </c>
      <c r="G10836" s="1" t="str">
        <f>"9826X171"</f>
        <v>9826X171</v>
      </c>
      <c r="H10836" s="1" t="str">
        <f>"천연지 3R2R1"</f>
        <v>천연지 3R2R1</v>
      </c>
      <c r="I10836" s="1" t="s">
        <v>15</v>
      </c>
      <c r="J10836" s="1" t="str">
        <f>"41/42"</f>
        <v>41/42</v>
      </c>
      <c r="K10836" s="1" t="str">
        <f>"2026-07-29 14:21:47"</f>
        <v>2026-07-29 14:21:47</v>
      </c>
      <c r="L10836" s="1" t="str">
        <f>"2025-01-20 14:06:33"</f>
        <v>2025-01-20 14:06:33</v>
      </c>
      <c r="M10836" s="1" t="s">
        <v>4</v>
      </c>
      <c r="N10836" s="1" t="s">
        <v>38</v>
      </c>
      <c r="O10836" s="1" t="s">
        <v>46</v>
      </c>
    </row>
    <row r="10837" spans="2:15" x14ac:dyDescent="0.3">
      <c r="B10837" s="1" t="s">
        <v>21</v>
      </c>
      <c r="C10837" s="1" t="str">
        <f>"4차"</f>
        <v>4차</v>
      </c>
      <c r="D10837" s="1" t="str">
        <f>"9826X32739"</f>
        <v>9826X32739</v>
      </c>
      <c r="E10837" s="1" t="s">
        <v>10</v>
      </c>
      <c r="F10837" s="1" t="str">
        <f>"10.12.131.211"</f>
        <v>10.12.131.211</v>
      </c>
      <c r="G10837" s="1" t="str">
        <f>"9826X327"</f>
        <v>9826X327</v>
      </c>
      <c r="H10837" s="1" t="str">
        <f>"냉천 1"</f>
        <v>냉천 1</v>
      </c>
      <c r="I10837" s="1" t="s">
        <v>17</v>
      </c>
      <c r="J10837" s="1" t="str">
        <f>"27/27"</f>
        <v>27/27</v>
      </c>
      <c r="K10837" s="1" t="str">
        <f>"2026-07-29 13:18:11"</f>
        <v>2026-07-29 13:18:11</v>
      </c>
      <c r="L10837" s="1" t="str">
        <f>"2018-10-16 13:25:58"</f>
        <v>2018-10-16 13:25:58</v>
      </c>
      <c r="M10837" s="1" t="s">
        <v>0</v>
      </c>
      <c r="N10837" s="1" t="s">
        <v>38</v>
      </c>
      <c r="O10837" s="1" t="s">
        <v>46</v>
      </c>
    </row>
    <row r="10838" spans="2:15" x14ac:dyDescent="0.3">
      <c r="B10838" s="1" t="s">
        <v>21</v>
      </c>
      <c r="C10838" s="1" t="str">
        <f>"4차"</f>
        <v>4차</v>
      </c>
      <c r="D10838" s="1" t="str">
        <f>"9826X63439"</f>
        <v>9826X63439</v>
      </c>
      <c r="E10838" s="1" t="s">
        <v>10</v>
      </c>
      <c r="F10838" s="1" t="str">
        <f>"10.12.136.197"</f>
        <v>10.12.136.197</v>
      </c>
      <c r="G10838" s="1" t="str">
        <f>"9826X634"</f>
        <v>9826X634</v>
      </c>
      <c r="H10838" s="1" t="str">
        <f>"현저 12"</f>
        <v>현저 12</v>
      </c>
      <c r="I10838" s="1" t="s">
        <v>17</v>
      </c>
      <c r="J10838" s="1" t="str">
        <f>"12/13"</f>
        <v>12/13</v>
      </c>
      <c r="K10838" s="1" t="str">
        <f>"2026-07-29 13:18:13"</f>
        <v>2026-07-29 13:18:13</v>
      </c>
      <c r="L10838" s="1" t="str">
        <f>"2018-10-16 12:52:42"</f>
        <v>2018-10-16 12:52:42</v>
      </c>
      <c r="M10838" s="1" t="s">
        <v>0</v>
      </c>
      <c r="N10838" s="1" t="s">
        <v>38</v>
      </c>
      <c r="O10838" s="1" t="s">
        <v>46</v>
      </c>
    </row>
    <row r="10839" spans="2:15" x14ac:dyDescent="0.3">
      <c r="B10839" s="1" t="s">
        <v>21</v>
      </c>
      <c r="C10839" s="1" t="str">
        <f>"1차"</f>
        <v>1차</v>
      </c>
      <c r="D10839" s="1" t="str">
        <f>"9826Y02200"</f>
        <v>9826Y02200</v>
      </c>
      <c r="E10839" s="1" t="s">
        <v>10</v>
      </c>
      <c r="F10839" s="1" t="str">
        <f>"10.128.33.69"</f>
        <v>10.128.33.69</v>
      </c>
      <c r="G10839" s="1" t="str">
        <f>"9826Y022"</f>
        <v>9826Y022</v>
      </c>
      <c r="H10839" s="1" t="str">
        <f>"충정간 25L9L4R1"</f>
        <v>충정간 25L9L4R1</v>
      </c>
      <c r="I10839" s="1" t="s">
        <v>8</v>
      </c>
      <c r="J10839" s="1" t="str">
        <f>"7/7"</f>
        <v>7/7</v>
      </c>
      <c r="K10839" s="1" t="str">
        <f>"2026-07-29 13:18:12"</f>
        <v>2026-07-29 13:18:12</v>
      </c>
      <c r="L10839" s="1" t="str">
        <f>"2014-12-18 17:58:09"</f>
        <v>2014-12-18 17:58:09</v>
      </c>
      <c r="M10839" s="1" t="s">
        <v>45</v>
      </c>
      <c r="N10839" s="1" t="s">
        <v>38</v>
      </c>
      <c r="O10839" s="1" t="s">
        <v>46</v>
      </c>
    </row>
    <row r="10840" spans="2:15" x14ac:dyDescent="0.3">
      <c r="B10840" s="1" t="s">
        <v>21</v>
      </c>
      <c r="C10840" s="1" t="str">
        <f>"1차"</f>
        <v>1차</v>
      </c>
      <c r="D10840" s="1" t="str">
        <f>"9826Y12100"</f>
        <v>9826Y12100</v>
      </c>
      <c r="E10840" s="1" t="s">
        <v>10</v>
      </c>
      <c r="F10840" s="1" t="str">
        <f>"10.128.32.245"</f>
        <v>10.128.32.245</v>
      </c>
      <c r="G10840" s="1" t="str">
        <f>"9826Y121"</f>
        <v>9826Y121</v>
      </c>
      <c r="H10840" s="1" t="str">
        <f>"충정간 25L9L6R1"</f>
        <v>충정간 25L9L6R1</v>
      </c>
      <c r="I10840" s="1" t="s">
        <v>8</v>
      </c>
      <c r="J10840" s="1" t="str">
        <f>"44/44"</f>
        <v>44/44</v>
      </c>
      <c r="K10840" s="1" t="str">
        <f>"2026-07-29 13:18:12"</f>
        <v>2026-07-29 13:18:12</v>
      </c>
      <c r="L10840" s="1" t="str">
        <f>"2014-12-18 17:27:46"</f>
        <v>2014-12-18 17:27:46</v>
      </c>
      <c r="M10840" s="1" t="s">
        <v>45</v>
      </c>
      <c r="N10840" s="1" t="s">
        <v>38</v>
      </c>
      <c r="O10840" s="1" t="s">
        <v>46</v>
      </c>
    </row>
    <row r="10841" spans="2:15" x14ac:dyDescent="0.3">
      <c r="B10841" s="1" t="s">
        <v>21</v>
      </c>
      <c r="C10841" s="1" t="str">
        <f>"6차"</f>
        <v>6차</v>
      </c>
      <c r="D10841" s="1" t="str">
        <f>"9826Y1226S"</f>
        <v>9826Y1226S</v>
      </c>
      <c r="E10841" s="1" t="s">
        <v>10</v>
      </c>
      <c r="F10841" s="1" t="str">
        <f>"fde1:103:4:920d:0:0:0:2"</f>
        <v>fde1:103:4:920d:0:0:0:2</v>
      </c>
      <c r="G10841" s="1" t="str">
        <f>"9826Y122"</f>
        <v>9826Y122</v>
      </c>
      <c r="H10841" s="1" t="str">
        <f>"충정간 25L9L6R2"</f>
        <v>충정간 25L9L6R2</v>
      </c>
      <c r="I10841" s="1" t="s">
        <v>15</v>
      </c>
      <c r="J10841" s="1" t="str">
        <f>"116/122"</f>
        <v>116/122</v>
      </c>
      <c r="K10841" s="1" t="str">
        <f>"2026-07-29 14:21:47"</f>
        <v>2026-07-29 14:21:47</v>
      </c>
      <c r="L10841" s="1" t="str">
        <f>"2025-02-21 17:17:31"</f>
        <v>2025-02-21 17:17:31</v>
      </c>
      <c r="M10841" s="1" t="s">
        <v>4</v>
      </c>
      <c r="N10841" s="1" t="s">
        <v>38</v>
      </c>
      <c r="O10841" s="1" t="s">
        <v>46</v>
      </c>
    </row>
    <row r="10842" spans="2:15" x14ac:dyDescent="0.3">
      <c r="B10842" s="1" t="s">
        <v>21</v>
      </c>
      <c r="C10842" s="1" t="str">
        <f>"1차"</f>
        <v>1차</v>
      </c>
      <c r="D10842" s="1" t="str">
        <f>"9826Y13100"</f>
        <v>9826Y13100</v>
      </c>
      <c r="E10842" s="1" t="s">
        <v>10</v>
      </c>
      <c r="F10842" s="1" t="str">
        <f>"10.128.32.242"</f>
        <v>10.128.32.242</v>
      </c>
      <c r="G10842" s="1" t="str">
        <f>"9826Y131"</f>
        <v>9826Y131</v>
      </c>
      <c r="H10842" s="1" t="str">
        <f>"충정간 25L9L7"</f>
        <v>충정간 25L9L7</v>
      </c>
      <c r="I10842" s="1" t="s">
        <v>8</v>
      </c>
      <c r="J10842" s="1" t="str">
        <f>"22/22"</f>
        <v>22/22</v>
      </c>
      <c r="K10842" s="1" t="str">
        <f>"2026-07-29 13:18:12"</f>
        <v>2026-07-29 13:18:12</v>
      </c>
      <c r="L10842" s="1" t="str">
        <f>"2015-01-09 12:07:57"</f>
        <v>2015-01-09 12:07:57</v>
      </c>
      <c r="M10842" s="1" t="s">
        <v>45</v>
      </c>
      <c r="N10842" s="1" t="s">
        <v>38</v>
      </c>
      <c r="O10842" s="1" t="s">
        <v>46</v>
      </c>
    </row>
    <row r="10843" spans="2:15" x14ac:dyDescent="0.3">
      <c r="B10843" s="1" t="s">
        <v>21</v>
      </c>
      <c r="C10843" s="1" t="str">
        <f>"1차"</f>
        <v>1차</v>
      </c>
      <c r="D10843" s="1" t="str">
        <f>"9826Y13202"</f>
        <v>9826Y13202</v>
      </c>
      <c r="E10843" s="1" t="s">
        <v>10</v>
      </c>
      <c r="F10843" s="1" t="str">
        <f>"10.128.32.243"</f>
        <v>10.128.32.243</v>
      </c>
      <c r="G10843" s="1" t="str">
        <f>"9826Y132"</f>
        <v>9826Y132</v>
      </c>
      <c r="H10843" s="1" t="str">
        <f>"충정간 25L9L6"</f>
        <v>충정간 25L9L6</v>
      </c>
      <c r="I10843" s="1" t="s">
        <v>8</v>
      </c>
      <c r="J10843" s="1" t="str">
        <f>"17/19"</f>
        <v>17/19</v>
      </c>
      <c r="K10843" s="1" t="str">
        <f>"2026-07-29 13:18:12"</f>
        <v>2026-07-29 13:18:12</v>
      </c>
      <c r="L10843" s="1" t="str">
        <f>"2014-12-18 17:27:37"</f>
        <v>2014-12-18 17:27:37</v>
      </c>
      <c r="M10843" s="1" t="s">
        <v>45</v>
      </c>
      <c r="N10843" s="1" t="s">
        <v>38</v>
      </c>
      <c r="O10843" s="1" t="s">
        <v>46</v>
      </c>
    </row>
    <row r="10844" spans="2:15" x14ac:dyDescent="0.3">
      <c r="B10844" s="1" t="s">
        <v>21</v>
      </c>
      <c r="C10844" s="1" t="str">
        <f>"1차"</f>
        <v>1차</v>
      </c>
      <c r="D10844" s="1" t="str">
        <f>"9826Y23101"</f>
        <v>9826Y23101</v>
      </c>
      <c r="E10844" s="1" t="s">
        <v>10</v>
      </c>
      <c r="F10844" s="1" t="str">
        <f>"10.128.32.244"</f>
        <v>10.128.32.244</v>
      </c>
      <c r="G10844" s="1" t="str">
        <f>"9826Y231"</f>
        <v>9826Y231</v>
      </c>
      <c r="H10844" s="1" t="str">
        <f>"충정간 25L9L8"</f>
        <v>충정간 25L9L8</v>
      </c>
      <c r="I10844" s="1" t="s">
        <v>8</v>
      </c>
      <c r="J10844" s="1" t="str">
        <f>"18/18"</f>
        <v>18/18</v>
      </c>
      <c r="K10844" s="1" t="str">
        <f>"2026-07-29 13:18:12"</f>
        <v>2026-07-29 13:18:12</v>
      </c>
      <c r="L10844" s="1" t="str">
        <f>"2014-12-18 17:28:05"</f>
        <v>2014-12-18 17:28:05</v>
      </c>
      <c r="M10844" s="1" t="s">
        <v>45</v>
      </c>
      <c r="N10844" s="1" t="s">
        <v>38</v>
      </c>
      <c r="O10844" s="1" t="s">
        <v>46</v>
      </c>
    </row>
    <row r="10845" spans="2:15" x14ac:dyDescent="0.3">
      <c r="B10845" s="1" t="s">
        <v>21</v>
      </c>
      <c r="C10845" s="1" t="str">
        <f>"5-2차"</f>
        <v>5-2차</v>
      </c>
      <c r="D10845" s="1" t="str">
        <f>"9826Y2925M"</f>
        <v>9826Y2925M</v>
      </c>
      <c r="E10845" s="1" t="s">
        <v>10</v>
      </c>
      <c r="F10845" s="1" t="str">
        <f>"fde3:102:1302:2c00:0:0:0:4"</f>
        <v>fde3:102:1302:2c00:0:0:0:4</v>
      </c>
      <c r="G10845" s="1" t="str">
        <f>"9826Y292"</f>
        <v>9826Y292</v>
      </c>
      <c r="H10845" s="1" t="str">
        <f>"충정간 27R3R1"</f>
        <v>충정간 27R3R1</v>
      </c>
      <c r="I10845" s="1" t="s">
        <v>15</v>
      </c>
      <c r="J10845" s="1" t="str">
        <f>"23/23"</f>
        <v>23/23</v>
      </c>
      <c r="K10845" s="1" t="str">
        <f>"2026-07-29 14:21:47"</f>
        <v>2026-07-29 14:21:47</v>
      </c>
      <c r="L10845" s="1" t="str">
        <f>"2023-08-24 10:30:15"</f>
        <v>2023-08-24 10:30:15</v>
      </c>
      <c r="M10845" s="1" t="s">
        <v>45</v>
      </c>
      <c r="N10845" s="1" t="s">
        <v>38</v>
      </c>
      <c r="O10845" s="1" t="s">
        <v>46</v>
      </c>
    </row>
    <row r="10846" spans="2:15" x14ac:dyDescent="0.3">
      <c r="B10846" s="1" t="s">
        <v>21</v>
      </c>
      <c r="C10846" s="1" t="str">
        <f>"1차"</f>
        <v>1차</v>
      </c>
      <c r="D10846" s="1" t="str">
        <f>"9826Y33102"</f>
        <v>9826Y33102</v>
      </c>
      <c r="E10846" s="1" t="s">
        <v>10</v>
      </c>
      <c r="F10846" s="1" t="str">
        <f>"10.128.32.246"</f>
        <v>10.128.32.246</v>
      </c>
      <c r="G10846" s="1" t="str">
        <f>"9826Y331"</f>
        <v>9826Y331</v>
      </c>
      <c r="H10846" s="1" t="str">
        <f>"충정간 25L9L6R1L2"</f>
        <v>충정간 25L9L6R1L2</v>
      </c>
      <c r="I10846" s="1" t="s">
        <v>8</v>
      </c>
      <c r="J10846" s="1" t="str">
        <f>"74/74"</f>
        <v>74/74</v>
      </c>
      <c r="K10846" s="1" t="str">
        <f>"2026-07-29 13:18:12"</f>
        <v>2026-07-29 13:18:12</v>
      </c>
      <c r="L10846" s="1" t="str">
        <f>"2015-01-29 11:25:57"</f>
        <v>2015-01-29 11:25:57</v>
      </c>
      <c r="M10846" s="1" t="s">
        <v>45</v>
      </c>
      <c r="N10846" s="1" t="s">
        <v>38</v>
      </c>
      <c r="O10846" s="1" t="s">
        <v>46</v>
      </c>
    </row>
    <row r="10847" spans="2:15" x14ac:dyDescent="0.3">
      <c r="B10847" s="1" t="s">
        <v>21</v>
      </c>
      <c r="C10847" s="1" t="str">
        <f>"4차"</f>
        <v>4차</v>
      </c>
      <c r="D10847" s="1" t="str">
        <f>"9826Y40239"</f>
        <v>9826Y40239</v>
      </c>
      <c r="E10847" s="1" t="s">
        <v>10</v>
      </c>
      <c r="F10847" s="1" t="str">
        <f>"10.12.130.30"</f>
        <v>10.12.130.30</v>
      </c>
      <c r="G10847" s="1" t="str">
        <f>"9826Y402"</f>
        <v>9826Y402</v>
      </c>
      <c r="H10847" s="1" t="str">
        <f>"북아현간 7L8R4L5"</f>
        <v>북아현간 7L8R4L5</v>
      </c>
      <c r="I10847" s="1" t="s">
        <v>17</v>
      </c>
      <c r="J10847" s="1" t="str">
        <f>"33/33"</f>
        <v>33/33</v>
      </c>
      <c r="K10847" s="1" t="str">
        <f>"2026-07-29 13:18:14"</f>
        <v>2026-07-29 13:18:14</v>
      </c>
      <c r="L10847" s="1" t="str">
        <f>"2020-11-23 15:35:50"</f>
        <v>2020-11-23 15:35:50</v>
      </c>
      <c r="M10847" s="1" t="s">
        <v>0</v>
      </c>
      <c r="N10847" s="1" t="s">
        <v>38</v>
      </c>
      <c r="O10847" s="1" t="s">
        <v>46</v>
      </c>
    </row>
    <row r="10848" spans="2:15" x14ac:dyDescent="0.3">
      <c r="B10848" s="1" t="s">
        <v>21</v>
      </c>
      <c r="C10848" s="1" t="str">
        <f t="shared" ref="C10848:C10853" si="539">"1차"</f>
        <v>1차</v>
      </c>
      <c r="D10848" s="1" t="str">
        <f>"9826Y76100"</f>
        <v>9826Y76100</v>
      </c>
      <c r="E10848" s="1" t="s">
        <v>10</v>
      </c>
      <c r="F10848" s="1" t="str">
        <f>"10.128.96.250"</f>
        <v>10.128.96.250</v>
      </c>
      <c r="G10848" s="1" t="str">
        <f>"9826Y761"</f>
        <v>9826Y761</v>
      </c>
      <c r="H10848" s="1" t="str">
        <f>"충정간 18R1"</f>
        <v>충정간 18R1</v>
      </c>
      <c r="I10848" s="1" t="s">
        <v>8</v>
      </c>
      <c r="J10848" s="1" t="str">
        <f>"2/2"</f>
        <v>2/2</v>
      </c>
      <c r="K10848" s="1" t="str">
        <f>"2026-07-29 13:18:12"</f>
        <v>2026-07-29 13:18:12</v>
      </c>
      <c r="L10848" s="1" t="str">
        <f>"2014-12-30 14:27:27"</f>
        <v>2014-12-30 14:27:27</v>
      </c>
      <c r="M10848" s="1" t="s">
        <v>45</v>
      </c>
      <c r="N10848" s="1" t="s">
        <v>38</v>
      </c>
      <c r="O10848" s="1" t="s">
        <v>46</v>
      </c>
    </row>
    <row r="10849" spans="2:15" x14ac:dyDescent="0.3">
      <c r="B10849" s="1" t="s">
        <v>21</v>
      </c>
      <c r="C10849" s="1" t="str">
        <f t="shared" si="539"/>
        <v>1차</v>
      </c>
      <c r="D10849" s="1" t="str">
        <f>"9826Y78201"</f>
        <v>9826Y78201</v>
      </c>
      <c r="E10849" s="1" t="s">
        <v>10</v>
      </c>
      <c r="F10849" s="1" t="str">
        <f>"10.12.129.53"</f>
        <v>10.12.129.53</v>
      </c>
      <c r="G10849" s="1" t="str">
        <f>"9826Y782"</f>
        <v>9826Y782</v>
      </c>
      <c r="H10849" s="1" t="str">
        <f>"금화간 53L4R2"</f>
        <v>금화간 53L4R2</v>
      </c>
      <c r="I10849" s="1" t="s">
        <v>8</v>
      </c>
      <c r="J10849" s="1" t="str">
        <f>"14/16"</f>
        <v>14/16</v>
      </c>
      <c r="K10849" s="1" t="str">
        <f>"2026-07-29 13:18:13"</f>
        <v>2026-07-29 13:18:13</v>
      </c>
      <c r="L10849" s="1" t="str">
        <f>"2015-03-25 16:10:43"</f>
        <v>2015-03-25 16:10:43</v>
      </c>
      <c r="M10849" s="1" t="s">
        <v>0</v>
      </c>
      <c r="N10849" s="1" t="s">
        <v>38</v>
      </c>
      <c r="O10849" s="1" t="s">
        <v>46</v>
      </c>
    </row>
    <row r="10850" spans="2:15" x14ac:dyDescent="0.3">
      <c r="B10850" s="1" t="s">
        <v>21</v>
      </c>
      <c r="C10850" s="1" t="str">
        <f t="shared" si="539"/>
        <v>1차</v>
      </c>
      <c r="D10850" s="1" t="str">
        <f>"9826Y85201"</f>
        <v>9826Y85201</v>
      </c>
      <c r="E10850" s="1" t="s">
        <v>10</v>
      </c>
      <c r="F10850" s="1" t="str">
        <f>"10.14.3.120"</f>
        <v>10.14.3.120</v>
      </c>
      <c r="G10850" s="1" t="str">
        <f>"9826Y852"</f>
        <v>9826Y852</v>
      </c>
      <c r="H10850" s="1" t="str">
        <f>"충정간 15R1"</f>
        <v>충정간 15R1</v>
      </c>
      <c r="I10850" s="1" t="s">
        <v>8</v>
      </c>
      <c r="J10850" s="1" t="str">
        <f>"5/5"</f>
        <v>5/5</v>
      </c>
      <c r="K10850" s="1" t="str">
        <f>"2026-07-29 13:18:14"</f>
        <v>2026-07-29 13:18:14</v>
      </c>
      <c r="L10850" s="1" t="str">
        <f>"2015-01-09 17:51:14"</f>
        <v>2015-01-09 17:51:14</v>
      </c>
      <c r="M10850" s="1" t="s">
        <v>3</v>
      </c>
      <c r="N10850" s="1" t="s">
        <v>38</v>
      </c>
      <c r="O10850" s="1" t="s">
        <v>46</v>
      </c>
    </row>
    <row r="10851" spans="2:15" x14ac:dyDescent="0.3">
      <c r="B10851" s="1" t="s">
        <v>21</v>
      </c>
      <c r="C10851" s="1" t="str">
        <f t="shared" si="539"/>
        <v>1차</v>
      </c>
      <c r="D10851" s="1" t="str">
        <f>"9826Y86200"</f>
        <v>9826Y86200</v>
      </c>
      <c r="E10851" s="1" t="s">
        <v>10</v>
      </c>
      <c r="F10851" s="1" t="str">
        <f>"10.128.97.162"</f>
        <v>10.128.97.162</v>
      </c>
      <c r="G10851" s="1" t="str">
        <f>"9826Y862"</f>
        <v>9826Y862</v>
      </c>
      <c r="H10851" s="1" t="str">
        <f>"충정간 4R1L10"</f>
        <v>충정간 4R1L10</v>
      </c>
      <c r="I10851" s="1" t="s">
        <v>8</v>
      </c>
      <c r="J10851" s="1" t="str">
        <f>"1/1"</f>
        <v>1/1</v>
      </c>
      <c r="K10851" s="1" t="str">
        <f>"2026-07-29 13:18:12"</f>
        <v>2026-07-29 13:18:12</v>
      </c>
      <c r="L10851" s="1" t="str">
        <f>"2014-12-18 18:12:47"</f>
        <v>2014-12-18 18:12:47</v>
      </c>
      <c r="M10851" s="1" t="s">
        <v>45</v>
      </c>
      <c r="N10851" s="1" t="s">
        <v>38</v>
      </c>
      <c r="O10851" s="1" t="s">
        <v>46</v>
      </c>
    </row>
    <row r="10852" spans="2:15" x14ac:dyDescent="0.3">
      <c r="B10852" s="1" t="s">
        <v>21</v>
      </c>
      <c r="C10852" s="1" t="str">
        <f t="shared" si="539"/>
        <v>1차</v>
      </c>
      <c r="D10852" s="1" t="str">
        <f>"9826Y94100"</f>
        <v>9826Y94100</v>
      </c>
      <c r="E10852" s="1" t="s">
        <v>10</v>
      </c>
      <c r="F10852" s="1" t="str">
        <f>"10.128.97.146"</f>
        <v>10.128.97.146</v>
      </c>
      <c r="G10852" s="1" t="str">
        <f>"9826Y941"</f>
        <v>9826Y941</v>
      </c>
      <c r="H10852" s="1" t="str">
        <f>"충정간 14"</f>
        <v>충정간 14</v>
      </c>
      <c r="I10852" s="1" t="s">
        <v>8</v>
      </c>
      <c r="J10852" s="1" t="str">
        <f>"1/1"</f>
        <v>1/1</v>
      </c>
      <c r="K10852" s="1" t="str">
        <f>"2026-07-29 13:18:12"</f>
        <v>2026-07-29 13:18:12</v>
      </c>
      <c r="L10852" s="1" t="str">
        <f>"2014-12-18 17:28:14"</f>
        <v>2014-12-18 17:28:14</v>
      </c>
      <c r="M10852" s="1" t="s">
        <v>45</v>
      </c>
      <c r="N10852" s="1" t="s">
        <v>38</v>
      </c>
      <c r="O10852" s="1" t="s">
        <v>46</v>
      </c>
    </row>
    <row r="10853" spans="2:15" x14ac:dyDescent="0.3">
      <c r="B10853" s="1" t="s">
        <v>21</v>
      </c>
      <c r="C10853" s="1" t="str">
        <f t="shared" si="539"/>
        <v>1차</v>
      </c>
      <c r="D10853" s="1" t="str">
        <f>"9826Z06200"</f>
        <v>9826Z06200</v>
      </c>
      <c r="E10853" s="1" t="s">
        <v>10</v>
      </c>
      <c r="F10853" s="1" t="str">
        <f>"10.128.97.154"</f>
        <v>10.128.97.154</v>
      </c>
      <c r="G10853" s="1" t="str">
        <f>"9826Z062"</f>
        <v>9826Z062</v>
      </c>
      <c r="H10853" s="1" t="str">
        <f>"충정간 4R1L8R2"</f>
        <v>충정간 4R1L8R2</v>
      </c>
      <c r="I10853" s="1" t="s">
        <v>8</v>
      </c>
      <c r="J10853" s="1" t="str">
        <f>"21/21"</f>
        <v>21/21</v>
      </c>
      <c r="K10853" s="1" t="str">
        <f>"2026-07-29 13:18:12"</f>
        <v>2026-07-29 13:18:12</v>
      </c>
      <c r="L10853" s="1" t="str">
        <f>"2014-12-18 17:27:47"</f>
        <v>2014-12-18 17:27:47</v>
      </c>
      <c r="M10853" s="1" t="s">
        <v>45</v>
      </c>
      <c r="N10853" s="1" t="s">
        <v>38</v>
      </c>
      <c r="O10853" s="1" t="s">
        <v>46</v>
      </c>
    </row>
    <row r="10854" spans="2:15" x14ac:dyDescent="0.3">
      <c r="B10854" s="1" t="s">
        <v>21</v>
      </c>
      <c r="C10854" s="1" t="str">
        <f>"5-2차"</f>
        <v>5-2차</v>
      </c>
      <c r="D10854" s="1" t="str">
        <f>"9826Z3335M"</f>
        <v>9826Z3335M</v>
      </c>
      <c r="E10854" s="1" t="s">
        <v>10</v>
      </c>
      <c r="F10854" s="1" t="str">
        <f>"fde3:102:1302:2804:0:0:0:2"</f>
        <v>fde3:102:1302:2804:0:0:0:2</v>
      </c>
      <c r="G10854" s="1" t="str">
        <f>"9826Z333"</f>
        <v>9826Z333</v>
      </c>
      <c r="H10854" s="1" t="str">
        <f>"충정간 11L1L4"</f>
        <v>충정간 11L1L4</v>
      </c>
      <c r="I10854" s="1" t="s">
        <v>15</v>
      </c>
      <c r="J10854" s="1" t="str">
        <f>"27/27"</f>
        <v>27/27</v>
      </c>
      <c r="K10854" s="1" t="str">
        <f>"2026-07-29 14:21:47"</f>
        <v>2026-07-29 14:21:47</v>
      </c>
      <c r="L10854" s="1" t="str">
        <f>"2023-07-24 20:33:01"</f>
        <v>2023-07-24 20:33:01</v>
      </c>
      <c r="M10854" s="1" t="s">
        <v>45</v>
      </c>
      <c r="N10854" s="1" t="s">
        <v>38</v>
      </c>
      <c r="O10854" s="1" t="s">
        <v>46</v>
      </c>
    </row>
    <row r="10855" spans="2:15" x14ac:dyDescent="0.3">
      <c r="B10855" s="1" t="s">
        <v>21</v>
      </c>
      <c r="C10855" s="1" t="str">
        <f>"5-1차"</f>
        <v>5-1차</v>
      </c>
      <c r="D10855" s="1" t="str">
        <f>"9826Z3435M"</f>
        <v>9826Z3435M</v>
      </c>
      <c r="E10855" s="1" t="s">
        <v>10</v>
      </c>
      <c r="F10855" s="1" t="str">
        <f>"fde2:104:0:cf:0:0:0:2"</f>
        <v>fde2:104:0:cf:0:0:0:2</v>
      </c>
      <c r="G10855" s="1" t="str">
        <f>"9826Z343"</f>
        <v>9826Z343</v>
      </c>
      <c r="H10855" s="1" t="str">
        <f>"충정간 9L2R2"</f>
        <v>충정간 9L2R2</v>
      </c>
      <c r="I10855" s="1" t="s">
        <v>15</v>
      </c>
      <c r="J10855" s="1" t="str">
        <f>"16/16"</f>
        <v>16/16</v>
      </c>
      <c r="K10855" s="1" t="str">
        <f>"2026-07-29 14:21:49"</f>
        <v>2026-07-29 14:21:49</v>
      </c>
      <c r="L10855" s="1" t="str">
        <f>"2022-09-28 09:38:58"</f>
        <v>2022-09-28 09:38:58</v>
      </c>
      <c r="M10855" s="1" t="s">
        <v>42</v>
      </c>
      <c r="N10855" s="1" t="s">
        <v>38</v>
      </c>
      <c r="O10855" s="1" t="s">
        <v>46</v>
      </c>
    </row>
    <row r="10856" spans="2:15" x14ac:dyDescent="0.3">
      <c r="B10856" s="1" t="s">
        <v>21</v>
      </c>
      <c r="C10856" s="1" t="str">
        <f>"4차"</f>
        <v>4차</v>
      </c>
      <c r="D10856" s="1" t="str">
        <f>"9826Z51239"</f>
        <v>9826Z51239</v>
      </c>
      <c r="E10856" s="1" t="s">
        <v>10</v>
      </c>
      <c r="F10856" s="1" t="str">
        <f>"10.12.130.16"</f>
        <v>10.12.130.16</v>
      </c>
      <c r="G10856" s="1" t="str">
        <f>"9826Z512"</f>
        <v>9826Z512</v>
      </c>
      <c r="H10856" s="1" t="str">
        <f>"미근 9"</f>
        <v>미근 9</v>
      </c>
      <c r="I10856" s="1" t="s">
        <v>17</v>
      </c>
      <c r="J10856" s="1" t="str">
        <f>"9/19"</f>
        <v>9/19</v>
      </c>
      <c r="K10856" s="1" t="str">
        <f>"2026-07-29 13:18:14"</f>
        <v>2026-07-29 13:18:14</v>
      </c>
      <c r="L10856" s="1" t="str">
        <f>"2018-10-19 09:01:39"</f>
        <v>2018-10-19 09:01:39</v>
      </c>
      <c r="M10856" s="1" t="s">
        <v>0</v>
      </c>
      <c r="N10856" s="1" t="s">
        <v>38</v>
      </c>
      <c r="O10856" s="1" t="s">
        <v>46</v>
      </c>
    </row>
    <row r="10857" spans="2:15" x14ac:dyDescent="0.3">
      <c r="B10857" s="1" t="s">
        <v>21</v>
      </c>
      <c r="C10857" s="1" t="str">
        <f>"5-1차"</f>
        <v>5-1차</v>
      </c>
      <c r="D10857" s="1" t="str">
        <f>"9826Z5715M"</f>
        <v>9826Z5715M</v>
      </c>
      <c r="E10857" s="1" t="s">
        <v>10</v>
      </c>
      <c r="F10857" s="1" t="str">
        <f>"fde3:102:1302:2c00:0:0:0:3"</f>
        <v>fde3:102:1302:2c00:0:0:0:3</v>
      </c>
      <c r="G10857" s="1" t="str">
        <f>"9826Z571"</f>
        <v>9826Z571</v>
      </c>
      <c r="H10857" s="1" t="str">
        <f>"충정간 2"</f>
        <v>충정간 2</v>
      </c>
      <c r="I10857" s="1" t="s">
        <v>15</v>
      </c>
      <c r="J10857" s="1" t="str">
        <f>"9/9"</f>
        <v>9/9</v>
      </c>
      <c r="K10857" s="1" t="str">
        <f>"2026-07-29 14:21:48"</f>
        <v>2026-07-29 14:21:48</v>
      </c>
      <c r="L10857" s="1" t="str">
        <f>"2022-12-28 14:20:48"</f>
        <v>2022-12-28 14:20:48</v>
      </c>
      <c r="M10857" s="1" t="s">
        <v>45</v>
      </c>
      <c r="N10857" s="1" t="s">
        <v>38</v>
      </c>
      <c r="O10857" s="1" t="s">
        <v>46</v>
      </c>
    </row>
    <row r="10858" spans="2:15" x14ac:dyDescent="0.3">
      <c r="B10858" s="1" t="s">
        <v>21</v>
      </c>
      <c r="C10858" s="1" t="str">
        <f>"5-2차"</f>
        <v>5-2차</v>
      </c>
      <c r="D10858" s="1" t="str">
        <f>"9826Z6925M"</f>
        <v>9826Z6925M</v>
      </c>
      <c r="E10858" s="1" t="s">
        <v>10</v>
      </c>
      <c r="F10858" s="1" t="str">
        <f>"fde3:102:1302:2d00:0:0:0:3"</f>
        <v>fde3:102:1302:2d00:0:0:0:3</v>
      </c>
      <c r="G10858" s="1" t="str">
        <f>"9826Z692"</f>
        <v>9826Z692</v>
      </c>
      <c r="H10858" s="1" t="str">
        <f>"충정간 4R7R1"</f>
        <v>충정간 4R7R1</v>
      </c>
      <c r="I10858" s="1" t="s">
        <v>15</v>
      </c>
      <c r="J10858" s="1" t="str">
        <f>"31/32"</f>
        <v>31/32</v>
      </c>
      <c r="K10858" s="1" t="str">
        <f>"2026-07-29 14:21:47"</f>
        <v>2026-07-29 14:21:47</v>
      </c>
      <c r="L10858" s="1" t="str">
        <f>"2023-08-24 16:21:53"</f>
        <v>2023-08-24 16:21:53</v>
      </c>
      <c r="M10858" s="1" t="s">
        <v>45</v>
      </c>
      <c r="N10858" s="1" t="s">
        <v>38</v>
      </c>
      <c r="O10858" s="1" t="s">
        <v>46</v>
      </c>
    </row>
    <row r="10859" spans="2:15" x14ac:dyDescent="0.3">
      <c r="B10859" s="1" t="s">
        <v>21</v>
      </c>
      <c r="C10859" s="1" t="str">
        <f>"4차"</f>
        <v>4차</v>
      </c>
      <c r="D10859" s="1" t="str">
        <f>"9826Z88139"</f>
        <v>9826Z88139</v>
      </c>
      <c r="E10859" s="1" t="s">
        <v>10</v>
      </c>
      <c r="F10859" s="1" t="str">
        <f>"10.12.130.80"</f>
        <v>10.12.130.80</v>
      </c>
      <c r="G10859" s="1" t="str">
        <f>"9826Z881"</f>
        <v>9826Z881</v>
      </c>
      <c r="H10859" s="1" t="str">
        <f>"충정간 4R7R4R1"</f>
        <v>충정간 4R7R4R1</v>
      </c>
      <c r="I10859" s="1" t="s">
        <v>17</v>
      </c>
      <c r="J10859" s="1" t="str">
        <f>"13/13"</f>
        <v>13/13</v>
      </c>
      <c r="K10859" s="1" t="str">
        <f>"2026-07-29 13:18:13"</f>
        <v>2026-07-29 13:18:13</v>
      </c>
      <c r="L10859" s="1" t="str">
        <f>"2018-12-24 09:01:25"</f>
        <v>2018-12-24 09:01:25</v>
      </c>
      <c r="M10859" s="1" t="s">
        <v>0</v>
      </c>
      <c r="N10859" s="1" t="s">
        <v>38</v>
      </c>
      <c r="O10859" s="1" t="s">
        <v>46</v>
      </c>
    </row>
    <row r="10860" spans="2:15" x14ac:dyDescent="0.3">
      <c r="B10860" s="1" t="s">
        <v>21</v>
      </c>
      <c r="C10860" s="1" t="str">
        <f>"4차"</f>
        <v>4차</v>
      </c>
      <c r="D10860" s="1" t="str">
        <f>"9827A01144"</f>
        <v>9827A01144</v>
      </c>
      <c r="E10860" s="1" t="s">
        <v>10</v>
      </c>
      <c r="F10860" s="1" t="str">
        <f>"10.10.65.186"</f>
        <v>10.10.65.186</v>
      </c>
      <c r="G10860" s="1" t="str">
        <f>"9827A011"</f>
        <v>9827A011</v>
      </c>
      <c r="H10860" s="1" t="str">
        <f>"성서간 11"</f>
        <v>성서간 11</v>
      </c>
      <c r="I10860" s="1" t="s">
        <v>8</v>
      </c>
      <c r="J10860" s="1" t="str">
        <f>"5/5"</f>
        <v>5/5</v>
      </c>
      <c r="K10860" s="1" t="str">
        <f>"2026-07-29 13:18:12"</f>
        <v>2026-07-29 13:18:12</v>
      </c>
      <c r="L10860" s="1" t="str">
        <f>"2019-10-29 18:33:04"</f>
        <v>2019-10-29 18:33:04</v>
      </c>
      <c r="M10860" s="1" t="s">
        <v>1</v>
      </c>
      <c r="N10860" s="1" t="s">
        <v>38</v>
      </c>
      <c r="O10860" s="1" t="s">
        <v>46</v>
      </c>
    </row>
    <row r="10861" spans="2:15" x14ac:dyDescent="0.3">
      <c r="B10861" s="1" t="s">
        <v>21</v>
      </c>
      <c r="C10861" s="1" t="str">
        <f>"4차"</f>
        <v>4차</v>
      </c>
      <c r="D10861" s="1" t="str">
        <f>"9827A22344"</f>
        <v>9827A22344</v>
      </c>
      <c r="E10861" s="1" t="s">
        <v>10</v>
      </c>
      <c r="F10861" s="1" t="str">
        <f>"10.10.65.194"</f>
        <v>10.10.65.194</v>
      </c>
      <c r="G10861" s="1" t="str">
        <f>"9827A223"</f>
        <v>9827A223</v>
      </c>
      <c r="H10861" s="1" t="str">
        <f>"성서간 15"</f>
        <v>성서간 15</v>
      </c>
      <c r="I10861" s="1" t="s">
        <v>8</v>
      </c>
      <c r="J10861" s="1" t="str">
        <f>"46/46"</f>
        <v>46/46</v>
      </c>
      <c r="K10861" s="1" t="str">
        <f>"2026-07-29 13:18:12"</f>
        <v>2026-07-29 13:18:12</v>
      </c>
      <c r="L10861" s="1" t="str">
        <f>"2019-10-29 18:26:51"</f>
        <v>2019-10-29 18:26:51</v>
      </c>
      <c r="M10861" s="1" t="s">
        <v>1</v>
      </c>
      <c r="N10861" s="1" t="s">
        <v>38</v>
      </c>
      <c r="O10861" s="1" t="s">
        <v>46</v>
      </c>
    </row>
    <row r="10862" spans="2:15" x14ac:dyDescent="0.3">
      <c r="B10862" s="1" t="s">
        <v>21</v>
      </c>
      <c r="C10862" s="1" t="str">
        <f>"4차"</f>
        <v>4차</v>
      </c>
      <c r="D10862" s="1" t="str">
        <f>"9827A34344"</f>
        <v>9827A34344</v>
      </c>
      <c r="E10862" s="1" t="s">
        <v>10</v>
      </c>
      <c r="F10862" s="1" t="str">
        <f>"10.10.69.194"</f>
        <v>10.10.69.194</v>
      </c>
      <c r="G10862" s="1" t="str">
        <f>"9827A343"</f>
        <v>9827A343</v>
      </c>
      <c r="H10862" s="1" t="str">
        <f>"성서간 18"</f>
        <v>성서간 18</v>
      </c>
      <c r="I10862" s="1" t="s">
        <v>8</v>
      </c>
      <c r="J10862" s="1" t="str">
        <f>"18/18"</f>
        <v>18/18</v>
      </c>
      <c r="K10862" s="1" t="str">
        <f>"2026-07-29 13:18:12"</f>
        <v>2026-07-29 13:18:12</v>
      </c>
      <c r="L10862" s="1" t="str">
        <f>"2019-10-29 18:34:05"</f>
        <v>2019-10-29 18:34:05</v>
      </c>
      <c r="M10862" s="1" t="s">
        <v>1</v>
      </c>
      <c r="N10862" s="1" t="s">
        <v>38</v>
      </c>
      <c r="O10862" s="1" t="s">
        <v>46</v>
      </c>
    </row>
    <row r="10863" spans="2:15" x14ac:dyDescent="0.3">
      <c r="B10863" s="1" t="s">
        <v>21</v>
      </c>
      <c r="C10863" s="1" t="str">
        <f>"3차"</f>
        <v>3차</v>
      </c>
      <c r="D10863" s="1" t="str">
        <f>"9827A41139"</f>
        <v>9827A41139</v>
      </c>
      <c r="E10863" s="1" t="s">
        <v>10</v>
      </c>
      <c r="F10863" s="1" t="str">
        <f>"10.12.129.45"</f>
        <v>10.12.129.45</v>
      </c>
      <c r="G10863" s="1" t="str">
        <f>"9827A411"</f>
        <v>9827A411</v>
      </c>
      <c r="H10863" s="1" t="str">
        <f>"문화간 17L10R1L9"</f>
        <v>문화간 17L10R1L9</v>
      </c>
      <c r="I10863" s="1" t="s">
        <v>8</v>
      </c>
      <c r="J10863" s="1" t="str">
        <f>"43/43"</f>
        <v>43/43</v>
      </c>
      <c r="K10863" s="1" t="str">
        <f>"2026-07-29 13:18:13"</f>
        <v>2026-07-29 13:18:13</v>
      </c>
      <c r="L10863" s="1" t="str">
        <f>"2018-04-25 12:35:28"</f>
        <v>2018-04-25 12:35:28</v>
      </c>
      <c r="M10863" s="1" t="s">
        <v>0</v>
      </c>
      <c r="N10863" s="1" t="s">
        <v>38</v>
      </c>
      <c r="O10863" s="1" t="s">
        <v>46</v>
      </c>
    </row>
    <row r="10864" spans="2:15" x14ac:dyDescent="0.3">
      <c r="B10864" s="1" t="s">
        <v>21</v>
      </c>
      <c r="C10864" s="1" t="str">
        <f>"4차"</f>
        <v>4차</v>
      </c>
      <c r="D10864" s="1" t="str">
        <f>"9827A41344"</f>
        <v>9827A41344</v>
      </c>
      <c r="E10864" s="1" t="s">
        <v>10</v>
      </c>
      <c r="F10864" s="1" t="str">
        <f>"10.10.91.194"</f>
        <v>10.10.91.194</v>
      </c>
      <c r="G10864" s="1" t="str">
        <f>"9827A413"</f>
        <v>9827A413</v>
      </c>
      <c r="H10864" s="1" t="str">
        <f>"문화간 17L10R1L10"</f>
        <v>문화간 17L10R1L10</v>
      </c>
      <c r="I10864" s="1" t="s">
        <v>8</v>
      </c>
      <c r="J10864" s="1" t="str">
        <f>"28/28"</f>
        <v>28/28</v>
      </c>
      <c r="K10864" s="1" t="str">
        <f t="shared" ref="K10864:K10869" si="540">"2026-07-29 13:18:12"</f>
        <v>2026-07-29 13:18:12</v>
      </c>
      <c r="L10864" s="1" t="str">
        <f>"2019-10-25 12:13:05"</f>
        <v>2019-10-25 12:13:05</v>
      </c>
      <c r="M10864" s="1" t="s">
        <v>1</v>
      </c>
      <c r="N10864" s="1" t="s">
        <v>38</v>
      </c>
      <c r="O10864" s="1" t="s">
        <v>46</v>
      </c>
    </row>
    <row r="10865" spans="2:15" x14ac:dyDescent="0.3">
      <c r="B10865" s="1" t="s">
        <v>21</v>
      </c>
      <c r="C10865" s="1" t="str">
        <f>"4차"</f>
        <v>4차</v>
      </c>
      <c r="D10865" s="1" t="str">
        <f>"9827A44144"</f>
        <v>9827A44144</v>
      </c>
      <c r="E10865" s="1" t="s">
        <v>10</v>
      </c>
      <c r="F10865" s="1" t="str">
        <f>"10.10.109.138"</f>
        <v>10.10.109.138</v>
      </c>
      <c r="G10865" s="1" t="str">
        <f>"9827A441"</f>
        <v>9827A441</v>
      </c>
      <c r="H10865" s="1" t="str">
        <f>"성서간 16R2"</f>
        <v>성서간 16R2</v>
      </c>
      <c r="I10865" s="1" t="s">
        <v>8</v>
      </c>
      <c r="J10865" s="1" t="str">
        <f>"14/14"</f>
        <v>14/14</v>
      </c>
      <c r="K10865" s="1" t="str">
        <f t="shared" si="540"/>
        <v>2026-07-29 13:18:12</v>
      </c>
      <c r="L10865" s="1" t="str">
        <f>"2019-10-29 18:43:04"</f>
        <v>2019-10-29 18:43:04</v>
      </c>
      <c r="M10865" s="1" t="s">
        <v>1</v>
      </c>
      <c r="N10865" s="1" t="s">
        <v>38</v>
      </c>
      <c r="O10865" s="1" t="s">
        <v>46</v>
      </c>
    </row>
    <row r="10866" spans="2:15" x14ac:dyDescent="0.3">
      <c r="B10866" s="1" t="s">
        <v>21</v>
      </c>
      <c r="C10866" s="1" t="str">
        <f>"4차"</f>
        <v>4차</v>
      </c>
      <c r="D10866" s="1" t="str">
        <f>"9827A44244"</f>
        <v>9827A44244</v>
      </c>
      <c r="E10866" s="1" t="s">
        <v>10</v>
      </c>
      <c r="F10866" s="1" t="str">
        <f>"10.10.65.250"</f>
        <v>10.10.65.250</v>
      </c>
      <c r="G10866" s="1" t="str">
        <f>"9827A442"</f>
        <v>9827A442</v>
      </c>
      <c r="H10866" s="1" t="str">
        <f>"성서간 16R3"</f>
        <v>성서간 16R3</v>
      </c>
      <c r="I10866" s="1" t="s">
        <v>8</v>
      </c>
      <c r="J10866" s="1" t="str">
        <f>"24/24"</f>
        <v>24/24</v>
      </c>
      <c r="K10866" s="1" t="str">
        <f t="shared" si="540"/>
        <v>2026-07-29 13:18:12</v>
      </c>
      <c r="L10866" s="1" t="str">
        <f>"2019-10-29 18:33:53"</f>
        <v>2019-10-29 18:33:53</v>
      </c>
      <c r="M10866" s="1" t="s">
        <v>1</v>
      </c>
      <c r="N10866" s="1" t="s">
        <v>38</v>
      </c>
      <c r="O10866" s="1" t="s">
        <v>46</v>
      </c>
    </row>
    <row r="10867" spans="2:15" x14ac:dyDescent="0.3">
      <c r="B10867" s="1" t="s">
        <v>21</v>
      </c>
      <c r="C10867" s="1" t="str">
        <f>"3차"</f>
        <v>3차</v>
      </c>
      <c r="D10867" s="1" t="str">
        <f>"9827A48139"</f>
        <v>9827A48139</v>
      </c>
      <c r="E10867" s="1" t="s">
        <v>10</v>
      </c>
      <c r="F10867" s="1" t="str">
        <f>"10.128.117.2"</f>
        <v>10.128.117.2</v>
      </c>
      <c r="G10867" s="1" t="str">
        <f>"9827A481"</f>
        <v>9827A481</v>
      </c>
      <c r="H10867" s="1" t="str">
        <f>"성서간 34R1R6"</f>
        <v>성서간 34R1R6</v>
      </c>
      <c r="I10867" s="1" t="s">
        <v>8</v>
      </c>
      <c r="J10867" s="1" t="str">
        <f>"37/37"</f>
        <v>37/37</v>
      </c>
      <c r="K10867" s="1" t="str">
        <f t="shared" si="540"/>
        <v>2026-07-29 13:18:12</v>
      </c>
      <c r="L10867" s="1" t="str">
        <f>"2018-04-26 10:10:12"</f>
        <v>2018-04-26 10:10:12</v>
      </c>
      <c r="M10867" s="1" t="s">
        <v>45</v>
      </c>
      <c r="N10867" s="1" t="s">
        <v>38</v>
      </c>
      <c r="O10867" s="1" t="s">
        <v>46</v>
      </c>
    </row>
    <row r="10868" spans="2:15" x14ac:dyDescent="0.3">
      <c r="B10868" s="1" t="s">
        <v>21</v>
      </c>
      <c r="C10868" s="1" t="str">
        <f>"4차"</f>
        <v>4차</v>
      </c>
      <c r="D10868" s="1" t="str">
        <f>"9827A50244"</f>
        <v>9827A50244</v>
      </c>
      <c r="E10868" s="1" t="s">
        <v>10</v>
      </c>
      <c r="F10868" s="1" t="str">
        <f>"10.10.119.122"</f>
        <v>10.10.119.122</v>
      </c>
      <c r="G10868" s="1" t="str">
        <f>"9827A502"</f>
        <v>9827A502</v>
      </c>
      <c r="H10868" s="1" t="str">
        <f>"문화간 17L10R12L2"</f>
        <v>문화간 17L10R12L2</v>
      </c>
      <c r="I10868" s="1" t="s">
        <v>8</v>
      </c>
      <c r="J10868" s="1" t="str">
        <f>"26/26"</f>
        <v>26/26</v>
      </c>
      <c r="K10868" s="1" t="str">
        <f t="shared" si="540"/>
        <v>2026-07-29 13:18:12</v>
      </c>
      <c r="L10868" s="1" t="str">
        <f>"2019-10-25 13:23:04"</f>
        <v>2019-10-25 13:23:04</v>
      </c>
      <c r="M10868" s="1" t="s">
        <v>1</v>
      </c>
      <c r="N10868" s="1" t="s">
        <v>38</v>
      </c>
      <c r="O10868" s="1" t="s">
        <v>46</v>
      </c>
    </row>
    <row r="10869" spans="2:15" x14ac:dyDescent="0.3">
      <c r="B10869" s="1" t="s">
        <v>21</v>
      </c>
      <c r="C10869" s="1" t="str">
        <f>"4차"</f>
        <v>4차</v>
      </c>
      <c r="D10869" s="1" t="str">
        <f>"9827A50444"</f>
        <v>9827A50444</v>
      </c>
      <c r="E10869" s="1" t="s">
        <v>10</v>
      </c>
      <c r="F10869" s="1" t="str">
        <f>"10.10.119.106"</f>
        <v>10.10.119.106</v>
      </c>
      <c r="G10869" s="1" t="str">
        <f>"9827A504"</f>
        <v>9827A504</v>
      </c>
      <c r="H10869" s="1" t="str">
        <f>"문화간 17L10R11"</f>
        <v>문화간 17L10R11</v>
      </c>
      <c r="I10869" s="1" t="s">
        <v>8</v>
      </c>
      <c r="J10869" s="1" t="str">
        <f>"20/20"</f>
        <v>20/20</v>
      </c>
      <c r="K10869" s="1" t="str">
        <f t="shared" si="540"/>
        <v>2026-07-29 13:18:12</v>
      </c>
      <c r="L10869" s="1" t="str">
        <f>"2019-10-25 13:33:04"</f>
        <v>2019-10-25 13:33:04</v>
      </c>
      <c r="M10869" s="1" t="s">
        <v>1</v>
      </c>
      <c r="N10869" s="1" t="s">
        <v>38</v>
      </c>
      <c r="O10869" s="1" t="s">
        <v>46</v>
      </c>
    </row>
    <row r="10870" spans="2:15" x14ac:dyDescent="0.3">
      <c r="B10870" s="1" t="s">
        <v>21</v>
      </c>
      <c r="C10870" s="1" t="str">
        <f>"4차"</f>
        <v>4차</v>
      </c>
      <c r="D10870" s="1" t="str">
        <f>"9827A59545"</f>
        <v>9827A59545</v>
      </c>
      <c r="E10870" s="1" t="s">
        <v>10</v>
      </c>
      <c r="F10870" s="1" t="str">
        <f>"10.14.1.9"</f>
        <v>10.14.1.9</v>
      </c>
      <c r="G10870" s="1" t="str">
        <f>"9827A595"</f>
        <v>9827A595</v>
      </c>
      <c r="H10870" s="1" t="str">
        <f>"간호대연립 1"</f>
        <v>간호대연립 1</v>
      </c>
      <c r="I10870" s="1" t="s">
        <v>17</v>
      </c>
      <c r="J10870" s="1" t="str">
        <f>"6/55"</f>
        <v>6/55</v>
      </c>
      <c r="K10870" s="1" t="str">
        <f>"2026-07-29 13:18:13"</f>
        <v>2026-07-29 13:18:13</v>
      </c>
      <c r="L10870" s="1" t="str">
        <f>"2021-06-21 17:01:22"</f>
        <v>2021-06-21 17:01:22</v>
      </c>
      <c r="M10870" s="1" t="s">
        <v>3</v>
      </c>
      <c r="N10870" s="1" t="s">
        <v>38</v>
      </c>
      <c r="O10870" s="1" t="s">
        <v>46</v>
      </c>
    </row>
    <row r="10871" spans="2:15" x14ac:dyDescent="0.3">
      <c r="B10871" s="1" t="s">
        <v>21</v>
      </c>
      <c r="C10871" s="1" t="str">
        <f>"4차"</f>
        <v>4차</v>
      </c>
      <c r="D10871" s="1" t="str">
        <f>"9827A61342"</f>
        <v>9827A61342</v>
      </c>
      <c r="E10871" s="1" t="s">
        <v>10</v>
      </c>
      <c r="F10871" s="1" t="str">
        <f>"10.12.130.186"</f>
        <v>10.12.130.186</v>
      </c>
      <c r="G10871" s="1" t="str">
        <f>"9827A613"</f>
        <v>9827A613</v>
      </c>
      <c r="H10871" s="1" t="str">
        <f>"문화간 20"</f>
        <v>문화간 20</v>
      </c>
      <c r="I10871" s="1" t="s">
        <v>8</v>
      </c>
      <c r="J10871" s="1" t="str">
        <f>"34/34"</f>
        <v>34/34</v>
      </c>
      <c r="K10871" s="1" t="str">
        <f>"2026-07-29 13:18:11"</f>
        <v>2026-07-29 13:18:11</v>
      </c>
      <c r="L10871" s="1" t="str">
        <f>"2024-12-16 14:00:37"</f>
        <v>2024-12-16 14:00:37</v>
      </c>
      <c r="M10871" s="1" t="s">
        <v>0</v>
      </c>
      <c r="N10871" s="1" t="s">
        <v>38</v>
      </c>
      <c r="O10871" s="1" t="s">
        <v>46</v>
      </c>
    </row>
    <row r="10872" spans="2:15" x14ac:dyDescent="0.3">
      <c r="B10872" s="1" t="s">
        <v>21</v>
      </c>
      <c r="C10872" s="1" t="str">
        <f>"3차"</f>
        <v>3차</v>
      </c>
      <c r="D10872" s="1" t="str">
        <f>"9827A62939"</f>
        <v>9827A62939</v>
      </c>
      <c r="E10872" s="1" t="s">
        <v>10</v>
      </c>
      <c r="F10872" s="1" t="str">
        <f>"10.128.100.90"</f>
        <v>10.128.100.90</v>
      </c>
      <c r="G10872" s="1" t="str">
        <f>"9827A629"</f>
        <v>9827A629</v>
      </c>
      <c r="H10872" s="1" t="str">
        <f>"문화간 17L10R15L1"</f>
        <v>문화간 17L10R15L1</v>
      </c>
      <c r="I10872" s="1" t="s">
        <v>8</v>
      </c>
      <c r="J10872" s="1" t="str">
        <f>"31/31"</f>
        <v>31/31</v>
      </c>
      <c r="K10872" s="1" t="str">
        <f>"2026-07-29 13:18:12"</f>
        <v>2026-07-29 13:18:12</v>
      </c>
      <c r="L10872" s="1" t="str">
        <f>"2018-04-25 13:50:42"</f>
        <v>2018-04-25 13:50:42</v>
      </c>
      <c r="M10872" s="1" t="s">
        <v>45</v>
      </c>
      <c r="N10872" s="1" t="s">
        <v>38</v>
      </c>
      <c r="O10872" s="1" t="s">
        <v>46</v>
      </c>
    </row>
    <row r="10873" spans="2:15" x14ac:dyDescent="0.3">
      <c r="B10873" s="1" t="s">
        <v>21</v>
      </c>
      <c r="C10873" s="1" t="str">
        <f>"1차"</f>
        <v>1차</v>
      </c>
      <c r="D10873" s="1" t="str">
        <f>"9827A66301"</f>
        <v>9827A66301</v>
      </c>
      <c r="E10873" s="1" t="s">
        <v>10</v>
      </c>
      <c r="F10873" s="1" t="str">
        <f>"10.14.13.14"</f>
        <v>10.14.13.14</v>
      </c>
      <c r="G10873" s="1" t="str">
        <f>"9827A663"</f>
        <v>9827A663</v>
      </c>
      <c r="H10873" s="1" t="str">
        <f>"문화간 29L5L1"</f>
        <v>문화간 29L5L1</v>
      </c>
      <c r="I10873" s="1" t="s">
        <v>8</v>
      </c>
      <c r="J10873" s="1" t="str">
        <f>"19/19"</f>
        <v>19/19</v>
      </c>
      <c r="K10873" s="1" t="str">
        <f>"2026-07-29 13:18:13"</f>
        <v>2026-07-29 13:18:13</v>
      </c>
      <c r="L10873" s="1" t="str">
        <f>"2015-03-02 17:27:53"</f>
        <v>2015-03-02 17:27:53</v>
      </c>
      <c r="M10873" s="1" t="s">
        <v>3</v>
      </c>
      <c r="N10873" s="1" t="s">
        <v>38</v>
      </c>
      <c r="O10873" s="1" t="s">
        <v>46</v>
      </c>
    </row>
    <row r="10874" spans="2:15" x14ac:dyDescent="0.3">
      <c r="B10874" s="1" t="s">
        <v>21</v>
      </c>
      <c r="C10874" s="1" t="str">
        <f>"1차"</f>
        <v>1차</v>
      </c>
      <c r="D10874" s="1" t="str">
        <f>"9827A66400"</f>
        <v>9827A66400</v>
      </c>
      <c r="E10874" s="1" t="s">
        <v>10</v>
      </c>
      <c r="F10874" s="1" t="str">
        <f>"10.128.100.110"</f>
        <v>10.128.100.110</v>
      </c>
      <c r="G10874" s="1" t="str">
        <f>"9827A664"</f>
        <v>9827A664</v>
      </c>
      <c r="H10874" s="1" t="str">
        <f>"문화간 29L4"</f>
        <v>문화간 29L4</v>
      </c>
      <c r="I10874" s="1" t="s">
        <v>8</v>
      </c>
      <c r="J10874" s="1" t="str">
        <f>"33/33"</f>
        <v>33/33</v>
      </c>
      <c r="K10874" s="1" t="str">
        <f t="shared" ref="K10874:K10881" si="541">"2026-07-29 13:18:12"</f>
        <v>2026-07-29 13:18:12</v>
      </c>
      <c r="L10874" s="1" t="str">
        <f>"2014-12-22 14:42:28"</f>
        <v>2014-12-22 14:42:28</v>
      </c>
      <c r="M10874" s="1" t="s">
        <v>45</v>
      </c>
      <c r="N10874" s="1" t="s">
        <v>38</v>
      </c>
      <c r="O10874" s="1" t="s">
        <v>46</v>
      </c>
    </row>
    <row r="10875" spans="2:15" x14ac:dyDescent="0.3">
      <c r="B10875" s="1" t="s">
        <v>21</v>
      </c>
      <c r="C10875" s="1" t="str">
        <f>"4차"</f>
        <v>4차</v>
      </c>
      <c r="D10875" s="1" t="str">
        <f>"9827A69244"</f>
        <v>9827A69244</v>
      </c>
      <c r="E10875" s="1" t="s">
        <v>10</v>
      </c>
      <c r="F10875" s="1" t="str">
        <f>"10.10.83.66"</f>
        <v>10.10.83.66</v>
      </c>
      <c r="G10875" s="1" t="str">
        <f>"9827A692"</f>
        <v>9827A692</v>
      </c>
      <c r="H10875" s="1" t="str">
        <f>"성서간 34R1R3"</f>
        <v>성서간 34R1R3</v>
      </c>
      <c r="I10875" s="1" t="s">
        <v>8</v>
      </c>
      <c r="J10875" s="1" t="str">
        <f>"47/47"</f>
        <v>47/47</v>
      </c>
      <c r="K10875" s="1" t="str">
        <f t="shared" si="541"/>
        <v>2026-07-29 13:18:12</v>
      </c>
      <c r="L10875" s="1" t="str">
        <f>"2019-10-25 15:53:05"</f>
        <v>2019-10-25 15:53:05</v>
      </c>
      <c r="M10875" s="1" t="s">
        <v>1</v>
      </c>
      <c r="N10875" s="1" t="s">
        <v>38</v>
      </c>
      <c r="O10875" s="1" t="s">
        <v>46</v>
      </c>
    </row>
    <row r="10876" spans="2:15" x14ac:dyDescent="0.3">
      <c r="B10876" s="1" t="s">
        <v>21</v>
      </c>
      <c r="C10876" s="1" t="str">
        <f>"1차"</f>
        <v>1차</v>
      </c>
      <c r="D10876" s="1" t="str">
        <f>"9827A72100"</f>
        <v>9827A72100</v>
      </c>
      <c r="E10876" s="1" t="s">
        <v>10</v>
      </c>
      <c r="F10876" s="1" t="str">
        <f>"10.89.67.203"</f>
        <v>10.89.67.203</v>
      </c>
      <c r="G10876" s="1" t="str">
        <f>"9827A721"</f>
        <v>9827A721</v>
      </c>
      <c r="H10876" s="1" t="str">
        <f>"문화간 23R1"</f>
        <v>문화간 23R1</v>
      </c>
      <c r="I10876" s="1" t="s">
        <v>8</v>
      </c>
      <c r="J10876" s="1" t="str">
        <f>"26/26"</f>
        <v>26/26</v>
      </c>
      <c r="K10876" s="1" t="str">
        <f t="shared" si="541"/>
        <v>2026-07-29 13:18:12</v>
      </c>
      <c r="L10876" s="1" t="str">
        <f>"2014-12-23 11:57:15"</f>
        <v>2014-12-23 11:57:15</v>
      </c>
      <c r="M10876" s="1" t="s">
        <v>45</v>
      </c>
      <c r="N10876" s="1" t="s">
        <v>38</v>
      </c>
      <c r="O10876" s="1" t="s">
        <v>46</v>
      </c>
    </row>
    <row r="10877" spans="2:15" x14ac:dyDescent="0.3">
      <c r="B10877" s="1" t="s">
        <v>21</v>
      </c>
      <c r="C10877" s="1" t="str">
        <f>"1차"</f>
        <v>1차</v>
      </c>
      <c r="D10877" s="1" t="str">
        <f>"9827A77200"</f>
        <v>9827A77200</v>
      </c>
      <c r="E10877" s="1" t="s">
        <v>10</v>
      </c>
      <c r="F10877" s="1" t="str">
        <f>"10.128.33.119"</f>
        <v>10.128.33.119</v>
      </c>
      <c r="G10877" s="1" t="str">
        <f>"9827A772"</f>
        <v>9827A772</v>
      </c>
      <c r="H10877" s="1" t="str">
        <f>"문화간 29L3R1"</f>
        <v>문화간 29L3R1</v>
      </c>
      <c r="I10877" s="1" t="s">
        <v>8</v>
      </c>
      <c r="J10877" s="1" t="str">
        <f>"21/21"</f>
        <v>21/21</v>
      </c>
      <c r="K10877" s="1" t="str">
        <f t="shared" si="541"/>
        <v>2026-07-29 13:18:12</v>
      </c>
      <c r="L10877" s="1" t="str">
        <f>"2014-12-19 13:27:45"</f>
        <v>2014-12-19 13:27:45</v>
      </c>
      <c r="M10877" s="1" t="s">
        <v>45</v>
      </c>
      <c r="N10877" s="1" t="s">
        <v>38</v>
      </c>
      <c r="O10877" s="1" t="s">
        <v>46</v>
      </c>
    </row>
    <row r="10878" spans="2:15" x14ac:dyDescent="0.3">
      <c r="B10878" s="1" t="s">
        <v>21</v>
      </c>
      <c r="C10878" s="1" t="str">
        <f>"4차"</f>
        <v>4차</v>
      </c>
      <c r="D10878" s="1" t="str">
        <f>"9827A78144"</f>
        <v>9827A78144</v>
      </c>
      <c r="E10878" s="1" t="s">
        <v>10</v>
      </c>
      <c r="F10878" s="1" t="str">
        <f>"10.10.82.250"</f>
        <v>10.10.82.250</v>
      </c>
      <c r="G10878" s="1" t="str">
        <f>"9827A781"</f>
        <v>9827A781</v>
      </c>
      <c r="H10878" s="1" t="str">
        <f>"성서간 32"</f>
        <v>성서간 32</v>
      </c>
      <c r="I10878" s="1" t="s">
        <v>8</v>
      </c>
      <c r="J10878" s="1" t="str">
        <f>"40/40"</f>
        <v>40/40</v>
      </c>
      <c r="K10878" s="1" t="str">
        <f t="shared" si="541"/>
        <v>2026-07-29 13:18:12</v>
      </c>
      <c r="L10878" s="1" t="str">
        <f>"2019-10-25 15:41:58"</f>
        <v>2019-10-25 15:41:58</v>
      </c>
      <c r="M10878" s="1" t="s">
        <v>1</v>
      </c>
      <c r="N10878" s="1" t="s">
        <v>38</v>
      </c>
      <c r="O10878" s="1" t="s">
        <v>46</v>
      </c>
    </row>
    <row r="10879" spans="2:15" x14ac:dyDescent="0.3">
      <c r="B10879" s="1" t="s">
        <v>21</v>
      </c>
      <c r="C10879" s="1" t="str">
        <f>"4차"</f>
        <v>4차</v>
      </c>
      <c r="D10879" s="1" t="str">
        <f>"9827A78444"</f>
        <v>9827A78444</v>
      </c>
      <c r="E10879" s="1" t="s">
        <v>10</v>
      </c>
      <c r="F10879" s="1" t="str">
        <f>"10.10.83.10"</f>
        <v>10.10.83.10</v>
      </c>
      <c r="G10879" s="1" t="str">
        <f>"9827A784"</f>
        <v>9827A784</v>
      </c>
      <c r="H10879" s="1" t="str">
        <f>"성서간 34R1R1"</f>
        <v>성서간 34R1R1</v>
      </c>
      <c r="I10879" s="1" t="s">
        <v>8</v>
      </c>
      <c r="J10879" s="1" t="str">
        <f>"21/21"</f>
        <v>21/21</v>
      </c>
      <c r="K10879" s="1" t="str">
        <f t="shared" si="541"/>
        <v>2026-07-29 13:18:12</v>
      </c>
      <c r="L10879" s="1" t="str">
        <f>"2019-10-25 16:18:58"</f>
        <v>2019-10-25 16:18:58</v>
      </c>
      <c r="M10879" s="1" t="s">
        <v>1</v>
      </c>
      <c r="N10879" s="1" t="s">
        <v>38</v>
      </c>
      <c r="O10879" s="1" t="s">
        <v>46</v>
      </c>
    </row>
    <row r="10880" spans="2:15" x14ac:dyDescent="0.3">
      <c r="B10880" s="1" t="s">
        <v>21</v>
      </c>
      <c r="C10880" s="1" t="str">
        <f>"4차"</f>
        <v>4차</v>
      </c>
      <c r="D10880" s="1" t="str">
        <f>"9827A79244"</f>
        <v>9827A79244</v>
      </c>
      <c r="E10880" s="1" t="s">
        <v>10</v>
      </c>
      <c r="F10880" s="1" t="str">
        <f>"10.10.82.146"</f>
        <v>10.10.82.146</v>
      </c>
      <c r="G10880" s="1" t="str">
        <f>"9827A792"</f>
        <v>9827A792</v>
      </c>
      <c r="H10880" s="1" t="str">
        <f>"성서간 31L3"</f>
        <v>성서간 31L3</v>
      </c>
      <c r="I10880" s="1" t="s">
        <v>8</v>
      </c>
      <c r="J10880" s="1" t="str">
        <f>"42/46"</f>
        <v>42/46</v>
      </c>
      <c r="K10880" s="1" t="str">
        <f t="shared" si="541"/>
        <v>2026-07-29 13:18:12</v>
      </c>
      <c r="L10880" s="1" t="str">
        <f>"2019-10-25 15:31:43"</f>
        <v>2019-10-25 15:31:43</v>
      </c>
      <c r="M10880" s="1" t="s">
        <v>1</v>
      </c>
      <c r="N10880" s="1" t="s">
        <v>38</v>
      </c>
      <c r="O10880" s="1" t="s">
        <v>46</v>
      </c>
    </row>
    <row r="10881" spans="2:15" x14ac:dyDescent="0.3">
      <c r="B10881" s="1" t="s">
        <v>21</v>
      </c>
      <c r="C10881" s="1" t="str">
        <f>"4차"</f>
        <v>4차</v>
      </c>
      <c r="D10881" s="1" t="str">
        <f>"9827A79444"</f>
        <v>9827A79444</v>
      </c>
      <c r="E10881" s="1" t="s">
        <v>10</v>
      </c>
      <c r="F10881" s="1" t="str">
        <f>"10.10.83.58"</f>
        <v>10.10.83.58</v>
      </c>
      <c r="G10881" s="1" t="str">
        <f>"9827A794"</f>
        <v>9827A794</v>
      </c>
      <c r="H10881" s="1" t="str">
        <f>"성서간 34R1R2"</f>
        <v>성서간 34R1R2</v>
      </c>
      <c r="I10881" s="1" t="s">
        <v>8</v>
      </c>
      <c r="J10881" s="1" t="str">
        <f>"41/41"</f>
        <v>41/41</v>
      </c>
      <c r="K10881" s="1" t="str">
        <f t="shared" si="541"/>
        <v>2026-07-29 13:18:12</v>
      </c>
      <c r="L10881" s="1" t="str">
        <f>"2019-10-25 16:03:05"</f>
        <v>2019-10-25 16:03:05</v>
      </c>
      <c r="M10881" s="1" t="s">
        <v>1</v>
      </c>
      <c r="N10881" s="1" t="s">
        <v>38</v>
      </c>
      <c r="O10881" s="1" t="s">
        <v>46</v>
      </c>
    </row>
    <row r="10882" spans="2:15" x14ac:dyDescent="0.3">
      <c r="B10882" s="1" t="s">
        <v>21</v>
      </c>
      <c r="C10882" s="1" t="str">
        <f>"6차"</f>
        <v>6차</v>
      </c>
      <c r="D10882" s="1" t="str">
        <f>"9827A8116S"</f>
        <v>9827A8116S</v>
      </c>
      <c r="E10882" s="1" t="s">
        <v>10</v>
      </c>
      <c r="F10882" s="1" t="str">
        <f>"fde1:103:4:c72f:0:0:0:2"</f>
        <v>fde1:103:4:c72f:0:0:0:2</v>
      </c>
      <c r="G10882" s="1" t="str">
        <f>"9827A811"</f>
        <v>9827A811</v>
      </c>
      <c r="H10882" s="1" t="str">
        <f>"문화간 16R4"</f>
        <v>문화간 16R4</v>
      </c>
      <c r="I10882" s="1" t="s">
        <v>15</v>
      </c>
      <c r="J10882" s="1" t="str">
        <f>"36/36"</f>
        <v>36/36</v>
      </c>
      <c r="K10882" s="1" t="str">
        <f>"2026-07-29 14:21:50"</f>
        <v>2026-07-29 14:21:50</v>
      </c>
      <c r="L10882" s="1" t="str">
        <f>"2024-12-05 11:33:26"</f>
        <v>2024-12-05 11:33:26</v>
      </c>
      <c r="M10882" s="1" t="s">
        <v>4</v>
      </c>
      <c r="N10882" s="1" t="s">
        <v>38</v>
      </c>
      <c r="O10882" s="1" t="s">
        <v>46</v>
      </c>
    </row>
    <row r="10883" spans="2:15" x14ac:dyDescent="0.3">
      <c r="B10883" s="1" t="s">
        <v>21</v>
      </c>
      <c r="C10883" s="1" t="str">
        <f>"4차"</f>
        <v>4차</v>
      </c>
      <c r="D10883" s="1" t="str">
        <f>"9827A82344"</f>
        <v>9827A82344</v>
      </c>
      <c r="E10883" s="1" t="s">
        <v>10</v>
      </c>
      <c r="F10883" s="1" t="str">
        <f>"10.89.67.206"</f>
        <v>10.89.67.206</v>
      </c>
      <c r="G10883" s="1" t="str">
        <f>"9827A823"</f>
        <v>9827A823</v>
      </c>
      <c r="H10883" s="1" t="str">
        <f>"문화간 25R4R1"</f>
        <v>문화간 25R4R1</v>
      </c>
      <c r="I10883" s="1" t="s">
        <v>8</v>
      </c>
      <c r="J10883" s="1" t="str">
        <f>"34/37"</f>
        <v>34/37</v>
      </c>
      <c r="K10883" s="1" t="str">
        <f t="shared" ref="K10883:K10889" si="542">"2026-07-29 13:18:12"</f>
        <v>2026-07-29 13:18:12</v>
      </c>
      <c r="L10883" s="1" t="str">
        <f>"2023-07-21 17:36:05"</f>
        <v>2023-07-21 17:36:05</v>
      </c>
      <c r="M10883" s="1" t="s">
        <v>45</v>
      </c>
      <c r="N10883" s="1" t="s">
        <v>38</v>
      </c>
      <c r="O10883" s="1" t="s">
        <v>46</v>
      </c>
    </row>
    <row r="10884" spans="2:15" x14ac:dyDescent="0.3">
      <c r="B10884" s="1" t="s">
        <v>21</v>
      </c>
      <c r="C10884" s="1" t="str">
        <f>"4차"</f>
        <v>4차</v>
      </c>
      <c r="D10884" s="1" t="str">
        <f>"9827A83344"</f>
        <v>9827A83344</v>
      </c>
      <c r="E10884" s="1" t="s">
        <v>10</v>
      </c>
      <c r="F10884" s="1" t="str">
        <f>"10.11.101.18"</f>
        <v>10.11.101.18</v>
      </c>
      <c r="G10884" s="1" t="str">
        <f>"9827A833"</f>
        <v>9827A833</v>
      </c>
      <c r="H10884" s="1" t="str">
        <f>"문화간 25R3"</f>
        <v>문화간 25R3</v>
      </c>
      <c r="I10884" s="1" t="s">
        <v>8</v>
      </c>
      <c r="J10884" s="1" t="str">
        <f>"20/20"</f>
        <v>20/20</v>
      </c>
      <c r="K10884" s="1" t="str">
        <f t="shared" si="542"/>
        <v>2026-07-29 13:18:12</v>
      </c>
      <c r="L10884" s="1" t="str">
        <f>"2020-01-09 09:30:02"</f>
        <v>2020-01-09 09:30:02</v>
      </c>
      <c r="M10884" s="1" t="s">
        <v>2</v>
      </c>
      <c r="N10884" s="1" t="s">
        <v>38</v>
      </c>
      <c r="O10884" s="1" t="s">
        <v>46</v>
      </c>
    </row>
    <row r="10885" spans="2:15" x14ac:dyDescent="0.3">
      <c r="B10885" s="1" t="s">
        <v>21</v>
      </c>
      <c r="C10885" s="1" t="str">
        <f>"4차"</f>
        <v>4차</v>
      </c>
      <c r="D10885" s="1" t="str">
        <f>"9827A84144"</f>
        <v>9827A84144</v>
      </c>
      <c r="E10885" s="1" t="s">
        <v>10</v>
      </c>
      <c r="F10885" s="1" t="str">
        <f>"10.10.90.178"</f>
        <v>10.10.90.178</v>
      </c>
      <c r="G10885" s="1" t="str">
        <f>"9827A841"</f>
        <v>9827A841</v>
      </c>
      <c r="H10885" s="1" t="str">
        <f>"문화간 26R1"</f>
        <v>문화간 26R1</v>
      </c>
      <c r="I10885" s="1" t="s">
        <v>8</v>
      </c>
      <c r="J10885" s="1" t="str">
        <f>"26/26"</f>
        <v>26/26</v>
      </c>
      <c r="K10885" s="1" t="str">
        <f t="shared" si="542"/>
        <v>2026-07-29 13:18:12</v>
      </c>
      <c r="L10885" s="1" t="str">
        <f>"2020-01-10 17:23:31"</f>
        <v>2020-01-10 17:23:31</v>
      </c>
      <c r="M10885" s="1" t="s">
        <v>1</v>
      </c>
      <c r="N10885" s="1" t="s">
        <v>38</v>
      </c>
      <c r="O10885" s="1" t="s">
        <v>46</v>
      </c>
    </row>
    <row r="10886" spans="2:15" x14ac:dyDescent="0.3">
      <c r="B10886" s="1" t="s">
        <v>21</v>
      </c>
      <c r="C10886" s="1" t="str">
        <f>"1차"</f>
        <v>1차</v>
      </c>
      <c r="D10886" s="1" t="str">
        <f>"9827A85501"</f>
        <v>9827A85501</v>
      </c>
      <c r="E10886" s="1" t="s">
        <v>10</v>
      </c>
      <c r="F10886" s="1" t="str">
        <f>"10.89.67.205"</f>
        <v>10.89.67.205</v>
      </c>
      <c r="G10886" s="1" t="str">
        <f>"9827A855"</f>
        <v>9827A855</v>
      </c>
      <c r="H10886" s="1" t="str">
        <f>"문화간 29R1"</f>
        <v>문화간 29R1</v>
      </c>
      <c r="I10886" s="1" t="s">
        <v>8</v>
      </c>
      <c r="J10886" s="1" t="str">
        <f>"17/17"</f>
        <v>17/17</v>
      </c>
      <c r="K10886" s="1" t="str">
        <f t="shared" si="542"/>
        <v>2026-07-29 13:18:12</v>
      </c>
      <c r="L10886" s="1" t="str">
        <f>"2014-12-18 17:27:53"</f>
        <v>2014-12-18 17:27:53</v>
      </c>
      <c r="M10886" s="1" t="s">
        <v>45</v>
      </c>
      <c r="N10886" s="1" t="s">
        <v>38</v>
      </c>
      <c r="O10886" s="1" t="s">
        <v>46</v>
      </c>
    </row>
    <row r="10887" spans="2:15" x14ac:dyDescent="0.3">
      <c r="B10887" s="1" t="s">
        <v>21</v>
      </c>
      <c r="C10887" s="1" t="str">
        <f>"1차"</f>
        <v>1차</v>
      </c>
      <c r="D10887" s="1" t="str">
        <f>"9827A86100"</f>
        <v>9827A86100</v>
      </c>
      <c r="E10887" s="1" t="s">
        <v>10</v>
      </c>
      <c r="F10887" s="1" t="str">
        <f>"10.89.67.202"</f>
        <v>10.89.67.202</v>
      </c>
      <c r="G10887" s="1" t="str">
        <f>"9827A861"</f>
        <v>9827A861</v>
      </c>
      <c r="H10887" s="1" t="str">
        <f>"문화간 30"</f>
        <v>문화간 30</v>
      </c>
      <c r="I10887" s="1" t="s">
        <v>8</v>
      </c>
      <c r="J10887" s="1" t="str">
        <f>"3/3"</f>
        <v>3/3</v>
      </c>
      <c r="K10887" s="1" t="str">
        <f t="shared" si="542"/>
        <v>2026-07-29 13:18:12</v>
      </c>
      <c r="L10887" s="1" t="str">
        <f>"2014-12-17 10:57:37"</f>
        <v>2014-12-17 10:57:37</v>
      </c>
      <c r="M10887" s="1" t="s">
        <v>45</v>
      </c>
      <c r="N10887" s="1" t="s">
        <v>38</v>
      </c>
      <c r="O10887" s="1" t="s">
        <v>46</v>
      </c>
    </row>
    <row r="10888" spans="2:15" x14ac:dyDescent="0.3">
      <c r="B10888" s="1" t="s">
        <v>21</v>
      </c>
      <c r="C10888" s="1" t="str">
        <f>"4차"</f>
        <v>4차</v>
      </c>
      <c r="D10888" s="1" t="str">
        <f>"9827A87144"</f>
        <v>9827A87144</v>
      </c>
      <c r="E10888" s="1" t="s">
        <v>10</v>
      </c>
      <c r="F10888" s="1" t="str">
        <f>"10.10.83.98"</f>
        <v>10.10.83.98</v>
      </c>
      <c r="G10888" s="1" t="str">
        <f>"9827A871"</f>
        <v>9827A871</v>
      </c>
      <c r="H10888" s="1" t="str">
        <f>"성서간 34R2"</f>
        <v>성서간 34R2</v>
      </c>
      <c r="I10888" s="1" t="s">
        <v>8</v>
      </c>
      <c r="J10888" s="1" t="str">
        <f>"49/63"</f>
        <v>49/63</v>
      </c>
      <c r="K10888" s="1" t="str">
        <f t="shared" si="542"/>
        <v>2026-07-29 13:18:12</v>
      </c>
      <c r="L10888" s="1" t="str">
        <f>"2019-10-25 17:29:59"</f>
        <v>2019-10-25 17:29:59</v>
      </c>
      <c r="M10888" s="1" t="s">
        <v>1</v>
      </c>
      <c r="N10888" s="1" t="s">
        <v>38</v>
      </c>
      <c r="O10888" s="1" t="s">
        <v>46</v>
      </c>
    </row>
    <row r="10889" spans="2:15" x14ac:dyDescent="0.3">
      <c r="B10889" s="1" t="s">
        <v>21</v>
      </c>
      <c r="C10889" s="1" t="str">
        <f>"4차"</f>
        <v>4차</v>
      </c>
      <c r="D10889" s="1" t="str">
        <f>"9827A88144"</f>
        <v>9827A88144</v>
      </c>
      <c r="E10889" s="1" t="s">
        <v>10</v>
      </c>
      <c r="F10889" s="1" t="str">
        <f>"10.10.83.42"</f>
        <v>10.10.83.42</v>
      </c>
      <c r="G10889" s="1" t="str">
        <f>"9827A881"</f>
        <v>9827A881</v>
      </c>
      <c r="H10889" s="1" t="str">
        <f>"성서간 34"</f>
        <v>성서간 34</v>
      </c>
      <c r="I10889" s="1" t="s">
        <v>8</v>
      </c>
      <c r="J10889" s="1" t="str">
        <f>"17/17"</f>
        <v>17/17</v>
      </c>
      <c r="K10889" s="1" t="str">
        <f t="shared" si="542"/>
        <v>2026-07-29 13:18:12</v>
      </c>
      <c r="L10889" s="1" t="str">
        <f>"2019-10-25 15:34:16"</f>
        <v>2019-10-25 15:34:16</v>
      </c>
      <c r="M10889" s="1" t="s">
        <v>1</v>
      </c>
      <c r="N10889" s="1" t="s">
        <v>38</v>
      </c>
      <c r="O10889" s="1" t="s">
        <v>46</v>
      </c>
    </row>
    <row r="10890" spans="2:15" x14ac:dyDescent="0.3">
      <c r="B10890" s="1" t="s">
        <v>21</v>
      </c>
      <c r="C10890" s="1" t="str">
        <f>"4차"</f>
        <v>4차</v>
      </c>
      <c r="D10890" s="1" t="str">
        <f>"9827A88344"</f>
        <v>9827A88344</v>
      </c>
      <c r="E10890" s="1" t="s">
        <v>10</v>
      </c>
      <c r="F10890" s="1" t="str">
        <f>"10.12.138.125"</f>
        <v>10.12.138.125</v>
      </c>
      <c r="G10890" s="1" t="str">
        <f>"9827A883"</f>
        <v>9827A883</v>
      </c>
      <c r="H10890" s="1" t="str">
        <f>"성서간 36"</f>
        <v>성서간 36</v>
      </c>
      <c r="I10890" s="1" t="s">
        <v>8</v>
      </c>
      <c r="J10890" s="1" t="str">
        <f>"16/16"</f>
        <v>16/16</v>
      </c>
      <c r="K10890" s="1" t="str">
        <f>"2026-07-29 13:18:11"</f>
        <v>2026-07-29 13:18:11</v>
      </c>
      <c r="L10890" s="1" t="str">
        <f>"2020-01-09 09:51:57"</f>
        <v>2020-01-09 09:51:57</v>
      </c>
      <c r="M10890" s="1" t="s">
        <v>0</v>
      </c>
      <c r="N10890" s="1" t="s">
        <v>38</v>
      </c>
      <c r="O10890" s="1" t="s">
        <v>46</v>
      </c>
    </row>
    <row r="10891" spans="2:15" x14ac:dyDescent="0.3">
      <c r="B10891" s="1" t="s">
        <v>21</v>
      </c>
      <c r="C10891" s="1" t="str">
        <f>"4차"</f>
        <v>4차</v>
      </c>
      <c r="D10891" s="1" t="str">
        <f>"9827A89144"</f>
        <v>9827A89144</v>
      </c>
      <c r="E10891" s="1" t="s">
        <v>10</v>
      </c>
      <c r="F10891" s="1" t="str">
        <f>"10.10.83.74"</f>
        <v>10.10.83.74</v>
      </c>
      <c r="G10891" s="1" t="str">
        <f>"9827A891"</f>
        <v>9827A891</v>
      </c>
      <c r="H10891" s="1" t="str">
        <f>"성서간 34L1"</f>
        <v>성서간 34L1</v>
      </c>
      <c r="I10891" s="1" t="s">
        <v>8</v>
      </c>
      <c r="J10891" s="1" t="str">
        <f>"2/2"</f>
        <v>2/2</v>
      </c>
      <c r="K10891" s="1" t="str">
        <f>"2026-07-29 13:18:12"</f>
        <v>2026-07-29 13:18:12</v>
      </c>
      <c r="L10891" s="1" t="str">
        <f>"2019-10-25 15:47:28"</f>
        <v>2019-10-25 15:47:28</v>
      </c>
      <c r="M10891" s="1" t="s">
        <v>1</v>
      </c>
      <c r="N10891" s="1" t="s">
        <v>38</v>
      </c>
      <c r="O10891" s="1" t="s">
        <v>46</v>
      </c>
    </row>
    <row r="10892" spans="2:15" x14ac:dyDescent="0.3">
      <c r="B10892" s="1" t="s">
        <v>21</v>
      </c>
      <c r="C10892" s="1" t="str">
        <f>"4차"</f>
        <v>4차</v>
      </c>
      <c r="D10892" s="1" t="str">
        <f>"9827A93144"</f>
        <v>9827A93144</v>
      </c>
      <c r="E10892" s="1" t="s">
        <v>10</v>
      </c>
      <c r="F10892" s="1" t="str">
        <f>"10.10.87.186"</f>
        <v>10.10.87.186</v>
      </c>
      <c r="G10892" s="1" t="str">
        <f>"9827A931"</f>
        <v>9827A931</v>
      </c>
      <c r="H10892" s="1" t="str">
        <f>"문화간 25R4L1"</f>
        <v>문화간 25R4L1</v>
      </c>
      <c r="I10892" s="1" t="s">
        <v>8</v>
      </c>
      <c r="J10892" s="1" t="str">
        <f>"24/24"</f>
        <v>24/24</v>
      </c>
      <c r="K10892" s="1" t="str">
        <f>"2026-07-29 13:18:12"</f>
        <v>2026-07-29 13:18:12</v>
      </c>
      <c r="L10892" s="1" t="str">
        <f>"2019-10-25 15:13:04"</f>
        <v>2019-10-25 15:13:04</v>
      </c>
      <c r="M10892" s="1" t="s">
        <v>1</v>
      </c>
      <c r="N10892" s="1" t="s">
        <v>38</v>
      </c>
      <c r="O10892" s="1" t="s">
        <v>46</v>
      </c>
    </row>
    <row r="10893" spans="2:15" x14ac:dyDescent="0.3">
      <c r="B10893" s="1" t="s">
        <v>21</v>
      </c>
      <c r="C10893" s="1" t="str">
        <f>"1차"</f>
        <v>1차</v>
      </c>
      <c r="D10893" s="1" t="str">
        <f>"9827A96300"</f>
        <v>9827A96300</v>
      </c>
      <c r="E10893" s="1" t="s">
        <v>10</v>
      </c>
      <c r="F10893" s="1" t="str">
        <f>"10.89.67.210"</f>
        <v>10.89.67.210</v>
      </c>
      <c r="G10893" s="1" t="str">
        <f>"9827A963"</f>
        <v>9827A963</v>
      </c>
      <c r="H10893" s="1" t="str">
        <f>"문화간 29R3"</f>
        <v>문화간 29R3</v>
      </c>
      <c r="I10893" s="1" t="s">
        <v>8</v>
      </c>
      <c r="J10893" s="1" t="str">
        <f>"23/23"</f>
        <v>23/23</v>
      </c>
      <c r="K10893" s="1" t="str">
        <f>"2026-07-29 13:18:12"</f>
        <v>2026-07-29 13:18:12</v>
      </c>
      <c r="L10893" s="1" t="str">
        <f>"2014-12-18 17:28:24"</f>
        <v>2014-12-18 17:28:24</v>
      </c>
      <c r="M10893" s="1" t="s">
        <v>45</v>
      </c>
      <c r="N10893" s="1" t="s">
        <v>38</v>
      </c>
      <c r="O10893" s="1" t="s">
        <v>46</v>
      </c>
    </row>
    <row r="10894" spans="2:15" x14ac:dyDescent="0.3">
      <c r="B10894" s="1" t="s">
        <v>21</v>
      </c>
      <c r="C10894" s="1" t="str">
        <f>"1차"</f>
        <v>1차</v>
      </c>
      <c r="D10894" s="1" t="str">
        <f>"9827A97302"</f>
        <v>9827A97302</v>
      </c>
      <c r="E10894" s="1" t="s">
        <v>10</v>
      </c>
      <c r="F10894" s="1" t="str">
        <f>"10.89.67.204"</f>
        <v>10.89.67.204</v>
      </c>
      <c r="G10894" s="1" t="str">
        <f>"9827A973"</f>
        <v>9827A973</v>
      </c>
      <c r="H10894" s="1" t="str">
        <f>"문화간 29R4"</f>
        <v>문화간 29R4</v>
      </c>
      <c r="I10894" s="1" t="s">
        <v>8</v>
      </c>
      <c r="J10894" s="1" t="str">
        <f>"25/28"</f>
        <v>25/28</v>
      </c>
      <c r="K10894" s="1" t="str">
        <f>"2026-07-29 13:18:12"</f>
        <v>2026-07-29 13:18:12</v>
      </c>
      <c r="L10894" s="1" t="str">
        <f>"2014-12-18 17:27:26"</f>
        <v>2014-12-18 17:27:26</v>
      </c>
      <c r="M10894" s="1" t="s">
        <v>45</v>
      </c>
      <c r="N10894" s="1" t="s">
        <v>38</v>
      </c>
      <c r="O10894" s="1" t="s">
        <v>46</v>
      </c>
    </row>
    <row r="10895" spans="2:15" x14ac:dyDescent="0.3">
      <c r="B10895" s="1" t="s">
        <v>21</v>
      </c>
      <c r="C10895" s="1" t="str">
        <f>"4차"</f>
        <v>4차</v>
      </c>
      <c r="D10895" s="1" t="str">
        <f>"9827B01344"</f>
        <v>9827B01344</v>
      </c>
      <c r="E10895" s="1" t="s">
        <v>10</v>
      </c>
      <c r="F10895" s="1" t="str">
        <f>"10.12.138.34"</f>
        <v>10.12.138.34</v>
      </c>
      <c r="G10895" s="1" t="str">
        <f>"9827B013"</f>
        <v>9827B013</v>
      </c>
      <c r="H10895" s="1" t="str">
        <f>"문화간 25R4R4L1"</f>
        <v>문화간 25R4R4L1</v>
      </c>
      <c r="I10895" s="1" t="s">
        <v>8</v>
      </c>
      <c r="J10895" s="1" t="str">
        <f>"26/26"</f>
        <v>26/26</v>
      </c>
      <c r="K10895" s="1" t="str">
        <f>"2026-07-29 13:18:10"</f>
        <v>2026-07-29 13:18:10</v>
      </c>
      <c r="L10895" s="1" t="str">
        <f>"2019-11-11 20:06:42"</f>
        <v>2019-11-11 20:06:42</v>
      </c>
      <c r="M10895" s="1" t="s">
        <v>0</v>
      </c>
      <c r="N10895" s="1" t="s">
        <v>38</v>
      </c>
      <c r="O10895" s="1" t="s">
        <v>46</v>
      </c>
    </row>
    <row r="10896" spans="2:15" x14ac:dyDescent="0.3">
      <c r="B10896" s="1" t="s">
        <v>21</v>
      </c>
      <c r="C10896" s="1" t="str">
        <f>"3차"</f>
        <v>3차</v>
      </c>
      <c r="D10896" s="1" t="str">
        <f>"9827B02239"</f>
        <v>9827B02239</v>
      </c>
      <c r="E10896" s="1" t="s">
        <v>10</v>
      </c>
      <c r="F10896" s="1" t="str">
        <f>"10.14.11.127"</f>
        <v>10.14.11.127</v>
      </c>
      <c r="G10896" s="1" t="str">
        <f>"9827B022"</f>
        <v>9827B022</v>
      </c>
      <c r="H10896" s="1" t="str">
        <f>"문화간 25R6"</f>
        <v>문화간 25R6</v>
      </c>
      <c r="I10896" s="1" t="s">
        <v>8</v>
      </c>
      <c r="J10896" s="1" t="str">
        <f>"33/33"</f>
        <v>33/33</v>
      </c>
      <c r="K10896" s="1" t="str">
        <f>"2026-07-29 13:18:14"</f>
        <v>2026-07-29 13:18:14</v>
      </c>
      <c r="L10896" s="1" t="str">
        <f>"2018-04-25 13:21:43"</f>
        <v>2018-04-25 13:21:43</v>
      </c>
      <c r="M10896" s="1" t="s">
        <v>3</v>
      </c>
      <c r="N10896" s="1" t="s">
        <v>38</v>
      </c>
      <c r="O10896" s="1" t="s">
        <v>46</v>
      </c>
    </row>
    <row r="10897" spans="2:15" x14ac:dyDescent="0.3">
      <c r="B10897" s="1" t="s">
        <v>21</v>
      </c>
      <c r="C10897" s="1" t="str">
        <f>"4차"</f>
        <v>4차</v>
      </c>
      <c r="D10897" s="1" t="str">
        <f>"9827B03444"</f>
        <v>9827B03444</v>
      </c>
      <c r="E10897" s="1" t="s">
        <v>10</v>
      </c>
      <c r="F10897" s="1" t="str">
        <f>"10.10.70.162"</f>
        <v>10.10.70.162</v>
      </c>
      <c r="G10897" s="1" t="str">
        <f>"9827B034"</f>
        <v>9827B034</v>
      </c>
      <c r="H10897" s="1" t="str">
        <f>"문화간 25R4L3"</f>
        <v>문화간 25R4L3</v>
      </c>
      <c r="I10897" s="1" t="s">
        <v>8</v>
      </c>
      <c r="J10897" s="1" t="str">
        <f>"78/78"</f>
        <v>78/78</v>
      </c>
      <c r="K10897" s="1" t="str">
        <f>"2026-07-29 13:18:12"</f>
        <v>2026-07-29 13:18:12</v>
      </c>
      <c r="L10897" s="1" t="str">
        <f>"2019-10-25 15:25:50"</f>
        <v>2019-10-25 15:25:50</v>
      </c>
      <c r="M10897" s="1" t="s">
        <v>1</v>
      </c>
      <c r="N10897" s="1" t="s">
        <v>38</v>
      </c>
      <c r="O10897" s="1" t="s">
        <v>46</v>
      </c>
    </row>
    <row r="10898" spans="2:15" x14ac:dyDescent="0.3">
      <c r="B10898" s="1" t="s">
        <v>21</v>
      </c>
      <c r="C10898" s="1" t="str">
        <f>"4차"</f>
        <v>4차</v>
      </c>
      <c r="D10898" s="1" t="str">
        <f>"9827B10244"</f>
        <v>9827B10244</v>
      </c>
      <c r="E10898" s="1" t="s">
        <v>10</v>
      </c>
      <c r="F10898" s="1" t="str">
        <f>"10.12.137.243"</f>
        <v>10.12.137.243</v>
      </c>
      <c r="G10898" s="1" t="str">
        <f>"9827B102"</f>
        <v>9827B102</v>
      </c>
      <c r="H10898" s="1" t="str">
        <f>"문화간 25R9"</f>
        <v>문화간 25R9</v>
      </c>
      <c r="I10898" s="1" t="s">
        <v>8</v>
      </c>
      <c r="J10898" s="1" t="str">
        <f>"13/13"</f>
        <v>13/13</v>
      </c>
      <c r="K10898" s="1" t="str">
        <f>"2026-07-29 13:18:13"</f>
        <v>2026-07-29 13:18:13</v>
      </c>
      <c r="L10898" s="1" t="str">
        <f>"2020-01-28 14:41:35"</f>
        <v>2020-01-28 14:41:35</v>
      </c>
      <c r="M10898" s="1" t="s">
        <v>0</v>
      </c>
      <c r="N10898" s="1" t="s">
        <v>38</v>
      </c>
      <c r="O10898" s="1" t="s">
        <v>46</v>
      </c>
    </row>
    <row r="10899" spans="2:15" x14ac:dyDescent="0.3">
      <c r="B10899" s="1" t="s">
        <v>21</v>
      </c>
      <c r="C10899" s="1" t="str">
        <f>"4차"</f>
        <v>4차</v>
      </c>
      <c r="D10899" s="1" t="str">
        <f>"9827B12144"</f>
        <v>9827B12144</v>
      </c>
      <c r="E10899" s="1" t="s">
        <v>10</v>
      </c>
      <c r="F10899" s="1" t="str">
        <f>"10.10.90.42"</f>
        <v>10.10.90.42</v>
      </c>
      <c r="G10899" s="1" t="str">
        <f>"9827B121"</f>
        <v>9827B121</v>
      </c>
      <c r="H10899" s="1" t="str">
        <f>"문화간 25R4L7"</f>
        <v>문화간 25R4L7</v>
      </c>
      <c r="I10899" s="1" t="s">
        <v>8</v>
      </c>
      <c r="J10899" s="1" t="str">
        <f>"70/71"</f>
        <v>70/71</v>
      </c>
      <c r="K10899" s="1" t="str">
        <f>"2026-07-29 13:18:12"</f>
        <v>2026-07-29 13:18:12</v>
      </c>
      <c r="L10899" s="1" t="str">
        <f>"2019-10-25 17:16:06"</f>
        <v>2019-10-25 17:16:06</v>
      </c>
      <c r="M10899" s="1" t="s">
        <v>1</v>
      </c>
      <c r="N10899" s="1" t="s">
        <v>38</v>
      </c>
      <c r="O10899" s="1" t="s">
        <v>46</v>
      </c>
    </row>
    <row r="10900" spans="2:15" x14ac:dyDescent="0.3">
      <c r="B10900" s="1" t="s">
        <v>21</v>
      </c>
      <c r="C10900" s="1" t="str">
        <f>"4차"</f>
        <v>4차</v>
      </c>
      <c r="D10900" s="1" t="str">
        <f>"9827B13244"</f>
        <v>9827B13244</v>
      </c>
      <c r="E10900" s="1" t="s">
        <v>10</v>
      </c>
      <c r="F10900" s="1" t="str">
        <f>"10.10.90.26"</f>
        <v>10.10.90.26</v>
      </c>
      <c r="G10900" s="1" t="str">
        <f>"9827B132"</f>
        <v>9827B132</v>
      </c>
      <c r="H10900" s="1" t="str">
        <f>"문화간 25R4L5"</f>
        <v>문화간 25R4L5</v>
      </c>
      <c r="I10900" s="1" t="s">
        <v>8</v>
      </c>
      <c r="J10900" s="1" t="str">
        <f>"35/35"</f>
        <v>35/35</v>
      </c>
      <c r="K10900" s="1" t="str">
        <f>"2026-07-29 13:18:12"</f>
        <v>2026-07-29 13:18:12</v>
      </c>
      <c r="L10900" s="1" t="str">
        <f>"2019-10-25 17:51:14"</f>
        <v>2019-10-25 17:51:14</v>
      </c>
      <c r="M10900" s="1" t="s">
        <v>1</v>
      </c>
      <c r="N10900" s="1" t="s">
        <v>38</v>
      </c>
      <c r="O10900" s="1" t="s">
        <v>46</v>
      </c>
    </row>
    <row r="10901" spans="2:15" x14ac:dyDescent="0.3">
      <c r="B10901" s="1" t="s">
        <v>21</v>
      </c>
      <c r="C10901" s="1" t="str">
        <f>"4차"</f>
        <v>4차</v>
      </c>
      <c r="D10901" s="1" t="str">
        <f>"9827B13344"</f>
        <v>9827B13344</v>
      </c>
      <c r="E10901" s="1" t="s">
        <v>10</v>
      </c>
      <c r="F10901" s="1" t="str">
        <f>"10.10.70.154"</f>
        <v>10.10.70.154</v>
      </c>
      <c r="G10901" s="1" t="str">
        <f>"9827B133"</f>
        <v>9827B133</v>
      </c>
      <c r="H10901" s="1" t="str">
        <f>"문화간 25R4L3L1"</f>
        <v>문화간 25R4L3L1</v>
      </c>
      <c r="I10901" s="1" t="s">
        <v>8</v>
      </c>
      <c r="J10901" s="1" t="str">
        <f>"61/65"</f>
        <v>61/65</v>
      </c>
      <c r="K10901" s="1" t="str">
        <f>"2026-07-29 13:18:12"</f>
        <v>2026-07-29 13:18:12</v>
      </c>
      <c r="L10901" s="1" t="str">
        <f>"2019-10-25 15:43:50"</f>
        <v>2019-10-25 15:43:50</v>
      </c>
      <c r="M10901" s="1" t="s">
        <v>1</v>
      </c>
      <c r="N10901" s="1" t="s">
        <v>38</v>
      </c>
      <c r="O10901" s="1" t="s">
        <v>46</v>
      </c>
    </row>
    <row r="10902" spans="2:15" x14ac:dyDescent="0.3">
      <c r="B10902" s="1" t="s">
        <v>21</v>
      </c>
      <c r="C10902" s="1" t="str">
        <f>"5-2차"</f>
        <v>5-2차</v>
      </c>
      <c r="D10902" s="1" t="str">
        <f>"9827B1935S"</f>
        <v>9827B1935S</v>
      </c>
      <c r="E10902" s="1" t="s">
        <v>10</v>
      </c>
      <c r="F10902" s="1" t="str">
        <f>"fde3:102:1302:3105:0:0:0:2"</f>
        <v>fde3:102:1302:3105:0:0:0:2</v>
      </c>
      <c r="G10902" s="1" t="str">
        <f>"9827B193"</f>
        <v>9827B193</v>
      </c>
      <c r="H10902" s="1" t="str">
        <f>"포방지 57"</f>
        <v>포방지 57</v>
      </c>
      <c r="I10902" s="1" t="s">
        <v>15</v>
      </c>
      <c r="J10902" s="1" t="str">
        <f>"69/69"</f>
        <v>69/69</v>
      </c>
      <c r="K10902" s="1" t="str">
        <f>"2026-07-29 14:21:47"</f>
        <v>2026-07-29 14:21:47</v>
      </c>
      <c r="L10902" s="1" t="str">
        <f>"2023-08-24 17:07:32"</f>
        <v>2023-08-24 17:07:32</v>
      </c>
      <c r="M10902" s="1" t="s">
        <v>45</v>
      </c>
      <c r="N10902" s="1" t="s">
        <v>38</v>
      </c>
      <c r="O10902" s="1" t="s">
        <v>46</v>
      </c>
    </row>
    <row r="10903" spans="2:15" x14ac:dyDescent="0.3">
      <c r="B10903" s="1" t="s">
        <v>21</v>
      </c>
      <c r="C10903" s="1" t="str">
        <f>"4차"</f>
        <v>4차</v>
      </c>
      <c r="D10903" s="1" t="str">
        <f>"9827B21144"</f>
        <v>9827B21144</v>
      </c>
      <c r="E10903" s="1" t="s">
        <v>10</v>
      </c>
      <c r="F10903" s="1" t="str">
        <f>"10.10.89.250"</f>
        <v>10.10.89.250</v>
      </c>
      <c r="G10903" s="1" t="str">
        <f>"9827B211"</f>
        <v>9827B211</v>
      </c>
      <c r="H10903" s="1" t="str">
        <f>"문화간 25R4L8"</f>
        <v>문화간 25R4L8</v>
      </c>
      <c r="I10903" s="1" t="s">
        <v>8</v>
      </c>
      <c r="J10903" s="1" t="str">
        <f>"47/47"</f>
        <v>47/47</v>
      </c>
      <c r="K10903" s="1" t="str">
        <f>"2026-07-29 13:18:12"</f>
        <v>2026-07-29 13:18:12</v>
      </c>
      <c r="L10903" s="1" t="str">
        <f>"2019-10-25 17:03:05"</f>
        <v>2019-10-25 17:03:05</v>
      </c>
      <c r="M10903" s="1" t="s">
        <v>1</v>
      </c>
      <c r="N10903" s="1" t="s">
        <v>38</v>
      </c>
      <c r="O10903" s="1" t="s">
        <v>46</v>
      </c>
    </row>
    <row r="10904" spans="2:15" x14ac:dyDescent="0.3">
      <c r="B10904" s="1" t="s">
        <v>21</v>
      </c>
      <c r="C10904" s="1" t="str">
        <f>"4차"</f>
        <v>4차</v>
      </c>
      <c r="D10904" s="1" t="str">
        <f>"9827B23144"</f>
        <v>9827B23144</v>
      </c>
      <c r="E10904" s="1" t="s">
        <v>10</v>
      </c>
      <c r="F10904" s="1" t="str">
        <f>"10.12.138.143"</f>
        <v>10.12.138.143</v>
      </c>
      <c r="G10904" s="1" t="str">
        <f>"9827B231"</f>
        <v>9827B231</v>
      </c>
      <c r="H10904" s="1" t="str">
        <f>"문화간 25R4L3L3"</f>
        <v>문화간 25R4L3L3</v>
      </c>
      <c r="I10904" s="1" t="s">
        <v>8</v>
      </c>
      <c r="J10904" s="1" t="str">
        <f>"29/29"</f>
        <v>29/29</v>
      </c>
      <c r="K10904" s="1" t="str">
        <f>"2026-07-29 07:18:13"</f>
        <v>2026-07-29 07:18:13</v>
      </c>
      <c r="L10904" s="1" t="str">
        <f>"2020-01-09 09:14:15"</f>
        <v>2020-01-09 09:14:15</v>
      </c>
      <c r="M10904" s="1" t="s">
        <v>0</v>
      </c>
      <c r="N10904" s="1" t="s">
        <v>38</v>
      </c>
      <c r="O10904" s="1" t="s">
        <v>46</v>
      </c>
    </row>
    <row r="10905" spans="2:15" x14ac:dyDescent="0.3">
      <c r="B10905" s="1" t="s">
        <v>21</v>
      </c>
      <c r="C10905" s="1" t="str">
        <f>"4차"</f>
        <v>4차</v>
      </c>
      <c r="D10905" s="1" t="str">
        <f>"9827B23544"</f>
        <v>9827B23544</v>
      </c>
      <c r="E10905" s="1" t="s">
        <v>10</v>
      </c>
      <c r="F10905" s="1" t="str">
        <f>"10.10.89.210"</f>
        <v>10.10.89.210</v>
      </c>
      <c r="G10905" s="1" t="str">
        <f>"9827B235"</f>
        <v>9827B235</v>
      </c>
      <c r="H10905" s="1" t="str">
        <f>"문화간 25R4L3L2"</f>
        <v>문화간 25R4L3L2</v>
      </c>
      <c r="I10905" s="1" t="s">
        <v>8</v>
      </c>
      <c r="J10905" s="1" t="str">
        <f>"29/29"</f>
        <v>29/29</v>
      </c>
      <c r="K10905" s="1" t="str">
        <f>"2026-07-29 13:18:12"</f>
        <v>2026-07-29 13:18:12</v>
      </c>
      <c r="L10905" s="1" t="str">
        <f>"2019-10-25 16:23:05"</f>
        <v>2019-10-25 16:23:05</v>
      </c>
      <c r="M10905" s="1" t="s">
        <v>1</v>
      </c>
      <c r="N10905" s="1" t="s">
        <v>38</v>
      </c>
      <c r="O10905" s="1" t="s">
        <v>46</v>
      </c>
    </row>
    <row r="10906" spans="2:15" x14ac:dyDescent="0.3">
      <c r="B10906" s="1" t="s">
        <v>21</v>
      </c>
      <c r="C10906" s="1" t="str">
        <f>"4차"</f>
        <v>4차</v>
      </c>
      <c r="D10906" s="1" t="str">
        <f>"9827B31444"</f>
        <v>9827B31444</v>
      </c>
      <c r="E10906" s="1" t="s">
        <v>10</v>
      </c>
      <c r="F10906" s="1" t="str">
        <f>"10.10.70.178"</f>
        <v>10.10.70.178</v>
      </c>
      <c r="G10906" s="1" t="str">
        <f>"9827B314"</f>
        <v>9827B314</v>
      </c>
      <c r="H10906" s="1" t="str">
        <f>"문화간 25R4L10"</f>
        <v>문화간 25R4L10</v>
      </c>
      <c r="I10906" s="1" t="s">
        <v>8</v>
      </c>
      <c r="J10906" s="1" t="str">
        <f>"57/57"</f>
        <v>57/57</v>
      </c>
      <c r="K10906" s="1" t="str">
        <f>"2026-07-29 13:18:12"</f>
        <v>2026-07-29 13:18:12</v>
      </c>
      <c r="L10906" s="1" t="str">
        <f>"2019-10-25 16:43:04"</f>
        <v>2019-10-25 16:43:04</v>
      </c>
      <c r="M10906" s="1" t="s">
        <v>1</v>
      </c>
      <c r="N10906" s="1" t="s">
        <v>38</v>
      </c>
      <c r="O10906" s="1" t="s">
        <v>46</v>
      </c>
    </row>
    <row r="10907" spans="2:15" x14ac:dyDescent="0.3">
      <c r="B10907" s="1" t="s">
        <v>21</v>
      </c>
      <c r="C10907" s="1" t="str">
        <f>"5-2차"</f>
        <v>5-2차</v>
      </c>
      <c r="D10907" s="1" t="str">
        <f>"9827B3735M"</f>
        <v>9827B3735M</v>
      </c>
      <c r="E10907" s="1" t="s">
        <v>10</v>
      </c>
      <c r="F10907" s="1" t="str">
        <f>"fde1:103:4:9131:0:0:0:2"</f>
        <v>fde1:103:4:9131:0:0:0:2</v>
      </c>
      <c r="G10907" s="1" t="str">
        <f>"9827B373"</f>
        <v>9827B373</v>
      </c>
      <c r="H10907" s="1" t="str">
        <f>"포방지 63"</f>
        <v>포방지 63</v>
      </c>
      <c r="I10907" s="1" t="s">
        <v>15</v>
      </c>
      <c r="J10907" s="1" t="str">
        <f>"66/67"</f>
        <v>66/67</v>
      </c>
      <c r="K10907" s="1" t="str">
        <f>"2026-07-29 14:21:48"</f>
        <v>2026-07-29 14:21:48</v>
      </c>
      <c r="L10907" s="1" t="str">
        <f>"2024-01-19 11:07:01"</f>
        <v>2024-01-19 11:07:01</v>
      </c>
      <c r="M10907" s="1" t="s">
        <v>4</v>
      </c>
      <c r="N10907" s="1" t="s">
        <v>38</v>
      </c>
      <c r="O10907" s="1" t="s">
        <v>46</v>
      </c>
    </row>
    <row r="10908" spans="2:15" x14ac:dyDescent="0.3">
      <c r="B10908" s="1" t="s">
        <v>21</v>
      </c>
      <c r="C10908" s="1" t="str">
        <f>"5-2차"</f>
        <v>5-2차</v>
      </c>
      <c r="D10908" s="1" t="str">
        <f>"9827B8825S"</f>
        <v>9827B8825S</v>
      </c>
      <c r="E10908" s="1" t="s">
        <v>10</v>
      </c>
      <c r="F10908" s="1" t="str">
        <f>"fde3:102:1302:3106:0:0:0:2"</f>
        <v>fde3:102:1302:3106:0:0:0:2</v>
      </c>
      <c r="G10908" s="1" t="str">
        <f>"9827B882"</f>
        <v>9827B882</v>
      </c>
      <c r="H10908" s="1" t="str">
        <f>"문화간 43R3"</f>
        <v>문화간 43R3</v>
      </c>
      <c r="I10908" s="1" t="s">
        <v>15</v>
      </c>
      <c r="J10908" s="1" t="str">
        <f>"79/81"</f>
        <v>79/81</v>
      </c>
      <c r="K10908" s="1" t="str">
        <f>"2026-07-29 14:21:48"</f>
        <v>2026-07-29 14:21:48</v>
      </c>
      <c r="L10908" s="1" t="str">
        <f>"2024-01-26 13:06:50"</f>
        <v>2024-01-26 13:06:50</v>
      </c>
      <c r="M10908" s="1" t="s">
        <v>45</v>
      </c>
      <c r="N10908" s="1" t="s">
        <v>38</v>
      </c>
      <c r="O10908" s="1" t="s">
        <v>46</v>
      </c>
    </row>
    <row r="10909" spans="2:15" x14ac:dyDescent="0.3">
      <c r="B10909" s="1" t="s">
        <v>21</v>
      </c>
      <c r="C10909" s="1" t="str">
        <f>"4차"</f>
        <v>4차</v>
      </c>
      <c r="D10909" s="1" t="str">
        <f>"9827C00439"</f>
        <v>9827C00439</v>
      </c>
      <c r="E10909" s="1" t="s">
        <v>10</v>
      </c>
      <c r="F10909" s="1" t="str">
        <f>"10.12.133.189"</f>
        <v>10.12.133.189</v>
      </c>
      <c r="G10909" s="1" t="str">
        <f>"9827C004"</f>
        <v>9827C004</v>
      </c>
      <c r="H10909" s="1" t="str">
        <f>"홍제 R18-1"</f>
        <v>홍제 R18-1</v>
      </c>
      <c r="I10909" s="1" t="s">
        <v>17</v>
      </c>
      <c r="J10909" s="1" t="str">
        <f>"2/2"</f>
        <v>2/2</v>
      </c>
      <c r="K10909" s="1" t="str">
        <f>"2026-07-29 13:18:13"</f>
        <v>2026-07-29 13:18:13</v>
      </c>
      <c r="L10909" s="1" t="str">
        <f>"2018-08-03 11:32:40"</f>
        <v>2018-08-03 11:32:40</v>
      </c>
      <c r="M10909" s="1" t="s">
        <v>0</v>
      </c>
      <c r="N10909" s="1" t="s">
        <v>38</v>
      </c>
      <c r="O10909" s="1" t="s">
        <v>46</v>
      </c>
    </row>
    <row r="10910" spans="2:15" x14ac:dyDescent="0.3">
      <c r="B10910" s="1" t="s">
        <v>21</v>
      </c>
      <c r="C10910" s="1" t="str">
        <f t="shared" ref="C10910:C10919" si="543">"3차"</f>
        <v>3차</v>
      </c>
      <c r="D10910" s="1" t="str">
        <f>"9827C01139"</f>
        <v>9827C01139</v>
      </c>
      <c r="E10910" s="1" t="s">
        <v>10</v>
      </c>
      <c r="F10910" s="1" t="str">
        <f>"10.128.100.226"</f>
        <v>10.128.100.226</v>
      </c>
      <c r="G10910" s="1" t="str">
        <f>"9827C011"</f>
        <v>9827C011</v>
      </c>
      <c r="H10910" s="1" t="str">
        <f>"문화간 4L3"</f>
        <v>문화간 4L3</v>
      </c>
      <c r="I10910" s="1" t="s">
        <v>8</v>
      </c>
      <c r="J10910" s="1" t="str">
        <f>"71/72"</f>
        <v>71/72</v>
      </c>
      <c r="K10910" s="1" t="str">
        <f t="shared" ref="K10910:K10920" si="544">"2026-07-29 13:18:12"</f>
        <v>2026-07-29 13:18:12</v>
      </c>
      <c r="L10910" s="1" t="str">
        <f>"2018-05-21 12:35:36"</f>
        <v>2018-05-21 12:35:36</v>
      </c>
      <c r="M10910" s="1" t="s">
        <v>45</v>
      </c>
      <c r="N10910" s="1" t="s">
        <v>38</v>
      </c>
      <c r="O10910" s="1" t="s">
        <v>46</v>
      </c>
    </row>
    <row r="10911" spans="2:15" x14ac:dyDescent="0.3">
      <c r="B10911" s="1" t="s">
        <v>21</v>
      </c>
      <c r="C10911" s="1" t="str">
        <f t="shared" si="543"/>
        <v>3차</v>
      </c>
      <c r="D10911" s="1" t="str">
        <f>"9827C03239"</f>
        <v>9827C03239</v>
      </c>
      <c r="E10911" s="1" t="s">
        <v>10</v>
      </c>
      <c r="F10911" s="1" t="str">
        <f>"10.128.75.50"</f>
        <v>10.128.75.50</v>
      </c>
      <c r="G10911" s="1" t="str">
        <f>"9827C032"</f>
        <v>9827C032</v>
      </c>
      <c r="H10911" s="1" t="str">
        <f>"문화간 17L10L8L3"</f>
        <v>문화간 17L10L8L3</v>
      </c>
      <c r="I10911" s="1" t="s">
        <v>8</v>
      </c>
      <c r="J10911" s="1" t="str">
        <f>"49/50"</f>
        <v>49/50</v>
      </c>
      <c r="K10911" s="1" t="str">
        <f t="shared" si="544"/>
        <v>2026-07-29 13:18:12</v>
      </c>
      <c r="L10911" s="1" t="str">
        <f>"2018-05-21 13:26:08"</f>
        <v>2018-05-21 13:26:08</v>
      </c>
      <c r="M10911" s="1" t="s">
        <v>45</v>
      </c>
      <c r="N10911" s="1" t="s">
        <v>38</v>
      </c>
      <c r="O10911" s="1" t="s">
        <v>46</v>
      </c>
    </row>
    <row r="10912" spans="2:15" x14ac:dyDescent="0.3">
      <c r="B10912" s="1" t="s">
        <v>21</v>
      </c>
      <c r="C10912" s="1" t="str">
        <f t="shared" si="543"/>
        <v>3차</v>
      </c>
      <c r="D10912" s="1" t="str">
        <f>"9827C04139"</f>
        <v>9827C04139</v>
      </c>
      <c r="E10912" s="1" t="s">
        <v>10</v>
      </c>
      <c r="F10912" s="1" t="str">
        <f>"10.128.100.218"</f>
        <v>10.128.100.218</v>
      </c>
      <c r="G10912" s="1" t="str">
        <f>"9827C041"</f>
        <v>9827C041</v>
      </c>
      <c r="H10912" s="1" t="str">
        <f>"문화간 17L10L8"</f>
        <v>문화간 17L10L8</v>
      </c>
      <c r="I10912" s="1" t="s">
        <v>8</v>
      </c>
      <c r="J10912" s="1" t="str">
        <f>"23/23"</f>
        <v>23/23</v>
      </c>
      <c r="K10912" s="1" t="str">
        <f t="shared" si="544"/>
        <v>2026-07-29 13:18:12</v>
      </c>
      <c r="L10912" s="1" t="str">
        <f>"2018-05-21 11:39:35"</f>
        <v>2018-05-21 11:39:35</v>
      </c>
      <c r="M10912" s="1" t="s">
        <v>45</v>
      </c>
      <c r="N10912" s="1" t="s">
        <v>38</v>
      </c>
      <c r="O10912" s="1" t="s">
        <v>46</v>
      </c>
    </row>
    <row r="10913" spans="2:15" x14ac:dyDescent="0.3">
      <c r="B10913" s="1" t="s">
        <v>21</v>
      </c>
      <c r="C10913" s="1" t="str">
        <f t="shared" si="543"/>
        <v>3차</v>
      </c>
      <c r="D10913" s="1" t="str">
        <f>"9827C05139"</f>
        <v>9827C05139</v>
      </c>
      <c r="E10913" s="1" t="s">
        <v>10</v>
      </c>
      <c r="F10913" s="1" t="str">
        <f>"10.128.100.219"</f>
        <v>10.128.100.219</v>
      </c>
      <c r="G10913" s="1" t="str">
        <f>"9827C051"</f>
        <v>9827C051</v>
      </c>
      <c r="H10913" s="1" t="str">
        <f>"문화간 17L10L6"</f>
        <v>문화간 17L10L6</v>
      </c>
      <c r="I10913" s="1" t="s">
        <v>8</v>
      </c>
      <c r="J10913" s="1" t="str">
        <f>"24/24"</f>
        <v>24/24</v>
      </c>
      <c r="K10913" s="1" t="str">
        <f t="shared" si="544"/>
        <v>2026-07-29 13:18:12</v>
      </c>
      <c r="L10913" s="1" t="str">
        <f>"2018-05-21 12:51:05"</f>
        <v>2018-05-21 12:51:05</v>
      </c>
      <c r="M10913" s="1" t="s">
        <v>45</v>
      </c>
      <c r="N10913" s="1" t="s">
        <v>38</v>
      </c>
      <c r="O10913" s="1" t="s">
        <v>46</v>
      </c>
    </row>
    <row r="10914" spans="2:15" x14ac:dyDescent="0.3">
      <c r="B10914" s="1" t="s">
        <v>21</v>
      </c>
      <c r="C10914" s="1" t="str">
        <f t="shared" si="543"/>
        <v>3차</v>
      </c>
      <c r="D10914" s="1" t="str">
        <f>"9827C06239"</f>
        <v>9827C06239</v>
      </c>
      <c r="E10914" s="1" t="s">
        <v>10</v>
      </c>
      <c r="F10914" s="1" t="str">
        <f>"10.128.34.90"</f>
        <v>10.128.34.90</v>
      </c>
      <c r="G10914" s="1" t="str">
        <f>"9827C062"</f>
        <v>9827C062</v>
      </c>
      <c r="H10914" s="1" t="str">
        <f>"문화간 17L10L14"</f>
        <v>문화간 17L10L14</v>
      </c>
      <c r="I10914" s="1" t="s">
        <v>8</v>
      </c>
      <c r="J10914" s="1" t="str">
        <f>"48/48"</f>
        <v>48/48</v>
      </c>
      <c r="K10914" s="1" t="str">
        <f t="shared" si="544"/>
        <v>2026-07-29 13:18:12</v>
      </c>
      <c r="L10914" s="1" t="str">
        <f>"2018-05-21 11:40:36"</f>
        <v>2018-05-21 11:40:36</v>
      </c>
      <c r="M10914" s="1" t="s">
        <v>45</v>
      </c>
      <c r="N10914" s="1" t="s">
        <v>38</v>
      </c>
      <c r="O10914" s="1" t="s">
        <v>46</v>
      </c>
    </row>
    <row r="10915" spans="2:15" x14ac:dyDescent="0.3">
      <c r="B10915" s="1" t="s">
        <v>21</v>
      </c>
      <c r="C10915" s="1" t="str">
        <f t="shared" si="543"/>
        <v>3차</v>
      </c>
      <c r="D10915" s="1" t="str">
        <f>"9827C08139"</f>
        <v>9827C08139</v>
      </c>
      <c r="E10915" s="1" t="str">
        <f>"검침실패(3시간 이상)"</f>
        <v>검침실패(3시간 이상)</v>
      </c>
      <c r="F10915" s="1" t="str">
        <f>"10.128.34.91"</f>
        <v>10.128.34.91</v>
      </c>
      <c r="G10915" s="1" t="str">
        <f>"9827C081"</f>
        <v>9827C081</v>
      </c>
      <c r="H10915" s="1" t="str">
        <f>"문화간 17L10R1"</f>
        <v>문화간 17L10R1</v>
      </c>
      <c r="I10915" s="1" t="s">
        <v>8</v>
      </c>
      <c r="J10915" s="1" t="str">
        <f>"0/4"</f>
        <v>0/4</v>
      </c>
      <c r="K10915" s="1" t="str">
        <f t="shared" si="544"/>
        <v>2026-07-29 13:18:12</v>
      </c>
      <c r="L10915" s="1" t="str">
        <f>"2018-05-21 12:46:57"</f>
        <v>2018-05-21 12:46:57</v>
      </c>
      <c r="M10915" s="1" t="s">
        <v>45</v>
      </c>
      <c r="N10915" s="1" t="s">
        <v>38</v>
      </c>
      <c r="O10915" s="1" t="s">
        <v>46</v>
      </c>
    </row>
    <row r="10916" spans="2:15" x14ac:dyDescent="0.3">
      <c r="B10916" s="1" t="s">
        <v>21</v>
      </c>
      <c r="C10916" s="1" t="str">
        <f t="shared" si="543"/>
        <v>3차</v>
      </c>
      <c r="D10916" s="1" t="str">
        <f>"9827C13139"</f>
        <v>9827C13139</v>
      </c>
      <c r="E10916" s="1" t="s">
        <v>10</v>
      </c>
      <c r="F10916" s="1" t="str">
        <f>"10.128.75.58"</f>
        <v>10.128.75.58</v>
      </c>
      <c r="G10916" s="1" t="str">
        <f>"9827C131"</f>
        <v>9827C131</v>
      </c>
      <c r="H10916" s="1" t="str">
        <f>"문화간 17L10L8L4"</f>
        <v>문화간 17L10L8L4</v>
      </c>
      <c r="I10916" s="1" t="s">
        <v>8</v>
      </c>
      <c r="J10916" s="1" t="str">
        <f>"33/33"</f>
        <v>33/33</v>
      </c>
      <c r="K10916" s="1" t="str">
        <f t="shared" si="544"/>
        <v>2026-07-29 13:18:12</v>
      </c>
      <c r="L10916" s="1" t="str">
        <f>"2018-05-21 13:25:21"</f>
        <v>2018-05-21 13:25:21</v>
      </c>
      <c r="M10916" s="1" t="s">
        <v>45</v>
      </c>
      <c r="N10916" s="1" t="s">
        <v>38</v>
      </c>
      <c r="O10916" s="1" t="s">
        <v>46</v>
      </c>
    </row>
    <row r="10917" spans="2:15" x14ac:dyDescent="0.3">
      <c r="B10917" s="1" t="s">
        <v>21</v>
      </c>
      <c r="C10917" s="1" t="str">
        <f t="shared" si="543"/>
        <v>3차</v>
      </c>
      <c r="D10917" s="1" t="str">
        <f>"9827C16239"</f>
        <v>9827C16239</v>
      </c>
      <c r="E10917" s="1" t="s">
        <v>10</v>
      </c>
      <c r="F10917" s="1" t="str">
        <f>"10.128.75.52"</f>
        <v>10.128.75.52</v>
      </c>
      <c r="G10917" s="1" t="str">
        <f>"9827C162"</f>
        <v>9827C162</v>
      </c>
      <c r="H10917" s="1" t="str">
        <f>"문화간 17L10L4"</f>
        <v>문화간 17L10L4</v>
      </c>
      <c r="I10917" s="1" t="s">
        <v>8</v>
      </c>
      <c r="J10917" s="1" t="str">
        <f>"57/57"</f>
        <v>57/57</v>
      </c>
      <c r="K10917" s="1" t="str">
        <f t="shared" si="544"/>
        <v>2026-07-29 13:18:12</v>
      </c>
      <c r="L10917" s="1" t="str">
        <f>"2018-05-21 12:34:51"</f>
        <v>2018-05-21 12:34:51</v>
      </c>
      <c r="M10917" s="1" t="s">
        <v>45</v>
      </c>
      <c r="N10917" s="1" t="s">
        <v>38</v>
      </c>
      <c r="O10917" s="1" t="s">
        <v>46</v>
      </c>
    </row>
    <row r="10918" spans="2:15" x14ac:dyDescent="0.3">
      <c r="B10918" s="1" t="s">
        <v>21</v>
      </c>
      <c r="C10918" s="1" t="str">
        <f t="shared" si="543"/>
        <v>3차</v>
      </c>
      <c r="D10918" s="1" t="str">
        <f>"9827C16339"</f>
        <v>9827C16339</v>
      </c>
      <c r="E10918" s="1" t="s">
        <v>10</v>
      </c>
      <c r="F10918" s="1" t="str">
        <f>"10.128.75.59"</f>
        <v>10.128.75.59</v>
      </c>
      <c r="G10918" s="1" t="str">
        <f>"9827C163"</f>
        <v>9827C163</v>
      </c>
      <c r="H10918" s="1" t="str">
        <f>"문화간 17L10L3"</f>
        <v>문화간 17L10L3</v>
      </c>
      <c r="I10918" s="1" t="s">
        <v>8</v>
      </c>
      <c r="J10918" s="1" t="str">
        <f>"10/10"</f>
        <v>10/10</v>
      </c>
      <c r="K10918" s="1" t="str">
        <f t="shared" si="544"/>
        <v>2026-07-29 13:18:12</v>
      </c>
      <c r="L10918" s="1" t="str">
        <f>"2018-05-21 11:39:50"</f>
        <v>2018-05-21 11:39:50</v>
      </c>
      <c r="M10918" s="1" t="s">
        <v>45</v>
      </c>
      <c r="N10918" s="1" t="s">
        <v>38</v>
      </c>
      <c r="O10918" s="1" t="s">
        <v>46</v>
      </c>
    </row>
    <row r="10919" spans="2:15" x14ac:dyDescent="0.3">
      <c r="B10919" s="1" t="s">
        <v>21</v>
      </c>
      <c r="C10919" s="1" t="str">
        <f t="shared" si="543"/>
        <v>3차</v>
      </c>
      <c r="D10919" s="1" t="str">
        <f>"9827C17239"</f>
        <v>9827C17239</v>
      </c>
      <c r="E10919" s="1" t="s">
        <v>10</v>
      </c>
      <c r="F10919" s="1" t="str">
        <f>"10.128.75.60"</f>
        <v>10.128.75.60</v>
      </c>
      <c r="G10919" s="1" t="str">
        <f>"9827C172"</f>
        <v>9827C172</v>
      </c>
      <c r="H10919" s="1" t="str">
        <f>"문화간 17L10L1"</f>
        <v>문화간 17L10L1</v>
      </c>
      <c r="I10919" s="1" t="s">
        <v>8</v>
      </c>
      <c r="J10919" s="1" t="str">
        <f>"11/11"</f>
        <v>11/11</v>
      </c>
      <c r="K10919" s="1" t="str">
        <f t="shared" si="544"/>
        <v>2026-07-29 13:18:12</v>
      </c>
      <c r="L10919" s="1" t="str">
        <f>"2018-05-21 12:35:07"</f>
        <v>2018-05-21 12:35:07</v>
      </c>
      <c r="M10919" s="1" t="s">
        <v>45</v>
      </c>
      <c r="N10919" s="1" t="s">
        <v>38</v>
      </c>
      <c r="O10919" s="1" t="s">
        <v>46</v>
      </c>
    </row>
    <row r="10920" spans="2:15" x14ac:dyDescent="0.3">
      <c r="B10920" s="1" t="s">
        <v>21</v>
      </c>
      <c r="C10920" s="1" t="str">
        <f>"4차"</f>
        <v>4차</v>
      </c>
      <c r="D10920" s="1" t="str">
        <f>"9827C18539"</f>
        <v>9827C18539</v>
      </c>
      <c r="E10920" s="1" t="s">
        <v>10</v>
      </c>
      <c r="F10920" s="1" t="str">
        <f>"10.128.34.96"</f>
        <v>10.128.34.96</v>
      </c>
      <c r="G10920" s="1" t="str">
        <f>"9827C185"</f>
        <v>9827C185</v>
      </c>
      <c r="H10920" s="1" t="str">
        <f>"문화간 17L10R4"</f>
        <v>문화간 17L10R4</v>
      </c>
      <c r="I10920" s="1" t="s">
        <v>8</v>
      </c>
      <c r="J10920" s="1" t="str">
        <f>"12/20"</f>
        <v>12/20</v>
      </c>
      <c r="K10920" s="1" t="str">
        <f t="shared" si="544"/>
        <v>2026-07-29 13:18:12</v>
      </c>
      <c r="L10920" s="1" t="str">
        <f>"2018-05-23 08:57:40"</f>
        <v>2018-05-23 08:57:40</v>
      </c>
      <c r="M10920" s="1" t="s">
        <v>45</v>
      </c>
      <c r="N10920" s="1" t="s">
        <v>38</v>
      </c>
      <c r="O10920" s="1" t="s">
        <v>46</v>
      </c>
    </row>
    <row r="10921" spans="2:15" x14ac:dyDescent="0.3">
      <c r="B10921" s="1" t="s">
        <v>21</v>
      </c>
      <c r="C10921" s="1" t="str">
        <f>"1차"</f>
        <v>1차</v>
      </c>
      <c r="D10921" s="1" t="str">
        <f>"9827C23201"</f>
        <v>9827C23201</v>
      </c>
      <c r="E10921" s="1" t="s">
        <v>14</v>
      </c>
      <c r="F10921" s="1" t="str">
        <f>"10.128.33.24"</f>
        <v>10.128.33.24</v>
      </c>
      <c r="G10921" s="1" t="str">
        <f>"9827C232"</f>
        <v>9827C232</v>
      </c>
      <c r="H10921" s="1" t="str">
        <f>"문화간 6"</f>
        <v>문화간 6</v>
      </c>
      <c r="I10921" s="1" t="s">
        <v>8</v>
      </c>
      <c r="J10921" s="1" t="str">
        <f>"0/0"</f>
        <v>0/0</v>
      </c>
      <c r="K10921" s="1" t="str">
        <f>"2022-02-22 09:21:27"</f>
        <v>2022-02-22 09:21:27</v>
      </c>
      <c r="L10921" s="1" t="str">
        <f>"2015-01-08 17:58:16"</f>
        <v>2015-01-08 17:58:16</v>
      </c>
      <c r="M10921" s="1" t="s">
        <v>45</v>
      </c>
      <c r="N10921" s="1" t="s">
        <v>44</v>
      </c>
      <c r="O10921" s="1" t="s">
        <v>44</v>
      </c>
    </row>
    <row r="10922" spans="2:15" x14ac:dyDescent="0.3">
      <c r="B10922" s="1" t="s">
        <v>21</v>
      </c>
      <c r="C10922" s="1" t="str">
        <f>"4차"</f>
        <v>4차</v>
      </c>
      <c r="D10922" s="1" t="str">
        <f>"9827C25142"</f>
        <v>9827C25142</v>
      </c>
      <c r="E10922" s="1" t="s">
        <v>10</v>
      </c>
      <c r="F10922" s="1" t="str">
        <f>"10.128.75.51"</f>
        <v>10.128.75.51</v>
      </c>
      <c r="G10922" s="1" t="str">
        <f>"9827C251"</f>
        <v>9827C251</v>
      </c>
      <c r="H10922" s="1" t="str">
        <f>"문화간 17L10L4L1"</f>
        <v>문화간 17L10L4L1</v>
      </c>
      <c r="I10922" s="1" t="s">
        <v>8</v>
      </c>
      <c r="J10922" s="1" t="str">
        <f>"21/21"</f>
        <v>21/21</v>
      </c>
      <c r="K10922" s="1" t="str">
        <f>"2026-07-29 13:18:12"</f>
        <v>2026-07-29 13:18:12</v>
      </c>
      <c r="L10922" s="1" t="str">
        <f>"2025-09-12 17:12:56"</f>
        <v>2025-09-12 17:12:56</v>
      </c>
      <c r="M10922" s="1" t="s">
        <v>45</v>
      </c>
      <c r="N10922" s="1" t="s">
        <v>38</v>
      </c>
      <c r="O10922" s="1" t="s">
        <v>46</v>
      </c>
    </row>
    <row r="10923" spans="2:15" x14ac:dyDescent="0.3">
      <c r="B10923" s="1" t="s">
        <v>21</v>
      </c>
      <c r="C10923" s="1" t="str">
        <f>"1차"</f>
        <v>1차</v>
      </c>
      <c r="D10923" s="1" t="str">
        <f>"9827C27201"</f>
        <v>9827C27201</v>
      </c>
      <c r="E10923" s="1" t="s">
        <v>12</v>
      </c>
      <c r="F10923" s="1" t="str">
        <f>"10.12.130.9"</f>
        <v>10.12.130.9</v>
      </c>
      <c r="G10923" s="1" t="str">
        <f>"9827C272"</f>
        <v>9827C272</v>
      </c>
      <c r="H10923" s="1" t="str">
        <f>"문화간 17L8L1"</f>
        <v>문화간 17L8L1</v>
      </c>
      <c r="I10923" s="1" t="s">
        <v>8</v>
      </c>
      <c r="J10923" s="1" t="str">
        <f>"0/7"</f>
        <v>0/7</v>
      </c>
      <c r="K10923" s="1" t="str">
        <f>"2026-07-19 07:18:01"</f>
        <v>2026-07-19 07:18:01</v>
      </c>
      <c r="L10923" s="1" t="str">
        <f>"2014-12-19 12:58:03"</f>
        <v>2014-12-19 12:58:03</v>
      </c>
      <c r="M10923" s="1" t="s">
        <v>0</v>
      </c>
      <c r="N10923" s="1" t="s">
        <v>38</v>
      </c>
      <c r="O10923" s="1" t="s">
        <v>46</v>
      </c>
    </row>
    <row r="10924" spans="2:15" x14ac:dyDescent="0.3">
      <c r="B10924" s="1" t="s">
        <v>21</v>
      </c>
      <c r="C10924" s="1" t="str">
        <f>"5-2차"</f>
        <v>5-2차</v>
      </c>
      <c r="D10924" s="1" t="str">
        <f>"9827C3015M"</f>
        <v>9827C3015M</v>
      </c>
      <c r="E10924" s="1" t="s">
        <v>12</v>
      </c>
      <c r="F10924" s="1" t="str">
        <f>"fde3:102:1302:3107:0:0:0:2"</f>
        <v>fde3:102:1302:3107:0:0:0:2</v>
      </c>
      <c r="G10924" s="1" t="str">
        <f>"9827C301"</f>
        <v>9827C301</v>
      </c>
      <c r="H10924" s="1" t="str">
        <f>"문화간 2R1"</f>
        <v>문화간 2R1</v>
      </c>
      <c r="I10924" s="1" t="s">
        <v>15</v>
      </c>
      <c r="J10924" s="1" t="str">
        <f>"0/50"</f>
        <v>0/50</v>
      </c>
      <c r="K10924" s="1" t="str">
        <f>"2026-07-10 20:20:53"</f>
        <v>2026-07-10 20:20:53</v>
      </c>
      <c r="L10924" s="1" t="str">
        <f>"2024-01-19 11:31:37"</f>
        <v>2024-01-19 11:31:37</v>
      </c>
      <c r="M10924" s="1" t="s">
        <v>45</v>
      </c>
      <c r="N10924" s="1" t="s">
        <v>38</v>
      </c>
      <c r="O10924" s="1" t="s">
        <v>46</v>
      </c>
    </row>
    <row r="10925" spans="2:15" x14ac:dyDescent="0.3">
      <c r="B10925" s="1" t="s">
        <v>21</v>
      </c>
      <c r="C10925" s="1" t="str">
        <f>"4차"</f>
        <v>4차</v>
      </c>
      <c r="D10925" s="1" t="str">
        <f>"9827C30444"</f>
        <v>9827C30444</v>
      </c>
      <c r="E10925" s="1" t="s">
        <v>10</v>
      </c>
      <c r="F10925" s="1" t="str">
        <f>"10.10.91.106"</f>
        <v>10.10.91.106</v>
      </c>
      <c r="G10925" s="1" t="str">
        <f>"9827C304"</f>
        <v>9827C304</v>
      </c>
      <c r="H10925" s="1" t="str">
        <f>"문화간 2R1R1"</f>
        <v>문화간 2R1R1</v>
      </c>
      <c r="I10925" s="1" t="s">
        <v>8</v>
      </c>
      <c r="J10925" s="1" t="str">
        <f>"23/29"</f>
        <v>23/29</v>
      </c>
      <c r="K10925" s="1" t="str">
        <f>"2026-07-29 13:18:12"</f>
        <v>2026-07-29 13:18:12</v>
      </c>
      <c r="L10925" s="1" t="str">
        <f>"2019-11-11 18:22:33"</f>
        <v>2019-11-11 18:22:33</v>
      </c>
      <c r="M10925" s="1" t="s">
        <v>1</v>
      </c>
      <c r="N10925" s="1" t="s">
        <v>38</v>
      </c>
      <c r="O10925" s="1" t="s">
        <v>46</v>
      </c>
    </row>
    <row r="10926" spans="2:15" x14ac:dyDescent="0.3">
      <c r="B10926" s="1" t="s">
        <v>21</v>
      </c>
      <c r="C10926" s="1" t="str">
        <f>"6차"</f>
        <v>6차</v>
      </c>
      <c r="D10926" s="1" t="str">
        <f>"9827C3616S"</f>
        <v>9827C3616S</v>
      </c>
      <c r="E10926" s="1" t="s">
        <v>10</v>
      </c>
      <c r="F10926" s="1" t="str">
        <f>"fde1:103:4:c662:0:0:0:2"</f>
        <v>fde1:103:4:c662:0:0:0:2</v>
      </c>
      <c r="G10926" s="1" t="str">
        <f>"9827C361"</f>
        <v>9827C361</v>
      </c>
      <c r="H10926" s="1" t="str">
        <f>"문화간 10L2"</f>
        <v>문화간 10L2</v>
      </c>
      <c r="I10926" s="1" t="s">
        <v>15</v>
      </c>
      <c r="J10926" s="1" t="str">
        <f>"25/31"</f>
        <v>25/31</v>
      </c>
      <c r="K10926" s="1" t="str">
        <f>"2026-07-29 14:20:43"</f>
        <v>2026-07-29 14:20:43</v>
      </c>
      <c r="L10926" s="1" t="str">
        <f>"2024-10-30 15:35:08"</f>
        <v>2024-10-30 15:35:08</v>
      </c>
      <c r="M10926" s="1" t="s">
        <v>4</v>
      </c>
      <c r="N10926" s="1" t="s">
        <v>38</v>
      </c>
      <c r="O10926" s="1" t="s">
        <v>46</v>
      </c>
    </row>
    <row r="10927" spans="2:15" x14ac:dyDescent="0.3">
      <c r="B10927" s="1" t="s">
        <v>21</v>
      </c>
      <c r="C10927" s="1" t="str">
        <f t="shared" ref="C10927:C10932" si="545">"4차"</f>
        <v>4차</v>
      </c>
      <c r="D10927" s="1" t="str">
        <f>"9827C38244"</f>
        <v>9827C38244</v>
      </c>
      <c r="E10927" s="1" t="s">
        <v>10</v>
      </c>
      <c r="F10927" s="1" t="str">
        <f>"10.10.94.202"</f>
        <v>10.10.94.202</v>
      </c>
      <c r="G10927" s="1" t="str">
        <f>"9827C382"</f>
        <v>9827C382</v>
      </c>
      <c r="H10927" s="1" t="str">
        <f>"문화간 17L10R7"</f>
        <v>문화간 17L10R7</v>
      </c>
      <c r="I10927" s="1" t="s">
        <v>8</v>
      </c>
      <c r="J10927" s="1" t="str">
        <f>"42/44"</f>
        <v>42/44</v>
      </c>
      <c r="K10927" s="1" t="str">
        <f>"2026-07-29 13:18:12"</f>
        <v>2026-07-29 13:18:12</v>
      </c>
      <c r="L10927" s="1" t="str">
        <f>"2019-10-25 13:43:04"</f>
        <v>2019-10-25 13:43:04</v>
      </c>
      <c r="M10927" s="1" t="s">
        <v>1</v>
      </c>
      <c r="N10927" s="1" t="s">
        <v>38</v>
      </c>
      <c r="O10927" s="1" t="s">
        <v>46</v>
      </c>
    </row>
    <row r="10928" spans="2:15" x14ac:dyDescent="0.3">
      <c r="B10928" s="1" t="s">
        <v>21</v>
      </c>
      <c r="C10928" s="1" t="str">
        <f t="shared" si="545"/>
        <v>4차</v>
      </c>
      <c r="D10928" s="1" t="str">
        <f>"9827C39344"</f>
        <v>9827C39344</v>
      </c>
      <c r="E10928" s="1" t="s">
        <v>10</v>
      </c>
      <c r="F10928" s="1" t="str">
        <f>"10.10.91.138"</f>
        <v>10.10.91.138</v>
      </c>
      <c r="G10928" s="1" t="str">
        <f>"9827C393"</f>
        <v>9827C393</v>
      </c>
      <c r="H10928" s="1" t="str">
        <f>"문화간 17L10R1L4"</f>
        <v>문화간 17L10R1L4</v>
      </c>
      <c r="I10928" s="1" t="s">
        <v>8</v>
      </c>
      <c r="J10928" s="1" t="str">
        <f>"27/27"</f>
        <v>27/27</v>
      </c>
      <c r="K10928" s="1" t="str">
        <f>"2026-07-29 13:18:12"</f>
        <v>2026-07-29 13:18:12</v>
      </c>
      <c r="L10928" s="1" t="str">
        <f>"2019-12-11 18:22:08"</f>
        <v>2019-12-11 18:22:08</v>
      </c>
      <c r="M10928" s="1" t="s">
        <v>1</v>
      </c>
      <c r="N10928" s="1" t="s">
        <v>38</v>
      </c>
      <c r="O10928" s="1" t="s">
        <v>46</v>
      </c>
    </row>
    <row r="10929" spans="2:15" x14ac:dyDescent="0.3">
      <c r="B10929" s="1" t="s">
        <v>21</v>
      </c>
      <c r="C10929" s="1" t="str">
        <f t="shared" si="545"/>
        <v>4차</v>
      </c>
      <c r="D10929" s="1" t="str">
        <f>"9827C49144"</f>
        <v>9827C49144</v>
      </c>
      <c r="E10929" s="1" t="s">
        <v>18</v>
      </c>
      <c r="F10929" s="1" t="str">
        <f>"10.10.94.226"</f>
        <v>10.10.94.226</v>
      </c>
      <c r="G10929" s="1" t="str">
        <f>"9827C491"</f>
        <v>9827C491</v>
      </c>
      <c r="H10929" s="1" t="str">
        <f>"문화간 17L10R1L6R1"</f>
        <v>문화간 17L10R1L6R1</v>
      </c>
      <c r="I10929" s="1" t="s">
        <v>8</v>
      </c>
      <c r="J10929" s="1" t="str">
        <f>"0/42"</f>
        <v>0/42</v>
      </c>
      <c r="K10929" s="1" t="str">
        <f>"2026-07-15 07:18:12"</f>
        <v>2026-07-15 07:18:12</v>
      </c>
      <c r="L10929" s="1" t="str">
        <f>"2019-10-25 13:43:04"</f>
        <v>2019-10-25 13:43:04</v>
      </c>
      <c r="M10929" s="1" t="s">
        <v>1</v>
      </c>
      <c r="N10929" s="1" t="s">
        <v>38</v>
      </c>
      <c r="O10929" s="1" t="s">
        <v>46</v>
      </c>
    </row>
    <row r="10930" spans="2:15" x14ac:dyDescent="0.3">
      <c r="B10930" s="1" t="s">
        <v>21</v>
      </c>
      <c r="C10930" s="1" t="str">
        <f t="shared" si="545"/>
        <v>4차</v>
      </c>
      <c r="D10930" s="1" t="str">
        <f>"9827C56144"</f>
        <v>9827C56144</v>
      </c>
      <c r="E10930" s="1" t="s">
        <v>10</v>
      </c>
      <c r="F10930" s="1" t="str">
        <f>"10.10.78.138"</f>
        <v>10.10.78.138</v>
      </c>
      <c r="G10930" s="1" t="str">
        <f>"9827C561"</f>
        <v>9827C561</v>
      </c>
      <c r="H10930" s="1" t="str">
        <f>"문화간 11R1"</f>
        <v>문화간 11R1</v>
      </c>
      <c r="I10930" s="1" t="s">
        <v>8</v>
      </c>
      <c r="J10930" s="1" t="str">
        <f>"46/46"</f>
        <v>46/46</v>
      </c>
      <c r="K10930" s="1" t="str">
        <f>"2026-07-29 13:18:12"</f>
        <v>2026-07-29 13:18:12</v>
      </c>
      <c r="L10930" s="1" t="str">
        <f>"2019-10-14 10:17:40"</f>
        <v>2019-10-14 10:17:40</v>
      </c>
      <c r="M10930" s="1" t="s">
        <v>1</v>
      </c>
      <c r="N10930" s="1" t="s">
        <v>38</v>
      </c>
      <c r="O10930" s="1" t="s">
        <v>46</v>
      </c>
    </row>
    <row r="10931" spans="2:15" x14ac:dyDescent="0.3">
      <c r="B10931" s="1" t="s">
        <v>21</v>
      </c>
      <c r="C10931" s="1" t="str">
        <f t="shared" si="545"/>
        <v>4차</v>
      </c>
      <c r="D10931" s="1" t="str">
        <f>"9827C57244"</f>
        <v>9827C57244</v>
      </c>
      <c r="E10931" s="1" t="s">
        <v>10</v>
      </c>
      <c r="F10931" s="1" t="str">
        <f>"10.10.110.226"</f>
        <v>10.10.110.226</v>
      </c>
      <c r="G10931" s="1" t="str">
        <f>"9827C572"</f>
        <v>9827C572</v>
      </c>
      <c r="H10931" s="1" t="str">
        <f>"문화간 12"</f>
        <v>문화간 12</v>
      </c>
      <c r="I10931" s="1" t="s">
        <v>8</v>
      </c>
      <c r="J10931" s="1" t="str">
        <f>"12/12"</f>
        <v>12/12</v>
      </c>
      <c r="K10931" s="1" t="str">
        <f>"2026-07-29 13:18:12"</f>
        <v>2026-07-29 13:18:12</v>
      </c>
      <c r="L10931" s="1" t="str">
        <f>"2019-10-14 13:18:06"</f>
        <v>2019-10-14 13:18:06</v>
      </c>
      <c r="M10931" s="1" t="s">
        <v>1</v>
      </c>
      <c r="N10931" s="1" t="s">
        <v>38</v>
      </c>
      <c r="O10931" s="1" t="s">
        <v>46</v>
      </c>
    </row>
    <row r="10932" spans="2:15" x14ac:dyDescent="0.3">
      <c r="B10932" s="1" t="s">
        <v>21</v>
      </c>
      <c r="C10932" s="1" t="str">
        <f t="shared" si="545"/>
        <v>4차</v>
      </c>
      <c r="D10932" s="1" t="str">
        <f>"9827C58644"</f>
        <v>9827C58644</v>
      </c>
      <c r="E10932" s="1" t="s">
        <v>10</v>
      </c>
      <c r="F10932" s="1" t="str">
        <f>"10.14.5.125"</f>
        <v>10.14.5.125</v>
      </c>
      <c r="G10932" s="1" t="str">
        <f>"9827C586"</f>
        <v>9827C586</v>
      </c>
      <c r="H10932" s="1" t="str">
        <f>"문화간 12L1"</f>
        <v>문화간 12L1</v>
      </c>
      <c r="I10932" s="1" t="s">
        <v>8</v>
      </c>
      <c r="J10932" s="1" t="str">
        <f>"51/51"</f>
        <v>51/51</v>
      </c>
      <c r="K10932" s="1" t="str">
        <f>"2026-07-29 13:18:14"</f>
        <v>2026-07-29 13:18:14</v>
      </c>
      <c r="L10932" s="1" t="str">
        <f>"2022-04-18 13:07:02"</f>
        <v>2022-04-18 13:07:02</v>
      </c>
      <c r="M10932" s="1" t="s">
        <v>3</v>
      </c>
      <c r="N10932" s="1" t="s">
        <v>38</v>
      </c>
      <c r="O10932" s="1" t="s">
        <v>46</v>
      </c>
    </row>
    <row r="10933" spans="2:15" x14ac:dyDescent="0.3">
      <c r="B10933" s="1" t="s">
        <v>21</v>
      </c>
      <c r="C10933" s="1" t="str">
        <f>"1차"</f>
        <v>1차</v>
      </c>
      <c r="D10933" s="1" t="str">
        <f>"9827C59400"</f>
        <v>9827C59400</v>
      </c>
      <c r="E10933" s="1" t="s">
        <v>10</v>
      </c>
      <c r="F10933" s="1" t="str">
        <f>"10.89.67.194"</f>
        <v>10.89.67.194</v>
      </c>
      <c r="G10933" s="1" t="str">
        <f>"9827C594"</f>
        <v>9827C594</v>
      </c>
      <c r="H10933" s="1" t="str">
        <f>"문화간 17L2"</f>
        <v>문화간 17L2</v>
      </c>
      <c r="I10933" s="1" t="s">
        <v>8</v>
      </c>
      <c r="J10933" s="1" t="str">
        <f>"9/9"</f>
        <v>9/9</v>
      </c>
      <c r="K10933" s="1" t="str">
        <f>"2026-07-29 13:18:12"</f>
        <v>2026-07-29 13:18:12</v>
      </c>
      <c r="L10933" s="1" t="str">
        <f>"2014-12-19 13:12:49"</f>
        <v>2014-12-19 13:12:49</v>
      </c>
      <c r="M10933" s="1" t="s">
        <v>45</v>
      </c>
      <c r="N10933" s="1" t="s">
        <v>38</v>
      </c>
      <c r="O10933" s="1" t="s">
        <v>46</v>
      </c>
    </row>
    <row r="10934" spans="2:15" x14ac:dyDescent="0.3">
      <c r="B10934" s="1" t="s">
        <v>21</v>
      </c>
      <c r="C10934" s="1" t="str">
        <f>"3차"</f>
        <v>3차</v>
      </c>
      <c r="D10934" s="1" t="str">
        <f>"9827C67139"</f>
        <v>9827C67139</v>
      </c>
      <c r="E10934" s="1" t="s">
        <v>10</v>
      </c>
      <c r="F10934" s="1" t="str">
        <f>"10.12.129.250"</f>
        <v>10.12.129.250</v>
      </c>
      <c r="G10934" s="1" t="str">
        <f>"9827C671"</f>
        <v>9827C671</v>
      </c>
      <c r="H10934" s="1" t="str">
        <f>"문화간 11R2L1"</f>
        <v>문화간 11R2L1</v>
      </c>
      <c r="I10934" s="1" t="s">
        <v>8</v>
      </c>
      <c r="J10934" s="1" t="str">
        <f>"39/39"</f>
        <v>39/39</v>
      </c>
      <c r="K10934" s="1" t="str">
        <f>"2026-07-29 13:18:10"</f>
        <v>2026-07-29 13:18:10</v>
      </c>
      <c r="L10934" s="1" t="str">
        <f>"2018-04-25 11:30:27"</f>
        <v>2018-04-25 11:30:27</v>
      </c>
      <c r="M10934" s="1" t="s">
        <v>0</v>
      </c>
      <c r="N10934" s="1" t="s">
        <v>38</v>
      </c>
      <c r="O10934" s="1" t="s">
        <v>46</v>
      </c>
    </row>
    <row r="10935" spans="2:15" x14ac:dyDescent="0.3">
      <c r="B10935" s="1" t="s">
        <v>21</v>
      </c>
      <c r="C10935" s="1" t="str">
        <f t="shared" ref="C10935:C10948" si="546">"4차"</f>
        <v>4차</v>
      </c>
      <c r="D10935" s="1" t="str">
        <f>"9827C69144"</f>
        <v>9827C69144</v>
      </c>
      <c r="E10935" s="1" t="s">
        <v>10</v>
      </c>
      <c r="F10935" s="1" t="str">
        <f>"10.10.110.218"</f>
        <v>10.10.110.218</v>
      </c>
      <c r="G10935" s="1" t="str">
        <f>"9827C691"</f>
        <v>9827C691</v>
      </c>
      <c r="H10935" s="1" t="str">
        <f>"문화간 15R1"</f>
        <v>문화간 15R1</v>
      </c>
      <c r="I10935" s="1" t="s">
        <v>8</v>
      </c>
      <c r="J10935" s="1" t="str">
        <f>"21/21"</f>
        <v>21/21</v>
      </c>
      <c r="K10935" s="1" t="str">
        <f>"2026-07-29 13:18:15"</f>
        <v>2026-07-29 13:18:15</v>
      </c>
      <c r="L10935" s="1" t="str">
        <f>"2019-10-14 13:13:04"</f>
        <v>2019-10-14 13:13:04</v>
      </c>
      <c r="M10935" s="1" t="s">
        <v>1</v>
      </c>
      <c r="N10935" s="1" t="s">
        <v>38</v>
      </c>
      <c r="O10935" s="1" t="s">
        <v>46</v>
      </c>
    </row>
    <row r="10936" spans="2:15" x14ac:dyDescent="0.3">
      <c r="B10936" s="1" t="s">
        <v>21</v>
      </c>
      <c r="C10936" s="1" t="str">
        <f t="shared" si="546"/>
        <v>4차</v>
      </c>
      <c r="D10936" s="1" t="str">
        <f>"9827C75144"</f>
        <v>9827C75144</v>
      </c>
      <c r="E10936" s="1" t="s">
        <v>10</v>
      </c>
      <c r="F10936" s="1" t="str">
        <f>"10.10.79.34"</f>
        <v>10.10.79.34</v>
      </c>
      <c r="G10936" s="1" t="str">
        <f>"9827C751"</f>
        <v>9827C751</v>
      </c>
      <c r="H10936" s="1" t="str">
        <f>"문화간 11R3R1"</f>
        <v>문화간 11R3R1</v>
      </c>
      <c r="I10936" s="1" t="s">
        <v>8</v>
      </c>
      <c r="J10936" s="1" t="str">
        <f>"34/37"</f>
        <v>34/37</v>
      </c>
      <c r="K10936" s="1" t="str">
        <f t="shared" ref="K10936:K10948" si="547">"2026-07-29 13:18:12"</f>
        <v>2026-07-29 13:18:12</v>
      </c>
      <c r="L10936" s="1" t="str">
        <f>"2019-10-14 10:43:04"</f>
        <v>2019-10-14 10:43:04</v>
      </c>
      <c r="M10936" s="1" t="s">
        <v>1</v>
      </c>
      <c r="N10936" s="1" t="s">
        <v>38</v>
      </c>
      <c r="O10936" s="1" t="s">
        <v>46</v>
      </c>
    </row>
    <row r="10937" spans="2:15" x14ac:dyDescent="0.3">
      <c r="B10937" s="1" t="s">
        <v>21</v>
      </c>
      <c r="C10937" s="1" t="str">
        <f t="shared" si="546"/>
        <v>4차</v>
      </c>
      <c r="D10937" s="1" t="str">
        <f>"9827C76144"</f>
        <v>9827C76144</v>
      </c>
      <c r="E10937" s="1" t="s">
        <v>10</v>
      </c>
      <c r="F10937" s="1" t="str">
        <f>"10.10.78.170"</f>
        <v>10.10.78.170</v>
      </c>
      <c r="G10937" s="1" t="str">
        <f>"9827C761"</f>
        <v>9827C761</v>
      </c>
      <c r="H10937" s="1" t="str">
        <f>"문화간 11R3"</f>
        <v>문화간 11R3</v>
      </c>
      <c r="I10937" s="1" t="s">
        <v>8</v>
      </c>
      <c r="J10937" s="1" t="str">
        <f>"26/42"</f>
        <v>26/42</v>
      </c>
      <c r="K10937" s="1" t="str">
        <f t="shared" si="547"/>
        <v>2026-07-29 13:18:12</v>
      </c>
      <c r="L10937" s="1" t="str">
        <f>"2019-10-14 10:22:41"</f>
        <v>2019-10-14 10:22:41</v>
      </c>
      <c r="M10937" s="1" t="s">
        <v>1</v>
      </c>
      <c r="N10937" s="1" t="s">
        <v>38</v>
      </c>
      <c r="O10937" s="1" t="s">
        <v>46</v>
      </c>
    </row>
    <row r="10938" spans="2:15" x14ac:dyDescent="0.3">
      <c r="B10938" s="1" t="s">
        <v>21</v>
      </c>
      <c r="C10938" s="1" t="str">
        <f t="shared" si="546"/>
        <v>4차</v>
      </c>
      <c r="D10938" s="1" t="str">
        <f>"9827C79344"</f>
        <v>9827C79344</v>
      </c>
      <c r="E10938" s="1" t="s">
        <v>10</v>
      </c>
      <c r="F10938" s="1" t="str">
        <f>"10.10.110.194"</f>
        <v>10.10.110.194</v>
      </c>
      <c r="G10938" s="1" t="str">
        <f>"9827C793"</f>
        <v>9827C793</v>
      </c>
      <c r="H10938" s="1" t="str">
        <f>"문화간 15R4"</f>
        <v>문화간 15R4</v>
      </c>
      <c r="I10938" s="1" t="s">
        <v>8</v>
      </c>
      <c r="J10938" s="1" t="str">
        <f>"11/11"</f>
        <v>11/11</v>
      </c>
      <c r="K10938" s="1" t="str">
        <f t="shared" si="547"/>
        <v>2026-07-29 13:18:12</v>
      </c>
      <c r="L10938" s="1" t="str">
        <f>"2019-10-14 13:33:04"</f>
        <v>2019-10-14 13:33:04</v>
      </c>
      <c r="M10938" s="1" t="s">
        <v>1</v>
      </c>
      <c r="N10938" s="1" t="s">
        <v>38</v>
      </c>
      <c r="O10938" s="1" t="s">
        <v>46</v>
      </c>
    </row>
    <row r="10939" spans="2:15" x14ac:dyDescent="0.3">
      <c r="B10939" s="1" t="s">
        <v>21</v>
      </c>
      <c r="C10939" s="1" t="str">
        <f t="shared" si="546"/>
        <v>4차</v>
      </c>
      <c r="D10939" s="1" t="str">
        <f>"9827C86144"</f>
        <v>9827C86144</v>
      </c>
      <c r="E10939" s="1" t="s">
        <v>10</v>
      </c>
      <c r="F10939" s="1" t="str">
        <f>"10.10.79.74"</f>
        <v>10.10.79.74</v>
      </c>
      <c r="G10939" s="1" t="str">
        <f>"9827C861"</f>
        <v>9827C861</v>
      </c>
      <c r="H10939" s="1" t="str">
        <f>"문화간 11R4"</f>
        <v>문화간 11R4</v>
      </c>
      <c r="I10939" s="1" t="s">
        <v>8</v>
      </c>
      <c r="J10939" s="1" t="str">
        <f>"20/20"</f>
        <v>20/20</v>
      </c>
      <c r="K10939" s="1" t="str">
        <f t="shared" si="547"/>
        <v>2026-07-29 13:18:12</v>
      </c>
      <c r="L10939" s="1" t="str">
        <f>"2019-11-04 16:23:05"</f>
        <v>2019-11-04 16:23:05</v>
      </c>
      <c r="M10939" s="1" t="s">
        <v>1</v>
      </c>
      <c r="N10939" s="1" t="s">
        <v>38</v>
      </c>
      <c r="O10939" s="1" t="s">
        <v>46</v>
      </c>
    </row>
    <row r="10940" spans="2:15" x14ac:dyDescent="0.3">
      <c r="B10940" s="1" t="s">
        <v>21</v>
      </c>
      <c r="C10940" s="1" t="str">
        <f t="shared" si="546"/>
        <v>4차</v>
      </c>
      <c r="D10940" s="1" t="str">
        <f>"9827C86244"</f>
        <v>9827C86244</v>
      </c>
      <c r="E10940" s="1" t="s">
        <v>10</v>
      </c>
      <c r="F10940" s="1" t="str">
        <f>"10.10.110.242"</f>
        <v>10.10.110.242</v>
      </c>
      <c r="G10940" s="1" t="str">
        <f>"9827C862"</f>
        <v>9827C862</v>
      </c>
      <c r="H10940" s="1" t="str">
        <f>"문화간 11R5"</f>
        <v>문화간 11R5</v>
      </c>
      <c r="I10940" s="1" t="s">
        <v>8</v>
      </c>
      <c r="J10940" s="1" t="str">
        <f>"24/24"</f>
        <v>24/24</v>
      </c>
      <c r="K10940" s="1" t="str">
        <f t="shared" si="547"/>
        <v>2026-07-29 13:18:12</v>
      </c>
      <c r="L10940" s="1" t="str">
        <f>"2019-11-04 16:33:04"</f>
        <v>2019-11-04 16:33:04</v>
      </c>
      <c r="M10940" s="1" t="s">
        <v>1</v>
      </c>
      <c r="N10940" s="1" t="s">
        <v>38</v>
      </c>
      <c r="O10940" s="1" t="s">
        <v>46</v>
      </c>
    </row>
    <row r="10941" spans="2:15" x14ac:dyDescent="0.3">
      <c r="B10941" s="1" t="s">
        <v>21</v>
      </c>
      <c r="C10941" s="1" t="str">
        <f t="shared" si="546"/>
        <v>4차</v>
      </c>
      <c r="D10941" s="1" t="str">
        <f>"9827D17144"</f>
        <v>9827D17144</v>
      </c>
      <c r="E10941" s="1" t="s">
        <v>10</v>
      </c>
      <c r="F10941" s="1" t="str">
        <f>"10.10.90.146"</f>
        <v>10.10.90.146</v>
      </c>
      <c r="G10941" s="1" t="str">
        <f>"9827D171"</f>
        <v>9827D171</v>
      </c>
      <c r="H10941" s="1" t="str">
        <f>"문화간 25R4R9R3"</f>
        <v>문화간 25R4R9R3</v>
      </c>
      <c r="I10941" s="1" t="s">
        <v>8</v>
      </c>
      <c r="J10941" s="1" t="str">
        <f>"24/24"</f>
        <v>24/24</v>
      </c>
      <c r="K10941" s="1" t="str">
        <f t="shared" si="547"/>
        <v>2026-07-29 13:18:12</v>
      </c>
      <c r="L10941" s="1" t="str">
        <f>"2020-01-10 17:18:11"</f>
        <v>2020-01-10 17:18:11</v>
      </c>
      <c r="M10941" s="1" t="s">
        <v>1</v>
      </c>
      <c r="N10941" s="1" t="s">
        <v>38</v>
      </c>
      <c r="O10941" s="1" t="s">
        <v>46</v>
      </c>
    </row>
    <row r="10942" spans="2:15" x14ac:dyDescent="0.3">
      <c r="B10942" s="1" t="s">
        <v>21</v>
      </c>
      <c r="C10942" s="1" t="str">
        <f t="shared" si="546"/>
        <v>4차</v>
      </c>
      <c r="D10942" s="1" t="str">
        <f>"9827D19144"</f>
        <v>9827D19144</v>
      </c>
      <c r="E10942" s="1" t="s">
        <v>10</v>
      </c>
      <c r="F10942" s="1" t="str">
        <f>"10.128.117.42"</f>
        <v>10.128.117.42</v>
      </c>
      <c r="G10942" s="1" t="str">
        <f>"9827D191"</f>
        <v>9827D191</v>
      </c>
      <c r="H10942" s="1" t="str">
        <f>"문화간 25R4R9"</f>
        <v>문화간 25R4R9</v>
      </c>
      <c r="I10942" s="1" t="s">
        <v>8</v>
      </c>
      <c r="J10942" s="1" t="str">
        <f>"7/7"</f>
        <v>7/7</v>
      </c>
      <c r="K10942" s="1" t="str">
        <f t="shared" si="547"/>
        <v>2026-07-29 13:18:12</v>
      </c>
      <c r="L10942" s="1" t="str">
        <f>"2020-01-09 08:55:43"</f>
        <v>2020-01-09 08:55:43</v>
      </c>
      <c r="M10942" s="1" t="s">
        <v>45</v>
      </c>
      <c r="N10942" s="1" t="s">
        <v>38</v>
      </c>
      <c r="O10942" s="1" t="s">
        <v>46</v>
      </c>
    </row>
    <row r="10943" spans="2:15" x14ac:dyDescent="0.3">
      <c r="B10943" s="1" t="s">
        <v>21</v>
      </c>
      <c r="C10943" s="1" t="str">
        <f t="shared" si="546"/>
        <v>4차</v>
      </c>
      <c r="D10943" s="1" t="str">
        <f>"9827D19344"</f>
        <v>9827D19344</v>
      </c>
      <c r="E10943" s="1" t="s">
        <v>10</v>
      </c>
      <c r="F10943" s="1" t="str">
        <f>"10.10.90.154"</f>
        <v>10.10.90.154</v>
      </c>
      <c r="G10943" s="1" t="str">
        <f>"9827D193"</f>
        <v>9827D193</v>
      </c>
      <c r="H10943" s="1" t="str">
        <f>"문화간 25R4R8"</f>
        <v>문화간 25R4R8</v>
      </c>
      <c r="I10943" s="1" t="s">
        <v>8</v>
      </c>
      <c r="J10943" s="1" t="str">
        <f>"31/31"</f>
        <v>31/31</v>
      </c>
      <c r="K10943" s="1" t="str">
        <f t="shared" si="547"/>
        <v>2026-07-29 13:18:12</v>
      </c>
      <c r="L10943" s="1" t="str">
        <f>"2019-10-24 18:23:04"</f>
        <v>2019-10-24 18:23:04</v>
      </c>
      <c r="M10943" s="1" t="s">
        <v>1</v>
      </c>
      <c r="N10943" s="1" t="s">
        <v>38</v>
      </c>
      <c r="O10943" s="1" t="s">
        <v>46</v>
      </c>
    </row>
    <row r="10944" spans="2:15" x14ac:dyDescent="0.3">
      <c r="B10944" s="1" t="s">
        <v>21</v>
      </c>
      <c r="C10944" s="1" t="str">
        <f t="shared" si="546"/>
        <v>4차</v>
      </c>
      <c r="D10944" s="1" t="str">
        <f>"9827D28144"</f>
        <v>9827D28144</v>
      </c>
      <c r="E10944" s="1" t="s">
        <v>10</v>
      </c>
      <c r="F10944" s="1" t="str">
        <f>"10.10.90.74"</f>
        <v>10.10.90.74</v>
      </c>
      <c r="G10944" s="1" t="str">
        <f>"9827D281"</f>
        <v>9827D281</v>
      </c>
      <c r="H10944" s="1" t="str">
        <f>"문화간 25R4R10"</f>
        <v>문화간 25R4R10</v>
      </c>
      <c r="I10944" s="1" t="s">
        <v>8</v>
      </c>
      <c r="J10944" s="1" t="str">
        <f>"19/19"</f>
        <v>19/19</v>
      </c>
      <c r="K10944" s="1" t="str">
        <f t="shared" si="547"/>
        <v>2026-07-29 13:18:12</v>
      </c>
      <c r="L10944" s="1" t="str">
        <f>"2022-06-09 13:12:28"</f>
        <v>2022-06-09 13:12:28</v>
      </c>
      <c r="M10944" s="1" t="s">
        <v>1</v>
      </c>
      <c r="N10944" s="1" t="s">
        <v>38</v>
      </c>
      <c r="O10944" s="1" t="s">
        <v>46</v>
      </c>
    </row>
    <row r="10945" spans="2:15" x14ac:dyDescent="0.3">
      <c r="B10945" s="1" t="s">
        <v>21</v>
      </c>
      <c r="C10945" s="1" t="str">
        <f t="shared" si="546"/>
        <v>4차</v>
      </c>
      <c r="D10945" s="1" t="str">
        <f>"9827D28344"</f>
        <v>9827D28344</v>
      </c>
      <c r="E10945" s="1" t="s">
        <v>10</v>
      </c>
      <c r="F10945" s="1" t="str">
        <f>"10.10.90.106"</f>
        <v>10.10.90.106</v>
      </c>
      <c r="G10945" s="1" t="str">
        <f>"9827D283"</f>
        <v>9827D283</v>
      </c>
      <c r="H10945" s="1" t="str">
        <f>"문화간 25R4R11"</f>
        <v>문화간 25R4R11</v>
      </c>
      <c r="I10945" s="1" t="s">
        <v>8</v>
      </c>
      <c r="J10945" s="1" t="str">
        <f>"29/29"</f>
        <v>29/29</v>
      </c>
      <c r="K10945" s="1" t="str">
        <f t="shared" si="547"/>
        <v>2026-07-29 13:18:12</v>
      </c>
      <c r="L10945" s="1" t="str">
        <f>"2019-10-24 18:13:04"</f>
        <v>2019-10-24 18:13:04</v>
      </c>
      <c r="M10945" s="1" t="s">
        <v>1</v>
      </c>
      <c r="N10945" s="1" t="s">
        <v>38</v>
      </c>
      <c r="O10945" s="1" t="s">
        <v>46</v>
      </c>
    </row>
    <row r="10946" spans="2:15" x14ac:dyDescent="0.3">
      <c r="B10946" s="1" t="s">
        <v>21</v>
      </c>
      <c r="C10946" s="1" t="str">
        <f t="shared" si="546"/>
        <v>4차</v>
      </c>
      <c r="D10946" s="1" t="str">
        <f>"9827D38144"</f>
        <v>9827D38144</v>
      </c>
      <c r="E10946" s="1" t="s">
        <v>10</v>
      </c>
      <c r="F10946" s="1" t="str">
        <f>"10.10.94.186"</f>
        <v>10.10.94.186</v>
      </c>
      <c r="G10946" s="1" t="str">
        <f>"9827D381"</f>
        <v>9827D381</v>
      </c>
      <c r="H10946" s="1" t="str">
        <f>"문화간 25R12"</f>
        <v>문화간 25R12</v>
      </c>
      <c r="I10946" s="1" t="s">
        <v>8</v>
      </c>
      <c r="J10946" s="1" t="str">
        <f>"36/36"</f>
        <v>36/36</v>
      </c>
      <c r="K10946" s="1" t="str">
        <f t="shared" si="547"/>
        <v>2026-07-29 13:18:12</v>
      </c>
      <c r="L10946" s="1" t="str">
        <f>"2019-10-14 18:59:35"</f>
        <v>2019-10-14 18:59:35</v>
      </c>
      <c r="M10946" s="1" t="s">
        <v>1</v>
      </c>
      <c r="N10946" s="1" t="s">
        <v>38</v>
      </c>
      <c r="O10946" s="1" t="s">
        <v>46</v>
      </c>
    </row>
    <row r="10947" spans="2:15" x14ac:dyDescent="0.3">
      <c r="B10947" s="1" t="s">
        <v>21</v>
      </c>
      <c r="C10947" s="1" t="str">
        <f t="shared" si="546"/>
        <v>4차</v>
      </c>
      <c r="D10947" s="1" t="str">
        <f>"9827D65244"</f>
        <v>9827D65244</v>
      </c>
      <c r="E10947" s="1" t="s">
        <v>10</v>
      </c>
      <c r="F10947" s="1" t="str">
        <f>"10.10.87.154"</f>
        <v>10.10.87.154</v>
      </c>
      <c r="G10947" s="1" t="str">
        <f>"9827D652"</f>
        <v>9827D652</v>
      </c>
      <c r="H10947" s="1" t="str">
        <f>"문화간 25R17"</f>
        <v>문화간 25R17</v>
      </c>
      <c r="I10947" s="1" t="s">
        <v>8</v>
      </c>
      <c r="J10947" s="1" t="str">
        <f>"5/6"</f>
        <v>5/6</v>
      </c>
      <c r="K10947" s="1" t="str">
        <f t="shared" si="547"/>
        <v>2026-07-29 13:18:12</v>
      </c>
      <c r="L10947" s="1" t="str">
        <f>"2019-10-24 18:07:54"</f>
        <v>2019-10-24 18:07:54</v>
      </c>
      <c r="M10947" s="1" t="s">
        <v>1</v>
      </c>
      <c r="N10947" s="1" t="s">
        <v>38</v>
      </c>
      <c r="O10947" s="1" t="s">
        <v>46</v>
      </c>
    </row>
    <row r="10948" spans="2:15" x14ac:dyDescent="0.3">
      <c r="B10948" s="1" t="s">
        <v>21</v>
      </c>
      <c r="C10948" s="1" t="str">
        <f t="shared" si="546"/>
        <v>4차</v>
      </c>
      <c r="D10948" s="1" t="str">
        <f>"9827D84144"</f>
        <v>9827D84144</v>
      </c>
      <c r="E10948" s="1" t="s">
        <v>10</v>
      </c>
      <c r="F10948" s="1" t="str">
        <f>"10.10.122.162"</f>
        <v>10.10.122.162</v>
      </c>
      <c r="G10948" s="1" t="str">
        <f>"9827D841"</f>
        <v>9827D841</v>
      </c>
      <c r="H10948" s="1" t="str">
        <f>"문화간 25R19"</f>
        <v>문화간 25R19</v>
      </c>
      <c r="I10948" s="1" t="s">
        <v>8</v>
      </c>
      <c r="J10948" s="1" t="str">
        <f>"1/1"</f>
        <v>1/1</v>
      </c>
      <c r="K10948" s="1" t="str">
        <f t="shared" si="547"/>
        <v>2026-07-29 13:18:12</v>
      </c>
      <c r="L10948" s="1" t="str">
        <f>"2019-10-24 18:33:04"</f>
        <v>2019-10-24 18:33:04</v>
      </c>
      <c r="M10948" s="1" t="s">
        <v>1</v>
      </c>
      <c r="N10948" s="1" t="s">
        <v>38</v>
      </c>
      <c r="O10948" s="1" t="s">
        <v>46</v>
      </c>
    </row>
    <row r="10949" spans="2:15" x14ac:dyDescent="0.3">
      <c r="B10949" s="1" t="s">
        <v>21</v>
      </c>
      <c r="C10949" s="1" t="str">
        <f>"5-1차"</f>
        <v>5-1차</v>
      </c>
      <c r="D10949" s="1" t="str">
        <f>"9827E1965M"</f>
        <v>9827E1965M</v>
      </c>
      <c r="E10949" s="1" t="s">
        <v>10</v>
      </c>
      <c r="F10949" s="1" t="str">
        <f>"fde2:104:0:de:0:0:0:2"</f>
        <v>fde2:104:0:de:0:0:0:2</v>
      </c>
      <c r="G10949" s="1" t="str">
        <f>"9827E196"</f>
        <v>9827E196</v>
      </c>
      <c r="H10949" s="1" t="str">
        <f>"문화간 47L1"</f>
        <v>문화간 47L1</v>
      </c>
      <c r="I10949" s="1" t="s">
        <v>15</v>
      </c>
      <c r="J10949" s="1" t="str">
        <f>"141/141"</f>
        <v>141/141</v>
      </c>
      <c r="K10949" s="1" t="str">
        <f>"2026-07-29 14:21:50"</f>
        <v>2026-07-29 14:21:50</v>
      </c>
      <c r="L10949" s="1" t="str">
        <f>"2022-09-28 09:49:54"</f>
        <v>2022-09-28 09:49:54</v>
      </c>
      <c r="M10949" s="1" t="s">
        <v>42</v>
      </c>
      <c r="N10949" s="1" t="s">
        <v>38</v>
      </c>
      <c r="O10949" s="1" t="s">
        <v>46</v>
      </c>
    </row>
    <row r="10950" spans="2:15" x14ac:dyDescent="0.3">
      <c r="B10950" s="1" t="s">
        <v>21</v>
      </c>
      <c r="C10950" s="1" t="str">
        <f>"4차"</f>
        <v>4차</v>
      </c>
      <c r="D10950" s="1" t="str">
        <f>"9827P00144"</f>
        <v>9827P00144</v>
      </c>
      <c r="E10950" s="1" t="s">
        <v>10</v>
      </c>
      <c r="F10950" s="1" t="str">
        <f>"10.10.78.66"</f>
        <v>10.10.78.66</v>
      </c>
      <c r="G10950" s="1" t="str">
        <f>"9827P001"</f>
        <v>9827P001</v>
      </c>
      <c r="H10950" s="1" t="str">
        <f>"고은간 12L2L1"</f>
        <v>고은간 12L2L1</v>
      </c>
      <c r="I10950" s="1" t="s">
        <v>8</v>
      </c>
      <c r="J10950" s="1" t="str">
        <f>"24/24"</f>
        <v>24/24</v>
      </c>
      <c r="K10950" s="1" t="str">
        <f>"2026-07-29 13:18:13"</f>
        <v>2026-07-29 13:18:13</v>
      </c>
      <c r="L10950" s="1" t="str">
        <f>"2019-09-24 17:15:18"</f>
        <v>2019-09-24 17:15:18</v>
      </c>
      <c r="M10950" s="1" t="s">
        <v>1</v>
      </c>
      <c r="N10950" s="1" t="s">
        <v>38</v>
      </c>
      <c r="O10950" s="1" t="s">
        <v>46</v>
      </c>
    </row>
    <row r="10951" spans="2:15" x14ac:dyDescent="0.3">
      <c r="B10951" s="1" t="s">
        <v>21</v>
      </c>
      <c r="C10951" s="1" t="str">
        <f>"6차"</f>
        <v>6차</v>
      </c>
      <c r="D10951" s="1" t="str">
        <f>"9827P0726S"</f>
        <v>9827P0726S</v>
      </c>
      <c r="E10951" s="1" t="s">
        <v>10</v>
      </c>
      <c r="F10951" s="1" t="str">
        <f>"fde1:103:4:c734:0:0:0:2"</f>
        <v>fde1:103:4:c734:0:0:0:2</v>
      </c>
      <c r="G10951" s="1" t="str">
        <f>"9827P072"</f>
        <v>9827P072</v>
      </c>
      <c r="H10951" s="1" t="str">
        <f>"고은간 9R10R1R1"</f>
        <v>고은간 9R10R1R1</v>
      </c>
      <c r="I10951" s="1" t="s">
        <v>15</v>
      </c>
      <c r="J10951" s="1" t="str">
        <f>"7/7"</f>
        <v>7/7</v>
      </c>
      <c r="K10951" s="1" t="str">
        <f>"2026-07-29 14:21:49"</f>
        <v>2026-07-29 14:21:49</v>
      </c>
      <c r="L10951" s="1" t="str">
        <f>"2025-01-17 17:36:59"</f>
        <v>2025-01-17 17:36:59</v>
      </c>
      <c r="M10951" s="1" t="s">
        <v>4</v>
      </c>
      <c r="N10951" s="1" t="s">
        <v>38</v>
      </c>
      <c r="O10951" s="1" t="s">
        <v>46</v>
      </c>
    </row>
    <row r="10952" spans="2:15" x14ac:dyDescent="0.3">
      <c r="B10952" s="1" t="s">
        <v>21</v>
      </c>
      <c r="C10952" s="1" t="str">
        <f>"6차"</f>
        <v>6차</v>
      </c>
      <c r="D10952" s="1" t="str">
        <f>"9827P0736S"</f>
        <v>9827P0736S</v>
      </c>
      <c r="E10952" s="1" t="s">
        <v>10</v>
      </c>
      <c r="F10952" s="1" t="str">
        <f>"fde1:103:4:c736:0:0:0:2"</f>
        <v>fde1:103:4:c736:0:0:0:2</v>
      </c>
      <c r="G10952" s="1" t="str">
        <f>"9827P073"</f>
        <v>9827P073</v>
      </c>
      <c r="H10952" s="1" t="str">
        <f>"고은간 9R10R1R2"</f>
        <v>고은간 9R10R1R2</v>
      </c>
      <c r="I10952" s="1" t="s">
        <v>15</v>
      </c>
      <c r="J10952" s="1" t="str">
        <f>"18/19"</f>
        <v>18/19</v>
      </c>
      <c r="K10952" s="1" t="str">
        <f>"2026-07-28 20:21:41"</f>
        <v>2026-07-28 20:21:41</v>
      </c>
      <c r="L10952" s="1" t="str">
        <f>"2025-01-17 17:45:55"</f>
        <v>2025-01-17 17:45:55</v>
      </c>
      <c r="M10952" s="1" t="s">
        <v>4</v>
      </c>
      <c r="N10952" s="1" t="s">
        <v>38</v>
      </c>
      <c r="O10952" s="1" t="s">
        <v>46</v>
      </c>
    </row>
    <row r="10953" spans="2:15" x14ac:dyDescent="0.3">
      <c r="B10953" s="1" t="s">
        <v>21</v>
      </c>
      <c r="C10953" s="1" t="str">
        <f>"3차"</f>
        <v>3차</v>
      </c>
      <c r="D10953" s="1" t="str">
        <f>"9827P08139"</f>
        <v>9827P08139</v>
      </c>
      <c r="E10953" s="1" t="s">
        <v>10</v>
      </c>
      <c r="F10953" s="1" t="str">
        <f>"10.12.131.57"</f>
        <v>10.12.131.57</v>
      </c>
      <c r="G10953" s="1" t="str">
        <f>"9827P081"</f>
        <v>9827P081</v>
      </c>
      <c r="H10953" s="1" t="str">
        <f>"고은간 9R10R2"</f>
        <v>고은간 9R10R2</v>
      </c>
      <c r="I10953" s="1" t="s">
        <v>8</v>
      </c>
      <c r="J10953" s="1" t="str">
        <f>"5/5"</f>
        <v>5/5</v>
      </c>
      <c r="K10953" s="1" t="str">
        <f>"2026-07-29 13:18:12"</f>
        <v>2026-07-29 13:18:12</v>
      </c>
      <c r="L10953" s="1" t="str">
        <f>"2018-04-06 09:27:54"</f>
        <v>2018-04-06 09:27:54</v>
      </c>
      <c r="M10953" s="1" t="s">
        <v>0</v>
      </c>
      <c r="N10953" s="1" t="s">
        <v>38</v>
      </c>
      <c r="O10953" s="1" t="s">
        <v>46</v>
      </c>
    </row>
    <row r="10954" spans="2:15" x14ac:dyDescent="0.3">
      <c r="B10954" s="1" t="s">
        <v>21</v>
      </c>
      <c r="C10954" s="1" t="str">
        <f>"4차"</f>
        <v>4차</v>
      </c>
      <c r="D10954" s="1" t="str">
        <f>"9827P09139"</f>
        <v>9827P09139</v>
      </c>
      <c r="E10954" s="1" t="s">
        <v>10</v>
      </c>
      <c r="F10954" s="1" t="str">
        <f>"10.128.100.205"</f>
        <v>10.128.100.205</v>
      </c>
      <c r="G10954" s="1" t="str">
        <f>"9827P091"</f>
        <v>9827P091</v>
      </c>
      <c r="H10954" s="1" t="str">
        <f>"고은간 9R10R3"</f>
        <v>고은간 9R10R3</v>
      </c>
      <c r="I10954" s="1" t="s">
        <v>8</v>
      </c>
      <c r="J10954" s="1" t="str">
        <f>"2/4"</f>
        <v>2/4</v>
      </c>
      <c r="K10954" s="1" t="str">
        <f t="shared" ref="K10954:K10959" si="548">"2026-07-29 13:18:13"</f>
        <v>2026-07-29 13:18:13</v>
      </c>
      <c r="L10954" s="1" t="str">
        <f>"2018-04-06 09:27:39"</f>
        <v>2018-04-06 09:27:39</v>
      </c>
      <c r="M10954" s="1" t="s">
        <v>45</v>
      </c>
      <c r="N10954" s="1" t="s">
        <v>38</v>
      </c>
      <c r="O10954" s="1" t="s">
        <v>46</v>
      </c>
    </row>
    <row r="10955" spans="2:15" x14ac:dyDescent="0.3">
      <c r="B10955" s="1" t="s">
        <v>21</v>
      </c>
      <c r="C10955" s="1" t="str">
        <f>"4차"</f>
        <v>4차</v>
      </c>
      <c r="D10955" s="1" t="str">
        <f>"9827P24144"</f>
        <v>9827P24144</v>
      </c>
      <c r="E10955" s="1" t="s">
        <v>10</v>
      </c>
      <c r="F10955" s="1" t="str">
        <f>"10.10.122.90"</f>
        <v>10.10.122.90</v>
      </c>
      <c r="G10955" s="1" t="str">
        <f>"9827P241"</f>
        <v>9827P241</v>
      </c>
      <c r="H10955" s="1" t="str">
        <f>"고은간 3R1"</f>
        <v>고은간 3R1</v>
      </c>
      <c r="I10955" s="1" t="s">
        <v>8</v>
      </c>
      <c r="J10955" s="1" t="str">
        <f>"21/21"</f>
        <v>21/21</v>
      </c>
      <c r="K10955" s="1" t="str">
        <f t="shared" si="548"/>
        <v>2026-07-29 13:18:13</v>
      </c>
      <c r="L10955" s="1" t="str">
        <f>"2019-10-14 17:59:05"</f>
        <v>2019-10-14 17:59:05</v>
      </c>
      <c r="M10955" s="1" t="s">
        <v>1</v>
      </c>
      <c r="N10955" s="1" t="s">
        <v>38</v>
      </c>
      <c r="O10955" s="1" t="s">
        <v>46</v>
      </c>
    </row>
    <row r="10956" spans="2:15" x14ac:dyDescent="0.3">
      <c r="B10956" s="1" t="s">
        <v>21</v>
      </c>
      <c r="C10956" s="1" t="str">
        <f>"1차"</f>
        <v>1차</v>
      </c>
      <c r="D10956" s="1" t="str">
        <f>"9827P26400"</f>
        <v>9827P26400</v>
      </c>
      <c r="E10956" s="1" t="s">
        <v>10</v>
      </c>
      <c r="F10956" s="1" t="str">
        <f>"10.128.117.52"</f>
        <v>10.128.117.52</v>
      </c>
      <c r="G10956" s="1" t="str">
        <f>"9827P264"</f>
        <v>9827P264</v>
      </c>
      <c r="H10956" s="1" t="str">
        <f>"고은간 2R5"</f>
        <v>고은간 2R5</v>
      </c>
      <c r="I10956" s="1" t="s">
        <v>8</v>
      </c>
      <c r="J10956" s="1" t="str">
        <f>"38/39"</f>
        <v>38/39</v>
      </c>
      <c r="K10956" s="1" t="str">
        <f t="shared" si="548"/>
        <v>2026-07-29 13:18:13</v>
      </c>
      <c r="L10956" s="1" t="str">
        <f>"2014-12-17 10:42:40"</f>
        <v>2014-12-17 10:42:40</v>
      </c>
      <c r="M10956" s="1" t="s">
        <v>45</v>
      </c>
      <c r="N10956" s="1" t="s">
        <v>38</v>
      </c>
      <c r="O10956" s="1" t="s">
        <v>46</v>
      </c>
    </row>
    <row r="10957" spans="2:15" x14ac:dyDescent="0.3">
      <c r="B10957" s="1" t="s">
        <v>21</v>
      </c>
      <c r="C10957" s="1" t="str">
        <f>"1차"</f>
        <v>1차</v>
      </c>
      <c r="D10957" s="1" t="str">
        <f>"9827P27102"</f>
        <v>9827P27102</v>
      </c>
      <c r="E10957" s="1" t="s">
        <v>10</v>
      </c>
      <c r="F10957" s="1" t="str">
        <f>"10.128.100.204"</f>
        <v>10.128.100.204</v>
      </c>
      <c r="G10957" s="1" t="str">
        <f>"9827P271"</f>
        <v>9827P271</v>
      </c>
      <c r="H10957" s="1" t="str">
        <f>"고은간 2R5R2"</f>
        <v>고은간 2R5R2</v>
      </c>
      <c r="I10957" s="1" t="s">
        <v>8</v>
      </c>
      <c r="J10957" s="1" t="str">
        <f>"12/12"</f>
        <v>12/12</v>
      </c>
      <c r="K10957" s="1" t="str">
        <f t="shared" si="548"/>
        <v>2026-07-29 13:18:13</v>
      </c>
      <c r="L10957" s="1" t="str">
        <f>"2014-12-17 10:43:18"</f>
        <v>2014-12-17 10:43:18</v>
      </c>
      <c r="M10957" s="1" t="s">
        <v>45</v>
      </c>
      <c r="N10957" s="1" t="s">
        <v>38</v>
      </c>
      <c r="O10957" s="1" t="s">
        <v>46</v>
      </c>
    </row>
    <row r="10958" spans="2:15" x14ac:dyDescent="0.3">
      <c r="B10958" s="1" t="s">
        <v>21</v>
      </c>
      <c r="C10958" s="1" t="str">
        <f t="shared" ref="C10958:C10980" si="549">"4차"</f>
        <v>4차</v>
      </c>
      <c r="D10958" s="1" t="str">
        <f>"9827P28539"</f>
        <v>9827P28539</v>
      </c>
      <c r="E10958" s="1" t="s">
        <v>10</v>
      </c>
      <c r="F10958" s="1" t="str">
        <f>"10.12.131.18"</f>
        <v>10.12.131.18</v>
      </c>
      <c r="G10958" s="1" t="str">
        <f>"9827P285"</f>
        <v>9827P285</v>
      </c>
      <c r="H10958" s="1" t="str">
        <f>"홍제 L16"</f>
        <v>홍제 L16</v>
      </c>
      <c r="I10958" s="1" t="s">
        <v>17</v>
      </c>
      <c r="J10958" s="1" t="str">
        <f>"4/4"</f>
        <v>4/4</v>
      </c>
      <c r="K10958" s="1" t="str">
        <f t="shared" si="548"/>
        <v>2026-07-29 13:18:13</v>
      </c>
      <c r="L10958" s="1" t="str">
        <f>"2018-06-25 11:24:24"</f>
        <v>2018-06-25 11:24:24</v>
      </c>
      <c r="M10958" s="1" t="s">
        <v>0</v>
      </c>
      <c r="N10958" s="1" t="s">
        <v>38</v>
      </c>
      <c r="O10958" s="1" t="s">
        <v>46</v>
      </c>
    </row>
    <row r="10959" spans="2:15" x14ac:dyDescent="0.3">
      <c r="B10959" s="1" t="s">
        <v>21</v>
      </c>
      <c r="C10959" s="1" t="str">
        <f t="shared" si="549"/>
        <v>4차</v>
      </c>
      <c r="D10959" s="1" t="str">
        <f>"9827P28639"</f>
        <v>9827P28639</v>
      </c>
      <c r="E10959" s="1" t="s">
        <v>10</v>
      </c>
      <c r="F10959" s="1" t="str">
        <f>"10.12.134.72"</f>
        <v>10.12.134.72</v>
      </c>
      <c r="G10959" s="1" t="str">
        <f>"9827P286"</f>
        <v>9827P286</v>
      </c>
      <c r="H10959" s="1" t="str">
        <f>"홍제 L15"</f>
        <v>홍제 L15</v>
      </c>
      <c r="I10959" s="1" t="s">
        <v>17</v>
      </c>
      <c r="J10959" s="1" t="str">
        <f>"3/3"</f>
        <v>3/3</v>
      </c>
      <c r="K10959" s="1" t="str">
        <f t="shared" si="548"/>
        <v>2026-07-29 13:18:13</v>
      </c>
      <c r="L10959" s="1" t="str">
        <f>"2018-06-25 14:06:10"</f>
        <v>2018-06-25 14:06:10</v>
      </c>
      <c r="M10959" s="1" t="s">
        <v>0</v>
      </c>
      <c r="N10959" s="1" t="s">
        <v>38</v>
      </c>
      <c r="O10959" s="1" t="s">
        <v>46</v>
      </c>
    </row>
    <row r="10960" spans="2:15" x14ac:dyDescent="0.3">
      <c r="B10960" s="1" t="s">
        <v>21</v>
      </c>
      <c r="C10960" s="1" t="str">
        <f t="shared" si="549"/>
        <v>4차</v>
      </c>
      <c r="D10960" s="1" t="str">
        <f>"9827P28A39"</f>
        <v>9827P28A39</v>
      </c>
      <c r="E10960" s="1" t="s">
        <v>10</v>
      </c>
      <c r="F10960" s="1" t="str">
        <f>"10.12.128.185"</f>
        <v>10.12.128.185</v>
      </c>
      <c r="G10960" s="1" t="str">
        <f>"9827P28A"</f>
        <v>9827P28A</v>
      </c>
      <c r="H10960" s="1" t="str">
        <f>"홍제 R15-3"</f>
        <v>홍제 R15-3</v>
      </c>
      <c r="I10960" s="1" t="s">
        <v>17</v>
      </c>
      <c r="J10960" s="1" t="str">
        <f>"3/8"</f>
        <v>3/8</v>
      </c>
      <c r="K10960" s="1" t="str">
        <f>"2026-07-29 13:18:14"</f>
        <v>2026-07-29 13:18:14</v>
      </c>
      <c r="L10960" s="1" t="str">
        <f>"2018-06-22 07:31:55"</f>
        <v>2018-06-22 07:31:55</v>
      </c>
      <c r="M10960" s="1" t="s">
        <v>0</v>
      </c>
      <c r="N10960" s="1" t="s">
        <v>38</v>
      </c>
      <c r="O10960" s="1" t="s">
        <v>46</v>
      </c>
    </row>
    <row r="10961" spans="2:15" x14ac:dyDescent="0.3">
      <c r="B10961" s="1" t="s">
        <v>21</v>
      </c>
      <c r="C10961" s="1" t="str">
        <f t="shared" si="549"/>
        <v>4차</v>
      </c>
      <c r="D10961" s="1" t="str">
        <f>"9827P36139"</f>
        <v>9827P36139</v>
      </c>
      <c r="E10961" s="1" t="s">
        <v>10</v>
      </c>
      <c r="F10961" s="1" t="str">
        <f>"10.12.134.71"</f>
        <v>10.12.134.71</v>
      </c>
      <c r="G10961" s="1" t="str">
        <f>"9827P361"</f>
        <v>9827P361</v>
      </c>
      <c r="H10961" s="1" t="str">
        <f>"홍제 L14"</f>
        <v>홍제 L14</v>
      </c>
      <c r="I10961" s="1" t="s">
        <v>17</v>
      </c>
      <c r="J10961" s="1" t="str">
        <f>"1/1"</f>
        <v>1/1</v>
      </c>
      <c r="K10961" s="1" t="str">
        <f>"2026-07-29 13:18:12"</f>
        <v>2026-07-29 13:18:12</v>
      </c>
      <c r="L10961" s="1" t="str">
        <f>"2018-06-25 12:37:37"</f>
        <v>2018-06-25 12:37:37</v>
      </c>
      <c r="M10961" s="1" t="s">
        <v>0</v>
      </c>
      <c r="N10961" s="1" t="s">
        <v>38</v>
      </c>
      <c r="O10961" s="1" t="s">
        <v>46</v>
      </c>
    </row>
    <row r="10962" spans="2:15" x14ac:dyDescent="0.3">
      <c r="B10962" s="1" t="s">
        <v>21</v>
      </c>
      <c r="C10962" s="1" t="str">
        <f t="shared" si="549"/>
        <v>4차</v>
      </c>
      <c r="D10962" s="1" t="str">
        <f>"9827P37839"</f>
        <v>9827P37839</v>
      </c>
      <c r="E10962" s="1" t="s">
        <v>10</v>
      </c>
      <c r="F10962" s="1" t="str">
        <f>"10.12.133.235"</f>
        <v>10.12.133.235</v>
      </c>
      <c r="G10962" s="1" t="str">
        <f>"9827P378"</f>
        <v>9827P378</v>
      </c>
      <c r="H10962" s="1" t="str">
        <f>"홍제 L15-1"</f>
        <v>홍제 L15-1</v>
      </c>
      <c r="I10962" s="1" t="s">
        <v>17</v>
      </c>
      <c r="J10962" s="1" t="str">
        <f>"7/7"</f>
        <v>7/7</v>
      </c>
      <c r="K10962" s="1" t="str">
        <f>"2026-07-29 13:18:14"</f>
        <v>2026-07-29 13:18:14</v>
      </c>
      <c r="L10962" s="1" t="str">
        <f>"2018-06-25 12:16:24"</f>
        <v>2018-06-25 12:16:24</v>
      </c>
      <c r="M10962" s="1" t="s">
        <v>0</v>
      </c>
      <c r="N10962" s="1" t="s">
        <v>38</v>
      </c>
      <c r="O10962" s="1" t="s">
        <v>46</v>
      </c>
    </row>
    <row r="10963" spans="2:15" x14ac:dyDescent="0.3">
      <c r="B10963" s="1" t="s">
        <v>21</v>
      </c>
      <c r="C10963" s="1" t="str">
        <f t="shared" si="549"/>
        <v>4차</v>
      </c>
      <c r="D10963" s="1" t="str">
        <f>"9827P38539"</f>
        <v>9827P38539</v>
      </c>
      <c r="E10963" s="1" t="s">
        <v>10</v>
      </c>
      <c r="F10963" s="1" t="str">
        <f>"10.12.131.11"</f>
        <v>10.12.131.11</v>
      </c>
      <c r="G10963" s="1" t="str">
        <f>"9827P385"</f>
        <v>9827P385</v>
      </c>
      <c r="H10963" s="1" t="str">
        <f>"홍제 R15"</f>
        <v>홍제 R15</v>
      </c>
      <c r="I10963" s="1" t="s">
        <v>17</v>
      </c>
      <c r="J10963" s="1" t="str">
        <f>"1/1"</f>
        <v>1/1</v>
      </c>
      <c r="K10963" s="1" t="str">
        <f>"2026-07-29 13:18:13"</f>
        <v>2026-07-29 13:18:13</v>
      </c>
      <c r="L10963" s="1" t="str">
        <f>"2018-06-25 12:34:52"</f>
        <v>2018-06-25 12:34:52</v>
      </c>
      <c r="M10963" s="1" t="s">
        <v>0</v>
      </c>
      <c r="N10963" s="1" t="s">
        <v>38</v>
      </c>
      <c r="O10963" s="1" t="s">
        <v>46</v>
      </c>
    </row>
    <row r="10964" spans="2:15" x14ac:dyDescent="0.3">
      <c r="B10964" s="1" t="s">
        <v>21</v>
      </c>
      <c r="C10964" s="1" t="str">
        <f t="shared" si="549"/>
        <v>4차</v>
      </c>
      <c r="D10964" s="1" t="str">
        <f>"9827P46239"</f>
        <v>9827P46239</v>
      </c>
      <c r="E10964" s="1" t="s">
        <v>10</v>
      </c>
      <c r="F10964" s="1" t="str">
        <f>"10.12.134.226"</f>
        <v>10.12.134.226</v>
      </c>
      <c r="G10964" s="1" t="str">
        <f>"9827P462"</f>
        <v>9827P462</v>
      </c>
      <c r="H10964" s="1" t="str">
        <f>"홍제 R14-1"</f>
        <v>홍제 R14-1</v>
      </c>
      <c r="I10964" s="1" t="s">
        <v>17</v>
      </c>
      <c r="J10964" s="1" t="str">
        <f>"3/3"</f>
        <v>3/3</v>
      </c>
      <c r="K10964" s="1" t="str">
        <f>"2026-07-29 13:18:13"</f>
        <v>2026-07-29 13:18:13</v>
      </c>
      <c r="L10964" s="1" t="str">
        <f>"2018-06-25 12:18:54"</f>
        <v>2018-06-25 12:18:54</v>
      </c>
      <c r="M10964" s="1" t="s">
        <v>0</v>
      </c>
      <c r="N10964" s="1" t="s">
        <v>38</v>
      </c>
      <c r="O10964" s="1" t="s">
        <v>46</v>
      </c>
    </row>
    <row r="10965" spans="2:15" x14ac:dyDescent="0.3">
      <c r="B10965" s="1" t="s">
        <v>21</v>
      </c>
      <c r="C10965" s="1" t="str">
        <f t="shared" si="549"/>
        <v>4차</v>
      </c>
      <c r="D10965" s="1" t="str">
        <f>"9827P48144"</f>
        <v>9827P48144</v>
      </c>
      <c r="E10965" s="1" t="s">
        <v>10</v>
      </c>
      <c r="F10965" s="1" t="str">
        <f>"10.10.91.98"</f>
        <v>10.10.91.98</v>
      </c>
      <c r="G10965" s="1" t="str">
        <f>"9827P481"</f>
        <v>9827P481</v>
      </c>
      <c r="H10965" s="1" t="str">
        <f>"인왕지 2"</f>
        <v>인왕지 2</v>
      </c>
      <c r="I10965" s="1" t="s">
        <v>8</v>
      </c>
      <c r="J10965" s="1" t="str">
        <f>"17/18"</f>
        <v>17/18</v>
      </c>
      <c r="K10965" s="1" t="str">
        <f>"2026-07-29 13:18:13"</f>
        <v>2026-07-29 13:18:13</v>
      </c>
      <c r="L10965" s="1" t="str">
        <f>"2019-11-22 11:10:18"</f>
        <v>2019-11-22 11:10:18</v>
      </c>
      <c r="M10965" s="1" t="s">
        <v>1</v>
      </c>
      <c r="N10965" s="1" t="s">
        <v>38</v>
      </c>
      <c r="O10965" s="1" t="s">
        <v>46</v>
      </c>
    </row>
    <row r="10966" spans="2:15" x14ac:dyDescent="0.3">
      <c r="B10966" s="1" t="s">
        <v>21</v>
      </c>
      <c r="C10966" s="1" t="str">
        <f t="shared" si="549"/>
        <v>4차</v>
      </c>
      <c r="D10966" s="1" t="str">
        <f>"9827P48244"</f>
        <v>9827P48244</v>
      </c>
      <c r="E10966" s="1" t="s">
        <v>10</v>
      </c>
      <c r="F10966" s="1" t="str">
        <f>"10.14.8.118"</f>
        <v>10.14.8.118</v>
      </c>
      <c r="G10966" s="1" t="str">
        <f>"9827P482"</f>
        <v>9827P482</v>
      </c>
      <c r="H10966" s="1" t="str">
        <f>"인왕지 2L1H1"</f>
        <v>인왕지 2L1H1</v>
      </c>
      <c r="I10966" s="1" t="s">
        <v>8</v>
      </c>
      <c r="J10966" s="1" t="str">
        <f>"42/45"</f>
        <v>42/45</v>
      </c>
      <c r="K10966" s="1" t="str">
        <f>"2026-07-29 13:18:12"</f>
        <v>2026-07-29 13:18:12</v>
      </c>
      <c r="L10966" s="1" t="str">
        <f>"2021-07-14 11:17:39"</f>
        <v>2021-07-14 11:17:39</v>
      </c>
      <c r="M10966" s="1" t="s">
        <v>3</v>
      </c>
      <c r="N10966" s="1" t="s">
        <v>38</v>
      </c>
      <c r="O10966" s="1" t="s">
        <v>46</v>
      </c>
    </row>
    <row r="10967" spans="2:15" x14ac:dyDescent="0.3">
      <c r="B10967" s="1" t="s">
        <v>21</v>
      </c>
      <c r="C10967" s="1" t="str">
        <f t="shared" si="549"/>
        <v>4차</v>
      </c>
      <c r="D10967" s="1" t="str">
        <f>"9827P54339"</f>
        <v>9827P54339</v>
      </c>
      <c r="E10967" s="1" t="s">
        <v>10</v>
      </c>
      <c r="F10967" s="1" t="str">
        <f>"10.12.133.65"</f>
        <v>10.12.133.65</v>
      </c>
      <c r="G10967" s="1" t="str">
        <f>"9827P543"</f>
        <v>9827P543</v>
      </c>
      <c r="H10967" s="1" t="str">
        <f>"홍제 L11"</f>
        <v>홍제 L11</v>
      </c>
      <c r="I10967" s="1" t="s">
        <v>17</v>
      </c>
      <c r="J10967" s="1" t="str">
        <f>"6/6"</f>
        <v>6/6</v>
      </c>
      <c r="K10967" s="1" t="str">
        <f>"2026-07-29 13:18:14"</f>
        <v>2026-07-29 13:18:14</v>
      </c>
      <c r="L10967" s="1" t="str">
        <f>"2018-06-25 12:56:40"</f>
        <v>2018-06-25 12:56:40</v>
      </c>
      <c r="M10967" s="1" t="s">
        <v>0</v>
      </c>
      <c r="N10967" s="1" t="s">
        <v>38</v>
      </c>
      <c r="O10967" s="1" t="s">
        <v>46</v>
      </c>
    </row>
    <row r="10968" spans="2:15" x14ac:dyDescent="0.3">
      <c r="B10968" s="1" t="s">
        <v>21</v>
      </c>
      <c r="C10968" s="1" t="str">
        <f t="shared" si="549"/>
        <v>4차</v>
      </c>
      <c r="D10968" s="1" t="str">
        <f>"9827P56144"</f>
        <v>9827P56144</v>
      </c>
      <c r="E10968" s="1" t="s">
        <v>10</v>
      </c>
      <c r="F10968" s="1" t="str">
        <f>"10.10.91.82"</f>
        <v>10.10.91.82</v>
      </c>
      <c r="G10968" s="1" t="str">
        <f>"9827P561"</f>
        <v>9827P561</v>
      </c>
      <c r="H10968" s="1" t="str">
        <f>"인왕지 1R5"</f>
        <v>인왕지 1R5</v>
      </c>
      <c r="I10968" s="1" t="s">
        <v>8</v>
      </c>
      <c r="J10968" s="1" t="str">
        <f>"26/26"</f>
        <v>26/26</v>
      </c>
      <c r="K10968" s="1" t="str">
        <f>"2026-07-29 13:18:13"</f>
        <v>2026-07-29 13:18:13</v>
      </c>
      <c r="L10968" s="1" t="str">
        <f>"2019-11-11 14:14:57"</f>
        <v>2019-11-11 14:14:57</v>
      </c>
      <c r="M10968" s="1" t="s">
        <v>1</v>
      </c>
      <c r="N10968" s="1" t="s">
        <v>38</v>
      </c>
      <c r="O10968" s="1" t="s">
        <v>46</v>
      </c>
    </row>
    <row r="10969" spans="2:15" x14ac:dyDescent="0.3">
      <c r="B10969" s="1" t="s">
        <v>21</v>
      </c>
      <c r="C10969" s="1" t="str">
        <f t="shared" si="549"/>
        <v>4차</v>
      </c>
      <c r="D10969" s="1" t="str">
        <f>"9827P56544"</f>
        <v>9827P56544</v>
      </c>
      <c r="E10969" s="1" t="s">
        <v>10</v>
      </c>
      <c r="F10969" s="1" t="str">
        <f>"10.10.122.42"</f>
        <v>10.10.122.42</v>
      </c>
      <c r="G10969" s="1" t="str">
        <f>"9827P565"</f>
        <v>9827P565</v>
      </c>
      <c r="H10969" s="1" t="str">
        <f>"인왕지 6"</f>
        <v>인왕지 6</v>
      </c>
      <c r="I10969" s="1" t="s">
        <v>8</v>
      </c>
      <c r="J10969" s="1" t="str">
        <f>"27/27"</f>
        <v>27/27</v>
      </c>
      <c r="K10969" s="1" t="str">
        <f t="shared" ref="K10969:K10978" si="550">"2026-07-29 13:18:12"</f>
        <v>2026-07-29 13:18:12</v>
      </c>
      <c r="L10969" s="1" t="str">
        <f>"2019-11-11 14:13:12"</f>
        <v>2019-11-11 14:13:12</v>
      </c>
      <c r="M10969" s="1" t="s">
        <v>1</v>
      </c>
      <c r="N10969" s="1" t="s">
        <v>38</v>
      </c>
      <c r="O10969" s="1" t="s">
        <v>46</v>
      </c>
    </row>
    <row r="10970" spans="2:15" x14ac:dyDescent="0.3">
      <c r="B10970" s="1" t="s">
        <v>21</v>
      </c>
      <c r="C10970" s="1" t="str">
        <f t="shared" si="549"/>
        <v>4차</v>
      </c>
      <c r="D10970" s="1" t="str">
        <f>"9827P57144"</f>
        <v>9827P57144</v>
      </c>
      <c r="E10970" s="1" t="s">
        <v>10</v>
      </c>
      <c r="F10970" s="1" t="str">
        <f>"10.10.92.74"</f>
        <v>10.10.92.74</v>
      </c>
      <c r="G10970" s="1" t="str">
        <f>"9827P571"</f>
        <v>9827P571</v>
      </c>
      <c r="H10970" s="1" t="str">
        <f>"인왕지 4"</f>
        <v>인왕지 4</v>
      </c>
      <c r="I10970" s="1" t="s">
        <v>8</v>
      </c>
      <c r="J10970" s="1" t="str">
        <f>"35/39"</f>
        <v>35/39</v>
      </c>
      <c r="K10970" s="1" t="str">
        <f t="shared" si="550"/>
        <v>2026-07-29 13:18:12</v>
      </c>
      <c r="L10970" s="1" t="str">
        <f>"2019-11-11 14:42:12"</f>
        <v>2019-11-11 14:42:12</v>
      </c>
      <c r="M10970" s="1" t="s">
        <v>1</v>
      </c>
      <c r="N10970" s="1" t="s">
        <v>38</v>
      </c>
      <c r="O10970" s="1" t="s">
        <v>46</v>
      </c>
    </row>
    <row r="10971" spans="2:15" x14ac:dyDescent="0.3">
      <c r="B10971" s="1" t="s">
        <v>21</v>
      </c>
      <c r="C10971" s="1" t="str">
        <f t="shared" si="549"/>
        <v>4차</v>
      </c>
      <c r="D10971" s="1" t="str">
        <f>"9827P58144"</f>
        <v>9827P58144</v>
      </c>
      <c r="E10971" s="1" t="s">
        <v>10</v>
      </c>
      <c r="F10971" s="1" t="str">
        <f>"10.10.92.50"</f>
        <v>10.10.92.50</v>
      </c>
      <c r="G10971" s="1" t="str">
        <f>"9827P581"</f>
        <v>9827P581</v>
      </c>
      <c r="H10971" s="1" t="str">
        <f>"인왕지 2A1"</f>
        <v>인왕지 2A1</v>
      </c>
      <c r="I10971" s="1" t="s">
        <v>8</v>
      </c>
      <c r="J10971" s="1" t="str">
        <f>"13/13"</f>
        <v>13/13</v>
      </c>
      <c r="K10971" s="1" t="str">
        <f t="shared" si="550"/>
        <v>2026-07-29 13:18:12</v>
      </c>
      <c r="L10971" s="1" t="str">
        <f>"2019-11-11 15:53:02"</f>
        <v>2019-11-11 15:53:02</v>
      </c>
      <c r="M10971" s="1" t="s">
        <v>1</v>
      </c>
      <c r="N10971" s="1" t="s">
        <v>38</v>
      </c>
      <c r="O10971" s="1" t="s">
        <v>46</v>
      </c>
    </row>
    <row r="10972" spans="2:15" x14ac:dyDescent="0.3">
      <c r="B10972" s="1" t="s">
        <v>21</v>
      </c>
      <c r="C10972" s="1" t="str">
        <f t="shared" si="549"/>
        <v>4차</v>
      </c>
      <c r="D10972" s="1" t="str">
        <f>"9827P58544"</f>
        <v>9827P58544</v>
      </c>
      <c r="E10972" s="1" t="s">
        <v>10</v>
      </c>
      <c r="F10972" s="1" t="str">
        <f>"10.10.92.58"</f>
        <v>10.10.92.58</v>
      </c>
      <c r="G10972" s="1" t="str">
        <f>"9827P585"</f>
        <v>9827P585</v>
      </c>
      <c r="H10972" s="1" t="str">
        <f>"인왕지 2A3"</f>
        <v>인왕지 2A3</v>
      </c>
      <c r="I10972" s="1" t="s">
        <v>8</v>
      </c>
      <c r="J10972" s="1" t="str">
        <f>"55/55"</f>
        <v>55/55</v>
      </c>
      <c r="K10972" s="1" t="str">
        <f t="shared" si="550"/>
        <v>2026-07-29 13:18:12</v>
      </c>
      <c r="L10972" s="1" t="str">
        <f>"2020-02-12 15:13:29"</f>
        <v>2020-02-12 15:13:29</v>
      </c>
      <c r="M10972" s="1" t="s">
        <v>1</v>
      </c>
      <c r="N10972" s="1" t="s">
        <v>38</v>
      </c>
      <c r="O10972" s="1" t="s">
        <v>46</v>
      </c>
    </row>
    <row r="10973" spans="2:15" x14ac:dyDescent="0.3">
      <c r="B10973" s="1" t="s">
        <v>21</v>
      </c>
      <c r="C10973" s="1" t="str">
        <f t="shared" si="549"/>
        <v>4차</v>
      </c>
      <c r="D10973" s="1" t="str">
        <f>"9827P63144"</f>
        <v>9827P63144</v>
      </c>
      <c r="E10973" s="1" t="s">
        <v>10</v>
      </c>
      <c r="F10973" s="1" t="str">
        <f>"10.10.91.74"</f>
        <v>10.10.91.74</v>
      </c>
      <c r="G10973" s="1" t="str">
        <f>"9827P631"</f>
        <v>9827P631</v>
      </c>
      <c r="H10973" s="1" t="str">
        <f>"인왕지 10"</f>
        <v>인왕지 10</v>
      </c>
      <c r="I10973" s="1" t="s">
        <v>8</v>
      </c>
      <c r="J10973" s="1" t="str">
        <f>"27/29"</f>
        <v>27/29</v>
      </c>
      <c r="K10973" s="1" t="str">
        <f t="shared" si="550"/>
        <v>2026-07-29 13:18:12</v>
      </c>
      <c r="L10973" s="1" t="str">
        <f>"2019-12-11 18:26:51"</f>
        <v>2019-12-11 18:26:51</v>
      </c>
      <c r="M10973" s="1" t="s">
        <v>1</v>
      </c>
      <c r="N10973" s="1" t="s">
        <v>38</v>
      </c>
      <c r="O10973" s="1" t="s">
        <v>46</v>
      </c>
    </row>
    <row r="10974" spans="2:15" x14ac:dyDescent="0.3">
      <c r="B10974" s="1" t="s">
        <v>21</v>
      </c>
      <c r="C10974" s="1" t="str">
        <f t="shared" si="549"/>
        <v>4차</v>
      </c>
      <c r="D10974" s="1" t="str">
        <f>"9827P64144"</f>
        <v>9827P64144</v>
      </c>
      <c r="E10974" s="1" t="s">
        <v>10</v>
      </c>
      <c r="F10974" s="1" t="str">
        <f>"10.10.93.42"</f>
        <v>10.10.93.42</v>
      </c>
      <c r="G10974" s="1" t="str">
        <f>"9827P641"</f>
        <v>9827P641</v>
      </c>
      <c r="H10974" s="1" t="str">
        <f>"인왕지 9"</f>
        <v>인왕지 9</v>
      </c>
      <c r="I10974" s="1" t="s">
        <v>8</v>
      </c>
      <c r="J10974" s="1" t="str">
        <f>"15/15"</f>
        <v>15/15</v>
      </c>
      <c r="K10974" s="1" t="str">
        <f t="shared" si="550"/>
        <v>2026-07-29 13:18:12</v>
      </c>
      <c r="L10974" s="1" t="str">
        <f>"2019-11-11 14:59:35"</f>
        <v>2019-11-11 14:59:35</v>
      </c>
      <c r="M10974" s="1" t="s">
        <v>1</v>
      </c>
      <c r="N10974" s="1" t="s">
        <v>38</v>
      </c>
      <c r="O10974" s="1" t="s">
        <v>46</v>
      </c>
    </row>
    <row r="10975" spans="2:15" x14ac:dyDescent="0.3">
      <c r="B10975" s="1" t="s">
        <v>21</v>
      </c>
      <c r="C10975" s="1" t="str">
        <f t="shared" si="549"/>
        <v>4차</v>
      </c>
      <c r="D10975" s="1" t="str">
        <f>"9827P65344"</f>
        <v>9827P65344</v>
      </c>
      <c r="E10975" s="1" t="s">
        <v>10</v>
      </c>
      <c r="F10975" s="1" t="str">
        <f>"10.10.93.34"</f>
        <v>10.10.93.34</v>
      </c>
      <c r="G10975" s="1" t="str">
        <f>"9827P653"</f>
        <v>9827P653</v>
      </c>
      <c r="H10975" s="1" t="str">
        <f>"인왕지 8"</f>
        <v>인왕지 8</v>
      </c>
      <c r="I10975" s="1" t="s">
        <v>8</v>
      </c>
      <c r="J10975" s="1" t="str">
        <f>"9/10"</f>
        <v>9/10</v>
      </c>
      <c r="K10975" s="1" t="str">
        <f t="shared" si="550"/>
        <v>2026-07-29 13:18:12</v>
      </c>
      <c r="L10975" s="1" t="str">
        <f>"2019-11-11 14:16:28"</f>
        <v>2019-11-11 14:16:28</v>
      </c>
      <c r="M10975" s="1" t="s">
        <v>1</v>
      </c>
      <c r="N10975" s="1" t="s">
        <v>38</v>
      </c>
      <c r="O10975" s="1" t="s">
        <v>46</v>
      </c>
    </row>
    <row r="10976" spans="2:15" x14ac:dyDescent="0.3">
      <c r="B10976" s="1" t="s">
        <v>21</v>
      </c>
      <c r="C10976" s="1" t="str">
        <f t="shared" si="549"/>
        <v>4차</v>
      </c>
      <c r="D10976" s="1" t="str">
        <f>"9827P66144"</f>
        <v>9827P66144</v>
      </c>
      <c r="E10976" s="1" t="s">
        <v>10</v>
      </c>
      <c r="F10976" s="1" t="str">
        <f>"10.10.93.2"</f>
        <v>10.10.93.2</v>
      </c>
      <c r="G10976" s="1" t="str">
        <f>"9827P661"</f>
        <v>9827P661</v>
      </c>
      <c r="H10976" s="1" t="str">
        <f>"인왕지 5C2"</f>
        <v>인왕지 5C2</v>
      </c>
      <c r="I10976" s="1" t="s">
        <v>8</v>
      </c>
      <c r="J10976" s="1" t="str">
        <f>"26/27"</f>
        <v>26/27</v>
      </c>
      <c r="K10976" s="1" t="str">
        <f t="shared" si="550"/>
        <v>2026-07-29 13:18:12</v>
      </c>
      <c r="L10976" s="1" t="str">
        <f>"2019-11-11 17:07:14"</f>
        <v>2019-11-11 17:07:14</v>
      </c>
      <c r="M10976" s="1" t="s">
        <v>1</v>
      </c>
      <c r="N10976" s="1" t="s">
        <v>38</v>
      </c>
      <c r="O10976" s="1" t="s">
        <v>46</v>
      </c>
    </row>
    <row r="10977" spans="2:15" x14ac:dyDescent="0.3">
      <c r="B10977" s="1" t="s">
        <v>21</v>
      </c>
      <c r="C10977" s="1" t="str">
        <f t="shared" si="549"/>
        <v>4차</v>
      </c>
      <c r="D10977" s="1" t="str">
        <f>"9827P66244"</f>
        <v>9827P66244</v>
      </c>
      <c r="E10977" s="1" t="s">
        <v>10</v>
      </c>
      <c r="F10977" s="1" t="str">
        <f>"10.10.88.170"</f>
        <v>10.10.88.170</v>
      </c>
      <c r="G10977" s="1" t="str">
        <f>"9827P662"</f>
        <v>9827P662</v>
      </c>
      <c r="H10977" s="1" t="str">
        <f>"인왕지 5C4"</f>
        <v>인왕지 5C4</v>
      </c>
      <c r="I10977" s="1" t="s">
        <v>8</v>
      </c>
      <c r="J10977" s="1" t="str">
        <f>"51/51"</f>
        <v>51/51</v>
      </c>
      <c r="K10977" s="1" t="str">
        <f t="shared" si="550"/>
        <v>2026-07-29 13:18:12</v>
      </c>
      <c r="L10977" s="1" t="str">
        <f>"2019-12-17 16:13:09"</f>
        <v>2019-12-17 16:13:09</v>
      </c>
      <c r="M10977" s="1" t="s">
        <v>1</v>
      </c>
      <c r="N10977" s="1" t="s">
        <v>38</v>
      </c>
      <c r="O10977" s="1" t="s">
        <v>46</v>
      </c>
    </row>
    <row r="10978" spans="2:15" x14ac:dyDescent="0.3">
      <c r="B10978" s="1" t="s">
        <v>21</v>
      </c>
      <c r="C10978" s="1" t="str">
        <f t="shared" si="549"/>
        <v>4차</v>
      </c>
      <c r="D10978" s="1" t="str">
        <f>"9827P66344"</f>
        <v>9827P66344</v>
      </c>
      <c r="E10978" s="1" t="s">
        <v>10</v>
      </c>
      <c r="F10978" s="1" t="str">
        <f>"10.10.88.146"</f>
        <v>10.10.88.146</v>
      </c>
      <c r="G10978" s="1" t="str">
        <f>"9827P663"</f>
        <v>9827P663</v>
      </c>
      <c r="H10978" s="1" t="str">
        <f>"인왕지 5L1"</f>
        <v>인왕지 5L1</v>
      </c>
      <c r="I10978" s="1" t="s">
        <v>8</v>
      </c>
      <c r="J10978" s="1" t="str">
        <f>"29/38"</f>
        <v>29/38</v>
      </c>
      <c r="K10978" s="1" t="str">
        <f t="shared" si="550"/>
        <v>2026-07-29 13:18:12</v>
      </c>
      <c r="L10978" s="1" t="str">
        <f>"2019-12-11 18:21:32"</f>
        <v>2019-12-11 18:21:32</v>
      </c>
      <c r="M10978" s="1" t="s">
        <v>1</v>
      </c>
      <c r="N10978" s="1" t="s">
        <v>38</v>
      </c>
      <c r="O10978" s="1" t="s">
        <v>46</v>
      </c>
    </row>
    <row r="10979" spans="2:15" x14ac:dyDescent="0.3">
      <c r="B10979" s="1" t="s">
        <v>21</v>
      </c>
      <c r="C10979" s="1" t="str">
        <f t="shared" si="549"/>
        <v>4차</v>
      </c>
      <c r="D10979" s="1" t="str">
        <f>"9827P73441"</f>
        <v>9827P73441</v>
      </c>
      <c r="E10979" s="1" t="s">
        <v>10</v>
      </c>
      <c r="F10979" s="1" t="str">
        <f>"10.14.5.22"</f>
        <v>10.14.5.22</v>
      </c>
      <c r="G10979" s="1" t="str">
        <f>"9827P734"</f>
        <v>9827P734</v>
      </c>
      <c r="H10979" s="1" t="str">
        <f>"인왕지 12"</f>
        <v>인왕지 12</v>
      </c>
      <c r="I10979" s="1" t="s">
        <v>17</v>
      </c>
      <c r="J10979" s="1" t="str">
        <f>"15/15"</f>
        <v>15/15</v>
      </c>
      <c r="K10979" s="1" t="str">
        <f>"2026-07-29 13:18:13"</f>
        <v>2026-07-29 13:18:13</v>
      </c>
      <c r="L10979" s="1" t="str">
        <f>"2021-08-12 09:44:49"</f>
        <v>2021-08-12 09:44:49</v>
      </c>
      <c r="M10979" s="1" t="s">
        <v>3</v>
      </c>
      <c r="N10979" s="1" t="s">
        <v>38</v>
      </c>
      <c r="O10979" s="1" t="s">
        <v>46</v>
      </c>
    </row>
    <row r="10980" spans="2:15" x14ac:dyDescent="0.3">
      <c r="B10980" s="1" t="s">
        <v>21</v>
      </c>
      <c r="C10980" s="1" t="str">
        <f t="shared" si="549"/>
        <v>4차</v>
      </c>
      <c r="D10980" s="1" t="str">
        <f>"9827P73739"</f>
        <v>9827P73739</v>
      </c>
      <c r="E10980" s="1" t="s">
        <v>10</v>
      </c>
      <c r="F10980" s="1" t="str">
        <f>"10.12.133.183"</f>
        <v>10.12.133.183</v>
      </c>
      <c r="G10980" s="1" t="str">
        <f>"9827P737"</f>
        <v>9827P737</v>
      </c>
      <c r="H10980" s="1" t="str">
        <f>"홍제 R14"</f>
        <v>홍제 R14</v>
      </c>
      <c r="I10980" s="1" t="s">
        <v>17</v>
      </c>
      <c r="J10980" s="1" t="str">
        <f>"2/2"</f>
        <v>2/2</v>
      </c>
      <c r="K10980" s="1" t="str">
        <f>"2026-07-29 13:18:14"</f>
        <v>2026-07-29 13:18:14</v>
      </c>
      <c r="L10980" s="1" t="str">
        <f>"2018-06-25 14:21:08"</f>
        <v>2018-06-25 14:21:08</v>
      </c>
      <c r="M10980" s="1" t="s">
        <v>0</v>
      </c>
      <c r="N10980" s="1" t="s">
        <v>38</v>
      </c>
      <c r="O10980" s="1" t="s">
        <v>46</v>
      </c>
    </row>
    <row r="10981" spans="2:15" x14ac:dyDescent="0.3">
      <c r="B10981" s="1" t="s">
        <v>21</v>
      </c>
      <c r="C10981" s="1" t="str">
        <f>"3차"</f>
        <v>3차</v>
      </c>
      <c r="D10981" s="1" t="str">
        <f>"9827P76239"</f>
        <v>9827P76239</v>
      </c>
      <c r="E10981" s="1" t="s">
        <v>10</v>
      </c>
      <c r="F10981" s="1" t="str">
        <f>"10.12.129.169"</f>
        <v>10.12.129.169</v>
      </c>
      <c r="G10981" s="1" t="str">
        <f>"9827P762"</f>
        <v>9827P762</v>
      </c>
      <c r="H10981" s="1" t="str">
        <f>"인왕지 5C5"</f>
        <v>인왕지 5C5</v>
      </c>
      <c r="I10981" s="1" t="s">
        <v>8</v>
      </c>
      <c r="J10981" s="1" t="str">
        <f>"32/32"</f>
        <v>32/32</v>
      </c>
      <c r="K10981" s="1" t="str">
        <f>"2026-07-29 13:18:13"</f>
        <v>2026-07-29 13:18:13</v>
      </c>
      <c r="L10981" s="1" t="str">
        <f>"2018-04-25 16:38:14"</f>
        <v>2018-04-25 16:38:14</v>
      </c>
      <c r="M10981" s="1" t="s">
        <v>0</v>
      </c>
      <c r="N10981" s="1" t="s">
        <v>38</v>
      </c>
      <c r="O10981" s="1" t="s">
        <v>46</v>
      </c>
    </row>
    <row r="10982" spans="2:15" x14ac:dyDescent="0.3">
      <c r="B10982" s="1" t="s">
        <v>21</v>
      </c>
      <c r="C10982" s="1" t="str">
        <f>"4차"</f>
        <v>4차</v>
      </c>
      <c r="D10982" s="1" t="str">
        <f>"9827P76344"</f>
        <v>9827P76344</v>
      </c>
      <c r="E10982" s="1" t="s">
        <v>10</v>
      </c>
      <c r="F10982" s="1" t="str">
        <f>"10.10.122.34"</f>
        <v>10.10.122.34</v>
      </c>
      <c r="G10982" s="1" t="str">
        <f>"9827P763"</f>
        <v>9827P763</v>
      </c>
      <c r="H10982" s="1" t="str">
        <f>"인왕지 5C3L2"</f>
        <v>인왕지 5C3L2</v>
      </c>
      <c r="I10982" s="1" t="s">
        <v>8</v>
      </c>
      <c r="J10982" s="1" t="str">
        <f>"16/16"</f>
        <v>16/16</v>
      </c>
      <c r="K10982" s="1" t="str">
        <f>"2026-07-29 13:18:12"</f>
        <v>2026-07-29 13:18:12</v>
      </c>
      <c r="L10982" s="1" t="str">
        <f>"2019-11-11 18:57:17"</f>
        <v>2019-11-11 18:57:17</v>
      </c>
      <c r="M10982" s="1" t="s">
        <v>1</v>
      </c>
      <c r="N10982" s="1" t="s">
        <v>38</v>
      </c>
      <c r="O10982" s="1" t="s">
        <v>46</v>
      </c>
    </row>
    <row r="10983" spans="2:15" x14ac:dyDescent="0.3">
      <c r="B10983" s="1" t="s">
        <v>21</v>
      </c>
      <c r="C10983" s="1" t="str">
        <f>"4차"</f>
        <v>4차</v>
      </c>
      <c r="D10983" s="1" t="str">
        <f>"9827P77144"</f>
        <v>9827P77144</v>
      </c>
      <c r="E10983" s="1" t="s">
        <v>10</v>
      </c>
      <c r="F10983" s="1" t="str">
        <f>"10.10.88.98"</f>
        <v>10.10.88.98</v>
      </c>
      <c r="G10983" s="1" t="str">
        <f>"9827P771"</f>
        <v>9827P771</v>
      </c>
      <c r="H10983" s="1" t="str">
        <f>"인왕지 5L3"</f>
        <v>인왕지 5L3</v>
      </c>
      <c r="I10983" s="1" t="s">
        <v>8</v>
      </c>
      <c r="J10983" s="1" t="str">
        <f>"68/68"</f>
        <v>68/68</v>
      </c>
      <c r="K10983" s="1" t="str">
        <f>"2026-07-29 13:18:12"</f>
        <v>2026-07-29 13:18:12</v>
      </c>
      <c r="L10983" s="1" t="str">
        <f>"2019-12-11 18:22:01"</f>
        <v>2019-12-11 18:22:01</v>
      </c>
      <c r="M10983" s="1" t="s">
        <v>1</v>
      </c>
      <c r="N10983" s="1" t="s">
        <v>38</v>
      </c>
      <c r="O10983" s="1" t="s">
        <v>46</v>
      </c>
    </row>
    <row r="10984" spans="2:15" x14ac:dyDescent="0.3">
      <c r="B10984" s="1" t="s">
        <v>21</v>
      </c>
      <c r="C10984" s="1" t="str">
        <f>"4차"</f>
        <v>4차</v>
      </c>
      <c r="D10984" s="1" t="str">
        <f>"9827P79144"</f>
        <v>9827P79144</v>
      </c>
      <c r="E10984" s="1" t="s">
        <v>10</v>
      </c>
      <c r="F10984" s="1" t="str">
        <f>"10.10.93.10"</f>
        <v>10.10.93.10</v>
      </c>
      <c r="G10984" s="1" t="str">
        <f>"9827P791"</f>
        <v>9827P791</v>
      </c>
      <c r="H10984" s="1" t="str">
        <f>"인왕지 5L9"</f>
        <v>인왕지 5L9</v>
      </c>
      <c r="I10984" s="1" t="s">
        <v>8</v>
      </c>
      <c r="J10984" s="1" t="str">
        <f>"11/11"</f>
        <v>11/11</v>
      </c>
      <c r="K10984" s="1" t="str">
        <f>"2026-07-29 13:18:12"</f>
        <v>2026-07-29 13:18:12</v>
      </c>
      <c r="L10984" s="1" t="str">
        <f>"2020-01-10 17:28:40"</f>
        <v>2020-01-10 17:28:40</v>
      </c>
      <c r="M10984" s="1" t="s">
        <v>1</v>
      </c>
      <c r="N10984" s="1" t="s">
        <v>38</v>
      </c>
      <c r="O10984" s="1" t="s">
        <v>46</v>
      </c>
    </row>
    <row r="10985" spans="2:15" x14ac:dyDescent="0.3">
      <c r="B10985" s="1" t="s">
        <v>21</v>
      </c>
      <c r="C10985" s="1" t="str">
        <f>"1차"</f>
        <v>1차</v>
      </c>
      <c r="D10985" s="1" t="str">
        <f>"9827P84500"</f>
        <v>9827P84500</v>
      </c>
      <c r="E10985" s="1" t="s">
        <v>14</v>
      </c>
      <c r="F10985" s="1" t="str">
        <f>"10.128.33.50"</f>
        <v>10.128.33.50</v>
      </c>
      <c r="G10985" s="1" t="str">
        <f>"9827P845"</f>
        <v>9827P845</v>
      </c>
      <c r="H10985" s="1" t="str">
        <f>"인왕지 15"</f>
        <v>인왕지 15</v>
      </c>
      <c r="I10985" s="1" t="s">
        <v>8</v>
      </c>
      <c r="J10985" s="1" t="str">
        <f>"0/0"</f>
        <v>0/0</v>
      </c>
      <c r="K10985" s="1" t="str">
        <f>"2024-08-03 21:21:06"</f>
        <v>2024-08-03 21:21:06</v>
      </c>
      <c r="L10985" s="1" t="str">
        <f>"2015-01-07 17:50:13"</f>
        <v>2015-01-07 17:50:13</v>
      </c>
      <c r="M10985" s="1" t="s">
        <v>45</v>
      </c>
      <c r="N10985" s="1" t="s">
        <v>44</v>
      </c>
      <c r="O10985" s="1" t="s">
        <v>44</v>
      </c>
    </row>
    <row r="10986" spans="2:15" x14ac:dyDescent="0.3">
      <c r="B10986" s="1" t="s">
        <v>21</v>
      </c>
      <c r="C10986" s="1" t="str">
        <f>"4차"</f>
        <v>4차</v>
      </c>
      <c r="D10986" s="1" t="str">
        <f>"9827P85244"</f>
        <v>9827P85244</v>
      </c>
      <c r="E10986" s="1" t="s">
        <v>10</v>
      </c>
      <c r="F10986" s="1" t="str">
        <f>"10.10.93.18"</f>
        <v>10.10.93.18</v>
      </c>
      <c r="G10986" s="1" t="str">
        <f>"9827P852"</f>
        <v>9827P852</v>
      </c>
      <c r="H10986" s="1" t="str">
        <f>"인왕지 5C6"</f>
        <v>인왕지 5C6</v>
      </c>
      <c r="I10986" s="1" t="s">
        <v>8</v>
      </c>
      <c r="J10986" s="1" t="str">
        <f>"20/20"</f>
        <v>20/20</v>
      </c>
      <c r="K10986" s="1" t="str">
        <f>"2026-07-29 13:18:12"</f>
        <v>2026-07-29 13:18:12</v>
      </c>
      <c r="L10986" s="1" t="str">
        <f>"2019-11-11 14:02:42"</f>
        <v>2019-11-11 14:02:42</v>
      </c>
      <c r="M10986" s="1" t="s">
        <v>1</v>
      </c>
      <c r="N10986" s="1" t="s">
        <v>38</v>
      </c>
      <c r="O10986" s="1" t="s">
        <v>46</v>
      </c>
    </row>
    <row r="10987" spans="2:15" x14ac:dyDescent="0.3">
      <c r="B10987" s="1" t="s">
        <v>21</v>
      </c>
      <c r="C10987" s="1" t="str">
        <f>"4차"</f>
        <v>4차</v>
      </c>
      <c r="D10987" s="1" t="str">
        <f>"9827P85344"</f>
        <v>9827P85344</v>
      </c>
      <c r="E10987" s="1" t="s">
        <v>10</v>
      </c>
      <c r="F10987" s="1" t="str">
        <f>"10.10.93.26"</f>
        <v>10.10.93.26</v>
      </c>
      <c r="G10987" s="1" t="str">
        <f>"9827P853"</f>
        <v>9827P853</v>
      </c>
      <c r="H10987" s="1" t="str">
        <f>"인왕지 5C7"</f>
        <v>인왕지 5C7</v>
      </c>
      <c r="I10987" s="1" t="s">
        <v>8</v>
      </c>
      <c r="J10987" s="1" t="str">
        <f>"49/49"</f>
        <v>49/49</v>
      </c>
      <c r="K10987" s="1" t="str">
        <f>"2026-07-29 13:18:12"</f>
        <v>2026-07-29 13:18:12</v>
      </c>
      <c r="L10987" s="1" t="str">
        <f>"2019-11-11 14:06:57"</f>
        <v>2019-11-11 14:06:57</v>
      </c>
      <c r="M10987" s="1" t="s">
        <v>1</v>
      </c>
      <c r="N10987" s="1" t="s">
        <v>38</v>
      </c>
      <c r="O10987" s="1" t="s">
        <v>46</v>
      </c>
    </row>
    <row r="10988" spans="2:15" x14ac:dyDescent="0.3">
      <c r="B10988" s="1" t="s">
        <v>21</v>
      </c>
      <c r="C10988" s="1" t="str">
        <f>"3차"</f>
        <v>3차</v>
      </c>
      <c r="D10988" s="1" t="str">
        <f>"9827P87239"</f>
        <v>9827P87239</v>
      </c>
      <c r="E10988" s="1" t="s">
        <v>10</v>
      </c>
      <c r="F10988" s="1" t="str">
        <f>"10.11.101.146"</f>
        <v>10.11.101.146</v>
      </c>
      <c r="G10988" s="1" t="str">
        <f>"9827P872"</f>
        <v>9827P872</v>
      </c>
      <c r="H10988" s="1" t="str">
        <f>"인왕지 5C3L3"</f>
        <v>인왕지 5C3L3</v>
      </c>
      <c r="I10988" s="1" t="s">
        <v>8</v>
      </c>
      <c r="J10988" s="1" t="str">
        <f>"16/16"</f>
        <v>16/16</v>
      </c>
      <c r="K10988" s="1" t="str">
        <f>"2026-07-29 13:18:12"</f>
        <v>2026-07-29 13:18:12</v>
      </c>
      <c r="L10988" s="1" t="str">
        <f>"2018-04-26 08:29:25"</f>
        <v>2018-04-26 08:29:25</v>
      </c>
      <c r="M10988" s="1" t="s">
        <v>2</v>
      </c>
      <c r="N10988" s="1" t="s">
        <v>38</v>
      </c>
      <c r="O10988" s="1" t="s">
        <v>46</v>
      </c>
    </row>
    <row r="10989" spans="2:15" x14ac:dyDescent="0.3">
      <c r="B10989" s="1" t="s">
        <v>21</v>
      </c>
      <c r="C10989" s="1" t="str">
        <f t="shared" ref="C10989:C10994" si="551">"4차"</f>
        <v>4차</v>
      </c>
      <c r="D10989" s="1" t="str">
        <f>"9827R08144"</f>
        <v>9827R08144</v>
      </c>
      <c r="E10989" s="1" t="s">
        <v>10</v>
      </c>
      <c r="F10989" s="1" t="str">
        <f>"10.10.78.74"</f>
        <v>10.10.78.74</v>
      </c>
      <c r="G10989" s="1" t="str">
        <f>"9827R081"</f>
        <v>9827R081</v>
      </c>
      <c r="H10989" s="1" t="str">
        <f>"고은간 12L6L1L1"</f>
        <v>고은간 12L6L1L1</v>
      </c>
      <c r="I10989" s="1" t="s">
        <v>8</v>
      </c>
      <c r="J10989" s="1" t="str">
        <f>"75/75"</f>
        <v>75/75</v>
      </c>
      <c r="K10989" s="1" t="str">
        <f>"2026-07-29 13:18:12"</f>
        <v>2026-07-29 13:18:12</v>
      </c>
      <c r="L10989" s="1" t="str">
        <f>"2019-09-24 17:13:05"</f>
        <v>2019-09-24 17:13:05</v>
      </c>
      <c r="M10989" s="1" t="s">
        <v>1</v>
      </c>
      <c r="N10989" s="1" t="s">
        <v>38</v>
      </c>
      <c r="O10989" s="1" t="s">
        <v>46</v>
      </c>
    </row>
    <row r="10990" spans="2:15" x14ac:dyDescent="0.3">
      <c r="B10990" s="1" t="s">
        <v>21</v>
      </c>
      <c r="C10990" s="1" t="str">
        <f t="shared" si="551"/>
        <v>4차</v>
      </c>
      <c r="D10990" s="1" t="str">
        <f>"9827R09344"</f>
        <v>9827R09344</v>
      </c>
      <c r="E10990" s="1" t="s">
        <v>10</v>
      </c>
      <c r="F10990" s="1" t="str">
        <f>"10.10.122.10"</f>
        <v>10.10.122.10</v>
      </c>
      <c r="G10990" s="1" t="str">
        <f>"9827R093"</f>
        <v>9827R093</v>
      </c>
      <c r="H10990" s="1" t="str">
        <f>"고은간 12L5L3"</f>
        <v>고은간 12L5L3</v>
      </c>
      <c r="I10990" s="1" t="s">
        <v>8</v>
      </c>
      <c r="J10990" s="1" t="str">
        <f>"42/44"</f>
        <v>42/44</v>
      </c>
      <c r="K10990" s="1" t="str">
        <f>"2026-07-29 13:18:12"</f>
        <v>2026-07-29 13:18:12</v>
      </c>
      <c r="L10990" s="1" t="str">
        <f>"2019-10-14 19:14:09"</f>
        <v>2019-10-14 19:14:09</v>
      </c>
      <c r="M10990" s="1" t="s">
        <v>1</v>
      </c>
      <c r="N10990" s="1" t="s">
        <v>38</v>
      </c>
      <c r="O10990" s="1" t="s">
        <v>46</v>
      </c>
    </row>
    <row r="10991" spans="2:15" x14ac:dyDescent="0.3">
      <c r="B10991" s="1" t="s">
        <v>21</v>
      </c>
      <c r="C10991" s="1" t="str">
        <f t="shared" si="551"/>
        <v>4차</v>
      </c>
      <c r="D10991" s="1" t="str">
        <f>"9827R89245"</f>
        <v>9827R89245</v>
      </c>
      <c r="E10991" s="1" t="s">
        <v>10</v>
      </c>
      <c r="F10991" s="1" t="str">
        <f>"10.14.11.59"</f>
        <v>10.14.11.59</v>
      </c>
      <c r="G10991" s="1" t="str">
        <f>"9827R892"</f>
        <v>9827R892</v>
      </c>
      <c r="H10991" s="1" t="str">
        <f>"홍제 L8"</f>
        <v>홍제 L8</v>
      </c>
      <c r="I10991" s="1" t="s">
        <v>17</v>
      </c>
      <c r="J10991" s="1" t="str">
        <f>"3/3"</f>
        <v>3/3</v>
      </c>
      <c r="K10991" s="1" t="str">
        <f>"2026-07-29 13:18:14"</f>
        <v>2026-07-29 13:18:14</v>
      </c>
      <c r="L10991" s="1" t="str">
        <f>"2023-12-19 18:00:54"</f>
        <v>2023-12-19 18:00:54</v>
      </c>
      <c r="M10991" s="1" t="s">
        <v>3</v>
      </c>
      <c r="N10991" s="1" t="s">
        <v>38</v>
      </c>
      <c r="O10991" s="1" t="s">
        <v>46</v>
      </c>
    </row>
    <row r="10992" spans="2:15" x14ac:dyDescent="0.3">
      <c r="B10992" s="1" t="s">
        <v>21</v>
      </c>
      <c r="C10992" s="1" t="str">
        <f t="shared" si="551"/>
        <v>4차</v>
      </c>
      <c r="D10992" s="1" t="str">
        <f>"9827R99345"</f>
        <v>9827R99345</v>
      </c>
      <c r="E10992" s="1" t="s">
        <v>10</v>
      </c>
      <c r="F10992" s="1" t="str">
        <f>"10.14.11.65"</f>
        <v>10.14.11.65</v>
      </c>
      <c r="G10992" s="1" t="str">
        <f>"9827R993"</f>
        <v>9827R993</v>
      </c>
      <c r="H10992" s="1" t="str">
        <f>"홍제 L6"</f>
        <v>홍제 L6</v>
      </c>
      <c r="I10992" s="1" t="s">
        <v>17</v>
      </c>
      <c r="J10992" s="1" t="str">
        <f>"10/10"</f>
        <v>10/10</v>
      </c>
      <c r="K10992" s="1" t="str">
        <f>"2026-07-29 13:18:14"</f>
        <v>2026-07-29 13:18:14</v>
      </c>
      <c r="L10992" s="1" t="str">
        <f>"2021-06-21 09:41:27"</f>
        <v>2021-06-21 09:41:27</v>
      </c>
      <c r="M10992" s="1" t="s">
        <v>3</v>
      </c>
      <c r="N10992" s="1" t="s">
        <v>38</v>
      </c>
      <c r="O10992" s="1" t="s">
        <v>46</v>
      </c>
    </row>
    <row r="10993" spans="2:15" x14ac:dyDescent="0.3">
      <c r="B10993" s="1" t="s">
        <v>21</v>
      </c>
      <c r="C10993" s="1" t="str">
        <f t="shared" si="551"/>
        <v>4차</v>
      </c>
      <c r="D10993" s="1" t="str">
        <f>"9827S07245"</f>
        <v>9827S07245</v>
      </c>
      <c r="E10993" s="1" t="s">
        <v>10</v>
      </c>
      <c r="F10993" s="1" t="str">
        <f>"10.14.15.23"</f>
        <v>10.14.15.23</v>
      </c>
      <c r="G10993" s="1" t="str">
        <f>"9827S072"</f>
        <v>9827S072</v>
      </c>
      <c r="H10993" s="1" t="str">
        <f>"홍제 L4"</f>
        <v>홍제 L4</v>
      </c>
      <c r="I10993" s="1" t="s">
        <v>17</v>
      </c>
      <c r="J10993" s="1" t="str">
        <f>"1/1"</f>
        <v>1/1</v>
      </c>
      <c r="K10993" s="1" t="str">
        <f>"2026-07-29 13:18:12"</f>
        <v>2026-07-29 13:18:12</v>
      </c>
      <c r="L10993" s="1" t="str">
        <f>"2021-06-21 10:09:10"</f>
        <v>2021-06-21 10:09:10</v>
      </c>
      <c r="M10993" s="1" t="s">
        <v>3</v>
      </c>
      <c r="N10993" s="1" t="s">
        <v>38</v>
      </c>
      <c r="O10993" s="1" t="s">
        <v>46</v>
      </c>
    </row>
    <row r="10994" spans="2:15" x14ac:dyDescent="0.3">
      <c r="B10994" s="1" t="s">
        <v>21</v>
      </c>
      <c r="C10994" s="1" t="str">
        <f t="shared" si="551"/>
        <v>4차</v>
      </c>
      <c r="D10994" s="1" t="str">
        <f>"9827S07445"</f>
        <v>9827S07445</v>
      </c>
      <c r="E10994" s="1" t="s">
        <v>10</v>
      </c>
      <c r="F10994" s="1" t="str">
        <f>"10.14.5.15"</f>
        <v>10.14.5.15</v>
      </c>
      <c r="G10994" s="1" t="str">
        <f>"9827S074"</f>
        <v>9827S074</v>
      </c>
      <c r="H10994" s="1" t="str">
        <f>"홍제 R6"</f>
        <v>홍제 R6</v>
      </c>
      <c r="I10994" s="1" t="s">
        <v>17</v>
      </c>
      <c r="J10994" s="1" t="str">
        <f>"13/13"</f>
        <v>13/13</v>
      </c>
      <c r="K10994" s="1" t="str">
        <f>"2026-07-29 13:18:12"</f>
        <v>2026-07-29 13:18:12</v>
      </c>
      <c r="L10994" s="1" t="str">
        <f>"2021-06-21 10:37:45"</f>
        <v>2021-06-21 10:37:45</v>
      </c>
      <c r="M10994" s="1" t="s">
        <v>3</v>
      </c>
      <c r="N10994" s="1" t="s">
        <v>38</v>
      </c>
      <c r="O10994" s="1" t="s">
        <v>46</v>
      </c>
    </row>
    <row r="10995" spans="2:15" x14ac:dyDescent="0.3">
      <c r="B10995" s="1" t="s">
        <v>21</v>
      </c>
      <c r="C10995" s="1" t="str">
        <f>"3차"</f>
        <v>3차</v>
      </c>
      <c r="D10995" s="1" t="str">
        <f>"9827S18139"</f>
        <v>9827S18139</v>
      </c>
      <c r="E10995" s="1" t="s">
        <v>10</v>
      </c>
      <c r="F10995" s="1" t="str">
        <f>"10.128.117.19"</f>
        <v>10.128.117.19</v>
      </c>
      <c r="G10995" s="1" t="str">
        <f>"9827S181"</f>
        <v>9827S181</v>
      </c>
      <c r="H10995" s="1" t="str">
        <f>"인왕지 39"</f>
        <v>인왕지 39</v>
      </c>
      <c r="I10995" s="1" t="s">
        <v>8</v>
      </c>
      <c r="J10995" s="1" t="str">
        <f>"3/27"</f>
        <v>3/27</v>
      </c>
      <c r="K10995" s="1" t="str">
        <f>"2026-07-29 13:18:12"</f>
        <v>2026-07-29 13:18:12</v>
      </c>
      <c r="L10995" s="1" t="str">
        <f>"2018-04-25 11:04:27"</f>
        <v>2018-04-25 11:04:27</v>
      </c>
      <c r="M10995" s="1" t="s">
        <v>45</v>
      </c>
      <c r="N10995" s="1" t="s">
        <v>38</v>
      </c>
      <c r="O10995" s="1" t="s">
        <v>46</v>
      </c>
    </row>
    <row r="10996" spans="2:15" x14ac:dyDescent="0.3">
      <c r="B10996" s="1" t="s">
        <v>21</v>
      </c>
      <c r="C10996" s="1" t="str">
        <f>"4차"</f>
        <v>4차</v>
      </c>
      <c r="D10996" s="1" t="str">
        <f>"9827S40241"</f>
        <v>9827S40241</v>
      </c>
      <c r="E10996" s="1" t="s">
        <v>10</v>
      </c>
      <c r="F10996" s="1" t="str">
        <f>"10.14.1.6"</f>
        <v>10.14.1.6</v>
      </c>
      <c r="G10996" s="1" t="str">
        <f>"9827S402"</f>
        <v>9827S402</v>
      </c>
      <c r="H10996" s="1" t="str">
        <f>"현저SW 2R14"</f>
        <v>현저SW 2R14</v>
      </c>
      <c r="I10996" s="1" t="s">
        <v>17</v>
      </c>
      <c r="J10996" s="1" t="str">
        <f>"26/26"</f>
        <v>26/26</v>
      </c>
      <c r="K10996" s="1" t="str">
        <f>"2026-07-29 13:18:13"</f>
        <v>2026-07-29 13:18:13</v>
      </c>
      <c r="L10996" s="1" t="str">
        <f>"2021-08-12 08:18:39"</f>
        <v>2021-08-12 08:18:39</v>
      </c>
      <c r="M10996" s="1" t="s">
        <v>3</v>
      </c>
      <c r="N10996" s="1" t="s">
        <v>38</v>
      </c>
      <c r="O10996" s="1" t="s">
        <v>46</v>
      </c>
    </row>
    <row r="10997" spans="2:15" x14ac:dyDescent="0.3">
      <c r="B10997" s="1" t="s">
        <v>21</v>
      </c>
      <c r="C10997" s="1" t="str">
        <f>"4차"</f>
        <v>4차</v>
      </c>
      <c r="D10997" s="1" t="str">
        <f>"9827S51241"</f>
        <v>9827S51241</v>
      </c>
      <c r="E10997" s="1" t="s">
        <v>10</v>
      </c>
      <c r="F10997" s="1" t="str">
        <f>"10.12.138.139"</f>
        <v>10.12.138.139</v>
      </c>
      <c r="G10997" s="1" t="str">
        <f>"9827S512"</f>
        <v>9827S512</v>
      </c>
      <c r="H10997" s="1" t="str">
        <f>"홍제TR R1-1L2"</f>
        <v>홍제TR R1-1L2</v>
      </c>
      <c r="I10997" s="1" t="s">
        <v>17</v>
      </c>
      <c r="J10997" s="1" t="str">
        <f>"21/22"</f>
        <v>21/22</v>
      </c>
      <c r="K10997" s="1" t="str">
        <f>"2026-07-29 13:18:13"</f>
        <v>2026-07-29 13:18:13</v>
      </c>
      <c r="L10997" s="1" t="str">
        <f>"2021-08-12 09:10:09"</f>
        <v>2021-08-12 09:10:09</v>
      </c>
      <c r="M10997" s="1" t="s">
        <v>0</v>
      </c>
      <c r="N10997" s="1" t="s">
        <v>38</v>
      </c>
      <c r="O10997" s="1" t="s">
        <v>46</v>
      </c>
    </row>
    <row r="10998" spans="2:15" x14ac:dyDescent="0.3">
      <c r="B10998" s="1" t="s">
        <v>21</v>
      </c>
      <c r="C10998" s="1" t="str">
        <f>"5-1차"</f>
        <v>5-1차</v>
      </c>
      <c r="D10998" s="1" t="str">
        <f>"9828P6015M"</f>
        <v>9828P6015M</v>
      </c>
      <c r="E10998" s="1" t="s">
        <v>10</v>
      </c>
      <c r="F10998" s="1" t="str">
        <f>"fde2:104:0:d5:0:0:0:2"</f>
        <v>fde2:104:0:d5:0:0:0:2</v>
      </c>
      <c r="G10998" s="1" t="str">
        <f>"9828P601"</f>
        <v>9828P601</v>
      </c>
      <c r="H10998" s="1" t="str">
        <f>"포방지 15L3"</f>
        <v>포방지 15L3</v>
      </c>
      <c r="I10998" s="1" t="s">
        <v>15</v>
      </c>
      <c r="J10998" s="1" t="str">
        <f>"60/60"</f>
        <v>60/60</v>
      </c>
      <c r="K10998" s="1" t="str">
        <f>"2026-07-29 14:21:58"</f>
        <v>2026-07-29 14:21:58</v>
      </c>
      <c r="L10998" s="1" t="str">
        <f>"2022-09-28 09:50:47"</f>
        <v>2022-09-28 09:50:47</v>
      </c>
      <c r="M10998" s="1" t="s">
        <v>42</v>
      </c>
      <c r="N10998" s="1" t="s">
        <v>38</v>
      </c>
      <c r="O10998" s="1" t="s">
        <v>46</v>
      </c>
    </row>
    <row r="10999" spans="2:15" x14ac:dyDescent="0.3">
      <c r="B10999" s="1" t="s">
        <v>21</v>
      </c>
      <c r="C10999" s="1" t="str">
        <f>"5-2차"</f>
        <v>5-2차</v>
      </c>
      <c r="D10999" s="1" t="str">
        <f>"9828P6035M"</f>
        <v>9828P6035M</v>
      </c>
      <c r="E10999" s="1" t="s">
        <v>10</v>
      </c>
      <c r="F10999" s="1" t="str">
        <f>"fde1:103:4:9283:0:0:0:2"</f>
        <v>fde1:103:4:9283:0:0:0:2</v>
      </c>
      <c r="G10999" s="1" t="str">
        <f>"9828P603"</f>
        <v>9828P603</v>
      </c>
      <c r="H10999" s="1" t="str">
        <f>"포방지 15L4L1"</f>
        <v>포방지 15L4L1</v>
      </c>
      <c r="I10999" s="1" t="s">
        <v>15</v>
      </c>
      <c r="J10999" s="1" t="str">
        <f>"46/46"</f>
        <v>46/46</v>
      </c>
      <c r="K10999" s="1" t="str">
        <f>"2026-07-29 14:21:20"</f>
        <v>2026-07-29 14:21:20</v>
      </c>
      <c r="L10999" s="1" t="str">
        <f>"2024-01-19 11:07:02"</f>
        <v>2024-01-19 11:07:02</v>
      </c>
      <c r="M10999" s="1" t="s">
        <v>4</v>
      </c>
      <c r="N10999" s="1" t="s">
        <v>38</v>
      </c>
      <c r="O10999" s="1" t="s">
        <v>46</v>
      </c>
    </row>
    <row r="11000" spans="2:15" x14ac:dyDescent="0.3">
      <c r="B11000" s="1" t="s">
        <v>21</v>
      </c>
      <c r="C11000" s="1" t="str">
        <f>"5-1차"</f>
        <v>5-1차</v>
      </c>
      <c r="D11000" s="1" t="str">
        <f>"9828P6125M"</f>
        <v>9828P6125M</v>
      </c>
      <c r="E11000" s="1" t="s">
        <v>10</v>
      </c>
      <c r="F11000" s="1" t="str">
        <f>"fde3:102:1302:3000:0:0:0:2"</f>
        <v>fde3:102:1302:3000:0:0:0:2</v>
      </c>
      <c r="G11000" s="1" t="str">
        <f>"9828P612"</f>
        <v>9828P612</v>
      </c>
      <c r="H11000" s="1" t="str">
        <f>"포방지 15L5"</f>
        <v>포방지 15L5</v>
      </c>
      <c r="I11000" s="1" t="s">
        <v>15</v>
      </c>
      <c r="J11000" s="1" t="str">
        <f>"98/98"</f>
        <v>98/98</v>
      </c>
      <c r="K11000" s="1" t="str">
        <f>"2026-07-29 14:21:51"</f>
        <v>2026-07-29 14:21:51</v>
      </c>
      <c r="L11000" s="1" t="str">
        <f>"2022-12-05 10:01:52"</f>
        <v>2022-12-05 10:01:52</v>
      </c>
      <c r="M11000" s="1" t="s">
        <v>45</v>
      </c>
      <c r="N11000" s="1" t="s">
        <v>38</v>
      </c>
      <c r="O11000" s="1" t="s">
        <v>46</v>
      </c>
    </row>
    <row r="11001" spans="2:15" x14ac:dyDescent="0.3">
      <c r="B11001" s="1" t="s">
        <v>21</v>
      </c>
      <c r="C11001" s="1" t="str">
        <f>"5-1차"</f>
        <v>5-1차</v>
      </c>
      <c r="D11001" s="1" t="str">
        <f>"9828P6215M"</f>
        <v>9828P6215M</v>
      </c>
      <c r="E11001" s="1" t="s">
        <v>10</v>
      </c>
      <c r="F11001" s="1" t="str">
        <f>"fde2:104:0:da:0:0:0:2"</f>
        <v>fde2:104:0:da:0:0:0:2</v>
      </c>
      <c r="G11001" s="1" t="str">
        <f>"9828P621"</f>
        <v>9828P621</v>
      </c>
      <c r="H11001" s="1" t="str">
        <f>"포방지 15L6"</f>
        <v>포방지 15L6</v>
      </c>
      <c r="I11001" s="1" t="s">
        <v>15</v>
      </c>
      <c r="J11001" s="1" t="str">
        <f>"6/6"</f>
        <v>6/6</v>
      </c>
      <c r="K11001" s="1" t="str">
        <f>"2026-07-29 14:21:52"</f>
        <v>2026-07-29 14:21:52</v>
      </c>
      <c r="L11001" s="1" t="str">
        <f>"2022-09-19 09:59:45"</f>
        <v>2022-09-19 09:59:45</v>
      </c>
      <c r="M11001" s="1" t="s">
        <v>42</v>
      </c>
      <c r="N11001" s="1" t="s">
        <v>38</v>
      </c>
      <c r="O11001" s="1" t="s">
        <v>46</v>
      </c>
    </row>
    <row r="11002" spans="2:15" x14ac:dyDescent="0.3">
      <c r="B11002" s="1" t="s">
        <v>21</v>
      </c>
      <c r="C11002" s="1" t="str">
        <f>"5-2차"</f>
        <v>5-2차</v>
      </c>
      <c r="D11002" s="1" t="str">
        <f>"9828P8125M"</f>
        <v>9828P8125M</v>
      </c>
      <c r="E11002" s="1" t="s">
        <v>10</v>
      </c>
      <c r="F11002" s="1" t="str">
        <f>"fde1:103:4:6e46:0:0:0:2"</f>
        <v>fde1:103:4:6e46:0:0:0:2</v>
      </c>
      <c r="G11002" s="1" t="str">
        <f>"9828P812"</f>
        <v>9828P812</v>
      </c>
      <c r="H11002" s="1" t="str">
        <f>"포방지 23"</f>
        <v>포방지 23</v>
      </c>
      <c r="I11002" s="1" t="s">
        <v>15</v>
      </c>
      <c r="J11002" s="1" t="str">
        <f>"15/15"</f>
        <v>15/15</v>
      </c>
      <c r="K11002" s="1" t="str">
        <f>"2026-07-29 14:20:50"</f>
        <v>2026-07-29 14:20:50</v>
      </c>
      <c r="L11002" s="1" t="str">
        <f>"2023-11-14 09:03:11"</f>
        <v>2023-11-14 09:03:11</v>
      </c>
      <c r="M11002" s="1" t="s">
        <v>4</v>
      </c>
      <c r="N11002" s="1" t="s">
        <v>38</v>
      </c>
      <c r="O11002" s="1" t="s">
        <v>46</v>
      </c>
    </row>
    <row r="11003" spans="2:15" x14ac:dyDescent="0.3">
      <c r="B11003" s="1" t="s">
        <v>21</v>
      </c>
      <c r="C11003" s="1" t="str">
        <f>"5-1차"</f>
        <v>5-1차</v>
      </c>
      <c r="D11003" s="1" t="str">
        <f>"9828P9215M"</f>
        <v>9828P9215M</v>
      </c>
      <c r="E11003" s="1" t="s">
        <v>10</v>
      </c>
      <c r="F11003" s="1" t="str">
        <f>"fde2:104:0:d2:0:0:0:2"</f>
        <v>fde2:104:0:d2:0:0:0:2</v>
      </c>
      <c r="G11003" s="1" t="str">
        <f>"9828P921"</f>
        <v>9828P921</v>
      </c>
      <c r="H11003" s="1" t="str">
        <f>"포방지 25"</f>
        <v>포방지 25</v>
      </c>
      <c r="I11003" s="1" t="s">
        <v>15</v>
      </c>
      <c r="J11003" s="1" t="str">
        <f>"64/64"</f>
        <v>64/64</v>
      </c>
      <c r="K11003" s="1" t="str">
        <f>"2026-07-29 14:21:51"</f>
        <v>2026-07-29 14:21:51</v>
      </c>
      <c r="L11003" s="1" t="str">
        <f>"2022-09-16 14:56:18"</f>
        <v>2022-09-16 14:56:18</v>
      </c>
      <c r="M11003" s="1" t="s">
        <v>42</v>
      </c>
      <c r="N11003" s="1" t="s">
        <v>38</v>
      </c>
      <c r="O11003" s="1" t="s">
        <v>46</v>
      </c>
    </row>
    <row r="11004" spans="2:15" x14ac:dyDescent="0.3">
      <c r="B11004" s="1" t="s">
        <v>21</v>
      </c>
      <c r="C11004" s="1" t="str">
        <f>"5-1차"</f>
        <v>5-1차</v>
      </c>
      <c r="D11004" s="1" t="str">
        <f>"9828P9435M"</f>
        <v>9828P9435M</v>
      </c>
      <c r="E11004" s="1" t="s">
        <v>10</v>
      </c>
      <c r="F11004" s="1" t="str">
        <f>"fde3:102:1302:3300:0:0:0:2"</f>
        <v>fde3:102:1302:3300:0:0:0:2</v>
      </c>
      <c r="G11004" s="1" t="str">
        <f>"9828P943"</f>
        <v>9828P943</v>
      </c>
      <c r="H11004" s="1" t="str">
        <f>"포방지 28L2"</f>
        <v>포방지 28L2</v>
      </c>
      <c r="I11004" s="1" t="s">
        <v>15</v>
      </c>
      <c r="J11004" s="1" t="str">
        <f>"88/88"</f>
        <v>88/88</v>
      </c>
      <c r="K11004" s="1" t="str">
        <f>"2026-07-29 14:21:51"</f>
        <v>2026-07-29 14:21:51</v>
      </c>
      <c r="L11004" s="1" t="str">
        <f>"2022-11-29 13:45:01"</f>
        <v>2022-11-29 13:45:01</v>
      </c>
      <c r="M11004" s="1" t="s">
        <v>45</v>
      </c>
      <c r="N11004" s="1" t="s">
        <v>38</v>
      </c>
      <c r="O11004" s="1" t="s">
        <v>46</v>
      </c>
    </row>
    <row r="11005" spans="2:15" x14ac:dyDescent="0.3">
      <c r="B11005" s="1" t="s">
        <v>21</v>
      </c>
      <c r="C11005" s="1" t="str">
        <f t="shared" ref="C11005:C11010" si="552">"5-2차"</f>
        <v>5-2차</v>
      </c>
      <c r="D11005" s="1" t="str">
        <f>"9828Q0025M"</f>
        <v>9828Q0025M</v>
      </c>
      <c r="E11005" s="1" t="s">
        <v>10</v>
      </c>
      <c r="F11005" s="1" t="str">
        <f>"fde1:103:4:6e4d:0:0:0:2"</f>
        <v>fde1:103:4:6e4d:0:0:0:2</v>
      </c>
      <c r="G11005" s="1" t="str">
        <f>"9828Q002"</f>
        <v>9828Q002</v>
      </c>
      <c r="H11005" s="1" t="str">
        <f>"포방지 38"</f>
        <v>포방지 38</v>
      </c>
      <c r="I11005" s="1" t="s">
        <v>15</v>
      </c>
      <c r="J11005" s="1" t="str">
        <f>"62/62"</f>
        <v>62/62</v>
      </c>
      <c r="K11005" s="1" t="str">
        <f>"2026-07-29 14:21:28"</f>
        <v>2026-07-29 14:21:28</v>
      </c>
      <c r="L11005" s="1" t="str">
        <f>"2023-11-14 09:22:55"</f>
        <v>2023-11-14 09:22:55</v>
      </c>
      <c r="M11005" s="1" t="s">
        <v>4</v>
      </c>
      <c r="N11005" s="1" t="s">
        <v>38</v>
      </c>
      <c r="O11005" s="1" t="s">
        <v>46</v>
      </c>
    </row>
    <row r="11006" spans="2:15" x14ac:dyDescent="0.3">
      <c r="B11006" s="1" t="s">
        <v>21</v>
      </c>
      <c r="C11006" s="1" t="str">
        <f t="shared" si="552"/>
        <v>5-2차</v>
      </c>
      <c r="D11006" s="1" t="str">
        <f>"9828Q0135S"</f>
        <v>9828Q0135S</v>
      </c>
      <c r="E11006" s="1" t="s">
        <v>10</v>
      </c>
      <c r="F11006" s="1" t="str">
        <f>"fde1:103:4:6e4b:0:0:0:2"</f>
        <v>fde1:103:4:6e4b:0:0:0:2</v>
      </c>
      <c r="G11006" s="1" t="str">
        <f>"9828Q013"</f>
        <v>9828Q013</v>
      </c>
      <c r="H11006" s="1" t="str">
        <f>"포방지 35"</f>
        <v>포방지 35</v>
      </c>
      <c r="I11006" s="1" t="s">
        <v>15</v>
      </c>
      <c r="J11006" s="1" t="str">
        <f>"60/63"</f>
        <v>60/63</v>
      </c>
      <c r="K11006" s="1" t="str">
        <f>"2026-07-29 14:21:27"</f>
        <v>2026-07-29 14:21:27</v>
      </c>
      <c r="L11006" s="1" t="str">
        <f>"2023-11-14 09:03:33"</f>
        <v>2023-11-14 09:03:33</v>
      </c>
      <c r="M11006" s="1" t="s">
        <v>4</v>
      </c>
      <c r="N11006" s="1" t="s">
        <v>38</v>
      </c>
      <c r="O11006" s="1" t="s">
        <v>46</v>
      </c>
    </row>
    <row r="11007" spans="2:15" x14ac:dyDescent="0.3">
      <c r="B11007" s="1" t="s">
        <v>21</v>
      </c>
      <c r="C11007" s="1" t="str">
        <f t="shared" si="552"/>
        <v>5-2차</v>
      </c>
      <c r="D11007" s="1" t="str">
        <f>"9828Q0145S"</f>
        <v>9828Q0145S</v>
      </c>
      <c r="E11007" s="1" t="s">
        <v>10</v>
      </c>
      <c r="F11007" s="1" t="str">
        <f>"fde3:102:1302:3000:0:0:0:4"</f>
        <v>fde3:102:1302:3000:0:0:0:4</v>
      </c>
      <c r="G11007" s="1" t="str">
        <f>"9828Q014"</f>
        <v>9828Q014</v>
      </c>
      <c r="H11007" s="1" t="str">
        <f>"포방지 36"</f>
        <v>포방지 36</v>
      </c>
      <c r="I11007" s="1" t="s">
        <v>15</v>
      </c>
      <c r="J11007" s="1" t="str">
        <f>"32/33"</f>
        <v>32/33</v>
      </c>
      <c r="K11007" s="1" t="str">
        <f>"2026-07-29 14:21:50"</f>
        <v>2026-07-29 14:21:50</v>
      </c>
      <c r="L11007" s="1" t="str">
        <f>"2023-08-24 17:08:54"</f>
        <v>2023-08-24 17:08:54</v>
      </c>
      <c r="M11007" s="1" t="s">
        <v>45</v>
      </c>
      <c r="N11007" s="1" t="s">
        <v>38</v>
      </c>
      <c r="O11007" s="1" t="s">
        <v>46</v>
      </c>
    </row>
    <row r="11008" spans="2:15" x14ac:dyDescent="0.3">
      <c r="B11008" s="1" t="s">
        <v>21</v>
      </c>
      <c r="C11008" s="1" t="str">
        <f t="shared" si="552"/>
        <v>5-2차</v>
      </c>
      <c r="D11008" s="1" t="str">
        <f>"9828Q0325S"</f>
        <v>9828Q0325S</v>
      </c>
      <c r="E11008" s="1" t="s">
        <v>10</v>
      </c>
      <c r="F11008" s="1" t="str">
        <f>"fde1:103:4:6e45:0:0:0:2"</f>
        <v>fde1:103:4:6e45:0:0:0:2</v>
      </c>
      <c r="G11008" s="1" t="str">
        <f>"9828Q032"</f>
        <v>9828Q032</v>
      </c>
      <c r="H11008" s="1" t="str">
        <f>"포방지 32"</f>
        <v>포방지 32</v>
      </c>
      <c r="I11008" s="1" t="s">
        <v>15</v>
      </c>
      <c r="J11008" s="1" t="str">
        <f>"37/37"</f>
        <v>37/37</v>
      </c>
      <c r="K11008" s="1" t="str">
        <f>"2026-07-29 14:21:51"</f>
        <v>2026-07-29 14:21:51</v>
      </c>
      <c r="L11008" s="1" t="str">
        <f>"2023-11-14 09:22:49"</f>
        <v>2023-11-14 09:22:49</v>
      </c>
      <c r="M11008" s="1" t="s">
        <v>4</v>
      </c>
      <c r="N11008" s="1" t="s">
        <v>38</v>
      </c>
      <c r="O11008" s="1" t="s">
        <v>46</v>
      </c>
    </row>
    <row r="11009" spans="2:15" x14ac:dyDescent="0.3">
      <c r="B11009" s="1" t="s">
        <v>21</v>
      </c>
      <c r="C11009" s="1" t="str">
        <f t="shared" si="552"/>
        <v>5-2차</v>
      </c>
      <c r="D11009" s="1" t="str">
        <f>"9828Q0715M"</f>
        <v>9828Q0715M</v>
      </c>
      <c r="E11009" s="1" t="s">
        <v>10</v>
      </c>
      <c r="F11009" s="1" t="str">
        <f>"fde1:103:4:917e:0:0:0:2"</f>
        <v>fde1:103:4:917e:0:0:0:2</v>
      </c>
      <c r="G11009" s="1" t="str">
        <f>"9828Q071"</f>
        <v>9828Q071</v>
      </c>
      <c r="H11009" s="1" t="str">
        <f>"포방지 28L9"</f>
        <v>포방지 28L9</v>
      </c>
      <c r="I11009" s="1" t="s">
        <v>15</v>
      </c>
      <c r="J11009" s="1" t="str">
        <f>"22/22"</f>
        <v>22/22</v>
      </c>
      <c r="K11009" s="1" t="str">
        <f>"2026-07-29 14:21:20"</f>
        <v>2026-07-29 14:21:20</v>
      </c>
      <c r="L11009" s="1" t="str">
        <f>"2024-01-19 13:20:47"</f>
        <v>2024-01-19 13:20:47</v>
      </c>
      <c r="M11009" s="1" t="s">
        <v>4</v>
      </c>
      <c r="N11009" s="1" t="s">
        <v>38</v>
      </c>
      <c r="O11009" s="1" t="s">
        <v>46</v>
      </c>
    </row>
    <row r="11010" spans="2:15" x14ac:dyDescent="0.3">
      <c r="B11010" s="1" t="s">
        <v>21</v>
      </c>
      <c r="C11010" s="1" t="str">
        <f t="shared" si="552"/>
        <v>5-2차</v>
      </c>
      <c r="D11010" s="1" t="str">
        <f>"9828R4425M"</f>
        <v>9828R4425M</v>
      </c>
      <c r="E11010" s="1" t="s">
        <v>10</v>
      </c>
      <c r="F11010" s="1" t="str">
        <f>"fde1:103:4:91ac:0:0:0:2"</f>
        <v>fde1:103:4:91ac:0:0:0:2</v>
      </c>
      <c r="G11010" s="1" t="str">
        <f>"9828R442"</f>
        <v>9828R442</v>
      </c>
      <c r="H11010" s="1" t="str">
        <f>"포방지 6L4"</f>
        <v>포방지 6L4</v>
      </c>
      <c r="I11010" s="1" t="s">
        <v>15</v>
      </c>
      <c r="J11010" s="1" t="str">
        <f>"26/26"</f>
        <v>26/26</v>
      </c>
      <c r="K11010" s="1" t="str">
        <f>"2026-07-29 14:21:20"</f>
        <v>2026-07-29 14:21:20</v>
      </c>
      <c r="L11010" s="1" t="str">
        <f>"2024-01-19 11:44:10"</f>
        <v>2024-01-19 11:44:10</v>
      </c>
      <c r="M11010" s="1" t="s">
        <v>4</v>
      </c>
      <c r="N11010" s="1" t="s">
        <v>38</v>
      </c>
      <c r="O11010" s="1" t="s">
        <v>46</v>
      </c>
    </row>
    <row r="11011" spans="2:15" x14ac:dyDescent="0.3">
      <c r="B11011" s="1" t="s">
        <v>21</v>
      </c>
      <c r="C11011" s="1" t="str">
        <f>"3차"</f>
        <v>3차</v>
      </c>
      <c r="D11011" s="1" t="str">
        <f>"9828R51239"</f>
        <v>9828R51239</v>
      </c>
      <c r="E11011" s="1" t="s">
        <v>10</v>
      </c>
      <c r="F11011" s="1" t="str">
        <f>"10.14.4.127"</f>
        <v>10.14.4.127</v>
      </c>
      <c r="G11011" s="1" t="str">
        <f>"9828R512"</f>
        <v>9828R512</v>
      </c>
      <c r="H11011" s="1" t="str">
        <f>"성서간 29L6"</f>
        <v>성서간 29L6</v>
      </c>
      <c r="I11011" s="1" t="s">
        <v>8</v>
      </c>
      <c r="J11011" s="1" t="str">
        <f>"37/40"</f>
        <v>37/40</v>
      </c>
      <c r="K11011" s="1" t="str">
        <f>"2026-07-29 13:18:11"</f>
        <v>2026-07-29 13:18:11</v>
      </c>
      <c r="L11011" s="1" t="str">
        <f>"2018-04-26 09:20:57"</f>
        <v>2018-04-26 09:20:57</v>
      </c>
      <c r="M11011" s="1" t="s">
        <v>3</v>
      </c>
      <c r="N11011" s="1" t="s">
        <v>38</v>
      </c>
      <c r="O11011" s="1" t="s">
        <v>46</v>
      </c>
    </row>
    <row r="11012" spans="2:15" x14ac:dyDescent="0.3">
      <c r="B11012" s="1" t="s">
        <v>21</v>
      </c>
      <c r="C11012" s="1" t="str">
        <f>"4차"</f>
        <v>4차</v>
      </c>
      <c r="D11012" s="1" t="str">
        <f>"9828R51344"</f>
        <v>9828R51344</v>
      </c>
      <c r="E11012" s="1" t="s">
        <v>10</v>
      </c>
      <c r="F11012" s="1" t="str">
        <f>"10.10.120.226"</f>
        <v>10.10.120.226</v>
      </c>
      <c r="G11012" s="1" t="str">
        <f>"9828R513"</f>
        <v>9828R513</v>
      </c>
      <c r="H11012" s="1" t="str">
        <f>"성서간 29L7"</f>
        <v>성서간 29L7</v>
      </c>
      <c r="I11012" s="1" t="s">
        <v>8</v>
      </c>
      <c r="J11012" s="1" t="str">
        <f>"32/32"</f>
        <v>32/32</v>
      </c>
      <c r="K11012" s="1" t="str">
        <f>"2026-07-29 13:18:13"</f>
        <v>2026-07-29 13:18:13</v>
      </c>
      <c r="L11012" s="1" t="str">
        <f>"2019-10-25 15:46:43"</f>
        <v>2019-10-25 15:46:43</v>
      </c>
      <c r="M11012" s="1" t="s">
        <v>1</v>
      </c>
      <c r="N11012" s="1" t="s">
        <v>38</v>
      </c>
      <c r="O11012" s="1" t="s">
        <v>46</v>
      </c>
    </row>
    <row r="11013" spans="2:15" x14ac:dyDescent="0.3">
      <c r="B11013" s="1" t="s">
        <v>21</v>
      </c>
      <c r="C11013" s="1" t="str">
        <f>"4차"</f>
        <v>4차</v>
      </c>
      <c r="D11013" s="1" t="str">
        <f>"9828R60644"</f>
        <v>9828R60644</v>
      </c>
      <c r="E11013" s="1" t="s">
        <v>10</v>
      </c>
      <c r="F11013" s="1" t="str">
        <f>"10.12.138.138"</f>
        <v>10.12.138.138</v>
      </c>
      <c r="G11013" s="1" t="str">
        <f>"9828R606"</f>
        <v>9828R606</v>
      </c>
      <c r="H11013" s="1" t="str">
        <f>"성서간 29L3R1"</f>
        <v>성서간 29L3R1</v>
      </c>
      <c r="I11013" s="1" t="s">
        <v>8</v>
      </c>
      <c r="J11013" s="1" t="str">
        <f>"73/73"</f>
        <v>73/73</v>
      </c>
      <c r="K11013" s="1" t="str">
        <f>"2026-07-29 13:18:12"</f>
        <v>2026-07-29 13:18:12</v>
      </c>
      <c r="L11013" s="1" t="str">
        <f>"2020-01-09 10:09:07"</f>
        <v>2020-01-09 10:09:07</v>
      </c>
      <c r="M11013" s="1" t="s">
        <v>0</v>
      </c>
      <c r="N11013" s="1" t="s">
        <v>38</v>
      </c>
      <c r="O11013" s="1" t="s">
        <v>46</v>
      </c>
    </row>
    <row r="11014" spans="2:15" x14ac:dyDescent="0.3">
      <c r="B11014" s="1" t="s">
        <v>21</v>
      </c>
      <c r="C11014" s="1" t="str">
        <f>"4차"</f>
        <v>4차</v>
      </c>
      <c r="D11014" s="1" t="str">
        <f>"9828R61344"</f>
        <v>9828R61344</v>
      </c>
      <c r="E11014" s="1" t="s">
        <v>10</v>
      </c>
      <c r="F11014" s="1" t="str">
        <f>"10.128.117.10"</f>
        <v>10.128.117.10</v>
      </c>
      <c r="G11014" s="1" t="str">
        <f>"9828R613"</f>
        <v>9828R613</v>
      </c>
      <c r="H11014" s="1" t="str">
        <f>"성서간 29L5"</f>
        <v>성서간 29L5</v>
      </c>
      <c r="I11014" s="1" t="s">
        <v>8</v>
      </c>
      <c r="J11014" s="1" t="str">
        <f>"45/45"</f>
        <v>45/45</v>
      </c>
      <c r="K11014" s="1" t="str">
        <f>"2026-07-29 13:18:13"</f>
        <v>2026-07-29 13:18:13</v>
      </c>
      <c r="L11014" s="1" t="str">
        <f>"2019-11-12 00:47:54"</f>
        <v>2019-11-12 00:47:54</v>
      </c>
      <c r="M11014" s="1" t="s">
        <v>45</v>
      </c>
      <c r="N11014" s="1" t="s">
        <v>38</v>
      </c>
      <c r="O11014" s="1" t="s">
        <v>46</v>
      </c>
    </row>
    <row r="11015" spans="2:15" x14ac:dyDescent="0.3">
      <c r="B11015" s="1" t="s">
        <v>21</v>
      </c>
      <c r="C11015" s="1" t="str">
        <f>"5-1차"</f>
        <v>5-1차</v>
      </c>
      <c r="D11015" s="1" t="str">
        <f>"9828R6315S"</f>
        <v>9828R6315S</v>
      </c>
      <c r="E11015" s="1" t="s">
        <v>10</v>
      </c>
      <c r="F11015" s="1" t="str">
        <f>"fde2:104:0:d3:0:0:0:2"</f>
        <v>fde2:104:0:d3:0:0:0:2</v>
      </c>
      <c r="G11015" s="1" t="str">
        <f>"9828R631"</f>
        <v>9828R631</v>
      </c>
      <c r="H11015" s="1" t="str">
        <f>"포방지 5R2"</f>
        <v>포방지 5R2</v>
      </c>
      <c r="I11015" s="1" t="s">
        <v>15</v>
      </c>
      <c r="J11015" s="1" t="str">
        <f>"29/29"</f>
        <v>29/29</v>
      </c>
      <c r="K11015" s="1" t="str">
        <f>"2026-07-29 14:21:53"</f>
        <v>2026-07-29 14:21:53</v>
      </c>
      <c r="L11015" s="1" t="str">
        <f>"2022-09-19 07:58:13"</f>
        <v>2022-09-19 07:58:13</v>
      </c>
      <c r="M11015" s="1" t="s">
        <v>42</v>
      </c>
      <c r="N11015" s="1" t="s">
        <v>38</v>
      </c>
      <c r="O11015" s="1" t="s">
        <v>46</v>
      </c>
    </row>
    <row r="11016" spans="2:15" x14ac:dyDescent="0.3">
      <c r="B11016" s="1" t="s">
        <v>21</v>
      </c>
      <c r="C11016" s="1" t="str">
        <f>"6차"</f>
        <v>6차</v>
      </c>
      <c r="D11016" s="1" t="str">
        <f>"9828R6816S"</f>
        <v>9828R6816S</v>
      </c>
      <c r="E11016" s="1" t="s">
        <v>10</v>
      </c>
      <c r="F11016" s="1" t="str">
        <f>"fde1:103:4:c617:0:0:0:2"</f>
        <v>fde1:103:4:c617:0:0:0:2</v>
      </c>
      <c r="G11016" s="1" t="str">
        <f>"9828R681"</f>
        <v>9828R681</v>
      </c>
      <c r="H11016" s="1" t="str">
        <f>"포방지 15A1"</f>
        <v>포방지 15A1</v>
      </c>
      <c r="I11016" s="1" t="s">
        <v>15</v>
      </c>
      <c r="J11016" s="1" t="str">
        <f>"22/22"</f>
        <v>22/22</v>
      </c>
      <c r="K11016" s="1" t="str">
        <f>"2026-07-29 14:21:51"</f>
        <v>2026-07-29 14:21:51</v>
      </c>
      <c r="L11016" s="1" t="str">
        <f>"2024-10-30 15:41:46"</f>
        <v>2024-10-30 15:41:46</v>
      </c>
      <c r="M11016" s="1" t="s">
        <v>4</v>
      </c>
      <c r="N11016" s="1" t="s">
        <v>38</v>
      </c>
      <c r="O11016" s="1" t="s">
        <v>46</v>
      </c>
    </row>
    <row r="11017" spans="2:15" x14ac:dyDescent="0.3">
      <c r="B11017" s="1" t="s">
        <v>21</v>
      </c>
      <c r="C11017" s="1" t="str">
        <f t="shared" ref="C11017:C11028" si="553">"5-2차"</f>
        <v>5-2차</v>
      </c>
      <c r="D11017" s="1" t="str">
        <f>"9828R7315M"</f>
        <v>9828R7315M</v>
      </c>
      <c r="E11017" s="1" t="s">
        <v>10</v>
      </c>
      <c r="F11017" s="1" t="str">
        <f>"fde1:103:4:9197:0:0:0:2"</f>
        <v>fde1:103:4:9197:0:0:0:2</v>
      </c>
      <c r="G11017" s="1" t="str">
        <f>"9828R731"</f>
        <v>9828R731</v>
      </c>
      <c r="H11017" s="1" t="str">
        <f>"포방지 5R3"</f>
        <v>포방지 5R3</v>
      </c>
      <c r="I11017" s="1" t="s">
        <v>15</v>
      </c>
      <c r="J11017" s="1" t="str">
        <f>"20/20"</f>
        <v>20/20</v>
      </c>
      <c r="K11017" s="1" t="str">
        <f>"2026-07-29 14:21:52"</f>
        <v>2026-07-29 14:21:52</v>
      </c>
      <c r="L11017" s="1" t="str">
        <f>"2024-01-19 11:44:40"</f>
        <v>2024-01-19 11:44:40</v>
      </c>
      <c r="M11017" s="1" t="s">
        <v>4</v>
      </c>
      <c r="N11017" s="1" t="s">
        <v>38</v>
      </c>
      <c r="O11017" s="1" t="s">
        <v>46</v>
      </c>
    </row>
    <row r="11018" spans="2:15" x14ac:dyDescent="0.3">
      <c r="B11018" s="1" t="s">
        <v>21</v>
      </c>
      <c r="C11018" s="1" t="str">
        <f t="shared" si="553"/>
        <v>5-2차</v>
      </c>
      <c r="D11018" s="1" t="str">
        <f>"9828R8225M"</f>
        <v>9828R8225M</v>
      </c>
      <c r="E11018" s="1" t="s">
        <v>10</v>
      </c>
      <c r="F11018" s="1" t="str">
        <f>"fde1:103:4:91ab:0:0:0:2"</f>
        <v>fde1:103:4:91ab:0:0:0:2</v>
      </c>
      <c r="G11018" s="1" t="str">
        <f>"9828R822"</f>
        <v>9828R822</v>
      </c>
      <c r="H11018" s="1" t="str">
        <f>"포방지 48R2"</f>
        <v>포방지 48R2</v>
      </c>
      <c r="I11018" s="1" t="s">
        <v>15</v>
      </c>
      <c r="J11018" s="1" t="str">
        <f>"48/48"</f>
        <v>48/48</v>
      </c>
      <c r="K11018" s="1" t="str">
        <f>"2026-07-29 14:21:51"</f>
        <v>2026-07-29 14:21:51</v>
      </c>
      <c r="L11018" s="1" t="str">
        <f>"2024-01-19 11:45:05"</f>
        <v>2024-01-19 11:45:05</v>
      </c>
      <c r="M11018" s="1" t="s">
        <v>4</v>
      </c>
      <c r="N11018" s="1" t="s">
        <v>38</v>
      </c>
      <c r="O11018" s="1" t="s">
        <v>46</v>
      </c>
    </row>
    <row r="11019" spans="2:15" x14ac:dyDescent="0.3">
      <c r="B11019" s="1" t="s">
        <v>21</v>
      </c>
      <c r="C11019" s="1" t="str">
        <f t="shared" si="553"/>
        <v>5-2차</v>
      </c>
      <c r="D11019" s="1" t="str">
        <f>"9828R8515M"</f>
        <v>9828R8515M</v>
      </c>
      <c r="E11019" s="1" t="s">
        <v>10</v>
      </c>
      <c r="F11019" s="1" t="str">
        <f>"fde1:103:4:91af:0:0:0:2"</f>
        <v>fde1:103:4:91af:0:0:0:2</v>
      </c>
      <c r="G11019" s="1" t="str">
        <f>"9828R851"</f>
        <v>9828R851</v>
      </c>
      <c r="H11019" s="1" t="str">
        <f>"포방지 18R4"</f>
        <v>포방지 18R4</v>
      </c>
      <c r="I11019" s="1" t="s">
        <v>15</v>
      </c>
      <c r="J11019" s="1" t="str">
        <f>"56/56"</f>
        <v>56/56</v>
      </c>
      <c r="K11019" s="1" t="str">
        <f>"2026-07-29 14:21:52"</f>
        <v>2026-07-29 14:21:52</v>
      </c>
      <c r="L11019" s="1" t="str">
        <f>"2024-01-19 12:20:20"</f>
        <v>2024-01-19 12:20:20</v>
      </c>
      <c r="M11019" s="1" t="s">
        <v>4</v>
      </c>
      <c r="N11019" s="1" t="s">
        <v>38</v>
      </c>
      <c r="O11019" s="1" t="s">
        <v>46</v>
      </c>
    </row>
    <row r="11020" spans="2:15" x14ac:dyDescent="0.3">
      <c r="B11020" s="1" t="s">
        <v>21</v>
      </c>
      <c r="C11020" s="1" t="str">
        <f t="shared" si="553"/>
        <v>5-2차</v>
      </c>
      <c r="D11020" s="1" t="str">
        <f>"9828R8825M"</f>
        <v>9828R8825M</v>
      </c>
      <c r="E11020" s="1" t="s">
        <v>10</v>
      </c>
      <c r="F11020" s="1" t="str">
        <f>"fde1:103:4:91a5:0:0:0:2"</f>
        <v>fde1:103:4:91a5:0:0:0:2</v>
      </c>
      <c r="G11020" s="1" t="str">
        <f>"9828R882"</f>
        <v>9828R882</v>
      </c>
      <c r="H11020" s="1" t="str">
        <f>"포방지 17"</f>
        <v>포방지 17</v>
      </c>
      <c r="I11020" s="1" t="s">
        <v>15</v>
      </c>
      <c r="J11020" s="1" t="str">
        <f>"45/52"</f>
        <v>45/52</v>
      </c>
      <c r="K11020" s="1" t="str">
        <f>"2026-07-29 14:21:52"</f>
        <v>2026-07-29 14:21:52</v>
      </c>
      <c r="L11020" s="1" t="str">
        <f>"2024-01-19 12:20:56"</f>
        <v>2024-01-19 12:20:56</v>
      </c>
      <c r="M11020" s="1" t="s">
        <v>4</v>
      </c>
      <c r="N11020" s="1" t="s">
        <v>38</v>
      </c>
      <c r="O11020" s="1" t="s">
        <v>46</v>
      </c>
    </row>
    <row r="11021" spans="2:15" x14ac:dyDescent="0.3">
      <c r="B11021" s="1" t="s">
        <v>21</v>
      </c>
      <c r="C11021" s="1" t="str">
        <f t="shared" si="553"/>
        <v>5-2차</v>
      </c>
      <c r="D11021" s="1" t="str">
        <f>"9828R9415M"</f>
        <v>9828R9415M</v>
      </c>
      <c r="E11021" s="1" t="s">
        <v>10</v>
      </c>
      <c r="F11021" s="1" t="str">
        <f>"fde3:102:1302:3501:0:0:0:2"</f>
        <v>fde3:102:1302:3501:0:0:0:2</v>
      </c>
      <c r="G11021" s="1" t="str">
        <f>"9828R941"</f>
        <v>9828R941</v>
      </c>
      <c r="H11021" s="1" t="str">
        <f>"포방지 47"</f>
        <v>포방지 47</v>
      </c>
      <c r="I11021" s="1" t="s">
        <v>15</v>
      </c>
      <c r="J11021" s="1" t="str">
        <f>"51/51"</f>
        <v>51/51</v>
      </c>
      <c r="K11021" s="1" t="str">
        <f>"2026-07-29 14:21:52"</f>
        <v>2026-07-29 14:21:52</v>
      </c>
      <c r="L11021" s="1" t="str">
        <f>"2023-08-24 16:03:20"</f>
        <v>2023-08-24 16:03:20</v>
      </c>
      <c r="M11021" s="1" t="s">
        <v>45</v>
      </c>
      <c r="N11021" s="1" t="s">
        <v>38</v>
      </c>
      <c r="O11021" s="1" t="s">
        <v>46</v>
      </c>
    </row>
    <row r="11022" spans="2:15" x14ac:dyDescent="0.3">
      <c r="B11022" s="1" t="s">
        <v>21</v>
      </c>
      <c r="C11022" s="1" t="str">
        <f t="shared" si="553"/>
        <v>5-2차</v>
      </c>
      <c r="D11022" s="1" t="str">
        <f>"9828R9525M"</f>
        <v>9828R9525M</v>
      </c>
      <c r="E11022" s="1" t="s">
        <v>10</v>
      </c>
      <c r="F11022" s="1" t="str">
        <f>"fde1:103:4:91ae:0:0:0:2"</f>
        <v>fde1:103:4:91ae:0:0:0:2</v>
      </c>
      <c r="G11022" s="1" t="str">
        <f>"9828R952"</f>
        <v>9828R952</v>
      </c>
      <c r="H11022" s="1" t="str">
        <f>"포방지 44L9"</f>
        <v>포방지 44L9</v>
      </c>
      <c r="I11022" s="1" t="s">
        <v>15</v>
      </c>
      <c r="J11022" s="1" t="str">
        <f>"37/38"</f>
        <v>37/38</v>
      </c>
      <c r="K11022" s="1" t="str">
        <f>"2026-07-29 14:21:52"</f>
        <v>2026-07-29 14:21:52</v>
      </c>
      <c r="L11022" s="1" t="str">
        <f>"2024-01-19 12:21:10"</f>
        <v>2024-01-19 12:21:10</v>
      </c>
      <c r="M11022" s="1" t="s">
        <v>4</v>
      </c>
      <c r="N11022" s="1" t="s">
        <v>38</v>
      </c>
      <c r="O11022" s="1" t="s">
        <v>46</v>
      </c>
    </row>
    <row r="11023" spans="2:15" x14ac:dyDescent="0.3">
      <c r="B11023" s="1" t="s">
        <v>21</v>
      </c>
      <c r="C11023" s="1" t="str">
        <f t="shared" si="553"/>
        <v>5-2차</v>
      </c>
      <c r="D11023" s="1" t="str">
        <f>"9828R9615M"</f>
        <v>9828R9615M</v>
      </c>
      <c r="E11023" s="1" t="s">
        <v>10</v>
      </c>
      <c r="F11023" s="1" t="str">
        <f>"fde1:103:4:919a:0:0:0:2"</f>
        <v>fde1:103:4:919a:0:0:0:2</v>
      </c>
      <c r="G11023" s="1" t="str">
        <f>"9828R961"</f>
        <v>9828R961</v>
      </c>
      <c r="H11023" s="1" t="str">
        <f>"포방지 45"</f>
        <v>포방지 45</v>
      </c>
      <c r="I11023" s="1" t="s">
        <v>15</v>
      </c>
      <c r="J11023" s="1" t="str">
        <f>"63/63"</f>
        <v>63/63</v>
      </c>
      <c r="K11023" s="1" t="str">
        <f>"2026-07-29 14:20:44"</f>
        <v>2026-07-29 14:20:44</v>
      </c>
      <c r="L11023" s="1" t="str">
        <f>"2024-01-19 12:21:47"</f>
        <v>2024-01-19 12:21:47</v>
      </c>
      <c r="M11023" s="1" t="s">
        <v>4</v>
      </c>
      <c r="N11023" s="1" t="s">
        <v>38</v>
      </c>
      <c r="O11023" s="1" t="s">
        <v>46</v>
      </c>
    </row>
    <row r="11024" spans="2:15" x14ac:dyDescent="0.3">
      <c r="B11024" s="1" t="s">
        <v>21</v>
      </c>
      <c r="C11024" s="1" t="str">
        <f t="shared" si="553"/>
        <v>5-2차</v>
      </c>
      <c r="D11024" s="1" t="str">
        <f>"9828S0235M"</f>
        <v>9828S0235M</v>
      </c>
      <c r="E11024" s="1" t="s">
        <v>10</v>
      </c>
      <c r="F11024" s="1" t="str">
        <f>"fde3:102:1302:3100:0:0:0:2"</f>
        <v>fde3:102:1302:3100:0:0:0:2</v>
      </c>
      <c r="G11024" s="1" t="str">
        <f>"9828S023"</f>
        <v>9828S023</v>
      </c>
      <c r="H11024" s="1" t="str">
        <f>"포방지 52"</f>
        <v>포방지 52</v>
      </c>
      <c r="I11024" s="1" t="s">
        <v>15</v>
      </c>
      <c r="J11024" s="1" t="str">
        <f>"70/70"</f>
        <v>70/70</v>
      </c>
      <c r="K11024" s="1" t="str">
        <f>"2026-07-29 14:21:53"</f>
        <v>2026-07-29 14:21:53</v>
      </c>
      <c r="L11024" s="1" t="str">
        <f>"2023-08-24 16:01:53"</f>
        <v>2023-08-24 16:01:53</v>
      </c>
      <c r="M11024" s="1" t="s">
        <v>45</v>
      </c>
      <c r="N11024" s="1" t="s">
        <v>38</v>
      </c>
      <c r="O11024" s="1" t="s">
        <v>46</v>
      </c>
    </row>
    <row r="11025" spans="2:15" x14ac:dyDescent="0.3">
      <c r="B11025" s="1" t="s">
        <v>21</v>
      </c>
      <c r="C11025" s="1" t="str">
        <f t="shared" si="553"/>
        <v>5-2차</v>
      </c>
      <c r="D11025" s="1" t="str">
        <f>"9828S0435M"</f>
        <v>9828S0435M</v>
      </c>
      <c r="E11025" s="1" t="s">
        <v>10</v>
      </c>
      <c r="F11025" s="1" t="str">
        <f>"fde1:103:4:91b0:0:0:0:2"</f>
        <v>fde1:103:4:91b0:0:0:0:2</v>
      </c>
      <c r="G11025" s="1" t="str">
        <f>"9828S043"</f>
        <v>9828S043</v>
      </c>
      <c r="H11025" s="1" t="str">
        <f>"포방지 49L3"</f>
        <v>포방지 49L3</v>
      </c>
      <c r="I11025" s="1" t="s">
        <v>15</v>
      </c>
      <c r="J11025" s="1" t="str">
        <f>"44/44"</f>
        <v>44/44</v>
      </c>
      <c r="K11025" s="1" t="str">
        <f>"2026-07-29 14:21:21"</f>
        <v>2026-07-29 14:21:21</v>
      </c>
      <c r="L11025" s="1" t="str">
        <f>"2024-01-19 12:45:32"</f>
        <v>2024-01-19 12:45:32</v>
      </c>
      <c r="M11025" s="1" t="s">
        <v>4</v>
      </c>
      <c r="N11025" s="1" t="s">
        <v>38</v>
      </c>
      <c r="O11025" s="1" t="s">
        <v>46</v>
      </c>
    </row>
    <row r="11026" spans="2:15" x14ac:dyDescent="0.3">
      <c r="B11026" s="1" t="s">
        <v>21</v>
      </c>
      <c r="C11026" s="1" t="str">
        <f t="shared" si="553"/>
        <v>5-2차</v>
      </c>
      <c r="D11026" s="1" t="str">
        <f>"9828S1025S"</f>
        <v>9828S1025S</v>
      </c>
      <c r="E11026" s="1" t="s">
        <v>10</v>
      </c>
      <c r="F11026" s="1" t="str">
        <f>"fde3:102:1302:3104:0:0:0:2"</f>
        <v>fde3:102:1302:3104:0:0:0:2</v>
      </c>
      <c r="G11026" s="1" t="str">
        <f>"9828S102"</f>
        <v>9828S102</v>
      </c>
      <c r="H11026" s="1" t="str">
        <f>"포방지 55"</f>
        <v>포방지 55</v>
      </c>
      <c r="I11026" s="1" t="s">
        <v>15</v>
      </c>
      <c r="J11026" s="1" t="str">
        <f>"63/63"</f>
        <v>63/63</v>
      </c>
      <c r="K11026" s="1" t="str">
        <f>"2026-07-29 14:21:52"</f>
        <v>2026-07-29 14:21:52</v>
      </c>
      <c r="L11026" s="1" t="str">
        <f>"2023-08-24 17:09:58"</f>
        <v>2023-08-24 17:09:58</v>
      </c>
      <c r="M11026" s="1" t="s">
        <v>45</v>
      </c>
      <c r="N11026" s="1" t="s">
        <v>38</v>
      </c>
      <c r="O11026" s="1" t="s">
        <v>46</v>
      </c>
    </row>
    <row r="11027" spans="2:15" x14ac:dyDescent="0.3">
      <c r="B11027" s="1" t="s">
        <v>21</v>
      </c>
      <c r="C11027" s="1" t="str">
        <f t="shared" si="553"/>
        <v>5-2차</v>
      </c>
      <c r="D11027" s="1" t="str">
        <f>"9828S1215S"</f>
        <v>9828S1215S</v>
      </c>
      <c r="E11027" s="1" t="s">
        <v>10</v>
      </c>
      <c r="F11027" s="1" t="str">
        <f>"fde3:102:1302:3102:0:0:0:2"</f>
        <v>fde3:102:1302:3102:0:0:0:2</v>
      </c>
      <c r="G11027" s="1" t="str">
        <f>"9828S121"</f>
        <v>9828S121</v>
      </c>
      <c r="H11027" s="1" t="str">
        <f>"포방지 52L2"</f>
        <v>포방지 52L2</v>
      </c>
      <c r="I11027" s="1" t="s">
        <v>15</v>
      </c>
      <c r="J11027" s="1" t="str">
        <f>"35/35"</f>
        <v>35/35</v>
      </c>
      <c r="K11027" s="1" t="str">
        <f>"2026-07-29 14:21:20"</f>
        <v>2026-07-29 14:21:20</v>
      </c>
      <c r="L11027" s="1" t="str">
        <f>"2023-08-24 16:00:12"</f>
        <v>2023-08-24 16:00:12</v>
      </c>
      <c r="M11027" s="1" t="s">
        <v>45</v>
      </c>
      <c r="N11027" s="1" t="s">
        <v>38</v>
      </c>
      <c r="O11027" s="1" t="s">
        <v>46</v>
      </c>
    </row>
    <row r="11028" spans="2:15" x14ac:dyDescent="0.3">
      <c r="B11028" s="1" t="s">
        <v>21</v>
      </c>
      <c r="C11028" s="1" t="str">
        <f t="shared" si="553"/>
        <v>5-2차</v>
      </c>
      <c r="D11028" s="1" t="str">
        <f>"9828S1235S"</f>
        <v>9828S1235S</v>
      </c>
      <c r="E11028" s="1" t="s">
        <v>10</v>
      </c>
      <c r="F11028" s="1" t="str">
        <f>"fde3:102:1302:3101:0:0:0:2"</f>
        <v>fde3:102:1302:3101:0:0:0:2</v>
      </c>
      <c r="G11028" s="1" t="str">
        <f>"9828S123"</f>
        <v>9828S123</v>
      </c>
      <c r="H11028" s="1" t="str">
        <f>"포방지 52L1R1"</f>
        <v>포방지 52L1R1</v>
      </c>
      <c r="I11028" s="1" t="s">
        <v>15</v>
      </c>
      <c r="J11028" s="1" t="str">
        <f>"41/41"</f>
        <v>41/41</v>
      </c>
      <c r="K11028" s="1" t="str">
        <f>"2026-07-29 14:21:52"</f>
        <v>2026-07-29 14:21:52</v>
      </c>
      <c r="L11028" s="1" t="str">
        <f>"2023-08-24 17:10:48"</f>
        <v>2023-08-24 17:10:48</v>
      </c>
      <c r="M11028" s="1" t="s">
        <v>45</v>
      </c>
      <c r="N11028" s="1" t="s">
        <v>38</v>
      </c>
      <c r="O11028" s="1" t="s">
        <v>46</v>
      </c>
    </row>
    <row r="11029" spans="2:15" x14ac:dyDescent="0.3">
      <c r="B11029" s="1" t="s">
        <v>21</v>
      </c>
      <c r="C11029" s="1" t="str">
        <f>"5-1차"</f>
        <v>5-1차</v>
      </c>
      <c r="D11029" s="1" t="str">
        <f>"9828S1315M"</f>
        <v>9828S1315M</v>
      </c>
      <c r="E11029" s="1" t="s">
        <v>10</v>
      </c>
      <c r="F11029" s="1" t="str">
        <f>"fde2:104:0:d9:0:0:0:2"</f>
        <v>fde2:104:0:d9:0:0:0:2</v>
      </c>
      <c r="G11029" s="1" t="str">
        <f>"9828S131"</f>
        <v>9828S131</v>
      </c>
      <c r="H11029" s="1" t="str">
        <f>"포방지 52L4"</f>
        <v>포방지 52L4</v>
      </c>
      <c r="I11029" s="1" t="s">
        <v>15</v>
      </c>
      <c r="J11029" s="1" t="str">
        <f>"68/68"</f>
        <v>68/68</v>
      </c>
      <c r="K11029" s="1" t="str">
        <f>"2026-07-29 14:21:22"</f>
        <v>2026-07-29 14:21:22</v>
      </c>
      <c r="L11029" s="1" t="str">
        <f>"2022-09-23 11:06:29"</f>
        <v>2022-09-23 11:06:29</v>
      </c>
      <c r="M11029" s="1" t="s">
        <v>42</v>
      </c>
      <c r="N11029" s="1" t="s">
        <v>38</v>
      </c>
      <c r="O11029" s="1" t="s">
        <v>46</v>
      </c>
    </row>
    <row r="11030" spans="2:15" x14ac:dyDescent="0.3">
      <c r="B11030" s="1" t="s">
        <v>21</v>
      </c>
      <c r="C11030" s="1" t="str">
        <f>"5-2차"</f>
        <v>5-2차</v>
      </c>
      <c r="D11030" s="1" t="str">
        <f>"9828S1515M"</f>
        <v>9828S1515M</v>
      </c>
      <c r="E11030" s="1" t="s">
        <v>10</v>
      </c>
      <c r="F11030" s="1" t="str">
        <f>"fde1:103:4:91b1:0:0:0:2"</f>
        <v>fde1:103:4:91b1:0:0:0:2</v>
      </c>
      <c r="G11030" s="1" t="str">
        <f>"9828S151"</f>
        <v>9828S151</v>
      </c>
      <c r="H11030" s="1" t="str">
        <f>"포방지 44L7"</f>
        <v>포방지 44L7</v>
      </c>
      <c r="I11030" s="1" t="s">
        <v>15</v>
      </c>
      <c r="J11030" s="1" t="str">
        <f>"45/45"</f>
        <v>45/45</v>
      </c>
      <c r="K11030" s="1" t="str">
        <f>"2026-07-29 14:21:53"</f>
        <v>2026-07-29 14:21:53</v>
      </c>
      <c r="L11030" s="1" t="str">
        <f>"2024-01-19 12:46:14"</f>
        <v>2024-01-19 12:46:14</v>
      </c>
      <c r="M11030" s="1" t="s">
        <v>4</v>
      </c>
      <c r="N11030" s="1" t="s">
        <v>38</v>
      </c>
      <c r="O11030" s="1" t="s">
        <v>46</v>
      </c>
    </row>
    <row r="11031" spans="2:15" x14ac:dyDescent="0.3">
      <c r="B11031" s="1" t="s">
        <v>21</v>
      </c>
      <c r="C11031" s="1" t="str">
        <f>"5-2차"</f>
        <v>5-2차</v>
      </c>
      <c r="D11031" s="1" t="str">
        <f>"9828S1625S"</f>
        <v>9828S1625S</v>
      </c>
      <c r="E11031" s="1" t="s">
        <v>10</v>
      </c>
      <c r="F11031" s="1" t="str">
        <f>"fde1:103:4:928b:0:0:0:2"</f>
        <v>fde1:103:4:928b:0:0:0:2</v>
      </c>
      <c r="G11031" s="1" t="str">
        <f>"9828S162"</f>
        <v>9828S162</v>
      </c>
      <c r="H11031" s="1" t="str">
        <f>"포방지 44L6"</f>
        <v>포방지 44L6</v>
      </c>
      <c r="I11031" s="1" t="s">
        <v>15</v>
      </c>
      <c r="J11031" s="1" t="str">
        <f>"44/44"</f>
        <v>44/44</v>
      </c>
      <c r="K11031" s="1" t="str">
        <f>"2026-07-29 14:21:21"</f>
        <v>2026-07-29 14:21:21</v>
      </c>
      <c r="L11031" s="1" t="str">
        <f>"2024-01-19 12:46:41"</f>
        <v>2024-01-19 12:46:41</v>
      </c>
      <c r="M11031" s="1" t="s">
        <v>4</v>
      </c>
      <c r="N11031" s="1" t="s">
        <v>38</v>
      </c>
      <c r="O11031" s="1" t="s">
        <v>46</v>
      </c>
    </row>
    <row r="11032" spans="2:15" x14ac:dyDescent="0.3">
      <c r="B11032" s="1" t="s">
        <v>21</v>
      </c>
      <c r="C11032" s="1" t="str">
        <f>"5-2차"</f>
        <v>5-2차</v>
      </c>
      <c r="D11032" s="1" t="str">
        <f>"9828S2415S"</f>
        <v>9828S2415S</v>
      </c>
      <c r="E11032" s="1" t="s">
        <v>10</v>
      </c>
      <c r="F11032" s="1" t="str">
        <f>"fde3:102:1302:3103:0:0:0:2"</f>
        <v>fde3:102:1302:3103:0:0:0:2</v>
      </c>
      <c r="G11032" s="1" t="str">
        <f>"9828S241"</f>
        <v>9828S241</v>
      </c>
      <c r="H11032" s="1" t="str">
        <f>"포방지 52L6"</f>
        <v>포방지 52L6</v>
      </c>
      <c r="I11032" s="1" t="s">
        <v>15</v>
      </c>
      <c r="J11032" s="1" t="str">
        <f>"20/20"</f>
        <v>20/20</v>
      </c>
      <c r="K11032" s="1" t="str">
        <f>"2026-07-29 14:22:00"</f>
        <v>2026-07-29 14:22:00</v>
      </c>
      <c r="L11032" s="1" t="str">
        <f>"2023-08-24 17:11:49"</f>
        <v>2023-08-24 17:11:49</v>
      </c>
      <c r="M11032" s="1" t="s">
        <v>45</v>
      </c>
      <c r="N11032" s="1" t="s">
        <v>38</v>
      </c>
      <c r="O11032" s="1" t="s">
        <v>46</v>
      </c>
    </row>
    <row r="11033" spans="2:15" x14ac:dyDescent="0.3">
      <c r="B11033" s="1" t="s">
        <v>21</v>
      </c>
      <c r="C11033" s="1" t="str">
        <f>"3차"</f>
        <v>3차</v>
      </c>
      <c r="D11033" s="1" t="str">
        <f>"9926R00539"</f>
        <v>9926R00539</v>
      </c>
      <c r="E11033" s="1" t="s">
        <v>10</v>
      </c>
      <c r="F11033" s="1" t="str">
        <f>"10.12.130.130"</f>
        <v>10.12.130.130</v>
      </c>
      <c r="G11033" s="1" t="str">
        <f>"9926R005"</f>
        <v>9926R005</v>
      </c>
      <c r="H11033" s="1" t="str">
        <f>"미근 7"</f>
        <v>미근 7</v>
      </c>
      <c r="I11033" s="1" t="s">
        <v>17</v>
      </c>
      <c r="J11033" s="1" t="str">
        <f>"15/15"</f>
        <v>15/15</v>
      </c>
      <c r="K11033" s="1" t="str">
        <f>"2026-07-29 13:18:14"</f>
        <v>2026-07-29 13:18:14</v>
      </c>
      <c r="L11033" s="1" t="str">
        <f>"2018-10-19 09:17:39"</f>
        <v>2018-10-19 09:17:39</v>
      </c>
      <c r="M11033" s="1" t="s">
        <v>0</v>
      </c>
      <c r="N11033" s="1" t="s">
        <v>38</v>
      </c>
      <c r="O11033" s="1" t="s">
        <v>46</v>
      </c>
    </row>
    <row r="11034" spans="2:15" x14ac:dyDescent="0.3">
      <c r="B11034" s="1" t="s">
        <v>21</v>
      </c>
      <c r="C11034" s="1" t="str">
        <f>"5-1차"</f>
        <v>5-1차</v>
      </c>
      <c r="D11034" s="1" t="str">
        <f>"9926R0515M"</f>
        <v>9926R0515M</v>
      </c>
      <c r="E11034" s="1" t="s">
        <v>10</v>
      </c>
      <c r="F11034" s="1" t="str">
        <f>"fde2:104:0:cd:0:0:0:2"</f>
        <v>fde2:104:0:cd:0:0:0:2</v>
      </c>
      <c r="G11034" s="1" t="str">
        <f>"9926R051"</f>
        <v>9926R051</v>
      </c>
      <c r="H11034" s="1" t="str">
        <f>"미근SW 8R6L3"</f>
        <v>미근SW 8R6L3</v>
      </c>
      <c r="I11034" s="1" t="s">
        <v>15</v>
      </c>
      <c r="J11034" s="1" t="str">
        <f>"30/30"</f>
        <v>30/30</v>
      </c>
      <c r="K11034" s="1" t="str">
        <f>"2026-07-29 14:21:32"</f>
        <v>2026-07-29 14:21:32</v>
      </c>
      <c r="L11034" s="1" t="str">
        <f>"2022-09-28 09:41:42"</f>
        <v>2022-09-28 09:41:42</v>
      </c>
      <c r="M11034" s="1" t="s">
        <v>42</v>
      </c>
      <c r="N11034" s="1" t="s">
        <v>38</v>
      </c>
      <c r="O11034" s="1" t="s">
        <v>46</v>
      </c>
    </row>
    <row r="11035" spans="2:15" x14ac:dyDescent="0.3">
      <c r="B11035" s="1" t="s">
        <v>21</v>
      </c>
      <c r="C11035" s="1" t="str">
        <f>"1차"</f>
        <v>1차</v>
      </c>
      <c r="D11035" s="1" t="str">
        <f>"9926R22400"</f>
        <v>9926R22400</v>
      </c>
      <c r="E11035" s="1" t="s">
        <v>10</v>
      </c>
      <c r="F11035" s="1" t="str">
        <f>"10.89.114.42"</f>
        <v>10.89.114.42</v>
      </c>
      <c r="G11035" s="1" t="str">
        <f>"9926R224"</f>
        <v>9926R224</v>
      </c>
      <c r="H11035" s="1" t="str">
        <f>"미근SW 6-1R3R1"</f>
        <v>미근SW 6-1R3R1</v>
      </c>
      <c r="I11035" s="1" t="s">
        <v>8</v>
      </c>
      <c r="J11035" s="1" t="str">
        <f>"1/1"</f>
        <v>1/1</v>
      </c>
      <c r="K11035" s="1" t="str">
        <f>"2026-07-29 13:18:12"</f>
        <v>2026-07-29 13:18:12</v>
      </c>
      <c r="L11035" s="1" t="str">
        <f>"2015-03-31 14:10:50"</f>
        <v>2015-03-31 14:10:50</v>
      </c>
      <c r="M11035" s="1" t="s">
        <v>45</v>
      </c>
      <c r="N11035" s="1" t="s">
        <v>38</v>
      </c>
      <c r="O11035" s="1" t="s">
        <v>46</v>
      </c>
    </row>
    <row r="11036" spans="2:15" x14ac:dyDescent="0.3">
      <c r="B11036" s="1" t="s">
        <v>21</v>
      </c>
      <c r="C11036" s="1" t="str">
        <f>"4차"</f>
        <v>4차</v>
      </c>
      <c r="D11036" s="1" t="str">
        <f>"9926R34339"</f>
        <v>9926R34339</v>
      </c>
      <c r="E11036" s="1" t="s">
        <v>10</v>
      </c>
      <c r="F11036" s="1" t="str">
        <f>"10.12.136.194"</f>
        <v>10.12.136.194</v>
      </c>
      <c r="G11036" s="1" t="str">
        <f>"9926R343"</f>
        <v>9926R343</v>
      </c>
      <c r="H11036" s="1" t="str">
        <f>"미근 5"</f>
        <v>미근 5</v>
      </c>
      <c r="I11036" s="1" t="s">
        <v>17</v>
      </c>
      <c r="J11036" s="1" t="str">
        <f>"16/16"</f>
        <v>16/16</v>
      </c>
      <c r="K11036" s="1" t="str">
        <f>"2026-07-29 13:18:14"</f>
        <v>2026-07-29 13:18:14</v>
      </c>
      <c r="L11036" s="1" t="str">
        <f>"2021-09-01 17:57:17"</f>
        <v>2021-09-01 17:57:17</v>
      </c>
      <c r="M11036" s="1" t="s">
        <v>0</v>
      </c>
      <c r="N11036" s="1" t="s">
        <v>38</v>
      </c>
      <c r="O11036" s="1" t="s">
        <v>46</v>
      </c>
    </row>
    <row r="11037" spans="2:15" x14ac:dyDescent="0.3">
      <c r="B11037" s="1" t="s">
        <v>20</v>
      </c>
      <c r="C11037" s="1" t="str">
        <f>"4차"</f>
        <v>4차</v>
      </c>
      <c r="D11037" s="1" t="str">
        <f>"0023A71139"</f>
        <v>0023A71139</v>
      </c>
      <c r="E11037" s="1" t="s">
        <v>10</v>
      </c>
      <c r="F11037" s="1" t="str">
        <f>"10.12.135.46"</f>
        <v>10.12.135.46</v>
      </c>
      <c r="G11037" s="1" t="str">
        <f>"0023A711"</f>
        <v>0023A711</v>
      </c>
      <c r="H11037" s="1" t="str">
        <f>"반포로 L4-1"</f>
        <v>반포로 L4-1</v>
      </c>
      <c r="I11037" s="1" t="s">
        <v>17</v>
      </c>
      <c r="J11037" s="1" t="str">
        <f>"6/6"</f>
        <v>6/6</v>
      </c>
      <c r="K11037" s="1" t="str">
        <f>"2026-07-29 13:18:01"</f>
        <v>2026-07-29 13:18:01</v>
      </c>
      <c r="L11037" s="1" t="str">
        <f>"2018-05-10 17:46:59"</f>
        <v>2018-05-10 17:46:59</v>
      </c>
      <c r="M11037" s="1" t="s">
        <v>0</v>
      </c>
      <c r="N11037" s="1" t="s">
        <v>38</v>
      </c>
      <c r="O11037" s="1" t="s">
        <v>46</v>
      </c>
    </row>
    <row r="11038" spans="2:15" x14ac:dyDescent="0.3">
      <c r="B11038" s="1" t="s">
        <v>20</v>
      </c>
      <c r="C11038" s="1" t="str">
        <f>"5-1차"</f>
        <v>5-1차</v>
      </c>
      <c r="D11038" s="1" t="str">
        <f>"0023A8215S"</f>
        <v>0023A8215S</v>
      </c>
      <c r="E11038" s="1" t="s">
        <v>10</v>
      </c>
      <c r="F11038" s="1" t="str">
        <f>"fde3:102:1301:700:0:0:0:2"</f>
        <v>fde3:102:1301:700:0:0:0:2</v>
      </c>
      <c r="G11038" s="1" t="str">
        <f>"0023A821"</f>
        <v>0023A821</v>
      </c>
      <c r="H11038" s="1" t="str">
        <f>"서빙고간 11R6"</f>
        <v>서빙고간 11R6</v>
      </c>
      <c r="I11038" s="1" t="s">
        <v>15</v>
      </c>
      <c r="J11038" s="1" t="str">
        <f>"23/23"</f>
        <v>23/23</v>
      </c>
      <c r="K11038" s="1" t="str">
        <f>"2026-07-29 14:20:01"</f>
        <v>2026-07-29 14:20:01</v>
      </c>
      <c r="L11038" s="1" t="str">
        <f>"2022-12-14 14:14:50"</f>
        <v>2022-12-14 14:14:50</v>
      </c>
      <c r="M11038" s="1" t="s">
        <v>45</v>
      </c>
      <c r="N11038" s="1" t="s">
        <v>38</v>
      </c>
      <c r="O11038" s="1" t="s">
        <v>46</v>
      </c>
    </row>
    <row r="11039" spans="2:15" x14ac:dyDescent="0.3">
      <c r="B11039" s="1" t="s">
        <v>20</v>
      </c>
      <c r="C11039" s="1" t="str">
        <f>"5-1차"</f>
        <v>5-1차</v>
      </c>
      <c r="D11039" s="1" t="str">
        <f>"0023A8335S"</f>
        <v>0023A8335S</v>
      </c>
      <c r="E11039" s="1" t="s">
        <v>14</v>
      </c>
      <c r="F11039" s="1" t="str">
        <f>"fde3:102:1301:303:0:0:0:3"</f>
        <v>fde3:102:1301:303:0:0:0:3</v>
      </c>
      <c r="G11039" s="1" t="str">
        <f>"0023A833"</f>
        <v>0023A833</v>
      </c>
      <c r="H11039" s="1" t="str">
        <f>"서빙고간 11R7"</f>
        <v>서빙고간 11R7</v>
      </c>
      <c r="I11039" s="1" t="s">
        <v>15</v>
      </c>
      <c r="J11039" s="1" t="str">
        <f>"0/0"</f>
        <v>0/0</v>
      </c>
      <c r="K11039" s="1" t="str">
        <f>"2025-12-10 14:20:01"</f>
        <v>2025-12-10 14:20:01</v>
      </c>
      <c r="L11039" s="1" t="str">
        <f>"2022-11-22 12:30:07"</f>
        <v>2022-11-22 12:30:07</v>
      </c>
      <c r="M11039" s="1" t="s">
        <v>45</v>
      </c>
      <c r="N11039" s="1" t="s">
        <v>44</v>
      </c>
      <c r="O11039" s="1" t="s">
        <v>44</v>
      </c>
    </row>
    <row r="11040" spans="2:15" x14ac:dyDescent="0.3">
      <c r="B11040" s="1" t="s">
        <v>20</v>
      </c>
      <c r="C11040" s="1" t="str">
        <f>"5-1차"</f>
        <v>5-1차</v>
      </c>
      <c r="D11040" s="1" t="str">
        <f>"0023A9015M"</f>
        <v>0023A9015M</v>
      </c>
      <c r="E11040" s="1" t="s">
        <v>10</v>
      </c>
      <c r="F11040" s="1" t="str">
        <f>"fde3:102:1301:302:0:0:0:2"</f>
        <v>fde3:102:1301:302:0:0:0:2</v>
      </c>
      <c r="G11040" s="1" t="str">
        <f>"0023A901"</f>
        <v>0023A901</v>
      </c>
      <c r="H11040" s="1" t="str">
        <f>"서빙고간 11R3"</f>
        <v>서빙고간 11R3</v>
      </c>
      <c r="I11040" s="1" t="s">
        <v>15</v>
      </c>
      <c r="J11040" s="1" t="str">
        <f>"40/40"</f>
        <v>40/40</v>
      </c>
      <c r="K11040" s="1" t="str">
        <f>"2026-07-29 14:20:01"</f>
        <v>2026-07-29 14:20:01</v>
      </c>
      <c r="L11040" s="1" t="str">
        <f>"2022-11-16 13:20:25"</f>
        <v>2022-11-16 13:20:25</v>
      </c>
      <c r="M11040" s="1" t="s">
        <v>45</v>
      </c>
      <c r="N11040" s="1" t="s">
        <v>38</v>
      </c>
      <c r="O11040" s="1" t="s">
        <v>46</v>
      </c>
    </row>
    <row r="11041" spans="2:15" x14ac:dyDescent="0.3">
      <c r="B11041" s="1" t="s">
        <v>20</v>
      </c>
      <c r="C11041" s="1" t="str">
        <f>"5-1차"</f>
        <v>5-1차</v>
      </c>
      <c r="D11041" s="1" t="str">
        <f>"0023A9115S"</f>
        <v>0023A9115S</v>
      </c>
      <c r="E11041" s="1" t="s">
        <v>10</v>
      </c>
      <c r="F11041" s="1" t="str">
        <f>"fde3:102:1301:303:0:0:0:4"</f>
        <v>fde3:102:1301:303:0:0:0:4</v>
      </c>
      <c r="G11041" s="1" t="str">
        <f>"0023A911"</f>
        <v>0023A911</v>
      </c>
      <c r="H11041" s="1" t="str">
        <f>"서빙고간 11R4"</f>
        <v>서빙고간 11R4</v>
      </c>
      <c r="I11041" s="1" t="s">
        <v>15</v>
      </c>
      <c r="J11041" s="1" t="str">
        <f>"8/8"</f>
        <v>8/8</v>
      </c>
      <c r="K11041" s="1" t="str">
        <f>"2026-07-29 14:20:01"</f>
        <v>2026-07-29 14:20:01</v>
      </c>
      <c r="L11041" s="1" t="str">
        <f>"2022-12-15 10:25:25"</f>
        <v>2022-12-15 10:25:25</v>
      </c>
      <c r="M11041" s="1" t="s">
        <v>45</v>
      </c>
      <c r="N11041" s="1" t="s">
        <v>38</v>
      </c>
      <c r="O11041" s="1" t="s">
        <v>46</v>
      </c>
    </row>
    <row r="11042" spans="2:15" x14ac:dyDescent="0.3">
      <c r="B11042" s="1" t="s">
        <v>20</v>
      </c>
      <c r="C11042" s="1" t="str">
        <f>"5-2차"</f>
        <v>5-2차</v>
      </c>
      <c r="D11042" s="1" t="str">
        <f>"0023A9535S"</f>
        <v>0023A9535S</v>
      </c>
      <c r="E11042" s="1" t="s">
        <v>10</v>
      </c>
      <c r="F11042" s="1" t="str">
        <f>"fde3:102:1301:303:0:0:0:a"</f>
        <v>fde3:102:1301:303:0:0:0:a</v>
      </c>
      <c r="G11042" s="1" t="str">
        <f>"0023A953"</f>
        <v>0023A953</v>
      </c>
      <c r="H11042" s="1" t="str">
        <f>"서빙고간 7R12"</f>
        <v>서빙고간 7R12</v>
      </c>
      <c r="I11042" s="1" t="s">
        <v>15</v>
      </c>
      <c r="J11042" s="1" t="str">
        <f>"30/30"</f>
        <v>30/30</v>
      </c>
      <c r="K11042" s="1" t="str">
        <f>"2026-07-29 14:20:00"</f>
        <v>2026-07-29 14:20:00</v>
      </c>
      <c r="L11042" s="1" t="str">
        <f>"2023-09-07 15:26:14"</f>
        <v>2023-09-07 15:26:14</v>
      </c>
      <c r="M11042" s="1" t="s">
        <v>45</v>
      </c>
      <c r="N11042" s="1" t="s">
        <v>38</v>
      </c>
      <c r="O11042" s="1" t="s">
        <v>46</v>
      </c>
    </row>
    <row r="11043" spans="2:15" x14ac:dyDescent="0.3">
      <c r="B11043" s="1" t="s">
        <v>20</v>
      </c>
      <c r="C11043" s="1" t="str">
        <f>"1차"</f>
        <v>1차</v>
      </c>
      <c r="D11043" s="1" t="str">
        <f>"0023B02100"</f>
        <v>0023B02100</v>
      </c>
      <c r="E11043" s="1" t="s">
        <v>10</v>
      </c>
      <c r="F11043" s="1" t="str">
        <f>"10.125.224.50"</f>
        <v>10.125.224.50</v>
      </c>
      <c r="G11043" s="1" t="str">
        <f>"0023B021"</f>
        <v>0023B021</v>
      </c>
      <c r="H11043" s="1" t="str">
        <f>"서빙고간 7R4"</f>
        <v>서빙고간 7R4</v>
      </c>
      <c r="I11043" s="1" t="s">
        <v>8</v>
      </c>
      <c r="J11043" s="1" t="str">
        <f>"10/14"</f>
        <v>10/14</v>
      </c>
      <c r="K11043" s="1" t="str">
        <f>"2026-07-29 13:18:00"</f>
        <v>2026-07-29 13:18:00</v>
      </c>
      <c r="L11043" s="1" t="str">
        <f>"2014-11-29 15:29:11"</f>
        <v>2014-11-29 15:29:11</v>
      </c>
      <c r="M11043" s="1" t="s">
        <v>45</v>
      </c>
      <c r="N11043" s="1" t="s">
        <v>38</v>
      </c>
      <c r="O11043" s="1" t="s">
        <v>46</v>
      </c>
    </row>
    <row r="11044" spans="2:15" x14ac:dyDescent="0.3">
      <c r="B11044" s="1" t="s">
        <v>20</v>
      </c>
      <c r="C11044" s="1" t="str">
        <f>"5-1차"</f>
        <v>5-1차</v>
      </c>
      <c r="D11044" s="1" t="str">
        <f>"0023B0325S"</f>
        <v>0023B0325S</v>
      </c>
      <c r="E11044" s="1" t="s">
        <v>10</v>
      </c>
      <c r="F11044" s="1" t="str">
        <f>"fde2:104:0:52:0:0:0:2"</f>
        <v>fde2:104:0:52:0:0:0:2</v>
      </c>
      <c r="G11044" s="1" t="str">
        <f>"0023B032"</f>
        <v>0023B032</v>
      </c>
      <c r="H11044" s="1" t="str">
        <f>"서빙고간 7R6"</f>
        <v>서빙고간 7R6</v>
      </c>
      <c r="I11044" s="1" t="s">
        <v>15</v>
      </c>
      <c r="J11044" s="1" t="str">
        <f>"15/15"</f>
        <v>15/15</v>
      </c>
      <c r="K11044" s="1" t="str">
        <f>"2026-07-29 14:20:02"</f>
        <v>2026-07-29 14:20:02</v>
      </c>
      <c r="L11044" s="1" t="str">
        <f>"2022-09-19 15:16:19"</f>
        <v>2022-09-19 15:16:19</v>
      </c>
      <c r="M11044" s="1" t="s">
        <v>42</v>
      </c>
      <c r="N11044" s="1" t="s">
        <v>38</v>
      </c>
      <c r="O11044" s="1" t="s">
        <v>46</v>
      </c>
    </row>
    <row r="11045" spans="2:15" x14ac:dyDescent="0.3">
      <c r="B11045" s="1" t="s">
        <v>20</v>
      </c>
      <c r="C11045" s="1" t="str">
        <f>"5-1차"</f>
        <v>5-1차</v>
      </c>
      <c r="D11045" s="1" t="str">
        <f>"0023B0335S"</f>
        <v>0023B0335S</v>
      </c>
      <c r="E11045" s="1" t="s">
        <v>10</v>
      </c>
      <c r="F11045" s="1" t="str">
        <f>"fde3:102:1301:1700:0:0:0:2"</f>
        <v>fde3:102:1301:1700:0:0:0:2</v>
      </c>
      <c r="G11045" s="1" t="str">
        <f>"0023B033"</f>
        <v>0023B033</v>
      </c>
      <c r="H11045" s="1" t="str">
        <f>"서빙고간 7R7"</f>
        <v>서빙고간 7R7</v>
      </c>
      <c r="I11045" s="1" t="s">
        <v>15</v>
      </c>
      <c r="J11045" s="1" t="str">
        <f>"21/21"</f>
        <v>21/21</v>
      </c>
      <c r="K11045" s="1" t="str">
        <f>"2026-07-29 14:20:01"</f>
        <v>2026-07-29 14:20:01</v>
      </c>
      <c r="L11045" s="1" t="str">
        <f>"2022-12-15 10:54:14"</f>
        <v>2022-12-15 10:54:14</v>
      </c>
      <c r="M11045" s="1" t="s">
        <v>45</v>
      </c>
      <c r="N11045" s="1" t="s">
        <v>38</v>
      </c>
      <c r="O11045" s="1" t="s">
        <v>46</v>
      </c>
    </row>
    <row r="11046" spans="2:15" x14ac:dyDescent="0.3">
      <c r="B11046" s="1" t="s">
        <v>20</v>
      </c>
      <c r="C11046" s="1" t="str">
        <f>"6차"</f>
        <v>6차</v>
      </c>
      <c r="D11046" s="1" t="str">
        <f>"0023B0416M"</f>
        <v>0023B0416M</v>
      </c>
      <c r="E11046" s="1" t="s">
        <v>10</v>
      </c>
      <c r="F11046" s="1" t="str">
        <f>"fde1:103:4:c800:0:0:0:2"</f>
        <v>fde1:103:4:c800:0:0:0:2</v>
      </c>
      <c r="G11046" s="1" t="str">
        <f>"0023B041"</f>
        <v>0023B041</v>
      </c>
      <c r="H11046" s="1" t="str">
        <f>"보광간 2H1R8"</f>
        <v>보광간 2H1R8</v>
      </c>
      <c r="I11046" s="1" t="s">
        <v>15</v>
      </c>
      <c r="J11046" s="1" t="str">
        <f>"28/29"</f>
        <v>28/29</v>
      </c>
      <c r="K11046" s="1" t="str">
        <f>"2026-07-29 14:20:00"</f>
        <v>2026-07-29 14:20:00</v>
      </c>
      <c r="L11046" s="1" t="str">
        <f>"2024-11-26 13:27:20"</f>
        <v>2024-11-26 13:27:20</v>
      </c>
      <c r="M11046" s="1" t="s">
        <v>4</v>
      </c>
      <c r="N11046" s="1" t="s">
        <v>38</v>
      </c>
      <c r="O11046" s="1" t="s">
        <v>46</v>
      </c>
    </row>
    <row r="11047" spans="2:15" x14ac:dyDescent="0.3">
      <c r="B11047" s="1" t="s">
        <v>20</v>
      </c>
      <c r="C11047" s="1" t="str">
        <f>"6차"</f>
        <v>6차</v>
      </c>
      <c r="D11047" s="1" t="str">
        <f>"0023B1116S"</f>
        <v>0023B1116S</v>
      </c>
      <c r="E11047" s="1" t="s">
        <v>10</v>
      </c>
      <c r="F11047" s="1" t="str">
        <f>"fde1:103:4:91e5:0:0:0:2"</f>
        <v>fde1:103:4:91e5:0:0:0:2</v>
      </c>
      <c r="G11047" s="1" t="str">
        <f>"0023B111"</f>
        <v>0023B111</v>
      </c>
      <c r="H11047" s="1" t="str">
        <f>"서빙고간 7R1"</f>
        <v>서빙고간 7R1</v>
      </c>
      <c r="I11047" s="1" t="s">
        <v>15</v>
      </c>
      <c r="J11047" s="1" t="str">
        <f>"36/36"</f>
        <v>36/36</v>
      </c>
      <c r="K11047" s="1" t="str">
        <f>"2026-07-29 14:20:00"</f>
        <v>2026-07-29 14:20:00</v>
      </c>
      <c r="L11047" s="1" t="str">
        <f>"2025-02-18 15:54:03"</f>
        <v>2025-02-18 15:54:03</v>
      </c>
      <c r="M11047" s="1" t="s">
        <v>4</v>
      </c>
      <c r="N11047" s="1" t="s">
        <v>38</v>
      </c>
      <c r="O11047" s="1" t="s">
        <v>46</v>
      </c>
    </row>
    <row r="11048" spans="2:15" x14ac:dyDescent="0.3">
      <c r="B11048" s="1" t="s">
        <v>20</v>
      </c>
      <c r="C11048" s="1" t="str">
        <f>"1차"</f>
        <v>1차</v>
      </c>
      <c r="D11048" s="1" t="str">
        <f>"0023B12101"</f>
        <v>0023B12101</v>
      </c>
      <c r="E11048" s="1" t="s">
        <v>10</v>
      </c>
      <c r="F11048" s="1" t="str">
        <f>"10.125.224.51"</f>
        <v>10.125.224.51</v>
      </c>
      <c r="G11048" s="1" t="str">
        <f>"0023B121"</f>
        <v>0023B121</v>
      </c>
      <c r="H11048" s="1" t="str">
        <f>"서빙고간 7R4R1"</f>
        <v>서빙고간 7R4R1</v>
      </c>
      <c r="I11048" s="1" t="s">
        <v>8</v>
      </c>
      <c r="J11048" s="1" t="str">
        <f>"36/36"</f>
        <v>36/36</v>
      </c>
      <c r="K11048" s="1" t="str">
        <f>"2026-07-29 13:18:01"</f>
        <v>2026-07-29 13:18:01</v>
      </c>
      <c r="L11048" s="1" t="str">
        <f>"2015-04-21 15:27:05"</f>
        <v>2015-04-21 15:27:05</v>
      </c>
      <c r="M11048" s="1" t="s">
        <v>45</v>
      </c>
      <c r="N11048" s="1" t="s">
        <v>38</v>
      </c>
      <c r="O11048" s="1" t="s">
        <v>46</v>
      </c>
    </row>
    <row r="11049" spans="2:15" x14ac:dyDescent="0.3">
      <c r="B11049" s="1" t="s">
        <v>20</v>
      </c>
      <c r="C11049" s="1" t="str">
        <f>"6차"</f>
        <v>6차</v>
      </c>
      <c r="D11049" s="1" t="str">
        <f>"0023B1516S"</f>
        <v>0023B1516S</v>
      </c>
      <c r="E11049" s="1" t="s">
        <v>10</v>
      </c>
      <c r="F11049" s="1" t="str">
        <f>"fde1:103:4:c676:0:0:0:2"</f>
        <v>fde1:103:4:c676:0:0:0:2</v>
      </c>
      <c r="G11049" s="1" t="str">
        <f>"0023B151"</f>
        <v>0023B151</v>
      </c>
      <c r="H11049" s="1" t="str">
        <f>"보광간 2H1R5"</f>
        <v>보광간 2H1R5</v>
      </c>
      <c r="I11049" s="1" t="s">
        <v>15</v>
      </c>
      <c r="J11049" s="1" t="str">
        <f>"38/38"</f>
        <v>38/38</v>
      </c>
      <c r="K11049" s="1" t="str">
        <f>"2026-07-29 14:20:01"</f>
        <v>2026-07-29 14:20:01</v>
      </c>
      <c r="L11049" s="1" t="str">
        <f>"2024-11-08 14:08:11"</f>
        <v>2024-11-08 14:08:11</v>
      </c>
      <c r="M11049" s="1" t="s">
        <v>4</v>
      </c>
      <c r="N11049" s="1" t="s">
        <v>38</v>
      </c>
      <c r="O11049" s="1" t="s">
        <v>46</v>
      </c>
    </row>
    <row r="11050" spans="2:15" x14ac:dyDescent="0.3">
      <c r="B11050" s="1" t="s">
        <v>20</v>
      </c>
      <c r="C11050" s="1" t="str">
        <f>"1차"</f>
        <v>1차</v>
      </c>
      <c r="D11050" s="1" t="str">
        <f>"0023B21400"</f>
        <v>0023B21400</v>
      </c>
      <c r="E11050" s="1" t="s">
        <v>10</v>
      </c>
      <c r="F11050" s="1" t="str">
        <f>"10.125.224.82"</f>
        <v>10.125.224.82</v>
      </c>
      <c r="G11050" s="1" t="str">
        <f>"0023B214"</f>
        <v>0023B214</v>
      </c>
      <c r="H11050" s="1" t="str">
        <f>"서빙고간 5"</f>
        <v>서빙고간 5</v>
      </c>
      <c r="I11050" s="1" t="s">
        <v>8</v>
      </c>
      <c r="J11050" s="1" t="str">
        <f>"5/5"</f>
        <v>5/5</v>
      </c>
      <c r="K11050" s="1" t="str">
        <f>"2026-07-29 13:18:00"</f>
        <v>2026-07-29 13:18:00</v>
      </c>
      <c r="L11050" s="1" t="str">
        <f>"2014-11-05 09:54:41"</f>
        <v>2014-11-05 09:54:41</v>
      </c>
      <c r="M11050" s="1" t="s">
        <v>45</v>
      </c>
      <c r="N11050" s="1" t="s">
        <v>38</v>
      </c>
      <c r="O11050" s="1" t="s">
        <v>46</v>
      </c>
    </row>
    <row r="11051" spans="2:15" x14ac:dyDescent="0.3">
      <c r="B11051" s="1" t="s">
        <v>20</v>
      </c>
      <c r="C11051" s="1" t="str">
        <f>"5-2차"</f>
        <v>5-2차</v>
      </c>
      <c r="D11051" s="1" t="str">
        <f>"0023B2215S"</f>
        <v>0023B2215S</v>
      </c>
      <c r="E11051" s="1" t="s">
        <v>10</v>
      </c>
      <c r="F11051" s="1" t="str">
        <f>"fde1:103:4:568d:0:0:0:2"</f>
        <v>fde1:103:4:568d:0:0:0:2</v>
      </c>
      <c r="G11051" s="1" t="str">
        <f>"0023B221"</f>
        <v>0023B221</v>
      </c>
      <c r="H11051" s="1" t="str">
        <f>"서빙고간 2R2"</f>
        <v>서빙고간 2R2</v>
      </c>
      <c r="I11051" s="1" t="s">
        <v>15</v>
      </c>
      <c r="J11051" s="1" t="str">
        <f>"52/52"</f>
        <v>52/52</v>
      </c>
      <c r="K11051" s="1" t="str">
        <f>"2026-07-29 14:20:01"</f>
        <v>2026-07-29 14:20:01</v>
      </c>
      <c r="L11051" s="1" t="str">
        <f>"2023-08-29 10:36:14"</f>
        <v>2023-08-29 10:36:14</v>
      </c>
      <c r="M11051" s="1" t="s">
        <v>4</v>
      </c>
      <c r="N11051" s="1" t="s">
        <v>38</v>
      </c>
      <c r="O11051" s="1" t="s">
        <v>46</v>
      </c>
    </row>
    <row r="11052" spans="2:15" x14ac:dyDescent="0.3">
      <c r="B11052" s="1" t="s">
        <v>20</v>
      </c>
      <c r="C11052" s="1" t="str">
        <f>"5-1차"</f>
        <v>5-1차</v>
      </c>
      <c r="D11052" s="1" t="str">
        <f>"0023B2315S"</f>
        <v>0023B2315S</v>
      </c>
      <c r="E11052" s="1" t="s">
        <v>10</v>
      </c>
      <c r="F11052" s="1" t="str">
        <f>"fde3:102:1301:302:0:0:0:4"</f>
        <v>fde3:102:1301:302:0:0:0:4</v>
      </c>
      <c r="G11052" s="1" t="str">
        <f>"0023B231"</f>
        <v>0023B231</v>
      </c>
      <c r="H11052" s="1" t="str">
        <f>"서빙고간 2R3L2"</f>
        <v>서빙고간 2R3L2</v>
      </c>
      <c r="I11052" s="1" t="s">
        <v>15</v>
      </c>
      <c r="J11052" s="1" t="str">
        <f>"22/22"</f>
        <v>22/22</v>
      </c>
      <c r="K11052" s="1" t="str">
        <f>"2026-07-29 14:20:01"</f>
        <v>2026-07-29 14:20:01</v>
      </c>
      <c r="L11052" s="1" t="str">
        <f>"2022-11-16 11:07:59"</f>
        <v>2022-11-16 11:07:59</v>
      </c>
      <c r="M11052" s="1" t="s">
        <v>45</v>
      </c>
      <c r="N11052" s="1" t="s">
        <v>38</v>
      </c>
      <c r="O11052" s="1" t="s">
        <v>46</v>
      </c>
    </row>
    <row r="11053" spans="2:15" x14ac:dyDescent="0.3">
      <c r="B11053" s="1" t="s">
        <v>20</v>
      </c>
      <c r="C11053" s="1" t="str">
        <f>"5-1차"</f>
        <v>5-1차</v>
      </c>
      <c r="D11053" s="1" t="str">
        <f>"0023B2635S"</f>
        <v>0023B2635S</v>
      </c>
      <c r="E11053" s="1" t="s">
        <v>10</v>
      </c>
      <c r="F11053" s="1" t="str">
        <f>"fde3:102:1301:1701:0:0:0:2"</f>
        <v>fde3:102:1301:1701:0:0:0:2</v>
      </c>
      <c r="G11053" s="1" t="str">
        <f>"0023B263"</f>
        <v>0023B263</v>
      </c>
      <c r="H11053" s="1" t="str">
        <f>"보광간 3"</f>
        <v>보광간 3</v>
      </c>
      <c r="I11053" s="1" t="s">
        <v>15</v>
      </c>
      <c r="J11053" s="1" t="str">
        <f>"26/26"</f>
        <v>26/26</v>
      </c>
      <c r="K11053" s="1" t="str">
        <f>"2026-07-29 14:20:01"</f>
        <v>2026-07-29 14:20:01</v>
      </c>
      <c r="L11053" s="1" t="str">
        <f>"2022-12-15 10:55:07"</f>
        <v>2022-12-15 10:55:07</v>
      </c>
      <c r="M11053" s="1" t="s">
        <v>45</v>
      </c>
      <c r="N11053" s="1" t="s">
        <v>38</v>
      </c>
      <c r="O11053" s="1" t="s">
        <v>46</v>
      </c>
    </row>
    <row r="11054" spans="2:15" x14ac:dyDescent="0.3">
      <c r="B11054" s="1" t="s">
        <v>20</v>
      </c>
      <c r="C11054" s="1" t="str">
        <f>"5-2차"</f>
        <v>5-2차</v>
      </c>
      <c r="D11054" s="1" t="str">
        <f>"0023B2835M"</f>
        <v>0023B2835M</v>
      </c>
      <c r="E11054" s="1" t="s">
        <v>10</v>
      </c>
      <c r="F11054" s="1" t="str">
        <f>"fde1:103:4:55af:0:0:0:2"</f>
        <v>fde1:103:4:55af:0:0:0:2</v>
      </c>
      <c r="G11054" s="1" t="str">
        <f>"0023B283"</f>
        <v>0023B283</v>
      </c>
      <c r="H11054" s="1" t="str">
        <f>"이태원간 1R7"</f>
        <v>이태원간 1R7</v>
      </c>
      <c r="I11054" s="1" t="s">
        <v>15</v>
      </c>
      <c r="J11054" s="1" t="str">
        <f>"32/32"</f>
        <v>32/32</v>
      </c>
      <c r="K11054" s="1" t="str">
        <f>"2026-07-29 14:20:01"</f>
        <v>2026-07-29 14:20:01</v>
      </c>
      <c r="L11054" s="1" t="str">
        <f>"2023-08-10 14:43:05"</f>
        <v>2023-08-10 14:43:05</v>
      </c>
      <c r="M11054" s="1" t="s">
        <v>4</v>
      </c>
      <c r="N11054" s="1" t="s">
        <v>38</v>
      </c>
      <c r="O11054" s="1" t="s">
        <v>46</v>
      </c>
    </row>
    <row r="11055" spans="2:15" x14ac:dyDescent="0.3">
      <c r="B11055" s="1" t="s">
        <v>20</v>
      </c>
      <c r="C11055" s="1" t="str">
        <f>"1차"</f>
        <v>1차</v>
      </c>
      <c r="D11055" s="1" t="str">
        <f>"0023B32100"</f>
        <v>0023B32100</v>
      </c>
      <c r="E11055" s="1" t="s">
        <v>10</v>
      </c>
      <c r="F11055" s="1" t="str">
        <f>"10.125.224.74"</f>
        <v>10.125.224.74</v>
      </c>
      <c r="G11055" s="1" t="str">
        <f>"0023B321"</f>
        <v>0023B321</v>
      </c>
      <c r="H11055" s="1" t="str">
        <f>"서빙고간 2R1"</f>
        <v>서빙고간 2R1</v>
      </c>
      <c r="I11055" s="1" t="s">
        <v>8</v>
      </c>
      <c r="J11055" s="1" t="str">
        <f>"42/47"</f>
        <v>42/47</v>
      </c>
      <c r="K11055" s="1" t="str">
        <f>"2026-07-29 13:18:00"</f>
        <v>2026-07-29 13:18:00</v>
      </c>
      <c r="L11055" s="1" t="str">
        <f>"2014-11-05 09:40:08"</f>
        <v>2014-11-05 09:40:08</v>
      </c>
      <c r="M11055" s="1" t="s">
        <v>45</v>
      </c>
      <c r="N11055" s="1" t="s">
        <v>38</v>
      </c>
      <c r="O11055" s="1" t="s">
        <v>46</v>
      </c>
    </row>
    <row r="11056" spans="2:15" x14ac:dyDescent="0.3">
      <c r="B11056" s="1" t="s">
        <v>20</v>
      </c>
      <c r="C11056" s="1" t="str">
        <f t="shared" ref="C11056:C11062" si="554">"5-1차"</f>
        <v>5-1차</v>
      </c>
      <c r="D11056" s="1" t="str">
        <f>"0023B3425S"</f>
        <v>0023B3425S</v>
      </c>
      <c r="E11056" s="1" t="s">
        <v>10</v>
      </c>
      <c r="F11056" s="1" t="str">
        <f>"fde3:102:1301:303:0:0:0:5"</f>
        <v>fde3:102:1301:303:0:0:0:5</v>
      </c>
      <c r="G11056" s="1" t="str">
        <f>"0023B342"</f>
        <v>0023B342</v>
      </c>
      <c r="H11056" s="1" t="str">
        <f>"서빙고간 2R5"</f>
        <v>서빙고간 2R5</v>
      </c>
      <c r="I11056" s="1" t="s">
        <v>15</v>
      </c>
      <c r="J11056" s="1" t="str">
        <f>"27/27"</f>
        <v>27/27</v>
      </c>
      <c r="K11056" s="1" t="str">
        <f>"2026-07-29 14:20:01"</f>
        <v>2026-07-29 14:20:01</v>
      </c>
      <c r="L11056" s="1" t="str">
        <f>"2022-11-16 10:34:47"</f>
        <v>2022-11-16 10:34:47</v>
      </c>
      <c r="M11056" s="1" t="s">
        <v>45</v>
      </c>
      <c r="N11056" s="1" t="s">
        <v>38</v>
      </c>
      <c r="O11056" s="1" t="s">
        <v>46</v>
      </c>
    </row>
    <row r="11057" spans="2:15" x14ac:dyDescent="0.3">
      <c r="B11057" s="1" t="s">
        <v>20</v>
      </c>
      <c r="C11057" s="1" t="str">
        <f t="shared" si="554"/>
        <v>5-1차</v>
      </c>
      <c r="D11057" s="1" t="str">
        <f>"0023B3915S"</f>
        <v>0023B3915S</v>
      </c>
      <c r="E11057" s="1" t="s">
        <v>10</v>
      </c>
      <c r="F11057" s="1" t="str">
        <f>"fde2:104:0:ca:0:0:0:2"</f>
        <v>fde2:104:0:ca:0:0:0:2</v>
      </c>
      <c r="G11057" s="1" t="str">
        <f>"0023B391"</f>
        <v>0023B391</v>
      </c>
      <c r="H11057" s="1" t="str">
        <f>"동보간 10R10"</f>
        <v>동보간 10R10</v>
      </c>
      <c r="I11057" s="1" t="s">
        <v>15</v>
      </c>
      <c r="J11057" s="1" t="str">
        <f>"39/39"</f>
        <v>39/39</v>
      </c>
      <c r="K11057" s="1" t="str">
        <f>"2026-07-29 14:20:02"</f>
        <v>2026-07-29 14:20:02</v>
      </c>
      <c r="L11057" s="1" t="str">
        <f>"2022-09-21 15:24:31"</f>
        <v>2022-09-21 15:24:31</v>
      </c>
      <c r="M11057" s="1" t="s">
        <v>42</v>
      </c>
      <c r="N11057" s="1" t="s">
        <v>38</v>
      </c>
      <c r="O11057" s="1" t="s">
        <v>46</v>
      </c>
    </row>
    <row r="11058" spans="2:15" x14ac:dyDescent="0.3">
      <c r="B11058" s="1" t="s">
        <v>20</v>
      </c>
      <c r="C11058" s="1" t="str">
        <f t="shared" si="554"/>
        <v>5-1차</v>
      </c>
      <c r="D11058" s="1" t="str">
        <f>"0023B4425S"</f>
        <v>0023B4425S</v>
      </c>
      <c r="E11058" s="1" t="s">
        <v>10</v>
      </c>
      <c r="F11058" s="1" t="str">
        <f>"fde3:102:1301:303:0:0:0:6"</f>
        <v>fde3:102:1301:303:0:0:0:6</v>
      </c>
      <c r="G11058" s="1" t="str">
        <f>"0023B442"</f>
        <v>0023B442</v>
      </c>
      <c r="H11058" s="1" t="str">
        <f>"보광간 9"</f>
        <v>보광간 9</v>
      </c>
      <c r="I11058" s="1" t="s">
        <v>15</v>
      </c>
      <c r="J11058" s="1" t="str">
        <f>"22/22"</f>
        <v>22/22</v>
      </c>
      <c r="K11058" s="1" t="str">
        <f>"2026-07-29 14:20:01"</f>
        <v>2026-07-29 14:20:01</v>
      </c>
      <c r="L11058" s="1" t="str">
        <f>"2022-11-16 14:38:53"</f>
        <v>2022-11-16 14:38:53</v>
      </c>
      <c r="M11058" s="1" t="s">
        <v>45</v>
      </c>
      <c r="N11058" s="1" t="s">
        <v>38</v>
      </c>
      <c r="O11058" s="1" t="s">
        <v>46</v>
      </c>
    </row>
    <row r="11059" spans="2:15" x14ac:dyDescent="0.3">
      <c r="B11059" s="1" t="s">
        <v>20</v>
      </c>
      <c r="C11059" s="1" t="str">
        <f t="shared" si="554"/>
        <v>5-1차</v>
      </c>
      <c r="D11059" s="1" t="str">
        <f>"0023B4745S"</f>
        <v>0023B4745S</v>
      </c>
      <c r="E11059" s="1" t="s">
        <v>10</v>
      </c>
      <c r="F11059" s="1" t="str">
        <f>"fde3:102:1301:303:0:0:0:7"</f>
        <v>fde3:102:1301:303:0:0:0:7</v>
      </c>
      <c r="G11059" s="1" t="str">
        <f>"0023B474"</f>
        <v>0023B474</v>
      </c>
      <c r="H11059" s="1" t="str">
        <f>"보광간 5H1L1"</f>
        <v>보광간 5H1L1</v>
      </c>
      <c r="I11059" s="1" t="s">
        <v>15</v>
      </c>
      <c r="J11059" s="1" t="str">
        <f>"25/25"</f>
        <v>25/25</v>
      </c>
      <c r="K11059" s="1" t="str">
        <f>"2026-07-29 14:20:01"</f>
        <v>2026-07-29 14:20:01</v>
      </c>
      <c r="L11059" s="1" t="str">
        <f>"2022-12-15 10:28:17"</f>
        <v>2022-12-15 10:28:17</v>
      </c>
      <c r="M11059" s="1" t="s">
        <v>45</v>
      </c>
      <c r="N11059" s="1" t="s">
        <v>38</v>
      </c>
      <c r="O11059" s="1" t="s">
        <v>46</v>
      </c>
    </row>
    <row r="11060" spans="2:15" x14ac:dyDescent="0.3">
      <c r="B11060" s="1" t="s">
        <v>20</v>
      </c>
      <c r="C11060" s="1" t="str">
        <f t="shared" si="554"/>
        <v>5-1차</v>
      </c>
      <c r="D11060" s="1" t="str">
        <f>"0023B5325S"</f>
        <v>0023B5325S</v>
      </c>
      <c r="E11060" s="1" t="s">
        <v>10</v>
      </c>
      <c r="F11060" s="1" t="str">
        <f>"fde3:102:1301:303:0:0:0:8"</f>
        <v>fde3:102:1301:303:0:0:0:8</v>
      </c>
      <c r="G11060" s="1" t="str">
        <f>"0023B532"</f>
        <v>0023B532</v>
      </c>
      <c r="H11060" s="1" t="str">
        <f>"보광간 12"</f>
        <v>보광간 12</v>
      </c>
      <c r="I11060" s="1" t="s">
        <v>15</v>
      </c>
      <c r="J11060" s="1" t="str">
        <f>"26/26"</f>
        <v>26/26</v>
      </c>
      <c r="K11060" s="1" t="str">
        <f>"2026-07-29 14:20:01"</f>
        <v>2026-07-29 14:20:01</v>
      </c>
      <c r="L11060" s="1" t="str">
        <f>"2022-12-15 10:30:27"</f>
        <v>2022-12-15 10:30:27</v>
      </c>
      <c r="M11060" s="1" t="s">
        <v>45</v>
      </c>
      <c r="N11060" s="1" t="s">
        <v>38</v>
      </c>
      <c r="O11060" s="1" t="s">
        <v>46</v>
      </c>
    </row>
    <row r="11061" spans="2:15" x14ac:dyDescent="0.3">
      <c r="B11061" s="1" t="s">
        <v>20</v>
      </c>
      <c r="C11061" s="1" t="str">
        <f t="shared" si="554"/>
        <v>5-1차</v>
      </c>
      <c r="D11061" s="1" t="str">
        <f>"0023B5925S"</f>
        <v>0023B5925S</v>
      </c>
      <c r="E11061" s="1" t="s">
        <v>10</v>
      </c>
      <c r="F11061" s="1" t="str">
        <f>"fde3:102:1301:301:0:0:0:2"</f>
        <v>fde3:102:1301:301:0:0:0:2</v>
      </c>
      <c r="G11061" s="1" t="str">
        <f>"0023B592"</f>
        <v>0023B592</v>
      </c>
      <c r="H11061" s="1" t="str">
        <f>"동보간 10R8"</f>
        <v>동보간 10R8</v>
      </c>
      <c r="I11061" s="1" t="s">
        <v>15</v>
      </c>
      <c r="J11061" s="1" t="str">
        <f>"31/32"</f>
        <v>31/32</v>
      </c>
      <c r="K11061" s="1" t="str">
        <f>"2026-07-29 14:20:01"</f>
        <v>2026-07-29 14:20:01</v>
      </c>
      <c r="L11061" s="1" t="str">
        <f>"2022-11-16 12:00:37"</f>
        <v>2022-11-16 12:00:37</v>
      </c>
      <c r="M11061" s="1" t="s">
        <v>45</v>
      </c>
      <c r="N11061" s="1" t="s">
        <v>38</v>
      </c>
      <c r="O11061" s="1" t="s">
        <v>46</v>
      </c>
    </row>
    <row r="11062" spans="2:15" x14ac:dyDescent="0.3">
      <c r="B11062" s="1" t="s">
        <v>20</v>
      </c>
      <c r="C11062" s="1" t="str">
        <f t="shared" si="554"/>
        <v>5-1차</v>
      </c>
      <c r="D11062" s="1" t="str">
        <f>"0023B7415S"</f>
        <v>0023B7415S</v>
      </c>
      <c r="E11062" s="1" t="s">
        <v>10</v>
      </c>
      <c r="F11062" s="1" t="str">
        <f>"fde3:102:1301:303:0:0:0:9"</f>
        <v>fde3:102:1301:303:0:0:0:9</v>
      </c>
      <c r="G11062" s="1" t="str">
        <f>"0023B741"</f>
        <v>0023B741</v>
      </c>
      <c r="H11062" s="1" t="str">
        <f>"보광간 17L2"</f>
        <v>보광간 17L2</v>
      </c>
      <c r="I11062" s="1" t="s">
        <v>15</v>
      </c>
      <c r="J11062" s="1" t="str">
        <f>"15/17"</f>
        <v>15/17</v>
      </c>
      <c r="K11062" s="1" t="str">
        <f>"2026-07-29 14:20:01"</f>
        <v>2026-07-29 14:20:01</v>
      </c>
      <c r="L11062" s="1" t="str">
        <f>"2022-12-15 10:35:27"</f>
        <v>2022-12-15 10:35:27</v>
      </c>
      <c r="M11062" s="1" t="s">
        <v>45</v>
      </c>
      <c r="N11062" s="1" t="s">
        <v>38</v>
      </c>
      <c r="O11062" s="1" t="s">
        <v>46</v>
      </c>
    </row>
    <row r="11063" spans="2:15" x14ac:dyDescent="0.3">
      <c r="B11063" s="1" t="s">
        <v>20</v>
      </c>
      <c r="C11063" s="1" t="str">
        <f>"4차"</f>
        <v>4차</v>
      </c>
      <c r="D11063" s="1" t="str">
        <f>"0023C09241"</f>
        <v>0023C09241</v>
      </c>
      <c r="E11063" s="1" t="s">
        <v>10</v>
      </c>
      <c r="F11063" s="1" t="str">
        <f>"10.12.129.5"</f>
        <v>10.12.129.5</v>
      </c>
      <c r="G11063" s="1" t="str">
        <f>"0023C092"</f>
        <v>0023C092</v>
      </c>
      <c r="H11063" s="1" t="str">
        <f>"서빙고간 19"</f>
        <v>서빙고간 19</v>
      </c>
      <c r="I11063" s="1" t="s">
        <v>17</v>
      </c>
      <c r="J11063" s="1" t="str">
        <f>"6/7"</f>
        <v>6/7</v>
      </c>
      <c r="K11063" s="1" t="str">
        <f>"2026-07-29 13:18:01"</f>
        <v>2026-07-29 13:18:01</v>
      </c>
      <c r="L11063" s="1" t="str">
        <f>"2021-08-11 15:10:19"</f>
        <v>2021-08-11 15:10:19</v>
      </c>
      <c r="M11063" s="1" t="s">
        <v>0</v>
      </c>
      <c r="N11063" s="1" t="s">
        <v>38</v>
      </c>
      <c r="O11063" s="1" t="s">
        <v>46</v>
      </c>
    </row>
    <row r="11064" spans="2:15" x14ac:dyDescent="0.3">
      <c r="B11064" s="1" t="s">
        <v>20</v>
      </c>
      <c r="C11064" s="1" t="str">
        <f>"1차"</f>
        <v>1차</v>
      </c>
      <c r="D11064" s="1" t="str">
        <f>"0023C26301"</f>
        <v>0023C26301</v>
      </c>
      <c r="E11064" s="1" t="s">
        <v>10</v>
      </c>
      <c r="F11064" s="1" t="str">
        <f>"10.12.131.101"</f>
        <v>10.12.131.101</v>
      </c>
      <c r="G11064" s="1" t="str">
        <f>"0023C263"</f>
        <v>0023C263</v>
      </c>
      <c r="H11064" s="1" t="str">
        <f>"서빙고간 13L9"</f>
        <v>서빙고간 13L9</v>
      </c>
      <c r="I11064" s="1" t="s">
        <v>8</v>
      </c>
      <c r="J11064" s="1" t="str">
        <f>"16/20"</f>
        <v>16/20</v>
      </c>
      <c r="K11064" s="1" t="str">
        <f>"2026-07-29 13:18:02"</f>
        <v>2026-07-29 13:18:02</v>
      </c>
      <c r="L11064" s="1" t="str">
        <f>"2021-04-28 17:08:16"</f>
        <v>2021-04-28 17:08:16</v>
      </c>
      <c r="M11064" s="1" t="s">
        <v>0</v>
      </c>
      <c r="N11064" s="1" t="s">
        <v>38</v>
      </c>
      <c r="O11064" s="1" t="s">
        <v>46</v>
      </c>
    </row>
    <row r="11065" spans="2:15" x14ac:dyDescent="0.3">
      <c r="B11065" s="1" t="s">
        <v>20</v>
      </c>
      <c r="C11065" s="1" t="str">
        <f>"4차"</f>
        <v>4차</v>
      </c>
      <c r="D11065" s="1" t="str">
        <f>"0023C39539"</f>
        <v>0023C39539</v>
      </c>
      <c r="E11065" s="1" t="s">
        <v>10</v>
      </c>
      <c r="F11065" s="1" t="str">
        <f>"10.12.136.9"</f>
        <v>10.12.136.9</v>
      </c>
      <c r="G11065" s="1" t="str">
        <f>"0023C395"</f>
        <v>0023C395</v>
      </c>
      <c r="H11065" s="1" t="str">
        <f>"반포로 L1-1"</f>
        <v>반포로 L1-1</v>
      </c>
      <c r="I11065" s="1" t="s">
        <v>17</v>
      </c>
      <c r="J11065" s="1" t="str">
        <f>"1/1"</f>
        <v>1/1</v>
      </c>
      <c r="K11065" s="1" t="str">
        <f>"2026-07-29 13:18:02"</f>
        <v>2026-07-29 13:18:02</v>
      </c>
      <c r="L11065" s="1" t="str">
        <f>"2018-05-10 17:18:58"</f>
        <v>2018-05-10 17:18:58</v>
      </c>
      <c r="M11065" s="1" t="s">
        <v>0</v>
      </c>
      <c r="N11065" s="1" t="s">
        <v>38</v>
      </c>
      <c r="O11065" s="1" t="s">
        <v>46</v>
      </c>
    </row>
    <row r="11066" spans="2:15" x14ac:dyDescent="0.3">
      <c r="B11066" s="1" t="s">
        <v>20</v>
      </c>
      <c r="C11066" s="1" t="str">
        <f>"4차"</f>
        <v>4차</v>
      </c>
      <c r="D11066" s="1" t="str">
        <f>"0023C49344"</f>
        <v>0023C49344</v>
      </c>
      <c r="E11066" s="1" t="s">
        <v>10</v>
      </c>
      <c r="F11066" s="1" t="str">
        <f>"10.10.65.130"</f>
        <v>10.10.65.130</v>
      </c>
      <c r="G11066" s="1" t="str">
        <f>"0023C493"</f>
        <v>0023C493</v>
      </c>
      <c r="H11066" s="1" t="str">
        <f>"서빙고간 15"</f>
        <v>서빙고간 15</v>
      </c>
      <c r="I11066" s="1" t="s">
        <v>8</v>
      </c>
      <c r="J11066" s="1" t="str">
        <f>"31/31"</f>
        <v>31/31</v>
      </c>
      <c r="K11066" s="1" t="str">
        <f>"2026-07-29 13:18:00"</f>
        <v>2026-07-29 13:18:00</v>
      </c>
      <c r="L11066" s="1" t="str">
        <f>"2019-12-17 15:48:01"</f>
        <v>2019-12-17 15:48:01</v>
      </c>
      <c r="M11066" s="1" t="s">
        <v>1</v>
      </c>
      <c r="N11066" s="1" t="s">
        <v>38</v>
      </c>
      <c r="O11066" s="1" t="s">
        <v>46</v>
      </c>
    </row>
    <row r="11067" spans="2:15" x14ac:dyDescent="0.3">
      <c r="B11067" s="1" t="s">
        <v>20</v>
      </c>
      <c r="C11067" s="1" t="str">
        <f>"6차"</f>
        <v>6차</v>
      </c>
      <c r="D11067" s="1" t="str">
        <f>"0023C5716M"</f>
        <v>0023C5716M</v>
      </c>
      <c r="E11067" s="1" t="s">
        <v>10</v>
      </c>
      <c r="F11067" s="1" t="str">
        <f>"fde1:103:4:c85c:0:0:0:2"</f>
        <v>fde1:103:4:c85c:0:0:0:2</v>
      </c>
      <c r="G11067" s="1" t="str">
        <f>"0023C571"</f>
        <v>0023C571</v>
      </c>
      <c r="H11067" s="1" t="str">
        <f>"서빙고간 13L5"</f>
        <v>서빙고간 13L5</v>
      </c>
      <c r="I11067" s="1" t="s">
        <v>15</v>
      </c>
      <c r="J11067" s="1" t="str">
        <f>"33/33"</f>
        <v>33/33</v>
      </c>
      <c r="K11067" s="1" t="str">
        <f>"2026-07-29 14:20:02"</f>
        <v>2026-07-29 14:20:02</v>
      </c>
      <c r="L11067" s="1" t="str">
        <f>"2024-11-26 13:28:07"</f>
        <v>2024-11-26 13:28:07</v>
      </c>
      <c r="M11067" s="1" t="s">
        <v>4</v>
      </c>
      <c r="N11067" s="1" t="s">
        <v>38</v>
      </c>
      <c r="O11067" s="1" t="s">
        <v>46</v>
      </c>
    </row>
    <row r="11068" spans="2:15" x14ac:dyDescent="0.3">
      <c r="B11068" s="1" t="s">
        <v>20</v>
      </c>
      <c r="C11068" s="1" t="str">
        <f>"1차"</f>
        <v>1차</v>
      </c>
      <c r="D11068" s="1" t="str">
        <f>"0023E08200"</f>
        <v>0023E08200</v>
      </c>
      <c r="E11068" s="1" t="s">
        <v>10</v>
      </c>
      <c r="F11068" s="1" t="str">
        <f>"10.125.224.138"</f>
        <v>10.125.224.138</v>
      </c>
      <c r="G11068" s="1" t="str">
        <f>"0023E082"</f>
        <v>0023E082</v>
      </c>
      <c r="H11068" s="1" t="str">
        <f>"보광간 24H1L2"</f>
        <v>보광간 24H1L2</v>
      </c>
      <c r="I11068" s="1" t="s">
        <v>8</v>
      </c>
      <c r="J11068" s="1" t="str">
        <f>"46/48"</f>
        <v>46/48</v>
      </c>
      <c r="K11068" s="1" t="str">
        <f>"2026-07-29 13:18:00"</f>
        <v>2026-07-29 13:18:00</v>
      </c>
      <c r="L11068" s="1" t="str">
        <f>"2014-09-30 19:57:10"</f>
        <v>2014-09-30 19:57:10</v>
      </c>
      <c r="M11068" s="1" t="s">
        <v>45</v>
      </c>
      <c r="N11068" s="1" t="s">
        <v>38</v>
      </c>
      <c r="O11068" s="1" t="s">
        <v>46</v>
      </c>
    </row>
    <row r="11069" spans="2:15" x14ac:dyDescent="0.3">
      <c r="B11069" s="1" t="s">
        <v>20</v>
      </c>
      <c r="C11069" s="1" t="str">
        <f>"4차"</f>
        <v>4차</v>
      </c>
      <c r="D11069" s="1" t="str">
        <f>"0024A00144"</f>
        <v>0024A00144</v>
      </c>
      <c r="E11069" s="1" t="s">
        <v>10</v>
      </c>
      <c r="F11069" s="1" t="str">
        <f>"10.10.89.138"</f>
        <v>10.10.89.138</v>
      </c>
      <c r="G11069" s="1" t="str">
        <f>"0024A001"</f>
        <v>0024A001</v>
      </c>
      <c r="H11069" s="1" t="str">
        <f>"관광간 46AL3"</f>
        <v>관광간 46AL3</v>
      </c>
      <c r="I11069" s="1" t="s">
        <v>8</v>
      </c>
      <c r="J11069" s="1" t="str">
        <f>"53/53"</f>
        <v>53/53</v>
      </c>
      <c r="K11069" s="1" t="str">
        <f>"2026-07-29 13:18:00"</f>
        <v>2026-07-29 13:18:00</v>
      </c>
      <c r="L11069" s="1" t="str">
        <f>"2019-10-29 15:13:05"</f>
        <v>2019-10-29 15:13:05</v>
      </c>
      <c r="M11069" s="1" t="s">
        <v>1</v>
      </c>
      <c r="N11069" s="1" t="s">
        <v>38</v>
      </c>
      <c r="O11069" s="1" t="s">
        <v>46</v>
      </c>
    </row>
    <row r="11070" spans="2:15" x14ac:dyDescent="0.3">
      <c r="B11070" s="1" t="s">
        <v>20</v>
      </c>
      <c r="C11070" s="1" t="str">
        <f>"4차"</f>
        <v>4차</v>
      </c>
      <c r="D11070" s="1" t="str">
        <f>"0024A01444"</f>
        <v>0024A01444</v>
      </c>
      <c r="E11070" s="1" t="s">
        <v>10</v>
      </c>
      <c r="F11070" s="1" t="str">
        <f>"10.10.117.226"</f>
        <v>10.10.117.226</v>
      </c>
      <c r="G11070" s="1" t="str">
        <f>"0024A014"</f>
        <v>0024A014</v>
      </c>
      <c r="H11070" s="1" t="str">
        <f>"관광간 44"</f>
        <v>관광간 44</v>
      </c>
      <c r="I11070" s="1" t="s">
        <v>8</v>
      </c>
      <c r="J11070" s="1" t="str">
        <f>"20/20"</f>
        <v>20/20</v>
      </c>
      <c r="K11070" s="1" t="str">
        <f>"2026-07-29 13:18:00"</f>
        <v>2026-07-29 13:18:00</v>
      </c>
      <c r="L11070" s="1" t="str">
        <f>"2019-10-08 16:39:40"</f>
        <v>2019-10-08 16:39:40</v>
      </c>
      <c r="M11070" s="1" t="s">
        <v>1</v>
      </c>
      <c r="N11070" s="1" t="s">
        <v>38</v>
      </c>
      <c r="O11070" s="1" t="s">
        <v>46</v>
      </c>
    </row>
    <row r="11071" spans="2:15" x14ac:dyDescent="0.3">
      <c r="B11071" s="1" t="s">
        <v>20</v>
      </c>
      <c r="C11071" s="1" t="str">
        <f>"3차"</f>
        <v>3차</v>
      </c>
      <c r="D11071" s="1" t="str">
        <f>"0024A04439"</f>
        <v>0024A04439</v>
      </c>
      <c r="E11071" s="1" t="s">
        <v>10</v>
      </c>
      <c r="F11071" s="1" t="str">
        <f>"10.12.129.189"</f>
        <v>10.12.129.189</v>
      </c>
      <c r="G11071" s="1" t="str">
        <f>"0024A044"</f>
        <v>0024A044</v>
      </c>
      <c r="H11071" s="1" t="str">
        <f>"관광간 51"</f>
        <v>관광간 51</v>
      </c>
      <c r="I11071" s="1" t="s">
        <v>8</v>
      </c>
      <c r="J11071" s="1" t="str">
        <f>"35/35"</f>
        <v>35/35</v>
      </c>
      <c r="K11071" s="1" t="str">
        <f>"2026-07-29 13:18:01"</f>
        <v>2026-07-29 13:18:01</v>
      </c>
      <c r="L11071" s="1" t="str">
        <f>"2018-04-25 17:27:43"</f>
        <v>2018-04-25 17:27:43</v>
      </c>
      <c r="M11071" s="1" t="s">
        <v>0</v>
      </c>
      <c r="N11071" s="1" t="s">
        <v>38</v>
      </c>
      <c r="O11071" s="1" t="s">
        <v>46</v>
      </c>
    </row>
    <row r="11072" spans="2:15" x14ac:dyDescent="0.3">
      <c r="B11072" s="1" t="s">
        <v>20</v>
      </c>
      <c r="C11072" s="1" t="str">
        <f t="shared" ref="C11072:C11079" si="555">"4차"</f>
        <v>4차</v>
      </c>
      <c r="D11072" s="1" t="str">
        <f>"0024A07139"</f>
        <v>0024A07139</v>
      </c>
      <c r="E11072" s="1" t="s">
        <v>10</v>
      </c>
      <c r="F11072" s="1" t="str">
        <f>"10.12.136.8"</f>
        <v>10.12.136.8</v>
      </c>
      <c r="G11072" s="1" t="str">
        <f>"0024A071"</f>
        <v>0024A071</v>
      </c>
      <c r="H11072" s="1" t="str">
        <f>"반포로 R23"</f>
        <v>반포로 R23</v>
      </c>
      <c r="I11072" s="1" t="s">
        <v>17</v>
      </c>
      <c r="J11072" s="1" t="str">
        <f>"23/24"</f>
        <v>23/24</v>
      </c>
      <c r="K11072" s="1" t="str">
        <f>"2026-07-29 13:18:02"</f>
        <v>2026-07-29 13:18:02</v>
      </c>
      <c r="L11072" s="1" t="str">
        <f>"2018-05-14 14:08:42"</f>
        <v>2018-05-14 14:08:42</v>
      </c>
      <c r="M11072" s="1" t="s">
        <v>0</v>
      </c>
      <c r="N11072" s="1" t="s">
        <v>38</v>
      </c>
      <c r="O11072" s="1" t="s">
        <v>46</v>
      </c>
    </row>
    <row r="11073" spans="2:15" x14ac:dyDescent="0.3">
      <c r="B11073" s="1" t="s">
        <v>20</v>
      </c>
      <c r="C11073" s="1" t="str">
        <f t="shared" si="555"/>
        <v>4차</v>
      </c>
      <c r="D11073" s="1" t="str">
        <f>"0024A10344"</f>
        <v>0024A10344</v>
      </c>
      <c r="E11073" s="1" t="s">
        <v>10</v>
      </c>
      <c r="F11073" s="1" t="str">
        <f>"10.10.89.90"</f>
        <v>10.10.89.90</v>
      </c>
      <c r="G11073" s="1" t="str">
        <f>"0024A103"</f>
        <v>0024A103</v>
      </c>
      <c r="H11073" s="1" t="str">
        <f>"관광간 46AL6"</f>
        <v>관광간 46AL6</v>
      </c>
      <c r="I11073" s="1" t="s">
        <v>8</v>
      </c>
      <c r="J11073" s="1" t="str">
        <f>"37/37"</f>
        <v>37/37</v>
      </c>
      <c r="K11073" s="1" t="str">
        <f>"2026-07-29 13:18:00"</f>
        <v>2026-07-29 13:18:00</v>
      </c>
      <c r="L11073" s="1" t="str">
        <f>"2019-10-29 15:23:04"</f>
        <v>2019-10-29 15:23:04</v>
      </c>
      <c r="M11073" s="1" t="s">
        <v>1</v>
      </c>
      <c r="N11073" s="1" t="s">
        <v>38</v>
      </c>
      <c r="O11073" s="1" t="s">
        <v>46</v>
      </c>
    </row>
    <row r="11074" spans="2:15" x14ac:dyDescent="0.3">
      <c r="B11074" s="1" t="s">
        <v>20</v>
      </c>
      <c r="C11074" s="1" t="str">
        <f t="shared" si="555"/>
        <v>4차</v>
      </c>
      <c r="D11074" s="1" t="str">
        <f>"0024A11144"</f>
        <v>0024A11144</v>
      </c>
      <c r="E11074" s="1" t="s">
        <v>10</v>
      </c>
      <c r="F11074" s="1" t="str">
        <f>"10.10.89.170"</f>
        <v>10.10.89.170</v>
      </c>
      <c r="G11074" s="1" t="str">
        <f>"0024A111"</f>
        <v>0024A111</v>
      </c>
      <c r="H11074" s="1" t="str">
        <f>"관광간 43"</f>
        <v>관광간 43</v>
      </c>
      <c r="I11074" s="1" t="s">
        <v>8</v>
      </c>
      <c r="J11074" s="1" t="str">
        <f>"27/27"</f>
        <v>27/27</v>
      </c>
      <c r="K11074" s="1" t="str">
        <f>"2026-07-29 13:18:00"</f>
        <v>2026-07-29 13:18:00</v>
      </c>
      <c r="L11074" s="1" t="str">
        <f>"2019-10-29 15:13:05"</f>
        <v>2019-10-29 15:13:05</v>
      </c>
      <c r="M11074" s="1" t="s">
        <v>1</v>
      </c>
      <c r="N11074" s="1" t="s">
        <v>38</v>
      </c>
      <c r="O11074" s="1" t="s">
        <v>46</v>
      </c>
    </row>
    <row r="11075" spans="2:15" x14ac:dyDescent="0.3">
      <c r="B11075" s="1" t="s">
        <v>20</v>
      </c>
      <c r="C11075" s="1" t="str">
        <f t="shared" si="555"/>
        <v>4차</v>
      </c>
      <c r="D11075" s="1" t="str">
        <f>"0024A14144"</f>
        <v>0024A14144</v>
      </c>
      <c r="E11075" s="1" t="s">
        <v>10</v>
      </c>
      <c r="F11075" s="1" t="str">
        <f>"10.10.117.242"</f>
        <v>10.10.117.242</v>
      </c>
      <c r="G11075" s="1" t="str">
        <f>"0024A141"</f>
        <v>0024A141</v>
      </c>
      <c r="H11075" s="1" t="str">
        <f>"관광간 52"</f>
        <v>관광간 52</v>
      </c>
      <c r="I11075" s="1" t="s">
        <v>8</v>
      </c>
      <c r="J11075" s="1" t="str">
        <f>"12/12"</f>
        <v>12/12</v>
      </c>
      <c r="K11075" s="1" t="str">
        <f>"2026-07-29 13:18:00"</f>
        <v>2026-07-29 13:18:00</v>
      </c>
      <c r="L11075" s="1" t="str">
        <f>"2019-10-08 14:03:41"</f>
        <v>2019-10-08 14:03:41</v>
      </c>
      <c r="M11075" s="1" t="s">
        <v>1</v>
      </c>
      <c r="N11075" s="1" t="s">
        <v>38</v>
      </c>
      <c r="O11075" s="1" t="s">
        <v>46</v>
      </c>
    </row>
    <row r="11076" spans="2:15" x14ac:dyDescent="0.3">
      <c r="B11076" s="1" t="s">
        <v>20</v>
      </c>
      <c r="C11076" s="1" t="str">
        <f t="shared" si="555"/>
        <v>4차</v>
      </c>
      <c r="D11076" s="1" t="str">
        <f>"0024A15444"</f>
        <v>0024A15444</v>
      </c>
      <c r="E11076" s="1" t="s">
        <v>10</v>
      </c>
      <c r="F11076" s="1" t="str">
        <f>"10.12.138.24"</f>
        <v>10.12.138.24</v>
      </c>
      <c r="G11076" s="1" t="str">
        <f>"0024A154"</f>
        <v>0024A154</v>
      </c>
      <c r="H11076" s="1" t="str">
        <f>"관광간 51L3H1R2"</f>
        <v>관광간 51L3H1R2</v>
      </c>
      <c r="I11076" s="1" t="s">
        <v>8</v>
      </c>
      <c r="J11076" s="1" t="str">
        <f>"56/61"</f>
        <v>56/61</v>
      </c>
      <c r="K11076" s="1" t="str">
        <f>"2026-07-29 13:18:02"</f>
        <v>2026-07-29 13:18:02</v>
      </c>
      <c r="L11076" s="1" t="str">
        <f>"2023-02-23 09:35:54"</f>
        <v>2023-02-23 09:35:54</v>
      </c>
      <c r="M11076" s="1" t="s">
        <v>0</v>
      </c>
      <c r="N11076" s="1" t="s">
        <v>38</v>
      </c>
      <c r="O11076" s="1" t="s">
        <v>46</v>
      </c>
    </row>
    <row r="11077" spans="2:15" x14ac:dyDescent="0.3">
      <c r="B11077" s="1" t="s">
        <v>20</v>
      </c>
      <c r="C11077" s="1" t="str">
        <f t="shared" si="555"/>
        <v>4차</v>
      </c>
      <c r="D11077" s="1" t="str">
        <f>"0024A15544"</f>
        <v>0024A15544</v>
      </c>
      <c r="E11077" s="1" t="s">
        <v>10</v>
      </c>
      <c r="F11077" s="1" t="str">
        <f>"10.10.86.186"</f>
        <v>10.10.86.186</v>
      </c>
      <c r="G11077" s="1" t="str">
        <f>"0024A155"</f>
        <v>0024A155</v>
      </c>
      <c r="H11077" s="1" t="str">
        <f>"관광간 51L3H1R1"</f>
        <v>관광간 51L3H1R1</v>
      </c>
      <c r="I11077" s="1" t="s">
        <v>8</v>
      </c>
      <c r="J11077" s="1" t="str">
        <f>"28/28"</f>
        <v>28/28</v>
      </c>
      <c r="K11077" s="1" t="str">
        <f>"2026-07-29 13:18:00"</f>
        <v>2026-07-29 13:18:00</v>
      </c>
      <c r="L11077" s="1" t="str">
        <f>"2023-02-28 17:18:50"</f>
        <v>2023-02-28 17:18:50</v>
      </c>
      <c r="M11077" s="1" t="s">
        <v>1</v>
      </c>
      <c r="N11077" s="1" t="s">
        <v>38</v>
      </c>
      <c r="O11077" s="1" t="s">
        <v>46</v>
      </c>
    </row>
    <row r="11078" spans="2:15" x14ac:dyDescent="0.3">
      <c r="B11078" s="1" t="s">
        <v>20</v>
      </c>
      <c r="C11078" s="1" t="str">
        <f t="shared" si="555"/>
        <v>4차</v>
      </c>
      <c r="D11078" s="1" t="str">
        <f>"0024A18144"</f>
        <v>0024A18144</v>
      </c>
      <c r="E11078" s="1" t="s">
        <v>10</v>
      </c>
      <c r="F11078" s="1" t="str">
        <f>"10.10.87.50"</f>
        <v>10.10.87.50</v>
      </c>
      <c r="G11078" s="1" t="str">
        <f>"0024A181"</f>
        <v>0024A181</v>
      </c>
      <c r="H11078" s="1" t="str">
        <f>"관광간 51L10R2"</f>
        <v>관광간 51L10R2</v>
      </c>
      <c r="I11078" s="1" t="s">
        <v>8</v>
      </c>
      <c r="J11078" s="1" t="str">
        <f>"40/40"</f>
        <v>40/40</v>
      </c>
      <c r="K11078" s="1" t="str">
        <f>"2026-07-29 13:18:00"</f>
        <v>2026-07-29 13:18:00</v>
      </c>
      <c r="L11078" s="1" t="str">
        <f>"2019-10-08 11:47:38"</f>
        <v>2019-10-08 11:47:38</v>
      </c>
      <c r="M11078" s="1" t="s">
        <v>1</v>
      </c>
      <c r="N11078" s="1" t="s">
        <v>38</v>
      </c>
      <c r="O11078" s="1" t="s">
        <v>46</v>
      </c>
    </row>
    <row r="11079" spans="2:15" x14ac:dyDescent="0.3">
      <c r="B11079" s="1" t="s">
        <v>20</v>
      </c>
      <c r="C11079" s="1" t="str">
        <f t="shared" si="555"/>
        <v>4차</v>
      </c>
      <c r="D11079" s="1" t="str">
        <f>"0024A22142"</f>
        <v>0024A22142</v>
      </c>
      <c r="E11079" s="1" t="s">
        <v>10</v>
      </c>
      <c r="F11079" s="1" t="str">
        <f>"10.12.129.94"</f>
        <v>10.12.129.94</v>
      </c>
      <c r="G11079" s="1" t="str">
        <f>"0024A221"</f>
        <v>0024A221</v>
      </c>
      <c r="H11079" s="1" t="str">
        <f>"관광간 40"</f>
        <v>관광간 40</v>
      </c>
      <c r="I11079" s="1" t="s">
        <v>8</v>
      </c>
      <c r="J11079" s="1" t="str">
        <f>"33/33"</f>
        <v>33/33</v>
      </c>
      <c r="K11079" s="1" t="str">
        <f>"2026-07-29 13:18:01"</f>
        <v>2026-07-29 13:18:01</v>
      </c>
      <c r="L11079" s="1" t="str">
        <f>"2024-12-18 17:15:43"</f>
        <v>2024-12-18 17:15:43</v>
      </c>
      <c r="M11079" s="1" t="s">
        <v>0</v>
      </c>
      <c r="N11079" s="1" t="s">
        <v>38</v>
      </c>
      <c r="O11079" s="1" t="s">
        <v>46</v>
      </c>
    </row>
    <row r="11080" spans="2:15" x14ac:dyDescent="0.3">
      <c r="B11080" s="1" t="s">
        <v>20</v>
      </c>
      <c r="C11080" s="1" t="str">
        <f>"1차"</f>
        <v>1차</v>
      </c>
      <c r="D11080" s="1" t="str">
        <f>"0024A22300"</f>
        <v>0024A22300</v>
      </c>
      <c r="E11080" s="1" t="s">
        <v>10</v>
      </c>
      <c r="F11080" s="1" t="str">
        <f>"10.125.227.10"</f>
        <v>10.125.227.10</v>
      </c>
      <c r="G11080" s="1" t="str">
        <f>"0024A223"</f>
        <v>0024A223</v>
      </c>
      <c r="H11080" s="1" t="str">
        <f>"관광간 42R2"</f>
        <v>관광간 42R2</v>
      </c>
      <c r="I11080" s="1" t="s">
        <v>8</v>
      </c>
      <c r="J11080" s="1" t="str">
        <f>"27/27"</f>
        <v>27/27</v>
      </c>
      <c r="K11080" s="1" t="str">
        <f>"2026-07-29 13:18:00"</f>
        <v>2026-07-29 13:18:00</v>
      </c>
      <c r="L11080" s="1" t="str">
        <f>"2014-12-02 10:23:38"</f>
        <v>2014-12-02 10:23:38</v>
      </c>
      <c r="M11080" s="1" t="s">
        <v>45</v>
      </c>
      <c r="N11080" s="1" t="s">
        <v>38</v>
      </c>
      <c r="O11080" s="1" t="s">
        <v>46</v>
      </c>
    </row>
    <row r="11081" spans="2:15" x14ac:dyDescent="0.3">
      <c r="B11081" s="1" t="s">
        <v>20</v>
      </c>
      <c r="C11081" s="1" t="str">
        <f>"1차"</f>
        <v>1차</v>
      </c>
      <c r="D11081" s="1" t="str">
        <f>"0024A22401"</f>
        <v>0024A22401</v>
      </c>
      <c r="E11081" s="1" t="s">
        <v>10</v>
      </c>
      <c r="F11081" s="1" t="str">
        <f>"10.125.227.11"</f>
        <v>10.125.227.11</v>
      </c>
      <c r="G11081" s="1" t="str">
        <f>"0024A224"</f>
        <v>0024A224</v>
      </c>
      <c r="H11081" s="1" t="str">
        <f>"관광간 42R3"</f>
        <v>관광간 42R3</v>
      </c>
      <c r="I11081" s="1" t="s">
        <v>8</v>
      </c>
      <c r="J11081" s="1" t="str">
        <f>"18/18"</f>
        <v>18/18</v>
      </c>
      <c r="K11081" s="1" t="str">
        <f>"2026-07-29 13:18:01"</f>
        <v>2026-07-29 13:18:01</v>
      </c>
      <c r="L11081" s="1" t="str">
        <f>"2015-02-26 10:53:59"</f>
        <v>2015-02-26 10:53:59</v>
      </c>
      <c r="M11081" s="1" t="s">
        <v>45</v>
      </c>
      <c r="N11081" s="1" t="s">
        <v>38</v>
      </c>
      <c r="O11081" s="1" t="s">
        <v>46</v>
      </c>
    </row>
    <row r="11082" spans="2:15" x14ac:dyDescent="0.3">
      <c r="B11082" s="1" t="s">
        <v>20</v>
      </c>
      <c r="C11082" s="1" t="str">
        <f t="shared" ref="C11082:C11096" si="556">"4차"</f>
        <v>4차</v>
      </c>
      <c r="D11082" s="1" t="str">
        <f>"0024A25344"</f>
        <v>0024A25344</v>
      </c>
      <c r="E11082" s="1" t="s">
        <v>10</v>
      </c>
      <c r="F11082" s="1" t="str">
        <f>"10.10.86.170"</f>
        <v>10.10.86.170</v>
      </c>
      <c r="G11082" s="1" t="str">
        <f>"0024A253"</f>
        <v>0024A253</v>
      </c>
      <c r="H11082" s="1" t="str">
        <f>"관광간 51L3H1R3"</f>
        <v>관광간 51L3H1R3</v>
      </c>
      <c r="I11082" s="1" t="s">
        <v>8</v>
      </c>
      <c r="J11082" s="1" t="str">
        <f>"34/34"</f>
        <v>34/34</v>
      </c>
      <c r="K11082" s="1" t="str">
        <f>"2026-07-29 13:18:01"</f>
        <v>2026-07-29 13:18:01</v>
      </c>
      <c r="L11082" s="1" t="str">
        <f>"2018-12-14 17:06:43"</f>
        <v>2018-12-14 17:06:43</v>
      </c>
      <c r="M11082" s="1" t="s">
        <v>1</v>
      </c>
      <c r="N11082" s="1" t="s">
        <v>38</v>
      </c>
      <c r="O11082" s="1" t="s">
        <v>46</v>
      </c>
    </row>
    <row r="11083" spans="2:15" x14ac:dyDescent="0.3">
      <c r="B11083" s="1" t="s">
        <v>20</v>
      </c>
      <c r="C11083" s="1" t="str">
        <f t="shared" si="556"/>
        <v>4차</v>
      </c>
      <c r="D11083" s="1" t="str">
        <f>"0024A27244"</f>
        <v>0024A27244</v>
      </c>
      <c r="E11083" s="1" t="s">
        <v>10</v>
      </c>
      <c r="F11083" s="1" t="str">
        <f>"10.10.86.226"</f>
        <v>10.10.86.226</v>
      </c>
      <c r="G11083" s="1" t="str">
        <f>"0024A272"</f>
        <v>0024A272</v>
      </c>
      <c r="H11083" s="1" t="str">
        <f>"관광간 51L19"</f>
        <v>관광간 51L19</v>
      </c>
      <c r="I11083" s="1" t="s">
        <v>8</v>
      </c>
      <c r="J11083" s="1" t="str">
        <f>"56/64"</f>
        <v>56/64</v>
      </c>
      <c r="K11083" s="1" t="str">
        <f>"2026-07-29 13:18:00"</f>
        <v>2026-07-29 13:18:00</v>
      </c>
      <c r="L11083" s="1" t="str">
        <f>"2019-10-29 15:13:04"</f>
        <v>2019-10-29 15:13:04</v>
      </c>
      <c r="M11083" s="1" t="s">
        <v>1</v>
      </c>
      <c r="N11083" s="1" t="s">
        <v>38</v>
      </c>
      <c r="O11083" s="1" t="s">
        <v>46</v>
      </c>
    </row>
    <row r="11084" spans="2:15" x14ac:dyDescent="0.3">
      <c r="B11084" s="1" t="s">
        <v>20</v>
      </c>
      <c r="C11084" s="1" t="str">
        <f t="shared" si="556"/>
        <v>4차</v>
      </c>
      <c r="D11084" s="1" t="str">
        <f>"0024A29139"</f>
        <v>0024A29139</v>
      </c>
      <c r="E11084" s="1" t="s">
        <v>14</v>
      </c>
      <c r="F11084" s="1" t="str">
        <f>"10.12.133.175"</f>
        <v>10.12.133.175</v>
      </c>
      <c r="G11084" s="1" t="str">
        <f>"0024A291"</f>
        <v>0024A291</v>
      </c>
      <c r="H11084" s="1" t="str">
        <f>"소월로 1"</f>
        <v>소월로 1</v>
      </c>
      <c r="I11084" s="1" t="s">
        <v>17</v>
      </c>
      <c r="J11084" s="1" t="str">
        <f>"0/0"</f>
        <v>0/0</v>
      </c>
      <c r="K11084" s="1" t="str">
        <f>"2024-11-19 01:21:00"</f>
        <v>2024-11-19 01:21:00</v>
      </c>
      <c r="L11084" s="1" t="str">
        <f>"2023-05-04 14:56:21"</f>
        <v>2023-05-04 14:56:21</v>
      </c>
      <c r="M11084" s="1" t="s">
        <v>0</v>
      </c>
      <c r="N11084" s="1" t="s">
        <v>39</v>
      </c>
      <c r="O11084" s="1" t="s">
        <v>46</v>
      </c>
    </row>
    <row r="11085" spans="2:15" x14ac:dyDescent="0.3">
      <c r="B11085" s="1" t="s">
        <v>20</v>
      </c>
      <c r="C11085" s="1" t="str">
        <f t="shared" si="556"/>
        <v>4차</v>
      </c>
      <c r="D11085" s="1" t="str">
        <f>"0024A29244"</f>
        <v>0024A29244</v>
      </c>
      <c r="E11085" s="1" t="s">
        <v>18</v>
      </c>
      <c r="F11085" s="1" t="str">
        <f>"10.11.110.2"</f>
        <v>10.11.110.2</v>
      </c>
      <c r="G11085" s="1" t="str">
        <f>"0024A292"</f>
        <v>0024A292</v>
      </c>
      <c r="H11085" s="1" t="str">
        <f>"관광간 51L17"</f>
        <v>관광간 51L17</v>
      </c>
      <c r="I11085" s="1" t="s">
        <v>8</v>
      </c>
      <c r="J11085" s="1" t="str">
        <f>"0/37"</f>
        <v>0/37</v>
      </c>
      <c r="K11085" s="1" t="str">
        <f>"2026-07-22 20:03:35"</f>
        <v>2026-07-22 20:03:35</v>
      </c>
      <c r="L11085" s="1" t="str">
        <f>"2019-11-11 20:07:20"</f>
        <v>2019-11-11 20:07:20</v>
      </c>
      <c r="M11085" s="1" t="s">
        <v>2</v>
      </c>
      <c r="N11085" s="1" t="s">
        <v>38</v>
      </c>
      <c r="O11085" s="1" t="s">
        <v>46</v>
      </c>
    </row>
    <row r="11086" spans="2:15" x14ac:dyDescent="0.3">
      <c r="B11086" s="1" t="s">
        <v>20</v>
      </c>
      <c r="C11086" s="1" t="str">
        <f t="shared" si="556"/>
        <v>4차</v>
      </c>
      <c r="D11086" s="1" t="str">
        <f>"0024A30244"</f>
        <v>0024A30244</v>
      </c>
      <c r="E11086" s="1" t="s">
        <v>10</v>
      </c>
      <c r="F11086" s="1" t="str">
        <f>"10.10.89.218"</f>
        <v>10.10.89.218</v>
      </c>
      <c r="G11086" s="1" t="str">
        <f>"0024A302"</f>
        <v>0024A302</v>
      </c>
      <c r="H11086" s="1" t="str">
        <f>"관광간 37L4"</f>
        <v>관광간 37L4</v>
      </c>
      <c r="I11086" s="1" t="s">
        <v>8</v>
      </c>
      <c r="J11086" s="1" t="str">
        <f>"27/27"</f>
        <v>27/27</v>
      </c>
      <c r="K11086" s="1" t="str">
        <f>"2026-07-29 13:18:01"</f>
        <v>2026-07-29 13:18:01</v>
      </c>
      <c r="L11086" s="1" t="str">
        <f>"2019-10-29 15:13:05"</f>
        <v>2019-10-29 15:13:05</v>
      </c>
      <c r="M11086" s="1" t="s">
        <v>1</v>
      </c>
      <c r="N11086" s="1" t="s">
        <v>38</v>
      </c>
      <c r="O11086" s="1" t="s">
        <v>46</v>
      </c>
    </row>
    <row r="11087" spans="2:15" x14ac:dyDescent="0.3">
      <c r="B11087" s="1" t="s">
        <v>20</v>
      </c>
      <c r="C11087" s="1" t="str">
        <f t="shared" si="556"/>
        <v>4차</v>
      </c>
      <c r="D11087" s="1" t="str">
        <f>"0024A31344"</f>
        <v>0024A31344</v>
      </c>
      <c r="E11087" s="1" t="s">
        <v>10</v>
      </c>
      <c r="F11087" s="1" t="str">
        <f>"10.12.138.27"</f>
        <v>10.12.138.27</v>
      </c>
      <c r="G11087" s="1" t="str">
        <f>"0024A313"</f>
        <v>0024A313</v>
      </c>
      <c r="H11087" s="1" t="str">
        <f>"관광간 37L1"</f>
        <v>관광간 37L1</v>
      </c>
      <c r="I11087" s="1" t="s">
        <v>8</v>
      </c>
      <c r="J11087" s="1" t="str">
        <f>"21/21"</f>
        <v>21/21</v>
      </c>
      <c r="K11087" s="1" t="str">
        <f>"2026-07-29 13:18:02"</f>
        <v>2026-07-29 13:18:02</v>
      </c>
      <c r="L11087" s="1" t="str">
        <f>"2019-12-11 16:40:15"</f>
        <v>2019-12-11 16:40:15</v>
      </c>
      <c r="M11087" s="1" t="s">
        <v>0</v>
      </c>
      <c r="N11087" s="1" t="s">
        <v>38</v>
      </c>
      <c r="O11087" s="1" t="s">
        <v>46</v>
      </c>
    </row>
    <row r="11088" spans="2:15" x14ac:dyDescent="0.3">
      <c r="B11088" s="1" t="s">
        <v>20</v>
      </c>
      <c r="C11088" s="1" t="str">
        <f t="shared" si="556"/>
        <v>4차</v>
      </c>
      <c r="D11088" s="1" t="str">
        <f>"0024A31444"</f>
        <v>0024A31444</v>
      </c>
      <c r="E11088" s="1" t="s">
        <v>10</v>
      </c>
      <c r="F11088" s="1" t="str">
        <f>"10.10.87.130"</f>
        <v>10.10.87.130</v>
      </c>
      <c r="G11088" s="1" t="str">
        <f>"0024A314"</f>
        <v>0024A314</v>
      </c>
      <c r="H11088" s="1" t="str">
        <f>"관광간 37L2"</f>
        <v>관광간 37L2</v>
      </c>
      <c r="I11088" s="1" t="s">
        <v>8</v>
      </c>
      <c r="J11088" s="1" t="str">
        <f>"27/27"</f>
        <v>27/27</v>
      </c>
      <c r="K11088" s="1" t="str">
        <f>"2026-07-29 13:18:01"</f>
        <v>2026-07-29 13:18:01</v>
      </c>
      <c r="L11088" s="1" t="str">
        <f>"2019-10-08 11:20:46"</f>
        <v>2019-10-08 11:20:46</v>
      </c>
      <c r="M11088" s="1" t="s">
        <v>1</v>
      </c>
      <c r="N11088" s="1" t="s">
        <v>38</v>
      </c>
      <c r="O11088" s="1" t="s">
        <v>46</v>
      </c>
    </row>
    <row r="11089" spans="2:15" x14ac:dyDescent="0.3">
      <c r="B11089" s="1" t="s">
        <v>20</v>
      </c>
      <c r="C11089" s="1" t="str">
        <f t="shared" si="556"/>
        <v>4차</v>
      </c>
      <c r="D11089" s="1" t="str">
        <f>"0024A32344"</f>
        <v>0024A32344</v>
      </c>
      <c r="E11089" s="1" t="s">
        <v>10</v>
      </c>
      <c r="F11089" s="1" t="str">
        <f>"10.12.130.63"</f>
        <v>10.12.130.63</v>
      </c>
      <c r="G11089" s="1" t="str">
        <f>"0024A323"</f>
        <v>0024A323</v>
      </c>
      <c r="H11089" s="1" t="str">
        <f>"관광간 39AR1"</f>
        <v>관광간 39AR1</v>
      </c>
      <c r="I11089" s="1" t="s">
        <v>8</v>
      </c>
      <c r="J11089" s="1" t="str">
        <f>"30/30"</f>
        <v>30/30</v>
      </c>
      <c r="K11089" s="1" t="str">
        <f>"2026-07-29 13:18:01"</f>
        <v>2026-07-29 13:18:01</v>
      </c>
      <c r="L11089" s="1" t="str">
        <f>"2018-12-14 14:45:11"</f>
        <v>2018-12-14 14:45:11</v>
      </c>
      <c r="M11089" s="1" t="s">
        <v>0</v>
      </c>
      <c r="N11089" s="1" t="s">
        <v>38</v>
      </c>
      <c r="O11089" s="1" t="s">
        <v>46</v>
      </c>
    </row>
    <row r="11090" spans="2:15" x14ac:dyDescent="0.3">
      <c r="B11090" s="1" t="s">
        <v>20</v>
      </c>
      <c r="C11090" s="1" t="str">
        <f t="shared" si="556"/>
        <v>4차</v>
      </c>
      <c r="D11090" s="1" t="str">
        <f>"0024A34144"</f>
        <v>0024A34144</v>
      </c>
      <c r="E11090" s="1" t="s">
        <v>10</v>
      </c>
      <c r="F11090" s="1" t="str">
        <f>"10.10.86.82"</f>
        <v>10.10.86.82</v>
      </c>
      <c r="G11090" s="1" t="str">
        <f>"0024A341"</f>
        <v>0024A341</v>
      </c>
      <c r="H11090" s="1" t="str">
        <f>"관광간 56"</f>
        <v>관광간 56</v>
      </c>
      <c r="I11090" s="1" t="s">
        <v>8</v>
      </c>
      <c r="J11090" s="1" t="str">
        <f>"15/24"</f>
        <v>15/24</v>
      </c>
      <c r="K11090" s="1" t="str">
        <f>"2026-07-29 13:18:01"</f>
        <v>2026-07-29 13:18:01</v>
      </c>
      <c r="L11090" s="1" t="str">
        <f>"2019-10-29 15:13:05"</f>
        <v>2019-10-29 15:13:05</v>
      </c>
      <c r="M11090" s="1" t="s">
        <v>1</v>
      </c>
      <c r="N11090" s="1" t="s">
        <v>38</v>
      </c>
      <c r="O11090" s="1" t="s">
        <v>46</v>
      </c>
    </row>
    <row r="11091" spans="2:15" x14ac:dyDescent="0.3">
      <c r="B11091" s="1" t="s">
        <v>20</v>
      </c>
      <c r="C11091" s="1" t="str">
        <f t="shared" si="556"/>
        <v>4차</v>
      </c>
      <c r="D11091" s="1" t="str">
        <f>"0024A35239"</f>
        <v>0024A35239</v>
      </c>
      <c r="E11091" s="1" t="s">
        <v>10</v>
      </c>
      <c r="F11091" s="1" t="str">
        <f>"10.12.136.230"</f>
        <v>10.12.136.230</v>
      </c>
      <c r="G11091" s="1" t="str">
        <f>"0024A352"</f>
        <v>0024A352</v>
      </c>
      <c r="H11091" s="1" t="str">
        <f>"관광간 51L3H1R5"</f>
        <v>관광간 51L3H1R5</v>
      </c>
      <c r="I11091" s="1" t="s">
        <v>8</v>
      </c>
      <c r="J11091" s="1" t="str">
        <f>"72/72"</f>
        <v>72/72</v>
      </c>
      <c r="K11091" s="1" t="str">
        <f>"2026-07-29 13:18:01"</f>
        <v>2026-07-29 13:18:01</v>
      </c>
      <c r="L11091" s="1" t="str">
        <f>"2018-09-27 16:48:44"</f>
        <v>2018-09-27 16:48:44</v>
      </c>
      <c r="M11091" s="1" t="s">
        <v>0</v>
      </c>
      <c r="N11091" s="1" t="s">
        <v>38</v>
      </c>
      <c r="O11091" s="1" t="s">
        <v>46</v>
      </c>
    </row>
    <row r="11092" spans="2:15" x14ac:dyDescent="0.3">
      <c r="B11092" s="1" t="s">
        <v>20</v>
      </c>
      <c r="C11092" s="1" t="str">
        <f t="shared" si="556"/>
        <v>4차</v>
      </c>
      <c r="D11092" s="1" t="str">
        <f>"0024A42142"</f>
        <v>0024A42142</v>
      </c>
      <c r="E11092" s="1" t="s">
        <v>10</v>
      </c>
      <c r="F11092" s="1" t="str">
        <f>"10.12.130.210"</f>
        <v>10.12.130.210</v>
      </c>
      <c r="G11092" s="1" t="str">
        <f>"0024A421"</f>
        <v>0024A421</v>
      </c>
      <c r="H11092" s="1" t="str">
        <f>"관광간 39R1"</f>
        <v>관광간 39R1</v>
      </c>
      <c r="I11092" s="1" t="s">
        <v>8</v>
      </c>
      <c r="J11092" s="1" t="str">
        <f>"26/27"</f>
        <v>26/27</v>
      </c>
      <c r="K11092" s="1" t="str">
        <f>"2026-07-29 13:18:01"</f>
        <v>2026-07-29 13:18:01</v>
      </c>
      <c r="L11092" s="1" t="str">
        <f>"2025-01-22 18:25:44"</f>
        <v>2025-01-22 18:25:44</v>
      </c>
      <c r="M11092" s="1" t="s">
        <v>0</v>
      </c>
      <c r="N11092" s="1" t="s">
        <v>38</v>
      </c>
      <c r="O11092" s="1" t="s">
        <v>46</v>
      </c>
    </row>
    <row r="11093" spans="2:15" x14ac:dyDescent="0.3">
      <c r="B11093" s="1" t="s">
        <v>20</v>
      </c>
      <c r="C11093" s="1" t="str">
        <f t="shared" si="556"/>
        <v>4차</v>
      </c>
      <c r="D11093" s="1" t="str">
        <f>"0024A44144"</f>
        <v>0024A44144</v>
      </c>
      <c r="E11093" s="1" t="s">
        <v>10</v>
      </c>
      <c r="F11093" s="1" t="str">
        <f>"10.10.85.234"</f>
        <v>10.10.85.234</v>
      </c>
      <c r="G11093" s="1" t="str">
        <f>"0024A441"</f>
        <v>0024A441</v>
      </c>
      <c r="H11093" s="1" t="str">
        <f>"관광간 58R1"</f>
        <v>관광간 58R1</v>
      </c>
      <c r="I11093" s="1" t="s">
        <v>8</v>
      </c>
      <c r="J11093" s="1" t="str">
        <f>"64/64"</f>
        <v>64/64</v>
      </c>
      <c r="K11093" s="1" t="str">
        <f>"2026-07-29 13:18:00"</f>
        <v>2026-07-29 13:18:00</v>
      </c>
      <c r="L11093" s="1" t="str">
        <f>"2019-10-29 15:23:04"</f>
        <v>2019-10-29 15:23:04</v>
      </c>
      <c r="M11093" s="1" t="s">
        <v>1</v>
      </c>
      <c r="N11093" s="1" t="s">
        <v>38</v>
      </c>
      <c r="O11093" s="1" t="s">
        <v>46</v>
      </c>
    </row>
    <row r="11094" spans="2:15" x14ac:dyDescent="0.3">
      <c r="B11094" s="1" t="s">
        <v>20</v>
      </c>
      <c r="C11094" s="1" t="str">
        <f t="shared" si="556"/>
        <v>4차</v>
      </c>
      <c r="D11094" s="1" t="str">
        <f>"0024A44244"</f>
        <v>0024A44244</v>
      </c>
      <c r="E11094" s="1" t="s">
        <v>10</v>
      </c>
      <c r="F11094" s="1" t="str">
        <f>"10.10.118.2"</f>
        <v>10.10.118.2</v>
      </c>
      <c r="G11094" s="1" t="str">
        <f>"0024A442"</f>
        <v>0024A442</v>
      </c>
      <c r="H11094" s="1" t="str">
        <f>"관광간 58R2"</f>
        <v>관광간 58R2</v>
      </c>
      <c r="I11094" s="1" t="s">
        <v>8</v>
      </c>
      <c r="J11094" s="1" t="str">
        <f>"20/20"</f>
        <v>20/20</v>
      </c>
      <c r="K11094" s="1" t="str">
        <f>"2026-07-29 13:18:00"</f>
        <v>2026-07-29 13:18:00</v>
      </c>
      <c r="L11094" s="1" t="str">
        <f>"2019-10-29 15:23:04"</f>
        <v>2019-10-29 15:23:04</v>
      </c>
      <c r="M11094" s="1" t="s">
        <v>1</v>
      </c>
      <c r="N11094" s="1" t="s">
        <v>38</v>
      </c>
      <c r="O11094" s="1" t="s">
        <v>46</v>
      </c>
    </row>
    <row r="11095" spans="2:15" x14ac:dyDescent="0.3">
      <c r="B11095" s="1" t="s">
        <v>20</v>
      </c>
      <c r="C11095" s="1" t="str">
        <f t="shared" si="556"/>
        <v>4차</v>
      </c>
      <c r="D11095" s="1" t="str">
        <f>"0024A47244"</f>
        <v>0024A47244</v>
      </c>
      <c r="E11095" s="1" t="s">
        <v>10</v>
      </c>
      <c r="F11095" s="1" t="str">
        <f>"10.14.4.185"</f>
        <v>10.14.4.185</v>
      </c>
      <c r="G11095" s="1" t="str">
        <f>"0024A472"</f>
        <v>0024A472</v>
      </c>
      <c r="H11095" s="1" t="str">
        <f>"관광간 59L4L5"</f>
        <v>관광간 59L4L5</v>
      </c>
      <c r="I11095" s="1" t="s">
        <v>8</v>
      </c>
      <c r="J11095" s="1" t="str">
        <f>"13/13"</f>
        <v>13/13</v>
      </c>
      <c r="K11095" s="1" t="str">
        <f t="shared" ref="K11095:K11126" si="557">"2026-07-29 13:18:01"</f>
        <v>2026-07-29 13:18:01</v>
      </c>
      <c r="L11095" s="1" t="str">
        <f>"2023-01-10 09:02:18"</f>
        <v>2023-01-10 09:02:18</v>
      </c>
      <c r="M11095" s="1" t="s">
        <v>3</v>
      </c>
      <c r="N11095" s="1" t="s">
        <v>38</v>
      </c>
      <c r="O11095" s="1" t="s">
        <v>46</v>
      </c>
    </row>
    <row r="11096" spans="2:15" x14ac:dyDescent="0.3">
      <c r="B11096" s="1" t="s">
        <v>20</v>
      </c>
      <c r="C11096" s="1" t="str">
        <f t="shared" si="556"/>
        <v>4차</v>
      </c>
      <c r="D11096" s="1" t="str">
        <f>"0024A51244"</f>
        <v>0024A51244</v>
      </c>
      <c r="E11096" s="1" t="s">
        <v>10</v>
      </c>
      <c r="F11096" s="1" t="str">
        <f>"10.10.88.210"</f>
        <v>10.10.88.210</v>
      </c>
      <c r="G11096" s="1" t="str">
        <f>"0024A512"</f>
        <v>0024A512</v>
      </c>
      <c r="H11096" s="1" t="str">
        <f>"관광간 36R2"</f>
        <v>관광간 36R2</v>
      </c>
      <c r="I11096" s="1" t="s">
        <v>8</v>
      </c>
      <c r="J11096" s="1" t="str">
        <f>"27/27"</f>
        <v>27/27</v>
      </c>
      <c r="K11096" s="1" t="str">
        <f t="shared" si="557"/>
        <v>2026-07-29 13:18:01</v>
      </c>
      <c r="L11096" s="1" t="str">
        <f>"2018-12-14 13:42:11"</f>
        <v>2018-12-14 13:42:11</v>
      </c>
      <c r="M11096" s="1" t="s">
        <v>1</v>
      </c>
      <c r="N11096" s="1" t="s">
        <v>38</v>
      </c>
      <c r="O11096" s="1" t="s">
        <v>46</v>
      </c>
    </row>
    <row r="11097" spans="2:15" x14ac:dyDescent="0.3">
      <c r="B11097" s="1" t="s">
        <v>20</v>
      </c>
      <c r="C11097" s="1" t="str">
        <f>"1차"</f>
        <v>1차</v>
      </c>
      <c r="D11097" s="1" t="str">
        <f>"0024A52100"</f>
        <v>0024A52100</v>
      </c>
      <c r="E11097" s="1" t="s">
        <v>10</v>
      </c>
      <c r="F11097" s="1" t="str">
        <f>"10.125.226.210"</f>
        <v>10.125.226.210</v>
      </c>
      <c r="G11097" s="1" t="str">
        <f>"0024A521"</f>
        <v>0024A521</v>
      </c>
      <c r="H11097" s="1" t="str">
        <f>"관광간 39R2"</f>
        <v>관광간 39R2</v>
      </c>
      <c r="I11097" s="1" t="s">
        <v>8</v>
      </c>
      <c r="J11097" s="1" t="str">
        <f>"66/66"</f>
        <v>66/66</v>
      </c>
      <c r="K11097" s="1" t="str">
        <f t="shared" si="557"/>
        <v>2026-07-29 13:18:01</v>
      </c>
      <c r="L11097" s="1" t="str">
        <f>"2014-12-01 17:32:45"</f>
        <v>2014-12-01 17:32:45</v>
      </c>
      <c r="M11097" s="1" t="s">
        <v>45</v>
      </c>
      <c r="N11097" s="1" t="s">
        <v>38</v>
      </c>
      <c r="O11097" s="1" t="s">
        <v>46</v>
      </c>
    </row>
    <row r="11098" spans="2:15" x14ac:dyDescent="0.3">
      <c r="B11098" s="1" t="s">
        <v>20</v>
      </c>
      <c r="C11098" s="1" t="str">
        <f>"4차"</f>
        <v>4차</v>
      </c>
      <c r="D11098" s="1" t="str">
        <f>"0024A55244"</f>
        <v>0024A55244</v>
      </c>
      <c r="E11098" s="1" t="s">
        <v>10</v>
      </c>
      <c r="F11098" s="1" t="str">
        <f>"10.10.85.210"</f>
        <v>10.10.85.210</v>
      </c>
      <c r="G11098" s="1" t="str">
        <f>"0024A552"</f>
        <v>0024A552</v>
      </c>
      <c r="H11098" s="1" t="str">
        <f>"관광간 59L2"</f>
        <v>관광간 59L2</v>
      </c>
      <c r="I11098" s="1" t="s">
        <v>8</v>
      </c>
      <c r="J11098" s="1" t="str">
        <f>"41/41"</f>
        <v>41/41</v>
      </c>
      <c r="K11098" s="1" t="str">
        <f t="shared" si="557"/>
        <v>2026-07-29 13:18:01</v>
      </c>
      <c r="L11098" s="1" t="str">
        <f>"2019-10-08 15:41:54"</f>
        <v>2019-10-08 15:41:54</v>
      </c>
      <c r="M11098" s="1" t="s">
        <v>1</v>
      </c>
      <c r="N11098" s="1" t="s">
        <v>38</v>
      </c>
      <c r="O11098" s="1" t="s">
        <v>46</v>
      </c>
    </row>
    <row r="11099" spans="2:15" x14ac:dyDescent="0.3">
      <c r="B11099" s="1" t="s">
        <v>20</v>
      </c>
      <c r="C11099" s="1" t="str">
        <f>"4차"</f>
        <v>4차</v>
      </c>
      <c r="D11099" s="1" t="str">
        <f>"0024A56144"</f>
        <v>0024A56144</v>
      </c>
      <c r="E11099" s="1" t="s">
        <v>10</v>
      </c>
      <c r="F11099" s="1" t="str">
        <f>"10.10.85.170"</f>
        <v>10.10.85.170</v>
      </c>
      <c r="G11099" s="1" t="str">
        <f>"0024A561"</f>
        <v>0024A561</v>
      </c>
      <c r="H11099" s="1" t="str">
        <f>"관광간 59L4L2"</f>
        <v>관광간 59L4L2</v>
      </c>
      <c r="I11099" s="1" t="s">
        <v>8</v>
      </c>
      <c r="J11099" s="1" t="str">
        <f>"29/30"</f>
        <v>29/30</v>
      </c>
      <c r="K11099" s="1" t="str">
        <f t="shared" si="557"/>
        <v>2026-07-29 13:18:01</v>
      </c>
      <c r="L11099" s="1" t="str">
        <f>"2019-12-17 15:36:18"</f>
        <v>2019-12-17 15:36:18</v>
      </c>
      <c r="M11099" s="1" t="s">
        <v>1</v>
      </c>
      <c r="N11099" s="1" t="s">
        <v>38</v>
      </c>
      <c r="O11099" s="1" t="s">
        <v>46</v>
      </c>
    </row>
    <row r="11100" spans="2:15" x14ac:dyDescent="0.3">
      <c r="B11100" s="1" t="s">
        <v>20</v>
      </c>
      <c r="C11100" s="1" t="str">
        <f>"4차"</f>
        <v>4차</v>
      </c>
      <c r="D11100" s="1" t="str">
        <f>"0024A60144"</f>
        <v>0024A60144</v>
      </c>
      <c r="E11100" s="1" t="s">
        <v>10</v>
      </c>
      <c r="F11100" s="1" t="str">
        <f>"10.10.87.234"</f>
        <v>10.10.87.234</v>
      </c>
      <c r="G11100" s="1" t="str">
        <f>"0024A601"</f>
        <v>0024A601</v>
      </c>
      <c r="H11100" s="1" t="str">
        <f>"관광간 36R4R1"</f>
        <v>관광간 36R4R1</v>
      </c>
      <c r="I11100" s="1" t="s">
        <v>8</v>
      </c>
      <c r="J11100" s="1" t="str">
        <f>"60/60"</f>
        <v>60/60</v>
      </c>
      <c r="K11100" s="1" t="str">
        <f t="shared" si="557"/>
        <v>2026-07-29 13:18:01</v>
      </c>
      <c r="L11100" s="1" t="str">
        <f>"2018-12-14 13:56:41"</f>
        <v>2018-12-14 13:56:41</v>
      </c>
      <c r="M11100" s="1" t="s">
        <v>1</v>
      </c>
      <c r="N11100" s="1" t="s">
        <v>38</v>
      </c>
      <c r="O11100" s="1" t="s">
        <v>46</v>
      </c>
    </row>
    <row r="11101" spans="2:15" x14ac:dyDescent="0.3">
      <c r="B11101" s="1" t="s">
        <v>20</v>
      </c>
      <c r="C11101" s="1" t="str">
        <f>"4차"</f>
        <v>4차</v>
      </c>
      <c r="D11101" s="1" t="str">
        <f>"0024A61144"</f>
        <v>0024A61144</v>
      </c>
      <c r="E11101" s="1" t="s">
        <v>10</v>
      </c>
      <c r="F11101" s="1" t="str">
        <f>"10.10.88.186"</f>
        <v>10.10.88.186</v>
      </c>
      <c r="G11101" s="1" t="str">
        <f>"0024A611"</f>
        <v>0024A611</v>
      </c>
      <c r="H11101" s="1" t="str">
        <f>"관광간 36R4"</f>
        <v>관광간 36R4</v>
      </c>
      <c r="I11101" s="1" t="s">
        <v>8</v>
      </c>
      <c r="J11101" s="1" t="str">
        <f>"41/41"</f>
        <v>41/41</v>
      </c>
      <c r="K11101" s="1" t="str">
        <f t="shared" si="557"/>
        <v>2026-07-29 13:18:01</v>
      </c>
      <c r="L11101" s="1" t="str">
        <f>"2018-12-14 13:43:25"</f>
        <v>2018-12-14 13:43:25</v>
      </c>
      <c r="M11101" s="1" t="s">
        <v>1</v>
      </c>
      <c r="N11101" s="1" t="s">
        <v>38</v>
      </c>
      <c r="O11101" s="1" t="s">
        <v>46</v>
      </c>
    </row>
    <row r="11102" spans="2:15" x14ac:dyDescent="0.3">
      <c r="B11102" s="1" t="s">
        <v>20</v>
      </c>
      <c r="C11102" s="1" t="str">
        <f>"1차"</f>
        <v>1차</v>
      </c>
      <c r="D11102" s="1" t="str">
        <f>"0024A64200"</f>
        <v>0024A64200</v>
      </c>
      <c r="E11102" s="1" t="s">
        <v>10</v>
      </c>
      <c r="F11102" s="1" t="str">
        <f>"10.125.226.250"</f>
        <v>10.125.226.250</v>
      </c>
      <c r="G11102" s="1" t="str">
        <f>"0024A642"</f>
        <v>0024A642</v>
      </c>
      <c r="H11102" s="1" t="str">
        <f>"관광간 61R1"</f>
        <v>관광간 61R1</v>
      </c>
      <c r="I11102" s="1" t="s">
        <v>8</v>
      </c>
      <c r="J11102" s="1" t="str">
        <f>"23/23"</f>
        <v>23/23</v>
      </c>
      <c r="K11102" s="1" t="str">
        <f t="shared" si="557"/>
        <v>2026-07-29 13:18:01</v>
      </c>
      <c r="L11102" s="1" t="str">
        <f>"2014-12-11 11:33:03"</f>
        <v>2014-12-11 11:33:03</v>
      </c>
      <c r="M11102" s="1" t="s">
        <v>45</v>
      </c>
      <c r="N11102" s="1" t="s">
        <v>38</v>
      </c>
      <c r="O11102" s="1" t="s">
        <v>46</v>
      </c>
    </row>
    <row r="11103" spans="2:15" x14ac:dyDescent="0.3">
      <c r="B11103" s="1" t="s">
        <v>20</v>
      </c>
      <c r="C11103" s="1" t="str">
        <f>"3차"</f>
        <v>3차</v>
      </c>
      <c r="D11103" s="1" t="str">
        <f>"0024A64439"</f>
        <v>0024A64439</v>
      </c>
      <c r="E11103" s="1" t="s">
        <v>10</v>
      </c>
      <c r="F11103" s="1" t="str">
        <f>"10.12.129.198"</f>
        <v>10.12.129.198</v>
      </c>
      <c r="G11103" s="1" t="str">
        <f>"0024A644"</f>
        <v>0024A644</v>
      </c>
      <c r="H11103" s="1" t="str">
        <f>"관광간 60"</f>
        <v>관광간 60</v>
      </c>
      <c r="I11103" s="1" t="s">
        <v>8</v>
      </c>
      <c r="J11103" s="1" t="str">
        <f>"27/27"</f>
        <v>27/27</v>
      </c>
      <c r="K11103" s="1" t="str">
        <f t="shared" si="557"/>
        <v>2026-07-29 13:18:01</v>
      </c>
      <c r="L11103" s="1" t="str">
        <f>"2018-04-25 18:04:15"</f>
        <v>2018-04-25 18:04:15</v>
      </c>
      <c r="M11103" s="1" t="s">
        <v>0</v>
      </c>
      <c r="N11103" s="1" t="s">
        <v>38</v>
      </c>
      <c r="O11103" s="1" t="s">
        <v>46</v>
      </c>
    </row>
    <row r="11104" spans="2:15" x14ac:dyDescent="0.3">
      <c r="B11104" s="1" t="s">
        <v>20</v>
      </c>
      <c r="C11104" s="1" t="str">
        <f t="shared" ref="C11104:C11110" si="558">"4차"</f>
        <v>4차</v>
      </c>
      <c r="D11104" s="1" t="str">
        <f>"0024A66244"</f>
        <v>0024A66244</v>
      </c>
      <c r="E11104" s="1" t="s">
        <v>10</v>
      </c>
      <c r="F11104" s="1" t="str">
        <f>"10.10.118.10"</f>
        <v>10.10.118.10</v>
      </c>
      <c r="G11104" s="1" t="str">
        <f>"0024A662"</f>
        <v>0024A662</v>
      </c>
      <c r="H11104" s="1" t="str">
        <f>"관광간 59L4"</f>
        <v>관광간 59L4</v>
      </c>
      <c r="I11104" s="1" t="s">
        <v>8</v>
      </c>
      <c r="J11104" s="1" t="str">
        <f>"16/16"</f>
        <v>16/16</v>
      </c>
      <c r="K11104" s="1" t="str">
        <f t="shared" si="557"/>
        <v>2026-07-29 13:18:01</v>
      </c>
      <c r="L11104" s="1" t="str">
        <f>"2020-01-21 16:41:09"</f>
        <v>2020-01-21 16:41:09</v>
      </c>
      <c r="M11104" s="1" t="s">
        <v>1</v>
      </c>
      <c r="N11104" s="1" t="s">
        <v>38</v>
      </c>
      <c r="O11104" s="1" t="s">
        <v>46</v>
      </c>
    </row>
    <row r="11105" spans="2:15" x14ac:dyDescent="0.3">
      <c r="B11105" s="1" t="s">
        <v>20</v>
      </c>
      <c r="C11105" s="1" t="str">
        <f t="shared" si="558"/>
        <v>4차</v>
      </c>
      <c r="D11105" s="1" t="str">
        <f>"0024A66544"</f>
        <v>0024A66544</v>
      </c>
      <c r="E11105" s="1" t="s">
        <v>10</v>
      </c>
      <c r="F11105" s="1" t="str">
        <f>"10.10.85.58"</f>
        <v>10.10.85.58</v>
      </c>
      <c r="G11105" s="1" t="str">
        <f>"0024A665"</f>
        <v>0024A665</v>
      </c>
      <c r="H11105" s="1" t="str">
        <f>"관광간 59L4R1"</f>
        <v>관광간 59L4R1</v>
      </c>
      <c r="I11105" s="1" t="s">
        <v>8</v>
      </c>
      <c r="J11105" s="1" t="str">
        <f>"68/72"</f>
        <v>68/72</v>
      </c>
      <c r="K11105" s="1" t="str">
        <f t="shared" si="557"/>
        <v>2026-07-29 13:18:01</v>
      </c>
      <c r="L11105" s="1" t="str">
        <f>"2019-10-29 15:23:04"</f>
        <v>2019-10-29 15:23:04</v>
      </c>
      <c r="M11105" s="1" t="s">
        <v>1</v>
      </c>
      <c r="N11105" s="1" t="s">
        <v>38</v>
      </c>
      <c r="O11105" s="1" t="s">
        <v>46</v>
      </c>
    </row>
    <row r="11106" spans="2:15" x14ac:dyDescent="0.3">
      <c r="B11106" s="1" t="s">
        <v>20</v>
      </c>
      <c r="C11106" s="1" t="str">
        <f t="shared" si="558"/>
        <v>4차</v>
      </c>
      <c r="D11106" s="1" t="str">
        <f>"0024A67144"</f>
        <v>0024A67144</v>
      </c>
      <c r="E11106" s="1" t="s">
        <v>10</v>
      </c>
      <c r="F11106" s="1" t="str">
        <f>"10.10.83.2"</f>
        <v>10.10.83.2</v>
      </c>
      <c r="G11106" s="1" t="str">
        <f>"0024A671"</f>
        <v>0024A671</v>
      </c>
      <c r="H11106" s="1" t="str">
        <f>"관광간 59L5"</f>
        <v>관광간 59L5</v>
      </c>
      <c r="I11106" s="1" t="s">
        <v>8</v>
      </c>
      <c r="J11106" s="1" t="str">
        <f>"47/47"</f>
        <v>47/47</v>
      </c>
      <c r="K11106" s="1" t="str">
        <f t="shared" si="557"/>
        <v>2026-07-29 13:18:01</v>
      </c>
      <c r="L11106" s="1" t="str">
        <f>"2019-12-17 15:37:47"</f>
        <v>2019-12-17 15:37:47</v>
      </c>
      <c r="M11106" s="1" t="s">
        <v>1</v>
      </c>
      <c r="N11106" s="1" t="s">
        <v>38</v>
      </c>
      <c r="O11106" s="1" t="s">
        <v>46</v>
      </c>
    </row>
    <row r="11107" spans="2:15" x14ac:dyDescent="0.3">
      <c r="B11107" s="1" t="s">
        <v>20</v>
      </c>
      <c r="C11107" s="1" t="str">
        <f t="shared" si="558"/>
        <v>4차</v>
      </c>
      <c r="D11107" s="1" t="str">
        <f>"0024A70544"</f>
        <v>0024A70544</v>
      </c>
      <c r="E11107" s="1" t="s">
        <v>10</v>
      </c>
      <c r="F11107" s="1" t="str">
        <f>"10.10.87.210"</f>
        <v>10.10.87.210</v>
      </c>
      <c r="G11107" s="1" t="str">
        <f>"0024A705"</f>
        <v>0024A705</v>
      </c>
      <c r="H11107" s="1" t="str">
        <f>"관광간 36R5"</f>
        <v>관광간 36R5</v>
      </c>
      <c r="I11107" s="1" t="s">
        <v>8</v>
      </c>
      <c r="J11107" s="1" t="str">
        <f>"18/18"</f>
        <v>18/18</v>
      </c>
      <c r="K11107" s="1" t="str">
        <f t="shared" si="557"/>
        <v>2026-07-29 13:18:01</v>
      </c>
      <c r="L11107" s="1" t="str">
        <f>"2018-12-14 13:48:26"</f>
        <v>2018-12-14 13:48:26</v>
      </c>
      <c r="M11107" s="1" t="s">
        <v>1</v>
      </c>
      <c r="N11107" s="1" t="s">
        <v>38</v>
      </c>
      <c r="O11107" s="1" t="s">
        <v>46</v>
      </c>
    </row>
    <row r="11108" spans="2:15" x14ac:dyDescent="0.3">
      <c r="B11108" s="1" t="s">
        <v>20</v>
      </c>
      <c r="C11108" s="1" t="str">
        <f t="shared" si="558"/>
        <v>4차</v>
      </c>
      <c r="D11108" s="1" t="str">
        <f>"0024A72444"</f>
        <v>0024A72444</v>
      </c>
      <c r="E11108" s="1" t="s">
        <v>10</v>
      </c>
      <c r="F11108" s="1" t="str">
        <f>"10.10.118.58"</f>
        <v>10.10.118.58</v>
      </c>
      <c r="G11108" s="1" t="str">
        <f>"0024A724"</f>
        <v>0024A724</v>
      </c>
      <c r="H11108" s="1" t="str">
        <f>"관광간 85"</f>
        <v>관광간 85</v>
      </c>
      <c r="I11108" s="1" t="s">
        <v>8</v>
      </c>
      <c r="J11108" s="1" t="str">
        <f>"22/22"</f>
        <v>22/22</v>
      </c>
      <c r="K11108" s="1" t="str">
        <f t="shared" si="557"/>
        <v>2026-07-29 13:18:01</v>
      </c>
      <c r="L11108" s="1" t="str">
        <f>"2019-10-29 15:23:04"</f>
        <v>2019-10-29 15:23:04</v>
      </c>
      <c r="M11108" s="1" t="s">
        <v>1</v>
      </c>
      <c r="N11108" s="1" t="s">
        <v>38</v>
      </c>
      <c r="O11108" s="1" t="s">
        <v>46</v>
      </c>
    </row>
    <row r="11109" spans="2:15" x14ac:dyDescent="0.3">
      <c r="B11109" s="1" t="s">
        <v>20</v>
      </c>
      <c r="C11109" s="1" t="str">
        <f t="shared" si="558"/>
        <v>4차</v>
      </c>
      <c r="D11109" s="1" t="str">
        <f>"0024A73144"</f>
        <v>0024A73144</v>
      </c>
      <c r="E11109" s="1" t="s">
        <v>10</v>
      </c>
      <c r="F11109" s="1" t="str">
        <f>"10.10.117.218"</f>
        <v>10.10.117.218</v>
      </c>
      <c r="G11109" s="1" t="str">
        <f>"0024A731"</f>
        <v>0024A731</v>
      </c>
      <c r="H11109" s="1" t="str">
        <f>"관광간 39R7"</f>
        <v>관광간 39R7</v>
      </c>
      <c r="I11109" s="1" t="s">
        <v>8</v>
      </c>
      <c r="J11109" s="1" t="str">
        <f>"10/10"</f>
        <v>10/10</v>
      </c>
      <c r="K11109" s="1" t="str">
        <f t="shared" si="557"/>
        <v>2026-07-29 13:18:01</v>
      </c>
      <c r="L11109" s="1" t="str">
        <f>"2019-10-29 15:23:04"</f>
        <v>2019-10-29 15:23:04</v>
      </c>
      <c r="M11109" s="1" t="s">
        <v>1</v>
      </c>
      <c r="N11109" s="1" t="s">
        <v>38</v>
      </c>
      <c r="O11109" s="1" t="s">
        <v>46</v>
      </c>
    </row>
    <row r="11110" spans="2:15" x14ac:dyDescent="0.3">
      <c r="B11110" s="1" t="s">
        <v>20</v>
      </c>
      <c r="C11110" s="1" t="str">
        <f t="shared" si="558"/>
        <v>4차</v>
      </c>
      <c r="D11110" s="1" t="str">
        <f>"0024A75239"</f>
        <v>0024A75239</v>
      </c>
      <c r="E11110" s="1" t="s">
        <v>10</v>
      </c>
      <c r="F11110" s="1" t="str">
        <f>"10.12.136.233"</f>
        <v>10.12.136.233</v>
      </c>
      <c r="G11110" s="1" t="str">
        <f>"0024A752"</f>
        <v>0024A752</v>
      </c>
      <c r="H11110" s="1" t="str">
        <f>"관광간 61AR1"</f>
        <v>관광간 61AR1</v>
      </c>
      <c r="I11110" s="1" t="s">
        <v>8</v>
      </c>
      <c r="J11110" s="1" t="str">
        <f>"83/83"</f>
        <v>83/83</v>
      </c>
      <c r="K11110" s="1" t="str">
        <f t="shared" si="557"/>
        <v>2026-07-29 13:18:01</v>
      </c>
      <c r="L11110" s="1" t="str">
        <f>"2018-09-27 17:36:43"</f>
        <v>2018-09-27 17:36:43</v>
      </c>
      <c r="M11110" s="1" t="s">
        <v>0</v>
      </c>
      <c r="N11110" s="1" t="s">
        <v>38</v>
      </c>
      <c r="O11110" s="1" t="s">
        <v>46</v>
      </c>
    </row>
    <row r="11111" spans="2:15" x14ac:dyDescent="0.3">
      <c r="B11111" s="1" t="s">
        <v>20</v>
      </c>
      <c r="C11111" s="1" t="str">
        <f>"3차"</f>
        <v>3차</v>
      </c>
      <c r="D11111" s="1" t="str">
        <f>"0024A80239"</f>
        <v>0024A80239</v>
      </c>
      <c r="E11111" s="1" t="s">
        <v>10</v>
      </c>
      <c r="F11111" s="1" t="str">
        <f>"10.12.136.141"</f>
        <v>10.12.136.141</v>
      </c>
      <c r="G11111" s="1" t="str">
        <f>"0024A802"</f>
        <v>0024A802</v>
      </c>
      <c r="H11111" s="1" t="str">
        <f>"관광간 26R6"</f>
        <v>관광간 26R6</v>
      </c>
      <c r="I11111" s="1" t="s">
        <v>8</v>
      </c>
      <c r="J11111" s="1" t="str">
        <f>"60/60"</f>
        <v>60/60</v>
      </c>
      <c r="K11111" s="1" t="str">
        <f t="shared" si="557"/>
        <v>2026-07-29 13:18:01</v>
      </c>
      <c r="L11111" s="1" t="str">
        <f>"2018-12-26 10:26:57"</f>
        <v>2018-12-26 10:26:57</v>
      </c>
      <c r="M11111" s="1" t="s">
        <v>0</v>
      </c>
      <c r="N11111" s="1" t="s">
        <v>38</v>
      </c>
      <c r="O11111" s="1" t="s">
        <v>46</v>
      </c>
    </row>
    <row r="11112" spans="2:15" x14ac:dyDescent="0.3">
      <c r="B11112" s="1" t="s">
        <v>20</v>
      </c>
      <c r="C11112" s="1" t="str">
        <f>"4차"</f>
        <v>4차</v>
      </c>
      <c r="D11112" s="1" t="str">
        <f>"0024A93144"</f>
        <v>0024A93144</v>
      </c>
      <c r="E11112" s="1" t="s">
        <v>10</v>
      </c>
      <c r="F11112" s="1" t="str">
        <f>"10.10.118.42"</f>
        <v>10.10.118.42</v>
      </c>
      <c r="G11112" s="1" t="str">
        <f>"0024A931"</f>
        <v>0024A931</v>
      </c>
      <c r="H11112" s="1" t="str">
        <f>"관광간 82"</f>
        <v>관광간 82</v>
      </c>
      <c r="I11112" s="1" t="s">
        <v>8</v>
      </c>
      <c r="J11112" s="1" t="str">
        <f>"10/10"</f>
        <v>10/10</v>
      </c>
      <c r="K11112" s="1" t="str">
        <f t="shared" si="557"/>
        <v>2026-07-29 13:18:01</v>
      </c>
      <c r="L11112" s="1" t="str">
        <f>"2019-10-29 15:13:05"</f>
        <v>2019-10-29 15:13:05</v>
      </c>
      <c r="M11112" s="1" t="s">
        <v>1</v>
      </c>
      <c r="N11112" s="1" t="s">
        <v>38</v>
      </c>
      <c r="O11112" s="1" t="s">
        <v>46</v>
      </c>
    </row>
    <row r="11113" spans="2:15" x14ac:dyDescent="0.3">
      <c r="B11113" s="1" t="s">
        <v>20</v>
      </c>
      <c r="C11113" s="1" t="str">
        <f>"4차"</f>
        <v>4차</v>
      </c>
      <c r="D11113" s="1" t="str">
        <f>"0024B03244"</f>
        <v>0024B03244</v>
      </c>
      <c r="E11113" s="1" t="s">
        <v>10</v>
      </c>
      <c r="F11113" s="1" t="str">
        <f>"10.10.118.34"</f>
        <v>10.10.118.34</v>
      </c>
      <c r="G11113" s="1" t="str">
        <f>"0024B032"</f>
        <v>0024B032</v>
      </c>
      <c r="H11113" s="1" t="str">
        <f>"관광간 81"</f>
        <v>관광간 81</v>
      </c>
      <c r="I11113" s="1" t="s">
        <v>8</v>
      </c>
      <c r="J11113" s="1" t="str">
        <f>"16/16"</f>
        <v>16/16</v>
      </c>
      <c r="K11113" s="1" t="str">
        <f t="shared" si="557"/>
        <v>2026-07-29 13:18:01</v>
      </c>
      <c r="L11113" s="1" t="str">
        <f>"2019-11-12 11:03:03"</f>
        <v>2019-11-12 11:03:03</v>
      </c>
      <c r="M11113" s="1" t="s">
        <v>1</v>
      </c>
      <c r="N11113" s="1" t="s">
        <v>38</v>
      </c>
      <c r="O11113" s="1" t="s">
        <v>46</v>
      </c>
    </row>
    <row r="11114" spans="2:15" x14ac:dyDescent="0.3">
      <c r="B11114" s="1" t="s">
        <v>20</v>
      </c>
      <c r="C11114" s="1" t="str">
        <f>"4차"</f>
        <v>4차</v>
      </c>
      <c r="D11114" s="1" t="str">
        <f>"0024B04144"</f>
        <v>0024B04144</v>
      </c>
      <c r="E11114" s="1" t="s">
        <v>10</v>
      </c>
      <c r="F11114" s="1" t="str">
        <f>"10.10.82.242"</f>
        <v>10.10.82.242</v>
      </c>
      <c r="G11114" s="1" t="str">
        <f>"0024B041"</f>
        <v>0024B041</v>
      </c>
      <c r="H11114" s="1" t="str">
        <f>"관광간 77R1"</f>
        <v>관광간 77R1</v>
      </c>
      <c r="I11114" s="1" t="s">
        <v>8</v>
      </c>
      <c r="J11114" s="1" t="str">
        <f>"23/23"</f>
        <v>23/23</v>
      </c>
      <c r="K11114" s="1" t="str">
        <f t="shared" si="557"/>
        <v>2026-07-29 13:18:01</v>
      </c>
      <c r="L11114" s="1" t="str">
        <f>"2020-01-29 10:29:38"</f>
        <v>2020-01-29 10:29:38</v>
      </c>
      <c r="M11114" s="1" t="s">
        <v>1</v>
      </c>
      <c r="N11114" s="1" t="s">
        <v>38</v>
      </c>
      <c r="O11114" s="1" t="s">
        <v>46</v>
      </c>
    </row>
    <row r="11115" spans="2:15" x14ac:dyDescent="0.3">
      <c r="B11115" s="1" t="s">
        <v>20</v>
      </c>
      <c r="C11115" s="1" t="str">
        <f>"1차"</f>
        <v>1차</v>
      </c>
      <c r="D11115" s="1" t="str">
        <f>"0024C03101"</f>
        <v>0024C03101</v>
      </c>
      <c r="E11115" s="1" t="s">
        <v>10</v>
      </c>
      <c r="F11115" s="1" t="str">
        <f>"10.125.226.196"</f>
        <v>10.125.226.196</v>
      </c>
      <c r="G11115" s="1" t="str">
        <f>"0024C031"</f>
        <v>0024C031</v>
      </c>
      <c r="H11115" s="1" t="str">
        <f>"관광간 25L13"</f>
        <v>관광간 25L13</v>
      </c>
      <c r="I11115" s="1" t="s">
        <v>8</v>
      </c>
      <c r="J11115" s="1" t="str">
        <f>"23/23"</f>
        <v>23/23</v>
      </c>
      <c r="K11115" s="1" t="str">
        <f t="shared" si="557"/>
        <v>2026-07-29 13:18:01</v>
      </c>
      <c r="L11115" s="1" t="str">
        <f>"2014-11-27 11:52:40"</f>
        <v>2014-11-27 11:52:40</v>
      </c>
      <c r="M11115" s="1" t="s">
        <v>45</v>
      </c>
      <c r="N11115" s="1" t="s">
        <v>38</v>
      </c>
      <c r="O11115" s="1" t="s">
        <v>46</v>
      </c>
    </row>
    <row r="11116" spans="2:15" x14ac:dyDescent="0.3">
      <c r="B11116" s="1" t="s">
        <v>20</v>
      </c>
      <c r="C11116" s="1" t="str">
        <f>"4차"</f>
        <v>4차</v>
      </c>
      <c r="D11116" s="1" t="str">
        <f>"0024C05444"</f>
        <v>0024C05444</v>
      </c>
      <c r="E11116" s="1" t="s">
        <v>10</v>
      </c>
      <c r="F11116" s="1" t="str">
        <f>"10.10.89.114"</f>
        <v>10.10.89.114</v>
      </c>
      <c r="G11116" s="1" t="str">
        <f>"0024C054"</f>
        <v>0024C054</v>
      </c>
      <c r="H11116" s="1" t="str">
        <f>"관광간 25L10AR5"</f>
        <v>관광간 25L10AR5</v>
      </c>
      <c r="I11116" s="1" t="s">
        <v>8</v>
      </c>
      <c r="J11116" s="1" t="str">
        <f>"83/83"</f>
        <v>83/83</v>
      </c>
      <c r="K11116" s="1" t="str">
        <f t="shared" si="557"/>
        <v>2026-07-29 13:18:01</v>
      </c>
      <c r="L11116" s="1" t="str">
        <f>"2018-12-14 11:54:40"</f>
        <v>2018-12-14 11:54:40</v>
      </c>
      <c r="M11116" s="1" t="s">
        <v>1</v>
      </c>
      <c r="N11116" s="1" t="s">
        <v>38</v>
      </c>
      <c r="O11116" s="1" t="s">
        <v>46</v>
      </c>
    </row>
    <row r="11117" spans="2:15" x14ac:dyDescent="0.3">
      <c r="B11117" s="1" t="s">
        <v>20</v>
      </c>
      <c r="C11117" s="1" t="str">
        <f>"3차"</f>
        <v>3차</v>
      </c>
      <c r="D11117" s="1" t="str">
        <f>"0024C08230"</f>
        <v>0024C08230</v>
      </c>
      <c r="E11117" s="1" t="s">
        <v>10</v>
      </c>
      <c r="F11117" s="1" t="str">
        <f>"10.10.38.146"</f>
        <v>10.10.38.146</v>
      </c>
      <c r="G11117" s="1" t="str">
        <f>"0024C082"</f>
        <v>0024C082</v>
      </c>
      <c r="H11117" s="1" t="str">
        <f>"관광간 25L3R5"</f>
        <v>관광간 25L3R5</v>
      </c>
      <c r="I11117" s="1" t="s">
        <v>8</v>
      </c>
      <c r="J11117" s="1" t="str">
        <f>"35/35"</f>
        <v>35/35</v>
      </c>
      <c r="K11117" s="1" t="str">
        <f t="shared" si="557"/>
        <v>2026-07-29 13:18:01</v>
      </c>
      <c r="L11117" s="1" t="str">
        <f>"2018-01-08 14:11:12"</f>
        <v>2018-01-08 14:11:12</v>
      </c>
      <c r="M11117" s="1" t="s">
        <v>1</v>
      </c>
      <c r="N11117" s="1" t="s">
        <v>38</v>
      </c>
      <c r="O11117" s="1" t="s">
        <v>46</v>
      </c>
    </row>
    <row r="11118" spans="2:15" x14ac:dyDescent="0.3">
      <c r="B11118" s="1" t="s">
        <v>20</v>
      </c>
      <c r="C11118" s="1" t="str">
        <f>"4차"</f>
        <v>4차</v>
      </c>
      <c r="D11118" s="1" t="str">
        <f>"0024C11139"</f>
        <v>0024C11139</v>
      </c>
      <c r="E11118" s="1" t="s">
        <v>10</v>
      </c>
      <c r="F11118" s="1" t="str">
        <f>"10.10.37.218"</f>
        <v>10.10.37.218</v>
      </c>
      <c r="G11118" s="1" t="str">
        <f>"0024C111"</f>
        <v>0024C111</v>
      </c>
      <c r="H11118" s="1" t="str">
        <f>"관광간 25L12L4"</f>
        <v>관광간 25L12L4</v>
      </c>
      <c r="I11118" s="1" t="s">
        <v>8</v>
      </c>
      <c r="J11118" s="1" t="str">
        <f>"42/42"</f>
        <v>42/42</v>
      </c>
      <c r="K11118" s="1" t="str">
        <f t="shared" si="557"/>
        <v>2026-07-29 13:18:01</v>
      </c>
      <c r="L11118" s="1" t="str">
        <f>"2018-01-09 05:12:23"</f>
        <v>2018-01-09 05:12:23</v>
      </c>
      <c r="M11118" s="1" t="s">
        <v>1</v>
      </c>
      <c r="N11118" s="1" t="s">
        <v>38</v>
      </c>
      <c r="O11118" s="1" t="s">
        <v>46</v>
      </c>
    </row>
    <row r="11119" spans="2:15" x14ac:dyDescent="0.3">
      <c r="B11119" s="1" t="s">
        <v>20</v>
      </c>
      <c r="C11119" s="1" t="str">
        <f>"3차"</f>
        <v>3차</v>
      </c>
      <c r="D11119" s="1" t="str">
        <f>"0024C12139"</f>
        <v>0024C12139</v>
      </c>
      <c r="E11119" s="1" t="s">
        <v>10</v>
      </c>
      <c r="F11119" s="1" t="str">
        <f>"10.10.38.90"</f>
        <v>10.10.38.90</v>
      </c>
      <c r="G11119" s="1" t="str">
        <f>"0024C121"</f>
        <v>0024C121</v>
      </c>
      <c r="H11119" s="1" t="str">
        <f>"관광간 25L12L2"</f>
        <v>관광간 25L12L2</v>
      </c>
      <c r="I11119" s="1" t="s">
        <v>8</v>
      </c>
      <c r="J11119" s="1" t="str">
        <f>"10/10"</f>
        <v>10/10</v>
      </c>
      <c r="K11119" s="1" t="str">
        <f t="shared" si="557"/>
        <v>2026-07-29 13:18:01</v>
      </c>
      <c r="L11119" s="1" t="str">
        <f>"2018-01-11 11:58:25"</f>
        <v>2018-01-11 11:58:25</v>
      </c>
      <c r="M11119" s="1" t="s">
        <v>1</v>
      </c>
      <c r="N11119" s="1" t="s">
        <v>38</v>
      </c>
      <c r="O11119" s="1" t="s">
        <v>46</v>
      </c>
    </row>
    <row r="11120" spans="2:15" x14ac:dyDescent="0.3">
      <c r="B11120" s="1" t="s">
        <v>20</v>
      </c>
      <c r="C11120" s="1" t="str">
        <f>"3차"</f>
        <v>3차</v>
      </c>
      <c r="D11120" s="1" t="str">
        <f>"0024C12239"</f>
        <v>0024C12239</v>
      </c>
      <c r="E11120" s="1" t="s">
        <v>10</v>
      </c>
      <c r="F11120" s="1" t="str">
        <f>"10.10.38.106"</f>
        <v>10.10.38.106</v>
      </c>
      <c r="G11120" s="1" t="str">
        <f>"0024C122"</f>
        <v>0024C122</v>
      </c>
      <c r="H11120" s="1" t="str">
        <f>"관광간 25L12L3"</f>
        <v>관광간 25L12L3</v>
      </c>
      <c r="I11120" s="1" t="s">
        <v>8</v>
      </c>
      <c r="J11120" s="1" t="str">
        <f>"21/21"</f>
        <v>21/21</v>
      </c>
      <c r="K11120" s="1" t="str">
        <f t="shared" si="557"/>
        <v>2026-07-29 13:18:01</v>
      </c>
      <c r="L11120" s="1" t="str">
        <f>"2018-01-08 18:10:14"</f>
        <v>2018-01-08 18:10:14</v>
      </c>
      <c r="M11120" s="1" t="s">
        <v>1</v>
      </c>
      <c r="N11120" s="1" t="s">
        <v>38</v>
      </c>
      <c r="O11120" s="1" t="s">
        <v>46</v>
      </c>
    </row>
    <row r="11121" spans="2:15" x14ac:dyDescent="0.3">
      <c r="B11121" s="1" t="s">
        <v>20</v>
      </c>
      <c r="C11121" s="1" t="str">
        <f>"4차"</f>
        <v>4차</v>
      </c>
      <c r="D11121" s="1" t="str">
        <f>"0024C13239"</f>
        <v>0024C13239</v>
      </c>
      <c r="E11121" s="1" t="s">
        <v>10</v>
      </c>
      <c r="F11121" s="1" t="str">
        <f>"10.12.132.83"</f>
        <v>10.12.132.83</v>
      </c>
      <c r="G11121" s="1" t="str">
        <f>"0024C132"</f>
        <v>0024C132</v>
      </c>
      <c r="H11121" s="1" t="str">
        <f>"관광간 25L10AR1"</f>
        <v>관광간 25L10AR1</v>
      </c>
      <c r="I11121" s="1" t="s">
        <v>8</v>
      </c>
      <c r="J11121" s="1" t="str">
        <f>"4/4"</f>
        <v>4/4</v>
      </c>
      <c r="K11121" s="1" t="str">
        <f t="shared" si="557"/>
        <v>2026-07-29 13:18:01</v>
      </c>
      <c r="L11121" s="1" t="str">
        <f>"2018-03-31 08:01:24"</f>
        <v>2018-03-31 08:01:24</v>
      </c>
      <c r="M11121" s="1" t="s">
        <v>0</v>
      </c>
      <c r="N11121" s="1" t="s">
        <v>38</v>
      </c>
      <c r="O11121" s="1" t="s">
        <v>46</v>
      </c>
    </row>
    <row r="11122" spans="2:15" x14ac:dyDescent="0.3">
      <c r="B11122" s="1" t="s">
        <v>20</v>
      </c>
      <c r="C11122" s="1" t="str">
        <f>"4차"</f>
        <v>4차</v>
      </c>
      <c r="D11122" s="1" t="str">
        <f>"0024C13339"</f>
        <v>0024C13339</v>
      </c>
      <c r="E11122" s="1" t="s">
        <v>10</v>
      </c>
      <c r="F11122" s="1" t="str">
        <f>"10.10.38.98"</f>
        <v>10.10.38.98</v>
      </c>
      <c r="G11122" s="1" t="str">
        <f>"0024C133"</f>
        <v>0024C133</v>
      </c>
      <c r="H11122" s="1" t="str">
        <f>"관광간 25L12L2L1"</f>
        <v>관광간 25L12L2L1</v>
      </c>
      <c r="I11122" s="1" t="s">
        <v>8</v>
      </c>
      <c r="J11122" s="1" t="str">
        <f>"26/26"</f>
        <v>26/26</v>
      </c>
      <c r="K11122" s="1" t="str">
        <f t="shared" si="557"/>
        <v>2026-07-29 13:18:01</v>
      </c>
      <c r="L11122" s="1" t="str">
        <f>"2018-05-15 16:20:30"</f>
        <v>2018-05-15 16:20:30</v>
      </c>
      <c r="M11122" s="1" t="s">
        <v>1</v>
      </c>
      <c r="N11122" s="1" t="s">
        <v>38</v>
      </c>
      <c r="O11122" s="1" t="s">
        <v>46</v>
      </c>
    </row>
    <row r="11123" spans="2:15" x14ac:dyDescent="0.3">
      <c r="B11123" s="1" t="s">
        <v>20</v>
      </c>
      <c r="C11123" s="1" t="str">
        <f>"3차"</f>
        <v>3차</v>
      </c>
      <c r="D11123" s="1" t="str">
        <f>"0024C14139"</f>
        <v>0024C14139</v>
      </c>
      <c r="E11123" s="1" t="s">
        <v>10</v>
      </c>
      <c r="F11123" s="1" t="str">
        <f>"10.10.40.242"</f>
        <v>10.10.40.242</v>
      </c>
      <c r="G11123" s="1" t="str">
        <f>"0024C141"</f>
        <v>0024C141</v>
      </c>
      <c r="H11123" s="1" t="str">
        <f>"관광간 25L10AR2"</f>
        <v>관광간 25L10AR2</v>
      </c>
      <c r="I11123" s="1" t="s">
        <v>8</v>
      </c>
      <c r="J11123" s="1" t="str">
        <f>"8/8"</f>
        <v>8/8</v>
      </c>
      <c r="K11123" s="1" t="str">
        <f t="shared" si="557"/>
        <v>2026-07-29 13:18:01</v>
      </c>
      <c r="L11123" s="1" t="str">
        <f>"2018-01-08 16:56:44"</f>
        <v>2018-01-08 16:56:44</v>
      </c>
      <c r="M11123" s="1" t="s">
        <v>1</v>
      </c>
      <c r="N11123" s="1" t="s">
        <v>38</v>
      </c>
      <c r="O11123" s="1" t="s">
        <v>46</v>
      </c>
    </row>
    <row r="11124" spans="2:15" x14ac:dyDescent="0.3">
      <c r="B11124" s="1" t="s">
        <v>20</v>
      </c>
      <c r="C11124" s="1" t="str">
        <f>"4차"</f>
        <v>4차</v>
      </c>
      <c r="D11124" s="1" t="str">
        <f>"0024C17139"</f>
        <v>0024C17139</v>
      </c>
      <c r="E11124" s="1" t="s">
        <v>10</v>
      </c>
      <c r="F11124" s="1" t="str">
        <f>"10.10.38.138"</f>
        <v>10.10.38.138</v>
      </c>
      <c r="G11124" s="1" t="str">
        <f>"0024C171"</f>
        <v>0024C171</v>
      </c>
      <c r="H11124" s="1" t="str">
        <f>"관광간 25L3R3"</f>
        <v>관광간 25L3R3</v>
      </c>
      <c r="I11124" s="1" t="s">
        <v>8</v>
      </c>
      <c r="J11124" s="1" t="str">
        <f>"44/47"</f>
        <v>44/47</v>
      </c>
      <c r="K11124" s="1" t="str">
        <f t="shared" si="557"/>
        <v>2026-07-29 13:18:01</v>
      </c>
      <c r="L11124" s="1" t="str">
        <f>"2018-01-08 14:28:12"</f>
        <v>2018-01-08 14:28:12</v>
      </c>
      <c r="M11124" s="1" t="s">
        <v>1</v>
      </c>
      <c r="N11124" s="1" t="s">
        <v>38</v>
      </c>
      <c r="O11124" s="1" t="s">
        <v>46</v>
      </c>
    </row>
    <row r="11125" spans="2:15" x14ac:dyDescent="0.3">
      <c r="B11125" s="1" t="s">
        <v>20</v>
      </c>
      <c r="C11125" s="1" t="str">
        <f>"4차"</f>
        <v>4차</v>
      </c>
      <c r="D11125" s="1" t="str">
        <f>"0024C17239"</f>
        <v>0024C17239</v>
      </c>
      <c r="E11125" s="1" t="s">
        <v>10</v>
      </c>
      <c r="F11125" s="1" t="str">
        <f>"10.10.38.130"</f>
        <v>10.10.38.130</v>
      </c>
      <c r="G11125" s="1" t="str">
        <f>"0024C172"</f>
        <v>0024C172</v>
      </c>
      <c r="H11125" s="1" t="str">
        <f>"관광간 25L3R2"</f>
        <v>관광간 25L3R2</v>
      </c>
      <c r="I11125" s="1" t="s">
        <v>8</v>
      </c>
      <c r="J11125" s="1" t="str">
        <f>"34/34"</f>
        <v>34/34</v>
      </c>
      <c r="K11125" s="1" t="str">
        <f t="shared" si="557"/>
        <v>2026-07-29 13:18:01</v>
      </c>
      <c r="L11125" s="1" t="str">
        <f>"2018-01-08 12:15:11"</f>
        <v>2018-01-08 12:15:11</v>
      </c>
      <c r="M11125" s="1" t="s">
        <v>1</v>
      </c>
      <c r="N11125" s="1" t="s">
        <v>38</v>
      </c>
      <c r="O11125" s="1" t="s">
        <v>46</v>
      </c>
    </row>
    <row r="11126" spans="2:15" x14ac:dyDescent="0.3">
      <c r="B11126" s="1" t="s">
        <v>20</v>
      </c>
      <c r="C11126" s="1" t="str">
        <f>"3차"</f>
        <v>3차</v>
      </c>
      <c r="D11126" s="1" t="str">
        <f>"0024C18139"</f>
        <v>0024C18139</v>
      </c>
      <c r="E11126" s="1" t="s">
        <v>10</v>
      </c>
      <c r="F11126" s="1" t="str">
        <f>"10.10.39.18"</f>
        <v>10.10.39.18</v>
      </c>
      <c r="G11126" s="1" t="str">
        <f>"0024C181"</f>
        <v>0024C181</v>
      </c>
      <c r="H11126" s="1" t="str">
        <f>"관광간 25L3R4"</f>
        <v>관광간 25L3R4</v>
      </c>
      <c r="I11126" s="1" t="s">
        <v>8</v>
      </c>
      <c r="J11126" s="1" t="str">
        <f>"28/28"</f>
        <v>28/28</v>
      </c>
      <c r="K11126" s="1" t="str">
        <f t="shared" si="557"/>
        <v>2026-07-29 13:18:01</v>
      </c>
      <c r="L11126" s="1" t="str">
        <f>"2018-01-08 16:52:13"</f>
        <v>2018-01-08 16:52:13</v>
      </c>
      <c r="M11126" s="1" t="s">
        <v>1</v>
      </c>
      <c r="N11126" s="1" t="s">
        <v>38</v>
      </c>
      <c r="O11126" s="1" t="s">
        <v>46</v>
      </c>
    </row>
    <row r="11127" spans="2:15" x14ac:dyDescent="0.3">
      <c r="B11127" s="1" t="s">
        <v>20</v>
      </c>
      <c r="C11127" s="1" t="str">
        <f>"4차"</f>
        <v>4차</v>
      </c>
      <c r="D11127" s="1" t="str">
        <f>"0024C21239"</f>
        <v>0024C21239</v>
      </c>
      <c r="E11127" s="1" t="s">
        <v>14</v>
      </c>
      <c r="F11127" s="1" t="str">
        <f>"10.12.134.124"</f>
        <v>10.12.134.124</v>
      </c>
      <c r="G11127" s="1" t="str">
        <f>"0024C212"</f>
        <v>0024C212</v>
      </c>
      <c r="H11127" s="1" t="str">
        <f>"이태원로 49"</f>
        <v>이태원로 49</v>
      </c>
      <c r="I11127" s="1" t="s">
        <v>17</v>
      </c>
      <c r="J11127" s="1" t="str">
        <f>"0/0"</f>
        <v>0/0</v>
      </c>
      <c r="K11127" s="1" t="str">
        <f>"2026-04-09 01:18:02"</f>
        <v>2026-04-09 01:18:02</v>
      </c>
      <c r="L11127" s="1" t="str">
        <f>"2018-06-21 12:08:27"</f>
        <v>2018-06-21 12:08:27</v>
      </c>
      <c r="M11127" s="1" t="s">
        <v>0</v>
      </c>
      <c r="N11127" s="1" t="s">
        <v>39</v>
      </c>
      <c r="O11127" s="1" t="s">
        <v>46</v>
      </c>
    </row>
    <row r="11128" spans="2:15" x14ac:dyDescent="0.3">
      <c r="B11128" s="1" t="s">
        <v>20</v>
      </c>
      <c r="C11128" s="1" t="str">
        <f>"3차"</f>
        <v>3차</v>
      </c>
      <c r="D11128" s="1" t="str">
        <f>"0024C24339"</f>
        <v>0024C24339</v>
      </c>
      <c r="E11128" s="1" t="s">
        <v>10</v>
      </c>
      <c r="F11128" s="1" t="str">
        <f>"10.10.1.122"</f>
        <v>10.10.1.122</v>
      </c>
      <c r="G11128" s="1" t="str">
        <f>"0024C243"</f>
        <v>0024C243</v>
      </c>
      <c r="H11128" s="1" t="str">
        <f>"관광간 25L7"</f>
        <v>관광간 25L7</v>
      </c>
      <c r="I11128" s="1" t="s">
        <v>8</v>
      </c>
      <c r="J11128" s="1" t="str">
        <f>"15/18"</f>
        <v>15/18</v>
      </c>
      <c r="K11128" s="1" t="str">
        <f t="shared" ref="K11128:K11137" si="559">"2026-07-29 13:18:01"</f>
        <v>2026-07-29 13:18:01</v>
      </c>
      <c r="L11128" s="1" t="str">
        <f>"2018-01-08 15:13:28"</f>
        <v>2018-01-08 15:13:28</v>
      </c>
      <c r="M11128" s="1" t="s">
        <v>1</v>
      </c>
      <c r="N11128" s="1" t="s">
        <v>38</v>
      </c>
      <c r="O11128" s="1" t="s">
        <v>46</v>
      </c>
    </row>
    <row r="11129" spans="2:15" x14ac:dyDescent="0.3">
      <c r="B11129" s="1" t="s">
        <v>20</v>
      </c>
      <c r="C11129" s="1" t="str">
        <f>"3차"</f>
        <v>3차</v>
      </c>
      <c r="D11129" s="1" t="str">
        <f>"0024C25139"</f>
        <v>0024C25139</v>
      </c>
      <c r="E11129" s="1" t="s">
        <v>10</v>
      </c>
      <c r="F11129" s="1" t="str">
        <f>"10.10.27.50"</f>
        <v>10.10.27.50</v>
      </c>
      <c r="G11129" s="1" t="str">
        <f>"0024C251"</f>
        <v>0024C251</v>
      </c>
      <c r="H11129" s="1" t="str">
        <f>"관광간 25L4"</f>
        <v>관광간 25L4</v>
      </c>
      <c r="I11129" s="1" t="s">
        <v>8</v>
      </c>
      <c r="J11129" s="1" t="str">
        <f>"1/1"</f>
        <v>1/1</v>
      </c>
      <c r="K11129" s="1" t="str">
        <f t="shared" si="559"/>
        <v>2026-07-29 13:18:01</v>
      </c>
      <c r="L11129" s="1" t="str">
        <f>"2018-01-08 14:30:12"</f>
        <v>2018-01-08 14:30:12</v>
      </c>
      <c r="M11129" s="1" t="s">
        <v>1</v>
      </c>
      <c r="N11129" s="1" t="s">
        <v>38</v>
      </c>
      <c r="O11129" s="1" t="s">
        <v>46</v>
      </c>
    </row>
    <row r="11130" spans="2:15" x14ac:dyDescent="0.3">
      <c r="B11130" s="1" t="s">
        <v>20</v>
      </c>
      <c r="C11130" s="1" t="str">
        <f>"3차"</f>
        <v>3차</v>
      </c>
      <c r="D11130" s="1" t="str">
        <f>"0024C26130"</f>
        <v>0024C26130</v>
      </c>
      <c r="E11130" s="1" t="s">
        <v>10</v>
      </c>
      <c r="F11130" s="1" t="str">
        <f>"10.10.29.42"</f>
        <v>10.10.29.42</v>
      </c>
      <c r="G11130" s="1" t="str">
        <f>"0024C261"</f>
        <v>0024C261</v>
      </c>
      <c r="H11130" s="1" t="str">
        <f>"관광간 25L3R1R1"</f>
        <v>관광간 25L3R1R1</v>
      </c>
      <c r="I11130" s="1" t="s">
        <v>8</v>
      </c>
      <c r="J11130" s="1" t="str">
        <f>"18/18"</f>
        <v>18/18</v>
      </c>
      <c r="K11130" s="1" t="str">
        <f t="shared" si="559"/>
        <v>2026-07-29 13:18:01</v>
      </c>
      <c r="L11130" s="1" t="str">
        <f>"2018-06-12 12:39:27"</f>
        <v>2018-06-12 12:39:27</v>
      </c>
      <c r="M11130" s="1" t="s">
        <v>1</v>
      </c>
      <c r="N11130" s="1" t="s">
        <v>38</v>
      </c>
      <c r="O11130" s="1" t="s">
        <v>46</v>
      </c>
    </row>
    <row r="11131" spans="2:15" x14ac:dyDescent="0.3">
      <c r="B11131" s="1" t="s">
        <v>20</v>
      </c>
      <c r="C11131" s="1" t="str">
        <f>"3차"</f>
        <v>3차</v>
      </c>
      <c r="D11131" s="1" t="str">
        <f>"0024C28332"</f>
        <v>0024C28332</v>
      </c>
      <c r="E11131" s="1" t="s">
        <v>10</v>
      </c>
      <c r="F11131" s="1" t="str">
        <f>"10.10.38.204"</f>
        <v>10.10.38.204</v>
      </c>
      <c r="G11131" s="1" t="str">
        <f>"0024C283"</f>
        <v>0024C283</v>
      </c>
      <c r="H11131" s="1" t="str">
        <f>"관광간 31L1H1"</f>
        <v>관광간 31L1H1</v>
      </c>
      <c r="I11131" s="1" t="s">
        <v>8</v>
      </c>
      <c r="J11131" s="1" t="str">
        <f>"23/23"</f>
        <v>23/23</v>
      </c>
      <c r="K11131" s="1" t="str">
        <f t="shared" si="559"/>
        <v>2026-07-29 13:18:01</v>
      </c>
      <c r="L11131" s="1" t="str">
        <f>"2018-03-14 15:17:59"</f>
        <v>2018-03-14 15:17:59</v>
      </c>
      <c r="M11131" s="1" t="s">
        <v>1</v>
      </c>
      <c r="N11131" s="1" t="s">
        <v>38</v>
      </c>
      <c r="O11131" s="1" t="s">
        <v>46</v>
      </c>
    </row>
    <row r="11132" spans="2:15" x14ac:dyDescent="0.3">
      <c r="B11132" s="1" t="s">
        <v>20</v>
      </c>
      <c r="C11132" s="1" t="str">
        <f>"3차"</f>
        <v>3차</v>
      </c>
      <c r="D11132" s="1" t="str">
        <f>"0024C29231"</f>
        <v>0024C29231</v>
      </c>
      <c r="E11132" s="1" t="s">
        <v>10</v>
      </c>
      <c r="F11132" s="1" t="str">
        <f>"10.10.38.203"</f>
        <v>10.10.38.203</v>
      </c>
      <c r="G11132" s="1" t="str">
        <f>"0024C292"</f>
        <v>0024C292</v>
      </c>
      <c r="H11132" s="1" t="str">
        <f>"관광간 31L3"</f>
        <v>관광간 31L3</v>
      </c>
      <c r="I11132" s="1" t="s">
        <v>8</v>
      </c>
      <c r="J11132" s="1" t="str">
        <f>"13/13"</f>
        <v>13/13</v>
      </c>
      <c r="K11132" s="1" t="str">
        <f t="shared" si="559"/>
        <v>2026-07-29 13:18:01</v>
      </c>
      <c r="L11132" s="1" t="str">
        <f>"2018-03-14 15:13:57"</f>
        <v>2018-03-14 15:13:57</v>
      </c>
      <c r="M11132" s="1" t="s">
        <v>1</v>
      </c>
      <c r="N11132" s="1" t="s">
        <v>38</v>
      </c>
      <c r="O11132" s="1" t="s">
        <v>46</v>
      </c>
    </row>
    <row r="11133" spans="2:15" x14ac:dyDescent="0.3">
      <c r="B11133" s="1" t="s">
        <v>20</v>
      </c>
      <c r="C11133" s="1" t="str">
        <f>"4차"</f>
        <v>4차</v>
      </c>
      <c r="D11133" s="1" t="str">
        <f>"0024C29430"</f>
        <v>0024C29430</v>
      </c>
      <c r="E11133" s="1" t="s">
        <v>10</v>
      </c>
      <c r="F11133" s="1" t="str">
        <f>"10.10.38.202"</f>
        <v>10.10.38.202</v>
      </c>
      <c r="G11133" s="1" t="str">
        <f>"0024C294"</f>
        <v>0024C294</v>
      </c>
      <c r="H11133" s="1" t="str">
        <f>"관광간 31L2"</f>
        <v>관광간 31L2</v>
      </c>
      <c r="I11133" s="1" t="s">
        <v>8</v>
      </c>
      <c r="J11133" s="1" t="str">
        <f>"33/33"</f>
        <v>33/33</v>
      </c>
      <c r="K11133" s="1" t="str">
        <f t="shared" si="559"/>
        <v>2026-07-29 13:18:01</v>
      </c>
      <c r="L11133" s="1" t="str">
        <f>"2018-01-11 11:23:25"</f>
        <v>2018-01-11 11:23:25</v>
      </c>
      <c r="M11133" s="1" t="s">
        <v>1</v>
      </c>
      <c r="N11133" s="1" t="s">
        <v>38</v>
      </c>
      <c r="O11133" s="1" t="s">
        <v>46</v>
      </c>
    </row>
    <row r="11134" spans="2:15" x14ac:dyDescent="0.3">
      <c r="B11134" s="1" t="s">
        <v>20</v>
      </c>
      <c r="C11134" s="1" t="str">
        <f>"1차"</f>
        <v>1차</v>
      </c>
      <c r="D11134" s="1" t="str">
        <f>"0024C32100"</f>
        <v>0024C32100</v>
      </c>
      <c r="E11134" s="1" t="s">
        <v>10</v>
      </c>
      <c r="F11134" s="1" t="str">
        <f>"10.125.226.130"</f>
        <v>10.125.226.130</v>
      </c>
      <c r="G11134" s="1" t="str">
        <f>"0024C321"</f>
        <v>0024C321</v>
      </c>
      <c r="H11134" s="1" t="str">
        <f>"관광간 25L5L6"</f>
        <v>관광간 25L5L6</v>
      </c>
      <c r="I11134" s="1" t="s">
        <v>8</v>
      </c>
      <c r="J11134" s="1" t="str">
        <f>"20/20"</f>
        <v>20/20</v>
      </c>
      <c r="K11134" s="1" t="str">
        <f t="shared" si="559"/>
        <v>2026-07-29 13:18:01</v>
      </c>
      <c r="L11134" s="1" t="str">
        <f>"2014-12-11 10:39:01"</f>
        <v>2014-12-11 10:39:01</v>
      </c>
      <c r="M11134" s="1" t="s">
        <v>45</v>
      </c>
      <c r="N11134" s="1" t="s">
        <v>38</v>
      </c>
      <c r="O11134" s="1" t="s">
        <v>46</v>
      </c>
    </row>
    <row r="11135" spans="2:15" x14ac:dyDescent="0.3">
      <c r="B11135" s="1" t="s">
        <v>20</v>
      </c>
      <c r="C11135" s="1" t="str">
        <f>"3차"</f>
        <v>3차</v>
      </c>
      <c r="D11135" s="1" t="str">
        <f>"0024C36131"</f>
        <v>0024C36131</v>
      </c>
      <c r="E11135" s="1" t="s">
        <v>10</v>
      </c>
      <c r="F11135" s="1" t="str">
        <f>"10.10.29.43"</f>
        <v>10.10.29.43</v>
      </c>
      <c r="G11135" s="1" t="str">
        <f>"0024C361"</f>
        <v>0024C361</v>
      </c>
      <c r="H11135" s="1" t="str">
        <f>"관광간 25L3R1R2"</f>
        <v>관광간 25L3R1R2</v>
      </c>
      <c r="I11135" s="1" t="s">
        <v>8</v>
      </c>
      <c r="J11135" s="1" t="str">
        <f>"11/11"</f>
        <v>11/11</v>
      </c>
      <c r="K11135" s="1" t="str">
        <f t="shared" si="559"/>
        <v>2026-07-29 13:18:01</v>
      </c>
      <c r="L11135" s="1" t="str">
        <f>"2018-06-12 12:41:12"</f>
        <v>2018-06-12 12:41:12</v>
      </c>
      <c r="M11135" s="1" t="s">
        <v>1</v>
      </c>
      <c r="N11135" s="1" t="s">
        <v>38</v>
      </c>
      <c r="O11135" s="1" t="s">
        <v>46</v>
      </c>
    </row>
    <row r="11136" spans="2:15" x14ac:dyDescent="0.3">
      <c r="B11136" s="1" t="s">
        <v>20</v>
      </c>
      <c r="C11136" s="1" t="str">
        <f>"3차"</f>
        <v>3차</v>
      </c>
      <c r="D11136" s="1" t="str">
        <f>"0024C37139"</f>
        <v>0024C37139</v>
      </c>
      <c r="E11136" s="1" t="s">
        <v>10</v>
      </c>
      <c r="F11136" s="1" t="str">
        <f>"10.10.38.82"</f>
        <v>10.10.38.82</v>
      </c>
      <c r="G11136" s="1" t="str">
        <f>"0024C371"</f>
        <v>0024C371</v>
      </c>
      <c r="H11136" s="1" t="str">
        <f>"관광간 25L3R1R4"</f>
        <v>관광간 25L3R1R4</v>
      </c>
      <c r="I11136" s="1" t="s">
        <v>8</v>
      </c>
      <c r="J11136" s="1" t="str">
        <f>"5/5"</f>
        <v>5/5</v>
      </c>
      <c r="K11136" s="1" t="str">
        <f t="shared" si="559"/>
        <v>2026-07-29 13:18:01</v>
      </c>
      <c r="L11136" s="1" t="str">
        <f>"2018-01-08 15:59:43"</f>
        <v>2018-01-08 15:59:43</v>
      </c>
      <c r="M11136" s="1" t="s">
        <v>1</v>
      </c>
      <c r="N11136" s="1" t="s">
        <v>38</v>
      </c>
      <c r="O11136" s="1" t="s">
        <v>46</v>
      </c>
    </row>
    <row r="11137" spans="2:15" x14ac:dyDescent="0.3">
      <c r="B11137" s="1" t="s">
        <v>20</v>
      </c>
      <c r="C11137" s="1" t="str">
        <f>"3차"</f>
        <v>3차</v>
      </c>
      <c r="D11137" s="1" t="str">
        <f>"0024C37339"</f>
        <v>0024C37339</v>
      </c>
      <c r="E11137" s="1" t="s">
        <v>10</v>
      </c>
      <c r="F11137" s="1" t="str">
        <f>"10.10.38.122"</f>
        <v>10.10.38.122</v>
      </c>
      <c r="G11137" s="1" t="str">
        <f>"0024C373"</f>
        <v>0024C373</v>
      </c>
      <c r="H11137" s="1" t="str">
        <f>"관광간 25L3R1R3"</f>
        <v>관광간 25L3R1R3</v>
      </c>
      <c r="I11137" s="1" t="s">
        <v>8</v>
      </c>
      <c r="J11137" s="1" t="str">
        <f>"12/12"</f>
        <v>12/12</v>
      </c>
      <c r="K11137" s="1" t="str">
        <f t="shared" si="559"/>
        <v>2026-07-29 13:18:01</v>
      </c>
      <c r="L11137" s="1" t="str">
        <f>"2018-01-08 12:07:10"</f>
        <v>2018-01-08 12:07:10</v>
      </c>
      <c r="M11137" s="1" t="s">
        <v>1</v>
      </c>
      <c r="N11137" s="1" t="s">
        <v>38</v>
      </c>
      <c r="O11137" s="1" t="s">
        <v>46</v>
      </c>
    </row>
    <row r="11138" spans="2:15" x14ac:dyDescent="0.3">
      <c r="B11138" s="1" t="s">
        <v>20</v>
      </c>
      <c r="C11138" s="1" t="str">
        <f>"4차"</f>
        <v>4차</v>
      </c>
      <c r="D11138" s="1" t="str">
        <f>"0024C39139"</f>
        <v>0024C39139</v>
      </c>
      <c r="E11138" s="1" t="s">
        <v>12</v>
      </c>
      <c r="F11138" s="1" t="str">
        <f>"10.10.37.242"</f>
        <v>10.10.37.242</v>
      </c>
      <c r="G11138" s="1" t="str">
        <f>"0024C391"</f>
        <v>0024C391</v>
      </c>
      <c r="H11138" s="1" t="str">
        <f>"관광간 32"</f>
        <v>관광간 32</v>
      </c>
      <c r="I11138" s="1" t="s">
        <v>8</v>
      </c>
      <c r="J11138" s="1" t="str">
        <f>"0/51"</f>
        <v>0/51</v>
      </c>
      <c r="K11138" s="1" t="str">
        <f>"2026-07-19 20:03:46"</f>
        <v>2026-07-19 20:03:46</v>
      </c>
      <c r="L11138" s="1" t="str">
        <f>"2018-01-11 10:30:24"</f>
        <v>2018-01-11 10:30:24</v>
      </c>
      <c r="M11138" s="1" t="s">
        <v>1</v>
      </c>
      <c r="N11138" s="1" t="s">
        <v>38</v>
      </c>
      <c r="O11138" s="1" t="s">
        <v>46</v>
      </c>
    </row>
    <row r="11139" spans="2:15" x14ac:dyDescent="0.3">
      <c r="B11139" s="1" t="s">
        <v>20</v>
      </c>
      <c r="C11139" s="1" t="str">
        <f>"4차"</f>
        <v>4차</v>
      </c>
      <c r="D11139" s="1" t="str">
        <f>"0024C41239"</f>
        <v>0024C41239</v>
      </c>
      <c r="E11139" s="1" t="s">
        <v>10</v>
      </c>
      <c r="F11139" s="1" t="str">
        <f>"10.10.27.58"</f>
        <v>10.10.27.58</v>
      </c>
      <c r="G11139" s="1" t="str">
        <f>"0024C412"</f>
        <v>0024C412</v>
      </c>
      <c r="H11139" s="1" t="str">
        <f>"관광간 25L5L8"</f>
        <v>관광간 25L5L8</v>
      </c>
      <c r="I11139" s="1" t="s">
        <v>8</v>
      </c>
      <c r="J11139" s="1" t="str">
        <f>"11/11"</f>
        <v>11/11</v>
      </c>
      <c r="K11139" s="1" t="str">
        <f t="shared" ref="K11139:K11147" si="560">"2026-07-29 13:18:01"</f>
        <v>2026-07-29 13:18:01</v>
      </c>
      <c r="L11139" s="1" t="str">
        <f>"2018-02-01 13:37:58"</f>
        <v>2018-02-01 13:37:58</v>
      </c>
      <c r="M11139" s="1" t="s">
        <v>1</v>
      </c>
      <c r="N11139" s="1" t="s">
        <v>38</v>
      </c>
      <c r="O11139" s="1" t="s">
        <v>46</v>
      </c>
    </row>
    <row r="11140" spans="2:15" x14ac:dyDescent="0.3">
      <c r="B11140" s="1" t="s">
        <v>20</v>
      </c>
      <c r="C11140" s="1" t="str">
        <f>"4차"</f>
        <v>4차</v>
      </c>
      <c r="D11140" s="1" t="str">
        <f>"0024C42144"</f>
        <v>0024C42144</v>
      </c>
      <c r="E11140" s="1" t="s">
        <v>10</v>
      </c>
      <c r="F11140" s="1" t="str">
        <f>"10.10.88.250"</f>
        <v>10.10.88.250</v>
      </c>
      <c r="G11140" s="1" t="str">
        <f>"0024C421"</f>
        <v>0024C421</v>
      </c>
      <c r="H11140" s="1" t="str">
        <f>"관광간 25L5L7"</f>
        <v>관광간 25L5L7</v>
      </c>
      <c r="I11140" s="1" t="s">
        <v>8</v>
      </c>
      <c r="J11140" s="1" t="str">
        <f>"30/30"</f>
        <v>30/30</v>
      </c>
      <c r="K11140" s="1" t="str">
        <f t="shared" si="560"/>
        <v>2026-07-29 13:18:01</v>
      </c>
      <c r="L11140" s="1" t="str">
        <f>"2018-12-14 11:27:39"</f>
        <v>2018-12-14 11:27:39</v>
      </c>
      <c r="M11140" s="1" t="s">
        <v>1</v>
      </c>
      <c r="N11140" s="1" t="s">
        <v>38</v>
      </c>
      <c r="O11140" s="1" t="s">
        <v>46</v>
      </c>
    </row>
    <row r="11141" spans="2:15" x14ac:dyDescent="0.3">
      <c r="B11141" s="1" t="s">
        <v>20</v>
      </c>
      <c r="C11141" s="1" t="str">
        <f>"1차"</f>
        <v>1차</v>
      </c>
      <c r="D11141" s="1" t="str">
        <f>"0024C44200"</f>
        <v>0024C44200</v>
      </c>
      <c r="E11141" s="1" t="s">
        <v>10</v>
      </c>
      <c r="F11141" s="1" t="str">
        <f>"10.125.228.250"</f>
        <v>10.125.228.250</v>
      </c>
      <c r="G11141" s="1" t="str">
        <f>"0024C442"</f>
        <v>0024C442</v>
      </c>
      <c r="H11141" s="1" t="str">
        <f>"관광간 25L5L2"</f>
        <v>관광간 25L5L2</v>
      </c>
      <c r="I11141" s="1" t="s">
        <v>8</v>
      </c>
      <c r="J11141" s="1" t="str">
        <f>"27/28"</f>
        <v>27/28</v>
      </c>
      <c r="K11141" s="1" t="str">
        <f t="shared" si="560"/>
        <v>2026-07-29 13:18:01</v>
      </c>
      <c r="L11141" s="1" t="str">
        <f>"2014-10-17 00:12:29"</f>
        <v>2014-10-17 00:12:29</v>
      </c>
      <c r="M11141" s="1" t="s">
        <v>45</v>
      </c>
      <c r="N11141" s="1" t="s">
        <v>38</v>
      </c>
      <c r="O11141" s="1" t="s">
        <v>46</v>
      </c>
    </row>
    <row r="11142" spans="2:15" x14ac:dyDescent="0.3">
      <c r="B11142" s="1" t="s">
        <v>20</v>
      </c>
      <c r="C11142" s="1" t="str">
        <f>"1차"</f>
        <v>1차</v>
      </c>
      <c r="D11142" s="1" t="str">
        <f>"0024C46400"</f>
        <v>0024C46400</v>
      </c>
      <c r="E11142" s="1" t="s">
        <v>10</v>
      </c>
      <c r="F11142" s="1" t="str">
        <f>"10.125.226.154"</f>
        <v>10.125.226.154</v>
      </c>
      <c r="G11142" s="1" t="str">
        <f>"0024C464"</f>
        <v>0024C464</v>
      </c>
      <c r="H11142" s="1" t="str">
        <f>"관광간 25L1"</f>
        <v>관광간 25L1</v>
      </c>
      <c r="I11142" s="1" t="s">
        <v>8</v>
      </c>
      <c r="J11142" s="1" t="str">
        <f>"6/6"</f>
        <v>6/6</v>
      </c>
      <c r="K11142" s="1" t="str">
        <f t="shared" si="560"/>
        <v>2026-07-29 13:18:01</v>
      </c>
      <c r="L11142" s="1" t="str">
        <f>"2015-01-16 10:36:22"</f>
        <v>2015-01-16 10:36:22</v>
      </c>
      <c r="M11142" s="1" t="s">
        <v>45</v>
      </c>
      <c r="N11142" s="1" t="s">
        <v>38</v>
      </c>
      <c r="O11142" s="1" t="s">
        <v>46</v>
      </c>
    </row>
    <row r="11143" spans="2:15" x14ac:dyDescent="0.3">
      <c r="B11143" s="1" t="s">
        <v>20</v>
      </c>
      <c r="C11143" s="1" t="str">
        <f>"4차"</f>
        <v>4차</v>
      </c>
      <c r="D11143" s="1" t="str">
        <f>"0024C47144"</f>
        <v>0024C47144</v>
      </c>
      <c r="E11143" s="1" t="s">
        <v>10</v>
      </c>
      <c r="F11143" s="1" t="str">
        <f>"10.10.88.218"</f>
        <v>10.10.88.218</v>
      </c>
      <c r="G11143" s="1" t="str">
        <f>"0024C471"</f>
        <v>0024C471</v>
      </c>
      <c r="H11143" s="1" t="str">
        <f>"관광간 27"</f>
        <v>관광간 27</v>
      </c>
      <c r="I11143" s="1" t="s">
        <v>8</v>
      </c>
      <c r="J11143" s="1" t="str">
        <f>"32/32"</f>
        <v>32/32</v>
      </c>
      <c r="K11143" s="1" t="str">
        <f t="shared" si="560"/>
        <v>2026-07-29 13:18:01</v>
      </c>
      <c r="L11143" s="1" t="str">
        <f>"2018-12-14 13:46:41"</f>
        <v>2018-12-14 13:46:41</v>
      </c>
      <c r="M11143" s="1" t="s">
        <v>1</v>
      </c>
      <c r="N11143" s="1" t="s">
        <v>38</v>
      </c>
      <c r="O11143" s="1" t="s">
        <v>46</v>
      </c>
    </row>
    <row r="11144" spans="2:15" x14ac:dyDescent="0.3">
      <c r="B11144" s="1" t="s">
        <v>20</v>
      </c>
      <c r="C11144" s="1" t="str">
        <f>"4차"</f>
        <v>4차</v>
      </c>
      <c r="D11144" s="1" t="str">
        <f>"0024C48139"</f>
        <v>0024C48139</v>
      </c>
      <c r="E11144" s="1" t="s">
        <v>10</v>
      </c>
      <c r="F11144" s="1" t="str">
        <f>"10.10.37.226"</f>
        <v>10.10.37.226</v>
      </c>
      <c r="G11144" s="1" t="str">
        <f>"0024C481"</f>
        <v>0024C481</v>
      </c>
      <c r="H11144" s="1" t="str">
        <f>"관광간 28"</f>
        <v>관광간 28</v>
      </c>
      <c r="I11144" s="1" t="s">
        <v>8</v>
      </c>
      <c r="J11144" s="1" t="str">
        <f>"28/28"</f>
        <v>28/28</v>
      </c>
      <c r="K11144" s="1" t="str">
        <f t="shared" si="560"/>
        <v>2026-07-29 13:18:01</v>
      </c>
      <c r="L11144" s="1" t="str">
        <f>"2018-01-08 18:07:59"</f>
        <v>2018-01-08 18:07:59</v>
      </c>
      <c r="M11144" s="1" t="s">
        <v>1</v>
      </c>
      <c r="N11144" s="1" t="s">
        <v>38</v>
      </c>
      <c r="O11144" s="1" t="s">
        <v>46</v>
      </c>
    </row>
    <row r="11145" spans="2:15" x14ac:dyDescent="0.3">
      <c r="B11145" s="1" t="s">
        <v>20</v>
      </c>
      <c r="C11145" s="1" t="str">
        <f>"3차"</f>
        <v>3차</v>
      </c>
      <c r="D11145" s="1" t="str">
        <f>"0024C49139"</f>
        <v>0024C49139</v>
      </c>
      <c r="E11145" s="1" t="s">
        <v>10</v>
      </c>
      <c r="F11145" s="1" t="str">
        <f>"10.10.38.2"</f>
        <v>10.10.38.2</v>
      </c>
      <c r="G11145" s="1" t="str">
        <f>"0024C491"</f>
        <v>0024C491</v>
      </c>
      <c r="H11145" s="1" t="str">
        <f>"관광간 34"</f>
        <v>관광간 34</v>
      </c>
      <c r="I11145" s="1" t="s">
        <v>8</v>
      </c>
      <c r="J11145" s="1" t="str">
        <f>"15/15"</f>
        <v>15/15</v>
      </c>
      <c r="K11145" s="1" t="str">
        <f t="shared" si="560"/>
        <v>2026-07-29 13:18:01</v>
      </c>
      <c r="L11145" s="1" t="str">
        <f>"2018-01-11 11:21:39"</f>
        <v>2018-01-11 11:21:39</v>
      </c>
      <c r="M11145" s="1" t="s">
        <v>1</v>
      </c>
      <c r="N11145" s="1" t="s">
        <v>38</v>
      </c>
      <c r="O11145" s="1" t="s">
        <v>46</v>
      </c>
    </row>
    <row r="11146" spans="2:15" x14ac:dyDescent="0.3">
      <c r="B11146" s="1" t="s">
        <v>20</v>
      </c>
      <c r="C11146" s="1" t="str">
        <f>"4차"</f>
        <v>4차</v>
      </c>
      <c r="D11146" s="1" t="str">
        <f>"0024C52139"</f>
        <v>0024C52139</v>
      </c>
      <c r="E11146" s="1" t="s">
        <v>10</v>
      </c>
      <c r="F11146" s="1" t="str">
        <f>"10.10.27.138"</f>
        <v>10.10.27.138</v>
      </c>
      <c r="G11146" s="1" t="str">
        <f>"0024C521"</f>
        <v>0024C521</v>
      </c>
      <c r="H11146" s="1" t="str">
        <f>"관광간 6L5"</f>
        <v>관광간 6L5</v>
      </c>
      <c r="I11146" s="1" t="s">
        <v>8</v>
      </c>
      <c r="J11146" s="1" t="str">
        <f>"7/7"</f>
        <v>7/7</v>
      </c>
      <c r="K11146" s="1" t="str">
        <f t="shared" si="560"/>
        <v>2026-07-29 13:18:01</v>
      </c>
      <c r="L11146" s="1" t="str">
        <f>"2018-02-01 14:45:24"</f>
        <v>2018-02-01 14:45:24</v>
      </c>
      <c r="M11146" s="1" t="s">
        <v>1</v>
      </c>
      <c r="N11146" s="1" t="s">
        <v>38</v>
      </c>
      <c r="O11146" s="1" t="s">
        <v>46</v>
      </c>
    </row>
    <row r="11147" spans="2:15" x14ac:dyDescent="0.3">
      <c r="B11147" s="1" t="s">
        <v>20</v>
      </c>
      <c r="C11147" s="1" t="str">
        <f>"3차"</f>
        <v>3차</v>
      </c>
      <c r="D11147" s="1" t="str">
        <f>"0024C52339"</f>
        <v>0024C52339</v>
      </c>
      <c r="E11147" s="1" t="s">
        <v>10</v>
      </c>
      <c r="F11147" s="1" t="str">
        <f>"10.12.128.163"</f>
        <v>10.12.128.163</v>
      </c>
      <c r="G11147" s="1" t="str">
        <f>"0024C523"</f>
        <v>0024C523</v>
      </c>
      <c r="H11147" s="1" t="str">
        <f>"관광간 25L5L5L4"</f>
        <v>관광간 25L5L5L4</v>
      </c>
      <c r="I11147" s="1" t="s">
        <v>8</v>
      </c>
      <c r="J11147" s="1" t="str">
        <f>"17/17"</f>
        <v>17/17</v>
      </c>
      <c r="K11147" s="1" t="str">
        <f t="shared" si="560"/>
        <v>2026-07-29 13:18:01</v>
      </c>
      <c r="L11147" s="1" t="str">
        <f>"2018-04-10 15:10:30"</f>
        <v>2018-04-10 15:10:30</v>
      </c>
      <c r="M11147" s="1" t="s">
        <v>0</v>
      </c>
      <c r="N11147" s="1" t="s">
        <v>38</v>
      </c>
      <c r="O11147" s="1" t="s">
        <v>46</v>
      </c>
    </row>
    <row r="11148" spans="2:15" x14ac:dyDescent="0.3">
      <c r="B11148" s="1" t="s">
        <v>20</v>
      </c>
      <c r="C11148" s="1" t="str">
        <f>"4차"</f>
        <v>4차</v>
      </c>
      <c r="D11148" s="1" t="str">
        <f>"0024C52444"</f>
        <v>0024C52444</v>
      </c>
      <c r="E11148" s="1" t="s">
        <v>10</v>
      </c>
      <c r="F11148" s="1" t="str">
        <f>"10.125.239.114"</f>
        <v>10.125.239.114</v>
      </c>
      <c r="G11148" s="1" t="str">
        <f>"0024C524"</f>
        <v>0024C524</v>
      </c>
      <c r="H11148" s="1" t="str">
        <f>"관광간 25L5L5L3"</f>
        <v>관광간 25L5L5L3</v>
      </c>
      <c r="I11148" s="1" t="s">
        <v>8</v>
      </c>
      <c r="J11148" s="1" t="str">
        <f>"16/16"</f>
        <v>16/16</v>
      </c>
      <c r="K11148" s="1" t="str">
        <f>"2026-07-28 20:03:17"</f>
        <v>2026-07-28 20:03:17</v>
      </c>
      <c r="L11148" s="1" t="str">
        <f>"2019-11-11 20:07:40"</f>
        <v>2019-11-11 20:07:40</v>
      </c>
      <c r="M11148" s="1" t="s">
        <v>45</v>
      </c>
      <c r="N11148" s="1" t="s">
        <v>38</v>
      </c>
      <c r="O11148" s="1" t="s">
        <v>46</v>
      </c>
    </row>
    <row r="11149" spans="2:15" x14ac:dyDescent="0.3">
      <c r="B11149" s="1" t="s">
        <v>20</v>
      </c>
      <c r="C11149" s="1" t="str">
        <f t="shared" ref="C11149:C11155" si="561">"3차"</f>
        <v>3차</v>
      </c>
      <c r="D11149" s="1" t="str">
        <f>"0024C57339"</f>
        <v>0024C57339</v>
      </c>
      <c r="E11149" s="1" t="s">
        <v>10</v>
      </c>
      <c r="F11149" s="1" t="str">
        <f>"10.10.27.66"</f>
        <v>10.10.27.66</v>
      </c>
      <c r="G11149" s="1" t="str">
        <f>"0024C573"</f>
        <v>0024C573</v>
      </c>
      <c r="H11149" s="1" t="str">
        <f>"관광간 27R1"</f>
        <v>관광간 27R1</v>
      </c>
      <c r="I11149" s="1" t="s">
        <v>8</v>
      </c>
      <c r="J11149" s="1" t="str">
        <f>"33/33"</f>
        <v>33/33</v>
      </c>
      <c r="K11149" s="1" t="str">
        <f>"2026-07-29 13:18:01"</f>
        <v>2026-07-29 13:18:01</v>
      </c>
      <c r="L11149" s="1" t="str">
        <f>"2018-01-08 15:25:28"</f>
        <v>2018-01-08 15:25:28</v>
      </c>
      <c r="M11149" s="1" t="s">
        <v>1</v>
      </c>
      <c r="N11149" s="1" t="s">
        <v>38</v>
      </c>
      <c r="O11149" s="1" t="s">
        <v>46</v>
      </c>
    </row>
    <row r="11150" spans="2:15" x14ac:dyDescent="0.3">
      <c r="B11150" s="1" t="s">
        <v>20</v>
      </c>
      <c r="C11150" s="1" t="str">
        <f t="shared" si="561"/>
        <v>3차</v>
      </c>
      <c r="D11150" s="1" t="str">
        <f>"0024C63130"</f>
        <v>0024C63130</v>
      </c>
      <c r="E11150" s="1" t="s">
        <v>10</v>
      </c>
      <c r="F11150" s="1" t="str">
        <f>"10.10.39.42"</f>
        <v>10.10.39.42</v>
      </c>
      <c r="G11150" s="1" t="str">
        <f>"0024C631"</f>
        <v>0024C631</v>
      </c>
      <c r="H11150" s="1" t="str">
        <f>"관광간 6L1"</f>
        <v>관광간 6L1</v>
      </c>
      <c r="I11150" s="1" t="s">
        <v>8</v>
      </c>
      <c r="J11150" s="1" t="str">
        <f>"1/1"</f>
        <v>1/1</v>
      </c>
      <c r="K11150" s="1" t="str">
        <f>"2026-07-29 13:18:01"</f>
        <v>2026-07-29 13:18:01</v>
      </c>
      <c r="L11150" s="1" t="str">
        <f>"2018-01-10 10:46:08"</f>
        <v>2018-01-10 10:46:08</v>
      </c>
      <c r="M11150" s="1" t="s">
        <v>1</v>
      </c>
      <c r="N11150" s="1" t="s">
        <v>38</v>
      </c>
      <c r="O11150" s="1" t="s">
        <v>46</v>
      </c>
    </row>
    <row r="11151" spans="2:15" x14ac:dyDescent="0.3">
      <c r="B11151" s="1" t="s">
        <v>20</v>
      </c>
      <c r="C11151" s="1" t="str">
        <f t="shared" si="561"/>
        <v>3차</v>
      </c>
      <c r="D11151" s="1" t="str">
        <f>"0024C63231"</f>
        <v>0024C63231</v>
      </c>
      <c r="E11151" s="1" t="s">
        <v>10</v>
      </c>
      <c r="F11151" s="1" t="str">
        <f>"10.10.39.43"</f>
        <v>10.10.39.43</v>
      </c>
      <c r="G11151" s="1" t="str">
        <f>"0024C632"</f>
        <v>0024C632</v>
      </c>
      <c r="H11151" s="1" t="str">
        <f>"관광간 6L2"</f>
        <v>관광간 6L2</v>
      </c>
      <c r="I11151" s="1" t="s">
        <v>8</v>
      </c>
      <c r="J11151" s="1" t="str">
        <f>"2/2"</f>
        <v>2/2</v>
      </c>
      <c r="K11151" s="1" t="str">
        <f>"2026-07-29 13:18:01"</f>
        <v>2026-07-29 13:18:01</v>
      </c>
      <c r="L11151" s="1" t="str">
        <f>"2018-03-02 10:30:56"</f>
        <v>2018-03-02 10:30:56</v>
      </c>
      <c r="M11151" s="1" t="s">
        <v>1</v>
      </c>
      <c r="N11151" s="1" t="s">
        <v>38</v>
      </c>
      <c r="O11151" s="1" t="s">
        <v>46</v>
      </c>
    </row>
    <row r="11152" spans="2:15" x14ac:dyDescent="0.3">
      <c r="B11152" s="1" t="s">
        <v>20</v>
      </c>
      <c r="C11152" s="1" t="str">
        <f t="shared" si="561"/>
        <v>3차</v>
      </c>
      <c r="D11152" s="1" t="str">
        <f>"0024C67131"</f>
        <v>0024C67131</v>
      </c>
      <c r="E11152" s="1" t="s">
        <v>12</v>
      </c>
      <c r="F11152" s="1" t="str">
        <f>"10.10.38.171"</f>
        <v>10.10.38.171</v>
      </c>
      <c r="G11152" s="1" t="str">
        <f>"0024C671"</f>
        <v>0024C671</v>
      </c>
      <c r="H11152" s="1" t="str">
        <f>"관광간 26R2"</f>
        <v>관광간 26R2</v>
      </c>
      <c r="I11152" s="1" t="s">
        <v>8</v>
      </c>
      <c r="J11152" s="1" t="str">
        <f>"0/28"</f>
        <v>0/28</v>
      </c>
      <c r="K11152" s="1" t="str">
        <f>"2026-07-22 07:18:00"</f>
        <v>2026-07-22 07:18:00</v>
      </c>
      <c r="L11152" s="1" t="str">
        <f>"2018-05-15 12:27:11"</f>
        <v>2018-05-15 12:27:11</v>
      </c>
      <c r="M11152" s="1" t="s">
        <v>1</v>
      </c>
      <c r="N11152" s="1" t="s">
        <v>38</v>
      </c>
      <c r="O11152" s="1" t="s">
        <v>46</v>
      </c>
    </row>
    <row r="11153" spans="2:15" x14ac:dyDescent="0.3">
      <c r="B11153" s="1" t="s">
        <v>20</v>
      </c>
      <c r="C11153" s="1" t="str">
        <f t="shared" si="561"/>
        <v>3차</v>
      </c>
      <c r="D11153" s="1" t="str">
        <f>"0024C69130"</f>
        <v>0024C69130</v>
      </c>
      <c r="E11153" s="1" t="s">
        <v>10</v>
      </c>
      <c r="F11153" s="1" t="str">
        <f>"10.10.38.178"</f>
        <v>10.10.38.178</v>
      </c>
      <c r="G11153" s="1" t="str">
        <f>"0024C691"</f>
        <v>0024C691</v>
      </c>
      <c r="H11153" s="1" t="str">
        <f>"관광간 27R4"</f>
        <v>관광간 27R4</v>
      </c>
      <c r="I11153" s="1" t="s">
        <v>8</v>
      </c>
      <c r="J11153" s="1" t="str">
        <f>"29/30"</f>
        <v>29/30</v>
      </c>
      <c r="K11153" s="1" t="str">
        <f t="shared" ref="K11153:K11166" si="562">"2026-07-29 13:18:01"</f>
        <v>2026-07-29 13:18:01</v>
      </c>
      <c r="L11153" s="1" t="str">
        <f>"2018-01-08 15:54:13"</f>
        <v>2018-01-08 15:54:13</v>
      </c>
      <c r="M11153" s="1" t="s">
        <v>1</v>
      </c>
      <c r="N11153" s="1" t="s">
        <v>38</v>
      </c>
      <c r="O11153" s="1" t="s">
        <v>46</v>
      </c>
    </row>
    <row r="11154" spans="2:15" x14ac:dyDescent="0.3">
      <c r="B11154" s="1" t="s">
        <v>20</v>
      </c>
      <c r="C11154" s="1" t="str">
        <f t="shared" si="561"/>
        <v>3차</v>
      </c>
      <c r="D11154" s="1" t="str">
        <f>"0024C69239"</f>
        <v>0024C69239</v>
      </c>
      <c r="E11154" s="1" t="s">
        <v>10</v>
      </c>
      <c r="F11154" s="1" t="str">
        <f>"10.10.38.186"</f>
        <v>10.10.38.186</v>
      </c>
      <c r="G11154" s="1" t="str">
        <f>"0024C692"</f>
        <v>0024C692</v>
      </c>
      <c r="H11154" s="1" t="str">
        <f>"관광간 27R5"</f>
        <v>관광간 27R5</v>
      </c>
      <c r="I11154" s="1" t="s">
        <v>8</v>
      </c>
      <c r="J11154" s="1" t="str">
        <f>"15/15"</f>
        <v>15/15</v>
      </c>
      <c r="K11154" s="1" t="str">
        <f t="shared" si="562"/>
        <v>2026-07-29 13:18:01</v>
      </c>
      <c r="L11154" s="1" t="str">
        <f>"2018-01-08 16:10:13"</f>
        <v>2018-01-08 16:10:13</v>
      </c>
      <c r="M11154" s="1" t="s">
        <v>1</v>
      </c>
      <c r="N11154" s="1" t="s">
        <v>38</v>
      </c>
      <c r="O11154" s="1" t="s">
        <v>46</v>
      </c>
    </row>
    <row r="11155" spans="2:15" x14ac:dyDescent="0.3">
      <c r="B11155" s="1" t="s">
        <v>20</v>
      </c>
      <c r="C11155" s="1" t="str">
        <f t="shared" si="561"/>
        <v>3차</v>
      </c>
      <c r="D11155" s="1" t="str">
        <f>"0024C69339"</f>
        <v>0024C69339</v>
      </c>
      <c r="E11155" s="1" t="s">
        <v>10</v>
      </c>
      <c r="F11155" s="1" t="str">
        <f>"10.10.38.194"</f>
        <v>10.10.38.194</v>
      </c>
      <c r="G11155" s="1" t="str">
        <f>"0024C693"</f>
        <v>0024C693</v>
      </c>
      <c r="H11155" s="1" t="str">
        <f>"관광간 27R5L1"</f>
        <v>관광간 27R5L1</v>
      </c>
      <c r="I11155" s="1" t="s">
        <v>8</v>
      </c>
      <c r="J11155" s="1" t="str">
        <f>"23/23"</f>
        <v>23/23</v>
      </c>
      <c r="K11155" s="1" t="str">
        <f t="shared" si="562"/>
        <v>2026-07-29 13:18:01</v>
      </c>
      <c r="L11155" s="1" t="str">
        <f>"2018-01-08 16:33:44"</f>
        <v>2018-01-08 16:33:44</v>
      </c>
      <c r="M11155" s="1" t="s">
        <v>1</v>
      </c>
      <c r="N11155" s="1" t="s">
        <v>38</v>
      </c>
      <c r="O11155" s="1" t="s">
        <v>46</v>
      </c>
    </row>
    <row r="11156" spans="2:15" x14ac:dyDescent="0.3">
      <c r="B11156" s="1" t="s">
        <v>20</v>
      </c>
      <c r="C11156" s="1" t="str">
        <f>"4차"</f>
        <v>4차</v>
      </c>
      <c r="D11156" s="1" t="str">
        <f>"0024C79131"</f>
        <v>0024C79131</v>
      </c>
      <c r="E11156" s="1" t="s">
        <v>10</v>
      </c>
      <c r="F11156" s="1" t="str">
        <f>"10.10.38.179"</f>
        <v>10.10.38.179</v>
      </c>
      <c r="G11156" s="1" t="str">
        <f>"0024C791"</f>
        <v>0024C791</v>
      </c>
      <c r="H11156" s="1" t="str">
        <f>"관광간 27R6"</f>
        <v>관광간 27R6</v>
      </c>
      <c r="I11156" s="1" t="s">
        <v>8</v>
      </c>
      <c r="J11156" s="1" t="str">
        <f>"25/25"</f>
        <v>25/25</v>
      </c>
      <c r="K11156" s="1" t="str">
        <f t="shared" si="562"/>
        <v>2026-07-29 13:18:01</v>
      </c>
      <c r="L11156" s="1" t="str">
        <f>"2018-03-13 16:42:58"</f>
        <v>2018-03-13 16:42:58</v>
      </c>
      <c r="M11156" s="1" t="s">
        <v>1</v>
      </c>
      <c r="N11156" s="1" t="s">
        <v>38</v>
      </c>
      <c r="O11156" s="1" t="s">
        <v>46</v>
      </c>
    </row>
    <row r="11157" spans="2:15" x14ac:dyDescent="0.3">
      <c r="B11157" s="1" t="s">
        <v>20</v>
      </c>
      <c r="C11157" s="1" t="str">
        <f>"4차"</f>
        <v>4차</v>
      </c>
      <c r="D11157" s="1" t="str">
        <f>"0024C81339"</f>
        <v>0024C81339</v>
      </c>
      <c r="E11157" s="1" t="s">
        <v>10</v>
      </c>
      <c r="F11157" s="1" t="str">
        <f>"10.12.132.229"</f>
        <v>10.12.132.229</v>
      </c>
      <c r="G11157" s="1" t="str">
        <f>"0024C813"</f>
        <v>0024C813</v>
      </c>
      <c r="H11157" s="1" t="str">
        <f>"이태원로 43"</f>
        <v>이태원로 43</v>
      </c>
      <c r="I11157" s="1" t="s">
        <v>17</v>
      </c>
      <c r="J11157" s="1" t="str">
        <f>"2/2"</f>
        <v>2/2</v>
      </c>
      <c r="K11157" s="1" t="str">
        <f t="shared" si="562"/>
        <v>2026-07-29 13:18:01</v>
      </c>
      <c r="L11157" s="1" t="str">
        <f>"2018-06-18 11:12:57"</f>
        <v>2018-06-18 11:12:57</v>
      </c>
      <c r="M11157" s="1" t="s">
        <v>0</v>
      </c>
      <c r="N11157" s="1" t="s">
        <v>38</v>
      </c>
      <c r="O11157" s="1" t="s">
        <v>46</v>
      </c>
    </row>
    <row r="11158" spans="2:15" x14ac:dyDescent="0.3">
      <c r="B11158" s="1" t="s">
        <v>20</v>
      </c>
      <c r="C11158" s="1" t="str">
        <f>"3차"</f>
        <v>3차</v>
      </c>
      <c r="D11158" s="1" t="str">
        <f>"0024C85139"</f>
        <v>0024C85139</v>
      </c>
      <c r="E11158" s="1" t="s">
        <v>10</v>
      </c>
      <c r="F11158" s="1" t="str">
        <f>"10.10.32.66"</f>
        <v>10.10.32.66</v>
      </c>
      <c r="G11158" s="1" t="str">
        <f>"0024C851"</f>
        <v>0024C851</v>
      </c>
      <c r="H11158" s="1" t="str">
        <f>"관광간 14L2"</f>
        <v>관광간 14L2</v>
      </c>
      <c r="I11158" s="1" t="s">
        <v>8</v>
      </c>
      <c r="J11158" s="1" t="str">
        <f>"4/4"</f>
        <v>4/4</v>
      </c>
      <c r="K11158" s="1" t="str">
        <f t="shared" si="562"/>
        <v>2026-07-29 13:18:01</v>
      </c>
      <c r="L11158" s="1" t="str">
        <f>"2018-01-08 13:26:26"</f>
        <v>2018-01-08 13:26:26</v>
      </c>
      <c r="M11158" s="1" t="s">
        <v>1</v>
      </c>
      <c r="N11158" s="1" t="s">
        <v>38</v>
      </c>
      <c r="O11158" s="1" t="s">
        <v>46</v>
      </c>
    </row>
    <row r="11159" spans="2:15" x14ac:dyDescent="0.3">
      <c r="B11159" s="1" t="s">
        <v>20</v>
      </c>
      <c r="C11159" s="1" t="str">
        <f>"4차"</f>
        <v>4차</v>
      </c>
      <c r="D11159" s="1" t="str">
        <f>"0024C90639"</f>
        <v>0024C90639</v>
      </c>
      <c r="E11159" s="1" t="s">
        <v>10</v>
      </c>
      <c r="F11159" s="1" t="str">
        <f>"10.12.133.239"</f>
        <v>10.12.133.239</v>
      </c>
      <c r="G11159" s="1" t="str">
        <f>"0024C906"</f>
        <v>0024C906</v>
      </c>
      <c r="H11159" s="1" t="str">
        <f>"이태원로 12"</f>
        <v>이태원로 12</v>
      </c>
      <c r="I11159" s="1" t="s">
        <v>17</v>
      </c>
      <c r="J11159" s="1" t="str">
        <f>"2/2"</f>
        <v>2/2</v>
      </c>
      <c r="K11159" s="1" t="str">
        <f t="shared" si="562"/>
        <v>2026-07-29 13:18:01</v>
      </c>
      <c r="L11159" s="1" t="str">
        <f>"2018-06-22 10:40:55"</f>
        <v>2018-06-22 10:40:55</v>
      </c>
      <c r="M11159" s="1" t="s">
        <v>0</v>
      </c>
      <c r="N11159" s="1" t="s">
        <v>38</v>
      </c>
      <c r="O11159" s="1" t="s">
        <v>46</v>
      </c>
    </row>
    <row r="11160" spans="2:15" x14ac:dyDescent="0.3">
      <c r="B11160" s="1" t="s">
        <v>20</v>
      </c>
      <c r="C11160" s="1" t="str">
        <f>"1차"</f>
        <v>1차</v>
      </c>
      <c r="D11160" s="1" t="str">
        <f>"0024C93100"</f>
        <v>0024C93100</v>
      </c>
      <c r="E11160" s="1" t="s">
        <v>10</v>
      </c>
      <c r="F11160" s="1" t="str">
        <f>"10.125.226.114"</f>
        <v>10.125.226.114</v>
      </c>
      <c r="G11160" s="1" t="str">
        <f>"0024C931"</f>
        <v>0024C931</v>
      </c>
      <c r="H11160" s="1" t="str">
        <f>"관광간 8"</f>
        <v>관광간 8</v>
      </c>
      <c r="I11160" s="1" t="s">
        <v>8</v>
      </c>
      <c r="J11160" s="1" t="str">
        <f>"15/15"</f>
        <v>15/15</v>
      </c>
      <c r="K11160" s="1" t="str">
        <f t="shared" si="562"/>
        <v>2026-07-29 13:18:01</v>
      </c>
      <c r="L11160" s="1" t="str">
        <f>"2014-12-11 09:12:01"</f>
        <v>2014-12-11 09:12:01</v>
      </c>
      <c r="M11160" s="1" t="s">
        <v>45</v>
      </c>
      <c r="N11160" s="1" t="s">
        <v>38</v>
      </c>
      <c r="O11160" s="1" t="s">
        <v>46</v>
      </c>
    </row>
    <row r="11161" spans="2:15" x14ac:dyDescent="0.3">
      <c r="B11161" s="1" t="s">
        <v>20</v>
      </c>
      <c r="C11161" s="1" t="str">
        <f>"3차"</f>
        <v>3차</v>
      </c>
      <c r="D11161" s="1" t="str">
        <f>"0024C97130"</f>
        <v>0024C97130</v>
      </c>
      <c r="E11161" s="1" t="s">
        <v>10</v>
      </c>
      <c r="F11161" s="1" t="str">
        <f>"10.10.37.210"</f>
        <v>10.10.37.210</v>
      </c>
      <c r="G11161" s="1" t="str">
        <f>"0024C971"</f>
        <v>0024C971</v>
      </c>
      <c r="H11161" s="1" t="str">
        <f>"관광간 15"</f>
        <v>관광간 15</v>
      </c>
      <c r="I11161" s="1" t="s">
        <v>8</v>
      </c>
      <c r="J11161" s="1" t="str">
        <f>"1/1"</f>
        <v>1/1</v>
      </c>
      <c r="K11161" s="1" t="str">
        <f t="shared" si="562"/>
        <v>2026-07-29 13:18:01</v>
      </c>
      <c r="L11161" s="1" t="str">
        <f>"2018-01-08 11:05:24"</f>
        <v>2018-01-08 11:05:24</v>
      </c>
      <c r="M11161" s="1" t="s">
        <v>1</v>
      </c>
      <c r="N11161" s="1" t="s">
        <v>38</v>
      </c>
      <c r="O11161" s="1" t="s">
        <v>46</v>
      </c>
    </row>
    <row r="11162" spans="2:15" x14ac:dyDescent="0.3">
      <c r="B11162" s="1" t="s">
        <v>20</v>
      </c>
      <c r="C11162" s="1" t="str">
        <f>"3차"</f>
        <v>3차</v>
      </c>
      <c r="D11162" s="1" t="str">
        <f>"0024C98139"</f>
        <v>0024C98139</v>
      </c>
      <c r="E11162" s="1" t="s">
        <v>10</v>
      </c>
      <c r="F11162" s="1" t="str">
        <f>"10.10.40.250"</f>
        <v>10.10.40.250</v>
      </c>
      <c r="G11162" s="1" t="str">
        <f>"0024C981"</f>
        <v>0024C981</v>
      </c>
      <c r="H11162" s="1" t="str">
        <f>"관광간 19"</f>
        <v>관광간 19</v>
      </c>
      <c r="I11162" s="1" t="s">
        <v>8</v>
      </c>
      <c r="J11162" s="1" t="str">
        <f>"34/34"</f>
        <v>34/34</v>
      </c>
      <c r="K11162" s="1" t="str">
        <f t="shared" si="562"/>
        <v>2026-07-29 13:18:01</v>
      </c>
      <c r="L11162" s="1" t="str">
        <f>"2018-02-01 17:43:14"</f>
        <v>2018-02-01 17:43:14</v>
      </c>
      <c r="M11162" s="1" t="s">
        <v>1</v>
      </c>
      <c r="N11162" s="1" t="s">
        <v>38</v>
      </c>
      <c r="O11162" s="1" t="s">
        <v>46</v>
      </c>
    </row>
    <row r="11163" spans="2:15" x14ac:dyDescent="0.3">
      <c r="B11163" s="1" t="s">
        <v>20</v>
      </c>
      <c r="C11163" s="1" t="str">
        <f>"4차"</f>
        <v>4차</v>
      </c>
      <c r="D11163" s="1" t="str">
        <f>"0024D00139"</f>
        <v>0024D00139</v>
      </c>
      <c r="E11163" s="1" t="s">
        <v>10</v>
      </c>
      <c r="F11163" s="1" t="str">
        <f>"10.12.134.141"</f>
        <v>10.12.134.141</v>
      </c>
      <c r="G11163" s="1" t="str">
        <f>"0024D001"</f>
        <v>0024D001</v>
      </c>
      <c r="H11163" s="1" t="str">
        <f>"이태원로 15"</f>
        <v>이태원로 15</v>
      </c>
      <c r="I11163" s="1" t="s">
        <v>17</v>
      </c>
      <c r="J11163" s="1" t="str">
        <f>"9/9"</f>
        <v>9/9</v>
      </c>
      <c r="K11163" s="1" t="str">
        <f t="shared" si="562"/>
        <v>2026-07-29 13:18:01</v>
      </c>
      <c r="L11163" s="1" t="str">
        <f>"2018-06-23 08:38:27"</f>
        <v>2018-06-23 08:38:27</v>
      </c>
      <c r="M11163" s="1" t="s">
        <v>0</v>
      </c>
      <c r="N11163" s="1" t="s">
        <v>38</v>
      </c>
      <c r="O11163" s="1" t="s">
        <v>46</v>
      </c>
    </row>
    <row r="11164" spans="2:15" x14ac:dyDescent="0.3">
      <c r="B11164" s="1" t="s">
        <v>20</v>
      </c>
      <c r="C11164" s="1" t="str">
        <f>"3차"</f>
        <v>3차</v>
      </c>
      <c r="D11164" s="1" t="str">
        <f>"0024D02139"</f>
        <v>0024D02139</v>
      </c>
      <c r="E11164" s="1" t="s">
        <v>10</v>
      </c>
      <c r="F11164" s="1" t="str">
        <f>"10.10.36.178"</f>
        <v>10.10.36.178</v>
      </c>
      <c r="G11164" s="1" t="str">
        <f>"0024D021"</f>
        <v>0024D021</v>
      </c>
      <c r="H11164" s="1" t="str">
        <f>"관광간 5R4"</f>
        <v>관광간 5R4</v>
      </c>
      <c r="I11164" s="1" t="s">
        <v>8</v>
      </c>
      <c r="J11164" s="1" t="str">
        <f>"5/7"</f>
        <v>5/7</v>
      </c>
      <c r="K11164" s="1" t="str">
        <f t="shared" si="562"/>
        <v>2026-07-29 13:18:01</v>
      </c>
      <c r="L11164" s="1" t="str">
        <f>"2018-01-09 16:49:44"</f>
        <v>2018-01-09 16:49:44</v>
      </c>
      <c r="M11164" s="1" t="s">
        <v>1</v>
      </c>
      <c r="N11164" s="1" t="s">
        <v>38</v>
      </c>
      <c r="O11164" s="1" t="s">
        <v>46</v>
      </c>
    </row>
    <row r="11165" spans="2:15" x14ac:dyDescent="0.3">
      <c r="B11165" s="1" t="s">
        <v>20</v>
      </c>
      <c r="C11165" s="1" t="str">
        <f>"3차"</f>
        <v>3차</v>
      </c>
      <c r="D11165" s="1" t="str">
        <f>"0024D02339"</f>
        <v>0024D02339</v>
      </c>
      <c r="E11165" s="1" t="s">
        <v>10</v>
      </c>
      <c r="F11165" s="1" t="str">
        <f>"10.10.37.178"</f>
        <v>10.10.37.178</v>
      </c>
      <c r="G11165" s="1" t="str">
        <f>"0024D023"</f>
        <v>0024D023</v>
      </c>
      <c r="H11165" s="1" t="str">
        <f>"관광간 2"</f>
        <v>관광간 2</v>
      </c>
      <c r="I11165" s="1" t="s">
        <v>8</v>
      </c>
      <c r="J11165" s="1" t="str">
        <f>"5/5"</f>
        <v>5/5</v>
      </c>
      <c r="K11165" s="1" t="str">
        <f t="shared" si="562"/>
        <v>2026-07-29 13:18:01</v>
      </c>
      <c r="L11165" s="1" t="str">
        <f>"2018-01-08 09:59:40"</f>
        <v>2018-01-08 09:59:40</v>
      </c>
      <c r="M11165" s="1" t="s">
        <v>1</v>
      </c>
      <c r="N11165" s="1" t="s">
        <v>38</v>
      </c>
      <c r="O11165" s="1" t="s">
        <v>46</v>
      </c>
    </row>
    <row r="11166" spans="2:15" x14ac:dyDescent="0.3">
      <c r="B11166" s="1" t="s">
        <v>20</v>
      </c>
      <c r="C11166" s="1" t="str">
        <f>"4차"</f>
        <v>4차</v>
      </c>
      <c r="D11166" s="1" t="str">
        <f>"0024D10139"</f>
        <v>0024D10139</v>
      </c>
      <c r="E11166" s="1" t="s">
        <v>10</v>
      </c>
      <c r="F11166" s="1" t="str">
        <f>"10.12.132.246"</f>
        <v>10.12.132.246</v>
      </c>
      <c r="G11166" s="1" t="str">
        <f>"0024D101"</f>
        <v>0024D101</v>
      </c>
      <c r="H11166" s="1" t="str">
        <f>"이태원로 41-2"</f>
        <v>이태원로 41-2</v>
      </c>
      <c r="I11166" s="1" t="s">
        <v>17</v>
      </c>
      <c r="J11166" s="1" t="str">
        <f>"3/3"</f>
        <v>3/3</v>
      </c>
      <c r="K11166" s="1" t="str">
        <f t="shared" si="562"/>
        <v>2026-07-29 13:18:01</v>
      </c>
      <c r="L11166" s="1" t="str">
        <f>"2018-06-20 13:32:42"</f>
        <v>2018-06-20 13:32:42</v>
      </c>
      <c r="M11166" s="1" t="s">
        <v>0</v>
      </c>
      <c r="N11166" s="1" t="s">
        <v>38</v>
      </c>
      <c r="O11166" s="1" t="s">
        <v>46</v>
      </c>
    </row>
    <row r="11167" spans="2:15" x14ac:dyDescent="0.3">
      <c r="B11167" s="1" t="s">
        <v>20</v>
      </c>
      <c r="C11167" s="1" t="str">
        <f>"4차"</f>
        <v>4차</v>
      </c>
      <c r="D11167" s="1" t="str">
        <f>"0024D10239"</f>
        <v>0024D10239</v>
      </c>
      <c r="E11167" s="1" t="s">
        <v>14</v>
      </c>
      <c r="F11167" s="1" t="str">
        <f>"10.12.132.247"</f>
        <v>10.12.132.247</v>
      </c>
      <c r="G11167" s="1" t="str">
        <f>"0024D102"</f>
        <v>0024D102</v>
      </c>
      <c r="H11167" s="1" t="str">
        <f>"이태원로 41-1"</f>
        <v>이태원로 41-1</v>
      </c>
      <c r="I11167" s="1" t="s">
        <v>17</v>
      </c>
      <c r="J11167" s="1" t="str">
        <f>"0/0"</f>
        <v>0/0</v>
      </c>
      <c r="K11167" s="1" t="str">
        <f>"2025-12-04 01:21:01"</f>
        <v>2025-12-04 01:21:01</v>
      </c>
      <c r="L11167" s="1" t="str">
        <f>"2018-06-18 10:50:27"</f>
        <v>2018-06-18 10:50:27</v>
      </c>
      <c r="M11167" s="1" t="s">
        <v>0</v>
      </c>
      <c r="N11167" s="1" t="s">
        <v>39</v>
      </c>
      <c r="O11167" s="1" t="s">
        <v>46</v>
      </c>
    </row>
    <row r="11168" spans="2:15" x14ac:dyDescent="0.3">
      <c r="B11168" s="1" t="s">
        <v>20</v>
      </c>
      <c r="C11168" s="1" t="str">
        <f>"3차"</f>
        <v>3차</v>
      </c>
      <c r="D11168" s="1" t="str">
        <f>"0024D12230"</f>
        <v>0024D12230</v>
      </c>
      <c r="E11168" s="1" t="s">
        <v>10</v>
      </c>
      <c r="F11168" s="1" t="str">
        <f>"10.10.41.98"</f>
        <v>10.10.41.98</v>
      </c>
      <c r="G11168" s="1" t="str">
        <f>"0024D122"</f>
        <v>0024D122</v>
      </c>
      <c r="H11168" s="1" t="str">
        <f>"관광간 5R7"</f>
        <v>관광간 5R7</v>
      </c>
      <c r="I11168" s="1" t="s">
        <v>8</v>
      </c>
      <c r="J11168" s="1" t="str">
        <f>"10/10"</f>
        <v>10/10</v>
      </c>
      <c r="K11168" s="1" t="str">
        <f>"2026-07-29 13:18:01"</f>
        <v>2026-07-29 13:18:01</v>
      </c>
      <c r="L11168" s="1" t="str">
        <f>"2018-01-10 05:12:06"</f>
        <v>2018-01-10 05:12:06</v>
      </c>
      <c r="M11168" s="1" t="s">
        <v>1</v>
      </c>
      <c r="N11168" s="1" t="s">
        <v>38</v>
      </c>
      <c r="O11168" s="1" t="s">
        <v>46</v>
      </c>
    </row>
    <row r="11169" spans="2:15" x14ac:dyDescent="0.3">
      <c r="B11169" s="1" t="s">
        <v>20</v>
      </c>
      <c r="C11169" s="1" t="str">
        <f>"4차"</f>
        <v>4차</v>
      </c>
      <c r="D11169" s="1" t="str">
        <f>"0024D21639"</f>
        <v>0024D21639</v>
      </c>
      <c r="E11169" s="1" t="s">
        <v>14</v>
      </c>
      <c r="F11169" s="1" t="str">
        <f>"10.12.133.162"</f>
        <v>10.12.133.162</v>
      </c>
      <c r="G11169" s="1" t="str">
        <f>"0024D216"</f>
        <v>0024D216</v>
      </c>
      <c r="H11169" s="1" t="str">
        <f>"이태원로 40T"</f>
        <v>이태원로 40T</v>
      </c>
      <c r="I11169" s="1" t="s">
        <v>17</v>
      </c>
      <c r="J11169" s="1" t="str">
        <f>"0/0"</f>
        <v>0/0</v>
      </c>
      <c r="K11169" s="1" t="str">
        <f>"2026-06-10 07:18:01"</f>
        <v>2026-06-10 07:18:01</v>
      </c>
      <c r="L11169" s="1" t="str">
        <f>"2018-06-21 10:02:25"</f>
        <v>2018-06-21 10:02:25</v>
      </c>
      <c r="M11169" s="1" t="s">
        <v>0</v>
      </c>
      <c r="N11169" s="1" t="s">
        <v>39</v>
      </c>
      <c r="O11169" s="1" t="s">
        <v>46</v>
      </c>
    </row>
    <row r="11170" spans="2:15" x14ac:dyDescent="0.3">
      <c r="B11170" s="1" t="s">
        <v>20</v>
      </c>
      <c r="C11170" s="1" t="str">
        <f>"3차"</f>
        <v>3차</v>
      </c>
      <c r="D11170" s="1" t="str">
        <f>"0024D22331"</f>
        <v>0024D22331</v>
      </c>
      <c r="E11170" s="1" t="s">
        <v>10</v>
      </c>
      <c r="F11170" s="1" t="str">
        <f>"10.10.41.99"</f>
        <v>10.10.41.99</v>
      </c>
      <c r="G11170" s="1" t="str">
        <f>"0024D223"</f>
        <v>0024D223</v>
      </c>
      <c r="H11170" s="1" t="str">
        <f>"관광간 5R8"</f>
        <v>관광간 5R8</v>
      </c>
      <c r="I11170" s="1" t="s">
        <v>8</v>
      </c>
      <c r="J11170" s="1" t="str">
        <f>"10/10"</f>
        <v>10/10</v>
      </c>
      <c r="K11170" s="1" t="str">
        <f>"2026-07-29 13:18:01"</f>
        <v>2026-07-29 13:18:01</v>
      </c>
      <c r="L11170" s="1" t="str">
        <f>"2018-03-13 15:59:12"</f>
        <v>2018-03-13 15:59:12</v>
      </c>
      <c r="M11170" s="1" t="s">
        <v>1</v>
      </c>
      <c r="N11170" s="1" t="s">
        <v>38</v>
      </c>
      <c r="O11170" s="1" t="s">
        <v>46</v>
      </c>
    </row>
    <row r="11171" spans="2:15" x14ac:dyDescent="0.3">
      <c r="B11171" s="1" t="s">
        <v>20</v>
      </c>
      <c r="C11171" s="1" t="str">
        <f>"4차"</f>
        <v>4차</v>
      </c>
      <c r="D11171" s="1" t="str">
        <f>"0024D41339"</f>
        <v>0024D41339</v>
      </c>
      <c r="E11171" s="1" t="s">
        <v>14</v>
      </c>
      <c r="F11171" s="1" t="str">
        <f>"10.12.132.143"</f>
        <v>10.12.132.143</v>
      </c>
      <c r="G11171" s="1" t="str">
        <f>"0024D413"</f>
        <v>0024D413</v>
      </c>
      <c r="H11171" s="1" t="str">
        <f>"이태원로 39"</f>
        <v>이태원로 39</v>
      </c>
      <c r="I11171" s="1" t="s">
        <v>17</v>
      </c>
      <c r="J11171" s="1" t="str">
        <f>"0/0"</f>
        <v>0/0</v>
      </c>
      <c r="K11171" s="1" t="str">
        <f>"2026-06-10 07:18:01"</f>
        <v>2026-06-10 07:18:01</v>
      </c>
      <c r="L11171" s="1" t="str">
        <f>"2018-06-21 09:46:56"</f>
        <v>2018-06-21 09:46:56</v>
      </c>
      <c r="M11171" s="1" t="s">
        <v>0</v>
      </c>
      <c r="N11171" s="1" t="s">
        <v>39</v>
      </c>
      <c r="O11171" s="1" t="s">
        <v>46</v>
      </c>
    </row>
    <row r="11172" spans="2:15" x14ac:dyDescent="0.3">
      <c r="B11172" s="1" t="s">
        <v>20</v>
      </c>
      <c r="C11172" s="1" t="str">
        <f>"5-2차"</f>
        <v>5-2차</v>
      </c>
      <c r="D11172" s="1" t="str">
        <f>"0024D5035M"</f>
        <v>0024D5035M</v>
      </c>
      <c r="E11172" s="1" t="s">
        <v>10</v>
      </c>
      <c r="F11172" s="1" t="str">
        <f>"fde1:103:4:5647:0:0:0:2"</f>
        <v>fde1:103:4:5647:0:0:0:2</v>
      </c>
      <c r="G11172" s="1" t="str">
        <f>"0024D503"</f>
        <v>0024D503</v>
      </c>
      <c r="H11172" s="1" t="str">
        <f>"한보간 37R6"</f>
        <v>한보간 37R6</v>
      </c>
      <c r="I11172" s="1" t="s">
        <v>15</v>
      </c>
      <c r="J11172" s="1" t="str">
        <f>"34/34"</f>
        <v>34/34</v>
      </c>
      <c r="K11172" s="1" t="str">
        <f>"2026-07-29 14:20:02"</f>
        <v>2026-07-29 14:20:02</v>
      </c>
      <c r="L11172" s="1" t="str">
        <f>"2023-08-10 14:46:02"</f>
        <v>2023-08-10 14:46:02</v>
      </c>
      <c r="M11172" s="1" t="s">
        <v>4</v>
      </c>
      <c r="N11172" s="1" t="s">
        <v>38</v>
      </c>
      <c r="O11172" s="1" t="s">
        <v>46</v>
      </c>
    </row>
    <row r="11173" spans="2:15" x14ac:dyDescent="0.3">
      <c r="B11173" s="1" t="s">
        <v>20</v>
      </c>
      <c r="C11173" s="1" t="str">
        <f>"4차"</f>
        <v>4차</v>
      </c>
      <c r="D11173" s="1" t="str">
        <f>"0024D51239"</f>
        <v>0024D51239</v>
      </c>
      <c r="E11173" s="1" t="s">
        <v>10</v>
      </c>
      <c r="F11173" s="1" t="str">
        <f>"10.12.136.7"</f>
        <v>10.12.136.7</v>
      </c>
      <c r="G11173" s="1" t="str">
        <f>"0024D512"</f>
        <v>0024D512</v>
      </c>
      <c r="H11173" s="1" t="str">
        <f>"이태원로 15-1"</f>
        <v>이태원로 15-1</v>
      </c>
      <c r="I11173" s="1" t="s">
        <v>17</v>
      </c>
      <c r="J11173" s="1" t="str">
        <f>"15/15"</f>
        <v>15/15</v>
      </c>
      <c r="K11173" s="1" t="str">
        <f>"2026-07-29 13:18:02"</f>
        <v>2026-07-29 13:18:02</v>
      </c>
      <c r="L11173" s="1" t="str">
        <f>"2018-06-22 11:14:56"</f>
        <v>2018-06-22 11:14:56</v>
      </c>
      <c r="M11173" s="1" t="s">
        <v>0</v>
      </c>
      <c r="N11173" s="1" t="s">
        <v>38</v>
      </c>
      <c r="O11173" s="1" t="s">
        <v>46</v>
      </c>
    </row>
    <row r="11174" spans="2:15" x14ac:dyDescent="0.3">
      <c r="B11174" s="1" t="s">
        <v>20</v>
      </c>
      <c r="C11174" s="1" t="str">
        <f>"1차"</f>
        <v>1차</v>
      </c>
      <c r="D11174" s="1" t="str">
        <f>"0024D55201"</f>
        <v>0024D55201</v>
      </c>
      <c r="E11174" s="1" t="s">
        <v>10</v>
      </c>
      <c r="F11174" s="1" t="str">
        <f>"10.12.130.22"</f>
        <v>10.12.130.22</v>
      </c>
      <c r="G11174" s="1" t="str">
        <f>"0024D552"</f>
        <v>0024D552</v>
      </c>
      <c r="H11174" s="1" t="str">
        <f>"관광간 5R16L3"</f>
        <v>관광간 5R16L3</v>
      </c>
      <c r="I11174" s="1" t="s">
        <v>8</v>
      </c>
      <c r="J11174" s="1" t="str">
        <f>"7/7"</f>
        <v>7/7</v>
      </c>
      <c r="K11174" s="1" t="str">
        <f>"2026-07-29 13:18:02"</f>
        <v>2026-07-29 13:18:02</v>
      </c>
      <c r="L11174" s="1" t="str">
        <f>"2014-12-02 12:07:45"</f>
        <v>2014-12-02 12:07:45</v>
      </c>
      <c r="M11174" s="1" t="s">
        <v>0</v>
      </c>
      <c r="N11174" s="1" t="s">
        <v>38</v>
      </c>
      <c r="O11174" s="1" t="s">
        <v>46</v>
      </c>
    </row>
    <row r="11175" spans="2:15" x14ac:dyDescent="0.3">
      <c r="B11175" s="1" t="s">
        <v>20</v>
      </c>
      <c r="C11175" s="1" t="str">
        <f>"3차"</f>
        <v>3차</v>
      </c>
      <c r="D11175" s="1" t="str">
        <f>"0024D63139"</f>
        <v>0024D63139</v>
      </c>
      <c r="E11175" s="1" t="s">
        <v>10</v>
      </c>
      <c r="F11175" s="1" t="str">
        <f>"10.10.27.114"</f>
        <v>10.10.27.114</v>
      </c>
      <c r="G11175" s="1" t="str">
        <f>"0024D631"</f>
        <v>0024D631</v>
      </c>
      <c r="H11175" s="1" t="str">
        <f>"관광간 5R14"</f>
        <v>관광간 5R14</v>
      </c>
      <c r="I11175" s="1" t="s">
        <v>8</v>
      </c>
      <c r="J11175" s="1" t="str">
        <f>"11/11"</f>
        <v>11/11</v>
      </c>
      <c r="K11175" s="1" t="str">
        <f>"2026-07-29 13:18:01"</f>
        <v>2026-07-29 13:18:01</v>
      </c>
      <c r="L11175" s="1" t="str">
        <f>"2018-01-09 15:41:13"</f>
        <v>2018-01-09 15:41:13</v>
      </c>
      <c r="M11175" s="1" t="s">
        <v>1</v>
      </c>
      <c r="N11175" s="1" t="s">
        <v>38</v>
      </c>
      <c r="O11175" s="1" t="s">
        <v>46</v>
      </c>
    </row>
    <row r="11176" spans="2:15" x14ac:dyDescent="0.3">
      <c r="B11176" s="1" t="s">
        <v>20</v>
      </c>
      <c r="C11176" s="1" t="str">
        <f>"4차"</f>
        <v>4차</v>
      </c>
      <c r="D11176" s="1" t="str">
        <f>"0024D63239"</f>
        <v>0024D63239</v>
      </c>
      <c r="E11176" s="1" t="s">
        <v>10</v>
      </c>
      <c r="F11176" s="1" t="str">
        <f>"10.12.133.1"</f>
        <v>10.12.133.1</v>
      </c>
      <c r="G11176" s="1" t="str">
        <f>"0024D632"</f>
        <v>0024D632</v>
      </c>
      <c r="H11176" s="1" t="str">
        <f>"이태원로 37-1"</f>
        <v>이태원로 37-1</v>
      </c>
      <c r="I11176" s="1" t="s">
        <v>17</v>
      </c>
      <c r="J11176" s="1" t="str">
        <f>"12/14"</f>
        <v>12/14</v>
      </c>
      <c r="K11176" s="1" t="str">
        <f>"2026-07-29 13:18:02"</f>
        <v>2026-07-29 13:18:02</v>
      </c>
      <c r="L11176" s="1" t="str">
        <f>"2018-06-18 10:42:14"</f>
        <v>2018-06-18 10:42:14</v>
      </c>
      <c r="M11176" s="1" t="s">
        <v>0</v>
      </c>
      <c r="N11176" s="1" t="s">
        <v>38</v>
      </c>
      <c r="O11176" s="1" t="s">
        <v>46</v>
      </c>
    </row>
    <row r="11177" spans="2:15" x14ac:dyDescent="0.3">
      <c r="B11177" s="1" t="s">
        <v>20</v>
      </c>
      <c r="C11177" s="1" t="str">
        <f>"4차"</f>
        <v>4차</v>
      </c>
      <c r="D11177" s="1" t="str">
        <f>"0024D66139"</f>
        <v>0024D66139</v>
      </c>
      <c r="E11177" s="1" t="s">
        <v>18</v>
      </c>
      <c r="F11177" s="1" t="str">
        <f>"10.10.27.122"</f>
        <v>10.10.27.122</v>
      </c>
      <c r="G11177" s="1" t="str">
        <f>"0024D661"</f>
        <v>0024D661</v>
      </c>
      <c r="H11177" s="1" t="str">
        <f>"관광간 5R16L3R2"</f>
        <v>관광간 5R16L3R2</v>
      </c>
      <c r="I11177" s="1" t="s">
        <v>8</v>
      </c>
      <c r="J11177" s="1" t="str">
        <f>"0/1"</f>
        <v>0/1</v>
      </c>
      <c r="K11177" s="1" t="str">
        <f>"2026-07-13 07:18:00"</f>
        <v>2026-07-13 07:18:00</v>
      </c>
      <c r="L11177" s="1" t="str">
        <f>"2018-01-09 16:11:14"</f>
        <v>2018-01-09 16:11:14</v>
      </c>
      <c r="M11177" s="1" t="s">
        <v>1</v>
      </c>
      <c r="N11177" s="1" t="s">
        <v>38</v>
      </c>
      <c r="O11177" s="1" t="s">
        <v>46</v>
      </c>
    </row>
    <row r="11178" spans="2:15" x14ac:dyDescent="0.3">
      <c r="B11178" s="1" t="s">
        <v>20</v>
      </c>
      <c r="C11178" s="1" t="str">
        <f>"4차"</f>
        <v>4차</v>
      </c>
      <c r="D11178" s="1" t="str">
        <f>"0024D72239"</f>
        <v>0024D72239</v>
      </c>
      <c r="E11178" s="1" t="s">
        <v>14</v>
      </c>
      <c r="F11178" s="1" t="str">
        <f>"10.12.132.144"</f>
        <v>10.12.132.144</v>
      </c>
      <c r="G11178" s="1" t="str">
        <f>"0024D722"</f>
        <v>0024D722</v>
      </c>
      <c r="H11178" s="1" t="str">
        <f>"이태원로 17T"</f>
        <v>이태원로 17T</v>
      </c>
      <c r="I11178" s="1" t="s">
        <v>17</v>
      </c>
      <c r="J11178" s="1" t="str">
        <f>"0/0"</f>
        <v>0/0</v>
      </c>
      <c r="K11178" s="1" t="str">
        <f>"2026-06-10 07:18:01"</f>
        <v>2026-06-10 07:18:01</v>
      </c>
      <c r="L11178" s="1" t="str">
        <f>"2023-05-04 16:06:13"</f>
        <v>2023-05-04 16:06:13</v>
      </c>
      <c r="M11178" s="1" t="s">
        <v>0</v>
      </c>
      <c r="N11178" s="1" t="s">
        <v>39</v>
      </c>
      <c r="O11178" s="1" t="s">
        <v>46</v>
      </c>
    </row>
    <row r="11179" spans="2:15" x14ac:dyDescent="0.3">
      <c r="B11179" s="1" t="s">
        <v>20</v>
      </c>
      <c r="C11179" s="1" t="str">
        <f>"4차"</f>
        <v>4차</v>
      </c>
      <c r="D11179" s="1" t="str">
        <f>"0024D74739"</f>
        <v>0024D74739</v>
      </c>
      <c r="E11179" s="1" t="s">
        <v>10</v>
      </c>
      <c r="F11179" s="1" t="str">
        <f>"10.12.132.245"</f>
        <v>10.12.132.245</v>
      </c>
      <c r="G11179" s="1" t="str">
        <f>"0024D747"</f>
        <v>0024D747</v>
      </c>
      <c r="H11179" s="1" t="str">
        <f>"이태원로 36-1"</f>
        <v>이태원로 36-1</v>
      </c>
      <c r="I11179" s="1" t="s">
        <v>17</v>
      </c>
      <c r="J11179" s="1" t="str">
        <f>"3/3"</f>
        <v>3/3</v>
      </c>
      <c r="K11179" s="1" t="str">
        <f>"2026-07-29 13:18:04"</f>
        <v>2026-07-29 13:18:04</v>
      </c>
      <c r="L11179" s="1" t="str">
        <f>"2018-06-12 13:36:44"</f>
        <v>2018-06-12 13:36:44</v>
      </c>
      <c r="M11179" s="1" t="s">
        <v>0</v>
      </c>
      <c r="N11179" s="1" t="s">
        <v>38</v>
      </c>
      <c r="O11179" s="1" t="s">
        <v>46</v>
      </c>
    </row>
    <row r="11180" spans="2:15" x14ac:dyDescent="0.3">
      <c r="B11180" s="1" t="s">
        <v>20</v>
      </c>
      <c r="C11180" s="1" t="str">
        <f>"3차"</f>
        <v>3차</v>
      </c>
      <c r="D11180" s="1" t="str">
        <f>"0024D75130"</f>
        <v>0024D75130</v>
      </c>
      <c r="E11180" s="1" t="s">
        <v>10</v>
      </c>
      <c r="F11180" s="1" t="str">
        <f>"10.10.39.26"</f>
        <v>10.10.39.26</v>
      </c>
      <c r="G11180" s="1" t="str">
        <f>"0024D751"</f>
        <v>0024D751</v>
      </c>
      <c r="H11180" s="1" t="str">
        <f>"관광간 5R17"</f>
        <v>관광간 5R17</v>
      </c>
      <c r="I11180" s="1" t="s">
        <v>8</v>
      </c>
      <c r="J11180" s="1" t="str">
        <f>"18/18"</f>
        <v>18/18</v>
      </c>
      <c r="K11180" s="1" t="str">
        <f>"2026-07-29 13:18:01"</f>
        <v>2026-07-29 13:18:01</v>
      </c>
      <c r="L11180" s="1" t="str">
        <f>"2018-02-01 13:37:12"</f>
        <v>2018-02-01 13:37:12</v>
      </c>
      <c r="M11180" s="1" t="s">
        <v>1</v>
      </c>
      <c r="N11180" s="1" t="s">
        <v>38</v>
      </c>
      <c r="O11180" s="1" t="s">
        <v>46</v>
      </c>
    </row>
    <row r="11181" spans="2:15" x14ac:dyDescent="0.3">
      <c r="B11181" s="1" t="s">
        <v>20</v>
      </c>
      <c r="C11181" s="1" t="str">
        <f>"1차"</f>
        <v>1차</v>
      </c>
      <c r="D11181" s="1" t="str">
        <f>"0024D76100"</f>
        <v>0024D76100</v>
      </c>
      <c r="E11181" s="1" t="s">
        <v>10</v>
      </c>
      <c r="F11181" s="1" t="str">
        <f>"10.125.229.2"</f>
        <v>10.125.229.2</v>
      </c>
      <c r="G11181" s="1" t="str">
        <f>"0024D761"</f>
        <v>0024D761</v>
      </c>
      <c r="H11181" s="1" t="str">
        <f>"관광간 5R19L1"</f>
        <v>관광간 5R19L1</v>
      </c>
      <c r="I11181" s="1" t="s">
        <v>8</v>
      </c>
      <c r="J11181" s="1" t="str">
        <f>"4/5"</f>
        <v>4/5</v>
      </c>
      <c r="K11181" s="1" t="str">
        <f>"2026-07-29 13:18:01"</f>
        <v>2026-07-29 13:18:01</v>
      </c>
      <c r="L11181" s="1" t="str">
        <f>"2014-12-02 11:35:41"</f>
        <v>2014-12-02 11:35:41</v>
      </c>
      <c r="M11181" s="1" t="s">
        <v>45</v>
      </c>
      <c r="N11181" s="1" t="s">
        <v>38</v>
      </c>
      <c r="O11181" s="1" t="s">
        <v>46</v>
      </c>
    </row>
    <row r="11182" spans="2:15" x14ac:dyDescent="0.3">
      <c r="B11182" s="1" t="s">
        <v>20</v>
      </c>
      <c r="C11182" s="1" t="str">
        <f>"1차"</f>
        <v>1차</v>
      </c>
      <c r="D11182" s="1" t="str">
        <f>"0024D83400"</f>
        <v>0024D83400</v>
      </c>
      <c r="E11182" s="1" t="s">
        <v>10</v>
      </c>
      <c r="F11182" s="1" t="str">
        <f>"10.125.228.234"</f>
        <v>10.125.228.234</v>
      </c>
      <c r="G11182" s="1" t="str">
        <f>"0024D834"</f>
        <v>0024D834</v>
      </c>
      <c r="H11182" s="1" t="str">
        <f>"백제간 35L1"</f>
        <v>백제간 35L1</v>
      </c>
      <c r="I11182" s="1" t="s">
        <v>8</v>
      </c>
      <c r="J11182" s="1" t="str">
        <f>"19/19"</f>
        <v>19/19</v>
      </c>
      <c r="K11182" s="1" t="str">
        <f>"2026-07-29 13:18:01"</f>
        <v>2026-07-29 13:18:01</v>
      </c>
      <c r="L11182" s="1" t="str">
        <f>"2014-12-02 15:16:25"</f>
        <v>2014-12-02 15:16:25</v>
      </c>
      <c r="M11182" s="1" t="s">
        <v>45</v>
      </c>
      <c r="N11182" s="1" t="s">
        <v>38</v>
      </c>
      <c r="O11182" s="1" t="s">
        <v>46</v>
      </c>
    </row>
    <row r="11183" spans="2:15" x14ac:dyDescent="0.3">
      <c r="B11183" s="1" t="s">
        <v>20</v>
      </c>
      <c r="C11183" s="1" t="str">
        <f>"4차"</f>
        <v>4차</v>
      </c>
      <c r="D11183" s="1" t="str">
        <f>"0024D85139"</f>
        <v>0024D85139</v>
      </c>
      <c r="E11183" s="1" t="s">
        <v>10</v>
      </c>
      <c r="F11183" s="1" t="str">
        <f>"10.12.133.5"</f>
        <v>10.12.133.5</v>
      </c>
      <c r="G11183" s="1" t="str">
        <f>"0024D851"</f>
        <v>0024D851</v>
      </c>
      <c r="H11183" s="1" t="str">
        <f>"이태원로 33"</f>
        <v>이태원로 33</v>
      </c>
      <c r="I11183" s="1" t="s">
        <v>17</v>
      </c>
      <c r="J11183" s="1" t="str">
        <f>"2/2"</f>
        <v>2/2</v>
      </c>
      <c r="K11183" s="1" t="str">
        <f>"2026-07-29 13:18:02"</f>
        <v>2026-07-29 13:18:02</v>
      </c>
      <c r="L11183" s="1" t="str">
        <f>"2018-06-22 12:38:41"</f>
        <v>2018-06-22 12:38:41</v>
      </c>
      <c r="M11183" s="1" t="s">
        <v>0</v>
      </c>
      <c r="N11183" s="1" t="s">
        <v>38</v>
      </c>
      <c r="O11183" s="1" t="s">
        <v>46</v>
      </c>
    </row>
    <row r="11184" spans="2:15" x14ac:dyDescent="0.3">
      <c r="B11184" s="1" t="s">
        <v>20</v>
      </c>
      <c r="C11184" s="1" t="str">
        <f>"4차"</f>
        <v>4차</v>
      </c>
      <c r="D11184" s="1" t="str">
        <f>"0024D86431"</f>
        <v>0024D86431</v>
      </c>
      <c r="E11184" s="1" t="s">
        <v>10</v>
      </c>
      <c r="F11184" s="1" t="str">
        <f>"10.10.39.27"</f>
        <v>10.10.39.27</v>
      </c>
      <c r="G11184" s="1" t="str">
        <f>"0024D864"</f>
        <v>0024D864</v>
      </c>
      <c r="H11184" s="1" t="str">
        <f>"관광간 5R19"</f>
        <v>관광간 5R19</v>
      </c>
      <c r="I11184" s="1" t="s">
        <v>8</v>
      </c>
      <c r="J11184" s="1" t="str">
        <f>"12/19"</f>
        <v>12/19</v>
      </c>
      <c r="K11184" s="1" t="str">
        <f t="shared" ref="K11184:K11189" si="563">"2026-07-29 13:18:01"</f>
        <v>2026-07-29 13:18:01</v>
      </c>
      <c r="L11184" s="1" t="str">
        <f>"2018-03-13 15:02:11"</f>
        <v>2018-03-13 15:02:11</v>
      </c>
      <c r="M11184" s="1" t="s">
        <v>1</v>
      </c>
      <c r="N11184" s="1" t="s">
        <v>38</v>
      </c>
      <c r="O11184" s="1" t="s">
        <v>46</v>
      </c>
    </row>
    <row r="11185" spans="2:15" x14ac:dyDescent="0.3">
      <c r="B11185" s="1" t="s">
        <v>20</v>
      </c>
      <c r="C11185" s="1" t="str">
        <f>"4차"</f>
        <v>4차</v>
      </c>
      <c r="D11185" s="1" t="str">
        <f>"0024D90739"</f>
        <v>0024D90739</v>
      </c>
      <c r="E11185" s="1" t="s">
        <v>10</v>
      </c>
      <c r="F11185" s="1" t="str">
        <f>"10.12.135.44"</f>
        <v>10.12.135.44</v>
      </c>
      <c r="G11185" s="1" t="str">
        <f>"0024D907"</f>
        <v>0024D907</v>
      </c>
      <c r="H11185" s="1" t="str">
        <f>"백제 1"</f>
        <v>백제 1</v>
      </c>
      <c r="I11185" s="1" t="s">
        <v>17</v>
      </c>
      <c r="J11185" s="1" t="str">
        <f>"56/56"</f>
        <v>56/56</v>
      </c>
      <c r="K11185" s="1" t="str">
        <f t="shared" si="563"/>
        <v>2026-07-29 13:18:01</v>
      </c>
      <c r="L11185" s="1" t="str">
        <f>"2022-05-17 17:54:33"</f>
        <v>2022-05-17 17:54:33</v>
      </c>
      <c r="M11185" s="1" t="s">
        <v>0</v>
      </c>
      <c r="N11185" s="1" t="s">
        <v>38</v>
      </c>
      <c r="O11185" s="1" t="s">
        <v>46</v>
      </c>
    </row>
    <row r="11186" spans="2:15" x14ac:dyDescent="0.3">
      <c r="B11186" s="1" t="s">
        <v>20</v>
      </c>
      <c r="C11186" s="1" t="str">
        <f>"3차"</f>
        <v>3차</v>
      </c>
      <c r="D11186" s="1" t="str">
        <f>"0024D92339"</f>
        <v>0024D92339</v>
      </c>
      <c r="E11186" s="1" t="s">
        <v>10</v>
      </c>
      <c r="F11186" s="1" t="str">
        <f>"10.10.27.146"</f>
        <v>10.10.27.146</v>
      </c>
      <c r="G11186" s="1" t="str">
        <f>"0024D923"</f>
        <v>0024D923</v>
      </c>
      <c r="H11186" s="1" t="str">
        <f>"백제간 34"</f>
        <v>백제간 34</v>
      </c>
      <c r="I11186" s="1" t="s">
        <v>8</v>
      </c>
      <c r="J11186" s="1" t="str">
        <f>"30/32"</f>
        <v>30/32</v>
      </c>
      <c r="K11186" s="1" t="str">
        <f t="shared" si="563"/>
        <v>2026-07-29 13:18:01</v>
      </c>
      <c r="L11186" s="1" t="str">
        <f>"2018-02-27 19:31:59"</f>
        <v>2018-02-27 19:31:59</v>
      </c>
      <c r="M11186" s="1" t="s">
        <v>1</v>
      </c>
      <c r="N11186" s="1" t="s">
        <v>38</v>
      </c>
      <c r="O11186" s="1" t="s">
        <v>46</v>
      </c>
    </row>
    <row r="11187" spans="2:15" x14ac:dyDescent="0.3">
      <c r="B11187" s="1" t="s">
        <v>20</v>
      </c>
      <c r="C11187" s="1" t="str">
        <f>"1차"</f>
        <v>1차</v>
      </c>
      <c r="D11187" s="1" t="str">
        <f>"0024D94100"</f>
        <v>0024D94100</v>
      </c>
      <c r="E11187" s="1" t="s">
        <v>10</v>
      </c>
      <c r="F11187" s="1" t="str">
        <f>"10.14.4.124"</f>
        <v>10.14.4.124</v>
      </c>
      <c r="G11187" s="1" t="str">
        <f>"0024D941"</f>
        <v>0024D941</v>
      </c>
      <c r="H11187" s="1" t="str">
        <f>"백제간 35L3"</f>
        <v>백제간 35L3</v>
      </c>
      <c r="I11187" s="1" t="s">
        <v>8</v>
      </c>
      <c r="J11187" s="1" t="str">
        <f>"10/12"</f>
        <v>10/12</v>
      </c>
      <c r="K11187" s="1" t="str">
        <f t="shared" si="563"/>
        <v>2026-07-29 13:18:01</v>
      </c>
      <c r="L11187" s="1" t="str">
        <f>"2015-03-24 18:44:24"</f>
        <v>2015-03-24 18:44:24</v>
      </c>
      <c r="M11187" s="1" t="s">
        <v>3</v>
      </c>
      <c r="N11187" s="1" t="s">
        <v>38</v>
      </c>
      <c r="O11187" s="1" t="s">
        <v>46</v>
      </c>
    </row>
    <row r="11188" spans="2:15" x14ac:dyDescent="0.3">
      <c r="B11188" s="1" t="s">
        <v>20</v>
      </c>
      <c r="C11188" s="1" t="str">
        <f>"4차"</f>
        <v>4차</v>
      </c>
      <c r="D11188" s="1" t="str">
        <f>"0024D94139"</f>
        <v>0024D94139</v>
      </c>
      <c r="E11188" s="1" t="s">
        <v>10</v>
      </c>
      <c r="F11188" s="1" t="str">
        <f>"10.12.132.131"</f>
        <v>10.12.132.131</v>
      </c>
      <c r="G11188" s="1" t="str">
        <f>"0024D941"</f>
        <v>0024D941</v>
      </c>
      <c r="H11188" s="1" t="str">
        <f>"백제간 35L3"</f>
        <v>백제간 35L3</v>
      </c>
      <c r="I11188" s="1" t="s">
        <v>17</v>
      </c>
      <c r="J11188" s="1" t="str">
        <f>"1/1"</f>
        <v>1/1</v>
      </c>
      <c r="K11188" s="1" t="str">
        <f t="shared" si="563"/>
        <v>2026-07-29 13:18:01</v>
      </c>
      <c r="L11188" s="1" t="str">
        <f>"2018-06-23 09:33:41"</f>
        <v>2018-06-23 09:33:41</v>
      </c>
      <c r="M11188" s="1" t="s">
        <v>0</v>
      </c>
      <c r="N11188" s="1" t="s">
        <v>38</v>
      </c>
      <c r="O11188" s="1" t="s">
        <v>46</v>
      </c>
    </row>
    <row r="11189" spans="2:15" x14ac:dyDescent="0.3">
      <c r="B11189" s="1" t="s">
        <v>20</v>
      </c>
      <c r="C11189" s="1" t="str">
        <f>"3차"</f>
        <v>3차</v>
      </c>
      <c r="D11189" s="1" t="str">
        <f>"0024D94339"</f>
        <v>0024D94339</v>
      </c>
      <c r="E11189" s="1" t="s">
        <v>10</v>
      </c>
      <c r="F11189" s="1" t="str">
        <f>"10.12.128.99"</f>
        <v>10.12.128.99</v>
      </c>
      <c r="G11189" s="1" t="str">
        <f>"0024D943"</f>
        <v>0024D943</v>
      </c>
      <c r="H11189" s="1" t="str">
        <f>"백제간 35L4"</f>
        <v>백제간 35L4</v>
      </c>
      <c r="I11189" s="1" t="s">
        <v>8</v>
      </c>
      <c r="J11189" s="1" t="str">
        <f>"4/9"</f>
        <v>4/9</v>
      </c>
      <c r="K11189" s="1" t="str">
        <f t="shared" si="563"/>
        <v>2026-07-29 13:18:01</v>
      </c>
      <c r="L11189" s="1" t="str">
        <f>"2018-04-10 17:27:47"</f>
        <v>2018-04-10 17:27:47</v>
      </c>
      <c r="M11189" s="1" t="s">
        <v>0</v>
      </c>
      <c r="N11189" s="1" t="s">
        <v>38</v>
      </c>
      <c r="O11189" s="1" t="s">
        <v>46</v>
      </c>
    </row>
    <row r="11190" spans="2:15" x14ac:dyDescent="0.3">
      <c r="B11190" s="1" t="s">
        <v>20</v>
      </c>
      <c r="C11190" s="1" t="str">
        <f>"4차"</f>
        <v>4차</v>
      </c>
      <c r="D11190" s="1" t="str">
        <f>"0024D95339"</f>
        <v>0024D95339</v>
      </c>
      <c r="E11190" s="1" t="s">
        <v>14</v>
      </c>
      <c r="F11190" s="1" t="str">
        <f>"10.12.132.140"</f>
        <v>10.12.132.140</v>
      </c>
      <c r="G11190" s="1" t="str">
        <f>"0024D953"</f>
        <v>0024D953</v>
      </c>
      <c r="H11190" s="1" t="str">
        <f>"이태원로 25"</f>
        <v>이태원로 25</v>
      </c>
      <c r="I11190" s="1" t="s">
        <v>17</v>
      </c>
      <c r="J11190" s="1" t="str">
        <f>"0/0"</f>
        <v>0/0</v>
      </c>
      <c r="K11190" s="1" t="str">
        <f>"2026-07-28 13:18:01"</f>
        <v>2026-07-28 13:18:01</v>
      </c>
      <c r="L11190" s="1" t="str">
        <f>"2018-06-22 11:28:27"</f>
        <v>2018-06-22 11:28:27</v>
      </c>
      <c r="M11190" s="1" t="s">
        <v>0</v>
      </c>
      <c r="N11190" s="1" t="s">
        <v>39</v>
      </c>
      <c r="O11190" s="1" t="s">
        <v>46</v>
      </c>
    </row>
    <row r="11191" spans="2:15" x14ac:dyDescent="0.3">
      <c r="B11191" s="1" t="s">
        <v>20</v>
      </c>
      <c r="C11191" s="1" t="str">
        <f>"4차"</f>
        <v>4차</v>
      </c>
      <c r="D11191" s="1" t="str">
        <f>"0024D98539"</f>
        <v>0024D98539</v>
      </c>
      <c r="E11191" s="1" t="s">
        <v>10</v>
      </c>
      <c r="F11191" s="1" t="str">
        <f>"10.12.133.133"</f>
        <v>10.12.133.133</v>
      </c>
      <c r="G11191" s="1" t="str">
        <f>"0024D985"</f>
        <v>0024D985</v>
      </c>
      <c r="H11191" s="1" t="str">
        <f>"삼성 1"</f>
        <v>삼성 1</v>
      </c>
      <c r="I11191" s="1" t="s">
        <v>17</v>
      </c>
      <c r="J11191" s="1" t="str">
        <f>"2/2"</f>
        <v>2/2</v>
      </c>
      <c r="K11191" s="1" t="str">
        <f>"2026-07-29 13:18:02"</f>
        <v>2026-07-29 13:18:02</v>
      </c>
      <c r="L11191" s="1" t="str">
        <f>"2018-06-16 11:32:27"</f>
        <v>2018-06-16 11:32:27</v>
      </c>
      <c r="M11191" s="1" t="s">
        <v>0</v>
      </c>
      <c r="N11191" s="1" t="s">
        <v>38</v>
      </c>
      <c r="O11191" s="1" t="s">
        <v>46</v>
      </c>
    </row>
    <row r="11192" spans="2:15" x14ac:dyDescent="0.3">
      <c r="B11192" s="1" t="s">
        <v>20</v>
      </c>
      <c r="C11192" s="1" t="str">
        <f>"4차"</f>
        <v>4차</v>
      </c>
      <c r="D11192" s="1" t="str">
        <f>"0024D98639"</f>
        <v>0024D98639</v>
      </c>
      <c r="E11192" s="1" t="s">
        <v>10</v>
      </c>
      <c r="F11192" s="1" t="str">
        <f>"10.12.134.67"</f>
        <v>10.12.134.67</v>
      </c>
      <c r="G11192" s="1" t="str">
        <f>"0024D986"</f>
        <v>0024D986</v>
      </c>
      <c r="H11192" s="1" t="str">
        <f>"삼성 2"</f>
        <v>삼성 2</v>
      </c>
      <c r="I11192" s="1" t="s">
        <v>17</v>
      </c>
      <c r="J11192" s="1" t="str">
        <f>"2/2"</f>
        <v>2/2</v>
      </c>
      <c r="K11192" s="1" t="str">
        <f>"2026-07-29 13:18:01"</f>
        <v>2026-07-29 13:18:01</v>
      </c>
      <c r="L11192" s="1" t="str">
        <f>"2018-06-16 11:41:43"</f>
        <v>2018-06-16 11:41:43</v>
      </c>
      <c r="M11192" s="1" t="s">
        <v>0</v>
      </c>
      <c r="N11192" s="1" t="s">
        <v>38</v>
      </c>
      <c r="O11192" s="1" t="s">
        <v>46</v>
      </c>
    </row>
    <row r="11193" spans="2:15" x14ac:dyDescent="0.3">
      <c r="B11193" s="1" t="s">
        <v>20</v>
      </c>
      <c r="C11193" s="1" t="str">
        <f>"3차"</f>
        <v>3차</v>
      </c>
      <c r="D11193" s="1" t="str">
        <f>"0024E12139"</f>
        <v>0024E12139</v>
      </c>
      <c r="E11193" s="1" t="s">
        <v>14</v>
      </c>
      <c r="F11193" s="1" t="str">
        <f>"10.12.135.141"</f>
        <v>10.12.135.141</v>
      </c>
      <c r="G11193" s="1" t="str">
        <f>"0024E121"</f>
        <v>0024E121</v>
      </c>
      <c r="H11193" s="1" t="str">
        <f>"이태원로 30"</f>
        <v>이태원로 30</v>
      </c>
      <c r="I11193" s="1" t="s">
        <v>17</v>
      </c>
      <c r="J11193" s="1" t="str">
        <f>"0/0"</f>
        <v>0/0</v>
      </c>
      <c r="K11193" s="1" t="str">
        <f>"2024-04-10 20:04:50"</f>
        <v>2024-04-10 20:04:50</v>
      </c>
      <c r="L11193" s="1" t="str">
        <f>"2018-05-23 10:32:57"</f>
        <v>2018-05-23 10:32:57</v>
      </c>
      <c r="M11193" s="1" t="s">
        <v>0</v>
      </c>
      <c r="N11193" s="1" t="s">
        <v>39</v>
      </c>
      <c r="O11193" s="1" t="s">
        <v>46</v>
      </c>
    </row>
    <row r="11194" spans="2:15" x14ac:dyDescent="0.3">
      <c r="B11194" s="1" t="s">
        <v>20</v>
      </c>
      <c r="C11194" s="1" t="str">
        <f>"6차"</f>
        <v>6차</v>
      </c>
      <c r="D11194" s="1" t="str">
        <f>"0024E3916M"</f>
        <v>0024E3916M</v>
      </c>
      <c r="E11194" s="1" t="s">
        <v>10</v>
      </c>
      <c r="F11194" s="1" t="str">
        <f>"fde1:103:4:c7bf:0:0:0:2"</f>
        <v>fde1:103:4:c7bf:0:0:0:2</v>
      </c>
      <c r="G11194" s="1" t="str">
        <f>"0024E391"</f>
        <v>0024E391</v>
      </c>
      <c r="H11194" s="1" t="str">
        <f>"신동지 3"</f>
        <v>신동지 3</v>
      </c>
      <c r="I11194" s="1" t="s">
        <v>15</v>
      </c>
      <c r="J11194" s="1" t="str">
        <f>"31/36"</f>
        <v>31/36</v>
      </c>
      <c r="K11194" s="1" t="str">
        <f>"2026-07-29 14:20:02"</f>
        <v>2026-07-29 14:20:02</v>
      </c>
      <c r="L11194" s="1" t="str">
        <f>"2024-12-02 13:50:31"</f>
        <v>2024-12-02 13:50:31</v>
      </c>
      <c r="M11194" s="1" t="s">
        <v>4</v>
      </c>
      <c r="N11194" s="1" t="s">
        <v>38</v>
      </c>
      <c r="O11194" s="1" t="s">
        <v>46</v>
      </c>
    </row>
    <row r="11195" spans="2:15" x14ac:dyDescent="0.3">
      <c r="B11195" s="1" t="s">
        <v>20</v>
      </c>
      <c r="C11195" s="1" t="str">
        <f>"5-1차"</f>
        <v>5-1차</v>
      </c>
      <c r="D11195" s="1" t="str">
        <f>"0024E3925M"</f>
        <v>0024E3925M</v>
      </c>
      <c r="E11195" s="1" t="s">
        <v>10</v>
      </c>
      <c r="F11195" s="1" t="str">
        <f>"10.14.3.50"</f>
        <v>10.14.3.50</v>
      </c>
      <c r="G11195" s="1" t="str">
        <f>"0024E392"</f>
        <v>0024E392</v>
      </c>
      <c r="H11195" s="1" t="str">
        <f>"신동지 4"</f>
        <v>신동지 4</v>
      </c>
      <c r="I11195" s="1" t="s">
        <v>15</v>
      </c>
      <c r="J11195" s="1" t="str">
        <f>"73/79"</f>
        <v>73/79</v>
      </c>
      <c r="K11195" s="1" t="str">
        <f>"2026-07-29 14:20:01"</f>
        <v>2026-07-29 14:20:01</v>
      </c>
      <c r="L11195" s="1" t="str">
        <f>"2022-01-25 10:47:38"</f>
        <v>2022-01-25 10:47:38</v>
      </c>
      <c r="M11195" s="1" t="s">
        <v>3</v>
      </c>
      <c r="N11195" s="1" t="s">
        <v>38</v>
      </c>
      <c r="O11195" s="1" t="s">
        <v>46</v>
      </c>
    </row>
    <row r="11196" spans="2:15" x14ac:dyDescent="0.3">
      <c r="B11196" s="1" t="s">
        <v>20</v>
      </c>
      <c r="C11196" s="1" t="str">
        <f>"4차"</f>
        <v>4차</v>
      </c>
      <c r="D11196" s="1" t="str">
        <f>"0024E43139"</f>
        <v>0024E43139</v>
      </c>
      <c r="E11196" s="1" t="s">
        <v>10</v>
      </c>
      <c r="F11196" s="1" t="str">
        <f>"10.10.27.162"</f>
        <v>10.10.27.162</v>
      </c>
      <c r="G11196" s="1" t="str">
        <f>"0024E431"</f>
        <v>0024E431</v>
      </c>
      <c r="H11196" s="1" t="str">
        <f>"백제간 59"</f>
        <v>백제간 59</v>
      </c>
      <c r="I11196" s="1" t="s">
        <v>8</v>
      </c>
      <c r="J11196" s="1" t="str">
        <f>"14/15"</f>
        <v>14/15</v>
      </c>
      <c r="K11196" s="1" t="str">
        <f t="shared" ref="K11196:K11201" si="564">"2026-07-29 13:18:01"</f>
        <v>2026-07-29 13:18:01</v>
      </c>
      <c r="L11196" s="1" t="str">
        <f>"2018-02-27 19:35:00"</f>
        <v>2018-02-27 19:35:00</v>
      </c>
      <c r="M11196" s="1" t="s">
        <v>1</v>
      </c>
      <c r="N11196" s="1" t="s">
        <v>38</v>
      </c>
      <c r="O11196" s="1" t="s">
        <v>46</v>
      </c>
    </row>
    <row r="11197" spans="2:15" x14ac:dyDescent="0.3">
      <c r="B11197" s="1" t="s">
        <v>20</v>
      </c>
      <c r="C11197" s="1" t="str">
        <f>"4차"</f>
        <v>4차</v>
      </c>
      <c r="D11197" s="1" t="str">
        <f>"0024E67241"</f>
        <v>0024E67241</v>
      </c>
      <c r="E11197" s="1" t="s">
        <v>10</v>
      </c>
      <c r="F11197" s="1" t="str">
        <f>"10.14.4.45"</f>
        <v>10.14.4.45</v>
      </c>
      <c r="G11197" s="1" t="str">
        <f>"0024E672"</f>
        <v>0024E672</v>
      </c>
      <c r="H11197" s="1" t="str">
        <f>"이란지 4L1"</f>
        <v>이란지 4L1</v>
      </c>
      <c r="I11197" s="1" t="s">
        <v>17</v>
      </c>
      <c r="J11197" s="1" t="str">
        <f>"15/22"</f>
        <v>15/22</v>
      </c>
      <c r="K11197" s="1" t="str">
        <f t="shared" si="564"/>
        <v>2026-07-29 13:18:01</v>
      </c>
      <c r="L11197" s="1" t="str">
        <f>"2021-08-11 14:19:50"</f>
        <v>2021-08-11 14:19:50</v>
      </c>
      <c r="M11197" s="1" t="s">
        <v>3</v>
      </c>
      <c r="N11197" s="1" t="s">
        <v>38</v>
      </c>
      <c r="O11197" s="1" t="s">
        <v>46</v>
      </c>
    </row>
    <row r="11198" spans="2:15" x14ac:dyDescent="0.3">
      <c r="B11198" s="1" t="s">
        <v>20</v>
      </c>
      <c r="C11198" s="1" t="str">
        <f>"4차"</f>
        <v>4차</v>
      </c>
      <c r="D11198" s="1" t="str">
        <f>"0024F80239"</f>
        <v>0024F80239</v>
      </c>
      <c r="E11198" s="1" t="s">
        <v>10</v>
      </c>
      <c r="F11198" s="1" t="str">
        <f>"10.12.135.30"</f>
        <v>10.12.135.30</v>
      </c>
      <c r="G11198" s="1" t="str">
        <f>"0024F802"</f>
        <v>0024F802</v>
      </c>
      <c r="H11198" s="1" t="str">
        <f>"독서당로 20"</f>
        <v>독서당로 20</v>
      </c>
      <c r="I11198" s="1" t="s">
        <v>17</v>
      </c>
      <c r="J11198" s="1" t="str">
        <f>"3/3"</f>
        <v>3/3</v>
      </c>
      <c r="K11198" s="1" t="str">
        <f t="shared" si="564"/>
        <v>2026-07-29 13:18:01</v>
      </c>
      <c r="L11198" s="1" t="str">
        <f>"2018-05-14 17:27:58"</f>
        <v>2018-05-14 17:27:58</v>
      </c>
      <c r="M11198" s="1" t="s">
        <v>0</v>
      </c>
      <c r="N11198" s="1" t="s">
        <v>38</v>
      </c>
      <c r="O11198" s="1" t="s">
        <v>46</v>
      </c>
    </row>
    <row r="11199" spans="2:15" x14ac:dyDescent="0.3">
      <c r="B11199" s="1" t="s">
        <v>20</v>
      </c>
      <c r="C11199" s="1" t="str">
        <f>"1차"</f>
        <v>1차</v>
      </c>
      <c r="D11199" s="1" t="str">
        <f>"0024G03300"</f>
        <v>0024G03300</v>
      </c>
      <c r="E11199" s="1" t="s">
        <v>10</v>
      </c>
      <c r="F11199" s="1" t="str">
        <f>"10.125.228.242"</f>
        <v>10.125.228.242</v>
      </c>
      <c r="G11199" s="1" t="str">
        <f>"0024G033"</f>
        <v>0024G033</v>
      </c>
      <c r="H11199" s="1" t="str">
        <f>"백제간 38"</f>
        <v>백제간 38</v>
      </c>
      <c r="I11199" s="1" t="s">
        <v>8</v>
      </c>
      <c r="J11199" s="1" t="str">
        <f>"35/37"</f>
        <v>35/37</v>
      </c>
      <c r="K11199" s="1" t="str">
        <f t="shared" si="564"/>
        <v>2026-07-29 13:18:01</v>
      </c>
      <c r="L11199" s="1" t="str">
        <f>"2014-11-19 11:53:01"</f>
        <v>2014-11-19 11:53:01</v>
      </c>
      <c r="M11199" s="1" t="s">
        <v>45</v>
      </c>
      <c r="N11199" s="1" t="s">
        <v>38</v>
      </c>
      <c r="O11199" s="1" t="s">
        <v>46</v>
      </c>
    </row>
    <row r="11200" spans="2:15" x14ac:dyDescent="0.3">
      <c r="B11200" s="1" t="s">
        <v>20</v>
      </c>
      <c r="C11200" s="1" t="str">
        <f>"3차"</f>
        <v>3차</v>
      </c>
      <c r="D11200" s="1" t="str">
        <f>"0024G05239"</f>
        <v>0024G05239</v>
      </c>
      <c r="E11200" s="1" t="s">
        <v>10</v>
      </c>
      <c r="F11200" s="1" t="str">
        <f>"10.12.128.100"</f>
        <v>10.12.128.100</v>
      </c>
      <c r="G11200" s="1" t="str">
        <f>"0024G052"</f>
        <v>0024G052</v>
      </c>
      <c r="H11200" s="1" t="str">
        <f>"백제간 35L5"</f>
        <v>백제간 35L5</v>
      </c>
      <c r="I11200" s="1" t="s">
        <v>8</v>
      </c>
      <c r="J11200" s="1" t="str">
        <f>"35/35"</f>
        <v>35/35</v>
      </c>
      <c r="K11200" s="1" t="str">
        <f t="shared" si="564"/>
        <v>2026-07-29 13:18:01</v>
      </c>
      <c r="L11200" s="1" t="str">
        <f>"2018-04-10 17:02:46"</f>
        <v>2018-04-10 17:02:46</v>
      </c>
      <c r="M11200" s="1" t="s">
        <v>0</v>
      </c>
      <c r="N11200" s="1" t="s">
        <v>38</v>
      </c>
      <c r="O11200" s="1" t="s">
        <v>46</v>
      </c>
    </row>
    <row r="11201" spans="2:15" x14ac:dyDescent="0.3">
      <c r="B11201" s="1" t="s">
        <v>20</v>
      </c>
      <c r="C11201" s="1" t="str">
        <f>"3차"</f>
        <v>3차</v>
      </c>
      <c r="D11201" s="1" t="str">
        <f>"0024G06139"</f>
        <v>0024G06139</v>
      </c>
      <c r="E11201" s="1" t="s">
        <v>10</v>
      </c>
      <c r="F11201" s="1" t="str">
        <f>"10.10.25.50"</f>
        <v>10.10.25.50</v>
      </c>
      <c r="G11201" s="1" t="str">
        <f>"0024G061"</f>
        <v>0024G061</v>
      </c>
      <c r="H11201" s="1" t="str">
        <f>"백제간 35L6"</f>
        <v>백제간 35L6</v>
      </c>
      <c r="I11201" s="1" t="s">
        <v>8</v>
      </c>
      <c r="J11201" s="1" t="str">
        <f>"10/10"</f>
        <v>10/10</v>
      </c>
      <c r="K11201" s="1" t="str">
        <f t="shared" si="564"/>
        <v>2026-07-29 13:18:01</v>
      </c>
      <c r="L11201" s="1" t="str">
        <f>"2018-02-14 13:09:25"</f>
        <v>2018-02-14 13:09:25</v>
      </c>
      <c r="M11201" s="1" t="s">
        <v>1</v>
      </c>
      <c r="N11201" s="1" t="s">
        <v>38</v>
      </c>
      <c r="O11201" s="1" t="s">
        <v>46</v>
      </c>
    </row>
    <row r="11202" spans="2:15" x14ac:dyDescent="0.3">
      <c r="B11202" s="1" t="s">
        <v>20</v>
      </c>
      <c r="C11202" s="1" t="str">
        <f>"4차"</f>
        <v>4차</v>
      </c>
      <c r="D11202" s="1" t="str">
        <f>"0024G07439"</f>
        <v>0024G07439</v>
      </c>
      <c r="E11202" s="1" t="s">
        <v>10</v>
      </c>
      <c r="F11202" s="1" t="str">
        <f>"10.12.132.252"</f>
        <v>10.12.132.252</v>
      </c>
      <c r="G11202" s="1" t="str">
        <f>"0024G074"</f>
        <v>0024G074</v>
      </c>
      <c r="H11202" s="1" t="str">
        <f>"이태원로 31-1"</f>
        <v>이태원로 31-1</v>
      </c>
      <c r="I11202" s="1" t="s">
        <v>17</v>
      </c>
      <c r="J11202" s="1" t="str">
        <f>"4/4"</f>
        <v>4/4</v>
      </c>
      <c r="K11202" s="1" t="str">
        <f>"2026-07-29 13:18:02"</f>
        <v>2026-07-29 13:18:02</v>
      </c>
      <c r="L11202" s="1" t="str">
        <f>"2018-06-22 12:15:55"</f>
        <v>2018-06-22 12:15:55</v>
      </c>
      <c r="M11202" s="1" t="s">
        <v>0</v>
      </c>
      <c r="N11202" s="1" t="s">
        <v>38</v>
      </c>
      <c r="O11202" s="1" t="s">
        <v>46</v>
      </c>
    </row>
    <row r="11203" spans="2:15" x14ac:dyDescent="0.3">
      <c r="B11203" s="1" t="s">
        <v>20</v>
      </c>
      <c r="C11203" s="1" t="str">
        <f>"4차"</f>
        <v>4차</v>
      </c>
      <c r="D11203" s="1" t="str">
        <f>"0024G09139"</f>
        <v>0024G09139</v>
      </c>
      <c r="E11203" s="1" t="s">
        <v>14</v>
      </c>
      <c r="F11203" s="1" t="str">
        <f>"10.12.133.2"</f>
        <v>10.12.133.2</v>
      </c>
      <c r="G11203" s="1" t="str">
        <f>"0024G091"</f>
        <v>0024G091</v>
      </c>
      <c r="H11203" s="1" t="str">
        <f>"이태원로 30-2"</f>
        <v>이태원로 30-2</v>
      </c>
      <c r="I11203" s="1" t="s">
        <v>17</v>
      </c>
      <c r="J11203" s="1" t="str">
        <f>"0/0"</f>
        <v>0/0</v>
      </c>
      <c r="K11203" s="1" t="str">
        <f>"2026-07-23 01:18:02"</f>
        <v>2026-07-23 01:18:02</v>
      </c>
      <c r="L11203" s="1" t="str">
        <f>"2018-06-23 09:55:56"</f>
        <v>2018-06-23 09:55:56</v>
      </c>
      <c r="M11203" s="1" t="s">
        <v>0</v>
      </c>
      <c r="N11203" s="1" t="s">
        <v>39</v>
      </c>
      <c r="O11203" s="1" t="s">
        <v>46</v>
      </c>
    </row>
    <row r="11204" spans="2:15" x14ac:dyDescent="0.3">
      <c r="B11204" s="1" t="s">
        <v>20</v>
      </c>
      <c r="C11204" s="1" t="str">
        <f>"1차"</f>
        <v>1차</v>
      </c>
      <c r="D11204" s="1" t="str">
        <f>"0024G13101"</f>
        <v>0024G13101</v>
      </c>
      <c r="E11204" s="1" t="s">
        <v>12</v>
      </c>
      <c r="F11204" s="1" t="str">
        <f>"10.125.228.203"</f>
        <v>10.125.228.203</v>
      </c>
      <c r="G11204" s="1" t="str">
        <f>"0024G131"</f>
        <v>0024G131</v>
      </c>
      <c r="H11204" s="1" t="str">
        <f>"백제간 25R7"</f>
        <v>백제간 25R7</v>
      </c>
      <c r="I11204" s="1" t="s">
        <v>8</v>
      </c>
      <c r="J11204" s="1" t="str">
        <f>"0/14"</f>
        <v>0/14</v>
      </c>
      <c r="K11204" s="1" t="str">
        <f>"2026-06-23 13:18:01"</f>
        <v>2026-06-23 13:18:01</v>
      </c>
      <c r="L11204" s="1" t="str">
        <f>"2014-11-19 12:09:13"</f>
        <v>2014-11-19 12:09:13</v>
      </c>
      <c r="M11204" s="1" t="s">
        <v>45</v>
      </c>
      <c r="N11204" s="1" t="s">
        <v>38</v>
      </c>
      <c r="O11204" s="1" t="s">
        <v>46</v>
      </c>
    </row>
    <row r="11205" spans="2:15" x14ac:dyDescent="0.3">
      <c r="B11205" s="1" t="s">
        <v>20</v>
      </c>
      <c r="C11205" s="1" t="str">
        <f>"3차"</f>
        <v>3차</v>
      </c>
      <c r="D11205" s="1" t="str">
        <f>"0024G15139"</f>
        <v>0024G15139</v>
      </c>
      <c r="E11205" s="1" t="s">
        <v>10</v>
      </c>
      <c r="F11205" s="1" t="str">
        <f>"10.10.39.98"</f>
        <v>10.10.39.98</v>
      </c>
      <c r="G11205" s="1" t="str">
        <f>"0024G151"</f>
        <v>0024G151</v>
      </c>
      <c r="H11205" s="1" t="str">
        <f>"백제간 41"</f>
        <v>백제간 41</v>
      </c>
      <c r="I11205" s="1" t="s">
        <v>8</v>
      </c>
      <c r="J11205" s="1" t="str">
        <f>"23/23"</f>
        <v>23/23</v>
      </c>
      <c r="K11205" s="1" t="str">
        <f>"2026-07-29 13:18:01"</f>
        <v>2026-07-29 13:18:01</v>
      </c>
      <c r="L11205" s="1" t="str">
        <f>"2018-01-10 11:13:40"</f>
        <v>2018-01-10 11:13:40</v>
      </c>
      <c r="M11205" s="1" t="s">
        <v>1</v>
      </c>
      <c r="N11205" s="1" t="s">
        <v>38</v>
      </c>
      <c r="O11205" s="1" t="s">
        <v>46</v>
      </c>
    </row>
    <row r="11206" spans="2:15" x14ac:dyDescent="0.3">
      <c r="B11206" s="1" t="s">
        <v>20</v>
      </c>
      <c r="C11206" s="1" t="str">
        <f>"4차"</f>
        <v>4차</v>
      </c>
      <c r="D11206" s="1" t="str">
        <f>"0024G15244"</f>
        <v>0024G15244</v>
      </c>
      <c r="E11206" s="1" t="s">
        <v>10</v>
      </c>
      <c r="F11206" s="1" t="str">
        <f>"10.10.65.106"</f>
        <v>10.10.65.106</v>
      </c>
      <c r="G11206" s="1" t="str">
        <f>"0024G152"</f>
        <v>0024G152</v>
      </c>
      <c r="H11206" s="1" t="str">
        <f>"백제간 40"</f>
        <v>백제간 40</v>
      </c>
      <c r="I11206" s="1" t="s">
        <v>8</v>
      </c>
      <c r="J11206" s="1" t="str">
        <f>"17/17"</f>
        <v>17/17</v>
      </c>
      <c r="K11206" s="1" t="str">
        <f>"2026-07-29 13:18:01"</f>
        <v>2026-07-29 13:18:01</v>
      </c>
      <c r="L11206" s="1" t="str">
        <f>"2020-01-10 17:18:51"</f>
        <v>2020-01-10 17:18:51</v>
      </c>
      <c r="M11206" s="1" t="s">
        <v>1</v>
      </c>
      <c r="N11206" s="1" t="s">
        <v>38</v>
      </c>
      <c r="O11206" s="1" t="s">
        <v>46</v>
      </c>
    </row>
    <row r="11207" spans="2:15" x14ac:dyDescent="0.3">
      <c r="B11207" s="1" t="s">
        <v>20</v>
      </c>
      <c r="C11207" s="1" t="str">
        <f>"3차"</f>
        <v>3차</v>
      </c>
      <c r="D11207" s="1" t="str">
        <f>"0024G16139"</f>
        <v>0024G16139</v>
      </c>
      <c r="E11207" s="1" t="s">
        <v>10</v>
      </c>
      <c r="F11207" s="1" t="str">
        <f>"10.10.25.58"</f>
        <v>10.10.25.58</v>
      </c>
      <c r="G11207" s="1" t="str">
        <f>"0024G161"</f>
        <v>0024G161</v>
      </c>
      <c r="H11207" s="1" t="str">
        <f>"백제간 35L7"</f>
        <v>백제간 35L7</v>
      </c>
      <c r="I11207" s="1" t="s">
        <v>8</v>
      </c>
      <c r="J11207" s="1" t="str">
        <f>"8/8"</f>
        <v>8/8</v>
      </c>
      <c r="K11207" s="1" t="str">
        <f>"2026-07-29 13:18:01"</f>
        <v>2026-07-29 13:18:01</v>
      </c>
      <c r="L11207" s="1" t="str">
        <f>"2018-02-14 13:13:41"</f>
        <v>2018-02-14 13:13:41</v>
      </c>
      <c r="M11207" s="1" t="s">
        <v>1</v>
      </c>
      <c r="N11207" s="1" t="s">
        <v>38</v>
      </c>
      <c r="O11207" s="1" t="s">
        <v>46</v>
      </c>
    </row>
    <row r="11208" spans="2:15" x14ac:dyDescent="0.3">
      <c r="B11208" s="1" t="s">
        <v>20</v>
      </c>
      <c r="C11208" s="1" t="str">
        <f>"3차"</f>
        <v>3차</v>
      </c>
      <c r="D11208" s="1" t="str">
        <f>"0024G17139"</f>
        <v>0024G17139</v>
      </c>
      <c r="E11208" s="1" t="s">
        <v>10</v>
      </c>
      <c r="F11208" s="1" t="str">
        <f>"10.10.25.66"</f>
        <v>10.10.25.66</v>
      </c>
      <c r="G11208" s="1" t="str">
        <f>"0024G171"</f>
        <v>0024G171</v>
      </c>
      <c r="H11208" s="1" t="str">
        <f>"백제간 35L8"</f>
        <v>백제간 35L8</v>
      </c>
      <c r="I11208" s="1" t="s">
        <v>8</v>
      </c>
      <c r="J11208" s="1" t="str">
        <f>"17/17"</f>
        <v>17/17</v>
      </c>
      <c r="K11208" s="1" t="str">
        <f>"2026-07-29 13:18:01"</f>
        <v>2026-07-29 13:18:01</v>
      </c>
      <c r="L11208" s="1" t="str">
        <f>"2018-02-14 13:19:11"</f>
        <v>2018-02-14 13:19:11</v>
      </c>
      <c r="M11208" s="1" t="s">
        <v>1</v>
      </c>
      <c r="N11208" s="1" t="s">
        <v>38</v>
      </c>
      <c r="O11208" s="1" t="s">
        <v>46</v>
      </c>
    </row>
    <row r="11209" spans="2:15" x14ac:dyDescent="0.3">
      <c r="B11209" s="1" t="s">
        <v>20</v>
      </c>
      <c r="C11209" s="1" t="str">
        <f>"4차"</f>
        <v>4차</v>
      </c>
      <c r="D11209" s="1" t="str">
        <f>"0024G17239"</f>
        <v>0024G17239</v>
      </c>
      <c r="E11209" s="1" t="s">
        <v>14</v>
      </c>
      <c r="F11209" s="1" t="str">
        <f>"10.12.132.136"</f>
        <v>10.12.132.136</v>
      </c>
      <c r="G11209" s="1" t="str">
        <f>"0024G172"</f>
        <v>0024G172</v>
      </c>
      <c r="H11209" s="1" t="str">
        <f>"이태원로 26T"</f>
        <v>이태원로 26T</v>
      </c>
      <c r="I11209" s="1" t="s">
        <v>17</v>
      </c>
      <c r="J11209" s="1" t="str">
        <f>"0/0"</f>
        <v>0/0</v>
      </c>
      <c r="K11209" s="1" t="str">
        <f>"2026-07-28 13:18:01"</f>
        <v>2026-07-28 13:18:01</v>
      </c>
      <c r="L11209" s="1" t="str">
        <f>"2018-06-22 11:40:28"</f>
        <v>2018-06-22 11:40:28</v>
      </c>
      <c r="M11209" s="1" t="s">
        <v>0</v>
      </c>
      <c r="N11209" s="1" t="s">
        <v>39</v>
      </c>
      <c r="O11209" s="1" t="s">
        <v>46</v>
      </c>
    </row>
    <row r="11210" spans="2:15" x14ac:dyDescent="0.3">
      <c r="B11210" s="1" t="s">
        <v>20</v>
      </c>
      <c r="C11210" s="1" t="str">
        <f>"1차"</f>
        <v>1차</v>
      </c>
      <c r="D11210" s="1" t="str">
        <f>"0024G20100"</f>
        <v>0024G20100</v>
      </c>
      <c r="E11210" s="1" t="s">
        <v>10</v>
      </c>
      <c r="F11210" s="1" t="str">
        <f>"10.125.228.170"</f>
        <v>10.125.228.170</v>
      </c>
      <c r="G11210" s="1" t="str">
        <f>"0024G201"</f>
        <v>0024G201</v>
      </c>
      <c r="H11210" s="1" t="str">
        <f>"백제간 22R5"</f>
        <v>백제간 22R5</v>
      </c>
      <c r="I11210" s="1" t="s">
        <v>8</v>
      </c>
      <c r="J11210" s="1" t="str">
        <f>"11/11"</f>
        <v>11/11</v>
      </c>
      <c r="K11210" s="1" t="str">
        <f t="shared" ref="K11210:K11216" si="565">"2026-07-29 13:18:01"</f>
        <v>2026-07-29 13:18:01</v>
      </c>
      <c r="L11210" s="1" t="str">
        <f>"2014-11-24 11:07:07"</f>
        <v>2014-11-24 11:07:07</v>
      </c>
      <c r="M11210" s="1" t="s">
        <v>45</v>
      </c>
      <c r="N11210" s="1" t="s">
        <v>38</v>
      </c>
      <c r="O11210" s="1" t="s">
        <v>46</v>
      </c>
    </row>
    <row r="11211" spans="2:15" x14ac:dyDescent="0.3">
      <c r="B11211" s="1" t="s">
        <v>20</v>
      </c>
      <c r="C11211" s="1" t="str">
        <f>"4차"</f>
        <v>4차</v>
      </c>
      <c r="D11211" s="1" t="str">
        <f>"0024G21242"</f>
        <v>0024G21242</v>
      </c>
      <c r="E11211" s="1" t="s">
        <v>10</v>
      </c>
      <c r="F11211" s="1" t="str">
        <f>"10.12.129.118"</f>
        <v>10.12.129.118</v>
      </c>
      <c r="G11211" s="1" t="str">
        <f>"0024G212"</f>
        <v>0024G212</v>
      </c>
      <c r="H11211" s="1" t="str">
        <f>"백제간 25R5R2"</f>
        <v>백제간 25R5R2</v>
      </c>
      <c r="I11211" s="1" t="s">
        <v>8</v>
      </c>
      <c r="J11211" s="1" t="str">
        <f>"9/9"</f>
        <v>9/9</v>
      </c>
      <c r="K11211" s="1" t="str">
        <f t="shared" si="565"/>
        <v>2026-07-29 13:18:01</v>
      </c>
      <c r="L11211" s="1" t="str">
        <f>"2024-12-18 17:41:00"</f>
        <v>2024-12-18 17:41:00</v>
      </c>
      <c r="M11211" s="1" t="s">
        <v>0</v>
      </c>
      <c r="N11211" s="1" t="s">
        <v>38</v>
      </c>
      <c r="O11211" s="1" t="s">
        <v>46</v>
      </c>
    </row>
    <row r="11212" spans="2:15" x14ac:dyDescent="0.3">
      <c r="B11212" s="1" t="s">
        <v>20</v>
      </c>
      <c r="C11212" s="1" t="str">
        <f>"3차"</f>
        <v>3차</v>
      </c>
      <c r="D11212" s="1" t="str">
        <f>"0024G26239"</f>
        <v>0024G26239</v>
      </c>
      <c r="E11212" s="1" t="s">
        <v>10</v>
      </c>
      <c r="F11212" s="1" t="str">
        <f>"10.10.39.106"</f>
        <v>10.10.39.106</v>
      </c>
      <c r="G11212" s="1" t="str">
        <f>"0024G262"</f>
        <v>0024G262</v>
      </c>
      <c r="H11212" s="1" t="str">
        <f>"백제간 42"</f>
        <v>백제간 42</v>
      </c>
      <c r="I11212" s="1" t="s">
        <v>8</v>
      </c>
      <c r="J11212" s="1" t="str">
        <f>"39/41"</f>
        <v>39/41</v>
      </c>
      <c r="K11212" s="1" t="str">
        <f t="shared" si="565"/>
        <v>2026-07-29 13:18:01</v>
      </c>
      <c r="L11212" s="1" t="str">
        <f>"2018-02-02 13:38:57"</f>
        <v>2018-02-02 13:38:57</v>
      </c>
      <c r="M11212" s="1" t="s">
        <v>1</v>
      </c>
      <c r="N11212" s="1" t="s">
        <v>38</v>
      </c>
      <c r="O11212" s="1" t="s">
        <v>46</v>
      </c>
    </row>
    <row r="11213" spans="2:15" x14ac:dyDescent="0.3">
      <c r="B11213" s="1" t="s">
        <v>20</v>
      </c>
      <c r="C11213" s="1" t="str">
        <f>"3차"</f>
        <v>3차</v>
      </c>
      <c r="D11213" s="1" t="str">
        <f>"0024G27332"</f>
        <v>0024G27332</v>
      </c>
      <c r="E11213" s="1" t="s">
        <v>10</v>
      </c>
      <c r="F11213" s="1" t="str">
        <f>"10.12.133.250"</f>
        <v>10.12.133.250</v>
      </c>
      <c r="G11213" s="1" t="str">
        <f>"0024G273"</f>
        <v>0024G273</v>
      </c>
      <c r="H11213" s="1" t="str">
        <f>"백제간 45"</f>
        <v>백제간 45</v>
      </c>
      <c r="I11213" s="1" t="s">
        <v>8</v>
      </c>
      <c r="J11213" s="1" t="str">
        <f>"25/25"</f>
        <v>25/25</v>
      </c>
      <c r="K11213" s="1" t="str">
        <f t="shared" si="565"/>
        <v>2026-07-29 13:18:01</v>
      </c>
      <c r="L11213" s="1" t="str">
        <f>"2018-06-18 13:30:57"</f>
        <v>2018-06-18 13:30:57</v>
      </c>
      <c r="M11213" s="1" t="s">
        <v>0</v>
      </c>
      <c r="N11213" s="1" t="s">
        <v>38</v>
      </c>
      <c r="O11213" s="1" t="s">
        <v>46</v>
      </c>
    </row>
    <row r="11214" spans="2:15" x14ac:dyDescent="0.3">
      <c r="B11214" s="1" t="s">
        <v>20</v>
      </c>
      <c r="C11214" s="1" t="str">
        <f>"4차"</f>
        <v>4차</v>
      </c>
      <c r="D11214" s="1" t="str">
        <f>"0024G27439"</f>
        <v>0024G27439</v>
      </c>
      <c r="E11214" s="1" t="s">
        <v>10</v>
      </c>
      <c r="F11214" s="1" t="str">
        <f>"10.10.39.114"</f>
        <v>10.10.39.114</v>
      </c>
      <c r="G11214" s="1" t="str">
        <f>"0024G274"</f>
        <v>0024G274</v>
      </c>
      <c r="H11214" s="1" t="str">
        <f>"백제간 43"</f>
        <v>백제간 43</v>
      </c>
      <c r="I11214" s="1" t="s">
        <v>8</v>
      </c>
      <c r="J11214" s="1" t="str">
        <f>"11/11"</f>
        <v>11/11</v>
      </c>
      <c r="K11214" s="1" t="str">
        <f t="shared" si="565"/>
        <v>2026-07-29 13:18:01</v>
      </c>
      <c r="L11214" s="1" t="str">
        <f>"2018-01-10 11:40:40"</f>
        <v>2018-01-10 11:40:40</v>
      </c>
      <c r="M11214" s="1" t="s">
        <v>1</v>
      </c>
      <c r="N11214" s="1" t="s">
        <v>38</v>
      </c>
      <c r="O11214" s="1" t="s">
        <v>46</v>
      </c>
    </row>
    <row r="11215" spans="2:15" x14ac:dyDescent="0.3">
      <c r="B11215" s="1" t="s">
        <v>20</v>
      </c>
      <c r="C11215" s="1" t="str">
        <f>"3차"</f>
        <v>3차</v>
      </c>
      <c r="D11215" s="1" t="str">
        <f>"0024G37330"</f>
        <v>0024G37330</v>
      </c>
      <c r="E11215" s="1" t="s">
        <v>10</v>
      </c>
      <c r="F11215" s="1" t="str">
        <f>"10.10.24.226"</f>
        <v>10.10.24.226</v>
      </c>
      <c r="G11215" s="1" t="str">
        <f>"0024G373"</f>
        <v>0024G373</v>
      </c>
      <c r="H11215" s="1" t="str">
        <f>"백제간 47"</f>
        <v>백제간 47</v>
      </c>
      <c r="I11215" s="1" t="s">
        <v>8</v>
      </c>
      <c r="J11215" s="1" t="str">
        <f>"16/23"</f>
        <v>16/23</v>
      </c>
      <c r="K11215" s="1" t="str">
        <f t="shared" si="565"/>
        <v>2026-07-29 13:18:01</v>
      </c>
      <c r="L11215" s="1" t="str">
        <f>"2018-06-19 16:28:19"</f>
        <v>2018-06-19 16:28:19</v>
      </c>
      <c r="M11215" s="1" t="s">
        <v>1</v>
      </c>
      <c r="N11215" s="1" t="s">
        <v>38</v>
      </c>
      <c r="O11215" s="1" t="s">
        <v>46</v>
      </c>
    </row>
    <row r="11216" spans="2:15" x14ac:dyDescent="0.3">
      <c r="B11216" s="1" t="s">
        <v>20</v>
      </c>
      <c r="C11216" s="1" t="str">
        <f>"4차"</f>
        <v>4차</v>
      </c>
      <c r="D11216" s="1" t="str">
        <f>"0024G39139"</f>
        <v>0024G39139</v>
      </c>
      <c r="E11216" s="1" t="s">
        <v>10</v>
      </c>
      <c r="F11216" s="1" t="str">
        <f>"10.10.39.130"</f>
        <v>10.10.39.130</v>
      </c>
      <c r="G11216" s="1" t="str">
        <f>"0024G391"</f>
        <v>0024G391</v>
      </c>
      <c r="H11216" s="1" t="str">
        <f>"백제간 46AL1"</f>
        <v>백제간 46AL1</v>
      </c>
      <c r="I11216" s="1" t="s">
        <v>8</v>
      </c>
      <c r="J11216" s="1" t="str">
        <f>"11/11"</f>
        <v>11/11</v>
      </c>
      <c r="K11216" s="1" t="str">
        <f t="shared" si="565"/>
        <v>2026-07-29 13:18:01</v>
      </c>
      <c r="L11216" s="1" t="str">
        <f>"2018-02-27 19:33:15"</f>
        <v>2018-02-27 19:33:15</v>
      </c>
      <c r="M11216" s="1" t="s">
        <v>1</v>
      </c>
      <c r="N11216" s="1" t="s">
        <v>38</v>
      </c>
      <c r="O11216" s="1" t="s">
        <v>46</v>
      </c>
    </row>
    <row r="11217" spans="2:15" x14ac:dyDescent="0.3">
      <c r="B11217" s="1" t="s">
        <v>20</v>
      </c>
      <c r="C11217" s="1" t="str">
        <f>"3차"</f>
        <v>3차</v>
      </c>
      <c r="D11217" s="1" t="str">
        <f>"0024G47231"</f>
        <v>0024G47231</v>
      </c>
      <c r="E11217" s="1" t="s">
        <v>14</v>
      </c>
      <c r="F11217" s="1" t="str">
        <f>"10.10.24.227"</f>
        <v>10.10.24.227</v>
      </c>
      <c r="G11217" s="1" t="str">
        <f>"0024G472"</f>
        <v>0024G472</v>
      </c>
      <c r="H11217" s="1" t="str">
        <f>"백제간 48"</f>
        <v>백제간 48</v>
      </c>
      <c r="I11217" s="1" t="s">
        <v>8</v>
      </c>
      <c r="J11217" s="1" t="str">
        <f>"0/0"</f>
        <v>0/0</v>
      </c>
      <c r="K11217" s="1" t="str">
        <f>"2023-08-01 09:20:00"</f>
        <v>2023-08-01 09:20:00</v>
      </c>
      <c r="L11217" s="1" t="str">
        <f>"2021-04-28 11:17:12"</f>
        <v>2021-04-28 11:17:12</v>
      </c>
      <c r="M11217" s="1" t="s">
        <v>1</v>
      </c>
      <c r="N11217" s="1" t="s">
        <v>44</v>
      </c>
      <c r="O11217" s="1" t="s">
        <v>44</v>
      </c>
    </row>
    <row r="11218" spans="2:15" x14ac:dyDescent="0.3">
      <c r="B11218" s="1" t="s">
        <v>20</v>
      </c>
      <c r="C11218" s="1" t="str">
        <f>"3차"</f>
        <v>3차</v>
      </c>
      <c r="D11218" s="1" t="str">
        <f>"0024G49339"</f>
        <v>0024G49339</v>
      </c>
      <c r="E11218" s="1" t="s">
        <v>10</v>
      </c>
      <c r="F11218" s="1" t="str">
        <f>"10.12.132.68"</f>
        <v>10.12.132.68</v>
      </c>
      <c r="G11218" s="1" t="str">
        <f>"0024G493"</f>
        <v>0024G493</v>
      </c>
      <c r="H11218" s="1" t="str">
        <f>"백제간 53"</f>
        <v>백제간 53</v>
      </c>
      <c r="I11218" s="1" t="s">
        <v>8</v>
      </c>
      <c r="J11218" s="1" t="str">
        <f>"18/23"</f>
        <v>18/23</v>
      </c>
      <c r="K11218" s="1" t="str">
        <f>"2026-07-29 07:18:01"</f>
        <v>2026-07-29 07:18:01</v>
      </c>
      <c r="L11218" s="1" t="str">
        <f>"2018-08-14 17:04:28"</f>
        <v>2018-08-14 17:04:28</v>
      </c>
      <c r="M11218" s="1" t="s">
        <v>0</v>
      </c>
      <c r="N11218" s="1" t="s">
        <v>38</v>
      </c>
      <c r="O11218" s="1" t="s">
        <v>46</v>
      </c>
    </row>
    <row r="11219" spans="2:15" x14ac:dyDescent="0.3">
      <c r="B11219" s="1" t="s">
        <v>20</v>
      </c>
      <c r="C11219" s="1" t="str">
        <f>"4차"</f>
        <v>4차</v>
      </c>
      <c r="D11219" s="1" t="str">
        <f>"0024G77439"</f>
        <v>0024G77439</v>
      </c>
      <c r="E11219" s="1" t="s">
        <v>10</v>
      </c>
      <c r="F11219" s="1" t="str">
        <f>"10.12.135.144"</f>
        <v>10.12.135.144</v>
      </c>
      <c r="G11219" s="1" t="str">
        <f>"0024G774"</f>
        <v>0024G774</v>
      </c>
      <c r="H11219" s="1" t="str">
        <f>"한남로 10-1"</f>
        <v>한남로 10-1</v>
      </c>
      <c r="I11219" s="1" t="s">
        <v>17</v>
      </c>
      <c r="J11219" s="1" t="str">
        <f>"1/1"</f>
        <v>1/1</v>
      </c>
      <c r="K11219" s="1" t="str">
        <f>"2026-07-29 13:18:01"</f>
        <v>2026-07-29 13:18:01</v>
      </c>
      <c r="L11219" s="1" t="str">
        <f>"2018-05-23 08:27:42"</f>
        <v>2018-05-23 08:27:42</v>
      </c>
      <c r="M11219" s="1" t="s">
        <v>0</v>
      </c>
      <c r="N11219" s="1" t="s">
        <v>38</v>
      </c>
      <c r="O11219" s="1" t="s">
        <v>46</v>
      </c>
    </row>
    <row r="11220" spans="2:15" x14ac:dyDescent="0.3">
      <c r="B11220" s="1" t="s">
        <v>20</v>
      </c>
      <c r="C11220" s="1" t="str">
        <f>"4차"</f>
        <v>4차</v>
      </c>
      <c r="D11220" s="1" t="str">
        <f>"0024G78139"</f>
        <v>0024G78139</v>
      </c>
      <c r="E11220" s="1" t="s">
        <v>14</v>
      </c>
      <c r="F11220" s="1" t="str">
        <f>"10.12.135.145"</f>
        <v>10.12.135.145</v>
      </c>
      <c r="G11220" s="1" t="str">
        <f>"0024G781"</f>
        <v>0024G781</v>
      </c>
      <c r="H11220" s="1" t="str">
        <f>"한남로 11"</f>
        <v>한남로 11</v>
      </c>
      <c r="I11220" s="1" t="s">
        <v>17</v>
      </c>
      <c r="J11220" s="1" t="str">
        <f>"0/0"</f>
        <v>0/0</v>
      </c>
      <c r="K11220" s="1" t="str">
        <f>"2026-07-28 13:18:01"</f>
        <v>2026-07-28 13:18:01</v>
      </c>
      <c r="L11220" s="1" t="str">
        <f>"2018-05-21 11:19:53"</f>
        <v>2018-05-21 11:19:53</v>
      </c>
      <c r="M11220" s="1" t="s">
        <v>0</v>
      </c>
      <c r="N11220" s="1" t="s">
        <v>39</v>
      </c>
      <c r="O11220" s="1" t="s">
        <v>46</v>
      </c>
    </row>
    <row r="11221" spans="2:15" x14ac:dyDescent="0.3">
      <c r="B11221" s="1" t="s">
        <v>20</v>
      </c>
      <c r="C11221" s="1" t="str">
        <f>"4차"</f>
        <v>4차</v>
      </c>
      <c r="D11221" s="1" t="str">
        <f>"0024G80339"</f>
        <v>0024G80339</v>
      </c>
      <c r="E11221" s="1" t="s">
        <v>14</v>
      </c>
      <c r="F11221" s="1" t="str">
        <f>"10.12.128.98"</f>
        <v>10.12.128.98</v>
      </c>
      <c r="G11221" s="1" t="str">
        <f>"0024G803"</f>
        <v>0024G803</v>
      </c>
      <c r="H11221" s="1" t="str">
        <f>"백제간 14R3L1"</f>
        <v>백제간 14R3L1</v>
      </c>
      <c r="I11221" s="1" t="s">
        <v>8</v>
      </c>
      <c r="J11221" s="1" t="str">
        <f>"0/0"</f>
        <v>0/0</v>
      </c>
      <c r="K11221" s="1" t="str">
        <f>"2025-07-15 07:21:03"</f>
        <v>2025-07-15 07:21:03</v>
      </c>
      <c r="L11221" s="1" t="str">
        <f>"2024-01-30 14:14:17"</f>
        <v>2024-01-30 14:14:17</v>
      </c>
      <c r="M11221" s="1" t="s">
        <v>0</v>
      </c>
      <c r="N11221" s="1" t="s">
        <v>39</v>
      </c>
      <c r="O11221" s="1" t="s">
        <v>46</v>
      </c>
    </row>
    <row r="11222" spans="2:15" x14ac:dyDescent="0.3">
      <c r="B11222" s="1" t="s">
        <v>20</v>
      </c>
      <c r="C11222" s="1" t="str">
        <f>"4차"</f>
        <v>4차</v>
      </c>
      <c r="D11222" s="1" t="str">
        <f>"0024G89139"</f>
        <v>0024G89139</v>
      </c>
      <c r="E11222" s="1" t="s">
        <v>10</v>
      </c>
      <c r="F11222" s="1" t="str">
        <f>"10.12.135.131"</f>
        <v>10.12.135.131</v>
      </c>
      <c r="G11222" s="1" t="str">
        <f>"0024G891"</f>
        <v>0024G891</v>
      </c>
      <c r="H11222" s="1" t="str">
        <f>"외공지 1"</f>
        <v>외공지 1</v>
      </c>
      <c r="I11222" s="1" t="s">
        <v>17</v>
      </c>
      <c r="J11222" s="1" t="str">
        <f>"68/69"</f>
        <v>68/69</v>
      </c>
      <c r="K11222" s="1" t="str">
        <f t="shared" ref="K11222:K11236" si="566">"2026-07-29 13:18:01"</f>
        <v>2026-07-29 13:18:01</v>
      </c>
      <c r="L11222" s="1" t="str">
        <f>"2018-05-21 10:40:37"</f>
        <v>2018-05-21 10:40:37</v>
      </c>
      <c r="M11222" s="1" t="s">
        <v>0</v>
      </c>
      <c r="N11222" s="1" t="s">
        <v>38</v>
      </c>
      <c r="O11222" s="1" t="s">
        <v>46</v>
      </c>
    </row>
    <row r="11223" spans="2:15" x14ac:dyDescent="0.3">
      <c r="B11223" s="1" t="s">
        <v>20</v>
      </c>
      <c r="C11223" s="1" t="str">
        <f>"3차"</f>
        <v>3차</v>
      </c>
      <c r="D11223" s="1" t="str">
        <f>"0024G96131"</f>
        <v>0024G96131</v>
      </c>
      <c r="E11223" s="1" t="s">
        <v>10</v>
      </c>
      <c r="F11223" s="1" t="str">
        <f>"10.10.25.195"</f>
        <v>10.10.25.195</v>
      </c>
      <c r="G11223" s="1" t="str">
        <f>"0024G961"</f>
        <v>0024G961</v>
      </c>
      <c r="H11223" s="1" t="str">
        <f>"연구지 3"</f>
        <v>연구지 3</v>
      </c>
      <c r="I11223" s="1" t="s">
        <v>8</v>
      </c>
      <c r="J11223" s="1" t="str">
        <f>"31/31"</f>
        <v>31/31</v>
      </c>
      <c r="K11223" s="1" t="str">
        <f t="shared" si="566"/>
        <v>2026-07-29 13:18:01</v>
      </c>
      <c r="L11223" s="1" t="str">
        <f>"2018-03-13 14:23:12"</f>
        <v>2018-03-13 14:23:12</v>
      </c>
      <c r="M11223" s="1" t="s">
        <v>1</v>
      </c>
      <c r="N11223" s="1" t="s">
        <v>38</v>
      </c>
      <c r="O11223" s="1" t="s">
        <v>46</v>
      </c>
    </row>
    <row r="11224" spans="2:15" x14ac:dyDescent="0.3">
      <c r="B11224" s="1" t="s">
        <v>20</v>
      </c>
      <c r="C11224" s="1" t="str">
        <f>"3차"</f>
        <v>3차</v>
      </c>
      <c r="D11224" s="1" t="str">
        <f>"0024G96330"</f>
        <v>0024G96330</v>
      </c>
      <c r="E11224" s="1" t="s">
        <v>10</v>
      </c>
      <c r="F11224" s="1" t="str">
        <f>"10.10.25.202"</f>
        <v>10.10.25.202</v>
      </c>
      <c r="G11224" s="1" t="str">
        <f>"0024G963"</f>
        <v>0024G963</v>
      </c>
      <c r="H11224" s="1" t="str">
        <f>"연구지 4H1"</f>
        <v>연구지 4H1</v>
      </c>
      <c r="I11224" s="1" t="s">
        <v>8</v>
      </c>
      <c r="J11224" s="1" t="str">
        <f>"45/45"</f>
        <v>45/45</v>
      </c>
      <c r="K11224" s="1" t="str">
        <f t="shared" si="566"/>
        <v>2026-07-29 13:18:01</v>
      </c>
      <c r="L11224" s="1" t="str">
        <f>"2021-04-28 15:00:33"</f>
        <v>2021-04-28 15:00:33</v>
      </c>
      <c r="M11224" s="1" t="s">
        <v>1</v>
      </c>
      <c r="N11224" s="1" t="s">
        <v>38</v>
      </c>
      <c r="O11224" s="1" t="s">
        <v>46</v>
      </c>
    </row>
    <row r="11225" spans="2:15" x14ac:dyDescent="0.3">
      <c r="B11225" s="1" t="s">
        <v>20</v>
      </c>
      <c r="C11225" s="1" t="str">
        <f>"3차"</f>
        <v>3차</v>
      </c>
      <c r="D11225" s="1" t="str">
        <f>"0024G97130"</f>
        <v>0024G97130</v>
      </c>
      <c r="E11225" s="1" t="s">
        <v>10</v>
      </c>
      <c r="F11225" s="1" t="str">
        <f>"10.10.25.194"</f>
        <v>10.10.25.194</v>
      </c>
      <c r="G11225" s="1" t="str">
        <f>"0024G971"</f>
        <v>0024G971</v>
      </c>
      <c r="H11225" s="1" t="str">
        <f>"연구지 2"</f>
        <v>연구지 2</v>
      </c>
      <c r="I11225" s="1" t="s">
        <v>8</v>
      </c>
      <c r="J11225" s="1" t="str">
        <f>"45/45"</f>
        <v>45/45</v>
      </c>
      <c r="K11225" s="1" t="str">
        <f t="shared" si="566"/>
        <v>2026-07-29 13:18:01</v>
      </c>
      <c r="L11225" s="1" t="str">
        <f>"2018-02-27 19:35:16"</f>
        <v>2018-02-27 19:35:16</v>
      </c>
      <c r="M11225" s="1" t="s">
        <v>1</v>
      </c>
      <c r="N11225" s="1" t="s">
        <v>38</v>
      </c>
      <c r="O11225" s="1" t="s">
        <v>46</v>
      </c>
    </row>
    <row r="11226" spans="2:15" x14ac:dyDescent="0.3">
      <c r="B11226" s="1" t="s">
        <v>20</v>
      </c>
      <c r="C11226" s="1" t="str">
        <f>"4차"</f>
        <v>4차</v>
      </c>
      <c r="D11226" s="1" t="str">
        <f>"0024H21139"</f>
        <v>0024H21139</v>
      </c>
      <c r="E11226" s="1" t="s">
        <v>10</v>
      </c>
      <c r="F11226" s="1" t="str">
        <f>"10.12.135.146"</f>
        <v>10.12.135.146</v>
      </c>
      <c r="G11226" s="1" t="str">
        <f>"0024H211"</f>
        <v>0024H211</v>
      </c>
      <c r="H11226" s="1" t="str">
        <f>"한남 7-1"</f>
        <v>한남 7-1</v>
      </c>
      <c r="I11226" s="1" t="s">
        <v>17</v>
      </c>
      <c r="J11226" s="1" t="str">
        <f>"3/3"</f>
        <v>3/3</v>
      </c>
      <c r="K11226" s="1" t="str">
        <f t="shared" si="566"/>
        <v>2026-07-29 13:18:01</v>
      </c>
      <c r="L11226" s="1" t="str">
        <f>"2018-05-23 08:02:09"</f>
        <v>2018-05-23 08:02:09</v>
      </c>
      <c r="M11226" s="1" t="s">
        <v>0</v>
      </c>
      <c r="N11226" s="1" t="s">
        <v>38</v>
      </c>
      <c r="O11226" s="1" t="s">
        <v>46</v>
      </c>
    </row>
    <row r="11227" spans="2:15" x14ac:dyDescent="0.3">
      <c r="B11227" s="1" t="s">
        <v>20</v>
      </c>
      <c r="C11227" s="1" t="str">
        <f>"3차"</f>
        <v>3차</v>
      </c>
      <c r="D11227" s="1" t="str">
        <f>"0024H31139"</f>
        <v>0024H31139</v>
      </c>
      <c r="E11227" s="1" t="s">
        <v>10</v>
      </c>
      <c r="F11227" s="1" t="str">
        <f>"10.10.25.178"</f>
        <v>10.10.25.178</v>
      </c>
      <c r="G11227" s="1" t="str">
        <f>"0024H311"</f>
        <v>0024H311</v>
      </c>
      <c r="H11227" s="1" t="str">
        <f>"보광간 54L5L1"</f>
        <v>보광간 54L5L1</v>
      </c>
      <c r="I11227" s="1" t="s">
        <v>8</v>
      </c>
      <c r="J11227" s="1" t="str">
        <f>"7/7"</f>
        <v>7/7</v>
      </c>
      <c r="K11227" s="1" t="str">
        <f t="shared" si="566"/>
        <v>2026-07-29 13:18:01</v>
      </c>
      <c r="L11227" s="1" t="str">
        <f>"2018-03-12 14:08:44"</f>
        <v>2018-03-12 14:08:44</v>
      </c>
      <c r="M11227" s="1" t="s">
        <v>1</v>
      </c>
      <c r="N11227" s="1" t="s">
        <v>38</v>
      </c>
      <c r="O11227" s="1" t="s">
        <v>46</v>
      </c>
    </row>
    <row r="11228" spans="2:15" x14ac:dyDescent="0.3">
      <c r="B11228" s="1" t="s">
        <v>20</v>
      </c>
      <c r="C11228" s="1" t="str">
        <f>"3차"</f>
        <v>3차</v>
      </c>
      <c r="D11228" s="1" t="str">
        <f>"0024H41139"</f>
        <v>0024H41139</v>
      </c>
      <c r="E11228" s="1" t="s">
        <v>10</v>
      </c>
      <c r="F11228" s="1" t="str">
        <f>"10.10.25.170"</f>
        <v>10.10.25.170</v>
      </c>
      <c r="G11228" s="1" t="str">
        <f>"0024H411"</f>
        <v>0024H411</v>
      </c>
      <c r="H11228" s="1" t="str">
        <f>"보광간 54L5"</f>
        <v>보광간 54L5</v>
      </c>
      <c r="I11228" s="1" t="s">
        <v>8</v>
      </c>
      <c r="J11228" s="1" t="str">
        <f>"7/7"</f>
        <v>7/7</v>
      </c>
      <c r="K11228" s="1" t="str">
        <f t="shared" si="566"/>
        <v>2026-07-29 13:18:01</v>
      </c>
      <c r="L11228" s="1" t="str">
        <f>"2018-03-12 11:47:40"</f>
        <v>2018-03-12 11:47:40</v>
      </c>
      <c r="M11228" s="1" t="s">
        <v>1</v>
      </c>
      <c r="N11228" s="1" t="s">
        <v>38</v>
      </c>
      <c r="O11228" s="1" t="s">
        <v>46</v>
      </c>
    </row>
    <row r="11229" spans="2:15" x14ac:dyDescent="0.3">
      <c r="B11229" s="1" t="s">
        <v>20</v>
      </c>
      <c r="C11229" s="1" t="str">
        <f>"3차"</f>
        <v>3차</v>
      </c>
      <c r="D11229" s="1" t="str">
        <f>"0024H41239"</f>
        <v>0024H41239</v>
      </c>
      <c r="E11229" s="1" t="s">
        <v>10</v>
      </c>
      <c r="F11229" s="1" t="str">
        <f>"10.10.25.186"</f>
        <v>10.10.25.186</v>
      </c>
      <c r="G11229" s="1" t="str">
        <f>"0024H412"</f>
        <v>0024H412</v>
      </c>
      <c r="H11229" s="1" t="str">
        <f>"보광간 54L6"</f>
        <v>보광간 54L6</v>
      </c>
      <c r="I11229" s="1" t="s">
        <v>8</v>
      </c>
      <c r="J11229" s="1" t="str">
        <f>"1/1"</f>
        <v>1/1</v>
      </c>
      <c r="K11229" s="1" t="str">
        <f t="shared" si="566"/>
        <v>2026-07-29 13:18:01</v>
      </c>
      <c r="L11229" s="1" t="str">
        <f>"2018-03-12 14:12:59"</f>
        <v>2018-03-12 14:12:59</v>
      </c>
      <c r="M11229" s="1" t="s">
        <v>1</v>
      </c>
      <c r="N11229" s="1" t="s">
        <v>38</v>
      </c>
      <c r="O11229" s="1" t="s">
        <v>46</v>
      </c>
    </row>
    <row r="11230" spans="2:15" x14ac:dyDescent="0.3">
      <c r="B11230" s="1" t="s">
        <v>20</v>
      </c>
      <c r="C11230" s="1" t="str">
        <f>"4차"</f>
        <v>4차</v>
      </c>
      <c r="D11230" s="1" t="str">
        <f>"0024H60139"</f>
        <v>0024H60139</v>
      </c>
      <c r="E11230" s="1" t="s">
        <v>10</v>
      </c>
      <c r="F11230" s="1" t="str">
        <f>"10.12.134.197"</f>
        <v>10.12.134.197</v>
      </c>
      <c r="G11230" s="1" t="str">
        <f>"0024H601"</f>
        <v>0024H601</v>
      </c>
      <c r="H11230" s="1" t="str">
        <f>"독서당로 14T"</f>
        <v>독서당로 14T</v>
      </c>
      <c r="I11230" s="1" t="s">
        <v>17</v>
      </c>
      <c r="J11230" s="1" t="str">
        <f>"9/9"</f>
        <v>9/9</v>
      </c>
      <c r="K11230" s="1" t="str">
        <f t="shared" si="566"/>
        <v>2026-07-29 13:18:01</v>
      </c>
      <c r="L11230" s="1" t="str">
        <f>"2018-05-14 16:08:13"</f>
        <v>2018-05-14 16:08:13</v>
      </c>
      <c r="M11230" s="1" t="s">
        <v>0</v>
      </c>
      <c r="N11230" s="1" t="s">
        <v>38</v>
      </c>
      <c r="O11230" s="1" t="s">
        <v>46</v>
      </c>
    </row>
    <row r="11231" spans="2:15" x14ac:dyDescent="0.3">
      <c r="B11231" s="1" t="s">
        <v>20</v>
      </c>
      <c r="C11231" s="1" t="str">
        <f>"3차"</f>
        <v>3차</v>
      </c>
      <c r="D11231" s="1" t="str">
        <f>"0024H61239"</f>
        <v>0024H61239</v>
      </c>
      <c r="E11231" s="1" t="s">
        <v>10</v>
      </c>
      <c r="F11231" s="1" t="str">
        <f>"10.10.27.194"</f>
        <v>10.10.27.194</v>
      </c>
      <c r="G11231" s="1" t="str">
        <f>"0024H612"</f>
        <v>0024H612</v>
      </c>
      <c r="H11231" s="1" t="str">
        <f>"보광간 54L2"</f>
        <v>보광간 54L2</v>
      </c>
      <c r="I11231" s="1" t="s">
        <v>8</v>
      </c>
      <c r="J11231" s="1" t="str">
        <f>"1/1"</f>
        <v>1/1</v>
      </c>
      <c r="K11231" s="1" t="str">
        <f t="shared" si="566"/>
        <v>2026-07-29 13:18:01</v>
      </c>
      <c r="L11231" s="1" t="str">
        <f>"2018-03-12 11:03:40"</f>
        <v>2018-03-12 11:03:40</v>
      </c>
      <c r="M11231" s="1" t="s">
        <v>1</v>
      </c>
      <c r="N11231" s="1" t="s">
        <v>38</v>
      </c>
      <c r="O11231" s="1" t="s">
        <v>46</v>
      </c>
    </row>
    <row r="11232" spans="2:15" x14ac:dyDescent="0.3">
      <c r="B11232" s="1" t="s">
        <v>20</v>
      </c>
      <c r="C11232" s="1" t="str">
        <f>"3차"</f>
        <v>3차</v>
      </c>
      <c r="D11232" s="1" t="str">
        <f>"0024H62239"</f>
        <v>0024H62239</v>
      </c>
      <c r="E11232" s="1" t="s">
        <v>10</v>
      </c>
      <c r="F11232" s="1" t="str">
        <f>"10.12.128.102"</f>
        <v>10.12.128.102</v>
      </c>
      <c r="G11232" s="1" t="str">
        <f>"0024H622"</f>
        <v>0024H622</v>
      </c>
      <c r="H11232" s="1" t="str">
        <f>"보광간 54L4R3"</f>
        <v>보광간 54L4R3</v>
      </c>
      <c r="I11232" s="1" t="s">
        <v>8</v>
      </c>
      <c r="J11232" s="1" t="str">
        <f>"1/1"</f>
        <v>1/1</v>
      </c>
      <c r="K11232" s="1" t="str">
        <f t="shared" si="566"/>
        <v>2026-07-29 13:18:01</v>
      </c>
      <c r="L11232" s="1" t="str">
        <f>"2018-03-31 16:25:32"</f>
        <v>2018-03-31 16:25:32</v>
      </c>
      <c r="M11232" s="1" t="s">
        <v>0</v>
      </c>
      <c r="N11232" s="1" t="s">
        <v>38</v>
      </c>
      <c r="O11232" s="1" t="s">
        <v>46</v>
      </c>
    </row>
    <row r="11233" spans="2:15" x14ac:dyDescent="0.3">
      <c r="B11233" s="1" t="s">
        <v>20</v>
      </c>
      <c r="C11233" s="1" t="str">
        <f>"3차"</f>
        <v>3차</v>
      </c>
      <c r="D11233" s="1" t="str">
        <f>"0024H72239"</f>
        <v>0024H72239</v>
      </c>
      <c r="E11233" s="1" t="s">
        <v>10</v>
      </c>
      <c r="F11233" s="1" t="str">
        <f>"10.10.27.186"</f>
        <v>10.10.27.186</v>
      </c>
      <c r="G11233" s="1" t="str">
        <f>"0024H722"</f>
        <v>0024H722</v>
      </c>
      <c r="H11233" s="1" t="str">
        <f>"보광간 54C1"</f>
        <v>보광간 54C1</v>
      </c>
      <c r="I11233" s="1" t="s">
        <v>8</v>
      </c>
      <c r="J11233" s="1" t="str">
        <f>"37/40"</f>
        <v>37/40</v>
      </c>
      <c r="K11233" s="1" t="str">
        <f t="shared" si="566"/>
        <v>2026-07-29 13:18:01</v>
      </c>
      <c r="L11233" s="1" t="str">
        <f>"2018-03-12 11:00:40"</f>
        <v>2018-03-12 11:00:40</v>
      </c>
      <c r="M11233" s="1" t="s">
        <v>1</v>
      </c>
      <c r="N11233" s="1" t="s">
        <v>38</v>
      </c>
      <c r="O11233" s="1" t="s">
        <v>46</v>
      </c>
    </row>
    <row r="11234" spans="2:15" x14ac:dyDescent="0.3">
      <c r="B11234" s="1" t="s">
        <v>20</v>
      </c>
      <c r="C11234" s="1" t="str">
        <f>"1차"</f>
        <v>1차</v>
      </c>
      <c r="D11234" s="1" t="str">
        <f>"0024H81101"</f>
        <v>0024H81101</v>
      </c>
      <c r="E11234" s="1" t="s">
        <v>10</v>
      </c>
      <c r="F11234" s="1" t="str">
        <f>"10.125.228.75"</f>
        <v>10.125.228.75</v>
      </c>
      <c r="G11234" s="1" t="str">
        <f>"0024H811"</f>
        <v>0024H811</v>
      </c>
      <c r="H11234" s="1" t="str">
        <f>"유엔간 4"</f>
        <v>유엔간 4</v>
      </c>
      <c r="I11234" s="1" t="s">
        <v>8</v>
      </c>
      <c r="J11234" s="1" t="str">
        <f>"25/25"</f>
        <v>25/25</v>
      </c>
      <c r="K11234" s="1" t="str">
        <f t="shared" si="566"/>
        <v>2026-07-29 13:18:01</v>
      </c>
      <c r="L11234" s="1" t="str">
        <f>"2014-11-24 11:43:20"</f>
        <v>2014-11-24 11:43:20</v>
      </c>
      <c r="M11234" s="1" t="s">
        <v>45</v>
      </c>
      <c r="N11234" s="1" t="s">
        <v>38</v>
      </c>
      <c r="O11234" s="1" t="s">
        <v>46</v>
      </c>
    </row>
    <row r="11235" spans="2:15" x14ac:dyDescent="0.3">
      <c r="B11235" s="1" t="s">
        <v>20</v>
      </c>
      <c r="C11235" s="1" t="str">
        <f>"4차"</f>
        <v>4차</v>
      </c>
      <c r="D11235" s="1" t="str">
        <f>"0024H82139"</f>
        <v>0024H82139</v>
      </c>
      <c r="E11235" s="1" t="s">
        <v>10</v>
      </c>
      <c r="F11235" s="1" t="str">
        <f>"10.12.134.219"</f>
        <v>10.12.134.219</v>
      </c>
      <c r="G11235" s="1" t="str">
        <f>"0024H821"</f>
        <v>0024H821</v>
      </c>
      <c r="H11235" s="1" t="str">
        <f>"독서당로 15"</f>
        <v>독서당로 15</v>
      </c>
      <c r="I11235" s="1" t="s">
        <v>17</v>
      </c>
      <c r="J11235" s="1" t="str">
        <f>"1/1"</f>
        <v>1/1</v>
      </c>
      <c r="K11235" s="1" t="str">
        <f t="shared" si="566"/>
        <v>2026-07-29 13:18:01</v>
      </c>
      <c r="L11235" s="1" t="str">
        <f>"2018-05-14 15:07:59"</f>
        <v>2018-05-14 15:07:59</v>
      </c>
      <c r="M11235" s="1" t="s">
        <v>0</v>
      </c>
      <c r="N11235" s="1" t="s">
        <v>38</v>
      </c>
      <c r="O11235" s="1" t="s">
        <v>46</v>
      </c>
    </row>
    <row r="11236" spans="2:15" x14ac:dyDescent="0.3">
      <c r="B11236" s="1" t="s">
        <v>20</v>
      </c>
      <c r="C11236" s="1" t="str">
        <f>"1차"</f>
        <v>1차</v>
      </c>
      <c r="D11236" s="1" t="str">
        <f>"0024H92100"</f>
        <v>0024H92100</v>
      </c>
      <c r="E11236" s="1" t="s">
        <v>10</v>
      </c>
      <c r="F11236" s="1" t="str">
        <f>"10.125.228.74"</f>
        <v>10.125.228.74</v>
      </c>
      <c r="G11236" s="1" t="str">
        <f>"0024H921"</f>
        <v>0024H921</v>
      </c>
      <c r="H11236" s="1" t="str">
        <f>"유엔간 6L1"</f>
        <v>유엔간 6L1</v>
      </c>
      <c r="I11236" s="1" t="s">
        <v>8</v>
      </c>
      <c r="J11236" s="1" t="str">
        <f>"1/1"</f>
        <v>1/1</v>
      </c>
      <c r="K11236" s="1" t="str">
        <f t="shared" si="566"/>
        <v>2026-07-29 13:18:01</v>
      </c>
      <c r="L11236" s="1" t="str">
        <f>"2014-11-24 11:40:24"</f>
        <v>2014-11-24 11:40:24</v>
      </c>
      <c r="M11236" s="1" t="s">
        <v>45</v>
      </c>
      <c r="N11236" s="1" t="s">
        <v>38</v>
      </c>
      <c r="O11236" s="1" t="s">
        <v>46</v>
      </c>
    </row>
    <row r="11237" spans="2:15" x14ac:dyDescent="0.3">
      <c r="B11237" s="1" t="s">
        <v>20</v>
      </c>
      <c r="C11237" s="1" t="str">
        <f>"3차"</f>
        <v>3차</v>
      </c>
      <c r="D11237" s="1" t="str">
        <f>"0024H92239"</f>
        <v>0024H92239</v>
      </c>
      <c r="E11237" s="1" t="s">
        <v>14</v>
      </c>
      <c r="F11237" s="1" t="str">
        <f>"10.12.128.213"</f>
        <v>10.12.128.213</v>
      </c>
      <c r="G11237" s="1" t="str">
        <f>"0024H922"</f>
        <v>0024H922</v>
      </c>
      <c r="H11237" s="1" t="str">
        <f>"유엔간 6L2"</f>
        <v>유엔간 6L2</v>
      </c>
      <c r="I11237" s="1" t="s">
        <v>8</v>
      </c>
      <c r="J11237" s="1" t="str">
        <f>"0/0"</f>
        <v>0/0</v>
      </c>
      <c r="K11237" s="1" t="str">
        <f>"2026-06-10 07:18:01"</f>
        <v>2026-06-10 07:18:01</v>
      </c>
      <c r="L11237" s="1" t="str">
        <f>"2018-03-31 12:18:42"</f>
        <v>2018-03-31 12:18:42</v>
      </c>
      <c r="M11237" s="1" t="s">
        <v>0</v>
      </c>
      <c r="N11237" s="1" t="s">
        <v>39</v>
      </c>
      <c r="O11237" s="1" t="s">
        <v>46</v>
      </c>
    </row>
    <row r="11238" spans="2:15" x14ac:dyDescent="0.3">
      <c r="B11238" s="1" t="s">
        <v>20</v>
      </c>
      <c r="C11238" s="1" t="str">
        <f>"1차"</f>
        <v>1차</v>
      </c>
      <c r="D11238" s="1" t="str">
        <f>"0024H93301"</f>
        <v>0024H93301</v>
      </c>
      <c r="E11238" s="1" t="s">
        <v>10</v>
      </c>
      <c r="F11238" s="1" t="str">
        <f>"10.125.228.76"</f>
        <v>10.125.228.76</v>
      </c>
      <c r="G11238" s="1" t="str">
        <f>"0024H933"</f>
        <v>0024H933</v>
      </c>
      <c r="H11238" s="1" t="str">
        <f>"유엔간 6L3"</f>
        <v>유엔간 6L3</v>
      </c>
      <c r="I11238" s="1" t="s">
        <v>8</v>
      </c>
      <c r="J11238" s="1" t="str">
        <f>"10/10"</f>
        <v>10/10</v>
      </c>
      <c r="K11238" s="1" t="str">
        <f>"2026-07-29 13:18:01"</f>
        <v>2026-07-29 13:18:01</v>
      </c>
      <c r="L11238" s="1" t="str">
        <f>"2014-11-24 11:39:22"</f>
        <v>2014-11-24 11:39:22</v>
      </c>
      <c r="M11238" s="1" t="s">
        <v>45</v>
      </c>
      <c r="N11238" s="1" t="s">
        <v>38</v>
      </c>
      <c r="O11238" s="1" t="s">
        <v>46</v>
      </c>
    </row>
    <row r="11239" spans="2:15" x14ac:dyDescent="0.3">
      <c r="B11239" s="1" t="s">
        <v>20</v>
      </c>
      <c r="C11239" s="1" t="str">
        <f>"4차"</f>
        <v>4차</v>
      </c>
      <c r="D11239" s="1" t="str">
        <f>"0024H94239"</f>
        <v>0024H94239</v>
      </c>
      <c r="E11239" s="1" t="s">
        <v>10</v>
      </c>
      <c r="F11239" s="1" t="str">
        <f>"10.12.135.8"</f>
        <v>10.12.135.8</v>
      </c>
      <c r="G11239" s="1" t="str">
        <f>"0024H942"</f>
        <v>0024H942</v>
      </c>
      <c r="H11239" s="1" t="str">
        <f>"독서당로 6"</f>
        <v>독서당로 6</v>
      </c>
      <c r="I11239" s="1" t="s">
        <v>17</v>
      </c>
      <c r="J11239" s="1" t="str">
        <f>"6/6"</f>
        <v>6/6</v>
      </c>
      <c r="K11239" s="1" t="str">
        <f>"2026-07-29 07:18:01"</f>
        <v>2026-07-29 07:18:01</v>
      </c>
      <c r="L11239" s="1" t="str">
        <f>"2018-05-14 12:37:42"</f>
        <v>2018-05-14 12:37:42</v>
      </c>
      <c r="M11239" s="1" t="s">
        <v>0</v>
      </c>
      <c r="N11239" s="1" t="s">
        <v>38</v>
      </c>
      <c r="O11239" s="1" t="s">
        <v>46</v>
      </c>
    </row>
    <row r="11240" spans="2:15" x14ac:dyDescent="0.3">
      <c r="B11240" s="1" t="s">
        <v>20</v>
      </c>
      <c r="C11240" s="1" t="str">
        <f>"5-1차"</f>
        <v>5-1차</v>
      </c>
      <c r="D11240" s="1" t="str">
        <f>"0024P1815M"</f>
        <v>0024P1815M</v>
      </c>
      <c r="E11240" s="1" t="s">
        <v>10</v>
      </c>
      <c r="F11240" s="1" t="str">
        <f>"fde3:102:1301:3500:0:0:0:2"</f>
        <v>fde3:102:1301:3500:0:0:0:2</v>
      </c>
      <c r="G11240" s="1" t="str">
        <f>"0024P181"</f>
        <v>0024P181</v>
      </c>
      <c r="H11240" s="1" t="str">
        <f>"동보간 44R18"</f>
        <v>동보간 44R18</v>
      </c>
      <c r="I11240" s="1" t="s">
        <v>15</v>
      </c>
      <c r="J11240" s="1" t="str">
        <f>"16/16"</f>
        <v>16/16</v>
      </c>
      <c r="K11240" s="1" t="str">
        <f>"2026-07-29 14:20:03"</f>
        <v>2026-07-29 14:20:03</v>
      </c>
      <c r="L11240" s="1" t="str">
        <f>"2022-11-23 14:43:34"</f>
        <v>2022-11-23 14:43:34</v>
      </c>
      <c r="M11240" s="1" t="s">
        <v>45</v>
      </c>
      <c r="N11240" s="1" t="s">
        <v>38</v>
      </c>
      <c r="O11240" s="1" t="s">
        <v>46</v>
      </c>
    </row>
    <row r="11241" spans="2:15" x14ac:dyDescent="0.3">
      <c r="B11241" s="1" t="s">
        <v>20</v>
      </c>
      <c r="C11241" s="1" t="str">
        <f>"5-1차"</f>
        <v>5-1차</v>
      </c>
      <c r="D11241" s="1" t="str">
        <f>"0024P2835M"</f>
        <v>0024P2835M</v>
      </c>
      <c r="E11241" s="1" t="s">
        <v>10</v>
      </c>
      <c r="F11241" s="1" t="str">
        <f>"fde3:102:1301:3500:0:0:0:3"</f>
        <v>fde3:102:1301:3500:0:0:0:3</v>
      </c>
      <c r="G11241" s="1" t="str">
        <f>"0024P283"</f>
        <v>0024P283</v>
      </c>
      <c r="H11241" s="1" t="str">
        <f>"동보간 44R11R2"</f>
        <v>동보간 44R11R2</v>
      </c>
      <c r="I11241" s="1" t="s">
        <v>15</v>
      </c>
      <c r="J11241" s="1" t="str">
        <f>"15/15"</f>
        <v>15/15</v>
      </c>
      <c r="K11241" s="1" t="str">
        <f>"2026-07-29 14:20:01"</f>
        <v>2026-07-29 14:20:01</v>
      </c>
      <c r="L11241" s="1" t="str">
        <f>"2022-11-23 18:38:32"</f>
        <v>2022-11-23 18:38:32</v>
      </c>
      <c r="M11241" s="1" t="s">
        <v>45</v>
      </c>
      <c r="N11241" s="1" t="s">
        <v>38</v>
      </c>
      <c r="O11241" s="1" t="s">
        <v>46</v>
      </c>
    </row>
    <row r="11242" spans="2:15" x14ac:dyDescent="0.3">
      <c r="B11242" s="1" t="s">
        <v>20</v>
      </c>
      <c r="C11242" s="1" t="str">
        <f>"1차"</f>
        <v>1차</v>
      </c>
      <c r="D11242" s="1" t="str">
        <f>"0024P32100"</f>
        <v>0024P32100</v>
      </c>
      <c r="E11242" s="1" t="s">
        <v>10</v>
      </c>
      <c r="F11242" s="1" t="str">
        <f>"10.125.227.34"</f>
        <v>10.125.227.34</v>
      </c>
      <c r="G11242" s="1" t="str">
        <f>"0024P321"</f>
        <v>0024P321</v>
      </c>
      <c r="H11242" s="1" t="str">
        <f>"동보간 48"</f>
        <v>동보간 48</v>
      </c>
      <c r="I11242" s="1" t="s">
        <v>8</v>
      </c>
      <c r="J11242" s="1" t="str">
        <f>"29/29"</f>
        <v>29/29</v>
      </c>
      <c r="K11242" s="1" t="str">
        <f>"2026-07-29 13:18:01"</f>
        <v>2026-07-29 13:18:01</v>
      </c>
      <c r="L11242" s="1" t="str">
        <f>"2014-12-02 10:08:59"</f>
        <v>2014-12-02 10:08:59</v>
      </c>
      <c r="M11242" s="1" t="s">
        <v>45</v>
      </c>
      <c r="N11242" s="1" t="s">
        <v>38</v>
      </c>
      <c r="O11242" s="1" t="s">
        <v>46</v>
      </c>
    </row>
    <row r="11243" spans="2:15" x14ac:dyDescent="0.3">
      <c r="B11243" s="1" t="s">
        <v>20</v>
      </c>
      <c r="C11243" s="1" t="str">
        <f>"5-2차"</f>
        <v>5-2차</v>
      </c>
      <c r="D11243" s="1" t="str">
        <f>"0024P3615M"</f>
        <v>0024P3615M</v>
      </c>
      <c r="E11243" s="1" t="s">
        <v>10</v>
      </c>
      <c r="F11243" s="1" t="str">
        <f>"fde3:102:1301:3400:0:0:0:10"</f>
        <v>fde3:102:1301:3400:0:0:0:10</v>
      </c>
      <c r="G11243" s="1" t="str">
        <f>"0024P361"</f>
        <v>0024P361</v>
      </c>
      <c r="H11243" s="1" t="str">
        <f>"동보간 44R14L2"</f>
        <v>동보간 44R14L2</v>
      </c>
      <c r="I11243" s="1" t="s">
        <v>15</v>
      </c>
      <c r="J11243" s="1" t="str">
        <f>"23/23"</f>
        <v>23/23</v>
      </c>
      <c r="K11243" s="1" t="str">
        <f>"2026-07-29 14:20:04"</f>
        <v>2026-07-29 14:20:04</v>
      </c>
      <c r="L11243" s="1" t="str">
        <f>"2023-11-20 14:27:01"</f>
        <v>2023-11-20 14:27:01</v>
      </c>
      <c r="M11243" s="1" t="s">
        <v>45</v>
      </c>
      <c r="N11243" s="1" t="s">
        <v>38</v>
      </c>
      <c r="O11243" s="1" t="s">
        <v>46</v>
      </c>
    </row>
    <row r="11244" spans="2:15" x14ac:dyDescent="0.3">
      <c r="B11244" s="1" t="s">
        <v>20</v>
      </c>
      <c r="C11244" s="1" t="str">
        <f>"5-1차"</f>
        <v>5-1차</v>
      </c>
      <c r="D11244" s="1" t="str">
        <f>"0024P3715S"</f>
        <v>0024P3715S</v>
      </c>
      <c r="E11244" s="1" t="s">
        <v>10</v>
      </c>
      <c r="F11244" s="1" t="str">
        <f>"fde3:102:1301:3500:0:0:0:4"</f>
        <v>fde3:102:1301:3500:0:0:0:4</v>
      </c>
      <c r="G11244" s="1" t="str">
        <f>"0024P371"</f>
        <v>0024P371</v>
      </c>
      <c r="H11244" s="1" t="str">
        <f>"동보간 44R12"</f>
        <v>동보간 44R12</v>
      </c>
      <c r="I11244" s="1" t="s">
        <v>15</v>
      </c>
      <c r="J11244" s="1" t="str">
        <f>"62/64"</f>
        <v>62/64</v>
      </c>
      <c r="K11244" s="1" t="str">
        <f>"2026-07-29 14:20:03"</f>
        <v>2026-07-29 14:20:03</v>
      </c>
      <c r="L11244" s="1" t="str">
        <f>"2022-11-23 14:52:31"</f>
        <v>2022-11-23 14:52:31</v>
      </c>
      <c r="M11244" s="1" t="s">
        <v>45</v>
      </c>
      <c r="N11244" s="1" t="s">
        <v>38</v>
      </c>
      <c r="O11244" s="1" t="s">
        <v>46</v>
      </c>
    </row>
    <row r="11245" spans="2:15" x14ac:dyDescent="0.3">
      <c r="B11245" s="1" t="s">
        <v>20</v>
      </c>
      <c r="C11245" s="1" t="str">
        <f>"5-2차"</f>
        <v>5-2차</v>
      </c>
      <c r="D11245" s="1" t="str">
        <f>"0024P4515M"</f>
        <v>0024P4515M</v>
      </c>
      <c r="E11245" s="1" t="s">
        <v>10</v>
      </c>
      <c r="F11245" s="1" t="str">
        <f>"fde3:102:1301:200:0:0:0:3"</f>
        <v>fde3:102:1301:200:0:0:0:3</v>
      </c>
      <c r="G11245" s="1" t="str">
        <f>"0024P451"</f>
        <v>0024P451</v>
      </c>
      <c r="H11245" s="1" t="str">
        <f>"동보간 44R1"</f>
        <v>동보간 44R1</v>
      </c>
      <c r="I11245" s="1" t="s">
        <v>15</v>
      </c>
      <c r="J11245" s="1" t="str">
        <f>"52/52"</f>
        <v>52/52</v>
      </c>
      <c r="K11245" s="1" t="str">
        <f>"2026-07-29 14:20:02"</f>
        <v>2026-07-29 14:20:02</v>
      </c>
      <c r="L11245" s="1" t="str">
        <f>"2023-09-07 09:19:38"</f>
        <v>2023-09-07 09:19:38</v>
      </c>
      <c r="M11245" s="1" t="s">
        <v>45</v>
      </c>
      <c r="N11245" s="1" t="s">
        <v>38</v>
      </c>
      <c r="O11245" s="1" t="s">
        <v>46</v>
      </c>
    </row>
    <row r="11246" spans="2:15" x14ac:dyDescent="0.3">
      <c r="B11246" s="1" t="s">
        <v>20</v>
      </c>
      <c r="C11246" s="1" t="str">
        <f>"5-1차"</f>
        <v>5-1차</v>
      </c>
      <c r="D11246" s="1" t="str">
        <f>"0024P4615S"</f>
        <v>0024P4615S</v>
      </c>
      <c r="E11246" s="1" t="s">
        <v>10</v>
      </c>
      <c r="F11246" s="1" t="str">
        <f>"fde3:102:1301:3400:0:0:0:4"</f>
        <v>fde3:102:1301:3400:0:0:0:4</v>
      </c>
      <c r="G11246" s="1" t="str">
        <f>"0024P461"</f>
        <v>0024P461</v>
      </c>
      <c r="H11246" s="1" t="str">
        <f>"동보간 44R1L3"</f>
        <v>동보간 44R1L3</v>
      </c>
      <c r="I11246" s="1" t="s">
        <v>15</v>
      </c>
      <c r="J11246" s="1" t="str">
        <f>"56/56"</f>
        <v>56/56</v>
      </c>
      <c r="K11246" s="1" t="str">
        <f>"2026-07-29 14:20:03"</f>
        <v>2026-07-29 14:20:03</v>
      </c>
      <c r="L11246" s="1" t="str">
        <f>"2022-12-08 15:15:42"</f>
        <v>2022-12-08 15:15:42</v>
      </c>
      <c r="M11246" s="1" t="s">
        <v>45</v>
      </c>
      <c r="N11246" s="1" t="s">
        <v>38</v>
      </c>
      <c r="O11246" s="1" t="s">
        <v>46</v>
      </c>
    </row>
    <row r="11247" spans="2:15" x14ac:dyDescent="0.3">
      <c r="B11247" s="1" t="s">
        <v>20</v>
      </c>
      <c r="C11247" s="1" t="str">
        <f>"1차"</f>
        <v>1차</v>
      </c>
      <c r="D11247" s="1" t="str">
        <f>"0024P48200"</f>
        <v>0024P48200</v>
      </c>
      <c r="E11247" s="1" t="s">
        <v>10</v>
      </c>
      <c r="F11247" s="1" t="str">
        <f>"10.125.227.90"</f>
        <v>10.125.227.90</v>
      </c>
      <c r="G11247" s="1" t="str">
        <f>"0024P482"</f>
        <v>0024P482</v>
      </c>
      <c r="H11247" s="1" t="str">
        <f>"동보간 44R6"</f>
        <v>동보간 44R6</v>
      </c>
      <c r="I11247" s="1" t="s">
        <v>8</v>
      </c>
      <c r="J11247" s="1" t="str">
        <f>"25/25"</f>
        <v>25/25</v>
      </c>
      <c r="K11247" s="1" t="str">
        <f>"2026-07-29 13:18:01"</f>
        <v>2026-07-29 13:18:01</v>
      </c>
      <c r="L11247" s="1" t="str">
        <f>"2014-12-05 12:12:22"</f>
        <v>2014-12-05 12:12:22</v>
      </c>
      <c r="M11247" s="1" t="s">
        <v>45</v>
      </c>
      <c r="N11247" s="1" t="s">
        <v>38</v>
      </c>
      <c r="O11247" s="1" t="s">
        <v>46</v>
      </c>
    </row>
    <row r="11248" spans="2:15" x14ac:dyDescent="0.3">
      <c r="B11248" s="1" t="s">
        <v>20</v>
      </c>
      <c r="C11248" s="1" t="str">
        <f>"5-2차"</f>
        <v>5-2차</v>
      </c>
      <c r="D11248" s="1" t="str">
        <f>"0024P4855M"</f>
        <v>0024P4855M</v>
      </c>
      <c r="E11248" s="1" t="s">
        <v>10</v>
      </c>
      <c r="F11248" s="1" t="str">
        <f>"fde3:102:1301:100:0:0:0:2"</f>
        <v>fde3:102:1301:100:0:0:0:2</v>
      </c>
      <c r="G11248" s="1" t="str">
        <f>"0024P485"</f>
        <v>0024P485</v>
      </c>
      <c r="H11248" s="1" t="str">
        <f>"동보간 44R5"</f>
        <v>동보간 44R5</v>
      </c>
      <c r="I11248" s="1" t="s">
        <v>15</v>
      </c>
      <c r="J11248" s="1" t="str">
        <f>"44/44"</f>
        <v>44/44</v>
      </c>
      <c r="K11248" s="1" t="str">
        <f>"2026-07-29 14:20:00"</f>
        <v>2026-07-29 14:20:00</v>
      </c>
      <c r="L11248" s="1" t="str">
        <f>"2023-10-18 11:27:23"</f>
        <v>2023-10-18 11:27:23</v>
      </c>
      <c r="M11248" s="1" t="s">
        <v>45</v>
      </c>
      <c r="N11248" s="1" t="s">
        <v>38</v>
      </c>
      <c r="O11248" s="1" t="s">
        <v>46</v>
      </c>
    </row>
    <row r="11249" spans="2:15" x14ac:dyDescent="0.3">
      <c r="B11249" s="1" t="s">
        <v>20</v>
      </c>
      <c r="C11249" s="1" t="str">
        <f>"6차"</f>
        <v>6차</v>
      </c>
      <c r="D11249" s="1" t="str">
        <f>"0024P4926S"</f>
        <v>0024P4926S</v>
      </c>
      <c r="E11249" s="1" t="s">
        <v>10</v>
      </c>
      <c r="F11249" s="1" t="str">
        <f>"fde1:103:4:c6f6:0:0:0:2"</f>
        <v>fde1:103:4:c6f6:0:0:0:2</v>
      </c>
      <c r="G11249" s="1" t="str">
        <f>"0024P492"</f>
        <v>0024P492</v>
      </c>
      <c r="H11249" s="1" t="str">
        <f>"동보간 44R8R2"</f>
        <v>동보간 44R8R2</v>
      </c>
      <c r="I11249" s="1" t="s">
        <v>15</v>
      </c>
      <c r="J11249" s="1" t="str">
        <f>"13/19"</f>
        <v>13/19</v>
      </c>
      <c r="K11249" s="1" t="str">
        <f>"2026-07-29 08:20:01"</f>
        <v>2026-07-29 08:20:01</v>
      </c>
      <c r="L11249" s="1" t="str">
        <f>"2024-11-21 12:32:21"</f>
        <v>2024-11-21 12:32:21</v>
      </c>
      <c r="M11249" s="1" t="s">
        <v>4</v>
      </c>
      <c r="N11249" s="1" t="s">
        <v>38</v>
      </c>
      <c r="O11249" s="1" t="s">
        <v>46</v>
      </c>
    </row>
    <row r="11250" spans="2:15" x14ac:dyDescent="0.3">
      <c r="B11250" s="1" t="s">
        <v>20</v>
      </c>
      <c r="C11250" s="1" t="str">
        <f>"5-1차"</f>
        <v>5-1차</v>
      </c>
      <c r="D11250" s="1" t="str">
        <f>"0024P5515M"</f>
        <v>0024P5515M</v>
      </c>
      <c r="E11250" s="1" t="s">
        <v>10</v>
      </c>
      <c r="F11250" s="1" t="str">
        <f>"fde3:102:1301:200:0:0:0:2"</f>
        <v>fde3:102:1301:200:0:0:0:2</v>
      </c>
      <c r="G11250" s="1" t="str">
        <f>"0024P551"</f>
        <v>0024P551</v>
      </c>
      <c r="H11250" s="1" t="str">
        <f>"동보간 44R2"</f>
        <v>동보간 44R2</v>
      </c>
      <c r="I11250" s="1" t="s">
        <v>15</v>
      </c>
      <c r="J11250" s="1" t="str">
        <f>"28/28"</f>
        <v>28/28</v>
      </c>
      <c r="K11250" s="1" t="str">
        <f>"2026-07-29 14:20:01"</f>
        <v>2026-07-29 14:20:01</v>
      </c>
      <c r="L11250" s="1" t="str">
        <f>"2022-12-15 10:36:18"</f>
        <v>2022-12-15 10:36:18</v>
      </c>
      <c r="M11250" s="1" t="s">
        <v>45</v>
      </c>
      <c r="N11250" s="1" t="s">
        <v>38</v>
      </c>
      <c r="O11250" s="1" t="s">
        <v>46</v>
      </c>
    </row>
    <row r="11251" spans="2:15" x14ac:dyDescent="0.3">
      <c r="B11251" s="1" t="s">
        <v>20</v>
      </c>
      <c r="C11251" s="1" t="str">
        <f>"6차"</f>
        <v>6차</v>
      </c>
      <c r="D11251" s="1" t="str">
        <f>"0024P5716S"</f>
        <v>0024P5716S</v>
      </c>
      <c r="E11251" s="1" t="s">
        <v>10</v>
      </c>
      <c r="F11251" s="1" t="str">
        <f>"fde1:103:4:91f0:0:0:0:2"</f>
        <v>fde1:103:4:91f0:0:0:0:2</v>
      </c>
      <c r="G11251" s="1" t="str">
        <f>"0024P571"</f>
        <v>0024P571</v>
      </c>
      <c r="H11251" s="1" t="str">
        <f>"동보간 44R4"</f>
        <v>동보간 44R4</v>
      </c>
      <c r="I11251" s="1" t="s">
        <v>15</v>
      </c>
      <c r="J11251" s="1" t="str">
        <f>"19/19"</f>
        <v>19/19</v>
      </c>
      <c r="K11251" s="1" t="str">
        <f>"2026-07-29 14:20:01"</f>
        <v>2026-07-29 14:20:01</v>
      </c>
      <c r="L11251" s="1" t="str">
        <f>"2025-02-18 15:54:07"</f>
        <v>2025-02-18 15:54:07</v>
      </c>
      <c r="M11251" s="1" t="s">
        <v>4</v>
      </c>
      <c r="N11251" s="1" t="s">
        <v>38</v>
      </c>
      <c r="O11251" s="1" t="s">
        <v>46</v>
      </c>
    </row>
    <row r="11252" spans="2:15" x14ac:dyDescent="0.3">
      <c r="B11252" s="1" t="s">
        <v>20</v>
      </c>
      <c r="C11252" s="1" t="str">
        <f>"5-2차"</f>
        <v>5-2차</v>
      </c>
      <c r="D11252" s="1" t="str">
        <f>"0024P5815M"</f>
        <v>0024P5815M</v>
      </c>
      <c r="E11252" s="1" t="s">
        <v>10</v>
      </c>
      <c r="F11252" s="1" t="str">
        <f>"fde3:102:1301:3501:0:0:0:2"</f>
        <v>fde3:102:1301:3501:0:0:0:2</v>
      </c>
      <c r="G11252" s="1" t="str">
        <f>"0024P581"</f>
        <v>0024P581</v>
      </c>
      <c r="H11252" s="1" t="str">
        <f>"동보간 44R6R1"</f>
        <v>동보간 44R6R1</v>
      </c>
      <c r="I11252" s="1" t="s">
        <v>15</v>
      </c>
      <c r="J11252" s="1" t="str">
        <f>"30/31"</f>
        <v>30/31</v>
      </c>
      <c r="K11252" s="1" t="str">
        <f>"2026-07-29 14:20:00"</f>
        <v>2026-07-29 14:20:00</v>
      </c>
      <c r="L11252" s="1" t="str">
        <f>"2023-09-12 01:48:27"</f>
        <v>2023-09-12 01:48:27</v>
      </c>
      <c r="M11252" s="1" t="s">
        <v>45</v>
      </c>
      <c r="N11252" s="1" t="s">
        <v>38</v>
      </c>
      <c r="O11252" s="1" t="s">
        <v>46</v>
      </c>
    </row>
    <row r="11253" spans="2:15" x14ac:dyDescent="0.3">
      <c r="B11253" s="1" t="s">
        <v>20</v>
      </c>
      <c r="C11253" s="1" t="str">
        <f>"1차"</f>
        <v>1차</v>
      </c>
      <c r="D11253" s="1" t="str">
        <f>"0024P59200"</f>
        <v>0024P59200</v>
      </c>
      <c r="E11253" s="1" t="s">
        <v>10</v>
      </c>
      <c r="F11253" s="1" t="str">
        <f>"10.125.227.74"</f>
        <v>10.125.227.74</v>
      </c>
      <c r="G11253" s="1" t="str">
        <f>"0024P592"</f>
        <v>0024P592</v>
      </c>
      <c r="H11253" s="1" t="str">
        <f>"동보간 44R8R3"</f>
        <v>동보간 44R8R3</v>
      </c>
      <c r="I11253" s="1" t="s">
        <v>8</v>
      </c>
      <c r="J11253" s="1" t="str">
        <f>"11/11"</f>
        <v>11/11</v>
      </c>
      <c r="K11253" s="1" t="str">
        <f>"2026-07-29 13:18:01"</f>
        <v>2026-07-29 13:18:01</v>
      </c>
      <c r="L11253" s="1" t="str">
        <f>"2021-08-13 17:58:58"</f>
        <v>2021-08-13 17:58:58</v>
      </c>
      <c r="M11253" s="1" t="s">
        <v>45</v>
      </c>
      <c r="N11253" s="1" t="s">
        <v>38</v>
      </c>
      <c r="O11253" s="1" t="s">
        <v>46</v>
      </c>
    </row>
    <row r="11254" spans="2:15" x14ac:dyDescent="0.3">
      <c r="B11254" s="1" t="s">
        <v>20</v>
      </c>
      <c r="C11254" s="1" t="str">
        <f>"4차"</f>
        <v>4차</v>
      </c>
      <c r="D11254" s="1" t="str">
        <f>"0024P59745"</f>
        <v>0024P59745</v>
      </c>
      <c r="E11254" s="1" t="s">
        <v>10</v>
      </c>
      <c r="F11254" s="1" t="str">
        <f>"10.12.132.137"</f>
        <v>10.12.132.137</v>
      </c>
      <c r="G11254" s="1" t="str">
        <f>"0024P597"</f>
        <v>0024P597</v>
      </c>
      <c r="H11254" s="1" t="str">
        <f>"이태원로 2"</f>
        <v>이태원로 2</v>
      </c>
      <c r="I11254" s="1" t="s">
        <v>17</v>
      </c>
      <c r="J11254" s="1" t="str">
        <f>"14/14"</f>
        <v>14/14</v>
      </c>
      <c r="K11254" s="1" t="str">
        <f>"2026-07-29 13:18:01"</f>
        <v>2026-07-29 13:18:01</v>
      </c>
      <c r="L11254" s="1" t="str">
        <f>"2024-10-15 19:16:09"</f>
        <v>2024-10-15 19:16:09</v>
      </c>
      <c r="M11254" s="1" t="s">
        <v>0</v>
      </c>
      <c r="N11254" s="1" t="s">
        <v>38</v>
      </c>
      <c r="O11254" s="1" t="s">
        <v>46</v>
      </c>
    </row>
    <row r="11255" spans="2:15" x14ac:dyDescent="0.3">
      <c r="B11255" s="1" t="s">
        <v>20</v>
      </c>
      <c r="C11255" s="1" t="str">
        <f>"5-1차"</f>
        <v>5-1차</v>
      </c>
      <c r="D11255" s="1" t="str">
        <f>"0024P6515S"</f>
        <v>0024P6515S</v>
      </c>
      <c r="E11255" s="1" t="s">
        <v>10</v>
      </c>
      <c r="F11255" s="1" t="str">
        <f>"fde3:102:1301:3500:0:0:0:6"</f>
        <v>fde3:102:1301:3500:0:0:0:6</v>
      </c>
      <c r="G11255" s="1" t="str">
        <f>"0024P651"</f>
        <v>0024P651</v>
      </c>
      <c r="H11255" s="1" t="str">
        <f>"동보간 44R3R2"</f>
        <v>동보간 44R3R2</v>
      </c>
      <c r="I11255" s="1" t="s">
        <v>15</v>
      </c>
      <c r="J11255" s="1" t="str">
        <f>"58/58"</f>
        <v>58/58</v>
      </c>
      <c r="K11255" s="1" t="str">
        <f>"2026-07-29 14:20:01"</f>
        <v>2026-07-29 14:20:01</v>
      </c>
      <c r="L11255" s="1" t="str">
        <f>"2022-11-23 18:19:13"</f>
        <v>2022-11-23 18:19:13</v>
      </c>
      <c r="M11255" s="1" t="s">
        <v>45</v>
      </c>
      <c r="N11255" s="1" t="s">
        <v>38</v>
      </c>
      <c r="O11255" s="1" t="s">
        <v>46</v>
      </c>
    </row>
    <row r="11256" spans="2:15" x14ac:dyDescent="0.3">
      <c r="B11256" s="1" t="s">
        <v>20</v>
      </c>
      <c r="C11256" s="1" t="str">
        <f>"5-2차"</f>
        <v>5-2차</v>
      </c>
      <c r="D11256" s="1" t="str">
        <f>"0024P6685M"</f>
        <v>0024P6685M</v>
      </c>
      <c r="E11256" s="1" t="s">
        <v>10</v>
      </c>
      <c r="F11256" s="1" t="str">
        <f>"fde1:103:4:597c:0:0:0:2"</f>
        <v>fde1:103:4:597c:0:0:0:2</v>
      </c>
      <c r="G11256" s="1" t="str">
        <f>"0024P668"</f>
        <v>0024P668</v>
      </c>
      <c r="H11256" s="1" t="str">
        <f>"동보간 44R3"</f>
        <v>동보간 44R3</v>
      </c>
      <c r="I11256" s="1" t="s">
        <v>15</v>
      </c>
      <c r="J11256" s="1" t="str">
        <f>"34/34"</f>
        <v>34/34</v>
      </c>
      <c r="K11256" s="1" t="str">
        <f>"2026-07-29 14:20:00"</f>
        <v>2026-07-29 14:20:00</v>
      </c>
      <c r="L11256" s="1" t="str">
        <f>"2023-10-17 11:21:30"</f>
        <v>2023-10-17 11:21:30</v>
      </c>
      <c r="M11256" s="1" t="s">
        <v>4</v>
      </c>
      <c r="N11256" s="1" t="s">
        <v>38</v>
      </c>
      <c r="O11256" s="1" t="s">
        <v>46</v>
      </c>
    </row>
    <row r="11257" spans="2:15" x14ac:dyDescent="0.3">
      <c r="B11257" s="1" t="s">
        <v>20</v>
      </c>
      <c r="C11257" s="1" t="str">
        <f>"1차"</f>
        <v>1차</v>
      </c>
      <c r="D11257" s="1" t="str">
        <f>"0024P67101"</f>
        <v>0024P67101</v>
      </c>
      <c r="E11257" s="1" t="s">
        <v>10</v>
      </c>
      <c r="F11257" s="1" t="str">
        <f>"10.125.227.83"</f>
        <v>10.125.227.83</v>
      </c>
      <c r="G11257" s="1" t="str">
        <f>"0024P671"</f>
        <v>0024P671</v>
      </c>
      <c r="H11257" s="1" t="str">
        <f>"동보간 44R8R7R2"</f>
        <v>동보간 44R8R7R2</v>
      </c>
      <c r="I11257" s="1" t="s">
        <v>8</v>
      </c>
      <c r="J11257" s="1" t="str">
        <f>"31/31"</f>
        <v>31/31</v>
      </c>
      <c r="K11257" s="1" t="str">
        <f>"2026-07-29 13:18:00"</f>
        <v>2026-07-29 13:18:00</v>
      </c>
      <c r="L11257" s="1" t="str">
        <f>"2014-11-27 16:21:18"</f>
        <v>2014-11-27 16:21:18</v>
      </c>
      <c r="M11257" s="1" t="s">
        <v>45</v>
      </c>
      <c r="N11257" s="1" t="s">
        <v>38</v>
      </c>
      <c r="O11257" s="1" t="s">
        <v>46</v>
      </c>
    </row>
    <row r="11258" spans="2:15" x14ac:dyDescent="0.3">
      <c r="B11258" s="1" t="s">
        <v>20</v>
      </c>
      <c r="C11258" s="1" t="str">
        <f>"1차"</f>
        <v>1차</v>
      </c>
      <c r="D11258" s="1" t="str">
        <f>"0024P68200"</f>
        <v>0024P68200</v>
      </c>
      <c r="E11258" s="1" t="s">
        <v>10</v>
      </c>
      <c r="F11258" s="1" t="str">
        <f>"10.125.227.82"</f>
        <v>10.125.227.82</v>
      </c>
      <c r="G11258" s="1" t="str">
        <f>"0024P682"</f>
        <v>0024P682</v>
      </c>
      <c r="H11258" s="1" t="str">
        <f>"동보간 44R8R7R1"</f>
        <v>동보간 44R8R7R1</v>
      </c>
      <c r="I11258" s="1" t="s">
        <v>8</v>
      </c>
      <c r="J11258" s="1" t="str">
        <f>"25/25"</f>
        <v>25/25</v>
      </c>
      <c r="K11258" s="1" t="str">
        <f>"2026-07-29 13:18:01"</f>
        <v>2026-07-29 13:18:01</v>
      </c>
      <c r="L11258" s="1" t="str">
        <f>"2014-11-27 16:11:11"</f>
        <v>2014-11-27 16:11:11</v>
      </c>
      <c r="M11258" s="1" t="s">
        <v>45</v>
      </c>
      <c r="N11258" s="1" t="s">
        <v>38</v>
      </c>
      <c r="O11258" s="1" t="s">
        <v>46</v>
      </c>
    </row>
    <row r="11259" spans="2:15" x14ac:dyDescent="0.3">
      <c r="B11259" s="1" t="s">
        <v>20</v>
      </c>
      <c r="C11259" s="1" t="str">
        <f>"4차"</f>
        <v>4차</v>
      </c>
      <c r="D11259" s="1" t="str">
        <f>"0024P69639"</f>
        <v>0024P69639</v>
      </c>
      <c r="E11259" s="1" t="s">
        <v>14</v>
      </c>
      <c r="F11259" s="1" t="str">
        <f>"10.12.132.138"</f>
        <v>10.12.132.138</v>
      </c>
      <c r="G11259" s="1" t="str">
        <f>"0024P696"</f>
        <v>0024P696</v>
      </c>
      <c r="H11259" s="1" t="str">
        <f>"이태원로 2-1"</f>
        <v>이태원로 2-1</v>
      </c>
      <c r="I11259" s="1" t="s">
        <v>17</v>
      </c>
      <c r="J11259" s="1" t="str">
        <f>"0/0"</f>
        <v>0/0</v>
      </c>
      <c r="K11259" s="1" t="str">
        <f>"2026-06-10 07:18:01"</f>
        <v>2026-06-10 07:18:01</v>
      </c>
      <c r="L11259" s="1" t="str">
        <f>"2018-06-23 08:19:40"</f>
        <v>2018-06-23 08:19:40</v>
      </c>
      <c r="M11259" s="1" t="s">
        <v>0</v>
      </c>
      <c r="N11259" s="1" t="s">
        <v>39</v>
      </c>
      <c r="O11259" s="1" t="s">
        <v>46</v>
      </c>
    </row>
    <row r="11260" spans="2:15" x14ac:dyDescent="0.3">
      <c r="B11260" s="1" t="s">
        <v>20</v>
      </c>
      <c r="C11260" s="1" t="str">
        <f>"5-1차"</f>
        <v>5-1차</v>
      </c>
      <c r="D11260" s="1" t="str">
        <f>"0024P7435M"</f>
        <v>0024P7435M</v>
      </c>
      <c r="E11260" s="1" t="s">
        <v>10</v>
      </c>
      <c r="F11260" s="1" t="str">
        <f>"fde3:102:1301:a00:0:0:0:2"</f>
        <v>fde3:102:1301:a00:0:0:0:2</v>
      </c>
      <c r="G11260" s="1" t="str">
        <f>"0024P743"</f>
        <v>0024P743</v>
      </c>
      <c r="H11260" s="1" t="str">
        <f>"동보간 39"</f>
        <v>동보간 39</v>
      </c>
      <c r="I11260" s="1" t="s">
        <v>15</v>
      </c>
      <c r="J11260" s="1" t="str">
        <f>"31/31"</f>
        <v>31/31</v>
      </c>
      <c r="K11260" s="1" t="str">
        <f>"2026-07-29 14:20:01"</f>
        <v>2026-07-29 14:20:01</v>
      </c>
      <c r="L11260" s="1" t="str">
        <f>"2022-11-24 18:25:43"</f>
        <v>2022-11-24 18:25:43</v>
      </c>
      <c r="M11260" s="1" t="s">
        <v>45</v>
      </c>
      <c r="N11260" s="1" t="s">
        <v>38</v>
      </c>
      <c r="O11260" s="1" t="s">
        <v>46</v>
      </c>
    </row>
    <row r="11261" spans="2:15" x14ac:dyDescent="0.3">
      <c r="B11261" s="1" t="s">
        <v>20</v>
      </c>
      <c r="C11261" s="1" t="str">
        <f>"1차"</f>
        <v>1차</v>
      </c>
      <c r="D11261" s="1" t="str">
        <f>"0024P77100"</f>
        <v>0024P77100</v>
      </c>
      <c r="E11261" s="1" t="s">
        <v>10</v>
      </c>
      <c r="F11261" s="1" t="str">
        <f>"10.125.226.138"</f>
        <v>10.125.226.138</v>
      </c>
      <c r="G11261" s="1" t="str">
        <f>"0024P771"</f>
        <v>0024P771</v>
      </c>
      <c r="H11261" s="1" t="str">
        <f>"동보간 44R8R9"</f>
        <v>동보간 44R8R9</v>
      </c>
      <c r="I11261" s="1" t="s">
        <v>8</v>
      </c>
      <c r="J11261" s="1" t="str">
        <f>"19/19"</f>
        <v>19/19</v>
      </c>
      <c r="K11261" s="1" t="str">
        <f>"2026-07-29 13:18:01"</f>
        <v>2026-07-29 13:18:01</v>
      </c>
      <c r="L11261" s="1" t="str">
        <f>"2014-10-16 17:41:05"</f>
        <v>2014-10-16 17:41:05</v>
      </c>
      <c r="M11261" s="1" t="s">
        <v>45</v>
      </c>
      <c r="N11261" s="1" t="s">
        <v>38</v>
      </c>
      <c r="O11261" s="1" t="s">
        <v>46</v>
      </c>
    </row>
    <row r="11262" spans="2:15" x14ac:dyDescent="0.3">
      <c r="B11262" s="1" t="s">
        <v>20</v>
      </c>
      <c r="C11262" s="1" t="str">
        <f>"1차"</f>
        <v>1차</v>
      </c>
      <c r="D11262" s="1" t="str">
        <f>"0024P77201"</f>
        <v>0024P77201</v>
      </c>
      <c r="E11262" s="1" t="s">
        <v>10</v>
      </c>
      <c r="F11262" s="1" t="str">
        <f>"10.12.128.104"</f>
        <v>10.12.128.104</v>
      </c>
      <c r="G11262" s="1" t="str">
        <f>"0024P772"</f>
        <v>0024P772</v>
      </c>
      <c r="H11262" s="1" t="str">
        <f>"동보간 44R8R10"</f>
        <v>동보간 44R8R10</v>
      </c>
      <c r="I11262" s="1" t="s">
        <v>8</v>
      </c>
      <c r="J11262" s="1" t="str">
        <f>"45/45"</f>
        <v>45/45</v>
      </c>
      <c r="K11262" s="1" t="str">
        <f>"2026-07-29 13:18:01"</f>
        <v>2026-07-29 13:18:01</v>
      </c>
      <c r="L11262" s="1" t="str">
        <f>"2014-10-16 17:40:48"</f>
        <v>2014-10-16 17:40:48</v>
      </c>
      <c r="M11262" s="1" t="s">
        <v>0</v>
      </c>
      <c r="N11262" s="1" t="s">
        <v>38</v>
      </c>
      <c r="O11262" s="1" t="s">
        <v>46</v>
      </c>
    </row>
    <row r="11263" spans="2:15" x14ac:dyDescent="0.3">
      <c r="B11263" s="1" t="s">
        <v>20</v>
      </c>
      <c r="C11263" s="1" t="str">
        <f>"5-2차"</f>
        <v>5-2차</v>
      </c>
      <c r="D11263" s="1" t="str">
        <f>"0024P7815M"</f>
        <v>0024P7815M</v>
      </c>
      <c r="E11263" s="1" t="s">
        <v>10</v>
      </c>
      <c r="F11263" s="1" t="str">
        <f>"fde1:103:4:5587:0:0:0:2"</f>
        <v>fde1:103:4:5587:0:0:0:2</v>
      </c>
      <c r="G11263" s="1" t="str">
        <f>"0024P781"</f>
        <v>0024P781</v>
      </c>
      <c r="H11263" s="1" t="str">
        <f>"동보간 44R8R8"</f>
        <v>동보간 44R8R8</v>
      </c>
      <c r="I11263" s="1" t="s">
        <v>15</v>
      </c>
      <c r="J11263" s="1" t="str">
        <f>"77/77"</f>
        <v>77/77</v>
      </c>
      <c r="K11263" s="1" t="str">
        <f>"2026-07-29 14:20:02"</f>
        <v>2026-07-29 14:20:02</v>
      </c>
      <c r="L11263" s="1" t="str">
        <f>"2023-08-10 15:08:49"</f>
        <v>2023-08-10 15:08:49</v>
      </c>
      <c r="M11263" s="1" t="s">
        <v>4</v>
      </c>
      <c r="N11263" s="1" t="s">
        <v>38</v>
      </c>
      <c r="O11263" s="1" t="s">
        <v>46</v>
      </c>
    </row>
    <row r="11264" spans="2:15" x14ac:dyDescent="0.3">
      <c r="B11264" s="1" t="s">
        <v>20</v>
      </c>
      <c r="C11264" s="1" t="s">
        <v>16</v>
      </c>
      <c r="D11264" s="1" t="str">
        <f>"0024P79241"</f>
        <v>0024P79241</v>
      </c>
      <c r="E11264" s="1" t="s">
        <v>10</v>
      </c>
      <c r="F11264" s="1" t="str">
        <f>"10.14.13.131"</f>
        <v>10.14.13.131</v>
      </c>
      <c r="G11264" s="1" t="str">
        <f>"0024P792"</f>
        <v>0024P792</v>
      </c>
      <c r="H11264" s="1" t="str">
        <f>"동보간 44R8R6L2"</f>
        <v>동보간 44R8R6L2</v>
      </c>
      <c r="I11264" s="1" t="s">
        <v>17</v>
      </c>
      <c r="J11264" s="1" t="str">
        <f>"13/13"</f>
        <v>13/13</v>
      </c>
      <c r="K11264" s="1" t="str">
        <f>"2026-07-29 13:18:02"</f>
        <v>2026-07-29 13:18:02</v>
      </c>
      <c r="L11264" s="1" t="str">
        <f>"2022-11-15 08:02:10"</f>
        <v>2022-11-15 08:02:10</v>
      </c>
      <c r="M11264" s="1" t="s">
        <v>3</v>
      </c>
      <c r="N11264" s="1" t="s">
        <v>38</v>
      </c>
      <c r="O11264" s="1" t="s">
        <v>46</v>
      </c>
    </row>
    <row r="11265" spans="2:15" x14ac:dyDescent="0.3">
      <c r="B11265" s="1" t="s">
        <v>20</v>
      </c>
      <c r="C11265" s="1" t="str">
        <f>"4차"</f>
        <v>4차</v>
      </c>
      <c r="D11265" s="1" t="str">
        <f>"0024P83142"</f>
        <v>0024P83142</v>
      </c>
      <c r="E11265" s="1" t="s">
        <v>10</v>
      </c>
      <c r="F11265" s="1" t="str">
        <f>"10.125.226.226"</f>
        <v>10.125.226.226</v>
      </c>
      <c r="G11265" s="1" t="str">
        <f>"0024P831"</f>
        <v>0024P831</v>
      </c>
      <c r="H11265" s="1" t="str">
        <f>"동보간 38L1"</f>
        <v>동보간 38L1</v>
      </c>
      <c r="I11265" s="1" t="s">
        <v>8</v>
      </c>
      <c r="J11265" s="1" t="str">
        <f>"31/31"</f>
        <v>31/31</v>
      </c>
      <c r="K11265" s="1" t="str">
        <f>"2026-07-29 13:18:01"</f>
        <v>2026-07-29 13:18:01</v>
      </c>
      <c r="L11265" s="1" t="str">
        <f>"2025-09-02 10:16:09"</f>
        <v>2025-09-02 10:16:09</v>
      </c>
      <c r="M11265" s="1" t="s">
        <v>45</v>
      </c>
      <c r="N11265" s="1" t="s">
        <v>38</v>
      </c>
      <c r="O11265" s="1" t="s">
        <v>46</v>
      </c>
    </row>
    <row r="11266" spans="2:15" x14ac:dyDescent="0.3">
      <c r="B11266" s="1" t="s">
        <v>20</v>
      </c>
      <c r="C11266" s="1" t="str">
        <f>"5-1차"</f>
        <v>5-1차</v>
      </c>
      <c r="D11266" s="1" t="str">
        <f>"0024P8415S"</f>
        <v>0024P8415S</v>
      </c>
      <c r="E11266" s="1" t="s">
        <v>10</v>
      </c>
      <c r="F11266" s="1" t="str">
        <f>"fde3:102:1301:a00:0:0:0:3"</f>
        <v>fde3:102:1301:a00:0:0:0:3</v>
      </c>
      <c r="G11266" s="1" t="str">
        <f>"0024P841"</f>
        <v>0024P841</v>
      </c>
      <c r="H11266" s="1" t="str">
        <f>"동보간 38R1"</f>
        <v>동보간 38R1</v>
      </c>
      <c r="I11266" s="1" t="s">
        <v>15</v>
      </c>
      <c r="J11266" s="1" t="str">
        <f>"28/28"</f>
        <v>28/28</v>
      </c>
      <c r="K11266" s="1" t="str">
        <f>"2026-07-29 14:20:01"</f>
        <v>2026-07-29 14:20:01</v>
      </c>
      <c r="L11266" s="1" t="str">
        <f>"2022-11-24 10:37:13"</f>
        <v>2022-11-24 10:37:13</v>
      </c>
      <c r="M11266" s="1" t="s">
        <v>45</v>
      </c>
      <c r="N11266" s="1" t="s">
        <v>38</v>
      </c>
      <c r="O11266" s="1" t="s">
        <v>46</v>
      </c>
    </row>
    <row r="11267" spans="2:15" x14ac:dyDescent="0.3">
      <c r="B11267" s="1" t="s">
        <v>20</v>
      </c>
      <c r="C11267" s="1" t="str">
        <f>"6차"</f>
        <v>6차</v>
      </c>
      <c r="D11267" s="1" t="str">
        <f>"0024P8436S"</f>
        <v>0024P8436S</v>
      </c>
      <c r="E11267" s="1" t="s">
        <v>10</v>
      </c>
      <c r="F11267" s="1" t="str">
        <f>"fde1:103:4:924a:0:0:0:2"</f>
        <v>fde1:103:4:924a:0:0:0:2</v>
      </c>
      <c r="G11267" s="1" t="str">
        <f>"0024P843"</f>
        <v>0024P843</v>
      </c>
      <c r="H11267" s="1" t="str">
        <f>"동보간 37"</f>
        <v>동보간 37</v>
      </c>
      <c r="I11267" s="1" t="s">
        <v>15</v>
      </c>
      <c r="J11267" s="1" t="str">
        <f>"33/34"</f>
        <v>33/34</v>
      </c>
      <c r="K11267" s="1" t="str">
        <f>"2026-07-29 14:20:01"</f>
        <v>2026-07-29 14:20:01</v>
      </c>
      <c r="L11267" s="1" t="str">
        <f>"2025-02-24 13:30:44"</f>
        <v>2025-02-24 13:30:44</v>
      </c>
      <c r="M11267" s="1" t="s">
        <v>4</v>
      </c>
      <c r="N11267" s="1" t="s">
        <v>38</v>
      </c>
      <c r="O11267" s="1" t="s">
        <v>46</v>
      </c>
    </row>
    <row r="11268" spans="2:15" x14ac:dyDescent="0.3">
      <c r="B11268" s="1" t="s">
        <v>20</v>
      </c>
      <c r="C11268" s="1" t="str">
        <f>"1차"</f>
        <v>1차</v>
      </c>
      <c r="D11268" s="1" t="str">
        <f>"0024P94400"</f>
        <v>0024P94400</v>
      </c>
      <c r="E11268" s="1" t="s">
        <v>10</v>
      </c>
      <c r="F11268" s="1" t="str">
        <f>"10.125.227.98"</f>
        <v>10.125.227.98</v>
      </c>
      <c r="G11268" s="1" t="str">
        <f>"0024P944"</f>
        <v>0024P944</v>
      </c>
      <c r="H11268" s="1" t="str">
        <f>"동보간 35AR1"</f>
        <v>동보간 35AR1</v>
      </c>
      <c r="I11268" s="1" t="s">
        <v>8</v>
      </c>
      <c r="J11268" s="1" t="str">
        <f>"3/6"</f>
        <v>3/6</v>
      </c>
      <c r="K11268" s="1" t="str">
        <f>"2026-07-29 13:18:01"</f>
        <v>2026-07-29 13:18:01</v>
      </c>
      <c r="L11268" s="1" t="str">
        <f>"2014-12-03 00:07:00"</f>
        <v>2014-12-03 00:07:00</v>
      </c>
      <c r="M11268" s="1" t="s">
        <v>45</v>
      </c>
      <c r="N11268" s="1" t="s">
        <v>38</v>
      </c>
      <c r="O11268" s="1" t="s">
        <v>46</v>
      </c>
    </row>
    <row r="11269" spans="2:15" x14ac:dyDescent="0.3">
      <c r="B11269" s="1" t="s">
        <v>20</v>
      </c>
      <c r="C11269" s="1" t="str">
        <f>"1차"</f>
        <v>1차</v>
      </c>
      <c r="D11269" s="1" t="str">
        <f>"0024P95100"</f>
        <v>0024P95100</v>
      </c>
      <c r="E11269" s="1" t="s">
        <v>10</v>
      </c>
      <c r="F11269" s="1" t="str">
        <f>"10.125.226.50"</f>
        <v>10.125.226.50</v>
      </c>
      <c r="G11269" s="1" t="str">
        <f>"0024P951"</f>
        <v>0024P951</v>
      </c>
      <c r="H11269" s="1" t="str">
        <f>"동보간 35R3"</f>
        <v>동보간 35R3</v>
      </c>
      <c r="I11269" s="1" t="s">
        <v>8</v>
      </c>
      <c r="J11269" s="1" t="str">
        <f>"38/38"</f>
        <v>38/38</v>
      </c>
      <c r="K11269" s="1" t="str">
        <f>"2026-07-29 13:18:01"</f>
        <v>2026-07-29 13:18:01</v>
      </c>
      <c r="L11269" s="1" t="str">
        <f>"2014-10-16 17:41:14"</f>
        <v>2014-10-16 17:41:14</v>
      </c>
      <c r="M11269" s="1" t="s">
        <v>45</v>
      </c>
      <c r="N11269" s="1" t="s">
        <v>38</v>
      </c>
      <c r="O11269" s="1" t="s">
        <v>46</v>
      </c>
    </row>
    <row r="11270" spans="2:15" x14ac:dyDescent="0.3">
      <c r="B11270" s="1" t="s">
        <v>20</v>
      </c>
      <c r="C11270" s="1" t="str">
        <f>"5-1차"</f>
        <v>5-1차</v>
      </c>
      <c r="D11270" s="1" t="str">
        <f>"0024P9525M"</f>
        <v>0024P9525M</v>
      </c>
      <c r="E11270" s="1" t="s">
        <v>10</v>
      </c>
      <c r="F11270" s="1" t="str">
        <f>"fde3:102:1301:600:0:0:0:2"</f>
        <v>fde3:102:1301:600:0:0:0:2</v>
      </c>
      <c r="G11270" s="1" t="str">
        <f>"0024P952"</f>
        <v>0024P952</v>
      </c>
      <c r="H11270" s="1" t="str">
        <f>"동보간 35R2"</f>
        <v>동보간 35R2</v>
      </c>
      <c r="I11270" s="1" t="s">
        <v>15</v>
      </c>
      <c r="J11270" s="1" t="str">
        <f>"18/18"</f>
        <v>18/18</v>
      </c>
      <c r="K11270" s="1" t="str">
        <f>"2026-07-29 14:20:01"</f>
        <v>2026-07-29 14:20:01</v>
      </c>
      <c r="L11270" s="1" t="str">
        <f>"2022-12-08 17:17:42"</f>
        <v>2022-12-08 17:17:42</v>
      </c>
      <c r="M11270" s="1" t="s">
        <v>45</v>
      </c>
      <c r="N11270" s="1" t="s">
        <v>38</v>
      </c>
      <c r="O11270" s="1" t="s">
        <v>46</v>
      </c>
    </row>
    <row r="11271" spans="2:15" x14ac:dyDescent="0.3">
      <c r="B11271" s="1" t="s">
        <v>20</v>
      </c>
      <c r="C11271" s="1" t="str">
        <f>"5-1차"</f>
        <v>5-1차</v>
      </c>
      <c r="D11271" s="1" t="str">
        <f>"0024P9835M"</f>
        <v>0024P9835M</v>
      </c>
      <c r="E11271" s="1" t="s">
        <v>10</v>
      </c>
      <c r="F11271" s="1" t="str">
        <f>"fde3:102:1301:3500:0:0:0:8"</f>
        <v>fde3:102:1301:3500:0:0:0:8</v>
      </c>
      <c r="G11271" s="1" t="str">
        <f>"0024P983"</f>
        <v>0024P983</v>
      </c>
      <c r="H11271" s="1" t="str">
        <f>"한보간 48L2L1"</f>
        <v>한보간 48L2L1</v>
      </c>
      <c r="I11271" s="1" t="s">
        <v>15</v>
      </c>
      <c r="J11271" s="1" t="str">
        <f>"33/33"</f>
        <v>33/33</v>
      </c>
      <c r="K11271" s="1" t="str">
        <f>"2026-07-29 14:20:01"</f>
        <v>2026-07-29 14:20:01</v>
      </c>
      <c r="L11271" s="1" t="str">
        <f>"2022-11-23 18:22:50"</f>
        <v>2022-11-23 18:22:50</v>
      </c>
      <c r="M11271" s="1" t="s">
        <v>45</v>
      </c>
      <c r="N11271" s="1" t="s">
        <v>38</v>
      </c>
      <c r="O11271" s="1" t="s">
        <v>46</v>
      </c>
    </row>
    <row r="11272" spans="2:15" x14ac:dyDescent="0.3">
      <c r="B11272" s="1" t="s">
        <v>20</v>
      </c>
      <c r="C11272" s="1" t="str">
        <f>"5-2차"</f>
        <v>5-2차</v>
      </c>
      <c r="D11272" s="1" t="str">
        <f>"0024P9845M"</f>
        <v>0024P9845M</v>
      </c>
      <c r="E11272" s="1" t="s">
        <v>10</v>
      </c>
      <c r="F11272" s="1" t="str">
        <f>"fde3:102:1301:3400:0:0:0:5"</f>
        <v>fde3:102:1301:3400:0:0:0:5</v>
      </c>
      <c r="G11272" s="1" t="str">
        <f>"0024P984"</f>
        <v>0024P984</v>
      </c>
      <c r="H11272" s="1" t="str">
        <f>"한보간 48L2L2"</f>
        <v>한보간 48L2L2</v>
      </c>
      <c r="I11272" s="1" t="s">
        <v>15</v>
      </c>
      <c r="J11272" s="1" t="str">
        <f>"49/49"</f>
        <v>49/49</v>
      </c>
      <c r="K11272" s="1" t="str">
        <f>"2026-07-29 14:20:00"</f>
        <v>2026-07-29 14:20:00</v>
      </c>
      <c r="L11272" s="1" t="str">
        <f>"2024-03-04 10:03:30"</f>
        <v>2024-03-04 10:03:30</v>
      </c>
      <c r="M11272" s="1" t="s">
        <v>45</v>
      </c>
      <c r="N11272" s="1" t="s">
        <v>38</v>
      </c>
      <c r="O11272" s="1" t="s">
        <v>46</v>
      </c>
    </row>
    <row r="11273" spans="2:15" x14ac:dyDescent="0.3">
      <c r="B11273" s="1" t="s">
        <v>20</v>
      </c>
      <c r="C11273" s="1" t="str">
        <f>"6차"</f>
        <v>6차</v>
      </c>
      <c r="D11273" s="1" t="str">
        <f>"0024Q0326S"</f>
        <v>0024Q0326S</v>
      </c>
      <c r="E11273" s="1" t="s">
        <v>14</v>
      </c>
      <c r="F11273" s="1" t="str">
        <f>"fde1:103:4:927b:0:0:0:2"</f>
        <v>fde1:103:4:927b:0:0:0:2</v>
      </c>
      <c r="G11273" s="1" t="str">
        <f>"0024Q032"</f>
        <v>0024Q032</v>
      </c>
      <c r="H11273" s="1" t="str">
        <f>"동보간 33R1"</f>
        <v>동보간 33R1</v>
      </c>
      <c r="I11273" s="1" t="s">
        <v>15</v>
      </c>
      <c r="J11273" s="1" t="str">
        <f>"0/0"</f>
        <v>0/0</v>
      </c>
      <c r="K11273" s="1" t="str">
        <f>"2026-07-29 14:20:01"</f>
        <v>2026-07-29 14:20:01</v>
      </c>
      <c r="L11273" s="1" t="str">
        <f>"2025-02-18 15:49:02"</f>
        <v>2025-02-18 15:49:02</v>
      </c>
      <c r="M11273" s="1" t="s">
        <v>4</v>
      </c>
      <c r="N11273" s="1" t="s">
        <v>38</v>
      </c>
      <c r="O11273" s="1" t="s">
        <v>44</v>
      </c>
    </row>
    <row r="11274" spans="2:15" x14ac:dyDescent="0.3">
      <c r="B11274" s="1" t="s">
        <v>20</v>
      </c>
      <c r="C11274" s="1" t="str">
        <f>"6차"</f>
        <v>6차</v>
      </c>
      <c r="D11274" s="1" t="str">
        <f>"0024Q0726S"</f>
        <v>0024Q0726S</v>
      </c>
      <c r="E11274" s="1" t="s">
        <v>10</v>
      </c>
      <c r="F11274" s="1" t="str">
        <f>"fde1:103:4:9256:0:0:0:2"</f>
        <v>fde1:103:4:9256:0:0:0:2</v>
      </c>
      <c r="G11274" s="1" t="str">
        <f>"0024Q072"</f>
        <v>0024Q072</v>
      </c>
      <c r="H11274" s="1" t="str">
        <f>"한보간 44"</f>
        <v>한보간 44</v>
      </c>
      <c r="I11274" s="1" t="s">
        <v>15</v>
      </c>
      <c r="J11274" s="1" t="str">
        <f>"13/13"</f>
        <v>13/13</v>
      </c>
      <c r="K11274" s="1" t="str">
        <f>"2026-07-29 14:20:00"</f>
        <v>2026-07-29 14:20:00</v>
      </c>
      <c r="L11274" s="1" t="str">
        <f>"2025-02-24 13:21:52"</f>
        <v>2025-02-24 13:21:52</v>
      </c>
      <c r="M11274" s="1" t="s">
        <v>4</v>
      </c>
      <c r="N11274" s="1" t="s">
        <v>38</v>
      </c>
      <c r="O11274" s="1" t="s">
        <v>46</v>
      </c>
    </row>
    <row r="11275" spans="2:15" x14ac:dyDescent="0.3">
      <c r="B11275" s="1" t="s">
        <v>20</v>
      </c>
      <c r="C11275" s="1" t="str">
        <f>"1차"</f>
        <v>1차</v>
      </c>
      <c r="D11275" s="1" t="str">
        <f>"0024Q08100"</f>
        <v>0024Q08100</v>
      </c>
      <c r="E11275" s="1" t="s">
        <v>10</v>
      </c>
      <c r="F11275" s="1" t="str">
        <f>"10.125.226.146"</f>
        <v>10.125.226.146</v>
      </c>
      <c r="G11275" s="1" t="str">
        <f>"0024Q081"</f>
        <v>0024Q081</v>
      </c>
      <c r="H11275" s="1" t="str">
        <f>"한보간 46"</f>
        <v>한보간 46</v>
      </c>
      <c r="I11275" s="1" t="s">
        <v>8</v>
      </c>
      <c r="J11275" s="1" t="str">
        <f>"27/27"</f>
        <v>27/27</v>
      </c>
      <c r="K11275" s="1" t="str">
        <f>"2026-07-29 13:18:01"</f>
        <v>2026-07-29 13:18:01</v>
      </c>
      <c r="L11275" s="1" t="str">
        <f>"2014-11-20 00:10:49"</f>
        <v>2014-11-20 00:10:49</v>
      </c>
      <c r="M11275" s="1" t="s">
        <v>45</v>
      </c>
      <c r="N11275" s="1" t="s">
        <v>38</v>
      </c>
      <c r="O11275" s="1" t="s">
        <v>46</v>
      </c>
    </row>
    <row r="11276" spans="2:15" x14ac:dyDescent="0.3">
      <c r="B11276" s="1" t="s">
        <v>20</v>
      </c>
      <c r="C11276" s="1" t="str">
        <f>"6차"</f>
        <v>6차</v>
      </c>
      <c r="D11276" s="1" t="str">
        <f>"0024Q1316S"</f>
        <v>0024Q1316S</v>
      </c>
      <c r="E11276" s="1" t="s">
        <v>10</v>
      </c>
      <c r="F11276" s="1" t="str">
        <f>"fde1:103:4:c631:0:0:0:2"</f>
        <v>fde1:103:4:c631:0:0:0:2</v>
      </c>
      <c r="G11276" s="1" t="str">
        <f>"0024Q131"</f>
        <v>0024Q131</v>
      </c>
      <c r="H11276" s="1" t="str">
        <f>"동보간 33R2"</f>
        <v>동보간 33R2</v>
      </c>
      <c r="I11276" s="1" t="s">
        <v>15</v>
      </c>
      <c r="J11276" s="1" t="str">
        <f>"1/1"</f>
        <v>1/1</v>
      </c>
      <c r="K11276" s="1" t="str">
        <f>"2026-07-29 14:20:03"</f>
        <v>2026-07-29 14:20:03</v>
      </c>
      <c r="L11276" s="1" t="str">
        <f>"2024-11-08 14:08:48"</f>
        <v>2024-11-08 14:08:48</v>
      </c>
      <c r="M11276" s="1" t="s">
        <v>4</v>
      </c>
      <c r="N11276" s="1" t="s">
        <v>38</v>
      </c>
      <c r="O11276" s="1" t="s">
        <v>46</v>
      </c>
    </row>
    <row r="11277" spans="2:15" x14ac:dyDescent="0.3">
      <c r="B11277" s="1" t="s">
        <v>20</v>
      </c>
      <c r="C11277" s="1" t="str">
        <f>"5-1차"</f>
        <v>5-1차</v>
      </c>
      <c r="D11277" s="1" t="str">
        <f>"0024Q1825M"</f>
        <v>0024Q1825M</v>
      </c>
      <c r="E11277" s="1" t="s">
        <v>10</v>
      </c>
      <c r="F11277" s="1" t="str">
        <f>"fde3:102:1301:300:0:0:0:4"</f>
        <v>fde3:102:1301:300:0:0:0:4</v>
      </c>
      <c r="G11277" s="1" t="str">
        <f>"0024Q182"</f>
        <v>0024Q182</v>
      </c>
      <c r="H11277" s="1" t="str">
        <f>"한보간 46R2"</f>
        <v>한보간 46R2</v>
      </c>
      <c r="I11277" s="1" t="s">
        <v>15</v>
      </c>
      <c r="J11277" s="1" t="str">
        <f>"76/76"</f>
        <v>76/76</v>
      </c>
      <c r="K11277" s="1" t="str">
        <f>"2026-07-29 14:20:01"</f>
        <v>2026-07-29 14:20:01</v>
      </c>
      <c r="L11277" s="1" t="str">
        <f>"2022-12-09 16:40:36"</f>
        <v>2022-12-09 16:40:36</v>
      </c>
      <c r="M11277" s="1" t="s">
        <v>45</v>
      </c>
      <c r="N11277" s="1" t="s">
        <v>38</v>
      </c>
      <c r="O11277" s="1" t="s">
        <v>46</v>
      </c>
    </row>
    <row r="11278" spans="2:15" x14ac:dyDescent="0.3">
      <c r="B11278" s="1" t="s">
        <v>20</v>
      </c>
      <c r="C11278" s="1" t="str">
        <f>"1차"</f>
        <v>1차</v>
      </c>
      <c r="D11278" s="1" t="str">
        <f>"0024Q22400"</f>
        <v>0024Q22400</v>
      </c>
      <c r="E11278" s="1" t="s">
        <v>10</v>
      </c>
      <c r="F11278" s="1" t="str">
        <f>"10.125.224.202"</f>
        <v>10.125.224.202</v>
      </c>
      <c r="G11278" s="1" t="str">
        <f>"0024Q224"</f>
        <v>0024Q224</v>
      </c>
      <c r="H11278" s="1" t="str">
        <f>"동보간 29R1"</f>
        <v>동보간 29R1</v>
      </c>
      <c r="I11278" s="1" t="s">
        <v>8</v>
      </c>
      <c r="J11278" s="1" t="str">
        <f>"2/2"</f>
        <v>2/2</v>
      </c>
      <c r="K11278" s="1" t="str">
        <f>"2026-07-29 13:18:01"</f>
        <v>2026-07-29 13:18:01</v>
      </c>
      <c r="L11278" s="1" t="str">
        <f>"2014-10-16 17:40:51"</f>
        <v>2014-10-16 17:40:51</v>
      </c>
      <c r="M11278" s="1" t="s">
        <v>45</v>
      </c>
      <c r="N11278" s="1" t="s">
        <v>38</v>
      </c>
      <c r="O11278" s="1" t="s">
        <v>46</v>
      </c>
    </row>
    <row r="11279" spans="2:15" x14ac:dyDescent="0.3">
      <c r="B11279" s="1" t="s">
        <v>20</v>
      </c>
      <c r="C11279" s="1" t="str">
        <f>"6차"</f>
        <v>6차</v>
      </c>
      <c r="D11279" s="1" t="str">
        <f>"0024Q2426M"</f>
        <v>0024Q2426M</v>
      </c>
      <c r="E11279" s="1" t="s">
        <v>10</v>
      </c>
      <c r="F11279" s="1" t="str">
        <f>"fde1:103:4:c7ee:0:0:0:2"</f>
        <v>fde1:103:4:c7ee:0:0:0:2</v>
      </c>
      <c r="G11279" s="1" t="str">
        <f>"0024Q242"</f>
        <v>0024Q242</v>
      </c>
      <c r="H11279" s="1" t="str">
        <f>"한보간 44L4"</f>
        <v>한보간 44L4</v>
      </c>
      <c r="I11279" s="1" t="s">
        <v>15</v>
      </c>
      <c r="J11279" s="1" t="str">
        <f>"1/1"</f>
        <v>1/1</v>
      </c>
      <c r="K11279" s="1" t="str">
        <f>"2026-07-29 14:20:01"</f>
        <v>2026-07-29 14:20:01</v>
      </c>
      <c r="L11279" s="1" t="str">
        <f>"2024-12-02 13:55:04"</f>
        <v>2024-12-02 13:55:04</v>
      </c>
      <c r="M11279" s="1" t="s">
        <v>4</v>
      </c>
      <c r="N11279" s="1" t="s">
        <v>38</v>
      </c>
      <c r="O11279" s="1" t="s">
        <v>46</v>
      </c>
    </row>
    <row r="11280" spans="2:15" x14ac:dyDescent="0.3">
      <c r="B11280" s="1" t="s">
        <v>20</v>
      </c>
      <c r="C11280" s="1" t="str">
        <f>"5-1차"</f>
        <v>5-1차</v>
      </c>
      <c r="D11280" s="1" t="str">
        <f>"0024Q2445S"</f>
        <v>0024Q2445S</v>
      </c>
      <c r="E11280" s="1" t="s">
        <v>14</v>
      </c>
      <c r="F11280" s="1" t="str">
        <f>"fde3:102:1301:b01:0:0:0:2"</f>
        <v>fde3:102:1301:b01:0:0:0:2</v>
      </c>
      <c r="G11280" s="1" t="str">
        <f>"0024Q244"</f>
        <v>0024Q244</v>
      </c>
      <c r="H11280" s="1" t="str">
        <f>"한보간 44L3"</f>
        <v>한보간 44L3</v>
      </c>
      <c r="I11280" s="1" t="s">
        <v>15</v>
      </c>
      <c r="J11280" s="1" t="str">
        <f>"0/0"</f>
        <v>0/0</v>
      </c>
      <c r="K11280" s="1" t="str">
        <f>"2026-07-29 14:20:01"</f>
        <v>2026-07-29 14:20:01</v>
      </c>
      <c r="L11280" s="1" t="str">
        <f>"2022-11-16 14:25:06"</f>
        <v>2022-11-16 14:25:06</v>
      </c>
      <c r="M11280" s="1" t="s">
        <v>45</v>
      </c>
      <c r="N11280" s="1" t="s">
        <v>38</v>
      </c>
      <c r="O11280" s="1" t="s">
        <v>44</v>
      </c>
    </row>
    <row r="11281" spans="2:15" x14ac:dyDescent="0.3">
      <c r="B11281" s="1" t="s">
        <v>20</v>
      </c>
      <c r="C11281" s="1" t="str">
        <f>"6차"</f>
        <v>6차</v>
      </c>
      <c r="D11281" s="1" t="str">
        <f>"0024Q2726S"</f>
        <v>0024Q2726S</v>
      </c>
      <c r="E11281" s="1" t="s">
        <v>10</v>
      </c>
      <c r="F11281" s="1" t="str">
        <f>"fde1:103:4:91e3:0:0:0:2"</f>
        <v>fde1:103:4:91e3:0:0:0:2</v>
      </c>
      <c r="G11281" s="1" t="str">
        <f>"0024Q272"</f>
        <v>0024Q272</v>
      </c>
      <c r="H11281" s="1" t="str">
        <f>"한보간 40"</f>
        <v>한보간 40</v>
      </c>
      <c r="I11281" s="1" t="s">
        <v>15</v>
      </c>
      <c r="J11281" s="1" t="str">
        <f>"25/26"</f>
        <v>25/26</v>
      </c>
      <c r="K11281" s="1" t="str">
        <f>"2026-07-29 14:20:02"</f>
        <v>2026-07-29 14:20:02</v>
      </c>
      <c r="L11281" s="1" t="str">
        <f>"2025-02-18 15:54:01"</f>
        <v>2025-02-18 15:54:01</v>
      </c>
      <c r="M11281" s="1" t="s">
        <v>4</v>
      </c>
      <c r="N11281" s="1" t="s">
        <v>38</v>
      </c>
      <c r="O11281" s="1" t="s">
        <v>46</v>
      </c>
    </row>
    <row r="11282" spans="2:15" x14ac:dyDescent="0.3">
      <c r="B11282" s="1" t="s">
        <v>20</v>
      </c>
      <c r="C11282" s="1" t="str">
        <f>"1차"</f>
        <v>1차</v>
      </c>
      <c r="D11282" s="1" t="str">
        <f>"0024Q27300"</f>
        <v>0024Q27300</v>
      </c>
      <c r="E11282" s="1" t="s">
        <v>10</v>
      </c>
      <c r="F11282" s="1" t="str">
        <f>"10.125.226.170"</f>
        <v>10.125.226.170</v>
      </c>
      <c r="G11282" s="1" t="str">
        <f>"0024Q273"</f>
        <v>0024Q273</v>
      </c>
      <c r="H11282" s="1" t="str">
        <f>"한보간 40H1"</f>
        <v>한보간 40H1</v>
      </c>
      <c r="I11282" s="1" t="s">
        <v>8</v>
      </c>
      <c r="J11282" s="1" t="str">
        <f>"11/11"</f>
        <v>11/11</v>
      </c>
      <c r="K11282" s="1" t="str">
        <f>"2026-07-29 13:18:01"</f>
        <v>2026-07-29 13:18:01</v>
      </c>
      <c r="L11282" s="1" t="str">
        <f>"2014-10-16 17:41:36"</f>
        <v>2014-10-16 17:41:36</v>
      </c>
      <c r="M11282" s="1" t="s">
        <v>45</v>
      </c>
      <c r="N11282" s="1" t="s">
        <v>38</v>
      </c>
      <c r="O11282" s="1" t="s">
        <v>46</v>
      </c>
    </row>
    <row r="11283" spans="2:15" x14ac:dyDescent="0.3">
      <c r="B11283" s="1" t="s">
        <v>20</v>
      </c>
      <c r="C11283" s="1" t="str">
        <f>"5-2차"</f>
        <v>5-2차</v>
      </c>
      <c r="D11283" s="1" t="str">
        <f>"0024Q3415M"</f>
        <v>0024Q3415M</v>
      </c>
      <c r="E11283" s="1" t="s">
        <v>14</v>
      </c>
      <c r="F11283" s="1" t="str">
        <f>"fde1:103:4:93fb:0:0:0:2"</f>
        <v>fde1:103:4:93fb:0:0:0:2</v>
      </c>
      <c r="G11283" s="1" t="str">
        <f>"0024Q341"</f>
        <v>0024Q341</v>
      </c>
      <c r="H11283" s="1" t="str">
        <f>"한보간 38L4"</f>
        <v>한보간 38L4</v>
      </c>
      <c r="I11283" s="1" t="s">
        <v>15</v>
      </c>
      <c r="J11283" s="1" t="str">
        <f>"0/0"</f>
        <v>0/0</v>
      </c>
      <c r="K11283" s="1" t="str">
        <f>"2026-07-29 14:20:03"</f>
        <v>2026-07-29 14:20:03</v>
      </c>
      <c r="L11283" s="1" t="str">
        <f>"2024-01-11 11:29:05"</f>
        <v>2024-01-11 11:29:05</v>
      </c>
      <c r="M11283" s="1" t="s">
        <v>4</v>
      </c>
      <c r="N11283" s="1" t="s">
        <v>38</v>
      </c>
      <c r="O11283" s="1" t="s">
        <v>44</v>
      </c>
    </row>
    <row r="11284" spans="2:15" x14ac:dyDescent="0.3">
      <c r="B11284" s="1" t="s">
        <v>20</v>
      </c>
      <c r="C11284" s="1" t="str">
        <f>"1차"</f>
        <v>1차</v>
      </c>
      <c r="D11284" s="1" t="str">
        <f>"0024Q34201"</f>
        <v>0024Q34201</v>
      </c>
      <c r="E11284" s="1" t="s">
        <v>10</v>
      </c>
      <c r="F11284" s="1" t="str">
        <f>"10.12.131.62"</f>
        <v>10.12.131.62</v>
      </c>
      <c r="G11284" s="1" t="str">
        <f>"0024Q342"</f>
        <v>0024Q342</v>
      </c>
      <c r="H11284" s="1" t="str">
        <f>"한보간 38L4R1"</f>
        <v>한보간 38L4R1</v>
      </c>
      <c r="I11284" s="1" t="s">
        <v>8</v>
      </c>
      <c r="J11284" s="1" t="str">
        <f>"1/1"</f>
        <v>1/1</v>
      </c>
      <c r="K11284" s="1" t="str">
        <f>"2026-07-29 13:18:02"</f>
        <v>2026-07-29 13:18:02</v>
      </c>
      <c r="L11284" s="1" t="str">
        <f>"2014-11-27 18:21:59"</f>
        <v>2014-11-27 18:21:59</v>
      </c>
      <c r="M11284" s="1" t="s">
        <v>0</v>
      </c>
      <c r="N11284" s="1" t="s">
        <v>38</v>
      </c>
      <c r="O11284" s="1" t="s">
        <v>46</v>
      </c>
    </row>
    <row r="11285" spans="2:15" x14ac:dyDescent="0.3">
      <c r="B11285" s="1" t="s">
        <v>20</v>
      </c>
      <c r="C11285" s="1" t="str">
        <f>"1차"</f>
        <v>1차</v>
      </c>
      <c r="D11285" s="1" t="str">
        <f>"0024Q37100"</f>
        <v>0024Q37100</v>
      </c>
      <c r="E11285" s="1" t="s">
        <v>10</v>
      </c>
      <c r="F11285" s="1" t="str">
        <f>"10.125.226.178"</f>
        <v>10.125.226.178</v>
      </c>
      <c r="G11285" s="1" t="str">
        <f>"0024Q371"</f>
        <v>0024Q371</v>
      </c>
      <c r="H11285" s="1" t="str">
        <f>"한보간 39"</f>
        <v>한보간 39</v>
      </c>
      <c r="I11285" s="1" t="s">
        <v>8</v>
      </c>
      <c r="J11285" s="1" t="str">
        <f>"16/16"</f>
        <v>16/16</v>
      </c>
      <c r="K11285" s="1" t="str">
        <f t="shared" ref="K11285:K11291" si="567">"2026-07-29 13:18:01"</f>
        <v>2026-07-29 13:18:01</v>
      </c>
      <c r="L11285" s="1" t="str">
        <f>"2014-11-18 15:26:29"</f>
        <v>2014-11-18 15:26:29</v>
      </c>
      <c r="M11285" s="1" t="s">
        <v>45</v>
      </c>
      <c r="N11285" s="1" t="s">
        <v>38</v>
      </c>
      <c r="O11285" s="1" t="s">
        <v>46</v>
      </c>
    </row>
    <row r="11286" spans="2:15" x14ac:dyDescent="0.3">
      <c r="B11286" s="1" t="s">
        <v>20</v>
      </c>
      <c r="C11286" s="1" t="str">
        <f>"1차"</f>
        <v>1차</v>
      </c>
      <c r="D11286" s="1" t="str">
        <f>"0024Q37201"</f>
        <v>0024Q37201</v>
      </c>
      <c r="E11286" s="1" t="s">
        <v>10</v>
      </c>
      <c r="F11286" s="1" t="str">
        <f>"10.14.11.184"</f>
        <v>10.14.11.184</v>
      </c>
      <c r="G11286" s="1" t="str">
        <f>"0024Q372"</f>
        <v>0024Q372</v>
      </c>
      <c r="H11286" s="1" t="str">
        <f>"한보간 38"</f>
        <v>한보간 38</v>
      </c>
      <c r="I11286" s="1" t="s">
        <v>8</v>
      </c>
      <c r="J11286" s="1" t="str">
        <f>"1/1"</f>
        <v>1/1</v>
      </c>
      <c r="K11286" s="1" t="str">
        <f t="shared" si="567"/>
        <v>2026-07-29 13:18:01</v>
      </c>
      <c r="L11286" s="1" t="str">
        <f>"2014-11-19 00:28:10"</f>
        <v>2014-11-19 00:28:10</v>
      </c>
      <c r="M11286" s="1" t="s">
        <v>3</v>
      </c>
      <c r="N11286" s="1" t="s">
        <v>38</v>
      </c>
      <c r="O11286" s="1" t="s">
        <v>46</v>
      </c>
    </row>
    <row r="11287" spans="2:15" x14ac:dyDescent="0.3">
      <c r="B11287" s="1" t="s">
        <v>20</v>
      </c>
      <c r="C11287" s="1" t="str">
        <f>"1차"</f>
        <v>1차</v>
      </c>
      <c r="D11287" s="1" t="str">
        <f>"0024Q38101"</f>
        <v>0024Q38101</v>
      </c>
      <c r="E11287" s="1" t="s">
        <v>10</v>
      </c>
      <c r="F11287" s="1" t="str">
        <f>"10.12.128.243"</f>
        <v>10.12.128.243</v>
      </c>
      <c r="G11287" s="1" t="str">
        <f>"0024Q381"</f>
        <v>0024Q381</v>
      </c>
      <c r="H11287" s="1" t="str">
        <f>"한보간 39R1"</f>
        <v>한보간 39R1</v>
      </c>
      <c r="I11287" s="1" t="s">
        <v>8</v>
      </c>
      <c r="J11287" s="1" t="str">
        <f>"16/16"</f>
        <v>16/16</v>
      </c>
      <c r="K11287" s="1" t="str">
        <f t="shared" si="567"/>
        <v>2026-07-29 13:18:01</v>
      </c>
      <c r="L11287" s="1" t="str">
        <f>"2014-12-02 16:49:06"</f>
        <v>2014-12-02 16:49:06</v>
      </c>
      <c r="M11287" s="1" t="s">
        <v>0</v>
      </c>
      <c r="N11287" s="1" t="s">
        <v>38</v>
      </c>
      <c r="O11287" s="1" t="s">
        <v>46</v>
      </c>
    </row>
    <row r="11288" spans="2:15" x14ac:dyDescent="0.3">
      <c r="B11288" s="1" t="s">
        <v>20</v>
      </c>
      <c r="C11288" s="1" t="str">
        <f>"4차"</f>
        <v>4차</v>
      </c>
      <c r="D11288" s="1" t="str">
        <f>"0024Q41142"</f>
        <v>0024Q41142</v>
      </c>
      <c r="E11288" s="1" t="s">
        <v>14</v>
      </c>
      <c r="F11288" s="1" t="str">
        <f>"10.125.224.162"</f>
        <v>10.125.224.162</v>
      </c>
      <c r="G11288" s="1" t="str">
        <f>"0024Q411"</f>
        <v>0024Q411</v>
      </c>
      <c r="H11288" s="1" t="str">
        <f>"동보간 29R3"</f>
        <v>동보간 29R3</v>
      </c>
      <c r="I11288" s="1" t="s">
        <v>8</v>
      </c>
      <c r="J11288" s="1" t="str">
        <f>"0/0"</f>
        <v>0/0</v>
      </c>
      <c r="K11288" s="1" t="str">
        <f t="shared" si="567"/>
        <v>2026-07-29 13:18:01</v>
      </c>
      <c r="L11288" s="1" t="str">
        <f>"2024-04-18 09:16:06"</f>
        <v>2024-04-18 09:16:06</v>
      </c>
      <c r="M11288" s="1" t="s">
        <v>45</v>
      </c>
      <c r="N11288" s="1" t="s">
        <v>38</v>
      </c>
      <c r="O11288" s="1" t="s">
        <v>44</v>
      </c>
    </row>
    <row r="11289" spans="2:15" x14ac:dyDescent="0.3">
      <c r="B11289" s="1" t="s">
        <v>20</v>
      </c>
      <c r="C11289" s="1" t="str">
        <f>"4차"</f>
        <v>4차</v>
      </c>
      <c r="D11289" s="1" t="str">
        <f>"0024R56139"</f>
        <v>0024R56139</v>
      </c>
      <c r="E11289" s="1" t="s">
        <v>10</v>
      </c>
      <c r="F11289" s="1" t="str">
        <f>"10.12.136.21"</f>
        <v>10.12.136.21</v>
      </c>
      <c r="G11289" s="1" t="str">
        <f>"0024R561"</f>
        <v>0024R561</v>
      </c>
      <c r="H11289" s="1" t="str">
        <f>"반포로 R5-1"</f>
        <v>반포로 R5-1</v>
      </c>
      <c r="I11289" s="1" t="s">
        <v>17</v>
      </c>
      <c r="J11289" s="1" t="str">
        <f>"5/5"</f>
        <v>5/5</v>
      </c>
      <c r="K11289" s="1" t="str">
        <f t="shared" si="567"/>
        <v>2026-07-29 13:18:01</v>
      </c>
      <c r="L11289" s="1" t="str">
        <f>"2018-07-26 15:05:41"</f>
        <v>2018-07-26 15:05:41</v>
      </c>
      <c r="M11289" s="1" t="s">
        <v>0</v>
      </c>
      <c r="N11289" s="1" t="s">
        <v>38</v>
      </c>
      <c r="O11289" s="1" t="s">
        <v>46</v>
      </c>
    </row>
    <row r="11290" spans="2:15" x14ac:dyDescent="0.3">
      <c r="B11290" s="1" t="s">
        <v>20</v>
      </c>
      <c r="C11290" s="1" t="str">
        <f>"4차"</f>
        <v>4차</v>
      </c>
      <c r="D11290" s="1" t="str">
        <f>"0024S05141"</f>
        <v>0024S05141</v>
      </c>
      <c r="E11290" s="1" t="s">
        <v>10</v>
      </c>
      <c r="F11290" s="1" t="str">
        <f>"10.12.129.242"</f>
        <v>10.12.129.242</v>
      </c>
      <c r="G11290" s="1" t="str">
        <f>"0024S051"</f>
        <v>0024S051</v>
      </c>
      <c r="H11290" s="1" t="str">
        <f>"이태원간 12R5"</f>
        <v>이태원간 12R5</v>
      </c>
      <c r="I11290" s="1" t="s">
        <v>17</v>
      </c>
      <c r="J11290" s="1" t="str">
        <f>"1/13"</f>
        <v>1/13</v>
      </c>
      <c r="K11290" s="1" t="str">
        <f t="shared" si="567"/>
        <v>2026-07-29 13:18:01</v>
      </c>
      <c r="L11290" s="1" t="str">
        <f>"2021-08-13 08:50:22"</f>
        <v>2021-08-13 08:50:22</v>
      </c>
      <c r="M11290" s="1" t="s">
        <v>0</v>
      </c>
      <c r="N11290" s="1" t="s">
        <v>38</v>
      </c>
      <c r="O11290" s="1" t="s">
        <v>46</v>
      </c>
    </row>
    <row r="11291" spans="2:15" x14ac:dyDescent="0.3">
      <c r="B11291" s="1" t="s">
        <v>20</v>
      </c>
      <c r="C11291" s="1" t="str">
        <f>"4차"</f>
        <v>4차</v>
      </c>
      <c r="D11291" s="1" t="str">
        <f>"0024S06141"</f>
        <v>0024S06141</v>
      </c>
      <c r="E11291" s="1" t="s">
        <v>10</v>
      </c>
      <c r="F11291" s="1" t="str">
        <f>"10.14.7.45"</f>
        <v>10.14.7.45</v>
      </c>
      <c r="G11291" s="1" t="str">
        <f>"0024S061"</f>
        <v>0024S061</v>
      </c>
      <c r="H11291" s="1" t="str">
        <f>"이태원간 12R3L3"</f>
        <v>이태원간 12R3L3</v>
      </c>
      <c r="I11291" s="1" t="s">
        <v>17</v>
      </c>
      <c r="J11291" s="1" t="str">
        <f>"8/9"</f>
        <v>8/9</v>
      </c>
      <c r="K11291" s="1" t="str">
        <f t="shared" si="567"/>
        <v>2026-07-29 13:18:01</v>
      </c>
      <c r="L11291" s="1" t="str">
        <f>"2021-08-13 09:26:33"</f>
        <v>2021-08-13 09:26:33</v>
      </c>
      <c r="M11291" s="1" t="s">
        <v>3</v>
      </c>
      <c r="N11291" s="1" t="s">
        <v>38</v>
      </c>
      <c r="O11291" s="1" t="s">
        <v>46</v>
      </c>
    </row>
    <row r="11292" spans="2:15" x14ac:dyDescent="0.3">
      <c r="B11292" s="1" t="s">
        <v>20</v>
      </c>
      <c r="C11292" s="1" t="str">
        <f>"5-2차"</f>
        <v>5-2차</v>
      </c>
      <c r="D11292" s="1" t="str">
        <f>"0024S2025S"</f>
        <v>0024S2025S</v>
      </c>
      <c r="E11292" s="1" t="s">
        <v>10</v>
      </c>
      <c r="F11292" s="1" t="str">
        <f>"fde1:103:4:55bc:0:0:0:2"</f>
        <v>fde1:103:4:55bc:0:0:0:2</v>
      </c>
      <c r="G11292" s="1" t="str">
        <f>"0024S202"</f>
        <v>0024S202</v>
      </c>
      <c r="H11292" s="1" t="str">
        <f>"이태원간 1R3L3"</f>
        <v>이태원간 1R3L3</v>
      </c>
      <c r="I11292" s="1" t="s">
        <v>15</v>
      </c>
      <c r="J11292" s="1" t="str">
        <f>"36/36"</f>
        <v>36/36</v>
      </c>
      <c r="K11292" s="1" t="str">
        <f>"2026-07-29 14:20:00"</f>
        <v>2026-07-29 14:20:00</v>
      </c>
      <c r="L11292" s="1" t="str">
        <f>"2023-08-29 10:56:40"</f>
        <v>2023-08-29 10:56:40</v>
      </c>
      <c r="M11292" s="1" t="s">
        <v>4</v>
      </c>
      <c r="N11292" s="1" t="s">
        <v>38</v>
      </c>
      <c r="O11292" s="1" t="s">
        <v>46</v>
      </c>
    </row>
    <row r="11293" spans="2:15" x14ac:dyDescent="0.3">
      <c r="B11293" s="1" t="s">
        <v>20</v>
      </c>
      <c r="C11293" s="1" t="str">
        <f>"5-1차"</f>
        <v>5-1차</v>
      </c>
      <c r="D11293" s="1" t="str">
        <f>"0024S2235M"</f>
        <v>0024S2235M</v>
      </c>
      <c r="E11293" s="1" t="s">
        <v>10</v>
      </c>
      <c r="F11293" s="1" t="str">
        <f>"fde3:102:1301:301:0:0:0:5"</f>
        <v>fde3:102:1301:301:0:0:0:5</v>
      </c>
      <c r="G11293" s="1" t="str">
        <f>"0024S223"</f>
        <v>0024S223</v>
      </c>
      <c r="H11293" s="1" t="str">
        <f>"이태원간 10R8"</f>
        <v>이태원간 10R8</v>
      </c>
      <c r="I11293" s="1" t="s">
        <v>15</v>
      </c>
      <c r="J11293" s="1" t="str">
        <f>"32/32"</f>
        <v>32/32</v>
      </c>
      <c r="K11293" s="1" t="str">
        <f>"2026-07-29 14:20:01"</f>
        <v>2026-07-29 14:20:01</v>
      </c>
      <c r="L11293" s="1" t="str">
        <f>"2022-11-16 09:22:52"</f>
        <v>2022-11-16 09:22:52</v>
      </c>
      <c r="M11293" s="1" t="s">
        <v>45</v>
      </c>
      <c r="N11293" s="1" t="s">
        <v>38</v>
      </c>
      <c r="O11293" s="1" t="s">
        <v>46</v>
      </c>
    </row>
    <row r="11294" spans="2:15" x14ac:dyDescent="0.3">
      <c r="B11294" s="1" t="s">
        <v>20</v>
      </c>
      <c r="C11294" s="1" t="str">
        <f>"5-2차"</f>
        <v>5-2차</v>
      </c>
      <c r="D11294" s="1" t="str">
        <f>"0024S3125M"</f>
        <v>0024S3125M</v>
      </c>
      <c r="E11294" s="1" t="s">
        <v>10</v>
      </c>
      <c r="F11294" s="1" t="str">
        <f>"fde1:103:4:557c:0:0:0:2"</f>
        <v>fde1:103:4:557c:0:0:0:2</v>
      </c>
      <c r="G11294" s="1" t="str">
        <f>"0024S312"</f>
        <v>0024S312</v>
      </c>
      <c r="H11294" s="1" t="str">
        <f>"동보간 3"</f>
        <v>동보간 3</v>
      </c>
      <c r="I11294" s="1" t="s">
        <v>15</v>
      </c>
      <c r="J11294" s="1" t="str">
        <f>"23/24"</f>
        <v>23/24</v>
      </c>
      <c r="K11294" s="1" t="str">
        <f>"2026-07-29 14:20:06"</f>
        <v>2026-07-29 14:20:06</v>
      </c>
      <c r="L11294" s="1" t="str">
        <f>"2023-08-10 15:11:44"</f>
        <v>2023-08-10 15:11:44</v>
      </c>
      <c r="M11294" s="1" t="s">
        <v>4</v>
      </c>
      <c r="N11294" s="1" t="s">
        <v>38</v>
      </c>
      <c r="O11294" s="1" t="s">
        <v>46</v>
      </c>
    </row>
    <row r="11295" spans="2:15" x14ac:dyDescent="0.3">
      <c r="B11295" s="1" t="s">
        <v>20</v>
      </c>
      <c r="C11295" s="1" t="str">
        <f>"5-2차"</f>
        <v>5-2차</v>
      </c>
      <c r="D11295" s="1" t="str">
        <f>"0024S3715S"</f>
        <v>0024S3715S</v>
      </c>
      <c r="E11295" s="1" t="s">
        <v>10</v>
      </c>
      <c r="F11295" s="1" t="str">
        <f>"fde1:103:4:559a:0:0:0:2"</f>
        <v>fde1:103:4:559a:0:0:0:2</v>
      </c>
      <c r="G11295" s="1" t="str">
        <f>"0024S371"</f>
        <v>0024S371</v>
      </c>
      <c r="H11295" s="1" t="str">
        <f>"동보간 23L3"</f>
        <v>동보간 23L3</v>
      </c>
      <c r="I11295" s="1" t="s">
        <v>15</v>
      </c>
      <c r="J11295" s="1" t="str">
        <f>"80/80"</f>
        <v>80/80</v>
      </c>
      <c r="K11295" s="1" t="str">
        <f>"2026-07-29 14:20:01"</f>
        <v>2026-07-29 14:20:01</v>
      </c>
      <c r="L11295" s="1" t="str">
        <f>"2023-08-29 11:26:11"</f>
        <v>2023-08-29 11:26:11</v>
      </c>
      <c r="M11295" s="1" t="s">
        <v>4</v>
      </c>
      <c r="N11295" s="1" t="s">
        <v>38</v>
      </c>
      <c r="O11295" s="1" t="s">
        <v>46</v>
      </c>
    </row>
    <row r="11296" spans="2:15" x14ac:dyDescent="0.3">
      <c r="B11296" s="1" t="s">
        <v>20</v>
      </c>
      <c r="C11296" s="1" t="str">
        <f>"5-2차"</f>
        <v>5-2차</v>
      </c>
      <c r="D11296" s="1" t="str">
        <f>"0024S4115S"</f>
        <v>0024S4115S</v>
      </c>
      <c r="E11296" s="1" t="s">
        <v>10</v>
      </c>
      <c r="F11296" s="1" t="str">
        <f>"fde3:102:1301:304:0:0:0:2"</f>
        <v>fde3:102:1301:304:0:0:0:2</v>
      </c>
      <c r="G11296" s="1" t="str">
        <f>"0024S411"</f>
        <v>0024S411</v>
      </c>
      <c r="H11296" s="1" t="str">
        <f>"동보간 4"</f>
        <v>동보간 4</v>
      </c>
      <c r="I11296" s="1" t="s">
        <v>15</v>
      </c>
      <c r="J11296" s="1" t="str">
        <f>"30/30"</f>
        <v>30/30</v>
      </c>
      <c r="K11296" s="1" t="str">
        <f>"2026-07-29 14:20:01"</f>
        <v>2026-07-29 14:20:01</v>
      </c>
      <c r="L11296" s="1" t="str">
        <f>"2023-11-24 11:16:50"</f>
        <v>2023-11-24 11:16:50</v>
      </c>
      <c r="M11296" s="1" t="s">
        <v>45</v>
      </c>
      <c r="N11296" s="1" t="s">
        <v>38</v>
      </c>
      <c r="O11296" s="1" t="s">
        <v>46</v>
      </c>
    </row>
    <row r="11297" spans="2:15" x14ac:dyDescent="0.3">
      <c r="B11297" s="1" t="s">
        <v>20</v>
      </c>
      <c r="C11297" s="1" t="str">
        <f>"5-2차"</f>
        <v>5-2차</v>
      </c>
      <c r="D11297" s="1" t="str">
        <f>"0024S4215S"</f>
        <v>0024S4215S</v>
      </c>
      <c r="E11297" s="1" t="s">
        <v>10</v>
      </c>
      <c r="F11297" s="1" t="str">
        <f>"fde3:102:1301:301:0:0:0:c"</f>
        <v>fde3:102:1301:301:0:0:0:c</v>
      </c>
      <c r="G11297" s="1" t="str">
        <f>"0024S421"</f>
        <v>0024S421</v>
      </c>
      <c r="H11297" s="1" t="str">
        <f>"동보간 2L1"</f>
        <v>동보간 2L1</v>
      </c>
      <c r="I11297" s="1" t="s">
        <v>15</v>
      </c>
      <c r="J11297" s="1" t="str">
        <f>"46/47"</f>
        <v>46/47</v>
      </c>
      <c r="K11297" s="1" t="str">
        <f>"2026-07-29 14:20:02"</f>
        <v>2026-07-29 14:20:02</v>
      </c>
      <c r="L11297" s="1" t="str">
        <f>"2023-10-18 16:42:56"</f>
        <v>2023-10-18 16:42:56</v>
      </c>
      <c r="M11297" s="1" t="s">
        <v>45</v>
      </c>
      <c r="N11297" s="1" t="s">
        <v>38</v>
      </c>
      <c r="O11297" s="1" t="s">
        <v>46</v>
      </c>
    </row>
    <row r="11298" spans="2:15" x14ac:dyDescent="0.3">
      <c r="B11298" s="1" t="s">
        <v>20</v>
      </c>
      <c r="C11298" s="1" t="str">
        <f>"5-2차"</f>
        <v>5-2차</v>
      </c>
      <c r="D11298" s="1" t="str">
        <f>"0024S4235S"</f>
        <v>0024S4235S</v>
      </c>
      <c r="E11298" s="1" t="s">
        <v>10</v>
      </c>
      <c r="F11298" s="1" t="str">
        <f>"fde3:102:1301:301:0:0:0:7"</f>
        <v>fde3:102:1301:301:0:0:0:7</v>
      </c>
      <c r="G11298" s="1" t="str">
        <f>"0024S423"</f>
        <v>0024S423</v>
      </c>
      <c r="H11298" s="1" t="str">
        <f>"동보간 2L3"</f>
        <v>동보간 2L3</v>
      </c>
      <c r="I11298" s="1" t="s">
        <v>15</v>
      </c>
      <c r="J11298" s="1" t="str">
        <f>"54/54"</f>
        <v>54/54</v>
      </c>
      <c r="K11298" s="1" t="str">
        <f>"2026-07-29 14:20:01"</f>
        <v>2026-07-29 14:20:01</v>
      </c>
      <c r="L11298" s="1" t="str">
        <f>"2023-09-07 13:28:26"</f>
        <v>2023-09-07 13:28:26</v>
      </c>
      <c r="M11298" s="1" t="s">
        <v>45</v>
      </c>
      <c r="N11298" s="1" t="s">
        <v>38</v>
      </c>
      <c r="O11298" s="1" t="s">
        <v>46</v>
      </c>
    </row>
    <row r="11299" spans="2:15" x14ac:dyDescent="0.3">
      <c r="B11299" s="1" t="s">
        <v>20</v>
      </c>
      <c r="C11299" s="1" t="str">
        <f>"4차"</f>
        <v>4차</v>
      </c>
      <c r="D11299" s="1" t="str">
        <f>"0024S47144"</f>
        <v>0024S47144</v>
      </c>
      <c r="E11299" s="1" t="s">
        <v>10</v>
      </c>
      <c r="F11299" s="1" t="str">
        <f>"10.125.240.165"</f>
        <v>10.125.240.165</v>
      </c>
      <c r="G11299" s="1" t="str">
        <f>"0024S471"</f>
        <v>0024S471</v>
      </c>
      <c r="H11299" s="1" t="str">
        <f>"동보간 23L2"</f>
        <v>동보간 23L2</v>
      </c>
      <c r="I11299" s="1" t="s">
        <v>8</v>
      </c>
      <c r="J11299" s="1" t="str">
        <f>"26/27"</f>
        <v>26/27</v>
      </c>
      <c r="K11299" s="1" t="str">
        <f>"2026-07-29 13:18:01"</f>
        <v>2026-07-29 13:18:01</v>
      </c>
      <c r="L11299" s="1" t="str">
        <f>"2023-10-27 17:13:49"</f>
        <v>2023-10-27 17:13:49</v>
      </c>
      <c r="M11299" s="1" t="s">
        <v>45</v>
      </c>
      <c r="N11299" s="1" t="s">
        <v>38</v>
      </c>
      <c r="O11299" s="1" t="s">
        <v>46</v>
      </c>
    </row>
    <row r="11300" spans="2:15" x14ac:dyDescent="0.3">
      <c r="B11300" s="1" t="s">
        <v>20</v>
      </c>
      <c r="C11300" s="1" t="str">
        <f>"3차"</f>
        <v>3차</v>
      </c>
      <c r="D11300" s="1" t="str">
        <f>"0024S48139"</f>
        <v>0024S48139</v>
      </c>
      <c r="E11300" s="1" t="s">
        <v>10</v>
      </c>
      <c r="F11300" s="1" t="str">
        <f>"10.125.224.178"</f>
        <v>10.125.224.178</v>
      </c>
      <c r="G11300" s="1" t="str">
        <f>"0024S481"</f>
        <v>0024S481</v>
      </c>
      <c r="H11300" s="1" t="str">
        <f>"동보간 23L1"</f>
        <v>동보간 23L1</v>
      </c>
      <c r="I11300" s="1" t="s">
        <v>8</v>
      </c>
      <c r="J11300" s="1" t="str">
        <f>"30/38"</f>
        <v>30/38</v>
      </c>
      <c r="K11300" s="1" t="str">
        <f>"2026-07-29 13:18:01"</f>
        <v>2026-07-29 13:18:01</v>
      </c>
      <c r="L11300" s="1" t="str">
        <f>"2023-08-04 10:46:56"</f>
        <v>2023-08-04 10:46:56</v>
      </c>
      <c r="M11300" s="1" t="s">
        <v>45</v>
      </c>
      <c r="N11300" s="1" t="s">
        <v>38</v>
      </c>
      <c r="O11300" s="1" t="s">
        <v>46</v>
      </c>
    </row>
    <row r="11301" spans="2:15" x14ac:dyDescent="0.3">
      <c r="B11301" s="1" t="s">
        <v>20</v>
      </c>
      <c r="C11301" s="1" t="str">
        <f>"5-2차"</f>
        <v>5-2차</v>
      </c>
      <c r="D11301" s="1" t="str">
        <f>"0024S4925S"</f>
        <v>0024S4925S</v>
      </c>
      <c r="E11301" s="1" t="s">
        <v>10</v>
      </c>
      <c r="F11301" s="1" t="str">
        <f>"fde3:102:1301:c00:0:0:0:3"</f>
        <v>fde3:102:1301:c00:0:0:0:3</v>
      </c>
      <c r="G11301" s="1" t="str">
        <f>"0024S492"</f>
        <v>0024S492</v>
      </c>
      <c r="H11301" s="1" t="str">
        <f>"동보간 25H1R1"</f>
        <v>동보간 25H1R1</v>
      </c>
      <c r="I11301" s="1" t="s">
        <v>15</v>
      </c>
      <c r="J11301" s="1" t="str">
        <f>"1/1"</f>
        <v>1/1</v>
      </c>
      <c r="K11301" s="1" t="str">
        <f>"2026-07-29 14:20:02"</f>
        <v>2026-07-29 14:20:02</v>
      </c>
      <c r="L11301" s="1" t="str">
        <f>"2023-12-04 10:21:35"</f>
        <v>2023-12-04 10:21:35</v>
      </c>
      <c r="M11301" s="1" t="s">
        <v>45</v>
      </c>
      <c r="N11301" s="1" t="s">
        <v>38</v>
      </c>
      <c r="O11301" s="1" t="s">
        <v>46</v>
      </c>
    </row>
    <row r="11302" spans="2:15" x14ac:dyDescent="0.3">
      <c r="B11302" s="1" t="s">
        <v>20</v>
      </c>
      <c r="C11302" s="1" t="str">
        <f>"5-2차"</f>
        <v>5-2차</v>
      </c>
      <c r="D11302" s="1" t="str">
        <f>"0024S5125M"</f>
        <v>0024S5125M</v>
      </c>
      <c r="E11302" s="1" t="s">
        <v>10</v>
      </c>
      <c r="F11302" s="1" t="str">
        <f>"fde3:102:1301:302:0:0:0:8"</f>
        <v>fde3:102:1301:302:0:0:0:8</v>
      </c>
      <c r="G11302" s="1" t="str">
        <f>"0024S512"</f>
        <v>0024S512</v>
      </c>
      <c r="H11302" s="1" t="str">
        <f>"동보간 6"</f>
        <v>동보간 6</v>
      </c>
      <c r="I11302" s="1" t="s">
        <v>15</v>
      </c>
      <c r="J11302" s="1" t="str">
        <f>"72/72"</f>
        <v>72/72</v>
      </c>
      <c r="K11302" s="1" t="str">
        <f>"2026-07-29 14:20:02"</f>
        <v>2026-07-29 14:20:02</v>
      </c>
      <c r="L11302" s="1" t="str">
        <f>"2023-10-24 14:20:11"</f>
        <v>2023-10-24 14:20:11</v>
      </c>
      <c r="M11302" s="1" t="s">
        <v>45</v>
      </c>
      <c r="N11302" s="1" t="s">
        <v>38</v>
      </c>
      <c r="O11302" s="1" t="s">
        <v>46</v>
      </c>
    </row>
    <row r="11303" spans="2:15" x14ac:dyDescent="0.3">
      <c r="B11303" s="1" t="s">
        <v>20</v>
      </c>
      <c r="C11303" s="1" t="str">
        <f>"5-1차"</f>
        <v>5-1차</v>
      </c>
      <c r="D11303" s="1" t="str">
        <f>"0024S5615S"</f>
        <v>0024S5615S</v>
      </c>
      <c r="E11303" s="1" t="s">
        <v>10</v>
      </c>
      <c r="F11303" s="1" t="str">
        <f>"10.14.11.186"</f>
        <v>10.14.11.186</v>
      </c>
      <c r="G11303" s="1" t="str">
        <f>"0024S561"</f>
        <v>0024S561</v>
      </c>
      <c r="H11303" s="1" t="str">
        <f>"동보간 20L1"</f>
        <v>동보간 20L1</v>
      </c>
      <c r="I11303" s="1" t="s">
        <v>15</v>
      </c>
      <c r="J11303" s="1" t="str">
        <f>"66/67"</f>
        <v>66/67</v>
      </c>
      <c r="K11303" s="1" t="str">
        <f>"2026-07-29 14:20:04"</f>
        <v>2026-07-29 14:20:04</v>
      </c>
      <c r="L11303" s="1" t="str">
        <f>"2022-01-24 09:24:21"</f>
        <v>2022-01-24 09:24:21</v>
      </c>
      <c r="M11303" s="1" t="s">
        <v>3</v>
      </c>
      <c r="N11303" s="1" t="s">
        <v>38</v>
      </c>
      <c r="O11303" s="1" t="s">
        <v>46</v>
      </c>
    </row>
    <row r="11304" spans="2:15" x14ac:dyDescent="0.3">
      <c r="B11304" s="1" t="s">
        <v>20</v>
      </c>
      <c r="C11304" s="1" t="str">
        <f t="shared" ref="C11304:C11310" si="568">"5-2차"</f>
        <v>5-2차</v>
      </c>
      <c r="D11304" s="1" t="str">
        <f>"0024S5715M"</f>
        <v>0024S5715M</v>
      </c>
      <c r="E11304" s="1" t="s">
        <v>10</v>
      </c>
      <c r="F11304" s="1" t="str">
        <f>"fde3:102:1301:c01:0:0:0:2"</f>
        <v>fde3:102:1301:c01:0:0:0:2</v>
      </c>
      <c r="G11304" s="1" t="str">
        <f>"0024S571"</f>
        <v>0024S571</v>
      </c>
      <c r="H11304" s="1" t="str">
        <f>"동보간 21"</f>
        <v>동보간 21</v>
      </c>
      <c r="I11304" s="1" t="s">
        <v>15</v>
      </c>
      <c r="J11304" s="1" t="str">
        <f>"40/41"</f>
        <v>40/41</v>
      </c>
      <c r="K11304" s="1" t="str">
        <f>"2026-07-29 14:20:02"</f>
        <v>2026-07-29 14:20:02</v>
      </c>
      <c r="L11304" s="1" t="str">
        <f>"2023-09-07 11:08:49"</f>
        <v>2023-09-07 11:08:49</v>
      </c>
      <c r="M11304" s="1" t="s">
        <v>45</v>
      </c>
      <c r="N11304" s="1" t="s">
        <v>38</v>
      </c>
      <c r="O11304" s="1" t="s">
        <v>46</v>
      </c>
    </row>
    <row r="11305" spans="2:15" x14ac:dyDescent="0.3">
      <c r="B11305" s="1" t="s">
        <v>20</v>
      </c>
      <c r="C11305" s="1" t="str">
        <f t="shared" si="568"/>
        <v>5-2차</v>
      </c>
      <c r="D11305" s="1" t="str">
        <f>"0024S5825M"</f>
        <v>0024S5825M</v>
      </c>
      <c r="E11305" s="1" t="s">
        <v>10</v>
      </c>
      <c r="F11305" s="1" t="str">
        <f>"fde1:103:4:569a:0:0:0:2"</f>
        <v>fde1:103:4:569a:0:0:0:2</v>
      </c>
      <c r="G11305" s="1" t="str">
        <f>"0024S582"</f>
        <v>0024S582</v>
      </c>
      <c r="H11305" s="1" t="str">
        <f>"동보간 22R1"</f>
        <v>동보간 22R1</v>
      </c>
      <c r="I11305" s="1" t="s">
        <v>15</v>
      </c>
      <c r="J11305" s="1" t="str">
        <f>"32/32"</f>
        <v>32/32</v>
      </c>
      <c r="K11305" s="1" t="str">
        <f>"2026-07-29 14:20:03"</f>
        <v>2026-07-29 14:20:03</v>
      </c>
      <c r="L11305" s="1" t="str">
        <f>"2024-01-23 17:13:43"</f>
        <v>2024-01-23 17:13:43</v>
      </c>
      <c r="M11305" s="1" t="s">
        <v>4</v>
      </c>
      <c r="N11305" s="1" t="s">
        <v>38</v>
      </c>
      <c r="O11305" s="1" t="s">
        <v>46</v>
      </c>
    </row>
    <row r="11306" spans="2:15" x14ac:dyDescent="0.3">
      <c r="B11306" s="1" t="s">
        <v>20</v>
      </c>
      <c r="C11306" s="1" t="str">
        <f t="shared" si="568"/>
        <v>5-2차</v>
      </c>
      <c r="D11306" s="1" t="str">
        <f>"0024S6015S"</f>
        <v>0024S6015S</v>
      </c>
      <c r="E11306" s="1" t="s">
        <v>10</v>
      </c>
      <c r="F11306" s="1" t="str">
        <f>"fde3:102:1301:301:0:0:0:b"</f>
        <v>fde3:102:1301:301:0:0:0:b</v>
      </c>
      <c r="G11306" s="1" t="str">
        <f>"0024S601"</f>
        <v>0024S601</v>
      </c>
      <c r="H11306" s="1" t="str">
        <f>"동보간 10R4"</f>
        <v>동보간 10R4</v>
      </c>
      <c r="I11306" s="1" t="s">
        <v>15</v>
      </c>
      <c r="J11306" s="1" t="str">
        <f>"40/40"</f>
        <v>40/40</v>
      </c>
      <c r="K11306" s="1" t="str">
        <f>"2026-07-29 14:20:03"</f>
        <v>2026-07-29 14:20:03</v>
      </c>
      <c r="L11306" s="1" t="str">
        <f>"2023-10-23 16:30:11"</f>
        <v>2023-10-23 16:30:11</v>
      </c>
      <c r="M11306" s="1" t="s">
        <v>45</v>
      </c>
      <c r="N11306" s="1" t="s">
        <v>38</v>
      </c>
      <c r="O11306" s="1" t="s">
        <v>46</v>
      </c>
    </row>
    <row r="11307" spans="2:15" x14ac:dyDescent="0.3">
      <c r="B11307" s="1" t="s">
        <v>20</v>
      </c>
      <c r="C11307" s="1" t="str">
        <f t="shared" si="568"/>
        <v>5-2차</v>
      </c>
      <c r="D11307" s="1" t="str">
        <f>"0024S6115M"</f>
        <v>0024S6115M</v>
      </c>
      <c r="E11307" s="1" t="s">
        <v>14</v>
      </c>
      <c r="F11307" s="1" t="str">
        <f>"fde1:103:4:5581:0:0:0:2"</f>
        <v>fde1:103:4:5581:0:0:0:2</v>
      </c>
      <c r="G11307" s="1" t="str">
        <f>"0024S611"</f>
        <v>0024S611</v>
      </c>
      <c r="H11307" s="1" t="str">
        <f>"동보간 7"</f>
        <v>동보간 7</v>
      </c>
      <c r="I11307" s="1" t="s">
        <v>15</v>
      </c>
      <c r="J11307" s="1" t="str">
        <f>"0/0"</f>
        <v>0/0</v>
      </c>
      <c r="K11307" s="1" t="str">
        <f>"2026-07-29 14:20:03"</f>
        <v>2026-07-29 14:20:03</v>
      </c>
      <c r="L11307" s="1" t="str">
        <f>"2023-08-10 15:18:07"</f>
        <v>2023-08-10 15:18:07</v>
      </c>
      <c r="M11307" s="1" t="s">
        <v>4</v>
      </c>
      <c r="N11307" s="1" t="s">
        <v>38</v>
      </c>
      <c r="O11307" s="1" t="s">
        <v>797</v>
      </c>
    </row>
    <row r="11308" spans="2:15" x14ac:dyDescent="0.3">
      <c r="B11308" s="1" t="s">
        <v>20</v>
      </c>
      <c r="C11308" s="1" t="str">
        <f t="shared" si="568"/>
        <v>5-2차</v>
      </c>
      <c r="D11308" s="1" t="str">
        <f>"0024S6525S"</f>
        <v>0024S6525S</v>
      </c>
      <c r="E11308" s="1" t="s">
        <v>10</v>
      </c>
      <c r="F11308" s="1" t="str">
        <f>"fde1:103:4:55b7:0:0:0:2"</f>
        <v>fde1:103:4:55b7:0:0:0:2</v>
      </c>
      <c r="G11308" s="1" t="str">
        <f>"0024S652"</f>
        <v>0024S652</v>
      </c>
      <c r="H11308" s="1" t="str">
        <f>"동보간 18L2"</f>
        <v>동보간 18L2</v>
      </c>
      <c r="I11308" s="1" t="s">
        <v>15</v>
      </c>
      <c r="J11308" s="1" t="str">
        <f>"51/51"</f>
        <v>51/51</v>
      </c>
      <c r="K11308" s="1" t="str">
        <f>"2026-07-29 14:20:04"</f>
        <v>2026-07-29 14:20:04</v>
      </c>
      <c r="L11308" s="1" t="str">
        <f>"2023-08-29 11:36:11"</f>
        <v>2023-08-29 11:36:11</v>
      </c>
      <c r="M11308" s="1" t="s">
        <v>4</v>
      </c>
      <c r="N11308" s="1" t="s">
        <v>38</v>
      </c>
      <c r="O11308" s="1" t="s">
        <v>46</v>
      </c>
    </row>
    <row r="11309" spans="2:15" x14ac:dyDescent="0.3">
      <c r="B11309" s="1" t="s">
        <v>20</v>
      </c>
      <c r="C11309" s="1" t="str">
        <f t="shared" si="568"/>
        <v>5-2차</v>
      </c>
      <c r="D11309" s="1" t="str">
        <f>"0024S7015S"</f>
        <v>0024S7015S</v>
      </c>
      <c r="E11309" s="1" t="s">
        <v>10</v>
      </c>
      <c r="F11309" s="1" t="str">
        <f>"fde3:102:1301:301:0:0:0:e"</f>
        <v>fde3:102:1301:301:0:0:0:e</v>
      </c>
      <c r="G11309" s="1" t="str">
        <f>"0024S701"</f>
        <v>0024S701</v>
      </c>
      <c r="H11309" s="1" t="str">
        <f>"동보간 10R3"</f>
        <v>동보간 10R3</v>
      </c>
      <c r="I11309" s="1" t="s">
        <v>15</v>
      </c>
      <c r="J11309" s="1" t="str">
        <f>"39/39"</f>
        <v>39/39</v>
      </c>
      <c r="K11309" s="1" t="str">
        <f>"2026-07-29 14:20:04"</f>
        <v>2026-07-29 14:20:04</v>
      </c>
      <c r="L11309" s="1" t="str">
        <f>"2023-10-04 11:01:42"</f>
        <v>2023-10-04 11:01:42</v>
      </c>
      <c r="M11309" s="1" t="s">
        <v>45</v>
      </c>
      <c r="N11309" s="1" t="s">
        <v>38</v>
      </c>
      <c r="O11309" s="1" t="s">
        <v>46</v>
      </c>
    </row>
    <row r="11310" spans="2:15" x14ac:dyDescent="0.3">
      <c r="B11310" s="1" t="s">
        <v>20</v>
      </c>
      <c r="C11310" s="1" t="str">
        <f t="shared" si="568"/>
        <v>5-2차</v>
      </c>
      <c r="D11310" s="1" t="str">
        <f>"0024S7325S"</f>
        <v>0024S7325S</v>
      </c>
      <c r="E11310" s="1" t="s">
        <v>10</v>
      </c>
      <c r="F11310" s="1" t="str">
        <f>"fde3:102:1301:301:0:0:0:d"</f>
        <v>fde3:102:1301:301:0:0:0:d</v>
      </c>
      <c r="G11310" s="1" t="str">
        <f>"0024S732"</f>
        <v>0024S732</v>
      </c>
      <c r="H11310" s="1" t="str">
        <f>"동보간 8L4"</f>
        <v>동보간 8L4</v>
      </c>
      <c r="I11310" s="1" t="s">
        <v>15</v>
      </c>
      <c r="J11310" s="1" t="str">
        <f>"33/33"</f>
        <v>33/33</v>
      </c>
      <c r="K11310" s="1" t="str">
        <f>"2026-07-29 14:20:04"</f>
        <v>2026-07-29 14:20:04</v>
      </c>
      <c r="L11310" s="1" t="str">
        <f>"2023-10-23 12:34:18"</f>
        <v>2023-10-23 12:34:18</v>
      </c>
      <c r="M11310" s="1" t="s">
        <v>45</v>
      </c>
      <c r="N11310" s="1" t="s">
        <v>38</v>
      </c>
      <c r="O11310" s="1" t="s">
        <v>46</v>
      </c>
    </row>
    <row r="11311" spans="2:15" x14ac:dyDescent="0.3">
      <c r="B11311" s="1" t="s">
        <v>20</v>
      </c>
      <c r="C11311" s="1" t="str">
        <f>"5-1차"</f>
        <v>5-1차</v>
      </c>
      <c r="D11311" s="1" t="str">
        <f>"0024S7535S"</f>
        <v>0024S7535S</v>
      </c>
      <c r="E11311" s="1" t="s">
        <v>10</v>
      </c>
      <c r="F11311" s="1" t="str">
        <f>"fde3:102:1301:a00:0:0:0:4"</f>
        <v>fde3:102:1301:a00:0:0:0:4</v>
      </c>
      <c r="G11311" s="1" t="str">
        <f>"0024S753"</f>
        <v>0024S753</v>
      </c>
      <c r="H11311" s="1" t="str">
        <f>"동보간 17H1"</f>
        <v>동보간 17H1</v>
      </c>
      <c r="I11311" s="1" t="s">
        <v>15</v>
      </c>
      <c r="J11311" s="1" t="str">
        <f>"23/23"</f>
        <v>23/23</v>
      </c>
      <c r="K11311" s="1" t="str">
        <f>"2026-07-29 14:20:04"</f>
        <v>2026-07-29 14:20:04</v>
      </c>
      <c r="L11311" s="1" t="str">
        <f>"2022-11-24 10:45:50"</f>
        <v>2022-11-24 10:45:50</v>
      </c>
      <c r="M11311" s="1" t="s">
        <v>45</v>
      </c>
      <c r="N11311" s="1" t="s">
        <v>38</v>
      </c>
      <c r="O11311" s="1" t="s">
        <v>46</v>
      </c>
    </row>
    <row r="11312" spans="2:15" x14ac:dyDescent="0.3">
      <c r="B11312" s="1" t="s">
        <v>20</v>
      </c>
      <c r="C11312" s="1" t="str">
        <f>"5-2차"</f>
        <v>5-2차</v>
      </c>
      <c r="D11312" s="1" t="str">
        <f>"0024S7545M"</f>
        <v>0024S7545M</v>
      </c>
      <c r="E11312" s="1" t="s">
        <v>10</v>
      </c>
      <c r="F11312" s="1" t="str">
        <f>"fde3:102:1301:a00:0:0:0:10"</f>
        <v>fde3:102:1301:a00:0:0:0:10</v>
      </c>
      <c r="G11312" s="1" t="str">
        <f>"0024S754"</f>
        <v>0024S754</v>
      </c>
      <c r="H11312" s="1" t="str">
        <f>"동보간 17"</f>
        <v>동보간 17</v>
      </c>
      <c r="I11312" s="1" t="s">
        <v>15</v>
      </c>
      <c r="J11312" s="1" t="str">
        <f>"11/12"</f>
        <v>11/12</v>
      </c>
      <c r="K11312" s="1" t="str">
        <f>"2026-07-29 14:20:04"</f>
        <v>2026-07-29 14:20:04</v>
      </c>
      <c r="L11312" s="1" t="str">
        <f>"2024-02-27 16:57:52"</f>
        <v>2024-02-27 16:57:52</v>
      </c>
      <c r="M11312" s="1" t="s">
        <v>45</v>
      </c>
      <c r="N11312" s="1" t="s">
        <v>38</v>
      </c>
      <c r="O11312" s="1" t="s">
        <v>46</v>
      </c>
    </row>
    <row r="11313" spans="2:15" x14ac:dyDescent="0.3">
      <c r="B11313" s="1" t="s">
        <v>20</v>
      </c>
      <c r="C11313" s="1" t="str">
        <f>"4차"</f>
        <v>4차</v>
      </c>
      <c r="D11313" s="1" t="str">
        <f>"0024S81144"</f>
        <v>0024S81144</v>
      </c>
      <c r="E11313" s="1" t="s">
        <v>10</v>
      </c>
      <c r="F11313" s="1" t="str">
        <f>"10.125.224.146"</f>
        <v>10.125.224.146</v>
      </c>
      <c r="G11313" s="1" t="str">
        <f>"0024S811"</f>
        <v>0024S811</v>
      </c>
      <c r="H11313" s="1" t="str">
        <f>"동보간 9"</f>
        <v>동보간 9</v>
      </c>
      <c r="I11313" s="1" t="s">
        <v>8</v>
      </c>
      <c r="J11313" s="1" t="str">
        <f>"30/32"</f>
        <v>30/32</v>
      </c>
      <c r="K11313" s="1" t="str">
        <f>"2026-07-29 13:18:01"</f>
        <v>2026-07-29 13:18:01</v>
      </c>
      <c r="L11313" s="1" t="str">
        <f>"2023-10-17 17:37:23"</f>
        <v>2023-10-17 17:37:23</v>
      </c>
      <c r="M11313" s="1" t="s">
        <v>45</v>
      </c>
      <c r="N11313" s="1" t="s">
        <v>38</v>
      </c>
      <c r="O11313" s="1" t="s">
        <v>46</v>
      </c>
    </row>
    <row r="11314" spans="2:15" x14ac:dyDescent="0.3">
      <c r="B11314" s="1" t="s">
        <v>20</v>
      </c>
      <c r="C11314" s="1" t="str">
        <f>"5-2차"</f>
        <v>5-2차</v>
      </c>
      <c r="D11314" s="1" t="str">
        <f>"0024S8125S"</f>
        <v>0024S8125S</v>
      </c>
      <c r="E11314" s="1" t="s">
        <v>10</v>
      </c>
      <c r="F11314" s="1" t="str">
        <f>"fde3:102:1301:301:0:0:0:9"</f>
        <v>fde3:102:1301:301:0:0:0:9</v>
      </c>
      <c r="G11314" s="1" t="str">
        <f>"0024S812"</f>
        <v>0024S812</v>
      </c>
      <c r="H11314" s="1" t="str">
        <f>"동보간 10R2L1"</f>
        <v>동보간 10R2L1</v>
      </c>
      <c r="I11314" s="1" t="s">
        <v>15</v>
      </c>
      <c r="J11314" s="1" t="str">
        <f>"40/40"</f>
        <v>40/40</v>
      </c>
      <c r="K11314" s="1" t="str">
        <f>"2026-07-29 14:20:04"</f>
        <v>2026-07-29 14:20:04</v>
      </c>
      <c r="L11314" s="1" t="str">
        <f>"2023-10-24 10:21:54"</f>
        <v>2023-10-24 10:21:54</v>
      </c>
      <c r="M11314" s="1" t="s">
        <v>45</v>
      </c>
      <c r="N11314" s="1" t="s">
        <v>38</v>
      </c>
      <c r="O11314" s="1" t="s">
        <v>46</v>
      </c>
    </row>
    <row r="11315" spans="2:15" x14ac:dyDescent="0.3">
      <c r="B11315" s="1" t="s">
        <v>20</v>
      </c>
      <c r="C11315" s="1" t="str">
        <f>"1차"</f>
        <v>1차</v>
      </c>
      <c r="D11315" s="1" t="str">
        <f>"0024S91401"</f>
        <v>0024S91401</v>
      </c>
      <c r="E11315" s="1" t="s">
        <v>14</v>
      </c>
      <c r="F11315" s="1" t="str">
        <f>"10.12.138.136"</f>
        <v>10.12.138.136</v>
      </c>
      <c r="G11315" s="1" t="str">
        <f>"0024S914"</f>
        <v>0024S914</v>
      </c>
      <c r="H11315" s="1" t="str">
        <f>"동보간 10R1AL1"</f>
        <v>동보간 10R1AL1</v>
      </c>
      <c r="I11315" s="1" t="s">
        <v>8</v>
      </c>
      <c r="J11315" s="1" t="str">
        <f>"0/0"</f>
        <v>0/0</v>
      </c>
      <c r="K11315" s="1" t="str">
        <f>"2024-07-15 09:20:03"</f>
        <v>2024-07-15 09:20:03</v>
      </c>
      <c r="L11315" s="1" t="str">
        <f>"2014-10-16 17:56:41"</f>
        <v>2014-10-16 17:56:41</v>
      </c>
      <c r="M11315" s="1" t="s">
        <v>0</v>
      </c>
      <c r="N11315" s="1" t="s">
        <v>39</v>
      </c>
      <c r="O11315" s="1" t="s">
        <v>46</v>
      </c>
    </row>
    <row r="11316" spans="2:15" x14ac:dyDescent="0.3">
      <c r="B11316" s="1" t="s">
        <v>20</v>
      </c>
      <c r="C11316" s="1" t="str">
        <f>"1차"</f>
        <v>1차</v>
      </c>
      <c r="D11316" s="1" t="str">
        <f>"0024W09201"</f>
        <v>0024W09201</v>
      </c>
      <c r="E11316" s="1" t="s">
        <v>10</v>
      </c>
      <c r="F11316" s="1" t="str">
        <f>"10.12.135.69"</f>
        <v>10.12.135.69</v>
      </c>
      <c r="G11316" s="1" t="str">
        <f>"0024W092"</f>
        <v>0024W092</v>
      </c>
      <c r="H11316" s="1" t="str">
        <f>"백제간 25R2L1"</f>
        <v>백제간 25R2L1</v>
      </c>
      <c r="I11316" s="1" t="s">
        <v>8</v>
      </c>
      <c r="J11316" s="1" t="str">
        <f>"21/22"</f>
        <v>21/22</v>
      </c>
      <c r="K11316" s="1" t="str">
        <f>"2026-07-29 13:18:01"</f>
        <v>2026-07-29 13:18:01</v>
      </c>
      <c r="L11316" s="1" t="str">
        <f>"2014-11-19 14:21:58"</f>
        <v>2014-11-19 14:21:58</v>
      </c>
      <c r="M11316" s="1" t="s">
        <v>0</v>
      </c>
      <c r="N11316" s="1" t="s">
        <v>38</v>
      </c>
      <c r="O11316" s="1" t="s">
        <v>46</v>
      </c>
    </row>
    <row r="11317" spans="2:15" x14ac:dyDescent="0.3">
      <c r="B11317" s="1" t="s">
        <v>20</v>
      </c>
      <c r="C11317" s="1" t="str">
        <f>"4차"</f>
        <v>4차</v>
      </c>
      <c r="D11317" s="1" t="str">
        <f>"0024W17241"</f>
        <v>0024W17241</v>
      </c>
      <c r="E11317" s="1" t="s">
        <v>14</v>
      </c>
      <c r="F11317" s="1" t="str">
        <f>"10.14.8.49"</f>
        <v>10.14.8.49</v>
      </c>
      <c r="G11317" s="1" t="str">
        <f>"0024W172"</f>
        <v>0024W172</v>
      </c>
      <c r="H11317" s="1" t="str">
        <f>"백제간 25L2"</f>
        <v>백제간 25L2</v>
      </c>
      <c r="I11317" s="1" t="s">
        <v>17</v>
      </c>
      <c r="J11317" s="1" t="str">
        <f>"0/0"</f>
        <v>0/0</v>
      </c>
      <c r="K11317" s="1" t="str">
        <f>"2026-07-29 13:18:01"</f>
        <v>2026-07-29 13:18:01</v>
      </c>
      <c r="L11317" s="1" t="str">
        <f>"2021-08-13 12:00:16"</f>
        <v>2021-08-13 12:00:16</v>
      </c>
      <c r="M11317" s="1" t="s">
        <v>3</v>
      </c>
      <c r="N11317" s="1" t="s">
        <v>38</v>
      </c>
      <c r="O11317" s="1" t="s">
        <v>44</v>
      </c>
    </row>
    <row r="11318" spans="2:15" x14ac:dyDescent="0.3">
      <c r="B11318" s="1" t="s">
        <v>20</v>
      </c>
      <c r="C11318" s="1" t="str">
        <f>"1차"</f>
        <v>1차</v>
      </c>
      <c r="D11318" s="1" t="str">
        <f>"0024W17300"</f>
        <v>0024W17300</v>
      </c>
      <c r="E11318" s="1" t="s">
        <v>10</v>
      </c>
      <c r="F11318" s="1" t="str">
        <f>"10.125.228.154"</f>
        <v>10.125.228.154</v>
      </c>
      <c r="G11318" s="1" t="str">
        <f>"0024W173"</f>
        <v>0024W173</v>
      </c>
      <c r="H11318" s="1" t="str">
        <f>"백제간 25L2L1"</f>
        <v>백제간 25L2L1</v>
      </c>
      <c r="I11318" s="1" t="s">
        <v>8</v>
      </c>
      <c r="J11318" s="1" t="str">
        <f>"24/24"</f>
        <v>24/24</v>
      </c>
      <c r="K11318" s="1" t="str">
        <f>"2026-07-29 13:18:01"</f>
        <v>2026-07-29 13:18:01</v>
      </c>
      <c r="L11318" s="1" t="str">
        <f>"2014-11-19 15:43:21"</f>
        <v>2014-11-19 15:43:21</v>
      </c>
      <c r="M11318" s="1" t="s">
        <v>45</v>
      </c>
      <c r="N11318" s="1" t="s">
        <v>38</v>
      </c>
      <c r="O11318" s="1" t="s">
        <v>46</v>
      </c>
    </row>
    <row r="11319" spans="2:15" x14ac:dyDescent="0.3">
      <c r="B11319" s="1" t="s">
        <v>20</v>
      </c>
      <c r="C11319" s="1" t="str">
        <f>"4차"</f>
        <v>4차</v>
      </c>
      <c r="D11319" s="1" t="str">
        <f>"0024W36141"</f>
        <v>0024W36141</v>
      </c>
      <c r="E11319" s="1" t="s">
        <v>10</v>
      </c>
      <c r="F11319" s="1" t="str">
        <f>"10.14.3.113"</f>
        <v>10.14.3.113</v>
      </c>
      <c r="G11319" s="1" t="str">
        <f>"0024W361"</f>
        <v>0024W361</v>
      </c>
      <c r="H11319" s="1" t="str">
        <f>"백제간 22L3"</f>
        <v>백제간 22L3</v>
      </c>
      <c r="I11319" s="1" t="s">
        <v>17</v>
      </c>
      <c r="J11319" s="1" t="str">
        <f>"17/20"</f>
        <v>17/20</v>
      </c>
      <c r="K11319" s="1" t="str">
        <f>"2026-07-29 13:18:01"</f>
        <v>2026-07-29 13:18:01</v>
      </c>
      <c r="L11319" s="1" t="str">
        <f>"2021-08-13 12:37:27"</f>
        <v>2021-08-13 12:37:27</v>
      </c>
      <c r="M11319" s="1" t="s">
        <v>3</v>
      </c>
      <c r="N11319" s="1" t="s">
        <v>38</v>
      </c>
      <c r="O11319" s="1" t="s">
        <v>46</v>
      </c>
    </row>
    <row r="11320" spans="2:15" x14ac:dyDescent="0.3">
      <c r="B11320" s="1" t="s">
        <v>20</v>
      </c>
      <c r="C11320" s="1" t="str">
        <f>"6차"</f>
        <v>6차</v>
      </c>
      <c r="D11320" s="1" t="str">
        <f>"0024W3716S"</f>
        <v>0024W3716S</v>
      </c>
      <c r="E11320" s="1" t="s">
        <v>10</v>
      </c>
      <c r="F11320" s="1" t="str">
        <f>"fde1:103:4:91ba:0:0:0:2"</f>
        <v>fde1:103:4:91ba:0:0:0:2</v>
      </c>
      <c r="G11320" s="1" t="str">
        <f>"0024W371"</f>
        <v>0024W371</v>
      </c>
      <c r="H11320" s="1" t="str">
        <f>"백제간 22L1"</f>
        <v>백제간 22L1</v>
      </c>
      <c r="I11320" s="1" t="s">
        <v>15</v>
      </c>
      <c r="J11320" s="1" t="str">
        <f>"31/31"</f>
        <v>31/31</v>
      </c>
      <c r="K11320" s="1" t="str">
        <f>"2026-07-29 14:20:04"</f>
        <v>2026-07-29 14:20:04</v>
      </c>
      <c r="L11320" s="1" t="str">
        <f>"2025-02-05 16:31:08"</f>
        <v>2025-02-05 16:31:08</v>
      </c>
      <c r="M11320" s="1" t="s">
        <v>4</v>
      </c>
      <c r="N11320" s="1" t="s">
        <v>38</v>
      </c>
      <c r="O11320" s="1" t="s">
        <v>46</v>
      </c>
    </row>
    <row r="11321" spans="2:15" x14ac:dyDescent="0.3">
      <c r="B11321" s="1" t="s">
        <v>20</v>
      </c>
      <c r="C11321" s="1" t="str">
        <f>"1차"</f>
        <v>1차</v>
      </c>
      <c r="D11321" s="1" t="str">
        <f>"0024W39100"</f>
        <v>0024W39100</v>
      </c>
      <c r="E11321" s="1" t="s">
        <v>10</v>
      </c>
      <c r="F11321" s="1" t="str">
        <f>"10.125.228.218"</f>
        <v>10.125.228.218</v>
      </c>
      <c r="G11321" s="1" t="str">
        <f>"0024W391"</f>
        <v>0024W391</v>
      </c>
      <c r="H11321" s="1" t="str">
        <f>"백제간 22R2"</f>
        <v>백제간 22R2</v>
      </c>
      <c r="I11321" s="1" t="s">
        <v>8</v>
      </c>
      <c r="J11321" s="1" t="str">
        <f>"32/32"</f>
        <v>32/32</v>
      </c>
      <c r="K11321" s="1" t="str">
        <f t="shared" ref="K11321:K11326" si="569">"2026-07-29 13:18:01"</f>
        <v>2026-07-29 13:18:01</v>
      </c>
      <c r="L11321" s="1" t="str">
        <f>"2014-11-24 10:23:47"</f>
        <v>2014-11-24 10:23:47</v>
      </c>
      <c r="M11321" s="1" t="s">
        <v>45</v>
      </c>
      <c r="N11321" s="1" t="s">
        <v>38</v>
      </c>
      <c r="O11321" s="1" t="s">
        <v>46</v>
      </c>
    </row>
    <row r="11322" spans="2:15" x14ac:dyDescent="0.3">
      <c r="B11322" s="1" t="s">
        <v>20</v>
      </c>
      <c r="C11322" s="1" t="str">
        <f>"1차"</f>
        <v>1차</v>
      </c>
      <c r="D11322" s="1" t="str">
        <f>"0024W49100"</f>
        <v>0024W49100</v>
      </c>
      <c r="E11322" s="1" t="s">
        <v>10</v>
      </c>
      <c r="F11322" s="1" t="str">
        <f>"10.125.228.178"</f>
        <v>10.125.228.178</v>
      </c>
      <c r="G11322" s="1" t="str">
        <f>"0024W491"</f>
        <v>0024W491</v>
      </c>
      <c r="H11322" s="1" t="str">
        <f>"백제간 22R2R2"</f>
        <v>백제간 22R2R2</v>
      </c>
      <c r="I11322" s="1" t="s">
        <v>8</v>
      </c>
      <c r="J11322" s="1" t="str">
        <f>"15/15"</f>
        <v>15/15</v>
      </c>
      <c r="K11322" s="1" t="str">
        <f t="shared" si="569"/>
        <v>2026-07-29 13:18:01</v>
      </c>
      <c r="L11322" s="1" t="str">
        <f>"2014-11-24 10:52:31"</f>
        <v>2014-11-24 10:52:31</v>
      </c>
      <c r="M11322" s="1" t="s">
        <v>45</v>
      </c>
      <c r="N11322" s="1" t="s">
        <v>38</v>
      </c>
      <c r="O11322" s="1" t="s">
        <v>46</v>
      </c>
    </row>
    <row r="11323" spans="2:15" x14ac:dyDescent="0.3">
      <c r="B11323" s="1" t="s">
        <v>20</v>
      </c>
      <c r="C11323" s="1" t="str">
        <f>"3차"</f>
        <v>3차</v>
      </c>
      <c r="D11323" s="1" t="str">
        <f>"0024W58439"</f>
        <v>0024W58439</v>
      </c>
      <c r="E11323" s="1" t="s">
        <v>10</v>
      </c>
      <c r="F11323" s="1" t="str">
        <f>"10.10.27.170"</f>
        <v>10.10.27.170</v>
      </c>
      <c r="G11323" s="1" t="str">
        <f>"0024W584"</f>
        <v>0024W584</v>
      </c>
      <c r="H11323" s="1" t="str">
        <f>"백제간 19R1"</f>
        <v>백제간 19R1</v>
      </c>
      <c r="I11323" s="1" t="s">
        <v>8</v>
      </c>
      <c r="J11323" s="1" t="str">
        <f>"10/10"</f>
        <v>10/10</v>
      </c>
      <c r="K11323" s="1" t="str">
        <f t="shared" si="569"/>
        <v>2026-07-29 13:18:01</v>
      </c>
      <c r="L11323" s="1" t="str">
        <f>"2018-02-27 19:33:29"</f>
        <v>2018-02-27 19:33:29</v>
      </c>
      <c r="M11323" s="1" t="s">
        <v>1</v>
      </c>
      <c r="N11323" s="1" t="s">
        <v>38</v>
      </c>
      <c r="O11323" s="1" t="s">
        <v>46</v>
      </c>
    </row>
    <row r="11324" spans="2:15" x14ac:dyDescent="0.3">
      <c r="B11324" s="1" t="s">
        <v>20</v>
      </c>
      <c r="C11324" s="1" t="str">
        <f>"1차"</f>
        <v>1차</v>
      </c>
      <c r="D11324" s="1" t="str">
        <f>"0024W67100"</f>
        <v>0024W67100</v>
      </c>
      <c r="E11324" s="1" t="s">
        <v>10</v>
      </c>
      <c r="F11324" s="1" t="str">
        <f>"10.125.228.122"</f>
        <v>10.125.228.122</v>
      </c>
      <c r="G11324" s="1" t="str">
        <f>"0024W671"</f>
        <v>0024W671</v>
      </c>
      <c r="H11324" s="1" t="str">
        <f>"백제간 11L5L2"</f>
        <v>백제간 11L5L2</v>
      </c>
      <c r="I11324" s="1" t="s">
        <v>8</v>
      </c>
      <c r="J11324" s="1" t="str">
        <f>"2/2"</f>
        <v>2/2</v>
      </c>
      <c r="K11324" s="1" t="str">
        <f t="shared" si="569"/>
        <v>2026-07-29 13:18:01</v>
      </c>
      <c r="L11324" s="1" t="str">
        <f>"2014-10-16 17:11:48"</f>
        <v>2014-10-16 17:11:48</v>
      </c>
      <c r="M11324" s="1" t="s">
        <v>45</v>
      </c>
      <c r="N11324" s="1" t="s">
        <v>38</v>
      </c>
      <c r="O11324" s="1" t="s">
        <v>46</v>
      </c>
    </row>
    <row r="11325" spans="2:15" x14ac:dyDescent="0.3">
      <c r="B11325" s="1" t="s">
        <v>20</v>
      </c>
      <c r="C11325" s="1" t="str">
        <f>"4차"</f>
        <v>4차</v>
      </c>
      <c r="D11325" s="1" t="str">
        <f>"0024W89139"</f>
        <v>0024W89139</v>
      </c>
      <c r="E11325" s="1" t="s">
        <v>10</v>
      </c>
      <c r="F11325" s="1" t="str">
        <f>"10.10.25.26"</f>
        <v>10.10.25.26</v>
      </c>
      <c r="G11325" s="1" t="str">
        <f>"0024W891"</f>
        <v>0024W891</v>
      </c>
      <c r="H11325" s="1" t="str">
        <f>"백제간 14R2"</f>
        <v>백제간 14R2</v>
      </c>
      <c r="I11325" s="1" t="s">
        <v>8</v>
      </c>
      <c r="J11325" s="1" t="str">
        <f>"2/2"</f>
        <v>2/2</v>
      </c>
      <c r="K11325" s="1" t="str">
        <f t="shared" si="569"/>
        <v>2026-07-29 13:18:01</v>
      </c>
      <c r="L11325" s="1" t="str">
        <f>"2018-02-14 11:28:40"</f>
        <v>2018-02-14 11:28:40</v>
      </c>
      <c r="M11325" s="1" t="s">
        <v>1</v>
      </c>
      <c r="N11325" s="1" t="s">
        <v>38</v>
      </c>
      <c r="O11325" s="1" t="s">
        <v>46</v>
      </c>
    </row>
    <row r="11326" spans="2:15" x14ac:dyDescent="0.3">
      <c r="B11326" s="1" t="s">
        <v>20</v>
      </c>
      <c r="C11326" s="1" t="str">
        <f>"4차"</f>
        <v>4차</v>
      </c>
      <c r="D11326" s="1" t="str">
        <f>"0024W89239"</f>
        <v>0024W89239</v>
      </c>
      <c r="E11326" s="1" t="s">
        <v>10</v>
      </c>
      <c r="F11326" s="1" t="str">
        <f>"10.10.25.42"</f>
        <v>10.10.25.42</v>
      </c>
      <c r="G11326" s="1" t="str">
        <f>"0024W892"</f>
        <v>0024W892</v>
      </c>
      <c r="H11326" s="1" t="str">
        <f>"백제간 14R3"</f>
        <v>백제간 14R3</v>
      </c>
      <c r="I11326" s="1" t="s">
        <v>8</v>
      </c>
      <c r="J11326" s="1" t="str">
        <f>"16/16"</f>
        <v>16/16</v>
      </c>
      <c r="K11326" s="1" t="str">
        <f t="shared" si="569"/>
        <v>2026-07-29 13:18:01</v>
      </c>
      <c r="L11326" s="1" t="str">
        <f>"2018-02-14 11:31:25"</f>
        <v>2018-02-14 11:31:25</v>
      </c>
      <c r="M11326" s="1" t="s">
        <v>1</v>
      </c>
      <c r="N11326" s="1" t="s">
        <v>38</v>
      </c>
      <c r="O11326" s="1" t="s">
        <v>46</v>
      </c>
    </row>
    <row r="11327" spans="2:15" x14ac:dyDescent="0.3">
      <c r="B11327" s="1" t="s">
        <v>20</v>
      </c>
      <c r="C11327" s="1" t="str">
        <f>"1차"</f>
        <v>1차</v>
      </c>
      <c r="D11327" s="1" t="str">
        <f>"0024W92200"</f>
        <v>0024W92200</v>
      </c>
      <c r="E11327" s="1" t="s">
        <v>14</v>
      </c>
      <c r="F11327" s="1" t="str">
        <f>"10.125.228.98"</f>
        <v>10.125.228.98</v>
      </c>
      <c r="G11327" s="1" t="str">
        <f>"0024W922"</f>
        <v>0024W922</v>
      </c>
      <c r="H11327" s="1" t="str">
        <f>"백제간 5"</f>
        <v>백제간 5</v>
      </c>
      <c r="I11327" s="1" t="s">
        <v>8</v>
      </c>
      <c r="J11327" s="1" t="str">
        <f>"0/0"</f>
        <v>0/0</v>
      </c>
      <c r="K11327" s="1" t="str">
        <f>"2026-03-10 13:18:00"</f>
        <v>2026-03-10 13:18:00</v>
      </c>
      <c r="L11327" s="1" t="str">
        <f>"2014-11-19 17:01:19"</f>
        <v>2014-11-19 17:01:19</v>
      </c>
      <c r="M11327" s="1" t="s">
        <v>45</v>
      </c>
      <c r="N11327" s="1" t="s">
        <v>44</v>
      </c>
      <c r="O11327" s="1" t="s">
        <v>44</v>
      </c>
    </row>
    <row r="11328" spans="2:15" x14ac:dyDescent="0.3">
      <c r="B11328" s="1" t="s">
        <v>20</v>
      </c>
      <c r="C11328" s="1" t="str">
        <f>"4차"</f>
        <v>4차</v>
      </c>
      <c r="D11328" s="1" t="str">
        <f>"0024W94139"</f>
        <v>0024W94139</v>
      </c>
      <c r="E11328" s="1" t="s">
        <v>10</v>
      </c>
      <c r="F11328" s="1" t="str">
        <f>"10.10.25.82"</f>
        <v>10.10.25.82</v>
      </c>
      <c r="G11328" s="1" t="str">
        <f>"0024W941"</f>
        <v>0024W941</v>
      </c>
      <c r="H11328" s="1" t="str">
        <f>"백제간 9R1"</f>
        <v>백제간 9R1</v>
      </c>
      <c r="I11328" s="1" t="s">
        <v>8</v>
      </c>
      <c r="J11328" s="1" t="str">
        <f>"9/11"</f>
        <v>9/11</v>
      </c>
      <c r="K11328" s="1" t="str">
        <f>"2026-07-29 13:18:01"</f>
        <v>2026-07-29 13:18:01</v>
      </c>
      <c r="L11328" s="1" t="str">
        <f>"2018-02-27 19:25:15"</f>
        <v>2018-02-27 19:25:15</v>
      </c>
      <c r="M11328" s="1" t="s">
        <v>1</v>
      </c>
      <c r="N11328" s="1" t="s">
        <v>38</v>
      </c>
      <c r="O11328" s="1" t="s">
        <v>46</v>
      </c>
    </row>
    <row r="11329" spans="2:15" x14ac:dyDescent="0.3">
      <c r="B11329" s="1" t="s">
        <v>20</v>
      </c>
      <c r="C11329" s="1" t="str">
        <f>"6차"</f>
        <v>6차</v>
      </c>
      <c r="D11329" s="1" t="str">
        <f>"0024W9636S"</f>
        <v>0024W9636S</v>
      </c>
      <c r="E11329" s="1" t="s">
        <v>10</v>
      </c>
      <c r="F11329" s="1" t="str">
        <f>"fde1:103:4:c659:0:0:0:2"</f>
        <v>fde1:103:4:c659:0:0:0:2</v>
      </c>
      <c r="G11329" s="1" t="str">
        <f>"0024W963"</f>
        <v>0024W963</v>
      </c>
      <c r="H11329" s="1" t="str">
        <f>"백제간 14AR3R3"</f>
        <v>백제간 14AR3R3</v>
      </c>
      <c r="I11329" s="1" t="s">
        <v>15</v>
      </c>
      <c r="J11329" s="1" t="str">
        <f>"14/14"</f>
        <v>14/14</v>
      </c>
      <c r="K11329" s="1" t="str">
        <f>"2026-07-29 14:20:04"</f>
        <v>2026-07-29 14:20:04</v>
      </c>
      <c r="L11329" s="1" t="str">
        <f>"2024-11-08 14:08:44"</f>
        <v>2024-11-08 14:08:44</v>
      </c>
      <c r="M11329" s="1" t="s">
        <v>4</v>
      </c>
      <c r="N11329" s="1" t="s">
        <v>38</v>
      </c>
      <c r="O11329" s="1" t="s">
        <v>46</v>
      </c>
    </row>
    <row r="11330" spans="2:15" x14ac:dyDescent="0.3">
      <c r="B11330" s="1" t="s">
        <v>20</v>
      </c>
      <c r="C11330" s="1" t="str">
        <f t="shared" ref="C11330:C11338" si="570">"3차"</f>
        <v>3차</v>
      </c>
      <c r="D11330" s="1" t="str">
        <f>"0024W99339"</f>
        <v>0024W99339</v>
      </c>
      <c r="E11330" s="1" t="s">
        <v>10</v>
      </c>
      <c r="F11330" s="1" t="str">
        <f>"10.10.40.202"</f>
        <v>10.10.40.202</v>
      </c>
      <c r="G11330" s="1" t="str">
        <f>"0024W993"</f>
        <v>0024W993</v>
      </c>
      <c r="H11330" s="1" t="str">
        <f>"백제간 14R3R1"</f>
        <v>백제간 14R3R1</v>
      </c>
      <c r="I11330" s="1" t="s">
        <v>8</v>
      </c>
      <c r="J11330" s="1" t="str">
        <f>"35/36"</f>
        <v>35/36</v>
      </c>
      <c r="K11330" s="1" t="str">
        <f t="shared" ref="K11330:K11335" si="571">"2026-07-29 13:18:01"</f>
        <v>2026-07-29 13:18:01</v>
      </c>
      <c r="L11330" s="1" t="str">
        <f>"2018-02-14 12:49:26"</f>
        <v>2018-02-14 12:49:26</v>
      </c>
      <c r="M11330" s="1" t="s">
        <v>1</v>
      </c>
      <c r="N11330" s="1" t="s">
        <v>38</v>
      </c>
      <c r="O11330" s="1" t="s">
        <v>46</v>
      </c>
    </row>
    <row r="11331" spans="2:15" x14ac:dyDescent="0.3">
      <c r="B11331" s="1" t="s">
        <v>20</v>
      </c>
      <c r="C11331" s="1" t="str">
        <f t="shared" si="570"/>
        <v>3차</v>
      </c>
      <c r="D11331" s="1" t="str">
        <f>"0024X07330"</f>
        <v>0024X07330</v>
      </c>
      <c r="E11331" s="1" t="s">
        <v>10</v>
      </c>
      <c r="F11331" s="1" t="str">
        <f>"10.10.25.18"</f>
        <v>10.10.25.18</v>
      </c>
      <c r="G11331" s="1" t="str">
        <f>"0024X073"</f>
        <v>0024X073</v>
      </c>
      <c r="H11331" s="1" t="str">
        <f>"백제간 14AR3"</f>
        <v>백제간 14AR3</v>
      </c>
      <c r="I11331" s="1" t="s">
        <v>8</v>
      </c>
      <c r="J11331" s="1" t="str">
        <f>"5/5"</f>
        <v>5/5</v>
      </c>
      <c r="K11331" s="1" t="str">
        <f t="shared" si="571"/>
        <v>2026-07-29 13:18:01</v>
      </c>
      <c r="L11331" s="1" t="str">
        <f>"2018-05-11 19:25:17"</f>
        <v>2018-05-11 19:25:17</v>
      </c>
      <c r="M11331" s="1" t="s">
        <v>1</v>
      </c>
      <c r="N11331" s="1" t="s">
        <v>38</v>
      </c>
      <c r="O11331" s="1" t="s">
        <v>46</v>
      </c>
    </row>
    <row r="11332" spans="2:15" x14ac:dyDescent="0.3">
      <c r="B11332" s="1" t="s">
        <v>20</v>
      </c>
      <c r="C11332" s="1" t="str">
        <f t="shared" si="570"/>
        <v>3차</v>
      </c>
      <c r="D11332" s="1" t="str">
        <f>"0024X22339"</f>
        <v>0024X22339</v>
      </c>
      <c r="E11332" s="1" t="s">
        <v>10</v>
      </c>
      <c r="F11332" s="1" t="str">
        <f>"10.10.25.106"</f>
        <v>10.10.25.106</v>
      </c>
      <c r="G11332" s="1" t="str">
        <f>"0024X223"</f>
        <v>0024X223</v>
      </c>
      <c r="H11332" s="1" t="str">
        <f>"보광간 45R1"</f>
        <v>보광간 45R1</v>
      </c>
      <c r="I11332" s="1" t="s">
        <v>8</v>
      </c>
      <c r="J11332" s="1" t="str">
        <f>"29/29"</f>
        <v>29/29</v>
      </c>
      <c r="K11332" s="1" t="str">
        <f t="shared" si="571"/>
        <v>2026-07-29 13:18:01</v>
      </c>
      <c r="L11332" s="1" t="str">
        <f>"2018-02-27 19:24:15"</f>
        <v>2018-02-27 19:24:15</v>
      </c>
      <c r="M11332" s="1" t="s">
        <v>1</v>
      </c>
      <c r="N11332" s="1" t="s">
        <v>38</v>
      </c>
      <c r="O11332" s="1" t="s">
        <v>46</v>
      </c>
    </row>
    <row r="11333" spans="2:15" x14ac:dyDescent="0.3">
      <c r="B11333" s="1" t="s">
        <v>20</v>
      </c>
      <c r="C11333" s="1" t="str">
        <f t="shared" si="570"/>
        <v>3차</v>
      </c>
      <c r="D11333" s="1" t="str">
        <f>"0024X22739"</f>
        <v>0024X22739</v>
      </c>
      <c r="E11333" s="1" t="s">
        <v>10</v>
      </c>
      <c r="F11333" s="1" t="str">
        <f>"10.10.41.10"</f>
        <v>10.10.41.10</v>
      </c>
      <c r="G11333" s="1" t="str">
        <f>"0024X227"</f>
        <v>0024X227</v>
      </c>
      <c r="H11333" s="1" t="str">
        <f>"보광간 46"</f>
        <v>보광간 46</v>
      </c>
      <c r="I11333" s="1" t="s">
        <v>8</v>
      </c>
      <c r="J11333" s="1" t="str">
        <f>"12/12"</f>
        <v>12/12</v>
      </c>
      <c r="K11333" s="1" t="str">
        <f t="shared" si="571"/>
        <v>2026-07-29 13:18:01</v>
      </c>
      <c r="L11333" s="1" t="str">
        <f>"2018-02-28 00:57:19"</f>
        <v>2018-02-28 00:57:19</v>
      </c>
      <c r="M11333" s="1" t="s">
        <v>1</v>
      </c>
      <c r="N11333" s="1" t="s">
        <v>38</v>
      </c>
      <c r="O11333" s="1" t="s">
        <v>46</v>
      </c>
    </row>
    <row r="11334" spans="2:15" x14ac:dyDescent="0.3">
      <c r="B11334" s="1" t="s">
        <v>20</v>
      </c>
      <c r="C11334" s="1" t="str">
        <f t="shared" si="570"/>
        <v>3차</v>
      </c>
      <c r="D11334" s="1" t="str">
        <f>"0024X23339"</f>
        <v>0024X23339</v>
      </c>
      <c r="E11334" s="1" t="s">
        <v>10</v>
      </c>
      <c r="F11334" s="1" t="str">
        <f>"10.10.39.146"</f>
        <v>10.10.39.146</v>
      </c>
      <c r="G11334" s="1" t="str">
        <f>"0024X233"</f>
        <v>0024X233</v>
      </c>
      <c r="H11334" s="1" t="str">
        <f>"보광간 46L1"</f>
        <v>보광간 46L1</v>
      </c>
      <c r="I11334" s="1" t="s">
        <v>8</v>
      </c>
      <c r="J11334" s="1" t="str">
        <f>"26/26"</f>
        <v>26/26</v>
      </c>
      <c r="K11334" s="1" t="str">
        <f t="shared" si="571"/>
        <v>2026-07-29 13:18:01</v>
      </c>
      <c r="L11334" s="1" t="str">
        <f>"2018-02-28 00:48:18"</f>
        <v>2018-02-28 00:48:18</v>
      </c>
      <c r="M11334" s="1" t="s">
        <v>1</v>
      </c>
      <c r="N11334" s="1" t="s">
        <v>38</v>
      </c>
      <c r="O11334" s="1" t="s">
        <v>46</v>
      </c>
    </row>
    <row r="11335" spans="2:15" x14ac:dyDescent="0.3">
      <c r="B11335" s="1" t="s">
        <v>20</v>
      </c>
      <c r="C11335" s="1" t="str">
        <f t="shared" si="570"/>
        <v>3차</v>
      </c>
      <c r="D11335" s="1" t="str">
        <f>"0024X25239"</f>
        <v>0024X25239</v>
      </c>
      <c r="E11335" s="1" t="s">
        <v>10</v>
      </c>
      <c r="F11335" s="1" t="str">
        <f>"10.10.25.130"</f>
        <v>10.10.25.130</v>
      </c>
      <c r="G11335" s="1" t="str">
        <f>"0024X252"</f>
        <v>0024X252</v>
      </c>
      <c r="H11335" s="1" t="str">
        <f>"보광간 45R8"</f>
        <v>보광간 45R8</v>
      </c>
      <c r="I11335" s="1" t="s">
        <v>8</v>
      </c>
      <c r="J11335" s="1" t="str">
        <f>"17/17"</f>
        <v>17/17</v>
      </c>
      <c r="K11335" s="1" t="str">
        <f t="shared" si="571"/>
        <v>2026-07-29 13:18:01</v>
      </c>
      <c r="L11335" s="1" t="str">
        <f>"2018-02-27 19:20:15"</f>
        <v>2018-02-27 19:20:15</v>
      </c>
      <c r="M11335" s="1" t="s">
        <v>1</v>
      </c>
      <c r="N11335" s="1" t="s">
        <v>38</v>
      </c>
      <c r="O11335" s="1" t="s">
        <v>46</v>
      </c>
    </row>
    <row r="11336" spans="2:15" x14ac:dyDescent="0.3">
      <c r="B11336" s="1" t="s">
        <v>20</v>
      </c>
      <c r="C11336" s="1" t="str">
        <f t="shared" si="570"/>
        <v>3차</v>
      </c>
      <c r="D11336" s="1" t="str">
        <f>"0024X25331"</f>
        <v>0024X25331</v>
      </c>
      <c r="E11336" s="1" t="s">
        <v>14</v>
      </c>
      <c r="F11336" s="1" t="str">
        <f>"10.12.133.251"</f>
        <v>10.12.133.251</v>
      </c>
      <c r="G11336" s="1" t="str">
        <f>"0024X253"</f>
        <v>0024X253</v>
      </c>
      <c r="H11336" s="1" t="str">
        <f>"보광간 45R7"</f>
        <v>보광간 45R7</v>
      </c>
      <c r="I11336" s="1" t="s">
        <v>8</v>
      </c>
      <c r="J11336" s="1" t="str">
        <f>"0/0"</f>
        <v>0/0</v>
      </c>
      <c r="K11336" s="1" t="str">
        <f>"2023-02-11 20:03:30"</f>
        <v>2023-02-11 20:03:30</v>
      </c>
      <c r="L11336" s="1" t="str">
        <f>"2018-04-20 12:18:11"</f>
        <v>2018-04-20 12:18:11</v>
      </c>
      <c r="M11336" s="1" t="s">
        <v>0</v>
      </c>
      <c r="N11336" s="1" t="s">
        <v>39</v>
      </c>
      <c r="O11336" s="1" t="s">
        <v>46</v>
      </c>
    </row>
    <row r="11337" spans="2:15" x14ac:dyDescent="0.3">
      <c r="B11337" s="1" t="s">
        <v>20</v>
      </c>
      <c r="C11337" s="1" t="str">
        <f t="shared" si="570"/>
        <v>3차</v>
      </c>
      <c r="D11337" s="1" t="str">
        <f>"0024X26139"</f>
        <v>0024X26139</v>
      </c>
      <c r="E11337" s="1" t="s">
        <v>10</v>
      </c>
      <c r="F11337" s="1" t="str">
        <f>"10.10.25.98"</f>
        <v>10.10.25.98</v>
      </c>
      <c r="G11337" s="1" t="str">
        <f>"0024X261"</f>
        <v>0024X261</v>
      </c>
      <c r="H11337" s="1" t="str">
        <f>"보광간 45R9"</f>
        <v>보광간 45R9</v>
      </c>
      <c r="I11337" s="1" t="s">
        <v>8</v>
      </c>
      <c r="J11337" s="1" t="str">
        <f>"5/5"</f>
        <v>5/5</v>
      </c>
      <c r="K11337" s="1" t="str">
        <f t="shared" ref="K11337:K11342" si="572">"2026-07-29 13:18:01"</f>
        <v>2026-07-29 13:18:01</v>
      </c>
      <c r="L11337" s="1" t="str">
        <f>"2018-02-27 19:23:44"</f>
        <v>2018-02-27 19:23:44</v>
      </c>
      <c r="M11337" s="1" t="s">
        <v>1</v>
      </c>
      <c r="N11337" s="1" t="s">
        <v>38</v>
      </c>
      <c r="O11337" s="1" t="s">
        <v>46</v>
      </c>
    </row>
    <row r="11338" spans="2:15" x14ac:dyDescent="0.3">
      <c r="B11338" s="1" t="s">
        <v>20</v>
      </c>
      <c r="C11338" s="1" t="str">
        <f t="shared" si="570"/>
        <v>3차</v>
      </c>
      <c r="D11338" s="1" t="str">
        <f>"0024X26239"</f>
        <v>0024X26239</v>
      </c>
      <c r="E11338" s="1" t="s">
        <v>10</v>
      </c>
      <c r="F11338" s="1" t="str">
        <f>"10.10.25.138"</f>
        <v>10.10.25.138</v>
      </c>
      <c r="G11338" s="1" t="str">
        <f>"0024X262"</f>
        <v>0024X262</v>
      </c>
      <c r="H11338" s="1" t="str">
        <f>"보광간 45R8R1"</f>
        <v>보광간 45R8R1</v>
      </c>
      <c r="I11338" s="1" t="s">
        <v>8</v>
      </c>
      <c r="J11338" s="1" t="str">
        <f>"3/3"</f>
        <v>3/3</v>
      </c>
      <c r="K11338" s="1" t="str">
        <f t="shared" si="572"/>
        <v>2026-07-29 13:18:01</v>
      </c>
      <c r="L11338" s="1" t="str">
        <f>"2018-02-27 19:18:29"</f>
        <v>2018-02-27 19:18:29</v>
      </c>
      <c r="M11338" s="1" t="s">
        <v>1</v>
      </c>
      <c r="N11338" s="1" t="s">
        <v>38</v>
      </c>
      <c r="O11338" s="1" t="s">
        <v>46</v>
      </c>
    </row>
    <row r="11339" spans="2:15" x14ac:dyDescent="0.3">
      <c r="B11339" s="1" t="s">
        <v>20</v>
      </c>
      <c r="C11339" s="1" t="str">
        <f>"1차"</f>
        <v>1차</v>
      </c>
      <c r="D11339" s="1" t="str">
        <f>"0024X30200"</f>
        <v>0024X30200</v>
      </c>
      <c r="E11339" s="1" t="s">
        <v>10</v>
      </c>
      <c r="F11339" s="1" t="str">
        <f>"10.125.229.50"</f>
        <v>10.125.229.50</v>
      </c>
      <c r="G11339" s="1" t="str">
        <f>"0024X302"</f>
        <v>0024X302</v>
      </c>
      <c r="H11339" s="1" t="str">
        <f>"보광간 45R2R4"</f>
        <v>보광간 45R2R4</v>
      </c>
      <c r="I11339" s="1" t="s">
        <v>8</v>
      </c>
      <c r="J11339" s="1" t="str">
        <f>"21/21"</f>
        <v>21/21</v>
      </c>
      <c r="K11339" s="1" t="str">
        <f t="shared" si="572"/>
        <v>2026-07-29 13:18:01</v>
      </c>
      <c r="L11339" s="1" t="str">
        <f>"2014-10-16 17:55:49"</f>
        <v>2014-10-16 17:55:49</v>
      </c>
      <c r="M11339" s="1" t="s">
        <v>45</v>
      </c>
      <c r="N11339" s="1" t="s">
        <v>38</v>
      </c>
      <c r="O11339" s="1" t="s">
        <v>46</v>
      </c>
    </row>
    <row r="11340" spans="2:15" x14ac:dyDescent="0.3">
      <c r="B11340" s="1" t="s">
        <v>20</v>
      </c>
      <c r="C11340" s="1" t="str">
        <f>"3차"</f>
        <v>3차</v>
      </c>
      <c r="D11340" s="1" t="str">
        <f>"0024X31139"</f>
        <v>0024X31139</v>
      </c>
      <c r="E11340" s="1" t="s">
        <v>10</v>
      </c>
      <c r="F11340" s="1" t="str">
        <f>"10.10.25.114"</f>
        <v>10.10.25.114</v>
      </c>
      <c r="G11340" s="1" t="str">
        <f>"0024X311"</f>
        <v>0024X311</v>
      </c>
      <c r="H11340" s="1" t="str">
        <f>"보광간 45R2R1"</f>
        <v>보광간 45R2R1</v>
      </c>
      <c r="I11340" s="1" t="s">
        <v>8</v>
      </c>
      <c r="J11340" s="1" t="str">
        <f>"21/21"</f>
        <v>21/21</v>
      </c>
      <c r="K11340" s="1" t="str">
        <f t="shared" si="572"/>
        <v>2026-07-29 13:18:01</v>
      </c>
      <c r="L11340" s="1" t="str">
        <f>"2018-02-27 19:21:01"</f>
        <v>2018-02-27 19:21:01</v>
      </c>
      <c r="M11340" s="1" t="s">
        <v>1</v>
      </c>
      <c r="N11340" s="1" t="s">
        <v>38</v>
      </c>
      <c r="O11340" s="1" t="s">
        <v>46</v>
      </c>
    </row>
    <row r="11341" spans="2:15" x14ac:dyDescent="0.3">
      <c r="B11341" s="1" t="s">
        <v>20</v>
      </c>
      <c r="C11341" s="1" t="str">
        <f>"4차"</f>
        <v>4차</v>
      </c>
      <c r="D11341" s="1" t="str">
        <f>"0024X32141"</f>
        <v>0024X32141</v>
      </c>
      <c r="E11341" s="1" t="s">
        <v>10</v>
      </c>
      <c r="F11341" s="1" t="str">
        <f>"10.14.5.181"</f>
        <v>10.14.5.181</v>
      </c>
      <c r="G11341" s="1" t="str">
        <f>"0024X321"</f>
        <v>0024X321</v>
      </c>
      <c r="H11341" s="1" t="str">
        <f>"보광간 45R2"</f>
        <v>보광간 45R2</v>
      </c>
      <c r="I11341" s="1" t="s">
        <v>17</v>
      </c>
      <c r="J11341" s="1" t="str">
        <f>"19/19"</f>
        <v>19/19</v>
      </c>
      <c r="K11341" s="1" t="str">
        <f t="shared" si="572"/>
        <v>2026-07-29 13:18:01</v>
      </c>
      <c r="L11341" s="1" t="str">
        <f>"2021-08-13 14:00:09"</f>
        <v>2021-08-13 14:00:09</v>
      </c>
      <c r="M11341" s="1" t="s">
        <v>3</v>
      </c>
      <c r="N11341" s="1" t="s">
        <v>38</v>
      </c>
      <c r="O11341" s="1" t="s">
        <v>46</v>
      </c>
    </row>
    <row r="11342" spans="2:15" x14ac:dyDescent="0.3">
      <c r="B11342" s="1" t="s">
        <v>20</v>
      </c>
      <c r="C11342" s="1" t="str">
        <f>"1차"</f>
        <v>1차</v>
      </c>
      <c r="D11342" s="1" t="str">
        <f>"0024X34200"</f>
        <v>0024X34200</v>
      </c>
      <c r="E11342" s="1" t="s">
        <v>10</v>
      </c>
      <c r="F11342" s="1" t="str">
        <f>"10.125.228.58"</f>
        <v>10.125.228.58</v>
      </c>
      <c r="G11342" s="1" t="str">
        <f>"0024X342"</f>
        <v>0024X342</v>
      </c>
      <c r="H11342" s="1" t="str">
        <f>"보광간 45R5"</f>
        <v>보광간 45R5</v>
      </c>
      <c r="I11342" s="1" t="s">
        <v>8</v>
      </c>
      <c r="J11342" s="1" t="str">
        <f>"20/22"</f>
        <v>20/22</v>
      </c>
      <c r="K11342" s="1" t="str">
        <f t="shared" si="572"/>
        <v>2026-07-29 13:18:01</v>
      </c>
      <c r="L11342" s="1" t="str">
        <f>"2014-10-16 17:56:00"</f>
        <v>2014-10-16 17:56:00</v>
      </c>
      <c r="M11342" s="1" t="s">
        <v>45</v>
      </c>
      <c r="N11342" s="1" t="s">
        <v>38</v>
      </c>
      <c r="O11342" s="1" t="s">
        <v>46</v>
      </c>
    </row>
    <row r="11343" spans="2:15" x14ac:dyDescent="0.3">
      <c r="B11343" s="1" t="s">
        <v>20</v>
      </c>
      <c r="C11343" s="1" t="str">
        <f>"4차"</f>
        <v>4차</v>
      </c>
      <c r="D11343" s="1" t="str">
        <f>"0024X34339"</f>
        <v>0024X34339</v>
      </c>
      <c r="E11343" s="1" t="s">
        <v>10</v>
      </c>
      <c r="F11343" s="1" t="str">
        <f>"10.12.135.147"</f>
        <v>10.12.135.147</v>
      </c>
      <c r="G11343" s="1" t="str">
        <f>"0024X343"</f>
        <v>0024X343</v>
      </c>
      <c r="H11343" s="1" t="str">
        <f>"한남로 L1"</f>
        <v>한남로 L1</v>
      </c>
      <c r="I11343" s="1" t="s">
        <v>17</v>
      </c>
      <c r="J11343" s="1" t="str">
        <f>"6/6"</f>
        <v>6/6</v>
      </c>
      <c r="K11343" s="1" t="str">
        <f>"2026-07-29 07:18:01"</f>
        <v>2026-07-29 07:18:01</v>
      </c>
      <c r="L11343" s="1" t="str">
        <f>"2018-05-23 09:30:25"</f>
        <v>2018-05-23 09:30:25</v>
      </c>
      <c r="M11343" s="1" t="s">
        <v>0</v>
      </c>
      <c r="N11343" s="1" t="s">
        <v>38</v>
      </c>
      <c r="O11343" s="1" t="s">
        <v>46</v>
      </c>
    </row>
    <row r="11344" spans="2:15" x14ac:dyDescent="0.3">
      <c r="B11344" s="1" t="s">
        <v>20</v>
      </c>
      <c r="C11344" s="1" t="str">
        <f>"4차"</f>
        <v>4차</v>
      </c>
      <c r="D11344" s="1" t="str">
        <f>"0024X37139"</f>
        <v>0024X37139</v>
      </c>
      <c r="E11344" s="1" t="s">
        <v>10</v>
      </c>
      <c r="F11344" s="1" t="str">
        <f>"10.12.135.150"</f>
        <v>10.12.135.150</v>
      </c>
      <c r="G11344" s="1" t="str">
        <f>"0024X371"</f>
        <v>0024X371</v>
      </c>
      <c r="H11344" s="1" t="str">
        <f>"한남로 5"</f>
        <v>한남로 5</v>
      </c>
      <c r="I11344" s="1" t="s">
        <v>17</v>
      </c>
      <c r="J11344" s="1" t="str">
        <f>"2/2"</f>
        <v>2/2</v>
      </c>
      <c r="K11344" s="1" t="str">
        <f>"2026-07-29 13:18:01"</f>
        <v>2026-07-29 13:18:01</v>
      </c>
      <c r="L11344" s="1" t="str">
        <f>"2022-05-17 17:52:32"</f>
        <v>2022-05-17 17:52:32</v>
      </c>
      <c r="M11344" s="1" t="s">
        <v>0</v>
      </c>
      <c r="N11344" s="1" t="s">
        <v>38</v>
      </c>
      <c r="O11344" s="1" t="s">
        <v>46</v>
      </c>
    </row>
    <row r="11345" spans="2:15" x14ac:dyDescent="0.3">
      <c r="B11345" s="1" t="s">
        <v>20</v>
      </c>
      <c r="C11345" s="1" t="str">
        <f>"4차"</f>
        <v>4차</v>
      </c>
      <c r="D11345" s="1" t="str">
        <f>"0024X39139"</f>
        <v>0024X39139</v>
      </c>
      <c r="E11345" s="1" t="s">
        <v>10</v>
      </c>
      <c r="F11345" s="1" t="str">
        <f>"10.12.135.58"</f>
        <v>10.12.135.58</v>
      </c>
      <c r="G11345" s="1" t="str">
        <f>"0024X391"</f>
        <v>0024X391</v>
      </c>
      <c r="H11345" s="1" t="str">
        <f>"독서당로 12"</f>
        <v>독서당로 12</v>
      </c>
      <c r="I11345" s="1" t="s">
        <v>17</v>
      </c>
      <c r="J11345" s="1" t="str">
        <f>"3/8"</f>
        <v>3/8</v>
      </c>
      <c r="K11345" s="1" t="str">
        <f>"2026-07-29 13:18:02"</f>
        <v>2026-07-29 13:18:02</v>
      </c>
      <c r="L11345" s="1" t="str">
        <f>"2018-05-14 16:28:00"</f>
        <v>2018-05-14 16:28:00</v>
      </c>
      <c r="M11345" s="1" t="s">
        <v>0</v>
      </c>
      <c r="N11345" s="1" t="s">
        <v>38</v>
      </c>
      <c r="O11345" s="1" t="s">
        <v>46</v>
      </c>
    </row>
    <row r="11346" spans="2:15" x14ac:dyDescent="0.3">
      <c r="B11346" s="1" t="s">
        <v>20</v>
      </c>
      <c r="C11346" s="1" t="str">
        <f>"4차"</f>
        <v>4차</v>
      </c>
      <c r="D11346" s="1" t="str">
        <f>"0024X41244"</f>
        <v>0024X41244</v>
      </c>
      <c r="E11346" s="1" t="s">
        <v>10</v>
      </c>
      <c r="F11346" s="1" t="str">
        <f>"10.10.65.122"</f>
        <v>10.10.65.122</v>
      </c>
      <c r="G11346" s="1" t="str">
        <f>"0024X412"</f>
        <v>0024X412</v>
      </c>
      <c r="H11346" s="1" t="str">
        <f>"보광간 45R3R4"</f>
        <v>보광간 45R3R4</v>
      </c>
      <c r="I11346" s="1" t="s">
        <v>8</v>
      </c>
      <c r="J11346" s="1" t="str">
        <f>"62/62"</f>
        <v>62/62</v>
      </c>
      <c r="K11346" s="1" t="str">
        <f>"2026-07-29 13:18:01"</f>
        <v>2026-07-29 13:18:01</v>
      </c>
      <c r="L11346" s="1" t="str">
        <f>"2019-12-17 15:48:10"</f>
        <v>2019-12-17 15:48:10</v>
      </c>
      <c r="M11346" s="1" t="s">
        <v>1</v>
      </c>
      <c r="N11346" s="1" t="s">
        <v>38</v>
      </c>
      <c r="O11346" s="1" t="s">
        <v>46</v>
      </c>
    </row>
    <row r="11347" spans="2:15" x14ac:dyDescent="0.3">
      <c r="B11347" s="1" t="s">
        <v>20</v>
      </c>
      <c r="C11347" s="1" t="str">
        <f>"4차"</f>
        <v>4차</v>
      </c>
      <c r="D11347" s="1" t="str">
        <f>"0024X47339"</f>
        <v>0024X47339</v>
      </c>
      <c r="E11347" s="1" t="s">
        <v>10</v>
      </c>
      <c r="F11347" s="1" t="str">
        <f>"10.10.41.34"</f>
        <v>10.10.41.34</v>
      </c>
      <c r="G11347" s="1" t="str">
        <f>"0024X473"</f>
        <v>0024X473</v>
      </c>
      <c r="H11347" s="1" t="str">
        <f>"보광간 53R1R1H1"</f>
        <v>보광간 53R1R1H1</v>
      </c>
      <c r="I11347" s="1" t="s">
        <v>8</v>
      </c>
      <c r="J11347" s="1" t="str">
        <f>"67/68"</f>
        <v>67/68</v>
      </c>
      <c r="K11347" s="1" t="str">
        <f>"2026-07-29 13:18:01"</f>
        <v>2026-07-29 13:18:01</v>
      </c>
      <c r="L11347" s="1" t="str">
        <f>"2018-04-17 18:23:43"</f>
        <v>2018-04-17 18:23:43</v>
      </c>
      <c r="M11347" s="1" t="s">
        <v>1</v>
      </c>
      <c r="N11347" s="1" t="s">
        <v>38</v>
      </c>
      <c r="O11347" s="1" t="s">
        <v>46</v>
      </c>
    </row>
    <row r="11348" spans="2:15" x14ac:dyDescent="0.3">
      <c r="B11348" s="1" t="s">
        <v>20</v>
      </c>
      <c r="C11348" s="1" t="str">
        <f>"3차"</f>
        <v>3차</v>
      </c>
      <c r="D11348" s="1" t="str">
        <f>"0024X48139"</f>
        <v>0024X48139</v>
      </c>
      <c r="E11348" s="1" t="s">
        <v>10</v>
      </c>
      <c r="F11348" s="1" t="str">
        <f>"10.10.41.26"</f>
        <v>10.10.41.26</v>
      </c>
      <c r="G11348" s="1" t="str">
        <f>"0024X481"</f>
        <v>0024X481</v>
      </c>
      <c r="H11348" s="1" t="str">
        <f>"보광간 53R1"</f>
        <v>보광간 53R1</v>
      </c>
      <c r="I11348" s="1" t="s">
        <v>8</v>
      </c>
      <c r="J11348" s="1" t="str">
        <f>"29/37"</f>
        <v>29/37</v>
      </c>
      <c r="K11348" s="1" t="str">
        <f>"2026-07-29 13:18:01"</f>
        <v>2026-07-29 13:18:01</v>
      </c>
      <c r="L11348" s="1" t="str">
        <f>"2018-04-17 18:18:43"</f>
        <v>2018-04-17 18:18:43</v>
      </c>
      <c r="M11348" s="1" t="s">
        <v>1</v>
      </c>
      <c r="N11348" s="1" t="s">
        <v>38</v>
      </c>
      <c r="O11348" s="1" t="s">
        <v>46</v>
      </c>
    </row>
    <row r="11349" spans="2:15" x14ac:dyDescent="0.3">
      <c r="B11349" s="1" t="s">
        <v>20</v>
      </c>
      <c r="C11349" s="1" t="str">
        <f>"4차"</f>
        <v>4차</v>
      </c>
      <c r="D11349" s="1" t="str">
        <f>"0024X49139"</f>
        <v>0024X49139</v>
      </c>
      <c r="E11349" s="1" t="s">
        <v>10</v>
      </c>
      <c r="F11349" s="1" t="str">
        <f>"10.12.136.20"</f>
        <v>10.12.136.20</v>
      </c>
      <c r="G11349" s="1" t="str">
        <f>"0024X491"</f>
        <v>0024X491</v>
      </c>
      <c r="H11349" s="1" t="str">
        <f>"독서당로 1T"</f>
        <v>독서당로 1T</v>
      </c>
      <c r="I11349" s="1" t="s">
        <v>17</v>
      </c>
      <c r="J11349" s="1" t="str">
        <f>"9/9"</f>
        <v>9/9</v>
      </c>
      <c r="K11349" s="1" t="str">
        <f>"2026-07-29 13:18:02"</f>
        <v>2026-07-29 13:18:02</v>
      </c>
      <c r="L11349" s="1" t="str">
        <f>"2018-05-14 14:29:29"</f>
        <v>2018-05-14 14:29:29</v>
      </c>
      <c r="M11349" s="1" t="s">
        <v>0</v>
      </c>
      <c r="N11349" s="1" t="s">
        <v>38</v>
      </c>
      <c r="O11349" s="1" t="s">
        <v>46</v>
      </c>
    </row>
    <row r="11350" spans="2:15" x14ac:dyDescent="0.3">
      <c r="B11350" s="1" t="s">
        <v>20</v>
      </c>
      <c r="C11350" s="1" t="str">
        <f>"1차"</f>
        <v>1차</v>
      </c>
      <c r="D11350" s="1" t="str">
        <f>"0024X50101"</f>
        <v>0024X50101</v>
      </c>
      <c r="E11350" s="1" t="s">
        <v>10</v>
      </c>
      <c r="F11350" s="1" t="str">
        <f>"10.12.128.158"</f>
        <v>10.12.128.158</v>
      </c>
      <c r="G11350" s="1" t="str">
        <f>"0024X501"</f>
        <v>0024X501</v>
      </c>
      <c r="H11350" s="1" t="str">
        <f>"보광간 45R3R5"</f>
        <v>보광간 45R3R5</v>
      </c>
      <c r="I11350" s="1" t="s">
        <v>8</v>
      </c>
      <c r="J11350" s="1" t="str">
        <f>"40/40"</f>
        <v>40/40</v>
      </c>
      <c r="K11350" s="1" t="str">
        <f>"2026-07-29 13:18:02"</f>
        <v>2026-07-29 13:18:02</v>
      </c>
      <c r="L11350" s="1" t="str">
        <f>"2014-11-24 12:27:46"</f>
        <v>2014-11-24 12:27:46</v>
      </c>
      <c r="M11350" s="1" t="s">
        <v>0</v>
      </c>
      <c r="N11350" s="1" t="s">
        <v>38</v>
      </c>
      <c r="O11350" s="1" t="s">
        <v>46</v>
      </c>
    </row>
    <row r="11351" spans="2:15" x14ac:dyDescent="0.3">
      <c r="B11351" s="1" t="s">
        <v>20</v>
      </c>
      <c r="C11351" s="1" t="str">
        <f>"4차"</f>
        <v>4차</v>
      </c>
      <c r="D11351" s="1" t="str">
        <f>"0024X56241"</f>
        <v>0024X56241</v>
      </c>
      <c r="E11351" s="1" t="s">
        <v>10</v>
      </c>
      <c r="F11351" s="1" t="str">
        <f>"10.14.4.110"</f>
        <v>10.14.4.110</v>
      </c>
      <c r="G11351" s="1" t="str">
        <f>"0024X562"</f>
        <v>0024X562</v>
      </c>
      <c r="H11351" s="1" t="str">
        <f>"유엔간 8R12R3"</f>
        <v>유엔간 8R12R3</v>
      </c>
      <c r="I11351" s="1" t="s">
        <v>17</v>
      </c>
      <c r="J11351" s="1" t="str">
        <f>"7/10"</f>
        <v>7/10</v>
      </c>
      <c r="K11351" s="1" t="str">
        <f t="shared" ref="K11351:K11356" si="573">"2026-07-29 13:18:01"</f>
        <v>2026-07-29 13:18:01</v>
      </c>
      <c r="L11351" s="1" t="str">
        <f>"2021-08-13 14:51:52"</f>
        <v>2021-08-13 14:51:52</v>
      </c>
      <c r="M11351" s="1" t="s">
        <v>3</v>
      </c>
      <c r="N11351" s="1" t="s">
        <v>38</v>
      </c>
      <c r="O11351" s="1" t="s">
        <v>46</v>
      </c>
    </row>
    <row r="11352" spans="2:15" x14ac:dyDescent="0.3">
      <c r="B11352" s="1" t="s">
        <v>20</v>
      </c>
      <c r="C11352" s="1" t="str">
        <f>"4차"</f>
        <v>4차</v>
      </c>
      <c r="D11352" s="1" t="str">
        <f>"0024X58344"</f>
        <v>0024X58344</v>
      </c>
      <c r="E11352" s="1" t="s">
        <v>10</v>
      </c>
      <c r="F11352" s="1" t="str">
        <f>"10.10.98.146"</f>
        <v>10.10.98.146</v>
      </c>
      <c r="G11352" s="1" t="str">
        <f>"0024X583"</f>
        <v>0024X583</v>
      </c>
      <c r="H11352" s="1" t="str">
        <f>"보광간 53D2"</f>
        <v>보광간 53D2</v>
      </c>
      <c r="I11352" s="1" t="s">
        <v>8</v>
      </c>
      <c r="J11352" s="1" t="str">
        <f>"11/12"</f>
        <v>11/12</v>
      </c>
      <c r="K11352" s="1" t="str">
        <f t="shared" si="573"/>
        <v>2026-07-29 13:18:01</v>
      </c>
      <c r="L11352" s="1" t="str">
        <f>"2019-12-17 15:46:02"</f>
        <v>2019-12-17 15:46:02</v>
      </c>
      <c r="M11352" s="1" t="s">
        <v>1</v>
      </c>
      <c r="N11352" s="1" t="s">
        <v>38</v>
      </c>
      <c r="O11352" s="1" t="s">
        <v>46</v>
      </c>
    </row>
    <row r="11353" spans="2:15" x14ac:dyDescent="0.3">
      <c r="B11353" s="1" t="s">
        <v>20</v>
      </c>
      <c r="C11353" s="1" t="str">
        <f>"1차"</f>
        <v>1차</v>
      </c>
      <c r="D11353" s="1" t="str">
        <f>"0024X69100"</f>
        <v>0024X69100</v>
      </c>
      <c r="E11353" s="1" t="s">
        <v>10</v>
      </c>
      <c r="F11353" s="1" t="str">
        <f>"10.125.228.66"</f>
        <v>10.125.228.66</v>
      </c>
      <c r="G11353" s="1" t="str">
        <f>"0024X691"</f>
        <v>0024X691</v>
      </c>
      <c r="H11353" s="1" t="str">
        <f>"유엔간 1"</f>
        <v>유엔간 1</v>
      </c>
      <c r="I11353" s="1" t="s">
        <v>8</v>
      </c>
      <c r="J11353" s="1" t="str">
        <f>"2/2"</f>
        <v>2/2</v>
      </c>
      <c r="K11353" s="1" t="str">
        <f t="shared" si="573"/>
        <v>2026-07-29 13:18:01</v>
      </c>
      <c r="L11353" s="1" t="str">
        <f>"2023-06-27 17:45:11"</f>
        <v>2023-06-27 17:45:11</v>
      </c>
      <c r="M11353" s="1" t="s">
        <v>45</v>
      </c>
      <c r="N11353" s="1" t="s">
        <v>44</v>
      </c>
      <c r="O11353" s="1" t="s">
        <v>44</v>
      </c>
    </row>
    <row r="11354" spans="2:15" x14ac:dyDescent="0.3">
      <c r="B11354" s="1" t="s">
        <v>20</v>
      </c>
      <c r="C11354" s="1" t="str">
        <f>"3차"</f>
        <v>3차</v>
      </c>
      <c r="D11354" s="1" t="str">
        <f>"0024X88130"</f>
        <v>0024X88130</v>
      </c>
      <c r="E11354" s="1" t="s">
        <v>10</v>
      </c>
      <c r="F11354" s="1" t="str">
        <f>"10.10.41.106"</f>
        <v>10.10.41.106</v>
      </c>
      <c r="G11354" s="1" t="str">
        <f>"0024X881"</f>
        <v>0024X881</v>
      </c>
      <c r="H11354" s="1" t="str">
        <f>"유엔간 8R5"</f>
        <v>유엔간 8R5</v>
      </c>
      <c r="I11354" s="1" t="s">
        <v>8</v>
      </c>
      <c r="J11354" s="1" t="str">
        <f>"3/3"</f>
        <v>3/3</v>
      </c>
      <c r="K11354" s="1" t="str">
        <f t="shared" si="573"/>
        <v>2026-07-29 13:18:01</v>
      </c>
      <c r="L11354" s="1" t="str">
        <f>"2018-03-13 10:33:24"</f>
        <v>2018-03-13 10:33:24</v>
      </c>
      <c r="M11354" s="1" t="s">
        <v>1</v>
      </c>
      <c r="N11354" s="1" t="s">
        <v>38</v>
      </c>
      <c r="O11354" s="1" t="s">
        <v>46</v>
      </c>
    </row>
    <row r="11355" spans="2:15" x14ac:dyDescent="0.3">
      <c r="B11355" s="1" t="s">
        <v>20</v>
      </c>
      <c r="C11355" s="1" t="str">
        <f>"4차"</f>
        <v>4차</v>
      </c>
      <c r="D11355" s="1" t="str">
        <f>"0024X89139"</f>
        <v>0024X89139</v>
      </c>
      <c r="E11355" s="1" t="s">
        <v>10</v>
      </c>
      <c r="F11355" s="1" t="str">
        <f>"10.10.26.2"</f>
        <v>10.10.26.2</v>
      </c>
      <c r="G11355" s="1" t="str">
        <f>"0024X891"</f>
        <v>0024X891</v>
      </c>
      <c r="H11355" s="1" t="str">
        <f>"유엔간 8R3"</f>
        <v>유엔간 8R3</v>
      </c>
      <c r="I11355" s="1" t="s">
        <v>8</v>
      </c>
      <c r="J11355" s="1" t="str">
        <f>"1/2"</f>
        <v>1/2</v>
      </c>
      <c r="K11355" s="1" t="str">
        <f t="shared" si="573"/>
        <v>2026-07-29 13:18:01</v>
      </c>
      <c r="L11355" s="1" t="str">
        <f>"2018-03-12 10:02:25"</f>
        <v>2018-03-12 10:02:25</v>
      </c>
      <c r="M11355" s="1" t="s">
        <v>1</v>
      </c>
      <c r="N11355" s="1" t="s">
        <v>38</v>
      </c>
      <c r="O11355" s="1" t="s">
        <v>46</v>
      </c>
    </row>
    <row r="11356" spans="2:15" x14ac:dyDescent="0.3">
      <c r="B11356" s="1" t="s">
        <v>20</v>
      </c>
      <c r="C11356" s="1" t="str">
        <f>"4차"</f>
        <v>4차</v>
      </c>
      <c r="D11356" s="1" t="str">
        <f>"0024X89231"</f>
        <v>0024X89231</v>
      </c>
      <c r="E11356" s="1" t="s">
        <v>10</v>
      </c>
      <c r="F11356" s="1" t="str">
        <f>"10.10.41.107"</f>
        <v>10.10.41.107</v>
      </c>
      <c r="G11356" s="1" t="str">
        <f>"0024X892"</f>
        <v>0024X892</v>
      </c>
      <c r="H11356" s="1" t="str">
        <f>"유엔간 8R4"</f>
        <v>유엔간 8R4</v>
      </c>
      <c r="I11356" s="1" t="s">
        <v>8</v>
      </c>
      <c r="J11356" s="1" t="str">
        <f>"8/8"</f>
        <v>8/8</v>
      </c>
      <c r="K11356" s="1" t="str">
        <f t="shared" si="573"/>
        <v>2026-07-29 13:18:01</v>
      </c>
      <c r="L11356" s="1" t="str">
        <f>"2018-03-13 10:40:09"</f>
        <v>2018-03-13 10:40:09</v>
      </c>
      <c r="M11356" s="1" t="s">
        <v>1</v>
      </c>
      <c r="N11356" s="1" t="s">
        <v>38</v>
      </c>
      <c r="O11356" s="1" t="s">
        <v>46</v>
      </c>
    </row>
    <row r="11357" spans="2:15" x14ac:dyDescent="0.3">
      <c r="B11357" s="1" t="s">
        <v>20</v>
      </c>
      <c r="C11357" s="1" t="str">
        <f>"1차"</f>
        <v>1차</v>
      </c>
      <c r="D11357" s="1" t="str">
        <f>"0024Y01201"</f>
        <v>0024Y01201</v>
      </c>
      <c r="E11357" s="1" t="s">
        <v>10</v>
      </c>
      <c r="F11357" s="1" t="str">
        <f>"10.12.131.97"</f>
        <v>10.12.131.97</v>
      </c>
      <c r="G11357" s="1" t="str">
        <f>"0024Y012"</f>
        <v>0024Y012</v>
      </c>
      <c r="H11357" s="1" t="str">
        <f>"동보간 10R1AL2"</f>
        <v>동보간 10R1AL2</v>
      </c>
      <c r="I11357" s="1" t="s">
        <v>8</v>
      </c>
      <c r="J11357" s="1" t="str">
        <f>"26/27"</f>
        <v>26/27</v>
      </c>
      <c r="K11357" s="1" t="str">
        <f>"2026-07-29 13:18:02"</f>
        <v>2026-07-29 13:18:02</v>
      </c>
      <c r="L11357" s="1" t="str">
        <f>"2014-11-20 16:52:56"</f>
        <v>2014-11-20 16:52:56</v>
      </c>
      <c r="M11357" s="1" t="s">
        <v>0</v>
      </c>
      <c r="N11357" s="1" t="s">
        <v>38</v>
      </c>
      <c r="O11357" s="1" t="s">
        <v>46</v>
      </c>
    </row>
    <row r="11358" spans="2:15" x14ac:dyDescent="0.3">
      <c r="B11358" s="1" t="s">
        <v>20</v>
      </c>
      <c r="C11358" s="1" t="str">
        <f>"1차"</f>
        <v>1차</v>
      </c>
      <c r="D11358" s="1" t="str">
        <f>"0024Y10201"</f>
        <v>0024Y10201</v>
      </c>
      <c r="E11358" s="1" t="s">
        <v>10</v>
      </c>
      <c r="F11358" s="1" t="str">
        <f>"10.12.130.147"</f>
        <v>10.12.130.147</v>
      </c>
      <c r="G11358" s="1" t="str">
        <f>"0024Y102"</f>
        <v>0024Y102</v>
      </c>
      <c r="H11358" s="1" t="str">
        <f>"동보간 10R1AL3L1"</f>
        <v>동보간 10R1AL3L1</v>
      </c>
      <c r="I11358" s="1" t="s">
        <v>8</v>
      </c>
      <c r="J11358" s="1" t="str">
        <f>"15/16"</f>
        <v>15/16</v>
      </c>
      <c r="K11358" s="1" t="str">
        <f>"2026-07-29 13:18:02"</f>
        <v>2026-07-29 13:18:02</v>
      </c>
      <c r="L11358" s="1" t="str">
        <f>"2015-05-07 15:44:02"</f>
        <v>2015-05-07 15:44:02</v>
      </c>
      <c r="M11358" s="1" t="s">
        <v>0</v>
      </c>
      <c r="N11358" s="1" t="s">
        <v>38</v>
      </c>
      <c r="O11358" s="1" t="s">
        <v>46</v>
      </c>
    </row>
    <row r="11359" spans="2:15" x14ac:dyDescent="0.3">
      <c r="B11359" s="1" t="s">
        <v>20</v>
      </c>
      <c r="C11359" s="1" t="str">
        <f>"1차"</f>
        <v>1차</v>
      </c>
      <c r="D11359" s="1" t="str">
        <f>"0024Y23201"</f>
        <v>0024Y23201</v>
      </c>
      <c r="E11359" s="1" t="s">
        <v>10</v>
      </c>
      <c r="F11359" s="1" t="str">
        <f>"10.12.138.110"</f>
        <v>10.12.138.110</v>
      </c>
      <c r="G11359" s="1" t="str">
        <f>"0024Y232"</f>
        <v>0024Y232</v>
      </c>
      <c r="H11359" s="1" t="str">
        <f>"한보간 3"</f>
        <v>한보간 3</v>
      </c>
      <c r="I11359" s="1" t="s">
        <v>8</v>
      </c>
      <c r="J11359" s="1" t="str">
        <f>"16/17"</f>
        <v>16/17</v>
      </c>
      <c r="K11359" s="1" t="str">
        <f>"2026-07-29 13:18:02"</f>
        <v>2026-07-29 13:18:02</v>
      </c>
      <c r="L11359" s="1" t="str">
        <f>"2014-11-21 20:21:26"</f>
        <v>2014-11-21 20:21:26</v>
      </c>
      <c r="M11359" s="1" t="s">
        <v>0</v>
      </c>
      <c r="N11359" s="1" t="s">
        <v>38</v>
      </c>
      <c r="O11359" s="1" t="s">
        <v>46</v>
      </c>
    </row>
    <row r="11360" spans="2:15" x14ac:dyDescent="0.3">
      <c r="B11360" s="1" t="s">
        <v>20</v>
      </c>
      <c r="C11360" s="1" t="str">
        <f>"3차"</f>
        <v>3차</v>
      </c>
      <c r="D11360" s="1" t="str">
        <f>"0024Y32139"</f>
        <v>0024Y32139</v>
      </c>
      <c r="E11360" s="1" t="s">
        <v>10</v>
      </c>
      <c r="F11360" s="1" t="str">
        <f>"10.12.128.124"</f>
        <v>10.12.128.124</v>
      </c>
      <c r="G11360" s="1" t="str">
        <f>"0024Y321"</f>
        <v>0024Y321</v>
      </c>
      <c r="H11360" s="1" t="str">
        <f>"한보간 2R2"</f>
        <v>한보간 2R2</v>
      </c>
      <c r="I11360" s="1" t="s">
        <v>8</v>
      </c>
      <c r="J11360" s="1" t="str">
        <f>"15/15"</f>
        <v>15/15</v>
      </c>
      <c r="K11360" s="1" t="str">
        <f>"2026-07-29 13:18:01"</f>
        <v>2026-07-29 13:18:01</v>
      </c>
      <c r="L11360" s="1" t="str">
        <f>"2023-07-21 17:53:56"</f>
        <v>2023-07-21 17:53:56</v>
      </c>
      <c r="M11360" s="1" t="s">
        <v>0</v>
      </c>
      <c r="N11360" s="1" t="s">
        <v>38</v>
      </c>
      <c r="O11360" s="1" t="s">
        <v>46</v>
      </c>
    </row>
    <row r="11361" spans="2:15" x14ac:dyDescent="0.3">
      <c r="B11361" s="1" t="s">
        <v>20</v>
      </c>
      <c r="C11361" s="1" t="str">
        <f>"1차"</f>
        <v>1차</v>
      </c>
      <c r="D11361" s="1" t="str">
        <f>"0024Y42200"</f>
        <v>0024Y42200</v>
      </c>
      <c r="E11361" s="1" t="s">
        <v>14</v>
      </c>
      <c r="F11361" s="1" t="str">
        <f>"10.125.224.210"</f>
        <v>10.125.224.210</v>
      </c>
      <c r="G11361" s="1" t="str">
        <f>"0024Y422"</f>
        <v>0024Y422</v>
      </c>
      <c r="H11361" s="1" t="str">
        <f>"보광간 29L1"</f>
        <v>보광간 29L1</v>
      </c>
      <c r="I11361" s="1" t="s">
        <v>8</v>
      </c>
      <c r="J11361" s="1" t="str">
        <f>"0/0"</f>
        <v>0/0</v>
      </c>
      <c r="K11361" s="1" t="str">
        <f>"2025-04-23 07:21:03"</f>
        <v>2025-04-23 07:21:03</v>
      </c>
      <c r="L11361" s="1" t="str">
        <f>"2014-11-23 10:01:35"</f>
        <v>2014-11-23 10:01:35</v>
      </c>
      <c r="M11361" s="1" t="s">
        <v>45</v>
      </c>
      <c r="N11361" s="1" t="s">
        <v>44</v>
      </c>
      <c r="O11361" s="1" t="s">
        <v>44</v>
      </c>
    </row>
    <row r="11362" spans="2:15" x14ac:dyDescent="0.3">
      <c r="B11362" s="1" t="s">
        <v>20</v>
      </c>
      <c r="C11362" s="1" t="str">
        <f>"1차"</f>
        <v>1차</v>
      </c>
      <c r="D11362" s="1" t="str">
        <f>"0024Z08300"</f>
        <v>0024Z08300</v>
      </c>
      <c r="E11362" s="1" t="s">
        <v>14</v>
      </c>
      <c r="F11362" s="1" t="str">
        <f>"10.125.228.90"</f>
        <v>10.125.228.90</v>
      </c>
      <c r="G11362" s="1" t="str">
        <f>"0024Z083"</f>
        <v>0024Z083</v>
      </c>
      <c r="H11362" s="1" t="str">
        <f>"백제간 1L3"</f>
        <v>백제간 1L3</v>
      </c>
      <c r="I11362" s="1" t="s">
        <v>8</v>
      </c>
      <c r="J11362" s="1" t="str">
        <f>"0/0"</f>
        <v>0/0</v>
      </c>
      <c r="K11362" s="1" t="str">
        <f>"2026-06-22 07:18:00"</f>
        <v>2026-06-22 07:18:00</v>
      </c>
      <c r="L11362" s="1" t="str">
        <f>"2014-10-16 17:55:50"</f>
        <v>2014-10-16 17:55:50</v>
      </c>
      <c r="M11362" s="1" t="s">
        <v>45</v>
      </c>
      <c r="N11362" s="1" t="s">
        <v>44</v>
      </c>
      <c r="O11362" s="1" t="s">
        <v>44</v>
      </c>
    </row>
    <row r="11363" spans="2:15" x14ac:dyDescent="0.3">
      <c r="B11363" s="1" t="s">
        <v>20</v>
      </c>
      <c r="C11363" s="1" t="str">
        <f>"3차"</f>
        <v>3차</v>
      </c>
      <c r="D11363" s="1" t="str">
        <f>"0025R01130"</f>
        <v>0025R01130</v>
      </c>
      <c r="E11363" s="1" t="s">
        <v>10</v>
      </c>
      <c r="F11363" s="1" t="str">
        <f>"10.10.39.2"</f>
        <v>10.10.39.2</v>
      </c>
      <c r="G11363" s="1" t="str">
        <f>"0025R011"</f>
        <v>0025R011</v>
      </c>
      <c r="H11363" s="1" t="str">
        <f>"관광간 51L10L2"</f>
        <v>관광간 51L10L2</v>
      </c>
      <c r="I11363" s="1" t="s">
        <v>8</v>
      </c>
      <c r="J11363" s="1" t="str">
        <f>"2/2"</f>
        <v>2/2</v>
      </c>
      <c r="K11363" s="1" t="str">
        <f>"2026-07-29 13:18:00"</f>
        <v>2026-07-29 13:18:00</v>
      </c>
      <c r="L11363" s="1" t="str">
        <f>"2018-01-09 13:46:42"</f>
        <v>2018-01-09 13:46:42</v>
      </c>
      <c r="M11363" s="1" t="s">
        <v>1</v>
      </c>
      <c r="N11363" s="1" t="s">
        <v>38</v>
      </c>
      <c r="O11363" s="1" t="s">
        <v>46</v>
      </c>
    </row>
    <row r="11364" spans="2:15" x14ac:dyDescent="0.3">
      <c r="B11364" s="1" t="s">
        <v>20</v>
      </c>
      <c r="C11364" s="1" t="str">
        <f>"3차"</f>
        <v>3차</v>
      </c>
      <c r="D11364" s="1" t="str">
        <f>"0025R10139"</f>
        <v>0025R10139</v>
      </c>
      <c r="E11364" s="1" t="s">
        <v>10</v>
      </c>
      <c r="F11364" s="1" t="str">
        <f>"10.10.27.90"</f>
        <v>10.10.27.90</v>
      </c>
      <c r="G11364" s="1" t="str">
        <f>"0025R101"</f>
        <v>0025R101</v>
      </c>
      <c r="H11364" s="1" t="str">
        <f>"관광간 51L11"</f>
        <v>관광간 51L11</v>
      </c>
      <c r="I11364" s="1" t="s">
        <v>8</v>
      </c>
      <c r="J11364" s="1" t="str">
        <f>"15/15"</f>
        <v>15/15</v>
      </c>
      <c r="K11364" s="1" t="str">
        <f>"2026-07-29 13:18:00"</f>
        <v>2026-07-29 13:18:00</v>
      </c>
      <c r="L11364" s="1" t="str">
        <f>"2018-01-09 14:09:12"</f>
        <v>2018-01-09 14:09:12</v>
      </c>
      <c r="M11364" s="1" t="s">
        <v>1</v>
      </c>
      <c r="N11364" s="1" t="s">
        <v>38</v>
      </c>
      <c r="O11364" s="1" t="s">
        <v>46</v>
      </c>
    </row>
    <row r="11365" spans="2:15" x14ac:dyDescent="0.3">
      <c r="B11365" s="1" t="s">
        <v>20</v>
      </c>
      <c r="C11365" s="1" t="str">
        <f>"3차"</f>
        <v>3차</v>
      </c>
      <c r="D11365" s="1" t="str">
        <f>"0025R11131"</f>
        <v>0025R11131</v>
      </c>
      <c r="E11365" s="1" t="s">
        <v>10</v>
      </c>
      <c r="F11365" s="1" t="str">
        <f>"10.10.39.3"</f>
        <v>10.10.39.3</v>
      </c>
      <c r="G11365" s="1" t="str">
        <f>"0025R111"</f>
        <v>0025R111</v>
      </c>
      <c r="H11365" s="1" t="str">
        <f>"관광간 51L10L3"</f>
        <v>관광간 51L10L3</v>
      </c>
      <c r="I11365" s="1" t="s">
        <v>8</v>
      </c>
      <c r="J11365" s="1" t="str">
        <f>"3/3"</f>
        <v>3/3</v>
      </c>
      <c r="K11365" s="1" t="str">
        <f>"2026-07-29 13:18:00"</f>
        <v>2026-07-29 13:18:00</v>
      </c>
      <c r="L11365" s="1" t="str">
        <f>"2018-03-13 17:19:41"</f>
        <v>2018-03-13 17:19:41</v>
      </c>
      <c r="M11365" s="1" t="s">
        <v>1</v>
      </c>
      <c r="N11365" s="1" t="s">
        <v>38</v>
      </c>
      <c r="O11365" s="1" t="s">
        <v>46</v>
      </c>
    </row>
    <row r="11366" spans="2:15" x14ac:dyDescent="0.3">
      <c r="B11366" s="1" t="s">
        <v>20</v>
      </c>
      <c r="C11366" s="1" t="str">
        <f>"1차"</f>
        <v>1차</v>
      </c>
      <c r="D11366" s="1" t="str">
        <f>"0025Y30101"</f>
        <v>0025Y30101</v>
      </c>
      <c r="E11366" s="1" t="s">
        <v>10</v>
      </c>
      <c r="F11366" s="1" t="str">
        <f>"10.125.229.28"</f>
        <v>10.125.229.28</v>
      </c>
      <c r="G11366" s="1" t="str">
        <f>"0025Y301"</f>
        <v>0025Y301</v>
      </c>
      <c r="H11366" s="1" t="str">
        <f>"신동지 5"</f>
        <v>신동지 5</v>
      </c>
      <c r="I11366" s="1" t="s">
        <v>8</v>
      </c>
      <c r="J11366" s="1" t="str">
        <f>"11/12"</f>
        <v>11/12</v>
      </c>
      <c r="K11366" s="1" t="str">
        <f>"2026-07-29 13:18:03"</f>
        <v>2026-07-29 13:18:03</v>
      </c>
      <c r="L11366" s="1" t="str">
        <f>"2014-10-16 17:10:35"</f>
        <v>2014-10-16 17:10:35</v>
      </c>
      <c r="M11366" s="1" t="s">
        <v>45</v>
      </c>
      <c r="N11366" s="1" t="s">
        <v>38</v>
      </c>
      <c r="O11366" s="1" t="s">
        <v>46</v>
      </c>
    </row>
    <row r="11367" spans="2:15" x14ac:dyDescent="0.3">
      <c r="B11367" s="1" t="s">
        <v>20</v>
      </c>
      <c r="C11367" s="1" t="str">
        <f>"1차"</f>
        <v>1차</v>
      </c>
      <c r="D11367" s="1" t="str">
        <f>"0025Y31100"</f>
        <v>0025Y31100</v>
      </c>
      <c r="E11367" s="1" t="s">
        <v>10</v>
      </c>
      <c r="F11367" s="1" t="str">
        <f>"10.125.229.26"</f>
        <v>10.125.229.26</v>
      </c>
      <c r="G11367" s="1" t="str">
        <f>"0025Y311"</f>
        <v>0025Y311</v>
      </c>
      <c r="H11367" s="1" t="str">
        <f>"신동지 6"</f>
        <v>신동지 6</v>
      </c>
      <c r="I11367" s="1" t="s">
        <v>8</v>
      </c>
      <c r="J11367" s="1" t="str">
        <f>"23/23"</f>
        <v>23/23</v>
      </c>
      <c r="K11367" s="1" t="str">
        <f>"2026-07-29 13:18:01"</f>
        <v>2026-07-29 13:18:01</v>
      </c>
      <c r="L11367" s="1" t="str">
        <f>"2014-10-16 17:11:09"</f>
        <v>2014-10-16 17:11:09</v>
      </c>
      <c r="M11367" s="1" t="s">
        <v>45</v>
      </c>
      <c r="N11367" s="1" t="s">
        <v>38</v>
      </c>
      <c r="O11367" s="1" t="s">
        <v>46</v>
      </c>
    </row>
    <row r="11368" spans="2:15" x14ac:dyDescent="0.3">
      <c r="B11368" s="1" t="s">
        <v>20</v>
      </c>
      <c r="C11368" s="1" t="str">
        <f>"3차"</f>
        <v>3차</v>
      </c>
      <c r="D11368" s="1" t="str">
        <f>"0025Y33139"</f>
        <v>0025Y33139</v>
      </c>
      <c r="E11368" s="1" t="s">
        <v>10</v>
      </c>
      <c r="F11368" s="1" t="str">
        <f>"10.12.129.232"</f>
        <v>10.12.129.232</v>
      </c>
      <c r="G11368" s="1" t="str">
        <f>"0025Y331"</f>
        <v>0025Y331</v>
      </c>
      <c r="H11368" s="1" t="str">
        <f>"신동지 8"</f>
        <v>신동지 8</v>
      </c>
      <c r="I11368" s="1" t="s">
        <v>8</v>
      </c>
      <c r="J11368" s="1" t="str">
        <f>"27/28"</f>
        <v>27/28</v>
      </c>
      <c r="K11368" s="1" t="str">
        <f>"2026-07-29 13:18:01"</f>
        <v>2026-07-29 13:18:01</v>
      </c>
      <c r="L11368" s="1" t="str">
        <f>"2018-04-26 14:33:14"</f>
        <v>2018-04-26 14:33:14</v>
      </c>
      <c r="M11368" s="1" t="s">
        <v>0</v>
      </c>
      <c r="N11368" s="1" t="s">
        <v>38</v>
      </c>
      <c r="O11368" s="1" t="s">
        <v>46</v>
      </c>
    </row>
    <row r="11369" spans="2:15" x14ac:dyDescent="0.3">
      <c r="B11369" s="1" t="s">
        <v>20</v>
      </c>
      <c r="C11369" s="1" t="str">
        <f>"4차"</f>
        <v>4차</v>
      </c>
      <c r="D11369" s="1" t="str">
        <f>"0025Y33244"</f>
        <v>0025Y33244</v>
      </c>
      <c r="E11369" s="1" t="s">
        <v>10</v>
      </c>
      <c r="F11369" s="1" t="str">
        <f>"10.10.65.138"</f>
        <v>10.10.65.138</v>
      </c>
      <c r="G11369" s="1" t="str">
        <f>"0025Y332"</f>
        <v>0025Y332</v>
      </c>
      <c r="H11369" s="1" t="str">
        <f>"신동지 9"</f>
        <v>신동지 9</v>
      </c>
      <c r="I11369" s="1" t="s">
        <v>8</v>
      </c>
      <c r="J11369" s="1" t="str">
        <f>"56/56"</f>
        <v>56/56</v>
      </c>
      <c r="K11369" s="1" t="str">
        <f>"2026-07-29 13:18:01"</f>
        <v>2026-07-29 13:18:01</v>
      </c>
      <c r="L11369" s="1" t="str">
        <f>"2019-10-08 17:16:21"</f>
        <v>2019-10-08 17:16:21</v>
      </c>
      <c r="M11369" s="1" t="s">
        <v>1</v>
      </c>
      <c r="N11369" s="1" t="s">
        <v>38</v>
      </c>
      <c r="O11369" s="1" t="s">
        <v>46</v>
      </c>
    </row>
    <row r="11370" spans="2:15" x14ac:dyDescent="0.3">
      <c r="B11370" s="1" t="s">
        <v>20</v>
      </c>
      <c r="C11370" s="1" t="str">
        <f>"1차"</f>
        <v>1차</v>
      </c>
      <c r="D11370" s="1" t="str">
        <f>"0025Y40300"</f>
        <v>0025Y40300</v>
      </c>
      <c r="E11370" s="1" t="s">
        <v>10</v>
      </c>
      <c r="F11370" s="1" t="str">
        <f>"10.125.229.42"</f>
        <v>10.125.229.42</v>
      </c>
      <c r="G11370" s="1" t="str">
        <f>"0025Y403"</f>
        <v>0025Y403</v>
      </c>
      <c r="H11370" s="1" t="str">
        <f>"신동지 3R3"</f>
        <v>신동지 3R3</v>
      </c>
      <c r="I11370" s="1" t="s">
        <v>8</v>
      </c>
      <c r="J11370" s="1" t="str">
        <f>"12/12"</f>
        <v>12/12</v>
      </c>
      <c r="K11370" s="1" t="str">
        <f>"2026-07-29 13:18:01"</f>
        <v>2026-07-29 13:18:01</v>
      </c>
      <c r="L11370" s="1" t="str">
        <f>"2014-10-16 17:11:22"</f>
        <v>2014-10-16 17:11:22</v>
      </c>
      <c r="M11370" s="1" t="s">
        <v>45</v>
      </c>
      <c r="N11370" s="1" t="s">
        <v>38</v>
      </c>
      <c r="O11370" s="1" t="s">
        <v>46</v>
      </c>
    </row>
    <row r="11371" spans="2:15" x14ac:dyDescent="0.3">
      <c r="B11371" s="1" t="s">
        <v>20</v>
      </c>
      <c r="C11371" s="1" t="str">
        <f>"6차"</f>
        <v>6차</v>
      </c>
      <c r="D11371" s="1" t="str">
        <f>"0025Y4116S"</f>
        <v>0025Y4116S</v>
      </c>
      <c r="E11371" s="1" t="s">
        <v>10</v>
      </c>
      <c r="F11371" s="1" t="str">
        <f>"fde1:103:4:c65d:0:0:0:2"</f>
        <v>fde1:103:4:c65d:0:0:0:2</v>
      </c>
      <c r="G11371" s="1" t="str">
        <f>"0025Y411"</f>
        <v>0025Y411</v>
      </c>
      <c r="H11371" s="1" t="str">
        <f>"신동지 3D4"</f>
        <v>신동지 3D4</v>
      </c>
      <c r="I11371" s="1" t="s">
        <v>15</v>
      </c>
      <c r="J11371" s="1" t="str">
        <f>"29/29"</f>
        <v>29/29</v>
      </c>
      <c r="K11371" s="1" t="str">
        <f>"2026-07-29 14:20:04"</f>
        <v>2026-07-29 14:20:04</v>
      </c>
      <c r="L11371" s="1" t="str">
        <f>"2024-11-08 14:08:04"</f>
        <v>2024-11-08 14:08:04</v>
      </c>
      <c r="M11371" s="1" t="s">
        <v>4</v>
      </c>
      <c r="N11371" s="1" t="s">
        <v>38</v>
      </c>
      <c r="O11371" s="1" t="s">
        <v>46</v>
      </c>
    </row>
    <row r="11372" spans="2:15" x14ac:dyDescent="0.3">
      <c r="B11372" s="1" t="s">
        <v>20</v>
      </c>
      <c r="C11372" s="1" t="str">
        <f>"1차"</f>
        <v>1차</v>
      </c>
      <c r="D11372" s="1" t="str">
        <f>"0025Y42101"</f>
        <v>0025Y42101</v>
      </c>
      <c r="E11372" s="1" t="s">
        <v>10</v>
      </c>
      <c r="F11372" s="1" t="str">
        <f>"10.125.229.43"</f>
        <v>10.125.229.43</v>
      </c>
      <c r="G11372" s="1" t="str">
        <f>"0025Y421"</f>
        <v>0025Y421</v>
      </c>
      <c r="H11372" s="1" t="str">
        <f>"신동지 3R5"</f>
        <v>신동지 3R5</v>
      </c>
      <c r="I11372" s="1" t="s">
        <v>8</v>
      </c>
      <c r="J11372" s="1" t="str">
        <f>"7/7"</f>
        <v>7/7</v>
      </c>
      <c r="K11372" s="1" t="str">
        <f>"2026-07-29 13:18:01"</f>
        <v>2026-07-29 13:18:01</v>
      </c>
      <c r="L11372" s="1" t="str">
        <f>"2014-10-16 17:11:41"</f>
        <v>2014-10-16 17:11:41</v>
      </c>
      <c r="M11372" s="1" t="s">
        <v>45</v>
      </c>
      <c r="N11372" s="1" t="s">
        <v>38</v>
      </c>
      <c r="O11372" s="1" t="s">
        <v>46</v>
      </c>
    </row>
    <row r="11373" spans="2:15" x14ac:dyDescent="0.3">
      <c r="B11373" s="1" t="s">
        <v>20</v>
      </c>
      <c r="C11373" s="1" t="str">
        <f>"4차"</f>
        <v>4차</v>
      </c>
      <c r="D11373" s="1" t="str">
        <f>"0124A00230"</f>
        <v>0124A00230</v>
      </c>
      <c r="E11373" s="1" t="s">
        <v>14</v>
      </c>
      <c r="F11373" s="1" t="str">
        <f>"10.10.41.114"</f>
        <v>10.10.41.114</v>
      </c>
      <c r="G11373" s="1" t="str">
        <f>"0124A002"</f>
        <v>0124A002</v>
      </c>
      <c r="H11373" s="1" t="str">
        <f>"보광간 60"</f>
        <v>보광간 60</v>
      </c>
      <c r="I11373" s="1" t="s">
        <v>8</v>
      </c>
      <c r="J11373" s="1" t="str">
        <f>"0/0"</f>
        <v>0/0</v>
      </c>
      <c r="K11373" s="1" t="str">
        <f>"2026-07-29 13:18:01"</f>
        <v>2026-07-29 13:18:01</v>
      </c>
      <c r="L11373" s="1" t="str">
        <f>"2018-04-17 18:19:28"</f>
        <v>2018-04-17 18:19:28</v>
      </c>
      <c r="M11373" s="1" t="s">
        <v>1</v>
      </c>
      <c r="N11373" s="1" t="s">
        <v>38</v>
      </c>
      <c r="O11373" s="1" t="s">
        <v>44</v>
      </c>
    </row>
    <row r="11374" spans="2:15" x14ac:dyDescent="0.3">
      <c r="B11374" s="1" t="s">
        <v>20</v>
      </c>
      <c r="C11374" s="1" t="str">
        <f>"3차"</f>
        <v>3차</v>
      </c>
      <c r="D11374" s="1" t="str">
        <f>"0124A00339"</f>
        <v>0124A00339</v>
      </c>
      <c r="E11374" s="1" t="s">
        <v>10</v>
      </c>
      <c r="F11374" s="1" t="str">
        <f>"10.10.41.122"</f>
        <v>10.10.41.122</v>
      </c>
      <c r="G11374" s="1" t="str">
        <f>"0124A003"</f>
        <v>0124A003</v>
      </c>
      <c r="H11374" s="1" t="str">
        <f>"보광간 60R1"</f>
        <v>보광간 60R1</v>
      </c>
      <c r="I11374" s="1" t="s">
        <v>8</v>
      </c>
      <c r="J11374" s="1" t="str">
        <f>"5/5"</f>
        <v>5/5</v>
      </c>
      <c r="K11374" s="1" t="str">
        <f>"2026-07-29 13:18:01"</f>
        <v>2026-07-29 13:18:01</v>
      </c>
      <c r="L11374" s="1" t="str">
        <f>"2018-04-17 18:17:59"</f>
        <v>2018-04-17 18:17:59</v>
      </c>
      <c r="M11374" s="1" t="s">
        <v>1</v>
      </c>
      <c r="N11374" s="1" t="s">
        <v>38</v>
      </c>
      <c r="O11374" s="1" t="s">
        <v>46</v>
      </c>
    </row>
    <row r="11375" spans="2:15" x14ac:dyDescent="0.3">
      <c r="B11375" s="1" t="s">
        <v>20</v>
      </c>
      <c r="C11375" s="1" t="str">
        <f>"3차"</f>
        <v>3차</v>
      </c>
      <c r="D11375" s="1" t="str">
        <f>"0124A10131"</f>
        <v>0124A10131</v>
      </c>
      <c r="E11375" s="1" t="s">
        <v>10</v>
      </c>
      <c r="F11375" s="1" t="str">
        <f>"10.10.41.115"</f>
        <v>10.10.41.115</v>
      </c>
      <c r="G11375" s="1" t="str">
        <f>"0124A101"</f>
        <v>0124A101</v>
      </c>
      <c r="H11375" s="1" t="str">
        <f>"보광간 62"</f>
        <v>보광간 62</v>
      </c>
      <c r="I11375" s="1" t="s">
        <v>8</v>
      </c>
      <c r="J11375" s="1" t="str">
        <f>"7/7"</f>
        <v>7/7</v>
      </c>
      <c r="K11375" s="1" t="str">
        <f>"2026-07-29 13:18:01"</f>
        <v>2026-07-29 13:18:01</v>
      </c>
      <c r="L11375" s="1" t="str">
        <f>"2018-04-26 11:13:11"</f>
        <v>2018-04-26 11:13:11</v>
      </c>
      <c r="M11375" s="1" t="s">
        <v>1</v>
      </c>
      <c r="N11375" s="1" t="s">
        <v>38</v>
      </c>
      <c r="O11375" s="1" t="s">
        <v>46</v>
      </c>
    </row>
    <row r="11376" spans="2:15" x14ac:dyDescent="0.3">
      <c r="B11376" s="1" t="s">
        <v>20</v>
      </c>
      <c r="C11376" s="1" t="str">
        <f>"4차"</f>
        <v>4차</v>
      </c>
      <c r="D11376" s="1" t="str">
        <f>"0124C02439"</f>
        <v>0124C02439</v>
      </c>
      <c r="E11376" s="1" t="s">
        <v>10</v>
      </c>
      <c r="F11376" s="1" t="str">
        <f>"10.10.40.194"</f>
        <v>10.10.40.194</v>
      </c>
      <c r="G11376" s="1" t="str">
        <f>"0124C024"</f>
        <v>0124C024</v>
      </c>
      <c r="H11376" s="1" t="str">
        <f>"유엔간 19L5"</f>
        <v>유엔간 19L5</v>
      </c>
      <c r="I11376" s="1" t="s">
        <v>8</v>
      </c>
      <c r="J11376" s="1" t="str">
        <f>"7/7"</f>
        <v>7/7</v>
      </c>
      <c r="K11376" s="1" t="str">
        <f>"2026-07-29 13:18:01"</f>
        <v>2026-07-29 13:18:01</v>
      </c>
      <c r="L11376" s="1" t="str">
        <f>"2018-03-12 17:14:59"</f>
        <v>2018-03-12 17:14:59</v>
      </c>
      <c r="M11376" s="1" t="s">
        <v>1</v>
      </c>
      <c r="N11376" s="1" t="s">
        <v>38</v>
      </c>
      <c r="O11376" s="1" t="s">
        <v>46</v>
      </c>
    </row>
    <row r="11377" spans="2:15" x14ac:dyDescent="0.3">
      <c r="B11377" s="1" t="s">
        <v>20</v>
      </c>
      <c r="C11377" s="1" t="str">
        <f>"4차"</f>
        <v>4차</v>
      </c>
      <c r="D11377" s="1" t="str">
        <f>"0124C05139"</f>
        <v>0124C05139</v>
      </c>
      <c r="E11377" s="1" t="s">
        <v>14</v>
      </c>
      <c r="F11377" s="1" t="str">
        <f>"10.12.134.232"</f>
        <v>10.12.134.232</v>
      </c>
      <c r="G11377" s="1" t="str">
        <f>"0124C051"</f>
        <v>0124C051</v>
      </c>
      <c r="H11377" s="1" t="str">
        <f>"독서당로 8"</f>
        <v>독서당로 8</v>
      </c>
      <c r="I11377" s="1" t="s">
        <v>17</v>
      </c>
      <c r="J11377" s="1" t="str">
        <f>"0/0"</f>
        <v>0/0</v>
      </c>
      <c r="K11377" s="1" t="str">
        <f>"2026-06-10 07:18:02"</f>
        <v>2026-06-10 07:18:02</v>
      </c>
      <c r="L11377" s="1" t="str">
        <f>"2018-05-14 12:52:42"</f>
        <v>2018-05-14 12:52:42</v>
      </c>
      <c r="M11377" s="1" t="s">
        <v>0</v>
      </c>
      <c r="N11377" s="1" t="s">
        <v>39</v>
      </c>
      <c r="O11377" s="1" t="s">
        <v>46</v>
      </c>
    </row>
    <row r="11378" spans="2:15" x14ac:dyDescent="0.3">
      <c r="B11378" s="1" t="s">
        <v>20</v>
      </c>
      <c r="C11378" s="1" t="str">
        <f>"4차"</f>
        <v>4차</v>
      </c>
      <c r="D11378" s="1" t="str">
        <f>"0124C08139"</f>
        <v>0124C08139</v>
      </c>
      <c r="E11378" s="1" t="s">
        <v>10</v>
      </c>
      <c r="F11378" s="1" t="str">
        <f>"10.12.135.2"</f>
        <v>10.12.135.2</v>
      </c>
      <c r="G11378" s="1" t="str">
        <f>"0124C081"</f>
        <v>0124C081</v>
      </c>
      <c r="H11378" s="1" t="str">
        <f>"독서당로 11"</f>
        <v>독서당로 11</v>
      </c>
      <c r="I11378" s="1" t="s">
        <v>17</v>
      </c>
      <c r="J11378" s="1" t="str">
        <f>"22/23"</f>
        <v>22/23</v>
      </c>
      <c r="K11378" s="1" t="str">
        <f>"2026-07-29 13:18:02"</f>
        <v>2026-07-29 13:18:02</v>
      </c>
      <c r="L11378" s="1" t="str">
        <f>"2018-05-14 15:32:31"</f>
        <v>2018-05-14 15:32:31</v>
      </c>
      <c r="M11378" s="1" t="s">
        <v>0</v>
      </c>
      <c r="N11378" s="1" t="s">
        <v>38</v>
      </c>
      <c r="O11378" s="1" t="s">
        <v>46</v>
      </c>
    </row>
    <row r="11379" spans="2:15" x14ac:dyDescent="0.3">
      <c r="B11379" s="1" t="s">
        <v>20</v>
      </c>
      <c r="C11379" s="1" t="str">
        <f>"1차"</f>
        <v>1차</v>
      </c>
      <c r="D11379" s="1" t="str">
        <f>"0124C10301"</f>
        <v>0124C10301</v>
      </c>
      <c r="E11379" s="1" t="s">
        <v>10</v>
      </c>
      <c r="F11379" s="1" t="str">
        <f>"10.125.228.35"</f>
        <v>10.125.228.35</v>
      </c>
      <c r="G11379" s="1" t="str">
        <f>"0124C103"</f>
        <v>0124C103</v>
      </c>
      <c r="H11379" s="1" t="str">
        <f>"유엔간 12R3R3"</f>
        <v>유엔간 12R3R3</v>
      </c>
      <c r="I11379" s="1" t="s">
        <v>8</v>
      </c>
      <c r="J11379" s="1" t="str">
        <f>"5/6"</f>
        <v>5/6</v>
      </c>
      <c r="K11379" s="1" t="str">
        <f>"2026-07-29 13:18:01"</f>
        <v>2026-07-29 13:18:01</v>
      </c>
      <c r="L11379" s="1" t="str">
        <f>"2014-12-04 14:53:52"</f>
        <v>2014-12-04 14:53:52</v>
      </c>
      <c r="M11379" s="1" t="s">
        <v>45</v>
      </c>
      <c r="N11379" s="1" t="s">
        <v>38</v>
      </c>
      <c r="O11379" s="1" t="s">
        <v>46</v>
      </c>
    </row>
    <row r="11380" spans="2:15" x14ac:dyDescent="0.3">
      <c r="B11380" s="1" t="s">
        <v>20</v>
      </c>
      <c r="C11380" s="1" t="str">
        <f>"4차"</f>
        <v>4차</v>
      </c>
      <c r="D11380" s="1" t="str">
        <f>"0124C17139"</f>
        <v>0124C17139</v>
      </c>
      <c r="E11380" s="1" t="s">
        <v>10</v>
      </c>
      <c r="F11380" s="1" t="str">
        <f>"10.12.135.17"</f>
        <v>10.12.135.17</v>
      </c>
      <c r="G11380" s="1" t="str">
        <f>"0124C171"</f>
        <v>0124C171</v>
      </c>
      <c r="H11380" s="1" t="str">
        <f>"독서당로 10"</f>
        <v>독서당로 10</v>
      </c>
      <c r="I11380" s="1" t="s">
        <v>17</v>
      </c>
      <c r="J11380" s="1" t="str">
        <f>"4/4"</f>
        <v>4/4</v>
      </c>
      <c r="K11380" s="1" t="str">
        <f>"2026-07-29 13:18:02"</f>
        <v>2026-07-29 13:18:02</v>
      </c>
      <c r="L11380" s="1" t="str">
        <f>"2018-05-14 13:17:44"</f>
        <v>2018-05-14 13:17:44</v>
      </c>
      <c r="M11380" s="1" t="s">
        <v>0</v>
      </c>
      <c r="N11380" s="1" t="s">
        <v>38</v>
      </c>
      <c r="O11380" s="1" t="s">
        <v>46</v>
      </c>
    </row>
    <row r="11381" spans="2:15" x14ac:dyDescent="0.3">
      <c r="B11381" s="1" t="s">
        <v>20</v>
      </c>
      <c r="C11381" s="1" t="str">
        <f>"1차"</f>
        <v>1차</v>
      </c>
      <c r="D11381" s="1" t="str">
        <f>"0124C21200"</f>
        <v>0124C21200</v>
      </c>
      <c r="E11381" s="1" t="s">
        <v>10</v>
      </c>
      <c r="F11381" s="1" t="str">
        <f>"10.125.228.34"</f>
        <v>10.125.228.34</v>
      </c>
      <c r="G11381" s="1" t="str">
        <f>"0124C212"</f>
        <v>0124C212</v>
      </c>
      <c r="H11381" s="1" t="str">
        <f>"유엔간 12R3R1"</f>
        <v>유엔간 12R3R1</v>
      </c>
      <c r="I11381" s="1" t="s">
        <v>8</v>
      </c>
      <c r="J11381" s="1" t="str">
        <f>"7/7"</f>
        <v>7/7</v>
      </c>
      <c r="K11381" s="1" t="str">
        <f>"2026-07-29 13:18:01"</f>
        <v>2026-07-29 13:18:01</v>
      </c>
      <c r="L11381" s="1" t="str">
        <f>"2014-12-04 14:29:18"</f>
        <v>2014-12-04 14:29:18</v>
      </c>
      <c r="M11381" s="1" t="s">
        <v>45</v>
      </c>
      <c r="N11381" s="1" t="s">
        <v>38</v>
      </c>
      <c r="O11381" s="1" t="s">
        <v>46</v>
      </c>
    </row>
    <row r="11382" spans="2:15" x14ac:dyDescent="0.3">
      <c r="B11382" s="1" t="s">
        <v>20</v>
      </c>
      <c r="C11382" s="1" t="str">
        <f>"3차"</f>
        <v>3차</v>
      </c>
      <c r="D11382" s="1" t="str">
        <f>"0124C22339"</f>
        <v>0124C22339</v>
      </c>
      <c r="E11382" s="1" t="s">
        <v>10</v>
      </c>
      <c r="F11382" s="1" t="str">
        <f>"10.10.40.186"</f>
        <v>10.10.40.186</v>
      </c>
      <c r="G11382" s="1" t="str">
        <f>"0124C223"</f>
        <v>0124C223</v>
      </c>
      <c r="H11382" s="1" t="str">
        <f>"유엔간 12R4"</f>
        <v>유엔간 12R4</v>
      </c>
      <c r="I11382" s="1" t="s">
        <v>8</v>
      </c>
      <c r="J11382" s="1" t="str">
        <f>"8/8"</f>
        <v>8/8</v>
      </c>
      <c r="K11382" s="1" t="str">
        <f>"2026-07-29 13:18:01"</f>
        <v>2026-07-29 13:18:01</v>
      </c>
      <c r="L11382" s="1" t="str">
        <f>"2018-03-12 17:19:58"</f>
        <v>2018-03-12 17:19:58</v>
      </c>
      <c r="M11382" s="1" t="s">
        <v>1</v>
      </c>
      <c r="N11382" s="1" t="s">
        <v>38</v>
      </c>
      <c r="O11382" s="1" t="s">
        <v>46</v>
      </c>
    </row>
    <row r="11383" spans="2:15" x14ac:dyDescent="0.3">
      <c r="B11383" s="1" t="s">
        <v>20</v>
      </c>
      <c r="C11383" s="1" t="str">
        <f>"4차"</f>
        <v>4차</v>
      </c>
      <c r="D11383" s="1" t="str">
        <f>"0124C24639"</f>
        <v>0124C24639</v>
      </c>
      <c r="E11383" s="1" t="s">
        <v>10</v>
      </c>
      <c r="F11383" s="1" t="str">
        <f>"10.12.135.122"</f>
        <v>10.12.135.122</v>
      </c>
      <c r="G11383" s="1" t="str">
        <f>"0124C246"</f>
        <v>0124C246</v>
      </c>
      <c r="H11383" s="1" t="str">
        <f>"유엔로 1-1"</f>
        <v>유엔로 1-1</v>
      </c>
      <c r="I11383" s="1" t="s">
        <v>17</v>
      </c>
      <c r="J11383" s="1" t="str">
        <f>"6/6"</f>
        <v>6/6</v>
      </c>
      <c r="K11383" s="1" t="str">
        <f>"2026-07-29 13:18:01"</f>
        <v>2026-07-29 13:18:01</v>
      </c>
      <c r="L11383" s="1" t="str">
        <f>"2018-05-21 11:52:36"</f>
        <v>2018-05-21 11:52:36</v>
      </c>
      <c r="M11383" s="1" t="s">
        <v>0</v>
      </c>
      <c r="N11383" s="1" t="s">
        <v>38</v>
      </c>
      <c r="O11383" s="1" t="s">
        <v>46</v>
      </c>
    </row>
    <row r="11384" spans="2:15" x14ac:dyDescent="0.3">
      <c r="B11384" s="1" t="s">
        <v>20</v>
      </c>
      <c r="C11384" s="1" t="str">
        <f>"4차"</f>
        <v>4차</v>
      </c>
      <c r="D11384" s="1" t="str">
        <f>"0124C26439"</f>
        <v>0124C26439</v>
      </c>
      <c r="E11384" s="1" t="s">
        <v>10</v>
      </c>
      <c r="F11384" s="1" t="str">
        <f>"10.12.132.73"</f>
        <v>10.12.132.73</v>
      </c>
      <c r="G11384" s="1" t="str">
        <f>"0124C264"</f>
        <v>0124C264</v>
      </c>
      <c r="H11384" s="1" t="str">
        <f>"유엔로 2"</f>
        <v>유엔로 2</v>
      </c>
      <c r="I11384" s="1" t="s">
        <v>17</v>
      </c>
      <c r="J11384" s="1" t="str">
        <f>"29/29"</f>
        <v>29/29</v>
      </c>
      <c r="K11384" s="1" t="str">
        <f>"2026-07-29 13:18:01"</f>
        <v>2026-07-29 13:18:01</v>
      </c>
      <c r="L11384" s="1" t="str">
        <f>"2018-05-21 13:55:22"</f>
        <v>2018-05-21 13:55:22</v>
      </c>
      <c r="M11384" s="1" t="s">
        <v>0</v>
      </c>
      <c r="N11384" s="1" t="s">
        <v>38</v>
      </c>
      <c r="O11384" s="1" t="s">
        <v>46</v>
      </c>
    </row>
    <row r="11385" spans="2:15" x14ac:dyDescent="0.3">
      <c r="B11385" s="1" t="s">
        <v>20</v>
      </c>
      <c r="C11385" s="1" t="str">
        <f>"4차"</f>
        <v>4차</v>
      </c>
      <c r="D11385" s="1" t="str">
        <f>"0124C26539"</f>
        <v>0124C26539</v>
      </c>
      <c r="E11385" s="1" t="s">
        <v>10</v>
      </c>
      <c r="F11385" s="1" t="str">
        <f>"10.12.135.129"</f>
        <v>10.12.135.129</v>
      </c>
      <c r="G11385" s="1" t="str">
        <f>"0124C265"</f>
        <v>0124C265</v>
      </c>
      <c r="H11385" s="1" t="str">
        <f>"유엔로 3"</f>
        <v>유엔로 3</v>
      </c>
      <c r="I11385" s="1" t="s">
        <v>17</v>
      </c>
      <c r="J11385" s="1" t="str">
        <f>"6/6"</f>
        <v>6/6</v>
      </c>
      <c r="K11385" s="1" t="str">
        <f>"2026-07-29 13:18:01"</f>
        <v>2026-07-29 13:18:01</v>
      </c>
      <c r="L11385" s="1" t="str">
        <f>"2018-07-31 14:17:02"</f>
        <v>2018-07-31 14:17:02</v>
      </c>
      <c r="M11385" s="1" t="s">
        <v>0</v>
      </c>
      <c r="N11385" s="1" t="s">
        <v>38</v>
      </c>
      <c r="O11385" s="1" t="s">
        <v>46</v>
      </c>
    </row>
    <row r="11386" spans="2:15" x14ac:dyDescent="0.3">
      <c r="B11386" s="1" t="s">
        <v>20</v>
      </c>
      <c r="C11386" s="1" t="str">
        <f>"1차"</f>
        <v>1차</v>
      </c>
      <c r="D11386" s="1" t="str">
        <f>"0124C34100"</f>
        <v>0124C34100</v>
      </c>
      <c r="E11386" s="1" t="s">
        <v>14</v>
      </c>
      <c r="F11386" s="1" t="str">
        <f>"10.125.228.50"</f>
        <v>10.125.228.50</v>
      </c>
      <c r="G11386" s="1" t="str">
        <f>"0124C341"</f>
        <v>0124C341</v>
      </c>
      <c r="H11386" s="1" t="str">
        <f>"유엔간 20AR3"</f>
        <v>유엔간 20AR3</v>
      </c>
      <c r="I11386" s="1" t="s">
        <v>8</v>
      </c>
      <c r="J11386" s="1" t="str">
        <f>"0/0"</f>
        <v>0/0</v>
      </c>
      <c r="K11386" s="1" t="str">
        <f>"2026-06-22 07:18:01"</f>
        <v>2026-06-22 07:18:01</v>
      </c>
      <c r="L11386" s="1" t="str">
        <f>"2014-11-24 09:58:13"</f>
        <v>2014-11-24 09:58:13</v>
      </c>
      <c r="M11386" s="1" t="s">
        <v>45</v>
      </c>
      <c r="N11386" s="1" t="s">
        <v>44</v>
      </c>
      <c r="O11386" s="1" t="s">
        <v>44</v>
      </c>
    </row>
    <row r="11387" spans="2:15" x14ac:dyDescent="0.3">
      <c r="B11387" s="1" t="s">
        <v>20</v>
      </c>
      <c r="C11387" s="1" t="str">
        <f>"4차"</f>
        <v>4차</v>
      </c>
      <c r="D11387" s="1" t="str">
        <f>"0124C38239"</f>
        <v>0124C38239</v>
      </c>
      <c r="E11387" s="1" t="s">
        <v>10</v>
      </c>
      <c r="F11387" s="1" t="str">
        <f>"10.12.135.140"</f>
        <v>10.12.135.140</v>
      </c>
      <c r="G11387" s="1" t="str">
        <f>"0124C382"</f>
        <v>0124C382</v>
      </c>
      <c r="H11387" s="1" t="str">
        <f>"유엔로 3-1"</f>
        <v>유엔로 3-1</v>
      </c>
      <c r="I11387" s="1" t="s">
        <v>17</v>
      </c>
      <c r="J11387" s="1" t="str">
        <f>"7/7"</f>
        <v>7/7</v>
      </c>
      <c r="K11387" s="1" t="str">
        <f>"2026-07-29 13:18:01"</f>
        <v>2026-07-29 13:18:01</v>
      </c>
      <c r="L11387" s="1" t="str">
        <f>"2018-05-21 14:18:25"</f>
        <v>2018-05-21 14:18:25</v>
      </c>
      <c r="M11387" s="1" t="s">
        <v>0</v>
      </c>
      <c r="N11387" s="1" t="s">
        <v>38</v>
      </c>
      <c r="O11387" s="1" t="s">
        <v>46</v>
      </c>
    </row>
    <row r="11388" spans="2:15" x14ac:dyDescent="0.3">
      <c r="B11388" s="1" t="s">
        <v>20</v>
      </c>
      <c r="C11388" s="1" t="str">
        <f>"3차"</f>
        <v>3차</v>
      </c>
      <c r="D11388" s="1" t="str">
        <f>"0124C46439"</f>
        <v>0124C46439</v>
      </c>
      <c r="E11388" s="1" t="s">
        <v>10</v>
      </c>
      <c r="F11388" s="1" t="str">
        <f>"10.125.239.154"</f>
        <v>10.125.239.154</v>
      </c>
      <c r="G11388" s="1" t="str">
        <f>"0124C464"</f>
        <v>0124C464</v>
      </c>
      <c r="H11388" s="1" t="str">
        <f>"유엔간 21R1"</f>
        <v>유엔간 21R1</v>
      </c>
      <c r="I11388" s="1" t="s">
        <v>8</v>
      </c>
      <c r="J11388" s="1" t="str">
        <f>"9/9"</f>
        <v>9/9</v>
      </c>
      <c r="K11388" s="1" t="str">
        <f>"2026-07-29 13:18:01"</f>
        <v>2026-07-29 13:18:01</v>
      </c>
      <c r="L11388" s="1" t="str">
        <f>"2018-07-17 13:14:44"</f>
        <v>2018-07-17 13:14:44</v>
      </c>
      <c r="M11388" s="1" t="s">
        <v>45</v>
      </c>
      <c r="N11388" s="1" t="s">
        <v>38</v>
      </c>
      <c r="O11388" s="1" t="s">
        <v>46</v>
      </c>
    </row>
    <row r="11389" spans="2:15" x14ac:dyDescent="0.3">
      <c r="B11389" s="1" t="s">
        <v>20</v>
      </c>
      <c r="C11389" s="1" t="str">
        <f>"4차"</f>
        <v>4차</v>
      </c>
      <c r="D11389" s="1" t="str">
        <f>"0124C48339"</f>
        <v>0124C48339</v>
      </c>
      <c r="E11389" s="1" t="s">
        <v>10</v>
      </c>
      <c r="F11389" s="1" t="str">
        <f>"10.12.135.139"</f>
        <v>10.12.135.139</v>
      </c>
      <c r="G11389" s="1" t="str">
        <f>"0124C483"</f>
        <v>0124C483</v>
      </c>
      <c r="H11389" s="1" t="str">
        <f>"유엔로 4"</f>
        <v>유엔로 4</v>
      </c>
      <c r="I11389" s="1" t="s">
        <v>17</v>
      </c>
      <c r="J11389" s="1" t="str">
        <f>"9/9"</f>
        <v>9/9</v>
      </c>
      <c r="K11389" s="1" t="str">
        <f>"2026-07-29 13:18:01"</f>
        <v>2026-07-29 13:18:01</v>
      </c>
      <c r="L11389" s="1" t="str">
        <f>"2018-05-21 14:46:24"</f>
        <v>2018-05-21 14:46:24</v>
      </c>
      <c r="M11389" s="1" t="s">
        <v>0</v>
      </c>
      <c r="N11389" s="1" t="s">
        <v>38</v>
      </c>
      <c r="O11389" s="1" t="s">
        <v>46</v>
      </c>
    </row>
    <row r="11390" spans="2:15" x14ac:dyDescent="0.3">
      <c r="B11390" s="1" t="s">
        <v>20</v>
      </c>
      <c r="C11390" s="1" t="str">
        <f>"4차"</f>
        <v>4차</v>
      </c>
      <c r="D11390" s="1" t="str">
        <f>"9525F67144"</f>
        <v>9525F67144</v>
      </c>
      <c r="E11390" s="1" t="s">
        <v>10</v>
      </c>
      <c r="F11390" s="1" t="str">
        <f>"10.10.139.138"</f>
        <v>10.10.139.138</v>
      </c>
      <c r="G11390" s="1" t="str">
        <f>"9525F671"</f>
        <v>9525F671</v>
      </c>
      <c r="H11390" s="1" t="str">
        <f>"동국지 28R2L1"</f>
        <v>동국지 28R2L1</v>
      </c>
      <c r="I11390" s="1" t="s">
        <v>8</v>
      </c>
      <c r="J11390" s="1" t="str">
        <f>"43/43"</f>
        <v>43/43</v>
      </c>
      <c r="K11390" s="1" t="str">
        <f>"2026-07-29 13:18:10"</f>
        <v>2026-07-29 13:18:10</v>
      </c>
      <c r="L11390" s="1" t="str">
        <f>"2019-12-11 18:21:51"</f>
        <v>2019-12-11 18:21:51</v>
      </c>
      <c r="M11390" s="1" t="s">
        <v>1</v>
      </c>
      <c r="N11390" s="1" t="s">
        <v>38</v>
      </c>
      <c r="O11390" s="1" t="s">
        <v>46</v>
      </c>
    </row>
    <row r="11391" spans="2:15" x14ac:dyDescent="0.3">
      <c r="B11391" s="1" t="s">
        <v>20</v>
      </c>
      <c r="C11391" s="1" t="str">
        <f>"5-1차"</f>
        <v>5-1차</v>
      </c>
      <c r="D11391" s="1" t="str">
        <f>"9525F7615M"</f>
        <v>9525F7615M</v>
      </c>
      <c r="E11391" s="1" t="s">
        <v>10</v>
      </c>
      <c r="F11391" s="1" t="str">
        <f>"fde2:104:0:a2:0:0:0:2"</f>
        <v>fde2:104:0:a2:0:0:0:2</v>
      </c>
      <c r="G11391" s="1" t="str">
        <f>"9525F761"</f>
        <v>9525F761</v>
      </c>
      <c r="H11391" s="1" t="str">
        <f>"동국지 27"</f>
        <v>동국지 27</v>
      </c>
      <c r="I11391" s="1" t="s">
        <v>15</v>
      </c>
      <c r="J11391" s="1" t="str">
        <f>"4/4"</f>
        <v>4/4</v>
      </c>
      <c r="K11391" s="1" t="str">
        <f>"2026-07-29 14:21:35"</f>
        <v>2026-07-29 14:21:35</v>
      </c>
      <c r="L11391" s="1" t="str">
        <f>"2022-09-27 08:17:05"</f>
        <v>2022-09-27 08:17:05</v>
      </c>
      <c r="M11391" s="1" t="s">
        <v>42</v>
      </c>
      <c r="N11391" s="1" t="s">
        <v>38</v>
      </c>
      <c r="O11391" s="1" t="s">
        <v>46</v>
      </c>
    </row>
    <row r="11392" spans="2:15" x14ac:dyDescent="0.3">
      <c r="B11392" s="1" t="s">
        <v>20</v>
      </c>
      <c r="C11392" s="1" t="str">
        <f>"4차"</f>
        <v>4차</v>
      </c>
      <c r="D11392" s="1" t="str">
        <f>"9525F77144"</f>
        <v>9525F77144</v>
      </c>
      <c r="E11392" s="1" t="s">
        <v>14</v>
      </c>
      <c r="F11392" s="1" t="str">
        <f>"10.10.139.130"</f>
        <v>10.10.139.130</v>
      </c>
      <c r="G11392" s="1" t="str">
        <f>"9525F771"</f>
        <v>9525F771</v>
      </c>
      <c r="H11392" s="1" t="str">
        <f>"동국지 28R1"</f>
        <v>동국지 28R1</v>
      </c>
      <c r="I11392" s="1" t="s">
        <v>8</v>
      </c>
      <c r="J11392" s="1" t="str">
        <f>"0/0"</f>
        <v>0/0</v>
      </c>
      <c r="K11392" s="1" t="str">
        <f>"2026-07-29 13:18:10"</f>
        <v>2026-07-29 13:18:10</v>
      </c>
      <c r="L11392" s="1" t="str">
        <f>"2019-12-11 18:18:52"</f>
        <v>2019-12-11 18:18:52</v>
      </c>
      <c r="M11392" s="1" t="s">
        <v>1</v>
      </c>
      <c r="N11392" s="1" t="s">
        <v>38</v>
      </c>
      <c r="O11392" s="1" t="s">
        <v>44</v>
      </c>
    </row>
    <row r="11393" spans="2:15" x14ac:dyDescent="0.3">
      <c r="B11393" s="1" t="s">
        <v>20</v>
      </c>
      <c r="C11393" s="1" t="str">
        <f>"4차"</f>
        <v>4차</v>
      </c>
      <c r="D11393" s="1" t="str">
        <f>"9525F77244"</f>
        <v>9525F77244</v>
      </c>
      <c r="E11393" s="1" t="s">
        <v>14</v>
      </c>
      <c r="F11393" s="1" t="str">
        <f>"10.10.141.42"</f>
        <v>10.10.141.42</v>
      </c>
      <c r="G11393" s="1" t="str">
        <f>"9525F772"</f>
        <v>9525F772</v>
      </c>
      <c r="H11393" s="1" t="str">
        <f>"동국지 28R2"</f>
        <v>동국지 28R2</v>
      </c>
      <c r="I11393" s="1" t="s">
        <v>8</v>
      </c>
      <c r="J11393" s="1" t="str">
        <f>"0/0"</f>
        <v>0/0</v>
      </c>
      <c r="K11393" s="1" t="str">
        <f>"2026-07-29 13:18:10"</f>
        <v>2026-07-29 13:18:10</v>
      </c>
      <c r="L11393" s="1" t="str">
        <f>"2020-01-11 02:22:42"</f>
        <v>2020-01-11 02:22:42</v>
      </c>
      <c r="M11393" s="1" t="s">
        <v>1</v>
      </c>
      <c r="N11393" s="1" t="s">
        <v>38</v>
      </c>
      <c r="O11393" s="1" t="s">
        <v>44</v>
      </c>
    </row>
    <row r="11394" spans="2:15" x14ac:dyDescent="0.3">
      <c r="B11394" s="1" t="s">
        <v>20</v>
      </c>
      <c r="C11394" s="1" t="str">
        <f>"4차"</f>
        <v>4차</v>
      </c>
      <c r="D11394" s="1" t="str">
        <f>"9525F78144"</f>
        <v>9525F78144</v>
      </c>
      <c r="E11394" s="1" t="s">
        <v>14</v>
      </c>
      <c r="F11394" s="1" t="str">
        <f>"10.10.139.170"</f>
        <v>10.10.139.170</v>
      </c>
      <c r="G11394" s="1" t="str">
        <f>"9525F781"</f>
        <v>9525F781</v>
      </c>
      <c r="H11394" s="1" t="str">
        <f>"동국지 28R3"</f>
        <v>동국지 28R3</v>
      </c>
      <c r="I11394" s="1" t="s">
        <v>8</v>
      </c>
      <c r="J11394" s="1" t="str">
        <f>"0/0"</f>
        <v>0/0</v>
      </c>
      <c r="K11394" s="1" t="str">
        <f>"2026-07-29 13:18:10"</f>
        <v>2026-07-29 13:18:10</v>
      </c>
      <c r="L11394" s="1" t="str">
        <f>"2019-12-11 18:17:11"</f>
        <v>2019-12-11 18:17:11</v>
      </c>
      <c r="M11394" s="1" t="s">
        <v>1</v>
      </c>
      <c r="N11394" s="1" t="s">
        <v>38</v>
      </c>
      <c r="O11394" s="1" t="s">
        <v>44</v>
      </c>
    </row>
    <row r="11395" spans="2:15" x14ac:dyDescent="0.3">
      <c r="B11395" s="1" t="s">
        <v>20</v>
      </c>
      <c r="C11395" s="1" t="str">
        <f>"4차"</f>
        <v>4차</v>
      </c>
      <c r="D11395" s="1" t="str">
        <f>"9525F86144"</f>
        <v>9525F86144</v>
      </c>
      <c r="E11395" s="1" t="s">
        <v>14</v>
      </c>
      <c r="F11395" s="1" t="str">
        <f>"10.10.139.114"</f>
        <v>10.10.139.114</v>
      </c>
      <c r="G11395" s="1" t="str">
        <f>"9525F861"</f>
        <v>9525F861</v>
      </c>
      <c r="H11395" s="1" t="str">
        <f>"동국지 26"</f>
        <v>동국지 26</v>
      </c>
      <c r="I11395" s="1" t="s">
        <v>8</v>
      </c>
      <c r="J11395" s="1" t="str">
        <f>"0/0"</f>
        <v>0/0</v>
      </c>
      <c r="K11395" s="1" t="str">
        <f>"2026-07-29 13:18:10"</f>
        <v>2026-07-29 13:18:10</v>
      </c>
      <c r="L11395" s="1" t="str">
        <f>"2019-12-11 18:21:36"</f>
        <v>2019-12-11 18:21:36</v>
      </c>
      <c r="M11395" s="1" t="s">
        <v>1</v>
      </c>
      <c r="N11395" s="1" t="s">
        <v>38</v>
      </c>
      <c r="O11395" s="1" t="s">
        <v>44</v>
      </c>
    </row>
    <row r="11396" spans="2:15" x14ac:dyDescent="0.3">
      <c r="B11396" s="1" t="s">
        <v>20</v>
      </c>
      <c r="C11396" s="1" t="str">
        <f>"5-1차"</f>
        <v>5-1차</v>
      </c>
      <c r="D11396" s="1" t="str">
        <f>"9525F8725M"</f>
        <v>9525F8725M</v>
      </c>
      <c r="E11396" s="1" t="s">
        <v>10</v>
      </c>
      <c r="F11396" s="1" t="str">
        <f>"fde3:102:1300:2400:0:0:0:2"</f>
        <v>fde3:102:1300:2400:0:0:0:2</v>
      </c>
      <c r="G11396" s="1" t="str">
        <f>"9525F872"</f>
        <v>9525F872</v>
      </c>
      <c r="H11396" s="1" t="str">
        <f>"동국지 25H1"</f>
        <v>동국지 25H1</v>
      </c>
      <c r="I11396" s="1" t="s">
        <v>15</v>
      </c>
      <c r="J11396" s="1" t="str">
        <f>"32/32"</f>
        <v>32/32</v>
      </c>
      <c r="K11396" s="1" t="str">
        <f>"2026-07-29 14:21:14"</f>
        <v>2026-07-29 14:21:14</v>
      </c>
      <c r="L11396" s="1" t="str">
        <f>"2022-12-07 16:27:33"</f>
        <v>2022-12-07 16:27:33</v>
      </c>
      <c r="M11396" s="1" t="s">
        <v>45</v>
      </c>
      <c r="N11396" s="1" t="s">
        <v>38</v>
      </c>
      <c r="O11396" s="1" t="s">
        <v>46</v>
      </c>
    </row>
    <row r="11397" spans="2:15" x14ac:dyDescent="0.3">
      <c r="B11397" s="1" t="s">
        <v>20</v>
      </c>
      <c r="C11397" s="1" t="str">
        <f>"4차"</f>
        <v>4차</v>
      </c>
      <c r="D11397" s="1" t="str">
        <f>"9525F93444"</f>
        <v>9525F93444</v>
      </c>
      <c r="E11397" s="1" t="s">
        <v>10</v>
      </c>
      <c r="F11397" s="1" t="str">
        <f>"10.12.138.91"</f>
        <v>10.12.138.91</v>
      </c>
      <c r="G11397" s="1" t="str">
        <f>"9525F934"</f>
        <v>9525F934</v>
      </c>
      <c r="H11397" s="1" t="str">
        <f>"동국지 15L8"</f>
        <v>동국지 15L8</v>
      </c>
      <c r="I11397" s="1" t="s">
        <v>8</v>
      </c>
      <c r="J11397" s="1" t="str">
        <f>"28/28"</f>
        <v>28/28</v>
      </c>
      <c r="K11397" s="1" t="str">
        <f>"2026-07-29 13:18:10"</f>
        <v>2026-07-29 13:18:10</v>
      </c>
      <c r="L11397" s="1" t="str">
        <f>"2020-01-23 14:10:02"</f>
        <v>2020-01-23 14:10:02</v>
      </c>
      <c r="M11397" s="1" t="s">
        <v>0</v>
      </c>
      <c r="N11397" s="1" t="s">
        <v>38</v>
      </c>
      <c r="O11397" s="1" t="s">
        <v>46</v>
      </c>
    </row>
    <row r="11398" spans="2:15" x14ac:dyDescent="0.3">
      <c r="B11398" s="1" t="s">
        <v>20</v>
      </c>
      <c r="C11398" s="1" t="str">
        <f>"4차"</f>
        <v>4차</v>
      </c>
      <c r="D11398" s="1" t="str">
        <f>"9525F97144"</f>
        <v>9525F97144</v>
      </c>
      <c r="E11398" s="1" t="s">
        <v>10</v>
      </c>
      <c r="F11398" s="1" t="str">
        <f>"10.10.139.154"</f>
        <v>10.10.139.154</v>
      </c>
      <c r="G11398" s="1" t="str">
        <f>"9525F971"</f>
        <v>9525F971</v>
      </c>
      <c r="H11398" s="1" t="str">
        <f>"동국지 23"</f>
        <v>동국지 23</v>
      </c>
      <c r="I11398" s="1" t="s">
        <v>8</v>
      </c>
      <c r="J11398" s="1" t="str">
        <f>"54/54"</f>
        <v>54/54</v>
      </c>
      <c r="K11398" s="1" t="str">
        <f>"2026-07-29 13:18:10"</f>
        <v>2026-07-29 13:18:10</v>
      </c>
      <c r="L11398" s="1" t="str">
        <f>"2019-12-11 18:12:08"</f>
        <v>2019-12-11 18:12:08</v>
      </c>
      <c r="M11398" s="1" t="s">
        <v>1</v>
      </c>
      <c r="N11398" s="1" t="s">
        <v>38</v>
      </c>
      <c r="O11398" s="1" t="s">
        <v>46</v>
      </c>
    </row>
    <row r="11399" spans="2:15" x14ac:dyDescent="0.3">
      <c r="B11399" s="1" t="s">
        <v>20</v>
      </c>
      <c r="C11399" s="1" t="str">
        <f>"4차"</f>
        <v>4차</v>
      </c>
      <c r="D11399" s="1" t="str">
        <f>"9525F97244"</f>
        <v>9525F97244</v>
      </c>
      <c r="E11399" s="1" t="s">
        <v>10</v>
      </c>
      <c r="F11399" s="1" t="str">
        <f>"10.10.139.178"</f>
        <v>10.10.139.178</v>
      </c>
      <c r="G11399" s="1" t="str">
        <f>"9525F972"</f>
        <v>9525F972</v>
      </c>
      <c r="H11399" s="1" t="str">
        <f>"동국지 25"</f>
        <v>동국지 25</v>
      </c>
      <c r="I11399" s="1" t="s">
        <v>8</v>
      </c>
      <c r="J11399" s="1" t="str">
        <f>"19/19"</f>
        <v>19/19</v>
      </c>
      <c r="K11399" s="1" t="str">
        <f>"2026-07-29 13:18:10"</f>
        <v>2026-07-29 13:18:10</v>
      </c>
      <c r="L11399" s="1" t="str">
        <f>"2019-12-11 18:13:39"</f>
        <v>2019-12-11 18:13:39</v>
      </c>
      <c r="M11399" s="1" t="s">
        <v>1</v>
      </c>
      <c r="N11399" s="1" t="s">
        <v>38</v>
      </c>
      <c r="O11399" s="1" t="s">
        <v>46</v>
      </c>
    </row>
    <row r="11400" spans="2:15" x14ac:dyDescent="0.3">
      <c r="B11400" s="1" t="s">
        <v>20</v>
      </c>
      <c r="C11400" s="1" t="str">
        <f>"5-2차"</f>
        <v>5-2차</v>
      </c>
      <c r="D11400" s="1" t="str">
        <f>"9525F9735S"</f>
        <v>9525F9735S</v>
      </c>
      <c r="E11400" s="1" t="s">
        <v>10</v>
      </c>
      <c r="F11400" s="1" t="str">
        <f>"fde1:103:4:5615:0:0:0:2"</f>
        <v>fde1:103:4:5615:0:0:0:2</v>
      </c>
      <c r="G11400" s="1" t="str">
        <f>"9525F973"</f>
        <v>9525F973</v>
      </c>
      <c r="H11400" s="1" t="str">
        <f>"동국지 24"</f>
        <v>동국지 24</v>
      </c>
      <c r="I11400" s="1" t="s">
        <v>15</v>
      </c>
      <c r="J11400" s="1" t="str">
        <f>"38/38"</f>
        <v>38/38</v>
      </c>
      <c r="K11400" s="1" t="str">
        <f>"2026-07-29 14:21:28"</f>
        <v>2026-07-29 14:21:28</v>
      </c>
      <c r="L11400" s="1" t="str">
        <f>"2023-08-29 13:38:29"</f>
        <v>2023-08-29 13:38:29</v>
      </c>
      <c r="M11400" s="1" t="s">
        <v>4</v>
      </c>
      <c r="N11400" s="1" t="s">
        <v>38</v>
      </c>
      <c r="O11400" s="1" t="s">
        <v>46</v>
      </c>
    </row>
    <row r="11401" spans="2:15" x14ac:dyDescent="0.3">
      <c r="B11401" s="1" t="s">
        <v>20</v>
      </c>
      <c r="C11401" s="1" t="str">
        <f>"4차"</f>
        <v>4차</v>
      </c>
      <c r="D11401" s="1" t="str">
        <f>"9525F99244"</f>
        <v>9525F99244</v>
      </c>
      <c r="E11401" s="1" t="s">
        <v>10</v>
      </c>
      <c r="F11401" s="1" t="str">
        <f>"10.10.139.162"</f>
        <v>10.10.139.162</v>
      </c>
      <c r="G11401" s="1" t="str">
        <f>"9525F992"</f>
        <v>9525F992</v>
      </c>
      <c r="H11401" s="1" t="str">
        <f>"동국지 28R6"</f>
        <v>동국지 28R6</v>
      </c>
      <c r="I11401" s="1" t="s">
        <v>8</v>
      </c>
      <c r="J11401" s="1" t="str">
        <f>"33/33"</f>
        <v>33/33</v>
      </c>
      <c r="K11401" s="1" t="str">
        <f>"2026-07-29 13:18:10"</f>
        <v>2026-07-29 13:18:10</v>
      </c>
      <c r="L11401" s="1" t="str">
        <f>"2020-02-10 18:34:58"</f>
        <v>2020-02-10 18:34:58</v>
      </c>
      <c r="M11401" s="1" t="s">
        <v>1</v>
      </c>
      <c r="N11401" s="1" t="s">
        <v>38</v>
      </c>
      <c r="O11401" s="1" t="s">
        <v>46</v>
      </c>
    </row>
    <row r="11402" spans="2:15" x14ac:dyDescent="0.3">
      <c r="B11402" s="1" t="s">
        <v>20</v>
      </c>
      <c r="C11402" s="1" t="str">
        <f>"6차"</f>
        <v>6차</v>
      </c>
      <c r="D11402" s="1" t="str">
        <f>"9525H7816S"</f>
        <v>9525H7816S</v>
      </c>
      <c r="E11402" s="1" t="s">
        <v>10</v>
      </c>
      <c r="F11402" s="1" t="str">
        <f>"fde1:103:4:c737:0:0:0:2"</f>
        <v>fde1:103:4:c737:0:0:0:2</v>
      </c>
      <c r="G11402" s="1" t="str">
        <f>"9525H781"</f>
        <v>9525H781</v>
      </c>
      <c r="H11402" s="1" t="str">
        <f>"당수간 84R1"</f>
        <v>당수간 84R1</v>
      </c>
      <c r="I11402" s="1" t="s">
        <v>15</v>
      </c>
      <c r="J11402" s="1" t="str">
        <f>"58/62"</f>
        <v>58/62</v>
      </c>
      <c r="K11402" s="1" t="str">
        <f>"2026-07-29 14:21:26"</f>
        <v>2026-07-29 14:21:26</v>
      </c>
      <c r="L11402" s="1" t="str">
        <f>"2024-11-21 17:35:24"</f>
        <v>2024-11-21 17:35:24</v>
      </c>
      <c r="M11402" s="1" t="s">
        <v>4</v>
      </c>
      <c r="N11402" s="1" t="s">
        <v>38</v>
      </c>
      <c r="O11402" s="1" t="s">
        <v>46</v>
      </c>
    </row>
    <row r="11403" spans="2:15" x14ac:dyDescent="0.3">
      <c r="B11403" s="1" t="s">
        <v>20</v>
      </c>
      <c r="C11403" s="1" t="str">
        <f>"1차"</f>
        <v>1차</v>
      </c>
      <c r="D11403" s="1" t="str">
        <f>"9525H87100"</f>
        <v>9525H87100</v>
      </c>
      <c r="E11403" s="1" t="s">
        <v>10</v>
      </c>
      <c r="F11403" s="1" t="str">
        <f>"10.125.128.5"</f>
        <v>10.125.128.5</v>
      </c>
      <c r="G11403" s="1" t="str">
        <f>"9525H871"</f>
        <v>9525H871</v>
      </c>
      <c r="H11403" s="1" t="str">
        <f>"당수간 84R3"</f>
        <v>당수간 84R3</v>
      </c>
      <c r="I11403" s="1" t="s">
        <v>8</v>
      </c>
      <c r="J11403" s="1" t="str">
        <f>"3/3"</f>
        <v>3/3</v>
      </c>
      <c r="K11403" s="1" t="str">
        <f>"2026-07-29 13:18:10"</f>
        <v>2026-07-29 13:18:10</v>
      </c>
      <c r="L11403" s="1" t="str">
        <f>"2014-09-01 14:41:18"</f>
        <v>2014-09-01 14:41:18</v>
      </c>
      <c r="M11403" s="1" t="s">
        <v>45</v>
      </c>
      <c r="N11403" s="1" t="s">
        <v>38</v>
      </c>
      <c r="O11403" s="1" t="s">
        <v>46</v>
      </c>
    </row>
    <row r="11404" spans="2:15" x14ac:dyDescent="0.3">
      <c r="B11404" s="1" t="s">
        <v>20</v>
      </c>
      <c r="C11404" s="1" t="str">
        <f>"5-2차"</f>
        <v>5-2차</v>
      </c>
      <c r="D11404" s="1" t="str">
        <f>"9525H8835M"</f>
        <v>9525H8835M</v>
      </c>
      <c r="E11404" s="1" t="s">
        <v>10</v>
      </c>
      <c r="F11404" s="1" t="str">
        <f>"fde1:103:4:56d0:0:0:0:2"</f>
        <v>fde1:103:4:56d0:0:0:0:2</v>
      </c>
      <c r="G11404" s="1" t="str">
        <f>"9525H883"</f>
        <v>9525H883</v>
      </c>
      <c r="H11404" s="1" t="str">
        <f>"당수간 84R4"</f>
        <v>당수간 84R4</v>
      </c>
      <c r="I11404" s="1" t="s">
        <v>15</v>
      </c>
      <c r="J11404" s="1" t="str">
        <f>"16/16"</f>
        <v>16/16</v>
      </c>
      <c r="K11404" s="1" t="str">
        <f>"2026-07-29 14:21:30"</f>
        <v>2026-07-29 14:21:30</v>
      </c>
      <c r="L11404" s="1" t="str">
        <f>"2023-08-09 14:44:08"</f>
        <v>2023-08-09 14:44:08</v>
      </c>
      <c r="M11404" s="1" t="s">
        <v>4</v>
      </c>
      <c r="N11404" s="1" t="s">
        <v>38</v>
      </c>
      <c r="O11404" s="1" t="s">
        <v>46</v>
      </c>
    </row>
    <row r="11405" spans="2:15" x14ac:dyDescent="0.3">
      <c r="B11405" s="1" t="s">
        <v>20</v>
      </c>
      <c r="C11405" s="1" t="str">
        <f>"4차"</f>
        <v>4차</v>
      </c>
      <c r="D11405" s="1" t="str">
        <f>"9525H89244"</f>
        <v>9525H89244</v>
      </c>
      <c r="E11405" s="1" t="str">
        <f>"검침실패(3시간 이상)"</f>
        <v>검침실패(3시간 이상)</v>
      </c>
      <c r="F11405" s="1" t="str">
        <f>"10.125.129.16"</f>
        <v>10.125.129.16</v>
      </c>
      <c r="G11405" s="1" t="str">
        <f>"9525H892"</f>
        <v>9525H892</v>
      </c>
      <c r="H11405" s="1" t="str">
        <f>"당수간 62R2L1"</f>
        <v>당수간 62R2L1</v>
      </c>
      <c r="I11405" s="1" t="s">
        <v>8</v>
      </c>
      <c r="J11405" s="1" t="str">
        <f>"0/27"</f>
        <v>0/27</v>
      </c>
      <c r="K11405" s="1" t="str">
        <f>"2026-07-29 13:18:10"</f>
        <v>2026-07-29 13:18:10</v>
      </c>
      <c r="L11405" s="1" t="str">
        <f>"2023-07-21 17:19:01"</f>
        <v>2023-07-21 17:19:01</v>
      </c>
      <c r="M11405" s="1" t="s">
        <v>45</v>
      </c>
      <c r="N11405" s="1" t="s">
        <v>38</v>
      </c>
      <c r="O11405" s="1" t="s">
        <v>46</v>
      </c>
    </row>
    <row r="11406" spans="2:15" x14ac:dyDescent="0.3">
      <c r="B11406" s="1" t="s">
        <v>20</v>
      </c>
      <c r="C11406" s="1" t="str">
        <f>"5-2차"</f>
        <v>5-2차</v>
      </c>
      <c r="D11406" s="1" t="str">
        <f>"9525H9615S"</f>
        <v>9525H9615S</v>
      </c>
      <c r="E11406" s="1" t="s">
        <v>10</v>
      </c>
      <c r="F11406" s="1" t="str">
        <f>"fde1:103:4:55a4:0:0:0:2"</f>
        <v>fde1:103:4:55a4:0:0:0:2</v>
      </c>
      <c r="G11406" s="1" t="str">
        <f>"9525H961"</f>
        <v>9525H961</v>
      </c>
      <c r="H11406" s="1" t="str">
        <f>"당수간 74R6"</f>
        <v>당수간 74R6</v>
      </c>
      <c r="I11406" s="1" t="s">
        <v>15</v>
      </c>
      <c r="J11406" s="1" t="str">
        <f>"53/53"</f>
        <v>53/53</v>
      </c>
      <c r="K11406" s="1" t="str">
        <f>"2026-07-29 14:21:14"</f>
        <v>2026-07-29 14:21:14</v>
      </c>
      <c r="L11406" s="1" t="str">
        <f>"2023-08-29 13:54:00"</f>
        <v>2023-08-29 13:54:00</v>
      </c>
      <c r="M11406" s="1" t="s">
        <v>4</v>
      </c>
      <c r="N11406" s="1" t="s">
        <v>38</v>
      </c>
      <c r="O11406" s="1" t="s">
        <v>46</v>
      </c>
    </row>
    <row r="11407" spans="2:15" x14ac:dyDescent="0.3">
      <c r="B11407" s="1" t="s">
        <v>20</v>
      </c>
      <c r="C11407" s="1" t="str">
        <f>"6차"</f>
        <v>6차</v>
      </c>
      <c r="D11407" s="1" t="str">
        <f>"9525H9816S"</f>
        <v>9525H9816S</v>
      </c>
      <c r="E11407" s="1" t="s">
        <v>10</v>
      </c>
      <c r="F11407" s="1" t="str">
        <f>"fde1:103:4:c72a:0:0:0:2"</f>
        <v>fde1:103:4:c72a:0:0:0:2</v>
      </c>
      <c r="G11407" s="1" t="str">
        <f>"9525H981"</f>
        <v>9525H981</v>
      </c>
      <c r="H11407" s="1" t="str">
        <f>"당수간 62R1H1"</f>
        <v>당수간 62R1H1</v>
      </c>
      <c r="I11407" s="1" t="s">
        <v>15</v>
      </c>
      <c r="J11407" s="1" t="str">
        <f>"29/29"</f>
        <v>29/29</v>
      </c>
      <c r="K11407" s="1" t="str">
        <f>"2026-07-29 14:21:26"</f>
        <v>2026-07-29 14:21:26</v>
      </c>
      <c r="L11407" s="1" t="str">
        <f>"2024-11-21 17:36:04"</f>
        <v>2024-11-21 17:36:04</v>
      </c>
      <c r="M11407" s="1" t="s">
        <v>4</v>
      </c>
      <c r="N11407" s="1" t="s">
        <v>38</v>
      </c>
      <c r="O11407" s="1" t="s">
        <v>46</v>
      </c>
    </row>
    <row r="11408" spans="2:15" x14ac:dyDescent="0.3">
      <c r="B11408" s="1" t="s">
        <v>20</v>
      </c>
      <c r="C11408" s="1" t="str">
        <f>"4차"</f>
        <v>4차</v>
      </c>
      <c r="D11408" s="1" t="str">
        <f>"9525H98342"</f>
        <v>9525H98342</v>
      </c>
      <c r="E11408" s="1" t="s">
        <v>10</v>
      </c>
      <c r="F11408" s="1" t="str">
        <f>"10.12.138.76"</f>
        <v>10.12.138.76</v>
      </c>
      <c r="G11408" s="1" t="str">
        <f>"9525H983"</f>
        <v>9525H983</v>
      </c>
      <c r="H11408" s="1" t="str">
        <f>"당수간 84R5"</f>
        <v>당수간 84R5</v>
      </c>
      <c r="I11408" s="1" t="s">
        <v>8</v>
      </c>
      <c r="J11408" s="1" t="str">
        <f>"40/42"</f>
        <v>40/42</v>
      </c>
      <c r="K11408" s="1" t="str">
        <f>"2026-07-29 13:18:11"</f>
        <v>2026-07-29 13:18:11</v>
      </c>
      <c r="L11408" s="1" t="str">
        <f>"2024-12-18 17:09:01"</f>
        <v>2024-12-18 17:09:01</v>
      </c>
      <c r="M11408" s="1" t="s">
        <v>0</v>
      </c>
      <c r="N11408" s="1" t="s">
        <v>38</v>
      </c>
      <c r="O11408" s="1" t="s">
        <v>46</v>
      </c>
    </row>
    <row r="11409" spans="2:15" x14ac:dyDescent="0.3">
      <c r="B11409" s="1" t="s">
        <v>20</v>
      </c>
      <c r="C11409" s="1" t="str">
        <f>"5-2차"</f>
        <v>5-2차</v>
      </c>
      <c r="D11409" s="1" t="str">
        <f>"9526F0425M"</f>
        <v>9526F0425M</v>
      </c>
      <c r="E11409" s="1" t="s">
        <v>10</v>
      </c>
      <c r="F11409" s="1" t="str">
        <f>"fde1:103:4:923b:0:0:0:2"</f>
        <v>fde1:103:4:923b:0:0:0:2</v>
      </c>
      <c r="G11409" s="1" t="str">
        <f>"9526F042"</f>
        <v>9526F042</v>
      </c>
      <c r="H11409" s="1" t="str">
        <f>"평원간 9L2L2"</f>
        <v>평원간 9L2L2</v>
      </c>
      <c r="I11409" s="1" t="s">
        <v>15</v>
      </c>
      <c r="J11409" s="1" t="str">
        <f>"40/41"</f>
        <v>40/41</v>
      </c>
      <c r="K11409" s="1" t="str">
        <f>"2026-07-29 14:21:26"</f>
        <v>2026-07-29 14:21:26</v>
      </c>
      <c r="L11409" s="1" t="str">
        <f>"2024-01-12 11:34:05"</f>
        <v>2024-01-12 11:34:05</v>
      </c>
      <c r="M11409" s="1" t="s">
        <v>4</v>
      </c>
      <c r="N11409" s="1" t="s">
        <v>38</v>
      </c>
      <c r="O11409" s="1" t="s">
        <v>46</v>
      </c>
    </row>
    <row r="11410" spans="2:15" x14ac:dyDescent="0.3">
      <c r="B11410" s="1" t="s">
        <v>20</v>
      </c>
      <c r="C11410" s="1" t="str">
        <f>"4차"</f>
        <v>4차</v>
      </c>
      <c r="D11410" s="1" t="str">
        <f>"9526F14142"</f>
        <v>9526F14142</v>
      </c>
      <c r="E11410" s="1" t="s">
        <v>10</v>
      </c>
      <c r="F11410" s="1" t="str">
        <f>"10.12.129.74"</f>
        <v>10.12.129.74</v>
      </c>
      <c r="G11410" s="1" t="str">
        <f>"9526F141"</f>
        <v>9526F141</v>
      </c>
      <c r="H11410" s="1" t="str">
        <f>"평원간 7"</f>
        <v>평원간 7</v>
      </c>
      <c r="I11410" s="1" t="s">
        <v>8</v>
      </c>
      <c r="J11410" s="1" t="str">
        <f>"36/73"</f>
        <v>36/73</v>
      </c>
      <c r="K11410" s="1" t="str">
        <f>"2026-07-29 13:18:11"</f>
        <v>2026-07-29 13:18:11</v>
      </c>
      <c r="L11410" s="1" t="str">
        <f>"2025-01-13 11:25:09"</f>
        <v>2025-01-13 11:25:09</v>
      </c>
      <c r="M11410" s="1" t="s">
        <v>0</v>
      </c>
      <c r="N11410" s="1" t="s">
        <v>38</v>
      </c>
      <c r="O11410" s="1" t="s">
        <v>46</v>
      </c>
    </row>
    <row r="11411" spans="2:15" x14ac:dyDescent="0.3">
      <c r="B11411" s="1" t="s">
        <v>20</v>
      </c>
      <c r="C11411" s="1" t="str">
        <f>"5-2차"</f>
        <v>5-2차</v>
      </c>
      <c r="D11411" s="1" t="str">
        <f>"9526F1515M"</f>
        <v>9526F1515M</v>
      </c>
      <c r="E11411" s="1" t="s">
        <v>10</v>
      </c>
      <c r="F11411" s="1" t="str">
        <f>"fde3:102:1300:6300:0:0:0:2"</f>
        <v>fde3:102:1300:6300:0:0:0:2</v>
      </c>
      <c r="G11411" s="1" t="str">
        <f>"9526F151"</f>
        <v>9526F151</v>
      </c>
      <c r="H11411" s="1" t="str">
        <f>"평원간 9L1"</f>
        <v>평원간 9L1</v>
      </c>
      <c r="I11411" s="1" t="s">
        <v>15</v>
      </c>
      <c r="J11411" s="1" t="str">
        <f>"40/40"</f>
        <v>40/40</v>
      </c>
      <c r="K11411" s="1" t="str">
        <f>"2026-07-29 14:21:14"</f>
        <v>2026-07-29 14:21:14</v>
      </c>
      <c r="L11411" s="1" t="str">
        <f>"2023-12-11 14:18:44"</f>
        <v>2023-12-11 14:18:44</v>
      </c>
      <c r="M11411" s="1" t="s">
        <v>45</v>
      </c>
      <c r="N11411" s="1" t="s">
        <v>38</v>
      </c>
      <c r="O11411" s="1" t="s">
        <v>46</v>
      </c>
    </row>
    <row r="11412" spans="2:15" x14ac:dyDescent="0.3">
      <c r="B11412" s="1" t="s">
        <v>20</v>
      </c>
      <c r="C11412" s="1" t="str">
        <f>"5-2차"</f>
        <v>5-2차</v>
      </c>
      <c r="D11412" s="1" t="str">
        <f>"9526F1635M"</f>
        <v>9526F1635M</v>
      </c>
      <c r="E11412" s="1" t="s">
        <v>10</v>
      </c>
      <c r="F11412" s="1" t="str">
        <f>"fde1:103:4:55f8:0:0:0:2"</f>
        <v>fde1:103:4:55f8:0:0:0:2</v>
      </c>
      <c r="G11412" s="1" t="str">
        <f>"9526F163"</f>
        <v>9526F163</v>
      </c>
      <c r="H11412" s="1" t="str">
        <f>"평원간 9L1R1L2"</f>
        <v>평원간 9L1R1L2</v>
      </c>
      <c r="I11412" s="1" t="s">
        <v>15</v>
      </c>
      <c r="J11412" s="1" t="str">
        <f>"78/85"</f>
        <v>78/85</v>
      </c>
      <c r="K11412" s="1" t="str">
        <f>"2026-07-29 14:21:26"</f>
        <v>2026-07-29 14:21:26</v>
      </c>
      <c r="L11412" s="1" t="str">
        <f>"2023-08-09 14:40:49"</f>
        <v>2023-08-09 14:40:49</v>
      </c>
      <c r="M11412" s="1" t="s">
        <v>4</v>
      </c>
      <c r="N11412" s="1" t="s">
        <v>38</v>
      </c>
      <c r="O11412" s="1" t="s">
        <v>46</v>
      </c>
    </row>
    <row r="11413" spans="2:15" x14ac:dyDescent="0.3">
      <c r="B11413" s="1" t="s">
        <v>20</v>
      </c>
      <c r="C11413" s="1" t="str">
        <f>"5-2차"</f>
        <v>5-2차</v>
      </c>
      <c r="D11413" s="1" t="str">
        <f>"9526F1645M"</f>
        <v>9526F1645M</v>
      </c>
      <c r="E11413" s="1" t="s">
        <v>10</v>
      </c>
      <c r="F11413" s="1" t="str">
        <f>"fde3:102:1300:6300:0:0:0:3"</f>
        <v>fde3:102:1300:6300:0:0:0:3</v>
      </c>
      <c r="G11413" s="1" t="str">
        <f>"9526F164"</f>
        <v>9526F164</v>
      </c>
      <c r="H11413" s="1" t="str">
        <f>"평원간 9L2"</f>
        <v>평원간 9L2</v>
      </c>
      <c r="I11413" s="1" t="s">
        <v>15</v>
      </c>
      <c r="J11413" s="1" t="str">
        <f>"51/53"</f>
        <v>51/53</v>
      </c>
      <c r="K11413" s="1" t="str">
        <f>"2026-07-29 14:21:14"</f>
        <v>2026-07-29 14:21:14</v>
      </c>
      <c r="L11413" s="1" t="str">
        <f>"2023-12-11 14:36:41"</f>
        <v>2023-12-11 14:36:41</v>
      </c>
      <c r="M11413" s="1" t="s">
        <v>45</v>
      </c>
      <c r="N11413" s="1" t="s">
        <v>38</v>
      </c>
      <c r="O11413" s="1" t="s">
        <v>46</v>
      </c>
    </row>
    <row r="11414" spans="2:15" x14ac:dyDescent="0.3">
      <c r="B11414" s="1" t="s">
        <v>20</v>
      </c>
      <c r="C11414" s="1" t="str">
        <f>"6차"</f>
        <v>6차</v>
      </c>
      <c r="D11414" s="1" t="str">
        <f>"9526F2516M"</f>
        <v>9526F2516M</v>
      </c>
      <c r="E11414" s="1" t="s">
        <v>10</v>
      </c>
      <c r="F11414" s="1" t="str">
        <f>"fde1:103:4:c7dd:0:0:0:2"</f>
        <v>fde1:103:4:c7dd:0:0:0:2</v>
      </c>
      <c r="G11414" s="1" t="str">
        <f>"9526F251"</f>
        <v>9526F251</v>
      </c>
      <c r="H11414" s="1" t="str">
        <f>"평원간 9"</f>
        <v>평원간 9</v>
      </c>
      <c r="I11414" s="1" t="s">
        <v>15</v>
      </c>
      <c r="J11414" s="1" t="str">
        <f>"59/72"</f>
        <v>59/72</v>
      </c>
      <c r="K11414" s="1" t="str">
        <f>"2026-07-29 14:21:02"</f>
        <v>2026-07-29 14:21:02</v>
      </c>
      <c r="L11414" s="1" t="str">
        <f>"2024-12-02 13:55:23"</f>
        <v>2024-12-02 13:55:23</v>
      </c>
      <c r="M11414" s="1" t="s">
        <v>4</v>
      </c>
      <c r="N11414" s="1" t="s">
        <v>38</v>
      </c>
      <c r="O11414" s="1" t="s">
        <v>46</v>
      </c>
    </row>
    <row r="11415" spans="2:15" x14ac:dyDescent="0.3">
      <c r="B11415" s="1" t="s">
        <v>20</v>
      </c>
      <c r="C11415" s="1" t="str">
        <f>"4차"</f>
        <v>4차</v>
      </c>
      <c r="D11415" s="1" t="str">
        <f>"9526F26442"</f>
        <v>9526F26442</v>
      </c>
      <c r="E11415" s="1" t="s">
        <v>10</v>
      </c>
      <c r="F11415" s="1" t="str">
        <f>"10.12.132.159"</f>
        <v>10.12.132.159</v>
      </c>
      <c r="G11415" s="1" t="str">
        <f>"9526F264"</f>
        <v>9526F264</v>
      </c>
      <c r="H11415" s="1" t="str">
        <f>"평원간 9L1R2"</f>
        <v>평원간 9L1R2</v>
      </c>
      <c r="I11415" s="1" t="s">
        <v>8</v>
      </c>
      <c r="J11415" s="1" t="str">
        <f>"29/29"</f>
        <v>29/29</v>
      </c>
      <c r="K11415" s="1" t="str">
        <f>"2026-07-29 13:18:11"</f>
        <v>2026-07-29 13:18:11</v>
      </c>
      <c r="L11415" s="1" t="str">
        <f>"2025-01-13 11:33:29"</f>
        <v>2025-01-13 11:33:29</v>
      </c>
      <c r="M11415" s="1" t="s">
        <v>0</v>
      </c>
      <c r="N11415" s="1" t="s">
        <v>38</v>
      </c>
      <c r="O11415" s="1" t="s">
        <v>46</v>
      </c>
    </row>
    <row r="11416" spans="2:15" x14ac:dyDescent="0.3">
      <c r="B11416" s="1" t="s">
        <v>20</v>
      </c>
      <c r="C11416" s="1" t="str">
        <f>"4차"</f>
        <v>4차</v>
      </c>
      <c r="D11416" s="1" t="str">
        <f>"9526F26542"</f>
        <v>9526F26542</v>
      </c>
      <c r="E11416" s="1" t="s">
        <v>10</v>
      </c>
      <c r="F11416" s="1" t="str">
        <f>"10.125.128.10"</f>
        <v>10.125.128.10</v>
      </c>
      <c r="G11416" s="1" t="str">
        <f>"9526F265"</f>
        <v>9526F265</v>
      </c>
      <c r="H11416" s="1" t="str">
        <f>"평원간 9L1R1"</f>
        <v>평원간 9L1R1</v>
      </c>
      <c r="I11416" s="1" t="s">
        <v>8</v>
      </c>
      <c r="J11416" s="1" t="str">
        <f>"20/20"</f>
        <v>20/20</v>
      </c>
      <c r="K11416" s="1" t="str">
        <f>"2026-07-29 13:18:10"</f>
        <v>2026-07-29 13:18:10</v>
      </c>
      <c r="L11416" s="1" t="str">
        <f>"2025-01-13 11:33:18"</f>
        <v>2025-01-13 11:33:18</v>
      </c>
      <c r="M11416" s="1" t="s">
        <v>45</v>
      </c>
      <c r="N11416" s="1" t="s">
        <v>38</v>
      </c>
      <c r="O11416" s="1" t="s">
        <v>46</v>
      </c>
    </row>
    <row r="11417" spans="2:15" x14ac:dyDescent="0.3">
      <c r="B11417" s="1" t="s">
        <v>20</v>
      </c>
      <c r="C11417" s="1" t="str">
        <f>"4차"</f>
        <v>4차</v>
      </c>
      <c r="D11417" s="1" t="str">
        <f>"9526F35342"</f>
        <v>9526F35342</v>
      </c>
      <c r="E11417" s="1" t="s">
        <v>10</v>
      </c>
      <c r="F11417" s="1" t="str">
        <f>"10.12.138.65"</f>
        <v>10.12.138.65</v>
      </c>
      <c r="G11417" s="1" t="str">
        <f>"9526F353"</f>
        <v>9526F353</v>
      </c>
      <c r="H11417" s="1" t="str">
        <f>"평원간 10H1"</f>
        <v>평원간 10H1</v>
      </c>
      <c r="I11417" s="1" t="s">
        <v>8</v>
      </c>
      <c r="J11417" s="1" t="str">
        <f>"30/30"</f>
        <v>30/30</v>
      </c>
      <c r="K11417" s="1" t="str">
        <f>"2026-07-29 13:18:11"</f>
        <v>2026-07-29 13:18:11</v>
      </c>
      <c r="L11417" s="1" t="str">
        <f>"2024-12-16 16:36:38"</f>
        <v>2024-12-16 16:36:38</v>
      </c>
      <c r="M11417" s="1" t="s">
        <v>0</v>
      </c>
      <c r="N11417" s="1" t="s">
        <v>38</v>
      </c>
      <c r="O11417" s="1" t="s">
        <v>46</v>
      </c>
    </row>
    <row r="11418" spans="2:15" x14ac:dyDescent="0.3">
      <c r="B11418" s="1" t="s">
        <v>20</v>
      </c>
      <c r="C11418" s="1" t="str">
        <f>"5-2차"</f>
        <v>5-2차</v>
      </c>
      <c r="D11418" s="1" t="str">
        <f>"9526F3735M"</f>
        <v>9526F3735M</v>
      </c>
      <c r="E11418" s="1" t="s">
        <v>10</v>
      </c>
      <c r="F11418" s="1" t="str">
        <f>"fde1:103:4:5658:0:0:0:2"</f>
        <v>fde1:103:4:5658:0:0:0:2</v>
      </c>
      <c r="G11418" s="1" t="str">
        <f>"9526F373"</f>
        <v>9526F373</v>
      </c>
      <c r="H11418" s="1" t="str">
        <f>"평원간 11L4"</f>
        <v>평원간 11L4</v>
      </c>
      <c r="I11418" s="1" t="s">
        <v>15</v>
      </c>
      <c r="J11418" s="1" t="str">
        <f>"78/78"</f>
        <v>78/78</v>
      </c>
      <c r="K11418" s="1" t="str">
        <f>"2026-07-29 14:21:27"</f>
        <v>2026-07-29 14:21:27</v>
      </c>
      <c r="L11418" s="1" t="str">
        <f>"2023-08-09 15:14:14"</f>
        <v>2023-08-09 15:14:14</v>
      </c>
      <c r="M11418" s="1" t="s">
        <v>4</v>
      </c>
      <c r="N11418" s="1" t="s">
        <v>38</v>
      </c>
      <c r="O11418" s="1" t="s">
        <v>46</v>
      </c>
    </row>
    <row r="11419" spans="2:15" x14ac:dyDescent="0.3">
      <c r="B11419" s="1" t="s">
        <v>20</v>
      </c>
      <c r="C11419" s="1" t="str">
        <f>"1차"</f>
        <v>1차</v>
      </c>
      <c r="D11419" s="1" t="str">
        <f>"9526F39300"</f>
        <v>9526F39300</v>
      </c>
      <c r="E11419" s="1" t="s">
        <v>10</v>
      </c>
      <c r="F11419" s="1" t="str">
        <f>"10.125.129.20"</f>
        <v>10.125.129.20</v>
      </c>
      <c r="G11419" s="1" t="str">
        <f>"9526F393"</f>
        <v>9526F393</v>
      </c>
      <c r="H11419" s="1" t="str">
        <f>"평원간 12L5"</f>
        <v>평원간 12L5</v>
      </c>
      <c r="I11419" s="1" t="s">
        <v>8</v>
      </c>
      <c r="J11419" s="1" t="str">
        <f>"19/19"</f>
        <v>19/19</v>
      </c>
      <c r="K11419" s="1" t="str">
        <f>"2026-07-29 13:18:10"</f>
        <v>2026-07-29 13:18:10</v>
      </c>
      <c r="L11419" s="1" t="str">
        <f>"2014-07-31 01:56:16"</f>
        <v>2014-07-31 01:56:16</v>
      </c>
      <c r="M11419" s="1" t="s">
        <v>45</v>
      </c>
      <c r="N11419" s="1" t="s">
        <v>38</v>
      </c>
      <c r="O11419" s="1" t="s">
        <v>46</v>
      </c>
    </row>
    <row r="11420" spans="2:15" x14ac:dyDescent="0.3">
      <c r="B11420" s="1" t="s">
        <v>20</v>
      </c>
      <c r="C11420" s="1" t="str">
        <f>"1차"</f>
        <v>1차</v>
      </c>
      <c r="D11420" s="1" t="str">
        <f>"9526F43100"</f>
        <v>9526F43100</v>
      </c>
      <c r="E11420" s="1" t="s">
        <v>10</v>
      </c>
      <c r="F11420" s="1" t="str">
        <f>"10.125.129.120"</f>
        <v>10.125.129.120</v>
      </c>
      <c r="G11420" s="1" t="str">
        <f>"9526F431"</f>
        <v>9526F431</v>
      </c>
      <c r="H11420" s="1" t="str">
        <f>"평원간 9R5"</f>
        <v>평원간 9R5</v>
      </c>
      <c r="I11420" s="1" t="s">
        <v>8</v>
      </c>
      <c r="J11420" s="1" t="str">
        <f>"51/60"</f>
        <v>51/60</v>
      </c>
      <c r="K11420" s="1" t="str">
        <f>"2026-07-29 13:18:10"</f>
        <v>2026-07-29 13:18:10</v>
      </c>
      <c r="L11420" s="1" t="str">
        <f>"2014-09-22 11:27:49"</f>
        <v>2014-09-22 11:27:49</v>
      </c>
      <c r="M11420" s="1" t="s">
        <v>45</v>
      </c>
      <c r="N11420" s="1" t="s">
        <v>38</v>
      </c>
      <c r="O11420" s="1" t="s">
        <v>46</v>
      </c>
    </row>
    <row r="11421" spans="2:15" x14ac:dyDescent="0.3">
      <c r="B11421" s="1" t="s">
        <v>20</v>
      </c>
      <c r="C11421" s="1" t="str">
        <f>"6차"</f>
        <v>6차</v>
      </c>
      <c r="D11421" s="1" t="str">
        <f>"9526F4426S"</f>
        <v>9526F4426S</v>
      </c>
      <c r="E11421" s="1" t="s">
        <v>10</v>
      </c>
      <c r="F11421" s="1" t="str">
        <f>"fde1:103:4:91be:0:0:0:2"</f>
        <v>fde1:103:4:91be:0:0:0:2</v>
      </c>
      <c r="G11421" s="1" t="str">
        <f>"9526F442"</f>
        <v>9526F442</v>
      </c>
      <c r="H11421" s="1" t="str">
        <f>"평원간 11R3"</f>
        <v>평원간 11R3</v>
      </c>
      <c r="I11421" s="1" t="s">
        <v>15</v>
      </c>
      <c r="J11421" s="1" t="str">
        <f>"21/21"</f>
        <v>21/21</v>
      </c>
      <c r="K11421" s="1" t="str">
        <f>"2026-07-29 14:21:26"</f>
        <v>2026-07-29 14:21:26</v>
      </c>
      <c r="L11421" s="1" t="str">
        <f>"2025-02-24 13:21:17"</f>
        <v>2025-02-24 13:21:17</v>
      </c>
      <c r="M11421" s="1" t="s">
        <v>4</v>
      </c>
      <c r="N11421" s="1" t="s">
        <v>38</v>
      </c>
      <c r="O11421" s="1" t="s">
        <v>46</v>
      </c>
    </row>
    <row r="11422" spans="2:15" x14ac:dyDescent="0.3">
      <c r="B11422" s="1" t="s">
        <v>20</v>
      </c>
      <c r="C11422" s="1" t="str">
        <f>"1차"</f>
        <v>1차</v>
      </c>
      <c r="D11422" s="1" t="str">
        <f>"9526F46200"</f>
        <v>9526F46200</v>
      </c>
      <c r="E11422" s="1" t="s">
        <v>10</v>
      </c>
      <c r="F11422" s="1" t="str">
        <f>"10.125.128.14"</f>
        <v>10.125.128.14</v>
      </c>
      <c r="G11422" s="1" t="str">
        <f>"9526F462"</f>
        <v>9526F462</v>
      </c>
      <c r="H11422" s="1" t="str">
        <f>"평원간 11"</f>
        <v>평원간 11</v>
      </c>
      <c r="I11422" s="1" t="s">
        <v>8</v>
      </c>
      <c r="J11422" s="1" t="str">
        <f>"9/9"</f>
        <v>9/9</v>
      </c>
      <c r="K11422" s="1" t="str">
        <f>"2026-07-29 13:18:10"</f>
        <v>2026-07-29 13:18:10</v>
      </c>
      <c r="L11422" s="1" t="str">
        <f>"2014-10-27 17:07:15"</f>
        <v>2014-10-27 17:07:15</v>
      </c>
      <c r="M11422" s="1" t="s">
        <v>45</v>
      </c>
      <c r="N11422" s="1" t="s">
        <v>38</v>
      </c>
      <c r="O11422" s="1" t="s">
        <v>46</v>
      </c>
    </row>
    <row r="11423" spans="2:15" x14ac:dyDescent="0.3">
      <c r="B11423" s="1" t="s">
        <v>20</v>
      </c>
      <c r="C11423" s="1" t="str">
        <f>"1차"</f>
        <v>1차</v>
      </c>
      <c r="D11423" s="1" t="str">
        <f>"9526F47201"</f>
        <v>9526F47201</v>
      </c>
      <c r="E11423" s="1" t="s">
        <v>10</v>
      </c>
      <c r="F11423" s="1" t="str">
        <f>"10.125.128.19"</f>
        <v>10.125.128.19</v>
      </c>
      <c r="G11423" s="1" t="str">
        <f>"9526F472"</f>
        <v>9526F472</v>
      </c>
      <c r="H11423" s="1" t="str">
        <f>"평원간 12L1"</f>
        <v>평원간 12L1</v>
      </c>
      <c r="I11423" s="1" t="s">
        <v>8</v>
      </c>
      <c r="J11423" s="1" t="str">
        <f>"39/39"</f>
        <v>39/39</v>
      </c>
      <c r="K11423" s="1" t="str">
        <f>"2026-07-29 13:18:10"</f>
        <v>2026-07-29 13:18:10</v>
      </c>
      <c r="L11423" s="1" t="str">
        <f>"2014-12-16 09:40:43"</f>
        <v>2014-12-16 09:40:43</v>
      </c>
      <c r="M11423" s="1" t="s">
        <v>45</v>
      </c>
      <c r="N11423" s="1" t="s">
        <v>38</v>
      </c>
      <c r="O11423" s="1" t="s">
        <v>46</v>
      </c>
    </row>
    <row r="11424" spans="2:15" x14ac:dyDescent="0.3">
      <c r="B11424" s="1" t="s">
        <v>20</v>
      </c>
      <c r="C11424" s="1" t="str">
        <f>"5-2차"</f>
        <v>5-2차</v>
      </c>
      <c r="D11424" s="1" t="str">
        <f>"9526F5145M"</f>
        <v>9526F5145M</v>
      </c>
      <c r="E11424" s="1" t="s">
        <v>10</v>
      </c>
      <c r="F11424" s="1" t="str">
        <f>"fde1:103:4:5564:0:0:0:2"</f>
        <v>fde1:103:4:5564:0:0:0:2</v>
      </c>
      <c r="G11424" s="1" t="str">
        <f>"9526F514"</f>
        <v>9526F514</v>
      </c>
      <c r="H11424" s="1" t="str">
        <f>"평원간 21"</f>
        <v>평원간 21</v>
      </c>
      <c r="I11424" s="1" t="s">
        <v>15</v>
      </c>
      <c r="J11424" s="1" t="str">
        <f>"39/39"</f>
        <v>39/39</v>
      </c>
      <c r="K11424" s="1" t="str">
        <f>"2026-07-29 14:21:27"</f>
        <v>2026-07-29 14:21:27</v>
      </c>
      <c r="L11424" s="1" t="str">
        <f>"2023-08-09 15:08:31"</f>
        <v>2023-08-09 15:08:31</v>
      </c>
      <c r="M11424" s="1" t="s">
        <v>4</v>
      </c>
      <c r="N11424" s="1" t="s">
        <v>38</v>
      </c>
      <c r="O11424" s="1" t="s">
        <v>46</v>
      </c>
    </row>
    <row r="11425" spans="2:15" x14ac:dyDescent="0.3">
      <c r="B11425" s="1" t="s">
        <v>20</v>
      </c>
      <c r="C11425" s="1" t="str">
        <f>"1차"</f>
        <v>1차</v>
      </c>
      <c r="D11425" s="1" t="str">
        <f>"9526F53200"</f>
        <v>9526F53200</v>
      </c>
      <c r="E11425" s="1" t="s">
        <v>14</v>
      </c>
      <c r="F11425" s="1" t="str">
        <f>"10.125.129.118"</f>
        <v>10.125.129.118</v>
      </c>
      <c r="G11425" s="1" t="str">
        <f>"9526F532"</f>
        <v>9526F532</v>
      </c>
      <c r="H11425" s="1" t="str">
        <f>"평원간 17"</f>
        <v>평원간 17</v>
      </c>
      <c r="I11425" s="1" t="s">
        <v>8</v>
      </c>
      <c r="J11425" s="1" t="str">
        <f>"0/0"</f>
        <v>0/0</v>
      </c>
      <c r="K11425" s="1" t="str">
        <f>"2026-07-16 13:18:11"</f>
        <v>2026-07-16 13:18:11</v>
      </c>
      <c r="L11425" s="1" t="str">
        <f>"2014-07-31 02:11:21"</f>
        <v>2014-07-31 02:11:21</v>
      </c>
      <c r="M11425" s="1" t="s">
        <v>45</v>
      </c>
      <c r="N11425" s="1" t="s">
        <v>44</v>
      </c>
      <c r="O11425" s="1" t="s">
        <v>44</v>
      </c>
    </row>
    <row r="11426" spans="2:15" x14ac:dyDescent="0.3">
      <c r="B11426" s="1" t="s">
        <v>20</v>
      </c>
      <c r="C11426" s="1" t="str">
        <f>"6차"</f>
        <v>6차</v>
      </c>
      <c r="D11426" s="1" t="str">
        <f>"9526F5416S"</f>
        <v>9526F5416S</v>
      </c>
      <c r="E11426" s="1" t="s">
        <v>10</v>
      </c>
      <c r="F11426" s="1" t="str">
        <f>"fde1:103:4:c6b1:0:0:0:2"</f>
        <v>fde1:103:4:c6b1:0:0:0:2</v>
      </c>
      <c r="G11426" s="1" t="str">
        <f>"9526F541"</f>
        <v>9526F541</v>
      </c>
      <c r="H11426" s="1" t="str">
        <f>"평원간 16"</f>
        <v>평원간 16</v>
      </c>
      <c r="I11426" s="1" t="s">
        <v>15</v>
      </c>
      <c r="J11426" s="1" t="str">
        <f>"44/44"</f>
        <v>44/44</v>
      </c>
      <c r="K11426" s="1" t="str">
        <f>"2026-07-29 14:21:22"</f>
        <v>2026-07-29 14:21:22</v>
      </c>
      <c r="L11426" s="1" t="str">
        <f>"2024-11-11 17:15:23"</f>
        <v>2024-11-11 17:15:23</v>
      </c>
      <c r="M11426" s="1" t="s">
        <v>4</v>
      </c>
      <c r="N11426" s="1" t="s">
        <v>38</v>
      </c>
      <c r="O11426" s="1" t="s">
        <v>46</v>
      </c>
    </row>
    <row r="11427" spans="2:15" x14ac:dyDescent="0.3">
      <c r="B11427" s="1" t="s">
        <v>20</v>
      </c>
      <c r="C11427" s="1" t="str">
        <f>"1차"</f>
        <v>1차</v>
      </c>
      <c r="D11427" s="1" t="str">
        <f>"9526F55100"</f>
        <v>9526F55100</v>
      </c>
      <c r="E11427" s="1" t="s">
        <v>10</v>
      </c>
      <c r="F11427" s="1" t="str">
        <f>"10.125.128.16"</f>
        <v>10.125.128.16</v>
      </c>
      <c r="G11427" s="1" t="str">
        <f>"9526F551"</f>
        <v>9526F551</v>
      </c>
      <c r="H11427" s="1" t="str">
        <f>"평원간 14"</f>
        <v>평원간 14</v>
      </c>
      <c r="I11427" s="1" t="s">
        <v>8</v>
      </c>
      <c r="J11427" s="1" t="str">
        <f>"36/36"</f>
        <v>36/36</v>
      </c>
      <c r="K11427" s="1" t="str">
        <f>"2026-07-29 13:18:10"</f>
        <v>2026-07-29 13:18:10</v>
      </c>
      <c r="L11427" s="1" t="str">
        <f>"2014-09-02 12:41:20"</f>
        <v>2014-09-02 12:41:20</v>
      </c>
      <c r="M11427" s="1" t="s">
        <v>45</v>
      </c>
      <c r="N11427" s="1" t="s">
        <v>38</v>
      </c>
      <c r="O11427" s="1" t="s">
        <v>46</v>
      </c>
    </row>
    <row r="11428" spans="2:15" x14ac:dyDescent="0.3">
      <c r="B11428" s="1" t="s">
        <v>20</v>
      </c>
      <c r="C11428" s="1" t="str">
        <f>"1차"</f>
        <v>1차</v>
      </c>
      <c r="D11428" s="1" t="str">
        <f>"9526F56100"</f>
        <v>9526F56100</v>
      </c>
      <c r="E11428" s="1" t="s">
        <v>10</v>
      </c>
      <c r="F11428" s="1" t="str">
        <f>"10.125.128.18"</f>
        <v>10.125.128.18</v>
      </c>
      <c r="G11428" s="1" t="str">
        <f>"9526F561"</f>
        <v>9526F561</v>
      </c>
      <c r="H11428" s="1" t="str">
        <f>"평원간 12B1"</f>
        <v>평원간 12B1</v>
      </c>
      <c r="I11428" s="1" t="s">
        <v>8</v>
      </c>
      <c r="J11428" s="1" t="str">
        <f>"34/34"</f>
        <v>34/34</v>
      </c>
      <c r="K11428" s="1" t="str">
        <f>"2026-07-29 13:18:10"</f>
        <v>2026-07-29 13:18:10</v>
      </c>
      <c r="L11428" s="1" t="str">
        <f>"2014-11-29 09:40:39"</f>
        <v>2014-11-29 09:40:39</v>
      </c>
      <c r="M11428" s="1" t="s">
        <v>45</v>
      </c>
      <c r="N11428" s="1" t="s">
        <v>38</v>
      </c>
      <c r="O11428" s="1" t="s">
        <v>46</v>
      </c>
    </row>
    <row r="11429" spans="2:15" x14ac:dyDescent="0.3">
      <c r="B11429" s="1" t="s">
        <v>20</v>
      </c>
      <c r="C11429" s="1" t="str">
        <f>"4차"</f>
        <v>4차</v>
      </c>
      <c r="D11429" s="1" t="str">
        <f>"9526F62139"</f>
        <v>9526F62139</v>
      </c>
      <c r="E11429" s="1" t="s">
        <v>10</v>
      </c>
      <c r="F11429" s="1" t="str">
        <f>"10.12.130.200"</f>
        <v>10.12.130.200</v>
      </c>
      <c r="G11429" s="1" t="str">
        <f>"9526F621"</f>
        <v>9526F621</v>
      </c>
      <c r="H11429" s="1" t="str">
        <f>"평원간 24"</f>
        <v>평원간 24</v>
      </c>
      <c r="I11429" s="1" t="s">
        <v>8</v>
      </c>
      <c r="J11429" s="1" t="str">
        <f>"13/13"</f>
        <v>13/13</v>
      </c>
      <c r="K11429" s="1" t="str">
        <f>"2026-07-29 13:18:12"</f>
        <v>2026-07-29 13:18:12</v>
      </c>
      <c r="L11429" s="1" t="str">
        <f>"2023-07-21 18:06:27"</f>
        <v>2023-07-21 18:06:27</v>
      </c>
      <c r="M11429" s="1" t="s">
        <v>0</v>
      </c>
      <c r="N11429" s="1" t="s">
        <v>38</v>
      </c>
      <c r="O11429" s="1" t="s">
        <v>46</v>
      </c>
    </row>
    <row r="11430" spans="2:15" x14ac:dyDescent="0.3">
      <c r="B11430" s="1" t="s">
        <v>20</v>
      </c>
      <c r="C11430" s="1" t="str">
        <f>"6차"</f>
        <v>6차</v>
      </c>
      <c r="D11430" s="1" t="str">
        <f>"9526F6346S"</f>
        <v>9526F6346S</v>
      </c>
      <c r="E11430" s="1" t="s">
        <v>10</v>
      </c>
      <c r="F11430" s="1" t="str">
        <f>"fde1:103:4:c5c2:0:0:0:2"</f>
        <v>fde1:103:4:c5c2:0:0:0:2</v>
      </c>
      <c r="G11430" s="1" t="str">
        <f>"9526F634"</f>
        <v>9526F634</v>
      </c>
      <c r="H11430" s="1" t="str">
        <f>"평원간 26"</f>
        <v>평원간 26</v>
      </c>
      <c r="I11430" s="1" t="s">
        <v>15</v>
      </c>
      <c r="J11430" s="1" t="str">
        <f>"52/52"</f>
        <v>52/52</v>
      </c>
      <c r="K11430" s="1" t="str">
        <f>"2026-07-29 14:21:27"</f>
        <v>2026-07-29 14:21:27</v>
      </c>
      <c r="L11430" s="1" t="str">
        <f>"2024-11-11 17:14:53"</f>
        <v>2024-11-11 17:14:53</v>
      </c>
      <c r="M11430" s="1" t="s">
        <v>4</v>
      </c>
      <c r="N11430" s="1" t="s">
        <v>38</v>
      </c>
      <c r="O11430" s="1" t="s">
        <v>46</v>
      </c>
    </row>
    <row r="11431" spans="2:15" x14ac:dyDescent="0.3">
      <c r="B11431" s="1" t="s">
        <v>20</v>
      </c>
      <c r="C11431" s="1" t="str">
        <f>"5-2차"</f>
        <v>5-2차</v>
      </c>
      <c r="D11431" s="1" t="str">
        <f>"9526F7225M"</f>
        <v>9526F7225M</v>
      </c>
      <c r="E11431" s="1" t="s">
        <v>10</v>
      </c>
      <c r="F11431" s="1" t="str">
        <f>"fde1:103:4:5599:0:0:0:2"</f>
        <v>fde1:103:4:5599:0:0:0:2</v>
      </c>
      <c r="G11431" s="1" t="str">
        <f>"9526F722"</f>
        <v>9526F722</v>
      </c>
      <c r="H11431" s="1" t="str">
        <f>"평원간 15L5R2"</f>
        <v>평원간 15L5R2</v>
      </c>
      <c r="I11431" s="1" t="s">
        <v>15</v>
      </c>
      <c r="J11431" s="1" t="str">
        <f>"55/56"</f>
        <v>55/56</v>
      </c>
      <c r="K11431" s="1" t="str">
        <f>"2026-07-29 14:21:27"</f>
        <v>2026-07-29 14:21:27</v>
      </c>
      <c r="L11431" s="1" t="str">
        <f>"2023-08-09 15:12:11"</f>
        <v>2023-08-09 15:12:11</v>
      </c>
      <c r="M11431" s="1" t="s">
        <v>4</v>
      </c>
      <c r="N11431" s="1" t="s">
        <v>38</v>
      </c>
      <c r="O11431" s="1" t="s">
        <v>46</v>
      </c>
    </row>
    <row r="11432" spans="2:15" x14ac:dyDescent="0.3">
      <c r="B11432" s="1" t="s">
        <v>20</v>
      </c>
      <c r="C11432" s="1" t="str">
        <f>"4차"</f>
        <v>4차</v>
      </c>
      <c r="D11432" s="1" t="str">
        <f>"9526F73242"</f>
        <v>9526F73242</v>
      </c>
      <c r="E11432" s="1" t="s">
        <v>10</v>
      </c>
      <c r="F11432" s="1" t="str">
        <f>"10.125.129.115"</f>
        <v>10.125.129.115</v>
      </c>
      <c r="G11432" s="1" t="str">
        <f>"9526F732"</f>
        <v>9526F732</v>
      </c>
      <c r="H11432" s="1" t="str">
        <f>"평원간 15L5R1"</f>
        <v>평원간 15L5R1</v>
      </c>
      <c r="I11432" s="1" t="s">
        <v>8</v>
      </c>
      <c r="J11432" s="1" t="str">
        <f>"26/26"</f>
        <v>26/26</v>
      </c>
      <c r="K11432" s="1" t="str">
        <f>"2026-07-29 13:18:10"</f>
        <v>2026-07-29 13:18:10</v>
      </c>
      <c r="L11432" s="1" t="str">
        <f>"2024-12-18 17:43:24"</f>
        <v>2024-12-18 17:43:24</v>
      </c>
      <c r="M11432" s="1" t="s">
        <v>45</v>
      </c>
      <c r="N11432" s="1" t="s">
        <v>38</v>
      </c>
      <c r="O11432" s="1" t="s">
        <v>46</v>
      </c>
    </row>
    <row r="11433" spans="2:15" x14ac:dyDescent="0.3">
      <c r="B11433" s="1" t="s">
        <v>20</v>
      </c>
      <c r="C11433" s="1" t="str">
        <f>"1차"</f>
        <v>1차</v>
      </c>
      <c r="D11433" s="1" t="str">
        <f>"9526F81100"</f>
        <v>9526F81100</v>
      </c>
      <c r="E11433" s="1" t="s">
        <v>10</v>
      </c>
      <c r="F11433" s="1" t="str">
        <f>"10.125.129.23"</f>
        <v>10.125.129.23</v>
      </c>
      <c r="G11433" s="1" t="str">
        <f>"9526F811"</f>
        <v>9526F811</v>
      </c>
      <c r="H11433" s="1" t="str">
        <f>"평원간 15L8"</f>
        <v>평원간 15L8</v>
      </c>
      <c r="I11433" s="1" t="s">
        <v>8</v>
      </c>
      <c r="J11433" s="1" t="str">
        <f>"19/19"</f>
        <v>19/19</v>
      </c>
      <c r="K11433" s="1" t="str">
        <f>"2026-07-29 13:18:10"</f>
        <v>2026-07-29 13:18:10</v>
      </c>
      <c r="L11433" s="1" t="str">
        <f>"2014-07-31 01:56:04"</f>
        <v>2014-07-31 01:56:04</v>
      </c>
      <c r="M11433" s="1" t="s">
        <v>45</v>
      </c>
      <c r="N11433" s="1" t="s">
        <v>38</v>
      </c>
      <c r="O11433" s="1" t="s">
        <v>46</v>
      </c>
    </row>
    <row r="11434" spans="2:15" x14ac:dyDescent="0.3">
      <c r="B11434" s="1" t="s">
        <v>20</v>
      </c>
      <c r="C11434" s="1" t="str">
        <f>"4차"</f>
        <v>4차</v>
      </c>
      <c r="D11434" s="1" t="str">
        <f>"9625A03245"</f>
        <v>9625A03245</v>
      </c>
      <c r="E11434" s="1" t="s">
        <v>10</v>
      </c>
      <c r="F11434" s="1" t="str">
        <f>"10.14.6.190"</f>
        <v>10.14.6.190</v>
      </c>
      <c r="G11434" s="1" t="str">
        <f>"9625A032"</f>
        <v>9625A032</v>
      </c>
      <c r="H11434" s="1" t="str">
        <f>"강변로 4-1T"</f>
        <v>강변로 4-1T</v>
      </c>
      <c r="I11434" s="1" t="s">
        <v>17</v>
      </c>
      <c r="J11434" s="1" t="str">
        <f>"14/39"</f>
        <v>14/39</v>
      </c>
      <c r="K11434" s="1" t="str">
        <f>"2026-07-29 13:18:12"</f>
        <v>2026-07-29 13:18:12</v>
      </c>
      <c r="L11434" s="1" t="str">
        <f>"2021-10-26 07:28:27"</f>
        <v>2021-10-26 07:28:27</v>
      </c>
      <c r="M11434" s="1" t="s">
        <v>3</v>
      </c>
      <c r="N11434" s="1" t="s">
        <v>38</v>
      </c>
      <c r="O11434" s="1" t="s">
        <v>46</v>
      </c>
    </row>
    <row r="11435" spans="2:15" x14ac:dyDescent="0.3">
      <c r="B11435" s="1" t="s">
        <v>20</v>
      </c>
      <c r="C11435" s="1" t="str">
        <f>"4차"</f>
        <v>4차</v>
      </c>
      <c r="D11435" s="1" t="str">
        <f>"9625A04245"</f>
        <v>9625A04245</v>
      </c>
      <c r="E11435" s="1" t="s">
        <v>10</v>
      </c>
      <c r="F11435" s="1" t="str">
        <f>"10.14.9.188"</f>
        <v>10.14.9.188</v>
      </c>
      <c r="G11435" s="1" t="str">
        <f>"9625A042"</f>
        <v>9625A042</v>
      </c>
      <c r="H11435" s="1" t="str">
        <f>"강변로 4-2T"</f>
        <v>강변로 4-2T</v>
      </c>
      <c r="I11435" s="1" t="s">
        <v>17</v>
      </c>
      <c r="J11435" s="1" t="str">
        <f>"50/53"</f>
        <v>50/53</v>
      </c>
      <c r="K11435" s="1" t="str">
        <f>"2026-07-29 13:18:12"</f>
        <v>2026-07-29 13:18:12</v>
      </c>
      <c r="L11435" s="1" t="str">
        <f>"2021-10-26 07:13:38"</f>
        <v>2021-10-26 07:13:38</v>
      </c>
      <c r="M11435" s="1" t="s">
        <v>3</v>
      </c>
      <c r="N11435" s="1" t="s">
        <v>38</v>
      </c>
      <c r="O11435" s="1" t="s">
        <v>46</v>
      </c>
    </row>
    <row r="11436" spans="2:15" x14ac:dyDescent="0.3">
      <c r="B11436" s="1" t="s">
        <v>20</v>
      </c>
      <c r="C11436" s="1" t="str">
        <f>"2차"</f>
        <v>2차</v>
      </c>
      <c r="D11436" s="1" t="str">
        <f>"9625A11120"</f>
        <v>9625A11120</v>
      </c>
      <c r="E11436" s="1" t="s">
        <v>10</v>
      </c>
      <c r="F11436" s="1" t="str">
        <f>"10.26.64.34"</f>
        <v>10.26.64.34</v>
      </c>
      <c r="G11436" s="1" t="str">
        <f>"9625A111"</f>
        <v>9625A111</v>
      </c>
      <c r="H11436" s="1" t="str">
        <f>"당수간 62R9"</f>
        <v>당수간 62R9</v>
      </c>
      <c r="I11436" s="1" t="s">
        <v>8</v>
      </c>
      <c r="J11436" s="1" t="str">
        <f>"34/34"</f>
        <v>34/34</v>
      </c>
      <c r="K11436" s="1" t="str">
        <f>"2026-07-29 13:18:10"</f>
        <v>2026-07-29 13:18:10</v>
      </c>
      <c r="L11436" s="1" t="str">
        <f>"2017-06-29 14:30:10"</f>
        <v>2017-06-29 14:30:10</v>
      </c>
      <c r="M11436" s="1" t="s">
        <v>45</v>
      </c>
      <c r="N11436" s="1" t="s">
        <v>38</v>
      </c>
      <c r="O11436" s="1" t="s">
        <v>46</v>
      </c>
    </row>
    <row r="11437" spans="2:15" x14ac:dyDescent="0.3">
      <c r="B11437" s="1" t="s">
        <v>20</v>
      </c>
      <c r="C11437" s="1" t="str">
        <f>"2차"</f>
        <v>2차</v>
      </c>
      <c r="D11437" s="1" t="str">
        <f>"9625A12121"</f>
        <v>9625A12121</v>
      </c>
      <c r="E11437" s="1" t="s">
        <v>10</v>
      </c>
      <c r="F11437" s="1" t="str">
        <f>"10.26.64.35"</f>
        <v>10.26.64.35</v>
      </c>
      <c r="G11437" s="1" t="str">
        <f>"9625A121"</f>
        <v>9625A121</v>
      </c>
      <c r="H11437" s="1" t="str">
        <f>"당수간 62R10"</f>
        <v>당수간 62R10</v>
      </c>
      <c r="I11437" s="1" t="s">
        <v>8</v>
      </c>
      <c r="J11437" s="1" t="str">
        <f>"89/94"</f>
        <v>89/94</v>
      </c>
      <c r="K11437" s="1" t="str">
        <f>"2026-07-29 13:18:10"</f>
        <v>2026-07-29 13:18:10</v>
      </c>
      <c r="L11437" s="1" t="str">
        <f>"2017-07-03 13:36:10"</f>
        <v>2017-07-03 13:36:10</v>
      </c>
      <c r="M11437" s="1" t="s">
        <v>45</v>
      </c>
      <c r="N11437" s="1" t="s">
        <v>38</v>
      </c>
      <c r="O11437" s="1" t="s">
        <v>46</v>
      </c>
    </row>
    <row r="11438" spans="2:15" x14ac:dyDescent="0.3">
      <c r="B11438" s="1" t="s">
        <v>20</v>
      </c>
      <c r="C11438" s="1" t="str">
        <f>"6차"</f>
        <v>6차</v>
      </c>
      <c r="D11438" s="1" t="str">
        <f>"9625A1716S"</f>
        <v>9625A1716S</v>
      </c>
      <c r="E11438" s="1" t="s">
        <v>10</v>
      </c>
      <c r="F11438" s="1" t="str">
        <f>"fde1:103:4:c6b3:0:0:0:2"</f>
        <v>fde1:103:4:c6b3:0:0:0:2</v>
      </c>
      <c r="G11438" s="1" t="str">
        <f>"9625A171"</f>
        <v>9625A171</v>
      </c>
      <c r="H11438" s="1" t="str">
        <f>"동국지 20"</f>
        <v>동국지 20</v>
      </c>
      <c r="I11438" s="1" t="s">
        <v>15</v>
      </c>
      <c r="J11438" s="1" t="str">
        <f>"58/58"</f>
        <v>58/58</v>
      </c>
      <c r="K11438" s="1" t="str">
        <f>"2026-07-29 14:21:28"</f>
        <v>2026-07-29 14:21:28</v>
      </c>
      <c r="L11438" s="1" t="str">
        <f>"2026-02-20 09:27:16"</f>
        <v>2026-02-20 09:27:16</v>
      </c>
      <c r="M11438" s="1" t="s">
        <v>4</v>
      </c>
      <c r="N11438" s="1" t="s">
        <v>38</v>
      </c>
      <c r="O11438" s="1" t="s">
        <v>46</v>
      </c>
    </row>
    <row r="11439" spans="2:15" x14ac:dyDescent="0.3">
      <c r="B11439" s="1" t="s">
        <v>20</v>
      </c>
      <c r="C11439" s="1" t="str">
        <f>"6차"</f>
        <v>6차</v>
      </c>
      <c r="D11439" s="1" t="str">
        <f>"9625A1836S"</f>
        <v>9625A1836S</v>
      </c>
      <c r="E11439" s="1" t="s">
        <v>10</v>
      </c>
      <c r="F11439" s="1" t="str">
        <f>"fde1:103:4:c7e2:0:0:0:2"</f>
        <v>fde1:103:4:c7e2:0:0:0:2</v>
      </c>
      <c r="G11439" s="1" t="str">
        <f>"9625A183"</f>
        <v>9625A183</v>
      </c>
      <c r="H11439" s="1" t="str">
        <f>"동국지 21R2"</f>
        <v>동국지 21R2</v>
      </c>
      <c r="I11439" s="1" t="s">
        <v>15</v>
      </c>
      <c r="J11439" s="1" t="str">
        <f>"70/87"</f>
        <v>70/87</v>
      </c>
      <c r="K11439" s="1" t="str">
        <f>"2026-07-29 14:21:28"</f>
        <v>2026-07-29 14:21:28</v>
      </c>
      <c r="L11439" s="1" t="str">
        <f>"2024-12-10 17:15:30"</f>
        <v>2024-12-10 17:15:30</v>
      </c>
      <c r="M11439" s="1" t="s">
        <v>4</v>
      </c>
      <c r="N11439" s="1" t="s">
        <v>38</v>
      </c>
      <c r="O11439" s="1" t="s">
        <v>46</v>
      </c>
    </row>
    <row r="11440" spans="2:15" x14ac:dyDescent="0.3">
      <c r="B11440" s="1" t="s">
        <v>20</v>
      </c>
      <c r="C11440" s="1" t="str">
        <f>"6차"</f>
        <v>6차</v>
      </c>
      <c r="D11440" s="1" t="str">
        <f>"9625A2226S"</f>
        <v>9625A2226S</v>
      </c>
      <c r="E11440" s="1" t="s">
        <v>10</v>
      </c>
      <c r="F11440" s="1" t="str">
        <f>"fde1:103:4:c5e9:0:0:0:2"</f>
        <v>fde1:103:4:c5e9:0:0:0:2</v>
      </c>
      <c r="G11440" s="1" t="str">
        <f>"9625A222"</f>
        <v>9625A222</v>
      </c>
      <c r="H11440" s="1" t="str">
        <f>"동국지 15AL3R3"</f>
        <v>동국지 15AL3R3</v>
      </c>
      <c r="I11440" s="1" t="s">
        <v>15</v>
      </c>
      <c r="J11440" s="1" t="str">
        <f>"117/117"</f>
        <v>117/117</v>
      </c>
      <c r="K11440" s="1" t="str">
        <f>"2026-07-29 14:21:28"</f>
        <v>2026-07-29 14:21:28</v>
      </c>
      <c r="L11440" s="1" t="str">
        <f>"2024-11-08 14:04:06"</f>
        <v>2024-11-08 14:04:06</v>
      </c>
      <c r="M11440" s="1" t="s">
        <v>4</v>
      </c>
      <c r="N11440" s="1" t="s">
        <v>38</v>
      </c>
      <c r="O11440" s="1" t="s">
        <v>46</v>
      </c>
    </row>
    <row r="11441" spans="2:15" x14ac:dyDescent="0.3">
      <c r="B11441" s="1" t="s">
        <v>20</v>
      </c>
      <c r="C11441" s="1" t="str">
        <f>"5-2차"</f>
        <v>5-2차</v>
      </c>
      <c r="D11441" s="1" t="str">
        <f>"9625A2425M"</f>
        <v>9625A2425M</v>
      </c>
      <c r="E11441" s="1" t="s">
        <v>10</v>
      </c>
      <c r="F11441" s="1" t="str">
        <f>"fde1:103:4:5590:0:0:0:2"</f>
        <v>fde1:103:4:5590:0:0:0:2</v>
      </c>
      <c r="G11441" s="1" t="str">
        <f>"9625A242"</f>
        <v>9625A242</v>
      </c>
      <c r="H11441" s="1" t="str">
        <f>"동국지 15AL1"</f>
        <v>동국지 15AL1</v>
      </c>
      <c r="I11441" s="1" t="s">
        <v>15</v>
      </c>
      <c r="J11441" s="1" t="str">
        <f>"72/72"</f>
        <v>72/72</v>
      </c>
      <c r="K11441" s="1" t="str">
        <f>"2026-07-29 14:21:28"</f>
        <v>2026-07-29 14:21:28</v>
      </c>
      <c r="L11441" s="1" t="str">
        <f>"2023-08-09 15:42:04"</f>
        <v>2023-08-09 15:42:04</v>
      </c>
      <c r="M11441" s="1" t="s">
        <v>4</v>
      </c>
      <c r="N11441" s="1" t="s">
        <v>38</v>
      </c>
      <c r="O11441" s="1" t="s">
        <v>46</v>
      </c>
    </row>
    <row r="11442" spans="2:15" x14ac:dyDescent="0.3">
      <c r="B11442" s="1" t="s">
        <v>20</v>
      </c>
      <c r="C11442" s="1" t="str">
        <f>"6차"</f>
        <v>6차</v>
      </c>
      <c r="D11442" s="1" t="str">
        <f>"9625A2616S"</f>
        <v>9625A2616S</v>
      </c>
      <c r="E11442" s="1" t="s">
        <v>10</v>
      </c>
      <c r="F11442" s="1" t="str">
        <f>"fde1:103:4:c6b8:0:0:0:2"</f>
        <v>fde1:103:4:c6b8:0:0:0:2</v>
      </c>
      <c r="G11442" s="1" t="str">
        <f>"9625A261"</f>
        <v>9625A261</v>
      </c>
      <c r="H11442" s="1" t="str">
        <f>"동국지 20H1R1"</f>
        <v>동국지 20H1R1</v>
      </c>
      <c r="I11442" s="1" t="s">
        <v>15</v>
      </c>
      <c r="J11442" s="1" t="str">
        <f>"109/109"</f>
        <v>109/109</v>
      </c>
      <c r="K11442" s="1" t="str">
        <f>"2026-07-29 14:21:16"</f>
        <v>2026-07-29 14:21:16</v>
      </c>
      <c r="L11442" s="1" t="str">
        <f>"2024-11-11 17:14:23"</f>
        <v>2024-11-11 17:14:23</v>
      </c>
      <c r="M11442" s="1" t="s">
        <v>4</v>
      </c>
      <c r="N11442" s="1" t="s">
        <v>38</v>
      </c>
      <c r="O11442" s="1" t="s">
        <v>46</v>
      </c>
    </row>
    <row r="11443" spans="2:15" x14ac:dyDescent="0.3">
      <c r="B11443" s="1" t="s">
        <v>20</v>
      </c>
      <c r="C11443" s="1" t="str">
        <f>"5-2차"</f>
        <v>5-2차</v>
      </c>
      <c r="D11443" s="1" t="str">
        <f>"9625A2935M"</f>
        <v>9625A2935M</v>
      </c>
      <c r="E11443" s="1" t="s">
        <v>10</v>
      </c>
      <c r="F11443" s="1" t="str">
        <f>"fde1:103:4:5659:0:0:0:2"</f>
        <v>fde1:103:4:5659:0:0:0:2</v>
      </c>
      <c r="G11443" s="1" t="str">
        <f>"9625A293"</f>
        <v>9625A293</v>
      </c>
      <c r="H11443" s="1" t="str">
        <f>"동국지 5R11"</f>
        <v>동국지 5R11</v>
      </c>
      <c r="I11443" s="1" t="s">
        <v>15</v>
      </c>
      <c r="J11443" s="1" t="str">
        <f>"101/101"</f>
        <v>101/101</v>
      </c>
      <c r="K11443" s="1" t="str">
        <f>"2026-07-29 14:21:28"</f>
        <v>2026-07-29 14:21:28</v>
      </c>
      <c r="L11443" s="1" t="str">
        <f>"2023-08-09 15:46:33"</f>
        <v>2023-08-09 15:46:33</v>
      </c>
      <c r="M11443" s="1" t="s">
        <v>4</v>
      </c>
      <c r="N11443" s="1" t="s">
        <v>38</v>
      </c>
      <c r="O11443" s="1" t="s">
        <v>46</v>
      </c>
    </row>
    <row r="11444" spans="2:15" x14ac:dyDescent="0.3">
      <c r="B11444" s="1" t="s">
        <v>20</v>
      </c>
      <c r="C11444" s="1" t="str">
        <f>"5-1차"</f>
        <v>5-1차</v>
      </c>
      <c r="D11444" s="1" t="str">
        <f>"9625A3035M"</f>
        <v>9625A3035M</v>
      </c>
      <c r="E11444" s="1" t="s">
        <v>10</v>
      </c>
      <c r="F11444" s="1" t="str">
        <f>"fde2:104:0:c1:0:0:0:2"</f>
        <v>fde2:104:0:c1:0:0:0:2</v>
      </c>
      <c r="G11444" s="1" t="str">
        <f>"9625A303"</f>
        <v>9625A303</v>
      </c>
      <c r="H11444" s="1" t="str">
        <f>"당수간 47R11"</f>
        <v>당수간 47R11</v>
      </c>
      <c r="I11444" s="1" t="s">
        <v>15</v>
      </c>
      <c r="J11444" s="1" t="str">
        <f>"37/40"</f>
        <v>37/40</v>
      </c>
      <c r="K11444" s="1" t="str">
        <f>"2026-07-29 14:21:29"</f>
        <v>2026-07-29 14:21:29</v>
      </c>
      <c r="L11444" s="1" t="str">
        <f>"2022-09-23 15:40:28"</f>
        <v>2022-09-23 15:40:28</v>
      </c>
      <c r="M11444" s="1" t="s">
        <v>42</v>
      </c>
      <c r="N11444" s="1" t="s">
        <v>38</v>
      </c>
      <c r="O11444" s="1" t="s">
        <v>46</v>
      </c>
    </row>
    <row r="11445" spans="2:15" x14ac:dyDescent="0.3">
      <c r="B11445" s="1" t="s">
        <v>20</v>
      </c>
      <c r="C11445" s="1" t="str">
        <f>"5-2차"</f>
        <v>5-2차</v>
      </c>
      <c r="D11445" s="1" t="str">
        <f>"9625A3315M"</f>
        <v>9625A3315M</v>
      </c>
      <c r="E11445" s="1" t="s">
        <v>10</v>
      </c>
      <c r="F11445" s="1" t="str">
        <f>"fde1:103:4:563e:0:0:0:2"</f>
        <v>fde1:103:4:563e:0:0:0:2</v>
      </c>
      <c r="G11445" s="1" t="str">
        <f>"9625A331"</f>
        <v>9625A331</v>
      </c>
      <c r="H11445" s="1" t="str">
        <f>"동국지 15AL2"</f>
        <v>동국지 15AL2</v>
      </c>
      <c r="I11445" s="1" t="s">
        <v>15</v>
      </c>
      <c r="J11445" s="1" t="str">
        <f>"41/43"</f>
        <v>41/43</v>
      </c>
      <c r="K11445" s="1" t="str">
        <f>"2026-07-29 14:21:28"</f>
        <v>2026-07-29 14:21:28</v>
      </c>
      <c r="L11445" s="1" t="str">
        <f>"2023-08-09 15:51:26"</f>
        <v>2023-08-09 15:51:26</v>
      </c>
      <c r="M11445" s="1" t="s">
        <v>4</v>
      </c>
      <c r="N11445" s="1" t="s">
        <v>38</v>
      </c>
      <c r="O11445" s="1" t="s">
        <v>46</v>
      </c>
    </row>
    <row r="11446" spans="2:15" x14ac:dyDescent="0.3">
      <c r="B11446" s="1" t="s">
        <v>20</v>
      </c>
      <c r="C11446" s="1" t="str">
        <f>"6차"</f>
        <v>6차</v>
      </c>
      <c r="D11446" s="1" t="str">
        <f>"9625A3416S"</f>
        <v>9625A3416S</v>
      </c>
      <c r="E11446" s="1" t="s">
        <v>10</v>
      </c>
      <c r="F11446" s="1" t="str">
        <f>"fde1:103:4:c5d7:0:0:0:2"</f>
        <v>fde1:103:4:c5d7:0:0:0:2</v>
      </c>
      <c r="G11446" s="1" t="str">
        <f>"9625A341"</f>
        <v>9625A341</v>
      </c>
      <c r="H11446" s="1" t="str">
        <f>"동국지 14L1"</f>
        <v>동국지 14L1</v>
      </c>
      <c r="I11446" s="1" t="s">
        <v>15</v>
      </c>
      <c r="J11446" s="1" t="str">
        <f>"45/45"</f>
        <v>45/45</v>
      </c>
      <c r="K11446" s="1" t="str">
        <f>"2026-07-29 14:21:16"</f>
        <v>2026-07-29 14:21:16</v>
      </c>
      <c r="L11446" s="1" t="str">
        <f>"2024-11-08 14:16:25"</f>
        <v>2024-11-08 14:16:25</v>
      </c>
      <c r="M11446" s="1" t="s">
        <v>4</v>
      </c>
      <c r="N11446" s="1" t="s">
        <v>38</v>
      </c>
      <c r="O11446" s="1" t="s">
        <v>46</v>
      </c>
    </row>
    <row r="11447" spans="2:15" x14ac:dyDescent="0.3">
      <c r="B11447" s="1" t="s">
        <v>20</v>
      </c>
      <c r="C11447" s="1" t="str">
        <f>"6차"</f>
        <v>6차</v>
      </c>
      <c r="D11447" s="1" t="str">
        <f>"9625A3916S"</f>
        <v>9625A3916S</v>
      </c>
      <c r="E11447" s="1" t="s">
        <v>10</v>
      </c>
      <c r="F11447" s="1" t="str">
        <f>"fde1:103:4:c7a5:0:0:0:2"</f>
        <v>fde1:103:4:c7a5:0:0:0:2</v>
      </c>
      <c r="G11447" s="1" t="str">
        <f>"9625A391"</f>
        <v>9625A391</v>
      </c>
      <c r="H11447" s="1" t="str">
        <f>"동국지 5R10"</f>
        <v>동국지 5R10</v>
      </c>
      <c r="I11447" s="1" t="s">
        <v>15</v>
      </c>
      <c r="J11447" s="1" t="str">
        <f>"33/36"</f>
        <v>33/36</v>
      </c>
      <c r="K11447" s="1" t="str">
        <f>"2026-07-29 14:21:30"</f>
        <v>2026-07-29 14:21:30</v>
      </c>
      <c r="L11447" s="1" t="str">
        <f>"2024-12-11 15:53:34"</f>
        <v>2024-12-11 15:53:34</v>
      </c>
      <c r="M11447" s="1" t="s">
        <v>4</v>
      </c>
      <c r="N11447" s="1" t="s">
        <v>38</v>
      </c>
      <c r="O11447" s="1" t="s">
        <v>46</v>
      </c>
    </row>
    <row r="11448" spans="2:15" x14ac:dyDescent="0.3">
      <c r="B11448" s="1" t="s">
        <v>20</v>
      </c>
      <c r="C11448" s="1" t="str">
        <f>"6차"</f>
        <v>6차</v>
      </c>
      <c r="D11448" s="1" t="str">
        <f>"9625A4026S"</f>
        <v>9625A4026S</v>
      </c>
      <c r="E11448" s="1" t="s">
        <v>10</v>
      </c>
      <c r="F11448" s="1" t="str">
        <f>"fde1:103:4:c7a1:0:0:0:2"</f>
        <v>fde1:103:4:c7a1:0:0:0:2</v>
      </c>
      <c r="G11448" s="1" t="str">
        <f>"9625A402"</f>
        <v>9625A402</v>
      </c>
      <c r="H11448" s="1" t="str">
        <f>"당수간 47R10"</f>
        <v>당수간 47R10</v>
      </c>
      <c r="I11448" s="1" t="s">
        <v>15</v>
      </c>
      <c r="J11448" s="1" t="str">
        <f>"36/36"</f>
        <v>36/36</v>
      </c>
      <c r="K11448" s="1" t="str">
        <f>"2026-07-29 14:21:31"</f>
        <v>2026-07-29 14:21:31</v>
      </c>
      <c r="L11448" s="1" t="str">
        <f>"2024-12-11 15:53:17"</f>
        <v>2024-12-11 15:53:17</v>
      </c>
      <c r="M11448" s="1" t="s">
        <v>4</v>
      </c>
      <c r="N11448" s="1" t="s">
        <v>38</v>
      </c>
      <c r="O11448" s="1" t="s">
        <v>46</v>
      </c>
    </row>
    <row r="11449" spans="2:15" x14ac:dyDescent="0.3">
      <c r="B11449" s="1" t="s">
        <v>20</v>
      </c>
      <c r="C11449" s="1" t="str">
        <f>"6차"</f>
        <v>6차</v>
      </c>
      <c r="D11449" s="1" t="str">
        <f>"9625A4116S"</f>
        <v>9625A4116S</v>
      </c>
      <c r="E11449" s="1" t="s">
        <v>10</v>
      </c>
      <c r="F11449" s="1" t="str">
        <f>"fde1:103:4:c610:0:0:0:2"</f>
        <v>fde1:103:4:c610:0:0:0:2</v>
      </c>
      <c r="G11449" s="1" t="str">
        <f>"9625A411"</f>
        <v>9625A411</v>
      </c>
      <c r="H11449" s="1" t="str">
        <f>"당수간 47R9"</f>
        <v>당수간 47R9</v>
      </c>
      <c r="I11449" s="1" t="s">
        <v>15</v>
      </c>
      <c r="J11449" s="1" t="str">
        <f>"84/84"</f>
        <v>84/84</v>
      </c>
      <c r="K11449" s="1" t="str">
        <f>"2026-07-29 14:21:29"</f>
        <v>2026-07-29 14:21:29</v>
      </c>
      <c r="L11449" s="1" t="str">
        <f>"2024-11-04 15:34:41"</f>
        <v>2024-11-04 15:34:41</v>
      </c>
      <c r="M11449" s="1" t="s">
        <v>4</v>
      </c>
      <c r="N11449" s="1" t="s">
        <v>38</v>
      </c>
      <c r="O11449" s="1" t="s">
        <v>46</v>
      </c>
    </row>
    <row r="11450" spans="2:15" x14ac:dyDescent="0.3">
      <c r="B11450" s="1" t="s">
        <v>20</v>
      </c>
      <c r="C11450" s="1" t="str">
        <f>"5-2차"</f>
        <v>5-2차</v>
      </c>
      <c r="D11450" s="1" t="str">
        <f>"9625A4215M"</f>
        <v>9625A4215M</v>
      </c>
      <c r="E11450" s="1" t="s">
        <v>10</v>
      </c>
      <c r="F11450" s="1" t="str">
        <f>"fde1:103:4:5565:0:0:0:2"</f>
        <v>fde1:103:4:5565:0:0:0:2</v>
      </c>
      <c r="G11450" s="1" t="str">
        <f>"9625A421"</f>
        <v>9625A421</v>
      </c>
      <c r="H11450" s="1" t="str">
        <f>"동국지 15AL3AR2"</f>
        <v>동국지 15AL3AR2</v>
      </c>
      <c r="I11450" s="1" t="s">
        <v>15</v>
      </c>
      <c r="J11450" s="1" t="str">
        <f>"54/54"</f>
        <v>54/54</v>
      </c>
      <c r="K11450" s="1" t="str">
        <f>"2026-07-29 14:21:29"</f>
        <v>2026-07-29 14:21:29</v>
      </c>
      <c r="L11450" s="1" t="str">
        <f>"2023-08-09 16:11:44"</f>
        <v>2023-08-09 16:11:44</v>
      </c>
      <c r="M11450" s="1" t="s">
        <v>4</v>
      </c>
      <c r="N11450" s="1" t="s">
        <v>38</v>
      </c>
      <c r="O11450" s="1" t="s">
        <v>46</v>
      </c>
    </row>
    <row r="11451" spans="2:15" x14ac:dyDescent="0.3">
      <c r="B11451" s="1" t="s">
        <v>20</v>
      </c>
      <c r="C11451" s="1" t="str">
        <f>"6차"</f>
        <v>6차</v>
      </c>
      <c r="D11451" s="1" t="str">
        <f>"9625A4336S"</f>
        <v>9625A4336S</v>
      </c>
      <c r="E11451" s="1" t="s">
        <v>10</v>
      </c>
      <c r="F11451" s="1" t="str">
        <f>"fde1:103:4:c6a9:0:0:0:2"</f>
        <v>fde1:103:4:c6a9:0:0:0:2</v>
      </c>
      <c r="G11451" s="1" t="str">
        <f>"9625A433"</f>
        <v>9625A433</v>
      </c>
      <c r="H11451" s="1" t="str">
        <f>"동국지 15AL5"</f>
        <v>동국지 15AL5</v>
      </c>
      <c r="I11451" s="1" t="s">
        <v>15</v>
      </c>
      <c r="J11451" s="1" t="str">
        <f>"61/61"</f>
        <v>61/61</v>
      </c>
      <c r="K11451" s="1" t="str">
        <f>"2026-07-29 14:21:29"</f>
        <v>2026-07-29 14:21:29</v>
      </c>
      <c r="L11451" s="1" t="str">
        <f>"2024-11-08 14:03:26"</f>
        <v>2024-11-08 14:03:26</v>
      </c>
      <c r="M11451" s="1" t="s">
        <v>4</v>
      </c>
      <c r="N11451" s="1" t="s">
        <v>38</v>
      </c>
      <c r="O11451" s="1" t="s">
        <v>46</v>
      </c>
    </row>
    <row r="11452" spans="2:15" x14ac:dyDescent="0.3">
      <c r="B11452" s="1" t="s">
        <v>20</v>
      </c>
      <c r="C11452" s="1" t="str">
        <f>"5-2차"</f>
        <v>5-2차</v>
      </c>
      <c r="D11452" s="1" t="str">
        <f>"9625A4415S"</f>
        <v>9625A4415S</v>
      </c>
      <c r="E11452" s="1" t="s">
        <v>10</v>
      </c>
      <c r="F11452" s="1" t="str">
        <f>"fde1:103:4:56c4:0:0:0:2"</f>
        <v>fde1:103:4:56c4:0:0:0:2</v>
      </c>
      <c r="G11452" s="1" t="str">
        <f>"9625A441"</f>
        <v>9625A441</v>
      </c>
      <c r="H11452" s="1" t="str">
        <f>"동국지 15AL6L1"</f>
        <v>동국지 15AL6L1</v>
      </c>
      <c r="I11452" s="1" t="s">
        <v>15</v>
      </c>
      <c r="J11452" s="1" t="str">
        <f>"66/66"</f>
        <v>66/66</v>
      </c>
      <c r="K11452" s="1" t="str">
        <f>"2026-07-29 14:20:57"</f>
        <v>2026-07-29 14:20:57</v>
      </c>
      <c r="L11452" s="1" t="str">
        <f>"2023-08-29 14:18:45"</f>
        <v>2023-08-29 14:18:45</v>
      </c>
      <c r="M11452" s="1" t="s">
        <v>4</v>
      </c>
      <c r="N11452" s="1" t="s">
        <v>38</v>
      </c>
      <c r="O11452" s="1" t="s">
        <v>46</v>
      </c>
    </row>
    <row r="11453" spans="2:15" x14ac:dyDescent="0.3">
      <c r="B11453" s="1" t="s">
        <v>20</v>
      </c>
      <c r="C11453" s="1" t="str">
        <f>"5-2차"</f>
        <v>5-2차</v>
      </c>
      <c r="D11453" s="1" t="str">
        <f>"9625A4515M"</f>
        <v>9625A4515M</v>
      </c>
      <c r="E11453" s="1" t="s">
        <v>10</v>
      </c>
      <c r="F11453" s="1" t="str">
        <f>"fde1:103:4:55e8:0:0:0:2"</f>
        <v>fde1:103:4:55e8:0:0:0:2</v>
      </c>
      <c r="G11453" s="1" t="str">
        <f>"9625A451"</f>
        <v>9625A451</v>
      </c>
      <c r="H11453" s="1" t="str">
        <f>"동국지 12"</f>
        <v>동국지 12</v>
      </c>
      <c r="I11453" s="1" t="s">
        <v>15</v>
      </c>
      <c r="J11453" s="1" t="str">
        <f>"43/44"</f>
        <v>43/44</v>
      </c>
      <c r="K11453" s="1" t="str">
        <f>"2026-07-29 14:21:29"</f>
        <v>2026-07-29 14:21:29</v>
      </c>
      <c r="L11453" s="1" t="str">
        <f>"2023-08-09 16:13:01"</f>
        <v>2023-08-09 16:13:01</v>
      </c>
      <c r="M11453" s="1" t="s">
        <v>4</v>
      </c>
      <c r="N11453" s="1" t="s">
        <v>38</v>
      </c>
      <c r="O11453" s="1" t="s">
        <v>46</v>
      </c>
    </row>
    <row r="11454" spans="2:15" x14ac:dyDescent="0.3">
      <c r="B11454" s="1" t="s">
        <v>20</v>
      </c>
      <c r="C11454" s="1" t="str">
        <f>"5-2차"</f>
        <v>5-2차</v>
      </c>
      <c r="D11454" s="1" t="str">
        <f>"9625A4715S"</f>
        <v>9625A4715S</v>
      </c>
      <c r="E11454" s="1" t="s">
        <v>10</v>
      </c>
      <c r="F11454" s="1" t="str">
        <f>"fde1:103:4:5674:0:0:0:2"</f>
        <v>fde1:103:4:5674:0:0:0:2</v>
      </c>
      <c r="G11454" s="1" t="str">
        <f>"9625A471"</f>
        <v>9625A471</v>
      </c>
      <c r="H11454" s="1" t="str">
        <f>"동국지 20H1R5"</f>
        <v>동국지 20H1R5</v>
      </c>
      <c r="I11454" s="1" t="s">
        <v>15</v>
      </c>
      <c r="J11454" s="1" t="str">
        <f>"55/55"</f>
        <v>55/55</v>
      </c>
      <c r="K11454" s="1" t="str">
        <f>"2026-07-29 14:21:34"</f>
        <v>2026-07-29 14:21:34</v>
      </c>
      <c r="L11454" s="1" t="str">
        <f>"2023-08-29 14:29:27"</f>
        <v>2023-08-29 14:29:27</v>
      </c>
      <c r="M11454" s="1" t="s">
        <v>4</v>
      </c>
      <c r="N11454" s="1" t="s">
        <v>38</v>
      </c>
      <c r="O11454" s="1" t="s">
        <v>46</v>
      </c>
    </row>
    <row r="11455" spans="2:15" x14ac:dyDescent="0.3">
      <c r="B11455" s="1" t="s">
        <v>20</v>
      </c>
      <c r="C11455" s="1" t="str">
        <f>"6차"</f>
        <v>6차</v>
      </c>
      <c r="D11455" s="1" t="str">
        <f>"9625A4916S"</f>
        <v>9625A4916S</v>
      </c>
      <c r="E11455" s="1" t="s">
        <v>10</v>
      </c>
      <c r="F11455" s="1" t="str">
        <f>"fde1:103:4:c60f:0:0:0:2"</f>
        <v>fde1:103:4:c60f:0:0:0:2</v>
      </c>
      <c r="G11455" s="1" t="str">
        <f>"9625A491"</f>
        <v>9625A491</v>
      </c>
      <c r="H11455" s="1" t="str">
        <f>"동국지 5R9"</f>
        <v>동국지 5R9</v>
      </c>
      <c r="I11455" s="1" t="s">
        <v>15</v>
      </c>
      <c r="J11455" s="1" t="str">
        <f>"47/47"</f>
        <v>47/47</v>
      </c>
      <c r="K11455" s="1" t="str">
        <f>"2026-07-29 08:21:18"</f>
        <v>2026-07-29 08:21:18</v>
      </c>
      <c r="L11455" s="1" t="str">
        <f>"2024-11-04 15:34:55"</f>
        <v>2024-11-04 15:34:55</v>
      </c>
      <c r="M11455" s="1" t="s">
        <v>4</v>
      </c>
      <c r="N11455" s="1" t="s">
        <v>38</v>
      </c>
      <c r="O11455" s="1" t="s">
        <v>46</v>
      </c>
    </row>
    <row r="11456" spans="2:15" x14ac:dyDescent="0.3">
      <c r="B11456" s="1" t="s">
        <v>20</v>
      </c>
      <c r="C11456" s="1" t="str">
        <f>"5-2차"</f>
        <v>5-2차</v>
      </c>
      <c r="D11456" s="1" t="str">
        <f>"9625A5065M"</f>
        <v>9625A5065M</v>
      </c>
      <c r="E11456" s="1" t="s">
        <v>10</v>
      </c>
      <c r="F11456" s="1" t="str">
        <f>"fde1:103:4:564d:0:0:0:2"</f>
        <v>fde1:103:4:564d:0:0:0:2</v>
      </c>
      <c r="G11456" s="1" t="str">
        <f>"9625A506"</f>
        <v>9625A506</v>
      </c>
      <c r="H11456" s="1" t="str">
        <f>"당수간 53"</f>
        <v>당수간 53</v>
      </c>
      <c r="I11456" s="1" t="s">
        <v>15</v>
      </c>
      <c r="J11456" s="1" t="str">
        <f>"53/53"</f>
        <v>53/53</v>
      </c>
      <c r="K11456" s="1" t="str">
        <f>"2026-07-29 14:21:22"</f>
        <v>2026-07-29 14:21:22</v>
      </c>
      <c r="L11456" s="1" t="str">
        <f>"2023-08-09 16:15:11"</f>
        <v>2023-08-09 16:15:11</v>
      </c>
      <c r="M11456" s="1" t="s">
        <v>4</v>
      </c>
      <c r="N11456" s="1" t="s">
        <v>38</v>
      </c>
      <c r="O11456" s="1" t="s">
        <v>46</v>
      </c>
    </row>
    <row r="11457" spans="2:15" x14ac:dyDescent="0.3">
      <c r="B11457" s="1" t="s">
        <v>20</v>
      </c>
      <c r="C11457" s="1" t="str">
        <f>"5-2차"</f>
        <v>5-2차</v>
      </c>
      <c r="D11457" s="1" t="str">
        <f>"9625A5115S"</f>
        <v>9625A5115S</v>
      </c>
      <c r="E11457" s="1" t="s">
        <v>10</v>
      </c>
      <c r="F11457" s="1" t="str">
        <f>"fde1:103:4:5600:0:0:0:2"</f>
        <v>fde1:103:4:5600:0:0:0:2</v>
      </c>
      <c r="G11457" s="1" t="str">
        <f>"9625A511"</f>
        <v>9625A511</v>
      </c>
      <c r="H11457" s="1" t="str">
        <f>"당수간 47R7"</f>
        <v>당수간 47R7</v>
      </c>
      <c r="I11457" s="1" t="s">
        <v>15</v>
      </c>
      <c r="J11457" s="1" t="str">
        <f>"92/92"</f>
        <v>92/92</v>
      </c>
      <c r="K11457" s="1" t="str">
        <f>"2026-07-29 14:20:57"</f>
        <v>2026-07-29 14:20:57</v>
      </c>
      <c r="L11457" s="1" t="str">
        <f>"2023-08-29 14:42:39"</f>
        <v>2023-08-29 14:42:39</v>
      </c>
      <c r="M11457" s="1" t="s">
        <v>4</v>
      </c>
      <c r="N11457" s="1" t="s">
        <v>38</v>
      </c>
      <c r="O11457" s="1" t="s">
        <v>46</v>
      </c>
    </row>
    <row r="11458" spans="2:15" x14ac:dyDescent="0.3">
      <c r="B11458" s="1" t="s">
        <v>20</v>
      </c>
      <c r="C11458" s="1" t="str">
        <f>"6차"</f>
        <v>6차</v>
      </c>
      <c r="D11458" s="1" t="str">
        <f>"9625A5456S"</f>
        <v>9625A5456S</v>
      </c>
      <c r="E11458" s="1" t="s">
        <v>10</v>
      </c>
      <c r="F11458" s="1" t="str">
        <f>"fde1:103:4:c6ae:0:0:0:2"</f>
        <v>fde1:103:4:c6ae:0:0:0:2</v>
      </c>
      <c r="G11458" s="1" t="str">
        <f>"9625A545"</f>
        <v>9625A545</v>
      </c>
      <c r="H11458" s="1" t="str">
        <f>"동국지 15AL9L2"</f>
        <v>동국지 15AL9L2</v>
      </c>
      <c r="I11458" s="1" t="s">
        <v>15</v>
      </c>
      <c r="J11458" s="1" t="str">
        <f>"102/105"</f>
        <v>102/105</v>
      </c>
      <c r="K11458" s="1" t="str">
        <f>"2026-07-29 14:21:30"</f>
        <v>2026-07-29 14:21:30</v>
      </c>
      <c r="L11458" s="1" t="str">
        <f>"2024-11-08 14:03:36"</f>
        <v>2024-11-08 14:03:36</v>
      </c>
      <c r="M11458" s="1" t="s">
        <v>4</v>
      </c>
      <c r="N11458" s="1" t="s">
        <v>38</v>
      </c>
      <c r="O11458" s="1" t="s">
        <v>46</v>
      </c>
    </row>
    <row r="11459" spans="2:15" x14ac:dyDescent="0.3">
      <c r="B11459" s="1" t="s">
        <v>20</v>
      </c>
      <c r="C11459" s="1" t="str">
        <f>"5-2차"</f>
        <v>5-2차</v>
      </c>
      <c r="D11459" s="1" t="str">
        <f>"9625A5515S"</f>
        <v>9625A5515S</v>
      </c>
      <c r="E11459" s="1" t="s">
        <v>10</v>
      </c>
      <c r="F11459" s="1" t="str">
        <f>"fde1:103:4:565e:0:0:0:2"</f>
        <v>fde1:103:4:565e:0:0:0:2</v>
      </c>
      <c r="G11459" s="1" t="str">
        <f>"9625A551"</f>
        <v>9625A551</v>
      </c>
      <c r="H11459" s="1" t="str">
        <f>"동국지 15AL9L4"</f>
        <v>동국지 15AL9L4</v>
      </c>
      <c r="I11459" s="1" t="s">
        <v>15</v>
      </c>
      <c r="J11459" s="1" t="str">
        <f>"54/54"</f>
        <v>54/54</v>
      </c>
      <c r="K11459" s="1" t="str">
        <f>"2026-07-29 14:21:29"</f>
        <v>2026-07-29 14:21:29</v>
      </c>
      <c r="L11459" s="1" t="str">
        <f>"2023-08-29 15:08:26"</f>
        <v>2023-08-29 15:08:26</v>
      </c>
      <c r="M11459" s="1" t="s">
        <v>4</v>
      </c>
      <c r="N11459" s="1" t="s">
        <v>38</v>
      </c>
      <c r="O11459" s="1" t="s">
        <v>46</v>
      </c>
    </row>
    <row r="11460" spans="2:15" x14ac:dyDescent="0.3">
      <c r="B11460" s="1" t="s">
        <v>20</v>
      </c>
      <c r="C11460" s="1" t="str">
        <f>"5-2차"</f>
        <v>5-2차</v>
      </c>
      <c r="D11460" s="1" t="str">
        <f>"9625A5825M"</f>
        <v>9625A5825M</v>
      </c>
      <c r="E11460" s="1" t="s">
        <v>10</v>
      </c>
      <c r="F11460" s="1" t="str">
        <f>"fde1:103:4:56d3:0:0:0:2"</f>
        <v>fde1:103:4:56d3:0:0:0:2</v>
      </c>
      <c r="G11460" s="1" t="str">
        <f>"9625A582"</f>
        <v>9625A582</v>
      </c>
      <c r="H11460" s="1" t="str">
        <f>"동국지 20H1R4L1"</f>
        <v>동국지 20H1R4L1</v>
      </c>
      <c r="I11460" s="1" t="s">
        <v>15</v>
      </c>
      <c r="J11460" s="1" t="str">
        <f>"58/58"</f>
        <v>58/58</v>
      </c>
      <c r="K11460" s="1" t="str">
        <f>"2026-07-29 14:21:15"</f>
        <v>2026-07-29 14:21:15</v>
      </c>
      <c r="L11460" s="1" t="str">
        <f>"2023-08-09 16:33:29"</f>
        <v>2023-08-09 16:33:29</v>
      </c>
      <c r="M11460" s="1" t="s">
        <v>4</v>
      </c>
      <c r="N11460" s="1" t="s">
        <v>38</v>
      </c>
      <c r="O11460" s="1" t="s">
        <v>46</v>
      </c>
    </row>
    <row r="11461" spans="2:15" x14ac:dyDescent="0.3">
      <c r="B11461" s="1" t="s">
        <v>20</v>
      </c>
      <c r="C11461" s="1" t="str">
        <f>"5-2차"</f>
        <v>5-2차</v>
      </c>
      <c r="D11461" s="1" t="str">
        <f>"9625A5845M"</f>
        <v>9625A5845M</v>
      </c>
      <c r="E11461" s="1" t="s">
        <v>10</v>
      </c>
      <c r="F11461" s="1" t="str">
        <f>"fde3:102:1300:2e03:0:0:0:10"</f>
        <v>fde3:102:1300:2e03:0:0:0:10</v>
      </c>
      <c r="G11461" s="1" t="str">
        <f>"9625A584"</f>
        <v>9625A584</v>
      </c>
      <c r="H11461" s="1" t="str">
        <f>"동국지 20H1R4L2"</f>
        <v>동국지 20H1R4L2</v>
      </c>
      <c r="I11461" s="1" t="s">
        <v>15</v>
      </c>
      <c r="J11461" s="1" t="str">
        <f>"24/24"</f>
        <v>24/24</v>
      </c>
      <c r="K11461" s="1" t="str">
        <f>"2026-07-29 14:21:30"</f>
        <v>2026-07-29 14:21:30</v>
      </c>
      <c r="L11461" s="1" t="str">
        <f>"2023-11-24 10:18:06"</f>
        <v>2023-11-24 10:18:06</v>
      </c>
      <c r="M11461" s="1" t="s">
        <v>45</v>
      </c>
      <c r="N11461" s="1" t="s">
        <v>38</v>
      </c>
      <c r="O11461" s="1" t="s">
        <v>46</v>
      </c>
    </row>
    <row r="11462" spans="2:15" x14ac:dyDescent="0.3">
      <c r="B11462" s="1" t="s">
        <v>20</v>
      </c>
      <c r="C11462" s="1" t="str">
        <f>"6차"</f>
        <v>6차</v>
      </c>
      <c r="D11462" s="1" t="str">
        <f>"9625A5916S"</f>
        <v>9625A5916S</v>
      </c>
      <c r="E11462" s="1" t="s">
        <v>10</v>
      </c>
      <c r="F11462" s="1" t="str">
        <f>"fde1:103:4:c7e5:0:0:0:2"</f>
        <v>fde1:103:4:c7e5:0:0:0:2</v>
      </c>
      <c r="G11462" s="1" t="str">
        <f>"9625A591"</f>
        <v>9625A591</v>
      </c>
      <c r="H11462" s="1" t="str">
        <f>"동국지 5R8L1"</f>
        <v>동국지 5R8L1</v>
      </c>
      <c r="I11462" s="1" t="s">
        <v>15</v>
      </c>
      <c r="J11462" s="1" t="str">
        <f>"64/84"</f>
        <v>64/84</v>
      </c>
      <c r="K11462" s="1" t="str">
        <f>"2026-07-29 14:21:03"</f>
        <v>2026-07-29 14:21:03</v>
      </c>
      <c r="L11462" s="1" t="str">
        <f>"2024-12-10 15:38:20"</f>
        <v>2024-12-10 15:38:20</v>
      </c>
      <c r="M11462" s="1" t="s">
        <v>4</v>
      </c>
      <c r="N11462" s="1" t="s">
        <v>38</v>
      </c>
      <c r="O11462" s="1" t="s">
        <v>46</v>
      </c>
    </row>
    <row r="11463" spans="2:15" x14ac:dyDescent="0.3">
      <c r="B11463" s="1" t="s">
        <v>20</v>
      </c>
      <c r="C11463" s="1" t="str">
        <f>"5-1차"</f>
        <v>5-1차</v>
      </c>
      <c r="D11463" s="1" t="str">
        <f>"9625A6025M"</f>
        <v>9625A6025M</v>
      </c>
      <c r="E11463" s="1" t="s">
        <v>10</v>
      </c>
      <c r="F11463" s="1" t="str">
        <f>"fde2:104:0:c0:0:0:0:2"</f>
        <v>fde2:104:0:c0:0:0:0:2</v>
      </c>
      <c r="G11463" s="1" t="str">
        <f>"9625A602"</f>
        <v>9625A602</v>
      </c>
      <c r="H11463" s="1" t="str">
        <f>"당수간 54L4"</f>
        <v>당수간 54L4</v>
      </c>
      <c r="I11463" s="1" t="s">
        <v>15</v>
      </c>
      <c r="J11463" s="1" t="str">
        <f>"26/26"</f>
        <v>26/26</v>
      </c>
      <c r="K11463" s="1" t="str">
        <f>"2026-07-29 14:21:30"</f>
        <v>2026-07-29 14:21:30</v>
      </c>
      <c r="L11463" s="1" t="str">
        <f>"2022-09-23 14:44:20"</f>
        <v>2022-09-23 14:44:20</v>
      </c>
      <c r="M11463" s="1" t="s">
        <v>42</v>
      </c>
      <c r="N11463" s="1" t="s">
        <v>38</v>
      </c>
      <c r="O11463" s="1" t="s">
        <v>46</v>
      </c>
    </row>
    <row r="11464" spans="2:15" x14ac:dyDescent="0.3">
      <c r="B11464" s="1" t="s">
        <v>20</v>
      </c>
      <c r="C11464" s="1" t="str">
        <f>"5-2차"</f>
        <v>5-2차</v>
      </c>
      <c r="D11464" s="1" t="str">
        <f>"9625A6645M"</f>
        <v>9625A6645M</v>
      </c>
      <c r="E11464" s="1" t="s">
        <v>10</v>
      </c>
      <c r="F11464" s="1" t="str">
        <f>"fde1:103:4:5684:0:0:0:2"</f>
        <v>fde1:103:4:5684:0:0:0:2</v>
      </c>
      <c r="G11464" s="1" t="str">
        <f>"9625A664"</f>
        <v>9625A664</v>
      </c>
      <c r="H11464" s="1" t="str">
        <f>"동국지 8L3"</f>
        <v>동국지 8L3</v>
      </c>
      <c r="I11464" s="1" t="s">
        <v>15</v>
      </c>
      <c r="J11464" s="1" t="str">
        <f>"42/42"</f>
        <v>42/42</v>
      </c>
      <c r="K11464" s="1" t="str">
        <f>"2026-07-29 14:21:16"</f>
        <v>2026-07-29 14:21:16</v>
      </c>
      <c r="L11464" s="1" t="str">
        <f>"2023-08-09 16:35:24"</f>
        <v>2023-08-09 16:35:24</v>
      </c>
      <c r="M11464" s="1" t="s">
        <v>4</v>
      </c>
      <c r="N11464" s="1" t="s">
        <v>38</v>
      </c>
      <c r="O11464" s="1" t="s">
        <v>46</v>
      </c>
    </row>
    <row r="11465" spans="2:15" x14ac:dyDescent="0.3">
      <c r="B11465" s="1" t="s">
        <v>20</v>
      </c>
      <c r="C11465" s="1" t="str">
        <f>"5-2차"</f>
        <v>5-2차</v>
      </c>
      <c r="D11465" s="1" t="str">
        <f>"9625A6915S"</f>
        <v>9625A6915S</v>
      </c>
      <c r="E11465" s="1" t="s">
        <v>10</v>
      </c>
      <c r="F11465" s="1" t="str">
        <f>"fde1:103:4:55b2:0:0:0:2"</f>
        <v>fde1:103:4:55b2:0:0:0:2</v>
      </c>
      <c r="G11465" s="1" t="str">
        <f>"9625A691"</f>
        <v>9625A691</v>
      </c>
      <c r="H11465" s="1" t="str">
        <f>"동국지 5R2L2"</f>
        <v>동국지 5R2L2</v>
      </c>
      <c r="I11465" s="1" t="s">
        <v>15</v>
      </c>
      <c r="J11465" s="1" t="str">
        <f>"52/52"</f>
        <v>52/52</v>
      </c>
      <c r="K11465" s="1" t="str">
        <f>"2026-07-29 14:21:29"</f>
        <v>2026-07-29 14:21:29</v>
      </c>
      <c r="L11465" s="1" t="str">
        <f>"2023-08-29 15:22:22"</f>
        <v>2023-08-29 15:22:22</v>
      </c>
      <c r="M11465" s="1" t="s">
        <v>4</v>
      </c>
      <c r="N11465" s="1" t="s">
        <v>38</v>
      </c>
      <c r="O11465" s="1" t="s">
        <v>46</v>
      </c>
    </row>
    <row r="11466" spans="2:15" x14ac:dyDescent="0.3">
      <c r="B11466" s="1" t="s">
        <v>20</v>
      </c>
      <c r="C11466" s="1" t="str">
        <f>"6차"</f>
        <v>6차</v>
      </c>
      <c r="D11466" s="1" t="str">
        <f>"9625A7056S"</f>
        <v>9625A7056S</v>
      </c>
      <c r="E11466" s="1" t="s">
        <v>10</v>
      </c>
      <c r="F11466" s="1" t="str">
        <f>"fde1:103:4:c74a:0:0:0:2"</f>
        <v>fde1:103:4:c74a:0:0:0:2</v>
      </c>
      <c r="G11466" s="1" t="str">
        <f>"9625A705"</f>
        <v>9625A705</v>
      </c>
      <c r="H11466" s="1" t="str">
        <f>"당수간 50"</f>
        <v>당수간 50</v>
      </c>
      <c r="I11466" s="1" t="s">
        <v>15</v>
      </c>
      <c r="J11466" s="1" t="str">
        <f>"82/83"</f>
        <v>82/83</v>
      </c>
      <c r="K11466" s="1" t="str">
        <f>"2026-07-29 14:21:02"</f>
        <v>2026-07-29 14:21:02</v>
      </c>
      <c r="L11466" s="1" t="str">
        <f>"2024-12-10 11:01:51"</f>
        <v>2024-12-10 11:01:51</v>
      </c>
      <c r="M11466" s="1" t="s">
        <v>4</v>
      </c>
      <c r="N11466" s="1" t="s">
        <v>38</v>
      </c>
      <c r="O11466" s="1" t="s">
        <v>46</v>
      </c>
    </row>
    <row r="11467" spans="2:15" x14ac:dyDescent="0.3">
      <c r="B11467" s="1" t="s">
        <v>20</v>
      </c>
      <c r="C11467" s="1" t="str">
        <f>"5-2차"</f>
        <v>5-2차</v>
      </c>
      <c r="D11467" s="1" t="str">
        <f>"9625A7115M"</f>
        <v>9625A7115M</v>
      </c>
      <c r="E11467" s="1" t="s">
        <v>10</v>
      </c>
      <c r="F11467" s="1" t="str">
        <f>"fde1:103:4:5673:0:0:0:2"</f>
        <v>fde1:103:4:5673:0:0:0:2</v>
      </c>
      <c r="G11467" s="1" t="str">
        <f>"9625A711"</f>
        <v>9625A711</v>
      </c>
      <c r="H11467" s="1" t="str">
        <f>"당수간 47R5"</f>
        <v>당수간 47R5</v>
      </c>
      <c r="I11467" s="1" t="s">
        <v>15</v>
      </c>
      <c r="J11467" s="1" t="str">
        <f>"46/46"</f>
        <v>46/46</v>
      </c>
      <c r="K11467" s="1" t="str">
        <f>"2026-07-29 14:21:16"</f>
        <v>2026-07-29 14:21:16</v>
      </c>
      <c r="L11467" s="1" t="str">
        <f>"2023-08-09 16:38:30"</f>
        <v>2023-08-09 16:38:30</v>
      </c>
      <c r="M11467" s="1" t="s">
        <v>4</v>
      </c>
      <c r="N11467" s="1" t="s">
        <v>38</v>
      </c>
      <c r="O11467" s="1" t="s">
        <v>46</v>
      </c>
    </row>
    <row r="11468" spans="2:15" x14ac:dyDescent="0.3">
      <c r="B11468" s="1" t="s">
        <v>20</v>
      </c>
      <c r="C11468" s="1" t="str">
        <f>"6차"</f>
        <v>6차</v>
      </c>
      <c r="D11468" s="1" t="str">
        <f>"9625A7526S"</f>
        <v>9625A7526S</v>
      </c>
      <c r="E11468" s="1" t="s">
        <v>10</v>
      </c>
      <c r="F11468" s="1" t="str">
        <f>"fde1:103:4:c6ba:0:0:0:2"</f>
        <v>fde1:103:4:c6ba:0:0:0:2</v>
      </c>
      <c r="G11468" s="1" t="str">
        <f>"9625A752"</f>
        <v>9625A752</v>
      </c>
      <c r="H11468" s="1" t="str">
        <f>"동국지 5L3R4"</f>
        <v>동국지 5L3R4</v>
      </c>
      <c r="I11468" s="1" t="s">
        <v>15</v>
      </c>
      <c r="J11468" s="1" t="str">
        <f>"44/44"</f>
        <v>44/44</v>
      </c>
      <c r="K11468" s="1" t="str">
        <f>"2026-07-29 14:21:30"</f>
        <v>2026-07-29 14:21:30</v>
      </c>
      <c r="L11468" s="1" t="str">
        <f>"2024-11-11 17:14:30"</f>
        <v>2024-11-11 17:14:30</v>
      </c>
      <c r="M11468" s="1" t="s">
        <v>4</v>
      </c>
      <c r="N11468" s="1" t="s">
        <v>38</v>
      </c>
      <c r="O11468" s="1" t="s">
        <v>46</v>
      </c>
    </row>
    <row r="11469" spans="2:15" x14ac:dyDescent="0.3">
      <c r="B11469" s="1" t="s">
        <v>20</v>
      </c>
      <c r="C11469" s="1" t="str">
        <f>"6차"</f>
        <v>6차</v>
      </c>
      <c r="D11469" s="1" t="str">
        <f>"9625A7616S"</f>
        <v>9625A7616S</v>
      </c>
      <c r="E11469" s="1" t="s">
        <v>10</v>
      </c>
      <c r="F11469" s="1" t="str">
        <f>"fde1:103:4:c848:0:0:0:2"</f>
        <v>fde1:103:4:c848:0:0:0:2</v>
      </c>
      <c r="G11469" s="1" t="str">
        <f>"9625A761"</f>
        <v>9625A761</v>
      </c>
      <c r="H11469" s="1" t="str">
        <f>"동국지 8L1L1"</f>
        <v>동국지 8L1L1</v>
      </c>
      <c r="I11469" s="1" t="s">
        <v>15</v>
      </c>
      <c r="J11469" s="1" t="str">
        <f>"63/67"</f>
        <v>63/67</v>
      </c>
      <c r="K11469" s="1" t="str">
        <f>"2026-07-29 14:21:19"</f>
        <v>2026-07-29 14:21:19</v>
      </c>
      <c r="L11469" s="1" t="str">
        <f>"2024-12-10 14:34:28"</f>
        <v>2024-12-10 14:34:28</v>
      </c>
      <c r="M11469" s="1" t="s">
        <v>4</v>
      </c>
      <c r="N11469" s="1" t="s">
        <v>38</v>
      </c>
      <c r="O11469" s="1" t="s">
        <v>46</v>
      </c>
    </row>
    <row r="11470" spans="2:15" x14ac:dyDescent="0.3">
      <c r="B11470" s="1" t="s">
        <v>20</v>
      </c>
      <c r="C11470" s="1" t="str">
        <f>"6차"</f>
        <v>6차</v>
      </c>
      <c r="D11470" s="1" t="str">
        <f>"9625A7626S"</f>
        <v>9625A7626S</v>
      </c>
      <c r="E11470" s="1" t="s">
        <v>10</v>
      </c>
      <c r="F11470" s="1" t="str">
        <f>"fde1:103:4:c826:0:0:0:2"</f>
        <v>fde1:103:4:c826:0:0:0:2</v>
      </c>
      <c r="G11470" s="1" t="str">
        <f>"9625A762"</f>
        <v>9625A762</v>
      </c>
      <c r="H11470" s="1" t="str">
        <f>"동국지 8L1L2"</f>
        <v>동국지 8L1L2</v>
      </c>
      <c r="I11470" s="1" t="s">
        <v>15</v>
      </c>
      <c r="J11470" s="1" t="str">
        <f>"73/73"</f>
        <v>73/73</v>
      </c>
      <c r="K11470" s="1" t="str">
        <f>"2026-07-29 14:21:02"</f>
        <v>2026-07-29 14:21:02</v>
      </c>
      <c r="L11470" s="1" t="str">
        <f>"2024-12-11 15:53:25"</f>
        <v>2024-12-11 15:53:25</v>
      </c>
      <c r="M11470" s="1" t="s">
        <v>4</v>
      </c>
      <c r="N11470" s="1" t="s">
        <v>38</v>
      </c>
      <c r="O11470" s="1" t="s">
        <v>46</v>
      </c>
    </row>
    <row r="11471" spans="2:15" x14ac:dyDescent="0.3">
      <c r="B11471" s="1" t="s">
        <v>20</v>
      </c>
      <c r="C11471" s="1" t="str">
        <f>"5-2차"</f>
        <v>5-2차</v>
      </c>
      <c r="D11471" s="1" t="str">
        <f>"9625A7715M"</f>
        <v>9625A7715M</v>
      </c>
      <c r="E11471" s="1" t="s">
        <v>10</v>
      </c>
      <c r="F11471" s="1" t="str">
        <f>"fde1:103:4:562a:0:0:0:2"</f>
        <v>fde1:103:4:562a:0:0:0:2</v>
      </c>
      <c r="G11471" s="1" t="str">
        <f>"9625A771"</f>
        <v>9625A771</v>
      </c>
      <c r="H11471" s="1" t="str">
        <f>"동국지 7"</f>
        <v>동국지 7</v>
      </c>
      <c r="I11471" s="1" t="s">
        <v>15</v>
      </c>
      <c r="J11471" s="1" t="str">
        <f>"79/79"</f>
        <v>79/79</v>
      </c>
      <c r="K11471" s="1" t="str">
        <f>"2026-07-29 14:21:17"</f>
        <v>2026-07-29 14:21:17</v>
      </c>
      <c r="L11471" s="1" t="str">
        <f>"2023-08-09 17:03:25"</f>
        <v>2023-08-09 17:03:25</v>
      </c>
      <c r="M11471" s="1" t="s">
        <v>4</v>
      </c>
      <c r="N11471" s="1" t="s">
        <v>38</v>
      </c>
      <c r="O11471" s="1" t="s">
        <v>46</v>
      </c>
    </row>
    <row r="11472" spans="2:15" x14ac:dyDescent="0.3">
      <c r="B11472" s="1" t="s">
        <v>20</v>
      </c>
      <c r="C11472" s="1" t="str">
        <f>"6차"</f>
        <v>6차</v>
      </c>
      <c r="D11472" s="1" t="str">
        <f>"9625A8026S"</f>
        <v>9625A8026S</v>
      </c>
      <c r="E11472" s="1" t="s">
        <v>10</v>
      </c>
      <c r="F11472" s="1" t="str">
        <f>"fde1:103:4:c6dd:0:0:0:2"</f>
        <v>fde1:103:4:c6dd:0:0:0:2</v>
      </c>
      <c r="G11472" s="1" t="str">
        <f>"9625A802"</f>
        <v>9625A802</v>
      </c>
      <c r="H11472" s="1" t="str">
        <f>"당수간 47L1R2"</f>
        <v>당수간 47L1R2</v>
      </c>
      <c r="I11472" s="1" t="s">
        <v>15</v>
      </c>
      <c r="J11472" s="1" t="str">
        <f>"79/79"</f>
        <v>79/79</v>
      </c>
      <c r="K11472" s="1" t="str">
        <f>"2026-07-29 14:21:30"</f>
        <v>2026-07-29 14:21:30</v>
      </c>
      <c r="L11472" s="1" t="str">
        <f>"2024-11-07 08:33:15"</f>
        <v>2024-11-07 08:33:15</v>
      </c>
      <c r="M11472" s="1" t="s">
        <v>4</v>
      </c>
      <c r="N11472" s="1" t="s">
        <v>38</v>
      </c>
      <c r="O11472" s="1" t="s">
        <v>46</v>
      </c>
    </row>
    <row r="11473" spans="2:15" x14ac:dyDescent="0.3">
      <c r="B11473" s="1" t="s">
        <v>20</v>
      </c>
      <c r="C11473" s="1" t="str">
        <f>"5-2차"</f>
        <v>5-2차</v>
      </c>
      <c r="D11473" s="1" t="str">
        <f>"9625A8215S"</f>
        <v>9625A8215S</v>
      </c>
      <c r="E11473" s="1" t="s">
        <v>10</v>
      </c>
      <c r="F11473" s="1" t="str">
        <f>"fde1:103:4:566e:0:0:0:2"</f>
        <v>fde1:103:4:566e:0:0:0:2</v>
      </c>
      <c r="G11473" s="1" t="str">
        <f>"9625A821"</f>
        <v>9625A821</v>
      </c>
      <c r="H11473" s="1" t="str">
        <f>"당수간 47R4"</f>
        <v>당수간 47R4</v>
      </c>
      <c r="I11473" s="1" t="s">
        <v>15</v>
      </c>
      <c r="J11473" s="1" t="str">
        <f>"72/72"</f>
        <v>72/72</v>
      </c>
      <c r="K11473" s="1" t="str">
        <f>"2026-07-29 14:21:06"</f>
        <v>2026-07-29 14:21:06</v>
      </c>
      <c r="L11473" s="1" t="str">
        <f>"2023-08-29 15:32:26"</f>
        <v>2023-08-29 15:32:26</v>
      </c>
      <c r="M11473" s="1" t="s">
        <v>4</v>
      </c>
      <c r="N11473" s="1" t="s">
        <v>38</v>
      </c>
      <c r="O11473" s="1" t="s">
        <v>46</v>
      </c>
    </row>
    <row r="11474" spans="2:15" x14ac:dyDescent="0.3">
      <c r="B11474" s="1" t="s">
        <v>20</v>
      </c>
      <c r="C11474" s="1" t="s">
        <v>16</v>
      </c>
      <c r="D11474" s="1" t="str">
        <f>"9625A83241"</f>
        <v>9625A83241</v>
      </c>
      <c r="E11474" s="1" t="s">
        <v>10</v>
      </c>
      <c r="F11474" s="1" t="str">
        <f>"10.14.3.130"</f>
        <v>10.14.3.130</v>
      </c>
      <c r="G11474" s="1" t="str">
        <f>"9625A832"</f>
        <v>9625A832</v>
      </c>
      <c r="H11474" s="1" t="str">
        <f>"동국지 5L3R4L3"</f>
        <v>동국지 5L3R4L3</v>
      </c>
      <c r="I11474" s="1" t="s">
        <v>17</v>
      </c>
      <c r="J11474" s="1" t="str">
        <f>"65/65"</f>
        <v>65/65</v>
      </c>
      <c r="K11474" s="1" t="str">
        <f>"2026-07-29 13:18:10"</f>
        <v>2026-07-29 13:18:10</v>
      </c>
      <c r="L11474" s="1" t="str">
        <f>"2022-11-28 17:12:40"</f>
        <v>2022-11-28 17:12:40</v>
      </c>
      <c r="M11474" s="1" t="s">
        <v>3</v>
      </c>
      <c r="N11474" s="1" t="s">
        <v>38</v>
      </c>
      <c r="O11474" s="1" t="s">
        <v>46</v>
      </c>
    </row>
    <row r="11475" spans="2:15" x14ac:dyDescent="0.3">
      <c r="B11475" s="1" t="s">
        <v>20</v>
      </c>
      <c r="C11475" s="1" t="str">
        <f>"5-2차"</f>
        <v>5-2차</v>
      </c>
      <c r="D11475" s="1" t="str">
        <f>"9625A8515S"</f>
        <v>9625A8515S</v>
      </c>
      <c r="E11475" s="1" t="s">
        <v>10</v>
      </c>
      <c r="F11475" s="1" t="str">
        <f>"fde1:103:4:55a8:0:0:0:2"</f>
        <v>fde1:103:4:55a8:0:0:0:2</v>
      </c>
      <c r="G11475" s="1" t="str">
        <f>"9625A851"</f>
        <v>9625A851</v>
      </c>
      <c r="H11475" s="1" t="str">
        <f>"동국지 5L3R2"</f>
        <v>동국지 5L3R2</v>
      </c>
      <c r="I11475" s="1" t="s">
        <v>15</v>
      </c>
      <c r="J11475" s="1" t="str">
        <f>"72/72"</f>
        <v>72/72</v>
      </c>
      <c r="K11475" s="1" t="str">
        <f>"2026-07-29 14:21:30"</f>
        <v>2026-07-29 14:21:30</v>
      </c>
      <c r="L11475" s="1" t="str">
        <f>"2023-08-29 16:20:10"</f>
        <v>2023-08-29 16:20:10</v>
      </c>
      <c r="M11475" s="1" t="s">
        <v>4</v>
      </c>
      <c r="N11475" s="1" t="s">
        <v>38</v>
      </c>
      <c r="O11475" s="1" t="s">
        <v>46</v>
      </c>
    </row>
    <row r="11476" spans="2:15" x14ac:dyDescent="0.3">
      <c r="B11476" s="1" t="s">
        <v>20</v>
      </c>
      <c r="C11476" s="1" t="str">
        <f>"5-2차"</f>
        <v>5-2차</v>
      </c>
      <c r="D11476" s="1" t="str">
        <f>"9625A8525M"</f>
        <v>9625A8525M</v>
      </c>
      <c r="E11476" s="1" t="s">
        <v>10</v>
      </c>
      <c r="F11476" s="1" t="str">
        <f>"fde1:103:4:564e:0:0:0:2"</f>
        <v>fde1:103:4:564e:0:0:0:2</v>
      </c>
      <c r="G11476" s="1" t="str">
        <f>"9625A852"</f>
        <v>9625A852</v>
      </c>
      <c r="H11476" s="1" t="str">
        <f>"동국지 5L3R2L2"</f>
        <v>동국지 5L3R2L2</v>
      </c>
      <c r="I11476" s="1" t="s">
        <v>15</v>
      </c>
      <c r="J11476" s="1" t="str">
        <f>"88/88"</f>
        <v>88/88</v>
      </c>
      <c r="K11476" s="1" t="str">
        <f>"2026-07-29 14:21:16"</f>
        <v>2026-07-29 14:21:16</v>
      </c>
      <c r="L11476" s="1" t="str">
        <f>"2023-08-09 17:07:05"</f>
        <v>2023-08-09 17:07:05</v>
      </c>
      <c r="M11476" s="1" t="s">
        <v>4</v>
      </c>
      <c r="N11476" s="1" t="s">
        <v>38</v>
      </c>
      <c r="O11476" s="1" t="s">
        <v>46</v>
      </c>
    </row>
    <row r="11477" spans="2:15" x14ac:dyDescent="0.3">
      <c r="B11477" s="1" t="s">
        <v>20</v>
      </c>
      <c r="C11477" s="1" t="str">
        <f>"4차"</f>
        <v>4차</v>
      </c>
      <c r="D11477" s="1" t="str">
        <f>"9625A88344"</f>
        <v>9625A88344</v>
      </c>
      <c r="E11477" s="1" t="s">
        <v>10</v>
      </c>
      <c r="F11477" s="1" t="str">
        <f>"10.12.138.89"</f>
        <v>10.12.138.89</v>
      </c>
      <c r="G11477" s="1" t="str">
        <f>"9625A883"</f>
        <v>9625A883</v>
      </c>
      <c r="H11477" s="1" t="str">
        <f>"동국지 5R1H1"</f>
        <v>동국지 5R1H1</v>
      </c>
      <c r="I11477" s="1" t="s">
        <v>8</v>
      </c>
      <c r="J11477" s="1" t="str">
        <f>"37/43"</f>
        <v>37/43</v>
      </c>
      <c r="K11477" s="1" t="str">
        <f>"2026-07-29 13:18:11"</f>
        <v>2026-07-29 13:18:11</v>
      </c>
      <c r="L11477" s="1" t="str">
        <f>"2022-05-20 17:46:09"</f>
        <v>2022-05-20 17:46:09</v>
      </c>
      <c r="M11477" s="1" t="s">
        <v>0</v>
      </c>
      <c r="N11477" s="1" t="s">
        <v>38</v>
      </c>
      <c r="O11477" s="1" t="s">
        <v>46</v>
      </c>
    </row>
    <row r="11478" spans="2:15" x14ac:dyDescent="0.3">
      <c r="B11478" s="1" t="s">
        <v>20</v>
      </c>
      <c r="C11478" s="1" t="str">
        <f>"5-2차"</f>
        <v>5-2차</v>
      </c>
      <c r="D11478" s="1" t="str">
        <f>"9625A9015M"</f>
        <v>9625A9015M</v>
      </c>
      <c r="E11478" s="1" t="s">
        <v>10</v>
      </c>
      <c r="F11478" s="1" t="str">
        <f>"fde1:103:4:5668:0:0:0:2"</f>
        <v>fde1:103:4:5668:0:0:0:2</v>
      </c>
      <c r="G11478" s="1" t="str">
        <f>"9625A901"</f>
        <v>9625A901</v>
      </c>
      <c r="H11478" s="1" t="str">
        <f>"당수간 47L1"</f>
        <v>당수간 47L1</v>
      </c>
      <c r="I11478" s="1" t="s">
        <v>15</v>
      </c>
      <c r="J11478" s="1" t="str">
        <f>"90/90"</f>
        <v>90/90</v>
      </c>
      <c r="K11478" s="1" t="str">
        <f>"2026-07-29 14:21:17"</f>
        <v>2026-07-29 14:21:17</v>
      </c>
      <c r="L11478" s="1" t="str">
        <f>"2023-08-09 17:07:22"</f>
        <v>2023-08-09 17:07:22</v>
      </c>
      <c r="M11478" s="1" t="s">
        <v>4</v>
      </c>
      <c r="N11478" s="1" t="s">
        <v>38</v>
      </c>
      <c r="O11478" s="1" t="s">
        <v>46</v>
      </c>
    </row>
    <row r="11479" spans="2:15" x14ac:dyDescent="0.3">
      <c r="B11479" s="1" t="s">
        <v>20</v>
      </c>
      <c r="C11479" s="1" t="str">
        <f>"6차"</f>
        <v>6차</v>
      </c>
      <c r="D11479" s="1" t="str">
        <f>"9625A9026S"</f>
        <v>9625A9026S</v>
      </c>
      <c r="E11479" s="1" t="s">
        <v>10</v>
      </c>
      <c r="F11479" s="1" t="str">
        <f>"fde1:103:4:c6dc:0:0:0:2"</f>
        <v>fde1:103:4:c6dc:0:0:0:2</v>
      </c>
      <c r="G11479" s="1" t="str">
        <f>"9625A902"</f>
        <v>9625A902</v>
      </c>
      <c r="H11479" s="1" t="str">
        <f>"당수간 47L1R1"</f>
        <v>당수간 47L1R1</v>
      </c>
      <c r="I11479" s="1" t="s">
        <v>15</v>
      </c>
      <c r="J11479" s="1" t="str">
        <f>"62/64"</f>
        <v>62/64</v>
      </c>
      <c r="K11479" s="1" t="str">
        <f>"2026-07-29 14:20:30"</f>
        <v>2026-07-29 14:20:30</v>
      </c>
      <c r="L11479" s="1" t="str">
        <f>"2024-11-07 08:45:49"</f>
        <v>2024-11-07 08:45:49</v>
      </c>
      <c r="M11479" s="1" t="s">
        <v>4</v>
      </c>
      <c r="N11479" s="1" t="s">
        <v>38</v>
      </c>
      <c r="O11479" s="1" t="s">
        <v>46</v>
      </c>
    </row>
    <row r="11480" spans="2:15" x14ac:dyDescent="0.3">
      <c r="B11480" s="1" t="s">
        <v>20</v>
      </c>
      <c r="C11480" s="1" t="str">
        <f>"6차"</f>
        <v>6차</v>
      </c>
      <c r="D11480" s="1" t="str">
        <f>"9625A9316S"</f>
        <v>9625A9316S</v>
      </c>
      <c r="E11480" s="1" t="str">
        <f>"검침실패(3시간 이상)"</f>
        <v>검침실패(3시간 이상)</v>
      </c>
      <c r="F11480" s="1" t="str">
        <f>"fde1:103:4:c6f9:0:0:0:2"</f>
        <v>fde1:103:4:c6f9:0:0:0:2</v>
      </c>
      <c r="G11480" s="1" t="str">
        <f>"9625A931"</f>
        <v>9625A931</v>
      </c>
      <c r="H11480" s="1" t="str">
        <f>"동국지 5L7R2"</f>
        <v>동국지 5L7R2</v>
      </c>
      <c r="I11480" s="1" t="s">
        <v>15</v>
      </c>
      <c r="J11480" s="1" t="str">
        <f>"0/35"</f>
        <v>0/35</v>
      </c>
      <c r="K11480" s="1" t="str">
        <f>"2026-07-29 08:21:19"</f>
        <v>2026-07-29 08:21:19</v>
      </c>
      <c r="L11480" s="1" t="str">
        <f>"2024-11-11 17:14:26"</f>
        <v>2024-11-11 17:14:26</v>
      </c>
      <c r="M11480" s="1" t="s">
        <v>4</v>
      </c>
      <c r="N11480" s="1" t="s">
        <v>38</v>
      </c>
      <c r="O11480" s="1" t="s">
        <v>46</v>
      </c>
    </row>
    <row r="11481" spans="2:15" x14ac:dyDescent="0.3">
      <c r="B11481" s="1" t="s">
        <v>20</v>
      </c>
      <c r="C11481" s="1" t="str">
        <f>"6차"</f>
        <v>6차</v>
      </c>
      <c r="D11481" s="1" t="str">
        <f>"9625A9516S"</f>
        <v>9625A9516S</v>
      </c>
      <c r="E11481" s="1" t="s">
        <v>10</v>
      </c>
      <c r="F11481" s="1" t="str">
        <f>"fde1:103:4:c6d6:0:0:0:2"</f>
        <v>fde1:103:4:c6d6:0:0:0:2</v>
      </c>
      <c r="G11481" s="1" t="str">
        <f>"9625A951"</f>
        <v>9625A951</v>
      </c>
      <c r="H11481" s="1" t="str">
        <f>"동국지 5L4R1"</f>
        <v>동국지 5L4R1</v>
      </c>
      <c r="I11481" s="1" t="s">
        <v>15</v>
      </c>
      <c r="J11481" s="1" t="str">
        <f>"35/35"</f>
        <v>35/35</v>
      </c>
      <c r="K11481" s="1" t="str">
        <f>"2026-07-29 14:21:17"</f>
        <v>2026-07-29 14:21:17</v>
      </c>
      <c r="L11481" s="1" t="str">
        <f>"2024-11-11 17:15:49"</f>
        <v>2024-11-11 17:15:49</v>
      </c>
      <c r="M11481" s="1" t="s">
        <v>4</v>
      </c>
      <c r="N11481" s="1" t="s">
        <v>38</v>
      </c>
      <c r="O11481" s="1" t="s">
        <v>46</v>
      </c>
    </row>
    <row r="11482" spans="2:15" x14ac:dyDescent="0.3">
      <c r="B11482" s="1" t="s">
        <v>20</v>
      </c>
      <c r="C11482" s="1" t="str">
        <f>"5-2차"</f>
        <v>5-2차</v>
      </c>
      <c r="D11482" s="1" t="str">
        <f>"9625A9625M"</f>
        <v>9625A9625M</v>
      </c>
      <c r="E11482" s="1" t="s">
        <v>10</v>
      </c>
      <c r="F11482" s="1" t="str">
        <f>"fde1:103:4:5803:0:0:0:2"</f>
        <v>fde1:103:4:5803:0:0:0:2</v>
      </c>
      <c r="G11482" s="1" t="str">
        <f>"9625A962"</f>
        <v>9625A962</v>
      </c>
      <c r="H11482" s="1" t="str">
        <f>"동국지 5L3R1"</f>
        <v>동국지 5L3R1</v>
      </c>
      <c r="I11482" s="1" t="s">
        <v>15</v>
      </c>
      <c r="J11482" s="1" t="str">
        <f>"104/104"</f>
        <v>104/104</v>
      </c>
      <c r="K11482" s="1" t="str">
        <f>"2026-07-29 14:21:17"</f>
        <v>2026-07-29 14:21:17</v>
      </c>
      <c r="L11482" s="1" t="str">
        <f>"2023-08-10 09:43:40"</f>
        <v>2023-08-10 09:43:40</v>
      </c>
      <c r="M11482" s="1" t="s">
        <v>4</v>
      </c>
      <c r="N11482" s="1" t="s">
        <v>38</v>
      </c>
      <c r="O11482" s="1" t="s">
        <v>46</v>
      </c>
    </row>
    <row r="11483" spans="2:15" x14ac:dyDescent="0.3">
      <c r="B11483" s="1" t="s">
        <v>20</v>
      </c>
      <c r="C11483" s="1" t="str">
        <f>"5-2차"</f>
        <v>5-2차</v>
      </c>
      <c r="D11483" s="1" t="str">
        <f>"9625A9915M"</f>
        <v>9625A9915M</v>
      </c>
      <c r="E11483" s="1" t="s">
        <v>10</v>
      </c>
      <c r="F11483" s="1" t="str">
        <f>"fde3:102:1300:1a00:0:0:0:5"</f>
        <v>fde3:102:1300:1a00:0:0:0:5</v>
      </c>
      <c r="G11483" s="1" t="str">
        <f>"9625A991"</f>
        <v>9625A991</v>
      </c>
      <c r="H11483" s="1" t="str">
        <f>"동국지 2R1"</f>
        <v>동국지 2R1</v>
      </c>
      <c r="I11483" s="1" t="s">
        <v>15</v>
      </c>
      <c r="J11483" s="1" t="str">
        <f>"49/52"</f>
        <v>49/52</v>
      </c>
      <c r="K11483" s="1" t="str">
        <f>"2026-07-29 14:21:20"</f>
        <v>2026-07-29 14:21:20</v>
      </c>
      <c r="L11483" s="1" t="str">
        <f>"2023-09-07 15:23:03"</f>
        <v>2023-09-07 15:23:03</v>
      </c>
      <c r="M11483" s="1" t="s">
        <v>45</v>
      </c>
      <c r="N11483" s="1" t="s">
        <v>38</v>
      </c>
      <c r="O11483" s="1" t="s">
        <v>46</v>
      </c>
    </row>
    <row r="11484" spans="2:15" x14ac:dyDescent="0.3">
      <c r="B11484" s="1" t="s">
        <v>20</v>
      </c>
      <c r="C11484" s="1" t="str">
        <f>"6차"</f>
        <v>6차</v>
      </c>
      <c r="D11484" s="1" t="str">
        <f>"9625B0126S"</f>
        <v>9625B0126S</v>
      </c>
      <c r="E11484" s="1" t="s">
        <v>10</v>
      </c>
      <c r="F11484" s="1" t="str">
        <f>"fde1:103:4:c64d:0:0:0:2"</f>
        <v>fde1:103:4:c64d:0:0:0:2</v>
      </c>
      <c r="G11484" s="1" t="str">
        <f>"9625B012"</f>
        <v>9625B012</v>
      </c>
      <c r="H11484" s="1" t="str">
        <f>"당수간 47L1L2"</f>
        <v>당수간 47L1L2</v>
      </c>
      <c r="I11484" s="1" t="s">
        <v>15</v>
      </c>
      <c r="J11484" s="1" t="str">
        <f>"36/36"</f>
        <v>36/36</v>
      </c>
      <c r="K11484" s="1" t="str">
        <f>"2026-07-29 14:20:49"</f>
        <v>2026-07-29 14:20:49</v>
      </c>
      <c r="L11484" s="1" t="str">
        <f>"2024-11-07 08:33:16"</f>
        <v>2024-11-07 08:33:16</v>
      </c>
      <c r="M11484" s="1" t="s">
        <v>4</v>
      </c>
      <c r="N11484" s="1" t="s">
        <v>38</v>
      </c>
      <c r="O11484" s="1" t="s">
        <v>46</v>
      </c>
    </row>
    <row r="11485" spans="2:15" x14ac:dyDescent="0.3">
      <c r="B11485" s="1" t="s">
        <v>20</v>
      </c>
      <c r="C11485" s="1" t="str">
        <f>"5-2차"</f>
        <v>5-2차</v>
      </c>
      <c r="D11485" s="1" t="str">
        <f>"9625B0315S"</f>
        <v>9625B0315S</v>
      </c>
      <c r="E11485" s="1" t="s">
        <v>10</v>
      </c>
      <c r="F11485" s="1" t="str">
        <f>"fde1:103:4:5677:0:0:0:2"</f>
        <v>fde1:103:4:5677:0:0:0:2</v>
      </c>
      <c r="G11485" s="1" t="str">
        <f>"9625B031"</f>
        <v>9625B031</v>
      </c>
      <c r="H11485" s="1" t="str">
        <f>"동국지 5L7R1"</f>
        <v>동국지 5L7R1</v>
      </c>
      <c r="I11485" s="1" t="s">
        <v>15</v>
      </c>
      <c r="J11485" s="1" t="str">
        <f>"41/41"</f>
        <v>41/41</v>
      </c>
      <c r="K11485" s="1" t="str">
        <f>"2026-07-29 14:21:06"</f>
        <v>2026-07-29 14:21:06</v>
      </c>
      <c r="L11485" s="1" t="str">
        <f>"2023-08-29 16:30:17"</f>
        <v>2023-08-29 16:30:17</v>
      </c>
      <c r="M11485" s="1" t="s">
        <v>4</v>
      </c>
      <c r="N11485" s="1" t="s">
        <v>38</v>
      </c>
      <c r="O11485" s="1" t="s">
        <v>46</v>
      </c>
    </row>
    <row r="11486" spans="2:15" x14ac:dyDescent="0.3">
      <c r="B11486" s="1" t="s">
        <v>20</v>
      </c>
      <c r="C11486" s="1" t="str">
        <f>"5-2차"</f>
        <v>5-2차</v>
      </c>
      <c r="D11486" s="1" t="str">
        <f>"9625B0525M"</f>
        <v>9625B0525M</v>
      </c>
      <c r="E11486" s="1" t="s">
        <v>10</v>
      </c>
      <c r="F11486" s="1" t="str">
        <f>"fde1:103:4:5686:0:0:0:2"</f>
        <v>fde1:103:4:5686:0:0:0:2</v>
      </c>
      <c r="G11486" s="1" t="str">
        <f>"9625B052"</f>
        <v>9625B052</v>
      </c>
      <c r="H11486" s="1" t="str">
        <f>"동국지 5L5"</f>
        <v>동국지 5L5</v>
      </c>
      <c r="I11486" s="1" t="s">
        <v>15</v>
      </c>
      <c r="J11486" s="1" t="str">
        <f>"118/118"</f>
        <v>118/118</v>
      </c>
      <c r="K11486" s="1" t="str">
        <f>"2026-07-29 14:21:30"</f>
        <v>2026-07-29 14:21:30</v>
      </c>
      <c r="L11486" s="1" t="str">
        <f>"2023-08-10 09:48:43"</f>
        <v>2023-08-10 09:48:43</v>
      </c>
      <c r="M11486" s="1" t="s">
        <v>4</v>
      </c>
      <c r="N11486" s="1" t="s">
        <v>38</v>
      </c>
      <c r="O11486" s="1" t="s">
        <v>46</v>
      </c>
    </row>
    <row r="11487" spans="2:15" x14ac:dyDescent="0.3">
      <c r="B11487" s="1" t="s">
        <v>20</v>
      </c>
      <c r="C11487" s="1" t="str">
        <f>"5-2차"</f>
        <v>5-2차</v>
      </c>
      <c r="D11487" s="1" t="str">
        <f>"9625B0615M"</f>
        <v>9625B0615M</v>
      </c>
      <c r="E11487" s="1" t="s">
        <v>10</v>
      </c>
      <c r="F11487" s="1" t="str">
        <f>"fde1:103:4:56d9:0:0:0:2"</f>
        <v>fde1:103:4:56d9:0:0:0:2</v>
      </c>
      <c r="G11487" s="1" t="str">
        <f>"9625B061"</f>
        <v>9625B061</v>
      </c>
      <c r="H11487" s="1" t="str">
        <f>"동국지 5L3L2R1"</f>
        <v>동국지 5L3L2R1</v>
      </c>
      <c r="I11487" s="1" t="s">
        <v>15</v>
      </c>
      <c r="J11487" s="1" t="str">
        <f>"75/78"</f>
        <v>75/78</v>
      </c>
      <c r="K11487" s="1" t="str">
        <f>"2026-07-29 14:21:34"</f>
        <v>2026-07-29 14:21:34</v>
      </c>
      <c r="L11487" s="1" t="str">
        <f>"2023-08-10 09:55:06"</f>
        <v>2023-08-10 09:55:06</v>
      </c>
      <c r="M11487" s="1" t="s">
        <v>4</v>
      </c>
      <c r="N11487" s="1" t="s">
        <v>38</v>
      </c>
      <c r="O11487" s="1" t="s">
        <v>46</v>
      </c>
    </row>
    <row r="11488" spans="2:15" x14ac:dyDescent="0.3">
      <c r="B11488" s="1" t="s">
        <v>20</v>
      </c>
      <c r="C11488" s="1" t="str">
        <f>"4차"</f>
        <v>4차</v>
      </c>
      <c r="D11488" s="1" t="str">
        <f>"9625B08221"</f>
        <v>9625B08221</v>
      </c>
      <c r="E11488" s="1" t="s">
        <v>10</v>
      </c>
      <c r="F11488" s="1" t="str">
        <f>"10.26.65.179"</f>
        <v>10.26.65.179</v>
      </c>
      <c r="G11488" s="1" t="str">
        <f>"9625B082"</f>
        <v>9625B082</v>
      </c>
      <c r="H11488" s="1" t="str">
        <f>"동국지 5L3L3L1"</f>
        <v>동국지 5L3L3L1</v>
      </c>
      <c r="I11488" s="1" t="s">
        <v>8</v>
      </c>
      <c r="J11488" s="1" t="str">
        <f>"30/30"</f>
        <v>30/30</v>
      </c>
      <c r="K11488" s="1" t="str">
        <f>"2026-07-29 13:18:10"</f>
        <v>2026-07-29 13:18:10</v>
      </c>
      <c r="L11488" s="1" t="str">
        <f>"2017-07-03 15:37:26"</f>
        <v>2017-07-03 15:37:26</v>
      </c>
      <c r="M11488" s="1" t="s">
        <v>45</v>
      </c>
      <c r="N11488" s="1" t="s">
        <v>38</v>
      </c>
      <c r="O11488" s="1" t="s">
        <v>46</v>
      </c>
    </row>
    <row r="11489" spans="2:15" x14ac:dyDescent="0.3">
      <c r="B11489" s="1" t="s">
        <v>20</v>
      </c>
      <c r="C11489" s="1" t="str">
        <f>"5-2차"</f>
        <v>5-2차</v>
      </c>
      <c r="D11489" s="1" t="str">
        <f>"9625B1125M"</f>
        <v>9625B1125M</v>
      </c>
      <c r="E11489" s="1" t="s">
        <v>10</v>
      </c>
      <c r="F11489" s="1" t="str">
        <f>"fde1:103:4:56db:0:0:0:2"</f>
        <v>fde1:103:4:56db:0:0:0:2</v>
      </c>
      <c r="G11489" s="1" t="str">
        <f>"9625B112"</f>
        <v>9625B112</v>
      </c>
      <c r="H11489" s="1" t="str">
        <f>"당수간 47L1L4"</f>
        <v>당수간 47L1L4</v>
      </c>
      <c r="I11489" s="1" t="s">
        <v>15</v>
      </c>
      <c r="J11489" s="1" t="str">
        <f>"86/86"</f>
        <v>86/86</v>
      </c>
      <c r="K11489" s="1" t="str">
        <f>"2026-07-29 14:21:18"</f>
        <v>2026-07-29 14:21:18</v>
      </c>
      <c r="L11489" s="1" t="str">
        <f>"2023-08-10 10:08:15"</f>
        <v>2023-08-10 10:08:15</v>
      </c>
      <c r="M11489" s="1" t="s">
        <v>4</v>
      </c>
      <c r="N11489" s="1" t="s">
        <v>38</v>
      </c>
      <c r="O11489" s="1" t="s">
        <v>46</v>
      </c>
    </row>
    <row r="11490" spans="2:15" x14ac:dyDescent="0.3">
      <c r="B11490" s="1" t="s">
        <v>20</v>
      </c>
      <c r="C11490" s="1" t="str">
        <f>"6차"</f>
        <v>6차</v>
      </c>
      <c r="D11490" s="1" t="str">
        <f>"9625B1136S"</f>
        <v>9625B1136S</v>
      </c>
      <c r="E11490" s="1" t="s">
        <v>10</v>
      </c>
      <c r="F11490" s="1" t="str">
        <f>"fde1:103:4:c6c2:0:0:0:2"</f>
        <v>fde1:103:4:c6c2:0:0:0:2</v>
      </c>
      <c r="G11490" s="1" t="str">
        <f>"9625B113"</f>
        <v>9625B113</v>
      </c>
      <c r="H11490" s="1" t="str">
        <f>"당수간 47L1L3"</f>
        <v>당수간 47L1L3</v>
      </c>
      <c r="I11490" s="1" t="s">
        <v>15</v>
      </c>
      <c r="J11490" s="1" t="str">
        <f>"54/55"</f>
        <v>54/55</v>
      </c>
      <c r="K11490" s="1" t="str">
        <f>"2026-07-29 14:21:30"</f>
        <v>2026-07-29 14:21:30</v>
      </c>
      <c r="L11490" s="1" t="str">
        <f>"2024-11-11 17:15:05"</f>
        <v>2024-11-11 17:15:05</v>
      </c>
      <c r="M11490" s="1" t="s">
        <v>4</v>
      </c>
      <c r="N11490" s="1" t="s">
        <v>38</v>
      </c>
      <c r="O11490" s="1" t="s">
        <v>46</v>
      </c>
    </row>
    <row r="11491" spans="2:15" x14ac:dyDescent="0.3">
      <c r="B11491" s="1" t="s">
        <v>20</v>
      </c>
      <c r="C11491" s="1" t="str">
        <f>"6차"</f>
        <v>6차</v>
      </c>
      <c r="D11491" s="1" t="str">
        <f>"9625B1226S"</f>
        <v>9625B1226S</v>
      </c>
      <c r="E11491" s="1" t="s">
        <v>12</v>
      </c>
      <c r="F11491" s="1" t="str">
        <f>"fde1:103:4:c6c5:0:0:0:2"</f>
        <v>fde1:103:4:c6c5:0:0:0:2</v>
      </c>
      <c r="G11491" s="1" t="str">
        <f>"9625B122"</f>
        <v>9625B122</v>
      </c>
      <c r="H11491" s="1" t="str">
        <f>"당수간 47R3L3"</f>
        <v>당수간 47R3L3</v>
      </c>
      <c r="I11491" s="1" t="s">
        <v>15</v>
      </c>
      <c r="J11491" s="1" t="str">
        <f>"0/63"</f>
        <v>0/63</v>
      </c>
      <c r="K11491" s="1" t="str">
        <f>"2026-07-13 08:20:57"</f>
        <v>2026-07-13 08:20:57</v>
      </c>
      <c r="L11491" s="1" t="str">
        <f>"2024-11-21 20:55:53"</f>
        <v>2024-11-21 20:55:53</v>
      </c>
      <c r="M11491" s="1" t="s">
        <v>4</v>
      </c>
      <c r="N11491" s="1" t="s">
        <v>38</v>
      </c>
      <c r="O11491" s="1" t="s">
        <v>46</v>
      </c>
    </row>
    <row r="11492" spans="2:15" x14ac:dyDescent="0.3">
      <c r="B11492" s="1" t="s">
        <v>20</v>
      </c>
      <c r="C11492" s="1" t="str">
        <f>"5-2차"</f>
        <v>5-2차</v>
      </c>
      <c r="D11492" s="1" t="str">
        <f>"9625B1515M"</f>
        <v>9625B1515M</v>
      </c>
      <c r="E11492" s="1" t="s">
        <v>10</v>
      </c>
      <c r="F11492" s="1" t="str">
        <f>"fde1:103:4:55fe:0:0:0:2"</f>
        <v>fde1:103:4:55fe:0:0:0:2</v>
      </c>
      <c r="G11492" s="1" t="str">
        <f>"9625B151"</f>
        <v>9625B151</v>
      </c>
      <c r="H11492" s="1" t="str">
        <f>"동국지 5L6L1"</f>
        <v>동국지 5L6L1</v>
      </c>
      <c r="I11492" s="1" t="s">
        <v>15</v>
      </c>
      <c r="J11492" s="1" t="str">
        <f>"59/59"</f>
        <v>59/59</v>
      </c>
      <c r="K11492" s="1" t="str">
        <f>"2026-07-29 14:21:18"</f>
        <v>2026-07-29 14:21:18</v>
      </c>
      <c r="L11492" s="1" t="str">
        <f>"2023-08-10 10:12:31"</f>
        <v>2023-08-10 10:12:31</v>
      </c>
      <c r="M11492" s="1" t="s">
        <v>4</v>
      </c>
      <c r="N11492" s="1" t="s">
        <v>38</v>
      </c>
      <c r="O11492" s="1" t="s">
        <v>46</v>
      </c>
    </row>
    <row r="11493" spans="2:15" x14ac:dyDescent="0.3">
      <c r="B11493" s="1" t="s">
        <v>20</v>
      </c>
      <c r="C11493" s="1" t="str">
        <f>"2차"</f>
        <v>2차</v>
      </c>
      <c r="D11493" s="1" t="str">
        <f>"9625B17120"</f>
        <v>9625B17120</v>
      </c>
      <c r="E11493" s="1" t="s">
        <v>10</v>
      </c>
      <c r="F11493" s="1" t="str">
        <f>"10.26.65.178"</f>
        <v>10.26.65.178</v>
      </c>
      <c r="G11493" s="1" t="str">
        <f>"9625B171"</f>
        <v>9625B171</v>
      </c>
      <c r="H11493" s="1" t="str">
        <f>"동국지 5L3L3"</f>
        <v>동국지 5L3L3</v>
      </c>
      <c r="I11493" s="1" t="s">
        <v>8</v>
      </c>
      <c r="J11493" s="1" t="str">
        <f>"41/41"</f>
        <v>41/41</v>
      </c>
      <c r="K11493" s="1" t="str">
        <f>"2026-07-29 13:18:10"</f>
        <v>2026-07-29 13:18:10</v>
      </c>
      <c r="L11493" s="1" t="str">
        <f>"2017-06-29 11:34:08"</f>
        <v>2017-06-29 11:34:08</v>
      </c>
      <c r="M11493" s="1" t="s">
        <v>45</v>
      </c>
      <c r="N11493" s="1" t="s">
        <v>38</v>
      </c>
      <c r="O11493" s="1" t="s">
        <v>46</v>
      </c>
    </row>
    <row r="11494" spans="2:15" x14ac:dyDescent="0.3">
      <c r="B11494" s="1" t="s">
        <v>20</v>
      </c>
      <c r="C11494" s="1" t="str">
        <f>"2차"</f>
        <v>2차</v>
      </c>
      <c r="D11494" s="1" t="str">
        <f>"9625B17222"</f>
        <v>9625B17222</v>
      </c>
      <c r="E11494" s="1" t="s">
        <v>10</v>
      </c>
      <c r="F11494" s="1" t="str">
        <f>"10.26.65.180"</f>
        <v>10.26.65.180</v>
      </c>
      <c r="G11494" s="1" t="str">
        <f>"9625B172"</f>
        <v>9625B172</v>
      </c>
      <c r="H11494" s="1" t="str">
        <f>"동국지 5L3L4"</f>
        <v>동국지 5L3L4</v>
      </c>
      <c r="I11494" s="1" t="s">
        <v>8</v>
      </c>
      <c r="J11494" s="1" t="str">
        <f>"52/52"</f>
        <v>52/52</v>
      </c>
      <c r="K11494" s="1" t="str">
        <f>"2026-07-29 13:18:10"</f>
        <v>2026-07-29 13:18:10</v>
      </c>
      <c r="L11494" s="1" t="str">
        <f>"2017-07-03 15:15:41"</f>
        <v>2017-07-03 15:15:41</v>
      </c>
      <c r="M11494" s="1" t="s">
        <v>45</v>
      </c>
      <c r="N11494" s="1" t="s">
        <v>38</v>
      </c>
      <c r="O11494" s="1" t="s">
        <v>46</v>
      </c>
    </row>
    <row r="11495" spans="2:15" x14ac:dyDescent="0.3">
      <c r="B11495" s="1" t="s">
        <v>20</v>
      </c>
      <c r="C11495" s="1" t="str">
        <f>"5-2차"</f>
        <v>5-2차</v>
      </c>
      <c r="D11495" s="1" t="str">
        <f>"9625B2115M"</f>
        <v>9625B2115M</v>
      </c>
      <c r="E11495" s="1" t="s">
        <v>10</v>
      </c>
      <c r="F11495" s="1" t="str">
        <f>"fde1:103:4:5625:0:0:0:2"</f>
        <v>fde1:103:4:5625:0:0:0:2</v>
      </c>
      <c r="G11495" s="1" t="str">
        <f>"9625B211"</f>
        <v>9625B211</v>
      </c>
      <c r="H11495" s="1" t="str">
        <f>"당수간 42L2"</f>
        <v>당수간 42L2</v>
      </c>
      <c r="I11495" s="1" t="s">
        <v>15</v>
      </c>
      <c r="J11495" s="1" t="str">
        <f>"51/51"</f>
        <v>51/51</v>
      </c>
      <c r="K11495" s="1" t="str">
        <f>"2026-07-29 14:21:40"</f>
        <v>2026-07-29 14:21:40</v>
      </c>
      <c r="L11495" s="1" t="str">
        <f>"2023-08-10 10:12:56"</f>
        <v>2023-08-10 10:12:56</v>
      </c>
      <c r="M11495" s="1" t="s">
        <v>4</v>
      </c>
      <c r="N11495" s="1" t="s">
        <v>38</v>
      </c>
      <c r="O11495" s="1" t="s">
        <v>46</v>
      </c>
    </row>
    <row r="11496" spans="2:15" x14ac:dyDescent="0.3">
      <c r="B11496" s="1" t="s">
        <v>20</v>
      </c>
      <c r="C11496" s="1" t="str">
        <f>"5-2차"</f>
        <v>5-2차</v>
      </c>
      <c r="D11496" s="1" t="str">
        <f>"9625B2135M"</f>
        <v>9625B2135M</v>
      </c>
      <c r="E11496" s="1" t="s">
        <v>10</v>
      </c>
      <c r="F11496" s="1" t="str">
        <f>"fde1:103:4:5593:0:0:0:2"</f>
        <v>fde1:103:4:5593:0:0:0:2</v>
      </c>
      <c r="G11496" s="1" t="str">
        <f>"9625B213"</f>
        <v>9625B213</v>
      </c>
      <c r="H11496" s="1" t="str">
        <f>"당수간 42L1"</f>
        <v>당수간 42L1</v>
      </c>
      <c r="I11496" s="1" t="s">
        <v>15</v>
      </c>
      <c r="J11496" s="1" t="str">
        <f>"58/58"</f>
        <v>58/58</v>
      </c>
      <c r="K11496" s="1" t="str">
        <f>"2026-07-29 14:20:58"</f>
        <v>2026-07-29 14:20:58</v>
      </c>
      <c r="L11496" s="1" t="str">
        <f>"2023-08-10 10:36:35"</f>
        <v>2023-08-10 10:36:35</v>
      </c>
      <c r="M11496" s="1" t="s">
        <v>4</v>
      </c>
      <c r="N11496" s="1" t="s">
        <v>38</v>
      </c>
      <c r="O11496" s="1" t="s">
        <v>46</v>
      </c>
    </row>
    <row r="11497" spans="2:15" x14ac:dyDescent="0.3">
      <c r="B11497" s="1" t="s">
        <v>20</v>
      </c>
      <c r="C11497" s="1" t="str">
        <f>"5-2차"</f>
        <v>5-2차</v>
      </c>
      <c r="D11497" s="1" t="str">
        <f>"9625B2145M"</f>
        <v>9625B2145M</v>
      </c>
      <c r="E11497" s="1" t="s">
        <v>10</v>
      </c>
      <c r="F11497" s="1" t="str">
        <f>"fde1:103:4:5632:0:0:0:2"</f>
        <v>fde1:103:4:5632:0:0:0:2</v>
      </c>
      <c r="G11497" s="1" t="str">
        <f>"9625B214"</f>
        <v>9625B214</v>
      </c>
      <c r="H11497" s="1" t="str">
        <f>"당수간 43"</f>
        <v>당수간 43</v>
      </c>
      <c r="I11497" s="1" t="s">
        <v>15</v>
      </c>
      <c r="J11497" s="1" t="str">
        <f>"51/51"</f>
        <v>51/51</v>
      </c>
      <c r="K11497" s="1" t="str">
        <f>"2026-07-29 14:21:30"</f>
        <v>2026-07-29 14:21:30</v>
      </c>
      <c r="L11497" s="1" t="str">
        <f>"2023-08-10 10:39:33"</f>
        <v>2023-08-10 10:39:33</v>
      </c>
      <c r="M11497" s="1" t="s">
        <v>4</v>
      </c>
      <c r="N11497" s="1" t="s">
        <v>38</v>
      </c>
      <c r="O11497" s="1" t="s">
        <v>46</v>
      </c>
    </row>
    <row r="11498" spans="2:15" x14ac:dyDescent="0.3">
      <c r="B11498" s="1" t="s">
        <v>20</v>
      </c>
      <c r="C11498" s="1" t="str">
        <f>"5-2차"</f>
        <v>5-2차</v>
      </c>
      <c r="D11498" s="1" t="str">
        <f>"9625B2415M"</f>
        <v>9625B2415M</v>
      </c>
      <c r="E11498" s="1" t="s">
        <v>10</v>
      </c>
      <c r="F11498" s="1" t="str">
        <f>"fde1:103:4:559d:0:0:0:2"</f>
        <v>fde1:103:4:559d:0:0:0:2</v>
      </c>
      <c r="G11498" s="1" t="str">
        <f>"9625B241"</f>
        <v>9625B241</v>
      </c>
      <c r="H11498" s="1" t="str">
        <f>"동국지 5L3L8H1R1"</f>
        <v>동국지 5L3L8H1R1</v>
      </c>
      <c r="I11498" s="1" t="s">
        <v>15</v>
      </c>
      <c r="J11498" s="1" t="str">
        <f>"38/38"</f>
        <v>38/38</v>
      </c>
      <c r="K11498" s="1" t="str">
        <f>"2026-07-29 14:21:31"</f>
        <v>2026-07-29 14:21:31</v>
      </c>
      <c r="L11498" s="1" t="str">
        <f>"2023-08-10 10:41:42"</f>
        <v>2023-08-10 10:41:42</v>
      </c>
      <c r="M11498" s="1" t="s">
        <v>4</v>
      </c>
      <c r="N11498" s="1" t="s">
        <v>38</v>
      </c>
      <c r="O11498" s="1" t="s">
        <v>46</v>
      </c>
    </row>
    <row r="11499" spans="2:15" x14ac:dyDescent="0.3">
      <c r="B11499" s="1" t="s">
        <v>20</v>
      </c>
      <c r="C11499" s="1" t="str">
        <f>"2차"</f>
        <v>2차</v>
      </c>
      <c r="D11499" s="1" t="str">
        <f>"9625B26120"</f>
        <v>9625B26120</v>
      </c>
      <c r="E11499" s="1" t="s">
        <v>10</v>
      </c>
      <c r="F11499" s="1" t="str">
        <f>"10.26.65.226"</f>
        <v>10.26.65.226</v>
      </c>
      <c r="G11499" s="1" t="str">
        <f>"9625B261"</f>
        <v>9625B261</v>
      </c>
      <c r="H11499" s="1" t="str">
        <f>"동국지 5L3L5"</f>
        <v>동국지 5L3L5</v>
      </c>
      <c r="I11499" s="1" t="s">
        <v>8</v>
      </c>
      <c r="J11499" s="1" t="str">
        <f>"89/90"</f>
        <v>89/90</v>
      </c>
      <c r="K11499" s="1" t="str">
        <f>"2026-07-29 13:18:10"</f>
        <v>2026-07-29 13:18:10</v>
      </c>
      <c r="L11499" s="1" t="str">
        <f>"2017-06-29 11:40:08"</f>
        <v>2017-06-29 11:40:08</v>
      </c>
      <c r="M11499" s="1" t="s">
        <v>45</v>
      </c>
      <c r="N11499" s="1" t="s">
        <v>38</v>
      </c>
      <c r="O11499" s="1" t="s">
        <v>46</v>
      </c>
    </row>
    <row r="11500" spans="2:15" x14ac:dyDescent="0.3">
      <c r="B11500" s="1" t="s">
        <v>20</v>
      </c>
      <c r="C11500" s="1" t="str">
        <f>"4차"</f>
        <v>4차</v>
      </c>
      <c r="D11500" s="1" t="str">
        <f>"9625B28139"</f>
        <v>9625B28139</v>
      </c>
      <c r="E11500" s="1" t="str">
        <f>"검침실패(3시간 이상)"</f>
        <v>검침실패(3시간 이상)</v>
      </c>
      <c r="F11500" s="1" t="str">
        <f>"10.12.131.207"</f>
        <v>10.12.131.207</v>
      </c>
      <c r="G11500" s="1" t="str">
        <f>"9625B281"</f>
        <v>9625B281</v>
      </c>
      <c r="H11500" s="1" t="str">
        <f>"합정로 11"</f>
        <v>합정로 11</v>
      </c>
      <c r="I11500" s="1" t="s">
        <v>17</v>
      </c>
      <c r="J11500" s="1" t="str">
        <f>"0/4"</f>
        <v>0/4</v>
      </c>
      <c r="K11500" s="1" t="str">
        <f>"2026-07-29 13:18:12"</f>
        <v>2026-07-29 13:18:12</v>
      </c>
      <c r="L11500" s="1" t="str">
        <f>"2018-06-19 08:36:40"</f>
        <v>2018-06-19 08:36:40</v>
      </c>
      <c r="M11500" s="1" t="s">
        <v>0</v>
      </c>
      <c r="N11500" s="1" t="s">
        <v>38</v>
      </c>
      <c r="O11500" s="1" t="s">
        <v>46</v>
      </c>
    </row>
    <row r="11501" spans="2:15" x14ac:dyDescent="0.3">
      <c r="B11501" s="1" t="s">
        <v>20</v>
      </c>
      <c r="C11501" s="1" t="str">
        <f>"2차"</f>
        <v>2차</v>
      </c>
      <c r="D11501" s="1" t="str">
        <f>"9625B35121"</f>
        <v>9625B35121</v>
      </c>
      <c r="E11501" s="1" t="s">
        <v>10</v>
      </c>
      <c r="F11501" s="1" t="str">
        <f>"10.26.65.227"</f>
        <v>10.26.65.227</v>
      </c>
      <c r="G11501" s="1" t="str">
        <f>"9625B351"</f>
        <v>9625B351</v>
      </c>
      <c r="H11501" s="1" t="str">
        <f>"동국지 5L3L7"</f>
        <v>동국지 5L3L7</v>
      </c>
      <c r="I11501" s="1" t="s">
        <v>8</v>
      </c>
      <c r="J11501" s="1" t="str">
        <f>"49/49"</f>
        <v>49/49</v>
      </c>
      <c r="K11501" s="1" t="str">
        <f>"2026-07-29 13:18:10"</f>
        <v>2026-07-29 13:18:10</v>
      </c>
      <c r="L11501" s="1" t="str">
        <f>"2017-07-03 14:55:41"</f>
        <v>2017-07-03 14:55:41</v>
      </c>
      <c r="M11501" s="1" t="s">
        <v>45</v>
      </c>
      <c r="N11501" s="1" t="s">
        <v>38</v>
      </c>
      <c r="O11501" s="1" t="s">
        <v>46</v>
      </c>
    </row>
    <row r="11502" spans="2:15" x14ac:dyDescent="0.3">
      <c r="B11502" s="1" t="s">
        <v>20</v>
      </c>
      <c r="C11502" s="1" t="str">
        <f>"4차"</f>
        <v>4차</v>
      </c>
      <c r="D11502" s="1" t="str">
        <f>"9625B37139"</f>
        <v>9625B37139</v>
      </c>
      <c r="E11502" s="1" t="s">
        <v>10</v>
      </c>
      <c r="F11502" s="1" t="str">
        <f>"10.12.133.25"</f>
        <v>10.12.133.25</v>
      </c>
      <c r="G11502" s="1" t="str">
        <f>"9625B371"</f>
        <v>9625B371</v>
      </c>
      <c r="H11502" s="1" t="str">
        <f>"합정로 10"</f>
        <v>합정로 10</v>
      </c>
      <c r="I11502" s="1" t="s">
        <v>17</v>
      </c>
      <c r="J11502" s="1" t="str">
        <f>"10/10"</f>
        <v>10/10</v>
      </c>
      <c r="K11502" s="1" t="str">
        <f>"2026-07-29 13:18:11"</f>
        <v>2026-07-29 13:18:11</v>
      </c>
      <c r="L11502" s="1" t="str">
        <f>"2018-06-19 08:49:56"</f>
        <v>2018-06-19 08:49:56</v>
      </c>
      <c r="M11502" s="1" t="s">
        <v>0</v>
      </c>
      <c r="N11502" s="1" t="s">
        <v>38</v>
      </c>
      <c r="O11502" s="1" t="s">
        <v>46</v>
      </c>
    </row>
    <row r="11503" spans="2:15" x14ac:dyDescent="0.3">
      <c r="B11503" s="1" t="s">
        <v>20</v>
      </c>
      <c r="C11503" s="1" t="str">
        <f>"4차"</f>
        <v>4차</v>
      </c>
      <c r="D11503" s="1" t="str">
        <f>"9625B37239"</f>
        <v>9625B37239</v>
      </c>
      <c r="E11503" s="1" t="s">
        <v>10</v>
      </c>
      <c r="F11503" s="1" t="str">
        <f>"10.12.133.211"</f>
        <v>10.12.133.211</v>
      </c>
      <c r="G11503" s="1" t="str">
        <f>"9625B372"</f>
        <v>9625B372</v>
      </c>
      <c r="H11503" s="1" t="str">
        <f>"합정로 16"</f>
        <v>합정로 16</v>
      </c>
      <c r="I11503" s="1" t="s">
        <v>17</v>
      </c>
      <c r="J11503" s="1" t="str">
        <f>"2/2"</f>
        <v>2/2</v>
      </c>
      <c r="K11503" s="1" t="str">
        <f>"2026-07-29 13:18:11"</f>
        <v>2026-07-29 13:18:11</v>
      </c>
      <c r="L11503" s="1" t="str">
        <f>"2018-06-20 09:59:10"</f>
        <v>2018-06-20 09:59:10</v>
      </c>
      <c r="M11503" s="1" t="s">
        <v>0</v>
      </c>
      <c r="N11503" s="1" t="s">
        <v>38</v>
      </c>
      <c r="O11503" s="1" t="s">
        <v>46</v>
      </c>
    </row>
    <row r="11504" spans="2:15" x14ac:dyDescent="0.3">
      <c r="B11504" s="1" t="s">
        <v>20</v>
      </c>
      <c r="C11504" s="1" t="str">
        <f>"6차"</f>
        <v>6차</v>
      </c>
      <c r="D11504" s="1" t="str">
        <f>"9625B4016S"</f>
        <v>9625B4016S</v>
      </c>
      <c r="E11504" s="1" t="s">
        <v>10</v>
      </c>
      <c r="F11504" s="1" t="str">
        <f>"fde1:103:4:91b7:0:0:0:2"</f>
        <v>fde1:103:4:91b7:0:0:0:2</v>
      </c>
      <c r="G11504" s="1" t="str">
        <f>"9625B401"</f>
        <v>9625B401</v>
      </c>
      <c r="H11504" s="1" t="str">
        <f>"당수간 37"</f>
        <v>당수간 37</v>
      </c>
      <c r="I11504" s="1" t="s">
        <v>15</v>
      </c>
      <c r="J11504" s="1" t="str">
        <f>"71/71"</f>
        <v>71/71</v>
      </c>
      <c r="K11504" s="1" t="str">
        <f>"2026-07-29 14:21:07"</f>
        <v>2026-07-29 14:21:07</v>
      </c>
      <c r="L11504" s="1" t="str">
        <f>"2025-01-22 11:13:42"</f>
        <v>2025-01-22 11:13:42</v>
      </c>
      <c r="M11504" s="1" t="s">
        <v>4</v>
      </c>
      <c r="N11504" s="1" t="s">
        <v>38</v>
      </c>
      <c r="O11504" s="1" t="s">
        <v>46</v>
      </c>
    </row>
    <row r="11505" spans="2:15" x14ac:dyDescent="0.3">
      <c r="B11505" s="1" t="s">
        <v>20</v>
      </c>
      <c r="C11505" s="1" t="str">
        <f>"5-2차"</f>
        <v>5-2차</v>
      </c>
      <c r="D11505" s="1" t="str">
        <f>"9625B4025M"</f>
        <v>9625B4025M</v>
      </c>
      <c r="E11505" s="1" t="s">
        <v>10</v>
      </c>
      <c r="F11505" s="1" t="str">
        <f>"fde1:103:4:5691:0:0:0:2"</f>
        <v>fde1:103:4:5691:0:0:0:2</v>
      </c>
      <c r="G11505" s="1" t="str">
        <f>"9625B402"</f>
        <v>9625B402</v>
      </c>
      <c r="H11505" s="1" t="str">
        <f>"당수간 36"</f>
        <v>당수간 36</v>
      </c>
      <c r="I11505" s="1" t="s">
        <v>15</v>
      </c>
      <c r="J11505" s="1" t="str">
        <f>"66/67"</f>
        <v>66/67</v>
      </c>
      <c r="K11505" s="1" t="str">
        <f>"2026-07-29 14:21:31"</f>
        <v>2026-07-29 14:21:31</v>
      </c>
      <c r="L11505" s="1" t="str">
        <f>"2023-08-10 10:55:01"</f>
        <v>2023-08-10 10:55:01</v>
      </c>
      <c r="M11505" s="1" t="s">
        <v>4</v>
      </c>
      <c r="N11505" s="1" t="s">
        <v>38</v>
      </c>
      <c r="O11505" s="1" t="s">
        <v>46</v>
      </c>
    </row>
    <row r="11506" spans="2:15" x14ac:dyDescent="0.3">
      <c r="B11506" s="1" t="s">
        <v>20</v>
      </c>
      <c r="C11506" s="1" t="str">
        <f>"2차"</f>
        <v>2차</v>
      </c>
      <c r="D11506" s="1" t="str">
        <f>"9625B41321"</f>
        <v>9625B41321</v>
      </c>
      <c r="E11506" s="1" t="s">
        <v>10</v>
      </c>
      <c r="F11506" s="1" t="str">
        <f>"10.26.66.3"</f>
        <v>10.26.66.3</v>
      </c>
      <c r="G11506" s="1" t="str">
        <f>"9625B413"</f>
        <v>9625B413</v>
      </c>
      <c r="H11506" s="1" t="str">
        <f>"당수간 39"</f>
        <v>당수간 39</v>
      </c>
      <c r="I11506" s="1" t="s">
        <v>8</v>
      </c>
      <c r="J11506" s="1" t="str">
        <f>"8/8"</f>
        <v>8/8</v>
      </c>
      <c r="K11506" s="1" t="str">
        <f>"2026-07-29 13:18:10"</f>
        <v>2026-07-29 13:18:10</v>
      </c>
      <c r="L11506" s="1" t="str">
        <f>"2017-07-25 18:37:42"</f>
        <v>2017-07-25 18:37:42</v>
      </c>
      <c r="M11506" s="1" t="s">
        <v>45</v>
      </c>
      <c r="N11506" s="1" t="s">
        <v>38</v>
      </c>
      <c r="O11506" s="1" t="s">
        <v>46</v>
      </c>
    </row>
    <row r="11507" spans="2:15" x14ac:dyDescent="0.3">
      <c r="B11507" s="1" t="s">
        <v>20</v>
      </c>
      <c r="C11507" s="1" t="str">
        <f>"2차"</f>
        <v>2차</v>
      </c>
      <c r="D11507" s="1" t="str">
        <f>"9625B42120"</f>
        <v>9625B42120</v>
      </c>
      <c r="E11507" s="1" t="s">
        <v>10</v>
      </c>
      <c r="F11507" s="1" t="str">
        <f>"10.26.66.2"</f>
        <v>10.26.66.2</v>
      </c>
      <c r="G11507" s="1" t="str">
        <f>"9625B421"</f>
        <v>9625B421</v>
      </c>
      <c r="H11507" s="1" t="str">
        <f>"당수간 40R1"</f>
        <v>당수간 40R1</v>
      </c>
      <c r="I11507" s="1" t="s">
        <v>8</v>
      </c>
      <c r="J11507" s="1" t="str">
        <f>"27/27"</f>
        <v>27/27</v>
      </c>
      <c r="K11507" s="1" t="str">
        <f>"2026-07-29 13:18:10"</f>
        <v>2026-07-29 13:18:10</v>
      </c>
      <c r="L11507" s="1" t="str">
        <f>"2017-08-23 14:50:59"</f>
        <v>2017-08-23 14:50:59</v>
      </c>
      <c r="M11507" s="1" t="s">
        <v>45</v>
      </c>
      <c r="N11507" s="1" t="s">
        <v>38</v>
      </c>
      <c r="O11507" s="1" t="s">
        <v>46</v>
      </c>
    </row>
    <row r="11508" spans="2:15" x14ac:dyDescent="0.3">
      <c r="B11508" s="1" t="s">
        <v>20</v>
      </c>
      <c r="C11508" s="1" t="str">
        <f>"5-2차"</f>
        <v>5-2차</v>
      </c>
      <c r="D11508" s="1" t="str">
        <f>"9625B4315M"</f>
        <v>9625B4315M</v>
      </c>
      <c r="E11508" s="1" t="s">
        <v>10</v>
      </c>
      <c r="F11508" s="1" t="str">
        <f>"fde1:103:4:5573:0:0:0:2"</f>
        <v>fde1:103:4:5573:0:0:0:2</v>
      </c>
      <c r="G11508" s="1" t="str">
        <f>"9625B431"</f>
        <v>9625B431</v>
      </c>
      <c r="H11508" s="1" t="str">
        <f>"동국지 5L3L11"</f>
        <v>동국지 5L3L11</v>
      </c>
      <c r="I11508" s="1" t="s">
        <v>15</v>
      </c>
      <c r="J11508" s="1" t="str">
        <f>"30/30"</f>
        <v>30/30</v>
      </c>
      <c r="K11508" s="1" t="str">
        <f>"2026-07-29 14:21:31"</f>
        <v>2026-07-29 14:21:31</v>
      </c>
      <c r="L11508" s="1" t="str">
        <f>"2023-08-10 10:56:59"</f>
        <v>2023-08-10 10:56:59</v>
      </c>
      <c r="M11508" s="1" t="s">
        <v>4</v>
      </c>
      <c r="N11508" s="1" t="s">
        <v>38</v>
      </c>
      <c r="O11508" s="1" t="s">
        <v>46</v>
      </c>
    </row>
    <row r="11509" spans="2:15" x14ac:dyDescent="0.3">
      <c r="B11509" s="1" t="s">
        <v>20</v>
      </c>
      <c r="C11509" s="1" t="str">
        <f>"4차"</f>
        <v>4차</v>
      </c>
      <c r="D11509" s="1" t="str">
        <f>"9625B46344"</f>
        <v>9625B46344</v>
      </c>
      <c r="E11509" s="1" t="s">
        <v>10</v>
      </c>
      <c r="F11509" s="1" t="str">
        <f>"10.10.133.226"</f>
        <v>10.10.133.226</v>
      </c>
      <c r="G11509" s="1" t="str">
        <f>"9625B463"</f>
        <v>9625B463</v>
      </c>
      <c r="H11509" s="1" t="str">
        <f>"합원간 34"</f>
        <v>합원간 34</v>
      </c>
      <c r="I11509" s="1" t="s">
        <v>8</v>
      </c>
      <c r="J11509" s="1" t="str">
        <f>"17/17"</f>
        <v>17/17</v>
      </c>
      <c r="K11509" s="1" t="str">
        <f>"2026-07-29 13:18:10"</f>
        <v>2026-07-29 13:18:10</v>
      </c>
      <c r="L11509" s="1" t="str">
        <f>"2019-12-17 16:08:34"</f>
        <v>2019-12-17 16:08:34</v>
      </c>
      <c r="M11509" s="1" t="s">
        <v>1</v>
      </c>
      <c r="N11509" s="1" t="s">
        <v>38</v>
      </c>
      <c r="O11509" s="1" t="s">
        <v>46</v>
      </c>
    </row>
    <row r="11510" spans="2:15" x14ac:dyDescent="0.3">
      <c r="B11510" s="1" t="s">
        <v>20</v>
      </c>
      <c r="C11510" s="1" t="str">
        <f>"4차"</f>
        <v>4차</v>
      </c>
      <c r="D11510" s="1" t="str">
        <f>"9625B48144"</f>
        <v>9625B48144</v>
      </c>
      <c r="E11510" s="1" t="s">
        <v>10</v>
      </c>
      <c r="F11510" s="1" t="str">
        <f>"10.10.133.218"</f>
        <v>10.10.133.218</v>
      </c>
      <c r="G11510" s="1" t="str">
        <f>"9625B481"</f>
        <v>9625B481</v>
      </c>
      <c r="H11510" s="1" t="str">
        <f>"합원간 36"</f>
        <v>합원간 36</v>
      </c>
      <c r="I11510" s="1" t="s">
        <v>8</v>
      </c>
      <c r="J11510" s="1" t="str">
        <f>"37/38"</f>
        <v>37/38</v>
      </c>
      <c r="K11510" s="1" t="str">
        <f>"2026-07-29 13:18:10"</f>
        <v>2026-07-29 13:18:10</v>
      </c>
      <c r="L11510" s="1" t="str">
        <f>"2019-12-11 18:06:23"</f>
        <v>2019-12-11 18:06:23</v>
      </c>
      <c r="M11510" s="1" t="s">
        <v>1</v>
      </c>
      <c r="N11510" s="1" t="s">
        <v>38</v>
      </c>
      <c r="O11510" s="1" t="s">
        <v>46</v>
      </c>
    </row>
    <row r="11511" spans="2:15" x14ac:dyDescent="0.3">
      <c r="B11511" s="1" t="s">
        <v>20</v>
      </c>
      <c r="C11511" s="1" t="str">
        <f>"4차"</f>
        <v>4차</v>
      </c>
      <c r="D11511" s="1" t="str">
        <f>"9625B49144"</f>
        <v>9625B49144</v>
      </c>
      <c r="E11511" s="1" t="s">
        <v>10</v>
      </c>
      <c r="F11511" s="1" t="str">
        <f>"10.10.133.234"</f>
        <v>10.10.133.234</v>
      </c>
      <c r="G11511" s="1" t="str">
        <f>"9625B491"</f>
        <v>9625B491</v>
      </c>
      <c r="H11511" s="1" t="str">
        <f>"합원간 40R4R1"</f>
        <v>합원간 40R4R1</v>
      </c>
      <c r="I11511" s="1" t="s">
        <v>8</v>
      </c>
      <c r="J11511" s="1" t="str">
        <f>"40/40"</f>
        <v>40/40</v>
      </c>
      <c r="K11511" s="1" t="str">
        <f>"2026-07-29 13:18:10"</f>
        <v>2026-07-29 13:18:10</v>
      </c>
      <c r="L11511" s="1" t="str">
        <f>"2019-12-11 18:12:06"</f>
        <v>2019-12-11 18:12:06</v>
      </c>
      <c r="M11511" s="1" t="s">
        <v>1</v>
      </c>
      <c r="N11511" s="1" t="s">
        <v>38</v>
      </c>
      <c r="O11511" s="1" t="s">
        <v>46</v>
      </c>
    </row>
    <row r="11512" spans="2:15" x14ac:dyDescent="0.3">
      <c r="B11512" s="1" t="s">
        <v>20</v>
      </c>
      <c r="C11512" s="1" t="str">
        <f>"6차"</f>
        <v>6차</v>
      </c>
      <c r="D11512" s="1" t="str">
        <f>"9625B5126S"</f>
        <v>9625B5126S</v>
      </c>
      <c r="E11512" s="1" t="s">
        <v>10</v>
      </c>
      <c r="F11512" s="1" t="str">
        <f>"fde1:103:4:c5cc:0:0:0:2"</f>
        <v>fde1:103:4:c5cc:0:0:0:2</v>
      </c>
      <c r="G11512" s="1" t="str">
        <f>"9625B512"</f>
        <v>9625B512</v>
      </c>
      <c r="H11512" s="1" t="str">
        <f>"당수간 40H1R3R1"</f>
        <v>당수간 40H1R3R1</v>
      </c>
      <c r="I11512" s="1" t="s">
        <v>15</v>
      </c>
      <c r="J11512" s="1" t="str">
        <f>"65/65"</f>
        <v>65/65</v>
      </c>
      <c r="K11512" s="1" t="str">
        <f>"2026-07-29 14:21:31"</f>
        <v>2026-07-29 14:21:31</v>
      </c>
      <c r="L11512" s="1" t="str">
        <f>"2024-11-07 13:18:03"</f>
        <v>2024-11-07 13:18:03</v>
      </c>
      <c r="M11512" s="1" t="s">
        <v>4</v>
      </c>
      <c r="N11512" s="1" t="s">
        <v>38</v>
      </c>
      <c r="O11512" s="1" t="s">
        <v>46</v>
      </c>
    </row>
    <row r="11513" spans="2:15" x14ac:dyDescent="0.3">
      <c r="B11513" s="1" t="s">
        <v>20</v>
      </c>
      <c r="C11513" s="1" t="str">
        <f>"4차"</f>
        <v>4차</v>
      </c>
      <c r="D11513" s="1" t="str">
        <f>"9625B53139"</f>
        <v>9625B53139</v>
      </c>
      <c r="E11513" s="1" t="s">
        <v>10</v>
      </c>
      <c r="F11513" s="1" t="str">
        <f>"10.12.136.147"</f>
        <v>10.12.136.147</v>
      </c>
      <c r="G11513" s="1" t="str">
        <f>"9625B531"</f>
        <v>9625B531</v>
      </c>
      <c r="H11513" s="1" t="str">
        <f>"합정로 9"</f>
        <v>합정로 9</v>
      </c>
      <c r="I11513" s="1" t="s">
        <v>17</v>
      </c>
      <c r="J11513" s="1" t="str">
        <f>"13/14"</f>
        <v>13/14</v>
      </c>
      <c r="K11513" s="1" t="str">
        <f>"2026-07-29 13:18:11"</f>
        <v>2026-07-29 13:18:11</v>
      </c>
      <c r="L11513" s="1" t="str">
        <f>"2018-06-19 09:05:56"</f>
        <v>2018-06-19 09:05:56</v>
      </c>
      <c r="M11513" s="1" t="s">
        <v>0</v>
      </c>
      <c r="N11513" s="1" t="s">
        <v>38</v>
      </c>
      <c r="O11513" s="1" t="s">
        <v>46</v>
      </c>
    </row>
    <row r="11514" spans="2:15" x14ac:dyDescent="0.3">
      <c r="B11514" s="1" t="s">
        <v>20</v>
      </c>
      <c r="C11514" s="1" t="str">
        <f>"4차"</f>
        <v>4차</v>
      </c>
      <c r="D11514" s="1" t="str">
        <f>"9625B56144"</f>
        <v>9625B56144</v>
      </c>
      <c r="E11514" s="1" t="s">
        <v>10</v>
      </c>
      <c r="F11514" s="1" t="str">
        <f>"10.10.133.130"</f>
        <v>10.10.133.130</v>
      </c>
      <c r="G11514" s="1" t="str">
        <f>"9625B561"</f>
        <v>9625B561</v>
      </c>
      <c r="H11514" s="1" t="str">
        <f>"합원간 32"</f>
        <v>합원간 32</v>
      </c>
      <c r="I11514" s="1" t="s">
        <v>8</v>
      </c>
      <c r="J11514" s="1" t="str">
        <f>"22/22"</f>
        <v>22/22</v>
      </c>
      <c r="K11514" s="1" t="str">
        <f>"2026-07-29 13:18:10"</f>
        <v>2026-07-29 13:18:10</v>
      </c>
      <c r="L11514" s="1" t="str">
        <f>"2020-01-20 11:30:05"</f>
        <v>2020-01-20 11:30:05</v>
      </c>
      <c r="M11514" s="1" t="s">
        <v>1</v>
      </c>
      <c r="N11514" s="1" t="s">
        <v>38</v>
      </c>
      <c r="O11514" s="1" t="s">
        <v>46</v>
      </c>
    </row>
    <row r="11515" spans="2:15" x14ac:dyDescent="0.3">
      <c r="B11515" s="1" t="s">
        <v>20</v>
      </c>
      <c r="C11515" s="1" t="str">
        <f>"4차"</f>
        <v>4차</v>
      </c>
      <c r="D11515" s="1" t="str">
        <f>"9625B58144"</f>
        <v>9625B58144</v>
      </c>
      <c r="E11515" s="1" t="s">
        <v>10</v>
      </c>
      <c r="F11515" s="1" t="str">
        <f>"10.10.133.202"</f>
        <v>10.10.133.202</v>
      </c>
      <c r="G11515" s="1" t="str">
        <f>"9625B581"</f>
        <v>9625B581</v>
      </c>
      <c r="H11515" s="1" t="str">
        <f>"합원간 30R17"</f>
        <v>합원간 30R17</v>
      </c>
      <c r="I11515" s="1" t="s">
        <v>8</v>
      </c>
      <c r="J11515" s="1" t="str">
        <f>"57/63"</f>
        <v>57/63</v>
      </c>
      <c r="K11515" s="1" t="str">
        <f>"2026-07-29 13:18:10"</f>
        <v>2026-07-29 13:18:10</v>
      </c>
      <c r="L11515" s="1" t="str">
        <f>"2019-12-11 18:09:31"</f>
        <v>2019-12-11 18:09:31</v>
      </c>
      <c r="M11515" s="1" t="s">
        <v>1</v>
      </c>
      <c r="N11515" s="1" t="s">
        <v>38</v>
      </c>
      <c r="O11515" s="1" t="s">
        <v>46</v>
      </c>
    </row>
    <row r="11516" spans="2:15" x14ac:dyDescent="0.3">
      <c r="B11516" s="1" t="s">
        <v>20</v>
      </c>
      <c r="C11516" s="1" t="str">
        <f>"5-2차"</f>
        <v>5-2차</v>
      </c>
      <c r="D11516" s="1" t="str">
        <f>"9625B5825M"</f>
        <v>9625B5825M</v>
      </c>
      <c r="E11516" s="1" t="s">
        <v>10</v>
      </c>
      <c r="F11516" s="1" t="str">
        <f>"fde3:102:1300:1b01:0:0:0:2"</f>
        <v>fde3:102:1300:1b01:0:0:0:2</v>
      </c>
      <c r="G11516" s="1" t="str">
        <f>"9625B582"</f>
        <v>9625B582</v>
      </c>
      <c r="H11516" s="1" t="str">
        <f>"합원간 30R18"</f>
        <v>합원간 30R18</v>
      </c>
      <c r="I11516" s="1" t="s">
        <v>15</v>
      </c>
      <c r="J11516" s="1" t="str">
        <f>"57/57"</f>
        <v>57/57</v>
      </c>
      <c r="K11516" s="1" t="str">
        <f>"2026-07-29 14:21:35"</f>
        <v>2026-07-29 14:21:35</v>
      </c>
      <c r="L11516" s="1" t="str">
        <f>"2024-01-12 11:41:51"</f>
        <v>2024-01-12 11:41:51</v>
      </c>
      <c r="M11516" s="1" t="s">
        <v>45</v>
      </c>
      <c r="N11516" s="1" t="s">
        <v>38</v>
      </c>
      <c r="O11516" s="1" t="s">
        <v>46</v>
      </c>
    </row>
    <row r="11517" spans="2:15" x14ac:dyDescent="0.3">
      <c r="B11517" s="1" t="s">
        <v>20</v>
      </c>
      <c r="C11517" s="1" t="str">
        <f>"4차"</f>
        <v>4차</v>
      </c>
      <c r="D11517" s="1" t="str">
        <f>"9625B59144"</f>
        <v>9625B59144</v>
      </c>
      <c r="E11517" s="1" t="s">
        <v>10</v>
      </c>
      <c r="F11517" s="1" t="str">
        <f>"10.10.135.122"</f>
        <v>10.10.135.122</v>
      </c>
      <c r="G11517" s="1" t="str">
        <f>"9625B591"</f>
        <v>9625B591</v>
      </c>
      <c r="H11517" s="1" t="str">
        <f>"합원간 40R6"</f>
        <v>합원간 40R6</v>
      </c>
      <c r="I11517" s="1" t="s">
        <v>8</v>
      </c>
      <c r="J11517" s="1" t="str">
        <f>"31/31"</f>
        <v>31/31</v>
      </c>
      <c r="K11517" s="1" t="str">
        <f>"2026-07-29 13:18:10"</f>
        <v>2026-07-29 13:18:10</v>
      </c>
      <c r="L11517" s="1" t="str">
        <f>"2019-12-11 18:10:23"</f>
        <v>2019-12-11 18:10:23</v>
      </c>
      <c r="M11517" s="1" t="s">
        <v>1</v>
      </c>
      <c r="N11517" s="1" t="s">
        <v>38</v>
      </c>
      <c r="O11517" s="1" t="s">
        <v>46</v>
      </c>
    </row>
    <row r="11518" spans="2:15" x14ac:dyDescent="0.3">
      <c r="B11518" s="1" t="s">
        <v>20</v>
      </c>
      <c r="C11518" s="1" t="str">
        <f>"5-2차"</f>
        <v>5-2차</v>
      </c>
      <c r="D11518" s="1" t="str">
        <f>"9625B6115M"</f>
        <v>9625B6115M</v>
      </c>
      <c r="E11518" s="1" t="s">
        <v>10</v>
      </c>
      <c r="F11518" s="1" t="str">
        <f>"fde1:103:4:5667:0:0:0:2"</f>
        <v>fde1:103:4:5667:0:0:0:2</v>
      </c>
      <c r="G11518" s="1" t="str">
        <f>"9625B611"</f>
        <v>9625B611</v>
      </c>
      <c r="H11518" s="1" t="str">
        <f>"당수간 40H1R4"</f>
        <v>당수간 40H1R4</v>
      </c>
      <c r="I11518" s="1" t="s">
        <v>15</v>
      </c>
      <c r="J11518" s="1" t="str">
        <f>"123/123"</f>
        <v>123/123</v>
      </c>
      <c r="K11518" s="1" t="str">
        <f>"2026-07-29 14:21:31"</f>
        <v>2026-07-29 14:21:31</v>
      </c>
      <c r="L11518" s="1" t="str">
        <f>"2023-08-10 10:58:58"</f>
        <v>2023-08-10 10:58:58</v>
      </c>
      <c r="M11518" s="1" t="s">
        <v>4</v>
      </c>
      <c r="N11518" s="1" t="s">
        <v>38</v>
      </c>
      <c r="O11518" s="1" t="s">
        <v>46</v>
      </c>
    </row>
    <row r="11519" spans="2:15" x14ac:dyDescent="0.3">
      <c r="B11519" s="1" t="s">
        <v>20</v>
      </c>
      <c r="C11519" s="1" t="str">
        <f>"4차"</f>
        <v>4차</v>
      </c>
      <c r="D11519" s="1" t="str">
        <f>"9625B62139"</f>
        <v>9625B62139</v>
      </c>
      <c r="E11519" s="1" t="s">
        <v>10</v>
      </c>
      <c r="F11519" s="1" t="str">
        <f>"10.12.134.148"</f>
        <v>10.12.134.148</v>
      </c>
      <c r="G11519" s="1" t="str">
        <f>"9625B621"</f>
        <v>9625B621</v>
      </c>
      <c r="H11519" s="1" t="str">
        <f>"합정로 8"</f>
        <v>합정로 8</v>
      </c>
      <c r="I11519" s="1" t="s">
        <v>17</v>
      </c>
      <c r="J11519" s="1" t="str">
        <f>"12/12"</f>
        <v>12/12</v>
      </c>
      <c r="K11519" s="1" t="str">
        <f>"2026-07-29 13:18:13"</f>
        <v>2026-07-29 13:18:13</v>
      </c>
      <c r="L11519" s="1" t="str">
        <f>"2018-06-19 09:18:41"</f>
        <v>2018-06-19 09:18:41</v>
      </c>
      <c r="M11519" s="1" t="s">
        <v>0</v>
      </c>
      <c r="N11519" s="1" t="s">
        <v>38</v>
      </c>
      <c r="O11519" s="1" t="s">
        <v>46</v>
      </c>
    </row>
    <row r="11520" spans="2:15" x14ac:dyDescent="0.3">
      <c r="B11520" s="1" t="s">
        <v>20</v>
      </c>
      <c r="C11520" s="1" t="str">
        <f>"1차"</f>
        <v>1차</v>
      </c>
      <c r="D11520" s="1" t="str">
        <f>"9625B64200"</f>
        <v>9625B64200</v>
      </c>
      <c r="E11520" s="1" t="s">
        <v>10</v>
      </c>
      <c r="F11520" s="1" t="str">
        <f>"10.125.192.250"</f>
        <v>10.125.192.250</v>
      </c>
      <c r="G11520" s="1" t="str">
        <f>"9625B642"</f>
        <v>9625B642</v>
      </c>
      <c r="H11520" s="1" t="str">
        <f>"합원간 30R1"</f>
        <v>합원간 30R1</v>
      </c>
      <c r="I11520" s="1" t="s">
        <v>8</v>
      </c>
      <c r="J11520" s="1" t="str">
        <f>"22/22"</f>
        <v>22/22</v>
      </c>
      <c r="K11520" s="1" t="str">
        <f t="shared" ref="K11520:K11526" si="574">"2026-07-29 13:18:10"</f>
        <v>2026-07-29 13:18:10</v>
      </c>
      <c r="L11520" s="1" t="str">
        <f>"2014-12-01 18:11:29"</f>
        <v>2014-12-01 18:11:29</v>
      </c>
      <c r="M11520" s="1" t="s">
        <v>45</v>
      </c>
      <c r="N11520" s="1" t="s">
        <v>38</v>
      </c>
      <c r="O11520" s="1" t="s">
        <v>46</v>
      </c>
    </row>
    <row r="11521" spans="2:15" x14ac:dyDescent="0.3">
      <c r="B11521" s="1" t="s">
        <v>20</v>
      </c>
      <c r="C11521" s="1" t="str">
        <f t="shared" ref="C11521:C11527" si="575">"4차"</f>
        <v>4차</v>
      </c>
      <c r="D11521" s="1" t="str">
        <f>"9625B64444"</f>
        <v>9625B64444</v>
      </c>
      <c r="E11521" s="1" t="s">
        <v>10</v>
      </c>
      <c r="F11521" s="1" t="str">
        <f>"10.10.136.42"</f>
        <v>10.10.136.42</v>
      </c>
      <c r="G11521" s="1" t="str">
        <f>"9625B644"</f>
        <v>9625B644</v>
      </c>
      <c r="H11521" s="1" t="str">
        <f>"합원간 30"</f>
        <v>합원간 30</v>
      </c>
      <c r="I11521" s="1" t="s">
        <v>8</v>
      </c>
      <c r="J11521" s="1" t="str">
        <f>"30/36"</f>
        <v>30/36</v>
      </c>
      <c r="K11521" s="1" t="str">
        <f t="shared" si="574"/>
        <v>2026-07-29 13:18:10</v>
      </c>
      <c r="L11521" s="1" t="str">
        <f>"2020-01-21 16:48:35"</f>
        <v>2020-01-21 16:48:35</v>
      </c>
      <c r="M11521" s="1" t="s">
        <v>1</v>
      </c>
      <c r="N11521" s="1" t="s">
        <v>38</v>
      </c>
      <c r="O11521" s="1" t="s">
        <v>46</v>
      </c>
    </row>
    <row r="11522" spans="2:15" x14ac:dyDescent="0.3">
      <c r="B11522" s="1" t="s">
        <v>20</v>
      </c>
      <c r="C11522" s="1" t="str">
        <f t="shared" si="575"/>
        <v>4차</v>
      </c>
      <c r="D11522" s="1" t="str">
        <f>"9625B65144"</f>
        <v>9625B65144</v>
      </c>
      <c r="E11522" s="1" t="s">
        <v>10</v>
      </c>
      <c r="F11522" s="1" t="str">
        <f>"10.10.133.138"</f>
        <v>10.10.133.138</v>
      </c>
      <c r="G11522" s="1" t="str">
        <f>"9625B651"</f>
        <v>9625B651</v>
      </c>
      <c r="H11522" s="1" t="str">
        <f>"합원간 31"</f>
        <v>합원간 31</v>
      </c>
      <c r="I11522" s="1" t="s">
        <v>8</v>
      </c>
      <c r="J11522" s="1" t="str">
        <f>"57/57"</f>
        <v>57/57</v>
      </c>
      <c r="K11522" s="1" t="str">
        <f t="shared" si="574"/>
        <v>2026-07-29 13:18:10</v>
      </c>
      <c r="L11522" s="1" t="str">
        <f>"2019-12-11 18:10:24"</f>
        <v>2019-12-11 18:10:24</v>
      </c>
      <c r="M11522" s="1" t="s">
        <v>1</v>
      </c>
      <c r="N11522" s="1" t="s">
        <v>38</v>
      </c>
      <c r="O11522" s="1" t="s">
        <v>46</v>
      </c>
    </row>
    <row r="11523" spans="2:15" x14ac:dyDescent="0.3">
      <c r="B11523" s="1" t="s">
        <v>20</v>
      </c>
      <c r="C11523" s="1" t="str">
        <f t="shared" si="575"/>
        <v>4차</v>
      </c>
      <c r="D11523" s="1" t="str">
        <f>"9625B67144"</f>
        <v>9625B67144</v>
      </c>
      <c r="E11523" s="1" t="s">
        <v>10</v>
      </c>
      <c r="F11523" s="1" t="str">
        <f>"10.10.133.178"</f>
        <v>10.10.133.178</v>
      </c>
      <c r="G11523" s="1" t="str">
        <f>"9625B671"</f>
        <v>9625B671</v>
      </c>
      <c r="H11523" s="1" t="str">
        <f>"합원간 30R15"</f>
        <v>합원간 30R15</v>
      </c>
      <c r="I11523" s="1" t="s">
        <v>8</v>
      </c>
      <c r="J11523" s="1" t="str">
        <f>"6/6"</f>
        <v>6/6</v>
      </c>
      <c r="K11523" s="1" t="str">
        <f t="shared" si="574"/>
        <v>2026-07-29 13:18:10</v>
      </c>
      <c r="L11523" s="1" t="str">
        <f>"2019-12-11 18:09:47"</f>
        <v>2019-12-11 18:09:47</v>
      </c>
      <c r="M11523" s="1" t="s">
        <v>1</v>
      </c>
      <c r="N11523" s="1" t="s">
        <v>38</v>
      </c>
      <c r="O11523" s="1" t="s">
        <v>46</v>
      </c>
    </row>
    <row r="11524" spans="2:15" x14ac:dyDescent="0.3">
      <c r="B11524" s="1" t="s">
        <v>20</v>
      </c>
      <c r="C11524" s="1" t="str">
        <f t="shared" si="575"/>
        <v>4차</v>
      </c>
      <c r="D11524" s="1" t="str">
        <f>"9625B69144"</f>
        <v>9625B69144</v>
      </c>
      <c r="E11524" s="1" t="s">
        <v>10</v>
      </c>
      <c r="F11524" s="1" t="str">
        <f>"10.10.136.50"</f>
        <v>10.10.136.50</v>
      </c>
      <c r="G11524" s="1" t="str">
        <f>"9625B691"</f>
        <v>9625B691</v>
      </c>
      <c r="H11524" s="1" t="str">
        <f>"합원간 40R8"</f>
        <v>합원간 40R8</v>
      </c>
      <c r="I11524" s="1" t="s">
        <v>8</v>
      </c>
      <c r="J11524" s="1" t="str">
        <f>"12/12"</f>
        <v>12/12</v>
      </c>
      <c r="K11524" s="1" t="str">
        <f t="shared" si="574"/>
        <v>2026-07-29 13:18:10</v>
      </c>
      <c r="L11524" s="1" t="str">
        <f>"2020-01-21 16:40:32"</f>
        <v>2020-01-21 16:40:32</v>
      </c>
      <c r="M11524" s="1" t="s">
        <v>1</v>
      </c>
      <c r="N11524" s="1" t="s">
        <v>38</v>
      </c>
      <c r="O11524" s="1" t="s">
        <v>46</v>
      </c>
    </row>
    <row r="11525" spans="2:15" x14ac:dyDescent="0.3">
      <c r="B11525" s="1" t="s">
        <v>20</v>
      </c>
      <c r="C11525" s="1" t="str">
        <f t="shared" si="575"/>
        <v>4차</v>
      </c>
      <c r="D11525" s="1" t="str">
        <f>"9625B69244"</f>
        <v>9625B69244</v>
      </c>
      <c r="E11525" s="1" t="s">
        <v>10</v>
      </c>
      <c r="F11525" s="1" t="str">
        <f>"10.10.135.138"</f>
        <v>10.10.135.138</v>
      </c>
      <c r="G11525" s="1" t="str">
        <f>"9625B692"</f>
        <v>9625B692</v>
      </c>
      <c r="H11525" s="1" t="str">
        <f>"합원간 40R7"</f>
        <v>합원간 40R7</v>
      </c>
      <c r="I11525" s="1" t="s">
        <v>8</v>
      </c>
      <c r="J11525" s="1" t="str">
        <f>"37/37"</f>
        <v>37/37</v>
      </c>
      <c r="K11525" s="1" t="str">
        <f t="shared" si="574"/>
        <v>2026-07-29 13:18:10</v>
      </c>
      <c r="L11525" s="1" t="str">
        <f>"2019-12-11 18:16:16"</f>
        <v>2019-12-11 18:16:16</v>
      </c>
      <c r="M11525" s="1" t="s">
        <v>1</v>
      </c>
      <c r="N11525" s="1" t="s">
        <v>38</v>
      </c>
      <c r="O11525" s="1" t="s">
        <v>46</v>
      </c>
    </row>
    <row r="11526" spans="2:15" x14ac:dyDescent="0.3">
      <c r="B11526" s="1" t="s">
        <v>20</v>
      </c>
      <c r="C11526" s="1" t="str">
        <f t="shared" si="575"/>
        <v>4차</v>
      </c>
      <c r="D11526" s="1" t="str">
        <f>"9625B69344"</f>
        <v>9625B69344</v>
      </c>
      <c r="E11526" s="1" t="s">
        <v>10</v>
      </c>
      <c r="F11526" s="1" t="str">
        <f>"10.10.133.210"</f>
        <v>10.10.133.210</v>
      </c>
      <c r="G11526" s="1" t="str">
        <f>"9625B693"</f>
        <v>9625B693</v>
      </c>
      <c r="H11526" s="1" t="str">
        <f>"합원간 40R9"</f>
        <v>합원간 40R9</v>
      </c>
      <c r="I11526" s="1" t="s">
        <v>8</v>
      </c>
      <c r="J11526" s="1" t="str">
        <f>"39/39"</f>
        <v>39/39</v>
      </c>
      <c r="K11526" s="1" t="str">
        <f t="shared" si="574"/>
        <v>2026-07-29 13:18:10</v>
      </c>
      <c r="L11526" s="1" t="str">
        <f>"2019-12-11 18:16:00"</f>
        <v>2019-12-11 18:16:00</v>
      </c>
      <c r="M11526" s="1" t="s">
        <v>1</v>
      </c>
      <c r="N11526" s="1" t="s">
        <v>38</v>
      </c>
      <c r="O11526" s="1" t="s">
        <v>46</v>
      </c>
    </row>
    <row r="11527" spans="2:15" x14ac:dyDescent="0.3">
      <c r="B11527" s="1" t="s">
        <v>20</v>
      </c>
      <c r="C11527" s="1" t="str">
        <f t="shared" si="575"/>
        <v>4차</v>
      </c>
      <c r="D11527" s="1" t="str">
        <f>"9625B70139"</f>
        <v>9625B70139</v>
      </c>
      <c r="E11527" s="1" t="s">
        <v>12</v>
      </c>
      <c r="F11527" s="1" t="str">
        <f>"10.12.133.19"</f>
        <v>10.12.133.19</v>
      </c>
      <c r="G11527" s="1" t="str">
        <f>"9625B701"</f>
        <v>9625B701</v>
      </c>
      <c r="H11527" s="1" t="str">
        <f>"합정로 7"</f>
        <v>합정로 7</v>
      </c>
      <c r="I11527" s="1" t="s">
        <v>17</v>
      </c>
      <c r="J11527" s="1" t="str">
        <f>"0/3"</f>
        <v>0/3</v>
      </c>
      <c r="K11527" s="1" t="str">
        <f>"2026-06-24 13:18:11"</f>
        <v>2026-06-24 13:18:11</v>
      </c>
      <c r="L11527" s="1" t="str">
        <f>"2018-06-20 08:01:26"</f>
        <v>2018-06-20 08:01:26</v>
      </c>
      <c r="M11527" s="1" t="s">
        <v>0</v>
      </c>
      <c r="N11527" s="1" t="s">
        <v>38</v>
      </c>
      <c r="O11527" s="1" t="s">
        <v>46</v>
      </c>
    </row>
    <row r="11528" spans="2:15" x14ac:dyDescent="0.3">
      <c r="B11528" s="1" t="s">
        <v>20</v>
      </c>
      <c r="C11528" s="1" t="str">
        <f>"1차"</f>
        <v>1차</v>
      </c>
      <c r="D11528" s="1" t="str">
        <f>"9625B73100"</f>
        <v>9625B73100</v>
      </c>
      <c r="E11528" s="1" t="s">
        <v>10</v>
      </c>
      <c r="F11528" s="1" t="str">
        <f>"10.125.129.27"</f>
        <v>10.125.129.27</v>
      </c>
      <c r="G11528" s="1" t="str">
        <f>"9625B731"</f>
        <v>9625B731</v>
      </c>
      <c r="H11528" s="1" t="str">
        <f>"합원간 27R2"</f>
        <v>합원간 27R2</v>
      </c>
      <c r="I11528" s="1" t="s">
        <v>8</v>
      </c>
      <c r="J11528" s="1" t="str">
        <f>"10/10"</f>
        <v>10/10</v>
      </c>
      <c r="K11528" s="1" t="str">
        <f>"2026-07-29 13:18:10"</f>
        <v>2026-07-29 13:18:10</v>
      </c>
      <c r="L11528" s="1" t="str">
        <f>"2014-10-27 10:28:14"</f>
        <v>2014-10-27 10:28:14</v>
      </c>
      <c r="M11528" s="1" t="s">
        <v>45</v>
      </c>
      <c r="N11528" s="1" t="s">
        <v>38</v>
      </c>
      <c r="O11528" s="1" t="s">
        <v>46</v>
      </c>
    </row>
    <row r="11529" spans="2:15" x14ac:dyDescent="0.3">
      <c r="B11529" s="1" t="s">
        <v>20</v>
      </c>
      <c r="C11529" s="1" t="str">
        <f>"4차"</f>
        <v>4차</v>
      </c>
      <c r="D11529" s="1" t="str">
        <f>"9625B77144"</f>
        <v>9625B77144</v>
      </c>
      <c r="E11529" s="1" t="s">
        <v>10</v>
      </c>
      <c r="F11529" s="1" t="str">
        <f>"10.10.133.162"</f>
        <v>10.10.133.162</v>
      </c>
      <c r="G11529" s="1" t="str">
        <f>"9625B771"</f>
        <v>9625B771</v>
      </c>
      <c r="H11529" s="1" t="str">
        <f>"합원간 30R13"</f>
        <v>합원간 30R13</v>
      </c>
      <c r="I11529" s="1" t="s">
        <v>8</v>
      </c>
      <c r="J11529" s="1" t="str">
        <f>"34/34"</f>
        <v>34/34</v>
      </c>
      <c r="K11529" s="1" t="str">
        <f>"2026-07-29 13:18:10"</f>
        <v>2026-07-29 13:18:10</v>
      </c>
      <c r="L11529" s="1" t="str">
        <f>"2019-12-17 16:06:56"</f>
        <v>2019-12-17 16:06:56</v>
      </c>
      <c r="M11529" s="1" t="s">
        <v>1</v>
      </c>
      <c r="N11529" s="1" t="s">
        <v>38</v>
      </c>
      <c r="O11529" s="1" t="s">
        <v>46</v>
      </c>
    </row>
    <row r="11530" spans="2:15" x14ac:dyDescent="0.3">
      <c r="B11530" s="1" t="s">
        <v>20</v>
      </c>
      <c r="C11530" s="1" t="str">
        <f>"4차"</f>
        <v>4차</v>
      </c>
      <c r="D11530" s="1" t="str">
        <f>"9625B79144"</f>
        <v>9625B79144</v>
      </c>
      <c r="E11530" s="1" t="s">
        <v>10</v>
      </c>
      <c r="F11530" s="1" t="str">
        <f>"10.10.134.130"</f>
        <v>10.10.134.130</v>
      </c>
      <c r="G11530" s="1" t="str">
        <f>"9625B791"</f>
        <v>9625B791</v>
      </c>
      <c r="H11530" s="1" t="str">
        <f>"합원간 40R9L1"</f>
        <v>합원간 40R9L1</v>
      </c>
      <c r="I11530" s="1" t="s">
        <v>8</v>
      </c>
      <c r="J11530" s="1" t="str">
        <f>"43/43"</f>
        <v>43/43</v>
      </c>
      <c r="K11530" s="1" t="str">
        <f>"2026-07-29 13:18:10"</f>
        <v>2026-07-29 13:18:10</v>
      </c>
      <c r="L11530" s="1" t="str">
        <f>"2019-12-11 18:07:08"</f>
        <v>2019-12-11 18:07:08</v>
      </c>
      <c r="M11530" s="1" t="s">
        <v>1</v>
      </c>
      <c r="N11530" s="1" t="s">
        <v>38</v>
      </c>
      <c r="O11530" s="1" t="s">
        <v>46</v>
      </c>
    </row>
    <row r="11531" spans="2:15" x14ac:dyDescent="0.3">
      <c r="B11531" s="1" t="s">
        <v>20</v>
      </c>
      <c r="C11531" s="1" t="str">
        <f>"4차"</f>
        <v>4차</v>
      </c>
      <c r="D11531" s="1" t="str">
        <f>"9625B81145"</f>
        <v>9625B81145</v>
      </c>
      <c r="E11531" s="1" t="s">
        <v>10</v>
      </c>
      <c r="F11531" s="1" t="str">
        <f>"10.12.132.117"</f>
        <v>10.12.132.117</v>
      </c>
      <c r="G11531" s="1" t="str">
        <f>"9625B811"</f>
        <v>9625B811</v>
      </c>
      <c r="H11531" s="1" t="str">
        <f>"합정로 18"</f>
        <v>합정로 18</v>
      </c>
      <c r="I11531" s="1" t="s">
        <v>17</v>
      </c>
      <c r="J11531" s="1" t="str">
        <f>"4/5"</f>
        <v>4/5</v>
      </c>
      <c r="K11531" s="1" t="str">
        <f>"2026-07-29 13:18:11"</f>
        <v>2026-07-29 13:18:11</v>
      </c>
      <c r="L11531" s="1" t="str">
        <f>"2025-05-14 18:00:55"</f>
        <v>2025-05-14 18:00:55</v>
      </c>
      <c r="M11531" s="1" t="s">
        <v>0</v>
      </c>
      <c r="N11531" s="1" t="s">
        <v>38</v>
      </c>
      <c r="O11531" s="1" t="s">
        <v>46</v>
      </c>
    </row>
    <row r="11532" spans="2:15" x14ac:dyDescent="0.3">
      <c r="B11532" s="1" t="s">
        <v>20</v>
      </c>
      <c r="C11532" s="1" t="str">
        <f>"1차"</f>
        <v>1차</v>
      </c>
      <c r="D11532" s="1" t="str">
        <f>"9625B81200"</f>
        <v>9625B81200</v>
      </c>
      <c r="E11532" s="1" t="s">
        <v>10</v>
      </c>
      <c r="F11532" s="1" t="str">
        <f>"10.125.128.23"</f>
        <v>10.125.128.23</v>
      </c>
      <c r="G11532" s="1" t="str">
        <f>"9625B812"</f>
        <v>9625B812</v>
      </c>
      <c r="H11532" s="1" t="str">
        <f>"합원간 22"</f>
        <v>합원간 22</v>
      </c>
      <c r="I11532" s="1" t="s">
        <v>8</v>
      </c>
      <c r="J11532" s="1" t="str">
        <f>"28/28"</f>
        <v>28/28</v>
      </c>
      <c r="K11532" s="1" t="str">
        <f t="shared" ref="K11532:K11541" si="576">"2026-07-29 13:18:10"</f>
        <v>2026-07-29 13:18:10</v>
      </c>
      <c r="L11532" s="1" t="str">
        <f>"2014-11-21 13:47:15"</f>
        <v>2014-11-21 13:47:15</v>
      </c>
      <c r="M11532" s="1" t="s">
        <v>45</v>
      </c>
      <c r="N11532" s="1" t="s">
        <v>38</v>
      </c>
      <c r="O11532" s="1" t="s">
        <v>46</v>
      </c>
    </row>
    <row r="11533" spans="2:15" x14ac:dyDescent="0.3">
      <c r="B11533" s="1" t="s">
        <v>20</v>
      </c>
      <c r="C11533" s="1" t="str">
        <f t="shared" ref="C11533:C11538" si="577">"4차"</f>
        <v>4차</v>
      </c>
      <c r="D11533" s="1" t="str">
        <f>"9625B83144"</f>
        <v>9625B83144</v>
      </c>
      <c r="E11533" s="1" t="s">
        <v>10</v>
      </c>
      <c r="F11533" s="1" t="str">
        <f>"10.10.136.58"</f>
        <v>10.10.136.58</v>
      </c>
      <c r="G11533" s="1" t="str">
        <f>"9625B831"</f>
        <v>9625B831</v>
      </c>
      <c r="H11533" s="1" t="str">
        <f>"합원간 27R3"</f>
        <v>합원간 27R3</v>
      </c>
      <c r="I11533" s="1" t="s">
        <v>8</v>
      </c>
      <c r="J11533" s="1" t="str">
        <f>"82/86"</f>
        <v>82/86</v>
      </c>
      <c r="K11533" s="1" t="str">
        <f t="shared" si="576"/>
        <v>2026-07-29 13:18:10</v>
      </c>
      <c r="L11533" s="1" t="str">
        <f>"2020-01-21 16:39:40"</f>
        <v>2020-01-21 16:39:40</v>
      </c>
      <c r="M11533" s="1" t="s">
        <v>1</v>
      </c>
      <c r="N11533" s="1" t="s">
        <v>38</v>
      </c>
      <c r="O11533" s="1" t="s">
        <v>46</v>
      </c>
    </row>
    <row r="11534" spans="2:15" x14ac:dyDescent="0.3">
      <c r="B11534" s="1" t="s">
        <v>20</v>
      </c>
      <c r="C11534" s="1" t="str">
        <f t="shared" si="577"/>
        <v>4차</v>
      </c>
      <c r="D11534" s="1" t="str">
        <f>"9625B85144"</f>
        <v>9625B85144</v>
      </c>
      <c r="E11534" s="1" t="s">
        <v>10</v>
      </c>
      <c r="F11534" s="1" t="str">
        <f>"10.10.133.114"</f>
        <v>10.10.133.114</v>
      </c>
      <c r="G11534" s="1" t="str">
        <f>"9625B851"</f>
        <v>9625B851</v>
      </c>
      <c r="H11534" s="1" t="str">
        <f>"합원간 30R3"</f>
        <v>합원간 30R3</v>
      </c>
      <c r="I11534" s="1" t="s">
        <v>8</v>
      </c>
      <c r="J11534" s="1" t="str">
        <f>"14/24"</f>
        <v>14/24</v>
      </c>
      <c r="K11534" s="1" t="str">
        <f t="shared" si="576"/>
        <v>2026-07-29 13:18:10</v>
      </c>
      <c r="L11534" s="1" t="str">
        <f>"2019-12-11 18:12:54"</f>
        <v>2019-12-11 18:12:54</v>
      </c>
      <c r="M11534" s="1" t="s">
        <v>1</v>
      </c>
      <c r="N11534" s="1" t="s">
        <v>38</v>
      </c>
      <c r="O11534" s="1" t="s">
        <v>46</v>
      </c>
    </row>
    <row r="11535" spans="2:15" x14ac:dyDescent="0.3">
      <c r="B11535" s="1" t="s">
        <v>20</v>
      </c>
      <c r="C11535" s="1" t="str">
        <f t="shared" si="577"/>
        <v>4차</v>
      </c>
      <c r="D11535" s="1" t="str">
        <f>"9625B86244"</f>
        <v>9625B86244</v>
      </c>
      <c r="E11535" s="1" t="s">
        <v>10</v>
      </c>
      <c r="F11535" s="1" t="str">
        <f>"10.10.135.210"</f>
        <v>10.10.135.210</v>
      </c>
      <c r="G11535" s="1" t="str">
        <f>"9625B862"</f>
        <v>9625B862</v>
      </c>
      <c r="H11535" s="1" t="str">
        <f>"합원간 30R12L2"</f>
        <v>합원간 30R12L2</v>
      </c>
      <c r="I11535" s="1" t="s">
        <v>8</v>
      </c>
      <c r="J11535" s="1" t="str">
        <f>"43/43"</f>
        <v>43/43</v>
      </c>
      <c r="K11535" s="1" t="str">
        <f t="shared" si="576"/>
        <v>2026-07-29 13:18:10</v>
      </c>
      <c r="L11535" s="1" t="str">
        <f>"2019-12-17 16:07:55"</f>
        <v>2019-12-17 16:07:55</v>
      </c>
      <c r="M11535" s="1" t="s">
        <v>1</v>
      </c>
      <c r="N11535" s="1" t="s">
        <v>38</v>
      </c>
      <c r="O11535" s="1" t="s">
        <v>46</v>
      </c>
    </row>
    <row r="11536" spans="2:15" x14ac:dyDescent="0.3">
      <c r="B11536" s="1" t="s">
        <v>20</v>
      </c>
      <c r="C11536" s="1" t="str">
        <f t="shared" si="577"/>
        <v>4차</v>
      </c>
      <c r="D11536" s="1" t="str">
        <f>"9625B87144"</f>
        <v>9625B87144</v>
      </c>
      <c r="E11536" s="1" t="s">
        <v>10</v>
      </c>
      <c r="F11536" s="1" t="str">
        <f>"10.10.136.66"</f>
        <v>10.10.136.66</v>
      </c>
      <c r="G11536" s="1" t="str">
        <f>"9625B871"</f>
        <v>9625B871</v>
      </c>
      <c r="H11536" s="1" t="str">
        <f>"합원간 30R11"</f>
        <v>합원간 30R11</v>
      </c>
      <c r="I11536" s="1" t="s">
        <v>8</v>
      </c>
      <c r="J11536" s="1" t="str">
        <f>"21/21"</f>
        <v>21/21</v>
      </c>
      <c r="K11536" s="1" t="str">
        <f t="shared" si="576"/>
        <v>2026-07-29 13:18:10</v>
      </c>
      <c r="L11536" s="1" t="str">
        <f>"2020-01-21 16:40:33"</f>
        <v>2020-01-21 16:40:33</v>
      </c>
      <c r="M11536" s="1" t="s">
        <v>1</v>
      </c>
      <c r="N11536" s="1" t="s">
        <v>38</v>
      </c>
      <c r="O11536" s="1" t="s">
        <v>46</v>
      </c>
    </row>
    <row r="11537" spans="2:15" x14ac:dyDescent="0.3">
      <c r="B11537" s="1" t="s">
        <v>20</v>
      </c>
      <c r="C11537" s="1" t="str">
        <f t="shared" si="577"/>
        <v>4차</v>
      </c>
      <c r="D11537" s="1" t="str">
        <f>"9625B88144"</f>
        <v>9625B88144</v>
      </c>
      <c r="E11537" s="1" t="s">
        <v>10</v>
      </c>
      <c r="F11537" s="1" t="str">
        <f>"10.10.134.66"</f>
        <v>10.10.134.66</v>
      </c>
      <c r="G11537" s="1" t="str">
        <f>"9625B881"</f>
        <v>9625B881</v>
      </c>
      <c r="H11537" s="1" t="str">
        <f>"합원간 30R10R1"</f>
        <v>합원간 30R10R1</v>
      </c>
      <c r="I11537" s="1" t="s">
        <v>8</v>
      </c>
      <c r="J11537" s="1" t="str">
        <f>"55/55"</f>
        <v>55/55</v>
      </c>
      <c r="K11537" s="1" t="str">
        <f t="shared" si="576"/>
        <v>2026-07-29 13:18:10</v>
      </c>
      <c r="L11537" s="1" t="str">
        <f>"2019-12-11 18:06:20"</f>
        <v>2019-12-11 18:06:20</v>
      </c>
      <c r="M11537" s="1" t="s">
        <v>1</v>
      </c>
      <c r="N11537" s="1" t="s">
        <v>38</v>
      </c>
      <c r="O11537" s="1" t="s">
        <v>46</v>
      </c>
    </row>
    <row r="11538" spans="2:15" x14ac:dyDescent="0.3">
      <c r="B11538" s="1" t="s">
        <v>20</v>
      </c>
      <c r="C11538" s="1" t="str">
        <f t="shared" si="577"/>
        <v>4차</v>
      </c>
      <c r="D11538" s="1" t="str">
        <f>"9625B88244"</f>
        <v>9625B88244</v>
      </c>
      <c r="E11538" s="1" t="s">
        <v>10</v>
      </c>
      <c r="F11538" s="1" t="str">
        <f>"10.10.134.90"</f>
        <v>10.10.134.90</v>
      </c>
      <c r="G11538" s="1" t="str">
        <f>"9625B882"</f>
        <v>9625B882</v>
      </c>
      <c r="H11538" s="1" t="str">
        <f>"합원간 30R10R2"</f>
        <v>합원간 30R10R2</v>
      </c>
      <c r="I11538" s="1" t="s">
        <v>8</v>
      </c>
      <c r="J11538" s="1" t="str">
        <f>"18/18"</f>
        <v>18/18</v>
      </c>
      <c r="K11538" s="1" t="str">
        <f t="shared" si="576"/>
        <v>2026-07-29 13:18:10</v>
      </c>
      <c r="L11538" s="1" t="str">
        <f>"2019-12-11 18:09:49"</f>
        <v>2019-12-11 18:09:49</v>
      </c>
      <c r="M11538" s="1" t="s">
        <v>1</v>
      </c>
      <c r="N11538" s="1" t="s">
        <v>38</v>
      </c>
      <c r="O11538" s="1" t="s">
        <v>46</v>
      </c>
    </row>
    <row r="11539" spans="2:15" x14ac:dyDescent="0.3">
      <c r="B11539" s="1" t="s">
        <v>20</v>
      </c>
      <c r="C11539" s="1" t="str">
        <f>"1차"</f>
        <v>1차</v>
      </c>
      <c r="D11539" s="1" t="str">
        <f>"9625B92100"</f>
        <v>9625B92100</v>
      </c>
      <c r="E11539" s="1" t="s">
        <v>10</v>
      </c>
      <c r="F11539" s="1" t="str">
        <f>"10.125.128.26"</f>
        <v>10.125.128.26</v>
      </c>
      <c r="G11539" s="1" t="str">
        <f>"9625B921"</f>
        <v>9625B921</v>
      </c>
      <c r="H11539" s="1" t="str">
        <f>"합원간 23R2"</f>
        <v>합원간 23R2</v>
      </c>
      <c r="I11539" s="1" t="s">
        <v>8</v>
      </c>
      <c r="J11539" s="1" t="str">
        <f>"56/56"</f>
        <v>56/56</v>
      </c>
      <c r="K11539" s="1" t="str">
        <f t="shared" si="576"/>
        <v>2026-07-29 13:18:10</v>
      </c>
      <c r="L11539" s="1" t="str">
        <f>"2014-12-02 14:56:59"</f>
        <v>2014-12-02 14:56:59</v>
      </c>
      <c r="M11539" s="1" t="s">
        <v>45</v>
      </c>
      <c r="N11539" s="1" t="s">
        <v>38</v>
      </c>
      <c r="O11539" s="1" t="s">
        <v>46</v>
      </c>
    </row>
    <row r="11540" spans="2:15" x14ac:dyDescent="0.3">
      <c r="B11540" s="1" t="s">
        <v>20</v>
      </c>
      <c r="C11540" s="1" t="str">
        <f>"1차"</f>
        <v>1차</v>
      </c>
      <c r="D11540" s="1" t="str">
        <f>"9625B92201"</f>
        <v>9625B92201</v>
      </c>
      <c r="E11540" s="1" t="s">
        <v>10</v>
      </c>
      <c r="F11540" s="1" t="str">
        <f>"10.125.128.27"</f>
        <v>10.125.128.27</v>
      </c>
      <c r="G11540" s="1" t="str">
        <f>"9625B922"</f>
        <v>9625B922</v>
      </c>
      <c r="H11540" s="1" t="str">
        <f>"합원간 23R2L1"</f>
        <v>합원간 23R2L1</v>
      </c>
      <c r="I11540" s="1" t="s">
        <v>8</v>
      </c>
      <c r="J11540" s="1" t="str">
        <f>"9/9"</f>
        <v>9/9</v>
      </c>
      <c r="K11540" s="1" t="str">
        <f t="shared" si="576"/>
        <v>2026-07-29 13:18:10</v>
      </c>
      <c r="L11540" s="1" t="str">
        <f>"2014-12-02 14:56:31"</f>
        <v>2014-12-02 14:56:31</v>
      </c>
      <c r="M11540" s="1" t="s">
        <v>45</v>
      </c>
      <c r="N11540" s="1" t="s">
        <v>38</v>
      </c>
      <c r="O11540" s="1" t="s">
        <v>46</v>
      </c>
    </row>
    <row r="11541" spans="2:15" x14ac:dyDescent="0.3">
      <c r="B11541" s="1" t="s">
        <v>20</v>
      </c>
      <c r="C11541" s="1" t="str">
        <f>"4차"</f>
        <v>4차</v>
      </c>
      <c r="D11541" s="1" t="str">
        <f>"9625B93144"</f>
        <v>9625B93144</v>
      </c>
      <c r="E11541" s="1" t="s">
        <v>10</v>
      </c>
      <c r="F11541" s="1" t="str">
        <f>"10.10.133.106"</f>
        <v>10.10.133.106</v>
      </c>
      <c r="G11541" s="1" t="str">
        <f>"9625B931"</f>
        <v>9625B931</v>
      </c>
      <c r="H11541" s="1" t="str">
        <f>"합원간 27R5"</f>
        <v>합원간 27R5</v>
      </c>
      <c r="I11541" s="1" t="s">
        <v>8</v>
      </c>
      <c r="J11541" s="1" t="str">
        <f>"35/35"</f>
        <v>35/35</v>
      </c>
      <c r="K11541" s="1" t="str">
        <f t="shared" si="576"/>
        <v>2026-07-29 13:18:10</v>
      </c>
      <c r="L11541" s="1" t="str">
        <f>"2019-12-11 18:06:49"</f>
        <v>2019-12-11 18:06:49</v>
      </c>
      <c r="M11541" s="1" t="s">
        <v>1</v>
      </c>
      <c r="N11541" s="1" t="s">
        <v>38</v>
      </c>
      <c r="O11541" s="1" t="s">
        <v>46</v>
      </c>
    </row>
    <row r="11542" spans="2:15" x14ac:dyDescent="0.3">
      <c r="B11542" s="1" t="s">
        <v>20</v>
      </c>
      <c r="C11542" s="1" t="str">
        <f>"5-2차"</f>
        <v>5-2차</v>
      </c>
      <c r="D11542" s="1" t="str">
        <f>"9625B9335M"</f>
        <v>9625B9335M</v>
      </c>
      <c r="E11542" s="1" t="s">
        <v>10</v>
      </c>
      <c r="F11542" s="1" t="str">
        <f>"fde1:103:4:5694:0:0:0:2"</f>
        <v>fde1:103:4:5694:0:0:0:2</v>
      </c>
      <c r="G11542" s="1" t="str">
        <f>"9625B933"</f>
        <v>9625B933</v>
      </c>
      <c r="H11542" s="1" t="str">
        <f>"합원간 27R6R1R3"</f>
        <v>합원간 27R6R1R3</v>
      </c>
      <c r="I11542" s="1" t="s">
        <v>15</v>
      </c>
      <c r="J11542" s="1" t="str">
        <f>"39/39"</f>
        <v>39/39</v>
      </c>
      <c r="K11542" s="1" t="str">
        <f>"2026-07-29 14:21:41"</f>
        <v>2026-07-29 14:21:41</v>
      </c>
      <c r="L11542" s="1" t="str">
        <f>"2023-08-10 15:33:38"</f>
        <v>2023-08-10 15:33:38</v>
      </c>
      <c r="M11542" s="1" t="s">
        <v>4</v>
      </c>
      <c r="N11542" s="1" t="s">
        <v>38</v>
      </c>
      <c r="O11542" s="1" t="s">
        <v>46</v>
      </c>
    </row>
    <row r="11543" spans="2:15" x14ac:dyDescent="0.3">
      <c r="B11543" s="1" t="s">
        <v>20</v>
      </c>
      <c r="C11543" s="1" t="str">
        <f>"4차"</f>
        <v>4차</v>
      </c>
      <c r="D11543" s="1" t="str">
        <f>"9625B95244"</f>
        <v>9625B95244</v>
      </c>
      <c r="E11543" s="1" t="s">
        <v>10</v>
      </c>
      <c r="F11543" s="1" t="str">
        <f>"10.10.135.194"</f>
        <v>10.10.135.194</v>
      </c>
      <c r="G11543" s="1" t="str">
        <f>"9625B952"</f>
        <v>9625B952</v>
      </c>
      <c r="H11543" s="1" t="str">
        <f>"합원간 30R4"</f>
        <v>합원간 30R4</v>
      </c>
      <c r="I11543" s="1" t="s">
        <v>8</v>
      </c>
      <c r="J11543" s="1" t="str">
        <f>"63/63"</f>
        <v>63/63</v>
      </c>
      <c r="K11543" s="1" t="str">
        <f>"2026-07-29 13:18:10"</f>
        <v>2026-07-29 13:18:10</v>
      </c>
      <c r="L11543" s="1" t="str">
        <f>"2019-12-11 18:09:24"</f>
        <v>2019-12-11 18:09:24</v>
      </c>
      <c r="M11543" s="1" t="s">
        <v>1</v>
      </c>
      <c r="N11543" s="1" t="s">
        <v>38</v>
      </c>
      <c r="O11543" s="1" t="s">
        <v>46</v>
      </c>
    </row>
    <row r="11544" spans="2:15" x14ac:dyDescent="0.3">
      <c r="B11544" s="1" t="s">
        <v>20</v>
      </c>
      <c r="C11544" s="1" t="str">
        <f>"5-2차"</f>
        <v>5-2차</v>
      </c>
      <c r="D11544" s="1" t="str">
        <f>"9625B9715M"</f>
        <v>9625B9715M</v>
      </c>
      <c r="E11544" s="1" t="s">
        <v>10</v>
      </c>
      <c r="F11544" s="1" t="str">
        <f>"fde3:102:1300:1b00:0:0:0:3"</f>
        <v>fde3:102:1300:1b00:0:0:0:3</v>
      </c>
      <c r="G11544" s="1" t="str">
        <f>"9625B971"</f>
        <v>9625B971</v>
      </c>
      <c r="H11544" s="1" t="str">
        <f>"합원간 30R9"</f>
        <v>합원간 30R9</v>
      </c>
      <c r="I11544" s="1" t="s">
        <v>15</v>
      </c>
      <c r="J11544" s="1" t="str">
        <f>"56/56"</f>
        <v>56/56</v>
      </c>
      <c r="K11544" s="1" t="str">
        <f>"2026-07-29 14:21:31"</f>
        <v>2026-07-29 14:21:31</v>
      </c>
      <c r="L11544" s="1" t="str">
        <f>"2023-09-21 11:03:34"</f>
        <v>2023-09-21 11:03:34</v>
      </c>
      <c r="M11544" s="1" t="s">
        <v>45</v>
      </c>
      <c r="N11544" s="1" t="s">
        <v>38</v>
      </c>
      <c r="O11544" s="1" t="s">
        <v>46</v>
      </c>
    </row>
    <row r="11545" spans="2:15" x14ac:dyDescent="0.3">
      <c r="B11545" s="1" t="s">
        <v>20</v>
      </c>
      <c r="C11545" s="1" t="str">
        <f>"4차"</f>
        <v>4차</v>
      </c>
      <c r="D11545" s="1" t="str">
        <f>"9625B98144"</f>
        <v>9625B98144</v>
      </c>
      <c r="E11545" s="1" t="s">
        <v>10</v>
      </c>
      <c r="F11545" s="1" t="str">
        <f>"10.10.136.74"</f>
        <v>10.10.136.74</v>
      </c>
      <c r="G11545" s="1" t="str">
        <f>"9625B981"</f>
        <v>9625B981</v>
      </c>
      <c r="H11545" s="1" t="str">
        <f>"합원간 30R10"</f>
        <v>합원간 30R10</v>
      </c>
      <c r="I11545" s="1" t="s">
        <v>8</v>
      </c>
      <c r="J11545" s="1" t="str">
        <f>"72/74"</f>
        <v>72/74</v>
      </c>
      <c r="K11545" s="1" t="str">
        <f>"2026-07-29 13:18:10"</f>
        <v>2026-07-29 13:18:10</v>
      </c>
      <c r="L11545" s="1" t="str">
        <f>"2020-01-21 16:41:06"</f>
        <v>2020-01-21 16:41:06</v>
      </c>
      <c r="M11545" s="1" t="s">
        <v>1</v>
      </c>
      <c r="N11545" s="1" t="s">
        <v>38</v>
      </c>
      <c r="O11545" s="1" t="s">
        <v>46</v>
      </c>
    </row>
    <row r="11546" spans="2:15" x14ac:dyDescent="0.3">
      <c r="B11546" s="1" t="s">
        <v>20</v>
      </c>
      <c r="C11546" s="1" t="str">
        <f>"5-2차"</f>
        <v>5-2차</v>
      </c>
      <c r="D11546" s="1" t="str">
        <f>"9625C0515S"</f>
        <v>9625C0515S</v>
      </c>
      <c r="E11546" s="1" t="s">
        <v>10</v>
      </c>
      <c r="F11546" s="1" t="str">
        <f>"fde1:103:4:55a7:0:0:0:2"</f>
        <v>fde1:103:4:55a7:0:0:0:2</v>
      </c>
      <c r="G11546" s="1" t="str">
        <f>"9625C051"</f>
        <v>9625C051</v>
      </c>
      <c r="H11546" s="1" t="str">
        <f>"당수간 74R4"</f>
        <v>당수간 74R4</v>
      </c>
      <c r="I11546" s="1" t="s">
        <v>15</v>
      </c>
      <c r="J11546" s="1" t="str">
        <f>"38/38"</f>
        <v>38/38</v>
      </c>
      <c r="K11546" s="1" t="str">
        <f>"2026-07-29 14:21:32"</f>
        <v>2026-07-29 14:21:32</v>
      </c>
      <c r="L11546" s="1" t="str">
        <f>"2023-08-29 17:03:13"</f>
        <v>2023-08-29 17:03:13</v>
      </c>
      <c r="M11546" s="1" t="s">
        <v>4</v>
      </c>
      <c r="N11546" s="1" t="s">
        <v>38</v>
      </c>
      <c r="O11546" s="1" t="s">
        <v>46</v>
      </c>
    </row>
    <row r="11547" spans="2:15" x14ac:dyDescent="0.3">
      <c r="B11547" s="1" t="s">
        <v>20</v>
      </c>
      <c r="C11547" s="1" t="str">
        <f>"5-2차"</f>
        <v>5-2차</v>
      </c>
      <c r="D11547" s="1" t="str">
        <f>"9625C0715M"</f>
        <v>9625C0715M</v>
      </c>
      <c r="E11547" s="1" t="s">
        <v>10</v>
      </c>
      <c r="F11547" s="1" t="str">
        <f>"fde1:103:4:55a5:0:0:0:2"</f>
        <v>fde1:103:4:55a5:0:0:0:2</v>
      </c>
      <c r="G11547" s="1" t="str">
        <f>"9625C071"</f>
        <v>9625C071</v>
      </c>
      <c r="H11547" s="1" t="str">
        <f>"당수간 63"</f>
        <v>당수간 63</v>
      </c>
      <c r="I11547" s="1" t="s">
        <v>15</v>
      </c>
      <c r="J11547" s="1" t="str">
        <f>"54/54"</f>
        <v>54/54</v>
      </c>
      <c r="K11547" s="1" t="str">
        <f>"2026-07-29 14:21:32"</f>
        <v>2026-07-29 14:21:32</v>
      </c>
      <c r="L11547" s="1" t="str">
        <f>"2023-08-10 15:46:22"</f>
        <v>2023-08-10 15:46:22</v>
      </c>
      <c r="M11547" s="1" t="s">
        <v>4</v>
      </c>
      <c r="N11547" s="1" t="s">
        <v>38</v>
      </c>
      <c r="O11547" s="1" t="s">
        <v>46</v>
      </c>
    </row>
    <row r="11548" spans="2:15" x14ac:dyDescent="0.3">
      <c r="B11548" s="1" t="s">
        <v>20</v>
      </c>
      <c r="C11548" s="1" t="str">
        <f>"5-2차"</f>
        <v>5-2차</v>
      </c>
      <c r="D11548" s="1" t="str">
        <f>"9625C1515S"</f>
        <v>9625C1515S</v>
      </c>
      <c r="E11548" s="1" t="s">
        <v>10</v>
      </c>
      <c r="F11548" s="1" t="str">
        <f>"fde1:103:4:5643:0:0:0:2"</f>
        <v>fde1:103:4:5643:0:0:0:2</v>
      </c>
      <c r="G11548" s="1" t="str">
        <f>"9625C151"</f>
        <v>9625C151</v>
      </c>
      <c r="H11548" s="1" t="str">
        <f>"당수간 74R2R1"</f>
        <v>당수간 74R2R1</v>
      </c>
      <c r="I11548" s="1" t="s">
        <v>15</v>
      </c>
      <c r="J11548" s="1" t="str">
        <f>"125/125"</f>
        <v>125/125</v>
      </c>
      <c r="K11548" s="1" t="str">
        <f>"2026-07-29 14:21:32"</f>
        <v>2026-07-29 14:21:32</v>
      </c>
      <c r="L11548" s="1" t="str">
        <f>"2023-08-29 17:13:26"</f>
        <v>2023-08-29 17:13:26</v>
      </c>
      <c r="M11548" s="1" t="s">
        <v>4</v>
      </c>
      <c r="N11548" s="1" t="s">
        <v>38</v>
      </c>
      <c r="O11548" s="1" t="s">
        <v>46</v>
      </c>
    </row>
    <row r="11549" spans="2:15" x14ac:dyDescent="0.3">
      <c r="B11549" s="1" t="s">
        <v>20</v>
      </c>
      <c r="C11549" s="1" t="str">
        <f>"6차"</f>
        <v>6차</v>
      </c>
      <c r="D11549" s="1" t="str">
        <f>"9625C1526S"</f>
        <v>9625C1526S</v>
      </c>
      <c r="E11549" s="1" t="s">
        <v>10</v>
      </c>
      <c r="F11549" s="1" t="str">
        <f>"fde1:103:4:c6f2:0:0:0:2"</f>
        <v>fde1:103:4:c6f2:0:0:0:2</v>
      </c>
      <c r="G11549" s="1" t="str">
        <f>"9625C152"</f>
        <v>9625C152</v>
      </c>
      <c r="H11549" s="1" t="str">
        <f>"당수간 74R3"</f>
        <v>당수간 74R3</v>
      </c>
      <c r="I11549" s="1" t="s">
        <v>15</v>
      </c>
      <c r="J11549" s="1" t="str">
        <f>"36/36"</f>
        <v>36/36</v>
      </c>
      <c r="K11549" s="1" t="str">
        <f>"2026-07-29 14:21:32"</f>
        <v>2026-07-29 14:21:32</v>
      </c>
      <c r="L11549" s="1" t="str">
        <f>"2024-11-08 14:03:45"</f>
        <v>2024-11-08 14:03:45</v>
      </c>
      <c r="M11549" s="1" t="s">
        <v>4</v>
      </c>
      <c r="N11549" s="1" t="s">
        <v>38</v>
      </c>
      <c r="O11549" s="1" t="s">
        <v>46</v>
      </c>
    </row>
    <row r="11550" spans="2:15" x14ac:dyDescent="0.3">
      <c r="B11550" s="1" t="s">
        <v>20</v>
      </c>
      <c r="C11550" s="1" t="str">
        <f>"6차"</f>
        <v>6차</v>
      </c>
      <c r="D11550" s="1" t="str">
        <f>"9625C2316S"</f>
        <v>9625C2316S</v>
      </c>
      <c r="E11550" s="1" t="s">
        <v>10</v>
      </c>
      <c r="F11550" s="1" t="str">
        <f>"fde1:103:4:91bf:0:0:0:2"</f>
        <v>fde1:103:4:91bf:0:0:0:2</v>
      </c>
      <c r="G11550" s="1" t="str">
        <f>"9625C231"</f>
        <v>9625C231</v>
      </c>
      <c r="H11550" s="1" t="str">
        <f>"당수간 74"</f>
        <v>당수간 74</v>
      </c>
      <c r="I11550" s="1" t="s">
        <v>15</v>
      </c>
      <c r="J11550" s="1" t="str">
        <f>"31/32"</f>
        <v>31/32</v>
      </c>
      <c r="K11550" s="1" t="str">
        <f>"2026-07-29 14:21:33"</f>
        <v>2026-07-29 14:21:33</v>
      </c>
      <c r="L11550" s="1" t="str">
        <f>"2025-02-24 13:21:20"</f>
        <v>2025-02-24 13:21:20</v>
      </c>
      <c r="M11550" s="1" t="s">
        <v>4</v>
      </c>
      <c r="N11550" s="1" t="s">
        <v>38</v>
      </c>
      <c r="O11550" s="1" t="s">
        <v>46</v>
      </c>
    </row>
    <row r="11551" spans="2:15" x14ac:dyDescent="0.3">
      <c r="B11551" s="1" t="s">
        <v>20</v>
      </c>
      <c r="C11551" s="1" t="str">
        <f>"5-2차"</f>
        <v>5-2차</v>
      </c>
      <c r="D11551" s="1" t="str">
        <f>"9625C2645M"</f>
        <v>9625C2645M</v>
      </c>
      <c r="E11551" s="1" t="s">
        <v>10</v>
      </c>
      <c r="F11551" s="1" t="str">
        <f>"fde1:103:4:5662:0:0:0:2"</f>
        <v>fde1:103:4:5662:0:0:0:2</v>
      </c>
      <c r="G11551" s="1" t="str">
        <f>"9625C264"</f>
        <v>9625C264</v>
      </c>
      <c r="H11551" s="1" t="str">
        <f>"당수간 67"</f>
        <v>당수간 67</v>
      </c>
      <c r="I11551" s="1" t="s">
        <v>15</v>
      </c>
      <c r="J11551" s="1" t="str">
        <f>"47/47"</f>
        <v>47/47</v>
      </c>
      <c r="K11551" s="1" t="str">
        <f>"2026-07-29 14:21:06"</f>
        <v>2026-07-29 14:21:06</v>
      </c>
      <c r="L11551" s="1" t="str">
        <f>"2023-08-10 16:00:48"</f>
        <v>2023-08-10 16:00:48</v>
      </c>
      <c r="M11551" s="1" t="s">
        <v>4</v>
      </c>
      <c r="N11551" s="1" t="s">
        <v>38</v>
      </c>
      <c r="O11551" s="1" t="s">
        <v>46</v>
      </c>
    </row>
    <row r="11552" spans="2:15" x14ac:dyDescent="0.3">
      <c r="B11552" s="1" t="s">
        <v>20</v>
      </c>
      <c r="C11552" s="1" t="str">
        <f>"5-2차"</f>
        <v>5-2차</v>
      </c>
      <c r="D11552" s="1" t="str">
        <f>"9625C2715M"</f>
        <v>9625C2715M</v>
      </c>
      <c r="E11552" s="1" t="s">
        <v>10</v>
      </c>
      <c r="F11552" s="1" t="str">
        <f>"fde1:103:4:5640:0:0:0:2"</f>
        <v>fde1:103:4:5640:0:0:0:2</v>
      </c>
      <c r="G11552" s="1" t="str">
        <f>"9625C271"</f>
        <v>9625C271</v>
      </c>
      <c r="H11552" s="1" t="str">
        <f>"당수간 47L3R11"</f>
        <v>당수간 47L3R11</v>
      </c>
      <c r="I11552" s="1" t="s">
        <v>15</v>
      </c>
      <c r="J11552" s="1" t="str">
        <f>"24/24"</f>
        <v>24/24</v>
      </c>
      <c r="K11552" s="1" t="str">
        <f>"2026-07-29 14:21:33"</f>
        <v>2026-07-29 14:21:33</v>
      </c>
      <c r="L11552" s="1" t="str">
        <f>"2023-08-10 16:15:24"</f>
        <v>2023-08-10 16:15:24</v>
      </c>
      <c r="M11552" s="1" t="s">
        <v>4</v>
      </c>
      <c r="N11552" s="1" t="s">
        <v>38</v>
      </c>
      <c r="O11552" s="1" t="s">
        <v>46</v>
      </c>
    </row>
    <row r="11553" spans="2:15" x14ac:dyDescent="0.3">
      <c r="B11553" s="1" t="s">
        <v>20</v>
      </c>
      <c r="C11553" s="1" t="str">
        <f>"6차"</f>
        <v>6차</v>
      </c>
      <c r="D11553" s="1" t="str">
        <f>"9625C2916S"</f>
        <v>9625C2916S</v>
      </c>
      <c r="E11553" s="1" t="s">
        <v>10</v>
      </c>
      <c r="F11553" s="1" t="str">
        <f>"fde1:103:4:c5d4:0:0:0:2"</f>
        <v>fde1:103:4:c5d4:0:0:0:2</v>
      </c>
      <c r="G11553" s="1" t="str">
        <f>"9625C291"</f>
        <v>9625C291</v>
      </c>
      <c r="H11553" s="1" t="str">
        <f>"당수간 62R7AR1"</f>
        <v>당수간 62R7AR1</v>
      </c>
      <c r="I11553" s="1" t="s">
        <v>15</v>
      </c>
      <c r="J11553" s="1" t="str">
        <f>"54/57"</f>
        <v>54/57</v>
      </c>
      <c r="K11553" s="1" t="str">
        <f>"2026-07-29 14:21:32"</f>
        <v>2026-07-29 14:21:32</v>
      </c>
      <c r="L11553" s="1" t="str">
        <f>"2024-11-21 11:23:13"</f>
        <v>2024-11-21 11:23:13</v>
      </c>
      <c r="M11553" s="1" t="s">
        <v>4</v>
      </c>
      <c r="N11553" s="1" t="s">
        <v>38</v>
      </c>
      <c r="O11553" s="1" t="s">
        <v>46</v>
      </c>
    </row>
    <row r="11554" spans="2:15" x14ac:dyDescent="0.3">
      <c r="B11554" s="1" t="s">
        <v>20</v>
      </c>
      <c r="C11554" s="1" t="str">
        <f>"5-2차"</f>
        <v>5-2차</v>
      </c>
      <c r="D11554" s="1" t="str">
        <f>"9625C3145M"</f>
        <v>9625C3145M</v>
      </c>
      <c r="E11554" s="1" t="s">
        <v>10</v>
      </c>
      <c r="F11554" s="1" t="str">
        <f>"fde1:103:4:556e:0:0:0:2"</f>
        <v>fde1:103:4:556e:0:0:0:2</v>
      </c>
      <c r="G11554" s="1" t="str">
        <f>"9625C314"</f>
        <v>9625C314</v>
      </c>
      <c r="H11554" s="1" t="str">
        <f>"당수간 6L3R2"</f>
        <v>당수간 6L3R2</v>
      </c>
      <c r="I11554" s="1" t="s">
        <v>15</v>
      </c>
      <c r="J11554" s="1" t="str">
        <f>"49/49"</f>
        <v>49/49</v>
      </c>
      <c r="K11554" s="1" t="str">
        <f>"2026-07-29 14:21:32"</f>
        <v>2026-07-29 14:21:32</v>
      </c>
      <c r="L11554" s="1" t="str">
        <f>"2023-08-10 16:04:16"</f>
        <v>2023-08-10 16:04:16</v>
      </c>
      <c r="M11554" s="1" t="s">
        <v>4</v>
      </c>
      <c r="N11554" s="1" t="s">
        <v>38</v>
      </c>
      <c r="O11554" s="1" t="s">
        <v>46</v>
      </c>
    </row>
    <row r="11555" spans="2:15" x14ac:dyDescent="0.3">
      <c r="B11555" s="1" t="s">
        <v>20</v>
      </c>
      <c r="C11555" s="1" t="str">
        <f>"6차"</f>
        <v>6차</v>
      </c>
      <c r="D11555" s="1" t="str">
        <f>"9625C3216S"</f>
        <v>9625C3216S</v>
      </c>
      <c r="E11555" s="1" t="s">
        <v>10</v>
      </c>
      <c r="F11555" s="1" t="str">
        <f>"fde1:103:4:c810:0:0:0:2"</f>
        <v>fde1:103:4:c810:0:0:0:2</v>
      </c>
      <c r="G11555" s="1" t="str">
        <f>"9625C321"</f>
        <v>9625C321</v>
      </c>
      <c r="H11555" s="1" t="str">
        <f>"당수간 10AL2L3"</f>
        <v>당수간 10AL2L3</v>
      </c>
      <c r="I11555" s="1" t="s">
        <v>15</v>
      </c>
      <c r="J11555" s="1" t="str">
        <f>"77/80"</f>
        <v>77/80</v>
      </c>
      <c r="K11555" s="1" t="str">
        <f>"2026-07-29 08:20:28"</f>
        <v>2026-07-29 08:20:28</v>
      </c>
      <c r="L11555" s="1" t="str">
        <f>"2024-12-10 07:54:31"</f>
        <v>2024-12-10 07:54:31</v>
      </c>
      <c r="M11555" s="1" t="s">
        <v>4</v>
      </c>
      <c r="N11555" s="1" t="s">
        <v>38</v>
      </c>
      <c r="O11555" s="1" t="s">
        <v>46</v>
      </c>
    </row>
    <row r="11556" spans="2:15" x14ac:dyDescent="0.3">
      <c r="B11556" s="1" t="s">
        <v>20</v>
      </c>
      <c r="C11556" s="1" t="str">
        <f>"5-2차"</f>
        <v>5-2차</v>
      </c>
      <c r="D11556" s="1" t="str">
        <f>"9625C3315M"</f>
        <v>9625C3315M</v>
      </c>
      <c r="E11556" s="1" t="s">
        <v>10</v>
      </c>
      <c r="F11556" s="1" t="str">
        <f>"fde1:103:4:5660:0:0:0:2"</f>
        <v>fde1:103:4:5660:0:0:0:2</v>
      </c>
      <c r="G11556" s="1" t="str">
        <f>"9625C331"</f>
        <v>9625C331</v>
      </c>
      <c r="H11556" s="1" t="str">
        <f>"당수간 74L2"</f>
        <v>당수간 74L2</v>
      </c>
      <c r="I11556" s="1" t="s">
        <v>15</v>
      </c>
      <c r="J11556" s="1" t="str">
        <f>"85/85"</f>
        <v>85/85</v>
      </c>
      <c r="K11556" s="1" t="str">
        <f>"2026-07-29 14:21:39"</f>
        <v>2026-07-29 14:21:39</v>
      </c>
      <c r="L11556" s="1" t="str">
        <f>"2023-08-10 16:24:59"</f>
        <v>2023-08-10 16:24:59</v>
      </c>
      <c r="M11556" s="1" t="s">
        <v>4</v>
      </c>
      <c r="N11556" s="1" t="s">
        <v>38</v>
      </c>
      <c r="O11556" s="1" t="s">
        <v>46</v>
      </c>
    </row>
    <row r="11557" spans="2:15" x14ac:dyDescent="0.3">
      <c r="B11557" s="1" t="s">
        <v>20</v>
      </c>
      <c r="C11557" s="1" t="str">
        <f>"5-2차"</f>
        <v>5-2차</v>
      </c>
      <c r="D11557" s="1" t="str">
        <f>"9625C3735M"</f>
        <v>9625C3735M</v>
      </c>
      <c r="E11557" s="1" t="s">
        <v>10</v>
      </c>
      <c r="F11557" s="1" t="str">
        <f>"fde1:103:4:556a:0:0:0:2"</f>
        <v>fde1:103:4:556a:0:0:0:2</v>
      </c>
      <c r="G11557" s="1" t="str">
        <f>"9625C373"</f>
        <v>9625C373</v>
      </c>
      <c r="H11557" s="1" t="str">
        <f>"당수간 47L3R9L1"</f>
        <v>당수간 47L3R9L1</v>
      </c>
      <c r="I11557" s="1" t="s">
        <v>15</v>
      </c>
      <c r="J11557" s="1" t="str">
        <f>"120/120"</f>
        <v>120/120</v>
      </c>
      <c r="K11557" s="1" t="str">
        <f>"2026-07-29 14:21:36"</f>
        <v>2026-07-29 14:21:36</v>
      </c>
      <c r="L11557" s="1" t="str">
        <f>"2023-08-10 16:26:18"</f>
        <v>2023-08-10 16:26:18</v>
      </c>
      <c r="M11557" s="1" t="s">
        <v>4</v>
      </c>
      <c r="N11557" s="1" t="s">
        <v>38</v>
      </c>
      <c r="O11557" s="1" t="s">
        <v>46</v>
      </c>
    </row>
    <row r="11558" spans="2:15" x14ac:dyDescent="0.3">
      <c r="B11558" s="1" t="s">
        <v>20</v>
      </c>
      <c r="C11558" s="1" t="str">
        <f>"6차"</f>
        <v>6차</v>
      </c>
      <c r="D11558" s="1" t="str">
        <f>"9625C4316S"</f>
        <v>9625C4316S</v>
      </c>
      <c r="E11558" s="1" t="s">
        <v>10</v>
      </c>
      <c r="F11558" s="1" t="str">
        <f>"fde3:102:1300:6902:0:0:0:2"</f>
        <v>fde3:102:1300:6902:0:0:0:2</v>
      </c>
      <c r="G11558" s="1" t="str">
        <f>"9625C431"</f>
        <v>9625C431</v>
      </c>
      <c r="H11558" s="1" t="str">
        <f>"당수간 10AL2L2"</f>
        <v>당수간 10AL2L2</v>
      </c>
      <c r="I11558" s="1" t="s">
        <v>15</v>
      </c>
      <c r="J11558" s="1" t="str">
        <f>"74/74"</f>
        <v>74/74</v>
      </c>
      <c r="K11558" s="1" t="str">
        <f>"2026-07-29 14:21:32"</f>
        <v>2026-07-29 14:21:32</v>
      </c>
      <c r="L11558" s="1" t="str">
        <f>"2024-11-26 13:27:29"</f>
        <v>2024-11-26 13:27:29</v>
      </c>
      <c r="M11558" s="1" t="s">
        <v>45</v>
      </c>
      <c r="N11558" s="1" t="s">
        <v>38</v>
      </c>
      <c r="O11558" s="1" t="s">
        <v>46</v>
      </c>
    </row>
    <row r="11559" spans="2:15" x14ac:dyDescent="0.3">
      <c r="B11559" s="1" t="s">
        <v>20</v>
      </c>
      <c r="C11559" s="1" t="str">
        <f>"6차"</f>
        <v>6차</v>
      </c>
      <c r="D11559" s="1" t="str">
        <f>"9625C4326S"</f>
        <v>9625C4326S</v>
      </c>
      <c r="E11559" s="1" t="s">
        <v>10</v>
      </c>
      <c r="F11559" s="1" t="str">
        <f>"fde1:103:4:c73c:0:0:0:2"</f>
        <v>fde1:103:4:c73c:0:0:0:2</v>
      </c>
      <c r="G11559" s="1" t="str">
        <f>"9625C432"</f>
        <v>9625C432</v>
      </c>
      <c r="H11559" s="1" t="str">
        <f>"당수간 10AL2L2R1"</f>
        <v>당수간 10AL2L2R1</v>
      </c>
      <c r="I11559" s="1" t="s">
        <v>15</v>
      </c>
      <c r="J11559" s="1" t="str">
        <f>"44/46"</f>
        <v>44/46</v>
      </c>
      <c r="K11559" s="1" t="str">
        <f>"2026-07-29 14:21:04"</f>
        <v>2026-07-29 14:21:04</v>
      </c>
      <c r="L11559" s="1" t="str">
        <f>"2024-12-11 15:53:25"</f>
        <v>2024-12-11 15:53:25</v>
      </c>
      <c r="M11559" s="1" t="s">
        <v>4</v>
      </c>
      <c r="N11559" s="1" t="s">
        <v>38</v>
      </c>
      <c r="O11559" s="1" t="s">
        <v>46</v>
      </c>
    </row>
    <row r="11560" spans="2:15" x14ac:dyDescent="0.3">
      <c r="B11560" s="1" t="s">
        <v>20</v>
      </c>
      <c r="C11560" s="1" t="str">
        <f>"4차"</f>
        <v>4차</v>
      </c>
      <c r="D11560" s="1" t="str">
        <f>"9625C44421"</f>
        <v>9625C44421</v>
      </c>
      <c r="E11560" s="1" t="s">
        <v>10</v>
      </c>
      <c r="F11560" s="1" t="str">
        <f>"10.26.67.99"</f>
        <v>10.26.67.99</v>
      </c>
      <c r="G11560" s="1" t="str">
        <f>"9625C444"</f>
        <v>9625C444</v>
      </c>
      <c r="H11560" s="1" t="str">
        <f>"당수간 15L10"</f>
        <v>당수간 15L10</v>
      </c>
      <c r="I11560" s="1" t="s">
        <v>8</v>
      </c>
      <c r="J11560" s="1" t="str">
        <f>"20/20"</f>
        <v>20/20</v>
      </c>
      <c r="K11560" s="1" t="str">
        <f>"2026-07-29 13:18:10"</f>
        <v>2026-07-29 13:18:10</v>
      </c>
      <c r="L11560" s="1" t="str">
        <f>"2017-07-03 16:30:12"</f>
        <v>2017-07-03 16:30:12</v>
      </c>
      <c r="M11560" s="1" t="s">
        <v>45</v>
      </c>
      <c r="N11560" s="1" t="s">
        <v>38</v>
      </c>
      <c r="O11560" s="1" t="s">
        <v>46</v>
      </c>
    </row>
    <row r="11561" spans="2:15" x14ac:dyDescent="0.3">
      <c r="B11561" s="1" t="s">
        <v>20</v>
      </c>
      <c r="C11561" s="1" t="str">
        <f>"5-2차"</f>
        <v>5-2차</v>
      </c>
      <c r="D11561" s="1" t="str">
        <f>"9625C4615S"</f>
        <v>9625C4615S</v>
      </c>
      <c r="E11561" s="1" t="s">
        <v>10</v>
      </c>
      <c r="F11561" s="1" t="str">
        <f>"fde1:103:4:55d5:0:0:0:2"</f>
        <v>fde1:103:4:55d5:0:0:0:2</v>
      </c>
      <c r="G11561" s="1" t="str">
        <f>"9625C461"</f>
        <v>9625C461</v>
      </c>
      <c r="H11561" s="1" t="str">
        <f>"당수간 47L3R9L2"</f>
        <v>당수간 47L3R9L2</v>
      </c>
      <c r="I11561" s="1" t="s">
        <v>15</v>
      </c>
      <c r="J11561" s="1" t="str">
        <f>"42/42"</f>
        <v>42/42</v>
      </c>
      <c r="K11561" s="1" t="str">
        <f>"2026-07-29 14:21:33"</f>
        <v>2026-07-29 14:21:33</v>
      </c>
      <c r="L11561" s="1" t="str">
        <f>"2023-08-29 17:22:29"</f>
        <v>2023-08-29 17:22:29</v>
      </c>
      <c r="M11561" s="1" t="s">
        <v>4</v>
      </c>
      <c r="N11561" s="1" t="s">
        <v>38</v>
      </c>
      <c r="O11561" s="1" t="s">
        <v>46</v>
      </c>
    </row>
    <row r="11562" spans="2:15" x14ac:dyDescent="0.3">
      <c r="B11562" s="1" t="s">
        <v>20</v>
      </c>
      <c r="C11562" s="1" t="str">
        <f>"5-2차"</f>
        <v>5-2차</v>
      </c>
      <c r="D11562" s="1" t="str">
        <f>"9625C5325M"</f>
        <v>9625C5325M</v>
      </c>
      <c r="E11562" s="1" t="s">
        <v>10</v>
      </c>
      <c r="F11562" s="1" t="str">
        <f>"fde1:103:4:556c:0:0:0:2"</f>
        <v>fde1:103:4:556c:0:0:0:2</v>
      </c>
      <c r="G11562" s="1" t="str">
        <f>"9625C532"</f>
        <v>9625C532</v>
      </c>
      <c r="H11562" s="1" t="str">
        <f>"당수간 10AL2L1"</f>
        <v>당수간 10AL2L1</v>
      </c>
      <c r="I11562" s="1" t="s">
        <v>15</v>
      </c>
      <c r="J11562" s="1" t="str">
        <f>"43/43"</f>
        <v>43/43</v>
      </c>
      <c r="K11562" s="1" t="str">
        <f>"2026-07-29 14:21:33"</f>
        <v>2026-07-29 14:21:33</v>
      </c>
      <c r="L11562" s="1" t="str">
        <f>"2023-08-10 16:28:07"</f>
        <v>2023-08-10 16:28:07</v>
      </c>
      <c r="M11562" s="1" t="s">
        <v>4</v>
      </c>
      <c r="N11562" s="1" t="s">
        <v>38</v>
      </c>
      <c r="O11562" s="1" t="s">
        <v>46</v>
      </c>
    </row>
    <row r="11563" spans="2:15" x14ac:dyDescent="0.3">
      <c r="B11563" s="1" t="s">
        <v>20</v>
      </c>
      <c r="C11563" s="1" t="str">
        <f>"2차"</f>
        <v>2차</v>
      </c>
      <c r="D11563" s="1" t="str">
        <f>"9625C53322"</f>
        <v>9625C53322</v>
      </c>
      <c r="E11563" s="1" t="s">
        <v>10</v>
      </c>
      <c r="F11563" s="1" t="str">
        <f>"10.26.67.100"</f>
        <v>10.26.67.100</v>
      </c>
      <c r="G11563" s="1" t="str">
        <f>"9625C533"</f>
        <v>9625C533</v>
      </c>
      <c r="H11563" s="1" t="str">
        <f>"당수간 15L8"</f>
        <v>당수간 15L8</v>
      </c>
      <c r="I11563" s="1" t="s">
        <v>8</v>
      </c>
      <c r="J11563" s="1" t="str">
        <f>"28/28"</f>
        <v>28/28</v>
      </c>
      <c r="K11563" s="1" t="str">
        <f>"2026-07-29 13:18:10"</f>
        <v>2026-07-29 13:18:10</v>
      </c>
      <c r="L11563" s="1" t="str">
        <f>"2017-07-03 16:36:42"</f>
        <v>2017-07-03 16:36:42</v>
      </c>
      <c r="M11563" s="1" t="s">
        <v>45</v>
      </c>
      <c r="N11563" s="1" t="s">
        <v>38</v>
      </c>
      <c r="O11563" s="1" t="s">
        <v>46</v>
      </c>
    </row>
    <row r="11564" spans="2:15" x14ac:dyDescent="0.3">
      <c r="B11564" s="1" t="s">
        <v>20</v>
      </c>
      <c r="C11564" s="1" t="str">
        <f>"2차"</f>
        <v>2차</v>
      </c>
      <c r="D11564" s="1" t="str">
        <f>"9625C54120"</f>
        <v>9625C54120</v>
      </c>
      <c r="E11564" s="1" t="s">
        <v>10</v>
      </c>
      <c r="F11564" s="1" t="str">
        <f>"10.26.67.98"</f>
        <v>10.26.67.98</v>
      </c>
      <c r="G11564" s="1" t="str">
        <f>"9625C541"</f>
        <v>9625C541</v>
      </c>
      <c r="H11564" s="1" t="str">
        <f>"당수간 15L9"</f>
        <v>당수간 15L9</v>
      </c>
      <c r="I11564" s="1" t="s">
        <v>8</v>
      </c>
      <c r="J11564" s="1" t="str">
        <f>"19/19"</f>
        <v>19/19</v>
      </c>
      <c r="K11564" s="1" t="str">
        <f>"2026-07-29 13:18:10"</f>
        <v>2026-07-29 13:18:10</v>
      </c>
      <c r="L11564" s="1" t="str">
        <f>"2017-06-29 14:08:54"</f>
        <v>2017-06-29 14:08:54</v>
      </c>
      <c r="M11564" s="1" t="s">
        <v>45</v>
      </c>
      <c r="N11564" s="1" t="s">
        <v>38</v>
      </c>
      <c r="O11564" s="1" t="s">
        <v>46</v>
      </c>
    </row>
    <row r="11565" spans="2:15" x14ac:dyDescent="0.3">
      <c r="B11565" s="1" t="s">
        <v>20</v>
      </c>
      <c r="C11565" s="1" t="str">
        <f>"5-2차"</f>
        <v>5-2차</v>
      </c>
      <c r="D11565" s="1" t="str">
        <f>"9625C5515S"</f>
        <v>9625C5515S</v>
      </c>
      <c r="E11565" s="1" t="s">
        <v>10</v>
      </c>
      <c r="F11565" s="1" t="str">
        <f>"fde1:103:4:56ad:0:0:0:2"</f>
        <v>fde1:103:4:56ad:0:0:0:2</v>
      </c>
      <c r="G11565" s="1" t="str">
        <f>"9625C551"</f>
        <v>9625C551</v>
      </c>
      <c r="H11565" s="1" t="str">
        <f>"당수간 47L3R9L3"</f>
        <v>당수간 47L3R9L3</v>
      </c>
      <c r="I11565" s="1" t="s">
        <v>15</v>
      </c>
      <c r="J11565" s="1" t="str">
        <f>"48/48"</f>
        <v>48/48</v>
      </c>
      <c r="K11565" s="1" t="str">
        <f>"2026-07-29 14:21:33"</f>
        <v>2026-07-29 14:21:33</v>
      </c>
      <c r="L11565" s="1" t="str">
        <f>"2023-08-29 17:33:53"</f>
        <v>2023-08-29 17:33:53</v>
      </c>
      <c r="M11565" s="1" t="s">
        <v>4</v>
      </c>
      <c r="N11565" s="1" t="s">
        <v>38</v>
      </c>
      <c r="O11565" s="1" t="s">
        <v>46</v>
      </c>
    </row>
    <row r="11566" spans="2:15" x14ac:dyDescent="0.3">
      <c r="B11566" s="1" t="s">
        <v>20</v>
      </c>
      <c r="C11566" s="1" t="str">
        <f>"6차"</f>
        <v>6차</v>
      </c>
      <c r="D11566" s="1" t="str">
        <f>"9625C5616S"</f>
        <v>9625C5616S</v>
      </c>
      <c r="E11566" s="1" t="s">
        <v>10</v>
      </c>
      <c r="F11566" s="1" t="str">
        <f>"fde1:103:4:c5e7:0:0:0:2"</f>
        <v>fde1:103:4:c5e7:0:0:0:2</v>
      </c>
      <c r="G11566" s="1" t="str">
        <f>"9625C561"</f>
        <v>9625C561</v>
      </c>
      <c r="H11566" s="1" t="str">
        <f>"당수간 47L3R7L3"</f>
        <v>당수간 47L3R7L3</v>
      </c>
      <c r="I11566" s="1" t="s">
        <v>15</v>
      </c>
      <c r="J11566" s="1" t="str">
        <f>"118/125"</f>
        <v>118/125</v>
      </c>
      <c r="K11566" s="1" t="str">
        <f>"2026-07-29 14:21:06"</f>
        <v>2026-07-29 14:21:06</v>
      </c>
      <c r="L11566" s="1" t="str">
        <f>"2024-11-04 15:35:02"</f>
        <v>2024-11-04 15:35:02</v>
      </c>
      <c r="M11566" s="1" t="s">
        <v>4</v>
      </c>
      <c r="N11566" s="1" t="s">
        <v>38</v>
      </c>
      <c r="O11566" s="1" t="s">
        <v>46</v>
      </c>
    </row>
    <row r="11567" spans="2:15" x14ac:dyDescent="0.3">
      <c r="B11567" s="1" t="s">
        <v>20</v>
      </c>
      <c r="C11567" s="1" t="str">
        <f>"5-2차"</f>
        <v>5-2차</v>
      </c>
      <c r="D11567" s="1" t="str">
        <f>"9625C5625M"</f>
        <v>9625C5625M</v>
      </c>
      <c r="E11567" s="1" t="s">
        <v>10</v>
      </c>
      <c r="F11567" s="1" t="str">
        <f>"fde1:103:4:5577:0:0:0:2"</f>
        <v>fde1:103:4:5577:0:0:0:2</v>
      </c>
      <c r="G11567" s="1" t="str">
        <f>"9625C562"</f>
        <v>9625C562</v>
      </c>
      <c r="H11567" s="1" t="str">
        <f>"당수간 47L3R7L2"</f>
        <v>당수간 47L3R7L2</v>
      </c>
      <c r="I11567" s="1" t="s">
        <v>15</v>
      </c>
      <c r="J11567" s="1" t="str">
        <f>"55/55"</f>
        <v>55/55</v>
      </c>
      <c r="K11567" s="1" t="str">
        <f>"2026-07-29 14:21:02"</f>
        <v>2026-07-29 14:21:02</v>
      </c>
      <c r="L11567" s="1" t="str">
        <f>"2023-08-10 16:42:46"</f>
        <v>2023-08-10 16:42:46</v>
      </c>
      <c r="M11567" s="1" t="s">
        <v>4</v>
      </c>
      <c r="N11567" s="1" t="s">
        <v>38</v>
      </c>
      <c r="O11567" s="1" t="s">
        <v>46</v>
      </c>
    </row>
    <row r="11568" spans="2:15" x14ac:dyDescent="0.3">
      <c r="B11568" s="1" t="s">
        <v>20</v>
      </c>
      <c r="C11568" s="1" t="str">
        <f>"5-2차"</f>
        <v>5-2차</v>
      </c>
      <c r="D11568" s="1" t="str">
        <f>"9625C5825M"</f>
        <v>9625C5825M</v>
      </c>
      <c r="E11568" s="1" t="s">
        <v>10</v>
      </c>
      <c r="F11568" s="1" t="str">
        <f>"fde1:103:4:555b:0:0:0:2"</f>
        <v>fde1:103:4:555b:0:0:0:2</v>
      </c>
      <c r="G11568" s="1" t="str">
        <f>"9625C582"</f>
        <v>9625C582</v>
      </c>
      <c r="H11568" s="1" t="str">
        <f>"당수간 54L1R2"</f>
        <v>당수간 54L1R2</v>
      </c>
      <c r="I11568" s="1" t="s">
        <v>15</v>
      </c>
      <c r="J11568" s="1" t="str">
        <f>"59/59"</f>
        <v>59/59</v>
      </c>
      <c r="K11568" s="1" t="str">
        <f>"2026-07-29 14:20:33"</f>
        <v>2026-07-29 14:20:33</v>
      </c>
      <c r="L11568" s="1" t="str">
        <f>"2023-08-10 16:44:40"</f>
        <v>2023-08-10 16:44:40</v>
      </c>
      <c r="M11568" s="1" t="s">
        <v>4</v>
      </c>
      <c r="N11568" s="1" t="s">
        <v>38</v>
      </c>
      <c r="O11568" s="1" t="s">
        <v>46</v>
      </c>
    </row>
    <row r="11569" spans="2:15" x14ac:dyDescent="0.3">
      <c r="B11569" s="1" t="s">
        <v>20</v>
      </c>
      <c r="C11569" s="1" t="str">
        <f>"5-2차"</f>
        <v>5-2차</v>
      </c>
      <c r="D11569" s="1" t="str">
        <f>"9625C5915M"</f>
        <v>9625C5915M</v>
      </c>
      <c r="E11569" s="1" t="s">
        <v>10</v>
      </c>
      <c r="F11569" s="1" t="str">
        <f>"fde1:103:4:56e1:0:0:0:2"</f>
        <v>fde1:103:4:56e1:0:0:0:2</v>
      </c>
      <c r="G11569" s="1" t="str">
        <f>"9625C591"</f>
        <v>9625C591</v>
      </c>
      <c r="H11569" s="1" t="str">
        <f>"당수간 54L2"</f>
        <v>당수간 54L2</v>
      </c>
      <c r="I11569" s="1" t="s">
        <v>15</v>
      </c>
      <c r="J11569" s="1" t="str">
        <f>"80/80"</f>
        <v>80/80</v>
      </c>
      <c r="K11569" s="1" t="str">
        <f>"2026-07-29 14:21:33"</f>
        <v>2026-07-29 14:21:33</v>
      </c>
      <c r="L11569" s="1" t="str">
        <f>"2023-08-10 16:46:02"</f>
        <v>2023-08-10 16:46:02</v>
      </c>
      <c r="M11569" s="1" t="s">
        <v>4</v>
      </c>
      <c r="N11569" s="1" t="s">
        <v>38</v>
      </c>
      <c r="O11569" s="1" t="s">
        <v>46</v>
      </c>
    </row>
    <row r="11570" spans="2:15" x14ac:dyDescent="0.3">
      <c r="B11570" s="1" t="s">
        <v>20</v>
      </c>
      <c r="C11570" s="1" t="str">
        <f>"6차"</f>
        <v>6차</v>
      </c>
      <c r="D11570" s="1" t="str">
        <f>"9625C6516S"</f>
        <v>9625C6516S</v>
      </c>
      <c r="E11570" s="1" t="s">
        <v>10</v>
      </c>
      <c r="F11570" s="1" t="str">
        <f>"fde1:103:4:c74c:0:0:0:2"</f>
        <v>fde1:103:4:c74c:0:0:0:2</v>
      </c>
      <c r="G11570" s="1" t="str">
        <f>"9625C651"</f>
        <v>9625C651</v>
      </c>
      <c r="H11570" s="1" t="str">
        <f>"당수간 47L3R7L5"</f>
        <v>당수간 47L3R7L5</v>
      </c>
      <c r="I11570" s="1" t="s">
        <v>15</v>
      </c>
      <c r="J11570" s="1" t="str">
        <f>"53/53"</f>
        <v>53/53</v>
      </c>
      <c r="K11570" s="1" t="str">
        <f>"2026-07-29 14:21:28"</f>
        <v>2026-07-29 14:21:28</v>
      </c>
      <c r="L11570" s="1" t="str">
        <f>"2024-12-10 09:47:18"</f>
        <v>2024-12-10 09:47:18</v>
      </c>
      <c r="M11570" s="1" t="s">
        <v>4</v>
      </c>
      <c r="N11570" s="1" t="s">
        <v>38</v>
      </c>
      <c r="O11570" s="1" t="s">
        <v>46</v>
      </c>
    </row>
    <row r="11571" spans="2:15" x14ac:dyDescent="0.3">
      <c r="B11571" s="1" t="s">
        <v>20</v>
      </c>
      <c r="C11571" s="1" t="str">
        <f>"5-2차"</f>
        <v>5-2차</v>
      </c>
      <c r="D11571" s="1" t="str">
        <f>"9625C6615M"</f>
        <v>9625C6615M</v>
      </c>
      <c r="E11571" s="1" t="s">
        <v>10</v>
      </c>
      <c r="F11571" s="1" t="str">
        <f>"fde1:103:4:5568:0:0:0:2"</f>
        <v>fde1:103:4:5568:0:0:0:2</v>
      </c>
      <c r="G11571" s="1" t="str">
        <f>"9625C661"</f>
        <v>9625C661</v>
      </c>
      <c r="H11571" s="1" t="str">
        <f>"당수간 47L3R7L3L2"</f>
        <v>당수간 47L3R7L3L2</v>
      </c>
      <c r="I11571" s="1" t="s">
        <v>15</v>
      </c>
      <c r="J11571" s="1" t="str">
        <f>"113/113"</f>
        <v>113/113</v>
      </c>
      <c r="K11571" s="1" t="str">
        <f>"2026-07-29 14:21:34"</f>
        <v>2026-07-29 14:21:34</v>
      </c>
      <c r="L11571" s="1" t="str">
        <f>"2023-08-10 16:54:04"</f>
        <v>2023-08-10 16:54:04</v>
      </c>
      <c r="M11571" s="1" t="s">
        <v>4</v>
      </c>
      <c r="N11571" s="1" t="s">
        <v>38</v>
      </c>
      <c r="O11571" s="1" t="s">
        <v>46</v>
      </c>
    </row>
    <row r="11572" spans="2:15" x14ac:dyDescent="0.3">
      <c r="B11572" s="1" t="s">
        <v>20</v>
      </c>
      <c r="C11572" s="1" t="str">
        <f>"5-2차"</f>
        <v>5-2차</v>
      </c>
      <c r="D11572" s="1" t="str">
        <f>"9625C6815S"</f>
        <v>9625C6815S</v>
      </c>
      <c r="E11572" s="1" t="s">
        <v>10</v>
      </c>
      <c r="F11572" s="1" t="str">
        <f>"fde1:103:4:55e4:0:0:0:2"</f>
        <v>fde1:103:4:55e4:0:0:0:2</v>
      </c>
      <c r="G11572" s="1" t="str">
        <f>"9625C681"</f>
        <v>9625C681</v>
      </c>
      <c r="H11572" s="1" t="str">
        <f>"당수간 47L3R5"</f>
        <v>당수간 47L3R5</v>
      </c>
      <c r="I11572" s="1" t="s">
        <v>15</v>
      </c>
      <c r="J11572" s="1" t="str">
        <f>"194/194"</f>
        <v>194/194</v>
      </c>
      <c r="K11572" s="1" t="str">
        <f>"2026-07-29 14:21:34"</f>
        <v>2026-07-29 14:21:34</v>
      </c>
      <c r="L11572" s="1" t="str">
        <f>"2023-08-29 17:44:58"</f>
        <v>2023-08-29 17:44:58</v>
      </c>
      <c r="M11572" s="1" t="s">
        <v>4</v>
      </c>
      <c r="N11572" s="1" t="s">
        <v>38</v>
      </c>
      <c r="O11572" s="1" t="s">
        <v>46</v>
      </c>
    </row>
    <row r="11573" spans="2:15" x14ac:dyDescent="0.3">
      <c r="B11573" s="1" t="s">
        <v>20</v>
      </c>
      <c r="C11573" s="1" t="str">
        <f>"6차"</f>
        <v>6차</v>
      </c>
      <c r="D11573" s="1" t="str">
        <f>"9625C7416S"</f>
        <v>9625C7416S</v>
      </c>
      <c r="E11573" s="1" t="s">
        <v>10</v>
      </c>
      <c r="F11573" s="1" t="str">
        <f>"fde1:103:4:c6f3:0:0:0:2"</f>
        <v>fde1:103:4:c6f3:0:0:0:2</v>
      </c>
      <c r="G11573" s="1" t="str">
        <f>"9625C741"</f>
        <v>9625C741</v>
      </c>
      <c r="H11573" s="1" t="str">
        <f>"당수간 47L22"</f>
        <v>당수간 47L22</v>
      </c>
      <c r="I11573" s="1" t="s">
        <v>15</v>
      </c>
      <c r="J11573" s="1" t="str">
        <f>"34/34"</f>
        <v>34/34</v>
      </c>
      <c r="K11573" s="1" t="str">
        <f>"2026-07-29 14:21:34"</f>
        <v>2026-07-29 14:21:34</v>
      </c>
      <c r="L11573" s="1" t="str">
        <f>"2024-11-07 13:14:00"</f>
        <v>2024-11-07 13:14:00</v>
      </c>
      <c r="M11573" s="1" t="s">
        <v>4</v>
      </c>
      <c r="N11573" s="1" t="s">
        <v>38</v>
      </c>
      <c r="O11573" s="1" t="s">
        <v>46</v>
      </c>
    </row>
    <row r="11574" spans="2:15" x14ac:dyDescent="0.3">
      <c r="B11574" s="1" t="s">
        <v>20</v>
      </c>
      <c r="C11574" s="1" t="str">
        <f>"6차"</f>
        <v>6차</v>
      </c>
      <c r="D11574" s="1" t="str">
        <f>"9625C7516S"</f>
        <v>9625C7516S</v>
      </c>
      <c r="E11574" s="1" t="s">
        <v>10</v>
      </c>
      <c r="F11574" s="1" t="str">
        <f>"fde1:103:4:c6e6:0:0:0:2"</f>
        <v>fde1:103:4:c6e6:0:0:0:2</v>
      </c>
      <c r="G11574" s="1" t="str">
        <f>"9625C751"</f>
        <v>9625C751</v>
      </c>
      <c r="H11574" s="1" t="str">
        <f>"당수간 47L21"</f>
        <v>당수간 47L21</v>
      </c>
      <c r="I11574" s="1" t="s">
        <v>15</v>
      </c>
      <c r="J11574" s="1" t="str">
        <f>"60/61"</f>
        <v>60/61</v>
      </c>
      <c r="K11574" s="1" t="str">
        <f>"2026-07-29 14:21:08"</f>
        <v>2026-07-29 14:21:08</v>
      </c>
      <c r="L11574" s="1" t="str">
        <f>"2024-11-07 08:33:28"</f>
        <v>2024-11-07 08:33:28</v>
      </c>
      <c r="M11574" s="1" t="s">
        <v>4</v>
      </c>
      <c r="N11574" s="1" t="s">
        <v>38</v>
      </c>
      <c r="O11574" s="1" t="s">
        <v>46</v>
      </c>
    </row>
    <row r="11575" spans="2:15" x14ac:dyDescent="0.3">
      <c r="B11575" s="1" t="s">
        <v>20</v>
      </c>
      <c r="C11575" s="1" t="str">
        <f>"5-2차"</f>
        <v>5-2차</v>
      </c>
      <c r="D11575" s="1" t="str">
        <f>"9625C7825S"</f>
        <v>9625C7825S</v>
      </c>
      <c r="E11575" s="1" t="s">
        <v>10</v>
      </c>
      <c r="F11575" s="1" t="str">
        <f>"fde1:103:4:555e:0:0:0:2"</f>
        <v>fde1:103:4:555e:0:0:0:2</v>
      </c>
      <c r="G11575" s="1" t="str">
        <f>"9625C782"</f>
        <v>9625C782</v>
      </c>
      <c r="H11575" s="1" t="str">
        <f>"당수간 47L3R4"</f>
        <v>당수간 47L3R4</v>
      </c>
      <c r="I11575" s="1" t="s">
        <v>15</v>
      </c>
      <c r="J11575" s="1" t="str">
        <f>"76/76"</f>
        <v>76/76</v>
      </c>
      <c r="K11575" s="1" t="str">
        <f>"2026-07-29 14:21:18"</f>
        <v>2026-07-29 14:21:18</v>
      </c>
      <c r="L11575" s="1" t="str">
        <f>"2023-08-29 17:52:51"</f>
        <v>2023-08-29 17:52:51</v>
      </c>
      <c r="M11575" s="1" t="s">
        <v>4</v>
      </c>
      <c r="N11575" s="1" t="s">
        <v>38</v>
      </c>
      <c r="O11575" s="1" t="s">
        <v>46</v>
      </c>
    </row>
    <row r="11576" spans="2:15" x14ac:dyDescent="0.3">
      <c r="B11576" s="1" t="s">
        <v>20</v>
      </c>
      <c r="C11576" s="1" t="str">
        <f>"6차"</f>
        <v>6차</v>
      </c>
      <c r="D11576" s="1" t="str">
        <f>"9625C8216S"</f>
        <v>9625C8216S</v>
      </c>
      <c r="E11576" s="1" t="s">
        <v>10</v>
      </c>
      <c r="F11576" s="1" t="str">
        <f>"fde1:103:4:c5a6:0:0:0:2"</f>
        <v>fde1:103:4:c5a6:0:0:0:2</v>
      </c>
      <c r="G11576" s="1" t="str">
        <f>"9625C821"</f>
        <v>9625C821</v>
      </c>
      <c r="H11576" s="1" t="str">
        <f>"당수간 19L2"</f>
        <v>당수간 19L2</v>
      </c>
      <c r="I11576" s="1" t="s">
        <v>15</v>
      </c>
      <c r="J11576" s="1" t="str">
        <f>"35/35"</f>
        <v>35/35</v>
      </c>
      <c r="K11576" s="1" t="str">
        <f>"2026-07-29 14:20:31"</f>
        <v>2026-07-29 14:20:31</v>
      </c>
      <c r="L11576" s="1" t="str">
        <f>"2024-11-07 08:33:20"</f>
        <v>2024-11-07 08:33:20</v>
      </c>
      <c r="M11576" s="1" t="s">
        <v>4</v>
      </c>
      <c r="N11576" s="1" t="s">
        <v>38</v>
      </c>
      <c r="O11576" s="1" t="s">
        <v>46</v>
      </c>
    </row>
    <row r="11577" spans="2:15" x14ac:dyDescent="0.3">
      <c r="B11577" s="1" t="s">
        <v>20</v>
      </c>
      <c r="C11577" s="1" t="str">
        <f>"6차"</f>
        <v>6차</v>
      </c>
      <c r="D11577" s="1" t="str">
        <f>"9625C8316S"</f>
        <v>9625C8316S</v>
      </c>
      <c r="E11577" s="1" t="s">
        <v>10</v>
      </c>
      <c r="F11577" s="1" t="str">
        <f>"fde1:103:4:c637:0:0:0:2"</f>
        <v>fde1:103:4:c637:0:0:0:2</v>
      </c>
      <c r="G11577" s="1" t="str">
        <f>"9625C831"</f>
        <v>9625C831</v>
      </c>
      <c r="H11577" s="1" t="str">
        <f>"당수간 19L3"</f>
        <v>당수간 19L3</v>
      </c>
      <c r="I11577" s="1" t="s">
        <v>15</v>
      </c>
      <c r="J11577" s="1" t="str">
        <f>"37/37"</f>
        <v>37/37</v>
      </c>
      <c r="K11577" s="1" t="str">
        <f>"2026-07-29 14:21:34"</f>
        <v>2026-07-29 14:21:34</v>
      </c>
      <c r="L11577" s="1" t="str">
        <f>"2024-11-07 08:33:12"</f>
        <v>2024-11-07 08:33:12</v>
      </c>
      <c r="M11577" s="1" t="s">
        <v>4</v>
      </c>
      <c r="N11577" s="1" t="s">
        <v>38</v>
      </c>
      <c r="O11577" s="1" t="s">
        <v>46</v>
      </c>
    </row>
    <row r="11578" spans="2:15" x14ac:dyDescent="0.3">
      <c r="B11578" s="1" t="s">
        <v>20</v>
      </c>
      <c r="C11578" s="1" t="str">
        <f>"2차"</f>
        <v>2차</v>
      </c>
      <c r="D11578" s="1" t="str">
        <f>"9625C85120"</f>
        <v>9625C85120</v>
      </c>
      <c r="E11578" s="1" t="s">
        <v>10</v>
      </c>
      <c r="F11578" s="1" t="str">
        <f>"10.26.68.18"</f>
        <v>10.26.68.18</v>
      </c>
      <c r="G11578" s="1" t="str">
        <f>"9625C851"</f>
        <v>9625C851</v>
      </c>
      <c r="H11578" s="1" t="str">
        <f>"당수간 47L19"</f>
        <v>당수간 47L19</v>
      </c>
      <c r="I11578" s="1" t="s">
        <v>8</v>
      </c>
      <c r="J11578" s="1" t="str">
        <f>"41/41"</f>
        <v>41/41</v>
      </c>
      <c r="K11578" s="1" t="str">
        <f>"2026-07-29 13:18:10"</f>
        <v>2026-07-29 13:18:10</v>
      </c>
      <c r="L11578" s="1" t="str">
        <f>"2017-06-29 14:37:24"</f>
        <v>2017-06-29 14:37:24</v>
      </c>
      <c r="M11578" s="1" t="s">
        <v>45</v>
      </c>
      <c r="N11578" s="1" t="s">
        <v>38</v>
      </c>
      <c r="O11578" s="1" t="s">
        <v>46</v>
      </c>
    </row>
    <row r="11579" spans="2:15" x14ac:dyDescent="0.3">
      <c r="B11579" s="1" t="s">
        <v>20</v>
      </c>
      <c r="C11579" s="1" t="str">
        <f>"2차"</f>
        <v>2차</v>
      </c>
      <c r="D11579" s="1" t="str">
        <f>"9625C85321"</f>
        <v>9625C85321</v>
      </c>
      <c r="E11579" s="1" t="s">
        <v>10</v>
      </c>
      <c r="F11579" s="1" t="str">
        <f>"10.26.68.19"</f>
        <v>10.26.68.19</v>
      </c>
      <c r="G11579" s="1" t="str">
        <f>"9625C853"</f>
        <v>9625C853</v>
      </c>
      <c r="H11579" s="1" t="str">
        <f>"당수간 47L19R1"</f>
        <v>당수간 47L19R1</v>
      </c>
      <c r="I11579" s="1" t="s">
        <v>8</v>
      </c>
      <c r="J11579" s="1" t="str">
        <f>"51/51"</f>
        <v>51/51</v>
      </c>
      <c r="K11579" s="1" t="str">
        <f>"2026-07-29 13:18:10"</f>
        <v>2026-07-29 13:18:10</v>
      </c>
      <c r="L11579" s="1" t="str">
        <f>"2017-07-03 16:45:42"</f>
        <v>2017-07-03 16:45:42</v>
      </c>
      <c r="M11579" s="1" t="s">
        <v>45</v>
      </c>
      <c r="N11579" s="1" t="s">
        <v>38</v>
      </c>
      <c r="O11579" s="1" t="s">
        <v>46</v>
      </c>
    </row>
    <row r="11580" spans="2:15" x14ac:dyDescent="0.3">
      <c r="B11580" s="1" t="s">
        <v>20</v>
      </c>
      <c r="C11580" s="1" t="str">
        <f>"6차"</f>
        <v>6차</v>
      </c>
      <c r="D11580" s="1" t="str">
        <f>"9625C8716S"</f>
        <v>9625C8716S</v>
      </c>
      <c r="E11580" s="1" t="s">
        <v>10</v>
      </c>
      <c r="F11580" s="1" t="str">
        <f>"fde1:103:4:c618:0:0:0:2"</f>
        <v>fde1:103:4:c618:0:0:0:2</v>
      </c>
      <c r="G11580" s="1" t="str">
        <f>"9625C871"</f>
        <v>9625C871</v>
      </c>
      <c r="H11580" s="1" t="str">
        <f>"당수간 47L3R3L1"</f>
        <v>당수간 47L3R3L1</v>
      </c>
      <c r="I11580" s="1" t="s">
        <v>15</v>
      </c>
      <c r="J11580" s="1" t="str">
        <f>"74/75"</f>
        <v>74/75</v>
      </c>
      <c r="K11580" s="1" t="str">
        <f>"2026-07-29 14:20:32"</f>
        <v>2026-07-29 14:20:32</v>
      </c>
      <c r="L11580" s="1" t="str">
        <f>"2024-11-07 13:10:56"</f>
        <v>2024-11-07 13:10:56</v>
      </c>
      <c r="M11580" s="1" t="s">
        <v>4</v>
      </c>
      <c r="N11580" s="1" t="s">
        <v>38</v>
      </c>
      <c r="O11580" s="1" t="s">
        <v>46</v>
      </c>
    </row>
    <row r="11581" spans="2:15" x14ac:dyDescent="0.3">
      <c r="B11581" s="1" t="s">
        <v>20</v>
      </c>
      <c r="C11581" s="1" t="str">
        <f t="shared" ref="C11581:C11587" si="578">"5-2차"</f>
        <v>5-2차</v>
      </c>
      <c r="D11581" s="1" t="str">
        <f>"9625C8735M"</f>
        <v>9625C8735M</v>
      </c>
      <c r="E11581" s="1" t="s">
        <v>10</v>
      </c>
      <c r="F11581" s="1" t="str">
        <f>"fde1:103:4:555c:0:0:0:2"</f>
        <v>fde1:103:4:555c:0:0:0:2</v>
      </c>
      <c r="G11581" s="1" t="str">
        <f>"9625C873"</f>
        <v>9625C873</v>
      </c>
      <c r="H11581" s="1" t="str">
        <f>"당수간 47L3R3L3"</f>
        <v>당수간 47L3R3L3</v>
      </c>
      <c r="I11581" s="1" t="s">
        <v>15</v>
      </c>
      <c r="J11581" s="1" t="str">
        <f>"56/56"</f>
        <v>56/56</v>
      </c>
      <c r="K11581" s="1" t="str">
        <f>"2026-07-29 02:20:59"</f>
        <v>2026-07-29 02:20:59</v>
      </c>
      <c r="L11581" s="1" t="str">
        <f>"2023-08-10 16:56:00"</f>
        <v>2023-08-10 16:56:00</v>
      </c>
      <c r="M11581" s="1" t="s">
        <v>4</v>
      </c>
      <c r="N11581" s="1" t="s">
        <v>38</v>
      </c>
      <c r="O11581" s="1" t="s">
        <v>46</v>
      </c>
    </row>
    <row r="11582" spans="2:15" x14ac:dyDescent="0.3">
      <c r="B11582" s="1" t="s">
        <v>20</v>
      </c>
      <c r="C11582" s="1" t="str">
        <f t="shared" si="578"/>
        <v>5-2차</v>
      </c>
      <c r="D11582" s="1" t="str">
        <f>"9625C8815M"</f>
        <v>9625C8815M</v>
      </c>
      <c r="E11582" s="1" t="str">
        <f>"검침실패(3시간 이상)"</f>
        <v>검침실패(3시간 이상)</v>
      </c>
      <c r="F11582" s="1" t="str">
        <f>"fde1:103:4:557a:0:0:0:2"</f>
        <v>fde1:103:4:557a:0:0:0:2</v>
      </c>
      <c r="G11582" s="1" t="str">
        <f>"9625C881"</f>
        <v>9625C881</v>
      </c>
      <c r="H11582" s="1" t="str">
        <f>"당수간 47L3R2"</f>
        <v>당수간 47L3R2</v>
      </c>
      <c r="I11582" s="1" t="s">
        <v>15</v>
      </c>
      <c r="J11582" s="1" t="str">
        <f>"0/46"</f>
        <v>0/46</v>
      </c>
      <c r="K11582" s="1" t="str">
        <f>"2026-07-29 14:21:42"</f>
        <v>2026-07-29 14:21:42</v>
      </c>
      <c r="L11582" s="1" t="str">
        <f>"2023-08-10 16:57:19"</f>
        <v>2023-08-10 16:57:19</v>
      </c>
      <c r="M11582" s="1" t="s">
        <v>4</v>
      </c>
      <c r="N11582" s="1" t="s">
        <v>38</v>
      </c>
      <c r="O11582" s="1" t="s">
        <v>46</v>
      </c>
    </row>
    <row r="11583" spans="2:15" x14ac:dyDescent="0.3">
      <c r="B11583" s="1" t="s">
        <v>20</v>
      </c>
      <c r="C11583" s="1" t="str">
        <f t="shared" si="578"/>
        <v>5-2차</v>
      </c>
      <c r="D11583" s="1" t="str">
        <f>"9625C9215M"</f>
        <v>9625C9215M</v>
      </c>
      <c r="E11583" s="1" t="s">
        <v>10</v>
      </c>
      <c r="F11583" s="1" t="str">
        <f>"fde1:103:4:55ac:0:0:0:2"</f>
        <v>fde1:103:4:55ac:0:0:0:2</v>
      </c>
      <c r="G11583" s="1" t="str">
        <f>"9625C921"</f>
        <v>9625C921</v>
      </c>
      <c r="H11583" s="1" t="str">
        <f>"당수간 19L1"</f>
        <v>당수간 19L1</v>
      </c>
      <c r="I11583" s="1" t="s">
        <v>15</v>
      </c>
      <c r="J11583" s="1" t="str">
        <f>"63/63"</f>
        <v>63/63</v>
      </c>
      <c r="K11583" s="1" t="str">
        <f>"2026-07-29 14:20:58"</f>
        <v>2026-07-29 14:20:58</v>
      </c>
      <c r="L11583" s="1" t="str">
        <f>"2023-08-10 17:06:49"</f>
        <v>2023-08-10 17:06:49</v>
      </c>
      <c r="M11583" s="1" t="s">
        <v>4</v>
      </c>
      <c r="N11583" s="1" t="s">
        <v>38</v>
      </c>
      <c r="O11583" s="1" t="s">
        <v>46</v>
      </c>
    </row>
    <row r="11584" spans="2:15" x14ac:dyDescent="0.3">
      <c r="B11584" s="1" t="s">
        <v>20</v>
      </c>
      <c r="C11584" s="1" t="str">
        <f t="shared" si="578"/>
        <v>5-2차</v>
      </c>
      <c r="D11584" s="1" t="str">
        <f>"9625C9315M"</f>
        <v>9625C9315M</v>
      </c>
      <c r="E11584" s="1" t="s">
        <v>10</v>
      </c>
      <c r="F11584" s="1" t="str">
        <f>"fde1:103:4:5588:0:0:0:2"</f>
        <v>fde1:103:4:5588:0:0:0:2</v>
      </c>
      <c r="G11584" s="1" t="str">
        <f>"9625C931"</f>
        <v>9625C931</v>
      </c>
      <c r="H11584" s="1" t="str">
        <f>"당수간 47L17"</f>
        <v>당수간 47L17</v>
      </c>
      <c r="I11584" s="1" t="s">
        <v>15</v>
      </c>
      <c r="J11584" s="1" t="str">
        <f>"137/137"</f>
        <v>137/137</v>
      </c>
      <c r="K11584" s="1" t="str">
        <f>"2026-07-29 14:21:35"</f>
        <v>2026-07-29 14:21:35</v>
      </c>
      <c r="L11584" s="1" t="str">
        <f>"2023-08-10 17:08:30"</f>
        <v>2023-08-10 17:08:30</v>
      </c>
      <c r="M11584" s="1" t="s">
        <v>4</v>
      </c>
      <c r="N11584" s="1" t="s">
        <v>38</v>
      </c>
      <c r="O11584" s="1" t="s">
        <v>46</v>
      </c>
    </row>
    <row r="11585" spans="2:15" x14ac:dyDescent="0.3">
      <c r="B11585" s="1" t="s">
        <v>20</v>
      </c>
      <c r="C11585" s="1" t="str">
        <f t="shared" si="578"/>
        <v>5-2차</v>
      </c>
      <c r="D11585" s="1" t="str">
        <f>"9625C9515S"</f>
        <v>9625C9515S</v>
      </c>
      <c r="E11585" s="1" t="s">
        <v>10</v>
      </c>
      <c r="F11585" s="1" t="str">
        <f>"fde1:103:4:5602:0:0:0:2"</f>
        <v>fde1:103:4:5602:0:0:0:2</v>
      </c>
      <c r="G11585" s="1" t="str">
        <f>"9625C951"</f>
        <v>9625C951</v>
      </c>
      <c r="H11585" s="1" t="str">
        <f>"당수간 47L15R3"</f>
        <v>당수간 47L15R3</v>
      </c>
      <c r="I11585" s="1" t="s">
        <v>15</v>
      </c>
      <c r="J11585" s="1" t="str">
        <f>"32/32"</f>
        <v>32/32</v>
      </c>
      <c r="K11585" s="1" t="str">
        <f>"2026-07-29 14:21:06"</f>
        <v>2026-07-29 14:21:06</v>
      </c>
      <c r="L11585" s="1" t="str">
        <f>"2023-08-30 09:44:39"</f>
        <v>2023-08-30 09:44:39</v>
      </c>
      <c r="M11585" s="1" t="s">
        <v>4</v>
      </c>
      <c r="N11585" s="1" t="s">
        <v>38</v>
      </c>
      <c r="O11585" s="1" t="s">
        <v>46</v>
      </c>
    </row>
    <row r="11586" spans="2:15" x14ac:dyDescent="0.3">
      <c r="B11586" s="1" t="s">
        <v>20</v>
      </c>
      <c r="C11586" s="1" t="str">
        <f t="shared" si="578"/>
        <v>5-2차</v>
      </c>
      <c r="D11586" s="1" t="str">
        <f>"9625C9535S"</f>
        <v>9625C9535S</v>
      </c>
      <c r="E11586" s="1" t="s">
        <v>10</v>
      </c>
      <c r="F11586" s="1" t="str">
        <f>"fde1:103:4:55be:0:0:0:2"</f>
        <v>fde1:103:4:55be:0:0:0:2</v>
      </c>
      <c r="G11586" s="1" t="str">
        <f>"9625C953"</f>
        <v>9625C953</v>
      </c>
      <c r="H11586" s="1" t="str">
        <f>"당수간 47L15R2"</f>
        <v>당수간 47L15R2</v>
      </c>
      <c r="I11586" s="1" t="s">
        <v>15</v>
      </c>
      <c r="J11586" s="1" t="str">
        <f>"67/67"</f>
        <v>67/67</v>
      </c>
      <c r="K11586" s="1" t="str">
        <f>"2026-07-29 14:21:35"</f>
        <v>2026-07-29 14:21:35</v>
      </c>
      <c r="L11586" s="1" t="str">
        <f>"2023-08-30 09:54:46"</f>
        <v>2023-08-30 09:54:46</v>
      </c>
      <c r="M11586" s="1" t="s">
        <v>4</v>
      </c>
      <c r="N11586" s="1" t="s">
        <v>38</v>
      </c>
      <c r="O11586" s="1" t="s">
        <v>46</v>
      </c>
    </row>
    <row r="11587" spans="2:15" x14ac:dyDescent="0.3">
      <c r="B11587" s="1" t="s">
        <v>20</v>
      </c>
      <c r="C11587" s="1" t="str">
        <f t="shared" si="578"/>
        <v>5-2차</v>
      </c>
      <c r="D11587" s="1" t="str">
        <f>"9625C9715M"</f>
        <v>9625C9715M</v>
      </c>
      <c r="E11587" s="1" t="s">
        <v>10</v>
      </c>
      <c r="F11587" s="1" t="str">
        <f>"fde1:103:4:5636:0:0:0:2"</f>
        <v>fde1:103:4:5636:0:0:0:2</v>
      </c>
      <c r="G11587" s="1" t="str">
        <f>"9625C971"</f>
        <v>9625C971</v>
      </c>
      <c r="H11587" s="1" t="str">
        <f>"당수간 47L3R3L4"</f>
        <v>당수간 47L3R3L4</v>
      </c>
      <c r="I11587" s="1" t="s">
        <v>15</v>
      </c>
      <c r="J11587" s="1" t="str">
        <f>"62/62"</f>
        <v>62/62</v>
      </c>
      <c r="K11587" s="1" t="str">
        <f>"2026-07-29 14:21:35"</f>
        <v>2026-07-29 14:21:35</v>
      </c>
      <c r="L11587" s="1" t="str">
        <f>"2023-08-10 17:09:53"</f>
        <v>2023-08-10 17:09:53</v>
      </c>
      <c r="M11587" s="1" t="s">
        <v>4</v>
      </c>
      <c r="N11587" s="1" t="s">
        <v>38</v>
      </c>
      <c r="O11587" s="1" t="s">
        <v>46</v>
      </c>
    </row>
    <row r="11588" spans="2:15" x14ac:dyDescent="0.3">
      <c r="B11588" s="1" t="s">
        <v>20</v>
      </c>
      <c r="C11588" s="1" t="str">
        <f>"6차"</f>
        <v>6차</v>
      </c>
      <c r="D11588" s="1" t="str">
        <f>"9625C9816S"</f>
        <v>9625C9816S</v>
      </c>
      <c r="E11588" s="1" t="s">
        <v>10</v>
      </c>
      <c r="F11588" s="1" t="str">
        <f>"fde1:103:4:c5b1:0:0:0:2"</f>
        <v>fde1:103:4:c5b1:0:0:0:2</v>
      </c>
      <c r="G11588" s="1" t="str">
        <f>"9625C981"</f>
        <v>9625C981</v>
      </c>
      <c r="H11588" s="1" t="str">
        <f>"당수간 47L3R1"</f>
        <v>당수간 47L3R1</v>
      </c>
      <c r="I11588" s="1" t="s">
        <v>15</v>
      </c>
      <c r="J11588" s="1" t="str">
        <f>"121/123"</f>
        <v>121/123</v>
      </c>
      <c r="K11588" s="1" t="str">
        <f>"2026-07-29 14:20:49"</f>
        <v>2026-07-29 14:20:49</v>
      </c>
      <c r="L11588" s="1" t="str">
        <f>"2024-11-07 13:13:15"</f>
        <v>2024-11-07 13:13:15</v>
      </c>
      <c r="M11588" s="1" t="s">
        <v>4</v>
      </c>
      <c r="N11588" s="1" t="s">
        <v>38</v>
      </c>
      <c r="O11588" s="1" t="s">
        <v>46</v>
      </c>
    </row>
    <row r="11589" spans="2:15" x14ac:dyDescent="0.3">
      <c r="B11589" s="1" t="s">
        <v>20</v>
      </c>
      <c r="C11589" s="1" t="str">
        <f>"5-2차"</f>
        <v>5-2차</v>
      </c>
      <c r="D11589" s="1" t="str">
        <f>"9625D0015S"</f>
        <v>9625D0015S</v>
      </c>
      <c r="E11589" s="1" t="s">
        <v>10</v>
      </c>
      <c r="F11589" s="1" t="str">
        <f>"fde1:103:4:5586:0:0:0:2"</f>
        <v>fde1:103:4:5586:0:0:0:2</v>
      </c>
      <c r="G11589" s="1" t="str">
        <f>"9625D001"</f>
        <v>9625D001</v>
      </c>
      <c r="H11589" s="1" t="str">
        <f>"당수간 17R2L2"</f>
        <v>당수간 17R2L2</v>
      </c>
      <c r="I11589" s="1" t="s">
        <v>15</v>
      </c>
      <c r="J11589" s="1" t="str">
        <f>"45/45"</f>
        <v>45/45</v>
      </c>
      <c r="K11589" s="1" t="str">
        <f>"2026-07-29 14:21:35"</f>
        <v>2026-07-29 14:21:35</v>
      </c>
      <c r="L11589" s="1" t="str">
        <f>"2023-08-30 10:04:40"</f>
        <v>2023-08-30 10:04:40</v>
      </c>
      <c r="M11589" s="1" t="s">
        <v>4</v>
      </c>
      <c r="N11589" s="1" t="s">
        <v>38</v>
      </c>
      <c r="O11589" s="1" t="s">
        <v>46</v>
      </c>
    </row>
    <row r="11590" spans="2:15" x14ac:dyDescent="0.3">
      <c r="B11590" s="1" t="s">
        <v>20</v>
      </c>
      <c r="C11590" s="1" t="str">
        <f>"5-1차"</f>
        <v>5-1차</v>
      </c>
      <c r="D11590" s="1" t="str">
        <f>"9625D0515M"</f>
        <v>9625D0515M</v>
      </c>
      <c r="E11590" s="1" t="s">
        <v>10</v>
      </c>
      <c r="F11590" s="1" t="str">
        <f>"fde2:104:0:c7:0:0:0:2"</f>
        <v>fde2:104:0:c7:0:0:0:2</v>
      </c>
      <c r="G11590" s="1" t="str">
        <f>"9625D051"</f>
        <v>9625D051</v>
      </c>
      <c r="H11590" s="1" t="str">
        <f>"당수간 47L15R4"</f>
        <v>당수간 47L15R4</v>
      </c>
      <c r="I11590" s="1" t="s">
        <v>15</v>
      </c>
      <c r="J11590" s="1" t="str">
        <f>"60/60"</f>
        <v>60/60</v>
      </c>
      <c r="K11590" s="1" t="str">
        <f>"2026-07-29 14:21:36"</f>
        <v>2026-07-29 14:21:36</v>
      </c>
      <c r="L11590" s="1" t="str">
        <f>"2022-10-14 17:21:10"</f>
        <v>2022-10-14 17:21:10</v>
      </c>
      <c r="M11590" s="1" t="s">
        <v>42</v>
      </c>
      <c r="N11590" s="1" t="s">
        <v>38</v>
      </c>
      <c r="O11590" s="1" t="s">
        <v>46</v>
      </c>
    </row>
    <row r="11591" spans="2:15" x14ac:dyDescent="0.3">
      <c r="B11591" s="1" t="s">
        <v>20</v>
      </c>
      <c r="C11591" s="1" t="str">
        <f>"5-2차"</f>
        <v>5-2차</v>
      </c>
      <c r="D11591" s="1" t="str">
        <f>"9625D0715S"</f>
        <v>9625D0715S</v>
      </c>
      <c r="E11591" s="1" t="s">
        <v>10</v>
      </c>
      <c r="F11591" s="1" t="str">
        <f>"fde1:103:4:56de:0:0:0:2"</f>
        <v>fde1:103:4:56de:0:0:0:2</v>
      </c>
      <c r="G11591" s="1" t="str">
        <f>"9625D071"</f>
        <v>9625D071</v>
      </c>
      <c r="H11591" s="1" t="str">
        <f>"당수간 47L3R3L5"</f>
        <v>당수간 47L3R3L5</v>
      </c>
      <c r="I11591" s="1" t="s">
        <v>15</v>
      </c>
      <c r="J11591" s="1" t="str">
        <f>"84/84"</f>
        <v>84/84</v>
      </c>
      <c r="K11591" s="1" t="str">
        <f>"2026-07-29 14:21:35"</f>
        <v>2026-07-29 14:21:35</v>
      </c>
      <c r="L11591" s="1" t="str">
        <f>"2023-08-30 10:25:44"</f>
        <v>2023-08-30 10:25:44</v>
      </c>
      <c r="M11591" s="1" t="s">
        <v>4</v>
      </c>
      <c r="N11591" s="1" t="s">
        <v>38</v>
      </c>
      <c r="O11591" s="1" t="s">
        <v>46</v>
      </c>
    </row>
    <row r="11592" spans="2:15" x14ac:dyDescent="0.3">
      <c r="B11592" s="1" t="s">
        <v>20</v>
      </c>
      <c r="C11592" s="1" t="str">
        <f>"5-2차"</f>
        <v>5-2차</v>
      </c>
      <c r="D11592" s="1" t="str">
        <f>"9625D0935M"</f>
        <v>9625D0935M</v>
      </c>
      <c r="E11592" s="1" t="s">
        <v>10</v>
      </c>
      <c r="F11592" s="1" t="str">
        <f>"fde1:103:4:5877:0:0:0:2"</f>
        <v>fde1:103:4:5877:0:0:0:2</v>
      </c>
      <c r="G11592" s="1" t="str">
        <f>"9625D093"</f>
        <v>9625D093</v>
      </c>
      <c r="H11592" s="1" t="str">
        <f>"당수간 47L3L1"</f>
        <v>당수간 47L3L1</v>
      </c>
      <c r="I11592" s="1" t="s">
        <v>15</v>
      </c>
      <c r="J11592" s="1" t="str">
        <f>"73/74"</f>
        <v>73/74</v>
      </c>
      <c r="K11592" s="1" t="str">
        <f>"2026-07-29 14:21:36"</f>
        <v>2026-07-29 14:21:36</v>
      </c>
      <c r="L11592" s="1" t="str">
        <f>"2023-12-05 14:44:23"</f>
        <v>2023-12-05 14:44:23</v>
      </c>
      <c r="M11592" s="1" t="s">
        <v>4</v>
      </c>
      <c r="N11592" s="1" t="s">
        <v>38</v>
      </c>
      <c r="O11592" s="1" t="s">
        <v>46</v>
      </c>
    </row>
    <row r="11593" spans="2:15" x14ac:dyDescent="0.3">
      <c r="B11593" s="1" t="s">
        <v>20</v>
      </c>
      <c r="C11593" s="1" t="str">
        <f>"5-2차"</f>
        <v>5-2차</v>
      </c>
      <c r="D11593" s="1" t="str">
        <f>"9625D1015M"</f>
        <v>9625D1015M</v>
      </c>
      <c r="E11593" s="1" t="s">
        <v>10</v>
      </c>
      <c r="F11593" s="1" t="str">
        <f>"fde1:103:4:55aa:0:0:0:2"</f>
        <v>fde1:103:4:55aa:0:0:0:2</v>
      </c>
      <c r="G11593" s="1" t="str">
        <f>"9625D101"</f>
        <v>9625D101</v>
      </c>
      <c r="H11593" s="1" t="str">
        <f>"당수간 17R3"</f>
        <v>당수간 17R3</v>
      </c>
      <c r="I11593" s="1" t="s">
        <v>15</v>
      </c>
      <c r="J11593" s="1" t="str">
        <f>"43/43"</f>
        <v>43/43</v>
      </c>
      <c r="K11593" s="1" t="str">
        <f>"2026-07-29 14:21:22"</f>
        <v>2026-07-29 14:21:22</v>
      </c>
      <c r="L11593" s="1" t="str">
        <f>"2023-08-16 09:51:03"</f>
        <v>2023-08-16 09:51:03</v>
      </c>
      <c r="M11593" s="1" t="s">
        <v>4</v>
      </c>
      <c r="N11593" s="1" t="s">
        <v>38</v>
      </c>
      <c r="O11593" s="1" t="s">
        <v>46</v>
      </c>
    </row>
    <row r="11594" spans="2:15" x14ac:dyDescent="0.3">
      <c r="B11594" s="1" t="s">
        <v>20</v>
      </c>
      <c r="C11594" s="1" t="str">
        <f>"6차"</f>
        <v>6차</v>
      </c>
      <c r="D11594" s="1" t="str">
        <f>"9625D1536S"</f>
        <v>9625D1536S</v>
      </c>
      <c r="E11594" s="1" t="s">
        <v>10</v>
      </c>
      <c r="F11594" s="1" t="str">
        <f>"fde1:103:4:c6e0:0:0:0:2"</f>
        <v>fde1:103:4:c6e0:0:0:0:2</v>
      </c>
      <c r="G11594" s="1" t="str">
        <f>"9625D153"</f>
        <v>9625D153</v>
      </c>
      <c r="H11594" s="1" t="str">
        <f>"당수간 47L9"</f>
        <v>당수간 47L9</v>
      </c>
      <c r="I11594" s="1" t="s">
        <v>15</v>
      </c>
      <c r="J11594" s="1" t="str">
        <f>"66/69"</f>
        <v>66/69</v>
      </c>
      <c r="K11594" s="1" t="str">
        <f>"2026-07-29 14:21:36"</f>
        <v>2026-07-29 14:21:36</v>
      </c>
      <c r="L11594" s="1" t="str">
        <f>"2024-11-07 13:13:30"</f>
        <v>2024-11-07 13:13:30</v>
      </c>
      <c r="M11594" s="1" t="s">
        <v>4</v>
      </c>
      <c r="N11594" s="1" t="s">
        <v>38</v>
      </c>
      <c r="O11594" s="1" t="s">
        <v>46</v>
      </c>
    </row>
    <row r="11595" spans="2:15" x14ac:dyDescent="0.3">
      <c r="B11595" s="1" t="s">
        <v>20</v>
      </c>
      <c r="C11595" s="1" t="str">
        <f>"6차"</f>
        <v>6차</v>
      </c>
      <c r="D11595" s="1" t="str">
        <f>"9625D1916S"</f>
        <v>9625D1916S</v>
      </c>
      <c r="E11595" s="1" t="s">
        <v>10</v>
      </c>
      <c r="F11595" s="1" t="str">
        <f>"fde1:103:4:c5ac:0:0:0:2"</f>
        <v>fde1:103:4:c5ac:0:0:0:2</v>
      </c>
      <c r="G11595" s="1" t="str">
        <f>"9625D191"</f>
        <v>9625D191</v>
      </c>
      <c r="H11595" s="1" t="str">
        <f>"당수간 47L3L3"</f>
        <v>당수간 47L3L3</v>
      </c>
      <c r="I11595" s="1" t="s">
        <v>15</v>
      </c>
      <c r="J11595" s="1" t="str">
        <f>"81/90"</f>
        <v>81/90</v>
      </c>
      <c r="K11595" s="1" t="str">
        <f>"2026-07-29 14:21:43"</f>
        <v>2026-07-29 14:21:43</v>
      </c>
      <c r="L11595" s="1" t="str">
        <f>"2024-11-07 13:13:23"</f>
        <v>2024-11-07 13:13:23</v>
      </c>
      <c r="M11595" s="1" t="s">
        <v>4</v>
      </c>
      <c r="N11595" s="1" t="s">
        <v>38</v>
      </c>
      <c r="O11595" s="1" t="s">
        <v>46</v>
      </c>
    </row>
    <row r="11596" spans="2:15" x14ac:dyDescent="0.3">
      <c r="B11596" s="1" t="s">
        <v>20</v>
      </c>
      <c r="C11596" s="1" t="str">
        <f>"5-2차"</f>
        <v>5-2차</v>
      </c>
      <c r="D11596" s="1" t="str">
        <f>"9625D2045S"</f>
        <v>9625D2045S</v>
      </c>
      <c r="E11596" s="1" t="s">
        <v>10</v>
      </c>
      <c r="F11596" s="1" t="str">
        <f>"fde1:103:4:5567:0:0:0:2"</f>
        <v>fde1:103:4:5567:0:0:0:2</v>
      </c>
      <c r="G11596" s="1" t="str">
        <f>"9625D204"</f>
        <v>9625D204</v>
      </c>
      <c r="H11596" s="1" t="str">
        <f>"당수간 17R4"</f>
        <v>당수간 17R4</v>
      </c>
      <c r="I11596" s="1" t="s">
        <v>15</v>
      </c>
      <c r="J11596" s="1" t="str">
        <f>"47/47"</f>
        <v>47/47</v>
      </c>
      <c r="K11596" s="1" t="str">
        <f>"2026-07-29 14:21:36"</f>
        <v>2026-07-29 14:21:36</v>
      </c>
      <c r="L11596" s="1" t="str">
        <f>"2023-08-30 10:35:24"</f>
        <v>2023-08-30 10:35:24</v>
      </c>
      <c r="M11596" s="1" t="s">
        <v>4</v>
      </c>
      <c r="N11596" s="1" t="s">
        <v>38</v>
      </c>
      <c r="O11596" s="1" t="s">
        <v>46</v>
      </c>
    </row>
    <row r="11597" spans="2:15" x14ac:dyDescent="0.3">
      <c r="B11597" s="1" t="s">
        <v>20</v>
      </c>
      <c r="C11597" s="1" t="str">
        <f>"5-2차"</f>
        <v>5-2차</v>
      </c>
      <c r="D11597" s="1" t="str">
        <f>"9625D2225M"</f>
        <v>9625D2225M</v>
      </c>
      <c r="E11597" s="1" t="s">
        <v>10</v>
      </c>
      <c r="F11597" s="1" t="str">
        <f>"fde1:103:4:557e:0:0:0:2"</f>
        <v>fde1:103:4:557e:0:0:0:2</v>
      </c>
      <c r="G11597" s="1" t="str">
        <f>"9625D222"</f>
        <v>9625D222</v>
      </c>
      <c r="H11597" s="1" t="str">
        <f>"당수간 23"</f>
        <v>당수간 23</v>
      </c>
      <c r="I11597" s="1" t="s">
        <v>15</v>
      </c>
      <c r="J11597" s="1" t="str">
        <f>"31/31"</f>
        <v>31/31</v>
      </c>
      <c r="K11597" s="1" t="str">
        <f>"2026-07-29 14:21:43"</f>
        <v>2026-07-29 14:21:43</v>
      </c>
      <c r="L11597" s="1" t="str">
        <f>"2023-08-16 10:06:55"</f>
        <v>2023-08-16 10:06:55</v>
      </c>
      <c r="M11597" s="1" t="s">
        <v>4</v>
      </c>
      <c r="N11597" s="1" t="s">
        <v>38</v>
      </c>
      <c r="O11597" s="1" t="s">
        <v>46</v>
      </c>
    </row>
    <row r="11598" spans="2:15" x14ac:dyDescent="0.3">
      <c r="B11598" s="1" t="s">
        <v>20</v>
      </c>
      <c r="C11598" s="1" t="str">
        <f>"5-2차"</f>
        <v>5-2차</v>
      </c>
      <c r="D11598" s="1" t="str">
        <f>"9625D2235M"</f>
        <v>9625D2235M</v>
      </c>
      <c r="E11598" s="1" t="s">
        <v>10</v>
      </c>
      <c r="F11598" s="1" t="str">
        <f>"fde1:103:4:5690:0:0:0:2"</f>
        <v>fde1:103:4:5690:0:0:0:2</v>
      </c>
      <c r="G11598" s="1" t="str">
        <f>"9625D223"</f>
        <v>9625D223</v>
      </c>
      <c r="H11598" s="1" t="str">
        <f>"당수간 22"</f>
        <v>당수간 22</v>
      </c>
      <c r="I11598" s="1" t="s">
        <v>15</v>
      </c>
      <c r="J11598" s="1" t="str">
        <f>"63/64"</f>
        <v>63/64</v>
      </c>
      <c r="K11598" s="1" t="str">
        <f>"2026-07-29 14:21:06"</f>
        <v>2026-07-29 14:21:06</v>
      </c>
      <c r="L11598" s="1" t="str">
        <f>"2023-08-16 10:20:53"</f>
        <v>2023-08-16 10:20:53</v>
      </c>
      <c r="M11598" s="1" t="s">
        <v>4</v>
      </c>
      <c r="N11598" s="1" t="s">
        <v>38</v>
      </c>
      <c r="O11598" s="1" t="s">
        <v>46</v>
      </c>
    </row>
    <row r="11599" spans="2:15" x14ac:dyDescent="0.3">
      <c r="B11599" s="1" t="s">
        <v>20</v>
      </c>
      <c r="C11599" s="1" t="str">
        <f>"5-2차"</f>
        <v>5-2차</v>
      </c>
      <c r="D11599" s="1" t="str">
        <f>"9625D2325M"</f>
        <v>9625D2325M</v>
      </c>
      <c r="E11599" s="1" t="s">
        <v>10</v>
      </c>
      <c r="F11599" s="1" t="str">
        <f>"fde1:103:4:569e:0:0:0:2"</f>
        <v>fde1:103:4:569e:0:0:0:2</v>
      </c>
      <c r="G11599" s="1" t="str">
        <f>"9625D232"</f>
        <v>9625D232</v>
      </c>
      <c r="H11599" s="1" t="str">
        <f>"당수간 24L2"</f>
        <v>당수간 24L2</v>
      </c>
      <c r="I11599" s="1" t="s">
        <v>15</v>
      </c>
      <c r="J11599" s="1" t="str">
        <f>"52/52"</f>
        <v>52/52</v>
      </c>
      <c r="K11599" s="1" t="str">
        <f>"2026-07-29 14:21:37"</f>
        <v>2026-07-29 14:21:37</v>
      </c>
      <c r="L11599" s="1" t="str">
        <f>"2023-08-16 10:24:15"</f>
        <v>2023-08-16 10:24:15</v>
      </c>
      <c r="M11599" s="1" t="s">
        <v>4</v>
      </c>
      <c r="N11599" s="1" t="s">
        <v>38</v>
      </c>
      <c r="O11599" s="1" t="s">
        <v>46</v>
      </c>
    </row>
    <row r="11600" spans="2:15" x14ac:dyDescent="0.3">
      <c r="B11600" s="1" t="s">
        <v>20</v>
      </c>
      <c r="C11600" s="1" t="str">
        <f>"6차"</f>
        <v>6차</v>
      </c>
      <c r="D11600" s="1" t="str">
        <f>"9625D2626S"</f>
        <v>9625D2626S</v>
      </c>
      <c r="E11600" s="1" t="s">
        <v>10</v>
      </c>
      <c r="F11600" s="1" t="str">
        <f>"fde1:103:4:c6d9:0:0:0:2"</f>
        <v>fde1:103:4:c6d9:0:0:0:2</v>
      </c>
      <c r="G11600" s="1" t="str">
        <f>"9625D262"</f>
        <v>9625D262</v>
      </c>
      <c r="H11600" s="1" t="str">
        <f>"당수간 47L7L2"</f>
        <v>당수간 47L7L2</v>
      </c>
      <c r="I11600" s="1" t="s">
        <v>15</v>
      </c>
      <c r="J11600" s="1" t="str">
        <f>"25/37"</f>
        <v>25/37</v>
      </c>
      <c r="K11600" s="1" t="str">
        <f>"2026-07-29 14:21:37"</f>
        <v>2026-07-29 14:21:37</v>
      </c>
      <c r="L11600" s="1" t="str">
        <f>"2024-11-07 13:13:37"</f>
        <v>2024-11-07 13:13:37</v>
      </c>
      <c r="M11600" s="1" t="s">
        <v>4</v>
      </c>
      <c r="N11600" s="1" t="s">
        <v>38</v>
      </c>
      <c r="O11600" s="1" t="s">
        <v>46</v>
      </c>
    </row>
    <row r="11601" spans="2:15" x14ac:dyDescent="0.3">
      <c r="B11601" s="1" t="s">
        <v>20</v>
      </c>
      <c r="C11601" s="1" t="str">
        <f>"6차"</f>
        <v>6차</v>
      </c>
      <c r="D11601" s="1" t="str">
        <f>"9625D2716S"</f>
        <v>9625D2716S</v>
      </c>
      <c r="E11601" s="1" t="s">
        <v>10</v>
      </c>
      <c r="F11601" s="1" t="str">
        <f>"fde1:103:4:c6c4:0:0:0:2"</f>
        <v>fde1:103:4:c6c4:0:0:0:2</v>
      </c>
      <c r="G11601" s="1" t="str">
        <f>"9625D271"</f>
        <v>9625D271</v>
      </c>
      <c r="H11601" s="1" t="str">
        <f>"당수간 47L5L3H1"</f>
        <v>당수간 47L5L3H1</v>
      </c>
      <c r="I11601" s="1" t="s">
        <v>15</v>
      </c>
      <c r="J11601" s="1" t="str">
        <f>"74/74"</f>
        <v>74/74</v>
      </c>
      <c r="K11601" s="1" t="str">
        <f>"2026-07-29 14:21:37"</f>
        <v>2026-07-29 14:21:37</v>
      </c>
      <c r="L11601" s="1" t="str">
        <f>"2024-11-07 13:13:18"</f>
        <v>2024-11-07 13:13:18</v>
      </c>
      <c r="M11601" s="1" t="s">
        <v>4</v>
      </c>
      <c r="N11601" s="1" t="s">
        <v>38</v>
      </c>
      <c r="O11601" s="1" t="s">
        <v>46</v>
      </c>
    </row>
    <row r="11602" spans="2:15" x14ac:dyDescent="0.3">
      <c r="B11602" s="1" t="s">
        <v>20</v>
      </c>
      <c r="C11602" s="1" t="str">
        <f>"6차"</f>
        <v>6차</v>
      </c>
      <c r="D11602" s="1" t="str">
        <f>"9625D2746S"</f>
        <v>9625D2746S</v>
      </c>
      <c r="E11602" s="1" t="s">
        <v>10</v>
      </c>
      <c r="F11602" s="1" t="str">
        <f>"fde1:103:4:c6a7:0:0:0:2"</f>
        <v>fde1:103:4:c6a7:0:0:0:2</v>
      </c>
      <c r="G11602" s="1" t="str">
        <f>"9625D274"</f>
        <v>9625D274</v>
      </c>
      <c r="H11602" s="1" t="str">
        <f>"당수간 47L5L3"</f>
        <v>당수간 47L5L3</v>
      </c>
      <c r="I11602" s="1" t="s">
        <v>15</v>
      </c>
      <c r="J11602" s="1" t="str">
        <f>"68/76"</f>
        <v>68/76</v>
      </c>
      <c r="K11602" s="1" t="str">
        <f>"2026-07-29 14:21:36"</f>
        <v>2026-07-29 14:21:36</v>
      </c>
      <c r="L11602" s="1" t="str">
        <f>"2024-11-07 13:13:25"</f>
        <v>2024-11-07 13:13:25</v>
      </c>
      <c r="M11602" s="1" t="s">
        <v>4</v>
      </c>
      <c r="N11602" s="1" t="s">
        <v>38</v>
      </c>
      <c r="O11602" s="1" t="s">
        <v>46</v>
      </c>
    </row>
    <row r="11603" spans="2:15" x14ac:dyDescent="0.3">
      <c r="B11603" s="1" t="s">
        <v>20</v>
      </c>
      <c r="C11603" s="1" t="str">
        <f>"6차"</f>
        <v>6차</v>
      </c>
      <c r="D11603" s="1" t="str">
        <f>"9625D3126S"</f>
        <v>9625D3126S</v>
      </c>
      <c r="E11603" s="1" t="s">
        <v>10</v>
      </c>
      <c r="F11603" s="1" t="str">
        <f>"fde1:103:4:91cf:0:0:0:2"</f>
        <v>fde1:103:4:91cf:0:0:0:2</v>
      </c>
      <c r="G11603" s="1" t="str">
        <f>"9625D312"</f>
        <v>9625D312</v>
      </c>
      <c r="H11603" s="1" t="str">
        <f>"당수간 23R3"</f>
        <v>당수간 23R3</v>
      </c>
      <c r="I11603" s="1" t="s">
        <v>15</v>
      </c>
      <c r="J11603" s="1" t="str">
        <f>"84/84"</f>
        <v>84/84</v>
      </c>
      <c r="K11603" s="1" t="str">
        <f>"2026-07-29 02:21:48"</f>
        <v>2026-07-29 02:21:48</v>
      </c>
      <c r="L11603" s="1" t="str">
        <f>"2025-02-18 15:53:02"</f>
        <v>2025-02-18 15:53:02</v>
      </c>
      <c r="M11603" s="1" t="s">
        <v>4</v>
      </c>
      <c r="N11603" s="1" t="s">
        <v>38</v>
      </c>
      <c r="O11603" s="1" t="s">
        <v>46</v>
      </c>
    </row>
    <row r="11604" spans="2:15" x14ac:dyDescent="0.3">
      <c r="B11604" s="1" t="s">
        <v>20</v>
      </c>
      <c r="C11604" s="1" t="str">
        <f>"6차"</f>
        <v>6차</v>
      </c>
      <c r="D11604" s="1" t="str">
        <f>"9625D3316S"</f>
        <v>9625D3316S</v>
      </c>
      <c r="E11604" s="1" t="s">
        <v>10</v>
      </c>
      <c r="F11604" s="1" t="str">
        <f>"fde1:103:4:c644:0:0:0:2"</f>
        <v>fde1:103:4:c644:0:0:0:2</v>
      </c>
      <c r="G11604" s="1" t="str">
        <f>"9625D331"</f>
        <v>9625D331</v>
      </c>
      <c r="H11604" s="1" t="str">
        <f>"당수간 25"</f>
        <v>당수간 25</v>
      </c>
      <c r="I11604" s="1" t="s">
        <v>15</v>
      </c>
      <c r="J11604" s="1" t="str">
        <f>"97/101"</f>
        <v>97/101</v>
      </c>
      <c r="K11604" s="1" t="str">
        <f>"2026-07-29 14:21:19"</f>
        <v>2026-07-29 14:21:19</v>
      </c>
      <c r="L11604" s="1" t="str">
        <f>"2024-11-07 08:33:22"</f>
        <v>2024-11-07 08:33:22</v>
      </c>
      <c r="M11604" s="1" t="s">
        <v>4</v>
      </c>
      <c r="N11604" s="1" t="s">
        <v>38</v>
      </c>
      <c r="O11604" s="1" t="s">
        <v>46</v>
      </c>
    </row>
    <row r="11605" spans="2:15" x14ac:dyDescent="0.3">
      <c r="B11605" s="1" t="s">
        <v>20</v>
      </c>
      <c r="C11605" s="1" t="str">
        <f>"5-2차"</f>
        <v>5-2차</v>
      </c>
      <c r="D11605" s="1" t="str">
        <f>"9625D3815M"</f>
        <v>9625D3815M</v>
      </c>
      <c r="E11605" s="1" t="s">
        <v>10</v>
      </c>
      <c r="F11605" s="1" t="str">
        <f>"fde1:103:4:5675:0:0:0:2"</f>
        <v>fde1:103:4:5675:0:0:0:2</v>
      </c>
      <c r="G11605" s="1" t="str">
        <f>"9625D381"</f>
        <v>9625D381</v>
      </c>
      <c r="H11605" s="1" t="str">
        <f>"당수간 35L4"</f>
        <v>당수간 35L4</v>
      </c>
      <c r="I11605" s="1" t="s">
        <v>15</v>
      </c>
      <c r="J11605" s="1" t="str">
        <f>"51/51"</f>
        <v>51/51</v>
      </c>
      <c r="K11605" s="1" t="str">
        <f>"2026-07-29 14:21:38"</f>
        <v>2026-07-29 14:21:38</v>
      </c>
      <c r="L11605" s="1" t="str">
        <f>"2023-08-16 10:28:33"</f>
        <v>2023-08-16 10:28:33</v>
      </c>
      <c r="M11605" s="1" t="s">
        <v>4</v>
      </c>
      <c r="N11605" s="1" t="s">
        <v>38</v>
      </c>
      <c r="O11605" s="1" t="s">
        <v>46</v>
      </c>
    </row>
    <row r="11606" spans="2:15" x14ac:dyDescent="0.3">
      <c r="B11606" s="1" t="s">
        <v>20</v>
      </c>
      <c r="C11606" s="1" t="str">
        <f>"5-2차"</f>
        <v>5-2차</v>
      </c>
      <c r="D11606" s="1" t="str">
        <f>"9625D3925M"</f>
        <v>9625D3925M</v>
      </c>
      <c r="E11606" s="1" t="s">
        <v>10</v>
      </c>
      <c r="F11606" s="1" t="str">
        <f>"fde1:103:4:5609:0:0:0:2"</f>
        <v>fde1:103:4:5609:0:0:0:2</v>
      </c>
      <c r="G11606" s="1" t="str">
        <f>"9625D392"</f>
        <v>9625D392</v>
      </c>
      <c r="H11606" s="1" t="str">
        <f>"당수간 36L3"</f>
        <v>당수간 36L3</v>
      </c>
      <c r="I11606" s="1" t="s">
        <v>15</v>
      </c>
      <c r="J11606" s="1" t="str">
        <f>"92/92"</f>
        <v>92/92</v>
      </c>
      <c r="K11606" s="1" t="str">
        <f>"2026-07-29 14:21:07"</f>
        <v>2026-07-29 14:21:07</v>
      </c>
      <c r="L11606" s="1" t="str">
        <f>"2023-08-16 10:47:11"</f>
        <v>2023-08-16 10:47:11</v>
      </c>
      <c r="M11606" s="1" t="s">
        <v>4</v>
      </c>
      <c r="N11606" s="1" t="s">
        <v>38</v>
      </c>
      <c r="O11606" s="1" t="s">
        <v>46</v>
      </c>
    </row>
    <row r="11607" spans="2:15" x14ac:dyDescent="0.3">
      <c r="B11607" s="1" t="s">
        <v>20</v>
      </c>
      <c r="C11607" s="1" t="str">
        <f>"5-2차"</f>
        <v>5-2차</v>
      </c>
      <c r="D11607" s="1" t="str">
        <f>"9625D4115M"</f>
        <v>9625D4115M</v>
      </c>
      <c r="E11607" s="1" t="s">
        <v>10</v>
      </c>
      <c r="F11607" s="1" t="str">
        <f>"fde3:102:1300:2f0d:0:0:0:2"</f>
        <v>fde3:102:1300:2f0d:0:0:0:2</v>
      </c>
      <c r="G11607" s="1" t="str">
        <f>"9625D411"</f>
        <v>9625D411</v>
      </c>
      <c r="H11607" s="1" t="str">
        <f>"합정지 26"</f>
        <v>합정지 26</v>
      </c>
      <c r="I11607" s="1" t="s">
        <v>15</v>
      </c>
      <c r="J11607" s="1" t="str">
        <f>"67/67"</f>
        <v>67/67</v>
      </c>
      <c r="K11607" s="1" t="str">
        <f>"2026-07-29 14:20:49"</f>
        <v>2026-07-29 14:20:49</v>
      </c>
      <c r="L11607" s="1" t="str">
        <f>"2023-09-19 15:16:45"</f>
        <v>2023-09-19 15:16:45</v>
      </c>
      <c r="M11607" s="1" t="s">
        <v>45</v>
      </c>
      <c r="N11607" s="1" t="s">
        <v>38</v>
      </c>
      <c r="O11607" s="1" t="s">
        <v>46</v>
      </c>
    </row>
    <row r="11608" spans="2:15" x14ac:dyDescent="0.3">
      <c r="B11608" s="1" t="s">
        <v>20</v>
      </c>
      <c r="C11608" s="1" t="str">
        <f>"5-2차"</f>
        <v>5-2차</v>
      </c>
      <c r="D11608" s="1" t="str">
        <f>"9625D4125M"</f>
        <v>9625D4125M</v>
      </c>
      <c r="E11608" s="1" t="s">
        <v>10</v>
      </c>
      <c r="F11608" s="1" t="str">
        <f>"fde3:102:1300:2600:0:0:0:2"</f>
        <v>fde3:102:1300:2600:0:0:0:2</v>
      </c>
      <c r="G11608" s="1" t="str">
        <f>"9625D412"</f>
        <v>9625D412</v>
      </c>
      <c r="H11608" s="1" t="str">
        <f>"합정지 25"</f>
        <v>합정지 25</v>
      </c>
      <c r="I11608" s="1" t="s">
        <v>15</v>
      </c>
      <c r="J11608" s="1" t="str">
        <f>"67/67"</f>
        <v>67/67</v>
      </c>
      <c r="K11608" s="1" t="str">
        <f>"2026-07-29 14:21:37"</f>
        <v>2026-07-29 14:21:37</v>
      </c>
      <c r="L11608" s="1" t="str">
        <f>"2023-11-23 15:20:30"</f>
        <v>2023-11-23 15:20:30</v>
      </c>
      <c r="M11608" s="1" t="s">
        <v>45</v>
      </c>
      <c r="N11608" s="1" t="s">
        <v>38</v>
      </c>
      <c r="O11608" s="1" t="s">
        <v>46</v>
      </c>
    </row>
    <row r="11609" spans="2:15" x14ac:dyDescent="0.3">
      <c r="B11609" s="1" t="s">
        <v>20</v>
      </c>
      <c r="C11609" s="1" t="str">
        <f>"5-1차"</f>
        <v>5-1차</v>
      </c>
      <c r="D11609" s="1" t="str">
        <f>"9625D4135M"</f>
        <v>9625D4135M</v>
      </c>
      <c r="E11609" s="1" t="s">
        <v>10</v>
      </c>
      <c r="F11609" s="1" t="str">
        <f>"fde3:102:1300:2f04:0:0:0:2"</f>
        <v>fde3:102:1300:2f04:0:0:0:2</v>
      </c>
      <c r="G11609" s="1" t="str">
        <f>"9625D413"</f>
        <v>9625D413</v>
      </c>
      <c r="H11609" s="1" t="str">
        <f>"합정지 32L4L5"</f>
        <v>합정지 32L4L5</v>
      </c>
      <c r="I11609" s="1" t="s">
        <v>15</v>
      </c>
      <c r="J11609" s="1" t="str">
        <f>"38/38"</f>
        <v>38/38</v>
      </c>
      <c r="K11609" s="1" t="str">
        <f>"2026-07-29 14:21:07"</f>
        <v>2026-07-29 14:21:07</v>
      </c>
      <c r="L11609" s="1" t="str">
        <f>"2022-12-15 10:49:54"</f>
        <v>2022-12-15 10:49:54</v>
      </c>
      <c r="M11609" s="1" t="s">
        <v>45</v>
      </c>
      <c r="N11609" s="1" t="s">
        <v>38</v>
      </c>
      <c r="O11609" s="1" t="s">
        <v>46</v>
      </c>
    </row>
    <row r="11610" spans="2:15" x14ac:dyDescent="0.3">
      <c r="B11610" s="1" t="s">
        <v>20</v>
      </c>
      <c r="C11610" s="1" t="str">
        <f>"1차"</f>
        <v>1차</v>
      </c>
      <c r="D11610" s="1" t="str">
        <f>"9625D43100"</f>
        <v>9625D43100</v>
      </c>
      <c r="E11610" s="1" t="s">
        <v>10</v>
      </c>
      <c r="F11610" s="1" t="str">
        <f>"10.125.129.28"</f>
        <v>10.125.129.28</v>
      </c>
      <c r="G11610" s="1" t="str">
        <f>"9625D431"</f>
        <v>9625D431</v>
      </c>
      <c r="H11610" s="1" t="str">
        <f>"당수간 25R2"</f>
        <v>당수간 25R2</v>
      </c>
      <c r="I11610" s="1" t="s">
        <v>8</v>
      </c>
      <c r="J11610" s="1" t="str">
        <f>"60/64"</f>
        <v>60/64</v>
      </c>
      <c r="K11610" s="1" t="str">
        <f>"2026-07-29 13:18:10"</f>
        <v>2026-07-29 13:18:10</v>
      </c>
      <c r="L11610" s="1" t="str">
        <f>"2014-12-05 12:41:21"</f>
        <v>2014-12-05 12:41:21</v>
      </c>
      <c r="M11610" s="1" t="s">
        <v>45</v>
      </c>
      <c r="N11610" s="1" t="s">
        <v>38</v>
      </c>
      <c r="O11610" s="1" t="s">
        <v>46</v>
      </c>
    </row>
    <row r="11611" spans="2:15" x14ac:dyDescent="0.3">
      <c r="B11611" s="1" t="s">
        <v>20</v>
      </c>
      <c r="C11611" s="1" t="str">
        <f>"5-2차"</f>
        <v>5-2차</v>
      </c>
      <c r="D11611" s="1" t="str">
        <f>"9625D4415S"</f>
        <v>9625D4415S</v>
      </c>
      <c r="E11611" s="1" t="s">
        <v>10</v>
      </c>
      <c r="F11611" s="1" t="str">
        <f>"fde1:103:4:5603:0:0:0:2"</f>
        <v>fde1:103:4:5603:0:0:0:2</v>
      </c>
      <c r="G11611" s="1" t="str">
        <f>"9625D441"</f>
        <v>9625D441</v>
      </c>
      <c r="H11611" s="1" t="str">
        <f>"당수간 26"</f>
        <v>당수간 26</v>
      </c>
      <c r="I11611" s="1" t="s">
        <v>15</v>
      </c>
      <c r="J11611" s="1" t="str">
        <f>"11/11"</f>
        <v>11/11</v>
      </c>
      <c r="K11611" s="1" t="str">
        <f>"2026-07-29 14:21:38"</f>
        <v>2026-07-29 14:21:38</v>
      </c>
      <c r="L11611" s="1" t="str">
        <f>"2023-08-30 10:46:08"</f>
        <v>2023-08-30 10:46:08</v>
      </c>
      <c r="M11611" s="1" t="s">
        <v>4</v>
      </c>
      <c r="N11611" s="1" t="s">
        <v>38</v>
      </c>
      <c r="O11611" s="1" t="s">
        <v>46</v>
      </c>
    </row>
    <row r="11612" spans="2:15" x14ac:dyDescent="0.3">
      <c r="B11612" s="1" t="s">
        <v>20</v>
      </c>
      <c r="C11612" s="1" t="str">
        <f>"6차"</f>
        <v>6차</v>
      </c>
      <c r="D11612" s="1" t="str">
        <f>"9625D4516S"</f>
        <v>9625D4516S</v>
      </c>
      <c r="E11612" s="1" t="s">
        <v>10</v>
      </c>
      <c r="F11612" s="1" t="str">
        <f>"fde3:102:1300:2b01:0:0:0:3"</f>
        <v>fde3:102:1300:2b01:0:0:0:3</v>
      </c>
      <c r="G11612" s="1" t="str">
        <f>"9625D451"</f>
        <v>9625D451</v>
      </c>
      <c r="H11612" s="1" t="str">
        <f>"당수간 27"</f>
        <v>당수간 27</v>
      </c>
      <c r="I11612" s="1" t="s">
        <v>15</v>
      </c>
      <c r="J11612" s="1" t="str">
        <f>"33/33"</f>
        <v>33/33</v>
      </c>
      <c r="K11612" s="1" t="str">
        <f>"2026-07-29 14:21:06"</f>
        <v>2026-07-29 14:21:06</v>
      </c>
      <c r="L11612" s="1" t="str">
        <f>"2024-11-26 13:56:57"</f>
        <v>2024-11-26 13:56:57</v>
      </c>
      <c r="M11612" s="1" t="s">
        <v>45</v>
      </c>
      <c r="N11612" s="1" t="s">
        <v>38</v>
      </c>
      <c r="O11612" s="1" t="s">
        <v>46</v>
      </c>
    </row>
    <row r="11613" spans="2:15" x14ac:dyDescent="0.3">
      <c r="B11613" s="1" t="s">
        <v>20</v>
      </c>
      <c r="C11613" s="1" t="str">
        <f>"5-2차"</f>
        <v>5-2차</v>
      </c>
      <c r="D11613" s="1" t="str">
        <f>"9625D4625S"</f>
        <v>9625D4625S</v>
      </c>
      <c r="E11613" s="1" t="s">
        <v>10</v>
      </c>
      <c r="F11613" s="1" t="str">
        <f>"fde1:103:4:55a9:0:0:0:2"</f>
        <v>fde1:103:4:55a9:0:0:0:2</v>
      </c>
      <c r="G11613" s="1" t="str">
        <f>"9625D462"</f>
        <v>9625D462</v>
      </c>
      <c r="H11613" s="1" t="str">
        <f>"당수간 29L2"</f>
        <v>당수간 29L2</v>
      </c>
      <c r="I11613" s="1" t="s">
        <v>15</v>
      </c>
      <c r="J11613" s="1" t="str">
        <f>"40/40"</f>
        <v>40/40</v>
      </c>
      <c r="K11613" s="1" t="str">
        <f>"2026-07-29 14:21:38"</f>
        <v>2026-07-29 14:21:38</v>
      </c>
      <c r="L11613" s="1" t="str">
        <f>"2023-08-30 11:03:07"</f>
        <v>2023-08-30 11:03:07</v>
      </c>
      <c r="M11613" s="1" t="s">
        <v>4</v>
      </c>
      <c r="N11613" s="1" t="s">
        <v>38</v>
      </c>
      <c r="O11613" s="1" t="s">
        <v>46</v>
      </c>
    </row>
    <row r="11614" spans="2:15" x14ac:dyDescent="0.3">
      <c r="B11614" s="1" t="s">
        <v>20</v>
      </c>
      <c r="C11614" s="1" t="str">
        <f>"5-2차"</f>
        <v>5-2차</v>
      </c>
      <c r="D11614" s="1" t="str">
        <f>"9625D4725S"</f>
        <v>9625D4725S</v>
      </c>
      <c r="E11614" s="1" t="s">
        <v>10</v>
      </c>
      <c r="F11614" s="1" t="str">
        <f>"fde1:103:4:55c0:0:0:0:2"</f>
        <v>fde1:103:4:55c0:0:0:0:2</v>
      </c>
      <c r="G11614" s="1" t="str">
        <f>"9625D472"</f>
        <v>9625D472</v>
      </c>
      <c r="H11614" s="1" t="str">
        <f>"당수간 35L2L2"</f>
        <v>당수간 35L2L2</v>
      </c>
      <c r="I11614" s="1" t="s">
        <v>15</v>
      </c>
      <c r="J11614" s="1" t="str">
        <f>"47/49"</f>
        <v>47/49</v>
      </c>
      <c r="K11614" s="1" t="str">
        <f>"2026-07-29 14:21:44"</f>
        <v>2026-07-29 14:21:44</v>
      </c>
      <c r="L11614" s="1" t="str">
        <f>"2023-08-30 11:12:06"</f>
        <v>2023-08-30 11:12:06</v>
      </c>
      <c r="M11614" s="1" t="s">
        <v>4</v>
      </c>
      <c r="N11614" s="1" t="s">
        <v>38</v>
      </c>
      <c r="O11614" s="1" t="s">
        <v>46</v>
      </c>
    </row>
    <row r="11615" spans="2:15" x14ac:dyDescent="0.3">
      <c r="B11615" s="1" t="s">
        <v>20</v>
      </c>
      <c r="C11615" s="1" t="str">
        <f>"6차"</f>
        <v>6차</v>
      </c>
      <c r="D11615" s="1" t="str">
        <f>"9625D4816S"</f>
        <v>9625D4816S</v>
      </c>
      <c r="E11615" s="1" t="s">
        <v>10</v>
      </c>
      <c r="F11615" s="1" t="str">
        <f>"fde1:103:4:c64c:0:0:0:2"</f>
        <v>fde1:103:4:c64c:0:0:0:2</v>
      </c>
      <c r="G11615" s="1" t="str">
        <f>"9625D481"</f>
        <v>9625D481</v>
      </c>
      <c r="H11615" s="1" t="str">
        <f>"당수간 35L2"</f>
        <v>당수간 35L2</v>
      </c>
      <c r="I11615" s="1" t="s">
        <v>15</v>
      </c>
      <c r="J11615" s="1" t="str">
        <f>"77/78"</f>
        <v>77/78</v>
      </c>
      <c r="K11615" s="1" t="str">
        <f>"2026-07-29 14:21:38"</f>
        <v>2026-07-29 14:21:38</v>
      </c>
      <c r="L11615" s="1" t="str">
        <f>"2024-11-07 08:33:27"</f>
        <v>2024-11-07 08:33:27</v>
      </c>
      <c r="M11615" s="1" t="s">
        <v>4</v>
      </c>
      <c r="N11615" s="1" t="s">
        <v>38</v>
      </c>
      <c r="O11615" s="1" t="s">
        <v>46</v>
      </c>
    </row>
    <row r="11616" spans="2:15" x14ac:dyDescent="0.3">
      <c r="B11616" s="1" t="s">
        <v>20</v>
      </c>
      <c r="C11616" s="1" t="str">
        <f t="shared" ref="C11616:C11621" si="579">"5-2차"</f>
        <v>5-2차</v>
      </c>
      <c r="D11616" s="1" t="str">
        <f>"9625D5015M"</f>
        <v>9625D5015M</v>
      </c>
      <c r="E11616" s="1" t="s">
        <v>10</v>
      </c>
      <c r="F11616" s="1" t="str">
        <f>"fde3:102:1300:2f0a:0:0:0:2"</f>
        <v>fde3:102:1300:2f0a:0:0:0:2</v>
      </c>
      <c r="G11616" s="1" t="str">
        <f>"9625D501"</f>
        <v>9625D501</v>
      </c>
      <c r="H11616" s="1" t="str">
        <f>"합정지 21R2"</f>
        <v>합정지 21R2</v>
      </c>
      <c r="I11616" s="1" t="s">
        <v>15</v>
      </c>
      <c r="J11616" s="1" t="str">
        <f>"122/122"</f>
        <v>122/122</v>
      </c>
      <c r="K11616" s="1" t="str">
        <f>"2026-07-29 14:21:44"</f>
        <v>2026-07-29 14:21:44</v>
      </c>
      <c r="L11616" s="1" t="str">
        <f>"2023-09-04 12:04:50"</f>
        <v>2023-09-04 12:04:50</v>
      </c>
      <c r="M11616" s="1" t="s">
        <v>45</v>
      </c>
      <c r="N11616" s="1" t="s">
        <v>38</v>
      </c>
      <c r="O11616" s="1" t="s">
        <v>46</v>
      </c>
    </row>
    <row r="11617" spans="2:15" x14ac:dyDescent="0.3">
      <c r="B11617" s="1" t="s">
        <v>20</v>
      </c>
      <c r="C11617" s="1" t="str">
        <f t="shared" si="579"/>
        <v>5-2차</v>
      </c>
      <c r="D11617" s="1" t="str">
        <f>"9625D5325M"</f>
        <v>9625D5325M</v>
      </c>
      <c r="E11617" s="1" t="s">
        <v>10</v>
      </c>
      <c r="F11617" s="1" t="str">
        <f>"fde1:103:4:55e7:0:0:0:2"</f>
        <v>fde1:103:4:55e7:0:0:0:2</v>
      </c>
      <c r="G11617" s="1" t="str">
        <f>"9625D532"</f>
        <v>9625D532</v>
      </c>
      <c r="H11617" s="1" t="str">
        <f>"합정지 32L12L1"</f>
        <v>합정지 32L12L1</v>
      </c>
      <c r="I11617" s="1" t="s">
        <v>15</v>
      </c>
      <c r="J11617" s="1" t="str">
        <f>"129/129"</f>
        <v>129/129</v>
      </c>
      <c r="K11617" s="1" t="str">
        <f>"2026-07-29 14:21:17"</f>
        <v>2026-07-29 14:21:17</v>
      </c>
      <c r="L11617" s="1" t="str">
        <f>"2023-08-16 10:50:31"</f>
        <v>2023-08-16 10:50:31</v>
      </c>
      <c r="M11617" s="1" t="s">
        <v>4</v>
      </c>
      <c r="N11617" s="1" t="s">
        <v>38</v>
      </c>
      <c r="O11617" s="1" t="s">
        <v>46</v>
      </c>
    </row>
    <row r="11618" spans="2:15" x14ac:dyDescent="0.3">
      <c r="B11618" s="1" t="s">
        <v>20</v>
      </c>
      <c r="C11618" s="1" t="str">
        <f t="shared" si="579"/>
        <v>5-2차</v>
      </c>
      <c r="D11618" s="1" t="str">
        <f>"9625D5425M"</f>
        <v>9625D5425M</v>
      </c>
      <c r="E11618" s="1" t="s">
        <v>10</v>
      </c>
      <c r="F11618" s="1" t="str">
        <f>"fde1:103:4:5989:0:0:0:2"</f>
        <v>fde1:103:4:5989:0:0:0:2</v>
      </c>
      <c r="G11618" s="1" t="str">
        <f>"9625D542"</f>
        <v>9625D542</v>
      </c>
      <c r="H11618" s="1" t="str">
        <f>"합정지 32L12R1"</f>
        <v>합정지 32L12R1</v>
      </c>
      <c r="I11618" s="1" t="s">
        <v>15</v>
      </c>
      <c r="J11618" s="1" t="str">
        <f>"40/40"</f>
        <v>40/40</v>
      </c>
      <c r="K11618" s="1" t="str">
        <f>"2026-07-29 14:21:38"</f>
        <v>2026-07-29 14:21:38</v>
      </c>
      <c r="L11618" s="1" t="str">
        <f>"2023-12-05 14:55:03"</f>
        <v>2023-12-05 14:55:03</v>
      </c>
      <c r="M11618" s="1" t="s">
        <v>4</v>
      </c>
      <c r="N11618" s="1" t="s">
        <v>38</v>
      </c>
      <c r="O11618" s="1" t="s">
        <v>46</v>
      </c>
    </row>
    <row r="11619" spans="2:15" x14ac:dyDescent="0.3">
      <c r="B11619" s="1" t="s">
        <v>20</v>
      </c>
      <c r="C11619" s="1" t="str">
        <f t="shared" si="579"/>
        <v>5-2차</v>
      </c>
      <c r="D11619" s="1" t="str">
        <f>"9625D5525S"</f>
        <v>9625D5525S</v>
      </c>
      <c r="E11619" s="1" t="s">
        <v>10</v>
      </c>
      <c r="F11619" s="1" t="str">
        <f>"fde1:103:4:55b1:0:0:0:2"</f>
        <v>fde1:103:4:55b1:0:0:0:2</v>
      </c>
      <c r="G11619" s="1" t="str">
        <f>"9625D552"</f>
        <v>9625D552</v>
      </c>
      <c r="H11619" s="1" t="str">
        <f>"당수간 29R4"</f>
        <v>당수간 29R4</v>
      </c>
      <c r="I11619" s="1" t="s">
        <v>15</v>
      </c>
      <c r="J11619" s="1" t="str">
        <f>"50/51"</f>
        <v>50/51</v>
      </c>
      <c r="K11619" s="1" t="str">
        <f>"2026-07-29 14:21:07"</f>
        <v>2026-07-29 14:21:07</v>
      </c>
      <c r="L11619" s="1" t="str">
        <f>"2023-08-30 11:22:14"</f>
        <v>2023-08-30 11:22:14</v>
      </c>
      <c r="M11619" s="1" t="s">
        <v>4</v>
      </c>
      <c r="N11619" s="1" t="s">
        <v>38</v>
      </c>
      <c r="O11619" s="1" t="s">
        <v>46</v>
      </c>
    </row>
    <row r="11620" spans="2:15" x14ac:dyDescent="0.3">
      <c r="B11620" s="1" t="s">
        <v>20</v>
      </c>
      <c r="C11620" s="1" t="str">
        <f t="shared" si="579"/>
        <v>5-2차</v>
      </c>
      <c r="D11620" s="1" t="str">
        <f>"9625D5615S"</f>
        <v>9625D5615S</v>
      </c>
      <c r="E11620" s="1" t="s">
        <v>10</v>
      </c>
      <c r="F11620" s="1" t="str">
        <f>"fde1:103:4:55b6:0:0:0:2"</f>
        <v>fde1:103:4:55b6:0:0:0:2</v>
      </c>
      <c r="G11620" s="1" t="str">
        <f>"9625D561"</f>
        <v>9625D561</v>
      </c>
      <c r="H11620" s="1" t="str">
        <f>"당수간 28"</f>
        <v>당수간 28</v>
      </c>
      <c r="I11620" s="1" t="s">
        <v>15</v>
      </c>
      <c r="J11620" s="1" t="str">
        <f>"63/63"</f>
        <v>63/63</v>
      </c>
      <c r="K11620" s="1" t="str">
        <f>"2026-07-29 14:20:50"</f>
        <v>2026-07-29 14:20:50</v>
      </c>
      <c r="L11620" s="1" t="str">
        <f>"2023-08-30 13:15:21"</f>
        <v>2023-08-30 13:15:21</v>
      </c>
      <c r="M11620" s="1" t="s">
        <v>4</v>
      </c>
      <c r="N11620" s="1" t="s">
        <v>38</v>
      </c>
      <c r="O11620" s="1" t="s">
        <v>46</v>
      </c>
    </row>
    <row r="11621" spans="2:15" x14ac:dyDescent="0.3">
      <c r="B11621" s="1" t="s">
        <v>20</v>
      </c>
      <c r="C11621" s="1" t="str">
        <f t="shared" si="579"/>
        <v>5-2차</v>
      </c>
      <c r="D11621" s="1" t="str">
        <f>"9625D5655M"</f>
        <v>9625D5655M</v>
      </c>
      <c r="E11621" s="1" t="s">
        <v>10</v>
      </c>
      <c r="F11621" s="1" t="str">
        <f>"fde1:103:4:566c:0:0:0:2"</f>
        <v>fde1:103:4:566c:0:0:0:2</v>
      </c>
      <c r="G11621" s="1" t="str">
        <f>"9625D565"</f>
        <v>9625D565</v>
      </c>
      <c r="H11621" s="1" t="str">
        <f>"당수간 29R1"</f>
        <v>당수간 29R1</v>
      </c>
      <c r="I11621" s="1" t="s">
        <v>15</v>
      </c>
      <c r="J11621" s="1" t="str">
        <f>"73/73"</f>
        <v>73/73</v>
      </c>
      <c r="K11621" s="1" t="str">
        <f>"2026-07-29 14:20:53"</f>
        <v>2026-07-29 14:20:53</v>
      </c>
      <c r="L11621" s="1" t="str">
        <f>"2023-08-16 11:10:57"</f>
        <v>2023-08-16 11:10:57</v>
      </c>
      <c r="M11621" s="1" t="s">
        <v>4</v>
      </c>
      <c r="N11621" s="1" t="s">
        <v>38</v>
      </c>
      <c r="O11621" s="1" t="s">
        <v>46</v>
      </c>
    </row>
    <row r="11622" spans="2:15" x14ac:dyDescent="0.3">
      <c r="B11622" s="1" t="s">
        <v>20</v>
      </c>
      <c r="C11622" s="1" t="str">
        <f>"6차"</f>
        <v>6차</v>
      </c>
      <c r="D11622" s="1" t="str">
        <f>"9625D5726S"</f>
        <v>9625D5726S</v>
      </c>
      <c r="E11622" s="1" t="s">
        <v>10</v>
      </c>
      <c r="F11622" s="1" t="str">
        <f>"fde1:103:4:91dd:0:0:0:2"</f>
        <v>fde1:103:4:91dd:0:0:0:2</v>
      </c>
      <c r="G11622" s="1" t="str">
        <f>"9625D572"</f>
        <v>9625D572</v>
      </c>
      <c r="H11622" s="1" t="str">
        <f>"당수간 33R1R3"</f>
        <v>당수간 33R1R3</v>
      </c>
      <c r="I11622" s="1" t="s">
        <v>15</v>
      </c>
      <c r="J11622" s="1" t="str">
        <f>"31/31"</f>
        <v>31/31</v>
      </c>
      <c r="K11622" s="1" t="str">
        <f>"2026-07-29 14:21:39"</f>
        <v>2026-07-29 14:21:39</v>
      </c>
      <c r="L11622" s="1" t="str">
        <f>"2025-01-22 14:32:39"</f>
        <v>2025-01-22 14:32:39</v>
      </c>
      <c r="M11622" s="1" t="s">
        <v>4</v>
      </c>
      <c r="N11622" s="1" t="s">
        <v>38</v>
      </c>
      <c r="O11622" s="1" t="s">
        <v>46</v>
      </c>
    </row>
    <row r="11623" spans="2:15" x14ac:dyDescent="0.3">
      <c r="B11623" s="1" t="s">
        <v>20</v>
      </c>
      <c r="C11623" s="1" t="str">
        <f>"5-2차"</f>
        <v>5-2차</v>
      </c>
      <c r="D11623" s="1" t="str">
        <f>"9625D5825S"</f>
        <v>9625D5825S</v>
      </c>
      <c r="E11623" s="1" t="s">
        <v>10</v>
      </c>
      <c r="F11623" s="1" t="str">
        <f>"fde1:103:4:5585:0:0:0:2"</f>
        <v>fde1:103:4:5585:0:0:0:2</v>
      </c>
      <c r="G11623" s="1" t="str">
        <f>"9625D582"</f>
        <v>9625D582</v>
      </c>
      <c r="H11623" s="1" t="str">
        <f>"당수간 34L2"</f>
        <v>당수간 34L2</v>
      </c>
      <c r="I11623" s="1" t="s">
        <v>15</v>
      </c>
      <c r="J11623" s="1" t="str">
        <f>"42/42"</f>
        <v>42/42</v>
      </c>
      <c r="K11623" s="1" t="str">
        <f>"2026-07-29 14:21:07"</f>
        <v>2026-07-29 14:21:07</v>
      </c>
      <c r="L11623" s="1" t="str">
        <f>"2023-08-30 13:24:56"</f>
        <v>2023-08-30 13:24:56</v>
      </c>
      <c r="M11623" s="1" t="s">
        <v>4</v>
      </c>
      <c r="N11623" s="1" t="s">
        <v>38</v>
      </c>
      <c r="O11623" s="1" t="s">
        <v>46</v>
      </c>
    </row>
    <row r="11624" spans="2:15" x14ac:dyDescent="0.3">
      <c r="B11624" s="1" t="s">
        <v>20</v>
      </c>
      <c r="C11624" s="1" t="str">
        <f>"6차"</f>
        <v>6차</v>
      </c>
      <c r="D11624" s="1" t="str">
        <f>"9625D5946S"</f>
        <v>9625D5946S</v>
      </c>
      <c r="E11624" s="1" t="s">
        <v>10</v>
      </c>
      <c r="F11624" s="1" t="str">
        <f>"fde1:103:4:c6d0:0:0:0:2"</f>
        <v>fde1:103:4:c6d0:0:0:0:2</v>
      </c>
      <c r="G11624" s="1" t="str">
        <f>"9625D594"</f>
        <v>9625D594</v>
      </c>
      <c r="H11624" s="1" t="str">
        <f>"당수간 34"</f>
        <v>당수간 34</v>
      </c>
      <c r="I11624" s="1" t="s">
        <v>15</v>
      </c>
      <c r="J11624" s="1" t="str">
        <f>"27/27"</f>
        <v>27/27</v>
      </c>
      <c r="K11624" s="1" t="str">
        <f>"2026-07-29 08:21:20"</f>
        <v>2026-07-29 08:21:20</v>
      </c>
      <c r="L11624" s="1" t="str">
        <f>"2025-04-15 18:00:34"</f>
        <v>2025-04-15 18:00:34</v>
      </c>
      <c r="M11624" s="1" t="s">
        <v>4</v>
      </c>
      <c r="N11624" s="1" t="s">
        <v>38</v>
      </c>
      <c r="O11624" s="1" t="s">
        <v>46</v>
      </c>
    </row>
    <row r="11625" spans="2:15" x14ac:dyDescent="0.3">
      <c r="B11625" s="1" t="s">
        <v>20</v>
      </c>
      <c r="C11625" s="1" t="str">
        <f>"5-2차"</f>
        <v>5-2차</v>
      </c>
      <c r="D11625" s="1" t="str">
        <f>"9625D6025M"</f>
        <v>9625D6025M</v>
      </c>
      <c r="E11625" s="1" t="s">
        <v>10</v>
      </c>
      <c r="F11625" s="1" t="str">
        <f>"fde3:102:1300:2f0b:0:0:0:2"</f>
        <v>fde3:102:1300:2f0b:0:0:0:2</v>
      </c>
      <c r="G11625" s="1" t="str">
        <f>"9625D602"</f>
        <v>9625D602</v>
      </c>
      <c r="H11625" s="1" t="str">
        <f>"합정지 21R3"</f>
        <v>합정지 21R3</v>
      </c>
      <c r="I11625" s="1" t="s">
        <v>15</v>
      </c>
      <c r="J11625" s="1" t="str">
        <f>"65/65"</f>
        <v>65/65</v>
      </c>
      <c r="K11625" s="1" t="str">
        <f>"2026-07-29 14:20:49"</f>
        <v>2026-07-29 14:20:49</v>
      </c>
      <c r="L11625" s="1" t="str">
        <f>"2023-09-04 11:36:03"</f>
        <v>2023-09-04 11:36:03</v>
      </c>
      <c r="M11625" s="1" t="s">
        <v>45</v>
      </c>
      <c r="N11625" s="1" t="s">
        <v>38</v>
      </c>
      <c r="O11625" s="1" t="s">
        <v>46</v>
      </c>
    </row>
    <row r="11626" spans="2:15" x14ac:dyDescent="0.3">
      <c r="B11626" s="1" t="s">
        <v>20</v>
      </c>
      <c r="C11626" s="1" t="str">
        <f>"5-2차"</f>
        <v>5-2차</v>
      </c>
      <c r="D11626" s="1" t="str">
        <f>"9625D6415M"</f>
        <v>9625D6415M</v>
      </c>
      <c r="E11626" s="1" t="s">
        <v>10</v>
      </c>
      <c r="F11626" s="1" t="str">
        <f>"fde1:103:4:55c4:0:0:0:2"</f>
        <v>fde1:103:4:55c4:0:0:0:2</v>
      </c>
      <c r="G11626" s="1" t="str">
        <f>"9625D641"</f>
        <v>9625D641</v>
      </c>
      <c r="H11626" s="1" t="str">
        <f>"합정지 32L10"</f>
        <v>합정지 32L10</v>
      </c>
      <c r="I11626" s="1" t="s">
        <v>15</v>
      </c>
      <c r="J11626" s="1" t="str">
        <f>"161/161"</f>
        <v>161/161</v>
      </c>
      <c r="K11626" s="1" t="str">
        <f>"2026-07-29 14:21:02"</f>
        <v>2026-07-29 14:21:02</v>
      </c>
      <c r="L11626" s="1" t="str">
        <f>"2023-08-16 11:13:28"</f>
        <v>2023-08-16 11:13:28</v>
      </c>
      <c r="M11626" s="1" t="s">
        <v>4</v>
      </c>
      <c r="N11626" s="1" t="s">
        <v>38</v>
      </c>
      <c r="O11626" s="1" t="s">
        <v>46</v>
      </c>
    </row>
    <row r="11627" spans="2:15" x14ac:dyDescent="0.3">
      <c r="B11627" s="1" t="s">
        <v>20</v>
      </c>
      <c r="C11627" s="1" t="str">
        <f>"5-2차"</f>
        <v>5-2차</v>
      </c>
      <c r="D11627" s="1" t="str">
        <f>"9625D6515M"</f>
        <v>9625D6515M</v>
      </c>
      <c r="E11627" s="1" t="s">
        <v>10</v>
      </c>
      <c r="F11627" s="1" t="str">
        <f>"fde3:102:1300:2f10:0:0:0:2"</f>
        <v>fde3:102:1300:2f10:0:0:0:2</v>
      </c>
      <c r="G11627" s="1" t="str">
        <f>"9625D651"</f>
        <v>9625D651</v>
      </c>
      <c r="H11627" s="1" t="str">
        <f>"합정지 32L10R3"</f>
        <v>합정지 32L10R3</v>
      </c>
      <c r="I11627" s="1" t="s">
        <v>15</v>
      </c>
      <c r="J11627" s="1" t="str">
        <f>"29/29"</f>
        <v>29/29</v>
      </c>
      <c r="K11627" s="1" t="str">
        <f>"2026-07-29 14:21:39"</f>
        <v>2026-07-29 14:21:39</v>
      </c>
      <c r="L11627" s="1" t="str">
        <f>"2023-11-23 11:35:59"</f>
        <v>2023-11-23 11:35:59</v>
      </c>
      <c r="M11627" s="1" t="s">
        <v>45</v>
      </c>
      <c r="N11627" s="1" t="s">
        <v>38</v>
      </c>
      <c r="O11627" s="1" t="s">
        <v>46</v>
      </c>
    </row>
    <row r="11628" spans="2:15" x14ac:dyDescent="0.3">
      <c r="B11628" s="1" t="s">
        <v>20</v>
      </c>
      <c r="C11628" s="1" t="str">
        <f>"5-2차"</f>
        <v>5-2차</v>
      </c>
      <c r="D11628" s="1" t="str">
        <f>"9625D6625S"</f>
        <v>9625D6625S</v>
      </c>
      <c r="E11628" s="1" t="s">
        <v>10</v>
      </c>
      <c r="F11628" s="1" t="str">
        <f>"fde1:103:4:55b0:0:0:0:2"</f>
        <v>fde1:103:4:55b0:0:0:0:2</v>
      </c>
      <c r="G11628" s="1" t="str">
        <f>"9625D662"</f>
        <v>9625D662</v>
      </c>
      <c r="H11628" s="1" t="str">
        <f>"당수간 33R5R1"</f>
        <v>당수간 33R5R1</v>
      </c>
      <c r="I11628" s="1" t="s">
        <v>15</v>
      </c>
      <c r="J11628" s="1" t="str">
        <f>"41/41"</f>
        <v>41/41</v>
      </c>
      <c r="K11628" s="1" t="str">
        <f>"2026-07-29 14:21:03"</f>
        <v>2026-07-29 14:21:03</v>
      </c>
      <c r="L11628" s="1" t="str">
        <f>"2023-08-30 14:13:34"</f>
        <v>2023-08-30 14:13:34</v>
      </c>
      <c r="M11628" s="1" t="s">
        <v>4</v>
      </c>
      <c r="N11628" s="1" t="s">
        <v>38</v>
      </c>
      <c r="O11628" s="1" t="s">
        <v>46</v>
      </c>
    </row>
    <row r="11629" spans="2:15" x14ac:dyDescent="0.3">
      <c r="B11629" s="1" t="s">
        <v>20</v>
      </c>
      <c r="C11629" s="1" t="str">
        <f>"5-2차"</f>
        <v>5-2차</v>
      </c>
      <c r="D11629" s="1" t="str">
        <f>"9625D6735M"</f>
        <v>9625D6735M</v>
      </c>
      <c r="E11629" s="1" t="s">
        <v>10</v>
      </c>
      <c r="F11629" s="1" t="str">
        <f>"fde1:103:4:5624:0:0:0:2"</f>
        <v>fde1:103:4:5624:0:0:0:2</v>
      </c>
      <c r="G11629" s="1" t="str">
        <f>"9625D673"</f>
        <v>9625D673</v>
      </c>
      <c r="H11629" s="1" t="str">
        <f>"합정지 32L1R10L2"</f>
        <v>합정지 32L1R10L2</v>
      </c>
      <c r="I11629" s="1" t="s">
        <v>15</v>
      </c>
      <c r="J11629" s="1" t="str">
        <f>"36/36"</f>
        <v>36/36</v>
      </c>
      <c r="K11629" s="1" t="str">
        <f>"2026-07-29 14:20:50"</f>
        <v>2026-07-29 14:20:50</v>
      </c>
      <c r="L11629" s="1" t="str">
        <f>"2023-08-16 11:15:57"</f>
        <v>2023-08-16 11:15:57</v>
      </c>
      <c r="M11629" s="1" t="s">
        <v>4</v>
      </c>
      <c r="N11629" s="1" t="s">
        <v>38</v>
      </c>
      <c r="O11629" s="1" t="s">
        <v>46</v>
      </c>
    </row>
    <row r="11630" spans="2:15" x14ac:dyDescent="0.3">
      <c r="B11630" s="1" t="s">
        <v>20</v>
      </c>
      <c r="C11630" s="1" t="str">
        <f>"6차"</f>
        <v>6차</v>
      </c>
      <c r="D11630" s="1" t="str">
        <f>"9625D7316S"</f>
        <v>9625D7316S</v>
      </c>
      <c r="E11630" s="1" t="s">
        <v>10</v>
      </c>
      <c r="F11630" s="1" t="str">
        <f>"fde1:103:4:c5eb:0:0:0:2"</f>
        <v>fde1:103:4:c5eb:0:0:0:2</v>
      </c>
      <c r="G11630" s="1" t="str">
        <f>"9625D731"</f>
        <v>9625D731</v>
      </c>
      <c r="H11630" s="1" t="str">
        <f>"합정지 32L6L1"</f>
        <v>합정지 32L6L1</v>
      </c>
      <c r="I11630" s="1" t="s">
        <v>15</v>
      </c>
      <c r="J11630" s="1" t="str">
        <f>"59/59"</f>
        <v>59/59</v>
      </c>
      <c r="K11630" s="1" t="str">
        <f>"2026-07-29 14:21:08"</f>
        <v>2026-07-29 14:21:08</v>
      </c>
      <c r="L11630" s="1" t="str">
        <f>"2024-12-10 15:44:39"</f>
        <v>2024-12-10 15:44:39</v>
      </c>
      <c r="M11630" s="1" t="s">
        <v>4</v>
      </c>
      <c r="N11630" s="1" t="s">
        <v>38</v>
      </c>
      <c r="O11630" s="1" t="s">
        <v>46</v>
      </c>
    </row>
    <row r="11631" spans="2:15" x14ac:dyDescent="0.3">
      <c r="B11631" s="1" t="s">
        <v>20</v>
      </c>
      <c r="C11631" s="1" t="str">
        <f>"6차"</f>
        <v>6차</v>
      </c>
      <c r="D11631" s="1" t="str">
        <f>"9625D7416S"</f>
        <v>9625D7416S</v>
      </c>
      <c r="E11631" s="1" t="s">
        <v>10</v>
      </c>
      <c r="F11631" s="1" t="str">
        <f>"fde1:103:4:c65a:0:0:0:2"</f>
        <v>fde1:103:4:c65a:0:0:0:2</v>
      </c>
      <c r="G11631" s="1" t="str">
        <f>"9625D741"</f>
        <v>9625D741</v>
      </c>
      <c r="H11631" s="1" t="str">
        <f>"합정지 32L8"</f>
        <v>합정지 32L8</v>
      </c>
      <c r="I11631" s="1" t="s">
        <v>15</v>
      </c>
      <c r="J11631" s="1" t="str">
        <f>"61/63"</f>
        <v>61/63</v>
      </c>
      <c r="K11631" s="1" t="str">
        <f>"2026-07-29 14:20:50"</f>
        <v>2026-07-29 14:20:50</v>
      </c>
      <c r="L11631" s="1" t="str">
        <f>"2024-11-07 13:23:51"</f>
        <v>2024-11-07 13:23:51</v>
      </c>
      <c r="M11631" s="1" t="s">
        <v>4</v>
      </c>
      <c r="N11631" s="1" t="s">
        <v>38</v>
      </c>
      <c r="O11631" s="1" t="s">
        <v>46</v>
      </c>
    </row>
    <row r="11632" spans="2:15" x14ac:dyDescent="0.3">
      <c r="B11632" s="1" t="s">
        <v>20</v>
      </c>
      <c r="C11632" s="1" t="str">
        <f>"6차"</f>
        <v>6차</v>
      </c>
      <c r="D11632" s="1" t="str">
        <f>"9625D7426S"</f>
        <v>9625D7426S</v>
      </c>
      <c r="E11632" s="1" t="s">
        <v>10</v>
      </c>
      <c r="F11632" s="1" t="str">
        <f>"fde1:103:4:91fa:0:0:0:2"</f>
        <v>fde1:103:4:91fa:0:0:0:2</v>
      </c>
      <c r="G11632" s="1" t="str">
        <f>"9625D742"</f>
        <v>9625D742</v>
      </c>
      <c r="H11632" s="1" t="str">
        <f>"합정지 32L9"</f>
        <v>합정지 32L9</v>
      </c>
      <c r="I11632" s="1" t="s">
        <v>15</v>
      </c>
      <c r="J11632" s="1" t="str">
        <f>"103/104"</f>
        <v>103/104</v>
      </c>
      <c r="K11632" s="1" t="str">
        <f>"2026-07-29 14:20:50"</f>
        <v>2026-07-29 14:20:50</v>
      </c>
      <c r="L11632" s="1" t="str">
        <f>"2025-02-24 13:17:57"</f>
        <v>2025-02-24 13:17:57</v>
      </c>
      <c r="M11632" s="1" t="s">
        <v>4</v>
      </c>
      <c r="N11632" s="1" t="s">
        <v>38</v>
      </c>
      <c r="O11632" s="1" t="s">
        <v>46</v>
      </c>
    </row>
    <row r="11633" spans="2:15" x14ac:dyDescent="0.3">
      <c r="B11633" s="1" t="s">
        <v>20</v>
      </c>
      <c r="C11633" s="1" t="str">
        <f>"6차"</f>
        <v>6차</v>
      </c>
      <c r="D11633" s="1" t="str">
        <f>"9625D7446S"</f>
        <v>9625D7446S</v>
      </c>
      <c r="E11633" s="1" t="s">
        <v>10</v>
      </c>
      <c r="F11633" s="1" t="str">
        <f>"fde1:103:4:c691:0:0:0:2"</f>
        <v>fde1:103:4:c691:0:0:0:2</v>
      </c>
      <c r="G11633" s="1" t="str">
        <f>"9625D744"</f>
        <v>9625D744</v>
      </c>
      <c r="H11633" s="1" t="str">
        <f>"합정지 32L8R1H1"</f>
        <v>합정지 32L8R1H1</v>
      </c>
      <c r="I11633" s="1" t="s">
        <v>15</v>
      </c>
      <c r="J11633" s="1" t="str">
        <f>"28/32"</f>
        <v>28/32</v>
      </c>
      <c r="K11633" s="1" t="str">
        <f>"2026-07-29 14:21:34"</f>
        <v>2026-07-29 14:21:34</v>
      </c>
      <c r="L11633" s="1" t="str">
        <f>"2024-11-07 13:24:05"</f>
        <v>2024-11-07 13:24:05</v>
      </c>
      <c r="M11633" s="1" t="s">
        <v>4</v>
      </c>
      <c r="N11633" s="1" t="s">
        <v>38</v>
      </c>
      <c r="O11633" s="1" t="s">
        <v>46</v>
      </c>
    </row>
    <row r="11634" spans="2:15" x14ac:dyDescent="0.3">
      <c r="B11634" s="1" t="s">
        <v>20</v>
      </c>
      <c r="C11634" s="1" t="str">
        <f>"5-2차"</f>
        <v>5-2차</v>
      </c>
      <c r="D11634" s="1" t="str">
        <f>"9625D7715M"</f>
        <v>9625D7715M</v>
      </c>
      <c r="E11634" s="1" t="s">
        <v>10</v>
      </c>
      <c r="F11634" s="1" t="str">
        <f>"fde3:102:1300:2f0f:0:0:0:2"</f>
        <v>fde3:102:1300:2f0f:0:0:0:2</v>
      </c>
      <c r="G11634" s="1" t="str">
        <f>"9625D771"</f>
        <v>9625D771</v>
      </c>
      <c r="H11634" s="1" t="str">
        <f>"합정지 32L1R10L1"</f>
        <v>합정지 32L1R10L1</v>
      </c>
      <c r="I11634" s="1" t="s">
        <v>15</v>
      </c>
      <c r="J11634" s="1" t="str">
        <f>"57/57"</f>
        <v>57/57</v>
      </c>
      <c r="K11634" s="1" t="str">
        <f>"2026-07-29 14:20:50"</f>
        <v>2026-07-29 14:20:50</v>
      </c>
      <c r="L11634" s="1" t="str">
        <f>"2023-09-07 11:35:22"</f>
        <v>2023-09-07 11:35:22</v>
      </c>
      <c r="M11634" s="1" t="s">
        <v>45</v>
      </c>
      <c r="N11634" s="1" t="s">
        <v>38</v>
      </c>
      <c r="O11634" s="1" t="s">
        <v>46</v>
      </c>
    </row>
    <row r="11635" spans="2:15" x14ac:dyDescent="0.3">
      <c r="B11635" s="1" t="s">
        <v>20</v>
      </c>
      <c r="C11635" s="1" t="str">
        <f>"6차"</f>
        <v>6차</v>
      </c>
      <c r="D11635" s="1" t="str">
        <f>"9625D7916S"</f>
        <v>9625D7916S</v>
      </c>
      <c r="E11635" s="1" t="s">
        <v>10</v>
      </c>
      <c r="F11635" s="1" t="str">
        <f>"fde1:103:4:c654:0:0:0:2"</f>
        <v>fde1:103:4:c654:0:0:0:2</v>
      </c>
      <c r="G11635" s="1" t="str">
        <f>"9625D791"</f>
        <v>9625D791</v>
      </c>
      <c r="H11635" s="1" t="str">
        <f>"합정지 32L1R12"</f>
        <v>합정지 32L1R12</v>
      </c>
      <c r="I11635" s="1" t="s">
        <v>15</v>
      </c>
      <c r="J11635" s="1" t="str">
        <f>"30/30"</f>
        <v>30/30</v>
      </c>
      <c r="K11635" s="1" t="str">
        <f>"2026-07-29 14:20:50"</f>
        <v>2026-07-29 14:20:50</v>
      </c>
      <c r="L11635" s="1" t="str">
        <f>"2024-11-07 13:13:10"</f>
        <v>2024-11-07 13:13:10</v>
      </c>
      <c r="M11635" s="1" t="s">
        <v>4</v>
      </c>
      <c r="N11635" s="1" t="s">
        <v>38</v>
      </c>
      <c r="O11635" s="1" t="s">
        <v>46</v>
      </c>
    </row>
    <row r="11636" spans="2:15" x14ac:dyDescent="0.3">
      <c r="B11636" s="1" t="s">
        <v>20</v>
      </c>
      <c r="C11636" s="1" t="str">
        <f>"5-2차"</f>
        <v>5-2차</v>
      </c>
      <c r="D11636" s="1" t="str">
        <f>"9625D7935M"</f>
        <v>9625D7935M</v>
      </c>
      <c r="E11636" s="1" t="s">
        <v>10</v>
      </c>
      <c r="F11636" s="1" t="str">
        <f>"fde1:103:4:5688:0:0:0:2"</f>
        <v>fde1:103:4:5688:0:0:0:2</v>
      </c>
      <c r="G11636" s="1" t="str">
        <f>"9625D793"</f>
        <v>9625D793</v>
      </c>
      <c r="H11636" s="1" t="str">
        <f>"당수간 40H1R4L3"</f>
        <v>당수간 40H1R4L3</v>
      </c>
      <c r="I11636" s="1" t="s">
        <v>15</v>
      </c>
      <c r="J11636" s="1" t="str">
        <f>"23/23"</f>
        <v>23/23</v>
      </c>
      <c r="K11636" s="1" t="str">
        <f>"2026-07-29 14:20:51"</f>
        <v>2026-07-29 14:20:51</v>
      </c>
      <c r="L11636" s="1" t="str">
        <f>"2023-08-16 13:07:37"</f>
        <v>2023-08-16 13:07:37</v>
      </c>
      <c r="M11636" s="1" t="s">
        <v>4</v>
      </c>
      <c r="N11636" s="1" t="s">
        <v>38</v>
      </c>
      <c r="O11636" s="1" t="s">
        <v>46</v>
      </c>
    </row>
    <row r="11637" spans="2:15" x14ac:dyDescent="0.3">
      <c r="B11637" s="1" t="s">
        <v>20</v>
      </c>
      <c r="C11637" s="1" t="str">
        <f>"5-2차"</f>
        <v>5-2차</v>
      </c>
      <c r="D11637" s="1" t="str">
        <f>"9625D8015S"</f>
        <v>9625D8015S</v>
      </c>
      <c r="E11637" s="1" t="s">
        <v>10</v>
      </c>
      <c r="F11637" s="1" t="str">
        <f>"fde1:103:4:557f:0:0:0:2"</f>
        <v>fde1:103:4:557f:0:0:0:2</v>
      </c>
      <c r="G11637" s="1" t="str">
        <f>"9625D801"</f>
        <v>9625D801</v>
      </c>
      <c r="H11637" s="1" t="str">
        <f>"합정지 30R7"</f>
        <v>합정지 30R7</v>
      </c>
      <c r="I11637" s="1" t="s">
        <v>15</v>
      </c>
      <c r="J11637" s="1" t="str">
        <f>"38/38"</f>
        <v>38/38</v>
      </c>
      <c r="K11637" s="1" t="str">
        <f>"2026-07-29 14:21:48"</f>
        <v>2026-07-29 14:21:48</v>
      </c>
      <c r="L11637" s="1" t="str">
        <f>"2023-08-30 14:22:27"</f>
        <v>2023-08-30 14:22:27</v>
      </c>
      <c r="M11637" s="1" t="s">
        <v>4</v>
      </c>
      <c r="N11637" s="1" t="s">
        <v>38</v>
      </c>
      <c r="O11637" s="1" t="s">
        <v>46</v>
      </c>
    </row>
    <row r="11638" spans="2:15" x14ac:dyDescent="0.3">
      <c r="B11638" s="1" t="s">
        <v>20</v>
      </c>
      <c r="C11638" s="1" t="str">
        <f>"5-2차"</f>
        <v>5-2차</v>
      </c>
      <c r="D11638" s="1" t="str">
        <f>"9625D8025S"</f>
        <v>9625D8025S</v>
      </c>
      <c r="E11638" s="1" t="s">
        <v>10</v>
      </c>
      <c r="F11638" s="1" t="str">
        <f>"fde1:103:4:5628:0:0:0:2"</f>
        <v>fde1:103:4:5628:0:0:0:2</v>
      </c>
      <c r="G11638" s="1" t="str">
        <f>"9625D802"</f>
        <v>9625D802</v>
      </c>
      <c r="H11638" s="1" t="str">
        <f>"합정지 30R6"</f>
        <v>합정지 30R6</v>
      </c>
      <c r="I11638" s="1" t="s">
        <v>15</v>
      </c>
      <c r="J11638" s="1" t="str">
        <f>"94/94"</f>
        <v>94/94</v>
      </c>
      <c r="K11638" s="1" t="str">
        <f>"2026-07-29 14:20:51"</f>
        <v>2026-07-29 14:20:51</v>
      </c>
      <c r="L11638" s="1" t="str">
        <f>"2023-08-30 14:32:07"</f>
        <v>2023-08-30 14:32:07</v>
      </c>
      <c r="M11638" s="1" t="s">
        <v>4</v>
      </c>
      <c r="N11638" s="1" t="s">
        <v>38</v>
      </c>
      <c r="O11638" s="1" t="s">
        <v>46</v>
      </c>
    </row>
    <row r="11639" spans="2:15" x14ac:dyDescent="0.3">
      <c r="B11639" s="1" t="s">
        <v>20</v>
      </c>
      <c r="C11639" s="1" t="str">
        <f>"6차"</f>
        <v>6차</v>
      </c>
      <c r="D11639" s="1" t="str">
        <f>"9625D8636S"</f>
        <v>9625D8636S</v>
      </c>
      <c r="E11639" s="1" t="s">
        <v>10</v>
      </c>
      <c r="F11639" s="1" t="str">
        <f>"fde1:103:4:922d:0:0:0:2"</f>
        <v>fde1:103:4:922d:0:0:0:2</v>
      </c>
      <c r="G11639" s="1" t="str">
        <f>"9625D863"</f>
        <v>9625D863</v>
      </c>
      <c r="H11639" s="1" t="str">
        <f>"합정지 32L1R10L1L2"</f>
        <v>합정지 32L1R10L1L2</v>
      </c>
      <c r="I11639" s="1" t="s">
        <v>15</v>
      </c>
      <c r="J11639" s="1" t="str">
        <f>"83/96"</f>
        <v>83/96</v>
      </c>
      <c r="K11639" s="1" t="str">
        <f>"2026-07-29 14:20:51"</f>
        <v>2026-07-29 14:20:51</v>
      </c>
      <c r="L11639" s="1" t="str">
        <f>"2025-02-24 13:17:43"</f>
        <v>2025-02-24 13:17:43</v>
      </c>
      <c r="M11639" s="1" t="s">
        <v>4</v>
      </c>
      <c r="N11639" s="1" t="s">
        <v>38</v>
      </c>
      <c r="O11639" s="1" t="s">
        <v>46</v>
      </c>
    </row>
    <row r="11640" spans="2:15" x14ac:dyDescent="0.3">
      <c r="B11640" s="1" t="s">
        <v>20</v>
      </c>
      <c r="C11640" s="1" t="str">
        <f>"4차"</f>
        <v>4차</v>
      </c>
      <c r="D11640" s="1" t="str">
        <f>"9625D86439"</f>
        <v>9625D86439</v>
      </c>
      <c r="E11640" s="1" t="s">
        <v>10</v>
      </c>
      <c r="F11640" s="1" t="str">
        <f>"10.12.136.184"</f>
        <v>10.12.136.184</v>
      </c>
      <c r="G11640" s="1" t="str">
        <f>"9625D864"</f>
        <v>9625D864</v>
      </c>
      <c r="H11640" s="1" t="str">
        <f>"합정로 6-2T"</f>
        <v>합정로 6-2T</v>
      </c>
      <c r="I11640" s="1" t="s">
        <v>17</v>
      </c>
      <c r="J11640" s="1" t="str">
        <f>"18/20"</f>
        <v>18/20</v>
      </c>
      <c r="K11640" s="1" t="str">
        <f>"2026-07-29 13:18:11"</f>
        <v>2026-07-29 13:18:11</v>
      </c>
      <c r="L11640" s="1" t="str">
        <f>"2018-10-15 12:11:41"</f>
        <v>2018-10-15 12:11:41</v>
      </c>
      <c r="M11640" s="1" t="s">
        <v>0</v>
      </c>
      <c r="N11640" s="1" t="s">
        <v>38</v>
      </c>
      <c r="O11640" s="1" t="s">
        <v>46</v>
      </c>
    </row>
    <row r="11641" spans="2:15" x14ac:dyDescent="0.3">
      <c r="B11641" s="1" t="s">
        <v>20</v>
      </c>
      <c r="C11641" s="1" t="str">
        <f>"6차"</f>
        <v>6차</v>
      </c>
      <c r="D11641" s="1" t="str">
        <f>"9625D8726M"</f>
        <v>9625D8726M</v>
      </c>
      <c r="E11641" s="1" t="s">
        <v>10</v>
      </c>
      <c r="F11641" s="1" t="str">
        <f>"fde1:103:4:c7af:0:0:0:2"</f>
        <v>fde1:103:4:c7af:0:0:0:2</v>
      </c>
      <c r="G11641" s="1" t="str">
        <f>"9625D872"</f>
        <v>9625D872</v>
      </c>
      <c r="H11641" s="1" t="str">
        <f>"합정지 32L1R9"</f>
        <v>합정지 32L1R9</v>
      </c>
      <c r="I11641" s="1" t="s">
        <v>15</v>
      </c>
      <c r="J11641" s="1" t="str">
        <f>"22/28"</f>
        <v>22/28</v>
      </c>
      <c r="K11641" s="1" t="str">
        <f>"2026-07-29 14:21:40"</f>
        <v>2026-07-29 14:21:40</v>
      </c>
      <c r="L11641" s="1" t="str">
        <f>"2024-11-26 13:29:06"</f>
        <v>2024-11-26 13:29:06</v>
      </c>
      <c r="M11641" s="1" t="s">
        <v>4</v>
      </c>
      <c r="N11641" s="1" t="s">
        <v>38</v>
      </c>
      <c r="O11641" s="1" t="s">
        <v>46</v>
      </c>
    </row>
    <row r="11642" spans="2:15" x14ac:dyDescent="0.3">
      <c r="B11642" s="1" t="s">
        <v>20</v>
      </c>
      <c r="C11642" s="1" t="str">
        <f>"5-2차"</f>
        <v>5-2차</v>
      </c>
      <c r="D11642" s="1" t="str">
        <f>"9625D9115S"</f>
        <v>9625D9115S</v>
      </c>
      <c r="E11642" s="1" t="s">
        <v>10</v>
      </c>
      <c r="F11642" s="1" t="str">
        <f>"fde1:103:4:55bd:0:0:0:2"</f>
        <v>fde1:103:4:55bd:0:0:0:2</v>
      </c>
      <c r="G11642" s="1" t="str">
        <f>"9625D911"</f>
        <v>9625D911</v>
      </c>
      <c r="H11642" s="1" t="str">
        <f>"합정지 30R3"</f>
        <v>합정지 30R3</v>
      </c>
      <c r="I11642" s="1" t="s">
        <v>15</v>
      </c>
      <c r="J11642" s="1" t="str">
        <f>"74/74"</f>
        <v>74/74</v>
      </c>
      <c r="K11642" s="1" t="str">
        <f>"2026-07-29 14:20:53"</f>
        <v>2026-07-29 14:20:53</v>
      </c>
      <c r="L11642" s="1" t="str">
        <f>"2023-08-30 14:50:59"</f>
        <v>2023-08-30 14:50:59</v>
      </c>
      <c r="M11642" s="1" t="s">
        <v>4</v>
      </c>
      <c r="N11642" s="1" t="s">
        <v>38</v>
      </c>
      <c r="O11642" s="1" t="s">
        <v>46</v>
      </c>
    </row>
    <row r="11643" spans="2:15" x14ac:dyDescent="0.3">
      <c r="B11643" s="1" t="s">
        <v>20</v>
      </c>
      <c r="C11643" s="1" t="str">
        <f>"5-2차"</f>
        <v>5-2차</v>
      </c>
      <c r="D11643" s="1" t="str">
        <f>"9625D9125M"</f>
        <v>9625D9125M</v>
      </c>
      <c r="E11643" s="1" t="s">
        <v>10</v>
      </c>
      <c r="F11643" s="1" t="str">
        <f>"fde1:103:4:595f:0:0:0:2"</f>
        <v>fde1:103:4:595f:0:0:0:2</v>
      </c>
      <c r="G11643" s="1" t="str">
        <f>"9625D912"</f>
        <v>9625D912</v>
      </c>
      <c r="H11643" s="1" t="str">
        <f>"합정지 30R4"</f>
        <v>합정지 30R4</v>
      </c>
      <c r="I11643" s="1" t="s">
        <v>15</v>
      </c>
      <c r="J11643" s="1" t="str">
        <f>"37/37"</f>
        <v>37/37</v>
      </c>
      <c r="K11643" s="1" t="str">
        <f>"2026-07-29 14:20:50"</f>
        <v>2026-07-29 14:20:50</v>
      </c>
      <c r="L11643" s="1" t="str">
        <f>"2023-12-05 14:46:17"</f>
        <v>2023-12-05 14:46:17</v>
      </c>
      <c r="M11643" s="1" t="s">
        <v>4</v>
      </c>
      <c r="N11643" s="1" t="s">
        <v>38</v>
      </c>
      <c r="O11643" s="1" t="s">
        <v>46</v>
      </c>
    </row>
    <row r="11644" spans="2:15" x14ac:dyDescent="0.3">
      <c r="B11644" s="1" t="s">
        <v>20</v>
      </c>
      <c r="C11644" s="1" t="str">
        <f>"4차"</f>
        <v>4차</v>
      </c>
      <c r="D11644" s="1" t="str">
        <f>"9625D93341"</f>
        <v>9625D93341</v>
      </c>
      <c r="E11644" s="1" t="s">
        <v>10</v>
      </c>
      <c r="F11644" s="1" t="str">
        <f>"10.14.5.50"</f>
        <v>10.14.5.50</v>
      </c>
      <c r="G11644" s="1" t="str">
        <f>"9625D933"</f>
        <v>9625D933</v>
      </c>
      <c r="H11644" s="1" t="str">
        <f>"합정지 32L2"</f>
        <v>합정지 32L2</v>
      </c>
      <c r="I11644" s="1" t="s">
        <v>17</v>
      </c>
      <c r="J11644" s="1" t="str">
        <f>"22/25"</f>
        <v>22/25</v>
      </c>
      <c r="K11644" s="1" t="str">
        <f>"2026-07-29 13:18:11"</f>
        <v>2026-07-29 13:18:11</v>
      </c>
      <c r="L11644" s="1" t="str">
        <f>"2021-08-12 09:43:59"</f>
        <v>2021-08-12 09:43:59</v>
      </c>
      <c r="M11644" s="1" t="s">
        <v>3</v>
      </c>
      <c r="N11644" s="1" t="s">
        <v>38</v>
      </c>
      <c r="O11644" s="1" t="s">
        <v>46</v>
      </c>
    </row>
    <row r="11645" spans="2:15" x14ac:dyDescent="0.3">
      <c r="B11645" s="1" t="s">
        <v>20</v>
      </c>
      <c r="C11645" s="1" t="str">
        <f>"1차"</f>
        <v>1차</v>
      </c>
      <c r="D11645" s="1" t="str">
        <f>"9625D96100"</f>
        <v>9625D96100</v>
      </c>
      <c r="E11645" s="1" t="s">
        <v>10</v>
      </c>
      <c r="F11645" s="1" t="str">
        <f>"10.125.194.2"</f>
        <v>10.125.194.2</v>
      </c>
      <c r="G11645" s="1" t="str">
        <f>"9625D961"</f>
        <v>9625D961</v>
      </c>
      <c r="H11645" s="1" t="str">
        <f>"합정지 32L1R7"</f>
        <v>합정지 32L1R7</v>
      </c>
      <c r="I11645" s="1" t="s">
        <v>8</v>
      </c>
      <c r="J11645" s="1" t="str">
        <f>"5/5"</f>
        <v>5/5</v>
      </c>
      <c r="K11645" s="1" t="str">
        <f>"2026-07-29 13:18:10"</f>
        <v>2026-07-29 13:18:10</v>
      </c>
      <c r="L11645" s="1" t="str">
        <f>"2014-10-27 10:42:27"</f>
        <v>2014-10-27 10:42:27</v>
      </c>
      <c r="M11645" s="1" t="s">
        <v>45</v>
      </c>
      <c r="N11645" s="1" t="s">
        <v>38</v>
      </c>
      <c r="O11645" s="1" t="s">
        <v>46</v>
      </c>
    </row>
    <row r="11646" spans="2:15" x14ac:dyDescent="0.3">
      <c r="B11646" s="1" t="s">
        <v>20</v>
      </c>
      <c r="C11646" s="1" t="str">
        <f>"6차"</f>
        <v>6차</v>
      </c>
      <c r="D11646" s="1" t="str">
        <f>"9625D9626M"</f>
        <v>9625D9626M</v>
      </c>
      <c r="E11646" s="1" t="s">
        <v>10</v>
      </c>
      <c r="F11646" s="1" t="str">
        <f>"fde1:103:4:c764:0:0:0:2"</f>
        <v>fde1:103:4:c764:0:0:0:2</v>
      </c>
      <c r="G11646" s="1" t="str">
        <f>"9625D962"</f>
        <v>9625D962</v>
      </c>
      <c r="H11646" s="1" t="str">
        <f>"합정지 32L1R8"</f>
        <v>합정지 32L1R8</v>
      </c>
      <c r="I11646" s="1" t="s">
        <v>15</v>
      </c>
      <c r="J11646" s="1" t="str">
        <f>"40/41"</f>
        <v>40/41</v>
      </c>
      <c r="K11646" s="1" t="str">
        <f>"2026-07-29 14:20:51"</f>
        <v>2026-07-29 14:20:51</v>
      </c>
      <c r="L11646" s="1" t="str">
        <f>"2024-11-26 13:29:47"</f>
        <v>2024-11-26 13:29:47</v>
      </c>
      <c r="M11646" s="1" t="s">
        <v>4</v>
      </c>
      <c r="N11646" s="1" t="s">
        <v>38</v>
      </c>
      <c r="O11646" s="1" t="s">
        <v>46</v>
      </c>
    </row>
    <row r="11647" spans="2:15" x14ac:dyDescent="0.3">
      <c r="B11647" s="1" t="s">
        <v>20</v>
      </c>
      <c r="C11647" s="1" t="str">
        <f>"4차"</f>
        <v>4차</v>
      </c>
      <c r="D11647" s="1" t="str">
        <f>"9625D98139"</f>
        <v>9625D98139</v>
      </c>
      <c r="E11647" s="1" t="s">
        <v>10</v>
      </c>
      <c r="F11647" s="1" t="str">
        <f>"10.12.132.118"</f>
        <v>10.12.132.118</v>
      </c>
      <c r="G11647" s="1" t="str">
        <f>"9625D981"</f>
        <v>9625D981</v>
      </c>
      <c r="H11647" s="1" t="str">
        <f>"합정로 6"</f>
        <v>합정로 6</v>
      </c>
      <c r="I11647" s="1" t="s">
        <v>17</v>
      </c>
      <c r="J11647" s="1" t="str">
        <f>"1/1"</f>
        <v>1/1</v>
      </c>
      <c r="K11647" s="1" t="str">
        <f>"2026-07-29 13:18:11"</f>
        <v>2026-07-29 13:18:11</v>
      </c>
      <c r="L11647" s="1" t="str">
        <f>"2018-06-20 08:56:12"</f>
        <v>2018-06-20 08:56:12</v>
      </c>
      <c r="M11647" s="1" t="s">
        <v>0</v>
      </c>
      <c r="N11647" s="1" t="s">
        <v>38</v>
      </c>
      <c r="O11647" s="1" t="s">
        <v>46</v>
      </c>
    </row>
    <row r="11648" spans="2:15" x14ac:dyDescent="0.3">
      <c r="B11648" s="1" t="s">
        <v>20</v>
      </c>
      <c r="C11648" s="1" t="str">
        <f>"4차"</f>
        <v>4차</v>
      </c>
      <c r="D11648" s="1" t="str">
        <f>"9625D99139"</f>
        <v>9625D99139</v>
      </c>
      <c r="E11648" s="1" t="s">
        <v>10</v>
      </c>
      <c r="F11648" s="1" t="str">
        <f>"10.12.128.101"</f>
        <v>10.12.128.101</v>
      </c>
      <c r="G11648" s="1" t="str">
        <f>"9625D991"</f>
        <v>9625D991</v>
      </c>
      <c r="H11648" s="1" t="str">
        <f>"합정로 19"</f>
        <v>합정로 19</v>
      </c>
      <c r="I11648" s="1" t="s">
        <v>17</v>
      </c>
      <c r="J11648" s="1" t="str">
        <f>"11/13"</f>
        <v>11/13</v>
      </c>
      <c r="K11648" s="1" t="str">
        <f>"2026-07-29 13:18:11"</f>
        <v>2026-07-29 13:18:11</v>
      </c>
      <c r="L11648" s="1" t="str">
        <f>"2018-06-20 09:10:43"</f>
        <v>2018-06-20 09:10:43</v>
      </c>
      <c r="M11648" s="1" t="s">
        <v>0</v>
      </c>
      <c r="N11648" s="1" t="s">
        <v>38</v>
      </c>
      <c r="O11648" s="1" t="s">
        <v>46</v>
      </c>
    </row>
    <row r="11649" spans="2:15" x14ac:dyDescent="0.3">
      <c r="B11649" s="1" t="s">
        <v>20</v>
      </c>
      <c r="C11649" s="1" t="str">
        <f>"4차"</f>
        <v>4차</v>
      </c>
      <c r="D11649" s="1" t="str">
        <f>"9625E02142"</f>
        <v>9625E02142</v>
      </c>
      <c r="E11649" s="1" t="s">
        <v>10</v>
      </c>
      <c r="F11649" s="1" t="str">
        <f>"10.12.138.33"</f>
        <v>10.12.138.33</v>
      </c>
      <c r="G11649" s="1" t="str">
        <f>"9625E021"</f>
        <v>9625E021</v>
      </c>
      <c r="H11649" s="1" t="str">
        <f>"합원간 23R3"</f>
        <v>합원간 23R3</v>
      </c>
      <c r="I11649" s="1" t="s">
        <v>8</v>
      </c>
      <c r="J11649" s="1" t="str">
        <f>"44/44"</f>
        <v>44/44</v>
      </c>
      <c r="K11649" s="1" t="str">
        <f>"2026-07-29 13:18:10"</f>
        <v>2026-07-29 13:18:10</v>
      </c>
      <c r="L11649" s="1" t="str">
        <f>"2025-09-02 08:59:07"</f>
        <v>2025-09-02 08:59:07</v>
      </c>
      <c r="M11649" s="1" t="s">
        <v>0</v>
      </c>
      <c r="N11649" s="1" t="s">
        <v>38</v>
      </c>
      <c r="O11649" s="1" t="s">
        <v>46</v>
      </c>
    </row>
    <row r="11650" spans="2:15" x14ac:dyDescent="0.3">
      <c r="B11650" s="1" t="s">
        <v>20</v>
      </c>
      <c r="C11650" s="1" t="str">
        <f>"5-2차"</f>
        <v>5-2차</v>
      </c>
      <c r="D11650" s="1" t="str">
        <f>"9625E0225M"</f>
        <v>9625E0225M</v>
      </c>
      <c r="E11650" s="1" t="s">
        <v>10</v>
      </c>
      <c r="F11650" s="1" t="str">
        <f>"fde1:103:4:56b4:0:0:0:2"</f>
        <v>fde1:103:4:56b4:0:0:0:2</v>
      </c>
      <c r="G11650" s="1" t="str">
        <f>"9625E022"</f>
        <v>9625E022</v>
      </c>
      <c r="H11650" s="1" t="str">
        <f>"합원간 23R2L2"</f>
        <v>합원간 23R2L2</v>
      </c>
      <c r="I11650" s="1" t="s">
        <v>15</v>
      </c>
      <c r="J11650" s="1" t="str">
        <f>"37/37"</f>
        <v>37/37</v>
      </c>
      <c r="K11650" s="1" t="str">
        <f>"2026-07-29 14:20:51"</f>
        <v>2026-07-29 14:20:51</v>
      </c>
      <c r="L11650" s="1" t="str">
        <f>"2023-08-16 13:11:56"</f>
        <v>2023-08-16 13:11:56</v>
      </c>
      <c r="M11650" s="1" t="s">
        <v>4</v>
      </c>
      <c r="N11650" s="1" t="s">
        <v>38</v>
      </c>
      <c r="O11650" s="1" t="s">
        <v>46</v>
      </c>
    </row>
    <row r="11651" spans="2:15" x14ac:dyDescent="0.3">
      <c r="B11651" s="1" t="s">
        <v>20</v>
      </c>
      <c r="C11651" s="1" t="str">
        <f>"4차"</f>
        <v>4차</v>
      </c>
      <c r="D11651" s="1" t="str">
        <f>"9625E04144"</f>
        <v>9625E04144</v>
      </c>
      <c r="E11651" s="1" t="s">
        <v>10</v>
      </c>
      <c r="F11651" s="1" t="str">
        <f>"10.10.136.82"</f>
        <v>10.10.136.82</v>
      </c>
      <c r="G11651" s="1" t="str">
        <f>"9625E041"</f>
        <v>9625E041</v>
      </c>
      <c r="H11651" s="1" t="str">
        <f>"합원간 27R6"</f>
        <v>합원간 27R6</v>
      </c>
      <c r="I11651" s="1" t="s">
        <v>8</v>
      </c>
      <c r="J11651" s="1" t="str">
        <f>"107/107"</f>
        <v>107/107</v>
      </c>
      <c r="K11651" s="1" t="str">
        <f>"2026-07-29 13:18:10"</f>
        <v>2026-07-29 13:18:10</v>
      </c>
      <c r="L11651" s="1" t="str">
        <f>"2020-01-21 16:39:57"</f>
        <v>2020-01-21 16:39:57</v>
      </c>
      <c r="M11651" s="1" t="s">
        <v>1</v>
      </c>
      <c r="N11651" s="1" t="s">
        <v>38</v>
      </c>
      <c r="O11651" s="1" t="s">
        <v>46</v>
      </c>
    </row>
    <row r="11652" spans="2:15" x14ac:dyDescent="0.3">
      <c r="B11652" s="1" t="s">
        <v>20</v>
      </c>
      <c r="C11652" s="1" t="str">
        <f>"4차"</f>
        <v>4차</v>
      </c>
      <c r="D11652" s="1" t="str">
        <f>"9625E05244"</f>
        <v>9625E05244</v>
      </c>
      <c r="E11652" s="1" t="s">
        <v>10</v>
      </c>
      <c r="F11652" s="1" t="str">
        <f>"10.10.133.98"</f>
        <v>10.10.133.98</v>
      </c>
      <c r="G11652" s="1" t="str">
        <f>"9625E052"</f>
        <v>9625E052</v>
      </c>
      <c r="H11652" s="1" t="str">
        <f>"합원간 30R5"</f>
        <v>합원간 30R5</v>
      </c>
      <c r="I11652" s="1" t="s">
        <v>8</v>
      </c>
      <c r="J11652" s="1" t="str">
        <f>"62/62"</f>
        <v>62/62</v>
      </c>
      <c r="K11652" s="1" t="str">
        <f>"2026-07-29 13:18:10"</f>
        <v>2026-07-29 13:18:10</v>
      </c>
      <c r="L11652" s="1" t="str">
        <f>"2019-12-11 18:08:47"</f>
        <v>2019-12-11 18:08:47</v>
      </c>
      <c r="M11652" s="1" t="s">
        <v>1</v>
      </c>
      <c r="N11652" s="1" t="s">
        <v>38</v>
      </c>
      <c r="O11652" s="1" t="s">
        <v>46</v>
      </c>
    </row>
    <row r="11653" spans="2:15" x14ac:dyDescent="0.3">
      <c r="B11653" s="1" t="s">
        <v>20</v>
      </c>
      <c r="C11653" s="1" t="str">
        <f>"5-1차"</f>
        <v>5-1차</v>
      </c>
      <c r="D11653" s="1" t="str">
        <f>"9625E0825M"</f>
        <v>9625E0825M</v>
      </c>
      <c r="E11653" s="1" t="s">
        <v>10</v>
      </c>
      <c r="F11653" s="1" t="str">
        <f>"fde3:102:1300:1b00:0:0:0:2"</f>
        <v>fde3:102:1300:1b00:0:0:0:2</v>
      </c>
      <c r="G11653" s="1" t="str">
        <f>"9625E082"</f>
        <v>9625E082</v>
      </c>
      <c r="H11653" s="1" t="str">
        <f>"합원간 30R9R2"</f>
        <v>합원간 30R9R2</v>
      </c>
      <c r="I11653" s="1" t="s">
        <v>15</v>
      </c>
      <c r="J11653" s="1" t="str">
        <f>"37/37"</f>
        <v>37/37</v>
      </c>
      <c r="K11653" s="1" t="str">
        <f>"2026-07-29 14:21:19"</f>
        <v>2026-07-29 14:21:19</v>
      </c>
      <c r="L11653" s="1" t="str">
        <f>"2022-11-21 11:43:38"</f>
        <v>2022-11-21 11:43:38</v>
      </c>
      <c r="M11653" s="1" t="s">
        <v>45</v>
      </c>
      <c r="N11653" s="1" t="s">
        <v>38</v>
      </c>
      <c r="O11653" s="1" t="s">
        <v>46</v>
      </c>
    </row>
    <row r="11654" spans="2:15" x14ac:dyDescent="0.3">
      <c r="B11654" s="1" t="s">
        <v>20</v>
      </c>
      <c r="C11654" s="1" t="str">
        <f>"4차"</f>
        <v>4차</v>
      </c>
      <c r="D11654" s="1" t="str">
        <f>"9625E10144"</f>
        <v>9625E10144</v>
      </c>
      <c r="E11654" s="1" t="s">
        <v>10</v>
      </c>
      <c r="F11654" s="1" t="str">
        <f>"10.10.139.242"</f>
        <v>10.10.139.242</v>
      </c>
      <c r="G11654" s="1" t="str">
        <f>"9625E101"</f>
        <v>9625E101</v>
      </c>
      <c r="H11654" s="1" t="str">
        <f>"합원간 13R4"</f>
        <v>합원간 13R4</v>
      </c>
      <c r="I11654" s="1" t="s">
        <v>8</v>
      </c>
      <c r="J11654" s="1" t="str">
        <f>"23/23"</f>
        <v>23/23</v>
      </c>
      <c r="K11654" s="1" t="str">
        <f>"2026-07-29 13:18:10"</f>
        <v>2026-07-29 13:18:10</v>
      </c>
      <c r="L11654" s="1" t="str">
        <f>"2020-02-10 18:34:43"</f>
        <v>2020-02-10 18:34:43</v>
      </c>
      <c r="M11654" s="1" t="s">
        <v>1</v>
      </c>
      <c r="N11654" s="1" t="s">
        <v>38</v>
      </c>
      <c r="O11654" s="1" t="s">
        <v>46</v>
      </c>
    </row>
    <row r="11655" spans="2:15" x14ac:dyDescent="0.3">
      <c r="B11655" s="1" t="s">
        <v>20</v>
      </c>
      <c r="C11655" s="1" t="str">
        <f>"4차"</f>
        <v>4차</v>
      </c>
      <c r="D11655" s="1" t="str">
        <f>"9625E12244"</f>
        <v>9625E12244</v>
      </c>
      <c r="E11655" s="1" t="s">
        <v>10</v>
      </c>
      <c r="F11655" s="1" t="str">
        <f>"10.10.139.218"</f>
        <v>10.10.139.218</v>
      </c>
      <c r="G11655" s="1" t="str">
        <f>"9625E122"</f>
        <v>9625E122</v>
      </c>
      <c r="H11655" s="1" t="str">
        <f>"합원간 23R5"</f>
        <v>합원간 23R5</v>
      </c>
      <c r="I11655" s="1" t="s">
        <v>8</v>
      </c>
      <c r="J11655" s="1" t="str">
        <f>"75/76"</f>
        <v>75/76</v>
      </c>
      <c r="K11655" s="1" t="str">
        <f>"2026-07-29 13:18:10"</f>
        <v>2026-07-29 13:18:10</v>
      </c>
      <c r="L11655" s="1" t="str">
        <f>"2020-01-10 17:18:53"</f>
        <v>2020-01-10 17:18:53</v>
      </c>
      <c r="M11655" s="1" t="s">
        <v>1</v>
      </c>
      <c r="N11655" s="1" t="s">
        <v>38</v>
      </c>
      <c r="O11655" s="1" t="s">
        <v>46</v>
      </c>
    </row>
    <row r="11656" spans="2:15" x14ac:dyDescent="0.3">
      <c r="B11656" s="1" t="s">
        <v>20</v>
      </c>
      <c r="C11656" s="1" t="str">
        <f>"6차"</f>
        <v>6차</v>
      </c>
      <c r="D11656" s="1" t="str">
        <f>"9625E1416M"</f>
        <v>9625E1416M</v>
      </c>
      <c r="E11656" s="1" t="s">
        <v>10</v>
      </c>
      <c r="F11656" s="1" t="str">
        <f>"fde1:103:4:c808:0:0:0:2"</f>
        <v>fde1:103:4:c808:0:0:0:2</v>
      </c>
      <c r="G11656" s="1" t="str">
        <f>"9625E141"</f>
        <v>9625E141</v>
      </c>
      <c r="H11656" s="1" t="str">
        <f>"합원간 27R7"</f>
        <v>합원간 27R7</v>
      </c>
      <c r="I11656" s="1" t="s">
        <v>15</v>
      </c>
      <c r="J11656" s="1" t="str">
        <f>"29/32"</f>
        <v>29/32</v>
      </c>
      <c r="K11656" s="1" t="str">
        <f>"2026-07-29 14:20:51"</f>
        <v>2026-07-29 14:20:51</v>
      </c>
      <c r="L11656" s="1" t="str">
        <f>"2024-11-26 13:30:23"</f>
        <v>2024-11-26 13:30:23</v>
      </c>
      <c r="M11656" s="1" t="s">
        <v>4</v>
      </c>
      <c r="N11656" s="1" t="s">
        <v>38</v>
      </c>
      <c r="O11656" s="1" t="s">
        <v>46</v>
      </c>
    </row>
    <row r="11657" spans="2:15" x14ac:dyDescent="0.3">
      <c r="B11657" s="1" t="s">
        <v>20</v>
      </c>
      <c r="C11657" s="1" t="str">
        <f>"4차"</f>
        <v>4차</v>
      </c>
      <c r="D11657" s="1" t="str">
        <f>"9625E14244"</f>
        <v>9625E14244</v>
      </c>
      <c r="E11657" s="1" t="s">
        <v>10</v>
      </c>
      <c r="F11657" s="1" t="str">
        <f>"10.10.136.90"</f>
        <v>10.10.136.90</v>
      </c>
      <c r="G11657" s="1" t="str">
        <f>"9625E142"</f>
        <v>9625E142</v>
      </c>
      <c r="H11657" s="1" t="str">
        <f>"합원간 27R6R2"</f>
        <v>합원간 27R6R2</v>
      </c>
      <c r="I11657" s="1" t="s">
        <v>8</v>
      </c>
      <c r="J11657" s="1" t="str">
        <f>"26/28"</f>
        <v>26/28</v>
      </c>
      <c r="K11657" s="1" t="str">
        <f t="shared" ref="K11657:K11671" si="580">"2026-07-29 13:18:10"</f>
        <v>2026-07-29 13:18:10</v>
      </c>
      <c r="L11657" s="1" t="str">
        <f>"2020-01-21 16:45:23"</f>
        <v>2020-01-21 16:45:23</v>
      </c>
      <c r="M11657" s="1" t="s">
        <v>1</v>
      </c>
      <c r="N11657" s="1" t="s">
        <v>38</v>
      </c>
      <c r="O11657" s="1" t="s">
        <v>46</v>
      </c>
    </row>
    <row r="11658" spans="2:15" x14ac:dyDescent="0.3">
      <c r="B11658" s="1" t="s">
        <v>20</v>
      </c>
      <c r="C11658" s="1" t="str">
        <f>"1차"</f>
        <v>1차</v>
      </c>
      <c r="D11658" s="1" t="str">
        <f>"9625E15100"</f>
        <v>9625E15100</v>
      </c>
      <c r="E11658" s="1" t="s">
        <v>10</v>
      </c>
      <c r="F11658" s="1" t="str">
        <f>"10.125.193.34"</f>
        <v>10.125.193.34</v>
      </c>
      <c r="G11658" s="1" t="str">
        <f>"9625E151"</f>
        <v>9625E151</v>
      </c>
      <c r="H11658" s="1" t="str">
        <f>"합원간 30R8R4"</f>
        <v>합원간 30R8R4</v>
      </c>
      <c r="I11658" s="1" t="s">
        <v>8</v>
      </c>
      <c r="J11658" s="1" t="str">
        <f>"47/51"</f>
        <v>47/51</v>
      </c>
      <c r="K11658" s="1" t="str">
        <f t="shared" si="580"/>
        <v>2026-07-29 13:18:10</v>
      </c>
      <c r="L11658" s="1" t="str">
        <f>"2014-12-01 17:27:00"</f>
        <v>2014-12-01 17:27:00</v>
      </c>
      <c r="M11658" s="1" t="s">
        <v>45</v>
      </c>
      <c r="N11658" s="1" t="s">
        <v>38</v>
      </c>
      <c r="O11658" s="1" t="s">
        <v>46</v>
      </c>
    </row>
    <row r="11659" spans="2:15" x14ac:dyDescent="0.3">
      <c r="B11659" s="1" t="s">
        <v>20</v>
      </c>
      <c r="C11659" s="1" t="str">
        <f t="shared" ref="C11659:C11671" si="581">"4차"</f>
        <v>4차</v>
      </c>
      <c r="D11659" s="1" t="str">
        <f>"9625E16444"</f>
        <v>9625E16444</v>
      </c>
      <c r="E11659" s="1" t="s">
        <v>10</v>
      </c>
      <c r="F11659" s="1" t="str">
        <f>"10.10.136.98"</f>
        <v>10.10.136.98</v>
      </c>
      <c r="G11659" s="1" t="str">
        <f>"9625E164"</f>
        <v>9625E164</v>
      </c>
      <c r="H11659" s="1" t="str">
        <f>"합원간 30R8R2"</f>
        <v>합원간 30R8R2</v>
      </c>
      <c r="I11659" s="1" t="s">
        <v>8</v>
      </c>
      <c r="J11659" s="1" t="str">
        <f>"71/71"</f>
        <v>71/71</v>
      </c>
      <c r="K11659" s="1" t="str">
        <f t="shared" si="580"/>
        <v>2026-07-29 13:18:10</v>
      </c>
      <c r="L11659" s="1" t="str">
        <f>"2020-01-21 16:40:53"</f>
        <v>2020-01-21 16:40:53</v>
      </c>
      <c r="M11659" s="1" t="s">
        <v>1</v>
      </c>
      <c r="N11659" s="1" t="s">
        <v>38</v>
      </c>
      <c r="O11659" s="1" t="s">
        <v>46</v>
      </c>
    </row>
    <row r="11660" spans="2:15" x14ac:dyDescent="0.3">
      <c r="B11660" s="1" t="s">
        <v>20</v>
      </c>
      <c r="C11660" s="1" t="str">
        <f t="shared" si="581"/>
        <v>4차</v>
      </c>
      <c r="D11660" s="1" t="str">
        <f>"9625E21144"</f>
        <v>9625E21144</v>
      </c>
      <c r="E11660" s="1" t="s">
        <v>10</v>
      </c>
      <c r="F11660" s="1" t="str">
        <f>"10.10.140.114"</f>
        <v>10.10.140.114</v>
      </c>
      <c r="G11660" s="1" t="str">
        <f>"9625E211"</f>
        <v>9625E211</v>
      </c>
      <c r="H11660" s="1" t="str">
        <f>"합원간 27R14R1R5"</f>
        <v>합원간 27R14R1R5</v>
      </c>
      <c r="I11660" s="1" t="s">
        <v>8</v>
      </c>
      <c r="J11660" s="1" t="str">
        <f>"116/116"</f>
        <v>116/116</v>
      </c>
      <c r="K11660" s="1" t="str">
        <f t="shared" si="580"/>
        <v>2026-07-29 13:18:10</v>
      </c>
      <c r="L11660" s="1" t="str">
        <f>"2020-02-10 18:36:18"</f>
        <v>2020-02-10 18:36:18</v>
      </c>
      <c r="M11660" s="1" t="s">
        <v>1</v>
      </c>
      <c r="N11660" s="1" t="s">
        <v>38</v>
      </c>
      <c r="O11660" s="1" t="s">
        <v>46</v>
      </c>
    </row>
    <row r="11661" spans="2:15" x14ac:dyDescent="0.3">
      <c r="B11661" s="1" t="s">
        <v>20</v>
      </c>
      <c r="C11661" s="1" t="str">
        <f t="shared" si="581"/>
        <v>4차</v>
      </c>
      <c r="D11661" s="1" t="str">
        <f>"9625E21244"</f>
        <v>9625E21244</v>
      </c>
      <c r="E11661" s="1" t="s">
        <v>10</v>
      </c>
      <c r="F11661" s="1" t="str">
        <f>"10.10.140.122"</f>
        <v>10.10.140.122</v>
      </c>
      <c r="G11661" s="1" t="str">
        <f>"9625E212"</f>
        <v>9625E212</v>
      </c>
      <c r="H11661" s="1" t="str">
        <f>"합원간 27R14R1R4"</f>
        <v>합원간 27R14R1R4</v>
      </c>
      <c r="I11661" s="1" t="s">
        <v>8</v>
      </c>
      <c r="J11661" s="1" t="str">
        <f>"32/38"</f>
        <v>32/38</v>
      </c>
      <c r="K11661" s="1" t="str">
        <f t="shared" si="580"/>
        <v>2026-07-29 13:18:10</v>
      </c>
      <c r="L11661" s="1" t="str">
        <f>"2020-02-10 18:40:47"</f>
        <v>2020-02-10 18:40:47</v>
      </c>
      <c r="M11661" s="1" t="s">
        <v>1</v>
      </c>
      <c r="N11661" s="1" t="s">
        <v>38</v>
      </c>
      <c r="O11661" s="1" t="s">
        <v>46</v>
      </c>
    </row>
    <row r="11662" spans="2:15" x14ac:dyDescent="0.3">
      <c r="B11662" s="1" t="s">
        <v>20</v>
      </c>
      <c r="C11662" s="1" t="str">
        <f t="shared" si="581"/>
        <v>4차</v>
      </c>
      <c r="D11662" s="1" t="str">
        <f>"9625E23244"</f>
        <v>9625E23244</v>
      </c>
      <c r="E11662" s="1" t="s">
        <v>10</v>
      </c>
      <c r="F11662" s="1" t="str">
        <f>"10.10.135.2"</f>
        <v>10.10.135.2</v>
      </c>
      <c r="G11662" s="1" t="str">
        <f>"9625E232"</f>
        <v>9625E232</v>
      </c>
      <c r="H11662" s="1" t="str">
        <f>"합원간 27R6R4"</f>
        <v>합원간 27R6R4</v>
      </c>
      <c r="I11662" s="1" t="s">
        <v>8</v>
      </c>
      <c r="J11662" s="1" t="str">
        <f>"27/27"</f>
        <v>27/27</v>
      </c>
      <c r="K11662" s="1" t="str">
        <f t="shared" si="580"/>
        <v>2026-07-29 13:18:10</v>
      </c>
      <c r="L11662" s="1" t="str">
        <f>"2020-01-10 17:18:29"</f>
        <v>2020-01-10 17:18:29</v>
      </c>
      <c r="M11662" s="1" t="s">
        <v>1</v>
      </c>
      <c r="N11662" s="1" t="s">
        <v>38</v>
      </c>
      <c r="O11662" s="1" t="s">
        <v>46</v>
      </c>
    </row>
    <row r="11663" spans="2:15" x14ac:dyDescent="0.3">
      <c r="B11663" s="1" t="s">
        <v>20</v>
      </c>
      <c r="C11663" s="1" t="str">
        <f t="shared" si="581"/>
        <v>4차</v>
      </c>
      <c r="D11663" s="1" t="str">
        <f>"9625E24444"</f>
        <v>9625E24444</v>
      </c>
      <c r="E11663" s="1" t="s">
        <v>10</v>
      </c>
      <c r="F11663" s="1" t="str">
        <f>"10.10.136.106"</f>
        <v>10.10.136.106</v>
      </c>
      <c r="G11663" s="1" t="str">
        <f>"9625E244"</f>
        <v>9625E244</v>
      </c>
      <c r="H11663" s="1" t="str">
        <f>"합원간 27R6R3R1"</f>
        <v>합원간 27R6R3R1</v>
      </c>
      <c r="I11663" s="1" t="s">
        <v>8</v>
      </c>
      <c r="J11663" s="1" t="str">
        <f>"18/18"</f>
        <v>18/18</v>
      </c>
      <c r="K11663" s="1" t="str">
        <f t="shared" si="580"/>
        <v>2026-07-29 13:18:10</v>
      </c>
      <c r="L11663" s="1" t="str">
        <f>"2020-01-21 16:41:17"</f>
        <v>2020-01-21 16:41:17</v>
      </c>
      <c r="M11663" s="1" t="s">
        <v>1</v>
      </c>
      <c r="N11663" s="1" t="s">
        <v>38</v>
      </c>
      <c r="O11663" s="1" t="s">
        <v>46</v>
      </c>
    </row>
    <row r="11664" spans="2:15" x14ac:dyDescent="0.3">
      <c r="B11664" s="1" t="s">
        <v>20</v>
      </c>
      <c r="C11664" s="1" t="str">
        <f t="shared" si="581"/>
        <v>4차</v>
      </c>
      <c r="D11664" s="1" t="str">
        <f>"9625E26144"</f>
        <v>9625E26144</v>
      </c>
      <c r="E11664" s="1" t="s">
        <v>10</v>
      </c>
      <c r="F11664" s="1" t="str">
        <f>"10.10.133.122"</f>
        <v>10.10.133.122</v>
      </c>
      <c r="G11664" s="1" t="str">
        <f>"9625E261"</f>
        <v>9625E261</v>
      </c>
      <c r="H11664" s="1" t="str">
        <f>"합원간 30R8R2L3"</f>
        <v>합원간 30R8R2L3</v>
      </c>
      <c r="I11664" s="1" t="s">
        <v>8</v>
      </c>
      <c r="J11664" s="1" t="str">
        <f>"34/34"</f>
        <v>34/34</v>
      </c>
      <c r="K11664" s="1" t="str">
        <f t="shared" si="580"/>
        <v>2026-07-29 13:18:10</v>
      </c>
      <c r="L11664" s="1" t="str">
        <f>"2019-12-11 18:14:06"</f>
        <v>2019-12-11 18:14:06</v>
      </c>
      <c r="M11664" s="1" t="s">
        <v>1</v>
      </c>
      <c r="N11664" s="1" t="s">
        <v>38</v>
      </c>
      <c r="O11664" s="1" t="s">
        <v>46</v>
      </c>
    </row>
    <row r="11665" spans="2:15" x14ac:dyDescent="0.3">
      <c r="B11665" s="1" t="s">
        <v>20</v>
      </c>
      <c r="C11665" s="1" t="str">
        <f t="shared" si="581"/>
        <v>4차</v>
      </c>
      <c r="D11665" s="1" t="str">
        <f>"9625E31142"</f>
        <v>9625E31142</v>
      </c>
      <c r="E11665" s="1" t="s">
        <v>10</v>
      </c>
      <c r="F11665" s="1" t="str">
        <f>"10.125.195.114"</f>
        <v>10.125.195.114</v>
      </c>
      <c r="G11665" s="1" t="str">
        <f>"9625E311"</f>
        <v>9625E311</v>
      </c>
      <c r="H11665" s="1" t="str">
        <f>"합원간 27R14R1R3"</f>
        <v>합원간 27R14R1R3</v>
      </c>
      <c r="I11665" s="1" t="s">
        <v>8</v>
      </c>
      <c r="J11665" s="1" t="str">
        <f>"48/48"</f>
        <v>48/48</v>
      </c>
      <c r="K11665" s="1" t="str">
        <f t="shared" si="580"/>
        <v>2026-07-29 13:18:10</v>
      </c>
      <c r="L11665" s="1" t="str">
        <f>"2026-06-01 14:03:48"</f>
        <v>2026-06-01 14:03:48</v>
      </c>
      <c r="M11665" s="1" t="s">
        <v>45</v>
      </c>
      <c r="N11665" s="1" t="s">
        <v>38</v>
      </c>
      <c r="O11665" s="1" t="s">
        <v>46</v>
      </c>
    </row>
    <row r="11666" spans="2:15" x14ac:dyDescent="0.3">
      <c r="B11666" s="1" t="s">
        <v>20</v>
      </c>
      <c r="C11666" s="1" t="str">
        <f t="shared" si="581"/>
        <v>4차</v>
      </c>
      <c r="D11666" s="1" t="str">
        <f>"9625E31244"</f>
        <v>9625E31244</v>
      </c>
      <c r="E11666" s="1" t="s">
        <v>10</v>
      </c>
      <c r="F11666" s="1" t="str">
        <f>"10.10.140.82"</f>
        <v>10.10.140.82</v>
      </c>
      <c r="G11666" s="1" t="str">
        <f>"9625E312"</f>
        <v>9625E312</v>
      </c>
      <c r="H11666" s="1" t="str">
        <f>"합원간 27R14R1R2L1"</f>
        <v>합원간 27R14R1R2L1</v>
      </c>
      <c r="I11666" s="1" t="s">
        <v>8</v>
      </c>
      <c r="J11666" s="1" t="str">
        <f>"16/16"</f>
        <v>16/16</v>
      </c>
      <c r="K11666" s="1" t="str">
        <f t="shared" si="580"/>
        <v>2026-07-29 13:18:10</v>
      </c>
      <c r="L11666" s="1" t="str">
        <f>"2020-02-10 18:35:15"</f>
        <v>2020-02-10 18:35:15</v>
      </c>
      <c r="M11666" s="1" t="s">
        <v>1</v>
      </c>
      <c r="N11666" s="1" t="s">
        <v>38</v>
      </c>
      <c r="O11666" s="1" t="s">
        <v>46</v>
      </c>
    </row>
    <row r="11667" spans="2:15" x14ac:dyDescent="0.3">
      <c r="B11667" s="1" t="s">
        <v>20</v>
      </c>
      <c r="C11667" s="1" t="str">
        <f t="shared" si="581"/>
        <v>4차</v>
      </c>
      <c r="D11667" s="1" t="str">
        <f>"9625E31344"</f>
        <v>9625E31344</v>
      </c>
      <c r="E11667" s="1" t="s">
        <v>10</v>
      </c>
      <c r="F11667" s="1" t="str">
        <f>"10.10.140.98"</f>
        <v>10.10.140.98</v>
      </c>
      <c r="G11667" s="1" t="str">
        <f>"9625E313"</f>
        <v>9625E313</v>
      </c>
      <c r="H11667" s="1" t="str">
        <f>"합원간 27R14R1R2L2"</f>
        <v>합원간 27R14R1R2L2</v>
      </c>
      <c r="I11667" s="1" t="s">
        <v>8</v>
      </c>
      <c r="J11667" s="1" t="str">
        <f>"9/9"</f>
        <v>9/9</v>
      </c>
      <c r="K11667" s="1" t="str">
        <f t="shared" si="580"/>
        <v>2026-07-29 13:18:10</v>
      </c>
      <c r="L11667" s="1" t="str">
        <f>"2020-02-10 18:40:50"</f>
        <v>2020-02-10 18:40:50</v>
      </c>
      <c r="M11667" s="1" t="s">
        <v>1</v>
      </c>
      <c r="N11667" s="1" t="s">
        <v>38</v>
      </c>
      <c r="O11667" s="1" t="s">
        <v>46</v>
      </c>
    </row>
    <row r="11668" spans="2:15" x14ac:dyDescent="0.3">
      <c r="B11668" s="1" t="s">
        <v>20</v>
      </c>
      <c r="C11668" s="1" t="str">
        <f t="shared" si="581"/>
        <v>4차</v>
      </c>
      <c r="D11668" s="1" t="str">
        <f>"9625E32144"</f>
        <v>9625E32144</v>
      </c>
      <c r="E11668" s="1" t="s">
        <v>10</v>
      </c>
      <c r="F11668" s="1" t="str">
        <f>"10.10.139.210"</f>
        <v>10.10.139.210</v>
      </c>
      <c r="G11668" s="1" t="str">
        <f>"9625E321"</f>
        <v>9625E321</v>
      </c>
      <c r="H11668" s="1" t="str">
        <f>"합원간 23R7"</f>
        <v>합원간 23R7</v>
      </c>
      <c r="I11668" s="1" t="s">
        <v>8</v>
      </c>
      <c r="J11668" s="1" t="str">
        <f>"53/53"</f>
        <v>53/53</v>
      </c>
      <c r="K11668" s="1" t="str">
        <f t="shared" si="580"/>
        <v>2026-07-29 13:18:10</v>
      </c>
      <c r="L11668" s="1" t="str">
        <f>"2020-02-10 18:39:07"</f>
        <v>2020-02-10 18:39:07</v>
      </c>
      <c r="M11668" s="1" t="s">
        <v>1</v>
      </c>
      <c r="N11668" s="1" t="s">
        <v>38</v>
      </c>
      <c r="O11668" s="1" t="s">
        <v>46</v>
      </c>
    </row>
    <row r="11669" spans="2:15" x14ac:dyDescent="0.3">
      <c r="B11669" s="1" t="s">
        <v>20</v>
      </c>
      <c r="C11669" s="1" t="str">
        <f t="shared" si="581"/>
        <v>4차</v>
      </c>
      <c r="D11669" s="1" t="str">
        <f>"9625E33144"</f>
        <v>9625E33144</v>
      </c>
      <c r="E11669" s="1" t="s">
        <v>10</v>
      </c>
      <c r="F11669" s="1" t="str">
        <f>"10.10.139.202"</f>
        <v>10.10.139.202</v>
      </c>
      <c r="G11669" s="1" t="str">
        <f>"9625E331"</f>
        <v>9625E331</v>
      </c>
      <c r="H11669" s="1" t="str">
        <f>"합원간 23R8"</f>
        <v>합원간 23R8</v>
      </c>
      <c r="I11669" s="1" t="s">
        <v>8</v>
      </c>
      <c r="J11669" s="1" t="str">
        <f>"65/65"</f>
        <v>65/65</v>
      </c>
      <c r="K11669" s="1" t="str">
        <f t="shared" si="580"/>
        <v>2026-07-29 13:18:10</v>
      </c>
      <c r="L11669" s="1" t="str">
        <f>"2020-02-10 18:30:28"</f>
        <v>2020-02-10 18:30:28</v>
      </c>
      <c r="M11669" s="1" t="s">
        <v>1</v>
      </c>
      <c r="N11669" s="1" t="s">
        <v>38</v>
      </c>
      <c r="O11669" s="1" t="s">
        <v>46</v>
      </c>
    </row>
    <row r="11670" spans="2:15" x14ac:dyDescent="0.3">
      <c r="B11670" s="1" t="s">
        <v>20</v>
      </c>
      <c r="C11670" s="1" t="str">
        <f t="shared" si="581"/>
        <v>4차</v>
      </c>
      <c r="D11670" s="1" t="str">
        <f>"9625E34144"</f>
        <v>9625E34144</v>
      </c>
      <c r="E11670" s="1" t="s">
        <v>10</v>
      </c>
      <c r="F11670" s="1" t="str">
        <f>"10.10.135.186"</f>
        <v>10.10.135.186</v>
      </c>
      <c r="G11670" s="1" t="str">
        <f>"9625E341"</f>
        <v>9625E341</v>
      </c>
      <c r="H11670" s="1" t="str">
        <f>"합원간 27R9"</f>
        <v>합원간 27R9</v>
      </c>
      <c r="I11670" s="1" t="s">
        <v>8</v>
      </c>
      <c r="J11670" s="1" t="str">
        <f>"22/22"</f>
        <v>22/22</v>
      </c>
      <c r="K11670" s="1" t="str">
        <f t="shared" si="580"/>
        <v>2026-07-29 13:18:10</v>
      </c>
      <c r="L11670" s="1" t="str">
        <f>"2020-01-20 11:11:27"</f>
        <v>2020-01-20 11:11:27</v>
      </c>
      <c r="M11670" s="1" t="s">
        <v>1</v>
      </c>
      <c r="N11670" s="1" t="s">
        <v>38</v>
      </c>
      <c r="O11670" s="1" t="s">
        <v>46</v>
      </c>
    </row>
    <row r="11671" spans="2:15" x14ac:dyDescent="0.3">
      <c r="B11671" s="1" t="s">
        <v>20</v>
      </c>
      <c r="C11671" s="1" t="str">
        <f t="shared" si="581"/>
        <v>4차</v>
      </c>
      <c r="D11671" s="1" t="str">
        <f>"9625E35144"</f>
        <v>9625E35144</v>
      </c>
      <c r="E11671" s="1" t="s">
        <v>10</v>
      </c>
      <c r="F11671" s="1" t="str">
        <f>"10.10.134.146"</f>
        <v>10.10.134.146</v>
      </c>
      <c r="G11671" s="1" t="str">
        <f>"9625E351"</f>
        <v>9625E351</v>
      </c>
      <c r="H11671" s="1" t="str">
        <f>"합원간 27R10L2"</f>
        <v>합원간 27R10L2</v>
      </c>
      <c r="I11671" s="1" t="s">
        <v>8</v>
      </c>
      <c r="J11671" s="1" t="str">
        <f>"57/57"</f>
        <v>57/57</v>
      </c>
      <c r="K11671" s="1" t="str">
        <f t="shared" si="580"/>
        <v>2026-07-29 13:18:10</v>
      </c>
      <c r="L11671" s="1" t="str">
        <f>"2019-12-11 18:14:02"</f>
        <v>2019-12-11 18:14:02</v>
      </c>
      <c r="M11671" s="1" t="s">
        <v>1</v>
      </c>
      <c r="N11671" s="1" t="s">
        <v>38</v>
      </c>
      <c r="O11671" s="1" t="s">
        <v>46</v>
      </c>
    </row>
    <row r="11672" spans="2:15" x14ac:dyDescent="0.3">
      <c r="B11672" s="1" t="s">
        <v>20</v>
      </c>
      <c r="C11672" s="1" t="str">
        <f>"5-1차"</f>
        <v>5-1차</v>
      </c>
      <c r="D11672" s="1" t="str">
        <f>"9625E3615M"</f>
        <v>9625E3615M</v>
      </c>
      <c r="E11672" s="1" t="s">
        <v>10</v>
      </c>
      <c r="F11672" s="1" t="str">
        <f>"fde2:104:0:c6:0:0:0:2"</f>
        <v>fde2:104:0:c6:0:0:0:2</v>
      </c>
      <c r="G11672" s="1" t="str">
        <f>"9625E361"</f>
        <v>9625E361</v>
      </c>
      <c r="H11672" s="1" t="str">
        <f>"합원간 27R10L3"</f>
        <v>합원간 27R10L3</v>
      </c>
      <c r="I11672" s="1" t="s">
        <v>15</v>
      </c>
      <c r="J11672" s="1" t="str">
        <f>"22/30"</f>
        <v>22/30</v>
      </c>
      <c r="K11672" s="1" t="str">
        <f>"2026-07-29 14:21:36"</f>
        <v>2026-07-29 14:21:36</v>
      </c>
      <c r="L11672" s="1" t="str">
        <f>"2022-10-13 16:08:43"</f>
        <v>2022-10-13 16:08:43</v>
      </c>
      <c r="M11672" s="1" t="s">
        <v>42</v>
      </c>
      <c r="N11672" s="1" t="s">
        <v>38</v>
      </c>
      <c r="O11672" s="1" t="s">
        <v>46</v>
      </c>
    </row>
    <row r="11673" spans="2:15" x14ac:dyDescent="0.3">
      <c r="B11673" s="1" t="s">
        <v>20</v>
      </c>
      <c r="C11673" s="1" t="str">
        <f>"4차"</f>
        <v>4차</v>
      </c>
      <c r="D11673" s="1" t="str">
        <f>"9625E40144"</f>
        <v>9625E40144</v>
      </c>
      <c r="E11673" s="1" t="s">
        <v>10</v>
      </c>
      <c r="F11673" s="1" t="str">
        <f>"10.10.140.106"</f>
        <v>10.10.140.106</v>
      </c>
      <c r="G11673" s="1" t="str">
        <f>"9625E401"</f>
        <v>9625E401</v>
      </c>
      <c r="H11673" s="1" t="str">
        <f>"합원간 27R14R1R2L3"</f>
        <v>합원간 27R14R1R2L3</v>
      </c>
      <c r="I11673" s="1" t="s">
        <v>8</v>
      </c>
      <c r="J11673" s="1" t="str">
        <f>"39/39"</f>
        <v>39/39</v>
      </c>
      <c r="K11673" s="1" t="str">
        <f>"2026-07-29 13:18:10"</f>
        <v>2026-07-29 13:18:10</v>
      </c>
      <c r="L11673" s="1" t="str">
        <f>"2020-02-10 18:42:02"</f>
        <v>2020-02-10 18:42:02</v>
      </c>
      <c r="M11673" s="1" t="s">
        <v>1</v>
      </c>
      <c r="N11673" s="1" t="s">
        <v>38</v>
      </c>
      <c r="O11673" s="1" t="s">
        <v>46</v>
      </c>
    </row>
    <row r="11674" spans="2:15" x14ac:dyDescent="0.3">
      <c r="B11674" s="1" t="s">
        <v>20</v>
      </c>
      <c r="C11674" s="1" t="str">
        <f>"6차"</f>
        <v>6차</v>
      </c>
      <c r="D11674" s="1" t="str">
        <f>"9625E4216M"</f>
        <v>9625E4216M</v>
      </c>
      <c r="E11674" s="1" t="s">
        <v>10</v>
      </c>
      <c r="F11674" s="1" t="str">
        <f>"fde1:103:4:c811:0:0:0:2"</f>
        <v>fde1:103:4:c811:0:0:0:2</v>
      </c>
      <c r="G11674" s="1" t="str">
        <f>"9625E421"</f>
        <v>9625E421</v>
      </c>
      <c r="H11674" s="1" t="str">
        <f>"합원간 27R14R1R1"</f>
        <v>합원간 27R14R1R1</v>
      </c>
      <c r="I11674" s="1" t="s">
        <v>15</v>
      </c>
      <c r="J11674" s="1" t="str">
        <f>"34/34"</f>
        <v>34/34</v>
      </c>
      <c r="K11674" s="1" t="str">
        <f>"2026-07-29 08:20:27"</f>
        <v>2026-07-29 08:20:27</v>
      </c>
      <c r="L11674" s="1" t="str">
        <f>"2024-11-26 13:31:05"</f>
        <v>2024-11-26 13:31:05</v>
      </c>
      <c r="M11674" s="1" t="s">
        <v>4</v>
      </c>
      <c r="N11674" s="1" t="s">
        <v>38</v>
      </c>
      <c r="O11674" s="1" t="s">
        <v>46</v>
      </c>
    </row>
    <row r="11675" spans="2:15" x14ac:dyDescent="0.3">
      <c r="B11675" s="1" t="s">
        <v>20</v>
      </c>
      <c r="C11675" s="1" t="str">
        <f>"4차"</f>
        <v>4차</v>
      </c>
      <c r="D11675" s="1" t="str">
        <f>"9625E45144"</f>
        <v>9625E45144</v>
      </c>
      <c r="E11675" s="1" t="s">
        <v>10</v>
      </c>
      <c r="F11675" s="1" t="str">
        <f>"10.10.136.114"</f>
        <v>10.10.136.114</v>
      </c>
      <c r="G11675" s="1" t="str">
        <f>"9625E451"</f>
        <v>9625E451</v>
      </c>
      <c r="H11675" s="1" t="str">
        <f>"합원간 27R10"</f>
        <v>합원간 27R10</v>
      </c>
      <c r="I11675" s="1" t="s">
        <v>8</v>
      </c>
      <c r="J11675" s="1" t="str">
        <f>"6/6"</f>
        <v>6/6</v>
      </c>
      <c r="K11675" s="1" t="str">
        <f>"2026-07-29 13:18:10"</f>
        <v>2026-07-29 13:18:10</v>
      </c>
      <c r="L11675" s="1" t="str">
        <f>"2020-01-21 16:43:20"</f>
        <v>2020-01-21 16:43:20</v>
      </c>
      <c r="M11675" s="1" t="s">
        <v>1</v>
      </c>
      <c r="N11675" s="1" t="s">
        <v>38</v>
      </c>
      <c r="O11675" s="1" t="s">
        <v>46</v>
      </c>
    </row>
    <row r="11676" spans="2:15" x14ac:dyDescent="0.3">
      <c r="B11676" s="1" t="s">
        <v>20</v>
      </c>
      <c r="C11676" s="1" t="str">
        <f>"6차"</f>
        <v>6차</v>
      </c>
      <c r="D11676" s="1" t="str">
        <f>"9625E5216M"</f>
        <v>9625E5216M</v>
      </c>
      <c r="E11676" s="1" t="s">
        <v>10</v>
      </c>
      <c r="F11676" s="1" t="str">
        <f>"fde1:103:4:c720:0:0:0:2"</f>
        <v>fde1:103:4:c720:0:0:0:2</v>
      </c>
      <c r="G11676" s="1" t="str">
        <f>"9625E521"</f>
        <v>9625E521</v>
      </c>
      <c r="H11676" s="1" t="str">
        <f>"합원간 27R14"</f>
        <v>합원간 27R14</v>
      </c>
      <c r="I11676" s="1" t="s">
        <v>15</v>
      </c>
      <c r="J11676" s="1" t="str">
        <f>"50/50"</f>
        <v>50/50</v>
      </c>
      <c r="K11676" s="1" t="str">
        <f>"2026-07-29 14:20:51"</f>
        <v>2026-07-29 14:20:51</v>
      </c>
      <c r="L11676" s="1" t="str">
        <f>"2024-11-26 13:31:43"</f>
        <v>2024-11-26 13:31:43</v>
      </c>
      <c r="M11676" s="1" t="s">
        <v>4</v>
      </c>
      <c r="N11676" s="1" t="s">
        <v>38</v>
      </c>
      <c r="O11676" s="1" t="s">
        <v>46</v>
      </c>
    </row>
    <row r="11677" spans="2:15" x14ac:dyDescent="0.3">
      <c r="B11677" s="1" t="s">
        <v>20</v>
      </c>
      <c r="C11677" s="1" t="str">
        <f>"4차"</f>
        <v>4차</v>
      </c>
      <c r="D11677" s="1" t="str">
        <f>"9625E54144"</f>
        <v>9625E54144</v>
      </c>
      <c r="E11677" s="1" t="s">
        <v>10</v>
      </c>
      <c r="F11677" s="1" t="str">
        <f>"10.10.134.234"</f>
        <v>10.10.134.234</v>
      </c>
      <c r="G11677" s="1" t="str">
        <f>"9625E541"</f>
        <v>9625E541</v>
      </c>
      <c r="H11677" s="1" t="str">
        <f>"당인간 49R9"</f>
        <v>당인간 49R9</v>
      </c>
      <c r="I11677" s="1" t="s">
        <v>8</v>
      </c>
      <c r="J11677" s="1" t="str">
        <f>"65/69"</f>
        <v>65/69</v>
      </c>
      <c r="K11677" s="1" t="str">
        <f>"2026-07-29 13:18:10"</f>
        <v>2026-07-29 13:18:10</v>
      </c>
      <c r="L11677" s="1" t="str">
        <f>"2019-12-11 17:48:55"</f>
        <v>2019-12-11 17:48:55</v>
      </c>
      <c r="M11677" s="1" t="s">
        <v>1</v>
      </c>
      <c r="N11677" s="1" t="s">
        <v>38</v>
      </c>
      <c r="O11677" s="1" t="s">
        <v>46</v>
      </c>
    </row>
    <row r="11678" spans="2:15" x14ac:dyDescent="0.3">
      <c r="B11678" s="1" t="s">
        <v>20</v>
      </c>
      <c r="C11678" s="1" t="str">
        <f>"4차"</f>
        <v>4차</v>
      </c>
      <c r="D11678" s="1" t="str">
        <f>"9625E55144"</f>
        <v>9625E55144</v>
      </c>
      <c r="E11678" s="1" t="s">
        <v>10</v>
      </c>
      <c r="F11678" s="1" t="str">
        <f>"10.10.135.170"</f>
        <v>10.10.135.170</v>
      </c>
      <c r="G11678" s="1" t="str">
        <f>"9625E551"</f>
        <v>9625E551</v>
      </c>
      <c r="H11678" s="1" t="str">
        <f>"합원간 27R11L2"</f>
        <v>합원간 27R11L2</v>
      </c>
      <c r="I11678" s="1" t="s">
        <v>8</v>
      </c>
      <c r="J11678" s="1" t="str">
        <f>"42/42"</f>
        <v>42/42</v>
      </c>
      <c r="K11678" s="1" t="str">
        <f>"2026-07-29 13:18:10"</f>
        <v>2026-07-29 13:18:10</v>
      </c>
      <c r="L11678" s="1" t="str">
        <f>"2019-12-11 18:09:31"</f>
        <v>2019-12-11 18:09:31</v>
      </c>
      <c r="M11678" s="1" t="s">
        <v>1</v>
      </c>
      <c r="N11678" s="1" t="s">
        <v>38</v>
      </c>
      <c r="O11678" s="1" t="s">
        <v>46</v>
      </c>
    </row>
    <row r="11679" spans="2:15" x14ac:dyDescent="0.3">
      <c r="B11679" s="1" t="s">
        <v>20</v>
      </c>
      <c r="C11679" s="1" t="str">
        <f>"4차"</f>
        <v>4차</v>
      </c>
      <c r="D11679" s="1" t="str">
        <f>"9625E60444"</f>
        <v>9625E60444</v>
      </c>
      <c r="E11679" s="1" t="s">
        <v>10</v>
      </c>
      <c r="F11679" s="1" t="str">
        <f>"10.10.140.58"</f>
        <v>10.10.140.58</v>
      </c>
      <c r="G11679" s="1" t="str">
        <f>"9625E604"</f>
        <v>9625E604</v>
      </c>
      <c r="H11679" s="1" t="str">
        <f>"합원간 12R4"</f>
        <v>합원간 12R4</v>
      </c>
      <c r="I11679" s="1" t="s">
        <v>8</v>
      </c>
      <c r="J11679" s="1" t="str">
        <f>"52/52"</f>
        <v>52/52</v>
      </c>
      <c r="K11679" s="1" t="str">
        <f>"2026-07-29 13:18:10"</f>
        <v>2026-07-29 13:18:10</v>
      </c>
      <c r="L11679" s="1" t="str">
        <f>"2020-02-10 18:29:53"</f>
        <v>2020-02-10 18:29:53</v>
      </c>
      <c r="M11679" s="1" t="s">
        <v>1</v>
      </c>
      <c r="N11679" s="1" t="s">
        <v>38</v>
      </c>
      <c r="O11679" s="1" t="s">
        <v>46</v>
      </c>
    </row>
    <row r="11680" spans="2:15" x14ac:dyDescent="0.3">
      <c r="B11680" s="1" t="s">
        <v>20</v>
      </c>
      <c r="C11680" s="1" t="str">
        <f>"6차"</f>
        <v>6차</v>
      </c>
      <c r="D11680" s="1" t="str">
        <f>"9625E6126M"</f>
        <v>9625E6126M</v>
      </c>
      <c r="E11680" s="1" t="s">
        <v>10</v>
      </c>
      <c r="F11680" s="1" t="str">
        <f>"fde1:103:4:c815:0:0:0:2"</f>
        <v>fde1:103:4:c815:0:0:0:2</v>
      </c>
      <c r="G11680" s="1" t="str">
        <f>"9625E612"</f>
        <v>9625E612</v>
      </c>
      <c r="H11680" s="1" t="str">
        <f>"합원간 27R15"</f>
        <v>합원간 27R15</v>
      </c>
      <c r="I11680" s="1" t="s">
        <v>15</v>
      </c>
      <c r="J11680" s="1" t="str">
        <f>"24/25"</f>
        <v>24/25</v>
      </c>
      <c r="K11680" s="1" t="str">
        <f>"2026-07-29 14:21:40"</f>
        <v>2026-07-29 14:21:40</v>
      </c>
      <c r="L11680" s="1" t="str">
        <f>"2024-11-26 13:32:33"</f>
        <v>2024-11-26 13:32:33</v>
      </c>
      <c r="M11680" s="1" t="s">
        <v>4</v>
      </c>
      <c r="N11680" s="1" t="s">
        <v>38</v>
      </c>
      <c r="O11680" s="1" t="s">
        <v>46</v>
      </c>
    </row>
    <row r="11681" spans="2:15" x14ac:dyDescent="0.3">
      <c r="B11681" s="1" t="s">
        <v>20</v>
      </c>
      <c r="C11681" s="1" t="str">
        <f>"4차"</f>
        <v>4차</v>
      </c>
      <c r="D11681" s="1" t="str">
        <f>"9625E61344"</f>
        <v>9625E61344</v>
      </c>
      <c r="E11681" s="1" t="s">
        <v>10</v>
      </c>
      <c r="F11681" s="1" t="str">
        <f>"10.10.134.242"</f>
        <v>10.10.134.242</v>
      </c>
      <c r="G11681" s="1" t="str">
        <f>"9625E613"</f>
        <v>9625E613</v>
      </c>
      <c r="H11681" s="1" t="str">
        <f>"합원간 27R14R4"</f>
        <v>합원간 27R14R4</v>
      </c>
      <c r="I11681" s="1" t="s">
        <v>8</v>
      </c>
      <c r="J11681" s="1" t="str">
        <f>"16/16"</f>
        <v>16/16</v>
      </c>
      <c r="K11681" s="1" t="str">
        <f>"2026-07-29 13:18:10"</f>
        <v>2026-07-29 13:18:10</v>
      </c>
      <c r="L11681" s="1" t="str">
        <f>"2019-12-11 18:07:10"</f>
        <v>2019-12-11 18:07:10</v>
      </c>
      <c r="M11681" s="1" t="s">
        <v>1</v>
      </c>
      <c r="N11681" s="1" t="s">
        <v>38</v>
      </c>
      <c r="O11681" s="1" t="s">
        <v>46</v>
      </c>
    </row>
    <row r="11682" spans="2:15" x14ac:dyDescent="0.3">
      <c r="B11682" s="1" t="s">
        <v>20</v>
      </c>
      <c r="C11682" s="1" t="str">
        <f>"1차"</f>
        <v>1차</v>
      </c>
      <c r="D11682" s="1" t="str">
        <f>"9625E62100"</f>
        <v>9625E62100</v>
      </c>
      <c r="E11682" s="1" t="s">
        <v>10</v>
      </c>
      <c r="F11682" s="1" t="str">
        <f>"10.125.192.50"</f>
        <v>10.125.192.50</v>
      </c>
      <c r="G11682" s="1" t="str">
        <f>"9625E621"</f>
        <v>9625E621</v>
      </c>
      <c r="H11682" s="1" t="str">
        <f>"합원간 27R14L2"</f>
        <v>합원간 27R14L2</v>
      </c>
      <c r="I11682" s="1" t="s">
        <v>8</v>
      </c>
      <c r="J11682" s="1" t="str">
        <f>"31/31"</f>
        <v>31/31</v>
      </c>
      <c r="K11682" s="1" t="str">
        <f>"2026-07-29 13:18:10"</f>
        <v>2026-07-29 13:18:10</v>
      </c>
      <c r="L11682" s="1" t="str">
        <f>"2015-02-26 07:37:06"</f>
        <v>2015-02-26 07:37:06</v>
      </c>
      <c r="M11682" s="1" t="s">
        <v>45</v>
      </c>
      <c r="N11682" s="1" t="s">
        <v>38</v>
      </c>
      <c r="O11682" s="1" t="s">
        <v>46</v>
      </c>
    </row>
    <row r="11683" spans="2:15" x14ac:dyDescent="0.3">
      <c r="B11683" s="1" t="s">
        <v>20</v>
      </c>
      <c r="C11683" s="1" t="str">
        <f>"1차"</f>
        <v>1차</v>
      </c>
      <c r="D11683" s="1" t="str">
        <f>"9625E63101"</f>
        <v>9625E63101</v>
      </c>
      <c r="E11683" s="1" t="s">
        <v>10</v>
      </c>
      <c r="F11683" s="1" t="str">
        <f>"10.12.128.72"</f>
        <v>10.12.128.72</v>
      </c>
      <c r="G11683" s="1" t="str">
        <f>"9625E631"</f>
        <v>9625E631</v>
      </c>
      <c r="H11683" s="1" t="str">
        <f>"합원간 27R14L3"</f>
        <v>합원간 27R14L3</v>
      </c>
      <c r="I11683" s="1" t="s">
        <v>8</v>
      </c>
      <c r="J11683" s="1" t="str">
        <f>"31/31"</f>
        <v>31/31</v>
      </c>
      <c r="K11683" s="1" t="str">
        <f>"2026-07-29 13:18:12"</f>
        <v>2026-07-29 13:18:12</v>
      </c>
      <c r="L11683" s="1" t="str">
        <f>"2015-02-26 07:37:54"</f>
        <v>2015-02-26 07:37:54</v>
      </c>
      <c r="M11683" s="1" t="s">
        <v>0</v>
      </c>
      <c r="N11683" s="1" t="s">
        <v>38</v>
      </c>
      <c r="O11683" s="1" t="s">
        <v>46</v>
      </c>
    </row>
    <row r="11684" spans="2:15" x14ac:dyDescent="0.3">
      <c r="B11684" s="1" t="s">
        <v>20</v>
      </c>
      <c r="C11684" s="1" t="str">
        <f>"4차"</f>
        <v>4차</v>
      </c>
      <c r="D11684" s="1" t="str">
        <f>"9625E64144"</f>
        <v>9625E64144</v>
      </c>
      <c r="E11684" s="1" t="s">
        <v>10</v>
      </c>
      <c r="F11684" s="1" t="str">
        <f>"10.10.134.218"</f>
        <v>10.10.134.218</v>
      </c>
      <c r="G11684" s="1" t="str">
        <f>"9625E641"</f>
        <v>9625E641</v>
      </c>
      <c r="H11684" s="1" t="str">
        <f>"당인간 49R8"</f>
        <v>당인간 49R8</v>
      </c>
      <c r="I11684" s="1" t="s">
        <v>8</v>
      </c>
      <c r="J11684" s="1" t="str">
        <f>"37/37"</f>
        <v>37/37</v>
      </c>
      <c r="K11684" s="1" t="str">
        <f t="shared" ref="K11684:K11689" si="582">"2026-07-29 13:18:10"</f>
        <v>2026-07-29 13:18:10</v>
      </c>
      <c r="L11684" s="1" t="str">
        <f>"2019-11-14 13:31:25"</f>
        <v>2019-11-14 13:31:25</v>
      </c>
      <c r="M11684" s="1" t="s">
        <v>1</v>
      </c>
      <c r="N11684" s="1" t="s">
        <v>38</v>
      </c>
      <c r="O11684" s="1" t="s">
        <v>46</v>
      </c>
    </row>
    <row r="11685" spans="2:15" x14ac:dyDescent="0.3">
      <c r="B11685" s="1" t="s">
        <v>20</v>
      </c>
      <c r="C11685" s="1" t="str">
        <f>"1차"</f>
        <v>1차</v>
      </c>
      <c r="D11685" s="1" t="str">
        <f>"9625E70300"</f>
        <v>9625E70300</v>
      </c>
      <c r="E11685" s="1" t="s">
        <v>10</v>
      </c>
      <c r="F11685" s="1" t="str">
        <f>"10.125.192.42"</f>
        <v>10.125.192.42</v>
      </c>
      <c r="G11685" s="1" t="str">
        <f>"9625E703"</f>
        <v>9625E703</v>
      </c>
      <c r="H11685" s="1" t="str">
        <f>"합원간 27R17L2"</f>
        <v>합원간 27R17L2</v>
      </c>
      <c r="I11685" s="1" t="s">
        <v>8</v>
      </c>
      <c r="J11685" s="1" t="str">
        <f>"41/41"</f>
        <v>41/41</v>
      </c>
      <c r="K11685" s="1" t="str">
        <f t="shared" si="582"/>
        <v>2026-07-29 13:18:10</v>
      </c>
      <c r="L11685" s="1" t="str">
        <f>"2015-02-26 07:52:24"</f>
        <v>2015-02-26 07:52:24</v>
      </c>
      <c r="M11685" s="1" t="s">
        <v>45</v>
      </c>
      <c r="N11685" s="1" t="s">
        <v>38</v>
      </c>
      <c r="O11685" s="1" t="s">
        <v>46</v>
      </c>
    </row>
    <row r="11686" spans="2:15" x14ac:dyDescent="0.3">
      <c r="B11686" s="1" t="s">
        <v>20</v>
      </c>
      <c r="C11686" s="1" t="str">
        <f>"4차"</f>
        <v>4차</v>
      </c>
      <c r="D11686" s="1" t="str">
        <f>"9625E72144"</f>
        <v>9625E72144</v>
      </c>
      <c r="E11686" s="1" t="s">
        <v>10</v>
      </c>
      <c r="F11686" s="1" t="str">
        <f>"10.10.134.178"</f>
        <v>10.10.134.178</v>
      </c>
      <c r="G11686" s="1" t="str">
        <f>"9625E721"</f>
        <v>9625E721</v>
      </c>
      <c r="H11686" s="1" t="str">
        <f>"합원간 27R14L2R2"</f>
        <v>합원간 27R14L2R2</v>
      </c>
      <c r="I11686" s="1" t="s">
        <v>8</v>
      </c>
      <c r="J11686" s="1" t="str">
        <f>"17/17"</f>
        <v>17/17</v>
      </c>
      <c r="K11686" s="1" t="str">
        <f t="shared" si="582"/>
        <v>2026-07-29 13:18:10</v>
      </c>
      <c r="L11686" s="1" t="str">
        <f>"2020-01-20 14:14:33"</f>
        <v>2020-01-20 14:14:33</v>
      </c>
      <c r="M11686" s="1" t="s">
        <v>1</v>
      </c>
      <c r="N11686" s="1" t="s">
        <v>38</v>
      </c>
      <c r="O11686" s="1" t="s">
        <v>46</v>
      </c>
    </row>
    <row r="11687" spans="2:15" x14ac:dyDescent="0.3">
      <c r="B11687" s="1" t="s">
        <v>20</v>
      </c>
      <c r="C11687" s="1" t="str">
        <f>"4차"</f>
        <v>4차</v>
      </c>
      <c r="D11687" s="1" t="str">
        <f>"9625E72244"</f>
        <v>9625E72244</v>
      </c>
      <c r="E11687" s="1" t="s">
        <v>10</v>
      </c>
      <c r="F11687" s="1" t="str">
        <f>"10.10.134.162"</f>
        <v>10.10.134.162</v>
      </c>
      <c r="G11687" s="1" t="str">
        <f>"9625E722"</f>
        <v>9625E722</v>
      </c>
      <c r="H11687" s="1" t="str">
        <f>"합원간 27R17H1L4L1L1"</f>
        <v>합원간 27R17H1L4L1L1</v>
      </c>
      <c r="I11687" s="1" t="s">
        <v>8</v>
      </c>
      <c r="J11687" s="1" t="str">
        <f>"84/84"</f>
        <v>84/84</v>
      </c>
      <c r="K11687" s="1" t="str">
        <f t="shared" si="582"/>
        <v>2026-07-29 13:18:10</v>
      </c>
      <c r="L11687" s="1" t="str">
        <f>"2019-12-11 18:12:48"</f>
        <v>2019-12-11 18:12:48</v>
      </c>
      <c r="M11687" s="1" t="s">
        <v>1</v>
      </c>
      <c r="N11687" s="1" t="s">
        <v>38</v>
      </c>
      <c r="O11687" s="1" t="s">
        <v>46</v>
      </c>
    </row>
    <row r="11688" spans="2:15" x14ac:dyDescent="0.3">
      <c r="B11688" s="1" t="s">
        <v>20</v>
      </c>
      <c r="C11688" s="1" t="str">
        <f>"4차"</f>
        <v>4차</v>
      </c>
      <c r="D11688" s="1" t="str">
        <f>"9625E75144"</f>
        <v>9625E75144</v>
      </c>
      <c r="E11688" s="1" t="s">
        <v>10</v>
      </c>
      <c r="F11688" s="1" t="str">
        <f>"10.10.136.122"</f>
        <v>10.10.136.122</v>
      </c>
      <c r="G11688" s="1" t="str">
        <f>"9625E751"</f>
        <v>9625E751</v>
      </c>
      <c r="H11688" s="1" t="str">
        <f>"당인간 32AR12R5L2"</f>
        <v>당인간 32AR12R5L2</v>
      </c>
      <c r="I11688" s="1" t="s">
        <v>8</v>
      </c>
      <c r="J11688" s="1" t="str">
        <f>"34/34"</f>
        <v>34/34</v>
      </c>
      <c r="K11688" s="1" t="str">
        <f t="shared" si="582"/>
        <v>2026-07-29 13:18:10</v>
      </c>
      <c r="L11688" s="1" t="str">
        <f>"2020-01-21 16:37:45"</f>
        <v>2020-01-21 16:37:45</v>
      </c>
      <c r="M11688" s="1" t="s">
        <v>1</v>
      </c>
      <c r="N11688" s="1" t="s">
        <v>38</v>
      </c>
      <c r="O11688" s="1" t="s">
        <v>46</v>
      </c>
    </row>
    <row r="11689" spans="2:15" x14ac:dyDescent="0.3">
      <c r="B11689" s="1" t="s">
        <v>20</v>
      </c>
      <c r="C11689" s="1" t="str">
        <f>"4차"</f>
        <v>4차</v>
      </c>
      <c r="D11689" s="1" t="str">
        <f>"9625E76144"</f>
        <v>9625E76144</v>
      </c>
      <c r="E11689" s="1" t="s">
        <v>10</v>
      </c>
      <c r="F11689" s="1" t="str">
        <f>"10.10.134.170"</f>
        <v>10.10.134.170</v>
      </c>
      <c r="G11689" s="1" t="str">
        <f>"9625E761"</f>
        <v>9625E761</v>
      </c>
      <c r="H11689" s="1" t="str">
        <f>"당인간 32AR12R6L1"</f>
        <v>당인간 32AR12R6L1</v>
      </c>
      <c r="I11689" s="1" t="s">
        <v>8</v>
      </c>
      <c r="J11689" s="1" t="str">
        <f>"1/21"</f>
        <v>1/21</v>
      </c>
      <c r="K11689" s="1" t="str">
        <f t="shared" si="582"/>
        <v>2026-07-29 13:18:10</v>
      </c>
      <c r="L11689" s="1" t="str">
        <f>"2020-01-20 10:28:27"</f>
        <v>2020-01-20 10:28:27</v>
      </c>
      <c r="M11689" s="1" t="s">
        <v>1</v>
      </c>
      <c r="N11689" s="1" t="s">
        <v>38</v>
      </c>
      <c r="O11689" s="1" t="s">
        <v>46</v>
      </c>
    </row>
    <row r="11690" spans="2:15" x14ac:dyDescent="0.3">
      <c r="B11690" s="1" t="s">
        <v>20</v>
      </c>
      <c r="C11690" s="1" t="str">
        <f>"4차"</f>
        <v>4차</v>
      </c>
      <c r="D11690" s="1" t="str">
        <f>"9625E80144"</f>
        <v>9625E80144</v>
      </c>
      <c r="E11690" s="1" t="s">
        <v>10</v>
      </c>
      <c r="F11690" s="1" t="str">
        <f>"10.10.140.34"</f>
        <v>10.10.140.34</v>
      </c>
      <c r="G11690" s="1" t="str">
        <f>"9625E801"</f>
        <v>9625E801</v>
      </c>
      <c r="H11690" s="1" t="str">
        <f>"성산간 5AL5L10R3"</f>
        <v>성산간 5AL5L10R3</v>
      </c>
      <c r="I11690" s="1" t="s">
        <v>8</v>
      </c>
      <c r="J11690" s="1" t="str">
        <f>"21/21"</f>
        <v>21/21</v>
      </c>
      <c r="K11690" s="1" t="str">
        <f>"2026-07-29 13:18:02"</f>
        <v>2026-07-29 13:18:02</v>
      </c>
      <c r="L11690" s="1" t="str">
        <f>"2020-02-12 15:12:22"</f>
        <v>2020-02-12 15:12:22</v>
      </c>
      <c r="M11690" s="1" t="s">
        <v>1</v>
      </c>
      <c r="N11690" s="1" t="s">
        <v>38</v>
      </c>
      <c r="O11690" s="1" t="s">
        <v>46</v>
      </c>
    </row>
    <row r="11691" spans="2:15" x14ac:dyDescent="0.3">
      <c r="B11691" s="1" t="s">
        <v>20</v>
      </c>
      <c r="C11691" s="1" t="str">
        <f>"6차"</f>
        <v>6차</v>
      </c>
      <c r="D11691" s="1" t="str">
        <f>"9625E8116M"</f>
        <v>9625E8116M</v>
      </c>
      <c r="E11691" s="1" t="s">
        <v>10</v>
      </c>
      <c r="F11691" s="1" t="str">
        <f>"fde1:103:4:c819:0:0:0:2"</f>
        <v>fde1:103:4:c819:0:0:0:2</v>
      </c>
      <c r="G11691" s="1" t="str">
        <f>"9625E811"</f>
        <v>9625E811</v>
      </c>
      <c r="H11691" s="1" t="str">
        <f>"합원간 27R17H1L3"</f>
        <v>합원간 27R17H1L3</v>
      </c>
      <c r="I11691" s="1" t="s">
        <v>15</v>
      </c>
      <c r="J11691" s="1" t="str">
        <f>"53/53"</f>
        <v>53/53</v>
      </c>
      <c r="K11691" s="1" t="str">
        <f>"2026-07-29 14:21:10"</f>
        <v>2026-07-29 14:21:10</v>
      </c>
      <c r="L11691" s="1" t="str">
        <f>"2024-11-26 13:33:13"</f>
        <v>2024-11-26 13:33:13</v>
      </c>
      <c r="M11691" s="1" t="s">
        <v>4</v>
      </c>
      <c r="N11691" s="1" t="s">
        <v>38</v>
      </c>
      <c r="O11691" s="1" t="s">
        <v>46</v>
      </c>
    </row>
    <row r="11692" spans="2:15" x14ac:dyDescent="0.3">
      <c r="B11692" s="1" t="s">
        <v>20</v>
      </c>
      <c r="C11692" s="1" t="str">
        <f>"1차"</f>
        <v>1차</v>
      </c>
      <c r="D11692" s="1" t="str">
        <f>"9625E83100"</f>
        <v>9625E83100</v>
      </c>
      <c r="E11692" s="1" t="s">
        <v>10</v>
      </c>
      <c r="F11692" s="1" t="str">
        <f>"10.125.192.34"</f>
        <v>10.125.192.34</v>
      </c>
      <c r="G11692" s="1" t="str">
        <f>"9625E831"</f>
        <v>9625E831</v>
      </c>
      <c r="H11692" s="1" t="str">
        <f>"합원간 27R17H1L4L2"</f>
        <v>합원간 27R17H1L4L2</v>
      </c>
      <c r="I11692" s="1" t="s">
        <v>8</v>
      </c>
      <c r="J11692" s="1" t="str">
        <f>"18/18"</f>
        <v>18/18</v>
      </c>
      <c r="K11692" s="1" t="str">
        <f>"2026-07-29 13:18:10"</f>
        <v>2026-07-29 13:18:10</v>
      </c>
      <c r="L11692" s="1" t="str">
        <f>"2014-10-27 17:38:56"</f>
        <v>2014-10-27 17:38:56</v>
      </c>
      <c r="M11692" s="1" t="s">
        <v>45</v>
      </c>
      <c r="N11692" s="1" t="s">
        <v>38</v>
      </c>
      <c r="O11692" s="1" t="s">
        <v>46</v>
      </c>
    </row>
    <row r="11693" spans="2:15" x14ac:dyDescent="0.3">
      <c r="B11693" s="1" t="s">
        <v>20</v>
      </c>
      <c r="C11693" s="1" t="str">
        <f>"5-2차"</f>
        <v>5-2차</v>
      </c>
      <c r="D11693" s="1" t="str">
        <f>"9625E8425S"</f>
        <v>9625E8425S</v>
      </c>
      <c r="E11693" s="1" t="s">
        <v>10</v>
      </c>
      <c r="F11693" s="1" t="str">
        <f>"fde3:102:1300:3001:0:0:0:2"</f>
        <v>fde3:102:1300:3001:0:0:0:2</v>
      </c>
      <c r="G11693" s="1" t="str">
        <f>"9625E842"</f>
        <v>9625E842</v>
      </c>
      <c r="H11693" s="1" t="str">
        <f>"당인간 49R5R1"</f>
        <v>당인간 49R5R1</v>
      </c>
      <c r="I11693" s="1" t="s">
        <v>15</v>
      </c>
      <c r="J11693" s="1" t="str">
        <f>"41/41"</f>
        <v>41/41</v>
      </c>
      <c r="K11693" s="1" t="str">
        <f>"2026-07-29 14:21:39"</f>
        <v>2026-07-29 14:21:39</v>
      </c>
      <c r="L11693" s="1" t="str">
        <f>"2023-09-21 14:31:04"</f>
        <v>2023-09-21 14:31:04</v>
      </c>
      <c r="M11693" s="1" t="s">
        <v>45</v>
      </c>
      <c r="N11693" s="1" t="s">
        <v>38</v>
      </c>
      <c r="O11693" s="1" t="s">
        <v>46</v>
      </c>
    </row>
    <row r="11694" spans="2:15" x14ac:dyDescent="0.3">
      <c r="B11694" s="1" t="s">
        <v>20</v>
      </c>
      <c r="C11694" s="1" t="str">
        <f>"4차"</f>
        <v>4차</v>
      </c>
      <c r="D11694" s="1" t="str">
        <f>"9625E84344"</f>
        <v>9625E84344</v>
      </c>
      <c r="E11694" s="1" t="s">
        <v>10</v>
      </c>
      <c r="F11694" s="1" t="str">
        <f>"10.10.136.130"</f>
        <v>10.10.136.130</v>
      </c>
      <c r="G11694" s="1" t="str">
        <f>"9625E843"</f>
        <v>9625E843</v>
      </c>
      <c r="H11694" s="1" t="str">
        <f>"당인간 49R6"</f>
        <v>당인간 49R6</v>
      </c>
      <c r="I11694" s="1" t="s">
        <v>8</v>
      </c>
      <c r="J11694" s="1" t="str">
        <f>"37/37"</f>
        <v>37/37</v>
      </c>
      <c r="K11694" s="1" t="str">
        <f>"2026-07-29 13:18:10"</f>
        <v>2026-07-29 13:18:10</v>
      </c>
      <c r="L11694" s="1" t="str">
        <f>"2020-01-21 16:43:30"</f>
        <v>2020-01-21 16:43:30</v>
      </c>
      <c r="M11694" s="1" t="s">
        <v>1</v>
      </c>
      <c r="N11694" s="1" t="s">
        <v>38</v>
      </c>
      <c r="O11694" s="1" t="s">
        <v>46</v>
      </c>
    </row>
    <row r="11695" spans="2:15" x14ac:dyDescent="0.3">
      <c r="B11695" s="1" t="s">
        <v>20</v>
      </c>
      <c r="C11695" s="1" t="str">
        <f>"4차"</f>
        <v>4차</v>
      </c>
      <c r="D11695" s="1" t="str">
        <f>"9625E86144"</f>
        <v>9625E86144</v>
      </c>
      <c r="E11695" s="1" t="s">
        <v>10</v>
      </c>
      <c r="F11695" s="1" t="str">
        <f>"10.10.95.210"</f>
        <v>10.10.95.210</v>
      </c>
      <c r="G11695" s="1" t="str">
        <f>"9625E861"</f>
        <v>9625E861</v>
      </c>
      <c r="H11695" s="1" t="str">
        <f>"당인간 32AR12R5"</f>
        <v>당인간 32AR12R5</v>
      </c>
      <c r="I11695" s="1" t="s">
        <v>8</v>
      </c>
      <c r="J11695" s="1" t="str">
        <f>"38/38"</f>
        <v>38/38</v>
      </c>
      <c r="K11695" s="1" t="str">
        <f>"2026-07-29 13:18:10"</f>
        <v>2026-07-29 13:18:10</v>
      </c>
      <c r="L11695" s="1" t="str">
        <f>"2018-12-12 15:21:26"</f>
        <v>2018-12-12 15:21:26</v>
      </c>
      <c r="M11695" s="1" t="s">
        <v>1</v>
      </c>
      <c r="N11695" s="1" t="s">
        <v>38</v>
      </c>
      <c r="O11695" s="1" t="s">
        <v>46</v>
      </c>
    </row>
    <row r="11696" spans="2:15" x14ac:dyDescent="0.3">
      <c r="B11696" s="1" t="s">
        <v>20</v>
      </c>
      <c r="C11696" s="1" t="str">
        <f>"4차"</f>
        <v>4차</v>
      </c>
      <c r="D11696" s="1" t="str">
        <f>"9625E86244"</f>
        <v>9625E86244</v>
      </c>
      <c r="E11696" s="1" t="s">
        <v>10</v>
      </c>
      <c r="F11696" s="1" t="str">
        <f>"10.10.74.2"</f>
        <v>10.10.74.2</v>
      </c>
      <c r="G11696" s="1" t="str">
        <f>"9625E862"</f>
        <v>9625E862</v>
      </c>
      <c r="H11696" s="1" t="str">
        <f>"당인간 32AR12R6"</f>
        <v>당인간 32AR12R6</v>
      </c>
      <c r="I11696" s="1" t="s">
        <v>8</v>
      </c>
      <c r="J11696" s="1" t="str">
        <f>"20/20"</f>
        <v>20/20</v>
      </c>
      <c r="K11696" s="1" t="str">
        <f>"2026-07-29 13:18:10"</f>
        <v>2026-07-29 13:18:10</v>
      </c>
      <c r="L11696" s="1" t="str">
        <f>"2018-12-12 15:17:26"</f>
        <v>2018-12-12 15:17:26</v>
      </c>
      <c r="M11696" s="1" t="s">
        <v>1</v>
      </c>
      <c r="N11696" s="1" t="s">
        <v>38</v>
      </c>
      <c r="O11696" s="1" t="s">
        <v>46</v>
      </c>
    </row>
    <row r="11697" spans="2:15" x14ac:dyDescent="0.3">
      <c r="B11697" s="1" t="s">
        <v>20</v>
      </c>
      <c r="C11697" s="1" t="str">
        <f>"4차"</f>
        <v>4차</v>
      </c>
      <c r="D11697" s="1" t="str">
        <f>"9625E90144"</f>
        <v>9625E90144</v>
      </c>
      <c r="E11697" s="1" t="s">
        <v>10</v>
      </c>
      <c r="F11697" s="1" t="str">
        <f>"10.10.134.138"</f>
        <v>10.10.134.138</v>
      </c>
      <c r="G11697" s="1" t="str">
        <f>"9625E901"</f>
        <v>9625E901</v>
      </c>
      <c r="H11697" s="1" t="str">
        <f>"성산간 5AL5L7R6"</f>
        <v>성산간 5AL5L7R6</v>
      </c>
      <c r="I11697" s="1" t="s">
        <v>8</v>
      </c>
      <c r="J11697" s="1" t="str">
        <f>"39/39"</f>
        <v>39/39</v>
      </c>
      <c r="K11697" s="1" t="str">
        <f>"2026-07-29 13:18:10"</f>
        <v>2026-07-29 13:18:10</v>
      </c>
      <c r="L11697" s="1" t="str">
        <f>"2019-12-11 18:08:52"</f>
        <v>2019-12-11 18:08:52</v>
      </c>
      <c r="M11697" s="1" t="s">
        <v>1</v>
      </c>
      <c r="N11697" s="1" t="s">
        <v>38</v>
      </c>
      <c r="O11697" s="1" t="s">
        <v>46</v>
      </c>
    </row>
    <row r="11698" spans="2:15" x14ac:dyDescent="0.3">
      <c r="B11698" s="1" t="s">
        <v>20</v>
      </c>
      <c r="C11698" s="1" t="str">
        <f>"5-2차"</f>
        <v>5-2차</v>
      </c>
      <c r="D11698" s="1" t="str">
        <f>"9625E9115M"</f>
        <v>9625E9115M</v>
      </c>
      <c r="E11698" s="1" t="s">
        <v>10</v>
      </c>
      <c r="F11698" s="1" t="str">
        <f>"fde3:102:1300:2a02:0:0:0:2"</f>
        <v>fde3:102:1300:2a02:0:0:0:2</v>
      </c>
      <c r="G11698" s="1" t="str">
        <f>"9625E911"</f>
        <v>9625E911</v>
      </c>
      <c r="H11698" s="1" t="str">
        <f>"합원간 27R17H1L5"</f>
        <v>합원간 27R17H1L5</v>
      </c>
      <c r="I11698" s="1" t="s">
        <v>15</v>
      </c>
      <c r="J11698" s="1" t="str">
        <f>"44/44"</f>
        <v>44/44</v>
      </c>
      <c r="K11698" s="1" t="str">
        <f>"2026-07-29 14:20:51"</f>
        <v>2026-07-29 14:20:51</v>
      </c>
      <c r="L11698" s="1" t="str">
        <f>"2023-09-11 10:44:35"</f>
        <v>2023-09-11 10:44:35</v>
      </c>
      <c r="M11698" s="1" t="s">
        <v>45</v>
      </c>
      <c r="N11698" s="1" t="s">
        <v>38</v>
      </c>
      <c r="O11698" s="1" t="s">
        <v>46</v>
      </c>
    </row>
    <row r="11699" spans="2:15" x14ac:dyDescent="0.3">
      <c r="B11699" s="1" t="s">
        <v>20</v>
      </c>
      <c r="C11699" s="1" t="str">
        <f t="shared" ref="C11699:C11704" si="583">"4차"</f>
        <v>4차</v>
      </c>
      <c r="D11699" s="1" t="str">
        <f>"9625E91244"</f>
        <v>9625E91244</v>
      </c>
      <c r="E11699" s="1" t="s">
        <v>10</v>
      </c>
      <c r="F11699" s="1" t="str">
        <f>"10.10.134.154"</f>
        <v>10.10.134.154</v>
      </c>
      <c r="G11699" s="1" t="str">
        <f>"9625E912"</f>
        <v>9625E912</v>
      </c>
      <c r="H11699" s="1" t="str">
        <f>"성산간 5AL5L7R5"</f>
        <v>성산간 5AL5L7R5</v>
      </c>
      <c r="I11699" s="1" t="s">
        <v>8</v>
      </c>
      <c r="J11699" s="1" t="str">
        <f>"48/48"</f>
        <v>48/48</v>
      </c>
      <c r="K11699" s="1" t="str">
        <f t="shared" ref="K11699:K11704" si="584">"2026-07-29 13:18:10"</f>
        <v>2026-07-29 13:18:10</v>
      </c>
      <c r="L11699" s="1" t="str">
        <f>"2020-01-20 14:27:11"</f>
        <v>2020-01-20 14:27:11</v>
      </c>
      <c r="M11699" s="1" t="s">
        <v>1</v>
      </c>
      <c r="N11699" s="1" t="s">
        <v>38</v>
      </c>
      <c r="O11699" s="1" t="s">
        <v>46</v>
      </c>
    </row>
    <row r="11700" spans="2:15" x14ac:dyDescent="0.3">
      <c r="B11700" s="1" t="s">
        <v>20</v>
      </c>
      <c r="C11700" s="1" t="str">
        <f t="shared" si="583"/>
        <v>4차</v>
      </c>
      <c r="D11700" s="1" t="str">
        <f>"9625E95244"</f>
        <v>9625E95244</v>
      </c>
      <c r="E11700" s="1" t="s">
        <v>10</v>
      </c>
      <c r="F11700" s="1" t="str">
        <f>"10.10.73.98"</f>
        <v>10.10.73.98</v>
      </c>
      <c r="G11700" s="1" t="str">
        <f>"9625E952"</f>
        <v>9625E952</v>
      </c>
      <c r="H11700" s="1" t="str">
        <f>"당인간 49R5R2"</f>
        <v>당인간 49R5R2</v>
      </c>
      <c r="I11700" s="1" t="s">
        <v>8</v>
      </c>
      <c r="J11700" s="1" t="str">
        <f>"42/43"</f>
        <v>42/43</v>
      </c>
      <c r="K11700" s="1" t="str">
        <f t="shared" si="584"/>
        <v>2026-07-29 13:18:10</v>
      </c>
      <c r="L11700" s="1" t="str">
        <f>"2019-10-08 17:36:15"</f>
        <v>2019-10-08 17:36:15</v>
      </c>
      <c r="M11700" s="1" t="s">
        <v>1</v>
      </c>
      <c r="N11700" s="1" t="s">
        <v>38</v>
      </c>
      <c r="O11700" s="1" t="s">
        <v>46</v>
      </c>
    </row>
    <row r="11701" spans="2:15" x14ac:dyDescent="0.3">
      <c r="B11701" s="1" t="s">
        <v>20</v>
      </c>
      <c r="C11701" s="1" t="str">
        <f t="shared" si="583"/>
        <v>4차</v>
      </c>
      <c r="D11701" s="1" t="str">
        <f>"9625E96144"</f>
        <v>9625E96144</v>
      </c>
      <c r="E11701" s="1" t="s">
        <v>10</v>
      </c>
      <c r="F11701" s="1" t="str">
        <f>"10.10.73.58"</f>
        <v>10.10.73.58</v>
      </c>
      <c r="G11701" s="1" t="str">
        <f>"9625E961"</f>
        <v>9625E961</v>
      </c>
      <c r="H11701" s="1" t="str">
        <f>"당인간 32AR12R4"</f>
        <v>당인간 32AR12R4</v>
      </c>
      <c r="I11701" s="1" t="s">
        <v>8</v>
      </c>
      <c r="J11701" s="1" t="str">
        <f>"24/24"</f>
        <v>24/24</v>
      </c>
      <c r="K11701" s="1" t="str">
        <f t="shared" si="584"/>
        <v>2026-07-29 13:18:10</v>
      </c>
      <c r="L11701" s="1" t="str">
        <f>"2018-12-12 16:55:12"</f>
        <v>2018-12-12 16:55:12</v>
      </c>
      <c r="M11701" s="1" t="s">
        <v>1</v>
      </c>
      <c r="N11701" s="1" t="s">
        <v>38</v>
      </c>
      <c r="O11701" s="1" t="s">
        <v>46</v>
      </c>
    </row>
    <row r="11702" spans="2:15" x14ac:dyDescent="0.3">
      <c r="B11702" s="1" t="s">
        <v>20</v>
      </c>
      <c r="C11702" s="1" t="str">
        <f t="shared" si="583"/>
        <v>4차</v>
      </c>
      <c r="D11702" s="1" t="str">
        <f>"9625E97244"</f>
        <v>9625E97244</v>
      </c>
      <c r="E11702" s="1" t="s">
        <v>10</v>
      </c>
      <c r="F11702" s="1" t="str">
        <f>"10.10.73.2"</f>
        <v>10.10.73.2</v>
      </c>
      <c r="G11702" s="1" t="str">
        <f>"9625E972"</f>
        <v>9625E972</v>
      </c>
      <c r="H11702" s="1" t="str">
        <f>"당인간 32AR11R1"</f>
        <v>당인간 32AR11R1</v>
      </c>
      <c r="I11702" s="1" t="s">
        <v>8</v>
      </c>
      <c r="J11702" s="1" t="str">
        <f>"73/80"</f>
        <v>73/80</v>
      </c>
      <c r="K11702" s="1" t="str">
        <f t="shared" si="584"/>
        <v>2026-07-29 13:18:10</v>
      </c>
      <c r="L11702" s="1" t="str">
        <f>"2018-12-26 14:32:10"</f>
        <v>2018-12-26 14:32:10</v>
      </c>
      <c r="M11702" s="1" t="s">
        <v>1</v>
      </c>
      <c r="N11702" s="1" t="s">
        <v>38</v>
      </c>
      <c r="O11702" s="1" t="s">
        <v>46</v>
      </c>
    </row>
    <row r="11703" spans="2:15" x14ac:dyDescent="0.3">
      <c r="B11703" s="1" t="s">
        <v>20</v>
      </c>
      <c r="C11703" s="1" t="str">
        <f t="shared" si="583"/>
        <v>4차</v>
      </c>
      <c r="D11703" s="1" t="str">
        <f>"9625E98144"</f>
        <v>9625E98144</v>
      </c>
      <c r="E11703" s="1" t="s">
        <v>10</v>
      </c>
      <c r="F11703" s="1" t="str">
        <f>"10.10.19.170"</f>
        <v>10.10.19.170</v>
      </c>
      <c r="G11703" s="1" t="str">
        <f>"9625E981"</f>
        <v>9625E981</v>
      </c>
      <c r="H11703" s="1" t="str">
        <f>"당인간 32AR10"</f>
        <v>당인간 32AR10</v>
      </c>
      <c r="I11703" s="1" t="s">
        <v>8</v>
      </c>
      <c r="J11703" s="1" t="str">
        <f>"6/6"</f>
        <v>6/6</v>
      </c>
      <c r="K11703" s="1" t="str">
        <f t="shared" si="584"/>
        <v>2026-07-29 13:18:10</v>
      </c>
      <c r="L11703" s="1" t="str">
        <f>"2018-12-12 15:30:10"</f>
        <v>2018-12-12 15:30:10</v>
      </c>
      <c r="M11703" s="1" t="s">
        <v>1</v>
      </c>
      <c r="N11703" s="1" t="s">
        <v>38</v>
      </c>
      <c r="O11703" s="1" t="s">
        <v>46</v>
      </c>
    </row>
    <row r="11704" spans="2:15" x14ac:dyDescent="0.3">
      <c r="B11704" s="1" t="s">
        <v>20</v>
      </c>
      <c r="C11704" s="1" t="str">
        <f t="shared" si="583"/>
        <v>4차</v>
      </c>
      <c r="D11704" s="1" t="str">
        <f>"9625F00144"</f>
        <v>9625F00144</v>
      </c>
      <c r="E11704" s="1" t="s">
        <v>10</v>
      </c>
      <c r="F11704" s="1" t="str">
        <f>"10.10.136.138"</f>
        <v>10.10.136.138</v>
      </c>
      <c r="G11704" s="1" t="str">
        <f>"9625F001"</f>
        <v>9625F001</v>
      </c>
      <c r="H11704" s="1" t="str">
        <f>"성산간 5AL5L7R3L1"</f>
        <v>성산간 5AL5L7R3L1</v>
      </c>
      <c r="I11704" s="1" t="s">
        <v>8</v>
      </c>
      <c r="J11704" s="1" t="str">
        <f>"7/7"</f>
        <v>7/7</v>
      </c>
      <c r="K11704" s="1" t="str">
        <f t="shared" si="584"/>
        <v>2026-07-29 13:18:10</v>
      </c>
      <c r="L11704" s="1" t="str">
        <f>"2020-01-21 16:42:18"</f>
        <v>2020-01-21 16:42:18</v>
      </c>
      <c r="M11704" s="1" t="s">
        <v>1</v>
      </c>
      <c r="N11704" s="1" t="s">
        <v>38</v>
      </c>
      <c r="O11704" s="1" t="s">
        <v>46</v>
      </c>
    </row>
    <row r="11705" spans="2:15" x14ac:dyDescent="0.3">
      <c r="B11705" s="1" t="s">
        <v>20</v>
      </c>
      <c r="C11705" s="1" t="str">
        <f>"5-2차"</f>
        <v>5-2차</v>
      </c>
      <c r="D11705" s="1" t="str">
        <f>"9625F0335M"</f>
        <v>9625F0335M</v>
      </c>
      <c r="E11705" s="1" t="s">
        <v>10</v>
      </c>
      <c r="F11705" s="1" t="str">
        <f>"fde3:102:1300:2a03:0:0:0:2"</f>
        <v>fde3:102:1300:2a03:0:0:0:2</v>
      </c>
      <c r="G11705" s="1" t="str">
        <f>"9625F033"</f>
        <v>9625F033</v>
      </c>
      <c r="H11705" s="1" t="str">
        <f>"당인간 49R4L1"</f>
        <v>당인간 49R4L1</v>
      </c>
      <c r="I11705" s="1" t="s">
        <v>15</v>
      </c>
      <c r="J11705" s="1" t="str">
        <f>"40/40"</f>
        <v>40/40</v>
      </c>
      <c r="K11705" s="1" t="str">
        <f>"2026-07-29 14:20:51"</f>
        <v>2026-07-29 14:20:51</v>
      </c>
      <c r="L11705" s="1" t="str">
        <f>"2023-09-11 11:14:03"</f>
        <v>2023-09-11 11:14:03</v>
      </c>
      <c r="M11705" s="1" t="s">
        <v>45</v>
      </c>
      <c r="N11705" s="1" t="s">
        <v>38</v>
      </c>
      <c r="O11705" s="1" t="s">
        <v>46</v>
      </c>
    </row>
    <row r="11706" spans="2:15" x14ac:dyDescent="0.3">
      <c r="B11706" s="1" t="s">
        <v>20</v>
      </c>
      <c r="C11706" s="1" t="str">
        <f>"4차"</f>
        <v>4차</v>
      </c>
      <c r="D11706" s="1" t="str">
        <f>"9625F04144"</f>
        <v>9625F04144</v>
      </c>
      <c r="E11706" s="1" t="s">
        <v>10</v>
      </c>
      <c r="F11706" s="1" t="str">
        <f>"10.10.73.66"</f>
        <v>10.10.73.66</v>
      </c>
      <c r="G11706" s="1" t="str">
        <f>"9625F041"</f>
        <v>9625F041</v>
      </c>
      <c r="H11706" s="1" t="str">
        <f>"당인간 49R4"</f>
        <v>당인간 49R4</v>
      </c>
      <c r="I11706" s="1" t="s">
        <v>8</v>
      </c>
      <c r="J11706" s="1" t="str">
        <f>"47/51"</f>
        <v>47/51</v>
      </c>
      <c r="K11706" s="1" t="str">
        <f>"2026-07-29 13:18:10"</f>
        <v>2026-07-29 13:18:10</v>
      </c>
      <c r="L11706" s="1" t="str">
        <f>"2019-10-08 17:26:54"</f>
        <v>2019-10-08 17:26:54</v>
      </c>
      <c r="M11706" s="1" t="s">
        <v>1</v>
      </c>
      <c r="N11706" s="1" t="s">
        <v>38</v>
      </c>
      <c r="O11706" s="1" t="s">
        <v>46</v>
      </c>
    </row>
    <row r="11707" spans="2:15" x14ac:dyDescent="0.3">
      <c r="B11707" s="1" t="s">
        <v>20</v>
      </c>
      <c r="C11707" s="1" t="str">
        <f>"4차"</f>
        <v>4차</v>
      </c>
      <c r="D11707" s="1" t="str">
        <f>"9625F05144"</f>
        <v>9625F05144</v>
      </c>
      <c r="E11707" s="1" t="s">
        <v>10</v>
      </c>
      <c r="F11707" s="1" t="str">
        <f>"10.10.73.162"</f>
        <v>10.10.73.162</v>
      </c>
      <c r="G11707" s="1" t="str">
        <f>"9625F051"</f>
        <v>9625F051</v>
      </c>
      <c r="H11707" s="1" t="str">
        <f>"당인간 49R5R3"</f>
        <v>당인간 49R5R3</v>
      </c>
      <c r="I11707" s="1" t="s">
        <v>8</v>
      </c>
      <c r="J11707" s="1" t="str">
        <f>"51/51"</f>
        <v>51/51</v>
      </c>
      <c r="K11707" s="1" t="str">
        <f>"2026-07-29 13:18:10"</f>
        <v>2026-07-29 13:18:10</v>
      </c>
      <c r="L11707" s="1" t="str">
        <f>"2019-10-08 17:43:03"</f>
        <v>2019-10-08 17:43:03</v>
      </c>
      <c r="M11707" s="1" t="s">
        <v>1</v>
      </c>
      <c r="N11707" s="1" t="s">
        <v>38</v>
      </c>
      <c r="O11707" s="1" t="s">
        <v>46</v>
      </c>
    </row>
    <row r="11708" spans="2:15" x14ac:dyDescent="0.3">
      <c r="B11708" s="1" t="s">
        <v>20</v>
      </c>
      <c r="C11708" s="1" t="str">
        <f>"4차"</f>
        <v>4차</v>
      </c>
      <c r="D11708" s="1" t="str">
        <f>"9625F10244"</f>
        <v>9625F10244</v>
      </c>
      <c r="E11708" s="1" t="s">
        <v>10</v>
      </c>
      <c r="F11708" s="1" t="str">
        <f>"10.10.136.146"</f>
        <v>10.10.136.146</v>
      </c>
      <c r="G11708" s="1" t="str">
        <f>"9625F102"</f>
        <v>9625F102</v>
      </c>
      <c r="H11708" s="1" t="str">
        <f>"성산간 5AL5L7R2"</f>
        <v>성산간 5AL5L7R2</v>
      </c>
      <c r="I11708" s="1" t="s">
        <v>8</v>
      </c>
      <c r="J11708" s="1" t="str">
        <f>"30/30"</f>
        <v>30/30</v>
      </c>
      <c r="K11708" s="1" t="str">
        <f>"2026-07-29 13:18:10"</f>
        <v>2026-07-29 13:18:10</v>
      </c>
      <c r="L11708" s="1" t="str">
        <f>"2020-01-21 16:42:23"</f>
        <v>2020-01-21 16:42:23</v>
      </c>
      <c r="M11708" s="1" t="s">
        <v>1</v>
      </c>
      <c r="N11708" s="1" t="s">
        <v>38</v>
      </c>
      <c r="O11708" s="1" t="s">
        <v>46</v>
      </c>
    </row>
    <row r="11709" spans="2:15" x14ac:dyDescent="0.3">
      <c r="B11709" s="1" t="s">
        <v>20</v>
      </c>
      <c r="C11709" s="1" t="str">
        <f>"6차"</f>
        <v>6차</v>
      </c>
      <c r="D11709" s="1" t="str">
        <f>"9625F1216S"</f>
        <v>9625F1216S</v>
      </c>
      <c r="E11709" s="1" t="s">
        <v>10</v>
      </c>
      <c r="F11709" s="1" t="str">
        <f>"fde1:103:4:c7cd:0:0:0:2"</f>
        <v>fde1:103:4:c7cd:0:0:0:2</v>
      </c>
      <c r="G11709" s="1" t="str">
        <f>"9625F121"</f>
        <v>9625F121</v>
      </c>
      <c r="H11709" s="1" t="str">
        <f>"당인간 49R1L2R2"</f>
        <v>당인간 49R1L2R2</v>
      </c>
      <c r="I11709" s="1" t="s">
        <v>15</v>
      </c>
      <c r="J11709" s="1" t="str">
        <f>"23/24"</f>
        <v>23/24</v>
      </c>
      <c r="K11709" s="1" t="str">
        <f>"2026-07-29 14:20:37"</f>
        <v>2026-07-29 14:20:37</v>
      </c>
      <c r="L11709" s="1" t="str">
        <f>"2024-11-21 17:36:50"</f>
        <v>2024-11-21 17:36:50</v>
      </c>
      <c r="M11709" s="1" t="s">
        <v>4</v>
      </c>
      <c r="N11709" s="1" t="s">
        <v>38</v>
      </c>
      <c r="O11709" s="1" t="s">
        <v>46</v>
      </c>
    </row>
    <row r="11710" spans="2:15" x14ac:dyDescent="0.3">
      <c r="B11710" s="1" t="s">
        <v>20</v>
      </c>
      <c r="C11710" s="1" t="str">
        <f>"1차"</f>
        <v>1차</v>
      </c>
      <c r="D11710" s="1" t="str">
        <f>"9625F14100"</f>
        <v>9625F14100</v>
      </c>
      <c r="E11710" s="1" t="s">
        <v>10</v>
      </c>
      <c r="F11710" s="1" t="str">
        <f>"10.125.192.82"</f>
        <v>10.125.192.82</v>
      </c>
      <c r="G11710" s="1" t="str">
        <f>"9625F141"</f>
        <v>9625F141</v>
      </c>
      <c r="H11710" s="1" t="str">
        <f>"당인간 49R3"</f>
        <v>당인간 49R3</v>
      </c>
      <c r="I11710" s="1" t="s">
        <v>8</v>
      </c>
      <c r="J11710" s="1" t="str">
        <f>"77/80"</f>
        <v>77/80</v>
      </c>
      <c r="K11710" s="1" t="str">
        <f>"2026-07-29 13:18:10"</f>
        <v>2026-07-29 13:18:10</v>
      </c>
      <c r="L11710" s="1" t="str">
        <f>"2014-12-17 00:11:57"</f>
        <v>2014-12-17 00:11:57</v>
      </c>
      <c r="M11710" s="1" t="s">
        <v>45</v>
      </c>
      <c r="N11710" s="1" t="s">
        <v>38</v>
      </c>
      <c r="O11710" s="1" t="s">
        <v>46</v>
      </c>
    </row>
    <row r="11711" spans="2:15" x14ac:dyDescent="0.3">
      <c r="B11711" s="1" t="s">
        <v>20</v>
      </c>
      <c r="C11711" s="1" t="str">
        <f>"4차"</f>
        <v>4차</v>
      </c>
      <c r="D11711" s="1" t="str">
        <f>"9625F15344"</f>
        <v>9625F15344</v>
      </c>
      <c r="E11711" s="1" t="s">
        <v>10</v>
      </c>
      <c r="F11711" s="1" t="str">
        <f>"10.10.20.114"</f>
        <v>10.10.20.114</v>
      </c>
      <c r="G11711" s="1" t="str">
        <f>"9625F153"</f>
        <v>9625F153</v>
      </c>
      <c r="H11711" s="1" t="str">
        <f>"당인간 32AR15"</f>
        <v>당인간 32AR15</v>
      </c>
      <c r="I11711" s="1" t="s">
        <v>8</v>
      </c>
      <c r="J11711" s="1" t="str">
        <f>"20/20"</f>
        <v>20/20</v>
      </c>
      <c r="K11711" s="1" t="str">
        <f>"2026-07-29 13:18:10"</f>
        <v>2026-07-29 13:18:10</v>
      </c>
      <c r="L11711" s="1" t="str">
        <f>"2018-12-12 15:34:55"</f>
        <v>2018-12-12 15:34:55</v>
      </c>
      <c r="M11711" s="1" t="s">
        <v>1</v>
      </c>
      <c r="N11711" s="1" t="s">
        <v>38</v>
      </c>
      <c r="O11711" s="1" t="s">
        <v>46</v>
      </c>
    </row>
    <row r="11712" spans="2:15" x14ac:dyDescent="0.3">
      <c r="B11712" s="1" t="s">
        <v>20</v>
      </c>
      <c r="C11712" s="1" t="str">
        <f>"4차"</f>
        <v>4차</v>
      </c>
      <c r="D11712" s="1" t="str">
        <f>"9625F19144"</f>
        <v>9625F19144</v>
      </c>
      <c r="E11712" s="1" t="s">
        <v>10</v>
      </c>
      <c r="F11712" s="1" t="str">
        <f>"10.10.96.178"</f>
        <v>10.10.96.178</v>
      </c>
      <c r="G11712" s="1" t="str">
        <f>"9625F191"</f>
        <v>9625F191</v>
      </c>
      <c r="H11712" s="1" t="str">
        <f>"당인간 44L3L2"</f>
        <v>당인간 44L3L2</v>
      </c>
      <c r="I11712" s="1" t="s">
        <v>8</v>
      </c>
      <c r="J11712" s="1" t="str">
        <f>"69/69"</f>
        <v>69/69</v>
      </c>
      <c r="K11712" s="1" t="str">
        <f>"2026-07-29 13:18:10"</f>
        <v>2026-07-29 13:18:10</v>
      </c>
      <c r="L11712" s="1" t="str">
        <f>"2018-12-12 15:25:40"</f>
        <v>2018-12-12 15:25:40</v>
      </c>
      <c r="M11712" s="1" t="s">
        <v>1</v>
      </c>
      <c r="N11712" s="1" t="s">
        <v>38</v>
      </c>
      <c r="O11712" s="1" t="s">
        <v>46</v>
      </c>
    </row>
    <row r="11713" spans="2:15" x14ac:dyDescent="0.3">
      <c r="B11713" s="1" t="s">
        <v>20</v>
      </c>
      <c r="C11713" s="1" t="str">
        <f>"4차"</f>
        <v>4차</v>
      </c>
      <c r="D11713" s="1" t="str">
        <f>"9625F21144"</f>
        <v>9625F21144</v>
      </c>
      <c r="E11713" s="1" t="s">
        <v>10</v>
      </c>
      <c r="F11713" s="1" t="str">
        <f>"10.10.134.106"</f>
        <v>10.10.134.106</v>
      </c>
      <c r="G11713" s="1" t="str">
        <f>"9625F211"</f>
        <v>9625F211</v>
      </c>
      <c r="H11713" s="1" t="str">
        <f>"성산간 5AL5L5R2"</f>
        <v>성산간 5AL5L5R2</v>
      </c>
      <c r="I11713" s="1" t="s">
        <v>8</v>
      </c>
      <c r="J11713" s="1" t="str">
        <f>"41/45"</f>
        <v>41/45</v>
      </c>
      <c r="K11713" s="1" t="str">
        <f>"2026-07-29 13:18:10"</f>
        <v>2026-07-29 13:18:10</v>
      </c>
      <c r="L11713" s="1" t="str">
        <f>"2020-01-20 14:42:23"</f>
        <v>2020-01-20 14:42:23</v>
      </c>
      <c r="M11713" s="1" t="s">
        <v>1</v>
      </c>
      <c r="N11713" s="1" t="s">
        <v>38</v>
      </c>
      <c r="O11713" s="1" t="s">
        <v>46</v>
      </c>
    </row>
    <row r="11714" spans="2:15" x14ac:dyDescent="0.3">
      <c r="B11714" s="1" t="s">
        <v>20</v>
      </c>
      <c r="C11714" s="1" t="str">
        <f>"1차"</f>
        <v>1차</v>
      </c>
      <c r="D11714" s="1" t="str">
        <f>"9625F23101"</f>
        <v>9625F23101</v>
      </c>
      <c r="E11714" s="1" t="s">
        <v>10</v>
      </c>
      <c r="F11714" s="1" t="str">
        <f>"10.14.2.113"</f>
        <v>10.14.2.113</v>
      </c>
      <c r="G11714" s="1" t="str">
        <f>"9625F231"</f>
        <v>9625F231</v>
      </c>
      <c r="H11714" s="1" t="str">
        <f>"당인간 49R1L2R1"</f>
        <v>당인간 49R1L2R1</v>
      </c>
      <c r="I11714" s="1" t="s">
        <v>8</v>
      </c>
      <c r="J11714" s="1" t="str">
        <f>"24/24"</f>
        <v>24/24</v>
      </c>
      <c r="K11714" s="1" t="str">
        <f>"2026-07-29 13:18:11"</f>
        <v>2026-07-29 13:18:11</v>
      </c>
      <c r="L11714" s="1" t="str">
        <f>"2014-11-28 00:12:22"</f>
        <v>2014-11-28 00:12:22</v>
      </c>
      <c r="M11714" s="1" t="s">
        <v>3</v>
      </c>
      <c r="N11714" s="1" t="s">
        <v>38</v>
      </c>
      <c r="O11714" s="1" t="s">
        <v>46</v>
      </c>
    </row>
    <row r="11715" spans="2:15" x14ac:dyDescent="0.3">
      <c r="B11715" s="1" t="s">
        <v>20</v>
      </c>
      <c r="C11715" s="1" t="str">
        <f t="shared" ref="C11715:C11747" si="585">"4차"</f>
        <v>4차</v>
      </c>
      <c r="D11715" s="1" t="str">
        <f>"9625F24244"</f>
        <v>9625F24244</v>
      </c>
      <c r="E11715" s="1" t="s">
        <v>10</v>
      </c>
      <c r="F11715" s="1" t="str">
        <f>"10.10.73.90"</f>
        <v>10.10.73.90</v>
      </c>
      <c r="G11715" s="1" t="str">
        <f>"9625F242"</f>
        <v>9625F242</v>
      </c>
      <c r="H11715" s="1" t="str">
        <f>"당인간 49R2"</f>
        <v>당인간 49R2</v>
      </c>
      <c r="I11715" s="1" t="s">
        <v>8</v>
      </c>
      <c r="J11715" s="1" t="str">
        <f>"26/26"</f>
        <v>26/26</v>
      </c>
      <c r="K11715" s="1" t="str">
        <f t="shared" ref="K11715:K11741" si="586">"2026-07-29 13:18:10"</f>
        <v>2026-07-29 13:18:10</v>
      </c>
      <c r="L11715" s="1" t="str">
        <f>"2019-11-12 10:53:03"</f>
        <v>2019-11-12 10:53:03</v>
      </c>
      <c r="M11715" s="1" t="s">
        <v>1</v>
      </c>
      <c r="N11715" s="1" t="s">
        <v>38</v>
      </c>
      <c r="O11715" s="1" t="s">
        <v>46</v>
      </c>
    </row>
    <row r="11716" spans="2:15" x14ac:dyDescent="0.3">
      <c r="B11716" s="1" t="s">
        <v>20</v>
      </c>
      <c r="C11716" s="1" t="str">
        <f t="shared" si="585"/>
        <v>4차</v>
      </c>
      <c r="D11716" s="1" t="str">
        <f>"9625F26344"</f>
        <v>9625F26344</v>
      </c>
      <c r="E11716" s="1" t="s">
        <v>10</v>
      </c>
      <c r="F11716" s="1" t="str">
        <f>"10.10.90.210"</f>
        <v>10.10.90.210</v>
      </c>
      <c r="G11716" s="1" t="str">
        <f>"9625F263"</f>
        <v>9625F263</v>
      </c>
      <c r="H11716" s="1" t="str">
        <f>"성산간 21L2L8L2R2"</f>
        <v>성산간 21L2L8L2R2</v>
      </c>
      <c r="I11716" s="1" t="s">
        <v>8</v>
      </c>
      <c r="J11716" s="1" t="str">
        <f>"42/42"</f>
        <v>42/42</v>
      </c>
      <c r="K11716" s="1" t="str">
        <f t="shared" si="586"/>
        <v>2026-07-29 13:18:10</v>
      </c>
      <c r="L11716" s="1" t="str">
        <f>"2018-12-12 15:33:56"</f>
        <v>2018-12-12 15:33:56</v>
      </c>
      <c r="M11716" s="1" t="s">
        <v>1</v>
      </c>
      <c r="N11716" s="1" t="s">
        <v>38</v>
      </c>
      <c r="O11716" s="1" t="s">
        <v>46</v>
      </c>
    </row>
    <row r="11717" spans="2:15" x14ac:dyDescent="0.3">
      <c r="B11717" s="1" t="s">
        <v>20</v>
      </c>
      <c r="C11717" s="1" t="str">
        <f t="shared" si="585"/>
        <v>4차</v>
      </c>
      <c r="D11717" s="1" t="str">
        <f>"9625F27144"</f>
        <v>9625F27144</v>
      </c>
      <c r="E11717" s="1" t="s">
        <v>10</v>
      </c>
      <c r="F11717" s="1" t="str">
        <f>"10.10.73.74"</f>
        <v>10.10.73.74</v>
      </c>
      <c r="G11717" s="1" t="str">
        <f>"9625F271"</f>
        <v>9625F271</v>
      </c>
      <c r="H11717" s="1" t="str">
        <f>"당인간 47L2"</f>
        <v>당인간 47L2</v>
      </c>
      <c r="I11717" s="1" t="s">
        <v>8</v>
      </c>
      <c r="J11717" s="1" t="str">
        <f>"33/33"</f>
        <v>33/33</v>
      </c>
      <c r="K11717" s="1" t="str">
        <f t="shared" si="586"/>
        <v>2026-07-29 13:18:10</v>
      </c>
      <c r="L11717" s="1" t="str">
        <f>"2019-10-08 14:38:00"</f>
        <v>2019-10-08 14:38:00</v>
      </c>
      <c r="M11717" s="1" t="s">
        <v>1</v>
      </c>
      <c r="N11717" s="1" t="s">
        <v>38</v>
      </c>
      <c r="O11717" s="1" t="s">
        <v>46</v>
      </c>
    </row>
    <row r="11718" spans="2:15" x14ac:dyDescent="0.3">
      <c r="B11718" s="1" t="s">
        <v>20</v>
      </c>
      <c r="C11718" s="1" t="str">
        <f t="shared" si="585"/>
        <v>4차</v>
      </c>
      <c r="D11718" s="1" t="str">
        <f>"9625F27444"</f>
        <v>9625F27444</v>
      </c>
      <c r="E11718" s="1" t="s">
        <v>10</v>
      </c>
      <c r="F11718" s="1" t="str">
        <f>"10.10.105.146"</f>
        <v>10.10.105.146</v>
      </c>
      <c r="G11718" s="1" t="str">
        <f>"9625F274"</f>
        <v>9625F274</v>
      </c>
      <c r="H11718" s="1" t="str">
        <f>"당인간 47L2R1"</f>
        <v>당인간 47L2R1</v>
      </c>
      <c r="I11718" s="1" t="s">
        <v>8</v>
      </c>
      <c r="J11718" s="1" t="str">
        <f>"25/25"</f>
        <v>25/25</v>
      </c>
      <c r="K11718" s="1" t="str">
        <f t="shared" si="586"/>
        <v>2026-07-29 13:18:10</v>
      </c>
      <c r="L11718" s="1" t="str">
        <f>"2019-10-08 17:37:36"</f>
        <v>2019-10-08 17:37:36</v>
      </c>
      <c r="M11718" s="1" t="s">
        <v>1</v>
      </c>
      <c r="N11718" s="1" t="s">
        <v>38</v>
      </c>
      <c r="O11718" s="1" t="s">
        <v>46</v>
      </c>
    </row>
    <row r="11719" spans="2:15" x14ac:dyDescent="0.3">
      <c r="B11719" s="1" t="s">
        <v>20</v>
      </c>
      <c r="C11719" s="1" t="str">
        <f t="shared" si="585"/>
        <v>4차</v>
      </c>
      <c r="D11719" s="1" t="str">
        <f>"9625F29144"</f>
        <v>9625F29144</v>
      </c>
      <c r="E11719" s="1" t="s">
        <v>10</v>
      </c>
      <c r="F11719" s="1" t="str">
        <f>"10.10.95.242"</f>
        <v>10.10.95.242</v>
      </c>
      <c r="G11719" s="1" t="str">
        <f>"9625F291"</f>
        <v>9625F291</v>
      </c>
      <c r="H11719" s="1" t="str">
        <f>"당인간 44L5"</f>
        <v>당인간 44L5</v>
      </c>
      <c r="I11719" s="1" t="s">
        <v>8</v>
      </c>
      <c r="J11719" s="1" t="str">
        <f>"31/31"</f>
        <v>31/31</v>
      </c>
      <c r="K11719" s="1" t="str">
        <f t="shared" si="586"/>
        <v>2026-07-29 13:18:10</v>
      </c>
      <c r="L11719" s="1" t="str">
        <f>"2018-12-12 15:24:56"</f>
        <v>2018-12-12 15:24:56</v>
      </c>
      <c r="M11719" s="1" t="s">
        <v>1</v>
      </c>
      <c r="N11719" s="1" t="s">
        <v>38</v>
      </c>
      <c r="O11719" s="1" t="s">
        <v>46</v>
      </c>
    </row>
    <row r="11720" spans="2:15" x14ac:dyDescent="0.3">
      <c r="B11720" s="1" t="s">
        <v>20</v>
      </c>
      <c r="C11720" s="1" t="str">
        <f t="shared" si="585"/>
        <v>4차</v>
      </c>
      <c r="D11720" s="1" t="str">
        <f>"9625F29244"</f>
        <v>9625F29244</v>
      </c>
      <c r="E11720" s="1" t="s">
        <v>10</v>
      </c>
      <c r="F11720" s="1" t="str">
        <f>"10.10.97.34"</f>
        <v>10.10.97.34</v>
      </c>
      <c r="G11720" s="1" t="str">
        <f>"9625F292"</f>
        <v>9625F292</v>
      </c>
      <c r="H11720" s="1" t="str">
        <f>"당인간 44L5L1"</f>
        <v>당인간 44L5L1</v>
      </c>
      <c r="I11720" s="1" t="s">
        <v>8</v>
      </c>
      <c r="J11720" s="1" t="str">
        <f>"35/35"</f>
        <v>35/35</v>
      </c>
      <c r="K11720" s="1" t="str">
        <f t="shared" si="586"/>
        <v>2026-07-29 13:18:10</v>
      </c>
      <c r="L11720" s="1" t="str">
        <f>"2018-12-12 15:25:55"</f>
        <v>2018-12-12 15:25:55</v>
      </c>
      <c r="M11720" s="1" t="s">
        <v>1</v>
      </c>
      <c r="N11720" s="1" t="s">
        <v>38</v>
      </c>
      <c r="O11720" s="1" t="s">
        <v>46</v>
      </c>
    </row>
    <row r="11721" spans="2:15" x14ac:dyDescent="0.3">
      <c r="B11721" s="1" t="s">
        <v>20</v>
      </c>
      <c r="C11721" s="1" t="str">
        <f t="shared" si="585"/>
        <v>4차</v>
      </c>
      <c r="D11721" s="1" t="str">
        <f>"9625F30244"</f>
        <v>9625F30244</v>
      </c>
      <c r="E11721" s="1" t="s">
        <v>10</v>
      </c>
      <c r="F11721" s="1" t="str">
        <f>"10.10.136.154"</f>
        <v>10.10.136.154</v>
      </c>
      <c r="G11721" s="1" t="str">
        <f>"9625F302"</f>
        <v>9625F302</v>
      </c>
      <c r="H11721" s="1" t="str">
        <f>"성산간 5AL5L4"</f>
        <v>성산간 5AL5L4</v>
      </c>
      <c r="I11721" s="1" t="s">
        <v>8</v>
      </c>
      <c r="J11721" s="1" t="str">
        <f>"3/3"</f>
        <v>3/3</v>
      </c>
      <c r="K11721" s="1" t="str">
        <f t="shared" si="586"/>
        <v>2026-07-29 13:18:10</v>
      </c>
      <c r="L11721" s="1" t="str">
        <f>"2020-01-21 16:48:51"</f>
        <v>2020-01-21 16:48:51</v>
      </c>
      <c r="M11721" s="1" t="s">
        <v>1</v>
      </c>
      <c r="N11721" s="1" t="s">
        <v>38</v>
      </c>
      <c r="O11721" s="1" t="s">
        <v>46</v>
      </c>
    </row>
    <row r="11722" spans="2:15" x14ac:dyDescent="0.3">
      <c r="B11722" s="1" t="s">
        <v>20</v>
      </c>
      <c r="C11722" s="1" t="str">
        <f t="shared" si="585"/>
        <v>4차</v>
      </c>
      <c r="D11722" s="1" t="str">
        <f>"9625F30344"</f>
        <v>9625F30344</v>
      </c>
      <c r="E11722" s="1" t="s">
        <v>10</v>
      </c>
      <c r="F11722" s="1" t="str">
        <f>"10.10.134.122"</f>
        <v>10.10.134.122</v>
      </c>
      <c r="G11722" s="1" t="str">
        <f>"9625F303"</f>
        <v>9625F303</v>
      </c>
      <c r="H11722" s="1" t="str">
        <f>"성산간 5AL5L2R3"</f>
        <v>성산간 5AL5L2R3</v>
      </c>
      <c r="I11722" s="1" t="s">
        <v>8</v>
      </c>
      <c r="J11722" s="1" t="str">
        <f>"15/15"</f>
        <v>15/15</v>
      </c>
      <c r="K11722" s="1" t="str">
        <f t="shared" si="586"/>
        <v>2026-07-29 13:18:10</v>
      </c>
      <c r="L11722" s="1" t="str">
        <f>"2019-12-24 16:48:58"</f>
        <v>2019-12-24 16:48:58</v>
      </c>
      <c r="M11722" s="1" t="s">
        <v>1</v>
      </c>
      <c r="N11722" s="1" t="s">
        <v>38</v>
      </c>
      <c r="O11722" s="1" t="s">
        <v>46</v>
      </c>
    </row>
    <row r="11723" spans="2:15" x14ac:dyDescent="0.3">
      <c r="B11723" s="1" t="s">
        <v>20</v>
      </c>
      <c r="C11723" s="1" t="str">
        <f t="shared" si="585"/>
        <v>4차</v>
      </c>
      <c r="D11723" s="1" t="str">
        <f>"9625F38144"</f>
        <v>9625F38144</v>
      </c>
      <c r="E11723" s="1" t="s">
        <v>10</v>
      </c>
      <c r="F11723" s="1" t="str">
        <f>"10.10.97.210"</f>
        <v>10.10.97.210</v>
      </c>
      <c r="G11723" s="1" t="str">
        <f>"9625F381"</f>
        <v>9625F381</v>
      </c>
      <c r="H11723" s="1" t="str">
        <f>"당인간 44L7AR2"</f>
        <v>당인간 44L7AR2</v>
      </c>
      <c r="I11723" s="1" t="s">
        <v>8</v>
      </c>
      <c r="J11723" s="1" t="str">
        <f>"43/44"</f>
        <v>43/44</v>
      </c>
      <c r="K11723" s="1" t="str">
        <f t="shared" si="586"/>
        <v>2026-07-29 13:18:10</v>
      </c>
      <c r="L11723" s="1" t="str">
        <f>"2018-12-12 15:23:26"</f>
        <v>2018-12-12 15:23:26</v>
      </c>
      <c r="M11723" s="1" t="s">
        <v>1</v>
      </c>
      <c r="N11723" s="1" t="s">
        <v>38</v>
      </c>
      <c r="O11723" s="1" t="s">
        <v>46</v>
      </c>
    </row>
    <row r="11724" spans="2:15" x14ac:dyDescent="0.3">
      <c r="B11724" s="1" t="s">
        <v>20</v>
      </c>
      <c r="C11724" s="1" t="str">
        <f t="shared" si="585"/>
        <v>4차</v>
      </c>
      <c r="D11724" s="1" t="str">
        <f>"9625F39144"</f>
        <v>9625F39144</v>
      </c>
      <c r="E11724" s="1" t="s">
        <v>10</v>
      </c>
      <c r="F11724" s="1" t="str">
        <f>"10.10.97.202"</f>
        <v>10.10.97.202</v>
      </c>
      <c r="G11724" s="1" t="str">
        <f>"9625F391"</f>
        <v>9625F391</v>
      </c>
      <c r="H11724" s="1" t="str">
        <f>"당인간 44L7"</f>
        <v>당인간 44L7</v>
      </c>
      <c r="I11724" s="1" t="s">
        <v>8</v>
      </c>
      <c r="J11724" s="1" t="str">
        <f>"29/30"</f>
        <v>29/30</v>
      </c>
      <c r="K11724" s="1" t="str">
        <f t="shared" si="586"/>
        <v>2026-07-29 13:18:10</v>
      </c>
      <c r="L11724" s="1" t="str">
        <f>"2018-12-12 15:26:41"</f>
        <v>2018-12-12 15:26:41</v>
      </c>
      <c r="M11724" s="1" t="s">
        <v>1</v>
      </c>
      <c r="N11724" s="1" t="s">
        <v>38</v>
      </c>
      <c r="O11724" s="1" t="s">
        <v>46</v>
      </c>
    </row>
    <row r="11725" spans="2:15" x14ac:dyDescent="0.3">
      <c r="B11725" s="1" t="s">
        <v>20</v>
      </c>
      <c r="C11725" s="1" t="str">
        <f t="shared" si="585"/>
        <v>4차</v>
      </c>
      <c r="D11725" s="1" t="str">
        <f>"9625F44144"</f>
        <v>9625F44144</v>
      </c>
      <c r="E11725" s="1" t="s">
        <v>10</v>
      </c>
      <c r="F11725" s="1" t="str">
        <f>"10.10.86.162"</f>
        <v>10.10.86.162</v>
      </c>
      <c r="G11725" s="1" t="str">
        <f>"9625F441"</f>
        <v>9625F441</v>
      </c>
      <c r="H11725" s="1" t="str">
        <f>"성산간 21L2L8L2L1"</f>
        <v>성산간 21L2L8L2L1</v>
      </c>
      <c r="I11725" s="1" t="s">
        <v>8</v>
      </c>
      <c r="J11725" s="1" t="str">
        <f>"31/31"</f>
        <v>31/31</v>
      </c>
      <c r="K11725" s="1" t="str">
        <f t="shared" si="586"/>
        <v>2026-07-29 13:18:10</v>
      </c>
      <c r="L11725" s="1" t="str">
        <f>"2018-12-12 15:31:55"</f>
        <v>2018-12-12 15:31:55</v>
      </c>
      <c r="M11725" s="1" t="s">
        <v>1</v>
      </c>
      <c r="N11725" s="1" t="s">
        <v>38</v>
      </c>
      <c r="O11725" s="1" t="s">
        <v>46</v>
      </c>
    </row>
    <row r="11726" spans="2:15" x14ac:dyDescent="0.3">
      <c r="B11726" s="1" t="s">
        <v>20</v>
      </c>
      <c r="C11726" s="1" t="str">
        <f t="shared" si="585"/>
        <v>4차</v>
      </c>
      <c r="D11726" s="1" t="str">
        <f>"9625F45144"</f>
        <v>9625F45144</v>
      </c>
      <c r="E11726" s="1" t="s">
        <v>10</v>
      </c>
      <c r="F11726" s="1" t="str">
        <f>"10.10.86.146"</f>
        <v>10.10.86.146</v>
      </c>
      <c r="G11726" s="1" t="str">
        <f>"9625F451"</f>
        <v>9625F451</v>
      </c>
      <c r="H11726" s="1" t="str">
        <f>"성산간 21L2L8L2"</f>
        <v>성산간 21L2L8L2</v>
      </c>
      <c r="I11726" s="1" t="s">
        <v>8</v>
      </c>
      <c r="J11726" s="1" t="str">
        <f>"37/37"</f>
        <v>37/37</v>
      </c>
      <c r="K11726" s="1" t="str">
        <f t="shared" si="586"/>
        <v>2026-07-29 13:18:10</v>
      </c>
      <c r="L11726" s="1" t="str">
        <f>"2018-12-12 15:34:55"</f>
        <v>2018-12-12 15:34:55</v>
      </c>
      <c r="M11726" s="1" t="s">
        <v>1</v>
      </c>
      <c r="N11726" s="1" t="s">
        <v>38</v>
      </c>
      <c r="O11726" s="1" t="s">
        <v>46</v>
      </c>
    </row>
    <row r="11727" spans="2:15" x14ac:dyDescent="0.3">
      <c r="B11727" s="1" t="s">
        <v>20</v>
      </c>
      <c r="C11727" s="1" t="str">
        <f t="shared" si="585"/>
        <v>4차</v>
      </c>
      <c r="D11727" s="1" t="str">
        <f>"9625F46144"</f>
        <v>9625F46144</v>
      </c>
      <c r="E11727" s="1" t="s">
        <v>10</v>
      </c>
      <c r="F11727" s="1" t="str">
        <f>"10.10.97.82"</f>
        <v>10.10.97.82</v>
      </c>
      <c r="G11727" s="1" t="str">
        <f>"9625F461"</f>
        <v>9625F461</v>
      </c>
      <c r="H11727" s="1" t="str">
        <f>"당인간 44L7AR4"</f>
        <v>당인간 44L7AR4</v>
      </c>
      <c r="I11727" s="1" t="s">
        <v>8</v>
      </c>
      <c r="J11727" s="1" t="str">
        <f>"71/71"</f>
        <v>71/71</v>
      </c>
      <c r="K11727" s="1" t="str">
        <f t="shared" si="586"/>
        <v>2026-07-29 13:18:10</v>
      </c>
      <c r="L11727" s="1" t="str">
        <f>"2018-12-26 14:40:40"</f>
        <v>2018-12-26 14:40:40</v>
      </c>
      <c r="M11727" s="1" t="s">
        <v>1</v>
      </c>
      <c r="N11727" s="1" t="s">
        <v>38</v>
      </c>
      <c r="O11727" s="1" t="s">
        <v>46</v>
      </c>
    </row>
    <row r="11728" spans="2:15" x14ac:dyDescent="0.3">
      <c r="B11728" s="1" t="s">
        <v>20</v>
      </c>
      <c r="C11728" s="1" t="str">
        <f t="shared" si="585"/>
        <v>4차</v>
      </c>
      <c r="D11728" s="1" t="str">
        <f>"9625F46244"</f>
        <v>9625F46244</v>
      </c>
      <c r="E11728" s="1" t="s">
        <v>10</v>
      </c>
      <c r="F11728" s="1" t="str">
        <f>"10.10.83.26"</f>
        <v>10.10.83.26</v>
      </c>
      <c r="G11728" s="1" t="str">
        <f>"9625F462"</f>
        <v>9625F462</v>
      </c>
      <c r="H11728" s="1" t="str">
        <f>"성산간 21L2L10"</f>
        <v>성산간 21L2L10</v>
      </c>
      <c r="I11728" s="1" t="s">
        <v>8</v>
      </c>
      <c r="J11728" s="1" t="str">
        <f>"72/72"</f>
        <v>72/72</v>
      </c>
      <c r="K11728" s="1" t="str">
        <f t="shared" si="586"/>
        <v>2026-07-29 13:18:10</v>
      </c>
      <c r="L11728" s="1" t="str">
        <f>"2018-12-18 16:44:43"</f>
        <v>2018-12-18 16:44:43</v>
      </c>
      <c r="M11728" s="1" t="s">
        <v>1</v>
      </c>
      <c r="N11728" s="1" t="s">
        <v>38</v>
      </c>
      <c r="O11728" s="1" t="s">
        <v>46</v>
      </c>
    </row>
    <row r="11729" spans="2:15" x14ac:dyDescent="0.3">
      <c r="B11729" s="1" t="s">
        <v>20</v>
      </c>
      <c r="C11729" s="1" t="str">
        <f t="shared" si="585"/>
        <v>4차</v>
      </c>
      <c r="D11729" s="1" t="str">
        <f>"9625F47144"</f>
        <v>9625F47144</v>
      </c>
      <c r="E11729" s="1" t="s">
        <v>10</v>
      </c>
      <c r="F11729" s="1" t="str">
        <f>"10.10.97.42"</f>
        <v>10.10.97.42</v>
      </c>
      <c r="G11729" s="1" t="str">
        <f>"9625F471"</f>
        <v>9625F471</v>
      </c>
      <c r="H11729" s="1" t="str">
        <f>"당인간 44L7AR3"</f>
        <v>당인간 44L7AR3</v>
      </c>
      <c r="I11729" s="1" t="s">
        <v>8</v>
      </c>
      <c r="J11729" s="1" t="str">
        <f>"61/63"</f>
        <v>61/63</v>
      </c>
      <c r="K11729" s="1" t="str">
        <f t="shared" si="586"/>
        <v>2026-07-29 13:18:10</v>
      </c>
      <c r="L11729" s="1" t="str">
        <f>"2018-12-12 15:27:26"</f>
        <v>2018-12-12 15:27:26</v>
      </c>
      <c r="M11729" s="1" t="s">
        <v>1</v>
      </c>
      <c r="N11729" s="1" t="s">
        <v>38</v>
      </c>
      <c r="O11729" s="1" t="s">
        <v>46</v>
      </c>
    </row>
    <row r="11730" spans="2:15" x14ac:dyDescent="0.3">
      <c r="B11730" s="1" t="s">
        <v>20</v>
      </c>
      <c r="C11730" s="1" t="str">
        <f t="shared" si="585"/>
        <v>4차</v>
      </c>
      <c r="D11730" s="1" t="str">
        <f>"9625F48144"</f>
        <v>9625F48144</v>
      </c>
      <c r="E11730" s="1" t="s">
        <v>10</v>
      </c>
      <c r="F11730" s="1" t="str">
        <f>"10.10.108.146"</f>
        <v>10.10.108.146</v>
      </c>
      <c r="G11730" s="1" t="str">
        <f>"9625F481"</f>
        <v>9625F481</v>
      </c>
      <c r="H11730" s="1" t="str">
        <f>"성산간 21L2L12"</f>
        <v>성산간 21L2L12</v>
      </c>
      <c r="I11730" s="1" t="s">
        <v>8</v>
      </c>
      <c r="J11730" s="1" t="str">
        <f>"22/22"</f>
        <v>22/22</v>
      </c>
      <c r="K11730" s="1" t="str">
        <f t="shared" si="586"/>
        <v>2026-07-29 13:18:10</v>
      </c>
      <c r="L11730" s="1" t="str">
        <f>"2018-12-19 12:01:55"</f>
        <v>2018-12-19 12:01:55</v>
      </c>
      <c r="M11730" s="1" t="s">
        <v>1</v>
      </c>
      <c r="N11730" s="1" t="s">
        <v>38</v>
      </c>
      <c r="O11730" s="1" t="s">
        <v>46</v>
      </c>
    </row>
    <row r="11731" spans="2:15" x14ac:dyDescent="0.3">
      <c r="B11731" s="1" t="s">
        <v>20</v>
      </c>
      <c r="C11731" s="1" t="str">
        <f t="shared" si="585"/>
        <v>4차</v>
      </c>
      <c r="D11731" s="1" t="str">
        <f>"9625F53244"</f>
        <v>9625F53244</v>
      </c>
      <c r="E11731" s="1" t="s">
        <v>10</v>
      </c>
      <c r="F11731" s="1" t="str">
        <f>"10.10.108.130"</f>
        <v>10.10.108.130</v>
      </c>
      <c r="G11731" s="1" t="str">
        <f>"9625F532"</f>
        <v>9625F532</v>
      </c>
      <c r="H11731" s="1" t="str">
        <f>"성산간 14L2"</f>
        <v>성산간 14L2</v>
      </c>
      <c r="I11731" s="1" t="s">
        <v>8</v>
      </c>
      <c r="J11731" s="1" t="str">
        <f>"20/20"</f>
        <v>20/20</v>
      </c>
      <c r="K11731" s="1" t="str">
        <f t="shared" si="586"/>
        <v>2026-07-29 13:18:10</v>
      </c>
      <c r="L11731" s="1" t="str">
        <f>"2019-10-28 16:37:44"</f>
        <v>2019-10-28 16:37:44</v>
      </c>
      <c r="M11731" s="1" t="s">
        <v>1</v>
      </c>
      <c r="N11731" s="1" t="s">
        <v>38</v>
      </c>
      <c r="O11731" s="1" t="s">
        <v>46</v>
      </c>
    </row>
    <row r="11732" spans="2:15" x14ac:dyDescent="0.3">
      <c r="B11732" s="1" t="s">
        <v>20</v>
      </c>
      <c r="C11732" s="1" t="str">
        <f t="shared" si="585"/>
        <v>4차</v>
      </c>
      <c r="D11732" s="1" t="str">
        <f>"9625F54144"</f>
        <v>9625F54144</v>
      </c>
      <c r="E11732" s="1" t="s">
        <v>10</v>
      </c>
      <c r="F11732" s="1" t="str">
        <f>"10.10.84.10"</f>
        <v>10.10.84.10</v>
      </c>
      <c r="G11732" s="1" t="str">
        <f>"9625F541"</f>
        <v>9625F541</v>
      </c>
      <c r="H11732" s="1" t="str">
        <f>"성산간 21L2L4AL2"</f>
        <v>성산간 21L2L4AL2</v>
      </c>
      <c r="I11732" s="1" t="s">
        <v>8</v>
      </c>
      <c r="J11732" s="1" t="str">
        <f>"63/63"</f>
        <v>63/63</v>
      </c>
      <c r="K11732" s="1" t="str">
        <f t="shared" si="586"/>
        <v>2026-07-29 13:18:10</v>
      </c>
      <c r="L11732" s="1" t="str">
        <f>"2024-08-20 13:55:03"</f>
        <v>2024-08-20 13:55:03</v>
      </c>
      <c r="M11732" s="1" t="s">
        <v>1</v>
      </c>
      <c r="N11732" s="1" t="s">
        <v>38</v>
      </c>
      <c r="O11732" s="1" t="s">
        <v>46</v>
      </c>
    </row>
    <row r="11733" spans="2:15" x14ac:dyDescent="0.3">
      <c r="B11733" s="1" t="s">
        <v>20</v>
      </c>
      <c r="C11733" s="1" t="str">
        <f t="shared" si="585"/>
        <v>4차</v>
      </c>
      <c r="D11733" s="1" t="str">
        <f>"9625F54544"</f>
        <v>9625F54544</v>
      </c>
      <c r="E11733" s="1" t="s">
        <v>10</v>
      </c>
      <c r="F11733" s="1" t="str">
        <f>"10.10.108.162"</f>
        <v>10.10.108.162</v>
      </c>
      <c r="G11733" s="1" t="str">
        <f>"9625F545"</f>
        <v>9625F545</v>
      </c>
      <c r="H11733" s="1" t="str">
        <f>"성산간 21L2L4AL3"</f>
        <v>성산간 21L2L4AL3</v>
      </c>
      <c r="I11733" s="1" t="s">
        <v>8</v>
      </c>
      <c r="J11733" s="1" t="str">
        <f>"22/22"</f>
        <v>22/22</v>
      </c>
      <c r="K11733" s="1" t="str">
        <f t="shared" si="586"/>
        <v>2026-07-29 13:18:10</v>
      </c>
      <c r="L11733" s="1" t="str">
        <f>"2019-10-14 16:19:59"</f>
        <v>2019-10-14 16:19:59</v>
      </c>
      <c r="M11733" s="1" t="s">
        <v>1</v>
      </c>
      <c r="N11733" s="1" t="s">
        <v>38</v>
      </c>
      <c r="O11733" s="1" t="s">
        <v>46</v>
      </c>
    </row>
    <row r="11734" spans="2:15" x14ac:dyDescent="0.3">
      <c r="B11734" s="1" t="s">
        <v>20</v>
      </c>
      <c r="C11734" s="1" t="str">
        <f t="shared" si="585"/>
        <v>4차</v>
      </c>
      <c r="D11734" s="1" t="str">
        <f>"9625F56144"</f>
        <v>9625F56144</v>
      </c>
      <c r="E11734" s="1" t="s">
        <v>10</v>
      </c>
      <c r="F11734" s="1" t="str">
        <f>"10.10.85.226"</f>
        <v>10.10.85.226</v>
      </c>
      <c r="G11734" s="1" t="str">
        <f>"9625F561"</f>
        <v>9625F561</v>
      </c>
      <c r="H11734" s="1" t="str">
        <f>"성산간 21L2L7"</f>
        <v>성산간 21L2L7</v>
      </c>
      <c r="I11734" s="1" t="s">
        <v>8</v>
      </c>
      <c r="J11734" s="1" t="str">
        <f>"38/38"</f>
        <v>38/38</v>
      </c>
      <c r="K11734" s="1" t="str">
        <f t="shared" si="586"/>
        <v>2026-07-29 13:18:10</v>
      </c>
      <c r="L11734" s="1" t="str">
        <f>"2018-12-19 12:09:38"</f>
        <v>2018-12-19 12:09:38</v>
      </c>
      <c r="M11734" s="1" t="s">
        <v>1</v>
      </c>
      <c r="N11734" s="1" t="s">
        <v>38</v>
      </c>
      <c r="O11734" s="1" t="s">
        <v>46</v>
      </c>
    </row>
    <row r="11735" spans="2:15" x14ac:dyDescent="0.3">
      <c r="B11735" s="1" t="s">
        <v>20</v>
      </c>
      <c r="C11735" s="1" t="str">
        <f t="shared" si="585"/>
        <v>4차</v>
      </c>
      <c r="D11735" s="1" t="str">
        <f>"9625F56244"</f>
        <v>9625F56244</v>
      </c>
      <c r="E11735" s="1" t="s">
        <v>10</v>
      </c>
      <c r="F11735" s="1" t="str">
        <f>"10.10.85.194"</f>
        <v>10.10.85.194</v>
      </c>
      <c r="G11735" s="1" t="str">
        <f>"9625F562"</f>
        <v>9625F562</v>
      </c>
      <c r="H11735" s="1" t="str">
        <f>"성산간 21L2L6"</f>
        <v>성산간 21L2L6</v>
      </c>
      <c r="I11735" s="1" t="s">
        <v>8</v>
      </c>
      <c r="J11735" s="1" t="str">
        <f>"18/18"</f>
        <v>18/18</v>
      </c>
      <c r="K11735" s="1" t="str">
        <f t="shared" si="586"/>
        <v>2026-07-29 13:18:10</v>
      </c>
      <c r="L11735" s="1" t="str">
        <f>"2018-12-19 12:09:09"</f>
        <v>2018-12-19 12:09:09</v>
      </c>
      <c r="M11735" s="1" t="s">
        <v>1</v>
      </c>
      <c r="N11735" s="1" t="s">
        <v>38</v>
      </c>
      <c r="O11735" s="1" t="s">
        <v>46</v>
      </c>
    </row>
    <row r="11736" spans="2:15" x14ac:dyDescent="0.3">
      <c r="B11736" s="1" t="s">
        <v>20</v>
      </c>
      <c r="C11736" s="1" t="str">
        <f t="shared" si="585"/>
        <v>4차</v>
      </c>
      <c r="D11736" s="1" t="str">
        <f>"9625F59244"</f>
        <v>9625F59244</v>
      </c>
      <c r="E11736" s="1" t="s">
        <v>10</v>
      </c>
      <c r="F11736" s="1" t="str">
        <f>"10.10.91.114"</f>
        <v>10.10.91.114</v>
      </c>
      <c r="G11736" s="1" t="str">
        <f>"9625F592"</f>
        <v>9625F592</v>
      </c>
      <c r="H11736" s="1" t="str">
        <f>"성산간 21L6L3"</f>
        <v>성산간 21L6L3</v>
      </c>
      <c r="I11736" s="1" t="s">
        <v>8</v>
      </c>
      <c r="J11736" s="1" t="str">
        <f>"49/49"</f>
        <v>49/49</v>
      </c>
      <c r="K11736" s="1" t="str">
        <f t="shared" si="586"/>
        <v>2026-07-29 13:18:10</v>
      </c>
      <c r="L11736" s="1" t="str">
        <f>"2019-10-14 14:33:04"</f>
        <v>2019-10-14 14:33:04</v>
      </c>
      <c r="M11736" s="1" t="s">
        <v>1</v>
      </c>
      <c r="N11736" s="1" t="s">
        <v>38</v>
      </c>
      <c r="O11736" s="1" t="s">
        <v>46</v>
      </c>
    </row>
    <row r="11737" spans="2:15" x14ac:dyDescent="0.3">
      <c r="B11737" s="1" t="s">
        <v>20</v>
      </c>
      <c r="C11737" s="1" t="str">
        <f t="shared" si="585"/>
        <v>4차</v>
      </c>
      <c r="D11737" s="1" t="str">
        <f>"9625F65144"</f>
        <v>9625F65144</v>
      </c>
      <c r="E11737" s="1" t="s">
        <v>10</v>
      </c>
      <c r="F11737" s="1" t="str">
        <f>"10.10.84.2"</f>
        <v>10.10.84.2</v>
      </c>
      <c r="G11737" s="1" t="str">
        <f>"9625F651"</f>
        <v>9625F651</v>
      </c>
      <c r="H11737" s="1" t="str">
        <f>"성산간 21L2L4AL1"</f>
        <v>성산간 21L2L4AL1</v>
      </c>
      <c r="I11737" s="1" t="s">
        <v>8</v>
      </c>
      <c r="J11737" s="1" t="str">
        <f>"70/70"</f>
        <v>70/70</v>
      </c>
      <c r="K11737" s="1" t="str">
        <f t="shared" si="586"/>
        <v>2026-07-29 13:18:10</v>
      </c>
      <c r="L11737" s="1" t="str">
        <f>"2019-10-14 15:54:43"</f>
        <v>2019-10-14 15:54:43</v>
      </c>
      <c r="M11737" s="1" t="s">
        <v>1</v>
      </c>
      <c r="N11737" s="1" t="s">
        <v>38</v>
      </c>
      <c r="O11737" s="1" t="s">
        <v>46</v>
      </c>
    </row>
    <row r="11738" spans="2:15" x14ac:dyDescent="0.3">
      <c r="B11738" s="1" t="s">
        <v>20</v>
      </c>
      <c r="C11738" s="1" t="str">
        <f t="shared" si="585"/>
        <v>4차</v>
      </c>
      <c r="D11738" s="1" t="str">
        <f>"9625F67144"</f>
        <v>9625F67144</v>
      </c>
      <c r="E11738" s="1" t="s">
        <v>10</v>
      </c>
      <c r="F11738" s="1" t="str">
        <f>"10.10.85.90"</f>
        <v>10.10.85.90</v>
      </c>
      <c r="G11738" s="1" t="str">
        <f>"9625F671"</f>
        <v>9625F671</v>
      </c>
      <c r="H11738" s="1" t="str">
        <f>"성산간 21L2L5"</f>
        <v>성산간 21L2L5</v>
      </c>
      <c r="I11738" s="1" t="s">
        <v>8</v>
      </c>
      <c r="J11738" s="1" t="str">
        <f>"90/90"</f>
        <v>90/90</v>
      </c>
      <c r="K11738" s="1" t="str">
        <f t="shared" si="586"/>
        <v>2026-07-29 13:18:10</v>
      </c>
      <c r="L11738" s="1" t="str">
        <f>"2018-12-17 14:51:57"</f>
        <v>2018-12-17 14:51:57</v>
      </c>
      <c r="M11738" s="1" t="s">
        <v>1</v>
      </c>
      <c r="N11738" s="1" t="s">
        <v>38</v>
      </c>
      <c r="O11738" s="1" t="s">
        <v>46</v>
      </c>
    </row>
    <row r="11739" spans="2:15" x14ac:dyDescent="0.3">
      <c r="B11739" s="1" t="s">
        <v>20</v>
      </c>
      <c r="C11739" s="1" t="str">
        <f t="shared" si="585"/>
        <v>4차</v>
      </c>
      <c r="D11739" s="1" t="str">
        <f>"9625F68144"</f>
        <v>9625F68144</v>
      </c>
      <c r="E11739" s="1" t="s">
        <v>10</v>
      </c>
      <c r="F11739" s="1" t="str">
        <f>"10.10.85.162"</f>
        <v>10.10.85.162</v>
      </c>
      <c r="G11739" s="1" t="str">
        <f>"9625F681"</f>
        <v>9625F681</v>
      </c>
      <c r="H11739" s="1" t="str">
        <f>"성산간 21L2L5R1L1"</f>
        <v>성산간 21L2L5R1L1</v>
      </c>
      <c r="I11739" s="1" t="s">
        <v>8</v>
      </c>
      <c r="J11739" s="1" t="str">
        <f>"77/77"</f>
        <v>77/77</v>
      </c>
      <c r="K11739" s="1" t="str">
        <f t="shared" si="586"/>
        <v>2026-07-29 13:18:10</v>
      </c>
      <c r="L11739" s="1" t="str">
        <f>"2018-12-19 12:10:54"</f>
        <v>2018-12-19 12:10:54</v>
      </c>
      <c r="M11739" s="1" t="s">
        <v>1</v>
      </c>
      <c r="N11739" s="1" t="s">
        <v>38</v>
      </c>
      <c r="O11739" s="1" t="s">
        <v>46</v>
      </c>
    </row>
    <row r="11740" spans="2:15" x14ac:dyDescent="0.3">
      <c r="B11740" s="1" t="s">
        <v>20</v>
      </c>
      <c r="C11740" s="1" t="str">
        <f t="shared" si="585"/>
        <v>4차</v>
      </c>
      <c r="D11740" s="1" t="str">
        <f>"9625F68244"</f>
        <v>9625F68244</v>
      </c>
      <c r="E11740" s="1" t="s">
        <v>10</v>
      </c>
      <c r="F11740" s="1" t="str">
        <f>"10.10.85.178"</f>
        <v>10.10.85.178</v>
      </c>
      <c r="G11740" s="1" t="str">
        <f>"9625F682"</f>
        <v>9625F682</v>
      </c>
      <c r="H11740" s="1" t="str">
        <f>"성산간 21L2L5R3"</f>
        <v>성산간 21L2L5R3</v>
      </c>
      <c r="I11740" s="1" t="s">
        <v>8</v>
      </c>
      <c r="J11740" s="1" t="str">
        <f>"39/39"</f>
        <v>39/39</v>
      </c>
      <c r="K11740" s="1" t="str">
        <f t="shared" si="586"/>
        <v>2026-07-29 13:18:10</v>
      </c>
      <c r="L11740" s="1" t="str">
        <f>"2018-12-19 12:08:23"</f>
        <v>2018-12-19 12:08:23</v>
      </c>
      <c r="M11740" s="1" t="s">
        <v>1</v>
      </c>
      <c r="N11740" s="1" t="s">
        <v>38</v>
      </c>
      <c r="O11740" s="1" t="s">
        <v>46</v>
      </c>
    </row>
    <row r="11741" spans="2:15" x14ac:dyDescent="0.3">
      <c r="B11741" s="1" t="s">
        <v>20</v>
      </c>
      <c r="C11741" s="1" t="str">
        <f t="shared" si="585"/>
        <v>4차</v>
      </c>
      <c r="D11741" s="1" t="str">
        <f>"9625F69344"</f>
        <v>9625F69344</v>
      </c>
      <c r="E11741" s="1" t="s">
        <v>10</v>
      </c>
      <c r="F11741" s="1" t="str">
        <f>"10.10.90.250"</f>
        <v>10.10.90.250</v>
      </c>
      <c r="G11741" s="1" t="str">
        <f>"9625F693"</f>
        <v>9625F693</v>
      </c>
      <c r="H11741" s="1" t="str">
        <f>"성산간 21L6L1"</f>
        <v>성산간 21L6L1</v>
      </c>
      <c r="I11741" s="1" t="s">
        <v>8</v>
      </c>
      <c r="J11741" s="1" t="str">
        <f>"51/51"</f>
        <v>51/51</v>
      </c>
      <c r="K11741" s="1" t="str">
        <f t="shared" si="586"/>
        <v>2026-07-29 13:18:10</v>
      </c>
      <c r="L11741" s="1" t="str">
        <f>"2019-10-14 14:31:13"</f>
        <v>2019-10-14 14:31:13</v>
      </c>
      <c r="M11741" s="1" t="s">
        <v>1</v>
      </c>
      <c r="N11741" s="1" t="s">
        <v>38</v>
      </c>
      <c r="O11741" s="1" t="s">
        <v>46</v>
      </c>
    </row>
    <row r="11742" spans="2:15" x14ac:dyDescent="0.3">
      <c r="B11742" s="1" t="s">
        <v>20</v>
      </c>
      <c r="C11742" s="1" t="str">
        <f t="shared" si="585"/>
        <v>4차</v>
      </c>
      <c r="D11742" s="1" t="str">
        <f>"9625F70141"</f>
        <v>9625F70141</v>
      </c>
      <c r="E11742" s="1" t="s">
        <v>10</v>
      </c>
      <c r="F11742" s="1" t="str">
        <f>"10.14.11.179"</f>
        <v>10.14.11.179</v>
      </c>
      <c r="G11742" s="1" t="str">
        <f>"9625F701"</f>
        <v>9625F701</v>
      </c>
      <c r="H11742" s="1" t="str">
        <f>"성산간 8R2"</f>
        <v>성산간 8R2</v>
      </c>
      <c r="I11742" s="1" t="s">
        <v>17</v>
      </c>
      <c r="J11742" s="1" t="str">
        <f>"10/14"</f>
        <v>10/14</v>
      </c>
      <c r="K11742" s="1" t="str">
        <f>"2026-07-29 13:18:11"</f>
        <v>2026-07-29 13:18:11</v>
      </c>
      <c r="L11742" s="1" t="str">
        <f>"2021-08-04 13:09:12"</f>
        <v>2021-08-04 13:09:12</v>
      </c>
      <c r="M11742" s="1" t="s">
        <v>3</v>
      </c>
      <c r="N11742" s="1" t="s">
        <v>38</v>
      </c>
      <c r="O11742" s="1" t="s">
        <v>46</v>
      </c>
    </row>
    <row r="11743" spans="2:15" x14ac:dyDescent="0.3">
      <c r="B11743" s="1" t="s">
        <v>20</v>
      </c>
      <c r="C11743" s="1" t="str">
        <f t="shared" si="585"/>
        <v>4차</v>
      </c>
      <c r="D11743" s="1" t="str">
        <f>"9625F71241"</f>
        <v>9625F71241</v>
      </c>
      <c r="E11743" s="1" t="s">
        <v>10</v>
      </c>
      <c r="F11743" s="1" t="str">
        <f>"10.14.13.111"</f>
        <v>10.14.13.111</v>
      </c>
      <c r="G11743" s="1" t="str">
        <f>"9625F712"</f>
        <v>9625F712</v>
      </c>
      <c r="H11743" s="1" t="str">
        <f>"성산간 8R3L2"</f>
        <v>성산간 8R3L2</v>
      </c>
      <c r="I11743" s="1" t="s">
        <v>17</v>
      </c>
      <c r="J11743" s="1" t="str">
        <f>"5/8"</f>
        <v>5/8</v>
      </c>
      <c r="K11743" s="1" t="str">
        <f>"2026-07-29 13:18:11"</f>
        <v>2026-07-29 13:18:11</v>
      </c>
      <c r="L11743" s="1" t="str">
        <f>"2021-08-04 14:15:30"</f>
        <v>2021-08-04 14:15:30</v>
      </c>
      <c r="M11743" s="1" t="s">
        <v>3</v>
      </c>
      <c r="N11743" s="1" t="s">
        <v>38</v>
      </c>
      <c r="O11743" s="1" t="s">
        <v>46</v>
      </c>
    </row>
    <row r="11744" spans="2:15" x14ac:dyDescent="0.3">
      <c r="B11744" s="1" t="s">
        <v>20</v>
      </c>
      <c r="C11744" s="1" t="str">
        <f t="shared" si="585"/>
        <v>4차</v>
      </c>
      <c r="D11744" s="1" t="str">
        <f>"9625F73141"</f>
        <v>9625F73141</v>
      </c>
      <c r="E11744" s="1" t="s">
        <v>10</v>
      </c>
      <c r="F11744" s="1" t="str">
        <f>"10.14.9.113"</f>
        <v>10.14.9.113</v>
      </c>
      <c r="G11744" s="1" t="str">
        <f>"9625F731"</f>
        <v>9625F731</v>
      </c>
      <c r="H11744" s="1" t="str">
        <f>"성산간 17H1"</f>
        <v>성산간 17H1</v>
      </c>
      <c r="I11744" s="1" t="s">
        <v>17</v>
      </c>
      <c r="J11744" s="1" t="str">
        <f>"64/64"</f>
        <v>64/64</v>
      </c>
      <c r="K11744" s="1" t="str">
        <f>"2026-07-29 13:18:11"</f>
        <v>2026-07-29 13:18:11</v>
      </c>
      <c r="L11744" s="1" t="str">
        <f>"2021-08-06 11:24:06"</f>
        <v>2021-08-06 11:24:06</v>
      </c>
      <c r="M11744" s="1" t="s">
        <v>3</v>
      </c>
      <c r="N11744" s="1" t="s">
        <v>38</v>
      </c>
      <c r="O11744" s="1" t="s">
        <v>46</v>
      </c>
    </row>
    <row r="11745" spans="2:15" x14ac:dyDescent="0.3">
      <c r="B11745" s="1" t="s">
        <v>20</v>
      </c>
      <c r="C11745" s="1" t="str">
        <f t="shared" si="585"/>
        <v>4차</v>
      </c>
      <c r="D11745" s="1" t="str">
        <f>"9625F74141"</f>
        <v>9625F74141</v>
      </c>
      <c r="E11745" s="1" t="s">
        <v>10</v>
      </c>
      <c r="F11745" s="1" t="str">
        <f>"10.14.6.180"</f>
        <v>10.14.6.180</v>
      </c>
      <c r="G11745" s="1" t="str">
        <f>"9625F741"</f>
        <v>9625F741</v>
      </c>
      <c r="H11745" s="1" t="str">
        <f>"성산간 21L2L4L2"</f>
        <v>성산간 21L2L4L2</v>
      </c>
      <c r="I11745" s="1" t="s">
        <v>17</v>
      </c>
      <c r="J11745" s="1" t="str">
        <f>"15/15"</f>
        <v>15/15</v>
      </c>
      <c r="K11745" s="1" t="str">
        <f>"2026-07-29 13:18:10"</f>
        <v>2026-07-29 13:18:10</v>
      </c>
      <c r="L11745" s="1" t="str">
        <f>"2021-07-13 15:59:09"</f>
        <v>2021-07-13 15:59:09</v>
      </c>
      <c r="M11745" s="1" t="s">
        <v>3</v>
      </c>
      <c r="N11745" s="1" t="s">
        <v>38</v>
      </c>
      <c r="O11745" s="1" t="s">
        <v>46</v>
      </c>
    </row>
    <row r="11746" spans="2:15" x14ac:dyDescent="0.3">
      <c r="B11746" s="1" t="s">
        <v>20</v>
      </c>
      <c r="C11746" s="1" t="str">
        <f t="shared" si="585"/>
        <v>4차</v>
      </c>
      <c r="D11746" s="1" t="str">
        <f>"9625F75144"</f>
        <v>9625F75144</v>
      </c>
      <c r="E11746" s="1" t="s">
        <v>10</v>
      </c>
      <c r="F11746" s="1" t="str">
        <f>"10.10.83.194"</f>
        <v>10.10.83.194</v>
      </c>
      <c r="G11746" s="1" t="str">
        <f>"9625F751"</f>
        <v>9625F751</v>
      </c>
      <c r="H11746" s="1" t="str">
        <f>"성산간 21L2L4"</f>
        <v>성산간 21L2L4</v>
      </c>
      <c r="I11746" s="1" t="s">
        <v>8</v>
      </c>
      <c r="J11746" s="1" t="str">
        <f>"19/19"</f>
        <v>19/19</v>
      </c>
      <c r="K11746" s="1" t="str">
        <f>"2026-07-29 13:18:10"</f>
        <v>2026-07-29 13:18:10</v>
      </c>
      <c r="L11746" s="1" t="str">
        <f>"2018-12-19 12:01:54"</f>
        <v>2018-12-19 12:01:54</v>
      </c>
      <c r="M11746" s="1" t="s">
        <v>1</v>
      </c>
      <c r="N11746" s="1" t="s">
        <v>38</v>
      </c>
      <c r="O11746" s="1" t="s">
        <v>46</v>
      </c>
    </row>
    <row r="11747" spans="2:15" x14ac:dyDescent="0.3">
      <c r="B11747" s="1" t="s">
        <v>20</v>
      </c>
      <c r="C11747" s="1" t="str">
        <f t="shared" si="585"/>
        <v>4차</v>
      </c>
      <c r="D11747" s="1" t="str">
        <f>"9625F76144"</f>
        <v>9625F76144</v>
      </c>
      <c r="E11747" s="1" t="s">
        <v>10</v>
      </c>
      <c r="F11747" s="1" t="str">
        <f>"10.10.83.34"</f>
        <v>10.10.83.34</v>
      </c>
      <c r="G11747" s="1" t="str">
        <f>"9625F761"</f>
        <v>9625F761</v>
      </c>
      <c r="H11747" s="1" t="str">
        <f>"성산간 21L2L3"</f>
        <v>성산간 21L2L3</v>
      </c>
      <c r="I11747" s="1" t="s">
        <v>8</v>
      </c>
      <c r="J11747" s="1" t="str">
        <f>"54/67"</f>
        <v>54/67</v>
      </c>
      <c r="K11747" s="1" t="str">
        <f>"2026-07-29 13:18:10"</f>
        <v>2026-07-29 13:18:10</v>
      </c>
      <c r="L11747" s="1" t="str">
        <f>"2018-12-19 11:55:24"</f>
        <v>2018-12-19 11:55:24</v>
      </c>
      <c r="M11747" s="1" t="s">
        <v>1</v>
      </c>
      <c r="N11747" s="1" t="s">
        <v>38</v>
      </c>
      <c r="O11747" s="1" t="s">
        <v>46</v>
      </c>
    </row>
    <row r="11748" spans="2:15" x14ac:dyDescent="0.3">
      <c r="B11748" s="1" t="s">
        <v>20</v>
      </c>
      <c r="C11748" s="1" t="str">
        <f>"1차"</f>
        <v>1차</v>
      </c>
      <c r="D11748" s="1" t="str">
        <f>"9625F77100"</f>
        <v>9625F77100</v>
      </c>
      <c r="E11748" s="1" t="str">
        <f>"검침실패(3시간 이상)"</f>
        <v>검침실패(3시간 이상)</v>
      </c>
      <c r="F11748" s="1" t="str">
        <f>"10.125.128.37"</f>
        <v>10.125.128.37</v>
      </c>
      <c r="G11748" s="1" t="str">
        <f>"9625F771"</f>
        <v>9625F771</v>
      </c>
      <c r="H11748" s="1" t="str">
        <f>"성산간 21L2L5R1"</f>
        <v>성산간 21L2L5R1</v>
      </c>
      <c r="I11748" s="1" t="s">
        <v>8</v>
      </c>
      <c r="J11748" s="1" t="str">
        <f>"0/29"</f>
        <v>0/29</v>
      </c>
      <c r="K11748" s="1" t="str">
        <f>"2026-07-29 13:18:10"</f>
        <v>2026-07-29 13:18:10</v>
      </c>
      <c r="L11748" s="1" t="str">
        <f>"2015-04-17 14:23:19"</f>
        <v>2015-04-17 14:23:19</v>
      </c>
      <c r="M11748" s="1" t="s">
        <v>45</v>
      </c>
      <c r="N11748" s="1" t="s">
        <v>38</v>
      </c>
      <c r="O11748" s="1" t="s">
        <v>46</v>
      </c>
    </row>
    <row r="11749" spans="2:15" x14ac:dyDescent="0.3">
      <c r="B11749" s="1" t="s">
        <v>20</v>
      </c>
      <c r="C11749" s="1" t="str">
        <f t="shared" ref="C11749:C11758" si="587">"4차"</f>
        <v>4차</v>
      </c>
      <c r="D11749" s="1" t="str">
        <f>"9625F77242"</f>
        <v>9625F77242</v>
      </c>
      <c r="E11749" s="1" t="s">
        <v>10</v>
      </c>
      <c r="F11749" s="1" t="str">
        <f>"10.12.131.5"</f>
        <v>10.12.131.5</v>
      </c>
      <c r="G11749" s="1" t="str">
        <f>"9625F772"</f>
        <v>9625F772</v>
      </c>
      <c r="H11749" s="1" t="str">
        <f>"성산간 21L2L5R2"</f>
        <v>성산간 21L2L5R2</v>
      </c>
      <c r="I11749" s="1" t="s">
        <v>8</v>
      </c>
      <c r="J11749" s="1" t="str">
        <f>"44/54"</f>
        <v>44/54</v>
      </c>
      <c r="K11749" s="1" t="str">
        <f>"2026-07-29 13:18:12"</f>
        <v>2026-07-29 13:18:12</v>
      </c>
      <c r="L11749" s="1" t="str">
        <f>"2024-12-18 17:06:22"</f>
        <v>2024-12-18 17:06:22</v>
      </c>
      <c r="M11749" s="1" t="s">
        <v>0</v>
      </c>
      <c r="N11749" s="1" t="s">
        <v>38</v>
      </c>
      <c r="O11749" s="1" t="s">
        <v>46</v>
      </c>
    </row>
    <row r="11750" spans="2:15" x14ac:dyDescent="0.3">
      <c r="B11750" s="1" t="s">
        <v>20</v>
      </c>
      <c r="C11750" s="1" t="str">
        <f t="shared" si="587"/>
        <v>4차</v>
      </c>
      <c r="D11750" s="1" t="str">
        <f>"9625F79144"</f>
        <v>9625F79144</v>
      </c>
      <c r="E11750" s="1" t="s">
        <v>10</v>
      </c>
      <c r="F11750" s="1" t="str">
        <f>"10.10.90.226"</f>
        <v>10.10.90.226</v>
      </c>
      <c r="G11750" s="1" t="str">
        <f>"9625F791"</f>
        <v>9625F791</v>
      </c>
      <c r="H11750" s="1" t="str">
        <f>"성산간 21L4"</f>
        <v>성산간 21L4</v>
      </c>
      <c r="I11750" s="1" t="s">
        <v>8</v>
      </c>
      <c r="J11750" s="1" t="str">
        <f>"67/69"</f>
        <v>67/69</v>
      </c>
      <c r="K11750" s="1" t="str">
        <f>"2026-07-29 13:18:10"</f>
        <v>2026-07-29 13:18:10</v>
      </c>
      <c r="L11750" s="1" t="str">
        <f>"2019-12-12 01:54:16"</f>
        <v>2019-12-12 01:54:16</v>
      </c>
      <c r="M11750" s="1" t="s">
        <v>1</v>
      </c>
      <c r="N11750" s="1" t="s">
        <v>38</v>
      </c>
      <c r="O11750" s="1" t="s">
        <v>46</v>
      </c>
    </row>
    <row r="11751" spans="2:15" x14ac:dyDescent="0.3">
      <c r="B11751" s="1" t="s">
        <v>20</v>
      </c>
      <c r="C11751" s="1" t="str">
        <f t="shared" si="587"/>
        <v>4차</v>
      </c>
      <c r="D11751" s="1" t="str">
        <f>"9625F79244"</f>
        <v>9625F79244</v>
      </c>
      <c r="E11751" s="1" t="s">
        <v>10</v>
      </c>
      <c r="F11751" s="1" t="str">
        <f>"10.10.108.178"</f>
        <v>10.10.108.178</v>
      </c>
      <c r="G11751" s="1" t="str">
        <f>"9625F792"</f>
        <v>9625F792</v>
      </c>
      <c r="H11751" s="1" t="str">
        <f>"성산간 21L5"</f>
        <v>성산간 21L5</v>
      </c>
      <c r="I11751" s="1" t="s">
        <v>8</v>
      </c>
      <c r="J11751" s="1" t="str">
        <f>"13/13"</f>
        <v>13/13</v>
      </c>
      <c r="K11751" s="1" t="str">
        <f>"2026-07-29 13:18:10"</f>
        <v>2026-07-29 13:18:10</v>
      </c>
      <c r="L11751" s="1" t="str">
        <f>"2019-10-14 15:20:59"</f>
        <v>2019-10-14 15:20:59</v>
      </c>
      <c r="M11751" s="1" t="s">
        <v>1</v>
      </c>
      <c r="N11751" s="1" t="s">
        <v>38</v>
      </c>
      <c r="O11751" s="1" t="s">
        <v>46</v>
      </c>
    </row>
    <row r="11752" spans="2:15" x14ac:dyDescent="0.3">
      <c r="B11752" s="1" t="s">
        <v>20</v>
      </c>
      <c r="C11752" s="1" t="str">
        <f t="shared" si="587"/>
        <v>4차</v>
      </c>
      <c r="D11752" s="1" t="str">
        <f>"9625F81141"</f>
        <v>9625F81141</v>
      </c>
      <c r="E11752" s="1" t="s">
        <v>10</v>
      </c>
      <c r="F11752" s="1" t="str">
        <f>"10.14.12.47"</f>
        <v>10.14.12.47</v>
      </c>
      <c r="G11752" s="1" t="str">
        <f>"9625F811"</f>
        <v>9625F811</v>
      </c>
      <c r="H11752" s="1" t="str">
        <f>"성산간 8R4"</f>
        <v>성산간 8R4</v>
      </c>
      <c r="I11752" s="1" t="s">
        <v>17</v>
      </c>
      <c r="J11752" s="1" t="str">
        <f>"34/34"</f>
        <v>34/34</v>
      </c>
      <c r="K11752" s="1" t="str">
        <f>"2026-07-29 13:18:11"</f>
        <v>2026-07-29 13:18:11</v>
      </c>
      <c r="L11752" s="1" t="str">
        <f>"2021-08-04 10:58:55"</f>
        <v>2021-08-04 10:58:55</v>
      </c>
      <c r="M11752" s="1" t="s">
        <v>3</v>
      </c>
      <c r="N11752" s="1" t="s">
        <v>38</v>
      </c>
      <c r="O11752" s="1" t="s">
        <v>46</v>
      </c>
    </row>
    <row r="11753" spans="2:15" x14ac:dyDescent="0.3">
      <c r="B11753" s="1" t="s">
        <v>20</v>
      </c>
      <c r="C11753" s="1" t="str">
        <f t="shared" si="587"/>
        <v>4차</v>
      </c>
      <c r="D11753" s="1" t="str">
        <f>"9625F88342"</f>
        <v>9625F88342</v>
      </c>
      <c r="E11753" s="1" t="s">
        <v>10</v>
      </c>
      <c r="F11753" s="1" t="str">
        <f>"10.12.131.99"</f>
        <v>10.12.131.99</v>
      </c>
      <c r="G11753" s="1" t="str">
        <f>"9625F883"</f>
        <v>9625F883</v>
      </c>
      <c r="H11753" s="1" t="str">
        <f>"성산간 32L4"</f>
        <v>성산간 32L4</v>
      </c>
      <c r="I11753" s="1" t="s">
        <v>8</v>
      </c>
      <c r="J11753" s="1" t="str">
        <f>"24/24"</f>
        <v>24/24</v>
      </c>
      <c r="K11753" s="1" t="str">
        <f>"2026-07-29 13:18:11"</f>
        <v>2026-07-29 13:18:11</v>
      </c>
      <c r="L11753" s="1" t="str">
        <f>"2024-12-18 17:43:22"</f>
        <v>2024-12-18 17:43:22</v>
      </c>
      <c r="M11753" s="1" t="s">
        <v>0</v>
      </c>
      <c r="N11753" s="1" t="s">
        <v>38</v>
      </c>
      <c r="O11753" s="1" t="s">
        <v>46</v>
      </c>
    </row>
    <row r="11754" spans="2:15" x14ac:dyDescent="0.3">
      <c r="B11754" s="1" t="s">
        <v>20</v>
      </c>
      <c r="C11754" s="1" t="str">
        <f t="shared" si="587"/>
        <v>4차</v>
      </c>
      <c r="D11754" s="1" t="str">
        <f>"9625F91341"</f>
        <v>9625F91341</v>
      </c>
      <c r="E11754" s="1" t="s">
        <v>10</v>
      </c>
      <c r="F11754" s="1" t="str">
        <f>"10.14.8.112"</f>
        <v>10.14.8.112</v>
      </c>
      <c r="G11754" s="1" t="str">
        <f>"9625F913"</f>
        <v>9625F913</v>
      </c>
      <c r="H11754" s="1" t="str">
        <f>"성산간 8R5"</f>
        <v>성산간 8R5</v>
      </c>
      <c r="I11754" s="1" t="s">
        <v>17</v>
      </c>
      <c r="J11754" s="1" t="str">
        <f>"35/35"</f>
        <v>35/35</v>
      </c>
      <c r="K11754" s="1" t="str">
        <f>"2026-07-29 07:18:11"</f>
        <v>2026-07-29 07:18:11</v>
      </c>
      <c r="L11754" s="1" t="str">
        <f>"2021-08-11 15:13:29"</f>
        <v>2021-08-11 15:13:29</v>
      </c>
      <c r="M11754" s="1" t="s">
        <v>3</v>
      </c>
      <c r="N11754" s="1" t="s">
        <v>38</v>
      </c>
      <c r="O11754" s="1" t="s">
        <v>46</v>
      </c>
    </row>
    <row r="11755" spans="2:15" x14ac:dyDescent="0.3">
      <c r="B11755" s="1" t="s">
        <v>20</v>
      </c>
      <c r="C11755" s="1" t="str">
        <f t="shared" si="587"/>
        <v>4차</v>
      </c>
      <c r="D11755" s="1" t="str">
        <f>"9625F92141"</f>
        <v>9625F92141</v>
      </c>
      <c r="E11755" s="1" t="s">
        <v>10</v>
      </c>
      <c r="F11755" s="1" t="str">
        <f>"10.14.14.115"</f>
        <v>10.14.14.115</v>
      </c>
      <c r="G11755" s="1" t="str">
        <f>"9625F921"</f>
        <v>9625F921</v>
      </c>
      <c r="H11755" s="1" t="str">
        <f>"성산간 8R6"</f>
        <v>성산간 8R6</v>
      </c>
      <c r="I11755" s="1" t="s">
        <v>17</v>
      </c>
      <c r="J11755" s="1" t="str">
        <f>"8/8"</f>
        <v>8/8</v>
      </c>
      <c r="K11755" s="1" t="str">
        <f>"2026-07-29 13:18:11"</f>
        <v>2026-07-29 13:18:11</v>
      </c>
      <c r="L11755" s="1" t="str">
        <f>"2021-08-05 07:31:34"</f>
        <v>2021-08-05 07:31:34</v>
      </c>
      <c r="M11755" s="1" t="s">
        <v>3</v>
      </c>
      <c r="N11755" s="1" t="s">
        <v>38</v>
      </c>
      <c r="O11755" s="1" t="s">
        <v>46</v>
      </c>
    </row>
    <row r="11756" spans="2:15" x14ac:dyDescent="0.3">
      <c r="B11756" s="1" t="s">
        <v>20</v>
      </c>
      <c r="C11756" s="1" t="str">
        <f t="shared" si="587"/>
        <v>4차</v>
      </c>
      <c r="D11756" s="1" t="str">
        <f>"9625F92241"</f>
        <v>9625F92241</v>
      </c>
      <c r="E11756" s="1" t="s">
        <v>10</v>
      </c>
      <c r="F11756" s="1" t="str">
        <f>"10.14.11.114"</f>
        <v>10.14.11.114</v>
      </c>
      <c r="G11756" s="1" t="str">
        <f>"9625F922"</f>
        <v>9625F922</v>
      </c>
      <c r="H11756" s="1" t="str">
        <f>"성산간 8R6L1H1"</f>
        <v>성산간 8R6L1H1</v>
      </c>
      <c r="I11756" s="1" t="s">
        <v>17</v>
      </c>
      <c r="J11756" s="1" t="str">
        <f>"7/7"</f>
        <v>7/7</v>
      </c>
      <c r="K11756" s="1" t="str">
        <f>"2026-07-29 13:18:11"</f>
        <v>2026-07-29 13:18:11</v>
      </c>
      <c r="L11756" s="1" t="str">
        <f>"2021-08-05 06:45:51"</f>
        <v>2021-08-05 06:45:51</v>
      </c>
      <c r="M11756" s="1" t="s">
        <v>3</v>
      </c>
      <c r="N11756" s="1" t="s">
        <v>38</v>
      </c>
      <c r="O11756" s="1" t="s">
        <v>46</v>
      </c>
    </row>
    <row r="11757" spans="2:15" x14ac:dyDescent="0.3">
      <c r="B11757" s="1" t="s">
        <v>20</v>
      </c>
      <c r="C11757" s="1" t="str">
        <f t="shared" si="587"/>
        <v>4차</v>
      </c>
      <c r="D11757" s="1" t="str">
        <f>"9625F93141"</f>
        <v>9625F93141</v>
      </c>
      <c r="E11757" s="1" t="s">
        <v>10</v>
      </c>
      <c r="F11757" s="1" t="str">
        <f>"10.14.3.182"</f>
        <v>10.14.3.182</v>
      </c>
      <c r="G11757" s="1" t="str">
        <f>"9625F931"</f>
        <v>9625F931</v>
      </c>
      <c r="H11757" s="1" t="str">
        <f>"성산간 8R6L1"</f>
        <v>성산간 8R6L1</v>
      </c>
      <c r="I11757" s="1" t="s">
        <v>17</v>
      </c>
      <c r="J11757" s="1" t="str">
        <f>"17/17"</f>
        <v>17/17</v>
      </c>
      <c r="K11757" s="1" t="str">
        <f>"2026-07-29 13:18:11"</f>
        <v>2026-07-29 13:18:11</v>
      </c>
      <c r="L11757" s="1" t="str">
        <f>"2021-08-04 15:05:18"</f>
        <v>2021-08-04 15:05:18</v>
      </c>
      <c r="M11757" s="1" t="s">
        <v>3</v>
      </c>
      <c r="N11757" s="1" t="s">
        <v>38</v>
      </c>
      <c r="O11757" s="1" t="s">
        <v>46</v>
      </c>
    </row>
    <row r="11758" spans="2:15" x14ac:dyDescent="0.3">
      <c r="B11758" s="1" t="s">
        <v>20</v>
      </c>
      <c r="C11758" s="1" t="str">
        <f t="shared" si="587"/>
        <v>4차</v>
      </c>
      <c r="D11758" s="1" t="str">
        <f>"9625F94141"</f>
        <v>9625F94141</v>
      </c>
      <c r="E11758" s="1" t="s">
        <v>10</v>
      </c>
      <c r="F11758" s="1" t="str">
        <f>"10.14.15.177"</f>
        <v>10.14.15.177</v>
      </c>
      <c r="G11758" s="1" t="str">
        <f>"9625F941"</f>
        <v>9625F941</v>
      </c>
      <c r="H11758" s="1" t="str">
        <f>"성산간 8R6L3"</f>
        <v>성산간 8R6L3</v>
      </c>
      <c r="I11758" s="1" t="s">
        <v>17</v>
      </c>
      <c r="J11758" s="1" t="str">
        <f>"26/31"</f>
        <v>26/31</v>
      </c>
      <c r="K11758" s="1" t="str">
        <f>"2026-07-29 13:18:11"</f>
        <v>2026-07-29 13:18:11</v>
      </c>
      <c r="L11758" s="1" t="str">
        <f>"2021-08-05 11:08:27"</f>
        <v>2021-08-05 11:08:27</v>
      </c>
      <c r="M11758" s="1" t="s">
        <v>3</v>
      </c>
      <c r="N11758" s="1" t="s">
        <v>38</v>
      </c>
      <c r="O11758" s="1" t="s">
        <v>46</v>
      </c>
    </row>
    <row r="11759" spans="2:15" x14ac:dyDescent="0.3">
      <c r="B11759" s="1" t="s">
        <v>20</v>
      </c>
      <c r="C11759" s="1" t="str">
        <f>"5-1차"</f>
        <v>5-1차</v>
      </c>
      <c r="D11759" s="1" t="str">
        <f>"9625F9525M"</f>
        <v>9625F9525M</v>
      </c>
      <c r="E11759" s="1" t="s">
        <v>10</v>
      </c>
      <c r="F11759" s="1" t="str">
        <f>"fde3:102:1300:3b00:0:0:0:2"</f>
        <v>fde3:102:1300:3b00:0:0:0:2</v>
      </c>
      <c r="G11759" s="1" t="str">
        <f>"9625F952"</f>
        <v>9625F952</v>
      </c>
      <c r="H11759" s="1" t="str">
        <f>"성산간 20"</f>
        <v>성산간 20</v>
      </c>
      <c r="I11759" s="1" t="s">
        <v>15</v>
      </c>
      <c r="J11759" s="1" t="str">
        <f>"12/15"</f>
        <v>12/15</v>
      </c>
      <c r="K11759" s="1" t="str">
        <f>"2026-07-29 14:21:19"</f>
        <v>2026-07-29 14:21:19</v>
      </c>
      <c r="L11759" s="1" t="str">
        <f>"2022-12-15 10:40:51"</f>
        <v>2022-12-15 10:40:51</v>
      </c>
      <c r="M11759" s="1" t="s">
        <v>45</v>
      </c>
      <c r="N11759" s="1" t="s">
        <v>38</v>
      </c>
      <c r="O11759" s="1" t="s">
        <v>46</v>
      </c>
    </row>
    <row r="11760" spans="2:15" x14ac:dyDescent="0.3">
      <c r="B11760" s="1" t="s">
        <v>20</v>
      </c>
      <c r="C11760" s="1" t="str">
        <f>"3차"</f>
        <v>3차</v>
      </c>
      <c r="D11760" s="1" t="str">
        <f>"9625F97139"</f>
        <v>9625F97139</v>
      </c>
      <c r="E11760" s="1" t="s">
        <v>10</v>
      </c>
      <c r="F11760" s="1" t="str">
        <f>"10.125.195.74"</f>
        <v>10.125.195.74</v>
      </c>
      <c r="G11760" s="1" t="str">
        <f>"9625F971"</f>
        <v>9625F971</v>
      </c>
      <c r="H11760" s="1" t="str">
        <f>"성산간 21L2"</f>
        <v>성산간 21L2</v>
      </c>
      <c r="I11760" s="1" t="s">
        <v>8</v>
      </c>
      <c r="J11760" s="1" t="str">
        <f>"66/74"</f>
        <v>66/74</v>
      </c>
      <c r="K11760" s="1" t="str">
        <f>"2026-07-29 13:18:10"</f>
        <v>2026-07-29 13:18:10</v>
      </c>
      <c r="L11760" s="1" t="str">
        <f>"2018-09-28 14:53:27"</f>
        <v>2018-09-28 14:53:27</v>
      </c>
      <c r="M11760" s="1" t="s">
        <v>45</v>
      </c>
      <c r="N11760" s="1" t="s">
        <v>38</v>
      </c>
      <c r="O11760" s="1" t="s">
        <v>46</v>
      </c>
    </row>
    <row r="11761" spans="2:15" x14ac:dyDescent="0.3">
      <c r="B11761" s="1" t="s">
        <v>20</v>
      </c>
      <c r="C11761" s="1" t="str">
        <f>"1차"</f>
        <v>1차</v>
      </c>
      <c r="D11761" s="1" t="str">
        <f>"9625F97400"</f>
        <v>9625F97400</v>
      </c>
      <c r="E11761" s="1" t="s">
        <v>10</v>
      </c>
      <c r="F11761" s="1" t="str">
        <f>"10.125.129.31"</f>
        <v>10.125.129.31</v>
      </c>
      <c r="G11761" s="1" t="str">
        <f>"9625F974"</f>
        <v>9625F974</v>
      </c>
      <c r="H11761" s="1" t="str">
        <f>"성산간 21L2H1"</f>
        <v>성산간 21L2H1</v>
      </c>
      <c r="I11761" s="1" t="s">
        <v>8</v>
      </c>
      <c r="J11761" s="1" t="str">
        <f>"48/49"</f>
        <v>48/49</v>
      </c>
      <c r="K11761" s="1" t="str">
        <f>"2026-07-29 13:18:10"</f>
        <v>2026-07-29 13:18:10</v>
      </c>
      <c r="L11761" s="1" t="str">
        <f>"2015-02-13 12:52:32"</f>
        <v>2015-02-13 12:52:32</v>
      </c>
      <c r="M11761" s="1" t="s">
        <v>45</v>
      </c>
      <c r="N11761" s="1" t="s">
        <v>38</v>
      </c>
      <c r="O11761" s="1" t="s">
        <v>46</v>
      </c>
    </row>
    <row r="11762" spans="2:15" x14ac:dyDescent="0.3">
      <c r="B11762" s="1" t="s">
        <v>20</v>
      </c>
      <c r="C11762" s="1" t="str">
        <f>"4차"</f>
        <v>4차</v>
      </c>
      <c r="D11762" s="1" t="str">
        <f>"9625F99244"</f>
        <v>9625F99244</v>
      </c>
      <c r="E11762" s="1" t="s">
        <v>10</v>
      </c>
      <c r="F11762" s="1" t="str">
        <f>"10.10.85.242"</f>
        <v>10.10.85.242</v>
      </c>
      <c r="G11762" s="1" t="str">
        <f>"9625F992"</f>
        <v>9625F992</v>
      </c>
      <c r="H11762" s="1" t="str">
        <f>"성산간 32L3"</f>
        <v>성산간 32L3</v>
      </c>
      <c r="I11762" s="1" t="s">
        <v>8</v>
      </c>
      <c r="J11762" s="1" t="str">
        <f>"87/87"</f>
        <v>87/87</v>
      </c>
      <c r="K11762" s="1" t="str">
        <f>"2026-07-29 13:18:10"</f>
        <v>2026-07-29 13:18:10</v>
      </c>
      <c r="L11762" s="1" t="str">
        <f>"2019-10-14 16:31:05"</f>
        <v>2019-10-14 16:31:05</v>
      </c>
      <c r="M11762" s="1" t="s">
        <v>1</v>
      </c>
      <c r="N11762" s="1" t="s">
        <v>38</v>
      </c>
      <c r="O11762" s="1" t="s">
        <v>46</v>
      </c>
    </row>
    <row r="11763" spans="2:15" x14ac:dyDescent="0.3">
      <c r="B11763" s="1" t="s">
        <v>20</v>
      </c>
      <c r="C11763" s="1" t="str">
        <f>"5-2차"</f>
        <v>5-2차</v>
      </c>
      <c r="D11763" s="1" t="str">
        <f>"9625G0025S"</f>
        <v>9625G0025S</v>
      </c>
      <c r="E11763" s="1" t="s">
        <v>10</v>
      </c>
      <c r="F11763" s="1" t="str">
        <f>"fde3:102:1300:2a01:0:0:0:2"</f>
        <v>fde3:102:1300:2a01:0:0:0:2</v>
      </c>
      <c r="G11763" s="1" t="str">
        <f>"9625G002"</f>
        <v>9625G002</v>
      </c>
      <c r="H11763" s="1" t="str">
        <f>"합정지 33R5R1"</f>
        <v>합정지 33R5R1</v>
      </c>
      <c r="I11763" s="1" t="s">
        <v>15</v>
      </c>
      <c r="J11763" s="1" t="str">
        <f>"38/38"</f>
        <v>38/38</v>
      </c>
      <c r="K11763" s="1" t="str">
        <f>"2026-07-29 14:20:52"</f>
        <v>2026-07-29 14:20:52</v>
      </c>
      <c r="L11763" s="1" t="str">
        <f>"2023-09-21 14:03:28"</f>
        <v>2023-09-21 14:03:28</v>
      </c>
      <c r="M11763" s="1" t="s">
        <v>45</v>
      </c>
      <c r="N11763" s="1" t="s">
        <v>38</v>
      </c>
      <c r="O11763" s="1" t="s">
        <v>46</v>
      </c>
    </row>
    <row r="11764" spans="2:15" x14ac:dyDescent="0.3">
      <c r="B11764" s="1" t="s">
        <v>20</v>
      </c>
      <c r="C11764" s="1" t="str">
        <f>"5-2차"</f>
        <v>5-2차</v>
      </c>
      <c r="D11764" s="1" t="str">
        <f>"9625G0125M"</f>
        <v>9625G0125M</v>
      </c>
      <c r="E11764" s="1" t="s">
        <v>10</v>
      </c>
      <c r="F11764" s="1" t="str">
        <f>"fde3:102:1300:2500:0:0:0:2"</f>
        <v>fde3:102:1300:2500:0:0:0:2</v>
      </c>
      <c r="G11764" s="1" t="str">
        <f>"9625G012"</f>
        <v>9625G012</v>
      </c>
      <c r="H11764" s="1" t="str">
        <f>"합정지 33R4"</f>
        <v>합정지 33R4</v>
      </c>
      <c r="I11764" s="1" t="s">
        <v>15</v>
      </c>
      <c r="J11764" s="1" t="str">
        <f>"60/60"</f>
        <v>60/60</v>
      </c>
      <c r="K11764" s="1" t="str">
        <f>"2026-07-29 14:20:53"</f>
        <v>2026-07-29 14:20:53</v>
      </c>
      <c r="L11764" s="1" t="str">
        <f>"2023-09-04 11:01:40"</f>
        <v>2023-09-04 11:01:40</v>
      </c>
      <c r="M11764" s="1" t="s">
        <v>45</v>
      </c>
      <c r="N11764" s="1" t="s">
        <v>38</v>
      </c>
      <c r="O11764" s="1" t="s">
        <v>46</v>
      </c>
    </row>
    <row r="11765" spans="2:15" x14ac:dyDescent="0.3">
      <c r="B11765" s="1" t="s">
        <v>20</v>
      </c>
      <c r="C11765" s="1" t="str">
        <f>"5-2차"</f>
        <v>5-2차</v>
      </c>
      <c r="D11765" s="1" t="str">
        <f>"9625G0215M"</f>
        <v>9625G0215M</v>
      </c>
      <c r="E11765" s="1" t="s">
        <v>10</v>
      </c>
      <c r="F11765" s="1" t="str">
        <f>"fde1:103:4:55ea:0:0:0:2"</f>
        <v>fde1:103:4:55ea:0:0:0:2</v>
      </c>
      <c r="G11765" s="1" t="str">
        <f>"9625G021"</f>
        <v>9625G021</v>
      </c>
      <c r="H11765" s="1" t="str">
        <f>"합정지 33R2"</f>
        <v>합정지 33R2</v>
      </c>
      <c r="I11765" s="1" t="s">
        <v>15</v>
      </c>
      <c r="J11765" s="1" t="str">
        <f>"72/77"</f>
        <v>72/77</v>
      </c>
      <c r="K11765" s="1" t="str">
        <f>"2026-07-29 14:21:19"</f>
        <v>2026-07-29 14:21:19</v>
      </c>
      <c r="L11765" s="1" t="str">
        <f>"2023-08-16 13:27:21"</f>
        <v>2023-08-16 13:27:21</v>
      </c>
      <c r="M11765" s="1" t="s">
        <v>4</v>
      </c>
      <c r="N11765" s="1" t="s">
        <v>38</v>
      </c>
      <c r="O11765" s="1" t="s">
        <v>46</v>
      </c>
    </row>
    <row r="11766" spans="2:15" x14ac:dyDescent="0.3">
      <c r="B11766" s="1" t="s">
        <v>20</v>
      </c>
      <c r="C11766" s="1" t="str">
        <f>"5-1차"</f>
        <v>5-1차</v>
      </c>
      <c r="D11766" s="1" t="str">
        <f>"9625G0325M"</f>
        <v>9625G0325M</v>
      </c>
      <c r="E11766" s="1" t="s">
        <v>10</v>
      </c>
      <c r="F11766" s="1" t="str">
        <f>"fde3:102:1300:2f01:0:0:0:2"</f>
        <v>fde3:102:1300:2f01:0:0:0:2</v>
      </c>
      <c r="G11766" s="1" t="str">
        <f>"9625G032"</f>
        <v>9625G032</v>
      </c>
      <c r="H11766" s="1" t="str">
        <f>"합정지 32L1R1"</f>
        <v>합정지 32L1R1</v>
      </c>
      <c r="I11766" s="1" t="s">
        <v>15</v>
      </c>
      <c r="J11766" s="1" t="str">
        <f>"34/34"</f>
        <v>34/34</v>
      </c>
      <c r="K11766" s="1" t="str">
        <f>"2026-07-29 14:21:19"</f>
        <v>2026-07-29 14:21:19</v>
      </c>
      <c r="L11766" s="1" t="str">
        <f>"2022-11-23 18:22:41"</f>
        <v>2022-11-23 18:22:41</v>
      </c>
      <c r="M11766" s="1" t="s">
        <v>45</v>
      </c>
      <c r="N11766" s="1" t="s">
        <v>38</v>
      </c>
      <c r="O11766" s="1" t="s">
        <v>46</v>
      </c>
    </row>
    <row r="11767" spans="2:15" x14ac:dyDescent="0.3">
      <c r="B11767" s="1" t="s">
        <v>20</v>
      </c>
      <c r="C11767" s="1" t="str">
        <f>"5-2차"</f>
        <v>5-2차</v>
      </c>
      <c r="D11767" s="1" t="str">
        <f>"9625G0525M"</f>
        <v>9625G0525M</v>
      </c>
      <c r="E11767" s="1" t="s">
        <v>10</v>
      </c>
      <c r="F11767" s="1" t="str">
        <f>"fde3:102:1300:2f11:0:0:0:2"</f>
        <v>fde3:102:1300:2f11:0:0:0:2</v>
      </c>
      <c r="G11767" s="1" t="str">
        <f>"9625G052"</f>
        <v>9625G052</v>
      </c>
      <c r="H11767" s="1" t="str">
        <f>"합정지 32L1R5"</f>
        <v>합정지 32L1R5</v>
      </c>
      <c r="I11767" s="1" t="s">
        <v>15</v>
      </c>
      <c r="J11767" s="1" t="str">
        <f>"47/47"</f>
        <v>47/47</v>
      </c>
      <c r="K11767" s="1" t="str">
        <f>"2026-07-29 14:21:19"</f>
        <v>2026-07-29 14:21:19</v>
      </c>
      <c r="L11767" s="1" t="str">
        <f>"2023-11-23 11:47:44"</f>
        <v>2023-11-23 11:47:44</v>
      </c>
      <c r="M11767" s="1" t="s">
        <v>45</v>
      </c>
      <c r="N11767" s="1" t="s">
        <v>38</v>
      </c>
      <c r="O11767" s="1" t="s">
        <v>46</v>
      </c>
    </row>
    <row r="11768" spans="2:15" x14ac:dyDescent="0.3">
      <c r="B11768" s="1" t="s">
        <v>20</v>
      </c>
      <c r="C11768" s="1" t="str">
        <f>"5-2차"</f>
        <v>5-2차</v>
      </c>
      <c r="D11768" s="1" t="str">
        <f>"9625G0555S"</f>
        <v>9625G0555S</v>
      </c>
      <c r="E11768" s="1" t="s">
        <v>10</v>
      </c>
      <c r="F11768" s="1" t="str">
        <f>"fde1:103:4:56b9:0:0:0:2"</f>
        <v>fde1:103:4:56b9:0:0:0:2</v>
      </c>
      <c r="G11768" s="1" t="str">
        <f>"9625G055"</f>
        <v>9625G055</v>
      </c>
      <c r="H11768" s="1" t="str">
        <f>"합정지 32L8R3"</f>
        <v>합정지 32L8R3</v>
      </c>
      <c r="I11768" s="1" t="s">
        <v>15</v>
      </c>
      <c r="J11768" s="1" t="str">
        <f>"98/98"</f>
        <v>98/98</v>
      </c>
      <c r="K11768" s="1" t="str">
        <f>"2026-07-29 14:21:40"</f>
        <v>2026-07-29 14:21:40</v>
      </c>
      <c r="L11768" s="1" t="str">
        <f>"2023-08-30 15:02:06"</f>
        <v>2023-08-30 15:02:06</v>
      </c>
      <c r="M11768" s="1" t="s">
        <v>4</v>
      </c>
      <c r="N11768" s="1" t="s">
        <v>38</v>
      </c>
      <c r="O11768" s="1" t="s">
        <v>46</v>
      </c>
    </row>
    <row r="11769" spans="2:15" x14ac:dyDescent="0.3">
      <c r="B11769" s="1" t="s">
        <v>20</v>
      </c>
      <c r="C11769" s="1" t="str">
        <f>"5-2차"</f>
        <v>5-2차</v>
      </c>
      <c r="D11769" s="1" t="str">
        <f>"9625G0815M"</f>
        <v>9625G0815M</v>
      </c>
      <c r="E11769" s="1" t="s">
        <v>10</v>
      </c>
      <c r="F11769" s="1" t="str">
        <f>"fde1:103:4:561f:0:0:0:2"</f>
        <v>fde1:103:4:561f:0:0:0:2</v>
      </c>
      <c r="G11769" s="1" t="str">
        <f>"9625G081"</f>
        <v>9625G081</v>
      </c>
      <c r="H11769" s="1" t="str">
        <f>"합원간 18"</f>
        <v>합원간 18</v>
      </c>
      <c r="I11769" s="1" t="s">
        <v>15</v>
      </c>
      <c r="J11769" s="1" t="str">
        <f>"61/64"</f>
        <v>61/64</v>
      </c>
      <c r="K11769" s="1" t="str">
        <f>"2026-07-29 14:20:58"</f>
        <v>2026-07-29 14:20:58</v>
      </c>
      <c r="L11769" s="1" t="str">
        <f>"2023-08-16 13:30:22"</f>
        <v>2023-08-16 13:30:22</v>
      </c>
      <c r="M11769" s="1" t="s">
        <v>4</v>
      </c>
      <c r="N11769" s="1" t="s">
        <v>38</v>
      </c>
      <c r="O11769" s="1" t="s">
        <v>46</v>
      </c>
    </row>
    <row r="11770" spans="2:15" x14ac:dyDescent="0.3">
      <c r="B11770" s="1" t="s">
        <v>20</v>
      </c>
      <c r="C11770" s="1" t="str">
        <f>"4차"</f>
        <v>4차</v>
      </c>
      <c r="D11770" s="1" t="str">
        <f>"9625G09144"</f>
        <v>9625G09144</v>
      </c>
      <c r="E11770" s="1" t="s">
        <v>10</v>
      </c>
      <c r="F11770" s="1" t="str">
        <f>"10.10.139.234"</f>
        <v>10.10.139.234</v>
      </c>
      <c r="G11770" s="1" t="str">
        <f>"9625G091"</f>
        <v>9625G091</v>
      </c>
      <c r="H11770" s="1" t="str">
        <f>"합원간 19"</f>
        <v>합원간 19</v>
      </c>
      <c r="I11770" s="1" t="s">
        <v>8</v>
      </c>
      <c r="J11770" s="1" t="str">
        <f>"38/48"</f>
        <v>38/48</v>
      </c>
      <c r="K11770" s="1" t="str">
        <f>"2026-07-29 13:18:10"</f>
        <v>2026-07-29 13:18:10</v>
      </c>
      <c r="L11770" s="1" t="str">
        <f>"2020-02-10 18:40:16"</f>
        <v>2020-02-10 18:40:16</v>
      </c>
      <c r="M11770" s="1" t="s">
        <v>1</v>
      </c>
      <c r="N11770" s="1" t="s">
        <v>38</v>
      </c>
      <c r="O11770" s="1" t="s">
        <v>46</v>
      </c>
    </row>
    <row r="11771" spans="2:15" x14ac:dyDescent="0.3">
      <c r="B11771" s="1" t="s">
        <v>20</v>
      </c>
      <c r="C11771" s="1" t="str">
        <f>"4차"</f>
        <v>4차</v>
      </c>
      <c r="D11771" s="1" t="str">
        <f>"9625G16145"</f>
        <v>9625G16145</v>
      </c>
      <c r="E11771" s="1" t="s">
        <v>10</v>
      </c>
      <c r="F11771" s="1" t="str">
        <f>"10.14.10.66"</f>
        <v>10.14.10.66</v>
      </c>
      <c r="G11771" s="1" t="str">
        <f>"9625G161"</f>
        <v>9625G161</v>
      </c>
      <c r="H11771" s="1" t="str">
        <f>"합정로 5"</f>
        <v>합정로 5</v>
      </c>
      <c r="I11771" s="1" t="s">
        <v>17</v>
      </c>
      <c r="J11771" s="1" t="str">
        <f>"9/9"</f>
        <v>9/9</v>
      </c>
      <c r="K11771" s="1" t="str">
        <f>"2026-07-29 13:18:12"</f>
        <v>2026-07-29 13:18:12</v>
      </c>
      <c r="L11771" s="1" t="str">
        <f>"2021-06-14 14:22:35"</f>
        <v>2021-06-14 14:22:35</v>
      </c>
      <c r="M11771" s="1" t="s">
        <v>3</v>
      </c>
      <c r="N11771" s="1" t="s">
        <v>38</v>
      </c>
      <c r="O11771" s="1" t="s">
        <v>46</v>
      </c>
    </row>
    <row r="11772" spans="2:15" x14ac:dyDescent="0.3">
      <c r="B11772" s="1" t="s">
        <v>20</v>
      </c>
      <c r="C11772" s="1" t="str">
        <f>"4차"</f>
        <v>4차</v>
      </c>
      <c r="D11772" s="1" t="str">
        <f>"9625G17139"</f>
        <v>9625G17139</v>
      </c>
      <c r="E11772" s="1" t="s">
        <v>10</v>
      </c>
      <c r="F11772" s="1" t="str">
        <f>"10.14.6.60"</f>
        <v>10.14.6.60</v>
      </c>
      <c r="G11772" s="1" t="str">
        <f>"9625G171"</f>
        <v>9625G171</v>
      </c>
      <c r="H11772" s="1" t="str">
        <f>"합정로 20"</f>
        <v>합정로 20</v>
      </c>
      <c r="I11772" s="1" t="s">
        <v>17</v>
      </c>
      <c r="J11772" s="1" t="str">
        <f>"19/19"</f>
        <v>19/19</v>
      </c>
      <c r="K11772" s="1" t="str">
        <f>"2026-07-29 13:18:11"</f>
        <v>2026-07-29 13:18:11</v>
      </c>
      <c r="L11772" s="1" t="str">
        <f>"2018-10-15 13:31:42"</f>
        <v>2018-10-15 13:31:42</v>
      </c>
      <c r="M11772" s="1" t="s">
        <v>3</v>
      </c>
      <c r="N11772" s="1" t="s">
        <v>38</v>
      </c>
      <c r="O11772" s="1" t="s">
        <v>46</v>
      </c>
    </row>
    <row r="11773" spans="2:15" x14ac:dyDescent="0.3">
      <c r="B11773" s="1" t="s">
        <v>20</v>
      </c>
      <c r="C11773" s="1" t="str">
        <f>"5-2차"</f>
        <v>5-2차</v>
      </c>
      <c r="D11773" s="1" t="str">
        <f>"9625G1825M"</f>
        <v>9625G1825M</v>
      </c>
      <c r="E11773" s="1" t="s">
        <v>10</v>
      </c>
      <c r="F11773" s="1" t="str">
        <f>"fde1:103:4:5614:0:0:0:2"</f>
        <v>fde1:103:4:5614:0:0:0:2</v>
      </c>
      <c r="G11773" s="1" t="str">
        <f>"9625G182"</f>
        <v>9625G182</v>
      </c>
      <c r="H11773" s="1" t="str">
        <f>"합원간 15"</f>
        <v>합원간 15</v>
      </c>
      <c r="I11773" s="1" t="s">
        <v>15</v>
      </c>
      <c r="J11773" s="1" t="str">
        <f>"35/35"</f>
        <v>35/35</v>
      </c>
      <c r="K11773" s="1" t="str">
        <f>"2026-07-29 14:21:09"</f>
        <v>2026-07-29 14:21:09</v>
      </c>
      <c r="L11773" s="1" t="str">
        <f>"2023-08-16 13:33:13"</f>
        <v>2023-08-16 13:33:13</v>
      </c>
      <c r="M11773" s="1" t="s">
        <v>4</v>
      </c>
      <c r="N11773" s="1" t="s">
        <v>38</v>
      </c>
      <c r="O11773" s="1" t="s">
        <v>46</v>
      </c>
    </row>
    <row r="11774" spans="2:15" x14ac:dyDescent="0.3">
      <c r="B11774" s="1" t="s">
        <v>20</v>
      </c>
      <c r="C11774" s="1" t="str">
        <f>"4차"</f>
        <v>4차</v>
      </c>
      <c r="D11774" s="1" t="str">
        <f>"9625G19244"</f>
        <v>9625G19244</v>
      </c>
      <c r="E11774" s="1" t="s">
        <v>10</v>
      </c>
      <c r="F11774" s="1" t="str">
        <f>"10.10.140.10"</f>
        <v>10.10.140.10</v>
      </c>
      <c r="G11774" s="1" t="str">
        <f>"9625G192"</f>
        <v>9625G192</v>
      </c>
      <c r="H11774" s="1" t="str">
        <f>"합원간 13R2L1"</f>
        <v>합원간 13R2L1</v>
      </c>
      <c r="I11774" s="1" t="s">
        <v>8</v>
      </c>
      <c r="J11774" s="1" t="str">
        <f>"79/79"</f>
        <v>79/79</v>
      </c>
      <c r="K11774" s="1" t="str">
        <f>"2026-07-29 13:18:10"</f>
        <v>2026-07-29 13:18:10</v>
      </c>
      <c r="L11774" s="1" t="str">
        <f>"2020-02-10 18:43:39"</f>
        <v>2020-02-10 18:43:39</v>
      </c>
      <c r="M11774" s="1" t="s">
        <v>1</v>
      </c>
      <c r="N11774" s="1" t="s">
        <v>38</v>
      </c>
      <c r="O11774" s="1" t="s">
        <v>46</v>
      </c>
    </row>
    <row r="11775" spans="2:15" x14ac:dyDescent="0.3">
      <c r="B11775" s="1" t="s">
        <v>20</v>
      </c>
      <c r="C11775" s="1" t="str">
        <f>"5-1차"</f>
        <v>5-1차</v>
      </c>
      <c r="D11775" s="1" t="str">
        <f>"9625G2615M"</f>
        <v>9625G2615M</v>
      </c>
      <c r="E11775" s="1" t="s">
        <v>10</v>
      </c>
      <c r="F11775" s="1" t="str">
        <f>"fde2:104:0:bc:0:0:0:2"</f>
        <v>fde2:104:0:bc:0:0:0:2</v>
      </c>
      <c r="G11775" s="1" t="str">
        <f>"9625G261"</f>
        <v>9625G261</v>
      </c>
      <c r="H11775" s="1" t="str">
        <f>"합원간 9L3"</f>
        <v>합원간 9L3</v>
      </c>
      <c r="I11775" s="1" t="s">
        <v>15</v>
      </c>
      <c r="J11775" s="1" t="str">
        <f>"79/80"</f>
        <v>79/80</v>
      </c>
      <c r="K11775" s="1" t="str">
        <f>"2026-07-28 20:03:42"</f>
        <v>2026-07-28 20:03:42</v>
      </c>
      <c r="L11775" s="1" t="str">
        <f>"2022-11-30 16:07:31"</f>
        <v>2022-11-30 16:07:31</v>
      </c>
      <c r="M11775" s="1" t="s">
        <v>42</v>
      </c>
      <c r="N11775" s="1" t="s">
        <v>38</v>
      </c>
      <c r="O11775" s="1" t="s">
        <v>46</v>
      </c>
    </row>
    <row r="11776" spans="2:15" x14ac:dyDescent="0.3">
      <c r="B11776" s="1" t="s">
        <v>20</v>
      </c>
      <c r="C11776" s="1" t="str">
        <f>"5-2차"</f>
        <v>5-2차</v>
      </c>
      <c r="D11776" s="1" t="str">
        <f>"9625G2815M"</f>
        <v>9625G2815M</v>
      </c>
      <c r="E11776" s="1" t="s">
        <v>10</v>
      </c>
      <c r="F11776" s="1" t="str">
        <f>"fde3:102:1300:2b01:0:0:0:2"</f>
        <v>fde3:102:1300:2b01:0:0:0:2</v>
      </c>
      <c r="G11776" s="1" t="str">
        <f>"9625G281"</f>
        <v>9625G281</v>
      </c>
      <c r="H11776" s="1" t="str">
        <f>"합원간 13"</f>
        <v>합원간 13</v>
      </c>
      <c r="I11776" s="1" t="s">
        <v>15</v>
      </c>
      <c r="J11776" s="1" t="str">
        <f>"51/51"</f>
        <v>51/51</v>
      </c>
      <c r="K11776" s="1" t="str">
        <f>"2026-07-29 14:21:40"</f>
        <v>2026-07-29 14:21:40</v>
      </c>
      <c r="L11776" s="1" t="str">
        <f>"2023-09-21 11:09:27"</f>
        <v>2023-09-21 11:09:27</v>
      </c>
      <c r="M11776" s="1" t="s">
        <v>45</v>
      </c>
      <c r="N11776" s="1" t="s">
        <v>38</v>
      </c>
      <c r="O11776" s="1" t="s">
        <v>46</v>
      </c>
    </row>
    <row r="11777" spans="2:15" x14ac:dyDescent="0.3">
      <c r="B11777" s="1" t="s">
        <v>20</v>
      </c>
      <c r="C11777" s="1" t="str">
        <f>"4차"</f>
        <v>4차</v>
      </c>
      <c r="D11777" s="1" t="str">
        <f>"9625G29144"</f>
        <v>9625G29144</v>
      </c>
      <c r="E11777" s="1" t="s">
        <v>10</v>
      </c>
      <c r="F11777" s="1" t="str">
        <f>"10.10.140.2"</f>
        <v>10.10.140.2</v>
      </c>
      <c r="G11777" s="1" t="str">
        <f>"9625G291"</f>
        <v>9625G291</v>
      </c>
      <c r="H11777" s="1" t="str">
        <f>"합원간 13R2"</f>
        <v>합원간 13R2</v>
      </c>
      <c r="I11777" s="1" t="s">
        <v>8</v>
      </c>
      <c r="J11777" s="1" t="str">
        <f>"44/44"</f>
        <v>44/44</v>
      </c>
      <c r="K11777" s="1" t="str">
        <f>"2026-07-29 13:18:10"</f>
        <v>2026-07-29 13:18:10</v>
      </c>
      <c r="L11777" s="1" t="str">
        <f>"2019-12-11 18:11:50"</f>
        <v>2019-12-11 18:11:50</v>
      </c>
      <c r="M11777" s="1" t="s">
        <v>1</v>
      </c>
      <c r="N11777" s="1" t="s">
        <v>38</v>
      </c>
      <c r="O11777" s="1" t="s">
        <v>46</v>
      </c>
    </row>
    <row r="11778" spans="2:15" x14ac:dyDescent="0.3">
      <c r="B11778" s="1" t="s">
        <v>20</v>
      </c>
      <c r="C11778" s="1" t="str">
        <f>"4차"</f>
        <v>4차</v>
      </c>
      <c r="D11778" s="1" t="str">
        <f>"9625G29344"</f>
        <v>9625G29344</v>
      </c>
      <c r="E11778" s="1" t="s">
        <v>10</v>
      </c>
      <c r="F11778" s="1" t="str">
        <f>"10.10.139.250"</f>
        <v>10.10.139.250</v>
      </c>
      <c r="G11778" s="1" t="str">
        <f>"9625G293"</f>
        <v>9625G293</v>
      </c>
      <c r="H11778" s="1" t="str">
        <f>"합원간 13R1"</f>
        <v>합원간 13R1</v>
      </c>
      <c r="I11778" s="1" t="s">
        <v>8</v>
      </c>
      <c r="J11778" s="1" t="str">
        <f>"32/32"</f>
        <v>32/32</v>
      </c>
      <c r="K11778" s="1" t="str">
        <f>"2026-07-29 13:18:10"</f>
        <v>2026-07-29 13:18:10</v>
      </c>
      <c r="L11778" s="1" t="str">
        <f>"2020-02-10 18:39:53"</f>
        <v>2020-02-10 18:39:53</v>
      </c>
      <c r="M11778" s="1" t="s">
        <v>1</v>
      </c>
      <c r="N11778" s="1" t="s">
        <v>38</v>
      </c>
      <c r="O11778" s="1" t="s">
        <v>46</v>
      </c>
    </row>
    <row r="11779" spans="2:15" x14ac:dyDescent="0.3">
      <c r="B11779" s="1" t="s">
        <v>20</v>
      </c>
      <c r="C11779" s="1" t="str">
        <f>"4차"</f>
        <v>4차</v>
      </c>
      <c r="D11779" s="1" t="str">
        <f>"9625G32439"</f>
        <v>9625G32439</v>
      </c>
      <c r="E11779" s="1" t="str">
        <f>"검침실패(3시간 이상)"</f>
        <v>검침실패(3시간 이상)</v>
      </c>
      <c r="F11779" s="1" t="str">
        <f>"10.12.131.41"</f>
        <v>10.12.131.41</v>
      </c>
      <c r="G11779" s="1" t="str">
        <f>"9625G324"</f>
        <v>9625G324</v>
      </c>
      <c r="H11779" s="1" t="str">
        <f>"합정로 22"</f>
        <v>합정로 22</v>
      </c>
      <c r="I11779" s="1" t="s">
        <v>17</v>
      </c>
      <c r="J11779" s="1" t="str">
        <f>"0/22"</f>
        <v>0/22</v>
      </c>
      <c r="K11779" s="1" t="str">
        <f>"2026-07-29 13:18:11"</f>
        <v>2026-07-29 13:18:11</v>
      </c>
      <c r="L11779" s="1" t="str">
        <f>"2018-10-15 13:08:11"</f>
        <v>2018-10-15 13:08:11</v>
      </c>
      <c r="M11779" s="1" t="s">
        <v>0</v>
      </c>
      <c r="N11779" s="1" t="s">
        <v>38</v>
      </c>
      <c r="O11779" s="1" t="s">
        <v>46</v>
      </c>
    </row>
    <row r="11780" spans="2:15" x14ac:dyDescent="0.3">
      <c r="B11780" s="1" t="s">
        <v>20</v>
      </c>
      <c r="C11780" s="1" t="str">
        <f>"4차"</f>
        <v>4차</v>
      </c>
      <c r="D11780" s="1" t="str">
        <f>"9625G33141"</f>
        <v>9625G33141</v>
      </c>
      <c r="E11780" s="1" t="s">
        <v>10</v>
      </c>
      <c r="F11780" s="1" t="str">
        <f>"10.14.13.109"</f>
        <v>10.14.13.109</v>
      </c>
      <c r="G11780" s="1" t="str">
        <f>"9625G331"</f>
        <v>9625G331</v>
      </c>
      <c r="H11780" s="1" t="str">
        <f>"양합지 34"</f>
        <v>양합지 34</v>
      </c>
      <c r="I11780" s="1" t="s">
        <v>17</v>
      </c>
      <c r="J11780" s="1" t="str">
        <f>"11/11"</f>
        <v>11/11</v>
      </c>
      <c r="K11780" s="1" t="str">
        <f>"2026-07-29 13:18:11"</f>
        <v>2026-07-29 13:18:11</v>
      </c>
      <c r="L11780" s="1" t="str">
        <f>"2021-08-12 08:57:03"</f>
        <v>2021-08-12 08:57:03</v>
      </c>
      <c r="M11780" s="1" t="s">
        <v>3</v>
      </c>
      <c r="N11780" s="1" t="s">
        <v>38</v>
      </c>
      <c r="O11780" s="1" t="s">
        <v>46</v>
      </c>
    </row>
    <row r="11781" spans="2:15" x14ac:dyDescent="0.3">
      <c r="B11781" s="1" t="s">
        <v>20</v>
      </c>
      <c r="C11781" s="1" t="str">
        <f>"1차"</f>
        <v>1차</v>
      </c>
      <c r="D11781" s="1" t="str">
        <f>"9625G37100"</f>
        <v>9625G37100</v>
      </c>
      <c r="E11781" s="1" t="s">
        <v>14</v>
      </c>
      <c r="F11781" s="1" t="str">
        <f>"10.125.195.107"</f>
        <v>10.125.195.107</v>
      </c>
      <c r="G11781" s="1" t="str">
        <f>"9625G371"</f>
        <v>9625G371</v>
      </c>
      <c r="H11781" s="1" t="str">
        <f>"합원간 9L1"</f>
        <v>합원간 9L1</v>
      </c>
      <c r="I11781" s="1" t="s">
        <v>8</v>
      </c>
      <c r="J11781" s="1" t="str">
        <f>"0/0"</f>
        <v>0/0</v>
      </c>
      <c r="K11781" s="1" t="str">
        <f>"2024-06-20 15:20:05"</f>
        <v>2024-06-20 15:20:05</v>
      </c>
      <c r="L11781" s="1" t="str">
        <f>"2015-01-30 00:14:56"</f>
        <v>2015-01-30 00:14:56</v>
      </c>
      <c r="M11781" s="1" t="s">
        <v>45</v>
      </c>
      <c r="N11781" s="1" t="s">
        <v>44</v>
      </c>
      <c r="O11781" s="1" t="s">
        <v>44</v>
      </c>
    </row>
    <row r="11782" spans="2:15" x14ac:dyDescent="0.3">
      <c r="B11782" s="1" t="s">
        <v>20</v>
      </c>
      <c r="C11782" s="1" t="str">
        <f>"4차"</f>
        <v>4차</v>
      </c>
      <c r="D11782" s="1" t="str">
        <f>"9625G38141"</f>
        <v>9625G38141</v>
      </c>
      <c r="E11782" s="1" t="s">
        <v>10</v>
      </c>
      <c r="F11782" s="1" t="str">
        <f>"10.14.13.181"</f>
        <v>10.14.13.181</v>
      </c>
      <c r="G11782" s="1" t="str">
        <f>"9625G381"</f>
        <v>9625G381</v>
      </c>
      <c r="H11782" s="1" t="str">
        <f>"합원간 12"</f>
        <v>합원간 12</v>
      </c>
      <c r="I11782" s="1" t="s">
        <v>17</v>
      </c>
      <c r="J11782" s="1" t="str">
        <f>"11/17"</f>
        <v>11/17</v>
      </c>
      <c r="K11782" s="1" t="str">
        <f>"2026-07-29 13:18:11"</f>
        <v>2026-07-29 13:18:11</v>
      </c>
      <c r="L11782" s="1" t="str">
        <f>"2021-08-12 08:00:51"</f>
        <v>2021-08-12 08:00:51</v>
      </c>
      <c r="M11782" s="1" t="s">
        <v>3</v>
      </c>
      <c r="N11782" s="1" t="s">
        <v>38</v>
      </c>
      <c r="O11782" s="1" t="s">
        <v>46</v>
      </c>
    </row>
    <row r="11783" spans="2:15" x14ac:dyDescent="0.3">
      <c r="B11783" s="1" t="s">
        <v>20</v>
      </c>
      <c r="C11783" s="1" t="str">
        <f>"5-2차"</f>
        <v>5-2차</v>
      </c>
      <c r="D11783" s="1" t="str">
        <f>"9625G3825M"</f>
        <v>9625G3825M</v>
      </c>
      <c r="E11783" s="1" t="s">
        <v>10</v>
      </c>
      <c r="F11783" s="1" t="str">
        <f>"fde1:103:4:560d:0:0:0:2"</f>
        <v>fde1:103:4:560d:0:0:0:2</v>
      </c>
      <c r="G11783" s="1" t="str">
        <f>"9625G382"</f>
        <v>9625G382</v>
      </c>
      <c r="H11783" s="1" t="str">
        <f>"합원간 11"</f>
        <v>합원간 11</v>
      </c>
      <c r="I11783" s="1" t="s">
        <v>15</v>
      </c>
      <c r="J11783" s="1" t="str">
        <f>"62/70"</f>
        <v>62/70</v>
      </c>
      <c r="K11783" s="1" t="str">
        <f>"2026-07-29 14:21:41"</f>
        <v>2026-07-29 14:21:41</v>
      </c>
      <c r="L11783" s="1" t="str">
        <f>"2023-08-16 14:02:45"</f>
        <v>2023-08-16 14:02:45</v>
      </c>
      <c r="M11783" s="1" t="s">
        <v>4</v>
      </c>
      <c r="N11783" s="1" t="s">
        <v>38</v>
      </c>
      <c r="O11783" s="1" t="s">
        <v>46</v>
      </c>
    </row>
    <row r="11784" spans="2:15" x14ac:dyDescent="0.3">
      <c r="B11784" s="1" t="s">
        <v>20</v>
      </c>
      <c r="C11784" s="1" t="str">
        <f>"5-2차"</f>
        <v>5-2차</v>
      </c>
      <c r="D11784" s="1" t="str">
        <f>"9625G4025M"</f>
        <v>9625G4025M</v>
      </c>
      <c r="E11784" s="1" t="s">
        <v>10</v>
      </c>
      <c r="F11784" s="1" t="str">
        <f>"fde1:103:4:5619:0:0:0:2"</f>
        <v>fde1:103:4:5619:0:0:0:2</v>
      </c>
      <c r="G11784" s="1" t="str">
        <f>"9625G402"</f>
        <v>9625G402</v>
      </c>
      <c r="H11784" s="1" t="str">
        <f>"양합지 39"</f>
        <v>양합지 39</v>
      </c>
      <c r="I11784" s="1" t="s">
        <v>15</v>
      </c>
      <c r="J11784" s="1" t="str">
        <f>"67/68"</f>
        <v>67/68</v>
      </c>
      <c r="K11784" s="1" t="str">
        <f>"2026-07-29 14:21:08"</f>
        <v>2026-07-29 14:21:08</v>
      </c>
      <c r="L11784" s="1" t="str">
        <f>"2023-08-16 14:00:28"</f>
        <v>2023-08-16 14:00:28</v>
      </c>
      <c r="M11784" s="1" t="s">
        <v>4</v>
      </c>
      <c r="N11784" s="1" t="s">
        <v>38</v>
      </c>
      <c r="O11784" s="1" t="s">
        <v>46</v>
      </c>
    </row>
    <row r="11785" spans="2:15" x14ac:dyDescent="0.3">
      <c r="B11785" s="1" t="s">
        <v>20</v>
      </c>
      <c r="C11785" s="1" t="str">
        <f>"5-2차"</f>
        <v>5-2차</v>
      </c>
      <c r="D11785" s="1" t="str">
        <f>"9625G4115S"</f>
        <v>9625G4115S</v>
      </c>
      <c r="E11785" s="1" t="s">
        <v>10</v>
      </c>
      <c r="F11785" s="1" t="str">
        <f>"fde3:102:1300:6901:0:0:0:2"</f>
        <v>fde3:102:1300:6901:0:0:0:2</v>
      </c>
      <c r="G11785" s="1" t="str">
        <f>"9625G411"</f>
        <v>9625G411</v>
      </c>
      <c r="H11785" s="1" t="str">
        <f>"양합지 36"</f>
        <v>양합지 36</v>
      </c>
      <c r="I11785" s="1" t="s">
        <v>15</v>
      </c>
      <c r="J11785" s="1" t="str">
        <f>"49/49"</f>
        <v>49/49</v>
      </c>
      <c r="K11785" s="1" t="str">
        <f>"2026-07-29 14:20:52"</f>
        <v>2026-07-29 14:20:52</v>
      </c>
      <c r="L11785" s="1" t="str">
        <f>"2023-11-24 10:51:13"</f>
        <v>2023-11-24 10:51:13</v>
      </c>
      <c r="M11785" s="1" t="s">
        <v>45</v>
      </c>
      <c r="N11785" s="1" t="s">
        <v>38</v>
      </c>
      <c r="O11785" s="1" t="s">
        <v>46</v>
      </c>
    </row>
    <row r="11786" spans="2:15" x14ac:dyDescent="0.3">
      <c r="B11786" s="1" t="s">
        <v>20</v>
      </c>
      <c r="C11786" s="1" t="str">
        <f>"6차"</f>
        <v>6차</v>
      </c>
      <c r="D11786" s="1" t="str">
        <f>"9625G4136S"</f>
        <v>9625G4136S</v>
      </c>
      <c r="E11786" s="1" t="s">
        <v>10</v>
      </c>
      <c r="F11786" s="1" t="str">
        <f>"fde1:103:4:91cd:0:0:0:2"</f>
        <v>fde1:103:4:91cd:0:0:0:2</v>
      </c>
      <c r="G11786" s="1" t="str">
        <f>"9625G413"</f>
        <v>9625G413</v>
      </c>
      <c r="H11786" s="1" t="str">
        <f>"양합지 37L1"</f>
        <v>양합지 37L1</v>
      </c>
      <c r="I11786" s="1" t="s">
        <v>15</v>
      </c>
      <c r="J11786" s="1" t="str">
        <f>"22/24"</f>
        <v>22/24</v>
      </c>
      <c r="K11786" s="1" t="str">
        <f>"2026-07-29 14:20:58"</f>
        <v>2026-07-29 14:20:58</v>
      </c>
      <c r="L11786" s="1" t="str">
        <f>"2025-02-05 16:48:32"</f>
        <v>2025-02-05 16:48:32</v>
      </c>
      <c r="M11786" s="1" t="s">
        <v>4</v>
      </c>
      <c r="N11786" s="1" t="s">
        <v>38</v>
      </c>
      <c r="O11786" s="1" t="s">
        <v>46</v>
      </c>
    </row>
    <row r="11787" spans="2:15" x14ac:dyDescent="0.3">
      <c r="B11787" s="1" t="s">
        <v>20</v>
      </c>
      <c r="C11787" s="1" t="str">
        <f>"5-2차"</f>
        <v>5-2차</v>
      </c>
      <c r="D11787" s="1" t="str">
        <f>"9625G4525M"</f>
        <v>9625G4525M</v>
      </c>
      <c r="E11787" s="1" t="s">
        <v>10</v>
      </c>
      <c r="F11787" s="1" t="str">
        <f>"fde1:103:4:55e2:0:0:0:2"</f>
        <v>fde1:103:4:55e2:0:0:0:2</v>
      </c>
      <c r="G11787" s="1" t="str">
        <f>"9625G452"</f>
        <v>9625G452</v>
      </c>
      <c r="H11787" s="1" t="str">
        <f>"합원간 3L1"</f>
        <v>합원간 3L1</v>
      </c>
      <c r="I11787" s="1" t="s">
        <v>15</v>
      </c>
      <c r="J11787" s="1" t="str">
        <f>"70/70"</f>
        <v>70/70</v>
      </c>
      <c r="K11787" s="1" t="str">
        <f>"2026-07-29 14:20:57"</f>
        <v>2026-07-29 14:20:57</v>
      </c>
      <c r="L11787" s="1" t="str">
        <f>"2023-10-11 14:45:49"</f>
        <v>2023-10-11 14:45:49</v>
      </c>
      <c r="M11787" s="1" t="s">
        <v>4</v>
      </c>
      <c r="N11787" s="1" t="s">
        <v>38</v>
      </c>
      <c r="O11787" s="1" t="s">
        <v>46</v>
      </c>
    </row>
    <row r="11788" spans="2:15" x14ac:dyDescent="0.3">
      <c r="B11788" s="1" t="s">
        <v>20</v>
      </c>
      <c r="C11788" s="1" t="str">
        <f>"6차"</f>
        <v>6차</v>
      </c>
      <c r="D11788" s="1" t="str">
        <f>"9625G4716S"</f>
        <v>9625G4716S</v>
      </c>
      <c r="E11788" s="1" t="s">
        <v>10</v>
      </c>
      <c r="F11788" s="1" t="str">
        <f>"fde1:103:4:c62f:0:0:0:2"</f>
        <v>fde1:103:4:c62f:0:0:0:2</v>
      </c>
      <c r="G11788" s="1" t="str">
        <f>"9625G471"</f>
        <v>9625G471</v>
      </c>
      <c r="H11788" s="1" t="str">
        <f>"합원간 9"</f>
        <v>합원간 9</v>
      </c>
      <c r="I11788" s="1" t="s">
        <v>15</v>
      </c>
      <c r="J11788" s="1" t="str">
        <f>"57/57"</f>
        <v>57/57</v>
      </c>
      <c r="K11788" s="1" t="str">
        <f>"2026-07-29 14:21:41"</f>
        <v>2026-07-29 14:21:41</v>
      </c>
      <c r="L11788" s="1" t="str">
        <f>"2024-11-11 17:15:00"</f>
        <v>2024-11-11 17:15:00</v>
      </c>
      <c r="M11788" s="1" t="s">
        <v>4</v>
      </c>
      <c r="N11788" s="1" t="s">
        <v>38</v>
      </c>
      <c r="O11788" s="1" t="s">
        <v>46</v>
      </c>
    </row>
    <row r="11789" spans="2:15" x14ac:dyDescent="0.3">
      <c r="B11789" s="1" t="s">
        <v>20</v>
      </c>
      <c r="C11789" s="1" t="str">
        <f>"4차"</f>
        <v>4차</v>
      </c>
      <c r="D11789" s="1" t="str">
        <f>"9625G47241"</f>
        <v>9625G47241</v>
      </c>
      <c r="E11789" s="1" t="s">
        <v>10</v>
      </c>
      <c r="F11789" s="1" t="str">
        <f>"10.14.13.45"</f>
        <v>10.14.13.45</v>
      </c>
      <c r="G11789" s="1" t="str">
        <f>"9625G472"</f>
        <v>9625G472</v>
      </c>
      <c r="H11789" s="1" t="str">
        <f>"합원간 10"</f>
        <v>합원간 10</v>
      </c>
      <c r="I11789" s="1" t="s">
        <v>17</v>
      </c>
      <c r="J11789" s="1" t="str">
        <f>"24/24"</f>
        <v>24/24</v>
      </c>
      <c r="K11789" s="1" t="str">
        <f>"2026-07-29 13:18:11"</f>
        <v>2026-07-29 13:18:11</v>
      </c>
      <c r="L11789" s="1" t="str">
        <f>"2021-08-12 07:15:13"</f>
        <v>2021-08-12 07:15:13</v>
      </c>
      <c r="M11789" s="1" t="s">
        <v>3</v>
      </c>
      <c r="N11789" s="1" t="s">
        <v>38</v>
      </c>
      <c r="O11789" s="1" t="s">
        <v>46</v>
      </c>
    </row>
    <row r="11790" spans="2:15" x14ac:dyDescent="0.3">
      <c r="B11790" s="1" t="s">
        <v>20</v>
      </c>
      <c r="C11790" s="1" t="str">
        <f>"4차"</f>
        <v>4차</v>
      </c>
      <c r="D11790" s="1" t="str">
        <f>"9625G49144"</f>
        <v>9625G49144</v>
      </c>
      <c r="E11790" s="1" t="s">
        <v>10</v>
      </c>
      <c r="F11790" s="1" t="str">
        <f>"10.10.140.90"</f>
        <v>10.10.140.90</v>
      </c>
      <c r="G11790" s="1" t="str">
        <f>"9625G491"</f>
        <v>9625G491</v>
      </c>
      <c r="H11790" s="1" t="str">
        <f>"합원간 12R2"</f>
        <v>합원간 12R2</v>
      </c>
      <c r="I11790" s="1" t="s">
        <v>8</v>
      </c>
      <c r="J11790" s="1" t="str">
        <f>"49/49"</f>
        <v>49/49</v>
      </c>
      <c r="K11790" s="1" t="str">
        <f>"2026-07-29 13:18:10"</f>
        <v>2026-07-29 13:18:10</v>
      </c>
      <c r="L11790" s="1" t="str">
        <f>"2020-02-10 18:30:07"</f>
        <v>2020-02-10 18:30:07</v>
      </c>
      <c r="M11790" s="1" t="s">
        <v>1</v>
      </c>
      <c r="N11790" s="1" t="s">
        <v>38</v>
      </c>
      <c r="O11790" s="1" t="s">
        <v>46</v>
      </c>
    </row>
    <row r="11791" spans="2:15" x14ac:dyDescent="0.3">
      <c r="B11791" s="1" t="s">
        <v>20</v>
      </c>
      <c r="C11791" s="1" t="str">
        <f>"4차"</f>
        <v>4차</v>
      </c>
      <c r="D11791" s="1" t="str">
        <f>"9625G49344"</f>
        <v>9625G49344</v>
      </c>
      <c r="E11791" s="1" t="s">
        <v>10</v>
      </c>
      <c r="F11791" s="1" t="str">
        <f>"10.125.129.33"</f>
        <v>10.125.129.33</v>
      </c>
      <c r="G11791" s="1" t="str">
        <f>"9625G493"</f>
        <v>9625G493</v>
      </c>
      <c r="H11791" s="1" t="str">
        <f>"합원간 12R1"</f>
        <v>합원간 12R1</v>
      </c>
      <c r="I11791" s="1" t="s">
        <v>8</v>
      </c>
      <c r="J11791" s="1" t="str">
        <f>"13/13"</f>
        <v>13/13</v>
      </c>
      <c r="K11791" s="1" t="str">
        <f>"2026-07-29 13:18:10"</f>
        <v>2026-07-29 13:18:10</v>
      </c>
      <c r="L11791" s="1" t="str">
        <f>"2023-07-21 17:25:14"</f>
        <v>2023-07-21 17:25:14</v>
      </c>
      <c r="M11791" s="1" t="s">
        <v>45</v>
      </c>
      <c r="N11791" s="1" t="s">
        <v>38</v>
      </c>
      <c r="O11791" s="1" t="s">
        <v>46</v>
      </c>
    </row>
    <row r="11792" spans="2:15" x14ac:dyDescent="0.3">
      <c r="B11792" s="1" t="s">
        <v>20</v>
      </c>
      <c r="C11792" s="1" t="str">
        <f>"4차"</f>
        <v>4차</v>
      </c>
      <c r="D11792" s="1" t="str">
        <f>"9625G51144"</f>
        <v>9625G51144</v>
      </c>
      <c r="E11792" s="1" t="s">
        <v>10</v>
      </c>
      <c r="F11792" s="1" t="str">
        <f>"10.10.89.34"</f>
        <v>10.10.89.34</v>
      </c>
      <c r="G11792" s="1" t="str">
        <f>"9625G511"</f>
        <v>9625G511</v>
      </c>
      <c r="H11792" s="1" t="str">
        <f>"양합지 37L2"</f>
        <v>양합지 37L2</v>
      </c>
      <c r="I11792" s="1" t="s">
        <v>8</v>
      </c>
      <c r="J11792" s="1" t="str">
        <f>"92/92"</f>
        <v>92/92</v>
      </c>
      <c r="K11792" s="1" t="str">
        <f>"2026-07-29 13:18:10"</f>
        <v>2026-07-29 13:18:10</v>
      </c>
      <c r="L11792" s="1" t="str">
        <f>"2019-01-30 17:43:07"</f>
        <v>2019-01-30 17:43:07</v>
      </c>
      <c r="M11792" s="1" t="s">
        <v>1</v>
      </c>
      <c r="N11792" s="1" t="s">
        <v>38</v>
      </c>
      <c r="O11792" s="1" t="s">
        <v>46</v>
      </c>
    </row>
    <row r="11793" spans="2:15" x14ac:dyDescent="0.3">
      <c r="B11793" s="1" t="s">
        <v>20</v>
      </c>
      <c r="C11793" s="1" t="str">
        <f>"5-1차"</f>
        <v>5-1차</v>
      </c>
      <c r="D11793" s="1" t="str">
        <f>"9625G5325S"</f>
        <v>9625G5325S</v>
      </c>
      <c r="E11793" s="1" t="s">
        <v>10</v>
      </c>
      <c r="F11793" s="1" t="str">
        <f>"fde3:102:1300:2b00:0:0:0:2"</f>
        <v>fde3:102:1300:2b00:0:0:0:2</v>
      </c>
      <c r="G11793" s="1" t="str">
        <f>"9625G532"</f>
        <v>9625G532</v>
      </c>
      <c r="H11793" s="1" t="str">
        <f>"양합지 34L2"</f>
        <v>양합지 34L2</v>
      </c>
      <c r="I11793" s="1" t="s">
        <v>15</v>
      </c>
      <c r="J11793" s="1" t="str">
        <f>"9/9"</f>
        <v>9/9</v>
      </c>
      <c r="K11793" s="1" t="str">
        <f>"2026-07-29 14:20:58"</f>
        <v>2026-07-29 14:20:58</v>
      </c>
      <c r="L11793" s="1" t="str">
        <f>"2022-11-08 16:25:32"</f>
        <v>2022-11-08 16:25:32</v>
      </c>
      <c r="M11793" s="1" t="s">
        <v>45</v>
      </c>
      <c r="N11793" s="1" t="s">
        <v>38</v>
      </c>
      <c r="O11793" s="1" t="s">
        <v>46</v>
      </c>
    </row>
    <row r="11794" spans="2:15" x14ac:dyDescent="0.3">
      <c r="B11794" s="1" t="s">
        <v>20</v>
      </c>
      <c r="C11794" s="1" t="str">
        <f>"4차"</f>
        <v>4차</v>
      </c>
      <c r="D11794" s="1" t="str">
        <f>"9625G54144"</f>
        <v>9625G54144</v>
      </c>
      <c r="E11794" s="1" t="s">
        <v>10</v>
      </c>
      <c r="F11794" s="1" t="str">
        <f>"10.10.140.138"</f>
        <v>10.10.140.138</v>
      </c>
      <c r="G11794" s="1" t="str">
        <f>"9625G541"</f>
        <v>9625G541</v>
      </c>
      <c r="H11794" s="1" t="str">
        <f>"양합지 34L3"</f>
        <v>양합지 34L3</v>
      </c>
      <c r="I11794" s="1" t="s">
        <v>8</v>
      </c>
      <c r="J11794" s="1" t="str">
        <f>"35/35"</f>
        <v>35/35</v>
      </c>
      <c r="K11794" s="1" t="str">
        <f>"2026-07-29 13:18:10"</f>
        <v>2026-07-29 13:18:10</v>
      </c>
      <c r="L11794" s="1" t="str">
        <f>"2020-02-12 11:03:30"</f>
        <v>2020-02-12 11:03:30</v>
      </c>
      <c r="M11794" s="1" t="s">
        <v>1</v>
      </c>
      <c r="N11794" s="1" t="s">
        <v>38</v>
      </c>
      <c r="O11794" s="1" t="s">
        <v>46</v>
      </c>
    </row>
    <row r="11795" spans="2:15" x14ac:dyDescent="0.3">
      <c r="B11795" s="1" t="s">
        <v>20</v>
      </c>
      <c r="C11795" s="1" t="str">
        <f>"1차"</f>
        <v>1차</v>
      </c>
      <c r="D11795" s="1" t="str">
        <f>"9625G55100"</f>
        <v>9625G55100</v>
      </c>
      <c r="E11795" s="1" t="s">
        <v>10</v>
      </c>
      <c r="F11795" s="1" t="str">
        <f>"10.125.192.106"</f>
        <v>10.125.192.106</v>
      </c>
      <c r="G11795" s="1" t="str">
        <f>"9625G551"</f>
        <v>9625G551</v>
      </c>
      <c r="H11795" s="1" t="str">
        <f>"합원간 5"</f>
        <v>합원간 5</v>
      </c>
      <c r="I11795" s="1" t="s">
        <v>8</v>
      </c>
      <c r="J11795" s="1" t="str">
        <f>"35/35"</f>
        <v>35/35</v>
      </c>
      <c r="K11795" s="1" t="str">
        <f>"2026-07-29 13:18:10"</f>
        <v>2026-07-29 13:18:10</v>
      </c>
      <c r="L11795" s="1" t="str">
        <f>"2014-11-30 00:13:03"</f>
        <v>2014-11-30 00:13:03</v>
      </c>
      <c r="M11795" s="1" t="s">
        <v>45</v>
      </c>
      <c r="N11795" s="1" t="s">
        <v>38</v>
      </c>
      <c r="O11795" s="1" t="s">
        <v>46</v>
      </c>
    </row>
    <row r="11796" spans="2:15" x14ac:dyDescent="0.3">
      <c r="B11796" s="1" t="s">
        <v>20</v>
      </c>
      <c r="C11796" s="1" t="str">
        <f>"4차"</f>
        <v>4차</v>
      </c>
      <c r="D11796" s="1" t="str">
        <f>"9625G57344"</f>
        <v>9625G57344</v>
      </c>
      <c r="E11796" s="1" t="s">
        <v>10</v>
      </c>
      <c r="F11796" s="1" t="str">
        <f>"10.10.139.226"</f>
        <v>10.10.139.226</v>
      </c>
      <c r="G11796" s="1" t="str">
        <f>"9625G573"</f>
        <v>9625G573</v>
      </c>
      <c r="H11796" s="1" t="str">
        <f>"합원간 9R1"</f>
        <v>합원간 9R1</v>
      </c>
      <c r="I11796" s="1" t="s">
        <v>8</v>
      </c>
      <c r="J11796" s="1" t="str">
        <f>"105/105"</f>
        <v>105/105</v>
      </c>
      <c r="K11796" s="1" t="str">
        <f>"2026-07-29 13:18:10"</f>
        <v>2026-07-29 13:18:10</v>
      </c>
      <c r="L11796" s="1" t="str">
        <f>"2020-02-10 18:31:37"</f>
        <v>2020-02-10 18:31:37</v>
      </c>
      <c r="M11796" s="1" t="s">
        <v>1</v>
      </c>
      <c r="N11796" s="1" t="s">
        <v>38</v>
      </c>
      <c r="O11796" s="1" t="s">
        <v>46</v>
      </c>
    </row>
    <row r="11797" spans="2:15" x14ac:dyDescent="0.3">
      <c r="B11797" s="1" t="s">
        <v>20</v>
      </c>
      <c r="C11797" s="1" t="str">
        <f>"1차"</f>
        <v>1차</v>
      </c>
      <c r="D11797" s="1" t="str">
        <f>"9625G60100"</f>
        <v>9625G60100</v>
      </c>
      <c r="E11797" s="1" t="s">
        <v>10</v>
      </c>
      <c r="F11797" s="1" t="str">
        <f>"10.125.192.130"</f>
        <v>10.125.192.130</v>
      </c>
      <c r="G11797" s="1" t="str">
        <f>"9625G601"</f>
        <v>9625G601</v>
      </c>
      <c r="H11797" s="1" t="str">
        <f>"양합지 42"</f>
        <v>양합지 42</v>
      </c>
      <c r="I11797" s="1" t="s">
        <v>8</v>
      </c>
      <c r="J11797" s="1" t="str">
        <f>"64/64"</f>
        <v>64/64</v>
      </c>
      <c r="K11797" s="1" t="str">
        <f>"2026-07-29 13:18:10"</f>
        <v>2026-07-29 13:18:10</v>
      </c>
      <c r="L11797" s="1" t="str">
        <f>"2014-11-27 14:21:55"</f>
        <v>2014-11-27 14:21:55</v>
      </c>
      <c r="M11797" s="1" t="s">
        <v>45</v>
      </c>
      <c r="N11797" s="1" t="s">
        <v>38</v>
      </c>
      <c r="O11797" s="1" t="s">
        <v>46</v>
      </c>
    </row>
    <row r="11798" spans="2:15" x14ac:dyDescent="0.3">
      <c r="B11798" s="1" t="s">
        <v>20</v>
      </c>
      <c r="C11798" s="1" t="str">
        <f>"1차"</f>
        <v>1차</v>
      </c>
      <c r="D11798" s="1" t="str">
        <f>"9625G63100"</f>
        <v>9625G63100</v>
      </c>
      <c r="E11798" s="1" t="s">
        <v>10</v>
      </c>
      <c r="F11798" s="1" t="str">
        <f>"10.125.192.114"</f>
        <v>10.125.192.114</v>
      </c>
      <c r="G11798" s="1" t="str">
        <f>"9625G631"</f>
        <v>9625G631</v>
      </c>
      <c r="H11798" s="1" t="str">
        <f>"양합지 34L4R2"</f>
        <v>양합지 34L4R2</v>
      </c>
      <c r="I11798" s="1" t="s">
        <v>8</v>
      </c>
      <c r="J11798" s="1" t="str">
        <f>"40/40"</f>
        <v>40/40</v>
      </c>
      <c r="K11798" s="1" t="str">
        <f>"2026-07-29 13:18:10"</f>
        <v>2026-07-29 13:18:10</v>
      </c>
      <c r="L11798" s="1" t="str">
        <f>"2014-10-20 18:41:23"</f>
        <v>2014-10-20 18:41:23</v>
      </c>
      <c r="M11798" s="1" t="s">
        <v>45</v>
      </c>
      <c r="N11798" s="1" t="s">
        <v>38</v>
      </c>
      <c r="O11798" s="1" t="s">
        <v>46</v>
      </c>
    </row>
    <row r="11799" spans="2:15" x14ac:dyDescent="0.3">
      <c r="B11799" s="1" t="s">
        <v>20</v>
      </c>
      <c r="C11799" s="1" t="str">
        <f>"6차"</f>
        <v>6차</v>
      </c>
      <c r="D11799" s="1" t="str">
        <f>"9625G6416S"</f>
        <v>9625G6416S</v>
      </c>
      <c r="E11799" s="1" t="s">
        <v>10</v>
      </c>
      <c r="F11799" s="1" t="str">
        <f>"fde1:103:4:c5f2:0:0:0:2"</f>
        <v>fde1:103:4:c5f2:0:0:0:2</v>
      </c>
      <c r="G11799" s="1" t="str">
        <f>"9625G641"</f>
        <v>9625G641</v>
      </c>
      <c r="H11799" s="1" t="str">
        <f>"양합지 34L4"</f>
        <v>양합지 34L4</v>
      </c>
      <c r="I11799" s="1" t="s">
        <v>15</v>
      </c>
      <c r="J11799" s="1" t="str">
        <f>"24/24"</f>
        <v>24/24</v>
      </c>
      <c r="K11799" s="1" t="str">
        <f>"2026-07-29 14:21:41"</f>
        <v>2026-07-29 14:21:41</v>
      </c>
      <c r="L11799" s="1" t="str">
        <f>"2024-11-11 17:15:29"</f>
        <v>2024-11-11 17:15:29</v>
      </c>
      <c r="M11799" s="1" t="s">
        <v>4</v>
      </c>
      <c r="N11799" s="1" t="s">
        <v>38</v>
      </c>
      <c r="O11799" s="1" t="s">
        <v>46</v>
      </c>
    </row>
    <row r="11800" spans="2:15" x14ac:dyDescent="0.3">
      <c r="B11800" s="1" t="s">
        <v>20</v>
      </c>
      <c r="C11800" s="1" t="str">
        <f>"4차"</f>
        <v>4차</v>
      </c>
      <c r="D11800" s="1" t="str">
        <f>"9625G66144"</f>
        <v>9625G66144</v>
      </c>
      <c r="E11800" s="1" t="s">
        <v>10</v>
      </c>
      <c r="F11800" s="1" t="str">
        <f>"10.10.140.130"</f>
        <v>10.10.140.130</v>
      </c>
      <c r="G11800" s="1" t="str">
        <f>"9625G661"</f>
        <v>9625G661</v>
      </c>
      <c r="H11800" s="1" t="str">
        <f>"합원간 6R3"</f>
        <v>합원간 6R3</v>
      </c>
      <c r="I11800" s="1" t="s">
        <v>8</v>
      </c>
      <c r="J11800" s="1" t="str">
        <f>"21/21"</f>
        <v>21/21</v>
      </c>
      <c r="K11800" s="1" t="str">
        <f t="shared" ref="K11800:K11808" si="588">"2026-07-29 13:18:10"</f>
        <v>2026-07-29 13:18:10</v>
      </c>
      <c r="L11800" s="1" t="str">
        <f>"2020-02-10 18:31:04"</f>
        <v>2020-02-10 18:31:04</v>
      </c>
      <c r="M11800" s="1" t="s">
        <v>1</v>
      </c>
      <c r="N11800" s="1" t="s">
        <v>38</v>
      </c>
      <c r="O11800" s="1" t="s">
        <v>46</v>
      </c>
    </row>
    <row r="11801" spans="2:15" x14ac:dyDescent="0.3">
      <c r="B11801" s="1" t="s">
        <v>20</v>
      </c>
      <c r="C11801" s="1" t="str">
        <f>"4차"</f>
        <v>4차</v>
      </c>
      <c r="D11801" s="1" t="str">
        <f>"9625G68144"</f>
        <v>9625G68144</v>
      </c>
      <c r="E11801" s="1" t="s">
        <v>10</v>
      </c>
      <c r="F11801" s="1" t="str">
        <f>"10.10.140.74"</f>
        <v>10.10.140.74</v>
      </c>
      <c r="G11801" s="1" t="str">
        <f>"9625G681"</f>
        <v>9625G681</v>
      </c>
      <c r="H11801" s="1" t="str">
        <f>"합원간 6R5L2"</f>
        <v>합원간 6R5L2</v>
      </c>
      <c r="I11801" s="1" t="s">
        <v>8</v>
      </c>
      <c r="J11801" s="1" t="str">
        <f>"96/96"</f>
        <v>96/96</v>
      </c>
      <c r="K11801" s="1" t="str">
        <f t="shared" si="588"/>
        <v>2026-07-29 13:18:10</v>
      </c>
      <c r="L11801" s="1" t="str">
        <f>"2020-02-10 18:31:37"</f>
        <v>2020-02-10 18:31:37</v>
      </c>
      <c r="M11801" s="1" t="s">
        <v>1</v>
      </c>
      <c r="N11801" s="1" t="s">
        <v>38</v>
      </c>
      <c r="O11801" s="1" t="s">
        <v>46</v>
      </c>
    </row>
    <row r="11802" spans="2:15" x14ac:dyDescent="0.3">
      <c r="B11802" s="1" t="s">
        <v>20</v>
      </c>
      <c r="C11802" s="1" t="str">
        <f>"4차"</f>
        <v>4차</v>
      </c>
      <c r="D11802" s="1" t="str">
        <f>"9625G69144"</f>
        <v>9625G69144</v>
      </c>
      <c r="E11802" s="1" t="s">
        <v>10</v>
      </c>
      <c r="F11802" s="1" t="str">
        <f>"10.10.140.66"</f>
        <v>10.10.140.66</v>
      </c>
      <c r="G11802" s="1" t="str">
        <f>"9625G691"</f>
        <v>9625G691</v>
      </c>
      <c r="H11802" s="1" t="str">
        <f>"합원간 6R5L3"</f>
        <v>합원간 6R5L3</v>
      </c>
      <c r="I11802" s="1" t="s">
        <v>8</v>
      </c>
      <c r="J11802" s="1" t="str">
        <f>"30/30"</f>
        <v>30/30</v>
      </c>
      <c r="K11802" s="1" t="str">
        <f t="shared" si="588"/>
        <v>2026-07-29 13:18:10</v>
      </c>
      <c r="L11802" s="1" t="str">
        <f>"2020-02-12 11:08:58"</f>
        <v>2020-02-12 11:08:58</v>
      </c>
      <c r="M11802" s="1" t="s">
        <v>1</v>
      </c>
      <c r="N11802" s="1" t="s">
        <v>38</v>
      </c>
      <c r="O11802" s="1" t="s">
        <v>46</v>
      </c>
    </row>
    <row r="11803" spans="2:15" x14ac:dyDescent="0.3">
      <c r="B11803" s="1" t="s">
        <v>20</v>
      </c>
      <c r="C11803" s="1" t="str">
        <f>"1차"</f>
        <v>1차</v>
      </c>
      <c r="D11803" s="1" t="str">
        <f>"9625G70100"</f>
        <v>9625G70100</v>
      </c>
      <c r="E11803" s="1" t="s">
        <v>10</v>
      </c>
      <c r="F11803" s="1" t="str">
        <f>"10.125.192.154"</f>
        <v>10.125.192.154</v>
      </c>
      <c r="G11803" s="1" t="str">
        <f>"9625G701"</f>
        <v>9625G701</v>
      </c>
      <c r="H11803" s="1" t="str">
        <f>"양합지 46"</f>
        <v>양합지 46</v>
      </c>
      <c r="I11803" s="1" t="s">
        <v>8</v>
      </c>
      <c r="J11803" s="1" t="str">
        <f>"12/12"</f>
        <v>12/12</v>
      </c>
      <c r="K11803" s="1" t="str">
        <f t="shared" si="588"/>
        <v>2026-07-29 13:18:10</v>
      </c>
      <c r="L11803" s="1" t="str">
        <f>"2014-11-29 16:27:41"</f>
        <v>2014-11-29 16:27:41</v>
      </c>
      <c r="M11803" s="1" t="s">
        <v>45</v>
      </c>
      <c r="N11803" s="1" t="s">
        <v>38</v>
      </c>
      <c r="O11803" s="1" t="s">
        <v>46</v>
      </c>
    </row>
    <row r="11804" spans="2:15" x14ac:dyDescent="0.3">
      <c r="B11804" s="1" t="s">
        <v>20</v>
      </c>
      <c r="C11804" s="1" t="str">
        <f>"1차"</f>
        <v>1차</v>
      </c>
      <c r="D11804" s="1" t="str">
        <f>"9625G71100"</f>
        <v>9625G71100</v>
      </c>
      <c r="E11804" s="1" t="s">
        <v>10</v>
      </c>
      <c r="F11804" s="1" t="str">
        <f>"10.125.192.138"</f>
        <v>10.125.192.138</v>
      </c>
      <c r="G11804" s="1" t="str">
        <f>"9625G711"</f>
        <v>9625G711</v>
      </c>
      <c r="H11804" s="1" t="str">
        <f>"양합지 43"</f>
        <v>양합지 43</v>
      </c>
      <c r="I11804" s="1" t="s">
        <v>8</v>
      </c>
      <c r="J11804" s="1" t="str">
        <f>"48/48"</f>
        <v>48/48</v>
      </c>
      <c r="K11804" s="1" t="str">
        <f t="shared" si="588"/>
        <v>2026-07-29 13:18:10</v>
      </c>
      <c r="L11804" s="1" t="str">
        <f>"2014-11-28 16:36:35"</f>
        <v>2014-11-28 16:36:35</v>
      </c>
      <c r="M11804" s="1" t="s">
        <v>45</v>
      </c>
      <c r="N11804" s="1" t="s">
        <v>38</v>
      </c>
      <c r="O11804" s="1" t="s">
        <v>46</v>
      </c>
    </row>
    <row r="11805" spans="2:15" x14ac:dyDescent="0.3">
      <c r="B11805" s="1" t="s">
        <v>20</v>
      </c>
      <c r="C11805" s="1" t="str">
        <f>"4차"</f>
        <v>4차</v>
      </c>
      <c r="D11805" s="1" t="str">
        <f>"9625G73244"</f>
        <v>9625G73244</v>
      </c>
      <c r="E11805" s="1" t="s">
        <v>10</v>
      </c>
      <c r="F11805" s="1" t="str">
        <f>"10.10.140.162"</f>
        <v>10.10.140.162</v>
      </c>
      <c r="G11805" s="1" t="str">
        <f>"9625G732"</f>
        <v>9625G732</v>
      </c>
      <c r="H11805" s="1" t="str">
        <f>"양합지 34L7"</f>
        <v>양합지 34L7</v>
      </c>
      <c r="I11805" s="1" t="s">
        <v>8</v>
      </c>
      <c r="J11805" s="1" t="str">
        <f>"72/72"</f>
        <v>72/72</v>
      </c>
      <c r="K11805" s="1" t="str">
        <f t="shared" si="588"/>
        <v>2026-07-29 13:18:10</v>
      </c>
      <c r="L11805" s="1" t="str">
        <f>"2020-02-12 11:03:44"</f>
        <v>2020-02-12 11:03:44</v>
      </c>
      <c r="M11805" s="1" t="s">
        <v>1</v>
      </c>
      <c r="N11805" s="1" t="s">
        <v>38</v>
      </c>
      <c r="O11805" s="1" t="s">
        <v>46</v>
      </c>
    </row>
    <row r="11806" spans="2:15" x14ac:dyDescent="0.3">
      <c r="B11806" s="1" t="s">
        <v>20</v>
      </c>
      <c r="C11806" s="1" t="str">
        <f>"4차"</f>
        <v>4차</v>
      </c>
      <c r="D11806" s="1" t="str">
        <f>"9625G74144"</f>
        <v>9625G74144</v>
      </c>
      <c r="E11806" s="1" t="s">
        <v>10</v>
      </c>
      <c r="F11806" s="1" t="str">
        <f>"10.10.140.146"</f>
        <v>10.10.140.146</v>
      </c>
      <c r="G11806" s="1" t="str">
        <f>"9625G741"</f>
        <v>9625G741</v>
      </c>
      <c r="H11806" s="1" t="str">
        <f>"양합지 34L5"</f>
        <v>양합지 34L5</v>
      </c>
      <c r="I11806" s="1" t="s">
        <v>8</v>
      </c>
      <c r="J11806" s="1" t="str">
        <f>"48/48"</f>
        <v>48/48</v>
      </c>
      <c r="K11806" s="1" t="str">
        <f t="shared" si="588"/>
        <v>2026-07-29 13:18:10</v>
      </c>
      <c r="L11806" s="1" t="str">
        <f>"2020-02-10 18:39:39"</f>
        <v>2020-02-10 18:39:39</v>
      </c>
      <c r="M11806" s="1" t="s">
        <v>1</v>
      </c>
      <c r="N11806" s="1" t="s">
        <v>38</v>
      </c>
      <c r="O11806" s="1" t="s">
        <v>46</v>
      </c>
    </row>
    <row r="11807" spans="2:15" x14ac:dyDescent="0.3">
      <c r="B11807" s="1" t="s">
        <v>20</v>
      </c>
      <c r="C11807" s="1" t="str">
        <f>"4차"</f>
        <v>4차</v>
      </c>
      <c r="D11807" s="1" t="str">
        <f>"9625G74244"</f>
        <v>9625G74244</v>
      </c>
      <c r="E11807" s="1" t="s">
        <v>10</v>
      </c>
      <c r="F11807" s="1" t="str">
        <f>"10.10.140.154"</f>
        <v>10.10.140.154</v>
      </c>
      <c r="G11807" s="1" t="str">
        <f>"9625G742"</f>
        <v>9625G742</v>
      </c>
      <c r="H11807" s="1" t="str">
        <f>"양합지 34L6"</f>
        <v>양합지 34L6</v>
      </c>
      <c r="I11807" s="1" t="s">
        <v>8</v>
      </c>
      <c r="J11807" s="1" t="str">
        <f>"49/49"</f>
        <v>49/49</v>
      </c>
      <c r="K11807" s="1" t="str">
        <f t="shared" si="588"/>
        <v>2026-07-29 13:18:10</v>
      </c>
      <c r="L11807" s="1" t="str">
        <f>"2020-02-10 18:35:27"</f>
        <v>2020-02-10 18:35:27</v>
      </c>
      <c r="M11807" s="1" t="s">
        <v>1</v>
      </c>
      <c r="N11807" s="1" t="s">
        <v>38</v>
      </c>
      <c r="O11807" s="1" t="s">
        <v>46</v>
      </c>
    </row>
    <row r="11808" spans="2:15" x14ac:dyDescent="0.3">
      <c r="B11808" s="1" t="s">
        <v>20</v>
      </c>
      <c r="C11808" s="1" t="str">
        <f>"4차"</f>
        <v>4차</v>
      </c>
      <c r="D11808" s="1" t="str">
        <f>"9625G77444"</f>
        <v>9625G77444</v>
      </c>
      <c r="E11808" s="1" t="s">
        <v>10</v>
      </c>
      <c r="F11808" s="1" t="str">
        <f>"10.10.139.194"</f>
        <v>10.10.139.194</v>
      </c>
      <c r="G11808" s="1" t="str">
        <f>"9625G774"</f>
        <v>9625G774</v>
      </c>
      <c r="H11808" s="1" t="str">
        <f>"합원간 6R5L1"</f>
        <v>합원간 6R5L1</v>
      </c>
      <c r="I11808" s="1" t="s">
        <v>8</v>
      </c>
      <c r="J11808" s="1" t="str">
        <f>"47/47"</f>
        <v>47/47</v>
      </c>
      <c r="K11808" s="1" t="str">
        <f t="shared" si="588"/>
        <v>2026-07-29 13:18:10</v>
      </c>
      <c r="L11808" s="1" t="str">
        <f>"2019-12-11 18:12:05"</f>
        <v>2019-12-11 18:12:05</v>
      </c>
      <c r="M11808" s="1" t="s">
        <v>1</v>
      </c>
      <c r="N11808" s="1" t="s">
        <v>38</v>
      </c>
      <c r="O11808" s="1" t="s">
        <v>46</v>
      </c>
    </row>
    <row r="11809" spans="2:15" x14ac:dyDescent="0.3">
      <c r="B11809" s="1" t="s">
        <v>20</v>
      </c>
      <c r="C11809" s="1" t="s">
        <v>16</v>
      </c>
      <c r="D11809" s="1" t="str">
        <f>"9625G78141"</f>
        <v>9625G78141</v>
      </c>
      <c r="E11809" s="1" t="s">
        <v>10</v>
      </c>
      <c r="F11809" s="1" t="str">
        <f>"10.14.10.131"</f>
        <v>10.14.10.131</v>
      </c>
      <c r="G11809" s="1" t="str">
        <f>"9625G781"</f>
        <v>9625G781</v>
      </c>
      <c r="H11809" s="1" t="str">
        <f>"합원간 27R14R8"</f>
        <v>합원간 27R14R8</v>
      </c>
      <c r="I11809" s="1" t="s">
        <v>17</v>
      </c>
      <c r="J11809" s="1" t="str">
        <f>"25/25"</f>
        <v>25/25</v>
      </c>
      <c r="K11809" s="1" t="str">
        <f>"2026-07-29 13:18:11"</f>
        <v>2026-07-29 13:18:11</v>
      </c>
      <c r="L11809" s="1" t="str">
        <f>"2022-11-14 12:02:45"</f>
        <v>2022-11-14 12:02:45</v>
      </c>
      <c r="M11809" s="1" t="s">
        <v>3</v>
      </c>
      <c r="N11809" s="1" t="s">
        <v>38</v>
      </c>
      <c r="O11809" s="1" t="s">
        <v>46</v>
      </c>
    </row>
    <row r="11810" spans="2:15" x14ac:dyDescent="0.3">
      <c r="B11810" s="1" t="s">
        <v>20</v>
      </c>
      <c r="C11810" s="1" t="str">
        <f>"4차"</f>
        <v>4차</v>
      </c>
      <c r="D11810" s="1" t="str">
        <f>"9625G79444"</f>
        <v>9625G79444</v>
      </c>
      <c r="E11810" s="1" t="s">
        <v>10</v>
      </c>
      <c r="F11810" s="1" t="str">
        <f>"10.10.134.194"</f>
        <v>10.10.134.194</v>
      </c>
      <c r="G11810" s="1" t="str">
        <f>"9625G794"</f>
        <v>9625G794</v>
      </c>
      <c r="H11810" s="1" t="str">
        <f>"합원간 27R19H1"</f>
        <v>합원간 27R19H1</v>
      </c>
      <c r="I11810" s="1" t="s">
        <v>8</v>
      </c>
      <c r="J11810" s="1" t="str">
        <f>"56/56"</f>
        <v>56/56</v>
      </c>
      <c r="K11810" s="1" t="str">
        <f>"2026-07-29 13:18:10"</f>
        <v>2026-07-29 13:18:10</v>
      </c>
      <c r="L11810" s="1" t="str">
        <f>"2019-12-24 16:45:35"</f>
        <v>2019-12-24 16:45:35</v>
      </c>
      <c r="M11810" s="1" t="s">
        <v>1</v>
      </c>
      <c r="N11810" s="1" t="s">
        <v>38</v>
      </c>
      <c r="O11810" s="1" t="s">
        <v>46</v>
      </c>
    </row>
    <row r="11811" spans="2:15" x14ac:dyDescent="0.3">
      <c r="B11811" s="1" t="s">
        <v>20</v>
      </c>
      <c r="C11811" s="1" t="str">
        <f>"4차"</f>
        <v>4차</v>
      </c>
      <c r="D11811" s="1" t="str">
        <f>"9625G80142"</f>
        <v>9625G80142</v>
      </c>
      <c r="E11811" s="1" t="s">
        <v>10</v>
      </c>
      <c r="F11811" s="1" t="str">
        <f>"10.12.138.179"</f>
        <v>10.12.138.179</v>
      </c>
      <c r="G11811" s="1" t="str">
        <f>"9625G801"</f>
        <v>9625G801</v>
      </c>
      <c r="H11811" s="1" t="str">
        <f>"양합지 45"</f>
        <v>양합지 45</v>
      </c>
      <c r="I11811" s="1" t="s">
        <v>8</v>
      </c>
      <c r="J11811" s="1" t="str">
        <f>"44/44"</f>
        <v>44/44</v>
      </c>
      <c r="K11811" s="1" t="str">
        <f>"2026-07-29 13:18:11"</f>
        <v>2026-07-29 13:18:11</v>
      </c>
      <c r="L11811" s="1" t="str">
        <f>"2026-06-18 16:45:01"</f>
        <v>2026-06-18 16:45:01</v>
      </c>
      <c r="M11811" s="1" t="s">
        <v>0</v>
      </c>
      <c r="N11811" s="1" t="s">
        <v>38</v>
      </c>
      <c r="O11811" s="1" t="s">
        <v>46</v>
      </c>
    </row>
    <row r="11812" spans="2:15" x14ac:dyDescent="0.3">
      <c r="B11812" s="1" t="s">
        <v>20</v>
      </c>
      <c r="C11812" s="1" t="str">
        <f>"1차"</f>
        <v>1차</v>
      </c>
      <c r="D11812" s="1" t="str">
        <f>"9625G80300"</f>
        <v>9625G80300</v>
      </c>
      <c r="E11812" s="1" t="s">
        <v>10</v>
      </c>
      <c r="F11812" s="1" t="str">
        <f>"10.125.192.162"</f>
        <v>10.125.192.162</v>
      </c>
      <c r="G11812" s="1" t="str">
        <f>"9625G803"</f>
        <v>9625G803</v>
      </c>
      <c r="H11812" s="1" t="str">
        <f>"양합지 45L2"</f>
        <v>양합지 45L2</v>
      </c>
      <c r="I11812" s="1" t="s">
        <v>8</v>
      </c>
      <c r="J11812" s="1" t="str">
        <f>"23/23"</f>
        <v>23/23</v>
      </c>
      <c r="K11812" s="1" t="str">
        <f>"2026-07-29 13:18:11"</f>
        <v>2026-07-29 13:18:11</v>
      </c>
      <c r="L11812" s="1" t="str">
        <f>"2014-11-29 17:27:47"</f>
        <v>2014-11-29 17:27:47</v>
      </c>
      <c r="M11812" s="1" t="s">
        <v>45</v>
      </c>
      <c r="N11812" s="1" t="s">
        <v>38</v>
      </c>
      <c r="O11812" s="1" t="s">
        <v>46</v>
      </c>
    </row>
    <row r="11813" spans="2:15" x14ac:dyDescent="0.3">
      <c r="B11813" s="1" t="s">
        <v>20</v>
      </c>
      <c r="C11813" s="1" t="str">
        <f>"4차"</f>
        <v>4차</v>
      </c>
      <c r="D11813" s="1" t="str">
        <f>"9625G85144"</f>
        <v>9625G85144</v>
      </c>
      <c r="E11813" s="1" t="s">
        <v>10</v>
      </c>
      <c r="F11813" s="1" t="str">
        <f>"10.10.140.50"</f>
        <v>10.10.140.50</v>
      </c>
      <c r="G11813" s="1" t="str">
        <f>"9625G851"</f>
        <v>9625G851</v>
      </c>
      <c r="H11813" s="1" t="str">
        <f>"양합지 24L1"</f>
        <v>양합지 24L1</v>
      </c>
      <c r="I11813" s="1" t="s">
        <v>8</v>
      </c>
      <c r="J11813" s="1" t="str">
        <f>"15/26"</f>
        <v>15/26</v>
      </c>
      <c r="K11813" s="1" t="str">
        <f>"2026-07-29 13:18:11"</f>
        <v>2026-07-29 13:18:11</v>
      </c>
      <c r="L11813" s="1" t="str">
        <f>"2020-02-10 18:39:26"</f>
        <v>2020-02-10 18:39:26</v>
      </c>
      <c r="M11813" s="1" t="s">
        <v>1</v>
      </c>
      <c r="N11813" s="1" t="s">
        <v>38</v>
      </c>
      <c r="O11813" s="1" t="s">
        <v>46</v>
      </c>
    </row>
    <row r="11814" spans="2:15" x14ac:dyDescent="0.3">
      <c r="B11814" s="1" t="s">
        <v>20</v>
      </c>
      <c r="C11814" s="1" t="str">
        <f>"5-1차"</f>
        <v>5-1차</v>
      </c>
      <c r="D11814" s="1" t="str">
        <f>"9625G8825M"</f>
        <v>9625G8825M</v>
      </c>
      <c r="E11814" s="1" t="s">
        <v>10</v>
      </c>
      <c r="F11814" s="1" t="str">
        <f>"fde3:102:1300:2a00:0:0:0:2"</f>
        <v>fde3:102:1300:2a00:0:0:0:2</v>
      </c>
      <c r="G11814" s="1" t="str">
        <f>"9625G882"</f>
        <v>9625G882</v>
      </c>
      <c r="H11814" s="1" t="str">
        <f>"합원간 6R8L1"</f>
        <v>합원간 6R8L1</v>
      </c>
      <c r="I11814" s="1" t="s">
        <v>15</v>
      </c>
      <c r="J11814" s="1" t="str">
        <f>"64/64"</f>
        <v>64/64</v>
      </c>
      <c r="K11814" s="1" t="str">
        <f>"2026-07-29 14:21:41"</f>
        <v>2026-07-29 14:21:41</v>
      </c>
      <c r="L11814" s="1" t="str">
        <f>"2022-11-24 10:29:12"</f>
        <v>2022-11-24 10:29:12</v>
      </c>
      <c r="M11814" s="1" t="s">
        <v>45</v>
      </c>
      <c r="N11814" s="1" t="s">
        <v>38</v>
      </c>
      <c r="O11814" s="1" t="s">
        <v>46</v>
      </c>
    </row>
    <row r="11815" spans="2:15" x14ac:dyDescent="0.3">
      <c r="B11815" s="1" t="s">
        <v>20</v>
      </c>
      <c r="C11815" s="1" t="str">
        <f>"4차"</f>
        <v>4차</v>
      </c>
      <c r="D11815" s="1" t="str">
        <f>"9625G91244"</f>
        <v>9625G91244</v>
      </c>
      <c r="E11815" s="1" t="s">
        <v>10</v>
      </c>
      <c r="F11815" s="1" t="str">
        <f>"10.10.89.50"</f>
        <v>10.10.89.50</v>
      </c>
      <c r="G11815" s="1" t="str">
        <f>"9625G912"</f>
        <v>9625G912</v>
      </c>
      <c r="H11815" s="1" t="str">
        <f>"양합지 45L3L3"</f>
        <v>양합지 45L3L3</v>
      </c>
      <c r="I11815" s="1" t="s">
        <v>8</v>
      </c>
      <c r="J11815" s="1" t="str">
        <f>"42/52"</f>
        <v>42/52</v>
      </c>
      <c r="K11815" s="1" t="str">
        <f t="shared" ref="K11815:K11820" si="589">"2026-07-29 13:18:11"</f>
        <v>2026-07-29 13:18:11</v>
      </c>
      <c r="L11815" s="1" t="str">
        <f>"2021-12-28 17:39:23"</f>
        <v>2021-12-28 17:39:23</v>
      </c>
      <c r="M11815" s="1" t="s">
        <v>1</v>
      </c>
      <c r="N11815" s="1" t="s">
        <v>38</v>
      </c>
      <c r="O11815" s="1" t="s">
        <v>46</v>
      </c>
    </row>
    <row r="11816" spans="2:15" x14ac:dyDescent="0.3">
      <c r="B11816" s="1" t="s">
        <v>20</v>
      </c>
      <c r="C11816" s="1" t="str">
        <f>"4차"</f>
        <v>4차</v>
      </c>
      <c r="D11816" s="1" t="str">
        <f>"9625G93144"</f>
        <v>9625G93144</v>
      </c>
      <c r="E11816" s="1" t="s">
        <v>10</v>
      </c>
      <c r="F11816" s="1" t="str">
        <f>"10.10.84.250"</f>
        <v>10.10.84.250</v>
      </c>
      <c r="G11816" s="1" t="str">
        <f>"9625G931"</f>
        <v>9625G931</v>
      </c>
      <c r="H11816" s="1" t="str">
        <f>"양합지 24L4"</f>
        <v>양합지 24L4</v>
      </c>
      <c r="I11816" s="1" t="s">
        <v>8</v>
      </c>
      <c r="J11816" s="1" t="str">
        <f>"50/51"</f>
        <v>50/51</v>
      </c>
      <c r="K11816" s="1" t="str">
        <f t="shared" si="589"/>
        <v>2026-07-29 13:18:11</v>
      </c>
      <c r="L11816" s="1" t="str">
        <f>"2019-10-28 13:27:00"</f>
        <v>2019-10-28 13:27:00</v>
      </c>
      <c r="M11816" s="1" t="s">
        <v>1</v>
      </c>
      <c r="N11816" s="1" t="s">
        <v>38</v>
      </c>
      <c r="O11816" s="1" t="s">
        <v>46</v>
      </c>
    </row>
    <row r="11817" spans="2:15" x14ac:dyDescent="0.3">
      <c r="B11817" s="1" t="s">
        <v>20</v>
      </c>
      <c r="C11817" s="1" t="str">
        <f>"1차"</f>
        <v>1차</v>
      </c>
      <c r="D11817" s="1" t="str">
        <f>"9625G98100"</f>
        <v>9625G98100</v>
      </c>
      <c r="E11817" s="1" t="s">
        <v>10</v>
      </c>
      <c r="F11817" s="1" t="str">
        <f>"10.125.192.98"</f>
        <v>10.125.192.98</v>
      </c>
      <c r="G11817" s="1" t="str">
        <f>"9625G981"</f>
        <v>9625G981</v>
      </c>
      <c r="H11817" s="1" t="str">
        <f>"성산간 5AL5L10"</f>
        <v>성산간 5AL5L10</v>
      </c>
      <c r="I11817" s="1" t="s">
        <v>8</v>
      </c>
      <c r="J11817" s="1" t="str">
        <f>"15/15"</f>
        <v>15/15</v>
      </c>
      <c r="K11817" s="1" t="str">
        <f t="shared" si="589"/>
        <v>2026-07-29 13:18:11</v>
      </c>
      <c r="L11817" s="1" t="str">
        <f>"2015-03-10 10:02:02"</f>
        <v>2015-03-10 10:02:02</v>
      </c>
      <c r="M11817" s="1" t="s">
        <v>45</v>
      </c>
      <c r="N11817" s="1" t="s">
        <v>38</v>
      </c>
      <c r="O11817" s="1" t="s">
        <v>46</v>
      </c>
    </row>
    <row r="11818" spans="2:15" x14ac:dyDescent="0.3">
      <c r="B11818" s="1" t="s">
        <v>20</v>
      </c>
      <c r="C11818" s="1" t="str">
        <f>"1차"</f>
        <v>1차</v>
      </c>
      <c r="D11818" s="1" t="str">
        <f>"9625H00101"</f>
        <v>9625H00101</v>
      </c>
      <c r="E11818" s="1" t="s">
        <v>10</v>
      </c>
      <c r="F11818" s="1" t="str">
        <f>"10.12.128.151"</f>
        <v>10.12.128.151</v>
      </c>
      <c r="G11818" s="1" t="str">
        <f>"9625H001"</f>
        <v>9625H001</v>
      </c>
      <c r="H11818" s="1" t="str">
        <f>"양합지 45L3L1"</f>
        <v>양합지 45L3L1</v>
      </c>
      <c r="I11818" s="1" t="s">
        <v>8</v>
      </c>
      <c r="J11818" s="1" t="str">
        <f>"12/12"</f>
        <v>12/12</v>
      </c>
      <c r="K11818" s="1" t="str">
        <f t="shared" si="589"/>
        <v>2026-07-29 13:18:11</v>
      </c>
      <c r="L11818" s="1" t="str">
        <f>"2014-11-27 15:22:15"</f>
        <v>2014-11-27 15:22:15</v>
      </c>
      <c r="M11818" s="1" t="s">
        <v>0</v>
      </c>
      <c r="N11818" s="1" t="s">
        <v>38</v>
      </c>
      <c r="O11818" s="1" t="s">
        <v>46</v>
      </c>
    </row>
    <row r="11819" spans="2:15" x14ac:dyDescent="0.3">
      <c r="B11819" s="1" t="s">
        <v>20</v>
      </c>
      <c r="C11819" s="1" t="str">
        <f>"4차"</f>
        <v>4차</v>
      </c>
      <c r="D11819" s="1" t="str">
        <f>"9625H00244"</f>
        <v>9625H00244</v>
      </c>
      <c r="E11819" s="1" t="s">
        <v>10</v>
      </c>
      <c r="F11819" s="1" t="str">
        <f>"10.10.89.42"</f>
        <v>10.10.89.42</v>
      </c>
      <c r="G11819" s="1" t="str">
        <f>"9625H002"</f>
        <v>9625H002</v>
      </c>
      <c r="H11819" s="1" t="str">
        <f>"양합지 45L3L1R1"</f>
        <v>양합지 45L3L1R1</v>
      </c>
      <c r="I11819" s="1" t="s">
        <v>8</v>
      </c>
      <c r="J11819" s="1" t="str">
        <f>"36/36"</f>
        <v>36/36</v>
      </c>
      <c r="K11819" s="1" t="str">
        <f t="shared" si="589"/>
        <v>2026-07-29 13:18:11</v>
      </c>
      <c r="L11819" s="1" t="str">
        <f>"2019-10-28 13:27:07"</f>
        <v>2019-10-28 13:27:07</v>
      </c>
      <c r="M11819" s="1" t="s">
        <v>1</v>
      </c>
      <c r="N11819" s="1" t="s">
        <v>38</v>
      </c>
      <c r="O11819" s="1" t="s">
        <v>46</v>
      </c>
    </row>
    <row r="11820" spans="2:15" x14ac:dyDescent="0.3">
      <c r="B11820" s="1" t="s">
        <v>20</v>
      </c>
      <c r="C11820" s="1" t="str">
        <f>"1차"</f>
        <v>1차</v>
      </c>
      <c r="D11820" s="1" t="str">
        <f>"9625H02100"</f>
        <v>9625H02100</v>
      </c>
      <c r="E11820" s="1" t="s">
        <v>10</v>
      </c>
      <c r="F11820" s="1" t="str">
        <f>"10.125.192.170"</f>
        <v>10.125.192.170</v>
      </c>
      <c r="G11820" s="1" t="str">
        <f>"9625H021"</f>
        <v>9625H021</v>
      </c>
      <c r="H11820" s="1" t="str">
        <f>"양합지 24L6"</f>
        <v>양합지 24L6</v>
      </c>
      <c r="I11820" s="1" t="s">
        <v>8</v>
      </c>
      <c r="J11820" s="1" t="str">
        <f>"52/52"</f>
        <v>52/52</v>
      </c>
      <c r="K11820" s="1" t="str">
        <f t="shared" si="589"/>
        <v>2026-07-29 13:18:11</v>
      </c>
      <c r="L11820" s="1" t="str">
        <f>"2014-11-29 15:42:48"</f>
        <v>2014-11-29 15:42:48</v>
      </c>
      <c r="M11820" s="1" t="s">
        <v>45</v>
      </c>
      <c r="N11820" s="1" t="s">
        <v>38</v>
      </c>
      <c r="O11820" s="1" t="s">
        <v>46</v>
      </c>
    </row>
    <row r="11821" spans="2:15" x14ac:dyDescent="0.3">
      <c r="B11821" s="1" t="s">
        <v>20</v>
      </c>
      <c r="C11821" s="1" t="str">
        <f>"3차"</f>
        <v>3차</v>
      </c>
      <c r="D11821" s="1" t="str">
        <f>"9625H05339"</f>
        <v>9625H05339</v>
      </c>
      <c r="E11821" s="1" t="s">
        <v>10</v>
      </c>
      <c r="F11821" s="1" t="str">
        <f>"10.12.129.194"</f>
        <v>10.12.129.194</v>
      </c>
      <c r="G11821" s="1" t="str">
        <f>"9625H053"</f>
        <v>9625H053</v>
      </c>
      <c r="H11821" s="1" t="str">
        <f>"양합지 21"</f>
        <v>양합지 21</v>
      </c>
      <c r="I11821" s="1" t="s">
        <v>8</v>
      </c>
      <c r="J11821" s="1" t="str">
        <f>"35/35"</f>
        <v>35/35</v>
      </c>
      <c r="K11821" s="1" t="str">
        <f>"2026-07-29 07:18:11"</f>
        <v>2026-07-29 07:18:11</v>
      </c>
      <c r="L11821" s="1" t="str">
        <f>"2018-04-18 08:13:24"</f>
        <v>2018-04-18 08:13:24</v>
      </c>
      <c r="M11821" s="1" t="s">
        <v>0</v>
      </c>
      <c r="N11821" s="1" t="s">
        <v>38</v>
      </c>
      <c r="O11821" s="1" t="s">
        <v>46</v>
      </c>
    </row>
    <row r="11822" spans="2:15" x14ac:dyDescent="0.3">
      <c r="B11822" s="1" t="s">
        <v>20</v>
      </c>
      <c r="C11822" s="1" t="str">
        <f t="shared" ref="C11822:C11836" si="590">"4차"</f>
        <v>4차</v>
      </c>
      <c r="D11822" s="1" t="str">
        <f>"9625H06144"</f>
        <v>9625H06144</v>
      </c>
      <c r="E11822" s="1" t="s">
        <v>10</v>
      </c>
      <c r="F11822" s="1" t="str">
        <f>"10.125.195.106"</f>
        <v>10.125.195.106</v>
      </c>
      <c r="G11822" s="1" t="str">
        <f>"9625H061"</f>
        <v>9625H061</v>
      </c>
      <c r="H11822" s="1" t="str">
        <f>"양합지 17R4R1"</f>
        <v>양합지 17R4R1</v>
      </c>
      <c r="I11822" s="1" t="s">
        <v>8</v>
      </c>
      <c r="J11822" s="1" t="str">
        <f>"19/19"</f>
        <v>19/19</v>
      </c>
      <c r="K11822" s="1" t="str">
        <f t="shared" ref="K11822:K11830" si="591">"2026-07-29 13:18:11"</f>
        <v>2026-07-29 13:18:11</v>
      </c>
      <c r="L11822" s="1" t="str">
        <f>"2019-12-11 16:48:29"</f>
        <v>2019-12-11 16:48:29</v>
      </c>
      <c r="M11822" s="1" t="s">
        <v>45</v>
      </c>
      <c r="N11822" s="1" t="s">
        <v>38</v>
      </c>
      <c r="O11822" s="1" t="s">
        <v>46</v>
      </c>
    </row>
    <row r="11823" spans="2:15" x14ac:dyDescent="0.3">
      <c r="B11823" s="1" t="s">
        <v>20</v>
      </c>
      <c r="C11823" s="1" t="str">
        <f t="shared" si="590"/>
        <v>4차</v>
      </c>
      <c r="D11823" s="1" t="str">
        <f>"9625H08244"</f>
        <v>9625H08244</v>
      </c>
      <c r="E11823" s="1" t="s">
        <v>10</v>
      </c>
      <c r="F11823" s="1" t="str">
        <f>"10.10.136.162"</f>
        <v>10.10.136.162</v>
      </c>
      <c r="G11823" s="1" t="str">
        <f>"9625H082"</f>
        <v>9625H082</v>
      </c>
      <c r="H11823" s="1" t="str">
        <f>"성산간 5AL5L10R1R1"</f>
        <v>성산간 5AL5L10R1R1</v>
      </c>
      <c r="I11823" s="1" t="s">
        <v>8</v>
      </c>
      <c r="J11823" s="1" t="str">
        <f>"56/56"</f>
        <v>56/56</v>
      </c>
      <c r="K11823" s="1" t="str">
        <f t="shared" si="591"/>
        <v>2026-07-29 13:18:11</v>
      </c>
      <c r="L11823" s="1" t="str">
        <f>"2020-01-21 16:38:59"</f>
        <v>2020-01-21 16:38:59</v>
      </c>
      <c r="M11823" s="1" t="s">
        <v>1</v>
      </c>
      <c r="N11823" s="1" t="s">
        <v>38</v>
      </c>
      <c r="O11823" s="1" t="s">
        <v>46</v>
      </c>
    </row>
    <row r="11824" spans="2:15" x14ac:dyDescent="0.3">
      <c r="B11824" s="1" t="s">
        <v>20</v>
      </c>
      <c r="C11824" s="1" t="str">
        <f t="shared" si="590"/>
        <v>4차</v>
      </c>
      <c r="D11824" s="1" t="str">
        <f>"9625H10244"</f>
        <v>9625H10244</v>
      </c>
      <c r="E11824" s="1" t="s">
        <v>10</v>
      </c>
      <c r="F11824" s="1" t="str">
        <f>"10.10.84.194"</f>
        <v>10.10.84.194</v>
      </c>
      <c r="G11824" s="1" t="str">
        <f>"9625H102"</f>
        <v>9625H102</v>
      </c>
      <c r="H11824" s="1" t="str">
        <f>"양합지 13L5"</f>
        <v>양합지 13L5</v>
      </c>
      <c r="I11824" s="1" t="s">
        <v>8</v>
      </c>
      <c r="J11824" s="1" t="str">
        <f>"11/11"</f>
        <v>11/11</v>
      </c>
      <c r="K11824" s="1" t="str">
        <f t="shared" si="591"/>
        <v>2026-07-29 13:18:11</v>
      </c>
      <c r="L11824" s="1" t="str">
        <f>"2019-12-11 18:12:09"</f>
        <v>2019-12-11 18:12:09</v>
      </c>
      <c r="M11824" s="1" t="s">
        <v>1</v>
      </c>
      <c r="N11824" s="1" t="s">
        <v>38</v>
      </c>
      <c r="O11824" s="1" t="s">
        <v>46</v>
      </c>
    </row>
    <row r="11825" spans="2:15" x14ac:dyDescent="0.3">
      <c r="B11825" s="1" t="s">
        <v>20</v>
      </c>
      <c r="C11825" s="1" t="str">
        <f t="shared" si="590"/>
        <v>4차</v>
      </c>
      <c r="D11825" s="1" t="str">
        <f>"9625H11144"</f>
        <v>9625H11144</v>
      </c>
      <c r="E11825" s="1" t="s">
        <v>10</v>
      </c>
      <c r="F11825" s="1" t="str">
        <f>"10.10.109.162"</f>
        <v>10.10.109.162</v>
      </c>
      <c r="G11825" s="1" t="str">
        <f>"9625H111"</f>
        <v>9625H111</v>
      </c>
      <c r="H11825" s="1" t="str">
        <f>"양합지 13L3R1"</f>
        <v>양합지 13L3R1</v>
      </c>
      <c r="I11825" s="1" t="s">
        <v>8</v>
      </c>
      <c r="J11825" s="1" t="str">
        <f>"26/26"</f>
        <v>26/26</v>
      </c>
      <c r="K11825" s="1" t="str">
        <f t="shared" si="591"/>
        <v>2026-07-29 13:18:11</v>
      </c>
      <c r="L11825" s="1" t="str">
        <f>"2019-10-28 11:31:14"</f>
        <v>2019-10-28 11:31:14</v>
      </c>
      <c r="M11825" s="1" t="s">
        <v>1</v>
      </c>
      <c r="N11825" s="1" t="s">
        <v>38</v>
      </c>
      <c r="O11825" s="1" t="s">
        <v>46</v>
      </c>
    </row>
    <row r="11826" spans="2:15" x14ac:dyDescent="0.3">
      <c r="B11826" s="1" t="s">
        <v>20</v>
      </c>
      <c r="C11826" s="1" t="str">
        <f t="shared" si="590"/>
        <v>4차</v>
      </c>
      <c r="D11826" s="1" t="str">
        <f>"9625H11244"</f>
        <v>9625H11244</v>
      </c>
      <c r="E11826" s="1" t="s">
        <v>10</v>
      </c>
      <c r="F11826" s="1" t="str">
        <f>"10.10.84.162"</f>
        <v>10.10.84.162</v>
      </c>
      <c r="G11826" s="1" t="str">
        <f>"9625H112"</f>
        <v>9625H112</v>
      </c>
      <c r="H11826" s="1" t="str">
        <f>"양합지 13L3R2"</f>
        <v>양합지 13L3R2</v>
      </c>
      <c r="I11826" s="1" t="s">
        <v>8</v>
      </c>
      <c r="J11826" s="1" t="str">
        <f>"27/27"</f>
        <v>27/27</v>
      </c>
      <c r="K11826" s="1" t="str">
        <f t="shared" si="591"/>
        <v>2026-07-29 13:18:11</v>
      </c>
      <c r="L11826" s="1" t="str">
        <f>"2019-10-28 12:03:04"</f>
        <v>2019-10-28 12:03:04</v>
      </c>
      <c r="M11826" s="1" t="s">
        <v>1</v>
      </c>
      <c r="N11826" s="1" t="s">
        <v>38</v>
      </c>
      <c r="O11826" s="1" t="s">
        <v>46</v>
      </c>
    </row>
    <row r="11827" spans="2:15" x14ac:dyDescent="0.3">
      <c r="B11827" s="1" t="s">
        <v>20</v>
      </c>
      <c r="C11827" s="1" t="str">
        <f t="shared" si="590"/>
        <v>4차</v>
      </c>
      <c r="D11827" s="1" t="str">
        <f>"9625H15141"</f>
        <v>9625H15141</v>
      </c>
      <c r="E11827" s="1" t="s">
        <v>10</v>
      </c>
      <c r="F11827" s="1" t="str">
        <f>"10.14.14.114"</f>
        <v>10.14.14.114</v>
      </c>
      <c r="G11827" s="1" t="str">
        <f>"9625H151"</f>
        <v>9625H151</v>
      </c>
      <c r="H11827" s="1" t="str">
        <f>"양합지 12R4"</f>
        <v>양합지 12R4</v>
      </c>
      <c r="I11827" s="1" t="s">
        <v>17</v>
      </c>
      <c r="J11827" s="1" t="str">
        <f>"20/20"</f>
        <v>20/20</v>
      </c>
      <c r="K11827" s="1" t="str">
        <f t="shared" si="591"/>
        <v>2026-07-29 13:18:11</v>
      </c>
      <c r="L11827" s="1" t="str">
        <f>"2021-08-06 10:39:54"</f>
        <v>2021-08-06 10:39:54</v>
      </c>
      <c r="M11827" s="1" t="s">
        <v>3</v>
      </c>
      <c r="N11827" s="1" t="s">
        <v>38</v>
      </c>
      <c r="O11827" s="1" t="s">
        <v>46</v>
      </c>
    </row>
    <row r="11828" spans="2:15" x14ac:dyDescent="0.3">
      <c r="B11828" s="1" t="s">
        <v>20</v>
      </c>
      <c r="C11828" s="1" t="str">
        <f t="shared" si="590"/>
        <v>4차</v>
      </c>
      <c r="D11828" s="1" t="str">
        <f>"9625H17344"</f>
        <v>9625H17344</v>
      </c>
      <c r="E11828" s="1" t="s">
        <v>10</v>
      </c>
      <c r="F11828" s="1" t="str">
        <f>"10.10.134.210"</f>
        <v>10.10.134.210</v>
      </c>
      <c r="G11828" s="1" t="str">
        <f>"9625H173"</f>
        <v>9625H173</v>
      </c>
      <c r="H11828" s="1" t="str">
        <f>"성산간 5AL5L5L3R3"</f>
        <v>성산간 5AL5L5L3R3</v>
      </c>
      <c r="I11828" s="1" t="s">
        <v>8</v>
      </c>
      <c r="J11828" s="1" t="str">
        <f>"33/33"</f>
        <v>33/33</v>
      </c>
      <c r="K11828" s="1" t="str">
        <f t="shared" si="591"/>
        <v>2026-07-29 13:18:11</v>
      </c>
      <c r="L11828" s="1" t="str">
        <f>"2019-12-11 18:07:48"</f>
        <v>2019-12-11 18:07:48</v>
      </c>
      <c r="M11828" s="1" t="s">
        <v>1</v>
      </c>
      <c r="N11828" s="1" t="s">
        <v>38</v>
      </c>
      <c r="O11828" s="1" t="s">
        <v>46</v>
      </c>
    </row>
    <row r="11829" spans="2:15" x14ac:dyDescent="0.3">
      <c r="B11829" s="1" t="s">
        <v>20</v>
      </c>
      <c r="C11829" s="1" t="str">
        <f t="shared" si="590"/>
        <v>4차</v>
      </c>
      <c r="D11829" s="1" t="str">
        <f>"9625H24241"</f>
        <v>9625H24241</v>
      </c>
      <c r="E11829" s="1" t="s">
        <v>10</v>
      </c>
      <c r="F11829" s="1" t="str">
        <f>"10.14.15.178"</f>
        <v>10.14.15.178</v>
      </c>
      <c r="G11829" s="1" t="str">
        <f>"9625H242"</f>
        <v>9625H242</v>
      </c>
      <c r="H11829" s="1" t="str">
        <f>"양합지 12R3"</f>
        <v>양합지 12R3</v>
      </c>
      <c r="I11829" s="1" t="s">
        <v>17</v>
      </c>
      <c r="J11829" s="1" t="str">
        <f>"9/9"</f>
        <v>9/9</v>
      </c>
      <c r="K11829" s="1" t="str">
        <f t="shared" si="591"/>
        <v>2026-07-29 13:18:11</v>
      </c>
      <c r="L11829" s="1" t="str">
        <f>"2021-08-12 08:34:55"</f>
        <v>2021-08-12 08:34:55</v>
      </c>
      <c r="M11829" s="1" t="s">
        <v>3</v>
      </c>
      <c r="N11829" s="1" t="s">
        <v>38</v>
      </c>
      <c r="O11829" s="1" t="s">
        <v>46</v>
      </c>
    </row>
    <row r="11830" spans="2:15" x14ac:dyDescent="0.3">
      <c r="B11830" s="1" t="s">
        <v>20</v>
      </c>
      <c r="C11830" s="1" t="str">
        <f t="shared" si="590"/>
        <v>4차</v>
      </c>
      <c r="D11830" s="1" t="str">
        <f>"9625H24341"</f>
        <v>9625H24341</v>
      </c>
      <c r="E11830" s="1" t="s">
        <v>10</v>
      </c>
      <c r="F11830" s="1" t="str">
        <f>"10.14.6.115"</f>
        <v>10.14.6.115</v>
      </c>
      <c r="G11830" s="1" t="str">
        <f>"9625H243"</f>
        <v>9625H243</v>
      </c>
      <c r="H11830" s="1" t="str">
        <f>"양합지 12R3L1"</f>
        <v>양합지 12R3L1</v>
      </c>
      <c r="I11830" s="1" t="s">
        <v>17</v>
      </c>
      <c r="J11830" s="1" t="str">
        <f>"3/3"</f>
        <v>3/3</v>
      </c>
      <c r="K11830" s="1" t="str">
        <f t="shared" si="591"/>
        <v>2026-07-29 13:18:11</v>
      </c>
      <c r="L11830" s="1" t="str">
        <f>"2021-08-06 11:22:15"</f>
        <v>2021-08-06 11:22:15</v>
      </c>
      <c r="M11830" s="1" t="s">
        <v>3</v>
      </c>
      <c r="N11830" s="1" t="s">
        <v>38</v>
      </c>
      <c r="O11830" s="1" t="s">
        <v>46</v>
      </c>
    </row>
    <row r="11831" spans="2:15" x14ac:dyDescent="0.3">
      <c r="B11831" s="1" t="s">
        <v>20</v>
      </c>
      <c r="C11831" s="1" t="str">
        <f t="shared" si="590"/>
        <v>4차</v>
      </c>
      <c r="D11831" s="1" t="str">
        <f>"9625H26141"</f>
        <v>9625H26141</v>
      </c>
      <c r="E11831" s="1" t="s">
        <v>10</v>
      </c>
      <c r="F11831" s="1" t="str">
        <f>"10.14.6.50"</f>
        <v>10.14.6.50</v>
      </c>
      <c r="G11831" s="1" t="str">
        <f>"9625H261"</f>
        <v>9625H261</v>
      </c>
      <c r="H11831" s="1" t="str">
        <f>"성산간 5L9"</f>
        <v>성산간 5L9</v>
      </c>
      <c r="I11831" s="1" t="s">
        <v>17</v>
      </c>
      <c r="J11831" s="1" t="str">
        <f>"1/4"</f>
        <v>1/4</v>
      </c>
      <c r="K11831" s="1" t="str">
        <f>"2026-07-29 13:18:12"</f>
        <v>2026-07-29 13:18:12</v>
      </c>
      <c r="L11831" s="1" t="str">
        <f>"2021-08-04 09:03:13"</f>
        <v>2021-08-04 09:03:13</v>
      </c>
      <c r="M11831" s="1" t="s">
        <v>3</v>
      </c>
      <c r="N11831" s="1" t="s">
        <v>38</v>
      </c>
      <c r="O11831" s="1" t="s">
        <v>46</v>
      </c>
    </row>
    <row r="11832" spans="2:15" x14ac:dyDescent="0.3">
      <c r="B11832" s="1" t="s">
        <v>20</v>
      </c>
      <c r="C11832" s="1" t="str">
        <f t="shared" si="590"/>
        <v>4차</v>
      </c>
      <c r="D11832" s="1" t="str">
        <f>"9625H26241"</f>
        <v>9625H26241</v>
      </c>
      <c r="E11832" s="1" t="s">
        <v>10</v>
      </c>
      <c r="F11832" s="1" t="str">
        <f>"10.14.7.114"</f>
        <v>10.14.7.114</v>
      </c>
      <c r="G11832" s="1" t="str">
        <f>"9625H262"</f>
        <v>9625H262</v>
      </c>
      <c r="H11832" s="1" t="str">
        <f>"성산간 5L4L1R8"</f>
        <v>성산간 5L4L1R8</v>
      </c>
      <c r="I11832" s="1" t="s">
        <v>17</v>
      </c>
      <c r="J11832" s="1" t="str">
        <f>"17/25"</f>
        <v>17/25</v>
      </c>
      <c r="K11832" s="1" t="str">
        <f>"2026-07-29 13:18:12"</f>
        <v>2026-07-29 13:18:12</v>
      </c>
      <c r="L11832" s="1" t="str">
        <f>"2021-08-04 08:26:08"</f>
        <v>2021-08-04 08:26:08</v>
      </c>
      <c r="M11832" s="1" t="s">
        <v>3</v>
      </c>
      <c r="N11832" s="1" t="s">
        <v>38</v>
      </c>
      <c r="O11832" s="1" t="s">
        <v>46</v>
      </c>
    </row>
    <row r="11833" spans="2:15" x14ac:dyDescent="0.3">
      <c r="B11833" s="1" t="s">
        <v>20</v>
      </c>
      <c r="C11833" s="1" t="str">
        <f t="shared" si="590"/>
        <v>4차</v>
      </c>
      <c r="D11833" s="1" t="str">
        <f>"9625H27144"</f>
        <v>9625H27144</v>
      </c>
      <c r="E11833" s="1" t="s">
        <v>10</v>
      </c>
      <c r="F11833" s="1" t="str">
        <f>"10.10.134.226"</f>
        <v>10.10.134.226</v>
      </c>
      <c r="G11833" s="1" t="str">
        <f>"9625H271"</f>
        <v>9625H271</v>
      </c>
      <c r="H11833" s="1" t="str">
        <f>"성산간 5AL5L5L3R1"</f>
        <v>성산간 5AL5L5L3R1</v>
      </c>
      <c r="I11833" s="1" t="s">
        <v>8</v>
      </c>
      <c r="J11833" s="1" t="str">
        <f>"41/41"</f>
        <v>41/41</v>
      </c>
      <c r="K11833" s="1" t="str">
        <f>"2026-07-29 13:18:11"</f>
        <v>2026-07-29 13:18:11</v>
      </c>
      <c r="L11833" s="1" t="str">
        <f>"2019-12-11 18:10:09"</f>
        <v>2019-12-11 18:10:09</v>
      </c>
      <c r="M11833" s="1" t="s">
        <v>1</v>
      </c>
      <c r="N11833" s="1" t="s">
        <v>38</v>
      </c>
      <c r="O11833" s="1" t="s">
        <v>46</v>
      </c>
    </row>
    <row r="11834" spans="2:15" x14ac:dyDescent="0.3">
      <c r="B11834" s="1" t="s">
        <v>20</v>
      </c>
      <c r="C11834" s="1" t="str">
        <f t="shared" si="590"/>
        <v>4차</v>
      </c>
      <c r="D11834" s="1" t="str">
        <f>"9625H29144"</f>
        <v>9625H29144</v>
      </c>
      <c r="E11834" s="1" t="s">
        <v>10</v>
      </c>
      <c r="F11834" s="1" t="str">
        <f>"10.10.134.98"</f>
        <v>10.10.134.98</v>
      </c>
      <c r="G11834" s="1" t="str">
        <f>"9625H291"</f>
        <v>9625H291</v>
      </c>
      <c r="H11834" s="1" t="str">
        <f>"성산간 5AL5L5L2"</f>
        <v>성산간 5AL5L5L2</v>
      </c>
      <c r="I11834" s="1" t="s">
        <v>8</v>
      </c>
      <c r="J11834" s="1" t="str">
        <f>"7/7"</f>
        <v>7/7</v>
      </c>
      <c r="K11834" s="1" t="str">
        <f>"2026-07-29 13:18:11"</f>
        <v>2026-07-29 13:18:11</v>
      </c>
      <c r="L11834" s="1" t="str">
        <f>"2019-12-11 18:05:53"</f>
        <v>2019-12-11 18:05:53</v>
      </c>
      <c r="M11834" s="1" t="s">
        <v>1</v>
      </c>
      <c r="N11834" s="1" t="s">
        <v>38</v>
      </c>
      <c r="O11834" s="1" t="s">
        <v>46</v>
      </c>
    </row>
    <row r="11835" spans="2:15" x14ac:dyDescent="0.3">
      <c r="B11835" s="1" t="s">
        <v>20</v>
      </c>
      <c r="C11835" s="1" t="str">
        <f t="shared" si="590"/>
        <v>4차</v>
      </c>
      <c r="D11835" s="1" t="str">
        <f>"9625H34241"</f>
        <v>9625H34241</v>
      </c>
      <c r="E11835" s="1" t="s">
        <v>10</v>
      </c>
      <c r="F11835" s="1" t="str">
        <f>"10.14.3.178"</f>
        <v>10.14.3.178</v>
      </c>
      <c r="G11835" s="1" t="str">
        <f>"9625H342"</f>
        <v>9625H342</v>
      </c>
      <c r="H11835" s="1" t="str">
        <f>"양합지 6R7"</f>
        <v>양합지 6R7</v>
      </c>
      <c r="I11835" s="1" t="s">
        <v>17</v>
      </c>
      <c r="J11835" s="1" t="str">
        <f>"34/49"</f>
        <v>34/49</v>
      </c>
      <c r="K11835" s="1" t="str">
        <f>"2026-07-29 13:18:10"</f>
        <v>2026-07-29 13:18:10</v>
      </c>
      <c r="L11835" s="1" t="str">
        <f>"2021-08-06 09:10:23"</f>
        <v>2021-08-06 09:10:23</v>
      </c>
      <c r="M11835" s="1" t="s">
        <v>3</v>
      </c>
      <c r="N11835" s="1" t="s">
        <v>38</v>
      </c>
      <c r="O11835" s="1" t="s">
        <v>46</v>
      </c>
    </row>
    <row r="11836" spans="2:15" x14ac:dyDescent="0.3">
      <c r="B11836" s="1" t="s">
        <v>20</v>
      </c>
      <c r="C11836" s="1" t="str">
        <f t="shared" si="590"/>
        <v>4차</v>
      </c>
      <c r="D11836" s="1" t="str">
        <f>"9625H35141"</f>
        <v>9625H35141</v>
      </c>
      <c r="E11836" s="1" t="s">
        <v>10</v>
      </c>
      <c r="F11836" s="1" t="str">
        <f>"10.14.6.47"</f>
        <v>10.14.6.47</v>
      </c>
      <c r="G11836" s="1" t="str">
        <f>"9625H351"</f>
        <v>9625H351</v>
      </c>
      <c r="H11836" s="1" t="str">
        <f>"성산간 5L4L1R6L1"</f>
        <v>성산간 5L4L1R6L1</v>
      </c>
      <c r="I11836" s="1" t="s">
        <v>17</v>
      </c>
      <c r="J11836" s="1" t="str">
        <f>"10/12"</f>
        <v>10/12</v>
      </c>
      <c r="K11836" s="1" t="str">
        <f>"2026-07-29 13:18:12"</f>
        <v>2026-07-29 13:18:12</v>
      </c>
      <c r="L11836" s="1" t="str">
        <f>"2021-08-04 09:58:31"</f>
        <v>2021-08-04 09:58:31</v>
      </c>
      <c r="M11836" s="1" t="s">
        <v>3</v>
      </c>
      <c r="N11836" s="1" t="s">
        <v>38</v>
      </c>
      <c r="O11836" s="1" t="s">
        <v>46</v>
      </c>
    </row>
    <row r="11837" spans="2:15" x14ac:dyDescent="0.3">
      <c r="B11837" s="1" t="s">
        <v>20</v>
      </c>
      <c r="C11837" s="1" t="str">
        <f>"3차"</f>
        <v>3차</v>
      </c>
      <c r="D11837" s="1" t="str">
        <f>"9625H37239"</f>
        <v>9625H37239</v>
      </c>
      <c r="E11837" s="1" t="s">
        <v>10</v>
      </c>
      <c r="F11837" s="1" t="str">
        <f>"10.14.15.199"</f>
        <v>10.14.15.199</v>
      </c>
      <c r="G11837" s="1" t="str">
        <f>"9625H372"</f>
        <v>9625H372</v>
      </c>
      <c r="H11837" s="1" t="str">
        <f>"성산간 5AL5L5L5"</f>
        <v>성산간 5AL5L5L5</v>
      </c>
      <c r="I11837" s="1" t="s">
        <v>8</v>
      </c>
      <c r="J11837" s="1" t="str">
        <f>"5/5"</f>
        <v>5/5</v>
      </c>
      <c r="K11837" s="1" t="str">
        <f t="shared" ref="K11837:K11843" si="592">"2026-07-29 13:18:11"</f>
        <v>2026-07-29 13:18:11</v>
      </c>
      <c r="L11837" s="1" t="str">
        <f>"2018-04-20 08:28:10"</f>
        <v>2018-04-20 08:28:10</v>
      </c>
      <c r="M11837" s="1" t="s">
        <v>3</v>
      </c>
      <c r="N11837" s="1" t="s">
        <v>38</v>
      </c>
      <c r="O11837" s="1" t="s">
        <v>46</v>
      </c>
    </row>
    <row r="11838" spans="2:15" x14ac:dyDescent="0.3">
      <c r="B11838" s="1" t="s">
        <v>20</v>
      </c>
      <c r="C11838" s="1" t="str">
        <f>"4차"</f>
        <v>4차</v>
      </c>
      <c r="D11838" s="1" t="str">
        <f>"9625H38344"</f>
        <v>9625H38344</v>
      </c>
      <c r="E11838" s="1" t="s">
        <v>10</v>
      </c>
      <c r="F11838" s="1" t="str">
        <f>"10.10.134.82"</f>
        <v>10.10.134.82</v>
      </c>
      <c r="G11838" s="1" t="str">
        <f>"9625H383"</f>
        <v>9625H383</v>
      </c>
      <c r="H11838" s="1" t="str">
        <f>"성산간 5AL5L5L3L1"</f>
        <v>성산간 5AL5L5L3L1</v>
      </c>
      <c r="I11838" s="1" t="s">
        <v>8</v>
      </c>
      <c r="J11838" s="1" t="str">
        <f>"64/64"</f>
        <v>64/64</v>
      </c>
      <c r="K11838" s="1" t="str">
        <f t="shared" si="592"/>
        <v>2026-07-29 13:18:11</v>
      </c>
      <c r="L11838" s="1" t="str">
        <f>"2019-12-11 18:06:43"</f>
        <v>2019-12-11 18:06:43</v>
      </c>
      <c r="M11838" s="1" t="s">
        <v>1</v>
      </c>
      <c r="N11838" s="1" t="s">
        <v>38</v>
      </c>
      <c r="O11838" s="1" t="s">
        <v>46</v>
      </c>
    </row>
    <row r="11839" spans="2:15" x14ac:dyDescent="0.3">
      <c r="B11839" s="1" t="s">
        <v>20</v>
      </c>
      <c r="C11839" s="1" t="str">
        <f>"4차"</f>
        <v>4차</v>
      </c>
      <c r="D11839" s="1" t="str">
        <f>"9625H40139"</f>
        <v>9625H40139</v>
      </c>
      <c r="E11839" s="1" t="s">
        <v>10</v>
      </c>
      <c r="F11839" s="1" t="str">
        <f>"10.12.136.185"</f>
        <v>10.12.136.185</v>
      </c>
      <c r="G11839" s="1" t="str">
        <f>"9625H401"</f>
        <v>9625H401</v>
      </c>
      <c r="H11839" s="1" t="str">
        <f>"양화로 16T"</f>
        <v>양화로 16T</v>
      </c>
      <c r="I11839" s="1" t="s">
        <v>17</v>
      </c>
      <c r="J11839" s="1" t="str">
        <f>"5/5"</f>
        <v>5/5</v>
      </c>
      <c r="K11839" s="1" t="str">
        <f t="shared" si="592"/>
        <v>2026-07-29 13:18:11</v>
      </c>
      <c r="L11839" s="1" t="str">
        <f>"2018-10-15 12:36:41"</f>
        <v>2018-10-15 12:36:41</v>
      </c>
      <c r="M11839" s="1" t="s">
        <v>0</v>
      </c>
      <c r="N11839" s="1" t="s">
        <v>38</v>
      </c>
      <c r="O11839" s="1" t="s">
        <v>46</v>
      </c>
    </row>
    <row r="11840" spans="2:15" x14ac:dyDescent="0.3">
      <c r="B11840" s="1" t="s">
        <v>20</v>
      </c>
      <c r="C11840" s="1" t="str">
        <f>"4차"</f>
        <v>4차</v>
      </c>
      <c r="D11840" s="1" t="str">
        <f>"9625H41239"</f>
        <v>9625H41239</v>
      </c>
      <c r="E11840" s="1" t="s">
        <v>10</v>
      </c>
      <c r="F11840" s="1" t="str">
        <f>"10.12.135.130"</f>
        <v>10.12.135.130</v>
      </c>
      <c r="G11840" s="1" t="str">
        <f>"9625H412"</f>
        <v>9625H412</v>
      </c>
      <c r="H11840" s="1" t="str">
        <f>"양화로 R12"</f>
        <v>양화로 R12</v>
      </c>
      <c r="I11840" s="1" t="s">
        <v>17</v>
      </c>
      <c r="J11840" s="1" t="str">
        <f>"3/8"</f>
        <v>3/8</v>
      </c>
      <c r="K11840" s="1" t="str">
        <f t="shared" si="592"/>
        <v>2026-07-29 13:18:11</v>
      </c>
      <c r="L11840" s="1" t="str">
        <f>"2018-05-25 08:02:26"</f>
        <v>2018-05-25 08:02:26</v>
      </c>
      <c r="M11840" s="1" t="s">
        <v>0</v>
      </c>
      <c r="N11840" s="1" t="s">
        <v>38</v>
      </c>
      <c r="O11840" s="1" t="s">
        <v>46</v>
      </c>
    </row>
    <row r="11841" spans="2:15" x14ac:dyDescent="0.3">
      <c r="B11841" s="1" t="s">
        <v>20</v>
      </c>
      <c r="C11841" s="1" t="str">
        <f>"4차"</f>
        <v>4차</v>
      </c>
      <c r="D11841" s="1" t="str">
        <f>"9625H42141"</f>
        <v>9625H42141</v>
      </c>
      <c r="E11841" s="1" t="s">
        <v>10</v>
      </c>
      <c r="F11841" s="1" t="str">
        <f>"10.14.3.115"</f>
        <v>10.14.3.115</v>
      </c>
      <c r="G11841" s="1" t="str">
        <f>"9625H421"</f>
        <v>9625H421</v>
      </c>
      <c r="H11841" s="1" t="str">
        <f>"양합지 12"</f>
        <v>양합지 12</v>
      </c>
      <c r="I11841" s="1" t="s">
        <v>17</v>
      </c>
      <c r="J11841" s="1" t="str">
        <f>"15/15"</f>
        <v>15/15</v>
      </c>
      <c r="K11841" s="1" t="str">
        <f t="shared" si="592"/>
        <v>2026-07-29 13:18:11</v>
      </c>
      <c r="L11841" s="1" t="str">
        <f>"2021-08-05 13:56:51"</f>
        <v>2021-08-05 13:56:51</v>
      </c>
      <c r="M11841" s="1" t="s">
        <v>3</v>
      </c>
      <c r="N11841" s="1" t="s">
        <v>38</v>
      </c>
      <c r="O11841" s="1" t="s">
        <v>46</v>
      </c>
    </row>
    <row r="11842" spans="2:15" x14ac:dyDescent="0.3">
      <c r="B11842" s="1" t="s">
        <v>20</v>
      </c>
      <c r="C11842" s="1" t="str">
        <f>"4차"</f>
        <v>4차</v>
      </c>
      <c r="D11842" s="1" t="str">
        <f>"9625H43241"</f>
        <v>9625H43241</v>
      </c>
      <c r="E11842" s="1" t="s">
        <v>10</v>
      </c>
      <c r="F11842" s="1" t="str">
        <f>"10.14.8.114"</f>
        <v>10.14.8.114</v>
      </c>
      <c r="G11842" s="1" t="str">
        <f>"9625H432"</f>
        <v>9625H432</v>
      </c>
      <c r="H11842" s="1" t="str">
        <f>"양합지 9R2"</f>
        <v>양합지 9R2</v>
      </c>
      <c r="I11842" s="1" t="s">
        <v>17</v>
      </c>
      <c r="J11842" s="1" t="str">
        <f>"19/19"</f>
        <v>19/19</v>
      </c>
      <c r="K11842" s="1" t="str">
        <f t="shared" si="592"/>
        <v>2026-07-29 13:18:11</v>
      </c>
      <c r="L11842" s="1" t="str">
        <f>"2021-08-06 12:06:39"</f>
        <v>2021-08-06 12:06:39</v>
      </c>
      <c r="M11842" s="1" t="s">
        <v>3</v>
      </c>
      <c r="N11842" s="1" t="s">
        <v>38</v>
      </c>
      <c r="O11842" s="1" t="s">
        <v>46</v>
      </c>
    </row>
    <row r="11843" spans="2:15" x14ac:dyDescent="0.3">
      <c r="B11843" s="1" t="s">
        <v>20</v>
      </c>
      <c r="C11843" s="1" t="str">
        <f>"3차"</f>
        <v>3차</v>
      </c>
      <c r="D11843" s="1" t="str">
        <f>"9625H44139"</f>
        <v>9625H44139</v>
      </c>
      <c r="E11843" s="1" t="s">
        <v>10</v>
      </c>
      <c r="F11843" s="1" t="str">
        <f>"10.12.129.211"</f>
        <v>10.12.129.211</v>
      </c>
      <c r="G11843" s="1" t="str">
        <f>"9625H441"</f>
        <v>9625H441</v>
      </c>
      <c r="H11843" s="1" t="str">
        <f>"양합지 9R1"</f>
        <v>양합지 9R1</v>
      </c>
      <c r="I11843" s="1" t="s">
        <v>8</v>
      </c>
      <c r="J11843" s="1" t="str">
        <f>"34/35"</f>
        <v>34/35</v>
      </c>
      <c r="K11843" s="1" t="str">
        <f t="shared" si="592"/>
        <v>2026-07-29 13:18:11</v>
      </c>
      <c r="L11843" s="1" t="str">
        <f>"2018-04-20 09:59:40"</f>
        <v>2018-04-20 09:59:40</v>
      </c>
      <c r="M11843" s="1" t="s">
        <v>0</v>
      </c>
      <c r="N11843" s="1" t="s">
        <v>38</v>
      </c>
      <c r="O11843" s="1" t="s">
        <v>46</v>
      </c>
    </row>
    <row r="11844" spans="2:15" x14ac:dyDescent="0.3">
      <c r="B11844" s="1" t="s">
        <v>20</v>
      </c>
      <c r="C11844" s="1" t="str">
        <f>"4차"</f>
        <v>4차</v>
      </c>
      <c r="D11844" s="1" t="str">
        <f>"9625H45141"</f>
        <v>9625H45141</v>
      </c>
      <c r="E11844" s="1" t="s">
        <v>10</v>
      </c>
      <c r="F11844" s="1" t="str">
        <f>"10.14.1.182"</f>
        <v>10.14.1.182</v>
      </c>
      <c r="G11844" s="1" t="str">
        <f>"9625H451"</f>
        <v>9625H451</v>
      </c>
      <c r="H11844" s="1" t="str">
        <f>"성산간 5L4L1R4L1"</f>
        <v>성산간 5L4L1R4L1</v>
      </c>
      <c r="I11844" s="1" t="s">
        <v>17</v>
      </c>
      <c r="J11844" s="1" t="str">
        <f>"13/17"</f>
        <v>13/17</v>
      </c>
      <c r="K11844" s="1" t="str">
        <f>"2026-07-29 13:18:12"</f>
        <v>2026-07-29 13:18:12</v>
      </c>
      <c r="L11844" s="1" t="str">
        <f>"2021-08-04 10:57:23"</f>
        <v>2021-08-04 10:57:23</v>
      </c>
      <c r="M11844" s="1" t="s">
        <v>3</v>
      </c>
      <c r="N11844" s="1" t="s">
        <v>38</v>
      </c>
      <c r="O11844" s="1" t="s">
        <v>46</v>
      </c>
    </row>
    <row r="11845" spans="2:15" x14ac:dyDescent="0.3">
      <c r="B11845" s="1" t="s">
        <v>20</v>
      </c>
      <c r="C11845" s="1" t="str">
        <f>"3차"</f>
        <v>3차</v>
      </c>
      <c r="D11845" s="1" t="str">
        <f>"9625H45339"</f>
        <v>9625H45339</v>
      </c>
      <c r="E11845" s="1" t="s">
        <v>10</v>
      </c>
      <c r="F11845" s="1" t="str">
        <f>"10.12.129.109"</f>
        <v>10.12.129.109</v>
      </c>
      <c r="G11845" s="1" t="str">
        <f>"9625H453"</f>
        <v>9625H453</v>
      </c>
      <c r="H11845" s="1" t="str">
        <f>"양합지 6R5"</f>
        <v>양합지 6R5</v>
      </c>
      <c r="I11845" s="1" t="s">
        <v>8</v>
      </c>
      <c r="J11845" s="1" t="str">
        <f>"32/32"</f>
        <v>32/32</v>
      </c>
      <c r="K11845" s="1" t="str">
        <f>"2026-07-29 13:18:11"</f>
        <v>2026-07-29 13:18:11</v>
      </c>
      <c r="L11845" s="1" t="str">
        <f>"2018-04-20 09:17:41"</f>
        <v>2018-04-20 09:17:41</v>
      </c>
      <c r="M11845" s="1" t="s">
        <v>0</v>
      </c>
      <c r="N11845" s="1" t="s">
        <v>38</v>
      </c>
      <c r="O11845" s="1" t="s">
        <v>46</v>
      </c>
    </row>
    <row r="11846" spans="2:15" x14ac:dyDescent="0.3">
      <c r="B11846" s="1" t="s">
        <v>20</v>
      </c>
      <c r="C11846" s="1" t="str">
        <f>"6차"</f>
        <v>6차</v>
      </c>
      <c r="D11846" s="1" t="str">
        <f>"9625H5046S"</f>
        <v>9625H5046S</v>
      </c>
      <c r="E11846" s="1" t="s">
        <v>10</v>
      </c>
      <c r="F11846" s="1" t="str">
        <f>"fde1:103:4:c604:0:0:0:2"</f>
        <v>fde1:103:4:c604:0:0:0:2</v>
      </c>
      <c r="G11846" s="1" t="str">
        <f>"9625H504"</f>
        <v>9625H504</v>
      </c>
      <c r="H11846" s="1" t="str">
        <f>"양화간 54R3H1"</f>
        <v>양화간 54R3H1</v>
      </c>
      <c r="I11846" s="1" t="s">
        <v>15</v>
      </c>
      <c r="J11846" s="1" t="str">
        <f>"35/35"</f>
        <v>35/35</v>
      </c>
      <c r="K11846" s="1" t="str">
        <f>"2026-07-29 14:20:58"</f>
        <v>2026-07-29 14:20:58</v>
      </c>
      <c r="L11846" s="1" t="str">
        <f>"2024-11-13 15:16:17"</f>
        <v>2024-11-13 15:16:17</v>
      </c>
      <c r="M11846" s="1" t="s">
        <v>4</v>
      </c>
      <c r="N11846" s="1" t="s">
        <v>38</v>
      </c>
      <c r="O11846" s="1" t="s">
        <v>46</v>
      </c>
    </row>
    <row r="11847" spans="2:15" x14ac:dyDescent="0.3">
      <c r="B11847" s="1" t="s">
        <v>20</v>
      </c>
      <c r="C11847" s="1" t="str">
        <f>"4차"</f>
        <v>4차</v>
      </c>
      <c r="D11847" s="1" t="str">
        <f>"9625H53141"</f>
        <v>9625H53141</v>
      </c>
      <c r="E11847" s="1" t="s">
        <v>10</v>
      </c>
      <c r="F11847" s="1" t="str">
        <f>"10.14.11.110"</f>
        <v>10.14.11.110</v>
      </c>
      <c r="G11847" s="1" t="str">
        <f>"9625H531"</f>
        <v>9625H531</v>
      </c>
      <c r="H11847" s="1" t="str">
        <f>"양합지 9"</f>
        <v>양합지 9</v>
      </c>
      <c r="I11847" s="1" t="s">
        <v>17</v>
      </c>
      <c r="J11847" s="1" t="str">
        <f>"4/4"</f>
        <v>4/4</v>
      </c>
      <c r="K11847" s="1" t="str">
        <f>"2026-07-29 13:18:11"</f>
        <v>2026-07-29 13:18:11</v>
      </c>
      <c r="L11847" s="1" t="str">
        <f>"2021-08-05 14:50:39"</f>
        <v>2021-08-05 14:50:39</v>
      </c>
      <c r="M11847" s="1" t="s">
        <v>3</v>
      </c>
      <c r="N11847" s="1" t="s">
        <v>38</v>
      </c>
      <c r="O11847" s="1" t="s">
        <v>46</v>
      </c>
    </row>
    <row r="11848" spans="2:15" x14ac:dyDescent="0.3">
      <c r="B11848" s="1" t="s">
        <v>20</v>
      </c>
      <c r="C11848" s="1" t="str">
        <f>"4차"</f>
        <v>4차</v>
      </c>
      <c r="D11848" s="1" t="str">
        <f>"9625H55341"</f>
        <v>9625H55341</v>
      </c>
      <c r="E11848" s="1" t="s">
        <v>10</v>
      </c>
      <c r="F11848" s="1" t="str">
        <f>"10.14.5.179"</f>
        <v>10.14.5.179</v>
      </c>
      <c r="G11848" s="1" t="str">
        <f>"9625H553"</f>
        <v>9625H553</v>
      </c>
      <c r="H11848" s="1" t="str">
        <f>"양합지 6R4"</f>
        <v>양합지 6R4</v>
      </c>
      <c r="I11848" s="1" t="s">
        <v>17</v>
      </c>
      <c r="J11848" s="1" t="str">
        <f>"20/20"</f>
        <v>20/20</v>
      </c>
      <c r="K11848" s="1" t="str">
        <f>"2026-07-29 13:18:11"</f>
        <v>2026-07-29 13:18:11</v>
      </c>
      <c r="L11848" s="1" t="str">
        <f>"2021-08-06 07:44:28"</f>
        <v>2021-08-06 07:44:28</v>
      </c>
      <c r="M11848" s="1" t="s">
        <v>3</v>
      </c>
      <c r="N11848" s="1" t="s">
        <v>38</v>
      </c>
      <c r="O11848" s="1" t="s">
        <v>46</v>
      </c>
    </row>
    <row r="11849" spans="2:15" x14ac:dyDescent="0.3">
      <c r="B11849" s="1" t="s">
        <v>20</v>
      </c>
      <c r="C11849" s="1" t="str">
        <f>"4차"</f>
        <v>4차</v>
      </c>
      <c r="D11849" s="1" t="str">
        <f>"9625H57141"</f>
        <v>9625H57141</v>
      </c>
      <c r="E11849" s="1" t="s">
        <v>10</v>
      </c>
      <c r="F11849" s="1" t="str">
        <f>"10.14.4.178"</f>
        <v>10.14.4.178</v>
      </c>
      <c r="G11849" s="1" t="str">
        <f>"9625H571"</f>
        <v>9625H571</v>
      </c>
      <c r="H11849" s="1" t="str">
        <f>"성산간 5L5"</f>
        <v>성산간 5L5</v>
      </c>
      <c r="I11849" s="1" t="s">
        <v>17</v>
      </c>
      <c r="J11849" s="1" t="str">
        <f>"3/8"</f>
        <v>3/8</v>
      </c>
      <c r="K11849" s="1" t="str">
        <f>"2026-07-29 13:18:12"</f>
        <v>2026-07-29 13:18:12</v>
      </c>
      <c r="L11849" s="1" t="str">
        <f>"2021-08-06 06:44:45"</f>
        <v>2021-08-06 06:44:45</v>
      </c>
      <c r="M11849" s="1" t="s">
        <v>3</v>
      </c>
      <c r="N11849" s="1" t="s">
        <v>38</v>
      </c>
      <c r="O11849" s="1" t="s">
        <v>46</v>
      </c>
    </row>
    <row r="11850" spans="2:15" x14ac:dyDescent="0.3">
      <c r="B11850" s="1" t="s">
        <v>20</v>
      </c>
      <c r="C11850" s="1" t="str">
        <f>"4차"</f>
        <v>4차</v>
      </c>
      <c r="D11850" s="1" t="str">
        <f>"9625H57441"</f>
        <v>9625H57441</v>
      </c>
      <c r="E11850" s="1" t="s">
        <v>10</v>
      </c>
      <c r="F11850" s="1" t="str">
        <f>"10.14.5.49"</f>
        <v>10.14.5.49</v>
      </c>
      <c r="G11850" s="1" t="str">
        <f>"9625H574"</f>
        <v>9625H574</v>
      </c>
      <c r="H11850" s="1" t="str">
        <f>"성산간 5L4L1R2"</f>
        <v>성산간 5L4L1R2</v>
      </c>
      <c r="I11850" s="1" t="s">
        <v>17</v>
      </c>
      <c r="J11850" s="1" t="str">
        <f>"15/16"</f>
        <v>15/16</v>
      </c>
      <c r="K11850" s="1" t="str">
        <f>"2026-07-29 13:18:12"</f>
        <v>2026-07-29 13:18:12</v>
      </c>
      <c r="L11850" s="1" t="str">
        <f>"2021-08-04 12:48:05"</f>
        <v>2021-08-04 12:48:05</v>
      </c>
      <c r="M11850" s="1" t="s">
        <v>3</v>
      </c>
      <c r="N11850" s="1" t="s">
        <v>38</v>
      </c>
      <c r="O11850" s="1" t="s">
        <v>46</v>
      </c>
    </row>
    <row r="11851" spans="2:15" x14ac:dyDescent="0.3">
      <c r="B11851" s="1" t="s">
        <v>20</v>
      </c>
      <c r="C11851" s="1" t="str">
        <f>"4차"</f>
        <v>4차</v>
      </c>
      <c r="D11851" s="1" t="str">
        <f>"9625H59144"</f>
        <v>9625H59144</v>
      </c>
      <c r="E11851" s="1" t="s">
        <v>10</v>
      </c>
      <c r="F11851" s="1" t="str">
        <f>"10.10.90.202"</f>
        <v>10.10.90.202</v>
      </c>
      <c r="G11851" s="1" t="str">
        <f>"9625H591"</f>
        <v>9625H591</v>
      </c>
      <c r="H11851" s="1" t="str">
        <f>"성산간 5AL5L2L4"</f>
        <v>성산간 5AL5L2L4</v>
      </c>
      <c r="I11851" s="1" t="s">
        <v>8</v>
      </c>
      <c r="J11851" s="1" t="str">
        <f>"12/12"</f>
        <v>12/12</v>
      </c>
      <c r="K11851" s="1" t="str">
        <f>"2026-07-29 13:18:11"</f>
        <v>2026-07-29 13:18:11</v>
      </c>
      <c r="L11851" s="1" t="str">
        <f>"2019-10-23 17:23:05"</f>
        <v>2019-10-23 17:23:05</v>
      </c>
      <c r="M11851" s="1" t="s">
        <v>1</v>
      </c>
      <c r="N11851" s="1" t="s">
        <v>38</v>
      </c>
      <c r="O11851" s="1" t="s">
        <v>46</v>
      </c>
    </row>
    <row r="11852" spans="2:15" x14ac:dyDescent="0.3">
      <c r="B11852" s="1" t="s">
        <v>20</v>
      </c>
      <c r="C11852" s="1" t="str">
        <f>"3차"</f>
        <v>3차</v>
      </c>
      <c r="D11852" s="1" t="str">
        <f>"9625H61139"</f>
        <v>9625H61139</v>
      </c>
      <c r="E11852" s="1" t="s">
        <v>10</v>
      </c>
      <c r="F11852" s="1" t="str">
        <f>"10.10.32.2"</f>
        <v>10.10.32.2</v>
      </c>
      <c r="G11852" s="1" t="str">
        <f>"9625H611"</f>
        <v>9625H611</v>
      </c>
      <c r="H11852" s="1" t="str">
        <f>"양화간 54R5"</f>
        <v>양화간 54R5</v>
      </c>
      <c r="I11852" s="1" t="s">
        <v>8</v>
      </c>
      <c r="J11852" s="1" t="str">
        <f>"20/20"</f>
        <v>20/20</v>
      </c>
      <c r="K11852" s="1" t="str">
        <f>"2026-07-29 13:18:11"</f>
        <v>2026-07-29 13:18:11</v>
      </c>
      <c r="L11852" s="1" t="str">
        <f>"2018-03-07 14:34:56"</f>
        <v>2018-03-07 14:34:56</v>
      </c>
      <c r="M11852" s="1" t="s">
        <v>1</v>
      </c>
      <c r="N11852" s="1" t="s">
        <v>38</v>
      </c>
      <c r="O11852" s="1" t="s">
        <v>46</v>
      </c>
    </row>
    <row r="11853" spans="2:15" x14ac:dyDescent="0.3">
      <c r="B11853" s="1" t="s">
        <v>20</v>
      </c>
      <c r="C11853" s="1" t="str">
        <f>"4차"</f>
        <v>4차</v>
      </c>
      <c r="D11853" s="1" t="str">
        <f>"9625H66341"</f>
        <v>9625H66341</v>
      </c>
      <c r="E11853" s="1" t="s">
        <v>10</v>
      </c>
      <c r="F11853" s="1" t="str">
        <f>"10.14.4.181"</f>
        <v>10.14.4.181</v>
      </c>
      <c r="G11853" s="1" t="str">
        <f>"9625H663"</f>
        <v>9625H663</v>
      </c>
      <c r="H11853" s="1" t="str">
        <f>"성산간 5L4L5"</f>
        <v>성산간 5L4L5</v>
      </c>
      <c r="I11853" s="1" t="s">
        <v>17</v>
      </c>
      <c r="J11853" s="1" t="str">
        <f>"14/14"</f>
        <v>14/14</v>
      </c>
      <c r="K11853" s="1" t="str">
        <f>"2026-07-29 13:18:12"</f>
        <v>2026-07-29 13:18:12</v>
      </c>
      <c r="L11853" s="1" t="str">
        <f>"2021-08-04 13:49:27"</f>
        <v>2021-08-04 13:49:27</v>
      </c>
      <c r="M11853" s="1" t="s">
        <v>3</v>
      </c>
      <c r="N11853" s="1" t="s">
        <v>38</v>
      </c>
      <c r="O11853" s="1" t="s">
        <v>46</v>
      </c>
    </row>
    <row r="11854" spans="2:15" x14ac:dyDescent="0.3">
      <c r="B11854" s="1" t="s">
        <v>20</v>
      </c>
      <c r="C11854" s="1" t="str">
        <f>"4차"</f>
        <v>4차</v>
      </c>
      <c r="D11854" s="1" t="str">
        <f>"9625H66441"</f>
        <v>9625H66441</v>
      </c>
      <c r="E11854" s="1" t="s">
        <v>10</v>
      </c>
      <c r="F11854" s="1" t="str">
        <f>"10.14.9.47"</f>
        <v>10.14.9.47</v>
      </c>
      <c r="G11854" s="1" t="str">
        <f>"9625H664"</f>
        <v>9625H664</v>
      </c>
      <c r="H11854" s="1" t="str">
        <f>"양합지 5R2"</f>
        <v>양합지 5R2</v>
      </c>
      <c r="I11854" s="1" t="s">
        <v>17</v>
      </c>
      <c r="J11854" s="1" t="str">
        <f>"36/36"</f>
        <v>36/36</v>
      </c>
      <c r="K11854" s="1" t="str">
        <f>"2026-07-29 13:18:10"</f>
        <v>2026-07-29 13:18:10</v>
      </c>
      <c r="L11854" s="1" t="str">
        <f>"2021-08-06 08:31:20"</f>
        <v>2021-08-06 08:31:20</v>
      </c>
      <c r="M11854" s="1" t="s">
        <v>3</v>
      </c>
      <c r="N11854" s="1" t="s">
        <v>38</v>
      </c>
      <c r="O11854" s="1" t="s">
        <v>46</v>
      </c>
    </row>
    <row r="11855" spans="2:15" x14ac:dyDescent="0.3">
      <c r="B11855" s="1" t="s">
        <v>20</v>
      </c>
      <c r="C11855" s="1" t="str">
        <f>"4차"</f>
        <v>4차</v>
      </c>
      <c r="D11855" s="1" t="str">
        <f>"9625H68144"</f>
        <v>9625H68144</v>
      </c>
      <c r="E11855" s="1" t="s">
        <v>10</v>
      </c>
      <c r="F11855" s="1" t="str">
        <f>"10.10.82.194"</f>
        <v>10.10.82.194</v>
      </c>
      <c r="G11855" s="1" t="str">
        <f>"9625H681"</f>
        <v>9625H681</v>
      </c>
      <c r="H11855" s="1" t="str">
        <f>"성산간 5AL5L2L7"</f>
        <v>성산간 5AL5L2L7</v>
      </c>
      <c r="I11855" s="1" t="s">
        <v>8</v>
      </c>
      <c r="J11855" s="1" t="str">
        <f>"38/42"</f>
        <v>38/42</v>
      </c>
      <c r="K11855" s="1" t="str">
        <f>"2026-07-29 13:18:11"</f>
        <v>2026-07-29 13:18:11</v>
      </c>
      <c r="L11855" s="1" t="str">
        <f>"2019-11-06 14:02:42"</f>
        <v>2019-11-06 14:02:42</v>
      </c>
      <c r="M11855" s="1" t="s">
        <v>1</v>
      </c>
      <c r="N11855" s="1" t="s">
        <v>38</v>
      </c>
      <c r="O11855" s="1" t="s">
        <v>46</v>
      </c>
    </row>
    <row r="11856" spans="2:15" x14ac:dyDescent="0.3">
      <c r="B11856" s="1" t="s">
        <v>20</v>
      </c>
      <c r="C11856" s="1" t="str">
        <f>"3차"</f>
        <v>3차</v>
      </c>
      <c r="D11856" s="1" t="str">
        <f>"9625H70139"</f>
        <v>9625H70139</v>
      </c>
      <c r="E11856" s="1" t="s">
        <v>10</v>
      </c>
      <c r="F11856" s="1" t="str">
        <f>"10.10.31.250"</f>
        <v>10.10.31.250</v>
      </c>
      <c r="G11856" s="1" t="str">
        <f>"9625H701"</f>
        <v>9625H701</v>
      </c>
      <c r="H11856" s="1" t="str">
        <f>"양화간 54R12R8"</f>
        <v>양화간 54R12R8</v>
      </c>
      <c r="I11856" s="1" t="s">
        <v>8</v>
      </c>
      <c r="J11856" s="1" t="str">
        <f>"57/57"</f>
        <v>57/57</v>
      </c>
      <c r="K11856" s="1" t="str">
        <f>"2026-07-29 13:18:11"</f>
        <v>2026-07-29 13:18:11</v>
      </c>
      <c r="L11856" s="1" t="str">
        <f>"2018-03-07 14:33:12"</f>
        <v>2018-03-07 14:33:12</v>
      </c>
      <c r="M11856" s="1" t="s">
        <v>1</v>
      </c>
      <c r="N11856" s="1" t="s">
        <v>38</v>
      </c>
      <c r="O11856" s="1" t="s">
        <v>46</v>
      </c>
    </row>
    <row r="11857" spans="2:15" x14ac:dyDescent="0.3">
      <c r="B11857" s="1" t="s">
        <v>20</v>
      </c>
      <c r="C11857" s="1" t="str">
        <f>"3차"</f>
        <v>3차</v>
      </c>
      <c r="D11857" s="1" t="str">
        <f>"9625H72239"</f>
        <v>9625H72239</v>
      </c>
      <c r="E11857" s="1" t="s">
        <v>10</v>
      </c>
      <c r="F11857" s="1" t="str">
        <f>"10.10.32.10"</f>
        <v>10.10.32.10</v>
      </c>
      <c r="G11857" s="1" t="str">
        <f>"9625H722"</f>
        <v>9625H722</v>
      </c>
      <c r="H11857" s="1" t="str">
        <f>"양화간 54R6"</f>
        <v>양화간 54R6</v>
      </c>
      <c r="I11857" s="1" t="s">
        <v>8</v>
      </c>
      <c r="J11857" s="1" t="str">
        <f>"15/15"</f>
        <v>15/15</v>
      </c>
      <c r="K11857" s="1" t="str">
        <f>"2026-07-29 13:18:11"</f>
        <v>2026-07-29 13:18:11</v>
      </c>
      <c r="L11857" s="1" t="str">
        <f>"2018-03-07 14:35:26"</f>
        <v>2018-03-07 14:35:26</v>
      </c>
      <c r="M11857" s="1" t="s">
        <v>1</v>
      </c>
      <c r="N11857" s="1" t="s">
        <v>38</v>
      </c>
      <c r="O11857" s="1" t="s">
        <v>46</v>
      </c>
    </row>
    <row r="11858" spans="2:15" x14ac:dyDescent="0.3">
      <c r="B11858" s="1" t="s">
        <v>20</v>
      </c>
      <c r="C11858" s="1" t="str">
        <f>"3차"</f>
        <v>3차</v>
      </c>
      <c r="D11858" s="1" t="str">
        <f>"9625H72339"</f>
        <v>9625H72339</v>
      </c>
      <c r="E11858" s="1" t="s">
        <v>10</v>
      </c>
      <c r="F11858" s="1" t="str">
        <f>"10.10.32.18"</f>
        <v>10.10.32.18</v>
      </c>
      <c r="G11858" s="1" t="str">
        <f>"9625H723"</f>
        <v>9625H723</v>
      </c>
      <c r="H11858" s="1" t="str">
        <f>"양화간 54R7"</f>
        <v>양화간 54R7</v>
      </c>
      <c r="I11858" s="1" t="s">
        <v>8</v>
      </c>
      <c r="J11858" s="1" t="str">
        <f>"7/7"</f>
        <v>7/7</v>
      </c>
      <c r="K11858" s="1" t="str">
        <f>"2026-07-29 13:18:11"</f>
        <v>2026-07-29 13:18:11</v>
      </c>
      <c r="L11858" s="1" t="str">
        <f>"2018-03-07 14:30:41"</f>
        <v>2018-03-07 14:30:41</v>
      </c>
      <c r="M11858" s="1" t="s">
        <v>1</v>
      </c>
      <c r="N11858" s="1" t="s">
        <v>38</v>
      </c>
      <c r="O11858" s="1" t="s">
        <v>46</v>
      </c>
    </row>
    <row r="11859" spans="2:15" x14ac:dyDescent="0.3">
      <c r="B11859" s="1" t="s">
        <v>20</v>
      </c>
      <c r="C11859" s="1" t="str">
        <f>"4차"</f>
        <v>4차</v>
      </c>
      <c r="D11859" s="1" t="str">
        <f>"9625H73639"</f>
        <v>9625H73639</v>
      </c>
      <c r="E11859" s="1" t="s">
        <v>10</v>
      </c>
      <c r="F11859" s="1" t="str">
        <f>"10.12.135.137"</f>
        <v>10.12.135.137</v>
      </c>
      <c r="G11859" s="1" t="str">
        <f>"9625H736"</f>
        <v>9625H736</v>
      </c>
      <c r="H11859" s="1" t="str">
        <f>"양화로 14"</f>
        <v>양화로 14</v>
      </c>
      <c r="I11859" s="1" t="s">
        <v>17</v>
      </c>
      <c r="J11859" s="1" t="str">
        <f>"1/1"</f>
        <v>1/1</v>
      </c>
      <c r="K11859" s="1" t="str">
        <f>"2026-07-29 13:18:11"</f>
        <v>2026-07-29 13:18:11</v>
      </c>
      <c r="L11859" s="1" t="str">
        <f>"2018-05-24 11:01:12"</f>
        <v>2018-05-24 11:01:12</v>
      </c>
      <c r="M11859" s="1" t="s">
        <v>0</v>
      </c>
      <c r="N11859" s="1" t="s">
        <v>38</v>
      </c>
      <c r="O11859" s="1" t="s">
        <v>46</v>
      </c>
    </row>
    <row r="11860" spans="2:15" x14ac:dyDescent="0.3">
      <c r="B11860" s="1" t="s">
        <v>20</v>
      </c>
      <c r="C11860" s="1" t="str">
        <f>"4차"</f>
        <v>4차</v>
      </c>
      <c r="D11860" s="1" t="str">
        <f>"9625H77141"</f>
        <v>9625H77141</v>
      </c>
      <c r="E11860" s="1" t="s">
        <v>10</v>
      </c>
      <c r="F11860" s="1" t="str">
        <f>"10.14.1.116"</f>
        <v>10.14.1.116</v>
      </c>
      <c r="G11860" s="1" t="str">
        <f>"9625H771"</f>
        <v>9625H771</v>
      </c>
      <c r="H11860" s="1" t="str">
        <f>"성산간 5L4L1L1"</f>
        <v>성산간 5L4L1L1</v>
      </c>
      <c r="I11860" s="1" t="s">
        <v>17</v>
      </c>
      <c r="J11860" s="1" t="str">
        <f>"27/31"</f>
        <v>27/31</v>
      </c>
      <c r="K11860" s="1" t="str">
        <f>"2026-07-29 13:18:12"</f>
        <v>2026-07-29 13:18:12</v>
      </c>
      <c r="L11860" s="1" t="str">
        <f>"2021-08-06 06:47:01"</f>
        <v>2021-08-06 06:47:01</v>
      </c>
      <c r="M11860" s="1" t="s">
        <v>3</v>
      </c>
      <c r="N11860" s="1" t="s">
        <v>38</v>
      </c>
      <c r="O11860" s="1" t="s">
        <v>46</v>
      </c>
    </row>
    <row r="11861" spans="2:15" x14ac:dyDescent="0.3">
      <c r="B11861" s="1" t="s">
        <v>20</v>
      </c>
      <c r="C11861" s="1" t="str">
        <f>"3차"</f>
        <v>3차</v>
      </c>
      <c r="D11861" s="1" t="str">
        <f>"9625H81239"</f>
        <v>9625H81239</v>
      </c>
      <c r="E11861" s="1" t="s">
        <v>10</v>
      </c>
      <c r="F11861" s="1" t="str">
        <f>"10.10.31.242"</f>
        <v>10.10.31.242</v>
      </c>
      <c r="G11861" s="1" t="str">
        <f>"9625H812"</f>
        <v>9625H812</v>
      </c>
      <c r="H11861" s="1" t="str">
        <f>"양화간 54R12R6"</f>
        <v>양화간 54R12R6</v>
      </c>
      <c r="I11861" s="1" t="s">
        <v>8</v>
      </c>
      <c r="J11861" s="1" t="str">
        <f>"73/73"</f>
        <v>73/73</v>
      </c>
      <c r="K11861" s="1" t="str">
        <f t="shared" ref="K11861:K11869" si="593">"2026-07-29 13:18:11"</f>
        <v>2026-07-29 13:18:11</v>
      </c>
      <c r="L11861" s="1" t="str">
        <f>"2018-03-07 14:23:26"</f>
        <v>2018-03-07 14:23:26</v>
      </c>
      <c r="M11861" s="1" t="s">
        <v>1</v>
      </c>
      <c r="N11861" s="1" t="s">
        <v>38</v>
      </c>
      <c r="O11861" s="1" t="s">
        <v>46</v>
      </c>
    </row>
    <row r="11862" spans="2:15" x14ac:dyDescent="0.3">
      <c r="B11862" s="1" t="s">
        <v>20</v>
      </c>
      <c r="C11862" s="1" t="str">
        <f>"4차"</f>
        <v>4차</v>
      </c>
      <c r="D11862" s="1" t="str">
        <f>"9625H81339"</f>
        <v>9625H81339</v>
      </c>
      <c r="E11862" s="1" t="s">
        <v>10</v>
      </c>
      <c r="F11862" s="1" t="str">
        <f>"10.10.31.226"</f>
        <v>10.10.31.226</v>
      </c>
      <c r="G11862" s="1" t="str">
        <f>"9625H813"</f>
        <v>9625H813</v>
      </c>
      <c r="H11862" s="1" t="str">
        <f>"양화간 54R12R5"</f>
        <v>양화간 54R12R5</v>
      </c>
      <c r="I11862" s="1" t="s">
        <v>8</v>
      </c>
      <c r="J11862" s="1" t="str">
        <f>"9/13"</f>
        <v>9/13</v>
      </c>
      <c r="K11862" s="1" t="str">
        <f t="shared" si="593"/>
        <v>2026-07-29 13:18:11</v>
      </c>
      <c r="L11862" s="1" t="str">
        <f>"2018-03-07 14:23:26"</f>
        <v>2018-03-07 14:23:26</v>
      </c>
      <c r="M11862" s="1" t="s">
        <v>1</v>
      </c>
      <c r="N11862" s="1" t="s">
        <v>38</v>
      </c>
      <c r="O11862" s="1" t="s">
        <v>46</v>
      </c>
    </row>
    <row r="11863" spans="2:15" x14ac:dyDescent="0.3">
      <c r="B11863" s="1" t="s">
        <v>20</v>
      </c>
      <c r="C11863" s="1" t="str">
        <f>"3차"</f>
        <v>3차</v>
      </c>
      <c r="D11863" s="1" t="str">
        <f>"9625H83339"</f>
        <v>9625H83339</v>
      </c>
      <c r="E11863" s="1" t="s">
        <v>10</v>
      </c>
      <c r="F11863" s="1" t="str">
        <f>"10.10.32.26"</f>
        <v>10.10.32.26</v>
      </c>
      <c r="G11863" s="1" t="str">
        <f>"9625H833"</f>
        <v>9625H833</v>
      </c>
      <c r="H11863" s="1" t="str">
        <f>"양화간 54R9"</f>
        <v>양화간 54R9</v>
      </c>
      <c r="I11863" s="1" t="s">
        <v>8</v>
      </c>
      <c r="J11863" s="1" t="str">
        <f>"6/6"</f>
        <v>6/6</v>
      </c>
      <c r="K11863" s="1" t="str">
        <f t="shared" si="593"/>
        <v>2026-07-29 13:18:11</v>
      </c>
      <c r="L11863" s="1" t="str">
        <f>"2018-03-07 14:35:11"</f>
        <v>2018-03-07 14:35:11</v>
      </c>
      <c r="M11863" s="1" t="s">
        <v>1</v>
      </c>
      <c r="N11863" s="1" t="s">
        <v>38</v>
      </c>
      <c r="O11863" s="1" t="s">
        <v>46</v>
      </c>
    </row>
    <row r="11864" spans="2:15" x14ac:dyDescent="0.3">
      <c r="B11864" s="1" t="s">
        <v>20</v>
      </c>
      <c r="C11864" s="1" t="str">
        <f>"4차"</f>
        <v>4차</v>
      </c>
      <c r="D11864" s="1" t="str">
        <f>"9625H84145"</f>
        <v>9625H84145</v>
      </c>
      <c r="E11864" s="1" t="s">
        <v>10</v>
      </c>
      <c r="F11864" s="1" t="str">
        <f>"10.12.135.56"</f>
        <v>10.12.135.56</v>
      </c>
      <c r="G11864" s="1" t="str">
        <f>"9625H841"</f>
        <v>9625H841</v>
      </c>
      <c r="H11864" s="1" t="str">
        <f>"양화로 11"</f>
        <v>양화로 11</v>
      </c>
      <c r="I11864" s="1" t="s">
        <v>17</v>
      </c>
      <c r="J11864" s="1" t="str">
        <f>"19/19"</f>
        <v>19/19</v>
      </c>
      <c r="K11864" s="1" t="str">
        <f t="shared" si="593"/>
        <v>2026-07-29 13:18:11</v>
      </c>
      <c r="L11864" s="1" t="str">
        <f>"2025-06-19 15:19:55"</f>
        <v>2025-06-19 15:19:55</v>
      </c>
      <c r="M11864" s="1" t="s">
        <v>0</v>
      </c>
      <c r="N11864" s="1" t="s">
        <v>38</v>
      </c>
      <c r="O11864" s="1" t="s">
        <v>46</v>
      </c>
    </row>
    <row r="11865" spans="2:15" x14ac:dyDescent="0.3">
      <c r="B11865" s="1" t="s">
        <v>20</v>
      </c>
      <c r="C11865" s="1" t="str">
        <f>"4차"</f>
        <v>4차</v>
      </c>
      <c r="D11865" s="1" t="str">
        <f>"9625H89241"</f>
        <v>9625H89241</v>
      </c>
      <c r="E11865" s="1" t="s">
        <v>10</v>
      </c>
      <c r="F11865" s="1" t="str">
        <f>"10.14.10.49"</f>
        <v>10.14.10.49</v>
      </c>
      <c r="G11865" s="1" t="str">
        <f>"9625H892"</f>
        <v>9625H892</v>
      </c>
      <c r="H11865" s="1" t="str">
        <f>"성산간 8R3R1"</f>
        <v>성산간 8R3R1</v>
      </c>
      <c r="I11865" s="1" t="s">
        <v>17</v>
      </c>
      <c r="J11865" s="1" t="str">
        <f>"13/13"</f>
        <v>13/13</v>
      </c>
      <c r="K11865" s="1" t="str">
        <f t="shared" si="593"/>
        <v>2026-07-29 13:18:11</v>
      </c>
      <c r="L11865" s="1" t="str">
        <f>"2021-09-03 14:29:25"</f>
        <v>2021-09-03 14:29:25</v>
      </c>
      <c r="M11865" s="1" t="s">
        <v>3</v>
      </c>
      <c r="N11865" s="1" t="s">
        <v>38</v>
      </c>
      <c r="O11865" s="1" t="s">
        <v>46</v>
      </c>
    </row>
    <row r="11866" spans="2:15" x14ac:dyDescent="0.3">
      <c r="B11866" s="1" t="s">
        <v>20</v>
      </c>
      <c r="C11866" s="1" t="str">
        <f>"3차"</f>
        <v>3차</v>
      </c>
      <c r="D11866" s="1" t="str">
        <f>"9625H90139"</f>
        <v>9625H90139</v>
      </c>
      <c r="E11866" s="1" t="s">
        <v>10</v>
      </c>
      <c r="F11866" s="1" t="str">
        <f>"10.10.35.42"</f>
        <v>10.10.35.42</v>
      </c>
      <c r="G11866" s="1" t="str">
        <f>"9625H901"</f>
        <v>9625H901</v>
      </c>
      <c r="H11866" s="1" t="str">
        <f>"양화간 50"</f>
        <v>양화간 50</v>
      </c>
      <c r="I11866" s="1" t="s">
        <v>8</v>
      </c>
      <c r="J11866" s="1" t="str">
        <f>"12/12"</f>
        <v>12/12</v>
      </c>
      <c r="K11866" s="1" t="str">
        <f t="shared" si="593"/>
        <v>2026-07-29 13:18:11</v>
      </c>
      <c r="L11866" s="1" t="str">
        <f>"2018-01-22 15:33:55"</f>
        <v>2018-01-22 15:33:55</v>
      </c>
      <c r="M11866" s="1" t="s">
        <v>1</v>
      </c>
      <c r="N11866" s="1" t="s">
        <v>38</v>
      </c>
      <c r="O11866" s="1" t="s">
        <v>46</v>
      </c>
    </row>
    <row r="11867" spans="2:15" x14ac:dyDescent="0.3">
      <c r="B11867" s="1" t="s">
        <v>20</v>
      </c>
      <c r="C11867" s="1" t="str">
        <f>"3차"</f>
        <v>3차</v>
      </c>
      <c r="D11867" s="1" t="str">
        <f>"9625H90239"</f>
        <v>9625H90239</v>
      </c>
      <c r="E11867" s="1" t="s">
        <v>10</v>
      </c>
      <c r="F11867" s="1" t="str">
        <f>"10.10.35.34"</f>
        <v>10.10.35.34</v>
      </c>
      <c r="G11867" s="1" t="str">
        <f>"9625H902"</f>
        <v>9625H902</v>
      </c>
      <c r="H11867" s="1" t="str">
        <f>"양화간 49"</f>
        <v>양화간 49</v>
      </c>
      <c r="I11867" s="1" t="s">
        <v>8</v>
      </c>
      <c r="J11867" s="1" t="str">
        <f>"5/5"</f>
        <v>5/5</v>
      </c>
      <c r="K11867" s="1" t="str">
        <f t="shared" si="593"/>
        <v>2026-07-29 13:18:11</v>
      </c>
      <c r="L11867" s="1" t="str">
        <f>"2018-03-23 15:26:41"</f>
        <v>2018-03-23 15:26:41</v>
      </c>
      <c r="M11867" s="1" t="s">
        <v>1</v>
      </c>
      <c r="N11867" s="1" t="s">
        <v>38</v>
      </c>
      <c r="O11867" s="1" t="s">
        <v>46</v>
      </c>
    </row>
    <row r="11868" spans="2:15" x14ac:dyDescent="0.3">
      <c r="B11868" s="1" t="s">
        <v>20</v>
      </c>
      <c r="C11868" s="1" t="str">
        <f>"3차"</f>
        <v>3차</v>
      </c>
      <c r="D11868" s="1" t="str">
        <f>"9625H91139"</f>
        <v>9625H91139</v>
      </c>
      <c r="E11868" s="1" t="s">
        <v>10</v>
      </c>
      <c r="F11868" s="1" t="str">
        <f>"10.10.31.234"</f>
        <v>10.10.31.234</v>
      </c>
      <c r="G11868" s="1" t="str">
        <f>"9625H911"</f>
        <v>9625H911</v>
      </c>
      <c r="H11868" s="1" t="str">
        <f>"양화간 54R12R5L1"</f>
        <v>양화간 54R12R5L1</v>
      </c>
      <c r="I11868" s="1" t="s">
        <v>8</v>
      </c>
      <c r="J11868" s="1" t="str">
        <f>"33/33"</f>
        <v>33/33</v>
      </c>
      <c r="K11868" s="1" t="str">
        <f t="shared" si="593"/>
        <v>2026-07-29 13:18:11</v>
      </c>
      <c r="L11868" s="1" t="str">
        <f>"2018-03-07 14:24:41"</f>
        <v>2018-03-07 14:24:41</v>
      </c>
      <c r="M11868" s="1" t="s">
        <v>1</v>
      </c>
      <c r="N11868" s="1" t="s">
        <v>38</v>
      </c>
      <c r="O11868" s="1" t="s">
        <v>46</v>
      </c>
    </row>
    <row r="11869" spans="2:15" x14ac:dyDescent="0.3">
      <c r="B11869" s="1" t="s">
        <v>20</v>
      </c>
      <c r="C11869" s="1" t="str">
        <f>"3차"</f>
        <v>3차</v>
      </c>
      <c r="D11869" s="1" t="str">
        <f>"9625H94139"</f>
        <v>9625H94139</v>
      </c>
      <c r="E11869" s="1" t="s">
        <v>10</v>
      </c>
      <c r="F11869" s="1" t="str">
        <f>"10.10.35.114"</f>
        <v>10.10.35.114</v>
      </c>
      <c r="G11869" s="1" t="str">
        <f>"9625H941"</f>
        <v>9625H941</v>
      </c>
      <c r="H11869" s="1" t="str">
        <f>"양화간 54R11"</f>
        <v>양화간 54R11</v>
      </c>
      <c r="I11869" s="1" t="s">
        <v>8</v>
      </c>
      <c r="J11869" s="1" t="str">
        <f>"4/4"</f>
        <v>4/4</v>
      </c>
      <c r="K11869" s="1" t="str">
        <f t="shared" si="593"/>
        <v>2026-07-29 13:18:11</v>
      </c>
      <c r="L11869" s="1" t="str">
        <f>"2018-03-23 16:44:58"</f>
        <v>2018-03-23 16:44:58</v>
      </c>
      <c r="M11869" s="1" t="s">
        <v>1</v>
      </c>
      <c r="N11869" s="1" t="s">
        <v>38</v>
      </c>
      <c r="O11869" s="1" t="s">
        <v>46</v>
      </c>
    </row>
    <row r="11870" spans="2:15" x14ac:dyDescent="0.3">
      <c r="B11870" s="1" t="s">
        <v>20</v>
      </c>
      <c r="C11870" s="1" t="str">
        <f>"5-1차"</f>
        <v>5-1차</v>
      </c>
      <c r="D11870" s="1" t="str">
        <f>"9625P4915M"</f>
        <v>9625P4915M</v>
      </c>
      <c r="E11870" s="1" t="s">
        <v>10</v>
      </c>
      <c r="F11870" s="1" t="str">
        <f>"fde2:104:0:9c:0:0:0:2"</f>
        <v>fde2:104:0:9c:0:0:0:2</v>
      </c>
      <c r="G11870" s="1" t="str">
        <f>"9625P491"</f>
        <v>9625P491</v>
      </c>
      <c r="H11870" s="1" t="str">
        <f>"당수간 6L4"</f>
        <v>당수간 6L4</v>
      </c>
      <c r="I11870" s="1" t="s">
        <v>15</v>
      </c>
      <c r="J11870" s="1" t="str">
        <f>"52/52"</f>
        <v>52/52</v>
      </c>
      <c r="K11870" s="1" t="str">
        <f>"2026-07-29 14:20:59"</f>
        <v>2026-07-29 14:20:59</v>
      </c>
      <c r="L11870" s="1" t="str">
        <f>"2022-09-28 07:56:50"</f>
        <v>2022-09-28 07:56:50</v>
      </c>
      <c r="M11870" s="1" t="s">
        <v>42</v>
      </c>
      <c r="N11870" s="1" t="s">
        <v>38</v>
      </c>
      <c r="O11870" s="1" t="s">
        <v>46</v>
      </c>
    </row>
    <row r="11871" spans="2:15" x14ac:dyDescent="0.3">
      <c r="B11871" s="1" t="s">
        <v>20</v>
      </c>
      <c r="C11871" s="1" t="str">
        <f>"4차"</f>
        <v>4차</v>
      </c>
      <c r="D11871" s="1" t="str">
        <f>"9625P79241"</f>
        <v>9625P79241</v>
      </c>
      <c r="E11871" s="1" t="s">
        <v>10</v>
      </c>
      <c r="F11871" s="1" t="str">
        <f>"10.14.6.177"</f>
        <v>10.14.6.177</v>
      </c>
      <c r="G11871" s="1" t="str">
        <f>"9625P792"</f>
        <v>9625P792</v>
      </c>
      <c r="H11871" s="1" t="str">
        <f>"당수간 2"</f>
        <v>당수간 2</v>
      </c>
      <c r="I11871" s="1" t="s">
        <v>17</v>
      </c>
      <c r="J11871" s="1" t="str">
        <f>"29/29"</f>
        <v>29/29</v>
      </c>
      <c r="K11871" s="1" t="str">
        <f>"2026-07-29 13:18:11"</f>
        <v>2026-07-29 13:18:11</v>
      </c>
      <c r="L11871" s="1" t="str">
        <f>"2021-08-12 10:27:02"</f>
        <v>2021-08-12 10:27:02</v>
      </c>
      <c r="M11871" s="1" t="s">
        <v>3</v>
      </c>
      <c r="N11871" s="1" t="s">
        <v>38</v>
      </c>
      <c r="O11871" s="1" t="s">
        <v>46</v>
      </c>
    </row>
    <row r="11872" spans="2:15" x14ac:dyDescent="0.3">
      <c r="B11872" s="1" t="s">
        <v>20</v>
      </c>
      <c r="C11872" s="1" t="str">
        <f>"5-1차"</f>
        <v>5-1차</v>
      </c>
      <c r="D11872" s="1" t="str">
        <f>"9625Q0615S"</f>
        <v>9625Q0615S</v>
      </c>
      <c r="E11872" s="1" t="s">
        <v>10</v>
      </c>
      <c r="F11872" s="1" t="str">
        <f>"fde2:104:0:1a5:0:0:0:2"</f>
        <v>fde2:104:0:1a5:0:0:0:2</v>
      </c>
      <c r="G11872" s="1" t="str">
        <f>"9625Q061"</f>
        <v>9625Q061</v>
      </c>
      <c r="H11872" s="1" t="str">
        <f>"합정지 10L11L6R1"</f>
        <v>합정지 10L11L6R1</v>
      </c>
      <c r="I11872" s="1" t="s">
        <v>15</v>
      </c>
      <c r="J11872" s="1" t="str">
        <f>"96/96"</f>
        <v>96/96</v>
      </c>
      <c r="K11872" s="1" t="str">
        <f>"2026-07-29 14:21:00"</f>
        <v>2026-07-29 14:21:00</v>
      </c>
      <c r="L11872" s="1" t="str">
        <f>"2022-11-30 09:44:32"</f>
        <v>2022-11-30 09:44:32</v>
      </c>
      <c r="M11872" s="1" t="s">
        <v>42</v>
      </c>
      <c r="N11872" s="1" t="s">
        <v>38</v>
      </c>
      <c r="O11872" s="1" t="s">
        <v>46</v>
      </c>
    </row>
    <row r="11873" spans="2:15" x14ac:dyDescent="0.3">
      <c r="B11873" s="1" t="s">
        <v>20</v>
      </c>
      <c r="C11873" s="1" t="str">
        <f>"5-2차"</f>
        <v>5-2차</v>
      </c>
      <c r="D11873" s="1" t="str">
        <f>"9625Q0815M"</f>
        <v>9625Q0815M</v>
      </c>
      <c r="E11873" s="1" t="s">
        <v>10</v>
      </c>
      <c r="F11873" s="1" t="str">
        <f>"fde1:103:4:56e9:0:0:0:2"</f>
        <v>fde1:103:4:56e9:0:0:0:2</v>
      </c>
      <c r="G11873" s="1" t="str">
        <f>"9625Q081"</f>
        <v>9625Q081</v>
      </c>
      <c r="H11873" s="1" t="str">
        <f>"합정지 10L16"</f>
        <v>합정지 10L16</v>
      </c>
      <c r="I11873" s="1" t="s">
        <v>15</v>
      </c>
      <c r="J11873" s="1" t="str">
        <f>"33/33"</f>
        <v>33/33</v>
      </c>
      <c r="K11873" s="1" t="str">
        <f>"2026-07-29 14:21:41"</f>
        <v>2026-07-29 14:21:41</v>
      </c>
      <c r="L11873" s="1" t="str">
        <f>"2023-08-16 15:30:21"</f>
        <v>2023-08-16 15:30:21</v>
      </c>
      <c r="M11873" s="1" t="s">
        <v>4</v>
      </c>
      <c r="N11873" s="1" t="s">
        <v>38</v>
      </c>
      <c r="O11873" s="1" t="s">
        <v>46</v>
      </c>
    </row>
    <row r="11874" spans="2:15" x14ac:dyDescent="0.3">
      <c r="B11874" s="1" t="s">
        <v>20</v>
      </c>
      <c r="C11874" s="1" t="str">
        <f>"5-2차"</f>
        <v>5-2차</v>
      </c>
      <c r="D11874" s="1" t="str">
        <f>"9625Q0845S"</f>
        <v>9625Q0845S</v>
      </c>
      <c r="E11874" s="1" t="s">
        <v>10</v>
      </c>
      <c r="F11874" s="1" t="str">
        <f>"fde3:102:1300:2f06:0:0:0:2"</f>
        <v>fde3:102:1300:2f06:0:0:0:2</v>
      </c>
      <c r="G11874" s="1" t="str">
        <f>"9625Q084"</f>
        <v>9625Q084</v>
      </c>
      <c r="H11874" s="1" t="str">
        <f>"합정지 10L13L6"</f>
        <v>합정지 10L13L6</v>
      </c>
      <c r="I11874" s="1" t="s">
        <v>15</v>
      </c>
      <c r="J11874" s="1" t="str">
        <f>"71/71"</f>
        <v>71/71</v>
      </c>
      <c r="K11874" s="1" t="str">
        <f>"2026-07-29 14:20:52"</f>
        <v>2026-07-29 14:20:52</v>
      </c>
      <c r="L11874" s="1" t="str">
        <f>"2023-09-21 10:18:36"</f>
        <v>2023-09-21 10:18:36</v>
      </c>
      <c r="M11874" s="1" t="s">
        <v>45</v>
      </c>
      <c r="N11874" s="1" t="s">
        <v>38</v>
      </c>
      <c r="O11874" s="1" t="s">
        <v>46</v>
      </c>
    </row>
    <row r="11875" spans="2:15" x14ac:dyDescent="0.3">
      <c r="B11875" s="1" t="s">
        <v>20</v>
      </c>
      <c r="C11875" s="1" t="str">
        <f>"5-2차"</f>
        <v>5-2차</v>
      </c>
      <c r="D11875" s="1" t="str">
        <f>"9625Q1515M"</f>
        <v>9625Q1515M</v>
      </c>
      <c r="E11875" s="1" t="s">
        <v>10</v>
      </c>
      <c r="F11875" s="1" t="str">
        <f>"fde1:103:4:55f0:0:0:0:2"</f>
        <v>fde1:103:4:55f0:0:0:0:2</v>
      </c>
      <c r="G11875" s="1" t="str">
        <f>"9625Q151"</f>
        <v>9625Q151</v>
      </c>
      <c r="H11875" s="1" t="str">
        <f>"합정지 10L11L3"</f>
        <v>합정지 10L11L3</v>
      </c>
      <c r="I11875" s="1" t="s">
        <v>15</v>
      </c>
      <c r="J11875" s="1" t="str">
        <f>"82/82"</f>
        <v>82/82</v>
      </c>
      <c r="K11875" s="1" t="str">
        <f>"2026-07-29 14:20:52"</f>
        <v>2026-07-29 14:20:52</v>
      </c>
      <c r="L11875" s="1" t="str">
        <f>"2023-08-16 15:31:46"</f>
        <v>2023-08-16 15:31:46</v>
      </c>
      <c r="M11875" s="1" t="s">
        <v>4</v>
      </c>
      <c r="N11875" s="1" t="s">
        <v>38</v>
      </c>
      <c r="O11875" s="1" t="s">
        <v>46</v>
      </c>
    </row>
    <row r="11876" spans="2:15" x14ac:dyDescent="0.3">
      <c r="B11876" s="1" t="s">
        <v>20</v>
      </c>
      <c r="C11876" s="1" t="str">
        <f>"5-2차"</f>
        <v>5-2차</v>
      </c>
      <c r="D11876" s="1" t="str">
        <f>"9625Q1735S"</f>
        <v>9625Q1735S</v>
      </c>
      <c r="E11876" s="1" t="s">
        <v>10</v>
      </c>
      <c r="F11876" s="1" t="str">
        <f>"fde3:102:1300:2f05:0:0:0:3"</f>
        <v>fde3:102:1300:2f05:0:0:0:3</v>
      </c>
      <c r="G11876" s="1" t="str">
        <f>"9625Q173"</f>
        <v>9625Q173</v>
      </c>
      <c r="H11876" s="1" t="str">
        <f>"합정지 10L13L3"</f>
        <v>합정지 10L13L3</v>
      </c>
      <c r="I11876" s="1" t="s">
        <v>15</v>
      </c>
      <c r="J11876" s="1" t="str">
        <f>"51/52"</f>
        <v>51/52</v>
      </c>
      <c r="K11876" s="1" t="str">
        <f>"2026-07-29 14:20:58"</f>
        <v>2026-07-29 14:20:58</v>
      </c>
      <c r="L11876" s="1" t="str">
        <f>"2023-09-21 09:59:00"</f>
        <v>2023-09-21 09:59:00</v>
      </c>
      <c r="M11876" s="1" t="s">
        <v>45</v>
      </c>
      <c r="N11876" s="1" t="s">
        <v>38</v>
      </c>
      <c r="O11876" s="1" t="s">
        <v>46</v>
      </c>
    </row>
    <row r="11877" spans="2:15" x14ac:dyDescent="0.3">
      <c r="B11877" s="1" t="s">
        <v>20</v>
      </c>
      <c r="C11877" s="1" t="str">
        <f>"5-1차"</f>
        <v>5-1차</v>
      </c>
      <c r="D11877" s="1" t="str">
        <f>"9625Q1925M"</f>
        <v>9625Q1925M</v>
      </c>
      <c r="E11877" s="1" t="s">
        <v>10</v>
      </c>
      <c r="F11877" s="1" t="str">
        <f>"fde3:102:1300:2f02:0:0:0:2"</f>
        <v>fde3:102:1300:2f02:0:0:0:2</v>
      </c>
      <c r="G11877" s="1" t="str">
        <f>"9625Q192"</f>
        <v>9625Q192</v>
      </c>
      <c r="H11877" s="1" t="str">
        <f>"당수간 16R4"</f>
        <v>당수간 16R4</v>
      </c>
      <c r="I11877" s="1" t="s">
        <v>15</v>
      </c>
      <c r="J11877" s="1" t="str">
        <f>"57/57"</f>
        <v>57/57</v>
      </c>
      <c r="K11877" s="1" t="str">
        <f>"2026-07-29 14:20:53"</f>
        <v>2026-07-29 14:20:53</v>
      </c>
      <c r="L11877" s="1" t="str">
        <f>"2022-11-21 13:27:37"</f>
        <v>2022-11-21 13:27:37</v>
      </c>
      <c r="M11877" s="1" t="s">
        <v>45</v>
      </c>
      <c r="N11877" s="1" t="s">
        <v>38</v>
      </c>
      <c r="O11877" s="1" t="s">
        <v>46</v>
      </c>
    </row>
    <row r="11878" spans="2:15" x14ac:dyDescent="0.3">
      <c r="B11878" s="1" t="s">
        <v>20</v>
      </c>
      <c r="C11878" s="1" t="str">
        <f t="shared" ref="C11878:C11883" si="594">"5-2차"</f>
        <v>5-2차</v>
      </c>
      <c r="D11878" s="1" t="str">
        <f>"9625Q2415S"</f>
        <v>9625Q2415S</v>
      </c>
      <c r="E11878" s="1" t="s">
        <v>10</v>
      </c>
      <c r="F11878" s="1" t="str">
        <f>"fde3:102:1300:2e07:0:0:0:2"</f>
        <v>fde3:102:1300:2e07:0:0:0:2</v>
      </c>
      <c r="G11878" s="1" t="str">
        <f>"9625Q241"</f>
        <v>9625Q241</v>
      </c>
      <c r="H11878" s="1" t="str">
        <f>"합정지 10L11L3L1"</f>
        <v>합정지 10L11L3L1</v>
      </c>
      <c r="I11878" s="1" t="s">
        <v>15</v>
      </c>
      <c r="J11878" s="1" t="str">
        <f>"18/18"</f>
        <v>18/18</v>
      </c>
      <c r="K11878" s="1" t="str">
        <f>"2026-07-29 14:20:58"</f>
        <v>2026-07-29 14:20:58</v>
      </c>
      <c r="L11878" s="1" t="str">
        <f>"2023-09-21 09:34:21"</f>
        <v>2023-09-21 09:34:21</v>
      </c>
      <c r="M11878" s="1" t="s">
        <v>45</v>
      </c>
      <c r="N11878" s="1" t="s">
        <v>38</v>
      </c>
      <c r="O11878" s="1" t="s">
        <v>46</v>
      </c>
    </row>
    <row r="11879" spans="2:15" x14ac:dyDescent="0.3">
      <c r="B11879" s="1" t="s">
        <v>20</v>
      </c>
      <c r="C11879" s="1" t="str">
        <f t="shared" si="594"/>
        <v>5-2차</v>
      </c>
      <c r="D11879" s="1" t="str">
        <f>"9625Q2515S"</f>
        <v>9625Q2515S</v>
      </c>
      <c r="E11879" s="1" t="s">
        <v>10</v>
      </c>
      <c r="F11879" s="1" t="str">
        <f>"fde3:102:1300:2e05:0:0:0:2"</f>
        <v>fde3:102:1300:2e05:0:0:0:2</v>
      </c>
      <c r="G11879" s="1" t="str">
        <f>"9625Q251"</f>
        <v>9625Q251</v>
      </c>
      <c r="H11879" s="1" t="str">
        <f>"합정지 10L11L2"</f>
        <v>합정지 10L11L2</v>
      </c>
      <c r="I11879" s="1" t="s">
        <v>15</v>
      </c>
      <c r="J11879" s="1" t="str">
        <f>"41/41"</f>
        <v>41/41</v>
      </c>
      <c r="K11879" s="1" t="str">
        <f>"2026-07-29 14:21:10"</f>
        <v>2026-07-29 14:21:10</v>
      </c>
      <c r="L11879" s="1" t="str">
        <f>"2023-09-21 11:30:06"</f>
        <v>2023-09-21 11:30:06</v>
      </c>
      <c r="M11879" s="1" t="s">
        <v>45</v>
      </c>
      <c r="N11879" s="1" t="s">
        <v>38</v>
      </c>
      <c r="O11879" s="1" t="s">
        <v>46</v>
      </c>
    </row>
    <row r="11880" spans="2:15" x14ac:dyDescent="0.3">
      <c r="B11880" s="1" t="s">
        <v>20</v>
      </c>
      <c r="C11880" s="1" t="str">
        <f t="shared" si="594"/>
        <v>5-2차</v>
      </c>
      <c r="D11880" s="1" t="str">
        <f>"9625Q2615S"</f>
        <v>9625Q2615S</v>
      </c>
      <c r="E11880" s="1" t="s">
        <v>10</v>
      </c>
      <c r="F11880" s="1" t="str">
        <f>"fde3:102:1300:5a00:0:0:0:2"</f>
        <v>fde3:102:1300:5a00:0:0:0:2</v>
      </c>
      <c r="G11880" s="1" t="str">
        <f>"9625Q261"</f>
        <v>9625Q261</v>
      </c>
      <c r="H11880" s="1" t="str">
        <f>"합정지 10L11L2R1"</f>
        <v>합정지 10L11L2R1</v>
      </c>
      <c r="I11880" s="1" t="s">
        <v>15</v>
      </c>
      <c r="J11880" s="1" t="str">
        <f>"64/64"</f>
        <v>64/64</v>
      </c>
      <c r="K11880" s="1" t="str">
        <f>"2026-07-29 14:20:58"</f>
        <v>2026-07-29 14:20:58</v>
      </c>
      <c r="L11880" s="1" t="str">
        <f>"2023-11-20 14:26:37"</f>
        <v>2023-11-20 14:26:37</v>
      </c>
      <c r="M11880" s="1" t="s">
        <v>45</v>
      </c>
      <c r="N11880" s="1" t="s">
        <v>38</v>
      </c>
      <c r="O11880" s="1" t="s">
        <v>46</v>
      </c>
    </row>
    <row r="11881" spans="2:15" x14ac:dyDescent="0.3">
      <c r="B11881" s="1" t="s">
        <v>20</v>
      </c>
      <c r="C11881" s="1" t="str">
        <f t="shared" si="594"/>
        <v>5-2차</v>
      </c>
      <c r="D11881" s="1" t="str">
        <f>"9625Q2715S"</f>
        <v>9625Q2715S</v>
      </c>
      <c r="E11881" s="1" t="s">
        <v>10</v>
      </c>
      <c r="F11881" s="1" t="str">
        <f>"fde3:102:1300:2f05:0:0:0:2"</f>
        <v>fde3:102:1300:2f05:0:0:0:2</v>
      </c>
      <c r="G11881" s="1" t="str">
        <f>"9625Q271"</f>
        <v>9625Q271</v>
      </c>
      <c r="H11881" s="1" t="str">
        <f>"합정지 10L13"</f>
        <v>합정지 10L13</v>
      </c>
      <c r="I11881" s="1" t="s">
        <v>15</v>
      </c>
      <c r="J11881" s="1" t="str">
        <f>"37/37"</f>
        <v>37/37</v>
      </c>
      <c r="K11881" s="1" t="str">
        <f>"2026-07-29 14:20:52"</f>
        <v>2026-07-29 14:20:52</v>
      </c>
      <c r="L11881" s="1" t="str">
        <f>"2023-09-21 10:42:38"</f>
        <v>2023-09-21 10:42:38</v>
      </c>
      <c r="M11881" s="1" t="s">
        <v>45</v>
      </c>
      <c r="N11881" s="1" t="s">
        <v>38</v>
      </c>
      <c r="O11881" s="1" t="s">
        <v>46</v>
      </c>
    </row>
    <row r="11882" spans="2:15" x14ac:dyDescent="0.3">
      <c r="B11882" s="1" t="s">
        <v>20</v>
      </c>
      <c r="C11882" s="1" t="str">
        <f t="shared" si="594"/>
        <v>5-2차</v>
      </c>
      <c r="D11882" s="1" t="str">
        <f>"9625Q2725M"</f>
        <v>9625Q2725M</v>
      </c>
      <c r="E11882" s="1" t="s">
        <v>10</v>
      </c>
      <c r="F11882" s="1" t="str">
        <f>"fde1:103:4:5606:0:0:0:2"</f>
        <v>fde1:103:4:5606:0:0:0:2</v>
      </c>
      <c r="G11882" s="1" t="str">
        <f>"9625Q272"</f>
        <v>9625Q272</v>
      </c>
      <c r="H11882" s="1" t="str">
        <f>"합정지 10L13L1"</f>
        <v>합정지 10L13L1</v>
      </c>
      <c r="I11882" s="1" t="s">
        <v>15</v>
      </c>
      <c r="J11882" s="1" t="str">
        <f>"47/47"</f>
        <v>47/47</v>
      </c>
      <c r="K11882" s="1" t="str">
        <f>"2026-07-29 14:20:53"</f>
        <v>2026-07-29 14:20:53</v>
      </c>
      <c r="L11882" s="1" t="str">
        <f>"2023-08-16 15:35:18"</f>
        <v>2023-08-16 15:35:18</v>
      </c>
      <c r="M11882" s="1" t="s">
        <v>4</v>
      </c>
      <c r="N11882" s="1" t="s">
        <v>38</v>
      </c>
      <c r="O11882" s="1" t="s">
        <v>46</v>
      </c>
    </row>
    <row r="11883" spans="2:15" x14ac:dyDescent="0.3">
      <c r="B11883" s="1" t="s">
        <v>20</v>
      </c>
      <c r="C11883" s="1" t="str">
        <f t="shared" si="594"/>
        <v>5-2차</v>
      </c>
      <c r="D11883" s="1" t="str">
        <f>"9625Q2815M"</f>
        <v>9625Q2815M</v>
      </c>
      <c r="E11883" s="1" t="s">
        <v>10</v>
      </c>
      <c r="F11883" s="1" t="str">
        <f>"fde3:102:1300:2f08:0:0:0:2"</f>
        <v>fde3:102:1300:2f08:0:0:0:2</v>
      </c>
      <c r="G11883" s="1" t="str">
        <f>"9625Q281"</f>
        <v>9625Q281</v>
      </c>
      <c r="H11883" s="1" t="str">
        <f>"합정지 21L3"</f>
        <v>합정지 21L3</v>
      </c>
      <c r="I11883" s="1" t="s">
        <v>15</v>
      </c>
      <c r="J11883" s="1" t="str">
        <f>"84/84"</f>
        <v>84/84</v>
      </c>
      <c r="K11883" s="1" t="str">
        <f>"2026-07-29 14:20:52"</f>
        <v>2026-07-29 14:20:52</v>
      </c>
      <c r="L11883" s="1" t="str">
        <f>"2023-09-07 09:56:22"</f>
        <v>2023-09-07 09:56:22</v>
      </c>
      <c r="M11883" s="1" t="s">
        <v>45</v>
      </c>
      <c r="N11883" s="1" t="s">
        <v>38</v>
      </c>
      <c r="O11883" s="1" t="s">
        <v>46</v>
      </c>
    </row>
    <row r="11884" spans="2:15" x14ac:dyDescent="0.3">
      <c r="B11884" s="1" t="s">
        <v>20</v>
      </c>
      <c r="C11884" s="1" t="str">
        <f>"4차"</f>
        <v>4차</v>
      </c>
      <c r="D11884" s="1" t="str">
        <f>"9625Q32142"</f>
        <v>9625Q32142</v>
      </c>
      <c r="E11884" s="1" t="s">
        <v>10</v>
      </c>
      <c r="F11884" s="1" t="str">
        <f>"10.125.195.154"</f>
        <v>10.125.195.154</v>
      </c>
      <c r="G11884" s="1" t="str">
        <f>"9625Q321"</f>
        <v>9625Q321</v>
      </c>
      <c r="H11884" s="1" t="str">
        <f>"합정지 10L11L3L4"</f>
        <v>합정지 10L11L3L4</v>
      </c>
      <c r="I11884" s="1" t="s">
        <v>8</v>
      </c>
      <c r="J11884" s="1" t="str">
        <f>"29/32"</f>
        <v>29/32</v>
      </c>
      <c r="K11884" s="1" t="str">
        <f>"2026-07-29 13:18:11"</f>
        <v>2026-07-29 13:18:11</v>
      </c>
      <c r="L11884" s="1" t="str">
        <f>"2025-08-25 15:46:50"</f>
        <v>2025-08-25 15:46:50</v>
      </c>
      <c r="M11884" s="1" t="s">
        <v>45</v>
      </c>
      <c r="N11884" s="1" t="s">
        <v>38</v>
      </c>
      <c r="O11884" s="1" t="s">
        <v>46</v>
      </c>
    </row>
    <row r="11885" spans="2:15" x14ac:dyDescent="0.3">
      <c r="B11885" s="1" t="s">
        <v>20</v>
      </c>
      <c r="C11885" s="1" t="str">
        <f>"5-2차"</f>
        <v>5-2차</v>
      </c>
      <c r="D11885" s="1" t="str">
        <f>"9625Q3315M"</f>
        <v>9625Q3315M</v>
      </c>
      <c r="E11885" s="1" t="s">
        <v>10</v>
      </c>
      <c r="F11885" s="1" t="str">
        <f>"fde1:103:4:5597:0:0:0:2"</f>
        <v>fde1:103:4:5597:0:0:0:2</v>
      </c>
      <c r="G11885" s="1" t="str">
        <f>"9625Q331"</f>
        <v>9625Q331</v>
      </c>
      <c r="H11885" s="1" t="str">
        <f>"합정지 10L11L2L5"</f>
        <v>합정지 10L11L2L5</v>
      </c>
      <c r="I11885" s="1" t="s">
        <v>15</v>
      </c>
      <c r="J11885" s="1" t="str">
        <f>"91/91"</f>
        <v>91/91</v>
      </c>
      <c r="K11885" s="1" t="str">
        <f>"2026-07-29 14:20:52"</f>
        <v>2026-07-29 14:20:52</v>
      </c>
      <c r="L11885" s="1" t="str">
        <f>"2023-08-16 15:47:56"</f>
        <v>2023-08-16 15:47:56</v>
      </c>
      <c r="M11885" s="1" t="s">
        <v>4</v>
      </c>
      <c r="N11885" s="1" t="s">
        <v>38</v>
      </c>
      <c r="O11885" s="1" t="s">
        <v>46</v>
      </c>
    </row>
    <row r="11886" spans="2:15" x14ac:dyDescent="0.3">
      <c r="B11886" s="1" t="s">
        <v>20</v>
      </c>
      <c r="C11886" s="1" t="str">
        <f>"5-2차"</f>
        <v>5-2차</v>
      </c>
      <c r="D11886" s="1" t="str">
        <f>"9625Q3335M"</f>
        <v>9625Q3335M</v>
      </c>
      <c r="E11886" s="1" t="s">
        <v>10</v>
      </c>
      <c r="F11886" s="1" t="str">
        <f>"fde3:102:1300:2e06:0:0:0:2"</f>
        <v>fde3:102:1300:2e06:0:0:0:2</v>
      </c>
      <c r="G11886" s="1" t="str">
        <f>"9625Q333"</f>
        <v>9625Q333</v>
      </c>
      <c r="H11886" s="1" t="str">
        <f>"합정지 10L11L2L4"</f>
        <v>합정지 10L11L2L4</v>
      </c>
      <c r="I11886" s="1" t="s">
        <v>15</v>
      </c>
      <c r="J11886" s="1" t="str">
        <f>"37/37"</f>
        <v>37/37</v>
      </c>
      <c r="K11886" s="1" t="str">
        <f>"2026-07-29 14:20:58"</f>
        <v>2026-07-29 14:20:58</v>
      </c>
      <c r="L11886" s="1" t="str">
        <f>"2023-09-05 11:02:31"</f>
        <v>2023-09-05 11:02:31</v>
      </c>
      <c r="M11886" s="1" t="s">
        <v>45</v>
      </c>
      <c r="N11886" s="1" t="s">
        <v>38</v>
      </c>
      <c r="O11886" s="1" t="s">
        <v>46</v>
      </c>
    </row>
    <row r="11887" spans="2:15" x14ac:dyDescent="0.3">
      <c r="B11887" s="1" t="s">
        <v>20</v>
      </c>
      <c r="C11887" s="1" t="str">
        <f>"5-2차"</f>
        <v>5-2차</v>
      </c>
      <c r="D11887" s="1" t="str">
        <f>"9625Q3925M"</f>
        <v>9625Q3925M</v>
      </c>
      <c r="E11887" s="1" t="s">
        <v>10</v>
      </c>
      <c r="F11887" s="1" t="str">
        <f>"fde3:102:1300:2f0c:0:0:0:2"</f>
        <v>fde3:102:1300:2f0c:0:0:0:2</v>
      </c>
      <c r="G11887" s="1" t="str">
        <f>"9625Q392"</f>
        <v>9625Q392</v>
      </c>
      <c r="H11887" s="1" t="str">
        <f>"합정지 22"</f>
        <v>합정지 22</v>
      </c>
      <c r="I11887" s="1" t="s">
        <v>15</v>
      </c>
      <c r="J11887" s="1" t="str">
        <f>"45/45"</f>
        <v>45/45</v>
      </c>
      <c r="K11887" s="1" t="str">
        <f>"2026-07-29 14:20:53"</f>
        <v>2026-07-29 14:20:53</v>
      </c>
      <c r="L11887" s="1" t="str">
        <f>"2023-09-14 15:46:59"</f>
        <v>2023-09-14 15:46:59</v>
      </c>
      <c r="M11887" s="1" t="s">
        <v>45</v>
      </c>
      <c r="N11887" s="1" t="s">
        <v>38</v>
      </c>
      <c r="O11887" s="1" t="s">
        <v>46</v>
      </c>
    </row>
    <row r="11888" spans="2:15" x14ac:dyDescent="0.3">
      <c r="B11888" s="1" t="s">
        <v>20</v>
      </c>
      <c r="C11888" s="1" t="str">
        <f>"5-1차"</f>
        <v>5-1차</v>
      </c>
      <c r="D11888" s="1" t="str">
        <f>"9625Q4515S"</f>
        <v>9625Q4515S</v>
      </c>
      <c r="E11888" s="1" t="s">
        <v>10</v>
      </c>
      <c r="F11888" s="1" t="str">
        <f>"fde3:102:1300:2e00:0:0:0:2"</f>
        <v>fde3:102:1300:2e00:0:0:0:2</v>
      </c>
      <c r="G11888" s="1" t="str">
        <f>"9625Q451"</f>
        <v>9625Q451</v>
      </c>
      <c r="H11888" s="1" t="str">
        <f>"합정지 10L10"</f>
        <v>합정지 10L10</v>
      </c>
      <c r="I11888" s="1" t="s">
        <v>15</v>
      </c>
      <c r="J11888" s="1" t="str">
        <f>"46/46"</f>
        <v>46/46</v>
      </c>
      <c r="K11888" s="1" t="str">
        <f>"2026-07-29 14:21:35"</f>
        <v>2026-07-29 14:21:35</v>
      </c>
      <c r="L11888" s="1" t="str">
        <f>"2022-11-08 16:28:12"</f>
        <v>2022-11-08 16:28:12</v>
      </c>
      <c r="M11888" s="1" t="s">
        <v>45</v>
      </c>
      <c r="N11888" s="1" t="s">
        <v>38</v>
      </c>
      <c r="O11888" s="1" t="s">
        <v>46</v>
      </c>
    </row>
    <row r="11889" spans="2:15" x14ac:dyDescent="0.3">
      <c r="B11889" s="1" t="s">
        <v>20</v>
      </c>
      <c r="C11889" s="1" t="str">
        <f>"5-2차"</f>
        <v>5-2차</v>
      </c>
      <c r="D11889" s="1" t="str">
        <f>"9625Q4815M"</f>
        <v>9625Q4815M</v>
      </c>
      <c r="E11889" s="1" t="s">
        <v>10</v>
      </c>
      <c r="F11889" s="1" t="str">
        <f>"fde3:102:1300:2403:0:0:0:2"</f>
        <v>fde3:102:1300:2403:0:0:0:2</v>
      </c>
      <c r="G11889" s="1" t="str">
        <f>"9625Q481"</f>
        <v>9625Q481</v>
      </c>
      <c r="H11889" s="1" t="str">
        <f>"합정지 20"</f>
        <v>합정지 20</v>
      </c>
      <c r="I11889" s="1" t="s">
        <v>15</v>
      </c>
      <c r="J11889" s="1" t="str">
        <f>"102/103"</f>
        <v>102/103</v>
      </c>
      <c r="K11889" s="1" t="str">
        <f>"2026-07-29 14:20:58"</f>
        <v>2026-07-29 14:20:58</v>
      </c>
      <c r="L11889" s="1" t="str">
        <f>"2023-09-05 11:32:11"</f>
        <v>2023-09-05 11:32:11</v>
      </c>
      <c r="M11889" s="1" t="s">
        <v>45</v>
      </c>
      <c r="N11889" s="1" t="s">
        <v>38</v>
      </c>
      <c r="O11889" s="1" t="s">
        <v>46</v>
      </c>
    </row>
    <row r="11890" spans="2:15" x14ac:dyDescent="0.3">
      <c r="B11890" s="1" t="s">
        <v>20</v>
      </c>
      <c r="C11890" s="1" t="str">
        <f>"5-2차"</f>
        <v>5-2차</v>
      </c>
      <c r="D11890" s="1" t="str">
        <f>"9625Q4915M"</f>
        <v>9625Q4915M</v>
      </c>
      <c r="E11890" s="1" t="s">
        <v>10</v>
      </c>
      <c r="F11890" s="1" t="str">
        <f>"fde3:102:1300:5d00:0:0:0:2"</f>
        <v>fde3:102:1300:5d00:0:0:0:2</v>
      </c>
      <c r="G11890" s="1" t="str">
        <f>"9625Q491"</f>
        <v>9625Q491</v>
      </c>
      <c r="H11890" s="1" t="str">
        <f>"합정지 21"</f>
        <v>합정지 21</v>
      </c>
      <c r="I11890" s="1" t="s">
        <v>15</v>
      </c>
      <c r="J11890" s="1" t="str">
        <f>"54/54"</f>
        <v>54/54</v>
      </c>
      <c r="K11890" s="1" t="str">
        <f>"2026-07-29 14:20:53"</f>
        <v>2026-07-29 14:20:53</v>
      </c>
      <c r="L11890" s="1" t="str">
        <f>"2023-09-07 09:39:24"</f>
        <v>2023-09-07 09:39:24</v>
      </c>
      <c r="M11890" s="1" t="s">
        <v>45</v>
      </c>
      <c r="N11890" s="1" t="s">
        <v>38</v>
      </c>
      <c r="O11890" s="1" t="s">
        <v>46</v>
      </c>
    </row>
    <row r="11891" spans="2:15" x14ac:dyDescent="0.3">
      <c r="B11891" s="1" t="s">
        <v>20</v>
      </c>
      <c r="C11891" s="1" t="str">
        <f>"5-2차"</f>
        <v>5-2차</v>
      </c>
      <c r="D11891" s="1" t="str">
        <f>"9625Q4925S"</f>
        <v>9625Q4925S</v>
      </c>
      <c r="E11891" s="1" t="s">
        <v>10</v>
      </c>
      <c r="F11891" s="1" t="str">
        <f>"fde3:102:1300:2f09:0:0:0:2"</f>
        <v>fde3:102:1300:2f09:0:0:0:2</v>
      </c>
      <c r="G11891" s="1" t="str">
        <f>"9625Q492"</f>
        <v>9625Q492</v>
      </c>
      <c r="H11891" s="1" t="str">
        <f>"합정지 21R1"</f>
        <v>합정지 21R1</v>
      </c>
      <c r="I11891" s="1" t="s">
        <v>15</v>
      </c>
      <c r="J11891" s="1" t="str">
        <f>"64/64"</f>
        <v>64/64</v>
      </c>
      <c r="K11891" s="1" t="str">
        <f>"2026-07-29 14:20:53"</f>
        <v>2026-07-29 14:20:53</v>
      </c>
      <c r="L11891" s="1" t="str">
        <f>"2023-09-21 13:41:53"</f>
        <v>2023-09-21 13:41:53</v>
      </c>
      <c r="M11891" s="1" t="s">
        <v>45</v>
      </c>
      <c r="N11891" s="1" t="s">
        <v>38</v>
      </c>
      <c r="O11891" s="1" t="s">
        <v>46</v>
      </c>
    </row>
    <row r="11892" spans="2:15" x14ac:dyDescent="0.3">
      <c r="B11892" s="1" t="s">
        <v>20</v>
      </c>
      <c r="C11892" s="1" t="str">
        <f>"5-2차"</f>
        <v>5-2차</v>
      </c>
      <c r="D11892" s="1" t="str">
        <f>"9625Q5415M"</f>
        <v>9625Q5415M</v>
      </c>
      <c r="E11892" s="1" t="s">
        <v>10</v>
      </c>
      <c r="F11892" s="1" t="str">
        <f>"fde3:102:1300:2e08:0:0:0:2"</f>
        <v>fde3:102:1300:2e08:0:0:0:2</v>
      </c>
      <c r="G11892" s="1" t="str">
        <f>"9625Q541"</f>
        <v>9625Q541</v>
      </c>
      <c r="H11892" s="1" t="str">
        <f>"합정지 10L8"</f>
        <v>합정지 10L8</v>
      </c>
      <c r="I11892" s="1" t="s">
        <v>15</v>
      </c>
      <c r="J11892" s="1" t="str">
        <f>"35/35"</f>
        <v>35/35</v>
      </c>
      <c r="K11892" s="1" t="str">
        <f>"2026-07-29 14:20:58"</f>
        <v>2026-07-29 14:20:58</v>
      </c>
      <c r="L11892" s="1" t="str">
        <f>"2023-09-21 10:12:21"</f>
        <v>2023-09-21 10:12:21</v>
      </c>
      <c r="M11892" s="1" t="s">
        <v>45</v>
      </c>
      <c r="N11892" s="1" t="s">
        <v>38</v>
      </c>
      <c r="O11892" s="1" t="s">
        <v>46</v>
      </c>
    </row>
    <row r="11893" spans="2:15" x14ac:dyDescent="0.3">
      <c r="B11893" s="1" t="s">
        <v>20</v>
      </c>
      <c r="C11893" s="1" t="str">
        <f>"5-2차"</f>
        <v>5-2차</v>
      </c>
      <c r="D11893" s="1" t="str">
        <f>"9625Q5435S"</f>
        <v>9625Q5435S</v>
      </c>
      <c r="E11893" s="1" t="s">
        <v>10</v>
      </c>
      <c r="F11893" s="1" t="str">
        <f>"fde3:102:1300:2300:0:0:0:2"</f>
        <v>fde3:102:1300:2300:0:0:0:2</v>
      </c>
      <c r="G11893" s="1" t="str">
        <f>"9625Q543"</f>
        <v>9625Q543</v>
      </c>
      <c r="H11893" s="1" t="str">
        <f>"합정지 10L5"</f>
        <v>합정지 10L5</v>
      </c>
      <c r="I11893" s="1" t="s">
        <v>15</v>
      </c>
      <c r="J11893" s="1" t="str">
        <f>"43/43"</f>
        <v>43/43</v>
      </c>
      <c r="K11893" s="1" t="str">
        <f>"2026-07-29 14:20:59"</f>
        <v>2026-07-29 14:20:59</v>
      </c>
      <c r="L11893" s="1" t="str">
        <f>"2023-09-21 09:15:32"</f>
        <v>2023-09-21 09:15:32</v>
      </c>
      <c r="M11893" s="1" t="s">
        <v>45</v>
      </c>
      <c r="N11893" s="1" t="s">
        <v>38</v>
      </c>
      <c r="O11893" s="1" t="s">
        <v>46</v>
      </c>
    </row>
    <row r="11894" spans="2:15" x14ac:dyDescent="0.3">
      <c r="B11894" s="1" t="s">
        <v>20</v>
      </c>
      <c r="C11894" s="1" t="str">
        <f>"5-1차"</f>
        <v>5-1차</v>
      </c>
      <c r="D11894" s="1" t="str">
        <f>"9625Q5625M"</f>
        <v>9625Q5625M</v>
      </c>
      <c r="E11894" s="1" t="s">
        <v>10</v>
      </c>
      <c r="F11894" s="1" t="str">
        <f>"fde2:104:0:93:0:0:0:2"</f>
        <v>fde2:104:0:93:0:0:0:2</v>
      </c>
      <c r="G11894" s="1" t="str">
        <f>"9625Q562"</f>
        <v>9625Q562</v>
      </c>
      <c r="H11894" s="1" t="str">
        <f>"합정지 17"</f>
        <v>합정지 17</v>
      </c>
      <c r="I11894" s="1" t="s">
        <v>15</v>
      </c>
      <c r="J11894" s="1" t="str">
        <f>"89/89"</f>
        <v>89/89</v>
      </c>
      <c r="K11894" s="1" t="str">
        <f>"2026-07-29 14:20:59"</f>
        <v>2026-07-29 14:20:59</v>
      </c>
      <c r="L11894" s="1" t="str">
        <f>"2022-09-28 11:02:12"</f>
        <v>2022-09-28 11:02:12</v>
      </c>
      <c r="M11894" s="1" t="s">
        <v>42</v>
      </c>
      <c r="N11894" s="1" t="s">
        <v>38</v>
      </c>
      <c r="O11894" s="1" t="s">
        <v>46</v>
      </c>
    </row>
    <row r="11895" spans="2:15" x14ac:dyDescent="0.3">
      <c r="B11895" s="1" t="s">
        <v>20</v>
      </c>
      <c r="C11895" s="1" t="str">
        <f>"5-2차"</f>
        <v>5-2차</v>
      </c>
      <c r="D11895" s="1" t="str">
        <f>"9625Q5815S"</f>
        <v>9625Q5815S</v>
      </c>
      <c r="E11895" s="1" t="s">
        <v>10</v>
      </c>
      <c r="F11895" s="1" t="str">
        <f>"fde3:102:1300:2402:0:0:0:2"</f>
        <v>fde3:102:1300:2402:0:0:0:2</v>
      </c>
      <c r="G11895" s="1" t="str">
        <f>"9625Q581"</f>
        <v>9625Q581</v>
      </c>
      <c r="H11895" s="1" t="str">
        <f>"합정지 19R1"</f>
        <v>합정지 19R1</v>
      </c>
      <c r="I11895" s="1" t="s">
        <v>15</v>
      </c>
      <c r="J11895" s="1" t="str">
        <f>"68/68"</f>
        <v>68/68</v>
      </c>
      <c r="K11895" s="1" t="str">
        <f>"2026-07-29 14:20:53"</f>
        <v>2026-07-29 14:20:53</v>
      </c>
      <c r="L11895" s="1" t="str">
        <f>"2023-10-11 16:34:18"</f>
        <v>2023-10-11 16:34:18</v>
      </c>
      <c r="M11895" s="1" t="s">
        <v>45</v>
      </c>
      <c r="N11895" s="1" t="s">
        <v>38</v>
      </c>
      <c r="O11895" s="1" t="s">
        <v>46</v>
      </c>
    </row>
    <row r="11896" spans="2:15" x14ac:dyDescent="0.3">
      <c r="B11896" s="1" t="s">
        <v>20</v>
      </c>
      <c r="C11896" s="1" t="str">
        <f>"5-2차"</f>
        <v>5-2차</v>
      </c>
      <c r="D11896" s="1" t="str">
        <f>"9625Q5825M"</f>
        <v>9625Q5825M</v>
      </c>
      <c r="E11896" s="1" t="s">
        <v>10</v>
      </c>
      <c r="F11896" s="1" t="str">
        <f>"fde1:103:4:561a:0:0:0:2"</f>
        <v>fde1:103:4:561a:0:0:0:2</v>
      </c>
      <c r="G11896" s="1" t="str">
        <f>"9625Q582"</f>
        <v>9625Q582</v>
      </c>
      <c r="H11896" s="1" t="str">
        <f>"합정지 19R2"</f>
        <v>합정지 19R2</v>
      </c>
      <c r="I11896" s="1" t="s">
        <v>15</v>
      </c>
      <c r="J11896" s="1" t="str">
        <f>"93/93"</f>
        <v>93/93</v>
      </c>
      <c r="K11896" s="1" t="str">
        <f>"2026-07-29 14:21:49"</f>
        <v>2026-07-29 14:21:49</v>
      </c>
      <c r="L11896" s="1" t="str">
        <f>"2023-08-16 15:50:29"</f>
        <v>2023-08-16 15:50:29</v>
      </c>
      <c r="M11896" s="1" t="s">
        <v>4</v>
      </c>
      <c r="N11896" s="1" t="s">
        <v>38</v>
      </c>
      <c r="O11896" s="1" t="s">
        <v>46</v>
      </c>
    </row>
    <row r="11897" spans="2:15" x14ac:dyDescent="0.3">
      <c r="B11897" s="1" t="s">
        <v>20</v>
      </c>
      <c r="C11897" s="1" t="str">
        <f>"5-2차"</f>
        <v>5-2차</v>
      </c>
      <c r="D11897" s="1" t="str">
        <f>"9625Q6515M"</f>
        <v>9625Q6515M</v>
      </c>
      <c r="E11897" s="1" t="s">
        <v>10</v>
      </c>
      <c r="F11897" s="1" t="str">
        <f>"fde3:102:1300:2f07:0:0:0:2"</f>
        <v>fde3:102:1300:2f07:0:0:0:2</v>
      </c>
      <c r="G11897" s="1" t="str">
        <f>"9625Q651"</f>
        <v>9625Q651</v>
      </c>
      <c r="H11897" s="1" t="str">
        <f>"합정지 15"</f>
        <v>합정지 15</v>
      </c>
      <c r="I11897" s="1" t="s">
        <v>15</v>
      </c>
      <c r="J11897" s="1" t="str">
        <f>"46/49"</f>
        <v>46/49</v>
      </c>
      <c r="K11897" s="1" t="str">
        <f>"2026-07-29 14:20:59"</f>
        <v>2026-07-29 14:20:59</v>
      </c>
      <c r="L11897" s="1" t="str">
        <f>"2023-09-04 17:20:05"</f>
        <v>2023-09-04 17:20:05</v>
      </c>
      <c r="M11897" s="1" t="s">
        <v>45</v>
      </c>
      <c r="N11897" s="1" t="s">
        <v>38</v>
      </c>
      <c r="O11897" s="1" t="s">
        <v>46</v>
      </c>
    </row>
    <row r="11898" spans="2:15" x14ac:dyDescent="0.3">
      <c r="B11898" s="1" t="s">
        <v>20</v>
      </c>
      <c r="C11898" s="1" t="str">
        <f>"5-2차"</f>
        <v>5-2차</v>
      </c>
      <c r="D11898" s="1" t="str">
        <f>"9625Q7425M"</f>
        <v>9625Q7425M</v>
      </c>
      <c r="E11898" s="1" t="s">
        <v>10</v>
      </c>
      <c r="F11898" s="1" t="str">
        <f>"fde3:102:1300:2401:0:0:0:2"</f>
        <v>fde3:102:1300:2401:0:0:0:2</v>
      </c>
      <c r="G11898" s="1" t="str">
        <f>"9625Q742"</f>
        <v>9625Q742</v>
      </c>
      <c r="H11898" s="1" t="str">
        <f>"합정지 12"</f>
        <v>합정지 12</v>
      </c>
      <c r="I11898" s="1" t="s">
        <v>15</v>
      </c>
      <c r="J11898" s="1" t="str">
        <f>"25/26"</f>
        <v>25/26</v>
      </c>
      <c r="K11898" s="1" t="str">
        <f>"2026-07-29 14:21:00"</f>
        <v>2026-07-29 14:21:00</v>
      </c>
      <c r="L11898" s="1" t="str">
        <f>"2023-09-04 16:08:42"</f>
        <v>2023-09-04 16:08:42</v>
      </c>
      <c r="M11898" s="1" t="s">
        <v>45</v>
      </c>
      <c r="N11898" s="1" t="s">
        <v>38</v>
      </c>
      <c r="O11898" s="1" t="s">
        <v>46</v>
      </c>
    </row>
    <row r="11899" spans="2:15" x14ac:dyDescent="0.3">
      <c r="B11899" s="1" t="s">
        <v>20</v>
      </c>
      <c r="C11899" s="1" t="str">
        <f>"4차"</f>
        <v>4차</v>
      </c>
      <c r="D11899" s="1" t="str">
        <f>"9625Q75139"</f>
        <v>9625Q75139</v>
      </c>
      <c r="E11899" s="1" t="s">
        <v>10</v>
      </c>
      <c r="F11899" s="1" t="str">
        <f>"10.12.137.5"</f>
        <v>10.12.137.5</v>
      </c>
      <c r="G11899" s="1" t="str">
        <f>"9625Q751"</f>
        <v>9625Q751</v>
      </c>
      <c r="H11899" s="1" t="str">
        <f>"합정로 1-3T"</f>
        <v>합정로 1-3T</v>
      </c>
      <c r="I11899" s="1" t="s">
        <v>17</v>
      </c>
      <c r="J11899" s="1" t="str">
        <f>"6/8"</f>
        <v>6/8</v>
      </c>
      <c r="K11899" s="1" t="str">
        <f>"2026-07-29 13:18:11"</f>
        <v>2026-07-29 13:18:11</v>
      </c>
      <c r="L11899" s="1" t="str">
        <f>"2018-10-16 10:16:27"</f>
        <v>2018-10-16 10:16:27</v>
      </c>
      <c r="M11899" s="1" t="s">
        <v>0</v>
      </c>
      <c r="N11899" s="1" t="s">
        <v>38</v>
      </c>
      <c r="O11899" s="1" t="s">
        <v>46</v>
      </c>
    </row>
    <row r="11900" spans="2:15" x14ac:dyDescent="0.3">
      <c r="B11900" s="1" t="s">
        <v>20</v>
      </c>
      <c r="C11900" s="1" t="str">
        <f>"6차"</f>
        <v>6차</v>
      </c>
      <c r="D11900" s="1" t="str">
        <f>"9625Q7626S"</f>
        <v>9625Q7626S</v>
      </c>
      <c r="E11900" s="1" t="s">
        <v>10</v>
      </c>
      <c r="F11900" s="1" t="str">
        <f>"fde1:103:4:c653:0:0:0:2"</f>
        <v>fde1:103:4:c653:0:0:0:2</v>
      </c>
      <c r="G11900" s="1" t="str">
        <f>"9625Q762"</f>
        <v>9625Q762</v>
      </c>
      <c r="H11900" s="1" t="str">
        <f>"합정지 8R5"</f>
        <v>합정지 8R5</v>
      </c>
      <c r="I11900" s="1" t="s">
        <v>15</v>
      </c>
      <c r="J11900" s="1" t="str">
        <f>"175/180"</f>
        <v>175/180</v>
      </c>
      <c r="K11900" s="1" t="str">
        <f>"2026-07-29 14:21:42"</f>
        <v>2026-07-29 14:21:42</v>
      </c>
      <c r="L11900" s="1" t="str">
        <f>"2024-11-07 13:13:59"</f>
        <v>2024-11-07 13:13:59</v>
      </c>
      <c r="M11900" s="1" t="s">
        <v>4</v>
      </c>
      <c r="N11900" s="1" t="s">
        <v>38</v>
      </c>
      <c r="O11900" s="1" t="s">
        <v>46</v>
      </c>
    </row>
    <row r="11901" spans="2:15" x14ac:dyDescent="0.3">
      <c r="B11901" s="1" t="s">
        <v>20</v>
      </c>
      <c r="C11901" s="1" t="str">
        <f t="shared" ref="C11901:C11907" si="595">"5-2차"</f>
        <v>5-2차</v>
      </c>
      <c r="D11901" s="1" t="str">
        <f>"9625Q7915M"</f>
        <v>9625Q7915M</v>
      </c>
      <c r="E11901" s="1" t="s">
        <v>10</v>
      </c>
      <c r="F11901" s="1" t="str">
        <f>"fde3:102:1300:5d00:0:0:0:4"</f>
        <v>fde3:102:1300:5d00:0:0:0:4</v>
      </c>
      <c r="G11901" s="1" t="str">
        <f>"9625Q791"</f>
        <v>9625Q791</v>
      </c>
      <c r="H11901" s="1" t="str">
        <f>"합정지 7R5L2"</f>
        <v>합정지 7R5L2</v>
      </c>
      <c r="I11901" s="1" t="s">
        <v>15</v>
      </c>
      <c r="J11901" s="1" t="str">
        <f>"68/68"</f>
        <v>68/68</v>
      </c>
      <c r="K11901" s="1" t="str">
        <f>"2026-07-29 14:20:58"</f>
        <v>2026-07-29 14:20:58</v>
      </c>
      <c r="L11901" s="1" t="str">
        <f>"2023-09-04 14:07:17"</f>
        <v>2023-09-04 14:07:17</v>
      </c>
      <c r="M11901" s="1" t="s">
        <v>45</v>
      </c>
      <c r="N11901" s="1" t="s">
        <v>38</v>
      </c>
      <c r="O11901" s="1" t="s">
        <v>46</v>
      </c>
    </row>
    <row r="11902" spans="2:15" x14ac:dyDescent="0.3">
      <c r="B11902" s="1" t="s">
        <v>20</v>
      </c>
      <c r="C11902" s="1" t="str">
        <f t="shared" si="595"/>
        <v>5-2차</v>
      </c>
      <c r="D11902" s="1" t="str">
        <f>"9625Q8515M"</f>
        <v>9625Q8515M</v>
      </c>
      <c r="E11902" s="1" t="s">
        <v>10</v>
      </c>
      <c r="F11902" s="1" t="str">
        <f>"fde3:102:1300:2406:0:0:0:2"</f>
        <v>fde3:102:1300:2406:0:0:0:2</v>
      </c>
      <c r="G11902" s="1" t="str">
        <f>"9625Q851"</f>
        <v>9625Q851</v>
      </c>
      <c r="H11902" s="1" t="str">
        <f>"합정지 8R1"</f>
        <v>합정지 8R1</v>
      </c>
      <c r="I11902" s="1" t="s">
        <v>15</v>
      </c>
      <c r="J11902" s="1" t="str">
        <f>"72/72"</f>
        <v>72/72</v>
      </c>
      <c r="K11902" s="1" t="str">
        <f>"2026-07-29 14:20:58"</f>
        <v>2026-07-29 14:20:58</v>
      </c>
      <c r="L11902" s="1" t="str">
        <f>"2023-11-24 14:19:24"</f>
        <v>2023-11-24 14:19:24</v>
      </c>
      <c r="M11902" s="1" t="s">
        <v>45</v>
      </c>
      <c r="N11902" s="1" t="s">
        <v>38</v>
      </c>
      <c r="O11902" s="1" t="s">
        <v>46</v>
      </c>
    </row>
    <row r="11903" spans="2:15" x14ac:dyDescent="0.3">
      <c r="B11903" s="1" t="s">
        <v>20</v>
      </c>
      <c r="C11903" s="1" t="str">
        <f t="shared" si="595"/>
        <v>5-2차</v>
      </c>
      <c r="D11903" s="1" t="str">
        <f>"9625Q8615M"</f>
        <v>9625Q8615M</v>
      </c>
      <c r="E11903" s="1" t="s">
        <v>10</v>
      </c>
      <c r="F11903" s="1" t="str">
        <f>"fde1:103:4:55d9:0:0:0:2"</f>
        <v>fde1:103:4:55d9:0:0:0:2</v>
      </c>
      <c r="G11903" s="1" t="str">
        <f>"9625Q861"</f>
        <v>9625Q861</v>
      </c>
      <c r="H11903" s="1" t="str">
        <f>"합정지 7R2"</f>
        <v>합정지 7R2</v>
      </c>
      <c r="I11903" s="1" t="s">
        <v>15</v>
      </c>
      <c r="J11903" s="1" t="str">
        <f>"64/64"</f>
        <v>64/64</v>
      </c>
      <c r="K11903" s="1" t="str">
        <f>"2026-07-29 14:21:42"</f>
        <v>2026-07-29 14:21:42</v>
      </c>
      <c r="L11903" s="1" t="str">
        <f>"2023-08-16 15:53:09"</f>
        <v>2023-08-16 15:53:09</v>
      </c>
      <c r="M11903" s="1" t="s">
        <v>4</v>
      </c>
      <c r="N11903" s="1" t="s">
        <v>38</v>
      </c>
      <c r="O11903" s="1" t="s">
        <v>46</v>
      </c>
    </row>
    <row r="11904" spans="2:15" x14ac:dyDescent="0.3">
      <c r="B11904" s="1" t="s">
        <v>20</v>
      </c>
      <c r="C11904" s="1" t="str">
        <f t="shared" si="595"/>
        <v>5-2차</v>
      </c>
      <c r="D11904" s="1" t="str">
        <f>"9625Q8815M"</f>
        <v>9625Q8815M</v>
      </c>
      <c r="E11904" s="1" t="s">
        <v>10</v>
      </c>
      <c r="F11904" s="1" t="str">
        <f>"fde3:102:1300:2c01:0:0:0:4"</f>
        <v>fde3:102:1300:2c01:0:0:0:4</v>
      </c>
      <c r="G11904" s="1" t="str">
        <f>"9625Q881"</f>
        <v>9625Q881</v>
      </c>
      <c r="H11904" s="1" t="str">
        <f>"합정지 7R5"</f>
        <v>합정지 7R5</v>
      </c>
      <c r="I11904" s="1" t="s">
        <v>15</v>
      </c>
      <c r="J11904" s="1" t="str">
        <f>"80/80"</f>
        <v>80/80</v>
      </c>
      <c r="K11904" s="1" t="str">
        <f>"2026-07-29 14:20:53"</f>
        <v>2026-07-29 14:20:53</v>
      </c>
      <c r="L11904" s="1" t="str">
        <f>"2023-09-21 10:03:06"</f>
        <v>2023-09-21 10:03:06</v>
      </c>
      <c r="M11904" s="1" t="s">
        <v>45</v>
      </c>
      <c r="N11904" s="1" t="s">
        <v>38</v>
      </c>
      <c r="O11904" s="1" t="s">
        <v>46</v>
      </c>
    </row>
    <row r="11905" spans="2:15" x14ac:dyDescent="0.3">
      <c r="B11905" s="1" t="s">
        <v>20</v>
      </c>
      <c r="C11905" s="1" t="str">
        <f t="shared" si="595"/>
        <v>5-2차</v>
      </c>
      <c r="D11905" s="1" t="str">
        <f>"9625Q8835M"</f>
        <v>9625Q8835M</v>
      </c>
      <c r="E11905" s="1" t="s">
        <v>10</v>
      </c>
      <c r="F11905" s="1" t="str">
        <f>"fde1:103:4:5676:0:0:0:2"</f>
        <v>fde1:103:4:5676:0:0:0:2</v>
      </c>
      <c r="G11905" s="1" t="str">
        <f>"9625Q883"</f>
        <v>9625Q883</v>
      </c>
      <c r="H11905" s="1" t="str">
        <f>"합정지 7R5L1"</f>
        <v>합정지 7R5L1</v>
      </c>
      <c r="I11905" s="1" t="s">
        <v>15</v>
      </c>
      <c r="J11905" s="1" t="str">
        <f>"45/45"</f>
        <v>45/45</v>
      </c>
      <c r="K11905" s="1" t="str">
        <f>"2026-07-29 14:20:59"</f>
        <v>2026-07-29 14:20:59</v>
      </c>
      <c r="L11905" s="1" t="str">
        <f>"2023-08-16 16:29:03"</f>
        <v>2023-08-16 16:29:03</v>
      </c>
      <c r="M11905" s="1" t="s">
        <v>4</v>
      </c>
      <c r="N11905" s="1" t="s">
        <v>38</v>
      </c>
      <c r="O11905" s="1" t="s">
        <v>46</v>
      </c>
    </row>
    <row r="11906" spans="2:15" x14ac:dyDescent="0.3">
      <c r="B11906" s="1" t="s">
        <v>20</v>
      </c>
      <c r="C11906" s="1" t="str">
        <f t="shared" si="595"/>
        <v>5-2차</v>
      </c>
      <c r="D11906" s="1" t="str">
        <f>"9625Q9415M"</f>
        <v>9625Q9415M</v>
      </c>
      <c r="E11906" s="1" t="s">
        <v>10</v>
      </c>
      <c r="F11906" s="1" t="str">
        <f>"fde3:102:1300:2405:0:0:0:2"</f>
        <v>fde3:102:1300:2405:0:0:0:2</v>
      </c>
      <c r="G11906" s="1" t="str">
        <f>"9625Q941"</f>
        <v>9625Q941</v>
      </c>
      <c r="H11906" s="1" t="str">
        <f>"합정지 8"</f>
        <v>합정지 8</v>
      </c>
      <c r="I11906" s="1" t="s">
        <v>15</v>
      </c>
      <c r="J11906" s="1" t="str">
        <f>"45/45"</f>
        <v>45/45</v>
      </c>
      <c r="K11906" s="1" t="str">
        <f>"2026-07-29 14:21:10"</f>
        <v>2026-07-29 14:21:10</v>
      </c>
      <c r="L11906" s="1" t="str">
        <f>"2023-09-04 15:26:22"</f>
        <v>2023-09-04 15:26:22</v>
      </c>
      <c r="M11906" s="1" t="s">
        <v>45</v>
      </c>
      <c r="N11906" s="1" t="s">
        <v>38</v>
      </c>
      <c r="O11906" s="1" t="s">
        <v>46</v>
      </c>
    </row>
    <row r="11907" spans="2:15" x14ac:dyDescent="0.3">
      <c r="B11907" s="1" t="s">
        <v>20</v>
      </c>
      <c r="C11907" s="1" t="str">
        <f t="shared" si="595"/>
        <v>5-2차</v>
      </c>
      <c r="D11907" s="1" t="str">
        <f>"9625Q9925M"</f>
        <v>9625Q9925M</v>
      </c>
      <c r="E11907" s="1" t="s">
        <v>10</v>
      </c>
      <c r="F11907" s="1" t="str">
        <f>"fde3:102:1300:6900:0:0:0:2"</f>
        <v>fde3:102:1300:6900:0:0:0:2</v>
      </c>
      <c r="G11907" s="1" t="str">
        <f>"9625Q992"</f>
        <v>9625Q992</v>
      </c>
      <c r="H11907" s="1" t="str">
        <f>"합정지 7R7L3"</f>
        <v>합정지 7R7L3</v>
      </c>
      <c r="I11907" s="1" t="s">
        <v>15</v>
      </c>
      <c r="J11907" s="1" t="str">
        <f>"93/93"</f>
        <v>93/93</v>
      </c>
      <c r="K11907" s="1" t="str">
        <f>"2026-07-29 14:20:58"</f>
        <v>2026-07-29 14:20:58</v>
      </c>
      <c r="L11907" s="1" t="str">
        <f>"2023-11-24 11:04:43"</f>
        <v>2023-11-24 11:04:43</v>
      </c>
      <c r="M11907" s="1" t="s">
        <v>45</v>
      </c>
      <c r="N11907" s="1" t="s">
        <v>38</v>
      </c>
      <c r="O11907" s="1" t="s">
        <v>46</v>
      </c>
    </row>
    <row r="11908" spans="2:15" x14ac:dyDescent="0.3">
      <c r="B11908" s="1" t="s">
        <v>20</v>
      </c>
      <c r="C11908" s="1" t="s">
        <v>16</v>
      </c>
      <c r="D11908" s="1" t="str">
        <f>"9625W05141"</f>
        <v>9625W05141</v>
      </c>
      <c r="E11908" s="1" t="s">
        <v>10</v>
      </c>
      <c r="F11908" s="1" t="str">
        <f>"10.14.7.202"</f>
        <v>10.14.7.202</v>
      </c>
      <c r="G11908" s="1" t="str">
        <f>"9625W051"</f>
        <v>9625W051</v>
      </c>
      <c r="H11908" s="1" t="str">
        <f>"합정지 6"</f>
        <v>합정지 6</v>
      </c>
      <c r="I11908" s="1" t="s">
        <v>17</v>
      </c>
      <c r="J11908" s="1" t="str">
        <f>"18/20"</f>
        <v>18/20</v>
      </c>
      <c r="K11908" s="1" t="str">
        <f>"2026-07-29 13:18:11"</f>
        <v>2026-07-29 13:18:11</v>
      </c>
      <c r="L11908" s="1" t="str">
        <f>"2022-11-14 08:39:15"</f>
        <v>2022-11-14 08:39:15</v>
      </c>
      <c r="M11908" s="1" t="s">
        <v>3</v>
      </c>
      <c r="N11908" s="1" t="s">
        <v>38</v>
      </c>
      <c r="O11908" s="1" t="s">
        <v>46</v>
      </c>
    </row>
    <row r="11909" spans="2:15" x14ac:dyDescent="0.3">
      <c r="B11909" s="1" t="s">
        <v>20</v>
      </c>
      <c r="C11909" s="1" t="str">
        <f>"5-2차"</f>
        <v>5-2차</v>
      </c>
      <c r="D11909" s="1" t="str">
        <f>"9625W0625M"</f>
        <v>9625W0625M</v>
      </c>
      <c r="E11909" s="1" t="s">
        <v>10</v>
      </c>
      <c r="F11909" s="1" t="str">
        <f>"fde3:102:1300:5d00:0:0:0:3"</f>
        <v>fde3:102:1300:5d00:0:0:0:3</v>
      </c>
      <c r="G11909" s="1" t="str">
        <f>"9625W062"</f>
        <v>9625W062</v>
      </c>
      <c r="H11909" s="1" t="str">
        <f>"합정지 7R11"</f>
        <v>합정지 7R11</v>
      </c>
      <c r="I11909" s="1" t="s">
        <v>15</v>
      </c>
      <c r="J11909" s="1" t="str">
        <f>"40/40"</f>
        <v>40/40</v>
      </c>
      <c r="K11909" s="1" t="str">
        <f>"2026-07-29 14:21:45"</f>
        <v>2026-07-29 14:21:45</v>
      </c>
      <c r="L11909" s="1" t="str">
        <f>"2023-09-04 10:13:32"</f>
        <v>2023-09-04 10:13:32</v>
      </c>
      <c r="M11909" s="1" t="s">
        <v>45</v>
      </c>
      <c r="N11909" s="1" t="s">
        <v>38</v>
      </c>
      <c r="O11909" s="1" t="s">
        <v>46</v>
      </c>
    </row>
    <row r="11910" spans="2:15" x14ac:dyDescent="0.3">
      <c r="B11910" s="1" t="s">
        <v>20</v>
      </c>
      <c r="C11910" s="1" t="str">
        <f>"5-2차"</f>
        <v>5-2차</v>
      </c>
      <c r="D11910" s="1" t="str">
        <f>"9625W1415M"</f>
        <v>9625W1415M</v>
      </c>
      <c r="E11910" s="1" t="s">
        <v>10</v>
      </c>
      <c r="F11910" s="1" t="str">
        <f>"fde3:102:1300:2404:0:0:0:2"</f>
        <v>fde3:102:1300:2404:0:0:0:2</v>
      </c>
      <c r="G11910" s="1" t="str">
        <f>"9625W141"</f>
        <v>9625W141</v>
      </c>
      <c r="H11910" s="1" t="str">
        <f>"합정지 6L1L1"</f>
        <v>합정지 6L1L1</v>
      </c>
      <c r="I11910" s="1" t="s">
        <v>15</v>
      </c>
      <c r="J11910" s="1" t="str">
        <f>"49/51"</f>
        <v>49/51</v>
      </c>
      <c r="K11910" s="1" t="str">
        <f>"2026-07-29 14:20:59"</f>
        <v>2026-07-29 14:20:59</v>
      </c>
      <c r="L11910" s="1" t="str">
        <f>"2023-09-04 09:51:59"</f>
        <v>2023-09-04 09:51:59</v>
      </c>
      <c r="M11910" s="1" t="s">
        <v>45</v>
      </c>
      <c r="N11910" s="1" t="s">
        <v>38</v>
      </c>
      <c r="O11910" s="1" t="s">
        <v>46</v>
      </c>
    </row>
    <row r="11911" spans="2:15" x14ac:dyDescent="0.3">
      <c r="B11911" s="1" t="s">
        <v>20</v>
      </c>
      <c r="C11911" s="1" t="str">
        <f>"4차"</f>
        <v>4차</v>
      </c>
      <c r="D11911" s="1" t="str">
        <f>"9625W18539"</f>
        <v>9625W18539</v>
      </c>
      <c r="E11911" s="1" t="s">
        <v>10</v>
      </c>
      <c r="F11911" s="1" t="str">
        <f>"10.12.134.238"</f>
        <v>10.12.134.238</v>
      </c>
      <c r="G11911" s="1" t="str">
        <f>"9625W185"</f>
        <v>9625W185</v>
      </c>
      <c r="H11911" s="1" t="str">
        <f>"합정로 2-2T"</f>
        <v>합정로 2-2T</v>
      </c>
      <c r="I11911" s="1" t="s">
        <v>17</v>
      </c>
      <c r="J11911" s="1" t="str">
        <f>"27/28"</f>
        <v>27/28</v>
      </c>
      <c r="K11911" s="1" t="str">
        <f>"2026-07-29 13:18:11"</f>
        <v>2026-07-29 13:18:11</v>
      </c>
      <c r="L11911" s="1" t="str">
        <f>"2018-10-16 11:06:11"</f>
        <v>2018-10-16 11:06:11</v>
      </c>
      <c r="M11911" s="1" t="s">
        <v>0</v>
      </c>
      <c r="N11911" s="1" t="s">
        <v>38</v>
      </c>
      <c r="O11911" s="1" t="s">
        <v>46</v>
      </c>
    </row>
    <row r="11912" spans="2:15" x14ac:dyDescent="0.3">
      <c r="B11912" s="1" t="s">
        <v>20</v>
      </c>
      <c r="C11912" s="1" t="str">
        <f>"3차"</f>
        <v>3차</v>
      </c>
      <c r="D11912" s="1" t="str">
        <f>"9625W18839"</f>
        <v>9625W18839</v>
      </c>
      <c r="E11912" s="1" t="str">
        <f>"검침실패(3시간 이상)"</f>
        <v>검침실패(3시간 이상)</v>
      </c>
      <c r="F11912" s="1" t="str">
        <f>"10.12.130.166"</f>
        <v>10.12.130.166</v>
      </c>
      <c r="G11912" s="1" t="str">
        <f>"9625W188"</f>
        <v>9625W188</v>
      </c>
      <c r="H11912" s="1" t="str">
        <f>"합정로 2-1T"</f>
        <v>합정로 2-1T</v>
      </c>
      <c r="I11912" s="1" t="s">
        <v>17</v>
      </c>
      <c r="J11912" s="1" t="str">
        <f>"0/44"</f>
        <v>0/44</v>
      </c>
      <c r="K11912" s="1" t="str">
        <f>"2026-05-27 01:18:01"</f>
        <v>2026-05-27 01:18:01</v>
      </c>
      <c r="L11912" s="1" t="str">
        <f>"2018-10-16 10:42:56"</f>
        <v>2018-10-16 10:42:56</v>
      </c>
      <c r="M11912" s="1" t="s">
        <v>0</v>
      </c>
      <c r="N11912" s="1" t="s">
        <v>38</v>
      </c>
      <c r="O11912" s="1" t="s">
        <v>46</v>
      </c>
    </row>
    <row r="11913" spans="2:15" x14ac:dyDescent="0.3">
      <c r="B11913" s="1" t="s">
        <v>20</v>
      </c>
      <c r="C11913" s="1" t="str">
        <f>"4차"</f>
        <v>4차</v>
      </c>
      <c r="D11913" s="1" t="str">
        <f>"9625W23739"</f>
        <v>9625W23739</v>
      </c>
      <c r="E11913" s="1" t="s">
        <v>10</v>
      </c>
      <c r="F11913" s="1" t="str">
        <f>"10.12.131.40"</f>
        <v>10.12.131.40</v>
      </c>
      <c r="G11913" s="1" t="str">
        <f>"9625W237"</f>
        <v>9625W237</v>
      </c>
      <c r="H11913" s="1" t="str">
        <f>"합정로 1-1"</f>
        <v>합정로 1-1</v>
      </c>
      <c r="I11913" s="1" t="s">
        <v>17</v>
      </c>
      <c r="J11913" s="1" t="str">
        <f>"13/13"</f>
        <v>13/13</v>
      </c>
      <c r="K11913" s="1" t="str">
        <f>"2026-07-29 13:18:11"</f>
        <v>2026-07-29 13:18:11</v>
      </c>
      <c r="L11913" s="1" t="str">
        <f>"2018-10-16 09:10:40"</f>
        <v>2018-10-16 09:10:40</v>
      </c>
      <c r="M11913" s="1" t="s">
        <v>0</v>
      </c>
      <c r="N11913" s="1" t="s">
        <v>38</v>
      </c>
      <c r="O11913" s="1" t="s">
        <v>46</v>
      </c>
    </row>
    <row r="11914" spans="2:15" x14ac:dyDescent="0.3">
      <c r="B11914" s="1" t="s">
        <v>20</v>
      </c>
      <c r="C11914" s="1" t="str">
        <f>"4차"</f>
        <v>4차</v>
      </c>
      <c r="D11914" s="1" t="str">
        <f>"9625W25639"</f>
        <v>9625W25639</v>
      </c>
      <c r="E11914" s="1" t="s">
        <v>10</v>
      </c>
      <c r="F11914" s="1" t="str">
        <f>"10.12.137.7"</f>
        <v>10.12.137.7</v>
      </c>
      <c r="G11914" s="1" t="str">
        <f>"9625W256"</f>
        <v>9625W256</v>
      </c>
      <c r="H11914" s="1" t="str">
        <f>"합정로 2-4T"</f>
        <v>합정로 2-4T</v>
      </c>
      <c r="I11914" s="1" t="s">
        <v>17</v>
      </c>
      <c r="J11914" s="1" t="str">
        <f>"20/21"</f>
        <v>20/21</v>
      </c>
      <c r="K11914" s="1" t="str">
        <f>"2026-07-29 13:18:11"</f>
        <v>2026-07-29 13:18:11</v>
      </c>
      <c r="L11914" s="1" t="str">
        <f>"2018-10-16 09:37:41"</f>
        <v>2018-10-16 09:37:41</v>
      </c>
      <c r="M11914" s="1" t="s">
        <v>0</v>
      </c>
      <c r="N11914" s="1" t="s">
        <v>38</v>
      </c>
      <c r="O11914" s="1" t="s">
        <v>46</v>
      </c>
    </row>
    <row r="11915" spans="2:15" x14ac:dyDescent="0.3">
      <c r="B11915" s="1" t="s">
        <v>20</v>
      </c>
      <c r="C11915" s="1" t="str">
        <f>"4차"</f>
        <v>4차</v>
      </c>
      <c r="D11915" s="1" t="str">
        <f>"9625W25B39"</f>
        <v>9625W25B39</v>
      </c>
      <c r="E11915" s="1" t="s">
        <v>10</v>
      </c>
      <c r="F11915" s="1" t="str">
        <f>"10.12.134.239"</f>
        <v>10.12.134.239</v>
      </c>
      <c r="G11915" s="1" t="str">
        <f>"9625W25B"</f>
        <v>9625W25B</v>
      </c>
      <c r="H11915" s="1" t="str">
        <f>"합정로 2-3T"</f>
        <v>합정로 2-3T</v>
      </c>
      <c r="I11915" s="1" t="s">
        <v>17</v>
      </c>
      <c r="J11915" s="1" t="str">
        <f>"16/22"</f>
        <v>16/22</v>
      </c>
      <c r="K11915" s="1" t="str">
        <f>"2026-07-29 13:18:11"</f>
        <v>2026-07-29 13:18:11</v>
      </c>
      <c r="L11915" s="1" t="str">
        <f>"2018-10-16 09:51:11"</f>
        <v>2018-10-16 09:51:11</v>
      </c>
      <c r="M11915" s="1" t="s">
        <v>0</v>
      </c>
      <c r="N11915" s="1" t="s">
        <v>38</v>
      </c>
      <c r="O11915" s="1" t="s">
        <v>46</v>
      </c>
    </row>
    <row r="11916" spans="2:15" x14ac:dyDescent="0.3">
      <c r="B11916" s="1" t="s">
        <v>20</v>
      </c>
      <c r="C11916" s="1" t="str">
        <f>"5-2차"</f>
        <v>5-2차</v>
      </c>
      <c r="D11916" s="1" t="str">
        <f>"9625W4135M"</f>
        <v>9625W4135M</v>
      </c>
      <c r="E11916" s="1" t="s">
        <v>10</v>
      </c>
      <c r="F11916" s="1" t="str">
        <f>"fde1:103:4:5578:0:0:0:2"</f>
        <v>fde1:103:4:5578:0:0:0:2</v>
      </c>
      <c r="G11916" s="1" t="str">
        <f>"9625W413"</f>
        <v>9625W413</v>
      </c>
      <c r="H11916" s="1" t="str">
        <f>"대건지 17R10"</f>
        <v>대건지 17R10</v>
      </c>
      <c r="I11916" s="1" t="s">
        <v>15</v>
      </c>
      <c r="J11916" s="1" t="str">
        <f>"39/39"</f>
        <v>39/39</v>
      </c>
      <c r="K11916" s="1" t="str">
        <f>"2026-07-29 14:20:59"</f>
        <v>2026-07-29 14:20:59</v>
      </c>
      <c r="L11916" s="1" t="str">
        <f>"2023-08-16 16:36:53"</f>
        <v>2023-08-16 16:36:53</v>
      </c>
      <c r="M11916" s="1" t="s">
        <v>4</v>
      </c>
      <c r="N11916" s="1" t="s">
        <v>38</v>
      </c>
      <c r="O11916" s="1" t="s">
        <v>46</v>
      </c>
    </row>
    <row r="11917" spans="2:15" x14ac:dyDescent="0.3">
      <c r="B11917" s="1" t="s">
        <v>20</v>
      </c>
      <c r="C11917" s="1" t="str">
        <f>"5-2차"</f>
        <v>5-2차</v>
      </c>
      <c r="D11917" s="1" t="str">
        <f>"9625W4145M"</f>
        <v>9625W4145M</v>
      </c>
      <c r="E11917" s="1" t="s">
        <v>10</v>
      </c>
      <c r="F11917" s="1" t="str">
        <f>"fde1:103:4:55a1:0:0:0:2"</f>
        <v>fde1:103:4:55a1:0:0:0:2</v>
      </c>
      <c r="G11917" s="1" t="str">
        <f>"9625W414"</f>
        <v>9625W414</v>
      </c>
      <c r="H11917" s="1" t="str">
        <f>"대건지 17R11"</f>
        <v>대건지 17R11</v>
      </c>
      <c r="I11917" s="1" t="s">
        <v>15</v>
      </c>
      <c r="J11917" s="1" t="str">
        <f>"41/41"</f>
        <v>41/41</v>
      </c>
      <c r="K11917" s="1" t="str">
        <f>"2026-07-29 14:21:42"</f>
        <v>2026-07-29 14:21:42</v>
      </c>
      <c r="L11917" s="1" t="str">
        <f>"2023-08-17 09:44:45"</f>
        <v>2023-08-17 09:44:45</v>
      </c>
      <c r="M11917" s="1" t="s">
        <v>4</v>
      </c>
      <c r="N11917" s="1" t="s">
        <v>38</v>
      </c>
      <c r="O11917" s="1" t="s">
        <v>46</v>
      </c>
    </row>
    <row r="11918" spans="2:15" x14ac:dyDescent="0.3">
      <c r="B11918" s="1" t="s">
        <v>20</v>
      </c>
      <c r="C11918" s="1" t="str">
        <f>"3차"</f>
        <v>3차</v>
      </c>
      <c r="D11918" s="1" t="str">
        <f>"9625W50139"</f>
        <v>9625W50139</v>
      </c>
      <c r="E11918" s="1" t="s">
        <v>10</v>
      </c>
      <c r="F11918" s="1" t="str">
        <f>"10.10.29.106"</f>
        <v>10.10.29.106</v>
      </c>
      <c r="G11918" s="1" t="str">
        <f>"9625W501"</f>
        <v>9625W501</v>
      </c>
      <c r="H11918" s="1" t="str">
        <f>"대건지 17R3R2L2"</f>
        <v>대건지 17R3R2L2</v>
      </c>
      <c r="I11918" s="1" t="s">
        <v>8</v>
      </c>
      <c r="J11918" s="1" t="str">
        <f>"4/4"</f>
        <v>4/4</v>
      </c>
      <c r="K11918" s="1" t="str">
        <f>"2026-07-29 13:18:11"</f>
        <v>2026-07-29 13:18:11</v>
      </c>
      <c r="L11918" s="1" t="str">
        <f>"2018-01-17 19:35:13"</f>
        <v>2018-01-17 19:35:13</v>
      </c>
      <c r="M11918" s="1" t="s">
        <v>1</v>
      </c>
      <c r="N11918" s="1" t="s">
        <v>38</v>
      </c>
      <c r="O11918" s="1" t="s">
        <v>46</v>
      </c>
    </row>
    <row r="11919" spans="2:15" x14ac:dyDescent="0.3">
      <c r="B11919" s="1" t="s">
        <v>20</v>
      </c>
      <c r="C11919" s="1" t="str">
        <f>"3차"</f>
        <v>3차</v>
      </c>
      <c r="D11919" s="1" t="str">
        <f>"9625W50239"</f>
        <v>9625W50239</v>
      </c>
      <c r="E11919" s="1" t="s">
        <v>10</v>
      </c>
      <c r="F11919" s="1" t="str">
        <f>"10.10.37.194"</f>
        <v>10.10.37.194</v>
      </c>
      <c r="G11919" s="1" t="str">
        <f>"9625W502"</f>
        <v>9625W502</v>
      </c>
      <c r="H11919" s="1" t="str">
        <f>"대건지 17R3R2L1"</f>
        <v>대건지 17R3R2L1</v>
      </c>
      <c r="I11919" s="1" t="s">
        <v>8</v>
      </c>
      <c r="J11919" s="1" t="str">
        <f>"5/5"</f>
        <v>5/5</v>
      </c>
      <c r="K11919" s="1" t="str">
        <f>"2026-07-29 13:18:11"</f>
        <v>2026-07-29 13:18:11</v>
      </c>
      <c r="L11919" s="1" t="str">
        <f>"2018-01-17 19:25:13"</f>
        <v>2018-01-17 19:25:13</v>
      </c>
      <c r="M11919" s="1" t="s">
        <v>1</v>
      </c>
      <c r="N11919" s="1" t="s">
        <v>38</v>
      </c>
      <c r="O11919" s="1" t="s">
        <v>46</v>
      </c>
    </row>
    <row r="11920" spans="2:15" x14ac:dyDescent="0.3">
      <c r="B11920" s="1" t="s">
        <v>20</v>
      </c>
      <c r="C11920" s="1" t="str">
        <f>"3차"</f>
        <v>3차</v>
      </c>
      <c r="D11920" s="1" t="str">
        <f>"9625W51239"</f>
        <v>9625W51239</v>
      </c>
      <c r="E11920" s="1" t="s">
        <v>10</v>
      </c>
      <c r="F11920" s="1" t="str">
        <f>"10.10.29.114"</f>
        <v>10.10.29.114</v>
      </c>
      <c r="G11920" s="1" t="str">
        <f>"9625W512"</f>
        <v>9625W512</v>
      </c>
      <c r="H11920" s="1" t="str">
        <f>"대건지 17R3R2L3"</f>
        <v>대건지 17R3R2L3</v>
      </c>
      <c r="I11920" s="1" t="s">
        <v>8</v>
      </c>
      <c r="J11920" s="1" t="str">
        <f>"3/3"</f>
        <v>3/3</v>
      </c>
      <c r="K11920" s="1" t="str">
        <f>"2026-07-29 13:18:11"</f>
        <v>2026-07-29 13:18:11</v>
      </c>
      <c r="L11920" s="1" t="str">
        <f>"2018-01-17 19:35:44"</f>
        <v>2018-01-17 19:35:44</v>
      </c>
      <c r="M11920" s="1" t="s">
        <v>1</v>
      </c>
      <c r="N11920" s="1" t="s">
        <v>38</v>
      </c>
      <c r="O11920" s="1" t="s">
        <v>46</v>
      </c>
    </row>
    <row r="11921" spans="2:15" x14ac:dyDescent="0.3">
      <c r="B11921" s="1" t="s">
        <v>20</v>
      </c>
      <c r="C11921" s="1" t="str">
        <f>"3차"</f>
        <v>3차</v>
      </c>
      <c r="D11921" s="1" t="str">
        <f>"9625W60131"</f>
        <v>9625W60131</v>
      </c>
      <c r="E11921" s="1" t="s">
        <v>10</v>
      </c>
      <c r="F11921" s="1" t="str">
        <f>"10.10.29.123"</f>
        <v>10.10.29.123</v>
      </c>
      <c r="G11921" s="1" t="str">
        <f>"9625W601"</f>
        <v>9625W601</v>
      </c>
      <c r="H11921" s="1" t="str">
        <f>"대건지 17R3R6"</f>
        <v>대건지 17R3R6</v>
      </c>
      <c r="I11921" s="1" t="s">
        <v>8</v>
      </c>
      <c r="J11921" s="1" t="str">
        <f>"33/35"</f>
        <v>33/35</v>
      </c>
      <c r="K11921" s="1" t="str">
        <f>"2026-07-29 13:18:10"</f>
        <v>2026-07-29 13:18:10</v>
      </c>
      <c r="L11921" s="1" t="str">
        <f>"2018-06-25 16:41:53"</f>
        <v>2018-06-25 16:41:53</v>
      </c>
      <c r="M11921" s="1" t="s">
        <v>1</v>
      </c>
      <c r="N11921" s="1" t="s">
        <v>38</v>
      </c>
      <c r="O11921" s="1" t="s">
        <v>46</v>
      </c>
    </row>
    <row r="11922" spans="2:15" x14ac:dyDescent="0.3">
      <c r="B11922" s="1" t="s">
        <v>20</v>
      </c>
      <c r="C11922" s="1" t="str">
        <f>"1차"</f>
        <v>1차</v>
      </c>
      <c r="D11922" s="1" t="str">
        <f>"9625W70101"</f>
        <v>9625W70101</v>
      </c>
      <c r="E11922" s="1" t="s">
        <v>10</v>
      </c>
      <c r="F11922" s="1" t="str">
        <f>"10.12.129.61"</f>
        <v>10.12.129.61</v>
      </c>
      <c r="G11922" s="1" t="str">
        <f>"9625W701"</f>
        <v>9625W701</v>
      </c>
      <c r="H11922" s="1" t="str">
        <f>"대건지 17R3R4R5"</f>
        <v>대건지 17R3R4R5</v>
      </c>
      <c r="I11922" s="1" t="s">
        <v>8</v>
      </c>
      <c r="J11922" s="1" t="str">
        <f>"22/23"</f>
        <v>22/23</v>
      </c>
      <c r="K11922" s="1" t="str">
        <f>"2026-07-29 13:18:11"</f>
        <v>2026-07-29 13:18:11</v>
      </c>
      <c r="L11922" s="1" t="str">
        <f>"2014-12-04 17:11:38"</f>
        <v>2014-12-04 17:11:38</v>
      </c>
      <c r="M11922" s="1" t="s">
        <v>0</v>
      </c>
      <c r="N11922" s="1" t="s">
        <v>38</v>
      </c>
      <c r="O11922" s="1" t="s">
        <v>46</v>
      </c>
    </row>
    <row r="11923" spans="2:15" x14ac:dyDescent="0.3">
      <c r="B11923" s="1" t="s">
        <v>20</v>
      </c>
      <c r="C11923" s="1" t="str">
        <f>"4차"</f>
        <v>4차</v>
      </c>
      <c r="D11923" s="1" t="str">
        <f>"9625W79439"</f>
        <v>9625W79439</v>
      </c>
      <c r="E11923" s="1" t="str">
        <f>"검침실패(3시간 이상)"</f>
        <v>검침실패(3시간 이상)</v>
      </c>
      <c r="F11923" s="1" t="str">
        <f>"10.12.130.125"</f>
        <v>10.12.130.125</v>
      </c>
      <c r="G11923" s="1" t="str">
        <f>"9625W794"</f>
        <v>9625W794</v>
      </c>
      <c r="H11923" s="1" t="str">
        <f>"합정로 23-1"</f>
        <v>합정로 23-1</v>
      </c>
      <c r="I11923" s="1" t="s">
        <v>17</v>
      </c>
      <c r="J11923" s="1" t="str">
        <f>"0/14"</f>
        <v>0/14</v>
      </c>
      <c r="K11923" s="1" t="str">
        <f>"2026-07-29 13:18:11"</f>
        <v>2026-07-29 13:18:11</v>
      </c>
      <c r="L11923" s="1" t="str">
        <f>"2018-10-15 13:03:56"</f>
        <v>2018-10-15 13:03:56</v>
      </c>
      <c r="M11923" s="1" t="s">
        <v>0</v>
      </c>
      <c r="N11923" s="1" t="s">
        <v>38</v>
      </c>
      <c r="O11923" s="1" t="s">
        <v>46</v>
      </c>
    </row>
    <row r="11924" spans="2:15" x14ac:dyDescent="0.3">
      <c r="B11924" s="1" t="s">
        <v>20</v>
      </c>
      <c r="C11924" s="1" t="str">
        <f>"6차"</f>
        <v>6차</v>
      </c>
      <c r="D11924" s="1" t="str">
        <f>"9625W8026S"</f>
        <v>9625W8026S</v>
      </c>
      <c r="E11924" s="1" t="s">
        <v>10</v>
      </c>
      <c r="F11924" s="1" t="str">
        <f>"fde1:103:4:c768:0:0:0:2"</f>
        <v>fde1:103:4:c768:0:0:0:2</v>
      </c>
      <c r="G11924" s="1" t="str">
        <f>"9625W802"</f>
        <v>9625W802</v>
      </c>
      <c r="H11924" s="1" t="str">
        <f>"대건지 16R4"</f>
        <v>대건지 16R4</v>
      </c>
      <c r="I11924" s="1" t="s">
        <v>15</v>
      </c>
      <c r="J11924" s="1" t="str">
        <f>"37/38"</f>
        <v>37/38</v>
      </c>
      <c r="K11924" s="1" t="str">
        <f>"2026-07-29 14:21:34"</f>
        <v>2026-07-29 14:21:34</v>
      </c>
      <c r="L11924" s="1" t="str">
        <f>"2024-11-21 17:37:26"</f>
        <v>2024-11-21 17:37:26</v>
      </c>
      <c r="M11924" s="1" t="s">
        <v>4</v>
      </c>
      <c r="N11924" s="1" t="s">
        <v>38</v>
      </c>
      <c r="O11924" s="1" t="s">
        <v>46</v>
      </c>
    </row>
    <row r="11925" spans="2:15" x14ac:dyDescent="0.3">
      <c r="B11925" s="1" t="s">
        <v>20</v>
      </c>
      <c r="C11925" s="1" t="str">
        <f>"3차"</f>
        <v>3차</v>
      </c>
      <c r="D11925" s="1" t="str">
        <f>"9625W81139"</f>
        <v>9625W81139</v>
      </c>
      <c r="E11925" s="1" t="s">
        <v>10</v>
      </c>
      <c r="F11925" s="1" t="str">
        <f>"10.10.29.130"</f>
        <v>10.10.29.130</v>
      </c>
      <c r="G11925" s="1" t="str">
        <f>"9625W811"</f>
        <v>9625W811</v>
      </c>
      <c r="H11925" s="1" t="str">
        <f>"대건지 1R10"</f>
        <v>대건지 1R10</v>
      </c>
      <c r="I11925" s="1" t="s">
        <v>8</v>
      </c>
      <c r="J11925" s="1" t="str">
        <f>"6/6"</f>
        <v>6/6</v>
      </c>
      <c r="K11925" s="1" t="str">
        <f>"2026-07-29 13:18:11"</f>
        <v>2026-07-29 13:18:11</v>
      </c>
      <c r="L11925" s="1" t="str">
        <f>"2018-01-17 19:30:29"</f>
        <v>2018-01-17 19:30:29</v>
      </c>
      <c r="M11925" s="1" t="s">
        <v>1</v>
      </c>
      <c r="N11925" s="1" t="s">
        <v>38</v>
      </c>
      <c r="O11925" s="1" t="s">
        <v>46</v>
      </c>
    </row>
    <row r="11926" spans="2:15" x14ac:dyDescent="0.3">
      <c r="B11926" s="1" t="s">
        <v>20</v>
      </c>
      <c r="C11926" s="1" t="str">
        <f>"4차"</f>
        <v>4차</v>
      </c>
      <c r="D11926" s="1" t="str">
        <f>"9625W83239"</f>
        <v>9625W83239</v>
      </c>
      <c r="E11926" s="1" t="s">
        <v>10</v>
      </c>
      <c r="F11926" s="1" t="str">
        <f>"10.10.34.10"</f>
        <v>10.10.34.10</v>
      </c>
      <c r="G11926" s="1" t="str">
        <f>"9625W832"</f>
        <v>9625W832</v>
      </c>
      <c r="H11926" s="1" t="str">
        <f>"서교지 8L4"</f>
        <v>서교지 8L4</v>
      </c>
      <c r="I11926" s="1" t="s">
        <v>8</v>
      </c>
      <c r="J11926" s="1" t="str">
        <f>"11/12"</f>
        <v>11/12</v>
      </c>
      <c r="K11926" s="1" t="str">
        <f>"2026-07-29 13:18:11"</f>
        <v>2026-07-29 13:18:11</v>
      </c>
      <c r="L11926" s="1" t="str">
        <f>"2018-02-05 17:13:27"</f>
        <v>2018-02-05 17:13:27</v>
      </c>
      <c r="M11926" s="1" t="s">
        <v>1</v>
      </c>
      <c r="N11926" s="1" t="s">
        <v>38</v>
      </c>
      <c r="O11926" s="1" t="s">
        <v>46</v>
      </c>
    </row>
    <row r="11927" spans="2:15" x14ac:dyDescent="0.3">
      <c r="B11927" s="1" t="s">
        <v>20</v>
      </c>
      <c r="C11927" s="1" t="str">
        <f>"3차"</f>
        <v>3차</v>
      </c>
      <c r="D11927" s="1" t="str">
        <f>"9625W91139"</f>
        <v>9625W91139</v>
      </c>
      <c r="E11927" s="1" t="s">
        <v>10</v>
      </c>
      <c r="F11927" s="1" t="str">
        <f>"10.10.30.202"</f>
        <v>10.10.30.202</v>
      </c>
      <c r="G11927" s="1" t="str">
        <f>"9625W911"</f>
        <v>9625W911</v>
      </c>
      <c r="H11927" s="1" t="str">
        <f>"서교지 1L7"</f>
        <v>서교지 1L7</v>
      </c>
      <c r="I11927" s="1" t="s">
        <v>8</v>
      </c>
      <c r="J11927" s="1" t="str">
        <f>"6/6"</f>
        <v>6/6</v>
      </c>
      <c r="K11927" s="1" t="str">
        <f>"2026-07-29 13:18:11"</f>
        <v>2026-07-29 13:18:11</v>
      </c>
      <c r="L11927" s="1" t="str">
        <f>"2018-03-27 15:40:57"</f>
        <v>2018-03-27 15:40:57</v>
      </c>
      <c r="M11927" s="1" t="s">
        <v>1</v>
      </c>
      <c r="N11927" s="1" t="s">
        <v>38</v>
      </c>
      <c r="O11927" s="1" t="s">
        <v>46</v>
      </c>
    </row>
    <row r="11928" spans="2:15" x14ac:dyDescent="0.3">
      <c r="B11928" s="1" t="s">
        <v>20</v>
      </c>
      <c r="C11928" s="1" t="str">
        <f>"3차"</f>
        <v>3차</v>
      </c>
      <c r="D11928" s="1" t="str">
        <f>"9625W91239"</f>
        <v>9625W91239</v>
      </c>
      <c r="E11928" s="1" t="s">
        <v>10</v>
      </c>
      <c r="F11928" s="1" t="str">
        <f>"10.10.32.82"</f>
        <v>10.10.32.82</v>
      </c>
      <c r="G11928" s="1" t="str">
        <f>"9625W912"</f>
        <v>9625W912</v>
      </c>
      <c r="H11928" s="1" t="str">
        <f>"대건지 1R8"</f>
        <v>대건지 1R8</v>
      </c>
      <c r="I11928" s="1" t="s">
        <v>8</v>
      </c>
      <c r="J11928" s="1" t="str">
        <f>"3/3"</f>
        <v>3/3</v>
      </c>
      <c r="K11928" s="1" t="str">
        <f>"2026-07-29 13:18:11"</f>
        <v>2026-07-29 13:18:11</v>
      </c>
      <c r="L11928" s="1" t="str">
        <f>"2018-01-17 19:31:28"</f>
        <v>2018-01-17 19:31:28</v>
      </c>
      <c r="M11928" s="1" t="s">
        <v>1</v>
      </c>
      <c r="N11928" s="1" t="s">
        <v>38</v>
      </c>
      <c r="O11928" s="1" t="s">
        <v>46</v>
      </c>
    </row>
    <row r="11929" spans="2:15" x14ac:dyDescent="0.3">
      <c r="B11929" s="1" t="s">
        <v>20</v>
      </c>
      <c r="C11929" s="1" t="str">
        <f>"3차"</f>
        <v>3차</v>
      </c>
      <c r="D11929" s="1" t="str">
        <f>"9625W93239"</f>
        <v>9625W93239</v>
      </c>
      <c r="E11929" s="1" t="s">
        <v>10</v>
      </c>
      <c r="F11929" s="1" t="str">
        <f>"10.10.33.178"</f>
        <v>10.10.33.178</v>
      </c>
      <c r="G11929" s="1" t="str">
        <f>"9625W932"</f>
        <v>9625W932</v>
      </c>
      <c r="H11929" s="1" t="str">
        <f>"서교지 8L3R2"</f>
        <v>서교지 8L3R2</v>
      </c>
      <c r="I11929" s="1" t="s">
        <v>8</v>
      </c>
      <c r="J11929" s="1" t="str">
        <f>"30/30"</f>
        <v>30/30</v>
      </c>
      <c r="K11929" s="1" t="str">
        <f>"2026-07-29 13:18:11"</f>
        <v>2026-07-29 13:18:11</v>
      </c>
      <c r="L11929" s="1" t="str">
        <f>"2018-02-05 17:09:13"</f>
        <v>2018-02-05 17:09:13</v>
      </c>
      <c r="M11929" s="1" t="s">
        <v>1</v>
      </c>
      <c r="N11929" s="1" t="s">
        <v>38</v>
      </c>
      <c r="O11929" s="1" t="s">
        <v>46</v>
      </c>
    </row>
    <row r="11930" spans="2:15" x14ac:dyDescent="0.3">
      <c r="B11930" s="1" t="s">
        <v>20</v>
      </c>
      <c r="C11930" s="1" t="str">
        <f>"5-2차"</f>
        <v>5-2차</v>
      </c>
      <c r="D11930" s="1" t="str">
        <f>"9625W9415M"</f>
        <v>9625W9415M</v>
      </c>
      <c r="E11930" s="1" t="s">
        <v>10</v>
      </c>
      <c r="F11930" s="1" t="str">
        <f>"fde1:103:4:5639:0:0:0:2"</f>
        <v>fde1:103:4:5639:0:0:0:2</v>
      </c>
      <c r="G11930" s="1" t="str">
        <f>"9625W941"</f>
        <v>9625W941</v>
      </c>
      <c r="H11930" s="1" t="str">
        <f>"서교지 15L9"</f>
        <v>서교지 15L9</v>
      </c>
      <c r="I11930" s="1" t="s">
        <v>15</v>
      </c>
      <c r="J11930" s="1" t="str">
        <f>"47/47"</f>
        <v>47/47</v>
      </c>
      <c r="K11930" s="1" t="str">
        <f>"2026-07-29 14:21:35"</f>
        <v>2026-07-29 14:21:35</v>
      </c>
      <c r="L11930" s="1" t="str">
        <f>"2023-08-17 09:48:04"</f>
        <v>2023-08-17 09:48:04</v>
      </c>
      <c r="M11930" s="1" t="s">
        <v>4</v>
      </c>
      <c r="N11930" s="1" t="s">
        <v>38</v>
      </c>
      <c r="O11930" s="1" t="s">
        <v>46</v>
      </c>
    </row>
    <row r="11931" spans="2:15" x14ac:dyDescent="0.3">
      <c r="B11931" s="1" t="s">
        <v>20</v>
      </c>
      <c r="C11931" s="1" t="str">
        <f>"4차"</f>
        <v>4차</v>
      </c>
      <c r="D11931" s="1" t="str">
        <f>"9625W96139"</f>
        <v>9625W96139</v>
      </c>
      <c r="E11931" s="1" t="s">
        <v>10</v>
      </c>
      <c r="F11931" s="1" t="str">
        <f>"10.12.135.47"</f>
        <v>10.12.135.47</v>
      </c>
      <c r="G11931" s="1" t="str">
        <f>"9625W961"</f>
        <v>9625W961</v>
      </c>
      <c r="H11931" s="1" t="str">
        <f>"양화로 22"</f>
        <v>양화로 22</v>
      </c>
      <c r="I11931" s="1" t="s">
        <v>17</v>
      </c>
      <c r="J11931" s="1" t="str">
        <f>"4/4"</f>
        <v>4/4</v>
      </c>
      <c r="K11931" s="1" t="str">
        <f>"2026-07-29 13:18:12"</f>
        <v>2026-07-29 13:18:12</v>
      </c>
      <c r="L11931" s="1" t="str">
        <f>"2018-05-24 10:11:12"</f>
        <v>2018-05-24 10:11:12</v>
      </c>
      <c r="M11931" s="1" t="s">
        <v>0</v>
      </c>
      <c r="N11931" s="1" t="s">
        <v>38</v>
      </c>
      <c r="O11931" s="1" t="s">
        <v>46</v>
      </c>
    </row>
    <row r="11932" spans="2:15" x14ac:dyDescent="0.3">
      <c r="B11932" s="1" t="s">
        <v>20</v>
      </c>
      <c r="C11932" s="1" t="str">
        <f>"4차"</f>
        <v>4차</v>
      </c>
      <c r="D11932" s="1" t="str">
        <f>"9625W97141"</f>
        <v>9625W97141</v>
      </c>
      <c r="E11932" s="1" t="s">
        <v>10</v>
      </c>
      <c r="F11932" s="1" t="str">
        <f>"10.14.8.181"</f>
        <v>10.14.8.181</v>
      </c>
      <c r="G11932" s="1" t="str">
        <f>"9625W971"</f>
        <v>9625W971</v>
      </c>
      <c r="H11932" s="1" t="str">
        <f>"양합지 45L6R3"</f>
        <v>양합지 45L6R3</v>
      </c>
      <c r="I11932" s="1" t="s">
        <v>17</v>
      </c>
      <c r="J11932" s="1" t="str">
        <f>"1/7"</f>
        <v>1/7</v>
      </c>
      <c r="K11932" s="1" t="str">
        <f t="shared" ref="K11932:K11937" si="596">"2026-07-29 13:18:11"</f>
        <v>2026-07-29 13:18:11</v>
      </c>
      <c r="L11932" s="1" t="str">
        <f>"2021-08-06 14:06:38"</f>
        <v>2021-08-06 14:06:38</v>
      </c>
      <c r="M11932" s="1" t="s">
        <v>3</v>
      </c>
      <c r="N11932" s="1" t="s">
        <v>38</v>
      </c>
      <c r="O11932" s="1" t="s">
        <v>46</v>
      </c>
    </row>
    <row r="11933" spans="2:15" x14ac:dyDescent="0.3">
      <c r="B11933" s="1" t="s">
        <v>20</v>
      </c>
      <c r="C11933" s="1" t="str">
        <f>"4차"</f>
        <v>4차</v>
      </c>
      <c r="D11933" s="1" t="str">
        <f>"9625W98241"</f>
        <v>9625W98241</v>
      </c>
      <c r="E11933" s="1" t="s">
        <v>10</v>
      </c>
      <c r="F11933" s="1" t="str">
        <f>"10.14.1.180"</f>
        <v>10.14.1.180</v>
      </c>
      <c r="G11933" s="1" t="str">
        <f>"9625W982"</f>
        <v>9625W982</v>
      </c>
      <c r="H11933" s="1" t="str">
        <f>"양합지 45L3R2"</f>
        <v>양합지 45L3R2</v>
      </c>
      <c r="I11933" s="1" t="s">
        <v>17</v>
      </c>
      <c r="J11933" s="1" t="str">
        <f>"7/7"</f>
        <v>7/7</v>
      </c>
      <c r="K11933" s="1" t="str">
        <f t="shared" si="596"/>
        <v>2026-07-29 13:18:11</v>
      </c>
      <c r="L11933" s="1" t="str">
        <f>"2021-08-06 13:22:33"</f>
        <v>2021-08-06 13:22:33</v>
      </c>
      <c r="M11933" s="1" t="s">
        <v>3</v>
      </c>
      <c r="N11933" s="1" t="s">
        <v>38</v>
      </c>
      <c r="O11933" s="1" t="s">
        <v>46</v>
      </c>
    </row>
    <row r="11934" spans="2:15" x14ac:dyDescent="0.3">
      <c r="B11934" s="1" t="s">
        <v>20</v>
      </c>
      <c r="C11934" s="1" t="str">
        <f>"3차"</f>
        <v>3차</v>
      </c>
      <c r="D11934" s="1" t="str">
        <f>"9625X00239"</f>
        <v>9625X00239</v>
      </c>
      <c r="E11934" s="1" t="s">
        <v>10</v>
      </c>
      <c r="F11934" s="1" t="str">
        <f>"10.10.33.138"</f>
        <v>10.10.33.138</v>
      </c>
      <c r="G11934" s="1" t="str">
        <f>"9625X002"</f>
        <v>9625X002</v>
      </c>
      <c r="H11934" s="1" t="str">
        <f>"대건지 10R10"</f>
        <v>대건지 10R10</v>
      </c>
      <c r="I11934" s="1" t="s">
        <v>8</v>
      </c>
      <c r="J11934" s="1" t="str">
        <f>"31/31"</f>
        <v>31/31</v>
      </c>
      <c r="K11934" s="1" t="str">
        <f t="shared" si="596"/>
        <v>2026-07-29 13:18:11</v>
      </c>
      <c r="L11934" s="1" t="str">
        <f>"2018-01-26 14:24:11"</f>
        <v>2018-01-26 14:24:11</v>
      </c>
      <c r="M11934" s="1" t="s">
        <v>1</v>
      </c>
      <c r="N11934" s="1" t="s">
        <v>38</v>
      </c>
      <c r="O11934" s="1" t="s">
        <v>46</v>
      </c>
    </row>
    <row r="11935" spans="2:15" x14ac:dyDescent="0.3">
      <c r="B11935" s="1" t="s">
        <v>20</v>
      </c>
      <c r="C11935" s="1" t="str">
        <f>"3차"</f>
        <v>3차</v>
      </c>
      <c r="D11935" s="1" t="str">
        <f>"9625X02139"</f>
        <v>9625X02139</v>
      </c>
      <c r="E11935" s="1" t="s">
        <v>10</v>
      </c>
      <c r="F11935" s="1" t="str">
        <f>"10.10.33.162"</f>
        <v>10.10.33.162</v>
      </c>
      <c r="G11935" s="1" t="str">
        <f>"9625X021"</f>
        <v>9625X021</v>
      </c>
      <c r="H11935" s="1" t="str">
        <f>"서교지 8L1"</f>
        <v>서교지 8L1</v>
      </c>
      <c r="I11935" s="1" t="s">
        <v>8</v>
      </c>
      <c r="J11935" s="1" t="str">
        <f>"16/16"</f>
        <v>16/16</v>
      </c>
      <c r="K11935" s="1" t="str">
        <f t="shared" si="596"/>
        <v>2026-07-29 13:18:11</v>
      </c>
      <c r="L11935" s="1" t="str">
        <f>"2018-02-05 15:12:41"</f>
        <v>2018-02-05 15:12:41</v>
      </c>
      <c r="M11935" s="1" t="s">
        <v>1</v>
      </c>
      <c r="N11935" s="1" t="s">
        <v>38</v>
      </c>
      <c r="O11935" s="1" t="s">
        <v>46</v>
      </c>
    </row>
    <row r="11936" spans="2:15" x14ac:dyDescent="0.3">
      <c r="B11936" s="1" t="s">
        <v>20</v>
      </c>
      <c r="C11936" s="1" t="str">
        <f>"4차"</f>
        <v>4차</v>
      </c>
      <c r="D11936" s="1" t="str">
        <f>"9625X03139"</f>
        <v>9625X03139</v>
      </c>
      <c r="E11936" s="1" t="s">
        <v>10</v>
      </c>
      <c r="F11936" s="1" t="str">
        <f>"10.10.33.186"</f>
        <v>10.10.33.186</v>
      </c>
      <c r="G11936" s="1" t="str">
        <f>"9625X031"</f>
        <v>9625X031</v>
      </c>
      <c r="H11936" s="1" t="str">
        <f>"서교지 8L3R3"</f>
        <v>서교지 8L3R3</v>
      </c>
      <c r="I11936" s="1" t="s">
        <v>8</v>
      </c>
      <c r="J11936" s="1" t="str">
        <f>"33/33"</f>
        <v>33/33</v>
      </c>
      <c r="K11936" s="1" t="str">
        <f t="shared" si="596"/>
        <v>2026-07-29 13:18:11</v>
      </c>
      <c r="L11936" s="1" t="str">
        <f>"2018-02-05 17:09:12"</f>
        <v>2018-02-05 17:09:12</v>
      </c>
      <c r="M11936" s="1" t="s">
        <v>1</v>
      </c>
      <c r="N11936" s="1" t="s">
        <v>38</v>
      </c>
      <c r="O11936" s="1" t="s">
        <v>46</v>
      </c>
    </row>
    <row r="11937" spans="2:15" x14ac:dyDescent="0.3">
      <c r="B11937" s="1" t="s">
        <v>20</v>
      </c>
      <c r="C11937" s="1" t="str">
        <f>"3차"</f>
        <v>3차</v>
      </c>
      <c r="D11937" s="1" t="str">
        <f>"9625X04139"</f>
        <v>9625X04139</v>
      </c>
      <c r="E11937" s="1" t="s">
        <v>10</v>
      </c>
      <c r="F11937" s="1" t="str">
        <f>"10.10.34.82"</f>
        <v>10.10.34.82</v>
      </c>
      <c r="G11937" s="1" t="str">
        <f>"9625X041"</f>
        <v>9625X041</v>
      </c>
      <c r="H11937" s="1" t="str">
        <f>"서교지 15L6"</f>
        <v>서교지 15L6</v>
      </c>
      <c r="I11937" s="1" t="s">
        <v>8</v>
      </c>
      <c r="J11937" s="1" t="str">
        <f>"62/62"</f>
        <v>62/62</v>
      </c>
      <c r="K11937" s="1" t="str">
        <f t="shared" si="596"/>
        <v>2026-07-29 13:18:11</v>
      </c>
      <c r="L11937" s="1" t="str">
        <f>"2018-03-28 11:04:12"</f>
        <v>2018-03-28 11:04:12</v>
      </c>
      <c r="M11937" s="1" t="s">
        <v>1</v>
      </c>
      <c r="N11937" s="1" t="s">
        <v>38</v>
      </c>
      <c r="O11937" s="1" t="s">
        <v>46</v>
      </c>
    </row>
    <row r="11938" spans="2:15" x14ac:dyDescent="0.3">
      <c r="B11938" s="1" t="s">
        <v>20</v>
      </c>
      <c r="C11938" s="1" t="str">
        <f>"6차"</f>
        <v>6차</v>
      </c>
      <c r="D11938" s="1" t="str">
        <f>"9625X0546S"</f>
        <v>9625X0546S</v>
      </c>
      <c r="E11938" s="1" t="s">
        <v>10</v>
      </c>
      <c r="F11938" s="1" t="str">
        <f>"fde1:103:4:c630:0:0:0:2"</f>
        <v>fde1:103:4:c630:0:0:0:2</v>
      </c>
      <c r="G11938" s="1" t="str">
        <f>"9625X054"</f>
        <v>9625X054</v>
      </c>
      <c r="H11938" s="1" t="str">
        <f>"서교지 15L7"</f>
        <v>서교지 15L7</v>
      </c>
      <c r="I11938" s="1" t="s">
        <v>15</v>
      </c>
      <c r="J11938" s="1" t="str">
        <f>"85/87"</f>
        <v>85/87</v>
      </c>
      <c r="K11938" s="1" t="str">
        <f>"2026-07-29 14:21:22"</f>
        <v>2026-07-29 14:21:22</v>
      </c>
      <c r="L11938" s="1" t="str">
        <f>"2024-11-07 13:13:49"</f>
        <v>2024-11-07 13:13:49</v>
      </c>
      <c r="M11938" s="1" t="s">
        <v>4</v>
      </c>
      <c r="N11938" s="1" t="s">
        <v>38</v>
      </c>
      <c r="O11938" s="1" t="s">
        <v>46</v>
      </c>
    </row>
    <row r="11939" spans="2:15" x14ac:dyDescent="0.3">
      <c r="B11939" s="1" t="s">
        <v>20</v>
      </c>
      <c r="C11939" s="1" t="str">
        <f>"3차"</f>
        <v>3차</v>
      </c>
      <c r="D11939" s="1" t="str">
        <f>"9625X11139"</f>
        <v>9625X11139</v>
      </c>
      <c r="E11939" s="1" t="s">
        <v>10</v>
      </c>
      <c r="F11939" s="1" t="str">
        <f>"10.10.30.186"</f>
        <v>10.10.30.186</v>
      </c>
      <c r="G11939" s="1" t="str">
        <f>"9625X111"</f>
        <v>9625X111</v>
      </c>
      <c r="H11939" s="1" t="str">
        <f>"서교지 1L4"</f>
        <v>서교지 1L4</v>
      </c>
      <c r="I11939" s="1" t="s">
        <v>8</v>
      </c>
      <c r="J11939" s="1" t="str">
        <f>"1/1"</f>
        <v>1/1</v>
      </c>
      <c r="K11939" s="1" t="str">
        <f>"2026-07-29 13:18:11"</f>
        <v>2026-07-29 13:18:11</v>
      </c>
      <c r="L11939" s="1" t="str">
        <f>"2018-03-09 16:55:57"</f>
        <v>2018-03-09 16:55:57</v>
      </c>
      <c r="M11939" s="1" t="s">
        <v>1</v>
      </c>
      <c r="N11939" s="1" t="s">
        <v>38</v>
      </c>
      <c r="O11939" s="1" t="s">
        <v>46</v>
      </c>
    </row>
    <row r="11940" spans="2:15" x14ac:dyDescent="0.3">
      <c r="B11940" s="1" t="s">
        <v>20</v>
      </c>
      <c r="C11940" s="1" t="str">
        <f>"3차"</f>
        <v>3차</v>
      </c>
      <c r="D11940" s="1" t="str">
        <f>"9625X12139"</f>
        <v>9625X12139</v>
      </c>
      <c r="E11940" s="1" t="s">
        <v>10</v>
      </c>
      <c r="F11940" s="1" t="str">
        <f>"10.10.30.66"</f>
        <v>10.10.30.66</v>
      </c>
      <c r="G11940" s="1" t="str">
        <f>"9625X121"</f>
        <v>9625X121</v>
      </c>
      <c r="H11940" s="1" t="str">
        <f>"서교지 8"</f>
        <v>서교지 8</v>
      </c>
      <c r="I11940" s="1" t="s">
        <v>8</v>
      </c>
      <c r="J11940" s="1" t="str">
        <f>"29/29"</f>
        <v>29/29</v>
      </c>
      <c r="K11940" s="1" t="str">
        <f>"2026-07-29 13:18:11"</f>
        <v>2026-07-29 13:18:11</v>
      </c>
      <c r="L11940" s="1" t="str">
        <f>"2018-01-22 15:21:10"</f>
        <v>2018-01-22 15:21:10</v>
      </c>
      <c r="M11940" s="1" t="s">
        <v>1</v>
      </c>
      <c r="N11940" s="1" t="s">
        <v>38</v>
      </c>
      <c r="O11940" s="1" t="s">
        <v>46</v>
      </c>
    </row>
    <row r="11941" spans="2:15" x14ac:dyDescent="0.3">
      <c r="B11941" s="1" t="s">
        <v>20</v>
      </c>
      <c r="C11941" s="1" t="str">
        <f>"3차"</f>
        <v>3차</v>
      </c>
      <c r="D11941" s="1" t="str">
        <f>"9625X13139"</f>
        <v>9625X13139</v>
      </c>
      <c r="E11941" s="1" t="s">
        <v>10</v>
      </c>
      <c r="F11941" s="1" t="str">
        <f>"10.10.30.74"</f>
        <v>10.10.30.74</v>
      </c>
      <c r="G11941" s="1" t="str">
        <f>"9625X131"</f>
        <v>9625X131</v>
      </c>
      <c r="H11941" s="1" t="str">
        <f>"서교지 10"</f>
        <v>서교지 10</v>
      </c>
      <c r="I11941" s="1" t="s">
        <v>8</v>
      </c>
      <c r="J11941" s="1" t="str">
        <f>"35/36"</f>
        <v>35/36</v>
      </c>
      <c r="K11941" s="1" t="str">
        <f>"2026-07-29 13:18:11"</f>
        <v>2026-07-29 13:18:11</v>
      </c>
      <c r="L11941" s="1" t="str">
        <f>"2018-01-22 15:18:55"</f>
        <v>2018-01-22 15:18:55</v>
      </c>
      <c r="M11941" s="1" t="s">
        <v>1</v>
      </c>
      <c r="N11941" s="1" t="s">
        <v>38</v>
      </c>
      <c r="O11941" s="1" t="s">
        <v>46</v>
      </c>
    </row>
    <row r="11942" spans="2:15" x14ac:dyDescent="0.3">
      <c r="B11942" s="1" t="s">
        <v>20</v>
      </c>
      <c r="C11942" s="1" t="str">
        <f>"3차"</f>
        <v>3차</v>
      </c>
      <c r="D11942" s="1" t="str">
        <f>"9625X21139"</f>
        <v>9625X21139</v>
      </c>
      <c r="E11942" s="1" t="s">
        <v>14</v>
      </c>
      <c r="F11942" s="1" t="str">
        <f>"10.10.30.178"</f>
        <v>10.10.30.178</v>
      </c>
      <c r="G11942" s="1" t="str">
        <f>"9625X211"</f>
        <v>9625X211</v>
      </c>
      <c r="H11942" s="1" t="str">
        <f>"서교지 1L3"</f>
        <v>서교지 1L3</v>
      </c>
      <c r="I11942" s="1" t="s">
        <v>8</v>
      </c>
      <c r="J11942" s="1" t="str">
        <f>"0/0"</f>
        <v>0/0</v>
      </c>
      <c r="K11942" s="1" t="str">
        <f>"2026-07-29 13:18:11"</f>
        <v>2026-07-29 13:18:11</v>
      </c>
      <c r="L11942" s="1" t="str">
        <f>"2018-03-09 16:55:13"</f>
        <v>2018-03-09 16:55:13</v>
      </c>
      <c r="M11942" s="1" t="s">
        <v>1</v>
      </c>
      <c r="N11942" s="1" t="s">
        <v>38</v>
      </c>
      <c r="O11942" s="1" t="s">
        <v>44</v>
      </c>
    </row>
    <row r="11943" spans="2:15" x14ac:dyDescent="0.3">
      <c r="B11943" s="1" t="s">
        <v>20</v>
      </c>
      <c r="C11943" s="1" t="str">
        <f>"3차"</f>
        <v>3차</v>
      </c>
      <c r="D11943" s="1" t="str">
        <f>"9625X21239"</f>
        <v>9625X21239</v>
      </c>
      <c r="E11943" s="1" t="s">
        <v>10</v>
      </c>
      <c r="F11943" s="1" t="str">
        <f>"10.10.30.50"</f>
        <v>10.10.30.50</v>
      </c>
      <c r="G11943" s="1" t="str">
        <f>"9625X212"</f>
        <v>9625X212</v>
      </c>
      <c r="H11943" s="1" t="str">
        <f>"서교지 6"</f>
        <v>서교지 6</v>
      </c>
      <c r="I11943" s="1" t="s">
        <v>8</v>
      </c>
      <c r="J11943" s="1" t="str">
        <f>"11/17"</f>
        <v>11/17</v>
      </c>
      <c r="K11943" s="1" t="str">
        <f>"2026-07-29 13:18:10"</f>
        <v>2026-07-29 13:18:10</v>
      </c>
      <c r="L11943" s="1" t="str">
        <f>"2018-01-22 15:19:11"</f>
        <v>2018-01-22 15:19:11</v>
      </c>
      <c r="M11943" s="1" t="s">
        <v>1</v>
      </c>
      <c r="N11943" s="1" t="s">
        <v>38</v>
      </c>
      <c r="O11943" s="1" t="s">
        <v>46</v>
      </c>
    </row>
    <row r="11944" spans="2:15" x14ac:dyDescent="0.3">
      <c r="B11944" s="1" t="s">
        <v>20</v>
      </c>
      <c r="C11944" s="1" t="str">
        <f>"4차"</f>
        <v>4차</v>
      </c>
      <c r="D11944" s="1" t="str">
        <f>"9625X22139"</f>
        <v>9625X22139</v>
      </c>
      <c r="E11944" s="1" t="s">
        <v>10</v>
      </c>
      <c r="F11944" s="1" t="str">
        <f>"10.10.30.58"</f>
        <v>10.10.30.58</v>
      </c>
      <c r="G11944" s="1" t="str">
        <f>"9625X221"</f>
        <v>9625X221</v>
      </c>
      <c r="H11944" s="1" t="str">
        <f>"서교지 7"</f>
        <v>서교지 7</v>
      </c>
      <c r="I11944" s="1" t="s">
        <v>8</v>
      </c>
      <c r="J11944" s="1" t="str">
        <f>"13/13"</f>
        <v>13/13</v>
      </c>
      <c r="K11944" s="1" t="str">
        <f>"2026-07-29 13:18:11"</f>
        <v>2026-07-29 13:18:11</v>
      </c>
      <c r="L11944" s="1" t="str">
        <f>"2018-01-22 15:19:40"</f>
        <v>2018-01-22 15:19:40</v>
      </c>
      <c r="M11944" s="1" t="s">
        <v>1</v>
      </c>
      <c r="N11944" s="1" t="s">
        <v>38</v>
      </c>
      <c r="O11944" s="1" t="s">
        <v>46</v>
      </c>
    </row>
    <row r="11945" spans="2:15" x14ac:dyDescent="0.3">
      <c r="B11945" s="1" t="s">
        <v>20</v>
      </c>
      <c r="C11945" s="1" t="str">
        <f>"3차"</f>
        <v>3차</v>
      </c>
      <c r="D11945" s="1" t="str">
        <f>"9625X22239"</f>
        <v>9625X22239</v>
      </c>
      <c r="E11945" s="1" t="s">
        <v>10</v>
      </c>
      <c r="F11945" s="1" t="str">
        <f>"10.10.31.146"</f>
        <v>10.10.31.146</v>
      </c>
      <c r="G11945" s="1" t="str">
        <f>"9625X222"</f>
        <v>9625X222</v>
      </c>
      <c r="H11945" s="1" t="str">
        <f>"서교지 3R3L7"</f>
        <v>서교지 3R3L7</v>
      </c>
      <c r="I11945" s="1" t="s">
        <v>8</v>
      </c>
      <c r="J11945" s="1" t="str">
        <f>"16/16"</f>
        <v>16/16</v>
      </c>
      <c r="K11945" s="1" t="str">
        <f>"2026-07-29 13:18:11"</f>
        <v>2026-07-29 13:18:11</v>
      </c>
      <c r="L11945" s="1" t="str">
        <f>"2018-01-23 17:00:26"</f>
        <v>2018-01-23 17:00:26</v>
      </c>
      <c r="M11945" s="1" t="s">
        <v>1</v>
      </c>
      <c r="N11945" s="1" t="s">
        <v>38</v>
      </c>
      <c r="O11945" s="1" t="s">
        <v>46</v>
      </c>
    </row>
    <row r="11946" spans="2:15" x14ac:dyDescent="0.3">
      <c r="B11946" s="1" t="s">
        <v>20</v>
      </c>
      <c r="C11946" s="1" t="str">
        <f>"3차"</f>
        <v>3차</v>
      </c>
      <c r="D11946" s="1" t="str">
        <f>"9625X23139"</f>
        <v>9625X23139</v>
      </c>
      <c r="E11946" s="1" t="s">
        <v>10</v>
      </c>
      <c r="F11946" s="1" t="str">
        <f>"10.10.30.82"</f>
        <v>10.10.30.82</v>
      </c>
      <c r="G11946" s="1" t="str">
        <f>"9625X231"</f>
        <v>9625X231</v>
      </c>
      <c r="H11946" s="1" t="str">
        <f>"서교지 11"</f>
        <v>서교지 11</v>
      </c>
      <c r="I11946" s="1" t="s">
        <v>8</v>
      </c>
      <c r="J11946" s="1" t="str">
        <f>"19/19"</f>
        <v>19/19</v>
      </c>
      <c r="K11946" s="1" t="str">
        <f>"2026-07-29 13:18:10"</f>
        <v>2026-07-29 13:18:10</v>
      </c>
      <c r="L11946" s="1" t="str">
        <f>"2018-01-22 15:19:55"</f>
        <v>2018-01-22 15:19:55</v>
      </c>
      <c r="M11946" s="1" t="s">
        <v>1</v>
      </c>
      <c r="N11946" s="1" t="s">
        <v>38</v>
      </c>
      <c r="O11946" s="1" t="s">
        <v>46</v>
      </c>
    </row>
    <row r="11947" spans="2:15" x14ac:dyDescent="0.3">
      <c r="B11947" s="1" t="s">
        <v>20</v>
      </c>
      <c r="C11947" s="1" t="str">
        <f>"3차"</f>
        <v>3차</v>
      </c>
      <c r="D11947" s="1" t="str">
        <f>"9625X24139"</f>
        <v>9625X24139</v>
      </c>
      <c r="E11947" s="1" t="s">
        <v>10</v>
      </c>
      <c r="F11947" s="1" t="str">
        <f>"10.10.30.98"</f>
        <v>10.10.30.98</v>
      </c>
      <c r="G11947" s="1" t="str">
        <f>"9625X241"</f>
        <v>9625X241</v>
      </c>
      <c r="H11947" s="1" t="str">
        <f>"서교지 13"</f>
        <v>서교지 13</v>
      </c>
      <c r="I11947" s="1" t="s">
        <v>8</v>
      </c>
      <c r="J11947" s="1" t="str">
        <f>"20/20"</f>
        <v>20/20</v>
      </c>
      <c r="K11947" s="1" t="str">
        <f>"2026-07-29 13:18:10"</f>
        <v>2026-07-29 13:18:10</v>
      </c>
      <c r="L11947" s="1" t="str">
        <f>"2018-02-06 14:57:57"</f>
        <v>2018-02-06 14:57:57</v>
      </c>
      <c r="M11947" s="1" t="s">
        <v>1</v>
      </c>
      <c r="N11947" s="1" t="s">
        <v>38</v>
      </c>
      <c r="O11947" s="1" t="s">
        <v>46</v>
      </c>
    </row>
    <row r="11948" spans="2:15" x14ac:dyDescent="0.3">
      <c r="B11948" s="1" t="s">
        <v>20</v>
      </c>
      <c r="C11948" s="1" t="str">
        <f>"3차"</f>
        <v>3차</v>
      </c>
      <c r="D11948" s="1" t="str">
        <f>"9625X24239"</f>
        <v>9625X24239</v>
      </c>
      <c r="E11948" s="1" t="s">
        <v>10</v>
      </c>
      <c r="F11948" s="1" t="str">
        <f>"10.10.30.90"</f>
        <v>10.10.30.90</v>
      </c>
      <c r="G11948" s="1" t="str">
        <f>"9625X242"</f>
        <v>9625X242</v>
      </c>
      <c r="H11948" s="1" t="str">
        <f>"서교지 12"</f>
        <v>서교지 12</v>
      </c>
      <c r="I11948" s="1" t="s">
        <v>8</v>
      </c>
      <c r="J11948" s="1" t="str">
        <f>"28/31"</f>
        <v>28/31</v>
      </c>
      <c r="K11948" s="1" t="str">
        <f>"2026-07-29 13:18:11"</f>
        <v>2026-07-29 13:18:11</v>
      </c>
      <c r="L11948" s="1" t="str">
        <f>"2018-02-06 14:49:42"</f>
        <v>2018-02-06 14:49:42</v>
      </c>
      <c r="M11948" s="1" t="s">
        <v>1</v>
      </c>
      <c r="N11948" s="1" t="s">
        <v>38</v>
      </c>
      <c r="O11948" s="1" t="s">
        <v>46</v>
      </c>
    </row>
    <row r="11949" spans="2:15" x14ac:dyDescent="0.3">
      <c r="B11949" s="1" t="s">
        <v>20</v>
      </c>
      <c r="C11949" s="1" t="str">
        <f>"4차"</f>
        <v>4차</v>
      </c>
      <c r="D11949" s="1" t="str">
        <f>"9625X25139"</f>
        <v>9625X25139</v>
      </c>
      <c r="E11949" s="1" t="s">
        <v>10</v>
      </c>
      <c r="F11949" s="1" t="str">
        <f>"10.10.34.74"</f>
        <v>10.10.34.74</v>
      </c>
      <c r="G11949" s="1" t="str">
        <f>"9625X251"</f>
        <v>9625X251</v>
      </c>
      <c r="H11949" s="1" t="str">
        <f>"서교지 15L3"</f>
        <v>서교지 15L3</v>
      </c>
      <c r="I11949" s="1" t="s">
        <v>8</v>
      </c>
      <c r="J11949" s="1" t="str">
        <f>"44/44"</f>
        <v>44/44</v>
      </c>
      <c r="K11949" s="1" t="str">
        <f>"2026-07-29 13:18:11"</f>
        <v>2026-07-29 13:18:11</v>
      </c>
      <c r="L11949" s="1" t="str">
        <f>"2018-05-11 20:16:00"</f>
        <v>2018-05-11 20:16:00</v>
      </c>
      <c r="M11949" s="1" t="s">
        <v>1</v>
      </c>
      <c r="N11949" s="1" t="s">
        <v>38</v>
      </c>
      <c r="O11949" s="1" t="s">
        <v>46</v>
      </c>
    </row>
    <row r="11950" spans="2:15" x14ac:dyDescent="0.3">
      <c r="B11950" s="1" t="s">
        <v>20</v>
      </c>
      <c r="C11950" s="1" t="str">
        <f>"4차"</f>
        <v>4차</v>
      </c>
      <c r="D11950" s="1" t="str">
        <f>"9625X28231"</f>
        <v>9625X28231</v>
      </c>
      <c r="E11950" s="1" t="s">
        <v>10</v>
      </c>
      <c r="F11950" s="1" t="str">
        <f>"10.10.30.115"</f>
        <v>10.10.30.115</v>
      </c>
      <c r="G11950" s="1" t="str">
        <f>"9625X282"</f>
        <v>9625X282</v>
      </c>
      <c r="H11950" s="1" t="str">
        <f>"서교지 20"</f>
        <v>서교지 20</v>
      </c>
      <c r="I11950" s="1" t="s">
        <v>8</v>
      </c>
      <c r="J11950" s="1" t="str">
        <f>"26/29"</f>
        <v>26/29</v>
      </c>
      <c r="K11950" s="1" t="str">
        <f>"2026-07-29 13:18:11"</f>
        <v>2026-07-29 13:18:11</v>
      </c>
      <c r="L11950" s="1" t="str">
        <f>"2018-04-25 09:02:55"</f>
        <v>2018-04-25 09:02:55</v>
      </c>
      <c r="M11950" s="1" t="s">
        <v>1</v>
      </c>
      <c r="N11950" s="1" t="s">
        <v>38</v>
      </c>
      <c r="O11950" s="1" t="s">
        <v>46</v>
      </c>
    </row>
    <row r="11951" spans="2:15" x14ac:dyDescent="0.3">
      <c r="B11951" s="1" t="s">
        <v>20</v>
      </c>
      <c r="C11951" s="1" t="str">
        <f>"3차"</f>
        <v>3차</v>
      </c>
      <c r="D11951" s="1" t="str">
        <f>"9625X30239"</f>
        <v>9625X30239</v>
      </c>
      <c r="E11951" s="1" t="s">
        <v>10</v>
      </c>
      <c r="F11951" s="1" t="str">
        <f>"10.10.33.202"</f>
        <v>10.10.33.202</v>
      </c>
      <c r="G11951" s="1" t="str">
        <f>"9625X302"</f>
        <v>9625X302</v>
      </c>
      <c r="H11951" s="1" t="str">
        <f>"대건지 1R2"</f>
        <v>대건지 1R2</v>
      </c>
      <c r="I11951" s="1" t="s">
        <v>8</v>
      </c>
      <c r="J11951" s="1" t="str">
        <f>"10/10"</f>
        <v>10/10</v>
      </c>
      <c r="K11951" s="1" t="str">
        <f>"2026-07-29 13:18:11"</f>
        <v>2026-07-29 13:18:11</v>
      </c>
      <c r="L11951" s="1" t="str">
        <f>"2018-01-26 14:09:10"</f>
        <v>2018-01-26 14:09:10</v>
      </c>
      <c r="M11951" s="1" t="s">
        <v>1</v>
      </c>
      <c r="N11951" s="1" t="s">
        <v>38</v>
      </c>
      <c r="O11951" s="1" t="s">
        <v>46</v>
      </c>
    </row>
    <row r="11952" spans="2:15" x14ac:dyDescent="0.3">
      <c r="B11952" s="1" t="s">
        <v>20</v>
      </c>
      <c r="C11952" s="1" t="str">
        <f>"3차"</f>
        <v>3차</v>
      </c>
      <c r="D11952" s="1" t="str">
        <f>"9625X30339"</f>
        <v>9625X30339</v>
      </c>
      <c r="E11952" s="1" t="s">
        <v>10</v>
      </c>
      <c r="F11952" s="1" t="str">
        <f>"10.10.30.170"</f>
        <v>10.10.30.170</v>
      </c>
      <c r="G11952" s="1" t="str">
        <f>"9625X303"</f>
        <v>9625X303</v>
      </c>
      <c r="H11952" s="1" t="str">
        <f>"서교지 1L1"</f>
        <v>서교지 1L1</v>
      </c>
      <c r="I11952" s="1" t="s">
        <v>8</v>
      </c>
      <c r="J11952" s="1" t="str">
        <f>"25/25"</f>
        <v>25/25</v>
      </c>
      <c r="K11952" s="1" t="str">
        <f>"2026-07-29 13:18:10"</f>
        <v>2026-07-29 13:18:10</v>
      </c>
      <c r="L11952" s="1" t="str">
        <f>"2018-03-27 15:41:44"</f>
        <v>2018-03-27 15:41:44</v>
      </c>
      <c r="M11952" s="1" t="s">
        <v>1</v>
      </c>
      <c r="N11952" s="1" t="s">
        <v>38</v>
      </c>
      <c r="O11952" s="1" t="s">
        <v>46</v>
      </c>
    </row>
    <row r="11953" spans="2:15" x14ac:dyDescent="0.3">
      <c r="B11953" s="1" t="s">
        <v>20</v>
      </c>
      <c r="C11953" s="1" t="str">
        <f>"3차"</f>
        <v>3차</v>
      </c>
      <c r="D11953" s="1" t="str">
        <f>"9625X31139"</f>
        <v>9625X31139</v>
      </c>
      <c r="E11953" s="1" t="s">
        <v>10</v>
      </c>
      <c r="F11953" s="1" t="str">
        <f>"10.10.30.42"</f>
        <v>10.10.30.42</v>
      </c>
      <c r="G11953" s="1" t="str">
        <f>"9625X311"</f>
        <v>9625X311</v>
      </c>
      <c r="H11953" s="1" t="str">
        <f>"서교지 5"</f>
        <v>서교지 5</v>
      </c>
      <c r="I11953" s="1" t="s">
        <v>8</v>
      </c>
      <c r="J11953" s="1" t="str">
        <f>"12/12"</f>
        <v>12/12</v>
      </c>
      <c r="K11953" s="1" t="str">
        <f>"2026-07-29 13:18:11"</f>
        <v>2026-07-29 13:18:11</v>
      </c>
      <c r="L11953" s="1" t="str">
        <f>"2018-03-09 16:53:11"</f>
        <v>2018-03-09 16:53:11</v>
      </c>
      <c r="M11953" s="1" t="s">
        <v>1</v>
      </c>
      <c r="N11953" s="1" t="s">
        <v>38</v>
      </c>
      <c r="O11953" s="1" t="s">
        <v>46</v>
      </c>
    </row>
    <row r="11954" spans="2:15" x14ac:dyDescent="0.3">
      <c r="B11954" s="1" t="s">
        <v>20</v>
      </c>
      <c r="C11954" s="1" t="str">
        <f>"4차"</f>
        <v>4차</v>
      </c>
      <c r="D11954" s="1" t="str">
        <f>"9625X33139"</f>
        <v>9625X33139</v>
      </c>
      <c r="E11954" s="1" t="s">
        <v>10</v>
      </c>
      <c r="F11954" s="1" t="str">
        <f>"10.10.31.138"</f>
        <v>10.10.31.138</v>
      </c>
      <c r="G11954" s="1" t="str">
        <f>"9625X331"</f>
        <v>9625X331</v>
      </c>
      <c r="H11954" s="1" t="str">
        <f>"서교지 3R3L6"</f>
        <v>서교지 3R3L6</v>
      </c>
      <c r="I11954" s="1" t="s">
        <v>8</v>
      </c>
      <c r="J11954" s="1" t="str">
        <f>"21/21"</f>
        <v>21/21</v>
      </c>
      <c r="K11954" s="1" t="str">
        <f>"2026-07-29 13:18:10"</f>
        <v>2026-07-29 13:18:10</v>
      </c>
      <c r="L11954" s="1" t="str">
        <f>"2018-01-23 17:00:11"</f>
        <v>2018-01-23 17:00:11</v>
      </c>
      <c r="M11954" s="1" t="s">
        <v>1</v>
      </c>
      <c r="N11954" s="1" t="s">
        <v>38</v>
      </c>
      <c r="O11954" s="1" t="s">
        <v>46</v>
      </c>
    </row>
    <row r="11955" spans="2:15" x14ac:dyDescent="0.3">
      <c r="B11955" s="1" t="s">
        <v>20</v>
      </c>
      <c r="C11955" s="1" t="str">
        <f>"4차"</f>
        <v>4차</v>
      </c>
      <c r="D11955" s="1" t="str">
        <f>"9625X35132"</f>
        <v>9625X35132</v>
      </c>
      <c r="E11955" s="1" t="s">
        <v>10</v>
      </c>
      <c r="F11955" s="1" t="str">
        <f>"10.10.30.108"</f>
        <v>10.10.30.108</v>
      </c>
      <c r="G11955" s="1" t="str">
        <f>"9625X351"</f>
        <v>9625X351</v>
      </c>
      <c r="H11955" s="1" t="str">
        <f>"서교지 14"</f>
        <v>서교지 14</v>
      </c>
      <c r="I11955" s="1" t="s">
        <v>8</v>
      </c>
      <c r="J11955" s="1" t="str">
        <f>"35/35"</f>
        <v>35/35</v>
      </c>
      <c r="K11955" s="1" t="str">
        <f>"2026-07-29 13:18:10"</f>
        <v>2026-07-29 13:18:10</v>
      </c>
      <c r="L11955" s="1" t="str">
        <f>"2018-03-28 10:42:12"</f>
        <v>2018-03-28 10:42:12</v>
      </c>
      <c r="M11955" s="1" t="s">
        <v>1</v>
      </c>
      <c r="N11955" s="1" t="s">
        <v>38</v>
      </c>
      <c r="O11955" s="1" t="s">
        <v>46</v>
      </c>
    </row>
    <row r="11956" spans="2:15" x14ac:dyDescent="0.3">
      <c r="B11956" s="1" t="s">
        <v>20</v>
      </c>
      <c r="C11956" s="1" t="str">
        <f>"4차"</f>
        <v>4차</v>
      </c>
      <c r="D11956" s="1" t="str">
        <f>"9625X36230"</f>
        <v>9625X36230</v>
      </c>
      <c r="E11956" s="1" t="s">
        <v>10</v>
      </c>
      <c r="F11956" s="1" t="str">
        <f>"10.10.30.106"</f>
        <v>10.10.30.106</v>
      </c>
      <c r="G11956" s="1" t="str">
        <f>"9625X362"</f>
        <v>9625X362</v>
      </c>
      <c r="H11956" s="1" t="str">
        <f>"서교지 15"</f>
        <v>서교지 15</v>
      </c>
      <c r="I11956" s="1" t="s">
        <v>8</v>
      </c>
      <c r="J11956" s="1" t="str">
        <f>"8/14"</f>
        <v>8/14</v>
      </c>
      <c r="K11956" s="1" t="str">
        <f>"2026-07-29 13:18:11"</f>
        <v>2026-07-29 13:18:11</v>
      </c>
      <c r="L11956" s="1" t="str">
        <f>"2018-03-28 10:41:55"</f>
        <v>2018-03-28 10:41:55</v>
      </c>
      <c r="M11956" s="1" t="s">
        <v>1</v>
      </c>
      <c r="N11956" s="1" t="s">
        <v>38</v>
      </c>
      <c r="O11956" s="1" t="s">
        <v>46</v>
      </c>
    </row>
    <row r="11957" spans="2:15" x14ac:dyDescent="0.3">
      <c r="B11957" s="1" t="s">
        <v>20</v>
      </c>
      <c r="C11957" s="1" t="str">
        <f t="shared" ref="C11957:C11962" si="597">"3차"</f>
        <v>3차</v>
      </c>
      <c r="D11957" s="1" t="str">
        <f>"9625X38230"</f>
        <v>9625X38230</v>
      </c>
      <c r="E11957" s="1" t="s">
        <v>10</v>
      </c>
      <c r="F11957" s="1" t="str">
        <f>"10.10.30.114"</f>
        <v>10.10.30.114</v>
      </c>
      <c r="G11957" s="1" t="str">
        <f>"9625X382"</f>
        <v>9625X382</v>
      </c>
      <c r="H11957" s="1" t="str">
        <f>"서교지 18"</f>
        <v>서교지 18</v>
      </c>
      <c r="I11957" s="1" t="s">
        <v>8</v>
      </c>
      <c r="J11957" s="1" t="str">
        <f>"20/20"</f>
        <v>20/20</v>
      </c>
      <c r="K11957" s="1" t="str">
        <f>"2026-07-29 13:18:11"</f>
        <v>2026-07-29 13:18:11</v>
      </c>
      <c r="L11957" s="1" t="str">
        <f>"2018-05-11 19:21:05"</f>
        <v>2018-05-11 19:21:05</v>
      </c>
      <c r="M11957" s="1" t="s">
        <v>1</v>
      </c>
      <c r="N11957" s="1" t="s">
        <v>38</v>
      </c>
      <c r="O11957" s="1" t="s">
        <v>46</v>
      </c>
    </row>
    <row r="11958" spans="2:15" x14ac:dyDescent="0.3">
      <c r="B11958" s="1" t="s">
        <v>20</v>
      </c>
      <c r="C11958" s="1" t="str">
        <f t="shared" si="597"/>
        <v>3차</v>
      </c>
      <c r="D11958" s="1" t="str">
        <f>"9625X42139"</f>
        <v>9625X42139</v>
      </c>
      <c r="E11958" s="1" t="s">
        <v>10</v>
      </c>
      <c r="F11958" s="1" t="str">
        <f>"10.10.34.186"</f>
        <v>10.10.34.186</v>
      </c>
      <c r="G11958" s="1" t="str">
        <f>"9625X421"</f>
        <v>9625X421</v>
      </c>
      <c r="H11958" s="1" t="str">
        <f>"서교지 5R1"</f>
        <v>서교지 5R1</v>
      </c>
      <c r="I11958" s="1" t="s">
        <v>8</v>
      </c>
      <c r="J11958" s="1" t="str">
        <f>"39/39"</f>
        <v>39/39</v>
      </c>
      <c r="K11958" s="1" t="str">
        <f>"2026-07-29 13:18:10"</f>
        <v>2026-07-29 13:18:10</v>
      </c>
      <c r="L11958" s="1" t="str">
        <f>"2018-02-07 15:00:41"</f>
        <v>2018-02-07 15:00:41</v>
      </c>
      <c r="M11958" s="1" t="s">
        <v>1</v>
      </c>
      <c r="N11958" s="1" t="s">
        <v>38</v>
      </c>
      <c r="O11958" s="1" t="s">
        <v>46</v>
      </c>
    </row>
    <row r="11959" spans="2:15" x14ac:dyDescent="0.3">
      <c r="B11959" s="1" t="s">
        <v>20</v>
      </c>
      <c r="C11959" s="1" t="str">
        <f t="shared" si="597"/>
        <v>3차</v>
      </c>
      <c r="D11959" s="1" t="str">
        <f>"9625X44139"</f>
        <v>9625X44139</v>
      </c>
      <c r="E11959" s="1" t="s">
        <v>10</v>
      </c>
      <c r="F11959" s="1" t="str">
        <f>"10.10.31.122"</f>
        <v>10.10.31.122</v>
      </c>
      <c r="G11959" s="1" t="str">
        <f>"9625X441"</f>
        <v>9625X441</v>
      </c>
      <c r="H11959" s="1" t="str">
        <f>"서교지 3R3L3"</f>
        <v>서교지 3R3L3</v>
      </c>
      <c r="I11959" s="1" t="s">
        <v>8</v>
      </c>
      <c r="J11959" s="1" t="str">
        <f>"13/13"</f>
        <v>13/13</v>
      </c>
      <c r="K11959" s="1" t="str">
        <f>"2026-07-29 13:18:11"</f>
        <v>2026-07-29 13:18:11</v>
      </c>
      <c r="L11959" s="1" t="str">
        <f>"2018-01-23 16:48:42"</f>
        <v>2018-01-23 16:48:42</v>
      </c>
      <c r="M11959" s="1" t="s">
        <v>1</v>
      </c>
      <c r="N11959" s="1" t="s">
        <v>38</v>
      </c>
      <c r="O11959" s="1" t="s">
        <v>46</v>
      </c>
    </row>
    <row r="11960" spans="2:15" x14ac:dyDescent="0.3">
      <c r="B11960" s="1" t="s">
        <v>20</v>
      </c>
      <c r="C11960" s="1" t="str">
        <f t="shared" si="597"/>
        <v>3차</v>
      </c>
      <c r="D11960" s="1" t="str">
        <f>"9625X44339"</f>
        <v>9625X44339</v>
      </c>
      <c r="E11960" s="1" t="s">
        <v>10</v>
      </c>
      <c r="F11960" s="1" t="str">
        <f>"10.12.131.68"</f>
        <v>10.12.131.68</v>
      </c>
      <c r="G11960" s="1" t="str">
        <f>"9625X443"</f>
        <v>9625X443</v>
      </c>
      <c r="H11960" s="1" t="str">
        <f>"서교지 3R3L4"</f>
        <v>서교지 3R3L4</v>
      </c>
      <c r="I11960" s="1" t="s">
        <v>8</v>
      </c>
      <c r="J11960" s="1" t="str">
        <f>"12/12"</f>
        <v>12/12</v>
      </c>
      <c r="K11960" s="1" t="str">
        <f>"2026-07-29 07:18:12"</f>
        <v>2026-07-29 07:18:12</v>
      </c>
      <c r="L11960" s="1" t="str">
        <f>"2018-01-23 16:55:27"</f>
        <v>2018-01-23 16:55:27</v>
      </c>
      <c r="M11960" s="1" t="s">
        <v>0</v>
      </c>
      <c r="N11960" s="1" t="s">
        <v>38</v>
      </c>
      <c r="O11960" s="1" t="s">
        <v>46</v>
      </c>
    </row>
    <row r="11961" spans="2:15" x14ac:dyDescent="0.3">
      <c r="B11961" s="1" t="s">
        <v>20</v>
      </c>
      <c r="C11961" s="1" t="str">
        <f t="shared" si="597"/>
        <v>3차</v>
      </c>
      <c r="D11961" s="1" t="str">
        <f>"9625X47131"</f>
        <v>9625X47131</v>
      </c>
      <c r="E11961" s="1" t="s">
        <v>10</v>
      </c>
      <c r="F11961" s="1" t="str">
        <f>"10.12.138.146"</f>
        <v>10.12.138.146</v>
      </c>
      <c r="G11961" s="1" t="str">
        <f>"9625X471"</f>
        <v>9625X471</v>
      </c>
      <c r="H11961" s="1" t="str">
        <f>"서교지 17"</f>
        <v>서교지 17</v>
      </c>
      <c r="I11961" s="1" t="s">
        <v>8</v>
      </c>
      <c r="J11961" s="1" t="str">
        <f>"7/7"</f>
        <v>7/7</v>
      </c>
      <c r="K11961" s="1" t="str">
        <f>"2026-07-29 13:18:10"</f>
        <v>2026-07-29 13:18:10</v>
      </c>
      <c r="L11961" s="1" t="str">
        <f>"2018-03-28 10:39:41"</f>
        <v>2018-03-28 10:39:41</v>
      </c>
      <c r="M11961" s="1" t="s">
        <v>0</v>
      </c>
      <c r="N11961" s="1" t="s">
        <v>38</v>
      </c>
      <c r="O11961" s="1" t="s">
        <v>46</v>
      </c>
    </row>
    <row r="11962" spans="2:15" x14ac:dyDescent="0.3">
      <c r="B11962" s="1" t="s">
        <v>20</v>
      </c>
      <c r="C11962" s="1" t="str">
        <f t="shared" si="597"/>
        <v>3차</v>
      </c>
      <c r="D11962" s="1" t="str">
        <f>"9625X48239"</f>
        <v>9625X48239</v>
      </c>
      <c r="E11962" s="1" t="s">
        <v>10</v>
      </c>
      <c r="F11962" s="1" t="str">
        <f>"10.12.128.173"</f>
        <v>10.12.128.173</v>
      </c>
      <c r="G11962" s="1" t="str">
        <f>"9625X482"</f>
        <v>9625X482</v>
      </c>
      <c r="H11962" s="1" t="str">
        <f>"서교지 17R2"</f>
        <v>서교지 17R2</v>
      </c>
      <c r="I11962" s="1" t="s">
        <v>8</v>
      </c>
      <c r="J11962" s="1" t="str">
        <f>"2/2"</f>
        <v>2/2</v>
      </c>
      <c r="K11962" s="1" t="str">
        <f>"2026-07-29 13:18:11"</f>
        <v>2026-07-29 13:18:11</v>
      </c>
      <c r="L11962" s="1" t="str">
        <f>"2018-03-27 09:49:26"</f>
        <v>2018-03-27 09:49:26</v>
      </c>
      <c r="M11962" s="1" t="s">
        <v>0</v>
      </c>
      <c r="N11962" s="1" t="s">
        <v>38</v>
      </c>
      <c r="O11962" s="1" t="s">
        <v>46</v>
      </c>
    </row>
    <row r="11963" spans="2:15" x14ac:dyDescent="0.3">
      <c r="B11963" s="1" t="s">
        <v>20</v>
      </c>
      <c r="C11963" s="1" t="str">
        <f>"4차"</f>
        <v>4차</v>
      </c>
      <c r="D11963" s="1" t="str">
        <f>"9625X49139"</f>
        <v>9625X49139</v>
      </c>
      <c r="E11963" s="1" t="s">
        <v>10</v>
      </c>
      <c r="F11963" s="1" t="str">
        <f>"10.10.30.130"</f>
        <v>10.10.30.130</v>
      </c>
      <c r="G11963" s="1" t="str">
        <f>"9625X491"</f>
        <v>9625X491</v>
      </c>
      <c r="H11963" s="1" t="str">
        <f>"서교지 22"</f>
        <v>서교지 22</v>
      </c>
      <c r="I11963" s="1" t="s">
        <v>8</v>
      </c>
      <c r="J11963" s="1" t="str">
        <f>"15/18"</f>
        <v>15/18</v>
      </c>
      <c r="K11963" s="1" t="str">
        <f>"2026-07-29 13:18:11"</f>
        <v>2026-07-29 13:18:11</v>
      </c>
      <c r="L11963" s="1" t="str">
        <f>"2018-01-23 11:00:38"</f>
        <v>2018-01-23 11:00:38</v>
      </c>
      <c r="M11963" s="1" t="s">
        <v>1</v>
      </c>
      <c r="N11963" s="1" t="s">
        <v>38</v>
      </c>
      <c r="O11963" s="1" t="s">
        <v>46</v>
      </c>
    </row>
    <row r="11964" spans="2:15" x14ac:dyDescent="0.3">
      <c r="B11964" s="1" t="s">
        <v>20</v>
      </c>
      <c r="C11964" s="1" t="str">
        <f>"3차"</f>
        <v>3차</v>
      </c>
      <c r="D11964" s="1" t="str">
        <f>"9625X49339"</f>
        <v>9625X49339</v>
      </c>
      <c r="E11964" s="1" t="s">
        <v>10</v>
      </c>
      <c r="F11964" s="1" t="str">
        <f>"10.10.34.90"</f>
        <v>10.10.34.90</v>
      </c>
      <c r="G11964" s="1" t="str">
        <f>"9625X493"</f>
        <v>9625X493</v>
      </c>
      <c r="H11964" s="1" t="str">
        <f>"서교지 24L1"</f>
        <v>서교지 24L1</v>
      </c>
      <c r="I11964" s="1" t="s">
        <v>8</v>
      </c>
      <c r="J11964" s="1" t="str">
        <f>"5/5"</f>
        <v>5/5</v>
      </c>
      <c r="K11964" s="1" t="str">
        <f>"2026-07-29 13:18:11"</f>
        <v>2026-07-29 13:18:11</v>
      </c>
      <c r="L11964" s="1" t="str">
        <f>"2018-02-06 15:22:28"</f>
        <v>2018-02-06 15:22:28</v>
      </c>
      <c r="M11964" s="1" t="s">
        <v>1</v>
      </c>
      <c r="N11964" s="1" t="s">
        <v>38</v>
      </c>
      <c r="O11964" s="1" t="s">
        <v>46</v>
      </c>
    </row>
    <row r="11965" spans="2:15" x14ac:dyDescent="0.3">
      <c r="B11965" s="1" t="s">
        <v>20</v>
      </c>
      <c r="C11965" s="1" t="str">
        <f>"3차"</f>
        <v>3차</v>
      </c>
      <c r="D11965" s="1" t="str">
        <f>"9625X50139"</f>
        <v>9625X50139</v>
      </c>
      <c r="E11965" s="1" t="s">
        <v>10</v>
      </c>
      <c r="F11965" s="1" t="str">
        <f>"10.10.28.34"</f>
        <v>10.10.28.34</v>
      </c>
      <c r="G11965" s="1" t="str">
        <f>"9625X501"</f>
        <v>9625X501</v>
      </c>
      <c r="H11965" s="1" t="str">
        <f>"당포간 4"</f>
        <v>당포간 4</v>
      </c>
      <c r="I11965" s="1" t="s">
        <v>8</v>
      </c>
      <c r="J11965" s="1" t="str">
        <f>"48/48"</f>
        <v>48/48</v>
      </c>
      <c r="K11965" s="1" t="str">
        <f>"2026-07-29 13:18:10"</f>
        <v>2026-07-29 13:18:10</v>
      </c>
      <c r="L11965" s="1" t="str">
        <f>"2018-01-12 09:32:38"</f>
        <v>2018-01-12 09:32:38</v>
      </c>
      <c r="M11965" s="1" t="s">
        <v>1</v>
      </c>
      <c r="N11965" s="1" t="s">
        <v>38</v>
      </c>
      <c r="O11965" s="1" t="s">
        <v>46</v>
      </c>
    </row>
    <row r="11966" spans="2:15" x14ac:dyDescent="0.3">
      <c r="B11966" s="1" t="s">
        <v>20</v>
      </c>
      <c r="C11966" s="1" t="str">
        <f>"4차"</f>
        <v>4차</v>
      </c>
      <c r="D11966" s="1" t="str">
        <f>"9625X51139"</f>
        <v>9625X51139</v>
      </c>
      <c r="E11966" s="1" t="s">
        <v>10</v>
      </c>
      <c r="F11966" s="1" t="str">
        <f>"10.10.30.34"</f>
        <v>10.10.30.34</v>
      </c>
      <c r="G11966" s="1" t="str">
        <f>"9625X511"</f>
        <v>9625X511</v>
      </c>
      <c r="H11966" s="1" t="str">
        <f>"서교지 3"</f>
        <v>서교지 3</v>
      </c>
      <c r="I11966" s="1" t="s">
        <v>8</v>
      </c>
      <c r="J11966" s="1" t="str">
        <f>"18/18"</f>
        <v>18/18</v>
      </c>
      <c r="K11966" s="1" t="str">
        <f>"2026-07-29 13:18:10"</f>
        <v>2026-07-29 13:18:10</v>
      </c>
      <c r="L11966" s="1" t="str">
        <f>"2018-01-22 15:12:10"</f>
        <v>2018-01-22 15:12:10</v>
      </c>
      <c r="M11966" s="1" t="s">
        <v>1</v>
      </c>
      <c r="N11966" s="1" t="s">
        <v>38</v>
      </c>
      <c r="O11966" s="1" t="s">
        <v>46</v>
      </c>
    </row>
    <row r="11967" spans="2:15" x14ac:dyDescent="0.3">
      <c r="B11967" s="1" t="s">
        <v>20</v>
      </c>
      <c r="C11967" s="1" t="str">
        <f t="shared" ref="C11967:C11976" si="598">"3차"</f>
        <v>3차</v>
      </c>
      <c r="D11967" s="1" t="str">
        <f>"9625X51339"</f>
        <v>9625X51339</v>
      </c>
      <c r="E11967" s="1" t="s">
        <v>10</v>
      </c>
      <c r="F11967" s="1" t="str">
        <f>"10.10.35.170"</f>
        <v>10.10.35.170</v>
      </c>
      <c r="G11967" s="1" t="str">
        <f>"9625X513"</f>
        <v>9625X513</v>
      </c>
      <c r="H11967" s="1" t="str">
        <f>"서교지 3AR1"</f>
        <v>서교지 3AR1</v>
      </c>
      <c r="I11967" s="1" t="s">
        <v>8</v>
      </c>
      <c r="J11967" s="1" t="str">
        <f>"15/15"</f>
        <v>15/15</v>
      </c>
      <c r="K11967" s="1" t="str">
        <f>"2026-07-29 13:18:11"</f>
        <v>2026-07-29 13:18:11</v>
      </c>
      <c r="L11967" s="1" t="str">
        <f>"2018-02-07 15:01:56"</f>
        <v>2018-02-07 15:01:56</v>
      </c>
      <c r="M11967" s="1" t="s">
        <v>1</v>
      </c>
      <c r="N11967" s="1" t="s">
        <v>38</v>
      </c>
      <c r="O11967" s="1" t="s">
        <v>46</v>
      </c>
    </row>
    <row r="11968" spans="2:15" x14ac:dyDescent="0.3">
      <c r="B11968" s="1" t="s">
        <v>20</v>
      </c>
      <c r="C11968" s="1" t="str">
        <f t="shared" si="598"/>
        <v>3차</v>
      </c>
      <c r="D11968" s="1" t="str">
        <f>"9625X52139"</f>
        <v>9625X52139</v>
      </c>
      <c r="E11968" s="1" t="s">
        <v>10</v>
      </c>
      <c r="F11968" s="1" t="str">
        <f>"10.10.31.82"</f>
        <v>10.10.31.82</v>
      </c>
      <c r="G11968" s="1" t="str">
        <f>"9625X521"</f>
        <v>9625X521</v>
      </c>
      <c r="H11968" s="1" t="str">
        <f>"서교지 3R2"</f>
        <v>서교지 3R2</v>
      </c>
      <c r="I11968" s="1" t="s">
        <v>8</v>
      </c>
      <c r="J11968" s="1" t="str">
        <f>"15/15"</f>
        <v>15/15</v>
      </c>
      <c r="K11968" s="1" t="str">
        <f>"2026-07-29 13:18:11"</f>
        <v>2026-07-29 13:18:11</v>
      </c>
      <c r="L11968" s="1" t="str">
        <f>"2018-04-09 17:33:42"</f>
        <v>2018-04-09 17:33:42</v>
      </c>
      <c r="M11968" s="1" t="s">
        <v>1</v>
      </c>
      <c r="N11968" s="1" t="s">
        <v>38</v>
      </c>
      <c r="O11968" s="1" t="s">
        <v>46</v>
      </c>
    </row>
    <row r="11969" spans="2:15" x14ac:dyDescent="0.3">
      <c r="B11969" s="1" t="s">
        <v>20</v>
      </c>
      <c r="C11969" s="1" t="str">
        <f t="shared" si="598"/>
        <v>3차</v>
      </c>
      <c r="D11969" s="1" t="str">
        <f>"9625X52339"</f>
        <v>9625X52339</v>
      </c>
      <c r="E11969" s="1" t="s">
        <v>10</v>
      </c>
      <c r="F11969" s="1" t="str">
        <f>"10.10.31.74"</f>
        <v>10.10.31.74</v>
      </c>
      <c r="G11969" s="1" t="str">
        <f>"9625X523"</f>
        <v>9625X523</v>
      </c>
      <c r="H11969" s="1" t="str">
        <f>"서교지 3R1"</f>
        <v>서교지 3R1</v>
      </c>
      <c r="I11969" s="1" t="s">
        <v>8</v>
      </c>
      <c r="J11969" s="1" t="str">
        <f>"5/5"</f>
        <v>5/5</v>
      </c>
      <c r="K11969" s="1" t="str">
        <f>"2026-07-29 13:18:10"</f>
        <v>2026-07-29 13:18:10</v>
      </c>
      <c r="L11969" s="1" t="str">
        <f>"2018-02-07 11:57:09"</f>
        <v>2018-02-07 11:57:09</v>
      </c>
      <c r="M11969" s="1" t="s">
        <v>1</v>
      </c>
      <c r="N11969" s="1" t="s">
        <v>38</v>
      </c>
      <c r="O11969" s="1" t="s">
        <v>46</v>
      </c>
    </row>
    <row r="11970" spans="2:15" x14ac:dyDescent="0.3">
      <c r="B11970" s="1" t="s">
        <v>20</v>
      </c>
      <c r="C11970" s="1" t="str">
        <f t="shared" si="598"/>
        <v>3차</v>
      </c>
      <c r="D11970" s="1" t="str">
        <f>"9625X53130"</f>
        <v>9625X53130</v>
      </c>
      <c r="E11970" s="1" t="s">
        <v>10</v>
      </c>
      <c r="F11970" s="1" t="str">
        <f>"10.10.31.114"</f>
        <v>10.10.31.114</v>
      </c>
      <c r="G11970" s="1" t="str">
        <f>"9625X531"</f>
        <v>9625X531</v>
      </c>
      <c r="H11970" s="1" t="str">
        <f>"서교지 3R3L1"</f>
        <v>서교지 3R3L1</v>
      </c>
      <c r="I11970" s="1" t="s">
        <v>8</v>
      </c>
      <c r="J11970" s="1" t="str">
        <f>"12/12"</f>
        <v>12/12</v>
      </c>
      <c r="K11970" s="1" t="str">
        <f>"2026-07-29 13:18:10"</f>
        <v>2026-07-29 13:18:10</v>
      </c>
      <c r="L11970" s="1" t="str">
        <f>"2018-03-27 15:42:59"</f>
        <v>2018-03-27 15:42:59</v>
      </c>
      <c r="M11970" s="1" t="s">
        <v>1</v>
      </c>
      <c r="N11970" s="1" t="s">
        <v>38</v>
      </c>
      <c r="O11970" s="1" t="s">
        <v>46</v>
      </c>
    </row>
    <row r="11971" spans="2:15" x14ac:dyDescent="0.3">
      <c r="B11971" s="1" t="s">
        <v>20</v>
      </c>
      <c r="C11971" s="1" t="str">
        <f t="shared" si="598"/>
        <v>3차</v>
      </c>
      <c r="D11971" s="1" t="str">
        <f>"9625X53231"</f>
        <v>9625X53231</v>
      </c>
      <c r="E11971" s="1" t="s">
        <v>10</v>
      </c>
      <c r="F11971" s="1" t="str">
        <f>"10.10.31.115"</f>
        <v>10.10.31.115</v>
      </c>
      <c r="G11971" s="1" t="str">
        <f>"9625X532"</f>
        <v>9625X532</v>
      </c>
      <c r="H11971" s="1" t="str">
        <f>"서교지 3R3L2"</f>
        <v>서교지 3R3L2</v>
      </c>
      <c r="I11971" s="1" t="s">
        <v>8</v>
      </c>
      <c r="J11971" s="1" t="str">
        <f>"11/13"</f>
        <v>11/13</v>
      </c>
      <c r="K11971" s="1" t="str">
        <f>"2026-07-29 13:18:10"</f>
        <v>2026-07-29 13:18:10</v>
      </c>
      <c r="L11971" s="1" t="str">
        <f>"2018-04-25 09:34:09"</f>
        <v>2018-04-25 09:34:09</v>
      </c>
      <c r="M11971" s="1" t="s">
        <v>1</v>
      </c>
      <c r="N11971" s="1" t="s">
        <v>38</v>
      </c>
      <c r="O11971" s="1" t="s">
        <v>46</v>
      </c>
    </row>
    <row r="11972" spans="2:15" x14ac:dyDescent="0.3">
      <c r="B11972" s="1" t="s">
        <v>20</v>
      </c>
      <c r="C11972" s="1" t="str">
        <f t="shared" si="598"/>
        <v>3차</v>
      </c>
      <c r="D11972" s="1" t="str">
        <f>"9625X55339"</f>
        <v>9625X55339</v>
      </c>
      <c r="E11972" s="1" t="s">
        <v>10</v>
      </c>
      <c r="F11972" s="1" t="str">
        <f>"10.12.128.176"</f>
        <v>10.12.128.176</v>
      </c>
      <c r="G11972" s="1" t="str">
        <f>"9625X553"</f>
        <v>9625X553</v>
      </c>
      <c r="H11972" s="1" t="str">
        <f>"서교지 3R5L4"</f>
        <v>서교지 3R5L4</v>
      </c>
      <c r="I11972" s="1" t="s">
        <v>8</v>
      </c>
      <c r="J11972" s="1" t="str">
        <f>"10/10"</f>
        <v>10/10</v>
      </c>
      <c r="K11972" s="1" t="str">
        <f>"2026-07-29 13:18:11"</f>
        <v>2026-07-29 13:18:11</v>
      </c>
      <c r="L11972" s="1" t="str">
        <f>"2018-03-26 17:38:43"</f>
        <v>2018-03-26 17:38:43</v>
      </c>
      <c r="M11972" s="1" t="s">
        <v>0</v>
      </c>
      <c r="N11972" s="1" t="s">
        <v>38</v>
      </c>
      <c r="O11972" s="1" t="s">
        <v>46</v>
      </c>
    </row>
    <row r="11973" spans="2:15" x14ac:dyDescent="0.3">
      <c r="B11973" s="1" t="s">
        <v>20</v>
      </c>
      <c r="C11973" s="1" t="str">
        <f t="shared" si="598"/>
        <v>3차</v>
      </c>
      <c r="D11973" s="1" t="str">
        <f>"9625X56239"</f>
        <v>9625X56239</v>
      </c>
      <c r="E11973" s="1" t="s">
        <v>10</v>
      </c>
      <c r="F11973" s="1" t="str">
        <f>"10.12.130.53"</f>
        <v>10.12.130.53</v>
      </c>
      <c r="G11973" s="1" t="str">
        <f>"9625X562"</f>
        <v>9625X562</v>
      </c>
      <c r="H11973" s="1" t="str">
        <f>"서교지 3R7L2L3"</f>
        <v>서교지 3R7L2L3</v>
      </c>
      <c r="I11973" s="1" t="s">
        <v>8</v>
      </c>
      <c r="J11973" s="1" t="str">
        <f>"21/22"</f>
        <v>21/22</v>
      </c>
      <c r="K11973" s="1" t="str">
        <f>"2026-07-29 13:18:11"</f>
        <v>2026-07-29 13:18:11</v>
      </c>
      <c r="L11973" s="1" t="str">
        <f>"2018-03-26 16:07:57"</f>
        <v>2018-03-26 16:07:57</v>
      </c>
      <c r="M11973" s="1" t="s">
        <v>0</v>
      </c>
      <c r="N11973" s="1" t="s">
        <v>38</v>
      </c>
      <c r="O11973" s="1" t="s">
        <v>46</v>
      </c>
    </row>
    <row r="11974" spans="2:15" x14ac:dyDescent="0.3">
      <c r="B11974" s="1" t="s">
        <v>20</v>
      </c>
      <c r="C11974" s="1" t="str">
        <f t="shared" si="598"/>
        <v>3차</v>
      </c>
      <c r="D11974" s="1" t="str">
        <f>"9625X59339"</f>
        <v>9625X59339</v>
      </c>
      <c r="E11974" s="1" t="s">
        <v>10</v>
      </c>
      <c r="F11974" s="1" t="str">
        <f>"10.10.30.138"</f>
        <v>10.10.30.138</v>
      </c>
      <c r="G11974" s="1" t="str">
        <f>"9625X593"</f>
        <v>9625X593</v>
      </c>
      <c r="H11974" s="1" t="str">
        <f>"서교지 24"</f>
        <v>서교지 24</v>
      </c>
      <c r="I11974" s="1" t="s">
        <v>8</v>
      </c>
      <c r="J11974" s="1" t="str">
        <f>"6/6"</f>
        <v>6/6</v>
      </c>
      <c r="K11974" s="1" t="str">
        <f>"2026-07-29 13:18:10"</f>
        <v>2026-07-29 13:18:10</v>
      </c>
      <c r="L11974" s="1" t="str">
        <f>"2018-01-23 11:22:40"</f>
        <v>2018-01-23 11:22:40</v>
      </c>
      <c r="M11974" s="1" t="s">
        <v>1</v>
      </c>
      <c r="N11974" s="1" t="s">
        <v>38</v>
      </c>
      <c r="O11974" s="1" t="s">
        <v>46</v>
      </c>
    </row>
    <row r="11975" spans="2:15" x14ac:dyDescent="0.3">
      <c r="B11975" s="1" t="s">
        <v>20</v>
      </c>
      <c r="C11975" s="1" t="str">
        <f t="shared" si="598"/>
        <v>3차</v>
      </c>
      <c r="D11975" s="1" t="str">
        <f>"9625X59539"</f>
        <v>9625X59539</v>
      </c>
      <c r="E11975" s="1" t="s">
        <v>14</v>
      </c>
      <c r="F11975" s="1" t="str">
        <f>"10.12.128.133"</f>
        <v>10.12.128.133</v>
      </c>
      <c r="G11975" s="1" t="str">
        <f>"9625X595"</f>
        <v>9625X595</v>
      </c>
      <c r="H11975" s="1" t="str">
        <f>"양화간 58H1"</f>
        <v>양화간 58H1</v>
      </c>
      <c r="I11975" s="1" t="s">
        <v>8</v>
      </c>
      <c r="J11975" s="1" t="str">
        <f>"0/0"</f>
        <v>0/0</v>
      </c>
      <c r="K11975" s="1" t="str">
        <f>"2026-07-28 13:18:10"</f>
        <v>2026-07-28 13:18:10</v>
      </c>
      <c r="L11975" s="1" t="str">
        <f>"2018-03-27 10:28:42"</f>
        <v>2018-03-27 10:28:42</v>
      </c>
      <c r="M11975" s="1" t="s">
        <v>0</v>
      </c>
      <c r="N11975" s="1" t="s">
        <v>39</v>
      </c>
      <c r="O11975" s="1" t="s">
        <v>46</v>
      </c>
    </row>
    <row r="11976" spans="2:15" x14ac:dyDescent="0.3">
      <c r="B11976" s="1" t="s">
        <v>20</v>
      </c>
      <c r="C11976" s="1" t="str">
        <f t="shared" si="598"/>
        <v>3차</v>
      </c>
      <c r="D11976" s="1" t="str">
        <f>"9625X60439"</f>
        <v>9625X60439</v>
      </c>
      <c r="E11976" s="1" t="s">
        <v>10</v>
      </c>
      <c r="F11976" s="1" t="str">
        <f>"10.12.128.69"</f>
        <v>10.12.128.69</v>
      </c>
      <c r="G11976" s="1" t="str">
        <f>"9625X604"</f>
        <v>9625X604</v>
      </c>
      <c r="H11976" s="1" t="str">
        <f>"극동간 4H1"</f>
        <v>극동간 4H1</v>
      </c>
      <c r="I11976" s="1" t="s">
        <v>8</v>
      </c>
      <c r="J11976" s="1" t="str">
        <f>"18/18"</f>
        <v>18/18</v>
      </c>
      <c r="K11976" s="1" t="str">
        <f>"2026-07-29 13:18:11"</f>
        <v>2026-07-29 13:18:11</v>
      </c>
      <c r="L11976" s="1" t="str">
        <f>"2018-03-29 08:06:10"</f>
        <v>2018-03-29 08:06:10</v>
      </c>
      <c r="M11976" s="1" t="s">
        <v>0</v>
      </c>
      <c r="N11976" s="1" t="s">
        <v>38</v>
      </c>
      <c r="O11976" s="1" t="s">
        <v>46</v>
      </c>
    </row>
    <row r="11977" spans="2:15" x14ac:dyDescent="0.3">
      <c r="B11977" s="1" t="s">
        <v>20</v>
      </c>
      <c r="C11977" s="1" t="str">
        <f>"4차"</f>
        <v>4차</v>
      </c>
      <c r="D11977" s="1" t="str">
        <f>"9625X61139"</f>
        <v>9625X61139</v>
      </c>
      <c r="E11977" s="1" t="s">
        <v>10</v>
      </c>
      <c r="F11977" s="1" t="str">
        <f>"10.10.31.10"</f>
        <v>10.10.31.10</v>
      </c>
      <c r="G11977" s="1" t="str">
        <f>"9625X611"</f>
        <v>9625X611</v>
      </c>
      <c r="H11977" s="1" t="str">
        <f>"서교지 3AR2"</f>
        <v>서교지 3AR2</v>
      </c>
      <c r="I11977" s="1" t="s">
        <v>8</v>
      </c>
      <c r="J11977" s="1" t="str">
        <f>"1/1"</f>
        <v>1/1</v>
      </c>
      <c r="K11977" s="1" t="str">
        <f t="shared" ref="K11977:K11982" si="599">"2026-07-29 13:18:10"</f>
        <v>2026-07-29 13:18:10</v>
      </c>
      <c r="L11977" s="1" t="str">
        <f>"2018-03-19 15:20:56"</f>
        <v>2018-03-19 15:20:56</v>
      </c>
      <c r="M11977" s="1" t="s">
        <v>1</v>
      </c>
      <c r="N11977" s="1" t="s">
        <v>38</v>
      </c>
      <c r="O11977" s="1" t="s">
        <v>46</v>
      </c>
    </row>
    <row r="11978" spans="2:15" x14ac:dyDescent="0.3">
      <c r="B11978" s="1" t="s">
        <v>20</v>
      </c>
      <c r="C11978" s="1" t="str">
        <f>"3차"</f>
        <v>3차</v>
      </c>
      <c r="D11978" s="1" t="str">
        <f>"9625X61239"</f>
        <v>9625X61239</v>
      </c>
      <c r="E11978" s="1" t="s">
        <v>10</v>
      </c>
      <c r="F11978" s="1" t="str">
        <f>"10.10.31.26"</f>
        <v>10.10.31.26</v>
      </c>
      <c r="G11978" s="1" t="str">
        <f>"9625X612"</f>
        <v>9625X612</v>
      </c>
      <c r="H11978" s="1" t="str">
        <f>"서교지 3AR3"</f>
        <v>서교지 3AR3</v>
      </c>
      <c r="I11978" s="1" t="s">
        <v>8</v>
      </c>
      <c r="J11978" s="1" t="str">
        <f>"24/24"</f>
        <v>24/24</v>
      </c>
      <c r="K11978" s="1" t="str">
        <f t="shared" si="599"/>
        <v>2026-07-29 13:18:10</v>
      </c>
      <c r="L11978" s="1" t="str">
        <f>"2018-03-19 15:25:26"</f>
        <v>2018-03-19 15:25:26</v>
      </c>
      <c r="M11978" s="1" t="s">
        <v>1</v>
      </c>
      <c r="N11978" s="1" t="s">
        <v>38</v>
      </c>
      <c r="O11978" s="1" t="s">
        <v>46</v>
      </c>
    </row>
    <row r="11979" spans="2:15" x14ac:dyDescent="0.3">
      <c r="B11979" s="1" t="s">
        <v>20</v>
      </c>
      <c r="C11979" s="1" t="str">
        <f>"4차"</f>
        <v>4차</v>
      </c>
      <c r="D11979" s="1" t="str">
        <f>"9625X62139"</f>
        <v>9625X62139</v>
      </c>
      <c r="E11979" s="1" t="s">
        <v>10</v>
      </c>
      <c r="F11979" s="1" t="str">
        <f>"10.10.31.18"</f>
        <v>10.10.31.18</v>
      </c>
      <c r="G11979" s="1" t="str">
        <f>"9625X621"</f>
        <v>9625X621</v>
      </c>
      <c r="H11979" s="1" t="str">
        <f>"서교지 3AR2L1"</f>
        <v>서교지 3AR2L1</v>
      </c>
      <c r="I11979" s="1" t="s">
        <v>8</v>
      </c>
      <c r="J11979" s="1" t="str">
        <f>"32/32"</f>
        <v>32/32</v>
      </c>
      <c r="K11979" s="1" t="str">
        <f t="shared" si="599"/>
        <v>2026-07-29 13:18:10</v>
      </c>
      <c r="L11979" s="1" t="str">
        <f>"2018-01-25 14:46:17"</f>
        <v>2018-01-25 14:46:17</v>
      </c>
      <c r="M11979" s="1" t="s">
        <v>1</v>
      </c>
      <c r="N11979" s="1" t="s">
        <v>38</v>
      </c>
      <c r="O11979" s="1" t="s">
        <v>46</v>
      </c>
    </row>
    <row r="11980" spans="2:15" x14ac:dyDescent="0.3">
      <c r="B11980" s="1" t="s">
        <v>20</v>
      </c>
      <c r="C11980" s="1" t="str">
        <f>"3차"</f>
        <v>3차</v>
      </c>
      <c r="D11980" s="1" t="str">
        <f>"9625X63139"</f>
        <v>9625X63139</v>
      </c>
      <c r="E11980" s="1" t="s">
        <v>10</v>
      </c>
      <c r="F11980" s="1" t="str">
        <f>"10.10.28.2"</f>
        <v>10.10.28.2</v>
      </c>
      <c r="G11980" s="1" t="str">
        <f>"9625X631"</f>
        <v>9625X631</v>
      </c>
      <c r="H11980" s="1" t="str">
        <f>"서교지 3R3"</f>
        <v>서교지 3R3</v>
      </c>
      <c r="I11980" s="1" t="s">
        <v>8</v>
      </c>
      <c r="J11980" s="1" t="str">
        <f>"7/13"</f>
        <v>7/13</v>
      </c>
      <c r="K11980" s="1" t="str">
        <f t="shared" si="599"/>
        <v>2026-07-29 13:18:10</v>
      </c>
      <c r="L11980" s="1" t="str">
        <f>"2018-01-23 11:39:09"</f>
        <v>2018-01-23 11:39:09</v>
      </c>
      <c r="M11980" s="1" t="s">
        <v>1</v>
      </c>
      <c r="N11980" s="1" t="s">
        <v>38</v>
      </c>
      <c r="O11980" s="1" t="s">
        <v>46</v>
      </c>
    </row>
    <row r="11981" spans="2:15" x14ac:dyDescent="0.3">
      <c r="B11981" s="1" t="s">
        <v>20</v>
      </c>
      <c r="C11981" s="1" t="str">
        <f>"3차"</f>
        <v>3차</v>
      </c>
      <c r="D11981" s="1" t="str">
        <f>"9625X63630"</f>
        <v>9625X63630</v>
      </c>
      <c r="E11981" s="1" t="s">
        <v>10</v>
      </c>
      <c r="F11981" s="1" t="str">
        <f>"10.10.31.154"</f>
        <v>10.10.31.154</v>
      </c>
      <c r="G11981" s="1" t="str">
        <f>"9625X636"</f>
        <v>9625X636</v>
      </c>
      <c r="H11981" s="1" t="str">
        <f>"서교지 3R3R1"</f>
        <v>서교지 3R3R1</v>
      </c>
      <c r="I11981" s="1" t="s">
        <v>8</v>
      </c>
      <c r="J11981" s="1" t="str">
        <f>"9/9"</f>
        <v>9/9</v>
      </c>
      <c r="K11981" s="1" t="str">
        <f t="shared" si="599"/>
        <v>2026-07-29 13:18:10</v>
      </c>
      <c r="L11981" s="1" t="str">
        <f>"2018-01-23 16:55:40"</f>
        <v>2018-01-23 16:55:40</v>
      </c>
      <c r="M11981" s="1" t="s">
        <v>1</v>
      </c>
      <c r="N11981" s="1" t="s">
        <v>38</v>
      </c>
      <c r="O11981" s="1" t="s">
        <v>46</v>
      </c>
    </row>
    <row r="11982" spans="2:15" x14ac:dyDescent="0.3">
      <c r="B11982" s="1" t="s">
        <v>20</v>
      </c>
      <c r="C11982" s="1" t="str">
        <f>"3차"</f>
        <v>3차</v>
      </c>
      <c r="D11982" s="1" t="str">
        <f>"9625X64239"</f>
        <v>9625X64239</v>
      </c>
      <c r="E11982" s="1" t="s">
        <v>10</v>
      </c>
      <c r="F11982" s="1" t="str">
        <f>"10.10.34.162"</f>
        <v>10.10.34.162</v>
      </c>
      <c r="G11982" s="1" t="str">
        <f>"9625X642"</f>
        <v>9625X642</v>
      </c>
      <c r="H11982" s="1" t="str">
        <f>"서교지 3R5L1"</f>
        <v>서교지 3R5L1</v>
      </c>
      <c r="I11982" s="1" t="s">
        <v>8</v>
      </c>
      <c r="J11982" s="1" t="str">
        <f>"78/88"</f>
        <v>78/88</v>
      </c>
      <c r="K11982" s="1" t="str">
        <f t="shared" si="599"/>
        <v>2026-07-29 13:18:10</v>
      </c>
      <c r="L11982" s="1" t="str">
        <f>"2018-02-07 15:05:25"</f>
        <v>2018-02-07 15:05:25</v>
      </c>
      <c r="M11982" s="1" t="s">
        <v>1</v>
      </c>
      <c r="N11982" s="1" t="s">
        <v>38</v>
      </c>
      <c r="O11982" s="1" t="s">
        <v>46</v>
      </c>
    </row>
    <row r="11983" spans="2:15" x14ac:dyDescent="0.3">
      <c r="B11983" s="1" t="s">
        <v>20</v>
      </c>
      <c r="C11983" s="1" t="str">
        <f>"4차"</f>
        <v>4차</v>
      </c>
      <c r="D11983" s="1" t="str">
        <f>"9625X64439"</f>
        <v>9625X64439</v>
      </c>
      <c r="E11983" s="1" t="s">
        <v>10</v>
      </c>
      <c r="F11983" s="1" t="str">
        <f>"10.12.128.106"</f>
        <v>10.12.128.106</v>
      </c>
      <c r="G11983" s="1" t="str">
        <f>"9625X644"</f>
        <v>9625X644</v>
      </c>
      <c r="H11983" s="1" t="str">
        <f>"서교지 3R5"</f>
        <v>서교지 3R5</v>
      </c>
      <c r="I11983" s="1" t="s">
        <v>8</v>
      </c>
      <c r="J11983" s="1" t="str">
        <f>"4/5"</f>
        <v>4/5</v>
      </c>
      <c r="K11983" s="1" t="str">
        <f>"2026-07-29 13:18:11"</f>
        <v>2026-07-29 13:18:11</v>
      </c>
      <c r="L11983" s="1" t="str">
        <f>"2018-03-27 08:30:27"</f>
        <v>2018-03-27 08:30:27</v>
      </c>
      <c r="M11983" s="1" t="s">
        <v>0</v>
      </c>
      <c r="N11983" s="1" t="s">
        <v>38</v>
      </c>
      <c r="O11983" s="1" t="s">
        <v>46</v>
      </c>
    </row>
    <row r="11984" spans="2:15" x14ac:dyDescent="0.3">
      <c r="B11984" s="1" t="s">
        <v>20</v>
      </c>
      <c r="C11984" s="1" t="str">
        <f t="shared" ref="C11984:C11990" si="600">"3차"</f>
        <v>3차</v>
      </c>
      <c r="D11984" s="1" t="str">
        <f>"9625X65139"</f>
        <v>9625X65139</v>
      </c>
      <c r="E11984" s="1" t="s">
        <v>10</v>
      </c>
      <c r="F11984" s="1" t="str">
        <f>"10.14.14.125"</f>
        <v>10.14.14.125</v>
      </c>
      <c r="G11984" s="1" t="str">
        <f>"9625X651"</f>
        <v>9625X651</v>
      </c>
      <c r="H11984" s="1" t="str">
        <f>"서교지 3R7L2"</f>
        <v>서교지 3R7L2</v>
      </c>
      <c r="I11984" s="1" t="s">
        <v>8</v>
      </c>
      <c r="J11984" s="1" t="str">
        <f>"17/17"</f>
        <v>17/17</v>
      </c>
      <c r="K11984" s="1" t="str">
        <f>"2026-07-29 13:18:11"</f>
        <v>2026-07-29 13:18:11</v>
      </c>
      <c r="L11984" s="1" t="str">
        <f>"2018-04-03 15:18:43"</f>
        <v>2018-04-03 15:18:43</v>
      </c>
      <c r="M11984" s="1" t="s">
        <v>3</v>
      </c>
      <c r="N11984" s="1" t="s">
        <v>38</v>
      </c>
      <c r="O11984" s="1" t="s">
        <v>46</v>
      </c>
    </row>
    <row r="11985" spans="2:15" x14ac:dyDescent="0.3">
      <c r="B11985" s="1" t="s">
        <v>20</v>
      </c>
      <c r="C11985" s="1" t="str">
        <f t="shared" si="600"/>
        <v>3차</v>
      </c>
      <c r="D11985" s="1" t="str">
        <f>"9625X65339"</f>
        <v>9625X65339</v>
      </c>
      <c r="E11985" s="1" t="s">
        <v>10</v>
      </c>
      <c r="F11985" s="1" t="str">
        <f>"10.12.128.181"</f>
        <v>10.12.128.181</v>
      </c>
      <c r="G11985" s="1" t="str">
        <f>"9625X653"</f>
        <v>9625X653</v>
      </c>
      <c r="H11985" s="1" t="str">
        <f>"서교지 3R7L2L1"</f>
        <v>서교지 3R7L2L1</v>
      </c>
      <c r="I11985" s="1" t="s">
        <v>8</v>
      </c>
      <c r="J11985" s="1" t="str">
        <f>"5/5"</f>
        <v>5/5</v>
      </c>
      <c r="K11985" s="1" t="str">
        <f>"2026-07-29 13:18:11"</f>
        <v>2026-07-29 13:18:11</v>
      </c>
      <c r="L11985" s="1" t="str">
        <f>"2018-03-26 16:49:28"</f>
        <v>2018-03-26 16:49:28</v>
      </c>
      <c r="M11985" s="1" t="s">
        <v>0</v>
      </c>
      <c r="N11985" s="1" t="s">
        <v>38</v>
      </c>
      <c r="O11985" s="1" t="s">
        <v>46</v>
      </c>
    </row>
    <row r="11986" spans="2:15" x14ac:dyDescent="0.3">
      <c r="B11986" s="1" t="s">
        <v>20</v>
      </c>
      <c r="C11986" s="1" t="str">
        <f t="shared" si="600"/>
        <v>3차</v>
      </c>
      <c r="D11986" s="1" t="str">
        <f>"9625X66239"</f>
        <v>9625X66239</v>
      </c>
      <c r="E11986" s="1" t="s">
        <v>10</v>
      </c>
      <c r="F11986" s="1" t="str">
        <f>"10.10.31.178"</f>
        <v>10.10.31.178</v>
      </c>
      <c r="G11986" s="1" t="str">
        <f>"9625X662"</f>
        <v>9625X662</v>
      </c>
      <c r="H11986" s="1" t="str">
        <f>"서교지 3R7L4"</f>
        <v>서교지 3R7L4</v>
      </c>
      <c r="I11986" s="1" t="s">
        <v>8</v>
      </c>
      <c r="J11986" s="1" t="str">
        <f>"19/19"</f>
        <v>19/19</v>
      </c>
      <c r="K11986" s="1" t="str">
        <f>"2026-07-29 13:18:10"</f>
        <v>2026-07-29 13:18:10</v>
      </c>
      <c r="L11986" s="1" t="str">
        <f>"2018-02-07 14:47:20"</f>
        <v>2018-02-07 14:47:20</v>
      </c>
      <c r="M11986" s="1" t="s">
        <v>1</v>
      </c>
      <c r="N11986" s="1" t="s">
        <v>38</v>
      </c>
      <c r="O11986" s="1" t="s">
        <v>46</v>
      </c>
    </row>
    <row r="11987" spans="2:15" x14ac:dyDescent="0.3">
      <c r="B11987" s="1" t="s">
        <v>20</v>
      </c>
      <c r="C11987" s="1" t="str">
        <f t="shared" si="600"/>
        <v>3차</v>
      </c>
      <c r="D11987" s="1" t="str">
        <f>"9625X68239"</f>
        <v>9625X68239</v>
      </c>
      <c r="E11987" s="1" t="s">
        <v>10</v>
      </c>
      <c r="F11987" s="1" t="str">
        <f>"10.10.30.154"</f>
        <v>10.10.30.154</v>
      </c>
      <c r="G11987" s="1" t="str">
        <f>"9625X682"</f>
        <v>9625X682</v>
      </c>
      <c r="H11987" s="1" t="str">
        <f>"서교지 27"</f>
        <v>서교지 27</v>
      </c>
      <c r="I11987" s="1" t="s">
        <v>8</v>
      </c>
      <c r="J11987" s="1" t="str">
        <f>"2/2"</f>
        <v>2/2</v>
      </c>
      <c r="K11987" s="1" t="str">
        <f>"2026-07-29 13:18:10"</f>
        <v>2026-07-29 13:18:10</v>
      </c>
      <c r="L11987" s="1" t="str">
        <f>"2018-03-28 10:46:11"</f>
        <v>2018-03-28 10:46:11</v>
      </c>
      <c r="M11987" s="1" t="s">
        <v>1</v>
      </c>
      <c r="N11987" s="1" t="s">
        <v>38</v>
      </c>
      <c r="O11987" s="1" t="s">
        <v>46</v>
      </c>
    </row>
    <row r="11988" spans="2:15" x14ac:dyDescent="0.3">
      <c r="B11988" s="1" t="s">
        <v>20</v>
      </c>
      <c r="C11988" s="1" t="str">
        <f t="shared" si="600"/>
        <v>3차</v>
      </c>
      <c r="D11988" s="1" t="str">
        <f>"9625X69339"</f>
        <v>9625X69339</v>
      </c>
      <c r="E11988" s="1" t="s">
        <v>10</v>
      </c>
      <c r="F11988" s="1" t="str">
        <f>"10.10.35.130"</f>
        <v>10.10.35.130</v>
      </c>
      <c r="G11988" s="1" t="str">
        <f>"9625X693"</f>
        <v>9625X693</v>
      </c>
      <c r="H11988" s="1" t="str">
        <f>"양화간 54R2"</f>
        <v>양화간 54R2</v>
      </c>
      <c r="I11988" s="1" t="s">
        <v>8</v>
      </c>
      <c r="J11988" s="1" t="str">
        <f>"2/2"</f>
        <v>2/2</v>
      </c>
      <c r="K11988" s="1" t="str">
        <f>"2026-07-29 13:18:11"</f>
        <v>2026-07-29 13:18:11</v>
      </c>
      <c r="L11988" s="1" t="str">
        <f>"2018-03-23 16:52:58"</f>
        <v>2018-03-23 16:52:58</v>
      </c>
      <c r="M11988" s="1" t="s">
        <v>1</v>
      </c>
      <c r="N11988" s="1" t="s">
        <v>38</v>
      </c>
      <c r="O11988" s="1" t="s">
        <v>46</v>
      </c>
    </row>
    <row r="11989" spans="2:15" x14ac:dyDescent="0.3">
      <c r="B11989" s="1" t="s">
        <v>20</v>
      </c>
      <c r="C11989" s="1" t="str">
        <f t="shared" si="600"/>
        <v>3차</v>
      </c>
      <c r="D11989" s="1" t="str">
        <f>"9625X69431"</f>
        <v>9625X69431</v>
      </c>
      <c r="E11989" s="1" t="s">
        <v>10</v>
      </c>
      <c r="F11989" s="1" t="str">
        <f>"10.10.35.123"</f>
        <v>10.10.35.123</v>
      </c>
      <c r="G11989" s="1" t="str">
        <f>"9625X694"</f>
        <v>9625X694</v>
      </c>
      <c r="H11989" s="1" t="str">
        <f>"양화간 54"</f>
        <v>양화간 54</v>
      </c>
      <c r="I11989" s="1" t="s">
        <v>8</v>
      </c>
      <c r="J11989" s="1" t="str">
        <f>"8/8"</f>
        <v>8/8</v>
      </c>
      <c r="K11989" s="1" t="str">
        <f>"2026-07-29 13:18:10"</f>
        <v>2026-07-29 13:18:10</v>
      </c>
      <c r="L11989" s="1" t="str">
        <f>"2018-02-23 11:00:40"</f>
        <v>2018-02-23 11:00:40</v>
      </c>
      <c r="M11989" s="1" t="s">
        <v>1</v>
      </c>
      <c r="N11989" s="1" t="s">
        <v>38</v>
      </c>
      <c r="O11989" s="1" t="s">
        <v>46</v>
      </c>
    </row>
    <row r="11990" spans="2:15" x14ac:dyDescent="0.3">
      <c r="B11990" s="1" t="s">
        <v>20</v>
      </c>
      <c r="C11990" s="1" t="str">
        <f t="shared" si="600"/>
        <v>3차</v>
      </c>
      <c r="D11990" s="1" t="str">
        <f>"9625X72131"</f>
        <v>9625X72131</v>
      </c>
      <c r="E11990" s="1" t="s">
        <v>10</v>
      </c>
      <c r="F11990" s="1" t="str">
        <f>"10.10.31.155"</f>
        <v>10.10.31.155</v>
      </c>
      <c r="G11990" s="1" t="str">
        <f>"9625X721"</f>
        <v>9625X721</v>
      </c>
      <c r="H11990" s="1" t="str">
        <f>"서교지 3R3R3"</f>
        <v>서교지 3R3R3</v>
      </c>
      <c r="I11990" s="1" t="s">
        <v>8</v>
      </c>
      <c r="J11990" s="1" t="str">
        <f>"33/33"</f>
        <v>33/33</v>
      </c>
      <c r="K11990" s="1" t="str">
        <f>"2026-07-29 13:18:10"</f>
        <v>2026-07-29 13:18:10</v>
      </c>
      <c r="L11990" s="1" t="str">
        <f>"2018-02-23 16:39:28"</f>
        <v>2018-02-23 16:39:28</v>
      </c>
      <c r="M11990" s="1" t="s">
        <v>1</v>
      </c>
      <c r="N11990" s="1" t="s">
        <v>38</v>
      </c>
      <c r="O11990" s="1" t="s">
        <v>46</v>
      </c>
    </row>
    <row r="11991" spans="2:15" x14ac:dyDescent="0.3">
      <c r="B11991" s="1" t="s">
        <v>20</v>
      </c>
      <c r="C11991" s="1" t="str">
        <f>"4차"</f>
        <v>4차</v>
      </c>
      <c r="D11991" s="1" t="str">
        <f>"9625X72339"</f>
        <v>9625X72339</v>
      </c>
      <c r="E11991" s="1" t="s">
        <v>10</v>
      </c>
      <c r="F11991" s="1" t="str">
        <f>"10.10.31.34"</f>
        <v>10.10.31.34</v>
      </c>
      <c r="G11991" s="1" t="str">
        <f>"9625X723"</f>
        <v>9625X723</v>
      </c>
      <c r="H11991" s="1" t="str">
        <f>"서교지 3AR5L1"</f>
        <v>서교지 3AR5L1</v>
      </c>
      <c r="I11991" s="1" t="s">
        <v>8</v>
      </c>
      <c r="J11991" s="1" t="str">
        <f>"2/2"</f>
        <v>2/2</v>
      </c>
      <c r="K11991" s="1" t="str">
        <f>"2026-07-29 13:18:11"</f>
        <v>2026-07-29 13:18:11</v>
      </c>
      <c r="L11991" s="1" t="str">
        <f>"2018-01-25 14:52:55"</f>
        <v>2018-01-25 14:52:55</v>
      </c>
      <c r="M11991" s="1" t="s">
        <v>1</v>
      </c>
      <c r="N11991" s="1" t="s">
        <v>38</v>
      </c>
      <c r="O11991" s="1" t="s">
        <v>46</v>
      </c>
    </row>
    <row r="11992" spans="2:15" x14ac:dyDescent="0.3">
      <c r="B11992" s="1" t="s">
        <v>20</v>
      </c>
      <c r="C11992" s="1" t="str">
        <f t="shared" ref="C11992:C11997" si="601">"3차"</f>
        <v>3차</v>
      </c>
      <c r="D11992" s="1" t="str">
        <f>"9625X73139"</f>
        <v>9625X73139</v>
      </c>
      <c r="E11992" s="1" t="s">
        <v>10</v>
      </c>
      <c r="F11992" s="1" t="str">
        <f>"10.10.27.34"</f>
        <v>10.10.27.34</v>
      </c>
      <c r="G11992" s="1" t="str">
        <f>"9625X731"</f>
        <v>9625X731</v>
      </c>
      <c r="H11992" s="1" t="str">
        <f>"서교지 3R8R2R2"</f>
        <v>서교지 3R8R2R2</v>
      </c>
      <c r="I11992" s="1" t="s">
        <v>8</v>
      </c>
      <c r="J11992" s="1" t="str">
        <f>"13/13"</f>
        <v>13/13</v>
      </c>
      <c r="K11992" s="1" t="str">
        <f>"2026-07-29 13:18:11"</f>
        <v>2026-07-29 13:18:11</v>
      </c>
      <c r="L11992" s="1" t="str">
        <f>"2018-02-07 12:01:09"</f>
        <v>2018-02-07 12:01:09</v>
      </c>
      <c r="M11992" s="1" t="s">
        <v>1</v>
      </c>
      <c r="N11992" s="1" t="s">
        <v>38</v>
      </c>
      <c r="O11992" s="1" t="s">
        <v>46</v>
      </c>
    </row>
    <row r="11993" spans="2:15" x14ac:dyDescent="0.3">
      <c r="B11993" s="1" t="s">
        <v>20</v>
      </c>
      <c r="C11993" s="1" t="str">
        <f t="shared" si="601"/>
        <v>3차</v>
      </c>
      <c r="D11993" s="1" t="str">
        <f>"9625X73239"</f>
        <v>9625X73239</v>
      </c>
      <c r="E11993" s="1" t="s">
        <v>10</v>
      </c>
      <c r="F11993" s="1" t="str">
        <f>"10.10.24.250"</f>
        <v>10.10.24.250</v>
      </c>
      <c r="G11993" s="1" t="str">
        <f>"9625X732"</f>
        <v>9625X732</v>
      </c>
      <c r="H11993" s="1" t="str">
        <f>"서교지 3R8R2R3"</f>
        <v>서교지 3R8R2R3</v>
      </c>
      <c r="I11993" s="1" t="s">
        <v>8</v>
      </c>
      <c r="J11993" s="1" t="str">
        <f>"60/61"</f>
        <v>60/61</v>
      </c>
      <c r="K11993" s="1" t="str">
        <f>"2026-07-29 13:18:11"</f>
        <v>2026-07-29 13:18:11</v>
      </c>
      <c r="L11993" s="1" t="str">
        <f>"2018-02-07 11:53:54"</f>
        <v>2018-02-07 11:53:54</v>
      </c>
      <c r="M11993" s="1" t="s">
        <v>1</v>
      </c>
      <c r="N11993" s="1" t="s">
        <v>38</v>
      </c>
      <c r="O11993" s="1" t="s">
        <v>46</v>
      </c>
    </row>
    <row r="11994" spans="2:15" x14ac:dyDescent="0.3">
      <c r="B11994" s="1" t="s">
        <v>20</v>
      </c>
      <c r="C11994" s="1" t="str">
        <f t="shared" si="601"/>
        <v>3차</v>
      </c>
      <c r="D11994" s="1" t="str">
        <f>"9625X74139"</f>
        <v>9625X74139</v>
      </c>
      <c r="E11994" s="1" t="s">
        <v>10</v>
      </c>
      <c r="F11994" s="1" t="str">
        <f>"10.10.31.162"</f>
        <v>10.10.31.162</v>
      </c>
      <c r="G11994" s="1" t="str">
        <f>"9625X741"</f>
        <v>9625X741</v>
      </c>
      <c r="H11994" s="1" t="str">
        <f>"서교지 3R6"</f>
        <v>서교지 3R6</v>
      </c>
      <c r="I11994" s="1" t="s">
        <v>8</v>
      </c>
      <c r="J11994" s="1" t="str">
        <f>"13/13"</f>
        <v>13/13</v>
      </c>
      <c r="K11994" s="1" t="str">
        <f>"2026-07-29 13:18:10"</f>
        <v>2026-07-29 13:18:10</v>
      </c>
      <c r="L11994" s="1" t="str">
        <f>"2018-01-23 16:58:11"</f>
        <v>2018-01-23 16:58:11</v>
      </c>
      <c r="M11994" s="1" t="s">
        <v>1</v>
      </c>
      <c r="N11994" s="1" t="s">
        <v>38</v>
      </c>
      <c r="O11994" s="1" t="s">
        <v>46</v>
      </c>
    </row>
    <row r="11995" spans="2:15" x14ac:dyDescent="0.3">
      <c r="B11995" s="1" t="s">
        <v>20</v>
      </c>
      <c r="C11995" s="1" t="str">
        <f t="shared" si="601"/>
        <v>3차</v>
      </c>
      <c r="D11995" s="1" t="str">
        <f>"9625X75139"</f>
        <v>9625X75139</v>
      </c>
      <c r="E11995" s="1" t="s">
        <v>10</v>
      </c>
      <c r="F11995" s="1" t="str">
        <f>"10.10.31.194"</f>
        <v>10.10.31.194</v>
      </c>
      <c r="G11995" s="1" t="str">
        <f>"9625X751"</f>
        <v>9625X751</v>
      </c>
      <c r="H11995" s="1" t="str">
        <f>"서교지 3R8"</f>
        <v>서교지 3R8</v>
      </c>
      <c r="I11995" s="1" t="s">
        <v>8</v>
      </c>
      <c r="J11995" s="1" t="str">
        <f>"8/8"</f>
        <v>8/8</v>
      </c>
      <c r="K11995" s="1" t="str">
        <f>"2026-07-29 13:18:11"</f>
        <v>2026-07-29 13:18:11</v>
      </c>
      <c r="L11995" s="1" t="str">
        <f>"2018-01-23 16:59:56"</f>
        <v>2018-01-23 16:59:56</v>
      </c>
      <c r="M11995" s="1" t="s">
        <v>1</v>
      </c>
      <c r="N11995" s="1" t="s">
        <v>38</v>
      </c>
      <c r="O11995" s="1" t="s">
        <v>46</v>
      </c>
    </row>
    <row r="11996" spans="2:15" x14ac:dyDescent="0.3">
      <c r="B11996" s="1" t="s">
        <v>20</v>
      </c>
      <c r="C11996" s="1" t="str">
        <f t="shared" si="601"/>
        <v>3차</v>
      </c>
      <c r="D11996" s="1" t="str">
        <f>"9625X76139"</f>
        <v>9625X76139</v>
      </c>
      <c r="E11996" s="1" t="s">
        <v>10</v>
      </c>
      <c r="F11996" s="1" t="str">
        <f>"10.10.34.178"</f>
        <v>10.10.34.178</v>
      </c>
      <c r="G11996" s="1" t="str">
        <f>"9625X761"</f>
        <v>9625X761</v>
      </c>
      <c r="H11996" s="1" t="str">
        <f>"서교지 3R9"</f>
        <v>서교지 3R9</v>
      </c>
      <c r="I11996" s="1" t="s">
        <v>8</v>
      </c>
      <c r="J11996" s="1" t="str">
        <f>"3/3"</f>
        <v>3/3</v>
      </c>
      <c r="K11996" s="1" t="str">
        <f>"2026-07-29 13:18:10"</f>
        <v>2026-07-29 13:18:10</v>
      </c>
      <c r="L11996" s="1" t="str">
        <f>"2018-02-07 11:59:38"</f>
        <v>2018-02-07 11:59:38</v>
      </c>
      <c r="M11996" s="1" t="s">
        <v>1</v>
      </c>
      <c r="N11996" s="1" t="s">
        <v>38</v>
      </c>
      <c r="O11996" s="1" t="s">
        <v>46</v>
      </c>
    </row>
    <row r="11997" spans="2:15" x14ac:dyDescent="0.3">
      <c r="B11997" s="1" t="s">
        <v>20</v>
      </c>
      <c r="C11997" s="1" t="str">
        <f t="shared" si="601"/>
        <v>3차</v>
      </c>
      <c r="D11997" s="1" t="str">
        <f>"9625X77239"</f>
        <v>9625X77239</v>
      </c>
      <c r="E11997" s="1" t="s">
        <v>10</v>
      </c>
      <c r="F11997" s="1" t="str">
        <f>"10.10.31.90"</f>
        <v>10.10.31.90</v>
      </c>
      <c r="G11997" s="1" t="str">
        <f>"9625X772"</f>
        <v>9625X772</v>
      </c>
      <c r="H11997" s="1" t="str">
        <f>"서교지 3R10L2"</f>
        <v>서교지 3R10L2</v>
      </c>
      <c r="I11997" s="1" t="s">
        <v>8</v>
      </c>
      <c r="J11997" s="1" t="str">
        <f>"8/8"</f>
        <v>8/8</v>
      </c>
      <c r="K11997" s="1" t="str">
        <f>"2026-07-29 13:18:10"</f>
        <v>2026-07-29 13:18:10</v>
      </c>
      <c r="L11997" s="1" t="str">
        <f>"2018-02-07 14:51:25"</f>
        <v>2018-02-07 14:51:25</v>
      </c>
      <c r="M11997" s="1" t="s">
        <v>1</v>
      </c>
      <c r="N11997" s="1" t="s">
        <v>38</v>
      </c>
      <c r="O11997" s="1" t="s">
        <v>46</v>
      </c>
    </row>
    <row r="11998" spans="2:15" x14ac:dyDescent="0.3">
      <c r="B11998" s="1" t="s">
        <v>20</v>
      </c>
      <c r="C11998" s="1" t="str">
        <f>"4차"</f>
        <v>4차</v>
      </c>
      <c r="D11998" s="1" t="str">
        <f>"9625X79130"</f>
        <v>9625X79130</v>
      </c>
      <c r="E11998" s="1" t="s">
        <v>10</v>
      </c>
      <c r="F11998" s="1" t="str">
        <f>"10.10.35.122"</f>
        <v>10.10.35.122</v>
      </c>
      <c r="G11998" s="1" t="str">
        <f>"9625X791"</f>
        <v>9625X791</v>
      </c>
      <c r="H11998" s="1" t="str">
        <f>"양화간 53"</f>
        <v>양화간 53</v>
      </c>
      <c r="I11998" s="1" t="s">
        <v>8</v>
      </c>
      <c r="J11998" s="1" t="str">
        <f>"45/47"</f>
        <v>45/47</v>
      </c>
      <c r="K11998" s="1" t="str">
        <f>"2026-07-29 13:18:10"</f>
        <v>2026-07-29 13:18:10</v>
      </c>
      <c r="L11998" s="1" t="str">
        <f>"2018-01-22 15:34:41"</f>
        <v>2018-01-22 15:34:41</v>
      </c>
      <c r="M11998" s="1" t="s">
        <v>1</v>
      </c>
      <c r="N11998" s="1" t="s">
        <v>38</v>
      </c>
      <c r="O11998" s="1" t="s">
        <v>46</v>
      </c>
    </row>
    <row r="11999" spans="2:15" x14ac:dyDescent="0.3">
      <c r="B11999" s="1" t="s">
        <v>20</v>
      </c>
      <c r="C11999" s="1" t="str">
        <f>"3차"</f>
        <v>3차</v>
      </c>
      <c r="D11999" s="1" t="str">
        <f>"9625X79239"</f>
        <v>9625X79239</v>
      </c>
      <c r="E11999" s="1" t="s">
        <v>10</v>
      </c>
      <c r="F11999" s="1" t="str">
        <f>"10.10.35.106"</f>
        <v>10.10.35.106</v>
      </c>
      <c r="G11999" s="1" t="str">
        <f>"9625X792"</f>
        <v>9625X792</v>
      </c>
      <c r="H11999" s="1" t="str">
        <f>"양화간 54L1"</f>
        <v>양화간 54L1</v>
      </c>
      <c r="I11999" s="1" t="s">
        <v>8</v>
      </c>
      <c r="J11999" s="1" t="str">
        <f>"28/28"</f>
        <v>28/28</v>
      </c>
      <c r="K11999" s="1" t="str">
        <f>"2026-07-29 13:18:10"</f>
        <v>2026-07-29 13:18:10</v>
      </c>
      <c r="L11999" s="1" t="str">
        <f>"2018-02-08 18:01:02"</f>
        <v>2018-02-08 18:01:02</v>
      </c>
      <c r="M11999" s="1" t="s">
        <v>1</v>
      </c>
      <c r="N11999" s="1" t="s">
        <v>38</v>
      </c>
      <c r="O11999" s="1" t="s">
        <v>46</v>
      </c>
    </row>
    <row r="12000" spans="2:15" x14ac:dyDescent="0.3">
      <c r="B12000" s="1" t="s">
        <v>20</v>
      </c>
      <c r="C12000" s="1" t="str">
        <f>"6차"</f>
        <v>6차</v>
      </c>
      <c r="D12000" s="1" t="str">
        <f>"9625X8016S"</f>
        <v>9625X8016S</v>
      </c>
      <c r="E12000" s="1" t="s">
        <v>10</v>
      </c>
      <c r="F12000" s="1" t="str">
        <f>"fde1:103:4:c753:0:0:0:2"</f>
        <v>fde1:103:4:c753:0:0:0:2</v>
      </c>
      <c r="G12000" s="1" t="str">
        <f>"9625X801"</f>
        <v>9625X801</v>
      </c>
      <c r="H12000" s="1" t="str">
        <f>"당포간 9"</f>
        <v>당포간 9</v>
      </c>
      <c r="I12000" s="1" t="s">
        <v>15</v>
      </c>
      <c r="J12000" s="1" t="str">
        <f>"63/63"</f>
        <v>63/63</v>
      </c>
      <c r="K12000" s="1" t="str">
        <f>"2026-07-29 14:21:00"</f>
        <v>2026-07-29 14:21:00</v>
      </c>
      <c r="L12000" s="1" t="str">
        <f>"2024-11-21 17:38:02"</f>
        <v>2024-11-21 17:38:02</v>
      </c>
      <c r="M12000" s="1" t="s">
        <v>4</v>
      </c>
      <c r="N12000" s="1" t="s">
        <v>38</v>
      </c>
      <c r="O12000" s="1" t="s">
        <v>46</v>
      </c>
    </row>
    <row r="12001" spans="2:15" x14ac:dyDescent="0.3">
      <c r="B12001" s="1" t="s">
        <v>20</v>
      </c>
      <c r="C12001" s="1" t="str">
        <f t="shared" ref="C12001:C12008" si="602">"3차"</f>
        <v>3차</v>
      </c>
      <c r="D12001" s="1" t="str">
        <f>"9625X81130"</f>
        <v>9625X81130</v>
      </c>
      <c r="E12001" s="1" t="s">
        <v>10</v>
      </c>
      <c r="F12001" s="1" t="str">
        <f>"10.10.31.58"</f>
        <v>10.10.31.58</v>
      </c>
      <c r="G12001" s="1" t="str">
        <f>"9625X811"</f>
        <v>9625X811</v>
      </c>
      <c r="H12001" s="1" t="str">
        <f>"서교지 3AR7"</f>
        <v>서교지 3AR7</v>
      </c>
      <c r="I12001" s="1" t="s">
        <v>8</v>
      </c>
      <c r="J12001" s="1" t="str">
        <f>"31/37"</f>
        <v>31/37</v>
      </c>
      <c r="K12001" s="1" t="str">
        <f>"2026-07-29 13:18:10"</f>
        <v>2026-07-29 13:18:10</v>
      </c>
      <c r="L12001" s="1" t="str">
        <f>"2018-02-07 01:27:35"</f>
        <v>2018-02-07 01:27:35</v>
      </c>
      <c r="M12001" s="1" t="s">
        <v>1</v>
      </c>
      <c r="N12001" s="1" t="s">
        <v>38</v>
      </c>
      <c r="O12001" s="1" t="s">
        <v>46</v>
      </c>
    </row>
    <row r="12002" spans="2:15" x14ac:dyDescent="0.3">
      <c r="B12002" s="1" t="s">
        <v>20</v>
      </c>
      <c r="C12002" s="1" t="str">
        <f t="shared" si="602"/>
        <v>3차</v>
      </c>
      <c r="D12002" s="1" t="str">
        <f>"9625X81231"</f>
        <v>9625X81231</v>
      </c>
      <c r="E12002" s="1" t="s">
        <v>10</v>
      </c>
      <c r="F12002" s="1" t="str">
        <f>"10.10.31.59"</f>
        <v>10.10.31.59</v>
      </c>
      <c r="G12002" s="1" t="str">
        <f>"9625X812"</f>
        <v>9625X812</v>
      </c>
      <c r="H12002" s="1" t="str">
        <f>"서교지 3AR6"</f>
        <v>서교지 3AR6</v>
      </c>
      <c r="I12002" s="1" t="s">
        <v>8</v>
      </c>
      <c r="J12002" s="1" t="str">
        <f>"19/19"</f>
        <v>19/19</v>
      </c>
      <c r="K12002" s="1" t="str">
        <f>"2026-07-29 13:18:11"</f>
        <v>2026-07-29 13:18:11</v>
      </c>
      <c r="L12002" s="1" t="str">
        <f>"2018-02-23 16:03:27"</f>
        <v>2018-02-23 16:03:27</v>
      </c>
      <c r="M12002" s="1" t="s">
        <v>1</v>
      </c>
      <c r="N12002" s="1" t="s">
        <v>38</v>
      </c>
      <c r="O12002" s="1" t="s">
        <v>46</v>
      </c>
    </row>
    <row r="12003" spans="2:15" x14ac:dyDescent="0.3">
      <c r="B12003" s="1" t="s">
        <v>20</v>
      </c>
      <c r="C12003" s="1" t="str">
        <f t="shared" si="602"/>
        <v>3차</v>
      </c>
      <c r="D12003" s="1" t="str">
        <f>"9625X82130"</f>
        <v>9625X82130</v>
      </c>
      <c r="E12003" s="1" t="s">
        <v>10</v>
      </c>
      <c r="F12003" s="1" t="str">
        <f>"10.10.31.66"</f>
        <v>10.10.31.66</v>
      </c>
      <c r="G12003" s="1" t="str">
        <f>"9625X821"</f>
        <v>9625X821</v>
      </c>
      <c r="H12003" s="1" t="str">
        <f>"서교지 3AR8"</f>
        <v>서교지 3AR8</v>
      </c>
      <c r="I12003" s="1" t="s">
        <v>8</v>
      </c>
      <c r="J12003" s="1" t="str">
        <f>"6/6"</f>
        <v>6/6</v>
      </c>
      <c r="K12003" s="1" t="str">
        <f>"2026-07-29 13:18:11"</f>
        <v>2026-07-29 13:18:11</v>
      </c>
      <c r="L12003" s="1" t="str">
        <f>"2018-02-07 01:32:49"</f>
        <v>2018-02-07 01:32:49</v>
      </c>
      <c r="M12003" s="1" t="s">
        <v>1</v>
      </c>
      <c r="N12003" s="1" t="s">
        <v>38</v>
      </c>
      <c r="O12003" s="1" t="s">
        <v>46</v>
      </c>
    </row>
    <row r="12004" spans="2:15" x14ac:dyDescent="0.3">
      <c r="B12004" s="1" t="s">
        <v>20</v>
      </c>
      <c r="C12004" s="1" t="str">
        <f t="shared" si="602"/>
        <v>3차</v>
      </c>
      <c r="D12004" s="1" t="str">
        <f>"9625X82331"</f>
        <v>9625X82331</v>
      </c>
      <c r="E12004" s="1" t="s">
        <v>10</v>
      </c>
      <c r="F12004" s="1" t="str">
        <f>"10.10.31.67"</f>
        <v>10.10.31.67</v>
      </c>
      <c r="G12004" s="1" t="str">
        <f>"9625X823"</f>
        <v>9625X823</v>
      </c>
      <c r="H12004" s="1" t="str">
        <f>"서교지 3AR9"</f>
        <v>서교지 3AR9</v>
      </c>
      <c r="I12004" s="1" t="s">
        <v>8</v>
      </c>
      <c r="J12004" s="1" t="str">
        <f>"10/10"</f>
        <v>10/10</v>
      </c>
      <c r="K12004" s="1" t="str">
        <f>"2026-07-29 13:18:11"</f>
        <v>2026-07-29 13:18:11</v>
      </c>
      <c r="L12004" s="1" t="str">
        <f>"2018-02-23 15:15:56"</f>
        <v>2018-02-23 15:15:56</v>
      </c>
      <c r="M12004" s="1" t="s">
        <v>1</v>
      </c>
      <c r="N12004" s="1" t="s">
        <v>38</v>
      </c>
      <c r="O12004" s="1" t="s">
        <v>46</v>
      </c>
    </row>
    <row r="12005" spans="2:15" x14ac:dyDescent="0.3">
      <c r="B12005" s="1" t="s">
        <v>20</v>
      </c>
      <c r="C12005" s="1" t="str">
        <f t="shared" si="602"/>
        <v>3차</v>
      </c>
      <c r="D12005" s="1" t="str">
        <f>"9625X83139"</f>
        <v>9625X83139</v>
      </c>
      <c r="E12005" s="1" t="s">
        <v>10</v>
      </c>
      <c r="F12005" s="1" t="str">
        <f>"10.10.31.50"</f>
        <v>10.10.31.50</v>
      </c>
      <c r="G12005" s="1" t="str">
        <f>"9625X831"</f>
        <v>9625X831</v>
      </c>
      <c r="H12005" s="1" t="str">
        <f>"서교지 3AR5L3"</f>
        <v>서교지 3AR5L3</v>
      </c>
      <c r="I12005" s="1" t="s">
        <v>8</v>
      </c>
      <c r="J12005" s="1" t="str">
        <f>"8/8"</f>
        <v>8/8</v>
      </c>
      <c r="K12005" s="1" t="str">
        <f>"2026-07-29 13:18:11"</f>
        <v>2026-07-29 13:18:11</v>
      </c>
      <c r="L12005" s="1" t="str">
        <f>"2018-01-25 14:52:55"</f>
        <v>2018-01-25 14:52:55</v>
      </c>
      <c r="M12005" s="1" t="s">
        <v>1</v>
      </c>
      <c r="N12005" s="1" t="s">
        <v>38</v>
      </c>
      <c r="O12005" s="1" t="s">
        <v>46</v>
      </c>
    </row>
    <row r="12006" spans="2:15" x14ac:dyDescent="0.3">
      <c r="B12006" s="1" t="s">
        <v>20</v>
      </c>
      <c r="C12006" s="1" t="str">
        <f t="shared" si="602"/>
        <v>3차</v>
      </c>
      <c r="D12006" s="1" t="str">
        <f>"9625X84139"</f>
        <v>9625X84139</v>
      </c>
      <c r="E12006" s="1" t="s">
        <v>10</v>
      </c>
      <c r="F12006" s="1" t="str">
        <f>"10.10.24.242"</f>
        <v>10.10.24.242</v>
      </c>
      <c r="G12006" s="1" t="str">
        <f>"9625X841"</f>
        <v>9625X841</v>
      </c>
      <c r="H12006" s="1" t="str">
        <f>"서교지 3R8R2R1"</f>
        <v>서교지 3R8R2R1</v>
      </c>
      <c r="I12006" s="1" t="s">
        <v>8</v>
      </c>
      <c r="J12006" s="1" t="str">
        <f>"4/4"</f>
        <v>4/4</v>
      </c>
      <c r="K12006" s="1" t="str">
        <f>"2026-07-29 13:18:10"</f>
        <v>2026-07-29 13:18:10</v>
      </c>
      <c r="L12006" s="1" t="str">
        <f>"2018-02-07 11:54:39"</f>
        <v>2018-02-07 11:54:39</v>
      </c>
      <c r="M12006" s="1" t="s">
        <v>1</v>
      </c>
      <c r="N12006" s="1" t="s">
        <v>38</v>
      </c>
      <c r="O12006" s="1" t="s">
        <v>46</v>
      </c>
    </row>
    <row r="12007" spans="2:15" x14ac:dyDescent="0.3">
      <c r="B12007" s="1" t="s">
        <v>20</v>
      </c>
      <c r="C12007" s="1" t="str">
        <f t="shared" si="602"/>
        <v>3차</v>
      </c>
      <c r="D12007" s="1" t="str">
        <f>"9625X85239"</f>
        <v>9625X85239</v>
      </c>
      <c r="E12007" s="1" t="s">
        <v>10</v>
      </c>
      <c r="F12007" s="1" t="str">
        <f>"10.10.24.234"</f>
        <v>10.10.24.234</v>
      </c>
      <c r="G12007" s="1" t="str">
        <f>"9625X852"</f>
        <v>9625X852</v>
      </c>
      <c r="H12007" s="1" t="str">
        <f>"서교지 3R8R2"</f>
        <v>서교지 3R8R2</v>
      </c>
      <c r="I12007" s="1" t="s">
        <v>8</v>
      </c>
      <c r="J12007" s="1" t="str">
        <f>"12/12"</f>
        <v>12/12</v>
      </c>
      <c r="K12007" s="1" t="str">
        <f>"2026-07-29 13:18:10"</f>
        <v>2026-07-29 13:18:10</v>
      </c>
      <c r="L12007" s="1" t="str">
        <f>"2018-02-07 11:55:08"</f>
        <v>2018-02-07 11:55:08</v>
      </c>
      <c r="M12007" s="1" t="s">
        <v>1</v>
      </c>
      <c r="N12007" s="1" t="s">
        <v>38</v>
      </c>
      <c r="O12007" s="1" t="s">
        <v>46</v>
      </c>
    </row>
    <row r="12008" spans="2:15" x14ac:dyDescent="0.3">
      <c r="B12008" s="1" t="s">
        <v>20</v>
      </c>
      <c r="C12008" s="1" t="str">
        <f t="shared" si="602"/>
        <v>3차</v>
      </c>
      <c r="D12008" s="1" t="str">
        <f>"9625X85339"</f>
        <v>9625X85339</v>
      </c>
      <c r="E12008" s="1" t="s">
        <v>10</v>
      </c>
      <c r="F12008" s="1" t="str">
        <f>"10.10.25.2"</f>
        <v>10.10.25.2</v>
      </c>
      <c r="G12008" s="1" t="str">
        <f>"9625X853"</f>
        <v>9625X853</v>
      </c>
      <c r="H12008" s="1" t="str">
        <f>"서교지 3R8R3"</f>
        <v>서교지 3R8R3</v>
      </c>
      <c r="I12008" s="1" t="s">
        <v>8</v>
      </c>
      <c r="J12008" s="1" t="str">
        <f>"2/2"</f>
        <v>2/2</v>
      </c>
      <c r="K12008" s="1" t="str">
        <f>"2026-07-29 13:18:10"</f>
        <v>2026-07-29 13:18:10</v>
      </c>
      <c r="L12008" s="1" t="str">
        <f>"2018-02-05 14:24:11"</f>
        <v>2018-02-05 14:24:11</v>
      </c>
      <c r="M12008" s="1" t="s">
        <v>1</v>
      </c>
      <c r="N12008" s="1" t="s">
        <v>38</v>
      </c>
      <c r="O12008" s="1" t="s">
        <v>46</v>
      </c>
    </row>
    <row r="12009" spans="2:15" x14ac:dyDescent="0.3">
      <c r="B12009" s="1" t="s">
        <v>20</v>
      </c>
      <c r="C12009" s="1" t="str">
        <f>"4차"</f>
        <v>4차</v>
      </c>
      <c r="D12009" s="1" t="str">
        <f>"9625X86439"</f>
        <v>9625X86439</v>
      </c>
      <c r="E12009" s="1" t="s">
        <v>10</v>
      </c>
      <c r="F12009" s="1" t="str">
        <f>"10.10.34.154"</f>
        <v>10.10.34.154</v>
      </c>
      <c r="G12009" s="1" t="str">
        <f>"9625X864"</f>
        <v>9625X864</v>
      </c>
      <c r="H12009" s="1" t="str">
        <f>"서교지 3R10R2"</f>
        <v>서교지 3R10R2</v>
      </c>
      <c r="I12009" s="1" t="s">
        <v>8</v>
      </c>
      <c r="J12009" s="1" t="str">
        <f>"14/14"</f>
        <v>14/14</v>
      </c>
      <c r="K12009" s="1" t="str">
        <f>"2026-07-29 13:18:10"</f>
        <v>2026-07-29 13:18:10</v>
      </c>
      <c r="L12009" s="1" t="str">
        <f>"2025-02-03 14:54:38"</f>
        <v>2025-02-03 14:54:38</v>
      </c>
      <c r="M12009" s="1" t="s">
        <v>1</v>
      </c>
      <c r="N12009" s="1" t="s">
        <v>38</v>
      </c>
      <c r="O12009" s="1" t="s">
        <v>46</v>
      </c>
    </row>
    <row r="12010" spans="2:15" x14ac:dyDescent="0.3">
      <c r="B12010" s="1" t="s">
        <v>20</v>
      </c>
      <c r="C12010" s="1" t="str">
        <f>"3차"</f>
        <v>3차</v>
      </c>
      <c r="D12010" s="1" t="str">
        <f>"9625X88139"</f>
        <v>9625X88139</v>
      </c>
      <c r="E12010" s="1" t="s">
        <v>10</v>
      </c>
      <c r="F12010" s="1" t="str">
        <f>"10.10.31.106"</f>
        <v>10.10.31.106</v>
      </c>
      <c r="G12010" s="1" t="str">
        <f>"9625X881"</f>
        <v>9625X881</v>
      </c>
      <c r="H12010" s="1" t="str">
        <f>"서교지 3R10L2R4"</f>
        <v>서교지 3R10L2R4</v>
      </c>
      <c r="I12010" s="1" t="s">
        <v>8</v>
      </c>
      <c r="J12010" s="1" t="str">
        <f>"6/7"</f>
        <v>6/7</v>
      </c>
      <c r="K12010" s="1" t="str">
        <f>"2026-07-29 13:18:11"</f>
        <v>2026-07-29 13:18:11</v>
      </c>
      <c r="L12010" s="1" t="str">
        <f>"2018-02-08 14:54:25"</f>
        <v>2018-02-08 14:54:25</v>
      </c>
      <c r="M12010" s="1" t="s">
        <v>1</v>
      </c>
      <c r="N12010" s="1" t="s">
        <v>38</v>
      </c>
      <c r="O12010" s="1" t="s">
        <v>46</v>
      </c>
    </row>
    <row r="12011" spans="2:15" x14ac:dyDescent="0.3">
      <c r="B12011" s="1" t="s">
        <v>20</v>
      </c>
      <c r="C12011" s="1" t="str">
        <f>"3차"</f>
        <v>3차</v>
      </c>
      <c r="D12011" s="1" t="str">
        <f>"9625X88339"</f>
        <v>9625X88339</v>
      </c>
      <c r="E12011" s="1" t="s">
        <v>10</v>
      </c>
      <c r="F12011" s="1" t="str">
        <f>"10.10.31.98"</f>
        <v>10.10.31.98</v>
      </c>
      <c r="G12011" s="1" t="str">
        <f>"9625X883"</f>
        <v>9625X883</v>
      </c>
      <c r="H12011" s="1" t="str">
        <f>"서교지 3R10L2R2"</f>
        <v>서교지 3R10L2R2</v>
      </c>
      <c r="I12011" s="1" t="s">
        <v>8</v>
      </c>
      <c r="J12011" s="1" t="str">
        <f>"17/17"</f>
        <v>17/17</v>
      </c>
      <c r="K12011" s="1" t="str">
        <f>"2026-07-29 13:18:11"</f>
        <v>2026-07-29 13:18:11</v>
      </c>
      <c r="L12011" s="1" t="str">
        <f>"2018-02-08 15:38:10"</f>
        <v>2018-02-08 15:38:10</v>
      </c>
      <c r="M12011" s="1" t="s">
        <v>1</v>
      </c>
      <c r="N12011" s="1" t="s">
        <v>38</v>
      </c>
      <c r="O12011" s="1" t="s">
        <v>46</v>
      </c>
    </row>
    <row r="12012" spans="2:15" x14ac:dyDescent="0.3">
      <c r="B12012" s="1" t="s">
        <v>20</v>
      </c>
      <c r="C12012" s="1" t="str">
        <f>"4차"</f>
        <v>4차</v>
      </c>
      <c r="D12012" s="1" t="str">
        <f>"9625X89345"</f>
        <v>9625X89345</v>
      </c>
      <c r="E12012" s="1" t="s">
        <v>10</v>
      </c>
      <c r="F12012" s="1" t="str">
        <f>"10.14.8.60"</f>
        <v>10.14.8.60</v>
      </c>
      <c r="G12012" s="1" t="str">
        <f>"9625X893"</f>
        <v>9625X893</v>
      </c>
      <c r="H12012" s="1" t="str">
        <f>"양화로 16-1T"</f>
        <v>양화로 16-1T</v>
      </c>
      <c r="I12012" s="1" t="s">
        <v>17</v>
      </c>
      <c r="J12012" s="1" t="str">
        <f>"8/8"</f>
        <v>8/8</v>
      </c>
      <c r="K12012" s="1" t="str">
        <f>"2026-07-29 13:18:11"</f>
        <v>2026-07-29 13:18:11</v>
      </c>
      <c r="L12012" s="1" t="str">
        <f>"2021-06-16 15:26:31"</f>
        <v>2021-06-16 15:26:31</v>
      </c>
      <c r="M12012" s="1" t="s">
        <v>3</v>
      </c>
      <c r="N12012" s="1" t="s">
        <v>38</v>
      </c>
      <c r="O12012" s="1" t="s">
        <v>46</v>
      </c>
    </row>
    <row r="12013" spans="2:15" x14ac:dyDescent="0.3">
      <c r="B12013" s="1" t="s">
        <v>20</v>
      </c>
      <c r="C12013" s="1" t="str">
        <f>"3차"</f>
        <v>3차</v>
      </c>
      <c r="D12013" s="1" t="str">
        <f>"9625X91232"</f>
        <v>9625X91232</v>
      </c>
      <c r="E12013" s="1" t="s">
        <v>10</v>
      </c>
      <c r="F12013" s="1" t="str">
        <f>"10.10.31.60"</f>
        <v>10.10.31.60</v>
      </c>
      <c r="G12013" s="1" t="str">
        <f>"9625X912"</f>
        <v>9625X912</v>
      </c>
      <c r="H12013" s="1" t="str">
        <f>"서교지 3AR7R2"</f>
        <v>서교지 3AR7R2</v>
      </c>
      <c r="I12013" s="1" t="s">
        <v>8</v>
      </c>
      <c r="J12013" s="1" t="str">
        <f>"56/57"</f>
        <v>56/57</v>
      </c>
      <c r="K12013" s="1" t="str">
        <f>"2026-07-29 13:18:11"</f>
        <v>2026-07-29 13:18:11</v>
      </c>
      <c r="L12013" s="1" t="str">
        <f>"2018-02-23 15:59:43"</f>
        <v>2018-02-23 15:59:43</v>
      </c>
      <c r="M12013" s="1" t="s">
        <v>1</v>
      </c>
      <c r="N12013" s="1" t="s">
        <v>38</v>
      </c>
      <c r="O12013" s="1" t="s">
        <v>46</v>
      </c>
    </row>
    <row r="12014" spans="2:15" x14ac:dyDescent="0.3">
      <c r="B12014" s="1" t="s">
        <v>20</v>
      </c>
      <c r="C12014" s="1" t="str">
        <f>"3차"</f>
        <v>3차</v>
      </c>
      <c r="D12014" s="1" t="str">
        <f>"9625X92139"</f>
        <v>9625X92139</v>
      </c>
      <c r="E12014" s="1" t="s">
        <v>10</v>
      </c>
      <c r="F12014" s="1" t="str">
        <f>"10.10.30.210"</f>
        <v>10.10.30.210</v>
      </c>
      <c r="G12014" s="1" t="str">
        <f>"9625X921"</f>
        <v>9625X921</v>
      </c>
      <c r="H12014" s="1" t="str">
        <f>"서교지 3AR11"</f>
        <v>서교지 3AR11</v>
      </c>
      <c r="I12014" s="1" t="s">
        <v>8</v>
      </c>
      <c r="J12014" s="1" t="str">
        <f>"22/22"</f>
        <v>22/22</v>
      </c>
      <c r="K12014" s="1" t="str">
        <f>"2026-07-29 13:18:10"</f>
        <v>2026-07-29 13:18:10</v>
      </c>
      <c r="L12014" s="1" t="str">
        <f>"2018-02-05 14:17:40"</f>
        <v>2018-02-05 14:17:40</v>
      </c>
      <c r="M12014" s="1" t="s">
        <v>1</v>
      </c>
      <c r="N12014" s="1" t="s">
        <v>38</v>
      </c>
      <c r="O12014" s="1" t="s">
        <v>46</v>
      </c>
    </row>
    <row r="12015" spans="2:15" x14ac:dyDescent="0.3">
      <c r="B12015" s="1" t="s">
        <v>20</v>
      </c>
      <c r="C12015" s="1" t="str">
        <f>"3차"</f>
        <v>3차</v>
      </c>
      <c r="D12015" s="1" t="str">
        <f>"9625X93130"</f>
        <v>9625X93130</v>
      </c>
      <c r="E12015" s="1" t="s">
        <v>10</v>
      </c>
      <c r="F12015" s="1" t="str">
        <f>"10.10.31.2"</f>
        <v>10.10.31.2</v>
      </c>
      <c r="G12015" s="1" t="str">
        <f>"9625X931"</f>
        <v>9625X931</v>
      </c>
      <c r="H12015" s="1" t="str">
        <f>"서교지 3AR13"</f>
        <v>서교지 3AR13</v>
      </c>
      <c r="I12015" s="1" t="s">
        <v>8</v>
      </c>
      <c r="J12015" s="1" t="str">
        <f>"3/5"</f>
        <v>3/5</v>
      </c>
      <c r="K12015" s="1" t="str">
        <f>"2026-07-29 13:18:11"</f>
        <v>2026-07-29 13:18:11</v>
      </c>
      <c r="L12015" s="1" t="str">
        <f>"2018-02-05 14:25:56"</f>
        <v>2018-02-05 14:25:56</v>
      </c>
      <c r="M12015" s="1" t="s">
        <v>1</v>
      </c>
      <c r="N12015" s="1" t="s">
        <v>38</v>
      </c>
      <c r="O12015" s="1" t="s">
        <v>46</v>
      </c>
    </row>
    <row r="12016" spans="2:15" x14ac:dyDescent="0.3">
      <c r="B12016" s="1" t="s">
        <v>20</v>
      </c>
      <c r="C12016" s="1" t="str">
        <f>"3차"</f>
        <v>3차</v>
      </c>
      <c r="D12016" s="1" t="str">
        <f>"9625X93231"</f>
        <v>9625X93231</v>
      </c>
      <c r="E12016" s="1" t="s">
        <v>10</v>
      </c>
      <c r="F12016" s="1" t="str">
        <f>"10.10.31.3"</f>
        <v>10.10.31.3</v>
      </c>
      <c r="G12016" s="1" t="str">
        <f>"9625X932"</f>
        <v>9625X932</v>
      </c>
      <c r="H12016" s="1" t="str">
        <f>"서교지 3AR12"</f>
        <v>서교지 3AR12</v>
      </c>
      <c r="I12016" s="1" t="s">
        <v>8</v>
      </c>
      <c r="J12016" s="1" t="str">
        <f>"5/5"</f>
        <v>5/5</v>
      </c>
      <c r="K12016" s="1" t="str">
        <f>"2026-07-29 13:18:11"</f>
        <v>2026-07-29 13:18:11</v>
      </c>
      <c r="L12016" s="1" t="str">
        <f>"2018-02-23 18:01:04"</f>
        <v>2018-02-23 18:01:04</v>
      </c>
      <c r="M12016" s="1" t="s">
        <v>1</v>
      </c>
      <c r="N12016" s="1" t="s">
        <v>38</v>
      </c>
      <c r="O12016" s="1" t="s">
        <v>46</v>
      </c>
    </row>
    <row r="12017" spans="2:15" x14ac:dyDescent="0.3">
      <c r="B12017" s="1" t="s">
        <v>20</v>
      </c>
      <c r="C12017" s="1" t="str">
        <f>"4차"</f>
        <v>4차</v>
      </c>
      <c r="D12017" s="1" t="str">
        <f>"9625X93341"</f>
        <v>9625X93341</v>
      </c>
      <c r="E12017" s="1" t="s">
        <v>10</v>
      </c>
      <c r="F12017" s="1" t="str">
        <f>"10.14.8.186"</f>
        <v>10.14.8.186</v>
      </c>
      <c r="G12017" s="1" t="str">
        <f>"9625X933"</f>
        <v>9625X933</v>
      </c>
      <c r="H12017" s="1" t="str">
        <f>"서교지 3R8R6"</f>
        <v>서교지 3R8R6</v>
      </c>
      <c r="I12017" s="1" t="s">
        <v>17</v>
      </c>
      <c r="J12017" s="1" t="str">
        <f>"10/10"</f>
        <v>10/10</v>
      </c>
      <c r="K12017" s="1" t="str">
        <f>"2026-07-29 13:18:11"</f>
        <v>2026-07-29 13:18:11</v>
      </c>
      <c r="L12017" s="1" t="str">
        <f>"2021-10-06 16:12:28"</f>
        <v>2021-10-06 16:12:28</v>
      </c>
      <c r="M12017" s="1" t="s">
        <v>3</v>
      </c>
      <c r="N12017" s="1" t="s">
        <v>38</v>
      </c>
      <c r="O12017" s="1" t="s">
        <v>46</v>
      </c>
    </row>
    <row r="12018" spans="2:15" x14ac:dyDescent="0.3">
      <c r="B12018" s="1" t="s">
        <v>20</v>
      </c>
      <c r="C12018" s="1" t="str">
        <f>"3차"</f>
        <v>3차</v>
      </c>
      <c r="D12018" s="1" t="str">
        <f>"9625X94139"</f>
        <v>9625X94139</v>
      </c>
      <c r="E12018" s="1" t="s">
        <v>10</v>
      </c>
      <c r="F12018" s="1" t="str">
        <f>"10.10.33.114"</f>
        <v>10.10.33.114</v>
      </c>
      <c r="G12018" s="1" t="str">
        <f>"9625X941"</f>
        <v>9625X941</v>
      </c>
      <c r="H12018" s="1" t="str">
        <f>"서교지 3R8R5"</f>
        <v>서교지 3R8R5</v>
      </c>
      <c r="I12018" s="1" t="s">
        <v>8</v>
      </c>
      <c r="J12018" s="1" t="str">
        <f>"17/17"</f>
        <v>17/17</v>
      </c>
      <c r="K12018" s="1" t="str">
        <f>"2026-07-29 13:18:10"</f>
        <v>2026-07-29 13:18:10</v>
      </c>
      <c r="L12018" s="1" t="str">
        <f>"2018-03-27 15:41:12"</f>
        <v>2018-03-27 15:41:12</v>
      </c>
      <c r="M12018" s="1" t="s">
        <v>1</v>
      </c>
      <c r="N12018" s="1" t="s">
        <v>38</v>
      </c>
      <c r="O12018" s="1" t="s">
        <v>46</v>
      </c>
    </row>
    <row r="12019" spans="2:15" x14ac:dyDescent="0.3">
      <c r="B12019" s="1" t="s">
        <v>20</v>
      </c>
      <c r="C12019" s="1" t="str">
        <f>"3차"</f>
        <v>3차</v>
      </c>
      <c r="D12019" s="1" t="str">
        <f>"9625X95239"</f>
        <v>9625X95239</v>
      </c>
      <c r="E12019" s="1" t="s">
        <v>10</v>
      </c>
      <c r="F12019" s="1" t="str">
        <f>"10.10.25.10"</f>
        <v>10.10.25.10</v>
      </c>
      <c r="G12019" s="1" t="str">
        <f>"9625X952"</f>
        <v>9625X952</v>
      </c>
      <c r="H12019" s="1" t="str">
        <f>"서교지 3R8R4"</f>
        <v>서교지 3R8R4</v>
      </c>
      <c r="I12019" s="1" t="s">
        <v>8</v>
      </c>
      <c r="J12019" s="1" t="str">
        <f>"19/21"</f>
        <v>19/21</v>
      </c>
      <c r="K12019" s="1" t="str">
        <f>"2026-07-29 13:18:10"</f>
        <v>2026-07-29 13:18:10</v>
      </c>
      <c r="L12019" s="1" t="str">
        <f>"2018-02-05 14:22:55"</f>
        <v>2018-02-05 14:22:55</v>
      </c>
      <c r="M12019" s="1" t="s">
        <v>1</v>
      </c>
      <c r="N12019" s="1" t="s">
        <v>38</v>
      </c>
      <c r="O12019" s="1" t="s">
        <v>46</v>
      </c>
    </row>
    <row r="12020" spans="2:15" x14ac:dyDescent="0.3">
      <c r="B12020" s="1" t="s">
        <v>20</v>
      </c>
      <c r="C12020" s="1" t="str">
        <f>"3차"</f>
        <v>3차</v>
      </c>
      <c r="D12020" s="1" t="str">
        <f>"9625X96139"</f>
        <v>9625X96139</v>
      </c>
      <c r="E12020" s="1" t="s">
        <v>10</v>
      </c>
      <c r="F12020" s="1" t="str">
        <f>"10.10.33.106"</f>
        <v>10.10.33.106</v>
      </c>
      <c r="G12020" s="1" t="str">
        <f>"9625X961"</f>
        <v>9625X961</v>
      </c>
      <c r="H12020" s="1" t="str">
        <f>"서교지 3R8R4L1"</f>
        <v>서교지 3R8R4L1</v>
      </c>
      <c r="I12020" s="1" t="s">
        <v>8</v>
      </c>
      <c r="J12020" s="1" t="str">
        <f>"14/14"</f>
        <v>14/14</v>
      </c>
      <c r="K12020" s="1" t="str">
        <f>"2026-07-29 13:18:10"</f>
        <v>2026-07-29 13:18:10</v>
      </c>
      <c r="L12020" s="1" t="str">
        <f>"2018-02-05 15:16:12"</f>
        <v>2018-02-05 15:16:12</v>
      </c>
      <c r="M12020" s="1" t="s">
        <v>1</v>
      </c>
      <c r="N12020" s="1" t="s">
        <v>38</v>
      </c>
      <c r="O12020" s="1" t="s">
        <v>46</v>
      </c>
    </row>
    <row r="12021" spans="2:15" x14ac:dyDescent="0.3">
      <c r="B12021" s="1" t="s">
        <v>20</v>
      </c>
      <c r="C12021" s="1" t="str">
        <f>"3차"</f>
        <v>3차</v>
      </c>
      <c r="D12021" s="1" t="str">
        <f>"9625X98139"</f>
        <v>9625X98139</v>
      </c>
      <c r="E12021" s="1" t="s">
        <v>10</v>
      </c>
      <c r="F12021" s="1" t="str">
        <f>"10.10.37.170"</f>
        <v>10.10.37.170</v>
      </c>
      <c r="G12021" s="1" t="str">
        <f>"9625X981"</f>
        <v>9625X981</v>
      </c>
      <c r="H12021" s="1" t="str">
        <f>"양화간 49L2"</f>
        <v>양화간 49L2</v>
      </c>
      <c r="I12021" s="1" t="s">
        <v>8</v>
      </c>
      <c r="J12021" s="1" t="str">
        <f>"29/31"</f>
        <v>29/31</v>
      </c>
      <c r="K12021" s="1" t="str">
        <f>"2026-07-29 13:18:10"</f>
        <v>2026-07-29 13:18:10</v>
      </c>
      <c r="L12021" s="1" t="str">
        <f>"2018-03-07 11:07:55"</f>
        <v>2018-03-07 11:07:55</v>
      </c>
      <c r="M12021" s="1" t="s">
        <v>1</v>
      </c>
      <c r="N12021" s="1" t="s">
        <v>38</v>
      </c>
      <c r="O12021" s="1" t="s">
        <v>46</v>
      </c>
    </row>
    <row r="12022" spans="2:15" x14ac:dyDescent="0.3">
      <c r="B12022" s="1" t="s">
        <v>20</v>
      </c>
      <c r="C12022" s="1" t="str">
        <f>"3차"</f>
        <v>3차</v>
      </c>
      <c r="D12022" s="1" t="str">
        <f>"9625X98239"</f>
        <v>9625X98239</v>
      </c>
      <c r="E12022" s="1" t="s">
        <v>10</v>
      </c>
      <c r="F12022" s="1" t="str">
        <f>"10.10.29.186"</f>
        <v>10.10.29.186</v>
      </c>
      <c r="G12022" s="1" t="str">
        <f>"9625X982"</f>
        <v>9625X982</v>
      </c>
      <c r="H12022" s="1" t="str">
        <f>"양화간 49L3"</f>
        <v>양화간 49L3</v>
      </c>
      <c r="I12022" s="1" t="s">
        <v>8</v>
      </c>
      <c r="J12022" s="1" t="str">
        <f>"3/3"</f>
        <v>3/3</v>
      </c>
      <c r="K12022" s="1" t="str">
        <f>"2026-07-29 13:18:11"</f>
        <v>2026-07-29 13:18:11</v>
      </c>
      <c r="L12022" s="1" t="str">
        <f>"2018-03-07 11:19:25"</f>
        <v>2018-03-07 11:19:25</v>
      </c>
      <c r="M12022" s="1" t="s">
        <v>1</v>
      </c>
      <c r="N12022" s="1" t="s">
        <v>38</v>
      </c>
      <c r="O12022" s="1" t="s">
        <v>46</v>
      </c>
    </row>
    <row r="12023" spans="2:15" x14ac:dyDescent="0.3">
      <c r="B12023" s="1" t="s">
        <v>20</v>
      </c>
      <c r="C12023" s="1" t="str">
        <f>"1차"</f>
        <v>1차</v>
      </c>
      <c r="D12023" s="1" t="str">
        <f>"9625Y19200"</f>
        <v>9625Y19200</v>
      </c>
      <c r="E12023" s="1" t="s">
        <v>10</v>
      </c>
      <c r="F12023" s="1" t="str">
        <f>"10.125.128.47"</f>
        <v>10.125.128.47</v>
      </c>
      <c r="G12023" s="1" t="str">
        <f>"9625Y192"</f>
        <v>9625Y192</v>
      </c>
      <c r="H12023" s="1" t="str">
        <f>"대건지 17R18R3L2"</f>
        <v>대건지 17R18R3L2</v>
      </c>
      <c r="I12023" s="1" t="s">
        <v>8</v>
      </c>
      <c r="J12023" s="1" t="str">
        <f>"16/17"</f>
        <v>16/17</v>
      </c>
      <c r="K12023" s="1" t="str">
        <f>"2026-07-29 13:18:11"</f>
        <v>2026-07-29 13:18:11</v>
      </c>
      <c r="L12023" s="1" t="str">
        <f>"2014-09-02 12:56:38"</f>
        <v>2014-09-02 12:56:38</v>
      </c>
      <c r="M12023" s="1" t="s">
        <v>45</v>
      </c>
      <c r="N12023" s="1" t="s">
        <v>38</v>
      </c>
      <c r="O12023" s="1" t="s">
        <v>46</v>
      </c>
    </row>
    <row r="12024" spans="2:15" x14ac:dyDescent="0.3">
      <c r="B12024" s="1" t="s">
        <v>20</v>
      </c>
      <c r="C12024" s="1" t="str">
        <f>"5-2차"</f>
        <v>5-2차</v>
      </c>
      <c r="D12024" s="1" t="str">
        <f>"9625Y1945M"</f>
        <v>9625Y1945M</v>
      </c>
      <c r="E12024" s="1" t="s">
        <v>10</v>
      </c>
      <c r="F12024" s="1" t="str">
        <f>"fde1:103:4:56e0:0:0:0:2"</f>
        <v>fde1:103:4:56e0:0:0:0:2</v>
      </c>
      <c r="G12024" s="1" t="str">
        <f>"9625Y194"</f>
        <v>9625Y194</v>
      </c>
      <c r="H12024" s="1" t="str">
        <f>"대건지 17R18R4"</f>
        <v>대건지 17R18R4</v>
      </c>
      <c r="I12024" s="1" t="s">
        <v>15</v>
      </c>
      <c r="J12024" s="1" t="str">
        <f>"33/33"</f>
        <v>33/33</v>
      </c>
      <c r="K12024" s="1" t="str">
        <f>"2026-07-29 14:20:33"</f>
        <v>2026-07-29 14:20:33</v>
      </c>
      <c r="L12024" s="1" t="str">
        <f>"2023-08-17 09:54:09"</f>
        <v>2023-08-17 09:54:09</v>
      </c>
      <c r="M12024" s="1" t="s">
        <v>4</v>
      </c>
      <c r="N12024" s="1" t="s">
        <v>38</v>
      </c>
      <c r="O12024" s="1" t="s">
        <v>46</v>
      </c>
    </row>
    <row r="12025" spans="2:15" x14ac:dyDescent="0.3">
      <c r="B12025" s="1" t="s">
        <v>20</v>
      </c>
      <c r="C12025" s="1" t="str">
        <f>"3차"</f>
        <v>3차</v>
      </c>
      <c r="D12025" s="1" t="str">
        <f>"9625Y25339"</f>
        <v>9625Y25339</v>
      </c>
      <c r="E12025" s="1" t="s">
        <v>10</v>
      </c>
      <c r="F12025" s="1" t="str">
        <f>"10.10.33.218"</f>
        <v>10.10.33.218</v>
      </c>
      <c r="G12025" s="1" t="str">
        <f>"9625Y253"</f>
        <v>9625Y253</v>
      </c>
      <c r="H12025" s="1" t="str">
        <f>"대건지 25R2L1"</f>
        <v>대건지 25R2L1</v>
      </c>
      <c r="I12025" s="1" t="s">
        <v>8</v>
      </c>
      <c r="J12025" s="1" t="str">
        <f>"11/11"</f>
        <v>11/11</v>
      </c>
      <c r="K12025" s="1" t="str">
        <f t="shared" ref="K12025:K12033" si="603">"2026-07-29 13:18:11"</f>
        <v>2026-07-29 13:18:11</v>
      </c>
      <c r="L12025" s="1" t="str">
        <f>"2018-01-26 16:00:56"</f>
        <v>2018-01-26 16:00:56</v>
      </c>
      <c r="M12025" s="1" t="s">
        <v>1</v>
      </c>
      <c r="N12025" s="1" t="s">
        <v>38</v>
      </c>
      <c r="O12025" s="1" t="s">
        <v>46</v>
      </c>
    </row>
    <row r="12026" spans="2:15" x14ac:dyDescent="0.3">
      <c r="B12026" s="1" t="s">
        <v>20</v>
      </c>
      <c r="C12026" s="1" t="str">
        <f>"1차"</f>
        <v>1차</v>
      </c>
      <c r="D12026" s="1" t="str">
        <f>"9625Y35500"</f>
        <v>9625Y35500</v>
      </c>
      <c r="E12026" s="1" t="s">
        <v>10</v>
      </c>
      <c r="F12026" s="1" t="str">
        <f>"10.125.129.37"</f>
        <v>10.125.129.37</v>
      </c>
      <c r="G12026" s="1" t="str">
        <f>"9625Y355"</f>
        <v>9625Y355</v>
      </c>
      <c r="H12026" s="1" t="str">
        <f>"대건지 26"</f>
        <v>대건지 26</v>
      </c>
      <c r="I12026" s="1" t="s">
        <v>8</v>
      </c>
      <c r="J12026" s="1" t="str">
        <f>"32/32"</f>
        <v>32/32</v>
      </c>
      <c r="K12026" s="1" t="str">
        <f t="shared" si="603"/>
        <v>2026-07-29 13:18:11</v>
      </c>
      <c r="L12026" s="1" t="str">
        <f>"2014-10-30 14:20:28"</f>
        <v>2014-10-30 14:20:28</v>
      </c>
      <c r="M12026" s="1" t="s">
        <v>45</v>
      </c>
      <c r="N12026" s="1" t="s">
        <v>38</v>
      </c>
      <c r="O12026" s="1" t="s">
        <v>46</v>
      </c>
    </row>
    <row r="12027" spans="2:15" x14ac:dyDescent="0.3">
      <c r="B12027" s="1" t="s">
        <v>20</v>
      </c>
      <c r="C12027" s="1" t="str">
        <f>"4차"</f>
        <v>4차</v>
      </c>
      <c r="D12027" s="1" t="str">
        <f>"9625Y37242"</f>
        <v>9625Y37242</v>
      </c>
      <c r="E12027" s="1" t="s">
        <v>10</v>
      </c>
      <c r="F12027" s="1" t="str">
        <f>"10.125.129.38"</f>
        <v>10.125.129.38</v>
      </c>
      <c r="G12027" s="1" t="str">
        <f>"9625Y372"</f>
        <v>9625Y372</v>
      </c>
      <c r="H12027" s="1" t="str">
        <f>"대건지 25R4"</f>
        <v>대건지 25R4</v>
      </c>
      <c r="I12027" s="1" t="s">
        <v>8</v>
      </c>
      <c r="J12027" s="1" t="str">
        <f>"52/52"</f>
        <v>52/52</v>
      </c>
      <c r="K12027" s="1" t="str">
        <f t="shared" si="603"/>
        <v>2026-07-29 13:18:11</v>
      </c>
      <c r="L12027" s="1" t="str">
        <f>"2025-09-05 09:50:24"</f>
        <v>2025-09-05 09:50:24</v>
      </c>
      <c r="M12027" s="1" t="s">
        <v>45</v>
      </c>
      <c r="N12027" s="1" t="s">
        <v>38</v>
      </c>
      <c r="O12027" s="1" t="s">
        <v>46</v>
      </c>
    </row>
    <row r="12028" spans="2:15" x14ac:dyDescent="0.3">
      <c r="B12028" s="1" t="s">
        <v>20</v>
      </c>
      <c r="C12028" s="1" t="str">
        <f>"1차"</f>
        <v>1차</v>
      </c>
      <c r="D12028" s="1" t="str">
        <f>"9625Y43200"</f>
        <v>9625Y43200</v>
      </c>
      <c r="E12028" s="1" t="s">
        <v>10</v>
      </c>
      <c r="F12028" s="1" t="str">
        <f>"10.125.128.50"</f>
        <v>10.125.128.50</v>
      </c>
      <c r="G12028" s="1" t="str">
        <f>"9625Y432"</f>
        <v>9625Y432</v>
      </c>
      <c r="H12028" s="1" t="str">
        <f>"대건지 30"</f>
        <v>대건지 30</v>
      </c>
      <c r="I12028" s="1" t="s">
        <v>8</v>
      </c>
      <c r="J12028" s="1" t="str">
        <f>"23/23"</f>
        <v>23/23</v>
      </c>
      <c r="K12028" s="1" t="str">
        <f t="shared" si="603"/>
        <v>2026-07-29 13:18:11</v>
      </c>
      <c r="L12028" s="1" t="str">
        <f>"2014-10-27 10:48:01"</f>
        <v>2014-10-27 10:48:01</v>
      </c>
      <c r="M12028" s="1" t="s">
        <v>45</v>
      </c>
      <c r="N12028" s="1" t="s">
        <v>38</v>
      </c>
      <c r="O12028" s="1" t="s">
        <v>46</v>
      </c>
    </row>
    <row r="12029" spans="2:15" x14ac:dyDescent="0.3">
      <c r="B12029" s="1" t="s">
        <v>20</v>
      </c>
      <c r="C12029" s="1" t="str">
        <f>"1차"</f>
        <v>1차</v>
      </c>
      <c r="D12029" s="1" t="str">
        <f>"9625Y44101"</f>
        <v>9625Y44101</v>
      </c>
      <c r="E12029" s="1" t="s">
        <v>10</v>
      </c>
      <c r="F12029" s="1" t="str">
        <f>"10.125.128.51"</f>
        <v>10.125.128.51</v>
      </c>
      <c r="G12029" s="1" t="str">
        <f>"9625Y441"</f>
        <v>9625Y441</v>
      </c>
      <c r="H12029" s="1" t="str">
        <f>"대건지 28"</f>
        <v>대건지 28</v>
      </c>
      <c r="I12029" s="1" t="s">
        <v>8</v>
      </c>
      <c r="J12029" s="1" t="str">
        <f>"39/39"</f>
        <v>39/39</v>
      </c>
      <c r="K12029" s="1" t="str">
        <f t="shared" si="603"/>
        <v>2026-07-29 13:18:11</v>
      </c>
      <c r="L12029" s="1" t="str">
        <f>"2014-10-27 10:50:33"</f>
        <v>2014-10-27 10:50:33</v>
      </c>
      <c r="M12029" s="1" t="s">
        <v>45</v>
      </c>
      <c r="N12029" s="1" t="s">
        <v>38</v>
      </c>
      <c r="O12029" s="1" t="s">
        <v>46</v>
      </c>
    </row>
    <row r="12030" spans="2:15" x14ac:dyDescent="0.3">
      <c r="B12030" s="1" t="s">
        <v>20</v>
      </c>
      <c r="C12030" s="1" t="str">
        <f>"1차"</f>
        <v>1차</v>
      </c>
      <c r="D12030" s="1" t="str">
        <f>"9625Y44200"</f>
        <v>9625Y44200</v>
      </c>
      <c r="E12030" s="1" t="s">
        <v>10</v>
      </c>
      <c r="F12030" s="1" t="str">
        <f>"10.125.129.127"</f>
        <v>10.125.129.127</v>
      </c>
      <c r="G12030" s="1" t="str">
        <f>"9625Y442"</f>
        <v>9625Y442</v>
      </c>
      <c r="H12030" s="1" t="str">
        <f>"대건지 28L1"</f>
        <v>대건지 28L1</v>
      </c>
      <c r="I12030" s="1" t="s">
        <v>8</v>
      </c>
      <c r="J12030" s="1" t="str">
        <f>"10/10"</f>
        <v>10/10</v>
      </c>
      <c r="K12030" s="1" t="str">
        <f t="shared" si="603"/>
        <v>2026-07-29 13:18:11</v>
      </c>
      <c r="L12030" s="1" t="str">
        <f>"2014-11-24 11:23:26"</f>
        <v>2014-11-24 11:23:26</v>
      </c>
      <c r="M12030" s="1" t="s">
        <v>45</v>
      </c>
      <c r="N12030" s="1" t="s">
        <v>38</v>
      </c>
      <c r="O12030" s="1" t="s">
        <v>46</v>
      </c>
    </row>
    <row r="12031" spans="2:15" x14ac:dyDescent="0.3">
      <c r="B12031" s="1" t="s">
        <v>20</v>
      </c>
      <c r="C12031" s="1" t="str">
        <f>"4차"</f>
        <v>4차</v>
      </c>
      <c r="D12031" s="1" t="str">
        <f>"9625Y45241"</f>
        <v>9625Y45241</v>
      </c>
      <c r="E12031" s="1" t="s">
        <v>10</v>
      </c>
      <c r="F12031" s="1" t="str">
        <f>"10.14.4.49"</f>
        <v>10.14.4.49</v>
      </c>
      <c r="G12031" s="1" t="str">
        <f>"9625Y452"</f>
        <v>9625Y452</v>
      </c>
      <c r="H12031" s="1" t="str">
        <f>"대건지 23"</f>
        <v>대건지 23</v>
      </c>
      <c r="I12031" s="1" t="s">
        <v>17</v>
      </c>
      <c r="J12031" s="1" t="str">
        <f>"23/23"</f>
        <v>23/23</v>
      </c>
      <c r="K12031" s="1" t="str">
        <f t="shared" si="603"/>
        <v>2026-07-29 13:18:11</v>
      </c>
      <c r="L12031" s="1" t="str">
        <f>"2021-08-09 13:39:43"</f>
        <v>2021-08-09 13:39:43</v>
      </c>
      <c r="M12031" s="1" t="s">
        <v>3</v>
      </c>
      <c r="N12031" s="1" t="s">
        <v>38</v>
      </c>
      <c r="O12031" s="1" t="s">
        <v>46</v>
      </c>
    </row>
    <row r="12032" spans="2:15" x14ac:dyDescent="0.3">
      <c r="B12032" s="1" t="s">
        <v>20</v>
      </c>
      <c r="C12032" s="1" t="str">
        <f>"3차"</f>
        <v>3차</v>
      </c>
      <c r="D12032" s="1" t="str">
        <f>"9625Y46239"</f>
        <v>9625Y46239</v>
      </c>
      <c r="E12032" s="1" t="s">
        <v>10</v>
      </c>
      <c r="F12032" s="1" t="str">
        <f>"10.10.33.210"</f>
        <v>10.10.33.210</v>
      </c>
      <c r="G12032" s="1" t="str">
        <f>"9625Y462"</f>
        <v>9625Y462</v>
      </c>
      <c r="H12032" s="1" t="str">
        <f>"대건지 25AR2"</f>
        <v>대건지 25AR2</v>
      </c>
      <c r="I12032" s="1" t="s">
        <v>8</v>
      </c>
      <c r="J12032" s="1" t="str">
        <f>"30/30"</f>
        <v>30/30</v>
      </c>
      <c r="K12032" s="1" t="str">
        <f t="shared" si="603"/>
        <v>2026-07-29 13:18:11</v>
      </c>
      <c r="L12032" s="1" t="str">
        <f>"2018-01-26 15:06:41"</f>
        <v>2018-01-26 15:06:41</v>
      </c>
      <c r="M12032" s="1" t="s">
        <v>1</v>
      </c>
      <c r="N12032" s="1" t="s">
        <v>38</v>
      </c>
      <c r="O12032" s="1" t="s">
        <v>46</v>
      </c>
    </row>
    <row r="12033" spans="2:15" x14ac:dyDescent="0.3">
      <c r="B12033" s="1" t="s">
        <v>20</v>
      </c>
      <c r="C12033" s="1" t="str">
        <f>"1차"</f>
        <v>1차</v>
      </c>
      <c r="D12033" s="1" t="str">
        <f>"9625Y46300"</f>
        <v>9625Y46300</v>
      </c>
      <c r="E12033" s="1" t="s">
        <v>10</v>
      </c>
      <c r="F12033" s="1" t="str">
        <f>"10.125.129.39"</f>
        <v>10.125.129.39</v>
      </c>
      <c r="G12033" s="1" t="str">
        <f>"9625Y463"</f>
        <v>9625Y463</v>
      </c>
      <c r="H12033" s="1" t="str">
        <f>"대건지 25AR3"</f>
        <v>대건지 25AR3</v>
      </c>
      <c r="I12033" s="1" t="s">
        <v>8</v>
      </c>
      <c r="J12033" s="1" t="str">
        <f>"17/17"</f>
        <v>17/17</v>
      </c>
      <c r="K12033" s="1" t="str">
        <f t="shared" si="603"/>
        <v>2026-07-29 13:18:11</v>
      </c>
      <c r="L12033" s="1" t="str">
        <f>"2014-09-01 15:41:42"</f>
        <v>2014-09-01 15:41:42</v>
      </c>
      <c r="M12033" s="1" t="s">
        <v>45</v>
      </c>
      <c r="N12033" s="1" t="s">
        <v>38</v>
      </c>
      <c r="O12033" s="1" t="s">
        <v>46</v>
      </c>
    </row>
    <row r="12034" spans="2:15" x14ac:dyDescent="0.3">
      <c r="B12034" s="1" t="s">
        <v>20</v>
      </c>
      <c r="C12034" s="1" t="str">
        <f>"6차"</f>
        <v>6차</v>
      </c>
      <c r="D12034" s="1" t="str">
        <f>"9625Y5216S"</f>
        <v>9625Y5216S</v>
      </c>
      <c r="E12034" s="1" t="s">
        <v>10</v>
      </c>
      <c r="F12034" s="1" t="str">
        <f>"fde1:103:4:c820:0:0:0:2"</f>
        <v>fde1:103:4:c820:0:0:0:2</v>
      </c>
      <c r="G12034" s="1" t="str">
        <f>"9625Y521"</f>
        <v>9625Y521</v>
      </c>
      <c r="H12034" s="1" t="str">
        <f>"대건지 31L1"</f>
        <v>대건지 31L1</v>
      </c>
      <c r="I12034" s="1" t="s">
        <v>15</v>
      </c>
      <c r="J12034" s="1" t="str">
        <f>"47/48"</f>
        <v>47/48</v>
      </c>
      <c r="K12034" s="1" t="str">
        <f>"2026-07-29 14:21:00"</f>
        <v>2026-07-29 14:21:00</v>
      </c>
      <c r="L12034" s="1" t="str">
        <f>"2024-11-21 17:40:49"</f>
        <v>2024-11-21 17:40:49</v>
      </c>
      <c r="M12034" s="1" t="s">
        <v>4</v>
      </c>
      <c r="N12034" s="1" t="s">
        <v>38</v>
      </c>
      <c r="O12034" s="1" t="s">
        <v>46</v>
      </c>
    </row>
    <row r="12035" spans="2:15" x14ac:dyDescent="0.3">
      <c r="B12035" s="1" t="s">
        <v>20</v>
      </c>
      <c r="C12035" s="1" t="str">
        <f>"3차"</f>
        <v>3차</v>
      </c>
      <c r="D12035" s="1" t="str">
        <f>"9625Y54239"</f>
        <v>9625Y54239</v>
      </c>
      <c r="E12035" s="1" t="s">
        <v>10</v>
      </c>
      <c r="F12035" s="1" t="str">
        <f>"10.10.33.226"</f>
        <v>10.10.33.226</v>
      </c>
      <c r="G12035" s="1" t="str">
        <f>"9625Y542"</f>
        <v>9625Y542</v>
      </c>
      <c r="H12035" s="1" t="str">
        <f>"대건지 28L1R1"</f>
        <v>대건지 28L1R1</v>
      </c>
      <c r="I12035" s="1" t="s">
        <v>8</v>
      </c>
      <c r="J12035" s="1" t="str">
        <f>"58/64"</f>
        <v>58/64</v>
      </c>
      <c r="K12035" s="1" t="str">
        <f t="shared" ref="K12035:K12045" si="604">"2026-07-29 13:18:11"</f>
        <v>2026-07-29 13:18:11</v>
      </c>
      <c r="L12035" s="1" t="str">
        <f>"2018-01-26 16:04:57"</f>
        <v>2018-01-26 16:04:57</v>
      </c>
      <c r="M12035" s="1" t="s">
        <v>1</v>
      </c>
      <c r="N12035" s="1" t="s">
        <v>38</v>
      </c>
      <c r="O12035" s="1" t="s">
        <v>46</v>
      </c>
    </row>
    <row r="12036" spans="2:15" x14ac:dyDescent="0.3">
      <c r="B12036" s="1" t="s">
        <v>20</v>
      </c>
      <c r="C12036" s="1" t="str">
        <f>"4차"</f>
        <v>4차</v>
      </c>
      <c r="D12036" s="1" t="str">
        <f>"9625Y55139"</f>
        <v>9625Y55139</v>
      </c>
      <c r="E12036" s="1" t="s">
        <v>10</v>
      </c>
      <c r="F12036" s="1" t="str">
        <f>"10.10.33.130"</f>
        <v>10.10.33.130</v>
      </c>
      <c r="G12036" s="1" t="str">
        <f>"9625Y551"</f>
        <v>9625Y551</v>
      </c>
      <c r="H12036" s="1" t="str">
        <f>"대건지 22"</f>
        <v>대건지 22</v>
      </c>
      <c r="I12036" s="1" t="s">
        <v>8</v>
      </c>
      <c r="J12036" s="1" t="str">
        <f>"34/34"</f>
        <v>34/34</v>
      </c>
      <c r="K12036" s="1" t="str">
        <f t="shared" si="604"/>
        <v>2026-07-29 13:18:11</v>
      </c>
      <c r="L12036" s="1" t="str">
        <f>"2018-01-26 15:04:25"</f>
        <v>2018-01-26 15:04:25</v>
      </c>
      <c r="M12036" s="1" t="s">
        <v>1</v>
      </c>
      <c r="N12036" s="1" t="s">
        <v>38</v>
      </c>
      <c r="O12036" s="1" t="s">
        <v>46</v>
      </c>
    </row>
    <row r="12037" spans="2:15" x14ac:dyDescent="0.3">
      <c r="B12037" s="1" t="s">
        <v>20</v>
      </c>
      <c r="C12037" s="1" t="str">
        <f>"1차"</f>
        <v>1차</v>
      </c>
      <c r="D12037" s="1" t="str">
        <f>"9625Y56201"</f>
        <v>9625Y56201</v>
      </c>
      <c r="E12037" s="1" t="s">
        <v>10</v>
      </c>
      <c r="F12037" s="1" t="str">
        <f>"10.125.128.54"</f>
        <v>10.125.128.54</v>
      </c>
      <c r="G12037" s="1" t="str">
        <f>"9625Y562"</f>
        <v>9625Y562</v>
      </c>
      <c r="H12037" s="1" t="str">
        <f>"대건지 19R2"</f>
        <v>대건지 19R2</v>
      </c>
      <c r="I12037" s="1" t="s">
        <v>8</v>
      </c>
      <c r="J12037" s="1" t="str">
        <f>"35/35"</f>
        <v>35/35</v>
      </c>
      <c r="K12037" s="1" t="str">
        <f t="shared" si="604"/>
        <v>2026-07-29 13:18:11</v>
      </c>
      <c r="L12037" s="1" t="str">
        <f>"2014-09-02 12:55:24"</f>
        <v>2014-09-02 12:55:24</v>
      </c>
      <c r="M12037" s="1" t="s">
        <v>45</v>
      </c>
      <c r="N12037" s="1" t="s">
        <v>38</v>
      </c>
      <c r="O12037" s="1" t="s">
        <v>46</v>
      </c>
    </row>
    <row r="12038" spans="2:15" x14ac:dyDescent="0.3">
      <c r="B12038" s="1" t="s">
        <v>20</v>
      </c>
      <c r="C12038" s="1" t="str">
        <f>"4차"</f>
        <v>4차</v>
      </c>
      <c r="D12038" s="1" t="str">
        <f>"9625Y58242"</f>
        <v>9625Y58242</v>
      </c>
      <c r="E12038" s="1" t="s">
        <v>10</v>
      </c>
      <c r="F12038" s="1" t="str">
        <f>"10.125.128.56"</f>
        <v>10.125.128.56</v>
      </c>
      <c r="G12038" s="1" t="str">
        <f>"9625Y582"</f>
        <v>9625Y582</v>
      </c>
      <c r="H12038" s="1" t="str">
        <f>"대건지 17R3R1"</f>
        <v>대건지 17R3R1</v>
      </c>
      <c r="I12038" s="1" t="s">
        <v>8</v>
      </c>
      <c r="J12038" s="1" t="str">
        <f>"10/10"</f>
        <v>10/10</v>
      </c>
      <c r="K12038" s="1" t="str">
        <f t="shared" si="604"/>
        <v>2026-07-29 13:18:11</v>
      </c>
      <c r="L12038" s="1" t="str">
        <f>"2025-01-13 18:06:05"</f>
        <v>2025-01-13 18:06:05</v>
      </c>
      <c r="M12038" s="1" t="s">
        <v>45</v>
      </c>
      <c r="N12038" s="1" t="s">
        <v>38</v>
      </c>
      <c r="O12038" s="1" t="s">
        <v>46</v>
      </c>
    </row>
    <row r="12039" spans="2:15" x14ac:dyDescent="0.3">
      <c r="B12039" s="1" t="s">
        <v>20</v>
      </c>
      <c r="C12039" s="1" t="str">
        <f>"4차"</f>
        <v>4차</v>
      </c>
      <c r="D12039" s="1" t="str">
        <f>"9625Y59139"</f>
        <v>9625Y59139</v>
      </c>
      <c r="E12039" s="1" t="s">
        <v>10</v>
      </c>
      <c r="F12039" s="1" t="str">
        <f>"10.10.29.90"</f>
        <v>10.10.29.90</v>
      </c>
      <c r="G12039" s="1" t="str">
        <f>"9625Y591"</f>
        <v>9625Y591</v>
      </c>
      <c r="H12039" s="1" t="str">
        <f>"대건지 17R3R2"</f>
        <v>대건지 17R3R2</v>
      </c>
      <c r="I12039" s="1" t="s">
        <v>8</v>
      </c>
      <c r="J12039" s="1" t="str">
        <f>"12/12"</f>
        <v>12/12</v>
      </c>
      <c r="K12039" s="1" t="str">
        <f t="shared" si="604"/>
        <v>2026-07-29 13:18:11</v>
      </c>
      <c r="L12039" s="1" t="str">
        <f>"2018-01-17 19:28:43"</f>
        <v>2018-01-17 19:28:43</v>
      </c>
      <c r="M12039" s="1" t="s">
        <v>1</v>
      </c>
      <c r="N12039" s="1" t="s">
        <v>38</v>
      </c>
      <c r="O12039" s="1" t="s">
        <v>46</v>
      </c>
    </row>
    <row r="12040" spans="2:15" x14ac:dyDescent="0.3">
      <c r="B12040" s="1" t="s">
        <v>20</v>
      </c>
      <c r="C12040" s="1" t="str">
        <f>"4차"</f>
        <v>4차</v>
      </c>
      <c r="D12040" s="1" t="str">
        <f>"9625Y61130"</f>
        <v>9625Y61130</v>
      </c>
      <c r="E12040" s="1" t="s">
        <v>10</v>
      </c>
      <c r="F12040" s="1" t="str">
        <f>"10.10.32.34"</f>
        <v>10.10.32.34</v>
      </c>
      <c r="G12040" s="1" t="str">
        <f>"9625Y611"</f>
        <v>9625Y611</v>
      </c>
      <c r="H12040" s="1" t="str">
        <f>"대건지 34"</f>
        <v>대건지 34</v>
      </c>
      <c r="I12040" s="1" t="s">
        <v>8</v>
      </c>
      <c r="J12040" s="1" t="str">
        <f>"23/23"</f>
        <v>23/23</v>
      </c>
      <c r="K12040" s="1" t="str">
        <f t="shared" si="604"/>
        <v>2026-07-29 13:18:11</v>
      </c>
      <c r="L12040" s="1" t="str">
        <f>"2018-01-26 16:56:58"</f>
        <v>2018-01-26 16:56:58</v>
      </c>
      <c r="M12040" s="1" t="s">
        <v>1</v>
      </c>
      <c r="N12040" s="1" t="s">
        <v>38</v>
      </c>
      <c r="O12040" s="1" t="s">
        <v>46</v>
      </c>
    </row>
    <row r="12041" spans="2:15" x14ac:dyDescent="0.3">
      <c r="B12041" s="1" t="s">
        <v>20</v>
      </c>
      <c r="C12041" s="1" t="str">
        <f>"3차"</f>
        <v>3차</v>
      </c>
      <c r="D12041" s="1" t="str">
        <f>"9625Y61231"</f>
        <v>9625Y61231</v>
      </c>
      <c r="E12041" s="1" t="s">
        <v>10</v>
      </c>
      <c r="F12041" s="1" t="str">
        <f>"10.10.32.35"</f>
        <v>10.10.32.35</v>
      </c>
      <c r="G12041" s="1" t="str">
        <f>"9625Y612"</f>
        <v>9625Y612</v>
      </c>
      <c r="H12041" s="1" t="str">
        <f>"대건지 33"</f>
        <v>대건지 33</v>
      </c>
      <c r="I12041" s="1" t="s">
        <v>8</v>
      </c>
      <c r="J12041" s="1" t="str">
        <f>"7/7"</f>
        <v>7/7</v>
      </c>
      <c r="K12041" s="1" t="str">
        <f t="shared" si="604"/>
        <v>2026-07-29 13:18:11</v>
      </c>
      <c r="L12041" s="1" t="str">
        <f>"2018-03-13 15:59:42"</f>
        <v>2018-03-13 15:59:42</v>
      </c>
      <c r="M12041" s="1" t="s">
        <v>1</v>
      </c>
      <c r="N12041" s="1" t="s">
        <v>38</v>
      </c>
      <c r="O12041" s="1" t="s">
        <v>46</v>
      </c>
    </row>
    <row r="12042" spans="2:15" x14ac:dyDescent="0.3">
      <c r="B12042" s="1" t="s">
        <v>20</v>
      </c>
      <c r="C12042" s="1" t="str">
        <f>"1차"</f>
        <v>1차</v>
      </c>
      <c r="D12042" s="1" t="str">
        <f>"9625Y66200"</f>
        <v>9625Y66200</v>
      </c>
      <c r="E12042" s="1" t="s">
        <v>10</v>
      </c>
      <c r="F12042" s="1" t="str">
        <f>"10.125.128.53"</f>
        <v>10.125.128.53</v>
      </c>
      <c r="G12042" s="1" t="str">
        <f>"9625Y662"</f>
        <v>9625Y662</v>
      </c>
      <c r="H12042" s="1" t="str">
        <f>"대건지 19R1"</f>
        <v>대건지 19R1</v>
      </c>
      <c r="I12042" s="1" t="s">
        <v>8</v>
      </c>
      <c r="J12042" s="1" t="str">
        <f>"45/45"</f>
        <v>45/45</v>
      </c>
      <c r="K12042" s="1" t="str">
        <f t="shared" si="604"/>
        <v>2026-07-29 13:18:11</v>
      </c>
      <c r="L12042" s="1" t="str">
        <f>"2014-09-02 12:55:25"</f>
        <v>2014-09-02 12:55:25</v>
      </c>
      <c r="M12042" s="1" t="s">
        <v>45</v>
      </c>
      <c r="N12042" s="1" t="s">
        <v>38</v>
      </c>
      <c r="O12042" s="1" t="s">
        <v>46</v>
      </c>
    </row>
    <row r="12043" spans="2:15" x14ac:dyDescent="0.3">
      <c r="B12043" s="1" t="s">
        <v>20</v>
      </c>
      <c r="C12043" s="1" t="str">
        <f>"3차"</f>
        <v>3차</v>
      </c>
      <c r="D12043" s="1" t="str">
        <f>"9625Y68239"</f>
        <v>9625Y68239</v>
      </c>
      <c r="E12043" s="1" t="s">
        <v>10</v>
      </c>
      <c r="F12043" s="1" t="str">
        <f>"10.10.29.82"</f>
        <v>10.10.29.82</v>
      </c>
      <c r="G12043" s="1" t="str">
        <f>"9625Y682"</f>
        <v>9625Y682</v>
      </c>
      <c r="H12043" s="1" t="str">
        <f>"대건지 17R2"</f>
        <v>대건지 17R2</v>
      </c>
      <c r="I12043" s="1" t="s">
        <v>8</v>
      </c>
      <c r="J12043" s="1" t="str">
        <f>"82/82"</f>
        <v>82/82</v>
      </c>
      <c r="K12043" s="1" t="str">
        <f t="shared" si="604"/>
        <v>2026-07-29 13:18:11</v>
      </c>
      <c r="L12043" s="1" t="str">
        <f>"2018-01-17 19:17:59"</f>
        <v>2018-01-17 19:17:59</v>
      </c>
      <c r="M12043" s="1" t="s">
        <v>1</v>
      </c>
      <c r="N12043" s="1" t="s">
        <v>38</v>
      </c>
      <c r="O12043" s="1" t="s">
        <v>46</v>
      </c>
    </row>
    <row r="12044" spans="2:15" x14ac:dyDescent="0.3">
      <c r="B12044" s="1" t="s">
        <v>20</v>
      </c>
      <c r="C12044" s="1" t="str">
        <f>"3차"</f>
        <v>3차</v>
      </c>
      <c r="D12044" s="1" t="str">
        <f>"9625Y69139"</f>
        <v>9625Y69139</v>
      </c>
      <c r="E12044" s="1" t="s">
        <v>10</v>
      </c>
      <c r="F12044" s="1" t="str">
        <f>"10.10.29.98"</f>
        <v>10.10.29.98</v>
      </c>
      <c r="G12044" s="1" t="str">
        <f>"9625Y691"</f>
        <v>9625Y691</v>
      </c>
      <c r="H12044" s="1" t="str">
        <f>"대건지 17R3R3"</f>
        <v>대건지 17R3R3</v>
      </c>
      <c r="I12044" s="1" t="s">
        <v>8</v>
      </c>
      <c r="J12044" s="1" t="str">
        <f>"13/13"</f>
        <v>13/13</v>
      </c>
      <c r="K12044" s="1" t="str">
        <f t="shared" si="604"/>
        <v>2026-07-29 13:18:11</v>
      </c>
      <c r="L12044" s="1" t="str">
        <f>"2018-01-26 15:16:56"</f>
        <v>2018-01-26 15:16:56</v>
      </c>
      <c r="M12044" s="1" t="s">
        <v>1</v>
      </c>
      <c r="N12044" s="1" t="s">
        <v>38</v>
      </c>
      <c r="O12044" s="1" t="s">
        <v>46</v>
      </c>
    </row>
    <row r="12045" spans="2:15" x14ac:dyDescent="0.3">
      <c r="B12045" s="1" t="s">
        <v>20</v>
      </c>
      <c r="C12045" s="1" t="str">
        <f>"3차"</f>
        <v>3차</v>
      </c>
      <c r="D12045" s="1" t="str">
        <f>"9625Y69230"</f>
        <v>9625Y69230</v>
      </c>
      <c r="E12045" s="1" t="s">
        <v>10</v>
      </c>
      <c r="F12045" s="1" t="str">
        <f>"10.10.29.122"</f>
        <v>10.10.29.122</v>
      </c>
      <c r="G12045" s="1" t="str">
        <f>"9625Y692"</f>
        <v>9625Y692</v>
      </c>
      <c r="H12045" s="1" t="str">
        <f>"대건지 17R3R5"</f>
        <v>대건지 17R3R5</v>
      </c>
      <c r="I12045" s="1" t="s">
        <v>8</v>
      </c>
      <c r="J12045" s="1" t="str">
        <f>"43/50"</f>
        <v>43/50</v>
      </c>
      <c r="K12045" s="1" t="str">
        <f t="shared" si="604"/>
        <v>2026-07-29 13:18:11</v>
      </c>
      <c r="L12045" s="1" t="str">
        <f>"2018-01-17 19:36:28"</f>
        <v>2018-01-17 19:36:28</v>
      </c>
      <c r="M12045" s="1" t="s">
        <v>1</v>
      </c>
      <c r="N12045" s="1" t="s">
        <v>38</v>
      </c>
      <c r="O12045" s="1" t="s">
        <v>46</v>
      </c>
    </row>
    <row r="12046" spans="2:15" x14ac:dyDescent="0.3">
      <c r="B12046" s="1" t="s">
        <v>20</v>
      </c>
      <c r="C12046" s="1" t="str">
        <f>"6차"</f>
        <v>6차</v>
      </c>
      <c r="D12046" s="1" t="str">
        <f>"9625Y7126S"</f>
        <v>9625Y7126S</v>
      </c>
      <c r="E12046" s="1" t="s">
        <v>10</v>
      </c>
      <c r="F12046" s="1" t="str">
        <f>"fde1:103:4:c681:0:0:0:2"</f>
        <v>fde1:103:4:c681:0:0:0:2</v>
      </c>
      <c r="G12046" s="1" t="str">
        <f>"9625Y712"</f>
        <v>9625Y712</v>
      </c>
      <c r="H12046" s="1" t="str">
        <f>"대건지 35"</f>
        <v>대건지 35</v>
      </c>
      <c r="I12046" s="1" t="s">
        <v>15</v>
      </c>
      <c r="J12046" s="1" t="str">
        <f>"95/96"</f>
        <v>95/96</v>
      </c>
      <c r="K12046" s="1" t="str">
        <f>"2026-07-29 14:20:37"</f>
        <v>2026-07-29 14:20:37</v>
      </c>
      <c r="L12046" s="1" t="str">
        <f>"2024-11-04 15:35:18"</f>
        <v>2024-11-04 15:35:18</v>
      </c>
      <c r="M12046" s="1" t="s">
        <v>4</v>
      </c>
      <c r="N12046" s="1" t="s">
        <v>38</v>
      </c>
      <c r="O12046" s="1" t="s">
        <v>46</v>
      </c>
    </row>
    <row r="12047" spans="2:15" x14ac:dyDescent="0.3">
      <c r="B12047" s="1" t="s">
        <v>20</v>
      </c>
      <c r="C12047" s="1" t="str">
        <f>"6차"</f>
        <v>6차</v>
      </c>
      <c r="D12047" s="1" t="str">
        <f>"9625Y7416S"</f>
        <v>9625Y7416S</v>
      </c>
      <c r="E12047" s="1" t="s">
        <v>10</v>
      </c>
      <c r="F12047" s="1" t="str">
        <f>"fde1:103:4:91ce:0:0:0:2"</f>
        <v>fde1:103:4:91ce:0:0:0:2</v>
      </c>
      <c r="G12047" s="1" t="str">
        <f>"9625Y741"</f>
        <v>9625Y741</v>
      </c>
      <c r="H12047" s="1" t="str">
        <f>"대건지 20L2R1"</f>
        <v>대건지 20L2R1</v>
      </c>
      <c r="I12047" s="1" t="s">
        <v>15</v>
      </c>
      <c r="J12047" s="1" t="str">
        <f>"37/37"</f>
        <v>37/37</v>
      </c>
      <c r="K12047" s="1" t="str">
        <f>"2026-07-29 14:21:00"</f>
        <v>2026-07-29 14:21:00</v>
      </c>
      <c r="L12047" s="1" t="str">
        <f>"2025-02-05 16:35:44"</f>
        <v>2025-02-05 16:35:44</v>
      </c>
      <c r="M12047" s="1" t="s">
        <v>4</v>
      </c>
      <c r="N12047" s="1" t="s">
        <v>38</v>
      </c>
      <c r="O12047" s="1" t="s">
        <v>46</v>
      </c>
    </row>
    <row r="12048" spans="2:15" x14ac:dyDescent="0.3">
      <c r="B12048" s="1" t="s">
        <v>20</v>
      </c>
      <c r="C12048" s="1" t="str">
        <f>"6차"</f>
        <v>6차</v>
      </c>
      <c r="D12048" s="1" t="str">
        <f>"9625Y7516S"</f>
        <v>9625Y7516S</v>
      </c>
      <c r="E12048" s="1" t="s">
        <v>10</v>
      </c>
      <c r="F12048" s="1" t="str">
        <f>"fde1:103:4:c7dc:0:0:0:2"</f>
        <v>fde1:103:4:c7dc:0:0:0:2</v>
      </c>
      <c r="G12048" s="1" t="str">
        <f>"9625Y751"</f>
        <v>9625Y751</v>
      </c>
      <c r="H12048" s="1" t="str">
        <f>"대건지 20L1"</f>
        <v>대건지 20L1</v>
      </c>
      <c r="I12048" s="1" t="s">
        <v>15</v>
      </c>
      <c r="J12048" s="1" t="str">
        <f>"66/76"</f>
        <v>66/76</v>
      </c>
      <c r="K12048" s="1" t="str">
        <f>"2026-07-29 14:20:59"</f>
        <v>2026-07-29 14:20:59</v>
      </c>
      <c r="L12048" s="1" t="str">
        <f>"2024-11-21 17:41:10"</f>
        <v>2024-11-21 17:41:10</v>
      </c>
      <c r="M12048" s="1" t="s">
        <v>4</v>
      </c>
      <c r="N12048" s="1" t="s">
        <v>38</v>
      </c>
      <c r="O12048" s="1" t="s">
        <v>46</v>
      </c>
    </row>
    <row r="12049" spans="2:15" x14ac:dyDescent="0.3">
      <c r="B12049" s="1" t="s">
        <v>20</v>
      </c>
      <c r="C12049" s="1" t="str">
        <f>"4차"</f>
        <v>4차</v>
      </c>
      <c r="D12049" s="1" t="str">
        <f>"9625Y77139"</f>
        <v>9625Y77139</v>
      </c>
      <c r="E12049" s="1" t="s">
        <v>10</v>
      </c>
      <c r="F12049" s="1" t="str">
        <f>"10.10.34.18"</f>
        <v>10.10.34.18</v>
      </c>
      <c r="G12049" s="1" t="str">
        <f>"9625Y771"</f>
        <v>9625Y771</v>
      </c>
      <c r="H12049" s="1" t="str">
        <f>"대건지 17"</f>
        <v>대건지 17</v>
      </c>
      <c r="I12049" s="1" t="s">
        <v>8</v>
      </c>
      <c r="J12049" s="1" t="str">
        <f>"19/19"</f>
        <v>19/19</v>
      </c>
      <c r="K12049" s="1" t="str">
        <f>"2026-07-29 13:18:11"</f>
        <v>2026-07-29 13:18:11</v>
      </c>
      <c r="L12049" s="1" t="str">
        <f>"2018-04-03 17:08:58"</f>
        <v>2018-04-03 17:08:58</v>
      </c>
      <c r="M12049" s="1" t="s">
        <v>1</v>
      </c>
      <c r="N12049" s="1" t="s">
        <v>38</v>
      </c>
      <c r="O12049" s="1" t="s">
        <v>46</v>
      </c>
    </row>
    <row r="12050" spans="2:15" x14ac:dyDescent="0.3">
      <c r="B12050" s="1" t="s">
        <v>20</v>
      </c>
      <c r="C12050" s="1" t="str">
        <f>"1차"</f>
        <v>1차</v>
      </c>
      <c r="D12050" s="1" t="str">
        <f>"9625Y77200"</f>
        <v>9625Y77200</v>
      </c>
      <c r="E12050" s="1" t="s">
        <v>14</v>
      </c>
      <c r="F12050" s="1" t="str">
        <f>"10.125.129.43"</f>
        <v>10.125.129.43</v>
      </c>
      <c r="G12050" s="1" t="str">
        <f>"9625Y772"</f>
        <v>9625Y772</v>
      </c>
      <c r="H12050" s="1" t="str">
        <f>"대건지 17R1"</f>
        <v>대건지 17R1</v>
      </c>
      <c r="I12050" s="1" t="s">
        <v>8</v>
      </c>
      <c r="J12050" s="1" t="str">
        <f>"0/0"</f>
        <v>0/0</v>
      </c>
      <c r="K12050" s="1" t="str">
        <f>"2026-07-01 07:18:10"</f>
        <v>2026-07-01 07:18:10</v>
      </c>
      <c r="L12050" s="1" t="str">
        <f>"2014-12-05 11:28:58"</f>
        <v>2014-12-05 11:28:58</v>
      </c>
      <c r="M12050" s="1" t="s">
        <v>45</v>
      </c>
      <c r="N12050" s="1" t="s">
        <v>44</v>
      </c>
      <c r="O12050" s="1" t="s">
        <v>44</v>
      </c>
    </row>
    <row r="12051" spans="2:15" x14ac:dyDescent="0.3">
      <c r="B12051" s="1" t="s">
        <v>20</v>
      </c>
      <c r="C12051" s="1" t="str">
        <f>"1차"</f>
        <v>1차</v>
      </c>
      <c r="D12051" s="1" t="str">
        <f>"9625Y85200"</f>
        <v>9625Y85200</v>
      </c>
      <c r="E12051" s="1" t="s">
        <v>10</v>
      </c>
      <c r="F12051" s="1" t="str">
        <f>"10.125.128.58"</f>
        <v>10.125.128.58</v>
      </c>
      <c r="G12051" s="1" t="str">
        <f>"9625Y852"</f>
        <v>9625Y852</v>
      </c>
      <c r="H12051" s="1" t="str">
        <f>"대건지 20L2"</f>
        <v>대건지 20L2</v>
      </c>
      <c r="I12051" s="1" t="s">
        <v>8</v>
      </c>
      <c r="J12051" s="1" t="str">
        <f>"30/30"</f>
        <v>30/30</v>
      </c>
      <c r="K12051" s="1" t="str">
        <f>"2026-07-29 13:18:10"</f>
        <v>2026-07-29 13:18:10</v>
      </c>
      <c r="L12051" s="1" t="str">
        <f>"2014-09-02 13:09:46"</f>
        <v>2014-09-02 13:09:46</v>
      </c>
      <c r="M12051" s="1" t="s">
        <v>45</v>
      </c>
      <c r="N12051" s="1" t="s">
        <v>38</v>
      </c>
      <c r="O12051" s="1" t="s">
        <v>46</v>
      </c>
    </row>
    <row r="12052" spans="2:15" x14ac:dyDescent="0.3">
      <c r="B12052" s="1" t="s">
        <v>20</v>
      </c>
      <c r="C12052" s="1" t="str">
        <f>"3차"</f>
        <v>3차</v>
      </c>
      <c r="D12052" s="1" t="str">
        <f>"9625Y86339"</f>
        <v>9625Y86339</v>
      </c>
      <c r="E12052" s="1" t="s">
        <v>10</v>
      </c>
      <c r="F12052" s="1" t="str">
        <f>"10.10.33.146"</f>
        <v>10.10.33.146</v>
      </c>
      <c r="G12052" s="1" t="str">
        <f>"9625Y863"</f>
        <v>9625Y863</v>
      </c>
      <c r="H12052" s="1" t="str">
        <f>"대건지 15L1"</f>
        <v>대건지 15L1</v>
      </c>
      <c r="I12052" s="1" t="s">
        <v>8</v>
      </c>
      <c r="J12052" s="1" t="str">
        <f>"35/45"</f>
        <v>35/45</v>
      </c>
      <c r="K12052" s="1" t="str">
        <f>"2026-07-29 13:18:11"</f>
        <v>2026-07-29 13:18:11</v>
      </c>
      <c r="L12052" s="1" t="str">
        <f>"2018-03-28 11:50:11"</f>
        <v>2018-03-28 11:50:11</v>
      </c>
      <c r="M12052" s="1" t="s">
        <v>1</v>
      </c>
      <c r="N12052" s="1" t="s">
        <v>38</v>
      </c>
      <c r="O12052" s="1" t="s">
        <v>46</v>
      </c>
    </row>
    <row r="12053" spans="2:15" x14ac:dyDescent="0.3">
      <c r="B12053" s="1" t="s">
        <v>20</v>
      </c>
      <c r="C12053" s="1" t="str">
        <f>"3차"</f>
        <v>3차</v>
      </c>
      <c r="D12053" s="1" t="str">
        <f>"9625Y87139"</f>
        <v>9625Y87139</v>
      </c>
      <c r="E12053" s="1" t="s">
        <v>10</v>
      </c>
      <c r="F12053" s="1" t="str">
        <f>"10.10.29.34"</f>
        <v>10.10.29.34</v>
      </c>
      <c r="G12053" s="1" t="str">
        <f>"9625Y871"</f>
        <v>9625Y871</v>
      </c>
      <c r="H12053" s="1" t="str">
        <f>"대건지 16"</f>
        <v>대건지 16</v>
      </c>
      <c r="I12053" s="1" t="s">
        <v>8</v>
      </c>
      <c r="J12053" s="1" t="str">
        <f>"28/28"</f>
        <v>28/28</v>
      </c>
      <c r="K12053" s="1" t="str">
        <f>"2026-07-29 13:18:11"</f>
        <v>2026-07-29 13:18:11</v>
      </c>
      <c r="L12053" s="1" t="str">
        <f>"2018-02-06 14:47:27"</f>
        <v>2018-02-06 14:47:27</v>
      </c>
      <c r="M12053" s="1" t="s">
        <v>1</v>
      </c>
      <c r="N12053" s="1" t="s">
        <v>38</v>
      </c>
      <c r="O12053" s="1" t="s">
        <v>46</v>
      </c>
    </row>
    <row r="12054" spans="2:15" x14ac:dyDescent="0.3">
      <c r="B12054" s="1" t="s">
        <v>20</v>
      </c>
      <c r="C12054" s="1" t="str">
        <f>"4차"</f>
        <v>4차</v>
      </c>
      <c r="D12054" s="1" t="str">
        <f>"9625Y87239"</f>
        <v>9625Y87239</v>
      </c>
      <c r="E12054" s="1" t="s">
        <v>10</v>
      </c>
      <c r="F12054" s="1" t="str">
        <f>"10.12.133.81"</f>
        <v>10.12.133.81</v>
      </c>
      <c r="G12054" s="1" t="str">
        <f>"9625Y872"</f>
        <v>9625Y872</v>
      </c>
      <c r="H12054" s="1" t="str">
        <f>"대건지 16L1"</f>
        <v>대건지 16L1</v>
      </c>
      <c r="I12054" s="1" t="s">
        <v>8</v>
      </c>
      <c r="J12054" s="1" t="str">
        <f>"28/28"</f>
        <v>28/28</v>
      </c>
      <c r="K12054" s="1" t="str">
        <f>"2026-07-29 07:18:12"</f>
        <v>2026-07-29 07:18:12</v>
      </c>
      <c r="L12054" s="1" t="str">
        <f>"2018-07-23 17:05:42"</f>
        <v>2018-07-23 17:05:42</v>
      </c>
      <c r="M12054" s="1" t="s">
        <v>0</v>
      </c>
      <c r="N12054" s="1" t="s">
        <v>38</v>
      </c>
      <c r="O12054" s="1" t="s">
        <v>46</v>
      </c>
    </row>
    <row r="12055" spans="2:15" x14ac:dyDescent="0.3">
      <c r="B12055" s="1" t="s">
        <v>20</v>
      </c>
      <c r="C12055" s="1" t="str">
        <f>"1차"</f>
        <v>1차</v>
      </c>
      <c r="D12055" s="1" t="str">
        <f>"9625Y89100"</f>
        <v>9625Y89100</v>
      </c>
      <c r="E12055" s="1" t="s">
        <v>10</v>
      </c>
      <c r="F12055" s="1" t="str">
        <f>"10.125.128.44"</f>
        <v>10.125.128.44</v>
      </c>
      <c r="G12055" s="1" t="str">
        <f>"9625Y891"</f>
        <v>9625Y891</v>
      </c>
      <c r="H12055" s="1" t="str">
        <f>"대건지 16R3"</f>
        <v>대건지 16R3</v>
      </c>
      <c r="I12055" s="1" t="s">
        <v>8</v>
      </c>
      <c r="J12055" s="1" t="str">
        <f>"26/28"</f>
        <v>26/28</v>
      </c>
      <c r="K12055" s="1" t="str">
        <f>"2026-07-29 13:18:02"</f>
        <v>2026-07-29 13:18:02</v>
      </c>
      <c r="L12055" s="1" t="str">
        <f>"2014-09-02 12:55:50"</f>
        <v>2014-09-02 12:55:50</v>
      </c>
      <c r="M12055" s="1" t="s">
        <v>45</v>
      </c>
      <c r="N12055" s="1" t="s">
        <v>38</v>
      </c>
      <c r="O12055" s="1" t="s">
        <v>46</v>
      </c>
    </row>
    <row r="12056" spans="2:15" x14ac:dyDescent="0.3">
      <c r="B12056" s="1" t="s">
        <v>20</v>
      </c>
      <c r="C12056" s="1" t="str">
        <f>"6차"</f>
        <v>6차</v>
      </c>
      <c r="D12056" s="1" t="str">
        <f>"9625Y8926S"</f>
        <v>9625Y8926S</v>
      </c>
      <c r="E12056" s="1" t="s">
        <v>10</v>
      </c>
      <c r="F12056" s="1" t="str">
        <f>"fde1:103:4:91d5:0:0:0:2"</f>
        <v>fde1:103:4:91d5:0:0:0:2</v>
      </c>
      <c r="G12056" s="1" t="str">
        <f>"9625Y892"</f>
        <v>9625Y892</v>
      </c>
      <c r="H12056" s="1" t="str">
        <f>"대건지 16R2"</f>
        <v>대건지 16R2</v>
      </c>
      <c r="I12056" s="1" t="s">
        <v>15</v>
      </c>
      <c r="J12056" s="1" t="str">
        <f>"21/21"</f>
        <v>21/21</v>
      </c>
      <c r="K12056" s="1" t="str">
        <f>"2026-07-29 14:20:54"</f>
        <v>2026-07-29 14:20:54</v>
      </c>
      <c r="L12056" s="1" t="str">
        <f>"2025-02-24 13:16:24"</f>
        <v>2025-02-24 13:16:24</v>
      </c>
      <c r="M12056" s="1" t="s">
        <v>4</v>
      </c>
      <c r="N12056" s="1" t="s">
        <v>38</v>
      </c>
      <c r="O12056" s="1" t="s">
        <v>46</v>
      </c>
    </row>
    <row r="12057" spans="2:15" x14ac:dyDescent="0.3">
      <c r="B12057" s="1" t="s">
        <v>20</v>
      </c>
      <c r="C12057" s="1" t="str">
        <f>"3차"</f>
        <v>3차</v>
      </c>
      <c r="D12057" s="1" t="str">
        <f>"9625Y95239"</f>
        <v>9625Y95239</v>
      </c>
      <c r="E12057" s="1" t="s">
        <v>10</v>
      </c>
      <c r="F12057" s="1" t="str">
        <f>"10.10.28.162"</f>
        <v>10.10.28.162</v>
      </c>
      <c r="G12057" s="1" t="str">
        <f>"9625Y952"</f>
        <v>9625Y952</v>
      </c>
      <c r="H12057" s="1" t="str">
        <f>"당포간 2R15R2"</f>
        <v>당포간 2R15R2</v>
      </c>
      <c r="I12057" s="1" t="s">
        <v>8</v>
      </c>
      <c r="J12057" s="1" t="str">
        <f>"19/19"</f>
        <v>19/19</v>
      </c>
      <c r="K12057" s="1" t="str">
        <f>"2026-07-29 13:18:11"</f>
        <v>2026-07-29 13:18:11</v>
      </c>
      <c r="L12057" s="1" t="str">
        <f>"2018-01-16 09:54:39"</f>
        <v>2018-01-16 09:54:39</v>
      </c>
      <c r="M12057" s="1" t="s">
        <v>1</v>
      </c>
      <c r="N12057" s="1" t="s">
        <v>38</v>
      </c>
      <c r="O12057" s="1" t="s">
        <v>46</v>
      </c>
    </row>
    <row r="12058" spans="2:15" x14ac:dyDescent="0.3">
      <c r="B12058" s="1" t="s">
        <v>20</v>
      </c>
      <c r="C12058" s="1" t="str">
        <f>"3차"</f>
        <v>3차</v>
      </c>
      <c r="D12058" s="1" t="str">
        <f>"9625Y95539"</f>
        <v>9625Y95539</v>
      </c>
      <c r="E12058" s="1" t="s">
        <v>10</v>
      </c>
      <c r="F12058" s="1" t="str">
        <f>"10.12.128.77"</f>
        <v>10.12.128.77</v>
      </c>
      <c r="G12058" s="1" t="str">
        <f>"9625Y955"</f>
        <v>9625Y955</v>
      </c>
      <c r="H12058" s="1" t="str">
        <f>"당포간 2R15R3"</f>
        <v>당포간 2R15R3</v>
      </c>
      <c r="I12058" s="1" t="s">
        <v>8</v>
      </c>
      <c r="J12058" s="1" t="str">
        <f>"2/2"</f>
        <v>2/2</v>
      </c>
      <c r="K12058" s="1" t="str">
        <f>"2026-07-29 07:18:11"</f>
        <v>2026-07-29 07:18:11</v>
      </c>
      <c r="L12058" s="1" t="str">
        <f>"2018-03-27 11:29:26"</f>
        <v>2018-03-27 11:29:26</v>
      </c>
      <c r="M12058" s="1" t="s">
        <v>0</v>
      </c>
      <c r="N12058" s="1" t="s">
        <v>38</v>
      </c>
      <c r="O12058" s="1" t="s">
        <v>46</v>
      </c>
    </row>
    <row r="12059" spans="2:15" x14ac:dyDescent="0.3">
      <c r="B12059" s="1" t="s">
        <v>20</v>
      </c>
      <c r="C12059" s="1" t="str">
        <f>"3차"</f>
        <v>3차</v>
      </c>
      <c r="D12059" s="1" t="str">
        <f>"9625Y97139"</f>
        <v>9625Y97139</v>
      </c>
      <c r="E12059" s="1" t="s">
        <v>10</v>
      </c>
      <c r="F12059" s="1" t="str">
        <f>"10.10.37.162"</f>
        <v>10.10.37.162</v>
      </c>
      <c r="G12059" s="1" t="str">
        <f>"9625Y971"</f>
        <v>9625Y971</v>
      </c>
      <c r="H12059" s="1" t="str">
        <f>"대건지 15"</f>
        <v>대건지 15</v>
      </c>
      <c r="I12059" s="1" t="s">
        <v>8</v>
      </c>
      <c r="J12059" s="1" t="str">
        <f>"45/45"</f>
        <v>45/45</v>
      </c>
      <c r="K12059" s="1" t="str">
        <f>"2026-07-29 13:18:11"</f>
        <v>2026-07-29 13:18:11</v>
      </c>
      <c r="L12059" s="1" t="str">
        <f>"2018-03-28 11:51:56"</f>
        <v>2018-03-28 11:51:56</v>
      </c>
      <c r="M12059" s="1" t="s">
        <v>1</v>
      </c>
      <c r="N12059" s="1" t="s">
        <v>38</v>
      </c>
      <c r="O12059" s="1" t="s">
        <v>46</v>
      </c>
    </row>
    <row r="12060" spans="2:15" x14ac:dyDescent="0.3">
      <c r="B12060" s="1" t="s">
        <v>20</v>
      </c>
      <c r="C12060" s="1" t="str">
        <f>"3차"</f>
        <v>3차</v>
      </c>
      <c r="D12060" s="1" t="str">
        <f>"9625Z05139"</f>
        <v>9625Z05139</v>
      </c>
      <c r="E12060" s="1" t="s">
        <v>10</v>
      </c>
      <c r="F12060" s="1" t="str">
        <f>"10.10.28.154"</f>
        <v>10.10.28.154</v>
      </c>
      <c r="G12060" s="1" t="str">
        <f>"9625Z051"</f>
        <v>9625Z051</v>
      </c>
      <c r="H12060" s="1" t="str">
        <f>"당포간 2R15R1"</f>
        <v>당포간 2R15R1</v>
      </c>
      <c r="I12060" s="1" t="s">
        <v>8</v>
      </c>
      <c r="J12060" s="1" t="str">
        <f>"18/18"</f>
        <v>18/18</v>
      </c>
      <c r="K12060" s="1" t="str">
        <f>"2026-07-29 13:18:11"</f>
        <v>2026-07-29 13:18:11</v>
      </c>
      <c r="L12060" s="1" t="str">
        <f>"2018-01-16 09:53:54"</f>
        <v>2018-01-16 09:53:54</v>
      </c>
      <c r="M12060" s="1" t="s">
        <v>1</v>
      </c>
      <c r="N12060" s="1" t="s">
        <v>38</v>
      </c>
      <c r="O12060" s="1" t="s">
        <v>46</v>
      </c>
    </row>
    <row r="12061" spans="2:15" x14ac:dyDescent="0.3">
      <c r="B12061" s="1" t="s">
        <v>20</v>
      </c>
      <c r="C12061" s="1" t="str">
        <f>"1차"</f>
        <v>1차</v>
      </c>
      <c r="D12061" s="1" t="str">
        <f>"9625Z06200"</f>
        <v>9625Z06200</v>
      </c>
      <c r="E12061" s="1" t="s">
        <v>10</v>
      </c>
      <c r="F12061" s="1" t="str">
        <f>"10.125.128.63"</f>
        <v>10.125.128.63</v>
      </c>
      <c r="G12061" s="1" t="str">
        <f>"9625Z062"</f>
        <v>9625Z062</v>
      </c>
      <c r="H12061" s="1" t="str">
        <f>"대건지 14"</f>
        <v>대건지 14</v>
      </c>
      <c r="I12061" s="1" t="s">
        <v>8</v>
      </c>
      <c r="J12061" s="1" t="str">
        <f>"33/33"</f>
        <v>33/33</v>
      </c>
      <c r="K12061" s="1" t="str">
        <f>"2026-07-29 13:18:10"</f>
        <v>2026-07-29 13:18:10</v>
      </c>
      <c r="L12061" s="1" t="str">
        <f>"2014-10-29 17:19:26"</f>
        <v>2014-10-29 17:19:26</v>
      </c>
      <c r="M12061" s="1" t="s">
        <v>45</v>
      </c>
      <c r="N12061" s="1" t="s">
        <v>38</v>
      </c>
      <c r="O12061" s="1" t="s">
        <v>46</v>
      </c>
    </row>
    <row r="12062" spans="2:15" x14ac:dyDescent="0.3">
      <c r="B12062" s="1" t="s">
        <v>20</v>
      </c>
      <c r="C12062" s="1" t="str">
        <f>"1차"</f>
        <v>1차</v>
      </c>
      <c r="D12062" s="1" t="str">
        <f>"9625Z07201"</f>
        <v>9625Z07201</v>
      </c>
      <c r="E12062" s="1" t="s">
        <v>10</v>
      </c>
      <c r="F12062" s="1" t="str">
        <f>"10.125.128.64"</f>
        <v>10.125.128.64</v>
      </c>
      <c r="G12062" s="1" t="str">
        <f>"9625Z072"</f>
        <v>9625Z072</v>
      </c>
      <c r="H12062" s="1" t="str">
        <f>"대건지 14H1R2"</f>
        <v>대건지 14H1R2</v>
      </c>
      <c r="I12062" s="1" t="s">
        <v>8</v>
      </c>
      <c r="J12062" s="1" t="str">
        <f>"55/58"</f>
        <v>55/58</v>
      </c>
      <c r="K12062" s="1" t="str">
        <f>"2026-07-29 13:18:10"</f>
        <v>2026-07-29 13:18:10</v>
      </c>
      <c r="L12062" s="1" t="str">
        <f>"2014-10-29 17:20:56"</f>
        <v>2014-10-29 17:20:56</v>
      </c>
      <c r="M12062" s="1" t="s">
        <v>45</v>
      </c>
      <c r="N12062" s="1" t="s">
        <v>38</v>
      </c>
      <c r="O12062" s="1" t="s">
        <v>46</v>
      </c>
    </row>
    <row r="12063" spans="2:15" x14ac:dyDescent="0.3">
      <c r="B12063" s="1" t="s">
        <v>20</v>
      </c>
      <c r="C12063" s="1" t="str">
        <f>"3차"</f>
        <v>3차</v>
      </c>
      <c r="D12063" s="1" t="str">
        <f>"9625Z08130"</f>
        <v>9625Z08130</v>
      </c>
      <c r="E12063" s="1" t="s">
        <v>10</v>
      </c>
      <c r="F12063" s="1" t="str">
        <f>"10.10.29.74"</f>
        <v>10.10.29.74</v>
      </c>
      <c r="G12063" s="1" t="str">
        <f>"9625Z081"</f>
        <v>9625Z081</v>
      </c>
      <c r="H12063" s="1" t="str">
        <f>"대건지 14H1R3"</f>
        <v>대건지 14H1R3</v>
      </c>
      <c r="I12063" s="1" t="s">
        <v>8</v>
      </c>
      <c r="J12063" s="1" t="str">
        <f>"18/18"</f>
        <v>18/18</v>
      </c>
      <c r="K12063" s="1" t="str">
        <f>"2026-07-29 13:18:11"</f>
        <v>2026-07-29 13:18:11</v>
      </c>
      <c r="L12063" s="1" t="str">
        <f>"2018-03-19 15:05:26"</f>
        <v>2018-03-19 15:05:26</v>
      </c>
      <c r="M12063" s="1" t="s">
        <v>1</v>
      </c>
      <c r="N12063" s="1" t="s">
        <v>38</v>
      </c>
      <c r="O12063" s="1" t="s">
        <v>46</v>
      </c>
    </row>
    <row r="12064" spans="2:15" x14ac:dyDescent="0.3">
      <c r="B12064" s="1" t="s">
        <v>20</v>
      </c>
      <c r="C12064" s="1" t="str">
        <f>"4차"</f>
        <v>4차</v>
      </c>
      <c r="D12064" s="1" t="str">
        <f>"9625Z14231"</f>
        <v>9625Z14231</v>
      </c>
      <c r="E12064" s="1" t="s">
        <v>10</v>
      </c>
      <c r="F12064" s="1" t="str">
        <f>"10.14.13.183"</f>
        <v>10.14.13.183</v>
      </c>
      <c r="G12064" s="1" t="str">
        <f>"9625Z142"</f>
        <v>9625Z142</v>
      </c>
      <c r="H12064" s="1" t="str">
        <f>"당포간 2R14"</f>
        <v>당포간 2R14</v>
      </c>
      <c r="I12064" s="1" t="s">
        <v>8</v>
      </c>
      <c r="J12064" s="1" t="str">
        <f>"36/36"</f>
        <v>36/36</v>
      </c>
      <c r="K12064" s="1" t="str">
        <f>"2026-07-29 13:18:12"</f>
        <v>2026-07-29 13:18:12</v>
      </c>
      <c r="L12064" s="1" t="str">
        <f>"2018-03-13 14:59:12"</f>
        <v>2018-03-13 14:59:12</v>
      </c>
      <c r="M12064" s="1" t="s">
        <v>3</v>
      </c>
      <c r="N12064" s="1" t="s">
        <v>38</v>
      </c>
      <c r="O12064" s="1" t="s">
        <v>46</v>
      </c>
    </row>
    <row r="12065" spans="2:15" x14ac:dyDescent="0.3">
      <c r="B12065" s="1" t="s">
        <v>20</v>
      </c>
      <c r="C12065" s="1" t="str">
        <f>"3차"</f>
        <v>3차</v>
      </c>
      <c r="D12065" s="1" t="str">
        <f>"9625Z16130"</f>
        <v>9625Z16130</v>
      </c>
      <c r="E12065" s="1" t="s">
        <v>10</v>
      </c>
      <c r="F12065" s="1" t="str">
        <f>"10.10.29.26"</f>
        <v>10.10.29.26</v>
      </c>
      <c r="G12065" s="1" t="str">
        <f>"9625Z161"</f>
        <v>9625Z161</v>
      </c>
      <c r="H12065" s="1" t="str">
        <f>"대건지 10"</f>
        <v>대건지 10</v>
      </c>
      <c r="I12065" s="1" t="s">
        <v>8</v>
      </c>
      <c r="J12065" s="1" t="str">
        <f>"10/10"</f>
        <v>10/10</v>
      </c>
      <c r="K12065" s="1" t="str">
        <f>"2026-07-29 13:18:11"</f>
        <v>2026-07-29 13:18:11</v>
      </c>
      <c r="L12065" s="1" t="str">
        <f>"2018-01-16 10:04:54"</f>
        <v>2018-01-16 10:04:54</v>
      </c>
      <c r="M12065" s="1" t="s">
        <v>1</v>
      </c>
      <c r="N12065" s="1" t="s">
        <v>38</v>
      </c>
      <c r="O12065" s="1" t="s">
        <v>46</v>
      </c>
    </row>
    <row r="12066" spans="2:15" x14ac:dyDescent="0.3">
      <c r="B12066" s="1" t="s">
        <v>20</v>
      </c>
      <c r="C12066" s="1" t="str">
        <f>"3차"</f>
        <v>3차</v>
      </c>
      <c r="D12066" s="1" t="str">
        <f>"9625Z16331"</f>
        <v>9625Z16331</v>
      </c>
      <c r="E12066" s="1" t="s">
        <v>10</v>
      </c>
      <c r="F12066" s="1" t="str">
        <f>"10.10.29.27"</f>
        <v>10.10.29.27</v>
      </c>
      <c r="G12066" s="1" t="str">
        <f>"9625Z163"</f>
        <v>9625Z163</v>
      </c>
      <c r="H12066" s="1" t="str">
        <f>"대건지 12"</f>
        <v>대건지 12</v>
      </c>
      <c r="I12066" s="1" t="s">
        <v>8</v>
      </c>
      <c r="J12066" s="1" t="str">
        <f>"63/63"</f>
        <v>63/63</v>
      </c>
      <c r="K12066" s="1" t="str">
        <f t="shared" ref="K12066:K12073" si="605">"2026-07-29 13:18:10"</f>
        <v>2026-07-29 13:18:10</v>
      </c>
      <c r="L12066" s="1" t="str">
        <f>"2018-02-10 16:23:27"</f>
        <v>2018-02-10 16:23:27</v>
      </c>
      <c r="M12066" s="1" t="s">
        <v>1</v>
      </c>
      <c r="N12066" s="1" t="s">
        <v>38</v>
      </c>
      <c r="O12066" s="1" t="s">
        <v>46</v>
      </c>
    </row>
    <row r="12067" spans="2:15" x14ac:dyDescent="0.3">
      <c r="B12067" s="1" t="s">
        <v>20</v>
      </c>
      <c r="C12067" s="1" t="str">
        <f>"3차"</f>
        <v>3차</v>
      </c>
      <c r="D12067" s="1" t="str">
        <f>"9625Z17139"</f>
        <v>9625Z17139</v>
      </c>
      <c r="E12067" s="1" t="s">
        <v>10</v>
      </c>
      <c r="F12067" s="1" t="str">
        <f>"10.10.29.50"</f>
        <v>10.10.29.50</v>
      </c>
      <c r="G12067" s="1" t="str">
        <f>"9625Z171"</f>
        <v>9625Z171</v>
      </c>
      <c r="H12067" s="1" t="str">
        <f>"대건지 10R1"</f>
        <v>대건지 10R1</v>
      </c>
      <c r="I12067" s="1" t="s">
        <v>8</v>
      </c>
      <c r="J12067" s="1" t="str">
        <f>"62/62"</f>
        <v>62/62</v>
      </c>
      <c r="K12067" s="1" t="str">
        <f t="shared" si="605"/>
        <v>2026-07-29 13:18:10</v>
      </c>
      <c r="L12067" s="1" t="str">
        <f>"2018-01-16 10:02:08"</f>
        <v>2018-01-16 10:02:08</v>
      </c>
      <c r="M12067" s="1" t="s">
        <v>1</v>
      </c>
      <c r="N12067" s="1" t="s">
        <v>38</v>
      </c>
      <c r="O12067" s="1" t="s">
        <v>46</v>
      </c>
    </row>
    <row r="12068" spans="2:15" x14ac:dyDescent="0.3">
      <c r="B12068" s="1" t="s">
        <v>20</v>
      </c>
      <c r="C12068" s="1" t="str">
        <f>"3차"</f>
        <v>3차</v>
      </c>
      <c r="D12068" s="1" t="str">
        <f>"9625Z19331"</f>
        <v>9625Z19331</v>
      </c>
      <c r="E12068" s="1" t="s">
        <v>10</v>
      </c>
      <c r="F12068" s="1" t="str">
        <f>"10.10.29.75"</f>
        <v>10.10.29.75</v>
      </c>
      <c r="G12068" s="1" t="str">
        <f>"9625Z193"</f>
        <v>9625Z193</v>
      </c>
      <c r="H12068" s="1" t="str">
        <f>"대건지 14H1R5"</f>
        <v>대건지 14H1R5</v>
      </c>
      <c r="I12068" s="1" t="s">
        <v>8</v>
      </c>
      <c r="J12068" s="1" t="str">
        <f>"50/50"</f>
        <v>50/50</v>
      </c>
      <c r="K12068" s="1" t="str">
        <f t="shared" si="605"/>
        <v>2026-07-29 13:18:10</v>
      </c>
      <c r="L12068" s="1" t="str">
        <f>"2018-04-24 16:39:12"</f>
        <v>2018-04-24 16:39:12</v>
      </c>
      <c r="M12068" s="1" t="s">
        <v>1</v>
      </c>
      <c r="N12068" s="1" t="s">
        <v>38</v>
      </c>
      <c r="O12068" s="1" t="s">
        <v>46</v>
      </c>
    </row>
    <row r="12069" spans="2:15" x14ac:dyDescent="0.3">
      <c r="B12069" s="1" t="s">
        <v>20</v>
      </c>
      <c r="C12069" s="1" t="str">
        <f>"3차"</f>
        <v>3차</v>
      </c>
      <c r="D12069" s="1" t="str">
        <f>"9625Z19531"</f>
        <v>9625Z19531</v>
      </c>
      <c r="E12069" s="1" t="s">
        <v>10</v>
      </c>
      <c r="F12069" s="1" t="str">
        <f>"10.10.29.67"</f>
        <v>10.10.29.67</v>
      </c>
      <c r="G12069" s="1" t="str">
        <f>"9625Z195"</f>
        <v>9625Z195</v>
      </c>
      <c r="H12069" s="1" t="str">
        <f>"대건지 10R7"</f>
        <v>대건지 10R7</v>
      </c>
      <c r="I12069" s="1" t="s">
        <v>8</v>
      </c>
      <c r="J12069" s="1" t="str">
        <f>"25/25"</f>
        <v>25/25</v>
      </c>
      <c r="K12069" s="1" t="str">
        <f t="shared" si="605"/>
        <v>2026-07-29 13:18:10</v>
      </c>
      <c r="L12069" s="1" t="str">
        <f>"2018-02-12 10:33:38"</f>
        <v>2018-02-12 10:33:38</v>
      </c>
      <c r="M12069" s="1" t="s">
        <v>1</v>
      </c>
      <c r="N12069" s="1" t="s">
        <v>38</v>
      </c>
      <c r="O12069" s="1" t="s">
        <v>46</v>
      </c>
    </row>
    <row r="12070" spans="2:15" x14ac:dyDescent="0.3">
      <c r="B12070" s="1" t="s">
        <v>20</v>
      </c>
      <c r="C12070" s="1" t="str">
        <f>"4차"</f>
        <v>4차</v>
      </c>
      <c r="D12070" s="1" t="str">
        <f>"9625Z28139"</f>
        <v>9625Z28139</v>
      </c>
      <c r="E12070" s="1" t="s">
        <v>10</v>
      </c>
      <c r="F12070" s="1" t="str">
        <f>"10.10.29.58"</f>
        <v>10.10.29.58</v>
      </c>
      <c r="G12070" s="1" t="str">
        <f>"9625Z281"</f>
        <v>9625Z281</v>
      </c>
      <c r="H12070" s="1" t="str">
        <f>"대건지 10R2"</f>
        <v>대건지 10R2</v>
      </c>
      <c r="I12070" s="1" t="s">
        <v>8</v>
      </c>
      <c r="J12070" s="1" t="str">
        <f>"43/43"</f>
        <v>43/43</v>
      </c>
      <c r="K12070" s="1" t="str">
        <f t="shared" si="605"/>
        <v>2026-07-29 13:18:10</v>
      </c>
      <c r="L12070" s="1" t="str">
        <f>"2018-03-09 16:52:27"</f>
        <v>2018-03-09 16:52:27</v>
      </c>
      <c r="M12070" s="1" t="s">
        <v>1</v>
      </c>
      <c r="N12070" s="1" t="s">
        <v>38</v>
      </c>
      <c r="O12070" s="1" t="s">
        <v>46</v>
      </c>
    </row>
    <row r="12071" spans="2:15" x14ac:dyDescent="0.3">
      <c r="B12071" s="1" t="s">
        <v>20</v>
      </c>
      <c r="C12071" s="1" t="str">
        <f>"3차"</f>
        <v>3차</v>
      </c>
      <c r="D12071" s="1" t="str">
        <f>"9625Z29130"</f>
        <v>9625Z29130</v>
      </c>
      <c r="E12071" s="1" t="s">
        <v>10</v>
      </c>
      <c r="F12071" s="1" t="str">
        <f>"10.10.29.66"</f>
        <v>10.10.29.66</v>
      </c>
      <c r="G12071" s="1" t="str">
        <f>"9625Z291"</f>
        <v>9625Z291</v>
      </c>
      <c r="H12071" s="1" t="str">
        <f>"대건지 10R5"</f>
        <v>대건지 10R5</v>
      </c>
      <c r="I12071" s="1" t="s">
        <v>8</v>
      </c>
      <c r="J12071" s="1" t="str">
        <f>"40/44"</f>
        <v>40/44</v>
      </c>
      <c r="K12071" s="1" t="str">
        <f t="shared" si="605"/>
        <v>2026-07-29 13:18:10</v>
      </c>
      <c r="L12071" s="1" t="str">
        <f>"2018-01-16 10:05:09"</f>
        <v>2018-01-16 10:05:09</v>
      </c>
      <c r="M12071" s="1" t="s">
        <v>1</v>
      </c>
      <c r="N12071" s="1" t="s">
        <v>38</v>
      </c>
      <c r="O12071" s="1" t="s">
        <v>46</v>
      </c>
    </row>
    <row r="12072" spans="2:15" x14ac:dyDescent="0.3">
      <c r="B12072" s="1" t="s">
        <v>20</v>
      </c>
      <c r="C12072" s="1" t="str">
        <f>"1차"</f>
        <v>1차</v>
      </c>
      <c r="D12072" s="1" t="str">
        <f>"9625Z35200"</f>
        <v>9625Z35200</v>
      </c>
      <c r="E12072" s="1" t="s">
        <v>10</v>
      </c>
      <c r="F12072" s="1" t="str">
        <f>"10.125.129.44"</f>
        <v>10.125.129.44</v>
      </c>
      <c r="G12072" s="1" t="str">
        <f>"9625Z352"</f>
        <v>9625Z352</v>
      </c>
      <c r="H12072" s="1" t="str">
        <f>"당포간 7R7R2L5"</f>
        <v>당포간 7R7R2L5</v>
      </c>
      <c r="I12072" s="1" t="s">
        <v>8</v>
      </c>
      <c r="J12072" s="1" t="str">
        <f>"19/19"</f>
        <v>19/19</v>
      </c>
      <c r="K12072" s="1" t="str">
        <f t="shared" si="605"/>
        <v>2026-07-29 13:18:10</v>
      </c>
      <c r="L12072" s="1" t="str">
        <f>"2014-11-04 00:09:55"</f>
        <v>2014-11-04 00:09:55</v>
      </c>
      <c r="M12072" s="1" t="s">
        <v>45</v>
      </c>
      <c r="N12072" s="1" t="s">
        <v>38</v>
      </c>
      <c r="O12072" s="1" t="s">
        <v>46</v>
      </c>
    </row>
    <row r="12073" spans="2:15" x14ac:dyDescent="0.3">
      <c r="B12073" s="1" t="s">
        <v>20</v>
      </c>
      <c r="C12073" s="1" t="str">
        <f>"4차"</f>
        <v>4차</v>
      </c>
      <c r="D12073" s="1" t="str">
        <f>"9625Z37139"</f>
        <v>9625Z37139</v>
      </c>
      <c r="E12073" s="1" t="s">
        <v>10</v>
      </c>
      <c r="F12073" s="1" t="str">
        <f>"10.10.29.10"</f>
        <v>10.10.29.10</v>
      </c>
      <c r="G12073" s="1" t="str">
        <f>"9625Z371"</f>
        <v>9625Z371</v>
      </c>
      <c r="H12073" s="1" t="str">
        <f>"대건지 7"</f>
        <v>대건지 7</v>
      </c>
      <c r="I12073" s="1" t="s">
        <v>8</v>
      </c>
      <c r="J12073" s="1" t="str">
        <f>"34/34"</f>
        <v>34/34</v>
      </c>
      <c r="K12073" s="1" t="str">
        <f t="shared" si="605"/>
        <v>2026-07-29 13:18:10</v>
      </c>
      <c r="L12073" s="1" t="str">
        <f>"2024-08-20 15:28:28"</f>
        <v>2024-08-20 15:28:28</v>
      </c>
      <c r="M12073" s="1" t="s">
        <v>1</v>
      </c>
      <c r="N12073" s="1" t="s">
        <v>38</v>
      </c>
      <c r="O12073" s="1" t="s">
        <v>46</v>
      </c>
    </row>
    <row r="12074" spans="2:15" x14ac:dyDescent="0.3">
      <c r="B12074" s="1" t="s">
        <v>20</v>
      </c>
      <c r="C12074" s="1" t="str">
        <f>"1차"</f>
        <v>1차</v>
      </c>
      <c r="D12074" s="1" t="str">
        <f>"9625Z37601"</f>
        <v>9625Z37601</v>
      </c>
      <c r="E12074" s="1" t="s">
        <v>10</v>
      </c>
      <c r="F12074" s="1" t="str">
        <f>"10.12.128.95"</f>
        <v>10.12.128.95</v>
      </c>
      <c r="G12074" s="1" t="str">
        <f>"9625Z376"</f>
        <v>9625Z376</v>
      </c>
      <c r="H12074" s="1" t="str">
        <f>"당포간 2R8"</f>
        <v>당포간 2R8</v>
      </c>
      <c r="I12074" s="1" t="s">
        <v>8</v>
      </c>
      <c r="J12074" s="1" t="str">
        <f>"19/19"</f>
        <v>19/19</v>
      </c>
      <c r="K12074" s="1" t="str">
        <f>"2026-07-29 13:18:11"</f>
        <v>2026-07-29 13:18:11</v>
      </c>
      <c r="L12074" s="1" t="str">
        <f>"2014-12-18 10:56:00"</f>
        <v>2014-12-18 10:56:00</v>
      </c>
      <c r="M12074" s="1" t="s">
        <v>0</v>
      </c>
      <c r="N12074" s="1" t="s">
        <v>38</v>
      </c>
      <c r="O12074" s="1" t="s">
        <v>46</v>
      </c>
    </row>
    <row r="12075" spans="2:15" x14ac:dyDescent="0.3">
      <c r="B12075" s="1" t="s">
        <v>20</v>
      </c>
      <c r="C12075" s="1" t="str">
        <f>"3차"</f>
        <v>3차</v>
      </c>
      <c r="D12075" s="1" t="str">
        <f>"9625Z38139"</f>
        <v>9625Z38139</v>
      </c>
      <c r="E12075" s="1" t="s">
        <v>10</v>
      </c>
      <c r="F12075" s="1" t="str">
        <f>"10.10.29.2"</f>
        <v>10.10.29.2</v>
      </c>
      <c r="G12075" s="1" t="str">
        <f>"9625Z381"</f>
        <v>9625Z381</v>
      </c>
      <c r="H12075" s="1" t="str">
        <f>"대건지 4"</f>
        <v>대건지 4</v>
      </c>
      <c r="I12075" s="1" t="s">
        <v>8</v>
      </c>
      <c r="J12075" s="1" t="str">
        <f>"44/44"</f>
        <v>44/44</v>
      </c>
      <c r="K12075" s="1" t="str">
        <f>"2026-07-29 13:18:10"</f>
        <v>2026-07-29 13:18:10</v>
      </c>
      <c r="L12075" s="1" t="str">
        <f>"2018-01-16 09:53:24"</f>
        <v>2018-01-16 09:53:24</v>
      </c>
      <c r="M12075" s="1" t="s">
        <v>1</v>
      </c>
      <c r="N12075" s="1" t="s">
        <v>38</v>
      </c>
      <c r="O12075" s="1" t="s">
        <v>46</v>
      </c>
    </row>
    <row r="12076" spans="2:15" x14ac:dyDescent="0.3">
      <c r="B12076" s="1" t="s">
        <v>20</v>
      </c>
      <c r="C12076" s="1" t="str">
        <f>"1차"</f>
        <v>1차</v>
      </c>
      <c r="D12076" s="1" t="str">
        <f>"9625Z38200"</f>
        <v>9625Z38200</v>
      </c>
      <c r="E12076" s="1" t="s">
        <v>10</v>
      </c>
      <c r="F12076" s="1" t="str">
        <f>"10.125.128.68"</f>
        <v>10.125.128.68</v>
      </c>
      <c r="G12076" s="1" t="str">
        <f>"9625Z382"</f>
        <v>9625Z382</v>
      </c>
      <c r="H12076" s="1" t="str">
        <f>"당포간 2R5"</f>
        <v>당포간 2R5</v>
      </c>
      <c r="I12076" s="1" t="s">
        <v>8</v>
      </c>
      <c r="J12076" s="1" t="str">
        <f>"12/12"</f>
        <v>12/12</v>
      </c>
      <c r="K12076" s="1" t="str">
        <f>"2026-07-29 13:18:10"</f>
        <v>2026-07-29 13:18:10</v>
      </c>
      <c r="L12076" s="1" t="str">
        <f>"2014-12-18 10:06:25"</f>
        <v>2014-12-18 10:06:25</v>
      </c>
      <c r="M12076" s="1" t="s">
        <v>45</v>
      </c>
      <c r="N12076" s="1" t="s">
        <v>38</v>
      </c>
      <c r="O12076" s="1" t="s">
        <v>46</v>
      </c>
    </row>
    <row r="12077" spans="2:15" x14ac:dyDescent="0.3">
      <c r="B12077" s="1" t="s">
        <v>20</v>
      </c>
      <c r="C12077" s="1" t="str">
        <f>"3차"</f>
        <v>3차</v>
      </c>
      <c r="D12077" s="1" t="str">
        <f>"9625Z38339"</f>
        <v>9625Z38339</v>
      </c>
      <c r="E12077" s="1" t="s">
        <v>10</v>
      </c>
      <c r="F12077" s="1" t="str">
        <f>"10.10.37.26"</f>
        <v>10.10.37.26</v>
      </c>
      <c r="G12077" s="1" t="str">
        <f>"9625Z383"</f>
        <v>9625Z383</v>
      </c>
      <c r="H12077" s="1" t="str">
        <f>"대건지 5"</f>
        <v>대건지 5</v>
      </c>
      <c r="I12077" s="1" t="s">
        <v>8</v>
      </c>
      <c r="J12077" s="1" t="str">
        <f>"37/37"</f>
        <v>37/37</v>
      </c>
      <c r="K12077" s="1" t="str">
        <f>"2026-07-29 13:18:10"</f>
        <v>2026-07-29 13:18:10</v>
      </c>
      <c r="L12077" s="1" t="str">
        <f>"2018-02-19 13:35:27"</f>
        <v>2018-02-19 13:35:27</v>
      </c>
      <c r="M12077" s="1" t="s">
        <v>1</v>
      </c>
      <c r="N12077" s="1" t="s">
        <v>38</v>
      </c>
      <c r="O12077" s="1" t="s">
        <v>46</v>
      </c>
    </row>
    <row r="12078" spans="2:15" x14ac:dyDescent="0.3">
      <c r="B12078" s="1" t="s">
        <v>20</v>
      </c>
      <c r="C12078" s="1" t="str">
        <f>"3차"</f>
        <v>3차</v>
      </c>
      <c r="D12078" s="1" t="str">
        <f>"9625Z39139"</f>
        <v>9625Z39139</v>
      </c>
      <c r="E12078" s="1" t="s">
        <v>10</v>
      </c>
      <c r="F12078" s="1" t="str">
        <f>"10.10.28.250"</f>
        <v>10.10.28.250</v>
      </c>
      <c r="G12078" s="1" t="str">
        <f>"9625Z391"</f>
        <v>9625Z391</v>
      </c>
      <c r="H12078" s="1" t="str">
        <f>"대건지 3"</f>
        <v>대건지 3</v>
      </c>
      <c r="I12078" s="1" t="s">
        <v>8</v>
      </c>
      <c r="J12078" s="1" t="str">
        <f>"24/27"</f>
        <v>24/27</v>
      </c>
      <c r="K12078" s="1" t="str">
        <f>"2026-07-29 13:18:10"</f>
        <v>2026-07-29 13:18:10</v>
      </c>
      <c r="L12078" s="1" t="str">
        <f>"2018-05-25 11:21:54"</f>
        <v>2018-05-25 11:21:54</v>
      </c>
      <c r="M12078" s="1" t="s">
        <v>1</v>
      </c>
      <c r="N12078" s="1" t="s">
        <v>38</v>
      </c>
      <c r="O12078" s="1" t="s">
        <v>46</v>
      </c>
    </row>
    <row r="12079" spans="2:15" x14ac:dyDescent="0.3">
      <c r="B12079" s="1" t="s">
        <v>20</v>
      </c>
      <c r="C12079" s="1" t="str">
        <f>"4차"</f>
        <v>4차</v>
      </c>
      <c r="D12079" s="1" t="str">
        <f>"9625Z46541"</f>
        <v>9625Z46541</v>
      </c>
      <c r="E12079" s="1" t="s">
        <v>10</v>
      </c>
      <c r="F12079" s="1" t="str">
        <f>"10.14.3.177"</f>
        <v>10.14.3.177</v>
      </c>
      <c r="G12079" s="1" t="str">
        <f>"9625Z465"</f>
        <v>9625Z465</v>
      </c>
      <c r="H12079" s="1" t="str">
        <f>"당포간 7R7R2L3"</f>
        <v>당포간 7R7R2L3</v>
      </c>
      <c r="I12079" s="1" t="s">
        <v>17</v>
      </c>
      <c r="J12079" s="1" t="str">
        <f>"40/47"</f>
        <v>40/47</v>
      </c>
      <c r="K12079" s="1" t="str">
        <f>"2026-07-29 13:18:11"</f>
        <v>2026-07-29 13:18:11</v>
      </c>
      <c r="L12079" s="1" t="str">
        <f>"2021-08-09 14:18:24"</f>
        <v>2021-08-09 14:18:24</v>
      </c>
      <c r="M12079" s="1" t="s">
        <v>3</v>
      </c>
      <c r="N12079" s="1" t="s">
        <v>38</v>
      </c>
      <c r="O12079" s="1" t="s">
        <v>46</v>
      </c>
    </row>
    <row r="12080" spans="2:15" x14ac:dyDescent="0.3">
      <c r="B12080" s="1" t="s">
        <v>20</v>
      </c>
      <c r="C12080" s="1" t="str">
        <f>"1차"</f>
        <v>1차</v>
      </c>
      <c r="D12080" s="1" t="str">
        <f>"9625Z47200"</f>
        <v>9625Z47200</v>
      </c>
      <c r="E12080" s="1" t="s">
        <v>10</v>
      </c>
      <c r="F12080" s="1" t="str">
        <f>"10.125.129.128"</f>
        <v>10.125.129.128</v>
      </c>
      <c r="G12080" s="1" t="str">
        <f>"9625Z472"</f>
        <v>9625Z472</v>
      </c>
      <c r="H12080" s="1" t="str">
        <f>"당포간 7R7R3"</f>
        <v>당포간 7R7R3</v>
      </c>
      <c r="I12080" s="1" t="s">
        <v>8</v>
      </c>
      <c r="J12080" s="1" t="str">
        <f>"18/19"</f>
        <v>18/19</v>
      </c>
      <c r="K12080" s="1" t="str">
        <f>"2026-07-29 13:18:11"</f>
        <v>2026-07-29 13:18:11</v>
      </c>
      <c r="L12080" s="1" t="str">
        <f>"2014-11-14 17:47:07"</f>
        <v>2014-11-14 17:47:07</v>
      </c>
      <c r="M12080" s="1" t="s">
        <v>45</v>
      </c>
      <c r="N12080" s="1" t="s">
        <v>38</v>
      </c>
      <c r="O12080" s="1" t="s">
        <v>46</v>
      </c>
    </row>
    <row r="12081" spans="2:15" x14ac:dyDescent="0.3">
      <c r="B12081" s="1" t="s">
        <v>20</v>
      </c>
      <c r="C12081" s="1" t="s">
        <v>16</v>
      </c>
      <c r="D12081" s="1" t="str">
        <f>"9625Z47342"</f>
        <v>9625Z47342</v>
      </c>
      <c r="E12081" s="1" t="s">
        <v>10</v>
      </c>
      <c r="F12081" s="1" t="str">
        <f>"10.12.129.11"</f>
        <v>10.12.129.11</v>
      </c>
      <c r="G12081" s="1" t="str">
        <f>"9625Z473"</f>
        <v>9625Z473</v>
      </c>
      <c r="H12081" s="1" t="str">
        <f>"당포간 7R7R4"</f>
        <v>당포간 7R7R4</v>
      </c>
      <c r="I12081" s="1" t="s">
        <v>8</v>
      </c>
      <c r="J12081" s="1" t="str">
        <f>"26/26"</f>
        <v>26/26</v>
      </c>
      <c r="K12081" s="1" t="str">
        <f>"2026-07-29 13:18:12"</f>
        <v>2026-07-29 13:18:12</v>
      </c>
      <c r="L12081" s="1" t="str">
        <f>"2025-12-05 11:25:23"</f>
        <v>2025-12-05 11:25:23</v>
      </c>
      <c r="M12081" s="1" t="s">
        <v>0</v>
      </c>
      <c r="N12081" s="1" t="s">
        <v>38</v>
      </c>
      <c r="O12081" s="1" t="s">
        <v>46</v>
      </c>
    </row>
    <row r="12082" spans="2:15" x14ac:dyDescent="0.3">
      <c r="B12082" s="1" t="s">
        <v>20</v>
      </c>
      <c r="C12082" s="1" t="str">
        <f>"1차"</f>
        <v>1차</v>
      </c>
      <c r="D12082" s="1" t="str">
        <f>"9625Z47400"</f>
        <v>9625Z47400</v>
      </c>
      <c r="E12082" s="1" t="s">
        <v>10</v>
      </c>
      <c r="F12082" s="1" t="str">
        <f>"10.125.128.65"</f>
        <v>10.125.128.65</v>
      </c>
      <c r="G12082" s="1" t="str">
        <f>"9625Z474"</f>
        <v>9625Z474</v>
      </c>
      <c r="H12082" s="1" t="str">
        <f>"당포간 7R7R3R1"</f>
        <v>당포간 7R7R3R1</v>
      </c>
      <c r="I12082" s="1" t="s">
        <v>8</v>
      </c>
      <c r="J12082" s="1" t="str">
        <f>"29/29"</f>
        <v>29/29</v>
      </c>
      <c r="K12082" s="1" t="str">
        <f>"2026-07-29 13:18:11"</f>
        <v>2026-07-29 13:18:11</v>
      </c>
      <c r="L12082" s="1" t="str">
        <f>"2014-09-02 13:41:04"</f>
        <v>2014-09-02 13:41:04</v>
      </c>
      <c r="M12082" s="1" t="s">
        <v>45</v>
      </c>
      <c r="N12082" s="1" t="s">
        <v>38</v>
      </c>
      <c r="O12082" s="1" t="s">
        <v>46</v>
      </c>
    </row>
    <row r="12083" spans="2:15" x14ac:dyDescent="0.3">
      <c r="B12083" s="1" t="s">
        <v>20</v>
      </c>
      <c r="C12083" s="1" t="str">
        <f>"3차"</f>
        <v>3차</v>
      </c>
      <c r="D12083" s="1" t="str">
        <f>"9625Z49130"</f>
        <v>9625Z49130</v>
      </c>
      <c r="E12083" s="1" t="s">
        <v>10</v>
      </c>
      <c r="F12083" s="1" t="str">
        <f>"10.10.28.170"</f>
        <v>10.10.28.170</v>
      </c>
      <c r="G12083" s="1" t="str">
        <f>"9625Z491"</f>
        <v>9625Z491</v>
      </c>
      <c r="H12083" s="1" t="str">
        <f>"당포간 2R2"</f>
        <v>당포간 2R2</v>
      </c>
      <c r="I12083" s="1" t="s">
        <v>8</v>
      </c>
      <c r="J12083" s="1" t="str">
        <f>"6/6"</f>
        <v>6/6</v>
      </c>
      <c r="K12083" s="1" t="str">
        <f>"2026-07-29 13:18:10"</f>
        <v>2026-07-29 13:18:10</v>
      </c>
      <c r="L12083" s="1" t="str">
        <f>"2018-01-16 09:57:38"</f>
        <v>2018-01-16 09:57:38</v>
      </c>
      <c r="M12083" s="1" t="s">
        <v>1</v>
      </c>
      <c r="N12083" s="1" t="s">
        <v>38</v>
      </c>
      <c r="O12083" s="1" t="s">
        <v>46</v>
      </c>
    </row>
    <row r="12084" spans="2:15" x14ac:dyDescent="0.3">
      <c r="B12084" s="1" t="s">
        <v>20</v>
      </c>
      <c r="C12084" s="1" t="str">
        <f>"3차"</f>
        <v>3차</v>
      </c>
      <c r="D12084" s="1" t="str">
        <f>"9625Z49331"</f>
        <v>9625Z49331</v>
      </c>
      <c r="E12084" s="1" t="s">
        <v>10</v>
      </c>
      <c r="F12084" s="1" t="str">
        <f>"10.10.28.171"</f>
        <v>10.10.28.171</v>
      </c>
      <c r="G12084" s="1" t="str">
        <f>"9625Z493"</f>
        <v>9625Z493</v>
      </c>
      <c r="H12084" s="1" t="str">
        <f>"당포간 2R3"</f>
        <v>당포간 2R3</v>
      </c>
      <c r="I12084" s="1" t="s">
        <v>8</v>
      </c>
      <c r="J12084" s="1" t="str">
        <f>"3/3"</f>
        <v>3/3</v>
      </c>
      <c r="K12084" s="1" t="str">
        <f>"2026-07-29 13:18:11"</f>
        <v>2026-07-29 13:18:11</v>
      </c>
      <c r="L12084" s="1" t="str">
        <f>"2018-02-10 16:49:27"</f>
        <v>2018-02-10 16:49:27</v>
      </c>
      <c r="M12084" s="1" t="s">
        <v>1</v>
      </c>
      <c r="N12084" s="1" t="s">
        <v>38</v>
      </c>
      <c r="O12084" s="1" t="s">
        <v>46</v>
      </c>
    </row>
    <row r="12085" spans="2:15" x14ac:dyDescent="0.3">
      <c r="B12085" s="1" t="s">
        <v>20</v>
      </c>
      <c r="C12085" s="1" t="str">
        <f>"4차"</f>
        <v>4차</v>
      </c>
      <c r="D12085" s="1" t="str">
        <f>"9625Z56131"</f>
        <v>9625Z56131</v>
      </c>
      <c r="E12085" s="1" t="s">
        <v>10</v>
      </c>
      <c r="F12085" s="1" t="str">
        <f>"10.10.28.235"</f>
        <v>10.10.28.235</v>
      </c>
      <c r="G12085" s="1" t="str">
        <f>"9625Z561"</f>
        <v>9625Z561</v>
      </c>
      <c r="H12085" s="1" t="str">
        <f>"당포간 7R7"</f>
        <v>당포간 7R7</v>
      </c>
      <c r="I12085" s="1" t="s">
        <v>8</v>
      </c>
      <c r="J12085" s="1" t="str">
        <f>"15/15"</f>
        <v>15/15</v>
      </c>
      <c r="K12085" s="1" t="str">
        <f>"2026-07-29 13:18:11"</f>
        <v>2026-07-29 13:18:11</v>
      </c>
      <c r="L12085" s="1" t="str">
        <f>"2018-04-10 12:24:56"</f>
        <v>2018-04-10 12:24:56</v>
      </c>
      <c r="M12085" s="1" t="s">
        <v>1</v>
      </c>
      <c r="N12085" s="1" t="s">
        <v>38</v>
      </c>
      <c r="O12085" s="1" t="s">
        <v>46</v>
      </c>
    </row>
    <row r="12086" spans="2:15" x14ac:dyDescent="0.3">
      <c r="B12086" s="1" t="s">
        <v>20</v>
      </c>
      <c r="C12086" s="1" t="str">
        <f>"1차"</f>
        <v>1차</v>
      </c>
      <c r="D12086" s="1" t="str">
        <f>"9625Z57101"</f>
        <v>9625Z57101</v>
      </c>
      <c r="E12086" s="1" t="s">
        <v>10</v>
      </c>
      <c r="F12086" s="1" t="str">
        <f>"10.14.2.188"</f>
        <v>10.14.2.188</v>
      </c>
      <c r="G12086" s="1" t="str">
        <f>"9625Z571"</f>
        <v>9625Z571</v>
      </c>
      <c r="H12086" s="1" t="str">
        <f>"당포간 7R3R2"</f>
        <v>당포간 7R3R2</v>
      </c>
      <c r="I12086" s="1" t="s">
        <v>8</v>
      </c>
      <c r="J12086" s="1" t="str">
        <f>"24/24"</f>
        <v>24/24</v>
      </c>
      <c r="K12086" s="1" t="str">
        <f>"2026-07-29 13:18:12"</f>
        <v>2026-07-29 13:18:12</v>
      </c>
      <c r="L12086" s="1" t="str">
        <f>"2014-09-04 09:41:06"</f>
        <v>2014-09-04 09:41:06</v>
      </c>
      <c r="M12086" s="1" t="s">
        <v>3</v>
      </c>
      <c r="N12086" s="1" t="s">
        <v>38</v>
      </c>
      <c r="O12086" s="1" t="s">
        <v>46</v>
      </c>
    </row>
    <row r="12087" spans="2:15" x14ac:dyDescent="0.3">
      <c r="B12087" s="1" t="s">
        <v>20</v>
      </c>
      <c r="C12087" s="1" t="str">
        <f>"1차"</f>
        <v>1차</v>
      </c>
      <c r="D12087" s="1" t="str">
        <f>"9625Z57201"</f>
        <v>9625Z57201</v>
      </c>
      <c r="E12087" s="1" t="s">
        <v>10</v>
      </c>
      <c r="F12087" s="1" t="str">
        <f>"10.125.129.130"</f>
        <v>10.125.129.130</v>
      </c>
      <c r="G12087" s="1" t="str">
        <f>"9625Z572"</f>
        <v>9625Z572</v>
      </c>
      <c r="H12087" s="1" t="str">
        <f>"당포간 7R7R1"</f>
        <v>당포간 7R7R1</v>
      </c>
      <c r="I12087" s="1" t="s">
        <v>8</v>
      </c>
      <c r="J12087" s="1" t="str">
        <f>"15/15"</f>
        <v>15/15</v>
      </c>
      <c r="K12087" s="1" t="str">
        <f>"2026-07-29 13:18:10"</f>
        <v>2026-07-29 13:18:10</v>
      </c>
      <c r="L12087" s="1" t="str">
        <f>"2014-12-02 10:28:06"</f>
        <v>2014-12-02 10:28:06</v>
      </c>
      <c r="M12087" s="1" t="s">
        <v>45</v>
      </c>
      <c r="N12087" s="1" t="s">
        <v>38</v>
      </c>
      <c r="O12087" s="1" t="s">
        <v>46</v>
      </c>
    </row>
    <row r="12088" spans="2:15" x14ac:dyDescent="0.3">
      <c r="B12088" s="1" t="s">
        <v>20</v>
      </c>
      <c r="C12088" s="1" t="str">
        <f>"3차"</f>
        <v>3차</v>
      </c>
      <c r="D12088" s="1" t="str">
        <f>"9625Z58139"</f>
        <v>9625Z58139</v>
      </c>
      <c r="E12088" s="1" t="s">
        <v>10</v>
      </c>
      <c r="F12088" s="1" t="str">
        <f>"10.12.129.123"</f>
        <v>10.12.129.123</v>
      </c>
      <c r="G12088" s="1" t="str">
        <f>"9625Z581"</f>
        <v>9625Z581</v>
      </c>
      <c r="H12088" s="1" t="str">
        <f>"당포간 7R7R3R3"</f>
        <v>당포간 7R7R3R3</v>
      </c>
      <c r="I12088" s="1" t="s">
        <v>8</v>
      </c>
      <c r="J12088" s="1" t="str">
        <f>"36/36"</f>
        <v>36/36</v>
      </c>
      <c r="K12088" s="1" t="str">
        <f>"2026-07-29 13:18:12"</f>
        <v>2026-07-29 13:18:12</v>
      </c>
      <c r="L12088" s="1" t="str">
        <f>"2018-04-20 10:33:40"</f>
        <v>2018-04-20 10:33:40</v>
      </c>
      <c r="M12088" s="1" t="s">
        <v>0</v>
      </c>
      <c r="N12088" s="1" t="s">
        <v>38</v>
      </c>
      <c r="O12088" s="1" t="s">
        <v>46</v>
      </c>
    </row>
    <row r="12089" spans="2:15" x14ac:dyDescent="0.3">
      <c r="B12089" s="1" t="s">
        <v>20</v>
      </c>
      <c r="C12089" s="1" t="str">
        <f>"3차"</f>
        <v>3차</v>
      </c>
      <c r="D12089" s="1" t="str">
        <f>"9625Z66430"</f>
        <v>9625Z66430</v>
      </c>
      <c r="E12089" s="1" t="s">
        <v>10</v>
      </c>
      <c r="F12089" s="1" t="str">
        <f>"10.10.28.234"</f>
        <v>10.10.28.234</v>
      </c>
      <c r="G12089" s="1" t="str">
        <f>"9625Z664"</f>
        <v>9625Z664</v>
      </c>
      <c r="H12089" s="1" t="str">
        <f>"당포간 7R7L2"</f>
        <v>당포간 7R7L2</v>
      </c>
      <c r="I12089" s="1" t="s">
        <v>8</v>
      </c>
      <c r="J12089" s="1" t="str">
        <f>"21/21"</f>
        <v>21/21</v>
      </c>
      <c r="K12089" s="1" t="str">
        <f t="shared" ref="K12089:K12096" si="606">"2026-07-29 13:18:10"</f>
        <v>2026-07-29 13:18:10</v>
      </c>
      <c r="L12089" s="1" t="str">
        <f>"2018-01-12 09:26:08"</f>
        <v>2018-01-12 09:26:08</v>
      </c>
      <c r="M12089" s="1" t="s">
        <v>1</v>
      </c>
      <c r="N12089" s="1" t="s">
        <v>38</v>
      </c>
      <c r="O12089" s="1" t="s">
        <v>46</v>
      </c>
    </row>
    <row r="12090" spans="2:15" x14ac:dyDescent="0.3">
      <c r="B12090" s="1" t="s">
        <v>20</v>
      </c>
      <c r="C12090" s="1" t="str">
        <f>"1차"</f>
        <v>1차</v>
      </c>
      <c r="D12090" s="1" t="str">
        <f>"9625Z67101"</f>
        <v>9625Z67101</v>
      </c>
      <c r="E12090" s="1" t="s">
        <v>10</v>
      </c>
      <c r="F12090" s="1" t="str">
        <f>"10.125.128.75"</f>
        <v>10.125.128.75</v>
      </c>
      <c r="G12090" s="1" t="str">
        <f>"9625Z671"</f>
        <v>9625Z671</v>
      </c>
      <c r="H12090" s="1" t="str">
        <f>"당포간 7R6"</f>
        <v>당포간 7R6</v>
      </c>
      <c r="I12090" s="1" t="s">
        <v>8</v>
      </c>
      <c r="J12090" s="1" t="str">
        <f>"29/29"</f>
        <v>29/29</v>
      </c>
      <c r="K12090" s="1" t="str">
        <f t="shared" si="606"/>
        <v>2026-07-29 13:18:10</v>
      </c>
      <c r="L12090" s="1" t="str">
        <f>"2014-11-18 16:01:54"</f>
        <v>2014-11-18 16:01:54</v>
      </c>
      <c r="M12090" s="1" t="s">
        <v>45</v>
      </c>
      <c r="N12090" s="1" t="s">
        <v>38</v>
      </c>
      <c r="O12090" s="1" t="s">
        <v>46</v>
      </c>
    </row>
    <row r="12091" spans="2:15" x14ac:dyDescent="0.3">
      <c r="B12091" s="1" t="s">
        <v>20</v>
      </c>
      <c r="C12091" s="1" t="str">
        <f>"3차"</f>
        <v>3차</v>
      </c>
      <c r="D12091" s="1" t="str">
        <f>"9625Z67239"</f>
        <v>9625Z67239</v>
      </c>
      <c r="E12091" s="1" t="s">
        <v>10</v>
      </c>
      <c r="F12091" s="1" t="str">
        <f>"10.10.28.242"</f>
        <v>10.10.28.242</v>
      </c>
      <c r="G12091" s="1" t="str">
        <f>"9625Z672"</f>
        <v>9625Z672</v>
      </c>
      <c r="H12091" s="1" t="str">
        <f>"당포간 7R7L2L1"</f>
        <v>당포간 7R7L2L1</v>
      </c>
      <c r="I12091" s="1" t="s">
        <v>8</v>
      </c>
      <c r="J12091" s="1" t="str">
        <f>"44/44"</f>
        <v>44/44</v>
      </c>
      <c r="K12091" s="1" t="str">
        <f t="shared" si="606"/>
        <v>2026-07-29 13:18:10</v>
      </c>
      <c r="L12091" s="1" t="str">
        <f>"2018-03-19 15:08:56"</f>
        <v>2018-03-19 15:08:56</v>
      </c>
      <c r="M12091" s="1" t="s">
        <v>1</v>
      </c>
      <c r="N12091" s="1" t="s">
        <v>38</v>
      </c>
      <c r="O12091" s="1" t="s">
        <v>46</v>
      </c>
    </row>
    <row r="12092" spans="2:15" x14ac:dyDescent="0.3">
      <c r="B12092" s="1" t="s">
        <v>20</v>
      </c>
      <c r="C12092" s="1" t="str">
        <f>"3차"</f>
        <v>3차</v>
      </c>
      <c r="D12092" s="1" t="str">
        <f>"9625Z68439"</f>
        <v>9625Z68439</v>
      </c>
      <c r="E12092" s="1" t="s">
        <v>10</v>
      </c>
      <c r="F12092" s="1" t="str">
        <f>"10.10.28.74"</f>
        <v>10.10.28.74</v>
      </c>
      <c r="G12092" s="1" t="str">
        <f>"9625Z684"</f>
        <v>9625Z684</v>
      </c>
      <c r="H12092" s="1" t="str">
        <f>"당포간 8R2R3"</f>
        <v>당포간 8R2R3</v>
      </c>
      <c r="I12092" s="1" t="s">
        <v>8</v>
      </c>
      <c r="J12092" s="1" t="str">
        <f>"31/31"</f>
        <v>31/31</v>
      </c>
      <c r="K12092" s="1" t="str">
        <f t="shared" si="606"/>
        <v>2026-07-29 13:18:10</v>
      </c>
      <c r="L12092" s="1" t="str">
        <f>"2018-05-11 19:22:17"</f>
        <v>2018-05-11 19:22:17</v>
      </c>
      <c r="M12092" s="1" t="s">
        <v>1</v>
      </c>
      <c r="N12092" s="1" t="s">
        <v>38</v>
      </c>
      <c r="O12092" s="1" t="s">
        <v>46</v>
      </c>
    </row>
    <row r="12093" spans="2:15" x14ac:dyDescent="0.3">
      <c r="B12093" s="1" t="s">
        <v>20</v>
      </c>
      <c r="C12093" s="1" t="str">
        <f>"3차"</f>
        <v>3차</v>
      </c>
      <c r="D12093" s="1" t="str">
        <f>"9625Z69439"</f>
        <v>9625Z69439</v>
      </c>
      <c r="E12093" s="1" t="s">
        <v>10</v>
      </c>
      <c r="F12093" s="1" t="str">
        <f>"10.10.33.122"</f>
        <v>10.10.33.122</v>
      </c>
      <c r="G12093" s="1" t="str">
        <f>"9625Z694"</f>
        <v>9625Z694</v>
      </c>
      <c r="H12093" s="1" t="str">
        <f>"당포간 7R3"</f>
        <v>당포간 7R3</v>
      </c>
      <c r="I12093" s="1" t="s">
        <v>8</v>
      </c>
      <c r="J12093" s="1" t="str">
        <f>"10/10"</f>
        <v>10/10</v>
      </c>
      <c r="K12093" s="1" t="str">
        <f t="shared" si="606"/>
        <v>2026-07-29 13:18:10</v>
      </c>
      <c r="L12093" s="1" t="str">
        <f>"2018-01-17 19:36:14"</f>
        <v>2018-01-17 19:36:14</v>
      </c>
      <c r="M12093" s="1" t="s">
        <v>1</v>
      </c>
      <c r="N12093" s="1" t="s">
        <v>38</v>
      </c>
      <c r="O12093" s="1" t="s">
        <v>46</v>
      </c>
    </row>
    <row r="12094" spans="2:15" x14ac:dyDescent="0.3">
      <c r="B12094" s="1" t="s">
        <v>20</v>
      </c>
      <c r="C12094" s="1" t="str">
        <f>"1차"</f>
        <v>1차</v>
      </c>
      <c r="D12094" s="1" t="str">
        <f>"9625Z69500"</f>
        <v>9625Z69500</v>
      </c>
      <c r="E12094" s="1" t="s">
        <v>10</v>
      </c>
      <c r="F12094" s="1" t="str">
        <f>"10.125.128.73"</f>
        <v>10.125.128.73</v>
      </c>
      <c r="G12094" s="1" t="str">
        <f>"9625Z695"</f>
        <v>9625Z695</v>
      </c>
      <c r="H12094" s="1" t="str">
        <f>"당포간 7R3R1"</f>
        <v>당포간 7R3R1</v>
      </c>
      <c r="I12094" s="1" t="s">
        <v>8</v>
      </c>
      <c r="J12094" s="1" t="str">
        <f>"34/34"</f>
        <v>34/34</v>
      </c>
      <c r="K12094" s="1" t="str">
        <f t="shared" si="606"/>
        <v>2026-07-29 13:18:10</v>
      </c>
      <c r="L12094" s="1" t="str">
        <f>"2014-09-03 00:10:42"</f>
        <v>2014-09-03 00:10:42</v>
      </c>
      <c r="M12094" s="1" t="s">
        <v>45</v>
      </c>
      <c r="N12094" s="1" t="s">
        <v>38</v>
      </c>
      <c r="O12094" s="1" t="s">
        <v>46</v>
      </c>
    </row>
    <row r="12095" spans="2:15" x14ac:dyDescent="0.3">
      <c r="B12095" s="1" t="s">
        <v>20</v>
      </c>
      <c r="C12095" s="1" t="str">
        <f>"4차"</f>
        <v>4차</v>
      </c>
      <c r="D12095" s="1" t="str">
        <f>"9625Z76339"</f>
        <v>9625Z76339</v>
      </c>
      <c r="E12095" s="1" t="s">
        <v>10</v>
      </c>
      <c r="F12095" s="1" t="str">
        <f>"10.10.33.98"</f>
        <v>10.10.33.98</v>
      </c>
      <c r="G12095" s="1" t="str">
        <f>"9625Z763"</f>
        <v>9625Z763</v>
      </c>
      <c r="H12095" s="1" t="str">
        <f>"당포간 7R17L1L1"</f>
        <v>당포간 7R17L1L1</v>
      </c>
      <c r="I12095" s="1" t="s">
        <v>8</v>
      </c>
      <c r="J12095" s="1" t="str">
        <f>"80/99"</f>
        <v>80/99</v>
      </c>
      <c r="K12095" s="1" t="str">
        <f t="shared" si="606"/>
        <v>2026-07-29 13:18:10</v>
      </c>
      <c r="L12095" s="1" t="str">
        <f>"2018-01-17 19:42:59"</f>
        <v>2018-01-17 19:42:59</v>
      </c>
      <c r="M12095" s="1" t="s">
        <v>1</v>
      </c>
      <c r="N12095" s="1" t="s">
        <v>38</v>
      </c>
      <c r="O12095" s="1" t="s">
        <v>46</v>
      </c>
    </row>
    <row r="12096" spans="2:15" x14ac:dyDescent="0.3">
      <c r="B12096" s="1" t="s">
        <v>20</v>
      </c>
      <c r="C12096" s="1" t="str">
        <f>"3차"</f>
        <v>3차</v>
      </c>
      <c r="D12096" s="1" t="str">
        <f>"9625Z78139"</f>
        <v>9625Z78139</v>
      </c>
      <c r="E12096" s="1" t="s">
        <v>10</v>
      </c>
      <c r="F12096" s="1" t="str">
        <f>"10.10.28.82"</f>
        <v>10.10.28.82</v>
      </c>
      <c r="G12096" s="1" t="str">
        <f>"9625Z781"</f>
        <v>9625Z781</v>
      </c>
      <c r="H12096" s="1" t="str">
        <f>"당포간 8R4"</f>
        <v>당포간 8R4</v>
      </c>
      <c r="I12096" s="1" t="s">
        <v>8</v>
      </c>
      <c r="J12096" s="1" t="str">
        <f>"24/24"</f>
        <v>24/24</v>
      </c>
      <c r="K12096" s="1" t="str">
        <f t="shared" si="606"/>
        <v>2026-07-29 13:18:10</v>
      </c>
      <c r="L12096" s="1" t="str">
        <f>"2018-01-12 11:37:40"</f>
        <v>2018-01-12 11:37:40</v>
      </c>
      <c r="M12096" s="1" t="s">
        <v>1</v>
      </c>
      <c r="N12096" s="1" t="s">
        <v>38</v>
      </c>
      <c r="O12096" s="1" t="s">
        <v>46</v>
      </c>
    </row>
    <row r="12097" spans="2:15" x14ac:dyDescent="0.3">
      <c r="B12097" s="1" t="s">
        <v>20</v>
      </c>
      <c r="C12097" s="1" t="str">
        <f>"6차"</f>
        <v>6차</v>
      </c>
      <c r="D12097" s="1" t="str">
        <f>"9625Z7826S"</f>
        <v>9625Z7826S</v>
      </c>
      <c r="E12097" s="1" t="s">
        <v>10</v>
      </c>
      <c r="F12097" s="1" t="str">
        <f>"fde1:103:4:c70b:0:0:0:2"</f>
        <v>fde1:103:4:c70b:0:0:0:2</v>
      </c>
      <c r="G12097" s="1" t="str">
        <f>"9625Z782"</f>
        <v>9625Z782</v>
      </c>
      <c r="H12097" s="1" t="str">
        <f>"당포간 8R3"</f>
        <v>당포간 8R3</v>
      </c>
      <c r="I12097" s="1" t="s">
        <v>15</v>
      </c>
      <c r="J12097" s="1" t="str">
        <f>"61/61"</f>
        <v>61/61</v>
      </c>
      <c r="K12097" s="1" t="str">
        <f>"2026-07-29 14:21:35"</f>
        <v>2026-07-29 14:21:35</v>
      </c>
      <c r="L12097" s="1" t="str">
        <f>"2024-11-21 17:41:52"</f>
        <v>2024-11-21 17:41:52</v>
      </c>
      <c r="M12097" s="1" t="s">
        <v>4</v>
      </c>
      <c r="N12097" s="1" t="s">
        <v>38</v>
      </c>
      <c r="O12097" s="1" t="s">
        <v>46</v>
      </c>
    </row>
    <row r="12098" spans="2:15" x14ac:dyDescent="0.3">
      <c r="B12098" s="1" t="s">
        <v>20</v>
      </c>
      <c r="C12098" s="1" t="str">
        <f>"3차"</f>
        <v>3차</v>
      </c>
      <c r="D12098" s="1" t="str">
        <f>"9625Z78339"</f>
        <v>9625Z78339</v>
      </c>
      <c r="E12098" s="1" t="s">
        <v>10</v>
      </c>
      <c r="F12098" s="1" t="str">
        <f>"10.10.28.90"</f>
        <v>10.10.28.90</v>
      </c>
      <c r="G12098" s="1" t="str">
        <f>"9625Z783"</f>
        <v>9625Z783</v>
      </c>
      <c r="H12098" s="1" t="str">
        <f>"당포간 8R2R1"</f>
        <v>당포간 8R2R1</v>
      </c>
      <c r="I12098" s="1" t="s">
        <v>8</v>
      </c>
      <c r="J12098" s="1" t="str">
        <f>"29/29"</f>
        <v>29/29</v>
      </c>
      <c r="K12098" s="1" t="str">
        <f>"2026-07-29 13:18:11"</f>
        <v>2026-07-29 13:18:11</v>
      </c>
      <c r="L12098" s="1" t="str">
        <f>"2018-01-12 11:39:39"</f>
        <v>2018-01-12 11:39:39</v>
      </c>
      <c r="M12098" s="1" t="s">
        <v>1</v>
      </c>
      <c r="N12098" s="1" t="s">
        <v>38</v>
      </c>
      <c r="O12098" s="1" t="s">
        <v>46</v>
      </c>
    </row>
    <row r="12099" spans="2:15" x14ac:dyDescent="0.3">
      <c r="B12099" s="1" t="s">
        <v>20</v>
      </c>
      <c r="C12099" s="1" t="str">
        <f>"4차"</f>
        <v>4차</v>
      </c>
      <c r="D12099" s="1" t="str">
        <f>"9625Z85339"</f>
        <v>9625Z85339</v>
      </c>
      <c r="E12099" s="1" t="s">
        <v>10</v>
      </c>
      <c r="F12099" s="1" t="str">
        <f>"10.10.28.218"</f>
        <v>10.10.28.218</v>
      </c>
      <c r="G12099" s="1" t="str">
        <f>"9625Z853"</f>
        <v>9625Z853</v>
      </c>
      <c r="H12099" s="1" t="str">
        <f>"당포간 7R16"</f>
        <v>당포간 7R16</v>
      </c>
      <c r="I12099" s="1" t="s">
        <v>8</v>
      </c>
      <c r="J12099" s="1" t="str">
        <f>"49/51"</f>
        <v>49/51</v>
      </c>
      <c r="K12099" s="1" t="str">
        <f>"2026-07-29 13:18:11"</f>
        <v>2026-07-29 13:18:11</v>
      </c>
      <c r="L12099" s="1" t="str">
        <f>"2018-01-12 11:46:09"</f>
        <v>2018-01-12 11:46:09</v>
      </c>
      <c r="M12099" s="1" t="s">
        <v>1</v>
      </c>
      <c r="N12099" s="1" t="s">
        <v>38</v>
      </c>
      <c r="O12099" s="1" t="s">
        <v>46</v>
      </c>
    </row>
    <row r="12100" spans="2:15" x14ac:dyDescent="0.3">
      <c r="B12100" s="1" t="s">
        <v>20</v>
      </c>
      <c r="C12100" s="1" t="str">
        <f>"3차"</f>
        <v>3차</v>
      </c>
      <c r="D12100" s="1" t="str">
        <f>"9625Z86230"</f>
        <v>9625Z86230</v>
      </c>
      <c r="E12100" s="1" t="s">
        <v>10</v>
      </c>
      <c r="F12100" s="1" t="str">
        <f>"10.10.28.226"</f>
        <v>10.10.28.226</v>
      </c>
      <c r="G12100" s="1" t="str">
        <f>"9625Z862"</f>
        <v>9625Z862</v>
      </c>
      <c r="H12100" s="1" t="str">
        <f>"당포간 7R17L3"</f>
        <v>당포간 7R17L3</v>
      </c>
      <c r="I12100" s="1" t="s">
        <v>8</v>
      </c>
      <c r="J12100" s="1" t="str">
        <f>"37/37"</f>
        <v>37/37</v>
      </c>
      <c r="K12100" s="1" t="str">
        <f>"2026-07-29 13:18:11"</f>
        <v>2026-07-29 13:18:11</v>
      </c>
      <c r="L12100" s="1" t="str">
        <f>"2018-03-22 16:58:14"</f>
        <v>2018-03-22 16:58:14</v>
      </c>
      <c r="M12100" s="1" t="s">
        <v>1</v>
      </c>
      <c r="N12100" s="1" t="s">
        <v>38</v>
      </c>
      <c r="O12100" s="1" t="s">
        <v>46</v>
      </c>
    </row>
    <row r="12101" spans="2:15" x14ac:dyDescent="0.3">
      <c r="B12101" s="1" t="s">
        <v>20</v>
      </c>
      <c r="C12101" s="1" t="str">
        <f>"3차"</f>
        <v>3차</v>
      </c>
      <c r="D12101" s="1" t="str">
        <f>"9625Z87131"</f>
        <v>9625Z87131</v>
      </c>
      <c r="E12101" s="1" t="s">
        <v>10</v>
      </c>
      <c r="F12101" s="1" t="str">
        <f>"10.10.28.227"</f>
        <v>10.10.28.227</v>
      </c>
      <c r="G12101" s="1" t="str">
        <f>"9625Z871"</f>
        <v>9625Z871</v>
      </c>
      <c r="H12101" s="1" t="str">
        <f>"당포간 7R17L4"</f>
        <v>당포간 7R17L4</v>
      </c>
      <c r="I12101" s="1" t="s">
        <v>8</v>
      </c>
      <c r="J12101" s="1" t="str">
        <f>"60/60"</f>
        <v>60/60</v>
      </c>
      <c r="K12101" s="1" t="str">
        <f>"2026-07-29 13:18:11"</f>
        <v>2026-07-29 13:18:11</v>
      </c>
      <c r="L12101" s="1" t="str">
        <f>"2018-04-24 14:20:12"</f>
        <v>2018-04-24 14:20:12</v>
      </c>
      <c r="M12101" s="1" t="s">
        <v>1</v>
      </c>
      <c r="N12101" s="1" t="s">
        <v>38</v>
      </c>
      <c r="O12101" s="1" t="s">
        <v>46</v>
      </c>
    </row>
    <row r="12102" spans="2:15" x14ac:dyDescent="0.3">
      <c r="B12102" s="1" t="s">
        <v>20</v>
      </c>
      <c r="C12102" s="1" t="str">
        <f>"6차"</f>
        <v>6차</v>
      </c>
      <c r="D12102" s="1" t="str">
        <f>"9625Z8816S"</f>
        <v>9625Z8816S</v>
      </c>
      <c r="E12102" s="1" t="s">
        <v>10</v>
      </c>
      <c r="F12102" s="1" t="str">
        <f>"fde1:103:4:c728:0:0:0:2"</f>
        <v>fde1:103:4:c728:0:0:0:2</v>
      </c>
      <c r="G12102" s="1" t="str">
        <f>"9625Z881"</f>
        <v>9625Z881</v>
      </c>
      <c r="H12102" s="1" t="str">
        <f>"당포간 8R5"</f>
        <v>당포간 8R5</v>
      </c>
      <c r="I12102" s="1" t="s">
        <v>15</v>
      </c>
      <c r="J12102" s="1" t="str">
        <f>"101/103"</f>
        <v>101/103</v>
      </c>
      <c r="K12102" s="1" t="str">
        <f>"2026-07-29 14:21:00"</f>
        <v>2026-07-29 14:21:00</v>
      </c>
      <c r="L12102" s="1" t="str">
        <f>"2024-11-21 17:42:36"</f>
        <v>2024-11-21 17:42:36</v>
      </c>
      <c r="M12102" s="1" t="s">
        <v>4</v>
      </c>
      <c r="N12102" s="1" t="s">
        <v>38</v>
      </c>
      <c r="O12102" s="1" t="s">
        <v>46</v>
      </c>
    </row>
    <row r="12103" spans="2:15" x14ac:dyDescent="0.3">
      <c r="B12103" s="1" t="s">
        <v>20</v>
      </c>
      <c r="C12103" s="1" t="str">
        <f>"1차"</f>
        <v>1차</v>
      </c>
      <c r="D12103" s="1" t="str">
        <f>"9625Z89100"</f>
        <v>9625Z89100</v>
      </c>
      <c r="E12103" s="1" t="s">
        <v>10</v>
      </c>
      <c r="F12103" s="1" t="str">
        <f>"10.125.129.45"</f>
        <v>10.125.129.45</v>
      </c>
      <c r="G12103" s="1" t="str">
        <f>"9625Z891"</f>
        <v>9625Z891</v>
      </c>
      <c r="H12103" s="1" t="str">
        <f>"당포간 9R1"</f>
        <v>당포간 9R1</v>
      </c>
      <c r="I12103" s="1" t="s">
        <v>8</v>
      </c>
      <c r="J12103" s="1" t="str">
        <f>"33/34"</f>
        <v>33/34</v>
      </c>
      <c r="K12103" s="1" t="str">
        <f>"2026-07-29 13:18:10"</f>
        <v>2026-07-29 13:18:10</v>
      </c>
      <c r="L12103" s="1" t="str">
        <f>"2014-12-04 11:06:38"</f>
        <v>2014-12-04 11:06:38</v>
      </c>
      <c r="M12103" s="1" t="s">
        <v>45</v>
      </c>
      <c r="N12103" s="1" t="s">
        <v>38</v>
      </c>
      <c r="O12103" s="1" t="s">
        <v>46</v>
      </c>
    </row>
    <row r="12104" spans="2:15" x14ac:dyDescent="0.3">
      <c r="B12104" s="1" t="s">
        <v>20</v>
      </c>
      <c r="C12104" s="1" t="str">
        <f>"6차"</f>
        <v>6차</v>
      </c>
      <c r="D12104" s="1" t="str">
        <f>"9625Z9516S"</f>
        <v>9625Z9516S</v>
      </c>
      <c r="E12104" s="1" t="s">
        <v>10</v>
      </c>
      <c r="F12104" s="1" t="str">
        <f>"fde1:103:4:c822:0:0:0:2"</f>
        <v>fde1:103:4:c822:0:0:0:2</v>
      </c>
      <c r="G12104" s="1" t="str">
        <f>"9625Z951"</f>
        <v>9625Z951</v>
      </c>
      <c r="H12104" s="1" t="str">
        <f>"당포간 7R18"</f>
        <v>당포간 7R18</v>
      </c>
      <c r="I12104" s="1" t="s">
        <v>15</v>
      </c>
      <c r="J12104" s="1" t="str">
        <f>"33/34"</f>
        <v>33/34</v>
      </c>
      <c r="K12104" s="1" t="str">
        <f>"2026-07-29 14:21:00"</f>
        <v>2026-07-29 14:21:00</v>
      </c>
      <c r="L12104" s="1" t="str">
        <f>"2024-11-22 15:31:32"</f>
        <v>2024-11-22 15:31:32</v>
      </c>
      <c r="M12104" s="1" t="s">
        <v>4</v>
      </c>
      <c r="N12104" s="1" t="s">
        <v>38</v>
      </c>
      <c r="O12104" s="1" t="s">
        <v>46</v>
      </c>
    </row>
    <row r="12105" spans="2:15" x14ac:dyDescent="0.3">
      <c r="B12105" s="1" t="s">
        <v>20</v>
      </c>
      <c r="C12105" s="1" t="str">
        <f>"6차"</f>
        <v>6차</v>
      </c>
      <c r="D12105" s="1" t="str">
        <f>"9625Z9526S"</f>
        <v>9625Z9526S</v>
      </c>
      <c r="E12105" s="1" t="s">
        <v>10</v>
      </c>
      <c r="F12105" s="1" t="str">
        <f>"fde1:103:4:c708:0:0:0:2"</f>
        <v>fde1:103:4:c708:0:0:0:2</v>
      </c>
      <c r="G12105" s="1" t="str">
        <f>"9625Z952"</f>
        <v>9625Z952</v>
      </c>
      <c r="H12105" s="1" t="str">
        <f>"당포간 7R18R3"</f>
        <v>당포간 7R18R3</v>
      </c>
      <c r="I12105" s="1" t="s">
        <v>15</v>
      </c>
      <c r="J12105" s="1" t="str">
        <f>"66/67"</f>
        <v>66/67</v>
      </c>
      <c r="K12105" s="1" t="str">
        <f>"2026-07-29 14:21:35"</f>
        <v>2026-07-29 14:21:35</v>
      </c>
      <c r="L12105" s="1" t="str">
        <f>"2024-11-22 15:32:29"</f>
        <v>2024-11-22 15:32:29</v>
      </c>
      <c r="M12105" s="1" t="s">
        <v>4</v>
      </c>
      <c r="N12105" s="1" t="s">
        <v>38</v>
      </c>
      <c r="O12105" s="1" t="s">
        <v>46</v>
      </c>
    </row>
    <row r="12106" spans="2:15" x14ac:dyDescent="0.3">
      <c r="B12106" s="1" t="s">
        <v>20</v>
      </c>
      <c r="C12106" s="1" t="str">
        <f>"3차"</f>
        <v>3차</v>
      </c>
      <c r="D12106" s="1" t="str">
        <f>"9625Z96231"</f>
        <v>9625Z96231</v>
      </c>
      <c r="E12106" s="1" t="s">
        <v>10</v>
      </c>
      <c r="F12106" s="1" t="str">
        <f>"10.10.28.99"</f>
        <v>10.10.28.99</v>
      </c>
      <c r="G12106" s="1" t="str">
        <f>"9625Z962"</f>
        <v>9625Z962</v>
      </c>
      <c r="H12106" s="1" t="str">
        <f>"당포간 19R1AR5"</f>
        <v>당포간 19R1AR5</v>
      </c>
      <c r="I12106" s="1" t="s">
        <v>8</v>
      </c>
      <c r="J12106" s="1" t="str">
        <f>"65/74"</f>
        <v>65/74</v>
      </c>
      <c r="K12106" s="1" t="str">
        <f>"2026-07-29 13:18:11"</f>
        <v>2026-07-29 13:18:11</v>
      </c>
      <c r="L12106" s="1" t="str">
        <f>"2018-04-24 15:32:13"</f>
        <v>2018-04-24 15:32:13</v>
      </c>
      <c r="M12106" s="1" t="s">
        <v>1</v>
      </c>
      <c r="N12106" s="1" t="s">
        <v>38</v>
      </c>
      <c r="O12106" s="1" t="s">
        <v>46</v>
      </c>
    </row>
    <row r="12107" spans="2:15" x14ac:dyDescent="0.3">
      <c r="B12107" s="1" t="s">
        <v>20</v>
      </c>
      <c r="C12107" s="1" t="str">
        <f>"6차"</f>
        <v>6차</v>
      </c>
      <c r="D12107" s="1" t="str">
        <f>"9625Z9816S"</f>
        <v>9625Z9816S</v>
      </c>
      <c r="E12107" s="1" t="s">
        <v>10</v>
      </c>
      <c r="F12107" s="1" t="str">
        <f>"fde1:103:4:c74e:0:0:0:2"</f>
        <v>fde1:103:4:c74e:0:0:0:2</v>
      </c>
      <c r="G12107" s="1" t="str">
        <f>"9625Z981"</f>
        <v>9625Z981</v>
      </c>
      <c r="H12107" s="1" t="str">
        <f>"당포간 8R6"</f>
        <v>당포간 8R6</v>
      </c>
      <c r="I12107" s="1" t="s">
        <v>15</v>
      </c>
      <c r="J12107" s="1" t="str">
        <f>"52/52"</f>
        <v>52/52</v>
      </c>
      <c r="K12107" s="1" t="str">
        <f>"2026-07-29 14:21:00"</f>
        <v>2026-07-29 14:21:00</v>
      </c>
      <c r="L12107" s="1" t="str">
        <f>"2024-11-22 15:37:15"</f>
        <v>2024-11-22 15:37:15</v>
      </c>
      <c r="M12107" s="1" t="s">
        <v>4</v>
      </c>
      <c r="N12107" s="1" t="s">
        <v>38</v>
      </c>
      <c r="O12107" s="1" t="s">
        <v>46</v>
      </c>
    </row>
    <row r="12108" spans="2:15" x14ac:dyDescent="0.3">
      <c r="B12108" s="1" t="s">
        <v>20</v>
      </c>
      <c r="C12108" s="1" t="str">
        <f>"5-2차"</f>
        <v>5-2차</v>
      </c>
      <c r="D12108" s="1" t="str">
        <f>"9626C6615S"</f>
        <v>9626C6615S</v>
      </c>
      <c r="E12108" s="1" t="s">
        <v>10</v>
      </c>
      <c r="F12108" s="1" t="str">
        <f>"fde1:103:4:56b5:0:0:0:2"</f>
        <v>fde1:103:4:56b5:0:0:0:2</v>
      </c>
      <c r="G12108" s="1" t="str">
        <f>"9626C661"</f>
        <v>9626C661</v>
      </c>
      <c r="H12108" s="1" t="str">
        <f>"신북지 6R1R4"</f>
        <v>신북지 6R1R4</v>
      </c>
      <c r="I12108" s="1" t="s">
        <v>15</v>
      </c>
      <c r="J12108" s="1" t="str">
        <f>"45/45"</f>
        <v>45/45</v>
      </c>
      <c r="K12108" s="1" t="str">
        <f>"2026-07-29 14:21:23"</f>
        <v>2026-07-29 14:21:23</v>
      </c>
      <c r="L12108" s="1" t="str">
        <f>"2023-08-30 15:12:55"</f>
        <v>2023-08-30 15:12:55</v>
      </c>
      <c r="M12108" s="1" t="s">
        <v>4</v>
      </c>
      <c r="N12108" s="1" t="s">
        <v>38</v>
      </c>
      <c r="O12108" s="1" t="s">
        <v>46</v>
      </c>
    </row>
    <row r="12109" spans="2:15" x14ac:dyDescent="0.3">
      <c r="B12109" s="1" t="s">
        <v>20</v>
      </c>
      <c r="C12109" s="1" t="str">
        <f>"1차"</f>
        <v>1차</v>
      </c>
      <c r="D12109" s="1" t="str">
        <f>"9626C67100"</f>
        <v>9626C67100</v>
      </c>
      <c r="E12109" s="1" t="s">
        <v>10</v>
      </c>
      <c r="F12109" s="1" t="str">
        <f>"10.125.129.46"</f>
        <v>10.125.129.46</v>
      </c>
      <c r="G12109" s="1" t="str">
        <f>"9626C671"</f>
        <v>9626C671</v>
      </c>
      <c r="H12109" s="1" t="str">
        <f>"신북지 4R1"</f>
        <v>신북지 4R1</v>
      </c>
      <c r="I12109" s="1" t="s">
        <v>8</v>
      </c>
      <c r="J12109" s="1" t="str">
        <f>"75/76"</f>
        <v>75/76</v>
      </c>
      <c r="K12109" s="1" t="str">
        <f>"2026-07-29 13:18:10"</f>
        <v>2026-07-29 13:18:10</v>
      </c>
      <c r="L12109" s="1" t="str">
        <f>"2014-09-01 15:56:01"</f>
        <v>2014-09-01 15:56:01</v>
      </c>
      <c r="M12109" s="1" t="s">
        <v>45</v>
      </c>
      <c r="N12109" s="1" t="s">
        <v>38</v>
      </c>
      <c r="O12109" s="1" t="s">
        <v>46</v>
      </c>
    </row>
    <row r="12110" spans="2:15" x14ac:dyDescent="0.3">
      <c r="B12110" s="1" t="s">
        <v>20</v>
      </c>
      <c r="C12110" s="1" t="str">
        <f>"1차"</f>
        <v>1차</v>
      </c>
      <c r="D12110" s="1" t="str">
        <f>"9626C75200"</f>
        <v>9626C75200</v>
      </c>
      <c r="E12110" s="1" t="s">
        <v>10</v>
      </c>
      <c r="F12110" s="1" t="str">
        <f>"10.125.129.47"</f>
        <v>10.125.129.47</v>
      </c>
      <c r="G12110" s="1" t="str">
        <f>"9626C752"</f>
        <v>9626C752</v>
      </c>
      <c r="H12110" s="1" t="str">
        <f>"신북지 6R4R1"</f>
        <v>신북지 6R4R1</v>
      </c>
      <c r="I12110" s="1" t="s">
        <v>8</v>
      </c>
      <c r="J12110" s="1" t="str">
        <f>"79/83"</f>
        <v>79/83</v>
      </c>
      <c r="K12110" s="1" t="str">
        <f>"2026-07-29 13:18:10"</f>
        <v>2026-07-29 13:18:10</v>
      </c>
      <c r="L12110" s="1" t="str">
        <f>"2015-01-08 10:36:08"</f>
        <v>2015-01-08 10:36:08</v>
      </c>
      <c r="M12110" s="1" t="s">
        <v>45</v>
      </c>
      <c r="N12110" s="1" t="s">
        <v>38</v>
      </c>
      <c r="O12110" s="1" t="s">
        <v>46</v>
      </c>
    </row>
    <row r="12111" spans="2:15" x14ac:dyDescent="0.3">
      <c r="B12111" s="1" t="s">
        <v>20</v>
      </c>
      <c r="C12111" s="1" t="str">
        <f>"5-1차"</f>
        <v>5-1차</v>
      </c>
      <c r="D12111" s="1" t="str">
        <f>"9626C7615S"</f>
        <v>9626C7615S</v>
      </c>
      <c r="E12111" s="1" t="s">
        <v>10</v>
      </c>
      <c r="F12111" s="1" t="str">
        <f>"fde2:104:0:96:0:0:0:2"</f>
        <v>fde2:104:0:96:0:0:0:2</v>
      </c>
      <c r="G12111" s="1" t="str">
        <f>"9626C761"</f>
        <v>9626C761</v>
      </c>
      <c r="H12111" s="1" t="str">
        <f>"신북지 6R1R3"</f>
        <v>신북지 6R1R3</v>
      </c>
      <c r="I12111" s="1" t="s">
        <v>15</v>
      </c>
      <c r="J12111" s="1" t="str">
        <f>"49/49"</f>
        <v>49/49</v>
      </c>
      <c r="K12111" s="1" t="str">
        <f>"2026-07-29 14:21:37"</f>
        <v>2026-07-29 14:21:37</v>
      </c>
      <c r="L12111" s="1" t="str">
        <f>"2022-09-29 14:57:52"</f>
        <v>2022-09-29 14:57:52</v>
      </c>
      <c r="M12111" s="1" t="s">
        <v>42</v>
      </c>
      <c r="N12111" s="1" t="s">
        <v>38</v>
      </c>
      <c r="O12111" s="1" t="s">
        <v>46</v>
      </c>
    </row>
    <row r="12112" spans="2:15" x14ac:dyDescent="0.3">
      <c r="B12112" s="1" t="s">
        <v>20</v>
      </c>
      <c r="C12112" s="1" t="str">
        <f>"5-2차"</f>
        <v>5-2차</v>
      </c>
      <c r="D12112" s="1" t="str">
        <f>"9626C8735S"</f>
        <v>9626C8735S</v>
      </c>
      <c r="E12112" s="1" t="s">
        <v>10</v>
      </c>
      <c r="F12112" s="1" t="str">
        <f>"fde1:103:4:557b:0:0:0:2"</f>
        <v>fde1:103:4:557b:0:0:0:2</v>
      </c>
      <c r="G12112" s="1" t="str">
        <f>"9626C873"</f>
        <v>9626C873</v>
      </c>
      <c r="H12112" s="1" t="str">
        <f>"신북지 6R1R1"</f>
        <v>신북지 6R1R1</v>
      </c>
      <c r="I12112" s="1" t="s">
        <v>15</v>
      </c>
      <c r="J12112" s="1" t="str">
        <f>"67/67"</f>
        <v>67/67</v>
      </c>
      <c r="K12112" s="1" t="str">
        <f>"2026-07-29 14:21:43"</f>
        <v>2026-07-29 14:21:43</v>
      </c>
      <c r="L12112" s="1" t="str">
        <f>"2023-08-30 16:27:33"</f>
        <v>2023-08-30 16:27:33</v>
      </c>
      <c r="M12112" s="1" t="s">
        <v>4</v>
      </c>
      <c r="N12112" s="1" t="s">
        <v>38</v>
      </c>
      <c r="O12112" s="1" t="s">
        <v>46</v>
      </c>
    </row>
    <row r="12113" spans="2:15" x14ac:dyDescent="0.3">
      <c r="B12113" s="1" t="s">
        <v>20</v>
      </c>
      <c r="C12113" s="1" t="str">
        <f>"1차"</f>
        <v>1차</v>
      </c>
      <c r="D12113" s="1" t="str">
        <f>"9626C90100"</f>
        <v>9626C90100</v>
      </c>
      <c r="E12113" s="1" t="s">
        <v>10</v>
      </c>
      <c r="F12113" s="1" t="str">
        <f>"10.125.129.48"</f>
        <v>10.125.129.48</v>
      </c>
      <c r="G12113" s="1" t="str">
        <f>"9626C901"</f>
        <v>9626C901</v>
      </c>
      <c r="H12113" s="1" t="str">
        <f>"신북지 17L3"</f>
        <v>신북지 17L3</v>
      </c>
      <c r="I12113" s="1" t="s">
        <v>8</v>
      </c>
      <c r="J12113" s="1" t="str">
        <f>"20/20"</f>
        <v>20/20</v>
      </c>
      <c r="K12113" s="1" t="str">
        <f>"2026-07-29 13:18:10"</f>
        <v>2026-07-29 13:18:10</v>
      </c>
      <c r="L12113" s="1" t="str">
        <f>"2015-02-12 15:22:02"</f>
        <v>2015-02-12 15:22:02</v>
      </c>
      <c r="M12113" s="1" t="s">
        <v>45</v>
      </c>
      <c r="N12113" s="1" t="s">
        <v>38</v>
      </c>
      <c r="O12113" s="1" t="s">
        <v>46</v>
      </c>
    </row>
    <row r="12114" spans="2:15" x14ac:dyDescent="0.3">
      <c r="B12114" s="1" t="s">
        <v>20</v>
      </c>
      <c r="C12114" s="1" t="str">
        <f>"1차"</f>
        <v>1차</v>
      </c>
      <c r="D12114" s="1" t="str">
        <f>"9626D21100"</f>
        <v>9626D21100</v>
      </c>
      <c r="E12114" s="1" t="s">
        <v>10</v>
      </c>
      <c r="F12114" s="1" t="str">
        <f>"10.125.129.49"</f>
        <v>10.125.129.49</v>
      </c>
      <c r="G12114" s="1" t="str">
        <f>"9626D211"</f>
        <v>9626D211</v>
      </c>
      <c r="H12114" s="1" t="str">
        <f>"신북지 14L5"</f>
        <v>신북지 14L5</v>
      </c>
      <c r="I12114" s="1" t="s">
        <v>8</v>
      </c>
      <c r="J12114" s="1" t="str">
        <f>"11/11"</f>
        <v>11/11</v>
      </c>
      <c r="K12114" s="1" t="str">
        <f>"2026-07-29 13:18:10"</f>
        <v>2026-07-29 13:18:10</v>
      </c>
      <c r="L12114" s="1" t="str">
        <f>"2015-01-09 10:51:58"</f>
        <v>2015-01-09 10:51:58</v>
      </c>
      <c r="M12114" s="1" t="s">
        <v>45</v>
      </c>
      <c r="N12114" s="1" t="s">
        <v>38</v>
      </c>
      <c r="O12114" s="1" t="s">
        <v>46</v>
      </c>
    </row>
    <row r="12115" spans="2:15" x14ac:dyDescent="0.3">
      <c r="B12115" s="1" t="s">
        <v>20</v>
      </c>
      <c r="C12115" s="1" t="str">
        <f>"5-2차"</f>
        <v>5-2차</v>
      </c>
      <c r="D12115" s="1" t="str">
        <f>"9626P9915S"</f>
        <v>9626P9915S</v>
      </c>
      <c r="E12115" s="1" t="s">
        <v>10</v>
      </c>
      <c r="F12115" s="1" t="str">
        <f>"fde1:103:4:55ab:0:0:0:2"</f>
        <v>fde1:103:4:55ab:0:0:0:2</v>
      </c>
      <c r="G12115" s="1" t="str">
        <f>"9626P991"</f>
        <v>9626P991</v>
      </c>
      <c r="H12115" s="1" t="str">
        <f>"신북지 22L2"</f>
        <v>신북지 22L2</v>
      </c>
      <c r="I12115" s="1" t="s">
        <v>15</v>
      </c>
      <c r="J12115" s="1" t="str">
        <f>"39/39"</f>
        <v>39/39</v>
      </c>
      <c r="K12115" s="1" t="str">
        <f>"2026-07-29 14:20:55"</f>
        <v>2026-07-29 14:20:55</v>
      </c>
      <c r="L12115" s="1" t="str">
        <f>"2023-08-30 16:38:21"</f>
        <v>2023-08-30 16:38:21</v>
      </c>
      <c r="M12115" s="1" t="s">
        <v>4</v>
      </c>
      <c r="N12115" s="1" t="s">
        <v>38</v>
      </c>
      <c r="O12115" s="1" t="s">
        <v>46</v>
      </c>
    </row>
    <row r="12116" spans="2:15" x14ac:dyDescent="0.3">
      <c r="B12116" s="1" t="s">
        <v>20</v>
      </c>
      <c r="C12116" s="1" t="str">
        <f>"5-1차"</f>
        <v>5-1차</v>
      </c>
      <c r="D12116" s="1" t="str">
        <f>"9626Q0625S"</f>
        <v>9626Q0625S</v>
      </c>
      <c r="E12116" s="1" t="s">
        <v>10</v>
      </c>
      <c r="F12116" s="1" t="str">
        <f>"fde3:102:1300:2e03:0:0:0:2"</f>
        <v>fde3:102:1300:2e03:0:0:0:2</v>
      </c>
      <c r="G12116" s="1" t="str">
        <f>"9626Q062"</f>
        <v>9626Q062</v>
      </c>
      <c r="H12116" s="1" t="str">
        <f>"신북지 35R8R2"</f>
        <v>신북지 35R8R2</v>
      </c>
      <c r="I12116" s="1" t="s">
        <v>15</v>
      </c>
      <c r="J12116" s="1" t="str">
        <f>"54/54"</f>
        <v>54/54</v>
      </c>
      <c r="K12116" s="1" t="str">
        <f>"2026-07-29 14:21:39"</f>
        <v>2026-07-29 14:21:39</v>
      </c>
      <c r="L12116" s="1" t="str">
        <f>"2022-11-21 14:23:39"</f>
        <v>2022-11-21 14:23:39</v>
      </c>
      <c r="M12116" s="1" t="s">
        <v>45</v>
      </c>
      <c r="N12116" s="1" t="s">
        <v>38</v>
      </c>
      <c r="O12116" s="1" t="s">
        <v>46</v>
      </c>
    </row>
    <row r="12117" spans="2:15" x14ac:dyDescent="0.3">
      <c r="B12117" s="1" t="s">
        <v>20</v>
      </c>
      <c r="C12117" s="1" t="str">
        <f>"1차"</f>
        <v>1차</v>
      </c>
      <c r="D12117" s="1" t="str">
        <f>"9626Q19200"</f>
        <v>9626Q19200</v>
      </c>
      <c r="E12117" s="1" t="s">
        <v>10</v>
      </c>
      <c r="F12117" s="1" t="str">
        <f>"10.125.128.83"</f>
        <v>10.125.128.83</v>
      </c>
      <c r="G12117" s="1" t="str">
        <f>"9626Q192"</f>
        <v>9626Q192</v>
      </c>
      <c r="H12117" s="1" t="str">
        <f>"신북지 22L6"</f>
        <v>신북지 22L6</v>
      </c>
      <c r="I12117" s="1" t="s">
        <v>8</v>
      </c>
      <c r="J12117" s="1" t="str">
        <f>"11/12"</f>
        <v>11/12</v>
      </c>
      <c r="K12117" s="1" t="str">
        <f>"2026-07-29 13:18:11"</f>
        <v>2026-07-29 13:18:11</v>
      </c>
      <c r="L12117" s="1" t="str">
        <f>"2021-03-22 09:22:35"</f>
        <v>2021-03-22 09:22:35</v>
      </c>
      <c r="M12117" s="1" t="s">
        <v>45</v>
      </c>
      <c r="N12117" s="1" t="s">
        <v>38</v>
      </c>
      <c r="O12117" s="1" t="s">
        <v>46</v>
      </c>
    </row>
    <row r="12118" spans="2:15" x14ac:dyDescent="0.3">
      <c r="B12118" s="1" t="s">
        <v>20</v>
      </c>
      <c r="C12118" s="1" t="str">
        <f>"5-1차"</f>
        <v>5-1차</v>
      </c>
      <c r="D12118" s="1" t="str">
        <f>"9626Q2415M"</f>
        <v>9626Q2415M</v>
      </c>
      <c r="E12118" s="1" t="s">
        <v>10</v>
      </c>
      <c r="F12118" s="1" t="str">
        <f>"fde2:104:0:95:0:0:0:2"</f>
        <v>fde2:104:0:95:0:0:0:2</v>
      </c>
      <c r="G12118" s="1" t="str">
        <f>"9626Q241"</f>
        <v>9626Q241</v>
      </c>
      <c r="H12118" s="1" t="str">
        <f>"신북지 35R8L3"</f>
        <v>신북지 35R8L3</v>
      </c>
      <c r="I12118" s="1" t="s">
        <v>15</v>
      </c>
      <c r="J12118" s="1" t="str">
        <f>"18/18"</f>
        <v>18/18</v>
      </c>
      <c r="K12118" s="1" t="str">
        <f>"2026-07-29 14:21:37"</f>
        <v>2026-07-29 14:21:37</v>
      </c>
      <c r="L12118" s="1" t="str">
        <f>"2022-09-30 09:07:45"</f>
        <v>2022-09-30 09:07:45</v>
      </c>
      <c r="M12118" s="1" t="s">
        <v>42</v>
      </c>
      <c r="N12118" s="1" t="s">
        <v>38</v>
      </c>
      <c r="O12118" s="1" t="s">
        <v>46</v>
      </c>
    </row>
    <row r="12119" spans="2:15" x14ac:dyDescent="0.3">
      <c r="B12119" s="1" t="s">
        <v>20</v>
      </c>
      <c r="C12119" s="1" t="str">
        <f>"5-2차"</f>
        <v>5-2차</v>
      </c>
      <c r="D12119" s="1" t="str">
        <f>"9626Q3015S"</f>
        <v>9626Q3015S</v>
      </c>
      <c r="E12119" s="1" t="s">
        <v>10</v>
      </c>
      <c r="F12119" s="1" t="str">
        <f>"fde1:103:4:566b:0:0:0:2"</f>
        <v>fde1:103:4:566b:0:0:0:2</v>
      </c>
      <c r="G12119" s="1" t="str">
        <f>"9626Q301"</f>
        <v>9626Q301</v>
      </c>
      <c r="H12119" s="1" t="str">
        <f>"당인간 20R10R7"</f>
        <v>당인간 20R10R7</v>
      </c>
      <c r="I12119" s="1" t="s">
        <v>15</v>
      </c>
      <c r="J12119" s="1" t="str">
        <f>"57/57"</f>
        <v>57/57</v>
      </c>
      <c r="K12119" s="1" t="str">
        <f>"2026-07-29 14:21:00"</f>
        <v>2026-07-29 14:21:00</v>
      </c>
      <c r="L12119" s="1" t="str">
        <f>"2023-08-30 16:51:55"</f>
        <v>2023-08-30 16:51:55</v>
      </c>
      <c r="M12119" s="1" t="s">
        <v>4</v>
      </c>
      <c r="N12119" s="1" t="s">
        <v>38</v>
      </c>
      <c r="O12119" s="1" t="s">
        <v>46</v>
      </c>
    </row>
    <row r="12120" spans="2:15" x14ac:dyDescent="0.3">
      <c r="B12120" s="1" t="s">
        <v>20</v>
      </c>
      <c r="C12120" s="1" t="str">
        <f>"5-2차"</f>
        <v>5-2차</v>
      </c>
      <c r="D12120" s="1" t="str">
        <f>"9626Q3325S"</f>
        <v>9626Q3325S</v>
      </c>
      <c r="E12120" s="1" t="s">
        <v>10</v>
      </c>
      <c r="F12120" s="1" t="str">
        <f>"fde1:103:4:569f:0:0:0:2"</f>
        <v>fde1:103:4:569f:0:0:0:2</v>
      </c>
      <c r="G12120" s="1" t="str">
        <f>"9626Q332"</f>
        <v>9626Q332</v>
      </c>
      <c r="H12120" s="1" t="str">
        <f>"신북지 47R4"</f>
        <v>신북지 47R4</v>
      </c>
      <c r="I12120" s="1" t="s">
        <v>15</v>
      </c>
      <c r="J12120" s="1" t="str">
        <f>"51/51"</f>
        <v>51/51</v>
      </c>
      <c r="K12120" s="1" t="str">
        <f>"2026-07-29 14:21:23"</f>
        <v>2026-07-29 14:21:23</v>
      </c>
      <c r="L12120" s="1" t="str">
        <f>"2023-08-30 17:05:35"</f>
        <v>2023-08-30 17:05:35</v>
      </c>
      <c r="M12120" s="1" t="s">
        <v>4</v>
      </c>
      <c r="N12120" s="1" t="s">
        <v>38</v>
      </c>
      <c r="O12120" s="1" t="s">
        <v>46</v>
      </c>
    </row>
    <row r="12121" spans="2:15" x14ac:dyDescent="0.3">
      <c r="B12121" s="1" t="s">
        <v>20</v>
      </c>
      <c r="C12121" s="1" t="str">
        <f>"5-2차"</f>
        <v>5-2차</v>
      </c>
      <c r="D12121" s="1" t="str">
        <f>"9626Q3515S"</f>
        <v>9626Q3515S</v>
      </c>
      <c r="E12121" s="1" t="s">
        <v>10</v>
      </c>
      <c r="F12121" s="1" t="str">
        <f>"fde1:103:4:56ba:0:0:0:2"</f>
        <v>fde1:103:4:56ba:0:0:0:2</v>
      </c>
      <c r="G12121" s="1" t="str">
        <f>"9626Q351"</f>
        <v>9626Q351</v>
      </c>
      <c r="H12121" s="1" t="str">
        <f>"신북지 35R4L1"</f>
        <v>신북지 35R4L1</v>
      </c>
      <c r="I12121" s="1" t="s">
        <v>15</v>
      </c>
      <c r="J12121" s="1" t="str">
        <f>"79/79"</f>
        <v>79/79</v>
      </c>
      <c r="K12121" s="1" t="str">
        <f>"2026-07-29 14:21:43"</f>
        <v>2026-07-29 14:21:43</v>
      </c>
      <c r="L12121" s="1" t="str">
        <f>"2023-08-30 17:14:37"</f>
        <v>2023-08-30 17:14:37</v>
      </c>
      <c r="M12121" s="1" t="s">
        <v>4</v>
      </c>
      <c r="N12121" s="1" t="s">
        <v>38</v>
      </c>
      <c r="O12121" s="1" t="s">
        <v>46</v>
      </c>
    </row>
    <row r="12122" spans="2:15" x14ac:dyDescent="0.3">
      <c r="B12122" s="1" t="s">
        <v>20</v>
      </c>
      <c r="C12122" s="1" t="str">
        <f>"5-1차"</f>
        <v>5-1차</v>
      </c>
      <c r="D12122" s="1" t="str">
        <f>"9626Q3715S"</f>
        <v>9626Q3715S</v>
      </c>
      <c r="E12122" s="1" t="s">
        <v>10</v>
      </c>
      <c r="F12122" s="1" t="str">
        <f>"fde3:102:1300:2e03:0:0:0:3"</f>
        <v>fde3:102:1300:2e03:0:0:0:3</v>
      </c>
      <c r="G12122" s="1" t="str">
        <f>"9626Q371"</f>
        <v>9626Q371</v>
      </c>
      <c r="H12122" s="1" t="str">
        <f>"신북지 30L1"</f>
        <v>신북지 30L1</v>
      </c>
      <c r="I12122" s="1" t="s">
        <v>15</v>
      </c>
      <c r="J12122" s="1" t="str">
        <f>"36/36"</f>
        <v>36/36</v>
      </c>
      <c r="K12122" s="1" t="str">
        <f>"2026-07-29 14:21:36"</f>
        <v>2026-07-29 14:21:36</v>
      </c>
      <c r="L12122" s="1" t="str">
        <f>"2022-11-10 07:47:32"</f>
        <v>2022-11-10 07:47:32</v>
      </c>
      <c r="M12122" s="1" t="s">
        <v>45</v>
      </c>
      <c r="N12122" s="1" t="s">
        <v>38</v>
      </c>
      <c r="O12122" s="1" t="s">
        <v>46</v>
      </c>
    </row>
    <row r="12123" spans="2:15" x14ac:dyDescent="0.3">
      <c r="B12123" s="1" t="s">
        <v>20</v>
      </c>
      <c r="C12123" s="1" t="str">
        <f>"1차"</f>
        <v>1차</v>
      </c>
      <c r="D12123" s="1" t="str">
        <f>"9626Q39101"</f>
        <v>9626Q39101</v>
      </c>
      <c r="E12123" s="1" t="s">
        <v>10</v>
      </c>
      <c r="F12123" s="1" t="str">
        <f>"10.12.128.170"</f>
        <v>10.12.128.170</v>
      </c>
      <c r="G12123" s="1" t="str">
        <f>"9626Q391"</f>
        <v>9626Q391</v>
      </c>
      <c r="H12123" s="1" t="str">
        <f>"신북지 22L9"</f>
        <v>신북지 22L9</v>
      </c>
      <c r="I12123" s="1" t="s">
        <v>8</v>
      </c>
      <c r="J12123" s="1" t="str">
        <f>"17/17"</f>
        <v>17/17</v>
      </c>
      <c r="K12123" s="1" t="str">
        <f>"2026-07-29 13:18:10"</f>
        <v>2026-07-29 13:18:10</v>
      </c>
      <c r="L12123" s="1" t="str">
        <f>"2014-11-21 17:22:06"</f>
        <v>2014-11-21 17:22:06</v>
      </c>
      <c r="M12123" s="1" t="s">
        <v>0</v>
      </c>
      <c r="N12123" s="1" t="s">
        <v>38</v>
      </c>
      <c r="O12123" s="1" t="s">
        <v>46</v>
      </c>
    </row>
    <row r="12124" spans="2:15" x14ac:dyDescent="0.3">
      <c r="B12124" s="1" t="s">
        <v>20</v>
      </c>
      <c r="C12124" s="1" t="str">
        <f>"5-1차"</f>
        <v>5-1차</v>
      </c>
      <c r="D12124" s="1" t="str">
        <f>"9626Q4025S"</f>
        <v>9626Q4025S</v>
      </c>
      <c r="E12124" s="1" t="s">
        <v>10</v>
      </c>
      <c r="F12124" s="1" t="str">
        <f>"fde3:102:1300:1900:0:0:0:2"</f>
        <v>fde3:102:1300:1900:0:0:0:2</v>
      </c>
      <c r="G12124" s="1" t="str">
        <f>"9626Q402"</f>
        <v>9626Q402</v>
      </c>
      <c r="H12124" s="1" t="str">
        <f>"당인간 20R10R5R1"</f>
        <v>당인간 20R10R5R1</v>
      </c>
      <c r="I12124" s="1" t="s">
        <v>15</v>
      </c>
      <c r="J12124" s="1" t="str">
        <f>"64/64"</f>
        <v>64/64</v>
      </c>
      <c r="K12124" s="1" t="str">
        <f>"2026-07-29 14:21:08"</f>
        <v>2026-07-29 14:21:08</v>
      </c>
      <c r="L12124" s="1" t="str">
        <f>"2022-11-10 07:39:14"</f>
        <v>2022-11-10 07:39:14</v>
      </c>
      <c r="M12124" s="1" t="s">
        <v>45</v>
      </c>
      <c r="N12124" s="1" t="s">
        <v>38</v>
      </c>
      <c r="O12124" s="1" t="s">
        <v>46</v>
      </c>
    </row>
    <row r="12125" spans="2:15" x14ac:dyDescent="0.3">
      <c r="B12125" s="1" t="s">
        <v>20</v>
      </c>
      <c r="C12125" s="1" t="str">
        <f>"5-2차"</f>
        <v>5-2차</v>
      </c>
      <c r="D12125" s="1" t="str">
        <f>"9626Q4225M"</f>
        <v>9626Q4225M</v>
      </c>
      <c r="E12125" s="1" t="s">
        <v>10</v>
      </c>
      <c r="F12125" s="1" t="str">
        <f>"fde3:102:1300:1900:0:0:0:9"</f>
        <v>fde3:102:1300:1900:0:0:0:9</v>
      </c>
      <c r="G12125" s="1" t="str">
        <f>"9626Q422"</f>
        <v>9626Q422</v>
      </c>
      <c r="H12125" s="1" t="str">
        <f>"신북지 47R3"</f>
        <v>신북지 47R3</v>
      </c>
      <c r="I12125" s="1" t="s">
        <v>15</v>
      </c>
      <c r="J12125" s="1" t="str">
        <f>"87/87"</f>
        <v>87/87</v>
      </c>
      <c r="K12125" s="1" t="str">
        <f>"2026-07-29 14:21:36"</f>
        <v>2026-07-29 14:21:36</v>
      </c>
      <c r="L12125" s="1" t="str">
        <f>"2023-09-07 13:57:15"</f>
        <v>2023-09-07 13:57:15</v>
      </c>
      <c r="M12125" s="1" t="s">
        <v>45</v>
      </c>
      <c r="N12125" s="1" t="s">
        <v>38</v>
      </c>
      <c r="O12125" s="1" t="s">
        <v>46</v>
      </c>
    </row>
    <row r="12126" spans="2:15" x14ac:dyDescent="0.3">
      <c r="B12126" s="1" t="s">
        <v>20</v>
      </c>
      <c r="C12126" s="1" t="str">
        <f>"5-2차"</f>
        <v>5-2차</v>
      </c>
      <c r="D12126" s="1" t="str">
        <f>"9626Q4315S"</f>
        <v>9626Q4315S</v>
      </c>
      <c r="E12126" s="1" t="s">
        <v>10</v>
      </c>
      <c r="F12126" s="1" t="str">
        <f>"fde3:102:1300:1900:0:0:0:8"</f>
        <v>fde3:102:1300:1900:0:0:0:8</v>
      </c>
      <c r="G12126" s="1" t="str">
        <f>"9626Q431"</f>
        <v>9626Q431</v>
      </c>
      <c r="H12126" s="1" t="str">
        <f>"신북지 35AR4"</f>
        <v>신북지 35AR4</v>
      </c>
      <c r="I12126" s="1" t="s">
        <v>15</v>
      </c>
      <c r="J12126" s="1" t="str">
        <f>"45/45"</f>
        <v>45/45</v>
      </c>
      <c r="K12126" s="1" t="str">
        <f>"2026-07-29 14:20:54"</f>
        <v>2026-07-29 14:20:54</v>
      </c>
      <c r="L12126" s="1" t="str">
        <f>"2023-09-21 16:30:23"</f>
        <v>2023-09-21 16:30:23</v>
      </c>
      <c r="M12126" s="1" t="s">
        <v>45</v>
      </c>
      <c r="N12126" s="1" t="s">
        <v>38</v>
      </c>
      <c r="O12126" s="1" t="s">
        <v>46</v>
      </c>
    </row>
    <row r="12127" spans="2:15" x14ac:dyDescent="0.3">
      <c r="B12127" s="1" t="s">
        <v>20</v>
      </c>
      <c r="C12127" s="1" t="str">
        <f>"5-2차"</f>
        <v>5-2차</v>
      </c>
      <c r="D12127" s="1" t="str">
        <f>"9626Q4415S"</f>
        <v>9626Q4415S</v>
      </c>
      <c r="E12127" s="1" t="s">
        <v>10</v>
      </c>
      <c r="F12127" s="1" t="str">
        <f>"fde1:103:4:55cb:0:0:0:2"</f>
        <v>fde1:103:4:55cb:0:0:0:2</v>
      </c>
      <c r="G12127" s="1" t="str">
        <f>"9626Q441"</f>
        <v>9626Q441</v>
      </c>
      <c r="H12127" s="1" t="str">
        <f>"신북지 35R3L2"</f>
        <v>신북지 35R3L2</v>
      </c>
      <c r="I12127" s="1" t="s">
        <v>15</v>
      </c>
      <c r="J12127" s="1" t="str">
        <f>"61/61"</f>
        <v>61/61</v>
      </c>
      <c r="K12127" s="1" t="str">
        <f>"2026-07-29 14:21:23"</f>
        <v>2026-07-29 14:21:23</v>
      </c>
      <c r="L12127" s="1" t="str">
        <f>"2023-08-30 17:23:25"</f>
        <v>2023-08-30 17:23:25</v>
      </c>
      <c r="M12127" s="1" t="s">
        <v>4</v>
      </c>
      <c r="N12127" s="1" t="s">
        <v>38</v>
      </c>
      <c r="O12127" s="1" t="s">
        <v>46</v>
      </c>
    </row>
    <row r="12128" spans="2:15" x14ac:dyDescent="0.3">
      <c r="B12128" s="1" t="s">
        <v>20</v>
      </c>
      <c r="C12128" s="1" t="str">
        <f>"5-2차"</f>
        <v>5-2차</v>
      </c>
      <c r="D12128" s="1" t="str">
        <f>"9626Q4535S"</f>
        <v>9626Q4535S</v>
      </c>
      <c r="E12128" s="1" t="s">
        <v>10</v>
      </c>
      <c r="F12128" s="1" t="str">
        <f>"fde1:103:4:563a:0:0:0:2"</f>
        <v>fde1:103:4:563a:0:0:0:2</v>
      </c>
      <c r="G12128" s="1" t="str">
        <f>"9626Q453"</f>
        <v>9626Q453</v>
      </c>
      <c r="H12128" s="1" t="str">
        <f>"신북지 35R3L1"</f>
        <v>신북지 35R3L1</v>
      </c>
      <c r="I12128" s="1" t="s">
        <v>15</v>
      </c>
      <c r="J12128" s="1" t="str">
        <f>"80/80"</f>
        <v>80/80</v>
      </c>
      <c r="K12128" s="1" t="str">
        <f>"2026-07-29 14:21:46"</f>
        <v>2026-07-29 14:21:46</v>
      </c>
      <c r="L12128" s="1" t="str">
        <f>"2023-08-30 17:32:43"</f>
        <v>2023-08-30 17:32:43</v>
      </c>
      <c r="M12128" s="1" t="s">
        <v>4</v>
      </c>
      <c r="N12128" s="1" t="s">
        <v>38</v>
      </c>
      <c r="O12128" s="1" t="s">
        <v>46</v>
      </c>
    </row>
    <row r="12129" spans="2:15" x14ac:dyDescent="0.3">
      <c r="B12129" s="1" t="s">
        <v>20</v>
      </c>
      <c r="C12129" s="1" t="str">
        <f>"5-1차"</f>
        <v>5-1차</v>
      </c>
      <c r="D12129" s="1" t="str">
        <f>"9626Q4625S"</f>
        <v>9626Q4625S</v>
      </c>
      <c r="E12129" s="1" t="s">
        <v>10</v>
      </c>
      <c r="F12129" s="1" t="str">
        <f>"fde3:102:1300:2e03:0:0:0:4"</f>
        <v>fde3:102:1300:2e03:0:0:0:4</v>
      </c>
      <c r="G12129" s="1" t="str">
        <f>"9626Q462"</f>
        <v>9626Q462</v>
      </c>
      <c r="H12129" s="1" t="str">
        <f>"신북지 30AL2"</f>
        <v>신북지 30AL2</v>
      </c>
      <c r="I12129" s="1" t="s">
        <v>15</v>
      </c>
      <c r="J12129" s="1" t="str">
        <f>"15/15"</f>
        <v>15/15</v>
      </c>
      <c r="K12129" s="1" t="str">
        <f>"2026-07-29 14:21:43"</f>
        <v>2026-07-29 14:21:43</v>
      </c>
      <c r="L12129" s="1" t="str">
        <f>"2022-11-08 16:28:34"</f>
        <v>2022-11-08 16:28:34</v>
      </c>
      <c r="M12129" s="1" t="s">
        <v>45</v>
      </c>
      <c r="N12129" s="1" t="s">
        <v>38</v>
      </c>
      <c r="O12129" s="1" t="s">
        <v>46</v>
      </c>
    </row>
    <row r="12130" spans="2:15" x14ac:dyDescent="0.3">
      <c r="B12130" s="1" t="s">
        <v>20</v>
      </c>
      <c r="C12130" s="1" t="str">
        <f>"5-1차"</f>
        <v>5-1차</v>
      </c>
      <c r="D12130" s="1" t="str">
        <f>"9626Q5125S"</f>
        <v>9626Q5125S</v>
      </c>
      <c r="E12130" s="1" t="s">
        <v>10</v>
      </c>
      <c r="F12130" s="1" t="str">
        <f>"fde3:102:1300:1900:0:0:0:3"</f>
        <v>fde3:102:1300:1900:0:0:0:3</v>
      </c>
      <c r="G12130" s="1" t="str">
        <f>"9626Q512"</f>
        <v>9626Q512</v>
      </c>
      <c r="H12130" s="1" t="str">
        <f>"신북지 47R1"</f>
        <v>신북지 47R1</v>
      </c>
      <c r="I12130" s="1" t="s">
        <v>15</v>
      </c>
      <c r="J12130" s="1" t="str">
        <f>"47/47"</f>
        <v>47/47</v>
      </c>
      <c r="K12130" s="1" t="str">
        <f>"2026-07-29 14:21:37"</f>
        <v>2026-07-29 14:21:37</v>
      </c>
      <c r="L12130" s="1" t="str">
        <f>"2022-12-15 10:41:57"</f>
        <v>2022-12-15 10:41:57</v>
      </c>
      <c r="M12130" s="1" t="s">
        <v>45</v>
      </c>
      <c r="N12130" s="1" t="s">
        <v>38</v>
      </c>
      <c r="O12130" s="1" t="s">
        <v>46</v>
      </c>
    </row>
    <row r="12131" spans="2:15" x14ac:dyDescent="0.3">
      <c r="B12131" s="1" t="s">
        <v>20</v>
      </c>
      <c r="C12131" s="1" t="str">
        <f>"5-2차"</f>
        <v>5-2차</v>
      </c>
      <c r="D12131" s="1" t="str">
        <f>"9626Q5315S"</f>
        <v>9626Q5315S</v>
      </c>
      <c r="E12131" s="1" t="s">
        <v>10</v>
      </c>
      <c r="F12131" s="1" t="str">
        <f>"fde3:102:1300:1900:0:0:0:7"</f>
        <v>fde3:102:1300:1900:0:0:0:7</v>
      </c>
      <c r="G12131" s="1" t="str">
        <f>"9626Q531"</f>
        <v>9626Q531</v>
      </c>
      <c r="H12131" s="1" t="str">
        <f>"신북지 35AR3L1"</f>
        <v>신북지 35AR3L1</v>
      </c>
      <c r="I12131" s="1" t="s">
        <v>15</v>
      </c>
      <c r="J12131" s="1" t="str">
        <f>"63/63"</f>
        <v>63/63</v>
      </c>
      <c r="K12131" s="1" t="str">
        <f>"2026-07-29 14:21:42"</f>
        <v>2026-07-29 14:21:42</v>
      </c>
      <c r="L12131" s="1" t="str">
        <f>"2023-09-21 16:15:52"</f>
        <v>2023-09-21 16:15:52</v>
      </c>
      <c r="M12131" s="1" t="s">
        <v>45</v>
      </c>
      <c r="N12131" s="1" t="s">
        <v>38</v>
      </c>
      <c r="O12131" s="1" t="s">
        <v>46</v>
      </c>
    </row>
    <row r="12132" spans="2:15" x14ac:dyDescent="0.3">
      <c r="B12132" s="1" t="s">
        <v>20</v>
      </c>
      <c r="C12132" s="1" t="str">
        <f>"6차"</f>
        <v>6차</v>
      </c>
      <c r="D12132" s="1" t="str">
        <f>"9626Q5426S"</f>
        <v>9626Q5426S</v>
      </c>
      <c r="E12132" s="1" t="s">
        <v>10</v>
      </c>
      <c r="F12132" s="1" t="str">
        <f>"fde1:103:4:c5bc:0:0:0:2"</f>
        <v>fde1:103:4:c5bc:0:0:0:2</v>
      </c>
      <c r="G12132" s="1" t="str">
        <f>"9626Q542"</f>
        <v>9626Q542</v>
      </c>
      <c r="H12132" s="1" t="str">
        <f>"신북지 35AR2"</f>
        <v>신북지 35AR2</v>
      </c>
      <c r="I12132" s="1" t="s">
        <v>15</v>
      </c>
      <c r="J12132" s="1" t="str">
        <f>"66/78"</f>
        <v>66/78</v>
      </c>
      <c r="K12132" s="1" t="str">
        <f>"2026-07-28 08:21:10"</f>
        <v>2026-07-28 08:21:10</v>
      </c>
      <c r="L12132" s="1" t="str">
        <f>"2024-11-11 17:08:25"</f>
        <v>2024-11-11 17:08:25</v>
      </c>
      <c r="M12132" s="1" t="s">
        <v>4</v>
      </c>
      <c r="N12132" s="1" t="s">
        <v>38</v>
      </c>
      <c r="O12132" s="1" t="s">
        <v>46</v>
      </c>
    </row>
    <row r="12133" spans="2:15" x14ac:dyDescent="0.3">
      <c r="B12133" s="1" t="s">
        <v>20</v>
      </c>
      <c r="C12133" s="1" t="str">
        <f>"5-1차"</f>
        <v>5-1차</v>
      </c>
      <c r="D12133" s="1" t="str">
        <f>"9626Q6015M"</f>
        <v>9626Q6015M</v>
      </c>
      <c r="E12133" s="1" t="s">
        <v>10</v>
      </c>
      <c r="F12133" s="1" t="str">
        <f>"fde2:104:0:90:0:0:0:2"</f>
        <v>fde2:104:0:90:0:0:0:2</v>
      </c>
      <c r="G12133" s="1" t="str">
        <f>"9626Q601"</f>
        <v>9626Q601</v>
      </c>
      <c r="H12133" s="1" t="str">
        <f>"신북지 48"</f>
        <v>신북지 48</v>
      </c>
      <c r="I12133" s="1" t="s">
        <v>15</v>
      </c>
      <c r="J12133" s="1" t="str">
        <f>"73/73"</f>
        <v>73/73</v>
      </c>
      <c r="K12133" s="1" t="str">
        <f>"2026-07-29 14:21:37"</f>
        <v>2026-07-29 14:21:37</v>
      </c>
      <c r="L12133" s="1" t="str">
        <f>"2022-09-30 14:15:14"</f>
        <v>2022-09-30 14:15:14</v>
      </c>
      <c r="M12133" s="1" t="s">
        <v>42</v>
      </c>
      <c r="N12133" s="1" t="s">
        <v>38</v>
      </c>
      <c r="O12133" s="1" t="s">
        <v>46</v>
      </c>
    </row>
    <row r="12134" spans="2:15" x14ac:dyDescent="0.3">
      <c r="B12134" s="1" t="s">
        <v>20</v>
      </c>
      <c r="C12134" s="1" t="str">
        <f>"5-2차"</f>
        <v>5-2차</v>
      </c>
      <c r="D12134" s="1" t="str">
        <f>"9626Q6315M"</f>
        <v>9626Q6315M</v>
      </c>
      <c r="E12134" s="1" t="s">
        <v>10</v>
      </c>
      <c r="F12134" s="1" t="str">
        <f>"fde3:102:1300:1a00:0:0:0:7"</f>
        <v>fde3:102:1300:1a00:0:0:0:7</v>
      </c>
      <c r="G12134" s="1" t="str">
        <f>"9626Q631"</f>
        <v>9626Q631</v>
      </c>
      <c r="H12134" s="1" t="str">
        <f>"신북지 41R3"</f>
        <v>신북지 41R3</v>
      </c>
      <c r="I12134" s="1" t="s">
        <v>15</v>
      </c>
      <c r="J12134" s="1" t="str">
        <f>"73/74"</f>
        <v>73/74</v>
      </c>
      <c r="K12134" s="1" t="str">
        <f>"2026-07-29 14:21:36"</f>
        <v>2026-07-29 14:21:36</v>
      </c>
      <c r="L12134" s="1" t="str">
        <f>"2023-09-07 13:35:58"</f>
        <v>2023-09-07 13:35:58</v>
      </c>
      <c r="M12134" s="1" t="s">
        <v>45</v>
      </c>
      <c r="N12134" s="1" t="s">
        <v>38</v>
      </c>
      <c r="O12134" s="1" t="s">
        <v>46</v>
      </c>
    </row>
    <row r="12135" spans="2:15" x14ac:dyDescent="0.3">
      <c r="B12135" s="1" t="s">
        <v>20</v>
      </c>
      <c r="C12135" s="1" t="str">
        <f>"5-2차"</f>
        <v>5-2차</v>
      </c>
      <c r="D12135" s="1" t="str">
        <f>"9626Q7415S"</f>
        <v>9626Q7415S</v>
      </c>
      <c r="E12135" s="1" t="s">
        <v>10</v>
      </c>
      <c r="F12135" s="1" t="str">
        <f>"fde3:102:1300:2e03:0:0:0:7"</f>
        <v>fde3:102:1300:2e03:0:0:0:7</v>
      </c>
      <c r="G12135" s="1" t="str">
        <f>"9626Q741"</f>
        <v>9626Q741</v>
      </c>
      <c r="H12135" s="1" t="str">
        <f>"신북지 34L4"</f>
        <v>신북지 34L4</v>
      </c>
      <c r="I12135" s="1" t="s">
        <v>15</v>
      </c>
      <c r="J12135" s="1" t="str">
        <f>"57/57"</f>
        <v>57/57</v>
      </c>
      <c r="K12135" s="1" t="str">
        <f>"2026-07-29 14:21:43"</f>
        <v>2026-07-29 14:21:43</v>
      </c>
      <c r="L12135" s="1" t="str">
        <f>"2023-09-21 15:57:39"</f>
        <v>2023-09-21 15:57:39</v>
      </c>
      <c r="M12135" s="1" t="s">
        <v>45</v>
      </c>
      <c r="N12135" s="1" t="s">
        <v>38</v>
      </c>
      <c r="O12135" s="1" t="s">
        <v>46</v>
      </c>
    </row>
    <row r="12136" spans="2:15" x14ac:dyDescent="0.3">
      <c r="B12136" s="1" t="s">
        <v>20</v>
      </c>
      <c r="C12136" s="1" t="str">
        <f>"5-2차"</f>
        <v>5-2차</v>
      </c>
      <c r="D12136" s="1" t="str">
        <f>"9626Q8315M"</f>
        <v>9626Q8315M</v>
      </c>
      <c r="E12136" s="1" t="s">
        <v>10</v>
      </c>
      <c r="F12136" s="1" t="str">
        <f>"fde1:103:4:56c8:0:0:0:2"</f>
        <v>fde1:103:4:56c8:0:0:0:2</v>
      </c>
      <c r="G12136" s="1" t="str">
        <f>"9626Q831"</f>
        <v>9626Q831</v>
      </c>
      <c r="H12136" s="1" t="str">
        <f>"신북지 41"</f>
        <v>신북지 41</v>
      </c>
      <c r="I12136" s="1" t="s">
        <v>15</v>
      </c>
      <c r="J12136" s="1" t="str">
        <f>"60/60"</f>
        <v>60/60</v>
      </c>
      <c r="K12136" s="1" t="str">
        <f>"2026-07-29 14:21:37"</f>
        <v>2026-07-29 14:21:37</v>
      </c>
      <c r="L12136" s="1" t="str">
        <f>"2023-08-17 10:57:17"</f>
        <v>2023-08-17 10:57:17</v>
      </c>
      <c r="M12136" s="1" t="s">
        <v>4</v>
      </c>
      <c r="N12136" s="1" t="s">
        <v>38</v>
      </c>
      <c r="O12136" s="1" t="s">
        <v>46</v>
      </c>
    </row>
    <row r="12137" spans="2:15" x14ac:dyDescent="0.3">
      <c r="B12137" s="1" t="s">
        <v>20</v>
      </c>
      <c r="C12137" s="1" t="str">
        <f>"5-1차"</f>
        <v>5-1차</v>
      </c>
      <c r="D12137" s="1" t="str">
        <f>"9626Q8415M"</f>
        <v>9626Q8415M</v>
      </c>
      <c r="E12137" s="1" t="s">
        <v>10</v>
      </c>
      <c r="F12137" s="1" t="str">
        <f>"fde3:102:1300:2e03:0:0:0:5"</f>
        <v>fde3:102:1300:2e03:0:0:0:5</v>
      </c>
      <c r="G12137" s="1" t="str">
        <f>"9626Q841"</f>
        <v>9626Q841</v>
      </c>
      <c r="H12137" s="1" t="str">
        <f>"신북지 34L5"</f>
        <v>신북지 34L5</v>
      </c>
      <c r="I12137" s="1" t="s">
        <v>15</v>
      </c>
      <c r="J12137" s="1" t="str">
        <f>"39/39"</f>
        <v>39/39</v>
      </c>
      <c r="K12137" s="1" t="str">
        <f>"2026-07-29 14:21:43"</f>
        <v>2026-07-29 14:21:43</v>
      </c>
      <c r="L12137" s="1" t="str">
        <f>"2022-11-08 16:24:54"</f>
        <v>2022-11-08 16:24:54</v>
      </c>
      <c r="M12137" s="1" t="s">
        <v>45</v>
      </c>
      <c r="N12137" s="1" t="s">
        <v>38</v>
      </c>
      <c r="O12137" s="1" t="s">
        <v>46</v>
      </c>
    </row>
    <row r="12138" spans="2:15" x14ac:dyDescent="0.3">
      <c r="B12138" s="1" t="s">
        <v>20</v>
      </c>
      <c r="C12138" s="1" t="str">
        <f>"5-1차"</f>
        <v>5-1차</v>
      </c>
      <c r="D12138" s="1" t="str">
        <f>"9626Q8635S"</f>
        <v>9626Q8635S</v>
      </c>
      <c r="E12138" s="1" t="str">
        <f>"검침실패(3시간 이상)"</f>
        <v>검침실패(3시간 이상)</v>
      </c>
      <c r="F12138" s="1" t="str">
        <f>"fde2:104:0:97:0:0:0:2"</f>
        <v>fde2:104:0:97:0:0:0:2</v>
      </c>
      <c r="G12138" s="1" t="str">
        <f>"9626Q863"</f>
        <v>9626Q863</v>
      </c>
      <c r="H12138" s="1" t="str">
        <f>"당인간 4R4L3"</f>
        <v>당인간 4R4L3</v>
      </c>
      <c r="I12138" s="1" t="s">
        <v>15</v>
      </c>
      <c r="J12138" s="1" t="str">
        <f>"0/16"</f>
        <v>0/16</v>
      </c>
      <c r="K12138" s="1" t="str">
        <f>"2026-07-29 14:59:36"</f>
        <v>2026-07-29 14:59:36</v>
      </c>
      <c r="L12138" s="1" t="str">
        <f>"2022-09-28 10:58:49"</f>
        <v>2022-09-28 10:58:49</v>
      </c>
      <c r="M12138" s="1" t="s">
        <v>42</v>
      </c>
      <c r="N12138" s="1" t="s">
        <v>38</v>
      </c>
      <c r="O12138" s="1" t="s">
        <v>46</v>
      </c>
    </row>
    <row r="12139" spans="2:15" x14ac:dyDescent="0.3">
      <c r="B12139" s="1" t="s">
        <v>20</v>
      </c>
      <c r="C12139" s="1" t="str">
        <f>"5-2차"</f>
        <v>5-2차</v>
      </c>
      <c r="D12139" s="1" t="str">
        <f>"9626Q9515S"</f>
        <v>9626Q9515S</v>
      </c>
      <c r="E12139" s="1" t="s">
        <v>10</v>
      </c>
      <c r="F12139" s="1" t="str">
        <f>"fde1:103:4:560f:0:0:0:2"</f>
        <v>fde1:103:4:560f:0:0:0:2</v>
      </c>
      <c r="G12139" s="1" t="str">
        <f>"9626Q951"</f>
        <v>9626Q951</v>
      </c>
      <c r="H12139" s="1" t="str">
        <f>"당인간 4R4AL3"</f>
        <v>당인간 4R4AL3</v>
      </c>
      <c r="I12139" s="1" t="s">
        <v>15</v>
      </c>
      <c r="J12139" s="1" t="str">
        <f>"29/29"</f>
        <v>29/29</v>
      </c>
      <c r="K12139" s="1" t="str">
        <f>"2026-07-29 14:21:46"</f>
        <v>2026-07-29 14:21:46</v>
      </c>
      <c r="L12139" s="1" t="str">
        <f>"2023-08-31 10:13:39"</f>
        <v>2023-08-31 10:13:39</v>
      </c>
      <c r="M12139" s="1" t="s">
        <v>4</v>
      </c>
      <c r="N12139" s="1" t="s">
        <v>38</v>
      </c>
      <c r="O12139" s="1" t="s">
        <v>46</v>
      </c>
    </row>
    <row r="12140" spans="2:15" x14ac:dyDescent="0.3">
      <c r="B12140" s="1" t="s">
        <v>20</v>
      </c>
      <c r="C12140" s="1" t="str">
        <f>"5-2차"</f>
        <v>5-2차</v>
      </c>
      <c r="D12140" s="1" t="str">
        <f>"9626Q9815M"</f>
        <v>9626Q9815M</v>
      </c>
      <c r="E12140" s="1" t="s">
        <v>10</v>
      </c>
      <c r="F12140" s="1" t="str">
        <f>"fde1:103:4:56d4:0:0:0:2"</f>
        <v>fde1:103:4:56d4:0:0:0:2</v>
      </c>
      <c r="G12140" s="1" t="str">
        <f>"9626Q981"</f>
        <v>9626Q981</v>
      </c>
      <c r="H12140" s="1" t="str">
        <f>"당인간 4R6"</f>
        <v>당인간 4R6</v>
      </c>
      <c r="I12140" s="1" t="s">
        <v>15</v>
      </c>
      <c r="J12140" s="1" t="str">
        <f>"70/70"</f>
        <v>70/70</v>
      </c>
      <c r="K12140" s="1" t="str">
        <f>"2026-07-29 14:21:43"</f>
        <v>2026-07-29 14:21:43</v>
      </c>
      <c r="L12140" s="1" t="str">
        <f>"2023-08-17 10:40:11"</f>
        <v>2023-08-17 10:40:11</v>
      </c>
      <c r="M12140" s="1" t="s">
        <v>4</v>
      </c>
      <c r="N12140" s="1" t="s">
        <v>38</v>
      </c>
      <c r="O12140" s="1" t="s">
        <v>46</v>
      </c>
    </row>
    <row r="12141" spans="2:15" x14ac:dyDescent="0.3">
      <c r="B12141" s="1" t="s">
        <v>20</v>
      </c>
      <c r="C12141" s="1" t="str">
        <f>"5-2차"</f>
        <v>5-2차</v>
      </c>
      <c r="D12141" s="1" t="str">
        <f>"9626Q9845M"</f>
        <v>9626Q9845M</v>
      </c>
      <c r="E12141" s="1" t="s">
        <v>10</v>
      </c>
      <c r="F12141" s="1" t="str">
        <f>"fde1:103:4:56a8:0:0:0:2"</f>
        <v>fde1:103:4:56a8:0:0:0:2</v>
      </c>
      <c r="G12141" s="1" t="str">
        <f>"9626Q984"</f>
        <v>9626Q984</v>
      </c>
      <c r="H12141" s="1" t="str">
        <f>"당인간 4R7"</f>
        <v>당인간 4R7</v>
      </c>
      <c r="I12141" s="1" t="s">
        <v>15</v>
      </c>
      <c r="J12141" s="1" t="str">
        <f>"46/46"</f>
        <v>46/46</v>
      </c>
      <c r="K12141" s="1" t="str">
        <f>"2026-07-29 14:20:55"</f>
        <v>2026-07-29 14:20:55</v>
      </c>
      <c r="L12141" s="1" t="str">
        <f>"2023-08-17 10:43:25"</f>
        <v>2023-08-17 10:43:25</v>
      </c>
      <c r="M12141" s="1" t="s">
        <v>4</v>
      </c>
      <c r="N12141" s="1" t="s">
        <v>38</v>
      </c>
      <c r="O12141" s="1" t="s">
        <v>46</v>
      </c>
    </row>
    <row r="12142" spans="2:15" x14ac:dyDescent="0.3">
      <c r="B12142" s="1" t="s">
        <v>20</v>
      </c>
      <c r="C12142" s="1" t="str">
        <f t="shared" ref="C12142:C12147" si="607">"4차"</f>
        <v>4차</v>
      </c>
      <c r="D12142" s="1" t="str">
        <f>"9626R40144"</f>
        <v>9626R40144</v>
      </c>
      <c r="E12142" s="1" t="s">
        <v>10</v>
      </c>
      <c r="F12142" s="1" t="str">
        <f>"10.10.139.186"</f>
        <v>10.10.139.186</v>
      </c>
      <c r="G12142" s="1" t="str">
        <f>"9626R401"</f>
        <v>9626R401</v>
      </c>
      <c r="H12142" s="1" t="str">
        <f>"동국지 5R8"</f>
        <v>동국지 5R8</v>
      </c>
      <c r="I12142" s="1" t="s">
        <v>8</v>
      </c>
      <c r="J12142" s="1" t="str">
        <f>"39/62"</f>
        <v>39/62</v>
      </c>
      <c r="K12142" s="1" t="str">
        <f>"2026-07-29 13:18:10"</f>
        <v>2026-07-29 13:18:10</v>
      </c>
      <c r="L12142" s="1" t="str">
        <f>"2020-02-10 18:33:40"</f>
        <v>2020-02-10 18:33:40</v>
      </c>
      <c r="M12142" s="1" t="s">
        <v>1</v>
      </c>
      <c r="N12142" s="1" t="s">
        <v>38</v>
      </c>
      <c r="O12142" s="1" t="s">
        <v>46</v>
      </c>
    </row>
    <row r="12143" spans="2:15" x14ac:dyDescent="0.3">
      <c r="B12143" s="1" t="s">
        <v>20</v>
      </c>
      <c r="C12143" s="1" t="str">
        <f t="shared" si="607"/>
        <v>4차</v>
      </c>
      <c r="D12143" s="1" t="str">
        <f>"9626R41144"</f>
        <v>9626R41144</v>
      </c>
      <c r="E12143" s="1" t="s">
        <v>10</v>
      </c>
      <c r="F12143" s="1" t="str">
        <f>"10.10.140.178"</f>
        <v>10.10.140.178</v>
      </c>
      <c r="G12143" s="1" t="str">
        <f>"9626R411"</f>
        <v>9626R411</v>
      </c>
      <c r="H12143" s="1" t="str">
        <f>"동국지 5R8R1"</f>
        <v>동국지 5R8R1</v>
      </c>
      <c r="I12143" s="1" t="s">
        <v>8</v>
      </c>
      <c r="J12143" s="1" t="str">
        <f>"49/49"</f>
        <v>49/49</v>
      </c>
      <c r="K12143" s="1" t="str">
        <f>"2026-07-29 13:18:10"</f>
        <v>2026-07-29 13:18:10</v>
      </c>
      <c r="L12143" s="1" t="str">
        <f>"2021-07-27 17:32:44"</f>
        <v>2021-07-27 17:32:44</v>
      </c>
      <c r="M12143" s="1" t="s">
        <v>1</v>
      </c>
      <c r="N12143" s="1" t="s">
        <v>38</v>
      </c>
      <c r="O12143" s="1" t="s">
        <v>46</v>
      </c>
    </row>
    <row r="12144" spans="2:15" x14ac:dyDescent="0.3">
      <c r="B12144" s="1" t="s">
        <v>20</v>
      </c>
      <c r="C12144" s="1" t="str">
        <f t="shared" si="607"/>
        <v>4차</v>
      </c>
      <c r="D12144" s="1" t="str">
        <f>"9626R41344"</f>
        <v>9626R41344</v>
      </c>
      <c r="E12144" s="1" t="s">
        <v>10</v>
      </c>
      <c r="F12144" s="1" t="str">
        <f>"10.12.138.101"</f>
        <v>10.12.138.101</v>
      </c>
      <c r="G12144" s="1" t="str">
        <f>"9626R413"</f>
        <v>9626R413</v>
      </c>
      <c r="H12144" s="1" t="str">
        <f>"동국지 5R8R2"</f>
        <v>동국지 5R8R2</v>
      </c>
      <c r="I12144" s="1" t="s">
        <v>8</v>
      </c>
      <c r="J12144" s="1" t="str">
        <f>"10/13"</f>
        <v>10/13</v>
      </c>
      <c r="K12144" s="1" t="str">
        <f>"2026-07-29 13:18:12"</f>
        <v>2026-07-29 13:18:12</v>
      </c>
      <c r="L12144" s="1" t="str">
        <f>"2020-02-10 18:39:17"</f>
        <v>2020-02-10 18:39:17</v>
      </c>
      <c r="M12144" s="1" t="s">
        <v>0</v>
      </c>
      <c r="N12144" s="1" t="s">
        <v>38</v>
      </c>
      <c r="O12144" s="1" t="s">
        <v>46</v>
      </c>
    </row>
    <row r="12145" spans="2:15" x14ac:dyDescent="0.3">
      <c r="B12145" s="1" t="s">
        <v>20</v>
      </c>
      <c r="C12145" s="1" t="str">
        <f t="shared" si="607"/>
        <v>4차</v>
      </c>
      <c r="D12145" s="1" t="str">
        <f>"9626R50144"</f>
        <v>9626R50144</v>
      </c>
      <c r="E12145" s="1" t="s">
        <v>10</v>
      </c>
      <c r="F12145" s="1" t="str">
        <f>"10.10.140.242"</f>
        <v>10.10.140.242</v>
      </c>
      <c r="G12145" s="1" t="str">
        <f>"9626R501"</f>
        <v>9626R501</v>
      </c>
      <c r="H12145" s="1" t="str">
        <f>"동국지 5R7"</f>
        <v>동국지 5R7</v>
      </c>
      <c r="I12145" s="1" t="s">
        <v>8</v>
      </c>
      <c r="J12145" s="1" t="str">
        <f>"66/66"</f>
        <v>66/66</v>
      </c>
      <c r="K12145" s="1" t="str">
        <f>"2026-07-29 13:18:10"</f>
        <v>2026-07-29 13:18:10</v>
      </c>
      <c r="L12145" s="1" t="str">
        <f>"2020-02-10 18:38:46"</f>
        <v>2020-02-10 18:38:46</v>
      </c>
      <c r="M12145" s="1" t="s">
        <v>1</v>
      </c>
      <c r="N12145" s="1" t="s">
        <v>38</v>
      </c>
      <c r="O12145" s="1" t="s">
        <v>46</v>
      </c>
    </row>
    <row r="12146" spans="2:15" x14ac:dyDescent="0.3">
      <c r="B12146" s="1" t="s">
        <v>20</v>
      </c>
      <c r="C12146" s="1" t="str">
        <f t="shared" si="607"/>
        <v>4차</v>
      </c>
      <c r="D12146" s="1" t="str">
        <f>"9626R52444"</f>
        <v>9626R52444</v>
      </c>
      <c r="E12146" s="1" t="s">
        <v>10</v>
      </c>
      <c r="F12146" s="1" t="str">
        <f>"10.12.138.90"</f>
        <v>10.12.138.90</v>
      </c>
      <c r="G12146" s="1" t="str">
        <f>"9626R524"</f>
        <v>9626R524</v>
      </c>
      <c r="H12146" s="1" t="str">
        <f>"동국지 5R8R4"</f>
        <v>동국지 5R8R4</v>
      </c>
      <c r="I12146" s="1" t="s">
        <v>8</v>
      </c>
      <c r="J12146" s="1" t="str">
        <f>"17/17"</f>
        <v>17/17</v>
      </c>
      <c r="K12146" s="1" t="str">
        <f>"2026-07-29 13:18:12"</f>
        <v>2026-07-29 13:18:12</v>
      </c>
      <c r="L12146" s="1" t="str">
        <f>"2020-02-12 15:12:06"</f>
        <v>2020-02-12 15:12:06</v>
      </c>
      <c r="M12146" s="1" t="s">
        <v>0</v>
      </c>
      <c r="N12146" s="1" t="s">
        <v>38</v>
      </c>
      <c r="O12146" s="1" t="s">
        <v>46</v>
      </c>
    </row>
    <row r="12147" spans="2:15" x14ac:dyDescent="0.3">
      <c r="B12147" s="1" t="s">
        <v>20</v>
      </c>
      <c r="C12147" s="1" t="str">
        <f t="shared" si="607"/>
        <v>4차</v>
      </c>
      <c r="D12147" s="1" t="str">
        <f>"9626R52544"</f>
        <v>9626R52544</v>
      </c>
      <c r="E12147" s="1" t="s">
        <v>10</v>
      </c>
      <c r="F12147" s="1" t="str">
        <f>"10.10.140.250"</f>
        <v>10.10.140.250</v>
      </c>
      <c r="G12147" s="1" t="str">
        <f>"9626R525"</f>
        <v>9626R525</v>
      </c>
      <c r="H12147" s="1" t="str">
        <f>"동국지 5R8R5"</f>
        <v>동국지 5R8R5</v>
      </c>
      <c r="I12147" s="1" t="s">
        <v>8</v>
      </c>
      <c r="J12147" s="1" t="str">
        <f>"42/42"</f>
        <v>42/42</v>
      </c>
      <c r="K12147" s="1" t="str">
        <f>"2026-07-29 13:18:10"</f>
        <v>2026-07-29 13:18:10</v>
      </c>
      <c r="L12147" s="1" t="str">
        <f>"2023-03-24 15:56:05"</f>
        <v>2023-03-24 15:56:05</v>
      </c>
      <c r="M12147" s="1" t="s">
        <v>1</v>
      </c>
      <c r="N12147" s="1" t="s">
        <v>38</v>
      </c>
      <c r="O12147" s="1" t="s">
        <v>46</v>
      </c>
    </row>
    <row r="12148" spans="2:15" x14ac:dyDescent="0.3">
      <c r="B12148" s="1" t="s">
        <v>20</v>
      </c>
      <c r="C12148" s="1" t="str">
        <f>"5-2차"</f>
        <v>5-2차</v>
      </c>
      <c r="D12148" s="1" t="str">
        <f>"9626R6125M"</f>
        <v>9626R6125M</v>
      </c>
      <c r="E12148" s="1" t="s">
        <v>10</v>
      </c>
      <c r="F12148" s="1" t="str">
        <f>"fde3:102:1300:2e03:0:0:0:6"</f>
        <v>fde3:102:1300:2e03:0:0:0:6</v>
      </c>
      <c r="G12148" s="1" t="str">
        <f>"9626R612"</f>
        <v>9626R612</v>
      </c>
      <c r="H12148" s="1" t="str">
        <f>"동국지 5R6"</f>
        <v>동국지 5R6</v>
      </c>
      <c r="I12148" s="1" t="s">
        <v>15</v>
      </c>
      <c r="J12148" s="1" t="str">
        <f>"43/43"</f>
        <v>43/43</v>
      </c>
      <c r="K12148" s="1" t="str">
        <f>"2026-07-29 14:21:00"</f>
        <v>2026-07-29 14:21:00</v>
      </c>
      <c r="L12148" s="1" t="str">
        <f>"2023-09-07 15:02:08"</f>
        <v>2023-09-07 15:02:08</v>
      </c>
      <c r="M12148" s="1" t="s">
        <v>45</v>
      </c>
      <c r="N12148" s="1" t="s">
        <v>38</v>
      </c>
      <c r="O12148" s="1" t="s">
        <v>46</v>
      </c>
    </row>
    <row r="12149" spans="2:15" x14ac:dyDescent="0.3">
      <c r="B12149" s="1" t="s">
        <v>20</v>
      </c>
      <c r="C12149" s="1" t="str">
        <f>"4차"</f>
        <v>4차</v>
      </c>
      <c r="D12149" s="1" t="str">
        <f>"9626R62244"</f>
        <v>9626R62244</v>
      </c>
      <c r="E12149" s="1" t="s">
        <v>10</v>
      </c>
      <c r="F12149" s="1" t="str">
        <f>"10.10.141.2"</f>
        <v>10.10.141.2</v>
      </c>
      <c r="G12149" s="1" t="str">
        <f>"9626R622"</f>
        <v>9626R622</v>
      </c>
      <c r="H12149" s="1" t="str">
        <f>"동국지 5R5R1"</f>
        <v>동국지 5R5R1</v>
      </c>
      <c r="I12149" s="1" t="s">
        <v>8</v>
      </c>
      <c r="J12149" s="1" t="str">
        <f>"41/41"</f>
        <v>41/41</v>
      </c>
      <c r="K12149" s="1" t="str">
        <f>"2026-07-29 13:18:10"</f>
        <v>2026-07-29 13:18:10</v>
      </c>
      <c r="L12149" s="1" t="str">
        <f>"2020-02-10 18:38:28"</f>
        <v>2020-02-10 18:38:28</v>
      </c>
      <c r="M12149" s="1" t="s">
        <v>1</v>
      </c>
      <c r="N12149" s="1" t="s">
        <v>38</v>
      </c>
      <c r="O12149" s="1" t="s">
        <v>46</v>
      </c>
    </row>
    <row r="12150" spans="2:15" x14ac:dyDescent="0.3">
      <c r="B12150" s="1" t="s">
        <v>20</v>
      </c>
      <c r="C12150" s="1" t="str">
        <f>"6차"</f>
        <v>6차</v>
      </c>
      <c r="D12150" s="1" t="str">
        <f>"9626R7016S"</f>
        <v>9626R7016S</v>
      </c>
      <c r="E12150" s="1" t="s">
        <v>10</v>
      </c>
      <c r="F12150" s="1" t="str">
        <f>"fde1:103:4:c82c:0:0:0:2"</f>
        <v>fde1:103:4:c82c:0:0:0:2</v>
      </c>
      <c r="G12150" s="1" t="str">
        <f>"9626R701"</f>
        <v>9626R701</v>
      </c>
      <c r="H12150" s="1" t="str">
        <f>"동국지 5R2"</f>
        <v>동국지 5R2</v>
      </c>
      <c r="I12150" s="1" t="s">
        <v>15</v>
      </c>
      <c r="J12150" s="1" t="str">
        <f>"55/55"</f>
        <v>55/55</v>
      </c>
      <c r="K12150" s="1" t="str">
        <f>"2026-07-29 14:21:01"</f>
        <v>2026-07-29 14:21:01</v>
      </c>
      <c r="L12150" s="1" t="str">
        <f>"2024-11-22 15:48:33"</f>
        <v>2024-11-22 15:48:33</v>
      </c>
      <c r="M12150" s="1" t="s">
        <v>4</v>
      </c>
      <c r="N12150" s="1" t="s">
        <v>38</v>
      </c>
      <c r="O12150" s="1" t="s">
        <v>46</v>
      </c>
    </row>
    <row r="12151" spans="2:15" x14ac:dyDescent="0.3">
      <c r="B12151" s="1" t="s">
        <v>20</v>
      </c>
      <c r="C12151" s="1" t="str">
        <f>"4차"</f>
        <v>4차</v>
      </c>
      <c r="D12151" s="1" t="str">
        <f>"9626R71144"</f>
        <v>9626R71144</v>
      </c>
      <c r="E12151" s="1" t="s">
        <v>10</v>
      </c>
      <c r="F12151" s="1" t="str">
        <f>"10.10.141.18"</f>
        <v>10.10.141.18</v>
      </c>
      <c r="G12151" s="1" t="str">
        <f>"9626R711"</f>
        <v>9626R711</v>
      </c>
      <c r="H12151" s="1" t="str">
        <f>"동국지 5R4"</f>
        <v>동국지 5R4</v>
      </c>
      <c r="I12151" s="1" t="s">
        <v>8</v>
      </c>
      <c r="J12151" s="1" t="str">
        <f>"39/40"</f>
        <v>39/40</v>
      </c>
      <c r="K12151" s="1" t="str">
        <f>"2026-07-29 13:18:10"</f>
        <v>2026-07-29 13:18:10</v>
      </c>
      <c r="L12151" s="1" t="str">
        <f>"2020-02-10 18:41:17"</f>
        <v>2020-02-10 18:41:17</v>
      </c>
      <c r="M12151" s="1" t="s">
        <v>1</v>
      </c>
      <c r="N12151" s="1" t="s">
        <v>38</v>
      </c>
      <c r="O12151" s="1" t="s">
        <v>46</v>
      </c>
    </row>
    <row r="12152" spans="2:15" x14ac:dyDescent="0.3">
      <c r="B12152" s="1" t="s">
        <v>20</v>
      </c>
      <c r="C12152" s="1" t="str">
        <f>"5-1차"</f>
        <v>5-1차</v>
      </c>
      <c r="D12152" s="1" t="str">
        <f>"9626R7225M"</f>
        <v>9626R7225M</v>
      </c>
      <c r="E12152" s="1" t="s">
        <v>10</v>
      </c>
      <c r="F12152" s="1" t="str">
        <f>"fde2:104:0:9b:0:0:0:2"</f>
        <v>fde2:104:0:9b:0:0:0:2</v>
      </c>
      <c r="G12152" s="1" t="str">
        <f>"9626R722"</f>
        <v>9626R722</v>
      </c>
      <c r="H12152" s="1" t="str">
        <f>"동국지 2R7"</f>
        <v>동국지 2R7</v>
      </c>
      <c r="I12152" s="1" t="s">
        <v>15</v>
      </c>
      <c r="J12152" s="1" t="str">
        <f>"16/16"</f>
        <v>16/16</v>
      </c>
      <c r="K12152" s="1" t="str">
        <f>"2026-07-29 14:21:47"</f>
        <v>2026-07-29 14:21:47</v>
      </c>
      <c r="L12152" s="1" t="str">
        <f>"2022-09-28 11:04:05"</f>
        <v>2022-09-28 11:04:05</v>
      </c>
      <c r="M12152" s="1" t="s">
        <v>42</v>
      </c>
      <c r="N12152" s="1" t="s">
        <v>38</v>
      </c>
      <c r="O12152" s="1" t="s">
        <v>46</v>
      </c>
    </row>
    <row r="12153" spans="2:15" x14ac:dyDescent="0.3">
      <c r="B12153" s="1" t="s">
        <v>20</v>
      </c>
      <c r="C12153" s="1" t="str">
        <f>"4차"</f>
        <v>4차</v>
      </c>
      <c r="D12153" s="1" t="str">
        <f>"9626R80144"</f>
        <v>9626R80144</v>
      </c>
      <c r="E12153" s="1" t="s">
        <v>10</v>
      </c>
      <c r="F12153" s="1" t="str">
        <f>"10.10.141.10"</f>
        <v>10.10.141.10</v>
      </c>
      <c r="G12153" s="1" t="str">
        <f>"9626R801"</f>
        <v>9626R801</v>
      </c>
      <c r="H12153" s="1" t="str">
        <f>"동국지 5R2R1"</f>
        <v>동국지 5R2R1</v>
      </c>
      <c r="I12153" s="1" t="s">
        <v>8</v>
      </c>
      <c r="J12153" s="1" t="str">
        <f>"71/71"</f>
        <v>71/71</v>
      </c>
      <c r="K12153" s="1" t="str">
        <f>"2026-07-29 13:18:10"</f>
        <v>2026-07-29 13:18:10</v>
      </c>
      <c r="L12153" s="1" t="str">
        <f>"2020-02-10 18:38:25"</f>
        <v>2020-02-10 18:38:25</v>
      </c>
      <c r="M12153" s="1" t="s">
        <v>1</v>
      </c>
      <c r="N12153" s="1" t="s">
        <v>38</v>
      </c>
      <c r="O12153" s="1" t="s">
        <v>46</v>
      </c>
    </row>
    <row r="12154" spans="2:15" x14ac:dyDescent="0.3">
      <c r="B12154" s="1" t="s">
        <v>20</v>
      </c>
      <c r="C12154" s="1" t="str">
        <f>"5-2차"</f>
        <v>5-2차</v>
      </c>
      <c r="D12154" s="1" t="str">
        <f>"9626R8115M"</f>
        <v>9626R8115M</v>
      </c>
      <c r="E12154" s="1" t="s">
        <v>10</v>
      </c>
      <c r="F12154" s="1" t="str">
        <f>"fde3:102:1300:1a00:0:0:0:6"</f>
        <v>fde3:102:1300:1a00:0:0:0:6</v>
      </c>
      <c r="G12154" s="1" t="str">
        <f>"9626R811"</f>
        <v>9626R811</v>
      </c>
      <c r="H12154" s="1" t="str">
        <f>"동국지 2R5"</f>
        <v>동국지 2R5</v>
      </c>
      <c r="I12154" s="1" t="s">
        <v>15</v>
      </c>
      <c r="J12154" s="1" t="str">
        <f>"1/1"</f>
        <v>1/1</v>
      </c>
      <c r="K12154" s="1" t="str">
        <f>"2026-07-29 14:21:11"</f>
        <v>2026-07-29 14:21:11</v>
      </c>
      <c r="L12154" s="1" t="str">
        <f>"2023-09-07 15:42:55"</f>
        <v>2023-09-07 15:42:55</v>
      </c>
      <c r="M12154" s="1" t="s">
        <v>45</v>
      </c>
      <c r="N12154" s="1" t="s">
        <v>38</v>
      </c>
      <c r="O12154" s="1" t="s">
        <v>46</v>
      </c>
    </row>
    <row r="12155" spans="2:15" x14ac:dyDescent="0.3">
      <c r="B12155" s="1" t="s">
        <v>20</v>
      </c>
      <c r="C12155" s="1" t="str">
        <f>"4차"</f>
        <v>4차</v>
      </c>
      <c r="D12155" s="1" t="str">
        <f>"9626R91344"</f>
        <v>9626R91344</v>
      </c>
      <c r="E12155" s="1" t="s">
        <v>10</v>
      </c>
      <c r="F12155" s="1" t="str">
        <f>"10.10.141.34"</f>
        <v>10.10.141.34</v>
      </c>
      <c r="G12155" s="1" t="str">
        <f>"9626R913"</f>
        <v>9626R913</v>
      </c>
      <c r="H12155" s="1" t="str">
        <f>"동국지 2R3"</f>
        <v>동국지 2R3</v>
      </c>
      <c r="I12155" s="1" t="s">
        <v>8</v>
      </c>
      <c r="J12155" s="1" t="str">
        <f>"39/39"</f>
        <v>39/39</v>
      </c>
      <c r="K12155" s="1" t="str">
        <f>"2026-07-29 13:18:10"</f>
        <v>2026-07-29 13:18:10</v>
      </c>
      <c r="L12155" s="1" t="str">
        <f>"2019-12-11 18:11:37"</f>
        <v>2019-12-11 18:11:37</v>
      </c>
      <c r="M12155" s="1" t="s">
        <v>1</v>
      </c>
      <c r="N12155" s="1" t="s">
        <v>38</v>
      </c>
      <c r="O12155" s="1" t="s">
        <v>46</v>
      </c>
    </row>
    <row r="12156" spans="2:15" x14ac:dyDescent="0.3">
      <c r="B12156" s="1" t="s">
        <v>20</v>
      </c>
      <c r="C12156" s="1" t="str">
        <f>"4차"</f>
        <v>4차</v>
      </c>
      <c r="D12156" s="1" t="str">
        <f>"9626S01139"</f>
        <v>9626S01139</v>
      </c>
      <c r="E12156" s="1" t="s">
        <v>10</v>
      </c>
      <c r="F12156" s="1" t="str">
        <f>"10.12.131.209"</f>
        <v>10.12.131.209</v>
      </c>
      <c r="G12156" s="1" t="str">
        <f>"9626S011"</f>
        <v>9626S011</v>
      </c>
      <c r="H12156" s="1" t="str">
        <f>"합정로 13"</f>
        <v>합정로 13</v>
      </c>
      <c r="I12156" s="1" t="s">
        <v>17</v>
      </c>
      <c r="J12156" s="1" t="str">
        <f>"16/22"</f>
        <v>16/22</v>
      </c>
      <c r="K12156" s="1" t="str">
        <f>"2026-07-29 13:18:11"</f>
        <v>2026-07-29 13:18:11</v>
      </c>
      <c r="L12156" s="1" t="str">
        <f>"2018-06-19 08:12:26"</f>
        <v>2018-06-19 08:12:26</v>
      </c>
      <c r="M12156" s="1" t="s">
        <v>0</v>
      </c>
      <c r="N12156" s="1" t="s">
        <v>38</v>
      </c>
      <c r="O12156" s="1" t="s">
        <v>46</v>
      </c>
    </row>
    <row r="12157" spans="2:15" x14ac:dyDescent="0.3">
      <c r="B12157" s="1" t="s">
        <v>20</v>
      </c>
      <c r="C12157" s="1" t="str">
        <f>"4차"</f>
        <v>4차</v>
      </c>
      <c r="D12157" s="1" t="str">
        <f>"9626S01239"</f>
        <v>9626S01239</v>
      </c>
      <c r="E12157" s="1" t="s">
        <v>10</v>
      </c>
      <c r="F12157" s="1" t="str">
        <f>"10.12.134.143"</f>
        <v>10.12.134.143</v>
      </c>
      <c r="G12157" s="1" t="str">
        <f>"9626S012"</f>
        <v>9626S012</v>
      </c>
      <c r="H12157" s="1" t="str">
        <f>"합정로 14"</f>
        <v>합정로 14</v>
      </c>
      <c r="I12157" s="1" t="s">
        <v>17</v>
      </c>
      <c r="J12157" s="1" t="str">
        <f>"5/5"</f>
        <v>5/5</v>
      </c>
      <c r="K12157" s="1" t="str">
        <f>"2026-07-29 13:18:11"</f>
        <v>2026-07-29 13:18:11</v>
      </c>
      <c r="L12157" s="1" t="str">
        <f>"2018-06-20 10:34:11"</f>
        <v>2018-06-20 10:34:11</v>
      </c>
      <c r="M12157" s="1" t="s">
        <v>0</v>
      </c>
      <c r="N12157" s="1" t="s">
        <v>38</v>
      </c>
      <c r="O12157" s="1" t="s">
        <v>46</v>
      </c>
    </row>
    <row r="12158" spans="2:15" x14ac:dyDescent="0.3">
      <c r="B12158" s="1" t="s">
        <v>20</v>
      </c>
      <c r="C12158" s="1" t="str">
        <f>"1차"</f>
        <v>1차</v>
      </c>
      <c r="D12158" s="1" t="str">
        <f>"9626S02200"</f>
        <v>9626S02200</v>
      </c>
      <c r="E12158" s="1" t="s">
        <v>10</v>
      </c>
      <c r="F12158" s="1" t="str">
        <f>"10.125.193.82"</f>
        <v>10.125.193.82</v>
      </c>
      <c r="G12158" s="1" t="str">
        <f>"9626S022"</f>
        <v>9626S022</v>
      </c>
      <c r="H12158" s="1" t="str">
        <f>"합원간 45L1"</f>
        <v>합원간 45L1</v>
      </c>
      <c r="I12158" s="1" t="s">
        <v>8</v>
      </c>
      <c r="J12158" s="1" t="str">
        <f>"7/7"</f>
        <v>7/7</v>
      </c>
      <c r="K12158" s="1" t="str">
        <f>"2026-07-29 13:18:11"</f>
        <v>2026-07-29 13:18:11</v>
      </c>
      <c r="L12158" s="1" t="str">
        <f>"2014-12-02 10:10:47"</f>
        <v>2014-12-02 10:10:47</v>
      </c>
      <c r="M12158" s="1" t="s">
        <v>45</v>
      </c>
      <c r="N12158" s="1" t="s">
        <v>38</v>
      </c>
      <c r="O12158" s="1" t="s">
        <v>46</v>
      </c>
    </row>
    <row r="12159" spans="2:15" x14ac:dyDescent="0.3">
      <c r="B12159" s="1" t="s">
        <v>20</v>
      </c>
      <c r="C12159" s="1" t="str">
        <f>"1차"</f>
        <v>1차</v>
      </c>
      <c r="D12159" s="1" t="str">
        <f>"9626S02301"</f>
        <v>9626S02301</v>
      </c>
      <c r="E12159" s="1" t="s">
        <v>12</v>
      </c>
      <c r="F12159" s="1" t="str">
        <f>"10.125.193.83"</f>
        <v>10.125.193.83</v>
      </c>
      <c r="G12159" s="1" t="str">
        <f>"9626S023"</f>
        <v>9626S023</v>
      </c>
      <c r="H12159" s="1" t="str">
        <f>"합원간 45L2"</f>
        <v>합원간 45L2</v>
      </c>
      <c r="I12159" s="1" t="s">
        <v>8</v>
      </c>
      <c r="J12159" s="1" t="str">
        <f>"0/13"</f>
        <v>0/13</v>
      </c>
      <c r="K12159" s="1" t="str">
        <f>"2026-07-29 01:18:00"</f>
        <v>2026-07-29 01:18:00</v>
      </c>
      <c r="L12159" s="1" t="str">
        <f>"2014-11-17 17:29:12"</f>
        <v>2014-11-17 17:29:12</v>
      </c>
      <c r="M12159" s="1" t="s">
        <v>45</v>
      </c>
      <c r="N12159" s="1" t="s">
        <v>38</v>
      </c>
      <c r="O12159" s="1" t="s">
        <v>46</v>
      </c>
    </row>
    <row r="12160" spans="2:15" x14ac:dyDescent="0.3">
      <c r="B12160" s="1" t="s">
        <v>20</v>
      </c>
      <c r="C12160" s="1" t="str">
        <f>"1차"</f>
        <v>1차</v>
      </c>
      <c r="D12160" s="1" t="str">
        <f>"9626S03201"</f>
        <v>9626S03201</v>
      </c>
      <c r="E12160" s="1" t="s">
        <v>14</v>
      </c>
      <c r="F12160" s="1" t="str">
        <f>"10.125.193.27"</f>
        <v>10.125.193.27</v>
      </c>
      <c r="G12160" s="1" t="str">
        <f>"9626S032"</f>
        <v>9626S032</v>
      </c>
      <c r="H12160" s="1" t="str">
        <f>"합원간 54"</f>
        <v>합원간 54</v>
      </c>
      <c r="I12160" s="1" t="s">
        <v>8</v>
      </c>
      <c r="J12160" s="1" t="str">
        <f>"0/0"</f>
        <v>0/0</v>
      </c>
      <c r="K12160" s="1" t="str">
        <f>"2026-07-29 13:18:11"</f>
        <v>2026-07-29 13:18:11</v>
      </c>
      <c r="L12160" s="1" t="str">
        <f>"2023-11-13 18:06:02"</f>
        <v>2023-11-13 18:06:02</v>
      </c>
      <c r="M12160" s="1" t="s">
        <v>45</v>
      </c>
      <c r="N12160" s="1" t="s">
        <v>44</v>
      </c>
      <c r="O12160" s="1" t="s">
        <v>44</v>
      </c>
    </row>
    <row r="12161" spans="2:15" x14ac:dyDescent="0.3">
      <c r="B12161" s="1" t="s">
        <v>20</v>
      </c>
      <c r="C12161" s="1" t="str">
        <f>"1차"</f>
        <v>1차</v>
      </c>
      <c r="D12161" s="1" t="str">
        <f>"9626S04100"</f>
        <v>9626S04100</v>
      </c>
      <c r="E12161" s="1" t="s">
        <v>10</v>
      </c>
      <c r="F12161" s="1" t="str">
        <f>"10.125.193.26"</f>
        <v>10.125.193.26</v>
      </c>
      <c r="G12161" s="1" t="str">
        <f>"9626S041"</f>
        <v>9626S041</v>
      </c>
      <c r="H12161" s="1" t="str">
        <f>"합원간 53"</f>
        <v>합원간 53</v>
      </c>
      <c r="I12161" s="1" t="s">
        <v>8</v>
      </c>
      <c r="J12161" s="1" t="str">
        <f>"33/34"</f>
        <v>33/34</v>
      </c>
      <c r="K12161" s="1" t="str">
        <f>"2026-07-29 13:18:11"</f>
        <v>2026-07-29 13:18:11</v>
      </c>
      <c r="L12161" s="1" t="str">
        <f>"2014-11-29 15:06:50"</f>
        <v>2014-11-29 15:06:50</v>
      </c>
      <c r="M12161" s="1" t="s">
        <v>45</v>
      </c>
      <c r="N12161" s="1" t="s">
        <v>38</v>
      </c>
      <c r="O12161" s="1" t="s">
        <v>46</v>
      </c>
    </row>
    <row r="12162" spans="2:15" x14ac:dyDescent="0.3">
      <c r="B12162" s="1" t="s">
        <v>20</v>
      </c>
      <c r="C12162" s="1" t="str">
        <f>"5-2차"</f>
        <v>5-2차</v>
      </c>
      <c r="D12162" s="1" t="str">
        <f>"9626S0915M"</f>
        <v>9626S0915M</v>
      </c>
      <c r="E12162" s="1" t="s">
        <v>10</v>
      </c>
      <c r="F12162" s="1" t="str">
        <f>"fde1:103:4:56b3:0:0:0:2"</f>
        <v>fde1:103:4:56b3:0:0:0:2</v>
      </c>
      <c r="G12162" s="1" t="str">
        <f>"9626S091"</f>
        <v>9626S091</v>
      </c>
      <c r="H12162" s="1" t="str">
        <f>"당인간 20R12R6"</f>
        <v>당인간 20R12R6</v>
      </c>
      <c r="I12162" s="1" t="s">
        <v>15</v>
      </c>
      <c r="J12162" s="1" t="str">
        <f>"22/22"</f>
        <v>22/22</v>
      </c>
      <c r="K12162" s="1" t="str">
        <f>"2026-07-29 14:21:37"</f>
        <v>2026-07-29 14:21:37</v>
      </c>
      <c r="L12162" s="1" t="str">
        <f>"2023-09-13 11:38:41"</f>
        <v>2023-09-13 11:38:41</v>
      </c>
      <c r="M12162" s="1" t="s">
        <v>4</v>
      </c>
      <c r="N12162" s="1" t="s">
        <v>38</v>
      </c>
      <c r="O12162" s="1" t="s">
        <v>46</v>
      </c>
    </row>
    <row r="12163" spans="2:15" x14ac:dyDescent="0.3">
      <c r="B12163" s="1" t="s">
        <v>20</v>
      </c>
      <c r="C12163" s="1" t="str">
        <f>"4차"</f>
        <v>4차</v>
      </c>
      <c r="D12163" s="1" t="str">
        <f>"9626S14144"</f>
        <v>9626S14144</v>
      </c>
      <c r="E12163" s="1" t="s">
        <v>10</v>
      </c>
      <c r="F12163" s="1" t="str">
        <f>"10.10.134.50"</f>
        <v>10.10.134.50</v>
      </c>
      <c r="G12163" s="1" t="str">
        <f>"9626S141"</f>
        <v>9626S141</v>
      </c>
      <c r="H12163" s="1" t="str">
        <f>"합원간 52"</f>
        <v>합원간 52</v>
      </c>
      <c r="I12163" s="1" t="s">
        <v>8</v>
      </c>
      <c r="J12163" s="1" t="str">
        <f>"44/44"</f>
        <v>44/44</v>
      </c>
      <c r="K12163" s="1" t="str">
        <f>"2026-07-29 13:18:11"</f>
        <v>2026-07-29 13:18:11</v>
      </c>
      <c r="L12163" s="1" t="str">
        <f>"2019-12-11 18:10:27"</f>
        <v>2019-12-11 18:10:27</v>
      </c>
      <c r="M12163" s="1" t="s">
        <v>1</v>
      </c>
      <c r="N12163" s="1" t="s">
        <v>38</v>
      </c>
      <c r="O12163" s="1" t="s">
        <v>46</v>
      </c>
    </row>
    <row r="12164" spans="2:15" x14ac:dyDescent="0.3">
      <c r="B12164" s="1" t="s">
        <v>20</v>
      </c>
      <c r="C12164" s="1" t="str">
        <f>"6차"</f>
        <v>6차</v>
      </c>
      <c r="D12164" s="1" t="str">
        <f>"9626S2016M"</f>
        <v>9626S2016M</v>
      </c>
      <c r="E12164" s="1" t="s">
        <v>10</v>
      </c>
      <c r="F12164" s="1" t="str">
        <f>"fde1:103:4:c847:0:0:0:2"</f>
        <v>fde1:103:4:c847:0:0:0:2</v>
      </c>
      <c r="G12164" s="1" t="str">
        <f>"9626S201"</f>
        <v>9626S201</v>
      </c>
      <c r="H12164" s="1" t="str">
        <f>"합원간 42"</f>
        <v>합원간 42</v>
      </c>
      <c r="I12164" s="1" t="s">
        <v>15</v>
      </c>
      <c r="J12164" s="1" t="str">
        <f>"18/20"</f>
        <v>18/20</v>
      </c>
      <c r="K12164" s="1" t="str">
        <f>"2026-07-29 14:21:43"</f>
        <v>2026-07-29 14:21:43</v>
      </c>
      <c r="L12164" s="1" t="str">
        <f>"2024-11-26 14:42:00"</f>
        <v>2024-11-26 14:42:00</v>
      </c>
      <c r="M12164" s="1" t="s">
        <v>4</v>
      </c>
      <c r="N12164" s="1" t="s">
        <v>38</v>
      </c>
      <c r="O12164" s="1" t="s">
        <v>46</v>
      </c>
    </row>
    <row r="12165" spans="2:15" x14ac:dyDescent="0.3">
      <c r="B12165" s="1" t="s">
        <v>20</v>
      </c>
      <c r="C12165" s="1" t="str">
        <f>"4차"</f>
        <v>4차</v>
      </c>
      <c r="D12165" s="1" t="str">
        <f>"9626S20639"</f>
        <v>9626S20639</v>
      </c>
      <c r="E12165" s="1" t="s">
        <v>14</v>
      </c>
      <c r="F12165" s="1" t="str">
        <f>"10.12.134.167"</f>
        <v>10.12.134.167</v>
      </c>
      <c r="G12165" s="1" t="str">
        <f>"9626S206"</f>
        <v>9626S206</v>
      </c>
      <c r="H12165" s="1" t="str">
        <f>"합정로 15-1T"</f>
        <v>합정로 15-1T</v>
      </c>
      <c r="I12165" s="1" t="s">
        <v>17</v>
      </c>
      <c r="J12165" s="1" t="str">
        <f>"0/0"</f>
        <v>0/0</v>
      </c>
      <c r="K12165" s="1" t="str">
        <f>"2026-06-10 07:18:11"</f>
        <v>2026-06-10 07:18:11</v>
      </c>
      <c r="L12165" s="1" t="str">
        <f>"2018-06-20 10:15:28"</f>
        <v>2018-06-20 10:15:28</v>
      </c>
      <c r="M12165" s="1" t="s">
        <v>0</v>
      </c>
      <c r="N12165" s="1" t="s">
        <v>39</v>
      </c>
      <c r="O12165" s="1" t="s">
        <v>46</v>
      </c>
    </row>
    <row r="12166" spans="2:15" x14ac:dyDescent="0.3">
      <c r="B12166" s="1" t="s">
        <v>20</v>
      </c>
      <c r="C12166" s="1" t="str">
        <f>"4차"</f>
        <v>4차</v>
      </c>
      <c r="D12166" s="1" t="str">
        <f>"9626S21144"</f>
        <v>9626S21144</v>
      </c>
      <c r="E12166" s="1" t="s">
        <v>10</v>
      </c>
      <c r="F12166" s="1" t="str">
        <f>"10.12.136.234"</f>
        <v>10.12.136.234</v>
      </c>
      <c r="G12166" s="1" t="str">
        <f>"9626S211"</f>
        <v>9626S211</v>
      </c>
      <c r="H12166" s="1" t="str">
        <f>"합원간 43R1"</f>
        <v>합원간 43R1</v>
      </c>
      <c r="I12166" s="1" t="s">
        <v>8</v>
      </c>
      <c r="J12166" s="1" t="str">
        <f>"23/23"</f>
        <v>23/23</v>
      </c>
      <c r="K12166" s="1" t="str">
        <f>"2026-07-29 13:18:11"</f>
        <v>2026-07-29 13:18:11</v>
      </c>
      <c r="L12166" s="1" t="str">
        <f>"2023-10-27 15:45:27"</f>
        <v>2023-10-27 15:45:27</v>
      </c>
      <c r="M12166" s="1" t="s">
        <v>0</v>
      </c>
      <c r="N12166" s="1" t="s">
        <v>38</v>
      </c>
      <c r="O12166" s="1" t="s">
        <v>46</v>
      </c>
    </row>
    <row r="12167" spans="2:15" x14ac:dyDescent="0.3">
      <c r="B12167" s="1" t="s">
        <v>20</v>
      </c>
      <c r="C12167" s="1" t="str">
        <f>"6차"</f>
        <v>6차</v>
      </c>
      <c r="D12167" s="1" t="str">
        <f>"9626S2226M"</f>
        <v>9626S2226M</v>
      </c>
      <c r="E12167" s="1" t="s">
        <v>10</v>
      </c>
      <c r="F12167" s="1" t="str">
        <f>"fde1:103:4:c725:0:0:0:2"</f>
        <v>fde1:103:4:c725:0:0:0:2</v>
      </c>
      <c r="G12167" s="1" t="str">
        <f>"9626S222"</f>
        <v>9626S222</v>
      </c>
      <c r="H12167" s="1" t="str">
        <f>"합원간 43R2"</f>
        <v>합원간 43R2</v>
      </c>
      <c r="I12167" s="1" t="s">
        <v>15</v>
      </c>
      <c r="J12167" s="1" t="str">
        <f>"47/48"</f>
        <v>47/48</v>
      </c>
      <c r="K12167" s="1" t="str">
        <f>"2026-07-29 14:21:01"</f>
        <v>2026-07-29 14:21:01</v>
      </c>
      <c r="L12167" s="1" t="str">
        <f>"2024-11-26 13:34:36"</f>
        <v>2024-11-26 13:34:36</v>
      </c>
      <c r="M12167" s="1" t="s">
        <v>4</v>
      </c>
      <c r="N12167" s="1" t="s">
        <v>38</v>
      </c>
      <c r="O12167" s="1" t="s">
        <v>46</v>
      </c>
    </row>
    <row r="12168" spans="2:15" x14ac:dyDescent="0.3">
      <c r="B12168" s="1" t="s">
        <v>20</v>
      </c>
      <c r="C12168" s="1" t="str">
        <f>"6차"</f>
        <v>6차</v>
      </c>
      <c r="D12168" s="1" t="str">
        <f>"9626S2316M"</f>
        <v>9626S2316M</v>
      </c>
      <c r="E12168" s="1" t="s">
        <v>10</v>
      </c>
      <c r="F12168" s="1" t="str">
        <f>"fde1:103:4:c749:0:0:0:2"</f>
        <v>fde1:103:4:c749:0:0:0:2</v>
      </c>
      <c r="G12168" s="1" t="str">
        <f>"9626S231"</f>
        <v>9626S231</v>
      </c>
      <c r="H12168" s="1" t="str">
        <f>"합원간 47"</f>
        <v>합원간 47</v>
      </c>
      <c r="I12168" s="1" t="s">
        <v>15</v>
      </c>
      <c r="J12168" s="1" t="str">
        <f>"27/27"</f>
        <v>27/27</v>
      </c>
      <c r="K12168" s="1" t="str">
        <f>"2026-07-29 14:20:55"</f>
        <v>2026-07-29 14:20:55</v>
      </c>
      <c r="L12168" s="1" t="str">
        <f>"2024-12-03 14:36:03"</f>
        <v>2024-12-03 14:36:03</v>
      </c>
      <c r="M12168" s="1" t="s">
        <v>4</v>
      </c>
      <c r="N12168" s="1" t="s">
        <v>38</v>
      </c>
      <c r="O12168" s="1" t="s">
        <v>46</v>
      </c>
    </row>
    <row r="12169" spans="2:15" x14ac:dyDescent="0.3">
      <c r="B12169" s="1" t="s">
        <v>20</v>
      </c>
      <c r="C12169" s="1" t="str">
        <f>"5-1차"</f>
        <v>5-1차</v>
      </c>
      <c r="D12169" s="1" t="str">
        <f>"9626S2815M"</f>
        <v>9626S2815M</v>
      </c>
      <c r="E12169" s="1" t="s">
        <v>10</v>
      </c>
      <c r="F12169" s="1" t="str">
        <f>"fde3:102:1300:1900:0:0:0:5"</f>
        <v>fde3:102:1300:1900:0:0:0:5</v>
      </c>
      <c r="G12169" s="1" t="str">
        <f>"9626S281"</f>
        <v>9626S281</v>
      </c>
      <c r="H12169" s="1" t="str">
        <f>"당인간 20R12R3"</f>
        <v>당인간 20R12R3</v>
      </c>
      <c r="I12169" s="1" t="s">
        <v>15</v>
      </c>
      <c r="J12169" s="1" t="str">
        <f>"50/50"</f>
        <v>50/50</v>
      </c>
      <c r="K12169" s="1" t="str">
        <f>"2026-07-29 14:20:59"</f>
        <v>2026-07-29 14:20:59</v>
      </c>
      <c r="L12169" s="1" t="str">
        <f>"2022-12-07 16:54:27"</f>
        <v>2022-12-07 16:54:27</v>
      </c>
      <c r="M12169" s="1" t="s">
        <v>45</v>
      </c>
      <c r="N12169" s="1" t="s">
        <v>38</v>
      </c>
      <c r="O12169" s="1" t="s">
        <v>46</v>
      </c>
    </row>
    <row r="12170" spans="2:15" x14ac:dyDescent="0.3">
      <c r="B12170" s="1" t="s">
        <v>20</v>
      </c>
      <c r="C12170" s="1" t="str">
        <f>"4차"</f>
        <v>4차</v>
      </c>
      <c r="D12170" s="1" t="str">
        <f>"9626S31239"</f>
        <v>9626S31239</v>
      </c>
      <c r="E12170" s="1" t="s">
        <v>10</v>
      </c>
      <c r="F12170" s="1" t="str">
        <f>"10.12.134.244"</f>
        <v>10.12.134.244</v>
      </c>
      <c r="G12170" s="1" t="str">
        <f>"9626S312"</f>
        <v>9626S312</v>
      </c>
      <c r="H12170" s="1" t="str">
        <f>"합정로 15-2T"</f>
        <v>합정로 15-2T</v>
      </c>
      <c r="I12170" s="1" t="s">
        <v>17</v>
      </c>
      <c r="J12170" s="1" t="str">
        <f>"12/48"</f>
        <v>12/48</v>
      </c>
      <c r="K12170" s="1" t="str">
        <f>"2026-07-29 13:18:11"</f>
        <v>2026-07-29 13:18:11</v>
      </c>
      <c r="L12170" s="1" t="str">
        <f>"2018-10-15 14:51:57"</f>
        <v>2018-10-15 14:51:57</v>
      </c>
      <c r="M12170" s="1" t="s">
        <v>0</v>
      </c>
      <c r="N12170" s="1" t="s">
        <v>38</v>
      </c>
      <c r="O12170" s="1" t="s">
        <v>46</v>
      </c>
    </row>
    <row r="12171" spans="2:15" x14ac:dyDescent="0.3">
      <c r="B12171" s="1" t="s">
        <v>20</v>
      </c>
      <c r="C12171" s="1" t="str">
        <f>"4차"</f>
        <v>4차</v>
      </c>
      <c r="D12171" s="1" t="str">
        <f>"9626S32144"</f>
        <v>9626S32144</v>
      </c>
      <c r="E12171" s="1" t="s">
        <v>10</v>
      </c>
      <c r="F12171" s="1" t="str">
        <f>"10.10.134.10"</f>
        <v>10.10.134.10</v>
      </c>
      <c r="G12171" s="1" t="str">
        <f>"9626S321"</f>
        <v>9626S321</v>
      </c>
      <c r="H12171" s="1" t="str">
        <f>"합원간 48R1"</f>
        <v>합원간 48R1</v>
      </c>
      <c r="I12171" s="1" t="s">
        <v>8</v>
      </c>
      <c r="J12171" s="1" t="str">
        <f>"53/53"</f>
        <v>53/53</v>
      </c>
      <c r="K12171" s="1" t="str">
        <f>"2026-07-29 13:18:11"</f>
        <v>2026-07-29 13:18:11</v>
      </c>
      <c r="L12171" s="1" t="str">
        <f>"2019-12-11 18:14:56"</f>
        <v>2019-12-11 18:14:56</v>
      </c>
      <c r="M12171" s="1" t="s">
        <v>1</v>
      </c>
      <c r="N12171" s="1" t="s">
        <v>38</v>
      </c>
      <c r="O12171" s="1" t="s">
        <v>46</v>
      </c>
    </row>
    <row r="12172" spans="2:15" x14ac:dyDescent="0.3">
      <c r="B12172" s="1" t="s">
        <v>20</v>
      </c>
      <c r="C12172" s="1" t="str">
        <f>"5-2차"</f>
        <v>5-2차</v>
      </c>
      <c r="D12172" s="1" t="str">
        <f>"9626S3315M"</f>
        <v>9626S3315M</v>
      </c>
      <c r="E12172" s="1" t="s">
        <v>10</v>
      </c>
      <c r="F12172" s="1" t="str">
        <f>"fde1:103:4:56a1:0:0:0:2"</f>
        <v>fde1:103:4:56a1:0:0:0:2</v>
      </c>
      <c r="G12172" s="1" t="str">
        <f>"9626S331"</f>
        <v>9626S331</v>
      </c>
      <c r="H12172" s="1" t="str">
        <f>"합원간 48"</f>
        <v>합원간 48</v>
      </c>
      <c r="I12172" s="1" t="s">
        <v>15</v>
      </c>
      <c r="J12172" s="1" t="str">
        <f>"46/46"</f>
        <v>46/46</v>
      </c>
      <c r="K12172" s="1" t="str">
        <f>"2026-07-29 14:20:55"</f>
        <v>2026-07-29 14:20:55</v>
      </c>
      <c r="L12172" s="1" t="str">
        <f>"2023-08-17 11:12:21"</f>
        <v>2023-08-17 11:12:21</v>
      </c>
      <c r="M12172" s="1" t="s">
        <v>4</v>
      </c>
      <c r="N12172" s="1" t="s">
        <v>38</v>
      </c>
      <c r="O12172" s="1" t="s">
        <v>46</v>
      </c>
    </row>
    <row r="12173" spans="2:15" x14ac:dyDescent="0.3">
      <c r="B12173" s="1" t="s">
        <v>20</v>
      </c>
      <c r="C12173" s="1" t="str">
        <f>"4차"</f>
        <v>4차</v>
      </c>
      <c r="D12173" s="1" t="str">
        <f>"9626S34144"</f>
        <v>9626S34144</v>
      </c>
      <c r="E12173" s="1" t="s">
        <v>10</v>
      </c>
      <c r="F12173" s="1" t="str">
        <f>"10.10.134.34"</f>
        <v>10.10.134.34</v>
      </c>
      <c r="G12173" s="1" t="str">
        <f>"9626S341"</f>
        <v>9626S341</v>
      </c>
      <c r="H12173" s="1" t="str">
        <f>"합원간 49"</f>
        <v>합원간 49</v>
      </c>
      <c r="I12173" s="1" t="s">
        <v>8</v>
      </c>
      <c r="J12173" s="1" t="str">
        <f>"56/56"</f>
        <v>56/56</v>
      </c>
      <c r="K12173" s="1" t="str">
        <f>"2026-07-29 13:18:11"</f>
        <v>2026-07-29 13:18:11</v>
      </c>
      <c r="L12173" s="1" t="str">
        <f>"2019-12-11 18:17:44"</f>
        <v>2019-12-11 18:17:44</v>
      </c>
      <c r="M12173" s="1" t="s">
        <v>1</v>
      </c>
      <c r="N12173" s="1" t="s">
        <v>38</v>
      </c>
      <c r="O12173" s="1" t="s">
        <v>46</v>
      </c>
    </row>
    <row r="12174" spans="2:15" x14ac:dyDescent="0.3">
      <c r="B12174" s="1" t="s">
        <v>20</v>
      </c>
      <c r="C12174" s="1" t="str">
        <f>"4차"</f>
        <v>4차</v>
      </c>
      <c r="D12174" s="1" t="str">
        <f>"9626S35244"</f>
        <v>9626S35244</v>
      </c>
      <c r="E12174" s="1" t="s">
        <v>10</v>
      </c>
      <c r="F12174" s="1" t="str">
        <f>"10.10.135.34"</f>
        <v>10.10.135.34</v>
      </c>
      <c r="G12174" s="1" t="str">
        <f>"9626S352"</f>
        <v>9626S352</v>
      </c>
      <c r="H12174" s="1" t="str">
        <f>"합원간 50R2"</f>
        <v>합원간 50R2</v>
      </c>
      <c r="I12174" s="1" t="s">
        <v>8</v>
      </c>
      <c r="J12174" s="1" t="str">
        <f>"38/38"</f>
        <v>38/38</v>
      </c>
      <c r="K12174" s="1" t="str">
        <f>"2026-07-29 13:18:11"</f>
        <v>2026-07-29 13:18:11</v>
      </c>
      <c r="L12174" s="1" t="str">
        <f>"2019-12-11 18:15:05"</f>
        <v>2019-12-11 18:15:05</v>
      </c>
      <c r="M12174" s="1" t="s">
        <v>1</v>
      </c>
      <c r="N12174" s="1" t="s">
        <v>38</v>
      </c>
      <c r="O12174" s="1" t="s">
        <v>46</v>
      </c>
    </row>
    <row r="12175" spans="2:15" x14ac:dyDescent="0.3">
      <c r="B12175" s="1" t="s">
        <v>20</v>
      </c>
      <c r="C12175" s="1" t="str">
        <f>"5-1차"</f>
        <v>5-1차</v>
      </c>
      <c r="D12175" s="1" t="str">
        <f>"9626S3925S"</f>
        <v>9626S3925S</v>
      </c>
      <c r="E12175" s="1" t="s">
        <v>10</v>
      </c>
      <c r="F12175" s="1" t="str">
        <f>"fde3:102:1300:1900:0:0:0:4"</f>
        <v>fde3:102:1300:1900:0:0:0:4</v>
      </c>
      <c r="G12175" s="1" t="str">
        <f>"9626S392"</f>
        <v>9626S392</v>
      </c>
      <c r="H12175" s="1" t="str">
        <f>"당인간 20R10R4L1"</f>
        <v>당인간 20R10R4L1</v>
      </c>
      <c r="I12175" s="1" t="s">
        <v>15</v>
      </c>
      <c r="J12175" s="1" t="str">
        <f>"49/49"</f>
        <v>49/49</v>
      </c>
      <c r="K12175" s="1" t="str">
        <f>"2026-07-29 14:20:55"</f>
        <v>2026-07-29 14:20:55</v>
      </c>
      <c r="L12175" s="1" t="str">
        <f>"2022-11-08 15:52:26"</f>
        <v>2022-11-08 15:52:26</v>
      </c>
      <c r="M12175" s="1" t="s">
        <v>45</v>
      </c>
      <c r="N12175" s="1" t="s">
        <v>38</v>
      </c>
      <c r="O12175" s="1" t="s">
        <v>46</v>
      </c>
    </row>
    <row r="12176" spans="2:15" x14ac:dyDescent="0.3">
      <c r="B12176" s="1" t="s">
        <v>20</v>
      </c>
      <c r="C12176" s="1" t="str">
        <f>"4차"</f>
        <v>4차</v>
      </c>
      <c r="D12176" s="1" t="str">
        <f>"9626S40144"</f>
        <v>9626S40144</v>
      </c>
      <c r="E12176" s="1" t="s">
        <v>10</v>
      </c>
      <c r="F12176" s="1" t="str">
        <f>"10.10.135.154"</f>
        <v>10.10.135.154</v>
      </c>
      <c r="G12176" s="1" t="str">
        <f>"9626S401"</f>
        <v>9626S401</v>
      </c>
      <c r="H12176" s="1" t="str">
        <f>"합원간 40R4"</f>
        <v>합원간 40R4</v>
      </c>
      <c r="I12176" s="1" t="s">
        <v>8</v>
      </c>
      <c r="J12176" s="1" t="str">
        <f>"48/48"</f>
        <v>48/48</v>
      </c>
      <c r="K12176" s="1" t="str">
        <f>"2026-07-29 13:18:11"</f>
        <v>2026-07-29 13:18:11</v>
      </c>
      <c r="L12176" s="1" t="str">
        <f>"2019-12-11 18:07:32"</f>
        <v>2019-12-11 18:07:32</v>
      </c>
      <c r="M12176" s="1" t="s">
        <v>1</v>
      </c>
      <c r="N12176" s="1" t="s">
        <v>38</v>
      </c>
      <c r="O12176" s="1" t="s">
        <v>46</v>
      </c>
    </row>
    <row r="12177" spans="2:15" x14ac:dyDescent="0.3">
      <c r="B12177" s="1" t="s">
        <v>20</v>
      </c>
      <c r="C12177" s="1" t="str">
        <f>"1차"</f>
        <v>1차</v>
      </c>
      <c r="D12177" s="1" t="str">
        <f>"9626S43200"</f>
        <v>9626S43200</v>
      </c>
      <c r="E12177" s="1" t="s">
        <v>10</v>
      </c>
      <c r="F12177" s="1" t="str">
        <f>"10.125.193.50"</f>
        <v>10.125.193.50</v>
      </c>
      <c r="G12177" s="1" t="str">
        <f>"9626S432"</f>
        <v>9626S432</v>
      </c>
      <c r="H12177" s="1" t="str">
        <f>"당인간 32R24L1"</f>
        <v>당인간 32R24L1</v>
      </c>
      <c r="I12177" s="1" t="s">
        <v>8</v>
      </c>
      <c r="J12177" s="1" t="str">
        <f>"15/16"</f>
        <v>15/16</v>
      </c>
      <c r="K12177" s="1" t="str">
        <f>"2026-07-29 13:18:11"</f>
        <v>2026-07-29 13:18:11</v>
      </c>
      <c r="L12177" s="1" t="str">
        <f>"2014-12-22 17:28:44"</f>
        <v>2014-12-22 17:28:44</v>
      </c>
      <c r="M12177" s="1" t="s">
        <v>45</v>
      </c>
      <c r="N12177" s="1" t="s">
        <v>38</v>
      </c>
      <c r="O12177" s="1" t="s">
        <v>46</v>
      </c>
    </row>
    <row r="12178" spans="2:15" x14ac:dyDescent="0.3">
      <c r="B12178" s="1" t="s">
        <v>20</v>
      </c>
      <c r="C12178" s="1" t="str">
        <f>"4차"</f>
        <v>4차</v>
      </c>
      <c r="D12178" s="1" t="str">
        <f>"9626S44144"</f>
        <v>9626S44144</v>
      </c>
      <c r="E12178" s="1" t="s">
        <v>10</v>
      </c>
      <c r="F12178" s="1" t="str">
        <f>"10.10.133.242"</f>
        <v>10.10.133.242</v>
      </c>
      <c r="G12178" s="1" t="str">
        <f>"9626S441"</f>
        <v>9626S441</v>
      </c>
      <c r="H12178" s="1" t="str">
        <f>"당인간 32R24"</f>
        <v>당인간 32R24</v>
      </c>
      <c r="I12178" s="1" t="s">
        <v>8</v>
      </c>
      <c r="J12178" s="1" t="str">
        <f>"38/51"</f>
        <v>38/51</v>
      </c>
      <c r="K12178" s="1" t="str">
        <f>"2026-07-29 13:18:11"</f>
        <v>2026-07-29 13:18:11</v>
      </c>
      <c r="L12178" s="1" t="str">
        <f>"2019-12-11 17:49:19"</f>
        <v>2019-12-11 17:49:19</v>
      </c>
      <c r="M12178" s="1" t="s">
        <v>1</v>
      </c>
      <c r="N12178" s="1" t="s">
        <v>38</v>
      </c>
      <c r="O12178" s="1" t="s">
        <v>46</v>
      </c>
    </row>
    <row r="12179" spans="2:15" x14ac:dyDescent="0.3">
      <c r="B12179" s="1" t="s">
        <v>20</v>
      </c>
      <c r="C12179" s="1" t="str">
        <f>"5-2차"</f>
        <v>5-2차</v>
      </c>
      <c r="D12179" s="1" t="str">
        <f>"9626S4815M"</f>
        <v>9626S4815M</v>
      </c>
      <c r="E12179" s="1" t="s">
        <v>10</v>
      </c>
      <c r="F12179" s="1" t="str">
        <f>"fde3:102:1300:1900:0:0:0:6"</f>
        <v>fde3:102:1300:1900:0:0:0:6</v>
      </c>
      <c r="G12179" s="1" t="str">
        <f>"9626S481"</f>
        <v>9626S481</v>
      </c>
      <c r="H12179" s="1" t="str">
        <f>"당인간 20R10R1"</f>
        <v>당인간 20R10R1</v>
      </c>
      <c r="I12179" s="1" t="s">
        <v>15</v>
      </c>
      <c r="J12179" s="1" t="str">
        <f>"52/52"</f>
        <v>52/52</v>
      </c>
      <c r="K12179" s="1" t="str">
        <f>"2026-07-29 14:20:54"</f>
        <v>2026-07-29 14:20:54</v>
      </c>
      <c r="L12179" s="1" t="str">
        <f>"2023-09-21 13:29:36"</f>
        <v>2023-09-21 13:29:36</v>
      </c>
      <c r="M12179" s="1" t="s">
        <v>45</v>
      </c>
      <c r="N12179" s="1" t="s">
        <v>38</v>
      </c>
      <c r="O12179" s="1" t="s">
        <v>46</v>
      </c>
    </row>
    <row r="12180" spans="2:15" x14ac:dyDescent="0.3">
      <c r="B12180" s="1" t="s">
        <v>20</v>
      </c>
      <c r="C12180" s="1" t="str">
        <f>"4차"</f>
        <v>4차</v>
      </c>
      <c r="D12180" s="1" t="str">
        <f>"9626S52144"</f>
        <v>9626S52144</v>
      </c>
      <c r="E12180" s="1" t="s">
        <v>10</v>
      </c>
      <c r="F12180" s="1" t="str">
        <f>"10.10.135.66"</f>
        <v>10.10.135.66</v>
      </c>
      <c r="G12180" s="1" t="str">
        <f>"9626S521"</f>
        <v>9626S521</v>
      </c>
      <c r="H12180" s="1" t="str">
        <f>"합원간 48R5"</f>
        <v>합원간 48R5</v>
      </c>
      <c r="I12180" s="1" t="s">
        <v>8</v>
      </c>
      <c r="J12180" s="1" t="str">
        <f>"47/47"</f>
        <v>47/47</v>
      </c>
      <c r="K12180" s="1" t="str">
        <f>"2026-07-29 13:18:11"</f>
        <v>2026-07-29 13:18:11</v>
      </c>
      <c r="L12180" s="1" t="str">
        <f>"2019-12-11 18:16:47"</f>
        <v>2019-12-11 18:16:47</v>
      </c>
      <c r="M12180" s="1" t="s">
        <v>1</v>
      </c>
      <c r="N12180" s="1" t="s">
        <v>38</v>
      </c>
      <c r="O12180" s="1" t="s">
        <v>46</v>
      </c>
    </row>
    <row r="12181" spans="2:15" x14ac:dyDescent="0.3">
      <c r="B12181" s="1" t="s">
        <v>20</v>
      </c>
      <c r="C12181" s="1" t="str">
        <f>"4차"</f>
        <v>4차</v>
      </c>
      <c r="D12181" s="1" t="str">
        <f>"9626S61244"</f>
        <v>9626S61244</v>
      </c>
      <c r="E12181" s="1" t="s">
        <v>10</v>
      </c>
      <c r="F12181" s="1" t="str">
        <f>"10.10.135.82"</f>
        <v>10.10.135.82</v>
      </c>
      <c r="G12181" s="1" t="str">
        <f>"9626S612"</f>
        <v>9626S612</v>
      </c>
      <c r="H12181" s="1" t="str">
        <f>"합원간 48R7R1"</f>
        <v>합원간 48R7R1</v>
      </c>
      <c r="I12181" s="1" t="s">
        <v>8</v>
      </c>
      <c r="J12181" s="1" t="str">
        <f>"35/35"</f>
        <v>35/35</v>
      </c>
      <c r="K12181" s="1" t="str">
        <f>"2026-07-29 13:18:11"</f>
        <v>2026-07-29 13:18:11</v>
      </c>
      <c r="L12181" s="1" t="str">
        <f>"2019-12-11 18:16:03"</f>
        <v>2019-12-11 18:16:03</v>
      </c>
      <c r="M12181" s="1" t="s">
        <v>1</v>
      </c>
      <c r="N12181" s="1" t="s">
        <v>38</v>
      </c>
      <c r="O12181" s="1" t="s">
        <v>46</v>
      </c>
    </row>
    <row r="12182" spans="2:15" x14ac:dyDescent="0.3">
      <c r="B12182" s="1" t="s">
        <v>20</v>
      </c>
      <c r="C12182" s="1" t="str">
        <f>"4차"</f>
        <v>4차</v>
      </c>
      <c r="D12182" s="1" t="str">
        <f>"9626S62344"</f>
        <v>9626S62344</v>
      </c>
      <c r="E12182" s="1" t="s">
        <v>10</v>
      </c>
      <c r="F12182" s="1" t="str">
        <f>"10.10.135.98"</f>
        <v>10.10.135.98</v>
      </c>
      <c r="G12182" s="1" t="str">
        <f>"9626S623"</f>
        <v>9626S623</v>
      </c>
      <c r="H12182" s="1" t="str">
        <f>"합원간 48R9"</f>
        <v>합원간 48R9</v>
      </c>
      <c r="I12182" s="1" t="s">
        <v>8</v>
      </c>
      <c r="J12182" s="1" t="str">
        <f>"59/62"</f>
        <v>59/62</v>
      </c>
      <c r="K12182" s="1" t="str">
        <f>"2026-07-29 13:18:11"</f>
        <v>2026-07-29 13:18:11</v>
      </c>
      <c r="L12182" s="1" t="str">
        <f>"2019-12-24 16:44:36"</f>
        <v>2019-12-24 16:44:36</v>
      </c>
      <c r="M12182" s="1" t="s">
        <v>1</v>
      </c>
      <c r="N12182" s="1" t="s">
        <v>38</v>
      </c>
      <c r="O12182" s="1" t="s">
        <v>46</v>
      </c>
    </row>
    <row r="12183" spans="2:15" x14ac:dyDescent="0.3">
      <c r="B12183" s="1" t="s">
        <v>20</v>
      </c>
      <c r="C12183" s="1" t="str">
        <f>"5-1차"</f>
        <v>5-1차</v>
      </c>
      <c r="D12183" s="1" t="str">
        <f>"9626S6915M"</f>
        <v>9626S6915M</v>
      </c>
      <c r="E12183" s="1" t="s">
        <v>10</v>
      </c>
      <c r="F12183" s="1" t="str">
        <f>"fde2:104:0:8f:0:0:0:2"</f>
        <v>fde2:104:0:8f:0:0:0:2</v>
      </c>
      <c r="G12183" s="1" t="str">
        <f>"9626S691"</f>
        <v>9626S691</v>
      </c>
      <c r="H12183" s="1" t="str">
        <f>"신북지 50"</f>
        <v>신북지 50</v>
      </c>
      <c r="I12183" s="1" t="s">
        <v>15</v>
      </c>
      <c r="J12183" s="1" t="str">
        <f>"69/69"</f>
        <v>69/69</v>
      </c>
      <c r="K12183" s="1" t="str">
        <f>"2026-07-29 14:21:09"</f>
        <v>2026-07-29 14:21:09</v>
      </c>
      <c r="L12183" s="1" t="str">
        <f>"2022-09-30 15:02:51"</f>
        <v>2022-09-30 15:02:51</v>
      </c>
      <c r="M12183" s="1" t="s">
        <v>42</v>
      </c>
      <c r="N12183" s="1" t="s">
        <v>38</v>
      </c>
      <c r="O12183" s="1" t="s">
        <v>46</v>
      </c>
    </row>
    <row r="12184" spans="2:15" x14ac:dyDescent="0.3">
      <c r="B12184" s="1" t="s">
        <v>20</v>
      </c>
      <c r="C12184" s="1" t="str">
        <f>"4차"</f>
        <v>4차</v>
      </c>
      <c r="D12184" s="1" t="str">
        <f>"9626S70144"</f>
        <v>9626S70144</v>
      </c>
      <c r="E12184" s="1" t="s">
        <v>10</v>
      </c>
      <c r="F12184" s="1" t="str">
        <f>"10.10.134.114"</f>
        <v>10.10.134.114</v>
      </c>
      <c r="G12184" s="1" t="str">
        <f>"9626S701"</f>
        <v>9626S701</v>
      </c>
      <c r="H12184" s="1" t="str">
        <f>"합원간 40R9L2"</f>
        <v>합원간 40R9L2</v>
      </c>
      <c r="I12184" s="1" t="s">
        <v>8</v>
      </c>
      <c r="J12184" s="1" t="str">
        <f>"57/62"</f>
        <v>57/62</v>
      </c>
      <c r="K12184" s="1" t="str">
        <f>"2026-07-29 13:18:11"</f>
        <v>2026-07-29 13:18:11</v>
      </c>
      <c r="L12184" s="1" t="str">
        <f>"2019-12-11 18:14:14"</f>
        <v>2019-12-11 18:14:14</v>
      </c>
      <c r="M12184" s="1" t="s">
        <v>1</v>
      </c>
      <c r="N12184" s="1" t="s">
        <v>38</v>
      </c>
      <c r="O12184" s="1" t="s">
        <v>46</v>
      </c>
    </row>
    <row r="12185" spans="2:15" x14ac:dyDescent="0.3">
      <c r="B12185" s="1" t="s">
        <v>20</v>
      </c>
      <c r="C12185" s="1" t="str">
        <f>"4차"</f>
        <v>4차</v>
      </c>
      <c r="D12185" s="1" t="str">
        <f>"9626S71144"</f>
        <v>9626S71144</v>
      </c>
      <c r="E12185" s="1" t="s">
        <v>10</v>
      </c>
      <c r="F12185" s="1" t="str">
        <f>"10.10.135.106"</f>
        <v>10.10.135.106</v>
      </c>
      <c r="G12185" s="1" t="str">
        <f>"9626S711"</f>
        <v>9626S711</v>
      </c>
      <c r="H12185" s="1" t="str">
        <f>"합원간 48R7R2"</f>
        <v>합원간 48R7R2</v>
      </c>
      <c r="I12185" s="1" t="s">
        <v>8</v>
      </c>
      <c r="J12185" s="1" t="str">
        <f>"46/46"</f>
        <v>46/46</v>
      </c>
      <c r="K12185" s="1" t="str">
        <f>"2026-07-29 13:18:11"</f>
        <v>2026-07-29 13:18:11</v>
      </c>
      <c r="L12185" s="1" t="str">
        <f>"2019-12-11 18:12:22"</f>
        <v>2019-12-11 18:12:22</v>
      </c>
      <c r="M12185" s="1" t="s">
        <v>1</v>
      </c>
      <c r="N12185" s="1" t="s">
        <v>38</v>
      </c>
      <c r="O12185" s="1" t="s">
        <v>46</v>
      </c>
    </row>
    <row r="12186" spans="2:15" x14ac:dyDescent="0.3">
      <c r="B12186" s="1" t="s">
        <v>20</v>
      </c>
      <c r="C12186" s="1" t="str">
        <f>"6차"</f>
        <v>6차</v>
      </c>
      <c r="D12186" s="1" t="str">
        <f>"9626S8526S"</f>
        <v>9626S8526S</v>
      </c>
      <c r="E12186" s="1" t="s">
        <v>10</v>
      </c>
      <c r="F12186" s="1" t="str">
        <f>"fde1:103:4:c672:0:0:0:2"</f>
        <v>fde1:103:4:c672:0:0:0:2</v>
      </c>
      <c r="G12186" s="1" t="str">
        <f>"9626S852"</f>
        <v>9626S852</v>
      </c>
      <c r="H12186" s="1" t="str">
        <f>"당인간 32R17"</f>
        <v>당인간 32R17</v>
      </c>
      <c r="I12186" s="1" t="s">
        <v>15</v>
      </c>
      <c r="J12186" s="1" t="str">
        <f>"39/55"</f>
        <v>39/55</v>
      </c>
      <c r="K12186" s="1" t="str">
        <f>"2026-07-29 14:21:41"</f>
        <v>2026-07-29 14:21:41</v>
      </c>
      <c r="L12186" s="1" t="str">
        <f>"2024-11-04 15:41:01"</f>
        <v>2024-11-04 15:41:01</v>
      </c>
      <c r="M12186" s="1" t="s">
        <v>4</v>
      </c>
      <c r="N12186" s="1" t="s">
        <v>38</v>
      </c>
      <c r="O12186" s="1" t="s">
        <v>46</v>
      </c>
    </row>
    <row r="12187" spans="2:15" x14ac:dyDescent="0.3">
      <c r="B12187" s="1" t="s">
        <v>20</v>
      </c>
      <c r="C12187" s="1" t="str">
        <f>"4차"</f>
        <v>4차</v>
      </c>
      <c r="D12187" s="1" t="str">
        <f>"9626S93244"</f>
        <v>9626S93244</v>
      </c>
      <c r="E12187" s="1" t="s">
        <v>10</v>
      </c>
      <c r="F12187" s="1" t="str">
        <f>"10.10.76.170"</f>
        <v>10.10.76.170</v>
      </c>
      <c r="G12187" s="1" t="str">
        <f>"9626S932"</f>
        <v>9626S932</v>
      </c>
      <c r="H12187" s="1" t="str">
        <f>"당인간 32R19H1L5"</f>
        <v>당인간 32R19H1L5</v>
      </c>
      <c r="I12187" s="1" t="s">
        <v>8</v>
      </c>
      <c r="J12187" s="1" t="str">
        <f>"51/51"</f>
        <v>51/51</v>
      </c>
      <c r="K12187" s="1" t="str">
        <f>"2026-07-29 13:18:11"</f>
        <v>2026-07-29 13:18:11</v>
      </c>
      <c r="L12187" s="1" t="str">
        <f>"2019-10-08 13:24:40"</f>
        <v>2019-10-08 13:24:40</v>
      </c>
      <c r="M12187" s="1" t="s">
        <v>1</v>
      </c>
      <c r="N12187" s="1" t="s">
        <v>38</v>
      </c>
      <c r="O12187" s="1" t="s">
        <v>46</v>
      </c>
    </row>
    <row r="12188" spans="2:15" x14ac:dyDescent="0.3">
      <c r="B12188" s="1" t="s">
        <v>20</v>
      </c>
      <c r="C12188" s="1" t="str">
        <f>"4차"</f>
        <v>4차</v>
      </c>
      <c r="D12188" s="1" t="str">
        <f>"9626S94144"</f>
        <v>9626S94144</v>
      </c>
      <c r="E12188" s="1" t="s">
        <v>10</v>
      </c>
      <c r="F12188" s="1" t="str">
        <f>"10.10.76.154"</f>
        <v>10.10.76.154</v>
      </c>
      <c r="G12188" s="1" t="str">
        <f>"9626S941"</f>
        <v>9626S941</v>
      </c>
      <c r="H12188" s="1" t="str">
        <f>"당인간 32R19H1L3"</f>
        <v>당인간 32R19H1L3</v>
      </c>
      <c r="I12188" s="1" t="s">
        <v>8</v>
      </c>
      <c r="J12188" s="1" t="str">
        <f>"65/65"</f>
        <v>65/65</v>
      </c>
      <c r="K12188" s="1" t="str">
        <f>"2026-07-29 13:18:11"</f>
        <v>2026-07-29 13:18:11</v>
      </c>
      <c r="L12188" s="1" t="str">
        <f>"2019-10-08 11:48:10"</f>
        <v>2019-10-08 11:48:10</v>
      </c>
      <c r="M12188" s="1" t="s">
        <v>1</v>
      </c>
      <c r="N12188" s="1" t="s">
        <v>38</v>
      </c>
      <c r="O12188" s="1" t="s">
        <v>46</v>
      </c>
    </row>
    <row r="12189" spans="2:15" x14ac:dyDescent="0.3">
      <c r="B12189" s="1" t="s">
        <v>20</v>
      </c>
      <c r="C12189" s="1" t="str">
        <f>"4차"</f>
        <v>4차</v>
      </c>
      <c r="D12189" s="1" t="str">
        <f>"9626S94244"</f>
        <v>9626S94244</v>
      </c>
      <c r="E12189" s="1" t="s">
        <v>10</v>
      </c>
      <c r="F12189" s="1" t="str">
        <f>"10.10.76.130"</f>
        <v>10.10.76.130</v>
      </c>
      <c r="G12189" s="1" t="str">
        <f>"9626S942"</f>
        <v>9626S942</v>
      </c>
      <c r="H12189" s="1" t="str">
        <f>"당인간 32R19H1L2"</f>
        <v>당인간 32R19H1L2</v>
      </c>
      <c r="I12189" s="1" t="s">
        <v>8</v>
      </c>
      <c r="J12189" s="1" t="str">
        <f>"55/55"</f>
        <v>55/55</v>
      </c>
      <c r="K12189" s="1" t="str">
        <f>"2026-07-29 13:18:11"</f>
        <v>2026-07-29 13:18:11</v>
      </c>
      <c r="L12189" s="1" t="str">
        <f>"2019-10-29 15:13:04"</f>
        <v>2019-10-29 15:13:04</v>
      </c>
      <c r="M12189" s="1" t="s">
        <v>1</v>
      </c>
      <c r="N12189" s="1" t="s">
        <v>38</v>
      </c>
      <c r="O12189" s="1" t="s">
        <v>46</v>
      </c>
    </row>
    <row r="12190" spans="2:15" x14ac:dyDescent="0.3">
      <c r="B12190" s="1" t="s">
        <v>20</v>
      </c>
      <c r="C12190" s="1" t="str">
        <f>"4차"</f>
        <v>4차</v>
      </c>
      <c r="D12190" s="1" t="str">
        <f>"9626S95144"</f>
        <v>9626S95144</v>
      </c>
      <c r="E12190" s="1" t="s">
        <v>10</v>
      </c>
      <c r="F12190" s="1" t="str">
        <f>"10.10.74.202"</f>
        <v>10.10.74.202</v>
      </c>
      <c r="G12190" s="1" t="str">
        <f>"9626S951"</f>
        <v>9626S951</v>
      </c>
      <c r="H12190" s="1" t="str">
        <f>"당인간 32R17L2"</f>
        <v>당인간 32R17L2</v>
      </c>
      <c r="I12190" s="1" t="s">
        <v>8</v>
      </c>
      <c r="J12190" s="1" t="str">
        <f>"37/37"</f>
        <v>37/37</v>
      </c>
      <c r="K12190" s="1" t="str">
        <f>"2026-07-29 13:18:11"</f>
        <v>2026-07-29 13:18:11</v>
      </c>
      <c r="L12190" s="1" t="str">
        <f>"2019-10-31 10:23:04"</f>
        <v>2019-10-31 10:23:04</v>
      </c>
      <c r="M12190" s="1" t="s">
        <v>1</v>
      </c>
      <c r="N12190" s="1" t="s">
        <v>38</v>
      </c>
      <c r="O12190" s="1" t="s">
        <v>46</v>
      </c>
    </row>
    <row r="12191" spans="2:15" x14ac:dyDescent="0.3">
      <c r="B12191" s="1" t="s">
        <v>20</v>
      </c>
      <c r="C12191" s="1" t="str">
        <f>"4차"</f>
        <v>4차</v>
      </c>
      <c r="D12191" s="1" t="str">
        <f>"9626S95239"</f>
        <v>9626S95239</v>
      </c>
      <c r="E12191" s="1" t="s">
        <v>10</v>
      </c>
      <c r="F12191" s="1" t="str">
        <f>"10.12.134.243"</f>
        <v>10.12.134.243</v>
      </c>
      <c r="G12191" s="1" t="str">
        <f>"9626S952"</f>
        <v>9626S952</v>
      </c>
      <c r="H12191" s="1" t="str">
        <f>"성산로 1T"</f>
        <v>성산로 1T</v>
      </c>
      <c r="I12191" s="1" t="s">
        <v>17</v>
      </c>
      <c r="J12191" s="1" t="str">
        <f>"37/42"</f>
        <v>37/42</v>
      </c>
      <c r="K12191" s="1" t="str">
        <f>"2026-07-29 13:18:11"</f>
        <v>2026-07-29 13:18:11</v>
      </c>
      <c r="L12191" s="1" t="str">
        <f>"2018-10-15 15:23:14"</f>
        <v>2018-10-15 15:23:14</v>
      </c>
      <c r="M12191" s="1" t="s">
        <v>0</v>
      </c>
      <c r="N12191" s="1" t="s">
        <v>38</v>
      </c>
      <c r="O12191" s="1" t="s">
        <v>46</v>
      </c>
    </row>
    <row r="12192" spans="2:15" x14ac:dyDescent="0.3">
      <c r="B12192" s="1" t="s">
        <v>20</v>
      </c>
      <c r="C12192" s="1" t="str">
        <f>"5-2차"</f>
        <v>5-2차</v>
      </c>
      <c r="D12192" s="1" t="str">
        <f>"9626S9615M"</f>
        <v>9626S9615M</v>
      </c>
      <c r="E12192" s="1" t="s">
        <v>10</v>
      </c>
      <c r="F12192" s="1" t="str">
        <f>"fde3:102:1300:2e04:0:0:0:2"</f>
        <v>fde3:102:1300:2e04:0:0:0:2</v>
      </c>
      <c r="G12192" s="1" t="str">
        <f>"9626S961"</f>
        <v>9626S961</v>
      </c>
      <c r="H12192" s="1" t="str">
        <f>"당인간 32R16"</f>
        <v>당인간 32R16</v>
      </c>
      <c r="I12192" s="1" t="s">
        <v>15</v>
      </c>
      <c r="J12192" s="1" t="str">
        <f>"42/42"</f>
        <v>42/42</v>
      </c>
      <c r="K12192" s="1" t="str">
        <f>"2026-07-29 14:20:54"</f>
        <v>2026-07-29 14:20:54</v>
      </c>
      <c r="L12192" s="1" t="str">
        <f>"2023-09-21 14:54:01"</f>
        <v>2023-09-21 14:54:01</v>
      </c>
      <c r="M12192" s="1" t="s">
        <v>45</v>
      </c>
      <c r="N12192" s="1" t="s">
        <v>38</v>
      </c>
      <c r="O12192" s="1" t="s">
        <v>46</v>
      </c>
    </row>
    <row r="12193" spans="2:15" x14ac:dyDescent="0.3">
      <c r="B12193" s="1" t="s">
        <v>20</v>
      </c>
      <c r="C12193" s="1" t="str">
        <f>"5-2차"</f>
        <v>5-2차</v>
      </c>
      <c r="D12193" s="1" t="str">
        <f>"9626W0415M"</f>
        <v>9626W0415M</v>
      </c>
      <c r="E12193" s="1" t="s">
        <v>10</v>
      </c>
      <c r="F12193" s="1" t="str">
        <f>"fde1:103:4:56a2:0:0:0:2"</f>
        <v>fde1:103:4:56a2:0:0:0:2</v>
      </c>
      <c r="G12193" s="1" t="str">
        <f>"9626W041"</f>
        <v>9626W041</v>
      </c>
      <c r="H12193" s="1" t="str">
        <f>"당인간 10"</f>
        <v>당인간 10</v>
      </c>
      <c r="I12193" s="1" t="s">
        <v>15</v>
      </c>
      <c r="J12193" s="1" t="str">
        <f>"30/30"</f>
        <v>30/30</v>
      </c>
      <c r="K12193" s="1" t="str">
        <f>"2026-07-29 14:21:37"</f>
        <v>2026-07-29 14:21:37</v>
      </c>
      <c r="L12193" s="1" t="str">
        <f>"2023-08-17 11:13:10"</f>
        <v>2023-08-17 11:13:10</v>
      </c>
      <c r="M12193" s="1" t="s">
        <v>4</v>
      </c>
      <c r="N12193" s="1" t="s">
        <v>38</v>
      </c>
      <c r="O12193" s="1" t="s">
        <v>46</v>
      </c>
    </row>
    <row r="12194" spans="2:15" x14ac:dyDescent="0.3">
      <c r="B12194" s="1" t="s">
        <v>20</v>
      </c>
      <c r="C12194" s="1" t="str">
        <f>"5-1차"</f>
        <v>5-1차</v>
      </c>
      <c r="D12194" s="1" t="str">
        <f>"9626W0425S"</f>
        <v>9626W0425S</v>
      </c>
      <c r="E12194" s="1" t="s">
        <v>10</v>
      </c>
      <c r="F12194" s="1" t="str">
        <f>"fde2:104:0:94:0:0:0:2"</f>
        <v>fde2:104:0:94:0:0:0:2</v>
      </c>
      <c r="G12194" s="1" t="str">
        <f>"9626W042"</f>
        <v>9626W042</v>
      </c>
      <c r="H12194" s="1" t="str">
        <f>"당인간 10R1"</f>
        <v>당인간 10R1</v>
      </c>
      <c r="I12194" s="1" t="s">
        <v>15</v>
      </c>
      <c r="J12194" s="1" t="str">
        <f>"55/55"</f>
        <v>55/55</v>
      </c>
      <c r="K12194" s="1" t="str">
        <f>"2026-07-29 14:21:39"</f>
        <v>2026-07-29 14:21:39</v>
      </c>
      <c r="L12194" s="1" t="str">
        <f>"2022-09-28 11:03:46"</f>
        <v>2022-09-28 11:03:46</v>
      </c>
      <c r="M12194" s="1" t="s">
        <v>42</v>
      </c>
      <c r="N12194" s="1" t="s">
        <v>38</v>
      </c>
      <c r="O12194" s="1" t="s">
        <v>46</v>
      </c>
    </row>
    <row r="12195" spans="2:15" x14ac:dyDescent="0.3">
      <c r="B12195" s="1" t="s">
        <v>20</v>
      </c>
      <c r="C12195" s="1" t="str">
        <f>"5-2차"</f>
        <v>5-2차</v>
      </c>
      <c r="D12195" s="1" t="str">
        <f>"9626W0515M"</f>
        <v>9626W0515M</v>
      </c>
      <c r="E12195" s="1" t="s">
        <v>10</v>
      </c>
      <c r="F12195" s="1" t="str">
        <f>"fde1:103:4:5656:0:0:0:2"</f>
        <v>fde1:103:4:5656:0:0:0:2</v>
      </c>
      <c r="G12195" s="1" t="str">
        <f>"9626W051"</f>
        <v>9626W051</v>
      </c>
      <c r="H12195" s="1" t="str">
        <f>"당인간 4R4AL2"</f>
        <v>당인간 4R4AL2</v>
      </c>
      <c r="I12195" s="1" t="s">
        <v>15</v>
      </c>
      <c r="J12195" s="1" t="str">
        <f>"25/25"</f>
        <v>25/25</v>
      </c>
      <c r="K12195" s="1" t="str">
        <f>"2026-07-29 14:21:44"</f>
        <v>2026-07-29 14:21:44</v>
      </c>
      <c r="L12195" s="1" t="str">
        <f>"2023-08-17 13:19:46"</f>
        <v>2023-08-17 13:19:46</v>
      </c>
      <c r="M12195" s="1" t="s">
        <v>4</v>
      </c>
      <c r="N12195" s="1" t="s">
        <v>38</v>
      </c>
      <c r="O12195" s="1" t="s">
        <v>46</v>
      </c>
    </row>
    <row r="12196" spans="2:15" x14ac:dyDescent="0.3">
      <c r="B12196" s="1" t="s">
        <v>20</v>
      </c>
      <c r="C12196" s="1" t="str">
        <f>"5-2차"</f>
        <v>5-2차</v>
      </c>
      <c r="D12196" s="1" t="str">
        <f>"9626W0715S"</f>
        <v>9626W0715S</v>
      </c>
      <c r="E12196" s="1" t="s">
        <v>10</v>
      </c>
      <c r="F12196" s="1" t="str">
        <f>"fde1:103:4:55f4:0:0:0:2"</f>
        <v>fde1:103:4:55f4:0:0:0:2</v>
      </c>
      <c r="G12196" s="1" t="str">
        <f>"9626W071"</f>
        <v>9626W071</v>
      </c>
      <c r="H12196" s="1" t="str">
        <f>"당인간 4R2"</f>
        <v>당인간 4R2</v>
      </c>
      <c r="I12196" s="1" t="s">
        <v>15</v>
      </c>
      <c r="J12196" s="1" t="str">
        <f>"46/46"</f>
        <v>46/46</v>
      </c>
      <c r="K12196" s="1" t="str">
        <f>"2026-07-29 14:21:44"</f>
        <v>2026-07-29 14:21:44</v>
      </c>
      <c r="L12196" s="1" t="str">
        <f>"2023-08-31 10:23:51"</f>
        <v>2023-08-31 10:23:51</v>
      </c>
      <c r="M12196" s="1" t="s">
        <v>4</v>
      </c>
      <c r="N12196" s="1" t="s">
        <v>38</v>
      </c>
      <c r="O12196" s="1" t="s">
        <v>46</v>
      </c>
    </row>
    <row r="12197" spans="2:15" x14ac:dyDescent="0.3">
      <c r="B12197" s="1" t="s">
        <v>20</v>
      </c>
      <c r="C12197" s="1" t="str">
        <f>"5-2차"</f>
        <v>5-2차</v>
      </c>
      <c r="D12197" s="1" t="str">
        <f>"9626W0915M"</f>
        <v>9626W0915M</v>
      </c>
      <c r="E12197" s="1" t="s">
        <v>10</v>
      </c>
      <c r="F12197" s="1" t="str">
        <f>"fde1:103:4:56a7:0:0:0:2"</f>
        <v>fde1:103:4:56a7:0:0:0:2</v>
      </c>
      <c r="G12197" s="1" t="str">
        <f>"9626W091"</f>
        <v>9626W091</v>
      </c>
      <c r="H12197" s="1" t="str">
        <f>"당인간 4R9"</f>
        <v>당인간 4R9</v>
      </c>
      <c r="I12197" s="1" t="s">
        <v>15</v>
      </c>
      <c r="J12197" s="1" t="str">
        <f>"51/67"</f>
        <v>51/67</v>
      </c>
      <c r="K12197" s="1" t="str">
        <f>"2026-07-29 02:21:21"</f>
        <v>2026-07-29 02:21:21</v>
      </c>
      <c r="L12197" s="1" t="str">
        <f>"2023-08-17 13:20:55"</f>
        <v>2023-08-17 13:20:55</v>
      </c>
      <c r="M12197" s="1" t="s">
        <v>4</v>
      </c>
      <c r="N12197" s="1" t="s">
        <v>38</v>
      </c>
      <c r="O12197" s="1" t="s">
        <v>46</v>
      </c>
    </row>
    <row r="12198" spans="2:15" x14ac:dyDescent="0.3">
      <c r="B12198" s="1" t="s">
        <v>20</v>
      </c>
      <c r="C12198" s="1" t="str">
        <f>"1차"</f>
        <v>1차</v>
      </c>
      <c r="D12198" s="1" t="str">
        <f>"9626W13300"</f>
        <v>9626W13300</v>
      </c>
      <c r="E12198" s="1" t="s">
        <v>10</v>
      </c>
      <c r="F12198" s="1" t="str">
        <f>"10.125.128.85"</f>
        <v>10.125.128.85</v>
      </c>
      <c r="G12198" s="1" t="str">
        <f>"9626W133"</f>
        <v>9626W133</v>
      </c>
      <c r="H12198" s="1" t="str">
        <f>"당인간 13L1L1"</f>
        <v>당인간 13L1L1</v>
      </c>
      <c r="I12198" s="1" t="s">
        <v>8</v>
      </c>
      <c r="J12198" s="1" t="str">
        <f>"34/34"</f>
        <v>34/34</v>
      </c>
      <c r="K12198" s="1" t="str">
        <f>"2026-07-29 13:18:11"</f>
        <v>2026-07-29 13:18:11</v>
      </c>
      <c r="L12198" s="1" t="str">
        <f>"2014-09-24 11:24:58"</f>
        <v>2014-09-24 11:24:58</v>
      </c>
      <c r="M12198" s="1" t="s">
        <v>45</v>
      </c>
      <c r="N12198" s="1" t="s">
        <v>38</v>
      </c>
      <c r="O12198" s="1" t="s">
        <v>46</v>
      </c>
    </row>
    <row r="12199" spans="2:15" x14ac:dyDescent="0.3">
      <c r="B12199" s="1" t="s">
        <v>20</v>
      </c>
      <c r="C12199" s="1" t="str">
        <f>"5-1차"</f>
        <v>5-1차</v>
      </c>
      <c r="D12199" s="1" t="str">
        <f>"9626W1715M"</f>
        <v>9626W1715M</v>
      </c>
      <c r="E12199" s="1" t="s">
        <v>10</v>
      </c>
      <c r="F12199" s="1" t="str">
        <f>"fde2:104:0:92:0:0:0:2"</f>
        <v>fde2:104:0:92:0:0:0:2</v>
      </c>
      <c r="G12199" s="1" t="str">
        <f>"9626W171"</f>
        <v>9626W171</v>
      </c>
      <c r="H12199" s="1" t="str">
        <f>"당인간 4"</f>
        <v>당인간 4</v>
      </c>
      <c r="I12199" s="1" t="s">
        <v>15</v>
      </c>
      <c r="J12199" s="1" t="str">
        <f>"31/31"</f>
        <v>31/31</v>
      </c>
      <c r="K12199" s="1" t="str">
        <f>"2026-07-29 14:21:39"</f>
        <v>2026-07-29 14:21:39</v>
      </c>
      <c r="L12199" s="1" t="str">
        <f>"2022-09-28 11:03:02"</f>
        <v>2022-09-28 11:03:02</v>
      </c>
      <c r="M12199" s="1" t="s">
        <v>42</v>
      </c>
      <c r="N12199" s="1" t="s">
        <v>38</v>
      </c>
      <c r="O12199" s="1" t="s">
        <v>46</v>
      </c>
    </row>
    <row r="12200" spans="2:15" x14ac:dyDescent="0.3">
      <c r="B12200" s="1" t="s">
        <v>20</v>
      </c>
      <c r="C12200" s="1" t="str">
        <f>"4차"</f>
        <v>4차</v>
      </c>
      <c r="D12200" s="1" t="str">
        <f>"9626W24139"</f>
        <v>9626W24139</v>
      </c>
      <c r="E12200" s="1" t="s">
        <v>10</v>
      </c>
      <c r="F12200" s="1" t="str">
        <f>"10.125.129.119"</f>
        <v>10.125.129.119</v>
      </c>
      <c r="G12200" s="1" t="str">
        <f>"9626W241"</f>
        <v>9626W241</v>
      </c>
      <c r="H12200" s="1" t="str">
        <f>"당인간 13L1L2"</f>
        <v>당인간 13L1L2</v>
      </c>
      <c r="I12200" s="1" t="s">
        <v>8</v>
      </c>
      <c r="J12200" s="1" t="str">
        <f>"43/49"</f>
        <v>43/49</v>
      </c>
      <c r="K12200" s="1" t="str">
        <f>"2026-07-29 13:18:11"</f>
        <v>2026-07-29 13:18:11</v>
      </c>
      <c r="L12200" s="1" t="str">
        <f>"2024-03-11 13:20:23"</f>
        <v>2024-03-11 13:20:23</v>
      </c>
      <c r="M12200" s="1" t="s">
        <v>45</v>
      </c>
      <c r="N12200" s="1" t="s">
        <v>38</v>
      </c>
      <c r="O12200" s="1" t="s">
        <v>46</v>
      </c>
    </row>
    <row r="12201" spans="2:15" x14ac:dyDescent="0.3">
      <c r="B12201" s="1" t="s">
        <v>20</v>
      </c>
      <c r="C12201" s="1" t="str">
        <f>"1차"</f>
        <v>1차</v>
      </c>
      <c r="D12201" s="1" t="str">
        <f>"9626W25200"</f>
        <v>9626W25200</v>
      </c>
      <c r="E12201" s="1" t="s">
        <v>10</v>
      </c>
      <c r="F12201" s="1" t="str">
        <f>"10.125.129.52"</f>
        <v>10.125.129.52</v>
      </c>
      <c r="G12201" s="1" t="str">
        <f>"9626W252"</f>
        <v>9626W252</v>
      </c>
      <c r="H12201" s="1" t="str">
        <f>"당인간 13L1L4"</f>
        <v>당인간 13L1L4</v>
      </c>
      <c r="I12201" s="1" t="s">
        <v>8</v>
      </c>
      <c r="J12201" s="1" t="str">
        <f>"17/17"</f>
        <v>17/17</v>
      </c>
      <c r="K12201" s="1" t="str">
        <f>"2026-07-29 13:18:11"</f>
        <v>2026-07-29 13:18:11</v>
      </c>
      <c r="L12201" s="1" t="str">
        <f>"2014-11-17 10:20:15"</f>
        <v>2014-11-17 10:20:15</v>
      </c>
      <c r="M12201" s="1" t="s">
        <v>45</v>
      </c>
      <c r="N12201" s="1" t="s">
        <v>38</v>
      </c>
      <c r="O12201" s="1" t="s">
        <v>46</v>
      </c>
    </row>
    <row r="12202" spans="2:15" x14ac:dyDescent="0.3">
      <c r="B12202" s="1" t="s">
        <v>20</v>
      </c>
      <c r="C12202" s="1" t="str">
        <f>"5-2차"</f>
        <v>5-2차</v>
      </c>
      <c r="D12202" s="1" t="str">
        <f>"9626W3325S"</f>
        <v>9626W3325S</v>
      </c>
      <c r="E12202" s="1" t="s">
        <v>10</v>
      </c>
      <c r="F12202" s="1" t="str">
        <f>"fde3:102:1300:1a01:0:0:0:2"</f>
        <v>fde3:102:1300:1a01:0:0:0:2</v>
      </c>
      <c r="G12202" s="1" t="str">
        <f>"9626W332"</f>
        <v>9626W332</v>
      </c>
      <c r="H12202" s="1" t="str">
        <f>"당인간 13L22L5"</f>
        <v>당인간 13L22L5</v>
      </c>
      <c r="I12202" s="1" t="s">
        <v>15</v>
      </c>
      <c r="J12202" s="1" t="str">
        <f>"42/42"</f>
        <v>42/42</v>
      </c>
      <c r="K12202" s="1" t="str">
        <f>"2026-07-29 14:20:54"</f>
        <v>2026-07-29 14:20:54</v>
      </c>
      <c r="L12202" s="1" t="str">
        <f>"2023-10-12 11:36:49"</f>
        <v>2023-10-12 11:36:49</v>
      </c>
      <c r="M12202" s="1" t="s">
        <v>45</v>
      </c>
      <c r="N12202" s="1" t="s">
        <v>38</v>
      </c>
      <c r="O12202" s="1" t="s">
        <v>46</v>
      </c>
    </row>
    <row r="12203" spans="2:15" x14ac:dyDescent="0.3">
      <c r="B12203" s="1" t="s">
        <v>20</v>
      </c>
      <c r="C12203" s="1" t="str">
        <f>"6차"</f>
        <v>6차</v>
      </c>
      <c r="D12203" s="1" t="str">
        <f>"9626W4416S"</f>
        <v>9626W4416S</v>
      </c>
      <c r="E12203" s="1" t="s">
        <v>10</v>
      </c>
      <c r="F12203" s="1" t="str">
        <f>"fde1:103:4:c747:0:0:0:2"</f>
        <v>fde1:103:4:c747:0:0:0:2</v>
      </c>
      <c r="G12203" s="1" t="str">
        <f>"9626W441"</f>
        <v>9626W441</v>
      </c>
      <c r="H12203" s="1" t="str">
        <f>"당인간 13L22L3"</f>
        <v>당인간 13L22L3</v>
      </c>
      <c r="I12203" s="1" t="s">
        <v>15</v>
      </c>
      <c r="J12203" s="1" t="str">
        <f>"49/49"</f>
        <v>49/49</v>
      </c>
      <c r="K12203" s="1" t="str">
        <f>"2026-07-29 14:21:08"</f>
        <v>2026-07-29 14:21:08</v>
      </c>
      <c r="L12203" s="1" t="str">
        <f>"2024-11-26 13:35:23"</f>
        <v>2024-11-26 13:35:23</v>
      </c>
      <c r="M12203" s="1" t="s">
        <v>4</v>
      </c>
      <c r="N12203" s="1" t="s">
        <v>38</v>
      </c>
      <c r="O12203" s="1" t="s">
        <v>46</v>
      </c>
    </row>
    <row r="12204" spans="2:15" x14ac:dyDescent="0.3">
      <c r="B12204" s="1" t="s">
        <v>20</v>
      </c>
      <c r="C12204" s="1" t="str">
        <f>"5-2차"</f>
        <v>5-2차</v>
      </c>
      <c r="D12204" s="1" t="str">
        <f>"9626W7565M"</f>
        <v>9626W7565M</v>
      </c>
      <c r="E12204" s="1" t="s">
        <v>10</v>
      </c>
      <c r="F12204" s="1" t="str">
        <f>"fde1:103:4:567c:0:0:0:2"</f>
        <v>fde1:103:4:567c:0:0:0:2</v>
      </c>
      <c r="G12204" s="1" t="str">
        <f>"9626W756"</f>
        <v>9626W756</v>
      </c>
      <c r="H12204" s="1" t="str">
        <f>"당인간 13L18H1"</f>
        <v>당인간 13L18H1</v>
      </c>
      <c r="I12204" s="1" t="s">
        <v>15</v>
      </c>
      <c r="J12204" s="1" t="str">
        <f>"61/61"</f>
        <v>61/61</v>
      </c>
      <c r="K12204" s="1" t="str">
        <f>"2026-07-29 14:21:01"</f>
        <v>2026-07-29 14:21:01</v>
      </c>
      <c r="L12204" s="1" t="str">
        <f>"2023-08-17 13:21:51"</f>
        <v>2023-08-17 13:21:51</v>
      </c>
      <c r="M12204" s="1" t="s">
        <v>4</v>
      </c>
      <c r="N12204" s="1" t="s">
        <v>38</v>
      </c>
      <c r="O12204" s="1" t="s">
        <v>46</v>
      </c>
    </row>
    <row r="12205" spans="2:15" x14ac:dyDescent="0.3">
      <c r="B12205" s="1" t="s">
        <v>20</v>
      </c>
      <c r="C12205" s="1" t="str">
        <f t="shared" ref="C12205:C12211" si="608">"4차"</f>
        <v>4차</v>
      </c>
      <c r="D12205" s="1" t="str">
        <f>"9626W90244"</f>
        <v>9626W90244</v>
      </c>
      <c r="E12205" s="1" t="s">
        <v>10</v>
      </c>
      <c r="F12205" s="1" t="str">
        <f>"10.125.195.130"</f>
        <v>10.125.195.130</v>
      </c>
      <c r="G12205" s="1" t="str">
        <f>"9626W902"</f>
        <v>9626W902</v>
      </c>
      <c r="H12205" s="1" t="str">
        <f>"당인간 33L4L6"</f>
        <v>당인간 33L4L6</v>
      </c>
      <c r="I12205" s="1" t="s">
        <v>8</v>
      </c>
      <c r="J12205" s="1" t="str">
        <f>"36/36"</f>
        <v>36/36</v>
      </c>
      <c r="K12205" s="1" t="str">
        <f t="shared" ref="K12205:K12215" si="609">"2026-07-29 13:18:11"</f>
        <v>2026-07-29 13:18:11</v>
      </c>
      <c r="L12205" s="1" t="str">
        <f>"2020-01-14 16:40:46"</f>
        <v>2020-01-14 16:40:46</v>
      </c>
      <c r="M12205" s="1" t="s">
        <v>45</v>
      </c>
      <c r="N12205" s="1" t="s">
        <v>38</v>
      </c>
      <c r="O12205" s="1" t="s">
        <v>46</v>
      </c>
    </row>
    <row r="12206" spans="2:15" x14ac:dyDescent="0.3">
      <c r="B12206" s="1" t="s">
        <v>20</v>
      </c>
      <c r="C12206" s="1" t="str">
        <f t="shared" si="608"/>
        <v>4차</v>
      </c>
      <c r="D12206" s="1" t="str">
        <f>"9626X00144"</f>
        <v>9626X00144</v>
      </c>
      <c r="E12206" s="1" t="s">
        <v>10</v>
      </c>
      <c r="F12206" s="1" t="str">
        <f>"10.10.90.90"</f>
        <v>10.10.90.90</v>
      </c>
      <c r="G12206" s="1" t="str">
        <f>"9626X001"</f>
        <v>9626X001</v>
      </c>
      <c r="H12206" s="1" t="str">
        <f>"당인간 33L12"</f>
        <v>당인간 33L12</v>
      </c>
      <c r="I12206" s="1" t="s">
        <v>8</v>
      </c>
      <c r="J12206" s="1" t="str">
        <f>"64/64"</f>
        <v>64/64</v>
      </c>
      <c r="K12206" s="1" t="str">
        <f t="shared" si="609"/>
        <v>2026-07-29 13:18:11</v>
      </c>
      <c r="L12206" s="1" t="str">
        <f>"2019-10-29 15:23:04"</f>
        <v>2019-10-29 15:23:04</v>
      </c>
      <c r="M12206" s="1" t="s">
        <v>1</v>
      </c>
      <c r="N12206" s="1" t="s">
        <v>38</v>
      </c>
      <c r="O12206" s="1" t="s">
        <v>46</v>
      </c>
    </row>
    <row r="12207" spans="2:15" x14ac:dyDescent="0.3">
      <c r="B12207" s="1" t="s">
        <v>20</v>
      </c>
      <c r="C12207" s="1" t="str">
        <f t="shared" si="608"/>
        <v>4차</v>
      </c>
      <c r="D12207" s="1" t="str">
        <f>"9626X01244"</f>
        <v>9626X01244</v>
      </c>
      <c r="E12207" s="1" t="s">
        <v>10</v>
      </c>
      <c r="F12207" s="1" t="str">
        <f>"10.10.92.82"</f>
        <v>10.10.92.82</v>
      </c>
      <c r="G12207" s="1" t="str">
        <f>"9626X012"</f>
        <v>9626X012</v>
      </c>
      <c r="H12207" s="1" t="str">
        <f>"당인간 33L4L7"</f>
        <v>당인간 33L4L7</v>
      </c>
      <c r="I12207" s="1" t="s">
        <v>8</v>
      </c>
      <c r="J12207" s="1" t="str">
        <f>"43/43"</f>
        <v>43/43</v>
      </c>
      <c r="K12207" s="1" t="str">
        <f t="shared" si="609"/>
        <v>2026-07-29 13:18:11</v>
      </c>
      <c r="L12207" s="1" t="str">
        <f>"2019-10-29 15:23:04"</f>
        <v>2019-10-29 15:23:04</v>
      </c>
      <c r="M12207" s="1" t="s">
        <v>1</v>
      </c>
      <c r="N12207" s="1" t="s">
        <v>38</v>
      </c>
      <c r="O12207" s="1" t="s">
        <v>46</v>
      </c>
    </row>
    <row r="12208" spans="2:15" x14ac:dyDescent="0.3">
      <c r="B12208" s="1" t="s">
        <v>20</v>
      </c>
      <c r="C12208" s="1" t="str">
        <f t="shared" si="608"/>
        <v>4차</v>
      </c>
      <c r="D12208" s="1" t="str">
        <f>"9626X10144"</f>
        <v>9626X10144</v>
      </c>
      <c r="E12208" s="1" t="s">
        <v>10</v>
      </c>
      <c r="F12208" s="1" t="str">
        <f>"10.10.91.122"</f>
        <v>10.10.91.122</v>
      </c>
      <c r="G12208" s="1" t="str">
        <f>"9626X101"</f>
        <v>9626X101</v>
      </c>
      <c r="H12208" s="1" t="str">
        <f>"당인간 33L4L12R2"</f>
        <v>당인간 33L4L12R2</v>
      </c>
      <c r="I12208" s="1" t="s">
        <v>8</v>
      </c>
      <c r="J12208" s="1" t="str">
        <f>"49/49"</f>
        <v>49/49</v>
      </c>
      <c r="K12208" s="1" t="str">
        <f t="shared" si="609"/>
        <v>2026-07-29 13:18:11</v>
      </c>
      <c r="L12208" s="1" t="str">
        <f>"2019-10-28 17:07:16"</f>
        <v>2019-10-28 17:07:16</v>
      </c>
      <c r="M12208" s="1" t="s">
        <v>1</v>
      </c>
      <c r="N12208" s="1" t="s">
        <v>38</v>
      </c>
      <c r="O12208" s="1" t="s">
        <v>46</v>
      </c>
    </row>
    <row r="12209" spans="2:15" x14ac:dyDescent="0.3">
      <c r="B12209" s="1" t="s">
        <v>20</v>
      </c>
      <c r="C12209" s="1" t="str">
        <f t="shared" si="608"/>
        <v>4차</v>
      </c>
      <c r="D12209" s="1" t="str">
        <f>"9626X10244"</f>
        <v>9626X10244</v>
      </c>
      <c r="E12209" s="1" t="s">
        <v>10</v>
      </c>
      <c r="F12209" s="1" t="str">
        <f>"10.10.90.194"</f>
        <v>10.10.90.194</v>
      </c>
      <c r="G12209" s="1" t="str">
        <f>"9626X102"</f>
        <v>9626X102</v>
      </c>
      <c r="H12209" s="1" t="str">
        <f>"당인간 33L4L12R1"</f>
        <v>당인간 33L4L12R1</v>
      </c>
      <c r="I12209" s="1" t="s">
        <v>8</v>
      </c>
      <c r="J12209" s="1" t="str">
        <f>"49/49"</f>
        <v>49/49</v>
      </c>
      <c r="K12209" s="1" t="str">
        <f t="shared" si="609"/>
        <v>2026-07-29 13:18:11</v>
      </c>
      <c r="L12209" s="1" t="str">
        <f>"2019-10-29 15:23:05"</f>
        <v>2019-10-29 15:23:05</v>
      </c>
      <c r="M12209" s="1" t="s">
        <v>1</v>
      </c>
      <c r="N12209" s="1" t="s">
        <v>38</v>
      </c>
      <c r="O12209" s="1" t="s">
        <v>46</v>
      </c>
    </row>
    <row r="12210" spans="2:15" x14ac:dyDescent="0.3">
      <c r="B12210" s="1" t="s">
        <v>20</v>
      </c>
      <c r="C12210" s="1" t="str">
        <f t="shared" si="608"/>
        <v>4차</v>
      </c>
      <c r="D12210" s="1" t="str">
        <f>"9626X11144"</f>
        <v>9626X11144</v>
      </c>
      <c r="E12210" s="1" t="s">
        <v>10</v>
      </c>
      <c r="F12210" s="1" t="str">
        <f>"10.10.90.162"</f>
        <v>10.10.90.162</v>
      </c>
      <c r="G12210" s="1" t="str">
        <f>"9626X111"</f>
        <v>9626X111</v>
      </c>
      <c r="H12210" s="1" t="str">
        <f>"당인간 33L4L11"</f>
        <v>당인간 33L4L11</v>
      </c>
      <c r="I12210" s="1" t="s">
        <v>8</v>
      </c>
      <c r="J12210" s="1" t="str">
        <f>"44/44"</f>
        <v>44/44</v>
      </c>
      <c r="K12210" s="1" t="str">
        <f t="shared" si="609"/>
        <v>2026-07-29 13:18:11</v>
      </c>
      <c r="L12210" s="1" t="str">
        <f>"2019-11-14 16:51:38"</f>
        <v>2019-11-14 16:51:38</v>
      </c>
      <c r="M12210" s="1" t="s">
        <v>1</v>
      </c>
      <c r="N12210" s="1" t="s">
        <v>38</v>
      </c>
      <c r="O12210" s="1" t="s">
        <v>46</v>
      </c>
    </row>
    <row r="12211" spans="2:15" x14ac:dyDescent="0.3">
      <c r="B12211" s="1" t="s">
        <v>20</v>
      </c>
      <c r="C12211" s="1" t="str">
        <f t="shared" si="608"/>
        <v>4차</v>
      </c>
      <c r="D12211" s="1" t="str">
        <f>"9626X20244"</f>
        <v>9626X20244</v>
      </c>
      <c r="E12211" s="1" t="s">
        <v>10</v>
      </c>
      <c r="F12211" s="1" t="str">
        <f>"10.10.90.170"</f>
        <v>10.10.90.170</v>
      </c>
      <c r="G12211" s="1" t="str">
        <f>"9626X202"</f>
        <v>9626X202</v>
      </c>
      <c r="H12211" s="1" t="str">
        <f>"당인간 33L4L12"</f>
        <v>당인간 33L4L12</v>
      </c>
      <c r="I12211" s="1" t="s">
        <v>8</v>
      </c>
      <c r="J12211" s="1" t="str">
        <f>"93/100"</f>
        <v>93/100</v>
      </c>
      <c r="K12211" s="1" t="str">
        <f t="shared" si="609"/>
        <v>2026-07-29 13:18:11</v>
      </c>
      <c r="L12211" s="1" t="str">
        <f>"2019-11-14 16:52:48"</f>
        <v>2019-11-14 16:52:48</v>
      </c>
      <c r="M12211" s="1" t="s">
        <v>1</v>
      </c>
      <c r="N12211" s="1" t="s">
        <v>38</v>
      </c>
      <c r="O12211" s="1" t="s">
        <v>46</v>
      </c>
    </row>
    <row r="12212" spans="2:15" x14ac:dyDescent="0.3">
      <c r="B12212" s="1" t="s">
        <v>20</v>
      </c>
      <c r="C12212" s="1" t="str">
        <f>"3차"</f>
        <v>3차</v>
      </c>
      <c r="D12212" s="1" t="str">
        <f>"9626X30539"</f>
        <v>9626X30539</v>
      </c>
      <c r="E12212" s="1" t="s">
        <v>10</v>
      </c>
      <c r="F12212" s="1" t="str">
        <f>"10.12.129.251"</f>
        <v>10.12.129.251</v>
      </c>
      <c r="G12212" s="1" t="str">
        <f>"9626X305"</f>
        <v>9626X305</v>
      </c>
      <c r="H12212" s="1" t="str">
        <f>"성산간 38L14R2"</f>
        <v>성산간 38L14R2</v>
      </c>
      <c r="I12212" s="1" t="s">
        <v>8</v>
      </c>
      <c r="J12212" s="1" t="str">
        <f>"32/32"</f>
        <v>32/32</v>
      </c>
      <c r="K12212" s="1" t="str">
        <f t="shared" si="609"/>
        <v>2026-07-29 13:18:11</v>
      </c>
      <c r="L12212" s="1" t="str">
        <f>"2018-04-19 09:10:54"</f>
        <v>2018-04-19 09:10:54</v>
      </c>
      <c r="M12212" s="1" t="s">
        <v>0</v>
      </c>
      <c r="N12212" s="1" t="s">
        <v>38</v>
      </c>
      <c r="O12212" s="1" t="s">
        <v>46</v>
      </c>
    </row>
    <row r="12213" spans="2:15" x14ac:dyDescent="0.3">
      <c r="B12213" s="1" t="s">
        <v>20</v>
      </c>
      <c r="C12213" s="1" t="str">
        <f t="shared" ref="C12213:C12218" si="610">"4차"</f>
        <v>4차</v>
      </c>
      <c r="D12213" s="1" t="str">
        <f>"9626X31144"</f>
        <v>9626X31144</v>
      </c>
      <c r="E12213" s="1" t="s">
        <v>10</v>
      </c>
      <c r="F12213" s="1" t="str">
        <f>"10.10.86.106"</f>
        <v>10.10.86.106</v>
      </c>
      <c r="G12213" s="1" t="str">
        <f>"9626X311"</f>
        <v>9626X311</v>
      </c>
      <c r="H12213" s="1" t="str">
        <f>"성산간 38L14R3"</f>
        <v>성산간 38L14R3</v>
      </c>
      <c r="I12213" s="1" t="s">
        <v>8</v>
      </c>
      <c r="J12213" s="1" t="str">
        <f>"39/40"</f>
        <v>39/40</v>
      </c>
      <c r="K12213" s="1" t="str">
        <f t="shared" si="609"/>
        <v>2026-07-29 13:18:11</v>
      </c>
      <c r="L12213" s="1" t="str">
        <f>"2019-10-14 14:33:13"</f>
        <v>2019-10-14 14:33:13</v>
      </c>
      <c r="M12213" s="1" t="s">
        <v>1</v>
      </c>
      <c r="N12213" s="1" t="s">
        <v>38</v>
      </c>
      <c r="O12213" s="1" t="s">
        <v>46</v>
      </c>
    </row>
    <row r="12214" spans="2:15" x14ac:dyDescent="0.3">
      <c r="B12214" s="1" t="s">
        <v>20</v>
      </c>
      <c r="C12214" s="1" t="str">
        <f t="shared" si="610"/>
        <v>4차</v>
      </c>
      <c r="D12214" s="1" t="str">
        <f>"9626X41444"</f>
        <v>9626X41444</v>
      </c>
      <c r="E12214" s="1" t="s">
        <v>10</v>
      </c>
      <c r="F12214" s="1" t="str">
        <f>"10.10.108.218"</f>
        <v>10.10.108.218</v>
      </c>
      <c r="G12214" s="1" t="str">
        <f>"9626X414"</f>
        <v>9626X414</v>
      </c>
      <c r="H12214" s="1" t="str">
        <f>"성산간 38L10R3"</f>
        <v>성산간 38L10R3</v>
      </c>
      <c r="I12214" s="1" t="s">
        <v>8</v>
      </c>
      <c r="J12214" s="1" t="str">
        <f>"22/22"</f>
        <v>22/22</v>
      </c>
      <c r="K12214" s="1" t="str">
        <f t="shared" si="609"/>
        <v>2026-07-29 13:18:11</v>
      </c>
      <c r="L12214" s="1" t="str">
        <f>"2019-10-29 14:33:03"</f>
        <v>2019-10-29 14:33:03</v>
      </c>
      <c r="M12214" s="1" t="s">
        <v>1</v>
      </c>
      <c r="N12214" s="1" t="s">
        <v>38</v>
      </c>
      <c r="O12214" s="1" t="s">
        <v>46</v>
      </c>
    </row>
    <row r="12215" spans="2:15" x14ac:dyDescent="0.3">
      <c r="B12215" s="1" t="s">
        <v>20</v>
      </c>
      <c r="C12215" s="1" t="str">
        <f t="shared" si="610"/>
        <v>4차</v>
      </c>
      <c r="D12215" s="1" t="str">
        <f>"9626X42144"</f>
        <v>9626X42144</v>
      </c>
      <c r="E12215" s="1" t="s">
        <v>10</v>
      </c>
      <c r="F12215" s="1" t="str">
        <f>"10.10.109.26"</f>
        <v>10.10.109.26</v>
      </c>
      <c r="G12215" s="1" t="str">
        <f>"9626X421"</f>
        <v>9626X421</v>
      </c>
      <c r="H12215" s="1" t="str">
        <f>"성산간 52"</f>
        <v>성산간 52</v>
      </c>
      <c r="I12215" s="1" t="s">
        <v>8</v>
      </c>
      <c r="J12215" s="1" t="str">
        <f>"9/9"</f>
        <v>9/9</v>
      </c>
      <c r="K12215" s="1" t="str">
        <f t="shared" si="609"/>
        <v>2026-07-29 13:18:11</v>
      </c>
      <c r="L12215" s="1" t="str">
        <f>"2019-10-14 15:16:29"</f>
        <v>2019-10-14 15:16:29</v>
      </c>
      <c r="M12215" s="1" t="s">
        <v>1</v>
      </c>
      <c r="N12215" s="1" t="s">
        <v>38</v>
      </c>
      <c r="O12215" s="1" t="s">
        <v>46</v>
      </c>
    </row>
    <row r="12216" spans="2:15" x14ac:dyDescent="0.3">
      <c r="B12216" s="1" t="s">
        <v>20</v>
      </c>
      <c r="C12216" s="1" t="str">
        <f t="shared" si="610"/>
        <v>4차</v>
      </c>
      <c r="D12216" s="1" t="str">
        <f>"9626X50344"</f>
        <v>9626X50344</v>
      </c>
      <c r="E12216" s="1" t="s">
        <v>14</v>
      </c>
      <c r="F12216" s="1" t="str">
        <f>"10.10.90.242"</f>
        <v>10.10.90.242</v>
      </c>
      <c r="G12216" s="1" t="str">
        <f>"9626X503"</f>
        <v>9626X503</v>
      </c>
      <c r="H12216" s="1" t="str">
        <f>"성산간 50"</f>
        <v>성산간 50</v>
      </c>
      <c r="I12216" s="1" t="s">
        <v>8</v>
      </c>
      <c r="J12216" s="1" t="str">
        <f>"0/0"</f>
        <v>0/0</v>
      </c>
      <c r="K12216" s="1" t="str">
        <f>"2024-07-10 20:03:31"</f>
        <v>2024-07-10 20:03:31</v>
      </c>
      <c r="L12216" s="1" t="str">
        <f>"2019-10-14 14:35:43"</f>
        <v>2019-10-14 14:35:43</v>
      </c>
      <c r="M12216" s="1" t="s">
        <v>1</v>
      </c>
      <c r="N12216" s="1" t="s">
        <v>44</v>
      </c>
      <c r="O12216" s="1" t="s">
        <v>44</v>
      </c>
    </row>
    <row r="12217" spans="2:15" x14ac:dyDescent="0.3">
      <c r="B12217" s="1" t="s">
        <v>20</v>
      </c>
      <c r="C12217" s="1" t="str">
        <f t="shared" si="610"/>
        <v>4차</v>
      </c>
      <c r="D12217" s="1" t="str">
        <f>"9626X81344"</f>
        <v>9626X81344</v>
      </c>
      <c r="E12217" s="1" t="s">
        <v>10</v>
      </c>
      <c r="F12217" s="1" t="str">
        <f>"10.10.75.114"</f>
        <v>10.10.75.114</v>
      </c>
      <c r="G12217" s="1" t="str">
        <f>"9626X813"</f>
        <v>9626X813</v>
      </c>
      <c r="H12217" s="1" t="str">
        <f>"동신지 19R18"</f>
        <v>동신지 19R18</v>
      </c>
      <c r="I12217" s="1" t="s">
        <v>8</v>
      </c>
      <c r="J12217" s="1" t="str">
        <f>"14/15"</f>
        <v>14/15</v>
      </c>
      <c r="K12217" s="1" t="str">
        <f>"2026-07-29 13:18:11"</f>
        <v>2026-07-29 13:18:11</v>
      </c>
      <c r="L12217" s="1" t="str">
        <f>"2019-12-11 17:53:33"</f>
        <v>2019-12-11 17:53:33</v>
      </c>
      <c r="M12217" s="1" t="s">
        <v>1</v>
      </c>
      <c r="N12217" s="1" t="s">
        <v>38</v>
      </c>
      <c r="O12217" s="1" t="s">
        <v>46</v>
      </c>
    </row>
    <row r="12218" spans="2:15" x14ac:dyDescent="0.3">
      <c r="B12218" s="1" t="s">
        <v>20</v>
      </c>
      <c r="C12218" s="1" t="str">
        <f t="shared" si="610"/>
        <v>4차</v>
      </c>
      <c r="D12218" s="1" t="str">
        <f>"9626X91244"</f>
        <v>9626X91244</v>
      </c>
      <c r="E12218" s="1" t="s">
        <v>10</v>
      </c>
      <c r="F12218" s="1" t="str">
        <f>"10.10.75.138"</f>
        <v>10.10.75.138</v>
      </c>
      <c r="G12218" s="1" t="str">
        <f>"9626X912"</f>
        <v>9626X912</v>
      </c>
      <c r="H12218" s="1" t="str">
        <f>"동신지 19R16"</f>
        <v>동신지 19R16</v>
      </c>
      <c r="I12218" s="1" t="s">
        <v>8</v>
      </c>
      <c r="J12218" s="1" t="str">
        <f>"29/37"</f>
        <v>29/37</v>
      </c>
      <c r="K12218" s="1" t="str">
        <f>"2026-07-29 13:18:11"</f>
        <v>2026-07-29 13:18:11</v>
      </c>
      <c r="L12218" s="1" t="str">
        <f>"2019-12-11 17:59:22"</f>
        <v>2019-12-11 17:59:22</v>
      </c>
      <c r="M12218" s="1" t="s">
        <v>1</v>
      </c>
      <c r="N12218" s="1" t="s">
        <v>38</v>
      </c>
      <c r="O12218" s="1" t="s">
        <v>46</v>
      </c>
    </row>
    <row r="12219" spans="2:15" x14ac:dyDescent="0.3">
      <c r="B12219" s="1" t="s">
        <v>20</v>
      </c>
      <c r="C12219" s="1" t="str">
        <f>"3차"</f>
        <v>3차</v>
      </c>
      <c r="D12219" s="1" t="str">
        <f>"9626Y05139"</f>
        <v>9626Y05139</v>
      </c>
      <c r="E12219" s="1" t="s">
        <v>10</v>
      </c>
      <c r="F12219" s="1" t="str">
        <f>"10.125.195.90"</f>
        <v>10.125.195.90</v>
      </c>
      <c r="G12219" s="1" t="str">
        <f>"9626Y051"</f>
        <v>9626Y051</v>
      </c>
      <c r="H12219" s="1" t="str">
        <f>"당인간 32R10R1"</f>
        <v>당인간 32R10R1</v>
      </c>
      <c r="I12219" s="1" t="s">
        <v>8</v>
      </c>
      <c r="J12219" s="1" t="str">
        <f>"39/39"</f>
        <v>39/39</v>
      </c>
      <c r="K12219" s="1" t="str">
        <f>"2026-07-29 13:18:11"</f>
        <v>2026-07-29 13:18:11</v>
      </c>
      <c r="L12219" s="1" t="str">
        <f>"2018-04-17 18:19:30"</f>
        <v>2018-04-17 18:19:30</v>
      </c>
      <c r="M12219" s="1" t="s">
        <v>45</v>
      </c>
      <c r="N12219" s="1" t="s">
        <v>38</v>
      </c>
      <c r="O12219" s="1" t="s">
        <v>46</v>
      </c>
    </row>
    <row r="12220" spans="2:15" x14ac:dyDescent="0.3">
      <c r="B12220" s="1" t="s">
        <v>20</v>
      </c>
      <c r="C12220" s="1" t="str">
        <f>"5-2차"</f>
        <v>5-2차</v>
      </c>
      <c r="D12220" s="1" t="str">
        <f>"9626Y0615M"</f>
        <v>9626Y0615M</v>
      </c>
      <c r="E12220" s="1" t="s">
        <v>10</v>
      </c>
      <c r="F12220" s="1" t="str">
        <f>"fde1:103:4:56b6:0:0:0:2"</f>
        <v>fde1:103:4:56b6:0:0:0:2</v>
      </c>
      <c r="G12220" s="1" t="str">
        <f>"9626Y061"</f>
        <v>9626Y061</v>
      </c>
      <c r="H12220" s="1" t="str">
        <f>"당인간 32R13"</f>
        <v>당인간 32R13</v>
      </c>
      <c r="I12220" s="1" t="s">
        <v>15</v>
      </c>
      <c r="J12220" s="1" t="str">
        <f>"71/71"</f>
        <v>71/71</v>
      </c>
      <c r="K12220" s="1" t="str">
        <f>"2026-07-29 14:21:01"</f>
        <v>2026-07-29 14:21:01</v>
      </c>
      <c r="L12220" s="1" t="str">
        <f>"2023-08-17 13:37:48"</f>
        <v>2023-08-17 13:37:48</v>
      </c>
      <c r="M12220" s="1" t="s">
        <v>4</v>
      </c>
      <c r="N12220" s="1" t="s">
        <v>38</v>
      </c>
      <c r="O12220" s="1" t="s">
        <v>46</v>
      </c>
    </row>
    <row r="12221" spans="2:15" x14ac:dyDescent="0.3">
      <c r="B12221" s="1" t="s">
        <v>20</v>
      </c>
      <c r="C12221" s="1" t="str">
        <f>"4차"</f>
        <v>4차</v>
      </c>
      <c r="D12221" s="1" t="str">
        <f>"9626Y13144"</f>
        <v>9626Y13144</v>
      </c>
      <c r="E12221" s="1" t="s">
        <v>10</v>
      </c>
      <c r="F12221" s="1" t="str">
        <f>"10.10.77.2"</f>
        <v>10.10.77.2</v>
      </c>
      <c r="G12221" s="1" t="str">
        <f>"9626Y131"</f>
        <v>9626Y131</v>
      </c>
      <c r="H12221" s="1" t="str">
        <f>"당인간 32R5L3"</f>
        <v>당인간 32R5L3</v>
      </c>
      <c r="I12221" s="1" t="s">
        <v>8</v>
      </c>
      <c r="J12221" s="1" t="str">
        <f>"25/25"</f>
        <v>25/25</v>
      </c>
      <c r="K12221" s="1" t="str">
        <f t="shared" ref="K12221:K12232" si="611">"2026-07-29 13:18:11"</f>
        <v>2026-07-29 13:18:11</v>
      </c>
      <c r="L12221" s="1" t="str">
        <f>"2019-10-29 15:23:04"</f>
        <v>2019-10-29 15:23:04</v>
      </c>
      <c r="M12221" s="1" t="s">
        <v>1</v>
      </c>
      <c r="N12221" s="1" t="s">
        <v>38</v>
      </c>
      <c r="O12221" s="1" t="s">
        <v>46</v>
      </c>
    </row>
    <row r="12222" spans="2:15" x14ac:dyDescent="0.3">
      <c r="B12222" s="1" t="s">
        <v>20</v>
      </c>
      <c r="C12222" s="1" t="str">
        <f>"4차"</f>
        <v>4차</v>
      </c>
      <c r="D12222" s="1" t="str">
        <f>"9626Y15144"</f>
        <v>9626Y15144</v>
      </c>
      <c r="E12222" s="1" t="s">
        <v>10</v>
      </c>
      <c r="F12222" s="1" t="str">
        <f>"10.10.74.186"</f>
        <v>10.10.74.186</v>
      </c>
      <c r="G12222" s="1" t="str">
        <f>"9626Y151"</f>
        <v>9626Y151</v>
      </c>
      <c r="H12222" s="1" t="str">
        <f>"당인간 32R10"</f>
        <v>당인간 32R10</v>
      </c>
      <c r="I12222" s="1" t="s">
        <v>8</v>
      </c>
      <c r="J12222" s="1" t="str">
        <f>"16/18"</f>
        <v>16/18</v>
      </c>
      <c r="K12222" s="1" t="str">
        <f t="shared" si="611"/>
        <v>2026-07-29 13:18:11</v>
      </c>
      <c r="L12222" s="1" t="str">
        <f>"2019-12-11 17:54:43"</f>
        <v>2019-12-11 17:54:43</v>
      </c>
      <c r="M12222" s="1" t="s">
        <v>1</v>
      </c>
      <c r="N12222" s="1" t="s">
        <v>38</v>
      </c>
      <c r="O12222" s="1" t="s">
        <v>46</v>
      </c>
    </row>
    <row r="12223" spans="2:15" x14ac:dyDescent="0.3">
      <c r="B12223" s="1" t="s">
        <v>20</v>
      </c>
      <c r="C12223" s="1" t="str">
        <f>"4차"</f>
        <v>4차</v>
      </c>
      <c r="D12223" s="1" t="str">
        <f>"9626Y24244"</f>
        <v>9626Y24244</v>
      </c>
      <c r="E12223" s="1" t="s">
        <v>10</v>
      </c>
      <c r="F12223" s="1" t="str">
        <f>"10.10.76.250"</f>
        <v>10.10.76.250</v>
      </c>
      <c r="G12223" s="1" t="str">
        <f>"9626Y242"</f>
        <v>9626Y242</v>
      </c>
      <c r="H12223" s="1" t="str">
        <f>"당인간 32R5L1"</f>
        <v>당인간 32R5L1</v>
      </c>
      <c r="I12223" s="1" t="s">
        <v>8</v>
      </c>
      <c r="J12223" s="1" t="str">
        <f>"35/35"</f>
        <v>35/35</v>
      </c>
      <c r="K12223" s="1" t="str">
        <f t="shared" si="611"/>
        <v>2026-07-29 13:18:11</v>
      </c>
      <c r="L12223" s="1" t="str">
        <f>"2019-10-28 17:05:22"</f>
        <v>2019-10-28 17:05:22</v>
      </c>
      <c r="M12223" s="1" t="s">
        <v>1</v>
      </c>
      <c r="N12223" s="1" t="s">
        <v>38</v>
      </c>
      <c r="O12223" s="1" t="s">
        <v>46</v>
      </c>
    </row>
    <row r="12224" spans="2:15" x14ac:dyDescent="0.3">
      <c r="B12224" s="1" t="s">
        <v>20</v>
      </c>
      <c r="C12224" s="1" t="str">
        <f>"4차"</f>
        <v>4차</v>
      </c>
      <c r="D12224" s="1" t="str">
        <f>"9626Y25144"</f>
        <v>9626Y25144</v>
      </c>
      <c r="E12224" s="1" t="s">
        <v>10</v>
      </c>
      <c r="F12224" s="1" t="str">
        <f>"10.10.78.194"</f>
        <v>10.10.78.194</v>
      </c>
      <c r="G12224" s="1" t="str">
        <f>"9626Y251"</f>
        <v>9626Y251</v>
      </c>
      <c r="H12224" s="1" t="str">
        <f>"당인간 32R6"</f>
        <v>당인간 32R6</v>
      </c>
      <c r="I12224" s="1" t="s">
        <v>8</v>
      </c>
      <c r="J12224" s="1" t="str">
        <f>"54/54"</f>
        <v>54/54</v>
      </c>
      <c r="K12224" s="1" t="str">
        <f t="shared" si="611"/>
        <v>2026-07-29 13:18:11</v>
      </c>
      <c r="L12224" s="1" t="str">
        <f>"2019-10-28 17:13:05"</f>
        <v>2019-10-28 17:13:05</v>
      </c>
      <c r="M12224" s="1" t="s">
        <v>1</v>
      </c>
      <c r="N12224" s="1" t="s">
        <v>38</v>
      </c>
      <c r="O12224" s="1" t="s">
        <v>46</v>
      </c>
    </row>
    <row r="12225" spans="2:15" x14ac:dyDescent="0.3">
      <c r="B12225" s="1" t="s">
        <v>20</v>
      </c>
      <c r="C12225" s="1" t="str">
        <f>"3차"</f>
        <v>3차</v>
      </c>
      <c r="D12225" s="1" t="str">
        <f>"9626Y26139"</f>
        <v>9626Y26139</v>
      </c>
      <c r="E12225" s="1" t="s">
        <v>10</v>
      </c>
      <c r="F12225" s="1" t="str">
        <f>"10.125.195.98"</f>
        <v>10.125.195.98</v>
      </c>
      <c r="G12225" s="1" t="str">
        <f>"9626Y261"</f>
        <v>9626Y261</v>
      </c>
      <c r="H12225" s="1" t="str">
        <f>"당인간 32R7"</f>
        <v>당인간 32R7</v>
      </c>
      <c r="I12225" s="1" t="s">
        <v>8</v>
      </c>
      <c r="J12225" s="1" t="str">
        <f>"44/44"</f>
        <v>44/44</v>
      </c>
      <c r="K12225" s="1" t="str">
        <f t="shared" si="611"/>
        <v>2026-07-29 13:18:11</v>
      </c>
      <c r="L12225" s="1" t="str">
        <f>"2018-04-17 18:33:00"</f>
        <v>2018-04-17 18:33:00</v>
      </c>
      <c r="M12225" s="1" t="s">
        <v>45</v>
      </c>
      <c r="N12225" s="1" t="s">
        <v>38</v>
      </c>
      <c r="O12225" s="1" t="s">
        <v>46</v>
      </c>
    </row>
    <row r="12226" spans="2:15" x14ac:dyDescent="0.3">
      <c r="B12226" s="1" t="s">
        <v>20</v>
      </c>
      <c r="C12226" s="1" t="str">
        <f t="shared" ref="C12226:C12232" si="612">"4차"</f>
        <v>4차</v>
      </c>
      <c r="D12226" s="1" t="str">
        <f>"9626Y26344"</f>
        <v>9626Y26344</v>
      </c>
      <c r="E12226" s="1" t="s">
        <v>10</v>
      </c>
      <c r="F12226" s="1" t="str">
        <f>"10.10.86.178"</f>
        <v>10.10.86.178</v>
      </c>
      <c r="G12226" s="1" t="str">
        <f>"9626Y263"</f>
        <v>9626Y263</v>
      </c>
      <c r="H12226" s="1" t="str">
        <f>"당인간 32R9"</f>
        <v>당인간 32R9</v>
      </c>
      <c r="I12226" s="1" t="s">
        <v>8</v>
      </c>
      <c r="J12226" s="1" t="str">
        <f>"47/48"</f>
        <v>47/48</v>
      </c>
      <c r="K12226" s="1" t="str">
        <f t="shared" si="611"/>
        <v>2026-07-29 13:18:11</v>
      </c>
      <c r="L12226" s="1" t="str">
        <f>"2019-12-11 17:52:17"</f>
        <v>2019-12-11 17:52:17</v>
      </c>
      <c r="M12226" s="1" t="s">
        <v>1</v>
      </c>
      <c r="N12226" s="1" t="s">
        <v>38</v>
      </c>
      <c r="O12226" s="1" t="s">
        <v>46</v>
      </c>
    </row>
    <row r="12227" spans="2:15" x14ac:dyDescent="0.3">
      <c r="B12227" s="1" t="s">
        <v>20</v>
      </c>
      <c r="C12227" s="1" t="str">
        <f t="shared" si="612"/>
        <v>4차</v>
      </c>
      <c r="D12227" s="1" t="str">
        <f>"9626Y26544"</f>
        <v>9626Y26544</v>
      </c>
      <c r="E12227" s="1" t="s">
        <v>10</v>
      </c>
      <c r="F12227" s="1" t="str">
        <f>"10.10.141.58"</f>
        <v>10.10.141.58</v>
      </c>
      <c r="G12227" s="1" t="str">
        <f>"9626Y265"</f>
        <v>9626Y265</v>
      </c>
      <c r="H12227" s="1" t="str">
        <f>"당인간 32R7R2"</f>
        <v>당인간 32R7R2</v>
      </c>
      <c r="I12227" s="1" t="s">
        <v>8</v>
      </c>
      <c r="J12227" s="1" t="str">
        <f>"10/10"</f>
        <v>10/10</v>
      </c>
      <c r="K12227" s="1" t="str">
        <f t="shared" si="611"/>
        <v>2026-07-29 13:18:11</v>
      </c>
      <c r="L12227" s="1" t="str">
        <f>"2019-12-11 18:12:48"</f>
        <v>2019-12-11 18:12:48</v>
      </c>
      <c r="M12227" s="1" t="s">
        <v>1</v>
      </c>
      <c r="N12227" s="1" t="s">
        <v>38</v>
      </c>
      <c r="O12227" s="1" t="s">
        <v>46</v>
      </c>
    </row>
    <row r="12228" spans="2:15" x14ac:dyDescent="0.3">
      <c r="B12228" s="1" t="s">
        <v>20</v>
      </c>
      <c r="C12228" s="1" t="str">
        <f t="shared" si="612"/>
        <v>4차</v>
      </c>
      <c r="D12228" s="1" t="str">
        <f>"9626Y34144"</f>
        <v>9626Y34144</v>
      </c>
      <c r="E12228" s="1" t="s">
        <v>10</v>
      </c>
      <c r="F12228" s="1" t="str">
        <f>"10.10.76.218"</f>
        <v>10.10.76.218</v>
      </c>
      <c r="G12228" s="1" t="str">
        <f>"9626Y341"</f>
        <v>9626Y341</v>
      </c>
      <c r="H12228" s="1" t="str">
        <f>"당인간 32R5"</f>
        <v>당인간 32R5</v>
      </c>
      <c r="I12228" s="1" t="s">
        <v>8</v>
      </c>
      <c r="J12228" s="1" t="str">
        <f>"26/26"</f>
        <v>26/26</v>
      </c>
      <c r="K12228" s="1" t="str">
        <f t="shared" si="611"/>
        <v>2026-07-29 13:18:11</v>
      </c>
      <c r="L12228" s="1" t="str">
        <f>"2019-10-28 16:50:21"</f>
        <v>2019-10-28 16:50:21</v>
      </c>
      <c r="M12228" s="1" t="s">
        <v>1</v>
      </c>
      <c r="N12228" s="1" t="s">
        <v>38</v>
      </c>
      <c r="O12228" s="1" t="s">
        <v>46</v>
      </c>
    </row>
    <row r="12229" spans="2:15" x14ac:dyDescent="0.3">
      <c r="B12229" s="1" t="s">
        <v>20</v>
      </c>
      <c r="C12229" s="1" t="str">
        <f t="shared" si="612"/>
        <v>4차</v>
      </c>
      <c r="D12229" s="1" t="str">
        <f>"9626Y34244"</f>
        <v>9626Y34244</v>
      </c>
      <c r="E12229" s="1" t="s">
        <v>10</v>
      </c>
      <c r="F12229" s="1" t="str">
        <f>"10.10.76.194"</f>
        <v>10.10.76.194</v>
      </c>
      <c r="G12229" s="1" t="str">
        <f>"9626Y342"</f>
        <v>9626Y342</v>
      </c>
      <c r="H12229" s="1" t="str">
        <f>"당인간 32R4"</f>
        <v>당인간 32R4</v>
      </c>
      <c r="I12229" s="1" t="s">
        <v>8</v>
      </c>
      <c r="J12229" s="1" t="str">
        <f>"34/35"</f>
        <v>34/35</v>
      </c>
      <c r="K12229" s="1" t="str">
        <f t="shared" si="611"/>
        <v>2026-07-29 13:18:11</v>
      </c>
      <c r="L12229" s="1" t="str">
        <f>"2019-10-28 17:13:51"</f>
        <v>2019-10-28 17:13:51</v>
      </c>
      <c r="M12229" s="1" t="s">
        <v>1</v>
      </c>
      <c r="N12229" s="1" t="s">
        <v>38</v>
      </c>
      <c r="O12229" s="1" t="s">
        <v>46</v>
      </c>
    </row>
    <row r="12230" spans="2:15" x14ac:dyDescent="0.3">
      <c r="B12230" s="1" t="s">
        <v>20</v>
      </c>
      <c r="C12230" s="1" t="str">
        <f t="shared" si="612"/>
        <v>4차</v>
      </c>
      <c r="D12230" s="1" t="str">
        <f>"9626Y35144"</f>
        <v>9626Y35144</v>
      </c>
      <c r="E12230" s="1" t="s">
        <v>10</v>
      </c>
      <c r="F12230" s="1" t="str">
        <f>"10.10.27.218"</f>
        <v>10.10.27.218</v>
      </c>
      <c r="G12230" s="1" t="str">
        <f>"9626Y351"</f>
        <v>9626Y351</v>
      </c>
      <c r="H12230" s="1" t="str">
        <f>"당인간 32R7R1R1"</f>
        <v>당인간 32R7R1R1</v>
      </c>
      <c r="I12230" s="1" t="s">
        <v>8</v>
      </c>
      <c r="J12230" s="1" t="str">
        <f>"15/15"</f>
        <v>15/15</v>
      </c>
      <c r="K12230" s="1" t="str">
        <f t="shared" si="611"/>
        <v>2026-07-29 13:18:11</v>
      </c>
      <c r="L12230" s="1" t="str">
        <f>"2019-12-11 17:54:47"</f>
        <v>2019-12-11 17:54:47</v>
      </c>
      <c r="M12230" s="1" t="s">
        <v>1</v>
      </c>
      <c r="N12230" s="1" t="s">
        <v>38</v>
      </c>
      <c r="O12230" s="1" t="s">
        <v>46</v>
      </c>
    </row>
    <row r="12231" spans="2:15" x14ac:dyDescent="0.3">
      <c r="B12231" s="1" t="s">
        <v>20</v>
      </c>
      <c r="C12231" s="1" t="str">
        <f t="shared" si="612"/>
        <v>4차</v>
      </c>
      <c r="D12231" s="1" t="str">
        <f>"9626Y43144"</f>
        <v>9626Y43144</v>
      </c>
      <c r="E12231" s="1" t="s">
        <v>10</v>
      </c>
      <c r="F12231" s="1" t="str">
        <f>"10.10.27.154"</f>
        <v>10.10.27.154</v>
      </c>
      <c r="G12231" s="1" t="str">
        <f>"9626Y431"</f>
        <v>9626Y431</v>
      </c>
      <c r="H12231" s="1" t="str">
        <f>"당인간 32R3"</f>
        <v>당인간 32R3</v>
      </c>
      <c r="I12231" s="1" t="s">
        <v>8</v>
      </c>
      <c r="J12231" s="1" t="str">
        <f>"11/11"</f>
        <v>11/11</v>
      </c>
      <c r="K12231" s="1" t="str">
        <f t="shared" si="611"/>
        <v>2026-07-29 13:18:11</v>
      </c>
      <c r="L12231" s="1" t="str">
        <f>"2019-10-28 17:13:05"</f>
        <v>2019-10-28 17:13:05</v>
      </c>
      <c r="M12231" s="1" t="s">
        <v>1</v>
      </c>
      <c r="N12231" s="1" t="s">
        <v>38</v>
      </c>
      <c r="O12231" s="1" t="s">
        <v>46</v>
      </c>
    </row>
    <row r="12232" spans="2:15" x14ac:dyDescent="0.3">
      <c r="B12232" s="1" t="s">
        <v>20</v>
      </c>
      <c r="C12232" s="1" t="str">
        <f t="shared" si="612"/>
        <v>4차</v>
      </c>
      <c r="D12232" s="1" t="str">
        <f>"9626Y44244"</f>
        <v>9626Y44244</v>
      </c>
      <c r="E12232" s="1" t="s">
        <v>10</v>
      </c>
      <c r="F12232" s="1" t="str">
        <f>"10.10.76.186"</f>
        <v>10.10.76.186</v>
      </c>
      <c r="G12232" s="1" t="str">
        <f>"9626Y442"</f>
        <v>9626Y442</v>
      </c>
      <c r="H12232" s="1" t="str">
        <f>"당인간 32R2"</f>
        <v>당인간 32R2</v>
      </c>
      <c r="I12232" s="1" t="s">
        <v>8</v>
      </c>
      <c r="J12232" s="1" t="str">
        <f>"29/29"</f>
        <v>29/29</v>
      </c>
      <c r="K12232" s="1" t="str">
        <f t="shared" si="611"/>
        <v>2026-07-29 13:18:11</v>
      </c>
      <c r="L12232" s="1" t="str">
        <f>"2019-10-28 17:13:05"</f>
        <v>2019-10-28 17:13:05</v>
      </c>
      <c r="M12232" s="1" t="s">
        <v>1</v>
      </c>
      <c r="N12232" s="1" t="s">
        <v>38</v>
      </c>
      <c r="O12232" s="1" t="s">
        <v>46</v>
      </c>
    </row>
    <row r="12233" spans="2:15" x14ac:dyDescent="0.3">
      <c r="B12233" s="1" t="s">
        <v>20</v>
      </c>
      <c r="C12233" s="1" t="str">
        <f>"1차"</f>
        <v>1차</v>
      </c>
      <c r="D12233" s="1" t="str">
        <f>"9626Y48101"</f>
        <v>9626Y48101</v>
      </c>
      <c r="E12233" s="1" t="s">
        <v>10</v>
      </c>
      <c r="F12233" s="1" t="str">
        <f>"10.125.192.195"</f>
        <v>10.125.192.195</v>
      </c>
      <c r="G12233" s="1" t="str">
        <f>"9626Y481"</f>
        <v>9626Y481</v>
      </c>
      <c r="H12233" s="1" t="str">
        <f>"당인간 33AL3L3"</f>
        <v>당인간 33AL3L3</v>
      </c>
      <c r="I12233" s="1" t="s">
        <v>8</v>
      </c>
      <c r="J12233" s="1" t="str">
        <f>"27/27"</f>
        <v>27/27</v>
      </c>
      <c r="K12233" s="1" t="str">
        <f>"2026-07-29 13:18:10"</f>
        <v>2026-07-29 13:18:10</v>
      </c>
      <c r="L12233" s="1" t="str">
        <f>"2014-12-01 15:41:20"</f>
        <v>2014-12-01 15:41:20</v>
      </c>
      <c r="M12233" s="1" t="s">
        <v>45</v>
      </c>
      <c r="N12233" s="1" t="s">
        <v>38</v>
      </c>
      <c r="O12233" s="1" t="s">
        <v>46</v>
      </c>
    </row>
    <row r="12234" spans="2:15" x14ac:dyDescent="0.3">
      <c r="B12234" s="1" t="s">
        <v>20</v>
      </c>
      <c r="C12234" s="1" t="str">
        <f>"4차"</f>
        <v>4차</v>
      </c>
      <c r="D12234" s="1" t="str">
        <f>"9626Y56144"</f>
        <v>9626Y56144</v>
      </c>
      <c r="E12234" s="1" t="s">
        <v>10</v>
      </c>
      <c r="F12234" s="1" t="str">
        <f>"10.10.86.194"</f>
        <v>10.10.86.194</v>
      </c>
      <c r="G12234" s="1" t="str">
        <f>"9626Y561"</f>
        <v>9626Y561</v>
      </c>
      <c r="H12234" s="1" t="str">
        <f>"당인간 33AL3"</f>
        <v>당인간 33AL3</v>
      </c>
      <c r="I12234" s="1" t="s">
        <v>8</v>
      </c>
      <c r="J12234" s="1" t="str">
        <f>"50/50"</f>
        <v>50/50</v>
      </c>
      <c r="K12234" s="1" t="str">
        <f>"2026-07-29 13:18:11"</f>
        <v>2026-07-29 13:18:11</v>
      </c>
      <c r="L12234" s="1" t="str">
        <f>"2019-10-28 17:11:05"</f>
        <v>2019-10-28 17:11:05</v>
      </c>
      <c r="M12234" s="1" t="s">
        <v>1</v>
      </c>
      <c r="N12234" s="1" t="s">
        <v>38</v>
      </c>
      <c r="O12234" s="1" t="s">
        <v>46</v>
      </c>
    </row>
    <row r="12235" spans="2:15" x14ac:dyDescent="0.3">
      <c r="B12235" s="1" t="s">
        <v>20</v>
      </c>
      <c r="C12235" s="1" t="str">
        <f>"6차"</f>
        <v>6차</v>
      </c>
      <c r="D12235" s="1" t="str">
        <f>"9626Y5716S"</f>
        <v>9626Y5716S</v>
      </c>
      <c r="E12235" s="1" t="s">
        <v>10</v>
      </c>
      <c r="F12235" s="1" t="str">
        <f>"fde1:103:4:921d:0:0:0:2"</f>
        <v>fde1:103:4:921d:0:0:0:2</v>
      </c>
      <c r="G12235" s="1" t="str">
        <f>"9626Y571"</f>
        <v>9626Y571</v>
      </c>
      <c r="H12235" s="1" t="str">
        <f>"당인간 33AL3L1"</f>
        <v>당인간 33AL3L1</v>
      </c>
      <c r="I12235" s="1" t="s">
        <v>15</v>
      </c>
      <c r="J12235" s="1" t="str">
        <f>"12/22"</f>
        <v>12/22</v>
      </c>
      <c r="K12235" s="1" t="str">
        <f>"2026-07-29 14:21:44"</f>
        <v>2026-07-29 14:21:44</v>
      </c>
      <c r="L12235" s="1" t="str">
        <f>"2025-02-20 17:36:26"</f>
        <v>2025-02-20 17:36:26</v>
      </c>
      <c r="M12235" s="1" t="s">
        <v>4</v>
      </c>
      <c r="N12235" s="1" t="s">
        <v>38</v>
      </c>
      <c r="O12235" s="1" t="s">
        <v>46</v>
      </c>
    </row>
    <row r="12236" spans="2:15" x14ac:dyDescent="0.3">
      <c r="B12236" s="1" t="s">
        <v>20</v>
      </c>
      <c r="C12236" s="1" t="str">
        <f>"1차"</f>
        <v>1차</v>
      </c>
      <c r="D12236" s="1" t="str">
        <f>"9626Y57200"</f>
        <v>9626Y57200</v>
      </c>
      <c r="E12236" s="1" t="s">
        <v>10</v>
      </c>
      <c r="F12236" s="1" t="str">
        <f>"10.125.192.194"</f>
        <v>10.125.192.194</v>
      </c>
      <c r="G12236" s="1" t="str">
        <f>"9626Y572"</f>
        <v>9626Y572</v>
      </c>
      <c r="H12236" s="1" t="str">
        <f>"당인간 33AL3L2"</f>
        <v>당인간 33AL3L2</v>
      </c>
      <c r="I12236" s="1" t="s">
        <v>8</v>
      </c>
      <c r="J12236" s="1" t="str">
        <f>"20/20"</f>
        <v>20/20</v>
      </c>
      <c r="K12236" s="1" t="str">
        <f>"2026-07-29 13:18:11"</f>
        <v>2026-07-29 13:18:11</v>
      </c>
      <c r="L12236" s="1" t="str">
        <f>"2014-12-01 15:41:39"</f>
        <v>2014-12-01 15:41:39</v>
      </c>
      <c r="M12236" s="1" t="s">
        <v>45</v>
      </c>
      <c r="N12236" s="1" t="s">
        <v>38</v>
      </c>
      <c r="O12236" s="1" t="s">
        <v>46</v>
      </c>
    </row>
    <row r="12237" spans="2:15" x14ac:dyDescent="0.3">
      <c r="B12237" s="1" t="s">
        <v>20</v>
      </c>
      <c r="C12237" s="1" t="str">
        <f>"5-1차"</f>
        <v>5-1차</v>
      </c>
      <c r="D12237" s="1" t="str">
        <f>"9626Y5915M"</f>
        <v>9626Y5915M</v>
      </c>
      <c r="E12237" s="1" t="s">
        <v>10</v>
      </c>
      <c r="F12237" s="1" t="str">
        <f>"fde3:102:1300:3000:0:0:0:2"</f>
        <v>fde3:102:1300:3000:0:0:0:2</v>
      </c>
      <c r="G12237" s="1" t="str">
        <f>"9626Y591"</f>
        <v>9626Y591</v>
      </c>
      <c r="H12237" s="1" t="str">
        <f>"당인간 33AL10"</f>
        <v>당인간 33AL10</v>
      </c>
      <c r="I12237" s="1" t="s">
        <v>15</v>
      </c>
      <c r="J12237" s="1" t="str">
        <f>"43/43"</f>
        <v>43/43</v>
      </c>
      <c r="K12237" s="1" t="str">
        <f>"2026-07-29 14:21:45"</f>
        <v>2026-07-29 14:21:45</v>
      </c>
      <c r="L12237" s="1" t="str">
        <f>"2022-12-01 14:44:15"</f>
        <v>2022-12-01 14:44:15</v>
      </c>
      <c r="M12237" s="1" t="s">
        <v>45</v>
      </c>
      <c r="N12237" s="1" t="s">
        <v>38</v>
      </c>
      <c r="O12237" s="1" t="s">
        <v>46</v>
      </c>
    </row>
    <row r="12238" spans="2:15" x14ac:dyDescent="0.3">
      <c r="B12238" s="1" t="s">
        <v>20</v>
      </c>
      <c r="C12238" s="1" t="str">
        <f>"3차"</f>
        <v>3차</v>
      </c>
      <c r="D12238" s="1" t="str">
        <f>"9626Y65139"</f>
        <v>9626Y65139</v>
      </c>
      <c r="E12238" s="1" t="s">
        <v>10</v>
      </c>
      <c r="F12238" s="1" t="str">
        <f>"10.11.110.18"</f>
        <v>10.11.110.18</v>
      </c>
      <c r="G12238" s="1" t="str">
        <f>"9626Y651"</f>
        <v>9626Y651</v>
      </c>
      <c r="H12238" s="1" t="str">
        <f>"당인간 33L2"</f>
        <v>당인간 33L2</v>
      </c>
      <c r="I12238" s="1" t="s">
        <v>8</v>
      </c>
      <c r="J12238" s="1" t="str">
        <f>"58/58"</f>
        <v>58/58</v>
      </c>
      <c r="K12238" s="1" t="str">
        <f>"2026-07-29 13:18:11"</f>
        <v>2026-07-29 13:18:11</v>
      </c>
      <c r="L12238" s="1" t="str">
        <f>"2018-04-17 18:27:15"</f>
        <v>2018-04-17 18:27:15</v>
      </c>
      <c r="M12238" s="1" t="s">
        <v>2</v>
      </c>
      <c r="N12238" s="1" t="s">
        <v>38</v>
      </c>
      <c r="O12238" s="1" t="s">
        <v>46</v>
      </c>
    </row>
    <row r="12239" spans="2:15" x14ac:dyDescent="0.3">
      <c r="B12239" s="1" t="s">
        <v>20</v>
      </c>
      <c r="C12239" s="1" t="str">
        <f>"4차"</f>
        <v>4차</v>
      </c>
      <c r="D12239" s="1" t="str">
        <f>"9626Y66144"</f>
        <v>9626Y66144</v>
      </c>
      <c r="E12239" s="1" t="s">
        <v>10</v>
      </c>
      <c r="F12239" s="1" t="str">
        <f>"10.10.87.74"</f>
        <v>10.10.87.74</v>
      </c>
      <c r="G12239" s="1" t="str">
        <f>"9626Y661"</f>
        <v>9626Y661</v>
      </c>
      <c r="H12239" s="1" t="str">
        <f>"당인간 33AL6R2"</f>
        <v>당인간 33AL6R2</v>
      </c>
      <c r="I12239" s="1" t="s">
        <v>8</v>
      </c>
      <c r="J12239" s="1" t="str">
        <f>"89/89"</f>
        <v>89/89</v>
      </c>
      <c r="K12239" s="1" t="str">
        <f>"2026-07-29 13:18:11"</f>
        <v>2026-07-29 13:18:11</v>
      </c>
      <c r="L12239" s="1" t="str">
        <f>"2019-11-14 12:45:57"</f>
        <v>2019-11-14 12:45:57</v>
      </c>
      <c r="M12239" s="1" t="s">
        <v>1</v>
      </c>
      <c r="N12239" s="1" t="s">
        <v>38</v>
      </c>
      <c r="O12239" s="1" t="s">
        <v>46</v>
      </c>
    </row>
    <row r="12240" spans="2:15" x14ac:dyDescent="0.3">
      <c r="B12240" s="1" t="s">
        <v>20</v>
      </c>
      <c r="C12240" s="1" t="str">
        <f>"4차"</f>
        <v>4차</v>
      </c>
      <c r="D12240" s="1" t="str">
        <f>"9626Y67244"</f>
        <v>9626Y67244</v>
      </c>
      <c r="E12240" s="1" t="s">
        <v>10</v>
      </c>
      <c r="F12240" s="1" t="str">
        <f>"10.10.86.242"</f>
        <v>10.10.86.242</v>
      </c>
      <c r="G12240" s="1" t="str">
        <f>"9626Y672"</f>
        <v>9626Y672</v>
      </c>
      <c r="H12240" s="1" t="str">
        <f>"당인간 33AL5"</f>
        <v>당인간 33AL5</v>
      </c>
      <c r="I12240" s="1" t="s">
        <v>8</v>
      </c>
      <c r="J12240" s="1" t="str">
        <f>"77/77"</f>
        <v>77/77</v>
      </c>
      <c r="K12240" s="1" t="str">
        <f>"2026-07-29 13:18:11"</f>
        <v>2026-07-29 13:18:11</v>
      </c>
      <c r="L12240" s="1" t="str">
        <f>"2019-10-28 17:23:53"</f>
        <v>2019-10-28 17:23:53</v>
      </c>
      <c r="M12240" s="1" t="s">
        <v>1</v>
      </c>
      <c r="N12240" s="1" t="s">
        <v>38</v>
      </c>
      <c r="O12240" s="1" t="s">
        <v>46</v>
      </c>
    </row>
    <row r="12241" spans="2:15" x14ac:dyDescent="0.3">
      <c r="B12241" s="1" t="s">
        <v>20</v>
      </c>
      <c r="C12241" s="1" t="str">
        <f>"5-2차"</f>
        <v>5-2차</v>
      </c>
      <c r="D12241" s="1" t="str">
        <f>"9626Y6915M"</f>
        <v>9626Y6915M</v>
      </c>
      <c r="E12241" s="1" t="s">
        <v>10</v>
      </c>
      <c r="F12241" s="1" t="str">
        <f>"fde1:103:4:56a6:0:0:0:2"</f>
        <v>fde1:103:4:56a6:0:0:0:2</v>
      </c>
      <c r="G12241" s="1" t="str">
        <f>"9626Y691"</f>
        <v>9626Y691</v>
      </c>
      <c r="H12241" s="1" t="str">
        <f>"당인간 33AL8"</f>
        <v>당인간 33AL8</v>
      </c>
      <c r="I12241" s="1" t="s">
        <v>15</v>
      </c>
      <c r="J12241" s="1" t="str">
        <f>"61/61"</f>
        <v>61/61</v>
      </c>
      <c r="K12241" s="1" t="str">
        <f>"2026-07-29 14:21:02"</f>
        <v>2026-07-29 14:21:02</v>
      </c>
      <c r="L12241" s="1" t="str">
        <f>"2023-08-17 13:38:23"</f>
        <v>2023-08-17 13:38:23</v>
      </c>
      <c r="M12241" s="1" t="s">
        <v>4</v>
      </c>
      <c r="N12241" s="1" t="s">
        <v>38</v>
      </c>
      <c r="O12241" s="1" t="s">
        <v>46</v>
      </c>
    </row>
    <row r="12242" spans="2:15" x14ac:dyDescent="0.3">
      <c r="B12242" s="1" t="s">
        <v>20</v>
      </c>
      <c r="C12242" s="1" t="str">
        <f>"1차"</f>
        <v>1차</v>
      </c>
      <c r="D12242" s="1" t="str">
        <f>"9626Y69300"</f>
        <v>9626Y69300</v>
      </c>
      <c r="E12242" s="1" t="s">
        <v>10</v>
      </c>
      <c r="F12242" s="1" t="str">
        <f>"10.125.192.210"</f>
        <v>10.125.192.210</v>
      </c>
      <c r="G12242" s="1" t="str">
        <f>"9626Y693"</f>
        <v>9626Y693</v>
      </c>
      <c r="H12242" s="1" t="str">
        <f>"당인간 33AL7L1"</f>
        <v>당인간 33AL7L1</v>
      </c>
      <c r="I12242" s="1" t="s">
        <v>8</v>
      </c>
      <c r="J12242" s="1" t="str">
        <f>"39/40"</f>
        <v>39/40</v>
      </c>
      <c r="K12242" s="1" t="str">
        <f t="shared" ref="K12242:K12249" si="613">"2026-07-29 13:18:11"</f>
        <v>2026-07-29 13:18:11</v>
      </c>
      <c r="L12242" s="1" t="str">
        <f>"2014-12-22 13:43:47"</f>
        <v>2014-12-22 13:43:47</v>
      </c>
      <c r="M12242" s="1" t="s">
        <v>45</v>
      </c>
      <c r="N12242" s="1" t="s">
        <v>38</v>
      </c>
      <c r="O12242" s="1" t="s">
        <v>46</v>
      </c>
    </row>
    <row r="12243" spans="2:15" x14ac:dyDescent="0.3">
      <c r="B12243" s="1" t="s">
        <v>20</v>
      </c>
      <c r="C12243" s="1" t="str">
        <f t="shared" ref="C12243:C12253" si="614">"4차"</f>
        <v>4차</v>
      </c>
      <c r="D12243" s="1" t="str">
        <f>"9626Y72344"</f>
        <v>9626Y72344</v>
      </c>
      <c r="E12243" s="1" t="s">
        <v>10</v>
      </c>
      <c r="F12243" s="1" t="str">
        <f>"10.10.74.162"</f>
        <v>10.10.74.162</v>
      </c>
      <c r="G12243" s="1" t="str">
        <f>"9626Y723"</f>
        <v>9626Y723</v>
      </c>
      <c r="H12243" s="1" t="str">
        <f>"당인간 32AR4"</f>
        <v>당인간 32AR4</v>
      </c>
      <c r="I12243" s="1" t="s">
        <v>8</v>
      </c>
      <c r="J12243" s="1" t="str">
        <f>"12/12"</f>
        <v>12/12</v>
      </c>
      <c r="K12243" s="1" t="str">
        <f t="shared" si="613"/>
        <v>2026-07-29 13:18:11</v>
      </c>
      <c r="L12243" s="1" t="str">
        <f>"2019-12-11 17:45:35"</f>
        <v>2019-12-11 17:45:35</v>
      </c>
      <c r="M12243" s="1" t="s">
        <v>1</v>
      </c>
      <c r="N12243" s="1" t="s">
        <v>38</v>
      </c>
      <c r="O12243" s="1" t="s">
        <v>46</v>
      </c>
    </row>
    <row r="12244" spans="2:15" x14ac:dyDescent="0.3">
      <c r="B12244" s="1" t="s">
        <v>20</v>
      </c>
      <c r="C12244" s="1" t="str">
        <f t="shared" si="614"/>
        <v>4차</v>
      </c>
      <c r="D12244" s="1" t="str">
        <f>"9626Y74344"</f>
        <v>9626Y74344</v>
      </c>
      <c r="E12244" s="1" t="s">
        <v>10</v>
      </c>
      <c r="F12244" s="1" t="str">
        <f>"10.10.95.98"</f>
        <v>10.10.95.98</v>
      </c>
      <c r="G12244" s="1" t="str">
        <f>"9626Y743"</f>
        <v>9626Y743</v>
      </c>
      <c r="H12244" s="1" t="str">
        <f>"당인간 42L6L3"</f>
        <v>당인간 42L6L3</v>
      </c>
      <c r="I12244" s="1" t="s">
        <v>8</v>
      </c>
      <c r="J12244" s="1" t="str">
        <f>"71/71"</f>
        <v>71/71</v>
      </c>
      <c r="K12244" s="1" t="str">
        <f t="shared" si="613"/>
        <v>2026-07-29 13:18:11</v>
      </c>
      <c r="L12244" s="1" t="str">
        <f>"2019-12-11 17:48:18"</f>
        <v>2019-12-11 17:48:18</v>
      </c>
      <c r="M12244" s="1" t="s">
        <v>1</v>
      </c>
      <c r="N12244" s="1" t="s">
        <v>38</v>
      </c>
      <c r="O12244" s="1" t="s">
        <v>46</v>
      </c>
    </row>
    <row r="12245" spans="2:15" x14ac:dyDescent="0.3">
      <c r="B12245" s="1" t="s">
        <v>20</v>
      </c>
      <c r="C12245" s="1" t="str">
        <f t="shared" si="614"/>
        <v>4차</v>
      </c>
      <c r="D12245" s="1" t="str">
        <f>"9626Y75144"</f>
        <v>9626Y75144</v>
      </c>
      <c r="E12245" s="1" t="s">
        <v>10</v>
      </c>
      <c r="F12245" s="1" t="str">
        <f>"10.10.90.122"</f>
        <v>10.10.90.122</v>
      </c>
      <c r="G12245" s="1" t="str">
        <f>"9626Y751"</f>
        <v>9626Y751</v>
      </c>
      <c r="H12245" s="1" t="str">
        <f>"당인간 33L3"</f>
        <v>당인간 33L3</v>
      </c>
      <c r="I12245" s="1" t="s">
        <v>8</v>
      </c>
      <c r="J12245" s="1" t="str">
        <f>"56/60"</f>
        <v>56/60</v>
      </c>
      <c r="K12245" s="1" t="str">
        <f t="shared" si="613"/>
        <v>2026-07-29 13:18:11</v>
      </c>
      <c r="L12245" s="1" t="str">
        <f>"2019-11-14 12:53:04"</f>
        <v>2019-11-14 12:53:04</v>
      </c>
      <c r="M12245" s="1" t="s">
        <v>1</v>
      </c>
      <c r="N12245" s="1" t="s">
        <v>38</v>
      </c>
      <c r="O12245" s="1" t="s">
        <v>46</v>
      </c>
    </row>
    <row r="12246" spans="2:15" x14ac:dyDescent="0.3">
      <c r="B12246" s="1" t="s">
        <v>20</v>
      </c>
      <c r="C12246" s="1" t="str">
        <f t="shared" si="614"/>
        <v>4차</v>
      </c>
      <c r="D12246" s="1" t="str">
        <f>"9626Y79244"</f>
        <v>9626Y79244</v>
      </c>
      <c r="E12246" s="1" t="s">
        <v>10</v>
      </c>
      <c r="F12246" s="1" t="str">
        <f>"10.10.87.114"</f>
        <v>10.10.87.114</v>
      </c>
      <c r="G12246" s="1" t="str">
        <f>"9626Y792"</f>
        <v>9626Y792</v>
      </c>
      <c r="H12246" s="1" t="str">
        <f>"당인간 33AL7R1"</f>
        <v>당인간 33AL7R1</v>
      </c>
      <c r="I12246" s="1" t="s">
        <v>8</v>
      </c>
      <c r="J12246" s="1" t="str">
        <f>"8/8"</f>
        <v>8/8</v>
      </c>
      <c r="K12246" s="1" t="str">
        <f t="shared" si="613"/>
        <v>2026-07-29 13:18:11</v>
      </c>
      <c r="L12246" s="1" t="str">
        <f>"2019-11-14 12:36:54"</f>
        <v>2019-11-14 12:36:54</v>
      </c>
      <c r="M12246" s="1" t="s">
        <v>1</v>
      </c>
      <c r="N12246" s="1" t="s">
        <v>38</v>
      </c>
      <c r="O12246" s="1" t="s">
        <v>46</v>
      </c>
    </row>
    <row r="12247" spans="2:15" x14ac:dyDescent="0.3">
      <c r="B12247" s="1" t="s">
        <v>20</v>
      </c>
      <c r="C12247" s="1" t="str">
        <f t="shared" si="614"/>
        <v>4차</v>
      </c>
      <c r="D12247" s="1" t="str">
        <f>"9626Y83144"</f>
        <v>9626Y83144</v>
      </c>
      <c r="E12247" s="1" t="s">
        <v>10</v>
      </c>
      <c r="F12247" s="1" t="str">
        <f>"10.10.95.106"</f>
        <v>10.10.95.106</v>
      </c>
      <c r="G12247" s="1" t="str">
        <f>"9626Y831"</f>
        <v>9626Y831</v>
      </c>
      <c r="H12247" s="1" t="str">
        <f>"당인간 42L6L1"</f>
        <v>당인간 42L6L1</v>
      </c>
      <c r="I12247" s="1" t="s">
        <v>8</v>
      </c>
      <c r="J12247" s="1" t="str">
        <f>"23/23"</f>
        <v>23/23</v>
      </c>
      <c r="K12247" s="1" t="str">
        <f t="shared" si="613"/>
        <v>2026-07-29 13:18:11</v>
      </c>
      <c r="L12247" s="1" t="str">
        <f>"2019-11-14 13:14:50"</f>
        <v>2019-11-14 13:14:50</v>
      </c>
      <c r="M12247" s="1" t="s">
        <v>1</v>
      </c>
      <c r="N12247" s="1" t="s">
        <v>38</v>
      </c>
      <c r="O12247" s="1" t="s">
        <v>46</v>
      </c>
    </row>
    <row r="12248" spans="2:15" x14ac:dyDescent="0.3">
      <c r="B12248" s="1" t="s">
        <v>20</v>
      </c>
      <c r="C12248" s="1" t="str">
        <f t="shared" si="614"/>
        <v>4차</v>
      </c>
      <c r="D12248" s="1" t="str">
        <f>"9626Y85144"</f>
        <v>9626Y85144</v>
      </c>
      <c r="E12248" s="1" t="s">
        <v>10</v>
      </c>
      <c r="F12248" s="1" t="str">
        <f>"10.10.92.122"</f>
        <v>10.10.92.122</v>
      </c>
      <c r="G12248" s="1" t="str">
        <f>"9626Y851"</f>
        <v>9626Y851</v>
      </c>
      <c r="H12248" s="1" t="str">
        <f>"당인간 33L4R1"</f>
        <v>당인간 33L4R1</v>
      </c>
      <c r="I12248" s="1" t="s">
        <v>8</v>
      </c>
      <c r="J12248" s="1" t="str">
        <f>"46/50"</f>
        <v>46/50</v>
      </c>
      <c r="K12248" s="1" t="str">
        <f t="shared" si="613"/>
        <v>2026-07-29 13:18:11</v>
      </c>
      <c r="L12248" s="1" t="str">
        <f>"2019-12-24 16:41:46"</f>
        <v>2019-12-24 16:41:46</v>
      </c>
      <c r="M12248" s="1" t="s">
        <v>1</v>
      </c>
      <c r="N12248" s="1" t="s">
        <v>38</v>
      </c>
      <c r="O12248" s="1" t="s">
        <v>46</v>
      </c>
    </row>
    <row r="12249" spans="2:15" x14ac:dyDescent="0.3">
      <c r="B12249" s="1" t="s">
        <v>20</v>
      </c>
      <c r="C12249" s="1" t="str">
        <f t="shared" si="614"/>
        <v>4차</v>
      </c>
      <c r="D12249" s="1" t="str">
        <f>"9626Y86244"</f>
        <v>9626Y86244</v>
      </c>
      <c r="E12249" s="1" t="s">
        <v>10</v>
      </c>
      <c r="F12249" s="1" t="str">
        <f>"10.10.30.146"</f>
        <v>10.10.30.146</v>
      </c>
      <c r="G12249" s="1" t="str">
        <f>"9626Y862"</f>
        <v>9626Y862</v>
      </c>
      <c r="H12249" s="1" t="str">
        <f>"당인간 33L4"</f>
        <v>당인간 33L4</v>
      </c>
      <c r="I12249" s="1" t="s">
        <v>8</v>
      </c>
      <c r="J12249" s="1" t="str">
        <f>"2/15"</f>
        <v>2/15</v>
      </c>
      <c r="K12249" s="1" t="str">
        <f t="shared" si="613"/>
        <v>2026-07-29 13:18:11</v>
      </c>
      <c r="L12249" s="1" t="str">
        <f>"2019-11-14 11:22:35"</f>
        <v>2019-11-14 11:22:35</v>
      </c>
      <c r="M12249" s="1" t="s">
        <v>1</v>
      </c>
      <c r="N12249" s="1" t="s">
        <v>38</v>
      </c>
      <c r="O12249" s="1" t="s">
        <v>46</v>
      </c>
    </row>
    <row r="12250" spans="2:15" x14ac:dyDescent="0.3">
      <c r="B12250" s="1" t="s">
        <v>20</v>
      </c>
      <c r="C12250" s="1" t="str">
        <f t="shared" si="614"/>
        <v>4차</v>
      </c>
      <c r="D12250" s="1" t="str">
        <f>"9626Y87139"</f>
        <v>9626Y87139</v>
      </c>
      <c r="E12250" s="1" t="s">
        <v>10</v>
      </c>
      <c r="F12250" s="1" t="str">
        <f>"10.125.195.122"</f>
        <v>10.125.195.122</v>
      </c>
      <c r="G12250" s="1" t="str">
        <f>"9626Y871"</f>
        <v>9626Y871</v>
      </c>
      <c r="H12250" s="1" t="str">
        <f>"당인간 33L4L1"</f>
        <v>당인간 33L4L1</v>
      </c>
      <c r="I12250" s="1" t="s">
        <v>8</v>
      </c>
      <c r="J12250" s="1" t="str">
        <f>"13/13"</f>
        <v>13/13</v>
      </c>
      <c r="K12250" s="1" t="str">
        <f>"2026-07-28 20:03:17"</f>
        <v>2026-07-28 20:03:17</v>
      </c>
      <c r="L12250" s="1" t="str">
        <f>"2018-04-18 09:00:24"</f>
        <v>2018-04-18 09:00:24</v>
      </c>
      <c r="M12250" s="1" t="s">
        <v>45</v>
      </c>
      <c r="N12250" s="1" t="s">
        <v>38</v>
      </c>
      <c r="O12250" s="1" t="s">
        <v>46</v>
      </c>
    </row>
    <row r="12251" spans="2:15" x14ac:dyDescent="0.3">
      <c r="B12251" s="1" t="s">
        <v>20</v>
      </c>
      <c r="C12251" s="1" t="str">
        <f t="shared" si="614"/>
        <v>4차</v>
      </c>
      <c r="D12251" s="1" t="str">
        <f>"9626Y87244"</f>
        <v>9626Y87244</v>
      </c>
      <c r="E12251" s="1" t="s">
        <v>10</v>
      </c>
      <c r="F12251" s="1" t="str">
        <f>"10.10.91.154"</f>
        <v>10.10.91.154</v>
      </c>
      <c r="G12251" s="1" t="str">
        <f>"9626Y872"</f>
        <v>9626Y872</v>
      </c>
      <c r="H12251" s="1" t="str">
        <f>"당인간 33L4L2"</f>
        <v>당인간 33L4L2</v>
      </c>
      <c r="I12251" s="1" t="s">
        <v>8</v>
      </c>
      <c r="J12251" s="1" t="str">
        <f>"70/70"</f>
        <v>70/70</v>
      </c>
      <c r="K12251" s="1" t="str">
        <f t="shared" ref="K12251:K12264" si="615">"2026-07-29 13:18:11"</f>
        <v>2026-07-29 13:18:11</v>
      </c>
      <c r="L12251" s="1" t="str">
        <f>"2019-11-14 12:41:10"</f>
        <v>2019-11-14 12:41:10</v>
      </c>
      <c r="M12251" s="1" t="s">
        <v>1</v>
      </c>
      <c r="N12251" s="1" t="s">
        <v>38</v>
      </c>
      <c r="O12251" s="1" t="s">
        <v>46</v>
      </c>
    </row>
    <row r="12252" spans="2:15" x14ac:dyDescent="0.3">
      <c r="B12252" s="1" t="s">
        <v>20</v>
      </c>
      <c r="C12252" s="1" t="str">
        <f t="shared" si="614"/>
        <v>4차</v>
      </c>
      <c r="D12252" s="1" t="str">
        <f>"9626Y88144"</f>
        <v>9626Y88144</v>
      </c>
      <c r="E12252" s="1" t="s">
        <v>10</v>
      </c>
      <c r="F12252" s="1" t="str">
        <f>"10.10.91.186"</f>
        <v>10.10.91.186</v>
      </c>
      <c r="G12252" s="1" t="str">
        <f>"9626Y881"</f>
        <v>9626Y881</v>
      </c>
      <c r="H12252" s="1" t="str">
        <f>"당인간 33L4L3"</f>
        <v>당인간 33L4L3</v>
      </c>
      <c r="I12252" s="1" t="s">
        <v>8</v>
      </c>
      <c r="J12252" s="1" t="str">
        <f>"59/59"</f>
        <v>59/59</v>
      </c>
      <c r="K12252" s="1" t="str">
        <f t="shared" si="615"/>
        <v>2026-07-29 13:18:11</v>
      </c>
      <c r="L12252" s="1" t="str">
        <f>"2019-11-12 12:03:04"</f>
        <v>2019-11-12 12:03:04</v>
      </c>
      <c r="M12252" s="1" t="s">
        <v>1</v>
      </c>
      <c r="N12252" s="1" t="s">
        <v>38</v>
      </c>
      <c r="O12252" s="1" t="s">
        <v>46</v>
      </c>
    </row>
    <row r="12253" spans="2:15" x14ac:dyDescent="0.3">
      <c r="B12253" s="1" t="s">
        <v>20</v>
      </c>
      <c r="C12253" s="1" t="str">
        <f t="shared" si="614"/>
        <v>4차</v>
      </c>
      <c r="D12253" s="1" t="str">
        <f>"9626Y89144"</f>
        <v>9626Y89144</v>
      </c>
      <c r="E12253" s="1" t="s">
        <v>10</v>
      </c>
      <c r="F12253" s="1" t="str">
        <f>"10.10.91.226"</f>
        <v>10.10.91.226</v>
      </c>
      <c r="G12253" s="1" t="str">
        <f>"9626Y891"</f>
        <v>9626Y891</v>
      </c>
      <c r="H12253" s="1" t="str">
        <f>"당인간 33L4L4"</f>
        <v>당인간 33L4L4</v>
      </c>
      <c r="I12253" s="1" t="s">
        <v>8</v>
      </c>
      <c r="J12253" s="1" t="str">
        <f>"58/58"</f>
        <v>58/58</v>
      </c>
      <c r="K12253" s="1" t="str">
        <f t="shared" si="615"/>
        <v>2026-07-29 13:18:11</v>
      </c>
      <c r="L12253" s="1" t="str">
        <f>"2020-01-17 14:58:24"</f>
        <v>2020-01-17 14:58:24</v>
      </c>
      <c r="M12253" s="1" t="s">
        <v>1</v>
      </c>
      <c r="N12253" s="1" t="s">
        <v>38</v>
      </c>
      <c r="O12253" s="1" t="s">
        <v>46</v>
      </c>
    </row>
    <row r="12254" spans="2:15" x14ac:dyDescent="0.3">
      <c r="B12254" s="1" t="s">
        <v>20</v>
      </c>
      <c r="C12254" s="1" t="str">
        <f>"3차"</f>
        <v>3차</v>
      </c>
      <c r="D12254" s="1" t="str">
        <f>"9626Y92139"</f>
        <v>9626Y92139</v>
      </c>
      <c r="E12254" s="1" t="s">
        <v>10</v>
      </c>
      <c r="F12254" s="1" t="str">
        <f>"10.11.110.26"</f>
        <v>10.11.110.26</v>
      </c>
      <c r="G12254" s="1" t="str">
        <f>"9626Y921"</f>
        <v>9626Y921</v>
      </c>
      <c r="H12254" s="1" t="str">
        <f>"당인간 42L4"</f>
        <v>당인간 42L4</v>
      </c>
      <c r="I12254" s="1" t="s">
        <v>8</v>
      </c>
      <c r="J12254" s="1" t="str">
        <f>"37/37"</f>
        <v>37/37</v>
      </c>
      <c r="K12254" s="1" t="str">
        <f t="shared" si="615"/>
        <v>2026-07-29 13:18:11</v>
      </c>
      <c r="L12254" s="1" t="str">
        <f>"2018-04-18 11:31:26"</f>
        <v>2018-04-18 11:31:26</v>
      </c>
      <c r="M12254" s="1" t="s">
        <v>2</v>
      </c>
      <c r="N12254" s="1" t="s">
        <v>38</v>
      </c>
      <c r="O12254" s="1" t="s">
        <v>46</v>
      </c>
    </row>
    <row r="12255" spans="2:15" x14ac:dyDescent="0.3">
      <c r="B12255" s="1" t="s">
        <v>20</v>
      </c>
      <c r="C12255" s="1" t="str">
        <f>"3차"</f>
        <v>3차</v>
      </c>
      <c r="D12255" s="1" t="str">
        <f>"9626Y93239"</f>
        <v>9626Y93239</v>
      </c>
      <c r="E12255" s="1" t="s">
        <v>10</v>
      </c>
      <c r="F12255" s="1" t="str">
        <f>"10.125.195.138"</f>
        <v>10.125.195.138</v>
      </c>
      <c r="G12255" s="1" t="str">
        <f>"9626Y932"</f>
        <v>9626Y932</v>
      </c>
      <c r="H12255" s="1" t="str">
        <f>"당인간 42L6"</f>
        <v>당인간 42L6</v>
      </c>
      <c r="I12255" s="1" t="s">
        <v>8</v>
      </c>
      <c r="J12255" s="1" t="str">
        <f>"48/48"</f>
        <v>48/48</v>
      </c>
      <c r="K12255" s="1" t="str">
        <f t="shared" si="615"/>
        <v>2026-07-29 13:18:11</v>
      </c>
      <c r="L12255" s="1" t="str">
        <f>"2018-04-18 10:51:12"</f>
        <v>2018-04-18 10:51:12</v>
      </c>
      <c r="M12255" s="1" t="s">
        <v>45</v>
      </c>
      <c r="N12255" s="1" t="s">
        <v>38</v>
      </c>
      <c r="O12255" s="1" t="s">
        <v>46</v>
      </c>
    </row>
    <row r="12256" spans="2:15" x14ac:dyDescent="0.3">
      <c r="B12256" s="1" t="s">
        <v>20</v>
      </c>
      <c r="C12256" s="1" t="str">
        <f>"3차"</f>
        <v>3차</v>
      </c>
      <c r="D12256" s="1" t="str">
        <f>"9626Y93539"</f>
        <v>9626Y93539</v>
      </c>
      <c r="E12256" s="1" t="s">
        <v>10</v>
      </c>
      <c r="F12256" s="1" t="str">
        <f>"10.11.110.34"</f>
        <v>10.11.110.34</v>
      </c>
      <c r="G12256" s="1" t="str">
        <f>"9626Y935"</f>
        <v>9626Y935</v>
      </c>
      <c r="H12256" s="1" t="str">
        <f>"당인간 42L7R1"</f>
        <v>당인간 42L7R1</v>
      </c>
      <c r="I12256" s="1" t="s">
        <v>8</v>
      </c>
      <c r="J12256" s="1" t="str">
        <f>"37/37"</f>
        <v>37/37</v>
      </c>
      <c r="K12256" s="1" t="str">
        <f t="shared" si="615"/>
        <v>2026-07-29 13:18:11</v>
      </c>
      <c r="L12256" s="1" t="str">
        <f>"2018-04-18 12:02:12"</f>
        <v>2018-04-18 12:02:12</v>
      </c>
      <c r="M12256" s="1" t="s">
        <v>2</v>
      </c>
      <c r="N12256" s="1" t="s">
        <v>38</v>
      </c>
      <c r="O12256" s="1" t="s">
        <v>46</v>
      </c>
    </row>
    <row r="12257" spans="2:15" x14ac:dyDescent="0.3">
      <c r="B12257" s="1" t="s">
        <v>20</v>
      </c>
      <c r="C12257" s="1" t="str">
        <f t="shared" ref="C12257:C12264" si="616">"4차"</f>
        <v>4차</v>
      </c>
      <c r="D12257" s="1" t="str">
        <f>"9626Y97144"</f>
        <v>9626Y97144</v>
      </c>
      <c r="E12257" s="1" t="s">
        <v>10</v>
      </c>
      <c r="F12257" s="1" t="str">
        <f>"10.10.33.154"</f>
        <v>10.10.33.154</v>
      </c>
      <c r="G12257" s="1" t="str">
        <f>"9626Y971"</f>
        <v>9626Y971</v>
      </c>
      <c r="H12257" s="1" t="str">
        <f>"당인간 33L5L2"</f>
        <v>당인간 33L5L2</v>
      </c>
      <c r="I12257" s="1" t="s">
        <v>8</v>
      </c>
      <c r="J12257" s="1" t="str">
        <f>"38/38"</f>
        <v>38/38</v>
      </c>
      <c r="K12257" s="1" t="str">
        <f t="shared" si="615"/>
        <v>2026-07-29 13:18:11</v>
      </c>
      <c r="L12257" s="1" t="str">
        <f>"2020-01-11 01:51:22"</f>
        <v>2020-01-11 01:51:22</v>
      </c>
      <c r="M12257" s="1" t="s">
        <v>1</v>
      </c>
      <c r="N12257" s="1" t="s">
        <v>38</v>
      </c>
      <c r="O12257" s="1" t="s">
        <v>46</v>
      </c>
    </row>
    <row r="12258" spans="2:15" x14ac:dyDescent="0.3">
      <c r="B12258" s="1" t="s">
        <v>20</v>
      </c>
      <c r="C12258" s="1" t="str">
        <f t="shared" si="616"/>
        <v>4차</v>
      </c>
      <c r="D12258" s="1" t="str">
        <f>"9626Y97244"</f>
        <v>9626Y97244</v>
      </c>
      <c r="E12258" s="1" t="s">
        <v>10</v>
      </c>
      <c r="F12258" s="1" t="str">
        <f>"10.10.92.162"</f>
        <v>10.10.92.162</v>
      </c>
      <c r="G12258" s="1" t="str">
        <f>"9626Y972"</f>
        <v>9626Y972</v>
      </c>
      <c r="H12258" s="1" t="str">
        <f>"당인간 33L5L3"</f>
        <v>당인간 33L5L3</v>
      </c>
      <c r="I12258" s="1" t="s">
        <v>8</v>
      </c>
      <c r="J12258" s="1" t="str">
        <f>"16/20"</f>
        <v>16/20</v>
      </c>
      <c r="K12258" s="1" t="str">
        <f t="shared" si="615"/>
        <v>2026-07-29 13:18:11</v>
      </c>
      <c r="L12258" s="1" t="str">
        <f>"2020-01-20 08:40:56"</f>
        <v>2020-01-20 08:40:56</v>
      </c>
      <c r="M12258" s="1" t="s">
        <v>1</v>
      </c>
      <c r="N12258" s="1" t="s">
        <v>38</v>
      </c>
      <c r="O12258" s="1" t="s">
        <v>46</v>
      </c>
    </row>
    <row r="12259" spans="2:15" x14ac:dyDescent="0.3">
      <c r="B12259" s="1" t="s">
        <v>20</v>
      </c>
      <c r="C12259" s="1" t="str">
        <f t="shared" si="616"/>
        <v>4차</v>
      </c>
      <c r="D12259" s="1" t="str">
        <f>"9626Y98144"</f>
        <v>9626Y98144</v>
      </c>
      <c r="E12259" s="1" t="s">
        <v>10</v>
      </c>
      <c r="F12259" s="1" t="str">
        <f>"10.10.92.194"</f>
        <v>10.10.92.194</v>
      </c>
      <c r="G12259" s="1" t="str">
        <f>"9626Y981"</f>
        <v>9626Y981</v>
      </c>
      <c r="H12259" s="1" t="str">
        <f>"당인간 33L5L4"</f>
        <v>당인간 33L5L4</v>
      </c>
      <c r="I12259" s="1" t="s">
        <v>8</v>
      </c>
      <c r="J12259" s="1" t="str">
        <f>"48/50"</f>
        <v>48/50</v>
      </c>
      <c r="K12259" s="1" t="str">
        <f t="shared" si="615"/>
        <v>2026-07-29 13:18:11</v>
      </c>
      <c r="L12259" s="1" t="str">
        <f>"2020-01-17 15:22:49"</f>
        <v>2020-01-17 15:22:49</v>
      </c>
      <c r="M12259" s="1" t="s">
        <v>1</v>
      </c>
      <c r="N12259" s="1" t="s">
        <v>38</v>
      </c>
      <c r="O12259" s="1" t="s">
        <v>46</v>
      </c>
    </row>
    <row r="12260" spans="2:15" x14ac:dyDescent="0.3">
      <c r="B12260" s="1" t="s">
        <v>20</v>
      </c>
      <c r="C12260" s="1" t="str">
        <f t="shared" si="616"/>
        <v>4차</v>
      </c>
      <c r="D12260" s="1" t="str">
        <f>"9626Y99144"</f>
        <v>9626Y99144</v>
      </c>
      <c r="E12260" s="1" t="s">
        <v>10</v>
      </c>
      <c r="F12260" s="1" t="str">
        <f>"10.10.94.250"</f>
        <v>10.10.94.250</v>
      </c>
      <c r="G12260" s="1" t="str">
        <f>"9626Y991"</f>
        <v>9626Y991</v>
      </c>
      <c r="H12260" s="1" t="str">
        <f>"당인간 33L5L5"</f>
        <v>당인간 33L5L5</v>
      </c>
      <c r="I12260" s="1" t="s">
        <v>8</v>
      </c>
      <c r="J12260" s="1" t="str">
        <f>"71/71"</f>
        <v>71/71</v>
      </c>
      <c r="K12260" s="1" t="str">
        <f t="shared" si="615"/>
        <v>2026-07-29 13:18:11</v>
      </c>
      <c r="L12260" s="1" t="str">
        <f>"2019-11-12 13:17:23"</f>
        <v>2019-11-12 13:17:23</v>
      </c>
      <c r="M12260" s="1" t="s">
        <v>1</v>
      </c>
      <c r="N12260" s="1" t="s">
        <v>38</v>
      </c>
      <c r="O12260" s="1" t="s">
        <v>46</v>
      </c>
    </row>
    <row r="12261" spans="2:15" x14ac:dyDescent="0.3">
      <c r="B12261" s="1" t="s">
        <v>20</v>
      </c>
      <c r="C12261" s="1" t="str">
        <f t="shared" si="616"/>
        <v>4차</v>
      </c>
      <c r="D12261" s="1" t="str">
        <f>"9626Z01144"</f>
        <v>9626Z01144</v>
      </c>
      <c r="E12261" s="1" t="s">
        <v>10</v>
      </c>
      <c r="F12261" s="1" t="str">
        <f>"10.10.105.98"</f>
        <v>10.10.105.98</v>
      </c>
      <c r="G12261" s="1" t="str">
        <f>"9626Z011"</f>
        <v>9626Z011</v>
      </c>
      <c r="H12261" s="1" t="str">
        <f>"당인간 42L3R1"</f>
        <v>당인간 42L3R1</v>
      </c>
      <c r="I12261" s="1" t="s">
        <v>8</v>
      </c>
      <c r="J12261" s="1" t="str">
        <f>"23/23"</f>
        <v>23/23</v>
      </c>
      <c r="K12261" s="1" t="str">
        <f t="shared" si="615"/>
        <v>2026-07-29 13:18:11</v>
      </c>
      <c r="L12261" s="1" t="str">
        <f>"2019-11-12 16:38:56"</f>
        <v>2019-11-12 16:38:56</v>
      </c>
      <c r="M12261" s="1" t="s">
        <v>1</v>
      </c>
      <c r="N12261" s="1" t="s">
        <v>38</v>
      </c>
      <c r="O12261" s="1" t="s">
        <v>46</v>
      </c>
    </row>
    <row r="12262" spans="2:15" x14ac:dyDescent="0.3">
      <c r="B12262" s="1" t="s">
        <v>20</v>
      </c>
      <c r="C12262" s="1" t="str">
        <f t="shared" si="616"/>
        <v>4차</v>
      </c>
      <c r="D12262" s="1" t="str">
        <f>"9626Z03144"</f>
        <v>9626Z03144</v>
      </c>
      <c r="E12262" s="1" t="s">
        <v>10</v>
      </c>
      <c r="F12262" s="1" t="str">
        <f>"10.10.95.130"</f>
        <v>10.10.95.130</v>
      </c>
      <c r="G12262" s="1" t="str">
        <f>"9626Z031"</f>
        <v>9626Z031</v>
      </c>
      <c r="H12262" s="1" t="str">
        <f>"당인간 42L3R1L3"</f>
        <v>당인간 42L3R1L3</v>
      </c>
      <c r="I12262" s="1" t="s">
        <v>8</v>
      </c>
      <c r="J12262" s="1" t="str">
        <f>"2/2"</f>
        <v>2/2</v>
      </c>
      <c r="K12262" s="1" t="str">
        <f t="shared" si="615"/>
        <v>2026-07-29 13:18:11</v>
      </c>
      <c r="L12262" s="1" t="str">
        <f>"2019-11-12 16:43:05"</f>
        <v>2019-11-12 16:43:05</v>
      </c>
      <c r="M12262" s="1" t="s">
        <v>1</v>
      </c>
      <c r="N12262" s="1" t="s">
        <v>38</v>
      </c>
      <c r="O12262" s="1" t="s">
        <v>46</v>
      </c>
    </row>
    <row r="12263" spans="2:15" x14ac:dyDescent="0.3">
      <c r="B12263" s="1" t="s">
        <v>20</v>
      </c>
      <c r="C12263" s="1" t="str">
        <f t="shared" si="616"/>
        <v>4차</v>
      </c>
      <c r="D12263" s="1" t="str">
        <f>"9626Z04244"</f>
        <v>9626Z04244</v>
      </c>
      <c r="E12263" s="1" t="s">
        <v>10</v>
      </c>
      <c r="F12263" s="1" t="str">
        <f>"10.10.95.250"</f>
        <v>10.10.95.250</v>
      </c>
      <c r="G12263" s="1" t="str">
        <f>"9626Z042"</f>
        <v>9626Z042</v>
      </c>
      <c r="H12263" s="1" t="str">
        <f>"당인간 42L8"</f>
        <v>당인간 42L8</v>
      </c>
      <c r="I12263" s="1" t="s">
        <v>8</v>
      </c>
      <c r="J12263" s="1" t="str">
        <f>"39/39"</f>
        <v>39/39</v>
      </c>
      <c r="K12263" s="1" t="str">
        <f t="shared" si="615"/>
        <v>2026-07-29 13:18:11</v>
      </c>
      <c r="L12263" s="1" t="str">
        <f>"2019-11-14 11:06:36"</f>
        <v>2019-11-14 11:06:36</v>
      </c>
      <c r="M12263" s="1" t="s">
        <v>1</v>
      </c>
      <c r="N12263" s="1" t="s">
        <v>38</v>
      </c>
      <c r="O12263" s="1" t="s">
        <v>46</v>
      </c>
    </row>
    <row r="12264" spans="2:15" x14ac:dyDescent="0.3">
      <c r="B12264" s="1" t="s">
        <v>20</v>
      </c>
      <c r="C12264" s="1" t="str">
        <f t="shared" si="616"/>
        <v>4차</v>
      </c>
      <c r="D12264" s="1" t="str">
        <f>"9626Z05244"</f>
        <v>9626Z05244</v>
      </c>
      <c r="E12264" s="1" t="s">
        <v>10</v>
      </c>
      <c r="F12264" s="1" t="str">
        <f>"10.10.95.194"</f>
        <v>10.10.95.194</v>
      </c>
      <c r="G12264" s="1" t="str">
        <f>"9626Z052"</f>
        <v>9626Z052</v>
      </c>
      <c r="H12264" s="1" t="str">
        <f>"당인간 33L5R1"</f>
        <v>당인간 33L5R1</v>
      </c>
      <c r="I12264" s="1" t="s">
        <v>8</v>
      </c>
      <c r="J12264" s="1" t="str">
        <f>"34/34"</f>
        <v>34/34</v>
      </c>
      <c r="K12264" s="1" t="str">
        <f t="shared" si="615"/>
        <v>2026-07-29 13:18:11</v>
      </c>
      <c r="L12264" s="1" t="str">
        <f>"2020-01-20 09:00:19"</f>
        <v>2020-01-20 09:00:19</v>
      </c>
      <c r="M12264" s="1" t="s">
        <v>1</v>
      </c>
      <c r="N12264" s="1" t="s">
        <v>38</v>
      </c>
      <c r="O12264" s="1" t="s">
        <v>46</v>
      </c>
    </row>
    <row r="12265" spans="2:15" x14ac:dyDescent="0.3">
      <c r="B12265" s="1" t="s">
        <v>20</v>
      </c>
      <c r="C12265" s="1" t="str">
        <f>"3차"</f>
        <v>3차</v>
      </c>
      <c r="D12265" s="1" t="str">
        <f>"9626Z07139"</f>
        <v>9626Z07139</v>
      </c>
      <c r="E12265" s="1" t="s">
        <v>10</v>
      </c>
      <c r="F12265" s="1" t="str">
        <f>"10.14.13.50"</f>
        <v>10.14.13.50</v>
      </c>
      <c r="G12265" s="1" t="str">
        <f>"9626Z071"</f>
        <v>9626Z071</v>
      </c>
      <c r="H12265" s="1" t="str">
        <f>"당인간 33L8"</f>
        <v>당인간 33L8</v>
      </c>
      <c r="I12265" s="1" t="s">
        <v>8</v>
      </c>
      <c r="J12265" s="1" t="str">
        <f>"41/41"</f>
        <v>41/41</v>
      </c>
      <c r="K12265" s="1" t="str">
        <f>"2026-07-29 13:18:12"</f>
        <v>2026-07-29 13:18:12</v>
      </c>
      <c r="L12265" s="1" t="str">
        <f>"2018-04-18 10:13:55"</f>
        <v>2018-04-18 10:13:55</v>
      </c>
      <c r="M12265" s="1" t="s">
        <v>3</v>
      </c>
      <c r="N12265" s="1" t="s">
        <v>38</v>
      </c>
      <c r="O12265" s="1" t="s">
        <v>46</v>
      </c>
    </row>
    <row r="12266" spans="2:15" x14ac:dyDescent="0.3">
      <c r="B12266" s="1" t="s">
        <v>20</v>
      </c>
      <c r="C12266" s="1" t="str">
        <f t="shared" ref="C12266:C12275" si="617">"4차"</f>
        <v>4차</v>
      </c>
      <c r="D12266" s="1" t="str">
        <f>"9626Z08144"</f>
        <v>9626Z08144</v>
      </c>
      <c r="E12266" s="1" t="s">
        <v>10</v>
      </c>
      <c r="F12266" s="1" t="str">
        <f>"10.10.95.138"</f>
        <v>10.10.95.138</v>
      </c>
      <c r="G12266" s="1" t="str">
        <f>"9626Z081"</f>
        <v>9626Z081</v>
      </c>
      <c r="H12266" s="1" t="str">
        <f>"당인간 33L9"</f>
        <v>당인간 33L9</v>
      </c>
      <c r="I12266" s="1" t="s">
        <v>8</v>
      </c>
      <c r="J12266" s="1" t="str">
        <f>"70/71"</f>
        <v>70/71</v>
      </c>
      <c r="K12266" s="1" t="str">
        <f t="shared" ref="K12266:K12275" si="618">"2026-07-29 13:18:11"</f>
        <v>2026-07-29 13:18:11</v>
      </c>
      <c r="L12266" s="1" t="str">
        <f>"2020-01-17 16:13:40"</f>
        <v>2020-01-17 16:13:40</v>
      </c>
      <c r="M12266" s="1" t="s">
        <v>1</v>
      </c>
      <c r="N12266" s="1" t="s">
        <v>38</v>
      </c>
      <c r="O12266" s="1" t="s">
        <v>46</v>
      </c>
    </row>
    <row r="12267" spans="2:15" x14ac:dyDescent="0.3">
      <c r="B12267" s="1" t="s">
        <v>20</v>
      </c>
      <c r="C12267" s="1" t="str">
        <f t="shared" si="617"/>
        <v>4차</v>
      </c>
      <c r="D12267" s="1" t="str">
        <f>"9626Z08244"</f>
        <v>9626Z08244</v>
      </c>
      <c r="E12267" s="1" t="s">
        <v>10</v>
      </c>
      <c r="F12267" s="1" t="str">
        <f>"10.10.90.58"</f>
        <v>10.10.90.58</v>
      </c>
      <c r="G12267" s="1" t="str">
        <f>"9626Z082"</f>
        <v>9626Z082</v>
      </c>
      <c r="H12267" s="1" t="str">
        <f>"당인간 33L10"</f>
        <v>당인간 33L10</v>
      </c>
      <c r="I12267" s="1" t="s">
        <v>8</v>
      </c>
      <c r="J12267" s="1" t="str">
        <f>"18/18"</f>
        <v>18/18</v>
      </c>
      <c r="K12267" s="1" t="str">
        <f t="shared" si="618"/>
        <v>2026-07-29 13:18:11</v>
      </c>
      <c r="L12267" s="1" t="str">
        <f>"2019-11-12 13:25:10"</f>
        <v>2019-11-12 13:25:10</v>
      </c>
      <c r="M12267" s="1" t="s">
        <v>1</v>
      </c>
      <c r="N12267" s="1" t="s">
        <v>38</v>
      </c>
      <c r="O12267" s="1" t="s">
        <v>46</v>
      </c>
    </row>
    <row r="12268" spans="2:15" x14ac:dyDescent="0.3">
      <c r="B12268" s="1" t="s">
        <v>20</v>
      </c>
      <c r="C12268" s="1" t="str">
        <f t="shared" si="617"/>
        <v>4차</v>
      </c>
      <c r="D12268" s="1" t="str">
        <f>"9626Z11144"</f>
        <v>9626Z11144</v>
      </c>
      <c r="E12268" s="1" t="s">
        <v>10</v>
      </c>
      <c r="F12268" s="1" t="str">
        <f>"10.10.95.122"</f>
        <v>10.10.95.122</v>
      </c>
      <c r="G12268" s="1" t="str">
        <f>"9626Z111"</f>
        <v>9626Z111</v>
      </c>
      <c r="H12268" s="1" t="str">
        <f>"당인간 42L3R2"</f>
        <v>당인간 42L3R2</v>
      </c>
      <c r="I12268" s="1" t="s">
        <v>8</v>
      </c>
      <c r="J12268" s="1" t="str">
        <f>"73/84"</f>
        <v>73/84</v>
      </c>
      <c r="K12268" s="1" t="str">
        <f t="shared" si="618"/>
        <v>2026-07-29 13:18:11</v>
      </c>
      <c r="L12268" s="1" t="str">
        <f>"2020-01-20 14:06:54"</f>
        <v>2020-01-20 14:06:54</v>
      </c>
      <c r="M12268" s="1" t="s">
        <v>1</v>
      </c>
      <c r="N12268" s="1" t="s">
        <v>38</v>
      </c>
      <c r="O12268" s="1" t="s">
        <v>46</v>
      </c>
    </row>
    <row r="12269" spans="2:15" x14ac:dyDescent="0.3">
      <c r="B12269" s="1" t="s">
        <v>20</v>
      </c>
      <c r="C12269" s="1" t="str">
        <f t="shared" si="617"/>
        <v>4차</v>
      </c>
      <c r="D12269" s="1" t="str">
        <f>"9626Z11244"</f>
        <v>9626Z11244</v>
      </c>
      <c r="E12269" s="1" t="s">
        <v>10</v>
      </c>
      <c r="F12269" s="1" t="str">
        <f>"10.10.95.114"</f>
        <v>10.10.95.114</v>
      </c>
      <c r="G12269" s="1" t="str">
        <f>"9626Z112"</f>
        <v>9626Z112</v>
      </c>
      <c r="H12269" s="1" t="str">
        <f>"당인간 42L3R3"</f>
        <v>당인간 42L3R3</v>
      </c>
      <c r="I12269" s="1" t="s">
        <v>8</v>
      </c>
      <c r="J12269" s="1" t="str">
        <f>"104/104"</f>
        <v>104/104</v>
      </c>
      <c r="K12269" s="1" t="str">
        <f t="shared" si="618"/>
        <v>2026-07-29 13:18:11</v>
      </c>
      <c r="L12269" s="1" t="str">
        <f>"2019-12-17 15:37:23"</f>
        <v>2019-12-17 15:37:23</v>
      </c>
      <c r="M12269" s="1" t="s">
        <v>1</v>
      </c>
      <c r="N12269" s="1" t="s">
        <v>38</v>
      </c>
      <c r="O12269" s="1" t="s">
        <v>46</v>
      </c>
    </row>
    <row r="12270" spans="2:15" x14ac:dyDescent="0.3">
      <c r="B12270" s="1" t="s">
        <v>20</v>
      </c>
      <c r="C12270" s="1" t="str">
        <f t="shared" si="617"/>
        <v>4차</v>
      </c>
      <c r="D12270" s="1" t="str">
        <f>"9626Z13144"</f>
        <v>9626Z13144</v>
      </c>
      <c r="E12270" s="1" t="s">
        <v>10</v>
      </c>
      <c r="F12270" s="1" t="str">
        <f>"10.10.95.178"</f>
        <v>10.10.95.178</v>
      </c>
      <c r="G12270" s="1" t="str">
        <f>"9626Z131"</f>
        <v>9626Z131</v>
      </c>
      <c r="H12270" s="1" t="str">
        <f>"당인간 33L6R4"</f>
        <v>당인간 33L6R4</v>
      </c>
      <c r="I12270" s="1" t="s">
        <v>8</v>
      </c>
      <c r="J12270" s="1" t="str">
        <f>"45/77"</f>
        <v>45/77</v>
      </c>
      <c r="K12270" s="1" t="str">
        <f t="shared" si="618"/>
        <v>2026-07-29 13:18:11</v>
      </c>
      <c r="L12270" s="1" t="str">
        <f>"2019-11-14 11:43:05"</f>
        <v>2019-11-14 11:43:05</v>
      </c>
      <c r="M12270" s="1" t="s">
        <v>1</v>
      </c>
      <c r="N12270" s="1" t="s">
        <v>38</v>
      </c>
      <c r="O12270" s="1" t="s">
        <v>46</v>
      </c>
    </row>
    <row r="12271" spans="2:15" x14ac:dyDescent="0.3">
      <c r="B12271" s="1" t="s">
        <v>20</v>
      </c>
      <c r="C12271" s="1" t="str">
        <f t="shared" si="617"/>
        <v>4차</v>
      </c>
      <c r="D12271" s="1" t="str">
        <f>"9626Z15144"</f>
        <v>9626Z15144</v>
      </c>
      <c r="E12271" s="1" t="s">
        <v>10</v>
      </c>
      <c r="F12271" s="1" t="str">
        <f>"10.10.95.186"</f>
        <v>10.10.95.186</v>
      </c>
      <c r="G12271" s="1" t="str">
        <f>"9626Z151"</f>
        <v>9626Z151</v>
      </c>
      <c r="H12271" s="1" t="str">
        <f>"당인간 33L6R2"</f>
        <v>당인간 33L6R2</v>
      </c>
      <c r="I12271" s="1" t="s">
        <v>8</v>
      </c>
      <c r="J12271" s="1" t="str">
        <f>"44/44"</f>
        <v>44/44</v>
      </c>
      <c r="K12271" s="1" t="str">
        <f t="shared" si="618"/>
        <v>2026-07-29 13:18:11</v>
      </c>
      <c r="L12271" s="1" t="str">
        <f>"2020-01-20 09:18:39"</f>
        <v>2020-01-20 09:18:39</v>
      </c>
      <c r="M12271" s="1" t="s">
        <v>1</v>
      </c>
      <c r="N12271" s="1" t="s">
        <v>38</v>
      </c>
      <c r="O12271" s="1" t="s">
        <v>46</v>
      </c>
    </row>
    <row r="12272" spans="2:15" x14ac:dyDescent="0.3">
      <c r="B12272" s="1" t="s">
        <v>20</v>
      </c>
      <c r="C12272" s="1" t="str">
        <f t="shared" si="617"/>
        <v>4차</v>
      </c>
      <c r="D12272" s="1" t="str">
        <f>"9626Z15244"</f>
        <v>9626Z15244</v>
      </c>
      <c r="E12272" s="1" t="s">
        <v>10</v>
      </c>
      <c r="F12272" s="1" t="str">
        <f>"10.10.95.162"</f>
        <v>10.10.95.162</v>
      </c>
      <c r="G12272" s="1" t="str">
        <f>"9626Z152"</f>
        <v>9626Z152</v>
      </c>
      <c r="H12272" s="1" t="str">
        <f>"당인간 33L7R1R1"</f>
        <v>당인간 33L7R1R1</v>
      </c>
      <c r="I12272" s="1" t="s">
        <v>8</v>
      </c>
      <c r="J12272" s="1" t="str">
        <f>"49/55"</f>
        <v>49/55</v>
      </c>
      <c r="K12272" s="1" t="str">
        <f t="shared" si="618"/>
        <v>2026-07-29 13:18:11</v>
      </c>
      <c r="L12272" s="1" t="str">
        <f>"2020-01-20 09:40:17"</f>
        <v>2020-01-20 09:40:17</v>
      </c>
      <c r="M12272" s="1" t="s">
        <v>1</v>
      </c>
      <c r="N12272" s="1" t="s">
        <v>38</v>
      </c>
      <c r="O12272" s="1" t="s">
        <v>46</v>
      </c>
    </row>
    <row r="12273" spans="2:15" x14ac:dyDescent="0.3">
      <c r="B12273" s="1" t="s">
        <v>20</v>
      </c>
      <c r="C12273" s="1" t="str">
        <f t="shared" si="617"/>
        <v>4차</v>
      </c>
      <c r="D12273" s="1" t="str">
        <f>"9626Z17144"</f>
        <v>9626Z17144</v>
      </c>
      <c r="E12273" s="1" t="s">
        <v>10</v>
      </c>
      <c r="F12273" s="1" t="str">
        <f>"10.10.95.170"</f>
        <v>10.10.95.170</v>
      </c>
      <c r="G12273" s="1" t="str">
        <f>"9626Z171"</f>
        <v>9626Z171</v>
      </c>
      <c r="H12273" s="1" t="str">
        <f>"당인간 33L7R1"</f>
        <v>당인간 33L7R1</v>
      </c>
      <c r="I12273" s="1" t="s">
        <v>8</v>
      </c>
      <c r="J12273" s="1" t="str">
        <f>"60/60"</f>
        <v>60/60</v>
      </c>
      <c r="K12273" s="1" t="str">
        <f t="shared" si="618"/>
        <v>2026-07-29 13:18:11</v>
      </c>
      <c r="L12273" s="1" t="str">
        <f>"2019-11-12 13:20:24"</f>
        <v>2019-11-12 13:20:24</v>
      </c>
      <c r="M12273" s="1" t="s">
        <v>1</v>
      </c>
      <c r="N12273" s="1" t="s">
        <v>38</v>
      </c>
      <c r="O12273" s="1" t="s">
        <v>46</v>
      </c>
    </row>
    <row r="12274" spans="2:15" x14ac:dyDescent="0.3">
      <c r="B12274" s="1" t="s">
        <v>20</v>
      </c>
      <c r="C12274" s="1" t="str">
        <f t="shared" si="617"/>
        <v>4차</v>
      </c>
      <c r="D12274" s="1" t="str">
        <f>"9626Z17244"</f>
        <v>9626Z17244</v>
      </c>
      <c r="E12274" s="1" t="s">
        <v>10</v>
      </c>
      <c r="F12274" s="1" t="str">
        <f>"10.10.95.154"</f>
        <v>10.10.95.154</v>
      </c>
      <c r="G12274" s="1" t="str">
        <f>"9626Z172"</f>
        <v>9626Z172</v>
      </c>
      <c r="H12274" s="1" t="str">
        <f>"당인간 33L7R2"</f>
        <v>당인간 33L7R2</v>
      </c>
      <c r="I12274" s="1" t="s">
        <v>8</v>
      </c>
      <c r="J12274" s="1" t="str">
        <f>"60/60"</f>
        <v>60/60</v>
      </c>
      <c r="K12274" s="1" t="str">
        <f t="shared" si="618"/>
        <v>2026-07-29 13:18:11</v>
      </c>
      <c r="L12274" s="1" t="str">
        <f>"2019-11-12 13:33:05"</f>
        <v>2019-11-12 13:33:05</v>
      </c>
      <c r="M12274" s="1" t="s">
        <v>1</v>
      </c>
      <c r="N12274" s="1" t="s">
        <v>38</v>
      </c>
      <c r="O12274" s="1" t="s">
        <v>46</v>
      </c>
    </row>
    <row r="12275" spans="2:15" x14ac:dyDescent="0.3">
      <c r="B12275" s="1" t="s">
        <v>20</v>
      </c>
      <c r="C12275" s="1" t="str">
        <f t="shared" si="617"/>
        <v>4차</v>
      </c>
      <c r="D12275" s="1" t="str">
        <f>"9626Z18144"</f>
        <v>9626Z18144</v>
      </c>
      <c r="E12275" s="1" t="s">
        <v>10</v>
      </c>
      <c r="F12275" s="1" t="str">
        <f>"10.10.95.146"</f>
        <v>10.10.95.146</v>
      </c>
      <c r="G12275" s="1" t="str">
        <f>"9626Z181"</f>
        <v>9626Z181</v>
      </c>
      <c r="H12275" s="1" t="str">
        <f>"당인간 33L7R3"</f>
        <v>당인간 33L7R3</v>
      </c>
      <c r="I12275" s="1" t="s">
        <v>8</v>
      </c>
      <c r="J12275" s="1" t="str">
        <f>"43/43"</f>
        <v>43/43</v>
      </c>
      <c r="K12275" s="1" t="str">
        <f t="shared" si="618"/>
        <v>2026-07-29 13:18:11</v>
      </c>
      <c r="L12275" s="1" t="str">
        <f>"2019-11-12 13:23:05"</f>
        <v>2019-11-12 13:23:05</v>
      </c>
      <c r="M12275" s="1" t="s">
        <v>1</v>
      </c>
      <c r="N12275" s="1" t="s">
        <v>38</v>
      </c>
      <c r="O12275" s="1" t="s">
        <v>46</v>
      </c>
    </row>
    <row r="12276" spans="2:15" x14ac:dyDescent="0.3">
      <c r="B12276" s="1" t="s">
        <v>20</v>
      </c>
      <c r="C12276" s="1" t="str">
        <f>"3차"</f>
        <v>3차</v>
      </c>
      <c r="D12276" s="1" t="str">
        <f>"9626Z19139"</f>
        <v>9626Z19139</v>
      </c>
      <c r="E12276" s="1" t="s">
        <v>10</v>
      </c>
      <c r="F12276" s="1" t="str">
        <f>"10.12.129.159"</f>
        <v>10.12.129.159</v>
      </c>
      <c r="G12276" s="1" t="str">
        <f>"9626Z191"</f>
        <v>9626Z191</v>
      </c>
      <c r="H12276" s="1" t="str">
        <f>"당인간 33L7R4"</f>
        <v>당인간 33L7R4</v>
      </c>
      <c r="I12276" s="1" t="s">
        <v>8</v>
      </c>
      <c r="J12276" s="1" t="str">
        <f>"42/42"</f>
        <v>42/42</v>
      </c>
      <c r="K12276" s="1" t="str">
        <f>"2026-07-29 13:18:12"</f>
        <v>2026-07-29 13:18:12</v>
      </c>
      <c r="L12276" s="1" t="str">
        <f>"2018-04-18 09:52:25"</f>
        <v>2018-04-18 09:52:25</v>
      </c>
      <c r="M12276" s="1" t="s">
        <v>0</v>
      </c>
      <c r="N12276" s="1" t="s">
        <v>38</v>
      </c>
      <c r="O12276" s="1" t="s">
        <v>46</v>
      </c>
    </row>
    <row r="12277" spans="2:15" x14ac:dyDescent="0.3">
      <c r="B12277" s="1" t="s">
        <v>20</v>
      </c>
      <c r="C12277" s="1" t="str">
        <f t="shared" ref="C12277:C12294" si="619">"4차"</f>
        <v>4차</v>
      </c>
      <c r="D12277" s="1" t="str">
        <f>"9626Z22144"</f>
        <v>9626Z22144</v>
      </c>
      <c r="E12277" s="1" t="s">
        <v>10</v>
      </c>
      <c r="F12277" s="1" t="str">
        <f>"10.10.71.250"</f>
        <v>10.10.71.250</v>
      </c>
      <c r="G12277" s="1" t="str">
        <f>"9626Z221"</f>
        <v>9626Z221</v>
      </c>
      <c r="H12277" s="1" t="str">
        <f>"당인간 44L8L3"</f>
        <v>당인간 44L8L3</v>
      </c>
      <c r="I12277" s="1" t="s">
        <v>8</v>
      </c>
      <c r="J12277" s="1" t="str">
        <f>"30/30"</f>
        <v>30/30</v>
      </c>
      <c r="K12277" s="1" t="str">
        <f t="shared" ref="K12277:K12294" si="620">"2026-07-29 13:18:11"</f>
        <v>2026-07-29 13:18:11</v>
      </c>
      <c r="L12277" s="1" t="str">
        <f>"2019-12-24 16:47:39"</f>
        <v>2019-12-24 16:47:39</v>
      </c>
      <c r="M12277" s="1" t="s">
        <v>1</v>
      </c>
      <c r="N12277" s="1" t="s">
        <v>38</v>
      </c>
      <c r="O12277" s="1" t="s">
        <v>46</v>
      </c>
    </row>
    <row r="12278" spans="2:15" x14ac:dyDescent="0.3">
      <c r="B12278" s="1" t="s">
        <v>20</v>
      </c>
      <c r="C12278" s="1" t="str">
        <f t="shared" si="619"/>
        <v>4차</v>
      </c>
      <c r="D12278" s="1" t="str">
        <f>"9626Z22244"</f>
        <v>9626Z22244</v>
      </c>
      <c r="E12278" s="1" t="s">
        <v>10</v>
      </c>
      <c r="F12278" s="1" t="str">
        <f>"10.10.105.138"</f>
        <v>10.10.105.138</v>
      </c>
      <c r="G12278" s="1" t="str">
        <f>"9626Z222"</f>
        <v>9626Z222</v>
      </c>
      <c r="H12278" s="1" t="str">
        <f>"당인간 44L8L5"</f>
        <v>당인간 44L8L5</v>
      </c>
      <c r="I12278" s="1" t="s">
        <v>8</v>
      </c>
      <c r="J12278" s="1" t="str">
        <f>"41/41"</f>
        <v>41/41</v>
      </c>
      <c r="K12278" s="1" t="str">
        <f t="shared" si="620"/>
        <v>2026-07-29 13:18:11</v>
      </c>
      <c r="L12278" s="1" t="str">
        <f>"2019-11-12 17:37:12"</f>
        <v>2019-11-12 17:37:12</v>
      </c>
      <c r="M12278" s="1" t="s">
        <v>1</v>
      </c>
      <c r="N12278" s="1" t="s">
        <v>38</v>
      </c>
      <c r="O12278" s="1" t="s">
        <v>46</v>
      </c>
    </row>
    <row r="12279" spans="2:15" x14ac:dyDescent="0.3">
      <c r="B12279" s="1" t="s">
        <v>20</v>
      </c>
      <c r="C12279" s="1" t="str">
        <f t="shared" si="619"/>
        <v>4차</v>
      </c>
      <c r="D12279" s="1" t="str">
        <f>"9626Z22344"</f>
        <v>9626Z22344</v>
      </c>
      <c r="E12279" s="1" t="s">
        <v>10</v>
      </c>
      <c r="F12279" s="1" t="str">
        <f>"10.10.72.178"</f>
        <v>10.10.72.178</v>
      </c>
      <c r="G12279" s="1" t="str">
        <f>"9626Z223"</f>
        <v>9626Z223</v>
      </c>
      <c r="H12279" s="1" t="str">
        <f>"당인간 44L8L4"</f>
        <v>당인간 44L8L4</v>
      </c>
      <c r="I12279" s="1" t="s">
        <v>8</v>
      </c>
      <c r="J12279" s="1" t="str">
        <f>"31/36"</f>
        <v>31/36</v>
      </c>
      <c r="K12279" s="1" t="str">
        <f t="shared" si="620"/>
        <v>2026-07-29 13:18:11</v>
      </c>
      <c r="L12279" s="1" t="str">
        <f>"2019-11-12 17:54:45"</f>
        <v>2019-11-12 17:54:45</v>
      </c>
      <c r="M12279" s="1" t="s">
        <v>1</v>
      </c>
      <c r="N12279" s="1" t="s">
        <v>38</v>
      </c>
      <c r="O12279" s="1" t="s">
        <v>46</v>
      </c>
    </row>
    <row r="12280" spans="2:15" x14ac:dyDescent="0.3">
      <c r="B12280" s="1" t="s">
        <v>20</v>
      </c>
      <c r="C12280" s="1" t="str">
        <f t="shared" si="619"/>
        <v>4차</v>
      </c>
      <c r="D12280" s="1" t="str">
        <f>"9626Z24144"</f>
        <v>9626Z24144</v>
      </c>
      <c r="E12280" s="1" t="s">
        <v>10</v>
      </c>
      <c r="F12280" s="1" t="str">
        <f>"10.10.73.18"</f>
        <v>10.10.73.18</v>
      </c>
      <c r="G12280" s="1" t="str">
        <f>"9626Z241"</f>
        <v>9626Z241</v>
      </c>
      <c r="H12280" s="1" t="str">
        <f>"당인간 44L8L6"</f>
        <v>당인간 44L8L6</v>
      </c>
      <c r="I12280" s="1" t="s">
        <v>8</v>
      </c>
      <c r="J12280" s="1" t="str">
        <f>"33/33"</f>
        <v>33/33</v>
      </c>
      <c r="K12280" s="1" t="str">
        <f t="shared" si="620"/>
        <v>2026-07-29 13:18:11</v>
      </c>
      <c r="L12280" s="1" t="str">
        <f>"2019-11-12 16:23:42"</f>
        <v>2019-11-12 16:23:42</v>
      </c>
      <c r="M12280" s="1" t="s">
        <v>1</v>
      </c>
      <c r="N12280" s="1" t="s">
        <v>38</v>
      </c>
      <c r="O12280" s="1" t="s">
        <v>46</v>
      </c>
    </row>
    <row r="12281" spans="2:15" x14ac:dyDescent="0.3">
      <c r="B12281" s="1" t="s">
        <v>20</v>
      </c>
      <c r="C12281" s="1" t="str">
        <f t="shared" si="619"/>
        <v>4차</v>
      </c>
      <c r="D12281" s="1" t="str">
        <f>"9626Z24244"</f>
        <v>9626Z24244</v>
      </c>
      <c r="E12281" s="1" t="s">
        <v>10</v>
      </c>
      <c r="F12281" s="1" t="str">
        <f>"10.10.72.226"</f>
        <v>10.10.72.226</v>
      </c>
      <c r="G12281" s="1" t="str">
        <f>"9626Z242"</f>
        <v>9626Z242</v>
      </c>
      <c r="H12281" s="1" t="str">
        <f>"당인간 44L8L6L1"</f>
        <v>당인간 44L8L6L1</v>
      </c>
      <c r="I12281" s="1" t="s">
        <v>8</v>
      </c>
      <c r="J12281" s="1" t="str">
        <f>"37/37"</f>
        <v>37/37</v>
      </c>
      <c r="K12281" s="1" t="str">
        <f t="shared" si="620"/>
        <v>2026-07-29 13:18:11</v>
      </c>
      <c r="L12281" s="1" t="str">
        <f>"2019-12-11 17:46:29"</f>
        <v>2019-12-11 17:46:29</v>
      </c>
      <c r="M12281" s="1" t="s">
        <v>1</v>
      </c>
      <c r="N12281" s="1" t="s">
        <v>38</v>
      </c>
      <c r="O12281" s="1" t="s">
        <v>46</v>
      </c>
    </row>
    <row r="12282" spans="2:15" x14ac:dyDescent="0.3">
      <c r="B12282" s="1" t="s">
        <v>20</v>
      </c>
      <c r="C12282" s="1" t="str">
        <f t="shared" si="619"/>
        <v>4차</v>
      </c>
      <c r="D12282" s="1" t="str">
        <f>"9626Z26144"</f>
        <v>9626Z26144</v>
      </c>
      <c r="E12282" s="1" t="s">
        <v>10</v>
      </c>
      <c r="F12282" s="1" t="str">
        <f>"10.10.87.218"</f>
        <v>10.10.87.218</v>
      </c>
      <c r="G12282" s="1" t="str">
        <f>"9626Z261"</f>
        <v>9626Z261</v>
      </c>
      <c r="H12282" s="1" t="str">
        <f>"성산간 38L18"</f>
        <v>성산간 38L18</v>
      </c>
      <c r="I12282" s="1" t="s">
        <v>8</v>
      </c>
      <c r="J12282" s="1" t="str">
        <f>"31/31"</f>
        <v>31/31</v>
      </c>
      <c r="K12282" s="1" t="str">
        <f t="shared" si="620"/>
        <v>2026-07-29 13:18:11</v>
      </c>
      <c r="L12282" s="1" t="str">
        <f>"2019-11-14 16:25:52"</f>
        <v>2019-11-14 16:25:52</v>
      </c>
      <c r="M12282" s="1" t="s">
        <v>1</v>
      </c>
      <c r="N12282" s="1" t="s">
        <v>38</v>
      </c>
      <c r="O12282" s="1" t="s">
        <v>46</v>
      </c>
    </row>
    <row r="12283" spans="2:15" x14ac:dyDescent="0.3">
      <c r="B12283" s="1" t="s">
        <v>20</v>
      </c>
      <c r="C12283" s="1" t="str">
        <f t="shared" si="619"/>
        <v>4차</v>
      </c>
      <c r="D12283" s="1" t="str">
        <f>"9626Z27144"</f>
        <v>9626Z27144</v>
      </c>
      <c r="E12283" s="1" t="s">
        <v>10</v>
      </c>
      <c r="F12283" s="1" t="str">
        <f>"10.10.87.178"</f>
        <v>10.10.87.178</v>
      </c>
      <c r="G12283" s="1" t="str">
        <f>"9626Z271"</f>
        <v>9626Z271</v>
      </c>
      <c r="H12283" s="1" t="str">
        <f>"성산간 38L17"</f>
        <v>성산간 38L17</v>
      </c>
      <c r="I12283" s="1" t="s">
        <v>8</v>
      </c>
      <c r="J12283" s="1" t="str">
        <f>"46/46"</f>
        <v>46/46</v>
      </c>
      <c r="K12283" s="1" t="str">
        <f t="shared" si="620"/>
        <v>2026-07-29 13:18:11</v>
      </c>
      <c r="L12283" s="1" t="str">
        <f>"2019-11-14 16:30:36"</f>
        <v>2019-11-14 16:30:36</v>
      </c>
      <c r="M12283" s="1" t="s">
        <v>1</v>
      </c>
      <c r="N12283" s="1" t="s">
        <v>38</v>
      </c>
      <c r="O12283" s="1" t="s">
        <v>46</v>
      </c>
    </row>
    <row r="12284" spans="2:15" x14ac:dyDescent="0.3">
      <c r="B12284" s="1" t="s">
        <v>20</v>
      </c>
      <c r="C12284" s="1" t="str">
        <f t="shared" si="619"/>
        <v>4차</v>
      </c>
      <c r="D12284" s="1" t="str">
        <f>"9626Z28144"</f>
        <v>9626Z28144</v>
      </c>
      <c r="E12284" s="1" t="s">
        <v>10</v>
      </c>
      <c r="F12284" s="1" t="str">
        <f>"10.10.86.154"</f>
        <v>10.10.86.154</v>
      </c>
      <c r="G12284" s="1" t="str">
        <f>"9626Z281"</f>
        <v>9626Z281</v>
      </c>
      <c r="H12284" s="1" t="str">
        <f>"성산간 38L16"</f>
        <v>성산간 38L16</v>
      </c>
      <c r="I12284" s="1" t="s">
        <v>8</v>
      </c>
      <c r="J12284" s="1" t="str">
        <f>"64/65"</f>
        <v>64/65</v>
      </c>
      <c r="K12284" s="1" t="str">
        <f t="shared" si="620"/>
        <v>2026-07-29 13:18:11</v>
      </c>
      <c r="L12284" s="1" t="str">
        <f>"2020-01-10 17:18:09"</f>
        <v>2020-01-10 17:18:09</v>
      </c>
      <c r="M12284" s="1" t="s">
        <v>1</v>
      </c>
      <c r="N12284" s="1" t="s">
        <v>38</v>
      </c>
      <c r="O12284" s="1" t="s">
        <v>46</v>
      </c>
    </row>
    <row r="12285" spans="2:15" x14ac:dyDescent="0.3">
      <c r="B12285" s="1" t="s">
        <v>20</v>
      </c>
      <c r="C12285" s="1" t="str">
        <f t="shared" si="619"/>
        <v>4차</v>
      </c>
      <c r="D12285" s="1" t="str">
        <f>"9626Z29244"</f>
        <v>9626Z29244</v>
      </c>
      <c r="E12285" s="1" t="s">
        <v>10</v>
      </c>
      <c r="F12285" s="1" t="str">
        <f>"10.10.86.130"</f>
        <v>10.10.86.130</v>
      </c>
      <c r="G12285" s="1" t="str">
        <f>"9626Z292"</f>
        <v>9626Z292</v>
      </c>
      <c r="H12285" s="1" t="str">
        <f>"성산간 38L15"</f>
        <v>성산간 38L15</v>
      </c>
      <c r="I12285" s="1" t="s">
        <v>8</v>
      </c>
      <c r="J12285" s="1" t="str">
        <f>"52/52"</f>
        <v>52/52</v>
      </c>
      <c r="K12285" s="1" t="str">
        <f t="shared" si="620"/>
        <v>2026-07-29 13:18:11</v>
      </c>
      <c r="L12285" s="1" t="str">
        <f>"2019-12-11 18:06:49"</f>
        <v>2019-12-11 18:06:49</v>
      </c>
      <c r="M12285" s="1" t="s">
        <v>1</v>
      </c>
      <c r="N12285" s="1" t="s">
        <v>38</v>
      </c>
      <c r="O12285" s="1" t="s">
        <v>46</v>
      </c>
    </row>
    <row r="12286" spans="2:15" x14ac:dyDescent="0.3">
      <c r="B12286" s="1" t="s">
        <v>20</v>
      </c>
      <c r="C12286" s="1" t="str">
        <f t="shared" si="619"/>
        <v>4차</v>
      </c>
      <c r="D12286" s="1" t="str">
        <f>"9626Z30344"</f>
        <v>9626Z30344</v>
      </c>
      <c r="E12286" s="1" t="s">
        <v>10</v>
      </c>
      <c r="F12286" s="1" t="str">
        <f>"10.10.105.130"</f>
        <v>10.10.105.130</v>
      </c>
      <c r="G12286" s="1" t="str">
        <f>"9626Z303"</f>
        <v>9626Z303</v>
      </c>
      <c r="H12286" s="1" t="str">
        <f>"당인간 44L8L1"</f>
        <v>당인간 44L8L1</v>
      </c>
      <c r="I12286" s="1" t="s">
        <v>8</v>
      </c>
      <c r="J12286" s="1" t="str">
        <f>"23/24"</f>
        <v>23/24</v>
      </c>
      <c r="K12286" s="1" t="str">
        <f t="shared" si="620"/>
        <v>2026-07-29 13:18:11</v>
      </c>
      <c r="L12286" s="1" t="str">
        <f>"2019-11-14 11:13:05"</f>
        <v>2019-11-14 11:13:05</v>
      </c>
      <c r="M12286" s="1" t="s">
        <v>1</v>
      </c>
      <c r="N12286" s="1" t="s">
        <v>38</v>
      </c>
      <c r="O12286" s="1" t="s">
        <v>46</v>
      </c>
    </row>
    <row r="12287" spans="2:15" x14ac:dyDescent="0.3">
      <c r="B12287" s="1" t="s">
        <v>20</v>
      </c>
      <c r="C12287" s="1" t="str">
        <f t="shared" si="619"/>
        <v>4차</v>
      </c>
      <c r="D12287" s="1" t="str">
        <f>"9626Z31144"</f>
        <v>9626Z31144</v>
      </c>
      <c r="E12287" s="1" t="s">
        <v>10</v>
      </c>
      <c r="F12287" s="1" t="str">
        <f>"10.10.71.202"</f>
        <v>10.10.71.202</v>
      </c>
      <c r="G12287" s="1" t="str">
        <f>"9626Z311"</f>
        <v>9626Z311</v>
      </c>
      <c r="H12287" s="1" t="str">
        <f>"당인간 44L8L2"</f>
        <v>당인간 44L8L2</v>
      </c>
      <c r="I12287" s="1" t="s">
        <v>8</v>
      </c>
      <c r="J12287" s="1" t="str">
        <f>"25/25"</f>
        <v>25/25</v>
      </c>
      <c r="K12287" s="1" t="str">
        <f t="shared" si="620"/>
        <v>2026-07-29 13:18:11</v>
      </c>
      <c r="L12287" s="1" t="str">
        <f>"2019-11-12 14:16:01"</f>
        <v>2019-11-12 14:16:01</v>
      </c>
      <c r="M12287" s="1" t="s">
        <v>1</v>
      </c>
      <c r="N12287" s="1" t="s">
        <v>38</v>
      </c>
      <c r="O12287" s="1" t="s">
        <v>46</v>
      </c>
    </row>
    <row r="12288" spans="2:15" x14ac:dyDescent="0.3">
      <c r="B12288" s="1" t="s">
        <v>20</v>
      </c>
      <c r="C12288" s="1" t="str">
        <f t="shared" si="619"/>
        <v>4차</v>
      </c>
      <c r="D12288" s="1" t="str">
        <f>"9626Z32144"</f>
        <v>9626Z32144</v>
      </c>
      <c r="E12288" s="1" t="s">
        <v>10</v>
      </c>
      <c r="F12288" s="1" t="str">
        <f>"10.10.96.146"</f>
        <v>10.10.96.146</v>
      </c>
      <c r="G12288" s="1" t="str">
        <f>"9626Z321"</f>
        <v>9626Z321</v>
      </c>
      <c r="H12288" s="1" t="str">
        <f>"당인간 44L10L2"</f>
        <v>당인간 44L10L2</v>
      </c>
      <c r="I12288" s="1" t="s">
        <v>8</v>
      </c>
      <c r="J12288" s="1" t="str">
        <f>"66/66"</f>
        <v>66/66</v>
      </c>
      <c r="K12288" s="1" t="str">
        <f t="shared" si="620"/>
        <v>2026-07-29 13:18:11</v>
      </c>
      <c r="L12288" s="1" t="str">
        <f>"2019-12-11 17:50:05"</f>
        <v>2019-12-11 17:50:05</v>
      </c>
      <c r="M12288" s="1" t="s">
        <v>1</v>
      </c>
      <c r="N12288" s="1" t="s">
        <v>38</v>
      </c>
      <c r="O12288" s="1" t="s">
        <v>46</v>
      </c>
    </row>
    <row r="12289" spans="2:15" x14ac:dyDescent="0.3">
      <c r="B12289" s="1" t="s">
        <v>20</v>
      </c>
      <c r="C12289" s="1" t="str">
        <f t="shared" si="619"/>
        <v>4차</v>
      </c>
      <c r="D12289" s="1" t="str">
        <f>"9626Z33144"</f>
        <v>9626Z33144</v>
      </c>
      <c r="E12289" s="1" t="s">
        <v>10</v>
      </c>
      <c r="F12289" s="1" t="str">
        <f>"10.10.73.34"</f>
        <v>10.10.73.34</v>
      </c>
      <c r="G12289" s="1" t="str">
        <f>"9626Z331"</f>
        <v>9626Z331</v>
      </c>
      <c r="H12289" s="1" t="str">
        <f>"당인간 44L8L7"</f>
        <v>당인간 44L8L7</v>
      </c>
      <c r="I12289" s="1" t="s">
        <v>8</v>
      </c>
      <c r="J12289" s="1" t="str">
        <f>"70/70"</f>
        <v>70/70</v>
      </c>
      <c r="K12289" s="1" t="str">
        <f t="shared" si="620"/>
        <v>2026-07-29 13:18:11</v>
      </c>
      <c r="L12289" s="1" t="str">
        <f>"2019-12-12 01:53:16"</f>
        <v>2019-12-12 01:53:16</v>
      </c>
      <c r="M12289" s="1" t="s">
        <v>1</v>
      </c>
      <c r="N12289" s="1" t="s">
        <v>38</v>
      </c>
      <c r="O12289" s="1" t="s">
        <v>46</v>
      </c>
    </row>
    <row r="12290" spans="2:15" x14ac:dyDescent="0.3">
      <c r="B12290" s="1" t="s">
        <v>20</v>
      </c>
      <c r="C12290" s="1" t="str">
        <f t="shared" si="619"/>
        <v>4차</v>
      </c>
      <c r="D12290" s="1" t="str">
        <f>"9626Z35144"</f>
        <v>9626Z35144</v>
      </c>
      <c r="E12290" s="1" t="s">
        <v>10</v>
      </c>
      <c r="F12290" s="1" t="str">
        <f>"10.10.87.250"</f>
        <v>10.10.87.250</v>
      </c>
      <c r="G12290" s="1" t="str">
        <f>"9626Z351"</f>
        <v>9626Z351</v>
      </c>
      <c r="H12290" s="1" t="str">
        <f>"성산간 38L19"</f>
        <v>성산간 38L19</v>
      </c>
      <c r="I12290" s="1" t="s">
        <v>8</v>
      </c>
      <c r="J12290" s="1" t="str">
        <f>"41/42"</f>
        <v>41/42</v>
      </c>
      <c r="K12290" s="1" t="str">
        <f t="shared" si="620"/>
        <v>2026-07-29 13:18:11</v>
      </c>
      <c r="L12290" s="1" t="str">
        <f>"2019-12-11 18:07:12"</f>
        <v>2019-12-11 18:07:12</v>
      </c>
      <c r="M12290" s="1" t="s">
        <v>1</v>
      </c>
      <c r="N12290" s="1" t="s">
        <v>38</v>
      </c>
      <c r="O12290" s="1" t="s">
        <v>46</v>
      </c>
    </row>
    <row r="12291" spans="2:15" x14ac:dyDescent="0.3">
      <c r="B12291" s="1" t="s">
        <v>20</v>
      </c>
      <c r="C12291" s="1" t="str">
        <f t="shared" si="619"/>
        <v>4차</v>
      </c>
      <c r="D12291" s="1" t="str">
        <f>"9626Z37144"</f>
        <v>9626Z37144</v>
      </c>
      <c r="E12291" s="1" t="s">
        <v>10</v>
      </c>
      <c r="F12291" s="1" t="str">
        <f>"10.10.109.186"</f>
        <v>10.10.109.186</v>
      </c>
      <c r="G12291" s="1" t="str">
        <f>"9626Z371"</f>
        <v>9626Z371</v>
      </c>
      <c r="H12291" s="1" t="str">
        <f>"성산간 38L14L2"</f>
        <v>성산간 38L14L2</v>
      </c>
      <c r="I12291" s="1" t="s">
        <v>8</v>
      </c>
      <c r="J12291" s="1" t="str">
        <f>"25/25"</f>
        <v>25/25</v>
      </c>
      <c r="K12291" s="1" t="str">
        <f t="shared" si="620"/>
        <v>2026-07-29 13:18:11</v>
      </c>
      <c r="L12291" s="1" t="str">
        <f>"2019-11-14 16:20:08"</f>
        <v>2019-11-14 16:20:08</v>
      </c>
      <c r="M12291" s="1" t="s">
        <v>1</v>
      </c>
      <c r="N12291" s="1" t="s">
        <v>38</v>
      </c>
      <c r="O12291" s="1" t="s">
        <v>46</v>
      </c>
    </row>
    <row r="12292" spans="2:15" x14ac:dyDescent="0.3">
      <c r="B12292" s="1" t="s">
        <v>20</v>
      </c>
      <c r="C12292" s="1" t="str">
        <f t="shared" si="619"/>
        <v>4차</v>
      </c>
      <c r="D12292" s="1" t="str">
        <f>"9626Z39144"</f>
        <v>9626Z39144</v>
      </c>
      <c r="E12292" s="1" t="s">
        <v>10</v>
      </c>
      <c r="F12292" s="1" t="str">
        <f>"10.10.86.90"</f>
        <v>10.10.86.90</v>
      </c>
      <c r="G12292" s="1" t="str">
        <f>"9626Z391"</f>
        <v>9626Z391</v>
      </c>
      <c r="H12292" s="1" t="str">
        <f>"성산간 38L14"</f>
        <v>성산간 38L14</v>
      </c>
      <c r="I12292" s="1" t="s">
        <v>8</v>
      </c>
      <c r="J12292" s="1" t="str">
        <f>"59/59"</f>
        <v>59/59</v>
      </c>
      <c r="K12292" s="1" t="str">
        <f t="shared" si="620"/>
        <v>2026-07-29 13:18:11</v>
      </c>
      <c r="L12292" s="1" t="str">
        <f>"2019-12-11 18:08:46"</f>
        <v>2019-12-11 18:08:46</v>
      </c>
      <c r="M12292" s="1" t="s">
        <v>1</v>
      </c>
      <c r="N12292" s="1" t="s">
        <v>38</v>
      </c>
      <c r="O12292" s="1" t="s">
        <v>46</v>
      </c>
    </row>
    <row r="12293" spans="2:15" x14ac:dyDescent="0.3">
      <c r="B12293" s="1" t="s">
        <v>20</v>
      </c>
      <c r="C12293" s="1" t="str">
        <f t="shared" si="619"/>
        <v>4차</v>
      </c>
      <c r="D12293" s="1" t="str">
        <f>"9626Z40344"</f>
        <v>9626Z40344</v>
      </c>
      <c r="E12293" s="1" t="s">
        <v>10</v>
      </c>
      <c r="F12293" s="1" t="str">
        <f>"10.10.71.242"</f>
        <v>10.10.71.242</v>
      </c>
      <c r="G12293" s="1" t="str">
        <f>"9626Z403"</f>
        <v>9626Z403</v>
      </c>
      <c r="H12293" s="1" t="str">
        <f>"당인간 44L7R3"</f>
        <v>당인간 44L7R3</v>
      </c>
      <c r="I12293" s="1" t="s">
        <v>8</v>
      </c>
      <c r="J12293" s="1" t="str">
        <f>"86/86"</f>
        <v>86/86</v>
      </c>
      <c r="K12293" s="1" t="str">
        <f t="shared" si="620"/>
        <v>2026-07-29 13:18:11</v>
      </c>
      <c r="L12293" s="1" t="str">
        <f>"2019-12-11 17:53:52"</f>
        <v>2019-12-11 17:53:52</v>
      </c>
      <c r="M12293" s="1" t="s">
        <v>1</v>
      </c>
      <c r="N12293" s="1" t="s">
        <v>38</v>
      </c>
      <c r="O12293" s="1" t="s">
        <v>46</v>
      </c>
    </row>
    <row r="12294" spans="2:15" x14ac:dyDescent="0.3">
      <c r="B12294" s="1" t="s">
        <v>20</v>
      </c>
      <c r="C12294" s="1" t="str">
        <f t="shared" si="619"/>
        <v>4차</v>
      </c>
      <c r="D12294" s="1" t="str">
        <f>"9626Z40544"</f>
        <v>9626Z40544</v>
      </c>
      <c r="E12294" s="1" t="s">
        <v>10</v>
      </c>
      <c r="F12294" s="1" t="str">
        <f>"10.10.71.226"</f>
        <v>10.10.71.226</v>
      </c>
      <c r="G12294" s="1" t="str">
        <f>"9626Z405"</f>
        <v>9626Z405</v>
      </c>
      <c r="H12294" s="1" t="str">
        <f>"당인간 44L7R2"</f>
        <v>당인간 44L7R2</v>
      </c>
      <c r="I12294" s="1" t="s">
        <v>8</v>
      </c>
      <c r="J12294" s="1" t="str">
        <f>"35/35"</f>
        <v>35/35</v>
      </c>
      <c r="K12294" s="1" t="str">
        <f t="shared" si="620"/>
        <v>2026-07-29 13:18:11</v>
      </c>
      <c r="L12294" s="1" t="str">
        <f>"2019-12-11 17:52:25"</f>
        <v>2019-12-11 17:52:25</v>
      </c>
      <c r="M12294" s="1" t="s">
        <v>1</v>
      </c>
      <c r="N12294" s="1" t="s">
        <v>38</v>
      </c>
      <c r="O12294" s="1" t="s">
        <v>46</v>
      </c>
    </row>
    <row r="12295" spans="2:15" x14ac:dyDescent="0.3">
      <c r="B12295" s="1" t="s">
        <v>20</v>
      </c>
      <c r="C12295" s="1" t="str">
        <f>"1차"</f>
        <v>1차</v>
      </c>
      <c r="D12295" s="1" t="str">
        <f>"9626Z41100"</f>
        <v>9626Z41100</v>
      </c>
      <c r="E12295" s="1" t="s">
        <v>14</v>
      </c>
      <c r="F12295" s="1" t="str">
        <f>"10.125.192.242"</f>
        <v>10.125.192.242</v>
      </c>
      <c r="G12295" s="1" t="str">
        <f>"9626Z411"</f>
        <v>9626Z411</v>
      </c>
      <c r="H12295" s="1" t="str">
        <f>"당인간 44L10L1"</f>
        <v>당인간 44L10L1</v>
      </c>
      <c r="I12295" s="1" t="s">
        <v>8</v>
      </c>
      <c r="J12295" s="1" t="str">
        <f>"0/0"</f>
        <v>0/0</v>
      </c>
      <c r="K12295" s="1" t="str">
        <f>"2026-07-02 13:18:11"</f>
        <v>2026-07-02 13:18:11</v>
      </c>
      <c r="L12295" s="1" t="str">
        <f>"2014-12-10 11:53:38"</f>
        <v>2014-12-10 11:53:38</v>
      </c>
      <c r="M12295" s="1" t="s">
        <v>45</v>
      </c>
      <c r="N12295" s="1" t="s">
        <v>44</v>
      </c>
      <c r="O12295" s="1" t="s">
        <v>44</v>
      </c>
    </row>
    <row r="12296" spans="2:15" x14ac:dyDescent="0.3">
      <c r="B12296" s="1" t="s">
        <v>20</v>
      </c>
      <c r="C12296" s="1" t="str">
        <f>"6차"</f>
        <v>6차</v>
      </c>
      <c r="D12296" s="1" t="str">
        <f>"9626Z4216S"</f>
        <v>9626Z4216S</v>
      </c>
      <c r="E12296" s="1" t="s">
        <v>10</v>
      </c>
      <c r="F12296" s="1" t="str">
        <f>"fde1:103:4:c766:0:0:0:2"</f>
        <v>fde1:103:4:c766:0:0:0:2</v>
      </c>
      <c r="G12296" s="1" t="str">
        <f>"9626Z421"</f>
        <v>9626Z421</v>
      </c>
      <c r="H12296" s="1" t="str">
        <f>"당인간 44L11L2"</f>
        <v>당인간 44L11L2</v>
      </c>
      <c r="I12296" s="1" t="s">
        <v>15</v>
      </c>
      <c r="J12296" s="1" t="str">
        <f>"61/61"</f>
        <v>61/61</v>
      </c>
      <c r="K12296" s="1" t="str">
        <f>"2026-07-29 14:21:45"</f>
        <v>2026-07-29 14:21:45</v>
      </c>
      <c r="L12296" s="1" t="str">
        <f>"2024-11-22 15:38:00"</f>
        <v>2024-11-22 15:38:00</v>
      </c>
      <c r="M12296" s="1" t="s">
        <v>4</v>
      </c>
      <c r="N12296" s="1" t="s">
        <v>38</v>
      </c>
      <c r="O12296" s="1" t="s">
        <v>46</v>
      </c>
    </row>
    <row r="12297" spans="2:15" x14ac:dyDescent="0.3">
      <c r="B12297" s="1" t="s">
        <v>20</v>
      </c>
      <c r="C12297" s="1" t="str">
        <f>"1차"</f>
        <v>1차</v>
      </c>
      <c r="D12297" s="1" t="str">
        <f>"9626Z43100"</f>
        <v>9626Z43100</v>
      </c>
      <c r="E12297" s="1" t="s">
        <v>10</v>
      </c>
      <c r="F12297" s="1" t="str">
        <f>"10.125.192.226"</f>
        <v>10.125.192.226</v>
      </c>
      <c r="G12297" s="1" t="str">
        <f>"9626Z431"</f>
        <v>9626Z431</v>
      </c>
      <c r="H12297" s="1" t="str">
        <f>"당인간 44L11L3"</f>
        <v>당인간 44L11L3</v>
      </c>
      <c r="I12297" s="1" t="s">
        <v>8</v>
      </c>
      <c r="J12297" s="1" t="str">
        <f>"17/17"</f>
        <v>17/17</v>
      </c>
      <c r="K12297" s="1" t="str">
        <f t="shared" ref="K12297:K12309" si="621">"2026-07-29 13:18:11"</f>
        <v>2026-07-29 13:18:11</v>
      </c>
      <c r="L12297" s="1" t="str">
        <f>"2014-12-04 16:11:35"</f>
        <v>2014-12-04 16:11:35</v>
      </c>
      <c r="M12297" s="1" t="s">
        <v>45</v>
      </c>
      <c r="N12297" s="1" t="s">
        <v>38</v>
      </c>
      <c r="O12297" s="1" t="s">
        <v>46</v>
      </c>
    </row>
    <row r="12298" spans="2:15" x14ac:dyDescent="0.3">
      <c r="B12298" s="1" t="s">
        <v>20</v>
      </c>
      <c r="C12298" s="1" t="str">
        <f t="shared" ref="C12298:C12309" si="622">"4차"</f>
        <v>4차</v>
      </c>
      <c r="D12298" s="1" t="str">
        <f>"9626Z44244"</f>
        <v>9626Z44244</v>
      </c>
      <c r="E12298" s="1" t="s">
        <v>10</v>
      </c>
      <c r="F12298" s="1" t="str">
        <f>"10.10.96.242"</f>
        <v>10.10.96.242</v>
      </c>
      <c r="G12298" s="1" t="str">
        <f>"9626Z442"</f>
        <v>9626Z442</v>
      </c>
      <c r="H12298" s="1" t="str">
        <f>"당인간 44L11L5"</f>
        <v>당인간 44L11L5</v>
      </c>
      <c r="I12298" s="1" t="s">
        <v>8</v>
      </c>
      <c r="J12298" s="1" t="str">
        <f>"74/74"</f>
        <v>74/74</v>
      </c>
      <c r="K12298" s="1" t="str">
        <f t="shared" si="621"/>
        <v>2026-07-29 13:18:11</v>
      </c>
      <c r="L12298" s="1" t="str">
        <f>"2020-01-18 10:59:49"</f>
        <v>2020-01-18 10:59:49</v>
      </c>
      <c r="M12298" s="1" t="s">
        <v>1</v>
      </c>
      <c r="N12298" s="1" t="s">
        <v>38</v>
      </c>
      <c r="O12298" s="1" t="s">
        <v>46</v>
      </c>
    </row>
    <row r="12299" spans="2:15" x14ac:dyDescent="0.3">
      <c r="B12299" s="1" t="s">
        <v>20</v>
      </c>
      <c r="C12299" s="1" t="str">
        <f t="shared" si="622"/>
        <v>4차</v>
      </c>
      <c r="D12299" s="1" t="str">
        <f>"9626Z45144"</f>
        <v>9626Z45144</v>
      </c>
      <c r="E12299" s="1" t="s">
        <v>10</v>
      </c>
      <c r="F12299" s="1" t="str">
        <f>"10.10.96.186"</f>
        <v>10.10.96.186</v>
      </c>
      <c r="G12299" s="1" t="str">
        <f>"9626Z451"</f>
        <v>9626Z451</v>
      </c>
      <c r="H12299" s="1" t="str">
        <f>"당인간 44L11L4L2"</f>
        <v>당인간 44L11L4L2</v>
      </c>
      <c r="I12299" s="1" t="s">
        <v>8</v>
      </c>
      <c r="J12299" s="1" t="str">
        <f>"83/83"</f>
        <v>83/83</v>
      </c>
      <c r="K12299" s="1" t="str">
        <f t="shared" si="621"/>
        <v>2026-07-29 13:18:11</v>
      </c>
      <c r="L12299" s="1" t="str">
        <f>"2019-12-11 17:49:18"</f>
        <v>2019-12-11 17:49:18</v>
      </c>
      <c r="M12299" s="1" t="s">
        <v>1</v>
      </c>
      <c r="N12299" s="1" t="s">
        <v>38</v>
      </c>
      <c r="O12299" s="1" t="s">
        <v>46</v>
      </c>
    </row>
    <row r="12300" spans="2:15" x14ac:dyDescent="0.3">
      <c r="B12300" s="1" t="s">
        <v>20</v>
      </c>
      <c r="C12300" s="1" t="str">
        <f t="shared" si="622"/>
        <v>4차</v>
      </c>
      <c r="D12300" s="1" t="str">
        <f>"9626Z46244"</f>
        <v>9626Z46244</v>
      </c>
      <c r="E12300" s="1" t="s">
        <v>10</v>
      </c>
      <c r="F12300" s="1" t="str">
        <f>"10.10.90.218"</f>
        <v>10.10.90.218</v>
      </c>
      <c r="G12300" s="1" t="str">
        <f>"9626Z462"</f>
        <v>9626Z462</v>
      </c>
      <c r="H12300" s="1" t="str">
        <f>"성산간 38L7L4"</f>
        <v>성산간 38L7L4</v>
      </c>
      <c r="I12300" s="1" t="s">
        <v>8</v>
      </c>
      <c r="J12300" s="1" t="str">
        <f>"85/85"</f>
        <v>85/85</v>
      </c>
      <c r="K12300" s="1" t="str">
        <f t="shared" si="621"/>
        <v>2026-07-29 13:18:11</v>
      </c>
      <c r="L12300" s="1" t="str">
        <f>"2019-11-14 16:18:58"</f>
        <v>2019-11-14 16:18:58</v>
      </c>
      <c r="M12300" s="1" t="s">
        <v>1</v>
      </c>
      <c r="N12300" s="1" t="s">
        <v>38</v>
      </c>
      <c r="O12300" s="1" t="s">
        <v>46</v>
      </c>
    </row>
    <row r="12301" spans="2:15" x14ac:dyDescent="0.3">
      <c r="B12301" s="1" t="s">
        <v>20</v>
      </c>
      <c r="C12301" s="1" t="str">
        <f t="shared" si="622"/>
        <v>4차</v>
      </c>
      <c r="D12301" s="1" t="str">
        <f>"9626Z47144"</f>
        <v>9626Z47144</v>
      </c>
      <c r="E12301" s="1" t="s">
        <v>10</v>
      </c>
      <c r="F12301" s="1" t="str">
        <f>"10.10.88.202"</f>
        <v>10.10.88.202</v>
      </c>
      <c r="G12301" s="1" t="str">
        <f>"9626Z471"</f>
        <v>9626Z471</v>
      </c>
      <c r="H12301" s="1" t="str">
        <f>"성산간 38L7L3"</f>
        <v>성산간 38L7L3</v>
      </c>
      <c r="I12301" s="1" t="s">
        <v>8</v>
      </c>
      <c r="J12301" s="1" t="str">
        <f>"44/45"</f>
        <v>44/45</v>
      </c>
      <c r="K12301" s="1" t="str">
        <f t="shared" si="621"/>
        <v>2026-07-29 13:18:11</v>
      </c>
      <c r="L12301" s="1" t="str">
        <f>"2019-11-14 16:23:57"</f>
        <v>2019-11-14 16:23:57</v>
      </c>
      <c r="M12301" s="1" t="s">
        <v>1</v>
      </c>
      <c r="N12301" s="1" t="s">
        <v>38</v>
      </c>
      <c r="O12301" s="1" t="s">
        <v>46</v>
      </c>
    </row>
    <row r="12302" spans="2:15" x14ac:dyDescent="0.3">
      <c r="B12302" s="1" t="s">
        <v>20</v>
      </c>
      <c r="C12302" s="1" t="str">
        <f t="shared" si="622"/>
        <v>4차</v>
      </c>
      <c r="D12302" s="1" t="str">
        <f>"9626Z48144"</f>
        <v>9626Z48144</v>
      </c>
      <c r="E12302" s="1" t="s">
        <v>10</v>
      </c>
      <c r="F12302" s="1" t="str">
        <f>"10.10.88.154"</f>
        <v>10.10.88.154</v>
      </c>
      <c r="G12302" s="1" t="str">
        <f>"9626Z481"</f>
        <v>9626Z481</v>
      </c>
      <c r="H12302" s="1" t="str">
        <f>"성산간 38L7L2R1"</f>
        <v>성산간 38L7L2R1</v>
      </c>
      <c r="I12302" s="1" t="s">
        <v>8</v>
      </c>
      <c r="J12302" s="1" t="str">
        <f>"50/50"</f>
        <v>50/50</v>
      </c>
      <c r="K12302" s="1" t="str">
        <f t="shared" si="621"/>
        <v>2026-07-29 13:18:11</v>
      </c>
      <c r="L12302" s="1" t="str">
        <f>"2024-06-03 15:16:03"</f>
        <v>2024-06-03 15:16:03</v>
      </c>
      <c r="M12302" s="1" t="s">
        <v>1</v>
      </c>
      <c r="N12302" s="1" t="s">
        <v>38</v>
      </c>
      <c r="O12302" s="1" t="s">
        <v>46</v>
      </c>
    </row>
    <row r="12303" spans="2:15" x14ac:dyDescent="0.3">
      <c r="B12303" s="1" t="s">
        <v>20</v>
      </c>
      <c r="C12303" s="1" t="str">
        <f t="shared" si="622"/>
        <v>4차</v>
      </c>
      <c r="D12303" s="1" t="str">
        <f>"9626Z49144"</f>
        <v>9626Z49144</v>
      </c>
      <c r="E12303" s="1" t="s">
        <v>10</v>
      </c>
      <c r="F12303" s="1" t="str">
        <f>"10.10.108.234"</f>
        <v>10.10.108.234</v>
      </c>
      <c r="G12303" s="1" t="str">
        <f>"9626Z491"</f>
        <v>9626Z491</v>
      </c>
      <c r="H12303" s="1" t="str">
        <f>"성산간 38L12"</f>
        <v>성산간 38L12</v>
      </c>
      <c r="I12303" s="1" t="s">
        <v>8</v>
      </c>
      <c r="J12303" s="1" t="str">
        <f>"23/23"</f>
        <v>23/23</v>
      </c>
      <c r="K12303" s="1" t="str">
        <f t="shared" si="621"/>
        <v>2026-07-29 13:18:11</v>
      </c>
      <c r="L12303" s="1" t="str">
        <f>"2019-11-14 16:52:30"</f>
        <v>2019-11-14 16:52:30</v>
      </c>
      <c r="M12303" s="1" t="s">
        <v>1</v>
      </c>
      <c r="N12303" s="1" t="s">
        <v>38</v>
      </c>
      <c r="O12303" s="1" t="s">
        <v>46</v>
      </c>
    </row>
    <row r="12304" spans="2:15" x14ac:dyDescent="0.3">
      <c r="B12304" s="1" t="s">
        <v>20</v>
      </c>
      <c r="C12304" s="1" t="str">
        <f t="shared" si="622"/>
        <v>4차</v>
      </c>
      <c r="D12304" s="1" t="str">
        <f>"9626Z49244"</f>
        <v>9626Z49244</v>
      </c>
      <c r="E12304" s="1" t="s">
        <v>10</v>
      </c>
      <c r="F12304" s="1" t="str">
        <f>"10.10.86.66"</f>
        <v>10.10.86.66</v>
      </c>
      <c r="G12304" s="1" t="str">
        <f>"9626Z492"</f>
        <v>9626Z492</v>
      </c>
      <c r="H12304" s="1" t="str">
        <f>"성산간 38L13"</f>
        <v>성산간 38L13</v>
      </c>
      <c r="I12304" s="1" t="s">
        <v>8</v>
      </c>
      <c r="J12304" s="1" t="str">
        <f>"30/30"</f>
        <v>30/30</v>
      </c>
      <c r="K12304" s="1" t="str">
        <f t="shared" si="621"/>
        <v>2026-07-29 13:18:11</v>
      </c>
      <c r="L12304" s="1" t="str">
        <f>"2019-12-17 15:52:44"</f>
        <v>2019-12-17 15:52:44</v>
      </c>
      <c r="M12304" s="1" t="s">
        <v>1</v>
      </c>
      <c r="N12304" s="1" t="s">
        <v>38</v>
      </c>
      <c r="O12304" s="1" t="s">
        <v>46</v>
      </c>
    </row>
    <row r="12305" spans="2:15" x14ac:dyDescent="0.3">
      <c r="B12305" s="1" t="s">
        <v>20</v>
      </c>
      <c r="C12305" s="1" t="str">
        <f t="shared" si="622"/>
        <v>4차</v>
      </c>
      <c r="D12305" s="1" t="str">
        <f>"9626Z55144"</f>
        <v>9626Z55144</v>
      </c>
      <c r="E12305" s="1" t="s">
        <v>10</v>
      </c>
      <c r="F12305" s="1" t="str">
        <f>"10.10.97.26"</f>
        <v>10.10.97.26</v>
      </c>
      <c r="G12305" s="1" t="str">
        <f>"9626Z551"</f>
        <v>9626Z551</v>
      </c>
      <c r="H12305" s="1" t="str">
        <f>"당인간 44L11L7"</f>
        <v>당인간 44L11L7</v>
      </c>
      <c r="I12305" s="1" t="s">
        <v>8</v>
      </c>
      <c r="J12305" s="1" t="str">
        <f>"29/30"</f>
        <v>29/30</v>
      </c>
      <c r="K12305" s="1" t="str">
        <f t="shared" si="621"/>
        <v>2026-07-29 13:18:11</v>
      </c>
      <c r="L12305" s="1" t="str">
        <f>"2019-12-11 17:46:33"</f>
        <v>2019-12-11 17:46:33</v>
      </c>
      <c r="M12305" s="1" t="s">
        <v>1</v>
      </c>
      <c r="N12305" s="1" t="s">
        <v>38</v>
      </c>
      <c r="O12305" s="1" t="s">
        <v>46</v>
      </c>
    </row>
    <row r="12306" spans="2:15" x14ac:dyDescent="0.3">
      <c r="B12306" s="1" t="s">
        <v>20</v>
      </c>
      <c r="C12306" s="1" t="str">
        <f t="shared" si="622"/>
        <v>4차</v>
      </c>
      <c r="D12306" s="1" t="str">
        <f>"9626Z55244"</f>
        <v>9626Z55244</v>
      </c>
      <c r="E12306" s="1" t="s">
        <v>10</v>
      </c>
      <c r="F12306" s="1" t="str">
        <f>"10.10.96.194"</f>
        <v>10.10.96.194</v>
      </c>
      <c r="G12306" s="1" t="str">
        <f>"9626Z552"</f>
        <v>9626Z552</v>
      </c>
      <c r="H12306" s="1" t="str">
        <f>"당인간 44L11L8"</f>
        <v>당인간 44L11L8</v>
      </c>
      <c r="I12306" s="1" t="s">
        <v>8</v>
      </c>
      <c r="J12306" s="1" t="str">
        <f>"34/34"</f>
        <v>34/34</v>
      </c>
      <c r="K12306" s="1" t="str">
        <f t="shared" si="621"/>
        <v>2026-07-29 13:18:11</v>
      </c>
      <c r="L12306" s="1" t="str">
        <f>"2019-12-11 17:52:36"</f>
        <v>2019-12-11 17:52:36</v>
      </c>
      <c r="M12306" s="1" t="s">
        <v>1</v>
      </c>
      <c r="N12306" s="1" t="s">
        <v>38</v>
      </c>
      <c r="O12306" s="1" t="s">
        <v>46</v>
      </c>
    </row>
    <row r="12307" spans="2:15" x14ac:dyDescent="0.3">
      <c r="B12307" s="1" t="s">
        <v>20</v>
      </c>
      <c r="C12307" s="1" t="str">
        <f t="shared" si="622"/>
        <v>4차</v>
      </c>
      <c r="D12307" s="1" t="str">
        <f>"9626Z57144"</f>
        <v>9626Z57144</v>
      </c>
      <c r="E12307" s="1" t="s">
        <v>10</v>
      </c>
      <c r="F12307" s="1" t="str">
        <f>"10.10.88.130"</f>
        <v>10.10.88.130</v>
      </c>
      <c r="G12307" s="1" t="str">
        <f>"9626Z571"</f>
        <v>9626Z571</v>
      </c>
      <c r="H12307" s="1" t="str">
        <f>"성산간 38L7L2"</f>
        <v>성산간 38L7L2</v>
      </c>
      <c r="I12307" s="1" t="s">
        <v>8</v>
      </c>
      <c r="J12307" s="1" t="str">
        <f>"13/13"</f>
        <v>13/13</v>
      </c>
      <c r="K12307" s="1" t="str">
        <f t="shared" si="621"/>
        <v>2026-07-29 13:18:11</v>
      </c>
      <c r="L12307" s="1" t="str">
        <f>"2019-11-14 17:03:18"</f>
        <v>2019-11-14 17:03:18</v>
      </c>
      <c r="M12307" s="1" t="s">
        <v>1</v>
      </c>
      <c r="N12307" s="1" t="s">
        <v>38</v>
      </c>
      <c r="O12307" s="1" t="s">
        <v>46</v>
      </c>
    </row>
    <row r="12308" spans="2:15" x14ac:dyDescent="0.3">
      <c r="B12308" s="1" t="s">
        <v>20</v>
      </c>
      <c r="C12308" s="1" t="str">
        <f t="shared" si="622"/>
        <v>4차</v>
      </c>
      <c r="D12308" s="1" t="str">
        <f>"9626Z57244"</f>
        <v>9626Z57244</v>
      </c>
      <c r="E12308" s="1" t="s">
        <v>10</v>
      </c>
      <c r="F12308" s="1" t="str">
        <f>"10.10.88.114"</f>
        <v>10.10.88.114</v>
      </c>
      <c r="G12308" s="1" t="str">
        <f>"9626Z572"</f>
        <v>9626Z572</v>
      </c>
      <c r="H12308" s="1" t="str">
        <f>"성산간 38L7L2L1"</f>
        <v>성산간 38L7L2L1</v>
      </c>
      <c r="I12308" s="1" t="s">
        <v>8</v>
      </c>
      <c r="J12308" s="1" t="str">
        <f>"65/65"</f>
        <v>65/65</v>
      </c>
      <c r="K12308" s="1" t="str">
        <f t="shared" si="621"/>
        <v>2026-07-29 13:18:11</v>
      </c>
      <c r="L12308" s="1" t="str">
        <f>"2019-12-24 16:42:36"</f>
        <v>2019-12-24 16:42:36</v>
      </c>
      <c r="M12308" s="1" t="s">
        <v>1</v>
      </c>
      <c r="N12308" s="1" t="s">
        <v>38</v>
      </c>
      <c r="O12308" s="1" t="s">
        <v>46</v>
      </c>
    </row>
    <row r="12309" spans="2:15" x14ac:dyDescent="0.3">
      <c r="B12309" s="1" t="s">
        <v>20</v>
      </c>
      <c r="C12309" s="1" t="str">
        <f t="shared" si="622"/>
        <v>4차</v>
      </c>
      <c r="D12309" s="1" t="str">
        <f>"9626Z59344"</f>
        <v>9626Z59344</v>
      </c>
      <c r="E12309" s="1" t="s">
        <v>10</v>
      </c>
      <c r="F12309" s="1" t="str">
        <f>"10.10.90.234"</f>
        <v>10.10.90.234</v>
      </c>
      <c r="G12309" s="1" t="str">
        <f>"9626Z593"</f>
        <v>9626Z593</v>
      </c>
      <c r="H12309" s="1" t="str">
        <f>"성산간 38L9"</f>
        <v>성산간 38L9</v>
      </c>
      <c r="I12309" s="1" t="s">
        <v>8</v>
      </c>
      <c r="J12309" s="1" t="str">
        <f>"15/15"</f>
        <v>15/15</v>
      </c>
      <c r="K12309" s="1" t="str">
        <f t="shared" si="621"/>
        <v>2026-07-29 13:18:11</v>
      </c>
      <c r="L12309" s="1" t="str">
        <f>"2019-11-14 17:43:34"</f>
        <v>2019-11-14 17:43:34</v>
      </c>
      <c r="M12309" s="1" t="s">
        <v>1</v>
      </c>
      <c r="N12309" s="1" t="s">
        <v>38</v>
      </c>
      <c r="O12309" s="1" t="s">
        <v>46</v>
      </c>
    </row>
    <row r="12310" spans="2:15" x14ac:dyDescent="0.3">
      <c r="B12310" s="1" t="s">
        <v>20</v>
      </c>
      <c r="C12310" s="1" t="str">
        <f>"6차"</f>
        <v>6차</v>
      </c>
      <c r="D12310" s="1" t="str">
        <f>"9626Z6116M"</f>
        <v>9626Z6116M</v>
      </c>
      <c r="E12310" s="1" t="s">
        <v>10</v>
      </c>
      <c r="F12310" s="1" t="str">
        <f>"fde1:103:4:c707:0:0:0:2"</f>
        <v>fde1:103:4:c707:0:0:0:2</v>
      </c>
      <c r="G12310" s="1" t="str">
        <f>"9626Z611"</f>
        <v>9626Z611</v>
      </c>
      <c r="H12310" s="1" t="str">
        <f>"성산간 21L7"</f>
        <v>성산간 21L7</v>
      </c>
      <c r="I12310" s="1" t="s">
        <v>15</v>
      </c>
      <c r="J12310" s="1" t="str">
        <f>"75/75"</f>
        <v>75/75</v>
      </c>
      <c r="K12310" s="1" t="str">
        <f>"2026-07-29 14:21:45"</f>
        <v>2026-07-29 14:21:45</v>
      </c>
      <c r="L12310" s="1" t="str">
        <f>"2024-12-02 13:55:41"</f>
        <v>2024-12-02 13:55:41</v>
      </c>
      <c r="M12310" s="1" t="s">
        <v>4</v>
      </c>
      <c r="N12310" s="1" t="s">
        <v>38</v>
      </c>
      <c r="O12310" s="1" t="s">
        <v>46</v>
      </c>
    </row>
    <row r="12311" spans="2:15" x14ac:dyDescent="0.3">
      <c r="B12311" s="1" t="s">
        <v>20</v>
      </c>
      <c r="C12311" s="1" t="str">
        <f>"4차"</f>
        <v>4차</v>
      </c>
      <c r="D12311" s="1" t="str">
        <f>"9626Z61242"</f>
        <v>9626Z61242</v>
      </c>
      <c r="E12311" s="1" t="s">
        <v>10</v>
      </c>
      <c r="F12311" s="1" t="str">
        <f>"10.125.129.14"</f>
        <v>10.125.129.14</v>
      </c>
      <c r="G12311" s="1" t="str">
        <f>"9626Z612"</f>
        <v>9626Z612</v>
      </c>
      <c r="H12311" s="1" t="str">
        <f>"당인간 44L7R6"</f>
        <v>당인간 44L7R6</v>
      </c>
      <c r="I12311" s="1" t="s">
        <v>8</v>
      </c>
      <c r="J12311" s="1" t="str">
        <f>"20/32"</f>
        <v>20/32</v>
      </c>
      <c r="K12311" s="1" t="str">
        <f>"2026-07-29 13:18:11"</f>
        <v>2026-07-29 13:18:11</v>
      </c>
      <c r="L12311" s="1" t="str">
        <f>"2025-11-04 10:07:46"</f>
        <v>2025-11-04 10:07:46</v>
      </c>
      <c r="M12311" s="1" t="s">
        <v>45</v>
      </c>
      <c r="N12311" s="1" t="s">
        <v>38</v>
      </c>
      <c r="O12311" s="1" t="s">
        <v>46</v>
      </c>
    </row>
    <row r="12312" spans="2:15" x14ac:dyDescent="0.3">
      <c r="B12312" s="1" t="s">
        <v>20</v>
      </c>
      <c r="C12312" s="1" t="str">
        <f>"3차"</f>
        <v>3차</v>
      </c>
      <c r="D12312" s="1" t="str">
        <f>"9626Z66139"</f>
        <v>9626Z66139</v>
      </c>
      <c r="E12312" s="1" t="s">
        <v>10</v>
      </c>
      <c r="F12312" s="1" t="str">
        <f>"10.12.129.185"</f>
        <v>10.12.129.185</v>
      </c>
      <c r="G12312" s="1" t="str">
        <f>"9626Z661"</f>
        <v>9626Z661</v>
      </c>
      <c r="H12312" s="1" t="str">
        <f>"당인간 44L11L10"</f>
        <v>당인간 44L11L10</v>
      </c>
      <c r="I12312" s="1" t="s">
        <v>8</v>
      </c>
      <c r="J12312" s="1" t="str">
        <f>"38/38"</f>
        <v>38/38</v>
      </c>
      <c r="K12312" s="1" t="str">
        <f>"2026-07-29 13:18:11"</f>
        <v>2026-07-29 13:18:11</v>
      </c>
      <c r="L12312" s="1" t="str">
        <f>"2018-04-19 08:29:55"</f>
        <v>2018-04-19 08:29:55</v>
      </c>
      <c r="M12312" s="1" t="s">
        <v>0</v>
      </c>
      <c r="N12312" s="1" t="s">
        <v>38</v>
      </c>
      <c r="O12312" s="1" t="s">
        <v>46</v>
      </c>
    </row>
    <row r="12313" spans="2:15" x14ac:dyDescent="0.3">
      <c r="B12313" s="1" t="s">
        <v>20</v>
      </c>
      <c r="C12313" s="1" t="str">
        <f>"4차"</f>
        <v>4차</v>
      </c>
      <c r="D12313" s="1" t="str">
        <f>"9626Z68244"</f>
        <v>9626Z68244</v>
      </c>
      <c r="E12313" s="1" t="s">
        <v>10</v>
      </c>
      <c r="F12313" s="1" t="str">
        <f>"10.10.88.122"</f>
        <v>10.10.88.122</v>
      </c>
      <c r="G12313" s="1" t="str">
        <f>"9626Z682"</f>
        <v>9626Z682</v>
      </c>
      <c r="H12313" s="1" t="str">
        <f>"성산간 38L7"</f>
        <v>성산간 38L7</v>
      </c>
      <c r="I12313" s="1" t="s">
        <v>8</v>
      </c>
      <c r="J12313" s="1" t="str">
        <f>"28/34"</f>
        <v>28/34</v>
      </c>
      <c r="K12313" s="1" t="str">
        <f>"2026-07-29 13:18:11"</f>
        <v>2026-07-29 13:18:11</v>
      </c>
      <c r="L12313" s="1" t="str">
        <f>"2019-11-14 16:59:40"</f>
        <v>2019-11-14 16:59:40</v>
      </c>
      <c r="M12313" s="1" t="s">
        <v>1</v>
      </c>
      <c r="N12313" s="1" t="s">
        <v>38</v>
      </c>
      <c r="O12313" s="1" t="s">
        <v>46</v>
      </c>
    </row>
    <row r="12314" spans="2:15" x14ac:dyDescent="0.3">
      <c r="B12314" s="1" t="s">
        <v>20</v>
      </c>
      <c r="C12314" s="1" t="str">
        <f>"1차"</f>
        <v>1차</v>
      </c>
      <c r="D12314" s="1" t="str">
        <f>"9626Z70100"</f>
        <v>9626Z70100</v>
      </c>
      <c r="E12314" s="1" t="s">
        <v>10</v>
      </c>
      <c r="F12314" s="1" t="str">
        <f>"10.125.128.87"</f>
        <v>10.125.128.87</v>
      </c>
      <c r="G12314" s="1" t="str">
        <f>"9626Z701"</f>
        <v>9626Z701</v>
      </c>
      <c r="H12314" s="1" t="str">
        <f>"성산간 21L6"</f>
        <v>성산간 21L6</v>
      </c>
      <c r="I12314" s="1" t="s">
        <v>8</v>
      </c>
      <c r="J12314" s="1" t="str">
        <f>"52/52"</f>
        <v>52/52</v>
      </c>
      <c r="K12314" s="1" t="str">
        <f>"2026-07-29 13:18:11"</f>
        <v>2026-07-29 13:18:11</v>
      </c>
      <c r="L12314" s="1" t="str">
        <f>"2014-11-21 17:24:10"</f>
        <v>2014-11-21 17:24:10</v>
      </c>
      <c r="M12314" s="1" t="s">
        <v>45</v>
      </c>
      <c r="N12314" s="1" t="s">
        <v>38</v>
      </c>
      <c r="O12314" s="1" t="s">
        <v>46</v>
      </c>
    </row>
    <row r="12315" spans="2:15" x14ac:dyDescent="0.3">
      <c r="B12315" s="1" t="s">
        <v>20</v>
      </c>
      <c r="C12315" s="1" t="str">
        <f>"4차"</f>
        <v>4차</v>
      </c>
      <c r="D12315" s="1" t="str">
        <f>"9626Z70342"</f>
        <v>9626Z70342</v>
      </c>
      <c r="E12315" s="1" t="s">
        <v>10</v>
      </c>
      <c r="F12315" s="1" t="str">
        <f>"10.125.129.116"</f>
        <v>10.125.129.116</v>
      </c>
      <c r="G12315" s="1" t="str">
        <f>"9626Z703"</f>
        <v>9626Z703</v>
      </c>
      <c r="H12315" s="1" t="str">
        <f>"성산간 21L6R1"</f>
        <v>성산간 21L6R1</v>
      </c>
      <c r="I12315" s="1" t="s">
        <v>8</v>
      </c>
      <c r="J12315" s="1" t="str">
        <f>"22/30"</f>
        <v>22/30</v>
      </c>
      <c r="K12315" s="1" t="str">
        <f>"2026-07-29 13:18:11"</f>
        <v>2026-07-29 13:18:11</v>
      </c>
      <c r="L12315" s="1" t="str">
        <f>"2025-03-31 17:47:18"</f>
        <v>2025-03-31 17:47:18</v>
      </c>
      <c r="M12315" s="1" t="s">
        <v>45</v>
      </c>
      <c r="N12315" s="1" t="s">
        <v>38</v>
      </c>
      <c r="O12315" s="1" t="s">
        <v>46</v>
      </c>
    </row>
    <row r="12316" spans="2:15" x14ac:dyDescent="0.3">
      <c r="B12316" s="1" t="s">
        <v>20</v>
      </c>
      <c r="C12316" s="1" t="str">
        <f>"1차"</f>
        <v>1차</v>
      </c>
      <c r="D12316" s="1" t="str">
        <f>"9626Z72101"</f>
        <v>9626Z72101</v>
      </c>
      <c r="E12316" s="1" t="s">
        <v>10</v>
      </c>
      <c r="F12316" s="1" t="str">
        <f>"10.12.138.57"</f>
        <v>10.12.138.57</v>
      </c>
      <c r="G12316" s="1" t="str">
        <f>"9626Z721"</f>
        <v>9626Z721</v>
      </c>
      <c r="H12316" s="1" t="str">
        <f>"당인간 44L7R8"</f>
        <v>당인간 44L7R8</v>
      </c>
      <c r="I12316" s="1" t="s">
        <v>8</v>
      </c>
      <c r="J12316" s="1" t="str">
        <f>"61/61"</f>
        <v>61/61</v>
      </c>
      <c r="K12316" s="1" t="str">
        <f>"2026-07-29 13:18:01"</f>
        <v>2026-07-29 13:18:01</v>
      </c>
      <c r="L12316" s="1" t="str">
        <f>"2014-11-30 09:26:16"</f>
        <v>2014-11-30 09:26:16</v>
      </c>
      <c r="M12316" s="1" t="s">
        <v>0</v>
      </c>
      <c r="N12316" s="1" t="s">
        <v>38</v>
      </c>
      <c r="O12316" s="1" t="s">
        <v>46</v>
      </c>
    </row>
    <row r="12317" spans="2:15" x14ac:dyDescent="0.3">
      <c r="B12317" s="1" t="s">
        <v>20</v>
      </c>
      <c r="C12317" s="1" t="str">
        <f>"1차"</f>
        <v>1차</v>
      </c>
      <c r="D12317" s="1" t="str">
        <f>"9626Z74100"</f>
        <v>9626Z74100</v>
      </c>
      <c r="E12317" s="1" t="s">
        <v>10</v>
      </c>
      <c r="F12317" s="1" t="str">
        <f>"10.125.219.73"</f>
        <v>10.125.219.73</v>
      </c>
      <c r="G12317" s="1" t="str">
        <f>"9626Z741"</f>
        <v>9626Z741</v>
      </c>
      <c r="H12317" s="1" t="str">
        <f>"당인간 44L19"</f>
        <v>당인간 44L19</v>
      </c>
      <c r="I12317" s="1" t="s">
        <v>8</v>
      </c>
      <c r="J12317" s="1" t="str">
        <f>"4/4"</f>
        <v>4/4</v>
      </c>
      <c r="K12317" s="1" t="str">
        <f>"2026-07-29 13:18:11"</f>
        <v>2026-07-29 13:18:11</v>
      </c>
      <c r="L12317" s="1" t="str">
        <f>"2014-11-04 00:13:44"</f>
        <v>2014-11-04 00:13:44</v>
      </c>
      <c r="M12317" s="1" t="s">
        <v>45</v>
      </c>
      <c r="N12317" s="1" t="s">
        <v>38</v>
      </c>
      <c r="O12317" s="1" t="s">
        <v>46</v>
      </c>
    </row>
    <row r="12318" spans="2:15" x14ac:dyDescent="0.3">
      <c r="B12318" s="1" t="s">
        <v>20</v>
      </c>
      <c r="C12318" s="1" t="str">
        <f>"4차"</f>
        <v>4차</v>
      </c>
      <c r="D12318" s="1" t="str">
        <f>"9626Z77344"</f>
        <v>9626Z77344</v>
      </c>
      <c r="E12318" s="1" t="s">
        <v>10</v>
      </c>
      <c r="F12318" s="1" t="str">
        <f>"10.10.88.90"</f>
        <v>10.10.88.90</v>
      </c>
      <c r="G12318" s="1" t="str">
        <f>"9626Z773"</f>
        <v>9626Z773</v>
      </c>
      <c r="H12318" s="1" t="str">
        <f>"성산간 38L5H1"</f>
        <v>성산간 38L5H1</v>
      </c>
      <c r="I12318" s="1" t="s">
        <v>8</v>
      </c>
      <c r="J12318" s="1" t="str">
        <f>"25/26"</f>
        <v>25/26</v>
      </c>
      <c r="K12318" s="1" t="str">
        <f>"2026-07-29 13:18:11"</f>
        <v>2026-07-29 13:18:11</v>
      </c>
      <c r="L12318" s="1" t="str">
        <f>"2019-11-14 17:41:56"</f>
        <v>2019-11-14 17:41:56</v>
      </c>
      <c r="M12318" s="1" t="s">
        <v>1</v>
      </c>
      <c r="N12318" s="1" t="s">
        <v>38</v>
      </c>
      <c r="O12318" s="1" t="s">
        <v>46</v>
      </c>
    </row>
    <row r="12319" spans="2:15" x14ac:dyDescent="0.3">
      <c r="B12319" s="1" t="s">
        <v>20</v>
      </c>
      <c r="C12319" s="1" t="str">
        <f>"4차"</f>
        <v>4차</v>
      </c>
      <c r="D12319" s="1" t="str">
        <f>"9626Z80244"</f>
        <v>9626Z80244</v>
      </c>
      <c r="E12319" s="1" t="s">
        <v>10</v>
      </c>
      <c r="F12319" s="1" t="str">
        <f>"10.10.86.58"</f>
        <v>10.10.86.58</v>
      </c>
      <c r="G12319" s="1" t="str">
        <f>"9626Z802"</f>
        <v>9626Z802</v>
      </c>
      <c r="H12319" s="1" t="str">
        <f>"성산간 32L6"</f>
        <v>성산간 32L6</v>
      </c>
      <c r="I12319" s="1" t="s">
        <v>8</v>
      </c>
      <c r="J12319" s="1" t="str">
        <f>"73/74"</f>
        <v>73/74</v>
      </c>
      <c r="K12319" s="1" t="str">
        <f>"2026-07-29 13:18:11"</f>
        <v>2026-07-29 13:18:11</v>
      </c>
      <c r="L12319" s="1" t="str">
        <f>"2019-12-11 18:05:49"</f>
        <v>2019-12-11 18:05:49</v>
      </c>
      <c r="M12319" s="1" t="s">
        <v>1</v>
      </c>
      <c r="N12319" s="1" t="s">
        <v>38</v>
      </c>
      <c r="O12319" s="1" t="s">
        <v>46</v>
      </c>
    </row>
    <row r="12320" spans="2:15" x14ac:dyDescent="0.3">
      <c r="B12320" s="1" t="s">
        <v>20</v>
      </c>
      <c r="C12320" s="1" t="str">
        <f>"4차"</f>
        <v>4차</v>
      </c>
      <c r="D12320" s="1" t="str">
        <f>"9626Z81144"</f>
        <v>9626Z81144</v>
      </c>
      <c r="E12320" s="1" t="s">
        <v>10</v>
      </c>
      <c r="F12320" s="1" t="str">
        <f>"10.10.102.2"</f>
        <v>10.10.102.2</v>
      </c>
      <c r="G12320" s="1" t="str">
        <f>"9626Z811"</f>
        <v>9626Z811</v>
      </c>
      <c r="H12320" s="1" t="str">
        <f>"성산간 21L6R2"</f>
        <v>성산간 21L6R2</v>
      </c>
      <c r="I12320" s="1" t="s">
        <v>8</v>
      </c>
      <c r="J12320" s="1" t="str">
        <f>"61/61"</f>
        <v>61/61</v>
      </c>
      <c r="K12320" s="1" t="str">
        <f>"2026-07-29 13:18:11"</f>
        <v>2026-07-29 13:18:11</v>
      </c>
      <c r="L12320" s="1" t="str">
        <f>"2019-12-11 18:00:26"</f>
        <v>2019-12-11 18:00:26</v>
      </c>
      <c r="M12320" s="1" t="s">
        <v>1</v>
      </c>
      <c r="N12320" s="1" t="s">
        <v>38</v>
      </c>
      <c r="O12320" s="1" t="s">
        <v>46</v>
      </c>
    </row>
    <row r="12321" spans="2:15" x14ac:dyDescent="0.3">
      <c r="B12321" s="1" t="s">
        <v>20</v>
      </c>
      <c r="C12321" s="1" t="str">
        <f>"1차"</f>
        <v>1차</v>
      </c>
      <c r="D12321" s="1" t="str">
        <f>"9626Z82101"</f>
        <v>9626Z82101</v>
      </c>
      <c r="E12321" s="1" t="s">
        <v>10</v>
      </c>
      <c r="F12321" s="1" t="str">
        <f>"10.125.128.94"</f>
        <v>10.125.128.94</v>
      </c>
      <c r="G12321" s="1" t="str">
        <f>"9626Z821"</f>
        <v>9626Z821</v>
      </c>
      <c r="H12321" s="1" t="str">
        <f>"성산간 32L2R3"</f>
        <v>성산간 32L2R3</v>
      </c>
      <c r="I12321" s="1" t="s">
        <v>8</v>
      </c>
      <c r="J12321" s="1" t="str">
        <f>"26/26"</f>
        <v>26/26</v>
      </c>
      <c r="K12321" s="1" t="str">
        <f>"2026-07-29 13:18:10"</f>
        <v>2026-07-29 13:18:10</v>
      </c>
      <c r="L12321" s="1" t="str">
        <f>"2014-11-14 00:14:14"</f>
        <v>2014-11-14 00:14:14</v>
      </c>
      <c r="M12321" s="1" t="s">
        <v>45</v>
      </c>
      <c r="N12321" s="1" t="s">
        <v>38</v>
      </c>
      <c r="O12321" s="1" t="s">
        <v>46</v>
      </c>
    </row>
    <row r="12322" spans="2:15" x14ac:dyDescent="0.3">
      <c r="B12322" s="1" t="s">
        <v>20</v>
      </c>
      <c r="C12322" s="1" t="str">
        <f>"1차"</f>
        <v>1차</v>
      </c>
      <c r="D12322" s="1" t="str">
        <f>"9626Z82200"</f>
        <v>9626Z82200</v>
      </c>
      <c r="E12322" s="1" t="s">
        <v>10</v>
      </c>
      <c r="F12322" s="1" t="str">
        <f>"10.125.128.93"</f>
        <v>10.125.128.93</v>
      </c>
      <c r="G12322" s="1" t="str">
        <f>"9626Z822"</f>
        <v>9626Z822</v>
      </c>
      <c r="H12322" s="1" t="str">
        <f>"성산간 32L2R4"</f>
        <v>성산간 32L2R4</v>
      </c>
      <c r="I12322" s="1" t="s">
        <v>8</v>
      </c>
      <c r="J12322" s="1" t="str">
        <f>"40/40"</f>
        <v>40/40</v>
      </c>
      <c r="K12322" s="1" t="str">
        <f t="shared" ref="K12322:K12329" si="623">"2026-07-29 13:18:11"</f>
        <v>2026-07-29 13:18:11</v>
      </c>
      <c r="L12322" s="1" t="str">
        <f>"2014-11-06 00:09:17"</f>
        <v>2014-11-06 00:09:17</v>
      </c>
      <c r="M12322" s="1" t="s">
        <v>45</v>
      </c>
      <c r="N12322" s="1" t="s">
        <v>38</v>
      </c>
      <c r="O12322" s="1" t="s">
        <v>46</v>
      </c>
    </row>
    <row r="12323" spans="2:15" x14ac:dyDescent="0.3">
      <c r="B12323" s="1" t="s">
        <v>20</v>
      </c>
      <c r="C12323" s="1" t="str">
        <f>"4차"</f>
        <v>4차</v>
      </c>
      <c r="D12323" s="1" t="str">
        <f>"9626Z83344"</f>
        <v>9626Z83344</v>
      </c>
      <c r="E12323" s="1" t="s">
        <v>10</v>
      </c>
      <c r="F12323" s="1" t="str">
        <f>"10.10.97.98"</f>
        <v>10.10.97.98</v>
      </c>
      <c r="G12323" s="1" t="str">
        <f>"9626Z833"</f>
        <v>9626Z833</v>
      </c>
      <c r="H12323" s="1" t="str">
        <f>"당인간 44L7R10"</f>
        <v>당인간 44L7R10</v>
      </c>
      <c r="I12323" s="1" t="s">
        <v>8</v>
      </c>
      <c r="J12323" s="1" t="str">
        <f>"23/23"</f>
        <v>23/23</v>
      </c>
      <c r="K12323" s="1" t="str">
        <f t="shared" si="623"/>
        <v>2026-07-29 13:18:11</v>
      </c>
      <c r="L12323" s="1" t="str">
        <f>"2019-12-11 17:52:29"</f>
        <v>2019-12-11 17:52:29</v>
      </c>
      <c r="M12323" s="1" t="s">
        <v>1</v>
      </c>
      <c r="N12323" s="1" t="s">
        <v>38</v>
      </c>
      <c r="O12323" s="1" t="s">
        <v>46</v>
      </c>
    </row>
    <row r="12324" spans="2:15" x14ac:dyDescent="0.3">
      <c r="B12324" s="1" t="s">
        <v>20</v>
      </c>
      <c r="C12324" s="1" t="str">
        <f>"4차"</f>
        <v>4차</v>
      </c>
      <c r="D12324" s="1" t="str">
        <f>"9626Z87545"</f>
        <v>9626Z87545</v>
      </c>
      <c r="E12324" s="1" t="s">
        <v>10</v>
      </c>
      <c r="F12324" s="1" t="str">
        <f>"10.12.137.207"</f>
        <v>10.12.137.207</v>
      </c>
      <c r="G12324" s="1" t="str">
        <f>"9626Z875"</f>
        <v>9626Z875</v>
      </c>
      <c r="H12324" s="1" t="str">
        <f>"연남로 R11T"</f>
        <v>연남로 R11T</v>
      </c>
      <c r="I12324" s="1" t="s">
        <v>17</v>
      </c>
      <c r="J12324" s="1" t="str">
        <f>"9/9"</f>
        <v>9/9</v>
      </c>
      <c r="K12324" s="1" t="str">
        <f t="shared" si="623"/>
        <v>2026-07-29 13:18:11</v>
      </c>
      <c r="L12324" s="1" t="str">
        <f>"2021-06-14 11:51:39"</f>
        <v>2021-06-14 11:51:39</v>
      </c>
      <c r="M12324" s="1" t="s">
        <v>0</v>
      </c>
      <c r="N12324" s="1" t="s">
        <v>38</v>
      </c>
      <c r="O12324" s="1" t="s">
        <v>46</v>
      </c>
    </row>
    <row r="12325" spans="2:15" x14ac:dyDescent="0.3">
      <c r="B12325" s="1" t="s">
        <v>20</v>
      </c>
      <c r="C12325" s="1" t="str">
        <f>"4차"</f>
        <v>4차</v>
      </c>
      <c r="D12325" s="1" t="str">
        <f>"9626Z87645"</f>
        <v>9626Z87645</v>
      </c>
      <c r="E12325" s="1" t="s">
        <v>10</v>
      </c>
      <c r="F12325" s="1" t="str">
        <f>"10.14.5.8"</f>
        <v>10.14.5.8</v>
      </c>
      <c r="G12325" s="1" t="str">
        <f>"9626Z876"</f>
        <v>9626Z876</v>
      </c>
      <c r="H12325" s="1" t="str">
        <f>"연남로 R10T"</f>
        <v>연남로 R10T</v>
      </c>
      <c r="I12325" s="1" t="s">
        <v>17</v>
      </c>
      <c r="J12325" s="1" t="str">
        <f>"19/24"</f>
        <v>19/24</v>
      </c>
      <c r="K12325" s="1" t="str">
        <f t="shared" si="623"/>
        <v>2026-07-29 13:18:11</v>
      </c>
      <c r="L12325" s="1" t="str">
        <f>"2021-06-14 11:48:13"</f>
        <v>2021-06-14 11:48:13</v>
      </c>
      <c r="M12325" s="1" t="s">
        <v>3</v>
      </c>
      <c r="N12325" s="1" t="s">
        <v>38</v>
      </c>
      <c r="O12325" s="1" t="s">
        <v>46</v>
      </c>
    </row>
    <row r="12326" spans="2:15" x14ac:dyDescent="0.3">
      <c r="B12326" s="1" t="s">
        <v>20</v>
      </c>
      <c r="C12326" s="1" t="str">
        <f>"4차"</f>
        <v>4차</v>
      </c>
      <c r="D12326" s="1" t="str">
        <f>"9626Z91144"</f>
        <v>9626Z91144</v>
      </c>
      <c r="E12326" s="1" t="s">
        <v>10</v>
      </c>
      <c r="F12326" s="1" t="str">
        <f>"10.10.85.218"</f>
        <v>10.10.85.218</v>
      </c>
      <c r="G12326" s="1" t="str">
        <f>"9626Z911"</f>
        <v>9626Z911</v>
      </c>
      <c r="H12326" s="1" t="str">
        <f>"성산간 32L2R2"</f>
        <v>성산간 32L2R2</v>
      </c>
      <c r="I12326" s="1" t="s">
        <v>8</v>
      </c>
      <c r="J12326" s="1" t="str">
        <f>"22/22"</f>
        <v>22/22</v>
      </c>
      <c r="K12326" s="1" t="str">
        <f t="shared" si="623"/>
        <v>2026-07-29 13:18:11</v>
      </c>
      <c r="L12326" s="1" t="str">
        <f>"2019-12-11 18:06:20"</f>
        <v>2019-12-11 18:06:20</v>
      </c>
      <c r="M12326" s="1" t="s">
        <v>1</v>
      </c>
      <c r="N12326" s="1" t="s">
        <v>38</v>
      </c>
      <c r="O12326" s="1" t="s">
        <v>46</v>
      </c>
    </row>
    <row r="12327" spans="2:15" x14ac:dyDescent="0.3">
      <c r="B12327" s="1" t="s">
        <v>20</v>
      </c>
      <c r="C12327" s="1" t="str">
        <f>"4차"</f>
        <v>4차</v>
      </c>
      <c r="D12327" s="1" t="str">
        <f>"9626Z93544"</f>
        <v>9626Z93544</v>
      </c>
      <c r="E12327" s="1" t="s">
        <v>10</v>
      </c>
      <c r="F12327" s="1" t="str">
        <f>"10.10.108.202"</f>
        <v>10.10.108.202</v>
      </c>
      <c r="G12327" s="1" t="str">
        <f>"9626Z935"</f>
        <v>9626Z935</v>
      </c>
      <c r="H12327" s="1" t="str">
        <f>"성산간 36L1"</f>
        <v>성산간 36L1</v>
      </c>
      <c r="I12327" s="1" t="s">
        <v>8</v>
      </c>
      <c r="J12327" s="1" t="str">
        <f>"20/22"</f>
        <v>20/22</v>
      </c>
      <c r="K12327" s="1" t="str">
        <f t="shared" si="623"/>
        <v>2026-07-29 13:18:11</v>
      </c>
      <c r="L12327" s="1" t="str">
        <f>"2019-12-24 16:51:01"</f>
        <v>2019-12-24 16:51:01</v>
      </c>
      <c r="M12327" s="1" t="s">
        <v>1</v>
      </c>
      <c r="N12327" s="1" t="s">
        <v>38</v>
      </c>
      <c r="O12327" s="1" t="s">
        <v>46</v>
      </c>
    </row>
    <row r="12328" spans="2:15" x14ac:dyDescent="0.3">
      <c r="B12328" s="1" t="s">
        <v>20</v>
      </c>
      <c r="C12328" s="1" t="str">
        <f>"3차"</f>
        <v>3차</v>
      </c>
      <c r="D12328" s="1" t="str">
        <f>"9724E08139"</f>
        <v>9724E08139</v>
      </c>
      <c r="E12328" s="1" t="s">
        <v>10</v>
      </c>
      <c r="F12328" s="1" t="str">
        <f>"10.125.195.194"</f>
        <v>10.125.195.194</v>
      </c>
      <c r="G12328" s="1" t="str">
        <f>"9724E081"</f>
        <v>9724E081</v>
      </c>
      <c r="H12328" s="1" t="str">
        <f>"도화간 26L10R10"</f>
        <v>도화간 26L10R10</v>
      </c>
      <c r="I12328" s="1" t="s">
        <v>8</v>
      </c>
      <c r="J12328" s="1" t="str">
        <f>"19/19"</f>
        <v>19/19</v>
      </c>
      <c r="K12328" s="1" t="str">
        <f t="shared" si="623"/>
        <v>2026-07-29 13:18:11</v>
      </c>
      <c r="L12328" s="1" t="str">
        <f>"2018-03-28 10:01:13"</f>
        <v>2018-03-28 10:01:13</v>
      </c>
      <c r="M12328" s="1" t="s">
        <v>45</v>
      </c>
      <c r="N12328" s="1" t="s">
        <v>38</v>
      </c>
      <c r="O12328" s="1" t="s">
        <v>46</v>
      </c>
    </row>
    <row r="12329" spans="2:15" x14ac:dyDescent="0.3">
      <c r="B12329" s="1" t="s">
        <v>20</v>
      </c>
      <c r="C12329" s="1" t="str">
        <f>"3차"</f>
        <v>3차</v>
      </c>
      <c r="D12329" s="1" t="str">
        <f>"9724E08239"</f>
        <v>9724E08239</v>
      </c>
      <c r="E12329" s="1" t="s">
        <v>10</v>
      </c>
      <c r="F12329" s="1" t="str">
        <f>"10.125.195.202"</f>
        <v>10.125.195.202</v>
      </c>
      <c r="G12329" s="1" t="str">
        <f>"9724E082"</f>
        <v>9724E082</v>
      </c>
      <c r="H12329" s="1" t="str">
        <f>"도화간 26L10R11"</f>
        <v>도화간 26L10R11</v>
      </c>
      <c r="I12329" s="1" t="s">
        <v>8</v>
      </c>
      <c r="J12329" s="1" t="str">
        <f>"53/53"</f>
        <v>53/53</v>
      </c>
      <c r="K12329" s="1" t="str">
        <f t="shared" si="623"/>
        <v>2026-07-29 13:18:11</v>
      </c>
      <c r="L12329" s="1" t="str">
        <f>"2018-03-28 10:37:12"</f>
        <v>2018-03-28 10:37:12</v>
      </c>
      <c r="M12329" s="1" t="s">
        <v>45</v>
      </c>
      <c r="N12329" s="1" t="s">
        <v>38</v>
      </c>
      <c r="O12329" s="1" t="s">
        <v>46</v>
      </c>
    </row>
    <row r="12330" spans="2:15" x14ac:dyDescent="0.3">
      <c r="B12330" s="1" t="s">
        <v>20</v>
      </c>
      <c r="C12330" s="1" t="str">
        <f>"3차"</f>
        <v>3차</v>
      </c>
      <c r="D12330" s="1" t="str">
        <f>"9724E18439"</f>
        <v>9724E18439</v>
      </c>
      <c r="E12330" s="1" t="s">
        <v>10</v>
      </c>
      <c r="F12330" s="1" t="str">
        <f>"10.14.15.118"</f>
        <v>10.14.15.118</v>
      </c>
      <c r="G12330" s="1" t="str">
        <f>"9724E184"</f>
        <v>9724E184</v>
      </c>
      <c r="H12330" s="1" t="str">
        <f>"도화간 26L10R8"</f>
        <v>도화간 26L10R8</v>
      </c>
      <c r="I12330" s="1" t="s">
        <v>8</v>
      </c>
      <c r="J12330" s="1" t="str">
        <f>"10/10"</f>
        <v>10/10</v>
      </c>
      <c r="K12330" s="1" t="str">
        <f>"2026-07-29 13:18:12"</f>
        <v>2026-07-29 13:18:12</v>
      </c>
      <c r="L12330" s="1" t="str">
        <f>"2018-03-28 09:52:58"</f>
        <v>2018-03-28 09:52:58</v>
      </c>
      <c r="M12330" s="1" t="s">
        <v>3</v>
      </c>
      <c r="N12330" s="1" t="s">
        <v>38</v>
      </c>
      <c r="O12330" s="1" t="s">
        <v>46</v>
      </c>
    </row>
    <row r="12331" spans="2:15" x14ac:dyDescent="0.3">
      <c r="B12331" s="1" t="s">
        <v>20</v>
      </c>
      <c r="C12331" s="1" t="str">
        <f>"3차"</f>
        <v>3차</v>
      </c>
      <c r="D12331" s="1" t="str">
        <f>"9724E18639"</f>
        <v>9724E18639</v>
      </c>
      <c r="E12331" s="1" t="s">
        <v>10</v>
      </c>
      <c r="F12331" s="1" t="str">
        <f>"10.11.110.42"</f>
        <v>10.11.110.42</v>
      </c>
      <c r="G12331" s="1" t="str">
        <f>"9724E186"</f>
        <v>9724E186</v>
      </c>
      <c r="H12331" s="1" t="str">
        <f>"도화간 26L10R6"</f>
        <v>도화간 26L10R6</v>
      </c>
      <c r="I12331" s="1" t="s">
        <v>8</v>
      </c>
      <c r="J12331" s="1" t="str">
        <f>"1/1"</f>
        <v>1/1</v>
      </c>
      <c r="K12331" s="1" t="str">
        <f>"2026-07-29 13:18:11"</f>
        <v>2026-07-29 13:18:11</v>
      </c>
      <c r="L12331" s="1" t="str">
        <f>"2018-03-28 08:56:12"</f>
        <v>2018-03-28 08:56:12</v>
      </c>
      <c r="M12331" s="1" t="s">
        <v>2</v>
      </c>
      <c r="N12331" s="1" t="s">
        <v>38</v>
      </c>
      <c r="O12331" s="1" t="s">
        <v>46</v>
      </c>
    </row>
    <row r="12332" spans="2:15" x14ac:dyDescent="0.3">
      <c r="B12332" s="1" t="s">
        <v>20</v>
      </c>
      <c r="C12332" s="1" t="str">
        <f>"5-1차"</f>
        <v>5-1차</v>
      </c>
      <c r="D12332" s="1" t="str">
        <f>"9724E6725M"</f>
        <v>9724E6725M</v>
      </c>
      <c r="E12332" s="1" t="s">
        <v>10</v>
      </c>
      <c r="F12332" s="1" t="str">
        <f>"fde2:104:0:98:0:0:0:2"</f>
        <v>fde2:104:0:98:0:0:0:2</v>
      </c>
      <c r="G12332" s="1" t="str">
        <f>"9724E672"</f>
        <v>9724E672</v>
      </c>
      <c r="H12332" s="1" t="str">
        <f>"도화간 10L19"</f>
        <v>도화간 10L19</v>
      </c>
      <c r="I12332" s="1" t="s">
        <v>15</v>
      </c>
      <c r="J12332" s="1" t="str">
        <f>"59/60"</f>
        <v>59/60</v>
      </c>
      <c r="K12332" s="1" t="str">
        <f>"2026-07-29 14:21:31"</f>
        <v>2026-07-29 14:21:31</v>
      </c>
      <c r="L12332" s="1" t="str">
        <f>"2022-10-04 14:34:36"</f>
        <v>2022-10-04 14:34:36</v>
      </c>
      <c r="M12332" s="1" t="s">
        <v>42</v>
      </c>
      <c r="N12332" s="1" t="s">
        <v>38</v>
      </c>
      <c r="O12332" s="1" t="s">
        <v>46</v>
      </c>
    </row>
    <row r="12333" spans="2:15" x14ac:dyDescent="0.3">
      <c r="B12333" s="1" t="s">
        <v>20</v>
      </c>
      <c r="C12333" s="1" t="str">
        <f>"4차"</f>
        <v>4차</v>
      </c>
      <c r="D12333" s="1" t="str">
        <f>"9724E87144"</f>
        <v>9724E87144</v>
      </c>
      <c r="E12333" s="1" t="s">
        <v>10</v>
      </c>
      <c r="F12333" s="1" t="str">
        <f>"10.10.74.82"</f>
        <v>10.10.74.82</v>
      </c>
      <c r="G12333" s="1" t="str">
        <f>"9724E871"</f>
        <v>9724E871</v>
      </c>
      <c r="H12333" s="1" t="str">
        <f>"도화간 10L14R2"</f>
        <v>도화간 10L14R2</v>
      </c>
      <c r="I12333" s="1" t="s">
        <v>8</v>
      </c>
      <c r="J12333" s="1" t="str">
        <f>"37/38"</f>
        <v>37/38</v>
      </c>
      <c r="K12333" s="1" t="str">
        <f>"2026-07-29 13:18:11"</f>
        <v>2026-07-29 13:18:11</v>
      </c>
      <c r="L12333" s="1" t="str">
        <f>"2019-12-11 17:55:16"</f>
        <v>2019-12-11 17:55:16</v>
      </c>
      <c r="M12333" s="1" t="s">
        <v>1</v>
      </c>
      <c r="N12333" s="1" t="s">
        <v>38</v>
      </c>
      <c r="O12333" s="1" t="s">
        <v>46</v>
      </c>
    </row>
    <row r="12334" spans="2:15" x14ac:dyDescent="0.3">
      <c r="B12334" s="1" t="s">
        <v>20</v>
      </c>
      <c r="C12334" s="1" t="str">
        <f>"4차"</f>
        <v>4차</v>
      </c>
      <c r="D12334" s="1" t="str">
        <f>"9724E88244"</f>
        <v>9724E88244</v>
      </c>
      <c r="E12334" s="1" t="s">
        <v>10</v>
      </c>
      <c r="F12334" s="1" t="str">
        <f>"10.10.105.226"</f>
        <v>10.10.105.226</v>
      </c>
      <c r="G12334" s="1" t="str">
        <f>"9724E882"</f>
        <v>9724E882</v>
      </c>
      <c r="H12334" s="1" t="str">
        <f>"도화간 20L1R2"</f>
        <v>도화간 20L1R2</v>
      </c>
      <c r="I12334" s="1" t="s">
        <v>8</v>
      </c>
      <c r="J12334" s="1" t="str">
        <f>"7/19"</f>
        <v>7/19</v>
      </c>
      <c r="K12334" s="1" t="str">
        <f>"2026-07-29 13:18:11"</f>
        <v>2026-07-29 13:18:11</v>
      </c>
      <c r="L12334" s="1" t="str">
        <f>"2019-12-11 17:50:17"</f>
        <v>2019-12-11 17:50:17</v>
      </c>
      <c r="M12334" s="1" t="s">
        <v>1</v>
      </c>
      <c r="N12334" s="1" t="s">
        <v>38</v>
      </c>
      <c r="O12334" s="1" t="s">
        <v>46</v>
      </c>
    </row>
    <row r="12335" spans="2:15" x14ac:dyDescent="0.3">
      <c r="B12335" s="1" t="s">
        <v>20</v>
      </c>
      <c r="C12335" s="1" t="str">
        <f>"4차"</f>
        <v>4차</v>
      </c>
      <c r="D12335" s="1" t="str">
        <f>"9724E88344"</f>
        <v>9724E88344</v>
      </c>
      <c r="E12335" s="1" t="s">
        <v>10</v>
      </c>
      <c r="F12335" s="1" t="str">
        <f>"10.10.74.114"</f>
        <v>10.10.74.114</v>
      </c>
      <c r="G12335" s="1" t="str">
        <f>"9724E883"</f>
        <v>9724E883</v>
      </c>
      <c r="H12335" s="1" t="str">
        <f>"도화간 10L14R3"</f>
        <v>도화간 10L14R3</v>
      </c>
      <c r="I12335" s="1" t="s">
        <v>8</v>
      </c>
      <c r="J12335" s="1" t="str">
        <f>"31/31"</f>
        <v>31/31</v>
      </c>
      <c r="K12335" s="1" t="str">
        <f>"2026-07-29 13:18:11"</f>
        <v>2026-07-29 13:18:11</v>
      </c>
      <c r="L12335" s="1" t="str">
        <f>"2019-12-11 17:58:08"</f>
        <v>2019-12-11 17:58:08</v>
      </c>
      <c r="M12335" s="1" t="s">
        <v>1</v>
      </c>
      <c r="N12335" s="1" t="s">
        <v>38</v>
      </c>
      <c r="O12335" s="1" t="s">
        <v>46</v>
      </c>
    </row>
    <row r="12336" spans="2:15" x14ac:dyDescent="0.3">
      <c r="B12336" s="1" t="s">
        <v>20</v>
      </c>
      <c r="C12336" s="1" t="str">
        <f>"3차"</f>
        <v>3차</v>
      </c>
      <c r="D12336" s="1" t="str">
        <f>"9724E96139"</f>
        <v>9724E96139</v>
      </c>
      <c r="E12336" s="1" t="s">
        <v>10</v>
      </c>
      <c r="F12336" s="1" t="str">
        <f>"10.12.136.231"</f>
        <v>10.12.136.231</v>
      </c>
      <c r="G12336" s="1" t="str">
        <f>"9724E961"</f>
        <v>9724E961</v>
      </c>
      <c r="H12336" s="1" t="str">
        <f>"도화간 10L15"</f>
        <v>도화간 10L15</v>
      </c>
      <c r="I12336" s="1" t="s">
        <v>8</v>
      </c>
      <c r="J12336" s="1" t="str">
        <f>"30/30"</f>
        <v>30/30</v>
      </c>
      <c r="K12336" s="1" t="str">
        <f>"2026-07-29 13:18:11"</f>
        <v>2026-07-29 13:18:11</v>
      </c>
      <c r="L12336" s="1" t="str">
        <f>"2021-04-28 11:41:36"</f>
        <v>2021-04-28 11:41:36</v>
      </c>
      <c r="M12336" s="1" t="s">
        <v>0</v>
      </c>
      <c r="N12336" s="1" t="s">
        <v>38</v>
      </c>
      <c r="O12336" s="1" t="s">
        <v>46</v>
      </c>
    </row>
    <row r="12337" spans="2:15" x14ac:dyDescent="0.3">
      <c r="B12337" s="1" t="s">
        <v>20</v>
      </c>
      <c r="C12337" s="1" t="str">
        <f t="shared" ref="C12337:C12344" si="624">"4차"</f>
        <v>4차</v>
      </c>
      <c r="D12337" s="1" t="str">
        <f>"9724E96344"</f>
        <v>9724E96344</v>
      </c>
      <c r="E12337" s="1" t="s">
        <v>10</v>
      </c>
      <c r="F12337" s="1" t="str">
        <f>"10.12.138.35"</f>
        <v>10.12.138.35</v>
      </c>
      <c r="G12337" s="1" t="str">
        <f>"9724E963"</f>
        <v>9724E963</v>
      </c>
      <c r="H12337" s="1" t="str">
        <f>"도화간 10L15L1"</f>
        <v>도화간 10L15L1</v>
      </c>
      <c r="I12337" s="1" t="s">
        <v>8</v>
      </c>
      <c r="J12337" s="1" t="str">
        <f>"29/29"</f>
        <v>29/29</v>
      </c>
      <c r="K12337" s="1" t="str">
        <f>"2026-07-29 13:18:14"</f>
        <v>2026-07-29 13:18:14</v>
      </c>
      <c r="L12337" s="1" t="str">
        <f>"2019-11-22 17:07:12"</f>
        <v>2019-11-22 17:07:12</v>
      </c>
      <c r="M12337" s="1" t="s">
        <v>0</v>
      </c>
      <c r="N12337" s="1" t="s">
        <v>38</v>
      </c>
      <c r="O12337" s="1" t="s">
        <v>46</v>
      </c>
    </row>
    <row r="12338" spans="2:15" x14ac:dyDescent="0.3">
      <c r="B12338" s="1" t="s">
        <v>20</v>
      </c>
      <c r="C12338" s="1" t="str">
        <f t="shared" si="624"/>
        <v>4차</v>
      </c>
      <c r="D12338" s="1" t="str">
        <f>"9724E97244"</f>
        <v>9724E97244</v>
      </c>
      <c r="E12338" s="1" t="s">
        <v>10</v>
      </c>
      <c r="F12338" s="1" t="str">
        <f>"10.10.74.58"</f>
        <v>10.10.74.58</v>
      </c>
      <c r="G12338" s="1" t="str">
        <f>"9724E972"</f>
        <v>9724E972</v>
      </c>
      <c r="H12338" s="1" t="str">
        <f>"도화간 10L14R1"</f>
        <v>도화간 10L14R1</v>
      </c>
      <c r="I12338" s="1" t="s">
        <v>8</v>
      </c>
      <c r="J12338" s="1" t="str">
        <f>"55/55"</f>
        <v>55/55</v>
      </c>
      <c r="K12338" s="1" t="str">
        <f>"2026-07-29 13:18:11"</f>
        <v>2026-07-29 13:18:11</v>
      </c>
      <c r="L12338" s="1" t="str">
        <f>"2019-12-11 17:53:30"</f>
        <v>2019-12-11 17:53:30</v>
      </c>
      <c r="M12338" s="1" t="s">
        <v>1</v>
      </c>
      <c r="N12338" s="1" t="s">
        <v>38</v>
      </c>
      <c r="O12338" s="1" t="s">
        <v>46</v>
      </c>
    </row>
    <row r="12339" spans="2:15" x14ac:dyDescent="0.3">
      <c r="B12339" s="1" t="s">
        <v>20</v>
      </c>
      <c r="C12339" s="1" t="str">
        <f t="shared" si="624"/>
        <v>4차</v>
      </c>
      <c r="D12339" s="1" t="str">
        <f>"9724E99139"</f>
        <v>9724E99139</v>
      </c>
      <c r="E12339" s="1" t="s">
        <v>10</v>
      </c>
      <c r="F12339" s="1" t="str">
        <f>"10.12.129.165"</f>
        <v>10.12.129.165</v>
      </c>
      <c r="G12339" s="1" t="str">
        <f>"9724E991"</f>
        <v>9724E991</v>
      </c>
      <c r="H12339" s="1" t="str">
        <f>"도화간 20L1"</f>
        <v>도화간 20L1</v>
      </c>
      <c r="I12339" s="1" t="s">
        <v>8</v>
      </c>
      <c r="J12339" s="1" t="str">
        <f>"25/25"</f>
        <v>25/25</v>
      </c>
      <c r="K12339" s="1" t="str">
        <f>"2026-07-29 13:18:10"</f>
        <v>2026-07-29 13:18:10</v>
      </c>
      <c r="L12339" s="1" t="str">
        <f>"2018-04-19 14:45:28"</f>
        <v>2018-04-19 14:45:28</v>
      </c>
      <c r="M12339" s="1" t="s">
        <v>0</v>
      </c>
      <c r="N12339" s="1" t="s">
        <v>38</v>
      </c>
      <c r="O12339" s="1" t="s">
        <v>46</v>
      </c>
    </row>
    <row r="12340" spans="2:15" x14ac:dyDescent="0.3">
      <c r="B12340" s="1" t="s">
        <v>20</v>
      </c>
      <c r="C12340" s="1" t="str">
        <f t="shared" si="624"/>
        <v>4차</v>
      </c>
      <c r="D12340" s="1" t="str">
        <f>"9724E99244"</f>
        <v>9724E99244</v>
      </c>
      <c r="E12340" s="1" t="s">
        <v>10</v>
      </c>
      <c r="F12340" s="1" t="str">
        <f>"10.10.105.218"</f>
        <v>10.10.105.218</v>
      </c>
      <c r="G12340" s="1" t="str">
        <f>"9724E992"</f>
        <v>9724E992</v>
      </c>
      <c r="H12340" s="1" t="str">
        <f>"도화간 20L1R1"</f>
        <v>도화간 20L1R1</v>
      </c>
      <c r="I12340" s="1" t="s">
        <v>8</v>
      </c>
      <c r="J12340" s="1" t="str">
        <f>"23/23"</f>
        <v>23/23</v>
      </c>
      <c r="K12340" s="1" t="str">
        <f>"2026-07-29 13:18:11"</f>
        <v>2026-07-29 13:18:11</v>
      </c>
      <c r="L12340" s="1" t="str">
        <f>"2019-12-11 17:53:24"</f>
        <v>2019-12-11 17:53:24</v>
      </c>
      <c r="M12340" s="1" t="s">
        <v>1</v>
      </c>
      <c r="N12340" s="1" t="s">
        <v>38</v>
      </c>
      <c r="O12340" s="1" t="s">
        <v>46</v>
      </c>
    </row>
    <row r="12341" spans="2:15" x14ac:dyDescent="0.3">
      <c r="B12341" s="1" t="s">
        <v>20</v>
      </c>
      <c r="C12341" s="1" t="str">
        <f t="shared" si="624"/>
        <v>4차</v>
      </c>
      <c r="D12341" s="1" t="str">
        <f>"9724F06244"</f>
        <v>9724F06244</v>
      </c>
      <c r="E12341" s="1" t="s">
        <v>10</v>
      </c>
      <c r="F12341" s="1" t="str">
        <f>"10.10.88.82"</f>
        <v>10.10.88.82</v>
      </c>
      <c r="G12341" s="1" t="str">
        <f>"9724F062"</f>
        <v>9724F062</v>
      </c>
      <c r="H12341" s="1" t="str">
        <f>"도화간 10L13"</f>
        <v>도화간 10L13</v>
      </c>
      <c r="I12341" s="1" t="s">
        <v>8</v>
      </c>
      <c r="J12341" s="1" t="str">
        <f>"44/44"</f>
        <v>44/44</v>
      </c>
      <c r="K12341" s="1" t="str">
        <f>"2026-07-29 13:18:11"</f>
        <v>2026-07-29 13:18:11</v>
      </c>
      <c r="L12341" s="1" t="str">
        <f>"2019-12-11 17:57:00"</f>
        <v>2019-12-11 17:57:00</v>
      </c>
      <c r="M12341" s="1" t="s">
        <v>1</v>
      </c>
      <c r="N12341" s="1" t="s">
        <v>38</v>
      </c>
      <c r="O12341" s="1" t="s">
        <v>46</v>
      </c>
    </row>
    <row r="12342" spans="2:15" x14ac:dyDescent="0.3">
      <c r="B12342" s="1" t="s">
        <v>20</v>
      </c>
      <c r="C12342" s="1" t="str">
        <f t="shared" si="624"/>
        <v>4차</v>
      </c>
      <c r="D12342" s="1" t="str">
        <f>"9724F07244"</f>
        <v>9724F07244</v>
      </c>
      <c r="E12342" s="1" t="s">
        <v>10</v>
      </c>
      <c r="F12342" s="1" t="str">
        <f>"10.12.138.36"</f>
        <v>10.12.138.36</v>
      </c>
      <c r="G12342" s="1" t="str">
        <f>"9724F072"</f>
        <v>9724F072</v>
      </c>
      <c r="H12342" s="1" t="str">
        <f>"도화간 10L14B1"</f>
        <v>도화간 10L14B1</v>
      </c>
      <c r="I12342" s="1" t="s">
        <v>8</v>
      </c>
      <c r="J12342" s="1" t="str">
        <f>"34/34"</f>
        <v>34/34</v>
      </c>
      <c r="K12342" s="1" t="str">
        <f>"2026-07-29 13:18:12"</f>
        <v>2026-07-29 13:18:12</v>
      </c>
      <c r="L12342" s="1" t="str">
        <f>"2019-11-22 13:56:38"</f>
        <v>2019-11-22 13:56:38</v>
      </c>
      <c r="M12342" s="1" t="s">
        <v>0</v>
      </c>
      <c r="N12342" s="1" t="s">
        <v>38</v>
      </c>
      <c r="O12342" s="1" t="s">
        <v>46</v>
      </c>
    </row>
    <row r="12343" spans="2:15" x14ac:dyDescent="0.3">
      <c r="B12343" s="1" t="s">
        <v>20</v>
      </c>
      <c r="C12343" s="1" t="str">
        <f t="shared" si="624"/>
        <v>4차</v>
      </c>
      <c r="D12343" s="1" t="str">
        <f>"9724F09244"</f>
        <v>9724F09244</v>
      </c>
      <c r="E12343" s="1" t="s">
        <v>10</v>
      </c>
      <c r="F12343" s="1" t="str">
        <f>"10.10.88.74"</f>
        <v>10.10.88.74</v>
      </c>
      <c r="G12343" s="1" t="str">
        <f>"9724F092"</f>
        <v>9724F092</v>
      </c>
      <c r="H12343" s="1" t="str">
        <f>"도화간 20L1L1"</f>
        <v>도화간 20L1L1</v>
      </c>
      <c r="I12343" s="1" t="s">
        <v>8</v>
      </c>
      <c r="J12343" s="1" t="str">
        <f>"38/40"</f>
        <v>38/40</v>
      </c>
      <c r="K12343" s="1" t="str">
        <f>"2026-07-29 13:18:11"</f>
        <v>2026-07-29 13:18:11</v>
      </c>
      <c r="L12343" s="1" t="str">
        <f>"2020-01-18 15:38:37"</f>
        <v>2020-01-18 15:38:37</v>
      </c>
      <c r="M12343" s="1" t="s">
        <v>1</v>
      </c>
      <c r="N12343" s="1" t="s">
        <v>38</v>
      </c>
      <c r="O12343" s="1" t="s">
        <v>46</v>
      </c>
    </row>
    <row r="12344" spans="2:15" x14ac:dyDescent="0.3">
      <c r="B12344" s="1" t="s">
        <v>20</v>
      </c>
      <c r="C12344" s="1" t="str">
        <f t="shared" si="624"/>
        <v>4차</v>
      </c>
      <c r="D12344" s="1" t="str">
        <f>"9724F16344"</f>
        <v>9724F16344</v>
      </c>
      <c r="E12344" s="1" t="s">
        <v>10</v>
      </c>
      <c r="F12344" s="1" t="str">
        <f>"10.10.74.42"</f>
        <v>10.10.74.42</v>
      </c>
      <c r="G12344" s="1" t="str">
        <f>"9724F163"</f>
        <v>9724F163</v>
      </c>
      <c r="H12344" s="1" t="str">
        <f>"도화간 10L12R1"</f>
        <v>도화간 10L12R1</v>
      </c>
      <c r="I12344" s="1" t="s">
        <v>8</v>
      </c>
      <c r="J12344" s="1" t="str">
        <f>"42/48"</f>
        <v>42/48</v>
      </c>
      <c r="K12344" s="1" t="str">
        <f>"2026-07-29 13:18:11"</f>
        <v>2026-07-29 13:18:11</v>
      </c>
      <c r="L12344" s="1" t="str">
        <f>"2019-12-11 17:52:23"</f>
        <v>2019-12-11 17:52:23</v>
      </c>
      <c r="M12344" s="1" t="s">
        <v>1</v>
      </c>
      <c r="N12344" s="1" t="s">
        <v>38</v>
      </c>
      <c r="O12344" s="1" t="s">
        <v>46</v>
      </c>
    </row>
    <row r="12345" spans="2:15" x14ac:dyDescent="0.3">
      <c r="B12345" s="1" t="s">
        <v>20</v>
      </c>
      <c r="C12345" s="1" t="str">
        <f>"3차"</f>
        <v>3차</v>
      </c>
      <c r="D12345" s="1" t="str">
        <f>"9724F17139"</f>
        <v>9724F17139</v>
      </c>
      <c r="E12345" s="1" t="s">
        <v>10</v>
      </c>
      <c r="F12345" s="1" t="str">
        <f>"10.12.136.126"</f>
        <v>10.12.136.126</v>
      </c>
      <c r="G12345" s="1" t="str">
        <f>"9724F171"</f>
        <v>9724F171</v>
      </c>
      <c r="H12345" s="1" t="str">
        <f>"도화간 20L1L4"</f>
        <v>도화간 20L1L4</v>
      </c>
      <c r="I12345" s="1" t="s">
        <v>8</v>
      </c>
      <c r="J12345" s="1" t="str">
        <f>"73/73"</f>
        <v>73/73</v>
      </c>
      <c r="K12345" s="1" t="str">
        <f>"2026-07-29 13:18:12"</f>
        <v>2026-07-29 13:18:12</v>
      </c>
      <c r="L12345" s="1" t="str">
        <f>"2018-09-28 12:44:27"</f>
        <v>2018-09-28 12:44:27</v>
      </c>
      <c r="M12345" s="1" t="s">
        <v>0</v>
      </c>
      <c r="N12345" s="1" t="s">
        <v>38</v>
      </c>
      <c r="O12345" s="1" t="s">
        <v>46</v>
      </c>
    </row>
    <row r="12346" spans="2:15" x14ac:dyDescent="0.3">
      <c r="B12346" s="1" t="s">
        <v>20</v>
      </c>
      <c r="C12346" s="1" t="str">
        <f t="shared" ref="C12346:C12357" si="625">"4차"</f>
        <v>4차</v>
      </c>
      <c r="D12346" s="1" t="str">
        <f>"9724F23244"</f>
        <v>9724F23244</v>
      </c>
      <c r="E12346" s="1" t="s">
        <v>10</v>
      </c>
      <c r="F12346" s="1" t="str">
        <f>"10.10.105.202"</f>
        <v>10.10.105.202</v>
      </c>
      <c r="G12346" s="1" t="str">
        <f>"9724F232"</f>
        <v>9724F232</v>
      </c>
      <c r="H12346" s="1" t="str">
        <f>"도화간 10L5L5"</f>
        <v>도화간 10L5L5</v>
      </c>
      <c r="I12346" s="1" t="s">
        <v>8</v>
      </c>
      <c r="J12346" s="1" t="str">
        <f>"8/8"</f>
        <v>8/8</v>
      </c>
      <c r="K12346" s="1" t="str">
        <f>"2026-07-29 13:18:11"</f>
        <v>2026-07-29 13:18:11</v>
      </c>
      <c r="L12346" s="1" t="str">
        <f>"2019-12-11 17:48:03"</f>
        <v>2019-12-11 17:48:03</v>
      </c>
      <c r="M12346" s="1" t="s">
        <v>1</v>
      </c>
      <c r="N12346" s="1" t="s">
        <v>38</v>
      </c>
      <c r="O12346" s="1" t="s">
        <v>46</v>
      </c>
    </row>
    <row r="12347" spans="2:15" x14ac:dyDescent="0.3">
      <c r="B12347" s="1" t="s">
        <v>20</v>
      </c>
      <c r="C12347" s="1" t="str">
        <f t="shared" si="625"/>
        <v>4차</v>
      </c>
      <c r="D12347" s="1" t="str">
        <f>"9724F26244"</f>
        <v>9724F26244</v>
      </c>
      <c r="E12347" s="1" t="s">
        <v>10</v>
      </c>
      <c r="F12347" s="1" t="str">
        <f>"10.10.105.186"</f>
        <v>10.10.105.186</v>
      </c>
      <c r="G12347" s="1" t="str">
        <f>"9724F262"</f>
        <v>9724F262</v>
      </c>
      <c r="H12347" s="1" t="str">
        <f>"도화간 10L3R8"</f>
        <v>도화간 10L3R8</v>
      </c>
      <c r="I12347" s="1" t="s">
        <v>8</v>
      </c>
      <c r="J12347" s="1" t="str">
        <f>"24/24"</f>
        <v>24/24</v>
      </c>
      <c r="K12347" s="1" t="str">
        <f>"2026-07-29 13:18:11"</f>
        <v>2026-07-29 13:18:11</v>
      </c>
      <c r="L12347" s="1" t="str">
        <f>"2019-12-11 17:50:49"</f>
        <v>2019-12-11 17:50:49</v>
      </c>
      <c r="M12347" s="1" t="s">
        <v>1</v>
      </c>
      <c r="N12347" s="1" t="s">
        <v>38</v>
      </c>
      <c r="O12347" s="1" t="s">
        <v>46</v>
      </c>
    </row>
    <row r="12348" spans="2:15" x14ac:dyDescent="0.3">
      <c r="B12348" s="1" t="s">
        <v>20</v>
      </c>
      <c r="C12348" s="1" t="str">
        <f t="shared" si="625"/>
        <v>4차</v>
      </c>
      <c r="D12348" s="1" t="str">
        <f>"9724F37144"</f>
        <v>9724F37144</v>
      </c>
      <c r="E12348" s="1" t="s">
        <v>10</v>
      </c>
      <c r="F12348" s="1" t="str">
        <f>"10.10.74.146"</f>
        <v>10.10.74.146</v>
      </c>
      <c r="G12348" s="1" t="str">
        <f>"9724F371"</f>
        <v>9724F371</v>
      </c>
      <c r="H12348" s="1" t="str">
        <f>"도화간 15"</f>
        <v>도화간 15</v>
      </c>
      <c r="I12348" s="1" t="s">
        <v>8</v>
      </c>
      <c r="J12348" s="1" t="str">
        <f>"10/10"</f>
        <v>10/10</v>
      </c>
      <c r="K12348" s="1" t="str">
        <f>"2026-07-29 13:18:11"</f>
        <v>2026-07-29 13:18:11</v>
      </c>
      <c r="L12348" s="1" t="str">
        <f>"2019-12-11 17:56:43"</f>
        <v>2019-12-11 17:56:43</v>
      </c>
      <c r="M12348" s="1" t="s">
        <v>1</v>
      </c>
      <c r="N12348" s="1" t="s">
        <v>38</v>
      </c>
      <c r="O12348" s="1" t="s">
        <v>46</v>
      </c>
    </row>
    <row r="12349" spans="2:15" x14ac:dyDescent="0.3">
      <c r="B12349" s="1" t="s">
        <v>20</v>
      </c>
      <c r="C12349" s="1" t="str">
        <f t="shared" si="625"/>
        <v>4차</v>
      </c>
      <c r="D12349" s="1" t="str">
        <f>"9724F75144"</f>
        <v>9724F75144</v>
      </c>
      <c r="E12349" s="1" t="s">
        <v>10</v>
      </c>
      <c r="F12349" s="1" t="str">
        <f>"10.10.110.18"</f>
        <v>10.10.110.18</v>
      </c>
      <c r="G12349" s="1" t="str">
        <f>"9724F751"</f>
        <v>9724F751</v>
      </c>
      <c r="H12349" s="1" t="str">
        <f>"토정간 9R3"</f>
        <v>토정간 9R3</v>
      </c>
      <c r="I12349" s="1" t="s">
        <v>8</v>
      </c>
      <c r="J12349" s="1" t="str">
        <f>"2/2"</f>
        <v>2/2</v>
      </c>
      <c r="K12349" s="1" t="str">
        <f>"2026-07-29 13:18:11"</f>
        <v>2026-07-29 13:18:11</v>
      </c>
      <c r="L12349" s="1" t="str">
        <f>"2019-12-11 18:11:55"</f>
        <v>2019-12-11 18:11:55</v>
      </c>
      <c r="M12349" s="1" t="s">
        <v>1</v>
      </c>
      <c r="N12349" s="1" t="s">
        <v>38</v>
      </c>
      <c r="O12349" s="1" t="s">
        <v>46</v>
      </c>
    </row>
    <row r="12350" spans="2:15" x14ac:dyDescent="0.3">
      <c r="B12350" s="1" t="s">
        <v>20</v>
      </c>
      <c r="C12350" s="1" t="str">
        <f t="shared" si="625"/>
        <v>4차</v>
      </c>
      <c r="D12350" s="1" t="str">
        <f>"9724F92645"</f>
        <v>9724F92645</v>
      </c>
      <c r="E12350" s="1" t="s">
        <v>10</v>
      </c>
      <c r="F12350" s="1" t="str">
        <f>"10.14.15.13"</f>
        <v>10.14.15.13</v>
      </c>
      <c r="G12350" s="1" t="str">
        <f>"9724F926"</f>
        <v>9724F926</v>
      </c>
      <c r="H12350" s="1" t="str">
        <f>"독막길 10"</f>
        <v>독막길 10</v>
      </c>
      <c r="I12350" s="1" t="s">
        <v>17</v>
      </c>
      <c r="J12350" s="1" t="str">
        <f>"5/5"</f>
        <v>5/5</v>
      </c>
      <c r="K12350" s="1" t="str">
        <f>"2026-07-29 13:18:12"</f>
        <v>2026-07-29 13:18:12</v>
      </c>
      <c r="L12350" s="1" t="str">
        <f>"2021-06-10 08:42:47"</f>
        <v>2021-06-10 08:42:47</v>
      </c>
      <c r="M12350" s="1" t="s">
        <v>3</v>
      </c>
      <c r="N12350" s="1" t="s">
        <v>38</v>
      </c>
      <c r="O12350" s="1" t="s">
        <v>46</v>
      </c>
    </row>
    <row r="12351" spans="2:15" x14ac:dyDescent="0.3">
      <c r="B12351" s="1" t="s">
        <v>20</v>
      </c>
      <c r="C12351" s="1" t="str">
        <f t="shared" si="625"/>
        <v>4차</v>
      </c>
      <c r="D12351" s="1" t="str">
        <f>"9724F99441"</f>
        <v>9724F99441</v>
      </c>
      <c r="E12351" s="1" t="s">
        <v>10</v>
      </c>
      <c r="F12351" s="1" t="str">
        <f>"10.14.12.178"</f>
        <v>10.14.12.178</v>
      </c>
      <c r="G12351" s="1" t="str">
        <f>"9724F994"</f>
        <v>9724F994</v>
      </c>
      <c r="H12351" s="1" t="str">
        <f>"염리지 12"</f>
        <v>염리지 12</v>
      </c>
      <c r="I12351" s="1" t="s">
        <v>17</v>
      </c>
      <c r="J12351" s="1" t="str">
        <f>"14/14"</f>
        <v>14/14</v>
      </c>
      <c r="K12351" s="1" t="str">
        <f>"2026-07-29 13:18:12"</f>
        <v>2026-07-29 13:18:12</v>
      </c>
      <c r="L12351" s="1" t="str">
        <f>"2021-08-09 13:12:19"</f>
        <v>2021-08-09 13:12:19</v>
      </c>
      <c r="M12351" s="1" t="s">
        <v>3</v>
      </c>
      <c r="N12351" s="1" t="s">
        <v>38</v>
      </c>
      <c r="O12351" s="1" t="s">
        <v>46</v>
      </c>
    </row>
    <row r="12352" spans="2:15" x14ac:dyDescent="0.3">
      <c r="B12352" s="1" t="s">
        <v>20</v>
      </c>
      <c r="C12352" s="1" t="str">
        <f t="shared" si="625"/>
        <v>4차</v>
      </c>
      <c r="D12352" s="1" t="str">
        <f>"9725A00241"</f>
        <v>9725A00241</v>
      </c>
      <c r="E12352" s="1" t="s">
        <v>10</v>
      </c>
      <c r="F12352" s="1" t="str">
        <f>"10.12.129.167"</f>
        <v>10.12.129.167</v>
      </c>
      <c r="G12352" s="1" t="str">
        <f>"9725A002"</f>
        <v>9725A002</v>
      </c>
      <c r="H12352" s="1" t="str">
        <f>"성산간 6R5"</f>
        <v>성산간 6R5</v>
      </c>
      <c r="I12352" s="1" t="s">
        <v>17</v>
      </c>
      <c r="J12352" s="1" t="str">
        <f>"17/20"</f>
        <v>17/20</v>
      </c>
      <c r="K12352" s="1" t="str">
        <f>"2026-07-29 13:18:11"</f>
        <v>2026-07-29 13:18:11</v>
      </c>
      <c r="L12352" s="1" t="str">
        <f>"2021-08-04 08:07:53"</f>
        <v>2021-08-04 08:07:53</v>
      </c>
      <c r="M12352" s="1" t="s">
        <v>0</v>
      </c>
      <c r="N12352" s="1" t="s">
        <v>38</v>
      </c>
      <c r="O12352" s="1" t="s">
        <v>46</v>
      </c>
    </row>
    <row r="12353" spans="2:15" x14ac:dyDescent="0.3">
      <c r="B12353" s="1" t="s">
        <v>20</v>
      </c>
      <c r="C12353" s="1" t="str">
        <f t="shared" si="625"/>
        <v>4차</v>
      </c>
      <c r="D12353" s="1" t="str">
        <f>"9725A00341"</f>
        <v>9725A00341</v>
      </c>
      <c r="E12353" s="1" t="s">
        <v>10</v>
      </c>
      <c r="F12353" s="1" t="str">
        <f>"10.14.15.179"</f>
        <v>10.14.15.179</v>
      </c>
      <c r="G12353" s="1" t="str">
        <f>"9725A003"</f>
        <v>9725A003</v>
      </c>
      <c r="H12353" s="1" t="str">
        <f>"성산간 6R5L1"</f>
        <v>성산간 6R5L1</v>
      </c>
      <c r="I12353" s="1" t="s">
        <v>17</v>
      </c>
      <c r="J12353" s="1" t="str">
        <f>"19/19"</f>
        <v>19/19</v>
      </c>
      <c r="K12353" s="1" t="str">
        <f>"2026-07-29 13:18:11"</f>
        <v>2026-07-29 13:18:11</v>
      </c>
      <c r="L12353" s="1" t="str">
        <f>"2021-08-04 08:36:14"</f>
        <v>2021-08-04 08:36:14</v>
      </c>
      <c r="M12353" s="1" t="s">
        <v>3</v>
      </c>
      <c r="N12353" s="1" t="s">
        <v>38</v>
      </c>
      <c r="O12353" s="1" t="s">
        <v>46</v>
      </c>
    </row>
    <row r="12354" spans="2:15" x14ac:dyDescent="0.3">
      <c r="B12354" s="1" t="s">
        <v>20</v>
      </c>
      <c r="C12354" s="1" t="str">
        <f t="shared" si="625"/>
        <v>4차</v>
      </c>
      <c r="D12354" s="1" t="str">
        <f>"9725A02141"</f>
        <v>9725A02141</v>
      </c>
      <c r="E12354" s="1" t="s">
        <v>10</v>
      </c>
      <c r="F12354" s="1" t="str">
        <f>"10.14.15.49"</f>
        <v>10.14.15.49</v>
      </c>
      <c r="G12354" s="1" t="str">
        <f>"9725A021"</f>
        <v>9725A021</v>
      </c>
      <c r="H12354" s="1" t="str">
        <f>"성산간 6R6L2L2"</f>
        <v>성산간 6R6L2L2</v>
      </c>
      <c r="I12354" s="1" t="s">
        <v>17</v>
      </c>
      <c r="J12354" s="1" t="str">
        <f>"16/21"</f>
        <v>16/21</v>
      </c>
      <c r="K12354" s="1" t="str">
        <f>"2026-07-29 13:18:11"</f>
        <v>2026-07-29 13:18:11</v>
      </c>
      <c r="L12354" s="1" t="str">
        <f>"2021-08-05 08:24:13"</f>
        <v>2021-08-05 08:24:13</v>
      </c>
      <c r="M12354" s="1" t="s">
        <v>3</v>
      </c>
      <c r="N12354" s="1" t="s">
        <v>38</v>
      </c>
      <c r="O12354" s="1" t="s">
        <v>46</v>
      </c>
    </row>
    <row r="12355" spans="2:15" x14ac:dyDescent="0.3">
      <c r="B12355" s="1" t="s">
        <v>20</v>
      </c>
      <c r="C12355" s="1" t="str">
        <f t="shared" si="625"/>
        <v>4차</v>
      </c>
      <c r="D12355" s="1" t="str">
        <f>"9725A05341"</f>
        <v>9725A05341</v>
      </c>
      <c r="E12355" s="1" t="s">
        <v>10</v>
      </c>
      <c r="F12355" s="1" t="str">
        <f>"10.12.137.110"</f>
        <v>10.12.137.110</v>
      </c>
      <c r="G12355" s="1" t="str">
        <f>"9725A053"</f>
        <v>9725A053</v>
      </c>
      <c r="H12355" s="1" t="str">
        <f>"성산간 27R9R6"</f>
        <v>성산간 27R9R6</v>
      </c>
      <c r="I12355" s="1" t="s">
        <v>17</v>
      </c>
      <c r="J12355" s="1" t="str">
        <f>"20/20"</f>
        <v>20/20</v>
      </c>
      <c r="K12355" s="1" t="str">
        <f>"2026-07-29 07:18:12"</f>
        <v>2026-07-29 07:18:12</v>
      </c>
      <c r="L12355" s="1" t="str">
        <f>"2021-08-06 08:58:26"</f>
        <v>2021-08-06 08:58:26</v>
      </c>
      <c r="M12355" s="1" t="s">
        <v>0</v>
      </c>
      <c r="N12355" s="1" t="s">
        <v>38</v>
      </c>
      <c r="O12355" s="1" t="s">
        <v>46</v>
      </c>
    </row>
    <row r="12356" spans="2:15" x14ac:dyDescent="0.3">
      <c r="B12356" s="1" t="s">
        <v>20</v>
      </c>
      <c r="C12356" s="1" t="str">
        <f t="shared" si="625"/>
        <v>4차</v>
      </c>
      <c r="D12356" s="1" t="str">
        <f>"9725A06141"</f>
        <v>9725A06141</v>
      </c>
      <c r="E12356" s="1" t="s">
        <v>10</v>
      </c>
      <c r="F12356" s="1" t="str">
        <f>"10.14.10.111"</f>
        <v>10.14.10.111</v>
      </c>
      <c r="G12356" s="1" t="str">
        <f>"9725A061"</f>
        <v>9725A061</v>
      </c>
      <c r="H12356" s="1" t="str">
        <f>"성산간 21"</f>
        <v>성산간 21</v>
      </c>
      <c r="I12356" s="1" t="s">
        <v>17</v>
      </c>
      <c r="J12356" s="1" t="str">
        <f>"18/20"</f>
        <v>18/20</v>
      </c>
      <c r="K12356" s="1" t="str">
        <f>"2026-07-29 13:18:11"</f>
        <v>2026-07-29 13:18:11</v>
      </c>
      <c r="L12356" s="1" t="str">
        <f>"2021-08-06 08:19:04"</f>
        <v>2021-08-06 08:19:04</v>
      </c>
      <c r="M12356" s="1" t="s">
        <v>3</v>
      </c>
      <c r="N12356" s="1" t="s">
        <v>38</v>
      </c>
      <c r="O12356" s="1" t="s">
        <v>46</v>
      </c>
    </row>
    <row r="12357" spans="2:15" x14ac:dyDescent="0.3">
      <c r="B12357" s="1" t="s">
        <v>20</v>
      </c>
      <c r="C12357" s="1" t="str">
        <f t="shared" si="625"/>
        <v>4차</v>
      </c>
      <c r="D12357" s="1" t="str">
        <f>"9725A08144"</f>
        <v>9725A08144</v>
      </c>
      <c r="E12357" s="1" t="s">
        <v>10</v>
      </c>
      <c r="F12357" s="1" t="str">
        <f>"10.10.82.34"</f>
        <v>10.10.82.34</v>
      </c>
      <c r="G12357" s="1" t="str">
        <f>"9725A081"</f>
        <v>9725A081</v>
      </c>
      <c r="H12357" s="1" t="str">
        <f>"성산간 27L6"</f>
        <v>성산간 27L6</v>
      </c>
      <c r="I12357" s="1" t="s">
        <v>8</v>
      </c>
      <c r="J12357" s="1" t="str">
        <f>"17/20"</f>
        <v>17/20</v>
      </c>
      <c r="K12357" s="1" t="str">
        <f>"2026-07-29 13:18:11"</f>
        <v>2026-07-29 13:18:11</v>
      </c>
      <c r="L12357" s="1" t="str">
        <f>"2019-12-11 18:05:10"</f>
        <v>2019-12-11 18:05:10</v>
      </c>
      <c r="M12357" s="1" t="s">
        <v>1</v>
      </c>
      <c r="N12357" s="1" t="s">
        <v>38</v>
      </c>
      <c r="O12357" s="1" t="s">
        <v>46</v>
      </c>
    </row>
    <row r="12358" spans="2:15" x14ac:dyDescent="0.3">
      <c r="B12358" s="1" t="s">
        <v>20</v>
      </c>
      <c r="C12358" s="1" t="str">
        <f>"1차"</f>
        <v>1차</v>
      </c>
      <c r="D12358" s="1" t="str">
        <f>"9725A09101"</f>
        <v>9725A09101</v>
      </c>
      <c r="E12358" s="1" t="s">
        <v>10</v>
      </c>
      <c r="F12358" s="1" t="str">
        <f>"10.12.128.212"</f>
        <v>10.12.128.212</v>
      </c>
      <c r="G12358" s="1" t="str">
        <f>"9725A091"</f>
        <v>9725A091</v>
      </c>
      <c r="H12358" s="1" t="str">
        <f>"성산간 27L5R1"</f>
        <v>성산간 27L5R1</v>
      </c>
      <c r="I12358" s="1" t="s">
        <v>8</v>
      </c>
      <c r="J12358" s="1" t="str">
        <f>"58/58"</f>
        <v>58/58</v>
      </c>
      <c r="K12358" s="1" t="str">
        <f>"2026-07-29 13:18:12"</f>
        <v>2026-07-29 13:18:12</v>
      </c>
      <c r="L12358" s="1" t="str">
        <f>"2014-12-17 11:25:03"</f>
        <v>2014-12-17 11:25:03</v>
      </c>
      <c r="M12358" s="1" t="s">
        <v>0</v>
      </c>
      <c r="N12358" s="1" t="s">
        <v>38</v>
      </c>
      <c r="O12358" s="1" t="s">
        <v>46</v>
      </c>
    </row>
    <row r="12359" spans="2:15" x14ac:dyDescent="0.3">
      <c r="B12359" s="1" t="s">
        <v>20</v>
      </c>
      <c r="C12359" s="1" t="str">
        <f>"4차"</f>
        <v>4차</v>
      </c>
      <c r="D12359" s="1" t="str">
        <f>"9725A10141"</f>
        <v>9725A10141</v>
      </c>
      <c r="E12359" s="1" t="s">
        <v>10</v>
      </c>
      <c r="F12359" s="1" t="str">
        <f>"10.14.15.115"</f>
        <v>10.14.15.115</v>
      </c>
      <c r="G12359" s="1" t="str">
        <f>"9725A101"</f>
        <v>9725A101</v>
      </c>
      <c r="H12359" s="1" t="str">
        <f>"성산간 6R6L1"</f>
        <v>성산간 6R6L1</v>
      </c>
      <c r="I12359" s="1" t="s">
        <v>17</v>
      </c>
      <c r="J12359" s="1" t="str">
        <f>"22/22"</f>
        <v>22/22</v>
      </c>
      <c r="K12359" s="1" t="str">
        <f>"2026-07-29 13:18:11"</f>
        <v>2026-07-29 13:18:11</v>
      </c>
      <c r="L12359" s="1" t="str">
        <f>"2021-09-03 15:44:46"</f>
        <v>2021-09-03 15:44:46</v>
      </c>
      <c r="M12359" s="1" t="s">
        <v>3</v>
      </c>
      <c r="N12359" s="1" t="s">
        <v>38</v>
      </c>
      <c r="O12359" s="1" t="s">
        <v>46</v>
      </c>
    </row>
    <row r="12360" spans="2:15" x14ac:dyDescent="0.3">
      <c r="B12360" s="1" t="s">
        <v>20</v>
      </c>
      <c r="C12360" s="1" t="str">
        <f>"4차"</f>
        <v>4차</v>
      </c>
      <c r="D12360" s="1" t="str">
        <f>"9725A14141"</f>
        <v>9725A14141</v>
      </c>
      <c r="E12360" s="1" t="s">
        <v>10</v>
      </c>
      <c r="F12360" s="1" t="str">
        <f>"10.12.128.224"</f>
        <v>10.12.128.224</v>
      </c>
      <c r="G12360" s="1" t="str">
        <f>"9725A141"</f>
        <v>9725A141</v>
      </c>
      <c r="H12360" s="1" t="str">
        <f>"성산간 27R9R3"</f>
        <v>성산간 27R9R3</v>
      </c>
      <c r="I12360" s="1" t="s">
        <v>17</v>
      </c>
      <c r="J12360" s="1" t="str">
        <f>"49/49"</f>
        <v>49/49</v>
      </c>
      <c r="K12360" s="1" t="str">
        <f>"2026-07-29 13:18:12"</f>
        <v>2026-07-29 13:18:12</v>
      </c>
      <c r="L12360" s="1" t="str">
        <f>"2021-08-05 07:10:22"</f>
        <v>2021-08-05 07:10:22</v>
      </c>
      <c r="M12360" s="1" t="s">
        <v>0</v>
      </c>
      <c r="N12360" s="1" t="s">
        <v>38</v>
      </c>
      <c r="O12360" s="1" t="s">
        <v>46</v>
      </c>
    </row>
    <row r="12361" spans="2:15" x14ac:dyDescent="0.3">
      <c r="B12361" s="1" t="s">
        <v>20</v>
      </c>
      <c r="C12361" s="1" t="str">
        <f>"3차"</f>
        <v>3차</v>
      </c>
      <c r="D12361" s="1" t="str">
        <f>"9725A15139"</f>
        <v>9725A15139</v>
      </c>
      <c r="E12361" s="1" t="s">
        <v>10</v>
      </c>
      <c r="F12361" s="1" t="str">
        <f>"10.14.6.119"</f>
        <v>10.14.6.119</v>
      </c>
      <c r="G12361" s="1" t="str">
        <f>"9725A151"</f>
        <v>9725A151</v>
      </c>
      <c r="H12361" s="1" t="str">
        <f>"성산간 27R9R4"</f>
        <v>성산간 27R9R4</v>
      </c>
      <c r="I12361" s="1" t="s">
        <v>8</v>
      </c>
      <c r="J12361" s="1" t="str">
        <f>"25/25"</f>
        <v>25/25</v>
      </c>
      <c r="K12361" s="1" t="str">
        <f>"2026-07-29 13:18:13"</f>
        <v>2026-07-29 13:18:13</v>
      </c>
      <c r="L12361" s="1" t="str">
        <f>"2018-04-20 12:18:58"</f>
        <v>2018-04-20 12:18:58</v>
      </c>
      <c r="M12361" s="1" t="s">
        <v>3</v>
      </c>
      <c r="N12361" s="1" t="s">
        <v>38</v>
      </c>
      <c r="O12361" s="1" t="s">
        <v>46</v>
      </c>
    </row>
    <row r="12362" spans="2:15" x14ac:dyDescent="0.3">
      <c r="B12362" s="1" t="s">
        <v>20</v>
      </c>
      <c r="C12362" s="1" t="str">
        <f>"4차"</f>
        <v>4차</v>
      </c>
      <c r="D12362" s="1" t="str">
        <f>"9725A15241"</f>
        <v>9725A15241</v>
      </c>
      <c r="E12362" s="1" t="s">
        <v>10</v>
      </c>
      <c r="F12362" s="1" t="str">
        <f>"10.14.15.46"</f>
        <v>10.14.15.46</v>
      </c>
      <c r="G12362" s="1" t="str">
        <f>"9725A152"</f>
        <v>9725A152</v>
      </c>
      <c r="H12362" s="1" t="str">
        <f>"성산간 27R9R5"</f>
        <v>성산간 27R9R5</v>
      </c>
      <c r="I12362" s="1" t="s">
        <v>17</v>
      </c>
      <c r="J12362" s="1" t="str">
        <f>"24/24"</f>
        <v>24/24</v>
      </c>
      <c r="K12362" s="1" t="str">
        <f>"2026-07-29 13:18:12"</f>
        <v>2026-07-29 13:18:12</v>
      </c>
      <c r="L12362" s="1" t="str">
        <f>"2021-08-06 09:48:30"</f>
        <v>2021-08-06 09:48:30</v>
      </c>
      <c r="M12362" s="1" t="s">
        <v>3</v>
      </c>
      <c r="N12362" s="1" t="s">
        <v>38</v>
      </c>
      <c r="O12362" s="1" t="s">
        <v>46</v>
      </c>
    </row>
    <row r="12363" spans="2:15" x14ac:dyDescent="0.3">
      <c r="B12363" s="1" t="s">
        <v>20</v>
      </c>
      <c r="C12363" s="1" t="str">
        <f>"4차"</f>
        <v>4차</v>
      </c>
      <c r="D12363" s="1" t="str">
        <f>"9725A16241"</f>
        <v>9725A16241</v>
      </c>
      <c r="E12363" s="1" t="s">
        <v>10</v>
      </c>
      <c r="F12363" s="1" t="str">
        <f>"10.14.5.44"</f>
        <v>10.14.5.44</v>
      </c>
      <c r="G12363" s="1" t="str">
        <f>"9725A162"</f>
        <v>9725A162</v>
      </c>
      <c r="H12363" s="1" t="str">
        <f>"성산간 23"</f>
        <v>성산간 23</v>
      </c>
      <c r="I12363" s="1" t="s">
        <v>17</v>
      </c>
      <c r="J12363" s="1" t="str">
        <f>"23/29"</f>
        <v>23/29</v>
      </c>
      <c r="K12363" s="1" t="str">
        <f>"2026-07-29 13:18:11"</f>
        <v>2026-07-29 13:18:11</v>
      </c>
      <c r="L12363" s="1" t="str">
        <f>"2021-08-06 12:49:48"</f>
        <v>2021-08-06 12:49:48</v>
      </c>
      <c r="M12363" s="1" t="s">
        <v>3</v>
      </c>
      <c r="N12363" s="1" t="s">
        <v>38</v>
      </c>
      <c r="O12363" s="1" t="s">
        <v>46</v>
      </c>
    </row>
    <row r="12364" spans="2:15" x14ac:dyDescent="0.3">
      <c r="B12364" s="1" t="s">
        <v>20</v>
      </c>
      <c r="C12364" s="1" t="str">
        <f>"4차"</f>
        <v>4차</v>
      </c>
      <c r="D12364" s="1" t="str">
        <f>"9725A17141"</f>
        <v>9725A17141</v>
      </c>
      <c r="E12364" s="1" t="s">
        <v>10</v>
      </c>
      <c r="F12364" s="1" t="str">
        <f>"10.14.14.108"</f>
        <v>10.14.14.108</v>
      </c>
      <c r="G12364" s="1" t="str">
        <f>"9725A171"</f>
        <v>9725A171</v>
      </c>
      <c r="H12364" s="1" t="str">
        <f>"성산간 24"</f>
        <v>성산간 24</v>
      </c>
      <c r="I12364" s="1" t="s">
        <v>17</v>
      </c>
      <c r="J12364" s="1" t="str">
        <f>"32/32"</f>
        <v>32/32</v>
      </c>
      <c r="K12364" s="1" t="str">
        <f>"2026-07-29 13:18:12"</f>
        <v>2026-07-29 13:18:12</v>
      </c>
      <c r="L12364" s="1" t="str">
        <f>"2021-08-06 13:31:15"</f>
        <v>2021-08-06 13:31:15</v>
      </c>
      <c r="M12364" s="1" t="s">
        <v>3</v>
      </c>
      <c r="N12364" s="1" t="s">
        <v>38</v>
      </c>
      <c r="O12364" s="1" t="s">
        <v>46</v>
      </c>
    </row>
    <row r="12365" spans="2:15" x14ac:dyDescent="0.3">
      <c r="B12365" s="1" t="s">
        <v>20</v>
      </c>
      <c r="C12365" s="1" t="str">
        <f>"4차"</f>
        <v>4차</v>
      </c>
      <c r="D12365" s="1" t="str">
        <f>"9725A17344"</f>
        <v>9725A17344</v>
      </c>
      <c r="E12365" s="1" t="s">
        <v>10</v>
      </c>
      <c r="F12365" s="1" t="str">
        <f>"10.10.102.10"</f>
        <v>10.10.102.10</v>
      </c>
      <c r="G12365" s="1" t="str">
        <f>"9725A173"</f>
        <v>9725A173</v>
      </c>
      <c r="H12365" s="1" t="str">
        <f>"성산간 27L5L2"</f>
        <v>성산간 27L5L2</v>
      </c>
      <c r="I12365" s="1" t="s">
        <v>8</v>
      </c>
      <c r="J12365" s="1" t="str">
        <f>"16/19"</f>
        <v>16/19</v>
      </c>
      <c r="K12365" s="1" t="str">
        <f>"2026-07-29 13:18:11"</f>
        <v>2026-07-29 13:18:11</v>
      </c>
      <c r="L12365" s="1" t="str">
        <f>"2019-12-11 18:06:04"</f>
        <v>2019-12-11 18:06:04</v>
      </c>
      <c r="M12365" s="1" t="s">
        <v>1</v>
      </c>
      <c r="N12365" s="1" t="s">
        <v>38</v>
      </c>
      <c r="O12365" s="1" t="s">
        <v>46</v>
      </c>
    </row>
    <row r="12366" spans="2:15" x14ac:dyDescent="0.3">
      <c r="B12366" s="1" t="s">
        <v>20</v>
      </c>
      <c r="C12366" s="1" t="str">
        <f>"1차"</f>
        <v>1차</v>
      </c>
      <c r="D12366" s="1" t="str">
        <f>"9725A18101"</f>
        <v>9725A18101</v>
      </c>
      <c r="E12366" s="1" t="s">
        <v>10</v>
      </c>
      <c r="F12366" s="1" t="str">
        <f>"10.14.2.124"</f>
        <v>10.14.2.124</v>
      </c>
      <c r="G12366" s="1" t="str">
        <f>"9725A181"</f>
        <v>9725A181</v>
      </c>
      <c r="H12366" s="1" t="str">
        <f>"성산간 27L4"</f>
        <v>성산간 27L4</v>
      </c>
      <c r="I12366" s="1" t="s">
        <v>8</v>
      </c>
      <c r="J12366" s="1" t="str">
        <f>"70/70"</f>
        <v>70/70</v>
      </c>
      <c r="K12366" s="1" t="str">
        <f>"2026-07-29 13:18:11"</f>
        <v>2026-07-29 13:18:11</v>
      </c>
      <c r="L12366" s="1" t="str">
        <f>"2014-12-02 17:04:29"</f>
        <v>2014-12-02 17:04:29</v>
      </c>
      <c r="M12366" s="1" t="s">
        <v>3</v>
      </c>
      <c r="N12366" s="1" t="s">
        <v>38</v>
      </c>
      <c r="O12366" s="1" t="s">
        <v>46</v>
      </c>
    </row>
    <row r="12367" spans="2:15" x14ac:dyDescent="0.3">
      <c r="B12367" s="1" t="s">
        <v>20</v>
      </c>
      <c r="C12367" s="1" t="str">
        <f t="shared" ref="C12367:C12381" si="626">"4차"</f>
        <v>4차</v>
      </c>
      <c r="D12367" s="1" t="str">
        <f>"9725A23141"</f>
        <v>9725A23141</v>
      </c>
      <c r="E12367" s="1" t="s">
        <v>10</v>
      </c>
      <c r="F12367" s="1" t="str">
        <f>"10.14.12.49"</f>
        <v>10.14.12.49</v>
      </c>
      <c r="G12367" s="1" t="str">
        <f>"9725A231"</f>
        <v>9725A231</v>
      </c>
      <c r="H12367" s="1" t="str">
        <f>"성산간 27R9R1L2"</f>
        <v>성산간 27R9R1L2</v>
      </c>
      <c r="I12367" s="1" t="s">
        <v>17</v>
      </c>
      <c r="J12367" s="1" t="str">
        <f>"11/15"</f>
        <v>11/15</v>
      </c>
      <c r="K12367" s="1" t="str">
        <f>"2026-07-29 13:18:12"</f>
        <v>2026-07-29 13:18:12</v>
      </c>
      <c r="L12367" s="1" t="str">
        <f>"2021-08-05 09:04:35"</f>
        <v>2021-08-05 09:04:35</v>
      </c>
      <c r="M12367" s="1" t="s">
        <v>3</v>
      </c>
      <c r="N12367" s="1" t="s">
        <v>38</v>
      </c>
      <c r="O12367" s="1" t="s">
        <v>46</v>
      </c>
    </row>
    <row r="12368" spans="2:15" x14ac:dyDescent="0.3">
      <c r="B12368" s="1" t="s">
        <v>20</v>
      </c>
      <c r="C12368" s="1" t="str">
        <f t="shared" si="626"/>
        <v>4차</v>
      </c>
      <c r="D12368" s="1" t="str">
        <f>"9725A23341"</f>
        <v>9725A23341</v>
      </c>
      <c r="E12368" s="1" t="s">
        <v>10</v>
      </c>
      <c r="F12368" s="1" t="str">
        <f>"10.14.10.115"</f>
        <v>10.14.10.115</v>
      </c>
      <c r="G12368" s="1" t="str">
        <f>"9725A233"</f>
        <v>9725A233</v>
      </c>
      <c r="H12368" s="1" t="str">
        <f>"성산간 27R9R1L1"</f>
        <v>성산간 27R9R1L1</v>
      </c>
      <c r="I12368" s="1" t="s">
        <v>17</v>
      </c>
      <c r="J12368" s="1" t="str">
        <f>"40/41"</f>
        <v>40/41</v>
      </c>
      <c r="K12368" s="1" t="str">
        <f>"2026-07-29 13:18:12"</f>
        <v>2026-07-29 13:18:12</v>
      </c>
      <c r="L12368" s="1" t="str">
        <f>"2021-08-05 08:04:54"</f>
        <v>2021-08-05 08:04:54</v>
      </c>
      <c r="M12368" s="1" t="s">
        <v>3</v>
      </c>
      <c r="N12368" s="1" t="s">
        <v>38</v>
      </c>
      <c r="O12368" s="1" t="s">
        <v>46</v>
      </c>
    </row>
    <row r="12369" spans="2:15" x14ac:dyDescent="0.3">
      <c r="B12369" s="1" t="s">
        <v>20</v>
      </c>
      <c r="C12369" s="1" t="str">
        <f t="shared" si="626"/>
        <v>4차</v>
      </c>
      <c r="D12369" s="1" t="str">
        <f>"9725A25141"</f>
        <v>9725A25141</v>
      </c>
      <c r="E12369" s="1" t="s">
        <v>10</v>
      </c>
      <c r="F12369" s="1" t="str">
        <f>"10.14.7.43"</f>
        <v>10.14.7.43</v>
      </c>
      <c r="G12369" s="1" t="str">
        <f>"9725A251"</f>
        <v>9725A251</v>
      </c>
      <c r="H12369" s="1" t="str">
        <f>"성산간 27R2R4"</f>
        <v>성산간 27R2R4</v>
      </c>
      <c r="I12369" s="1" t="s">
        <v>17</v>
      </c>
      <c r="J12369" s="1" t="str">
        <f>"38/38"</f>
        <v>38/38</v>
      </c>
      <c r="K12369" s="1" t="str">
        <f>"2026-07-29 13:18:12"</f>
        <v>2026-07-29 13:18:12</v>
      </c>
      <c r="L12369" s="1" t="str">
        <f>"2021-08-05 10:15:04"</f>
        <v>2021-08-05 10:15:04</v>
      </c>
      <c r="M12369" s="1" t="s">
        <v>3</v>
      </c>
      <c r="N12369" s="1" t="s">
        <v>38</v>
      </c>
      <c r="O12369" s="1" t="s">
        <v>46</v>
      </c>
    </row>
    <row r="12370" spans="2:15" x14ac:dyDescent="0.3">
      <c r="B12370" s="1" t="s">
        <v>20</v>
      </c>
      <c r="C12370" s="1" t="str">
        <f t="shared" si="626"/>
        <v>4차</v>
      </c>
      <c r="D12370" s="1" t="str">
        <f>"9725A28341"</f>
        <v>9725A28341</v>
      </c>
      <c r="E12370" s="1" t="s">
        <v>10</v>
      </c>
      <c r="F12370" s="1" t="str">
        <f>"10.12.131.190"</f>
        <v>10.12.131.190</v>
      </c>
      <c r="G12370" s="1" t="str">
        <f>"9725A283"</f>
        <v>9725A283</v>
      </c>
      <c r="H12370" s="1" t="str">
        <f>"성산간 26"</f>
        <v>성산간 26</v>
      </c>
      <c r="I12370" s="1" t="s">
        <v>17</v>
      </c>
      <c r="J12370" s="1" t="str">
        <f>"19/30"</f>
        <v>19/30</v>
      </c>
      <c r="K12370" s="1" t="str">
        <f>"2026-07-29 13:18:11"</f>
        <v>2026-07-29 13:18:11</v>
      </c>
      <c r="L12370" s="1" t="str">
        <f>"2021-08-05 15:18:13"</f>
        <v>2021-08-05 15:18:13</v>
      </c>
      <c r="M12370" s="1" t="s">
        <v>0</v>
      </c>
      <c r="N12370" s="1" t="s">
        <v>38</v>
      </c>
      <c r="O12370" s="1" t="s">
        <v>46</v>
      </c>
    </row>
    <row r="12371" spans="2:15" x14ac:dyDescent="0.3">
      <c r="B12371" s="1" t="s">
        <v>20</v>
      </c>
      <c r="C12371" s="1" t="str">
        <f t="shared" si="626"/>
        <v>4차</v>
      </c>
      <c r="D12371" s="1" t="str">
        <f>"9725A35241"</f>
        <v>9725A35241</v>
      </c>
      <c r="E12371" s="1" t="s">
        <v>10</v>
      </c>
      <c r="F12371" s="1" t="str">
        <f>"10.14.4.109"</f>
        <v>10.14.4.109</v>
      </c>
      <c r="G12371" s="1" t="str">
        <f>"9725A352"</f>
        <v>9725A352</v>
      </c>
      <c r="H12371" s="1" t="str">
        <f>"성산간 27R6"</f>
        <v>성산간 27R6</v>
      </c>
      <c r="I12371" s="1" t="s">
        <v>17</v>
      </c>
      <c r="J12371" s="1" t="str">
        <f>"14/14"</f>
        <v>14/14</v>
      </c>
      <c r="K12371" s="1" t="str">
        <f>"2026-07-29 13:18:03"</f>
        <v>2026-07-29 13:18:03</v>
      </c>
      <c r="L12371" s="1" t="str">
        <f>"2021-08-05 13:21:19"</f>
        <v>2021-08-05 13:21:19</v>
      </c>
      <c r="M12371" s="1" t="s">
        <v>3</v>
      </c>
      <c r="N12371" s="1" t="s">
        <v>38</v>
      </c>
      <c r="O12371" s="1" t="s">
        <v>46</v>
      </c>
    </row>
    <row r="12372" spans="2:15" x14ac:dyDescent="0.3">
      <c r="B12372" s="1" t="s">
        <v>20</v>
      </c>
      <c r="C12372" s="1" t="str">
        <f t="shared" si="626"/>
        <v>4차</v>
      </c>
      <c r="D12372" s="1" t="str">
        <f>"9725A36141"</f>
        <v>9725A36141</v>
      </c>
      <c r="E12372" s="1" t="s">
        <v>10</v>
      </c>
      <c r="F12372" s="1" t="str">
        <f>"10.14.1.49"</f>
        <v>10.14.1.49</v>
      </c>
      <c r="G12372" s="1" t="str">
        <f>"9725A361"</f>
        <v>9725A361</v>
      </c>
      <c r="H12372" s="1" t="str">
        <f>"성산간 27R4"</f>
        <v>성산간 27R4</v>
      </c>
      <c r="I12372" s="1" t="s">
        <v>17</v>
      </c>
      <c r="J12372" s="1" t="str">
        <f>"12/13"</f>
        <v>12/13</v>
      </c>
      <c r="K12372" s="1" t="str">
        <f>"2026-07-29 13:18:12"</f>
        <v>2026-07-29 13:18:12</v>
      </c>
      <c r="L12372" s="1" t="str">
        <f>"2021-08-05 11:59:25"</f>
        <v>2021-08-05 11:59:25</v>
      </c>
      <c r="M12372" s="1" t="s">
        <v>3</v>
      </c>
      <c r="N12372" s="1" t="s">
        <v>38</v>
      </c>
      <c r="O12372" s="1" t="s">
        <v>46</v>
      </c>
    </row>
    <row r="12373" spans="2:15" x14ac:dyDescent="0.3">
      <c r="B12373" s="1" t="s">
        <v>20</v>
      </c>
      <c r="C12373" s="1" t="str">
        <f t="shared" si="626"/>
        <v>4차</v>
      </c>
      <c r="D12373" s="1" t="str">
        <f>"9725A36441"</f>
        <v>9725A36441</v>
      </c>
      <c r="E12373" s="1" t="s">
        <v>10</v>
      </c>
      <c r="F12373" s="1" t="str">
        <f>"10.14.9.112"</f>
        <v>10.14.9.112</v>
      </c>
      <c r="G12373" s="1" t="str">
        <f>"9725A364"</f>
        <v>9725A364</v>
      </c>
      <c r="H12373" s="1" t="str">
        <f>"성산간 27R2R2"</f>
        <v>성산간 27R2R2</v>
      </c>
      <c r="I12373" s="1" t="s">
        <v>17</v>
      </c>
      <c r="J12373" s="1" t="str">
        <f>"4/4"</f>
        <v>4/4</v>
      </c>
      <c r="K12373" s="1" t="str">
        <f>"2026-07-29 13:18:12"</f>
        <v>2026-07-29 13:18:12</v>
      </c>
      <c r="L12373" s="1" t="str">
        <f>"2021-08-12 17:09:14"</f>
        <v>2021-08-12 17:09:14</v>
      </c>
      <c r="M12373" s="1" t="s">
        <v>3</v>
      </c>
      <c r="N12373" s="1" t="s">
        <v>38</v>
      </c>
      <c r="O12373" s="1" t="s">
        <v>46</v>
      </c>
    </row>
    <row r="12374" spans="2:15" x14ac:dyDescent="0.3">
      <c r="B12374" s="1" t="s">
        <v>20</v>
      </c>
      <c r="C12374" s="1" t="str">
        <f t="shared" si="626"/>
        <v>4차</v>
      </c>
      <c r="D12374" s="1" t="str">
        <f>"9725A38341"</f>
        <v>9725A38341</v>
      </c>
      <c r="E12374" s="1" t="s">
        <v>10</v>
      </c>
      <c r="F12374" s="1" t="str">
        <f>"10.14.8.111"</f>
        <v>10.14.8.111</v>
      </c>
      <c r="G12374" s="1" t="str">
        <f>"9725A383"</f>
        <v>9725A383</v>
      </c>
      <c r="H12374" s="1" t="str">
        <f>"성산간 28"</f>
        <v>성산간 28</v>
      </c>
      <c r="I12374" s="1" t="s">
        <v>17</v>
      </c>
      <c r="J12374" s="1" t="str">
        <f>"10/10"</f>
        <v>10/10</v>
      </c>
      <c r="K12374" s="1" t="str">
        <f>"2026-07-29 13:18:12"</f>
        <v>2026-07-29 13:18:12</v>
      </c>
      <c r="L12374" s="1" t="str">
        <f>"2021-08-05 14:36:17"</f>
        <v>2021-08-05 14:36:17</v>
      </c>
      <c r="M12374" s="1" t="s">
        <v>3</v>
      </c>
      <c r="N12374" s="1" t="s">
        <v>38</v>
      </c>
      <c r="O12374" s="1" t="s">
        <v>46</v>
      </c>
    </row>
    <row r="12375" spans="2:15" x14ac:dyDescent="0.3">
      <c r="B12375" s="1" t="s">
        <v>20</v>
      </c>
      <c r="C12375" s="1" t="str">
        <f t="shared" si="626"/>
        <v>4차</v>
      </c>
      <c r="D12375" s="1" t="str">
        <f>"9725A41241"</f>
        <v>9725A41241</v>
      </c>
      <c r="E12375" s="1" t="s">
        <v>10</v>
      </c>
      <c r="F12375" s="1" t="str">
        <f>"10.12.128.208"</f>
        <v>10.12.128.208</v>
      </c>
      <c r="G12375" s="1" t="str">
        <f>"9725A412"</f>
        <v>9725A412</v>
      </c>
      <c r="H12375" s="1" t="str">
        <f>"성산간 27R8L3L5"</f>
        <v>성산간 27R8L3L5</v>
      </c>
      <c r="I12375" s="1" t="s">
        <v>17</v>
      </c>
      <c r="J12375" s="1" t="str">
        <f>"5/5"</f>
        <v>5/5</v>
      </c>
      <c r="K12375" s="1" t="str">
        <f>"2026-07-29 13:18:11"</f>
        <v>2026-07-29 13:18:11</v>
      </c>
      <c r="L12375" s="1" t="str">
        <f>"2021-08-09 11:08:07"</f>
        <v>2021-08-09 11:08:07</v>
      </c>
      <c r="M12375" s="1" t="s">
        <v>0</v>
      </c>
      <c r="N12375" s="1" t="s">
        <v>38</v>
      </c>
      <c r="O12375" s="1" t="s">
        <v>46</v>
      </c>
    </row>
    <row r="12376" spans="2:15" x14ac:dyDescent="0.3">
      <c r="B12376" s="1" t="s">
        <v>20</v>
      </c>
      <c r="C12376" s="1" t="str">
        <f t="shared" si="626"/>
        <v>4차</v>
      </c>
      <c r="D12376" s="1" t="str">
        <f>"9725A43241"</f>
        <v>9725A43241</v>
      </c>
      <c r="E12376" s="1" t="s">
        <v>10</v>
      </c>
      <c r="F12376" s="1" t="str">
        <f>"10.14.1.47"</f>
        <v>10.14.1.47</v>
      </c>
      <c r="G12376" s="1" t="str">
        <f>"9725A432"</f>
        <v>9725A432</v>
      </c>
      <c r="H12376" s="1" t="str">
        <f>"성산간 27R8L1C2"</f>
        <v>성산간 27R8L1C2</v>
      </c>
      <c r="I12376" s="1" t="s">
        <v>17</v>
      </c>
      <c r="J12376" s="1" t="str">
        <f>"7/7"</f>
        <v>7/7</v>
      </c>
      <c r="K12376" s="1" t="str">
        <f t="shared" ref="K12376:K12381" si="627">"2026-07-29 13:18:12"</f>
        <v>2026-07-29 13:18:12</v>
      </c>
      <c r="L12376" s="1" t="str">
        <f>"2021-08-09 09:20:11"</f>
        <v>2021-08-09 09:20:11</v>
      </c>
      <c r="M12376" s="1" t="s">
        <v>3</v>
      </c>
      <c r="N12376" s="1" t="s">
        <v>38</v>
      </c>
      <c r="O12376" s="1" t="s">
        <v>46</v>
      </c>
    </row>
    <row r="12377" spans="2:15" x14ac:dyDescent="0.3">
      <c r="B12377" s="1" t="s">
        <v>20</v>
      </c>
      <c r="C12377" s="1" t="str">
        <f t="shared" si="626"/>
        <v>4차</v>
      </c>
      <c r="D12377" s="1" t="str">
        <f>"9725A44141"</f>
        <v>9725A44141</v>
      </c>
      <c r="E12377" s="1" t="s">
        <v>10</v>
      </c>
      <c r="F12377" s="1" t="str">
        <f>"10.14.14.43"</f>
        <v>10.14.14.43</v>
      </c>
      <c r="G12377" s="1" t="str">
        <f>"9725A441"</f>
        <v>9725A441</v>
      </c>
      <c r="H12377" s="1" t="str">
        <f>"성산간 27R8L1C3"</f>
        <v>성산간 27R8L1C3</v>
      </c>
      <c r="I12377" s="1" t="s">
        <v>17</v>
      </c>
      <c r="J12377" s="1" t="str">
        <f>"9/20"</f>
        <v>9/20</v>
      </c>
      <c r="K12377" s="1" t="str">
        <f t="shared" si="627"/>
        <v>2026-07-29 13:18:12</v>
      </c>
      <c r="L12377" s="1" t="str">
        <f>"2021-08-12 16:25:13"</f>
        <v>2021-08-12 16:25:13</v>
      </c>
      <c r="M12377" s="1" t="s">
        <v>3</v>
      </c>
      <c r="N12377" s="1" t="s">
        <v>38</v>
      </c>
      <c r="O12377" s="1" t="s">
        <v>46</v>
      </c>
    </row>
    <row r="12378" spans="2:15" x14ac:dyDescent="0.3">
      <c r="B12378" s="1" t="s">
        <v>20</v>
      </c>
      <c r="C12378" s="1" t="str">
        <f t="shared" si="626"/>
        <v>4차</v>
      </c>
      <c r="D12378" s="1" t="str">
        <f>"9725A45141"</f>
        <v>9725A45141</v>
      </c>
      <c r="E12378" s="1" t="s">
        <v>10</v>
      </c>
      <c r="F12378" s="1" t="str">
        <f>"10.14.12.115"</f>
        <v>10.14.12.115</v>
      </c>
      <c r="G12378" s="1" t="str">
        <f>"9725A451"</f>
        <v>9725A451</v>
      </c>
      <c r="H12378" s="1" t="str">
        <f>"성산간 27R8L1L2R1"</f>
        <v>성산간 27R8L1L2R1</v>
      </c>
      <c r="I12378" s="1" t="s">
        <v>17</v>
      </c>
      <c r="J12378" s="1" t="str">
        <f>"21/24"</f>
        <v>21/24</v>
      </c>
      <c r="K12378" s="1" t="str">
        <f t="shared" si="627"/>
        <v>2026-07-29 13:18:12</v>
      </c>
      <c r="L12378" s="1" t="str">
        <f>"2021-08-11 14:30:34"</f>
        <v>2021-08-11 14:30:34</v>
      </c>
      <c r="M12378" s="1" t="s">
        <v>3</v>
      </c>
      <c r="N12378" s="1" t="s">
        <v>38</v>
      </c>
      <c r="O12378" s="1" t="s">
        <v>46</v>
      </c>
    </row>
    <row r="12379" spans="2:15" x14ac:dyDescent="0.3">
      <c r="B12379" s="1" t="s">
        <v>20</v>
      </c>
      <c r="C12379" s="1" t="str">
        <f t="shared" si="626"/>
        <v>4차</v>
      </c>
      <c r="D12379" s="1" t="str">
        <f>"9725A46141"</f>
        <v>9725A46141</v>
      </c>
      <c r="E12379" s="1" t="s">
        <v>10</v>
      </c>
      <c r="F12379" s="1" t="str">
        <f>"10.14.5.47"</f>
        <v>10.14.5.47</v>
      </c>
      <c r="G12379" s="1" t="str">
        <f>"9725A461"</f>
        <v>9725A461</v>
      </c>
      <c r="H12379" s="1" t="str">
        <f>"성산간 27R8L1L2R2"</f>
        <v>성산간 27R8L1L2R2</v>
      </c>
      <c r="I12379" s="1" t="s">
        <v>17</v>
      </c>
      <c r="J12379" s="1" t="str">
        <f>"28/36"</f>
        <v>28/36</v>
      </c>
      <c r="K12379" s="1" t="str">
        <f t="shared" si="627"/>
        <v>2026-07-29 13:18:12</v>
      </c>
      <c r="L12379" s="1" t="str">
        <f>"2021-08-09 07:45:11"</f>
        <v>2021-08-09 07:45:11</v>
      </c>
      <c r="M12379" s="1" t="s">
        <v>3</v>
      </c>
      <c r="N12379" s="1" t="s">
        <v>38</v>
      </c>
      <c r="O12379" s="1" t="s">
        <v>46</v>
      </c>
    </row>
    <row r="12380" spans="2:15" x14ac:dyDescent="0.3">
      <c r="B12380" s="1" t="s">
        <v>20</v>
      </c>
      <c r="C12380" s="1" t="str">
        <f t="shared" si="626"/>
        <v>4차</v>
      </c>
      <c r="D12380" s="1" t="str">
        <f>"9725A46341"</f>
        <v>9725A46341</v>
      </c>
      <c r="E12380" s="1" t="s">
        <v>10</v>
      </c>
      <c r="F12380" s="1" t="str">
        <f>"10.14.8.47"</f>
        <v>10.14.8.47</v>
      </c>
      <c r="G12380" s="1" t="str">
        <f>"9725A463"</f>
        <v>9725A463</v>
      </c>
      <c r="H12380" s="1" t="str">
        <f>"성산간 27R8L1L5"</f>
        <v>성산간 27R8L1L5</v>
      </c>
      <c r="I12380" s="1" t="s">
        <v>17</v>
      </c>
      <c r="J12380" s="1" t="str">
        <f>"12/12"</f>
        <v>12/12</v>
      </c>
      <c r="K12380" s="1" t="str">
        <f t="shared" si="627"/>
        <v>2026-07-29 13:18:12</v>
      </c>
      <c r="L12380" s="1" t="str">
        <f>"2021-08-09 06:46:05"</f>
        <v>2021-08-09 06:46:05</v>
      </c>
      <c r="M12380" s="1" t="s">
        <v>3</v>
      </c>
      <c r="N12380" s="1" t="s">
        <v>38</v>
      </c>
      <c r="O12380" s="1" t="s">
        <v>46</v>
      </c>
    </row>
    <row r="12381" spans="2:15" x14ac:dyDescent="0.3">
      <c r="B12381" s="1" t="s">
        <v>20</v>
      </c>
      <c r="C12381" s="1" t="str">
        <f t="shared" si="626"/>
        <v>4차</v>
      </c>
      <c r="D12381" s="1" t="str">
        <f>"9725A47445"</f>
        <v>9725A47445</v>
      </c>
      <c r="E12381" s="1" t="s">
        <v>10</v>
      </c>
      <c r="F12381" s="1" t="str">
        <f>"10.14.4.9"</f>
        <v>10.14.4.9</v>
      </c>
      <c r="G12381" s="1" t="str">
        <f>"9725A474"</f>
        <v>9725A474</v>
      </c>
      <c r="H12381" s="1" t="str">
        <f>"연남로 R3T"</f>
        <v>연남로 R3T</v>
      </c>
      <c r="I12381" s="1" t="s">
        <v>17</v>
      </c>
      <c r="J12381" s="1" t="str">
        <f>"6/10"</f>
        <v>6/10</v>
      </c>
      <c r="K12381" s="1" t="str">
        <f t="shared" si="627"/>
        <v>2026-07-29 13:18:12</v>
      </c>
      <c r="L12381" s="1" t="str">
        <f>"2021-06-14 13:24:48"</f>
        <v>2021-06-14 13:24:48</v>
      </c>
      <c r="M12381" s="1" t="s">
        <v>3</v>
      </c>
      <c r="N12381" s="1" t="s">
        <v>38</v>
      </c>
      <c r="O12381" s="1" t="s">
        <v>46</v>
      </c>
    </row>
    <row r="12382" spans="2:15" x14ac:dyDescent="0.3">
      <c r="B12382" s="1" t="s">
        <v>20</v>
      </c>
      <c r="C12382" s="1" t="str">
        <f>"3차"</f>
        <v>3차</v>
      </c>
      <c r="D12382" s="1" t="str">
        <f>"9725A50139"</f>
        <v>9725A50139</v>
      </c>
      <c r="E12382" s="1" t="s">
        <v>10</v>
      </c>
      <c r="F12382" s="1" t="str">
        <f>"10.10.37.10"</f>
        <v>10.10.37.10</v>
      </c>
      <c r="G12382" s="1" t="str">
        <f>"9725A501"</f>
        <v>9725A501</v>
      </c>
      <c r="H12382" s="1" t="str">
        <f>"양화간 1R6"</f>
        <v>양화간 1R6</v>
      </c>
      <c r="I12382" s="1" t="s">
        <v>8</v>
      </c>
      <c r="J12382" s="1" t="str">
        <f>"12/12"</f>
        <v>12/12</v>
      </c>
      <c r="K12382" s="1" t="str">
        <f>"2026-07-29 13:18:11"</f>
        <v>2026-07-29 13:18:11</v>
      </c>
      <c r="L12382" s="1" t="str">
        <f>"2018-02-21 15:47:27"</f>
        <v>2018-02-21 15:47:27</v>
      </c>
      <c r="M12382" s="1" t="s">
        <v>1</v>
      </c>
      <c r="N12382" s="1" t="s">
        <v>38</v>
      </c>
      <c r="O12382" s="1" t="s">
        <v>46</v>
      </c>
    </row>
    <row r="12383" spans="2:15" x14ac:dyDescent="0.3">
      <c r="B12383" s="1" t="s">
        <v>20</v>
      </c>
      <c r="C12383" s="1" t="str">
        <f>"4차"</f>
        <v>4차</v>
      </c>
      <c r="D12383" s="1" t="str">
        <f>"9725A53141"</f>
        <v>9725A53141</v>
      </c>
      <c r="E12383" s="1" t="s">
        <v>10</v>
      </c>
      <c r="F12383" s="1" t="str">
        <f>"10.14.1.50"</f>
        <v>10.14.1.50</v>
      </c>
      <c r="G12383" s="1" t="str">
        <f>"9725A531"</f>
        <v>9725A531</v>
      </c>
      <c r="H12383" s="1" t="str">
        <f>"성산간 27R8L3L8"</f>
        <v>성산간 27R8L3L8</v>
      </c>
      <c r="I12383" s="1" t="s">
        <v>17</v>
      </c>
      <c r="J12383" s="1" t="str">
        <f>"52/52"</f>
        <v>52/52</v>
      </c>
      <c r="K12383" s="1" t="str">
        <f>"2026-07-29 13:18:12"</f>
        <v>2026-07-29 13:18:12</v>
      </c>
      <c r="L12383" s="1" t="str">
        <f>"2021-08-09 09:57:36"</f>
        <v>2021-08-09 09:57:36</v>
      </c>
      <c r="M12383" s="1" t="s">
        <v>3</v>
      </c>
      <c r="N12383" s="1" t="s">
        <v>38</v>
      </c>
      <c r="O12383" s="1" t="s">
        <v>46</v>
      </c>
    </row>
    <row r="12384" spans="2:15" x14ac:dyDescent="0.3">
      <c r="B12384" s="1" t="s">
        <v>20</v>
      </c>
      <c r="C12384" s="1" t="str">
        <f>"4차"</f>
        <v>4차</v>
      </c>
      <c r="D12384" s="1" t="str">
        <f>"9725A54141"</f>
        <v>9725A54141</v>
      </c>
      <c r="E12384" s="1" t="s">
        <v>10</v>
      </c>
      <c r="F12384" s="1" t="str">
        <f>"10.14.12.177"</f>
        <v>10.14.12.177</v>
      </c>
      <c r="G12384" s="1" t="str">
        <f>"9725A541"</f>
        <v>9725A541</v>
      </c>
      <c r="H12384" s="1" t="str">
        <f>"성산간 27R8L3L9"</f>
        <v>성산간 27R8L3L9</v>
      </c>
      <c r="I12384" s="1" t="s">
        <v>17</v>
      </c>
      <c r="J12384" s="1" t="str">
        <f>"10/15"</f>
        <v>10/15</v>
      </c>
      <c r="K12384" s="1" t="str">
        <f>"2026-07-29 13:18:12"</f>
        <v>2026-07-29 13:18:12</v>
      </c>
      <c r="L12384" s="1" t="str">
        <f>"2021-08-09 10:35:31"</f>
        <v>2021-08-09 10:35:31</v>
      </c>
      <c r="M12384" s="1" t="s">
        <v>3</v>
      </c>
      <c r="N12384" s="1" t="s">
        <v>38</v>
      </c>
      <c r="O12384" s="1" t="s">
        <v>46</v>
      </c>
    </row>
    <row r="12385" spans="2:15" x14ac:dyDescent="0.3">
      <c r="B12385" s="1" t="s">
        <v>20</v>
      </c>
      <c r="C12385" s="1" t="str">
        <f>"4차"</f>
        <v>4차</v>
      </c>
      <c r="D12385" s="1" t="str">
        <f>"9725A54241"</f>
        <v>9725A54241</v>
      </c>
      <c r="E12385" s="1" t="s">
        <v>10</v>
      </c>
      <c r="F12385" s="1" t="str">
        <f>"10.14.10.45"</f>
        <v>10.14.10.45</v>
      </c>
      <c r="G12385" s="1" t="str">
        <f>"9725A542"</f>
        <v>9725A542</v>
      </c>
      <c r="H12385" s="1" t="str">
        <f>"성산간 27R8L1C4"</f>
        <v>성산간 27R8L1C4</v>
      </c>
      <c r="I12385" s="1" t="s">
        <v>17</v>
      </c>
      <c r="J12385" s="1" t="str">
        <f>"32/32"</f>
        <v>32/32</v>
      </c>
      <c r="K12385" s="1" t="str">
        <f>"2026-07-29 13:18:12"</f>
        <v>2026-07-29 13:18:12</v>
      </c>
      <c r="L12385" s="1" t="str">
        <f>"2021-08-06 14:31:55"</f>
        <v>2021-08-06 14:31:55</v>
      </c>
      <c r="M12385" s="1" t="s">
        <v>3</v>
      </c>
      <c r="N12385" s="1" t="s">
        <v>38</v>
      </c>
      <c r="O12385" s="1" t="s">
        <v>46</v>
      </c>
    </row>
    <row r="12386" spans="2:15" x14ac:dyDescent="0.3">
      <c r="B12386" s="1" t="s">
        <v>20</v>
      </c>
      <c r="C12386" s="1" t="str">
        <f>"4차"</f>
        <v>4차</v>
      </c>
      <c r="D12386" s="1" t="str">
        <f>"9725A58341"</f>
        <v>9725A58341</v>
      </c>
      <c r="E12386" s="1" t="s">
        <v>10</v>
      </c>
      <c r="F12386" s="1" t="str">
        <f>"10.14.2.178"</f>
        <v>10.14.2.178</v>
      </c>
      <c r="G12386" s="1" t="str">
        <f>"9725A583"</f>
        <v>9725A583</v>
      </c>
      <c r="H12386" s="1" t="str">
        <f>"동신지 27L7"</f>
        <v>동신지 27L7</v>
      </c>
      <c r="I12386" s="1" t="s">
        <v>17</v>
      </c>
      <c r="J12386" s="1" t="str">
        <f>"44/52"</f>
        <v>44/52</v>
      </c>
      <c r="K12386" s="1" t="str">
        <f>"2026-07-29 07:18:12"</f>
        <v>2026-07-29 07:18:12</v>
      </c>
      <c r="L12386" s="1" t="str">
        <f>"2021-08-12 09:21:41"</f>
        <v>2021-08-12 09:21:41</v>
      </c>
      <c r="M12386" s="1" t="s">
        <v>3</v>
      </c>
      <c r="N12386" s="1" t="s">
        <v>38</v>
      </c>
      <c r="O12386" s="1" t="s">
        <v>46</v>
      </c>
    </row>
    <row r="12387" spans="2:15" x14ac:dyDescent="0.3">
      <c r="B12387" s="1" t="s">
        <v>20</v>
      </c>
      <c r="C12387" s="1" t="str">
        <f>"3차"</f>
        <v>3차</v>
      </c>
      <c r="D12387" s="1" t="str">
        <f>"9725A60239"</f>
        <v>9725A60239</v>
      </c>
      <c r="E12387" s="1" t="s">
        <v>10</v>
      </c>
      <c r="F12387" s="1" t="str">
        <f>"10.10.37.2"</f>
        <v>10.10.37.2</v>
      </c>
      <c r="G12387" s="1" t="str">
        <f>"9725A602"</f>
        <v>9725A602</v>
      </c>
      <c r="H12387" s="1" t="str">
        <f>"양화간 1R5"</f>
        <v>양화간 1R5</v>
      </c>
      <c r="I12387" s="1" t="s">
        <v>8</v>
      </c>
      <c r="J12387" s="1" t="str">
        <f>"10/10"</f>
        <v>10/10</v>
      </c>
      <c r="K12387" s="1" t="str">
        <f>"2026-07-29 13:18:11"</f>
        <v>2026-07-29 13:18:11</v>
      </c>
      <c r="L12387" s="1" t="str">
        <f>"2018-02-21 12:07:25"</f>
        <v>2018-02-21 12:07:25</v>
      </c>
      <c r="M12387" s="1" t="s">
        <v>1</v>
      </c>
      <c r="N12387" s="1" t="s">
        <v>38</v>
      </c>
      <c r="O12387" s="1" t="s">
        <v>46</v>
      </c>
    </row>
    <row r="12388" spans="2:15" x14ac:dyDescent="0.3">
      <c r="B12388" s="1" t="s">
        <v>20</v>
      </c>
      <c r="C12388" s="1" t="str">
        <f>"3차"</f>
        <v>3차</v>
      </c>
      <c r="D12388" s="1" t="str">
        <f>"9725A60339"</f>
        <v>9725A60339</v>
      </c>
      <c r="E12388" s="1" t="s">
        <v>10</v>
      </c>
      <c r="F12388" s="1" t="str">
        <f>"10.10.32.194"</f>
        <v>10.10.32.194</v>
      </c>
      <c r="G12388" s="1" t="str">
        <f>"9725A603"</f>
        <v>9725A603</v>
      </c>
      <c r="H12388" s="1" t="str">
        <f>"양화간 3R4"</f>
        <v>양화간 3R4</v>
      </c>
      <c r="I12388" s="1" t="s">
        <v>8</v>
      </c>
      <c r="J12388" s="1" t="str">
        <f>"23/23"</f>
        <v>23/23</v>
      </c>
      <c r="K12388" s="1" t="str">
        <f>"2026-07-29 13:18:11"</f>
        <v>2026-07-29 13:18:11</v>
      </c>
      <c r="L12388" s="1" t="str">
        <f>"2018-05-15 16:27:12"</f>
        <v>2018-05-15 16:27:12</v>
      </c>
      <c r="M12388" s="1" t="s">
        <v>1</v>
      </c>
      <c r="N12388" s="1" t="s">
        <v>38</v>
      </c>
      <c r="O12388" s="1" t="s">
        <v>46</v>
      </c>
    </row>
    <row r="12389" spans="2:15" x14ac:dyDescent="0.3">
      <c r="B12389" s="1" t="s">
        <v>20</v>
      </c>
      <c r="C12389" s="1" t="str">
        <f>"3차"</f>
        <v>3차</v>
      </c>
      <c r="D12389" s="1" t="str">
        <f>"9725A70139"</f>
        <v>9725A70139</v>
      </c>
      <c r="E12389" s="1" t="s">
        <v>10</v>
      </c>
      <c r="F12389" s="1" t="str">
        <f>"10.10.34.122"</f>
        <v>10.10.34.122</v>
      </c>
      <c r="G12389" s="1" t="str">
        <f>"9725A701"</f>
        <v>9725A701</v>
      </c>
      <c r="H12389" s="1" t="str">
        <f>"양화간 3R2"</f>
        <v>양화간 3R2</v>
      </c>
      <c r="I12389" s="1" t="s">
        <v>8</v>
      </c>
      <c r="J12389" s="1" t="str">
        <f>"29/29"</f>
        <v>29/29</v>
      </c>
      <c r="K12389" s="1" t="str">
        <f>"2026-07-29 13:18:11"</f>
        <v>2026-07-29 13:18:11</v>
      </c>
      <c r="L12389" s="1" t="str">
        <f>"2018-01-19 11:04:24"</f>
        <v>2018-01-19 11:04:24</v>
      </c>
      <c r="M12389" s="1" t="s">
        <v>1</v>
      </c>
      <c r="N12389" s="1" t="s">
        <v>38</v>
      </c>
      <c r="O12389" s="1" t="s">
        <v>46</v>
      </c>
    </row>
    <row r="12390" spans="2:15" x14ac:dyDescent="0.3">
      <c r="B12390" s="1" t="s">
        <v>20</v>
      </c>
      <c r="C12390" s="1" t="str">
        <f>"3차"</f>
        <v>3차</v>
      </c>
      <c r="D12390" s="1" t="str">
        <f>"9725A70239"</f>
        <v>9725A70239</v>
      </c>
      <c r="E12390" s="1" t="s">
        <v>10</v>
      </c>
      <c r="F12390" s="1" t="str">
        <f>"10.10.32.186"</f>
        <v>10.10.32.186</v>
      </c>
      <c r="G12390" s="1" t="str">
        <f>"9725A702"</f>
        <v>9725A702</v>
      </c>
      <c r="H12390" s="1" t="str">
        <f>"양화간 3R3"</f>
        <v>양화간 3R3</v>
      </c>
      <c r="I12390" s="1" t="s">
        <v>8</v>
      </c>
      <c r="J12390" s="1" t="str">
        <f>"6/6"</f>
        <v>6/6</v>
      </c>
      <c r="K12390" s="1" t="str">
        <f>"2026-07-29 13:18:11"</f>
        <v>2026-07-29 13:18:11</v>
      </c>
      <c r="L12390" s="1" t="str">
        <f>"2018-01-19 11:14:39"</f>
        <v>2018-01-19 11:14:39</v>
      </c>
      <c r="M12390" s="1" t="s">
        <v>1</v>
      </c>
      <c r="N12390" s="1" t="s">
        <v>38</v>
      </c>
      <c r="O12390" s="1" t="s">
        <v>46</v>
      </c>
    </row>
    <row r="12391" spans="2:15" x14ac:dyDescent="0.3">
      <c r="B12391" s="1" t="s">
        <v>20</v>
      </c>
      <c r="C12391" s="1" t="str">
        <f>"3차"</f>
        <v>3차</v>
      </c>
      <c r="D12391" s="1" t="str">
        <f>"9725A71331"</f>
        <v>9725A71331</v>
      </c>
      <c r="E12391" s="1" t="s">
        <v>10</v>
      </c>
      <c r="F12391" s="1" t="str">
        <f>"10.12.130.45"</f>
        <v>10.12.130.45</v>
      </c>
      <c r="G12391" s="1" t="str">
        <f>"9725A713"</f>
        <v>9725A713</v>
      </c>
      <c r="H12391" s="1" t="str">
        <f>"양화간 1R3"</f>
        <v>양화간 1R3</v>
      </c>
      <c r="I12391" s="1" t="s">
        <v>8</v>
      </c>
      <c r="J12391" s="1" t="str">
        <f>"2/2"</f>
        <v>2/2</v>
      </c>
      <c r="K12391" s="1" t="str">
        <f>"2026-07-29 13:18:10"</f>
        <v>2026-07-29 13:18:10</v>
      </c>
      <c r="L12391" s="1" t="str">
        <f>"2018-02-21 12:05:41"</f>
        <v>2018-02-21 12:05:41</v>
      </c>
      <c r="M12391" s="1" t="s">
        <v>0</v>
      </c>
      <c r="N12391" s="1" t="s">
        <v>38</v>
      </c>
      <c r="O12391" s="1" t="s">
        <v>46</v>
      </c>
    </row>
    <row r="12392" spans="2:15" x14ac:dyDescent="0.3">
      <c r="B12392" s="1" t="s">
        <v>20</v>
      </c>
      <c r="C12392" s="1" t="str">
        <f>"4차"</f>
        <v>4차</v>
      </c>
      <c r="D12392" s="1" t="str">
        <f>"9725A75141"</f>
        <v>9725A75141</v>
      </c>
      <c r="E12392" s="1" t="s">
        <v>10</v>
      </c>
      <c r="F12392" s="1" t="str">
        <f>"10.14.12.110"</f>
        <v>10.14.12.110</v>
      </c>
      <c r="G12392" s="1" t="str">
        <f>"9725A751"</f>
        <v>9725A751</v>
      </c>
      <c r="H12392" s="1" t="str">
        <f>"동신지 31L15"</f>
        <v>동신지 31L15</v>
      </c>
      <c r="I12392" s="1" t="s">
        <v>17</v>
      </c>
      <c r="J12392" s="1" t="str">
        <f>"29/29"</f>
        <v>29/29</v>
      </c>
      <c r="K12392" s="1" t="str">
        <f>"2026-07-29 13:18:12"</f>
        <v>2026-07-29 13:18:12</v>
      </c>
      <c r="L12392" s="1" t="str">
        <f>"2021-08-12 07:34:54"</f>
        <v>2021-08-12 07:34:54</v>
      </c>
      <c r="M12392" s="1" t="s">
        <v>3</v>
      </c>
      <c r="N12392" s="1" t="s">
        <v>38</v>
      </c>
      <c r="O12392" s="1" t="s">
        <v>46</v>
      </c>
    </row>
    <row r="12393" spans="2:15" x14ac:dyDescent="0.3">
      <c r="B12393" s="1" t="s">
        <v>20</v>
      </c>
      <c r="C12393" s="1" t="str">
        <f>"6차"</f>
        <v>6차</v>
      </c>
      <c r="D12393" s="1" t="str">
        <f>"9725A7816M"</f>
        <v>9725A7816M</v>
      </c>
      <c r="E12393" s="1" t="s">
        <v>10</v>
      </c>
      <c r="F12393" s="1" t="str">
        <f>"fde1:103:4:c758:0:0:0:2"</f>
        <v>fde1:103:4:c758:0:0:0:2</v>
      </c>
      <c r="G12393" s="1" t="str">
        <f>"9725A781"</f>
        <v>9725A781</v>
      </c>
      <c r="H12393" s="1" t="str">
        <f>"동신지 6L4L2"</f>
        <v>동신지 6L4L2</v>
      </c>
      <c r="I12393" s="1" t="s">
        <v>15</v>
      </c>
      <c r="J12393" s="1" t="str">
        <f>"123/130"</f>
        <v>123/130</v>
      </c>
      <c r="K12393" s="1" t="str">
        <f>"2026-07-29 14:21:29"</f>
        <v>2026-07-29 14:21:29</v>
      </c>
      <c r="L12393" s="1" t="str">
        <f>"2024-11-22 15:49:14"</f>
        <v>2024-11-22 15:49:14</v>
      </c>
      <c r="M12393" s="1" t="s">
        <v>4</v>
      </c>
      <c r="N12393" s="1" t="s">
        <v>38</v>
      </c>
      <c r="O12393" s="1" t="s">
        <v>46</v>
      </c>
    </row>
    <row r="12394" spans="2:15" x14ac:dyDescent="0.3">
      <c r="B12394" s="1" t="s">
        <v>20</v>
      </c>
      <c r="C12394" s="1" t="str">
        <f t="shared" ref="C12394:C12399" si="628">"4차"</f>
        <v>4차</v>
      </c>
      <c r="D12394" s="1" t="str">
        <f>"9725A78244"</f>
        <v>9725A78244</v>
      </c>
      <c r="E12394" s="1" t="s">
        <v>10</v>
      </c>
      <c r="F12394" s="1" t="str">
        <f>"10.10.73.42"</f>
        <v>10.10.73.42</v>
      </c>
      <c r="G12394" s="1" t="str">
        <f>"9725A782"</f>
        <v>9725A782</v>
      </c>
      <c r="H12394" s="1" t="str">
        <f>"동신지 6L4L1"</f>
        <v>동신지 6L4L1</v>
      </c>
      <c r="I12394" s="1" t="s">
        <v>8</v>
      </c>
      <c r="J12394" s="1" t="str">
        <f>"52/53"</f>
        <v>52/53</v>
      </c>
      <c r="K12394" s="1" t="str">
        <f>"2026-07-29 13:18:11"</f>
        <v>2026-07-29 13:18:11</v>
      </c>
      <c r="L12394" s="1" t="str">
        <f>"2019-12-11 17:54:05"</f>
        <v>2019-12-11 17:54:05</v>
      </c>
      <c r="M12394" s="1" t="s">
        <v>1</v>
      </c>
      <c r="N12394" s="1" t="s">
        <v>38</v>
      </c>
      <c r="O12394" s="1" t="s">
        <v>46</v>
      </c>
    </row>
    <row r="12395" spans="2:15" x14ac:dyDescent="0.3">
      <c r="B12395" s="1" t="s">
        <v>20</v>
      </c>
      <c r="C12395" s="1" t="str">
        <f t="shared" si="628"/>
        <v>4차</v>
      </c>
      <c r="D12395" s="1" t="str">
        <f>"9725A79144"</f>
        <v>9725A79144</v>
      </c>
      <c r="E12395" s="1" t="s">
        <v>10</v>
      </c>
      <c r="F12395" s="1" t="str">
        <f>"10.10.73.26"</f>
        <v>10.10.73.26</v>
      </c>
      <c r="G12395" s="1" t="str">
        <f>"9725A791"</f>
        <v>9725A791</v>
      </c>
      <c r="H12395" s="1" t="str">
        <f>"동신지 6L4"</f>
        <v>동신지 6L4</v>
      </c>
      <c r="I12395" s="1" t="s">
        <v>8</v>
      </c>
      <c r="J12395" s="1" t="str">
        <f>"45/45"</f>
        <v>45/45</v>
      </c>
      <c r="K12395" s="1" t="str">
        <f>"2026-07-29 13:18:11"</f>
        <v>2026-07-29 13:18:11</v>
      </c>
      <c r="L12395" s="1" t="str">
        <f>"2019-12-11 17:53:57"</f>
        <v>2019-12-11 17:53:57</v>
      </c>
      <c r="M12395" s="1" t="s">
        <v>1</v>
      </c>
      <c r="N12395" s="1" t="s">
        <v>38</v>
      </c>
      <c r="O12395" s="1" t="s">
        <v>46</v>
      </c>
    </row>
    <row r="12396" spans="2:15" x14ac:dyDescent="0.3">
      <c r="B12396" s="1" t="s">
        <v>20</v>
      </c>
      <c r="C12396" s="1" t="str">
        <f t="shared" si="628"/>
        <v>4차</v>
      </c>
      <c r="D12396" s="1" t="str">
        <f>"9725A79244"</f>
        <v>9725A79244</v>
      </c>
      <c r="E12396" s="1" t="s">
        <v>10</v>
      </c>
      <c r="F12396" s="1" t="str">
        <f>"10.10.73.82"</f>
        <v>10.10.73.82</v>
      </c>
      <c r="G12396" s="1" t="str">
        <f>"9725A792"</f>
        <v>9725A792</v>
      </c>
      <c r="H12396" s="1" t="str">
        <f>"동신지 6L5"</f>
        <v>동신지 6L5</v>
      </c>
      <c r="I12396" s="1" t="s">
        <v>8</v>
      </c>
      <c r="J12396" s="1" t="str">
        <f>"8/8"</f>
        <v>8/8</v>
      </c>
      <c r="K12396" s="1" t="str">
        <f>"2026-07-29 13:18:11"</f>
        <v>2026-07-29 13:18:11</v>
      </c>
      <c r="L12396" s="1" t="str">
        <f>"2019-12-11 18:04:30"</f>
        <v>2019-12-11 18:04:30</v>
      </c>
      <c r="M12396" s="1" t="s">
        <v>1</v>
      </c>
      <c r="N12396" s="1" t="s">
        <v>38</v>
      </c>
      <c r="O12396" s="1" t="s">
        <v>46</v>
      </c>
    </row>
    <row r="12397" spans="2:15" x14ac:dyDescent="0.3">
      <c r="B12397" s="1" t="s">
        <v>20</v>
      </c>
      <c r="C12397" s="1" t="str">
        <f t="shared" si="628"/>
        <v>4차</v>
      </c>
      <c r="D12397" s="1" t="str">
        <f>"9725A80139"</f>
        <v>9725A80139</v>
      </c>
      <c r="E12397" s="1" t="s">
        <v>10</v>
      </c>
      <c r="F12397" s="1" t="str">
        <f>"10.10.34.99"</f>
        <v>10.10.34.99</v>
      </c>
      <c r="G12397" s="1" t="str">
        <f>"9725A801"</f>
        <v>9725A801</v>
      </c>
      <c r="H12397" s="1" t="str">
        <f>"양화간 3R1"</f>
        <v>양화간 3R1</v>
      </c>
      <c r="I12397" s="1" t="s">
        <v>8</v>
      </c>
      <c r="J12397" s="1" t="str">
        <f>"25/26"</f>
        <v>25/26</v>
      </c>
      <c r="K12397" s="1" t="str">
        <f>"2026-07-29 13:18:11"</f>
        <v>2026-07-29 13:18:11</v>
      </c>
      <c r="L12397" s="1" t="str">
        <f>"2018-06-12 18:13:14"</f>
        <v>2018-06-12 18:13:14</v>
      </c>
      <c r="M12397" s="1" t="s">
        <v>1</v>
      </c>
      <c r="N12397" s="1" t="s">
        <v>38</v>
      </c>
      <c r="O12397" s="1" t="s">
        <v>46</v>
      </c>
    </row>
    <row r="12398" spans="2:15" x14ac:dyDescent="0.3">
      <c r="B12398" s="1" t="s">
        <v>20</v>
      </c>
      <c r="C12398" s="1" t="str">
        <f t="shared" si="628"/>
        <v>4차</v>
      </c>
      <c r="D12398" s="1" t="str">
        <f>"9725A83339"</f>
        <v>9725A83339</v>
      </c>
      <c r="E12398" s="1" t="s">
        <v>10</v>
      </c>
      <c r="F12398" s="1" t="str">
        <f>"10.12.135.54"</f>
        <v>10.12.135.54</v>
      </c>
      <c r="G12398" s="1" t="str">
        <f>"9725A833"</f>
        <v>9725A833</v>
      </c>
      <c r="H12398" s="1" t="str">
        <f>"양화로 1"</f>
        <v>양화로 1</v>
      </c>
      <c r="I12398" s="1" t="s">
        <v>17</v>
      </c>
      <c r="J12398" s="1" t="str">
        <f>"2/2"</f>
        <v>2/2</v>
      </c>
      <c r="K12398" s="1" t="str">
        <f>"2026-07-29 13:18:11"</f>
        <v>2026-07-29 13:18:11</v>
      </c>
      <c r="L12398" s="1" t="str">
        <f>"2018-05-25 10:05:26"</f>
        <v>2018-05-25 10:05:26</v>
      </c>
      <c r="M12398" s="1" t="s">
        <v>0</v>
      </c>
      <c r="N12398" s="1" t="s">
        <v>38</v>
      </c>
      <c r="O12398" s="1" t="s">
        <v>46</v>
      </c>
    </row>
    <row r="12399" spans="2:15" x14ac:dyDescent="0.3">
      <c r="B12399" s="1" t="s">
        <v>20</v>
      </c>
      <c r="C12399" s="1" t="str">
        <f t="shared" si="628"/>
        <v>4차</v>
      </c>
      <c r="D12399" s="1" t="str">
        <f>"9725A83439"</f>
        <v>9725A83439</v>
      </c>
      <c r="E12399" s="1" t="s">
        <v>10</v>
      </c>
      <c r="F12399" s="1" t="str">
        <f>"10.12.135.152"</f>
        <v>10.12.135.152</v>
      </c>
      <c r="G12399" s="1" t="str">
        <f>"9725A834"</f>
        <v>9725A834</v>
      </c>
      <c r="H12399" s="1" t="str">
        <f>"양화로 1-1"</f>
        <v>양화로 1-1</v>
      </c>
      <c r="I12399" s="1" t="s">
        <v>17</v>
      </c>
      <c r="J12399" s="1" t="str">
        <f>"5/5"</f>
        <v>5/5</v>
      </c>
      <c r="K12399" s="1" t="str">
        <f>"2026-07-29 13:18:12"</f>
        <v>2026-07-29 13:18:12</v>
      </c>
      <c r="L12399" s="1" t="str">
        <f>"2018-05-25 09:52:40"</f>
        <v>2018-05-25 09:52:40</v>
      </c>
      <c r="M12399" s="1" t="s">
        <v>0</v>
      </c>
      <c r="N12399" s="1" t="s">
        <v>38</v>
      </c>
      <c r="O12399" s="1" t="s">
        <v>46</v>
      </c>
    </row>
    <row r="12400" spans="2:15" x14ac:dyDescent="0.3">
      <c r="B12400" s="1" t="s">
        <v>20</v>
      </c>
      <c r="C12400" s="1" t="str">
        <f>"6차"</f>
        <v>6차</v>
      </c>
      <c r="D12400" s="1" t="str">
        <f>"9725A8816M"</f>
        <v>9725A8816M</v>
      </c>
      <c r="E12400" s="1" t="s">
        <v>10</v>
      </c>
      <c r="F12400" s="1" t="str">
        <f>"fde1:103:4:c72b:0:0:0:2"</f>
        <v>fde1:103:4:c72b:0:0:0:2</v>
      </c>
      <c r="G12400" s="1" t="str">
        <f>"9725A881"</f>
        <v>9725A881</v>
      </c>
      <c r="H12400" s="1" t="str">
        <f>"동신지 2"</f>
        <v>동신지 2</v>
      </c>
      <c r="I12400" s="1" t="s">
        <v>15</v>
      </c>
      <c r="J12400" s="1" t="str">
        <f>"24/26"</f>
        <v>24/26</v>
      </c>
      <c r="K12400" s="1" t="str">
        <f>"2026-07-29 14:21:29"</f>
        <v>2026-07-29 14:21:29</v>
      </c>
      <c r="L12400" s="1" t="str">
        <f>"2024-11-22 15:49:56"</f>
        <v>2024-11-22 15:49:56</v>
      </c>
      <c r="M12400" s="1" t="s">
        <v>4</v>
      </c>
      <c r="N12400" s="1" t="s">
        <v>38</v>
      </c>
      <c r="O12400" s="1" t="s">
        <v>46</v>
      </c>
    </row>
    <row r="12401" spans="2:15" x14ac:dyDescent="0.3">
      <c r="B12401" s="1" t="s">
        <v>20</v>
      </c>
      <c r="C12401" s="1" t="str">
        <f>"4차"</f>
        <v>4차</v>
      </c>
      <c r="D12401" s="1" t="str">
        <f>"9725A93139"</f>
        <v>9725A93139</v>
      </c>
      <c r="E12401" s="1" t="s">
        <v>14</v>
      </c>
      <c r="F12401" s="1" t="str">
        <f>"10.12.135.3"</f>
        <v>10.12.135.3</v>
      </c>
      <c r="G12401" s="1" t="str">
        <f>"9725A931"</f>
        <v>9725A931</v>
      </c>
      <c r="H12401" s="1" t="str">
        <f>"신촌로 1"</f>
        <v>신촌로 1</v>
      </c>
      <c r="I12401" s="1" t="s">
        <v>17</v>
      </c>
      <c r="J12401" s="1" t="str">
        <f>"0/0"</f>
        <v>0/0</v>
      </c>
      <c r="K12401" s="1" t="str">
        <f>"2026-06-10 07:18:12"</f>
        <v>2026-06-10 07:18:12</v>
      </c>
      <c r="L12401" s="1" t="str">
        <f>"2018-05-23 14:33:43"</f>
        <v>2018-05-23 14:33:43</v>
      </c>
      <c r="M12401" s="1" t="s">
        <v>0</v>
      </c>
      <c r="N12401" s="1" t="s">
        <v>39</v>
      </c>
      <c r="O12401" s="1" t="s">
        <v>46</v>
      </c>
    </row>
    <row r="12402" spans="2:15" x14ac:dyDescent="0.3">
      <c r="B12402" s="1" t="s">
        <v>20</v>
      </c>
      <c r="C12402" s="1" t="str">
        <f>"1차"</f>
        <v>1차</v>
      </c>
      <c r="D12402" s="1" t="str">
        <f>"9725A99100"</f>
        <v>9725A99100</v>
      </c>
      <c r="E12402" s="1" t="s">
        <v>10</v>
      </c>
      <c r="F12402" s="1" t="str">
        <f>"10.125.193.146"</f>
        <v>10.125.193.146</v>
      </c>
      <c r="G12402" s="1" t="str">
        <f>"9725A991"</f>
        <v>9725A991</v>
      </c>
      <c r="H12402" s="1" t="str">
        <f>"동신지 4"</f>
        <v>동신지 4</v>
      </c>
      <c r="I12402" s="1" t="s">
        <v>8</v>
      </c>
      <c r="J12402" s="1" t="str">
        <f>"11/11"</f>
        <v>11/11</v>
      </c>
      <c r="K12402" s="1" t="str">
        <f>"2026-07-29 13:18:10"</f>
        <v>2026-07-29 13:18:10</v>
      </c>
      <c r="L12402" s="1" t="str">
        <f>"2014-12-02 14:53:18"</f>
        <v>2014-12-02 14:53:18</v>
      </c>
      <c r="M12402" s="1" t="s">
        <v>45</v>
      </c>
      <c r="N12402" s="1" t="s">
        <v>38</v>
      </c>
      <c r="O12402" s="1" t="s">
        <v>46</v>
      </c>
    </row>
    <row r="12403" spans="2:15" x14ac:dyDescent="0.3">
      <c r="B12403" s="1" t="s">
        <v>20</v>
      </c>
      <c r="C12403" s="1" t="str">
        <f t="shared" ref="C12403:C12410" si="629">"3차"</f>
        <v>3차</v>
      </c>
      <c r="D12403" s="1" t="str">
        <f>"9725B01130"</f>
        <v>9725B01130</v>
      </c>
      <c r="E12403" s="1" t="s">
        <v>10</v>
      </c>
      <c r="F12403" s="1" t="str">
        <f>"10.10.41.58"</f>
        <v>10.10.41.58</v>
      </c>
      <c r="G12403" s="1" t="str">
        <f>"9725B011"</f>
        <v>9725B011</v>
      </c>
      <c r="H12403" s="1" t="str">
        <f>"동교지 8R3"</f>
        <v>동교지 8R3</v>
      </c>
      <c r="I12403" s="1" t="s">
        <v>8</v>
      </c>
      <c r="J12403" s="1" t="str">
        <f>"43/43"</f>
        <v>43/43</v>
      </c>
      <c r="K12403" s="1" t="str">
        <f>"2026-07-29 13:18:11"</f>
        <v>2026-07-29 13:18:11</v>
      </c>
      <c r="L12403" s="1" t="str">
        <f>"2018-01-19 11:04:54"</f>
        <v>2018-01-19 11:04:54</v>
      </c>
      <c r="M12403" s="1" t="s">
        <v>1</v>
      </c>
      <c r="N12403" s="1" t="s">
        <v>38</v>
      </c>
      <c r="O12403" s="1" t="s">
        <v>46</v>
      </c>
    </row>
    <row r="12404" spans="2:15" x14ac:dyDescent="0.3">
      <c r="B12404" s="1" t="s">
        <v>20</v>
      </c>
      <c r="C12404" s="1" t="str">
        <f t="shared" si="629"/>
        <v>3차</v>
      </c>
      <c r="D12404" s="1" t="str">
        <f>"9725B02131"</f>
        <v>9725B02131</v>
      </c>
      <c r="E12404" s="1" t="s">
        <v>10</v>
      </c>
      <c r="F12404" s="1" t="str">
        <f>"10.10.41.59"</f>
        <v>10.10.41.59</v>
      </c>
      <c r="G12404" s="1" t="str">
        <f>"9725B021"</f>
        <v>9725B021</v>
      </c>
      <c r="H12404" s="1" t="str">
        <f>"동교지 8R4"</f>
        <v>동교지 8R4</v>
      </c>
      <c r="I12404" s="1" t="s">
        <v>8</v>
      </c>
      <c r="J12404" s="1" t="str">
        <f>"8/8"</f>
        <v>8/8</v>
      </c>
      <c r="K12404" s="1" t="str">
        <f>"2026-07-29 13:18:10"</f>
        <v>2026-07-29 13:18:10</v>
      </c>
      <c r="L12404" s="1" t="str">
        <f>"2018-02-22 10:13:28"</f>
        <v>2018-02-22 10:13:28</v>
      </c>
      <c r="M12404" s="1" t="s">
        <v>1</v>
      </c>
      <c r="N12404" s="1" t="s">
        <v>38</v>
      </c>
      <c r="O12404" s="1" t="s">
        <v>46</v>
      </c>
    </row>
    <row r="12405" spans="2:15" x14ac:dyDescent="0.3">
      <c r="B12405" s="1" t="s">
        <v>20</v>
      </c>
      <c r="C12405" s="1" t="str">
        <f t="shared" si="629"/>
        <v>3차</v>
      </c>
      <c r="D12405" s="1" t="str">
        <f>"9725B11130"</f>
        <v>9725B11130</v>
      </c>
      <c r="E12405" s="1" t="s">
        <v>10</v>
      </c>
      <c r="F12405" s="1" t="str">
        <f>"10.10.30.18"</f>
        <v>10.10.30.18</v>
      </c>
      <c r="G12405" s="1" t="str">
        <f>"9725B111"</f>
        <v>9725B111</v>
      </c>
      <c r="H12405" s="1" t="str">
        <f>"동교지 8R1"</f>
        <v>동교지 8R1</v>
      </c>
      <c r="I12405" s="1" t="s">
        <v>8</v>
      </c>
      <c r="J12405" s="1" t="str">
        <f>"27/27"</f>
        <v>27/27</v>
      </c>
      <c r="K12405" s="1" t="str">
        <f>"2026-07-29 13:18:11"</f>
        <v>2026-07-29 13:18:11</v>
      </c>
      <c r="L12405" s="1" t="str">
        <f>"2018-01-19 11:04:10"</f>
        <v>2018-01-19 11:04:10</v>
      </c>
      <c r="M12405" s="1" t="s">
        <v>1</v>
      </c>
      <c r="N12405" s="1" t="s">
        <v>38</v>
      </c>
      <c r="O12405" s="1" t="s">
        <v>46</v>
      </c>
    </row>
    <row r="12406" spans="2:15" x14ac:dyDescent="0.3">
      <c r="B12406" s="1" t="s">
        <v>20</v>
      </c>
      <c r="C12406" s="1" t="str">
        <f t="shared" si="629"/>
        <v>3차</v>
      </c>
      <c r="D12406" s="1" t="str">
        <f>"9725B11231"</f>
        <v>9725B11231</v>
      </c>
      <c r="E12406" s="1" t="s">
        <v>10</v>
      </c>
      <c r="F12406" s="1" t="str">
        <f>"10.10.30.19"</f>
        <v>10.10.30.19</v>
      </c>
      <c r="G12406" s="1" t="str">
        <f>"9725B112"</f>
        <v>9725B112</v>
      </c>
      <c r="H12406" s="1" t="str">
        <f>"동교지 8R2"</f>
        <v>동교지 8R2</v>
      </c>
      <c r="I12406" s="1" t="s">
        <v>8</v>
      </c>
      <c r="J12406" s="1" t="str">
        <f>"17/17"</f>
        <v>17/17</v>
      </c>
      <c r="K12406" s="1" t="str">
        <f>"2026-07-29 13:18:11"</f>
        <v>2026-07-29 13:18:11</v>
      </c>
      <c r="L12406" s="1" t="str">
        <f>"2018-02-12 15:29:55"</f>
        <v>2018-02-12 15:29:55</v>
      </c>
      <c r="M12406" s="1" t="s">
        <v>1</v>
      </c>
      <c r="N12406" s="1" t="s">
        <v>38</v>
      </c>
      <c r="O12406" s="1" t="s">
        <v>46</v>
      </c>
    </row>
    <row r="12407" spans="2:15" x14ac:dyDescent="0.3">
      <c r="B12407" s="1" t="s">
        <v>20</v>
      </c>
      <c r="C12407" s="1" t="str">
        <f t="shared" si="629"/>
        <v>3차</v>
      </c>
      <c r="D12407" s="1" t="str">
        <f>"9725B12131"</f>
        <v>9725B12131</v>
      </c>
      <c r="E12407" s="1" t="s">
        <v>10</v>
      </c>
      <c r="F12407" s="1" t="str">
        <f>"10.12.130.27"</f>
        <v>10.12.130.27</v>
      </c>
      <c r="G12407" s="1" t="str">
        <f>"9725B121"</f>
        <v>9725B121</v>
      </c>
      <c r="H12407" s="1" t="str">
        <f>"동교지 5"</f>
        <v>동교지 5</v>
      </c>
      <c r="I12407" s="1" t="s">
        <v>8</v>
      </c>
      <c r="J12407" s="1" t="str">
        <f>"32/32"</f>
        <v>32/32</v>
      </c>
      <c r="K12407" s="1" t="str">
        <f>"2026-07-29 13:18:12"</f>
        <v>2026-07-29 13:18:12</v>
      </c>
      <c r="L12407" s="1" t="str">
        <f>"2018-03-16 12:14:11"</f>
        <v>2018-03-16 12:14:11</v>
      </c>
      <c r="M12407" s="1" t="s">
        <v>0</v>
      </c>
      <c r="N12407" s="1" t="s">
        <v>38</v>
      </c>
      <c r="O12407" s="1" t="s">
        <v>46</v>
      </c>
    </row>
    <row r="12408" spans="2:15" x14ac:dyDescent="0.3">
      <c r="B12408" s="1" t="s">
        <v>20</v>
      </c>
      <c r="C12408" s="1" t="str">
        <f t="shared" si="629"/>
        <v>3차</v>
      </c>
      <c r="D12408" s="1" t="str">
        <f>"9725B12239"</f>
        <v>9725B12239</v>
      </c>
      <c r="E12408" s="1" t="s">
        <v>10</v>
      </c>
      <c r="F12408" s="1" t="str">
        <f>"10.10.29.194"</f>
        <v>10.10.29.194</v>
      </c>
      <c r="G12408" s="1" t="str">
        <f>"9725B122"</f>
        <v>9725B122</v>
      </c>
      <c r="H12408" s="1" t="str">
        <f>"동교지 6"</f>
        <v>동교지 6</v>
      </c>
      <c r="I12408" s="1" t="s">
        <v>8</v>
      </c>
      <c r="J12408" s="1" t="str">
        <f>"2/2"</f>
        <v>2/2</v>
      </c>
      <c r="K12408" s="1" t="str">
        <f>"2026-07-29 13:18:11"</f>
        <v>2026-07-29 13:18:11</v>
      </c>
      <c r="L12408" s="1" t="str">
        <f>"2018-01-19 10:58:10"</f>
        <v>2018-01-19 10:58:10</v>
      </c>
      <c r="M12408" s="1" t="s">
        <v>1</v>
      </c>
      <c r="N12408" s="1" t="s">
        <v>38</v>
      </c>
      <c r="O12408" s="1" t="s">
        <v>46</v>
      </c>
    </row>
    <row r="12409" spans="2:15" x14ac:dyDescent="0.3">
      <c r="B12409" s="1" t="s">
        <v>20</v>
      </c>
      <c r="C12409" s="1" t="str">
        <f t="shared" si="629"/>
        <v>3차</v>
      </c>
      <c r="D12409" s="1" t="str">
        <f>"9725B20139"</f>
        <v>9725B20139</v>
      </c>
      <c r="E12409" s="1" t="s">
        <v>10</v>
      </c>
      <c r="F12409" s="1" t="str">
        <f>"10.10.29.210"</f>
        <v>10.10.29.210</v>
      </c>
      <c r="G12409" s="1" t="str">
        <f>"9725B201"</f>
        <v>9725B201</v>
      </c>
      <c r="H12409" s="1" t="str">
        <f>"동교지 9"</f>
        <v>동교지 9</v>
      </c>
      <c r="I12409" s="1" t="s">
        <v>8</v>
      </c>
      <c r="J12409" s="1" t="str">
        <f>"18/18"</f>
        <v>18/18</v>
      </c>
      <c r="K12409" s="1" t="str">
        <f>"2026-07-29 13:18:11"</f>
        <v>2026-07-29 13:18:11</v>
      </c>
      <c r="L12409" s="1" t="str">
        <f>"2018-01-19 10:55:55"</f>
        <v>2018-01-19 10:55:55</v>
      </c>
      <c r="M12409" s="1" t="s">
        <v>1</v>
      </c>
      <c r="N12409" s="1" t="s">
        <v>38</v>
      </c>
      <c r="O12409" s="1" t="s">
        <v>46</v>
      </c>
    </row>
    <row r="12410" spans="2:15" x14ac:dyDescent="0.3">
      <c r="B12410" s="1" t="s">
        <v>20</v>
      </c>
      <c r="C12410" s="1" t="str">
        <f t="shared" si="629"/>
        <v>3차</v>
      </c>
      <c r="D12410" s="1" t="str">
        <f>"9725B21339"</f>
        <v>9725B21339</v>
      </c>
      <c r="E12410" s="1" t="s">
        <v>10</v>
      </c>
      <c r="F12410" s="1" t="str">
        <f>"10.10.29.202"</f>
        <v>10.10.29.202</v>
      </c>
      <c r="G12410" s="1" t="str">
        <f>"9725B213"</f>
        <v>9725B213</v>
      </c>
      <c r="H12410" s="1" t="str">
        <f>"동교지 7"</f>
        <v>동교지 7</v>
      </c>
      <c r="I12410" s="1" t="s">
        <v>8</v>
      </c>
      <c r="J12410" s="1" t="str">
        <f>"85/86"</f>
        <v>85/86</v>
      </c>
      <c r="K12410" s="1" t="str">
        <f>"2026-07-29 13:18:11"</f>
        <v>2026-07-29 13:18:11</v>
      </c>
      <c r="L12410" s="1" t="str">
        <f>"2018-02-06 14:56:13"</f>
        <v>2018-02-06 14:56:13</v>
      </c>
      <c r="M12410" s="1" t="s">
        <v>1</v>
      </c>
      <c r="N12410" s="1" t="s">
        <v>38</v>
      </c>
      <c r="O12410" s="1" t="s">
        <v>46</v>
      </c>
    </row>
    <row r="12411" spans="2:15" x14ac:dyDescent="0.3">
      <c r="B12411" s="1" t="s">
        <v>20</v>
      </c>
      <c r="C12411" s="1" t="str">
        <f>"4차"</f>
        <v>4차</v>
      </c>
      <c r="D12411" s="1" t="str">
        <f>"9725B22639"</f>
        <v>9725B22639</v>
      </c>
      <c r="E12411" s="1" t="s">
        <v>10</v>
      </c>
      <c r="F12411" s="1" t="str">
        <f>"10.12.135.92"</f>
        <v>10.12.135.92</v>
      </c>
      <c r="G12411" s="1" t="str">
        <f>"9725B226"</f>
        <v>9725B226</v>
      </c>
      <c r="H12411" s="1" t="str">
        <f>"신촌로 3-1"</f>
        <v>신촌로 3-1</v>
      </c>
      <c r="I12411" s="1" t="s">
        <v>17</v>
      </c>
      <c r="J12411" s="1" t="str">
        <f>"2/2"</f>
        <v>2/2</v>
      </c>
      <c r="K12411" s="1" t="str">
        <f>"2026-07-29 13:18:12"</f>
        <v>2026-07-29 13:18:12</v>
      </c>
      <c r="L12411" s="1" t="str">
        <f>"2018-05-23 14:55:13"</f>
        <v>2018-05-23 14:55:13</v>
      </c>
      <c r="M12411" s="1" t="s">
        <v>0</v>
      </c>
      <c r="N12411" s="1" t="s">
        <v>38</v>
      </c>
      <c r="O12411" s="1" t="s">
        <v>46</v>
      </c>
    </row>
    <row r="12412" spans="2:15" x14ac:dyDescent="0.3">
      <c r="B12412" s="1" t="s">
        <v>20</v>
      </c>
      <c r="C12412" s="1" t="str">
        <f>"4차"</f>
        <v>4차</v>
      </c>
      <c r="D12412" s="1" t="str">
        <f>"9725B30139"</f>
        <v>9725B30139</v>
      </c>
      <c r="E12412" s="1" t="s">
        <v>10</v>
      </c>
      <c r="F12412" s="1" t="str">
        <f>"10.10.29.218"</f>
        <v>10.10.29.218</v>
      </c>
      <c r="G12412" s="1" t="str">
        <f>"9725B301"</f>
        <v>9725B301</v>
      </c>
      <c r="H12412" s="1" t="str">
        <f>"동교지 10"</f>
        <v>동교지 10</v>
      </c>
      <c r="I12412" s="1" t="s">
        <v>8</v>
      </c>
      <c r="J12412" s="1" t="str">
        <f>"58/60"</f>
        <v>58/60</v>
      </c>
      <c r="K12412" s="1" t="str">
        <f>"2026-07-29 13:18:11"</f>
        <v>2026-07-29 13:18:11</v>
      </c>
      <c r="L12412" s="1" t="str">
        <f>"2018-01-19 10:56:39"</f>
        <v>2018-01-19 10:56:39</v>
      </c>
      <c r="M12412" s="1" t="s">
        <v>1</v>
      </c>
      <c r="N12412" s="1" t="s">
        <v>38</v>
      </c>
      <c r="O12412" s="1" t="s">
        <v>46</v>
      </c>
    </row>
    <row r="12413" spans="2:15" x14ac:dyDescent="0.3">
      <c r="B12413" s="1" t="s">
        <v>20</v>
      </c>
      <c r="C12413" s="1" t="str">
        <f>"4차"</f>
        <v>4차</v>
      </c>
      <c r="D12413" s="1" t="str">
        <f>"9725B41639"</f>
        <v>9725B41639</v>
      </c>
      <c r="E12413" s="1" t="s">
        <v>10</v>
      </c>
      <c r="F12413" s="1" t="str">
        <f>"10.12.135.93"</f>
        <v>10.12.135.93</v>
      </c>
      <c r="G12413" s="1" t="str">
        <f>"9725B416"</f>
        <v>9725B416</v>
      </c>
      <c r="H12413" s="1" t="str">
        <f>"신촌로 4T"</f>
        <v>신촌로 4T</v>
      </c>
      <c r="I12413" s="1" t="s">
        <v>17</v>
      </c>
      <c r="J12413" s="1" t="str">
        <f>"5/5"</f>
        <v>5/5</v>
      </c>
      <c r="K12413" s="1" t="str">
        <f>"2026-07-29 13:18:12"</f>
        <v>2026-07-29 13:18:12</v>
      </c>
      <c r="L12413" s="1" t="str">
        <f>"2018-05-23 15:12:28"</f>
        <v>2018-05-23 15:12:28</v>
      </c>
      <c r="M12413" s="1" t="s">
        <v>0</v>
      </c>
      <c r="N12413" s="1" t="s">
        <v>38</v>
      </c>
      <c r="O12413" s="1" t="s">
        <v>46</v>
      </c>
    </row>
    <row r="12414" spans="2:15" x14ac:dyDescent="0.3">
      <c r="B12414" s="1" t="s">
        <v>20</v>
      </c>
      <c r="C12414" s="1" t="str">
        <f>"4차"</f>
        <v>4차</v>
      </c>
      <c r="D12414" s="1" t="str">
        <f>"9725B51639"</f>
        <v>9725B51639</v>
      </c>
      <c r="E12414" s="1" t="s">
        <v>10</v>
      </c>
      <c r="F12414" s="1" t="str">
        <f>"10.12.135.94"</f>
        <v>10.12.135.94</v>
      </c>
      <c r="G12414" s="1" t="str">
        <f>"9725B516"</f>
        <v>9725B516</v>
      </c>
      <c r="H12414" s="1" t="str">
        <f>"신촌로 5"</f>
        <v>신촌로 5</v>
      </c>
      <c r="I12414" s="1" t="s">
        <v>17</v>
      </c>
      <c r="J12414" s="1" t="str">
        <f>"7/7"</f>
        <v>7/7</v>
      </c>
      <c r="K12414" s="1" t="str">
        <f>"2026-07-29 13:18:12"</f>
        <v>2026-07-29 13:18:12</v>
      </c>
      <c r="L12414" s="1" t="str">
        <f>"2018-05-23 15:30:14"</f>
        <v>2018-05-23 15:30:14</v>
      </c>
      <c r="M12414" s="1" t="s">
        <v>0</v>
      </c>
      <c r="N12414" s="1" t="s">
        <v>38</v>
      </c>
      <c r="O12414" s="1" t="s">
        <v>46</v>
      </c>
    </row>
    <row r="12415" spans="2:15" x14ac:dyDescent="0.3">
      <c r="B12415" s="1" t="s">
        <v>20</v>
      </c>
      <c r="C12415" s="1" t="str">
        <f>"3차"</f>
        <v>3차</v>
      </c>
      <c r="D12415" s="1" t="str">
        <f>"9725C00131"</f>
        <v>9725C00131</v>
      </c>
      <c r="E12415" s="1" t="s">
        <v>10</v>
      </c>
      <c r="F12415" s="1" t="str">
        <f>"10.10.35.27"</f>
        <v>10.10.35.27</v>
      </c>
      <c r="G12415" s="1" t="str">
        <f>"9725C001"</f>
        <v>9725C001</v>
      </c>
      <c r="H12415" s="1" t="str">
        <f>"양화간 47"</f>
        <v>양화간 47</v>
      </c>
      <c r="I12415" s="1" t="s">
        <v>8</v>
      </c>
      <c r="J12415" s="1" t="str">
        <f>"7/13"</f>
        <v>7/13</v>
      </c>
      <c r="K12415" s="1" t="str">
        <f>"2026-07-29 13:18:11"</f>
        <v>2026-07-29 13:18:11</v>
      </c>
      <c r="L12415" s="1" t="str">
        <f>"2018-02-23 09:38:23"</f>
        <v>2018-02-23 09:38:23</v>
      </c>
      <c r="M12415" s="1" t="s">
        <v>1</v>
      </c>
      <c r="N12415" s="1" t="s">
        <v>38</v>
      </c>
      <c r="O12415" s="1" t="s">
        <v>46</v>
      </c>
    </row>
    <row r="12416" spans="2:15" x14ac:dyDescent="0.3">
      <c r="B12416" s="1" t="s">
        <v>20</v>
      </c>
      <c r="C12416" s="1" t="str">
        <f>"4차"</f>
        <v>4차</v>
      </c>
      <c r="D12416" s="1" t="str">
        <f>"9725C01130"</f>
        <v>9725C01130</v>
      </c>
      <c r="E12416" s="1" t="s">
        <v>10</v>
      </c>
      <c r="F12416" s="1" t="str">
        <f>"10.10.41.90"</f>
        <v>10.10.41.90</v>
      </c>
      <c r="G12416" s="1" t="str">
        <f>"9725C011"</f>
        <v>9725C011</v>
      </c>
      <c r="H12416" s="1" t="str">
        <f>"양화간 49R1"</f>
        <v>양화간 49R1</v>
      </c>
      <c r="I12416" s="1" t="s">
        <v>8</v>
      </c>
      <c r="J12416" s="1" t="str">
        <f>"18/20"</f>
        <v>18/20</v>
      </c>
      <c r="K12416" s="1" t="str">
        <f>"2026-07-29 13:18:11"</f>
        <v>2026-07-29 13:18:11</v>
      </c>
      <c r="L12416" s="1" t="str">
        <f>"2018-03-07 14:24:11"</f>
        <v>2018-03-07 14:24:11</v>
      </c>
      <c r="M12416" s="1" t="s">
        <v>1</v>
      </c>
      <c r="N12416" s="1" t="s">
        <v>38</v>
      </c>
      <c r="O12416" s="1" t="s">
        <v>46</v>
      </c>
    </row>
    <row r="12417" spans="2:15" x14ac:dyDescent="0.3">
      <c r="B12417" s="1" t="s">
        <v>20</v>
      </c>
      <c r="C12417" s="1" t="str">
        <f>"3차"</f>
        <v>3차</v>
      </c>
      <c r="D12417" s="1" t="str">
        <f>"9725C01239"</f>
        <v>9725C01239</v>
      </c>
      <c r="E12417" s="1" t="s">
        <v>10</v>
      </c>
      <c r="F12417" s="1" t="str">
        <f>"10.10.31.202"</f>
        <v>10.10.31.202</v>
      </c>
      <c r="G12417" s="1" t="str">
        <f>"9725C012"</f>
        <v>9725C012</v>
      </c>
      <c r="H12417" s="1" t="str">
        <f>"양화간 49R3R1R1"</f>
        <v>양화간 49R3R1R1</v>
      </c>
      <c r="I12417" s="1" t="s">
        <v>8</v>
      </c>
      <c r="J12417" s="1" t="str">
        <f>"9/9"</f>
        <v>9/9</v>
      </c>
      <c r="K12417" s="1" t="str">
        <f>"2026-07-29 13:18:11"</f>
        <v>2026-07-29 13:18:11</v>
      </c>
      <c r="L12417" s="1" t="str">
        <f>"2018-03-23 15:56:27"</f>
        <v>2018-03-23 15:56:27</v>
      </c>
      <c r="M12417" s="1" t="s">
        <v>1</v>
      </c>
      <c r="N12417" s="1" t="s">
        <v>38</v>
      </c>
      <c r="O12417" s="1" t="s">
        <v>46</v>
      </c>
    </row>
    <row r="12418" spans="2:15" x14ac:dyDescent="0.3">
      <c r="B12418" s="1" t="s">
        <v>20</v>
      </c>
      <c r="C12418" s="1" t="str">
        <f>"3차"</f>
        <v>3차</v>
      </c>
      <c r="D12418" s="1" t="str">
        <f>"9725C02231"</f>
        <v>9725C02231</v>
      </c>
      <c r="E12418" s="1" t="s">
        <v>10</v>
      </c>
      <c r="F12418" s="1" t="str">
        <f>"10.10.41.91"</f>
        <v>10.10.41.91</v>
      </c>
      <c r="G12418" s="1" t="str">
        <f>"9725C022"</f>
        <v>9725C022</v>
      </c>
      <c r="H12418" s="1" t="str">
        <f>"양화간 49R3"</f>
        <v>양화간 49R3</v>
      </c>
      <c r="I12418" s="1" t="s">
        <v>8</v>
      </c>
      <c r="J12418" s="1" t="str">
        <f>"15/15"</f>
        <v>15/15</v>
      </c>
      <c r="K12418" s="1" t="str">
        <f>"2026-07-29 13:18:10"</f>
        <v>2026-07-29 13:18:10</v>
      </c>
      <c r="L12418" s="1" t="str">
        <f>"2018-04-25 08:42:39"</f>
        <v>2018-04-25 08:42:39</v>
      </c>
      <c r="M12418" s="1" t="s">
        <v>1</v>
      </c>
      <c r="N12418" s="1" t="s">
        <v>38</v>
      </c>
      <c r="O12418" s="1" t="s">
        <v>46</v>
      </c>
    </row>
    <row r="12419" spans="2:15" x14ac:dyDescent="0.3">
      <c r="B12419" s="1" t="s">
        <v>20</v>
      </c>
      <c r="C12419" s="1" t="str">
        <f>"3차"</f>
        <v>3차</v>
      </c>
      <c r="D12419" s="1" t="str">
        <f>"9725C02339"</f>
        <v>9725C02339</v>
      </c>
      <c r="E12419" s="1" t="s">
        <v>10</v>
      </c>
      <c r="F12419" s="1" t="str">
        <f>"10.10.30.234"</f>
        <v>10.10.30.234</v>
      </c>
      <c r="G12419" s="1" t="str">
        <f>"9725C023"</f>
        <v>9725C023</v>
      </c>
      <c r="H12419" s="1" t="str">
        <f>"양화간 49R3R1"</f>
        <v>양화간 49R3R1</v>
      </c>
      <c r="I12419" s="1" t="s">
        <v>8</v>
      </c>
      <c r="J12419" s="1" t="str">
        <f>"21/25"</f>
        <v>21/25</v>
      </c>
      <c r="K12419" s="1" t="str">
        <f>"2026-07-29 13:18:10"</f>
        <v>2026-07-29 13:18:10</v>
      </c>
      <c r="L12419" s="1" t="str">
        <f>"2018-03-07 14:19:42"</f>
        <v>2018-03-07 14:19:42</v>
      </c>
      <c r="M12419" s="1" t="s">
        <v>1</v>
      </c>
      <c r="N12419" s="1" t="s">
        <v>38</v>
      </c>
      <c r="O12419" s="1" t="s">
        <v>46</v>
      </c>
    </row>
    <row r="12420" spans="2:15" x14ac:dyDescent="0.3">
      <c r="B12420" s="1" t="s">
        <v>20</v>
      </c>
      <c r="C12420" s="1" t="str">
        <f>"4차"</f>
        <v>4차</v>
      </c>
      <c r="D12420" s="1" t="str">
        <f>"9725C03239"</f>
        <v>9725C03239</v>
      </c>
      <c r="E12420" s="1" t="s">
        <v>10</v>
      </c>
      <c r="F12420" s="1" t="str">
        <f>"10.10.31.218"</f>
        <v>10.10.31.218</v>
      </c>
      <c r="G12420" s="1" t="str">
        <f>"9725C032"</f>
        <v>9725C032</v>
      </c>
      <c r="H12420" s="1" t="str">
        <f>"양화간 54R12R3"</f>
        <v>양화간 54R12R3</v>
      </c>
      <c r="I12420" s="1" t="s">
        <v>8</v>
      </c>
      <c r="J12420" s="1" t="str">
        <f>"37/38"</f>
        <v>37/38</v>
      </c>
      <c r="K12420" s="1" t="str">
        <f>"2026-07-29 13:18:10"</f>
        <v>2026-07-29 13:18:10</v>
      </c>
      <c r="L12420" s="1" t="str">
        <f>"2018-03-07 14:29:27"</f>
        <v>2018-03-07 14:29:27</v>
      </c>
      <c r="M12420" s="1" t="s">
        <v>1</v>
      </c>
      <c r="N12420" s="1" t="s">
        <v>38</v>
      </c>
      <c r="O12420" s="1" t="s">
        <v>46</v>
      </c>
    </row>
    <row r="12421" spans="2:15" x14ac:dyDescent="0.3">
      <c r="B12421" s="1" t="s">
        <v>20</v>
      </c>
      <c r="C12421" s="1" t="str">
        <f>"4차"</f>
        <v>4차</v>
      </c>
      <c r="D12421" s="1" t="str">
        <f>"9725C09241"</f>
        <v>9725C09241</v>
      </c>
      <c r="E12421" s="1" t="s">
        <v>10</v>
      </c>
      <c r="F12421" s="1" t="str">
        <f>"10.14.2.183"</f>
        <v>10.14.2.183</v>
      </c>
      <c r="G12421" s="1" t="str">
        <f>"9725C092"</f>
        <v>9725C092</v>
      </c>
      <c r="H12421" s="1" t="str">
        <f>"성산간 6R4"</f>
        <v>성산간 6R4</v>
      </c>
      <c r="I12421" s="1" t="s">
        <v>17</v>
      </c>
      <c r="J12421" s="1" t="str">
        <f>"4/9"</f>
        <v>4/9</v>
      </c>
      <c r="K12421" s="1" t="str">
        <f>"2026-07-29 13:18:11"</f>
        <v>2026-07-29 13:18:11</v>
      </c>
      <c r="L12421" s="1" t="str">
        <f>"2021-08-06 07:44:11"</f>
        <v>2021-08-06 07:44:11</v>
      </c>
      <c r="M12421" s="1" t="s">
        <v>3</v>
      </c>
      <c r="N12421" s="1" t="s">
        <v>38</v>
      </c>
      <c r="O12421" s="1" t="s">
        <v>46</v>
      </c>
    </row>
    <row r="12422" spans="2:15" x14ac:dyDescent="0.3">
      <c r="B12422" s="1" t="s">
        <v>20</v>
      </c>
      <c r="C12422" s="1" t="str">
        <f>"3차"</f>
        <v>3차</v>
      </c>
      <c r="D12422" s="1" t="str">
        <f>"9725C10230"</f>
        <v>9725C10230</v>
      </c>
      <c r="E12422" s="1" t="s">
        <v>10</v>
      </c>
      <c r="F12422" s="1" t="str">
        <f>"10.10.35.26"</f>
        <v>10.10.35.26</v>
      </c>
      <c r="G12422" s="1" t="str">
        <f>"9725C102"</f>
        <v>9725C102</v>
      </c>
      <c r="H12422" s="1" t="str">
        <f>"양화간 46"</f>
        <v>양화간 46</v>
      </c>
      <c r="I12422" s="1" t="s">
        <v>8</v>
      </c>
      <c r="J12422" s="1" t="str">
        <f>"22/22"</f>
        <v>22/22</v>
      </c>
      <c r="K12422" s="1" t="str">
        <f>"2026-07-29 13:18:10"</f>
        <v>2026-07-29 13:18:10</v>
      </c>
      <c r="L12422" s="1" t="str">
        <f>"2018-01-19 19:59:13"</f>
        <v>2018-01-19 19:59:13</v>
      </c>
      <c r="M12422" s="1" t="s">
        <v>1</v>
      </c>
      <c r="N12422" s="1" t="s">
        <v>38</v>
      </c>
      <c r="O12422" s="1" t="s">
        <v>46</v>
      </c>
    </row>
    <row r="12423" spans="2:15" x14ac:dyDescent="0.3">
      <c r="B12423" s="1" t="s">
        <v>20</v>
      </c>
      <c r="C12423" s="1" t="str">
        <f>"3차"</f>
        <v>3차</v>
      </c>
      <c r="D12423" s="1" t="str">
        <f>"9725C10439"</f>
        <v>9725C10439</v>
      </c>
      <c r="E12423" s="1" t="s">
        <v>10</v>
      </c>
      <c r="F12423" s="1" t="str">
        <f>"10.10.35.18"</f>
        <v>10.10.35.18</v>
      </c>
      <c r="G12423" s="1" t="str">
        <f>"9725C104"</f>
        <v>9725C104</v>
      </c>
      <c r="H12423" s="1" t="str">
        <f>"양화간 45"</f>
        <v>양화간 45</v>
      </c>
      <c r="I12423" s="1" t="s">
        <v>8</v>
      </c>
      <c r="J12423" s="1" t="str">
        <f>"11/11"</f>
        <v>11/11</v>
      </c>
      <c r="K12423" s="1" t="str">
        <f>"2026-07-29 13:18:10"</f>
        <v>2026-07-29 13:18:10</v>
      </c>
      <c r="L12423" s="1" t="str">
        <f>"2018-01-19 19:48:44"</f>
        <v>2018-01-19 19:48:44</v>
      </c>
      <c r="M12423" s="1" t="s">
        <v>1</v>
      </c>
      <c r="N12423" s="1" t="s">
        <v>38</v>
      </c>
      <c r="O12423" s="1" t="s">
        <v>46</v>
      </c>
    </row>
    <row r="12424" spans="2:15" x14ac:dyDescent="0.3">
      <c r="B12424" s="1" t="s">
        <v>20</v>
      </c>
      <c r="C12424" s="1" t="str">
        <f>"3차"</f>
        <v>3차</v>
      </c>
      <c r="D12424" s="1" t="str">
        <f>"9725C12131"</f>
        <v>9725C12131</v>
      </c>
      <c r="E12424" s="1" t="s">
        <v>10</v>
      </c>
      <c r="F12424" s="1" t="str">
        <f>"10.10.37.147"</f>
        <v>10.10.37.147</v>
      </c>
      <c r="G12424" s="1" t="str">
        <f>"9725C121"</f>
        <v>9725C121</v>
      </c>
      <c r="H12424" s="1" t="str">
        <f>"양화간 44R5"</f>
        <v>양화간 44R5</v>
      </c>
      <c r="I12424" s="1" t="s">
        <v>8</v>
      </c>
      <c r="J12424" s="1" t="str">
        <f>"51/51"</f>
        <v>51/51</v>
      </c>
      <c r="K12424" s="1" t="str">
        <f>"2026-07-29 13:18:10"</f>
        <v>2026-07-29 13:18:10</v>
      </c>
      <c r="L12424" s="1" t="str">
        <f>"2018-03-16 10:18:10"</f>
        <v>2018-03-16 10:18:10</v>
      </c>
      <c r="M12424" s="1" t="s">
        <v>1</v>
      </c>
      <c r="N12424" s="1" t="s">
        <v>38</v>
      </c>
      <c r="O12424" s="1" t="s">
        <v>46</v>
      </c>
    </row>
    <row r="12425" spans="2:15" x14ac:dyDescent="0.3">
      <c r="B12425" s="1" t="s">
        <v>20</v>
      </c>
      <c r="C12425" s="1" t="str">
        <f>"4차"</f>
        <v>4차</v>
      </c>
      <c r="D12425" s="1" t="str">
        <f>"9725C12230"</f>
        <v>9725C12230</v>
      </c>
      <c r="E12425" s="1" t="s">
        <v>10</v>
      </c>
      <c r="F12425" s="1" t="str">
        <f>"10.10.37.146"</f>
        <v>10.10.37.146</v>
      </c>
      <c r="G12425" s="1" t="str">
        <f>"9725C122"</f>
        <v>9725C122</v>
      </c>
      <c r="H12425" s="1" t="str">
        <f>"양화간 44R4"</f>
        <v>양화간 44R4</v>
      </c>
      <c r="I12425" s="1" t="s">
        <v>8</v>
      </c>
      <c r="J12425" s="1" t="str">
        <f>"29/29"</f>
        <v>29/29</v>
      </c>
      <c r="K12425" s="1" t="str">
        <f>"2026-07-29 13:18:10"</f>
        <v>2026-07-29 13:18:10</v>
      </c>
      <c r="L12425" s="1" t="str">
        <f>"2018-02-26 10:40:53"</f>
        <v>2018-02-26 10:40:53</v>
      </c>
      <c r="M12425" s="1" t="s">
        <v>1</v>
      </c>
      <c r="N12425" s="1" t="s">
        <v>38</v>
      </c>
      <c r="O12425" s="1" t="s">
        <v>46</v>
      </c>
    </row>
    <row r="12426" spans="2:15" x14ac:dyDescent="0.3">
      <c r="B12426" s="1" t="s">
        <v>20</v>
      </c>
      <c r="C12426" s="1" t="str">
        <f>"3차"</f>
        <v>3차</v>
      </c>
      <c r="D12426" s="1" t="str">
        <f>"9725C13239"</f>
        <v>9725C13239</v>
      </c>
      <c r="E12426" s="1" t="s">
        <v>10</v>
      </c>
      <c r="F12426" s="1" t="str">
        <f>"10.10.31.210"</f>
        <v>10.10.31.210</v>
      </c>
      <c r="G12426" s="1" t="str">
        <f>"9725C132"</f>
        <v>9725C132</v>
      </c>
      <c r="H12426" s="1" t="str">
        <f>"양화간 49R3R2"</f>
        <v>양화간 49R3R2</v>
      </c>
      <c r="I12426" s="1" t="s">
        <v>8</v>
      </c>
      <c r="J12426" s="1" t="str">
        <f>"18/18"</f>
        <v>18/18</v>
      </c>
      <c r="K12426" s="1" t="str">
        <f>"2026-07-29 13:18:10"</f>
        <v>2026-07-29 13:18:10</v>
      </c>
      <c r="L12426" s="1" t="str">
        <f>"2018-03-23 16:03:42"</f>
        <v>2018-03-23 16:03:42</v>
      </c>
      <c r="M12426" s="1" t="s">
        <v>1</v>
      </c>
      <c r="N12426" s="1" t="s">
        <v>38</v>
      </c>
      <c r="O12426" s="1" t="s">
        <v>46</v>
      </c>
    </row>
    <row r="12427" spans="2:15" x14ac:dyDescent="0.3">
      <c r="B12427" s="1" t="s">
        <v>20</v>
      </c>
      <c r="C12427" s="1" t="str">
        <f>"4차"</f>
        <v>4차</v>
      </c>
      <c r="D12427" s="1" t="str">
        <f>"9725C17239"</f>
        <v>9725C17239</v>
      </c>
      <c r="E12427" s="1" t="s">
        <v>14</v>
      </c>
      <c r="F12427" s="1" t="str">
        <f>"10.12.135.91"</f>
        <v>10.12.135.91</v>
      </c>
      <c r="G12427" s="1" t="str">
        <f>"9725C172"</f>
        <v>9725C172</v>
      </c>
      <c r="H12427" s="1" t="str">
        <f>"양화로 8"</f>
        <v>양화로 8</v>
      </c>
      <c r="I12427" s="1" t="s">
        <v>17</v>
      </c>
      <c r="J12427" s="1" t="str">
        <f>"0/0"</f>
        <v>0/0</v>
      </c>
      <c r="K12427" s="1" t="str">
        <f>"2026-06-10 07:18:12"</f>
        <v>2026-06-10 07:18:12</v>
      </c>
      <c r="L12427" s="1" t="str">
        <f>"2018-07-26 15:06:44"</f>
        <v>2018-07-26 15:06:44</v>
      </c>
      <c r="M12427" s="1" t="s">
        <v>0</v>
      </c>
      <c r="N12427" s="1" t="s">
        <v>39</v>
      </c>
      <c r="O12427" s="1" t="s">
        <v>46</v>
      </c>
    </row>
    <row r="12428" spans="2:15" x14ac:dyDescent="0.3">
      <c r="B12428" s="1" t="s">
        <v>20</v>
      </c>
      <c r="C12428" s="1" t="str">
        <f>"3차"</f>
        <v>3차</v>
      </c>
      <c r="D12428" s="1" t="str">
        <f>"9725C20139"</f>
        <v>9725C20139</v>
      </c>
      <c r="E12428" s="1" t="s">
        <v>10</v>
      </c>
      <c r="F12428" s="1" t="str">
        <f>"10.10.35.10"</f>
        <v>10.10.35.10</v>
      </c>
      <c r="G12428" s="1" t="str">
        <f>"9725C201"</f>
        <v>9725C201</v>
      </c>
      <c r="H12428" s="1" t="str">
        <f>"양화간 43"</f>
        <v>양화간 43</v>
      </c>
      <c r="I12428" s="1" t="s">
        <v>8</v>
      </c>
      <c r="J12428" s="1" t="str">
        <f>"7/7"</f>
        <v>7/7</v>
      </c>
      <c r="K12428" s="1" t="str">
        <f>"2026-07-29 13:18:10"</f>
        <v>2026-07-29 13:18:10</v>
      </c>
      <c r="L12428" s="1" t="str">
        <f>"2018-01-22 15:31:55"</f>
        <v>2018-01-22 15:31:55</v>
      </c>
      <c r="M12428" s="1" t="s">
        <v>1</v>
      </c>
      <c r="N12428" s="1" t="s">
        <v>38</v>
      </c>
      <c r="O12428" s="1" t="s">
        <v>46</v>
      </c>
    </row>
    <row r="12429" spans="2:15" x14ac:dyDescent="0.3">
      <c r="B12429" s="1" t="s">
        <v>20</v>
      </c>
      <c r="C12429" s="1" t="str">
        <f>"3차"</f>
        <v>3차</v>
      </c>
      <c r="D12429" s="1" t="str">
        <f>"9725C20330"</f>
        <v>9725C20330</v>
      </c>
      <c r="E12429" s="1" t="s">
        <v>10</v>
      </c>
      <c r="F12429" s="1" t="str">
        <f>"10.10.37.138"</f>
        <v>10.10.37.138</v>
      </c>
      <c r="G12429" s="1" t="str">
        <f>"9725C203"</f>
        <v>9725C203</v>
      </c>
      <c r="H12429" s="1" t="str">
        <f>"양화간 44R1"</f>
        <v>양화간 44R1</v>
      </c>
      <c r="I12429" s="1" t="s">
        <v>8</v>
      </c>
      <c r="J12429" s="1" t="str">
        <f>"9/9"</f>
        <v>9/9</v>
      </c>
      <c r="K12429" s="1" t="str">
        <f>"2026-07-29 13:18:10"</f>
        <v>2026-07-29 13:18:10</v>
      </c>
      <c r="L12429" s="1" t="str">
        <f>"2018-02-26 10:35:09"</f>
        <v>2018-02-26 10:35:09</v>
      </c>
      <c r="M12429" s="1" t="s">
        <v>1</v>
      </c>
      <c r="N12429" s="1" t="s">
        <v>38</v>
      </c>
      <c r="O12429" s="1" t="s">
        <v>46</v>
      </c>
    </row>
    <row r="12430" spans="2:15" x14ac:dyDescent="0.3">
      <c r="B12430" s="1" t="s">
        <v>20</v>
      </c>
      <c r="C12430" s="1" t="str">
        <f>"3차"</f>
        <v>3차</v>
      </c>
      <c r="D12430" s="1" t="str">
        <f>"9725C21131"</f>
        <v>9725C21131</v>
      </c>
      <c r="E12430" s="1" t="s">
        <v>10</v>
      </c>
      <c r="F12430" s="1" t="str">
        <f>"10.10.37.139"</f>
        <v>10.10.37.139</v>
      </c>
      <c r="G12430" s="1" t="str">
        <f>"9725C211"</f>
        <v>9725C211</v>
      </c>
      <c r="H12430" s="1" t="str">
        <f>"양화간 44R2"</f>
        <v>양화간 44R2</v>
      </c>
      <c r="I12430" s="1" t="s">
        <v>8</v>
      </c>
      <c r="J12430" s="1" t="str">
        <f>"115/118"</f>
        <v>115/118</v>
      </c>
      <c r="K12430" s="1" t="str">
        <f>"2026-07-29 13:18:10"</f>
        <v>2026-07-29 13:18:10</v>
      </c>
      <c r="L12430" s="1" t="str">
        <f>"2018-03-16 10:12:25"</f>
        <v>2018-03-16 10:12:25</v>
      </c>
      <c r="M12430" s="1" t="s">
        <v>1</v>
      </c>
      <c r="N12430" s="1" t="s">
        <v>38</v>
      </c>
      <c r="O12430" s="1" t="s">
        <v>46</v>
      </c>
    </row>
    <row r="12431" spans="2:15" x14ac:dyDescent="0.3">
      <c r="B12431" s="1" t="s">
        <v>20</v>
      </c>
      <c r="C12431" s="1" t="str">
        <f t="shared" ref="C12431:C12437" si="630">"4차"</f>
        <v>4차</v>
      </c>
      <c r="D12431" s="1" t="str">
        <f>"9725C23639"</f>
        <v>9725C23639</v>
      </c>
      <c r="E12431" s="1" t="s">
        <v>10</v>
      </c>
      <c r="F12431" s="1" t="str">
        <f>"10.12.133.164"</f>
        <v>10.12.133.164</v>
      </c>
      <c r="G12431" s="1" t="str">
        <f>"9725C236"</f>
        <v>9725C236</v>
      </c>
      <c r="H12431" s="1" t="str">
        <f>"서교로 R2"</f>
        <v>서교로 R2</v>
      </c>
      <c r="I12431" s="1" t="s">
        <v>17</v>
      </c>
      <c r="J12431" s="1" t="str">
        <f>"8/8"</f>
        <v>8/8</v>
      </c>
      <c r="K12431" s="1" t="str">
        <f>"2026-07-29 13:18:11"</f>
        <v>2026-07-29 13:18:11</v>
      </c>
      <c r="L12431" s="1" t="str">
        <f>"2018-06-20 09:01:27"</f>
        <v>2018-06-20 09:01:27</v>
      </c>
      <c r="M12431" s="1" t="s">
        <v>0</v>
      </c>
      <c r="N12431" s="1" t="s">
        <v>38</v>
      </c>
      <c r="O12431" s="1" t="s">
        <v>46</v>
      </c>
    </row>
    <row r="12432" spans="2:15" x14ac:dyDescent="0.3">
      <c r="B12432" s="1" t="s">
        <v>20</v>
      </c>
      <c r="C12432" s="1" t="str">
        <f t="shared" si="630"/>
        <v>4차</v>
      </c>
      <c r="D12432" s="1" t="str">
        <f>"9725C26139"</f>
        <v>9725C26139</v>
      </c>
      <c r="E12432" s="1" t="s">
        <v>10</v>
      </c>
      <c r="F12432" s="1" t="str">
        <f>"10.12.134.34"</f>
        <v>10.12.134.34</v>
      </c>
      <c r="G12432" s="1" t="str">
        <f>"9725C261"</f>
        <v>9725C261</v>
      </c>
      <c r="H12432" s="1" t="str">
        <f>"양화간 1R12L1"</f>
        <v>양화간 1R12L1</v>
      </c>
      <c r="I12432" s="1" t="s">
        <v>17</v>
      </c>
      <c r="J12432" s="1" t="str">
        <f>"1/1"</f>
        <v>1/1</v>
      </c>
      <c r="K12432" s="1" t="str">
        <f>"2026-07-29 13:18:11"</f>
        <v>2026-07-29 13:18:11</v>
      </c>
      <c r="L12432" s="1" t="str">
        <f>"2018-06-19 08:57:10"</f>
        <v>2018-06-19 08:57:10</v>
      </c>
      <c r="M12432" s="1" t="s">
        <v>0</v>
      </c>
      <c r="N12432" s="1" t="s">
        <v>38</v>
      </c>
      <c r="O12432" s="1" t="s">
        <v>46</v>
      </c>
    </row>
    <row r="12433" spans="2:15" x14ac:dyDescent="0.3">
      <c r="B12433" s="1" t="s">
        <v>20</v>
      </c>
      <c r="C12433" s="1" t="str">
        <f t="shared" si="630"/>
        <v>4차</v>
      </c>
      <c r="D12433" s="1" t="str">
        <f>"9725C30B39"</f>
        <v>9725C30B39</v>
      </c>
      <c r="E12433" s="1" t="s">
        <v>10</v>
      </c>
      <c r="F12433" s="1" t="str">
        <f>"10.12.135.20"</f>
        <v>10.12.135.20</v>
      </c>
      <c r="G12433" s="1" t="str">
        <f>"9725C30B"</f>
        <v>9725C30B</v>
      </c>
      <c r="H12433" s="1" t="str">
        <f>"서교로 R7"</f>
        <v>서교로 R7</v>
      </c>
      <c r="I12433" s="1" t="s">
        <v>17</v>
      </c>
      <c r="J12433" s="1" t="str">
        <f>"9/12"</f>
        <v>9/12</v>
      </c>
      <c r="K12433" s="1" t="str">
        <f>"2026-07-29 13:18:12"</f>
        <v>2026-07-29 13:18:12</v>
      </c>
      <c r="L12433" s="1" t="str">
        <f>"2018-05-10 16:06:58"</f>
        <v>2018-05-10 16:06:58</v>
      </c>
      <c r="M12433" s="1" t="s">
        <v>0</v>
      </c>
      <c r="N12433" s="1" t="s">
        <v>38</v>
      </c>
      <c r="O12433" s="1" t="s">
        <v>46</v>
      </c>
    </row>
    <row r="12434" spans="2:15" x14ac:dyDescent="0.3">
      <c r="B12434" s="1" t="s">
        <v>20</v>
      </c>
      <c r="C12434" s="1" t="str">
        <f t="shared" si="630"/>
        <v>4차</v>
      </c>
      <c r="D12434" s="1" t="str">
        <f>"9725C30D39"</f>
        <v>9725C30D39</v>
      </c>
      <c r="E12434" s="1" t="s">
        <v>10</v>
      </c>
      <c r="F12434" s="1" t="str">
        <f>"10.12.136.17"</f>
        <v>10.12.136.17</v>
      </c>
      <c r="G12434" s="1" t="str">
        <f>"9725C30D"</f>
        <v>9725C30D</v>
      </c>
      <c r="H12434" s="1" t="str">
        <f>"서교로 R6"</f>
        <v>서교로 R6</v>
      </c>
      <c r="I12434" s="1" t="s">
        <v>17</v>
      </c>
      <c r="J12434" s="1" t="str">
        <f>"20/20"</f>
        <v>20/20</v>
      </c>
      <c r="K12434" s="1" t="str">
        <f>"2026-07-29 13:18:12"</f>
        <v>2026-07-29 13:18:12</v>
      </c>
      <c r="L12434" s="1" t="str">
        <f>"2018-05-10 15:35:57"</f>
        <v>2018-05-10 15:35:57</v>
      </c>
      <c r="M12434" s="1" t="s">
        <v>0</v>
      </c>
      <c r="N12434" s="1" t="s">
        <v>38</v>
      </c>
      <c r="O12434" s="1" t="s">
        <v>46</v>
      </c>
    </row>
    <row r="12435" spans="2:15" x14ac:dyDescent="0.3">
      <c r="B12435" s="1" t="s">
        <v>20</v>
      </c>
      <c r="C12435" s="1" t="str">
        <f t="shared" si="630"/>
        <v>4차</v>
      </c>
      <c r="D12435" s="1" t="str">
        <f>"9725C32F39"</f>
        <v>9725C32F39</v>
      </c>
      <c r="E12435" s="1" t="s">
        <v>10</v>
      </c>
      <c r="F12435" s="1" t="str">
        <f>"10.12.133.165"</f>
        <v>10.12.133.165</v>
      </c>
      <c r="G12435" s="1" t="str">
        <f>"9725C32F"</f>
        <v>9725C32F</v>
      </c>
      <c r="H12435" s="1" t="str">
        <f>"서교로 R4"</f>
        <v>서교로 R4</v>
      </c>
      <c r="I12435" s="1" t="s">
        <v>17</v>
      </c>
      <c r="J12435" s="1" t="str">
        <f>"6/6"</f>
        <v>6/6</v>
      </c>
      <c r="K12435" s="1" t="str">
        <f>"2026-07-29 13:18:11"</f>
        <v>2026-07-29 13:18:11</v>
      </c>
      <c r="L12435" s="1" t="str">
        <f>"2018-06-20 09:45:56"</f>
        <v>2018-06-20 09:45:56</v>
      </c>
      <c r="M12435" s="1" t="s">
        <v>0</v>
      </c>
      <c r="N12435" s="1" t="s">
        <v>38</v>
      </c>
      <c r="O12435" s="1" t="s">
        <v>46</v>
      </c>
    </row>
    <row r="12436" spans="2:15" x14ac:dyDescent="0.3">
      <c r="B12436" s="1" t="s">
        <v>20</v>
      </c>
      <c r="C12436" s="1" t="str">
        <f t="shared" si="630"/>
        <v>4차</v>
      </c>
      <c r="D12436" s="1" t="str">
        <f>"9725C32G39"</f>
        <v>9725C32G39</v>
      </c>
      <c r="E12436" s="1" t="s">
        <v>10</v>
      </c>
      <c r="F12436" s="1" t="str">
        <f>"10.12.135.36"</f>
        <v>10.12.135.36</v>
      </c>
      <c r="G12436" s="1" t="str">
        <f>"9725C32G"</f>
        <v>9725C32G</v>
      </c>
      <c r="H12436" s="1" t="str">
        <f>"서교로 R3"</f>
        <v>서교로 R3</v>
      </c>
      <c r="I12436" s="1" t="s">
        <v>17</v>
      </c>
      <c r="J12436" s="1" t="str">
        <f>"5/5"</f>
        <v>5/5</v>
      </c>
      <c r="K12436" s="1" t="str">
        <f>"2026-07-29 13:18:12"</f>
        <v>2026-07-29 13:18:12</v>
      </c>
      <c r="L12436" s="1" t="str">
        <f>"2018-05-10 14:50:13"</f>
        <v>2018-05-10 14:50:13</v>
      </c>
      <c r="M12436" s="1" t="s">
        <v>0</v>
      </c>
      <c r="N12436" s="1" t="s">
        <v>38</v>
      </c>
      <c r="O12436" s="1" t="s">
        <v>46</v>
      </c>
    </row>
    <row r="12437" spans="2:15" x14ac:dyDescent="0.3">
      <c r="B12437" s="1" t="s">
        <v>20</v>
      </c>
      <c r="C12437" s="1" t="str">
        <f t="shared" si="630"/>
        <v>4차</v>
      </c>
      <c r="D12437" s="1" t="str">
        <f>"9725C34339"</f>
        <v>9725C34339</v>
      </c>
      <c r="E12437" s="1" t="s">
        <v>10</v>
      </c>
      <c r="F12437" s="1" t="str">
        <f>"10.10.36.242"</f>
        <v>10.10.36.242</v>
      </c>
      <c r="G12437" s="1" t="str">
        <f>"9725C343"</f>
        <v>9725C343</v>
      </c>
      <c r="H12437" s="1" t="str">
        <f>"양화간 1R17"</f>
        <v>양화간 1R17</v>
      </c>
      <c r="I12437" s="1" t="s">
        <v>8</v>
      </c>
      <c r="J12437" s="1" t="str">
        <f>"13/13"</f>
        <v>13/13</v>
      </c>
      <c r="K12437" s="1" t="str">
        <f>"2026-07-29 13:18:10"</f>
        <v>2026-07-29 13:18:10</v>
      </c>
      <c r="L12437" s="1" t="str">
        <f>"2018-02-21 15:44:25"</f>
        <v>2018-02-21 15:44:25</v>
      </c>
      <c r="M12437" s="1" t="s">
        <v>1</v>
      </c>
      <c r="N12437" s="1" t="s">
        <v>38</v>
      </c>
      <c r="O12437" s="1" t="s">
        <v>46</v>
      </c>
    </row>
    <row r="12438" spans="2:15" x14ac:dyDescent="0.3">
      <c r="B12438" s="1" t="s">
        <v>20</v>
      </c>
      <c r="C12438" s="1" t="str">
        <f>"3차"</f>
        <v>3차</v>
      </c>
      <c r="D12438" s="1" t="str">
        <f>"9725C35139"</f>
        <v>9725C35139</v>
      </c>
      <c r="E12438" s="1" t="s">
        <v>10</v>
      </c>
      <c r="F12438" s="1" t="str">
        <f>"10.10.36.234"</f>
        <v>10.10.36.234</v>
      </c>
      <c r="G12438" s="1" t="str">
        <f>"9725C351"</f>
        <v>9725C351</v>
      </c>
      <c r="H12438" s="1" t="str">
        <f>"양화간 1R16"</f>
        <v>양화간 1R16</v>
      </c>
      <c r="I12438" s="1" t="s">
        <v>8</v>
      </c>
      <c r="J12438" s="1" t="str">
        <f>"15/22"</f>
        <v>15/22</v>
      </c>
      <c r="K12438" s="1" t="str">
        <f>"2026-07-29 13:18:10"</f>
        <v>2026-07-29 13:18:10</v>
      </c>
      <c r="L12438" s="1" t="str">
        <f>"2018-03-23 15:31:27"</f>
        <v>2018-03-23 15:31:27</v>
      </c>
      <c r="M12438" s="1" t="s">
        <v>1</v>
      </c>
      <c r="N12438" s="1" t="s">
        <v>38</v>
      </c>
      <c r="O12438" s="1" t="s">
        <v>46</v>
      </c>
    </row>
    <row r="12439" spans="2:15" x14ac:dyDescent="0.3">
      <c r="B12439" s="1" t="s">
        <v>20</v>
      </c>
      <c r="C12439" s="1" t="str">
        <f>"4차"</f>
        <v>4차</v>
      </c>
      <c r="D12439" s="1" t="str">
        <f>"9725C36139"</f>
        <v>9725C36139</v>
      </c>
      <c r="E12439" s="1" t="s">
        <v>10</v>
      </c>
      <c r="F12439" s="1" t="str">
        <f>"10.12.134.37"</f>
        <v>10.12.134.37</v>
      </c>
      <c r="G12439" s="1" t="str">
        <f>"9725C361"</f>
        <v>9725C361</v>
      </c>
      <c r="H12439" s="1" t="str">
        <f>"양화간 1R15"</f>
        <v>양화간 1R15</v>
      </c>
      <c r="I12439" s="1" t="s">
        <v>17</v>
      </c>
      <c r="J12439" s="1" t="str">
        <f>"5/5"</f>
        <v>5/5</v>
      </c>
      <c r="K12439" s="1" t="str">
        <f>"2026-07-29 13:18:03"</f>
        <v>2026-07-29 13:18:03</v>
      </c>
      <c r="L12439" s="1" t="str">
        <f>"2018-06-19 08:42:26"</f>
        <v>2018-06-19 08:42:26</v>
      </c>
      <c r="M12439" s="1" t="s">
        <v>0</v>
      </c>
      <c r="N12439" s="1" t="s">
        <v>38</v>
      </c>
      <c r="O12439" s="1" t="s">
        <v>46</v>
      </c>
    </row>
    <row r="12440" spans="2:15" x14ac:dyDescent="0.3">
      <c r="B12440" s="1" t="s">
        <v>20</v>
      </c>
      <c r="C12440" s="1" t="str">
        <f>"4차"</f>
        <v>4차</v>
      </c>
      <c r="D12440" s="1" t="str">
        <f>"9725C37245"</f>
        <v>9725C37245</v>
      </c>
      <c r="E12440" s="1" t="s">
        <v>10</v>
      </c>
      <c r="F12440" s="1" t="str">
        <f>"10.12.133.83"</f>
        <v>10.12.133.83</v>
      </c>
      <c r="G12440" s="1" t="str">
        <f>"9725C372"</f>
        <v>9725C372</v>
      </c>
      <c r="H12440" s="1" t="str">
        <f>"서교로 7"</f>
        <v>서교로 7</v>
      </c>
      <c r="I12440" s="1" t="s">
        <v>17</v>
      </c>
      <c r="J12440" s="1" t="str">
        <f>"23/23"</f>
        <v>23/23</v>
      </c>
      <c r="K12440" s="1" t="str">
        <f>"2026-07-29 13:18:11"</f>
        <v>2026-07-29 13:18:11</v>
      </c>
      <c r="L12440" s="1" t="str">
        <f>"2025-06-12 17:48:13"</f>
        <v>2025-06-12 17:48:13</v>
      </c>
      <c r="M12440" s="1" t="s">
        <v>0</v>
      </c>
      <c r="N12440" s="1" t="s">
        <v>38</v>
      </c>
      <c r="O12440" s="1" t="s">
        <v>46</v>
      </c>
    </row>
    <row r="12441" spans="2:15" x14ac:dyDescent="0.3">
      <c r="B12441" s="1" t="s">
        <v>20</v>
      </c>
      <c r="C12441" s="1" t="str">
        <f>"3차"</f>
        <v>3차</v>
      </c>
      <c r="D12441" s="1" t="str">
        <f>"9725C38139"</f>
        <v>9725C38139</v>
      </c>
      <c r="E12441" s="1" t="s">
        <v>10</v>
      </c>
      <c r="F12441" s="1" t="str">
        <f>"10.10.35.90"</f>
        <v>10.10.35.90</v>
      </c>
      <c r="G12441" s="1" t="str">
        <f>"9725C381"</f>
        <v>9725C381</v>
      </c>
      <c r="H12441" s="1" t="str">
        <f>"양화간 1R11"</f>
        <v>양화간 1R11</v>
      </c>
      <c r="I12441" s="1" t="s">
        <v>8</v>
      </c>
      <c r="J12441" s="1" t="str">
        <f>"4/5"</f>
        <v>4/5</v>
      </c>
      <c r="K12441" s="1" t="str">
        <f>"2026-07-29 13:18:10"</f>
        <v>2026-07-29 13:18:10</v>
      </c>
      <c r="L12441" s="1" t="str">
        <f>"2018-02-09 15:27:57"</f>
        <v>2018-02-09 15:27:57</v>
      </c>
      <c r="M12441" s="1" t="s">
        <v>1</v>
      </c>
      <c r="N12441" s="1" t="s">
        <v>38</v>
      </c>
      <c r="O12441" s="1" t="s">
        <v>46</v>
      </c>
    </row>
    <row r="12442" spans="2:15" x14ac:dyDescent="0.3">
      <c r="B12442" s="1" t="s">
        <v>20</v>
      </c>
      <c r="C12442" s="1" t="str">
        <f>"3차"</f>
        <v>3차</v>
      </c>
      <c r="D12442" s="1" t="str">
        <f>"9725C43539"</f>
        <v>9725C43539</v>
      </c>
      <c r="E12442" s="1" t="s">
        <v>10</v>
      </c>
      <c r="F12442" s="1" t="str">
        <f>"10.12.128.209"</f>
        <v>10.12.128.209</v>
      </c>
      <c r="G12442" s="1" t="str">
        <f>"9725C435"</f>
        <v>9725C435</v>
      </c>
      <c r="H12442" s="1" t="str">
        <f>"양화간 1R18AL2"</f>
        <v>양화간 1R18AL2</v>
      </c>
      <c r="I12442" s="1" t="s">
        <v>8</v>
      </c>
      <c r="J12442" s="1" t="str">
        <f>"4/12"</f>
        <v>4/12</v>
      </c>
      <c r="K12442" s="1" t="str">
        <f>"2026-07-29 13:18:12"</f>
        <v>2026-07-29 13:18:12</v>
      </c>
      <c r="L12442" s="1" t="str">
        <f>"2018-03-26 14:26:41"</f>
        <v>2018-03-26 14:26:41</v>
      </c>
      <c r="M12442" s="1" t="s">
        <v>0</v>
      </c>
      <c r="N12442" s="1" t="s">
        <v>38</v>
      </c>
      <c r="O12442" s="1" t="s">
        <v>46</v>
      </c>
    </row>
    <row r="12443" spans="2:15" x14ac:dyDescent="0.3">
      <c r="B12443" s="1" t="s">
        <v>20</v>
      </c>
      <c r="C12443" s="1" t="str">
        <f>"4차"</f>
        <v>4차</v>
      </c>
      <c r="D12443" s="1" t="str">
        <f>"9725C45139"</f>
        <v>9725C45139</v>
      </c>
      <c r="E12443" s="1" t="s">
        <v>10</v>
      </c>
      <c r="F12443" s="1" t="str">
        <f>"10.10.36.58"</f>
        <v>10.10.36.58</v>
      </c>
      <c r="G12443" s="1" t="str">
        <f>"9725C451"</f>
        <v>9725C451</v>
      </c>
      <c r="H12443" s="1" t="str">
        <f>"양화간 15R16R5L1L7"</f>
        <v>양화간 15R16R5L1L7</v>
      </c>
      <c r="I12443" s="1" t="s">
        <v>8</v>
      </c>
      <c r="J12443" s="1" t="str">
        <f>"3/3"</f>
        <v>3/3</v>
      </c>
      <c r="K12443" s="1" t="str">
        <f>"2026-07-29 13:18:10"</f>
        <v>2026-07-29 13:18:10</v>
      </c>
      <c r="L12443" s="1" t="str">
        <f>"2018-04-03 14:50:11"</f>
        <v>2018-04-03 14:50:11</v>
      </c>
      <c r="M12443" s="1" t="s">
        <v>1</v>
      </c>
      <c r="N12443" s="1" t="s">
        <v>38</v>
      </c>
      <c r="O12443" s="1" t="s">
        <v>46</v>
      </c>
    </row>
    <row r="12444" spans="2:15" x14ac:dyDescent="0.3">
      <c r="B12444" s="1" t="s">
        <v>20</v>
      </c>
      <c r="C12444" s="1" t="str">
        <f>"3차"</f>
        <v>3차</v>
      </c>
      <c r="D12444" s="1" t="str">
        <f>"9725C45339"</f>
        <v>9725C45339</v>
      </c>
      <c r="E12444" s="1" t="s">
        <v>10</v>
      </c>
      <c r="F12444" s="1" t="str">
        <f>"10.10.36.50"</f>
        <v>10.10.36.50</v>
      </c>
      <c r="G12444" s="1" t="str">
        <f>"9725C453"</f>
        <v>9725C453</v>
      </c>
      <c r="H12444" s="1" t="str">
        <f>"양화간 15R16R5L1L6"</f>
        <v>양화간 15R16R5L1L6</v>
      </c>
      <c r="I12444" s="1" t="s">
        <v>8</v>
      </c>
      <c r="J12444" s="1" t="str">
        <f>"20/20"</f>
        <v>20/20</v>
      </c>
      <c r="K12444" s="1" t="str">
        <f t="shared" ref="K12444:K12451" si="631">"2026-07-29 13:18:11"</f>
        <v>2026-07-29 13:18:11</v>
      </c>
      <c r="L12444" s="1" t="str">
        <f>"2018-05-15 16:12:27"</f>
        <v>2018-05-15 16:12:27</v>
      </c>
      <c r="M12444" s="1" t="s">
        <v>1</v>
      </c>
      <c r="N12444" s="1" t="s">
        <v>38</v>
      </c>
      <c r="O12444" s="1" t="s">
        <v>46</v>
      </c>
    </row>
    <row r="12445" spans="2:15" x14ac:dyDescent="0.3">
      <c r="B12445" s="1" t="s">
        <v>20</v>
      </c>
      <c r="C12445" s="1" t="str">
        <f>"4차"</f>
        <v>4차</v>
      </c>
      <c r="D12445" s="1" t="str">
        <f>"9725C46139"</f>
        <v>9725C46139</v>
      </c>
      <c r="E12445" s="1" t="s">
        <v>10</v>
      </c>
      <c r="F12445" s="1" t="str">
        <f>"10.10.34.234"</f>
        <v>10.10.34.234</v>
      </c>
      <c r="G12445" s="1" t="str">
        <f>"9725C461"</f>
        <v>9725C461</v>
      </c>
      <c r="H12445" s="1" t="str">
        <f>"양화간 15R16R5L1L3R4"</f>
        <v>양화간 15R16R5L1L3R4</v>
      </c>
      <c r="I12445" s="1" t="s">
        <v>8</v>
      </c>
      <c r="J12445" s="1" t="str">
        <f>"68/68"</f>
        <v>68/68</v>
      </c>
      <c r="K12445" s="1" t="str">
        <f t="shared" si="631"/>
        <v>2026-07-29 13:18:11</v>
      </c>
      <c r="L12445" s="1" t="str">
        <f>"2018-03-23 14:59:56"</f>
        <v>2018-03-23 14:59:56</v>
      </c>
      <c r="M12445" s="1" t="s">
        <v>1</v>
      </c>
      <c r="N12445" s="1" t="s">
        <v>38</v>
      </c>
      <c r="O12445" s="1" t="s">
        <v>46</v>
      </c>
    </row>
    <row r="12446" spans="2:15" x14ac:dyDescent="0.3">
      <c r="B12446" s="1" t="s">
        <v>20</v>
      </c>
      <c r="C12446" s="1" t="str">
        <f>"3차"</f>
        <v>3차</v>
      </c>
      <c r="D12446" s="1" t="str">
        <f>"9725C48139"</f>
        <v>9725C48139</v>
      </c>
      <c r="E12446" s="1" t="s">
        <v>10</v>
      </c>
      <c r="F12446" s="1" t="str">
        <f>"10.10.37.34"</f>
        <v>10.10.37.34</v>
      </c>
      <c r="G12446" s="1" t="str">
        <f>"9725C481"</f>
        <v>9725C481</v>
      </c>
      <c r="H12446" s="1" t="str">
        <f>"양화간 1R9"</f>
        <v>양화간 1R9</v>
      </c>
      <c r="I12446" s="1" t="s">
        <v>8</v>
      </c>
      <c r="J12446" s="1" t="str">
        <f>"10/10"</f>
        <v>10/10</v>
      </c>
      <c r="K12446" s="1" t="str">
        <f t="shared" si="631"/>
        <v>2026-07-29 13:18:11</v>
      </c>
      <c r="L12446" s="1" t="str">
        <f>"2018-02-21 16:00:56"</f>
        <v>2018-02-21 16:00:56</v>
      </c>
      <c r="M12446" s="1" t="s">
        <v>1</v>
      </c>
      <c r="N12446" s="1" t="s">
        <v>38</v>
      </c>
      <c r="O12446" s="1" t="s">
        <v>46</v>
      </c>
    </row>
    <row r="12447" spans="2:15" x14ac:dyDescent="0.3">
      <c r="B12447" s="1" t="s">
        <v>20</v>
      </c>
      <c r="C12447" s="1" t="str">
        <f>"3차"</f>
        <v>3차</v>
      </c>
      <c r="D12447" s="1" t="str">
        <f>"9725C53139"</f>
        <v>9725C53139</v>
      </c>
      <c r="E12447" s="1" t="s">
        <v>10</v>
      </c>
      <c r="F12447" s="1" t="str">
        <f>"10.10.36.10"</f>
        <v>10.10.36.10</v>
      </c>
      <c r="G12447" s="1" t="str">
        <f>"9725C531"</f>
        <v>9725C531</v>
      </c>
      <c r="H12447" s="1" t="str">
        <f>"양화간 15R16R2L3"</f>
        <v>양화간 15R16R2L3</v>
      </c>
      <c r="I12447" s="1" t="s">
        <v>8</v>
      </c>
      <c r="J12447" s="1" t="str">
        <f>"20/20"</f>
        <v>20/20</v>
      </c>
      <c r="K12447" s="1" t="str">
        <f t="shared" si="631"/>
        <v>2026-07-29 13:18:11</v>
      </c>
      <c r="L12447" s="1" t="str">
        <f>"2018-03-09 17:03:27"</f>
        <v>2018-03-09 17:03:27</v>
      </c>
      <c r="M12447" s="1" t="s">
        <v>1</v>
      </c>
      <c r="N12447" s="1" t="s">
        <v>38</v>
      </c>
      <c r="O12447" s="1" t="s">
        <v>46</v>
      </c>
    </row>
    <row r="12448" spans="2:15" x14ac:dyDescent="0.3">
      <c r="B12448" s="1" t="s">
        <v>20</v>
      </c>
      <c r="C12448" s="1" t="str">
        <f>"3차"</f>
        <v>3차</v>
      </c>
      <c r="D12448" s="1" t="str">
        <f>"9725C54139"</f>
        <v>9725C54139</v>
      </c>
      <c r="E12448" s="1" t="s">
        <v>14</v>
      </c>
      <c r="F12448" s="1" t="str">
        <f>"10.10.36.26"</f>
        <v>10.10.36.26</v>
      </c>
      <c r="G12448" s="1" t="str">
        <f>"9725C541"</f>
        <v>9725C541</v>
      </c>
      <c r="H12448" s="1" t="str">
        <f>"양화간 15R16R3L3"</f>
        <v>양화간 15R16R3L3</v>
      </c>
      <c r="I12448" s="1" t="s">
        <v>8</v>
      </c>
      <c r="J12448" s="1" t="str">
        <f>"0/0"</f>
        <v>0/0</v>
      </c>
      <c r="K12448" s="1" t="str">
        <f t="shared" si="631"/>
        <v>2026-07-29 13:18:11</v>
      </c>
      <c r="L12448" s="1" t="str">
        <f>"2018-02-06 14:53:27"</f>
        <v>2018-02-06 14:53:27</v>
      </c>
      <c r="M12448" s="1" t="s">
        <v>1</v>
      </c>
      <c r="N12448" s="1" t="s">
        <v>38</v>
      </c>
      <c r="O12448" s="1" t="s">
        <v>44</v>
      </c>
    </row>
    <row r="12449" spans="2:15" x14ac:dyDescent="0.3">
      <c r="B12449" s="1" t="s">
        <v>20</v>
      </c>
      <c r="C12449" s="1" t="str">
        <f>"3차"</f>
        <v>3차</v>
      </c>
      <c r="D12449" s="1" t="str">
        <f>"9725C56139"</f>
        <v>9725C56139</v>
      </c>
      <c r="E12449" s="1" t="s">
        <v>10</v>
      </c>
      <c r="F12449" s="1" t="str">
        <f>"10.10.36.42"</f>
        <v>10.10.36.42</v>
      </c>
      <c r="G12449" s="1" t="str">
        <f>"9725C561"</f>
        <v>9725C561</v>
      </c>
      <c r="H12449" s="1" t="str">
        <f>"양화간 15R16R5L1L4"</f>
        <v>양화간 15R16R5L1L4</v>
      </c>
      <c r="I12449" s="1" t="s">
        <v>8</v>
      </c>
      <c r="J12449" s="1" t="str">
        <f>"24/24"</f>
        <v>24/24</v>
      </c>
      <c r="K12449" s="1" t="str">
        <f t="shared" si="631"/>
        <v>2026-07-29 13:18:11</v>
      </c>
      <c r="L12449" s="1" t="str">
        <f>"2018-02-06 15:01:27"</f>
        <v>2018-02-06 15:01:27</v>
      </c>
      <c r="M12449" s="1" t="s">
        <v>1</v>
      </c>
      <c r="N12449" s="1" t="s">
        <v>38</v>
      </c>
      <c r="O12449" s="1" t="s">
        <v>46</v>
      </c>
    </row>
    <row r="12450" spans="2:15" x14ac:dyDescent="0.3">
      <c r="B12450" s="1" t="s">
        <v>20</v>
      </c>
      <c r="C12450" s="1" t="str">
        <f>"4차"</f>
        <v>4차</v>
      </c>
      <c r="D12450" s="1" t="str">
        <f>"9725C57339"</f>
        <v>9725C57339</v>
      </c>
      <c r="E12450" s="1" t="s">
        <v>10</v>
      </c>
      <c r="F12450" s="1" t="str">
        <f>"10.10.34.226"</f>
        <v>10.10.34.226</v>
      </c>
      <c r="G12450" s="1" t="str">
        <f>"9725C573"</f>
        <v>9725C573</v>
      </c>
      <c r="H12450" s="1" t="str">
        <f>"양화간 15R16R5L1L3R1"</f>
        <v>양화간 15R16R5L1L3R1</v>
      </c>
      <c r="I12450" s="1" t="s">
        <v>8</v>
      </c>
      <c r="J12450" s="1" t="str">
        <f>"33/37"</f>
        <v>33/37</v>
      </c>
      <c r="K12450" s="1" t="str">
        <f t="shared" si="631"/>
        <v>2026-07-29 13:18:11</v>
      </c>
      <c r="L12450" s="1" t="str">
        <f>"2018-03-23 15:05:11"</f>
        <v>2018-03-23 15:05:11</v>
      </c>
      <c r="M12450" s="1" t="s">
        <v>1</v>
      </c>
      <c r="N12450" s="1" t="s">
        <v>38</v>
      </c>
      <c r="O12450" s="1" t="s">
        <v>46</v>
      </c>
    </row>
    <row r="12451" spans="2:15" x14ac:dyDescent="0.3">
      <c r="B12451" s="1" t="s">
        <v>20</v>
      </c>
      <c r="C12451" s="1" t="str">
        <f>"4차"</f>
        <v>4차</v>
      </c>
      <c r="D12451" s="1" t="str">
        <f>"9725C57431"</f>
        <v>9725C57431</v>
      </c>
      <c r="E12451" s="1" t="s">
        <v>10</v>
      </c>
      <c r="F12451" s="1" t="str">
        <f>"10.10.36.35"</f>
        <v>10.10.36.35</v>
      </c>
      <c r="G12451" s="1" t="str">
        <f>"9725C574"</f>
        <v>9725C574</v>
      </c>
      <c r="H12451" s="1" t="str">
        <f>"양화간 15R16R5L1L2"</f>
        <v>양화간 15R16R5L1L2</v>
      </c>
      <c r="I12451" s="1" t="s">
        <v>8</v>
      </c>
      <c r="J12451" s="1" t="str">
        <f>"29/29"</f>
        <v>29/29</v>
      </c>
      <c r="K12451" s="1" t="str">
        <f t="shared" si="631"/>
        <v>2026-07-29 13:18:11</v>
      </c>
      <c r="L12451" s="1" t="str">
        <f>"2018-05-15 16:07:29"</f>
        <v>2018-05-15 16:07:29</v>
      </c>
      <c r="M12451" s="1" t="s">
        <v>1</v>
      </c>
      <c r="N12451" s="1" t="s">
        <v>38</v>
      </c>
      <c r="O12451" s="1" t="s">
        <v>46</v>
      </c>
    </row>
    <row r="12452" spans="2:15" x14ac:dyDescent="0.3">
      <c r="B12452" s="1" t="s">
        <v>20</v>
      </c>
      <c r="C12452" s="1" t="str">
        <f>"4차"</f>
        <v>4차</v>
      </c>
      <c r="D12452" s="1" t="str">
        <f>"9725C58139"</f>
        <v>9725C58139</v>
      </c>
      <c r="E12452" s="1" t="s">
        <v>10</v>
      </c>
      <c r="F12452" s="1" t="str">
        <f>"10.12.134.23"</f>
        <v>10.12.134.23</v>
      </c>
      <c r="G12452" s="1" t="str">
        <f>"9725C581"</f>
        <v>9725C581</v>
      </c>
      <c r="H12452" s="1" t="str">
        <f>"서교로 6"</f>
        <v>서교로 6</v>
      </c>
      <c r="I12452" s="1" t="s">
        <v>17</v>
      </c>
      <c r="J12452" s="1" t="str">
        <f>"1/1"</f>
        <v>1/1</v>
      </c>
      <c r="K12452" s="1" t="str">
        <f>"2026-07-29 13:18:12"</f>
        <v>2026-07-29 13:18:12</v>
      </c>
      <c r="L12452" s="1" t="str">
        <f>"2018-06-19 09:29:55"</f>
        <v>2018-06-19 09:29:55</v>
      </c>
      <c r="M12452" s="1" t="s">
        <v>0</v>
      </c>
      <c r="N12452" s="1" t="s">
        <v>38</v>
      </c>
      <c r="O12452" s="1" t="s">
        <v>46</v>
      </c>
    </row>
    <row r="12453" spans="2:15" x14ac:dyDescent="0.3">
      <c r="B12453" s="1" t="s">
        <v>20</v>
      </c>
      <c r="C12453" s="1" t="str">
        <f>"3차"</f>
        <v>3차</v>
      </c>
      <c r="D12453" s="1" t="str">
        <f>"9725C59239"</f>
        <v>9725C59239</v>
      </c>
      <c r="E12453" s="1" t="str">
        <f>"검침실패(3시간 이상)"</f>
        <v>검침실패(3시간 이상)</v>
      </c>
      <c r="F12453" s="1" t="str">
        <f>"10.10.37.18"</f>
        <v>10.10.37.18</v>
      </c>
      <c r="G12453" s="1" t="str">
        <f>"9725C592"</f>
        <v>9725C592</v>
      </c>
      <c r="H12453" s="1" t="str">
        <f>"양화간 1R7"</f>
        <v>양화간 1R7</v>
      </c>
      <c r="I12453" s="1" t="s">
        <v>8</v>
      </c>
      <c r="J12453" s="1" t="str">
        <f>"1/7"</f>
        <v>1/7</v>
      </c>
      <c r="K12453" s="1" t="str">
        <f t="shared" ref="K12453:K12461" si="632">"2026-07-29 13:18:11"</f>
        <v>2026-07-29 13:18:11</v>
      </c>
      <c r="L12453" s="1" t="str">
        <f>"2018-02-21 15:54:41"</f>
        <v>2018-02-21 15:54:41</v>
      </c>
      <c r="M12453" s="1" t="s">
        <v>1</v>
      </c>
      <c r="N12453" s="1" t="s">
        <v>38</v>
      </c>
      <c r="O12453" s="1" t="s">
        <v>46</v>
      </c>
    </row>
    <row r="12454" spans="2:15" x14ac:dyDescent="0.3">
      <c r="B12454" s="1" t="s">
        <v>20</v>
      </c>
      <c r="C12454" s="1" t="str">
        <f>"3차"</f>
        <v>3차</v>
      </c>
      <c r="D12454" s="1" t="str">
        <f>"9725C61239"</f>
        <v>9725C61239</v>
      </c>
      <c r="E12454" s="1" t="s">
        <v>10</v>
      </c>
      <c r="F12454" s="1" t="str">
        <f>"10.10.34.218"</f>
        <v>10.10.34.218</v>
      </c>
      <c r="G12454" s="1" t="str">
        <f>"9725C612"</f>
        <v>9725C612</v>
      </c>
      <c r="H12454" s="1" t="str">
        <f>"양화간 36"</f>
        <v>양화간 36</v>
      </c>
      <c r="I12454" s="1" t="s">
        <v>8</v>
      </c>
      <c r="J12454" s="1" t="str">
        <f>"35/35"</f>
        <v>35/35</v>
      </c>
      <c r="K12454" s="1" t="str">
        <f t="shared" si="632"/>
        <v>2026-07-29 13:18:11</v>
      </c>
      <c r="L12454" s="1" t="str">
        <f>"2018-03-23 15:31:41"</f>
        <v>2018-03-23 15:31:41</v>
      </c>
      <c r="M12454" s="1" t="s">
        <v>1</v>
      </c>
      <c r="N12454" s="1" t="s">
        <v>38</v>
      </c>
      <c r="O12454" s="1" t="s">
        <v>46</v>
      </c>
    </row>
    <row r="12455" spans="2:15" x14ac:dyDescent="0.3">
      <c r="B12455" s="1" t="s">
        <v>20</v>
      </c>
      <c r="C12455" s="1" t="str">
        <f>"3차"</f>
        <v>3차</v>
      </c>
      <c r="D12455" s="1" t="str">
        <f>"9725C62530"</f>
        <v>9725C62530</v>
      </c>
      <c r="E12455" s="1" t="s">
        <v>10</v>
      </c>
      <c r="F12455" s="1" t="str">
        <f>"10.10.41.82"</f>
        <v>10.10.41.82</v>
      </c>
      <c r="G12455" s="1" t="str">
        <f>"9725C625"</f>
        <v>9725C625</v>
      </c>
      <c r="H12455" s="1" t="str">
        <f>"양화간 37R1"</f>
        <v>양화간 37R1</v>
      </c>
      <c r="I12455" s="1" t="s">
        <v>8</v>
      </c>
      <c r="J12455" s="1" t="str">
        <f>"15/15"</f>
        <v>15/15</v>
      </c>
      <c r="K12455" s="1" t="str">
        <f t="shared" si="632"/>
        <v>2026-07-29 13:18:11</v>
      </c>
      <c r="L12455" s="1" t="str">
        <f>"2018-02-26 10:02:39"</f>
        <v>2018-02-26 10:02:39</v>
      </c>
      <c r="M12455" s="1" t="s">
        <v>1</v>
      </c>
      <c r="N12455" s="1" t="s">
        <v>38</v>
      </c>
      <c r="O12455" s="1" t="s">
        <v>46</v>
      </c>
    </row>
    <row r="12456" spans="2:15" x14ac:dyDescent="0.3">
      <c r="B12456" s="1" t="s">
        <v>20</v>
      </c>
      <c r="C12456" s="1" t="str">
        <f>"3차"</f>
        <v>3차</v>
      </c>
      <c r="D12456" s="1" t="str">
        <f>"9725C62631"</f>
        <v>9725C62631</v>
      </c>
      <c r="E12456" s="1" t="s">
        <v>10</v>
      </c>
      <c r="F12456" s="1" t="str">
        <f>"10.10.41.83"</f>
        <v>10.10.41.83</v>
      </c>
      <c r="G12456" s="1" t="str">
        <f>"9725C626"</f>
        <v>9725C626</v>
      </c>
      <c r="H12456" s="1" t="str">
        <f>"양화간 37R3"</f>
        <v>양화간 37R3</v>
      </c>
      <c r="I12456" s="1" t="s">
        <v>8</v>
      </c>
      <c r="J12456" s="1" t="str">
        <f>"23/24"</f>
        <v>23/24</v>
      </c>
      <c r="K12456" s="1" t="str">
        <f t="shared" si="632"/>
        <v>2026-07-29 13:18:11</v>
      </c>
      <c r="L12456" s="1" t="str">
        <f>"2018-03-16 10:49:25"</f>
        <v>2018-03-16 10:49:25</v>
      </c>
      <c r="M12456" s="1" t="s">
        <v>1</v>
      </c>
      <c r="N12456" s="1" t="s">
        <v>38</v>
      </c>
      <c r="O12456" s="1" t="s">
        <v>46</v>
      </c>
    </row>
    <row r="12457" spans="2:15" x14ac:dyDescent="0.3">
      <c r="B12457" s="1" t="s">
        <v>20</v>
      </c>
      <c r="C12457" s="1" t="str">
        <f>"3차"</f>
        <v>3차</v>
      </c>
      <c r="D12457" s="1" t="str">
        <f>"9725C63139"</f>
        <v>9725C63139</v>
      </c>
      <c r="E12457" s="1" t="s">
        <v>10</v>
      </c>
      <c r="F12457" s="1" t="str">
        <f>"10.10.36.2"</f>
        <v>10.10.36.2</v>
      </c>
      <c r="G12457" s="1" t="str">
        <f>"9725C631"</f>
        <v>9725C631</v>
      </c>
      <c r="H12457" s="1" t="str">
        <f>"양화간 15R16R2L2"</f>
        <v>양화간 15R16R2L2</v>
      </c>
      <c r="I12457" s="1" t="s">
        <v>8</v>
      </c>
      <c r="J12457" s="1" t="str">
        <f>"19/20"</f>
        <v>19/20</v>
      </c>
      <c r="K12457" s="1" t="str">
        <f t="shared" si="632"/>
        <v>2026-07-29 13:18:11</v>
      </c>
      <c r="L12457" s="1" t="str">
        <f>"2018-05-15 16:21:27"</f>
        <v>2018-05-15 16:21:27</v>
      </c>
      <c r="M12457" s="1" t="s">
        <v>1</v>
      </c>
      <c r="N12457" s="1" t="s">
        <v>38</v>
      </c>
      <c r="O12457" s="1" t="s">
        <v>46</v>
      </c>
    </row>
    <row r="12458" spans="2:15" x14ac:dyDescent="0.3">
      <c r="B12458" s="1" t="s">
        <v>20</v>
      </c>
      <c r="C12458" s="1" t="str">
        <f>"4차"</f>
        <v>4차</v>
      </c>
      <c r="D12458" s="1" t="str">
        <f>"9725C63239"</f>
        <v>9725C63239</v>
      </c>
      <c r="E12458" s="1" t="s">
        <v>10</v>
      </c>
      <c r="F12458" s="1" t="str">
        <f>"10.10.35.250"</f>
        <v>10.10.35.250</v>
      </c>
      <c r="G12458" s="1" t="str">
        <f>"9725C632"</f>
        <v>9725C632</v>
      </c>
      <c r="H12458" s="1" t="str">
        <f>"양화간 15R16R2L1"</f>
        <v>양화간 15R16R2L1</v>
      </c>
      <c r="I12458" s="1" t="s">
        <v>8</v>
      </c>
      <c r="J12458" s="1" t="str">
        <f>"75/75"</f>
        <v>75/75</v>
      </c>
      <c r="K12458" s="1" t="str">
        <f t="shared" si="632"/>
        <v>2026-07-29 13:18:11</v>
      </c>
      <c r="L12458" s="1" t="str">
        <f>"2018-03-28 14:18:58"</f>
        <v>2018-03-28 14:18:58</v>
      </c>
      <c r="M12458" s="1" t="s">
        <v>1</v>
      </c>
      <c r="N12458" s="1" t="s">
        <v>38</v>
      </c>
      <c r="O12458" s="1" t="s">
        <v>46</v>
      </c>
    </row>
    <row r="12459" spans="2:15" x14ac:dyDescent="0.3">
      <c r="B12459" s="1" t="s">
        <v>20</v>
      </c>
      <c r="C12459" s="1" t="str">
        <f>"3차"</f>
        <v>3차</v>
      </c>
      <c r="D12459" s="1" t="str">
        <f>"9725C64139"</f>
        <v>9725C64139</v>
      </c>
      <c r="E12459" s="1" t="s">
        <v>10</v>
      </c>
      <c r="F12459" s="1" t="str">
        <f>"10.10.36.18"</f>
        <v>10.10.36.18</v>
      </c>
      <c r="G12459" s="1" t="str">
        <f>"9725C641"</f>
        <v>9725C641</v>
      </c>
      <c r="H12459" s="1" t="str">
        <f>"양화간 15R16R3L1"</f>
        <v>양화간 15R16R3L1</v>
      </c>
      <c r="I12459" s="1" t="s">
        <v>8</v>
      </c>
      <c r="J12459" s="1" t="str">
        <f>"20/20"</f>
        <v>20/20</v>
      </c>
      <c r="K12459" s="1" t="str">
        <f t="shared" si="632"/>
        <v>2026-07-29 13:18:11</v>
      </c>
      <c r="L12459" s="1" t="str">
        <f>"2018-02-06 14:55:57"</f>
        <v>2018-02-06 14:55:57</v>
      </c>
      <c r="M12459" s="1" t="s">
        <v>1</v>
      </c>
      <c r="N12459" s="1" t="s">
        <v>38</v>
      </c>
      <c r="O12459" s="1" t="s">
        <v>46</v>
      </c>
    </row>
    <row r="12460" spans="2:15" x14ac:dyDescent="0.3">
      <c r="B12460" s="1" t="s">
        <v>20</v>
      </c>
      <c r="C12460" s="1" t="str">
        <f>"3차"</f>
        <v>3차</v>
      </c>
      <c r="D12460" s="1" t="str">
        <f>"9725C66330"</f>
        <v>9725C66330</v>
      </c>
      <c r="E12460" s="1" t="s">
        <v>10</v>
      </c>
      <c r="F12460" s="1" t="str">
        <f>"10.10.36.34"</f>
        <v>10.10.36.34</v>
      </c>
      <c r="G12460" s="1" t="str">
        <f>"9725C663"</f>
        <v>9725C663</v>
      </c>
      <c r="H12460" s="1" t="str">
        <f>"양화간 15R16R5L1"</f>
        <v>양화간 15R16R5L1</v>
      </c>
      <c r="I12460" s="1" t="s">
        <v>8</v>
      </c>
      <c r="J12460" s="1" t="str">
        <f>"21/21"</f>
        <v>21/21</v>
      </c>
      <c r="K12460" s="1" t="str">
        <f t="shared" si="632"/>
        <v>2026-07-29 13:18:11</v>
      </c>
      <c r="L12460" s="1" t="str">
        <f>"2018-04-03 14:17:12"</f>
        <v>2018-04-03 14:17:12</v>
      </c>
      <c r="M12460" s="1" t="s">
        <v>1</v>
      </c>
      <c r="N12460" s="1" t="s">
        <v>38</v>
      </c>
      <c r="O12460" s="1" t="s">
        <v>46</v>
      </c>
    </row>
    <row r="12461" spans="2:15" x14ac:dyDescent="0.3">
      <c r="B12461" s="1" t="s">
        <v>20</v>
      </c>
      <c r="C12461" s="1" t="str">
        <f>"3차"</f>
        <v>3차</v>
      </c>
      <c r="D12461" s="1" t="str">
        <f>"9725C67131"</f>
        <v>9725C67131</v>
      </c>
      <c r="E12461" s="1" t="s">
        <v>10</v>
      </c>
      <c r="F12461" s="1" t="str">
        <f>"10.10.36.67"</f>
        <v>10.10.36.67</v>
      </c>
      <c r="G12461" s="1" t="str">
        <f>"9725C671"</f>
        <v>9725C671</v>
      </c>
      <c r="H12461" s="1" t="str">
        <f>"양화간 15R16R5L4"</f>
        <v>양화간 15R16R5L4</v>
      </c>
      <c r="I12461" s="1" t="s">
        <v>8</v>
      </c>
      <c r="J12461" s="1" t="str">
        <f>"42/44"</f>
        <v>42/44</v>
      </c>
      <c r="K12461" s="1" t="str">
        <f t="shared" si="632"/>
        <v>2026-07-29 13:18:11</v>
      </c>
      <c r="L12461" s="1" t="str">
        <f>"2018-04-03 16:18:43"</f>
        <v>2018-04-03 16:18:43</v>
      </c>
      <c r="M12461" s="1" t="s">
        <v>1</v>
      </c>
      <c r="N12461" s="1" t="s">
        <v>38</v>
      </c>
      <c r="O12461" s="1" t="s">
        <v>46</v>
      </c>
    </row>
    <row r="12462" spans="2:15" x14ac:dyDescent="0.3">
      <c r="B12462" s="1" t="s">
        <v>20</v>
      </c>
      <c r="C12462" s="1" t="str">
        <f>"3차"</f>
        <v>3차</v>
      </c>
      <c r="D12462" s="1" t="str">
        <f>"9725C70139"</f>
        <v>9725C70139</v>
      </c>
      <c r="E12462" s="1" t="s">
        <v>18</v>
      </c>
      <c r="F12462" s="1" t="str">
        <f>"10.10.37.98"</f>
        <v>10.10.37.98</v>
      </c>
      <c r="G12462" s="1" t="str">
        <f>"9725C701"</f>
        <v>9725C701</v>
      </c>
      <c r="H12462" s="1" t="str">
        <f>"양화간 36L3"</f>
        <v>양화간 36L3</v>
      </c>
      <c r="I12462" s="1" t="s">
        <v>8</v>
      </c>
      <c r="J12462" s="1" t="str">
        <f>"0/44"</f>
        <v>0/44</v>
      </c>
      <c r="K12462" s="1" t="str">
        <f>"2026-07-17 07:18:01"</f>
        <v>2026-07-17 07:18:01</v>
      </c>
      <c r="L12462" s="1" t="str">
        <f>"2018-02-21 16:04:11"</f>
        <v>2018-02-21 16:04:11</v>
      </c>
      <c r="M12462" s="1" t="s">
        <v>1</v>
      </c>
      <c r="N12462" s="1" t="s">
        <v>38</v>
      </c>
      <c r="O12462" s="1" t="s">
        <v>46</v>
      </c>
    </row>
    <row r="12463" spans="2:15" x14ac:dyDescent="0.3">
      <c r="B12463" s="1" t="s">
        <v>20</v>
      </c>
      <c r="C12463" s="1" t="str">
        <f>"3차"</f>
        <v>3차</v>
      </c>
      <c r="D12463" s="1" t="str">
        <f>"9725C70239"</f>
        <v>9725C70239</v>
      </c>
      <c r="E12463" s="1" t="s">
        <v>10</v>
      </c>
      <c r="F12463" s="1" t="str">
        <f>"10.10.37.90"</f>
        <v>10.10.37.90</v>
      </c>
      <c r="G12463" s="1" t="str">
        <f>"9725C702"</f>
        <v>9725C702</v>
      </c>
      <c r="H12463" s="1" t="str">
        <f>"양화간 36L2"</f>
        <v>양화간 36L2</v>
      </c>
      <c r="I12463" s="1" t="s">
        <v>8</v>
      </c>
      <c r="J12463" s="1" t="str">
        <f>"43/43"</f>
        <v>43/43</v>
      </c>
      <c r="K12463" s="1" t="str">
        <f>"2026-07-29 13:18:11"</f>
        <v>2026-07-29 13:18:11</v>
      </c>
      <c r="L12463" s="1" t="str">
        <f>"2018-02-21 16:03:26"</f>
        <v>2018-02-21 16:03:26</v>
      </c>
      <c r="M12463" s="1" t="s">
        <v>1</v>
      </c>
      <c r="N12463" s="1" t="s">
        <v>38</v>
      </c>
      <c r="O12463" s="1" t="s">
        <v>46</v>
      </c>
    </row>
    <row r="12464" spans="2:15" x14ac:dyDescent="0.3">
      <c r="B12464" s="1" t="s">
        <v>20</v>
      </c>
      <c r="C12464" s="1" t="str">
        <f>"1차"</f>
        <v>1차</v>
      </c>
      <c r="D12464" s="1" t="str">
        <f>"9725C72200"</f>
        <v>9725C72200</v>
      </c>
      <c r="E12464" s="1" t="s">
        <v>10</v>
      </c>
      <c r="F12464" s="1" t="str">
        <f>"10.125.129.57"</f>
        <v>10.125.129.57</v>
      </c>
      <c r="G12464" s="1" t="str">
        <f>"9725C722"</f>
        <v>9725C722</v>
      </c>
      <c r="H12464" s="1" t="str">
        <f>"양화간 33"</f>
        <v>양화간 33</v>
      </c>
      <c r="I12464" s="1" t="s">
        <v>8</v>
      </c>
      <c r="J12464" s="1" t="str">
        <f>"32/33"</f>
        <v>32/33</v>
      </c>
      <c r="K12464" s="1" t="str">
        <f>"2026-07-29 13:18:11"</f>
        <v>2026-07-29 13:18:11</v>
      </c>
      <c r="L12464" s="1" t="str">
        <f>"2014-11-19 13:25:15"</f>
        <v>2014-11-19 13:25:15</v>
      </c>
      <c r="M12464" s="1" t="s">
        <v>45</v>
      </c>
      <c r="N12464" s="1" t="s">
        <v>38</v>
      </c>
      <c r="O12464" s="1" t="s">
        <v>46</v>
      </c>
    </row>
    <row r="12465" spans="2:15" x14ac:dyDescent="0.3">
      <c r="B12465" s="1" t="s">
        <v>20</v>
      </c>
      <c r="C12465" s="1" t="str">
        <f>"3차"</f>
        <v>3차</v>
      </c>
      <c r="D12465" s="1" t="str">
        <f>"9725C73139"</f>
        <v>9725C73139</v>
      </c>
      <c r="E12465" s="1" t="s">
        <v>10</v>
      </c>
      <c r="F12465" s="1" t="str">
        <f>"10.10.35.242"</f>
        <v>10.10.35.242</v>
      </c>
      <c r="G12465" s="1" t="str">
        <f>"9725C731"</f>
        <v>9725C731</v>
      </c>
      <c r="H12465" s="1" t="str">
        <f>"양화간 15R16R2"</f>
        <v>양화간 15R16R2</v>
      </c>
      <c r="I12465" s="1" t="s">
        <v>8</v>
      </c>
      <c r="J12465" s="1" t="str">
        <f>"9/9"</f>
        <v>9/9</v>
      </c>
      <c r="K12465" s="1" t="str">
        <f>"2026-07-29 13:18:11"</f>
        <v>2026-07-29 13:18:11</v>
      </c>
      <c r="L12465" s="1" t="str">
        <f>"2018-01-19 20:02:13"</f>
        <v>2018-01-19 20:02:13</v>
      </c>
      <c r="M12465" s="1" t="s">
        <v>1</v>
      </c>
      <c r="N12465" s="1" t="s">
        <v>38</v>
      </c>
      <c r="O12465" s="1" t="s">
        <v>46</v>
      </c>
    </row>
    <row r="12466" spans="2:15" x14ac:dyDescent="0.3">
      <c r="B12466" s="1" t="s">
        <v>20</v>
      </c>
      <c r="C12466" s="1" t="str">
        <f>"3차"</f>
        <v>3차</v>
      </c>
      <c r="D12466" s="1" t="str">
        <f>"9725C75339"</f>
        <v>9725C75339</v>
      </c>
      <c r="E12466" s="1" t="s">
        <v>10</v>
      </c>
      <c r="F12466" s="1" t="str">
        <f>"10.12.128.190"</f>
        <v>10.12.128.190</v>
      </c>
      <c r="G12466" s="1" t="str">
        <f>"9725C753"</f>
        <v>9725C753</v>
      </c>
      <c r="H12466" s="1" t="str">
        <f>"양화간 15R16R4"</f>
        <v>양화간 15R16R4</v>
      </c>
      <c r="I12466" s="1" t="s">
        <v>8</v>
      </c>
      <c r="J12466" s="1" t="str">
        <f>"31/39"</f>
        <v>31/39</v>
      </c>
      <c r="K12466" s="1" t="str">
        <f>"2026-07-29 13:18:12"</f>
        <v>2026-07-29 13:18:12</v>
      </c>
      <c r="L12466" s="1" t="str">
        <f>"2018-03-26 14:15:56"</f>
        <v>2018-03-26 14:15:56</v>
      </c>
      <c r="M12466" s="1" t="s">
        <v>0</v>
      </c>
      <c r="N12466" s="1" t="s">
        <v>38</v>
      </c>
      <c r="O12466" s="1" t="s">
        <v>46</v>
      </c>
    </row>
    <row r="12467" spans="2:15" x14ac:dyDescent="0.3">
      <c r="B12467" s="1" t="s">
        <v>20</v>
      </c>
      <c r="C12467" s="1" t="str">
        <f>"3차"</f>
        <v>3차</v>
      </c>
      <c r="D12467" s="1" t="str">
        <f>"9725C77239"</f>
        <v>9725C77239</v>
      </c>
      <c r="E12467" s="1" t="s">
        <v>10</v>
      </c>
      <c r="F12467" s="1" t="str">
        <f>"10.12.128.195"</f>
        <v>10.12.128.195</v>
      </c>
      <c r="G12467" s="1" t="str">
        <f>"9725C772"</f>
        <v>9725C772</v>
      </c>
      <c r="H12467" s="1" t="str">
        <f>"양화간 15R16R5L3"</f>
        <v>양화간 15R16R5L3</v>
      </c>
      <c r="I12467" s="1" t="s">
        <v>8</v>
      </c>
      <c r="J12467" s="1" t="str">
        <f>"7/7"</f>
        <v>7/7</v>
      </c>
      <c r="K12467" s="1" t="str">
        <f>"2026-07-29 13:18:12"</f>
        <v>2026-07-29 13:18:12</v>
      </c>
      <c r="L12467" s="1" t="str">
        <f>"2018-04-10 13:17:45"</f>
        <v>2018-04-10 13:17:45</v>
      </c>
      <c r="M12467" s="1" t="s">
        <v>0</v>
      </c>
      <c r="N12467" s="1" t="s">
        <v>38</v>
      </c>
      <c r="O12467" s="1" t="s">
        <v>46</v>
      </c>
    </row>
    <row r="12468" spans="2:15" x14ac:dyDescent="0.3">
      <c r="B12468" s="1" t="s">
        <v>20</v>
      </c>
      <c r="C12468" s="1" t="str">
        <f>"1차"</f>
        <v>1차</v>
      </c>
      <c r="D12468" s="1" t="str">
        <f>"9725C81100"</f>
        <v>9725C81100</v>
      </c>
      <c r="E12468" s="1" t="s">
        <v>10</v>
      </c>
      <c r="F12468" s="1" t="str">
        <f>"10.125.128.109"</f>
        <v>10.125.128.109</v>
      </c>
      <c r="G12468" s="1" t="str">
        <f>"9725C811"</f>
        <v>9725C811</v>
      </c>
      <c r="H12468" s="1" t="str">
        <f>"양화간 25L1R4"</f>
        <v>양화간 25L1R4</v>
      </c>
      <c r="I12468" s="1" t="s">
        <v>8</v>
      </c>
      <c r="J12468" s="1" t="str">
        <f>"38/38"</f>
        <v>38/38</v>
      </c>
      <c r="K12468" s="1" t="str">
        <f>"2026-07-29 13:18:11"</f>
        <v>2026-07-29 13:18:11</v>
      </c>
      <c r="L12468" s="1" t="str">
        <f>"2014-11-26 18:02:38"</f>
        <v>2014-11-26 18:02:38</v>
      </c>
      <c r="M12468" s="1" t="s">
        <v>45</v>
      </c>
      <c r="N12468" s="1" t="s">
        <v>38</v>
      </c>
      <c r="O12468" s="1" t="s">
        <v>46</v>
      </c>
    </row>
    <row r="12469" spans="2:15" x14ac:dyDescent="0.3">
      <c r="B12469" s="1" t="s">
        <v>20</v>
      </c>
      <c r="C12469" s="1" t="str">
        <f>"1차"</f>
        <v>1차</v>
      </c>
      <c r="D12469" s="1" t="str">
        <f>"9725C81201"</f>
        <v>9725C81201</v>
      </c>
      <c r="E12469" s="1" t="s">
        <v>10</v>
      </c>
      <c r="F12469" s="1" t="str">
        <f>"10.125.128.110"</f>
        <v>10.125.128.110</v>
      </c>
      <c r="G12469" s="1" t="str">
        <f>"9725C812"</f>
        <v>9725C812</v>
      </c>
      <c r="H12469" s="1" t="str">
        <f>"양화간 25L1R5"</f>
        <v>양화간 25L1R5</v>
      </c>
      <c r="I12469" s="1" t="s">
        <v>8</v>
      </c>
      <c r="J12469" s="1" t="str">
        <f>"33/33"</f>
        <v>33/33</v>
      </c>
      <c r="K12469" s="1" t="str">
        <f>"2026-07-29 13:18:10"</f>
        <v>2026-07-29 13:18:10</v>
      </c>
      <c r="L12469" s="1" t="str">
        <f>"2014-12-12 17:15:58"</f>
        <v>2014-12-12 17:15:58</v>
      </c>
      <c r="M12469" s="1" t="s">
        <v>45</v>
      </c>
      <c r="N12469" s="1" t="s">
        <v>38</v>
      </c>
      <c r="O12469" s="1" t="s">
        <v>46</v>
      </c>
    </row>
    <row r="12470" spans="2:15" x14ac:dyDescent="0.3">
      <c r="B12470" s="1" t="s">
        <v>20</v>
      </c>
      <c r="C12470" s="1" t="str">
        <f>"3차"</f>
        <v>3차</v>
      </c>
      <c r="D12470" s="1" t="str">
        <f>"9725C82539"</f>
        <v>9725C82539</v>
      </c>
      <c r="E12470" s="1" t="s">
        <v>10</v>
      </c>
      <c r="F12470" s="1" t="str">
        <f>"10.10.34.250"</f>
        <v>10.10.34.250</v>
      </c>
      <c r="G12470" s="1" t="str">
        <f>"9725C825"</f>
        <v>9725C825</v>
      </c>
      <c r="H12470" s="1" t="str">
        <f>"양화간 31"</f>
        <v>양화간 31</v>
      </c>
      <c r="I12470" s="1" t="s">
        <v>8</v>
      </c>
      <c r="J12470" s="1" t="str">
        <f>"12/12"</f>
        <v>12/12</v>
      </c>
      <c r="K12470" s="1" t="str">
        <f>"2026-07-29 13:18:11"</f>
        <v>2026-07-29 13:18:11</v>
      </c>
      <c r="L12470" s="1" t="str">
        <f>"2018-01-19 19:43:28"</f>
        <v>2018-01-19 19:43:28</v>
      </c>
      <c r="M12470" s="1" t="s">
        <v>1</v>
      </c>
      <c r="N12470" s="1" t="s">
        <v>38</v>
      </c>
      <c r="O12470" s="1" t="s">
        <v>46</v>
      </c>
    </row>
    <row r="12471" spans="2:15" x14ac:dyDescent="0.3">
      <c r="B12471" s="1" t="s">
        <v>20</v>
      </c>
      <c r="C12471" s="1" t="str">
        <f>"4차"</f>
        <v>4차</v>
      </c>
      <c r="D12471" s="1" t="str">
        <f>"9725C84139"</f>
        <v>9725C84139</v>
      </c>
      <c r="E12471" s="1" t="s">
        <v>10</v>
      </c>
      <c r="F12471" s="1" t="str">
        <f>"10.10.34.242"</f>
        <v>10.10.34.242</v>
      </c>
      <c r="G12471" s="1" t="str">
        <f>"9725C841"</f>
        <v>9725C841</v>
      </c>
      <c r="H12471" s="1" t="str">
        <f>"양화간 15R16R6R2"</f>
        <v>양화간 15R16R6R2</v>
      </c>
      <c r="I12471" s="1" t="s">
        <v>8</v>
      </c>
      <c r="J12471" s="1" t="str">
        <f>"37/37"</f>
        <v>37/37</v>
      </c>
      <c r="K12471" s="1" t="str">
        <f>"2026-07-29 13:18:11"</f>
        <v>2026-07-29 13:18:11</v>
      </c>
      <c r="L12471" s="1" t="str">
        <f>"2018-02-09 15:20:41"</f>
        <v>2018-02-09 15:20:41</v>
      </c>
      <c r="M12471" s="1" t="s">
        <v>1</v>
      </c>
      <c r="N12471" s="1" t="s">
        <v>38</v>
      </c>
      <c r="O12471" s="1" t="s">
        <v>46</v>
      </c>
    </row>
    <row r="12472" spans="2:15" x14ac:dyDescent="0.3">
      <c r="B12472" s="1" t="s">
        <v>20</v>
      </c>
      <c r="C12472" s="1" t="str">
        <f>"1차"</f>
        <v>1차</v>
      </c>
      <c r="D12472" s="1" t="str">
        <f>"9725C85100"</f>
        <v>9725C85100</v>
      </c>
      <c r="E12472" s="1" t="s">
        <v>10</v>
      </c>
      <c r="F12472" s="1" t="str">
        <f>"10.125.217.162"</f>
        <v>10.125.217.162</v>
      </c>
      <c r="G12472" s="1" t="str">
        <f>"9725C851"</f>
        <v>9725C851</v>
      </c>
      <c r="H12472" s="1" t="str">
        <f>"양화간 15R16R6"</f>
        <v>양화간 15R16R6</v>
      </c>
      <c r="I12472" s="1" t="s">
        <v>8</v>
      </c>
      <c r="J12472" s="1" t="str">
        <f>"15/15"</f>
        <v>15/15</v>
      </c>
      <c r="K12472" s="1" t="str">
        <f>"2026-07-29 13:18:11"</f>
        <v>2026-07-29 13:18:11</v>
      </c>
      <c r="L12472" s="1" t="str">
        <f>"2014-12-08 11:01:40"</f>
        <v>2014-12-08 11:01:40</v>
      </c>
      <c r="M12472" s="1" t="s">
        <v>45</v>
      </c>
      <c r="N12472" s="1" t="s">
        <v>38</v>
      </c>
      <c r="O12472" s="1" t="s">
        <v>46</v>
      </c>
    </row>
    <row r="12473" spans="2:15" x14ac:dyDescent="0.3">
      <c r="B12473" s="1" t="s">
        <v>20</v>
      </c>
      <c r="C12473" s="1" t="str">
        <f>"1차"</f>
        <v>1차</v>
      </c>
      <c r="D12473" s="1" t="str">
        <f>"9725C85201"</f>
        <v>9725C85201</v>
      </c>
      <c r="E12473" s="1" t="s">
        <v>10</v>
      </c>
      <c r="F12473" s="1" t="str">
        <f>"10.12.138.68"</f>
        <v>10.12.138.68</v>
      </c>
      <c r="G12473" s="1" t="str">
        <f>"9725C852"</f>
        <v>9725C852</v>
      </c>
      <c r="H12473" s="1" t="str">
        <f>"양화간 15R16R6R1"</f>
        <v>양화간 15R16R6R1</v>
      </c>
      <c r="I12473" s="1" t="s">
        <v>8</v>
      </c>
      <c r="J12473" s="1" t="str">
        <f>"41/42"</f>
        <v>41/42</v>
      </c>
      <c r="K12473" s="1" t="str">
        <f>"2026-07-29 13:18:12"</f>
        <v>2026-07-29 13:18:12</v>
      </c>
      <c r="L12473" s="1" t="str">
        <f>"2015-01-08 17:47:30"</f>
        <v>2015-01-08 17:47:30</v>
      </c>
      <c r="M12473" s="1" t="s">
        <v>0</v>
      </c>
      <c r="N12473" s="1" t="s">
        <v>38</v>
      </c>
      <c r="O12473" s="1" t="s">
        <v>46</v>
      </c>
    </row>
    <row r="12474" spans="2:15" x14ac:dyDescent="0.3">
      <c r="B12474" s="1" t="s">
        <v>20</v>
      </c>
      <c r="C12474" s="1" t="str">
        <f>"6차"</f>
        <v>6차</v>
      </c>
      <c r="D12474" s="1" t="str">
        <f>"9725C8716M"</f>
        <v>9725C8716M</v>
      </c>
      <c r="E12474" s="1" t="s">
        <v>10</v>
      </c>
      <c r="F12474" s="1" t="str">
        <f>"fde1:103:4:c80b:0:0:0:2"</f>
        <v>fde1:103:4:c80b:0:0:0:2</v>
      </c>
      <c r="G12474" s="1" t="str">
        <f>"9725C871"</f>
        <v>9725C871</v>
      </c>
      <c r="H12474" s="1" t="str">
        <f>"양화간 15R16R5AL2"</f>
        <v>양화간 15R16R5AL2</v>
      </c>
      <c r="I12474" s="1" t="s">
        <v>15</v>
      </c>
      <c r="J12474" s="1" t="str">
        <f>"46/46"</f>
        <v>46/46</v>
      </c>
      <c r="K12474" s="1" t="str">
        <f>"2026-07-29 14:21:30"</f>
        <v>2026-07-29 14:21:30</v>
      </c>
      <c r="L12474" s="1" t="str">
        <f>"2024-11-25 10:38:29"</f>
        <v>2024-11-25 10:38:29</v>
      </c>
      <c r="M12474" s="1" t="s">
        <v>4</v>
      </c>
      <c r="N12474" s="1" t="s">
        <v>38</v>
      </c>
      <c r="O12474" s="1" t="s">
        <v>46</v>
      </c>
    </row>
    <row r="12475" spans="2:15" x14ac:dyDescent="0.3">
      <c r="B12475" s="1" t="s">
        <v>20</v>
      </c>
      <c r="C12475" s="1" t="str">
        <f>"4차"</f>
        <v>4차</v>
      </c>
      <c r="D12475" s="1" t="str">
        <f>"9725C88130"</f>
        <v>9725C88130</v>
      </c>
      <c r="E12475" s="1" t="s">
        <v>10</v>
      </c>
      <c r="F12475" s="1" t="str">
        <f>"10.10.36.66"</f>
        <v>10.10.36.66</v>
      </c>
      <c r="G12475" s="1" t="str">
        <f>"9725C881"</f>
        <v>9725C881</v>
      </c>
      <c r="H12475" s="1" t="str">
        <f>"양화간 15R16R5L3R1"</f>
        <v>양화간 15R16R5L3R1</v>
      </c>
      <c r="I12475" s="1" t="s">
        <v>8</v>
      </c>
      <c r="J12475" s="1" t="str">
        <f>"26/31"</f>
        <v>26/31</v>
      </c>
      <c r="K12475" s="1" t="str">
        <f>"2026-07-29 13:18:11"</f>
        <v>2026-07-29 13:18:11</v>
      </c>
      <c r="L12475" s="1" t="str">
        <f>"2018-04-03 16:22:57"</f>
        <v>2018-04-03 16:22:57</v>
      </c>
      <c r="M12475" s="1" t="s">
        <v>1</v>
      </c>
      <c r="N12475" s="1" t="s">
        <v>38</v>
      </c>
      <c r="O12475" s="1" t="s">
        <v>46</v>
      </c>
    </row>
    <row r="12476" spans="2:15" x14ac:dyDescent="0.3">
      <c r="B12476" s="1" t="s">
        <v>20</v>
      </c>
      <c r="C12476" s="1" t="str">
        <f>"4차"</f>
        <v>4차</v>
      </c>
      <c r="D12476" s="1" t="str">
        <f>"9725C89439"</f>
        <v>9725C89439</v>
      </c>
      <c r="E12476" s="1" t="s">
        <v>10</v>
      </c>
      <c r="F12476" s="1" t="str">
        <f>"10.12.133.101"</f>
        <v>10.12.133.101</v>
      </c>
      <c r="G12476" s="1" t="str">
        <f>"9725C894"</f>
        <v>9725C894</v>
      </c>
      <c r="H12476" s="1" t="str">
        <f>"서교로 11T"</f>
        <v>서교로 11T</v>
      </c>
      <c r="I12476" s="1" t="s">
        <v>17</v>
      </c>
      <c r="J12476" s="1" t="str">
        <f>"3/3"</f>
        <v>3/3</v>
      </c>
      <c r="K12476" s="1" t="str">
        <f>"2026-07-29 13:18:12"</f>
        <v>2026-07-29 13:18:12</v>
      </c>
      <c r="L12476" s="1" t="str">
        <f>"2021-08-19 18:49:28"</f>
        <v>2021-08-19 18:49:28</v>
      </c>
      <c r="M12476" s="1" t="s">
        <v>0</v>
      </c>
      <c r="N12476" s="1" t="s">
        <v>38</v>
      </c>
      <c r="O12476" s="1" t="s">
        <v>46</v>
      </c>
    </row>
    <row r="12477" spans="2:15" x14ac:dyDescent="0.3">
      <c r="B12477" s="1" t="s">
        <v>20</v>
      </c>
      <c r="C12477" s="1" t="str">
        <f>"3차"</f>
        <v>3차</v>
      </c>
      <c r="D12477" s="1" t="str">
        <f>"9725C90131"</f>
        <v>9725C90131</v>
      </c>
      <c r="E12477" s="1" t="s">
        <v>10</v>
      </c>
      <c r="F12477" s="1" t="str">
        <f>"10.10.37.59"</f>
        <v>10.10.37.59</v>
      </c>
      <c r="G12477" s="1" t="str">
        <f>"9725C901"</f>
        <v>9725C901</v>
      </c>
      <c r="H12477" s="1" t="str">
        <f>"양화간 25L5"</f>
        <v>양화간 25L5</v>
      </c>
      <c r="I12477" s="1" t="s">
        <v>8</v>
      </c>
      <c r="J12477" s="1" t="str">
        <f>"101/101"</f>
        <v>101/101</v>
      </c>
      <c r="K12477" s="1" t="str">
        <f>"2026-07-29 13:18:11"</f>
        <v>2026-07-29 13:18:11</v>
      </c>
      <c r="L12477" s="1" t="str">
        <f>"2018-02-24 10:38:40"</f>
        <v>2018-02-24 10:38:40</v>
      </c>
      <c r="M12477" s="1" t="s">
        <v>1</v>
      </c>
      <c r="N12477" s="1" t="s">
        <v>38</v>
      </c>
      <c r="O12477" s="1" t="s">
        <v>46</v>
      </c>
    </row>
    <row r="12478" spans="2:15" x14ac:dyDescent="0.3">
      <c r="B12478" s="1" t="s">
        <v>20</v>
      </c>
      <c r="C12478" s="1" t="str">
        <f>"1차"</f>
        <v>1차</v>
      </c>
      <c r="D12478" s="1" t="str">
        <f>"9725C91101"</f>
        <v>9725C91101</v>
      </c>
      <c r="E12478" s="1" t="s">
        <v>10</v>
      </c>
      <c r="F12478" s="1" t="str">
        <f>"10.125.128.111"</f>
        <v>10.125.128.111</v>
      </c>
      <c r="G12478" s="1" t="str">
        <f>"9725C911"</f>
        <v>9725C911</v>
      </c>
      <c r="H12478" s="1" t="str">
        <f>"양화간 25L1R3"</f>
        <v>양화간 25L1R3</v>
      </c>
      <c r="I12478" s="1" t="s">
        <v>8</v>
      </c>
      <c r="J12478" s="1" t="str">
        <f>"21/21"</f>
        <v>21/21</v>
      </c>
      <c r="K12478" s="1" t="str">
        <f>"2026-07-29 13:18:11"</f>
        <v>2026-07-29 13:18:11</v>
      </c>
      <c r="L12478" s="1" t="str">
        <f>"2014-11-29 16:01:33"</f>
        <v>2014-11-29 16:01:33</v>
      </c>
      <c r="M12478" s="1" t="s">
        <v>45</v>
      </c>
      <c r="N12478" s="1" t="s">
        <v>38</v>
      </c>
      <c r="O12478" s="1" t="s">
        <v>46</v>
      </c>
    </row>
    <row r="12479" spans="2:15" x14ac:dyDescent="0.3">
      <c r="B12479" s="1" t="s">
        <v>20</v>
      </c>
      <c r="C12479" s="1" t="str">
        <f>"4차"</f>
        <v>4차</v>
      </c>
      <c r="D12479" s="1" t="str">
        <f>"9725C94139"</f>
        <v>9725C94139</v>
      </c>
      <c r="E12479" s="1" t="s">
        <v>10</v>
      </c>
      <c r="F12479" s="1" t="str">
        <f>"10.10.26.18"</f>
        <v>10.10.26.18</v>
      </c>
      <c r="G12479" s="1" t="str">
        <f>"9725C941"</f>
        <v>9725C941</v>
      </c>
      <c r="H12479" s="1" t="str">
        <f>"양화간 15R16R8"</f>
        <v>양화간 15R16R8</v>
      </c>
      <c r="I12479" s="1" t="s">
        <v>8</v>
      </c>
      <c r="J12479" s="1" t="str">
        <f>"8/9"</f>
        <v>8/9</v>
      </c>
      <c r="K12479" s="1" t="str">
        <f>"2026-07-29 13:18:11"</f>
        <v>2026-07-29 13:18:11</v>
      </c>
      <c r="L12479" s="1" t="str">
        <f>"2018-04-03 11:35:26"</f>
        <v>2018-04-03 11:35:26</v>
      </c>
      <c r="M12479" s="1" t="s">
        <v>1</v>
      </c>
      <c r="N12479" s="1" t="s">
        <v>38</v>
      </c>
      <c r="O12479" s="1" t="s">
        <v>46</v>
      </c>
    </row>
    <row r="12480" spans="2:15" x14ac:dyDescent="0.3">
      <c r="B12480" s="1" t="s">
        <v>20</v>
      </c>
      <c r="C12480" s="1" t="str">
        <f>"6차"</f>
        <v>6차</v>
      </c>
      <c r="D12480" s="1" t="str">
        <f>"9725C9426M"</f>
        <v>9725C9426M</v>
      </c>
      <c r="E12480" s="1" t="s">
        <v>10</v>
      </c>
      <c r="F12480" s="1" t="str">
        <f>"fde1:103:4:c849:0:0:0:2"</f>
        <v>fde1:103:4:c849:0:0:0:2</v>
      </c>
      <c r="G12480" s="1" t="str">
        <f>"9725C942"</f>
        <v>9725C942</v>
      </c>
      <c r="H12480" s="1" t="str">
        <f>"양화간 15R16R7"</f>
        <v>양화간 15R16R7</v>
      </c>
      <c r="I12480" s="1" t="s">
        <v>15</v>
      </c>
      <c r="J12480" s="1" t="str">
        <f>"41/41"</f>
        <v>41/41</v>
      </c>
      <c r="K12480" s="1" t="str">
        <f>"2026-07-29 14:21:00"</f>
        <v>2026-07-29 14:21:00</v>
      </c>
      <c r="L12480" s="1" t="str">
        <f>"2024-11-25 15:47:19"</f>
        <v>2024-11-25 15:47:19</v>
      </c>
      <c r="M12480" s="1" t="s">
        <v>4</v>
      </c>
      <c r="N12480" s="1" t="s">
        <v>38</v>
      </c>
      <c r="O12480" s="1" t="s">
        <v>46</v>
      </c>
    </row>
    <row r="12481" spans="2:15" x14ac:dyDescent="0.3">
      <c r="B12481" s="1" t="s">
        <v>20</v>
      </c>
      <c r="C12481" s="1" t="s">
        <v>16</v>
      </c>
      <c r="D12481" s="1" t="str">
        <f>"9725C94342"</f>
        <v>9725C94342</v>
      </c>
      <c r="E12481" s="1" t="s">
        <v>10</v>
      </c>
      <c r="F12481" s="1" t="str">
        <f>"10.125.195.226"</f>
        <v>10.125.195.226</v>
      </c>
      <c r="G12481" s="1" t="str">
        <f>"9725C943"</f>
        <v>9725C943</v>
      </c>
      <c r="H12481" s="1" t="str">
        <f>"양화간 15R16R8L1"</f>
        <v>양화간 15R16R8L1</v>
      </c>
      <c r="I12481" s="1" t="s">
        <v>8</v>
      </c>
      <c r="J12481" s="1" t="str">
        <f>"36/36"</f>
        <v>36/36</v>
      </c>
      <c r="K12481" s="1" t="str">
        <f>"2026-07-29 13:18:11"</f>
        <v>2026-07-29 13:18:11</v>
      </c>
      <c r="L12481" s="1" t="str">
        <f>"2025-09-02 14:46:30"</f>
        <v>2025-09-02 14:46:30</v>
      </c>
      <c r="M12481" s="1" t="s">
        <v>45</v>
      </c>
      <c r="N12481" s="1" t="s">
        <v>38</v>
      </c>
      <c r="O12481" s="1" t="s">
        <v>46</v>
      </c>
    </row>
    <row r="12482" spans="2:15" x14ac:dyDescent="0.3">
      <c r="B12482" s="1" t="s">
        <v>20</v>
      </c>
      <c r="C12482" s="1" t="str">
        <f>"6차"</f>
        <v>6차</v>
      </c>
      <c r="D12482" s="1" t="str">
        <f>"9725C9616M"</f>
        <v>9725C9616M</v>
      </c>
      <c r="E12482" s="1" t="s">
        <v>10</v>
      </c>
      <c r="F12482" s="1" t="str">
        <f>"fde1:103:4:c787:0:0:0:2"</f>
        <v>fde1:103:4:c787:0:0:0:2</v>
      </c>
      <c r="G12482" s="1" t="str">
        <f>"9725C961"</f>
        <v>9725C961</v>
      </c>
      <c r="H12482" s="1" t="str">
        <f>"양화간 15R5R7L2"</f>
        <v>양화간 15R5R7L2</v>
      </c>
      <c r="I12482" s="1" t="s">
        <v>15</v>
      </c>
      <c r="J12482" s="1" t="str">
        <f>"79/80"</f>
        <v>79/80</v>
      </c>
      <c r="K12482" s="1" t="str">
        <f>"2026-07-29 14:21:33"</f>
        <v>2026-07-29 14:21:33</v>
      </c>
      <c r="L12482" s="1" t="str">
        <f>"2024-11-26 13:38:50"</f>
        <v>2024-11-26 13:38:50</v>
      </c>
      <c r="M12482" s="1" t="s">
        <v>4</v>
      </c>
      <c r="N12482" s="1" t="s">
        <v>38</v>
      </c>
      <c r="O12482" s="1" t="s">
        <v>46</v>
      </c>
    </row>
    <row r="12483" spans="2:15" x14ac:dyDescent="0.3">
      <c r="B12483" s="1" t="s">
        <v>20</v>
      </c>
      <c r="C12483" s="1" t="str">
        <f>"1차"</f>
        <v>1차</v>
      </c>
      <c r="D12483" s="1" t="str">
        <f>"9725C98100"</f>
        <v>9725C98100</v>
      </c>
      <c r="E12483" s="1" t="s">
        <v>10</v>
      </c>
      <c r="F12483" s="1" t="str">
        <f>"10.125.217.138"</f>
        <v>10.125.217.138</v>
      </c>
      <c r="G12483" s="1" t="str">
        <f>"9725C981"</f>
        <v>9725C981</v>
      </c>
      <c r="H12483" s="1" t="str">
        <f>"양화간 15R5R9"</f>
        <v>양화간 15R5R9</v>
      </c>
      <c r="I12483" s="1" t="s">
        <v>8</v>
      </c>
      <c r="J12483" s="1" t="str">
        <f>"6/8"</f>
        <v>6/8</v>
      </c>
      <c r="K12483" s="1" t="str">
        <f>"2026-07-29 13:18:11"</f>
        <v>2026-07-29 13:18:11</v>
      </c>
      <c r="L12483" s="1" t="str">
        <f>"2014-11-14 17:46:11"</f>
        <v>2014-11-14 17:46:11</v>
      </c>
      <c r="M12483" s="1" t="s">
        <v>45</v>
      </c>
      <c r="N12483" s="1" t="s">
        <v>38</v>
      </c>
      <c r="O12483" s="1" t="s">
        <v>46</v>
      </c>
    </row>
    <row r="12484" spans="2:15" x14ac:dyDescent="0.3">
      <c r="B12484" s="1" t="s">
        <v>20</v>
      </c>
      <c r="C12484" s="1" t="str">
        <f>"4차"</f>
        <v>4차</v>
      </c>
      <c r="D12484" s="1" t="str">
        <f>"9725C98539"</f>
        <v>9725C98539</v>
      </c>
      <c r="E12484" s="1" t="s">
        <v>10</v>
      </c>
      <c r="F12484" s="1" t="str">
        <f>"10.10.35.66"</f>
        <v>10.10.35.66</v>
      </c>
      <c r="G12484" s="1" t="str">
        <f>"9725C985"</f>
        <v>9725C985</v>
      </c>
      <c r="H12484" s="1" t="str">
        <f>"양화간 15R5R9R1"</f>
        <v>양화간 15R5R9R1</v>
      </c>
      <c r="I12484" s="1" t="s">
        <v>8</v>
      </c>
      <c r="J12484" s="1" t="str">
        <f>"58/63"</f>
        <v>58/63</v>
      </c>
      <c r="K12484" s="1" t="str">
        <f>"2026-07-29 13:18:11"</f>
        <v>2026-07-29 13:18:11</v>
      </c>
      <c r="L12484" s="1" t="str">
        <f>"2018-02-26 10:35:54"</f>
        <v>2018-02-26 10:35:54</v>
      </c>
      <c r="M12484" s="1" t="s">
        <v>1</v>
      </c>
      <c r="N12484" s="1" t="s">
        <v>38</v>
      </c>
      <c r="O12484" s="1" t="s">
        <v>46</v>
      </c>
    </row>
    <row r="12485" spans="2:15" x14ac:dyDescent="0.3">
      <c r="B12485" s="1" t="s">
        <v>20</v>
      </c>
      <c r="C12485" s="1" t="str">
        <f>"3차"</f>
        <v>3차</v>
      </c>
      <c r="D12485" s="1" t="str">
        <f>"9725C98639"</f>
        <v>9725C98639</v>
      </c>
      <c r="E12485" s="1" t="s">
        <v>10</v>
      </c>
      <c r="F12485" s="1" t="str">
        <f>"10.10.35.50"</f>
        <v>10.10.35.50</v>
      </c>
      <c r="G12485" s="1" t="str">
        <f>"9725C986"</f>
        <v>9725C986</v>
      </c>
      <c r="H12485" s="1" t="str">
        <f>"양화간 15R5R10"</f>
        <v>양화간 15R5R10</v>
      </c>
      <c r="I12485" s="1" t="s">
        <v>8</v>
      </c>
      <c r="J12485" s="1" t="str">
        <f>"35/35"</f>
        <v>35/35</v>
      </c>
      <c r="K12485" s="1" t="str">
        <f>"2026-07-29 13:18:11"</f>
        <v>2026-07-29 13:18:11</v>
      </c>
      <c r="L12485" s="1" t="str">
        <f>"2018-02-09 15:26:42"</f>
        <v>2018-02-09 15:26:42</v>
      </c>
      <c r="M12485" s="1" t="s">
        <v>1</v>
      </c>
      <c r="N12485" s="1" t="s">
        <v>38</v>
      </c>
      <c r="O12485" s="1" t="s">
        <v>46</v>
      </c>
    </row>
    <row r="12486" spans="2:15" x14ac:dyDescent="0.3">
      <c r="B12486" s="1" t="s">
        <v>20</v>
      </c>
      <c r="C12486" s="1" t="str">
        <f>"4차"</f>
        <v>4차</v>
      </c>
      <c r="D12486" s="1" t="str">
        <f>"9725C99139"</f>
        <v>9725C99139</v>
      </c>
      <c r="E12486" s="1" t="s">
        <v>10</v>
      </c>
      <c r="F12486" s="1" t="str">
        <f>"10.12.133.160"</f>
        <v>10.12.133.160</v>
      </c>
      <c r="G12486" s="1" t="str">
        <f>"9725C991"</f>
        <v>9725C991</v>
      </c>
      <c r="H12486" s="1" t="str">
        <f>"서교로 10"</f>
        <v>서교로 10</v>
      </c>
      <c r="I12486" s="1" t="s">
        <v>17</v>
      </c>
      <c r="J12486" s="1" t="str">
        <f>"9/9"</f>
        <v>9/9</v>
      </c>
      <c r="K12486" s="1" t="str">
        <f>"2026-07-29 13:18:12"</f>
        <v>2026-07-29 13:18:12</v>
      </c>
      <c r="L12486" s="1" t="str">
        <f>"2018-06-19 11:16:35"</f>
        <v>2018-06-19 11:16:35</v>
      </c>
      <c r="M12486" s="1" t="s">
        <v>0</v>
      </c>
      <c r="N12486" s="1" t="s">
        <v>38</v>
      </c>
      <c r="O12486" s="1" t="s">
        <v>46</v>
      </c>
    </row>
    <row r="12487" spans="2:15" x14ac:dyDescent="0.3">
      <c r="B12487" s="1" t="s">
        <v>20</v>
      </c>
      <c r="C12487" s="1" t="str">
        <f>"3차"</f>
        <v>3차</v>
      </c>
      <c r="D12487" s="1" t="str">
        <f>"9725D00130"</f>
        <v>9725D00130</v>
      </c>
      <c r="E12487" s="1" t="s">
        <v>10</v>
      </c>
      <c r="F12487" s="1" t="str">
        <f>"10.10.37.58"</f>
        <v>10.10.37.58</v>
      </c>
      <c r="G12487" s="1" t="str">
        <f>"9725D001"</f>
        <v>9725D001</v>
      </c>
      <c r="H12487" s="1" t="str">
        <f>"양화간 25L4"</f>
        <v>양화간 25L4</v>
      </c>
      <c r="I12487" s="1" t="s">
        <v>8</v>
      </c>
      <c r="J12487" s="1" t="str">
        <f>"51/51"</f>
        <v>51/51</v>
      </c>
      <c r="K12487" s="1" t="str">
        <f>"2026-07-29 13:18:12"</f>
        <v>2026-07-29 13:18:12</v>
      </c>
      <c r="L12487" s="1" t="str">
        <f>"2018-02-21 15:57:41"</f>
        <v>2018-02-21 15:57:41</v>
      </c>
      <c r="M12487" s="1" t="s">
        <v>1</v>
      </c>
      <c r="N12487" s="1" t="s">
        <v>38</v>
      </c>
      <c r="O12487" s="1" t="s">
        <v>46</v>
      </c>
    </row>
    <row r="12488" spans="2:15" x14ac:dyDescent="0.3">
      <c r="B12488" s="1" t="s">
        <v>20</v>
      </c>
      <c r="C12488" s="1" t="str">
        <f>"5-1차"</f>
        <v>5-1차</v>
      </c>
      <c r="D12488" s="1" t="str">
        <f>"9725D0115S"</f>
        <v>9725D0115S</v>
      </c>
      <c r="E12488" s="1" t="s">
        <v>10</v>
      </c>
      <c r="F12488" s="1" t="str">
        <f>"fde2:104:0:9a:0:0:0:2"</f>
        <v>fde2:104:0:9a:0:0:0:2</v>
      </c>
      <c r="G12488" s="1" t="str">
        <f>"9725D011"</f>
        <v>9725D011</v>
      </c>
      <c r="H12488" s="1" t="str">
        <f>"양화간 25L1R2"</f>
        <v>양화간 25L1R2</v>
      </c>
      <c r="I12488" s="1" t="s">
        <v>15</v>
      </c>
      <c r="J12488" s="1" t="str">
        <f>"24/25"</f>
        <v>24/25</v>
      </c>
      <c r="K12488" s="1" t="str">
        <f>"2026-07-29 14:21:01"</f>
        <v>2026-07-29 14:21:01</v>
      </c>
      <c r="L12488" s="1" t="str">
        <f>"2022-09-28 10:59:14"</f>
        <v>2022-09-28 10:59:14</v>
      </c>
      <c r="M12488" s="1" t="s">
        <v>42</v>
      </c>
      <c r="N12488" s="1" t="s">
        <v>38</v>
      </c>
      <c r="O12488" s="1" t="s">
        <v>46</v>
      </c>
    </row>
    <row r="12489" spans="2:15" x14ac:dyDescent="0.3">
      <c r="B12489" s="1" t="s">
        <v>20</v>
      </c>
      <c r="C12489" s="1" t="str">
        <f>"3차"</f>
        <v>3차</v>
      </c>
      <c r="D12489" s="1" t="str">
        <f>"9725D02139"</f>
        <v>9725D02139</v>
      </c>
      <c r="E12489" s="1" t="s">
        <v>10</v>
      </c>
      <c r="F12489" s="1" t="str">
        <f>"10.10.35.186"</f>
        <v>10.10.35.186</v>
      </c>
      <c r="G12489" s="1" t="str">
        <f>"9725D021"</f>
        <v>9725D021</v>
      </c>
      <c r="H12489" s="1" t="str">
        <f>"양화간 15R13"</f>
        <v>양화간 15R13</v>
      </c>
      <c r="I12489" s="1" t="s">
        <v>8</v>
      </c>
      <c r="J12489" s="1" t="str">
        <f>"3/3"</f>
        <v>3/3</v>
      </c>
      <c r="K12489" s="1" t="str">
        <f>"2026-07-29 13:18:12"</f>
        <v>2026-07-29 13:18:12</v>
      </c>
      <c r="L12489" s="1" t="str">
        <f>"2018-01-19 19:55:44"</f>
        <v>2018-01-19 19:55:44</v>
      </c>
      <c r="M12489" s="1" t="s">
        <v>1</v>
      </c>
      <c r="N12489" s="1" t="s">
        <v>38</v>
      </c>
      <c r="O12489" s="1" t="s">
        <v>46</v>
      </c>
    </row>
    <row r="12490" spans="2:15" x14ac:dyDescent="0.3">
      <c r="B12490" s="1" t="s">
        <v>20</v>
      </c>
      <c r="C12490" s="1" t="str">
        <f>"4차"</f>
        <v>4차</v>
      </c>
      <c r="D12490" s="1" t="str">
        <f>"9725D03131"</f>
        <v>9725D03131</v>
      </c>
      <c r="E12490" s="1" t="s">
        <v>10</v>
      </c>
      <c r="F12490" s="1" t="str">
        <f>"10.10.36.91"</f>
        <v>10.10.36.91</v>
      </c>
      <c r="G12490" s="1" t="str">
        <f>"9725D031"</f>
        <v>9725D031</v>
      </c>
      <c r="H12490" s="1" t="str">
        <f>"양화간 15R16R9AR1"</f>
        <v>양화간 15R16R9AR1</v>
      </c>
      <c r="I12490" s="1" t="s">
        <v>8</v>
      </c>
      <c r="J12490" s="1" t="str">
        <f>"43/43"</f>
        <v>43/43</v>
      </c>
      <c r="K12490" s="1" t="str">
        <f>"2026-07-29 13:18:12"</f>
        <v>2026-07-29 13:18:12</v>
      </c>
      <c r="L12490" s="1" t="str">
        <f>"2018-02-22 11:07:59"</f>
        <v>2018-02-22 11:07:59</v>
      </c>
      <c r="M12490" s="1" t="s">
        <v>1</v>
      </c>
      <c r="N12490" s="1" t="s">
        <v>38</v>
      </c>
      <c r="O12490" s="1" t="s">
        <v>46</v>
      </c>
    </row>
    <row r="12491" spans="2:15" x14ac:dyDescent="0.3">
      <c r="B12491" s="1" t="s">
        <v>20</v>
      </c>
      <c r="C12491" s="1" t="str">
        <f>"3차"</f>
        <v>3차</v>
      </c>
      <c r="D12491" s="1" t="str">
        <f>"9725D03230"</f>
        <v>9725D03230</v>
      </c>
      <c r="E12491" s="1" t="s">
        <v>14</v>
      </c>
      <c r="F12491" s="1" t="str">
        <f>"10.10.35.202"</f>
        <v>10.10.35.202</v>
      </c>
      <c r="G12491" s="1" t="str">
        <f>"9725D032"</f>
        <v>9725D032</v>
      </c>
      <c r="H12491" s="1" t="str">
        <f>"양화간 15R16R10"</f>
        <v>양화간 15R16R10</v>
      </c>
      <c r="I12491" s="1" t="s">
        <v>8</v>
      </c>
      <c r="J12491" s="1" t="str">
        <f>"0/0"</f>
        <v>0/0</v>
      </c>
      <c r="K12491" s="1" t="str">
        <f>"2026-07-29 13:18:12"</f>
        <v>2026-07-29 13:18:12</v>
      </c>
      <c r="L12491" s="1" t="str">
        <f>"2018-01-19 20:00:59"</f>
        <v>2018-01-19 20:00:59</v>
      </c>
      <c r="M12491" s="1" t="s">
        <v>1</v>
      </c>
      <c r="N12491" s="1" t="s">
        <v>38</v>
      </c>
      <c r="O12491" s="1" t="s">
        <v>44</v>
      </c>
    </row>
    <row r="12492" spans="2:15" x14ac:dyDescent="0.3">
      <c r="B12492" s="1" t="s">
        <v>20</v>
      </c>
      <c r="C12492" s="1" t="str">
        <f>"4차"</f>
        <v>4차</v>
      </c>
      <c r="D12492" s="1" t="str">
        <f>"9725D04130"</f>
        <v>9725D04130</v>
      </c>
      <c r="E12492" s="1" t="s">
        <v>10</v>
      </c>
      <c r="F12492" s="1" t="str">
        <f>"10.10.36.90"</f>
        <v>10.10.36.90</v>
      </c>
      <c r="G12492" s="1" t="str">
        <f>"9725D041"</f>
        <v>9725D041</v>
      </c>
      <c r="H12492" s="1" t="str">
        <f>"양화간 15R16R9"</f>
        <v>양화간 15R16R9</v>
      </c>
      <c r="I12492" s="1" t="s">
        <v>8</v>
      </c>
      <c r="J12492" s="1" t="str">
        <f>"19/19"</f>
        <v>19/19</v>
      </c>
      <c r="K12492" s="1" t="str">
        <f>"2026-07-29 13:18:12"</f>
        <v>2026-07-29 13:18:12</v>
      </c>
      <c r="L12492" s="1" t="str">
        <f>"2018-02-06 17:00:29"</f>
        <v>2018-02-06 17:00:29</v>
      </c>
      <c r="M12492" s="1" t="s">
        <v>1</v>
      </c>
      <c r="N12492" s="1" t="s">
        <v>38</v>
      </c>
      <c r="O12492" s="1" t="s">
        <v>46</v>
      </c>
    </row>
    <row r="12493" spans="2:15" x14ac:dyDescent="0.3">
      <c r="B12493" s="1" t="s">
        <v>20</v>
      </c>
      <c r="C12493" s="1" t="str">
        <f>"4차"</f>
        <v>4차</v>
      </c>
      <c r="D12493" s="1" t="str">
        <f>"9725D05239"</f>
        <v>9725D05239</v>
      </c>
      <c r="E12493" s="1" t="s">
        <v>10</v>
      </c>
      <c r="F12493" s="1" t="str">
        <f>"10.10.36.82"</f>
        <v>10.10.36.82</v>
      </c>
      <c r="G12493" s="1" t="str">
        <f>"9725D052"</f>
        <v>9725D052</v>
      </c>
      <c r="H12493" s="1" t="str">
        <f>"양화간 15R16R8L4"</f>
        <v>양화간 15R16R8L4</v>
      </c>
      <c r="I12493" s="1" t="s">
        <v>8</v>
      </c>
      <c r="J12493" s="1" t="str">
        <f>"20/30"</f>
        <v>20/30</v>
      </c>
      <c r="K12493" s="1" t="str">
        <f>"2026-07-29 13:18:12"</f>
        <v>2026-07-29 13:18:12</v>
      </c>
      <c r="L12493" s="1" t="str">
        <f>"2018-05-15 15:27:27"</f>
        <v>2018-05-15 15:27:27</v>
      </c>
      <c r="M12493" s="1" t="s">
        <v>1</v>
      </c>
      <c r="N12493" s="1" t="s">
        <v>38</v>
      </c>
      <c r="O12493" s="1" t="s">
        <v>46</v>
      </c>
    </row>
    <row r="12494" spans="2:15" x14ac:dyDescent="0.3">
      <c r="B12494" s="1" t="s">
        <v>20</v>
      </c>
      <c r="C12494" s="1" t="str">
        <f>"6차"</f>
        <v>6차</v>
      </c>
      <c r="D12494" s="1" t="str">
        <f>"9725D0716M"</f>
        <v>9725D0716M</v>
      </c>
      <c r="E12494" s="1" t="s">
        <v>10</v>
      </c>
      <c r="F12494" s="1" t="str">
        <f>"fde1:103:4:c77d:0:0:0:2"</f>
        <v>fde1:103:4:c77d:0:0:0:2</v>
      </c>
      <c r="G12494" s="1" t="str">
        <f>"9725D071"</f>
        <v>9725D071</v>
      </c>
      <c r="H12494" s="1" t="str">
        <f>"양화간 15R5R7"</f>
        <v>양화간 15R5R7</v>
      </c>
      <c r="I12494" s="1" t="s">
        <v>15</v>
      </c>
      <c r="J12494" s="1" t="str">
        <f>"75/75"</f>
        <v>75/75</v>
      </c>
      <c r="K12494" s="1" t="str">
        <f>"2026-07-29 14:21:00"</f>
        <v>2026-07-29 14:21:00</v>
      </c>
      <c r="L12494" s="1" t="str">
        <f>"2024-11-25 10:39:54"</f>
        <v>2024-11-25 10:39:54</v>
      </c>
      <c r="M12494" s="1" t="s">
        <v>4</v>
      </c>
      <c r="N12494" s="1" t="s">
        <v>38</v>
      </c>
      <c r="O12494" s="1" t="s">
        <v>46</v>
      </c>
    </row>
    <row r="12495" spans="2:15" x14ac:dyDescent="0.3">
      <c r="B12495" s="1" t="s">
        <v>20</v>
      </c>
      <c r="C12495" s="1" t="str">
        <f>"6차"</f>
        <v>6차</v>
      </c>
      <c r="D12495" s="1" t="str">
        <f>"9725D0736M"</f>
        <v>9725D0736M</v>
      </c>
      <c r="E12495" s="1" t="s">
        <v>10</v>
      </c>
      <c r="F12495" s="1" t="str">
        <f>"fde1:103:4:c76e:0:0:0:2"</f>
        <v>fde1:103:4:c76e:0:0:0:2</v>
      </c>
      <c r="G12495" s="1" t="str">
        <f>"9725D073"</f>
        <v>9725D073</v>
      </c>
      <c r="H12495" s="1" t="str">
        <f>"양화간 15R5R6"</f>
        <v>양화간 15R5R6</v>
      </c>
      <c r="I12495" s="1" t="s">
        <v>15</v>
      </c>
      <c r="J12495" s="1" t="str">
        <f>"41/42"</f>
        <v>41/42</v>
      </c>
      <c r="K12495" s="1" t="str">
        <f>"2026-07-29 14:20:40"</f>
        <v>2026-07-29 14:20:40</v>
      </c>
      <c r="L12495" s="1" t="str">
        <f>"2024-11-25 10:40:38"</f>
        <v>2024-11-25 10:40:38</v>
      </c>
      <c r="M12495" s="1" t="s">
        <v>4</v>
      </c>
      <c r="N12495" s="1" t="s">
        <v>38</v>
      </c>
      <c r="O12495" s="1" t="s">
        <v>46</v>
      </c>
    </row>
    <row r="12496" spans="2:15" x14ac:dyDescent="0.3">
      <c r="B12496" s="1" t="s">
        <v>20</v>
      </c>
      <c r="C12496" s="1" t="str">
        <f>"4차"</f>
        <v>4차</v>
      </c>
      <c r="D12496" s="1" t="str">
        <f>"9725D08139"</f>
        <v>9725D08139</v>
      </c>
      <c r="E12496" s="1" t="s">
        <v>10</v>
      </c>
      <c r="F12496" s="1" t="str">
        <f>"10.10.36.186"</f>
        <v>10.10.36.186</v>
      </c>
      <c r="G12496" s="1" t="str">
        <f>"9725D081"</f>
        <v>9725D081</v>
      </c>
      <c r="H12496" s="1" t="str">
        <f>"양화간 15R5R7R1"</f>
        <v>양화간 15R5R7R1</v>
      </c>
      <c r="I12496" s="1" t="s">
        <v>8</v>
      </c>
      <c r="J12496" s="1" t="str">
        <f>"23/23"</f>
        <v>23/23</v>
      </c>
      <c r="K12496" s="1" t="str">
        <f>"2026-07-29 13:18:12"</f>
        <v>2026-07-29 13:18:12</v>
      </c>
      <c r="L12496" s="1" t="str">
        <f>"2018-04-03 13:27:11"</f>
        <v>2018-04-03 13:27:11</v>
      </c>
      <c r="M12496" s="1" t="s">
        <v>1</v>
      </c>
      <c r="N12496" s="1" t="s">
        <v>38</v>
      </c>
      <c r="O12496" s="1" t="s">
        <v>46</v>
      </c>
    </row>
    <row r="12497" spans="2:15" x14ac:dyDescent="0.3">
      <c r="B12497" s="1" t="s">
        <v>20</v>
      </c>
      <c r="C12497" s="1" t="str">
        <f>"3차"</f>
        <v>3차</v>
      </c>
      <c r="D12497" s="1" t="str">
        <f>"9725D11139"</f>
        <v>9725D11139</v>
      </c>
      <c r="E12497" s="1" t="s">
        <v>10</v>
      </c>
      <c r="F12497" s="1" t="str">
        <f>"10.10.37.50"</f>
        <v>10.10.37.50</v>
      </c>
      <c r="G12497" s="1" t="str">
        <f>"9725D111"</f>
        <v>9725D111</v>
      </c>
      <c r="H12497" s="1" t="str">
        <f>"양화간 25L3"</f>
        <v>양화간 25L3</v>
      </c>
      <c r="I12497" s="1" t="s">
        <v>8</v>
      </c>
      <c r="J12497" s="1" t="str">
        <f>"100/100"</f>
        <v>100/100</v>
      </c>
      <c r="K12497" s="1" t="str">
        <f>"2026-07-29 13:18:12"</f>
        <v>2026-07-29 13:18:12</v>
      </c>
      <c r="L12497" s="1" t="str">
        <f>"2018-02-21 15:57:26"</f>
        <v>2018-02-21 15:57:26</v>
      </c>
      <c r="M12497" s="1" t="s">
        <v>1</v>
      </c>
      <c r="N12497" s="1" t="s">
        <v>38</v>
      </c>
      <c r="O12497" s="1" t="s">
        <v>46</v>
      </c>
    </row>
    <row r="12498" spans="2:15" x14ac:dyDescent="0.3">
      <c r="B12498" s="1" t="s">
        <v>20</v>
      </c>
      <c r="C12498" s="1" t="str">
        <f>"1차"</f>
        <v>1차</v>
      </c>
      <c r="D12498" s="1" t="str">
        <f>"9725D11301"</f>
        <v>9725D11301</v>
      </c>
      <c r="E12498" s="1" t="s">
        <v>10</v>
      </c>
      <c r="F12498" s="1" t="str">
        <f>"10.125.128.118"</f>
        <v>10.125.128.118</v>
      </c>
      <c r="G12498" s="1" t="str">
        <f>"9725D113"</f>
        <v>9725D113</v>
      </c>
      <c r="H12498" s="1" t="str">
        <f>"양화간 25L1R2H1"</f>
        <v>양화간 25L1R2H1</v>
      </c>
      <c r="I12498" s="1" t="s">
        <v>8</v>
      </c>
      <c r="J12498" s="1" t="str">
        <f>"10/10"</f>
        <v>10/10</v>
      </c>
      <c r="K12498" s="1" t="str">
        <f>"2026-07-29 13:18:11"</f>
        <v>2026-07-29 13:18:11</v>
      </c>
      <c r="L12498" s="1" t="str">
        <f>"2015-01-12 17:05:59"</f>
        <v>2015-01-12 17:05:59</v>
      </c>
      <c r="M12498" s="1" t="s">
        <v>45</v>
      </c>
      <c r="N12498" s="1" t="s">
        <v>38</v>
      </c>
      <c r="O12498" s="1" t="s">
        <v>46</v>
      </c>
    </row>
    <row r="12499" spans="2:15" x14ac:dyDescent="0.3">
      <c r="B12499" s="1" t="s">
        <v>20</v>
      </c>
      <c r="C12499" s="1" t="str">
        <f>"1차"</f>
        <v>1차</v>
      </c>
      <c r="D12499" s="1" t="str">
        <f>"9725D12100"</f>
        <v>9725D12100</v>
      </c>
      <c r="E12499" s="1" t="s">
        <v>10</v>
      </c>
      <c r="F12499" s="1" t="str">
        <f>"10.125.128.115"</f>
        <v>10.125.128.115</v>
      </c>
      <c r="G12499" s="1" t="str">
        <f>"9725D121"</f>
        <v>9725D121</v>
      </c>
      <c r="H12499" s="1" t="str">
        <f>"양화간 26"</f>
        <v>양화간 26</v>
      </c>
      <c r="I12499" s="1" t="s">
        <v>8</v>
      </c>
      <c r="J12499" s="1" t="str">
        <f>"7/7"</f>
        <v>7/7</v>
      </c>
      <c r="K12499" s="1" t="str">
        <f>"2026-07-29 13:18:11"</f>
        <v>2026-07-29 13:18:11</v>
      </c>
      <c r="L12499" s="1" t="str">
        <f>"2014-12-02 15:42:19"</f>
        <v>2014-12-02 15:42:19</v>
      </c>
      <c r="M12499" s="1" t="s">
        <v>45</v>
      </c>
      <c r="N12499" s="1" t="s">
        <v>38</v>
      </c>
      <c r="O12499" s="1" t="s">
        <v>46</v>
      </c>
    </row>
    <row r="12500" spans="2:15" x14ac:dyDescent="0.3">
      <c r="B12500" s="1" t="s">
        <v>20</v>
      </c>
      <c r="C12500" s="1" t="str">
        <f>"3차"</f>
        <v>3차</v>
      </c>
      <c r="D12500" s="1" t="str">
        <f>"9725D13131"</f>
        <v>9725D13131</v>
      </c>
      <c r="E12500" s="1" t="s">
        <v>10</v>
      </c>
      <c r="F12500" s="1" t="str">
        <f>"10.10.35.179"</f>
        <v>10.10.35.179</v>
      </c>
      <c r="G12500" s="1" t="str">
        <f>"9725D131"</f>
        <v>9725D131</v>
      </c>
      <c r="H12500" s="1" t="str">
        <f>"양화간 15R12"</f>
        <v>양화간 15R12</v>
      </c>
      <c r="I12500" s="1" t="s">
        <v>8</v>
      </c>
      <c r="J12500" s="1" t="str">
        <f>"3/3"</f>
        <v>3/3</v>
      </c>
      <c r="K12500" s="1" t="str">
        <f>"2026-07-29 13:18:11"</f>
        <v>2026-07-29 13:18:11</v>
      </c>
      <c r="L12500" s="1" t="str">
        <f>"2018-02-22 10:42:13"</f>
        <v>2018-02-22 10:42:13</v>
      </c>
      <c r="M12500" s="1" t="s">
        <v>1</v>
      </c>
      <c r="N12500" s="1" t="s">
        <v>38</v>
      </c>
      <c r="O12500" s="1" t="s">
        <v>46</v>
      </c>
    </row>
    <row r="12501" spans="2:15" x14ac:dyDescent="0.3">
      <c r="B12501" s="1" t="s">
        <v>20</v>
      </c>
      <c r="C12501" s="1" t="str">
        <f>"3차"</f>
        <v>3차</v>
      </c>
      <c r="D12501" s="1" t="str">
        <f>"9725D14131"</f>
        <v>9725D14131</v>
      </c>
      <c r="E12501" s="1" t="s">
        <v>10</v>
      </c>
      <c r="F12501" s="1" t="str">
        <f>"10.10.35.203"</f>
        <v>10.10.35.203</v>
      </c>
      <c r="G12501" s="1" t="str">
        <f>"9725D141"</f>
        <v>9725D141</v>
      </c>
      <c r="H12501" s="1" t="str">
        <f>"양화간 15R16R10L2"</f>
        <v>양화간 15R16R10L2</v>
      </c>
      <c r="I12501" s="1" t="s">
        <v>8</v>
      </c>
      <c r="J12501" s="1" t="str">
        <f>"56/57"</f>
        <v>56/57</v>
      </c>
      <c r="K12501" s="1" t="str">
        <f>"2026-07-29 13:18:12"</f>
        <v>2026-07-29 13:18:12</v>
      </c>
      <c r="L12501" s="1" t="str">
        <f>"2018-02-22 11:40:44"</f>
        <v>2018-02-22 11:40:44</v>
      </c>
      <c r="M12501" s="1" t="s">
        <v>1</v>
      </c>
      <c r="N12501" s="1" t="s">
        <v>38</v>
      </c>
      <c r="O12501" s="1" t="s">
        <v>46</v>
      </c>
    </row>
    <row r="12502" spans="2:15" x14ac:dyDescent="0.3">
      <c r="B12502" s="1" t="s">
        <v>20</v>
      </c>
      <c r="C12502" s="1" t="str">
        <f>"4차"</f>
        <v>4차</v>
      </c>
      <c r="D12502" s="1" t="str">
        <f>"9725D14239"</f>
        <v>9725D14239</v>
      </c>
      <c r="E12502" s="1" t="s">
        <v>10</v>
      </c>
      <c r="F12502" s="1" t="str">
        <f>"10.10.35.226"</f>
        <v>10.10.35.226</v>
      </c>
      <c r="G12502" s="1" t="str">
        <f>"9725D142"</f>
        <v>9725D142</v>
      </c>
      <c r="H12502" s="1" t="str">
        <f>"양화간 15R16R11"</f>
        <v>양화간 15R16R11</v>
      </c>
      <c r="I12502" s="1" t="s">
        <v>8</v>
      </c>
      <c r="J12502" s="1" t="str">
        <f>"63/64"</f>
        <v>63/64</v>
      </c>
      <c r="K12502" s="1" t="str">
        <f>"2026-07-29 13:18:12"</f>
        <v>2026-07-29 13:18:12</v>
      </c>
      <c r="L12502" s="1" t="str">
        <f>"2018-03-09 16:58:12"</f>
        <v>2018-03-09 16:58:12</v>
      </c>
      <c r="M12502" s="1" t="s">
        <v>1</v>
      </c>
      <c r="N12502" s="1" t="s">
        <v>38</v>
      </c>
      <c r="O12502" s="1" t="s">
        <v>46</v>
      </c>
    </row>
    <row r="12503" spans="2:15" x14ac:dyDescent="0.3">
      <c r="B12503" s="1" t="s">
        <v>20</v>
      </c>
      <c r="C12503" s="1" t="str">
        <f>"3차"</f>
        <v>3차</v>
      </c>
      <c r="D12503" s="1" t="str">
        <f>"9725D15139"</f>
        <v>9725D15139</v>
      </c>
      <c r="E12503" s="1" t="s">
        <v>10</v>
      </c>
      <c r="F12503" s="1" t="str">
        <f>"10.10.35.218"</f>
        <v>10.10.35.218</v>
      </c>
      <c r="G12503" s="1" t="str">
        <f>"9725D151"</f>
        <v>9725D151</v>
      </c>
      <c r="H12503" s="1" t="str">
        <f>"양화간 15R16R10L4"</f>
        <v>양화간 15R16R10L4</v>
      </c>
      <c r="I12503" s="1" t="s">
        <v>8</v>
      </c>
      <c r="J12503" s="1" t="str">
        <f>"20/20"</f>
        <v>20/20</v>
      </c>
      <c r="K12503" s="1" t="str">
        <f>"2026-07-29 13:18:12"</f>
        <v>2026-07-29 13:18:12</v>
      </c>
      <c r="L12503" s="1" t="str">
        <f>"2018-01-19 11:13:54"</f>
        <v>2018-01-19 11:13:54</v>
      </c>
      <c r="M12503" s="1" t="s">
        <v>1</v>
      </c>
      <c r="N12503" s="1" t="s">
        <v>38</v>
      </c>
      <c r="O12503" s="1" t="s">
        <v>46</v>
      </c>
    </row>
    <row r="12504" spans="2:15" x14ac:dyDescent="0.3">
      <c r="B12504" s="1" t="s">
        <v>20</v>
      </c>
      <c r="C12504" s="1" t="str">
        <f>"4차"</f>
        <v>4차</v>
      </c>
      <c r="D12504" s="1" t="str">
        <f>"9725D15239"</f>
        <v>9725D15239</v>
      </c>
      <c r="E12504" s="1" t="s">
        <v>10</v>
      </c>
      <c r="F12504" s="1" t="str">
        <f>"10.10.35.210"</f>
        <v>10.10.35.210</v>
      </c>
      <c r="G12504" s="1" t="str">
        <f>"9725D152"</f>
        <v>9725D152</v>
      </c>
      <c r="H12504" s="1" t="str">
        <f>"양화간 15R16R10L3"</f>
        <v>양화간 15R16R10L3</v>
      </c>
      <c r="I12504" s="1" t="s">
        <v>8</v>
      </c>
      <c r="J12504" s="1" t="str">
        <f>"27/27"</f>
        <v>27/27</v>
      </c>
      <c r="K12504" s="1" t="str">
        <f>"2026-07-29 13:18:12"</f>
        <v>2026-07-29 13:18:12</v>
      </c>
      <c r="L12504" s="1" t="str">
        <f>"2018-01-19 11:11:54"</f>
        <v>2018-01-19 11:11:54</v>
      </c>
      <c r="M12504" s="1" t="s">
        <v>1</v>
      </c>
      <c r="N12504" s="1" t="s">
        <v>38</v>
      </c>
      <c r="O12504" s="1" t="s">
        <v>46</v>
      </c>
    </row>
    <row r="12505" spans="2:15" x14ac:dyDescent="0.3">
      <c r="B12505" s="1" t="s">
        <v>20</v>
      </c>
      <c r="C12505" s="1" t="str">
        <f>"3차"</f>
        <v>3차</v>
      </c>
      <c r="D12505" s="1" t="str">
        <f>"9725D16239"</f>
        <v>9725D16239</v>
      </c>
      <c r="E12505" s="1" t="s">
        <v>10</v>
      </c>
      <c r="F12505" s="1" t="str">
        <f>"10.10.35.58"</f>
        <v>10.10.35.58</v>
      </c>
      <c r="G12505" s="1" t="str">
        <f>"9725D162"</f>
        <v>9725D162</v>
      </c>
      <c r="H12505" s="1" t="str">
        <f>"양화간 15R5R4"</f>
        <v>양화간 15R5R4</v>
      </c>
      <c r="I12505" s="1" t="s">
        <v>8</v>
      </c>
      <c r="J12505" s="1" t="str">
        <f>"23/23"</f>
        <v>23/23</v>
      </c>
      <c r="K12505" s="1" t="str">
        <f t="shared" ref="K12505:K12534" si="633">"2026-07-29 13:18:11"</f>
        <v>2026-07-29 13:18:11</v>
      </c>
      <c r="L12505" s="1" t="str">
        <f>"2021-04-28 15:34:46"</f>
        <v>2021-04-28 15:34:46</v>
      </c>
      <c r="M12505" s="1" t="s">
        <v>1</v>
      </c>
      <c r="N12505" s="1" t="s">
        <v>38</v>
      </c>
      <c r="O12505" s="1" t="s">
        <v>46</v>
      </c>
    </row>
    <row r="12506" spans="2:15" x14ac:dyDescent="0.3">
      <c r="B12506" s="1" t="s">
        <v>20</v>
      </c>
      <c r="C12506" s="1" t="str">
        <f>"3차"</f>
        <v>3차</v>
      </c>
      <c r="D12506" s="1" t="str">
        <f>"9725D18139"</f>
        <v>9725D18139</v>
      </c>
      <c r="E12506" s="1" t="s">
        <v>10</v>
      </c>
      <c r="F12506" s="1" t="str">
        <f>"10.10.36.194"</f>
        <v>10.10.36.194</v>
      </c>
      <c r="G12506" s="1" t="str">
        <f>"9725D181"</f>
        <v>9725D181</v>
      </c>
      <c r="H12506" s="1" t="str">
        <f>"양화간 15R5R7R2"</f>
        <v>양화간 15R5R7R2</v>
      </c>
      <c r="I12506" s="1" t="s">
        <v>8</v>
      </c>
      <c r="J12506" s="1" t="str">
        <f>"25/25"</f>
        <v>25/25</v>
      </c>
      <c r="K12506" s="1" t="str">
        <f t="shared" si="633"/>
        <v>2026-07-29 13:18:11</v>
      </c>
      <c r="L12506" s="1" t="str">
        <f>"2018-02-07 14:57:10"</f>
        <v>2018-02-07 14:57:10</v>
      </c>
      <c r="M12506" s="1" t="s">
        <v>1</v>
      </c>
      <c r="N12506" s="1" t="s">
        <v>38</v>
      </c>
      <c r="O12506" s="1" t="s">
        <v>46</v>
      </c>
    </row>
    <row r="12507" spans="2:15" x14ac:dyDescent="0.3">
      <c r="B12507" s="1" t="s">
        <v>20</v>
      </c>
      <c r="C12507" s="1" t="str">
        <f>"4차"</f>
        <v>4차</v>
      </c>
      <c r="D12507" s="1" t="str">
        <f>"9725D21139"</f>
        <v>9725D21139</v>
      </c>
      <c r="E12507" s="1" t="s">
        <v>10</v>
      </c>
      <c r="F12507" s="1" t="str">
        <f>"10.10.37.42"</f>
        <v>10.10.37.42</v>
      </c>
      <c r="G12507" s="1" t="str">
        <f>"9725D211"</f>
        <v>9725D211</v>
      </c>
      <c r="H12507" s="1" t="str">
        <f>"양화간 25L2"</f>
        <v>양화간 25L2</v>
      </c>
      <c r="I12507" s="1" t="s">
        <v>8</v>
      </c>
      <c r="J12507" s="1" t="str">
        <f>"76/76"</f>
        <v>76/76</v>
      </c>
      <c r="K12507" s="1" t="str">
        <f t="shared" si="633"/>
        <v>2026-07-29 13:18:11</v>
      </c>
      <c r="L12507" s="1" t="str">
        <f>"2018-02-21 15:53:55"</f>
        <v>2018-02-21 15:53:55</v>
      </c>
      <c r="M12507" s="1" t="s">
        <v>1</v>
      </c>
      <c r="N12507" s="1" t="s">
        <v>38</v>
      </c>
      <c r="O12507" s="1" t="s">
        <v>46</v>
      </c>
    </row>
    <row r="12508" spans="2:15" x14ac:dyDescent="0.3">
      <c r="B12508" s="1" t="s">
        <v>20</v>
      </c>
      <c r="C12508" s="1" t="str">
        <f>"1차"</f>
        <v>1차</v>
      </c>
      <c r="D12508" s="1" t="str">
        <f>"9725D22100"</f>
        <v>9725D22100</v>
      </c>
      <c r="E12508" s="1" t="s">
        <v>10</v>
      </c>
      <c r="F12508" s="1" t="str">
        <f>"10.125.128.117"</f>
        <v>10.125.128.117</v>
      </c>
      <c r="G12508" s="1" t="str">
        <f>"9725D221"</f>
        <v>9725D221</v>
      </c>
      <c r="H12508" s="1" t="str">
        <f>"양화간 25L1"</f>
        <v>양화간 25L1</v>
      </c>
      <c r="I12508" s="1" t="s">
        <v>8</v>
      </c>
      <c r="J12508" s="1" t="str">
        <f>"41/43"</f>
        <v>41/43</v>
      </c>
      <c r="K12508" s="1" t="str">
        <f t="shared" si="633"/>
        <v>2026-07-29 13:18:11</v>
      </c>
      <c r="L12508" s="1" t="str">
        <f>"2014-11-04 00:13:52"</f>
        <v>2014-11-04 00:13:52</v>
      </c>
      <c r="M12508" s="1" t="s">
        <v>45</v>
      </c>
      <c r="N12508" s="1" t="s">
        <v>38</v>
      </c>
      <c r="O12508" s="1" t="s">
        <v>46</v>
      </c>
    </row>
    <row r="12509" spans="2:15" x14ac:dyDescent="0.3">
      <c r="B12509" s="1" t="s">
        <v>20</v>
      </c>
      <c r="C12509" s="1" t="str">
        <f>"3차"</f>
        <v>3차</v>
      </c>
      <c r="D12509" s="1" t="str">
        <f>"9725D23139"</f>
        <v>9725D23139</v>
      </c>
      <c r="E12509" s="1" t="s">
        <v>10</v>
      </c>
      <c r="F12509" s="1" t="str">
        <f>"10.10.35.82"</f>
        <v>10.10.35.82</v>
      </c>
      <c r="G12509" s="1" t="str">
        <f>"9725D231"</f>
        <v>9725D231</v>
      </c>
      <c r="H12509" s="1" t="str">
        <f>"양화간 15R9"</f>
        <v>양화간 15R9</v>
      </c>
      <c r="I12509" s="1" t="s">
        <v>8</v>
      </c>
      <c r="J12509" s="1" t="str">
        <f>"2/2"</f>
        <v>2/2</v>
      </c>
      <c r="K12509" s="1" t="str">
        <f t="shared" si="633"/>
        <v>2026-07-29 13:18:11</v>
      </c>
      <c r="L12509" s="1" t="str">
        <f>"2018-02-09 15:30:56"</f>
        <v>2018-02-09 15:30:56</v>
      </c>
      <c r="M12509" s="1" t="s">
        <v>1</v>
      </c>
      <c r="N12509" s="1" t="s">
        <v>38</v>
      </c>
      <c r="O12509" s="1" t="s">
        <v>46</v>
      </c>
    </row>
    <row r="12510" spans="2:15" x14ac:dyDescent="0.3">
      <c r="B12510" s="1" t="s">
        <v>20</v>
      </c>
      <c r="C12510" s="1" t="str">
        <f>"3차"</f>
        <v>3차</v>
      </c>
      <c r="D12510" s="1" t="str">
        <f>"9725D23330"</f>
        <v>9725D23330</v>
      </c>
      <c r="E12510" s="1" t="s">
        <v>10</v>
      </c>
      <c r="F12510" s="1" t="str">
        <f>"10.10.35.178"</f>
        <v>10.10.35.178</v>
      </c>
      <c r="G12510" s="1" t="str">
        <f>"9725D233"</f>
        <v>9725D233</v>
      </c>
      <c r="H12510" s="1" t="str">
        <f>"양화간 15R11"</f>
        <v>양화간 15R11</v>
      </c>
      <c r="I12510" s="1" t="s">
        <v>8</v>
      </c>
      <c r="J12510" s="1" t="str">
        <f>"9/9"</f>
        <v>9/9</v>
      </c>
      <c r="K12510" s="1" t="str">
        <f t="shared" si="633"/>
        <v>2026-07-29 13:18:11</v>
      </c>
      <c r="L12510" s="1" t="str">
        <f>"2018-01-19 19:52:28"</f>
        <v>2018-01-19 19:52:28</v>
      </c>
      <c r="M12510" s="1" t="s">
        <v>1</v>
      </c>
      <c r="N12510" s="1" t="s">
        <v>38</v>
      </c>
      <c r="O12510" s="1" t="s">
        <v>46</v>
      </c>
    </row>
    <row r="12511" spans="2:15" x14ac:dyDescent="0.3">
      <c r="B12511" s="1" t="s">
        <v>20</v>
      </c>
      <c r="C12511" s="1" t="str">
        <f>"3차"</f>
        <v>3차</v>
      </c>
      <c r="D12511" s="1" t="str">
        <f>"9725D25139"</f>
        <v>9725D25139</v>
      </c>
      <c r="E12511" s="1" t="s">
        <v>10</v>
      </c>
      <c r="F12511" s="1" t="str">
        <f>"10.10.38.162"</f>
        <v>10.10.38.162</v>
      </c>
      <c r="G12511" s="1" t="str">
        <f>"9725D251"</f>
        <v>9725D251</v>
      </c>
      <c r="H12511" s="1" t="str">
        <f>"양화간 15R5R2H1"</f>
        <v>양화간 15R5R2H1</v>
      </c>
      <c r="I12511" s="1" t="s">
        <v>8</v>
      </c>
      <c r="J12511" s="1" t="str">
        <f>"17/17"</f>
        <v>17/17</v>
      </c>
      <c r="K12511" s="1" t="str">
        <f t="shared" si="633"/>
        <v>2026-07-29 13:18:11</v>
      </c>
      <c r="L12511" s="1" t="str">
        <f>"2018-02-07 14:57:10"</f>
        <v>2018-02-07 14:57:10</v>
      </c>
      <c r="M12511" s="1" t="s">
        <v>1</v>
      </c>
      <c r="N12511" s="1" t="s">
        <v>38</v>
      </c>
      <c r="O12511" s="1" t="s">
        <v>46</v>
      </c>
    </row>
    <row r="12512" spans="2:15" x14ac:dyDescent="0.3">
      <c r="B12512" s="1" t="s">
        <v>20</v>
      </c>
      <c r="C12512" s="1" t="str">
        <f>"3차"</f>
        <v>3차</v>
      </c>
      <c r="D12512" s="1" t="str">
        <f>"9725D25239"</f>
        <v>9725D25239</v>
      </c>
      <c r="E12512" s="1" t="s">
        <v>10</v>
      </c>
      <c r="F12512" s="1" t="str">
        <f>"10.10.35.234"</f>
        <v>10.10.35.234</v>
      </c>
      <c r="G12512" s="1" t="str">
        <f>"9725D252"</f>
        <v>9725D252</v>
      </c>
      <c r="H12512" s="1" t="str">
        <f>"양화간 15R16R13"</f>
        <v>양화간 15R16R13</v>
      </c>
      <c r="I12512" s="1" t="s">
        <v>8</v>
      </c>
      <c r="J12512" s="1" t="str">
        <f>"41/42"</f>
        <v>41/42</v>
      </c>
      <c r="K12512" s="1" t="str">
        <f t="shared" si="633"/>
        <v>2026-07-29 13:18:11</v>
      </c>
      <c r="L12512" s="1" t="str">
        <f>"2018-05-11 19:28:31"</f>
        <v>2018-05-11 19:28:31</v>
      </c>
      <c r="M12512" s="1" t="s">
        <v>1</v>
      </c>
      <c r="N12512" s="1" t="s">
        <v>38</v>
      </c>
      <c r="O12512" s="1" t="s">
        <v>46</v>
      </c>
    </row>
    <row r="12513" spans="2:15" x14ac:dyDescent="0.3">
      <c r="B12513" s="1" t="s">
        <v>20</v>
      </c>
      <c r="C12513" s="1" t="str">
        <f>"4차"</f>
        <v>4차</v>
      </c>
      <c r="D12513" s="1" t="str">
        <f>"9725D26439"</f>
        <v>9725D26439</v>
      </c>
      <c r="E12513" s="1" t="s">
        <v>10</v>
      </c>
      <c r="F12513" s="1" t="str">
        <f>"10.10.36.170"</f>
        <v>10.10.36.170</v>
      </c>
      <c r="G12513" s="1" t="str">
        <f>"9725D264"</f>
        <v>9725D264</v>
      </c>
      <c r="H12513" s="1" t="str">
        <f>"양화간 15R5R1R3"</f>
        <v>양화간 15R5R1R3</v>
      </c>
      <c r="I12513" s="1" t="s">
        <v>8</v>
      </c>
      <c r="J12513" s="1" t="str">
        <f>"28/28"</f>
        <v>28/28</v>
      </c>
      <c r="K12513" s="1" t="str">
        <f t="shared" si="633"/>
        <v>2026-07-29 13:18:11</v>
      </c>
      <c r="L12513" s="1" t="str">
        <f>"2018-05-15 15:11:11"</f>
        <v>2018-05-15 15:11:11</v>
      </c>
      <c r="M12513" s="1" t="s">
        <v>1</v>
      </c>
      <c r="N12513" s="1" t="s">
        <v>38</v>
      </c>
      <c r="O12513" s="1" t="s">
        <v>46</v>
      </c>
    </row>
    <row r="12514" spans="2:15" x14ac:dyDescent="0.3">
      <c r="B12514" s="1" t="s">
        <v>20</v>
      </c>
      <c r="C12514" s="1" t="str">
        <f>"4차"</f>
        <v>4차</v>
      </c>
      <c r="D12514" s="1" t="str">
        <f>"9725D28239"</f>
        <v>9725D28239</v>
      </c>
      <c r="E12514" s="1" t="s">
        <v>10</v>
      </c>
      <c r="F12514" s="1" t="str">
        <f>"10.10.36.202"</f>
        <v>10.10.36.202</v>
      </c>
      <c r="G12514" s="1" t="str">
        <f>"9725D282"</f>
        <v>9725D282</v>
      </c>
      <c r="H12514" s="1" t="str">
        <f>"양화간 15R5R7R4"</f>
        <v>양화간 15R5R7R4</v>
      </c>
      <c r="I12514" s="1" t="s">
        <v>8</v>
      </c>
      <c r="J12514" s="1" t="str">
        <f>"85/85"</f>
        <v>85/85</v>
      </c>
      <c r="K12514" s="1" t="str">
        <f t="shared" si="633"/>
        <v>2026-07-29 13:18:11</v>
      </c>
      <c r="L12514" s="1" t="str">
        <f>"2018-04-03 13:27:56"</f>
        <v>2018-04-03 13:27:56</v>
      </c>
      <c r="M12514" s="1" t="s">
        <v>1</v>
      </c>
      <c r="N12514" s="1" t="s">
        <v>38</v>
      </c>
      <c r="O12514" s="1" t="s">
        <v>46</v>
      </c>
    </row>
    <row r="12515" spans="2:15" x14ac:dyDescent="0.3">
      <c r="B12515" s="1" t="s">
        <v>20</v>
      </c>
      <c r="C12515" s="1" t="str">
        <f>"4차"</f>
        <v>4차</v>
      </c>
      <c r="D12515" s="1" t="str">
        <f>"9725D34139"</f>
        <v>9725D34139</v>
      </c>
      <c r="E12515" s="1" t="s">
        <v>10</v>
      </c>
      <c r="F12515" s="1" t="str">
        <f>"10.10.35.74"</f>
        <v>10.10.35.74</v>
      </c>
      <c r="G12515" s="1" t="str">
        <f>"9725D341"</f>
        <v>9725D341</v>
      </c>
      <c r="H12515" s="1" t="str">
        <f>"양화간 15R6"</f>
        <v>양화간 15R6</v>
      </c>
      <c r="I12515" s="1" t="s">
        <v>8</v>
      </c>
      <c r="J12515" s="1" t="str">
        <f>"6/6"</f>
        <v>6/6</v>
      </c>
      <c r="K12515" s="1" t="str">
        <f t="shared" si="633"/>
        <v>2026-07-29 13:18:11</v>
      </c>
      <c r="L12515" s="1" t="str">
        <f>"2018-02-09 15:22:11"</f>
        <v>2018-02-09 15:22:11</v>
      </c>
      <c r="M12515" s="1" t="s">
        <v>1</v>
      </c>
      <c r="N12515" s="1" t="s">
        <v>38</v>
      </c>
      <c r="O12515" s="1" t="s">
        <v>46</v>
      </c>
    </row>
    <row r="12516" spans="2:15" x14ac:dyDescent="0.3">
      <c r="B12516" s="1" t="s">
        <v>20</v>
      </c>
      <c r="C12516" s="1" t="str">
        <f>"3차"</f>
        <v>3차</v>
      </c>
      <c r="D12516" s="1" t="str">
        <f>"9725D35339"</f>
        <v>9725D35339</v>
      </c>
      <c r="E12516" s="1" t="s">
        <v>10</v>
      </c>
      <c r="F12516" s="1" t="str">
        <f>"10.10.36.162"</f>
        <v>10.10.36.162</v>
      </c>
      <c r="G12516" s="1" t="str">
        <f>"9725D353"</f>
        <v>9725D353</v>
      </c>
      <c r="H12516" s="1" t="str">
        <f>"양화간 15R5R1"</f>
        <v>양화간 15R5R1</v>
      </c>
      <c r="I12516" s="1" t="s">
        <v>8</v>
      </c>
      <c r="J12516" s="1" t="str">
        <f>"29/32"</f>
        <v>29/32</v>
      </c>
      <c r="K12516" s="1" t="str">
        <f t="shared" si="633"/>
        <v>2026-07-29 13:18:11</v>
      </c>
      <c r="L12516" s="1" t="str">
        <f>"2018-05-15 14:09:43"</f>
        <v>2018-05-15 14:09:43</v>
      </c>
      <c r="M12516" s="1" t="s">
        <v>1</v>
      </c>
      <c r="N12516" s="1" t="s">
        <v>38</v>
      </c>
      <c r="O12516" s="1" t="s">
        <v>46</v>
      </c>
    </row>
    <row r="12517" spans="2:15" x14ac:dyDescent="0.3">
      <c r="B12517" s="1" t="s">
        <v>20</v>
      </c>
      <c r="C12517" s="1" t="str">
        <f>"4차"</f>
        <v>4차</v>
      </c>
      <c r="D12517" s="1" t="str">
        <f>"9725D36139"</f>
        <v>9725D36139</v>
      </c>
      <c r="E12517" s="1" t="s">
        <v>10</v>
      </c>
      <c r="F12517" s="1" t="str">
        <f>"10.10.36.130"</f>
        <v>10.10.36.130</v>
      </c>
      <c r="G12517" s="1" t="str">
        <f>"9725D361"</f>
        <v>9725D361</v>
      </c>
      <c r="H12517" s="1" t="str">
        <f>"양화간 15R5R1R1R1"</f>
        <v>양화간 15R5R1R1R1</v>
      </c>
      <c r="I12517" s="1" t="s">
        <v>8</v>
      </c>
      <c r="J12517" s="1" t="str">
        <f>"25/25"</f>
        <v>25/25</v>
      </c>
      <c r="K12517" s="1" t="str">
        <f t="shared" si="633"/>
        <v>2026-07-29 13:18:11</v>
      </c>
      <c r="L12517" s="1" t="str">
        <f>"2018-04-03 13:22:41"</f>
        <v>2018-04-03 13:22:41</v>
      </c>
      <c r="M12517" s="1" t="s">
        <v>1</v>
      </c>
      <c r="N12517" s="1" t="s">
        <v>38</v>
      </c>
      <c r="O12517" s="1" t="s">
        <v>46</v>
      </c>
    </row>
    <row r="12518" spans="2:15" x14ac:dyDescent="0.3">
      <c r="B12518" s="1" t="s">
        <v>20</v>
      </c>
      <c r="C12518" s="1" t="str">
        <f>"4차"</f>
        <v>4차</v>
      </c>
      <c r="D12518" s="1" t="str">
        <f>"9725D36239"</f>
        <v>9725D36239</v>
      </c>
      <c r="E12518" s="1" t="s">
        <v>10</v>
      </c>
      <c r="F12518" s="1" t="str">
        <f>"10.10.36.138"</f>
        <v>10.10.36.138</v>
      </c>
      <c r="G12518" s="1" t="str">
        <f>"9725D362"</f>
        <v>9725D362</v>
      </c>
      <c r="H12518" s="1" t="str">
        <f>"양화간 15R5R1R1R1R1"</f>
        <v>양화간 15R5R1R1R1R1</v>
      </c>
      <c r="I12518" s="1" t="s">
        <v>8</v>
      </c>
      <c r="J12518" s="1" t="str">
        <f>"18/18"</f>
        <v>18/18</v>
      </c>
      <c r="K12518" s="1" t="str">
        <f t="shared" si="633"/>
        <v>2026-07-29 13:18:11</v>
      </c>
      <c r="L12518" s="1" t="str">
        <f>"2018-02-07 14:58:40"</f>
        <v>2018-02-07 14:58:40</v>
      </c>
      <c r="M12518" s="1" t="s">
        <v>1</v>
      </c>
      <c r="N12518" s="1" t="s">
        <v>38</v>
      </c>
      <c r="O12518" s="1" t="s">
        <v>46</v>
      </c>
    </row>
    <row r="12519" spans="2:15" x14ac:dyDescent="0.3">
      <c r="B12519" s="1" t="s">
        <v>20</v>
      </c>
      <c r="C12519" s="1" t="str">
        <f>"4차"</f>
        <v>4차</v>
      </c>
      <c r="D12519" s="1" t="str">
        <f>"9725D37139"</f>
        <v>9725D37139</v>
      </c>
      <c r="E12519" s="1" t="s">
        <v>10</v>
      </c>
      <c r="F12519" s="1" t="str">
        <f>"10.10.36.146"</f>
        <v>10.10.36.146</v>
      </c>
      <c r="G12519" s="1" t="str">
        <f>"9725D371"</f>
        <v>9725D371</v>
      </c>
      <c r="H12519" s="1" t="str">
        <f>"양화간 15R5R1R1R2"</f>
        <v>양화간 15R5R1R1R2</v>
      </c>
      <c r="I12519" s="1" t="s">
        <v>8</v>
      </c>
      <c r="J12519" s="1" t="str">
        <f>"39/39"</f>
        <v>39/39</v>
      </c>
      <c r="K12519" s="1" t="str">
        <f t="shared" si="633"/>
        <v>2026-07-29 13:18:11</v>
      </c>
      <c r="L12519" s="1" t="str">
        <f>"2018-02-07 14:56:10"</f>
        <v>2018-02-07 14:56:10</v>
      </c>
      <c r="M12519" s="1" t="s">
        <v>1</v>
      </c>
      <c r="N12519" s="1" t="s">
        <v>38</v>
      </c>
      <c r="O12519" s="1" t="s">
        <v>46</v>
      </c>
    </row>
    <row r="12520" spans="2:15" x14ac:dyDescent="0.3">
      <c r="B12520" s="1" t="s">
        <v>20</v>
      </c>
      <c r="C12520" s="1" t="str">
        <f>"3차"</f>
        <v>3차</v>
      </c>
      <c r="D12520" s="1" t="str">
        <f>"9725D37339"</f>
        <v>9725D37339</v>
      </c>
      <c r="E12520" s="1" t="s">
        <v>10</v>
      </c>
      <c r="F12520" s="1" t="str">
        <f>"10.10.36.154"</f>
        <v>10.10.36.154</v>
      </c>
      <c r="G12520" s="1" t="str">
        <f>"9725D373"</f>
        <v>9725D373</v>
      </c>
      <c r="H12520" s="1" t="str">
        <f>"양화간 15R5R1R1R3"</f>
        <v>양화간 15R5R1R1R3</v>
      </c>
      <c r="I12520" s="1" t="s">
        <v>8</v>
      </c>
      <c r="J12520" s="1" t="str">
        <f>"73/73"</f>
        <v>73/73</v>
      </c>
      <c r="K12520" s="1" t="str">
        <f t="shared" si="633"/>
        <v>2026-07-29 13:18:11</v>
      </c>
      <c r="L12520" s="1" t="str">
        <f>"2018-02-07 14:55:55"</f>
        <v>2018-02-07 14:55:55</v>
      </c>
      <c r="M12520" s="1" t="s">
        <v>1</v>
      </c>
      <c r="N12520" s="1" t="s">
        <v>38</v>
      </c>
      <c r="O12520" s="1" t="s">
        <v>46</v>
      </c>
    </row>
    <row r="12521" spans="2:15" x14ac:dyDescent="0.3">
      <c r="B12521" s="1" t="s">
        <v>20</v>
      </c>
      <c r="C12521" s="1" t="str">
        <f>"3차"</f>
        <v>3차</v>
      </c>
      <c r="D12521" s="1" t="str">
        <f>"9725D44239"</f>
        <v>9725D44239</v>
      </c>
      <c r="E12521" s="1" t="s">
        <v>10</v>
      </c>
      <c r="F12521" s="1" t="str">
        <f>"10.10.34.114"</f>
        <v>10.10.34.114</v>
      </c>
      <c r="G12521" s="1" t="str">
        <f>"9725D442"</f>
        <v>9725D442</v>
      </c>
      <c r="H12521" s="1" t="str">
        <f>"양화간 21"</f>
        <v>양화간 21</v>
      </c>
      <c r="I12521" s="1" t="s">
        <v>8</v>
      </c>
      <c r="J12521" s="1" t="str">
        <f>"10/10"</f>
        <v>10/10</v>
      </c>
      <c r="K12521" s="1" t="str">
        <f t="shared" si="633"/>
        <v>2026-07-29 13:18:11</v>
      </c>
      <c r="L12521" s="1" t="str">
        <f>"2018-01-19 19:40:29"</f>
        <v>2018-01-19 19:40:29</v>
      </c>
      <c r="M12521" s="1" t="s">
        <v>1</v>
      </c>
      <c r="N12521" s="1" t="s">
        <v>38</v>
      </c>
      <c r="O12521" s="1" t="s">
        <v>46</v>
      </c>
    </row>
    <row r="12522" spans="2:15" x14ac:dyDescent="0.3">
      <c r="B12522" s="1" t="s">
        <v>20</v>
      </c>
      <c r="C12522" s="1" t="str">
        <f>"3차"</f>
        <v>3차</v>
      </c>
      <c r="D12522" s="1" t="str">
        <f>"9725D44439"</f>
        <v>9725D44439</v>
      </c>
      <c r="E12522" s="1" t="s">
        <v>10</v>
      </c>
      <c r="F12522" s="1" t="str">
        <f>"10.10.35.154"</f>
        <v>10.10.35.154</v>
      </c>
      <c r="G12522" s="1" t="str">
        <f>"9725D444"</f>
        <v>9725D444</v>
      </c>
      <c r="H12522" s="1" t="str">
        <f>"창전지 2"</f>
        <v>창전지 2</v>
      </c>
      <c r="I12522" s="1" t="s">
        <v>8</v>
      </c>
      <c r="J12522" s="1" t="str">
        <f>"52/53"</f>
        <v>52/53</v>
      </c>
      <c r="K12522" s="1" t="str">
        <f t="shared" si="633"/>
        <v>2026-07-29 13:18:11</v>
      </c>
      <c r="L12522" s="1" t="str">
        <f>"2018-02-26 14:00:11"</f>
        <v>2018-02-26 14:00:11</v>
      </c>
      <c r="M12522" s="1" t="s">
        <v>1</v>
      </c>
      <c r="N12522" s="1" t="s">
        <v>38</v>
      </c>
      <c r="O12522" s="1" t="s">
        <v>46</v>
      </c>
    </row>
    <row r="12523" spans="2:15" x14ac:dyDescent="0.3">
      <c r="B12523" s="1" t="s">
        <v>20</v>
      </c>
      <c r="C12523" s="1" t="str">
        <f>"4차"</f>
        <v>4차</v>
      </c>
      <c r="D12523" s="1" t="str">
        <f>"9725D45339"</f>
        <v>9725D45339</v>
      </c>
      <c r="E12523" s="1" t="s">
        <v>10</v>
      </c>
      <c r="F12523" s="1" t="str">
        <f>"10.10.36.122"</f>
        <v>10.10.36.122</v>
      </c>
      <c r="G12523" s="1" t="str">
        <f>"9725D453"</f>
        <v>9725D453</v>
      </c>
      <c r="H12523" s="1" t="str">
        <f>"양화간 15R4"</f>
        <v>양화간 15R4</v>
      </c>
      <c r="I12523" s="1" t="s">
        <v>8</v>
      </c>
      <c r="J12523" s="1" t="str">
        <f>"17/17"</f>
        <v>17/17</v>
      </c>
      <c r="K12523" s="1" t="str">
        <f t="shared" si="633"/>
        <v>2026-07-29 13:18:11</v>
      </c>
      <c r="L12523" s="1" t="str">
        <f>"2018-05-15 14:24:57"</f>
        <v>2018-05-15 14:24:57</v>
      </c>
      <c r="M12523" s="1" t="s">
        <v>1</v>
      </c>
      <c r="N12523" s="1" t="s">
        <v>38</v>
      </c>
      <c r="O12523" s="1" t="s">
        <v>46</v>
      </c>
    </row>
    <row r="12524" spans="2:15" x14ac:dyDescent="0.3">
      <c r="B12524" s="1" t="s">
        <v>20</v>
      </c>
      <c r="C12524" s="1" t="str">
        <f>"4차"</f>
        <v>4차</v>
      </c>
      <c r="D12524" s="1" t="str">
        <f>"9725D45439"</f>
        <v>9725D45439</v>
      </c>
      <c r="E12524" s="1" t="s">
        <v>10</v>
      </c>
      <c r="F12524" s="1" t="str">
        <f>"10.10.36.114"</f>
        <v>10.10.36.114</v>
      </c>
      <c r="G12524" s="1" t="str">
        <f>"9725D454"</f>
        <v>9725D454</v>
      </c>
      <c r="H12524" s="1" t="str">
        <f>"양화간 15R3"</f>
        <v>양화간 15R3</v>
      </c>
      <c r="I12524" s="1" t="s">
        <v>8</v>
      </c>
      <c r="J12524" s="1" t="str">
        <f>"12/12"</f>
        <v>12/12</v>
      </c>
      <c r="K12524" s="1" t="str">
        <f t="shared" si="633"/>
        <v>2026-07-29 13:18:11</v>
      </c>
      <c r="L12524" s="1" t="str">
        <f>"2026-01-29 15:31:01"</f>
        <v>2026-01-29 15:31:01</v>
      </c>
      <c r="M12524" s="1" t="s">
        <v>1</v>
      </c>
      <c r="N12524" s="1" t="s">
        <v>38</v>
      </c>
      <c r="O12524" s="1" t="s">
        <v>46</v>
      </c>
    </row>
    <row r="12525" spans="2:15" x14ac:dyDescent="0.3">
      <c r="B12525" s="1" t="s">
        <v>20</v>
      </c>
      <c r="C12525" s="1" t="str">
        <f>"3차"</f>
        <v>3차</v>
      </c>
      <c r="D12525" s="1" t="str">
        <f>"9725D46139"</f>
        <v>9725D46139</v>
      </c>
      <c r="E12525" s="1" t="s">
        <v>10</v>
      </c>
      <c r="F12525" s="1" t="str">
        <f>"10.10.36.106"</f>
        <v>10.10.36.106</v>
      </c>
      <c r="G12525" s="1" t="str">
        <f>"9725D461"</f>
        <v>9725D461</v>
      </c>
      <c r="H12525" s="1" t="str">
        <f>"양화간 15R2R1"</f>
        <v>양화간 15R2R1</v>
      </c>
      <c r="I12525" s="1" t="s">
        <v>8</v>
      </c>
      <c r="J12525" s="1" t="str">
        <f>"106/114"</f>
        <v>106/114</v>
      </c>
      <c r="K12525" s="1" t="str">
        <f t="shared" si="633"/>
        <v>2026-07-29 13:18:11</v>
      </c>
      <c r="L12525" s="1" t="str">
        <f>"2018-02-06 17:03:29"</f>
        <v>2018-02-06 17:03:29</v>
      </c>
      <c r="M12525" s="1" t="s">
        <v>1</v>
      </c>
      <c r="N12525" s="1" t="s">
        <v>38</v>
      </c>
      <c r="O12525" s="1" t="s">
        <v>46</v>
      </c>
    </row>
    <row r="12526" spans="2:15" x14ac:dyDescent="0.3">
      <c r="B12526" s="1" t="s">
        <v>20</v>
      </c>
      <c r="C12526" s="1" t="str">
        <f>"3차"</f>
        <v>3차</v>
      </c>
      <c r="D12526" s="1" t="str">
        <f>"9725D49339"</f>
        <v>9725D49339</v>
      </c>
      <c r="E12526" s="1" t="s">
        <v>10</v>
      </c>
      <c r="F12526" s="1" t="str">
        <f>"10.10.30.2"</f>
        <v>10.10.30.2</v>
      </c>
      <c r="G12526" s="1" t="str">
        <f>"9725D493"</f>
        <v>9725D493</v>
      </c>
      <c r="H12526" s="1" t="str">
        <f>"동교지 13L2"</f>
        <v>동교지 13L2</v>
      </c>
      <c r="I12526" s="1" t="s">
        <v>8</v>
      </c>
      <c r="J12526" s="1" t="str">
        <f>"58/58"</f>
        <v>58/58</v>
      </c>
      <c r="K12526" s="1" t="str">
        <f t="shared" si="633"/>
        <v>2026-07-29 13:18:11</v>
      </c>
      <c r="L12526" s="1" t="str">
        <f>"2019-03-07 10:54:13"</f>
        <v>2019-03-07 10:54:13</v>
      </c>
      <c r="M12526" s="1" t="s">
        <v>1</v>
      </c>
      <c r="N12526" s="1" t="s">
        <v>38</v>
      </c>
      <c r="O12526" s="1" t="s">
        <v>46</v>
      </c>
    </row>
    <row r="12527" spans="2:15" x14ac:dyDescent="0.3">
      <c r="B12527" s="1" t="s">
        <v>20</v>
      </c>
      <c r="C12527" s="1" t="str">
        <f>"3차"</f>
        <v>3차</v>
      </c>
      <c r="D12527" s="1" t="str">
        <f>"9725D55130"</f>
        <v>9725D55130</v>
      </c>
      <c r="E12527" s="1" t="s">
        <v>10</v>
      </c>
      <c r="F12527" s="1" t="str">
        <f>"10.10.36.210"</f>
        <v>10.10.36.210</v>
      </c>
      <c r="G12527" s="1" t="str">
        <f>"9725D551"</f>
        <v>9725D551</v>
      </c>
      <c r="H12527" s="1" t="str">
        <f>"양화간 19AL1"</f>
        <v>양화간 19AL1</v>
      </c>
      <c r="I12527" s="1" t="s">
        <v>8</v>
      </c>
      <c r="J12527" s="1" t="str">
        <f>"14/14"</f>
        <v>14/14</v>
      </c>
      <c r="K12527" s="1" t="str">
        <f t="shared" si="633"/>
        <v>2026-07-29 13:18:11</v>
      </c>
      <c r="L12527" s="1" t="str">
        <f>"2018-03-23 15:11:11"</f>
        <v>2018-03-23 15:11:11</v>
      </c>
      <c r="M12527" s="1" t="s">
        <v>1</v>
      </c>
      <c r="N12527" s="1" t="s">
        <v>38</v>
      </c>
      <c r="O12527" s="1" t="s">
        <v>46</v>
      </c>
    </row>
    <row r="12528" spans="2:15" x14ac:dyDescent="0.3">
      <c r="B12528" s="1" t="s">
        <v>20</v>
      </c>
      <c r="C12528" s="1" t="str">
        <f>"3차"</f>
        <v>3차</v>
      </c>
      <c r="D12528" s="1" t="str">
        <f>"9725D55431"</f>
        <v>9725D55431</v>
      </c>
      <c r="E12528" s="1" t="s">
        <v>10</v>
      </c>
      <c r="F12528" s="1" t="str">
        <f>"10.10.36.211"</f>
        <v>10.10.36.211</v>
      </c>
      <c r="G12528" s="1" t="str">
        <f>"9725D554"</f>
        <v>9725D554</v>
      </c>
      <c r="H12528" s="1" t="str">
        <f>"양화간 19L1"</f>
        <v>양화간 19L1</v>
      </c>
      <c r="I12528" s="1" t="s">
        <v>8</v>
      </c>
      <c r="J12528" s="1" t="str">
        <f>"30/30"</f>
        <v>30/30</v>
      </c>
      <c r="K12528" s="1" t="str">
        <f t="shared" si="633"/>
        <v>2026-07-29 13:18:11</v>
      </c>
      <c r="L12528" s="1" t="str">
        <f>"2018-03-23 14:48:26"</f>
        <v>2018-03-23 14:48:26</v>
      </c>
      <c r="M12528" s="1" t="s">
        <v>1</v>
      </c>
      <c r="N12528" s="1" t="s">
        <v>38</v>
      </c>
      <c r="O12528" s="1" t="s">
        <v>46</v>
      </c>
    </row>
    <row r="12529" spans="2:15" x14ac:dyDescent="0.3">
      <c r="B12529" s="1" t="s">
        <v>20</v>
      </c>
      <c r="C12529" s="1" t="str">
        <f>"3차"</f>
        <v>3차</v>
      </c>
      <c r="D12529" s="1" t="str">
        <f>"9725D56139"</f>
        <v>9725D56139</v>
      </c>
      <c r="E12529" s="1" t="s">
        <v>10</v>
      </c>
      <c r="F12529" s="1" t="str">
        <f>"10.10.36.98"</f>
        <v>10.10.36.98</v>
      </c>
      <c r="G12529" s="1" t="str">
        <f>"9725D561"</f>
        <v>9725D561</v>
      </c>
      <c r="H12529" s="1" t="str">
        <f>"양화간 15R2"</f>
        <v>양화간 15R2</v>
      </c>
      <c r="I12529" s="1" t="s">
        <v>8</v>
      </c>
      <c r="J12529" s="1" t="str">
        <f>"20/20"</f>
        <v>20/20</v>
      </c>
      <c r="K12529" s="1" t="str">
        <f t="shared" si="633"/>
        <v>2026-07-29 13:18:11</v>
      </c>
      <c r="L12529" s="1" t="str">
        <f>"2018-04-03 13:20:40"</f>
        <v>2018-04-03 13:20:40</v>
      </c>
      <c r="M12529" s="1" t="s">
        <v>1</v>
      </c>
      <c r="N12529" s="1" t="s">
        <v>38</v>
      </c>
      <c r="O12529" s="1" t="s">
        <v>46</v>
      </c>
    </row>
    <row r="12530" spans="2:15" x14ac:dyDescent="0.3">
      <c r="B12530" s="1" t="s">
        <v>20</v>
      </c>
      <c r="C12530" s="1" t="str">
        <f>"4차"</f>
        <v>4차</v>
      </c>
      <c r="D12530" s="1" t="str">
        <f>"9725D56544"</f>
        <v>9725D56544</v>
      </c>
      <c r="E12530" s="1" t="s">
        <v>10</v>
      </c>
      <c r="F12530" s="1" t="str">
        <f>"10.10.87.202"</f>
        <v>10.10.87.202</v>
      </c>
      <c r="G12530" s="1" t="str">
        <f>"9725D565"</f>
        <v>9725D565</v>
      </c>
      <c r="H12530" s="1" t="str">
        <f>"양화간 16"</f>
        <v>양화간 16</v>
      </c>
      <c r="I12530" s="1" t="s">
        <v>8</v>
      </c>
      <c r="J12530" s="1" t="str">
        <f>"5/5"</f>
        <v>5/5</v>
      </c>
      <c r="K12530" s="1" t="str">
        <f t="shared" si="633"/>
        <v>2026-07-29 13:18:11</v>
      </c>
      <c r="L12530" s="1" t="str">
        <f>"2019-12-11 18:07:21"</f>
        <v>2019-12-11 18:07:21</v>
      </c>
      <c r="M12530" s="1" t="s">
        <v>1</v>
      </c>
      <c r="N12530" s="1" t="s">
        <v>38</v>
      </c>
      <c r="O12530" s="1" t="s">
        <v>46</v>
      </c>
    </row>
    <row r="12531" spans="2:15" x14ac:dyDescent="0.3">
      <c r="B12531" s="1" t="s">
        <v>20</v>
      </c>
      <c r="C12531" s="1" t="str">
        <f>"3차"</f>
        <v>3차</v>
      </c>
      <c r="D12531" s="1" t="str">
        <f>"9725D58430"</f>
        <v>9725D58430</v>
      </c>
      <c r="E12531" s="1" t="s">
        <v>10</v>
      </c>
      <c r="F12531" s="1" t="str">
        <f>"10.10.30.10"</f>
        <v>10.10.30.10</v>
      </c>
      <c r="G12531" s="1" t="str">
        <f>"9725D584"</f>
        <v>9725D584</v>
      </c>
      <c r="H12531" s="1" t="str">
        <f>"동교지 15L1"</f>
        <v>동교지 15L1</v>
      </c>
      <c r="I12531" s="1" t="s">
        <v>8</v>
      </c>
      <c r="J12531" s="1" t="str">
        <f>"54/54"</f>
        <v>54/54</v>
      </c>
      <c r="K12531" s="1" t="str">
        <f t="shared" si="633"/>
        <v>2026-07-29 13:18:11</v>
      </c>
      <c r="L12531" s="1" t="str">
        <f>"2018-01-19 11:02:10"</f>
        <v>2018-01-19 11:02:10</v>
      </c>
      <c r="M12531" s="1" t="s">
        <v>1</v>
      </c>
      <c r="N12531" s="1" t="s">
        <v>38</v>
      </c>
      <c r="O12531" s="1" t="s">
        <v>46</v>
      </c>
    </row>
    <row r="12532" spans="2:15" x14ac:dyDescent="0.3">
      <c r="B12532" s="1" t="s">
        <v>20</v>
      </c>
      <c r="C12532" s="1" t="str">
        <f>"4차"</f>
        <v>4차</v>
      </c>
      <c r="D12532" s="1" t="str">
        <f>"9725D58631"</f>
        <v>9725D58631</v>
      </c>
      <c r="E12532" s="1" t="s">
        <v>10</v>
      </c>
      <c r="F12532" s="1" t="str">
        <f>"10.12.135.65"</f>
        <v>10.12.135.65</v>
      </c>
      <c r="G12532" s="1" t="str">
        <f>"9725D586"</f>
        <v>9725D586</v>
      </c>
      <c r="H12532" s="1" t="str">
        <f>"동교지 15"</f>
        <v>동교지 15</v>
      </c>
      <c r="I12532" s="1" t="s">
        <v>8</v>
      </c>
      <c r="J12532" s="1" t="str">
        <f>"59/59"</f>
        <v>59/59</v>
      </c>
      <c r="K12532" s="1" t="str">
        <f t="shared" si="633"/>
        <v>2026-07-29 13:18:11</v>
      </c>
      <c r="L12532" s="1" t="str">
        <f>"2021-04-28 15:51:37"</f>
        <v>2021-04-28 15:51:37</v>
      </c>
      <c r="M12532" s="1" t="s">
        <v>0</v>
      </c>
      <c r="N12532" s="1" t="s">
        <v>38</v>
      </c>
      <c r="O12532" s="1" t="s">
        <v>46</v>
      </c>
    </row>
    <row r="12533" spans="2:15" x14ac:dyDescent="0.3">
      <c r="B12533" s="1" t="s">
        <v>20</v>
      </c>
      <c r="C12533" s="1" t="str">
        <f>"4차"</f>
        <v>4차</v>
      </c>
      <c r="D12533" s="1" t="str">
        <f>"9725D65144"</f>
        <v>9725D65144</v>
      </c>
      <c r="E12533" s="1" t="s">
        <v>10</v>
      </c>
      <c r="F12533" s="1" t="str">
        <f>"10.10.89.58"</f>
        <v>10.10.89.58</v>
      </c>
      <c r="G12533" s="1" t="str">
        <f>"9725D651"</f>
        <v>9725D651</v>
      </c>
      <c r="H12533" s="1" t="str">
        <f>"양화간 19AL2"</f>
        <v>양화간 19AL2</v>
      </c>
      <c r="I12533" s="1" t="s">
        <v>8</v>
      </c>
      <c r="J12533" s="1" t="str">
        <f>"44/44"</f>
        <v>44/44</v>
      </c>
      <c r="K12533" s="1" t="str">
        <f t="shared" si="633"/>
        <v>2026-07-29 13:18:11</v>
      </c>
      <c r="L12533" s="1" t="str">
        <f>"2019-12-17 15:53:08"</f>
        <v>2019-12-17 15:53:08</v>
      </c>
      <c r="M12533" s="1" t="s">
        <v>1</v>
      </c>
      <c r="N12533" s="1" t="s">
        <v>38</v>
      </c>
      <c r="O12533" s="1" t="s">
        <v>46</v>
      </c>
    </row>
    <row r="12534" spans="2:15" x14ac:dyDescent="0.3">
      <c r="B12534" s="1" t="s">
        <v>20</v>
      </c>
      <c r="C12534" s="1" t="str">
        <f>"4차"</f>
        <v>4차</v>
      </c>
      <c r="D12534" s="1" t="str">
        <f>"9725D68244"</f>
        <v>9725D68244</v>
      </c>
      <c r="E12534" s="1" t="s">
        <v>10</v>
      </c>
      <c r="F12534" s="1" t="str">
        <f>"10.10.107.122"</f>
        <v>10.10.107.122</v>
      </c>
      <c r="G12534" s="1" t="str">
        <f>"9725D682"</f>
        <v>9725D682</v>
      </c>
      <c r="H12534" s="1" t="str">
        <f>"동교지 19L1"</f>
        <v>동교지 19L1</v>
      </c>
      <c r="I12534" s="1" t="s">
        <v>8</v>
      </c>
      <c r="J12534" s="1" t="str">
        <f>"13/13"</f>
        <v>13/13</v>
      </c>
      <c r="K12534" s="1" t="str">
        <f t="shared" si="633"/>
        <v>2026-07-29 13:18:11</v>
      </c>
      <c r="L12534" s="1" t="str">
        <f>"2019-12-11 17:57:37"</f>
        <v>2019-12-11 17:57:37</v>
      </c>
      <c r="M12534" s="1" t="s">
        <v>1</v>
      </c>
      <c r="N12534" s="1" t="s">
        <v>38</v>
      </c>
      <c r="O12534" s="1" t="s">
        <v>46</v>
      </c>
    </row>
    <row r="12535" spans="2:15" x14ac:dyDescent="0.3">
      <c r="B12535" s="1" t="s">
        <v>20</v>
      </c>
      <c r="C12535" s="1" t="str">
        <f>"6차"</f>
        <v>6차</v>
      </c>
      <c r="D12535" s="1" t="str">
        <f>"9725D6846S"</f>
        <v>9725D6846S</v>
      </c>
      <c r="E12535" s="1" t="s">
        <v>10</v>
      </c>
      <c r="F12535" s="1" t="str">
        <f>"fde1:103:4:c81d:0:0:0:2"</f>
        <v>fde1:103:4:c81d:0:0:0:2</v>
      </c>
      <c r="G12535" s="1" t="str">
        <f>"9725D684"</f>
        <v>9725D684</v>
      </c>
      <c r="H12535" s="1" t="str">
        <f>"동교지 18"</f>
        <v>동교지 18</v>
      </c>
      <c r="I12535" s="1" t="s">
        <v>15</v>
      </c>
      <c r="J12535" s="1" t="str">
        <f>"18/20"</f>
        <v>18/20</v>
      </c>
      <c r="K12535" s="1" t="str">
        <f>"2026-07-29 14:21:00"</f>
        <v>2026-07-29 14:21:00</v>
      </c>
      <c r="L12535" s="1" t="str">
        <f>"2024-11-22 15:50:37"</f>
        <v>2024-11-22 15:50:37</v>
      </c>
      <c r="M12535" s="1" t="s">
        <v>4</v>
      </c>
      <c r="N12535" s="1" t="s">
        <v>38</v>
      </c>
      <c r="O12535" s="1" t="s">
        <v>46</v>
      </c>
    </row>
    <row r="12536" spans="2:15" x14ac:dyDescent="0.3">
      <c r="B12536" s="1" t="s">
        <v>20</v>
      </c>
      <c r="C12536" s="1" t="str">
        <f>"3차"</f>
        <v>3차</v>
      </c>
      <c r="D12536" s="1" t="str">
        <f>"9725D69131"</f>
        <v>9725D69131</v>
      </c>
      <c r="E12536" s="1" t="s">
        <v>10</v>
      </c>
      <c r="F12536" s="1" t="str">
        <f>"10.10.30.11"</f>
        <v>10.10.30.11</v>
      </c>
      <c r="G12536" s="1" t="str">
        <f>"9725D691"</f>
        <v>9725D691</v>
      </c>
      <c r="H12536" s="1" t="str">
        <f>"동교지 15L2"</f>
        <v>동교지 15L2</v>
      </c>
      <c r="I12536" s="1" t="s">
        <v>8</v>
      </c>
      <c r="J12536" s="1" t="str">
        <f>"63/63"</f>
        <v>63/63</v>
      </c>
      <c r="K12536" s="1" t="str">
        <f>"2026-07-29 13:18:11"</f>
        <v>2026-07-29 13:18:11</v>
      </c>
      <c r="L12536" s="1" t="str">
        <f>"2018-02-12 13:35:24"</f>
        <v>2018-02-12 13:35:24</v>
      </c>
      <c r="M12536" s="1" t="s">
        <v>1</v>
      </c>
      <c r="N12536" s="1" t="s">
        <v>38</v>
      </c>
      <c r="O12536" s="1" t="s">
        <v>46</v>
      </c>
    </row>
    <row r="12537" spans="2:15" x14ac:dyDescent="0.3">
      <c r="B12537" s="1" t="s">
        <v>20</v>
      </c>
      <c r="C12537" s="1" t="str">
        <f>"3차"</f>
        <v>3차</v>
      </c>
      <c r="D12537" s="1" t="str">
        <f>"9725D69239"</f>
        <v>9725D69239</v>
      </c>
      <c r="E12537" s="1" t="s">
        <v>10</v>
      </c>
      <c r="F12537" s="1" t="str">
        <f>"10.10.34.2"</f>
        <v>10.10.34.2</v>
      </c>
      <c r="G12537" s="1" t="str">
        <f>"9725D692"</f>
        <v>9725D692</v>
      </c>
      <c r="H12537" s="1" t="str">
        <f>"동교지 19L2"</f>
        <v>동교지 19L2</v>
      </c>
      <c r="I12537" s="1" t="s">
        <v>8</v>
      </c>
      <c r="J12537" s="1" t="str">
        <f>"30/31"</f>
        <v>30/31</v>
      </c>
      <c r="K12537" s="1" t="str">
        <f>"2026-07-29 13:18:11"</f>
        <v>2026-07-29 13:18:11</v>
      </c>
      <c r="L12537" s="1" t="str">
        <f>"2018-02-23 11:53:40"</f>
        <v>2018-02-23 11:53:40</v>
      </c>
      <c r="M12537" s="1" t="s">
        <v>1</v>
      </c>
      <c r="N12537" s="1" t="s">
        <v>38</v>
      </c>
      <c r="O12537" s="1" t="s">
        <v>46</v>
      </c>
    </row>
    <row r="12538" spans="2:15" x14ac:dyDescent="0.3">
      <c r="B12538" s="1" t="s">
        <v>20</v>
      </c>
      <c r="C12538" s="1" t="str">
        <f>"1차"</f>
        <v>1차</v>
      </c>
      <c r="D12538" s="1" t="str">
        <f>"9725D73200"</f>
        <v>9725D73200</v>
      </c>
      <c r="E12538" s="1" t="s">
        <v>10</v>
      </c>
      <c r="F12538" s="1" t="str">
        <f>"10.125.129.63"</f>
        <v>10.125.129.63</v>
      </c>
      <c r="G12538" s="1" t="str">
        <f>"9725D732"</f>
        <v>9725D732</v>
      </c>
      <c r="H12538" s="1" t="str">
        <f>"양화간 19L13L9"</f>
        <v>양화간 19L13L9</v>
      </c>
      <c r="I12538" s="1" t="s">
        <v>8</v>
      </c>
      <c r="J12538" s="1" t="str">
        <f>"50/50"</f>
        <v>50/50</v>
      </c>
      <c r="K12538" s="1" t="str">
        <f>"2026-07-29 13:18:11"</f>
        <v>2026-07-29 13:18:11</v>
      </c>
      <c r="L12538" s="1" t="str">
        <f>"2014-11-05 14:50:45"</f>
        <v>2014-11-05 14:50:45</v>
      </c>
      <c r="M12538" s="1" t="s">
        <v>45</v>
      </c>
      <c r="N12538" s="1" t="s">
        <v>38</v>
      </c>
      <c r="O12538" s="1" t="s">
        <v>46</v>
      </c>
    </row>
    <row r="12539" spans="2:15" x14ac:dyDescent="0.3">
      <c r="B12539" s="1" t="s">
        <v>20</v>
      </c>
      <c r="C12539" s="1" t="str">
        <f>"6차"</f>
        <v>6차</v>
      </c>
      <c r="D12539" s="1" t="str">
        <f>"9725D7336S"</f>
        <v>9725D7336S</v>
      </c>
      <c r="E12539" s="1" t="s">
        <v>12</v>
      </c>
      <c r="F12539" s="1" t="str">
        <f>"fde1:103:4:919c:0:0:0:2"</f>
        <v>fde1:103:4:919c:0:0:0:2</v>
      </c>
      <c r="G12539" s="1" t="str">
        <f>"9725D733"</f>
        <v>9725D733</v>
      </c>
      <c r="H12539" s="1" t="str">
        <f>"양화간 19L7"</f>
        <v>양화간 19L7</v>
      </c>
      <c r="I12539" s="1" t="s">
        <v>15</v>
      </c>
      <c r="J12539" s="1" t="str">
        <f>"0/7"</f>
        <v>0/7</v>
      </c>
      <c r="K12539" s="1" t="str">
        <f>"2026-07-18 20:20:38"</f>
        <v>2026-07-18 20:20:38</v>
      </c>
      <c r="L12539" s="1" t="str">
        <f>"2024-12-11 17:21:29"</f>
        <v>2024-12-11 17:21:29</v>
      </c>
      <c r="M12539" s="1" t="s">
        <v>4</v>
      </c>
      <c r="N12539" s="1" t="s">
        <v>38</v>
      </c>
      <c r="O12539" s="1" t="s">
        <v>46</v>
      </c>
    </row>
    <row r="12540" spans="2:15" x14ac:dyDescent="0.3">
      <c r="B12540" s="1" t="s">
        <v>20</v>
      </c>
      <c r="C12540" s="1" t="str">
        <f>"3차"</f>
        <v>3차</v>
      </c>
      <c r="D12540" s="1" t="str">
        <f>"9725D74139"</f>
        <v>9725D74139</v>
      </c>
      <c r="E12540" s="1" t="s">
        <v>10</v>
      </c>
      <c r="F12540" s="1" t="str">
        <f>"10.12.136.133"</f>
        <v>10.12.136.133</v>
      </c>
      <c r="G12540" s="1" t="str">
        <f>"9725D741"</f>
        <v>9725D741</v>
      </c>
      <c r="H12540" s="1" t="str">
        <f>"양화간 19L13L10"</f>
        <v>양화간 19L13L10</v>
      </c>
      <c r="I12540" s="1" t="s">
        <v>8</v>
      </c>
      <c r="J12540" s="1" t="str">
        <f>"90/102"</f>
        <v>90/102</v>
      </c>
      <c r="K12540" s="1" t="str">
        <f>"2026-07-29 13:18:12"</f>
        <v>2026-07-29 13:18:12</v>
      </c>
      <c r="L12540" s="1" t="str">
        <f>"2018-09-28 14:13:11"</f>
        <v>2018-09-28 14:13:11</v>
      </c>
      <c r="M12540" s="1" t="s">
        <v>0</v>
      </c>
      <c r="N12540" s="1" t="s">
        <v>38</v>
      </c>
      <c r="O12540" s="1" t="s">
        <v>46</v>
      </c>
    </row>
    <row r="12541" spans="2:15" x14ac:dyDescent="0.3">
      <c r="B12541" s="1" t="s">
        <v>20</v>
      </c>
      <c r="C12541" s="1" t="str">
        <f>"4차"</f>
        <v>4차</v>
      </c>
      <c r="D12541" s="1" t="str">
        <f>"9725D76144"</f>
        <v>9725D76144</v>
      </c>
      <c r="E12541" s="1" t="s">
        <v>10</v>
      </c>
      <c r="F12541" s="1" t="str">
        <f>"10.10.74.138"</f>
        <v>10.10.74.138</v>
      </c>
      <c r="G12541" s="1" t="str">
        <f>"9725D761"</f>
        <v>9725D761</v>
      </c>
      <c r="H12541" s="1" t="str">
        <f>"동교지 17R2"</f>
        <v>동교지 17R2</v>
      </c>
      <c r="I12541" s="1" t="s">
        <v>8</v>
      </c>
      <c r="J12541" s="1" t="str">
        <f>"41/42"</f>
        <v>41/42</v>
      </c>
      <c r="K12541" s="1" t="str">
        <f>"2026-07-29 13:18:11"</f>
        <v>2026-07-29 13:18:11</v>
      </c>
      <c r="L12541" s="1" t="str">
        <f>"2019-12-11 17:57:11"</f>
        <v>2019-12-11 17:57:11</v>
      </c>
      <c r="M12541" s="1" t="s">
        <v>1</v>
      </c>
      <c r="N12541" s="1" t="s">
        <v>38</v>
      </c>
      <c r="O12541" s="1" t="s">
        <v>46</v>
      </c>
    </row>
    <row r="12542" spans="2:15" x14ac:dyDescent="0.3">
      <c r="B12542" s="1" t="s">
        <v>20</v>
      </c>
      <c r="C12542" s="1" t="str">
        <f>"4차"</f>
        <v>4차</v>
      </c>
      <c r="D12542" s="1" t="str">
        <f>"9725D77139"</f>
        <v>9725D77139</v>
      </c>
      <c r="E12542" s="1" t="s">
        <v>10</v>
      </c>
      <c r="F12542" s="1" t="str">
        <f>"10.12.129.176"</f>
        <v>10.12.129.176</v>
      </c>
      <c r="G12542" s="1" t="str">
        <f>"9725D771"</f>
        <v>9725D771</v>
      </c>
      <c r="H12542" s="1" t="str">
        <f>"동교지 17R1"</f>
        <v>동교지 17R1</v>
      </c>
      <c r="I12542" s="1" t="s">
        <v>8</v>
      </c>
      <c r="J12542" s="1" t="str">
        <f>"19/19"</f>
        <v>19/19</v>
      </c>
      <c r="K12542" s="1" t="str">
        <f>"2026-07-29 13:18:10"</f>
        <v>2026-07-29 13:18:10</v>
      </c>
      <c r="L12542" s="1" t="str">
        <f>"2018-04-20 11:11:12"</f>
        <v>2018-04-20 11:11:12</v>
      </c>
      <c r="M12542" s="1" t="s">
        <v>0</v>
      </c>
      <c r="N12542" s="1" t="s">
        <v>38</v>
      </c>
      <c r="O12542" s="1" t="s">
        <v>46</v>
      </c>
    </row>
    <row r="12543" spans="2:15" x14ac:dyDescent="0.3">
      <c r="B12543" s="1" t="s">
        <v>20</v>
      </c>
      <c r="C12543" s="1" t="str">
        <f>"6차"</f>
        <v>6차</v>
      </c>
      <c r="D12543" s="1" t="str">
        <f>"9725D7736M"</f>
        <v>9725D7736M</v>
      </c>
      <c r="E12543" s="1" t="s">
        <v>10</v>
      </c>
      <c r="F12543" s="1" t="str">
        <f>"fde1:103:4:c755:0:0:0:2"</f>
        <v>fde1:103:4:c755:0:0:0:2</v>
      </c>
      <c r="G12543" s="1" t="str">
        <f>"9725D773"</f>
        <v>9725D773</v>
      </c>
      <c r="H12543" s="1" t="str">
        <f>"와우지 6R4L1"</f>
        <v>와우지 6R4L1</v>
      </c>
      <c r="I12543" s="1" t="s">
        <v>15</v>
      </c>
      <c r="J12543" s="1" t="str">
        <f>"36/48"</f>
        <v>36/48</v>
      </c>
      <c r="K12543" s="1" t="str">
        <f>"2026-07-29 14:21:30"</f>
        <v>2026-07-29 14:21:30</v>
      </c>
      <c r="L12543" s="1" t="str">
        <f>"2024-11-25 10:41:56"</f>
        <v>2024-11-25 10:41:56</v>
      </c>
      <c r="M12543" s="1" t="s">
        <v>4</v>
      </c>
      <c r="N12543" s="1" t="s">
        <v>38</v>
      </c>
      <c r="O12543" s="1" t="s">
        <v>46</v>
      </c>
    </row>
    <row r="12544" spans="2:15" x14ac:dyDescent="0.3">
      <c r="B12544" s="1" t="s">
        <v>20</v>
      </c>
      <c r="C12544" s="1" t="str">
        <f>"6차"</f>
        <v>6차</v>
      </c>
      <c r="D12544" s="1" t="str">
        <f>"9725D7816S"</f>
        <v>9725D7816S</v>
      </c>
      <c r="E12544" s="1" t="s">
        <v>10</v>
      </c>
      <c r="F12544" s="1" t="str">
        <f>"fde1:103:4:c81e:0:0:0:2"</f>
        <v>fde1:103:4:c81e:0:0:0:2</v>
      </c>
      <c r="G12544" s="1" t="str">
        <f>"9725D781"</f>
        <v>9725D781</v>
      </c>
      <c r="H12544" s="1" t="str">
        <f>"동교지 20"</f>
        <v>동교지 20</v>
      </c>
      <c r="I12544" s="1" t="s">
        <v>15</v>
      </c>
      <c r="J12544" s="1" t="str">
        <f>"23/25"</f>
        <v>23/25</v>
      </c>
      <c r="K12544" s="1" t="str">
        <f>"2026-07-29 14:21:00"</f>
        <v>2026-07-29 14:21:00</v>
      </c>
      <c r="L12544" s="1" t="str">
        <f>"2024-11-22 15:51:18"</f>
        <v>2024-11-22 15:51:18</v>
      </c>
      <c r="M12544" s="1" t="s">
        <v>4</v>
      </c>
      <c r="N12544" s="1" t="s">
        <v>38</v>
      </c>
      <c r="O12544" s="1" t="s">
        <v>46</v>
      </c>
    </row>
    <row r="12545" spans="2:15" x14ac:dyDescent="0.3">
      <c r="B12545" s="1" t="s">
        <v>20</v>
      </c>
      <c r="C12545" s="1" t="str">
        <f>"6차"</f>
        <v>6차</v>
      </c>
      <c r="D12545" s="1" t="str">
        <f>"9725D8236M"</f>
        <v>9725D8236M</v>
      </c>
      <c r="E12545" s="1" t="s">
        <v>10</v>
      </c>
      <c r="F12545" s="1" t="str">
        <f>"fde1:103:4:c723:0:0:0:2"</f>
        <v>fde1:103:4:c723:0:0:0:2</v>
      </c>
      <c r="G12545" s="1" t="str">
        <f>"9725D823"</f>
        <v>9725D823</v>
      </c>
      <c r="H12545" s="1" t="str">
        <f>"양화간 19L10"</f>
        <v>양화간 19L10</v>
      </c>
      <c r="I12545" s="1" t="s">
        <v>15</v>
      </c>
      <c r="J12545" s="1" t="str">
        <f>"16/16"</f>
        <v>16/16</v>
      </c>
      <c r="K12545" s="1" t="str">
        <f>"2026-07-29 14:21:00"</f>
        <v>2026-07-29 14:21:00</v>
      </c>
      <c r="L12545" s="1" t="str">
        <f>"2024-11-25 10:42:49"</f>
        <v>2024-11-25 10:42:49</v>
      </c>
      <c r="M12545" s="1" t="s">
        <v>4</v>
      </c>
      <c r="N12545" s="1" t="s">
        <v>38</v>
      </c>
      <c r="O12545" s="1" t="s">
        <v>46</v>
      </c>
    </row>
    <row r="12546" spans="2:15" x14ac:dyDescent="0.3">
      <c r="B12546" s="1" t="s">
        <v>20</v>
      </c>
      <c r="C12546" s="1" t="str">
        <f>"4차"</f>
        <v>4차</v>
      </c>
      <c r="D12546" s="1" t="str">
        <f>"9725D83244"</f>
        <v>9725D83244</v>
      </c>
      <c r="E12546" s="1" t="s">
        <v>10</v>
      </c>
      <c r="F12546" s="1" t="str">
        <f>"10.10.89.66"</f>
        <v>10.10.89.66</v>
      </c>
      <c r="G12546" s="1" t="str">
        <f>"9725D832"</f>
        <v>9725D832</v>
      </c>
      <c r="H12546" s="1" t="str">
        <f>"양화간 19L13L7"</f>
        <v>양화간 19L13L7</v>
      </c>
      <c r="I12546" s="1" t="s">
        <v>8</v>
      </c>
      <c r="J12546" s="1" t="str">
        <f>"35/35"</f>
        <v>35/35</v>
      </c>
      <c r="K12546" s="1" t="str">
        <f>"2026-07-29 13:18:11"</f>
        <v>2026-07-29 13:18:11</v>
      </c>
      <c r="L12546" s="1" t="str">
        <f>"2019-12-24 16:48:18"</f>
        <v>2019-12-24 16:48:18</v>
      </c>
      <c r="M12546" s="1" t="s">
        <v>1</v>
      </c>
      <c r="N12546" s="1" t="s">
        <v>38</v>
      </c>
      <c r="O12546" s="1" t="s">
        <v>46</v>
      </c>
    </row>
    <row r="12547" spans="2:15" x14ac:dyDescent="0.3">
      <c r="B12547" s="1" t="s">
        <v>20</v>
      </c>
      <c r="C12547" s="1" t="str">
        <f>"4차"</f>
        <v>4차</v>
      </c>
      <c r="D12547" s="1" t="str">
        <f>"9725D86244"</f>
        <v>9725D86244</v>
      </c>
      <c r="E12547" s="1" t="s">
        <v>10</v>
      </c>
      <c r="F12547" s="1" t="str">
        <f>"10.10.87.122"</f>
        <v>10.10.87.122</v>
      </c>
      <c r="G12547" s="1" t="str">
        <f>"9725D862"</f>
        <v>9725D862</v>
      </c>
      <c r="H12547" s="1" t="str">
        <f>"와우지 6R2"</f>
        <v>와우지 6R2</v>
      </c>
      <c r="I12547" s="1" t="s">
        <v>8</v>
      </c>
      <c r="J12547" s="1" t="str">
        <f>"33/33"</f>
        <v>33/33</v>
      </c>
      <c r="K12547" s="1" t="str">
        <f>"2026-07-29 13:18:11"</f>
        <v>2026-07-29 13:18:11</v>
      </c>
      <c r="L12547" s="1" t="str">
        <f>"2019-12-17 15:53:00"</f>
        <v>2019-12-17 15:53:00</v>
      </c>
      <c r="M12547" s="1" t="s">
        <v>1</v>
      </c>
      <c r="N12547" s="1" t="s">
        <v>38</v>
      </c>
      <c r="O12547" s="1" t="s">
        <v>46</v>
      </c>
    </row>
    <row r="12548" spans="2:15" x14ac:dyDescent="0.3">
      <c r="B12548" s="1" t="s">
        <v>20</v>
      </c>
      <c r="C12548" s="1" t="str">
        <f>"4차"</f>
        <v>4차</v>
      </c>
      <c r="D12548" s="1" t="str">
        <f>"9725D87244"</f>
        <v>9725D87244</v>
      </c>
      <c r="E12548" s="1" t="s">
        <v>10</v>
      </c>
      <c r="F12548" s="1" t="str">
        <f>"10.10.92.42"</f>
        <v>10.10.92.42</v>
      </c>
      <c r="G12548" s="1" t="str">
        <f>"9725D872"</f>
        <v>9725D872</v>
      </c>
      <c r="H12548" s="1" t="str">
        <f>"와우지 6R3"</f>
        <v>와우지 6R3</v>
      </c>
      <c r="I12548" s="1" t="s">
        <v>8</v>
      </c>
      <c r="J12548" s="1" t="str">
        <f>"49/49"</f>
        <v>49/49</v>
      </c>
      <c r="K12548" s="1" t="str">
        <f>"2026-07-29 13:18:11"</f>
        <v>2026-07-29 13:18:11</v>
      </c>
      <c r="L12548" s="1" t="str">
        <f>"2019-12-11 18:05:11"</f>
        <v>2019-12-11 18:05:11</v>
      </c>
      <c r="M12548" s="1" t="s">
        <v>1</v>
      </c>
      <c r="N12548" s="1" t="s">
        <v>38</v>
      </c>
      <c r="O12548" s="1" t="s">
        <v>46</v>
      </c>
    </row>
    <row r="12549" spans="2:15" x14ac:dyDescent="0.3">
      <c r="B12549" s="1" t="s">
        <v>20</v>
      </c>
      <c r="C12549" s="1" t="str">
        <f>"1차"</f>
        <v>1차</v>
      </c>
      <c r="D12549" s="1" t="str">
        <f>"9725D88100"</f>
        <v>9725D88100</v>
      </c>
      <c r="E12549" s="1" t="s">
        <v>14</v>
      </c>
      <c r="F12549" s="1" t="str">
        <f>"10.125.128.125"</f>
        <v>10.125.128.125</v>
      </c>
      <c r="G12549" s="1" t="str">
        <f>"9725D881"</f>
        <v>9725D881</v>
      </c>
      <c r="H12549" s="1" t="str">
        <f>"와우지 6R4"</f>
        <v>와우지 6R4</v>
      </c>
      <c r="I12549" s="1" t="s">
        <v>8</v>
      </c>
      <c r="J12549" s="1" t="str">
        <f>"0/0"</f>
        <v>0/0</v>
      </c>
      <c r="K12549" s="1" t="str">
        <f>"2026-07-16 07:18:11"</f>
        <v>2026-07-16 07:18:11</v>
      </c>
      <c r="L12549" s="1" t="str">
        <f>"2014-11-04 14:44:17"</f>
        <v>2014-11-04 14:44:17</v>
      </c>
      <c r="M12549" s="1" t="s">
        <v>45</v>
      </c>
      <c r="N12549" s="1" t="s">
        <v>44</v>
      </c>
      <c r="O12549" s="1" t="s">
        <v>44</v>
      </c>
    </row>
    <row r="12550" spans="2:15" x14ac:dyDescent="0.3">
      <c r="B12550" s="1" t="s">
        <v>20</v>
      </c>
      <c r="C12550" s="1" t="str">
        <f>"1차"</f>
        <v>1차</v>
      </c>
      <c r="D12550" s="1" t="str">
        <f>"9725D88201"</f>
        <v>9725D88201</v>
      </c>
      <c r="E12550" s="1" t="s">
        <v>12</v>
      </c>
      <c r="F12550" s="1" t="str">
        <f>"10.125.128.127"</f>
        <v>10.125.128.127</v>
      </c>
      <c r="G12550" s="1" t="str">
        <f>"9725D882"</f>
        <v>9725D882</v>
      </c>
      <c r="H12550" s="1" t="str">
        <f>"와우지 6R5"</f>
        <v>와우지 6R5</v>
      </c>
      <c r="I12550" s="1" t="s">
        <v>8</v>
      </c>
      <c r="J12550" s="1" t="str">
        <f>"0/25"</f>
        <v>0/25</v>
      </c>
      <c r="K12550" s="1" t="str">
        <f>"2026-07-16 07:18:12"</f>
        <v>2026-07-16 07:18:12</v>
      </c>
      <c r="L12550" s="1" t="str">
        <f>"2014-11-14 18:00:48"</f>
        <v>2014-11-14 18:00:48</v>
      </c>
      <c r="M12550" s="1" t="s">
        <v>45</v>
      </c>
      <c r="N12550" s="1" t="s">
        <v>38</v>
      </c>
      <c r="O12550" s="1" t="s">
        <v>46</v>
      </c>
    </row>
    <row r="12551" spans="2:15" x14ac:dyDescent="0.3">
      <c r="B12551" s="1" t="s">
        <v>20</v>
      </c>
      <c r="C12551" s="1" t="str">
        <f>"6차"</f>
        <v>6차</v>
      </c>
      <c r="D12551" s="1" t="str">
        <f>"9725D9216M"</f>
        <v>9725D9216M</v>
      </c>
      <c r="E12551" s="1" t="s">
        <v>10</v>
      </c>
      <c r="F12551" s="1" t="str">
        <f>"fde1:103:4:c733:0:0:0:2"</f>
        <v>fde1:103:4:c733:0:0:0:2</v>
      </c>
      <c r="G12551" s="1" t="str">
        <f>"9725D921"</f>
        <v>9725D921</v>
      </c>
      <c r="H12551" s="1" t="str">
        <f>"양화간 19L13L4"</f>
        <v>양화간 19L13L4</v>
      </c>
      <c r="I12551" s="1" t="s">
        <v>15</v>
      </c>
      <c r="J12551" s="1" t="str">
        <f>"96/113"</f>
        <v>96/113</v>
      </c>
      <c r="K12551" s="1" t="str">
        <f>"2026-07-29 14:21:00"</f>
        <v>2026-07-29 14:21:00</v>
      </c>
      <c r="L12551" s="1" t="str">
        <f>"2024-11-25 10:43:35"</f>
        <v>2024-11-25 10:43:35</v>
      </c>
      <c r="M12551" s="1" t="s">
        <v>4</v>
      </c>
      <c r="N12551" s="1" t="s">
        <v>38</v>
      </c>
      <c r="O12551" s="1" t="s">
        <v>46</v>
      </c>
    </row>
    <row r="12552" spans="2:15" x14ac:dyDescent="0.3">
      <c r="B12552" s="1" t="s">
        <v>20</v>
      </c>
      <c r="C12552" s="1" t="str">
        <f>"4차"</f>
        <v>4차</v>
      </c>
      <c r="D12552" s="1" t="str">
        <f>"9725D95144"</f>
        <v>9725D95144</v>
      </c>
      <c r="E12552" s="1" t="s">
        <v>10</v>
      </c>
      <c r="F12552" s="1" t="str">
        <f>"10.10.92.26"</f>
        <v>10.10.92.26</v>
      </c>
      <c r="G12552" s="1" t="str">
        <f>"9725D951"</f>
        <v>9725D951</v>
      </c>
      <c r="H12552" s="1" t="str">
        <f>"와우지 6"</f>
        <v>와우지 6</v>
      </c>
      <c r="I12552" s="1" t="s">
        <v>8</v>
      </c>
      <c r="J12552" s="1" t="str">
        <f>"23/23"</f>
        <v>23/23</v>
      </c>
      <c r="K12552" s="1" t="str">
        <f>"2026-07-29 13:18:11"</f>
        <v>2026-07-29 13:18:11</v>
      </c>
      <c r="L12552" s="1" t="str">
        <f>"2020-02-10 18:35:04"</f>
        <v>2020-02-10 18:35:04</v>
      </c>
      <c r="M12552" s="1" t="s">
        <v>1</v>
      </c>
      <c r="N12552" s="1" t="s">
        <v>38</v>
      </c>
      <c r="O12552" s="1" t="s">
        <v>46</v>
      </c>
    </row>
    <row r="12553" spans="2:15" x14ac:dyDescent="0.3">
      <c r="B12553" s="1" t="s">
        <v>20</v>
      </c>
      <c r="C12553" s="1" t="str">
        <f>"4차"</f>
        <v>4차</v>
      </c>
      <c r="D12553" s="1" t="str">
        <f>"9725D95244"</f>
        <v>9725D95244</v>
      </c>
      <c r="E12553" s="1" t="s">
        <v>10</v>
      </c>
      <c r="F12553" s="1" t="str">
        <f>"10.10.92.34"</f>
        <v>10.10.92.34</v>
      </c>
      <c r="G12553" s="1" t="str">
        <f>"9725D952"</f>
        <v>9725D952</v>
      </c>
      <c r="H12553" s="1" t="str">
        <f>"와우지 6R1"</f>
        <v>와우지 6R1</v>
      </c>
      <c r="I12553" s="1" t="s">
        <v>8</v>
      </c>
      <c r="J12553" s="1" t="str">
        <f>"55/55"</f>
        <v>55/55</v>
      </c>
      <c r="K12553" s="1" t="str">
        <f>"2026-07-29 13:18:11"</f>
        <v>2026-07-29 13:18:11</v>
      </c>
      <c r="L12553" s="1" t="str">
        <f>"2020-01-10 17:12:02"</f>
        <v>2020-01-10 17:12:02</v>
      </c>
      <c r="M12553" s="1" t="s">
        <v>1</v>
      </c>
      <c r="N12553" s="1" t="s">
        <v>38</v>
      </c>
      <c r="O12553" s="1" t="s">
        <v>46</v>
      </c>
    </row>
    <row r="12554" spans="2:15" x14ac:dyDescent="0.3">
      <c r="B12554" s="1" t="s">
        <v>20</v>
      </c>
      <c r="C12554" s="1" t="str">
        <f>"4차"</f>
        <v>4차</v>
      </c>
      <c r="D12554" s="1" t="str">
        <f>"9725D96344"</f>
        <v>9725D96344</v>
      </c>
      <c r="E12554" s="1" t="s">
        <v>10</v>
      </c>
      <c r="F12554" s="1" t="str">
        <f>"10.10.91.34"</f>
        <v>10.10.91.34</v>
      </c>
      <c r="G12554" s="1" t="str">
        <f>"9725D963"</f>
        <v>9725D963</v>
      </c>
      <c r="H12554" s="1" t="str">
        <f>"와우지 4"</f>
        <v>와우지 4</v>
      </c>
      <c r="I12554" s="1" t="s">
        <v>8</v>
      </c>
      <c r="J12554" s="1" t="str">
        <f>"23/23"</f>
        <v>23/23</v>
      </c>
      <c r="K12554" s="1" t="str">
        <f>"2026-07-29 13:18:11"</f>
        <v>2026-07-29 13:18:11</v>
      </c>
      <c r="L12554" s="1" t="str">
        <f>"2020-01-18 15:08:36"</f>
        <v>2020-01-18 15:08:36</v>
      </c>
      <c r="M12554" s="1" t="s">
        <v>1</v>
      </c>
      <c r="N12554" s="1" t="s">
        <v>38</v>
      </c>
      <c r="O12554" s="1" t="s">
        <v>46</v>
      </c>
    </row>
    <row r="12555" spans="2:15" x14ac:dyDescent="0.3">
      <c r="B12555" s="1" t="s">
        <v>20</v>
      </c>
      <c r="C12555" s="1" t="str">
        <f>"1차"</f>
        <v>1차</v>
      </c>
      <c r="D12555" s="1" t="str">
        <f>"9725D97200"</f>
        <v>9725D97200</v>
      </c>
      <c r="E12555" s="1" t="s">
        <v>10</v>
      </c>
      <c r="F12555" s="1" t="str">
        <f>"10.125.129.65"</f>
        <v>10.125.129.65</v>
      </c>
      <c r="G12555" s="1" t="str">
        <f>"9725D972"</f>
        <v>9725D972</v>
      </c>
      <c r="H12555" s="1" t="str">
        <f>"와우지 3L1"</f>
        <v>와우지 3L1</v>
      </c>
      <c r="I12555" s="1" t="s">
        <v>8</v>
      </c>
      <c r="J12555" s="1" t="str">
        <f>"41/42"</f>
        <v>41/42</v>
      </c>
      <c r="K12555" s="1" t="str">
        <f>"2026-07-29 13:18:12"</f>
        <v>2026-07-29 13:18:12</v>
      </c>
      <c r="L12555" s="1" t="str">
        <f>"2014-08-02 15:42:47"</f>
        <v>2014-08-02 15:42:47</v>
      </c>
      <c r="M12555" s="1" t="s">
        <v>45</v>
      </c>
      <c r="N12555" s="1" t="s">
        <v>38</v>
      </c>
      <c r="O12555" s="1" t="s">
        <v>46</v>
      </c>
    </row>
    <row r="12556" spans="2:15" x14ac:dyDescent="0.3">
      <c r="B12556" s="1" t="s">
        <v>20</v>
      </c>
      <c r="C12556" s="1" t="str">
        <f>"4차"</f>
        <v>4차</v>
      </c>
      <c r="D12556" s="1" t="str">
        <f>"9725D99439"</f>
        <v>9725D99439</v>
      </c>
      <c r="E12556" s="1" t="s">
        <v>10</v>
      </c>
      <c r="F12556" s="1" t="str">
        <f>"10.12.134.119"</f>
        <v>10.12.134.119</v>
      </c>
      <c r="G12556" s="1" t="str">
        <f>"9725D994"</f>
        <v>9725D994</v>
      </c>
      <c r="H12556" s="1" t="str">
        <f>"신촌로 6"</f>
        <v>신촌로 6</v>
      </c>
      <c r="I12556" s="1" t="s">
        <v>17</v>
      </c>
      <c r="J12556" s="1" t="str">
        <f>"7/7"</f>
        <v>7/7</v>
      </c>
      <c r="K12556" s="1" t="str">
        <f>"2026-07-29 13:18:12"</f>
        <v>2026-07-29 13:18:12</v>
      </c>
      <c r="L12556" s="1" t="str">
        <f>"2018-06-20 10:31:11"</f>
        <v>2018-06-20 10:31:11</v>
      </c>
      <c r="M12556" s="1" t="s">
        <v>0</v>
      </c>
      <c r="N12556" s="1" t="s">
        <v>38</v>
      </c>
      <c r="O12556" s="1" t="s">
        <v>46</v>
      </c>
    </row>
    <row r="12557" spans="2:15" x14ac:dyDescent="0.3">
      <c r="B12557" s="1" t="s">
        <v>20</v>
      </c>
      <c r="C12557" s="1" t="str">
        <f>"6차"</f>
        <v>6차</v>
      </c>
      <c r="D12557" s="1" t="str">
        <f>"9725G0126M"</f>
        <v>9725G0126M</v>
      </c>
      <c r="E12557" s="1" t="s">
        <v>10</v>
      </c>
      <c r="F12557" s="1" t="str">
        <f>"fde1:103:4:c72c:0:0:0:2"</f>
        <v>fde1:103:4:c72c:0:0:0:2</v>
      </c>
      <c r="G12557" s="1" t="str">
        <f>"9725G012"</f>
        <v>9725G012</v>
      </c>
      <c r="H12557" s="1" t="str">
        <f>"양화간 19L13L2"</f>
        <v>양화간 19L13L2</v>
      </c>
      <c r="I12557" s="1" t="s">
        <v>15</v>
      </c>
      <c r="J12557" s="1" t="str">
        <f>"22/22"</f>
        <v>22/22</v>
      </c>
      <c r="K12557" s="1" t="str">
        <f>"2026-07-29 14:21:22"</f>
        <v>2026-07-29 14:21:22</v>
      </c>
      <c r="L12557" s="1" t="str">
        <f>"2024-11-25 10:44:37"</f>
        <v>2024-11-25 10:44:37</v>
      </c>
      <c r="M12557" s="1" t="s">
        <v>4</v>
      </c>
      <c r="N12557" s="1" t="s">
        <v>38</v>
      </c>
      <c r="O12557" s="1" t="s">
        <v>46</v>
      </c>
    </row>
    <row r="12558" spans="2:15" x14ac:dyDescent="0.3">
      <c r="B12558" s="1" t="s">
        <v>20</v>
      </c>
      <c r="C12558" s="1" t="str">
        <f>"4차"</f>
        <v>4차</v>
      </c>
      <c r="D12558" s="1" t="str">
        <f>"9725G04244"</f>
        <v>9725G04244</v>
      </c>
      <c r="E12558" s="1" t="s">
        <v>10</v>
      </c>
      <c r="F12558" s="1" t="str">
        <f>"10.10.92.2"</f>
        <v>10.10.92.2</v>
      </c>
      <c r="G12558" s="1" t="str">
        <f>"9725G042"</f>
        <v>9725G042</v>
      </c>
      <c r="H12558" s="1" t="str">
        <f>"와우지 5L11"</f>
        <v>와우지 5L11</v>
      </c>
      <c r="I12558" s="1" t="s">
        <v>8</v>
      </c>
      <c r="J12558" s="1" t="str">
        <f>"134/134"</f>
        <v>134/134</v>
      </c>
      <c r="K12558" s="1" t="str">
        <f>"2026-07-29 13:18:11"</f>
        <v>2026-07-29 13:18:11</v>
      </c>
      <c r="L12558" s="1" t="str">
        <f>"2019-12-11 18:06:06"</f>
        <v>2019-12-11 18:06:06</v>
      </c>
      <c r="M12558" s="1" t="s">
        <v>1</v>
      </c>
      <c r="N12558" s="1" t="s">
        <v>38</v>
      </c>
      <c r="O12558" s="1" t="s">
        <v>46</v>
      </c>
    </row>
    <row r="12559" spans="2:15" x14ac:dyDescent="0.3">
      <c r="B12559" s="1" t="s">
        <v>20</v>
      </c>
      <c r="C12559" s="1" t="str">
        <f>"4차"</f>
        <v>4차</v>
      </c>
      <c r="D12559" s="1" t="str">
        <f>"9725G06144"</f>
        <v>9725G06144</v>
      </c>
      <c r="E12559" s="1" t="s">
        <v>10</v>
      </c>
      <c r="F12559" s="1" t="str">
        <f>"10.10.92.10"</f>
        <v>10.10.92.10</v>
      </c>
      <c r="G12559" s="1" t="str">
        <f>"9725G061"</f>
        <v>9725G061</v>
      </c>
      <c r="H12559" s="1" t="str">
        <f>"와우지 5L2"</f>
        <v>와우지 5L2</v>
      </c>
      <c r="I12559" s="1" t="s">
        <v>8</v>
      </c>
      <c r="J12559" s="1" t="str">
        <f>"68/68"</f>
        <v>68/68</v>
      </c>
      <c r="K12559" s="1" t="str">
        <f>"2026-07-29 13:18:11"</f>
        <v>2026-07-29 13:18:11</v>
      </c>
      <c r="L12559" s="1" t="str">
        <f>"2019-12-11 18:11:01"</f>
        <v>2019-12-11 18:11:01</v>
      </c>
      <c r="M12559" s="1" t="s">
        <v>1</v>
      </c>
      <c r="N12559" s="1" t="s">
        <v>38</v>
      </c>
      <c r="O12559" s="1" t="s">
        <v>46</v>
      </c>
    </row>
    <row r="12560" spans="2:15" x14ac:dyDescent="0.3">
      <c r="B12560" s="1" t="s">
        <v>20</v>
      </c>
      <c r="C12560" s="1" t="str">
        <f>"4차"</f>
        <v>4차</v>
      </c>
      <c r="D12560" s="1" t="str">
        <f>"9725G07144"</f>
        <v>9725G07144</v>
      </c>
      <c r="E12560" s="1" t="s">
        <v>10</v>
      </c>
      <c r="F12560" s="1" t="str">
        <f>"10.10.91.10"</f>
        <v>10.10.91.10</v>
      </c>
      <c r="G12560" s="1" t="str">
        <f>"9725G071"</f>
        <v>9725G071</v>
      </c>
      <c r="H12560" s="1" t="str">
        <f>"와우지 3L2"</f>
        <v>와우지 3L2</v>
      </c>
      <c r="I12560" s="1" t="s">
        <v>8</v>
      </c>
      <c r="J12560" s="1" t="str">
        <f>"15/15"</f>
        <v>15/15</v>
      </c>
      <c r="K12560" s="1" t="str">
        <f>"2026-07-29 13:18:11"</f>
        <v>2026-07-29 13:18:11</v>
      </c>
      <c r="L12560" s="1" t="str">
        <f>"2019-12-11 18:08:12"</f>
        <v>2019-12-11 18:08:12</v>
      </c>
      <c r="M12560" s="1" t="s">
        <v>1</v>
      </c>
      <c r="N12560" s="1" t="s">
        <v>38</v>
      </c>
      <c r="O12560" s="1" t="s">
        <v>46</v>
      </c>
    </row>
    <row r="12561" spans="2:15" x14ac:dyDescent="0.3">
      <c r="B12561" s="1" t="s">
        <v>20</v>
      </c>
      <c r="C12561" s="1" t="str">
        <f>"3차"</f>
        <v>3차</v>
      </c>
      <c r="D12561" s="1" t="str">
        <f>"9725G14139"</f>
        <v>9725G14139</v>
      </c>
      <c r="E12561" s="1" t="s">
        <v>10</v>
      </c>
      <c r="F12561" s="1" t="str">
        <f>"10.12.129.216"</f>
        <v>10.12.129.216</v>
      </c>
      <c r="G12561" s="1" t="str">
        <f>"9725G141"</f>
        <v>9725G141</v>
      </c>
      <c r="H12561" s="1" t="str">
        <f>"와우지 5L9"</f>
        <v>와우지 5L9</v>
      </c>
      <c r="I12561" s="1" t="s">
        <v>8</v>
      </c>
      <c r="J12561" s="1" t="str">
        <f>"73/73"</f>
        <v>73/73</v>
      </c>
      <c r="K12561" s="1" t="str">
        <f>"2026-07-29 13:18:12"</f>
        <v>2026-07-29 13:18:12</v>
      </c>
      <c r="L12561" s="1" t="str">
        <f>"2018-04-18 15:32:13"</f>
        <v>2018-04-18 15:32:13</v>
      </c>
      <c r="M12561" s="1" t="s">
        <v>0</v>
      </c>
      <c r="N12561" s="1" t="s">
        <v>38</v>
      </c>
      <c r="O12561" s="1" t="s">
        <v>46</v>
      </c>
    </row>
    <row r="12562" spans="2:15" x14ac:dyDescent="0.3">
      <c r="B12562" s="1" t="s">
        <v>20</v>
      </c>
      <c r="C12562" s="1" t="str">
        <f>"4차"</f>
        <v>4차</v>
      </c>
      <c r="D12562" s="1" t="str">
        <f>"9725G15144"</f>
        <v>9725G15144</v>
      </c>
      <c r="E12562" s="1" t="s">
        <v>10</v>
      </c>
      <c r="F12562" s="1" t="str">
        <f>"10.10.92.18"</f>
        <v>10.10.92.18</v>
      </c>
      <c r="G12562" s="1" t="str">
        <f>"9725G151"</f>
        <v>9725G151</v>
      </c>
      <c r="H12562" s="1" t="str">
        <f>"와우지 5L4"</f>
        <v>와우지 5L4</v>
      </c>
      <c r="I12562" s="1" t="s">
        <v>8</v>
      </c>
      <c r="J12562" s="1" t="str">
        <f>"101/106"</f>
        <v>101/106</v>
      </c>
      <c r="K12562" s="1" t="str">
        <f>"2026-07-29 13:18:11"</f>
        <v>2026-07-29 13:18:11</v>
      </c>
      <c r="L12562" s="1" t="str">
        <f>"2019-12-11 18:12:35"</f>
        <v>2019-12-11 18:12:35</v>
      </c>
      <c r="M12562" s="1" t="s">
        <v>1</v>
      </c>
      <c r="N12562" s="1" t="s">
        <v>38</v>
      </c>
      <c r="O12562" s="1" t="s">
        <v>46</v>
      </c>
    </row>
    <row r="12563" spans="2:15" x14ac:dyDescent="0.3">
      <c r="B12563" s="1" t="s">
        <v>20</v>
      </c>
      <c r="C12563" s="1" t="str">
        <f>"4차"</f>
        <v>4차</v>
      </c>
      <c r="D12563" s="1" t="str">
        <f>"9725G15239"</f>
        <v>9725G15239</v>
      </c>
      <c r="E12563" s="1" t="s">
        <v>10</v>
      </c>
      <c r="F12563" s="1" t="str">
        <f>"10.12.129.166"</f>
        <v>10.12.129.166</v>
      </c>
      <c r="G12563" s="1" t="str">
        <f>"9725G152"</f>
        <v>9725G152</v>
      </c>
      <c r="H12563" s="1" t="str">
        <f>"와우지 5L3"</f>
        <v>와우지 5L3</v>
      </c>
      <c r="I12563" s="1" t="s">
        <v>8</v>
      </c>
      <c r="J12563" s="1" t="str">
        <f>"30/30"</f>
        <v>30/30</v>
      </c>
      <c r="K12563" s="1" t="str">
        <f>"2026-07-29 13:18:12"</f>
        <v>2026-07-29 13:18:12</v>
      </c>
      <c r="L12563" s="1" t="str">
        <f>"2018-04-18 14:52:42"</f>
        <v>2018-04-18 14:52:42</v>
      </c>
      <c r="M12563" s="1" t="s">
        <v>0</v>
      </c>
      <c r="N12563" s="1" t="s">
        <v>38</v>
      </c>
      <c r="O12563" s="1" t="s">
        <v>46</v>
      </c>
    </row>
    <row r="12564" spans="2:15" x14ac:dyDescent="0.3">
      <c r="B12564" s="1" t="s">
        <v>20</v>
      </c>
      <c r="C12564" s="1" t="str">
        <f>"4차"</f>
        <v>4차</v>
      </c>
      <c r="D12564" s="1" t="str">
        <f>"9725G16144"</f>
        <v>9725G16144</v>
      </c>
      <c r="E12564" s="1" t="s">
        <v>10</v>
      </c>
      <c r="F12564" s="1" t="str">
        <f>"10.10.91.18"</f>
        <v>10.10.91.18</v>
      </c>
      <c r="G12564" s="1" t="str">
        <f>"9725G161"</f>
        <v>9725G161</v>
      </c>
      <c r="H12564" s="1" t="str">
        <f>"와우지 3L4"</f>
        <v>와우지 3L4</v>
      </c>
      <c r="I12564" s="1" t="s">
        <v>8</v>
      </c>
      <c r="J12564" s="1" t="str">
        <f>"34/34"</f>
        <v>34/34</v>
      </c>
      <c r="K12564" s="1" t="str">
        <f>"2026-07-29 13:18:11"</f>
        <v>2026-07-29 13:18:11</v>
      </c>
      <c r="L12564" s="1" t="str">
        <f>"2020-01-18 14:55:08"</f>
        <v>2020-01-18 14:55:08</v>
      </c>
      <c r="M12564" s="1" t="s">
        <v>1</v>
      </c>
      <c r="N12564" s="1" t="s">
        <v>38</v>
      </c>
      <c r="O12564" s="1" t="s">
        <v>46</v>
      </c>
    </row>
    <row r="12565" spans="2:15" x14ac:dyDescent="0.3">
      <c r="B12565" s="1" t="s">
        <v>20</v>
      </c>
      <c r="C12565" s="1" t="str">
        <f>"4차"</f>
        <v>4차</v>
      </c>
      <c r="D12565" s="1" t="str">
        <f>"9725G17244"</f>
        <v>9725G17244</v>
      </c>
      <c r="E12565" s="1" t="s">
        <v>10</v>
      </c>
      <c r="F12565" s="1" t="str">
        <f>"10.10.91.2"</f>
        <v>10.10.91.2</v>
      </c>
      <c r="G12565" s="1" t="str">
        <f>"9725G172"</f>
        <v>9725G172</v>
      </c>
      <c r="H12565" s="1" t="str">
        <f>"와우지 1L3"</f>
        <v>와우지 1L3</v>
      </c>
      <c r="I12565" s="1" t="s">
        <v>8</v>
      </c>
      <c r="J12565" s="1" t="str">
        <f>"10/10"</f>
        <v>10/10</v>
      </c>
      <c r="K12565" s="1" t="str">
        <f>"2026-07-29 13:18:11"</f>
        <v>2026-07-29 13:18:11</v>
      </c>
      <c r="L12565" s="1" t="str">
        <f>"2019-12-24 16:45:46"</f>
        <v>2019-12-24 16:45:46</v>
      </c>
      <c r="M12565" s="1" t="s">
        <v>1</v>
      </c>
      <c r="N12565" s="1" t="s">
        <v>38</v>
      </c>
      <c r="O12565" s="1" t="s">
        <v>46</v>
      </c>
    </row>
    <row r="12566" spans="2:15" x14ac:dyDescent="0.3">
      <c r="B12566" s="1" t="s">
        <v>20</v>
      </c>
      <c r="C12566" s="1" t="str">
        <f>"3차"</f>
        <v>3차</v>
      </c>
      <c r="D12566" s="1" t="str">
        <f>"9725G25139"</f>
        <v>9725G25139</v>
      </c>
      <c r="E12566" s="1" t="s">
        <v>14</v>
      </c>
      <c r="F12566" s="1" t="str">
        <f>"10.12.129.238"</f>
        <v>10.12.129.238</v>
      </c>
      <c r="G12566" s="1" t="str">
        <f>"9725G251"</f>
        <v>9725G251</v>
      </c>
      <c r="H12566" s="1" t="str">
        <f>"와우지 5L6"</f>
        <v>와우지 5L6</v>
      </c>
      <c r="I12566" s="1" t="s">
        <v>8</v>
      </c>
      <c r="J12566" s="1" t="str">
        <f>"0/0"</f>
        <v>0/0</v>
      </c>
      <c r="K12566" s="1" t="str">
        <f>"2026-07-28 13:18:11"</f>
        <v>2026-07-28 13:18:11</v>
      </c>
      <c r="L12566" s="1" t="str">
        <f>"2018-04-18 14:13:58"</f>
        <v>2018-04-18 14:13:58</v>
      </c>
      <c r="M12566" s="1" t="s">
        <v>0</v>
      </c>
      <c r="N12566" s="1" t="s">
        <v>39</v>
      </c>
      <c r="O12566" s="1" t="s">
        <v>46</v>
      </c>
    </row>
    <row r="12567" spans="2:15" x14ac:dyDescent="0.3">
      <c r="B12567" s="1" t="s">
        <v>20</v>
      </c>
      <c r="C12567" s="1" t="str">
        <f>"3차"</f>
        <v>3차</v>
      </c>
      <c r="D12567" s="1" t="str">
        <f>"9725G26139"</f>
        <v>9725G26139</v>
      </c>
      <c r="E12567" s="1" t="s">
        <v>10</v>
      </c>
      <c r="F12567" s="1" t="str">
        <f>"10.12.130.10"</f>
        <v>10.12.130.10</v>
      </c>
      <c r="G12567" s="1" t="str">
        <f>"9725G261"</f>
        <v>9725G261</v>
      </c>
      <c r="H12567" s="1" t="str">
        <f>"와우지 1L5"</f>
        <v>와우지 1L5</v>
      </c>
      <c r="I12567" s="1" t="s">
        <v>8</v>
      </c>
      <c r="J12567" s="1" t="str">
        <f>"29/29"</f>
        <v>29/29</v>
      </c>
      <c r="K12567" s="1" t="str">
        <f>"2026-07-29 13:18:12"</f>
        <v>2026-07-29 13:18:12</v>
      </c>
      <c r="L12567" s="1" t="str">
        <f>"2018-04-18 12:51:56"</f>
        <v>2018-04-18 12:51:56</v>
      </c>
      <c r="M12567" s="1" t="s">
        <v>0</v>
      </c>
      <c r="N12567" s="1" t="s">
        <v>38</v>
      </c>
      <c r="O12567" s="1" t="s">
        <v>46</v>
      </c>
    </row>
    <row r="12568" spans="2:15" x14ac:dyDescent="0.3">
      <c r="B12568" s="1" t="s">
        <v>20</v>
      </c>
      <c r="C12568" s="1" t="str">
        <f>"4차"</f>
        <v>4차</v>
      </c>
      <c r="D12568" s="1" t="str">
        <f>"9725G26244"</f>
        <v>9725G26244</v>
      </c>
      <c r="E12568" s="1" t="s">
        <v>10</v>
      </c>
      <c r="F12568" s="1" t="str">
        <f>"10.10.91.26"</f>
        <v>10.10.91.26</v>
      </c>
      <c r="G12568" s="1" t="str">
        <f>"9725G262"</f>
        <v>9725G262</v>
      </c>
      <c r="H12568" s="1" t="str">
        <f>"와우지 3L5"</f>
        <v>와우지 3L5</v>
      </c>
      <c r="I12568" s="1" t="s">
        <v>8</v>
      </c>
      <c r="J12568" s="1" t="str">
        <f>"17/17"</f>
        <v>17/17</v>
      </c>
      <c r="K12568" s="1" t="str">
        <f>"2026-07-29 13:18:11"</f>
        <v>2026-07-29 13:18:11</v>
      </c>
      <c r="L12568" s="1" t="str">
        <f>"2019-12-11 18:12:03"</f>
        <v>2019-12-11 18:12:03</v>
      </c>
      <c r="M12568" s="1" t="s">
        <v>1</v>
      </c>
      <c r="N12568" s="1" t="s">
        <v>38</v>
      </c>
      <c r="O12568" s="1" t="s">
        <v>46</v>
      </c>
    </row>
    <row r="12569" spans="2:15" x14ac:dyDescent="0.3">
      <c r="B12569" s="1" t="s">
        <v>20</v>
      </c>
      <c r="C12569" s="1" t="str">
        <f>"4차"</f>
        <v>4차</v>
      </c>
      <c r="D12569" s="1" t="str">
        <f>"9725G27139"</f>
        <v>9725G27139</v>
      </c>
      <c r="E12569" s="1" t="s">
        <v>10</v>
      </c>
      <c r="F12569" s="1" t="str">
        <f>"10.12.132.231"</f>
        <v>10.12.132.231</v>
      </c>
      <c r="G12569" s="1" t="str">
        <f>"9725G271"</f>
        <v>9725G271</v>
      </c>
      <c r="H12569" s="1" t="str">
        <f>"신촌로 9"</f>
        <v>신촌로 9</v>
      </c>
      <c r="I12569" s="1" t="s">
        <v>17</v>
      </c>
      <c r="J12569" s="1" t="str">
        <f>"5/5"</f>
        <v>5/5</v>
      </c>
      <c r="K12569" s="1" t="str">
        <f>"2026-07-29 13:18:12"</f>
        <v>2026-07-29 13:18:12</v>
      </c>
      <c r="L12569" s="1" t="str">
        <f>"2018-06-20 11:01:42"</f>
        <v>2018-06-20 11:01:42</v>
      </c>
      <c r="M12569" s="1" t="s">
        <v>0</v>
      </c>
      <c r="N12569" s="1" t="s">
        <v>38</v>
      </c>
      <c r="O12569" s="1" t="s">
        <v>46</v>
      </c>
    </row>
    <row r="12570" spans="2:15" x14ac:dyDescent="0.3">
      <c r="B12570" s="1" t="s">
        <v>20</v>
      </c>
      <c r="C12570" s="1" t="str">
        <f>"3차"</f>
        <v>3차</v>
      </c>
      <c r="D12570" s="1" t="str">
        <f>"9725G31339"</f>
        <v>9725G31339</v>
      </c>
      <c r="E12570" s="1" t="s">
        <v>10</v>
      </c>
      <c r="F12570" s="1" t="str">
        <f>"10.12.129.217"</f>
        <v>10.12.129.217</v>
      </c>
      <c r="G12570" s="1" t="str">
        <f>"9725G313"</f>
        <v>9725G313</v>
      </c>
      <c r="H12570" s="1" t="str">
        <f>"서강간 25L10"</f>
        <v>서강간 25L10</v>
      </c>
      <c r="I12570" s="1" t="s">
        <v>8</v>
      </c>
      <c r="J12570" s="1" t="str">
        <f>"7/7"</f>
        <v>7/7</v>
      </c>
      <c r="K12570" s="1" t="str">
        <f>"2026-07-29 13:18:12"</f>
        <v>2026-07-29 13:18:12</v>
      </c>
      <c r="L12570" s="1" t="str">
        <f>"2018-04-18 16:15:44"</f>
        <v>2018-04-18 16:15:44</v>
      </c>
      <c r="M12570" s="1" t="s">
        <v>0</v>
      </c>
      <c r="N12570" s="1" t="s">
        <v>38</v>
      </c>
      <c r="O12570" s="1" t="s">
        <v>46</v>
      </c>
    </row>
    <row r="12571" spans="2:15" x14ac:dyDescent="0.3">
      <c r="B12571" s="1" t="s">
        <v>20</v>
      </c>
      <c r="C12571" s="1" t="str">
        <f t="shared" ref="C12571:C12583" si="634">"4차"</f>
        <v>4차</v>
      </c>
      <c r="D12571" s="1" t="str">
        <f>"9725G32144"</f>
        <v>9725G32144</v>
      </c>
      <c r="E12571" s="1" t="s">
        <v>10</v>
      </c>
      <c r="F12571" s="1" t="str">
        <f>"10.10.81.218"</f>
        <v>10.10.81.218</v>
      </c>
      <c r="G12571" s="1" t="str">
        <f>"9725G321"</f>
        <v>9725G321</v>
      </c>
      <c r="H12571" s="1" t="str">
        <f>"서강간 25L6"</f>
        <v>서강간 25L6</v>
      </c>
      <c r="I12571" s="1" t="s">
        <v>8</v>
      </c>
      <c r="J12571" s="1" t="str">
        <f>"23/27"</f>
        <v>23/27</v>
      </c>
      <c r="K12571" s="1" t="str">
        <f>"2026-07-29 13:18:11"</f>
        <v>2026-07-29 13:18:11</v>
      </c>
      <c r="L12571" s="1" t="str">
        <f>"2019-12-11 18:07:48"</f>
        <v>2019-12-11 18:07:48</v>
      </c>
      <c r="M12571" s="1" t="s">
        <v>1</v>
      </c>
      <c r="N12571" s="1" t="s">
        <v>38</v>
      </c>
      <c r="O12571" s="1" t="s">
        <v>46</v>
      </c>
    </row>
    <row r="12572" spans="2:15" x14ac:dyDescent="0.3">
      <c r="B12572" s="1" t="s">
        <v>20</v>
      </c>
      <c r="C12572" s="1" t="str">
        <f t="shared" si="634"/>
        <v>4차</v>
      </c>
      <c r="D12572" s="1" t="str">
        <f>"9725G37139"</f>
        <v>9725G37139</v>
      </c>
      <c r="E12572" s="1" t="s">
        <v>14</v>
      </c>
      <c r="F12572" s="1" t="str">
        <f>"10.12.133.225"</f>
        <v>10.12.133.225</v>
      </c>
      <c r="G12572" s="1" t="str">
        <f>"9725G371"</f>
        <v>9725G371</v>
      </c>
      <c r="H12572" s="1" t="str">
        <f>"신촌로 11T"</f>
        <v>신촌로 11T</v>
      </c>
      <c r="I12572" s="1" t="s">
        <v>17</v>
      </c>
      <c r="J12572" s="1" t="str">
        <f>"0/0"</f>
        <v>0/0</v>
      </c>
      <c r="K12572" s="1" t="str">
        <f>"2026-06-10 07:18:12"</f>
        <v>2026-06-10 07:18:12</v>
      </c>
      <c r="L12572" s="1" t="str">
        <f>"2018-06-20 11:25:43"</f>
        <v>2018-06-20 11:25:43</v>
      </c>
      <c r="M12572" s="1" t="s">
        <v>0</v>
      </c>
      <c r="N12572" s="1" t="s">
        <v>39</v>
      </c>
      <c r="O12572" s="1" t="s">
        <v>46</v>
      </c>
    </row>
    <row r="12573" spans="2:15" x14ac:dyDescent="0.3">
      <c r="B12573" s="1" t="s">
        <v>20</v>
      </c>
      <c r="C12573" s="1" t="str">
        <f t="shared" si="634"/>
        <v>4차</v>
      </c>
      <c r="D12573" s="1" t="str">
        <f>"9725G37245"</f>
        <v>9725G37245</v>
      </c>
      <c r="E12573" s="1" t="s">
        <v>10</v>
      </c>
      <c r="F12573" s="1" t="str">
        <f>"10.12.134.106"</f>
        <v>10.12.134.106</v>
      </c>
      <c r="G12573" s="1" t="str">
        <f>"9725G372"</f>
        <v>9725G372</v>
      </c>
      <c r="H12573" s="1" t="str">
        <f>"신촌로 10"</f>
        <v>신촌로 10</v>
      </c>
      <c r="I12573" s="1" t="s">
        <v>17</v>
      </c>
      <c r="J12573" s="1" t="str">
        <f>"6/6"</f>
        <v>6/6</v>
      </c>
      <c r="K12573" s="1" t="str">
        <f>"2026-07-29 13:18:12"</f>
        <v>2026-07-29 13:18:12</v>
      </c>
      <c r="L12573" s="1" t="str">
        <f>"2026-01-16 18:15:22"</f>
        <v>2026-01-16 18:15:22</v>
      </c>
      <c r="M12573" s="1" t="s">
        <v>0</v>
      </c>
      <c r="N12573" s="1" t="s">
        <v>38</v>
      </c>
      <c r="O12573" s="1" t="s">
        <v>46</v>
      </c>
    </row>
    <row r="12574" spans="2:15" x14ac:dyDescent="0.3">
      <c r="B12574" s="1" t="s">
        <v>20</v>
      </c>
      <c r="C12574" s="1" t="str">
        <f t="shared" si="634"/>
        <v>4차</v>
      </c>
      <c r="D12574" s="1" t="str">
        <f>"9725G41144"</f>
        <v>9725G41144</v>
      </c>
      <c r="E12574" s="1" t="s">
        <v>10</v>
      </c>
      <c r="F12574" s="1" t="str">
        <f>"10.10.74.130"</f>
        <v>10.10.74.130</v>
      </c>
      <c r="G12574" s="1" t="str">
        <f>"9725G411"</f>
        <v>9725G411</v>
      </c>
      <c r="H12574" s="1" t="str">
        <f>"서강간 25L5L2R1"</f>
        <v>서강간 25L5L2R1</v>
      </c>
      <c r="I12574" s="1" t="s">
        <v>8</v>
      </c>
      <c r="J12574" s="1" t="str">
        <f>"29/29"</f>
        <v>29/29</v>
      </c>
      <c r="K12574" s="1" t="str">
        <f>"2026-07-29 13:18:11"</f>
        <v>2026-07-29 13:18:11</v>
      </c>
      <c r="L12574" s="1" t="str">
        <f>"2024-07-11 15:33:58"</f>
        <v>2024-07-11 15:33:58</v>
      </c>
      <c r="M12574" s="1" t="s">
        <v>1</v>
      </c>
      <c r="N12574" s="1" t="s">
        <v>38</v>
      </c>
      <c r="O12574" s="1" t="s">
        <v>46</v>
      </c>
    </row>
    <row r="12575" spans="2:15" x14ac:dyDescent="0.3">
      <c r="B12575" s="1" t="s">
        <v>20</v>
      </c>
      <c r="C12575" s="1" t="str">
        <f t="shared" si="634"/>
        <v>4차</v>
      </c>
      <c r="D12575" s="1" t="str">
        <f>"9725G42144"</f>
        <v>9725G42144</v>
      </c>
      <c r="E12575" s="1" t="s">
        <v>10</v>
      </c>
      <c r="F12575" s="1" t="str">
        <f>"10.10.108.18"</f>
        <v>10.10.108.18</v>
      </c>
      <c r="G12575" s="1" t="str">
        <f>"9725G421"</f>
        <v>9725G421</v>
      </c>
      <c r="H12575" s="1" t="str">
        <f>"서강간 25L5L1"</f>
        <v>서강간 25L5L1</v>
      </c>
      <c r="I12575" s="1" t="s">
        <v>8</v>
      </c>
      <c r="J12575" s="1" t="str">
        <f>"13/13"</f>
        <v>13/13</v>
      </c>
      <c r="K12575" s="1" t="str">
        <f>"2026-07-29 13:18:11"</f>
        <v>2026-07-29 13:18:11</v>
      </c>
      <c r="L12575" s="1" t="str">
        <f>"2019-12-11 18:05:10"</f>
        <v>2019-12-11 18:05:10</v>
      </c>
      <c r="M12575" s="1" t="s">
        <v>1</v>
      </c>
      <c r="N12575" s="1" t="s">
        <v>38</v>
      </c>
      <c r="O12575" s="1" t="s">
        <v>46</v>
      </c>
    </row>
    <row r="12576" spans="2:15" x14ac:dyDescent="0.3">
      <c r="B12576" s="1" t="s">
        <v>20</v>
      </c>
      <c r="C12576" s="1" t="str">
        <f t="shared" si="634"/>
        <v>4차</v>
      </c>
      <c r="D12576" s="1" t="str">
        <f>"9725G50144"</f>
        <v>9725G50144</v>
      </c>
      <c r="E12576" s="1" t="s">
        <v>10</v>
      </c>
      <c r="F12576" s="1" t="str">
        <f>"10.10.108.26"</f>
        <v>10.10.108.26</v>
      </c>
      <c r="G12576" s="1" t="str">
        <f>"9725G501"</f>
        <v>9725G501</v>
      </c>
      <c r="H12576" s="1" t="str">
        <f>"서강간 25L5L4R1"</f>
        <v>서강간 25L5L4R1</v>
      </c>
      <c r="I12576" s="1" t="s">
        <v>8</v>
      </c>
      <c r="J12576" s="1" t="str">
        <f>"7/7"</f>
        <v>7/7</v>
      </c>
      <c r="K12576" s="1" t="str">
        <f>"2026-07-29 13:18:11"</f>
        <v>2026-07-29 13:18:11</v>
      </c>
      <c r="L12576" s="1" t="str">
        <f>"2019-12-11 18:06:07"</f>
        <v>2019-12-11 18:06:07</v>
      </c>
      <c r="M12576" s="1" t="s">
        <v>1</v>
      </c>
      <c r="N12576" s="1" t="s">
        <v>38</v>
      </c>
      <c r="O12576" s="1" t="s">
        <v>46</v>
      </c>
    </row>
    <row r="12577" spans="2:15" x14ac:dyDescent="0.3">
      <c r="B12577" s="1" t="s">
        <v>20</v>
      </c>
      <c r="C12577" s="1" t="str">
        <f t="shared" si="634"/>
        <v>4차</v>
      </c>
      <c r="D12577" s="1" t="str">
        <f>"9725G62144"</f>
        <v>9725G62144</v>
      </c>
      <c r="E12577" s="1" t="s">
        <v>10</v>
      </c>
      <c r="F12577" s="1" t="str">
        <f>"10.10.108.58"</f>
        <v>10.10.108.58</v>
      </c>
      <c r="G12577" s="1" t="str">
        <f>"9725G621"</f>
        <v>9725G621</v>
      </c>
      <c r="H12577" s="1" t="str">
        <f>"서강간 25L5L7"</f>
        <v>서강간 25L5L7</v>
      </c>
      <c r="I12577" s="1" t="s">
        <v>8</v>
      </c>
      <c r="J12577" s="1" t="str">
        <f>"23/23"</f>
        <v>23/23</v>
      </c>
      <c r="K12577" s="1" t="str">
        <f>"2026-07-29 13:18:11"</f>
        <v>2026-07-29 13:18:11</v>
      </c>
      <c r="L12577" s="1" t="str">
        <f>"2019-12-11 17:58:36"</f>
        <v>2019-12-11 17:58:36</v>
      </c>
      <c r="M12577" s="1" t="s">
        <v>1</v>
      </c>
      <c r="N12577" s="1" t="s">
        <v>38</v>
      </c>
      <c r="O12577" s="1" t="s">
        <v>46</v>
      </c>
    </row>
    <row r="12578" spans="2:15" x14ac:dyDescent="0.3">
      <c r="B12578" s="1" t="s">
        <v>20</v>
      </c>
      <c r="C12578" s="1" t="str">
        <f t="shared" si="634"/>
        <v>4차</v>
      </c>
      <c r="D12578" s="1" t="str">
        <f>"9725G82144"</f>
        <v>9725G82144</v>
      </c>
      <c r="E12578" s="1" t="s">
        <v>10</v>
      </c>
      <c r="F12578" s="1" t="str">
        <f>"10.12.138.88"</f>
        <v>10.12.138.88</v>
      </c>
      <c r="G12578" s="1" t="str">
        <f>"9725G821"</f>
        <v>9725G821</v>
      </c>
      <c r="H12578" s="1" t="str">
        <f>"서강간 5R18R1"</f>
        <v>서강간 5R18R1</v>
      </c>
      <c r="I12578" s="1" t="s">
        <v>8</v>
      </c>
      <c r="J12578" s="1" t="str">
        <f>"21/21"</f>
        <v>21/21</v>
      </c>
      <c r="K12578" s="1" t="str">
        <f>"2026-07-29 13:18:12"</f>
        <v>2026-07-29 13:18:12</v>
      </c>
      <c r="L12578" s="1" t="str">
        <f>"2020-01-10 09:58:28"</f>
        <v>2020-01-10 09:58:28</v>
      </c>
      <c r="M12578" s="1" t="s">
        <v>0</v>
      </c>
      <c r="N12578" s="1" t="s">
        <v>38</v>
      </c>
      <c r="O12578" s="1" t="s">
        <v>46</v>
      </c>
    </row>
    <row r="12579" spans="2:15" x14ac:dyDescent="0.3">
      <c r="B12579" s="1" t="s">
        <v>20</v>
      </c>
      <c r="C12579" s="1" t="str">
        <f t="shared" si="634"/>
        <v>4차</v>
      </c>
      <c r="D12579" s="1" t="str">
        <f>"9725G84144"</f>
        <v>9725G84144</v>
      </c>
      <c r="E12579" s="1" t="s">
        <v>10</v>
      </c>
      <c r="F12579" s="1" t="str">
        <f>"10.10.77.18"</f>
        <v>10.10.77.18</v>
      </c>
      <c r="G12579" s="1" t="str">
        <f>"9725G841"</f>
        <v>9725G841</v>
      </c>
      <c r="H12579" s="1" t="str">
        <f>"서강간 29"</f>
        <v>서강간 29</v>
      </c>
      <c r="I12579" s="1" t="s">
        <v>8</v>
      </c>
      <c r="J12579" s="1" t="str">
        <f>"12/12"</f>
        <v>12/12</v>
      </c>
      <c r="K12579" s="1" t="str">
        <f>"2026-07-29 13:18:11"</f>
        <v>2026-07-29 13:18:11</v>
      </c>
      <c r="L12579" s="1" t="str">
        <f>"2019-12-11 18:05:15"</f>
        <v>2019-12-11 18:05:15</v>
      </c>
      <c r="M12579" s="1" t="s">
        <v>1</v>
      </c>
      <c r="N12579" s="1" t="s">
        <v>38</v>
      </c>
      <c r="O12579" s="1" t="s">
        <v>46</v>
      </c>
    </row>
    <row r="12580" spans="2:15" x14ac:dyDescent="0.3">
      <c r="B12580" s="1" t="s">
        <v>20</v>
      </c>
      <c r="C12580" s="1" t="str">
        <f t="shared" si="634"/>
        <v>4차</v>
      </c>
      <c r="D12580" s="1" t="str">
        <f>"9725G91244"</f>
        <v>9725G91244</v>
      </c>
      <c r="E12580" s="1" t="s">
        <v>10</v>
      </c>
      <c r="F12580" s="1" t="str">
        <f>"10.10.81.194"</f>
        <v>10.10.81.194</v>
      </c>
      <c r="G12580" s="1" t="str">
        <f>"9725G912"</f>
        <v>9725G912</v>
      </c>
      <c r="H12580" s="1" t="str">
        <f>"서강간 31R6R4"</f>
        <v>서강간 31R6R4</v>
      </c>
      <c r="I12580" s="1" t="s">
        <v>8</v>
      </c>
      <c r="J12580" s="1" t="str">
        <f>"32/32"</f>
        <v>32/32</v>
      </c>
      <c r="K12580" s="1" t="str">
        <f>"2026-07-29 13:18:11"</f>
        <v>2026-07-29 13:18:11</v>
      </c>
      <c r="L12580" s="1" t="str">
        <f>"2019-12-11 18:06:28"</f>
        <v>2019-12-11 18:06:28</v>
      </c>
      <c r="M12580" s="1" t="s">
        <v>1</v>
      </c>
      <c r="N12580" s="1" t="s">
        <v>38</v>
      </c>
      <c r="O12580" s="1" t="s">
        <v>46</v>
      </c>
    </row>
    <row r="12581" spans="2:15" x14ac:dyDescent="0.3">
      <c r="B12581" s="1" t="s">
        <v>20</v>
      </c>
      <c r="C12581" s="1" t="str">
        <f t="shared" si="634"/>
        <v>4차</v>
      </c>
      <c r="D12581" s="1" t="str">
        <f>"9725G93144"</f>
        <v>9725G93144</v>
      </c>
      <c r="E12581" s="1" t="s">
        <v>10</v>
      </c>
      <c r="F12581" s="1" t="str">
        <f>"10.10.83.18"</f>
        <v>10.10.83.18</v>
      </c>
      <c r="G12581" s="1" t="str">
        <f>"9725G931"</f>
        <v>9725G931</v>
      </c>
      <c r="H12581" s="1" t="str">
        <f>"서강간 5R19"</f>
        <v>서강간 5R19</v>
      </c>
      <c r="I12581" s="1" t="s">
        <v>8</v>
      </c>
      <c r="J12581" s="1" t="str">
        <f>"55/55"</f>
        <v>55/55</v>
      </c>
      <c r="K12581" s="1" t="str">
        <f>"2026-07-29 13:18:11"</f>
        <v>2026-07-29 13:18:11</v>
      </c>
      <c r="L12581" s="1" t="str">
        <f>"2019-12-17 15:46:38"</f>
        <v>2019-12-17 15:46:38</v>
      </c>
      <c r="M12581" s="1" t="s">
        <v>1</v>
      </c>
      <c r="N12581" s="1" t="s">
        <v>38</v>
      </c>
      <c r="O12581" s="1" t="s">
        <v>46</v>
      </c>
    </row>
    <row r="12582" spans="2:15" x14ac:dyDescent="0.3">
      <c r="B12582" s="1" t="s">
        <v>20</v>
      </c>
      <c r="C12582" s="1" t="str">
        <f t="shared" si="634"/>
        <v>4차</v>
      </c>
      <c r="D12582" s="1" t="str">
        <f>"9725G94144"</f>
        <v>9725G94144</v>
      </c>
      <c r="E12582" s="1" t="s">
        <v>10</v>
      </c>
      <c r="F12582" s="1" t="str">
        <f>"10.10.77.194"</f>
        <v>10.10.77.194</v>
      </c>
      <c r="G12582" s="1" t="str">
        <f>"9725G941"</f>
        <v>9725G941</v>
      </c>
      <c r="H12582" s="1" t="str">
        <f>"서강간 31R3"</f>
        <v>서강간 31R3</v>
      </c>
      <c r="I12582" s="1" t="s">
        <v>8</v>
      </c>
      <c r="J12582" s="1" t="str">
        <f>"54/56"</f>
        <v>54/56</v>
      </c>
      <c r="K12582" s="1" t="str">
        <f>"2026-07-29 13:18:11"</f>
        <v>2026-07-29 13:18:11</v>
      </c>
      <c r="L12582" s="1" t="str">
        <f>"2019-12-11 18:06:31"</f>
        <v>2019-12-11 18:06:31</v>
      </c>
      <c r="M12582" s="1" t="s">
        <v>1</v>
      </c>
      <c r="N12582" s="1" t="s">
        <v>38</v>
      </c>
      <c r="O12582" s="1" t="s">
        <v>46</v>
      </c>
    </row>
    <row r="12583" spans="2:15" x14ac:dyDescent="0.3">
      <c r="B12583" s="1" t="s">
        <v>20</v>
      </c>
      <c r="C12583" s="1" t="str">
        <f t="shared" si="634"/>
        <v>4차</v>
      </c>
      <c r="D12583" s="1" t="str">
        <f>"9725G95144"</f>
        <v>9725G95144</v>
      </c>
      <c r="E12583" s="1" t="s">
        <v>10</v>
      </c>
      <c r="F12583" s="1" t="str">
        <f>"10.10.77.58"</f>
        <v>10.10.77.58</v>
      </c>
      <c r="G12583" s="1" t="str">
        <f>"9725G951"</f>
        <v>9725G951</v>
      </c>
      <c r="H12583" s="1" t="str">
        <f>"서강간 31R1"</f>
        <v>서강간 31R1</v>
      </c>
      <c r="I12583" s="1" t="s">
        <v>8</v>
      </c>
      <c r="J12583" s="1" t="str">
        <f>"37/37"</f>
        <v>37/37</v>
      </c>
      <c r="K12583" s="1" t="str">
        <f>"2026-07-29 13:18:11"</f>
        <v>2026-07-29 13:18:11</v>
      </c>
      <c r="L12583" s="1" t="str">
        <f>"2019-12-11 18:07:32"</f>
        <v>2019-12-11 18:07:32</v>
      </c>
      <c r="M12583" s="1" t="s">
        <v>1</v>
      </c>
      <c r="N12583" s="1" t="s">
        <v>38</v>
      </c>
      <c r="O12583" s="1" t="s">
        <v>46</v>
      </c>
    </row>
    <row r="12584" spans="2:15" x14ac:dyDescent="0.3">
      <c r="B12584" s="1" t="s">
        <v>20</v>
      </c>
      <c r="C12584" s="1" t="str">
        <f>"6차"</f>
        <v>6차</v>
      </c>
      <c r="D12584" s="1" t="str">
        <f>"9725G9626S"</f>
        <v>9725G9626S</v>
      </c>
      <c r="E12584" s="1" t="s">
        <v>10</v>
      </c>
      <c r="F12584" s="1" t="str">
        <f>"fde1:103:4:c5e6:0:0:0:2"</f>
        <v>fde1:103:4:c5e6:0:0:0:2</v>
      </c>
      <c r="G12584" s="1" t="str">
        <f>"9725G962"</f>
        <v>9725G962</v>
      </c>
      <c r="H12584" s="1" t="str">
        <f>"서강간 32"</f>
        <v>서강간 32</v>
      </c>
      <c r="I12584" s="1" t="s">
        <v>15</v>
      </c>
      <c r="J12584" s="1" t="str">
        <f>"31/46"</f>
        <v>31/46</v>
      </c>
      <c r="K12584" s="1" t="str">
        <f>"2026-07-29 14:21:21"</f>
        <v>2026-07-29 14:21:21</v>
      </c>
      <c r="L12584" s="1" t="str">
        <f>"2024-11-01 18:04:00"</f>
        <v>2024-11-01 18:04:00</v>
      </c>
      <c r="M12584" s="1" t="s">
        <v>4</v>
      </c>
      <c r="N12584" s="1" t="s">
        <v>38</v>
      </c>
      <c r="O12584" s="1" t="s">
        <v>46</v>
      </c>
    </row>
    <row r="12585" spans="2:15" x14ac:dyDescent="0.3">
      <c r="B12585" s="1" t="s">
        <v>20</v>
      </c>
      <c r="C12585" s="1" t="str">
        <f t="shared" ref="C12585:C12598" si="635">"4차"</f>
        <v>4차</v>
      </c>
      <c r="D12585" s="1" t="str">
        <f>"9725H02144"</f>
        <v>9725H02144</v>
      </c>
      <c r="E12585" s="1" t="s">
        <v>10</v>
      </c>
      <c r="F12585" s="1" t="str">
        <f>"10.10.81.162"</f>
        <v>10.10.81.162</v>
      </c>
      <c r="G12585" s="1" t="str">
        <f>"9725H021"</f>
        <v>9725H021</v>
      </c>
      <c r="H12585" s="1" t="str">
        <f>"서강간 31R6R1"</f>
        <v>서강간 31R6R1</v>
      </c>
      <c r="I12585" s="1" t="s">
        <v>8</v>
      </c>
      <c r="J12585" s="1" t="str">
        <f>"52/52"</f>
        <v>52/52</v>
      </c>
      <c r="K12585" s="1" t="str">
        <f t="shared" ref="K12585:K12595" si="636">"2026-07-29 13:18:11"</f>
        <v>2026-07-29 13:18:11</v>
      </c>
      <c r="L12585" s="1" t="str">
        <f>"2019-12-11 18:06:31"</f>
        <v>2019-12-11 18:06:31</v>
      </c>
      <c r="M12585" s="1" t="s">
        <v>1</v>
      </c>
      <c r="N12585" s="1" t="s">
        <v>38</v>
      </c>
      <c r="O12585" s="1" t="s">
        <v>46</v>
      </c>
    </row>
    <row r="12586" spans="2:15" x14ac:dyDescent="0.3">
      <c r="B12586" s="1" t="s">
        <v>20</v>
      </c>
      <c r="C12586" s="1" t="str">
        <f t="shared" si="635"/>
        <v>4차</v>
      </c>
      <c r="D12586" s="1" t="str">
        <f>"9725H02444"</f>
        <v>9725H02444</v>
      </c>
      <c r="E12586" s="1" t="s">
        <v>10</v>
      </c>
      <c r="F12586" s="1" t="str">
        <f>"10.10.88.194"</f>
        <v>10.10.88.194</v>
      </c>
      <c r="G12586" s="1" t="str">
        <f>"9725H024"</f>
        <v>9725H024</v>
      </c>
      <c r="H12586" s="1" t="str">
        <f>"서강간 31R7"</f>
        <v>서강간 31R7</v>
      </c>
      <c r="I12586" s="1" t="s">
        <v>8</v>
      </c>
      <c r="J12586" s="1" t="str">
        <f>"24/24"</f>
        <v>24/24</v>
      </c>
      <c r="K12586" s="1" t="str">
        <f t="shared" si="636"/>
        <v>2026-07-29 13:18:11</v>
      </c>
      <c r="L12586" s="1" t="str">
        <f>"2019-12-11 18:07:48"</f>
        <v>2019-12-11 18:07:48</v>
      </c>
      <c r="M12586" s="1" t="s">
        <v>1</v>
      </c>
      <c r="N12586" s="1" t="s">
        <v>38</v>
      </c>
      <c r="O12586" s="1" t="s">
        <v>46</v>
      </c>
    </row>
    <row r="12587" spans="2:15" x14ac:dyDescent="0.3">
      <c r="B12587" s="1" t="s">
        <v>20</v>
      </c>
      <c r="C12587" s="1" t="str">
        <f t="shared" si="635"/>
        <v>4차</v>
      </c>
      <c r="D12587" s="1" t="str">
        <f>"9725H03144"</f>
        <v>9725H03144</v>
      </c>
      <c r="E12587" s="1" t="s">
        <v>10</v>
      </c>
      <c r="F12587" s="1" t="str">
        <f>"10.10.79.10"</f>
        <v>10.10.79.10</v>
      </c>
      <c r="G12587" s="1" t="str">
        <f>"9725H031"</f>
        <v>9725H031</v>
      </c>
      <c r="H12587" s="1" t="str">
        <f>"서강간 31R5"</f>
        <v>서강간 31R5</v>
      </c>
      <c r="I12587" s="1" t="s">
        <v>8</v>
      </c>
      <c r="J12587" s="1" t="str">
        <f>"19/19"</f>
        <v>19/19</v>
      </c>
      <c r="K12587" s="1" t="str">
        <f t="shared" si="636"/>
        <v>2026-07-29 13:18:11</v>
      </c>
      <c r="L12587" s="1" t="str">
        <f>"2019-12-11 18:00:07"</f>
        <v>2019-12-11 18:00:07</v>
      </c>
      <c r="M12587" s="1" t="s">
        <v>1</v>
      </c>
      <c r="N12587" s="1" t="s">
        <v>38</v>
      </c>
      <c r="O12587" s="1" t="s">
        <v>46</v>
      </c>
    </row>
    <row r="12588" spans="2:15" x14ac:dyDescent="0.3">
      <c r="B12588" s="1" t="s">
        <v>20</v>
      </c>
      <c r="C12588" s="1" t="str">
        <f t="shared" si="635"/>
        <v>4차</v>
      </c>
      <c r="D12588" s="1" t="str">
        <f>"9725H07639"</f>
        <v>9725H07639</v>
      </c>
      <c r="E12588" s="1" t="s">
        <v>10</v>
      </c>
      <c r="F12588" s="1" t="str">
        <f>"10.12.135.116"</f>
        <v>10.12.135.116</v>
      </c>
      <c r="G12588" s="1" t="str">
        <f>"9725H076"</f>
        <v>9725H076</v>
      </c>
      <c r="H12588" s="1" t="str">
        <f>"신촌로 18-1"</f>
        <v>신촌로 18-1</v>
      </c>
      <c r="I12588" s="1" t="s">
        <v>17</v>
      </c>
      <c r="J12588" s="1" t="str">
        <f>"10/10"</f>
        <v>10/10</v>
      </c>
      <c r="K12588" s="1" t="str">
        <f t="shared" si="636"/>
        <v>2026-07-29 13:18:11</v>
      </c>
      <c r="L12588" s="1" t="str">
        <f>"2018-05-24 15:19:28"</f>
        <v>2018-05-24 15:19:28</v>
      </c>
      <c r="M12588" s="1" t="s">
        <v>0</v>
      </c>
      <c r="N12588" s="1" t="s">
        <v>38</v>
      </c>
      <c r="O12588" s="1" t="s">
        <v>46</v>
      </c>
    </row>
    <row r="12589" spans="2:15" x14ac:dyDescent="0.3">
      <c r="B12589" s="1" t="s">
        <v>20</v>
      </c>
      <c r="C12589" s="1" t="str">
        <f t="shared" si="635"/>
        <v>4차</v>
      </c>
      <c r="D12589" s="1" t="str">
        <f>"9725H13244"</f>
        <v>9725H13244</v>
      </c>
      <c r="E12589" s="1" t="s">
        <v>10</v>
      </c>
      <c r="F12589" s="1" t="str">
        <f>"10.10.81.210"</f>
        <v>10.10.81.210</v>
      </c>
      <c r="G12589" s="1" t="str">
        <f>"9725H132"</f>
        <v>9725H132</v>
      </c>
      <c r="H12589" s="1" t="str">
        <f>"서강간 31R9"</f>
        <v>서강간 31R9</v>
      </c>
      <c r="I12589" s="1" t="s">
        <v>8</v>
      </c>
      <c r="J12589" s="1" t="str">
        <f>"93/93"</f>
        <v>93/93</v>
      </c>
      <c r="K12589" s="1" t="str">
        <f t="shared" si="636"/>
        <v>2026-07-29 13:18:11</v>
      </c>
      <c r="L12589" s="1" t="str">
        <f>"2019-12-24 16:41:02"</f>
        <v>2019-12-24 16:41:02</v>
      </c>
      <c r="M12589" s="1" t="s">
        <v>1</v>
      </c>
      <c r="N12589" s="1" t="s">
        <v>38</v>
      </c>
      <c r="O12589" s="1" t="s">
        <v>46</v>
      </c>
    </row>
    <row r="12590" spans="2:15" x14ac:dyDescent="0.3">
      <c r="B12590" s="1" t="s">
        <v>20</v>
      </c>
      <c r="C12590" s="1" t="str">
        <f t="shared" si="635"/>
        <v>4차</v>
      </c>
      <c r="D12590" s="1" t="str">
        <f>"9725H14244"</f>
        <v>9725H14244</v>
      </c>
      <c r="E12590" s="1" t="s">
        <v>10</v>
      </c>
      <c r="F12590" s="1" t="str">
        <f>"10.10.79.106"</f>
        <v>10.10.79.106</v>
      </c>
      <c r="G12590" s="1" t="str">
        <f>"9725H142"</f>
        <v>9725H142</v>
      </c>
      <c r="H12590" s="1" t="str">
        <f>"서강간 31R5L1"</f>
        <v>서강간 31R5L1</v>
      </c>
      <c r="I12590" s="1" t="s">
        <v>8</v>
      </c>
      <c r="J12590" s="1" t="str">
        <f>"46/48"</f>
        <v>46/48</v>
      </c>
      <c r="K12590" s="1" t="str">
        <f t="shared" si="636"/>
        <v>2026-07-29 13:18:11</v>
      </c>
      <c r="L12590" s="1" t="str">
        <f>"2019-12-11 18:06:43"</f>
        <v>2019-12-11 18:06:43</v>
      </c>
      <c r="M12590" s="1" t="s">
        <v>1</v>
      </c>
      <c r="N12590" s="1" t="s">
        <v>38</v>
      </c>
      <c r="O12590" s="1" t="s">
        <v>46</v>
      </c>
    </row>
    <row r="12591" spans="2:15" x14ac:dyDescent="0.3">
      <c r="B12591" s="1" t="s">
        <v>20</v>
      </c>
      <c r="C12591" s="1" t="str">
        <f t="shared" si="635"/>
        <v>4차</v>
      </c>
      <c r="D12591" s="1" t="str">
        <f>"9725H17144"</f>
        <v>9725H17144</v>
      </c>
      <c r="E12591" s="1" t="s">
        <v>10</v>
      </c>
      <c r="F12591" s="1" t="str">
        <f>"10.10.81.226"</f>
        <v>10.10.81.226</v>
      </c>
      <c r="G12591" s="1" t="str">
        <f>"9725H171"</f>
        <v>9725H171</v>
      </c>
      <c r="H12591" s="1" t="str">
        <f>"서강간 35"</f>
        <v>서강간 35</v>
      </c>
      <c r="I12591" s="1" t="s">
        <v>8</v>
      </c>
      <c r="J12591" s="1" t="str">
        <f>"16/17"</f>
        <v>16/17</v>
      </c>
      <c r="K12591" s="1" t="str">
        <f t="shared" si="636"/>
        <v>2026-07-29 13:18:11</v>
      </c>
      <c r="L12591" s="1" t="str">
        <f>"2019-12-11 18:06:31"</f>
        <v>2019-12-11 18:06:31</v>
      </c>
      <c r="M12591" s="1" t="s">
        <v>1</v>
      </c>
      <c r="N12591" s="1" t="s">
        <v>38</v>
      </c>
      <c r="O12591" s="1" t="s">
        <v>46</v>
      </c>
    </row>
    <row r="12592" spans="2:15" x14ac:dyDescent="0.3">
      <c r="B12592" s="1" t="s">
        <v>20</v>
      </c>
      <c r="C12592" s="1" t="str">
        <f t="shared" si="635"/>
        <v>4차</v>
      </c>
      <c r="D12592" s="1" t="str">
        <f>"9725H23144"</f>
        <v>9725H23144</v>
      </c>
      <c r="E12592" s="1" t="s">
        <v>10</v>
      </c>
      <c r="F12592" s="1" t="str">
        <f>"10.10.77.66"</f>
        <v>10.10.77.66</v>
      </c>
      <c r="G12592" s="1" t="str">
        <f>"9725H231"</f>
        <v>9725H231</v>
      </c>
      <c r="H12592" s="1" t="str">
        <f>"서강간 31R10"</f>
        <v>서강간 31R10</v>
      </c>
      <c r="I12592" s="1" t="s">
        <v>8</v>
      </c>
      <c r="J12592" s="1" t="str">
        <f>"20/20"</f>
        <v>20/20</v>
      </c>
      <c r="K12592" s="1" t="str">
        <f t="shared" si="636"/>
        <v>2026-07-29 13:18:11</v>
      </c>
      <c r="L12592" s="1" t="str">
        <f>"2019-12-17 15:47:56"</f>
        <v>2019-12-17 15:47:56</v>
      </c>
      <c r="M12592" s="1" t="s">
        <v>1</v>
      </c>
      <c r="N12592" s="1" t="s">
        <v>38</v>
      </c>
      <c r="O12592" s="1" t="s">
        <v>46</v>
      </c>
    </row>
    <row r="12593" spans="2:15" x14ac:dyDescent="0.3">
      <c r="B12593" s="1" t="s">
        <v>20</v>
      </c>
      <c r="C12593" s="1" t="str">
        <f t="shared" si="635"/>
        <v>4차</v>
      </c>
      <c r="D12593" s="1" t="str">
        <f>"9725H25244"</f>
        <v>9725H25244</v>
      </c>
      <c r="E12593" s="1" t="s">
        <v>10</v>
      </c>
      <c r="F12593" s="1" t="str">
        <f>"10.10.92.146"</f>
        <v>10.10.92.146</v>
      </c>
      <c r="G12593" s="1" t="str">
        <f>"9725H252"</f>
        <v>9725H252</v>
      </c>
      <c r="H12593" s="1" t="str">
        <f>"서강간 31R5L6"</f>
        <v>서강간 31R5L6</v>
      </c>
      <c r="I12593" s="1" t="s">
        <v>8</v>
      </c>
      <c r="J12593" s="1" t="str">
        <f>"34/34"</f>
        <v>34/34</v>
      </c>
      <c r="K12593" s="1" t="str">
        <f t="shared" si="636"/>
        <v>2026-07-29 13:18:11</v>
      </c>
      <c r="L12593" s="1" t="str">
        <f>"2020-01-10 17:13:19"</f>
        <v>2020-01-10 17:13:19</v>
      </c>
      <c r="M12593" s="1" t="s">
        <v>1</v>
      </c>
      <c r="N12593" s="1" t="s">
        <v>38</v>
      </c>
      <c r="O12593" s="1" t="s">
        <v>46</v>
      </c>
    </row>
    <row r="12594" spans="2:15" x14ac:dyDescent="0.3">
      <c r="B12594" s="1" t="s">
        <v>20</v>
      </c>
      <c r="C12594" s="1" t="str">
        <f t="shared" si="635"/>
        <v>4차</v>
      </c>
      <c r="D12594" s="1" t="str">
        <f>"9725H26144"</f>
        <v>9725H26144</v>
      </c>
      <c r="E12594" s="1" t="s">
        <v>10</v>
      </c>
      <c r="F12594" s="1" t="str">
        <f>"10.10.80.18"</f>
        <v>10.10.80.18</v>
      </c>
      <c r="G12594" s="1" t="str">
        <f>"9725H261"</f>
        <v>9725H261</v>
      </c>
      <c r="H12594" s="1" t="str">
        <f>"서강간 31R5L7"</f>
        <v>서강간 31R5L7</v>
      </c>
      <c r="I12594" s="1" t="s">
        <v>8</v>
      </c>
      <c r="J12594" s="1" t="str">
        <f>"36/37"</f>
        <v>36/37</v>
      </c>
      <c r="K12594" s="1" t="str">
        <f t="shared" si="636"/>
        <v>2026-07-29 13:18:11</v>
      </c>
      <c r="L12594" s="1" t="str">
        <f>"2019-12-11 18:07:25"</f>
        <v>2019-12-11 18:07:25</v>
      </c>
      <c r="M12594" s="1" t="s">
        <v>1</v>
      </c>
      <c r="N12594" s="1" t="s">
        <v>38</v>
      </c>
      <c r="O12594" s="1" t="s">
        <v>46</v>
      </c>
    </row>
    <row r="12595" spans="2:15" x14ac:dyDescent="0.3">
      <c r="B12595" s="1" t="s">
        <v>20</v>
      </c>
      <c r="C12595" s="1" t="str">
        <f t="shared" si="635"/>
        <v>4차</v>
      </c>
      <c r="D12595" s="1" t="str">
        <f>"9725H33144"</f>
        <v>9725H33144</v>
      </c>
      <c r="E12595" s="1" t="s">
        <v>10</v>
      </c>
      <c r="F12595" s="1" t="str">
        <f>"10.10.77.154"</f>
        <v>10.10.77.154</v>
      </c>
      <c r="G12595" s="1" t="str">
        <f>"9725H331"</f>
        <v>9725H331</v>
      </c>
      <c r="H12595" s="1" t="str">
        <f>"서강간 31R12"</f>
        <v>서강간 31R12</v>
      </c>
      <c r="I12595" s="1" t="s">
        <v>8</v>
      </c>
      <c r="J12595" s="1" t="str">
        <f>"47/55"</f>
        <v>47/55</v>
      </c>
      <c r="K12595" s="1" t="str">
        <f t="shared" si="636"/>
        <v>2026-07-29 13:18:11</v>
      </c>
      <c r="L12595" s="1" t="str">
        <f>"2019-12-11 18:06:20"</f>
        <v>2019-12-11 18:06:20</v>
      </c>
      <c r="M12595" s="1" t="s">
        <v>1</v>
      </c>
      <c r="N12595" s="1" t="s">
        <v>38</v>
      </c>
      <c r="O12595" s="1" t="s">
        <v>46</v>
      </c>
    </row>
    <row r="12596" spans="2:15" x14ac:dyDescent="0.3">
      <c r="B12596" s="1" t="s">
        <v>20</v>
      </c>
      <c r="C12596" s="1" t="str">
        <f t="shared" si="635"/>
        <v>4차</v>
      </c>
      <c r="D12596" s="1" t="str">
        <f>"9725H34344"</f>
        <v>9725H34344</v>
      </c>
      <c r="E12596" s="1" t="s">
        <v>10</v>
      </c>
      <c r="F12596" s="1" t="str">
        <f>"10.10.79.130"</f>
        <v>10.10.79.130</v>
      </c>
      <c r="G12596" s="1" t="str">
        <f>"9725H343"</f>
        <v>9725H343</v>
      </c>
      <c r="H12596" s="1" t="str">
        <f>"서강간 31R5L5"</f>
        <v>서강간 31R5L5</v>
      </c>
      <c r="I12596" s="1" t="s">
        <v>8</v>
      </c>
      <c r="J12596" s="1" t="str">
        <f>"80/80"</f>
        <v>80/80</v>
      </c>
      <c r="K12596" s="1" t="str">
        <f>"2026-07-29 13:18:12"</f>
        <v>2026-07-29 13:18:12</v>
      </c>
      <c r="L12596" s="1" t="str">
        <f>"2019-12-11 18:06:07"</f>
        <v>2019-12-11 18:06:07</v>
      </c>
      <c r="M12596" s="1" t="s">
        <v>1</v>
      </c>
      <c r="N12596" s="1" t="s">
        <v>38</v>
      </c>
      <c r="O12596" s="1" t="s">
        <v>46</v>
      </c>
    </row>
    <row r="12597" spans="2:15" x14ac:dyDescent="0.3">
      <c r="B12597" s="1" t="s">
        <v>20</v>
      </c>
      <c r="C12597" s="1" t="str">
        <f t="shared" si="635"/>
        <v>4차</v>
      </c>
      <c r="D12597" s="1" t="str">
        <f>"9725H35144"</f>
        <v>9725H35144</v>
      </c>
      <c r="E12597" s="1" t="s">
        <v>10</v>
      </c>
      <c r="F12597" s="1" t="str">
        <f>"10.10.82.10"</f>
        <v>10.10.82.10</v>
      </c>
      <c r="G12597" s="1" t="str">
        <f>"9725H351"</f>
        <v>9725H351</v>
      </c>
      <c r="H12597" s="1" t="str">
        <f>"서강간 37R3"</f>
        <v>서강간 37R3</v>
      </c>
      <c r="I12597" s="1" t="s">
        <v>8</v>
      </c>
      <c r="J12597" s="1" t="str">
        <f>"35/35"</f>
        <v>35/35</v>
      </c>
      <c r="K12597" s="1" t="str">
        <f>"2026-07-29 13:18:12"</f>
        <v>2026-07-29 13:18:12</v>
      </c>
      <c r="L12597" s="1" t="str">
        <f>"2019-12-11 18:05:16"</f>
        <v>2019-12-11 18:05:16</v>
      </c>
      <c r="M12597" s="1" t="s">
        <v>1</v>
      </c>
      <c r="N12597" s="1" t="s">
        <v>38</v>
      </c>
      <c r="O12597" s="1" t="s">
        <v>46</v>
      </c>
    </row>
    <row r="12598" spans="2:15" x14ac:dyDescent="0.3">
      <c r="B12598" s="1" t="s">
        <v>20</v>
      </c>
      <c r="C12598" s="1" t="str">
        <f t="shared" si="635"/>
        <v>4차</v>
      </c>
      <c r="D12598" s="1" t="str">
        <f>"9725H35244"</f>
        <v>9725H35244</v>
      </c>
      <c r="E12598" s="1" t="s">
        <v>10</v>
      </c>
      <c r="F12598" s="1" t="str">
        <f>"10.10.79.146"</f>
        <v>10.10.79.146</v>
      </c>
      <c r="G12598" s="1" t="str">
        <f>"9725H352"</f>
        <v>9725H352</v>
      </c>
      <c r="H12598" s="1" t="str">
        <f>"서강간 31R5L5R1"</f>
        <v>서강간 31R5L5R1</v>
      </c>
      <c r="I12598" s="1" t="s">
        <v>8</v>
      </c>
      <c r="J12598" s="1" t="str">
        <f>"104/105"</f>
        <v>104/105</v>
      </c>
      <c r="K12598" s="1" t="str">
        <f>"2026-07-29 13:18:11"</f>
        <v>2026-07-29 13:18:11</v>
      </c>
      <c r="L12598" s="1" t="str">
        <f>"2019-12-11 18:00:16"</f>
        <v>2019-12-11 18:00:16</v>
      </c>
      <c r="M12598" s="1" t="s">
        <v>1</v>
      </c>
      <c r="N12598" s="1" t="s">
        <v>38</v>
      </c>
      <c r="O12598" s="1" t="s">
        <v>46</v>
      </c>
    </row>
    <row r="12599" spans="2:15" x14ac:dyDescent="0.3">
      <c r="B12599" s="1" t="s">
        <v>20</v>
      </c>
      <c r="C12599" s="1" t="str">
        <f>"3차"</f>
        <v>3차</v>
      </c>
      <c r="D12599" s="1" t="str">
        <f>"9725H36139"</f>
        <v>9725H36139</v>
      </c>
      <c r="E12599" s="1" t="s">
        <v>10</v>
      </c>
      <c r="F12599" s="1" t="str">
        <f>"10.125.195.34"</f>
        <v>10.125.195.34</v>
      </c>
      <c r="G12599" s="1" t="str">
        <f>"9725H361"</f>
        <v>9725H361</v>
      </c>
      <c r="H12599" s="1" t="str">
        <f>"서강간 37R2"</f>
        <v>서강간 37R2</v>
      </c>
      <c r="I12599" s="1" t="s">
        <v>8</v>
      </c>
      <c r="J12599" s="1" t="str">
        <f>"33/34"</f>
        <v>33/34</v>
      </c>
      <c r="K12599" s="1" t="str">
        <f>"2026-07-29 13:18:12"</f>
        <v>2026-07-29 13:18:12</v>
      </c>
      <c r="L12599" s="1" t="str">
        <f>"2018-04-19 14:00:58"</f>
        <v>2018-04-19 14:00:58</v>
      </c>
      <c r="M12599" s="1" t="s">
        <v>45</v>
      </c>
      <c r="N12599" s="1" t="s">
        <v>38</v>
      </c>
      <c r="O12599" s="1" t="s">
        <v>46</v>
      </c>
    </row>
    <row r="12600" spans="2:15" x14ac:dyDescent="0.3">
      <c r="B12600" s="1" t="s">
        <v>20</v>
      </c>
      <c r="C12600" s="1" t="str">
        <f>"4차"</f>
        <v>4차</v>
      </c>
      <c r="D12600" s="1" t="str">
        <f>"9725H37144"</f>
        <v>9725H37144</v>
      </c>
      <c r="E12600" s="1" t="s">
        <v>10</v>
      </c>
      <c r="F12600" s="1" t="str">
        <f>"10.10.108.114"</f>
        <v>10.10.108.114</v>
      </c>
      <c r="G12600" s="1" t="str">
        <f>"9725H371"</f>
        <v>9725H371</v>
      </c>
      <c r="H12600" s="1" t="str">
        <f>"서강간 37R1"</f>
        <v>서강간 37R1</v>
      </c>
      <c r="I12600" s="1" t="s">
        <v>8</v>
      </c>
      <c r="J12600" s="1" t="str">
        <f>"22/22"</f>
        <v>22/22</v>
      </c>
      <c r="K12600" s="1" t="str">
        <f>"2026-07-29 13:18:12"</f>
        <v>2026-07-29 13:18:12</v>
      </c>
      <c r="L12600" s="1" t="str">
        <f>"2019-12-12 01:53:16"</f>
        <v>2019-12-12 01:53:16</v>
      </c>
      <c r="M12600" s="1" t="s">
        <v>1</v>
      </c>
      <c r="N12600" s="1" t="s">
        <v>38</v>
      </c>
      <c r="O12600" s="1" t="s">
        <v>46</v>
      </c>
    </row>
    <row r="12601" spans="2:15" x14ac:dyDescent="0.3">
      <c r="B12601" s="1" t="s">
        <v>20</v>
      </c>
      <c r="C12601" s="1" t="str">
        <f>"4차"</f>
        <v>4차</v>
      </c>
      <c r="D12601" s="1" t="str">
        <f>"9725H37244"</f>
        <v>9725H37244</v>
      </c>
      <c r="E12601" s="1" t="s">
        <v>10</v>
      </c>
      <c r="F12601" s="1" t="str">
        <f>"10.10.82.66"</f>
        <v>10.10.82.66</v>
      </c>
      <c r="G12601" s="1" t="str">
        <f>"9725H372"</f>
        <v>9725H372</v>
      </c>
      <c r="H12601" s="1" t="str">
        <f>"서강간 38"</f>
        <v>서강간 38</v>
      </c>
      <c r="I12601" s="1" t="s">
        <v>8</v>
      </c>
      <c r="J12601" s="1" t="str">
        <f>"16/16"</f>
        <v>16/16</v>
      </c>
      <c r="K12601" s="1" t="str">
        <f>"2026-07-29 13:18:11"</f>
        <v>2026-07-29 13:18:11</v>
      </c>
      <c r="L12601" s="1" t="str">
        <f>"2019-12-11 18:06:54"</f>
        <v>2019-12-11 18:06:54</v>
      </c>
      <c r="M12601" s="1" t="s">
        <v>1</v>
      </c>
      <c r="N12601" s="1" t="s">
        <v>38</v>
      </c>
      <c r="O12601" s="1" t="s">
        <v>46</v>
      </c>
    </row>
    <row r="12602" spans="2:15" x14ac:dyDescent="0.3">
      <c r="B12602" s="1" t="s">
        <v>20</v>
      </c>
      <c r="C12602" s="1" t="str">
        <f>"3차"</f>
        <v>3차</v>
      </c>
      <c r="D12602" s="1" t="str">
        <f>"9725H37339"</f>
        <v>9725H37339</v>
      </c>
      <c r="E12602" s="1" t="s">
        <v>10</v>
      </c>
      <c r="F12602" s="1" t="str">
        <f>"10.125.223.73"</f>
        <v>10.125.223.73</v>
      </c>
      <c r="G12602" s="1" t="str">
        <f>"9725H373"</f>
        <v>9725H373</v>
      </c>
      <c r="H12602" s="1" t="str">
        <f>"서강간 38R1"</f>
        <v>서강간 38R1</v>
      </c>
      <c r="I12602" s="1" t="s">
        <v>8</v>
      </c>
      <c r="J12602" s="1" t="str">
        <f>"27/27"</f>
        <v>27/27</v>
      </c>
      <c r="K12602" s="1" t="str">
        <f>"2026-07-29 13:18:11"</f>
        <v>2026-07-29 13:18:11</v>
      </c>
      <c r="L12602" s="1" t="str">
        <f>"2018-04-19 13:16:41"</f>
        <v>2018-04-19 13:16:41</v>
      </c>
      <c r="M12602" s="1" t="s">
        <v>45</v>
      </c>
      <c r="N12602" s="1" t="s">
        <v>38</v>
      </c>
      <c r="O12602" s="1" t="s">
        <v>46</v>
      </c>
    </row>
    <row r="12603" spans="2:15" x14ac:dyDescent="0.3">
      <c r="B12603" s="1" t="s">
        <v>20</v>
      </c>
      <c r="C12603" s="1" t="str">
        <f t="shared" ref="C12603:C12614" si="637">"4차"</f>
        <v>4차</v>
      </c>
      <c r="D12603" s="1" t="str">
        <f>"9725H38239"</f>
        <v>9725H38239</v>
      </c>
      <c r="E12603" s="1" t="s">
        <v>10</v>
      </c>
      <c r="F12603" s="1" t="str">
        <f>"10.12.130.31"</f>
        <v>10.12.130.31</v>
      </c>
      <c r="G12603" s="1" t="str">
        <f>"9725H382"</f>
        <v>9725H382</v>
      </c>
      <c r="H12603" s="1" t="str">
        <f>"신촌로 21T"</f>
        <v>신촌로 21T</v>
      </c>
      <c r="I12603" s="1" t="s">
        <v>17</v>
      </c>
      <c r="J12603" s="1" t="str">
        <f>"5/5"</f>
        <v>5/5</v>
      </c>
      <c r="K12603" s="1" t="str">
        <f>"2026-07-29 13:18:12"</f>
        <v>2026-07-29 13:18:12</v>
      </c>
      <c r="L12603" s="1" t="str">
        <f>"2018-05-24 15:59:44"</f>
        <v>2018-05-24 15:59:44</v>
      </c>
      <c r="M12603" s="1" t="s">
        <v>0</v>
      </c>
      <c r="N12603" s="1" t="s">
        <v>38</v>
      </c>
      <c r="O12603" s="1" t="s">
        <v>46</v>
      </c>
    </row>
    <row r="12604" spans="2:15" x14ac:dyDescent="0.3">
      <c r="B12604" s="1" t="s">
        <v>20</v>
      </c>
      <c r="C12604" s="1" t="str">
        <f t="shared" si="637"/>
        <v>4차</v>
      </c>
      <c r="D12604" s="1" t="str">
        <f>"9725H46144"</f>
        <v>9725H46144</v>
      </c>
      <c r="E12604" s="1" t="s">
        <v>10</v>
      </c>
      <c r="F12604" s="1" t="str">
        <f>"10.10.82.122"</f>
        <v>10.10.82.122</v>
      </c>
      <c r="G12604" s="1" t="str">
        <f>"9725H461"</f>
        <v>9725H461</v>
      </c>
      <c r="H12604" s="1" t="str">
        <f>"서강간 38R2"</f>
        <v>서강간 38R2</v>
      </c>
      <c r="I12604" s="1" t="s">
        <v>8</v>
      </c>
      <c r="J12604" s="1" t="str">
        <f>"73/73"</f>
        <v>73/73</v>
      </c>
      <c r="K12604" s="1" t="str">
        <f>"2026-07-29 13:18:11"</f>
        <v>2026-07-29 13:18:11</v>
      </c>
      <c r="L12604" s="1" t="str">
        <f>"2019-12-11 18:06:34"</f>
        <v>2019-12-11 18:06:34</v>
      </c>
      <c r="M12604" s="1" t="s">
        <v>1</v>
      </c>
      <c r="N12604" s="1" t="s">
        <v>38</v>
      </c>
      <c r="O12604" s="1" t="s">
        <v>46</v>
      </c>
    </row>
    <row r="12605" spans="2:15" x14ac:dyDescent="0.3">
      <c r="B12605" s="1" t="s">
        <v>20</v>
      </c>
      <c r="C12605" s="1" t="str">
        <f t="shared" si="637"/>
        <v>4차</v>
      </c>
      <c r="D12605" s="1" t="str">
        <f>"9725H48539"</f>
        <v>9725H48539</v>
      </c>
      <c r="E12605" s="1" t="s">
        <v>14</v>
      </c>
      <c r="F12605" s="1" t="str">
        <f>"10.12.132.93"</f>
        <v>10.12.132.93</v>
      </c>
      <c r="G12605" s="1" t="str">
        <f>"9725H485"</f>
        <v>9725H485</v>
      </c>
      <c r="H12605" s="1" t="str">
        <f>"신촌로 22"</f>
        <v>신촌로 22</v>
      </c>
      <c r="I12605" s="1" t="s">
        <v>17</v>
      </c>
      <c r="J12605" s="1" t="str">
        <f>"0/0"</f>
        <v>0/0</v>
      </c>
      <c r="K12605" s="1" t="str">
        <f>"2026-07-29 13:18:10"</f>
        <v>2026-07-29 13:18:10</v>
      </c>
      <c r="L12605" s="1" t="str">
        <f>"2018-10-29 09:36:10"</f>
        <v>2018-10-29 09:36:10</v>
      </c>
      <c r="M12605" s="1" t="s">
        <v>0</v>
      </c>
      <c r="N12605" s="1" t="s">
        <v>38</v>
      </c>
      <c r="O12605" s="1" t="s">
        <v>44</v>
      </c>
    </row>
    <row r="12606" spans="2:15" x14ac:dyDescent="0.3">
      <c r="B12606" s="1" t="s">
        <v>20</v>
      </c>
      <c r="C12606" s="1" t="str">
        <f t="shared" si="637"/>
        <v>4차</v>
      </c>
      <c r="D12606" s="1" t="str">
        <f>"9725H54144"</f>
        <v>9725H54144</v>
      </c>
      <c r="E12606" s="1" t="s">
        <v>10</v>
      </c>
      <c r="F12606" s="1" t="str">
        <f>"10.10.77.162"</f>
        <v>10.10.77.162</v>
      </c>
      <c r="G12606" s="1" t="str">
        <f>"9725H541"</f>
        <v>9725H541</v>
      </c>
      <c r="H12606" s="1" t="str">
        <f>"서강간 31R15"</f>
        <v>서강간 31R15</v>
      </c>
      <c r="I12606" s="1" t="s">
        <v>8</v>
      </c>
      <c r="J12606" s="1" t="str">
        <f>"41/42"</f>
        <v>41/42</v>
      </c>
      <c r="K12606" s="1" t="str">
        <f t="shared" ref="K12606:K12611" si="638">"2026-07-29 13:18:11"</f>
        <v>2026-07-29 13:18:11</v>
      </c>
      <c r="L12606" s="1" t="str">
        <f>"2019-12-11 17:59:38"</f>
        <v>2019-12-11 17:59:38</v>
      </c>
      <c r="M12606" s="1" t="s">
        <v>1</v>
      </c>
      <c r="N12606" s="1" t="s">
        <v>38</v>
      </c>
      <c r="O12606" s="1" t="s">
        <v>46</v>
      </c>
    </row>
    <row r="12607" spans="2:15" x14ac:dyDescent="0.3">
      <c r="B12607" s="1" t="s">
        <v>20</v>
      </c>
      <c r="C12607" s="1" t="str">
        <f t="shared" si="637"/>
        <v>4차</v>
      </c>
      <c r="D12607" s="1" t="str">
        <f>"9725H55144"</f>
        <v>9725H55144</v>
      </c>
      <c r="E12607" s="1" t="s">
        <v>10</v>
      </c>
      <c r="F12607" s="1" t="str">
        <f>"10.10.79.162"</f>
        <v>10.10.79.162</v>
      </c>
      <c r="G12607" s="1" t="str">
        <f>"9725H551"</f>
        <v>9725H551</v>
      </c>
      <c r="H12607" s="1" t="str">
        <f>"서강간 31R5L5R3"</f>
        <v>서강간 31R5L5R3</v>
      </c>
      <c r="I12607" s="1" t="s">
        <v>8</v>
      </c>
      <c r="J12607" s="1" t="str">
        <f>"47/48"</f>
        <v>47/48</v>
      </c>
      <c r="K12607" s="1" t="str">
        <f t="shared" si="638"/>
        <v>2026-07-29 13:18:11</v>
      </c>
      <c r="L12607" s="1" t="str">
        <f>"2019-12-11 17:59:47"</f>
        <v>2019-12-11 17:59:47</v>
      </c>
      <c r="M12607" s="1" t="s">
        <v>1</v>
      </c>
      <c r="N12607" s="1" t="s">
        <v>38</v>
      </c>
      <c r="O12607" s="1" t="s">
        <v>46</v>
      </c>
    </row>
    <row r="12608" spans="2:15" x14ac:dyDescent="0.3">
      <c r="B12608" s="1" t="s">
        <v>20</v>
      </c>
      <c r="C12608" s="1" t="str">
        <f t="shared" si="637"/>
        <v>4차</v>
      </c>
      <c r="D12608" s="1" t="str">
        <f>"9725H56144"</f>
        <v>9725H56144</v>
      </c>
      <c r="E12608" s="1" t="s">
        <v>10</v>
      </c>
      <c r="F12608" s="1" t="str">
        <f>"10.10.79.178"</f>
        <v>10.10.79.178</v>
      </c>
      <c r="G12608" s="1" t="str">
        <f>"9725H561"</f>
        <v>9725H561</v>
      </c>
      <c r="H12608" s="1" t="str">
        <f>"서강간 31R5L5R3L1"</f>
        <v>서강간 31R5L5R3L1</v>
      </c>
      <c r="I12608" s="1" t="s">
        <v>8</v>
      </c>
      <c r="J12608" s="1" t="str">
        <f>"45/45"</f>
        <v>45/45</v>
      </c>
      <c r="K12608" s="1" t="str">
        <f t="shared" si="638"/>
        <v>2026-07-29 13:18:11</v>
      </c>
      <c r="L12608" s="1" t="str">
        <f>"2019-12-11 18:06:34"</f>
        <v>2019-12-11 18:06:34</v>
      </c>
      <c r="M12608" s="1" t="s">
        <v>1</v>
      </c>
      <c r="N12608" s="1" t="s">
        <v>38</v>
      </c>
      <c r="O12608" s="1" t="s">
        <v>46</v>
      </c>
    </row>
    <row r="12609" spans="2:15" x14ac:dyDescent="0.3">
      <c r="B12609" s="1" t="s">
        <v>20</v>
      </c>
      <c r="C12609" s="1" t="str">
        <f t="shared" si="637"/>
        <v>4차</v>
      </c>
      <c r="D12609" s="1" t="str">
        <f>"9725H57144"</f>
        <v>9725H57144</v>
      </c>
      <c r="E12609" s="1" t="s">
        <v>10</v>
      </c>
      <c r="F12609" s="1" t="str">
        <f>"10.10.79.218"</f>
        <v>10.10.79.218</v>
      </c>
      <c r="G12609" s="1" t="str">
        <f>"9725H571"</f>
        <v>9725H571</v>
      </c>
      <c r="H12609" s="1" t="str">
        <f>"서강간 31R5L5R3L2"</f>
        <v>서강간 31R5L5R3L2</v>
      </c>
      <c r="I12609" s="1" t="s">
        <v>8</v>
      </c>
      <c r="J12609" s="1" t="str">
        <f>"31/33"</f>
        <v>31/33</v>
      </c>
      <c r="K12609" s="1" t="str">
        <f t="shared" si="638"/>
        <v>2026-07-29 13:18:11</v>
      </c>
      <c r="L12609" s="1" t="str">
        <f>"2019-12-11 18:06:49"</f>
        <v>2019-12-11 18:06:49</v>
      </c>
      <c r="M12609" s="1" t="s">
        <v>1</v>
      </c>
      <c r="N12609" s="1" t="s">
        <v>38</v>
      </c>
      <c r="O12609" s="1" t="s">
        <v>46</v>
      </c>
    </row>
    <row r="12610" spans="2:15" x14ac:dyDescent="0.3">
      <c r="B12610" s="1" t="s">
        <v>20</v>
      </c>
      <c r="C12610" s="1" t="str">
        <f t="shared" si="637"/>
        <v>4차</v>
      </c>
      <c r="D12610" s="1" t="str">
        <f>"9725H57244"</f>
        <v>9725H57244</v>
      </c>
      <c r="E12610" s="1" t="s">
        <v>10</v>
      </c>
      <c r="F12610" s="1" t="str">
        <f>"10.10.79.242"</f>
        <v>10.10.79.242</v>
      </c>
      <c r="G12610" s="1" t="str">
        <f>"9725H572"</f>
        <v>9725H572</v>
      </c>
      <c r="H12610" s="1" t="str">
        <f>"서강간 31R5L5R3L3"</f>
        <v>서강간 31R5L5R3L3</v>
      </c>
      <c r="I12610" s="1" t="s">
        <v>8</v>
      </c>
      <c r="J12610" s="1" t="str">
        <f>"57/57"</f>
        <v>57/57</v>
      </c>
      <c r="K12610" s="1" t="str">
        <f t="shared" si="638"/>
        <v>2026-07-29 13:18:11</v>
      </c>
      <c r="L12610" s="1" t="str">
        <f>"2019-12-24 16:48:34"</f>
        <v>2019-12-24 16:48:34</v>
      </c>
      <c r="M12610" s="1" t="s">
        <v>1</v>
      </c>
      <c r="N12610" s="1" t="s">
        <v>38</v>
      </c>
      <c r="O12610" s="1" t="s">
        <v>46</v>
      </c>
    </row>
    <row r="12611" spans="2:15" x14ac:dyDescent="0.3">
      <c r="B12611" s="1" t="s">
        <v>20</v>
      </c>
      <c r="C12611" s="1" t="str">
        <f t="shared" si="637"/>
        <v>4차</v>
      </c>
      <c r="D12611" s="1" t="str">
        <f>"9725H58244"</f>
        <v>9725H58244</v>
      </c>
      <c r="E12611" s="1" t="s">
        <v>10</v>
      </c>
      <c r="F12611" s="1" t="str">
        <f>"10.10.82.138"</f>
        <v>10.10.82.138</v>
      </c>
      <c r="G12611" s="1" t="str">
        <f>"9725H582"</f>
        <v>9725H582</v>
      </c>
      <c r="H12611" s="1" t="str">
        <f>"서강간 40"</f>
        <v>서강간 40</v>
      </c>
      <c r="I12611" s="1" t="s">
        <v>8</v>
      </c>
      <c r="J12611" s="1" t="str">
        <f>"26/26"</f>
        <v>26/26</v>
      </c>
      <c r="K12611" s="1" t="str">
        <f t="shared" si="638"/>
        <v>2026-07-29 13:18:11</v>
      </c>
      <c r="L12611" s="1" t="str">
        <f>"2019-12-11 18:06:13"</f>
        <v>2019-12-11 18:06:13</v>
      </c>
      <c r="M12611" s="1" t="s">
        <v>1</v>
      </c>
      <c r="N12611" s="1" t="s">
        <v>38</v>
      </c>
      <c r="O12611" s="1" t="s">
        <v>46</v>
      </c>
    </row>
    <row r="12612" spans="2:15" x14ac:dyDescent="0.3">
      <c r="B12612" s="1" t="s">
        <v>20</v>
      </c>
      <c r="C12612" s="1" t="str">
        <f t="shared" si="637"/>
        <v>4차</v>
      </c>
      <c r="D12612" s="1" t="str">
        <f>"9725H67244"</f>
        <v>9725H67244</v>
      </c>
      <c r="E12612" s="1" t="s">
        <v>10</v>
      </c>
      <c r="F12612" s="1" t="str">
        <f>"10.10.82.170"</f>
        <v>10.10.82.170</v>
      </c>
      <c r="G12612" s="1" t="str">
        <f>"9725H672"</f>
        <v>9725H672</v>
      </c>
      <c r="H12612" s="1" t="str">
        <f>"서강간 44R2R3"</f>
        <v>서강간 44R2R3</v>
      </c>
      <c r="I12612" s="1" t="s">
        <v>8</v>
      </c>
      <c r="J12612" s="1" t="str">
        <f>"54/55"</f>
        <v>54/55</v>
      </c>
      <c r="K12612" s="1" t="str">
        <f>"2026-07-29 13:18:12"</f>
        <v>2026-07-29 13:18:12</v>
      </c>
      <c r="L12612" s="1" t="str">
        <f>"2019-12-11 18:06:04"</f>
        <v>2019-12-11 18:06:04</v>
      </c>
      <c r="M12612" s="1" t="s">
        <v>1</v>
      </c>
      <c r="N12612" s="1" t="s">
        <v>38</v>
      </c>
      <c r="O12612" s="1" t="s">
        <v>46</v>
      </c>
    </row>
    <row r="12613" spans="2:15" x14ac:dyDescent="0.3">
      <c r="B12613" s="1" t="s">
        <v>20</v>
      </c>
      <c r="C12613" s="1" t="str">
        <f t="shared" si="637"/>
        <v>4차</v>
      </c>
      <c r="D12613" s="1" t="str">
        <f>"9725H68144"</f>
        <v>9725H68144</v>
      </c>
      <c r="E12613" s="1" t="s">
        <v>10</v>
      </c>
      <c r="F12613" s="1" t="str">
        <f>"10.10.88.178"</f>
        <v>10.10.88.178</v>
      </c>
      <c r="G12613" s="1" t="str">
        <f>"9725H681"</f>
        <v>9725H681</v>
      </c>
      <c r="H12613" s="1" t="str">
        <f>"서강간 42"</f>
        <v>서강간 42</v>
      </c>
      <c r="I12613" s="1" t="s">
        <v>8</v>
      </c>
      <c r="J12613" s="1" t="str">
        <f>"8/8"</f>
        <v>8/8</v>
      </c>
      <c r="K12613" s="1" t="str">
        <f>"2026-07-29 13:18:11"</f>
        <v>2026-07-29 13:18:11</v>
      </c>
      <c r="L12613" s="1" t="str">
        <f>"2019-12-24 16:45:11"</f>
        <v>2019-12-24 16:45:11</v>
      </c>
      <c r="M12613" s="1" t="s">
        <v>1</v>
      </c>
      <c r="N12613" s="1" t="s">
        <v>38</v>
      </c>
      <c r="O12613" s="1" t="s">
        <v>46</v>
      </c>
    </row>
    <row r="12614" spans="2:15" x14ac:dyDescent="0.3">
      <c r="B12614" s="1" t="s">
        <v>20</v>
      </c>
      <c r="C12614" s="1" t="str">
        <f t="shared" si="637"/>
        <v>4차</v>
      </c>
      <c r="D12614" s="1" t="str">
        <f>"9725H69239"</f>
        <v>9725H69239</v>
      </c>
      <c r="E12614" s="1" t="s">
        <v>14</v>
      </c>
      <c r="F12614" s="1" t="str">
        <f>"10.12.135.97"</f>
        <v>10.12.135.97</v>
      </c>
      <c r="G12614" s="1" t="str">
        <f>"9725H692"</f>
        <v>9725H692</v>
      </c>
      <c r="H12614" s="1" t="str">
        <f>"신촌로 23-1"</f>
        <v>신촌로 23-1</v>
      </c>
      <c r="I12614" s="1" t="s">
        <v>17</v>
      </c>
      <c r="J12614" s="1" t="str">
        <f>"0/0"</f>
        <v>0/0</v>
      </c>
      <c r="K12614" s="1" t="str">
        <f>"2026-06-10 07:18:12"</f>
        <v>2026-06-10 07:18:12</v>
      </c>
      <c r="L12614" s="1" t="str">
        <f>"2018-05-24 16:18:00"</f>
        <v>2018-05-24 16:18:00</v>
      </c>
      <c r="M12614" s="1" t="s">
        <v>0</v>
      </c>
      <c r="N12614" s="1" t="s">
        <v>39</v>
      </c>
      <c r="O12614" s="1" t="s">
        <v>46</v>
      </c>
    </row>
    <row r="12615" spans="2:15" x14ac:dyDescent="0.3">
      <c r="B12615" s="1" t="s">
        <v>20</v>
      </c>
      <c r="C12615" s="1" t="str">
        <f>"3차"</f>
        <v>3차</v>
      </c>
      <c r="D12615" s="1" t="str">
        <f>"9725H75139"</f>
        <v>9725H75139</v>
      </c>
      <c r="E12615" s="1" t="s">
        <v>10</v>
      </c>
      <c r="F12615" s="1" t="str">
        <f>"10.12.129.212"</f>
        <v>10.12.129.212</v>
      </c>
      <c r="G12615" s="1" t="str">
        <f>"9725H751"</f>
        <v>9725H751</v>
      </c>
      <c r="H12615" s="1" t="str">
        <f>"서강간 31R18"</f>
        <v>서강간 31R18</v>
      </c>
      <c r="I12615" s="1" t="s">
        <v>8</v>
      </c>
      <c r="J12615" s="1" t="str">
        <f>"40/40"</f>
        <v>40/40</v>
      </c>
      <c r="K12615" s="1" t="str">
        <f>"2026-07-29 13:18:12"</f>
        <v>2026-07-29 13:18:12</v>
      </c>
      <c r="L12615" s="1" t="str">
        <f>"2018-04-19 12:03:27"</f>
        <v>2018-04-19 12:03:27</v>
      </c>
      <c r="M12615" s="1" t="s">
        <v>0</v>
      </c>
      <c r="N12615" s="1" t="s">
        <v>38</v>
      </c>
      <c r="O12615" s="1" t="s">
        <v>46</v>
      </c>
    </row>
    <row r="12616" spans="2:15" x14ac:dyDescent="0.3">
      <c r="B12616" s="1" t="s">
        <v>20</v>
      </c>
      <c r="C12616" s="1" t="str">
        <f>"4차"</f>
        <v>4차</v>
      </c>
      <c r="D12616" s="1" t="str">
        <f>"9725H76244"</f>
        <v>9725H76244</v>
      </c>
      <c r="E12616" s="1" t="s">
        <v>10</v>
      </c>
      <c r="F12616" s="1" t="str">
        <f>"10.10.108.90"</f>
        <v>10.10.108.90</v>
      </c>
      <c r="G12616" s="1" t="str">
        <f>"9725H762"</f>
        <v>9725H762</v>
      </c>
      <c r="H12616" s="1" t="str">
        <f>"서강간 44R7"</f>
        <v>서강간 44R7</v>
      </c>
      <c r="I12616" s="1" t="s">
        <v>8</v>
      </c>
      <c r="J12616" s="1" t="str">
        <f>"28/28"</f>
        <v>28/28</v>
      </c>
      <c r="K12616" s="1" t="str">
        <f>"2026-07-29 13:18:12"</f>
        <v>2026-07-29 13:18:12</v>
      </c>
      <c r="L12616" s="1" t="str">
        <f>"2021-07-27 17:57:00"</f>
        <v>2021-07-27 17:57:00</v>
      </c>
      <c r="M12616" s="1" t="s">
        <v>1</v>
      </c>
      <c r="N12616" s="1" t="s">
        <v>38</v>
      </c>
      <c r="O12616" s="1" t="s">
        <v>46</v>
      </c>
    </row>
    <row r="12617" spans="2:15" x14ac:dyDescent="0.3">
      <c r="B12617" s="1" t="s">
        <v>20</v>
      </c>
      <c r="C12617" s="1" t="str">
        <f>"4차"</f>
        <v>4차</v>
      </c>
      <c r="D12617" s="1" t="str">
        <f>"9725H76444"</f>
        <v>9725H76444</v>
      </c>
      <c r="E12617" s="1" t="s">
        <v>10</v>
      </c>
      <c r="F12617" s="1" t="str">
        <f>"10.12.138.87"</f>
        <v>10.12.138.87</v>
      </c>
      <c r="G12617" s="1" t="str">
        <f>"9725H764"</f>
        <v>9725H764</v>
      </c>
      <c r="H12617" s="1" t="str">
        <f>"서강간 44R6"</f>
        <v>서강간 44R6</v>
      </c>
      <c r="I12617" s="1" t="s">
        <v>8</v>
      </c>
      <c r="J12617" s="1" t="str">
        <f>"63/63"</f>
        <v>63/63</v>
      </c>
      <c r="K12617" s="1" t="str">
        <f>"2026-07-29 13:18:12"</f>
        <v>2026-07-29 13:18:12</v>
      </c>
      <c r="L12617" s="1" t="str">
        <f>"2021-07-27 15:54:44"</f>
        <v>2021-07-27 15:54:44</v>
      </c>
      <c r="M12617" s="1" t="s">
        <v>0</v>
      </c>
      <c r="N12617" s="1" t="s">
        <v>38</v>
      </c>
      <c r="O12617" s="1" t="s">
        <v>46</v>
      </c>
    </row>
    <row r="12618" spans="2:15" x14ac:dyDescent="0.3">
      <c r="B12618" s="1" t="s">
        <v>20</v>
      </c>
      <c r="C12618" s="1" t="str">
        <f>"5-2차"</f>
        <v>5-2차</v>
      </c>
      <c r="D12618" s="1" t="str">
        <f>"9725H7715M"</f>
        <v>9725H7715M</v>
      </c>
      <c r="E12618" s="1" t="s">
        <v>10</v>
      </c>
      <c r="F12618" s="1" t="str">
        <f>"fde1:103:4:55c2:0:0:0:2"</f>
        <v>fde1:103:4:55c2:0:0:0:2</v>
      </c>
      <c r="G12618" s="1" t="str">
        <f>"9725H771"</f>
        <v>9725H771</v>
      </c>
      <c r="H12618" s="1" t="str">
        <f>"서강간 44R2"</f>
        <v>서강간 44R2</v>
      </c>
      <c r="I12618" s="1" t="s">
        <v>15</v>
      </c>
      <c r="J12618" s="1" t="str">
        <f>"7/7"</f>
        <v>7/7</v>
      </c>
      <c r="K12618" s="1" t="str">
        <f>"2026-07-29 02:21:21"</f>
        <v>2026-07-29 02:21:21</v>
      </c>
      <c r="L12618" s="1" t="str">
        <f>"2023-08-31 10:35:43"</f>
        <v>2023-08-31 10:35:43</v>
      </c>
      <c r="M12618" s="1" t="s">
        <v>4</v>
      </c>
      <c r="N12618" s="1" t="s">
        <v>38</v>
      </c>
      <c r="O12618" s="1" t="s">
        <v>46</v>
      </c>
    </row>
    <row r="12619" spans="2:15" x14ac:dyDescent="0.3">
      <c r="B12619" s="1" t="s">
        <v>20</v>
      </c>
      <c r="C12619" s="1" t="str">
        <f>"4차"</f>
        <v>4차</v>
      </c>
      <c r="D12619" s="1" t="str">
        <f>"9725H77244"</f>
        <v>9725H77244</v>
      </c>
      <c r="E12619" s="1" t="s">
        <v>10</v>
      </c>
      <c r="F12619" s="1" t="str">
        <f>"10.10.82.154"</f>
        <v>10.10.82.154</v>
      </c>
      <c r="G12619" s="1" t="str">
        <f>"9725H772"</f>
        <v>9725H772</v>
      </c>
      <c r="H12619" s="1" t="str">
        <f>"서강간 44R2R1"</f>
        <v>서강간 44R2R1</v>
      </c>
      <c r="I12619" s="1" t="s">
        <v>8</v>
      </c>
      <c r="J12619" s="1" t="str">
        <f>"38/38"</f>
        <v>38/38</v>
      </c>
      <c r="K12619" s="1" t="str">
        <f>"2026-07-29 13:18:11"</f>
        <v>2026-07-29 13:18:11</v>
      </c>
      <c r="L12619" s="1" t="str">
        <f>"2020-01-18 14:37:50"</f>
        <v>2020-01-18 14:37:50</v>
      </c>
      <c r="M12619" s="1" t="s">
        <v>1</v>
      </c>
      <c r="N12619" s="1" t="s">
        <v>38</v>
      </c>
      <c r="O12619" s="1" t="s">
        <v>46</v>
      </c>
    </row>
    <row r="12620" spans="2:15" x14ac:dyDescent="0.3">
      <c r="B12620" s="1" t="s">
        <v>20</v>
      </c>
      <c r="C12620" s="1" t="str">
        <f>"6차"</f>
        <v>6차</v>
      </c>
      <c r="D12620" s="1" t="str">
        <f>"9725H9236S"</f>
        <v>9725H9236S</v>
      </c>
      <c r="E12620" s="1" t="s">
        <v>10</v>
      </c>
      <c r="F12620" s="1" t="str">
        <f>"fde1:103:4:c5f0:0:0:0:2"</f>
        <v>fde1:103:4:c5f0:0:0:0:2</v>
      </c>
      <c r="G12620" s="1" t="str">
        <f>"9725H923"</f>
        <v>9725H923</v>
      </c>
      <c r="H12620" s="1" t="str">
        <f>"서강간 46R20"</f>
        <v>서강간 46R20</v>
      </c>
      <c r="I12620" s="1" t="s">
        <v>15</v>
      </c>
      <c r="J12620" s="1" t="str">
        <f>"21/21"</f>
        <v>21/21</v>
      </c>
      <c r="K12620" s="1" t="str">
        <f>"2026-07-29 14:21:05"</f>
        <v>2026-07-29 14:21:05</v>
      </c>
      <c r="L12620" s="1" t="str">
        <f>"2024-11-01 18:13:55"</f>
        <v>2024-11-01 18:13:55</v>
      </c>
      <c r="M12620" s="1" t="s">
        <v>4</v>
      </c>
      <c r="N12620" s="1" t="s">
        <v>38</v>
      </c>
      <c r="O12620" s="1" t="s">
        <v>46</v>
      </c>
    </row>
    <row r="12621" spans="2:15" x14ac:dyDescent="0.3">
      <c r="B12621" s="1" t="s">
        <v>20</v>
      </c>
      <c r="C12621" s="1" t="str">
        <f>"5-2차"</f>
        <v>5-2차</v>
      </c>
      <c r="D12621" s="1" t="str">
        <f>"9725H9435S"</f>
        <v>9725H9435S</v>
      </c>
      <c r="E12621" s="1" t="s">
        <v>10</v>
      </c>
      <c r="F12621" s="1" t="str">
        <f>"fde1:103:4:59dd:0:0:0:2"</f>
        <v>fde1:103:4:59dd:0:0:0:2</v>
      </c>
      <c r="G12621" s="1" t="str">
        <f>"9725H943"</f>
        <v>9725H943</v>
      </c>
      <c r="H12621" s="1" t="str">
        <f>"서강간 46R18"</f>
        <v>서강간 46R18</v>
      </c>
      <c r="I12621" s="1" t="s">
        <v>15</v>
      </c>
      <c r="J12621" s="1" t="str">
        <f>"54/54"</f>
        <v>54/54</v>
      </c>
      <c r="K12621" s="1" t="str">
        <f>"2026-07-29 14:21:02"</f>
        <v>2026-07-29 14:21:02</v>
      </c>
      <c r="L12621" s="1" t="str">
        <f>"2023-09-12 10:37:04"</f>
        <v>2023-09-12 10:37:04</v>
      </c>
      <c r="M12621" s="1" t="s">
        <v>4</v>
      </c>
      <c r="N12621" s="1" t="s">
        <v>38</v>
      </c>
      <c r="O12621" s="1" t="s">
        <v>46</v>
      </c>
    </row>
    <row r="12622" spans="2:15" x14ac:dyDescent="0.3">
      <c r="B12622" s="1" t="s">
        <v>20</v>
      </c>
      <c r="C12622" s="1" t="str">
        <f>"4차"</f>
        <v>4차</v>
      </c>
      <c r="D12622" s="1" t="str">
        <f>"9725P00139"</f>
        <v>9725P00139</v>
      </c>
      <c r="E12622" s="1" t="s">
        <v>10</v>
      </c>
      <c r="F12622" s="1" t="str">
        <f>"10.10.32.130"</f>
        <v>10.10.32.130</v>
      </c>
      <c r="G12622" s="1" t="str">
        <f>"9725P001"</f>
        <v>9725P001</v>
      </c>
      <c r="H12622" s="1" t="str">
        <f>"홍익지 5L6"</f>
        <v>홍익지 5L6</v>
      </c>
      <c r="I12622" s="1" t="s">
        <v>8</v>
      </c>
      <c r="J12622" s="1" t="str">
        <f>"16/32"</f>
        <v>16/32</v>
      </c>
      <c r="K12622" s="1" t="str">
        <f>"2026-07-29 13:18:11"</f>
        <v>2026-07-29 13:18:11</v>
      </c>
      <c r="L12622" s="1" t="str">
        <f>"2018-03-27 15:46:28"</f>
        <v>2018-03-27 15:46:28</v>
      </c>
      <c r="M12622" s="1" t="s">
        <v>1</v>
      </c>
      <c r="N12622" s="1" t="s">
        <v>38</v>
      </c>
      <c r="O12622" s="1" t="s">
        <v>46</v>
      </c>
    </row>
    <row r="12623" spans="2:15" x14ac:dyDescent="0.3">
      <c r="B12623" s="1" t="s">
        <v>20</v>
      </c>
      <c r="C12623" s="1" t="str">
        <f>"4차"</f>
        <v>4차</v>
      </c>
      <c r="D12623" s="1" t="str">
        <f>"9725P01139"</f>
        <v>9725P01139</v>
      </c>
      <c r="E12623" s="1" t="s">
        <v>10</v>
      </c>
      <c r="F12623" s="1" t="str">
        <f>"10.10.32.122"</f>
        <v>10.10.32.122</v>
      </c>
      <c r="G12623" s="1" t="str">
        <f>"9725P011"</f>
        <v>9725P011</v>
      </c>
      <c r="H12623" s="1" t="str">
        <f>"홍익지 5L4"</f>
        <v>홍익지 5L4</v>
      </c>
      <c r="I12623" s="1" t="s">
        <v>8</v>
      </c>
      <c r="J12623" s="1" t="str">
        <f>"35/36"</f>
        <v>35/36</v>
      </c>
      <c r="K12623" s="1" t="str">
        <f>"2026-07-29 13:18:11"</f>
        <v>2026-07-29 13:18:11</v>
      </c>
      <c r="L12623" s="1" t="str">
        <f>"2018-02-22 18:26:02"</f>
        <v>2018-02-22 18:26:02</v>
      </c>
      <c r="M12623" s="1" t="s">
        <v>1</v>
      </c>
      <c r="N12623" s="1" t="s">
        <v>38</v>
      </c>
      <c r="O12623" s="1" t="s">
        <v>46</v>
      </c>
    </row>
    <row r="12624" spans="2:15" x14ac:dyDescent="0.3">
      <c r="B12624" s="1" t="s">
        <v>20</v>
      </c>
      <c r="C12624" s="1" t="str">
        <f>"3차"</f>
        <v>3차</v>
      </c>
      <c r="D12624" s="1" t="str">
        <f>"9725P02131"</f>
        <v>9725P02131</v>
      </c>
      <c r="E12624" s="1" t="s">
        <v>10</v>
      </c>
      <c r="F12624" s="1" t="str">
        <f>"10.10.32.115"</f>
        <v>10.10.32.115</v>
      </c>
      <c r="G12624" s="1" t="str">
        <f>"9725P021"</f>
        <v>9725P021</v>
      </c>
      <c r="H12624" s="1" t="str">
        <f>"홍익지 5L3"</f>
        <v>홍익지 5L3</v>
      </c>
      <c r="I12624" s="1" t="s">
        <v>8</v>
      </c>
      <c r="J12624" s="1" t="str">
        <f>"13/21"</f>
        <v>13/21</v>
      </c>
      <c r="K12624" s="1" t="str">
        <f>"2026-07-29 13:18:12"</f>
        <v>2026-07-29 13:18:12</v>
      </c>
      <c r="L12624" s="1" t="str">
        <f>"2018-03-14 15:23:42"</f>
        <v>2018-03-14 15:23:42</v>
      </c>
      <c r="M12624" s="1" t="s">
        <v>1</v>
      </c>
      <c r="N12624" s="1" t="s">
        <v>38</v>
      </c>
      <c r="O12624" s="1" t="s">
        <v>46</v>
      </c>
    </row>
    <row r="12625" spans="2:15" x14ac:dyDescent="0.3">
      <c r="B12625" s="1" t="s">
        <v>20</v>
      </c>
      <c r="C12625" s="1" t="str">
        <f>"3차"</f>
        <v>3차</v>
      </c>
      <c r="D12625" s="1" t="str">
        <f>"9725P03139"</f>
        <v>9725P03139</v>
      </c>
      <c r="E12625" s="1" t="s">
        <v>10</v>
      </c>
      <c r="F12625" s="1" t="str">
        <f>"10.10.30.218"</f>
        <v>10.10.30.218</v>
      </c>
      <c r="G12625" s="1" t="str">
        <f>"9725P031"</f>
        <v>9725P031</v>
      </c>
      <c r="H12625" s="1" t="str">
        <f>"서교지 3AR11R1"</f>
        <v>서교지 3AR11R1</v>
      </c>
      <c r="I12625" s="1" t="s">
        <v>8</v>
      </c>
      <c r="J12625" s="1" t="str">
        <f>"11/20"</f>
        <v>11/20</v>
      </c>
      <c r="K12625" s="1" t="str">
        <f>"2026-07-29 13:18:11"</f>
        <v>2026-07-29 13:18:11</v>
      </c>
      <c r="L12625" s="1" t="str">
        <f>"2018-03-27 15:43:57"</f>
        <v>2018-03-27 15:43:57</v>
      </c>
      <c r="M12625" s="1" t="s">
        <v>1</v>
      </c>
      <c r="N12625" s="1" t="s">
        <v>38</v>
      </c>
      <c r="O12625" s="1" t="s">
        <v>46</v>
      </c>
    </row>
    <row r="12626" spans="2:15" x14ac:dyDescent="0.3">
      <c r="B12626" s="1" t="s">
        <v>20</v>
      </c>
      <c r="C12626" s="1" t="str">
        <f>"3차"</f>
        <v>3차</v>
      </c>
      <c r="D12626" s="1" t="str">
        <f>"9725P03239"</f>
        <v>9725P03239</v>
      </c>
      <c r="E12626" s="1" t="s">
        <v>10</v>
      </c>
      <c r="F12626" s="1" t="str">
        <f>"10.10.30.226"</f>
        <v>10.10.30.226</v>
      </c>
      <c r="G12626" s="1" t="str">
        <f>"9725P032"</f>
        <v>9725P032</v>
      </c>
      <c r="H12626" s="1" t="str">
        <f>"서교지 3AR11R2"</f>
        <v>서교지 3AR11R2</v>
      </c>
      <c r="I12626" s="1" t="s">
        <v>8</v>
      </c>
      <c r="J12626" s="1" t="str">
        <f>"23/25"</f>
        <v>23/25</v>
      </c>
      <c r="K12626" s="1" t="str">
        <f t="shared" ref="K12626:K12642" si="639">"2026-07-29 13:18:12"</f>
        <v>2026-07-29 13:18:12</v>
      </c>
      <c r="L12626" s="1" t="str">
        <f>"2018-02-05 14:21:41"</f>
        <v>2018-02-05 14:21:41</v>
      </c>
      <c r="M12626" s="1" t="s">
        <v>1</v>
      </c>
      <c r="N12626" s="1" t="s">
        <v>38</v>
      </c>
      <c r="O12626" s="1" t="s">
        <v>46</v>
      </c>
    </row>
    <row r="12627" spans="2:15" x14ac:dyDescent="0.3">
      <c r="B12627" s="1" t="s">
        <v>20</v>
      </c>
      <c r="C12627" s="1" t="str">
        <f>"3차"</f>
        <v>3차</v>
      </c>
      <c r="D12627" s="1" t="str">
        <f>"9725P04132"</f>
        <v>9725P04132</v>
      </c>
      <c r="E12627" s="1" t="s">
        <v>10</v>
      </c>
      <c r="F12627" s="1" t="str">
        <f>"10.10.31.4"</f>
        <v>10.10.31.4</v>
      </c>
      <c r="G12627" s="1" t="str">
        <f>"9725P041"</f>
        <v>9725P041</v>
      </c>
      <c r="H12627" s="1" t="str">
        <f>"서교지 3AR14"</f>
        <v>서교지 3AR14</v>
      </c>
      <c r="I12627" s="1" t="s">
        <v>8</v>
      </c>
      <c r="J12627" s="1" t="str">
        <f>"5/5"</f>
        <v>5/5</v>
      </c>
      <c r="K12627" s="1" t="str">
        <f t="shared" si="639"/>
        <v>2026-07-29 13:18:12</v>
      </c>
      <c r="L12627" s="1" t="str">
        <f>"2018-02-23 14:50:41"</f>
        <v>2018-02-23 14:50:41</v>
      </c>
      <c r="M12627" s="1" t="s">
        <v>1</v>
      </c>
      <c r="N12627" s="1" t="s">
        <v>38</v>
      </c>
      <c r="O12627" s="1" t="s">
        <v>46</v>
      </c>
    </row>
    <row r="12628" spans="2:15" x14ac:dyDescent="0.3">
      <c r="B12628" s="1" t="s">
        <v>20</v>
      </c>
      <c r="C12628" s="1" t="str">
        <f>"4차"</f>
        <v>4차</v>
      </c>
      <c r="D12628" s="1" t="str">
        <f>"9725P04339"</f>
        <v>9725P04339</v>
      </c>
      <c r="E12628" s="1" t="s">
        <v>10</v>
      </c>
      <c r="F12628" s="1" t="str">
        <f>"10.10.30.242"</f>
        <v>10.10.30.242</v>
      </c>
      <c r="G12628" s="1" t="str">
        <f>"9725P043"</f>
        <v>9725P043</v>
      </c>
      <c r="H12628" s="1" t="str">
        <f>"서교지 3AR11R3L1"</f>
        <v>서교지 3AR11R3L1</v>
      </c>
      <c r="I12628" s="1" t="s">
        <v>8</v>
      </c>
      <c r="J12628" s="1" t="str">
        <f>"18/18"</f>
        <v>18/18</v>
      </c>
      <c r="K12628" s="1" t="str">
        <f t="shared" si="639"/>
        <v>2026-07-29 13:18:12</v>
      </c>
      <c r="L12628" s="1" t="str">
        <f>"2018-02-05 14:21:57"</f>
        <v>2018-02-05 14:21:57</v>
      </c>
      <c r="M12628" s="1" t="s">
        <v>1</v>
      </c>
      <c r="N12628" s="1" t="s">
        <v>38</v>
      </c>
      <c r="O12628" s="1" t="s">
        <v>46</v>
      </c>
    </row>
    <row r="12629" spans="2:15" x14ac:dyDescent="0.3">
      <c r="B12629" s="1" t="s">
        <v>20</v>
      </c>
      <c r="C12629" s="1" t="str">
        <f t="shared" ref="C12629:C12634" si="640">"3차"</f>
        <v>3차</v>
      </c>
      <c r="D12629" s="1" t="str">
        <f>"9725P05139"</f>
        <v>9725P05139</v>
      </c>
      <c r="E12629" s="1" t="s">
        <v>10</v>
      </c>
      <c r="F12629" s="1" t="str">
        <f>"10.10.41.42"</f>
        <v>10.10.41.42</v>
      </c>
      <c r="G12629" s="1" t="str">
        <f>"9725P051"</f>
        <v>9725P051</v>
      </c>
      <c r="H12629" s="1" t="str">
        <f>"서교지 3AR16"</f>
        <v>서교지 3AR16</v>
      </c>
      <c r="I12629" s="1" t="s">
        <v>8</v>
      </c>
      <c r="J12629" s="1" t="str">
        <f>"8/14"</f>
        <v>8/14</v>
      </c>
      <c r="K12629" s="1" t="str">
        <f t="shared" si="639"/>
        <v>2026-07-29 13:18:12</v>
      </c>
      <c r="L12629" s="1" t="str">
        <f>"2018-06-12 14:43:42"</f>
        <v>2018-06-12 14:43:42</v>
      </c>
      <c r="M12629" s="1" t="s">
        <v>1</v>
      </c>
      <c r="N12629" s="1" t="s">
        <v>38</v>
      </c>
      <c r="O12629" s="1" t="s">
        <v>46</v>
      </c>
    </row>
    <row r="12630" spans="2:15" x14ac:dyDescent="0.3">
      <c r="B12630" s="1" t="s">
        <v>20</v>
      </c>
      <c r="C12630" s="1" t="str">
        <f t="shared" si="640"/>
        <v>3차</v>
      </c>
      <c r="D12630" s="1" t="str">
        <f>"9725P06130"</f>
        <v>9725P06130</v>
      </c>
      <c r="E12630" s="1" t="s">
        <v>10</v>
      </c>
      <c r="F12630" s="1" t="str">
        <f>"10.10.32.98"</f>
        <v>10.10.32.98</v>
      </c>
      <c r="G12630" s="1" t="str">
        <f>"9725P061"</f>
        <v>9725P061</v>
      </c>
      <c r="H12630" s="1" t="str">
        <f>"홍익지 11L4"</f>
        <v>홍익지 11L4</v>
      </c>
      <c r="I12630" s="1" t="s">
        <v>8</v>
      </c>
      <c r="J12630" s="1" t="str">
        <f>"4/4"</f>
        <v>4/4</v>
      </c>
      <c r="K12630" s="1" t="str">
        <f t="shared" si="639"/>
        <v>2026-07-29 13:18:12</v>
      </c>
      <c r="L12630" s="1" t="str">
        <f>"2018-02-22 14:07:45"</f>
        <v>2018-02-22 14:07:45</v>
      </c>
      <c r="M12630" s="1" t="s">
        <v>1</v>
      </c>
      <c r="N12630" s="1" t="s">
        <v>38</v>
      </c>
      <c r="O12630" s="1" t="s">
        <v>46</v>
      </c>
    </row>
    <row r="12631" spans="2:15" x14ac:dyDescent="0.3">
      <c r="B12631" s="1" t="s">
        <v>20</v>
      </c>
      <c r="C12631" s="1" t="str">
        <f t="shared" si="640"/>
        <v>3차</v>
      </c>
      <c r="D12631" s="1" t="str">
        <f>"9725P07239"</f>
        <v>9725P07239</v>
      </c>
      <c r="E12631" s="1" t="s">
        <v>10</v>
      </c>
      <c r="F12631" s="1" t="str">
        <f>"10.10.29.234"</f>
        <v>10.10.29.234</v>
      </c>
      <c r="G12631" s="1" t="str">
        <f>"9725P072"</f>
        <v>9725P072</v>
      </c>
      <c r="H12631" s="1" t="str">
        <f>"양화간 49L5"</f>
        <v>양화간 49L5</v>
      </c>
      <c r="I12631" s="1" t="s">
        <v>8</v>
      </c>
      <c r="J12631" s="1" t="str">
        <f>"7/7"</f>
        <v>7/7</v>
      </c>
      <c r="K12631" s="1" t="str">
        <f t="shared" si="639"/>
        <v>2026-07-29 13:18:12</v>
      </c>
      <c r="L12631" s="1" t="str">
        <f>"2018-05-15 15:05:41"</f>
        <v>2018-05-15 15:05:41</v>
      </c>
      <c r="M12631" s="1" t="s">
        <v>1</v>
      </c>
      <c r="N12631" s="1" t="s">
        <v>38</v>
      </c>
      <c r="O12631" s="1" t="s">
        <v>46</v>
      </c>
    </row>
    <row r="12632" spans="2:15" x14ac:dyDescent="0.3">
      <c r="B12632" s="1" t="s">
        <v>20</v>
      </c>
      <c r="C12632" s="1" t="str">
        <f t="shared" si="640"/>
        <v>3차</v>
      </c>
      <c r="D12632" s="1" t="str">
        <f>"9725P09230"</f>
        <v>9725P09230</v>
      </c>
      <c r="E12632" s="1" t="s">
        <v>10</v>
      </c>
      <c r="F12632" s="1" t="str">
        <f>"10.10.37.154"</f>
        <v>10.10.37.154</v>
      </c>
      <c r="G12632" s="1" t="str">
        <f>"9725P092"</f>
        <v>9725P092</v>
      </c>
      <c r="H12632" s="1" t="str">
        <f>"양화간 47L2"</f>
        <v>양화간 47L2</v>
      </c>
      <c r="I12632" s="1" t="s">
        <v>8</v>
      </c>
      <c r="J12632" s="1" t="str">
        <f>"14/15"</f>
        <v>14/15</v>
      </c>
      <c r="K12632" s="1" t="str">
        <f t="shared" si="639"/>
        <v>2026-07-29 13:18:12</v>
      </c>
      <c r="L12632" s="1" t="str">
        <f>"2018-02-26 10:37:54"</f>
        <v>2018-02-26 10:37:54</v>
      </c>
      <c r="M12632" s="1" t="s">
        <v>1</v>
      </c>
      <c r="N12632" s="1" t="s">
        <v>38</v>
      </c>
      <c r="O12632" s="1" t="s">
        <v>46</v>
      </c>
    </row>
    <row r="12633" spans="2:15" x14ac:dyDescent="0.3">
      <c r="B12633" s="1" t="s">
        <v>20</v>
      </c>
      <c r="C12633" s="1" t="str">
        <f t="shared" si="640"/>
        <v>3차</v>
      </c>
      <c r="D12633" s="1" t="str">
        <f>"9725P09331"</f>
        <v>9725P09331</v>
      </c>
      <c r="E12633" s="1" t="s">
        <v>10</v>
      </c>
      <c r="F12633" s="1" t="str">
        <f>"10.10.37.155"</f>
        <v>10.10.37.155</v>
      </c>
      <c r="G12633" s="1" t="str">
        <f>"9725P093"</f>
        <v>9725P093</v>
      </c>
      <c r="H12633" s="1" t="str">
        <f>"양화간 47L2H1"</f>
        <v>양화간 47L2H1</v>
      </c>
      <c r="I12633" s="1" t="s">
        <v>8</v>
      </c>
      <c r="J12633" s="1" t="str">
        <f>"2/2"</f>
        <v>2/2</v>
      </c>
      <c r="K12633" s="1" t="str">
        <f t="shared" si="639"/>
        <v>2026-07-29 13:18:12</v>
      </c>
      <c r="L12633" s="1" t="str">
        <f>"2018-03-22 16:18:13"</f>
        <v>2018-03-22 16:18:13</v>
      </c>
      <c r="M12633" s="1" t="s">
        <v>1</v>
      </c>
      <c r="N12633" s="1" t="s">
        <v>38</v>
      </c>
      <c r="O12633" s="1" t="s">
        <v>46</v>
      </c>
    </row>
    <row r="12634" spans="2:15" x14ac:dyDescent="0.3">
      <c r="B12634" s="1" t="s">
        <v>20</v>
      </c>
      <c r="C12634" s="1" t="str">
        <f t="shared" si="640"/>
        <v>3차</v>
      </c>
      <c r="D12634" s="1" t="str">
        <f>"9725P12130"</f>
        <v>9725P12130</v>
      </c>
      <c r="E12634" s="1" t="s">
        <v>10</v>
      </c>
      <c r="F12634" s="1" t="str">
        <f>"10.10.32.114"</f>
        <v>10.10.32.114</v>
      </c>
      <c r="G12634" s="1" t="str">
        <f>"9725P121"</f>
        <v>9725P121</v>
      </c>
      <c r="H12634" s="1" t="str">
        <f>"홍익지 5L2"</f>
        <v>홍익지 5L2</v>
      </c>
      <c r="I12634" s="1" t="s">
        <v>8</v>
      </c>
      <c r="J12634" s="1" t="str">
        <f>"11/11"</f>
        <v>11/11</v>
      </c>
      <c r="K12634" s="1" t="str">
        <f t="shared" si="639"/>
        <v>2026-07-29 13:18:12</v>
      </c>
      <c r="L12634" s="1" t="str">
        <f>"2018-02-22 18:27:47"</f>
        <v>2018-02-22 18:27:47</v>
      </c>
      <c r="M12634" s="1" t="s">
        <v>1</v>
      </c>
      <c r="N12634" s="1" t="s">
        <v>38</v>
      </c>
      <c r="O12634" s="1" t="s">
        <v>46</v>
      </c>
    </row>
    <row r="12635" spans="2:15" x14ac:dyDescent="0.3">
      <c r="B12635" s="1" t="s">
        <v>20</v>
      </c>
      <c r="C12635" s="1" t="str">
        <f>"4차"</f>
        <v>4차</v>
      </c>
      <c r="D12635" s="1" t="str">
        <f>"9725P14139"</f>
        <v>9725P14139</v>
      </c>
      <c r="E12635" s="1" t="s">
        <v>10</v>
      </c>
      <c r="F12635" s="1" t="str">
        <f>"10.10.32.178"</f>
        <v>10.10.32.178</v>
      </c>
      <c r="G12635" s="1" t="str">
        <f>"9725P141"</f>
        <v>9725P141</v>
      </c>
      <c r="H12635" s="1" t="str">
        <f>"홍익지 8L3"</f>
        <v>홍익지 8L3</v>
      </c>
      <c r="I12635" s="1" t="s">
        <v>8</v>
      </c>
      <c r="J12635" s="1" t="str">
        <f>"38/38"</f>
        <v>38/38</v>
      </c>
      <c r="K12635" s="1" t="str">
        <f t="shared" si="639"/>
        <v>2026-07-29 13:18:12</v>
      </c>
      <c r="L12635" s="1" t="str">
        <f>"2018-03-27 15:42:14"</f>
        <v>2018-03-27 15:42:14</v>
      </c>
      <c r="M12635" s="1" t="s">
        <v>1</v>
      </c>
      <c r="N12635" s="1" t="s">
        <v>38</v>
      </c>
      <c r="O12635" s="1" t="s">
        <v>46</v>
      </c>
    </row>
    <row r="12636" spans="2:15" x14ac:dyDescent="0.3">
      <c r="B12636" s="1" t="s">
        <v>20</v>
      </c>
      <c r="C12636" s="1" t="str">
        <f t="shared" ref="C12636:C12642" si="641">"3차"</f>
        <v>3차</v>
      </c>
      <c r="D12636" s="1" t="str">
        <f>"9725P15239"</f>
        <v>9725P15239</v>
      </c>
      <c r="E12636" s="1" t="s">
        <v>10</v>
      </c>
      <c r="F12636" s="1" t="str">
        <f>"10.10.34.146"</f>
        <v>10.10.34.146</v>
      </c>
      <c r="G12636" s="1" t="str">
        <f>"9725P152"</f>
        <v>9725P152</v>
      </c>
      <c r="H12636" s="1" t="str">
        <f>"서교지 3AR18"</f>
        <v>서교지 3AR18</v>
      </c>
      <c r="I12636" s="1" t="s">
        <v>8</v>
      </c>
      <c r="J12636" s="1" t="str">
        <f>"15/16"</f>
        <v>15/16</v>
      </c>
      <c r="K12636" s="1" t="str">
        <f t="shared" si="639"/>
        <v>2026-07-29 13:18:12</v>
      </c>
      <c r="L12636" s="1" t="str">
        <f>"2018-04-03 15:28:42"</f>
        <v>2018-04-03 15:28:42</v>
      </c>
      <c r="M12636" s="1" t="s">
        <v>1</v>
      </c>
      <c r="N12636" s="1" t="s">
        <v>38</v>
      </c>
      <c r="O12636" s="1" t="s">
        <v>46</v>
      </c>
    </row>
    <row r="12637" spans="2:15" x14ac:dyDescent="0.3">
      <c r="B12637" s="1" t="s">
        <v>20</v>
      </c>
      <c r="C12637" s="1" t="str">
        <f t="shared" si="641"/>
        <v>3차</v>
      </c>
      <c r="D12637" s="1" t="str">
        <f>"9725P16131"</f>
        <v>9725P16131</v>
      </c>
      <c r="E12637" s="1" t="s">
        <v>10</v>
      </c>
      <c r="F12637" s="1" t="str">
        <f>"10.10.32.99"</f>
        <v>10.10.32.99</v>
      </c>
      <c r="G12637" s="1" t="str">
        <f>"9725P161"</f>
        <v>9725P161</v>
      </c>
      <c r="H12637" s="1" t="str">
        <f>"홍익지 11L3"</f>
        <v>홍익지 11L3</v>
      </c>
      <c r="I12637" s="1" t="s">
        <v>8</v>
      </c>
      <c r="J12637" s="1" t="str">
        <f>"4/4"</f>
        <v>4/4</v>
      </c>
      <c r="K12637" s="1" t="str">
        <f t="shared" si="639"/>
        <v>2026-07-29 13:18:12</v>
      </c>
      <c r="L12637" s="1" t="str">
        <f>"2018-02-23 11:31:09"</f>
        <v>2018-02-23 11:31:09</v>
      </c>
      <c r="M12637" s="1" t="s">
        <v>1</v>
      </c>
      <c r="N12637" s="1" t="s">
        <v>38</v>
      </c>
      <c r="O12637" s="1" t="s">
        <v>46</v>
      </c>
    </row>
    <row r="12638" spans="2:15" x14ac:dyDescent="0.3">
      <c r="B12638" s="1" t="s">
        <v>20</v>
      </c>
      <c r="C12638" s="1" t="str">
        <f t="shared" si="641"/>
        <v>3차</v>
      </c>
      <c r="D12638" s="1" t="str">
        <f>"9725P16239"</f>
        <v>9725P16239</v>
      </c>
      <c r="E12638" s="1" t="s">
        <v>14</v>
      </c>
      <c r="F12638" s="1" t="str">
        <f>"10.10.32.90"</f>
        <v>10.10.32.90</v>
      </c>
      <c r="G12638" s="1" t="str">
        <f>"9725P162"</f>
        <v>9725P162</v>
      </c>
      <c r="H12638" s="1" t="str">
        <f>"홍익지 11L2"</f>
        <v>홍익지 11L2</v>
      </c>
      <c r="I12638" s="1" t="s">
        <v>8</v>
      </c>
      <c r="J12638" s="1" t="str">
        <f>"0/0"</f>
        <v>0/0</v>
      </c>
      <c r="K12638" s="1" t="str">
        <f t="shared" si="639"/>
        <v>2026-07-29 13:18:12</v>
      </c>
      <c r="L12638" s="1" t="str">
        <f>"2018-02-22 13:58:30"</f>
        <v>2018-02-22 13:58:30</v>
      </c>
      <c r="M12638" s="1" t="s">
        <v>1</v>
      </c>
      <c r="N12638" s="1" t="s">
        <v>38</v>
      </c>
      <c r="O12638" s="1" t="s">
        <v>44</v>
      </c>
    </row>
    <row r="12639" spans="2:15" x14ac:dyDescent="0.3">
      <c r="B12639" s="1" t="s">
        <v>20</v>
      </c>
      <c r="C12639" s="1" t="str">
        <f t="shared" si="641"/>
        <v>3차</v>
      </c>
      <c r="D12639" s="1" t="str">
        <f>"9725P17139"</f>
        <v>9725P17139</v>
      </c>
      <c r="E12639" s="1" t="s">
        <v>10</v>
      </c>
      <c r="F12639" s="1" t="str">
        <f>"10.10.29.242"</f>
        <v>10.10.29.242</v>
      </c>
      <c r="G12639" s="1" t="str">
        <f>"9725P171"</f>
        <v>9725P171</v>
      </c>
      <c r="H12639" s="1" t="str">
        <f>"양화간 49L6"</f>
        <v>양화간 49L6</v>
      </c>
      <c r="I12639" s="1" t="s">
        <v>8</v>
      </c>
      <c r="J12639" s="1" t="str">
        <f>"2/2"</f>
        <v>2/2</v>
      </c>
      <c r="K12639" s="1" t="str">
        <f t="shared" si="639"/>
        <v>2026-07-29 13:18:12</v>
      </c>
      <c r="L12639" s="1" t="str">
        <f>"2018-03-07 11:37:40"</f>
        <v>2018-03-07 11:37:40</v>
      </c>
      <c r="M12639" s="1" t="s">
        <v>1</v>
      </c>
      <c r="N12639" s="1" t="s">
        <v>38</v>
      </c>
      <c r="O12639" s="1" t="s">
        <v>46</v>
      </c>
    </row>
    <row r="12640" spans="2:15" x14ac:dyDescent="0.3">
      <c r="B12640" s="1" t="s">
        <v>20</v>
      </c>
      <c r="C12640" s="1" t="str">
        <f t="shared" si="641"/>
        <v>3차</v>
      </c>
      <c r="D12640" s="1" t="str">
        <f>"9725P17339"</f>
        <v>9725P17339</v>
      </c>
      <c r="E12640" s="1" t="s">
        <v>10</v>
      </c>
      <c r="F12640" s="1" t="str">
        <f>"10.10.29.250"</f>
        <v>10.10.29.250</v>
      </c>
      <c r="G12640" s="1" t="str">
        <f>"9725P173"</f>
        <v>9725P173</v>
      </c>
      <c r="H12640" s="1" t="str">
        <f>"양화간 49L7"</f>
        <v>양화간 49L7</v>
      </c>
      <c r="I12640" s="1" t="s">
        <v>8</v>
      </c>
      <c r="J12640" s="1" t="str">
        <f>"15/15"</f>
        <v>15/15</v>
      </c>
      <c r="K12640" s="1" t="str">
        <f t="shared" si="639"/>
        <v>2026-07-29 13:18:12</v>
      </c>
      <c r="L12640" s="1" t="str">
        <f>"2018-03-07 11:51:10"</f>
        <v>2018-03-07 11:51:10</v>
      </c>
      <c r="M12640" s="1" t="s">
        <v>1</v>
      </c>
      <c r="N12640" s="1" t="s">
        <v>38</v>
      </c>
      <c r="O12640" s="1" t="s">
        <v>46</v>
      </c>
    </row>
    <row r="12641" spans="2:15" x14ac:dyDescent="0.3">
      <c r="B12641" s="1" t="s">
        <v>20</v>
      </c>
      <c r="C12641" s="1" t="str">
        <f t="shared" si="641"/>
        <v>3차</v>
      </c>
      <c r="D12641" s="1" t="str">
        <f>"9725P19139"</f>
        <v>9725P19139</v>
      </c>
      <c r="E12641" s="1" t="s">
        <v>10</v>
      </c>
      <c r="F12641" s="1" t="str">
        <f>"10.10.35.98"</f>
        <v>10.10.35.98</v>
      </c>
      <c r="G12641" s="1" t="str">
        <f>"9725P191"</f>
        <v>9725P191</v>
      </c>
      <c r="H12641" s="1" t="str">
        <f>"양화간 45L2"</f>
        <v>양화간 45L2</v>
      </c>
      <c r="I12641" s="1" t="s">
        <v>8</v>
      </c>
      <c r="J12641" s="1" t="str">
        <f>"24/25"</f>
        <v>24/25</v>
      </c>
      <c r="K12641" s="1" t="str">
        <f t="shared" si="639"/>
        <v>2026-07-29 13:18:12</v>
      </c>
      <c r="L12641" s="1" t="str">
        <f>"2018-02-14 15:32:12"</f>
        <v>2018-02-14 15:32:12</v>
      </c>
      <c r="M12641" s="1" t="s">
        <v>1</v>
      </c>
      <c r="N12641" s="1" t="s">
        <v>38</v>
      </c>
      <c r="O12641" s="1" t="s">
        <v>46</v>
      </c>
    </row>
    <row r="12642" spans="2:15" x14ac:dyDescent="0.3">
      <c r="B12642" s="1" t="s">
        <v>20</v>
      </c>
      <c r="C12642" s="1" t="str">
        <f t="shared" si="641"/>
        <v>3차</v>
      </c>
      <c r="D12642" s="1" t="str">
        <f>"9725P21239"</f>
        <v>9725P21239</v>
      </c>
      <c r="E12642" s="1" t="s">
        <v>10</v>
      </c>
      <c r="F12642" s="1" t="str">
        <f>"10.10.24.218"</f>
        <v>10.10.24.218</v>
      </c>
      <c r="G12642" s="1" t="str">
        <f>"9725P212"</f>
        <v>9725P212</v>
      </c>
      <c r="H12642" s="1" t="str">
        <f>"홍익지 3"</f>
        <v>홍익지 3</v>
      </c>
      <c r="I12642" s="1" t="s">
        <v>8</v>
      </c>
      <c r="J12642" s="1" t="str">
        <f>"31/31"</f>
        <v>31/31</v>
      </c>
      <c r="K12642" s="1" t="str">
        <f t="shared" si="639"/>
        <v>2026-07-29 13:18:12</v>
      </c>
      <c r="L12642" s="1" t="str">
        <f>"2018-02-22 14:08:30"</f>
        <v>2018-02-22 14:08:30</v>
      </c>
      <c r="M12642" s="1" t="s">
        <v>1</v>
      </c>
      <c r="N12642" s="1" t="s">
        <v>38</v>
      </c>
      <c r="O12642" s="1" t="s">
        <v>46</v>
      </c>
    </row>
    <row r="12643" spans="2:15" x14ac:dyDescent="0.3">
      <c r="B12643" s="1" t="s">
        <v>20</v>
      </c>
      <c r="C12643" s="1" t="str">
        <f>"6차"</f>
        <v>6차</v>
      </c>
      <c r="D12643" s="1" t="str">
        <f>"9725P2136M"</f>
        <v>9725P2136M</v>
      </c>
      <c r="E12643" s="1" t="s">
        <v>10</v>
      </c>
      <c r="F12643" s="1" t="str">
        <f>"fde1:103:4:c7ed:0:0:0:2"</f>
        <v>fde1:103:4:c7ed:0:0:0:2</v>
      </c>
      <c r="G12643" s="1" t="str">
        <f>"9725P213"</f>
        <v>9725P213</v>
      </c>
      <c r="H12643" s="1" t="str">
        <f>"홍익지 2R2"</f>
        <v>홍익지 2R2</v>
      </c>
      <c r="I12643" s="1" t="s">
        <v>15</v>
      </c>
      <c r="J12643" s="1" t="str">
        <f>"30/31"</f>
        <v>30/31</v>
      </c>
      <c r="K12643" s="1" t="str">
        <f>"2026-07-29 14:21:01"</f>
        <v>2026-07-29 14:21:01</v>
      </c>
      <c r="L12643" s="1" t="str">
        <f>"2024-11-26 13:39:40"</f>
        <v>2024-11-26 13:39:40</v>
      </c>
      <c r="M12643" s="1" t="s">
        <v>4</v>
      </c>
      <c r="N12643" s="1" t="s">
        <v>38</v>
      </c>
      <c r="O12643" s="1" t="s">
        <v>46</v>
      </c>
    </row>
    <row r="12644" spans="2:15" x14ac:dyDescent="0.3">
      <c r="B12644" s="1" t="s">
        <v>20</v>
      </c>
      <c r="C12644" s="1" t="str">
        <f t="shared" ref="C12644:C12656" si="642">"3차"</f>
        <v>3차</v>
      </c>
      <c r="D12644" s="1" t="str">
        <f>"9725P22339"</f>
        <v>9725P22339</v>
      </c>
      <c r="E12644" s="1" t="s">
        <v>10</v>
      </c>
      <c r="F12644" s="1" t="str">
        <f>"10.12.128.137"</f>
        <v>10.12.128.137</v>
      </c>
      <c r="G12644" s="1" t="str">
        <f>"9725P223"</f>
        <v>9725P223</v>
      </c>
      <c r="H12644" s="1" t="str">
        <f>"홍익지 2R4"</f>
        <v>홍익지 2R4</v>
      </c>
      <c r="I12644" s="1" t="s">
        <v>8</v>
      </c>
      <c r="J12644" s="1" t="str">
        <f>"3/3"</f>
        <v>3/3</v>
      </c>
      <c r="K12644" s="1" t="str">
        <f>"2026-07-29 13:18:10"</f>
        <v>2026-07-29 13:18:10</v>
      </c>
      <c r="L12644" s="1" t="str">
        <f>"2018-03-27 15:40:00"</f>
        <v>2018-03-27 15:40:00</v>
      </c>
      <c r="M12644" s="1" t="s">
        <v>0</v>
      </c>
      <c r="N12644" s="1" t="s">
        <v>38</v>
      </c>
      <c r="O12644" s="1" t="s">
        <v>46</v>
      </c>
    </row>
    <row r="12645" spans="2:15" x14ac:dyDescent="0.3">
      <c r="B12645" s="1" t="s">
        <v>20</v>
      </c>
      <c r="C12645" s="1" t="str">
        <f t="shared" si="642"/>
        <v>3차</v>
      </c>
      <c r="D12645" s="1" t="str">
        <f>"9725P23130"</f>
        <v>9725P23130</v>
      </c>
      <c r="E12645" s="1" t="s">
        <v>10</v>
      </c>
      <c r="F12645" s="1" t="str">
        <f>"10.10.32.58"</f>
        <v>10.10.32.58</v>
      </c>
      <c r="G12645" s="1" t="str">
        <f>"9725P231"</f>
        <v>9725P231</v>
      </c>
      <c r="H12645" s="1" t="str">
        <f>"홍익지 6"</f>
        <v>홍익지 6</v>
      </c>
      <c r="I12645" s="1" t="s">
        <v>8</v>
      </c>
      <c r="J12645" s="1" t="str">
        <f>"52/53"</f>
        <v>52/53</v>
      </c>
      <c r="K12645" s="1" t="str">
        <f t="shared" ref="K12645:K12656" si="643">"2026-07-29 13:18:12"</f>
        <v>2026-07-29 13:18:12</v>
      </c>
      <c r="L12645" s="1" t="str">
        <f>"2018-02-22 13:58:01"</f>
        <v>2018-02-22 13:58:01</v>
      </c>
      <c r="M12645" s="1" t="s">
        <v>1</v>
      </c>
      <c r="N12645" s="1" t="s">
        <v>38</v>
      </c>
      <c r="O12645" s="1" t="s">
        <v>46</v>
      </c>
    </row>
    <row r="12646" spans="2:15" x14ac:dyDescent="0.3">
      <c r="B12646" s="1" t="s">
        <v>20</v>
      </c>
      <c r="C12646" s="1" t="str">
        <f t="shared" si="642"/>
        <v>3차</v>
      </c>
      <c r="D12646" s="1" t="str">
        <f>"9725P24439"</f>
        <v>9725P24439</v>
      </c>
      <c r="E12646" s="1" t="s">
        <v>10</v>
      </c>
      <c r="F12646" s="1" t="str">
        <f>"10.10.32.170"</f>
        <v>10.10.32.170</v>
      </c>
      <c r="G12646" s="1" t="str">
        <f>"9725P244"</f>
        <v>9725P244</v>
      </c>
      <c r="H12646" s="1" t="str">
        <f>"홍익지 8L2"</f>
        <v>홍익지 8L2</v>
      </c>
      <c r="I12646" s="1" t="s">
        <v>8</v>
      </c>
      <c r="J12646" s="1" t="str">
        <f>"12/13"</f>
        <v>12/13</v>
      </c>
      <c r="K12646" s="1" t="str">
        <f t="shared" si="643"/>
        <v>2026-07-29 13:18:12</v>
      </c>
      <c r="L12646" s="1" t="str">
        <f>"2018-02-22 14:07:15"</f>
        <v>2018-02-22 14:07:15</v>
      </c>
      <c r="M12646" s="1" t="s">
        <v>1</v>
      </c>
      <c r="N12646" s="1" t="s">
        <v>38</v>
      </c>
      <c r="O12646" s="1" t="s">
        <v>46</v>
      </c>
    </row>
    <row r="12647" spans="2:15" x14ac:dyDescent="0.3">
      <c r="B12647" s="1" t="s">
        <v>20</v>
      </c>
      <c r="C12647" s="1" t="str">
        <f t="shared" si="642"/>
        <v>3차</v>
      </c>
      <c r="D12647" s="1" t="str">
        <f>"9725P25239"</f>
        <v>9725P25239</v>
      </c>
      <c r="E12647" s="1" t="s">
        <v>10</v>
      </c>
      <c r="F12647" s="1" t="str">
        <f>"10.10.38.210"</f>
        <v>10.10.38.210</v>
      </c>
      <c r="G12647" s="1" t="str">
        <f>"9725P252"</f>
        <v>9725P252</v>
      </c>
      <c r="H12647" s="1" t="str">
        <f>"홍익지 9"</f>
        <v>홍익지 9</v>
      </c>
      <c r="I12647" s="1" t="s">
        <v>8</v>
      </c>
      <c r="J12647" s="1" t="str">
        <f>"3/3"</f>
        <v>3/3</v>
      </c>
      <c r="K12647" s="1" t="str">
        <f t="shared" si="643"/>
        <v>2026-07-29 13:18:12</v>
      </c>
      <c r="L12647" s="1" t="str">
        <f>"2018-03-27 15:37:12"</f>
        <v>2018-03-27 15:37:12</v>
      </c>
      <c r="M12647" s="1" t="s">
        <v>1</v>
      </c>
      <c r="N12647" s="1" t="s">
        <v>38</v>
      </c>
      <c r="O12647" s="1" t="s">
        <v>46</v>
      </c>
    </row>
    <row r="12648" spans="2:15" x14ac:dyDescent="0.3">
      <c r="B12648" s="1" t="s">
        <v>20</v>
      </c>
      <c r="C12648" s="1" t="str">
        <f t="shared" si="642"/>
        <v>3차</v>
      </c>
      <c r="D12648" s="1" t="str">
        <f>"9725P25339"</f>
        <v>9725P25339</v>
      </c>
      <c r="E12648" s="1" t="s">
        <v>10</v>
      </c>
      <c r="F12648" s="1" t="str">
        <f>"10.10.32.138"</f>
        <v>10.10.32.138</v>
      </c>
      <c r="G12648" s="1" t="str">
        <f>"9725P253"</f>
        <v>9725P253</v>
      </c>
      <c r="H12648" s="1" t="str">
        <f>"홍익지 6R1L2"</f>
        <v>홍익지 6R1L2</v>
      </c>
      <c r="I12648" s="1" t="s">
        <v>8</v>
      </c>
      <c r="J12648" s="1" t="str">
        <f>"21/23"</f>
        <v>21/23</v>
      </c>
      <c r="K12648" s="1" t="str">
        <f t="shared" si="643"/>
        <v>2026-07-29 13:18:12</v>
      </c>
      <c r="L12648" s="1" t="str">
        <f>"2018-02-22 14:10:00"</f>
        <v>2018-02-22 14:10:00</v>
      </c>
      <c r="M12648" s="1" t="s">
        <v>1</v>
      </c>
      <c r="N12648" s="1" t="s">
        <v>38</v>
      </c>
      <c r="O12648" s="1" t="s">
        <v>46</v>
      </c>
    </row>
    <row r="12649" spans="2:15" x14ac:dyDescent="0.3">
      <c r="B12649" s="1" t="s">
        <v>20</v>
      </c>
      <c r="C12649" s="1" t="str">
        <f t="shared" si="642"/>
        <v>3차</v>
      </c>
      <c r="D12649" s="1" t="str">
        <f>"9725P26531"</f>
        <v>9725P26531</v>
      </c>
      <c r="E12649" s="1" t="s">
        <v>10</v>
      </c>
      <c r="F12649" s="1" t="str">
        <f>"10.10.37.67"</f>
        <v>10.10.37.67</v>
      </c>
      <c r="G12649" s="1" t="str">
        <f>"9725P265"</f>
        <v>9725P265</v>
      </c>
      <c r="H12649" s="1" t="str">
        <f>"양화간 36AL12"</f>
        <v>양화간 36AL12</v>
      </c>
      <c r="I12649" s="1" t="s">
        <v>8</v>
      </c>
      <c r="J12649" s="1" t="str">
        <f>"2/2"</f>
        <v>2/2</v>
      </c>
      <c r="K12649" s="1" t="str">
        <f t="shared" si="643"/>
        <v>2026-07-29 13:18:12</v>
      </c>
      <c r="L12649" s="1" t="str">
        <f>"2018-02-26 10:32:54"</f>
        <v>2018-02-26 10:32:54</v>
      </c>
      <c r="M12649" s="1" t="s">
        <v>1</v>
      </c>
      <c r="N12649" s="1" t="s">
        <v>38</v>
      </c>
      <c r="O12649" s="1" t="s">
        <v>46</v>
      </c>
    </row>
    <row r="12650" spans="2:15" x14ac:dyDescent="0.3">
      <c r="B12650" s="1" t="s">
        <v>20</v>
      </c>
      <c r="C12650" s="1" t="str">
        <f t="shared" si="642"/>
        <v>3차</v>
      </c>
      <c r="D12650" s="1" t="str">
        <f>"9725P26830"</f>
        <v>9725P26830</v>
      </c>
      <c r="E12650" s="1" t="s">
        <v>10</v>
      </c>
      <c r="F12650" s="1" t="str">
        <f>"10.10.37.66"</f>
        <v>10.10.37.66</v>
      </c>
      <c r="G12650" s="1" t="str">
        <f>"9725P268"</f>
        <v>9725P268</v>
      </c>
      <c r="H12650" s="1" t="str">
        <f>"양화간 36AL10"</f>
        <v>양화간 36AL10</v>
      </c>
      <c r="I12650" s="1" t="s">
        <v>8</v>
      </c>
      <c r="J12650" s="1" t="str">
        <f>"7/7"</f>
        <v>7/7</v>
      </c>
      <c r="K12650" s="1" t="str">
        <f t="shared" si="643"/>
        <v>2026-07-29 13:18:12</v>
      </c>
      <c r="L12650" s="1" t="str">
        <f>"2018-02-26 10:29:25"</f>
        <v>2018-02-26 10:29:25</v>
      </c>
      <c r="M12650" s="1" t="s">
        <v>1</v>
      </c>
      <c r="N12650" s="1" t="s">
        <v>38</v>
      </c>
      <c r="O12650" s="1" t="s">
        <v>46</v>
      </c>
    </row>
    <row r="12651" spans="2:15" x14ac:dyDescent="0.3">
      <c r="B12651" s="1" t="s">
        <v>20</v>
      </c>
      <c r="C12651" s="1" t="str">
        <f t="shared" si="642"/>
        <v>3차</v>
      </c>
      <c r="D12651" s="1" t="str">
        <f>"9725P27230"</f>
        <v>9725P27230</v>
      </c>
      <c r="E12651" s="1" t="s">
        <v>14</v>
      </c>
      <c r="F12651" s="1" t="str">
        <f>"10.10.32.74"</f>
        <v>10.10.32.74</v>
      </c>
      <c r="G12651" s="1" t="str">
        <f>"9725P272"</f>
        <v>9725P272</v>
      </c>
      <c r="H12651" s="1" t="str">
        <f>"홍익지 13"</f>
        <v>홍익지 13</v>
      </c>
      <c r="I12651" s="1" t="s">
        <v>8</v>
      </c>
      <c r="J12651" s="1" t="str">
        <f>"0/0"</f>
        <v>0/0</v>
      </c>
      <c r="K12651" s="1" t="str">
        <f t="shared" si="643"/>
        <v>2026-07-29 13:18:12</v>
      </c>
      <c r="L12651" s="1" t="str">
        <f>"2018-03-27 15:38:44"</f>
        <v>2018-03-27 15:38:44</v>
      </c>
      <c r="M12651" s="1" t="s">
        <v>1</v>
      </c>
      <c r="N12651" s="1" t="s">
        <v>38</v>
      </c>
      <c r="O12651" s="1" t="s">
        <v>44</v>
      </c>
    </row>
    <row r="12652" spans="2:15" x14ac:dyDescent="0.3">
      <c r="B12652" s="1" t="s">
        <v>20</v>
      </c>
      <c r="C12652" s="1" t="str">
        <f t="shared" si="642"/>
        <v>3차</v>
      </c>
      <c r="D12652" s="1" t="str">
        <f>"9725P27431"</f>
        <v>9725P27431</v>
      </c>
      <c r="E12652" s="1" t="s">
        <v>10</v>
      </c>
      <c r="F12652" s="1" t="str">
        <f>"10.10.32.75"</f>
        <v>10.10.32.75</v>
      </c>
      <c r="G12652" s="1" t="str">
        <f>"9725P274"</f>
        <v>9725P274</v>
      </c>
      <c r="H12652" s="1" t="str">
        <f>"홍익지 14"</f>
        <v>홍익지 14</v>
      </c>
      <c r="I12652" s="1" t="s">
        <v>8</v>
      </c>
      <c r="J12652" s="1" t="str">
        <f>"9/9"</f>
        <v>9/9</v>
      </c>
      <c r="K12652" s="1" t="str">
        <f t="shared" si="643"/>
        <v>2026-07-29 13:18:12</v>
      </c>
      <c r="L12652" s="1" t="str">
        <f>"2018-03-27 15:45:58"</f>
        <v>2018-03-27 15:45:58</v>
      </c>
      <c r="M12652" s="1" t="s">
        <v>1</v>
      </c>
      <c r="N12652" s="1" t="s">
        <v>38</v>
      </c>
      <c r="O12652" s="1" t="s">
        <v>46</v>
      </c>
    </row>
    <row r="12653" spans="2:15" x14ac:dyDescent="0.3">
      <c r="B12653" s="1" t="s">
        <v>20</v>
      </c>
      <c r="C12653" s="1" t="str">
        <f t="shared" si="642"/>
        <v>3차</v>
      </c>
      <c r="D12653" s="1" t="str">
        <f>"9725P29139"</f>
        <v>9725P29139</v>
      </c>
      <c r="E12653" s="1" t="s">
        <v>10</v>
      </c>
      <c r="F12653" s="1" t="str">
        <f>"10.10.34.106"</f>
        <v>10.10.34.106</v>
      </c>
      <c r="G12653" s="1" t="str">
        <f>"9725P291"</f>
        <v>9725P291</v>
      </c>
      <c r="H12653" s="1" t="str">
        <f>"양화간 44L1"</f>
        <v>양화간 44L1</v>
      </c>
      <c r="I12653" s="1" t="s">
        <v>8</v>
      </c>
      <c r="J12653" s="1" t="str">
        <f>"2/2"</f>
        <v>2/2</v>
      </c>
      <c r="K12653" s="1" t="str">
        <f t="shared" si="643"/>
        <v>2026-07-29 13:18:12</v>
      </c>
      <c r="L12653" s="1" t="str">
        <f>"2018-02-26 10:38:39"</f>
        <v>2018-02-26 10:38:39</v>
      </c>
      <c r="M12653" s="1" t="s">
        <v>1</v>
      </c>
      <c r="N12653" s="1" t="s">
        <v>38</v>
      </c>
      <c r="O12653" s="1" t="s">
        <v>46</v>
      </c>
    </row>
    <row r="12654" spans="2:15" x14ac:dyDescent="0.3">
      <c r="B12654" s="1" t="s">
        <v>20</v>
      </c>
      <c r="C12654" s="1" t="str">
        <f t="shared" si="642"/>
        <v>3차</v>
      </c>
      <c r="D12654" s="1" t="str">
        <f>"9725P29239"</f>
        <v>9725P29239</v>
      </c>
      <c r="E12654" s="1" t="s">
        <v>10</v>
      </c>
      <c r="F12654" s="1" t="str">
        <f>"10.10.37.122"</f>
        <v>10.10.37.122</v>
      </c>
      <c r="G12654" s="1" t="str">
        <f>"9725P292"</f>
        <v>9725P292</v>
      </c>
      <c r="H12654" s="1" t="str">
        <f>"양화간 44L2"</f>
        <v>양화간 44L2</v>
      </c>
      <c r="I12654" s="1" t="s">
        <v>8</v>
      </c>
      <c r="J12654" s="1" t="str">
        <f>"3/3"</f>
        <v>3/3</v>
      </c>
      <c r="K12654" s="1" t="str">
        <f t="shared" si="643"/>
        <v>2026-07-29 13:18:12</v>
      </c>
      <c r="L12654" s="1" t="str">
        <f>"2018-02-26 10:33:54"</f>
        <v>2018-02-26 10:33:54</v>
      </c>
      <c r="M12654" s="1" t="s">
        <v>1</v>
      </c>
      <c r="N12654" s="1" t="s">
        <v>38</v>
      </c>
      <c r="O12654" s="1" t="s">
        <v>46</v>
      </c>
    </row>
    <row r="12655" spans="2:15" x14ac:dyDescent="0.3">
      <c r="B12655" s="1" t="s">
        <v>20</v>
      </c>
      <c r="C12655" s="1" t="str">
        <f t="shared" si="642"/>
        <v>3차</v>
      </c>
      <c r="D12655" s="1" t="str">
        <f>"9725P30139"</f>
        <v>9725P30139</v>
      </c>
      <c r="E12655" s="1" t="s">
        <v>10</v>
      </c>
      <c r="F12655" s="1" t="str">
        <f>"10.10.32.234"</f>
        <v>10.10.32.234</v>
      </c>
      <c r="G12655" s="1" t="str">
        <f>"9725P301"</f>
        <v>9725P301</v>
      </c>
      <c r="H12655" s="1" t="str">
        <f>"극동간 15L2"</f>
        <v>극동간 15L2</v>
      </c>
      <c r="I12655" s="1" t="s">
        <v>8</v>
      </c>
      <c r="J12655" s="1" t="str">
        <f>"66/67"</f>
        <v>66/67</v>
      </c>
      <c r="K12655" s="1" t="str">
        <f t="shared" si="643"/>
        <v>2026-07-29 13:18:12</v>
      </c>
      <c r="L12655" s="1" t="str">
        <f>"2018-02-02 13:54:41"</f>
        <v>2018-02-02 13:54:41</v>
      </c>
      <c r="M12655" s="1" t="s">
        <v>1</v>
      </c>
      <c r="N12655" s="1" t="s">
        <v>38</v>
      </c>
      <c r="O12655" s="1" t="s">
        <v>46</v>
      </c>
    </row>
    <row r="12656" spans="2:15" x14ac:dyDescent="0.3">
      <c r="B12656" s="1" t="s">
        <v>20</v>
      </c>
      <c r="C12656" s="1" t="str">
        <f t="shared" si="642"/>
        <v>3차</v>
      </c>
      <c r="D12656" s="1" t="str">
        <f>"9725P30439"</f>
        <v>9725P30439</v>
      </c>
      <c r="E12656" s="1" t="s">
        <v>10</v>
      </c>
      <c r="F12656" s="1" t="str">
        <f>"10.10.32.210"</f>
        <v>10.10.32.210</v>
      </c>
      <c r="G12656" s="1" t="str">
        <f>"9725P304"</f>
        <v>9725P304</v>
      </c>
      <c r="H12656" s="1" t="str">
        <f>"극동간 12"</f>
        <v>극동간 12</v>
      </c>
      <c r="I12656" s="1" t="s">
        <v>8</v>
      </c>
      <c r="J12656" s="1" t="str">
        <f>"4/4"</f>
        <v>4/4</v>
      </c>
      <c r="K12656" s="1" t="str">
        <f t="shared" si="643"/>
        <v>2026-07-29 13:18:12</v>
      </c>
      <c r="L12656" s="1" t="str">
        <f>"2018-05-15 16:28:13"</f>
        <v>2018-05-15 16:28:13</v>
      </c>
      <c r="M12656" s="1" t="s">
        <v>1</v>
      </c>
      <c r="N12656" s="1" t="s">
        <v>38</v>
      </c>
      <c r="O12656" s="1" t="s">
        <v>46</v>
      </c>
    </row>
    <row r="12657" spans="2:15" x14ac:dyDescent="0.3">
      <c r="B12657" s="1" t="s">
        <v>20</v>
      </c>
      <c r="C12657" s="1" t="str">
        <f>"4차"</f>
        <v>4차</v>
      </c>
      <c r="D12657" s="1" t="str">
        <f>"9725P32239"</f>
        <v>9725P32239</v>
      </c>
      <c r="E12657" s="1" t="s">
        <v>10</v>
      </c>
      <c r="F12657" s="1" t="str">
        <f>"10.125.195.210"</f>
        <v>10.125.195.210</v>
      </c>
      <c r="G12657" s="1" t="str">
        <f>"9725P322"</f>
        <v>9725P322</v>
      </c>
      <c r="H12657" s="1" t="str">
        <f>"홍익지 2R7"</f>
        <v>홍익지 2R7</v>
      </c>
      <c r="I12657" s="1" t="s">
        <v>8</v>
      </c>
      <c r="J12657" s="1" t="str">
        <f>"21/21"</f>
        <v>21/21</v>
      </c>
      <c r="K12657" s="1" t="str">
        <f>"2026-07-28 20:03:17"</f>
        <v>2026-07-28 20:03:17</v>
      </c>
      <c r="L12657" s="1" t="str">
        <f>"2018-03-27 16:19:59"</f>
        <v>2018-03-27 16:19:59</v>
      </c>
      <c r="M12657" s="1" t="s">
        <v>45</v>
      </c>
      <c r="N12657" s="1" t="s">
        <v>38</v>
      </c>
      <c r="O12657" s="1" t="s">
        <v>46</v>
      </c>
    </row>
    <row r="12658" spans="2:15" x14ac:dyDescent="0.3">
      <c r="B12658" s="1" t="s">
        <v>20</v>
      </c>
      <c r="C12658" s="1" t="str">
        <f>"3차"</f>
        <v>3차</v>
      </c>
      <c r="D12658" s="1" t="str">
        <f>"9725P34130"</f>
        <v>9725P34130</v>
      </c>
      <c r="E12658" s="1" t="s">
        <v>10</v>
      </c>
      <c r="F12658" s="1" t="str">
        <f>"10.10.32.106"</f>
        <v>10.10.32.106</v>
      </c>
      <c r="G12658" s="1" t="str">
        <f>"9725P341"</f>
        <v>9725P341</v>
      </c>
      <c r="H12658" s="1" t="str">
        <f>"홍익지 2R8L2"</f>
        <v>홍익지 2R8L2</v>
      </c>
      <c r="I12658" s="1" t="s">
        <v>8</v>
      </c>
      <c r="J12658" s="1" t="str">
        <f>"49/49"</f>
        <v>49/49</v>
      </c>
      <c r="K12658" s="1" t="str">
        <f>"2026-07-29 13:18:12"</f>
        <v>2026-07-29 13:18:12</v>
      </c>
      <c r="L12658" s="1" t="str">
        <f>"2018-02-26 10:42:54"</f>
        <v>2018-02-26 10:42:54</v>
      </c>
      <c r="M12658" s="1" t="s">
        <v>1</v>
      </c>
      <c r="N12658" s="1" t="s">
        <v>38</v>
      </c>
      <c r="O12658" s="1" t="s">
        <v>46</v>
      </c>
    </row>
    <row r="12659" spans="2:15" x14ac:dyDescent="0.3">
      <c r="B12659" s="1" t="s">
        <v>20</v>
      </c>
      <c r="C12659" s="1" t="str">
        <f>"4차"</f>
        <v>4차</v>
      </c>
      <c r="D12659" s="1" t="str">
        <f>"9725P34231"</f>
        <v>9725P34231</v>
      </c>
      <c r="E12659" s="1" t="s">
        <v>10</v>
      </c>
      <c r="F12659" s="1" t="str">
        <f>"10.10.32.107"</f>
        <v>10.10.32.107</v>
      </c>
      <c r="G12659" s="1" t="str">
        <f>"9725P342"</f>
        <v>9725P342</v>
      </c>
      <c r="H12659" s="1" t="str">
        <f>"홍익지 2R8L3"</f>
        <v>홍익지 2R8L3</v>
      </c>
      <c r="I12659" s="1" t="s">
        <v>8</v>
      </c>
      <c r="J12659" s="1" t="str">
        <f>"23/23"</f>
        <v>23/23</v>
      </c>
      <c r="K12659" s="1" t="str">
        <f>"2026-07-29 13:18:12"</f>
        <v>2026-07-29 13:18:12</v>
      </c>
      <c r="L12659" s="1" t="str">
        <f>"2018-04-10 11:38:57"</f>
        <v>2018-04-10 11:38:57</v>
      </c>
      <c r="M12659" s="1" t="s">
        <v>1</v>
      </c>
      <c r="N12659" s="1" t="s">
        <v>38</v>
      </c>
      <c r="O12659" s="1" t="s">
        <v>46</v>
      </c>
    </row>
    <row r="12660" spans="2:15" x14ac:dyDescent="0.3">
      <c r="B12660" s="1" t="s">
        <v>20</v>
      </c>
      <c r="C12660" s="1" t="str">
        <f>"3차"</f>
        <v>3차</v>
      </c>
      <c r="D12660" s="1" t="str">
        <f>"9725P35139"</f>
        <v>9725P35139</v>
      </c>
      <c r="E12660" s="1" t="s">
        <v>10</v>
      </c>
      <c r="F12660" s="1" t="str">
        <f>"10.10.32.146"</f>
        <v>10.10.32.146</v>
      </c>
      <c r="G12660" s="1" t="str">
        <f>"9725P351"</f>
        <v>9725P351</v>
      </c>
      <c r="H12660" s="1" t="str">
        <f>"홍익지 6R1L2R1"</f>
        <v>홍익지 6R1L2R1</v>
      </c>
      <c r="I12660" s="1" t="s">
        <v>8</v>
      </c>
      <c r="J12660" s="1" t="str">
        <f>"7/7"</f>
        <v>7/7</v>
      </c>
      <c r="K12660" s="1" t="str">
        <f>"2026-07-29 13:18:12"</f>
        <v>2026-07-29 13:18:12</v>
      </c>
      <c r="L12660" s="1" t="str">
        <f>"2018-02-22 14:11:30"</f>
        <v>2018-02-22 14:11:30</v>
      </c>
      <c r="M12660" s="1" t="s">
        <v>1</v>
      </c>
      <c r="N12660" s="1" t="s">
        <v>38</v>
      </c>
      <c r="O12660" s="1" t="s">
        <v>46</v>
      </c>
    </row>
    <row r="12661" spans="2:15" x14ac:dyDescent="0.3">
      <c r="B12661" s="1" t="s">
        <v>20</v>
      </c>
      <c r="C12661" s="1" t="str">
        <f>"3차"</f>
        <v>3차</v>
      </c>
      <c r="D12661" s="1" t="str">
        <f>"9725P35239"</f>
        <v>9725P35239</v>
      </c>
      <c r="E12661" s="1" t="s">
        <v>12</v>
      </c>
      <c r="F12661" s="1" t="str">
        <f>"10.10.32.154"</f>
        <v>10.10.32.154</v>
      </c>
      <c r="G12661" s="1" t="str">
        <f>"9725P352"</f>
        <v>9725P352</v>
      </c>
      <c r="H12661" s="1" t="str">
        <f>"홍익지 6R1L2R2"</f>
        <v>홍익지 6R1L2R2</v>
      </c>
      <c r="I12661" s="1" t="s">
        <v>8</v>
      </c>
      <c r="J12661" s="1" t="str">
        <f>"0/42"</f>
        <v>0/42</v>
      </c>
      <c r="K12661" s="1" t="str">
        <f>"2026-07-17 13:18:12"</f>
        <v>2026-07-17 13:18:12</v>
      </c>
      <c r="L12661" s="1" t="str">
        <f>"2018-02-22 18:01:11"</f>
        <v>2018-02-22 18:01:11</v>
      </c>
      <c r="M12661" s="1" t="s">
        <v>1</v>
      </c>
      <c r="N12661" s="1" t="s">
        <v>38</v>
      </c>
      <c r="O12661" s="1" t="s">
        <v>46</v>
      </c>
    </row>
    <row r="12662" spans="2:15" x14ac:dyDescent="0.3">
      <c r="B12662" s="1" t="s">
        <v>20</v>
      </c>
      <c r="C12662" s="1" t="str">
        <f>"4차"</f>
        <v>4차</v>
      </c>
      <c r="D12662" s="1" t="str">
        <f>"9725P36239"</f>
        <v>9725P36239</v>
      </c>
      <c r="E12662" s="1" t="s">
        <v>10</v>
      </c>
      <c r="F12662" s="1" t="str">
        <f>"10.12.128.201"</f>
        <v>10.12.128.201</v>
      </c>
      <c r="G12662" s="1" t="str">
        <f>"9725P362"</f>
        <v>9725P362</v>
      </c>
      <c r="H12662" s="1" t="str">
        <f>"양화간 36AL13"</f>
        <v>양화간 36AL13</v>
      </c>
      <c r="I12662" s="1" t="s">
        <v>8</v>
      </c>
      <c r="J12662" s="1" t="str">
        <f>"5/5"</f>
        <v>5/5</v>
      </c>
      <c r="K12662" s="1" t="str">
        <f>"2026-07-29 13:18:11"</f>
        <v>2026-07-29 13:18:11</v>
      </c>
      <c r="L12662" s="1" t="str">
        <f>"2018-03-26 15:15:11"</f>
        <v>2018-03-26 15:15:11</v>
      </c>
      <c r="M12662" s="1" t="s">
        <v>0</v>
      </c>
      <c r="N12662" s="1" t="s">
        <v>38</v>
      </c>
      <c r="O12662" s="1" t="s">
        <v>46</v>
      </c>
    </row>
    <row r="12663" spans="2:15" x14ac:dyDescent="0.3">
      <c r="B12663" s="1" t="s">
        <v>20</v>
      </c>
      <c r="C12663" s="1" t="str">
        <f>"3차"</f>
        <v>3차</v>
      </c>
      <c r="D12663" s="1" t="str">
        <f>"9725P37131"</f>
        <v>9725P37131</v>
      </c>
      <c r="E12663" s="1" t="s">
        <v>10</v>
      </c>
      <c r="F12663" s="1" t="str">
        <f>"10.10.37.83"</f>
        <v>10.10.37.83</v>
      </c>
      <c r="G12663" s="1" t="str">
        <f>"9725P371"</f>
        <v>9725P371</v>
      </c>
      <c r="H12663" s="1" t="str">
        <f>"양화간 36AL9"</f>
        <v>양화간 36AL9</v>
      </c>
      <c r="I12663" s="1" t="s">
        <v>8</v>
      </c>
      <c r="J12663" s="1" t="str">
        <f>"2/2"</f>
        <v>2/2</v>
      </c>
      <c r="K12663" s="1" t="str">
        <f t="shared" ref="K12663:K12676" si="644">"2026-07-29 13:18:12"</f>
        <v>2026-07-29 13:18:12</v>
      </c>
      <c r="L12663" s="1" t="str">
        <f>"2018-02-26 10:28:10"</f>
        <v>2018-02-26 10:28:10</v>
      </c>
      <c r="M12663" s="1" t="s">
        <v>1</v>
      </c>
      <c r="N12663" s="1" t="s">
        <v>38</v>
      </c>
      <c r="O12663" s="1" t="s">
        <v>46</v>
      </c>
    </row>
    <row r="12664" spans="2:15" x14ac:dyDescent="0.3">
      <c r="B12664" s="1" t="s">
        <v>20</v>
      </c>
      <c r="C12664" s="1" t="str">
        <f>"3차"</f>
        <v>3차</v>
      </c>
      <c r="D12664" s="1" t="str">
        <f>"9725P38230"</f>
        <v>9725P38230</v>
      </c>
      <c r="E12664" s="1" t="s">
        <v>14</v>
      </c>
      <c r="F12664" s="1" t="str">
        <f>"10.10.37.82"</f>
        <v>10.10.37.82</v>
      </c>
      <c r="G12664" s="1" t="str">
        <f>"9725P382"</f>
        <v>9725P382</v>
      </c>
      <c r="H12664" s="1" t="str">
        <f>"양화간 36AL7"</f>
        <v>양화간 36AL7</v>
      </c>
      <c r="I12664" s="1" t="s">
        <v>8</v>
      </c>
      <c r="J12664" s="1" t="str">
        <f>"0/0"</f>
        <v>0/0</v>
      </c>
      <c r="K12664" s="1" t="str">
        <f t="shared" si="644"/>
        <v>2026-07-29 13:18:12</v>
      </c>
      <c r="L12664" s="1" t="str">
        <f>"2018-02-26 10:36:09"</f>
        <v>2018-02-26 10:36:09</v>
      </c>
      <c r="M12664" s="1" t="s">
        <v>1</v>
      </c>
      <c r="N12664" s="1" t="s">
        <v>38</v>
      </c>
      <c r="O12664" s="1" t="s">
        <v>44</v>
      </c>
    </row>
    <row r="12665" spans="2:15" x14ac:dyDescent="0.3">
      <c r="B12665" s="1" t="s">
        <v>20</v>
      </c>
      <c r="C12665" s="1" t="str">
        <f>"1차"</f>
        <v>1차</v>
      </c>
      <c r="D12665" s="1" t="str">
        <f>"9725P40101"</f>
        <v>9725P40101</v>
      </c>
      <c r="E12665" s="1" t="s">
        <v>10</v>
      </c>
      <c r="F12665" s="1" t="str">
        <f>"10.12.129.56"</f>
        <v>10.12.129.56</v>
      </c>
      <c r="G12665" s="1" t="str">
        <f>"9725P401"</f>
        <v>9725P401</v>
      </c>
      <c r="H12665" s="1" t="str">
        <f>"극동간 15L1"</f>
        <v>극동간 15L1</v>
      </c>
      <c r="I12665" s="1" t="s">
        <v>8</v>
      </c>
      <c r="J12665" s="1" t="str">
        <f>"61/61"</f>
        <v>61/61</v>
      </c>
      <c r="K12665" s="1" t="str">
        <f t="shared" si="644"/>
        <v>2026-07-29 13:18:12</v>
      </c>
      <c r="L12665" s="1" t="str">
        <f>"2014-12-19 15:49:11"</f>
        <v>2014-12-19 15:49:11</v>
      </c>
      <c r="M12665" s="1" t="s">
        <v>0</v>
      </c>
      <c r="N12665" s="1" t="s">
        <v>38</v>
      </c>
      <c r="O12665" s="1" t="s">
        <v>46</v>
      </c>
    </row>
    <row r="12666" spans="2:15" x14ac:dyDescent="0.3">
      <c r="B12666" s="1" t="s">
        <v>20</v>
      </c>
      <c r="C12666" s="1" t="str">
        <f>"4차"</f>
        <v>4차</v>
      </c>
      <c r="D12666" s="1" t="str">
        <f>"9725P46139"</f>
        <v>9725P46139</v>
      </c>
      <c r="E12666" s="1" t="s">
        <v>10</v>
      </c>
      <c r="F12666" s="1" t="str">
        <f>"10.10.32.162"</f>
        <v>10.10.32.162</v>
      </c>
      <c r="G12666" s="1" t="str">
        <f>"9725P461"</f>
        <v>9725P461</v>
      </c>
      <c r="H12666" s="1" t="str">
        <f>"홍익지 6R1L2R3"</f>
        <v>홍익지 6R1L2R3</v>
      </c>
      <c r="I12666" s="1" t="s">
        <v>8</v>
      </c>
      <c r="J12666" s="1" t="str">
        <f>"41/41"</f>
        <v>41/41</v>
      </c>
      <c r="K12666" s="1" t="str">
        <f t="shared" si="644"/>
        <v>2026-07-29 13:18:12</v>
      </c>
      <c r="L12666" s="1" t="str">
        <f>"2018-02-22 14:37:31"</f>
        <v>2018-02-22 14:37:31</v>
      </c>
      <c r="M12666" s="1" t="s">
        <v>1</v>
      </c>
      <c r="N12666" s="1" t="s">
        <v>38</v>
      </c>
      <c r="O12666" s="1" t="s">
        <v>46</v>
      </c>
    </row>
    <row r="12667" spans="2:15" x14ac:dyDescent="0.3">
      <c r="B12667" s="1" t="s">
        <v>20</v>
      </c>
      <c r="C12667" s="1" t="str">
        <f>"4차"</f>
        <v>4차</v>
      </c>
      <c r="D12667" s="1" t="str">
        <f>"9725P47130"</f>
        <v>9725P47130</v>
      </c>
      <c r="E12667" s="1" t="s">
        <v>10</v>
      </c>
      <c r="F12667" s="1" t="str">
        <f>"10.10.37.74"</f>
        <v>10.10.37.74</v>
      </c>
      <c r="G12667" s="1" t="str">
        <f>"9725P471"</f>
        <v>9725P471</v>
      </c>
      <c r="H12667" s="1" t="str">
        <f>"양화간 36AL14"</f>
        <v>양화간 36AL14</v>
      </c>
      <c r="I12667" s="1" t="s">
        <v>8</v>
      </c>
      <c r="J12667" s="1" t="str">
        <f>"4/4"</f>
        <v>4/4</v>
      </c>
      <c r="K12667" s="1" t="str">
        <f t="shared" si="644"/>
        <v>2026-07-29 13:18:12</v>
      </c>
      <c r="L12667" s="1" t="str">
        <f>"2018-02-26 10:26:24"</f>
        <v>2018-02-26 10:26:24</v>
      </c>
      <c r="M12667" s="1" t="s">
        <v>1</v>
      </c>
      <c r="N12667" s="1" t="s">
        <v>38</v>
      </c>
      <c r="O12667" s="1" t="s">
        <v>46</v>
      </c>
    </row>
    <row r="12668" spans="2:15" x14ac:dyDescent="0.3">
      <c r="B12668" s="1" t="s">
        <v>20</v>
      </c>
      <c r="C12668" s="1" t="str">
        <f>"4차"</f>
        <v>4차</v>
      </c>
      <c r="D12668" s="1" t="str">
        <f>"9725P47231"</f>
        <v>9725P47231</v>
      </c>
      <c r="E12668" s="1" t="s">
        <v>10</v>
      </c>
      <c r="F12668" s="1" t="str">
        <f>"10.10.37.75"</f>
        <v>10.10.37.75</v>
      </c>
      <c r="G12668" s="1" t="str">
        <f>"9725P472"</f>
        <v>9725P472</v>
      </c>
      <c r="H12668" s="1" t="str">
        <f>"양화간 36AL15"</f>
        <v>양화간 36AL15</v>
      </c>
      <c r="I12668" s="1" t="s">
        <v>8</v>
      </c>
      <c r="J12668" s="1" t="str">
        <f>"40/40"</f>
        <v>40/40</v>
      </c>
      <c r="K12668" s="1" t="str">
        <f t="shared" si="644"/>
        <v>2026-07-29 13:18:12</v>
      </c>
      <c r="L12668" s="1" t="str">
        <f>"2024-06-04 19:22:34"</f>
        <v>2024-06-04 19:22:34</v>
      </c>
      <c r="M12668" s="1" t="s">
        <v>1</v>
      </c>
      <c r="N12668" s="1" t="s">
        <v>38</v>
      </c>
      <c r="O12668" s="1" t="s">
        <v>46</v>
      </c>
    </row>
    <row r="12669" spans="2:15" x14ac:dyDescent="0.3">
      <c r="B12669" s="1" t="s">
        <v>20</v>
      </c>
      <c r="C12669" s="1" t="str">
        <f>"4차"</f>
        <v>4차</v>
      </c>
      <c r="D12669" s="1" t="str">
        <f>"9725P50139"</f>
        <v>9725P50139</v>
      </c>
      <c r="E12669" s="1" t="s">
        <v>10</v>
      </c>
      <c r="F12669" s="1" t="str">
        <f>"10.10.32.218"</f>
        <v>10.10.32.218</v>
      </c>
      <c r="G12669" s="1" t="str">
        <f>"9725P501"</f>
        <v>9725P501</v>
      </c>
      <c r="H12669" s="1" t="str">
        <f>"극동간 17"</f>
        <v>극동간 17</v>
      </c>
      <c r="I12669" s="1" t="s">
        <v>8</v>
      </c>
      <c r="J12669" s="1" t="str">
        <f>"6/7"</f>
        <v>6/7</v>
      </c>
      <c r="K12669" s="1" t="str">
        <f t="shared" si="644"/>
        <v>2026-07-29 13:18:12</v>
      </c>
      <c r="L12669" s="1" t="str">
        <f>"2018-03-28 12:02:40"</f>
        <v>2018-03-28 12:02:40</v>
      </c>
      <c r="M12669" s="1" t="s">
        <v>1</v>
      </c>
      <c r="N12669" s="1" t="s">
        <v>38</v>
      </c>
      <c r="O12669" s="1" t="s">
        <v>46</v>
      </c>
    </row>
    <row r="12670" spans="2:15" x14ac:dyDescent="0.3">
      <c r="B12670" s="1" t="s">
        <v>20</v>
      </c>
      <c r="C12670" s="1" t="str">
        <f>"3차"</f>
        <v>3차</v>
      </c>
      <c r="D12670" s="1" t="str">
        <f>"9725P51139"</f>
        <v>9725P51139</v>
      </c>
      <c r="E12670" s="1" t="s">
        <v>10</v>
      </c>
      <c r="F12670" s="1" t="str">
        <f>"10.10.38.26"</f>
        <v>10.10.38.26</v>
      </c>
      <c r="G12670" s="1" t="str">
        <f>"9725P511"</f>
        <v>9725P511</v>
      </c>
      <c r="H12670" s="1" t="str">
        <f>"홍익지 2R11"</f>
        <v>홍익지 2R11</v>
      </c>
      <c r="I12670" s="1" t="s">
        <v>8</v>
      </c>
      <c r="J12670" s="1" t="str">
        <f>"34/34"</f>
        <v>34/34</v>
      </c>
      <c r="K12670" s="1" t="str">
        <f t="shared" si="644"/>
        <v>2026-07-29 13:18:12</v>
      </c>
      <c r="L12670" s="1" t="str">
        <f>"2018-02-26 10:38:54"</f>
        <v>2018-02-26 10:38:54</v>
      </c>
      <c r="M12670" s="1" t="s">
        <v>1</v>
      </c>
      <c r="N12670" s="1" t="s">
        <v>38</v>
      </c>
      <c r="O12670" s="1" t="s">
        <v>46</v>
      </c>
    </row>
    <row r="12671" spans="2:15" x14ac:dyDescent="0.3">
      <c r="B12671" s="1" t="s">
        <v>20</v>
      </c>
      <c r="C12671" s="1" t="str">
        <f>"1차"</f>
        <v>1차</v>
      </c>
      <c r="D12671" s="1" t="str">
        <f>"9725P52100"</f>
        <v>9725P52100</v>
      </c>
      <c r="E12671" s="1" t="s">
        <v>10</v>
      </c>
      <c r="F12671" s="1" t="str">
        <f>"10.125.128.132"</f>
        <v>10.125.128.132</v>
      </c>
      <c r="G12671" s="1" t="str">
        <f>"9725P521"</f>
        <v>9725P521</v>
      </c>
      <c r="H12671" s="1" t="str">
        <f>"홍익지 2R10"</f>
        <v>홍익지 2R10</v>
      </c>
      <c r="I12671" s="1" t="s">
        <v>8</v>
      </c>
      <c r="J12671" s="1" t="str">
        <f>"40/40"</f>
        <v>40/40</v>
      </c>
      <c r="K12671" s="1" t="str">
        <f t="shared" si="644"/>
        <v>2026-07-29 13:18:12</v>
      </c>
      <c r="L12671" s="1" t="str">
        <f>"2014-12-04 11:11:44"</f>
        <v>2014-12-04 11:11:44</v>
      </c>
      <c r="M12671" s="1" t="s">
        <v>45</v>
      </c>
      <c r="N12671" s="1" t="s">
        <v>38</v>
      </c>
      <c r="O12671" s="1" t="s">
        <v>46</v>
      </c>
    </row>
    <row r="12672" spans="2:15" x14ac:dyDescent="0.3">
      <c r="B12672" s="1" t="s">
        <v>20</v>
      </c>
      <c r="C12672" s="1" t="str">
        <f>"4차"</f>
        <v>4차</v>
      </c>
      <c r="D12672" s="1" t="str">
        <f>"9725P52344"</f>
        <v>9725P52344</v>
      </c>
      <c r="E12672" s="1" t="s">
        <v>10</v>
      </c>
      <c r="F12672" s="1" t="str">
        <f>"10.12.138.113"</f>
        <v>10.12.138.113</v>
      </c>
      <c r="G12672" s="1" t="str">
        <f>"9725P523"</f>
        <v>9725P523</v>
      </c>
      <c r="H12672" s="1" t="str">
        <f>"홍익지 2R10L1"</f>
        <v>홍익지 2R10L1</v>
      </c>
      <c r="I12672" s="1" t="s">
        <v>8</v>
      </c>
      <c r="J12672" s="1" t="str">
        <f>"1/2"</f>
        <v>1/2</v>
      </c>
      <c r="K12672" s="1" t="str">
        <f t="shared" si="644"/>
        <v>2026-07-29 13:18:12</v>
      </c>
      <c r="L12672" s="1" t="str">
        <f>"2020-02-10 18:40:25"</f>
        <v>2020-02-10 18:40:25</v>
      </c>
      <c r="M12672" s="1" t="s">
        <v>0</v>
      </c>
      <c r="N12672" s="1" t="s">
        <v>38</v>
      </c>
      <c r="O12672" s="1" t="s">
        <v>46</v>
      </c>
    </row>
    <row r="12673" spans="2:15" x14ac:dyDescent="0.3">
      <c r="B12673" s="1" t="s">
        <v>20</v>
      </c>
      <c r="C12673" s="1" t="str">
        <f>"4차"</f>
        <v>4차</v>
      </c>
      <c r="D12673" s="1" t="str">
        <f>"9725P72142"</f>
        <v>9725P72142</v>
      </c>
      <c r="E12673" s="1" t="s">
        <v>10</v>
      </c>
      <c r="F12673" s="1" t="str">
        <f>"10.125.129.69"</f>
        <v>10.125.129.69</v>
      </c>
      <c r="G12673" s="1" t="str">
        <f>"9725P721"</f>
        <v>9725P721</v>
      </c>
      <c r="H12673" s="1" t="str">
        <f>"극동간 20L5"</f>
        <v>극동간 20L5</v>
      </c>
      <c r="I12673" s="1" t="s">
        <v>8</v>
      </c>
      <c r="J12673" s="1" t="str">
        <f>"21/24"</f>
        <v>21/24</v>
      </c>
      <c r="K12673" s="1" t="str">
        <f t="shared" si="644"/>
        <v>2026-07-29 13:18:12</v>
      </c>
      <c r="L12673" s="1" t="str">
        <f>"2026-01-27 09:14:04"</f>
        <v>2026-01-27 09:14:04</v>
      </c>
      <c r="M12673" s="1" t="s">
        <v>45</v>
      </c>
      <c r="N12673" s="1" t="s">
        <v>38</v>
      </c>
      <c r="O12673" s="1" t="s">
        <v>46</v>
      </c>
    </row>
    <row r="12674" spans="2:15" x14ac:dyDescent="0.3">
      <c r="B12674" s="1" t="s">
        <v>20</v>
      </c>
      <c r="C12674" s="1" t="str">
        <f>"3차"</f>
        <v>3차</v>
      </c>
      <c r="D12674" s="1" t="str">
        <f>"9725P89139"</f>
        <v>9725P89139</v>
      </c>
      <c r="E12674" s="1" t="s">
        <v>10</v>
      </c>
      <c r="F12674" s="1" t="str">
        <f>"10.10.37.106"</f>
        <v>10.10.37.106</v>
      </c>
      <c r="G12674" s="1" t="str">
        <f>"9725P891"</f>
        <v>9725P891</v>
      </c>
      <c r="H12674" s="1" t="str">
        <f>"양화간 36L4"</f>
        <v>양화간 36L4</v>
      </c>
      <c r="I12674" s="1" t="s">
        <v>8</v>
      </c>
      <c r="J12674" s="1" t="str">
        <f>"12/12"</f>
        <v>12/12</v>
      </c>
      <c r="K12674" s="1" t="str">
        <f t="shared" si="644"/>
        <v>2026-07-29 13:18:12</v>
      </c>
      <c r="L12674" s="1" t="str">
        <f>"2018-05-15 14:47:11"</f>
        <v>2018-05-15 14:47:11</v>
      </c>
      <c r="M12674" s="1" t="s">
        <v>1</v>
      </c>
      <c r="N12674" s="1" t="s">
        <v>38</v>
      </c>
      <c r="O12674" s="1" t="s">
        <v>46</v>
      </c>
    </row>
    <row r="12675" spans="2:15" x14ac:dyDescent="0.3">
      <c r="B12675" s="1" t="s">
        <v>20</v>
      </c>
      <c r="C12675" s="1" t="str">
        <f>"3차"</f>
        <v>3차</v>
      </c>
      <c r="D12675" s="1" t="str">
        <f>"9725P89239"</f>
        <v>9725P89239</v>
      </c>
      <c r="E12675" s="1" t="s">
        <v>10</v>
      </c>
      <c r="F12675" s="1" t="str">
        <f>"10.10.37.114"</f>
        <v>10.10.37.114</v>
      </c>
      <c r="G12675" s="1" t="str">
        <f>"9725P892"</f>
        <v>9725P892</v>
      </c>
      <c r="H12675" s="1" t="str">
        <f>"양화간 36L5"</f>
        <v>양화간 36L5</v>
      </c>
      <c r="I12675" s="1" t="s">
        <v>8</v>
      </c>
      <c r="J12675" s="1" t="str">
        <f>"68/68"</f>
        <v>68/68</v>
      </c>
      <c r="K12675" s="1" t="str">
        <f t="shared" si="644"/>
        <v>2026-07-29 13:18:12</v>
      </c>
      <c r="L12675" s="1" t="str">
        <f>"2018-02-21 16:06:10"</f>
        <v>2018-02-21 16:06:10</v>
      </c>
      <c r="M12675" s="1" t="s">
        <v>1</v>
      </c>
      <c r="N12675" s="1" t="s">
        <v>38</v>
      </c>
      <c r="O12675" s="1" t="s">
        <v>46</v>
      </c>
    </row>
    <row r="12676" spans="2:15" x14ac:dyDescent="0.3">
      <c r="B12676" s="1" t="s">
        <v>20</v>
      </c>
      <c r="C12676" s="1" t="str">
        <f>"4차"</f>
        <v>4차</v>
      </c>
      <c r="D12676" s="1" t="str">
        <f>"9725P99339"</f>
        <v>9725P99339</v>
      </c>
      <c r="E12676" s="1" t="s">
        <v>10</v>
      </c>
      <c r="F12676" s="1" t="str">
        <f>"10.10.34.210"</f>
        <v>10.10.34.210</v>
      </c>
      <c r="G12676" s="1" t="str">
        <f>"9725P993"</f>
        <v>9725P993</v>
      </c>
      <c r="H12676" s="1" t="str">
        <f>"양화간 36L5L2"</f>
        <v>양화간 36L5L2</v>
      </c>
      <c r="I12676" s="1" t="s">
        <v>8</v>
      </c>
      <c r="J12676" s="1" t="str">
        <f>"132/134"</f>
        <v>132/134</v>
      </c>
      <c r="K12676" s="1" t="str">
        <f t="shared" si="644"/>
        <v>2026-07-29 13:18:12</v>
      </c>
      <c r="L12676" s="1" t="str">
        <f>"2018-02-21 16:15:56"</f>
        <v>2018-02-21 16:15:56</v>
      </c>
      <c r="M12676" s="1" t="s">
        <v>1</v>
      </c>
      <c r="N12676" s="1" t="s">
        <v>38</v>
      </c>
      <c r="O12676" s="1" t="s">
        <v>46</v>
      </c>
    </row>
    <row r="12677" spans="2:15" x14ac:dyDescent="0.3">
      <c r="B12677" s="1" t="s">
        <v>20</v>
      </c>
      <c r="C12677" s="1" t="str">
        <f>"5-1차"</f>
        <v>5-1차</v>
      </c>
      <c r="D12677" s="1" t="str">
        <f>"9725Q0415M"</f>
        <v>9725Q0415M</v>
      </c>
      <c r="E12677" s="1" t="s">
        <v>10</v>
      </c>
      <c r="F12677" s="1" t="str">
        <f>"fde2:104:0:9d:0:0:0:2"</f>
        <v>fde2:104:0:9d:0:0:0:2</v>
      </c>
      <c r="G12677" s="1" t="str">
        <f>"9725Q041"</f>
        <v>9725Q041</v>
      </c>
      <c r="H12677" s="1" t="str">
        <f>"창전지 22"</f>
        <v>창전지 22</v>
      </c>
      <c r="I12677" s="1" t="s">
        <v>15</v>
      </c>
      <c r="J12677" s="1" t="str">
        <f>"68/68"</f>
        <v>68/68</v>
      </c>
      <c r="K12677" s="1" t="str">
        <f>"2026-07-29 14:21:02"</f>
        <v>2026-07-29 14:21:02</v>
      </c>
      <c r="L12677" s="1" t="str">
        <f>"2022-09-28 11:29:45"</f>
        <v>2022-09-28 11:29:45</v>
      </c>
      <c r="M12677" s="1" t="s">
        <v>42</v>
      </c>
      <c r="N12677" s="1" t="s">
        <v>38</v>
      </c>
      <c r="O12677" s="1" t="s">
        <v>46</v>
      </c>
    </row>
    <row r="12678" spans="2:15" x14ac:dyDescent="0.3">
      <c r="B12678" s="1" t="s">
        <v>20</v>
      </c>
      <c r="C12678" s="1" t="str">
        <f>"3차"</f>
        <v>3차</v>
      </c>
      <c r="D12678" s="1" t="str">
        <f>"9725Q09139"</f>
        <v>9725Q09139</v>
      </c>
      <c r="E12678" s="1" t="s">
        <v>10</v>
      </c>
      <c r="F12678" s="1" t="str">
        <f>"10.10.38.34"</f>
        <v>10.10.38.34</v>
      </c>
      <c r="G12678" s="1" t="str">
        <f>"9725Q091"</f>
        <v>9725Q091</v>
      </c>
      <c r="H12678" s="1" t="str">
        <f>"창전지 14"</f>
        <v>창전지 14</v>
      </c>
      <c r="I12678" s="1" t="s">
        <v>8</v>
      </c>
      <c r="J12678" s="1" t="str">
        <f>"131/142"</f>
        <v>131/142</v>
      </c>
      <c r="K12678" s="1" t="str">
        <f>"2026-07-29 13:18:12"</f>
        <v>2026-07-29 13:18:12</v>
      </c>
      <c r="L12678" s="1" t="str">
        <f>"2018-03-27 15:44:42"</f>
        <v>2018-03-27 15:44:42</v>
      </c>
      <c r="M12678" s="1" t="s">
        <v>1</v>
      </c>
      <c r="N12678" s="1" t="s">
        <v>38</v>
      </c>
      <c r="O12678" s="1" t="s">
        <v>46</v>
      </c>
    </row>
    <row r="12679" spans="2:15" x14ac:dyDescent="0.3">
      <c r="B12679" s="1" t="s">
        <v>20</v>
      </c>
      <c r="C12679" s="1" t="str">
        <f>"4차"</f>
        <v>4차</v>
      </c>
      <c r="D12679" s="1" t="str">
        <f>"9725Q21539"</f>
        <v>9725Q21539</v>
      </c>
      <c r="E12679" s="1" t="s">
        <v>10</v>
      </c>
      <c r="F12679" s="1" t="str">
        <f>"10.12.135.74"</f>
        <v>10.12.135.74</v>
      </c>
      <c r="G12679" s="1" t="str">
        <f>"9725Q215"</f>
        <v>9725Q215</v>
      </c>
      <c r="H12679" s="1" t="str">
        <f>"신상간 29L12"</f>
        <v>신상간 29L12</v>
      </c>
      <c r="I12679" s="1" t="s">
        <v>8</v>
      </c>
      <c r="J12679" s="1" t="str">
        <f>"6/18"</f>
        <v>6/18</v>
      </c>
      <c r="K12679" s="1" t="str">
        <f>"2026-07-29 13:18:11"</f>
        <v>2026-07-29 13:18:11</v>
      </c>
      <c r="L12679" s="1" t="str">
        <f>"2018-03-27 17:05:31"</f>
        <v>2018-03-27 17:05:31</v>
      </c>
      <c r="M12679" s="1" t="s">
        <v>0</v>
      </c>
      <c r="N12679" s="1" t="s">
        <v>38</v>
      </c>
      <c r="O12679" s="1" t="s">
        <v>46</v>
      </c>
    </row>
    <row r="12680" spans="2:15" x14ac:dyDescent="0.3">
      <c r="B12680" s="1" t="s">
        <v>20</v>
      </c>
      <c r="C12680" s="1" t="str">
        <f>"3차"</f>
        <v>3차</v>
      </c>
      <c r="D12680" s="1" t="str">
        <f>"9725Q32539"</f>
        <v>9725Q32539</v>
      </c>
      <c r="E12680" s="1" t="s">
        <v>10</v>
      </c>
      <c r="F12680" s="1" t="str">
        <f>"10.12.130.21"</f>
        <v>10.12.130.21</v>
      </c>
      <c r="G12680" s="1" t="str">
        <f>"9725Q325"</f>
        <v>9725Q325</v>
      </c>
      <c r="H12680" s="1" t="str">
        <f>"신상간 29L10"</f>
        <v>신상간 29L10</v>
      </c>
      <c r="I12680" s="1" t="s">
        <v>8</v>
      </c>
      <c r="J12680" s="1" t="str">
        <f>"10/10"</f>
        <v>10/10</v>
      </c>
      <c r="K12680" s="1" t="str">
        <f>"2026-07-29 13:18:12"</f>
        <v>2026-07-29 13:18:12</v>
      </c>
      <c r="L12680" s="1" t="str">
        <f>"2018-03-27 17:36:30"</f>
        <v>2018-03-27 17:36:30</v>
      </c>
      <c r="M12680" s="1" t="s">
        <v>0</v>
      </c>
      <c r="N12680" s="1" t="s">
        <v>38</v>
      </c>
      <c r="O12680" s="1" t="s">
        <v>46</v>
      </c>
    </row>
    <row r="12681" spans="2:15" x14ac:dyDescent="0.3">
      <c r="B12681" s="1" t="s">
        <v>20</v>
      </c>
      <c r="C12681" s="1" t="str">
        <f>"4차"</f>
        <v>4차</v>
      </c>
      <c r="D12681" s="1" t="str">
        <f>"9725Q34139"</f>
        <v>9725Q34139</v>
      </c>
      <c r="E12681" s="1" t="s">
        <v>10</v>
      </c>
      <c r="F12681" s="1" t="str">
        <f>"10.10.34.202"</f>
        <v>10.10.34.202</v>
      </c>
      <c r="G12681" s="1" t="str">
        <f>"9725Q341"</f>
        <v>9725Q341</v>
      </c>
      <c r="H12681" s="1" t="str">
        <f>"신상간 29L8R3"</f>
        <v>신상간 29L8R3</v>
      </c>
      <c r="I12681" s="1" t="s">
        <v>8</v>
      </c>
      <c r="J12681" s="1" t="str">
        <f>"57/61"</f>
        <v>57/61</v>
      </c>
      <c r="K12681" s="1" t="str">
        <f>"2026-07-29 13:18:12"</f>
        <v>2026-07-29 13:18:12</v>
      </c>
      <c r="L12681" s="1" t="str">
        <f>"2018-03-23 14:49:26"</f>
        <v>2018-03-23 14:49:26</v>
      </c>
      <c r="M12681" s="1" t="s">
        <v>1</v>
      </c>
      <c r="N12681" s="1" t="s">
        <v>38</v>
      </c>
      <c r="O12681" s="1" t="s">
        <v>46</v>
      </c>
    </row>
    <row r="12682" spans="2:15" x14ac:dyDescent="0.3">
      <c r="B12682" s="1" t="s">
        <v>20</v>
      </c>
      <c r="C12682" s="1" t="str">
        <f>"4차"</f>
        <v>4차</v>
      </c>
      <c r="D12682" s="1" t="str">
        <f>"9725Q43131"</f>
        <v>9725Q43131</v>
      </c>
      <c r="E12682" s="1" t="s">
        <v>10</v>
      </c>
      <c r="F12682" s="1" t="str">
        <f>"10.10.34.67"</f>
        <v>10.10.34.67</v>
      </c>
      <c r="G12682" s="1" t="str">
        <f>"9725Q431"</f>
        <v>9725Q431</v>
      </c>
      <c r="H12682" s="1" t="str">
        <f>"신상간 29L6"</f>
        <v>신상간 29L6</v>
      </c>
      <c r="I12682" s="1" t="s">
        <v>8</v>
      </c>
      <c r="J12682" s="1" t="str">
        <f>"17/17"</f>
        <v>17/17</v>
      </c>
      <c r="K12682" s="1" t="str">
        <f>"2026-07-29 13:18:12"</f>
        <v>2026-07-29 13:18:12</v>
      </c>
      <c r="L12682" s="1" t="str">
        <f>"2018-03-16 14:29:11"</f>
        <v>2018-03-16 14:29:11</v>
      </c>
      <c r="M12682" s="1" t="s">
        <v>1</v>
      </c>
      <c r="N12682" s="1" t="s">
        <v>38</v>
      </c>
      <c r="O12682" s="1" t="s">
        <v>46</v>
      </c>
    </row>
    <row r="12683" spans="2:15" x14ac:dyDescent="0.3">
      <c r="B12683" s="1" t="s">
        <v>20</v>
      </c>
      <c r="C12683" s="1" t="str">
        <f>"3차"</f>
        <v>3차</v>
      </c>
      <c r="D12683" s="1" t="str">
        <f>"9725Q43230"</f>
        <v>9725Q43230</v>
      </c>
      <c r="E12683" s="1" t="s">
        <v>10</v>
      </c>
      <c r="F12683" s="1" t="str">
        <f>"10.10.34.66"</f>
        <v>10.10.34.66</v>
      </c>
      <c r="G12683" s="1" t="str">
        <f>"9725Q432"</f>
        <v>9725Q432</v>
      </c>
      <c r="H12683" s="1" t="str">
        <f>"신상간 29L7"</f>
        <v>신상간 29L7</v>
      </c>
      <c r="I12683" s="1" t="s">
        <v>8</v>
      </c>
      <c r="J12683" s="1" t="str">
        <f>"14/14"</f>
        <v>14/14</v>
      </c>
      <c r="K12683" s="1" t="str">
        <f>"2026-07-29 13:18:12"</f>
        <v>2026-07-29 13:18:12</v>
      </c>
      <c r="L12683" s="1" t="str">
        <f>"2018-02-26 14:03:41"</f>
        <v>2018-02-26 14:03:41</v>
      </c>
      <c r="M12683" s="1" t="s">
        <v>1</v>
      </c>
      <c r="N12683" s="1" t="s">
        <v>38</v>
      </c>
      <c r="O12683" s="1" t="s">
        <v>46</v>
      </c>
    </row>
    <row r="12684" spans="2:15" x14ac:dyDescent="0.3">
      <c r="B12684" s="1" t="s">
        <v>20</v>
      </c>
      <c r="C12684" s="1" t="str">
        <f>"5-2차"</f>
        <v>5-2차</v>
      </c>
      <c r="D12684" s="1" t="str">
        <f>"9725Q4435S"</f>
        <v>9725Q4435S</v>
      </c>
      <c r="E12684" s="1" t="s">
        <v>10</v>
      </c>
      <c r="F12684" s="1" t="str">
        <f>"fde1:103:4:58f2:0:0:0:2"</f>
        <v>fde1:103:4:58f2:0:0:0:2</v>
      </c>
      <c r="G12684" s="1" t="str">
        <f>"9725Q443"</f>
        <v>9725Q443</v>
      </c>
      <c r="H12684" s="1" t="str">
        <f>"신상간 29L4R3"</f>
        <v>신상간 29L4R3</v>
      </c>
      <c r="I12684" s="1" t="s">
        <v>15</v>
      </c>
      <c r="J12684" s="1" t="str">
        <f>"46/47"</f>
        <v>46/47</v>
      </c>
      <c r="K12684" s="1" t="str">
        <f>"2026-07-29 14:21:02"</f>
        <v>2026-07-29 14:21:02</v>
      </c>
      <c r="L12684" s="1" t="str">
        <f>"2023-09-12 10:39:01"</f>
        <v>2023-09-12 10:39:01</v>
      </c>
      <c r="M12684" s="1" t="s">
        <v>4</v>
      </c>
      <c r="N12684" s="1" t="s">
        <v>38</v>
      </c>
      <c r="O12684" s="1" t="s">
        <v>46</v>
      </c>
    </row>
    <row r="12685" spans="2:15" x14ac:dyDescent="0.3">
      <c r="B12685" s="1" t="s">
        <v>20</v>
      </c>
      <c r="C12685" s="1" t="str">
        <f>"6차"</f>
        <v>6차</v>
      </c>
      <c r="D12685" s="1" t="str">
        <f>"9725Q6216S"</f>
        <v>9725Q6216S</v>
      </c>
      <c r="E12685" s="1" t="s">
        <v>10</v>
      </c>
      <c r="F12685" s="1" t="str">
        <f>"fde1:103:4:c5f1:0:0:0:2"</f>
        <v>fde1:103:4:c5f1:0:0:0:2</v>
      </c>
      <c r="G12685" s="1" t="str">
        <f>"9725Q621"</f>
        <v>9725Q621</v>
      </c>
      <c r="H12685" s="1" t="str">
        <f>"신상간 25L10R1"</f>
        <v>신상간 25L10R1</v>
      </c>
      <c r="I12685" s="1" t="s">
        <v>15</v>
      </c>
      <c r="J12685" s="1" t="str">
        <f>"48/48"</f>
        <v>48/48</v>
      </c>
      <c r="K12685" s="1" t="str">
        <f>"2026-07-29 14:21:22"</f>
        <v>2026-07-29 14:21:22</v>
      </c>
      <c r="L12685" s="1" t="str">
        <f>"2024-11-11 17:15:19"</f>
        <v>2024-11-11 17:15:19</v>
      </c>
      <c r="M12685" s="1" t="s">
        <v>4</v>
      </c>
      <c r="N12685" s="1" t="s">
        <v>38</v>
      </c>
      <c r="O12685" s="1" t="s">
        <v>46</v>
      </c>
    </row>
    <row r="12686" spans="2:15" x14ac:dyDescent="0.3">
      <c r="B12686" s="1" t="s">
        <v>20</v>
      </c>
      <c r="C12686" s="1" t="str">
        <f>"3차"</f>
        <v>3차</v>
      </c>
      <c r="D12686" s="1" t="str">
        <f>"9725Q62239"</f>
        <v>9725Q62239</v>
      </c>
      <c r="E12686" s="1" t="s">
        <v>14</v>
      </c>
      <c r="F12686" s="1" t="str">
        <f>"10.10.41.130"</f>
        <v>10.10.41.130</v>
      </c>
      <c r="G12686" s="1" t="str">
        <f>"9725Q622"</f>
        <v>9725Q622</v>
      </c>
      <c r="H12686" s="1" t="str">
        <f>"신상간 27H1L1"</f>
        <v>신상간 27H1L1</v>
      </c>
      <c r="I12686" s="1" t="s">
        <v>8</v>
      </c>
      <c r="J12686" s="1" t="str">
        <f>"0/0"</f>
        <v>0/0</v>
      </c>
      <c r="K12686" s="1" t="str">
        <f>"2026-07-29 13:18:12"</f>
        <v>2026-07-29 13:18:12</v>
      </c>
      <c r="L12686" s="1" t="str">
        <f>"2024-01-03 15:17:15"</f>
        <v>2024-01-03 15:17:15</v>
      </c>
      <c r="M12686" s="1" t="s">
        <v>1</v>
      </c>
      <c r="N12686" s="1" t="s">
        <v>38</v>
      </c>
      <c r="O12686" s="1" t="s">
        <v>44</v>
      </c>
    </row>
    <row r="12687" spans="2:15" x14ac:dyDescent="0.3">
      <c r="B12687" s="1" t="s">
        <v>20</v>
      </c>
      <c r="C12687" s="1" t="str">
        <f>"3차"</f>
        <v>3차</v>
      </c>
      <c r="D12687" s="1" t="str">
        <f>"9725Q62539"</f>
        <v>9725Q62539</v>
      </c>
      <c r="E12687" s="1" t="s">
        <v>10</v>
      </c>
      <c r="F12687" s="1" t="str">
        <f>"10.10.34.194"</f>
        <v>10.10.34.194</v>
      </c>
      <c r="G12687" s="1" t="str">
        <f>"9725Q625"</f>
        <v>9725Q625</v>
      </c>
      <c r="H12687" s="1" t="str">
        <f>"신상간 25L10"</f>
        <v>신상간 25L10</v>
      </c>
      <c r="I12687" s="1" t="s">
        <v>8</v>
      </c>
      <c r="J12687" s="1" t="str">
        <f>"33/33"</f>
        <v>33/33</v>
      </c>
      <c r="K12687" s="1" t="str">
        <f>"2026-07-29 13:18:12"</f>
        <v>2026-07-29 13:18:12</v>
      </c>
      <c r="L12687" s="1" t="str">
        <f>"2018-03-07 17:27:57"</f>
        <v>2018-03-07 17:27:57</v>
      </c>
      <c r="M12687" s="1" t="s">
        <v>1</v>
      </c>
      <c r="N12687" s="1" t="s">
        <v>38</v>
      </c>
      <c r="O12687" s="1" t="s">
        <v>46</v>
      </c>
    </row>
    <row r="12688" spans="2:15" x14ac:dyDescent="0.3">
      <c r="B12688" s="1" t="s">
        <v>20</v>
      </c>
      <c r="C12688" s="1" t="str">
        <f>"3차"</f>
        <v>3차</v>
      </c>
      <c r="D12688" s="1" t="str">
        <f>"9725Q73339"</f>
        <v>9725Q73339</v>
      </c>
      <c r="E12688" s="1" t="s">
        <v>10</v>
      </c>
      <c r="F12688" s="1" t="str">
        <f>"10.10.34.26"</f>
        <v>10.10.34.26</v>
      </c>
      <c r="G12688" s="1" t="str">
        <f>"9725Q733"</f>
        <v>9725Q733</v>
      </c>
      <c r="H12688" s="1" t="str">
        <f>"신상간 29L1"</f>
        <v>신상간 29L1</v>
      </c>
      <c r="I12688" s="1" t="s">
        <v>8</v>
      </c>
      <c r="J12688" s="1" t="str">
        <f>"13/13"</f>
        <v>13/13</v>
      </c>
      <c r="K12688" s="1" t="str">
        <f>"2026-07-29 13:18:12"</f>
        <v>2026-07-29 13:18:12</v>
      </c>
      <c r="L12688" s="1" t="str">
        <f>"2018-03-23 11:29:54"</f>
        <v>2018-03-23 11:29:54</v>
      </c>
      <c r="M12688" s="1" t="s">
        <v>1</v>
      </c>
      <c r="N12688" s="1" t="s">
        <v>38</v>
      </c>
      <c r="O12688" s="1" t="s">
        <v>46</v>
      </c>
    </row>
    <row r="12689" spans="2:15" x14ac:dyDescent="0.3">
      <c r="B12689" s="1" t="s">
        <v>20</v>
      </c>
      <c r="C12689" s="1" t="str">
        <f>"4차"</f>
        <v>4차</v>
      </c>
      <c r="D12689" s="1" t="str">
        <f>"9725R06242"</f>
        <v>9725R06242</v>
      </c>
      <c r="E12689" s="1" t="s">
        <v>10</v>
      </c>
      <c r="F12689" s="1" t="str">
        <f>"10.125.128.82"</f>
        <v>10.125.128.82</v>
      </c>
      <c r="G12689" s="1" t="str">
        <f>"9725R062"</f>
        <v>9725R062</v>
      </c>
      <c r="H12689" s="1" t="str">
        <f>"당포간 7R19"</f>
        <v>당포간 7R19</v>
      </c>
      <c r="I12689" s="1" t="s">
        <v>8</v>
      </c>
      <c r="J12689" s="1" t="str">
        <f>"28/48"</f>
        <v>28/48</v>
      </c>
      <c r="K12689" s="1" t="str">
        <f>"2026-07-29 13:18:12"</f>
        <v>2026-07-29 13:18:12</v>
      </c>
      <c r="L12689" s="1" t="str">
        <f>"2025-01-13 18:06:01"</f>
        <v>2025-01-13 18:06:01</v>
      </c>
      <c r="M12689" s="1" t="s">
        <v>45</v>
      </c>
      <c r="N12689" s="1" t="s">
        <v>38</v>
      </c>
      <c r="O12689" s="1" t="s">
        <v>46</v>
      </c>
    </row>
    <row r="12690" spans="2:15" x14ac:dyDescent="0.3">
      <c r="B12690" s="1" t="s">
        <v>20</v>
      </c>
      <c r="C12690" s="1" t="str">
        <f>"1차"</f>
        <v>1차</v>
      </c>
      <c r="D12690" s="1" t="str">
        <f>"9725R08200"</f>
        <v>9725R08200</v>
      </c>
      <c r="E12690" s="1" t="s">
        <v>14</v>
      </c>
      <c r="F12690" s="1" t="str">
        <f>"10.125.128.137"</f>
        <v>10.125.128.137</v>
      </c>
      <c r="G12690" s="1" t="str">
        <f>"9725R082"</f>
        <v>9725R082</v>
      </c>
      <c r="H12690" s="1" t="str">
        <f>"당포간 8R7"</f>
        <v>당포간 8R7</v>
      </c>
      <c r="I12690" s="1" t="s">
        <v>8</v>
      </c>
      <c r="J12690" s="1" t="str">
        <f>"0/0"</f>
        <v>0/0</v>
      </c>
      <c r="K12690" s="1" t="str">
        <f>"2024-07-11 20:03:17"</f>
        <v>2024-07-11 20:03:17</v>
      </c>
      <c r="L12690" s="1" t="str">
        <f>"2018-07-25 15:28:36"</f>
        <v>2018-07-25 15:28:36</v>
      </c>
      <c r="M12690" s="1" t="s">
        <v>45</v>
      </c>
      <c r="N12690" s="1" t="s">
        <v>44</v>
      </c>
      <c r="O12690" s="1" t="s">
        <v>44</v>
      </c>
    </row>
    <row r="12691" spans="2:15" x14ac:dyDescent="0.3">
      <c r="B12691" s="1" t="s">
        <v>20</v>
      </c>
      <c r="C12691" s="1" t="str">
        <f>"1차"</f>
        <v>1차</v>
      </c>
      <c r="D12691" s="1" t="str">
        <f>"9725R13201"</f>
        <v>9725R13201</v>
      </c>
      <c r="E12691" s="1" t="s">
        <v>14</v>
      </c>
      <c r="F12691" s="1" t="str">
        <f>"10.14.13.123"</f>
        <v>10.14.13.123</v>
      </c>
      <c r="G12691" s="1" t="str">
        <f>"9725R132"</f>
        <v>9725R132</v>
      </c>
      <c r="H12691" s="1" t="str">
        <f>"당포간 7R13R5H1R1"</f>
        <v>당포간 7R13R5H1R1</v>
      </c>
      <c r="I12691" s="1" t="s">
        <v>8</v>
      </c>
      <c r="J12691" s="1" t="str">
        <f>"0/0"</f>
        <v>0/0</v>
      </c>
      <c r="K12691" s="1" t="str">
        <f>"2024-07-04 03:20:08"</f>
        <v>2024-07-04 03:20:08</v>
      </c>
      <c r="L12691" s="1" t="str">
        <f>"2014-10-22 18:19:25"</f>
        <v>2014-10-22 18:19:25</v>
      </c>
      <c r="M12691" s="1" t="s">
        <v>3</v>
      </c>
      <c r="N12691" s="1" t="s">
        <v>39</v>
      </c>
      <c r="O12691" s="1" t="s">
        <v>46</v>
      </c>
    </row>
    <row r="12692" spans="2:15" x14ac:dyDescent="0.3">
      <c r="B12692" s="1" t="s">
        <v>20</v>
      </c>
      <c r="C12692" s="1" t="str">
        <f>"4차"</f>
        <v>4차</v>
      </c>
      <c r="D12692" s="1" t="str">
        <f>"9725R17230"</f>
        <v>9725R17230</v>
      </c>
      <c r="E12692" s="1" t="s">
        <v>10</v>
      </c>
      <c r="F12692" s="1" t="str">
        <f>"10.10.28.98"</f>
        <v>10.10.28.98</v>
      </c>
      <c r="G12692" s="1" t="str">
        <f>"9725R172"</f>
        <v>9725R172</v>
      </c>
      <c r="H12692" s="1" t="str">
        <f>"당포간 19R1R3"</f>
        <v>당포간 19R1R3</v>
      </c>
      <c r="I12692" s="1" t="s">
        <v>8</v>
      </c>
      <c r="J12692" s="1" t="str">
        <f>"50/50"</f>
        <v>50/50</v>
      </c>
      <c r="K12692" s="1" t="str">
        <f>"2026-07-29 13:18:12"</f>
        <v>2026-07-29 13:18:12</v>
      </c>
      <c r="L12692" s="1" t="str">
        <f>"2018-03-19 16:22:26"</f>
        <v>2018-03-19 16:22:26</v>
      </c>
      <c r="M12692" s="1" t="s">
        <v>1</v>
      </c>
      <c r="N12692" s="1" t="s">
        <v>38</v>
      </c>
      <c r="O12692" s="1" t="s">
        <v>46</v>
      </c>
    </row>
    <row r="12693" spans="2:15" x14ac:dyDescent="0.3">
      <c r="B12693" s="1" t="s">
        <v>20</v>
      </c>
      <c r="C12693" s="1" t="str">
        <f>"4차"</f>
        <v>4차</v>
      </c>
      <c r="D12693" s="1" t="str">
        <f>"9725R18144"</f>
        <v>9725R18144</v>
      </c>
      <c r="E12693" s="1" t="s">
        <v>10</v>
      </c>
      <c r="F12693" s="1" t="str">
        <f>"10.10.74.34"</f>
        <v>10.10.74.34</v>
      </c>
      <c r="G12693" s="1" t="str">
        <f>"9725R181"</f>
        <v>9725R181</v>
      </c>
      <c r="H12693" s="1" t="str">
        <f>"당포간 18R2"</f>
        <v>당포간 18R2</v>
      </c>
      <c r="I12693" s="1" t="s">
        <v>8</v>
      </c>
      <c r="J12693" s="1" t="str">
        <f>"33/33"</f>
        <v>33/33</v>
      </c>
      <c r="K12693" s="1" t="str">
        <f>"2026-07-29 13:18:12"</f>
        <v>2026-07-29 13:18:12</v>
      </c>
      <c r="L12693" s="1" t="str">
        <f>"2019-12-24 16:43:09"</f>
        <v>2019-12-24 16:43:09</v>
      </c>
      <c r="M12693" s="1" t="s">
        <v>1</v>
      </c>
      <c r="N12693" s="1" t="s">
        <v>38</v>
      </c>
      <c r="O12693" s="1" t="s">
        <v>46</v>
      </c>
    </row>
    <row r="12694" spans="2:15" x14ac:dyDescent="0.3">
      <c r="B12694" s="1" t="s">
        <v>20</v>
      </c>
      <c r="C12694" s="1" t="str">
        <f>"6차"</f>
        <v>6차</v>
      </c>
      <c r="D12694" s="1" t="str">
        <f>"9725R1826S"</f>
        <v>9725R1826S</v>
      </c>
      <c r="E12694" s="1" t="s">
        <v>10</v>
      </c>
      <c r="F12694" s="1" t="str">
        <f>"fde1:103:4:c760:0:0:0:2"</f>
        <v>fde1:103:4:c760:0:0:0:2</v>
      </c>
      <c r="G12694" s="1" t="str">
        <f>"9725R182"</f>
        <v>9725R182</v>
      </c>
      <c r="H12694" s="1" t="str">
        <f>"당포간 18R2R2"</f>
        <v>당포간 18R2R2</v>
      </c>
      <c r="I12694" s="1" t="s">
        <v>15</v>
      </c>
      <c r="J12694" s="1" t="str">
        <f>"34/34"</f>
        <v>34/34</v>
      </c>
      <c r="K12694" s="1" t="str">
        <f>"2026-07-29 14:21:22"</f>
        <v>2026-07-29 14:21:22</v>
      </c>
      <c r="L12694" s="1" t="str">
        <f>"2024-11-22 15:38:55"</f>
        <v>2024-11-22 15:38:55</v>
      </c>
      <c r="M12694" s="1" t="s">
        <v>4</v>
      </c>
      <c r="N12694" s="1" t="s">
        <v>38</v>
      </c>
      <c r="O12694" s="1" t="s">
        <v>46</v>
      </c>
    </row>
    <row r="12695" spans="2:15" x14ac:dyDescent="0.3">
      <c r="B12695" s="1" t="s">
        <v>20</v>
      </c>
      <c r="C12695" s="1" t="str">
        <f>"6차"</f>
        <v>6차</v>
      </c>
      <c r="D12695" s="1" t="str">
        <f>"9725R1836S"</f>
        <v>9725R1836S</v>
      </c>
      <c r="E12695" s="1" t="s">
        <v>10</v>
      </c>
      <c r="F12695" s="1" t="str">
        <f>"fde1:103:4:c754:0:0:0:2"</f>
        <v>fde1:103:4:c754:0:0:0:2</v>
      </c>
      <c r="G12695" s="1" t="str">
        <f>"9725R183"</f>
        <v>9725R183</v>
      </c>
      <c r="H12695" s="1" t="str">
        <f>"당포간 18R2R1"</f>
        <v>당포간 18R2R1</v>
      </c>
      <c r="I12695" s="1" t="s">
        <v>15</v>
      </c>
      <c r="J12695" s="1" t="str">
        <f>"58/61"</f>
        <v>58/61</v>
      </c>
      <c r="K12695" s="1" t="str">
        <f>"2026-07-29 14:21:01"</f>
        <v>2026-07-29 14:21:01</v>
      </c>
      <c r="L12695" s="1" t="str">
        <f>"2024-11-22 15:39:57"</f>
        <v>2024-11-22 15:39:57</v>
      </c>
      <c r="M12695" s="1" t="s">
        <v>4</v>
      </c>
      <c r="N12695" s="1" t="s">
        <v>38</v>
      </c>
      <c r="O12695" s="1" t="s">
        <v>46</v>
      </c>
    </row>
    <row r="12696" spans="2:15" x14ac:dyDescent="0.3">
      <c r="B12696" s="1" t="s">
        <v>20</v>
      </c>
      <c r="C12696" s="1" t="str">
        <f>"1차"</f>
        <v>1차</v>
      </c>
      <c r="D12696" s="1" t="str">
        <f>"9725R24301"</f>
        <v>9725R24301</v>
      </c>
      <c r="E12696" s="1" t="s">
        <v>10</v>
      </c>
      <c r="F12696" s="1" t="str">
        <f>"10.12.129.121"</f>
        <v>10.12.129.121</v>
      </c>
      <c r="G12696" s="1" t="str">
        <f>"9725R243"</f>
        <v>9725R243</v>
      </c>
      <c r="H12696" s="1" t="str">
        <f>"당포간 19R5"</f>
        <v>당포간 19R5</v>
      </c>
      <c r="I12696" s="1" t="s">
        <v>8</v>
      </c>
      <c r="J12696" s="1" t="str">
        <f>"11/11"</f>
        <v>11/11</v>
      </c>
      <c r="K12696" s="1" t="str">
        <f>"2026-07-29 07:18:12"</f>
        <v>2026-07-29 07:18:12</v>
      </c>
      <c r="L12696" s="1" t="str">
        <f>"2014-12-06 10:38:57"</f>
        <v>2014-12-06 10:38:57</v>
      </c>
      <c r="M12696" s="1" t="s">
        <v>0</v>
      </c>
      <c r="N12696" s="1" t="s">
        <v>38</v>
      </c>
      <c r="O12696" s="1" t="s">
        <v>46</v>
      </c>
    </row>
    <row r="12697" spans="2:15" x14ac:dyDescent="0.3">
      <c r="B12697" s="1" t="s">
        <v>20</v>
      </c>
      <c r="C12697" s="1" t="str">
        <f>"1차"</f>
        <v>1차</v>
      </c>
      <c r="D12697" s="1" t="str">
        <f>"9725R24500"</f>
        <v>9725R24500</v>
      </c>
      <c r="E12697" s="1" t="s">
        <v>10</v>
      </c>
      <c r="F12697" s="1" t="str">
        <f>"10.125.128.141"</f>
        <v>10.125.128.141</v>
      </c>
      <c r="G12697" s="1" t="str">
        <f>"9725R245"</f>
        <v>9725R245</v>
      </c>
      <c r="H12697" s="1" t="str">
        <f>"당포간 19R5L2"</f>
        <v>당포간 19R5L2</v>
      </c>
      <c r="I12697" s="1" t="s">
        <v>8</v>
      </c>
      <c r="J12697" s="1" t="str">
        <f>"38/38"</f>
        <v>38/38</v>
      </c>
      <c r="K12697" s="1" t="str">
        <f>"2026-07-29 13:18:12"</f>
        <v>2026-07-29 13:18:12</v>
      </c>
      <c r="L12697" s="1" t="str">
        <f>"2014-12-06 10:49:10"</f>
        <v>2014-12-06 10:49:10</v>
      </c>
      <c r="M12697" s="1" t="s">
        <v>45</v>
      </c>
      <c r="N12697" s="1" t="s">
        <v>38</v>
      </c>
      <c r="O12697" s="1" t="s">
        <v>46</v>
      </c>
    </row>
    <row r="12698" spans="2:15" x14ac:dyDescent="0.3">
      <c r="B12698" s="1" t="s">
        <v>20</v>
      </c>
      <c r="C12698" s="1" t="str">
        <f>"3차"</f>
        <v>3차</v>
      </c>
      <c r="D12698" s="1" t="str">
        <f>"9725R25239"</f>
        <v>9725R25239</v>
      </c>
      <c r="E12698" s="1" t="s">
        <v>10</v>
      </c>
      <c r="F12698" s="1" t="str">
        <f>"10.12.128.164"</f>
        <v>10.12.128.164</v>
      </c>
      <c r="G12698" s="1" t="str">
        <f>"9725R252"</f>
        <v>9725R252</v>
      </c>
      <c r="H12698" s="1" t="str">
        <f>"당포간 19R3"</f>
        <v>당포간 19R3</v>
      </c>
      <c r="I12698" s="1" t="s">
        <v>8</v>
      </c>
      <c r="J12698" s="1" t="str">
        <f>"5/6"</f>
        <v>5/6</v>
      </c>
      <c r="K12698" s="1" t="str">
        <f>"2026-07-29 13:18:11"</f>
        <v>2026-07-29 13:18:11</v>
      </c>
      <c r="L12698" s="1" t="str">
        <f>"2018-03-27 14:06:59"</f>
        <v>2018-03-27 14:06:59</v>
      </c>
      <c r="M12698" s="1" t="s">
        <v>0</v>
      </c>
      <c r="N12698" s="1" t="s">
        <v>38</v>
      </c>
      <c r="O12698" s="1" t="s">
        <v>46</v>
      </c>
    </row>
    <row r="12699" spans="2:15" x14ac:dyDescent="0.3">
      <c r="B12699" s="1" t="s">
        <v>20</v>
      </c>
      <c r="C12699" s="1" t="str">
        <f>"1차"</f>
        <v>1차</v>
      </c>
      <c r="D12699" s="1" t="str">
        <f>"9725R26101"</f>
        <v>9725R26101</v>
      </c>
      <c r="E12699" s="1" t="s">
        <v>10</v>
      </c>
      <c r="F12699" s="1" t="str">
        <f>"10.12.132.86"</f>
        <v>10.12.132.86</v>
      </c>
      <c r="G12699" s="1" t="str">
        <f>"9725R261"</f>
        <v>9725R261</v>
      </c>
      <c r="H12699" s="1" t="str">
        <f>"당포간 19R1"</f>
        <v>당포간 19R1</v>
      </c>
      <c r="I12699" s="1" t="s">
        <v>8</v>
      </c>
      <c r="J12699" s="1" t="str">
        <f>"37/39"</f>
        <v>37/39</v>
      </c>
      <c r="K12699" s="1" t="str">
        <f>"2026-07-29 13:18:12"</f>
        <v>2026-07-29 13:18:12</v>
      </c>
      <c r="L12699" s="1" t="str">
        <f>"2014-11-10 15:15:19"</f>
        <v>2014-11-10 15:15:19</v>
      </c>
      <c r="M12699" s="1" t="s">
        <v>0</v>
      </c>
      <c r="N12699" s="1" t="s">
        <v>38</v>
      </c>
      <c r="O12699" s="1" t="s">
        <v>46</v>
      </c>
    </row>
    <row r="12700" spans="2:15" x14ac:dyDescent="0.3">
      <c r="B12700" s="1" t="s">
        <v>20</v>
      </c>
      <c r="C12700" s="1" t="str">
        <f>"3차"</f>
        <v>3차</v>
      </c>
      <c r="D12700" s="1" t="str">
        <f>"9725R26439"</f>
        <v>9725R26439</v>
      </c>
      <c r="E12700" s="1" t="s">
        <v>14</v>
      </c>
      <c r="F12700" s="1" t="str">
        <f>"10.10.33.18"</f>
        <v>10.10.33.18</v>
      </c>
      <c r="G12700" s="1" t="str">
        <f>"9725R264"</f>
        <v>9725R264</v>
      </c>
      <c r="H12700" s="1" t="str">
        <f>"당포간 19R1L1"</f>
        <v>당포간 19R1L1</v>
      </c>
      <c r="I12700" s="1" t="s">
        <v>8</v>
      </c>
      <c r="J12700" s="1" t="str">
        <f>"0/0"</f>
        <v>0/0</v>
      </c>
      <c r="K12700" s="1" t="str">
        <f>"2026-07-29 13:18:12"</f>
        <v>2026-07-29 13:18:12</v>
      </c>
      <c r="L12700" s="1" t="str">
        <f>"2018-04-09 15:31:27"</f>
        <v>2018-04-09 15:31:27</v>
      </c>
      <c r="M12700" s="1" t="s">
        <v>1</v>
      </c>
      <c r="N12700" s="1" t="s">
        <v>38</v>
      </c>
      <c r="O12700" s="1" t="s">
        <v>44</v>
      </c>
    </row>
    <row r="12701" spans="2:15" x14ac:dyDescent="0.3">
      <c r="B12701" s="1" t="s">
        <v>20</v>
      </c>
      <c r="C12701" s="1" t="str">
        <f>"3차"</f>
        <v>3차</v>
      </c>
      <c r="D12701" s="1" t="str">
        <f>"9725R27231"</f>
        <v>9725R27231</v>
      </c>
      <c r="E12701" s="1" t="s">
        <v>10</v>
      </c>
      <c r="F12701" s="1" t="str">
        <f>"10.10.28.67"</f>
        <v>10.10.28.67</v>
      </c>
      <c r="G12701" s="1" t="str">
        <f>"9725R272"</f>
        <v>9725R272</v>
      </c>
      <c r="H12701" s="1" t="str">
        <f>"당포간 20"</f>
        <v>당포간 20</v>
      </c>
      <c r="I12701" s="1" t="s">
        <v>8</v>
      </c>
      <c r="J12701" s="1" t="str">
        <f>"10/10"</f>
        <v>10/10</v>
      </c>
      <c r="K12701" s="1" t="str">
        <f>"2026-07-29 13:18:12"</f>
        <v>2026-07-29 13:18:12</v>
      </c>
      <c r="L12701" s="1" t="str">
        <f>"2018-02-06 10:21:43"</f>
        <v>2018-02-06 10:21:43</v>
      </c>
      <c r="M12701" s="1" t="s">
        <v>1</v>
      </c>
      <c r="N12701" s="1" t="s">
        <v>38</v>
      </c>
      <c r="O12701" s="1" t="s">
        <v>46</v>
      </c>
    </row>
    <row r="12702" spans="2:15" x14ac:dyDescent="0.3">
      <c r="B12702" s="1" t="s">
        <v>20</v>
      </c>
      <c r="C12702" s="1" t="str">
        <f>"1차"</f>
        <v>1차</v>
      </c>
      <c r="D12702" s="1" t="str">
        <f>"9725R28200"</f>
        <v>9725R28200</v>
      </c>
      <c r="E12702" s="1" t="s">
        <v>14</v>
      </c>
      <c r="F12702" s="1" t="str">
        <f>"10.125.129.10"</f>
        <v>10.125.129.10</v>
      </c>
      <c r="G12702" s="1" t="str">
        <f>"9725R282"</f>
        <v>9725R282</v>
      </c>
      <c r="H12702" s="1" t="str">
        <f>"당포간 15H1"</f>
        <v>당포간 15H1</v>
      </c>
      <c r="I12702" s="1" t="s">
        <v>8</v>
      </c>
      <c r="J12702" s="1" t="str">
        <f>"0/0"</f>
        <v>0/0</v>
      </c>
      <c r="K12702" s="1" t="str">
        <f>"2024-07-09 20:03:22"</f>
        <v>2024-07-09 20:03:22</v>
      </c>
      <c r="L12702" s="1" t="str">
        <f>"2014-11-04 11:42:19"</f>
        <v>2014-11-04 11:42:19</v>
      </c>
      <c r="M12702" s="1" t="s">
        <v>45</v>
      </c>
      <c r="N12702" s="1" t="s">
        <v>44</v>
      </c>
      <c r="O12702" s="1" t="s">
        <v>44</v>
      </c>
    </row>
    <row r="12703" spans="2:15" x14ac:dyDescent="0.3">
      <c r="B12703" s="1" t="s">
        <v>20</v>
      </c>
      <c r="C12703" s="1" t="str">
        <f>"4차"</f>
        <v>4차</v>
      </c>
      <c r="D12703" s="1" t="str">
        <f>"9725R28639"</f>
        <v>9725R28639</v>
      </c>
      <c r="E12703" s="1" t="s">
        <v>10</v>
      </c>
      <c r="F12703" s="1" t="str">
        <f>"10.10.33.10"</f>
        <v>10.10.33.10</v>
      </c>
      <c r="G12703" s="1" t="str">
        <f>"9725R286"</f>
        <v>9725R286</v>
      </c>
      <c r="H12703" s="1" t="str">
        <f>"당포간 14L1R2"</f>
        <v>당포간 14L1R2</v>
      </c>
      <c r="I12703" s="1" t="s">
        <v>8</v>
      </c>
      <c r="J12703" s="1" t="str">
        <f>"5/5"</f>
        <v>5/5</v>
      </c>
      <c r="K12703" s="1" t="str">
        <f t="shared" ref="K12703:K12714" si="645">"2026-07-29 13:18:12"</f>
        <v>2026-07-29 13:18:12</v>
      </c>
      <c r="L12703" s="1" t="str">
        <f>"2018-04-09 17:32:12"</f>
        <v>2018-04-09 17:32:12</v>
      </c>
      <c r="M12703" s="1" t="s">
        <v>1</v>
      </c>
      <c r="N12703" s="1" t="s">
        <v>38</v>
      </c>
      <c r="O12703" s="1" t="s">
        <v>46</v>
      </c>
    </row>
    <row r="12704" spans="2:15" x14ac:dyDescent="0.3">
      <c r="B12704" s="1" t="s">
        <v>20</v>
      </c>
      <c r="C12704" s="1" t="str">
        <f>"4차"</f>
        <v>4차</v>
      </c>
      <c r="D12704" s="1" t="str">
        <f>"9725R34239"</f>
        <v>9725R34239</v>
      </c>
      <c r="E12704" s="1" t="s">
        <v>10</v>
      </c>
      <c r="F12704" s="1" t="str">
        <f>"10.10.33.42"</f>
        <v>10.10.33.42</v>
      </c>
      <c r="G12704" s="1" t="str">
        <f>"9725R342"</f>
        <v>9725R342</v>
      </c>
      <c r="H12704" s="1" t="str">
        <f>"당포간 40B13"</f>
        <v>당포간 40B13</v>
      </c>
      <c r="I12704" s="1" t="s">
        <v>8</v>
      </c>
      <c r="J12704" s="1" t="str">
        <f>"48/50"</f>
        <v>48/50</v>
      </c>
      <c r="K12704" s="1" t="str">
        <f t="shared" si="645"/>
        <v>2026-07-29 13:18:12</v>
      </c>
      <c r="L12704" s="1" t="str">
        <f>"2018-03-22 13:54:41"</f>
        <v>2018-03-22 13:54:41</v>
      </c>
      <c r="M12704" s="1" t="s">
        <v>1</v>
      </c>
      <c r="N12704" s="1" t="s">
        <v>38</v>
      </c>
      <c r="O12704" s="1" t="s">
        <v>46</v>
      </c>
    </row>
    <row r="12705" spans="2:15" x14ac:dyDescent="0.3">
      <c r="B12705" s="1" t="s">
        <v>20</v>
      </c>
      <c r="C12705" s="1" t="str">
        <f>"4차"</f>
        <v>4차</v>
      </c>
      <c r="D12705" s="1" t="str">
        <f>"9725R34442"</f>
        <v>9725R34442</v>
      </c>
      <c r="E12705" s="1" t="s">
        <v>10</v>
      </c>
      <c r="F12705" s="1" t="str">
        <f>"10.125.129.70"</f>
        <v>10.125.129.70</v>
      </c>
      <c r="G12705" s="1" t="str">
        <f>"9725R344"</f>
        <v>9725R344</v>
      </c>
      <c r="H12705" s="1" t="str">
        <f>"당포간 40B14"</f>
        <v>당포간 40B14</v>
      </c>
      <c r="I12705" s="1" t="s">
        <v>8</v>
      </c>
      <c r="J12705" s="1" t="str">
        <f>"45/45"</f>
        <v>45/45</v>
      </c>
      <c r="K12705" s="1" t="str">
        <f t="shared" si="645"/>
        <v>2026-07-29 13:18:12</v>
      </c>
      <c r="L12705" s="1" t="str">
        <f>"2026-01-27 09:13:55"</f>
        <v>2026-01-27 09:13:55</v>
      </c>
      <c r="M12705" s="1" t="s">
        <v>45</v>
      </c>
      <c r="N12705" s="1" t="s">
        <v>38</v>
      </c>
      <c r="O12705" s="1" t="s">
        <v>46</v>
      </c>
    </row>
    <row r="12706" spans="2:15" x14ac:dyDescent="0.3">
      <c r="B12706" s="1" t="s">
        <v>20</v>
      </c>
      <c r="C12706" s="1" t="str">
        <f>"4차"</f>
        <v>4차</v>
      </c>
      <c r="D12706" s="1" t="str">
        <f>"9725R35244"</f>
        <v>9725R35244</v>
      </c>
      <c r="E12706" s="1" t="s">
        <v>10</v>
      </c>
      <c r="F12706" s="1" t="str">
        <f>"10.125.129.71"</f>
        <v>10.125.129.71</v>
      </c>
      <c r="G12706" s="1" t="str">
        <f>"9725R352"</f>
        <v>9725R352</v>
      </c>
      <c r="H12706" s="1" t="str">
        <f>"당포간 19R2L3"</f>
        <v>당포간 19R2L3</v>
      </c>
      <c r="I12706" s="1" t="s">
        <v>8</v>
      </c>
      <c r="J12706" s="1" t="str">
        <f>"45/47"</f>
        <v>45/47</v>
      </c>
      <c r="K12706" s="1" t="str">
        <f t="shared" si="645"/>
        <v>2026-07-29 13:18:12</v>
      </c>
      <c r="L12706" s="1" t="str">
        <f>"2023-07-21 17:32:58"</f>
        <v>2023-07-21 17:32:58</v>
      </c>
      <c r="M12706" s="1" t="s">
        <v>45</v>
      </c>
      <c r="N12706" s="1" t="s">
        <v>38</v>
      </c>
      <c r="O12706" s="1" t="s">
        <v>46</v>
      </c>
    </row>
    <row r="12707" spans="2:15" x14ac:dyDescent="0.3">
      <c r="B12707" s="1" t="s">
        <v>20</v>
      </c>
      <c r="C12707" s="1" t="str">
        <f>"4차"</f>
        <v>4차</v>
      </c>
      <c r="D12707" s="1" t="str">
        <f>"9725R37230"</f>
        <v>9725R37230</v>
      </c>
      <c r="E12707" s="1" t="s">
        <v>10</v>
      </c>
      <c r="F12707" s="1" t="str">
        <f>"10.10.28.66"</f>
        <v>10.10.28.66</v>
      </c>
      <c r="G12707" s="1" t="str">
        <f>"9725R372"</f>
        <v>9725R372</v>
      </c>
      <c r="H12707" s="1" t="str">
        <f>"당포간 20H1"</f>
        <v>당포간 20H1</v>
      </c>
      <c r="I12707" s="1" t="s">
        <v>8</v>
      </c>
      <c r="J12707" s="1" t="str">
        <f>"27/27"</f>
        <v>27/27</v>
      </c>
      <c r="K12707" s="1" t="str">
        <f t="shared" si="645"/>
        <v>2026-07-29 13:18:12</v>
      </c>
      <c r="L12707" s="1" t="str">
        <f>"2018-01-16 09:41:23"</f>
        <v>2018-01-16 09:41:23</v>
      </c>
      <c r="M12707" s="1" t="s">
        <v>1</v>
      </c>
      <c r="N12707" s="1" t="s">
        <v>38</v>
      </c>
      <c r="O12707" s="1" t="s">
        <v>46</v>
      </c>
    </row>
    <row r="12708" spans="2:15" x14ac:dyDescent="0.3">
      <c r="B12708" s="1" t="s">
        <v>20</v>
      </c>
      <c r="C12708" s="1" t="str">
        <f>"3차"</f>
        <v>3차</v>
      </c>
      <c r="D12708" s="1" t="str">
        <f>"9725R38132"</f>
        <v>9725R38132</v>
      </c>
      <c r="E12708" s="1" t="s">
        <v>10</v>
      </c>
      <c r="F12708" s="1" t="str">
        <f>"10.10.28.68"</f>
        <v>10.10.28.68</v>
      </c>
      <c r="G12708" s="1" t="str">
        <f>"9725R381"</f>
        <v>9725R381</v>
      </c>
      <c r="H12708" s="1" t="str">
        <f>"당포간 21"</f>
        <v>당포간 21</v>
      </c>
      <c r="I12708" s="1" t="s">
        <v>8</v>
      </c>
      <c r="J12708" s="1" t="str">
        <f>"38/38"</f>
        <v>38/38</v>
      </c>
      <c r="K12708" s="1" t="str">
        <f t="shared" si="645"/>
        <v>2026-07-29 13:18:12</v>
      </c>
      <c r="L12708" s="1" t="str">
        <f>"2018-02-06 10:53:55"</f>
        <v>2018-02-06 10:53:55</v>
      </c>
      <c r="M12708" s="1" t="s">
        <v>1</v>
      </c>
      <c r="N12708" s="1" t="s">
        <v>38</v>
      </c>
      <c r="O12708" s="1" t="s">
        <v>46</v>
      </c>
    </row>
    <row r="12709" spans="2:15" x14ac:dyDescent="0.3">
      <c r="B12709" s="1" t="s">
        <v>20</v>
      </c>
      <c r="C12709" s="1" t="str">
        <f>"4차"</f>
        <v>4차</v>
      </c>
      <c r="D12709" s="1" t="str">
        <f>"9725R38244"</f>
        <v>9725R38244</v>
      </c>
      <c r="E12709" s="1" t="s">
        <v>10</v>
      </c>
      <c r="F12709" s="1" t="str">
        <f>"10.10.105.170"</f>
        <v>10.10.105.170</v>
      </c>
      <c r="G12709" s="1" t="str">
        <f>"9725R382"</f>
        <v>9725R382</v>
      </c>
      <c r="H12709" s="1" t="str">
        <f>"당포간 21H1"</f>
        <v>당포간 21H1</v>
      </c>
      <c r="I12709" s="1" t="s">
        <v>8</v>
      </c>
      <c r="J12709" s="1" t="str">
        <f>"21/24"</f>
        <v>21/24</v>
      </c>
      <c r="K12709" s="1" t="str">
        <f t="shared" si="645"/>
        <v>2026-07-29 13:18:12</v>
      </c>
      <c r="L12709" s="1" t="str">
        <f>"2019-12-24 16:44:04"</f>
        <v>2019-12-24 16:44:04</v>
      </c>
      <c r="M12709" s="1" t="s">
        <v>1</v>
      </c>
      <c r="N12709" s="1" t="s">
        <v>38</v>
      </c>
      <c r="O12709" s="1" t="s">
        <v>46</v>
      </c>
    </row>
    <row r="12710" spans="2:15" x14ac:dyDescent="0.3">
      <c r="B12710" s="1" t="s">
        <v>20</v>
      </c>
      <c r="C12710" s="1" t="str">
        <f>"3차"</f>
        <v>3차</v>
      </c>
      <c r="D12710" s="1" t="str">
        <f>"9725R39130"</f>
        <v>9725R39130</v>
      </c>
      <c r="E12710" s="1" t="s">
        <v>10</v>
      </c>
      <c r="F12710" s="1" t="str">
        <f>"10.125.195.234"</f>
        <v>10.125.195.234</v>
      </c>
      <c r="G12710" s="1" t="str">
        <f>"9725R391"</f>
        <v>9725R391</v>
      </c>
      <c r="H12710" s="1" t="str">
        <f>"당포간 24L2"</f>
        <v>당포간 24L2</v>
      </c>
      <c r="I12710" s="1" t="s">
        <v>8</v>
      </c>
      <c r="J12710" s="1" t="str">
        <f>"38/40"</f>
        <v>38/40</v>
      </c>
      <c r="K12710" s="1" t="str">
        <f t="shared" si="645"/>
        <v>2026-07-29 13:18:12</v>
      </c>
      <c r="L12710" s="1" t="str">
        <f>"2021-01-07 16:32:27"</f>
        <v>2021-01-07 16:32:27</v>
      </c>
      <c r="M12710" s="1" t="s">
        <v>45</v>
      </c>
      <c r="N12710" s="1" t="s">
        <v>38</v>
      </c>
      <c r="O12710" s="1" t="s">
        <v>46</v>
      </c>
    </row>
    <row r="12711" spans="2:15" x14ac:dyDescent="0.3">
      <c r="B12711" s="1" t="s">
        <v>20</v>
      </c>
      <c r="C12711" s="1" t="str">
        <f>"4차"</f>
        <v>4차</v>
      </c>
      <c r="D12711" s="1" t="str">
        <f>"9725R45130"</f>
        <v>9725R45130</v>
      </c>
      <c r="E12711" s="1" t="s">
        <v>10</v>
      </c>
      <c r="F12711" s="1" t="str">
        <f>"10.10.28.106"</f>
        <v>10.10.28.106</v>
      </c>
      <c r="G12711" s="1" t="str">
        <f>"9725R451"</f>
        <v>9725R451</v>
      </c>
      <c r="H12711" s="1" t="str">
        <f>"당포간 19R2L4"</f>
        <v>당포간 19R2L4</v>
      </c>
      <c r="I12711" s="1" t="s">
        <v>8</v>
      </c>
      <c r="J12711" s="1" t="str">
        <f>"52/57"</f>
        <v>52/57</v>
      </c>
      <c r="K12711" s="1" t="str">
        <f t="shared" si="645"/>
        <v>2026-07-29 13:18:12</v>
      </c>
      <c r="L12711" s="1" t="str">
        <f>"2018-03-22 13:36:56"</f>
        <v>2018-03-22 13:36:56</v>
      </c>
      <c r="M12711" s="1" t="s">
        <v>1</v>
      </c>
      <c r="N12711" s="1" t="s">
        <v>38</v>
      </c>
      <c r="O12711" s="1" t="s">
        <v>46</v>
      </c>
    </row>
    <row r="12712" spans="2:15" x14ac:dyDescent="0.3">
      <c r="B12712" s="1" t="s">
        <v>20</v>
      </c>
      <c r="C12712" s="1" t="str">
        <f>"4차"</f>
        <v>4차</v>
      </c>
      <c r="D12712" s="1" t="str">
        <f>"9725R49430"</f>
        <v>9725R49430</v>
      </c>
      <c r="E12712" s="1" t="s">
        <v>10</v>
      </c>
      <c r="F12712" s="1" t="str">
        <f>"10.12.138.72"</f>
        <v>10.12.138.72</v>
      </c>
      <c r="G12712" s="1" t="str">
        <f>"9725R494"</f>
        <v>9725R494</v>
      </c>
      <c r="H12712" s="1" t="str">
        <f>"당포간 24L1H1"</f>
        <v>당포간 24L1H1</v>
      </c>
      <c r="I12712" s="1" t="s">
        <v>8</v>
      </c>
      <c r="J12712" s="1" t="str">
        <f>"10/15"</f>
        <v>10/15</v>
      </c>
      <c r="K12712" s="1" t="str">
        <f t="shared" si="645"/>
        <v>2026-07-29 13:18:12</v>
      </c>
      <c r="L12712" s="1" t="str">
        <f>"2018-07-26 10:23:34"</f>
        <v>2018-07-26 10:23:34</v>
      </c>
      <c r="M12712" s="1" t="s">
        <v>0</v>
      </c>
      <c r="N12712" s="1" t="s">
        <v>38</v>
      </c>
      <c r="O12712" s="1" t="s">
        <v>46</v>
      </c>
    </row>
    <row r="12713" spans="2:15" x14ac:dyDescent="0.3">
      <c r="B12713" s="1" t="s">
        <v>20</v>
      </c>
      <c r="C12713" s="1" t="str">
        <f t="shared" ref="C12713:C12722" si="646">"3차"</f>
        <v>3차</v>
      </c>
      <c r="D12713" s="1" t="str">
        <f>"9725R53139"</f>
        <v>9725R53139</v>
      </c>
      <c r="E12713" s="1" t="s">
        <v>10</v>
      </c>
      <c r="F12713" s="1" t="str">
        <f>"10.10.25.226"</f>
        <v>10.10.25.226</v>
      </c>
      <c r="G12713" s="1" t="str">
        <f>"9725R531"</f>
        <v>9725R531</v>
      </c>
      <c r="H12713" s="1" t="str">
        <f>"당포간 40B7L5"</f>
        <v>당포간 40B7L5</v>
      </c>
      <c r="I12713" s="1" t="s">
        <v>8</v>
      </c>
      <c r="J12713" s="1" t="str">
        <f>"15/15"</f>
        <v>15/15</v>
      </c>
      <c r="K12713" s="1" t="str">
        <f t="shared" si="645"/>
        <v>2026-07-29 13:18:12</v>
      </c>
      <c r="L12713" s="1" t="str">
        <f>"2018-01-16 09:55:08"</f>
        <v>2018-01-16 09:55:08</v>
      </c>
      <c r="M12713" s="1" t="s">
        <v>1</v>
      </c>
      <c r="N12713" s="1" t="s">
        <v>38</v>
      </c>
      <c r="O12713" s="1" t="s">
        <v>46</v>
      </c>
    </row>
    <row r="12714" spans="2:15" x14ac:dyDescent="0.3">
      <c r="B12714" s="1" t="s">
        <v>20</v>
      </c>
      <c r="C12714" s="1" t="str">
        <f t="shared" si="646"/>
        <v>3차</v>
      </c>
      <c r="D12714" s="1" t="str">
        <f>"9725R55231"</f>
        <v>9725R55231</v>
      </c>
      <c r="E12714" s="1" t="s">
        <v>10</v>
      </c>
      <c r="F12714" s="1" t="str">
        <f>"10.10.28.107"</f>
        <v>10.10.28.107</v>
      </c>
      <c r="G12714" s="1" t="str">
        <f>"9725R552"</f>
        <v>9725R552</v>
      </c>
      <c r="H12714" s="1" t="str">
        <f>"당포간 19R2L6"</f>
        <v>당포간 19R2L6</v>
      </c>
      <c r="I12714" s="1" t="s">
        <v>8</v>
      </c>
      <c r="J12714" s="1" t="str">
        <f>"23/23"</f>
        <v>23/23</v>
      </c>
      <c r="K12714" s="1" t="str">
        <f t="shared" si="645"/>
        <v>2026-07-29 13:18:12</v>
      </c>
      <c r="L12714" s="1" t="str">
        <f>"2018-03-22 13:42:12"</f>
        <v>2018-03-22 13:42:12</v>
      </c>
      <c r="M12714" s="1" t="s">
        <v>1</v>
      </c>
      <c r="N12714" s="1" t="s">
        <v>38</v>
      </c>
      <c r="O12714" s="1" t="s">
        <v>46</v>
      </c>
    </row>
    <row r="12715" spans="2:15" x14ac:dyDescent="0.3">
      <c r="B12715" s="1" t="s">
        <v>20</v>
      </c>
      <c r="C12715" s="1" t="str">
        <f t="shared" si="646"/>
        <v>3차</v>
      </c>
      <c r="D12715" s="1" t="str">
        <f>"9725R65130"</f>
        <v>9725R65130</v>
      </c>
      <c r="E12715" s="1" t="s">
        <v>10</v>
      </c>
      <c r="F12715" s="1" t="str">
        <f>"10.10.41.74"</f>
        <v>10.10.41.74</v>
      </c>
      <c r="G12715" s="1" t="str">
        <f>"9725R651"</f>
        <v>9725R651</v>
      </c>
      <c r="H12715" s="1" t="str">
        <f>"당포간 19R2L7R1"</f>
        <v>당포간 19R2L7R1</v>
      </c>
      <c r="I12715" s="1" t="s">
        <v>8</v>
      </c>
      <c r="J12715" s="1" t="str">
        <f>"36/36"</f>
        <v>36/36</v>
      </c>
      <c r="K12715" s="1" t="str">
        <f>"2026-07-29 13:18:11"</f>
        <v>2026-07-29 13:18:11</v>
      </c>
      <c r="L12715" s="1" t="str">
        <f>"2018-01-16 09:42:24"</f>
        <v>2018-01-16 09:42:24</v>
      </c>
      <c r="M12715" s="1" t="s">
        <v>1</v>
      </c>
      <c r="N12715" s="1" t="s">
        <v>38</v>
      </c>
      <c r="O12715" s="1" t="s">
        <v>46</v>
      </c>
    </row>
    <row r="12716" spans="2:15" x14ac:dyDescent="0.3">
      <c r="B12716" s="1" t="s">
        <v>20</v>
      </c>
      <c r="C12716" s="1" t="str">
        <f t="shared" si="646"/>
        <v>3차</v>
      </c>
      <c r="D12716" s="1" t="str">
        <f>"9725R66131"</f>
        <v>9725R66131</v>
      </c>
      <c r="E12716" s="1" t="s">
        <v>10</v>
      </c>
      <c r="F12716" s="1" t="str">
        <f>"10.10.41.75"</f>
        <v>10.10.41.75</v>
      </c>
      <c r="G12716" s="1" t="str">
        <f>"9725R661"</f>
        <v>9725R661</v>
      </c>
      <c r="H12716" s="1" t="str">
        <f>"당포간 19R1R8"</f>
        <v>당포간 19R1R8</v>
      </c>
      <c r="I12716" s="1" t="s">
        <v>8</v>
      </c>
      <c r="J12716" s="1" t="str">
        <f>"27/27"</f>
        <v>27/27</v>
      </c>
      <c r="K12716" s="1" t="str">
        <f>"2026-07-29 13:18:11"</f>
        <v>2026-07-29 13:18:11</v>
      </c>
      <c r="L12716" s="1" t="str">
        <f>"2018-03-13 18:05:27"</f>
        <v>2018-03-13 18:05:27</v>
      </c>
      <c r="M12716" s="1" t="s">
        <v>1</v>
      </c>
      <c r="N12716" s="1" t="s">
        <v>38</v>
      </c>
      <c r="O12716" s="1" t="s">
        <v>46</v>
      </c>
    </row>
    <row r="12717" spans="2:15" x14ac:dyDescent="0.3">
      <c r="B12717" s="1" t="s">
        <v>20</v>
      </c>
      <c r="C12717" s="1" t="str">
        <f t="shared" si="646"/>
        <v>3차</v>
      </c>
      <c r="D12717" s="1" t="str">
        <f>"9725R69239"</f>
        <v>9725R69239</v>
      </c>
      <c r="E12717" s="1" t="s">
        <v>14</v>
      </c>
      <c r="F12717" s="1" t="str">
        <f>"10.10.32.242"</f>
        <v>10.10.32.242</v>
      </c>
      <c r="G12717" s="1" t="str">
        <f>"9725R692"</f>
        <v>9725R692</v>
      </c>
      <c r="H12717" s="1" t="str">
        <f>"당포간 27"</f>
        <v>당포간 27</v>
      </c>
      <c r="I12717" s="1" t="s">
        <v>8</v>
      </c>
      <c r="J12717" s="1" t="str">
        <f>"0/0"</f>
        <v>0/0</v>
      </c>
      <c r="K12717" s="1" t="str">
        <f>"2025-10-24 13:21:14"</f>
        <v>2025-10-24 13:21:14</v>
      </c>
      <c r="L12717" s="1" t="str">
        <f>"2018-01-16 14:19:41"</f>
        <v>2018-01-16 14:19:41</v>
      </c>
      <c r="M12717" s="1" t="s">
        <v>1</v>
      </c>
      <c r="N12717" s="1" t="s">
        <v>44</v>
      </c>
      <c r="O12717" s="1" t="s">
        <v>44</v>
      </c>
    </row>
    <row r="12718" spans="2:15" x14ac:dyDescent="0.3">
      <c r="B12718" s="1" t="s">
        <v>20</v>
      </c>
      <c r="C12718" s="1" t="str">
        <f t="shared" si="646"/>
        <v>3차</v>
      </c>
      <c r="D12718" s="1" t="str">
        <f>"9725R73131"</f>
        <v>9725R73131</v>
      </c>
      <c r="E12718" s="1" t="s">
        <v>10</v>
      </c>
      <c r="F12718" s="1" t="str">
        <f>"10.10.28.179"</f>
        <v>10.10.28.179</v>
      </c>
      <c r="G12718" s="1" t="str">
        <f>"9725R731"</f>
        <v>9725R731</v>
      </c>
      <c r="H12718" s="1" t="str">
        <f>"당포간 40B7L3"</f>
        <v>당포간 40B7L3</v>
      </c>
      <c r="I12718" s="1" t="s">
        <v>8</v>
      </c>
      <c r="J12718" s="1" t="str">
        <f>"16/16"</f>
        <v>16/16</v>
      </c>
      <c r="K12718" s="1" t="str">
        <f>"2026-07-29 13:18:11"</f>
        <v>2026-07-29 13:18:11</v>
      </c>
      <c r="L12718" s="1" t="str">
        <f>"2018-05-11 19:18:00"</f>
        <v>2018-05-11 19:18:00</v>
      </c>
      <c r="M12718" s="1" t="s">
        <v>1</v>
      </c>
      <c r="N12718" s="1" t="s">
        <v>38</v>
      </c>
      <c r="O12718" s="1" t="s">
        <v>46</v>
      </c>
    </row>
    <row r="12719" spans="2:15" x14ac:dyDescent="0.3">
      <c r="B12719" s="1" t="s">
        <v>20</v>
      </c>
      <c r="C12719" s="1" t="str">
        <f t="shared" si="646"/>
        <v>3차</v>
      </c>
      <c r="D12719" s="1" t="str">
        <f>"9725R74630"</f>
        <v>9725R74630</v>
      </c>
      <c r="E12719" s="1" t="s">
        <v>10</v>
      </c>
      <c r="F12719" s="1" t="str">
        <f>"10.10.28.178"</f>
        <v>10.10.28.178</v>
      </c>
      <c r="G12719" s="1" t="str">
        <f>"9725R746"</f>
        <v>9725R746</v>
      </c>
      <c r="H12719" s="1" t="str">
        <f>"당포간 40B7L1"</f>
        <v>당포간 40B7L1</v>
      </c>
      <c r="I12719" s="1" t="s">
        <v>8</v>
      </c>
      <c r="J12719" s="1" t="str">
        <f>"2/2"</f>
        <v>2/2</v>
      </c>
      <c r="K12719" s="1" t="str">
        <f>"2026-07-29 13:18:11"</f>
        <v>2026-07-29 13:18:11</v>
      </c>
      <c r="L12719" s="1" t="str">
        <f>"2018-01-16 09:52:54"</f>
        <v>2018-01-16 09:52:54</v>
      </c>
      <c r="M12719" s="1" t="s">
        <v>1</v>
      </c>
      <c r="N12719" s="1" t="s">
        <v>38</v>
      </c>
      <c r="O12719" s="1" t="s">
        <v>46</v>
      </c>
    </row>
    <row r="12720" spans="2:15" x14ac:dyDescent="0.3">
      <c r="B12720" s="1" t="s">
        <v>20</v>
      </c>
      <c r="C12720" s="1" t="str">
        <f t="shared" si="646"/>
        <v>3차</v>
      </c>
      <c r="D12720" s="1" t="str">
        <f>"9725R75139"</f>
        <v>9725R75139</v>
      </c>
      <c r="E12720" s="1" t="s">
        <v>10</v>
      </c>
      <c r="F12720" s="1" t="str">
        <f>"10.10.33.50"</f>
        <v>10.10.33.50</v>
      </c>
      <c r="G12720" s="1" t="str">
        <f>"9725R751"</f>
        <v>9725R751</v>
      </c>
      <c r="H12720" s="1" t="str">
        <f>"당포간 40B5R2"</f>
        <v>당포간 40B5R2</v>
      </c>
      <c r="I12720" s="1" t="s">
        <v>8</v>
      </c>
      <c r="J12720" s="1" t="str">
        <f>"38/43"</f>
        <v>38/43</v>
      </c>
      <c r="K12720" s="1" t="str">
        <f>"2026-07-29 13:18:11"</f>
        <v>2026-07-29 13:18:11</v>
      </c>
      <c r="L12720" s="1" t="str">
        <f>"2018-03-22 13:34:41"</f>
        <v>2018-03-22 13:34:41</v>
      </c>
      <c r="M12720" s="1" t="s">
        <v>1</v>
      </c>
      <c r="N12720" s="1" t="s">
        <v>38</v>
      </c>
      <c r="O12720" s="1" t="s">
        <v>46</v>
      </c>
    </row>
    <row r="12721" spans="2:15" x14ac:dyDescent="0.3">
      <c r="B12721" s="1" t="s">
        <v>20</v>
      </c>
      <c r="C12721" s="1" t="str">
        <f t="shared" si="646"/>
        <v>3차</v>
      </c>
      <c r="D12721" s="1" t="str">
        <f>"9725R84139"</f>
        <v>9725R84139</v>
      </c>
      <c r="E12721" s="1" t="s">
        <v>10</v>
      </c>
      <c r="F12721" s="1" t="str">
        <f>"10.10.33.58"</f>
        <v>10.10.33.58</v>
      </c>
      <c r="G12721" s="1" t="str">
        <f>"9725R841"</f>
        <v>9725R841</v>
      </c>
      <c r="H12721" s="1" t="str">
        <f>"당포간 40B5L2"</f>
        <v>당포간 40B5L2</v>
      </c>
      <c r="I12721" s="1" t="s">
        <v>8</v>
      </c>
      <c r="J12721" s="1" t="str">
        <f>"24/24"</f>
        <v>24/24</v>
      </c>
      <c r="K12721" s="1" t="str">
        <f>"2026-07-29 13:18:11"</f>
        <v>2026-07-29 13:18:11</v>
      </c>
      <c r="L12721" s="1" t="str">
        <f>"2018-01-16 14:22:41"</f>
        <v>2018-01-16 14:22:41</v>
      </c>
      <c r="M12721" s="1" t="s">
        <v>1</v>
      </c>
      <c r="N12721" s="1" t="s">
        <v>38</v>
      </c>
      <c r="O12721" s="1" t="s">
        <v>46</v>
      </c>
    </row>
    <row r="12722" spans="2:15" x14ac:dyDescent="0.3">
      <c r="B12722" s="1" t="s">
        <v>20</v>
      </c>
      <c r="C12722" s="1" t="str">
        <f t="shared" si="646"/>
        <v>3차</v>
      </c>
      <c r="D12722" s="1" t="str">
        <f>"9725R95439"</f>
        <v>9725R95439</v>
      </c>
      <c r="E12722" s="1" t="s">
        <v>10</v>
      </c>
      <c r="F12722" s="1" t="str">
        <f>"10.12.128.165"</f>
        <v>10.12.128.165</v>
      </c>
      <c r="G12722" s="1" t="str">
        <f>"9725R954"</f>
        <v>9725R954</v>
      </c>
      <c r="H12722" s="1" t="str">
        <f>"당포간 40B4L1"</f>
        <v>당포간 40B4L1</v>
      </c>
      <c r="I12722" s="1" t="s">
        <v>8</v>
      </c>
      <c r="J12722" s="1" t="str">
        <f>"6/6"</f>
        <v>6/6</v>
      </c>
      <c r="K12722" s="1" t="str">
        <f>"2026-07-29 13:18:14"</f>
        <v>2026-07-29 13:18:14</v>
      </c>
      <c r="L12722" s="1" t="str">
        <f>"2018-03-27 14:49:13"</f>
        <v>2018-03-27 14:49:13</v>
      </c>
      <c r="M12722" s="1" t="s">
        <v>0</v>
      </c>
      <c r="N12722" s="1" t="s">
        <v>38</v>
      </c>
      <c r="O12722" s="1" t="s">
        <v>46</v>
      </c>
    </row>
    <row r="12723" spans="2:15" x14ac:dyDescent="0.3">
      <c r="B12723" s="1" t="s">
        <v>20</v>
      </c>
      <c r="C12723" s="1" t="str">
        <f>"1차"</f>
        <v>1차</v>
      </c>
      <c r="D12723" s="1" t="str">
        <f>"9725S08200"</f>
        <v>9725S08200</v>
      </c>
      <c r="E12723" s="1" t="s">
        <v>10</v>
      </c>
      <c r="F12723" s="1" t="str">
        <f>"10.125.129.72"</f>
        <v>10.125.129.72</v>
      </c>
      <c r="G12723" s="1" t="str">
        <f>"9725S082"</f>
        <v>9725S082</v>
      </c>
      <c r="H12723" s="1" t="str">
        <f>"당포간 34"</f>
        <v>당포간 34</v>
      </c>
      <c r="I12723" s="1" t="s">
        <v>8</v>
      </c>
      <c r="J12723" s="1" t="str">
        <f>"21/21"</f>
        <v>21/21</v>
      </c>
      <c r="K12723" s="1" t="str">
        <f t="shared" ref="K12723:K12729" si="647">"2026-07-29 13:18:11"</f>
        <v>2026-07-29 13:18:11</v>
      </c>
      <c r="L12723" s="1" t="str">
        <f>"2014-12-08 11:45:12"</f>
        <v>2014-12-08 11:45:12</v>
      </c>
      <c r="M12723" s="1" t="s">
        <v>45</v>
      </c>
      <c r="N12723" s="1" t="s">
        <v>38</v>
      </c>
      <c r="O12723" s="1" t="s">
        <v>46</v>
      </c>
    </row>
    <row r="12724" spans="2:15" x14ac:dyDescent="0.3">
      <c r="B12724" s="1" t="s">
        <v>20</v>
      </c>
      <c r="C12724" s="1" t="str">
        <f>"4차"</f>
        <v>4차</v>
      </c>
      <c r="D12724" s="1" t="str">
        <f>"9725S09239"</f>
        <v>9725S09239</v>
      </c>
      <c r="E12724" s="1" t="s">
        <v>10</v>
      </c>
      <c r="F12724" s="1" t="str">
        <f>"10.10.32.226"</f>
        <v>10.10.32.226</v>
      </c>
      <c r="G12724" s="1" t="str">
        <f>"9725S092"</f>
        <v>9725S092</v>
      </c>
      <c r="H12724" s="1" t="str">
        <f>"극동간 24"</f>
        <v>극동간 24</v>
      </c>
      <c r="I12724" s="1" t="s">
        <v>8</v>
      </c>
      <c r="J12724" s="1" t="str">
        <f>"24/24"</f>
        <v>24/24</v>
      </c>
      <c r="K12724" s="1" t="str">
        <f t="shared" si="647"/>
        <v>2026-07-29 13:18:11</v>
      </c>
      <c r="L12724" s="1" t="str">
        <f>"2018-01-16 14:19:41"</f>
        <v>2018-01-16 14:19:41</v>
      </c>
      <c r="M12724" s="1" t="s">
        <v>1</v>
      </c>
      <c r="N12724" s="1" t="s">
        <v>38</v>
      </c>
      <c r="O12724" s="1" t="s">
        <v>46</v>
      </c>
    </row>
    <row r="12725" spans="2:15" x14ac:dyDescent="0.3">
      <c r="B12725" s="1" t="s">
        <v>20</v>
      </c>
      <c r="C12725" s="1" t="str">
        <f t="shared" ref="C12725:C12733" si="648">"3차"</f>
        <v>3차</v>
      </c>
      <c r="D12725" s="1" t="str">
        <f>"9725S09339"</f>
        <v>9725S09339</v>
      </c>
      <c r="E12725" s="1" t="s">
        <v>10</v>
      </c>
      <c r="F12725" s="1" t="str">
        <f>"10.10.28.122"</f>
        <v>10.10.28.122</v>
      </c>
      <c r="G12725" s="1" t="str">
        <f>"9725S093"</f>
        <v>9725S093</v>
      </c>
      <c r="H12725" s="1" t="str">
        <f>"당포간 28L6"</f>
        <v>당포간 28L6</v>
      </c>
      <c r="I12725" s="1" t="s">
        <v>8</v>
      </c>
      <c r="J12725" s="1" t="str">
        <f>"10/10"</f>
        <v>10/10</v>
      </c>
      <c r="K12725" s="1" t="str">
        <f t="shared" si="647"/>
        <v>2026-07-29 13:18:11</v>
      </c>
      <c r="L12725" s="1" t="str">
        <f>"2018-05-11 19:20:45"</f>
        <v>2018-05-11 19:20:45</v>
      </c>
      <c r="M12725" s="1" t="s">
        <v>1</v>
      </c>
      <c r="N12725" s="1" t="s">
        <v>38</v>
      </c>
      <c r="O12725" s="1" t="s">
        <v>46</v>
      </c>
    </row>
    <row r="12726" spans="2:15" x14ac:dyDescent="0.3">
      <c r="B12726" s="1" t="s">
        <v>20</v>
      </c>
      <c r="C12726" s="1" t="str">
        <f t="shared" si="648"/>
        <v>3차</v>
      </c>
      <c r="D12726" s="1" t="str">
        <f>"9725S25339"</f>
        <v>9725S25339</v>
      </c>
      <c r="E12726" s="1" t="s">
        <v>10</v>
      </c>
      <c r="F12726" s="1" t="str">
        <f>"10.10.32.250"</f>
        <v>10.10.32.250</v>
      </c>
      <c r="G12726" s="1" t="str">
        <f>"9725S253"</f>
        <v>9725S253</v>
      </c>
      <c r="H12726" s="1" t="str">
        <f>"당포간 44"</f>
        <v>당포간 44</v>
      </c>
      <c r="I12726" s="1" t="s">
        <v>8</v>
      </c>
      <c r="J12726" s="1" t="str">
        <f>"31/32"</f>
        <v>31/32</v>
      </c>
      <c r="K12726" s="1" t="str">
        <f t="shared" si="647"/>
        <v>2026-07-29 13:18:11</v>
      </c>
      <c r="L12726" s="1" t="str">
        <f>"2018-01-16 14:18:26"</f>
        <v>2018-01-16 14:18:26</v>
      </c>
      <c r="M12726" s="1" t="s">
        <v>1</v>
      </c>
      <c r="N12726" s="1" t="s">
        <v>38</v>
      </c>
      <c r="O12726" s="1" t="s">
        <v>46</v>
      </c>
    </row>
    <row r="12727" spans="2:15" x14ac:dyDescent="0.3">
      <c r="B12727" s="1" t="s">
        <v>20</v>
      </c>
      <c r="C12727" s="1" t="str">
        <f t="shared" si="648"/>
        <v>3차</v>
      </c>
      <c r="D12727" s="1" t="str">
        <f>"9725S28239"</f>
        <v>9725S28239</v>
      </c>
      <c r="E12727" s="1" t="s">
        <v>10</v>
      </c>
      <c r="F12727" s="1" t="str">
        <f>"10.10.33.34"</f>
        <v>10.10.33.34</v>
      </c>
      <c r="G12727" s="1" t="str">
        <f>"9725S282"</f>
        <v>9725S282</v>
      </c>
      <c r="H12727" s="1" t="str">
        <f>"당포간 36L1"</f>
        <v>당포간 36L1</v>
      </c>
      <c r="I12727" s="1" t="s">
        <v>8</v>
      </c>
      <c r="J12727" s="1" t="str">
        <f>"67/71"</f>
        <v>67/71</v>
      </c>
      <c r="K12727" s="1" t="str">
        <f t="shared" si="647"/>
        <v>2026-07-29 13:18:11</v>
      </c>
      <c r="L12727" s="1" t="str">
        <f>"2018-03-22 15:02:43"</f>
        <v>2018-03-22 15:02:43</v>
      </c>
      <c r="M12727" s="1" t="s">
        <v>1</v>
      </c>
      <c r="N12727" s="1" t="s">
        <v>38</v>
      </c>
      <c r="O12727" s="1" t="s">
        <v>46</v>
      </c>
    </row>
    <row r="12728" spans="2:15" x14ac:dyDescent="0.3">
      <c r="B12728" s="1" t="s">
        <v>20</v>
      </c>
      <c r="C12728" s="1" t="str">
        <f t="shared" si="648"/>
        <v>3차</v>
      </c>
      <c r="D12728" s="1" t="str">
        <f>"9725S29139"</f>
        <v>9725S29139</v>
      </c>
      <c r="E12728" s="1" t="s">
        <v>10</v>
      </c>
      <c r="F12728" s="1" t="str">
        <f>"10.10.28.130"</f>
        <v>10.10.28.130</v>
      </c>
      <c r="G12728" s="1" t="str">
        <f>"9725S291"</f>
        <v>9725S291</v>
      </c>
      <c r="H12728" s="1" t="str">
        <f>"당포간 28L8"</f>
        <v>당포간 28L8</v>
      </c>
      <c r="I12728" s="1" t="s">
        <v>8</v>
      </c>
      <c r="J12728" s="1" t="str">
        <f>"16/16"</f>
        <v>16/16</v>
      </c>
      <c r="K12728" s="1" t="str">
        <f t="shared" si="647"/>
        <v>2026-07-29 13:18:11</v>
      </c>
      <c r="L12728" s="1" t="str">
        <f>"2018-01-16 09:44:08"</f>
        <v>2018-01-16 09:44:08</v>
      </c>
      <c r="M12728" s="1" t="s">
        <v>1</v>
      </c>
      <c r="N12728" s="1" t="s">
        <v>38</v>
      </c>
      <c r="O12728" s="1" t="s">
        <v>46</v>
      </c>
    </row>
    <row r="12729" spans="2:15" x14ac:dyDescent="0.3">
      <c r="B12729" s="1" t="s">
        <v>20</v>
      </c>
      <c r="C12729" s="1" t="str">
        <f t="shared" si="648"/>
        <v>3차</v>
      </c>
      <c r="D12729" s="1" t="str">
        <f>"9725S29239"</f>
        <v>9725S29239</v>
      </c>
      <c r="E12729" s="1" t="s">
        <v>10</v>
      </c>
      <c r="F12729" s="1" t="str">
        <f>"10.10.28.138"</f>
        <v>10.10.28.138</v>
      </c>
      <c r="G12729" s="1" t="str">
        <f>"9725S292"</f>
        <v>9725S292</v>
      </c>
      <c r="H12729" s="1" t="str">
        <f>"당포간 28L9"</f>
        <v>당포간 28L9</v>
      </c>
      <c r="I12729" s="1" t="s">
        <v>8</v>
      </c>
      <c r="J12729" s="1" t="str">
        <f>"7/9"</f>
        <v>7/9</v>
      </c>
      <c r="K12729" s="1" t="str">
        <f t="shared" si="647"/>
        <v>2026-07-29 13:18:11</v>
      </c>
      <c r="L12729" s="1" t="str">
        <f>"2018-01-16 09:51:54"</f>
        <v>2018-01-16 09:51:54</v>
      </c>
      <c r="M12729" s="1" t="s">
        <v>1</v>
      </c>
      <c r="N12729" s="1" t="s">
        <v>38</v>
      </c>
      <c r="O12729" s="1" t="s">
        <v>46</v>
      </c>
    </row>
    <row r="12730" spans="2:15" x14ac:dyDescent="0.3">
      <c r="B12730" s="1" t="s">
        <v>20</v>
      </c>
      <c r="C12730" s="1" t="str">
        <f t="shared" si="648"/>
        <v>3차</v>
      </c>
      <c r="D12730" s="1" t="str">
        <f>"9725S41139"</f>
        <v>9725S41139</v>
      </c>
      <c r="E12730" s="1" t="s">
        <v>10</v>
      </c>
      <c r="F12730" s="1" t="str">
        <f>"10.12.128.81"</f>
        <v>10.12.128.81</v>
      </c>
      <c r="G12730" s="1" t="str">
        <f>"9725S411"</f>
        <v>9725S411</v>
      </c>
      <c r="H12730" s="1" t="str">
        <f>"당포간 53R7"</f>
        <v>당포간 53R7</v>
      </c>
      <c r="I12730" s="1" t="s">
        <v>8</v>
      </c>
      <c r="J12730" s="1" t="str">
        <f>"2/2"</f>
        <v>2/2</v>
      </c>
      <c r="K12730" s="1" t="str">
        <f>"2026-07-29 13:18:13"</f>
        <v>2026-07-29 13:18:13</v>
      </c>
      <c r="L12730" s="1" t="str">
        <f>"2018-03-27 12:05:58"</f>
        <v>2018-03-27 12:05:58</v>
      </c>
      <c r="M12730" s="1" t="s">
        <v>0</v>
      </c>
      <c r="N12730" s="1" t="s">
        <v>38</v>
      </c>
      <c r="O12730" s="1" t="s">
        <v>46</v>
      </c>
    </row>
    <row r="12731" spans="2:15" x14ac:dyDescent="0.3">
      <c r="B12731" s="1" t="s">
        <v>20</v>
      </c>
      <c r="C12731" s="1" t="str">
        <f t="shared" si="648"/>
        <v>3차</v>
      </c>
      <c r="D12731" s="1" t="str">
        <f>"9725S49139"</f>
        <v>9725S49139</v>
      </c>
      <c r="E12731" s="1" t="s">
        <v>10</v>
      </c>
      <c r="F12731" s="1" t="str">
        <f>"10.10.37.250"</f>
        <v>10.10.37.250</v>
      </c>
      <c r="G12731" s="1" t="str">
        <f>"9725S491"</f>
        <v>9725S491</v>
      </c>
      <c r="H12731" s="1" t="str">
        <f>"토정간 61"</f>
        <v>토정간 61</v>
      </c>
      <c r="I12731" s="1" t="s">
        <v>8</v>
      </c>
      <c r="J12731" s="1" t="str">
        <f>"20/23"</f>
        <v>20/23</v>
      </c>
      <c r="K12731" s="1" t="str">
        <f>"2026-07-29 13:18:11"</f>
        <v>2026-07-29 13:18:11</v>
      </c>
      <c r="L12731" s="1" t="str">
        <f>"2018-05-11 19:59:30"</f>
        <v>2018-05-11 19:59:30</v>
      </c>
      <c r="M12731" s="1" t="s">
        <v>1</v>
      </c>
      <c r="N12731" s="1" t="s">
        <v>38</v>
      </c>
      <c r="O12731" s="1" t="s">
        <v>46</v>
      </c>
    </row>
    <row r="12732" spans="2:15" x14ac:dyDescent="0.3">
      <c r="B12732" s="1" t="s">
        <v>20</v>
      </c>
      <c r="C12732" s="1" t="str">
        <f t="shared" si="648"/>
        <v>3차</v>
      </c>
      <c r="D12732" s="1" t="str">
        <f>"9725S49739"</f>
        <v>9725S49739</v>
      </c>
      <c r="E12732" s="1" t="s">
        <v>10</v>
      </c>
      <c r="F12732" s="1" t="str">
        <f>"10.10.34.50"</f>
        <v>10.10.34.50</v>
      </c>
      <c r="G12732" s="1" t="str">
        <f>"9725S497"</f>
        <v>9725S497</v>
      </c>
      <c r="H12732" s="1" t="str">
        <f>"신상간 25L5"</f>
        <v>신상간 25L5</v>
      </c>
      <c r="I12732" s="1" t="s">
        <v>8</v>
      </c>
      <c r="J12732" s="1" t="str">
        <f>"27/27"</f>
        <v>27/27</v>
      </c>
      <c r="K12732" s="1" t="str">
        <f>"2026-07-29 13:18:11"</f>
        <v>2026-07-29 13:18:11</v>
      </c>
      <c r="L12732" s="1" t="str">
        <f>"2018-03-22 17:23:58"</f>
        <v>2018-03-22 17:23:58</v>
      </c>
      <c r="M12732" s="1" t="s">
        <v>1</v>
      </c>
      <c r="N12732" s="1" t="s">
        <v>38</v>
      </c>
      <c r="O12732" s="1" t="s">
        <v>46</v>
      </c>
    </row>
    <row r="12733" spans="2:15" x14ac:dyDescent="0.3">
      <c r="B12733" s="1" t="s">
        <v>20</v>
      </c>
      <c r="C12733" s="1" t="str">
        <f t="shared" si="648"/>
        <v>3차</v>
      </c>
      <c r="D12733" s="1" t="str">
        <f>"9725S51339"</f>
        <v>9725S51339</v>
      </c>
      <c r="E12733" s="1" t="s">
        <v>10</v>
      </c>
      <c r="F12733" s="1" t="str">
        <f>"10.12.128.82"</f>
        <v>10.12.128.82</v>
      </c>
      <c r="G12733" s="1" t="str">
        <f>"9725S513"</f>
        <v>9725S513</v>
      </c>
      <c r="H12733" s="1" t="str">
        <f>"당포간 53R8H1L1"</f>
        <v>당포간 53R8H1L1</v>
      </c>
      <c r="I12733" s="1" t="s">
        <v>8</v>
      </c>
      <c r="J12733" s="1" t="str">
        <f>"8/8"</f>
        <v>8/8</v>
      </c>
      <c r="K12733" s="1" t="str">
        <f>"2026-07-29 13:18:12"</f>
        <v>2026-07-29 13:18:12</v>
      </c>
      <c r="L12733" s="1" t="str">
        <f>"2018-03-27 13:15:43"</f>
        <v>2018-03-27 13:15:43</v>
      </c>
      <c r="M12733" s="1" t="s">
        <v>0</v>
      </c>
      <c r="N12733" s="1" t="s">
        <v>38</v>
      </c>
      <c r="O12733" s="1" t="s">
        <v>46</v>
      </c>
    </row>
    <row r="12734" spans="2:15" x14ac:dyDescent="0.3">
      <c r="B12734" s="1" t="s">
        <v>20</v>
      </c>
      <c r="C12734" s="1" t="str">
        <f>"5-2차"</f>
        <v>5-2차</v>
      </c>
      <c r="D12734" s="1" t="str">
        <f>"9725S5725M"</f>
        <v>9725S5725M</v>
      </c>
      <c r="E12734" s="1" t="s">
        <v>10</v>
      </c>
      <c r="F12734" s="1" t="str">
        <f>"fde1:103:4:55f5:0:0:0:2"</f>
        <v>fde1:103:4:55f5:0:0:0:2</v>
      </c>
      <c r="G12734" s="1" t="str">
        <f>"9725S572"</f>
        <v>9725S572</v>
      </c>
      <c r="H12734" s="1" t="str">
        <f>"당포간 49L3L2"</f>
        <v>당포간 49L3L2</v>
      </c>
      <c r="I12734" s="1" t="s">
        <v>15</v>
      </c>
      <c r="J12734" s="1" t="str">
        <f>"34/35"</f>
        <v>34/35</v>
      </c>
      <c r="K12734" s="1" t="str">
        <f>"2026-07-29 14:21:02"</f>
        <v>2026-07-29 14:21:02</v>
      </c>
      <c r="L12734" s="1" t="str">
        <f>"2023-08-31 11:00:56"</f>
        <v>2023-08-31 11:00:56</v>
      </c>
      <c r="M12734" s="1" t="s">
        <v>4</v>
      </c>
      <c r="N12734" s="1" t="s">
        <v>38</v>
      </c>
      <c r="O12734" s="1" t="s">
        <v>46</v>
      </c>
    </row>
    <row r="12735" spans="2:15" x14ac:dyDescent="0.3">
      <c r="B12735" s="1" t="s">
        <v>20</v>
      </c>
      <c r="C12735" s="1" t="str">
        <f>"3차"</f>
        <v>3차</v>
      </c>
      <c r="D12735" s="1" t="str">
        <f>"9725S59339"</f>
        <v>9725S59339</v>
      </c>
      <c r="E12735" s="1" t="s">
        <v>10</v>
      </c>
      <c r="F12735" s="1" t="str">
        <f>"10.10.34.42"</f>
        <v>10.10.34.42</v>
      </c>
      <c r="G12735" s="1" t="str">
        <f>"9725S593"</f>
        <v>9725S593</v>
      </c>
      <c r="H12735" s="1" t="str">
        <f>"신상간 25L4"</f>
        <v>신상간 25L4</v>
      </c>
      <c r="I12735" s="1" t="s">
        <v>8</v>
      </c>
      <c r="J12735" s="1" t="str">
        <f>"6/6"</f>
        <v>6/6</v>
      </c>
      <c r="K12735" s="1" t="str">
        <f t="shared" ref="K12735:K12750" si="649">"2026-07-29 13:18:11"</f>
        <v>2026-07-29 13:18:11</v>
      </c>
      <c r="L12735" s="1" t="str">
        <f>"2018-03-22 17:26:13"</f>
        <v>2018-03-22 17:26:13</v>
      </c>
      <c r="M12735" s="1" t="s">
        <v>1</v>
      </c>
      <c r="N12735" s="1" t="s">
        <v>38</v>
      </c>
      <c r="O12735" s="1" t="s">
        <v>46</v>
      </c>
    </row>
    <row r="12736" spans="2:15" x14ac:dyDescent="0.3">
      <c r="B12736" s="1" t="s">
        <v>20</v>
      </c>
      <c r="C12736" s="1" t="str">
        <f>"3차"</f>
        <v>3차</v>
      </c>
      <c r="D12736" s="1" t="str">
        <f>"9725S67239"</f>
        <v>9725S67239</v>
      </c>
      <c r="E12736" s="1" t="s">
        <v>10</v>
      </c>
      <c r="F12736" s="1" t="str">
        <f>"10.10.33.66"</f>
        <v>10.10.33.66</v>
      </c>
      <c r="G12736" s="1" t="str">
        <f>"9725S672"</f>
        <v>9725S672</v>
      </c>
      <c r="H12736" s="1" t="str">
        <f>"당포간 49L4"</f>
        <v>당포간 49L4</v>
      </c>
      <c r="I12736" s="1" t="s">
        <v>8</v>
      </c>
      <c r="J12736" s="1" t="str">
        <f>"15/15"</f>
        <v>15/15</v>
      </c>
      <c r="K12736" s="1" t="str">
        <f t="shared" si="649"/>
        <v>2026-07-29 13:18:11</v>
      </c>
      <c r="L12736" s="1" t="str">
        <f>"2018-01-26 13:42:25"</f>
        <v>2018-01-26 13:42:25</v>
      </c>
      <c r="M12736" s="1" t="s">
        <v>1</v>
      </c>
      <c r="N12736" s="1" t="s">
        <v>38</v>
      </c>
      <c r="O12736" s="1" t="s">
        <v>46</v>
      </c>
    </row>
    <row r="12737" spans="2:15" x14ac:dyDescent="0.3">
      <c r="B12737" s="1" t="s">
        <v>20</v>
      </c>
      <c r="C12737" s="1" t="str">
        <f>"3차"</f>
        <v>3차</v>
      </c>
      <c r="D12737" s="1" t="str">
        <f>"9725S69439"</f>
        <v>9725S69439</v>
      </c>
      <c r="E12737" s="1" t="s">
        <v>10</v>
      </c>
      <c r="F12737" s="1" t="str">
        <f>"10.10.32.42"</f>
        <v>10.10.32.42</v>
      </c>
      <c r="G12737" s="1" t="str">
        <f>"9725S694"</f>
        <v>9725S694</v>
      </c>
      <c r="H12737" s="1" t="str">
        <f>"토정간 56"</f>
        <v>토정간 56</v>
      </c>
      <c r="I12737" s="1" t="s">
        <v>8</v>
      </c>
      <c r="J12737" s="1" t="str">
        <f>"8/8"</f>
        <v>8/8</v>
      </c>
      <c r="K12737" s="1" t="str">
        <f t="shared" si="649"/>
        <v>2026-07-29 13:18:11</v>
      </c>
      <c r="L12737" s="1" t="str">
        <f>"2018-02-19 13:34:41"</f>
        <v>2018-02-19 13:34:41</v>
      </c>
      <c r="M12737" s="1" t="s">
        <v>1</v>
      </c>
      <c r="N12737" s="1" t="s">
        <v>38</v>
      </c>
      <c r="O12737" s="1" t="s">
        <v>46</v>
      </c>
    </row>
    <row r="12738" spans="2:15" x14ac:dyDescent="0.3">
      <c r="B12738" s="1" t="s">
        <v>20</v>
      </c>
      <c r="C12738" s="1" t="str">
        <f>"1차"</f>
        <v>1차</v>
      </c>
      <c r="D12738" s="1" t="str">
        <f>"9725S74100"</f>
        <v>9725S74100</v>
      </c>
      <c r="E12738" s="1" t="s">
        <v>10</v>
      </c>
      <c r="F12738" s="1" t="str">
        <f>"10.125.195.10"</f>
        <v>10.125.195.10</v>
      </c>
      <c r="G12738" s="1" t="str">
        <f>"9725S741"</f>
        <v>9725S741</v>
      </c>
      <c r="H12738" s="1" t="str">
        <f>"당포간 53R2"</f>
        <v>당포간 53R2</v>
      </c>
      <c r="I12738" s="1" t="s">
        <v>8</v>
      </c>
      <c r="J12738" s="1" t="str">
        <f>"32/32"</f>
        <v>32/32</v>
      </c>
      <c r="K12738" s="1" t="str">
        <f t="shared" si="649"/>
        <v>2026-07-29 13:18:11</v>
      </c>
      <c r="L12738" s="1" t="str">
        <f>"2014-11-14 18:03:07"</f>
        <v>2014-11-14 18:03:07</v>
      </c>
      <c r="M12738" s="1" t="s">
        <v>45</v>
      </c>
      <c r="N12738" s="1" t="s">
        <v>38</v>
      </c>
      <c r="O12738" s="1" t="s">
        <v>46</v>
      </c>
    </row>
    <row r="12739" spans="2:15" x14ac:dyDescent="0.3">
      <c r="B12739" s="1" t="s">
        <v>20</v>
      </c>
      <c r="C12739" s="1" t="str">
        <f>"3차"</f>
        <v>3차</v>
      </c>
      <c r="D12739" s="1" t="str">
        <f>"9725S75139"</f>
        <v>9725S75139</v>
      </c>
      <c r="E12739" s="1" t="s">
        <v>14</v>
      </c>
      <c r="F12739" s="1" t="str">
        <f>"10.10.33.2"</f>
        <v>10.10.33.2</v>
      </c>
      <c r="G12739" s="1" t="str">
        <f>"9725S751"</f>
        <v>9725S751</v>
      </c>
      <c r="H12739" s="1" t="str">
        <f>"당포간 52"</f>
        <v>당포간 52</v>
      </c>
      <c r="I12739" s="1" t="s">
        <v>8</v>
      </c>
      <c r="J12739" s="1" t="str">
        <f>"0/0"</f>
        <v>0/0</v>
      </c>
      <c r="K12739" s="1" t="str">
        <f t="shared" si="649"/>
        <v>2026-07-29 13:18:11</v>
      </c>
      <c r="L12739" s="1" t="str">
        <f>"2018-03-22 15:47:13"</f>
        <v>2018-03-22 15:47:13</v>
      </c>
      <c r="M12739" s="1" t="s">
        <v>1</v>
      </c>
      <c r="N12739" s="1" t="s">
        <v>38</v>
      </c>
      <c r="O12739" s="1" t="s">
        <v>44</v>
      </c>
    </row>
    <row r="12740" spans="2:15" x14ac:dyDescent="0.3">
      <c r="B12740" s="1" t="s">
        <v>20</v>
      </c>
      <c r="C12740" s="1" t="str">
        <f>"3차"</f>
        <v>3차</v>
      </c>
      <c r="D12740" s="1" t="str">
        <f>"9725S76239"</f>
        <v>9725S76239</v>
      </c>
      <c r="E12740" s="1" t="s">
        <v>10</v>
      </c>
      <c r="F12740" s="1" t="str">
        <f>"10.10.33.74"</f>
        <v>10.10.33.74</v>
      </c>
      <c r="G12740" s="1" t="str">
        <f>"9725S762"</f>
        <v>9725S762</v>
      </c>
      <c r="H12740" s="1" t="str">
        <f>"당포간 50L2"</f>
        <v>당포간 50L2</v>
      </c>
      <c r="I12740" s="1" t="s">
        <v>8</v>
      </c>
      <c r="J12740" s="1" t="str">
        <f>"35/35"</f>
        <v>35/35</v>
      </c>
      <c r="K12740" s="1" t="str">
        <f t="shared" si="649"/>
        <v>2026-07-29 13:18:11</v>
      </c>
      <c r="L12740" s="1" t="str">
        <f>"2021-04-28 15:56:21"</f>
        <v>2021-04-28 15:56:21</v>
      </c>
      <c r="M12740" s="1" t="s">
        <v>1</v>
      </c>
      <c r="N12740" s="1" t="s">
        <v>38</v>
      </c>
      <c r="O12740" s="1" t="s">
        <v>46</v>
      </c>
    </row>
    <row r="12741" spans="2:15" x14ac:dyDescent="0.3">
      <c r="B12741" s="1" t="s">
        <v>20</v>
      </c>
      <c r="C12741" s="1" t="str">
        <f>"3차"</f>
        <v>3차</v>
      </c>
      <c r="D12741" s="1" t="str">
        <f>"9725S81239"</f>
        <v>9725S81239</v>
      </c>
      <c r="E12741" s="1" t="s">
        <v>10</v>
      </c>
      <c r="F12741" s="1" t="str">
        <f>"10.10.28.194"</f>
        <v>10.10.28.194</v>
      </c>
      <c r="G12741" s="1" t="str">
        <f>"9725S812"</f>
        <v>9725S812</v>
      </c>
      <c r="H12741" s="1" t="str">
        <f>"도화간 37L4H1"</f>
        <v>도화간 37L4H1</v>
      </c>
      <c r="I12741" s="1" t="s">
        <v>8</v>
      </c>
      <c r="J12741" s="1" t="str">
        <f>"15/15"</f>
        <v>15/15</v>
      </c>
      <c r="K12741" s="1" t="str">
        <f t="shared" si="649"/>
        <v>2026-07-29 13:18:11</v>
      </c>
      <c r="L12741" s="1" t="str">
        <f>"2018-04-03 17:35:28"</f>
        <v>2018-04-03 17:35:28</v>
      </c>
      <c r="M12741" s="1" t="s">
        <v>1</v>
      </c>
      <c r="N12741" s="1" t="s">
        <v>38</v>
      </c>
      <c r="O12741" s="1" t="s">
        <v>46</v>
      </c>
    </row>
    <row r="12742" spans="2:15" x14ac:dyDescent="0.3">
      <c r="B12742" s="1" t="s">
        <v>20</v>
      </c>
      <c r="C12742" s="1" t="str">
        <f>"3차"</f>
        <v>3차</v>
      </c>
      <c r="D12742" s="1" t="str">
        <f>"9725S82239"</f>
        <v>9725S82239</v>
      </c>
      <c r="E12742" s="1" t="s">
        <v>10</v>
      </c>
      <c r="F12742" s="1" t="str">
        <f>"10.10.28.186"</f>
        <v>10.10.28.186</v>
      </c>
      <c r="G12742" s="1" t="str">
        <f>"9725S822"</f>
        <v>9725S822</v>
      </c>
      <c r="H12742" s="1" t="str">
        <f>"도화간 37L3"</f>
        <v>도화간 37L3</v>
      </c>
      <c r="I12742" s="1" t="s">
        <v>8</v>
      </c>
      <c r="J12742" s="1" t="str">
        <f>"23/23"</f>
        <v>23/23</v>
      </c>
      <c r="K12742" s="1" t="str">
        <f t="shared" si="649"/>
        <v>2026-07-29 13:18:11</v>
      </c>
      <c r="L12742" s="1" t="str">
        <f>"2018-02-08 14:19:55"</f>
        <v>2018-02-08 14:19:55</v>
      </c>
      <c r="M12742" s="1" t="s">
        <v>1</v>
      </c>
      <c r="N12742" s="1" t="s">
        <v>38</v>
      </c>
      <c r="O12742" s="1" t="s">
        <v>46</v>
      </c>
    </row>
    <row r="12743" spans="2:15" x14ac:dyDescent="0.3">
      <c r="B12743" s="1" t="s">
        <v>20</v>
      </c>
      <c r="C12743" s="1" t="str">
        <f>"3차"</f>
        <v>3차</v>
      </c>
      <c r="D12743" s="1" t="str">
        <f>"9725S85339"</f>
        <v>9725S85339</v>
      </c>
      <c r="E12743" s="1" t="s">
        <v>10</v>
      </c>
      <c r="F12743" s="1" t="str">
        <f>"10.10.29.138"</f>
        <v>10.10.29.138</v>
      </c>
      <c r="G12743" s="1" t="str">
        <f>"9725S853"</f>
        <v>9725S853</v>
      </c>
      <c r="H12743" s="1" t="str">
        <f>"당포간 53L1"</f>
        <v>당포간 53L1</v>
      </c>
      <c r="I12743" s="1" t="s">
        <v>8</v>
      </c>
      <c r="J12743" s="1" t="str">
        <f>"8/9"</f>
        <v>8/9</v>
      </c>
      <c r="K12743" s="1" t="str">
        <f t="shared" si="649"/>
        <v>2026-07-29 13:18:11</v>
      </c>
      <c r="L12743" s="1" t="str">
        <f>"2018-03-22 15:49:57"</f>
        <v>2018-03-22 15:49:57</v>
      </c>
      <c r="M12743" s="1" t="s">
        <v>1</v>
      </c>
      <c r="N12743" s="1" t="s">
        <v>38</v>
      </c>
      <c r="O12743" s="1" t="s">
        <v>46</v>
      </c>
    </row>
    <row r="12744" spans="2:15" x14ac:dyDescent="0.3">
      <c r="B12744" s="1" t="s">
        <v>20</v>
      </c>
      <c r="C12744" s="1" t="str">
        <f>"4차"</f>
        <v>4차</v>
      </c>
      <c r="D12744" s="1" t="str">
        <f>"9725S92139"</f>
        <v>9725S92139</v>
      </c>
      <c r="E12744" s="1" t="s">
        <v>10</v>
      </c>
      <c r="F12744" s="1" t="str">
        <f>"10.10.29.154"</f>
        <v>10.10.29.154</v>
      </c>
      <c r="G12744" s="1" t="str">
        <f>"9725S921"</f>
        <v>9725S921</v>
      </c>
      <c r="H12744" s="1" t="str">
        <f>"도화간 37L2"</f>
        <v>도화간 37L2</v>
      </c>
      <c r="I12744" s="1" t="s">
        <v>8</v>
      </c>
      <c r="J12744" s="1" t="str">
        <f>"49/49"</f>
        <v>49/49</v>
      </c>
      <c r="K12744" s="1" t="str">
        <f t="shared" si="649"/>
        <v>2026-07-29 13:18:11</v>
      </c>
      <c r="L12744" s="1" t="str">
        <f>"2018-03-28 13:12:27"</f>
        <v>2018-03-28 13:12:27</v>
      </c>
      <c r="M12744" s="1" t="s">
        <v>1</v>
      </c>
      <c r="N12744" s="1" t="s">
        <v>38</v>
      </c>
      <c r="O12744" s="1" t="s">
        <v>46</v>
      </c>
    </row>
    <row r="12745" spans="2:15" x14ac:dyDescent="0.3">
      <c r="B12745" s="1" t="s">
        <v>20</v>
      </c>
      <c r="C12745" s="1" t="str">
        <f t="shared" ref="C12745:C12750" si="650">"3차"</f>
        <v>3차</v>
      </c>
      <c r="D12745" s="1" t="str">
        <f>"9725S93139"</f>
        <v>9725S93139</v>
      </c>
      <c r="E12745" s="1" t="s">
        <v>10</v>
      </c>
      <c r="F12745" s="1" t="str">
        <f>"10.10.29.146"</f>
        <v>10.10.29.146</v>
      </c>
      <c r="G12745" s="1" t="str">
        <f>"9725S931"</f>
        <v>9725S931</v>
      </c>
      <c r="H12745" s="1" t="str">
        <f>"도화간 37L1"</f>
        <v>도화간 37L1</v>
      </c>
      <c r="I12745" s="1" t="s">
        <v>8</v>
      </c>
      <c r="J12745" s="1" t="str">
        <f>"15/15"</f>
        <v>15/15</v>
      </c>
      <c r="K12745" s="1" t="str">
        <f t="shared" si="649"/>
        <v>2026-07-29 13:18:11</v>
      </c>
      <c r="L12745" s="1" t="str">
        <f>"2018-02-08 14:13:40"</f>
        <v>2018-02-08 14:13:40</v>
      </c>
      <c r="M12745" s="1" t="s">
        <v>1</v>
      </c>
      <c r="N12745" s="1" t="s">
        <v>38</v>
      </c>
      <c r="O12745" s="1" t="s">
        <v>46</v>
      </c>
    </row>
    <row r="12746" spans="2:15" x14ac:dyDescent="0.3">
      <c r="B12746" s="1" t="s">
        <v>20</v>
      </c>
      <c r="C12746" s="1" t="str">
        <f t="shared" si="650"/>
        <v>3차</v>
      </c>
      <c r="D12746" s="1" t="str">
        <f>"9725S95239"</f>
        <v>9725S95239</v>
      </c>
      <c r="E12746" s="1" t="s">
        <v>10</v>
      </c>
      <c r="F12746" s="1" t="str">
        <f>"10.10.29.162"</f>
        <v>10.10.29.162</v>
      </c>
      <c r="G12746" s="1" t="str">
        <f>"9725S952"</f>
        <v>9725S952</v>
      </c>
      <c r="H12746" s="1" t="str">
        <f>"도화간 37R2"</f>
        <v>도화간 37R2</v>
      </c>
      <c r="I12746" s="1" t="s">
        <v>8</v>
      </c>
      <c r="J12746" s="1" t="str">
        <f>"13/14"</f>
        <v>13/14</v>
      </c>
      <c r="K12746" s="1" t="str">
        <f t="shared" si="649"/>
        <v>2026-07-29 13:18:11</v>
      </c>
      <c r="L12746" s="1" t="str">
        <f>"2018-02-08 14:16:26"</f>
        <v>2018-02-08 14:16:26</v>
      </c>
      <c r="M12746" s="1" t="s">
        <v>1</v>
      </c>
      <c r="N12746" s="1" t="s">
        <v>38</v>
      </c>
      <c r="O12746" s="1" t="s">
        <v>46</v>
      </c>
    </row>
    <row r="12747" spans="2:15" x14ac:dyDescent="0.3">
      <c r="B12747" s="1" t="s">
        <v>20</v>
      </c>
      <c r="C12747" s="1" t="str">
        <f t="shared" si="650"/>
        <v>3차</v>
      </c>
      <c r="D12747" s="1" t="str">
        <f>"9725S97231"</f>
        <v>9725S97231</v>
      </c>
      <c r="E12747" s="1" t="s">
        <v>10</v>
      </c>
      <c r="F12747" s="1" t="str">
        <f>"10.10.29.171"</f>
        <v>10.10.29.171</v>
      </c>
      <c r="G12747" s="1" t="str">
        <f>"9725S972"</f>
        <v>9725S972</v>
      </c>
      <c r="H12747" s="1" t="str">
        <f>"도화간 37R9"</f>
        <v>도화간 37R9</v>
      </c>
      <c r="I12747" s="1" t="s">
        <v>8</v>
      </c>
      <c r="J12747" s="1" t="str">
        <f>"42/42"</f>
        <v>42/42</v>
      </c>
      <c r="K12747" s="1" t="str">
        <f t="shared" si="649"/>
        <v>2026-07-29 13:18:11</v>
      </c>
      <c r="L12747" s="1" t="str">
        <f>"2018-03-16 15:31:12"</f>
        <v>2018-03-16 15:31:12</v>
      </c>
      <c r="M12747" s="1" t="s">
        <v>1</v>
      </c>
      <c r="N12747" s="1" t="s">
        <v>38</v>
      </c>
      <c r="O12747" s="1" t="s">
        <v>46</v>
      </c>
    </row>
    <row r="12748" spans="2:15" x14ac:dyDescent="0.3">
      <c r="B12748" s="1" t="s">
        <v>20</v>
      </c>
      <c r="C12748" s="1" t="str">
        <f t="shared" si="650"/>
        <v>3차</v>
      </c>
      <c r="D12748" s="1" t="str">
        <f>"9725S97330"</f>
        <v>9725S97330</v>
      </c>
      <c r="E12748" s="1" t="s">
        <v>10</v>
      </c>
      <c r="F12748" s="1" t="str">
        <f>"10.10.29.170"</f>
        <v>10.10.29.170</v>
      </c>
      <c r="G12748" s="1" t="str">
        <f>"9725S973"</f>
        <v>9725S973</v>
      </c>
      <c r="H12748" s="1" t="str">
        <f>"도화간 37R7"</f>
        <v>도화간 37R7</v>
      </c>
      <c r="I12748" s="1" t="s">
        <v>8</v>
      </c>
      <c r="J12748" s="1" t="str">
        <f>"73/73"</f>
        <v>73/73</v>
      </c>
      <c r="K12748" s="1" t="str">
        <f t="shared" si="649"/>
        <v>2026-07-29 13:18:11</v>
      </c>
      <c r="L12748" s="1" t="str">
        <f>"2018-02-08 18:01:09"</f>
        <v>2018-02-08 18:01:09</v>
      </c>
      <c r="M12748" s="1" t="s">
        <v>1</v>
      </c>
      <c r="N12748" s="1" t="s">
        <v>38</v>
      </c>
      <c r="O12748" s="1" t="s">
        <v>46</v>
      </c>
    </row>
    <row r="12749" spans="2:15" x14ac:dyDescent="0.3">
      <c r="B12749" s="1" t="s">
        <v>20</v>
      </c>
      <c r="C12749" s="1" t="str">
        <f t="shared" si="650"/>
        <v>3차</v>
      </c>
      <c r="D12749" s="1" t="str">
        <f>"9725S98131"</f>
        <v>9725S98131</v>
      </c>
      <c r="E12749" s="1" t="s">
        <v>10</v>
      </c>
      <c r="F12749" s="1" t="str">
        <f>"10.10.41.51"</f>
        <v>10.10.41.51</v>
      </c>
      <c r="G12749" s="1" t="str">
        <f>"9725S981"</f>
        <v>9725S981</v>
      </c>
      <c r="H12749" s="1" t="str">
        <f>"토정간 50L1"</f>
        <v>토정간 50L1</v>
      </c>
      <c r="I12749" s="1" t="s">
        <v>8</v>
      </c>
      <c r="J12749" s="1" t="str">
        <f>"39/39"</f>
        <v>39/39</v>
      </c>
      <c r="K12749" s="1" t="str">
        <f t="shared" si="649"/>
        <v>2026-07-29 13:18:11</v>
      </c>
      <c r="L12749" s="1" t="str">
        <f>"2018-02-24 09:10:08"</f>
        <v>2018-02-24 09:10:08</v>
      </c>
      <c r="M12749" s="1" t="s">
        <v>1</v>
      </c>
      <c r="N12749" s="1" t="s">
        <v>38</v>
      </c>
      <c r="O12749" s="1" t="s">
        <v>46</v>
      </c>
    </row>
    <row r="12750" spans="2:15" x14ac:dyDescent="0.3">
      <c r="B12750" s="1" t="s">
        <v>20</v>
      </c>
      <c r="C12750" s="1" t="str">
        <f t="shared" si="650"/>
        <v>3차</v>
      </c>
      <c r="D12750" s="1" t="str">
        <f>"9725S99630"</f>
        <v>9725S99630</v>
      </c>
      <c r="E12750" s="1" t="str">
        <f>"검침실패(3시간 이상)"</f>
        <v>검침실패(3시간 이상)</v>
      </c>
      <c r="F12750" s="1" t="str">
        <f>"10.10.41.50"</f>
        <v>10.10.41.50</v>
      </c>
      <c r="G12750" s="1" t="str">
        <f>"9725S996"</f>
        <v>9725S996</v>
      </c>
      <c r="H12750" s="1" t="str">
        <f>"토정간 50"</f>
        <v>토정간 50</v>
      </c>
      <c r="I12750" s="1" t="s">
        <v>8</v>
      </c>
      <c r="J12750" s="1" t="str">
        <f>"0/1"</f>
        <v>0/1</v>
      </c>
      <c r="K12750" s="1" t="str">
        <f t="shared" si="649"/>
        <v>2026-07-29 13:18:11</v>
      </c>
      <c r="L12750" s="1" t="str">
        <f>"2018-02-19 13:42:10"</f>
        <v>2018-02-19 13:42:10</v>
      </c>
      <c r="M12750" s="1" t="s">
        <v>1</v>
      </c>
      <c r="N12750" s="1" t="s">
        <v>38</v>
      </c>
      <c r="O12750" s="1" t="s">
        <v>46</v>
      </c>
    </row>
    <row r="12751" spans="2:15" x14ac:dyDescent="0.3">
      <c r="B12751" s="1" t="s">
        <v>20</v>
      </c>
      <c r="C12751" s="1" t="str">
        <f>"1차"</f>
        <v>1차</v>
      </c>
      <c r="D12751" s="1" t="str">
        <f>"9725W01101"</f>
        <v>9725W01101</v>
      </c>
      <c r="E12751" s="1" t="s">
        <v>10</v>
      </c>
      <c r="F12751" s="1" t="str">
        <f>"10.125.128.66"</f>
        <v>10.125.128.66</v>
      </c>
      <c r="G12751" s="1" t="str">
        <f>"9725W011"</f>
        <v>9725W011</v>
      </c>
      <c r="H12751" s="1" t="str">
        <f>"신상간 20R4R1"</f>
        <v>신상간 20R4R1</v>
      </c>
      <c r="I12751" s="1" t="s">
        <v>8</v>
      </c>
      <c r="J12751" s="1" t="str">
        <f>"6/14"</f>
        <v>6/14</v>
      </c>
      <c r="K12751" s="1" t="str">
        <f>"2026-07-29 13:18:12"</f>
        <v>2026-07-29 13:18:12</v>
      </c>
      <c r="L12751" s="1" t="str">
        <f>"2014-11-04 00:11:58"</f>
        <v>2014-11-04 00:11:58</v>
      </c>
      <c r="M12751" s="1" t="s">
        <v>45</v>
      </c>
      <c r="N12751" s="1" t="s">
        <v>38</v>
      </c>
      <c r="O12751" s="1" t="s">
        <v>46</v>
      </c>
    </row>
    <row r="12752" spans="2:15" x14ac:dyDescent="0.3">
      <c r="B12752" s="1" t="s">
        <v>20</v>
      </c>
      <c r="C12752" s="1" t="str">
        <f>"1차"</f>
        <v>1차</v>
      </c>
      <c r="D12752" s="1" t="str">
        <f>"9725W02200"</f>
        <v>9725W02200</v>
      </c>
      <c r="E12752" s="1" t="s">
        <v>10</v>
      </c>
      <c r="F12752" s="1" t="str">
        <f>"10.125.128.146"</f>
        <v>10.125.128.146</v>
      </c>
      <c r="G12752" s="1" t="str">
        <f>"9725W022"</f>
        <v>9725W022</v>
      </c>
      <c r="H12752" s="1" t="str">
        <f>"신상간 20R5"</f>
        <v>신상간 20R5</v>
      </c>
      <c r="I12752" s="1" t="s">
        <v>8</v>
      </c>
      <c r="J12752" s="1" t="str">
        <f>"28/29"</f>
        <v>28/29</v>
      </c>
      <c r="K12752" s="1" t="str">
        <f>"2026-07-29 13:18:11"</f>
        <v>2026-07-29 13:18:11</v>
      </c>
      <c r="L12752" s="1" t="str">
        <f>"2014-11-03 10:49:04"</f>
        <v>2014-11-03 10:49:04</v>
      </c>
      <c r="M12752" s="1" t="s">
        <v>45</v>
      </c>
      <c r="N12752" s="1" t="s">
        <v>38</v>
      </c>
      <c r="O12752" s="1" t="s">
        <v>46</v>
      </c>
    </row>
    <row r="12753" spans="2:15" x14ac:dyDescent="0.3">
      <c r="B12753" s="1" t="s">
        <v>20</v>
      </c>
      <c r="C12753" s="1" t="str">
        <f>"1차"</f>
        <v>1차</v>
      </c>
      <c r="D12753" s="1" t="str">
        <f>"9725W12101"</f>
        <v>9725W12101</v>
      </c>
      <c r="E12753" s="1" t="s">
        <v>10</v>
      </c>
      <c r="F12753" s="1" t="str">
        <f>"10.125.128.147"</f>
        <v>10.125.128.147</v>
      </c>
      <c r="G12753" s="1" t="str">
        <f>"9725W121"</f>
        <v>9725W121</v>
      </c>
      <c r="H12753" s="1" t="str">
        <f>"신상간 20R5R1"</f>
        <v>신상간 20R5R1</v>
      </c>
      <c r="I12753" s="1" t="s">
        <v>8</v>
      </c>
      <c r="J12753" s="1" t="str">
        <f>"30/30"</f>
        <v>30/30</v>
      </c>
      <c r="K12753" s="1" t="str">
        <f>"2026-07-29 13:18:11"</f>
        <v>2026-07-29 13:18:11</v>
      </c>
      <c r="L12753" s="1" t="str">
        <f>"2014-11-03 10:51:27"</f>
        <v>2014-11-03 10:51:27</v>
      </c>
      <c r="M12753" s="1" t="s">
        <v>45</v>
      </c>
      <c r="N12753" s="1" t="s">
        <v>38</v>
      </c>
      <c r="O12753" s="1" t="s">
        <v>46</v>
      </c>
    </row>
    <row r="12754" spans="2:15" x14ac:dyDescent="0.3">
      <c r="B12754" s="1" t="s">
        <v>20</v>
      </c>
      <c r="C12754" s="1" t="str">
        <f>"5-2차"</f>
        <v>5-2차</v>
      </c>
      <c r="D12754" s="1" t="str">
        <f>"9725W2225S"</f>
        <v>9725W2225S</v>
      </c>
      <c r="E12754" s="1" t="s">
        <v>10</v>
      </c>
      <c r="F12754" s="1" t="str">
        <f>"fde1:103:4:58c9:0:0:0:2"</f>
        <v>fde1:103:4:58c9:0:0:0:2</v>
      </c>
      <c r="G12754" s="1" t="str">
        <f>"9725W222"</f>
        <v>9725W222</v>
      </c>
      <c r="H12754" s="1" t="str">
        <f>"신상간 17R6"</f>
        <v>신상간 17R6</v>
      </c>
      <c r="I12754" s="1" t="s">
        <v>15</v>
      </c>
      <c r="J12754" s="1" t="str">
        <f>"27/27"</f>
        <v>27/27</v>
      </c>
      <c r="K12754" s="1" t="str">
        <f>"2026-07-29 14:21:22"</f>
        <v>2026-07-29 14:21:22</v>
      </c>
      <c r="L12754" s="1" t="str">
        <f>"2023-09-12 10:55:53"</f>
        <v>2023-09-12 10:55:53</v>
      </c>
      <c r="M12754" s="1" t="s">
        <v>4</v>
      </c>
      <c r="N12754" s="1" t="s">
        <v>38</v>
      </c>
      <c r="O12754" s="1" t="s">
        <v>46</v>
      </c>
    </row>
    <row r="12755" spans="2:15" x14ac:dyDescent="0.3">
      <c r="B12755" s="1" t="s">
        <v>20</v>
      </c>
      <c r="C12755" s="1" t="str">
        <f>"5-2차"</f>
        <v>5-2차</v>
      </c>
      <c r="D12755" s="1" t="str">
        <f>"9725W4235S"</f>
        <v>9725W4235S</v>
      </c>
      <c r="E12755" s="1" t="s">
        <v>10</v>
      </c>
      <c r="F12755" s="1" t="str">
        <f>"fde1:103:4:596a:0:0:0:2"</f>
        <v>fde1:103:4:596a:0:0:0:2</v>
      </c>
      <c r="G12755" s="1" t="str">
        <f>"9725W423"</f>
        <v>9725W423</v>
      </c>
      <c r="H12755" s="1" t="str">
        <f>"신상간 17R8R2"</f>
        <v>신상간 17R8R2</v>
      </c>
      <c r="I12755" s="1" t="s">
        <v>15</v>
      </c>
      <c r="J12755" s="1" t="str">
        <f>"76/81"</f>
        <v>76/81</v>
      </c>
      <c r="K12755" s="1" t="str">
        <f>"2026-07-29 14:21:01"</f>
        <v>2026-07-29 14:21:01</v>
      </c>
      <c r="L12755" s="1" t="str">
        <f>"2023-09-12 11:14:06"</f>
        <v>2023-09-12 11:14:06</v>
      </c>
      <c r="M12755" s="1" t="s">
        <v>4</v>
      </c>
      <c r="N12755" s="1" t="s">
        <v>38</v>
      </c>
      <c r="O12755" s="1" t="s">
        <v>46</v>
      </c>
    </row>
    <row r="12756" spans="2:15" x14ac:dyDescent="0.3">
      <c r="B12756" s="1" t="s">
        <v>20</v>
      </c>
      <c r="C12756" s="1" t="str">
        <f>"5-2차"</f>
        <v>5-2차</v>
      </c>
      <c r="D12756" s="1" t="str">
        <f>"9725W5535M"</f>
        <v>9725W5535M</v>
      </c>
      <c r="E12756" s="1" t="s">
        <v>10</v>
      </c>
      <c r="F12756" s="1" t="str">
        <f>"fde1:103:4:55f1:0:0:0:2"</f>
        <v>fde1:103:4:55f1:0:0:0:2</v>
      </c>
      <c r="G12756" s="1" t="str">
        <f>"9725W553"</f>
        <v>9725W553</v>
      </c>
      <c r="H12756" s="1" t="str">
        <f>"신상간 9R14R2"</f>
        <v>신상간 9R14R2</v>
      </c>
      <c r="I12756" s="1" t="s">
        <v>15</v>
      </c>
      <c r="J12756" s="1" t="str">
        <f>"38/38"</f>
        <v>38/38</v>
      </c>
      <c r="K12756" s="1" t="str">
        <f>"2026-07-29 14:21:02"</f>
        <v>2026-07-29 14:21:02</v>
      </c>
      <c r="L12756" s="1" t="str">
        <f>"2023-08-31 11:13:55"</f>
        <v>2023-08-31 11:13:55</v>
      </c>
      <c r="M12756" s="1" t="s">
        <v>4</v>
      </c>
      <c r="N12756" s="1" t="s">
        <v>38</v>
      </c>
      <c r="O12756" s="1" t="s">
        <v>46</v>
      </c>
    </row>
    <row r="12757" spans="2:15" x14ac:dyDescent="0.3">
      <c r="B12757" s="1" t="s">
        <v>20</v>
      </c>
      <c r="C12757" s="1" t="str">
        <f>"4차"</f>
        <v>4차</v>
      </c>
      <c r="D12757" s="1" t="str">
        <f>"9725W59144"</f>
        <v>9725W59144</v>
      </c>
      <c r="E12757" s="1" t="s">
        <v>10</v>
      </c>
      <c r="F12757" s="1" t="str">
        <f>"10.10.75.122"</f>
        <v>10.10.75.122</v>
      </c>
      <c r="G12757" s="1" t="str">
        <f>"9725W591"</f>
        <v>9725W591</v>
      </c>
      <c r="H12757" s="1" t="str">
        <f>"서강간 25L5L4R2"</f>
        <v>서강간 25L5L4R2</v>
      </c>
      <c r="I12757" s="1" t="s">
        <v>8</v>
      </c>
      <c r="J12757" s="1" t="str">
        <f>"7/7"</f>
        <v>7/7</v>
      </c>
      <c r="K12757" s="1" t="str">
        <f>"2026-07-29 13:18:11"</f>
        <v>2026-07-29 13:18:11</v>
      </c>
      <c r="L12757" s="1" t="str">
        <f>"2019-12-11 18:06:49"</f>
        <v>2019-12-11 18:06:49</v>
      </c>
      <c r="M12757" s="1" t="s">
        <v>1</v>
      </c>
      <c r="N12757" s="1" t="s">
        <v>38</v>
      </c>
      <c r="O12757" s="1" t="s">
        <v>46</v>
      </c>
    </row>
    <row r="12758" spans="2:15" x14ac:dyDescent="0.3">
      <c r="B12758" s="1" t="s">
        <v>20</v>
      </c>
      <c r="C12758" s="1" t="str">
        <f>"1차"</f>
        <v>1차</v>
      </c>
      <c r="D12758" s="1" t="str">
        <f>"9725W64400"</f>
        <v>9725W64400</v>
      </c>
      <c r="E12758" s="1" t="s">
        <v>10</v>
      </c>
      <c r="F12758" s="1" t="str">
        <f>"10.125.128.152"</f>
        <v>10.125.128.152</v>
      </c>
      <c r="G12758" s="1" t="str">
        <f>"9725W644"</f>
        <v>9725W644</v>
      </c>
      <c r="H12758" s="1" t="str">
        <f>"신상간 9R12"</f>
        <v>신상간 9R12</v>
      </c>
      <c r="I12758" s="1" t="s">
        <v>8</v>
      </c>
      <c r="J12758" s="1" t="str">
        <f>"2/2"</f>
        <v>2/2</v>
      </c>
      <c r="K12758" s="1" t="str">
        <f>"2026-07-29 13:18:11"</f>
        <v>2026-07-29 13:18:11</v>
      </c>
      <c r="L12758" s="1" t="str">
        <f>"2014-09-25 04:54:25"</f>
        <v>2014-09-25 04:54:25</v>
      </c>
      <c r="M12758" s="1" t="s">
        <v>45</v>
      </c>
      <c r="N12758" s="1" t="s">
        <v>38</v>
      </c>
      <c r="O12758" s="1" t="s">
        <v>46</v>
      </c>
    </row>
    <row r="12759" spans="2:15" x14ac:dyDescent="0.3">
      <c r="B12759" s="1" t="s">
        <v>20</v>
      </c>
      <c r="C12759" s="1" t="str">
        <f>"4차"</f>
        <v>4차</v>
      </c>
      <c r="D12759" s="1" t="str">
        <f>"9725W69344"</f>
        <v>9725W69344</v>
      </c>
      <c r="E12759" s="1" t="s">
        <v>10</v>
      </c>
      <c r="F12759" s="1" t="str">
        <f>"10.125.195.66"</f>
        <v>10.125.195.66</v>
      </c>
      <c r="G12759" s="1" t="str">
        <f>"9725W693"</f>
        <v>9725W693</v>
      </c>
      <c r="H12759" s="1" t="str">
        <f>"서강간 25L14"</f>
        <v>서강간 25L14</v>
      </c>
      <c r="I12759" s="1" t="s">
        <v>8</v>
      </c>
      <c r="J12759" s="1" t="str">
        <f>"84/84"</f>
        <v>84/84</v>
      </c>
      <c r="K12759" s="1" t="str">
        <f>"2026-07-29 13:18:11"</f>
        <v>2026-07-29 13:18:11</v>
      </c>
      <c r="L12759" s="1" t="str">
        <f>"2019-11-13 11:31:54"</f>
        <v>2019-11-13 11:31:54</v>
      </c>
      <c r="M12759" s="1" t="s">
        <v>45</v>
      </c>
      <c r="N12759" s="1" t="s">
        <v>38</v>
      </c>
      <c r="O12759" s="1" t="s">
        <v>46</v>
      </c>
    </row>
    <row r="12760" spans="2:15" x14ac:dyDescent="0.3">
      <c r="B12760" s="1" t="s">
        <v>20</v>
      </c>
      <c r="C12760" s="1" t="str">
        <f>"1차"</f>
        <v>1차</v>
      </c>
      <c r="D12760" s="1" t="str">
        <f>"9725W73200"</f>
        <v>9725W73200</v>
      </c>
      <c r="E12760" s="1" t="s">
        <v>10</v>
      </c>
      <c r="F12760" s="1" t="str">
        <f>"10.125.128.156"</f>
        <v>10.125.128.156</v>
      </c>
      <c r="G12760" s="1" t="str">
        <f>"9725W732"</f>
        <v>9725W732</v>
      </c>
      <c r="H12760" s="1" t="str">
        <f>"신상간 9R9L1"</f>
        <v>신상간 9R9L1</v>
      </c>
      <c r="I12760" s="1" t="s">
        <v>8</v>
      </c>
      <c r="J12760" s="1" t="str">
        <f>"4/4"</f>
        <v>4/4</v>
      </c>
      <c r="K12760" s="1" t="str">
        <f>"2026-07-29 13:18:11"</f>
        <v>2026-07-29 13:18:11</v>
      </c>
      <c r="L12760" s="1" t="str">
        <f>"2014-09-29 11:16:44"</f>
        <v>2014-09-29 11:16:44</v>
      </c>
      <c r="M12760" s="1" t="s">
        <v>45</v>
      </c>
      <c r="N12760" s="1" t="s">
        <v>38</v>
      </c>
      <c r="O12760" s="1" t="s">
        <v>46</v>
      </c>
    </row>
    <row r="12761" spans="2:15" x14ac:dyDescent="0.3">
      <c r="B12761" s="1" t="s">
        <v>20</v>
      </c>
      <c r="C12761" s="1" t="str">
        <f>"6차"</f>
        <v>6차</v>
      </c>
      <c r="D12761" s="1" t="str">
        <f>"9725W7336M"</f>
        <v>9725W7336M</v>
      </c>
      <c r="E12761" s="1" t="s">
        <v>10</v>
      </c>
      <c r="F12761" s="1" t="str">
        <f>"fde1:103:4:c763:0:0:0:2"</f>
        <v>fde1:103:4:c763:0:0:0:2</v>
      </c>
      <c r="G12761" s="1" t="str">
        <f>"9725W733"</f>
        <v>9725W733</v>
      </c>
      <c r="H12761" s="1" t="str">
        <f>"신상간 9R9L2"</f>
        <v>신상간 9R9L2</v>
      </c>
      <c r="I12761" s="1" t="s">
        <v>15</v>
      </c>
      <c r="J12761" s="1" t="str">
        <f>"59/59"</f>
        <v>59/59</v>
      </c>
      <c r="K12761" s="1" t="str">
        <f>"2026-07-29 14:21:02"</f>
        <v>2026-07-29 14:21:02</v>
      </c>
      <c r="L12761" s="1" t="str">
        <f>"2024-11-25 10:45:29"</f>
        <v>2024-11-25 10:45:29</v>
      </c>
      <c r="M12761" s="1" t="s">
        <v>4</v>
      </c>
      <c r="N12761" s="1" t="s">
        <v>38</v>
      </c>
      <c r="O12761" s="1" t="s">
        <v>46</v>
      </c>
    </row>
    <row r="12762" spans="2:15" x14ac:dyDescent="0.3">
      <c r="B12762" s="1" t="s">
        <v>20</v>
      </c>
      <c r="C12762" s="1" t="str">
        <f>"5-2차"</f>
        <v>5-2차</v>
      </c>
      <c r="D12762" s="1" t="str">
        <f>"9725W7425S"</f>
        <v>9725W7425S</v>
      </c>
      <c r="E12762" s="1" t="s">
        <v>10</v>
      </c>
      <c r="F12762" s="1" t="str">
        <f>"fde1:103:4:5962:0:0:0:2"</f>
        <v>fde1:103:4:5962:0:0:0:2</v>
      </c>
      <c r="G12762" s="1" t="str">
        <f>"9725W742"</f>
        <v>9725W742</v>
      </c>
      <c r="H12762" s="1" t="str">
        <f>"신상간 9R11R1"</f>
        <v>신상간 9R11R1</v>
      </c>
      <c r="I12762" s="1" t="s">
        <v>15</v>
      </c>
      <c r="J12762" s="1" t="str">
        <f>"57/57"</f>
        <v>57/57</v>
      </c>
      <c r="K12762" s="1" t="str">
        <f>"2026-07-29 14:21:03"</f>
        <v>2026-07-29 14:21:03</v>
      </c>
      <c r="L12762" s="1" t="str">
        <f>"2023-09-12 11:15:02"</f>
        <v>2023-09-12 11:15:02</v>
      </c>
      <c r="M12762" s="1" t="s">
        <v>4</v>
      </c>
      <c r="N12762" s="1" t="s">
        <v>38</v>
      </c>
      <c r="O12762" s="1" t="s">
        <v>46</v>
      </c>
    </row>
    <row r="12763" spans="2:15" x14ac:dyDescent="0.3">
      <c r="B12763" s="1" t="s">
        <v>20</v>
      </c>
      <c r="C12763" s="1" t="str">
        <f>"1차"</f>
        <v>1차</v>
      </c>
      <c r="D12763" s="1" t="str">
        <f>"9725W81301"</f>
        <v>9725W81301</v>
      </c>
      <c r="E12763" s="1" t="s">
        <v>14</v>
      </c>
      <c r="F12763" s="1" t="str">
        <f>"10.125.128.226"</f>
        <v>10.125.128.226</v>
      </c>
      <c r="G12763" s="1" t="str">
        <f>"9725W813"</f>
        <v>9725W813</v>
      </c>
      <c r="H12763" s="1" t="str">
        <f>"신상간 9R7L1"</f>
        <v>신상간 9R7L1</v>
      </c>
      <c r="I12763" s="1" t="s">
        <v>8</v>
      </c>
      <c r="J12763" s="1" t="str">
        <f>"0/0"</f>
        <v>0/0</v>
      </c>
      <c r="K12763" s="1" t="str">
        <f>"2026-07-13 20:03:48"</f>
        <v>2026-07-13 20:03:48</v>
      </c>
      <c r="L12763" s="1" t="str">
        <f>"2014-10-27 10:18:06"</f>
        <v>2014-10-27 10:18:06</v>
      </c>
      <c r="M12763" s="1" t="s">
        <v>45</v>
      </c>
      <c r="N12763" s="1" t="s">
        <v>44</v>
      </c>
      <c r="O12763" s="1" t="s">
        <v>44</v>
      </c>
    </row>
    <row r="12764" spans="2:15" x14ac:dyDescent="0.3">
      <c r="B12764" s="1" t="s">
        <v>20</v>
      </c>
      <c r="C12764" s="1" t="str">
        <f>"1차"</f>
        <v>1차</v>
      </c>
      <c r="D12764" s="1" t="str">
        <f>"9725W82200"</f>
        <v>9725W82200</v>
      </c>
      <c r="E12764" s="1" t="s">
        <v>10</v>
      </c>
      <c r="F12764" s="1" t="str">
        <f>"10.125.128.157"</f>
        <v>10.125.128.157</v>
      </c>
      <c r="G12764" s="1" t="str">
        <f>"9725W822"</f>
        <v>9725W822</v>
      </c>
      <c r="H12764" s="1" t="str">
        <f>"신상간 9R7"</f>
        <v>신상간 9R7</v>
      </c>
      <c r="I12764" s="1" t="s">
        <v>8</v>
      </c>
      <c r="J12764" s="1" t="str">
        <f>"21/21"</f>
        <v>21/21</v>
      </c>
      <c r="K12764" s="1" t="str">
        <f>"2026-07-29 13:18:11"</f>
        <v>2026-07-29 13:18:11</v>
      </c>
      <c r="L12764" s="1" t="str">
        <f>"2014-10-20 18:39:21"</f>
        <v>2014-10-20 18:39:21</v>
      </c>
      <c r="M12764" s="1" t="s">
        <v>45</v>
      </c>
      <c r="N12764" s="1" t="s">
        <v>38</v>
      </c>
      <c r="O12764" s="1" t="s">
        <v>46</v>
      </c>
    </row>
    <row r="12765" spans="2:15" x14ac:dyDescent="0.3">
      <c r="B12765" s="1" t="s">
        <v>20</v>
      </c>
      <c r="C12765" s="1" t="str">
        <f>"3차"</f>
        <v>3차</v>
      </c>
      <c r="D12765" s="1" t="str">
        <f>"9725W83139"</f>
        <v>9725W83139</v>
      </c>
      <c r="E12765" s="1" t="s">
        <v>10</v>
      </c>
      <c r="F12765" s="1" t="str">
        <f>"10.12.133.107"</f>
        <v>10.12.133.107</v>
      </c>
      <c r="G12765" s="1" t="str">
        <f>"9725W831"</f>
        <v>9725W831</v>
      </c>
      <c r="H12765" s="1" t="str">
        <f>"신상간 9R8"</f>
        <v>신상간 9R8</v>
      </c>
      <c r="I12765" s="1" t="s">
        <v>17</v>
      </c>
      <c r="J12765" s="1" t="str">
        <f>"136/136"</f>
        <v>136/136</v>
      </c>
      <c r="K12765" s="1" t="str">
        <f>"2026-07-29 13:18:12"</f>
        <v>2026-07-29 13:18:12</v>
      </c>
      <c r="L12765" s="1" t="str">
        <f>"2018-09-20 12:46:27"</f>
        <v>2018-09-20 12:46:27</v>
      </c>
      <c r="M12765" s="1" t="s">
        <v>0</v>
      </c>
      <c r="N12765" s="1" t="s">
        <v>38</v>
      </c>
      <c r="O12765" s="1" t="s">
        <v>46</v>
      </c>
    </row>
    <row r="12766" spans="2:15" x14ac:dyDescent="0.3">
      <c r="B12766" s="1" t="s">
        <v>20</v>
      </c>
      <c r="C12766" s="1" t="str">
        <f>"1차"</f>
        <v>1차</v>
      </c>
      <c r="D12766" s="1" t="str">
        <f>"9725W83200"</f>
        <v>9725W83200</v>
      </c>
      <c r="E12766" s="1" t="s">
        <v>10</v>
      </c>
      <c r="F12766" s="1" t="str">
        <f>"10.125.128.158"</f>
        <v>10.125.128.158</v>
      </c>
      <c r="G12766" s="1" t="str">
        <f>"9725W832"</f>
        <v>9725W832</v>
      </c>
      <c r="H12766" s="1" t="str">
        <f>"신상간 9R8R1"</f>
        <v>신상간 9R8R1</v>
      </c>
      <c r="I12766" s="1" t="s">
        <v>8</v>
      </c>
      <c r="J12766" s="1" t="str">
        <f>"8/8"</f>
        <v>8/8</v>
      </c>
      <c r="K12766" s="1" t="str">
        <f>"2026-07-29 13:18:11"</f>
        <v>2026-07-29 13:18:11</v>
      </c>
      <c r="L12766" s="1" t="str">
        <f>"2014-11-17 17:31:04"</f>
        <v>2014-11-17 17:31:04</v>
      </c>
      <c r="M12766" s="1" t="s">
        <v>45</v>
      </c>
      <c r="N12766" s="1" t="s">
        <v>38</v>
      </c>
      <c r="O12766" s="1" t="s">
        <v>46</v>
      </c>
    </row>
    <row r="12767" spans="2:15" x14ac:dyDescent="0.3">
      <c r="B12767" s="1" t="s">
        <v>20</v>
      </c>
      <c r="C12767" s="1" t="str">
        <f>"6차"</f>
        <v>6차</v>
      </c>
      <c r="D12767" s="1" t="str">
        <f>"9725W8436S"</f>
        <v>9725W8436S</v>
      </c>
      <c r="E12767" s="1" t="s">
        <v>10</v>
      </c>
      <c r="F12767" s="1" t="str">
        <f>"fde1:103:4:c5ec:0:0:0:2"</f>
        <v>fde1:103:4:c5ec:0:0:0:2</v>
      </c>
      <c r="G12767" s="1" t="str">
        <f>"9725W843"</f>
        <v>9725W843</v>
      </c>
      <c r="H12767" s="1" t="str">
        <f>"신상간 9R11R1R1"</f>
        <v>신상간 9R11R1R1</v>
      </c>
      <c r="I12767" s="1" t="s">
        <v>15</v>
      </c>
      <c r="J12767" s="1" t="str">
        <f>"39/39"</f>
        <v>39/39</v>
      </c>
      <c r="K12767" s="1" t="str">
        <f>"2026-07-29 14:21:03"</f>
        <v>2026-07-29 14:21:03</v>
      </c>
      <c r="L12767" s="1" t="str">
        <f>"2024-11-13 15:17:32"</f>
        <v>2024-11-13 15:17:32</v>
      </c>
      <c r="M12767" s="1" t="s">
        <v>4</v>
      </c>
      <c r="N12767" s="1" t="s">
        <v>38</v>
      </c>
      <c r="O12767" s="1" t="s">
        <v>46</v>
      </c>
    </row>
    <row r="12768" spans="2:15" x14ac:dyDescent="0.3">
      <c r="B12768" s="1" t="s">
        <v>20</v>
      </c>
      <c r="C12768" s="1" t="str">
        <f t="shared" ref="C12768:C12775" si="651">"4차"</f>
        <v>4차</v>
      </c>
      <c r="D12768" s="1" t="str">
        <f>"9725W90141"</f>
        <v>9725W90141</v>
      </c>
      <c r="E12768" s="1" t="s">
        <v>10</v>
      </c>
      <c r="F12768" s="1" t="str">
        <f>"10.14.10.181"</f>
        <v>10.14.10.181</v>
      </c>
      <c r="G12768" s="1" t="str">
        <f>"9725W901"</f>
        <v>9725W901</v>
      </c>
      <c r="H12768" s="1" t="str">
        <f>"신상간 9R5"</f>
        <v>신상간 9R5</v>
      </c>
      <c r="I12768" s="1" t="s">
        <v>17</v>
      </c>
      <c r="J12768" s="1" t="str">
        <f>"2/2"</f>
        <v>2/2</v>
      </c>
      <c r="K12768" s="1" t="str">
        <f>"2026-07-29 13:18:12"</f>
        <v>2026-07-29 13:18:12</v>
      </c>
      <c r="L12768" s="1" t="str">
        <f>"2021-08-12 10:28:09"</f>
        <v>2021-08-12 10:28:09</v>
      </c>
      <c r="M12768" s="1" t="s">
        <v>3</v>
      </c>
      <c r="N12768" s="1" t="s">
        <v>38</v>
      </c>
      <c r="O12768" s="1" t="s">
        <v>46</v>
      </c>
    </row>
    <row r="12769" spans="2:15" x14ac:dyDescent="0.3">
      <c r="B12769" s="1" t="s">
        <v>20</v>
      </c>
      <c r="C12769" s="1" t="str">
        <f t="shared" si="651"/>
        <v>4차</v>
      </c>
      <c r="D12769" s="1" t="str">
        <f>"9725W94345"</f>
        <v>9725W94345</v>
      </c>
      <c r="E12769" s="1" t="s">
        <v>10</v>
      </c>
      <c r="F12769" s="1" t="str">
        <f>"10.14.2.16"</f>
        <v>10.14.2.16</v>
      </c>
      <c r="G12769" s="1" t="str">
        <f>"9725W943"</f>
        <v>9725W943</v>
      </c>
      <c r="H12769" s="1" t="str">
        <f>"서강로 5T"</f>
        <v>서강로 5T</v>
      </c>
      <c r="I12769" s="1" t="s">
        <v>17</v>
      </c>
      <c r="J12769" s="1" t="str">
        <f>"17/26"</f>
        <v>17/26</v>
      </c>
      <c r="K12769" s="1" t="str">
        <f>"2026-07-29 13:18:12"</f>
        <v>2026-07-29 13:18:12</v>
      </c>
      <c r="L12769" s="1" t="str">
        <f>"2021-06-14 07:36:49"</f>
        <v>2021-06-14 07:36:49</v>
      </c>
      <c r="M12769" s="1" t="s">
        <v>3</v>
      </c>
      <c r="N12769" s="1" t="s">
        <v>38</v>
      </c>
      <c r="O12769" s="1" t="s">
        <v>46</v>
      </c>
    </row>
    <row r="12770" spans="2:15" x14ac:dyDescent="0.3">
      <c r="B12770" s="1" t="s">
        <v>20</v>
      </c>
      <c r="C12770" s="1" t="str">
        <f t="shared" si="651"/>
        <v>4차</v>
      </c>
      <c r="D12770" s="1" t="str">
        <f>"9725X01241"</f>
        <v>9725X01241</v>
      </c>
      <c r="E12770" s="1" t="s">
        <v>10</v>
      </c>
      <c r="F12770" s="1" t="str">
        <f>"10.14.9.178"</f>
        <v>10.14.9.178</v>
      </c>
      <c r="G12770" s="1" t="str">
        <f>"9725X012"</f>
        <v>9725X012</v>
      </c>
      <c r="H12770" s="1" t="str">
        <f>"신상간 9R5R2"</f>
        <v>신상간 9R5R2</v>
      </c>
      <c r="I12770" s="1" t="s">
        <v>17</v>
      </c>
      <c r="J12770" s="1" t="str">
        <f>"30/37"</f>
        <v>30/37</v>
      </c>
      <c r="K12770" s="1" t="str">
        <f>"2026-07-29 13:18:12"</f>
        <v>2026-07-29 13:18:12</v>
      </c>
      <c r="L12770" s="1" t="str">
        <f>"2021-08-09 10:59:20"</f>
        <v>2021-08-09 10:59:20</v>
      </c>
      <c r="M12770" s="1" t="s">
        <v>3</v>
      </c>
      <c r="N12770" s="1" t="s">
        <v>38</v>
      </c>
      <c r="O12770" s="1" t="s">
        <v>46</v>
      </c>
    </row>
    <row r="12771" spans="2:15" x14ac:dyDescent="0.3">
      <c r="B12771" s="1" t="s">
        <v>20</v>
      </c>
      <c r="C12771" s="1" t="str">
        <f t="shared" si="651"/>
        <v>4차</v>
      </c>
      <c r="D12771" s="1" t="str">
        <f>"9725X01341"</f>
        <v>9725X01341</v>
      </c>
      <c r="E12771" s="1" t="s">
        <v>10</v>
      </c>
      <c r="F12771" s="1" t="str">
        <f>"10.14.9.125"</f>
        <v>10.14.9.125</v>
      </c>
      <c r="G12771" s="1" t="str">
        <f>"9725X013"</f>
        <v>9725X013</v>
      </c>
      <c r="H12771" s="1" t="str">
        <f>"신상간 9R5R1"</f>
        <v>신상간 9R5R1</v>
      </c>
      <c r="I12771" s="1" t="s">
        <v>17</v>
      </c>
      <c r="J12771" s="1" t="str">
        <f>"26/28"</f>
        <v>26/28</v>
      </c>
      <c r="K12771" s="1" t="str">
        <f>"2026-07-29 13:18:12"</f>
        <v>2026-07-29 13:18:12</v>
      </c>
      <c r="L12771" s="1" t="str">
        <f>"2022-03-21 18:32:13"</f>
        <v>2022-03-21 18:32:13</v>
      </c>
      <c r="M12771" s="1" t="s">
        <v>3</v>
      </c>
      <c r="N12771" s="1" t="s">
        <v>38</v>
      </c>
      <c r="O12771" s="1" t="s">
        <v>46</v>
      </c>
    </row>
    <row r="12772" spans="2:15" x14ac:dyDescent="0.3">
      <c r="B12772" s="1" t="s">
        <v>20</v>
      </c>
      <c r="C12772" s="1" t="str">
        <f t="shared" si="651"/>
        <v>4차</v>
      </c>
      <c r="D12772" s="1" t="str">
        <f>"9725X02445"</f>
        <v>9725X02445</v>
      </c>
      <c r="E12772" s="1" t="s">
        <v>10</v>
      </c>
      <c r="F12772" s="1" t="str">
        <f>"10.14.7.25"</f>
        <v>10.14.7.25</v>
      </c>
      <c r="G12772" s="1" t="str">
        <f>"9725X024"</f>
        <v>9725X024</v>
      </c>
      <c r="H12772" s="1" t="str">
        <f>"서강로 4T"</f>
        <v>서강로 4T</v>
      </c>
      <c r="I12772" s="1" t="s">
        <v>17</v>
      </c>
      <c r="J12772" s="1" t="str">
        <f>"21/21"</f>
        <v>21/21</v>
      </c>
      <c r="K12772" s="1" t="str">
        <f>"2026-07-29 13:18:12"</f>
        <v>2026-07-29 13:18:12</v>
      </c>
      <c r="L12772" s="1" t="str">
        <f>"2021-06-14 08:07:56"</f>
        <v>2021-06-14 08:07:56</v>
      </c>
      <c r="M12772" s="1" t="s">
        <v>3</v>
      </c>
      <c r="N12772" s="1" t="s">
        <v>38</v>
      </c>
      <c r="O12772" s="1" t="s">
        <v>46</v>
      </c>
    </row>
    <row r="12773" spans="2:15" x14ac:dyDescent="0.3">
      <c r="B12773" s="1" t="s">
        <v>20</v>
      </c>
      <c r="C12773" s="1" t="str">
        <f t="shared" si="651"/>
        <v>4차</v>
      </c>
      <c r="D12773" s="1" t="str">
        <f>"9725X10445"</f>
        <v>9725X10445</v>
      </c>
      <c r="E12773" s="1" t="s">
        <v>10</v>
      </c>
      <c r="F12773" s="1" t="str">
        <f>"10.14.3.65"</f>
        <v>10.14.3.65</v>
      </c>
      <c r="G12773" s="1" t="str">
        <f>"9725X104"</f>
        <v>9725X104</v>
      </c>
      <c r="H12773" s="1" t="str">
        <f>"서강로 2T"</f>
        <v>서강로 2T</v>
      </c>
      <c r="I12773" s="1" t="s">
        <v>17</v>
      </c>
      <c r="J12773" s="1" t="str">
        <f>"28/28"</f>
        <v>28/28</v>
      </c>
      <c r="K12773" s="1" t="str">
        <f>"2026-07-29 13:18:11"</f>
        <v>2026-07-29 13:18:11</v>
      </c>
      <c r="L12773" s="1" t="str">
        <f>"2021-06-14 09:08:27"</f>
        <v>2021-06-14 09:08:27</v>
      </c>
      <c r="M12773" s="1" t="s">
        <v>3</v>
      </c>
      <c r="N12773" s="1" t="s">
        <v>38</v>
      </c>
      <c r="O12773" s="1" t="s">
        <v>46</v>
      </c>
    </row>
    <row r="12774" spans="2:15" x14ac:dyDescent="0.3">
      <c r="B12774" s="1" t="s">
        <v>20</v>
      </c>
      <c r="C12774" s="1" t="str">
        <f t="shared" si="651"/>
        <v>4차</v>
      </c>
      <c r="D12774" s="1" t="str">
        <f>"9725X11345"</f>
        <v>9725X11345</v>
      </c>
      <c r="E12774" s="1" t="s">
        <v>10</v>
      </c>
      <c r="F12774" s="1" t="str">
        <f>"10.14.15.63"</f>
        <v>10.14.15.63</v>
      </c>
      <c r="G12774" s="1" t="str">
        <f>"9725X113"</f>
        <v>9725X113</v>
      </c>
      <c r="H12774" s="1" t="str">
        <f>"서강로 3T"</f>
        <v>서강로 3T</v>
      </c>
      <c r="I12774" s="1" t="s">
        <v>17</v>
      </c>
      <c r="J12774" s="1" t="str">
        <f>"4/4"</f>
        <v>4/4</v>
      </c>
      <c r="K12774" s="1" t="str">
        <f>"2026-07-29 13:18:12"</f>
        <v>2026-07-29 13:18:12</v>
      </c>
      <c r="L12774" s="1" t="str">
        <f>"2021-06-14 08:39:18"</f>
        <v>2021-06-14 08:39:18</v>
      </c>
      <c r="M12774" s="1" t="s">
        <v>3</v>
      </c>
      <c r="N12774" s="1" t="s">
        <v>38</v>
      </c>
      <c r="O12774" s="1" t="s">
        <v>46</v>
      </c>
    </row>
    <row r="12775" spans="2:15" x14ac:dyDescent="0.3">
      <c r="B12775" s="1" t="s">
        <v>20</v>
      </c>
      <c r="C12775" s="1" t="str">
        <f t="shared" si="651"/>
        <v>4차</v>
      </c>
      <c r="D12775" s="1" t="str">
        <f>"9725X12141"</f>
        <v>9725X12141</v>
      </c>
      <c r="E12775" s="1" t="s">
        <v>10</v>
      </c>
      <c r="F12775" s="1" t="str">
        <f>"10.12.131.87"</f>
        <v>10.12.131.87</v>
      </c>
      <c r="G12775" s="1" t="str">
        <f>"9725X121"</f>
        <v>9725X121</v>
      </c>
      <c r="H12775" s="1" t="str">
        <f>"서강간 6"</f>
        <v>서강간 6</v>
      </c>
      <c r="I12775" s="1" t="s">
        <v>17</v>
      </c>
      <c r="J12775" s="1" t="str">
        <f>"23/23"</f>
        <v>23/23</v>
      </c>
      <c r="K12775" s="1" t="str">
        <f>"2026-07-29 13:18:11"</f>
        <v>2026-07-29 13:18:11</v>
      </c>
      <c r="L12775" s="1" t="str">
        <f>"2021-08-09 06:57:40"</f>
        <v>2021-08-09 06:57:40</v>
      </c>
      <c r="M12775" s="1" t="s">
        <v>0</v>
      </c>
      <c r="N12775" s="1" t="s">
        <v>38</v>
      </c>
      <c r="O12775" s="1" t="s">
        <v>46</v>
      </c>
    </row>
    <row r="12776" spans="2:15" x14ac:dyDescent="0.3">
      <c r="B12776" s="1" t="s">
        <v>20</v>
      </c>
      <c r="C12776" s="1" t="str">
        <f>"6차"</f>
        <v>6차</v>
      </c>
      <c r="D12776" s="1" t="str">
        <f>"9725X2216M"</f>
        <v>9725X2216M</v>
      </c>
      <c r="E12776" s="1" t="s">
        <v>10</v>
      </c>
      <c r="F12776" s="1" t="str">
        <f>"fde1:103:4:c82f:0:0:0:2"</f>
        <v>fde1:103:4:c82f:0:0:0:2</v>
      </c>
      <c r="G12776" s="1" t="str">
        <f>"9725X221"</f>
        <v>9725X221</v>
      </c>
      <c r="H12776" s="1" t="str">
        <f>"서강간 5"</f>
        <v>서강간 5</v>
      </c>
      <c r="I12776" s="1" t="s">
        <v>15</v>
      </c>
      <c r="J12776" s="1" t="str">
        <f>"45/45"</f>
        <v>45/45</v>
      </c>
      <c r="K12776" s="1" t="str">
        <f>"2026-07-29 14:21:03"</f>
        <v>2026-07-29 14:21:03</v>
      </c>
      <c r="L12776" s="1" t="str">
        <f>"2024-11-26 13:40:19"</f>
        <v>2024-11-26 13:40:19</v>
      </c>
      <c r="M12776" s="1" t="s">
        <v>4</v>
      </c>
      <c r="N12776" s="1" t="s">
        <v>38</v>
      </c>
      <c r="O12776" s="1" t="s">
        <v>46</v>
      </c>
    </row>
    <row r="12777" spans="2:15" x14ac:dyDescent="0.3">
      <c r="B12777" s="1" t="s">
        <v>20</v>
      </c>
      <c r="C12777" s="1" t="str">
        <f>"1차"</f>
        <v>1차</v>
      </c>
      <c r="D12777" s="1" t="str">
        <f>"9725X22300"</f>
        <v>9725X22300</v>
      </c>
      <c r="E12777" s="1" t="s">
        <v>10</v>
      </c>
      <c r="F12777" s="1" t="str">
        <f>"10.125.129.12"</f>
        <v>10.125.129.12</v>
      </c>
      <c r="G12777" s="1" t="str">
        <f>"9725X223"</f>
        <v>9725X223</v>
      </c>
      <c r="H12777" s="1" t="str">
        <f>"서강간 5R1R1"</f>
        <v>서강간 5R1R1</v>
      </c>
      <c r="I12777" s="1" t="s">
        <v>8</v>
      </c>
      <c r="J12777" s="1" t="str">
        <f>"2/2"</f>
        <v>2/2</v>
      </c>
      <c r="K12777" s="1" t="str">
        <f>"2026-07-29 13:18:11"</f>
        <v>2026-07-29 13:18:11</v>
      </c>
      <c r="L12777" s="1" t="str">
        <f>"2014-11-11 14:05:23"</f>
        <v>2014-11-11 14:05:23</v>
      </c>
      <c r="M12777" s="1" t="s">
        <v>45</v>
      </c>
      <c r="N12777" s="1" t="s">
        <v>38</v>
      </c>
      <c r="O12777" s="1" t="s">
        <v>46</v>
      </c>
    </row>
    <row r="12778" spans="2:15" x14ac:dyDescent="0.3">
      <c r="B12778" s="1" t="s">
        <v>20</v>
      </c>
      <c r="C12778" s="1" t="str">
        <f>"6차"</f>
        <v>6차</v>
      </c>
      <c r="D12778" s="1" t="str">
        <f>"9725X3136M"</f>
        <v>9725X3136M</v>
      </c>
      <c r="E12778" s="1" t="s">
        <v>10</v>
      </c>
      <c r="F12778" s="1" t="str">
        <f>"fde1:103:4:c827:0:0:0:2"</f>
        <v>fde1:103:4:c827:0:0:0:2</v>
      </c>
      <c r="G12778" s="1" t="str">
        <f>"9725X313"</f>
        <v>9725X313</v>
      </c>
      <c r="H12778" s="1" t="str">
        <f>"서강간 3L1"</f>
        <v>서강간 3L1</v>
      </c>
      <c r="I12778" s="1" t="s">
        <v>15</v>
      </c>
      <c r="J12778" s="1" t="str">
        <f>"28/29"</f>
        <v>28/29</v>
      </c>
      <c r="K12778" s="1" t="str">
        <f>"2026-07-29 14:21:03"</f>
        <v>2026-07-29 14:21:03</v>
      </c>
      <c r="L12778" s="1" t="str">
        <f>"2024-11-26 13:41:05"</f>
        <v>2024-11-26 13:41:05</v>
      </c>
      <c r="M12778" s="1" t="s">
        <v>4</v>
      </c>
      <c r="N12778" s="1" t="s">
        <v>38</v>
      </c>
      <c r="O12778" s="1" t="s">
        <v>46</v>
      </c>
    </row>
    <row r="12779" spans="2:15" x14ac:dyDescent="0.3">
      <c r="B12779" s="1" t="s">
        <v>20</v>
      </c>
      <c r="C12779" s="1" t="str">
        <f>"5-2차"</f>
        <v>5-2차</v>
      </c>
      <c r="D12779" s="1" t="str">
        <f>"9725X7115M"</f>
        <v>9725X7115M</v>
      </c>
      <c r="E12779" s="1" t="s">
        <v>10</v>
      </c>
      <c r="F12779" s="1" t="str">
        <f>"fde3:102:1300:5200:0:0:0:2"</f>
        <v>fde3:102:1300:5200:0:0:0:2</v>
      </c>
      <c r="G12779" s="1" t="str">
        <f>"9725X711"</f>
        <v>9725X711</v>
      </c>
      <c r="H12779" s="1" t="str">
        <f>"노고산간 2R1"</f>
        <v>노고산간 2R1</v>
      </c>
      <c r="I12779" s="1" t="s">
        <v>15</v>
      </c>
      <c r="J12779" s="1" t="str">
        <f>"23/23"</f>
        <v>23/23</v>
      </c>
      <c r="K12779" s="1" t="str">
        <f>"2026-07-29 14:21:21"</f>
        <v>2026-07-29 14:21:21</v>
      </c>
      <c r="L12779" s="1" t="str">
        <f>"2023-09-22 15:45:22"</f>
        <v>2023-09-22 15:45:22</v>
      </c>
      <c r="M12779" s="1" t="s">
        <v>45</v>
      </c>
      <c r="N12779" s="1" t="s">
        <v>38</v>
      </c>
      <c r="O12779" s="1" t="s">
        <v>46</v>
      </c>
    </row>
    <row r="12780" spans="2:15" x14ac:dyDescent="0.3">
      <c r="B12780" s="1" t="s">
        <v>20</v>
      </c>
      <c r="C12780" s="1" t="str">
        <f>"6차"</f>
        <v>6차</v>
      </c>
      <c r="D12780" s="1" t="str">
        <f>"9725X9316S"</f>
        <v>9725X9316S</v>
      </c>
      <c r="E12780" s="1" t="s">
        <v>10</v>
      </c>
      <c r="F12780" s="1" t="str">
        <f>"fde1:103:4:c857:0:0:0:2"</f>
        <v>fde1:103:4:c857:0:0:0:2</v>
      </c>
      <c r="G12780" s="1" t="str">
        <f>"9725X931"</f>
        <v>9725X931</v>
      </c>
      <c r="H12780" s="1" t="str">
        <f>"노고산간 5R2"</f>
        <v>노고산간 5R2</v>
      </c>
      <c r="I12780" s="1" t="s">
        <v>15</v>
      </c>
      <c r="J12780" s="1" t="str">
        <f>"46/46"</f>
        <v>46/46</v>
      </c>
      <c r="K12780" s="1" t="str">
        <f>"2026-07-29 14:21:03"</f>
        <v>2026-07-29 14:21:03</v>
      </c>
      <c r="L12780" s="1" t="str">
        <f>"2024-11-22 15:52:03"</f>
        <v>2024-11-22 15:52:03</v>
      </c>
      <c r="M12780" s="1" t="s">
        <v>4</v>
      </c>
      <c r="N12780" s="1" t="s">
        <v>38</v>
      </c>
      <c r="O12780" s="1" t="s">
        <v>46</v>
      </c>
    </row>
    <row r="12781" spans="2:15" x14ac:dyDescent="0.3">
      <c r="B12781" s="1" t="s">
        <v>20</v>
      </c>
      <c r="C12781" s="1" t="str">
        <f>"6차"</f>
        <v>6차</v>
      </c>
      <c r="D12781" s="1" t="str">
        <f>"9725X9556S"</f>
        <v>9725X9556S</v>
      </c>
      <c r="E12781" s="1" t="s">
        <v>10</v>
      </c>
      <c r="F12781" s="1" t="str">
        <f>"fde1:103:4:c726:0:0:0:2"</f>
        <v>fde1:103:4:c726:0:0:0:2</v>
      </c>
      <c r="G12781" s="1" t="str">
        <f>"9725X955"</f>
        <v>9725X955</v>
      </c>
      <c r="H12781" s="1" t="str">
        <f>"노고산간 8R1"</f>
        <v>노고산간 8R1</v>
      </c>
      <c r="I12781" s="1" t="s">
        <v>15</v>
      </c>
      <c r="J12781" s="1" t="str">
        <f>"39/39"</f>
        <v>39/39</v>
      </c>
      <c r="K12781" s="1" t="str">
        <f>"2026-07-29 14:21:03"</f>
        <v>2026-07-29 14:21:03</v>
      </c>
      <c r="L12781" s="1" t="str">
        <f>"2024-11-22 15:52:47"</f>
        <v>2024-11-22 15:52:47</v>
      </c>
      <c r="M12781" s="1" t="s">
        <v>4</v>
      </c>
      <c r="N12781" s="1" t="s">
        <v>38</v>
      </c>
      <c r="O12781" s="1" t="s">
        <v>46</v>
      </c>
    </row>
    <row r="12782" spans="2:15" x14ac:dyDescent="0.3">
      <c r="B12782" s="1" t="s">
        <v>20</v>
      </c>
      <c r="C12782" s="1" t="str">
        <f>"5-2차"</f>
        <v>5-2차</v>
      </c>
      <c r="D12782" s="1" t="str">
        <f>"9725X9715S"</f>
        <v>9725X9715S</v>
      </c>
      <c r="E12782" s="1" t="s">
        <v>10</v>
      </c>
      <c r="F12782" s="1" t="str">
        <f>"fde3:102:1300:a00:0:0:0:4"</f>
        <v>fde3:102:1300:a00:0:0:0:4</v>
      </c>
      <c r="G12782" s="1" t="str">
        <f>"9725X971"</f>
        <v>9725X971</v>
      </c>
      <c r="H12782" s="1" t="str">
        <f>"노고산간 15L2"</f>
        <v>노고산간 15L2</v>
      </c>
      <c r="I12782" s="1" t="s">
        <v>15</v>
      </c>
      <c r="J12782" s="1" t="str">
        <f>"18/18"</f>
        <v>18/18</v>
      </c>
      <c r="K12782" s="1" t="str">
        <f>"2026-07-29 14:21:03"</f>
        <v>2026-07-29 14:21:03</v>
      </c>
      <c r="L12782" s="1" t="str">
        <f>"2023-09-22 13:56:13"</f>
        <v>2023-09-22 13:56:13</v>
      </c>
      <c r="M12782" s="1" t="s">
        <v>45</v>
      </c>
      <c r="N12782" s="1" t="s">
        <v>38</v>
      </c>
      <c r="O12782" s="1" t="s">
        <v>46</v>
      </c>
    </row>
    <row r="12783" spans="2:15" x14ac:dyDescent="0.3">
      <c r="B12783" s="1" t="s">
        <v>20</v>
      </c>
      <c r="C12783" s="1" t="str">
        <f>"1차"</f>
        <v>1차</v>
      </c>
      <c r="D12783" s="1" t="str">
        <f>"9725Y04400"</f>
        <v>9725Y04400</v>
      </c>
      <c r="E12783" s="1" t="s">
        <v>10</v>
      </c>
      <c r="F12783" s="1" t="str">
        <f>"10.125.129.80"</f>
        <v>10.125.129.80</v>
      </c>
      <c r="G12783" s="1" t="str">
        <f>"9725Y044"</f>
        <v>9725Y044</v>
      </c>
      <c r="H12783" s="1" t="str">
        <f>"도화간 35H1"</f>
        <v>도화간 35H1</v>
      </c>
      <c r="I12783" s="1" t="s">
        <v>8</v>
      </c>
      <c r="J12783" s="1" t="str">
        <f>"39/39"</f>
        <v>39/39</v>
      </c>
      <c r="K12783" s="1" t="str">
        <f>"2026-07-29 13:18:11"</f>
        <v>2026-07-29 13:18:11</v>
      </c>
      <c r="L12783" s="1" t="str">
        <f>"2016-06-24 14:41:07"</f>
        <v>2016-06-24 14:41:07</v>
      </c>
      <c r="M12783" s="1" t="s">
        <v>45</v>
      </c>
      <c r="N12783" s="1" t="s">
        <v>38</v>
      </c>
      <c r="O12783" s="1" t="s">
        <v>46</v>
      </c>
    </row>
    <row r="12784" spans="2:15" x14ac:dyDescent="0.3">
      <c r="B12784" s="1" t="s">
        <v>20</v>
      </c>
      <c r="C12784" s="1" t="str">
        <f>"3차"</f>
        <v>3차</v>
      </c>
      <c r="D12784" s="1" t="str">
        <f>"9725Y05339"</f>
        <v>9725Y05339</v>
      </c>
      <c r="E12784" s="1" t="s">
        <v>10</v>
      </c>
      <c r="F12784" s="1" t="str">
        <f>"10.12.133.240"</f>
        <v>10.12.133.240</v>
      </c>
      <c r="G12784" s="1" t="str">
        <f>"9725Y053"</f>
        <v>9725Y053</v>
      </c>
      <c r="H12784" s="1" t="str">
        <f>"도화간 37R4"</f>
        <v>도화간 37R4</v>
      </c>
      <c r="I12784" s="1" t="s">
        <v>8</v>
      </c>
      <c r="J12784" s="1" t="str">
        <f>"36/36"</f>
        <v>36/36</v>
      </c>
      <c r="K12784" s="1" t="str">
        <f>"2026-07-29 13:18:13"</f>
        <v>2026-07-29 13:18:13</v>
      </c>
      <c r="L12784" s="1" t="str">
        <f>"2018-03-28 18:01:11"</f>
        <v>2018-03-28 18:01:11</v>
      </c>
      <c r="M12784" s="1" t="s">
        <v>0</v>
      </c>
      <c r="N12784" s="1" t="s">
        <v>38</v>
      </c>
      <c r="O12784" s="1" t="s">
        <v>46</v>
      </c>
    </row>
    <row r="12785" spans="2:15" x14ac:dyDescent="0.3">
      <c r="B12785" s="1" t="s">
        <v>20</v>
      </c>
      <c r="C12785" s="1" t="str">
        <f>"3차"</f>
        <v>3차</v>
      </c>
      <c r="D12785" s="1" t="str">
        <f>"9725Y09131"</f>
        <v>9725Y09131</v>
      </c>
      <c r="E12785" s="1" t="s">
        <v>10</v>
      </c>
      <c r="F12785" s="1" t="str">
        <f>"10.10.38.115"</f>
        <v>10.10.38.115</v>
      </c>
      <c r="G12785" s="1" t="str">
        <f>"9725Y091"</f>
        <v>9725Y091</v>
      </c>
      <c r="H12785" s="1" t="str">
        <f>"토정간 49"</f>
        <v>토정간 49</v>
      </c>
      <c r="I12785" s="1" t="s">
        <v>8</v>
      </c>
      <c r="J12785" s="1" t="str">
        <f>"30/30"</f>
        <v>30/30</v>
      </c>
      <c r="K12785" s="1" t="str">
        <f>"2026-07-29 13:18:11"</f>
        <v>2026-07-29 13:18:11</v>
      </c>
      <c r="L12785" s="1" t="str">
        <f>"2018-03-16 13:21:57"</f>
        <v>2018-03-16 13:21:57</v>
      </c>
      <c r="M12785" s="1" t="s">
        <v>1</v>
      </c>
      <c r="N12785" s="1" t="s">
        <v>38</v>
      </c>
      <c r="O12785" s="1" t="s">
        <v>46</v>
      </c>
    </row>
    <row r="12786" spans="2:15" x14ac:dyDescent="0.3">
      <c r="B12786" s="1" t="s">
        <v>20</v>
      </c>
      <c r="C12786" s="1" t="str">
        <f>"1차"</f>
        <v>1차</v>
      </c>
      <c r="D12786" s="1" t="str">
        <f>"9725Y13200"</f>
        <v>9725Y13200</v>
      </c>
      <c r="E12786" s="1" t="s">
        <v>10</v>
      </c>
      <c r="F12786" s="1" t="str">
        <f>"10.125.129.81"</f>
        <v>10.125.129.81</v>
      </c>
      <c r="G12786" s="1" t="str">
        <f>"9725Y132"</f>
        <v>9725Y132</v>
      </c>
      <c r="H12786" s="1" t="str">
        <f>"도화간 33L1R2"</f>
        <v>도화간 33L1R2</v>
      </c>
      <c r="I12786" s="1" t="s">
        <v>8</v>
      </c>
      <c r="J12786" s="1" t="str">
        <f>"33/33"</f>
        <v>33/33</v>
      </c>
      <c r="K12786" s="1" t="str">
        <f>"2026-07-29 13:18:12"</f>
        <v>2026-07-29 13:18:12</v>
      </c>
      <c r="L12786" s="1" t="str">
        <f>"2014-11-20 16:27:42"</f>
        <v>2014-11-20 16:27:42</v>
      </c>
      <c r="M12786" s="1" t="s">
        <v>45</v>
      </c>
      <c r="N12786" s="1" t="s">
        <v>38</v>
      </c>
      <c r="O12786" s="1" t="s">
        <v>46</v>
      </c>
    </row>
    <row r="12787" spans="2:15" x14ac:dyDescent="0.3">
      <c r="B12787" s="1" t="s">
        <v>20</v>
      </c>
      <c r="C12787" s="1" t="str">
        <f>"3차"</f>
        <v>3차</v>
      </c>
      <c r="D12787" s="1" t="str">
        <f>"9725Y14239"</f>
        <v>9725Y14239</v>
      </c>
      <c r="E12787" s="1" t="s">
        <v>10</v>
      </c>
      <c r="F12787" s="1" t="str">
        <f>"10.12.136.75"</f>
        <v>10.12.136.75</v>
      </c>
      <c r="G12787" s="1" t="str">
        <f>"9725Y142"</f>
        <v>9725Y142</v>
      </c>
      <c r="H12787" s="1" t="str">
        <f>"도화간 32R1L1"</f>
        <v>도화간 32R1L1</v>
      </c>
      <c r="I12787" s="1" t="s">
        <v>8</v>
      </c>
      <c r="J12787" s="1" t="str">
        <f>"11/11"</f>
        <v>11/11</v>
      </c>
      <c r="K12787" s="1" t="str">
        <f>"2026-07-29 13:18:11"</f>
        <v>2026-07-29 13:18:11</v>
      </c>
      <c r="L12787" s="1" t="str">
        <f>"2018-03-28 13:52:58"</f>
        <v>2018-03-28 13:52:58</v>
      </c>
      <c r="M12787" s="1" t="s">
        <v>0</v>
      </c>
      <c r="N12787" s="1" t="s">
        <v>38</v>
      </c>
      <c r="O12787" s="1" t="s">
        <v>46</v>
      </c>
    </row>
    <row r="12788" spans="2:15" x14ac:dyDescent="0.3">
      <c r="B12788" s="1" t="s">
        <v>20</v>
      </c>
      <c r="C12788" s="1" t="str">
        <f>"3차"</f>
        <v>3차</v>
      </c>
      <c r="D12788" s="1" t="str">
        <f>"9725Y19330"</f>
        <v>9725Y19330</v>
      </c>
      <c r="E12788" s="1" t="s">
        <v>10</v>
      </c>
      <c r="F12788" s="1" t="str">
        <f>"10.10.38.114"</f>
        <v>10.10.38.114</v>
      </c>
      <c r="G12788" s="1" t="str">
        <f>"9725Y193"</f>
        <v>9725Y193</v>
      </c>
      <c r="H12788" s="1" t="str">
        <f>"토정간 48"</f>
        <v>토정간 48</v>
      </c>
      <c r="I12788" s="1" t="s">
        <v>8</v>
      </c>
      <c r="J12788" s="1" t="str">
        <f>"29/29"</f>
        <v>29/29</v>
      </c>
      <c r="K12788" s="1" t="str">
        <f>"2026-07-29 13:18:11"</f>
        <v>2026-07-29 13:18:11</v>
      </c>
      <c r="L12788" s="1" t="str">
        <f>"2018-02-19 13:32:56"</f>
        <v>2018-02-19 13:32:56</v>
      </c>
      <c r="M12788" s="1" t="s">
        <v>1</v>
      </c>
      <c r="N12788" s="1" t="s">
        <v>38</v>
      </c>
      <c r="O12788" s="1" t="s">
        <v>46</v>
      </c>
    </row>
    <row r="12789" spans="2:15" x14ac:dyDescent="0.3">
      <c r="B12789" s="1" t="s">
        <v>20</v>
      </c>
      <c r="C12789" s="1" t="str">
        <f>"1차"</f>
        <v>1차</v>
      </c>
      <c r="D12789" s="1" t="str">
        <f>"9725Y21400"</f>
        <v>9725Y21400</v>
      </c>
      <c r="E12789" s="1" t="s">
        <v>10</v>
      </c>
      <c r="F12789" s="1" t="str">
        <f>"10.125.193.58"</f>
        <v>10.125.193.58</v>
      </c>
      <c r="G12789" s="1" t="str">
        <f>"9725Y214"</f>
        <v>9725Y214</v>
      </c>
      <c r="H12789" s="1" t="str">
        <f>"도화간 33L3"</f>
        <v>도화간 33L3</v>
      </c>
      <c r="I12789" s="1" t="s">
        <v>8</v>
      </c>
      <c r="J12789" s="1" t="str">
        <f>"126/126"</f>
        <v>126/126</v>
      </c>
      <c r="K12789" s="1" t="str">
        <f>"2026-07-29 13:18:11"</f>
        <v>2026-07-29 13:18:11</v>
      </c>
      <c r="L12789" s="1" t="str">
        <f>"2014-12-22 11:25:03"</f>
        <v>2014-12-22 11:25:03</v>
      </c>
      <c r="M12789" s="1" t="s">
        <v>45</v>
      </c>
      <c r="N12789" s="1" t="s">
        <v>38</v>
      </c>
      <c r="O12789" s="1" t="s">
        <v>46</v>
      </c>
    </row>
    <row r="12790" spans="2:15" x14ac:dyDescent="0.3">
      <c r="B12790" s="1" t="s">
        <v>20</v>
      </c>
      <c r="C12790" s="1" t="str">
        <f>"3차"</f>
        <v>3차</v>
      </c>
      <c r="D12790" s="1" t="str">
        <f>"9725Y21739"</f>
        <v>9725Y21739</v>
      </c>
      <c r="E12790" s="1" t="s">
        <v>10</v>
      </c>
      <c r="F12790" s="1" t="str">
        <f>"10.10.34.34"</f>
        <v>10.10.34.34</v>
      </c>
      <c r="G12790" s="1" t="str">
        <f>"9725Y217"</f>
        <v>9725Y217</v>
      </c>
      <c r="H12790" s="1" t="str">
        <f>"도화간 33L4"</f>
        <v>도화간 33L4</v>
      </c>
      <c r="I12790" s="1" t="s">
        <v>8</v>
      </c>
      <c r="J12790" s="1" t="str">
        <f>"22/22"</f>
        <v>22/22</v>
      </c>
      <c r="K12790" s="1" t="str">
        <f>"2026-07-29 13:18:11"</f>
        <v>2026-07-29 13:18:11</v>
      </c>
      <c r="L12790" s="1" t="str">
        <f>"2018-04-03 17:11:58"</f>
        <v>2018-04-03 17:11:58</v>
      </c>
      <c r="M12790" s="1" t="s">
        <v>1</v>
      </c>
      <c r="N12790" s="1" t="s">
        <v>38</v>
      </c>
      <c r="O12790" s="1" t="s">
        <v>46</v>
      </c>
    </row>
    <row r="12791" spans="2:15" x14ac:dyDescent="0.3">
      <c r="B12791" s="1" t="s">
        <v>20</v>
      </c>
      <c r="C12791" s="1" t="str">
        <f>"6차"</f>
        <v>6차</v>
      </c>
      <c r="D12791" s="1" t="str">
        <f>"9725Y3416S"</f>
        <v>9725Y3416S</v>
      </c>
      <c r="E12791" s="1" t="s">
        <v>10</v>
      </c>
      <c r="F12791" s="1" t="str">
        <f>"fde1:103:4:c7ea:0:0:0:2"</f>
        <v>fde1:103:4:c7ea:0:0:0:2</v>
      </c>
      <c r="G12791" s="1" t="str">
        <f>"9725Y341"</f>
        <v>9725Y341</v>
      </c>
      <c r="H12791" s="1" t="str">
        <f>"도화간 31R1"</f>
        <v>도화간 31R1</v>
      </c>
      <c r="I12791" s="1" t="s">
        <v>15</v>
      </c>
      <c r="J12791" s="1" t="str">
        <f>"19/19"</f>
        <v>19/19</v>
      </c>
      <c r="K12791" s="1" t="str">
        <f>"2026-07-29 02:21:20"</f>
        <v>2026-07-29 02:21:20</v>
      </c>
      <c r="L12791" s="1" t="str">
        <f>"2024-11-22 15:40:46"</f>
        <v>2024-11-22 15:40:46</v>
      </c>
      <c r="M12791" s="1" t="s">
        <v>4</v>
      </c>
      <c r="N12791" s="1" t="s">
        <v>38</v>
      </c>
      <c r="O12791" s="1" t="s">
        <v>46</v>
      </c>
    </row>
    <row r="12792" spans="2:15" x14ac:dyDescent="0.3">
      <c r="B12792" s="1" t="s">
        <v>20</v>
      </c>
      <c r="C12792" s="1" t="str">
        <f>"6차"</f>
        <v>6차</v>
      </c>
      <c r="D12792" s="1" t="str">
        <f>"9725Y3516S"</f>
        <v>9725Y3516S</v>
      </c>
      <c r="E12792" s="1" t="s">
        <v>10</v>
      </c>
      <c r="F12792" s="1" t="str">
        <f>"fde1:103:4:c7f9:0:0:0:2"</f>
        <v>fde1:103:4:c7f9:0:0:0:2</v>
      </c>
      <c r="G12792" s="1" t="str">
        <f>"9725Y351"</f>
        <v>9725Y351</v>
      </c>
      <c r="H12792" s="1" t="str">
        <f>"도화간 31R3"</f>
        <v>도화간 31R3</v>
      </c>
      <c r="I12792" s="1" t="s">
        <v>15</v>
      </c>
      <c r="J12792" s="1" t="str">
        <f>"91/97"</f>
        <v>91/97</v>
      </c>
      <c r="K12792" s="1" t="str">
        <f>"2026-07-29 14:21:03"</f>
        <v>2026-07-29 14:21:03</v>
      </c>
      <c r="L12792" s="1" t="str">
        <f>"2024-11-22 15:41:31"</f>
        <v>2024-11-22 15:41:31</v>
      </c>
      <c r="M12792" s="1" t="s">
        <v>4</v>
      </c>
      <c r="N12792" s="1" t="s">
        <v>38</v>
      </c>
      <c r="O12792" s="1" t="s">
        <v>46</v>
      </c>
    </row>
    <row r="12793" spans="2:15" x14ac:dyDescent="0.3">
      <c r="B12793" s="1" t="s">
        <v>20</v>
      </c>
      <c r="C12793" s="1" t="str">
        <f>"1차"</f>
        <v>1차</v>
      </c>
      <c r="D12793" s="1" t="str">
        <f>"9725Y43200"</f>
        <v>9725Y43200</v>
      </c>
      <c r="E12793" s="1" t="s">
        <v>10</v>
      </c>
      <c r="F12793" s="1" t="str">
        <f>"10.125.193.98"</f>
        <v>10.125.193.98</v>
      </c>
      <c r="G12793" s="1" t="str">
        <f>"9725Y432"</f>
        <v>9725Y432</v>
      </c>
      <c r="H12793" s="1" t="str">
        <f>"도화간 33AL2"</f>
        <v>도화간 33AL2</v>
      </c>
      <c r="I12793" s="1" t="s">
        <v>8</v>
      </c>
      <c r="J12793" s="1" t="str">
        <f>"41/41"</f>
        <v>41/41</v>
      </c>
      <c r="K12793" s="1" t="str">
        <f>"2026-07-29 13:18:12"</f>
        <v>2026-07-29 13:18:12</v>
      </c>
      <c r="L12793" s="1" t="str">
        <f>"2014-11-28 00:12:32"</f>
        <v>2014-11-28 00:12:32</v>
      </c>
      <c r="M12793" s="1" t="s">
        <v>45</v>
      </c>
      <c r="N12793" s="1" t="s">
        <v>38</v>
      </c>
      <c r="O12793" s="1" t="s">
        <v>46</v>
      </c>
    </row>
    <row r="12794" spans="2:15" x14ac:dyDescent="0.3">
      <c r="B12794" s="1" t="s">
        <v>20</v>
      </c>
      <c r="C12794" s="1" t="str">
        <f>"6차"</f>
        <v>6차</v>
      </c>
      <c r="D12794" s="1" t="str">
        <f>"9725Y4616S"</f>
        <v>9725Y4616S</v>
      </c>
      <c r="E12794" s="1" t="s">
        <v>10</v>
      </c>
      <c r="F12794" s="1" t="str">
        <f>"fde1:103:4:c607:0:0:0:2"</f>
        <v>fde1:103:4:c607:0:0:0:2</v>
      </c>
      <c r="G12794" s="1" t="str">
        <f>"9725Y461"</f>
        <v>9725Y461</v>
      </c>
      <c r="H12794" s="1" t="str">
        <f>"도화간 31R4"</f>
        <v>도화간 31R4</v>
      </c>
      <c r="I12794" s="1" t="s">
        <v>15</v>
      </c>
      <c r="J12794" s="1" t="str">
        <f>"39/39"</f>
        <v>39/39</v>
      </c>
      <c r="K12794" s="1" t="str">
        <f>"2026-07-29 14:20:37"</f>
        <v>2026-07-29 14:20:37</v>
      </c>
      <c r="L12794" s="1" t="str">
        <f>"2024-11-11 17:15:52"</f>
        <v>2024-11-11 17:15:52</v>
      </c>
      <c r="M12794" s="1" t="s">
        <v>4</v>
      </c>
      <c r="N12794" s="1" t="s">
        <v>38</v>
      </c>
      <c r="O12794" s="1" t="s">
        <v>46</v>
      </c>
    </row>
    <row r="12795" spans="2:15" x14ac:dyDescent="0.3">
      <c r="B12795" s="1" t="s">
        <v>20</v>
      </c>
      <c r="C12795" s="1" t="str">
        <f>"1차"</f>
        <v>1차</v>
      </c>
      <c r="D12795" s="1" t="str">
        <f>"9725Y47201"</f>
        <v>9725Y47201</v>
      </c>
      <c r="E12795" s="1" t="s">
        <v>14</v>
      </c>
      <c r="F12795" s="1" t="str">
        <f>"10.125.128.166"</f>
        <v>10.125.128.166</v>
      </c>
      <c r="G12795" s="1" t="str">
        <f>"9725Y472"</f>
        <v>9725Y472</v>
      </c>
      <c r="H12795" s="1" t="str">
        <f>"도화간 31R5"</f>
        <v>도화간 31R5</v>
      </c>
      <c r="I12795" s="1" t="s">
        <v>8</v>
      </c>
      <c r="J12795" s="1" t="str">
        <f>"0/0"</f>
        <v>0/0</v>
      </c>
      <c r="K12795" s="1" t="str">
        <f>"2024-07-15 09:20:09"</f>
        <v>2024-07-15 09:20:09</v>
      </c>
      <c r="L12795" s="1" t="str">
        <f>"2014-11-03 11:22:50"</f>
        <v>2014-11-03 11:22:50</v>
      </c>
      <c r="M12795" s="1" t="s">
        <v>45</v>
      </c>
      <c r="N12795" s="1" t="s">
        <v>44</v>
      </c>
      <c r="O12795" s="1" t="s">
        <v>44</v>
      </c>
    </row>
    <row r="12796" spans="2:15" x14ac:dyDescent="0.3">
      <c r="B12796" s="1" t="s">
        <v>20</v>
      </c>
      <c r="C12796" s="1" t="str">
        <f>"6차"</f>
        <v>6차</v>
      </c>
      <c r="D12796" s="1" t="str">
        <f>"9725Y5416S"</f>
        <v>9725Y5416S</v>
      </c>
      <c r="E12796" s="1" t="s">
        <v>10</v>
      </c>
      <c r="F12796" s="1" t="str">
        <f>"fde1:103:4:c7db:0:0:0:2"</f>
        <v>fde1:103:4:c7db:0:0:0:2</v>
      </c>
      <c r="G12796" s="1" t="str">
        <f>"9725Y541"</f>
        <v>9725Y541</v>
      </c>
      <c r="H12796" s="1" t="str">
        <f>"도화간 30R3"</f>
        <v>도화간 30R3</v>
      </c>
      <c r="I12796" s="1" t="s">
        <v>15</v>
      </c>
      <c r="J12796" s="1" t="str">
        <f>"42/43"</f>
        <v>42/43</v>
      </c>
      <c r="K12796" s="1" t="str">
        <f>"2026-07-29 14:21:03"</f>
        <v>2026-07-29 14:21:03</v>
      </c>
      <c r="L12796" s="1" t="str">
        <f>"2024-11-22 15:42:22"</f>
        <v>2024-11-22 15:42:22</v>
      </c>
      <c r="M12796" s="1" t="s">
        <v>4</v>
      </c>
      <c r="N12796" s="1" t="s">
        <v>38</v>
      </c>
      <c r="O12796" s="1" t="s">
        <v>46</v>
      </c>
    </row>
    <row r="12797" spans="2:15" x14ac:dyDescent="0.3">
      <c r="B12797" s="1" t="s">
        <v>20</v>
      </c>
      <c r="C12797" s="1" t="str">
        <f>"6차"</f>
        <v>6차</v>
      </c>
      <c r="D12797" s="1" t="str">
        <f>"9725Y5426S"</f>
        <v>9725Y5426S</v>
      </c>
      <c r="E12797" s="1" t="s">
        <v>10</v>
      </c>
      <c r="F12797" s="1" t="str">
        <f>"fde1:103:4:c5cf:0:0:0:2"</f>
        <v>fde1:103:4:c5cf:0:0:0:2</v>
      </c>
      <c r="G12797" s="1" t="str">
        <f>"9725Y542"</f>
        <v>9725Y542</v>
      </c>
      <c r="H12797" s="1" t="str">
        <f>"도화간 30R4"</f>
        <v>도화간 30R4</v>
      </c>
      <c r="I12797" s="1" t="s">
        <v>15</v>
      </c>
      <c r="J12797" s="1" t="str">
        <f>"60/60"</f>
        <v>60/60</v>
      </c>
      <c r="K12797" s="1" t="str">
        <f>"2026-07-29 14:21:06"</f>
        <v>2026-07-29 14:21:06</v>
      </c>
      <c r="L12797" s="1" t="str">
        <f>"2024-11-04 15:41:59"</f>
        <v>2024-11-04 15:41:59</v>
      </c>
      <c r="M12797" s="1" t="s">
        <v>4</v>
      </c>
      <c r="N12797" s="1" t="s">
        <v>38</v>
      </c>
      <c r="O12797" s="1" t="s">
        <v>46</v>
      </c>
    </row>
    <row r="12798" spans="2:15" x14ac:dyDescent="0.3">
      <c r="B12798" s="1" t="s">
        <v>20</v>
      </c>
      <c r="C12798" s="1" t="str">
        <f>"1차"</f>
        <v>1차</v>
      </c>
      <c r="D12798" s="1" t="str">
        <f>"9725Y57200"</f>
        <v>9725Y57200</v>
      </c>
      <c r="E12798" s="1" t="s">
        <v>10</v>
      </c>
      <c r="F12798" s="1" t="str">
        <f>"10.125.195.162"</f>
        <v>10.125.195.162</v>
      </c>
      <c r="G12798" s="1" t="str">
        <f>"9725Y572"</f>
        <v>9725Y572</v>
      </c>
      <c r="H12798" s="1" t="str">
        <f>"토정간 40"</f>
        <v>토정간 40</v>
      </c>
      <c r="I12798" s="1" t="s">
        <v>8</v>
      </c>
      <c r="J12798" s="1" t="str">
        <f>"18/18"</f>
        <v>18/18</v>
      </c>
      <c r="K12798" s="1" t="str">
        <f>"2026-07-29 13:18:12"</f>
        <v>2026-07-29 13:18:12</v>
      </c>
      <c r="L12798" s="1" t="str">
        <f>"2014-07-31 02:12:15"</f>
        <v>2014-07-31 02:12:15</v>
      </c>
      <c r="M12798" s="1" t="s">
        <v>45</v>
      </c>
      <c r="N12798" s="1" t="s">
        <v>38</v>
      </c>
      <c r="O12798" s="1" t="s">
        <v>46</v>
      </c>
    </row>
    <row r="12799" spans="2:15" x14ac:dyDescent="0.3">
      <c r="B12799" s="1" t="s">
        <v>20</v>
      </c>
      <c r="C12799" s="1" t="str">
        <f>"6차"</f>
        <v>6차</v>
      </c>
      <c r="D12799" s="1" t="str">
        <f>"9725Y6226S"</f>
        <v>9725Y6226S</v>
      </c>
      <c r="E12799" s="1" t="s">
        <v>10</v>
      </c>
      <c r="F12799" s="1" t="str">
        <f>"fde1:103:4:c75d:0:0:0:2"</f>
        <v>fde1:103:4:c75d:0:0:0:2</v>
      </c>
      <c r="G12799" s="1" t="str">
        <f>"9725Y622"</f>
        <v>9725Y622</v>
      </c>
      <c r="H12799" s="1" t="str">
        <f>"도화간 30R1R2"</f>
        <v>도화간 30R1R2</v>
      </c>
      <c r="I12799" s="1" t="s">
        <v>15</v>
      </c>
      <c r="J12799" s="1" t="str">
        <f>"35/35"</f>
        <v>35/35</v>
      </c>
      <c r="K12799" s="1" t="str">
        <f>"2026-07-29 14:21:04"</f>
        <v>2026-07-29 14:21:04</v>
      </c>
      <c r="L12799" s="1" t="str">
        <f>"2024-11-22 15:43:24"</f>
        <v>2024-11-22 15:43:24</v>
      </c>
      <c r="M12799" s="1" t="s">
        <v>4</v>
      </c>
      <c r="N12799" s="1" t="s">
        <v>38</v>
      </c>
      <c r="O12799" s="1" t="s">
        <v>46</v>
      </c>
    </row>
    <row r="12800" spans="2:15" x14ac:dyDescent="0.3">
      <c r="B12800" s="1" t="s">
        <v>20</v>
      </c>
      <c r="C12800" s="1" t="str">
        <f>"1차"</f>
        <v>1차</v>
      </c>
      <c r="D12800" s="1" t="str">
        <f>"9725Y62601"</f>
        <v>9725Y62601</v>
      </c>
      <c r="E12800" s="1" t="s">
        <v>10</v>
      </c>
      <c r="F12800" s="1" t="str">
        <f>"10.125.195.179"</f>
        <v>10.125.195.179</v>
      </c>
      <c r="G12800" s="1" t="str">
        <f>"9725Y626"</f>
        <v>9725Y626</v>
      </c>
      <c r="H12800" s="1" t="str">
        <f>"도화간 26R2"</f>
        <v>도화간 26R2</v>
      </c>
      <c r="I12800" s="1" t="s">
        <v>8</v>
      </c>
      <c r="J12800" s="1" t="str">
        <f>"15/15"</f>
        <v>15/15</v>
      </c>
      <c r="K12800" s="1" t="str">
        <f>"2026-07-29 13:18:12"</f>
        <v>2026-07-29 13:18:12</v>
      </c>
      <c r="L12800" s="1" t="str">
        <f>"2014-11-03 11:12:15"</f>
        <v>2014-11-03 11:12:15</v>
      </c>
      <c r="M12800" s="1" t="s">
        <v>45</v>
      </c>
      <c r="N12800" s="1" t="s">
        <v>38</v>
      </c>
      <c r="O12800" s="1" t="s">
        <v>46</v>
      </c>
    </row>
    <row r="12801" spans="2:15" x14ac:dyDescent="0.3">
      <c r="B12801" s="1" t="s">
        <v>20</v>
      </c>
      <c r="C12801" s="1" t="str">
        <f>"1차"</f>
        <v>1차</v>
      </c>
      <c r="D12801" s="1" t="str">
        <f>"9725Y63101"</f>
        <v>9725Y63101</v>
      </c>
      <c r="E12801" s="1" t="s">
        <v>10</v>
      </c>
      <c r="F12801" s="1" t="str">
        <f>"10.14.8.191"</f>
        <v>10.14.8.191</v>
      </c>
      <c r="G12801" s="1" t="str">
        <f>"9725Y631"</f>
        <v>9725Y631</v>
      </c>
      <c r="H12801" s="1" t="str">
        <f>"도화간 30R1R3"</f>
        <v>도화간 30R1R3</v>
      </c>
      <c r="I12801" s="1" t="s">
        <v>8</v>
      </c>
      <c r="J12801" s="1" t="str">
        <f>"9/9"</f>
        <v>9/9</v>
      </c>
      <c r="K12801" s="1" t="str">
        <f>"2026-07-29 13:18:12"</f>
        <v>2026-07-29 13:18:12</v>
      </c>
      <c r="L12801" s="1" t="str">
        <f>"2014-11-03 11:00:11"</f>
        <v>2014-11-03 11:00:11</v>
      </c>
      <c r="M12801" s="1" t="s">
        <v>3</v>
      </c>
      <c r="N12801" s="1" t="s">
        <v>38</v>
      </c>
      <c r="O12801" s="1" t="s">
        <v>46</v>
      </c>
    </row>
    <row r="12802" spans="2:15" x14ac:dyDescent="0.3">
      <c r="B12802" s="1" t="s">
        <v>20</v>
      </c>
      <c r="C12802" s="1" t="str">
        <f>"1차"</f>
        <v>1차</v>
      </c>
      <c r="D12802" s="1" t="str">
        <f>"9725Y73100"</f>
        <v>9725Y73100</v>
      </c>
      <c r="E12802" s="1" t="s">
        <v>10</v>
      </c>
      <c r="F12802" s="1" t="str">
        <f>"10.125.195.178"</f>
        <v>10.125.195.178</v>
      </c>
      <c r="G12802" s="1" t="str">
        <f>"9725Y731"</f>
        <v>9725Y731</v>
      </c>
      <c r="H12802" s="1" t="str">
        <f>"토정간 31L1"</f>
        <v>토정간 31L1</v>
      </c>
      <c r="I12802" s="1" t="s">
        <v>8</v>
      </c>
      <c r="J12802" s="1" t="str">
        <f>"16/16"</f>
        <v>16/16</v>
      </c>
      <c r="K12802" s="1" t="str">
        <f>"2026-07-29 13:18:12"</f>
        <v>2026-07-29 13:18:12</v>
      </c>
      <c r="L12802" s="1" t="str">
        <f>"2014-11-03 11:08:22"</f>
        <v>2014-11-03 11:08:22</v>
      </c>
      <c r="M12802" s="1" t="s">
        <v>45</v>
      </c>
      <c r="N12802" s="1" t="s">
        <v>38</v>
      </c>
      <c r="O12802" s="1" t="s">
        <v>46</v>
      </c>
    </row>
    <row r="12803" spans="2:15" x14ac:dyDescent="0.3">
      <c r="B12803" s="1" t="s">
        <v>20</v>
      </c>
      <c r="C12803" s="1" t="str">
        <f>"1차"</f>
        <v>1차</v>
      </c>
      <c r="D12803" s="1" t="str">
        <f>"9725Y73300"</f>
        <v>9725Y73300</v>
      </c>
      <c r="E12803" s="1" t="s">
        <v>10</v>
      </c>
      <c r="F12803" s="1" t="str">
        <f>"10.125.195.82"</f>
        <v>10.125.195.82</v>
      </c>
      <c r="G12803" s="1" t="str">
        <f>"9725Y733"</f>
        <v>9725Y733</v>
      </c>
      <c r="H12803" s="1" t="str">
        <f>"토정간 35L4"</f>
        <v>토정간 35L4</v>
      </c>
      <c r="I12803" s="1" t="s">
        <v>8</v>
      </c>
      <c r="J12803" s="1" t="str">
        <f>"8/8"</f>
        <v>8/8</v>
      </c>
      <c r="K12803" s="1" t="str">
        <f>"2026-07-29 13:18:12"</f>
        <v>2026-07-29 13:18:12</v>
      </c>
      <c r="L12803" s="1" t="str">
        <f>"2014-11-19 13:51:02"</f>
        <v>2014-11-19 13:51:02</v>
      </c>
      <c r="M12803" s="1" t="s">
        <v>45</v>
      </c>
      <c r="N12803" s="1" t="s">
        <v>38</v>
      </c>
      <c r="O12803" s="1" t="s">
        <v>46</v>
      </c>
    </row>
    <row r="12804" spans="2:15" x14ac:dyDescent="0.3">
      <c r="B12804" s="1" t="s">
        <v>20</v>
      </c>
      <c r="C12804" s="1" t="str">
        <f>"5-2차"</f>
        <v>5-2차</v>
      </c>
      <c r="D12804" s="1" t="str">
        <f>"9725Y7525M"</f>
        <v>9725Y7525M</v>
      </c>
      <c r="E12804" s="1" t="s">
        <v>10</v>
      </c>
      <c r="F12804" s="1" t="str">
        <f>"fde3:102:1300:4502:0:0:0:2"</f>
        <v>fde3:102:1300:4502:0:0:0:2</v>
      </c>
      <c r="G12804" s="1" t="str">
        <f>"9725Y752"</f>
        <v>9725Y752</v>
      </c>
      <c r="H12804" s="1" t="str">
        <f>"토정간 34"</f>
        <v>토정간 34</v>
      </c>
      <c r="I12804" s="1" t="s">
        <v>15</v>
      </c>
      <c r="J12804" s="1" t="str">
        <f>"26/26"</f>
        <v>26/26</v>
      </c>
      <c r="K12804" s="1" t="str">
        <f>"2026-07-29 14:21:04"</f>
        <v>2026-07-29 14:21:04</v>
      </c>
      <c r="L12804" s="1" t="str">
        <f>"2023-09-22 11:16:30"</f>
        <v>2023-09-22 11:16:30</v>
      </c>
      <c r="M12804" s="1" t="s">
        <v>45</v>
      </c>
      <c r="N12804" s="1" t="s">
        <v>38</v>
      </c>
      <c r="O12804" s="1" t="s">
        <v>46</v>
      </c>
    </row>
    <row r="12805" spans="2:15" x14ac:dyDescent="0.3">
      <c r="B12805" s="1" t="s">
        <v>20</v>
      </c>
      <c r="C12805" s="1" t="str">
        <f>"5-2차"</f>
        <v>5-2차</v>
      </c>
      <c r="D12805" s="1" t="str">
        <f>"9725Y8435M"</f>
        <v>9725Y8435M</v>
      </c>
      <c r="E12805" s="1" t="s">
        <v>10</v>
      </c>
      <c r="F12805" s="1" t="str">
        <f>"fde3:102:1300:4501:0:0:0:2"</f>
        <v>fde3:102:1300:4501:0:0:0:2</v>
      </c>
      <c r="G12805" s="1" t="str">
        <f>"9725Y843"</f>
        <v>9725Y843</v>
      </c>
      <c r="H12805" s="1" t="str">
        <f>"토정간 31"</f>
        <v>토정간 31</v>
      </c>
      <c r="I12805" s="1" t="s">
        <v>15</v>
      </c>
      <c r="J12805" s="1" t="str">
        <f>"43/45"</f>
        <v>43/45</v>
      </c>
      <c r="K12805" s="1" t="str">
        <f>"2026-07-29 14:21:04"</f>
        <v>2026-07-29 14:21:04</v>
      </c>
      <c r="L12805" s="1" t="str">
        <f>"2023-09-22 11:35:28"</f>
        <v>2023-09-22 11:35:28</v>
      </c>
      <c r="M12805" s="1" t="s">
        <v>45</v>
      </c>
      <c r="N12805" s="1" t="s">
        <v>38</v>
      </c>
      <c r="O12805" s="1" t="s">
        <v>46</v>
      </c>
    </row>
    <row r="12806" spans="2:15" x14ac:dyDescent="0.3">
      <c r="B12806" s="1" t="s">
        <v>20</v>
      </c>
      <c r="C12806" s="1" t="str">
        <f>"5-2차"</f>
        <v>5-2차</v>
      </c>
      <c r="D12806" s="1" t="str">
        <f>"9725Y9325S"</f>
        <v>9725Y9325S</v>
      </c>
      <c r="E12806" s="1" t="s">
        <v>10</v>
      </c>
      <c r="F12806" s="1" t="str">
        <f>"fde3:102:1300:4700:0:0:0:6"</f>
        <v>fde3:102:1300:4700:0:0:0:6</v>
      </c>
      <c r="G12806" s="1" t="str">
        <f>"9725Y932"</f>
        <v>9725Y932</v>
      </c>
      <c r="H12806" s="1" t="str">
        <f>"토정간 27R1L2"</f>
        <v>토정간 27R1L2</v>
      </c>
      <c r="I12806" s="1" t="s">
        <v>15</v>
      </c>
      <c r="J12806" s="1" t="str">
        <f>"40/40"</f>
        <v>40/40</v>
      </c>
      <c r="K12806" s="1" t="str">
        <f>"2026-07-29 14:21:04"</f>
        <v>2026-07-29 14:21:04</v>
      </c>
      <c r="L12806" s="1" t="str">
        <f>"2023-10-13 16:37:46"</f>
        <v>2023-10-13 16:37:46</v>
      </c>
      <c r="M12806" s="1" t="s">
        <v>45</v>
      </c>
      <c r="N12806" s="1" t="s">
        <v>38</v>
      </c>
      <c r="O12806" s="1" t="s">
        <v>46</v>
      </c>
    </row>
    <row r="12807" spans="2:15" x14ac:dyDescent="0.3">
      <c r="B12807" s="1" t="s">
        <v>20</v>
      </c>
      <c r="C12807" s="1" t="str">
        <f>"5-2차"</f>
        <v>5-2차</v>
      </c>
      <c r="D12807" s="1" t="str">
        <f>"9725Y9415M"</f>
        <v>9725Y9415M</v>
      </c>
      <c r="E12807" s="1" t="s">
        <v>10</v>
      </c>
      <c r="F12807" s="1" t="str">
        <f>"fde3:102:1300:4500:0:0:0:2"</f>
        <v>fde3:102:1300:4500:0:0:0:2</v>
      </c>
      <c r="G12807" s="1" t="str">
        <f>"9725Y941"</f>
        <v>9725Y941</v>
      </c>
      <c r="H12807" s="1" t="str">
        <f>"토정간 29R1"</f>
        <v>토정간 29R1</v>
      </c>
      <c r="I12807" s="1" t="s">
        <v>15</v>
      </c>
      <c r="J12807" s="1" t="str">
        <f>"22/22"</f>
        <v>22/22</v>
      </c>
      <c r="K12807" s="1" t="str">
        <f>"2026-07-29 14:21:04"</f>
        <v>2026-07-29 14:21:04</v>
      </c>
      <c r="L12807" s="1" t="str">
        <f>"2023-09-22 10:52:30"</f>
        <v>2023-09-22 10:52:30</v>
      </c>
      <c r="M12807" s="1" t="s">
        <v>45</v>
      </c>
      <c r="N12807" s="1" t="s">
        <v>38</v>
      </c>
      <c r="O12807" s="1" t="s">
        <v>46</v>
      </c>
    </row>
    <row r="12808" spans="2:15" x14ac:dyDescent="0.3">
      <c r="B12808" s="1" t="s">
        <v>20</v>
      </c>
      <c r="C12808" s="1" t="str">
        <f>"5-1차"</f>
        <v>5-1차</v>
      </c>
      <c r="D12808" s="1" t="str">
        <f>"9725Y9515S"</f>
        <v>9725Y9515S</v>
      </c>
      <c r="E12808" s="1" t="s">
        <v>10</v>
      </c>
      <c r="F12808" s="1" t="str">
        <f>"fde3:102:1300:4700:0:0:0:2"</f>
        <v>fde3:102:1300:4700:0:0:0:2</v>
      </c>
      <c r="G12808" s="1" t="str">
        <f>"9725Y951"</f>
        <v>9725Y951</v>
      </c>
      <c r="H12808" s="1" t="str">
        <f>"토정간 27R1L4"</f>
        <v>토정간 27R1L4</v>
      </c>
      <c r="I12808" s="1" t="s">
        <v>15</v>
      </c>
      <c r="J12808" s="1" t="str">
        <f>"27/27"</f>
        <v>27/27</v>
      </c>
      <c r="K12808" s="1" t="str">
        <f>"2026-07-29 14:21:05"</f>
        <v>2026-07-29 14:21:05</v>
      </c>
      <c r="L12808" s="1" t="str">
        <f>"2022-11-10 06:53:14"</f>
        <v>2022-11-10 06:53:14</v>
      </c>
      <c r="M12808" s="1" t="s">
        <v>45</v>
      </c>
      <c r="N12808" s="1" t="s">
        <v>38</v>
      </c>
      <c r="O12808" s="1" t="s">
        <v>46</v>
      </c>
    </row>
    <row r="12809" spans="2:15" x14ac:dyDescent="0.3">
      <c r="B12809" s="1" t="s">
        <v>20</v>
      </c>
      <c r="C12809" s="1" t="str">
        <f>"4차"</f>
        <v>4차</v>
      </c>
      <c r="D12809" s="1" t="str">
        <f>"9725Y95241"</f>
        <v>9725Y95241</v>
      </c>
      <c r="E12809" s="1" t="s">
        <v>10</v>
      </c>
      <c r="F12809" s="1" t="str">
        <f>"10.14.11.44"</f>
        <v>10.14.11.44</v>
      </c>
      <c r="G12809" s="1" t="str">
        <f>"9725Y952"</f>
        <v>9725Y952</v>
      </c>
      <c r="H12809" s="1" t="str">
        <f>"토정간 27R1L5"</f>
        <v>토정간 27R1L5</v>
      </c>
      <c r="I12809" s="1" t="s">
        <v>17</v>
      </c>
      <c r="J12809" s="1" t="str">
        <f>"34/45"</f>
        <v>34/45</v>
      </c>
      <c r="K12809" s="1" t="str">
        <f>"2026-07-29 13:18:12"</f>
        <v>2026-07-29 13:18:12</v>
      </c>
      <c r="L12809" s="1" t="str">
        <f>"2021-08-09 09:43:40"</f>
        <v>2021-08-09 09:43:40</v>
      </c>
      <c r="M12809" s="1" t="s">
        <v>3</v>
      </c>
      <c r="N12809" s="1" t="s">
        <v>38</v>
      </c>
      <c r="O12809" s="1" t="s">
        <v>46</v>
      </c>
    </row>
    <row r="12810" spans="2:15" x14ac:dyDescent="0.3">
      <c r="B12810" s="1" t="s">
        <v>20</v>
      </c>
      <c r="C12810" s="1" t="str">
        <f>"1차"</f>
        <v>1차</v>
      </c>
      <c r="D12810" s="1" t="str">
        <f>"9725Y97101"</f>
        <v>9725Y97101</v>
      </c>
      <c r="E12810" s="1" t="s">
        <v>10</v>
      </c>
      <c r="F12810" s="1" t="str">
        <f>"10.12.133.208"</f>
        <v>10.12.133.208</v>
      </c>
      <c r="G12810" s="1" t="str">
        <f>"9725Y971"</f>
        <v>9725Y971</v>
      </c>
      <c r="H12810" s="1" t="str">
        <f>"신상간 6L1H1L3"</f>
        <v>신상간 6L1H1L3</v>
      </c>
      <c r="I12810" s="1" t="s">
        <v>8</v>
      </c>
      <c r="J12810" s="1" t="str">
        <f>"24/24"</f>
        <v>24/24</v>
      </c>
      <c r="K12810" s="1" t="str">
        <f>"2026-07-29 13:18:11"</f>
        <v>2026-07-29 13:18:11</v>
      </c>
      <c r="L12810" s="1" t="str">
        <f>"2022-05-20 13:00:28"</f>
        <v>2022-05-20 13:00:28</v>
      </c>
      <c r="M12810" s="1" t="s">
        <v>0</v>
      </c>
      <c r="N12810" s="1" t="s">
        <v>38</v>
      </c>
      <c r="O12810" s="1" t="s">
        <v>46</v>
      </c>
    </row>
    <row r="12811" spans="2:15" x14ac:dyDescent="0.3">
      <c r="B12811" s="1" t="s">
        <v>20</v>
      </c>
      <c r="C12811" s="1" t="str">
        <f>"1차"</f>
        <v>1차</v>
      </c>
      <c r="D12811" s="1" t="str">
        <f>"9725Y97200"</f>
        <v>9725Y97200</v>
      </c>
      <c r="E12811" s="1" t="s">
        <v>10</v>
      </c>
      <c r="F12811" s="1" t="str">
        <f>"10.125.128.174"</f>
        <v>10.125.128.174</v>
      </c>
      <c r="G12811" s="1" t="str">
        <f>"9725Y972"</f>
        <v>9725Y972</v>
      </c>
      <c r="H12811" s="1" t="str">
        <f>"신상간 6L1H1L2"</f>
        <v>신상간 6L1H1L2</v>
      </c>
      <c r="I12811" s="1" t="s">
        <v>8</v>
      </c>
      <c r="J12811" s="1" t="str">
        <f>"20/20"</f>
        <v>20/20</v>
      </c>
      <c r="K12811" s="1" t="str">
        <f>"2026-07-29 13:18:11"</f>
        <v>2026-07-29 13:18:11</v>
      </c>
      <c r="L12811" s="1" t="str">
        <f>"2014-11-17 17:26:46"</f>
        <v>2014-11-17 17:26:46</v>
      </c>
      <c r="M12811" s="1" t="s">
        <v>45</v>
      </c>
      <c r="N12811" s="1" t="s">
        <v>38</v>
      </c>
      <c r="O12811" s="1" t="s">
        <v>46</v>
      </c>
    </row>
    <row r="12812" spans="2:15" x14ac:dyDescent="0.3">
      <c r="B12812" s="1" t="s">
        <v>20</v>
      </c>
      <c r="C12812" s="1" t="str">
        <f>"6차"</f>
        <v>6차</v>
      </c>
      <c r="D12812" s="1" t="str">
        <f>"9725Y9736M"</f>
        <v>9725Y9736M</v>
      </c>
      <c r="E12812" s="1" t="s">
        <v>10</v>
      </c>
      <c r="F12812" s="1" t="str">
        <f>"fde1:103:4:c757:0:0:0:2"</f>
        <v>fde1:103:4:c757:0:0:0:2</v>
      </c>
      <c r="G12812" s="1" t="str">
        <f>"9725Y973"</f>
        <v>9725Y973</v>
      </c>
      <c r="H12812" s="1" t="str">
        <f>"신상간 6L5L5"</f>
        <v>신상간 6L5L5</v>
      </c>
      <c r="I12812" s="1" t="s">
        <v>15</v>
      </c>
      <c r="J12812" s="1" t="str">
        <f>"86/89"</f>
        <v>86/89</v>
      </c>
      <c r="K12812" s="1" t="str">
        <f>"2026-07-29 14:21:31"</f>
        <v>2026-07-29 14:21:31</v>
      </c>
      <c r="L12812" s="1" t="str">
        <f>"2024-11-25 10:47:52"</f>
        <v>2024-11-25 10:47:52</v>
      </c>
      <c r="M12812" s="1" t="s">
        <v>4</v>
      </c>
      <c r="N12812" s="1" t="s">
        <v>38</v>
      </c>
      <c r="O12812" s="1" t="s">
        <v>46</v>
      </c>
    </row>
    <row r="12813" spans="2:15" x14ac:dyDescent="0.3">
      <c r="B12813" s="1" t="s">
        <v>20</v>
      </c>
      <c r="C12813" s="1" t="str">
        <f>"1차"</f>
        <v>1차</v>
      </c>
      <c r="D12813" s="1" t="str">
        <f>"9725Y98100"</f>
        <v>9725Y98100</v>
      </c>
      <c r="E12813" s="1" t="s">
        <v>10</v>
      </c>
      <c r="F12813" s="1" t="str">
        <f>"10.125.129.147"</f>
        <v>10.125.129.147</v>
      </c>
      <c r="G12813" s="1" t="str">
        <f>"9725Y981"</f>
        <v>9725Y981</v>
      </c>
      <c r="H12813" s="1" t="str">
        <f>"신상간 6L3"</f>
        <v>신상간 6L3</v>
      </c>
      <c r="I12813" s="1" t="s">
        <v>8</v>
      </c>
      <c r="J12813" s="1" t="str">
        <f>"4/4"</f>
        <v>4/4</v>
      </c>
      <c r="K12813" s="1" t="str">
        <f>"2026-07-29 13:18:11"</f>
        <v>2026-07-29 13:18:11</v>
      </c>
      <c r="L12813" s="1" t="str">
        <f>"2014-11-17 17:25:54"</f>
        <v>2014-11-17 17:25:54</v>
      </c>
      <c r="M12813" s="1" t="s">
        <v>45</v>
      </c>
      <c r="N12813" s="1" t="s">
        <v>38</v>
      </c>
      <c r="O12813" s="1" t="s">
        <v>46</v>
      </c>
    </row>
    <row r="12814" spans="2:15" x14ac:dyDescent="0.3">
      <c r="B12814" s="1" t="s">
        <v>20</v>
      </c>
      <c r="C12814" s="1" t="str">
        <f>"6차"</f>
        <v>6차</v>
      </c>
      <c r="D12814" s="1" t="str">
        <f>"9725Y9826M"</f>
        <v>9725Y9826M</v>
      </c>
      <c r="E12814" s="1" t="s">
        <v>10</v>
      </c>
      <c r="F12814" s="1" t="str">
        <f>"fde1:103:4:c73d:0:0:0:2"</f>
        <v>fde1:103:4:c73d:0:0:0:2</v>
      </c>
      <c r="G12814" s="1" t="str">
        <f>"9725Y982"</f>
        <v>9725Y982</v>
      </c>
      <c r="H12814" s="1" t="str">
        <f>"신상간 6L2"</f>
        <v>신상간 6L2</v>
      </c>
      <c r="I12814" s="1" t="s">
        <v>15</v>
      </c>
      <c r="J12814" s="1" t="str">
        <f>"17/17"</f>
        <v>17/17</v>
      </c>
      <c r="K12814" s="1" t="str">
        <f>"2026-07-29 14:21:15"</f>
        <v>2026-07-29 14:21:15</v>
      </c>
      <c r="L12814" s="1" t="str">
        <f>"2024-11-25 10:49:37"</f>
        <v>2024-11-25 10:49:37</v>
      </c>
      <c r="M12814" s="1" t="s">
        <v>4</v>
      </c>
      <c r="N12814" s="1" t="s">
        <v>38</v>
      </c>
      <c r="O12814" s="1" t="s">
        <v>46</v>
      </c>
    </row>
    <row r="12815" spans="2:15" x14ac:dyDescent="0.3">
      <c r="B12815" s="1" t="s">
        <v>20</v>
      </c>
      <c r="C12815" s="1" t="str">
        <f>"1차"</f>
        <v>1차</v>
      </c>
      <c r="D12815" s="1" t="str">
        <f>"9725Y99300"</f>
        <v>9725Y99300</v>
      </c>
      <c r="E12815" s="1" t="s">
        <v>10</v>
      </c>
      <c r="F12815" s="1" t="str">
        <f>"10.125.129.86"</f>
        <v>10.125.129.86</v>
      </c>
      <c r="G12815" s="1" t="str">
        <f>"9725Y993"</f>
        <v>9725Y993</v>
      </c>
      <c r="H12815" s="1" t="str">
        <f>"신상간 9R1R1"</f>
        <v>신상간 9R1R1</v>
      </c>
      <c r="I12815" s="1" t="s">
        <v>8</v>
      </c>
      <c r="J12815" s="1" t="str">
        <f>"25/25"</f>
        <v>25/25</v>
      </c>
      <c r="K12815" s="1" t="str">
        <f>"2026-07-29 13:18:12"</f>
        <v>2026-07-29 13:18:12</v>
      </c>
      <c r="L12815" s="1" t="str">
        <f>"2014-12-19 15:14:32"</f>
        <v>2014-12-19 15:14:32</v>
      </c>
      <c r="M12815" s="1" t="s">
        <v>45</v>
      </c>
      <c r="N12815" s="1" t="s">
        <v>38</v>
      </c>
      <c r="O12815" s="1" t="s">
        <v>46</v>
      </c>
    </row>
    <row r="12816" spans="2:15" x14ac:dyDescent="0.3">
      <c r="B12816" s="1" t="s">
        <v>20</v>
      </c>
      <c r="C12816" s="1" t="str">
        <f>"5-2차"</f>
        <v>5-2차</v>
      </c>
      <c r="D12816" s="1" t="str">
        <f>"9725Z0145M"</f>
        <v>9725Z0145M</v>
      </c>
      <c r="E12816" s="1" t="s">
        <v>10</v>
      </c>
      <c r="F12816" s="1" t="str">
        <f>"fde3:102:1300:4700:0:0:0:4"</f>
        <v>fde3:102:1300:4700:0:0:0:4</v>
      </c>
      <c r="G12816" s="1" t="str">
        <f>"9725Z014"</f>
        <v>9725Z014</v>
      </c>
      <c r="H12816" s="1" t="str">
        <f>"토정간 21R1L2"</f>
        <v>토정간 21R1L2</v>
      </c>
      <c r="I12816" s="1" t="s">
        <v>15</v>
      </c>
      <c r="J12816" s="1" t="str">
        <f>"45/45"</f>
        <v>45/45</v>
      </c>
      <c r="K12816" s="1" t="str">
        <f>"2026-07-29 14:21:02"</f>
        <v>2026-07-29 14:21:02</v>
      </c>
      <c r="L12816" s="1" t="str">
        <f>"2023-09-22 13:49:46"</f>
        <v>2023-09-22 13:49:46</v>
      </c>
      <c r="M12816" s="1" t="s">
        <v>45</v>
      </c>
      <c r="N12816" s="1" t="s">
        <v>38</v>
      </c>
      <c r="O12816" s="1" t="s">
        <v>46</v>
      </c>
    </row>
    <row r="12817" spans="2:15" x14ac:dyDescent="0.3">
      <c r="B12817" s="1" t="s">
        <v>20</v>
      </c>
      <c r="C12817" s="1" t="str">
        <f>"5-2차"</f>
        <v>5-2차</v>
      </c>
      <c r="D12817" s="1" t="str">
        <f>"9725Z0415M"</f>
        <v>9725Z0415M</v>
      </c>
      <c r="E12817" s="1" t="s">
        <v>10</v>
      </c>
      <c r="F12817" s="1" t="str">
        <f>"fde3:102:1300:4700:0:0:0:5"</f>
        <v>fde3:102:1300:4700:0:0:0:5</v>
      </c>
      <c r="G12817" s="1" t="str">
        <f>"9725Z041"</f>
        <v>9725Z041</v>
      </c>
      <c r="H12817" s="1" t="str">
        <f>"토정간 27R1L1R1"</f>
        <v>토정간 27R1L1R1</v>
      </c>
      <c r="I12817" s="1" t="s">
        <v>15</v>
      </c>
      <c r="J12817" s="1" t="str">
        <f>"45/45"</f>
        <v>45/45</v>
      </c>
      <c r="K12817" s="1" t="str">
        <f>"2026-07-29 14:21:02"</f>
        <v>2026-07-29 14:21:02</v>
      </c>
      <c r="L12817" s="1" t="str">
        <f>"2023-10-13 17:01:09"</f>
        <v>2023-10-13 17:01:09</v>
      </c>
      <c r="M12817" s="1" t="s">
        <v>45</v>
      </c>
      <c r="N12817" s="1" t="s">
        <v>38</v>
      </c>
      <c r="O12817" s="1" t="s">
        <v>46</v>
      </c>
    </row>
    <row r="12818" spans="2:15" x14ac:dyDescent="0.3">
      <c r="B12818" s="1" t="s">
        <v>20</v>
      </c>
      <c r="C12818" s="1" t="str">
        <f>"1차"</f>
        <v>1차</v>
      </c>
      <c r="D12818" s="1" t="str">
        <f>"9725Z06101"</f>
        <v>9725Z06101</v>
      </c>
      <c r="E12818" s="1" t="s">
        <v>10</v>
      </c>
      <c r="F12818" s="1" t="str">
        <f>"10.12.131.247"</f>
        <v>10.12.131.247</v>
      </c>
      <c r="G12818" s="1" t="str">
        <f>"9725Z061"</f>
        <v>9725Z061</v>
      </c>
      <c r="H12818" s="1" t="str">
        <f>"신상간 6L1H1L4"</f>
        <v>신상간 6L1H1L4</v>
      </c>
      <c r="I12818" s="1" t="s">
        <v>8</v>
      </c>
      <c r="J12818" s="1" t="str">
        <f>"1/1"</f>
        <v>1/1</v>
      </c>
      <c r="K12818" s="1" t="str">
        <f>"2026-07-29 13:18:12"</f>
        <v>2026-07-29 13:18:12</v>
      </c>
      <c r="L12818" s="1" t="str">
        <f>"2014-11-20 16:30:53"</f>
        <v>2014-11-20 16:30:53</v>
      </c>
      <c r="M12818" s="1" t="s">
        <v>0</v>
      </c>
      <c r="N12818" s="1" t="s">
        <v>38</v>
      </c>
      <c r="O12818" s="1" t="s">
        <v>46</v>
      </c>
    </row>
    <row r="12819" spans="2:15" x14ac:dyDescent="0.3">
      <c r="B12819" s="1" t="s">
        <v>20</v>
      </c>
      <c r="C12819" s="1" t="str">
        <f>"1차"</f>
        <v>1차</v>
      </c>
      <c r="D12819" s="1" t="str">
        <f>"9725Z06200"</f>
        <v>9725Z06200</v>
      </c>
      <c r="E12819" s="1" t="s">
        <v>10</v>
      </c>
      <c r="F12819" s="1" t="str">
        <f>"10.125.129.87"</f>
        <v>10.125.129.87</v>
      </c>
      <c r="G12819" s="1" t="str">
        <f>"9725Z062"</f>
        <v>9725Z062</v>
      </c>
      <c r="H12819" s="1" t="str">
        <f>"신상간 6L1H1L5"</f>
        <v>신상간 6L1H1L5</v>
      </c>
      <c r="I12819" s="1" t="s">
        <v>8</v>
      </c>
      <c r="J12819" s="1" t="str">
        <f>"12/12"</f>
        <v>12/12</v>
      </c>
      <c r="K12819" s="1" t="str">
        <f>"2026-07-29 13:18:11"</f>
        <v>2026-07-29 13:18:11</v>
      </c>
      <c r="L12819" s="1" t="str">
        <f>"2014-11-20 15:34:39"</f>
        <v>2014-11-20 15:34:39</v>
      </c>
      <c r="M12819" s="1" t="s">
        <v>45</v>
      </c>
      <c r="N12819" s="1" t="s">
        <v>38</v>
      </c>
      <c r="O12819" s="1" t="s">
        <v>46</v>
      </c>
    </row>
    <row r="12820" spans="2:15" x14ac:dyDescent="0.3">
      <c r="B12820" s="1" t="s">
        <v>20</v>
      </c>
      <c r="C12820" s="1" t="str">
        <f>"1차"</f>
        <v>1차</v>
      </c>
      <c r="D12820" s="1" t="str">
        <f>"9725Z08301"</f>
        <v>9725Z08301</v>
      </c>
      <c r="E12820" s="1" t="s">
        <v>10</v>
      </c>
      <c r="F12820" s="1" t="str">
        <f>"10.14.2.191"</f>
        <v>10.14.2.191</v>
      </c>
      <c r="G12820" s="1" t="str">
        <f>"9725Z083"</f>
        <v>9725Z083</v>
      </c>
      <c r="H12820" s="1" t="str">
        <f>"신상간 6L1H1L1"</f>
        <v>신상간 6L1H1L1</v>
      </c>
      <c r="I12820" s="1" t="s">
        <v>8</v>
      </c>
      <c r="J12820" s="1" t="str">
        <f>"13/13"</f>
        <v>13/13</v>
      </c>
      <c r="K12820" s="1" t="str">
        <f>"2026-07-29 13:18:12"</f>
        <v>2026-07-29 13:18:12</v>
      </c>
      <c r="L12820" s="1" t="str">
        <f>"2014-11-28 15:27:03"</f>
        <v>2014-11-28 15:27:03</v>
      </c>
      <c r="M12820" s="1" t="s">
        <v>3</v>
      </c>
      <c r="N12820" s="1" t="s">
        <v>38</v>
      </c>
      <c r="O12820" s="1" t="s">
        <v>46</v>
      </c>
    </row>
    <row r="12821" spans="2:15" x14ac:dyDescent="0.3">
      <c r="B12821" s="1" t="s">
        <v>20</v>
      </c>
      <c r="C12821" s="1" t="str">
        <f>"3차"</f>
        <v>3차</v>
      </c>
      <c r="D12821" s="1" t="str">
        <f>"9725Z09239"</f>
        <v>9725Z09239</v>
      </c>
      <c r="E12821" s="1" t="s">
        <v>10</v>
      </c>
      <c r="F12821" s="1" t="str">
        <f>"10.12.130.8"</f>
        <v>10.12.130.8</v>
      </c>
      <c r="G12821" s="1" t="str">
        <f>"9725Z092"</f>
        <v>9725Z092</v>
      </c>
      <c r="H12821" s="1" t="str">
        <f>"신상간 9R1R2"</f>
        <v>신상간 9R1R2</v>
      </c>
      <c r="I12821" s="1" t="s">
        <v>8</v>
      </c>
      <c r="J12821" s="1" t="str">
        <f>"44/44"</f>
        <v>44/44</v>
      </c>
      <c r="K12821" s="1" t="str">
        <f>"2026-07-29 13:18:11"</f>
        <v>2026-07-29 13:18:11</v>
      </c>
      <c r="L12821" s="1" t="str">
        <f>"2018-04-20 16:34:01"</f>
        <v>2018-04-20 16:34:01</v>
      </c>
      <c r="M12821" s="1" t="s">
        <v>0</v>
      </c>
      <c r="N12821" s="1" t="s">
        <v>38</v>
      </c>
      <c r="O12821" s="1" t="s">
        <v>46</v>
      </c>
    </row>
    <row r="12822" spans="2:15" x14ac:dyDescent="0.3">
      <c r="B12822" s="1" t="s">
        <v>20</v>
      </c>
      <c r="C12822" s="1" t="str">
        <f>"5-2차"</f>
        <v>5-2차</v>
      </c>
      <c r="D12822" s="1" t="str">
        <f>"9725Z1125M"</f>
        <v>9725Z1125M</v>
      </c>
      <c r="E12822" s="1" t="s">
        <v>10</v>
      </c>
      <c r="F12822" s="1" t="str">
        <f>"fde1:103:4:5610:0:0:0:2"</f>
        <v>fde1:103:4:5610:0:0:0:2</v>
      </c>
      <c r="G12822" s="1" t="str">
        <f>"9725Z112"</f>
        <v>9725Z112</v>
      </c>
      <c r="H12822" s="1" t="str">
        <f>"토정간 21R2L1"</f>
        <v>토정간 21R2L1</v>
      </c>
      <c r="I12822" s="1" t="s">
        <v>15</v>
      </c>
      <c r="J12822" s="1" t="str">
        <f>"31/31"</f>
        <v>31/31</v>
      </c>
      <c r="K12822" s="1" t="str">
        <f>"2026-07-29 14:21:04"</f>
        <v>2026-07-29 14:21:04</v>
      </c>
      <c r="L12822" s="1" t="str">
        <f>"2023-08-31 11:49:46"</f>
        <v>2023-08-31 11:49:46</v>
      </c>
      <c r="M12822" s="1" t="s">
        <v>4</v>
      </c>
      <c r="N12822" s="1" t="s">
        <v>38</v>
      </c>
      <c r="O12822" s="1" t="s">
        <v>46</v>
      </c>
    </row>
    <row r="12823" spans="2:15" x14ac:dyDescent="0.3">
      <c r="B12823" s="1" t="s">
        <v>20</v>
      </c>
      <c r="C12823" s="1" t="str">
        <f>"1차"</f>
        <v>1차</v>
      </c>
      <c r="D12823" s="1" t="str">
        <f>"9725Z14400"</f>
        <v>9725Z14400</v>
      </c>
      <c r="E12823" s="1" t="s">
        <v>10</v>
      </c>
      <c r="F12823" s="1" t="str">
        <f>"10.125.129.88"</f>
        <v>10.125.129.88</v>
      </c>
      <c r="G12823" s="1" t="str">
        <f>"9725Z144"</f>
        <v>9725Z144</v>
      </c>
      <c r="H12823" s="1" t="str">
        <f>"토정간 27R4"</f>
        <v>토정간 27R4</v>
      </c>
      <c r="I12823" s="1" t="s">
        <v>8</v>
      </c>
      <c r="J12823" s="1" t="str">
        <f>"5/5"</f>
        <v>5/5</v>
      </c>
      <c r="K12823" s="1" t="str">
        <f>"2026-07-29 13:18:11"</f>
        <v>2026-07-29 13:18:11</v>
      </c>
      <c r="L12823" s="1" t="str">
        <f>"2014-07-31 01:57:39"</f>
        <v>2014-07-31 01:57:39</v>
      </c>
      <c r="M12823" s="1" t="s">
        <v>45</v>
      </c>
      <c r="N12823" s="1" t="s">
        <v>38</v>
      </c>
      <c r="O12823" s="1" t="s">
        <v>46</v>
      </c>
    </row>
    <row r="12824" spans="2:15" x14ac:dyDescent="0.3">
      <c r="B12824" s="1" t="s">
        <v>20</v>
      </c>
      <c r="C12824" s="1" t="str">
        <f>"4차"</f>
        <v>4차</v>
      </c>
      <c r="D12824" s="1" t="str">
        <f>"9725Z15141"</f>
        <v>9725Z15141</v>
      </c>
      <c r="E12824" s="1" t="s">
        <v>10</v>
      </c>
      <c r="F12824" s="1" t="str">
        <f>"10.12.131.31"</f>
        <v>10.12.131.31</v>
      </c>
      <c r="G12824" s="1" t="str">
        <f>"9725Z151"</f>
        <v>9725Z151</v>
      </c>
      <c r="H12824" s="1" t="str">
        <f>"토정간 27R4L1"</f>
        <v>토정간 27R4L1</v>
      </c>
      <c r="I12824" s="1" t="s">
        <v>17</v>
      </c>
      <c r="J12824" s="1" t="str">
        <f>"5/12"</f>
        <v>5/12</v>
      </c>
      <c r="K12824" s="1" t="str">
        <f>"2026-07-29 13:18:12"</f>
        <v>2026-07-29 13:18:12</v>
      </c>
      <c r="L12824" s="1" t="str">
        <f>"2021-08-09 08:11:02"</f>
        <v>2021-08-09 08:11:02</v>
      </c>
      <c r="M12824" s="1" t="s">
        <v>0</v>
      </c>
      <c r="N12824" s="1" t="s">
        <v>38</v>
      </c>
      <c r="O12824" s="1" t="s">
        <v>46</v>
      </c>
    </row>
    <row r="12825" spans="2:15" x14ac:dyDescent="0.3">
      <c r="B12825" s="1" t="s">
        <v>20</v>
      </c>
      <c r="C12825" s="1" t="str">
        <f>"1차"</f>
        <v>1차</v>
      </c>
      <c r="D12825" s="1" t="str">
        <f>"9725Z15200"</f>
        <v>9725Z15200</v>
      </c>
      <c r="E12825" s="1" t="s">
        <v>10</v>
      </c>
      <c r="F12825" s="1" t="str">
        <f>"10.125.128.177"</f>
        <v>10.125.128.177</v>
      </c>
      <c r="G12825" s="1" t="str">
        <f>"9725Z152"</f>
        <v>9725Z152</v>
      </c>
      <c r="H12825" s="1" t="str">
        <f>"토정간 27R4L4"</f>
        <v>토정간 27R4L4</v>
      </c>
      <c r="I12825" s="1" t="s">
        <v>8</v>
      </c>
      <c r="J12825" s="1" t="str">
        <f>"4/4"</f>
        <v>4/4</v>
      </c>
      <c r="K12825" s="1" t="str">
        <f>"2026-07-29 13:18:11"</f>
        <v>2026-07-29 13:18:11</v>
      </c>
      <c r="L12825" s="1" t="str">
        <f>"2014-10-27 11:13:29"</f>
        <v>2014-10-27 11:13:29</v>
      </c>
      <c r="M12825" s="1" t="s">
        <v>45</v>
      </c>
      <c r="N12825" s="1" t="s">
        <v>38</v>
      </c>
      <c r="O12825" s="1" t="s">
        <v>46</v>
      </c>
    </row>
    <row r="12826" spans="2:15" x14ac:dyDescent="0.3">
      <c r="B12826" s="1" t="s">
        <v>20</v>
      </c>
      <c r="C12826" s="1" t="str">
        <f>"4차"</f>
        <v>4차</v>
      </c>
      <c r="D12826" s="1" t="str">
        <f>"9725Z15341"</f>
        <v>9725Z15341</v>
      </c>
      <c r="E12826" s="1" t="s">
        <v>10</v>
      </c>
      <c r="F12826" s="1" t="str">
        <f>"10.14.7.180"</f>
        <v>10.14.7.180</v>
      </c>
      <c r="G12826" s="1" t="str">
        <f>"9725Z153"</f>
        <v>9725Z153</v>
      </c>
      <c r="H12826" s="1" t="str">
        <f>"토정간 27R4L5"</f>
        <v>토정간 27R4L5</v>
      </c>
      <c r="I12826" s="1" t="s">
        <v>17</v>
      </c>
      <c r="J12826" s="1" t="str">
        <f>"36/40"</f>
        <v>36/40</v>
      </c>
      <c r="K12826" s="1" t="str">
        <f>"2026-07-29 13:18:12"</f>
        <v>2026-07-29 13:18:12</v>
      </c>
      <c r="L12826" s="1" t="str">
        <f>"2021-08-09 08:57:02"</f>
        <v>2021-08-09 08:57:02</v>
      </c>
      <c r="M12826" s="1" t="s">
        <v>3</v>
      </c>
      <c r="N12826" s="1" t="s">
        <v>38</v>
      </c>
      <c r="O12826" s="1" t="s">
        <v>46</v>
      </c>
    </row>
    <row r="12827" spans="2:15" x14ac:dyDescent="0.3">
      <c r="B12827" s="1" t="s">
        <v>20</v>
      </c>
      <c r="C12827" s="1" t="str">
        <f>"5-1차"</f>
        <v>5-1차</v>
      </c>
      <c r="D12827" s="1" t="str">
        <f>"9725Z1635M"</f>
        <v>9725Z1635M</v>
      </c>
      <c r="E12827" s="1" t="s">
        <v>10</v>
      </c>
      <c r="F12827" s="1" t="str">
        <f>"fde2:104:0:a0:0:0:0:2"</f>
        <v>fde2:104:0:a0:0:0:0:2</v>
      </c>
      <c r="G12827" s="1" t="str">
        <f>"9725Z163"</f>
        <v>9725Z163</v>
      </c>
      <c r="H12827" s="1" t="str">
        <f>"토정간 27R4L3"</f>
        <v>토정간 27R4L3</v>
      </c>
      <c r="I12827" s="1" t="s">
        <v>15</v>
      </c>
      <c r="J12827" s="1" t="str">
        <f>"20/20"</f>
        <v>20/20</v>
      </c>
      <c r="K12827" s="1" t="str">
        <f>"2026-07-29 14:21:06"</f>
        <v>2026-07-29 14:21:06</v>
      </c>
      <c r="L12827" s="1" t="str">
        <f>"2022-09-29 10:44:26"</f>
        <v>2022-09-29 10:44:26</v>
      </c>
      <c r="M12827" s="1" t="s">
        <v>42</v>
      </c>
      <c r="N12827" s="1" t="s">
        <v>38</v>
      </c>
      <c r="O12827" s="1" t="s">
        <v>46</v>
      </c>
    </row>
    <row r="12828" spans="2:15" x14ac:dyDescent="0.3">
      <c r="B12828" s="1" t="s">
        <v>20</v>
      </c>
      <c r="C12828" s="1" t="str">
        <f>"1차"</f>
        <v>1차</v>
      </c>
      <c r="D12828" s="1" t="str">
        <f>"9725Z18201"</f>
        <v>9725Z18201</v>
      </c>
      <c r="E12828" s="1" t="s">
        <v>10</v>
      </c>
      <c r="F12828" s="1" t="str">
        <f>"10.14.12.123"</f>
        <v>10.14.12.123</v>
      </c>
      <c r="G12828" s="1" t="str">
        <f>"9725Z182"</f>
        <v>9725Z182</v>
      </c>
      <c r="H12828" s="1" t="str">
        <f>"신상간 4"</f>
        <v>신상간 4</v>
      </c>
      <c r="I12828" s="1" t="s">
        <v>8</v>
      </c>
      <c r="J12828" s="1" t="str">
        <f>"38/38"</f>
        <v>38/38</v>
      </c>
      <c r="K12828" s="1" t="str">
        <f>"2026-07-29 13:18:12"</f>
        <v>2026-07-29 13:18:12</v>
      </c>
      <c r="L12828" s="1" t="str">
        <f>"2014-12-02 12:27:10"</f>
        <v>2014-12-02 12:27:10</v>
      </c>
      <c r="M12828" s="1" t="s">
        <v>3</v>
      </c>
      <c r="N12828" s="1" t="s">
        <v>38</v>
      </c>
      <c r="O12828" s="1" t="s">
        <v>46</v>
      </c>
    </row>
    <row r="12829" spans="2:15" x14ac:dyDescent="0.3">
      <c r="B12829" s="1" t="s">
        <v>20</v>
      </c>
      <c r="C12829" s="1" t="str">
        <f>"5-2차"</f>
        <v>5-2차</v>
      </c>
      <c r="D12829" s="1" t="str">
        <f>"9725Z2015M"</f>
        <v>9725Z2015M</v>
      </c>
      <c r="E12829" s="1" t="s">
        <v>10</v>
      </c>
      <c r="F12829" s="1" t="str">
        <f>"fde1:103:4:56e6:0:0:0:2"</f>
        <v>fde1:103:4:56e6:0:0:0:2</v>
      </c>
      <c r="G12829" s="1" t="str">
        <f>"9725Z201"</f>
        <v>9725Z201</v>
      </c>
      <c r="H12829" s="1" t="str">
        <f>"토정간 21R3R1R1"</f>
        <v>토정간 21R3R1R1</v>
      </c>
      <c r="I12829" s="1" t="s">
        <v>15</v>
      </c>
      <c r="J12829" s="1" t="str">
        <f>"11/12"</f>
        <v>11/12</v>
      </c>
      <c r="K12829" s="1" t="str">
        <f>"2026-07-29 14:21:05"</f>
        <v>2026-07-29 14:21:05</v>
      </c>
      <c r="L12829" s="1" t="str">
        <f>"2023-08-31 13:38:57"</f>
        <v>2023-08-31 13:38:57</v>
      </c>
      <c r="M12829" s="1" t="s">
        <v>4</v>
      </c>
      <c r="N12829" s="1" t="s">
        <v>38</v>
      </c>
      <c r="O12829" s="1" t="s">
        <v>46</v>
      </c>
    </row>
    <row r="12830" spans="2:15" x14ac:dyDescent="0.3">
      <c r="B12830" s="1" t="s">
        <v>20</v>
      </c>
      <c r="C12830" s="1" t="str">
        <f>"5-2차"</f>
        <v>5-2차</v>
      </c>
      <c r="D12830" s="1" t="str">
        <f>"9725Z2335M"</f>
        <v>9725Z2335M</v>
      </c>
      <c r="E12830" s="1" t="s">
        <v>10</v>
      </c>
      <c r="F12830" s="1" t="str">
        <f>"fde3:102:1300:4b01:0:0:0:2"</f>
        <v>fde3:102:1300:4b01:0:0:0:2</v>
      </c>
      <c r="G12830" s="1" t="str">
        <f>"9725Z233"</f>
        <v>9725Z233</v>
      </c>
      <c r="H12830" s="1" t="str">
        <f>"토정간 21R7"</f>
        <v>토정간 21R7</v>
      </c>
      <c r="I12830" s="1" t="s">
        <v>15</v>
      </c>
      <c r="J12830" s="1" t="str">
        <f>"28/28"</f>
        <v>28/28</v>
      </c>
      <c r="K12830" s="1" t="str">
        <f>"2026-07-29 14:21:04"</f>
        <v>2026-07-29 14:21:04</v>
      </c>
      <c r="L12830" s="1" t="str">
        <f>"2023-10-13 15:54:10"</f>
        <v>2023-10-13 15:54:10</v>
      </c>
      <c r="M12830" s="1" t="s">
        <v>45</v>
      </c>
      <c r="N12830" s="1" t="s">
        <v>38</v>
      </c>
      <c r="O12830" s="1" t="s">
        <v>46</v>
      </c>
    </row>
    <row r="12831" spans="2:15" x14ac:dyDescent="0.3">
      <c r="B12831" s="1" t="s">
        <v>20</v>
      </c>
      <c r="C12831" s="1" t="str">
        <f>"6차"</f>
        <v>6차</v>
      </c>
      <c r="D12831" s="1" t="str">
        <f>"9725Z2616M"</f>
        <v>9725Z2616M</v>
      </c>
      <c r="E12831" s="1" t="s">
        <v>10</v>
      </c>
      <c r="F12831" s="1" t="str">
        <f>"fde1:103:4:c75c:0:0:0:2"</f>
        <v>fde1:103:4:c75c:0:0:0:2</v>
      </c>
      <c r="G12831" s="1" t="str">
        <f>"9725Z261"</f>
        <v>9725Z261</v>
      </c>
      <c r="H12831" s="1" t="str">
        <f>"토정간 27R4L3R2"</f>
        <v>토정간 27R4L3R2</v>
      </c>
      <c r="I12831" s="1" t="s">
        <v>15</v>
      </c>
      <c r="J12831" s="1" t="str">
        <f>"16/16"</f>
        <v>16/16</v>
      </c>
      <c r="K12831" s="1" t="str">
        <f>"2026-07-29 14:21:05"</f>
        <v>2026-07-29 14:21:05</v>
      </c>
      <c r="L12831" s="1" t="str">
        <f>"2024-12-02 13:55:59"</f>
        <v>2024-12-02 13:55:59</v>
      </c>
      <c r="M12831" s="1" t="s">
        <v>4</v>
      </c>
      <c r="N12831" s="1" t="s">
        <v>38</v>
      </c>
      <c r="O12831" s="1" t="s">
        <v>46</v>
      </c>
    </row>
    <row r="12832" spans="2:15" x14ac:dyDescent="0.3">
      <c r="B12832" s="1" t="s">
        <v>20</v>
      </c>
      <c r="C12832" s="1" t="str">
        <f>"5-2차"</f>
        <v>5-2차</v>
      </c>
      <c r="D12832" s="1" t="str">
        <f>"9725Z3215M"</f>
        <v>9725Z3215M</v>
      </c>
      <c r="E12832" s="1" t="s">
        <v>10</v>
      </c>
      <c r="F12832" s="1" t="str">
        <f>"fde1:103:4:56e4:0:0:0:2"</f>
        <v>fde1:103:4:56e4:0:0:0:2</v>
      </c>
      <c r="G12832" s="1" t="str">
        <f>"9725Z321"</f>
        <v>9725Z321</v>
      </c>
      <c r="H12832" s="1" t="str">
        <f>"토정간 21R4R2"</f>
        <v>토정간 21R4R2</v>
      </c>
      <c r="I12832" s="1" t="s">
        <v>15</v>
      </c>
      <c r="J12832" s="1" t="str">
        <f>"29/29"</f>
        <v>29/29</v>
      </c>
      <c r="K12832" s="1" t="str">
        <f>"2026-07-29 14:21:05"</f>
        <v>2026-07-29 14:21:05</v>
      </c>
      <c r="L12832" s="1" t="str">
        <f>"2023-08-31 13:50:51"</f>
        <v>2023-08-31 13:50:51</v>
      </c>
      <c r="M12832" s="1" t="s">
        <v>4</v>
      </c>
      <c r="N12832" s="1" t="s">
        <v>38</v>
      </c>
      <c r="O12832" s="1" t="s">
        <v>46</v>
      </c>
    </row>
    <row r="12833" spans="2:15" x14ac:dyDescent="0.3">
      <c r="B12833" s="1" t="s">
        <v>20</v>
      </c>
      <c r="C12833" s="1" t="str">
        <f>"4차"</f>
        <v>4차</v>
      </c>
      <c r="D12833" s="1" t="str">
        <f>"9725Z37341"</f>
        <v>9725Z37341</v>
      </c>
      <c r="E12833" s="1" t="s">
        <v>10</v>
      </c>
      <c r="F12833" s="1" t="str">
        <f>"10.14.15.109"</f>
        <v>10.14.15.109</v>
      </c>
      <c r="G12833" s="1" t="str">
        <f>"9725Z373"</f>
        <v>9725Z373</v>
      </c>
      <c r="H12833" s="1" t="str">
        <f>"신상간 6L1L5R1"</f>
        <v>신상간 6L1L5R1</v>
      </c>
      <c r="I12833" s="1" t="s">
        <v>17</v>
      </c>
      <c r="J12833" s="1" t="str">
        <f>"2/2"</f>
        <v>2/2</v>
      </c>
      <c r="K12833" s="1" t="str">
        <f>"2026-07-29 13:18:12"</f>
        <v>2026-07-29 13:18:12</v>
      </c>
      <c r="L12833" s="1" t="str">
        <f>"2021-08-09 07:33:51"</f>
        <v>2021-08-09 07:33:51</v>
      </c>
      <c r="M12833" s="1" t="s">
        <v>3</v>
      </c>
      <c r="N12833" s="1" t="s">
        <v>38</v>
      </c>
      <c r="O12833" s="1" t="s">
        <v>46</v>
      </c>
    </row>
    <row r="12834" spans="2:15" x14ac:dyDescent="0.3">
      <c r="B12834" s="1" t="s">
        <v>20</v>
      </c>
      <c r="C12834" s="1" t="str">
        <f>"1차"</f>
        <v>1차</v>
      </c>
      <c r="D12834" s="1" t="str">
        <f>"9725Z38901"</f>
        <v>9725Z38901</v>
      </c>
      <c r="E12834" s="1" t="s">
        <v>14</v>
      </c>
      <c r="F12834" s="1" t="str">
        <f>"10.14.7.194"</f>
        <v>10.14.7.194</v>
      </c>
      <c r="G12834" s="1" t="str">
        <f>"9725Z389"</f>
        <v>9725Z389</v>
      </c>
      <c r="H12834" s="1" t="str">
        <f>"신상간 1"</f>
        <v>신상간 1</v>
      </c>
      <c r="I12834" s="1" t="s">
        <v>8</v>
      </c>
      <c r="J12834" s="1" t="str">
        <f>"0/0"</f>
        <v>0/0</v>
      </c>
      <c r="K12834" s="1" t="str">
        <f>"2026-07-14 07:18:12"</f>
        <v>2026-07-14 07:18:12</v>
      </c>
      <c r="L12834" s="1" t="str">
        <f>"2021-04-28 16:59:28"</f>
        <v>2021-04-28 16:59:28</v>
      </c>
      <c r="M12834" s="1" t="s">
        <v>3</v>
      </c>
      <c r="N12834" s="1" t="s">
        <v>38</v>
      </c>
      <c r="O12834" s="1" t="s">
        <v>44</v>
      </c>
    </row>
    <row r="12835" spans="2:15" x14ac:dyDescent="0.3">
      <c r="B12835" s="1" t="s">
        <v>20</v>
      </c>
      <c r="C12835" s="1" t="str">
        <f>"4차"</f>
        <v>4차</v>
      </c>
      <c r="D12835" s="1" t="str">
        <f>"9725Z42441"</f>
        <v>9725Z42441</v>
      </c>
      <c r="E12835" s="1" t="s">
        <v>10</v>
      </c>
      <c r="F12835" s="1" t="str">
        <f>"10.14.4.179"</f>
        <v>10.14.4.179</v>
      </c>
      <c r="G12835" s="1" t="str">
        <f>"9725Z424"</f>
        <v>9725Z424</v>
      </c>
      <c r="H12835" s="1" t="str">
        <f>"토정간 21R10R5"</f>
        <v>토정간 21R10R5</v>
      </c>
      <c r="I12835" s="1" t="s">
        <v>17</v>
      </c>
      <c r="J12835" s="1" t="str">
        <f>"8/14"</f>
        <v>8/14</v>
      </c>
      <c r="K12835" s="1" t="str">
        <f>"2026-07-29 13:18:12"</f>
        <v>2026-07-29 13:18:12</v>
      </c>
      <c r="L12835" s="1" t="str">
        <f>"2021-08-10 14:39:27"</f>
        <v>2021-08-10 14:39:27</v>
      </c>
      <c r="M12835" s="1" t="s">
        <v>3</v>
      </c>
      <c r="N12835" s="1" t="s">
        <v>38</v>
      </c>
      <c r="O12835" s="1" t="s">
        <v>46</v>
      </c>
    </row>
    <row r="12836" spans="2:15" x14ac:dyDescent="0.3">
      <c r="B12836" s="1" t="s">
        <v>20</v>
      </c>
      <c r="C12836" s="1" t="str">
        <f>"6차"</f>
        <v>6차</v>
      </c>
      <c r="D12836" s="1" t="str">
        <f>"9725Z4536S"</f>
        <v>9725Z4536S</v>
      </c>
      <c r="E12836" s="1" t="s">
        <v>10</v>
      </c>
      <c r="F12836" s="1" t="str">
        <f>"fde1:103:4:c663:0:0:0:2"</f>
        <v>fde1:103:4:c663:0:0:0:2</v>
      </c>
      <c r="G12836" s="1" t="str">
        <f>"9725Z453"</f>
        <v>9725Z453</v>
      </c>
      <c r="H12836" s="1" t="str">
        <f>"토정간 21R16L2"</f>
        <v>토정간 21R16L2</v>
      </c>
      <c r="I12836" s="1" t="s">
        <v>15</v>
      </c>
      <c r="J12836" s="1" t="str">
        <f>"51/51"</f>
        <v>51/51</v>
      </c>
      <c r="K12836" s="1" t="str">
        <f>"2026-07-29 14:21:06"</f>
        <v>2026-07-29 14:21:06</v>
      </c>
      <c r="L12836" s="1" t="str">
        <f>"2024-11-11 17:11:08"</f>
        <v>2024-11-11 17:11:08</v>
      </c>
      <c r="M12836" s="1" t="s">
        <v>4</v>
      </c>
      <c r="N12836" s="1" t="s">
        <v>38</v>
      </c>
      <c r="O12836" s="1" t="s">
        <v>46</v>
      </c>
    </row>
    <row r="12837" spans="2:15" x14ac:dyDescent="0.3">
      <c r="B12837" s="1" t="s">
        <v>20</v>
      </c>
      <c r="C12837" s="1" t="str">
        <f>"5-1차"</f>
        <v>5-1차</v>
      </c>
      <c r="D12837" s="1" t="str">
        <f>"9725Z4545M"</f>
        <v>9725Z4545M</v>
      </c>
      <c r="E12837" s="1" t="s">
        <v>10</v>
      </c>
      <c r="F12837" s="1" t="str">
        <f>"fde3:102:1300:4700:0:0:0:3"</f>
        <v>fde3:102:1300:4700:0:0:0:3</v>
      </c>
      <c r="G12837" s="1" t="str">
        <f>"9725Z454"</f>
        <v>9725Z454</v>
      </c>
      <c r="H12837" s="1" t="str">
        <f>"토정간 21R16"</f>
        <v>토정간 21R16</v>
      </c>
      <c r="I12837" s="1" t="s">
        <v>15</v>
      </c>
      <c r="J12837" s="1" t="str">
        <f>"46/47"</f>
        <v>46/47</v>
      </c>
      <c r="K12837" s="1" t="str">
        <f>"2026-07-29 14:21:06"</f>
        <v>2026-07-29 14:21:06</v>
      </c>
      <c r="L12837" s="1" t="str">
        <f>"2022-11-16 15:28:03"</f>
        <v>2022-11-16 15:28:03</v>
      </c>
      <c r="M12837" s="1" t="s">
        <v>45</v>
      </c>
      <c r="N12837" s="1" t="s">
        <v>38</v>
      </c>
      <c r="O12837" s="1" t="s">
        <v>46</v>
      </c>
    </row>
    <row r="12838" spans="2:15" x14ac:dyDescent="0.3">
      <c r="B12838" s="1" t="s">
        <v>20</v>
      </c>
      <c r="C12838" s="1" t="str">
        <f>"5-1차"</f>
        <v>5-1차</v>
      </c>
      <c r="D12838" s="1" t="str">
        <f>"9725Z4635M"</f>
        <v>9725Z4635M</v>
      </c>
      <c r="E12838" s="1" t="s">
        <v>10</v>
      </c>
      <c r="F12838" s="1" t="str">
        <f>"fde3:102:1300:4b00:0:0:0:2"</f>
        <v>fde3:102:1300:4b00:0:0:0:2</v>
      </c>
      <c r="G12838" s="1" t="str">
        <f>"9725Z463"</f>
        <v>9725Z463</v>
      </c>
      <c r="H12838" s="1" t="str">
        <f>"토정간 21R19L1"</f>
        <v>토정간 21R19L1</v>
      </c>
      <c r="I12838" s="1" t="s">
        <v>15</v>
      </c>
      <c r="J12838" s="1" t="str">
        <f>"24/24"</f>
        <v>24/24</v>
      </c>
      <c r="K12838" s="1" t="str">
        <f>"2026-07-29 14:21:06"</f>
        <v>2026-07-29 14:21:06</v>
      </c>
      <c r="L12838" s="1" t="str">
        <f>"2022-11-16 14:21:27"</f>
        <v>2022-11-16 14:21:27</v>
      </c>
      <c r="M12838" s="1" t="s">
        <v>45</v>
      </c>
      <c r="N12838" s="1" t="s">
        <v>38</v>
      </c>
      <c r="O12838" s="1" t="s">
        <v>46</v>
      </c>
    </row>
    <row r="12839" spans="2:15" x14ac:dyDescent="0.3">
      <c r="B12839" s="1" t="s">
        <v>20</v>
      </c>
      <c r="C12839" s="1" t="str">
        <f>"6차"</f>
        <v>6차</v>
      </c>
      <c r="D12839" s="1" t="str">
        <f>"9725Z5516S"</f>
        <v>9725Z5516S</v>
      </c>
      <c r="E12839" s="1" t="s">
        <v>10</v>
      </c>
      <c r="F12839" s="1" t="str">
        <f>"fde1:103:4:c66f:0:0:0:2"</f>
        <v>fde1:103:4:c66f:0:0:0:2</v>
      </c>
      <c r="G12839" s="1" t="str">
        <f>"9725Z551"</f>
        <v>9725Z551</v>
      </c>
      <c r="H12839" s="1" t="str">
        <f>"토정간 21R17"</f>
        <v>토정간 21R17</v>
      </c>
      <c r="I12839" s="1" t="s">
        <v>15</v>
      </c>
      <c r="J12839" s="1" t="str">
        <f>"79/79"</f>
        <v>79/79</v>
      </c>
      <c r="K12839" s="1" t="str">
        <f>"2026-07-29 14:21:06"</f>
        <v>2026-07-29 14:21:06</v>
      </c>
      <c r="L12839" s="1" t="str">
        <f>"2024-11-11 17:15:24"</f>
        <v>2024-11-11 17:15:24</v>
      </c>
      <c r="M12839" s="1" t="s">
        <v>4</v>
      </c>
      <c r="N12839" s="1" t="s">
        <v>38</v>
      </c>
      <c r="O12839" s="1" t="s">
        <v>46</v>
      </c>
    </row>
    <row r="12840" spans="2:15" x14ac:dyDescent="0.3">
      <c r="B12840" s="1" t="s">
        <v>20</v>
      </c>
      <c r="C12840" s="1" t="str">
        <f>"5-1차"</f>
        <v>5-1차</v>
      </c>
      <c r="D12840" s="1" t="str">
        <f>"9725Z5815M"</f>
        <v>9725Z5815M</v>
      </c>
      <c r="E12840" s="1" t="s">
        <v>10</v>
      </c>
      <c r="F12840" s="1" t="str">
        <f>"fde2:104:0:a3:0:0:0:2"</f>
        <v>fde2:104:0:a3:0:0:0:2</v>
      </c>
      <c r="G12840" s="1" t="str">
        <f>"9725Z581"</f>
        <v>9725Z581</v>
      </c>
      <c r="H12840" s="1" t="str">
        <f>"서강간 1L2R3"</f>
        <v>서강간 1L2R3</v>
      </c>
      <c r="I12840" s="1" t="s">
        <v>15</v>
      </c>
      <c r="J12840" s="1" t="str">
        <f>"36/36"</f>
        <v>36/36</v>
      </c>
      <c r="K12840" s="1" t="str">
        <f>"2026-07-29 14:21:08"</f>
        <v>2026-07-29 14:21:08</v>
      </c>
      <c r="L12840" s="1" t="str">
        <f>"2022-09-28 14:52:27"</f>
        <v>2022-09-28 14:52:27</v>
      </c>
      <c r="M12840" s="1" t="s">
        <v>42</v>
      </c>
      <c r="N12840" s="1" t="s">
        <v>38</v>
      </c>
      <c r="O12840" s="1" t="s">
        <v>46</v>
      </c>
    </row>
    <row r="12841" spans="2:15" x14ac:dyDescent="0.3">
      <c r="B12841" s="1" t="s">
        <v>20</v>
      </c>
      <c r="C12841" s="1" t="str">
        <f>"6차"</f>
        <v>6차</v>
      </c>
      <c r="D12841" s="1" t="str">
        <f>"9725Z6816M"</f>
        <v>9725Z6816M</v>
      </c>
      <c r="E12841" s="1" t="s">
        <v>10</v>
      </c>
      <c r="F12841" s="1" t="str">
        <f>"fde1:103:4:c712:0:0:0:2"</f>
        <v>fde1:103:4:c712:0:0:0:2</v>
      </c>
      <c r="G12841" s="1" t="str">
        <f>"9725Z681"</f>
        <v>9725Z681</v>
      </c>
      <c r="H12841" s="1" t="str">
        <f>"동도지 4R1R7"</f>
        <v>동도지 4R1R7</v>
      </c>
      <c r="I12841" s="1" t="s">
        <v>15</v>
      </c>
      <c r="J12841" s="1" t="str">
        <f>"35/35"</f>
        <v>35/35</v>
      </c>
      <c r="K12841" s="1" t="str">
        <f>"2026-07-29 14:21:07"</f>
        <v>2026-07-29 14:21:07</v>
      </c>
      <c r="L12841" s="1" t="str">
        <f>"2024-11-22 15:53:31"</f>
        <v>2024-11-22 15:53:31</v>
      </c>
      <c r="M12841" s="1" t="s">
        <v>4</v>
      </c>
      <c r="N12841" s="1" t="s">
        <v>38</v>
      </c>
      <c r="O12841" s="1" t="s">
        <v>46</v>
      </c>
    </row>
    <row r="12842" spans="2:15" x14ac:dyDescent="0.3">
      <c r="B12842" s="1" t="s">
        <v>20</v>
      </c>
      <c r="C12842" s="1" t="str">
        <f>"1차"</f>
        <v>1차</v>
      </c>
      <c r="D12842" s="1" t="str">
        <f>"9725Z69100"</f>
        <v>9725Z69100</v>
      </c>
      <c r="E12842" s="1" t="s">
        <v>10</v>
      </c>
      <c r="F12842" s="1" t="str">
        <f>"10.125.129.90"</f>
        <v>10.125.129.90</v>
      </c>
      <c r="G12842" s="1" t="str">
        <f>"9725Z691"</f>
        <v>9725Z691</v>
      </c>
      <c r="H12842" s="1" t="str">
        <f>"서강간 1L3"</f>
        <v>서강간 1L3</v>
      </c>
      <c r="I12842" s="1" t="s">
        <v>8</v>
      </c>
      <c r="J12842" s="1" t="str">
        <f>"7/7"</f>
        <v>7/7</v>
      </c>
      <c r="K12842" s="1" t="str">
        <f>"2026-07-29 13:18:11"</f>
        <v>2026-07-29 13:18:11</v>
      </c>
      <c r="L12842" s="1" t="str">
        <f>"2014-11-17 17:35:44"</f>
        <v>2014-11-17 17:35:44</v>
      </c>
      <c r="M12842" s="1" t="s">
        <v>45</v>
      </c>
      <c r="N12842" s="1" t="s">
        <v>38</v>
      </c>
      <c r="O12842" s="1" t="s">
        <v>46</v>
      </c>
    </row>
    <row r="12843" spans="2:15" x14ac:dyDescent="0.3">
      <c r="B12843" s="1" t="s">
        <v>20</v>
      </c>
      <c r="C12843" s="1" t="str">
        <f>"5-1차"</f>
        <v>5-1차</v>
      </c>
      <c r="D12843" s="1" t="str">
        <f>"9725Z7715S"</f>
        <v>9725Z7715S</v>
      </c>
      <c r="E12843" s="1" t="s">
        <v>10</v>
      </c>
      <c r="F12843" s="1" t="str">
        <f>"fde2:104:0:a6:0:0:0:2"</f>
        <v>fde2:104:0:a6:0:0:0:2</v>
      </c>
      <c r="G12843" s="1" t="str">
        <f>"9725Z771"</f>
        <v>9725Z771</v>
      </c>
      <c r="H12843" s="1" t="str">
        <f>"동도지 4R1R9"</f>
        <v>동도지 4R1R9</v>
      </c>
      <c r="I12843" s="1" t="s">
        <v>15</v>
      </c>
      <c r="J12843" s="1" t="str">
        <f>"41/42"</f>
        <v>41/42</v>
      </c>
      <c r="K12843" s="1" t="str">
        <f>"2026-07-29 14:21:08"</f>
        <v>2026-07-29 14:21:08</v>
      </c>
      <c r="L12843" s="1" t="str">
        <f>"2022-09-29 07:55:00"</f>
        <v>2022-09-29 07:55:00</v>
      </c>
      <c r="M12843" s="1" t="s">
        <v>42</v>
      </c>
      <c r="N12843" s="1" t="s">
        <v>38</v>
      </c>
      <c r="O12843" s="1" t="s">
        <v>46</v>
      </c>
    </row>
    <row r="12844" spans="2:15" x14ac:dyDescent="0.3">
      <c r="B12844" s="1" t="s">
        <v>20</v>
      </c>
      <c r="C12844" s="1" t="str">
        <f>"6차"</f>
        <v>6차</v>
      </c>
      <c r="D12844" s="1" t="str">
        <f>"9725Z7816S"</f>
        <v>9725Z7816S</v>
      </c>
      <c r="E12844" s="1" t="s">
        <v>10</v>
      </c>
      <c r="F12844" s="1" t="str">
        <f>"fde1:103:4:91f1:0:0:0:2"</f>
        <v>fde1:103:4:91f1:0:0:0:2</v>
      </c>
      <c r="G12844" s="1" t="str">
        <f>"9725Z781"</f>
        <v>9725Z781</v>
      </c>
      <c r="H12844" s="1" t="str">
        <f>"동도지 4R1R6"</f>
        <v>동도지 4R1R6</v>
      </c>
      <c r="I12844" s="1" t="s">
        <v>15</v>
      </c>
      <c r="J12844" s="1" t="str">
        <f>"26/26"</f>
        <v>26/26</v>
      </c>
      <c r="K12844" s="1" t="str">
        <f>"2026-07-29 14:21:07"</f>
        <v>2026-07-29 14:21:07</v>
      </c>
      <c r="L12844" s="1" t="str">
        <f>"2025-02-24 13:16:28"</f>
        <v>2025-02-24 13:16:28</v>
      </c>
      <c r="M12844" s="1" t="s">
        <v>4</v>
      </c>
      <c r="N12844" s="1" t="s">
        <v>38</v>
      </c>
      <c r="O12844" s="1" t="s">
        <v>46</v>
      </c>
    </row>
    <row r="12845" spans="2:15" x14ac:dyDescent="0.3">
      <c r="B12845" s="1" t="s">
        <v>20</v>
      </c>
      <c r="C12845" s="1" t="str">
        <f>"5-1차"</f>
        <v>5-1차</v>
      </c>
      <c r="D12845" s="1" t="str">
        <f>"9725Z8525M"</f>
        <v>9725Z8525M</v>
      </c>
      <c r="E12845" s="1" t="s">
        <v>10</v>
      </c>
      <c r="F12845" s="1" t="str">
        <f>"fde2:104:0:a8:0:0:0:2"</f>
        <v>fde2:104:0:a8:0:0:0:2</v>
      </c>
      <c r="G12845" s="1" t="str">
        <f>"9725Z852"</f>
        <v>9725Z852</v>
      </c>
      <c r="H12845" s="1" t="str">
        <f>"염리지 20L8"</f>
        <v>염리지 20L8</v>
      </c>
      <c r="I12845" s="1" t="s">
        <v>15</v>
      </c>
      <c r="J12845" s="1" t="str">
        <f>"16/16"</f>
        <v>16/16</v>
      </c>
      <c r="K12845" s="1" t="str">
        <f>"2026-07-29 14:21:08"</f>
        <v>2026-07-29 14:21:08</v>
      </c>
      <c r="L12845" s="1" t="str">
        <f>"2022-09-28 15:50:27"</f>
        <v>2022-09-28 15:50:27</v>
      </c>
      <c r="M12845" s="1" t="s">
        <v>42</v>
      </c>
      <c r="N12845" s="1" t="s">
        <v>38</v>
      </c>
      <c r="O12845" s="1" t="s">
        <v>46</v>
      </c>
    </row>
    <row r="12846" spans="2:15" x14ac:dyDescent="0.3">
      <c r="B12846" s="1" t="s">
        <v>20</v>
      </c>
      <c r="C12846" s="1" t="str">
        <f>"3차"</f>
        <v>3차</v>
      </c>
      <c r="D12846" s="1" t="str">
        <f>"9725Z90139"</f>
        <v>9725Z90139</v>
      </c>
      <c r="E12846" s="1" t="s">
        <v>10</v>
      </c>
      <c r="F12846" s="1" t="str">
        <f>"10.12.129.223"</f>
        <v>10.12.129.223</v>
      </c>
      <c r="G12846" s="1" t="str">
        <f>"9725Z901"</f>
        <v>9725Z901</v>
      </c>
      <c r="H12846" s="1" t="str">
        <f>"염리지 9L1R4R3"</f>
        <v>염리지 9L1R4R3</v>
      </c>
      <c r="I12846" s="1" t="s">
        <v>8</v>
      </c>
      <c r="J12846" s="1" t="str">
        <f>"2/2"</f>
        <v>2/2</v>
      </c>
      <c r="K12846" s="1" t="str">
        <f>"2026-07-29 13:18:11"</f>
        <v>2026-07-29 13:18:11</v>
      </c>
      <c r="L12846" s="1" t="str">
        <f>"2018-04-20 13:39:12"</f>
        <v>2018-04-20 13:39:12</v>
      </c>
      <c r="M12846" s="1" t="s">
        <v>0</v>
      </c>
      <c r="N12846" s="1" t="s">
        <v>38</v>
      </c>
      <c r="O12846" s="1" t="s">
        <v>46</v>
      </c>
    </row>
    <row r="12847" spans="2:15" x14ac:dyDescent="0.3">
      <c r="B12847" s="1" t="s">
        <v>20</v>
      </c>
      <c r="C12847" s="1" t="str">
        <f>"5-2차"</f>
        <v>5-2차</v>
      </c>
      <c r="D12847" s="1" t="str">
        <f>"9725Z9725M"</f>
        <v>9725Z9725M</v>
      </c>
      <c r="E12847" s="1" t="s">
        <v>10</v>
      </c>
      <c r="F12847" s="1" t="str">
        <f>"fde1:103:4:56e8:0:0:0:2"</f>
        <v>fde1:103:4:56e8:0:0:0:2</v>
      </c>
      <c r="G12847" s="1" t="str">
        <f>"9725Z972"</f>
        <v>9725Z972</v>
      </c>
      <c r="H12847" s="1" t="str">
        <f>"동도지 4R4R5"</f>
        <v>동도지 4R4R5</v>
      </c>
      <c r="I12847" s="1" t="s">
        <v>15</v>
      </c>
      <c r="J12847" s="1" t="str">
        <f>"42/43"</f>
        <v>42/43</v>
      </c>
      <c r="K12847" s="1" t="str">
        <f>"2026-07-29 14:21:08"</f>
        <v>2026-07-29 14:21:08</v>
      </c>
      <c r="L12847" s="1" t="str">
        <f>"2023-08-31 14:17:54"</f>
        <v>2023-08-31 14:17:54</v>
      </c>
      <c r="M12847" s="1" t="s">
        <v>4</v>
      </c>
      <c r="N12847" s="1" t="s">
        <v>38</v>
      </c>
      <c r="O12847" s="1" t="s">
        <v>46</v>
      </c>
    </row>
    <row r="12848" spans="2:15" x14ac:dyDescent="0.3">
      <c r="B12848" s="1" t="s">
        <v>20</v>
      </c>
      <c r="C12848" s="1" t="str">
        <f>"5-2차"</f>
        <v>5-2차</v>
      </c>
      <c r="D12848" s="1" t="str">
        <f>"9725Z9815M"</f>
        <v>9725Z9815M</v>
      </c>
      <c r="E12848" s="1" t="s">
        <v>10</v>
      </c>
      <c r="F12848" s="1" t="str">
        <f>"fde3:102:1300:5600:0:0:0:2"</f>
        <v>fde3:102:1300:5600:0:0:0:2</v>
      </c>
      <c r="G12848" s="1" t="str">
        <f>"9725Z981"</f>
        <v>9725Z981</v>
      </c>
      <c r="H12848" s="1" t="str">
        <f>"동도지 4R1R3"</f>
        <v>동도지 4R1R3</v>
      </c>
      <c r="I12848" s="1" t="s">
        <v>15</v>
      </c>
      <c r="J12848" s="1" t="str">
        <f>"72/72"</f>
        <v>72/72</v>
      </c>
      <c r="K12848" s="1" t="str">
        <f>"2026-07-29 14:21:07"</f>
        <v>2026-07-29 14:21:07</v>
      </c>
      <c r="L12848" s="1" t="str">
        <f>"2023-09-22 16:17:15"</f>
        <v>2023-09-22 16:17:15</v>
      </c>
      <c r="M12848" s="1" t="s">
        <v>45</v>
      </c>
      <c r="N12848" s="1" t="s">
        <v>38</v>
      </c>
      <c r="O12848" s="1" t="s">
        <v>46</v>
      </c>
    </row>
    <row r="12849" spans="2:15" x14ac:dyDescent="0.3">
      <c r="B12849" s="1" t="s">
        <v>20</v>
      </c>
      <c r="C12849" s="1" t="str">
        <f>"3차"</f>
        <v>3차</v>
      </c>
      <c r="D12849" s="1" t="str">
        <f>"9726P00239"</f>
        <v>9726P00239</v>
      </c>
      <c r="E12849" s="1" t="s">
        <v>10</v>
      </c>
      <c r="F12849" s="1" t="str">
        <f>"10.125.195.170"</f>
        <v>10.125.195.170</v>
      </c>
      <c r="G12849" s="1" t="str">
        <f>"9726P002"</f>
        <v>9726P002</v>
      </c>
      <c r="H12849" s="1" t="str">
        <f>"동신지 19R14"</f>
        <v>동신지 19R14</v>
      </c>
      <c r="I12849" s="1" t="s">
        <v>8</v>
      </c>
      <c r="J12849" s="1" t="str">
        <f>"29/29"</f>
        <v>29/29</v>
      </c>
      <c r="K12849" s="1" t="str">
        <f>"2026-07-29 13:18:12"</f>
        <v>2026-07-29 13:18:12</v>
      </c>
      <c r="L12849" s="1" t="str">
        <f>"2018-04-19 11:00:55"</f>
        <v>2018-04-19 11:00:55</v>
      </c>
      <c r="M12849" s="1" t="s">
        <v>45</v>
      </c>
      <c r="N12849" s="1" t="s">
        <v>38</v>
      </c>
      <c r="O12849" s="1" t="s">
        <v>46</v>
      </c>
    </row>
    <row r="12850" spans="2:15" x14ac:dyDescent="0.3">
      <c r="B12850" s="1" t="s">
        <v>20</v>
      </c>
      <c r="C12850" s="1" t="str">
        <f>"4차"</f>
        <v>4차</v>
      </c>
      <c r="D12850" s="1" t="str">
        <f>"9726P10244"</f>
        <v>9726P10244</v>
      </c>
      <c r="E12850" s="1" t="s">
        <v>10</v>
      </c>
      <c r="F12850" s="1" t="str">
        <f>"10.10.75.42"</f>
        <v>10.10.75.42</v>
      </c>
      <c r="G12850" s="1" t="str">
        <f>"9726P102"</f>
        <v>9726P102</v>
      </c>
      <c r="H12850" s="1" t="str">
        <f>"동신지 19R12"</f>
        <v>동신지 19R12</v>
      </c>
      <c r="I12850" s="1" t="s">
        <v>8</v>
      </c>
      <c r="J12850" s="1" t="str">
        <f>"32/34"</f>
        <v>32/34</v>
      </c>
      <c r="K12850" s="1" t="str">
        <f>"2026-07-29 13:18:12"</f>
        <v>2026-07-29 13:18:12</v>
      </c>
      <c r="L12850" s="1" t="str">
        <f>"2019-12-11 17:49:17"</f>
        <v>2019-12-11 17:49:17</v>
      </c>
      <c r="M12850" s="1" t="s">
        <v>1</v>
      </c>
      <c r="N12850" s="1" t="s">
        <v>38</v>
      </c>
      <c r="O12850" s="1" t="s">
        <v>46</v>
      </c>
    </row>
    <row r="12851" spans="2:15" x14ac:dyDescent="0.3">
      <c r="B12851" s="1" t="s">
        <v>20</v>
      </c>
      <c r="C12851" s="1" t="str">
        <f>"4차"</f>
        <v>4차</v>
      </c>
      <c r="D12851" s="1" t="str">
        <f>"9726P20144"</f>
        <v>9726P20144</v>
      </c>
      <c r="E12851" s="1" t="s">
        <v>10</v>
      </c>
      <c r="F12851" s="1" t="str">
        <f>"10.10.75.26"</f>
        <v>10.10.75.26</v>
      </c>
      <c r="G12851" s="1" t="str">
        <f>"9726P201"</f>
        <v>9726P201</v>
      </c>
      <c r="H12851" s="1" t="str">
        <f>"동신지 19R11"</f>
        <v>동신지 19R11</v>
      </c>
      <c r="I12851" s="1" t="s">
        <v>8</v>
      </c>
      <c r="J12851" s="1" t="str">
        <f>"56/77"</f>
        <v>56/77</v>
      </c>
      <c r="K12851" s="1" t="str">
        <f>"2026-07-29 13:18:12"</f>
        <v>2026-07-29 13:18:12</v>
      </c>
      <c r="L12851" s="1" t="str">
        <f>"2019-12-11 17:54:37"</f>
        <v>2019-12-11 17:54:37</v>
      </c>
      <c r="M12851" s="1" t="s">
        <v>1</v>
      </c>
      <c r="N12851" s="1" t="s">
        <v>38</v>
      </c>
      <c r="O12851" s="1" t="s">
        <v>46</v>
      </c>
    </row>
    <row r="12852" spans="2:15" x14ac:dyDescent="0.3">
      <c r="B12852" s="1" t="s">
        <v>20</v>
      </c>
      <c r="C12852" s="1" t="str">
        <f>"4차"</f>
        <v>4차</v>
      </c>
      <c r="D12852" s="1" t="str">
        <f>"9726P30144"</f>
        <v>9726P30144</v>
      </c>
      <c r="E12852" s="1" t="s">
        <v>10</v>
      </c>
      <c r="F12852" s="1" t="str">
        <f>"10.10.141.74"</f>
        <v>10.10.141.74</v>
      </c>
      <c r="G12852" s="1" t="str">
        <f>"9726P301"</f>
        <v>9726P301</v>
      </c>
      <c r="H12852" s="1" t="str">
        <f>"동신지 19R8"</f>
        <v>동신지 19R8</v>
      </c>
      <c r="I12852" s="1" t="s">
        <v>8</v>
      </c>
      <c r="J12852" s="1" t="str">
        <f>"32/32"</f>
        <v>32/32</v>
      </c>
      <c r="K12852" s="1" t="str">
        <f>"2026-07-29 13:18:12"</f>
        <v>2026-07-29 13:18:12</v>
      </c>
      <c r="L12852" s="1" t="str">
        <f>"2019-12-11 18:15:37"</f>
        <v>2019-12-11 18:15:37</v>
      </c>
      <c r="M12852" s="1" t="s">
        <v>1</v>
      </c>
      <c r="N12852" s="1" t="s">
        <v>38</v>
      </c>
      <c r="O12852" s="1" t="s">
        <v>46</v>
      </c>
    </row>
    <row r="12853" spans="2:15" x14ac:dyDescent="0.3">
      <c r="B12853" s="1" t="s">
        <v>20</v>
      </c>
      <c r="C12853" s="1" t="str">
        <f>"4차"</f>
        <v>4차</v>
      </c>
      <c r="D12853" s="1" t="str">
        <f>"9726R00144"</f>
        <v>9726R00144</v>
      </c>
      <c r="E12853" s="1" t="s">
        <v>10</v>
      </c>
      <c r="F12853" s="1" t="str">
        <f>"10.10.85.154"</f>
        <v>10.10.85.154</v>
      </c>
      <c r="G12853" s="1" t="str">
        <f>"9726R001"</f>
        <v>9726R001</v>
      </c>
      <c r="H12853" s="1" t="str">
        <f>"성산간 32L1"</f>
        <v>성산간 32L1</v>
      </c>
      <c r="I12853" s="1" t="s">
        <v>8</v>
      </c>
      <c r="J12853" s="1" t="str">
        <f>"27/40"</f>
        <v>27/40</v>
      </c>
      <c r="K12853" s="1" t="str">
        <f>"2026-07-29 13:18:10"</f>
        <v>2026-07-29 13:18:10</v>
      </c>
      <c r="L12853" s="1" t="str">
        <f>"2019-12-11 18:06:23"</f>
        <v>2019-12-11 18:06:23</v>
      </c>
      <c r="M12853" s="1" t="s">
        <v>1</v>
      </c>
      <c r="N12853" s="1" t="s">
        <v>38</v>
      </c>
      <c r="O12853" s="1" t="s">
        <v>46</v>
      </c>
    </row>
    <row r="12854" spans="2:15" x14ac:dyDescent="0.3">
      <c r="B12854" s="1" t="s">
        <v>20</v>
      </c>
      <c r="C12854" s="1" t="str">
        <f>"1차"</f>
        <v>1차</v>
      </c>
      <c r="D12854" s="1" t="str">
        <f>"9726R00200"</f>
        <v>9726R00200</v>
      </c>
      <c r="E12854" s="1" t="s">
        <v>10</v>
      </c>
      <c r="F12854" s="1" t="str">
        <f>"10.125.129.91"</f>
        <v>10.125.129.91</v>
      </c>
      <c r="G12854" s="1" t="str">
        <f>"9726R002"</f>
        <v>9726R002</v>
      </c>
      <c r="H12854" s="1" t="str">
        <f>"성산간 32L2"</f>
        <v>성산간 32L2</v>
      </c>
      <c r="I12854" s="1" t="s">
        <v>8</v>
      </c>
      <c r="J12854" s="1" t="str">
        <f>"44/44"</f>
        <v>44/44</v>
      </c>
      <c r="K12854" s="1" t="str">
        <f>"2026-07-29 13:18:11"</f>
        <v>2026-07-29 13:18:11</v>
      </c>
      <c r="L12854" s="1" t="str">
        <f>"2014-11-19 13:54:24"</f>
        <v>2014-11-19 13:54:24</v>
      </c>
      <c r="M12854" s="1" t="s">
        <v>45</v>
      </c>
      <c r="N12854" s="1" t="s">
        <v>38</v>
      </c>
      <c r="O12854" s="1" t="s">
        <v>46</v>
      </c>
    </row>
    <row r="12855" spans="2:15" x14ac:dyDescent="0.3">
      <c r="B12855" s="1" t="s">
        <v>20</v>
      </c>
      <c r="C12855" s="1" t="str">
        <f t="shared" ref="C12855:C12864" si="652">"4차"</f>
        <v>4차</v>
      </c>
      <c r="D12855" s="1" t="str">
        <f>"9726R00344"</f>
        <v>9726R00344</v>
      </c>
      <c r="E12855" s="1" t="s">
        <v>10</v>
      </c>
      <c r="F12855" s="1" t="str">
        <f>"10.10.82.162"</f>
        <v>10.10.82.162</v>
      </c>
      <c r="G12855" s="1" t="str">
        <f>"9726R003"</f>
        <v>9726R003</v>
      </c>
      <c r="H12855" s="1" t="str">
        <f>"성산간 32L2R1"</f>
        <v>성산간 32L2R1</v>
      </c>
      <c r="I12855" s="1" t="s">
        <v>8</v>
      </c>
      <c r="J12855" s="1" t="str">
        <f>"81/82"</f>
        <v>81/82</v>
      </c>
      <c r="K12855" s="1" t="str">
        <f>"2026-07-29 13:18:10"</f>
        <v>2026-07-29 13:18:10</v>
      </c>
      <c r="L12855" s="1" t="str">
        <f>"2019-12-11 18:06:49"</f>
        <v>2019-12-11 18:06:49</v>
      </c>
      <c r="M12855" s="1" t="s">
        <v>1</v>
      </c>
      <c r="N12855" s="1" t="s">
        <v>38</v>
      </c>
      <c r="O12855" s="1" t="s">
        <v>46</v>
      </c>
    </row>
    <row r="12856" spans="2:15" x14ac:dyDescent="0.3">
      <c r="B12856" s="1" t="s">
        <v>20</v>
      </c>
      <c r="C12856" s="1" t="str">
        <f t="shared" si="652"/>
        <v>4차</v>
      </c>
      <c r="D12856" s="1" t="str">
        <f>"9726R08144"</f>
        <v>9726R08144</v>
      </c>
      <c r="E12856" s="1" t="s">
        <v>10</v>
      </c>
      <c r="F12856" s="1" t="str">
        <f>"10.10.80.50"</f>
        <v>10.10.80.50</v>
      </c>
      <c r="G12856" s="1" t="str">
        <f>"9726R081"</f>
        <v>9726R081</v>
      </c>
      <c r="H12856" s="1" t="str">
        <f>"동신지 24R1L14L1"</f>
        <v>동신지 24R1L14L1</v>
      </c>
      <c r="I12856" s="1" t="s">
        <v>8</v>
      </c>
      <c r="J12856" s="1" t="str">
        <f>"34/34"</f>
        <v>34/34</v>
      </c>
      <c r="K12856" s="1" t="str">
        <f>"2026-07-29 13:18:10"</f>
        <v>2026-07-29 13:18:10</v>
      </c>
      <c r="L12856" s="1" t="str">
        <f>"2019-12-11 17:53:58"</f>
        <v>2019-12-11 17:53:58</v>
      </c>
      <c r="M12856" s="1" t="s">
        <v>1</v>
      </c>
      <c r="N12856" s="1" t="s">
        <v>38</v>
      </c>
      <c r="O12856" s="1" t="s">
        <v>46</v>
      </c>
    </row>
    <row r="12857" spans="2:15" x14ac:dyDescent="0.3">
      <c r="B12857" s="1" t="s">
        <v>20</v>
      </c>
      <c r="C12857" s="1" t="str">
        <f t="shared" si="652"/>
        <v>4차</v>
      </c>
      <c r="D12857" s="1" t="str">
        <f>"9726R09144"</f>
        <v>9726R09144</v>
      </c>
      <c r="E12857" s="1" t="s">
        <v>10</v>
      </c>
      <c r="F12857" s="1" t="str">
        <f>"10.10.79.82"</f>
        <v>10.10.79.82</v>
      </c>
      <c r="G12857" s="1" t="str">
        <f>"9726R091"</f>
        <v>9726R091</v>
      </c>
      <c r="H12857" s="1" t="str">
        <f>"동신지 24R1L14"</f>
        <v>동신지 24R1L14</v>
      </c>
      <c r="I12857" s="1" t="s">
        <v>8</v>
      </c>
      <c r="J12857" s="1" t="str">
        <f>"22/25"</f>
        <v>22/25</v>
      </c>
      <c r="K12857" s="1" t="str">
        <f>"2026-07-29 13:18:12"</f>
        <v>2026-07-29 13:18:12</v>
      </c>
      <c r="L12857" s="1" t="str">
        <f>"2019-12-11 17:54:12"</f>
        <v>2019-12-11 17:54:12</v>
      </c>
      <c r="M12857" s="1" t="s">
        <v>1</v>
      </c>
      <c r="N12857" s="1" t="s">
        <v>38</v>
      </c>
      <c r="O12857" s="1" t="s">
        <v>46</v>
      </c>
    </row>
    <row r="12858" spans="2:15" x14ac:dyDescent="0.3">
      <c r="B12858" s="1" t="s">
        <v>20</v>
      </c>
      <c r="C12858" s="1" t="str">
        <f t="shared" si="652"/>
        <v>4차</v>
      </c>
      <c r="D12858" s="1" t="str">
        <f>"9726R09244"</f>
        <v>9726R09244</v>
      </c>
      <c r="E12858" s="1" t="s">
        <v>10</v>
      </c>
      <c r="F12858" s="1" t="str">
        <f>"10.10.80.42"</f>
        <v>10.10.80.42</v>
      </c>
      <c r="G12858" s="1" t="str">
        <f>"9726R092"</f>
        <v>9726R092</v>
      </c>
      <c r="H12858" s="1" t="str">
        <f>"동신지 24R1L15"</f>
        <v>동신지 24R1L15</v>
      </c>
      <c r="I12858" s="1" t="s">
        <v>8</v>
      </c>
      <c r="J12858" s="1" t="str">
        <f>"47/49"</f>
        <v>47/49</v>
      </c>
      <c r="K12858" s="1" t="str">
        <f>"2026-07-29 13:18:12"</f>
        <v>2026-07-29 13:18:12</v>
      </c>
      <c r="L12858" s="1" t="str">
        <f>"2019-12-11 17:57:54"</f>
        <v>2019-12-11 17:57:54</v>
      </c>
      <c r="M12858" s="1" t="s">
        <v>1</v>
      </c>
      <c r="N12858" s="1" t="s">
        <v>38</v>
      </c>
      <c r="O12858" s="1" t="s">
        <v>46</v>
      </c>
    </row>
    <row r="12859" spans="2:15" x14ac:dyDescent="0.3">
      <c r="B12859" s="1" t="s">
        <v>20</v>
      </c>
      <c r="C12859" s="1" t="str">
        <f t="shared" si="652"/>
        <v>4차</v>
      </c>
      <c r="D12859" s="1" t="str">
        <f>"9726R14144"</f>
        <v>9726R14144</v>
      </c>
      <c r="E12859" s="1" t="s">
        <v>10</v>
      </c>
      <c r="F12859" s="1" t="str">
        <f>"10.10.79.58"</f>
        <v>10.10.79.58</v>
      </c>
      <c r="G12859" s="1" t="str">
        <f>"9726R141"</f>
        <v>9726R141</v>
      </c>
      <c r="H12859" s="1" t="str">
        <f>"동신지 24R12L1"</f>
        <v>동신지 24R12L1</v>
      </c>
      <c r="I12859" s="1" t="s">
        <v>8</v>
      </c>
      <c r="J12859" s="1" t="str">
        <f>"46/46"</f>
        <v>46/46</v>
      </c>
      <c r="K12859" s="1" t="str">
        <f>"2026-07-29 13:18:10"</f>
        <v>2026-07-29 13:18:10</v>
      </c>
      <c r="L12859" s="1" t="str">
        <f>"2020-01-18 10:45:13"</f>
        <v>2020-01-18 10:45:13</v>
      </c>
      <c r="M12859" s="1" t="s">
        <v>1</v>
      </c>
      <c r="N12859" s="1" t="s">
        <v>38</v>
      </c>
      <c r="O12859" s="1" t="s">
        <v>46</v>
      </c>
    </row>
    <row r="12860" spans="2:15" x14ac:dyDescent="0.3">
      <c r="B12860" s="1" t="s">
        <v>20</v>
      </c>
      <c r="C12860" s="1" t="str">
        <f t="shared" si="652"/>
        <v>4차</v>
      </c>
      <c r="D12860" s="1" t="str">
        <f>"9726R15144"</f>
        <v>9726R15144</v>
      </c>
      <c r="E12860" s="1" t="s">
        <v>10</v>
      </c>
      <c r="F12860" s="1" t="str">
        <f>"10.10.79.50"</f>
        <v>10.10.79.50</v>
      </c>
      <c r="G12860" s="1" t="str">
        <f>"9726R151"</f>
        <v>9726R151</v>
      </c>
      <c r="H12860" s="1" t="str">
        <f>"동신지 24R12"</f>
        <v>동신지 24R12</v>
      </c>
      <c r="I12860" s="1" t="s">
        <v>8</v>
      </c>
      <c r="J12860" s="1" t="str">
        <f>"69/69"</f>
        <v>69/69</v>
      </c>
      <c r="K12860" s="1" t="str">
        <f>"2026-07-29 13:18:11"</f>
        <v>2026-07-29 13:18:11</v>
      </c>
      <c r="L12860" s="1" t="str">
        <f>"2019-12-17 15:42:21"</f>
        <v>2019-12-17 15:42:21</v>
      </c>
      <c r="M12860" s="1" t="s">
        <v>1</v>
      </c>
      <c r="N12860" s="1" t="s">
        <v>38</v>
      </c>
      <c r="O12860" s="1" t="s">
        <v>46</v>
      </c>
    </row>
    <row r="12861" spans="2:15" x14ac:dyDescent="0.3">
      <c r="B12861" s="1" t="s">
        <v>20</v>
      </c>
      <c r="C12861" s="1" t="str">
        <f t="shared" si="652"/>
        <v>4차</v>
      </c>
      <c r="D12861" s="1" t="str">
        <f>"9726R16144"</f>
        <v>9726R16144</v>
      </c>
      <c r="E12861" s="1" t="s">
        <v>10</v>
      </c>
      <c r="F12861" s="1" t="str">
        <f>"10.10.107.186"</f>
        <v>10.10.107.186</v>
      </c>
      <c r="G12861" s="1" t="str">
        <f>"9726R161"</f>
        <v>9726R161</v>
      </c>
      <c r="H12861" s="1" t="str">
        <f>"동신지 24R13"</f>
        <v>동신지 24R13</v>
      </c>
      <c r="I12861" s="1" t="s">
        <v>8</v>
      </c>
      <c r="J12861" s="1" t="str">
        <f>"23/23"</f>
        <v>23/23</v>
      </c>
      <c r="K12861" s="1" t="str">
        <f>"2026-07-29 13:18:11"</f>
        <v>2026-07-29 13:18:11</v>
      </c>
      <c r="L12861" s="1" t="str">
        <f>"2019-12-11 17:54:24"</f>
        <v>2019-12-11 17:54:24</v>
      </c>
      <c r="M12861" s="1" t="s">
        <v>1</v>
      </c>
      <c r="N12861" s="1" t="s">
        <v>38</v>
      </c>
      <c r="O12861" s="1" t="s">
        <v>46</v>
      </c>
    </row>
    <row r="12862" spans="2:15" x14ac:dyDescent="0.3">
      <c r="B12862" s="1" t="s">
        <v>20</v>
      </c>
      <c r="C12862" s="1" t="str">
        <f t="shared" si="652"/>
        <v>4차</v>
      </c>
      <c r="D12862" s="1" t="str">
        <f>"9726R19444"</f>
        <v>9726R19444</v>
      </c>
      <c r="E12862" s="1" t="s">
        <v>10</v>
      </c>
      <c r="F12862" s="1" t="str">
        <f>"10.10.107.194"</f>
        <v>10.10.107.194</v>
      </c>
      <c r="G12862" s="1" t="str">
        <f>"9726R194"</f>
        <v>9726R194</v>
      </c>
      <c r="H12862" s="1" t="str">
        <f>"동신지 24R1L14R1"</f>
        <v>동신지 24R1L14R1</v>
      </c>
      <c r="I12862" s="1" t="s">
        <v>8</v>
      </c>
      <c r="J12862" s="1" t="str">
        <f>"7/7"</f>
        <v>7/7</v>
      </c>
      <c r="K12862" s="1" t="str">
        <f>"2026-07-29 13:18:11"</f>
        <v>2026-07-29 13:18:11</v>
      </c>
      <c r="L12862" s="1" t="str">
        <f>"2019-12-11 17:58:49"</f>
        <v>2019-12-11 17:58:49</v>
      </c>
      <c r="M12862" s="1" t="s">
        <v>1</v>
      </c>
      <c r="N12862" s="1" t="s">
        <v>38</v>
      </c>
      <c r="O12862" s="1" t="s">
        <v>46</v>
      </c>
    </row>
    <row r="12863" spans="2:15" x14ac:dyDescent="0.3">
      <c r="B12863" s="1" t="s">
        <v>20</v>
      </c>
      <c r="C12863" s="1" t="str">
        <f t="shared" si="652"/>
        <v>4차</v>
      </c>
      <c r="D12863" s="1" t="str">
        <f>"9726R24141"</f>
        <v>9726R24141</v>
      </c>
      <c r="E12863" s="1" t="s">
        <v>10</v>
      </c>
      <c r="F12863" s="1" t="str">
        <f>"10.14.1.42"</f>
        <v>10.14.1.42</v>
      </c>
      <c r="G12863" s="1" t="str">
        <f>"9726R241"</f>
        <v>9726R241</v>
      </c>
      <c r="H12863" s="1" t="str">
        <f>"동신지 24R12L3"</f>
        <v>동신지 24R12L3</v>
      </c>
      <c r="I12863" s="1" t="s">
        <v>17</v>
      </c>
      <c r="J12863" s="1" t="str">
        <f>"22/22"</f>
        <v>22/22</v>
      </c>
      <c r="K12863" s="1" t="str">
        <f>"2026-07-29 13:18:11"</f>
        <v>2026-07-29 13:18:11</v>
      </c>
      <c r="L12863" s="1" t="str">
        <f>"2021-08-12 06:47:10"</f>
        <v>2021-08-12 06:47:10</v>
      </c>
      <c r="M12863" s="1" t="s">
        <v>3</v>
      </c>
      <c r="N12863" s="1" t="s">
        <v>38</v>
      </c>
      <c r="O12863" s="1" t="s">
        <v>46</v>
      </c>
    </row>
    <row r="12864" spans="2:15" x14ac:dyDescent="0.3">
      <c r="B12864" s="1" t="s">
        <v>20</v>
      </c>
      <c r="C12864" s="1" t="str">
        <f t="shared" si="652"/>
        <v>4차</v>
      </c>
      <c r="D12864" s="1" t="str">
        <f>"9726R26239"</f>
        <v>9726R26239</v>
      </c>
      <c r="E12864" s="1" t="s">
        <v>10</v>
      </c>
      <c r="F12864" s="1" t="str">
        <f>"10.12.137.126"</f>
        <v>10.12.137.126</v>
      </c>
      <c r="G12864" s="1" t="str">
        <f>"9726R262"</f>
        <v>9726R262</v>
      </c>
      <c r="H12864" s="1" t="str">
        <f>"동교로 3"</f>
        <v>동교로 3</v>
      </c>
      <c r="I12864" s="1" t="s">
        <v>17</v>
      </c>
      <c r="J12864" s="1" t="str">
        <f>"8/8"</f>
        <v>8/8</v>
      </c>
      <c r="K12864" s="1" t="str">
        <f>"2026-07-29 13:18:04"</f>
        <v>2026-07-29 13:18:04</v>
      </c>
      <c r="L12864" s="1" t="str">
        <f>"2018-06-11 15:11:48"</f>
        <v>2018-06-11 15:11:48</v>
      </c>
      <c r="M12864" s="1" t="s">
        <v>0</v>
      </c>
      <c r="N12864" s="1" t="s">
        <v>38</v>
      </c>
      <c r="O12864" s="1" t="s">
        <v>46</v>
      </c>
    </row>
    <row r="12865" spans="2:15" x14ac:dyDescent="0.3">
      <c r="B12865" s="1" t="s">
        <v>20</v>
      </c>
      <c r="C12865" s="1" t="str">
        <f>"6차"</f>
        <v>6차</v>
      </c>
      <c r="D12865" s="1" t="str">
        <f>"9726R2816S"</f>
        <v>9726R2816S</v>
      </c>
      <c r="E12865" s="1" t="s">
        <v>10</v>
      </c>
      <c r="F12865" s="1" t="str">
        <f>"fde1:103:4:c6b7:0:0:0:2"</f>
        <v>fde1:103:4:c6b7:0:0:0:2</v>
      </c>
      <c r="G12865" s="1" t="str">
        <f>"9726R281"</f>
        <v>9726R281</v>
      </c>
      <c r="H12865" s="1" t="str">
        <f>"동신지 19R8L2"</f>
        <v>동신지 19R8L2</v>
      </c>
      <c r="I12865" s="1" t="s">
        <v>15</v>
      </c>
      <c r="J12865" s="1" t="str">
        <f>"48/48"</f>
        <v>48/48</v>
      </c>
      <c r="K12865" s="1" t="str">
        <f>"2026-07-29 14:21:05"</f>
        <v>2026-07-29 14:21:05</v>
      </c>
      <c r="L12865" s="1" t="str">
        <f>"2026-02-10 09:34:54"</f>
        <v>2026-02-10 09:34:54</v>
      </c>
      <c r="M12865" s="1" t="s">
        <v>4</v>
      </c>
      <c r="N12865" s="1" t="s">
        <v>38</v>
      </c>
      <c r="O12865" s="1" t="s">
        <v>46</v>
      </c>
    </row>
    <row r="12866" spans="2:15" x14ac:dyDescent="0.3">
      <c r="B12866" s="1" t="s">
        <v>20</v>
      </c>
      <c r="C12866" s="1" t="str">
        <f>"4차"</f>
        <v>4차</v>
      </c>
      <c r="D12866" s="1" t="str">
        <f>"9726R28244"</f>
        <v>9726R28244</v>
      </c>
      <c r="E12866" s="1" t="s">
        <v>10</v>
      </c>
      <c r="F12866" s="1" t="str">
        <f>"10.10.76.10"</f>
        <v>10.10.76.10</v>
      </c>
      <c r="G12866" s="1" t="str">
        <f>"9726R282"</f>
        <v>9726R282</v>
      </c>
      <c r="H12866" s="1" t="str">
        <f>"동신지 19R8L3"</f>
        <v>동신지 19R8L3</v>
      </c>
      <c r="I12866" s="1" t="s">
        <v>8</v>
      </c>
      <c r="J12866" s="1" t="str">
        <f>"20/20"</f>
        <v>20/20</v>
      </c>
      <c r="K12866" s="1" t="str">
        <f>"2026-07-29 13:18:11"</f>
        <v>2026-07-29 13:18:11</v>
      </c>
      <c r="L12866" s="1" t="str">
        <f>"2019-12-11 17:54:33"</f>
        <v>2019-12-11 17:54:33</v>
      </c>
      <c r="M12866" s="1" t="s">
        <v>1</v>
      </c>
      <c r="N12866" s="1" t="s">
        <v>38</v>
      </c>
      <c r="O12866" s="1" t="s">
        <v>46</v>
      </c>
    </row>
    <row r="12867" spans="2:15" x14ac:dyDescent="0.3">
      <c r="B12867" s="1" t="s">
        <v>20</v>
      </c>
      <c r="C12867" s="1" t="str">
        <f>"4차"</f>
        <v>4차</v>
      </c>
      <c r="D12867" s="1" t="str">
        <f>"9726R30245"</f>
        <v>9726R30245</v>
      </c>
      <c r="E12867" s="1" t="s">
        <v>10</v>
      </c>
      <c r="F12867" s="1" t="str">
        <f>"10.14.10.7"</f>
        <v>10.14.10.7</v>
      </c>
      <c r="G12867" s="1" t="str">
        <f>"9726R302"</f>
        <v>9726R302</v>
      </c>
      <c r="H12867" s="1" t="str">
        <f>"연남로 1"</f>
        <v>연남로 1</v>
      </c>
      <c r="I12867" s="1" t="s">
        <v>17</v>
      </c>
      <c r="J12867" s="1" t="str">
        <f>"47/47"</f>
        <v>47/47</v>
      </c>
      <c r="K12867" s="1" t="str">
        <f>"2026-07-29 13:18:12"</f>
        <v>2026-07-29 13:18:12</v>
      </c>
      <c r="L12867" s="1" t="str">
        <f>"2021-06-14 10:04:18"</f>
        <v>2021-06-14 10:04:18</v>
      </c>
      <c r="M12867" s="1" t="s">
        <v>3</v>
      </c>
      <c r="N12867" s="1" t="s">
        <v>38</v>
      </c>
      <c r="O12867" s="1" t="s">
        <v>46</v>
      </c>
    </row>
    <row r="12868" spans="2:15" x14ac:dyDescent="0.3">
      <c r="B12868" s="1" t="s">
        <v>20</v>
      </c>
      <c r="C12868" s="1" t="str">
        <f>"4차"</f>
        <v>4차</v>
      </c>
      <c r="D12868" s="1" t="str">
        <f>"9726R30339"</f>
        <v>9726R30339</v>
      </c>
      <c r="E12868" s="1" t="s">
        <v>10</v>
      </c>
      <c r="F12868" s="1" t="str">
        <f>"10.14.12.121"</f>
        <v>10.14.12.121</v>
      </c>
      <c r="G12868" s="1" t="str">
        <f>"9726R303"</f>
        <v>9726R303</v>
      </c>
      <c r="H12868" s="1" t="str">
        <f>"연남로 2"</f>
        <v>연남로 2</v>
      </c>
      <c r="I12868" s="1" t="s">
        <v>17</v>
      </c>
      <c r="J12868" s="1" t="str">
        <f>"80/80"</f>
        <v>80/80</v>
      </c>
      <c r="K12868" s="1" t="str">
        <f>"2026-07-29 13:18:12"</f>
        <v>2026-07-29 13:18:12</v>
      </c>
      <c r="L12868" s="1" t="str">
        <f>"2018-10-12 13:50:12"</f>
        <v>2018-10-12 13:50:12</v>
      </c>
      <c r="M12868" s="1" t="s">
        <v>3</v>
      </c>
      <c r="N12868" s="1" t="s">
        <v>38</v>
      </c>
      <c r="O12868" s="1" t="s">
        <v>46</v>
      </c>
    </row>
    <row r="12869" spans="2:15" x14ac:dyDescent="0.3">
      <c r="B12869" s="1" t="s">
        <v>20</v>
      </c>
      <c r="C12869" s="1" t="str">
        <f>"1차"</f>
        <v>1차</v>
      </c>
      <c r="D12869" s="1" t="str">
        <f>"9726R31100"</f>
        <v>9726R31100</v>
      </c>
      <c r="E12869" s="1" t="s">
        <v>10</v>
      </c>
      <c r="F12869" s="1" t="str">
        <f>"10.125.193.130"</f>
        <v>10.125.193.130</v>
      </c>
      <c r="G12869" s="1" t="str">
        <f>"9726R311"</f>
        <v>9726R311</v>
      </c>
      <c r="H12869" s="1" t="str">
        <f>"동신지 30"</f>
        <v>동신지 30</v>
      </c>
      <c r="I12869" s="1" t="s">
        <v>8</v>
      </c>
      <c r="J12869" s="1" t="str">
        <f>"38/39"</f>
        <v>38/39</v>
      </c>
      <c r="K12869" s="1" t="str">
        <f>"2026-07-29 13:18:11"</f>
        <v>2026-07-29 13:18:11</v>
      </c>
      <c r="L12869" s="1" t="str">
        <f>"2014-11-19 13:57:00"</f>
        <v>2014-11-19 13:57:00</v>
      </c>
      <c r="M12869" s="1" t="s">
        <v>45</v>
      </c>
      <c r="N12869" s="1" t="s">
        <v>38</v>
      </c>
      <c r="O12869" s="1" t="s">
        <v>46</v>
      </c>
    </row>
    <row r="12870" spans="2:15" x14ac:dyDescent="0.3">
      <c r="B12870" s="1" t="s">
        <v>20</v>
      </c>
      <c r="C12870" s="1" t="str">
        <f>"4차"</f>
        <v>4차</v>
      </c>
      <c r="D12870" s="1" t="str">
        <f>"9726R32144"</f>
        <v>9726R32144</v>
      </c>
      <c r="E12870" s="1" t="s">
        <v>10</v>
      </c>
      <c r="F12870" s="1" t="str">
        <f>"10.10.73.10"</f>
        <v>10.10.73.10</v>
      </c>
      <c r="G12870" s="1" t="str">
        <f>"9726R321"</f>
        <v>9726R321</v>
      </c>
      <c r="H12870" s="1" t="str">
        <f>"동신지 30R2"</f>
        <v>동신지 30R2</v>
      </c>
      <c r="I12870" s="1" t="s">
        <v>8</v>
      </c>
      <c r="J12870" s="1" t="str">
        <f>"59/64"</f>
        <v>59/64</v>
      </c>
      <c r="K12870" s="1" t="str">
        <f>"2026-07-29 13:18:11"</f>
        <v>2026-07-29 13:18:11</v>
      </c>
      <c r="L12870" s="1" t="str">
        <f>"2019-12-11 17:56:30"</f>
        <v>2019-12-11 17:56:30</v>
      </c>
      <c r="M12870" s="1" t="s">
        <v>1</v>
      </c>
      <c r="N12870" s="1" t="s">
        <v>38</v>
      </c>
      <c r="O12870" s="1" t="s">
        <v>46</v>
      </c>
    </row>
    <row r="12871" spans="2:15" x14ac:dyDescent="0.3">
      <c r="B12871" s="1" t="s">
        <v>20</v>
      </c>
      <c r="C12871" s="1" t="str">
        <f>"4차"</f>
        <v>4차</v>
      </c>
      <c r="D12871" s="1" t="str">
        <f>"9726R35139"</f>
        <v>9726R35139</v>
      </c>
      <c r="E12871" s="1" t="s">
        <v>10</v>
      </c>
      <c r="F12871" s="1" t="str">
        <f>"10.12.128.130"</f>
        <v>10.12.128.130</v>
      </c>
      <c r="G12871" s="1" t="str">
        <f>"9726R351"</f>
        <v>9726R351</v>
      </c>
      <c r="H12871" s="1" t="str">
        <f>"동교로 2"</f>
        <v>동교로 2</v>
      </c>
      <c r="I12871" s="1" t="s">
        <v>17</v>
      </c>
      <c r="J12871" s="1" t="str">
        <f>"36/36"</f>
        <v>36/36</v>
      </c>
      <c r="K12871" s="1" t="str">
        <f>"2026-07-29 13:18:12"</f>
        <v>2026-07-29 13:18:12</v>
      </c>
      <c r="L12871" s="1" t="str">
        <f>"2018-07-05 16:50:13"</f>
        <v>2018-07-05 16:50:13</v>
      </c>
      <c r="M12871" s="1" t="s">
        <v>0</v>
      </c>
      <c r="N12871" s="1" t="s">
        <v>38</v>
      </c>
      <c r="O12871" s="1" t="s">
        <v>46</v>
      </c>
    </row>
    <row r="12872" spans="2:15" x14ac:dyDescent="0.3">
      <c r="B12872" s="1" t="s">
        <v>20</v>
      </c>
      <c r="C12872" s="1" t="str">
        <f>"4차"</f>
        <v>4차</v>
      </c>
      <c r="D12872" s="1" t="str">
        <f>"9726R36244"</f>
        <v>9726R36244</v>
      </c>
      <c r="E12872" s="1" t="s">
        <v>10</v>
      </c>
      <c r="F12872" s="1" t="str">
        <f>"10.10.72.170"</f>
        <v>10.10.72.170</v>
      </c>
      <c r="G12872" s="1" t="str">
        <f>"9726R362"</f>
        <v>9726R362</v>
      </c>
      <c r="H12872" s="1" t="str">
        <f>"동신지 24R9"</f>
        <v>동신지 24R9</v>
      </c>
      <c r="I12872" s="1" t="s">
        <v>8</v>
      </c>
      <c r="J12872" s="1" t="str">
        <f>"39/39"</f>
        <v>39/39</v>
      </c>
      <c r="K12872" s="1" t="str">
        <f>"2026-07-29 13:18:11"</f>
        <v>2026-07-29 13:18:11</v>
      </c>
      <c r="L12872" s="1" t="str">
        <f>"2019-12-24 16:40:43"</f>
        <v>2019-12-24 16:40:43</v>
      </c>
      <c r="M12872" s="1" t="s">
        <v>1</v>
      </c>
      <c r="N12872" s="1" t="s">
        <v>38</v>
      </c>
      <c r="O12872" s="1" t="s">
        <v>46</v>
      </c>
    </row>
    <row r="12873" spans="2:15" x14ac:dyDescent="0.3">
      <c r="B12873" s="1" t="s">
        <v>20</v>
      </c>
      <c r="C12873" s="1" t="str">
        <f>"4차"</f>
        <v>4차</v>
      </c>
      <c r="D12873" s="1" t="str">
        <f>"9726R39144"</f>
        <v>9726R39144</v>
      </c>
      <c r="E12873" s="1" t="s">
        <v>10</v>
      </c>
      <c r="F12873" s="1" t="str">
        <f>"10.10.135.90"</f>
        <v>10.10.135.90</v>
      </c>
      <c r="G12873" s="1" t="str">
        <f>"9726R391"</f>
        <v>9726R391</v>
      </c>
      <c r="H12873" s="1" t="str">
        <f>"동신지 19R8L1"</f>
        <v>동신지 19R8L1</v>
      </c>
      <c r="I12873" s="1" t="s">
        <v>8</v>
      </c>
      <c r="J12873" s="1" t="str">
        <f>"47/47"</f>
        <v>47/47</v>
      </c>
      <c r="K12873" s="1" t="str">
        <f>"2026-07-29 13:18:11"</f>
        <v>2026-07-29 13:18:11</v>
      </c>
      <c r="L12873" s="1" t="str">
        <f>"2019-12-11 17:52:27"</f>
        <v>2019-12-11 17:52:27</v>
      </c>
      <c r="M12873" s="1" t="s">
        <v>1</v>
      </c>
      <c r="N12873" s="1" t="s">
        <v>38</v>
      </c>
      <c r="O12873" s="1" t="s">
        <v>46</v>
      </c>
    </row>
    <row r="12874" spans="2:15" x14ac:dyDescent="0.3">
      <c r="B12874" s="1" t="s">
        <v>20</v>
      </c>
      <c r="C12874" s="1" t="str">
        <f>"1차"</f>
        <v>1차</v>
      </c>
      <c r="D12874" s="1" t="str">
        <f>"9726R40300"</f>
        <v>9726R40300</v>
      </c>
      <c r="E12874" s="1" t="s">
        <v>10</v>
      </c>
      <c r="F12874" s="1" t="str">
        <f>"10.125.193.122"</f>
        <v>10.125.193.122</v>
      </c>
      <c r="G12874" s="1" t="str">
        <f>"9726R403"</f>
        <v>9726R403</v>
      </c>
      <c r="H12874" s="1" t="str">
        <f>"동신지 27L5"</f>
        <v>동신지 27L5</v>
      </c>
      <c r="I12874" s="1" t="s">
        <v>8</v>
      </c>
      <c r="J12874" s="1" t="str">
        <f>"12/17"</f>
        <v>12/17</v>
      </c>
      <c r="K12874" s="1" t="str">
        <f>"2026-07-29 13:18:11"</f>
        <v>2026-07-29 13:18:11</v>
      </c>
      <c r="L12874" s="1" t="str">
        <f>"2019-12-11 15:01:57"</f>
        <v>2019-12-11 15:01:57</v>
      </c>
      <c r="M12874" s="1" t="s">
        <v>45</v>
      </c>
      <c r="N12874" s="1" t="s">
        <v>38</v>
      </c>
      <c r="O12874" s="1" t="s">
        <v>46</v>
      </c>
    </row>
    <row r="12875" spans="2:15" x14ac:dyDescent="0.3">
      <c r="B12875" s="1" t="s">
        <v>20</v>
      </c>
      <c r="C12875" s="1" t="str">
        <f>"1차"</f>
        <v>1차</v>
      </c>
      <c r="D12875" s="1" t="str">
        <f>"9726R40501"</f>
        <v>9726R40501</v>
      </c>
      <c r="E12875" s="1" t="s">
        <v>10</v>
      </c>
      <c r="F12875" s="1" t="str">
        <f>"10.12.128.28"</f>
        <v>10.12.128.28</v>
      </c>
      <c r="G12875" s="1" t="str">
        <f>"9726R405"</f>
        <v>9726R405</v>
      </c>
      <c r="H12875" s="1" t="str">
        <f>"동신지 27L1R3"</f>
        <v>동신지 27L1R3</v>
      </c>
      <c r="I12875" s="1" t="s">
        <v>8</v>
      </c>
      <c r="J12875" s="1" t="str">
        <f>"7/7"</f>
        <v>7/7</v>
      </c>
      <c r="K12875" s="1" t="str">
        <f>"2026-07-29 13:18:12"</f>
        <v>2026-07-29 13:18:12</v>
      </c>
      <c r="L12875" s="1" t="str">
        <f>"2014-11-18 11:37:53"</f>
        <v>2014-11-18 11:37:53</v>
      </c>
      <c r="M12875" s="1" t="s">
        <v>0</v>
      </c>
      <c r="N12875" s="1" t="s">
        <v>38</v>
      </c>
      <c r="O12875" s="1" t="s">
        <v>46</v>
      </c>
    </row>
    <row r="12876" spans="2:15" x14ac:dyDescent="0.3">
      <c r="B12876" s="1" t="s">
        <v>20</v>
      </c>
      <c r="C12876" s="1" t="str">
        <f>"1차"</f>
        <v>1차</v>
      </c>
      <c r="D12876" s="1" t="str">
        <f>"9726R42300"</f>
        <v>9726R42300</v>
      </c>
      <c r="E12876" s="1" t="s">
        <v>10</v>
      </c>
      <c r="F12876" s="1" t="str">
        <f>"10.125.193.154"</f>
        <v>10.125.193.154</v>
      </c>
      <c r="G12876" s="1" t="str">
        <f>"9726R423"</f>
        <v>9726R423</v>
      </c>
      <c r="H12876" s="1" t="str">
        <f>"동신지 27L1R1"</f>
        <v>동신지 27L1R1</v>
      </c>
      <c r="I12876" s="1" t="s">
        <v>8</v>
      </c>
      <c r="J12876" s="1" t="str">
        <f>"4/10"</f>
        <v>4/10</v>
      </c>
      <c r="K12876" s="1" t="str">
        <f t="shared" ref="K12876:K12882" si="653">"2026-07-29 13:18:11"</f>
        <v>2026-07-29 13:18:11</v>
      </c>
      <c r="L12876" s="1" t="str">
        <f>"2014-09-22 14:27:13"</f>
        <v>2014-09-22 14:27:13</v>
      </c>
      <c r="M12876" s="1" t="s">
        <v>45</v>
      </c>
      <c r="N12876" s="1" t="s">
        <v>38</v>
      </c>
      <c r="O12876" s="1" t="s">
        <v>46</v>
      </c>
    </row>
    <row r="12877" spans="2:15" x14ac:dyDescent="0.3">
      <c r="B12877" s="1" t="s">
        <v>20</v>
      </c>
      <c r="C12877" s="1" t="str">
        <f>"4차"</f>
        <v>4차</v>
      </c>
      <c r="D12877" s="1" t="str">
        <f>"9726R45144"</f>
        <v>9726R45144</v>
      </c>
      <c r="E12877" s="1" t="s">
        <v>10</v>
      </c>
      <c r="F12877" s="1" t="str">
        <f>"10.10.72.66"</f>
        <v>10.10.72.66</v>
      </c>
      <c r="G12877" s="1" t="str">
        <f>"9726R451"</f>
        <v>9726R451</v>
      </c>
      <c r="H12877" s="1" t="str">
        <f>"동신지 24R3L2"</f>
        <v>동신지 24R3L2</v>
      </c>
      <c r="I12877" s="1" t="s">
        <v>8</v>
      </c>
      <c r="J12877" s="1" t="str">
        <f>"32/32"</f>
        <v>32/32</v>
      </c>
      <c r="K12877" s="1" t="str">
        <f t="shared" si="653"/>
        <v>2026-07-29 13:18:11</v>
      </c>
      <c r="L12877" s="1" t="str">
        <f>"2019-12-11 17:52:56"</f>
        <v>2019-12-11 17:52:56</v>
      </c>
      <c r="M12877" s="1" t="s">
        <v>1</v>
      </c>
      <c r="N12877" s="1" t="s">
        <v>38</v>
      </c>
      <c r="O12877" s="1" t="s">
        <v>46</v>
      </c>
    </row>
    <row r="12878" spans="2:15" x14ac:dyDescent="0.3">
      <c r="B12878" s="1" t="s">
        <v>20</v>
      </c>
      <c r="C12878" s="1" t="str">
        <f>"4차"</f>
        <v>4차</v>
      </c>
      <c r="D12878" s="1" t="str">
        <f>"9726R47244"</f>
        <v>9726R47244</v>
      </c>
      <c r="E12878" s="1" t="s">
        <v>10</v>
      </c>
      <c r="F12878" s="1" t="str">
        <f>"10.10.72.114"</f>
        <v>10.10.72.114</v>
      </c>
      <c r="G12878" s="1" t="str">
        <f>"9726R472"</f>
        <v>9726R472</v>
      </c>
      <c r="H12878" s="1" t="str">
        <f>"동신지 24R5R1"</f>
        <v>동신지 24R5R1</v>
      </c>
      <c r="I12878" s="1" t="s">
        <v>8</v>
      </c>
      <c r="J12878" s="1" t="str">
        <f>"76/76"</f>
        <v>76/76</v>
      </c>
      <c r="K12878" s="1" t="str">
        <f t="shared" si="653"/>
        <v>2026-07-29 13:18:11</v>
      </c>
      <c r="L12878" s="1" t="str">
        <f>"2020-01-18 10:23:47"</f>
        <v>2020-01-18 10:23:47</v>
      </c>
      <c r="M12878" s="1" t="s">
        <v>1</v>
      </c>
      <c r="N12878" s="1" t="s">
        <v>38</v>
      </c>
      <c r="O12878" s="1" t="s">
        <v>46</v>
      </c>
    </row>
    <row r="12879" spans="2:15" x14ac:dyDescent="0.3">
      <c r="B12879" s="1" t="s">
        <v>20</v>
      </c>
      <c r="C12879" s="1" t="str">
        <f>"4차"</f>
        <v>4차</v>
      </c>
      <c r="D12879" s="1" t="str">
        <f>"9726R52144"</f>
        <v>9726R52144</v>
      </c>
      <c r="E12879" s="1" t="s">
        <v>10</v>
      </c>
      <c r="F12879" s="1" t="str">
        <f>"10.10.72.234"</f>
        <v>10.10.72.234</v>
      </c>
      <c r="G12879" s="1" t="str">
        <f>"9726R521"</f>
        <v>9726R521</v>
      </c>
      <c r="H12879" s="1" t="str">
        <f>"동신지 27"</f>
        <v>동신지 27</v>
      </c>
      <c r="I12879" s="1" t="s">
        <v>8</v>
      </c>
      <c r="J12879" s="1" t="str">
        <f>"9/9"</f>
        <v>9/9</v>
      </c>
      <c r="K12879" s="1" t="str">
        <f t="shared" si="653"/>
        <v>2026-07-29 13:18:11</v>
      </c>
      <c r="L12879" s="1" t="str">
        <f>"2019-12-11 17:52:31"</f>
        <v>2019-12-11 17:52:31</v>
      </c>
      <c r="M12879" s="1" t="s">
        <v>1</v>
      </c>
      <c r="N12879" s="1" t="s">
        <v>38</v>
      </c>
      <c r="O12879" s="1" t="s">
        <v>46</v>
      </c>
    </row>
    <row r="12880" spans="2:15" x14ac:dyDescent="0.3">
      <c r="B12880" s="1" t="s">
        <v>20</v>
      </c>
      <c r="C12880" s="1" t="str">
        <f>"4차"</f>
        <v>4차</v>
      </c>
      <c r="D12880" s="1" t="str">
        <f>"9726R53544"</f>
        <v>9726R53544</v>
      </c>
      <c r="E12880" s="1" t="s">
        <v>10</v>
      </c>
      <c r="F12880" s="1" t="str">
        <f>"10.10.72.42"</f>
        <v>10.10.72.42</v>
      </c>
      <c r="G12880" s="1" t="str">
        <f>"9726R535"</f>
        <v>9726R535</v>
      </c>
      <c r="H12880" s="1" t="str">
        <f>"동신지 24R1L3"</f>
        <v>동신지 24R1L3</v>
      </c>
      <c r="I12880" s="1" t="s">
        <v>8</v>
      </c>
      <c r="J12880" s="1" t="str">
        <f>"95/95"</f>
        <v>95/95</v>
      </c>
      <c r="K12880" s="1" t="str">
        <f t="shared" si="653"/>
        <v>2026-07-29 13:18:11</v>
      </c>
      <c r="L12880" s="1" t="str">
        <f>"2019-12-11 18:07:48"</f>
        <v>2019-12-11 18:07:48</v>
      </c>
      <c r="M12880" s="1" t="s">
        <v>1</v>
      </c>
      <c r="N12880" s="1" t="s">
        <v>38</v>
      </c>
      <c r="O12880" s="1" t="s">
        <v>46</v>
      </c>
    </row>
    <row r="12881" spans="2:15" x14ac:dyDescent="0.3">
      <c r="B12881" s="1" t="s">
        <v>20</v>
      </c>
      <c r="C12881" s="1" t="str">
        <f>"4차"</f>
        <v>4차</v>
      </c>
      <c r="D12881" s="1" t="str">
        <f>"9726R55144"</f>
        <v>9726R55144</v>
      </c>
      <c r="E12881" s="1" t="s">
        <v>10</v>
      </c>
      <c r="F12881" s="1" t="str">
        <f>"10.10.72.50"</f>
        <v>10.10.72.50</v>
      </c>
      <c r="G12881" s="1" t="str">
        <f>"9726R551"</f>
        <v>9726R551</v>
      </c>
      <c r="H12881" s="1" t="str">
        <f>"동신지 24R3L1"</f>
        <v>동신지 24R3L1</v>
      </c>
      <c r="I12881" s="1" t="s">
        <v>8</v>
      </c>
      <c r="J12881" s="1" t="str">
        <f>"143/143"</f>
        <v>143/143</v>
      </c>
      <c r="K12881" s="1" t="str">
        <f t="shared" si="653"/>
        <v>2026-07-29 13:18:11</v>
      </c>
      <c r="L12881" s="1" t="str">
        <f>"2019-12-11 17:59:51"</f>
        <v>2019-12-11 17:59:51</v>
      </c>
      <c r="M12881" s="1" t="s">
        <v>1</v>
      </c>
      <c r="N12881" s="1" t="s">
        <v>38</v>
      </c>
      <c r="O12881" s="1" t="s">
        <v>46</v>
      </c>
    </row>
    <row r="12882" spans="2:15" x14ac:dyDescent="0.3">
      <c r="B12882" s="1" t="s">
        <v>20</v>
      </c>
      <c r="C12882" s="1" t="str">
        <f>"1차"</f>
        <v>1차</v>
      </c>
      <c r="D12882" s="1" t="str">
        <f>"9726R56100"</f>
        <v>9726R56100</v>
      </c>
      <c r="E12882" s="1" t="s">
        <v>10</v>
      </c>
      <c r="F12882" s="1" t="str">
        <f>"10.125.192.186"</f>
        <v>10.125.192.186</v>
      </c>
      <c r="G12882" s="1" t="str">
        <f>"9726R561"</f>
        <v>9726R561</v>
      </c>
      <c r="H12882" s="1" t="str">
        <f>"동신지 24R3"</f>
        <v>동신지 24R3</v>
      </c>
      <c r="I12882" s="1" t="s">
        <v>8</v>
      </c>
      <c r="J12882" s="1" t="str">
        <f>"10/11"</f>
        <v>10/11</v>
      </c>
      <c r="K12882" s="1" t="str">
        <f t="shared" si="653"/>
        <v>2026-07-29 13:18:11</v>
      </c>
      <c r="L12882" s="1" t="str">
        <f>"2014-12-04 16:41:32"</f>
        <v>2014-12-04 16:41:32</v>
      </c>
      <c r="M12882" s="1" t="s">
        <v>45</v>
      </c>
      <c r="N12882" s="1" t="s">
        <v>38</v>
      </c>
      <c r="O12882" s="1" t="s">
        <v>46</v>
      </c>
    </row>
    <row r="12883" spans="2:15" x14ac:dyDescent="0.3">
      <c r="B12883" s="1" t="s">
        <v>20</v>
      </c>
      <c r="C12883" s="1" t="str">
        <f>"4차"</f>
        <v>4차</v>
      </c>
      <c r="D12883" s="1" t="str">
        <f>"9726R56244"</f>
        <v>9726R56244</v>
      </c>
      <c r="E12883" s="1" t="s">
        <v>10</v>
      </c>
      <c r="F12883" s="1" t="str">
        <f>"10.10.72.106"</f>
        <v>10.10.72.106</v>
      </c>
      <c r="G12883" s="1" t="str">
        <f>"9726R562"</f>
        <v>9726R562</v>
      </c>
      <c r="H12883" s="1" t="str">
        <f>"동신지 24R4"</f>
        <v>동신지 24R4</v>
      </c>
      <c r="I12883" s="1" t="s">
        <v>8</v>
      </c>
      <c r="J12883" s="1" t="str">
        <f>"75/75"</f>
        <v>75/75</v>
      </c>
      <c r="K12883" s="1" t="str">
        <f>"2026-07-29 13:18:16"</f>
        <v>2026-07-29 13:18:16</v>
      </c>
      <c r="L12883" s="1" t="str">
        <f>"2020-01-18 10:37:51"</f>
        <v>2020-01-18 10:37:51</v>
      </c>
      <c r="M12883" s="1" t="s">
        <v>1</v>
      </c>
      <c r="N12883" s="1" t="s">
        <v>38</v>
      </c>
      <c r="O12883" s="1" t="s">
        <v>46</v>
      </c>
    </row>
    <row r="12884" spans="2:15" x14ac:dyDescent="0.3">
      <c r="B12884" s="1" t="s">
        <v>20</v>
      </c>
      <c r="C12884" s="1" t="str">
        <f>"4차"</f>
        <v>4차</v>
      </c>
      <c r="D12884" s="1" t="str">
        <f>"9726R59144"</f>
        <v>9726R59144</v>
      </c>
      <c r="E12884" s="1" t="s">
        <v>10</v>
      </c>
      <c r="F12884" s="1" t="str">
        <f>"10.10.107.162"</f>
        <v>10.10.107.162</v>
      </c>
      <c r="G12884" s="1" t="str">
        <f>"9726R591"</f>
        <v>9726R591</v>
      </c>
      <c r="H12884" s="1" t="str">
        <f>"동신지 19R6"</f>
        <v>동신지 19R6</v>
      </c>
      <c r="I12884" s="1" t="s">
        <v>8</v>
      </c>
      <c r="J12884" s="1" t="str">
        <f>"25/25"</f>
        <v>25/25</v>
      </c>
      <c r="K12884" s="1" t="str">
        <f>"2026-07-29 13:18:11"</f>
        <v>2026-07-29 13:18:11</v>
      </c>
      <c r="L12884" s="1" t="str">
        <f>"2019-12-11 17:54:13"</f>
        <v>2019-12-11 17:54:13</v>
      </c>
      <c r="M12884" s="1" t="s">
        <v>1</v>
      </c>
      <c r="N12884" s="1" t="s">
        <v>38</v>
      </c>
      <c r="O12884" s="1" t="s">
        <v>46</v>
      </c>
    </row>
    <row r="12885" spans="2:15" x14ac:dyDescent="0.3">
      <c r="B12885" s="1" t="s">
        <v>20</v>
      </c>
      <c r="C12885" s="1" t="str">
        <f>"4차"</f>
        <v>4차</v>
      </c>
      <c r="D12885" s="1" t="str">
        <f>"9726R61144"</f>
        <v>9726R61144</v>
      </c>
      <c r="E12885" s="1" t="s">
        <v>10</v>
      </c>
      <c r="F12885" s="1" t="str">
        <f>"10.10.107.218"</f>
        <v>10.10.107.218</v>
      </c>
      <c r="G12885" s="1" t="str">
        <f>"9726R611"</f>
        <v>9726R611</v>
      </c>
      <c r="H12885" s="1" t="str">
        <f>"동신지 6L8"</f>
        <v>동신지 6L8</v>
      </c>
      <c r="I12885" s="1" t="s">
        <v>8</v>
      </c>
      <c r="J12885" s="1" t="str">
        <f>"40/48"</f>
        <v>40/48</v>
      </c>
      <c r="K12885" s="1" t="str">
        <f>"2026-07-29 13:18:11"</f>
        <v>2026-07-29 13:18:11</v>
      </c>
      <c r="L12885" s="1" t="str">
        <f>"2019-12-11 17:56:17"</f>
        <v>2019-12-11 17:56:17</v>
      </c>
      <c r="M12885" s="1" t="s">
        <v>1</v>
      </c>
      <c r="N12885" s="1" t="s">
        <v>38</v>
      </c>
      <c r="O12885" s="1" t="s">
        <v>46</v>
      </c>
    </row>
    <row r="12886" spans="2:15" x14ac:dyDescent="0.3">
      <c r="B12886" s="1" t="s">
        <v>20</v>
      </c>
      <c r="C12886" s="1" t="str">
        <f>"4차"</f>
        <v>4차</v>
      </c>
      <c r="D12886" s="1" t="str">
        <f>"9726R61244"</f>
        <v>9726R61244</v>
      </c>
      <c r="E12886" s="1" t="s">
        <v>10</v>
      </c>
      <c r="F12886" s="1" t="str">
        <f>"10.10.136.186"</f>
        <v>10.10.136.186</v>
      </c>
      <c r="G12886" s="1" t="str">
        <f>"9726R612"</f>
        <v>9726R612</v>
      </c>
      <c r="H12886" s="1" t="str">
        <f>"동신지 6L7"</f>
        <v>동신지 6L7</v>
      </c>
      <c r="I12886" s="1" t="s">
        <v>8</v>
      </c>
      <c r="J12886" s="1" t="str">
        <f>"4/4"</f>
        <v>4/4</v>
      </c>
      <c r="K12886" s="1" t="str">
        <f>"2026-07-29 13:18:11"</f>
        <v>2026-07-29 13:18:11</v>
      </c>
      <c r="L12886" s="1" t="str">
        <f>"2020-01-21 16:43:05"</f>
        <v>2020-01-21 16:43:05</v>
      </c>
      <c r="M12886" s="1" t="s">
        <v>1</v>
      </c>
      <c r="N12886" s="1" t="s">
        <v>38</v>
      </c>
      <c r="O12886" s="1" t="s">
        <v>46</v>
      </c>
    </row>
    <row r="12887" spans="2:15" x14ac:dyDescent="0.3">
      <c r="B12887" s="1" t="s">
        <v>20</v>
      </c>
      <c r="C12887" s="1" t="str">
        <f>"4차"</f>
        <v>4차</v>
      </c>
      <c r="D12887" s="1" t="str">
        <f>"9726R64244"</f>
        <v>9726R64244</v>
      </c>
      <c r="E12887" s="1" t="s">
        <v>10</v>
      </c>
      <c r="F12887" s="1" t="str">
        <f>"10.10.79.98"</f>
        <v>10.10.79.98</v>
      </c>
      <c r="G12887" s="1" t="str">
        <f>"9726R642"</f>
        <v>9726R642</v>
      </c>
      <c r="H12887" s="1" t="str">
        <f>"동신지 24R1L1"</f>
        <v>동신지 24R1L1</v>
      </c>
      <c r="I12887" s="1" t="s">
        <v>8</v>
      </c>
      <c r="J12887" s="1" t="str">
        <f>"24/24"</f>
        <v>24/24</v>
      </c>
      <c r="K12887" s="1" t="str">
        <f>"2026-07-29 13:18:11"</f>
        <v>2026-07-29 13:18:11</v>
      </c>
      <c r="L12887" s="1" t="str">
        <f>"2019-12-11 17:55:47"</f>
        <v>2019-12-11 17:55:47</v>
      </c>
      <c r="M12887" s="1" t="s">
        <v>1</v>
      </c>
      <c r="N12887" s="1" t="s">
        <v>38</v>
      </c>
      <c r="O12887" s="1" t="s">
        <v>46</v>
      </c>
    </row>
    <row r="12888" spans="2:15" x14ac:dyDescent="0.3">
      <c r="B12888" s="1" t="s">
        <v>20</v>
      </c>
      <c r="C12888" s="1" t="str">
        <f>"6차"</f>
        <v>6차</v>
      </c>
      <c r="D12888" s="1" t="str">
        <f>"9726R6516M"</f>
        <v>9726R6516M</v>
      </c>
      <c r="E12888" s="1" t="s">
        <v>10</v>
      </c>
      <c r="F12888" s="1" t="str">
        <f>"fde1:103:4:c75a:0:0:0:2"</f>
        <v>fde1:103:4:c75a:0:0:0:2</v>
      </c>
      <c r="G12888" s="1" t="str">
        <f>"9726R651"</f>
        <v>9726R651</v>
      </c>
      <c r="H12888" s="1" t="str">
        <f>"동신지 24R2"</f>
        <v>동신지 24R2</v>
      </c>
      <c r="I12888" s="1" t="s">
        <v>15</v>
      </c>
      <c r="J12888" s="1" t="str">
        <f>"29/29"</f>
        <v>29/29</v>
      </c>
      <c r="K12888" s="1" t="str">
        <f>"2026-07-29 14:21:18"</f>
        <v>2026-07-29 14:21:18</v>
      </c>
      <c r="L12888" s="1" t="str">
        <f>"2024-11-22 15:54:16"</f>
        <v>2024-11-22 15:54:16</v>
      </c>
      <c r="M12888" s="1" t="s">
        <v>4</v>
      </c>
      <c r="N12888" s="1" t="s">
        <v>38</v>
      </c>
      <c r="O12888" s="1" t="s">
        <v>46</v>
      </c>
    </row>
    <row r="12889" spans="2:15" x14ac:dyDescent="0.3">
      <c r="B12889" s="1" t="s">
        <v>20</v>
      </c>
      <c r="C12889" s="1" t="str">
        <f>"4차"</f>
        <v>4차</v>
      </c>
      <c r="D12889" s="1" t="str">
        <f>"9726R68144"</f>
        <v>9726R68144</v>
      </c>
      <c r="E12889" s="1" t="s">
        <v>10</v>
      </c>
      <c r="F12889" s="1" t="str">
        <f>"10.10.75.162"</f>
        <v>10.10.75.162</v>
      </c>
      <c r="G12889" s="1" t="str">
        <f>"9726R681"</f>
        <v>9726R681</v>
      </c>
      <c r="H12889" s="1" t="str">
        <f>"동신지 19R4"</f>
        <v>동신지 19R4</v>
      </c>
      <c r="I12889" s="1" t="s">
        <v>8</v>
      </c>
      <c r="J12889" s="1" t="str">
        <f>"51/70"</f>
        <v>51/70</v>
      </c>
      <c r="K12889" s="1" t="str">
        <f>"2026-07-29 13:18:11"</f>
        <v>2026-07-29 13:18:11</v>
      </c>
      <c r="L12889" s="1" t="str">
        <f>"2020-01-21 16:13:26"</f>
        <v>2020-01-21 16:13:26</v>
      </c>
      <c r="M12889" s="1" t="s">
        <v>1</v>
      </c>
      <c r="N12889" s="1" t="s">
        <v>38</v>
      </c>
      <c r="O12889" s="1" t="s">
        <v>46</v>
      </c>
    </row>
    <row r="12890" spans="2:15" x14ac:dyDescent="0.3">
      <c r="B12890" s="1" t="s">
        <v>20</v>
      </c>
      <c r="C12890" s="1" t="str">
        <f>"5-2차"</f>
        <v>5-2차</v>
      </c>
      <c r="D12890" s="1" t="str">
        <f>"9726R7015M"</f>
        <v>9726R7015M</v>
      </c>
      <c r="E12890" s="1" t="s">
        <v>10</v>
      </c>
      <c r="F12890" s="1" t="str">
        <f>"fde1:103:4:5575:0:0:0:2"</f>
        <v>fde1:103:4:5575:0:0:0:2</v>
      </c>
      <c r="G12890" s="1" t="str">
        <f>"9726R701"</f>
        <v>9726R701</v>
      </c>
      <c r="H12890" s="1" t="str">
        <f>"동신지 6L6"</f>
        <v>동신지 6L6</v>
      </c>
      <c r="I12890" s="1" t="s">
        <v>15</v>
      </c>
      <c r="J12890" s="1" t="str">
        <f>"47/47"</f>
        <v>47/47</v>
      </c>
      <c r="K12890" s="1" t="str">
        <f>"2026-07-29 14:21:34"</f>
        <v>2026-07-29 14:21:34</v>
      </c>
      <c r="L12890" s="1" t="str">
        <f>"2023-08-31 14:28:53"</f>
        <v>2023-08-31 14:28:53</v>
      </c>
      <c r="M12890" s="1" t="s">
        <v>4</v>
      </c>
      <c r="N12890" s="1" t="s">
        <v>38</v>
      </c>
      <c r="O12890" s="1" t="s">
        <v>46</v>
      </c>
    </row>
    <row r="12891" spans="2:15" x14ac:dyDescent="0.3">
      <c r="B12891" s="1" t="s">
        <v>20</v>
      </c>
      <c r="C12891" s="1" t="str">
        <f>"4차"</f>
        <v>4차</v>
      </c>
      <c r="D12891" s="1" t="str">
        <f>"9726R70244"</f>
        <v>9726R70244</v>
      </c>
      <c r="E12891" s="1" t="s">
        <v>10</v>
      </c>
      <c r="F12891" s="1" t="str">
        <f>"10.10.73.210"</f>
        <v>10.10.73.210</v>
      </c>
      <c r="G12891" s="1" t="str">
        <f>"9726R702"</f>
        <v>9726R702</v>
      </c>
      <c r="H12891" s="1" t="str">
        <f>"동신지 6L6H1"</f>
        <v>동신지 6L6H1</v>
      </c>
      <c r="I12891" s="1" t="s">
        <v>8</v>
      </c>
      <c r="J12891" s="1" t="str">
        <f>"79/88"</f>
        <v>79/88</v>
      </c>
      <c r="K12891" s="1" t="str">
        <f>"2026-07-29 13:18:11"</f>
        <v>2026-07-29 13:18:11</v>
      </c>
      <c r="L12891" s="1" t="str">
        <f>"2019-12-11 17:56:33"</f>
        <v>2019-12-11 17:56:33</v>
      </c>
      <c r="M12891" s="1" t="s">
        <v>1</v>
      </c>
      <c r="N12891" s="1" t="s">
        <v>38</v>
      </c>
      <c r="O12891" s="1" t="s">
        <v>46</v>
      </c>
    </row>
    <row r="12892" spans="2:15" x14ac:dyDescent="0.3">
      <c r="B12892" s="1" t="s">
        <v>20</v>
      </c>
      <c r="C12892" s="1" t="str">
        <f>"4차"</f>
        <v>4차</v>
      </c>
      <c r="D12892" s="1" t="str">
        <f>"9726R72244"</f>
        <v>9726R72244</v>
      </c>
      <c r="E12892" s="1" t="s">
        <v>10</v>
      </c>
      <c r="F12892" s="1" t="str">
        <f>"10.10.78.250"</f>
        <v>10.10.78.250</v>
      </c>
      <c r="G12892" s="1" t="str">
        <f>"9726R722"</f>
        <v>9726R722</v>
      </c>
      <c r="H12892" s="1" t="str">
        <f>"동신지 24L2R3"</f>
        <v>동신지 24L2R3</v>
      </c>
      <c r="I12892" s="1" t="s">
        <v>8</v>
      </c>
      <c r="J12892" s="1" t="str">
        <f>"29/37"</f>
        <v>29/37</v>
      </c>
      <c r="K12892" s="1" t="str">
        <f>"2026-07-29 13:18:11"</f>
        <v>2026-07-29 13:18:11</v>
      </c>
      <c r="L12892" s="1" t="str">
        <f>"2019-12-11 17:52:34"</f>
        <v>2019-12-11 17:52:34</v>
      </c>
      <c r="M12892" s="1" t="s">
        <v>1</v>
      </c>
      <c r="N12892" s="1" t="s">
        <v>38</v>
      </c>
      <c r="O12892" s="1" t="s">
        <v>46</v>
      </c>
    </row>
    <row r="12893" spans="2:15" x14ac:dyDescent="0.3">
      <c r="B12893" s="1" t="s">
        <v>20</v>
      </c>
      <c r="C12893" s="1" t="str">
        <f>"4차"</f>
        <v>4차</v>
      </c>
      <c r="D12893" s="1" t="str">
        <f>"9726R72444"</f>
        <v>9726R72444</v>
      </c>
      <c r="E12893" s="1" t="s">
        <v>10</v>
      </c>
      <c r="F12893" s="1" t="str">
        <f>"10.10.87.170"</f>
        <v>10.10.87.170</v>
      </c>
      <c r="G12893" s="1" t="str">
        <f>"9726R724"</f>
        <v>9726R724</v>
      </c>
      <c r="H12893" s="1" t="str">
        <f>"동신지 24L2R2"</f>
        <v>동신지 24L2R2</v>
      </c>
      <c r="I12893" s="1" t="s">
        <v>8</v>
      </c>
      <c r="J12893" s="1" t="str">
        <f>"24/29"</f>
        <v>24/29</v>
      </c>
      <c r="K12893" s="1" t="str">
        <f>"2026-07-29 13:18:11"</f>
        <v>2026-07-29 13:18:11</v>
      </c>
      <c r="L12893" s="1" t="str">
        <f>"2020-01-10 17:20:52"</f>
        <v>2020-01-10 17:20:52</v>
      </c>
      <c r="M12893" s="1" t="s">
        <v>1</v>
      </c>
      <c r="N12893" s="1" t="s">
        <v>38</v>
      </c>
      <c r="O12893" s="1" t="s">
        <v>46</v>
      </c>
    </row>
    <row r="12894" spans="2:15" x14ac:dyDescent="0.3">
      <c r="B12894" s="1" t="s">
        <v>20</v>
      </c>
      <c r="C12894" s="1" t="str">
        <f>"4차"</f>
        <v>4차</v>
      </c>
      <c r="D12894" s="1" t="str">
        <f>"9726R74344"</f>
        <v>9726R74344</v>
      </c>
      <c r="E12894" s="1" t="s">
        <v>10</v>
      </c>
      <c r="F12894" s="1" t="str">
        <f>"10.10.76.90"</f>
        <v>10.10.76.90</v>
      </c>
      <c r="G12894" s="1" t="str">
        <f>"9726R743"</f>
        <v>9726R743</v>
      </c>
      <c r="H12894" s="1" t="str">
        <f>"동신지 24L2L1L2"</f>
        <v>동신지 24L2L1L2</v>
      </c>
      <c r="I12894" s="1" t="s">
        <v>8</v>
      </c>
      <c r="J12894" s="1" t="str">
        <f>"24/29"</f>
        <v>24/29</v>
      </c>
      <c r="K12894" s="1" t="str">
        <f>"2026-07-29 13:18:11"</f>
        <v>2026-07-29 13:18:11</v>
      </c>
      <c r="L12894" s="1" t="str">
        <f>"2019-12-11 17:52:07"</f>
        <v>2019-12-11 17:52:07</v>
      </c>
      <c r="M12894" s="1" t="s">
        <v>1</v>
      </c>
      <c r="N12894" s="1" t="s">
        <v>38</v>
      </c>
      <c r="O12894" s="1" t="s">
        <v>46</v>
      </c>
    </row>
    <row r="12895" spans="2:15" x14ac:dyDescent="0.3">
      <c r="B12895" s="1" t="s">
        <v>20</v>
      </c>
      <c r="C12895" s="1" t="str">
        <f>"1차"</f>
        <v>1차</v>
      </c>
      <c r="D12895" s="1" t="str">
        <f>"9726R75301"</f>
        <v>9726R75301</v>
      </c>
      <c r="E12895" s="1" t="s">
        <v>14</v>
      </c>
      <c r="F12895" s="1" t="str">
        <f>"10.125.129.152"</f>
        <v>10.125.129.152</v>
      </c>
      <c r="G12895" s="1" t="str">
        <f>"9726R753"</f>
        <v>9726R753</v>
      </c>
      <c r="H12895" s="1" t="str">
        <f>"동신지 24R1R2"</f>
        <v>동신지 24R1R2</v>
      </c>
      <c r="I12895" s="1" t="s">
        <v>8</v>
      </c>
      <c r="J12895" s="1" t="str">
        <f>"0/0"</f>
        <v>0/0</v>
      </c>
      <c r="K12895" s="1" t="str">
        <f>"2024-04-22 09:20:15"</f>
        <v>2024-04-22 09:20:15</v>
      </c>
      <c r="L12895" s="1" t="str">
        <f>"2014-12-08 16:38:41"</f>
        <v>2014-12-08 16:38:41</v>
      </c>
      <c r="M12895" s="1" t="s">
        <v>45</v>
      </c>
      <c r="N12895" s="1" t="s">
        <v>44</v>
      </c>
      <c r="O12895" s="1" t="s">
        <v>44</v>
      </c>
    </row>
    <row r="12896" spans="2:15" x14ac:dyDescent="0.3">
      <c r="B12896" s="1" t="s">
        <v>20</v>
      </c>
      <c r="C12896" s="1" t="str">
        <f>"4차"</f>
        <v>4차</v>
      </c>
      <c r="D12896" s="1" t="str">
        <f>"9726R77244"</f>
        <v>9726R77244</v>
      </c>
      <c r="E12896" s="1" t="s">
        <v>10</v>
      </c>
      <c r="F12896" s="1" t="str">
        <f>"10.10.75.178"</f>
        <v>10.10.75.178</v>
      </c>
      <c r="G12896" s="1" t="str">
        <f>"9726R772"</f>
        <v>9726R772</v>
      </c>
      <c r="H12896" s="1" t="str">
        <f>"동신지 19R3"</f>
        <v>동신지 19R3</v>
      </c>
      <c r="I12896" s="1" t="s">
        <v>8</v>
      </c>
      <c r="J12896" s="1" t="str">
        <f>"45/45"</f>
        <v>45/45</v>
      </c>
      <c r="K12896" s="1" t="str">
        <f>"2026-07-29 13:18:11"</f>
        <v>2026-07-29 13:18:11</v>
      </c>
      <c r="L12896" s="1" t="str">
        <f>"2019-12-11 17:56:26"</f>
        <v>2019-12-11 17:56:26</v>
      </c>
      <c r="M12896" s="1" t="s">
        <v>1</v>
      </c>
      <c r="N12896" s="1" t="s">
        <v>38</v>
      </c>
      <c r="O12896" s="1" t="s">
        <v>46</v>
      </c>
    </row>
    <row r="12897" spans="2:15" x14ac:dyDescent="0.3">
      <c r="B12897" s="1" t="s">
        <v>20</v>
      </c>
      <c r="C12897" s="1" t="str">
        <f>"4차"</f>
        <v>4차</v>
      </c>
      <c r="D12897" s="1" t="str">
        <f>"9726R80144"</f>
        <v>9726R80144</v>
      </c>
      <c r="E12897" s="1" t="s">
        <v>10</v>
      </c>
      <c r="F12897" s="1" t="str">
        <f>"10.10.72.250"</f>
        <v>10.10.72.250</v>
      </c>
      <c r="G12897" s="1" t="str">
        <f>"9726R801"</f>
        <v>9726R801</v>
      </c>
      <c r="H12897" s="1" t="str">
        <f>"동신지 6L2"</f>
        <v>동신지 6L2</v>
      </c>
      <c r="I12897" s="1" t="s">
        <v>8</v>
      </c>
      <c r="J12897" s="1" t="str">
        <f>"15/15"</f>
        <v>15/15</v>
      </c>
      <c r="K12897" s="1" t="str">
        <f>"2026-07-29 13:18:11"</f>
        <v>2026-07-29 13:18:11</v>
      </c>
      <c r="L12897" s="1" t="str">
        <f>"2019-12-11 17:59:37"</f>
        <v>2019-12-11 17:59:37</v>
      </c>
      <c r="M12897" s="1" t="s">
        <v>1</v>
      </c>
      <c r="N12897" s="1" t="s">
        <v>38</v>
      </c>
      <c r="O12897" s="1" t="s">
        <v>46</v>
      </c>
    </row>
    <row r="12898" spans="2:15" x14ac:dyDescent="0.3">
      <c r="B12898" s="1" t="s">
        <v>20</v>
      </c>
      <c r="C12898" s="1" t="str">
        <f>"3차"</f>
        <v>3차</v>
      </c>
      <c r="D12898" s="1" t="str">
        <f>"9726R83639"</f>
        <v>9726R83639</v>
      </c>
      <c r="E12898" s="1" t="s">
        <v>10</v>
      </c>
      <c r="F12898" s="1" t="str">
        <f>"10.125.195.186"</f>
        <v>10.125.195.186</v>
      </c>
      <c r="G12898" s="1" t="str">
        <f>"9726R836"</f>
        <v>9726R836</v>
      </c>
      <c r="H12898" s="1" t="str">
        <f>"동신지 24L3"</f>
        <v>동신지 24L3</v>
      </c>
      <c r="I12898" s="1" t="s">
        <v>8</v>
      </c>
      <c r="J12898" s="1" t="str">
        <f>"25/25"</f>
        <v>25/25</v>
      </c>
      <c r="K12898" s="1" t="str">
        <f>"2026-07-29 13:18:11"</f>
        <v>2026-07-29 13:18:11</v>
      </c>
      <c r="L12898" s="1" t="str">
        <f>"2018-04-19 10:21:11"</f>
        <v>2018-04-19 10:21:11</v>
      </c>
      <c r="M12898" s="1" t="s">
        <v>45</v>
      </c>
      <c r="N12898" s="1" t="s">
        <v>38</v>
      </c>
      <c r="O12898" s="1" t="s">
        <v>46</v>
      </c>
    </row>
    <row r="12899" spans="2:15" x14ac:dyDescent="0.3">
      <c r="B12899" s="1" t="s">
        <v>20</v>
      </c>
      <c r="C12899" s="1" t="str">
        <f>"4차"</f>
        <v>4차</v>
      </c>
      <c r="D12899" s="1" t="str">
        <f>"9726R85244"</f>
        <v>9726R85244</v>
      </c>
      <c r="E12899" s="1" t="s">
        <v>10</v>
      </c>
      <c r="F12899" s="1" t="str">
        <f>"10.10.107.178"</f>
        <v>10.10.107.178</v>
      </c>
      <c r="G12899" s="1" t="str">
        <f>"9726R852"</f>
        <v>9726R852</v>
      </c>
      <c r="H12899" s="1" t="str">
        <f>"동신지 22"</f>
        <v>동신지 22</v>
      </c>
      <c r="I12899" s="1" t="s">
        <v>8</v>
      </c>
      <c r="J12899" s="1" t="str">
        <f>"19/19"</f>
        <v>19/19</v>
      </c>
      <c r="K12899" s="1" t="str">
        <f>"2026-07-29 13:18:11"</f>
        <v>2026-07-29 13:18:11</v>
      </c>
      <c r="L12899" s="1" t="str">
        <f>"2019-12-11 17:52:15"</f>
        <v>2019-12-11 17:52:15</v>
      </c>
      <c r="M12899" s="1" t="s">
        <v>1</v>
      </c>
      <c r="N12899" s="1" t="s">
        <v>38</v>
      </c>
      <c r="O12899" s="1" t="s">
        <v>46</v>
      </c>
    </row>
    <row r="12900" spans="2:15" x14ac:dyDescent="0.3">
      <c r="B12900" s="1" t="s">
        <v>20</v>
      </c>
      <c r="C12900" s="1" t="str">
        <f>"1차"</f>
        <v>1차</v>
      </c>
      <c r="D12900" s="1" t="str">
        <f>"9726R86201"</f>
        <v>9726R86201</v>
      </c>
      <c r="E12900" s="1" t="s">
        <v>10</v>
      </c>
      <c r="F12900" s="1" t="str">
        <f>"10.12.131.189"</f>
        <v>10.12.131.189</v>
      </c>
      <c r="G12900" s="1" t="str">
        <f>"9726R862"</f>
        <v>9726R862</v>
      </c>
      <c r="H12900" s="1" t="str">
        <f>"동신지 21"</f>
        <v>동신지 21</v>
      </c>
      <c r="I12900" s="1" t="s">
        <v>8</v>
      </c>
      <c r="J12900" s="1" t="str">
        <f>"22/24"</f>
        <v>22/24</v>
      </c>
      <c r="K12900" s="1" t="str">
        <f>"2026-07-29 13:18:12"</f>
        <v>2026-07-29 13:18:12</v>
      </c>
      <c r="L12900" s="1" t="str">
        <f>"2014-11-29 15:24:24"</f>
        <v>2014-11-29 15:24:24</v>
      </c>
      <c r="M12900" s="1" t="s">
        <v>0</v>
      </c>
      <c r="N12900" s="1" t="s">
        <v>38</v>
      </c>
      <c r="O12900" s="1" t="s">
        <v>46</v>
      </c>
    </row>
    <row r="12901" spans="2:15" x14ac:dyDescent="0.3">
      <c r="B12901" s="1" t="s">
        <v>20</v>
      </c>
      <c r="C12901" s="1" t="str">
        <f t="shared" ref="C12901:C12908" si="654">"4차"</f>
        <v>4차</v>
      </c>
      <c r="D12901" s="1" t="str">
        <f>"9726R87344"</f>
        <v>9726R87344</v>
      </c>
      <c r="E12901" s="1" t="s">
        <v>10</v>
      </c>
      <c r="F12901" s="1" t="str">
        <f>"10.12.138.159"</f>
        <v>10.12.138.159</v>
      </c>
      <c r="G12901" s="1" t="str">
        <f>"9726R873"</f>
        <v>9726R873</v>
      </c>
      <c r="H12901" s="1" t="str">
        <f>"동신지 19R2"</f>
        <v>동신지 19R2</v>
      </c>
      <c r="I12901" s="1" t="s">
        <v>8</v>
      </c>
      <c r="J12901" s="1" t="str">
        <f>"14/14"</f>
        <v>14/14</v>
      </c>
      <c r="K12901" s="1" t="str">
        <f>"2026-07-29 13:18:12"</f>
        <v>2026-07-29 13:18:12</v>
      </c>
      <c r="L12901" s="1" t="str">
        <f>"2019-11-11 20:07:31"</f>
        <v>2019-11-11 20:07:31</v>
      </c>
      <c r="M12901" s="1" t="s">
        <v>0</v>
      </c>
      <c r="N12901" s="1" t="s">
        <v>38</v>
      </c>
      <c r="O12901" s="1" t="s">
        <v>46</v>
      </c>
    </row>
    <row r="12902" spans="2:15" x14ac:dyDescent="0.3">
      <c r="B12902" s="1" t="s">
        <v>20</v>
      </c>
      <c r="C12902" s="1" t="str">
        <f t="shared" si="654"/>
        <v>4차</v>
      </c>
      <c r="D12902" s="1" t="str">
        <f>"9726R91344"</f>
        <v>9726R91344</v>
      </c>
      <c r="E12902" s="1" t="s">
        <v>10</v>
      </c>
      <c r="F12902" s="1" t="str">
        <f>"10.10.87.98"</f>
        <v>10.10.87.98</v>
      </c>
      <c r="G12902" s="1" t="str">
        <f>"9726R913"</f>
        <v>9726R913</v>
      </c>
      <c r="H12902" s="1" t="str">
        <f>"동신지 7"</f>
        <v>동신지 7</v>
      </c>
      <c r="I12902" s="1" t="s">
        <v>8</v>
      </c>
      <c r="J12902" s="1" t="str">
        <f>"24/25"</f>
        <v>24/25</v>
      </c>
      <c r="K12902" s="1" t="str">
        <f t="shared" ref="K12902:K12907" si="655">"2026-07-29 13:18:11"</f>
        <v>2026-07-29 13:18:11</v>
      </c>
      <c r="L12902" s="1" t="str">
        <f>"2020-01-10 17:11:26"</f>
        <v>2020-01-10 17:11:26</v>
      </c>
      <c r="M12902" s="1" t="s">
        <v>1</v>
      </c>
      <c r="N12902" s="1" t="s">
        <v>38</v>
      </c>
      <c r="O12902" s="1" t="s">
        <v>46</v>
      </c>
    </row>
    <row r="12903" spans="2:15" x14ac:dyDescent="0.3">
      <c r="B12903" s="1" t="s">
        <v>20</v>
      </c>
      <c r="C12903" s="1" t="str">
        <f t="shared" si="654"/>
        <v>4차</v>
      </c>
      <c r="D12903" s="1" t="str">
        <f>"9726R92144"</f>
        <v>9726R92144</v>
      </c>
      <c r="E12903" s="1" t="s">
        <v>14</v>
      </c>
      <c r="F12903" s="1" t="str">
        <f>"10.10.79.18"</f>
        <v>10.10.79.18</v>
      </c>
      <c r="G12903" s="1" t="str">
        <f>"9726R921"</f>
        <v>9726R921</v>
      </c>
      <c r="H12903" s="1" t="str">
        <f>"동신지 24L4"</f>
        <v>동신지 24L4</v>
      </c>
      <c r="I12903" s="1" t="s">
        <v>8</v>
      </c>
      <c r="J12903" s="1" t="str">
        <f>"0/0"</f>
        <v>0/0</v>
      </c>
      <c r="K12903" s="1" t="str">
        <f t="shared" si="655"/>
        <v>2026-07-29 13:18:11</v>
      </c>
      <c r="L12903" s="1" t="str">
        <f>"2019-12-11 17:59:48"</f>
        <v>2019-12-11 17:59:48</v>
      </c>
      <c r="M12903" s="1" t="s">
        <v>1</v>
      </c>
      <c r="N12903" s="1" t="s">
        <v>38</v>
      </c>
      <c r="O12903" s="1" t="s">
        <v>44</v>
      </c>
    </row>
    <row r="12904" spans="2:15" x14ac:dyDescent="0.3">
      <c r="B12904" s="1" t="s">
        <v>20</v>
      </c>
      <c r="C12904" s="1" t="str">
        <f t="shared" si="654"/>
        <v>4차</v>
      </c>
      <c r="D12904" s="1" t="str">
        <f>"9726R92444"</f>
        <v>9726R92444</v>
      </c>
      <c r="E12904" s="1" t="s">
        <v>10</v>
      </c>
      <c r="F12904" s="1" t="str">
        <f>"10.10.78.226"</f>
        <v>10.10.78.226</v>
      </c>
      <c r="G12904" s="1" t="str">
        <f>"9726R924"</f>
        <v>9726R924</v>
      </c>
      <c r="H12904" s="1" t="str">
        <f>"동신지 24L2L1R2"</f>
        <v>동신지 24L2L1R2</v>
      </c>
      <c r="I12904" s="1" t="s">
        <v>8</v>
      </c>
      <c r="J12904" s="1" t="str">
        <f>"26/26"</f>
        <v>26/26</v>
      </c>
      <c r="K12904" s="1" t="str">
        <f t="shared" si="655"/>
        <v>2026-07-29 13:18:11</v>
      </c>
      <c r="L12904" s="1" t="str">
        <f>"2019-12-24 16:46:25"</f>
        <v>2019-12-24 16:46:25</v>
      </c>
      <c r="M12904" s="1" t="s">
        <v>1</v>
      </c>
      <c r="N12904" s="1" t="s">
        <v>38</v>
      </c>
      <c r="O12904" s="1" t="s">
        <v>46</v>
      </c>
    </row>
    <row r="12905" spans="2:15" x14ac:dyDescent="0.3">
      <c r="B12905" s="1" t="s">
        <v>20</v>
      </c>
      <c r="C12905" s="1" t="str">
        <f t="shared" si="654"/>
        <v>4차</v>
      </c>
      <c r="D12905" s="1" t="str">
        <f>"9726R94144"</f>
        <v>9726R94144</v>
      </c>
      <c r="E12905" s="1" t="s">
        <v>10</v>
      </c>
      <c r="F12905" s="1" t="str">
        <f>"10.10.79.2"</f>
        <v>10.10.79.2</v>
      </c>
      <c r="G12905" s="1" t="str">
        <f>"9726R941"</f>
        <v>9726R941</v>
      </c>
      <c r="H12905" s="1" t="str">
        <f>"동신지 24L2L2"</f>
        <v>동신지 24L2L2</v>
      </c>
      <c r="I12905" s="1" t="s">
        <v>8</v>
      </c>
      <c r="J12905" s="1" t="str">
        <f>"87/87"</f>
        <v>87/87</v>
      </c>
      <c r="K12905" s="1" t="str">
        <f t="shared" si="655"/>
        <v>2026-07-29 13:18:11</v>
      </c>
      <c r="L12905" s="1" t="str">
        <f>"2020-01-10 17:18:29"</f>
        <v>2020-01-10 17:18:29</v>
      </c>
      <c r="M12905" s="1" t="s">
        <v>1</v>
      </c>
      <c r="N12905" s="1" t="s">
        <v>38</v>
      </c>
      <c r="O12905" s="1" t="s">
        <v>46</v>
      </c>
    </row>
    <row r="12906" spans="2:15" x14ac:dyDescent="0.3">
      <c r="B12906" s="1" t="s">
        <v>20</v>
      </c>
      <c r="C12906" s="1" t="str">
        <f t="shared" si="654"/>
        <v>4차</v>
      </c>
      <c r="D12906" s="1" t="str">
        <f>"9726R96244"</f>
        <v>9726R96244</v>
      </c>
      <c r="E12906" s="1" t="s">
        <v>10</v>
      </c>
      <c r="F12906" s="1" t="str">
        <f>"10.10.75.10"</f>
        <v>10.10.75.10</v>
      </c>
      <c r="G12906" s="1" t="str">
        <f>"9726R962"</f>
        <v>9726R962</v>
      </c>
      <c r="H12906" s="1" t="str">
        <f>"동신지 19"</f>
        <v>동신지 19</v>
      </c>
      <c r="I12906" s="1" t="s">
        <v>8</v>
      </c>
      <c r="J12906" s="1" t="str">
        <f>"27/27"</f>
        <v>27/27</v>
      </c>
      <c r="K12906" s="1" t="str">
        <f t="shared" si="655"/>
        <v>2026-07-29 13:18:11</v>
      </c>
      <c r="L12906" s="1" t="str">
        <f>"2019-12-11 17:56:35"</f>
        <v>2019-12-11 17:56:35</v>
      </c>
      <c r="M12906" s="1" t="s">
        <v>1</v>
      </c>
      <c r="N12906" s="1" t="s">
        <v>38</v>
      </c>
      <c r="O12906" s="1" t="s">
        <v>46</v>
      </c>
    </row>
    <row r="12907" spans="2:15" x14ac:dyDescent="0.3">
      <c r="B12907" s="1" t="s">
        <v>20</v>
      </c>
      <c r="C12907" s="1" t="str">
        <f t="shared" si="654"/>
        <v>4차</v>
      </c>
      <c r="D12907" s="1" t="str">
        <f>"9726S05144"</f>
        <v>9726S05144</v>
      </c>
      <c r="E12907" s="1" t="s">
        <v>10</v>
      </c>
      <c r="F12907" s="1" t="str">
        <f>"10.10.107.146"</f>
        <v>10.10.107.146</v>
      </c>
      <c r="G12907" s="1" t="str">
        <f>"9726S051"</f>
        <v>9726S051</v>
      </c>
      <c r="H12907" s="1" t="str">
        <f>"동신지 16"</f>
        <v>동신지 16</v>
      </c>
      <c r="I12907" s="1" t="s">
        <v>8</v>
      </c>
      <c r="J12907" s="1" t="str">
        <f>"16/16"</f>
        <v>16/16</v>
      </c>
      <c r="K12907" s="1" t="str">
        <f t="shared" si="655"/>
        <v>2026-07-29 13:18:11</v>
      </c>
      <c r="L12907" s="1" t="str">
        <f>"2019-12-11 17:55:47"</f>
        <v>2019-12-11 17:55:47</v>
      </c>
      <c r="M12907" s="1" t="s">
        <v>1</v>
      </c>
      <c r="N12907" s="1" t="s">
        <v>38</v>
      </c>
      <c r="O12907" s="1" t="s">
        <v>46</v>
      </c>
    </row>
    <row r="12908" spans="2:15" x14ac:dyDescent="0.3">
      <c r="B12908" s="1" t="s">
        <v>20</v>
      </c>
      <c r="C12908" s="1" t="str">
        <f t="shared" si="654"/>
        <v>4차</v>
      </c>
      <c r="D12908" s="1" t="str">
        <f>"9726S05244"</f>
        <v>9726S05244</v>
      </c>
      <c r="E12908" s="1" t="s">
        <v>10</v>
      </c>
      <c r="F12908" s="1" t="str">
        <f>"10.12.138.92"</f>
        <v>10.12.138.92</v>
      </c>
      <c r="G12908" s="1" t="str">
        <f>"9726S052"</f>
        <v>9726S052</v>
      </c>
      <c r="H12908" s="1" t="str">
        <f>"동신지 15"</f>
        <v>동신지 15</v>
      </c>
      <c r="I12908" s="1" t="s">
        <v>8</v>
      </c>
      <c r="J12908" s="1" t="str">
        <f>"22/23"</f>
        <v>22/23</v>
      </c>
      <c r="K12908" s="1" t="str">
        <f>"2026-07-29 13:18:13"</f>
        <v>2026-07-29 13:18:13</v>
      </c>
      <c r="L12908" s="1" t="str">
        <f>"2020-01-10 09:29:11"</f>
        <v>2020-01-10 09:29:11</v>
      </c>
      <c r="M12908" s="1" t="s">
        <v>0</v>
      </c>
      <c r="N12908" s="1" t="s">
        <v>38</v>
      </c>
      <c r="O12908" s="1" t="s">
        <v>46</v>
      </c>
    </row>
    <row r="12909" spans="2:15" x14ac:dyDescent="0.3">
      <c r="B12909" s="1" t="s">
        <v>20</v>
      </c>
      <c r="C12909" s="1" t="str">
        <f>"3차"</f>
        <v>3차</v>
      </c>
      <c r="D12909" s="1" t="str">
        <f>"9726S13239"</f>
        <v>9726S13239</v>
      </c>
      <c r="E12909" s="1" t="s">
        <v>10</v>
      </c>
      <c r="F12909" s="1" t="str">
        <f>"10.12.129.142"</f>
        <v>10.12.129.142</v>
      </c>
      <c r="G12909" s="1" t="str">
        <f>"9726S132"</f>
        <v>9726S132</v>
      </c>
      <c r="H12909" s="1" t="str">
        <f>"동신지 12"</f>
        <v>동신지 12</v>
      </c>
      <c r="I12909" s="1" t="s">
        <v>8</v>
      </c>
      <c r="J12909" s="1" t="str">
        <f>"40/43"</f>
        <v>40/43</v>
      </c>
      <c r="K12909" s="1" t="str">
        <f>"2026-07-29 13:18:11"</f>
        <v>2026-07-29 13:18:11</v>
      </c>
      <c r="L12909" s="1" t="str">
        <f>"2018-04-19 09:46:25"</f>
        <v>2018-04-19 09:46:25</v>
      </c>
      <c r="M12909" s="1" t="s">
        <v>0</v>
      </c>
      <c r="N12909" s="1" t="s">
        <v>38</v>
      </c>
      <c r="O12909" s="1" t="s">
        <v>46</v>
      </c>
    </row>
    <row r="12910" spans="2:15" x14ac:dyDescent="0.3">
      <c r="B12910" s="1" t="s">
        <v>20</v>
      </c>
      <c r="C12910" s="1" t="str">
        <f>"4차"</f>
        <v>4차</v>
      </c>
      <c r="D12910" s="1" t="str">
        <f>"9823E09142"</f>
        <v>9823E09142</v>
      </c>
      <c r="E12910" s="1" t="s">
        <v>10</v>
      </c>
      <c r="F12910" s="1" t="str">
        <f>"10.12.131.105"</f>
        <v>10.12.131.105</v>
      </c>
      <c r="G12910" s="1" t="str">
        <f>"9823E091"</f>
        <v>9823E091</v>
      </c>
      <c r="H12910" s="1" t="str">
        <f>"수도지 27L1"</f>
        <v>수도지 27L1</v>
      </c>
      <c r="I12910" s="1" t="s">
        <v>8</v>
      </c>
      <c r="J12910" s="1" t="str">
        <f>"5/16"</f>
        <v>5/16</v>
      </c>
      <c r="K12910" s="1" t="str">
        <f>"2026-07-29 13:18:12"</f>
        <v>2026-07-29 13:18:12</v>
      </c>
      <c r="L12910" s="1" t="str">
        <f>"2025-06-20 15:16:38"</f>
        <v>2025-06-20 15:16:38</v>
      </c>
      <c r="M12910" s="1" t="s">
        <v>0</v>
      </c>
      <c r="N12910" s="1" t="s">
        <v>38</v>
      </c>
      <c r="O12910" s="1" t="s">
        <v>46</v>
      </c>
    </row>
    <row r="12911" spans="2:15" x14ac:dyDescent="0.3">
      <c r="B12911" s="1" t="s">
        <v>20</v>
      </c>
      <c r="C12911" s="1" t="str">
        <f>"5-2차"</f>
        <v>5-2차</v>
      </c>
      <c r="D12911" s="1" t="str">
        <f>"9823E1915S"</f>
        <v>9823E1915S</v>
      </c>
      <c r="E12911" s="1" t="s">
        <v>10</v>
      </c>
      <c r="F12911" s="1" t="str">
        <f>"fde3:102:1301:2600:0:0:0:7"</f>
        <v>fde3:102:1301:2600:0:0:0:7</v>
      </c>
      <c r="G12911" s="1" t="str">
        <f>"9823E191"</f>
        <v>9823E191</v>
      </c>
      <c r="H12911" s="1" t="str">
        <f>"수도지 27L2R2"</f>
        <v>수도지 27L2R2</v>
      </c>
      <c r="I12911" s="1" t="s">
        <v>15</v>
      </c>
      <c r="J12911" s="1" t="str">
        <f>"57/57"</f>
        <v>57/57</v>
      </c>
      <c r="K12911" s="1" t="str">
        <f>"2026-07-29 14:21:12"</f>
        <v>2026-07-29 14:21:12</v>
      </c>
      <c r="L12911" s="1" t="str">
        <f>"2023-12-01 15:31:22"</f>
        <v>2023-12-01 15:31:22</v>
      </c>
      <c r="M12911" s="1" t="s">
        <v>45</v>
      </c>
      <c r="N12911" s="1" t="s">
        <v>38</v>
      </c>
      <c r="O12911" s="1" t="s">
        <v>46</v>
      </c>
    </row>
    <row r="12912" spans="2:15" x14ac:dyDescent="0.3">
      <c r="B12912" s="1" t="s">
        <v>20</v>
      </c>
      <c r="C12912" s="1" t="str">
        <f>"1차"</f>
        <v>1차</v>
      </c>
      <c r="D12912" s="1" t="str">
        <f>"9823E78200"</f>
        <v>9823E78200</v>
      </c>
      <c r="E12912" s="1" t="s">
        <v>10</v>
      </c>
      <c r="F12912" s="1" t="str">
        <f>"10.125.226.58"</f>
        <v>10.125.226.58</v>
      </c>
      <c r="G12912" s="1" t="str">
        <f>"9823E782"</f>
        <v>9823E782</v>
      </c>
      <c r="H12912" s="1" t="str">
        <f>"수도지 48L11R2H1"</f>
        <v>수도지 48L11R2H1</v>
      </c>
      <c r="I12912" s="1" t="s">
        <v>8</v>
      </c>
      <c r="J12912" s="1" t="str">
        <f>"6/7"</f>
        <v>6/7</v>
      </c>
      <c r="K12912" s="1" t="str">
        <f>"2026-07-29 13:18:12"</f>
        <v>2026-07-29 13:18:12</v>
      </c>
      <c r="L12912" s="1" t="str">
        <f>"2014-11-04 00:11:50"</f>
        <v>2014-11-04 00:11:50</v>
      </c>
      <c r="M12912" s="1" t="s">
        <v>45</v>
      </c>
      <c r="N12912" s="1" t="s">
        <v>38</v>
      </c>
      <c r="O12912" s="1" t="s">
        <v>46</v>
      </c>
    </row>
    <row r="12913" spans="2:15" x14ac:dyDescent="0.3">
      <c r="B12913" s="1" t="s">
        <v>20</v>
      </c>
      <c r="C12913" s="1" t="str">
        <f>"1차"</f>
        <v>1차</v>
      </c>
      <c r="D12913" s="1" t="str">
        <f>"9823E89101"</f>
        <v>9823E89101</v>
      </c>
      <c r="E12913" s="1" t="s">
        <v>10</v>
      </c>
      <c r="F12913" s="1" t="str">
        <f>"10.125.226.59"</f>
        <v>10.125.226.59</v>
      </c>
      <c r="G12913" s="1" t="str">
        <f>"9823E891"</f>
        <v>9823E891</v>
      </c>
      <c r="H12913" s="1" t="str">
        <f>"수도지 48L11R3"</f>
        <v>수도지 48L11R3</v>
      </c>
      <c r="I12913" s="1" t="s">
        <v>8</v>
      </c>
      <c r="J12913" s="1" t="str">
        <f>"11/11"</f>
        <v>11/11</v>
      </c>
      <c r="K12913" s="1" t="str">
        <f>"2026-07-29 13:18:12"</f>
        <v>2026-07-29 13:18:12</v>
      </c>
      <c r="L12913" s="1" t="str">
        <f>"2014-12-02 15:52:41"</f>
        <v>2014-12-02 15:52:41</v>
      </c>
      <c r="M12913" s="1" t="s">
        <v>45</v>
      </c>
      <c r="N12913" s="1" t="s">
        <v>44</v>
      </c>
      <c r="O12913" s="1" t="s">
        <v>44</v>
      </c>
    </row>
    <row r="12914" spans="2:15" x14ac:dyDescent="0.3">
      <c r="B12914" s="1" t="s">
        <v>20</v>
      </c>
      <c r="C12914" s="1" t="str">
        <f>"5-1차"</f>
        <v>5-1차</v>
      </c>
      <c r="D12914" s="1" t="str">
        <f>"9823E9625S"</f>
        <v>9823E9625S</v>
      </c>
      <c r="E12914" s="1" t="s">
        <v>10</v>
      </c>
      <c r="F12914" s="1" t="str">
        <f>"fde2:104:0:a4:0:0:0:2"</f>
        <v>fde2:104:0:a4:0:0:0:2</v>
      </c>
      <c r="G12914" s="1" t="str">
        <f>"9823E962"</f>
        <v>9823E962</v>
      </c>
      <c r="H12914" s="1" t="str">
        <f>"수도지 51L1"</f>
        <v>수도지 51L1</v>
      </c>
      <c r="I12914" s="1" t="s">
        <v>15</v>
      </c>
      <c r="J12914" s="1" t="str">
        <f>"27/27"</f>
        <v>27/27</v>
      </c>
      <c r="K12914" s="1" t="str">
        <f>"2026-07-29 14:21:13"</f>
        <v>2026-07-29 14:21:13</v>
      </c>
      <c r="L12914" s="1" t="str">
        <f>"2022-10-04 11:58:45"</f>
        <v>2022-10-04 11:58:45</v>
      </c>
      <c r="M12914" s="1" t="s">
        <v>42</v>
      </c>
      <c r="N12914" s="1" t="s">
        <v>38</v>
      </c>
      <c r="O12914" s="1" t="s">
        <v>46</v>
      </c>
    </row>
    <row r="12915" spans="2:15" x14ac:dyDescent="0.3">
      <c r="B12915" s="1" t="s">
        <v>20</v>
      </c>
      <c r="C12915" s="1" t="str">
        <f>"6차"</f>
        <v>6차</v>
      </c>
      <c r="D12915" s="1" t="str">
        <f>"9823F0716M"</f>
        <v>9823F0716M</v>
      </c>
      <c r="E12915" s="1" t="s">
        <v>10</v>
      </c>
      <c r="F12915" s="1" t="str">
        <f>"fde1:103:4:c759:0:0:0:2"</f>
        <v>fde1:103:4:c759:0:0:0:2</v>
      </c>
      <c r="G12915" s="1" t="str">
        <f>"9823F071"</f>
        <v>9823F071</v>
      </c>
      <c r="H12915" s="1" t="str">
        <f>"철우지 3L1"</f>
        <v>철우지 3L1</v>
      </c>
      <c r="I12915" s="1" t="s">
        <v>15</v>
      </c>
      <c r="J12915" s="1" t="str">
        <f>"18/18"</f>
        <v>18/18</v>
      </c>
      <c r="K12915" s="1" t="str">
        <f>"2026-07-29 14:21:20"</f>
        <v>2026-07-29 14:21:20</v>
      </c>
      <c r="L12915" s="1" t="str">
        <f>"2024-11-26 13:41:43"</f>
        <v>2024-11-26 13:41:43</v>
      </c>
      <c r="M12915" s="1" t="s">
        <v>4</v>
      </c>
      <c r="N12915" s="1" t="s">
        <v>38</v>
      </c>
      <c r="O12915" s="1" t="s">
        <v>46</v>
      </c>
    </row>
    <row r="12916" spans="2:15" x14ac:dyDescent="0.3">
      <c r="B12916" s="1" t="s">
        <v>20</v>
      </c>
      <c r="C12916" s="1" t="str">
        <f>"1차"</f>
        <v>1차</v>
      </c>
      <c r="D12916" s="1" t="str">
        <f>"9823F07201"</f>
        <v>9823F07201</v>
      </c>
      <c r="E12916" s="1" t="s">
        <v>10</v>
      </c>
      <c r="F12916" s="1" t="str">
        <f>"10.12.130.19"</f>
        <v>10.12.130.19</v>
      </c>
      <c r="G12916" s="1" t="str">
        <f>"9823F072"</f>
        <v>9823F072</v>
      </c>
      <c r="H12916" s="1" t="str">
        <f>"철우지 3L2"</f>
        <v>철우지 3L2</v>
      </c>
      <c r="I12916" s="1" t="s">
        <v>8</v>
      </c>
      <c r="J12916" s="1" t="str">
        <f>"17/17"</f>
        <v>17/17</v>
      </c>
      <c r="K12916" s="1" t="str">
        <f>"2026-07-29 13:18:13"</f>
        <v>2026-07-29 13:18:13</v>
      </c>
      <c r="L12916" s="1" t="str">
        <f>"2014-11-25 10:41:57"</f>
        <v>2014-11-25 10:41:57</v>
      </c>
      <c r="M12916" s="1" t="s">
        <v>0</v>
      </c>
      <c r="N12916" s="1" t="s">
        <v>38</v>
      </c>
      <c r="O12916" s="1" t="s">
        <v>46</v>
      </c>
    </row>
    <row r="12917" spans="2:15" x14ac:dyDescent="0.3">
      <c r="B12917" s="1" t="s">
        <v>20</v>
      </c>
      <c r="C12917" s="1" t="str">
        <f>"5-2차"</f>
        <v>5-2차</v>
      </c>
      <c r="D12917" s="1" t="str">
        <f>"9823F0915M"</f>
        <v>9823F0915M</v>
      </c>
      <c r="E12917" s="1" t="s">
        <v>10</v>
      </c>
      <c r="F12917" s="1" t="str">
        <f>"fde1:103:4:55b3:0:0:0:2"</f>
        <v>fde1:103:4:55b3:0:0:0:2</v>
      </c>
      <c r="G12917" s="1" t="str">
        <f>"9823F091"</f>
        <v>9823F091</v>
      </c>
      <c r="H12917" s="1" t="str">
        <f>"철우지 3R2"</f>
        <v>철우지 3R2</v>
      </c>
      <c r="I12917" s="1" t="s">
        <v>15</v>
      </c>
      <c r="J12917" s="1" t="str">
        <f>"25/25"</f>
        <v>25/25</v>
      </c>
      <c r="K12917" s="1" t="str">
        <f>"2026-07-29 14:21:15"</f>
        <v>2026-07-29 14:21:15</v>
      </c>
      <c r="L12917" s="1" t="str">
        <f>"2023-08-31 14:47:13"</f>
        <v>2023-08-31 14:47:13</v>
      </c>
      <c r="M12917" s="1" t="s">
        <v>4</v>
      </c>
      <c r="N12917" s="1" t="s">
        <v>38</v>
      </c>
      <c r="O12917" s="1" t="s">
        <v>46</v>
      </c>
    </row>
    <row r="12918" spans="2:15" x14ac:dyDescent="0.3">
      <c r="B12918" s="1" t="s">
        <v>20</v>
      </c>
      <c r="C12918" s="1" t="str">
        <f>"1차"</f>
        <v>1차</v>
      </c>
      <c r="D12918" s="1" t="str">
        <f>"9823F18301"</f>
        <v>9823F18301</v>
      </c>
      <c r="E12918" s="1" t="s">
        <v>10</v>
      </c>
      <c r="F12918" s="1" t="str">
        <f>"10.12.131.55"</f>
        <v>10.12.131.55</v>
      </c>
      <c r="G12918" s="1" t="str">
        <f>"9823F183"</f>
        <v>9823F183</v>
      </c>
      <c r="H12918" s="1" t="str">
        <f>"철우지 3"</f>
        <v>철우지 3</v>
      </c>
      <c r="I12918" s="1" t="s">
        <v>8</v>
      </c>
      <c r="J12918" s="1" t="str">
        <f>"9/10"</f>
        <v>9/10</v>
      </c>
      <c r="K12918" s="1" t="str">
        <f>"2026-07-29 13:18:12"</f>
        <v>2026-07-29 13:18:12</v>
      </c>
      <c r="L12918" s="1" t="str">
        <f>"2014-11-25 10:44:20"</f>
        <v>2014-11-25 10:44:20</v>
      </c>
      <c r="M12918" s="1" t="s">
        <v>0</v>
      </c>
      <c r="N12918" s="1" t="s">
        <v>38</v>
      </c>
      <c r="O12918" s="1" t="s">
        <v>46</v>
      </c>
    </row>
    <row r="12919" spans="2:15" x14ac:dyDescent="0.3">
      <c r="B12919" s="1" t="s">
        <v>20</v>
      </c>
      <c r="C12919" s="1" t="str">
        <f>"5-1차"</f>
        <v>5-1차</v>
      </c>
      <c r="D12919" s="1" t="str">
        <f>"9823F4415S"</f>
        <v>9823F4415S</v>
      </c>
      <c r="E12919" s="1" t="s">
        <v>10</v>
      </c>
      <c r="F12919" s="1" t="str">
        <f>"fde3:102:1301:e00:0:0:0:2"</f>
        <v>fde3:102:1301:e00:0:0:0:2</v>
      </c>
      <c r="G12919" s="1" t="str">
        <f>"9823F441"</f>
        <v>9823F441</v>
      </c>
      <c r="H12919" s="1" t="str">
        <f>"한강지 2R3"</f>
        <v>한강지 2R3</v>
      </c>
      <c r="I12919" s="1" t="s">
        <v>15</v>
      </c>
      <c r="J12919" s="1" t="str">
        <f>"19/19"</f>
        <v>19/19</v>
      </c>
      <c r="K12919" s="1" t="str">
        <f>"2026-07-29 14:21:13"</f>
        <v>2026-07-29 14:21:13</v>
      </c>
      <c r="L12919" s="1" t="str">
        <f>"2022-11-17 12:12:42"</f>
        <v>2022-11-17 12:12:42</v>
      </c>
      <c r="M12919" s="1" t="s">
        <v>45</v>
      </c>
      <c r="N12919" s="1" t="s">
        <v>38</v>
      </c>
      <c r="O12919" s="1" t="s">
        <v>46</v>
      </c>
    </row>
    <row r="12920" spans="2:15" x14ac:dyDescent="0.3">
      <c r="B12920" s="1" t="s">
        <v>20</v>
      </c>
      <c r="C12920" s="1" t="str">
        <f>"5-1차"</f>
        <v>5-1차</v>
      </c>
      <c r="D12920" s="1" t="str">
        <f>"9823F6825M"</f>
        <v>9823F6825M</v>
      </c>
      <c r="E12920" s="1" t="s">
        <v>10</v>
      </c>
      <c r="F12920" s="1" t="str">
        <f>"fde3:102:1301:1600:0:0:0:2"</f>
        <v>fde3:102:1301:1600:0:0:0:2</v>
      </c>
      <c r="G12920" s="1" t="str">
        <f>"9823F682"</f>
        <v>9823F682</v>
      </c>
      <c r="H12920" s="1" t="str">
        <f>"한강지 5L1L2"</f>
        <v>한강지 5L1L2</v>
      </c>
      <c r="I12920" s="1" t="s">
        <v>15</v>
      </c>
      <c r="J12920" s="1" t="str">
        <f>"20/21"</f>
        <v>20/21</v>
      </c>
      <c r="K12920" s="1" t="str">
        <f>"2026-07-29 14:21:18"</f>
        <v>2026-07-29 14:21:18</v>
      </c>
      <c r="L12920" s="1" t="str">
        <f>"2022-12-08 17:11:44"</f>
        <v>2022-12-08 17:11:44</v>
      </c>
      <c r="M12920" s="1" t="s">
        <v>45</v>
      </c>
      <c r="N12920" s="1" t="s">
        <v>38</v>
      </c>
      <c r="O12920" s="1" t="s">
        <v>46</v>
      </c>
    </row>
    <row r="12921" spans="2:15" x14ac:dyDescent="0.3">
      <c r="B12921" s="1" t="s">
        <v>20</v>
      </c>
      <c r="C12921" s="1" t="str">
        <f t="shared" ref="C12921:C12926" si="656">"4차"</f>
        <v>4차</v>
      </c>
      <c r="D12921" s="1" t="str">
        <f>"9823F87239"</f>
        <v>9823F87239</v>
      </c>
      <c r="E12921" s="1" t="s">
        <v>10</v>
      </c>
      <c r="F12921" s="1" t="str">
        <f>"10.12.136.251"</f>
        <v>10.12.136.251</v>
      </c>
      <c r="G12921" s="1" t="str">
        <f>"9823F872"</f>
        <v>9823F872</v>
      </c>
      <c r="H12921" s="1" t="str">
        <f>"한강로 2-3"</f>
        <v>한강로 2-3</v>
      </c>
      <c r="I12921" s="1" t="s">
        <v>17</v>
      </c>
      <c r="J12921" s="1" t="str">
        <f>"31/31"</f>
        <v>31/31</v>
      </c>
      <c r="K12921" s="1" t="str">
        <f>"2026-07-29 13:18:11"</f>
        <v>2026-07-29 13:18:11</v>
      </c>
      <c r="L12921" s="1" t="str">
        <f>"2018-10-12 10:09:10"</f>
        <v>2018-10-12 10:09:10</v>
      </c>
      <c r="M12921" s="1" t="s">
        <v>0</v>
      </c>
      <c r="N12921" s="1" t="s">
        <v>38</v>
      </c>
      <c r="O12921" s="1" t="s">
        <v>46</v>
      </c>
    </row>
    <row r="12922" spans="2:15" x14ac:dyDescent="0.3">
      <c r="B12922" s="1" t="s">
        <v>20</v>
      </c>
      <c r="C12922" s="1" t="str">
        <f t="shared" si="656"/>
        <v>4차</v>
      </c>
      <c r="D12922" s="1" t="str">
        <f>"9824A03145"</f>
        <v>9824A03145</v>
      </c>
      <c r="E12922" s="1" t="s">
        <v>14</v>
      </c>
      <c r="F12922" s="1" t="str">
        <f>"10.14.15.21"</f>
        <v>10.14.15.21</v>
      </c>
      <c r="G12922" s="1" t="str">
        <f>"9824A031"</f>
        <v>9824A031</v>
      </c>
      <c r="H12922" s="1" t="str">
        <f>"독막길 7"</f>
        <v>독막길 7</v>
      </c>
      <c r="I12922" s="1" t="s">
        <v>17</v>
      </c>
      <c r="J12922" s="1" t="str">
        <f>"0/0"</f>
        <v>0/0</v>
      </c>
      <c r="K12922" s="1" t="str">
        <f>"2026-07-29 13:18:12"</f>
        <v>2026-07-29 13:18:12</v>
      </c>
      <c r="L12922" s="1" t="str">
        <f>"2021-06-10 10:57:20"</f>
        <v>2021-06-10 10:57:20</v>
      </c>
      <c r="M12922" s="1" t="s">
        <v>3</v>
      </c>
      <c r="N12922" s="1" t="s">
        <v>38</v>
      </c>
      <c r="O12922" s="1" t="s">
        <v>44</v>
      </c>
    </row>
    <row r="12923" spans="2:15" x14ac:dyDescent="0.3">
      <c r="B12923" s="1" t="s">
        <v>20</v>
      </c>
      <c r="C12923" s="1" t="str">
        <f t="shared" si="656"/>
        <v>4차</v>
      </c>
      <c r="D12923" s="1" t="str">
        <f>"9824A07341"</f>
        <v>9824A07341</v>
      </c>
      <c r="E12923" s="1" t="s">
        <v>10</v>
      </c>
      <c r="F12923" s="1" t="str">
        <f>"10.14.11.115"</f>
        <v>10.14.11.115</v>
      </c>
      <c r="G12923" s="1" t="str">
        <f>"9824A073"</f>
        <v>9824A073</v>
      </c>
      <c r="H12923" s="1" t="str">
        <f>"염리지 4"</f>
        <v>염리지 4</v>
      </c>
      <c r="I12923" s="1" t="s">
        <v>17</v>
      </c>
      <c r="J12923" s="1" t="str">
        <f>"6/12"</f>
        <v>6/12</v>
      </c>
      <c r="K12923" s="1" t="str">
        <f>"2026-07-29 13:18:12"</f>
        <v>2026-07-29 13:18:12</v>
      </c>
      <c r="L12923" s="1" t="str">
        <f>"2021-08-09 11:56:01"</f>
        <v>2021-08-09 11:56:01</v>
      </c>
      <c r="M12923" s="1" t="s">
        <v>3</v>
      </c>
      <c r="N12923" s="1" t="s">
        <v>38</v>
      </c>
      <c r="O12923" s="1" t="s">
        <v>46</v>
      </c>
    </row>
    <row r="12924" spans="2:15" x14ac:dyDescent="0.3">
      <c r="B12924" s="1" t="s">
        <v>20</v>
      </c>
      <c r="C12924" s="1" t="str">
        <f t="shared" si="656"/>
        <v>4차</v>
      </c>
      <c r="D12924" s="1" t="str">
        <f>"9824A15745"</f>
        <v>9824A15745</v>
      </c>
      <c r="E12924" s="1" t="s">
        <v>10</v>
      </c>
      <c r="F12924" s="1" t="str">
        <f>"10.14.3.6"</f>
        <v>10.14.3.6</v>
      </c>
      <c r="G12924" s="1" t="str">
        <f>"9824A157"</f>
        <v>9824A157</v>
      </c>
      <c r="H12924" s="1" t="str">
        <f>"독막길 6"</f>
        <v>독막길 6</v>
      </c>
      <c r="I12924" s="1" t="s">
        <v>17</v>
      </c>
      <c r="J12924" s="1" t="str">
        <f>"7/7"</f>
        <v>7/7</v>
      </c>
      <c r="K12924" s="1" t="str">
        <f>"2026-07-29 13:18:13"</f>
        <v>2026-07-29 13:18:13</v>
      </c>
      <c r="L12924" s="1" t="str">
        <f>"2021-06-10 10:21:19"</f>
        <v>2021-06-10 10:21:19</v>
      </c>
      <c r="M12924" s="1" t="s">
        <v>3</v>
      </c>
      <c r="N12924" s="1" t="s">
        <v>38</v>
      </c>
      <c r="O12924" s="1" t="s">
        <v>46</v>
      </c>
    </row>
    <row r="12925" spans="2:15" x14ac:dyDescent="0.3">
      <c r="B12925" s="1" t="s">
        <v>20</v>
      </c>
      <c r="C12925" s="1" t="str">
        <f t="shared" si="656"/>
        <v>4차</v>
      </c>
      <c r="D12925" s="1" t="str">
        <f>"9824A42B45"</f>
        <v>9824A42B45</v>
      </c>
      <c r="E12925" s="1" t="s">
        <v>10</v>
      </c>
      <c r="F12925" s="1" t="str">
        <f>"10.14.11.14"</f>
        <v>10.14.11.14</v>
      </c>
      <c r="G12925" s="1" t="str">
        <f>"9824A42B"</f>
        <v>9824A42B</v>
      </c>
      <c r="H12925" s="1" t="str">
        <f>"마포로 1T"</f>
        <v>마포로 1T</v>
      </c>
      <c r="I12925" s="1" t="s">
        <v>17</v>
      </c>
      <c r="J12925" s="1" t="str">
        <f>"1/9"</f>
        <v>1/9</v>
      </c>
      <c r="K12925" s="1" t="str">
        <f>"2026-07-29 13:18:12"</f>
        <v>2026-07-29 13:18:12</v>
      </c>
      <c r="L12925" s="1" t="str">
        <f>"2021-06-10 11:43:32"</f>
        <v>2021-06-10 11:43:32</v>
      </c>
      <c r="M12925" s="1" t="s">
        <v>3</v>
      </c>
      <c r="N12925" s="1" t="s">
        <v>38</v>
      </c>
      <c r="O12925" s="1" t="s">
        <v>46</v>
      </c>
    </row>
    <row r="12926" spans="2:15" x14ac:dyDescent="0.3">
      <c r="B12926" s="1" t="s">
        <v>20</v>
      </c>
      <c r="C12926" s="1" t="str">
        <f t="shared" si="656"/>
        <v>4차</v>
      </c>
      <c r="D12926" s="1" t="str">
        <f>"9824A48345"</f>
        <v>9824A48345</v>
      </c>
      <c r="E12926" s="1" t="s">
        <v>10</v>
      </c>
      <c r="F12926" s="1" t="str">
        <f>"10.14.8.21"</f>
        <v>10.14.8.21</v>
      </c>
      <c r="G12926" s="1" t="str">
        <f>"9824A483"</f>
        <v>9824A483</v>
      </c>
      <c r="H12926" s="1" t="str">
        <f>"독막길 3"</f>
        <v>독막길 3</v>
      </c>
      <c r="I12926" s="1" t="s">
        <v>17</v>
      </c>
      <c r="J12926" s="1" t="str">
        <f>"5/5"</f>
        <v>5/5</v>
      </c>
      <c r="K12926" s="1" t="str">
        <f>"2026-07-29 13:18:12"</f>
        <v>2026-07-29 13:18:12</v>
      </c>
      <c r="L12926" s="1" t="str">
        <f>"2021-06-10 09:32:23"</f>
        <v>2021-06-10 09:32:23</v>
      </c>
      <c r="M12926" s="1" t="s">
        <v>3</v>
      </c>
      <c r="N12926" s="1" t="s">
        <v>38</v>
      </c>
      <c r="O12926" s="1" t="s">
        <v>46</v>
      </c>
    </row>
    <row r="12927" spans="2:15" x14ac:dyDescent="0.3">
      <c r="B12927" s="1" t="s">
        <v>20</v>
      </c>
      <c r="C12927" s="1" t="str">
        <f>"1차"</f>
        <v>1차</v>
      </c>
      <c r="D12927" s="1" t="str">
        <f>"9824A60300"</f>
        <v>9824A60300</v>
      </c>
      <c r="E12927" s="1" t="s">
        <v>10</v>
      </c>
      <c r="F12927" s="1" t="str">
        <f>"10.125.128.191"</f>
        <v>10.125.128.191</v>
      </c>
      <c r="G12927" s="1" t="str">
        <f>"9824A603"</f>
        <v>9824A603</v>
      </c>
      <c r="H12927" s="1" t="str">
        <f>"화성간 14L4L2R1"</f>
        <v>화성간 14L4L2R1</v>
      </c>
      <c r="I12927" s="1" t="s">
        <v>8</v>
      </c>
      <c r="J12927" s="1" t="str">
        <f>"3/3"</f>
        <v>3/3</v>
      </c>
      <c r="K12927" s="1" t="str">
        <f>"2026-07-29 13:18:12"</f>
        <v>2026-07-29 13:18:12</v>
      </c>
      <c r="L12927" s="1" t="str">
        <f>"2014-11-28 00:13:35"</f>
        <v>2014-11-28 00:13:35</v>
      </c>
      <c r="M12927" s="1" t="s">
        <v>45</v>
      </c>
      <c r="N12927" s="1" t="s">
        <v>38</v>
      </c>
      <c r="O12927" s="1" t="s">
        <v>46</v>
      </c>
    </row>
    <row r="12928" spans="2:15" x14ac:dyDescent="0.3">
      <c r="B12928" s="1" t="s">
        <v>20</v>
      </c>
      <c r="C12928" s="1" t="str">
        <f>"1차"</f>
        <v>1차</v>
      </c>
      <c r="D12928" s="1" t="str">
        <f>"9824A80100"</f>
        <v>9824A80100</v>
      </c>
      <c r="E12928" s="1" t="s">
        <v>10</v>
      </c>
      <c r="F12928" s="1" t="str">
        <f>"10.125.128.196"</f>
        <v>10.125.128.196</v>
      </c>
      <c r="G12928" s="1" t="str">
        <f>"9824A801"</f>
        <v>9824A801</v>
      </c>
      <c r="H12928" s="1" t="str">
        <f>"화성간 11L4R3"</f>
        <v>화성간 11L4R3</v>
      </c>
      <c r="I12928" s="1" t="s">
        <v>8</v>
      </c>
      <c r="J12928" s="1" t="str">
        <f>"2/2"</f>
        <v>2/2</v>
      </c>
      <c r="K12928" s="1" t="str">
        <f>"2026-07-29 13:18:12"</f>
        <v>2026-07-29 13:18:12</v>
      </c>
      <c r="L12928" s="1" t="str">
        <f>"2014-11-05 00:14:10"</f>
        <v>2014-11-05 00:14:10</v>
      </c>
      <c r="M12928" s="1" t="s">
        <v>45</v>
      </c>
      <c r="N12928" s="1" t="s">
        <v>38</v>
      </c>
      <c r="O12928" s="1" t="s">
        <v>46</v>
      </c>
    </row>
    <row r="12929" spans="2:15" x14ac:dyDescent="0.3">
      <c r="B12929" s="1" t="s">
        <v>20</v>
      </c>
      <c r="C12929" s="1" t="str">
        <f>"1차"</f>
        <v>1차</v>
      </c>
      <c r="D12929" s="1" t="str">
        <f>"9824A81101"</f>
        <v>9824A81101</v>
      </c>
      <c r="E12929" s="1" t="s">
        <v>10</v>
      </c>
      <c r="F12929" s="1" t="str">
        <f>"10.14.1.121"</f>
        <v>10.14.1.121</v>
      </c>
      <c r="G12929" s="1" t="str">
        <f>"9824A811"</f>
        <v>9824A811</v>
      </c>
      <c r="H12929" s="1" t="str">
        <f>"화성간 11L4R2"</f>
        <v>화성간 11L4R2</v>
      </c>
      <c r="I12929" s="1" t="s">
        <v>8</v>
      </c>
      <c r="J12929" s="1" t="str">
        <f>"17/17"</f>
        <v>17/17</v>
      </c>
      <c r="K12929" s="1" t="str">
        <f>"2026-07-29 13:18:13"</f>
        <v>2026-07-29 13:18:13</v>
      </c>
      <c r="L12929" s="1" t="str">
        <f>"2014-11-21 17:32:56"</f>
        <v>2014-11-21 17:32:56</v>
      </c>
      <c r="M12929" s="1" t="s">
        <v>3</v>
      </c>
      <c r="N12929" s="1" t="s">
        <v>38</v>
      </c>
      <c r="O12929" s="1" t="s">
        <v>46</v>
      </c>
    </row>
    <row r="12930" spans="2:15" x14ac:dyDescent="0.3">
      <c r="B12930" s="1" t="s">
        <v>20</v>
      </c>
      <c r="C12930" s="1" t="str">
        <f t="shared" ref="C12930:C12941" si="657">"4차"</f>
        <v>4차</v>
      </c>
      <c r="D12930" s="1" t="str">
        <f>"9824A81241"</f>
        <v>9824A81241</v>
      </c>
      <c r="E12930" s="1" t="s">
        <v>10</v>
      </c>
      <c r="F12930" s="1" t="str">
        <f>"10.14.11.180"</f>
        <v>10.14.11.180</v>
      </c>
      <c r="G12930" s="1" t="str">
        <f>"9824A812"</f>
        <v>9824A812</v>
      </c>
      <c r="H12930" s="1" t="str">
        <f>"화성간 11L4"</f>
        <v>화성간 11L4</v>
      </c>
      <c r="I12930" s="1" t="s">
        <v>17</v>
      </c>
      <c r="J12930" s="1" t="str">
        <f>"34/65"</f>
        <v>34/65</v>
      </c>
      <c r="K12930" s="1" t="str">
        <f>"2026-07-29 13:18:13"</f>
        <v>2026-07-29 13:18:13</v>
      </c>
      <c r="L12930" s="1" t="str">
        <f>"2021-08-10 13:09:59"</f>
        <v>2021-08-10 13:09:59</v>
      </c>
      <c r="M12930" s="1" t="s">
        <v>3</v>
      </c>
      <c r="N12930" s="1" t="s">
        <v>38</v>
      </c>
      <c r="O12930" s="1" t="s">
        <v>46</v>
      </c>
    </row>
    <row r="12931" spans="2:15" x14ac:dyDescent="0.3">
      <c r="B12931" s="1" t="s">
        <v>20</v>
      </c>
      <c r="C12931" s="1" t="str">
        <f t="shared" si="657"/>
        <v>4차</v>
      </c>
      <c r="D12931" s="1" t="str">
        <f>"9824A82141"</f>
        <v>9824A82141</v>
      </c>
      <c r="E12931" s="1" t="s">
        <v>10</v>
      </c>
      <c r="F12931" s="1" t="str">
        <f>"10.14.11.181"</f>
        <v>10.14.11.181</v>
      </c>
      <c r="G12931" s="1" t="str">
        <f>"9824A821"</f>
        <v>9824A821</v>
      </c>
      <c r="H12931" s="1" t="str">
        <f>"화성간 11L2"</f>
        <v>화성간 11L2</v>
      </c>
      <c r="I12931" s="1" t="s">
        <v>17</v>
      </c>
      <c r="J12931" s="1" t="str">
        <f>"31/31"</f>
        <v>31/31</v>
      </c>
      <c r="K12931" s="1" t="str">
        <f>"2026-07-29 13:18:13"</f>
        <v>2026-07-29 13:18:13</v>
      </c>
      <c r="L12931" s="1" t="str">
        <f>"2021-08-10 11:40:14"</f>
        <v>2021-08-10 11:40:14</v>
      </c>
      <c r="M12931" s="1" t="s">
        <v>3</v>
      </c>
      <c r="N12931" s="1" t="s">
        <v>38</v>
      </c>
      <c r="O12931" s="1" t="s">
        <v>46</v>
      </c>
    </row>
    <row r="12932" spans="2:15" x14ac:dyDescent="0.3">
      <c r="B12932" s="1" t="s">
        <v>20</v>
      </c>
      <c r="C12932" s="1" t="str">
        <f t="shared" si="657"/>
        <v>4차</v>
      </c>
      <c r="D12932" s="1" t="str">
        <f>"9824B10144"</f>
        <v>9824B10144</v>
      </c>
      <c r="E12932" s="1" t="s">
        <v>10</v>
      </c>
      <c r="F12932" s="1" t="str">
        <f>"10.10.110.178"</f>
        <v>10.10.110.178</v>
      </c>
      <c r="G12932" s="1" t="str">
        <f>"9824B101"</f>
        <v>9824B101</v>
      </c>
      <c r="H12932" s="1" t="str">
        <f>"화성간 5L13"</f>
        <v>화성간 5L13</v>
      </c>
      <c r="I12932" s="1" t="s">
        <v>8</v>
      </c>
      <c r="J12932" s="1" t="str">
        <f>"11/13"</f>
        <v>11/13</v>
      </c>
      <c r="K12932" s="1" t="str">
        <f>"2026-07-29 13:18:12"</f>
        <v>2026-07-29 13:18:12</v>
      </c>
      <c r="L12932" s="1" t="str">
        <f>"2019-12-11 18:13:43"</f>
        <v>2019-12-11 18:13:43</v>
      </c>
      <c r="M12932" s="1" t="s">
        <v>1</v>
      </c>
      <c r="N12932" s="1" t="s">
        <v>38</v>
      </c>
      <c r="O12932" s="1" t="s">
        <v>46</v>
      </c>
    </row>
    <row r="12933" spans="2:15" x14ac:dyDescent="0.3">
      <c r="B12933" s="1" t="s">
        <v>20</v>
      </c>
      <c r="C12933" s="1" t="str">
        <f t="shared" si="657"/>
        <v>4차</v>
      </c>
      <c r="D12933" s="1" t="str">
        <f>"9824B15141"</f>
        <v>9824B15141</v>
      </c>
      <c r="E12933" s="1" t="s">
        <v>10</v>
      </c>
      <c r="F12933" s="1" t="str">
        <f>"10.14.6.45"</f>
        <v>10.14.6.45</v>
      </c>
      <c r="G12933" s="1" t="str">
        <f>"9824B151"</f>
        <v>9824B151</v>
      </c>
      <c r="H12933" s="1" t="str">
        <f>"화성간 5L1"</f>
        <v>화성간 5L1</v>
      </c>
      <c r="I12933" s="1" t="s">
        <v>17</v>
      </c>
      <c r="J12933" s="1" t="str">
        <f>"10/10"</f>
        <v>10/10</v>
      </c>
      <c r="K12933" s="1" t="str">
        <f>"2026-07-29 13:18:13"</f>
        <v>2026-07-29 13:18:13</v>
      </c>
      <c r="L12933" s="1" t="str">
        <f>"2021-08-10 13:50:41"</f>
        <v>2021-08-10 13:50:41</v>
      </c>
      <c r="M12933" s="1" t="s">
        <v>3</v>
      </c>
      <c r="N12933" s="1" t="s">
        <v>38</v>
      </c>
      <c r="O12933" s="1" t="s">
        <v>46</v>
      </c>
    </row>
    <row r="12934" spans="2:15" x14ac:dyDescent="0.3">
      <c r="B12934" s="1" t="s">
        <v>20</v>
      </c>
      <c r="C12934" s="1" t="str">
        <f t="shared" si="657"/>
        <v>4차</v>
      </c>
      <c r="D12934" s="1" t="str">
        <f>"9824B23144"</f>
        <v>9824B23144</v>
      </c>
      <c r="E12934" s="1" t="s">
        <v>10</v>
      </c>
      <c r="F12934" s="1" t="str">
        <f>"10.10.99.114"</f>
        <v>10.10.99.114</v>
      </c>
      <c r="G12934" s="1" t="str">
        <f>"9824B231"</f>
        <v>9824B231</v>
      </c>
      <c r="H12934" s="1" t="str">
        <f>"화성간 5L5"</f>
        <v>화성간 5L5</v>
      </c>
      <c r="I12934" s="1" t="s">
        <v>8</v>
      </c>
      <c r="J12934" s="1" t="str">
        <f>"23/23"</f>
        <v>23/23</v>
      </c>
      <c r="K12934" s="1" t="str">
        <f t="shared" ref="K12934:K12941" si="658">"2026-07-29 13:18:12"</f>
        <v>2026-07-29 13:18:12</v>
      </c>
      <c r="L12934" s="1" t="str">
        <f>"2019-12-24 16:48:27"</f>
        <v>2019-12-24 16:48:27</v>
      </c>
      <c r="M12934" s="1" t="s">
        <v>1</v>
      </c>
      <c r="N12934" s="1" t="s">
        <v>38</v>
      </c>
      <c r="O12934" s="1" t="s">
        <v>46</v>
      </c>
    </row>
    <row r="12935" spans="2:15" x14ac:dyDescent="0.3">
      <c r="B12935" s="1" t="s">
        <v>20</v>
      </c>
      <c r="C12935" s="1" t="str">
        <f t="shared" si="657"/>
        <v>4차</v>
      </c>
      <c r="D12935" s="1" t="str">
        <f>"9824B24244"</f>
        <v>9824B24244</v>
      </c>
      <c r="E12935" s="1" t="s">
        <v>10</v>
      </c>
      <c r="F12935" s="1" t="str">
        <f>"10.10.110.170"</f>
        <v>10.10.110.170</v>
      </c>
      <c r="G12935" s="1" t="str">
        <f>"9824B242"</f>
        <v>9824B242</v>
      </c>
      <c r="H12935" s="1" t="str">
        <f>"화성간 5L6L1L1"</f>
        <v>화성간 5L6L1L1</v>
      </c>
      <c r="I12935" s="1" t="s">
        <v>8</v>
      </c>
      <c r="J12935" s="1" t="str">
        <f>"21/23"</f>
        <v>21/23</v>
      </c>
      <c r="K12935" s="1" t="str">
        <f t="shared" si="658"/>
        <v>2026-07-29 13:18:12</v>
      </c>
      <c r="L12935" s="1" t="str">
        <f>"2019-12-11 18:17:00"</f>
        <v>2019-12-11 18:17:00</v>
      </c>
      <c r="M12935" s="1" t="s">
        <v>1</v>
      </c>
      <c r="N12935" s="1" t="s">
        <v>38</v>
      </c>
      <c r="O12935" s="1" t="s">
        <v>46</v>
      </c>
    </row>
    <row r="12936" spans="2:15" x14ac:dyDescent="0.3">
      <c r="B12936" s="1" t="s">
        <v>20</v>
      </c>
      <c r="C12936" s="1" t="str">
        <f t="shared" si="657"/>
        <v>4차</v>
      </c>
      <c r="D12936" s="1" t="str">
        <f>"9824B25244"</f>
        <v>9824B25244</v>
      </c>
      <c r="E12936" s="1" t="s">
        <v>10</v>
      </c>
      <c r="F12936" s="1" t="str">
        <f>"10.10.99.90"</f>
        <v>10.10.99.90</v>
      </c>
      <c r="G12936" s="1" t="str">
        <f>"9824B252"</f>
        <v>9824B252</v>
      </c>
      <c r="H12936" s="1" t="str">
        <f>"화성간 5L4L2"</f>
        <v>화성간 5L4L2</v>
      </c>
      <c r="I12936" s="1" t="s">
        <v>8</v>
      </c>
      <c r="J12936" s="1" t="str">
        <f>"66/66"</f>
        <v>66/66</v>
      </c>
      <c r="K12936" s="1" t="str">
        <f t="shared" si="658"/>
        <v>2026-07-29 13:18:12</v>
      </c>
      <c r="L12936" s="1" t="str">
        <f>"2019-12-24 16:52:38"</f>
        <v>2019-12-24 16:52:38</v>
      </c>
      <c r="M12936" s="1" t="s">
        <v>1</v>
      </c>
      <c r="N12936" s="1" t="s">
        <v>38</v>
      </c>
      <c r="O12936" s="1" t="s">
        <v>46</v>
      </c>
    </row>
    <row r="12937" spans="2:15" x14ac:dyDescent="0.3">
      <c r="B12937" s="1" t="s">
        <v>20</v>
      </c>
      <c r="C12937" s="1" t="str">
        <f t="shared" si="657"/>
        <v>4차</v>
      </c>
      <c r="D12937" s="1" t="str">
        <f>"9824B32344"</f>
        <v>9824B32344</v>
      </c>
      <c r="E12937" s="1" t="s">
        <v>10</v>
      </c>
      <c r="F12937" s="1" t="str">
        <f>"10.12.137.242"</f>
        <v>10.12.137.242</v>
      </c>
      <c r="G12937" s="1" t="str">
        <f>"9824B323"</f>
        <v>9824B323</v>
      </c>
      <c r="H12937" s="1" t="str">
        <f>"화성간 5L8"</f>
        <v>화성간 5L8</v>
      </c>
      <c r="I12937" s="1" t="s">
        <v>8</v>
      </c>
      <c r="J12937" s="1" t="str">
        <f>"17/17"</f>
        <v>17/17</v>
      </c>
      <c r="K12937" s="1" t="str">
        <f t="shared" si="658"/>
        <v>2026-07-29 13:18:12</v>
      </c>
      <c r="L12937" s="1" t="str">
        <f>"2020-01-15 09:26:14"</f>
        <v>2020-01-15 09:26:14</v>
      </c>
      <c r="M12937" s="1" t="s">
        <v>0</v>
      </c>
      <c r="N12937" s="1" t="s">
        <v>38</v>
      </c>
      <c r="O12937" s="1" t="s">
        <v>46</v>
      </c>
    </row>
    <row r="12938" spans="2:15" x14ac:dyDescent="0.3">
      <c r="B12938" s="1" t="s">
        <v>20</v>
      </c>
      <c r="C12938" s="1" t="str">
        <f t="shared" si="657"/>
        <v>4차</v>
      </c>
      <c r="D12938" s="1" t="str">
        <f>"9824B33544"</f>
        <v>9824B33544</v>
      </c>
      <c r="E12938" s="1" t="s">
        <v>10</v>
      </c>
      <c r="F12938" s="1" t="str">
        <f>"10.10.99.218"</f>
        <v>10.10.99.218</v>
      </c>
      <c r="G12938" s="1" t="str">
        <f>"9824B335"</f>
        <v>9824B335</v>
      </c>
      <c r="H12938" s="1" t="str">
        <f>"화성간 5L6L1"</f>
        <v>화성간 5L6L1</v>
      </c>
      <c r="I12938" s="1" t="s">
        <v>8</v>
      </c>
      <c r="J12938" s="1" t="str">
        <f>"31/31"</f>
        <v>31/31</v>
      </c>
      <c r="K12938" s="1" t="str">
        <f t="shared" si="658"/>
        <v>2026-07-29 13:18:12</v>
      </c>
      <c r="L12938" s="1" t="str">
        <f>"2019-12-11 18:18:09"</f>
        <v>2019-12-11 18:18:09</v>
      </c>
      <c r="M12938" s="1" t="s">
        <v>1</v>
      </c>
      <c r="N12938" s="1" t="s">
        <v>38</v>
      </c>
      <c r="O12938" s="1" t="s">
        <v>46</v>
      </c>
    </row>
    <row r="12939" spans="2:15" x14ac:dyDescent="0.3">
      <c r="B12939" s="1" t="s">
        <v>20</v>
      </c>
      <c r="C12939" s="1" t="str">
        <f t="shared" si="657"/>
        <v>4차</v>
      </c>
      <c r="D12939" s="1" t="str">
        <f>"9824B36144"</f>
        <v>9824B36144</v>
      </c>
      <c r="E12939" s="1" t="s">
        <v>10</v>
      </c>
      <c r="F12939" s="1" t="str">
        <f>"10.10.94.34"</f>
        <v>10.10.94.34</v>
      </c>
      <c r="G12939" s="1" t="str">
        <f>"9824B361"</f>
        <v>9824B361</v>
      </c>
      <c r="H12939" s="1" t="str">
        <f>"화성간 1R4"</f>
        <v>화성간 1R4</v>
      </c>
      <c r="I12939" s="1" t="s">
        <v>8</v>
      </c>
      <c r="J12939" s="1" t="str">
        <f>"13/13"</f>
        <v>13/13</v>
      </c>
      <c r="K12939" s="1" t="str">
        <f t="shared" si="658"/>
        <v>2026-07-29 13:18:12</v>
      </c>
      <c r="L12939" s="1" t="str">
        <f>"2019-12-11 18:16:58"</f>
        <v>2019-12-11 18:16:58</v>
      </c>
      <c r="M12939" s="1" t="s">
        <v>1</v>
      </c>
      <c r="N12939" s="1" t="s">
        <v>38</v>
      </c>
      <c r="O12939" s="1" t="s">
        <v>46</v>
      </c>
    </row>
    <row r="12940" spans="2:15" x14ac:dyDescent="0.3">
      <c r="B12940" s="1" t="s">
        <v>20</v>
      </c>
      <c r="C12940" s="1" t="str">
        <f t="shared" si="657"/>
        <v>4차</v>
      </c>
      <c r="D12940" s="1" t="str">
        <f>"9824B44244"</f>
        <v>9824B44244</v>
      </c>
      <c r="E12940" s="1" t="s">
        <v>10</v>
      </c>
      <c r="F12940" s="1" t="str">
        <f>"10.10.72.186"</f>
        <v>10.10.72.186</v>
      </c>
      <c r="G12940" s="1" t="str">
        <f>"9824B442"</f>
        <v>9824B442</v>
      </c>
      <c r="H12940" s="1" t="str">
        <f>"마포지 4R6D1"</f>
        <v>마포지 4R6D1</v>
      </c>
      <c r="I12940" s="1" t="s">
        <v>8</v>
      </c>
      <c r="J12940" s="1" t="str">
        <f>"51/55"</f>
        <v>51/55</v>
      </c>
      <c r="K12940" s="1" t="str">
        <f t="shared" si="658"/>
        <v>2026-07-29 13:18:12</v>
      </c>
      <c r="L12940" s="1" t="str">
        <f>"2019-12-11 17:56:58"</f>
        <v>2019-12-11 17:56:58</v>
      </c>
      <c r="M12940" s="1" t="s">
        <v>1</v>
      </c>
      <c r="N12940" s="1" t="s">
        <v>38</v>
      </c>
      <c r="O12940" s="1" t="s">
        <v>46</v>
      </c>
    </row>
    <row r="12941" spans="2:15" x14ac:dyDescent="0.3">
      <c r="B12941" s="1" t="s">
        <v>20</v>
      </c>
      <c r="C12941" s="1" t="str">
        <f t="shared" si="657"/>
        <v>4차</v>
      </c>
      <c r="D12941" s="1" t="str">
        <f>"9824B45144"</f>
        <v>9824B45144</v>
      </c>
      <c r="E12941" s="1" t="s">
        <v>10</v>
      </c>
      <c r="F12941" s="1" t="str">
        <f>"10.10.72.218"</f>
        <v>10.10.72.218</v>
      </c>
      <c r="G12941" s="1" t="str">
        <f>"9824B451"</f>
        <v>9824B451</v>
      </c>
      <c r="H12941" s="1" t="str">
        <f>"마포지 4R6R1"</f>
        <v>마포지 4R6R1</v>
      </c>
      <c r="I12941" s="1" t="s">
        <v>8</v>
      </c>
      <c r="J12941" s="1" t="str">
        <f>"59/59"</f>
        <v>59/59</v>
      </c>
      <c r="K12941" s="1" t="str">
        <f t="shared" si="658"/>
        <v>2026-07-29 13:18:12</v>
      </c>
      <c r="L12941" s="1" t="str">
        <f>"2019-12-11 17:56:54"</f>
        <v>2019-12-11 17:56:54</v>
      </c>
      <c r="M12941" s="1" t="s">
        <v>1</v>
      </c>
      <c r="N12941" s="1" t="s">
        <v>38</v>
      </c>
      <c r="O12941" s="1" t="s">
        <v>46</v>
      </c>
    </row>
    <row r="12942" spans="2:15" x14ac:dyDescent="0.3">
      <c r="B12942" s="1" t="s">
        <v>20</v>
      </c>
      <c r="C12942" s="1" t="str">
        <f>"3차"</f>
        <v>3차</v>
      </c>
      <c r="D12942" s="1" t="str">
        <f>"9824B46139"</f>
        <v>9824B46139</v>
      </c>
      <c r="E12942" s="1" t="s">
        <v>10</v>
      </c>
      <c r="F12942" s="1" t="str">
        <f>"10.14.9.3"</f>
        <v>10.14.9.3</v>
      </c>
      <c r="G12942" s="1" t="str">
        <f>"9824B461"</f>
        <v>9824B461</v>
      </c>
      <c r="H12942" s="1" t="str">
        <f>"마포지 1R7"</f>
        <v>마포지 1R7</v>
      </c>
      <c r="I12942" s="1" t="s">
        <v>8</v>
      </c>
      <c r="J12942" s="1" t="str">
        <f>"27/27"</f>
        <v>27/27</v>
      </c>
      <c r="K12942" s="1" t="str">
        <f>"2026-07-29 13:18:11"</f>
        <v>2026-07-29 13:18:11</v>
      </c>
      <c r="L12942" s="1" t="str">
        <f>"2018-04-19 15:41:30"</f>
        <v>2018-04-19 15:41:30</v>
      </c>
      <c r="M12942" s="1" t="s">
        <v>3</v>
      </c>
      <c r="N12942" s="1" t="s">
        <v>38</v>
      </c>
      <c r="O12942" s="1" t="s">
        <v>46</v>
      </c>
    </row>
    <row r="12943" spans="2:15" x14ac:dyDescent="0.3">
      <c r="B12943" s="1" t="s">
        <v>20</v>
      </c>
      <c r="C12943" s="1" t="str">
        <f t="shared" ref="C12943:C12951" si="659">"4차"</f>
        <v>4차</v>
      </c>
      <c r="D12943" s="1" t="str">
        <f>"9824B46244"</f>
        <v>9824B46244</v>
      </c>
      <c r="E12943" s="1" t="s">
        <v>10</v>
      </c>
      <c r="F12943" s="1" t="str">
        <f>"10.10.94.42"</f>
        <v>10.10.94.42</v>
      </c>
      <c r="G12943" s="1" t="str">
        <f>"9824B462"</f>
        <v>9824B462</v>
      </c>
      <c r="H12943" s="1" t="str">
        <f>"마포지 1R6"</f>
        <v>마포지 1R6</v>
      </c>
      <c r="I12943" s="1" t="s">
        <v>8</v>
      </c>
      <c r="J12943" s="1" t="str">
        <f>"27/27"</f>
        <v>27/27</v>
      </c>
      <c r="K12943" s="1" t="str">
        <f t="shared" ref="K12943:K12955" si="660">"2026-07-29 13:18:12"</f>
        <v>2026-07-29 13:18:12</v>
      </c>
      <c r="L12943" s="1" t="str">
        <f>"2019-12-11 18:16:56"</f>
        <v>2019-12-11 18:16:56</v>
      </c>
      <c r="M12943" s="1" t="s">
        <v>1</v>
      </c>
      <c r="N12943" s="1" t="s">
        <v>38</v>
      </c>
      <c r="O12943" s="1" t="s">
        <v>46</v>
      </c>
    </row>
    <row r="12944" spans="2:15" x14ac:dyDescent="0.3">
      <c r="B12944" s="1" t="s">
        <v>20</v>
      </c>
      <c r="C12944" s="1" t="str">
        <f t="shared" si="659"/>
        <v>4차</v>
      </c>
      <c r="D12944" s="1" t="str">
        <f>"9824B53144"</f>
        <v>9824B53144</v>
      </c>
      <c r="E12944" s="1" t="s">
        <v>10</v>
      </c>
      <c r="F12944" s="1" t="str">
        <f>"10.10.72.138"</f>
        <v>10.10.72.138</v>
      </c>
      <c r="G12944" s="1" t="str">
        <f>"9824B531"</f>
        <v>9824B531</v>
      </c>
      <c r="H12944" s="1" t="str">
        <f>"마포지 4R10"</f>
        <v>마포지 4R10</v>
      </c>
      <c r="I12944" s="1" t="s">
        <v>8</v>
      </c>
      <c r="J12944" s="1" t="str">
        <f>"27/27"</f>
        <v>27/27</v>
      </c>
      <c r="K12944" s="1" t="str">
        <f t="shared" si="660"/>
        <v>2026-07-29 13:18:12</v>
      </c>
      <c r="L12944" s="1" t="str">
        <f>"2019-12-11 17:56:57"</f>
        <v>2019-12-11 17:56:57</v>
      </c>
      <c r="M12944" s="1" t="s">
        <v>1</v>
      </c>
      <c r="N12944" s="1" t="s">
        <v>38</v>
      </c>
      <c r="O12944" s="1" t="s">
        <v>46</v>
      </c>
    </row>
    <row r="12945" spans="2:15" x14ac:dyDescent="0.3">
      <c r="B12945" s="1" t="s">
        <v>20</v>
      </c>
      <c r="C12945" s="1" t="str">
        <f t="shared" si="659"/>
        <v>4차</v>
      </c>
      <c r="D12945" s="1" t="str">
        <f>"9824B54144"</f>
        <v>9824B54144</v>
      </c>
      <c r="E12945" s="1" t="s">
        <v>10</v>
      </c>
      <c r="F12945" s="1" t="str">
        <f>"10.10.72.242"</f>
        <v>10.10.72.242</v>
      </c>
      <c r="G12945" s="1" t="str">
        <f>"9824B541"</f>
        <v>9824B541</v>
      </c>
      <c r="H12945" s="1" t="str">
        <f>"마포지 4R7"</f>
        <v>마포지 4R7</v>
      </c>
      <c r="I12945" s="1" t="s">
        <v>8</v>
      </c>
      <c r="J12945" s="1" t="str">
        <f>"30/31"</f>
        <v>30/31</v>
      </c>
      <c r="K12945" s="1" t="str">
        <f t="shared" si="660"/>
        <v>2026-07-29 13:18:12</v>
      </c>
      <c r="L12945" s="1" t="str">
        <f>"2019-12-11 17:56:58"</f>
        <v>2019-12-11 17:56:58</v>
      </c>
      <c r="M12945" s="1" t="s">
        <v>1</v>
      </c>
      <c r="N12945" s="1" t="s">
        <v>38</v>
      </c>
      <c r="O12945" s="1" t="s">
        <v>46</v>
      </c>
    </row>
    <row r="12946" spans="2:15" x14ac:dyDescent="0.3">
      <c r="B12946" s="1" t="s">
        <v>20</v>
      </c>
      <c r="C12946" s="1" t="str">
        <f t="shared" si="659"/>
        <v>4차</v>
      </c>
      <c r="D12946" s="1" t="str">
        <f>"9824B54444"</f>
        <v>9824B54444</v>
      </c>
      <c r="E12946" s="1" t="s">
        <v>10</v>
      </c>
      <c r="F12946" s="1" t="str">
        <f>"10.10.74.106"</f>
        <v>10.10.74.106</v>
      </c>
      <c r="G12946" s="1" t="str">
        <f>"9824B544"</f>
        <v>9824B544</v>
      </c>
      <c r="H12946" s="1" t="str">
        <f>"마포지 4R7L2"</f>
        <v>마포지 4R7L2</v>
      </c>
      <c r="I12946" s="1" t="s">
        <v>8</v>
      </c>
      <c r="J12946" s="1" t="str">
        <f>"39/39"</f>
        <v>39/39</v>
      </c>
      <c r="K12946" s="1" t="str">
        <f t="shared" si="660"/>
        <v>2026-07-29 13:18:12</v>
      </c>
      <c r="L12946" s="1" t="str">
        <f>"2019-12-17 15:42:25"</f>
        <v>2019-12-17 15:42:25</v>
      </c>
      <c r="M12946" s="1" t="s">
        <v>1</v>
      </c>
      <c r="N12946" s="1" t="s">
        <v>38</v>
      </c>
      <c r="O12946" s="1" t="s">
        <v>46</v>
      </c>
    </row>
    <row r="12947" spans="2:15" x14ac:dyDescent="0.3">
      <c r="B12947" s="1" t="s">
        <v>20</v>
      </c>
      <c r="C12947" s="1" t="str">
        <f t="shared" si="659"/>
        <v>4차</v>
      </c>
      <c r="D12947" s="1" t="str">
        <f>"9824B55144"</f>
        <v>9824B55144</v>
      </c>
      <c r="E12947" s="1" t="s">
        <v>10</v>
      </c>
      <c r="F12947" s="1" t="str">
        <f>"10.10.95.18"</f>
        <v>10.10.95.18</v>
      </c>
      <c r="G12947" s="1" t="str">
        <f>"9824B551"</f>
        <v>9824B551</v>
      </c>
      <c r="H12947" s="1" t="str">
        <f>"마포지 1R5"</f>
        <v>마포지 1R5</v>
      </c>
      <c r="I12947" s="1" t="s">
        <v>8</v>
      </c>
      <c r="J12947" s="1" t="str">
        <f>"20/20"</f>
        <v>20/20</v>
      </c>
      <c r="K12947" s="1" t="str">
        <f t="shared" si="660"/>
        <v>2026-07-29 13:18:12</v>
      </c>
      <c r="L12947" s="1" t="str">
        <f>"2019-12-17 16:09:24"</f>
        <v>2019-12-17 16:09:24</v>
      </c>
      <c r="M12947" s="1" t="s">
        <v>1</v>
      </c>
      <c r="N12947" s="1" t="s">
        <v>38</v>
      </c>
      <c r="O12947" s="1" t="s">
        <v>46</v>
      </c>
    </row>
    <row r="12948" spans="2:15" x14ac:dyDescent="0.3">
      <c r="B12948" s="1" t="s">
        <v>20</v>
      </c>
      <c r="C12948" s="1" t="str">
        <f t="shared" si="659"/>
        <v>4차</v>
      </c>
      <c r="D12948" s="1" t="str">
        <f>"9824B55244"</f>
        <v>9824B55244</v>
      </c>
      <c r="E12948" s="1" t="s">
        <v>10</v>
      </c>
      <c r="F12948" s="1" t="str">
        <f>"10.10.108.2"</f>
        <v>10.10.108.2</v>
      </c>
      <c r="G12948" s="1" t="str">
        <f>"9824B552"</f>
        <v>9824B552</v>
      </c>
      <c r="H12948" s="1" t="str">
        <f>"마포지 4R5"</f>
        <v>마포지 4R5</v>
      </c>
      <c r="I12948" s="1" t="s">
        <v>8</v>
      </c>
      <c r="J12948" s="1" t="str">
        <f>"39/39"</f>
        <v>39/39</v>
      </c>
      <c r="K12948" s="1" t="str">
        <f t="shared" si="660"/>
        <v>2026-07-29 13:18:12</v>
      </c>
      <c r="L12948" s="1" t="str">
        <f>"2019-12-24 16:44:57"</f>
        <v>2019-12-24 16:44:57</v>
      </c>
      <c r="M12948" s="1" t="s">
        <v>1</v>
      </c>
      <c r="N12948" s="1" t="s">
        <v>38</v>
      </c>
      <c r="O12948" s="1" t="s">
        <v>46</v>
      </c>
    </row>
    <row r="12949" spans="2:15" x14ac:dyDescent="0.3">
      <c r="B12949" s="1" t="s">
        <v>20</v>
      </c>
      <c r="C12949" s="1" t="str">
        <f t="shared" si="659"/>
        <v>4차</v>
      </c>
      <c r="D12949" s="1" t="str">
        <f>"9824B55344"</f>
        <v>9824B55344</v>
      </c>
      <c r="E12949" s="1" t="s">
        <v>10</v>
      </c>
      <c r="F12949" s="1" t="str">
        <f>"10.10.72.194"</f>
        <v>10.10.72.194</v>
      </c>
      <c r="G12949" s="1" t="str">
        <f>"9824B553"</f>
        <v>9824B553</v>
      </c>
      <c r="H12949" s="1" t="str">
        <f>"마포지 4R6"</f>
        <v>마포지 4R6</v>
      </c>
      <c r="I12949" s="1" t="s">
        <v>8</v>
      </c>
      <c r="J12949" s="1" t="str">
        <f>"22/22"</f>
        <v>22/22</v>
      </c>
      <c r="K12949" s="1" t="str">
        <f t="shared" si="660"/>
        <v>2026-07-29 13:18:12</v>
      </c>
      <c r="L12949" s="1" t="str">
        <f>"2019-12-24 16:43:35"</f>
        <v>2019-12-24 16:43:35</v>
      </c>
      <c r="M12949" s="1" t="s">
        <v>1</v>
      </c>
      <c r="N12949" s="1" t="s">
        <v>38</v>
      </c>
      <c r="O12949" s="1" t="s">
        <v>46</v>
      </c>
    </row>
    <row r="12950" spans="2:15" x14ac:dyDescent="0.3">
      <c r="B12950" s="1" t="s">
        <v>20</v>
      </c>
      <c r="C12950" s="1" t="str">
        <f t="shared" si="659"/>
        <v>4차</v>
      </c>
      <c r="D12950" s="1" t="str">
        <f>"9824B55444"</f>
        <v>9824B55444</v>
      </c>
      <c r="E12950" s="1" t="s">
        <v>10</v>
      </c>
      <c r="F12950" s="1" t="str">
        <f>"10.10.110.98"</f>
        <v>10.10.110.98</v>
      </c>
      <c r="G12950" s="1" t="str">
        <f>"9824B554"</f>
        <v>9824B554</v>
      </c>
      <c r="H12950" s="1" t="str">
        <f>"마포지 1R4"</f>
        <v>마포지 1R4</v>
      </c>
      <c r="I12950" s="1" t="s">
        <v>8</v>
      </c>
      <c r="J12950" s="1" t="str">
        <f>"21/21"</f>
        <v>21/21</v>
      </c>
      <c r="K12950" s="1" t="str">
        <f t="shared" si="660"/>
        <v>2026-07-29 13:18:12</v>
      </c>
      <c r="L12950" s="1" t="str">
        <f>"2019-12-11 18:09:33"</f>
        <v>2019-12-11 18:09:33</v>
      </c>
      <c r="M12950" s="1" t="s">
        <v>1</v>
      </c>
      <c r="N12950" s="1" t="s">
        <v>38</v>
      </c>
      <c r="O12950" s="1" t="s">
        <v>46</v>
      </c>
    </row>
    <row r="12951" spans="2:15" x14ac:dyDescent="0.3">
      <c r="B12951" s="1" t="s">
        <v>20</v>
      </c>
      <c r="C12951" s="1" t="str">
        <f t="shared" si="659"/>
        <v>4차</v>
      </c>
      <c r="D12951" s="1" t="str">
        <f>"9824B56244"</f>
        <v>9824B56244</v>
      </c>
      <c r="E12951" s="1" t="s">
        <v>10</v>
      </c>
      <c r="F12951" s="1" t="str">
        <f>"10.10.96.18"</f>
        <v>10.10.96.18</v>
      </c>
      <c r="G12951" s="1" t="str">
        <f>"9824B562"</f>
        <v>9824B562</v>
      </c>
      <c r="H12951" s="1" t="str">
        <f>"마포지 1R5R1"</f>
        <v>마포지 1R5R1</v>
      </c>
      <c r="I12951" s="1" t="s">
        <v>8</v>
      </c>
      <c r="J12951" s="1" t="str">
        <f>"45/50"</f>
        <v>45/50</v>
      </c>
      <c r="K12951" s="1" t="str">
        <f t="shared" si="660"/>
        <v>2026-07-29 13:18:12</v>
      </c>
      <c r="L12951" s="1" t="str">
        <f>"2019-12-17 16:07:55"</f>
        <v>2019-12-17 16:07:55</v>
      </c>
      <c r="M12951" s="1" t="s">
        <v>1</v>
      </c>
      <c r="N12951" s="1" t="s">
        <v>38</v>
      </c>
      <c r="O12951" s="1" t="s">
        <v>46</v>
      </c>
    </row>
    <row r="12952" spans="2:15" x14ac:dyDescent="0.3">
      <c r="B12952" s="1" t="s">
        <v>20</v>
      </c>
      <c r="C12952" s="1" t="str">
        <f>"3차"</f>
        <v>3차</v>
      </c>
      <c r="D12952" s="1" t="str">
        <f>"9824B65139"</f>
        <v>9824B65139</v>
      </c>
      <c r="E12952" s="1" t="s">
        <v>10</v>
      </c>
      <c r="F12952" s="1" t="str">
        <f>"10.12.129.134"</f>
        <v>10.12.129.134</v>
      </c>
      <c r="G12952" s="1" t="str">
        <f>"9824B651"</f>
        <v>9824B651</v>
      </c>
      <c r="H12952" s="1" t="str">
        <f>"마포지 4R4"</f>
        <v>마포지 4R4</v>
      </c>
      <c r="I12952" s="1" t="s">
        <v>8</v>
      </c>
      <c r="J12952" s="1" t="str">
        <f>"48/48"</f>
        <v>48/48</v>
      </c>
      <c r="K12952" s="1" t="str">
        <f t="shared" si="660"/>
        <v>2026-07-29 13:18:12</v>
      </c>
      <c r="L12952" s="1" t="str">
        <f>"2018-04-21 08:54:11"</f>
        <v>2018-04-21 08:54:11</v>
      </c>
      <c r="M12952" s="1" t="s">
        <v>0</v>
      </c>
      <c r="N12952" s="1" t="s">
        <v>38</v>
      </c>
      <c r="O12952" s="1" t="s">
        <v>46</v>
      </c>
    </row>
    <row r="12953" spans="2:15" x14ac:dyDescent="0.3">
      <c r="B12953" s="1" t="s">
        <v>20</v>
      </c>
      <c r="C12953" s="1" t="str">
        <f>"4차"</f>
        <v>4차</v>
      </c>
      <c r="D12953" s="1" t="str">
        <f>"9824B65239"</f>
        <v>9824B65239</v>
      </c>
      <c r="E12953" s="1" t="s">
        <v>10</v>
      </c>
      <c r="F12953" s="1" t="str">
        <f>"10.12.129.132"</f>
        <v>10.12.129.132</v>
      </c>
      <c r="G12953" s="1" t="str">
        <f>"9824B652"</f>
        <v>9824B652</v>
      </c>
      <c r="H12953" s="1" t="str">
        <f>"마포지 1R3"</f>
        <v>마포지 1R3</v>
      </c>
      <c r="I12953" s="1" t="s">
        <v>8</v>
      </c>
      <c r="J12953" s="1" t="str">
        <f>"32/33"</f>
        <v>32/33</v>
      </c>
      <c r="K12953" s="1" t="str">
        <f t="shared" si="660"/>
        <v>2026-07-29 13:18:12</v>
      </c>
      <c r="L12953" s="1" t="str">
        <f>"2018-04-21 09:48:10"</f>
        <v>2018-04-21 09:48:10</v>
      </c>
      <c r="M12953" s="1" t="s">
        <v>0</v>
      </c>
      <c r="N12953" s="1" t="s">
        <v>38</v>
      </c>
      <c r="O12953" s="1" t="s">
        <v>46</v>
      </c>
    </row>
    <row r="12954" spans="2:15" x14ac:dyDescent="0.3">
      <c r="B12954" s="1" t="s">
        <v>20</v>
      </c>
      <c r="C12954" s="1" t="str">
        <f>"4차"</f>
        <v>4차</v>
      </c>
      <c r="D12954" s="1" t="str">
        <f>"9824B75244"</f>
        <v>9824B75244</v>
      </c>
      <c r="E12954" s="1" t="s">
        <v>10</v>
      </c>
      <c r="F12954" s="1" t="str">
        <f>"10.10.72.154"</f>
        <v>10.10.72.154</v>
      </c>
      <c r="G12954" s="1" t="str">
        <f>"9824B752"</f>
        <v>9824B752</v>
      </c>
      <c r="H12954" s="1" t="str">
        <f>"마포지 4R2"</f>
        <v>마포지 4R2</v>
      </c>
      <c r="I12954" s="1" t="s">
        <v>8</v>
      </c>
      <c r="J12954" s="1" t="str">
        <f>"37/37"</f>
        <v>37/37</v>
      </c>
      <c r="K12954" s="1" t="str">
        <f t="shared" si="660"/>
        <v>2026-07-29 13:18:12</v>
      </c>
      <c r="L12954" s="1" t="str">
        <f>"2019-12-11 17:56:54"</f>
        <v>2019-12-11 17:56:54</v>
      </c>
      <c r="M12954" s="1" t="s">
        <v>1</v>
      </c>
      <c r="N12954" s="1" t="s">
        <v>38</v>
      </c>
      <c r="O12954" s="1" t="s">
        <v>46</v>
      </c>
    </row>
    <row r="12955" spans="2:15" x14ac:dyDescent="0.3">
      <c r="B12955" s="1" t="s">
        <v>20</v>
      </c>
      <c r="C12955" s="1" t="str">
        <f>"4차"</f>
        <v>4차</v>
      </c>
      <c r="D12955" s="1" t="str">
        <f>"9824C04441"</f>
        <v>9824C04441</v>
      </c>
      <c r="E12955" s="1" t="s">
        <v>10</v>
      </c>
      <c r="F12955" s="1" t="str">
        <f>"10.14.5.180"</f>
        <v>10.14.5.180</v>
      </c>
      <c r="G12955" s="1" t="str">
        <f>"9824C044"</f>
        <v>9824C044</v>
      </c>
      <c r="H12955" s="1" t="str">
        <f>"한신지 11"</f>
        <v>한신지 11</v>
      </c>
      <c r="I12955" s="1" t="s">
        <v>17</v>
      </c>
      <c r="J12955" s="1" t="str">
        <f>"24/24"</f>
        <v>24/24</v>
      </c>
      <c r="K12955" s="1" t="str">
        <f t="shared" si="660"/>
        <v>2026-07-29 13:18:12</v>
      </c>
      <c r="L12955" s="1" t="str">
        <f>"2021-08-12 13:11:57"</f>
        <v>2021-08-12 13:11:57</v>
      </c>
      <c r="M12955" s="1" t="s">
        <v>3</v>
      </c>
      <c r="N12955" s="1" t="s">
        <v>38</v>
      </c>
      <c r="O12955" s="1" t="s">
        <v>46</v>
      </c>
    </row>
    <row r="12956" spans="2:15" x14ac:dyDescent="0.3">
      <c r="B12956" s="1" t="s">
        <v>20</v>
      </c>
      <c r="C12956" s="1" t="str">
        <f>"4차"</f>
        <v>4차</v>
      </c>
      <c r="D12956" s="1" t="str">
        <f>"9824C04541"</f>
        <v>9824C04541</v>
      </c>
      <c r="E12956" s="1" t="s">
        <v>10</v>
      </c>
      <c r="F12956" s="1" t="str">
        <f>"10.12.137.95"</f>
        <v>10.12.137.95</v>
      </c>
      <c r="G12956" s="1" t="str">
        <f>"9824C045"</f>
        <v>9824C045</v>
      </c>
      <c r="H12956" s="1" t="str">
        <f>"한신지 5L3"</f>
        <v>한신지 5L3</v>
      </c>
      <c r="I12956" s="1" t="s">
        <v>17</v>
      </c>
      <c r="J12956" s="1" t="str">
        <f>"24/24"</f>
        <v>24/24</v>
      </c>
      <c r="K12956" s="1" t="str">
        <f>"2026-07-29 13:18:13"</f>
        <v>2026-07-29 13:18:13</v>
      </c>
      <c r="L12956" s="1" t="str">
        <f>"2021-08-12 11:42:50"</f>
        <v>2021-08-12 11:42:50</v>
      </c>
      <c r="M12956" s="1" t="s">
        <v>0</v>
      </c>
      <c r="N12956" s="1" t="s">
        <v>38</v>
      </c>
      <c r="O12956" s="1" t="s">
        <v>46</v>
      </c>
    </row>
    <row r="12957" spans="2:15" x14ac:dyDescent="0.3">
      <c r="B12957" s="1" t="s">
        <v>20</v>
      </c>
      <c r="C12957" s="1" t="str">
        <f>"4차"</f>
        <v>4차</v>
      </c>
      <c r="D12957" s="1" t="str">
        <f>"9824C06141"</f>
        <v>9824C06141</v>
      </c>
      <c r="E12957" s="1" t="s">
        <v>10</v>
      </c>
      <c r="F12957" s="1" t="str">
        <f>"10.12.133.180"</f>
        <v>10.12.133.180</v>
      </c>
      <c r="G12957" s="1" t="str">
        <f>"9824C061"</f>
        <v>9824C061</v>
      </c>
      <c r="H12957" s="1" t="str">
        <f>"한신지 3"</f>
        <v>한신지 3</v>
      </c>
      <c r="I12957" s="1" t="s">
        <v>17</v>
      </c>
      <c r="J12957" s="1" t="str">
        <f>"12/16"</f>
        <v>12/16</v>
      </c>
      <c r="K12957" s="1" t="str">
        <f t="shared" ref="K12957:K12962" si="661">"2026-07-29 13:18:12"</f>
        <v>2026-07-29 13:18:12</v>
      </c>
      <c r="L12957" s="1" t="str">
        <f>"2021-10-21 07:28:12"</f>
        <v>2021-10-21 07:28:12</v>
      </c>
      <c r="M12957" s="1" t="s">
        <v>0</v>
      </c>
      <c r="N12957" s="1" t="s">
        <v>38</v>
      </c>
      <c r="O12957" s="1" t="s">
        <v>46</v>
      </c>
    </row>
    <row r="12958" spans="2:15" x14ac:dyDescent="0.3">
      <c r="B12958" s="1" t="s">
        <v>20</v>
      </c>
      <c r="C12958" s="1" t="str">
        <f>"3차"</f>
        <v>3차</v>
      </c>
      <c r="D12958" s="1" t="str">
        <f>"9824C12239"</f>
        <v>9824C12239</v>
      </c>
      <c r="E12958" s="1" t="s">
        <v>10</v>
      </c>
      <c r="F12958" s="1" t="str">
        <f>"10.12.138.79"</f>
        <v>10.12.138.79</v>
      </c>
      <c r="G12958" s="1" t="str">
        <f>"9824C122"</f>
        <v>9824C122</v>
      </c>
      <c r="H12958" s="1" t="str">
        <f>"한신지 18H1"</f>
        <v>한신지 18H1</v>
      </c>
      <c r="I12958" s="1" t="s">
        <v>8</v>
      </c>
      <c r="J12958" s="1" t="str">
        <f>"23/23"</f>
        <v>23/23</v>
      </c>
      <c r="K12958" s="1" t="str">
        <f t="shared" si="661"/>
        <v>2026-07-29 13:18:12</v>
      </c>
      <c r="L12958" s="1" t="str">
        <f>"2018-04-21 08:12:54"</f>
        <v>2018-04-21 08:12:54</v>
      </c>
      <c r="M12958" s="1" t="s">
        <v>0</v>
      </c>
      <c r="N12958" s="1" t="s">
        <v>38</v>
      </c>
      <c r="O12958" s="1" t="s">
        <v>46</v>
      </c>
    </row>
    <row r="12959" spans="2:15" x14ac:dyDescent="0.3">
      <c r="B12959" s="1" t="s">
        <v>20</v>
      </c>
      <c r="C12959" s="1" t="str">
        <f>"4차"</f>
        <v>4차</v>
      </c>
      <c r="D12959" s="1" t="str">
        <f>"9824C13141"</f>
        <v>9824C13141</v>
      </c>
      <c r="E12959" s="1" t="s">
        <v>10</v>
      </c>
      <c r="F12959" s="1" t="str">
        <f>"10.14.1.48"</f>
        <v>10.14.1.48</v>
      </c>
      <c r="G12959" s="1" t="str">
        <f>"9824C131"</f>
        <v>9824C131</v>
      </c>
      <c r="H12959" s="1" t="str">
        <f>"한신지 18H1L1"</f>
        <v>한신지 18H1L1</v>
      </c>
      <c r="I12959" s="1" t="s">
        <v>17</v>
      </c>
      <c r="J12959" s="1" t="str">
        <f>"13/24"</f>
        <v>13/24</v>
      </c>
      <c r="K12959" s="1" t="str">
        <f t="shared" si="661"/>
        <v>2026-07-29 13:18:12</v>
      </c>
      <c r="L12959" s="1" t="str">
        <f>"2021-08-12 13:57:43"</f>
        <v>2021-08-12 13:57:43</v>
      </c>
      <c r="M12959" s="1" t="s">
        <v>3</v>
      </c>
      <c r="N12959" s="1" t="s">
        <v>38</v>
      </c>
      <c r="O12959" s="1" t="s">
        <v>46</v>
      </c>
    </row>
    <row r="12960" spans="2:15" x14ac:dyDescent="0.3">
      <c r="B12960" s="1" t="s">
        <v>20</v>
      </c>
      <c r="C12960" s="1" t="str">
        <f>"4차"</f>
        <v>4차</v>
      </c>
      <c r="D12960" s="1" t="str">
        <f>"9824C14141"</f>
        <v>9824C14141</v>
      </c>
      <c r="E12960" s="1" t="s">
        <v>10</v>
      </c>
      <c r="F12960" s="1" t="str">
        <f>"10.14.6.178"</f>
        <v>10.14.6.178</v>
      </c>
      <c r="G12960" s="1" t="str">
        <f>"9824C141"</f>
        <v>9824C141</v>
      </c>
      <c r="H12960" s="1" t="str">
        <f>"한신지 5L2"</f>
        <v>한신지 5L2</v>
      </c>
      <c r="I12960" s="1" t="s">
        <v>17</v>
      </c>
      <c r="J12960" s="1" t="str">
        <f>"31/44"</f>
        <v>31/44</v>
      </c>
      <c r="K12960" s="1" t="str">
        <f t="shared" si="661"/>
        <v>2026-07-29 13:18:12</v>
      </c>
      <c r="L12960" s="1" t="str">
        <f>"2021-10-21 08:16:23"</f>
        <v>2021-10-21 08:16:23</v>
      </c>
      <c r="M12960" s="1" t="s">
        <v>3</v>
      </c>
      <c r="N12960" s="1" t="s">
        <v>38</v>
      </c>
      <c r="O12960" s="1" t="s">
        <v>46</v>
      </c>
    </row>
    <row r="12961" spans="2:15" x14ac:dyDescent="0.3">
      <c r="B12961" s="1" t="s">
        <v>20</v>
      </c>
      <c r="C12961" s="1" t="str">
        <f>"4차"</f>
        <v>4차</v>
      </c>
      <c r="D12961" s="1" t="str">
        <f>"9824C38144"</f>
        <v>9824C38144</v>
      </c>
      <c r="E12961" s="1" t="s">
        <v>10</v>
      </c>
      <c r="F12961" s="1" t="str">
        <f>"10.10.96.26"</f>
        <v>10.10.96.26</v>
      </c>
      <c r="G12961" s="1" t="str">
        <f>"9824C381"</f>
        <v>9824C381</v>
      </c>
      <c r="H12961" s="1" t="str">
        <f>"화성간 20R4"</f>
        <v>화성간 20R4</v>
      </c>
      <c r="I12961" s="1" t="s">
        <v>8</v>
      </c>
      <c r="J12961" s="1" t="str">
        <f>"21/21"</f>
        <v>21/21</v>
      </c>
      <c r="K12961" s="1" t="str">
        <f t="shared" si="661"/>
        <v>2026-07-29 13:18:12</v>
      </c>
      <c r="L12961" s="1" t="str">
        <f>"2019-12-11 18:11:53"</f>
        <v>2019-12-11 18:11:53</v>
      </c>
      <c r="M12961" s="1" t="s">
        <v>1</v>
      </c>
      <c r="N12961" s="1" t="s">
        <v>38</v>
      </c>
      <c r="O12961" s="1" t="s">
        <v>46</v>
      </c>
    </row>
    <row r="12962" spans="2:15" x14ac:dyDescent="0.3">
      <c r="B12962" s="1" t="s">
        <v>20</v>
      </c>
      <c r="C12962" s="1" t="str">
        <f>"4차"</f>
        <v>4차</v>
      </c>
      <c r="D12962" s="1" t="str">
        <f>"9824C45444"</f>
        <v>9824C45444</v>
      </c>
      <c r="E12962" s="1" t="s">
        <v>10</v>
      </c>
      <c r="F12962" s="1" t="str">
        <f>"10.10.110.130"</f>
        <v>10.10.110.130</v>
      </c>
      <c r="G12962" s="1" t="str">
        <f>"9824C454"</f>
        <v>9824C454</v>
      </c>
      <c r="H12962" s="1" t="str">
        <f>"화성간 28"</f>
        <v>화성간 28</v>
      </c>
      <c r="I12962" s="1" t="s">
        <v>8</v>
      </c>
      <c r="J12962" s="1" t="str">
        <f>"12/12"</f>
        <v>12/12</v>
      </c>
      <c r="K12962" s="1" t="str">
        <f t="shared" si="661"/>
        <v>2026-07-29 13:18:12</v>
      </c>
      <c r="L12962" s="1" t="str">
        <f>"2019-12-11 18:15:49"</f>
        <v>2019-12-11 18:15:49</v>
      </c>
      <c r="M12962" s="1" t="s">
        <v>1</v>
      </c>
      <c r="N12962" s="1" t="s">
        <v>38</v>
      </c>
      <c r="O12962" s="1" t="s">
        <v>46</v>
      </c>
    </row>
    <row r="12963" spans="2:15" x14ac:dyDescent="0.3">
      <c r="B12963" s="1" t="s">
        <v>20</v>
      </c>
      <c r="C12963" s="1" t="str">
        <f>"3차"</f>
        <v>3차</v>
      </c>
      <c r="D12963" s="1" t="str">
        <f>"9824C46139"</f>
        <v>9824C46139</v>
      </c>
      <c r="E12963" s="1" t="s">
        <v>10</v>
      </c>
      <c r="F12963" s="1" t="str">
        <f>"10.14.5.67"</f>
        <v>10.14.5.67</v>
      </c>
      <c r="G12963" s="1" t="str">
        <f>"9824C461"</f>
        <v>9824C461</v>
      </c>
      <c r="H12963" s="1" t="str">
        <f>"화성간 26"</f>
        <v>화성간 26</v>
      </c>
      <c r="I12963" s="1" t="s">
        <v>8</v>
      </c>
      <c r="J12963" s="1" t="str">
        <f>"95/95"</f>
        <v>95/95</v>
      </c>
      <c r="K12963" s="1" t="str">
        <f>"2026-07-29 13:18:13"</f>
        <v>2026-07-29 13:18:13</v>
      </c>
      <c r="L12963" s="1" t="str">
        <f>"2018-12-24 11:43:12"</f>
        <v>2018-12-24 11:43:12</v>
      </c>
      <c r="M12963" s="1" t="s">
        <v>3</v>
      </c>
      <c r="N12963" s="1" t="s">
        <v>38</v>
      </c>
      <c r="O12963" s="1" t="s">
        <v>46</v>
      </c>
    </row>
    <row r="12964" spans="2:15" x14ac:dyDescent="0.3">
      <c r="B12964" s="1" t="s">
        <v>20</v>
      </c>
      <c r="C12964" s="1" t="str">
        <f>"4차"</f>
        <v>4차</v>
      </c>
      <c r="D12964" s="1" t="str">
        <f>"9824C46344"</f>
        <v>9824C46344</v>
      </c>
      <c r="E12964" s="1" t="s">
        <v>10</v>
      </c>
      <c r="F12964" s="1" t="str">
        <f>"10.10.96.42"</f>
        <v>10.10.96.42</v>
      </c>
      <c r="G12964" s="1" t="str">
        <f>"9824C463"</f>
        <v>9824C463</v>
      </c>
      <c r="H12964" s="1" t="str">
        <f>"화성간 25"</f>
        <v>화성간 25</v>
      </c>
      <c r="I12964" s="1" t="s">
        <v>8</v>
      </c>
      <c r="J12964" s="1" t="str">
        <f>"31/31"</f>
        <v>31/31</v>
      </c>
      <c r="K12964" s="1" t="str">
        <f t="shared" ref="K12964:K12972" si="662">"2026-07-29 13:18:12"</f>
        <v>2026-07-29 13:18:12</v>
      </c>
      <c r="L12964" s="1" t="str">
        <f>"2019-12-11 18:16:20"</f>
        <v>2019-12-11 18:16:20</v>
      </c>
      <c r="M12964" s="1" t="s">
        <v>1</v>
      </c>
      <c r="N12964" s="1" t="s">
        <v>38</v>
      </c>
      <c r="O12964" s="1" t="s">
        <v>46</v>
      </c>
    </row>
    <row r="12965" spans="2:15" x14ac:dyDescent="0.3">
      <c r="B12965" s="1" t="s">
        <v>20</v>
      </c>
      <c r="C12965" s="1" t="str">
        <f>"4차"</f>
        <v>4차</v>
      </c>
      <c r="D12965" s="1" t="str">
        <f>"9824C48144"</f>
        <v>9824C48144</v>
      </c>
      <c r="E12965" s="1" t="s">
        <v>10</v>
      </c>
      <c r="F12965" s="1" t="str">
        <f>"10.10.96.34"</f>
        <v>10.10.96.34</v>
      </c>
      <c r="G12965" s="1" t="str">
        <f>"9824C481"</f>
        <v>9824C481</v>
      </c>
      <c r="H12965" s="1" t="str">
        <f>"화성간 22"</f>
        <v>화성간 22</v>
      </c>
      <c r="I12965" s="1" t="s">
        <v>8</v>
      </c>
      <c r="J12965" s="1" t="str">
        <f>"23/23"</f>
        <v>23/23</v>
      </c>
      <c r="K12965" s="1" t="str">
        <f t="shared" si="662"/>
        <v>2026-07-29 13:18:12</v>
      </c>
      <c r="L12965" s="1" t="str">
        <f>"2019-12-11 18:11:47"</f>
        <v>2019-12-11 18:11:47</v>
      </c>
      <c r="M12965" s="1" t="s">
        <v>1</v>
      </c>
      <c r="N12965" s="1" t="s">
        <v>38</v>
      </c>
      <c r="O12965" s="1" t="s">
        <v>46</v>
      </c>
    </row>
    <row r="12966" spans="2:15" x14ac:dyDescent="0.3">
      <c r="B12966" s="1" t="s">
        <v>20</v>
      </c>
      <c r="C12966" s="1" t="str">
        <f>"4차"</f>
        <v>4차</v>
      </c>
      <c r="D12966" s="1" t="str">
        <f>"9824C49144"</f>
        <v>9824C49144</v>
      </c>
      <c r="E12966" s="1" t="s">
        <v>10</v>
      </c>
      <c r="F12966" s="1" t="str">
        <f>"10.10.86.250"</f>
        <v>10.10.86.250</v>
      </c>
      <c r="G12966" s="1" t="str">
        <f>"9824C491"</f>
        <v>9824C491</v>
      </c>
      <c r="H12966" s="1" t="str">
        <f>"화성간 21"</f>
        <v>화성간 21</v>
      </c>
      <c r="I12966" s="1" t="s">
        <v>8</v>
      </c>
      <c r="J12966" s="1" t="str">
        <f>"19/19"</f>
        <v>19/19</v>
      </c>
      <c r="K12966" s="1" t="str">
        <f t="shared" si="662"/>
        <v>2026-07-29 13:18:12</v>
      </c>
      <c r="L12966" s="1" t="str">
        <f>"2019-12-24 16:48:39"</f>
        <v>2019-12-24 16:48:39</v>
      </c>
      <c r="M12966" s="1" t="s">
        <v>1</v>
      </c>
      <c r="N12966" s="1" t="s">
        <v>38</v>
      </c>
      <c r="O12966" s="1" t="s">
        <v>46</v>
      </c>
    </row>
    <row r="12967" spans="2:15" x14ac:dyDescent="0.3">
      <c r="B12967" s="1" t="s">
        <v>20</v>
      </c>
      <c r="C12967" s="1" t="str">
        <f>"4차"</f>
        <v>4차</v>
      </c>
      <c r="D12967" s="1" t="str">
        <f>"9824C69142"</f>
        <v>9824C69142</v>
      </c>
      <c r="E12967" s="1" t="s">
        <v>10</v>
      </c>
      <c r="F12967" s="1" t="str">
        <f>"10.12.133.113"</f>
        <v>10.12.133.113</v>
      </c>
      <c r="G12967" s="1" t="str">
        <f>"9824C691"</f>
        <v>9824C691</v>
      </c>
      <c r="H12967" s="1" t="str">
        <f>"화성간 14L9"</f>
        <v>화성간 14L9</v>
      </c>
      <c r="I12967" s="1" t="s">
        <v>8</v>
      </c>
      <c r="J12967" s="1" t="str">
        <f>"13/18"</f>
        <v>13/18</v>
      </c>
      <c r="K12967" s="1" t="str">
        <f t="shared" si="662"/>
        <v>2026-07-29 13:18:12</v>
      </c>
      <c r="L12967" s="1" t="str">
        <f>"2024-12-16 16:03:36"</f>
        <v>2024-12-16 16:03:36</v>
      </c>
      <c r="M12967" s="1" t="s">
        <v>0</v>
      </c>
      <c r="N12967" s="1" t="s">
        <v>38</v>
      </c>
      <c r="O12967" s="1" t="s">
        <v>46</v>
      </c>
    </row>
    <row r="12968" spans="2:15" x14ac:dyDescent="0.3">
      <c r="B12968" s="1" t="s">
        <v>20</v>
      </c>
      <c r="C12968" s="1" t="str">
        <f>"1차"</f>
        <v>1차</v>
      </c>
      <c r="D12968" s="1" t="str">
        <f>"9824C69200"</f>
        <v>9824C69200</v>
      </c>
      <c r="E12968" s="1" t="s">
        <v>10</v>
      </c>
      <c r="F12968" s="1" t="str">
        <f>"10.125.128.198"</f>
        <v>10.125.128.198</v>
      </c>
      <c r="G12968" s="1" t="str">
        <f>"9824C692"</f>
        <v>9824C692</v>
      </c>
      <c r="H12968" s="1" t="str">
        <f>"화성간 14L8"</f>
        <v>화성간 14L8</v>
      </c>
      <c r="I12968" s="1" t="s">
        <v>8</v>
      </c>
      <c r="J12968" s="1" t="str">
        <f>"53/53"</f>
        <v>53/53</v>
      </c>
      <c r="K12968" s="1" t="str">
        <f t="shared" si="662"/>
        <v>2026-07-29 13:18:12</v>
      </c>
      <c r="L12968" s="1" t="str">
        <f>"2014-11-05 00:14:07"</f>
        <v>2014-11-05 00:14:07</v>
      </c>
      <c r="M12968" s="1" t="s">
        <v>45</v>
      </c>
      <c r="N12968" s="1" t="s">
        <v>38</v>
      </c>
      <c r="O12968" s="1" t="s">
        <v>46</v>
      </c>
    </row>
    <row r="12969" spans="2:15" x14ac:dyDescent="0.3">
      <c r="B12969" s="1" t="s">
        <v>20</v>
      </c>
      <c r="C12969" s="1" t="str">
        <f>"4차"</f>
        <v>4차</v>
      </c>
      <c r="D12969" s="1" t="str">
        <f>"9824C87144"</f>
        <v>9824C87144</v>
      </c>
      <c r="E12969" s="1" t="s">
        <v>10</v>
      </c>
      <c r="F12969" s="1" t="str">
        <f>"10.12.138.145"</f>
        <v>10.12.138.145</v>
      </c>
      <c r="G12969" s="1" t="str">
        <f>"9824C871"</f>
        <v>9824C871</v>
      </c>
      <c r="H12969" s="1" t="str">
        <f>"화성간 11L4R8H1"</f>
        <v>화성간 11L4R8H1</v>
      </c>
      <c r="I12969" s="1" t="s">
        <v>8</v>
      </c>
      <c r="J12969" s="1" t="str">
        <f>"47/47"</f>
        <v>47/47</v>
      </c>
      <c r="K12969" s="1" t="str">
        <f t="shared" si="662"/>
        <v>2026-07-29 13:18:12</v>
      </c>
      <c r="L12969" s="1" t="str">
        <f>"2019-11-13 14:06:56"</f>
        <v>2019-11-13 14:06:56</v>
      </c>
      <c r="M12969" s="1" t="s">
        <v>0</v>
      </c>
      <c r="N12969" s="1" t="s">
        <v>38</v>
      </c>
      <c r="O12969" s="1" t="s">
        <v>46</v>
      </c>
    </row>
    <row r="12970" spans="2:15" x14ac:dyDescent="0.3">
      <c r="B12970" s="1" t="s">
        <v>20</v>
      </c>
      <c r="C12970" s="1" t="str">
        <f>"4차"</f>
        <v>4차</v>
      </c>
      <c r="D12970" s="1" t="str">
        <f>"9824C89144"</f>
        <v>9824C89144</v>
      </c>
      <c r="E12970" s="1" t="s">
        <v>10</v>
      </c>
      <c r="F12970" s="1" t="str">
        <f>"10.10.94.18"</f>
        <v>10.10.94.18</v>
      </c>
      <c r="G12970" s="1" t="str">
        <f>"9824C891"</f>
        <v>9824C891</v>
      </c>
      <c r="H12970" s="1" t="str">
        <f>"화성간 11L4R5"</f>
        <v>화성간 11L4R5</v>
      </c>
      <c r="I12970" s="1" t="s">
        <v>8</v>
      </c>
      <c r="J12970" s="1" t="str">
        <f>"55/55"</f>
        <v>55/55</v>
      </c>
      <c r="K12970" s="1" t="str">
        <f t="shared" si="662"/>
        <v>2026-07-29 13:18:12</v>
      </c>
      <c r="L12970" s="1" t="str">
        <f>"2019-12-11 18:16:29"</f>
        <v>2019-12-11 18:16:29</v>
      </c>
      <c r="M12970" s="1" t="s">
        <v>1</v>
      </c>
      <c r="N12970" s="1" t="s">
        <v>38</v>
      </c>
      <c r="O12970" s="1" t="s">
        <v>46</v>
      </c>
    </row>
    <row r="12971" spans="2:15" x14ac:dyDescent="0.3">
      <c r="B12971" s="1" t="s">
        <v>20</v>
      </c>
      <c r="C12971" s="1" t="str">
        <f>"4차"</f>
        <v>4차</v>
      </c>
      <c r="D12971" s="1" t="str">
        <f>"9824D18144"</f>
        <v>9824D18144</v>
      </c>
      <c r="E12971" s="1" t="s">
        <v>10</v>
      </c>
      <c r="F12971" s="1" t="str">
        <f>"10.10.98.242"</f>
        <v>10.10.98.242</v>
      </c>
      <c r="G12971" s="1" t="str">
        <f>"9824D181"</f>
        <v>9824D181</v>
      </c>
      <c r="H12971" s="1" t="str">
        <f>"화성간 5L15"</f>
        <v>화성간 5L15</v>
      </c>
      <c r="I12971" s="1" t="s">
        <v>8</v>
      </c>
      <c r="J12971" s="1" t="str">
        <f>"53/54"</f>
        <v>53/54</v>
      </c>
      <c r="K12971" s="1" t="str">
        <f t="shared" si="662"/>
        <v>2026-07-29 13:18:12</v>
      </c>
      <c r="L12971" s="1" t="str">
        <f>"2019-12-11 18:19:52"</f>
        <v>2019-12-11 18:19:52</v>
      </c>
      <c r="M12971" s="1" t="s">
        <v>1</v>
      </c>
      <c r="N12971" s="1" t="s">
        <v>38</v>
      </c>
      <c r="O12971" s="1" t="s">
        <v>46</v>
      </c>
    </row>
    <row r="12972" spans="2:15" x14ac:dyDescent="0.3">
      <c r="B12972" s="1" t="s">
        <v>20</v>
      </c>
      <c r="C12972" s="1" t="str">
        <f>"4차"</f>
        <v>4차</v>
      </c>
      <c r="D12972" s="1" t="str">
        <f>"9824D19344"</f>
        <v>9824D19344</v>
      </c>
      <c r="E12972" s="1" t="s">
        <v>10</v>
      </c>
      <c r="F12972" s="1" t="str">
        <f>"10.10.94.26"</f>
        <v>10.10.94.26</v>
      </c>
      <c r="G12972" s="1" t="str">
        <f>"9824D193"</f>
        <v>9824D193</v>
      </c>
      <c r="H12972" s="1" t="str">
        <f>"화성간 11L9"</f>
        <v>화성간 11L9</v>
      </c>
      <c r="I12972" s="1" t="s">
        <v>8</v>
      </c>
      <c r="J12972" s="1" t="str">
        <f>"37/37"</f>
        <v>37/37</v>
      </c>
      <c r="K12972" s="1" t="str">
        <f t="shared" si="662"/>
        <v>2026-07-29 13:18:12</v>
      </c>
      <c r="L12972" s="1" t="str">
        <f>"2019-12-11 18:10:41"</f>
        <v>2019-12-11 18:10:41</v>
      </c>
      <c r="M12972" s="1" t="s">
        <v>1</v>
      </c>
      <c r="N12972" s="1" t="s">
        <v>38</v>
      </c>
      <c r="O12972" s="1" t="s">
        <v>46</v>
      </c>
    </row>
    <row r="12973" spans="2:15" x14ac:dyDescent="0.3">
      <c r="B12973" s="1" t="s">
        <v>20</v>
      </c>
      <c r="C12973" s="1" t="str">
        <f t="shared" ref="C12973:C12978" si="663">"1차"</f>
        <v>1차</v>
      </c>
      <c r="D12973" s="1" t="str">
        <f>"9824D31101"</f>
        <v>9824D31101</v>
      </c>
      <c r="E12973" s="1" t="s">
        <v>10</v>
      </c>
      <c r="F12973" s="1" t="str">
        <f>"10.12.132.183"</f>
        <v>10.12.132.183</v>
      </c>
      <c r="G12973" s="1" t="str">
        <f>"9824D311"</f>
        <v>9824D311</v>
      </c>
      <c r="H12973" s="1" t="str">
        <f>"마포지 41"</f>
        <v>마포지 41</v>
      </c>
      <c r="I12973" s="1" t="s">
        <v>8</v>
      </c>
      <c r="J12973" s="1" t="str">
        <f>"8/8"</f>
        <v>8/8</v>
      </c>
      <c r="K12973" s="1" t="str">
        <f>"2026-07-29 13:18:10"</f>
        <v>2026-07-29 13:18:10</v>
      </c>
      <c r="L12973" s="1" t="str">
        <f>"2014-11-25 10:46:52"</f>
        <v>2014-11-25 10:46:52</v>
      </c>
      <c r="M12973" s="1" t="s">
        <v>0</v>
      </c>
      <c r="N12973" s="1" t="s">
        <v>38</v>
      </c>
      <c r="O12973" s="1" t="s">
        <v>46</v>
      </c>
    </row>
    <row r="12974" spans="2:15" x14ac:dyDescent="0.3">
      <c r="B12974" s="1" t="s">
        <v>20</v>
      </c>
      <c r="C12974" s="1" t="str">
        <f t="shared" si="663"/>
        <v>1차</v>
      </c>
      <c r="D12974" s="1" t="str">
        <f>"9824D31201"</f>
        <v>9824D31201</v>
      </c>
      <c r="E12974" s="1" t="s">
        <v>10</v>
      </c>
      <c r="F12974" s="1" t="str">
        <f>"10.125.224.251"</f>
        <v>10.125.224.251</v>
      </c>
      <c r="G12974" s="1" t="str">
        <f>"9824D312"</f>
        <v>9824D312</v>
      </c>
      <c r="H12974" s="1" t="str">
        <f>"마포지 40"</f>
        <v>마포지 40</v>
      </c>
      <c r="I12974" s="1" t="s">
        <v>8</v>
      </c>
      <c r="J12974" s="1" t="str">
        <f>"7/7"</f>
        <v>7/7</v>
      </c>
      <c r="K12974" s="1" t="str">
        <f>"2026-07-29 13:18:12"</f>
        <v>2026-07-29 13:18:12</v>
      </c>
      <c r="L12974" s="1" t="str">
        <f>"2015-01-31 13:00:55"</f>
        <v>2015-01-31 13:00:55</v>
      </c>
      <c r="M12974" s="1" t="s">
        <v>45</v>
      </c>
      <c r="N12974" s="1" t="s">
        <v>38</v>
      </c>
      <c r="O12974" s="1" t="s">
        <v>46</v>
      </c>
    </row>
    <row r="12975" spans="2:15" x14ac:dyDescent="0.3">
      <c r="B12975" s="1" t="s">
        <v>20</v>
      </c>
      <c r="C12975" s="1" t="str">
        <f t="shared" si="663"/>
        <v>1차</v>
      </c>
      <c r="D12975" s="1" t="str">
        <f>"9824D41100"</f>
        <v>9824D41100</v>
      </c>
      <c r="E12975" s="1" t="s">
        <v>10</v>
      </c>
      <c r="F12975" s="1" t="str">
        <f>"10.125.224.250"</f>
        <v>10.125.224.250</v>
      </c>
      <c r="G12975" s="1" t="str">
        <f>"9824D411"</f>
        <v>9824D411</v>
      </c>
      <c r="H12975" s="1" t="str">
        <f>"마포지 37"</f>
        <v>마포지 37</v>
      </c>
      <c r="I12975" s="1" t="s">
        <v>8</v>
      </c>
      <c r="J12975" s="1" t="str">
        <f>"5/6"</f>
        <v>5/6</v>
      </c>
      <c r="K12975" s="1" t="str">
        <f>"2026-07-29 13:18:12"</f>
        <v>2026-07-29 13:18:12</v>
      </c>
      <c r="L12975" s="1" t="str">
        <f>"2014-11-21 17:35:01"</f>
        <v>2014-11-21 17:35:01</v>
      </c>
      <c r="M12975" s="1" t="s">
        <v>45</v>
      </c>
      <c r="N12975" s="1" t="s">
        <v>38</v>
      </c>
      <c r="O12975" s="1" t="s">
        <v>46</v>
      </c>
    </row>
    <row r="12976" spans="2:15" x14ac:dyDescent="0.3">
      <c r="B12976" s="1" t="s">
        <v>20</v>
      </c>
      <c r="C12976" s="1" t="str">
        <f t="shared" si="663"/>
        <v>1차</v>
      </c>
      <c r="D12976" s="1" t="str">
        <f>"9824D62100"</f>
        <v>9824D62100</v>
      </c>
      <c r="E12976" s="1" t="s">
        <v>10</v>
      </c>
      <c r="F12976" s="1" t="str">
        <f>"10.125.225.106"</f>
        <v>10.125.225.106</v>
      </c>
      <c r="G12976" s="1" t="str">
        <f>"9824D621"</f>
        <v>9824D621</v>
      </c>
      <c r="H12976" s="1" t="str">
        <f>"도원지 9R18R5"</f>
        <v>도원지 9R18R5</v>
      </c>
      <c r="I12976" s="1" t="s">
        <v>8</v>
      </c>
      <c r="J12976" s="1" t="str">
        <f>"4/4"</f>
        <v>4/4</v>
      </c>
      <c r="K12976" s="1" t="str">
        <f>"2026-07-29 13:18:12"</f>
        <v>2026-07-29 13:18:12</v>
      </c>
      <c r="L12976" s="1" t="str">
        <f>"2014-11-21 17:37:24"</f>
        <v>2014-11-21 17:37:24</v>
      </c>
      <c r="M12976" s="1" t="s">
        <v>45</v>
      </c>
      <c r="N12976" s="1" t="s">
        <v>38</v>
      </c>
      <c r="O12976" s="1" t="s">
        <v>46</v>
      </c>
    </row>
    <row r="12977" spans="2:15" x14ac:dyDescent="0.3">
      <c r="B12977" s="1" t="s">
        <v>20</v>
      </c>
      <c r="C12977" s="1" t="str">
        <f t="shared" si="663"/>
        <v>1차</v>
      </c>
      <c r="D12977" s="1" t="str">
        <f>"9824D65100"</f>
        <v>9824D65100</v>
      </c>
      <c r="E12977" s="1" t="s">
        <v>10</v>
      </c>
      <c r="F12977" s="1" t="str">
        <f>"10.125.224.242"</f>
        <v>10.125.224.242</v>
      </c>
      <c r="G12977" s="1" t="str">
        <f>"9824D651"</f>
        <v>9824D651</v>
      </c>
      <c r="H12977" s="1" t="str">
        <f>"도원지 9R18R10"</f>
        <v>도원지 9R18R10</v>
      </c>
      <c r="I12977" s="1" t="s">
        <v>8</v>
      </c>
      <c r="J12977" s="1" t="str">
        <f>"23/23"</f>
        <v>23/23</v>
      </c>
      <c r="K12977" s="1" t="str">
        <f>"2026-07-29 13:18:12"</f>
        <v>2026-07-29 13:18:12</v>
      </c>
      <c r="L12977" s="1" t="str">
        <f>"2014-11-21 17:38:27"</f>
        <v>2014-11-21 17:38:27</v>
      </c>
      <c r="M12977" s="1" t="s">
        <v>45</v>
      </c>
      <c r="N12977" s="1" t="s">
        <v>38</v>
      </c>
      <c r="O12977" s="1" t="s">
        <v>46</v>
      </c>
    </row>
    <row r="12978" spans="2:15" x14ac:dyDescent="0.3">
      <c r="B12978" s="1" t="s">
        <v>20</v>
      </c>
      <c r="C12978" s="1" t="str">
        <f t="shared" si="663"/>
        <v>1차</v>
      </c>
      <c r="D12978" s="1" t="str">
        <f>"9824D71101"</f>
        <v>9824D71101</v>
      </c>
      <c r="E12978" s="1" t="s">
        <v>10</v>
      </c>
      <c r="F12978" s="1" t="str">
        <f>"10.12.137.123"</f>
        <v>10.12.137.123</v>
      </c>
      <c r="G12978" s="1" t="str">
        <f>"9824D711"</f>
        <v>9824D711</v>
      </c>
      <c r="H12978" s="1" t="str">
        <f>"도원지 9R18R4"</f>
        <v>도원지 9R18R4</v>
      </c>
      <c r="I12978" s="1" t="s">
        <v>8</v>
      </c>
      <c r="J12978" s="1" t="str">
        <f>"7/7"</f>
        <v>7/7</v>
      </c>
      <c r="K12978" s="1" t="str">
        <f>"2026-07-29 13:18:12"</f>
        <v>2026-07-29 13:18:12</v>
      </c>
      <c r="L12978" s="1" t="str">
        <f>"2014-11-21 17:40:49"</f>
        <v>2014-11-21 17:40:49</v>
      </c>
      <c r="M12978" s="1" t="s">
        <v>0</v>
      </c>
      <c r="N12978" s="1" t="s">
        <v>38</v>
      </c>
      <c r="O12978" s="1" t="s">
        <v>46</v>
      </c>
    </row>
    <row r="12979" spans="2:15" x14ac:dyDescent="0.3">
      <c r="B12979" s="1" t="s">
        <v>20</v>
      </c>
      <c r="C12979" s="1" t="str">
        <f>"5-2차"</f>
        <v>5-2차</v>
      </c>
      <c r="D12979" s="1" t="str">
        <f>"9824D7215S"</f>
        <v>9824D7215S</v>
      </c>
      <c r="E12979" s="1" t="s">
        <v>10</v>
      </c>
      <c r="F12979" s="1" t="str">
        <f>"fde3:102:1301:4d00:0:0:0:4"</f>
        <v>fde3:102:1301:4d00:0:0:0:4</v>
      </c>
      <c r="G12979" s="1" t="str">
        <f>"9824D721"</f>
        <v>9824D721</v>
      </c>
      <c r="H12979" s="1" t="str">
        <f>"도원지 9R18R4R1"</f>
        <v>도원지 9R18R4R1</v>
      </c>
      <c r="I12979" s="1" t="s">
        <v>15</v>
      </c>
      <c r="J12979" s="1" t="str">
        <f>"22/25"</f>
        <v>22/25</v>
      </c>
      <c r="K12979" s="1" t="str">
        <f>"2026-07-29 14:21:12"</f>
        <v>2026-07-29 14:21:12</v>
      </c>
      <c r="L12979" s="1" t="str">
        <f>"2023-12-01 15:32:06"</f>
        <v>2023-12-01 15:32:06</v>
      </c>
      <c r="M12979" s="1" t="s">
        <v>45</v>
      </c>
      <c r="N12979" s="1" t="s">
        <v>38</v>
      </c>
      <c r="O12979" s="1" t="s">
        <v>46</v>
      </c>
    </row>
    <row r="12980" spans="2:15" x14ac:dyDescent="0.3">
      <c r="B12980" s="1" t="s">
        <v>20</v>
      </c>
      <c r="C12980" s="1" t="str">
        <f>"5-2차"</f>
        <v>5-2차</v>
      </c>
      <c r="D12980" s="1" t="str">
        <f>"9824D7535S"</f>
        <v>9824D7535S</v>
      </c>
      <c r="E12980" s="1" t="s">
        <v>10</v>
      </c>
      <c r="F12980" s="1" t="str">
        <f>"fde3:102:1301:4a00:0:0:0:11"</f>
        <v>fde3:102:1301:4a00:0:0:0:11</v>
      </c>
      <c r="G12980" s="1" t="str">
        <f>"9824D753"</f>
        <v>9824D753</v>
      </c>
      <c r="H12980" s="1" t="str">
        <f>"도원지 9R16R5"</f>
        <v>도원지 9R16R5</v>
      </c>
      <c r="I12980" s="1" t="s">
        <v>15</v>
      </c>
      <c r="J12980" s="1" t="str">
        <f>"29/29"</f>
        <v>29/29</v>
      </c>
      <c r="K12980" s="1" t="str">
        <f>"2026-07-29 14:21:12"</f>
        <v>2026-07-29 14:21:12</v>
      </c>
      <c r="L12980" s="1" t="str">
        <f>"2023-09-21 10:43:23"</f>
        <v>2023-09-21 10:43:23</v>
      </c>
      <c r="M12980" s="1" t="s">
        <v>45</v>
      </c>
      <c r="N12980" s="1" t="s">
        <v>38</v>
      </c>
      <c r="O12980" s="1" t="s">
        <v>46</v>
      </c>
    </row>
    <row r="12981" spans="2:15" x14ac:dyDescent="0.3">
      <c r="B12981" s="1" t="s">
        <v>20</v>
      </c>
      <c r="C12981" s="1" t="str">
        <f>"6차"</f>
        <v>6차</v>
      </c>
      <c r="D12981" s="1" t="str">
        <f>"9824D8116S"</f>
        <v>9824D8116S</v>
      </c>
      <c r="E12981" s="1" t="s">
        <v>10</v>
      </c>
      <c r="F12981" s="1" t="str">
        <f>"fde1:103:4:c690:0:0:0:2"</f>
        <v>fde1:103:4:c690:0:0:0:2</v>
      </c>
      <c r="G12981" s="1" t="str">
        <f>"9824D811"</f>
        <v>9824D811</v>
      </c>
      <c r="H12981" s="1" t="str">
        <f>"도원지 9R18R3"</f>
        <v>도원지 9R18R3</v>
      </c>
      <c r="I12981" s="1" t="s">
        <v>15</v>
      </c>
      <c r="J12981" s="1" t="str">
        <f>"27/27"</f>
        <v>27/27</v>
      </c>
      <c r="K12981" s="1" t="str">
        <f>"2026-07-29 14:21:13"</f>
        <v>2026-07-29 14:21:13</v>
      </c>
      <c r="L12981" s="1" t="str">
        <f>"2024-11-07 08:37:32"</f>
        <v>2024-11-07 08:37:32</v>
      </c>
      <c r="M12981" s="1" t="s">
        <v>4</v>
      </c>
      <c r="N12981" s="1" t="s">
        <v>38</v>
      </c>
      <c r="O12981" s="1" t="s">
        <v>46</v>
      </c>
    </row>
    <row r="12982" spans="2:15" x14ac:dyDescent="0.3">
      <c r="B12982" s="1" t="s">
        <v>20</v>
      </c>
      <c r="C12982" s="1" t="str">
        <f>"5-2차"</f>
        <v>5-2차</v>
      </c>
      <c r="D12982" s="1" t="str">
        <f>"9824D8145M"</f>
        <v>9824D8145M</v>
      </c>
      <c r="E12982" s="1" t="s">
        <v>10</v>
      </c>
      <c r="F12982" s="1" t="str">
        <f>"fde1:103:4:558b:0:0:0:2"</f>
        <v>fde1:103:4:558b:0:0:0:2</v>
      </c>
      <c r="G12982" s="1" t="str">
        <f>"9824D814"</f>
        <v>9824D814</v>
      </c>
      <c r="H12982" s="1" t="str">
        <f>"도원지 9R18R1H1"</f>
        <v>도원지 9R18R1H1</v>
      </c>
      <c r="I12982" s="1" t="s">
        <v>15</v>
      </c>
      <c r="J12982" s="1" t="str">
        <f>"47/47"</f>
        <v>47/47</v>
      </c>
      <c r="K12982" s="1" t="str">
        <f>"2026-07-29 14:21:13"</f>
        <v>2026-07-29 14:21:13</v>
      </c>
      <c r="L12982" s="1" t="str">
        <f>"2023-08-31 14:57:58"</f>
        <v>2023-08-31 14:57:58</v>
      </c>
      <c r="M12982" s="1" t="s">
        <v>4</v>
      </c>
      <c r="N12982" s="1" t="s">
        <v>38</v>
      </c>
      <c r="O12982" s="1" t="s">
        <v>46</v>
      </c>
    </row>
    <row r="12983" spans="2:15" x14ac:dyDescent="0.3">
      <c r="B12983" s="1" t="s">
        <v>20</v>
      </c>
      <c r="C12983" s="1" t="str">
        <f>"6차"</f>
        <v>6차</v>
      </c>
      <c r="D12983" s="1" t="str">
        <f>"9824D9246S"</f>
        <v>9824D9246S</v>
      </c>
      <c r="E12983" s="1" t="s">
        <v>10</v>
      </c>
      <c r="F12983" s="1" t="str">
        <f>"fde1:103:4:c71c:0:0:0:2"</f>
        <v>fde1:103:4:c71c:0:0:0:2</v>
      </c>
      <c r="G12983" s="1" t="str">
        <f>"9824D924"</f>
        <v>9824D924</v>
      </c>
      <c r="H12983" s="1" t="str">
        <f>"도원지 9R18"</f>
        <v>도원지 9R18</v>
      </c>
      <c r="I12983" s="1" t="s">
        <v>15</v>
      </c>
      <c r="J12983" s="1" t="str">
        <f>"34/35"</f>
        <v>34/35</v>
      </c>
      <c r="K12983" s="1" t="str">
        <f>"2026-07-29 14:21:13"</f>
        <v>2026-07-29 14:21:13</v>
      </c>
      <c r="L12983" s="1" t="str">
        <f>"2024-11-22 15:55:07"</f>
        <v>2024-11-22 15:55:07</v>
      </c>
      <c r="M12983" s="1" t="s">
        <v>4</v>
      </c>
      <c r="N12983" s="1" t="s">
        <v>38</v>
      </c>
      <c r="O12983" s="1" t="s">
        <v>46</v>
      </c>
    </row>
    <row r="12984" spans="2:15" x14ac:dyDescent="0.3">
      <c r="B12984" s="1" t="s">
        <v>20</v>
      </c>
      <c r="C12984" s="1" t="str">
        <f>"5-2차"</f>
        <v>5-2차</v>
      </c>
      <c r="D12984" s="1" t="str">
        <f>"9824D9415M"</f>
        <v>9824D9415M</v>
      </c>
      <c r="E12984" s="1" t="s">
        <v>10</v>
      </c>
      <c r="F12984" s="1" t="str">
        <f>"fde3:102:1301:4a00:0:0:0:10"</f>
        <v>fde3:102:1301:4a00:0:0:0:10</v>
      </c>
      <c r="G12984" s="1" t="str">
        <f>"9824D941"</f>
        <v>9824D941</v>
      </c>
      <c r="H12984" s="1" t="str">
        <f>"도원지 9R16R2"</f>
        <v>도원지 9R16R2</v>
      </c>
      <c r="I12984" s="1" t="s">
        <v>15</v>
      </c>
      <c r="J12984" s="1" t="str">
        <f>"83/83"</f>
        <v>83/83</v>
      </c>
      <c r="K12984" s="1" t="str">
        <f>"2026-07-29 14:21:13"</f>
        <v>2026-07-29 14:21:13</v>
      </c>
      <c r="L12984" s="1" t="str">
        <f>"2023-10-25 17:08:11"</f>
        <v>2023-10-25 17:08:11</v>
      </c>
      <c r="M12984" s="1" t="s">
        <v>45</v>
      </c>
      <c r="N12984" s="1" t="s">
        <v>38</v>
      </c>
      <c r="O12984" s="1" t="s">
        <v>46</v>
      </c>
    </row>
    <row r="12985" spans="2:15" x14ac:dyDescent="0.3">
      <c r="B12985" s="1" t="s">
        <v>20</v>
      </c>
      <c r="C12985" s="1" t="str">
        <f>"5-2차"</f>
        <v>5-2차</v>
      </c>
      <c r="D12985" s="1" t="str">
        <f>"9824D9425M"</f>
        <v>9824D9425M</v>
      </c>
      <c r="E12985" s="1" t="s">
        <v>10</v>
      </c>
      <c r="F12985" s="1" t="str">
        <f>"fde3:102:1301:4a00:0:0:0:1a"</f>
        <v>fde3:102:1301:4a00:0:0:0:1a</v>
      </c>
      <c r="G12985" s="1" t="str">
        <f>"9824D942"</f>
        <v>9824D942</v>
      </c>
      <c r="H12985" s="1" t="str">
        <f>"도원지 9R16R2R1"</f>
        <v>도원지 9R16R2R1</v>
      </c>
      <c r="I12985" s="1" t="s">
        <v>15</v>
      </c>
      <c r="J12985" s="1" t="str">
        <f>"43/44"</f>
        <v>43/44</v>
      </c>
      <c r="K12985" s="1" t="str">
        <f>"2026-07-29 14:21:13"</f>
        <v>2026-07-29 14:21:13</v>
      </c>
      <c r="L12985" s="1" t="str">
        <f>"2023-11-23 10:44:28"</f>
        <v>2023-11-23 10:44:28</v>
      </c>
      <c r="M12985" s="1" t="s">
        <v>45</v>
      </c>
      <c r="N12985" s="1" t="s">
        <v>38</v>
      </c>
      <c r="O12985" s="1" t="s">
        <v>46</v>
      </c>
    </row>
    <row r="12986" spans="2:15" x14ac:dyDescent="0.3">
      <c r="B12986" s="1" t="s">
        <v>20</v>
      </c>
      <c r="C12986" s="1" t="str">
        <f>"5-2차"</f>
        <v>5-2차</v>
      </c>
      <c r="D12986" s="1" t="str">
        <f>"9824D9515M"</f>
        <v>9824D9515M</v>
      </c>
      <c r="E12986" s="1" t="s">
        <v>10</v>
      </c>
      <c r="F12986" s="1" t="str">
        <f>"fde3:102:1301:4a00:0:0:0:15"</f>
        <v>fde3:102:1301:4a00:0:0:0:15</v>
      </c>
      <c r="G12986" s="1" t="str">
        <f>"9824D951"</f>
        <v>9824D951</v>
      </c>
      <c r="H12986" s="1" t="str">
        <f>"도원지 9R16R4R1"</f>
        <v>도원지 9R16R4R1</v>
      </c>
      <c r="I12986" s="1" t="s">
        <v>15</v>
      </c>
      <c r="J12986" s="1" t="str">
        <f>"59/59"</f>
        <v>59/59</v>
      </c>
      <c r="K12986" s="1" t="str">
        <f>"2026-07-29 14:21:20"</f>
        <v>2026-07-29 14:21:20</v>
      </c>
      <c r="L12986" s="1" t="str">
        <f>"2023-09-21 10:18:11"</f>
        <v>2023-09-21 10:18:11</v>
      </c>
      <c r="M12986" s="1" t="s">
        <v>45</v>
      </c>
      <c r="N12986" s="1" t="s">
        <v>38</v>
      </c>
      <c r="O12986" s="1" t="s">
        <v>46</v>
      </c>
    </row>
    <row r="12987" spans="2:15" x14ac:dyDescent="0.3">
      <c r="B12987" s="1" t="s">
        <v>20</v>
      </c>
      <c r="C12987" s="1" t="str">
        <f>"5-2차"</f>
        <v>5-2차</v>
      </c>
      <c r="D12987" s="1" t="str">
        <f>"9824D9615S"</f>
        <v>9824D9615S</v>
      </c>
      <c r="E12987" s="1" t="s">
        <v>10</v>
      </c>
      <c r="F12987" s="1" t="str">
        <f>"fde3:102:1301:4d00:0:0:0:3"</f>
        <v>fde3:102:1301:4d00:0:0:0:3</v>
      </c>
      <c r="G12987" s="1" t="str">
        <f>"9824D961"</f>
        <v>9824D961</v>
      </c>
      <c r="H12987" s="1" t="str">
        <f>"도원지 9R16R5R2"</f>
        <v>도원지 9R16R5R2</v>
      </c>
      <c r="I12987" s="1" t="s">
        <v>15</v>
      </c>
      <c r="J12987" s="1" t="str">
        <f>"29/29"</f>
        <v>29/29</v>
      </c>
      <c r="K12987" s="1" t="str">
        <f>"2026-07-29 14:21:13"</f>
        <v>2026-07-29 14:21:13</v>
      </c>
      <c r="L12987" s="1" t="str">
        <f>"2023-09-21 11:06:44"</f>
        <v>2023-09-21 11:06:44</v>
      </c>
      <c r="M12987" s="1" t="s">
        <v>45</v>
      </c>
      <c r="N12987" s="1" t="s">
        <v>38</v>
      </c>
      <c r="O12987" s="1" t="s">
        <v>46</v>
      </c>
    </row>
    <row r="12988" spans="2:15" x14ac:dyDescent="0.3">
      <c r="B12988" s="1" t="s">
        <v>20</v>
      </c>
      <c r="C12988" s="1" t="str">
        <f>"4차"</f>
        <v>4차</v>
      </c>
      <c r="D12988" s="1" t="str">
        <f>"9824E29144"</f>
        <v>9824E29144</v>
      </c>
      <c r="E12988" s="1" t="s">
        <v>10</v>
      </c>
      <c r="F12988" s="1" t="str">
        <f>"10.10.99.242"</f>
        <v>10.10.99.242</v>
      </c>
      <c r="G12988" s="1" t="str">
        <f>"9824E291"</f>
        <v>9824E291</v>
      </c>
      <c r="H12988" s="1" t="str">
        <f>"효청간 16L2"</f>
        <v>효청간 16L2</v>
      </c>
      <c r="I12988" s="1" t="s">
        <v>8</v>
      </c>
      <c r="J12988" s="1" t="str">
        <f>"47/48"</f>
        <v>47/48</v>
      </c>
      <c r="K12988" s="1" t="str">
        <f t="shared" ref="K12988:K12995" si="664">"2026-07-29 13:18:12"</f>
        <v>2026-07-29 13:18:12</v>
      </c>
      <c r="L12988" s="1" t="str">
        <f>"2020-01-17 14:44:00"</f>
        <v>2020-01-17 14:44:00</v>
      </c>
      <c r="M12988" s="1" t="s">
        <v>1</v>
      </c>
      <c r="N12988" s="1" t="s">
        <v>38</v>
      </c>
      <c r="O12988" s="1" t="s">
        <v>46</v>
      </c>
    </row>
    <row r="12989" spans="2:15" x14ac:dyDescent="0.3">
      <c r="B12989" s="1" t="s">
        <v>20</v>
      </c>
      <c r="C12989" s="1" t="str">
        <f>"1차"</f>
        <v>1차</v>
      </c>
      <c r="D12989" s="1" t="str">
        <f>"9824E30100"</f>
        <v>9824E30100</v>
      </c>
      <c r="E12989" s="1" t="s">
        <v>10</v>
      </c>
      <c r="F12989" s="1" t="str">
        <f>"10.125.224.42"</f>
        <v>10.125.224.42</v>
      </c>
      <c r="G12989" s="1" t="str">
        <f>"9824E301"</f>
        <v>9824E301</v>
      </c>
      <c r="H12989" s="1" t="str">
        <f>"도원지 7R3"</f>
        <v>도원지 7R3</v>
      </c>
      <c r="I12989" s="1" t="s">
        <v>8</v>
      </c>
      <c r="J12989" s="1" t="str">
        <f>"45/45"</f>
        <v>45/45</v>
      </c>
      <c r="K12989" s="1" t="str">
        <f t="shared" si="664"/>
        <v>2026-07-29 13:18:12</v>
      </c>
      <c r="L12989" s="1" t="str">
        <f>"2014-12-01 13:55:51"</f>
        <v>2014-12-01 13:55:51</v>
      </c>
      <c r="M12989" s="1" t="s">
        <v>45</v>
      </c>
      <c r="N12989" s="1" t="s">
        <v>38</v>
      </c>
      <c r="O12989" s="1" t="s">
        <v>46</v>
      </c>
    </row>
    <row r="12990" spans="2:15" x14ac:dyDescent="0.3">
      <c r="B12990" s="1" t="s">
        <v>20</v>
      </c>
      <c r="C12990" s="1" t="str">
        <f t="shared" ref="C12990:C12997" si="665">"4차"</f>
        <v>4차</v>
      </c>
      <c r="D12990" s="1" t="str">
        <f>"9824E35241"</f>
        <v>9824E35241</v>
      </c>
      <c r="E12990" s="1" t="s">
        <v>10</v>
      </c>
      <c r="F12990" s="1" t="str">
        <f>"10.14.13.48"</f>
        <v>10.14.13.48</v>
      </c>
      <c r="G12990" s="1" t="str">
        <f>"9824E352"</f>
        <v>9824E352</v>
      </c>
      <c r="H12990" s="1" t="str">
        <f>"백범지 3"</f>
        <v>백범지 3</v>
      </c>
      <c r="I12990" s="1" t="s">
        <v>17</v>
      </c>
      <c r="J12990" s="1" t="str">
        <f>"9/18"</f>
        <v>9/18</v>
      </c>
      <c r="K12990" s="1" t="str">
        <f t="shared" si="664"/>
        <v>2026-07-29 13:18:12</v>
      </c>
      <c r="L12990" s="1" t="str">
        <f>"2021-08-10 14:10:41"</f>
        <v>2021-08-10 14:10:41</v>
      </c>
      <c r="M12990" s="1" t="s">
        <v>3</v>
      </c>
      <c r="N12990" s="1" t="s">
        <v>38</v>
      </c>
      <c r="O12990" s="1" t="s">
        <v>46</v>
      </c>
    </row>
    <row r="12991" spans="2:15" x14ac:dyDescent="0.3">
      <c r="B12991" s="1" t="s">
        <v>20</v>
      </c>
      <c r="C12991" s="1" t="str">
        <f t="shared" si="665"/>
        <v>4차</v>
      </c>
      <c r="D12991" s="1" t="str">
        <f>"9824E37144"</f>
        <v>9824E37144</v>
      </c>
      <c r="E12991" s="1" t="s">
        <v>10</v>
      </c>
      <c r="F12991" s="1" t="str">
        <f>"10.10.99.250"</f>
        <v>10.10.99.250</v>
      </c>
      <c r="G12991" s="1" t="str">
        <f>"9824E371"</f>
        <v>9824E371</v>
      </c>
      <c r="H12991" s="1" t="str">
        <f>"효청간 16R2"</f>
        <v>효청간 16R2</v>
      </c>
      <c r="I12991" s="1" t="s">
        <v>8</v>
      </c>
      <c r="J12991" s="1" t="str">
        <f>"40/40"</f>
        <v>40/40</v>
      </c>
      <c r="K12991" s="1" t="str">
        <f t="shared" si="664"/>
        <v>2026-07-29 13:18:12</v>
      </c>
      <c r="L12991" s="1" t="str">
        <f>"2020-01-17 14:25:35"</f>
        <v>2020-01-17 14:25:35</v>
      </c>
      <c r="M12991" s="1" t="s">
        <v>1</v>
      </c>
      <c r="N12991" s="1" t="s">
        <v>38</v>
      </c>
      <c r="O12991" s="1" t="s">
        <v>46</v>
      </c>
    </row>
    <row r="12992" spans="2:15" x14ac:dyDescent="0.3">
      <c r="B12992" s="1" t="s">
        <v>20</v>
      </c>
      <c r="C12992" s="1" t="str">
        <f t="shared" si="665"/>
        <v>4차</v>
      </c>
      <c r="D12992" s="1" t="str">
        <f>"9824E38144"</f>
        <v>9824E38144</v>
      </c>
      <c r="E12992" s="1" t="s">
        <v>10</v>
      </c>
      <c r="F12992" s="1" t="str">
        <f>"10.10.99.226"</f>
        <v>10.10.99.226</v>
      </c>
      <c r="G12992" s="1" t="str">
        <f>"9824E381"</f>
        <v>9824E381</v>
      </c>
      <c r="H12992" s="1" t="str">
        <f>"효청간 16"</f>
        <v>효청간 16</v>
      </c>
      <c r="I12992" s="1" t="s">
        <v>8</v>
      </c>
      <c r="J12992" s="1" t="str">
        <f>"35/36"</f>
        <v>35/36</v>
      </c>
      <c r="K12992" s="1" t="str">
        <f t="shared" si="664"/>
        <v>2026-07-29 13:18:12</v>
      </c>
      <c r="L12992" s="1" t="str">
        <f>"2022-03-11 17:44:15"</f>
        <v>2022-03-11 17:44:15</v>
      </c>
      <c r="M12992" s="1" t="s">
        <v>1</v>
      </c>
      <c r="N12992" s="1" t="s">
        <v>38</v>
      </c>
      <c r="O12992" s="1" t="s">
        <v>46</v>
      </c>
    </row>
    <row r="12993" spans="2:15" x14ac:dyDescent="0.3">
      <c r="B12993" s="1" t="s">
        <v>20</v>
      </c>
      <c r="C12993" s="1" t="str">
        <f t="shared" si="665"/>
        <v>4차</v>
      </c>
      <c r="D12993" s="1" t="str">
        <f>"9824E39144"</f>
        <v>9824E39144</v>
      </c>
      <c r="E12993" s="1" t="s">
        <v>10</v>
      </c>
      <c r="F12993" s="1" t="str">
        <f>"10.10.100.10"</f>
        <v>10.10.100.10</v>
      </c>
      <c r="G12993" s="1" t="str">
        <f>"9824E391"</f>
        <v>9824E391</v>
      </c>
      <c r="H12993" s="1" t="str">
        <f>"효청간 18"</f>
        <v>효청간 18</v>
      </c>
      <c r="I12993" s="1" t="s">
        <v>8</v>
      </c>
      <c r="J12993" s="1" t="str">
        <f>"26/26"</f>
        <v>26/26</v>
      </c>
      <c r="K12993" s="1" t="str">
        <f t="shared" si="664"/>
        <v>2026-07-29 13:18:12</v>
      </c>
      <c r="L12993" s="1" t="str">
        <f>"2019-12-24 16:53:03"</f>
        <v>2019-12-24 16:53:03</v>
      </c>
      <c r="M12993" s="1" t="s">
        <v>1</v>
      </c>
      <c r="N12993" s="1" t="s">
        <v>38</v>
      </c>
      <c r="O12993" s="1" t="s">
        <v>46</v>
      </c>
    </row>
    <row r="12994" spans="2:15" x14ac:dyDescent="0.3">
      <c r="B12994" s="1" t="s">
        <v>20</v>
      </c>
      <c r="C12994" s="1" t="str">
        <f t="shared" si="665"/>
        <v>4차</v>
      </c>
      <c r="D12994" s="1" t="str">
        <f>"9824E39244"</f>
        <v>9824E39244</v>
      </c>
      <c r="E12994" s="1" t="s">
        <v>10</v>
      </c>
      <c r="F12994" s="1" t="str">
        <f>"10.10.100.26"</f>
        <v>10.10.100.26</v>
      </c>
      <c r="G12994" s="1" t="str">
        <f>"9824E392"</f>
        <v>9824E392</v>
      </c>
      <c r="H12994" s="1" t="str">
        <f>"효청간 19"</f>
        <v>효청간 19</v>
      </c>
      <c r="I12994" s="1" t="s">
        <v>8</v>
      </c>
      <c r="J12994" s="1" t="str">
        <f>"20/22"</f>
        <v>20/22</v>
      </c>
      <c r="K12994" s="1" t="str">
        <f t="shared" si="664"/>
        <v>2026-07-29 13:18:12</v>
      </c>
      <c r="L12994" s="1" t="str">
        <f>"2019-12-11 18:13:22"</f>
        <v>2019-12-11 18:13:22</v>
      </c>
      <c r="M12994" s="1" t="s">
        <v>1</v>
      </c>
      <c r="N12994" s="1" t="s">
        <v>38</v>
      </c>
      <c r="O12994" s="1" t="s">
        <v>46</v>
      </c>
    </row>
    <row r="12995" spans="2:15" x14ac:dyDescent="0.3">
      <c r="B12995" s="1" t="s">
        <v>20</v>
      </c>
      <c r="C12995" s="1" t="str">
        <f t="shared" si="665"/>
        <v>4차</v>
      </c>
      <c r="D12995" s="1" t="str">
        <f>"9824E44341"</f>
        <v>9824E44341</v>
      </c>
      <c r="E12995" s="1" t="s">
        <v>10</v>
      </c>
      <c r="F12995" s="1" t="str">
        <f>"10.12.132.74"</f>
        <v>10.12.132.74</v>
      </c>
      <c r="G12995" s="1" t="str">
        <f>"9824E443"</f>
        <v>9824E443</v>
      </c>
      <c r="H12995" s="1" t="str">
        <f>"백범지 5L1"</f>
        <v>백범지 5L1</v>
      </c>
      <c r="I12995" s="1" t="s">
        <v>17</v>
      </c>
      <c r="J12995" s="1" t="str">
        <f>"70/71"</f>
        <v>70/71</v>
      </c>
      <c r="K12995" s="1" t="str">
        <f t="shared" si="664"/>
        <v>2026-07-29 13:18:12</v>
      </c>
      <c r="L12995" s="1" t="str">
        <f>"2025-07-07 18:17:20"</f>
        <v>2025-07-07 18:17:20</v>
      </c>
      <c r="M12995" s="1" t="s">
        <v>0</v>
      </c>
      <c r="N12995" s="1" t="s">
        <v>38</v>
      </c>
      <c r="O12995" s="1" t="s">
        <v>46</v>
      </c>
    </row>
    <row r="12996" spans="2:15" x14ac:dyDescent="0.3">
      <c r="B12996" s="1" t="s">
        <v>20</v>
      </c>
      <c r="C12996" s="1" t="str">
        <f t="shared" si="665"/>
        <v>4차</v>
      </c>
      <c r="D12996" s="1" t="str">
        <f>"9824E46141"</f>
        <v>9824E46141</v>
      </c>
      <c r="E12996" s="1" t="s">
        <v>10</v>
      </c>
      <c r="F12996" s="1" t="str">
        <f>"10.14.1.178"</f>
        <v>10.14.1.178</v>
      </c>
      <c r="G12996" s="1" t="str">
        <f>"9824E461"</f>
        <v>9824E461</v>
      </c>
      <c r="H12996" s="1" t="str">
        <f>"백범지 5L1L4"</f>
        <v>백범지 5L1L4</v>
      </c>
      <c r="I12996" s="1" t="s">
        <v>17</v>
      </c>
      <c r="J12996" s="1" t="str">
        <f>"31/32"</f>
        <v>31/32</v>
      </c>
      <c r="K12996" s="1" t="str">
        <f>"2026-07-29 13:18:13"</f>
        <v>2026-07-29 13:18:13</v>
      </c>
      <c r="L12996" s="1" t="str">
        <f>"2021-08-11 08:50:48"</f>
        <v>2021-08-11 08:50:48</v>
      </c>
      <c r="M12996" s="1" t="s">
        <v>3</v>
      </c>
      <c r="N12996" s="1" t="s">
        <v>38</v>
      </c>
      <c r="O12996" s="1" t="s">
        <v>46</v>
      </c>
    </row>
    <row r="12997" spans="2:15" x14ac:dyDescent="0.3">
      <c r="B12997" s="1" t="s">
        <v>20</v>
      </c>
      <c r="C12997" s="1" t="str">
        <f t="shared" si="665"/>
        <v>4차</v>
      </c>
      <c r="D12997" s="1" t="str">
        <f>"9824E46241"</f>
        <v>9824E46241</v>
      </c>
      <c r="E12997" s="1" t="s">
        <v>10</v>
      </c>
      <c r="F12997" s="1" t="str">
        <f>"10.12.128.107"</f>
        <v>10.12.128.107</v>
      </c>
      <c r="G12997" s="1" t="str">
        <f>"9824E462"</f>
        <v>9824E462</v>
      </c>
      <c r="H12997" s="1" t="str">
        <f>"백범지 5L1L5"</f>
        <v>백범지 5L1L5</v>
      </c>
      <c r="I12997" s="1" t="s">
        <v>17</v>
      </c>
      <c r="J12997" s="1" t="str">
        <f>"40/44"</f>
        <v>40/44</v>
      </c>
      <c r="K12997" s="1" t="str">
        <f>"2026-07-29 13:18:12"</f>
        <v>2026-07-29 13:18:12</v>
      </c>
      <c r="L12997" s="1" t="str">
        <f>"2021-08-11 08:06:45"</f>
        <v>2021-08-11 08:06:45</v>
      </c>
      <c r="M12997" s="1" t="s">
        <v>0</v>
      </c>
      <c r="N12997" s="1" t="s">
        <v>38</v>
      </c>
      <c r="O12997" s="1" t="s">
        <v>46</v>
      </c>
    </row>
    <row r="12998" spans="2:15" x14ac:dyDescent="0.3">
      <c r="B12998" s="1" t="s">
        <v>20</v>
      </c>
      <c r="C12998" s="1" t="str">
        <f>"1차"</f>
        <v>1차</v>
      </c>
      <c r="D12998" s="1" t="str">
        <f>"9824E50101"</f>
        <v>9824E50101</v>
      </c>
      <c r="E12998" s="1" t="s">
        <v>10</v>
      </c>
      <c r="F12998" s="1" t="str">
        <f>"10.12.129.17"</f>
        <v>10.12.129.17</v>
      </c>
      <c r="G12998" s="1" t="str">
        <f>"9824E501"</f>
        <v>9824E501</v>
      </c>
      <c r="H12998" s="1" t="str">
        <f>"도원지 6"</f>
        <v>도원지 6</v>
      </c>
      <c r="I12998" s="1" t="s">
        <v>8</v>
      </c>
      <c r="J12998" s="1" t="str">
        <f>"25/25"</f>
        <v>25/25</v>
      </c>
      <c r="K12998" s="1" t="str">
        <f>"2026-07-29 13:18:12"</f>
        <v>2026-07-29 13:18:12</v>
      </c>
      <c r="L12998" s="1" t="str">
        <f>"2014-11-29 10:13:51"</f>
        <v>2014-11-29 10:13:51</v>
      </c>
      <c r="M12998" s="1" t="s">
        <v>0</v>
      </c>
      <c r="N12998" s="1" t="s">
        <v>38</v>
      </c>
      <c r="O12998" s="1" t="s">
        <v>46</v>
      </c>
    </row>
    <row r="12999" spans="2:15" x14ac:dyDescent="0.3">
      <c r="B12999" s="1" t="s">
        <v>20</v>
      </c>
      <c r="C12999" s="1" t="str">
        <f>"1차"</f>
        <v>1차</v>
      </c>
      <c r="D12999" s="1" t="str">
        <f>"9824E51100"</f>
        <v>9824E51100</v>
      </c>
      <c r="E12999" s="1" t="s">
        <v>14</v>
      </c>
      <c r="F12999" s="1" t="str">
        <f>"10.125.224.34"</f>
        <v>10.125.224.34</v>
      </c>
      <c r="G12999" s="1" t="str">
        <f>"9824E511"</f>
        <v>9824E511</v>
      </c>
      <c r="H12999" s="1" t="str">
        <f>"도원지 5"</f>
        <v>도원지 5</v>
      </c>
      <c r="I12999" s="1" t="s">
        <v>8</v>
      </c>
      <c r="J12999" s="1" t="str">
        <f>"0/0"</f>
        <v>0/0</v>
      </c>
      <c r="K12999" s="1" t="str">
        <f>"2024-06-27 09:20:07"</f>
        <v>2024-06-27 09:20:07</v>
      </c>
      <c r="L12999" s="1" t="str">
        <f>"2014-11-29 10:09:17"</f>
        <v>2014-11-29 10:09:17</v>
      </c>
      <c r="M12999" s="1" t="s">
        <v>45</v>
      </c>
      <c r="N12999" s="1" t="s">
        <v>44</v>
      </c>
      <c r="O12999" s="1" t="s">
        <v>44</v>
      </c>
    </row>
    <row r="13000" spans="2:15" x14ac:dyDescent="0.3">
      <c r="B13000" s="1" t="s">
        <v>20</v>
      </c>
      <c r="C13000" s="1" t="str">
        <f>"1차"</f>
        <v>1차</v>
      </c>
      <c r="D13000" s="1" t="str">
        <f>"9824E51301"</f>
        <v>9824E51301</v>
      </c>
      <c r="E13000" s="1" t="s">
        <v>10</v>
      </c>
      <c r="F13000" s="1" t="str">
        <f>"10.12.128.117"</f>
        <v>10.12.128.117</v>
      </c>
      <c r="G13000" s="1" t="str">
        <f>"9824E513"</f>
        <v>9824E513</v>
      </c>
      <c r="H13000" s="1" t="str">
        <f>"도원지 4L1"</f>
        <v>도원지 4L1</v>
      </c>
      <c r="I13000" s="1" t="s">
        <v>8</v>
      </c>
      <c r="J13000" s="1" t="str">
        <f>"25/25"</f>
        <v>25/25</v>
      </c>
      <c r="K13000" s="1" t="str">
        <f>"2026-07-29 13:18:10"</f>
        <v>2026-07-29 13:18:10</v>
      </c>
      <c r="L13000" s="1" t="str">
        <f>"2014-11-29 10:07:21"</f>
        <v>2014-11-29 10:07:21</v>
      </c>
      <c r="M13000" s="1" t="s">
        <v>0</v>
      </c>
      <c r="N13000" s="1" t="s">
        <v>38</v>
      </c>
      <c r="O13000" s="1" t="s">
        <v>46</v>
      </c>
    </row>
    <row r="13001" spans="2:15" x14ac:dyDescent="0.3">
      <c r="B13001" s="1" t="s">
        <v>20</v>
      </c>
      <c r="C13001" s="1" t="str">
        <f t="shared" ref="C13001:C13014" si="666">"4차"</f>
        <v>4차</v>
      </c>
      <c r="D13001" s="1" t="str">
        <f>"9824E57141"</f>
        <v>9824E57141</v>
      </c>
      <c r="E13001" s="1" t="s">
        <v>10</v>
      </c>
      <c r="F13001" s="1" t="str">
        <f>"10.14.15.44"</f>
        <v>10.14.15.44</v>
      </c>
      <c r="G13001" s="1" t="str">
        <f>"9824E571"</f>
        <v>9824E571</v>
      </c>
      <c r="H13001" s="1" t="str">
        <f>"백범지 5L1L9"</f>
        <v>백범지 5L1L9</v>
      </c>
      <c r="I13001" s="1" t="s">
        <v>17</v>
      </c>
      <c r="J13001" s="1" t="str">
        <f>"39/44"</f>
        <v>39/44</v>
      </c>
      <c r="K13001" s="1" t="str">
        <f>"2026-07-29 13:18:13"</f>
        <v>2026-07-29 13:18:13</v>
      </c>
      <c r="L13001" s="1" t="str">
        <f>"2021-08-11 09:52:11"</f>
        <v>2021-08-11 09:52:11</v>
      </c>
      <c r="M13001" s="1" t="s">
        <v>3</v>
      </c>
      <c r="N13001" s="1" t="s">
        <v>38</v>
      </c>
      <c r="O13001" s="1" t="s">
        <v>46</v>
      </c>
    </row>
    <row r="13002" spans="2:15" x14ac:dyDescent="0.3">
      <c r="B13002" s="1" t="s">
        <v>20</v>
      </c>
      <c r="C13002" s="1" t="str">
        <f t="shared" si="666"/>
        <v>4차</v>
      </c>
      <c r="D13002" s="1" t="str">
        <f>"9824E58141"</f>
        <v>9824E58141</v>
      </c>
      <c r="E13002" s="1" t="s">
        <v>10</v>
      </c>
      <c r="F13002" s="1" t="str">
        <f>"10.14.9.108"</f>
        <v>10.14.9.108</v>
      </c>
      <c r="G13002" s="1" t="str">
        <f>"9824E581"</f>
        <v>9824E581</v>
      </c>
      <c r="H13002" s="1" t="str">
        <f>"백범지 5L6L6"</f>
        <v>백범지 5L6L6</v>
      </c>
      <c r="I13002" s="1" t="s">
        <v>17</v>
      </c>
      <c r="J13002" s="1" t="str">
        <f>"19/19"</f>
        <v>19/19</v>
      </c>
      <c r="K13002" s="1" t="str">
        <f>"2026-07-29 13:18:13"</f>
        <v>2026-07-29 13:18:13</v>
      </c>
      <c r="L13002" s="1" t="str">
        <f>"2021-08-10 09:49:32"</f>
        <v>2021-08-10 09:49:32</v>
      </c>
      <c r="M13002" s="1" t="s">
        <v>3</v>
      </c>
      <c r="N13002" s="1" t="s">
        <v>38</v>
      </c>
      <c r="O13002" s="1" t="s">
        <v>46</v>
      </c>
    </row>
    <row r="13003" spans="2:15" x14ac:dyDescent="0.3">
      <c r="B13003" s="1" t="s">
        <v>20</v>
      </c>
      <c r="C13003" s="1" t="str">
        <f t="shared" si="666"/>
        <v>4차</v>
      </c>
      <c r="D13003" s="1" t="str">
        <f>"9824E58341"</f>
        <v>9824E58341</v>
      </c>
      <c r="E13003" s="1" t="s">
        <v>10</v>
      </c>
      <c r="F13003" s="1" t="str">
        <f>"10.14.3.49"</f>
        <v>10.14.3.49</v>
      </c>
      <c r="G13003" s="1" t="str">
        <f>"9824E583"</f>
        <v>9824E583</v>
      </c>
      <c r="H13003" s="1" t="str">
        <f>"백범지 5L6L8"</f>
        <v>백범지 5L6L8</v>
      </c>
      <c r="I13003" s="1" t="s">
        <v>17</v>
      </c>
      <c r="J13003" s="1" t="str">
        <f>"28/35"</f>
        <v>28/35</v>
      </c>
      <c r="K13003" s="1" t="str">
        <f>"2026-07-29 13:18:13"</f>
        <v>2026-07-29 13:18:13</v>
      </c>
      <c r="L13003" s="1" t="str">
        <f>"2021-08-10 07:04:07"</f>
        <v>2021-08-10 07:04:07</v>
      </c>
      <c r="M13003" s="1" t="s">
        <v>3</v>
      </c>
      <c r="N13003" s="1" t="s">
        <v>38</v>
      </c>
      <c r="O13003" s="1" t="s">
        <v>46</v>
      </c>
    </row>
    <row r="13004" spans="2:15" x14ac:dyDescent="0.3">
      <c r="B13004" s="1" t="s">
        <v>20</v>
      </c>
      <c r="C13004" s="1" t="str">
        <f t="shared" si="666"/>
        <v>4차</v>
      </c>
      <c r="D13004" s="1" t="str">
        <f>"9824E59344"</f>
        <v>9824E59344</v>
      </c>
      <c r="E13004" s="1" t="s">
        <v>10</v>
      </c>
      <c r="F13004" s="1" t="str">
        <f>"10.10.67.138"</f>
        <v>10.10.67.138</v>
      </c>
      <c r="G13004" s="1" t="str">
        <f>"9824E593"</f>
        <v>9824E593</v>
      </c>
      <c r="H13004" s="1" t="str">
        <f>"효청간 22R4"</f>
        <v>효청간 22R4</v>
      </c>
      <c r="I13004" s="1" t="s">
        <v>8</v>
      </c>
      <c r="J13004" s="1" t="str">
        <f>"15/15"</f>
        <v>15/15</v>
      </c>
      <c r="K13004" s="1" t="str">
        <f>"2026-07-29 13:18:11"</f>
        <v>2026-07-29 13:18:11</v>
      </c>
      <c r="L13004" s="1" t="str">
        <f>"2019-12-24 16:54:19"</f>
        <v>2019-12-24 16:54:19</v>
      </c>
      <c r="M13004" s="1" t="s">
        <v>1</v>
      </c>
      <c r="N13004" s="1" t="s">
        <v>38</v>
      </c>
      <c r="O13004" s="1" t="s">
        <v>46</v>
      </c>
    </row>
    <row r="13005" spans="2:15" x14ac:dyDescent="0.3">
      <c r="B13005" s="1" t="s">
        <v>20</v>
      </c>
      <c r="C13005" s="1" t="str">
        <f t="shared" si="666"/>
        <v>4차</v>
      </c>
      <c r="D13005" s="1" t="str">
        <f>"9824E62239"</f>
        <v>9824E62239</v>
      </c>
      <c r="E13005" s="1" t="s">
        <v>10</v>
      </c>
      <c r="F13005" s="1" t="str">
        <f>"10.12.137.103"</f>
        <v>10.12.137.103</v>
      </c>
      <c r="G13005" s="1" t="str">
        <f>"9824E622"</f>
        <v>9824E622</v>
      </c>
      <c r="H13005" s="1" t="str">
        <f>"백마 1"</f>
        <v>백마 1</v>
      </c>
      <c r="I13005" s="1" t="s">
        <v>17</v>
      </c>
      <c r="J13005" s="1" t="str">
        <f>"7/7"</f>
        <v>7/7</v>
      </c>
      <c r="K13005" s="1" t="str">
        <f t="shared" ref="K13005:K13012" si="667">"2026-07-29 13:18:13"</f>
        <v>2026-07-29 13:18:13</v>
      </c>
      <c r="L13005" s="1" t="str">
        <f>"2018-10-11 15:33:58"</f>
        <v>2018-10-11 15:33:58</v>
      </c>
      <c r="M13005" s="1" t="s">
        <v>0</v>
      </c>
      <c r="N13005" s="1" t="s">
        <v>38</v>
      </c>
      <c r="O13005" s="1" t="s">
        <v>46</v>
      </c>
    </row>
    <row r="13006" spans="2:15" x14ac:dyDescent="0.3">
      <c r="B13006" s="1" t="s">
        <v>20</v>
      </c>
      <c r="C13006" s="1" t="str">
        <f t="shared" si="666"/>
        <v>4차</v>
      </c>
      <c r="D13006" s="1" t="str">
        <f>"9824E64241"</f>
        <v>9824E64241</v>
      </c>
      <c r="E13006" s="1" t="s">
        <v>10</v>
      </c>
      <c r="F13006" s="1" t="str">
        <f>"10.14.1.45"</f>
        <v>10.14.1.45</v>
      </c>
      <c r="G13006" s="1" t="str">
        <f>"9824E642"</f>
        <v>9824E642</v>
      </c>
      <c r="H13006" s="1" t="str">
        <f>"백범지 5L3R1"</f>
        <v>백범지 5L3R1</v>
      </c>
      <c r="I13006" s="1" t="s">
        <v>17</v>
      </c>
      <c r="J13006" s="1" t="str">
        <f>"47/47"</f>
        <v>47/47</v>
      </c>
      <c r="K13006" s="1" t="str">
        <f t="shared" si="667"/>
        <v>2026-07-29 13:18:13</v>
      </c>
      <c r="L13006" s="1" t="str">
        <f>"2021-08-11 07:28:55"</f>
        <v>2021-08-11 07:28:55</v>
      </c>
      <c r="M13006" s="1" t="s">
        <v>3</v>
      </c>
      <c r="N13006" s="1" t="s">
        <v>38</v>
      </c>
      <c r="O13006" s="1" t="s">
        <v>46</v>
      </c>
    </row>
    <row r="13007" spans="2:15" x14ac:dyDescent="0.3">
      <c r="B13007" s="1" t="s">
        <v>20</v>
      </c>
      <c r="C13007" s="1" t="str">
        <f t="shared" si="666"/>
        <v>4차</v>
      </c>
      <c r="D13007" s="1" t="str">
        <f>"9824E65241"</f>
        <v>9824E65241</v>
      </c>
      <c r="E13007" s="1" t="s">
        <v>10</v>
      </c>
      <c r="F13007" s="1" t="str">
        <f>"10.14.6.114"</f>
        <v>10.14.6.114</v>
      </c>
      <c r="G13007" s="1" t="str">
        <f>"9824E652"</f>
        <v>9824E652</v>
      </c>
      <c r="H13007" s="1" t="str">
        <f>"백범지 5L6L1L1"</f>
        <v>백범지 5L6L1L1</v>
      </c>
      <c r="I13007" s="1" t="s">
        <v>17</v>
      </c>
      <c r="J13007" s="1" t="str">
        <f>"31/41"</f>
        <v>31/41</v>
      </c>
      <c r="K13007" s="1" t="str">
        <f t="shared" si="667"/>
        <v>2026-07-29 13:18:13</v>
      </c>
      <c r="L13007" s="1" t="str">
        <f>"2021-08-10 12:04:19"</f>
        <v>2021-08-10 12:04:19</v>
      </c>
      <c r="M13007" s="1" t="s">
        <v>3</v>
      </c>
      <c r="N13007" s="1" t="s">
        <v>38</v>
      </c>
      <c r="O13007" s="1" t="s">
        <v>46</v>
      </c>
    </row>
    <row r="13008" spans="2:15" x14ac:dyDescent="0.3">
      <c r="B13008" s="1" t="s">
        <v>20</v>
      </c>
      <c r="C13008" s="1" t="str">
        <f t="shared" si="666"/>
        <v>4차</v>
      </c>
      <c r="D13008" s="1" t="str">
        <f>"9824E66241"</f>
        <v>9824E66241</v>
      </c>
      <c r="E13008" s="1" t="s">
        <v>10</v>
      </c>
      <c r="F13008" s="1" t="str">
        <f>"10.14.6.179"</f>
        <v>10.14.6.179</v>
      </c>
      <c r="G13008" s="1" t="str">
        <f>"9824E662"</f>
        <v>9824E662</v>
      </c>
      <c r="H13008" s="1" t="str">
        <f>"백범지 5L6L2R1"</f>
        <v>백범지 5L6L2R1</v>
      </c>
      <c r="I13008" s="1" t="s">
        <v>17</v>
      </c>
      <c r="J13008" s="1" t="str">
        <f>"64/64"</f>
        <v>64/64</v>
      </c>
      <c r="K13008" s="1" t="str">
        <f t="shared" si="667"/>
        <v>2026-07-29 13:18:13</v>
      </c>
      <c r="L13008" s="1" t="str">
        <f>"2021-08-10 08:17:31"</f>
        <v>2021-08-10 08:17:31</v>
      </c>
      <c r="M13008" s="1" t="s">
        <v>3</v>
      </c>
      <c r="N13008" s="1" t="s">
        <v>38</v>
      </c>
      <c r="O13008" s="1" t="s">
        <v>46</v>
      </c>
    </row>
    <row r="13009" spans="2:15" x14ac:dyDescent="0.3">
      <c r="B13009" s="1" t="s">
        <v>20</v>
      </c>
      <c r="C13009" s="1" t="str">
        <f t="shared" si="666"/>
        <v>4차</v>
      </c>
      <c r="D13009" s="1" t="str">
        <f>"9824E66341"</f>
        <v>9824E66341</v>
      </c>
      <c r="E13009" s="1" t="s">
        <v>10</v>
      </c>
      <c r="F13009" s="1" t="str">
        <f>"10.14.2.180"</f>
        <v>10.14.2.180</v>
      </c>
      <c r="G13009" s="1" t="str">
        <f>"9824E663"</f>
        <v>9824E663</v>
      </c>
      <c r="H13009" s="1" t="str">
        <f>"백범지 5L6L3"</f>
        <v>백범지 5L6L3</v>
      </c>
      <c r="I13009" s="1" t="s">
        <v>17</v>
      </c>
      <c r="J13009" s="1" t="str">
        <f>"45/45"</f>
        <v>45/45</v>
      </c>
      <c r="K13009" s="1" t="str">
        <f t="shared" si="667"/>
        <v>2026-07-29 13:18:13</v>
      </c>
      <c r="L13009" s="1" t="str">
        <f>"2021-08-10 07:42:54"</f>
        <v>2021-08-10 07:42:54</v>
      </c>
      <c r="M13009" s="1" t="s">
        <v>3</v>
      </c>
      <c r="N13009" s="1" t="s">
        <v>38</v>
      </c>
      <c r="O13009" s="1" t="s">
        <v>46</v>
      </c>
    </row>
    <row r="13010" spans="2:15" x14ac:dyDescent="0.3">
      <c r="B13010" s="1" t="s">
        <v>20</v>
      </c>
      <c r="C13010" s="1" t="str">
        <f t="shared" si="666"/>
        <v>4차</v>
      </c>
      <c r="D13010" s="1" t="str">
        <f>"9824E74141"</f>
        <v>9824E74141</v>
      </c>
      <c r="E13010" s="1" t="s">
        <v>10</v>
      </c>
      <c r="F13010" s="1" t="str">
        <f>"10.14.8.110"</f>
        <v>10.14.8.110</v>
      </c>
      <c r="G13010" s="1" t="str">
        <f>"9824E741"</f>
        <v>9824E741</v>
      </c>
      <c r="H13010" s="1" t="str">
        <f>"백범지 5L3R3"</f>
        <v>백범지 5L3R3</v>
      </c>
      <c r="I13010" s="1" t="s">
        <v>17</v>
      </c>
      <c r="J13010" s="1" t="str">
        <f>"20/20"</f>
        <v>20/20</v>
      </c>
      <c r="K13010" s="1" t="str">
        <f t="shared" si="667"/>
        <v>2026-07-29 13:18:13</v>
      </c>
      <c r="L13010" s="1" t="str">
        <f>"2021-08-11 06:56:59"</f>
        <v>2021-08-11 06:56:59</v>
      </c>
      <c r="M13010" s="1" t="s">
        <v>3</v>
      </c>
      <c r="N13010" s="1" t="s">
        <v>38</v>
      </c>
      <c r="O13010" s="1" t="s">
        <v>46</v>
      </c>
    </row>
    <row r="13011" spans="2:15" x14ac:dyDescent="0.3">
      <c r="B13011" s="1" t="s">
        <v>20</v>
      </c>
      <c r="C13011" s="1" t="str">
        <f t="shared" si="666"/>
        <v>4차</v>
      </c>
      <c r="D13011" s="1" t="str">
        <f>"9824E75241"</f>
        <v>9824E75241</v>
      </c>
      <c r="E13011" s="1" t="s">
        <v>10</v>
      </c>
      <c r="F13011" s="1" t="str">
        <f>"10.14.7.178"</f>
        <v>10.14.7.178</v>
      </c>
      <c r="G13011" s="1" t="str">
        <f>"9824E752"</f>
        <v>9824E752</v>
      </c>
      <c r="H13011" s="1" t="str">
        <f>"백범지 5L5"</f>
        <v>백범지 5L5</v>
      </c>
      <c r="I13011" s="1" t="s">
        <v>17</v>
      </c>
      <c r="J13011" s="1" t="str">
        <f>"34/38"</f>
        <v>34/38</v>
      </c>
      <c r="K13011" s="1" t="str">
        <f t="shared" si="667"/>
        <v>2026-07-29 13:18:13</v>
      </c>
      <c r="L13011" s="1" t="str">
        <f>"2022-03-18 15:35:36"</f>
        <v>2022-03-18 15:35:36</v>
      </c>
      <c r="M13011" s="1" t="s">
        <v>3</v>
      </c>
      <c r="N13011" s="1" t="s">
        <v>38</v>
      </c>
      <c r="O13011" s="1" t="s">
        <v>46</v>
      </c>
    </row>
    <row r="13012" spans="2:15" x14ac:dyDescent="0.3">
      <c r="B13012" s="1" t="s">
        <v>20</v>
      </c>
      <c r="C13012" s="1" t="str">
        <f t="shared" si="666"/>
        <v>4차</v>
      </c>
      <c r="D13012" s="1" t="str">
        <f>"9824E76241"</f>
        <v>9824E76241</v>
      </c>
      <c r="E13012" s="1" t="s">
        <v>10</v>
      </c>
      <c r="F13012" s="1" t="str">
        <f>"10.14.11.49"</f>
        <v>10.14.11.49</v>
      </c>
      <c r="G13012" s="1" t="str">
        <f>"9824E762"</f>
        <v>9824E762</v>
      </c>
      <c r="H13012" s="1" t="str">
        <f>"백범지 5L8"</f>
        <v>백범지 5L8</v>
      </c>
      <c r="I13012" s="1" t="s">
        <v>17</v>
      </c>
      <c r="J13012" s="1" t="str">
        <f>"44/44"</f>
        <v>44/44</v>
      </c>
      <c r="K13012" s="1" t="str">
        <f t="shared" si="667"/>
        <v>2026-07-29 13:18:13</v>
      </c>
      <c r="L13012" s="1" t="str">
        <f>"2021-08-10 08:59:40"</f>
        <v>2021-08-10 08:59:40</v>
      </c>
      <c r="M13012" s="1" t="s">
        <v>3</v>
      </c>
      <c r="N13012" s="1" t="s">
        <v>38</v>
      </c>
      <c r="O13012" s="1" t="s">
        <v>46</v>
      </c>
    </row>
    <row r="13013" spans="2:15" x14ac:dyDescent="0.3">
      <c r="B13013" s="1" t="s">
        <v>20</v>
      </c>
      <c r="C13013" s="1" t="str">
        <f t="shared" si="666"/>
        <v>4차</v>
      </c>
      <c r="D13013" s="1" t="str">
        <f>"9824E78541"</f>
        <v>9824E78541</v>
      </c>
      <c r="E13013" s="1" t="s">
        <v>10</v>
      </c>
      <c r="F13013" s="1" t="str">
        <f>"10.12.131.72"</f>
        <v>10.12.131.72</v>
      </c>
      <c r="G13013" s="1" t="str">
        <f>"9824E785"</f>
        <v>9824E785</v>
      </c>
      <c r="H13013" s="1" t="str">
        <f>"백범지 5L12L6"</f>
        <v>백범지 5L12L6</v>
      </c>
      <c r="I13013" s="1" t="s">
        <v>17</v>
      </c>
      <c r="J13013" s="1" t="str">
        <f>"20/20"</f>
        <v>20/20</v>
      </c>
      <c r="K13013" s="1" t="str">
        <f>"2026-07-29 13:18:10"</f>
        <v>2026-07-29 13:18:10</v>
      </c>
      <c r="L13013" s="1" t="str">
        <f>"2025-04-07 18:31:12"</f>
        <v>2025-04-07 18:31:12</v>
      </c>
      <c r="M13013" s="1" t="s">
        <v>0</v>
      </c>
      <c r="N13013" s="1" t="s">
        <v>38</v>
      </c>
      <c r="O13013" s="1" t="s">
        <v>46</v>
      </c>
    </row>
    <row r="13014" spans="2:15" x14ac:dyDescent="0.3">
      <c r="B13014" s="1" t="s">
        <v>20</v>
      </c>
      <c r="C13014" s="1" t="str">
        <f t="shared" si="666"/>
        <v>4차</v>
      </c>
      <c r="D13014" s="1" t="str">
        <f>"9824E79141"</f>
        <v>9824E79141</v>
      </c>
      <c r="E13014" s="1" t="s">
        <v>10</v>
      </c>
      <c r="F13014" s="1" t="str">
        <f>"10.14.2.179"</f>
        <v>10.14.2.179</v>
      </c>
      <c r="G13014" s="1" t="str">
        <f>"9824E791"</f>
        <v>9824E791</v>
      </c>
      <c r="H13014" s="1" t="str">
        <f>"백범지 5L12L4"</f>
        <v>백범지 5L12L4</v>
      </c>
      <c r="I13014" s="1" t="s">
        <v>17</v>
      </c>
      <c r="J13014" s="1" t="str">
        <f>"19/22"</f>
        <v>19/22</v>
      </c>
      <c r="K13014" s="1" t="str">
        <f>"2026-07-29 13:18:13"</f>
        <v>2026-07-29 13:18:13</v>
      </c>
      <c r="L13014" s="1" t="str">
        <f>"2021-08-10 10:30:18"</f>
        <v>2021-08-10 10:30:18</v>
      </c>
      <c r="M13014" s="1" t="s">
        <v>3</v>
      </c>
      <c r="N13014" s="1" t="s">
        <v>38</v>
      </c>
      <c r="O13014" s="1" t="s">
        <v>46</v>
      </c>
    </row>
    <row r="13015" spans="2:15" x14ac:dyDescent="0.3">
      <c r="B13015" s="1" t="s">
        <v>20</v>
      </c>
      <c r="C13015" s="1" t="str">
        <f>"5-2차"</f>
        <v>5-2차</v>
      </c>
      <c r="D13015" s="1" t="str">
        <f>"9824E8455M"</f>
        <v>9824E8455M</v>
      </c>
      <c r="E13015" s="1" t="s">
        <v>10</v>
      </c>
      <c r="F13015" s="1" t="str">
        <f>"fde1:103:4:5572:0:0:0:2"</f>
        <v>fde1:103:4:5572:0:0:0:2</v>
      </c>
      <c r="G13015" s="1" t="str">
        <f>"9824E845"</f>
        <v>9824E845</v>
      </c>
      <c r="H13015" s="1" t="str">
        <f>"백범지 7H1L4"</f>
        <v>백범지 7H1L4</v>
      </c>
      <c r="I13015" s="1" t="s">
        <v>15</v>
      </c>
      <c r="J13015" s="1" t="str">
        <f>"59/59"</f>
        <v>59/59</v>
      </c>
      <c r="K13015" s="1" t="str">
        <f>"2026-07-29 14:21:14"</f>
        <v>2026-07-29 14:21:14</v>
      </c>
      <c r="L13015" s="1" t="str">
        <f>"2023-08-31 15:20:04"</f>
        <v>2023-08-31 15:20:04</v>
      </c>
      <c r="M13015" s="1" t="s">
        <v>4</v>
      </c>
      <c r="N13015" s="1" t="s">
        <v>38</v>
      </c>
      <c r="O13015" s="1" t="s">
        <v>46</v>
      </c>
    </row>
    <row r="13016" spans="2:15" x14ac:dyDescent="0.3">
      <c r="B13016" s="1" t="s">
        <v>20</v>
      </c>
      <c r="C13016" s="1" t="str">
        <f>"4차"</f>
        <v>4차</v>
      </c>
      <c r="D13016" s="1" t="str">
        <f>"9824E85141"</f>
        <v>9824E85141</v>
      </c>
      <c r="E13016" s="1" t="s">
        <v>10</v>
      </c>
      <c r="F13016" s="1" t="str">
        <f>"10.14.6.49"</f>
        <v>10.14.6.49</v>
      </c>
      <c r="G13016" s="1" t="str">
        <f>"9824E851"</f>
        <v>9824E851</v>
      </c>
      <c r="H13016" s="1" t="str">
        <f>"백범지 5L15R5"</f>
        <v>백범지 5L15R5</v>
      </c>
      <c r="I13016" s="1" t="s">
        <v>17</v>
      </c>
      <c r="J13016" s="1" t="str">
        <f>"62/64"</f>
        <v>62/64</v>
      </c>
      <c r="K13016" s="1" t="str">
        <f>"2026-07-29 13:18:12"</f>
        <v>2026-07-29 13:18:12</v>
      </c>
      <c r="L13016" s="1" t="str">
        <f>"2021-08-10 07:11:51"</f>
        <v>2021-08-10 07:11:51</v>
      </c>
      <c r="M13016" s="1" t="s">
        <v>3</v>
      </c>
      <c r="N13016" s="1" t="s">
        <v>38</v>
      </c>
      <c r="O13016" s="1" t="s">
        <v>46</v>
      </c>
    </row>
    <row r="13017" spans="2:15" x14ac:dyDescent="0.3">
      <c r="B13017" s="1" t="s">
        <v>20</v>
      </c>
      <c r="C13017" s="1" t="str">
        <f>"4차"</f>
        <v>4차</v>
      </c>
      <c r="D13017" s="1" t="str">
        <f>"9824E87141"</f>
        <v>9824E87141</v>
      </c>
      <c r="E13017" s="1" t="s">
        <v>10</v>
      </c>
      <c r="F13017" s="1" t="str">
        <f>"10.14.13.43"</f>
        <v>10.14.13.43</v>
      </c>
      <c r="G13017" s="1" t="str">
        <f>"9824E871"</f>
        <v>9824E871</v>
      </c>
      <c r="H13017" s="1" t="str">
        <f>"백범지 5L10"</f>
        <v>백범지 5L10</v>
      </c>
      <c r="I13017" s="1" t="s">
        <v>17</v>
      </c>
      <c r="J13017" s="1" t="str">
        <f>"40/40"</f>
        <v>40/40</v>
      </c>
      <c r="K13017" s="1" t="str">
        <f>"2026-07-29 13:18:12"</f>
        <v>2026-07-29 13:18:12</v>
      </c>
      <c r="L13017" s="1" t="str">
        <f>"2021-08-10 07:51:54"</f>
        <v>2021-08-10 07:51:54</v>
      </c>
      <c r="M13017" s="1" t="s">
        <v>3</v>
      </c>
      <c r="N13017" s="1" t="s">
        <v>38</v>
      </c>
      <c r="O13017" s="1" t="s">
        <v>46</v>
      </c>
    </row>
    <row r="13018" spans="2:15" x14ac:dyDescent="0.3">
      <c r="B13018" s="1" t="s">
        <v>20</v>
      </c>
      <c r="C13018" s="1" t="str">
        <f>"4차"</f>
        <v>4차</v>
      </c>
      <c r="D13018" s="1" t="str">
        <f>"9824E88141"</f>
        <v>9824E88141</v>
      </c>
      <c r="E13018" s="1" t="s">
        <v>10</v>
      </c>
      <c r="F13018" s="1" t="str">
        <f>"10.14.5.42"</f>
        <v>10.14.5.42</v>
      </c>
      <c r="G13018" s="1" t="str">
        <f>"9824E881"</f>
        <v>9824E881</v>
      </c>
      <c r="H13018" s="1" t="str">
        <f>"백범지 5L12L2"</f>
        <v>백범지 5L12L2</v>
      </c>
      <c r="I13018" s="1" t="s">
        <v>17</v>
      </c>
      <c r="J13018" s="1" t="str">
        <f>"39/51"</f>
        <v>39/51</v>
      </c>
      <c r="K13018" s="1" t="str">
        <f>"2026-07-29 13:18:12"</f>
        <v>2026-07-29 13:18:12</v>
      </c>
      <c r="L13018" s="1" t="str">
        <f>"2021-08-10 08:41:45"</f>
        <v>2021-08-10 08:41:45</v>
      </c>
      <c r="M13018" s="1" t="s">
        <v>3</v>
      </c>
      <c r="N13018" s="1" t="s">
        <v>38</v>
      </c>
      <c r="O13018" s="1" t="s">
        <v>46</v>
      </c>
    </row>
    <row r="13019" spans="2:15" x14ac:dyDescent="0.3">
      <c r="B13019" s="1" t="s">
        <v>20</v>
      </c>
      <c r="C13019" s="1" t="str">
        <f>"4차"</f>
        <v>4차</v>
      </c>
      <c r="D13019" s="1" t="str">
        <f>"9824E88241"</f>
        <v>9824E88241</v>
      </c>
      <c r="E13019" s="1" t="s">
        <v>10</v>
      </c>
      <c r="F13019" s="1" t="str">
        <f>"10.14.11.109"</f>
        <v>10.14.11.109</v>
      </c>
      <c r="G13019" s="1" t="str">
        <f>"9824E882"</f>
        <v>9824E882</v>
      </c>
      <c r="H13019" s="1" t="str">
        <f>"백범지 5L12L2R1"</f>
        <v>백범지 5L12L2R1</v>
      </c>
      <c r="I13019" s="1" t="s">
        <v>17</v>
      </c>
      <c r="J13019" s="1" t="str">
        <f>"34/34"</f>
        <v>34/34</v>
      </c>
      <c r="K13019" s="1" t="str">
        <f>"2026-07-29 13:18:12"</f>
        <v>2026-07-29 13:18:12</v>
      </c>
      <c r="L13019" s="1" t="str">
        <f>"2021-08-10 09:17:20"</f>
        <v>2021-08-10 09:17:20</v>
      </c>
      <c r="M13019" s="1" t="s">
        <v>3</v>
      </c>
      <c r="N13019" s="1" t="s">
        <v>38</v>
      </c>
      <c r="O13019" s="1" t="s">
        <v>46</v>
      </c>
    </row>
    <row r="13020" spans="2:15" x14ac:dyDescent="0.3">
      <c r="B13020" s="1" t="s">
        <v>20</v>
      </c>
      <c r="C13020" s="1" t="str">
        <f>"1차"</f>
        <v>1차</v>
      </c>
      <c r="D13020" s="1" t="str">
        <f>"9824E91100"</f>
        <v>9824E91100</v>
      </c>
      <c r="E13020" s="1" t="s">
        <v>10</v>
      </c>
      <c r="F13020" s="1" t="str">
        <f>"10.125.229.58"</f>
        <v>10.125.229.58</v>
      </c>
      <c r="G13020" s="1" t="str">
        <f>"9824E911"</f>
        <v>9824E911</v>
      </c>
      <c r="H13020" s="1" t="str">
        <f>"백마간 30"</f>
        <v>백마간 30</v>
      </c>
      <c r="I13020" s="1" t="s">
        <v>8</v>
      </c>
      <c r="J13020" s="1" t="str">
        <f>"27/27"</f>
        <v>27/27</v>
      </c>
      <c r="K13020" s="1" t="str">
        <f>"2026-07-29 13:18:11"</f>
        <v>2026-07-29 13:18:11</v>
      </c>
      <c r="L13020" s="1" t="str">
        <f>"2016-02-05 09:02:13"</f>
        <v>2016-02-05 09:02:13</v>
      </c>
      <c r="M13020" s="1" t="s">
        <v>45</v>
      </c>
      <c r="N13020" s="1" t="s">
        <v>38</v>
      </c>
      <c r="O13020" s="1" t="s">
        <v>46</v>
      </c>
    </row>
    <row r="13021" spans="2:15" x14ac:dyDescent="0.3">
      <c r="B13021" s="1" t="s">
        <v>20</v>
      </c>
      <c r="C13021" s="1" t="str">
        <f>"1차"</f>
        <v>1차</v>
      </c>
      <c r="D13021" s="1" t="str">
        <f>"9824E96100"</f>
        <v>9824E96100</v>
      </c>
      <c r="E13021" s="1" t="s">
        <v>14</v>
      </c>
      <c r="F13021" s="1" t="str">
        <f>"10.125.229.98"</f>
        <v>10.125.229.98</v>
      </c>
      <c r="G13021" s="1" t="str">
        <f>"9824E961"</f>
        <v>9824E961</v>
      </c>
      <c r="H13021" s="1" t="str">
        <f>"백범지 5L15R3"</f>
        <v>백범지 5L15R3</v>
      </c>
      <c r="I13021" s="1" t="s">
        <v>8</v>
      </c>
      <c r="J13021" s="1" t="str">
        <f>"0/0"</f>
        <v>0/0</v>
      </c>
      <c r="K13021" s="1" t="str">
        <f>"2026-06-25 07:18:12"</f>
        <v>2026-06-25 07:18:12</v>
      </c>
      <c r="L13021" s="1" t="str">
        <f>"2014-11-27 16:54:27"</f>
        <v>2014-11-27 16:54:27</v>
      </c>
      <c r="M13021" s="1" t="s">
        <v>45</v>
      </c>
      <c r="N13021" s="1" t="s">
        <v>44</v>
      </c>
      <c r="O13021" s="1" t="s">
        <v>44</v>
      </c>
    </row>
    <row r="13022" spans="2:15" x14ac:dyDescent="0.3">
      <c r="B13022" s="1" t="s">
        <v>20</v>
      </c>
      <c r="C13022" s="1" t="str">
        <f>"1차"</f>
        <v>1차</v>
      </c>
      <c r="D13022" s="1" t="str">
        <f>"9824E96201"</f>
        <v>9824E96201</v>
      </c>
      <c r="E13022" s="1" t="s">
        <v>10</v>
      </c>
      <c r="F13022" s="1" t="str">
        <f>"10.12.129.248"</f>
        <v>10.12.129.248</v>
      </c>
      <c r="G13022" s="1" t="str">
        <f>"9824E962"</f>
        <v>9824E962</v>
      </c>
      <c r="H13022" s="1" t="str">
        <f>"백범지 5L15R3R1"</f>
        <v>백범지 5L15R3R1</v>
      </c>
      <c r="I13022" s="1" t="s">
        <v>8</v>
      </c>
      <c r="J13022" s="1" t="str">
        <f>"9/9"</f>
        <v>9/9</v>
      </c>
      <c r="K13022" s="1" t="str">
        <f>"2026-07-29 13:18:12"</f>
        <v>2026-07-29 13:18:12</v>
      </c>
      <c r="L13022" s="1" t="str">
        <f>"2014-11-25 16:32:57"</f>
        <v>2014-11-25 16:32:57</v>
      </c>
      <c r="M13022" s="1" t="s">
        <v>0</v>
      </c>
      <c r="N13022" s="1" t="s">
        <v>38</v>
      </c>
      <c r="O13022" s="1" t="s">
        <v>46</v>
      </c>
    </row>
    <row r="13023" spans="2:15" x14ac:dyDescent="0.3">
      <c r="B13023" s="1" t="s">
        <v>20</v>
      </c>
      <c r="C13023" s="1" t="str">
        <f>"1차"</f>
        <v>1차</v>
      </c>
      <c r="D13023" s="1" t="str">
        <f>"9824E97100"</f>
        <v>9824E97100</v>
      </c>
      <c r="E13023" s="1" t="s">
        <v>10</v>
      </c>
      <c r="F13023" s="1" t="str">
        <f>"10.125.229.90"</f>
        <v>10.125.229.90</v>
      </c>
      <c r="G13023" s="1" t="str">
        <f>"9824E971"</f>
        <v>9824E971</v>
      </c>
      <c r="H13023" s="1" t="str">
        <f>"백범지 5L13"</f>
        <v>백범지 5L13</v>
      </c>
      <c r="I13023" s="1" t="s">
        <v>8</v>
      </c>
      <c r="J13023" s="1" t="str">
        <f>"32/32"</f>
        <v>32/32</v>
      </c>
      <c r="K13023" s="1" t="str">
        <f>"2026-07-29 13:18:11"</f>
        <v>2026-07-29 13:18:11</v>
      </c>
      <c r="L13023" s="1" t="str">
        <f>"2014-11-21 17:43:58"</f>
        <v>2014-11-21 17:43:58</v>
      </c>
      <c r="M13023" s="1" t="s">
        <v>45</v>
      </c>
      <c r="N13023" s="1" t="s">
        <v>38</v>
      </c>
      <c r="O13023" s="1" t="s">
        <v>46</v>
      </c>
    </row>
    <row r="13024" spans="2:15" x14ac:dyDescent="0.3">
      <c r="B13024" s="1" t="s">
        <v>20</v>
      </c>
      <c r="C13024" s="1" t="str">
        <f>"4차"</f>
        <v>4차</v>
      </c>
      <c r="D13024" s="1" t="str">
        <f>"9824E97341"</f>
        <v>9824E97341</v>
      </c>
      <c r="E13024" s="1" t="s">
        <v>10</v>
      </c>
      <c r="F13024" s="1" t="str">
        <f>"10.14.12.181"</f>
        <v>10.14.12.181</v>
      </c>
      <c r="G13024" s="1" t="str">
        <f>"9824E973"</f>
        <v>9824E973</v>
      </c>
      <c r="H13024" s="1" t="str">
        <f>"백범지 5L12"</f>
        <v>백범지 5L12</v>
      </c>
      <c r="I13024" s="1" t="s">
        <v>17</v>
      </c>
      <c r="J13024" s="1" t="str">
        <f>"26/26"</f>
        <v>26/26</v>
      </c>
      <c r="K13024" s="1" t="str">
        <f>"2026-07-29 13:18:12"</f>
        <v>2026-07-29 13:18:12</v>
      </c>
      <c r="L13024" s="1" t="str">
        <f>"2021-08-10 09:54:53"</f>
        <v>2021-08-10 09:54:53</v>
      </c>
      <c r="M13024" s="1" t="s">
        <v>3</v>
      </c>
      <c r="N13024" s="1" t="s">
        <v>38</v>
      </c>
      <c r="O13024" s="1" t="s">
        <v>46</v>
      </c>
    </row>
    <row r="13025" spans="2:15" x14ac:dyDescent="0.3">
      <c r="B13025" s="1" t="s">
        <v>20</v>
      </c>
      <c r="C13025" s="1" t="str">
        <f>"1차"</f>
        <v>1차</v>
      </c>
      <c r="D13025" s="1" t="str">
        <f>"9824F06301"</f>
        <v>9824F06301</v>
      </c>
      <c r="E13025" s="1" t="s">
        <v>14</v>
      </c>
      <c r="F13025" s="1" t="str">
        <f>"10.14.15.127"</f>
        <v>10.14.15.127</v>
      </c>
      <c r="G13025" s="1" t="str">
        <f>"9824F063"</f>
        <v>9824F063</v>
      </c>
      <c r="H13025" s="1" t="str">
        <f>"백범지 5L15R2"</f>
        <v>백범지 5L15R2</v>
      </c>
      <c r="I13025" s="1" t="s">
        <v>8</v>
      </c>
      <c r="J13025" s="1" t="str">
        <f>"0/0"</f>
        <v>0/0</v>
      </c>
      <c r="K13025" s="1" t="str">
        <f>"2024-07-10 18:22:02"</f>
        <v>2024-07-10 18:22:02</v>
      </c>
      <c r="L13025" s="1" t="str">
        <f>"2014-11-21 17:48:08"</f>
        <v>2014-11-21 17:48:08</v>
      </c>
      <c r="M13025" s="1" t="s">
        <v>3</v>
      </c>
      <c r="N13025" s="1" t="s">
        <v>39</v>
      </c>
      <c r="O13025" s="1" t="s">
        <v>46</v>
      </c>
    </row>
    <row r="13026" spans="2:15" x14ac:dyDescent="0.3">
      <c r="B13026" s="1" t="s">
        <v>20</v>
      </c>
      <c r="C13026" s="1" t="str">
        <f>"6차"</f>
        <v>6차</v>
      </c>
      <c r="D13026" s="1" t="str">
        <f>"9824F1226S"</f>
        <v>9824F1226S</v>
      </c>
      <c r="E13026" s="1" t="s">
        <v>10</v>
      </c>
      <c r="F13026" s="1" t="str">
        <f>"fde3:102:1301:3a00:0:0:0:3"</f>
        <v>fde3:102:1301:3a00:0:0:0:3</v>
      </c>
      <c r="G13026" s="1" t="str">
        <f>"9824F122"</f>
        <v>9824F122</v>
      </c>
      <c r="H13026" s="1" t="str">
        <f>"백범지 12R1L7R3"</f>
        <v>백범지 12R1L7R3</v>
      </c>
      <c r="I13026" s="1" t="s">
        <v>15</v>
      </c>
      <c r="J13026" s="1" t="str">
        <f>"45/46"</f>
        <v>45/46</v>
      </c>
      <c r="K13026" s="1" t="str">
        <f>"2026-07-29 02:20:38"</f>
        <v>2026-07-29 02:20:38</v>
      </c>
      <c r="L13026" s="1" t="str">
        <f>"2024-12-02 13:27:50"</f>
        <v>2024-12-02 13:27:50</v>
      </c>
      <c r="M13026" s="1" t="s">
        <v>45</v>
      </c>
      <c r="N13026" s="1" t="s">
        <v>38</v>
      </c>
      <c r="O13026" s="1" t="s">
        <v>46</v>
      </c>
    </row>
    <row r="13027" spans="2:15" x14ac:dyDescent="0.3">
      <c r="B13027" s="1" t="s">
        <v>20</v>
      </c>
      <c r="C13027" s="1" t="str">
        <f>"1차"</f>
        <v>1차</v>
      </c>
      <c r="D13027" s="1" t="str">
        <f>"9824F16100"</f>
        <v>9824F16100</v>
      </c>
      <c r="E13027" s="1" t="s">
        <v>10</v>
      </c>
      <c r="F13027" s="1" t="str">
        <f>"10.125.229.106"</f>
        <v>10.125.229.106</v>
      </c>
      <c r="G13027" s="1" t="str">
        <f>"9824F161"</f>
        <v>9824F161</v>
      </c>
      <c r="H13027" s="1" t="str">
        <f>"백범지 22"</f>
        <v>백범지 22</v>
      </c>
      <c r="I13027" s="1" t="s">
        <v>8</v>
      </c>
      <c r="J13027" s="1" t="str">
        <f>"18/18"</f>
        <v>18/18</v>
      </c>
      <c r="K13027" s="1" t="str">
        <f>"2026-07-29 13:18:11"</f>
        <v>2026-07-29 13:18:11</v>
      </c>
      <c r="L13027" s="1" t="str">
        <f>"2014-11-21 14:04:03"</f>
        <v>2014-11-21 14:04:03</v>
      </c>
      <c r="M13027" s="1" t="s">
        <v>45</v>
      </c>
      <c r="N13027" s="1" t="s">
        <v>38</v>
      </c>
      <c r="O13027" s="1" t="s">
        <v>46</v>
      </c>
    </row>
    <row r="13028" spans="2:15" x14ac:dyDescent="0.3">
      <c r="B13028" s="1" t="s">
        <v>20</v>
      </c>
      <c r="C13028" s="1" t="str">
        <f>"5-2차"</f>
        <v>5-2차</v>
      </c>
      <c r="D13028" s="1" t="str">
        <f>"9824F2315M"</f>
        <v>9824F2315M</v>
      </c>
      <c r="E13028" s="1" t="s">
        <v>10</v>
      </c>
      <c r="F13028" s="1" t="str">
        <f>"fde1:103:4:5627:0:0:0:2"</f>
        <v>fde1:103:4:5627:0:0:0:2</v>
      </c>
      <c r="G13028" s="1" t="str">
        <f>"9824F231"</f>
        <v>9824F231</v>
      </c>
      <c r="H13028" s="1" t="str">
        <f>"백범지 12R1L7"</f>
        <v>백범지 12R1L7</v>
      </c>
      <c r="I13028" s="1" t="s">
        <v>15</v>
      </c>
      <c r="J13028" s="1" t="str">
        <f>"47/47"</f>
        <v>47/47</v>
      </c>
      <c r="K13028" s="1" t="str">
        <f>"2026-07-29 14:21:14"</f>
        <v>2026-07-29 14:21:14</v>
      </c>
      <c r="L13028" s="1" t="str">
        <f>"2023-08-31 15:30:19"</f>
        <v>2023-08-31 15:30:19</v>
      </c>
      <c r="M13028" s="1" t="s">
        <v>4</v>
      </c>
      <c r="N13028" s="1" t="s">
        <v>38</v>
      </c>
      <c r="O13028" s="1" t="s">
        <v>46</v>
      </c>
    </row>
    <row r="13029" spans="2:15" x14ac:dyDescent="0.3">
      <c r="B13029" s="1" t="s">
        <v>20</v>
      </c>
      <c r="C13029" s="1" t="s">
        <v>16</v>
      </c>
      <c r="D13029" s="1" t="str">
        <f>"9824F25241"</f>
        <v>9824F25241</v>
      </c>
      <c r="E13029" s="1" t="s">
        <v>10</v>
      </c>
      <c r="F13029" s="1" t="str">
        <f>"10.14.12.129"</f>
        <v>10.14.12.129</v>
      </c>
      <c r="G13029" s="1" t="str">
        <f>"9824F252"</f>
        <v>9824F252</v>
      </c>
      <c r="H13029" s="1" t="str">
        <f>"백범지 21R1R1R1"</f>
        <v>백범지 21R1R1R1</v>
      </c>
      <c r="I13029" s="1" t="s">
        <v>17</v>
      </c>
      <c r="J13029" s="1" t="str">
        <f>"9/15"</f>
        <v>9/15</v>
      </c>
      <c r="K13029" s="1" t="str">
        <f>"2026-07-29 13:18:12"</f>
        <v>2026-07-29 13:18:12</v>
      </c>
      <c r="L13029" s="1" t="str">
        <f>"2022-11-14 10:51:50"</f>
        <v>2022-11-14 10:51:50</v>
      </c>
      <c r="M13029" s="1" t="s">
        <v>3</v>
      </c>
      <c r="N13029" s="1" t="s">
        <v>38</v>
      </c>
      <c r="O13029" s="1" t="s">
        <v>46</v>
      </c>
    </row>
    <row r="13030" spans="2:15" x14ac:dyDescent="0.3">
      <c r="B13030" s="1" t="s">
        <v>20</v>
      </c>
      <c r="C13030" s="1" t="str">
        <f>"6차"</f>
        <v>6차</v>
      </c>
      <c r="D13030" s="1" t="str">
        <f>"9824F2616M"</f>
        <v>9824F2616M</v>
      </c>
      <c r="E13030" s="1" t="s">
        <v>10</v>
      </c>
      <c r="F13030" s="1" t="str">
        <f>"fde1:103:4:c786:0:0:0:2"</f>
        <v>fde1:103:4:c786:0:0:0:2</v>
      </c>
      <c r="G13030" s="1" t="str">
        <f>"9824F261"</f>
        <v>9824F261</v>
      </c>
      <c r="H13030" s="1" t="str">
        <f>"백범지 21R1"</f>
        <v>백범지 21R1</v>
      </c>
      <c r="I13030" s="1" t="s">
        <v>15</v>
      </c>
      <c r="J13030" s="1" t="str">
        <f>"43/43"</f>
        <v>43/43</v>
      </c>
      <c r="K13030" s="1" t="str">
        <f>"2026-07-29 14:21:18"</f>
        <v>2026-07-29 14:21:18</v>
      </c>
      <c r="L13030" s="1" t="str">
        <f>"2024-11-25 10:50:28"</f>
        <v>2024-11-25 10:50:28</v>
      </c>
      <c r="M13030" s="1" t="s">
        <v>4</v>
      </c>
      <c r="N13030" s="1" t="s">
        <v>38</v>
      </c>
      <c r="O13030" s="1" t="s">
        <v>46</v>
      </c>
    </row>
    <row r="13031" spans="2:15" x14ac:dyDescent="0.3">
      <c r="B13031" s="1" t="s">
        <v>20</v>
      </c>
      <c r="C13031" s="1" t="str">
        <f>"6차"</f>
        <v>6차</v>
      </c>
      <c r="D13031" s="1" t="str">
        <f>"9824F2746M"</f>
        <v>9824F2746M</v>
      </c>
      <c r="E13031" s="1" t="s">
        <v>10</v>
      </c>
      <c r="F13031" s="1" t="str">
        <f>"fde1:103:4:c7bd:0:0:0:2"</f>
        <v>fde1:103:4:c7bd:0:0:0:2</v>
      </c>
      <c r="G13031" s="1" t="str">
        <f>"9824F274"</f>
        <v>9824F274</v>
      </c>
      <c r="H13031" s="1" t="str">
        <f>"백범지 22R3"</f>
        <v>백범지 22R3</v>
      </c>
      <c r="I13031" s="1" t="s">
        <v>15</v>
      </c>
      <c r="J13031" s="1" t="str">
        <f>"52/52"</f>
        <v>52/52</v>
      </c>
      <c r="K13031" s="1" t="str">
        <f>"2026-07-29 14:21:23"</f>
        <v>2026-07-29 14:21:23</v>
      </c>
      <c r="L13031" s="1" t="str">
        <f>"2024-11-25 10:51:18"</f>
        <v>2024-11-25 10:51:18</v>
      </c>
      <c r="M13031" s="1" t="s">
        <v>4</v>
      </c>
      <c r="N13031" s="1" t="s">
        <v>38</v>
      </c>
      <c r="O13031" s="1" t="s">
        <v>46</v>
      </c>
    </row>
    <row r="13032" spans="2:15" x14ac:dyDescent="0.3">
      <c r="B13032" s="1" t="s">
        <v>20</v>
      </c>
      <c r="C13032" s="1" t="str">
        <f>"1차"</f>
        <v>1차</v>
      </c>
      <c r="D13032" s="1" t="str">
        <f>"9824F29100"</f>
        <v>9824F29100</v>
      </c>
      <c r="E13032" s="1" t="s">
        <v>10</v>
      </c>
      <c r="F13032" s="1" t="str">
        <f>"10.125.227.170"</f>
        <v>10.125.227.170</v>
      </c>
      <c r="G13032" s="1" t="str">
        <f>"9824F291"</f>
        <v>9824F291</v>
      </c>
      <c r="H13032" s="1" t="str">
        <f>"백범지 26"</f>
        <v>백범지 26</v>
      </c>
      <c r="I13032" s="1" t="s">
        <v>8</v>
      </c>
      <c r="J13032" s="1" t="str">
        <f>"16/16"</f>
        <v>16/16</v>
      </c>
      <c r="K13032" s="1" t="str">
        <f>"2026-07-29 13:18:11"</f>
        <v>2026-07-29 13:18:11</v>
      </c>
      <c r="L13032" s="1" t="str">
        <f>"2014-11-24 11:27:11"</f>
        <v>2014-11-24 11:27:11</v>
      </c>
      <c r="M13032" s="1" t="s">
        <v>45</v>
      </c>
      <c r="N13032" s="1" t="s">
        <v>38</v>
      </c>
      <c r="O13032" s="1" t="s">
        <v>46</v>
      </c>
    </row>
    <row r="13033" spans="2:15" x14ac:dyDescent="0.3">
      <c r="B13033" s="1" t="s">
        <v>20</v>
      </c>
      <c r="C13033" s="1" t="str">
        <f>"5-2차"</f>
        <v>5-2차</v>
      </c>
      <c r="D13033" s="1" t="str">
        <f>"9824F3315M"</f>
        <v>9824F3315M</v>
      </c>
      <c r="E13033" s="1" t="s">
        <v>10</v>
      </c>
      <c r="F13033" s="1" t="str">
        <f>"fde1:103:4:565a:0:0:0:2"</f>
        <v>fde1:103:4:565a:0:0:0:2</v>
      </c>
      <c r="G13033" s="1" t="str">
        <f>"9824F331"</f>
        <v>9824F331</v>
      </c>
      <c r="H13033" s="1" t="str">
        <f>"백범지 12R1L9"</f>
        <v>백범지 12R1L9</v>
      </c>
      <c r="I13033" s="1" t="s">
        <v>15</v>
      </c>
      <c r="J13033" s="1" t="str">
        <f>"41/41"</f>
        <v>41/41</v>
      </c>
      <c r="K13033" s="1" t="str">
        <f>"2026-07-29 14:21:21"</f>
        <v>2026-07-29 14:21:21</v>
      </c>
      <c r="L13033" s="1" t="str">
        <f>"2023-08-31 15:39:58"</f>
        <v>2023-08-31 15:39:58</v>
      </c>
      <c r="M13033" s="1" t="s">
        <v>4</v>
      </c>
      <c r="N13033" s="1" t="s">
        <v>38</v>
      </c>
      <c r="O13033" s="1" t="s">
        <v>46</v>
      </c>
    </row>
    <row r="13034" spans="2:15" x14ac:dyDescent="0.3">
      <c r="B13034" s="1" t="s">
        <v>20</v>
      </c>
      <c r="C13034" s="1" t="str">
        <f>"4차"</f>
        <v>4차</v>
      </c>
      <c r="D13034" s="1" t="str">
        <f>"9824F34141"</f>
        <v>9824F34141</v>
      </c>
      <c r="E13034" s="1" t="s">
        <v>10</v>
      </c>
      <c r="F13034" s="1" t="str">
        <f>"10.14.10.44"</f>
        <v>10.14.10.44</v>
      </c>
      <c r="G13034" s="1" t="str">
        <f>"9824F341"</f>
        <v>9824F341</v>
      </c>
      <c r="H13034" s="1" t="str">
        <f>"백범지 12R1L10"</f>
        <v>백범지 12R1L10</v>
      </c>
      <c r="I13034" s="1" t="s">
        <v>17</v>
      </c>
      <c r="J13034" s="1" t="str">
        <f>"67/69"</f>
        <v>67/69</v>
      </c>
      <c r="K13034" s="1" t="str">
        <f>"2026-07-29 13:18:12"</f>
        <v>2026-07-29 13:18:12</v>
      </c>
      <c r="L13034" s="1" t="str">
        <f>"2021-08-11 13:28:26"</f>
        <v>2021-08-11 13:28:26</v>
      </c>
      <c r="M13034" s="1" t="s">
        <v>3</v>
      </c>
      <c r="N13034" s="1" t="s">
        <v>38</v>
      </c>
      <c r="O13034" s="1" t="s">
        <v>46</v>
      </c>
    </row>
    <row r="13035" spans="2:15" x14ac:dyDescent="0.3">
      <c r="B13035" s="1" t="s">
        <v>20</v>
      </c>
      <c r="C13035" s="1" t="str">
        <f>"5-2차"</f>
        <v>5-2차</v>
      </c>
      <c r="D13035" s="1" t="str">
        <f>"9824F3525M"</f>
        <v>9824F3525M</v>
      </c>
      <c r="E13035" s="1" t="s">
        <v>10</v>
      </c>
      <c r="F13035" s="1" t="str">
        <f>"fde1:103:4:5579:0:0:0:2"</f>
        <v>fde1:103:4:5579:0:0:0:2</v>
      </c>
      <c r="G13035" s="1" t="str">
        <f>"9824F352"</f>
        <v>9824F352</v>
      </c>
      <c r="H13035" s="1" t="str">
        <f>"백범지 21R2R2"</f>
        <v>백범지 21R2R2</v>
      </c>
      <c r="I13035" s="1" t="s">
        <v>15</v>
      </c>
      <c r="J13035" s="1" t="str">
        <f>"38/38"</f>
        <v>38/38</v>
      </c>
      <c r="K13035" s="1" t="str">
        <f>"2026-07-29 14:21:14"</f>
        <v>2026-07-29 14:21:14</v>
      </c>
      <c r="L13035" s="1" t="str">
        <f>"2023-08-31 15:57:01"</f>
        <v>2023-08-31 15:57:01</v>
      </c>
      <c r="M13035" s="1" t="s">
        <v>4</v>
      </c>
      <c r="N13035" s="1" t="s">
        <v>38</v>
      </c>
      <c r="O13035" s="1" t="s">
        <v>46</v>
      </c>
    </row>
    <row r="13036" spans="2:15" x14ac:dyDescent="0.3">
      <c r="B13036" s="1" t="s">
        <v>20</v>
      </c>
      <c r="C13036" s="1" t="str">
        <f>"1차"</f>
        <v>1차</v>
      </c>
      <c r="D13036" s="1" t="str">
        <f>"9824F38100"</f>
        <v>9824F38100</v>
      </c>
      <c r="E13036" s="1" t="s">
        <v>10</v>
      </c>
      <c r="F13036" s="1" t="str">
        <f>"10.125.229.66"</f>
        <v>10.125.229.66</v>
      </c>
      <c r="G13036" s="1" t="str">
        <f>"9824F381"</f>
        <v>9824F381</v>
      </c>
      <c r="H13036" s="1" t="str">
        <f>"백범지 22R4"</f>
        <v>백범지 22R4</v>
      </c>
      <c r="I13036" s="1" t="s">
        <v>8</v>
      </c>
      <c r="J13036" s="1" t="str">
        <f>"74/74"</f>
        <v>74/74</v>
      </c>
      <c r="K13036" s="1" t="str">
        <f>"2026-07-29 13:18:12"</f>
        <v>2026-07-29 13:18:12</v>
      </c>
      <c r="L13036" s="1" t="str">
        <f>"2014-11-21 14:06:01"</f>
        <v>2014-11-21 14:06:01</v>
      </c>
      <c r="M13036" s="1" t="s">
        <v>45</v>
      </c>
      <c r="N13036" s="1" t="s">
        <v>38</v>
      </c>
      <c r="O13036" s="1" t="s">
        <v>46</v>
      </c>
    </row>
    <row r="13037" spans="2:15" x14ac:dyDescent="0.3">
      <c r="B13037" s="1" t="s">
        <v>20</v>
      </c>
      <c r="C13037" s="1" t="str">
        <f>"1차"</f>
        <v>1차</v>
      </c>
      <c r="D13037" s="1" t="str">
        <f>"9824F38301"</f>
        <v>9824F38301</v>
      </c>
      <c r="E13037" s="1" t="s">
        <v>10</v>
      </c>
      <c r="F13037" s="1" t="str">
        <f>"10.125.229.67"</f>
        <v>10.125.229.67</v>
      </c>
      <c r="G13037" s="1" t="str">
        <f>"9824F383"</f>
        <v>9824F383</v>
      </c>
      <c r="H13037" s="1" t="str">
        <f>"백범지 22R5"</f>
        <v>백범지 22R5</v>
      </c>
      <c r="I13037" s="1" t="s">
        <v>8</v>
      </c>
      <c r="J13037" s="1" t="str">
        <f>"43/43"</f>
        <v>43/43</v>
      </c>
      <c r="K13037" s="1" t="str">
        <f>"2026-07-29 13:18:12"</f>
        <v>2026-07-29 13:18:12</v>
      </c>
      <c r="L13037" s="1" t="str">
        <f>"2014-11-21 14:07:27"</f>
        <v>2014-11-21 14:07:27</v>
      </c>
      <c r="M13037" s="1" t="s">
        <v>45</v>
      </c>
      <c r="N13037" s="1" t="s">
        <v>38</v>
      </c>
      <c r="O13037" s="1" t="s">
        <v>46</v>
      </c>
    </row>
    <row r="13038" spans="2:15" x14ac:dyDescent="0.3">
      <c r="B13038" s="1" t="s">
        <v>20</v>
      </c>
      <c r="C13038" s="1" t="str">
        <f>"5-1차"</f>
        <v>5-1차</v>
      </c>
      <c r="D13038" s="1" t="str">
        <f>"9824F3915M"</f>
        <v>9824F3915M</v>
      </c>
      <c r="E13038" s="1" t="s">
        <v>10</v>
      </c>
      <c r="F13038" s="1" t="str">
        <f>"fde3:102:1301:2e00:0:0:0:2"</f>
        <v>fde3:102:1301:2e00:0:0:0:2</v>
      </c>
      <c r="G13038" s="1" t="str">
        <f>"9824F391"</f>
        <v>9824F391</v>
      </c>
      <c r="H13038" s="1" t="str">
        <f>"백범지 27"</f>
        <v>백범지 27</v>
      </c>
      <c r="I13038" s="1" t="s">
        <v>15</v>
      </c>
      <c r="J13038" s="1" t="str">
        <f>"65/66"</f>
        <v>65/66</v>
      </c>
      <c r="K13038" s="1" t="str">
        <f>"2026-07-29 14:21:14"</f>
        <v>2026-07-29 14:21:14</v>
      </c>
      <c r="L13038" s="1" t="str">
        <f>"2022-11-08 16:29:19"</f>
        <v>2022-11-08 16:29:19</v>
      </c>
      <c r="M13038" s="1" t="s">
        <v>45</v>
      </c>
      <c r="N13038" s="1" t="s">
        <v>38</v>
      </c>
      <c r="O13038" s="1" t="s">
        <v>46</v>
      </c>
    </row>
    <row r="13039" spans="2:15" x14ac:dyDescent="0.3">
      <c r="B13039" s="1" t="s">
        <v>20</v>
      </c>
      <c r="C13039" s="1" t="str">
        <f>"5-2차"</f>
        <v>5-2차</v>
      </c>
      <c r="D13039" s="1" t="str">
        <f>"9824F4415M"</f>
        <v>9824F4415M</v>
      </c>
      <c r="E13039" s="1" t="s">
        <v>10</v>
      </c>
      <c r="F13039" s="1" t="str">
        <f>"fde1:103:4:55fd:0:0:0:2"</f>
        <v>fde1:103:4:55fd:0:0:0:2</v>
      </c>
      <c r="G13039" s="1" t="str">
        <f>"9824F441"</f>
        <v>9824F441</v>
      </c>
      <c r="H13039" s="1" t="str">
        <f>"백범지 21R6"</f>
        <v>백범지 21R6</v>
      </c>
      <c r="I13039" s="1" t="s">
        <v>15</v>
      </c>
      <c r="J13039" s="1" t="str">
        <f>"25/25"</f>
        <v>25/25</v>
      </c>
      <c r="K13039" s="1" t="str">
        <f>"2026-07-29 14:21:14"</f>
        <v>2026-07-29 14:21:14</v>
      </c>
      <c r="L13039" s="1" t="str">
        <f>"2024-04-23 18:03:54"</f>
        <v>2024-04-23 18:03:54</v>
      </c>
      <c r="M13039" s="1" t="s">
        <v>4</v>
      </c>
      <c r="N13039" s="1" t="s">
        <v>38</v>
      </c>
      <c r="O13039" s="1" t="s">
        <v>46</v>
      </c>
    </row>
    <row r="13040" spans="2:15" x14ac:dyDescent="0.3">
      <c r="B13040" s="1" t="s">
        <v>20</v>
      </c>
      <c r="C13040" s="1" t="str">
        <f>"1차"</f>
        <v>1차</v>
      </c>
      <c r="D13040" s="1" t="str">
        <f>"9824F46100"</f>
        <v>9824F46100</v>
      </c>
      <c r="E13040" s="1" t="s">
        <v>10</v>
      </c>
      <c r="F13040" s="1" t="str">
        <f>"10.125.229.82"</f>
        <v>10.125.229.82</v>
      </c>
      <c r="G13040" s="1" t="str">
        <f>"9824F461"</f>
        <v>9824F461</v>
      </c>
      <c r="H13040" s="1" t="str">
        <f>"백범지 21R3"</f>
        <v>백범지 21R3</v>
      </c>
      <c r="I13040" s="1" t="s">
        <v>8</v>
      </c>
      <c r="J13040" s="1" t="str">
        <f>"31/31"</f>
        <v>31/31</v>
      </c>
      <c r="K13040" s="1" t="str">
        <f>"2026-07-29 13:18:12"</f>
        <v>2026-07-29 13:18:12</v>
      </c>
      <c r="L13040" s="1" t="str">
        <f>"2014-11-21 14:08:36"</f>
        <v>2014-11-21 14:08:36</v>
      </c>
      <c r="M13040" s="1" t="s">
        <v>45</v>
      </c>
      <c r="N13040" s="1" t="s">
        <v>38</v>
      </c>
      <c r="O13040" s="1" t="s">
        <v>46</v>
      </c>
    </row>
    <row r="13041" spans="2:15" x14ac:dyDescent="0.3">
      <c r="B13041" s="1" t="s">
        <v>20</v>
      </c>
      <c r="C13041" s="1" t="str">
        <f>"5-1차"</f>
        <v>5-1차</v>
      </c>
      <c r="D13041" s="1" t="str">
        <f>"9824F4915M"</f>
        <v>9824F4915M</v>
      </c>
      <c r="E13041" s="1" t="s">
        <v>10</v>
      </c>
      <c r="F13041" s="1" t="str">
        <f>"fde3:102:1301:2e00:0:0:0:3"</f>
        <v>fde3:102:1301:2e00:0:0:0:3</v>
      </c>
      <c r="G13041" s="1" t="str">
        <f>"9824F491"</f>
        <v>9824F491</v>
      </c>
      <c r="H13041" s="1" t="str">
        <f>"백범지 29"</f>
        <v>백범지 29</v>
      </c>
      <c r="I13041" s="1" t="s">
        <v>15</v>
      </c>
      <c r="J13041" s="1" t="str">
        <f>"48/48"</f>
        <v>48/48</v>
      </c>
      <c r="K13041" s="1" t="str">
        <f>"2026-07-29 14:21:21"</f>
        <v>2026-07-29 14:21:21</v>
      </c>
      <c r="L13041" s="1" t="str">
        <f>"2022-11-08 16:29:24"</f>
        <v>2022-11-08 16:29:24</v>
      </c>
      <c r="M13041" s="1" t="s">
        <v>45</v>
      </c>
      <c r="N13041" s="1" t="s">
        <v>38</v>
      </c>
      <c r="O13041" s="1" t="s">
        <v>46</v>
      </c>
    </row>
    <row r="13042" spans="2:15" x14ac:dyDescent="0.3">
      <c r="B13042" s="1" t="s">
        <v>20</v>
      </c>
      <c r="C13042" s="1" t="str">
        <f>"4차"</f>
        <v>4차</v>
      </c>
      <c r="D13042" s="1" t="str">
        <f>"9824F55141"</f>
        <v>9824F55141</v>
      </c>
      <c r="E13042" s="1" t="s">
        <v>10</v>
      </c>
      <c r="F13042" s="1" t="str">
        <f>"10.14.12.44"</f>
        <v>10.14.12.44</v>
      </c>
      <c r="G13042" s="1" t="str">
        <f>"9824F551"</f>
        <v>9824F551</v>
      </c>
      <c r="H13042" s="1" t="str">
        <f>"백범지 21R8"</f>
        <v>백범지 21R8</v>
      </c>
      <c r="I13042" s="1" t="s">
        <v>17</v>
      </c>
      <c r="J13042" s="1" t="str">
        <f>"37/37"</f>
        <v>37/37</v>
      </c>
      <c r="K13042" s="1" t="str">
        <f>"2026-07-29 13:18:12"</f>
        <v>2026-07-29 13:18:12</v>
      </c>
      <c r="L13042" s="1" t="str">
        <f>"2021-08-11 14:09:14"</f>
        <v>2021-08-11 14:09:14</v>
      </c>
      <c r="M13042" s="1" t="s">
        <v>3</v>
      </c>
      <c r="N13042" s="1" t="s">
        <v>38</v>
      </c>
      <c r="O13042" s="1" t="s">
        <v>46</v>
      </c>
    </row>
    <row r="13043" spans="2:15" x14ac:dyDescent="0.3">
      <c r="B13043" s="1" t="s">
        <v>20</v>
      </c>
      <c r="C13043" s="1" t="str">
        <f>"5-2차"</f>
        <v>5-2차</v>
      </c>
      <c r="D13043" s="1" t="str">
        <f>"9824F5925M"</f>
        <v>9824F5925M</v>
      </c>
      <c r="E13043" s="1" t="s">
        <v>10</v>
      </c>
      <c r="F13043" s="1" t="str">
        <f>"fde1:103:4:565c:0:0:0:2"</f>
        <v>fde1:103:4:565c:0:0:0:2</v>
      </c>
      <c r="G13043" s="1" t="str">
        <f>"9824F592"</f>
        <v>9824F592</v>
      </c>
      <c r="H13043" s="1" t="str">
        <f>"백범지 31"</f>
        <v>백범지 31</v>
      </c>
      <c r="I13043" s="1" t="s">
        <v>15</v>
      </c>
      <c r="J13043" s="1" t="str">
        <f>"116/116"</f>
        <v>116/116</v>
      </c>
      <c r="K13043" s="1" t="str">
        <f>"2026-07-29 14:21:15"</f>
        <v>2026-07-29 14:21:15</v>
      </c>
      <c r="L13043" s="1" t="str">
        <f>"2023-08-31 16:53:51"</f>
        <v>2023-08-31 16:53:51</v>
      </c>
      <c r="M13043" s="1" t="s">
        <v>4</v>
      </c>
      <c r="N13043" s="1" t="s">
        <v>38</v>
      </c>
      <c r="O13043" s="1" t="s">
        <v>46</v>
      </c>
    </row>
    <row r="13044" spans="2:15" x14ac:dyDescent="0.3">
      <c r="B13044" s="1" t="s">
        <v>20</v>
      </c>
      <c r="C13044" s="1" t="str">
        <f>"4차"</f>
        <v>4차</v>
      </c>
      <c r="D13044" s="1" t="str">
        <f>"9824F61144"</f>
        <v>9824F61144</v>
      </c>
      <c r="E13044" s="1" t="s">
        <v>18</v>
      </c>
      <c r="F13044" s="1" t="str">
        <f>"10.10.136.234"</f>
        <v>10.10.136.234</v>
      </c>
      <c r="G13044" s="1" t="str">
        <f>"9824F611"</f>
        <v>9824F611</v>
      </c>
      <c r="H13044" s="1" t="str">
        <f>"백범지 12R7L3"</f>
        <v>백범지 12R7L3</v>
      </c>
      <c r="I13044" s="1" t="s">
        <v>8</v>
      </c>
      <c r="J13044" s="1" t="str">
        <f>"0/54"</f>
        <v>0/54</v>
      </c>
      <c r="K13044" s="1" t="str">
        <f>"2026-07-25 13:18:11"</f>
        <v>2026-07-25 13:18:11</v>
      </c>
      <c r="L13044" s="1" t="str">
        <f>"2020-01-21 16:46:32"</f>
        <v>2020-01-21 16:46:32</v>
      </c>
      <c r="M13044" s="1" t="s">
        <v>1</v>
      </c>
      <c r="N13044" s="1" t="s">
        <v>38</v>
      </c>
      <c r="O13044" s="1" t="s">
        <v>46</v>
      </c>
    </row>
    <row r="13045" spans="2:15" x14ac:dyDescent="0.3">
      <c r="B13045" s="1" t="s">
        <v>20</v>
      </c>
      <c r="C13045" s="1" t="str">
        <f>"4차"</f>
        <v>4차</v>
      </c>
      <c r="D13045" s="1" t="str">
        <f>"9824F63144"</f>
        <v>9824F63144</v>
      </c>
      <c r="E13045" s="1" t="s">
        <v>10</v>
      </c>
      <c r="F13045" s="1" t="str">
        <f>"10.10.136.242"</f>
        <v>10.10.136.242</v>
      </c>
      <c r="G13045" s="1" t="str">
        <f>"9824F631"</f>
        <v>9824F631</v>
      </c>
      <c r="H13045" s="1" t="str">
        <f>"백범지 31R7R6"</f>
        <v>백범지 31R7R6</v>
      </c>
      <c r="I13045" s="1" t="s">
        <v>8</v>
      </c>
      <c r="J13045" s="1" t="str">
        <f>"93/93"</f>
        <v>93/93</v>
      </c>
      <c r="K13045" s="1" t="str">
        <f>"2026-07-29 13:18:12"</f>
        <v>2026-07-29 13:18:12</v>
      </c>
      <c r="L13045" s="1" t="str">
        <f>"2020-01-21 16:40:48"</f>
        <v>2020-01-21 16:40:48</v>
      </c>
      <c r="M13045" s="1" t="s">
        <v>1</v>
      </c>
      <c r="N13045" s="1" t="s">
        <v>38</v>
      </c>
      <c r="O13045" s="1" t="s">
        <v>46</v>
      </c>
    </row>
    <row r="13046" spans="2:15" x14ac:dyDescent="0.3">
      <c r="B13046" s="1" t="s">
        <v>20</v>
      </c>
      <c r="C13046" s="1" t="str">
        <f>"5-2차"</f>
        <v>5-2차</v>
      </c>
      <c r="D13046" s="1" t="str">
        <f>"9824F6635M"</f>
        <v>9824F6635M</v>
      </c>
      <c r="E13046" s="1" t="s">
        <v>10</v>
      </c>
      <c r="F13046" s="1" t="str">
        <f>"fde1:103:4:5571:0:0:0:2"</f>
        <v>fde1:103:4:5571:0:0:0:2</v>
      </c>
      <c r="G13046" s="1" t="str">
        <f>"9824F663"</f>
        <v>9824F663</v>
      </c>
      <c r="H13046" s="1" t="str">
        <f>"백범지 31R4"</f>
        <v>백범지 31R4</v>
      </c>
      <c r="I13046" s="1" t="s">
        <v>15</v>
      </c>
      <c r="J13046" s="1" t="str">
        <f>"100/100"</f>
        <v>100/100</v>
      </c>
      <c r="K13046" s="1" t="str">
        <f>"2026-07-29 14:21:15"</f>
        <v>2026-07-29 14:21:15</v>
      </c>
      <c r="L13046" s="1" t="str">
        <f>"2023-08-31 17:09:20"</f>
        <v>2023-08-31 17:09:20</v>
      </c>
      <c r="M13046" s="1" t="s">
        <v>4</v>
      </c>
      <c r="N13046" s="1" t="s">
        <v>38</v>
      </c>
      <c r="O13046" s="1" t="s">
        <v>46</v>
      </c>
    </row>
    <row r="13047" spans="2:15" x14ac:dyDescent="0.3">
      <c r="B13047" s="1" t="s">
        <v>20</v>
      </c>
      <c r="C13047" s="1" t="str">
        <f>"5-1차"</f>
        <v>5-1차</v>
      </c>
      <c r="D13047" s="1" t="str">
        <f>"9824F6945M"</f>
        <v>9824F6945M</v>
      </c>
      <c r="E13047" s="1" t="s">
        <v>10</v>
      </c>
      <c r="F13047" s="1" t="str">
        <f>"fde3:102:1301:2e00:0:0:0:4"</f>
        <v>fde3:102:1301:2e00:0:0:0:4</v>
      </c>
      <c r="G13047" s="1" t="str">
        <f>"9824F694"</f>
        <v>9824F694</v>
      </c>
      <c r="H13047" s="1" t="str">
        <f>"백범지 32"</f>
        <v>백범지 32</v>
      </c>
      <c r="I13047" s="1" t="s">
        <v>15</v>
      </c>
      <c r="J13047" s="1" t="str">
        <f>"45/48"</f>
        <v>45/48</v>
      </c>
      <c r="K13047" s="1" t="str">
        <f>"2026-07-29 14:21:21"</f>
        <v>2026-07-29 14:21:21</v>
      </c>
      <c r="L13047" s="1" t="str">
        <f>"2022-11-16 14:26:50"</f>
        <v>2022-11-16 14:26:50</v>
      </c>
      <c r="M13047" s="1" t="s">
        <v>45</v>
      </c>
      <c r="N13047" s="1" t="s">
        <v>38</v>
      </c>
      <c r="O13047" s="1" t="s">
        <v>46</v>
      </c>
    </row>
    <row r="13048" spans="2:15" x14ac:dyDescent="0.3">
      <c r="B13048" s="1" t="s">
        <v>20</v>
      </c>
      <c r="C13048" s="1" t="str">
        <f>"3차"</f>
        <v>3차</v>
      </c>
      <c r="D13048" s="1" t="str">
        <f>"9824F70139"</f>
        <v>9824F70139</v>
      </c>
      <c r="E13048" s="1" t="s">
        <v>10</v>
      </c>
      <c r="F13048" s="1" t="str">
        <f>"10.12.129.137"</f>
        <v>10.12.129.137</v>
      </c>
      <c r="G13048" s="1" t="str">
        <f>"9824F701"</f>
        <v>9824F701</v>
      </c>
      <c r="H13048" s="1" t="str">
        <f>"백범지 12R7L5R3"</f>
        <v>백범지 12R7L5R3</v>
      </c>
      <c r="I13048" s="1" t="s">
        <v>8</v>
      </c>
      <c r="J13048" s="1" t="str">
        <f>"13/13"</f>
        <v>13/13</v>
      </c>
      <c r="K13048" s="1" t="str">
        <f>"2026-07-29 13:18:15"</f>
        <v>2026-07-29 13:18:15</v>
      </c>
      <c r="L13048" s="1" t="str">
        <f>"2023-05-10 16:35:45"</f>
        <v>2023-05-10 16:35:45</v>
      </c>
      <c r="M13048" s="1" t="s">
        <v>0</v>
      </c>
      <c r="N13048" s="1" t="s">
        <v>38</v>
      </c>
      <c r="O13048" s="1" t="s">
        <v>46</v>
      </c>
    </row>
    <row r="13049" spans="2:15" x14ac:dyDescent="0.3">
      <c r="B13049" s="1" t="s">
        <v>20</v>
      </c>
      <c r="C13049" s="1" t="str">
        <f>"5-2차"</f>
        <v>5-2차</v>
      </c>
      <c r="D13049" s="1" t="str">
        <f>"9824F7415M"</f>
        <v>9824F7415M</v>
      </c>
      <c r="E13049" s="1" t="s">
        <v>10</v>
      </c>
      <c r="F13049" s="1" t="str">
        <f>"fde3:102:1301:3a00:0:0:0:2"</f>
        <v>fde3:102:1301:3a00:0:0:0:2</v>
      </c>
      <c r="G13049" s="1" t="str">
        <f>"9824F741"</f>
        <v>9824F741</v>
      </c>
      <c r="H13049" s="1" t="str">
        <f>"백범지 31R8"</f>
        <v>백범지 31R8</v>
      </c>
      <c r="I13049" s="1" t="s">
        <v>15</v>
      </c>
      <c r="J13049" s="1" t="str">
        <f>"48/48"</f>
        <v>48/48</v>
      </c>
      <c r="K13049" s="1" t="str">
        <f>"2026-07-29 14:21:14"</f>
        <v>2026-07-29 14:21:14</v>
      </c>
      <c r="L13049" s="1" t="str">
        <f>"2023-11-23 11:19:42"</f>
        <v>2023-11-23 11:19:42</v>
      </c>
      <c r="M13049" s="1" t="s">
        <v>45</v>
      </c>
      <c r="N13049" s="1" t="s">
        <v>38</v>
      </c>
      <c r="O13049" s="1" t="s">
        <v>46</v>
      </c>
    </row>
    <row r="13050" spans="2:15" x14ac:dyDescent="0.3">
      <c r="B13050" s="1" t="s">
        <v>20</v>
      </c>
      <c r="C13050" s="1" t="str">
        <f>"4차"</f>
        <v>4차</v>
      </c>
      <c r="D13050" s="1" t="str">
        <f>"9824F74244"</f>
        <v>9824F74244</v>
      </c>
      <c r="E13050" s="1" t="s">
        <v>10</v>
      </c>
      <c r="F13050" s="1" t="str">
        <f>"10.10.136.250"</f>
        <v>10.10.136.250</v>
      </c>
      <c r="G13050" s="1" t="str">
        <f>"9824F742"</f>
        <v>9824F742</v>
      </c>
      <c r="H13050" s="1" t="str">
        <f>"백범지 31R9"</f>
        <v>백범지 31R9</v>
      </c>
      <c r="I13050" s="1" t="s">
        <v>8</v>
      </c>
      <c r="J13050" s="1" t="str">
        <f>"51/51"</f>
        <v>51/51</v>
      </c>
      <c r="K13050" s="1" t="str">
        <f>"2026-07-29 13:18:12"</f>
        <v>2026-07-29 13:18:12</v>
      </c>
      <c r="L13050" s="1" t="str">
        <f>"2020-01-21 16:44:15"</f>
        <v>2020-01-21 16:44:15</v>
      </c>
      <c r="M13050" s="1" t="s">
        <v>1</v>
      </c>
      <c r="N13050" s="1" t="s">
        <v>38</v>
      </c>
      <c r="O13050" s="1" t="s">
        <v>46</v>
      </c>
    </row>
    <row r="13051" spans="2:15" x14ac:dyDescent="0.3">
      <c r="B13051" s="1" t="s">
        <v>20</v>
      </c>
      <c r="C13051" s="1" t="str">
        <f>"4차"</f>
        <v>4차</v>
      </c>
      <c r="D13051" s="1" t="str">
        <f>"9824F75244"</f>
        <v>9824F75244</v>
      </c>
      <c r="E13051" s="1" t="s">
        <v>10</v>
      </c>
      <c r="F13051" s="1" t="str">
        <f>"10.10.137.2"</f>
        <v>10.10.137.2</v>
      </c>
      <c r="G13051" s="1" t="str">
        <f>"9824F752"</f>
        <v>9824F752</v>
      </c>
      <c r="H13051" s="1" t="str">
        <f>"백범지 31R9L2L1"</f>
        <v>백범지 31R9L2L1</v>
      </c>
      <c r="I13051" s="1" t="s">
        <v>8</v>
      </c>
      <c r="J13051" s="1" t="str">
        <f>"21/21"</f>
        <v>21/21</v>
      </c>
      <c r="K13051" s="1" t="str">
        <f>"2026-07-29 13:18:12"</f>
        <v>2026-07-29 13:18:12</v>
      </c>
      <c r="L13051" s="1" t="str">
        <f>"2020-01-21 16:48:35"</f>
        <v>2020-01-21 16:48:35</v>
      </c>
      <c r="M13051" s="1" t="s">
        <v>1</v>
      </c>
      <c r="N13051" s="1" t="s">
        <v>38</v>
      </c>
      <c r="O13051" s="1" t="s">
        <v>46</v>
      </c>
    </row>
    <row r="13052" spans="2:15" x14ac:dyDescent="0.3">
      <c r="B13052" s="1" t="s">
        <v>20</v>
      </c>
      <c r="C13052" s="1" t="str">
        <f>"4차"</f>
        <v>4차</v>
      </c>
      <c r="D13052" s="1" t="str">
        <f>"9824F83144"</f>
        <v>9824F83144</v>
      </c>
      <c r="E13052" s="1" t="s">
        <v>10</v>
      </c>
      <c r="F13052" s="1" t="str">
        <f>"10.10.137.10"</f>
        <v>10.10.137.10</v>
      </c>
      <c r="G13052" s="1" t="str">
        <f>"9824F831"</f>
        <v>9824F831</v>
      </c>
      <c r="H13052" s="1" t="str">
        <f>"백범지 12R7L9"</f>
        <v>백범지 12R7L9</v>
      </c>
      <c r="I13052" s="1" t="s">
        <v>8</v>
      </c>
      <c r="J13052" s="1" t="str">
        <f>"20/26"</f>
        <v>20/26</v>
      </c>
      <c r="K13052" s="1" t="str">
        <f>"2026-07-29 13:18:12"</f>
        <v>2026-07-29 13:18:12</v>
      </c>
      <c r="L13052" s="1" t="str">
        <f>"2020-01-21 16:40:32"</f>
        <v>2020-01-21 16:40:32</v>
      </c>
      <c r="M13052" s="1" t="s">
        <v>1</v>
      </c>
      <c r="N13052" s="1" t="s">
        <v>38</v>
      </c>
      <c r="O13052" s="1" t="s">
        <v>46</v>
      </c>
    </row>
    <row r="13053" spans="2:15" x14ac:dyDescent="0.3">
      <c r="B13053" s="1" t="s">
        <v>20</v>
      </c>
      <c r="C13053" s="1" t="str">
        <f>"4차"</f>
        <v>4차</v>
      </c>
      <c r="D13053" s="1" t="str">
        <f>"9824F83244"</f>
        <v>9824F83244</v>
      </c>
      <c r="E13053" s="1" t="s">
        <v>10</v>
      </c>
      <c r="F13053" s="1" t="str">
        <f>"10.125.239.74"</f>
        <v>10.125.239.74</v>
      </c>
      <c r="G13053" s="1" t="str">
        <f>"9824F832"</f>
        <v>9824F832</v>
      </c>
      <c r="H13053" s="1" t="str">
        <f>"백범지 12R7L8"</f>
        <v>백범지 12R7L8</v>
      </c>
      <c r="I13053" s="1" t="s">
        <v>8</v>
      </c>
      <c r="J13053" s="1" t="str">
        <f>"36/36"</f>
        <v>36/36</v>
      </c>
      <c r="K13053" s="1" t="str">
        <f>"2026-07-29 13:18:12"</f>
        <v>2026-07-29 13:18:12</v>
      </c>
      <c r="L13053" s="1" t="str">
        <f>"2020-01-30 14:24:42"</f>
        <v>2020-01-30 14:24:42</v>
      </c>
      <c r="M13053" s="1" t="s">
        <v>45</v>
      </c>
      <c r="N13053" s="1" t="s">
        <v>38</v>
      </c>
      <c r="O13053" s="1" t="s">
        <v>46</v>
      </c>
    </row>
    <row r="13054" spans="2:15" x14ac:dyDescent="0.3">
      <c r="B13054" s="1" t="s">
        <v>20</v>
      </c>
      <c r="C13054" s="1" t="str">
        <f>"4차"</f>
        <v>4차</v>
      </c>
      <c r="D13054" s="1" t="str">
        <f>"9824F85144"</f>
        <v>9824F85144</v>
      </c>
      <c r="E13054" s="1" t="s">
        <v>10</v>
      </c>
      <c r="F13054" s="1" t="str">
        <f>"10.10.137.26"</f>
        <v>10.10.137.26</v>
      </c>
      <c r="G13054" s="1" t="str">
        <f>"9824F851"</f>
        <v>9824F851</v>
      </c>
      <c r="H13054" s="1" t="str">
        <f>"백범지 31R9L2"</f>
        <v>백범지 31R9L2</v>
      </c>
      <c r="I13054" s="1" t="s">
        <v>8</v>
      </c>
      <c r="J13054" s="1" t="str">
        <f>"29/29"</f>
        <v>29/29</v>
      </c>
      <c r="K13054" s="1" t="str">
        <f>"2026-07-29 13:18:12"</f>
        <v>2026-07-29 13:18:12</v>
      </c>
      <c r="L13054" s="1" t="str">
        <f>"2020-01-21 16:50:09"</f>
        <v>2020-01-21 16:50:09</v>
      </c>
      <c r="M13054" s="1" t="s">
        <v>1</v>
      </c>
      <c r="N13054" s="1" t="s">
        <v>38</v>
      </c>
      <c r="O13054" s="1" t="s">
        <v>46</v>
      </c>
    </row>
    <row r="13055" spans="2:15" x14ac:dyDescent="0.3">
      <c r="B13055" s="1" t="s">
        <v>20</v>
      </c>
      <c r="C13055" s="1" t="str">
        <f>"5-1차"</f>
        <v>5-1차</v>
      </c>
      <c r="D13055" s="1" t="str">
        <f>"9824F8525M"</f>
        <v>9824F8525M</v>
      </c>
      <c r="E13055" s="1" t="s">
        <v>10</v>
      </c>
      <c r="F13055" s="1" t="str">
        <f>"fde2:104:0:a7:0:0:0:2"</f>
        <v>fde2:104:0:a7:0:0:0:2</v>
      </c>
      <c r="G13055" s="1" t="str">
        <f>"9824F852"</f>
        <v>9824F852</v>
      </c>
      <c r="H13055" s="1" t="str">
        <f>"백범지 12R7L11L4"</f>
        <v>백범지 12R7L11L4</v>
      </c>
      <c r="I13055" s="1" t="s">
        <v>15</v>
      </c>
      <c r="J13055" s="1" t="str">
        <f>"62/63"</f>
        <v>62/63</v>
      </c>
      <c r="K13055" s="1" t="str">
        <f>"2026-07-29 14:21:22"</f>
        <v>2026-07-29 14:21:22</v>
      </c>
      <c r="L13055" s="1" t="str">
        <f>"2022-09-30 10:54:44"</f>
        <v>2022-09-30 10:54:44</v>
      </c>
      <c r="M13055" s="1" t="s">
        <v>42</v>
      </c>
      <c r="N13055" s="1" t="s">
        <v>38</v>
      </c>
      <c r="O13055" s="1" t="s">
        <v>46</v>
      </c>
    </row>
    <row r="13056" spans="2:15" x14ac:dyDescent="0.3">
      <c r="B13056" s="1" t="s">
        <v>20</v>
      </c>
      <c r="C13056" s="1" t="s">
        <v>16</v>
      </c>
      <c r="D13056" s="1" t="str">
        <f>"9824F90200"</f>
        <v>9824F90200</v>
      </c>
      <c r="E13056" s="1" t="s">
        <v>10</v>
      </c>
      <c r="F13056" s="1" t="str">
        <f>"10.125.226.2"</f>
        <v>10.125.226.2</v>
      </c>
      <c r="G13056" s="1" t="str">
        <f>"9824F902"</f>
        <v>9824F902</v>
      </c>
      <c r="H13056" s="1" t="str">
        <f>"백범지 12R7L5R6"</f>
        <v>백범지 12R7L5R6</v>
      </c>
      <c r="I13056" s="1" t="s">
        <v>8</v>
      </c>
      <c r="J13056" s="1" t="str">
        <f>"33/33"</f>
        <v>33/33</v>
      </c>
      <c r="K13056" s="1" t="str">
        <f>"2026-07-29 13:18:12"</f>
        <v>2026-07-29 13:18:12</v>
      </c>
      <c r="L13056" s="1" t="str">
        <f>"2022-08-24 17:38:46"</f>
        <v>2022-08-24 17:38:46</v>
      </c>
      <c r="M13056" s="1" t="s">
        <v>45</v>
      </c>
      <c r="N13056" s="1" t="s">
        <v>38</v>
      </c>
      <c r="O13056" s="1" t="s">
        <v>46</v>
      </c>
    </row>
    <row r="13057" spans="2:15" x14ac:dyDescent="0.3">
      <c r="B13057" s="1" t="s">
        <v>20</v>
      </c>
      <c r="C13057" s="1" t="str">
        <f>"4차"</f>
        <v>4차</v>
      </c>
      <c r="D13057" s="1" t="str">
        <f>"9824F91244"</f>
        <v>9824F91244</v>
      </c>
      <c r="E13057" s="1" t="s">
        <v>10</v>
      </c>
      <c r="F13057" s="1" t="str">
        <f>"10.10.137.34"</f>
        <v>10.10.137.34</v>
      </c>
      <c r="G13057" s="1" t="str">
        <f>"9824F912"</f>
        <v>9824F912</v>
      </c>
      <c r="H13057" s="1" t="str">
        <f>"백범지 12R7L5R7"</f>
        <v>백범지 12R7L5R7</v>
      </c>
      <c r="I13057" s="1" t="s">
        <v>8</v>
      </c>
      <c r="J13057" s="1" t="str">
        <f>"27/27"</f>
        <v>27/27</v>
      </c>
      <c r="K13057" s="1" t="str">
        <f>"2026-07-29 13:18:12"</f>
        <v>2026-07-29 13:18:12</v>
      </c>
      <c r="L13057" s="1" t="str">
        <f>"2020-01-06 15:27:40"</f>
        <v>2020-01-06 15:27:40</v>
      </c>
      <c r="M13057" s="1" t="s">
        <v>1</v>
      </c>
      <c r="N13057" s="1" t="s">
        <v>38</v>
      </c>
      <c r="O13057" s="1" t="s">
        <v>46</v>
      </c>
    </row>
    <row r="13058" spans="2:15" x14ac:dyDescent="0.3">
      <c r="B13058" s="1" t="s">
        <v>20</v>
      </c>
      <c r="C13058" s="1" t="str">
        <f>"6차"</f>
        <v>6차</v>
      </c>
      <c r="D13058" s="1" t="str">
        <f>"9824F9236M"</f>
        <v>9824F9236M</v>
      </c>
      <c r="E13058" s="1" t="s">
        <v>10</v>
      </c>
      <c r="F13058" s="1" t="str">
        <f>"fde1:103:4:c85a:0:0:0:2"</f>
        <v>fde1:103:4:c85a:0:0:0:2</v>
      </c>
      <c r="G13058" s="1" t="str">
        <f>"9824F923"</f>
        <v>9824F923</v>
      </c>
      <c r="H13058" s="1" t="str">
        <f>"백범지 12R7L5R9"</f>
        <v>백범지 12R7L5R9</v>
      </c>
      <c r="I13058" s="1" t="s">
        <v>15</v>
      </c>
      <c r="J13058" s="1" t="str">
        <f>"115/115"</f>
        <v>115/115</v>
      </c>
      <c r="K13058" s="1" t="str">
        <f>"2026-07-29 14:21:21"</f>
        <v>2026-07-29 14:21:21</v>
      </c>
      <c r="L13058" s="1" t="str">
        <f>"2024-12-10 16:17:35"</f>
        <v>2024-12-10 16:17:35</v>
      </c>
      <c r="M13058" s="1" t="s">
        <v>4</v>
      </c>
      <c r="N13058" s="1" t="s">
        <v>38</v>
      </c>
      <c r="O13058" s="1" t="s">
        <v>46</v>
      </c>
    </row>
    <row r="13059" spans="2:15" x14ac:dyDescent="0.3">
      <c r="B13059" s="1" t="s">
        <v>20</v>
      </c>
      <c r="C13059" s="1" t="str">
        <f>"4차"</f>
        <v>4차</v>
      </c>
      <c r="D13059" s="1" t="str">
        <f>"9824F94144"</f>
        <v>9824F94144</v>
      </c>
      <c r="E13059" s="1" t="s">
        <v>10</v>
      </c>
      <c r="F13059" s="1" t="str">
        <f>"10.10.137.42"</f>
        <v>10.10.137.42</v>
      </c>
      <c r="G13059" s="1" t="str">
        <f>"9824F941"</f>
        <v>9824F941</v>
      </c>
      <c r="H13059" s="1" t="str">
        <f>"백범지 12R7L10"</f>
        <v>백범지 12R7L10</v>
      </c>
      <c r="I13059" s="1" t="s">
        <v>8</v>
      </c>
      <c r="J13059" s="1" t="str">
        <f>"14/14"</f>
        <v>14/14</v>
      </c>
      <c r="K13059" s="1" t="str">
        <f>"2026-07-29 13:18:12"</f>
        <v>2026-07-29 13:18:12</v>
      </c>
      <c r="L13059" s="1" t="str">
        <f>"2020-01-21 16:43:09"</f>
        <v>2020-01-21 16:43:09</v>
      </c>
      <c r="M13059" s="1" t="s">
        <v>1</v>
      </c>
      <c r="N13059" s="1" t="s">
        <v>38</v>
      </c>
      <c r="O13059" s="1" t="s">
        <v>46</v>
      </c>
    </row>
    <row r="13060" spans="2:15" x14ac:dyDescent="0.3">
      <c r="B13060" s="1" t="s">
        <v>20</v>
      </c>
      <c r="C13060" s="1" t="str">
        <f>"4차"</f>
        <v>4차</v>
      </c>
      <c r="D13060" s="1" t="str">
        <f>"9824F94344"</f>
        <v>9824F94344</v>
      </c>
      <c r="E13060" s="1" t="s">
        <v>10</v>
      </c>
      <c r="F13060" s="1" t="str">
        <f>"10.125.239.66"</f>
        <v>10.125.239.66</v>
      </c>
      <c r="G13060" s="1" t="str">
        <f>"9824F943"</f>
        <v>9824F943</v>
      </c>
      <c r="H13060" s="1" t="str">
        <f>"백범지 12R7L12"</f>
        <v>백범지 12R7L12</v>
      </c>
      <c r="I13060" s="1" t="s">
        <v>8</v>
      </c>
      <c r="J13060" s="1" t="str">
        <f>"11/11"</f>
        <v>11/11</v>
      </c>
      <c r="K13060" s="1" t="str">
        <f>"2026-07-28 20:03:17"</f>
        <v>2026-07-28 20:03:17</v>
      </c>
      <c r="L13060" s="1" t="str">
        <f>"2020-01-08 16:09:08"</f>
        <v>2020-01-08 16:09:08</v>
      </c>
      <c r="M13060" s="1" t="s">
        <v>45</v>
      </c>
      <c r="N13060" s="1" t="s">
        <v>38</v>
      </c>
      <c r="O13060" s="1" t="s">
        <v>46</v>
      </c>
    </row>
    <row r="13061" spans="2:15" x14ac:dyDescent="0.3">
      <c r="B13061" s="1" t="s">
        <v>20</v>
      </c>
      <c r="C13061" s="1" t="str">
        <f>"4차"</f>
        <v>4차</v>
      </c>
      <c r="D13061" s="1" t="str">
        <f>"9824F94544"</f>
        <v>9824F94544</v>
      </c>
      <c r="E13061" s="1" t="s">
        <v>10</v>
      </c>
      <c r="F13061" s="1" t="str">
        <f>"10.10.137.58"</f>
        <v>10.10.137.58</v>
      </c>
      <c r="G13061" s="1" t="str">
        <f>"9824F945"</f>
        <v>9824F945</v>
      </c>
      <c r="H13061" s="1" t="str">
        <f>"백범지 12R7L11L1"</f>
        <v>백범지 12R7L11L1</v>
      </c>
      <c r="I13061" s="1" t="s">
        <v>8</v>
      </c>
      <c r="J13061" s="1" t="str">
        <f>"2/3"</f>
        <v>2/3</v>
      </c>
      <c r="K13061" s="1" t="str">
        <f>"2026-07-29 13:18:12"</f>
        <v>2026-07-29 13:18:12</v>
      </c>
      <c r="L13061" s="1" t="str">
        <f>"2020-01-06 16:45:47"</f>
        <v>2020-01-06 16:45:47</v>
      </c>
      <c r="M13061" s="1" t="s">
        <v>1</v>
      </c>
      <c r="N13061" s="1" t="s">
        <v>38</v>
      </c>
      <c r="O13061" s="1" t="s">
        <v>46</v>
      </c>
    </row>
    <row r="13062" spans="2:15" x14ac:dyDescent="0.3">
      <c r="B13062" s="1" t="s">
        <v>20</v>
      </c>
      <c r="C13062" s="1" t="str">
        <f>"5-2차"</f>
        <v>5-2차</v>
      </c>
      <c r="D13062" s="1" t="str">
        <f>"9824F9515M"</f>
        <v>9824F9515M</v>
      </c>
      <c r="E13062" s="1" t="s">
        <v>10</v>
      </c>
      <c r="F13062" s="1" t="str">
        <f>"fde3:102:1301:4503:0:0:0:2"</f>
        <v>fde3:102:1301:4503:0:0:0:2</v>
      </c>
      <c r="G13062" s="1" t="str">
        <f>"9824F951"</f>
        <v>9824F951</v>
      </c>
      <c r="H13062" s="1" t="str">
        <f>"백범지 12R7L11L3"</f>
        <v>백범지 12R7L11L3</v>
      </c>
      <c r="I13062" s="1" t="s">
        <v>15</v>
      </c>
      <c r="J13062" s="1" t="str">
        <f>"121/121"</f>
        <v>121/121</v>
      </c>
      <c r="K13062" s="1" t="str">
        <f>"2026-07-29 14:21:16"</f>
        <v>2026-07-29 14:21:16</v>
      </c>
      <c r="L13062" s="1" t="str">
        <f>"2023-11-23 14:02:56"</f>
        <v>2023-11-23 14:02:56</v>
      </c>
      <c r="M13062" s="1" t="s">
        <v>45</v>
      </c>
      <c r="N13062" s="1" t="s">
        <v>38</v>
      </c>
      <c r="O13062" s="1" t="s">
        <v>46</v>
      </c>
    </row>
    <row r="13063" spans="2:15" x14ac:dyDescent="0.3">
      <c r="B13063" s="1" t="s">
        <v>20</v>
      </c>
      <c r="C13063" s="1" t="str">
        <f>"5-2차"</f>
        <v>5-2차</v>
      </c>
      <c r="D13063" s="1" t="str">
        <f>"9824G0015M"</f>
        <v>9824G0015M</v>
      </c>
      <c r="E13063" s="1" t="s">
        <v>10</v>
      </c>
      <c r="F13063" s="1" t="str">
        <f>"fde1:103:4:55ec:0:0:0:2"</f>
        <v>fde1:103:4:55ec:0:0:0:2</v>
      </c>
      <c r="G13063" s="1" t="str">
        <f>"9824G001"</f>
        <v>9824G001</v>
      </c>
      <c r="H13063" s="1" t="str">
        <f>"도원지 9R21"</f>
        <v>도원지 9R21</v>
      </c>
      <c r="I13063" s="1" t="s">
        <v>15</v>
      </c>
      <c r="J13063" s="1" t="str">
        <f>"43/45"</f>
        <v>43/45</v>
      </c>
      <c r="K13063" s="1" t="str">
        <f>"2026-07-29 14:21:15"</f>
        <v>2026-07-29 14:21:15</v>
      </c>
      <c r="L13063" s="1" t="str">
        <f>"2023-08-31 17:21:58"</f>
        <v>2023-08-31 17:21:58</v>
      </c>
      <c r="M13063" s="1" t="s">
        <v>4</v>
      </c>
      <c r="N13063" s="1" t="s">
        <v>38</v>
      </c>
      <c r="O13063" s="1" t="s">
        <v>46</v>
      </c>
    </row>
    <row r="13064" spans="2:15" x14ac:dyDescent="0.3">
      <c r="B13064" s="1" t="s">
        <v>20</v>
      </c>
      <c r="C13064" s="1" t="str">
        <f>"5-1차"</f>
        <v>5-1차</v>
      </c>
      <c r="D13064" s="1" t="str">
        <f>"9824G0115M"</f>
        <v>9824G0115M</v>
      </c>
      <c r="E13064" s="1" t="s">
        <v>10</v>
      </c>
      <c r="F13064" s="1" t="str">
        <f>"fde3:102:1301:4b00:0:0:0:2"</f>
        <v>fde3:102:1301:4b00:0:0:0:2</v>
      </c>
      <c r="G13064" s="1" t="str">
        <f>"9824G011"</f>
        <v>9824G011</v>
      </c>
      <c r="H13064" s="1" t="str">
        <f>"도원지 9R20"</f>
        <v>도원지 9R20</v>
      </c>
      <c r="I13064" s="1" t="s">
        <v>15</v>
      </c>
      <c r="J13064" s="1" t="str">
        <f>"19/28"</f>
        <v>19/28</v>
      </c>
      <c r="K13064" s="1" t="str">
        <f>"2026-07-29 14:21:21"</f>
        <v>2026-07-29 14:21:21</v>
      </c>
      <c r="L13064" s="1" t="str">
        <f>"2022-11-24 11:06:59"</f>
        <v>2022-11-24 11:06:59</v>
      </c>
      <c r="M13064" s="1" t="s">
        <v>45</v>
      </c>
      <c r="N13064" s="1" t="s">
        <v>38</v>
      </c>
      <c r="O13064" s="1" t="s">
        <v>46</v>
      </c>
    </row>
    <row r="13065" spans="2:15" x14ac:dyDescent="0.3">
      <c r="B13065" s="1" t="s">
        <v>20</v>
      </c>
      <c r="C13065" s="1" t="str">
        <f>"6차"</f>
        <v>6차</v>
      </c>
      <c r="D13065" s="1" t="str">
        <f>"9824G0236S"</f>
        <v>9824G0236S</v>
      </c>
      <c r="E13065" s="1" t="s">
        <v>10</v>
      </c>
      <c r="F13065" s="1" t="str">
        <f>"fde1:103:4:c68f:0:0:0:2"</f>
        <v>fde1:103:4:c68f:0:0:0:2</v>
      </c>
      <c r="G13065" s="1" t="str">
        <f>"9824G023"</f>
        <v>9824G023</v>
      </c>
      <c r="H13065" s="1" t="str">
        <f>"도원지 9R18L1"</f>
        <v>도원지 9R18L1</v>
      </c>
      <c r="I13065" s="1" t="s">
        <v>15</v>
      </c>
      <c r="J13065" s="1" t="str">
        <f>"57/60"</f>
        <v>57/60</v>
      </c>
      <c r="K13065" s="1" t="str">
        <f>"2026-07-29 14:20:40"</f>
        <v>2026-07-29 14:20:40</v>
      </c>
      <c r="L13065" s="1" t="str">
        <f>"2024-11-07 08:37:21"</f>
        <v>2024-11-07 08:37:21</v>
      </c>
      <c r="M13065" s="1" t="s">
        <v>4</v>
      </c>
      <c r="N13065" s="1" t="s">
        <v>38</v>
      </c>
      <c r="O13065" s="1" t="s">
        <v>46</v>
      </c>
    </row>
    <row r="13066" spans="2:15" x14ac:dyDescent="0.3">
      <c r="B13066" s="1" t="s">
        <v>20</v>
      </c>
      <c r="C13066" s="1" t="str">
        <f>"5-2차"</f>
        <v>5-2차</v>
      </c>
      <c r="D13066" s="1" t="str">
        <f>"9824G0365M"</f>
        <v>9824G0365M</v>
      </c>
      <c r="E13066" s="1" t="s">
        <v>10</v>
      </c>
      <c r="F13066" s="1" t="str">
        <f>"fde3:102:1301:4d00:0:0:0:2"</f>
        <v>fde3:102:1301:4d00:0:0:0:2</v>
      </c>
      <c r="G13066" s="1" t="str">
        <f>"9824G036"</f>
        <v>9824G036</v>
      </c>
      <c r="H13066" s="1" t="str">
        <f>"도원지 9R14"</f>
        <v>도원지 9R14</v>
      </c>
      <c r="I13066" s="1" t="s">
        <v>15</v>
      </c>
      <c r="J13066" s="1" t="str">
        <f>"58/58"</f>
        <v>58/58</v>
      </c>
      <c r="K13066" s="1" t="str">
        <f>"2026-07-29 14:21:20"</f>
        <v>2026-07-29 14:21:20</v>
      </c>
      <c r="L13066" s="1" t="str">
        <f>"2023-09-19 12:01:53"</f>
        <v>2023-09-19 12:01:53</v>
      </c>
      <c r="M13066" s="1" t="s">
        <v>45</v>
      </c>
      <c r="N13066" s="1" t="s">
        <v>38</v>
      </c>
      <c r="O13066" s="1" t="s">
        <v>46</v>
      </c>
    </row>
    <row r="13067" spans="2:15" x14ac:dyDescent="0.3">
      <c r="B13067" s="1" t="s">
        <v>20</v>
      </c>
      <c r="C13067" s="1" t="str">
        <f>"5-2차"</f>
        <v>5-2차</v>
      </c>
      <c r="D13067" s="1" t="str">
        <f>"9824G0525S"</f>
        <v>9824G0525S</v>
      </c>
      <c r="E13067" s="1" t="s">
        <v>10</v>
      </c>
      <c r="F13067" s="1" t="str">
        <f>"fde3:102:1301:2302:0:0:0:4"</f>
        <v>fde3:102:1301:2302:0:0:0:4</v>
      </c>
      <c r="G13067" s="1" t="str">
        <f>"9824G052"</f>
        <v>9824G052</v>
      </c>
      <c r="H13067" s="1" t="str">
        <f>"도원지 9R16R2R2"</f>
        <v>도원지 9R16R2R2</v>
      </c>
      <c r="I13067" s="1" t="s">
        <v>15</v>
      </c>
      <c r="J13067" s="1" t="str">
        <f>"30/38"</f>
        <v>30/38</v>
      </c>
      <c r="K13067" s="1" t="str">
        <f>"2026-07-29 14:21:20"</f>
        <v>2026-07-29 14:21:20</v>
      </c>
      <c r="L13067" s="1" t="str">
        <f>"2023-10-25 16:44:51"</f>
        <v>2023-10-25 16:44:51</v>
      </c>
      <c r="M13067" s="1" t="s">
        <v>45</v>
      </c>
      <c r="N13067" s="1" t="s">
        <v>38</v>
      </c>
      <c r="O13067" s="1" t="s">
        <v>46</v>
      </c>
    </row>
    <row r="13068" spans="2:15" x14ac:dyDescent="0.3">
      <c r="B13068" s="1" t="s">
        <v>20</v>
      </c>
      <c r="C13068" s="1" t="str">
        <f>"5-2차"</f>
        <v>5-2차</v>
      </c>
      <c r="D13068" s="1" t="str">
        <f>"9824G1035M"</f>
        <v>9824G1035M</v>
      </c>
      <c r="E13068" s="1" t="s">
        <v>10</v>
      </c>
      <c r="F13068" s="1" t="str">
        <f>"fde1:103:4:55c8:0:0:0:2"</f>
        <v>fde1:103:4:55c8:0:0:0:2</v>
      </c>
      <c r="G13068" s="1" t="str">
        <f>"9824G103"</f>
        <v>9824G103</v>
      </c>
      <c r="H13068" s="1" t="str">
        <f>"도원지 9R22"</f>
        <v>도원지 9R22</v>
      </c>
      <c r="I13068" s="1" t="s">
        <v>15</v>
      </c>
      <c r="J13068" s="1" t="str">
        <f>"73/73"</f>
        <v>73/73</v>
      </c>
      <c r="K13068" s="1" t="str">
        <f>"2026-07-29 14:21:21"</f>
        <v>2026-07-29 14:21:21</v>
      </c>
      <c r="L13068" s="1" t="str">
        <f>"2023-08-31 17:35:35"</f>
        <v>2023-08-31 17:35:35</v>
      </c>
      <c r="M13068" s="1" t="s">
        <v>4</v>
      </c>
      <c r="N13068" s="1" t="s">
        <v>38</v>
      </c>
      <c r="O13068" s="1" t="s">
        <v>46</v>
      </c>
    </row>
    <row r="13069" spans="2:15" x14ac:dyDescent="0.3">
      <c r="B13069" s="1" t="s">
        <v>20</v>
      </c>
      <c r="C13069" s="1" t="str">
        <f>"5-2차"</f>
        <v>5-2차</v>
      </c>
      <c r="D13069" s="1" t="str">
        <f>"9824G1115S"</f>
        <v>9824G1115S</v>
      </c>
      <c r="E13069" s="1" t="s">
        <v>12</v>
      </c>
      <c r="F13069" s="1" t="str">
        <f>"fde1:103:4:5894:0:0:0:2"</f>
        <v>fde1:103:4:5894:0:0:0:2</v>
      </c>
      <c r="G13069" s="1" t="str">
        <f>"9824G111"</f>
        <v>9824G111</v>
      </c>
      <c r="H13069" s="1" t="str">
        <f>"도원지 9R19L1"</f>
        <v>도원지 9R19L1</v>
      </c>
      <c r="I13069" s="1" t="s">
        <v>15</v>
      </c>
      <c r="J13069" s="1" t="str">
        <f>"0/32"</f>
        <v>0/32</v>
      </c>
      <c r="K13069" s="1" t="str">
        <f>"2025-11-28 08:21:26"</f>
        <v>2025-11-28 08:21:26</v>
      </c>
      <c r="L13069" s="1" t="str">
        <f>"2023-09-12 11:32:05"</f>
        <v>2023-09-12 11:32:05</v>
      </c>
      <c r="M13069" s="1" t="s">
        <v>4</v>
      </c>
      <c r="N13069" s="1" t="s">
        <v>38</v>
      </c>
      <c r="O13069" s="1" t="s">
        <v>46</v>
      </c>
    </row>
    <row r="13070" spans="2:15" x14ac:dyDescent="0.3">
      <c r="B13070" s="1" t="s">
        <v>20</v>
      </c>
      <c r="C13070" s="1" t="str">
        <f>"5-2차"</f>
        <v>5-2차</v>
      </c>
      <c r="D13070" s="1" t="str">
        <f>"9824G1415M"</f>
        <v>9824G1415M</v>
      </c>
      <c r="E13070" s="1" t="s">
        <v>10</v>
      </c>
      <c r="F13070" s="1" t="str">
        <f>"fde1:103:4:5633:0:0:0:2"</f>
        <v>fde1:103:4:5633:0:0:0:2</v>
      </c>
      <c r="G13070" s="1" t="str">
        <f>"9824G141"</f>
        <v>9824G141</v>
      </c>
      <c r="H13070" s="1" t="str">
        <f>"도원지 9R12"</f>
        <v>도원지 9R12</v>
      </c>
      <c r="I13070" s="1" t="s">
        <v>15</v>
      </c>
      <c r="J13070" s="1" t="str">
        <f>"101/101"</f>
        <v>101/101</v>
      </c>
      <c r="K13070" s="1" t="str">
        <f>"2026-07-29 14:21:25"</f>
        <v>2026-07-29 14:21:25</v>
      </c>
      <c r="L13070" s="1" t="str">
        <f>"2023-09-01 09:55:33"</f>
        <v>2023-09-01 09:55:33</v>
      </c>
      <c r="M13070" s="1" t="s">
        <v>4</v>
      </c>
      <c r="N13070" s="1" t="s">
        <v>38</v>
      </c>
      <c r="O13070" s="1" t="s">
        <v>46</v>
      </c>
    </row>
    <row r="13071" spans="2:15" x14ac:dyDescent="0.3">
      <c r="B13071" s="1" t="s">
        <v>20</v>
      </c>
      <c r="C13071" s="1" t="str">
        <f>"5-1차"</f>
        <v>5-1차</v>
      </c>
      <c r="D13071" s="1" t="str">
        <f>"9824G1525M"</f>
        <v>9824G1525M</v>
      </c>
      <c r="E13071" s="1" t="s">
        <v>10</v>
      </c>
      <c r="F13071" s="1" t="str">
        <f>"fde3:102:1301:2301:0:0:0:2"</f>
        <v>fde3:102:1301:2301:0:0:0:2</v>
      </c>
      <c r="G13071" s="1" t="str">
        <f>"9824G152"</f>
        <v>9824G152</v>
      </c>
      <c r="H13071" s="1" t="str">
        <f>"도원지 9R9R3L4"</f>
        <v>도원지 9R9R3L4</v>
      </c>
      <c r="I13071" s="1" t="s">
        <v>15</v>
      </c>
      <c r="J13071" s="1" t="str">
        <f>"39/39"</f>
        <v>39/39</v>
      </c>
      <c r="K13071" s="1" t="str">
        <f>"2026-07-29 14:21:22"</f>
        <v>2026-07-29 14:21:22</v>
      </c>
      <c r="L13071" s="1" t="str">
        <f>"2022-11-23 16:20:46"</f>
        <v>2022-11-23 16:20:46</v>
      </c>
      <c r="M13071" s="1" t="s">
        <v>45</v>
      </c>
      <c r="N13071" s="1" t="s">
        <v>38</v>
      </c>
      <c r="O13071" s="1" t="s">
        <v>46</v>
      </c>
    </row>
    <row r="13072" spans="2:15" x14ac:dyDescent="0.3">
      <c r="B13072" s="1" t="s">
        <v>20</v>
      </c>
      <c r="C13072" s="1" t="str">
        <f t="shared" ref="C13072:C13082" si="668">"5-2차"</f>
        <v>5-2차</v>
      </c>
      <c r="D13072" s="1" t="str">
        <f>"9824G1715S"</f>
        <v>9824G1715S</v>
      </c>
      <c r="E13072" s="1" t="s">
        <v>10</v>
      </c>
      <c r="F13072" s="1" t="str">
        <f>"fde3:102:1301:2302:0:0:0:5"</f>
        <v>fde3:102:1301:2302:0:0:0:5</v>
      </c>
      <c r="G13072" s="1" t="str">
        <f>"9824G171"</f>
        <v>9824G171</v>
      </c>
      <c r="H13072" s="1" t="str">
        <f>"도원지 9R9R3L2R1"</f>
        <v>도원지 9R9R3L2R1</v>
      </c>
      <c r="I13072" s="1" t="s">
        <v>15</v>
      </c>
      <c r="J13072" s="1" t="str">
        <f>"37/37"</f>
        <v>37/37</v>
      </c>
      <c r="K13072" s="1" t="str">
        <f>"2026-07-29 14:21:22"</f>
        <v>2026-07-29 14:21:22</v>
      </c>
      <c r="L13072" s="1" t="str">
        <f>"2023-09-19 10:49:17"</f>
        <v>2023-09-19 10:49:17</v>
      </c>
      <c r="M13072" s="1" t="s">
        <v>45</v>
      </c>
      <c r="N13072" s="1" t="s">
        <v>38</v>
      </c>
      <c r="O13072" s="1" t="s">
        <v>46</v>
      </c>
    </row>
    <row r="13073" spans="2:15" x14ac:dyDescent="0.3">
      <c r="B13073" s="1" t="s">
        <v>20</v>
      </c>
      <c r="C13073" s="1" t="str">
        <f t="shared" si="668"/>
        <v>5-2차</v>
      </c>
      <c r="D13073" s="1" t="str">
        <f>"9824G1725S"</f>
        <v>9824G1725S</v>
      </c>
      <c r="E13073" s="1" t="s">
        <v>10</v>
      </c>
      <c r="F13073" s="1" t="str">
        <f>"fde3:102:1301:2302:0:0:0:6"</f>
        <v>fde3:102:1301:2302:0:0:0:6</v>
      </c>
      <c r="G13073" s="1" t="str">
        <f>"9824G172"</f>
        <v>9824G172</v>
      </c>
      <c r="H13073" s="1" t="str">
        <f>"도원지 9R9R3L2R2"</f>
        <v>도원지 9R9R3L2R2</v>
      </c>
      <c r="I13073" s="1" t="s">
        <v>15</v>
      </c>
      <c r="J13073" s="1" t="str">
        <f>"41/41"</f>
        <v>41/41</v>
      </c>
      <c r="K13073" s="1" t="str">
        <f>"2026-07-29 14:21:21"</f>
        <v>2026-07-29 14:21:21</v>
      </c>
      <c r="L13073" s="1" t="str">
        <f>"2023-09-19 11:22:41"</f>
        <v>2023-09-19 11:22:41</v>
      </c>
      <c r="M13073" s="1" t="s">
        <v>45</v>
      </c>
      <c r="N13073" s="1" t="s">
        <v>38</v>
      </c>
      <c r="O13073" s="1" t="s">
        <v>46</v>
      </c>
    </row>
    <row r="13074" spans="2:15" x14ac:dyDescent="0.3">
      <c r="B13074" s="1" t="s">
        <v>20</v>
      </c>
      <c r="C13074" s="1" t="str">
        <f t="shared" si="668"/>
        <v>5-2차</v>
      </c>
      <c r="D13074" s="1" t="str">
        <f>"9824G2015M"</f>
        <v>9824G2015M</v>
      </c>
      <c r="E13074" s="1" t="s">
        <v>10</v>
      </c>
      <c r="F13074" s="1" t="str">
        <f>"fde3:102:1301:4d00:0:0:0:9"</f>
        <v>fde3:102:1301:4d00:0:0:0:9</v>
      </c>
      <c r="G13074" s="1" t="str">
        <f>"9824G201"</f>
        <v>9824G201</v>
      </c>
      <c r="H13074" s="1" t="str">
        <f>"도원지 9R23"</f>
        <v>도원지 9R23</v>
      </c>
      <c r="I13074" s="1" t="s">
        <v>15</v>
      </c>
      <c r="J13074" s="1" t="str">
        <f>"38/38"</f>
        <v>38/38</v>
      </c>
      <c r="K13074" s="1" t="str">
        <f>"2026-07-29 14:21:21"</f>
        <v>2026-07-29 14:21:21</v>
      </c>
      <c r="L13074" s="1" t="str">
        <f>"2023-10-17 11:32:59"</f>
        <v>2023-10-17 11:32:59</v>
      </c>
      <c r="M13074" s="1" t="s">
        <v>45</v>
      </c>
      <c r="N13074" s="1" t="s">
        <v>38</v>
      </c>
      <c r="O13074" s="1" t="s">
        <v>46</v>
      </c>
    </row>
    <row r="13075" spans="2:15" x14ac:dyDescent="0.3">
      <c r="B13075" s="1" t="s">
        <v>20</v>
      </c>
      <c r="C13075" s="1" t="str">
        <f t="shared" si="668"/>
        <v>5-2차</v>
      </c>
      <c r="D13075" s="1" t="str">
        <f>"9824G2615S"</f>
        <v>9824G2615S</v>
      </c>
      <c r="E13075" s="1" t="s">
        <v>10</v>
      </c>
      <c r="F13075" s="1" t="str">
        <f>"fde3:102:1301:2302:0:0:0:2"</f>
        <v>fde3:102:1301:2302:0:0:0:2</v>
      </c>
      <c r="G13075" s="1" t="str">
        <f>"9824G261"</f>
        <v>9824G261</v>
      </c>
      <c r="H13075" s="1" t="str">
        <f>"도원지 9R9R3"</f>
        <v>도원지 9R9R3</v>
      </c>
      <c r="I13075" s="1" t="s">
        <v>15</v>
      </c>
      <c r="J13075" s="1" t="str">
        <f>"37/37"</f>
        <v>37/37</v>
      </c>
      <c r="K13075" s="1" t="str">
        <f>"2026-07-29 14:21:15"</f>
        <v>2026-07-29 14:21:15</v>
      </c>
      <c r="L13075" s="1" t="str">
        <f>"2023-10-17 16:13:44"</f>
        <v>2023-10-17 16:13:44</v>
      </c>
      <c r="M13075" s="1" t="s">
        <v>45</v>
      </c>
      <c r="N13075" s="1" t="s">
        <v>38</v>
      </c>
      <c r="O13075" s="1" t="s">
        <v>46</v>
      </c>
    </row>
    <row r="13076" spans="2:15" x14ac:dyDescent="0.3">
      <c r="B13076" s="1" t="s">
        <v>20</v>
      </c>
      <c r="C13076" s="1" t="str">
        <f t="shared" si="668"/>
        <v>5-2차</v>
      </c>
      <c r="D13076" s="1" t="str">
        <f>"9824G2715M"</f>
        <v>9824G2715M</v>
      </c>
      <c r="E13076" s="1" t="s">
        <v>10</v>
      </c>
      <c r="F13076" s="1" t="str">
        <f>"fde3:102:1301:2301:0:0:0:7"</f>
        <v>fde3:102:1301:2301:0:0:0:7</v>
      </c>
      <c r="G13076" s="1" t="str">
        <f>"9824G271"</f>
        <v>9824G271</v>
      </c>
      <c r="H13076" s="1" t="str">
        <f>"도원지 9R9R4"</f>
        <v>도원지 9R9R4</v>
      </c>
      <c r="I13076" s="1" t="s">
        <v>15</v>
      </c>
      <c r="J13076" s="1" t="str">
        <f>"48/48"</f>
        <v>48/48</v>
      </c>
      <c r="K13076" s="1" t="str">
        <f>"2026-07-29 14:21:21"</f>
        <v>2026-07-29 14:21:21</v>
      </c>
      <c r="L13076" s="1" t="str">
        <f>"2023-11-23 11:27:12"</f>
        <v>2023-11-23 11:27:12</v>
      </c>
      <c r="M13076" s="1" t="s">
        <v>45</v>
      </c>
      <c r="N13076" s="1" t="s">
        <v>38</v>
      </c>
      <c r="O13076" s="1" t="s">
        <v>46</v>
      </c>
    </row>
    <row r="13077" spans="2:15" x14ac:dyDescent="0.3">
      <c r="B13077" s="1" t="s">
        <v>20</v>
      </c>
      <c r="C13077" s="1" t="str">
        <f t="shared" si="668"/>
        <v>5-2차</v>
      </c>
      <c r="D13077" s="1" t="str">
        <f>"9824G2725M"</f>
        <v>9824G2725M</v>
      </c>
      <c r="E13077" s="1" t="s">
        <v>10</v>
      </c>
      <c r="F13077" s="1" t="str">
        <f>"fde3:102:1301:2302:0:0:0:3"</f>
        <v>fde3:102:1301:2302:0:0:0:3</v>
      </c>
      <c r="G13077" s="1" t="str">
        <f>"9824G272"</f>
        <v>9824G272</v>
      </c>
      <c r="H13077" s="1" t="str">
        <f>"도원지 9R9R5"</f>
        <v>도원지 9R9R5</v>
      </c>
      <c r="I13077" s="1" t="s">
        <v>15</v>
      </c>
      <c r="J13077" s="1" t="str">
        <f>"135/135"</f>
        <v>135/135</v>
      </c>
      <c r="K13077" s="1" t="str">
        <f>"2026-07-29 14:21:15"</f>
        <v>2026-07-29 14:21:15</v>
      </c>
      <c r="L13077" s="1" t="str">
        <f>"2023-10-17 17:17:28"</f>
        <v>2023-10-17 17:17:28</v>
      </c>
      <c r="M13077" s="1" t="s">
        <v>45</v>
      </c>
      <c r="N13077" s="1" t="s">
        <v>38</v>
      </c>
      <c r="O13077" s="1" t="s">
        <v>46</v>
      </c>
    </row>
    <row r="13078" spans="2:15" x14ac:dyDescent="0.3">
      <c r="B13078" s="1" t="s">
        <v>20</v>
      </c>
      <c r="C13078" s="1" t="str">
        <f t="shared" si="668"/>
        <v>5-2차</v>
      </c>
      <c r="D13078" s="1" t="str">
        <f>"9824G2835M"</f>
        <v>9824G2835M</v>
      </c>
      <c r="E13078" s="1" t="s">
        <v>10</v>
      </c>
      <c r="F13078" s="1" t="str">
        <f>"fde3:102:1301:2302:0:0:0:8"</f>
        <v>fde3:102:1301:2302:0:0:0:8</v>
      </c>
      <c r="G13078" s="1" t="str">
        <f>"9824G283"</f>
        <v>9824G283</v>
      </c>
      <c r="H13078" s="1" t="str">
        <f>"도원지 9R9R8"</f>
        <v>도원지 9R9R8</v>
      </c>
      <c r="I13078" s="1" t="s">
        <v>15</v>
      </c>
      <c r="J13078" s="1" t="str">
        <f>"118/118"</f>
        <v>118/118</v>
      </c>
      <c r="K13078" s="1" t="str">
        <f>"2026-07-29 14:21:15"</f>
        <v>2026-07-29 14:21:15</v>
      </c>
      <c r="L13078" s="1" t="str">
        <f>"2023-09-18 15:56:55"</f>
        <v>2023-09-18 15:56:55</v>
      </c>
      <c r="M13078" s="1" t="s">
        <v>45</v>
      </c>
      <c r="N13078" s="1" t="s">
        <v>38</v>
      </c>
      <c r="O13078" s="1" t="s">
        <v>46</v>
      </c>
    </row>
    <row r="13079" spans="2:15" x14ac:dyDescent="0.3">
      <c r="B13079" s="1" t="s">
        <v>20</v>
      </c>
      <c r="C13079" s="1" t="str">
        <f t="shared" si="668"/>
        <v>5-2차</v>
      </c>
      <c r="D13079" s="1" t="str">
        <f>"9824G3115S"</f>
        <v>9824G3115S</v>
      </c>
      <c r="E13079" s="1" t="s">
        <v>10</v>
      </c>
      <c r="F13079" s="1" t="str">
        <f>"fde3:102:1301:4d00:0:0:0:a"</f>
        <v>fde3:102:1301:4d00:0:0:0:a</v>
      </c>
      <c r="G13079" s="1" t="str">
        <f>"9824G311"</f>
        <v>9824G311</v>
      </c>
      <c r="H13079" s="1" t="str">
        <f>"전자간 5L3"</f>
        <v>전자간 5L3</v>
      </c>
      <c r="I13079" s="1" t="s">
        <v>15</v>
      </c>
      <c r="J13079" s="1" t="str">
        <f>"34/34"</f>
        <v>34/34</v>
      </c>
      <c r="K13079" s="1" t="str">
        <f>"2026-07-29 14:21:15"</f>
        <v>2026-07-29 14:21:15</v>
      </c>
      <c r="L13079" s="1" t="str">
        <f>"2023-10-04 11:35:03"</f>
        <v>2023-10-04 11:35:03</v>
      </c>
      <c r="M13079" s="1" t="s">
        <v>45</v>
      </c>
      <c r="N13079" s="1" t="s">
        <v>38</v>
      </c>
      <c r="O13079" s="1" t="s">
        <v>46</v>
      </c>
    </row>
    <row r="13080" spans="2:15" x14ac:dyDescent="0.3">
      <c r="B13080" s="1" t="s">
        <v>20</v>
      </c>
      <c r="C13080" s="1" t="str">
        <f t="shared" si="668"/>
        <v>5-2차</v>
      </c>
      <c r="D13080" s="1" t="str">
        <f>"9824G4015M"</f>
        <v>9824G4015M</v>
      </c>
      <c r="E13080" s="1" t="s">
        <v>10</v>
      </c>
      <c r="F13080" s="1" t="str">
        <f>"fde3:102:1301:4d00:0:0:0:b"</f>
        <v>fde3:102:1301:4d00:0:0:0:b</v>
      </c>
      <c r="G13080" s="1" t="str">
        <f>"9824G401"</f>
        <v>9824G401</v>
      </c>
      <c r="H13080" s="1" t="str">
        <f>"도원지 9R27"</f>
        <v>도원지 9R27</v>
      </c>
      <c r="I13080" s="1" t="s">
        <v>15</v>
      </c>
      <c r="J13080" s="1" t="str">
        <f>"34/54"</f>
        <v>34/54</v>
      </c>
      <c r="K13080" s="1" t="str">
        <f>"2026-07-29 14:21:15"</f>
        <v>2026-07-29 14:21:15</v>
      </c>
      <c r="L13080" s="1" t="str">
        <f>"2023-11-23 10:46:13"</f>
        <v>2023-11-23 10:46:13</v>
      </c>
      <c r="M13080" s="1" t="s">
        <v>45</v>
      </c>
      <c r="N13080" s="1" t="s">
        <v>38</v>
      </c>
      <c r="O13080" s="1" t="s">
        <v>46</v>
      </c>
    </row>
    <row r="13081" spans="2:15" x14ac:dyDescent="0.3">
      <c r="B13081" s="1" t="s">
        <v>20</v>
      </c>
      <c r="C13081" s="1" t="str">
        <f t="shared" si="668"/>
        <v>5-2차</v>
      </c>
      <c r="D13081" s="1" t="str">
        <f>"9824G4615M"</f>
        <v>9824G4615M</v>
      </c>
      <c r="E13081" s="1" t="s">
        <v>10</v>
      </c>
      <c r="F13081" s="1" t="str">
        <f>"fde3:102:1301:2300:0:0:0:7"</f>
        <v>fde3:102:1301:2300:0:0:0:7</v>
      </c>
      <c r="G13081" s="1" t="str">
        <f>"9824G461"</f>
        <v>9824G461</v>
      </c>
      <c r="H13081" s="1" t="str">
        <f>"도원지 9R5R1"</f>
        <v>도원지 9R5R1</v>
      </c>
      <c r="I13081" s="1" t="s">
        <v>15</v>
      </c>
      <c r="J13081" s="1" t="str">
        <f>"90/90"</f>
        <v>90/90</v>
      </c>
      <c r="K13081" s="1" t="str">
        <f>"2026-07-29 14:21:15"</f>
        <v>2026-07-29 14:21:15</v>
      </c>
      <c r="L13081" s="1" t="str">
        <f>"2023-09-18 13:24:22"</f>
        <v>2023-09-18 13:24:22</v>
      </c>
      <c r="M13081" s="1" t="s">
        <v>45</v>
      </c>
      <c r="N13081" s="1" t="s">
        <v>38</v>
      </c>
      <c r="O13081" s="1" t="s">
        <v>46</v>
      </c>
    </row>
    <row r="13082" spans="2:15" x14ac:dyDescent="0.3">
      <c r="B13082" s="1" t="s">
        <v>20</v>
      </c>
      <c r="C13082" s="1" t="str">
        <f t="shared" si="668"/>
        <v>5-2차</v>
      </c>
      <c r="D13082" s="1" t="str">
        <f>"9824G4635M"</f>
        <v>9824G4635M</v>
      </c>
      <c r="E13082" s="1" t="s">
        <v>10</v>
      </c>
      <c r="F13082" s="1" t="str">
        <f>"fde3:102:1301:2300:0:0:0:8"</f>
        <v>fde3:102:1301:2300:0:0:0:8</v>
      </c>
      <c r="G13082" s="1" t="str">
        <f>"9824G463"</f>
        <v>9824G463</v>
      </c>
      <c r="H13082" s="1" t="str">
        <f>"도원지 9R6R1"</f>
        <v>도원지 9R6R1</v>
      </c>
      <c r="I13082" s="1" t="s">
        <v>15</v>
      </c>
      <c r="J13082" s="1" t="str">
        <f>"57/57"</f>
        <v>57/57</v>
      </c>
      <c r="K13082" s="1" t="str">
        <f>"2026-07-29 14:21:16"</f>
        <v>2026-07-29 14:21:16</v>
      </c>
      <c r="L13082" s="1" t="str">
        <f>"2023-09-18 14:04:40"</f>
        <v>2023-09-18 14:04:40</v>
      </c>
      <c r="M13082" s="1" t="s">
        <v>45</v>
      </c>
      <c r="N13082" s="1" t="s">
        <v>38</v>
      </c>
      <c r="O13082" s="1" t="s">
        <v>46</v>
      </c>
    </row>
    <row r="13083" spans="2:15" x14ac:dyDescent="0.3">
      <c r="B13083" s="1" t="s">
        <v>20</v>
      </c>
      <c r="C13083" s="1" t="str">
        <f>"5-1차"</f>
        <v>5-1차</v>
      </c>
      <c r="D13083" s="1" t="str">
        <f>"9824G4815M"</f>
        <v>9824G4815M</v>
      </c>
      <c r="E13083" s="1" t="s">
        <v>10</v>
      </c>
      <c r="F13083" s="1" t="str">
        <f>"fde3:102:1301:2301:0:0:0:4"</f>
        <v>fde3:102:1301:2301:0:0:0:4</v>
      </c>
      <c r="G13083" s="1" t="str">
        <f>"9824G481"</f>
        <v>9824G481</v>
      </c>
      <c r="H13083" s="1" t="str">
        <f>"도원지 9R3R2"</f>
        <v>도원지 9R3R2</v>
      </c>
      <c r="I13083" s="1" t="s">
        <v>15</v>
      </c>
      <c r="J13083" s="1" t="str">
        <f>"49/49"</f>
        <v>49/49</v>
      </c>
      <c r="K13083" s="1" t="str">
        <f>"2026-07-29 14:21:16"</f>
        <v>2026-07-29 14:21:16</v>
      </c>
      <c r="L13083" s="1" t="str">
        <f>"2022-12-08 13:04:48"</f>
        <v>2022-12-08 13:04:48</v>
      </c>
      <c r="M13083" s="1" t="s">
        <v>45</v>
      </c>
      <c r="N13083" s="1" t="s">
        <v>38</v>
      </c>
      <c r="O13083" s="1" t="s">
        <v>46</v>
      </c>
    </row>
    <row r="13084" spans="2:15" x14ac:dyDescent="0.3">
      <c r="B13084" s="1" t="s">
        <v>20</v>
      </c>
      <c r="C13084" s="1" t="str">
        <f>"5-1차"</f>
        <v>5-1차</v>
      </c>
      <c r="D13084" s="1" t="str">
        <f>"9824G4835S"</f>
        <v>9824G4835S</v>
      </c>
      <c r="E13084" s="1" t="s">
        <v>10</v>
      </c>
      <c r="F13084" s="1" t="str">
        <f>"fde3:102:1301:2301:0:0:0:3"</f>
        <v>fde3:102:1301:2301:0:0:0:3</v>
      </c>
      <c r="G13084" s="1" t="str">
        <f>"9824G483"</f>
        <v>9824G483</v>
      </c>
      <c r="H13084" s="1" t="str">
        <f>"도원지 9R2R2"</f>
        <v>도원지 9R2R2</v>
      </c>
      <c r="I13084" s="1" t="s">
        <v>15</v>
      </c>
      <c r="J13084" s="1" t="str">
        <f>"47/47"</f>
        <v>47/47</v>
      </c>
      <c r="K13084" s="1" t="str">
        <f>"2026-07-29 14:21:20"</f>
        <v>2026-07-29 14:21:20</v>
      </c>
      <c r="L13084" s="1" t="str">
        <f>"2022-11-23 16:25:48"</f>
        <v>2022-11-23 16:25:48</v>
      </c>
      <c r="M13084" s="1" t="s">
        <v>45</v>
      </c>
      <c r="N13084" s="1" t="s">
        <v>38</v>
      </c>
      <c r="O13084" s="1" t="s">
        <v>46</v>
      </c>
    </row>
    <row r="13085" spans="2:15" x14ac:dyDescent="0.3">
      <c r="B13085" s="1" t="s">
        <v>20</v>
      </c>
      <c r="C13085" s="1" t="str">
        <f>"5-2차"</f>
        <v>5-2차</v>
      </c>
      <c r="D13085" s="1" t="str">
        <f>"9824G5015M"</f>
        <v>9824G5015M</v>
      </c>
      <c r="E13085" s="1" t="s">
        <v>10</v>
      </c>
      <c r="F13085" s="1" t="str">
        <f>"fde3:102:1301:4d00:0:0:0:c"</f>
        <v>fde3:102:1301:4d00:0:0:0:c</v>
      </c>
      <c r="G13085" s="1" t="str">
        <f>"9824G501"</f>
        <v>9824G501</v>
      </c>
      <c r="H13085" s="1" t="str">
        <f>"전자간 5"</f>
        <v>전자간 5</v>
      </c>
      <c r="I13085" s="1" t="s">
        <v>15</v>
      </c>
      <c r="J13085" s="1" t="str">
        <f>"38/38"</f>
        <v>38/38</v>
      </c>
      <c r="K13085" s="1" t="str">
        <f>"2026-07-29 14:21:25"</f>
        <v>2026-07-29 14:21:25</v>
      </c>
      <c r="L13085" s="1" t="str">
        <f>"2023-11-23 10:57:41"</f>
        <v>2023-11-23 10:57:41</v>
      </c>
      <c r="M13085" s="1" t="s">
        <v>45</v>
      </c>
      <c r="N13085" s="1" t="s">
        <v>38</v>
      </c>
      <c r="O13085" s="1" t="s">
        <v>46</v>
      </c>
    </row>
    <row r="13086" spans="2:15" x14ac:dyDescent="0.3">
      <c r="B13086" s="1" t="s">
        <v>20</v>
      </c>
      <c r="C13086" s="1" t="str">
        <f>"5-2차"</f>
        <v>5-2차</v>
      </c>
      <c r="D13086" s="1" t="str">
        <f>"9824G5735M"</f>
        <v>9824G5735M</v>
      </c>
      <c r="E13086" s="1" t="s">
        <v>10</v>
      </c>
      <c r="F13086" s="1" t="str">
        <f>"fde3:102:1301:2302:0:0:0:a"</f>
        <v>fde3:102:1301:2302:0:0:0:a</v>
      </c>
      <c r="G13086" s="1" t="str">
        <f>"9824G573"</f>
        <v>9824G573</v>
      </c>
      <c r="H13086" s="1" t="str">
        <f>"도원지 9R4"</f>
        <v>도원지 9R4</v>
      </c>
      <c r="I13086" s="1" t="s">
        <v>15</v>
      </c>
      <c r="J13086" s="1" t="str">
        <f>"61/71"</f>
        <v>61/71</v>
      </c>
      <c r="K13086" s="1" t="str">
        <f>"2026-07-29 14:21:16"</f>
        <v>2026-07-29 14:21:16</v>
      </c>
      <c r="L13086" s="1" t="str">
        <f>"2023-11-23 11:31:55"</f>
        <v>2023-11-23 11:31:55</v>
      </c>
      <c r="M13086" s="1" t="s">
        <v>45</v>
      </c>
      <c r="N13086" s="1" t="s">
        <v>38</v>
      </c>
      <c r="O13086" s="1" t="s">
        <v>46</v>
      </c>
    </row>
    <row r="13087" spans="2:15" x14ac:dyDescent="0.3">
      <c r="B13087" s="1" t="s">
        <v>20</v>
      </c>
      <c r="C13087" s="1" t="str">
        <f>"1차"</f>
        <v>1차</v>
      </c>
      <c r="D13087" s="1" t="str">
        <f>"9824G59200"</f>
        <v>9824G59200</v>
      </c>
      <c r="E13087" s="1" t="s">
        <v>10</v>
      </c>
      <c r="F13087" s="1" t="str">
        <f>"10.125.225.146"</f>
        <v>10.125.225.146</v>
      </c>
      <c r="G13087" s="1" t="str">
        <f>"9824G592"</f>
        <v>9824G592</v>
      </c>
      <c r="H13087" s="1" t="str">
        <f>"도원지 7"</f>
        <v>도원지 7</v>
      </c>
      <c r="I13087" s="1" t="s">
        <v>8</v>
      </c>
      <c r="J13087" s="1" t="str">
        <f>"38/38"</f>
        <v>38/38</v>
      </c>
      <c r="K13087" s="1" t="str">
        <f>"2026-07-29 13:18:12"</f>
        <v>2026-07-29 13:18:12</v>
      </c>
      <c r="L13087" s="1" t="str">
        <f>"2014-12-01 00:14:22"</f>
        <v>2014-12-01 00:14:22</v>
      </c>
      <c r="M13087" s="1" t="s">
        <v>45</v>
      </c>
      <c r="N13087" s="1" t="s">
        <v>38</v>
      </c>
      <c r="O13087" s="1" t="s">
        <v>46</v>
      </c>
    </row>
    <row r="13088" spans="2:15" x14ac:dyDescent="0.3">
      <c r="B13088" s="1" t="s">
        <v>20</v>
      </c>
      <c r="C13088" s="1" t="str">
        <f>"5-1차"</f>
        <v>5-1차</v>
      </c>
      <c r="D13088" s="1" t="str">
        <f>"9824G6615M"</f>
        <v>9824G6615M</v>
      </c>
      <c r="E13088" s="1" t="s">
        <v>10</v>
      </c>
      <c r="F13088" s="1" t="str">
        <f>"fde3:102:1301:2300:0:0:0:3"</f>
        <v>fde3:102:1301:2300:0:0:0:3</v>
      </c>
      <c r="G13088" s="1" t="str">
        <f>"9824G661"</f>
        <v>9824G661</v>
      </c>
      <c r="H13088" s="1" t="str">
        <f>"도원지 12R1"</f>
        <v>도원지 12R1</v>
      </c>
      <c r="I13088" s="1" t="s">
        <v>15</v>
      </c>
      <c r="J13088" s="1" t="str">
        <f>"49/49"</f>
        <v>49/49</v>
      </c>
      <c r="K13088" s="1" t="str">
        <f>"2026-07-29 14:21:16"</f>
        <v>2026-07-29 14:21:16</v>
      </c>
      <c r="L13088" s="1" t="str">
        <f>"2022-11-17 13:26:55"</f>
        <v>2022-11-17 13:26:55</v>
      </c>
      <c r="M13088" s="1" t="s">
        <v>45</v>
      </c>
      <c r="N13088" s="1" t="s">
        <v>38</v>
      </c>
      <c r="O13088" s="1" t="s">
        <v>46</v>
      </c>
    </row>
    <row r="13089" spans="2:15" x14ac:dyDescent="0.3">
      <c r="B13089" s="1" t="s">
        <v>20</v>
      </c>
      <c r="C13089" s="1" t="str">
        <f>"5-2차"</f>
        <v>5-2차</v>
      </c>
      <c r="D13089" s="1" t="str">
        <f>"9824G6625M"</f>
        <v>9824G6625M</v>
      </c>
      <c r="E13089" s="1" t="s">
        <v>10</v>
      </c>
      <c r="F13089" s="1" t="str">
        <f>"fde1:103:4:55ee:0:0:0:2"</f>
        <v>fde1:103:4:55ee:0:0:0:2</v>
      </c>
      <c r="G13089" s="1" t="str">
        <f>"9824G662"</f>
        <v>9824G662</v>
      </c>
      <c r="H13089" s="1" t="str">
        <f>"도원지 12R1L1"</f>
        <v>도원지 12R1L1</v>
      </c>
      <c r="I13089" s="1" t="s">
        <v>15</v>
      </c>
      <c r="J13089" s="1" t="str">
        <f>"56/64"</f>
        <v>56/64</v>
      </c>
      <c r="K13089" s="1" t="str">
        <f>"2026-07-29 14:21:17"</f>
        <v>2026-07-29 14:21:17</v>
      </c>
      <c r="L13089" s="1" t="str">
        <f>"2023-09-01 10:34:37"</f>
        <v>2023-09-01 10:34:37</v>
      </c>
      <c r="M13089" s="1" t="s">
        <v>4</v>
      </c>
      <c r="N13089" s="1" t="s">
        <v>38</v>
      </c>
      <c r="O13089" s="1" t="s">
        <v>46</v>
      </c>
    </row>
    <row r="13090" spans="2:15" x14ac:dyDescent="0.3">
      <c r="B13090" s="1" t="s">
        <v>20</v>
      </c>
      <c r="C13090" s="1" t="str">
        <f>"4차"</f>
        <v>4차</v>
      </c>
      <c r="D13090" s="1" t="str">
        <f>"9824G68142"</f>
        <v>9824G68142</v>
      </c>
      <c r="E13090" s="1" t="s">
        <v>10</v>
      </c>
      <c r="F13090" s="1" t="str">
        <f>"10.125.225.154"</f>
        <v>10.125.225.154</v>
      </c>
      <c r="G13090" s="1" t="str">
        <f>"9824G681"</f>
        <v>9824G681</v>
      </c>
      <c r="H13090" s="1" t="str">
        <f>"도원지 9"</f>
        <v>도원지 9</v>
      </c>
      <c r="I13090" s="1" t="s">
        <v>8</v>
      </c>
      <c r="J13090" s="1" t="str">
        <f>"58/58"</f>
        <v>58/58</v>
      </c>
      <c r="K13090" s="1" t="str">
        <f>"2026-07-29 13:18:12"</f>
        <v>2026-07-29 13:18:12</v>
      </c>
      <c r="L13090" s="1" t="str">
        <f>"2025-01-24 12:55:16"</f>
        <v>2025-01-24 12:55:16</v>
      </c>
      <c r="M13090" s="1" t="s">
        <v>45</v>
      </c>
      <c r="N13090" s="1" t="s">
        <v>38</v>
      </c>
      <c r="O13090" s="1" t="s">
        <v>46</v>
      </c>
    </row>
    <row r="13091" spans="2:15" x14ac:dyDescent="0.3">
      <c r="B13091" s="1" t="s">
        <v>20</v>
      </c>
      <c r="C13091" s="1" t="str">
        <f>"1차"</f>
        <v>1차</v>
      </c>
      <c r="D13091" s="1" t="str">
        <f>"9824G68201"</f>
        <v>9824G68201</v>
      </c>
      <c r="E13091" s="1" t="s">
        <v>10</v>
      </c>
      <c r="F13091" s="1" t="str">
        <f>"10.125.240.215"</f>
        <v>10.125.240.215</v>
      </c>
      <c r="G13091" s="1" t="str">
        <f>"9824G682"</f>
        <v>9824G682</v>
      </c>
      <c r="H13091" s="1" t="str">
        <f>"도원지 10"</f>
        <v>도원지 10</v>
      </c>
      <c r="I13091" s="1" t="s">
        <v>8</v>
      </c>
      <c r="J13091" s="1" t="str">
        <f>"25/25"</f>
        <v>25/25</v>
      </c>
      <c r="K13091" s="1" t="str">
        <f>"2026-07-29 13:18:12"</f>
        <v>2026-07-29 13:18:12</v>
      </c>
      <c r="L13091" s="1" t="str">
        <f>"2014-11-30 00:14:07"</f>
        <v>2014-11-30 00:14:07</v>
      </c>
      <c r="M13091" s="1" t="s">
        <v>45</v>
      </c>
      <c r="N13091" s="1" t="s">
        <v>38</v>
      </c>
      <c r="O13091" s="1" t="s">
        <v>46</v>
      </c>
    </row>
    <row r="13092" spans="2:15" x14ac:dyDescent="0.3">
      <c r="B13092" s="1" t="s">
        <v>20</v>
      </c>
      <c r="C13092" s="1" t="str">
        <f>"4차"</f>
        <v>4차</v>
      </c>
      <c r="D13092" s="1" t="str">
        <f>"9824G68442"</f>
        <v>9824G68442</v>
      </c>
      <c r="E13092" s="1" t="s">
        <v>10</v>
      </c>
      <c r="F13092" s="1" t="str">
        <f>"10.12.129.182"</f>
        <v>10.12.129.182</v>
      </c>
      <c r="G13092" s="1" t="str">
        <f>"9824G684"</f>
        <v>9824G684</v>
      </c>
      <c r="H13092" s="1" t="str">
        <f>"도원지 9R2"</f>
        <v>도원지 9R2</v>
      </c>
      <c r="I13092" s="1" t="s">
        <v>8</v>
      </c>
      <c r="J13092" s="1" t="str">
        <f>"34/34"</f>
        <v>34/34</v>
      </c>
      <c r="K13092" s="1" t="str">
        <f>"2026-07-29 13:18:13"</f>
        <v>2026-07-29 13:18:13</v>
      </c>
      <c r="L13092" s="1" t="str">
        <f>"2025-01-22 17:52:11"</f>
        <v>2025-01-22 17:52:11</v>
      </c>
      <c r="M13092" s="1" t="s">
        <v>0</v>
      </c>
      <c r="N13092" s="1" t="s">
        <v>38</v>
      </c>
      <c r="O13092" s="1" t="s">
        <v>46</v>
      </c>
    </row>
    <row r="13093" spans="2:15" x14ac:dyDescent="0.3">
      <c r="B13093" s="1" t="s">
        <v>20</v>
      </c>
      <c r="C13093" s="1" t="str">
        <f>"4차"</f>
        <v>4차</v>
      </c>
      <c r="D13093" s="1" t="str">
        <f>"9824G73439"</f>
        <v>9824G73439</v>
      </c>
      <c r="E13093" s="1" t="s">
        <v>10</v>
      </c>
      <c r="F13093" s="1" t="str">
        <f>"10.12.137.3"</f>
        <v>10.12.137.3</v>
      </c>
      <c r="G13093" s="1" t="str">
        <f>"9824G734"</f>
        <v>9824G734</v>
      </c>
      <c r="H13093" s="1" t="str">
        <f>"도원 1"</f>
        <v>도원 1</v>
      </c>
      <c r="I13093" s="1" t="s">
        <v>17</v>
      </c>
      <c r="J13093" s="1" t="str">
        <f>"22/28"</f>
        <v>22/28</v>
      </c>
      <c r="K13093" s="1" t="str">
        <f>"2026-07-29 13:18:12"</f>
        <v>2026-07-29 13:18:12</v>
      </c>
      <c r="L13093" s="1" t="str">
        <f>"2018-10-12 10:42:10"</f>
        <v>2018-10-12 10:42:10</v>
      </c>
      <c r="M13093" s="1" t="s">
        <v>0</v>
      </c>
      <c r="N13093" s="1" t="s">
        <v>38</v>
      </c>
      <c r="O13093" s="1" t="s">
        <v>46</v>
      </c>
    </row>
    <row r="13094" spans="2:15" x14ac:dyDescent="0.3">
      <c r="B13094" s="1" t="s">
        <v>20</v>
      </c>
      <c r="C13094" s="1" t="str">
        <f>"5-2차"</f>
        <v>5-2차</v>
      </c>
      <c r="D13094" s="1" t="str">
        <f>"9824G7625M"</f>
        <v>9824G7625M</v>
      </c>
      <c r="E13094" s="1" t="s">
        <v>10</v>
      </c>
      <c r="F13094" s="1" t="str">
        <f>"fde3:102:1301:2400:0:0:0:6"</f>
        <v>fde3:102:1301:2400:0:0:0:6</v>
      </c>
      <c r="G13094" s="1" t="str">
        <f>"9824G762"</f>
        <v>9824G762</v>
      </c>
      <c r="H13094" s="1" t="str">
        <f>"도원지 13"</f>
        <v>도원지 13</v>
      </c>
      <c r="I13094" s="1" t="s">
        <v>15</v>
      </c>
      <c r="J13094" s="1" t="str">
        <f>"49/49"</f>
        <v>49/49</v>
      </c>
      <c r="K13094" s="1" t="str">
        <f>"2026-07-29 14:21:16"</f>
        <v>2026-07-29 14:21:16</v>
      </c>
      <c r="L13094" s="1" t="str">
        <f>"2023-09-21 09:10:55"</f>
        <v>2023-09-21 09:10:55</v>
      </c>
      <c r="M13094" s="1" t="s">
        <v>45</v>
      </c>
      <c r="N13094" s="1" t="s">
        <v>38</v>
      </c>
      <c r="O13094" s="1" t="s">
        <v>46</v>
      </c>
    </row>
    <row r="13095" spans="2:15" x14ac:dyDescent="0.3">
      <c r="B13095" s="1" t="s">
        <v>20</v>
      </c>
      <c r="C13095" s="1" t="str">
        <f>"5-2차"</f>
        <v>5-2차</v>
      </c>
      <c r="D13095" s="1" t="str">
        <f>"9824G7925M"</f>
        <v>9824G7925M</v>
      </c>
      <c r="E13095" s="1" t="s">
        <v>10</v>
      </c>
      <c r="F13095" s="1" t="str">
        <f>"fde3:102:1301:2400:0:0:0:10"</f>
        <v>fde3:102:1301:2400:0:0:0:10</v>
      </c>
      <c r="G13095" s="1" t="str">
        <f>"9824G792"</f>
        <v>9824G792</v>
      </c>
      <c r="H13095" s="1" t="str">
        <f>"도원지 4L6"</f>
        <v>도원지 4L6</v>
      </c>
      <c r="I13095" s="1" t="s">
        <v>15</v>
      </c>
      <c r="J13095" s="1" t="str">
        <f>"64/64"</f>
        <v>64/64</v>
      </c>
      <c r="K13095" s="1" t="str">
        <f>"2026-07-29 14:21:16"</f>
        <v>2026-07-29 14:21:16</v>
      </c>
      <c r="L13095" s="1" t="str">
        <f>"2023-10-17 14:11:58"</f>
        <v>2023-10-17 14:11:58</v>
      </c>
      <c r="M13095" s="1" t="s">
        <v>45</v>
      </c>
      <c r="N13095" s="1" t="s">
        <v>38</v>
      </c>
      <c r="O13095" s="1" t="s">
        <v>46</v>
      </c>
    </row>
    <row r="13096" spans="2:15" x14ac:dyDescent="0.3">
      <c r="B13096" s="1" t="s">
        <v>20</v>
      </c>
      <c r="C13096" s="1" t="str">
        <f>"6차"</f>
        <v>6차</v>
      </c>
      <c r="D13096" s="1" t="str">
        <f>"9824G8516S"</f>
        <v>9824G8516S</v>
      </c>
      <c r="E13096" s="1" t="s">
        <v>10</v>
      </c>
      <c r="F13096" s="1" t="str">
        <f>"fde1:103:4:c692:0:0:0:2"</f>
        <v>fde1:103:4:c692:0:0:0:2</v>
      </c>
      <c r="G13096" s="1" t="str">
        <f>"9824G851"</f>
        <v>9824G851</v>
      </c>
      <c r="H13096" s="1" t="str">
        <f>"도원지 15"</f>
        <v>도원지 15</v>
      </c>
      <c r="I13096" s="1" t="s">
        <v>15</v>
      </c>
      <c r="J13096" s="1" t="str">
        <f>"50/51"</f>
        <v>50/51</v>
      </c>
      <c r="K13096" s="1" t="str">
        <f>"2026-07-29 14:21:17"</f>
        <v>2026-07-29 14:21:17</v>
      </c>
      <c r="L13096" s="1" t="str">
        <f>"2024-11-07 08:37:42"</f>
        <v>2024-11-07 08:37:42</v>
      </c>
      <c r="M13096" s="1" t="s">
        <v>4</v>
      </c>
      <c r="N13096" s="1" t="s">
        <v>38</v>
      </c>
      <c r="O13096" s="1" t="s">
        <v>46</v>
      </c>
    </row>
    <row r="13097" spans="2:15" x14ac:dyDescent="0.3">
      <c r="B13097" s="1" t="s">
        <v>20</v>
      </c>
      <c r="C13097" s="1" t="str">
        <f>"5-2차"</f>
        <v>5-2차</v>
      </c>
      <c r="D13097" s="1" t="str">
        <f>"9824G9325M"</f>
        <v>9824G9325M</v>
      </c>
      <c r="E13097" s="1" t="s">
        <v>10</v>
      </c>
      <c r="F13097" s="1" t="str">
        <f>"fde1:103:4:5630:0:0:0:2"</f>
        <v>fde1:103:4:5630:0:0:0:2</v>
      </c>
      <c r="G13097" s="1" t="str">
        <f>"9824G932"</f>
        <v>9824G932</v>
      </c>
      <c r="H13097" s="1" t="str">
        <f>"도원지 19"</f>
        <v>도원지 19</v>
      </c>
      <c r="I13097" s="1" t="s">
        <v>15</v>
      </c>
      <c r="J13097" s="1" t="str">
        <f>"29/29"</f>
        <v>29/29</v>
      </c>
      <c r="K13097" s="1" t="str">
        <f>"2026-07-29 14:21:17"</f>
        <v>2026-07-29 14:21:17</v>
      </c>
      <c r="L13097" s="1" t="str">
        <f>"2023-09-01 10:48:05"</f>
        <v>2023-09-01 10:48:05</v>
      </c>
      <c r="M13097" s="1" t="s">
        <v>4</v>
      </c>
      <c r="N13097" s="1" t="s">
        <v>38</v>
      </c>
      <c r="O13097" s="1" t="s">
        <v>46</v>
      </c>
    </row>
    <row r="13098" spans="2:15" x14ac:dyDescent="0.3">
      <c r="B13098" s="1" t="s">
        <v>20</v>
      </c>
      <c r="C13098" s="1" t="str">
        <f>"5-1차"</f>
        <v>5-1차</v>
      </c>
      <c r="D13098" s="1" t="str">
        <f>"9824G9815M"</f>
        <v>9824G9815M</v>
      </c>
      <c r="E13098" s="1" t="s">
        <v>10</v>
      </c>
      <c r="F13098" s="1" t="str">
        <f>"fde3:102:1301:2600:0:0:0:6"</f>
        <v>fde3:102:1301:2600:0:0:0:6</v>
      </c>
      <c r="G13098" s="1" t="str">
        <f>"9824G981"</f>
        <v>9824G981</v>
      </c>
      <c r="H13098" s="1" t="str">
        <f>"도원지 16L12"</f>
        <v>도원지 16L12</v>
      </c>
      <c r="I13098" s="1" t="s">
        <v>15</v>
      </c>
      <c r="J13098" s="1" t="str">
        <f>"71/71"</f>
        <v>71/71</v>
      </c>
      <c r="K13098" s="1" t="str">
        <f>"2026-07-29 14:21:17"</f>
        <v>2026-07-29 14:21:17</v>
      </c>
      <c r="L13098" s="1" t="str">
        <f>"2022-12-08 13:28:05"</f>
        <v>2022-12-08 13:28:05</v>
      </c>
      <c r="M13098" s="1" t="s">
        <v>45</v>
      </c>
      <c r="N13098" s="1" t="s">
        <v>38</v>
      </c>
      <c r="O13098" s="1" t="s">
        <v>46</v>
      </c>
    </row>
    <row r="13099" spans="2:15" x14ac:dyDescent="0.3">
      <c r="B13099" s="1" t="s">
        <v>20</v>
      </c>
      <c r="C13099" s="1" t="str">
        <f>"5-1차"</f>
        <v>5-1차</v>
      </c>
      <c r="D13099" s="1" t="str">
        <f>"9824G9925M"</f>
        <v>9824G9925M</v>
      </c>
      <c r="E13099" s="1" t="s">
        <v>10</v>
      </c>
      <c r="F13099" s="1" t="str">
        <f>"fde3:102:1301:2400:0:0:0:3"</f>
        <v>fde3:102:1301:2400:0:0:0:3</v>
      </c>
      <c r="G13099" s="1" t="str">
        <f>"9824G992"</f>
        <v>9824G992</v>
      </c>
      <c r="H13099" s="1" t="str">
        <f>"도원지 16L11L1"</f>
        <v>도원지 16L11L1</v>
      </c>
      <c r="I13099" s="1" t="s">
        <v>15</v>
      </c>
      <c r="J13099" s="1" t="str">
        <f>"47/47"</f>
        <v>47/47</v>
      </c>
      <c r="K13099" s="1" t="str">
        <f>"2026-07-29 14:21:17"</f>
        <v>2026-07-29 14:21:17</v>
      </c>
      <c r="L13099" s="1" t="str">
        <f>"2022-11-17 13:29:08"</f>
        <v>2022-11-17 13:29:08</v>
      </c>
      <c r="M13099" s="1" t="s">
        <v>45</v>
      </c>
      <c r="N13099" s="1" t="s">
        <v>38</v>
      </c>
      <c r="O13099" s="1" t="s">
        <v>46</v>
      </c>
    </row>
    <row r="13100" spans="2:15" x14ac:dyDescent="0.3">
      <c r="B13100" s="1" t="s">
        <v>20</v>
      </c>
      <c r="C13100" s="1" t="str">
        <f>"5-2차"</f>
        <v>5-2차</v>
      </c>
      <c r="D13100" s="1" t="str">
        <f>"9824H0115S"</f>
        <v>9824H0115S</v>
      </c>
      <c r="E13100" s="1" t="s">
        <v>10</v>
      </c>
      <c r="F13100" s="1" t="str">
        <f>"fde3:102:1301:2500:0:0:0:10"</f>
        <v>fde3:102:1301:2500:0:0:0:10</v>
      </c>
      <c r="G13100" s="1" t="str">
        <f>"9824H011"</f>
        <v>9824H011</v>
      </c>
      <c r="H13100" s="1" t="str">
        <f>"전자간 13L3"</f>
        <v>전자간 13L3</v>
      </c>
      <c r="I13100" s="1" t="s">
        <v>15</v>
      </c>
      <c r="J13100" s="1" t="str">
        <f>"38/38"</f>
        <v>38/38</v>
      </c>
      <c r="K13100" s="1" t="str">
        <f>"2026-07-29 14:21:16"</f>
        <v>2026-07-29 14:21:16</v>
      </c>
      <c r="L13100" s="1" t="str">
        <f>"2023-12-22 10:16:44"</f>
        <v>2023-12-22 10:16:44</v>
      </c>
      <c r="M13100" s="1" t="s">
        <v>45</v>
      </c>
      <c r="N13100" s="1" t="s">
        <v>38</v>
      </c>
      <c r="O13100" s="1" t="s">
        <v>46</v>
      </c>
    </row>
    <row r="13101" spans="2:15" x14ac:dyDescent="0.3">
      <c r="B13101" s="1" t="s">
        <v>20</v>
      </c>
      <c r="C13101" s="1" t="str">
        <f>"5-2차"</f>
        <v>5-2차</v>
      </c>
      <c r="D13101" s="1" t="str">
        <f>"9824H1135M"</f>
        <v>9824H1135M</v>
      </c>
      <c r="E13101" s="1" t="s">
        <v>10</v>
      </c>
      <c r="F13101" s="1" t="str">
        <f>"fde1:103:4:5621:0:0:0:2"</f>
        <v>fde1:103:4:5621:0:0:0:2</v>
      </c>
      <c r="G13101" s="1" t="str">
        <f>"9824H113"</f>
        <v>9824H113</v>
      </c>
      <c r="H13101" s="1" t="str">
        <f>"전자간 20L2L2"</f>
        <v>전자간 20L2L2</v>
      </c>
      <c r="I13101" s="1" t="s">
        <v>15</v>
      </c>
      <c r="J13101" s="1" t="str">
        <f>"11/11"</f>
        <v>11/11</v>
      </c>
      <c r="K13101" s="1" t="str">
        <f>"2026-07-29 14:21:17"</f>
        <v>2026-07-29 14:21:17</v>
      </c>
      <c r="L13101" s="1" t="str">
        <f>"2023-09-01 11:04:00"</f>
        <v>2023-09-01 11:04:00</v>
      </c>
      <c r="M13101" s="1" t="s">
        <v>4</v>
      </c>
      <c r="N13101" s="1" t="s">
        <v>38</v>
      </c>
      <c r="O13101" s="1" t="s">
        <v>46</v>
      </c>
    </row>
    <row r="13102" spans="2:15" x14ac:dyDescent="0.3">
      <c r="B13102" s="1" t="s">
        <v>20</v>
      </c>
      <c r="C13102" s="1" t="str">
        <f>"5-2차"</f>
        <v>5-2차</v>
      </c>
      <c r="D13102" s="1" t="str">
        <f>"9824H1555M"</f>
        <v>9824H1555M</v>
      </c>
      <c r="E13102" s="1" t="s">
        <v>10</v>
      </c>
      <c r="F13102" s="1" t="str">
        <f>"fde3:102:1301:2500:0:0:0:3"</f>
        <v>fde3:102:1301:2500:0:0:0:3</v>
      </c>
      <c r="G13102" s="1" t="str">
        <f>"9824H155"</f>
        <v>9824H155</v>
      </c>
      <c r="H13102" s="1" t="str">
        <f>"도원지 16L18R1"</f>
        <v>도원지 16L18R1</v>
      </c>
      <c r="I13102" s="1" t="s">
        <v>15</v>
      </c>
      <c r="J13102" s="1" t="str">
        <f>"46/46"</f>
        <v>46/46</v>
      </c>
      <c r="K13102" s="1" t="str">
        <f>"2026-07-29 14:21:17"</f>
        <v>2026-07-29 14:21:17</v>
      </c>
      <c r="L13102" s="1" t="str">
        <f>"2023-09-21 14:45:41"</f>
        <v>2023-09-21 14:45:41</v>
      </c>
      <c r="M13102" s="1" t="s">
        <v>45</v>
      </c>
      <c r="N13102" s="1" t="s">
        <v>38</v>
      </c>
      <c r="O13102" s="1" t="s">
        <v>46</v>
      </c>
    </row>
    <row r="13103" spans="2:15" x14ac:dyDescent="0.3">
      <c r="B13103" s="1" t="s">
        <v>20</v>
      </c>
      <c r="C13103" s="1" t="str">
        <f>"5-2차"</f>
        <v>5-2차</v>
      </c>
      <c r="D13103" s="1" t="str">
        <f>"9824H1615S"</f>
        <v>9824H1615S</v>
      </c>
      <c r="E13103" s="1" t="s">
        <v>10</v>
      </c>
      <c r="F13103" s="1" t="str">
        <f>"fde1:103:4:5996:0:0:0:2"</f>
        <v>fde1:103:4:5996:0:0:0:2</v>
      </c>
      <c r="G13103" s="1" t="str">
        <f>"9824H161"</f>
        <v>9824H161</v>
      </c>
      <c r="H13103" s="1" t="str">
        <f>"도원지 16L19"</f>
        <v>도원지 16L19</v>
      </c>
      <c r="I13103" s="1" t="s">
        <v>15</v>
      </c>
      <c r="J13103" s="1" t="str">
        <f>"61/61"</f>
        <v>61/61</v>
      </c>
      <c r="K13103" s="1" t="str">
        <f>"2026-07-29 14:21:18"</f>
        <v>2026-07-29 14:21:18</v>
      </c>
      <c r="L13103" s="1" t="str">
        <f>"2023-09-12 11:33:07"</f>
        <v>2023-09-12 11:33:07</v>
      </c>
      <c r="M13103" s="1" t="s">
        <v>4</v>
      </c>
      <c r="N13103" s="1" t="s">
        <v>38</v>
      </c>
      <c r="O13103" s="1" t="s">
        <v>46</v>
      </c>
    </row>
    <row r="13104" spans="2:15" x14ac:dyDescent="0.3">
      <c r="B13104" s="1" t="s">
        <v>20</v>
      </c>
      <c r="C13104" s="1" t="str">
        <f>"5-2차"</f>
        <v>5-2차</v>
      </c>
      <c r="D13104" s="1" t="str">
        <f>"9824H1635M"</f>
        <v>9824H1635M</v>
      </c>
      <c r="E13104" s="1" t="s">
        <v>10</v>
      </c>
      <c r="F13104" s="1" t="str">
        <f>"fde1:103:4:562f:0:0:0:2"</f>
        <v>fde1:103:4:562f:0:0:0:2</v>
      </c>
      <c r="G13104" s="1" t="str">
        <f>"9824H163"</f>
        <v>9824H163</v>
      </c>
      <c r="H13104" s="1" t="str">
        <f>"도원지 16L20"</f>
        <v>도원지 16L20</v>
      </c>
      <c r="I13104" s="1" t="s">
        <v>15</v>
      </c>
      <c r="J13104" s="1" t="str">
        <f>"75/75"</f>
        <v>75/75</v>
      </c>
      <c r="K13104" s="1" t="str">
        <f>"2026-07-29 14:21:18"</f>
        <v>2026-07-29 14:21:18</v>
      </c>
      <c r="L13104" s="1" t="str">
        <f>"2023-09-01 11:15:40"</f>
        <v>2023-09-01 11:15:40</v>
      </c>
      <c r="M13104" s="1" t="s">
        <v>4</v>
      </c>
      <c r="N13104" s="1" t="s">
        <v>38</v>
      </c>
      <c r="O13104" s="1" t="s">
        <v>46</v>
      </c>
    </row>
    <row r="13105" spans="2:15" x14ac:dyDescent="0.3">
      <c r="B13105" s="1" t="s">
        <v>20</v>
      </c>
      <c r="C13105" s="1" t="str">
        <f>"5-1차"</f>
        <v>5-1차</v>
      </c>
      <c r="D13105" s="1" t="str">
        <f>"9824H1715S"</f>
        <v>9824H1715S</v>
      </c>
      <c r="E13105" s="1" t="s">
        <v>10</v>
      </c>
      <c r="F13105" s="1" t="str">
        <f>"fde3:102:1301:2400:0:0:0:4"</f>
        <v>fde3:102:1301:2400:0:0:0:4</v>
      </c>
      <c r="G13105" s="1" t="str">
        <f>"9824H171"</f>
        <v>9824H171</v>
      </c>
      <c r="H13105" s="1" t="str">
        <f>"도원지 16L19L1"</f>
        <v>도원지 16L19L1</v>
      </c>
      <c r="I13105" s="1" t="s">
        <v>15</v>
      </c>
      <c r="J13105" s="1" t="str">
        <f>"82/82"</f>
        <v>82/82</v>
      </c>
      <c r="K13105" s="1" t="str">
        <f>"2026-07-29 14:21:18"</f>
        <v>2026-07-29 14:21:18</v>
      </c>
      <c r="L13105" s="1" t="str">
        <f>"2022-11-17 13:33:42"</f>
        <v>2022-11-17 13:33:42</v>
      </c>
      <c r="M13105" s="1" t="s">
        <v>45</v>
      </c>
      <c r="N13105" s="1" t="s">
        <v>38</v>
      </c>
      <c r="O13105" s="1" t="s">
        <v>46</v>
      </c>
    </row>
    <row r="13106" spans="2:15" x14ac:dyDescent="0.3">
      <c r="B13106" s="1" t="s">
        <v>20</v>
      </c>
      <c r="C13106" s="1" t="str">
        <f>"5-2차"</f>
        <v>5-2차</v>
      </c>
      <c r="D13106" s="1" t="str">
        <f>"9824H1815M"</f>
        <v>9824H1815M</v>
      </c>
      <c r="E13106" s="1" t="s">
        <v>10</v>
      </c>
      <c r="F13106" s="1" t="str">
        <f>"fde3:102:1301:2400:0:0:0:7"</f>
        <v>fde3:102:1301:2400:0:0:0:7</v>
      </c>
      <c r="G13106" s="1" t="str">
        <f>"9824H181"</f>
        <v>9824H181</v>
      </c>
      <c r="H13106" s="1" t="str">
        <f>"도원지 16L19L2"</f>
        <v>도원지 16L19L2</v>
      </c>
      <c r="I13106" s="1" t="s">
        <v>15</v>
      </c>
      <c r="J13106" s="1" t="str">
        <f>"32/46"</f>
        <v>32/46</v>
      </c>
      <c r="K13106" s="1" t="str">
        <f>"2026-07-29 14:21:18"</f>
        <v>2026-07-29 14:21:18</v>
      </c>
      <c r="L13106" s="1" t="str">
        <f>"2023-09-21 14:58:22"</f>
        <v>2023-09-21 14:58:22</v>
      </c>
      <c r="M13106" s="1" t="s">
        <v>45</v>
      </c>
      <c r="N13106" s="1" t="s">
        <v>38</v>
      </c>
      <c r="O13106" s="1" t="s">
        <v>46</v>
      </c>
    </row>
    <row r="13107" spans="2:15" x14ac:dyDescent="0.3">
      <c r="B13107" s="1" t="s">
        <v>20</v>
      </c>
      <c r="C13107" s="1" t="str">
        <f>"6차"</f>
        <v>6차</v>
      </c>
      <c r="D13107" s="1" t="str">
        <f>"9824H1926S"</f>
        <v>9824H1926S</v>
      </c>
      <c r="E13107" s="1" t="s">
        <v>10</v>
      </c>
      <c r="F13107" s="1" t="str">
        <f>"fde1:103:4:c693:0:0:0:2"</f>
        <v>fde1:103:4:c693:0:0:0:2</v>
      </c>
      <c r="G13107" s="1" t="str">
        <f>"9824H192"</f>
        <v>9824H192</v>
      </c>
      <c r="H13107" s="1" t="str">
        <f>"도원지 16L11L1R3"</f>
        <v>도원지 16L11L1R3</v>
      </c>
      <c r="I13107" s="1" t="s">
        <v>15</v>
      </c>
      <c r="J13107" s="1" t="str">
        <f>"31/31"</f>
        <v>31/31</v>
      </c>
      <c r="K13107" s="1" t="str">
        <f>"2026-07-29 08:21:31"</f>
        <v>2026-07-29 08:21:31</v>
      </c>
      <c r="L13107" s="1" t="str">
        <f>"2024-11-07 08:37:51"</f>
        <v>2024-11-07 08:37:51</v>
      </c>
      <c r="M13107" s="1" t="s">
        <v>4</v>
      </c>
      <c r="N13107" s="1" t="s">
        <v>38</v>
      </c>
      <c r="O13107" s="1" t="s">
        <v>46</v>
      </c>
    </row>
    <row r="13108" spans="2:15" x14ac:dyDescent="0.3">
      <c r="B13108" s="1" t="s">
        <v>20</v>
      </c>
      <c r="C13108" s="1" t="str">
        <f>"5-1차"</f>
        <v>5-1차</v>
      </c>
      <c r="D13108" s="1" t="str">
        <f>"9824H2815M"</f>
        <v>9824H2815M</v>
      </c>
      <c r="E13108" s="1" t="s">
        <v>10</v>
      </c>
      <c r="F13108" s="1" t="str">
        <f>"fde3:102:1301:2400:0:0:0:5"</f>
        <v>fde3:102:1301:2400:0:0:0:5</v>
      </c>
      <c r="G13108" s="1" t="str">
        <f>"9824H281"</f>
        <v>9824H281</v>
      </c>
      <c r="H13108" s="1" t="str">
        <f>"도원지 16L19L5"</f>
        <v>도원지 16L19L5</v>
      </c>
      <c r="I13108" s="1" t="s">
        <v>15</v>
      </c>
      <c r="J13108" s="1" t="str">
        <f>"67/67"</f>
        <v>67/67</v>
      </c>
      <c r="K13108" s="1" t="str">
        <f>"2026-07-29 14:21:18"</f>
        <v>2026-07-29 14:21:18</v>
      </c>
      <c r="L13108" s="1" t="str">
        <f>"2022-11-17 13:28:29"</f>
        <v>2022-11-17 13:28:29</v>
      </c>
      <c r="M13108" s="1" t="s">
        <v>45</v>
      </c>
      <c r="N13108" s="1" t="s">
        <v>38</v>
      </c>
      <c r="O13108" s="1" t="s">
        <v>46</v>
      </c>
    </row>
    <row r="13109" spans="2:15" x14ac:dyDescent="0.3">
      <c r="B13109" s="1" t="s">
        <v>20</v>
      </c>
      <c r="C13109" s="1" t="str">
        <f>"5-2차"</f>
        <v>5-2차</v>
      </c>
      <c r="D13109" s="1" t="str">
        <f>"9824H3015M"</f>
        <v>9824H3015M</v>
      </c>
      <c r="E13109" s="1" t="s">
        <v>10</v>
      </c>
      <c r="F13109" s="1" t="str">
        <f>"fde3:102:1301:2300:0:0:0:a"</f>
        <v>fde3:102:1301:2300:0:0:0:a</v>
      </c>
      <c r="G13109" s="1" t="str">
        <f>"9824H301"</f>
        <v>9824H301</v>
      </c>
      <c r="H13109" s="1" t="str">
        <f>"전자간 22"</f>
        <v>전자간 22</v>
      </c>
      <c r="I13109" s="1" t="s">
        <v>15</v>
      </c>
      <c r="J13109" s="1" t="str">
        <f>"21/21"</f>
        <v>21/21</v>
      </c>
      <c r="K13109" s="1" t="str">
        <f>"2026-07-29 14:21:26"</f>
        <v>2026-07-29 14:21:26</v>
      </c>
      <c r="L13109" s="1" t="str">
        <f>"2023-11-23 18:43:59"</f>
        <v>2023-11-23 18:43:59</v>
      </c>
      <c r="M13109" s="1" t="s">
        <v>45</v>
      </c>
      <c r="N13109" s="1" t="s">
        <v>38</v>
      </c>
      <c r="O13109" s="1" t="s">
        <v>46</v>
      </c>
    </row>
    <row r="13110" spans="2:15" x14ac:dyDescent="0.3">
      <c r="B13110" s="1" t="s">
        <v>20</v>
      </c>
      <c r="C13110" s="1" t="str">
        <f>"5-2차"</f>
        <v>5-2차</v>
      </c>
      <c r="D13110" s="1" t="str">
        <f>"9824H3615S"</f>
        <v>9824H3615S</v>
      </c>
      <c r="E13110" s="1" t="s">
        <v>10</v>
      </c>
      <c r="F13110" s="1" t="str">
        <f>"fde1:103:4:59d6:0:0:0:2"</f>
        <v>fde1:103:4:59d6:0:0:0:2</v>
      </c>
      <c r="G13110" s="1" t="str">
        <f>"9824H361"</f>
        <v>9824H361</v>
      </c>
      <c r="H13110" s="1" t="str">
        <f>"도원지 16L25R1"</f>
        <v>도원지 16L25R1</v>
      </c>
      <c r="I13110" s="1" t="s">
        <v>15</v>
      </c>
      <c r="J13110" s="1" t="str">
        <f>"25/25"</f>
        <v>25/25</v>
      </c>
      <c r="K13110" s="1" t="str">
        <f>"2026-07-29 14:21:18"</f>
        <v>2026-07-29 14:21:18</v>
      </c>
      <c r="L13110" s="1" t="str">
        <f>"2023-09-12 11:34:26"</f>
        <v>2023-09-12 11:34:26</v>
      </c>
      <c r="M13110" s="1" t="s">
        <v>4</v>
      </c>
      <c r="N13110" s="1" t="s">
        <v>38</v>
      </c>
      <c r="O13110" s="1" t="s">
        <v>46</v>
      </c>
    </row>
    <row r="13111" spans="2:15" x14ac:dyDescent="0.3">
      <c r="B13111" s="1" t="s">
        <v>20</v>
      </c>
      <c r="C13111" s="1" t="str">
        <f>"5-2차"</f>
        <v>5-2차</v>
      </c>
      <c r="D13111" s="1" t="str">
        <f>"9824H3715M"</f>
        <v>9824H3715M</v>
      </c>
      <c r="E13111" s="1" t="s">
        <v>10</v>
      </c>
      <c r="F13111" s="1" t="str">
        <f>"fde3:102:1301:2500:0:0:0:4"</f>
        <v>fde3:102:1301:2500:0:0:0:4</v>
      </c>
      <c r="G13111" s="1" t="str">
        <f>"9824H371"</f>
        <v>9824H371</v>
      </c>
      <c r="H13111" s="1" t="str">
        <f>"도원지 16L22"</f>
        <v>도원지 16L22</v>
      </c>
      <c r="I13111" s="1" t="s">
        <v>15</v>
      </c>
      <c r="J13111" s="1" t="str">
        <f>"122/122"</f>
        <v>122/122</v>
      </c>
      <c r="K13111" s="1" t="str">
        <f>"2026-07-29 14:21:18"</f>
        <v>2026-07-29 14:21:18</v>
      </c>
      <c r="L13111" s="1" t="str">
        <f>"2023-10-13 13:50:46"</f>
        <v>2023-10-13 13:50:46</v>
      </c>
      <c r="M13111" s="1" t="s">
        <v>45</v>
      </c>
      <c r="N13111" s="1" t="s">
        <v>38</v>
      </c>
      <c r="O13111" s="1" t="s">
        <v>46</v>
      </c>
    </row>
    <row r="13112" spans="2:15" x14ac:dyDescent="0.3">
      <c r="B13112" s="1" t="s">
        <v>20</v>
      </c>
      <c r="C13112" s="1" t="str">
        <f>"6차"</f>
        <v>6차</v>
      </c>
      <c r="D13112" s="1" t="str">
        <f>"9824H4516S"</f>
        <v>9824H4516S</v>
      </c>
      <c r="E13112" s="1" t="s">
        <v>10</v>
      </c>
      <c r="F13112" s="1" t="str">
        <f>"fde1:103:4:c6cc:0:0:0:2"</f>
        <v>fde1:103:4:c6cc:0:0:0:2</v>
      </c>
      <c r="G13112" s="1" t="str">
        <f>"9824H451"</f>
        <v>9824H451</v>
      </c>
      <c r="H13112" s="1" t="str">
        <f>"도원지 16L26R1"</f>
        <v>도원지 16L26R1</v>
      </c>
      <c r="I13112" s="1" t="s">
        <v>15</v>
      </c>
      <c r="J13112" s="1" t="str">
        <f>"61/61"</f>
        <v>61/61</v>
      </c>
      <c r="K13112" s="1" t="str">
        <f>"2026-07-29 08:20:38"</f>
        <v>2026-07-29 08:20:38</v>
      </c>
      <c r="L13112" s="1" t="str">
        <f>"2024-11-07 08:46:38"</f>
        <v>2024-11-07 08:46:38</v>
      </c>
      <c r="M13112" s="1" t="s">
        <v>4</v>
      </c>
      <c r="N13112" s="1" t="s">
        <v>38</v>
      </c>
      <c r="O13112" s="1" t="s">
        <v>46</v>
      </c>
    </row>
    <row r="13113" spans="2:15" x14ac:dyDescent="0.3">
      <c r="B13113" s="1" t="s">
        <v>20</v>
      </c>
      <c r="C13113" s="1" t="str">
        <f>"6차"</f>
        <v>6차</v>
      </c>
      <c r="D13113" s="1" t="str">
        <f>"9824H4636S"</f>
        <v>9824H4636S</v>
      </c>
      <c r="E13113" s="1" t="s">
        <v>12</v>
      </c>
      <c r="F13113" s="1" t="str">
        <f>"fde3:102:1301:1900:0:0:0:2"</f>
        <v>fde3:102:1301:1900:0:0:0:2</v>
      </c>
      <c r="G13113" s="1" t="str">
        <f>"9824H463"</f>
        <v>9824H463</v>
      </c>
      <c r="H13113" s="1" t="str">
        <f>"도원지 16L24"</f>
        <v>도원지 16L24</v>
      </c>
      <c r="I13113" s="1" t="s">
        <v>15</v>
      </c>
      <c r="J13113" s="1" t="str">
        <f>"0/42"</f>
        <v>0/42</v>
      </c>
      <c r="K13113" s="1" t="str">
        <f>"2026-07-28 02:21:29"</f>
        <v>2026-07-28 02:21:29</v>
      </c>
      <c r="L13113" s="1" t="str">
        <f>"2024-12-02 13:07:26"</f>
        <v>2024-12-02 13:07:26</v>
      </c>
      <c r="M13113" s="1" t="s">
        <v>45</v>
      </c>
      <c r="N13113" s="1" t="s">
        <v>38</v>
      </c>
      <c r="O13113" s="1" t="s">
        <v>46</v>
      </c>
    </row>
    <row r="13114" spans="2:15" x14ac:dyDescent="0.3">
      <c r="B13114" s="1" t="s">
        <v>20</v>
      </c>
      <c r="C13114" s="1" t="str">
        <f>"6차"</f>
        <v>6차</v>
      </c>
      <c r="D13114" s="1" t="str">
        <f>"9824H4846S"</f>
        <v>9824H4846S</v>
      </c>
      <c r="E13114" s="1" t="s">
        <v>10</v>
      </c>
      <c r="F13114" s="1" t="str">
        <f>"fde1:103:4:c727:0:0:0:2"</f>
        <v>fde1:103:4:c727:0:0:0:2</v>
      </c>
      <c r="G13114" s="1" t="str">
        <f>"9824H484"</f>
        <v>9824H484</v>
      </c>
      <c r="H13114" s="1" t="str">
        <f>"도원지 16L23L3"</f>
        <v>도원지 16L23L3</v>
      </c>
      <c r="I13114" s="1" t="s">
        <v>15</v>
      </c>
      <c r="J13114" s="1" t="str">
        <f>"79/79"</f>
        <v>79/79</v>
      </c>
      <c r="K13114" s="1" t="str">
        <f>"2026-07-29 14:21:19"</f>
        <v>2026-07-29 14:21:19</v>
      </c>
      <c r="L13114" s="1" t="str">
        <f>"2024-11-22 15:55:49"</f>
        <v>2024-11-22 15:55:49</v>
      </c>
      <c r="M13114" s="1" t="s">
        <v>4</v>
      </c>
      <c r="N13114" s="1" t="s">
        <v>38</v>
      </c>
      <c r="O13114" s="1" t="s">
        <v>46</v>
      </c>
    </row>
    <row r="13115" spans="2:15" x14ac:dyDescent="0.3">
      <c r="B13115" s="1" t="s">
        <v>20</v>
      </c>
      <c r="C13115" s="1" t="str">
        <f>"5-1차"</f>
        <v>5-1차</v>
      </c>
      <c r="D13115" s="1" t="str">
        <f>"9824H5325M"</f>
        <v>9824H5325M</v>
      </c>
      <c r="E13115" s="1" t="s">
        <v>10</v>
      </c>
      <c r="F13115" s="1" t="str">
        <f>"fde3:102:1301:2500:0:0:0:2"</f>
        <v>fde3:102:1301:2500:0:0:0:2</v>
      </c>
      <c r="G13115" s="1" t="str">
        <f>"9824H532"</f>
        <v>9824H532</v>
      </c>
      <c r="H13115" s="1" t="str">
        <f>"전자간 26L5R1"</f>
        <v>전자간 26L5R1</v>
      </c>
      <c r="I13115" s="1" t="s">
        <v>15</v>
      </c>
      <c r="J13115" s="1" t="str">
        <f>"23/23"</f>
        <v>23/23</v>
      </c>
      <c r="K13115" s="1" t="str">
        <f>"2026-07-29 14:21:20"</f>
        <v>2026-07-29 14:21:20</v>
      </c>
      <c r="L13115" s="1" t="str">
        <f>"2022-11-17 13:36:53"</f>
        <v>2022-11-17 13:36:53</v>
      </c>
      <c r="M13115" s="1" t="s">
        <v>45</v>
      </c>
      <c r="N13115" s="1" t="s">
        <v>38</v>
      </c>
      <c r="O13115" s="1" t="s">
        <v>46</v>
      </c>
    </row>
    <row r="13116" spans="2:15" x14ac:dyDescent="0.3">
      <c r="B13116" s="1" t="s">
        <v>20</v>
      </c>
      <c r="C13116" s="1" t="str">
        <f>"5-2차"</f>
        <v>5-2차</v>
      </c>
      <c r="D13116" s="1" t="str">
        <f>"9824H5725S"</f>
        <v>9824H5725S</v>
      </c>
      <c r="E13116" s="1" t="s">
        <v>10</v>
      </c>
      <c r="F13116" s="1" t="str">
        <f>"fde3:102:1301:2400:0:0:0:9"</f>
        <v>fde3:102:1301:2400:0:0:0:9</v>
      </c>
      <c r="G13116" s="1" t="str">
        <f>"9824H572"</f>
        <v>9824H572</v>
      </c>
      <c r="H13116" s="1" t="str">
        <f>"도원지 16L23L5"</f>
        <v>도원지 16L23L5</v>
      </c>
      <c r="I13116" s="1" t="s">
        <v>15</v>
      </c>
      <c r="J13116" s="1" t="str">
        <f>"37/37"</f>
        <v>37/37</v>
      </c>
      <c r="K13116" s="1" t="str">
        <f>"2026-07-29 14:21:27"</f>
        <v>2026-07-29 14:21:27</v>
      </c>
      <c r="L13116" s="1" t="str">
        <f>"2023-10-13 14:15:16"</f>
        <v>2023-10-13 14:15:16</v>
      </c>
      <c r="M13116" s="1" t="s">
        <v>45</v>
      </c>
      <c r="N13116" s="1" t="s">
        <v>38</v>
      </c>
      <c r="O13116" s="1" t="s">
        <v>46</v>
      </c>
    </row>
    <row r="13117" spans="2:15" x14ac:dyDescent="0.3">
      <c r="B13117" s="1" t="s">
        <v>20</v>
      </c>
      <c r="C13117" s="1" t="str">
        <f>"5-2차"</f>
        <v>5-2차</v>
      </c>
      <c r="D13117" s="1" t="str">
        <f>"9824H6125M"</f>
        <v>9824H6125M</v>
      </c>
      <c r="E13117" s="1" t="s">
        <v>10</v>
      </c>
      <c r="F13117" s="1" t="str">
        <f>"fde3:102:1301:2300:0:0:0:9"</f>
        <v>fde3:102:1301:2300:0:0:0:9</v>
      </c>
      <c r="G13117" s="1" t="str">
        <f>"9824H612"</f>
        <v>9824H612</v>
      </c>
      <c r="H13117" s="1" t="str">
        <f>"전자간 27"</f>
        <v>전자간 27</v>
      </c>
      <c r="I13117" s="1" t="s">
        <v>15</v>
      </c>
      <c r="J13117" s="1" t="str">
        <f>"104/104"</f>
        <v>104/104</v>
      </c>
      <c r="K13117" s="1" t="str">
        <f>"2026-07-29 14:21:19"</f>
        <v>2026-07-29 14:21:19</v>
      </c>
      <c r="L13117" s="1" t="str">
        <f>"2023-09-12 14:09:38"</f>
        <v>2023-09-12 14:09:38</v>
      </c>
      <c r="M13117" s="1" t="s">
        <v>45</v>
      </c>
      <c r="N13117" s="1" t="s">
        <v>38</v>
      </c>
      <c r="O13117" s="1" t="s">
        <v>46</v>
      </c>
    </row>
    <row r="13118" spans="2:15" x14ac:dyDescent="0.3">
      <c r="B13118" s="1" t="s">
        <v>20</v>
      </c>
      <c r="C13118" s="1" t="str">
        <f>"5-2차"</f>
        <v>5-2차</v>
      </c>
      <c r="D13118" s="1" t="str">
        <f>"9824H7145M"</f>
        <v>9824H7145M</v>
      </c>
      <c r="E13118" s="1" t="s">
        <v>10</v>
      </c>
      <c r="F13118" s="1" t="str">
        <f>"fde3:102:1301:2400:0:0:0:8"</f>
        <v>fde3:102:1301:2400:0:0:0:8</v>
      </c>
      <c r="G13118" s="1" t="str">
        <f>"9824H714"</f>
        <v>9824H714</v>
      </c>
      <c r="H13118" s="1" t="str">
        <f>"전자간 29"</f>
        <v>전자간 29</v>
      </c>
      <c r="I13118" s="1" t="s">
        <v>15</v>
      </c>
      <c r="J13118" s="1" t="str">
        <f>"82/82"</f>
        <v>82/82</v>
      </c>
      <c r="K13118" s="1" t="str">
        <f>"2026-07-29 14:21:29"</f>
        <v>2026-07-29 14:21:29</v>
      </c>
      <c r="L13118" s="1" t="str">
        <f>"2023-09-12 14:27:41"</f>
        <v>2023-09-12 14:27:41</v>
      </c>
      <c r="M13118" s="1" t="s">
        <v>45</v>
      </c>
      <c r="N13118" s="1" t="s">
        <v>38</v>
      </c>
      <c r="O13118" s="1" t="s">
        <v>46</v>
      </c>
    </row>
    <row r="13119" spans="2:15" x14ac:dyDescent="0.3">
      <c r="B13119" s="1" t="s">
        <v>20</v>
      </c>
      <c r="C13119" s="1" t="str">
        <f>"1차"</f>
        <v>1차</v>
      </c>
      <c r="D13119" s="1" t="str">
        <f>"9824H77300"</f>
        <v>9824H77300</v>
      </c>
      <c r="E13119" s="1" t="s">
        <v>10</v>
      </c>
      <c r="F13119" s="1" t="str">
        <f>"10.125.226.26"</f>
        <v>10.125.226.26</v>
      </c>
      <c r="G13119" s="1" t="str">
        <f>"9824H773"</f>
        <v>9824H773</v>
      </c>
      <c r="H13119" s="1" t="str">
        <f>"도원지 16L31"</f>
        <v>도원지 16L31</v>
      </c>
      <c r="I13119" s="1" t="s">
        <v>8</v>
      </c>
      <c r="J13119" s="1" t="str">
        <f>"19/19"</f>
        <v>19/19</v>
      </c>
      <c r="K13119" s="1" t="str">
        <f>"2026-07-29 13:18:12"</f>
        <v>2026-07-29 13:18:12</v>
      </c>
      <c r="L13119" s="1" t="str">
        <f>"2014-12-01 16:40:57"</f>
        <v>2014-12-01 16:40:57</v>
      </c>
      <c r="M13119" s="1" t="s">
        <v>45</v>
      </c>
      <c r="N13119" s="1" t="s">
        <v>38</v>
      </c>
      <c r="O13119" s="1" t="s">
        <v>46</v>
      </c>
    </row>
    <row r="13120" spans="2:15" x14ac:dyDescent="0.3">
      <c r="B13120" s="1" t="s">
        <v>20</v>
      </c>
      <c r="C13120" s="1" t="str">
        <f>"4차"</f>
        <v>4차</v>
      </c>
      <c r="D13120" s="1" t="str">
        <f>"9824H86345"</f>
        <v>9824H86345</v>
      </c>
      <c r="E13120" s="1" t="s">
        <v>10</v>
      </c>
      <c r="F13120" s="1" t="str">
        <f>"10.14.9.9"</f>
        <v>10.14.9.9</v>
      </c>
      <c r="G13120" s="1" t="str">
        <f>"9824H863"</f>
        <v>9824H863</v>
      </c>
      <c r="H13120" s="1" t="str">
        <f>"신계대림 3"</f>
        <v>신계대림 3</v>
      </c>
      <c r="I13120" s="1" t="s">
        <v>17</v>
      </c>
      <c r="J13120" s="1" t="str">
        <f>"23/23"</f>
        <v>23/23</v>
      </c>
      <c r="K13120" s="1" t="str">
        <f>"2026-07-29 13:18:12"</f>
        <v>2026-07-29 13:18:12</v>
      </c>
      <c r="L13120" s="1" t="str">
        <f>"2021-06-16 08:11:03"</f>
        <v>2021-06-16 08:11:03</v>
      </c>
      <c r="M13120" s="1" t="s">
        <v>3</v>
      </c>
      <c r="N13120" s="1" t="s">
        <v>38</v>
      </c>
      <c r="O13120" s="1" t="s">
        <v>46</v>
      </c>
    </row>
    <row r="13121" spans="2:15" x14ac:dyDescent="0.3">
      <c r="B13121" s="1" t="s">
        <v>20</v>
      </c>
      <c r="C13121" s="1" t="str">
        <f>"6차"</f>
        <v>6차</v>
      </c>
      <c r="D13121" s="1" t="str">
        <f>"9824H9916S"</f>
        <v>9824H9916S</v>
      </c>
      <c r="E13121" s="1" t="s">
        <v>10</v>
      </c>
      <c r="F13121" s="1" t="str">
        <f>"fde1:103:4:c62b:0:0:0:2"</f>
        <v>fde1:103:4:c62b:0:0:0:2</v>
      </c>
      <c r="G13121" s="1" t="str">
        <f>"9824H991"</f>
        <v>9824H991</v>
      </c>
      <c r="H13121" s="1" t="str">
        <f>"백범지 12R7L5R5R1"</f>
        <v>백범지 12R7L5R5R1</v>
      </c>
      <c r="I13121" s="1" t="s">
        <v>15</v>
      </c>
      <c r="J13121" s="1" t="str">
        <f>"31/31"</f>
        <v>31/31</v>
      </c>
      <c r="K13121" s="1" t="str">
        <f>"2026-07-29 14:21:23"</f>
        <v>2026-07-29 14:21:23</v>
      </c>
      <c r="L13121" s="1" t="str">
        <f>"2024-11-07 08:37:27"</f>
        <v>2024-11-07 08:37:27</v>
      </c>
      <c r="M13121" s="1" t="s">
        <v>4</v>
      </c>
      <c r="N13121" s="1" t="s">
        <v>38</v>
      </c>
      <c r="O13121" s="1" t="s">
        <v>46</v>
      </c>
    </row>
    <row r="13122" spans="2:15" x14ac:dyDescent="0.3">
      <c r="B13122" s="1" t="s">
        <v>20</v>
      </c>
      <c r="C13122" s="1" t="str">
        <f>"4차"</f>
        <v>4차</v>
      </c>
      <c r="D13122" s="1" t="str">
        <f>"9824Q09439"</f>
        <v>9824Q09439</v>
      </c>
      <c r="E13122" s="1" t="s">
        <v>10</v>
      </c>
      <c r="F13122" s="1" t="str">
        <f>"10.12.130.121"</f>
        <v>10.12.130.121</v>
      </c>
      <c r="G13122" s="1" t="str">
        <f>"9824Q094"</f>
        <v>9824Q094</v>
      </c>
      <c r="H13122" s="1" t="str">
        <f>"청암 1"</f>
        <v>청암 1</v>
      </c>
      <c r="I13122" s="1" t="s">
        <v>17</v>
      </c>
      <c r="J13122" s="1" t="str">
        <f>"3/3"</f>
        <v>3/3</v>
      </c>
      <c r="K13122" s="1" t="str">
        <f>"2026-07-29 13:18:12"</f>
        <v>2026-07-29 13:18:12</v>
      </c>
      <c r="L13122" s="1" t="str">
        <f>"2018-10-12 11:03:25"</f>
        <v>2018-10-12 11:03:25</v>
      </c>
      <c r="M13122" s="1" t="s">
        <v>0</v>
      </c>
      <c r="N13122" s="1" t="s">
        <v>38</v>
      </c>
      <c r="O13122" s="1" t="s">
        <v>46</v>
      </c>
    </row>
    <row r="13123" spans="2:15" x14ac:dyDescent="0.3">
      <c r="B13123" s="1" t="s">
        <v>20</v>
      </c>
      <c r="C13123" s="1" t="str">
        <f>"5-1차"</f>
        <v>5-1차</v>
      </c>
      <c r="D13123" s="1" t="str">
        <f>"9824Q4825M"</f>
        <v>9824Q4825M</v>
      </c>
      <c r="E13123" s="1" t="s">
        <v>10</v>
      </c>
      <c r="F13123" s="1" t="str">
        <f>"fde3:102:1301:4a00:0:0:0:2"</f>
        <v>fde3:102:1301:4a00:0:0:0:2</v>
      </c>
      <c r="G13123" s="1" t="str">
        <f>"9824Q482"</f>
        <v>9824Q482</v>
      </c>
      <c r="H13123" s="1" t="str">
        <f>"원효지 15R1R1"</f>
        <v>원효지 15R1R1</v>
      </c>
      <c r="I13123" s="1" t="s">
        <v>15</v>
      </c>
      <c r="J13123" s="1" t="str">
        <f>"53/53"</f>
        <v>53/53</v>
      </c>
      <c r="K13123" s="1" t="str">
        <f>"2026-07-29 14:21:20"</f>
        <v>2026-07-29 14:21:20</v>
      </c>
      <c r="L13123" s="1" t="str">
        <f>"2022-11-24 18:25:08"</f>
        <v>2022-11-24 18:25:08</v>
      </c>
      <c r="M13123" s="1" t="s">
        <v>45</v>
      </c>
      <c r="N13123" s="1" t="s">
        <v>38</v>
      </c>
      <c r="O13123" s="1" t="s">
        <v>46</v>
      </c>
    </row>
    <row r="13124" spans="2:15" x14ac:dyDescent="0.3">
      <c r="B13124" s="1" t="s">
        <v>20</v>
      </c>
      <c r="C13124" s="1" t="str">
        <f>"4차"</f>
        <v>4차</v>
      </c>
      <c r="D13124" s="1" t="str">
        <f>"9824Q50241"</f>
        <v>9824Q50241</v>
      </c>
      <c r="E13124" s="1" t="s">
        <v>10</v>
      </c>
      <c r="F13124" s="1" t="str">
        <f>"10.14.11.47"</f>
        <v>10.14.11.47</v>
      </c>
      <c r="G13124" s="1" t="str">
        <f>"9824Q502"</f>
        <v>9824Q502</v>
      </c>
      <c r="H13124" s="1" t="str">
        <f>"수도지 6R2"</f>
        <v>수도지 6R2</v>
      </c>
      <c r="I13124" s="1" t="s">
        <v>17</v>
      </c>
      <c r="J13124" s="1" t="str">
        <f>"17/29"</f>
        <v>17/29</v>
      </c>
      <c r="K13124" s="1" t="str">
        <f>"2026-07-29 13:18:13"</f>
        <v>2026-07-29 13:18:13</v>
      </c>
      <c r="L13124" s="1" t="str">
        <f>"2021-08-23 11:17:52"</f>
        <v>2021-08-23 11:17:52</v>
      </c>
      <c r="M13124" s="1" t="s">
        <v>3</v>
      </c>
      <c r="N13124" s="1" t="s">
        <v>38</v>
      </c>
      <c r="O13124" s="1" t="s">
        <v>46</v>
      </c>
    </row>
    <row r="13125" spans="2:15" x14ac:dyDescent="0.3">
      <c r="B13125" s="1" t="s">
        <v>20</v>
      </c>
      <c r="C13125" s="1" t="str">
        <f>"5-2차"</f>
        <v>5-2차</v>
      </c>
      <c r="D13125" s="1" t="str">
        <f>"9824Q5615M"</f>
        <v>9824Q5615M</v>
      </c>
      <c r="E13125" s="1" t="s">
        <v>10</v>
      </c>
      <c r="F13125" s="1" t="str">
        <f>"fde3:102:1301:4a00:0:0:0:1b"</f>
        <v>fde3:102:1301:4a00:0:0:0:1b</v>
      </c>
      <c r="G13125" s="1" t="str">
        <f>"9824Q561"</f>
        <v>9824Q561</v>
      </c>
      <c r="H13125" s="1" t="str">
        <f>"원효지 2L10"</f>
        <v>원효지 2L10</v>
      </c>
      <c r="I13125" s="1" t="s">
        <v>15</v>
      </c>
      <c r="J13125" s="1" t="str">
        <f>"39/39"</f>
        <v>39/39</v>
      </c>
      <c r="K13125" s="1" t="str">
        <f>"2026-07-29 14:21:19"</f>
        <v>2026-07-29 14:21:19</v>
      </c>
      <c r="L13125" s="1" t="str">
        <f>"2023-11-23 10:58:27"</f>
        <v>2023-11-23 10:58:27</v>
      </c>
      <c r="M13125" s="1" t="s">
        <v>45</v>
      </c>
      <c r="N13125" s="1" t="s">
        <v>38</v>
      </c>
      <c r="O13125" s="1" t="s">
        <v>46</v>
      </c>
    </row>
    <row r="13126" spans="2:15" x14ac:dyDescent="0.3">
      <c r="B13126" s="1" t="s">
        <v>20</v>
      </c>
      <c r="C13126" s="1" t="str">
        <f>"5-2차"</f>
        <v>5-2차</v>
      </c>
      <c r="D13126" s="1" t="str">
        <f>"9824Q5755M"</f>
        <v>9824Q5755M</v>
      </c>
      <c r="E13126" s="1" t="s">
        <v>10</v>
      </c>
      <c r="F13126" s="1" t="str">
        <f>"fde3:102:1301:4a00:0:0:0:13"</f>
        <v>fde3:102:1301:4a00:0:0:0:13</v>
      </c>
      <c r="G13126" s="1" t="str">
        <f>"9824Q575"</f>
        <v>9824Q575</v>
      </c>
      <c r="H13126" s="1" t="str">
        <f>"원효지 15R1"</f>
        <v>원효지 15R1</v>
      </c>
      <c r="I13126" s="1" t="s">
        <v>15</v>
      </c>
      <c r="J13126" s="1" t="str">
        <f>"69/70"</f>
        <v>69/70</v>
      </c>
      <c r="K13126" s="1" t="str">
        <f>"2026-07-29 14:21:21"</f>
        <v>2026-07-29 14:21:21</v>
      </c>
      <c r="L13126" s="1" t="str">
        <f>"2023-09-14 15:00:46"</f>
        <v>2023-09-14 15:00:46</v>
      </c>
      <c r="M13126" s="1" t="s">
        <v>45</v>
      </c>
      <c r="N13126" s="1" t="s">
        <v>38</v>
      </c>
      <c r="O13126" s="1" t="s">
        <v>46</v>
      </c>
    </row>
    <row r="13127" spans="2:15" x14ac:dyDescent="0.3">
      <c r="B13127" s="1" t="s">
        <v>20</v>
      </c>
      <c r="C13127" s="1" t="str">
        <f>"5-2차"</f>
        <v>5-2차</v>
      </c>
      <c r="D13127" s="1" t="str">
        <f>"9824Q5915M"</f>
        <v>9824Q5915M</v>
      </c>
      <c r="E13127" s="1" t="s">
        <v>10</v>
      </c>
      <c r="F13127" s="1" t="str">
        <f>"fde1:103:4:58c0:0:0:0:2"</f>
        <v>fde1:103:4:58c0:0:0:0:2</v>
      </c>
      <c r="G13127" s="1" t="str">
        <f>"9824Q591"</f>
        <v>9824Q591</v>
      </c>
      <c r="H13127" s="1" t="str">
        <f>"원효지 15R1R3"</f>
        <v>원효지 15R1R3</v>
      </c>
      <c r="I13127" s="1" t="s">
        <v>15</v>
      </c>
      <c r="J13127" s="1" t="str">
        <f>"78/79"</f>
        <v>78/79</v>
      </c>
      <c r="K13127" s="1" t="str">
        <f>"2026-07-29 14:21:27"</f>
        <v>2026-07-29 14:21:27</v>
      </c>
      <c r="L13127" s="1" t="str">
        <f>"2024-02-28 17:59:13"</f>
        <v>2024-02-28 17:59:13</v>
      </c>
      <c r="M13127" s="1" t="s">
        <v>4</v>
      </c>
      <c r="N13127" s="1" t="s">
        <v>38</v>
      </c>
      <c r="O13127" s="1" t="s">
        <v>46</v>
      </c>
    </row>
    <row r="13128" spans="2:15" x14ac:dyDescent="0.3">
      <c r="B13128" s="1" t="s">
        <v>20</v>
      </c>
      <c r="C13128" s="1" t="str">
        <f>"5-1차"</f>
        <v>5-1차</v>
      </c>
      <c r="D13128" s="1" t="str">
        <f>"9824Q5925M"</f>
        <v>9824Q5925M</v>
      </c>
      <c r="E13128" s="1" t="s">
        <v>10</v>
      </c>
      <c r="F13128" s="1" t="str">
        <f>"fde3:102:1301:4a00:0:0:0:3"</f>
        <v>fde3:102:1301:4a00:0:0:0:3</v>
      </c>
      <c r="G13128" s="1" t="str">
        <f>"9824Q592"</f>
        <v>9824Q592</v>
      </c>
      <c r="H13128" s="1" t="str">
        <f>"원효지 15R1R3L1"</f>
        <v>원효지 15R1R3L1</v>
      </c>
      <c r="I13128" s="1" t="s">
        <v>15</v>
      </c>
      <c r="J13128" s="1" t="str">
        <f>"35/35"</f>
        <v>35/35</v>
      </c>
      <c r="K13128" s="1" t="str">
        <f>"2026-07-29 14:21:21"</f>
        <v>2026-07-29 14:21:21</v>
      </c>
      <c r="L13128" s="1" t="str">
        <f>"2022-11-24 11:05:14"</f>
        <v>2022-11-24 11:05:14</v>
      </c>
      <c r="M13128" s="1" t="s">
        <v>45</v>
      </c>
      <c r="N13128" s="1" t="s">
        <v>38</v>
      </c>
      <c r="O13128" s="1" t="s">
        <v>46</v>
      </c>
    </row>
    <row r="13129" spans="2:15" x14ac:dyDescent="0.3">
      <c r="B13129" s="1" t="s">
        <v>20</v>
      </c>
      <c r="C13129" s="1" t="str">
        <f>"5-2차"</f>
        <v>5-2차</v>
      </c>
      <c r="D13129" s="1" t="str">
        <f>"9824Q6015M"</f>
        <v>9824Q6015M</v>
      </c>
      <c r="E13129" s="1" t="s">
        <v>10</v>
      </c>
      <c r="F13129" s="1" t="str">
        <f>"fde1:103:4:5646:0:0:0:2"</f>
        <v>fde1:103:4:5646:0:0:0:2</v>
      </c>
      <c r="G13129" s="1" t="str">
        <f>"9824Q601"</f>
        <v>9824Q601</v>
      </c>
      <c r="H13129" s="1" t="str">
        <f>"수도지 7"</f>
        <v>수도지 7</v>
      </c>
      <c r="I13129" s="1" t="s">
        <v>15</v>
      </c>
      <c r="J13129" s="1" t="str">
        <f>"85/85"</f>
        <v>85/85</v>
      </c>
      <c r="K13129" s="1" t="str">
        <f>"2026-07-29 14:21:20"</f>
        <v>2026-07-29 14:21:20</v>
      </c>
      <c r="L13129" s="1" t="str">
        <f>"2023-09-01 11:27:04"</f>
        <v>2023-09-01 11:27:04</v>
      </c>
      <c r="M13129" s="1" t="s">
        <v>4</v>
      </c>
      <c r="N13129" s="1" t="s">
        <v>38</v>
      </c>
      <c r="O13129" s="1" t="s">
        <v>46</v>
      </c>
    </row>
    <row r="13130" spans="2:15" x14ac:dyDescent="0.3">
      <c r="B13130" s="1" t="s">
        <v>20</v>
      </c>
      <c r="C13130" s="1" t="str">
        <f>"5-2차"</f>
        <v>5-2차</v>
      </c>
      <c r="D13130" s="1" t="str">
        <f>"9824Q6735M"</f>
        <v>9824Q6735M</v>
      </c>
      <c r="E13130" s="1" t="s">
        <v>10</v>
      </c>
      <c r="F13130" s="1" t="str">
        <f>"fde3:102:1301:4a00:0:0:0:12"</f>
        <v>fde3:102:1301:4a00:0:0:0:12</v>
      </c>
      <c r="G13130" s="1" t="str">
        <f>"9824Q673"</f>
        <v>9824Q673</v>
      </c>
      <c r="H13130" s="1" t="str">
        <f>"원효지 11"</f>
        <v>원효지 11</v>
      </c>
      <c r="I13130" s="1" t="s">
        <v>15</v>
      </c>
      <c r="J13130" s="1" t="str">
        <f>"34/34"</f>
        <v>34/34</v>
      </c>
      <c r="K13130" s="1" t="str">
        <f>"2026-07-29 14:21:20"</f>
        <v>2026-07-29 14:21:20</v>
      </c>
      <c r="L13130" s="1" t="str">
        <f>"2023-09-14 15:44:32"</f>
        <v>2023-09-14 15:44:32</v>
      </c>
      <c r="M13130" s="1" t="s">
        <v>45</v>
      </c>
      <c r="N13130" s="1" t="s">
        <v>38</v>
      </c>
      <c r="O13130" s="1" t="s">
        <v>46</v>
      </c>
    </row>
    <row r="13131" spans="2:15" x14ac:dyDescent="0.3">
      <c r="B13131" s="1" t="s">
        <v>20</v>
      </c>
      <c r="C13131" s="1" t="str">
        <f>"5-1차"</f>
        <v>5-1차</v>
      </c>
      <c r="D13131" s="1" t="str">
        <f>"9824Q7615S"</f>
        <v>9824Q7615S</v>
      </c>
      <c r="E13131" s="1" t="s">
        <v>10</v>
      </c>
      <c r="F13131" s="1" t="str">
        <f>"fde3:102:1301:4a00:0:0:0:4"</f>
        <v>fde3:102:1301:4a00:0:0:0:4</v>
      </c>
      <c r="G13131" s="1" t="str">
        <f>"9824Q761"</f>
        <v>9824Q761</v>
      </c>
      <c r="H13131" s="1" t="str">
        <f>"원효지 2L8"</f>
        <v>원효지 2L8</v>
      </c>
      <c r="I13131" s="1" t="s">
        <v>15</v>
      </c>
      <c r="J13131" s="1" t="str">
        <f>"26/27"</f>
        <v>26/27</v>
      </c>
      <c r="K13131" s="1" t="str">
        <f>"2026-07-29 14:21:22"</f>
        <v>2026-07-29 14:21:22</v>
      </c>
      <c r="L13131" s="1" t="str">
        <f>"2022-11-24 18:26:26"</f>
        <v>2022-11-24 18:26:26</v>
      </c>
      <c r="M13131" s="1" t="s">
        <v>45</v>
      </c>
      <c r="N13131" s="1" t="s">
        <v>38</v>
      </c>
      <c r="O13131" s="1" t="s">
        <v>46</v>
      </c>
    </row>
    <row r="13132" spans="2:15" x14ac:dyDescent="0.3">
      <c r="B13132" s="1" t="s">
        <v>20</v>
      </c>
      <c r="C13132" s="1" t="str">
        <f>"5-2차"</f>
        <v>5-2차</v>
      </c>
      <c r="D13132" s="1" t="str">
        <f>"9824Q8525M"</f>
        <v>9824Q8525M</v>
      </c>
      <c r="E13132" s="1" t="s">
        <v>10</v>
      </c>
      <c r="F13132" s="1" t="str">
        <f>"fde1:103:4:56c5:0:0:0:2"</f>
        <v>fde1:103:4:56c5:0:0:0:2</v>
      </c>
      <c r="G13132" s="1" t="str">
        <f>"9824Q852"</f>
        <v>9824Q852</v>
      </c>
      <c r="H13132" s="1" t="str">
        <f>"원효지 2L5"</f>
        <v>원효지 2L5</v>
      </c>
      <c r="I13132" s="1" t="s">
        <v>15</v>
      </c>
      <c r="J13132" s="1" t="str">
        <f>"45/46"</f>
        <v>45/46</v>
      </c>
      <c r="K13132" s="1" t="str">
        <f>"2026-07-29 14:21:28"</f>
        <v>2026-07-29 14:21:28</v>
      </c>
      <c r="L13132" s="1" t="str">
        <f>"2023-09-01 11:40:17"</f>
        <v>2023-09-01 11:40:17</v>
      </c>
      <c r="M13132" s="1" t="s">
        <v>4</v>
      </c>
      <c r="N13132" s="1" t="s">
        <v>38</v>
      </c>
      <c r="O13132" s="1" t="s">
        <v>46</v>
      </c>
    </row>
    <row r="13133" spans="2:15" x14ac:dyDescent="0.3">
      <c r="B13133" s="1" t="s">
        <v>20</v>
      </c>
      <c r="C13133" s="1" t="str">
        <f>"5-1차"</f>
        <v>5-1차</v>
      </c>
      <c r="D13133" s="1" t="str">
        <f>"9824Q8615M"</f>
        <v>9824Q8615M</v>
      </c>
      <c r="E13133" s="1" t="s">
        <v>10</v>
      </c>
      <c r="F13133" s="1" t="str">
        <f>"fde2:104:0:aa:0:0:0:2"</f>
        <v>fde2:104:0:aa:0:0:0:2</v>
      </c>
      <c r="G13133" s="1" t="str">
        <f>"9824Q861"</f>
        <v>9824Q861</v>
      </c>
      <c r="H13133" s="1" t="str">
        <f>"원효지 2L7R2"</f>
        <v>원효지 2L7R2</v>
      </c>
      <c r="I13133" s="1" t="s">
        <v>15</v>
      </c>
      <c r="J13133" s="1" t="str">
        <f>"45/46"</f>
        <v>45/46</v>
      </c>
      <c r="K13133" s="1" t="str">
        <f>"2026-07-29 14:21:22"</f>
        <v>2026-07-29 14:21:22</v>
      </c>
      <c r="L13133" s="1" t="str">
        <f>"2022-09-28 14:04:34"</f>
        <v>2022-09-28 14:04:34</v>
      </c>
      <c r="M13133" s="1" t="s">
        <v>42</v>
      </c>
      <c r="N13133" s="1" t="s">
        <v>38</v>
      </c>
      <c r="O13133" s="1" t="s">
        <v>46</v>
      </c>
    </row>
    <row r="13134" spans="2:15" x14ac:dyDescent="0.3">
      <c r="B13134" s="1" t="s">
        <v>20</v>
      </c>
      <c r="C13134" s="1" t="str">
        <f>"5-2차"</f>
        <v>5-2차</v>
      </c>
      <c r="D13134" s="1" t="str">
        <f>"9824Q8835M"</f>
        <v>9824Q8835M</v>
      </c>
      <c r="E13134" s="1" t="s">
        <v>10</v>
      </c>
      <c r="F13134" s="1" t="str">
        <f>"fde3:102:1301:4a00:0:0:0:19"</f>
        <v>fde3:102:1301:4a00:0:0:0:19</v>
      </c>
      <c r="G13134" s="1" t="str">
        <f>"9824Q883"</f>
        <v>9824Q883</v>
      </c>
      <c r="H13134" s="1" t="str">
        <f>"원효지 8"</f>
        <v>원효지 8</v>
      </c>
      <c r="I13134" s="1" t="s">
        <v>15</v>
      </c>
      <c r="J13134" s="1" t="str">
        <f>"52/55"</f>
        <v>52/55</v>
      </c>
      <c r="K13134" s="1" t="str">
        <f>"2026-07-29 14:21:29"</f>
        <v>2026-07-29 14:21:29</v>
      </c>
      <c r="L13134" s="1" t="str">
        <f>"2023-09-14 14:38:28"</f>
        <v>2023-09-14 14:38:28</v>
      </c>
      <c r="M13134" s="1" t="s">
        <v>45</v>
      </c>
      <c r="N13134" s="1" t="s">
        <v>38</v>
      </c>
      <c r="O13134" s="1" t="s">
        <v>46</v>
      </c>
    </row>
    <row r="13135" spans="2:15" x14ac:dyDescent="0.3">
      <c r="B13135" s="1" t="s">
        <v>20</v>
      </c>
      <c r="C13135" s="1" t="str">
        <f>"5-2차"</f>
        <v>5-2차</v>
      </c>
      <c r="D13135" s="1" t="str">
        <f>"9824Q9825M"</f>
        <v>9824Q9825M</v>
      </c>
      <c r="E13135" s="1" t="s">
        <v>10</v>
      </c>
      <c r="F13135" s="1" t="str">
        <f>"fde3:102:1301:4a00:0:0:0:18"</f>
        <v>fde3:102:1301:4a00:0:0:0:18</v>
      </c>
      <c r="G13135" s="1" t="str">
        <f>"9824Q982"</f>
        <v>9824Q982</v>
      </c>
      <c r="H13135" s="1" t="str">
        <f>"원효지 6"</f>
        <v>원효지 6</v>
      </c>
      <c r="I13135" s="1" t="s">
        <v>15</v>
      </c>
      <c r="J13135" s="1" t="str">
        <f>"47/47"</f>
        <v>47/47</v>
      </c>
      <c r="K13135" s="1" t="str">
        <f>"2026-07-29 14:21:21"</f>
        <v>2026-07-29 14:21:21</v>
      </c>
      <c r="L13135" s="1" t="str">
        <f>"2023-09-14 14:20:21"</f>
        <v>2023-09-14 14:20:21</v>
      </c>
      <c r="M13135" s="1" t="s">
        <v>45</v>
      </c>
      <c r="N13135" s="1" t="s">
        <v>38</v>
      </c>
      <c r="O13135" s="1" t="s">
        <v>46</v>
      </c>
    </row>
    <row r="13136" spans="2:15" x14ac:dyDescent="0.3">
      <c r="B13136" s="1" t="s">
        <v>20</v>
      </c>
      <c r="C13136" s="1" t="str">
        <f>"4차"</f>
        <v>4차</v>
      </c>
      <c r="D13136" s="1" t="str">
        <f>"9824S68241"</f>
        <v>9824S68241</v>
      </c>
      <c r="E13136" s="1" t="s">
        <v>10</v>
      </c>
      <c r="F13136" s="1" t="str">
        <f>"10.14.5.110"</f>
        <v>10.14.5.110</v>
      </c>
      <c r="G13136" s="1" t="str">
        <f>"9824S682"</f>
        <v>9824S682</v>
      </c>
      <c r="H13136" s="1" t="str">
        <f>"수도지 10"</f>
        <v>수도지 10</v>
      </c>
      <c r="I13136" s="1" t="s">
        <v>17</v>
      </c>
      <c r="J13136" s="1" t="str">
        <f>"25/33"</f>
        <v>25/33</v>
      </c>
      <c r="K13136" s="1" t="str">
        <f>"2026-07-29 13:18:12"</f>
        <v>2026-07-29 13:18:12</v>
      </c>
      <c r="L13136" s="1" t="str">
        <f>"2021-08-26 14:51:16"</f>
        <v>2021-08-26 14:51:16</v>
      </c>
      <c r="M13136" s="1" t="s">
        <v>3</v>
      </c>
      <c r="N13136" s="1" t="s">
        <v>38</v>
      </c>
      <c r="O13136" s="1" t="s">
        <v>46</v>
      </c>
    </row>
    <row r="13137" spans="2:15" x14ac:dyDescent="0.3">
      <c r="B13137" s="1" t="s">
        <v>20</v>
      </c>
      <c r="C13137" s="1" t="str">
        <f>"6차"</f>
        <v>6차</v>
      </c>
      <c r="D13137" s="1" t="str">
        <f>"9824S6926S"</f>
        <v>9824S6926S</v>
      </c>
      <c r="E13137" s="1" t="s">
        <v>10</v>
      </c>
      <c r="F13137" s="1" t="str">
        <f>"fde1:103:4:923d:0:0:0:2"</f>
        <v>fde1:103:4:923d:0:0:0:2</v>
      </c>
      <c r="G13137" s="1" t="str">
        <f>"9824S692"</f>
        <v>9824S692</v>
      </c>
      <c r="H13137" s="1" t="str">
        <f>"수도지 8"</f>
        <v>수도지 8</v>
      </c>
      <c r="I13137" s="1" t="s">
        <v>15</v>
      </c>
      <c r="J13137" s="1" t="str">
        <f>"102/105"</f>
        <v>102/105</v>
      </c>
      <c r="K13137" s="1" t="str">
        <f>"2026-07-29 14:21:23"</f>
        <v>2026-07-29 14:21:23</v>
      </c>
      <c r="L13137" s="1" t="str">
        <f>"2025-02-18 15:51:16"</f>
        <v>2025-02-18 15:51:16</v>
      </c>
      <c r="M13137" s="1" t="s">
        <v>4</v>
      </c>
      <c r="N13137" s="1" t="s">
        <v>38</v>
      </c>
      <c r="O13137" s="1" t="s">
        <v>46</v>
      </c>
    </row>
    <row r="13138" spans="2:15" x14ac:dyDescent="0.3">
      <c r="B13138" s="1" t="s">
        <v>20</v>
      </c>
      <c r="C13138" s="1" t="str">
        <f>"6차"</f>
        <v>6차</v>
      </c>
      <c r="D13138" s="1" t="str">
        <f>"9824S7216M"</f>
        <v>9824S7216M</v>
      </c>
      <c r="E13138" s="1" t="s">
        <v>10</v>
      </c>
      <c r="F13138" s="1" t="str">
        <f>"fde1:103:4:c70e:0:0:0:2"</f>
        <v>fde1:103:4:c70e:0:0:0:2</v>
      </c>
      <c r="G13138" s="1" t="str">
        <f>"9824S721"</f>
        <v>9824S721</v>
      </c>
      <c r="H13138" s="1" t="str">
        <f>"수도지 21"</f>
        <v>수도지 21</v>
      </c>
      <c r="I13138" s="1" t="s">
        <v>15</v>
      </c>
      <c r="J13138" s="1" t="str">
        <f>"23/24"</f>
        <v>23/24</v>
      </c>
      <c r="K13138" s="1" t="str">
        <f>"2026-07-29 14:21:22"</f>
        <v>2026-07-29 14:21:22</v>
      </c>
      <c r="L13138" s="1" t="str">
        <f>"2024-12-02 13:56:16"</f>
        <v>2024-12-02 13:56:16</v>
      </c>
      <c r="M13138" s="1" t="s">
        <v>4</v>
      </c>
      <c r="N13138" s="1" t="s">
        <v>38</v>
      </c>
      <c r="O13138" s="1" t="s">
        <v>46</v>
      </c>
    </row>
    <row r="13139" spans="2:15" x14ac:dyDescent="0.3">
      <c r="B13139" s="1" t="s">
        <v>20</v>
      </c>
      <c r="C13139" s="1" t="str">
        <f>"5-1차"</f>
        <v>5-1차</v>
      </c>
      <c r="D13139" s="1" t="str">
        <f>"9824S7525M"</f>
        <v>9824S7525M</v>
      </c>
      <c r="E13139" s="1" t="s">
        <v>10</v>
      </c>
      <c r="F13139" s="1" t="str">
        <f>"fde3:102:1301:2600:0:0:0:3"</f>
        <v>fde3:102:1301:2600:0:0:0:3</v>
      </c>
      <c r="G13139" s="1" t="str">
        <f>"9824S752"</f>
        <v>9824S752</v>
      </c>
      <c r="H13139" s="1" t="str">
        <f>"수도지 16"</f>
        <v>수도지 16</v>
      </c>
      <c r="I13139" s="1" t="s">
        <v>15</v>
      </c>
      <c r="J13139" s="1" t="str">
        <f>"50/50"</f>
        <v>50/50</v>
      </c>
      <c r="K13139" s="1" t="str">
        <f>"2026-07-29 14:21:22"</f>
        <v>2026-07-29 14:21:22</v>
      </c>
      <c r="L13139" s="1" t="str">
        <f>"2022-11-17 13:27:33"</f>
        <v>2022-11-17 13:27:33</v>
      </c>
      <c r="M13139" s="1" t="s">
        <v>45</v>
      </c>
      <c r="N13139" s="1" t="s">
        <v>38</v>
      </c>
      <c r="O13139" s="1" t="s">
        <v>46</v>
      </c>
    </row>
    <row r="13140" spans="2:15" x14ac:dyDescent="0.3">
      <c r="B13140" s="1" t="s">
        <v>20</v>
      </c>
      <c r="C13140" s="1" t="str">
        <f>"1차"</f>
        <v>1차</v>
      </c>
      <c r="D13140" s="1" t="str">
        <f>"9824S77101"</f>
        <v>9824S77101</v>
      </c>
      <c r="E13140" s="1" t="s">
        <v>14</v>
      </c>
      <c r="F13140" s="1" t="str">
        <f>"10.12.134.169"</f>
        <v>10.12.134.169</v>
      </c>
      <c r="G13140" s="1" t="str">
        <f>"9824S771"</f>
        <v>9824S771</v>
      </c>
      <c r="H13140" s="1" t="str">
        <f>"수도지 12"</f>
        <v>수도지 12</v>
      </c>
      <c r="I13140" s="1" t="s">
        <v>8</v>
      </c>
      <c r="J13140" s="1" t="str">
        <f>"0/0"</f>
        <v>0/0</v>
      </c>
      <c r="K13140" s="1" t="str">
        <f>"2026-07-24 13:18:11"</f>
        <v>2026-07-24 13:18:11</v>
      </c>
      <c r="L13140" s="1" t="str">
        <f>"2014-12-23 12:12:28"</f>
        <v>2014-12-23 12:12:28</v>
      </c>
      <c r="M13140" s="1" t="s">
        <v>0</v>
      </c>
      <c r="N13140" s="1" t="s">
        <v>38</v>
      </c>
      <c r="O13140" s="1" t="s">
        <v>44</v>
      </c>
    </row>
    <row r="13141" spans="2:15" x14ac:dyDescent="0.3">
      <c r="B13141" s="1" t="s">
        <v>20</v>
      </c>
      <c r="C13141" s="1" t="str">
        <f>"5-2차"</f>
        <v>5-2차</v>
      </c>
      <c r="D13141" s="1" t="str">
        <f>"9824S8115M"</f>
        <v>9824S8115M</v>
      </c>
      <c r="E13141" s="1" t="s">
        <v>10</v>
      </c>
      <c r="F13141" s="1" t="str">
        <f>"fde1:103:4:567d:0:0:0:2"</f>
        <v>fde1:103:4:567d:0:0:0:2</v>
      </c>
      <c r="G13141" s="1" t="str">
        <f>"9824S811"</f>
        <v>9824S811</v>
      </c>
      <c r="H13141" s="1" t="str">
        <f>"수도지 23L2"</f>
        <v>수도지 23L2</v>
      </c>
      <c r="I13141" s="1" t="s">
        <v>15</v>
      </c>
      <c r="J13141" s="1" t="str">
        <f>"18/19"</f>
        <v>18/19</v>
      </c>
      <c r="K13141" s="1" t="str">
        <f>"2026-07-29 14:21:23"</f>
        <v>2026-07-29 14:21:23</v>
      </c>
      <c r="L13141" s="1" t="str">
        <f>"2023-09-01 13:10:42"</f>
        <v>2023-09-01 13:10:42</v>
      </c>
      <c r="M13141" s="1" t="s">
        <v>4</v>
      </c>
      <c r="N13141" s="1" t="s">
        <v>38</v>
      </c>
      <c r="O13141" s="1" t="s">
        <v>46</v>
      </c>
    </row>
    <row r="13142" spans="2:15" x14ac:dyDescent="0.3">
      <c r="B13142" s="1" t="s">
        <v>20</v>
      </c>
      <c r="C13142" s="1" t="str">
        <f>"1차"</f>
        <v>1차</v>
      </c>
      <c r="D13142" s="1" t="str">
        <f>"9824S83201"</f>
        <v>9824S83201</v>
      </c>
      <c r="E13142" s="1" t="s">
        <v>10</v>
      </c>
      <c r="F13142" s="1" t="str">
        <f>"10.125.225.235"</f>
        <v>10.125.225.235</v>
      </c>
      <c r="G13142" s="1" t="str">
        <f>"9824S832"</f>
        <v>9824S832</v>
      </c>
      <c r="H13142" s="1" t="str">
        <f>"수도지 18L1R2"</f>
        <v>수도지 18L1R2</v>
      </c>
      <c r="I13142" s="1" t="s">
        <v>8</v>
      </c>
      <c r="J13142" s="1" t="str">
        <f>"12/12"</f>
        <v>12/12</v>
      </c>
      <c r="K13142" s="1" t="str">
        <f>"2026-07-29 13:18:02"</f>
        <v>2026-07-29 13:18:02</v>
      </c>
      <c r="L13142" s="1" t="str">
        <f>"2015-01-31 16:48:28"</f>
        <v>2015-01-31 16:48:28</v>
      </c>
      <c r="M13142" s="1" t="s">
        <v>45</v>
      </c>
      <c r="N13142" s="1" t="s">
        <v>38</v>
      </c>
      <c r="O13142" s="1" t="s">
        <v>46</v>
      </c>
    </row>
    <row r="13143" spans="2:15" x14ac:dyDescent="0.3">
      <c r="B13143" s="1" t="s">
        <v>20</v>
      </c>
      <c r="C13143" s="1" t="str">
        <f>"1차"</f>
        <v>1차</v>
      </c>
      <c r="D13143" s="1" t="str">
        <f>"9824S84100"</f>
        <v>9824S84100</v>
      </c>
      <c r="E13143" s="1" t="s">
        <v>10</v>
      </c>
      <c r="F13143" s="1" t="str">
        <f>"10.125.225.234"</f>
        <v>10.125.225.234</v>
      </c>
      <c r="G13143" s="1" t="str">
        <f>"9824S841"</f>
        <v>9824S841</v>
      </c>
      <c r="H13143" s="1" t="str">
        <f>"수도지 18L1"</f>
        <v>수도지 18L1</v>
      </c>
      <c r="I13143" s="1" t="s">
        <v>8</v>
      </c>
      <c r="J13143" s="1" t="str">
        <f>"27/27"</f>
        <v>27/27</v>
      </c>
      <c r="K13143" s="1" t="str">
        <f>"2026-07-29 13:18:12"</f>
        <v>2026-07-29 13:18:12</v>
      </c>
      <c r="L13143" s="1" t="str">
        <f>"2014-12-04 14:54:00"</f>
        <v>2014-12-04 14:54:00</v>
      </c>
      <c r="M13143" s="1" t="s">
        <v>45</v>
      </c>
      <c r="N13143" s="1" t="s">
        <v>38</v>
      </c>
      <c r="O13143" s="1" t="s">
        <v>46</v>
      </c>
    </row>
    <row r="13144" spans="2:15" x14ac:dyDescent="0.3">
      <c r="B13144" s="1" t="s">
        <v>20</v>
      </c>
      <c r="C13144" s="1" t="str">
        <f>"4차"</f>
        <v>4차</v>
      </c>
      <c r="D13144" s="1" t="str">
        <f>"9824S89239"</f>
        <v>9824S89239</v>
      </c>
      <c r="E13144" s="1" t="s">
        <v>10</v>
      </c>
      <c r="F13144" s="1" t="str">
        <f>"10.12.137.4"</f>
        <v>10.12.137.4</v>
      </c>
      <c r="G13144" s="1" t="str">
        <f>"9824S892"</f>
        <v>9824S892</v>
      </c>
      <c r="H13144" s="1" t="str">
        <f>"이촌로 L20T"</f>
        <v>이촌로 L20T</v>
      </c>
      <c r="I13144" s="1" t="s">
        <v>17</v>
      </c>
      <c r="J13144" s="1" t="str">
        <f>"6/6"</f>
        <v>6/6</v>
      </c>
      <c r="K13144" s="1" t="str">
        <f>"2026-07-29 13:18:12"</f>
        <v>2026-07-29 13:18:12</v>
      </c>
      <c r="L13144" s="1" t="str">
        <f>"2018-10-11 12:13:12"</f>
        <v>2018-10-11 12:13:12</v>
      </c>
      <c r="M13144" s="1" t="s">
        <v>0</v>
      </c>
      <c r="N13144" s="1" t="s">
        <v>38</v>
      </c>
      <c r="O13144" s="1" t="s">
        <v>46</v>
      </c>
    </row>
    <row r="13145" spans="2:15" x14ac:dyDescent="0.3">
      <c r="B13145" s="1" t="s">
        <v>20</v>
      </c>
      <c r="C13145" s="1" t="str">
        <f>"6차"</f>
        <v>6차</v>
      </c>
      <c r="D13145" s="1" t="str">
        <f>"9824S9116S"</f>
        <v>9824S9116S</v>
      </c>
      <c r="E13145" s="1" t="s">
        <v>10</v>
      </c>
      <c r="F13145" s="1" t="str">
        <f>"fde1:103:4:91ec:0:0:0:2"</f>
        <v>fde1:103:4:91ec:0:0:0:2</v>
      </c>
      <c r="G13145" s="1" t="str">
        <f>"9824S911"</f>
        <v>9824S911</v>
      </c>
      <c r="H13145" s="1" t="str">
        <f>"수도지 23L3R1"</f>
        <v>수도지 23L3R1</v>
      </c>
      <c r="I13145" s="1" t="s">
        <v>15</v>
      </c>
      <c r="J13145" s="1" t="str">
        <f>"29/29"</f>
        <v>29/29</v>
      </c>
      <c r="K13145" s="1" t="str">
        <f>"2026-07-29 14:21:28"</f>
        <v>2026-07-29 14:21:28</v>
      </c>
      <c r="L13145" s="1" t="str">
        <f>"2025-05-09 10:51:46"</f>
        <v>2025-05-09 10:51:46</v>
      </c>
      <c r="M13145" s="1" t="s">
        <v>4</v>
      </c>
      <c r="N13145" s="1" t="s">
        <v>38</v>
      </c>
      <c r="O13145" s="1" t="s">
        <v>46</v>
      </c>
    </row>
    <row r="13146" spans="2:15" x14ac:dyDescent="0.3">
      <c r="B13146" s="1" t="s">
        <v>20</v>
      </c>
      <c r="C13146" s="1" t="str">
        <f>"6차"</f>
        <v>6차</v>
      </c>
      <c r="D13146" s="1" t="str">
        <f>"9824S9126M"</f>
        <v>9824S9126M</v>
      </c>
      <c r="E13146" s="1" t="s">
        <v>10</v>
      </c>
      <c r="F13146" s="1" t="str">
        <f>"fde1:103:4:c746:0:0:0:2"</f>
        <v>fde1:103:4:c746:0:0:0:2</v>
      </c>
      <c r="G13146" s="1" t="str">
        <f>"9824S912"</f>
        <v>9824S912</v>
      </c>
      <c r="H13146" s="1" t="str">
        <f>"수도지 23L3R2"</f>
        <v>수도지 23L3R2</v>
      </c>
      <c r="I13146" s="1" t="s">
        <v>15</v>
      </c>
      <c r="J13146" s="1" t="str">
        <f>"25/25"</f>
        <v>25/25</v>
      </c>
      <c r="K13146" s="1" t="str">
        <f>"2026-07-29 14:21:23"</f>
        <v>2026-07-29 14:21:23</v>
      </c>
      <c r="L13146" s="1" t="str">
        <f>"2024-12-02 13:56:48"</f>
        <v>2024-12-02 13:56:48</v>
      </c>
      <c r="M13146" s="1" t="s">
        <v>4</v>
      </c>
      <c r="N13146" s="1" t="s">
        <v>38</v>
      </c>
      <c r="O13146" s="1" t="s">
        <v>46</v>
      </c>
    </row>
    <row r="13147" spans="2:15" x14ac:dyDescent="0.3">
      <c r="B13147" s="1" t="s">
        <v>20</v>
      </c>
      <c r="C13147" s="1" t="str">
        <f>"4차"</f>
        <v>4차</v>
      </c>
      <c r="D13147" s="1" t="str">
        <f>"9824S93145"</f>
        <v>9824S93145</v>
      </c>
      <c r="E13147" s="1" t="s">
        <v>10</v>
      </c>
      <c r="F13147" s="1" t="str">
        <f>"10.12.137.101"</f>
        <v>10.12.137.101</v>
      </c>
      <c r="G13147" s="1" t="str">
        <f>"9824S931"</f>
        <v>9824S931</v>
      </c>
      <c r="H13147" s="1" t="str">
        <f>"이촌로 L21T"</f>
        <v>이촌로 L21T</v>
      </c>
      <c r="I13147" s="1" t="s">
        <v>17</v>
      </c>
      <c r="J13147" s="1" t="str">
        <f>"43/43"</f>
        <v>43/43</v>
      </c>
      <c r="K13147" s="1" t="str">
        <f>"2026-07-29 13:18:12"</f>
        <v>2026-07-29 13:18:12</v>
      </c>
      <c r="L13147" s="1" t="str">
        <f>"2025-03-21 18:06:41"</f>
        <v>2025-03-21 18:06:41</v>
      </c>
      <c r="M13147" s="1" t="s">
        <v>0</v>
      </c>
      <c r="N13147" s="1" t="s">
        <v>38</v>
      </c>
      <c r="O13147" s="1" t="s">
        <v>46</v>
      </c>
    </row>
    <row r="13148" spans="2:15" x14ac:dyDescent="0.3">
      <c r="B13148" s="1" t="s">
        <v>20</v>
      </c>
      <c r="C13148" s="1" t="str">
        <f t="shared" ref="C13148:C13154" si="669">"5-2차"</f>
        <v>5-2차</v>
      </c>
      <c r="D13148" s="1" t="str">
        <f>"9824W0715S"</f>
        <v>9824W0715S</v>
      </c>
      <c r="E13148" s="1" t="s">
        <v>10</v>
      </c>
      <c r="F13148" s="1" t="str">
        <f>"fde3:102:1301:4a00:0:0:0:14"</f>
        <v>fde3:102:1301:4a00:0:0:0:14</v>
      </c>
      <c r="G13148" s="1" t="str">
        <f>"9824W071"</f>
        <v>9824W071</v>
      </c>
      <c r="H13148" s="1" t="str">
        <f>"원효지 2L4R4"</f>
        <v>원효지 2L4R4</v>
      </c>
      <c r="I13148" s="1" t="s">
        <v>15</v>
      </c>
      <c r="J13148" s="1" t="str">
        <f>"55/55"</f>
        <v>55/55</v>
      </c>
      <c r="K13148" s="1" t="str">
        <f>"2026-07-29 14:21:23"</f>
        <v>2026-07-29 14:21:23</v>
      </c>
      <c r="L13148" s="1" t="str">
        <f>"2023-10-04 14:03:18"</f>
        <v>2023-10-04 14:03:18</v>
      </c>
      <c r="M13148" s="1" t="s">
        <v>45</v>
      </c>
      <c r="N13148" s="1" t="s">
        <v>38</v>
      </c>
      <c r="O13148" s="1" t="s">
        <v>46</v>
      </c>
    </row>
    <row r="13149" spans="2:15" x14ac:dyDescent="0.3">
      <c r="B13149" s="1" t="s">
        <v>20</v>
      </c>
      <c r="C13149" s="1" t="str">
        <f t="shared" si="669"/>
        <v>5-2차</v>
      </c>
      <c r="D13149" s="1" t="str">
        <f>"9824W0815S"</f>
        <v>9824W0815S</v>
      </c>
      <c r="E13149" s="1" t="s">
        <v>10</v>
      </c>
      <c r="F13149" s="1" t="str">
        <f>"fde3:102:1301:4d00:0:0:0:6"</f>
        <v>fde3:102:1301:4d00:0:0:0:6</v>
      </c>
      <c r="G13149" s="1" t="str">
        <f>"9824W081"</f>
        <v>9824W081</v>
      </c>
      <c r="H13149" s="1" t="str">
        <f>"원효지 5"</f>
        <v>원효지 5</v>
      </c>
      <c r="I13149" s="1" t="s">
        <v>15</v>
      </c>
      <c r="J13149" s="1" t="str">
        <f>"22/23"</f>
        <v>22/23</v>
      </c>
      <c r="K13149" s="1" t="str">
        <f>"2026-07-29 14:21:24"</f>
        <v>2026-07-29 14:21:24</v>
      </c>
      <c r="L13149" s="1" t="str">
        <f>"2023-10-04 13:44:00"</f>
        <v>2023-10-04 13:44:00</v>
      </c>
      <c r="M13149" s="1" t="s">
        <v>45</v>
      </c>
      <c r="N13149" s="1" t="s">
        <v>38</v>
      </c>
      <c r="O13149" s="1" t="s">
        <v>46</v>
      </c>
    </row>
    <row r="13150" spans="2:15" x14ac:dyDescent="0.3">
      <c r="B13150" s="1" t="s">
        <v>20</v>
      </c>
      <c r="C13150" s="1" t="str">
        <f t="shared" si="669"/>
        <v>5-2차</v>
      </c>
      <c r="D13150" s="1" t="str">
        <f>"9824W0835M"</f>
        <v>9824W0835M</v>
      </c>
      <c r="E13150" s="1" t="s">
        <v>10</v>
      </c>
      <c r="F13150" s="1" t="str">
        <f>"fde3:102:1301:4a00:0:0:0:16"</f>
        <v>fde3:102:1301:4a00:0:0:0:16</v>
      </c>
      <c r="G13150" s="1" t="str">
        <f>"9824W083"</f>
        <v>9824W083</v>
      </c>
      <c r="H13150" s="1" t="str">
        <f>"원효지 5R1"</f>
        <v>원효지 5R1</v>
      </c>
      <c r="I13150" s="1" t="s">
        <v>15</v>
      </c>
      <c r="J13150" s="1" t="str">
        <f>"51/68"</f>
        <v>51/68</v>
      </c>
      <c r="K13150" s="1" t="str">
        <f>"2026-07-29 14:21:28"</f>
        <v>2026-07-29 14:21:28</v>
      </c>
      <c r="L13150" s="1" t="str">
        <f>"2023-10-16 12:55:02"</f>
        <v>2023-10-16 12:55:02</v>
      </c>
      <c r="M13150" s="1" t="s">
        <v>45</v>
      </c>
      <c r="N13150" s="1" t="s">
        <v>38</v>
      </c>
      <c r="O13150" s="1" t="s">
        <v>46</v>
      </c>
    </row>
    <row r="13151" spans="2:15" x14ac:dyDescent="0.3">
      <c r="B13151" s="1" t="s">
        <v>20</v>
      </c>
      <c r="C13151" s="1" t="str">
        <f t="shared" si="669"/>
        <v>5-2차</v>
      </c>
      <c r="D13151" s="1" t="str">
        <f>"9824W0925S"</f>
        <v>9824W0925S</v>
      </c>
      <c r="E13151" s="1" t="s">
        <v>10</v>
      </c>
      <c r="F13151" s="1" t="str">
        <f>"fde3:102:1301:4a00:0:0:0:17"</f>
        <v>fde3:102:1301:4a00:0:0:0:17</v>
      </c>
      <c r="G13151" s="1" t="str">
        <f>"9824W092"</f>
        <v>9824W092</v>
      </c>
      <c r="H13151" s="1" t="str">
        <f>"원효지 5R4"</f>
        <v>원효지 5R4</v>
      </c>
      <c r="I13151" s="1" t="s">
        <v>15</v>
      </c>
      <c r="J13151" s="1" t="str">
        <f>"74/75"</f>
        <v>74/75</v>
      </c>
      <c r="K13151" s="1" t="str">
        <f>"2026-07-29 14:21:24"</f>
        <v>2026-07-29 14:21:24</v>
      </c>
      <c r="L13151" s="1" t="str">
        <f>"2023-10-04 11:55:01"</f>
        <v>2023-10-04 11:55:01</v>
      </c>
      <c r="M13151" s="1" t="s">
        <v>45</v>
      </c>
      <c r="N13151" s="1" t="s">
        <v>38</v>
      </c>
      <c r="O13151" s="1" t="s">
        <v>46</v>
      </c>
    </row>
    <row r="13152" spans="2:15" x14ac:dyDescent="0.3">
      <c r="B13152" s="1" t="s">
        <v>20</v>
      </c>
      <c r="C13152" s="1" t="str">
        <f t="shared" si="669"/>
        <v>5-2차</v>
      </c>
      <c r="D13152" s="1" t="str">
        <f>"9824W1915M"</f>
        <v>9824W1915M</v>
      </c>
      <c r="E13152" s="1" t="s">
        <v>10</v>
      </c>
      <c r="F13152" s="1" t="str">
        <f>"fde1:103:4:55c5:0:0:0:2"</f>
        <v>fde1:103:4:55c5:0:0:0:2</v>
      </c>
      <c r="G13152" s="1" t="str">
        <f>"9824W191"</f>
        <v>9824W191</v>
      </c>
      <c r="H13152" s="1" t="str">
        <f>"도원지 9R21R2"</f>
        <v>도원지 9R21R2</v>
      </c>
      <c r="I13152" s="1" t="s">
        <v>15</v>
      </c>
      <c r="J13152" s="1" t="str">
        <f>"33/34"</f>
        <v>33/34</v>
      </c>
      <c r="K13152" s="1" t="str">
        <f>"2026-07-29 14:21:25"</f>
        <v>2026-07-29 14:21:25</v>
      </c>
      <c r="L13152" s="1" t="str">
        <f>"2023-09-01 13:28:12"</f>
        <v>2023-09-01 13:28:12</v>
      </c>
      <c r="M13152" s="1" t="s">
        <v>4</v>
      </c>
      <c r="N13152" s="1" t="s">
        <v>38</v>
      </c>
      <c r="O13152" s="1" t="s">
        <v>46</v>
      </c>
    </row>
    <row r="13153" spans="2:15" x14ac:dyDescent="0.3">
      <c r="B13153" s="1" t="s">
        <v>20</v>
      </c>
      <c r="C13153" s="1" t="str">
        <f t="shared" si="669"/>
        <v>5-2차</v>
      </c>
      <c r="D13153" s="1" t="str">
        <f>"9824W3945M"</f>
        <v>9824W3945M</v>
      </c>
      <c r="E13153" s="1" t="s">
        <v>10</v>
      </c>
      <c r="F13153" s="1" t="str">
        <f>"fde3:102:1301:4d00:0:0:0:7"</f>
        <v>fde3:102:1301:4d00:0:0:0:7</v>
      </c>
      <c r="G13153" s="1" t="str">
        <f>"9824W394"</f>
        <v>9824W394</v>
      </c>
      <c r="H13153" s="1" t="str">
        <f>"전자간 2"</f>
        <v>전자간 2</v>
      </c>
      <c r="I13153" s="1" t="s">
        <v>15</v>
      </c>
      <c r="J13153" s="1" t="str">
        <f>"60/77"</f>
        <v>60/77</v>
      </c>
      <c r="K13153" s="1" t="str">
        <f>"2026-07-29 14:21:24"</f>
        <v>2026-07-29 14:21:24</v>
      </c>
      <c r="L13153" s="1" t="str">
        <f>"2023-10-16 15:59:35"</f>
        <v>2023-10-16 15:59:35</v>
      </c>
      <c r="M13153" s="1" t="s">
        <v>45</v>
      </c>
      <c r="N13153" s="1" t="s">
        <v>38</v>
      </c>
      <c r="O13153" s="1" t="s">
        <v>46</v>
      </c>
    </row>
    <row r="13154" spans="2:15" x14ac:dyDescent="0.3">
      <c r="B13154" s="1" t="s">
        <v>20</v>
      </c>
      <c r="C13154" s="1" t="str">
        <f t="shared" si="669"/>
        <v>5-2차</v>
      </c>
      <c r="D13154" s="1" t="str">
        <f>"9824W9715M"</f>
        <v>9824W9715M</v>
      </c>
      <c r="E13154" s="1" t="s">
        <v>10</v>
      </c>
      <c r="F13154" s="1" t="str">
        <f>"fde1:103:4:55d8:0:0:0:2"</f>
        <v>fde1:103:4:55d8:0:0:0:2</v>
      </c>
      <c r="G13154" s="1" t="str">
        <f>"9824W971"</f>
        <v>9824W971</v>
      </c>
      <c r="H13154" s="1" t="str">
        <f>"전자간 17R5"</f>
        <v>전자간 17R5</v>
      </c>
      <c r="I13154" s="1" t="s">
        <v>15</v>
      </c>
      <c r="J13154" s="1" t="str">
        <f>"39/39"</f>
        <v>39/39</v>
      </c>
      <c r="K13154" s="1" t="str">
        <f>"2026-07-29 14:21:25"</f>
        <v>2026-07-29 14:21:25</v>
      </c>
      <c r="L13154" s="1" t="str">
        <f>"2023-09-01 13:43:04"</f>
        <v>2023-09-01 13:43:04</v>
      </c>
      <c r="M13154" s="1" t="s">
        <v>4</v>
      </c>
      <c r="N13154" s="1" t="s">
        <v>38</v>
      </c>
      <c r="O13154" s="1" t="s">
        <v>46</v>
      </c>
    </row>
    <row r="13155" spans="2:15" x14ac:dyDescent="0.3">
      <c r="B13155" s="1" t="s">
        <v>20</v>
      </c>
      <c r="C13155" s="1" t="str">
        <f>"5-1차"</f>
        <v>5-1차</v>
      </c>
      <c r="D13155" s="1" t="str">
        <f>"9824Y1015M"</f>
        <v>9824Y1015M</v>
      </c>
      <c r="E13155" s="1" t="s">
        <v>10</v>
      </c>
      <c r="F13155" s="1" t="str">
        <f>"fde3:102:1301:2600:0:0:0:4"</f>
        <v>fde3:102:1301:2600:0:0:0:4</v>
      </c>
      <c r="G13155" s="1" t="str">
        <f>"9824Y101"</f>
        <v>9824Y101</v>
      </c>
      <c r="H13155" s="1" t="str">
        <f>"수도지 27L3"</f>
        <v>수도지 27L3</v>
      </c>
      <c r="I13155" s="1" t="s">
        <v>15</v>
      </c>
      <c r="J13155" s="1" t="str">
        <f>"17/17"</f>
        <v>17/17</v>
      </c>
      <c r="K13155" s="1" t="str">
        <f>"2026-07-29 14:21:25"</f>
        <v>2026-07-29 14:21:25</v>
      </c>
      <c r="L13155" s="1" t="str">
        <f>"2022-12-15 10:43:20"</f>
        <v>2022-12-15 10:43:20</v>
      </c>
      <c r="M13155" s="1" t="s">
        <v>45</v>
      </c>
      <c r="N13155" s="1" t="s">
        <v>38</v>
      </c>
      <c r="O13155" s="1" t="s">
        <v>46</v>
      </c>
    </row>
    <row r="13156" spans="2:15" x14ac:dyDescent="0.3">
      <c r="B13156" s="1" t="s">
        <v>20</v>
      </c>
      <c r="C13156" s="1" t="str">
        <f>"5-2차"</f>
        <v>5-2차</v>
      </c>
      <c r="D13156" s="1" t="str">
        <f>"9824Y1025M"</f>
        <v>9824Y1025M</v>
      </c>
      <c r="E13156" s="1" t="s">
        <v>10</v>
      </c>
      <c r="F13156" s="1" t="str">
        <f>"fde1:103:4:5661:0:0:0:2"</f>
        <v>fde1:103:4:5661:0:0:0:2</v>
      </c>
      <c r="G13156" s="1" t="str">
        <f>"9824Y102"</f>
        <v>9824Y102</v>
      </c>
      <c r="H13156" s="1" t="str">
        <f>"수도지 27L3R1"</f>
        <v>수도지 27L3R1</v>
      </c>
      <c r="I13156" s="1" t="s">
        <v>15</v>
      </c>
      <c r="J13156" s="1" t="str">
        <f>"51/51"</f>
        <v>51/51</v>
      </c>
      <c r="K13156" s="1" t="str">
        <f>"2026-07-29 14:21:25"</f>
        <v>2026-07-29 14:21:25</v>
      </c>
      <c r="L13156" s="1" t="str">
        <f>"2023-09-01 13:56:01"</f>
        <v>2023-09-01 13:56:01</v>
      </c>
      <c r="M13156" s="1" t="s">
        <v>4</v>
      </c>
      <c r="N13156" s="1" t="s">
        <v>38</v>
      </c>
      <c r="O13156" s="1" t="s">
        <v>46</v>
      </c>
    </row>
    <row r="13157" spans="2:15" x14ac:dyDescent="0.3">
      <c r="B13157" s="1" t="s">
        <v>20</v>
      </c>
      <c r="C13157" s="1" t="str">
        <f>"5-2차"</f>
        <v>5-2차</v>
      </c>
      <c r="D13157" s="1" t="str">
        <f>"9824Z1015M"</f>
        <v>9824Z1015M</v>
      </c>
      <c r="E13157" s="1" t="s">
        <v>10</v>
      </c>
      <c r="F13157" s="1" t="str">
        <f>"fde1:103:4:55d3:0:0:0:2"</f>
        <v>fde1:103:4:55d3:0:0:0:2</v>
      </c>
      <c r="G13157" s="1" t="str">
        <f>"9824Z101"</f>
        <v>9824Z101</v>
      </c>
      <c r="H13157" s="1" t="str">
        <f>"철우지 7L2"</f>
        <v>철우지 7L2</v>
      </c>
      <c r="I13157" s="1" t="s">
        <v>15</v>
      </c>
      <c r="J13157" s="1" t="str">
        <f>"48/48"</f>
        <v>48/48</v>
      </c>
      <c r="K13157" s="1" t="str">
        <f>"2026-07-29 14:21:26"</f>
        <v>2026-07-29 14:21:26</v>
      </c>
      <c r="L13157" s="1" t="str">
        <f>"2023-09-01 14:16:31"</f>
        <v>2023-09-01 14:16:31</v>
      </c>
      <c r="M13157" s="1" t="s">
        <v>4</v>
      </c>
      <c r="N13157" s="1" t="s">
        <v>38</v>
      </c>
      <c r="O13157" s="1" t="s">
        <v>46</v>
      </c>
    </row>
    <row r="13158" spans="2:15" x14ac:dyDescent="0.3">
      <c r="B13158" s="1" t="s">
        <v>20</v>
      </c>
      <c r="C13158" s="1" t="str">
        <f>"5-2차"</f>
        <v>5-2차</v>
      </c>
      <c r="D13158" s="1" t="str">
        <f>"9824Z2125M"</f>
        <v>9824Z2125M</v>
      </c>
      <c r="E13158" s="1" t="s">
        <v>10</v>
      </c>
      <c r="F13158" s="1" t="str">
        <f>"fde1:103:4:5604:0:0:0:2"</f>
        <v>fde1:103:4:5604:0:0:0:2</v>
      </c>
      <c r="G13158" s="1" t="str">
        <f>"9824Z212"</f>
        <v>9824Z212</v>
      </c>
      <c r="H13158" s="1" t="str">
        <f>"철우지 7L4"</f>
        <v>철우지 7L4</v>
      </c>
      <c r="I13158" s="1" t="s">
        <v>15</v>
      </c>
      <c r="J13158" s="1" t="str">
        <f>"48/48"</f>
        <v>48/48</v>
      </c>
      <c r="K13158" s="1" t="str">
        <f>"2026-07-29 14:21:26"</f>
        <v>2026-07-29 14:21:26</v>
      </c>
      <c r="L13158" s="1" t="str">
        <f>"2023-09-01 14:40:56"</f>
        <v>2023-09-01 14:40:56</v>
      </c>
      <c r="M13158" s="1" t="s">
        <v>4</v>
      </c>
      <c r="N13158" s="1" t="s">
        <v>38</v>
      </c>
      <c r="O13158" s="1" t="s">
        <v>46</v>
      </c>
    </row>
    <row r="13159" spans="2:15" x14ac:dyDescent="0.3">
      <c r="B13159" s="1" t="s">
        <v>20</v>
      </c>
      <c r="C13159" s="1" t="str">
        <f>"5-2차"</f>
        <v>5-2차</v>
      </c>
      <c r="D13159" s="1" t="str">
        <f>"9824Z2215M"</f>
        <v>9824Z2215M</v>
      </c>
      <c r="E13159" s="1" t="s">
        <v>10</v>
      </c>
      <c r="F13159" s="1" t="str">
        <f>"fde1:103:4:5671:0:0:0:2"</f>
        <v>fde1:103:4:5671:0:0:0:2</v>
      </c>
      <c r="G13159" s="1" t="str">
        <f>"9824Z221"</f>
        <v>9824Z221</v>
      </c>
      <c r="H13159" s="1" t="str">
        <f>"철우지 7L5"</f>
        <v>철우지 7L5</v>
      </c>
      <c r="I13159" s="1" t="s">
        <v>15</v>
      </c>
      <c r="J13159" s="1" t="str">
        <f>"32/32"</f>
        <v>32/32</v>
      </c>
      <c r="K13159" s="1" t="str">
        <f>"2026-07-29 14:21:26"</f>
        <v>2026-07-29 14:21:26</v>
      </c>
      <c r="L13159" s="1" t="str">
        <f>"2023-09-01 14:52:55"</f>
        <v>2023-09-01 14:52:55</v>
      </c>
      <c r="M13159" s="1" t="s">
        <v>4</v>
      </c>
      <c r="N13159" s="1" t="s">
        <v>38</v>
      </c>
      <c r="O13159" s="1" t="s">
        <v>46</v>
      </c>
    </row>
    <row r="13160" spans="2:15" x14ac:dyDescent="0.3">
      <c r="B13160" s="1" t="s">
        <v>20</v>
      </c>
      <c r="C13160" s="1" t="str">
        <f>"5-2차"</f>
        <v>5-2차</v>
      </c>
      <c r="D13160" s="1" t="str">
        <f>"9824Z4235M"</f>
        <v>9824Z4235M</v>
      </c>
      <c r="E13160" s="1" t="s">
        <v>10</v>
      </c>
      <c r="F13160" s="1" t="str">
        <f>"fde1:103:4:56df:0:0:0:2"</f>
        <v>fde1:103:4:56df:0:0:0:2</v>
      </c>
      <c r="G13160" s="1" t="str">
        <f>"9824Z423"</f>
        <v>9824Z423</v>
      </c>
      <c r="H13160" s="1" t="str">
        <f>"철우지 12"</f>
        <v>철우지 12</v>
      </c>
      <c r="I13160" s="1" t="s">
        <v>15</v>
      </c>
      <c r="J13160" s="1" t="str">
        <f>"31/31"</f>
        <v>31/31</v>
      </c>
      <c r="K13160" s="1" t="str">
        <f>"2026-07-29 14:21:29"</f>
        <v>2026-07-29 14:21:29</v>
      </c>
      <c r="L13160" s="1" t="str">
        <f>"2023-09-01 15:06:51"</f>
        <v>2023-09-01 15:06:51</v>
      </c>
      <c r="M13160" s="1" t="s">
        <v>4</v>
      </c>
      <c r="N13160" s="1" t="s">
        <v>38</v>
      </c>
      <c r="O13160" s="1" t="s">
        <v>46</v>
      </c>
    </row>
    <row r="13161" spans="2:15" x14ac:dyDescent="0.3">
      <c r="B13161" s="1" t="s">
        <v>20</v>
      </c>
      <c r="C13161" s="1" t="str">
        <f t="shared" ref="C13161:C13166" si="670">"4차"</f>
        <v>4차</v>
      </c>
      <c r="D13161" s="1" t="str">
        <f>"9824Z61839"</f>
        <v>9824Z61839</v>
      </c>
      <c r="E13161" s="1" t="s">
        <v>10</v>
      </c>
      <c r="F13161" s="1" t="str">
        <f>"10.12.136.189"</f>
        <v>10.12.136.189</v>
      </c>
      <c r="G13161" s="1" t="str">
        <f>"9824Z618"</f>
        <v>9824Z618</v>
      </c>
      <c r="H13161" s="1" t="str">
        <f>"한강로 3-1"</f>
        <v>한강로 3-1</v>
      </c>
      <c r="I13161" s="1" t="s">
        <v>17</v>
      </c>
      <c r="J13161" s="1" t="str">
        <f>"5/5"</f>
        <v>5/5</v>
      </c>
      <c r="K13161" s="1" t="str">
        <f>"2026-07-29 13:18:12"</f>
        <v>2026-07-29 13:18:12</v>
      </c>
      <c r="L13161" s="1" t="str">
        <f>"2018-10-12 09:52:10"</f>
        <v>2018-10-12 09:52:10</v>
      </c>
      <c r="M13161" s="1" t="s">
        <v>0</v>
      </c>
      <c r="N13161" s="1" t="s">
        <v>38</v>
      </c>
      <c r="O13161" s="1" t="s">
        <v>46</v>
      </c>
    </row>
    <row r="13162" spans="2:15" x14ac:dyDescent="0.3">
      <c r="B13162" s="1" t="s">
        <v>20</v>
      </c>
      <c r="C13162" s="1" t="str">
        <f t="shared" si="670"/>
        <v>4차</v>
      </c>
      <c r="D13162" s="1" t="str">
        <f>"9825A70139"</f>
        <v>9825A70139</v>
      </c>
      <c r="E13162" s="1" t="s">
        <v>10</v>
      </c>
      <c r="F13162" s="1" t="str">
        <f>"10.14.13.125"</f>
        <v>10.14.13.125</v>
      </c>
      <c r="G13162" s="1" t="str">
        <f>"9825A701"</f>
        <v>9825A701</v>
      </c>
      <c r="H13162" s="1" t="str">
        <f>"신촌로 31"</f>
        <v>신촌로 31</v>
      </c>
      <c r="I13162" s="1" t="s">
        <v>17</v>
      </c>
      <c r="J13162" s="1" t="str">
        <f>"3/3"</f>
        <v>3/3</v>
      </c>
      <c r="K13162" s="1" t="str">
        <f>"2026-07-29 13:18:13"</f>
        <v>2026-07-29 13:18:13</v>
      </c>
      <c r="L13162" s="1" t="str">
        <f>"2018-08-03 13:11:28"</f>
        <v>2018-08-03 13:11:28</v>
      </c>
      <c r="M13162" s="1" t="s">
        <v>3</v>
      </c>
      <c r="N13162" s="1" t="s">
        <v>38</v>
      </c>
      <c r="O13162" s="1" t="s">
        <v>46</v>
      </c>
    </row>
    <row r="13163" spans="2:15" x14ac:dyDescent="0.3">
      <c r="B13163" s="1" t="s">
        <v>20</v>
      </c>
      <c r="C13163" s="1" t="str">
        <f t="shared" si="670"/>
        <v>4차</v>
      </c>
      <c r="D13163" s="1" t="str">
        <f>"9825B00139"</f>
        <v>9825B00139</v>
      </c>
      <c r="E13163" s="1" t="s">
        <v>10</v>
      </c>
      <c r="F13163" s="1" t="str">
        <f>"10.12.132.234"</f>
        <v>10.12.132.234</v>
      </c>
      <c r="G13163" s="1" t="str">
        <f>"9825B001"</f>
        <v>9825B001</v>
      </c>
      <c r="H13163" s="1" t="str">
        <f>"신촌로 33"</f>
        <v>신촌로 33</v>
      </c>
      <c r="I13163" s="1" t="s">
        <v>17</v>
      </c>
      <c r="J13163" s="1" t="str">
        <f>"31/31"</f>
        <v>31/31</v>
      </c>
      <c r="K13163" s="1" t="str">
        <f>"2026-07-29 13:18:12"</f>
        <v>2026-07-29 13:18:12</v>
      </c>
      <c r="L13163" s="1" t="str">
        <f>"2018-07-06 11:49:26"</f>
        <v>2018-07-06 11:49:26</v>
      </c>
      <c r="M13163" s="1" t="s">
        <v>0</v>
      </c>
      <c r="N13163" s="1" t="s">
        <v>38</v>
      </c>
      <c r="O13163" s="1" t="s">
        <v>46</v>
      </c>
    </row>
    <row r="13164" spans="2:15" x14ac:dyDescent="0.3">
      <c r="B13164" s="1" t="s">
        <v>20</v>
      </c>
      <c r="C13164" s="1" t="str">
        <f t="shared" si="670"/>
        <v>4차</v>
      </c>
      <c r="D13164" s="1" t="str">
        <f>"9825B30139"</f>
        <v>9825B30139</v>
      </c>
      <c r="E13164" s="1" t="s">
        <v>14</v>
      </c>
      <c r="F13164" s="1" t="str">
        <f>"10.12.132.241"</f>
        <v>10.12.132.241</v>
      </c>
      <c r="G13164" s="1" t="str">
        <f>"9825B301"</f>
        <v>9825B301</v>
      </c>
      <c r="H13164" s="1" t="str">
        <f>"신촌로 36"</f>
        <v>신촌로 36</v>
      </c>
      <c r="I13164" s="1" t="s">
        <v>17</v>
      </c>
      <c r="J13164" s="1" t="str">
        <f>"0/0"</f>
        <v>0/0</v>
      </c>
      <c r="K13164" s="1" t="str">
        <f>"2026-06-10 07:18:13"</f>
        <v>2026-06-10 07:18:13</v>
      </c>
      <c r="L13164" s="1" t="str">
        <f>"2018-06-21 13:22:56"</f>
        <v>2018-06-21 13:22:56</v>
      </c>
      <c r="M13164" s="1" t="s">
        <v>0</v>
      </c>
      <c r="N13164" s="1" t="s">
        <v>39</v>
      </c>
      <c r="O13164" s="1" t="s">
        <v>46</v>
      </c>
    </row>
    <row r="13165" spans="2:15" x14ac:dyDescent="0.3">
      <c r="B13165" s="1" t="s">
        <v>20</v>
      </c>
      <c r="C13165" s="1" t="str">
        <f t="shared" si="670"/>
        <v>4차</v>
      </c>
      <c r="D13165" s="1" t="str">
        <f>"9825B30239"</f>
        <v>9825B30239</v>
      </c>
      <c r="E13165" s="1" t="s">
        <v>10</v>
      </c>
      <c r="F13165" s="1" t="str">
        <f>"10.12.132.227"</f>
        <v>10.12.132.227</v>
      </c>
      <c r="G13165" s="1" t="str">
        <f>"9825B302"</f>
        <v>9825B302</v>
      </c>
      <c r="H13165" s="1" t="str">
        <f>"신촌로 37"</f>
        <v>신촌로 37</v>
      </c>
      <c r="I13165" s="1" t="s">
        <v>17</v>
      </c>
      <c r="J13165" s="1" t="str">
        <f>"6/6"</f>
        <v>6/6</v>
      </c>
      <c r="K13165" s="1" t="str">
        <f>"2026-07-29 13:18:12"</f>
        <v>2026-07-29 13:18:12</v>
      </c>
      <c r="L13165" s="1" t="str">
        <f>"2018-06-21 13:29:59"</f>
        <v>2018-06-21 13:29:59</v>
      </c>
      <c r="M13165" s="1" t="s">
        <v>0</v>
      </c>
      <c r="N13165" s="1" t="s">
        <v>38</v>
      </c>
      <c r="O13165" s="1" t="s">
        <v>46</v>
      </c>
    </row>
    <row r="13166" spans="2:15" x14ac:dyDescent="0.3">
      <c r="B13166" s="1" t="s">
        <v>20</v>
      </c>
      <c r="C13166" s="1" t="str">
        <f t="shared" si="670"/>
        <v>4차</v>
      </c>
      <c r="D13166" s="1" t="str">
        <f>"9825B60239"</f>
        <v>9825B60239</v>
      </c>
      <c r="E13166" s="1" t="s">
        <v>10</v>
      </c>
      <c r="F13166" s="1" t="str">
        <f>"10.12.132.228"</f>
        <v>10.12.132.228</v>
      </c>
      <c r="G13166" s="1" t="str">
        <f>"9825B602"</f>
        <v>9825B602</v>
      </c>
      <c r="H13166" s="1" t="str">
        <f>"신촌로 38-1"</f>
        <v>신촌로 38-1</v>
      </c>
      <c r="I13166" s="1" t="s">
        <v>17</v>
      </c>
      <c r="J13166" s="1" t="str">
        <f>"6/6"</f>
        <v>6/6</v>
      </c>
      <c r="K13166" s="1" t="str">
        <f>"2026-07-29 13:18:12"</f>
        <v>2026-07-29 13:18:12</v>
      </c>
      <c r="L13166" s="1" t="str">
        <f>"2018-06-21 13:43:29"</f>
        <v>2018-06-21 13:43:29</v>
      </c>
      <c r="M13166" s="1" t="s">
        <v>0</v>
      </c>
      <c r="N13166" s="1" t="s">
        <v>38</v>
      </c>
      <c r="O13166" s="1" t="s">
        <v>46</v>
      </c>
    </row>
    <row r="13167" spans="2:15" x14ac:dyDescent="0.3">
      <c r="B13167" s="1" t="s">
        <v>20</v>
      </c>
      <c r="C13167" s="1" t="str">
        <f>"5-2차"</f>
        <v>5-2차</v>
      </c>
      <c r="D13167" s="1" t="str">
        <f>"9825B8045M"</f>
        <v>9825B8045M</v>
      </c>
      <c r="E13167" s="1" t="s">
        <v>10</v>
      </c>
      <c r="F13167" s="1" t="str">
        <f>"fde1:103:4:55c3:0:0:0:2"</f>
        <v>fde1:103:4:55c3:0:0:0:2</v>
      </c>
      <c r="G13167" s="1" t="str">
        <f>"9825B804"</f>
        <v>9825B804</v>
      </c>
      <c r="H13167" s="1" t="str">
        <f>"숭문간 53L3L4R1R1"</f>
        <v>숭문간 53L3L4R1R1</v>
      </c>
      <c r="I13167" s="1" t="s">
        <v>15</v>
      </c>
      <c r="J13167" s="1" t="str">
        <f>"120/121"</f>
        <v>120/121</v>
      </c>
      <c r="K13167" s="1" t="str">
        <f>"2026-07-29 14:21:28"</f>
        <v>2026-07-29 14:21:28</v>
      </c>
      <c r="L13167" s="1" t="str">
        <f>"2023-09-01 15:28:36"</f>
        <v>2023-09-01 15:28:36</v>
      </c>
      <c r="M13167" s="1" t="s">
        <v>4</v>
      </c>
      <c r="N13167" s="1" t="s">
        <v>38</v>
      </c>
      <c r="O13167" s="1" t="s">
        <v>46</v>
      </c>
    </row>
    <row r="13168" spans="2:15" x14ac:dyDescent="0.3">
      <c r="B13168" s="1" t="s">
        <v>20</v>
      </c>
      <c r="C13168" s="1" t="str">
        <f>"6차"</f>
        <v>6차</v>
      </c>
      <c r="D13168" s="1" t="str">
        <f>"9825C0016S"</f>
        <v>9825C0016S</v>
      </c>
      <c r="E13168" s="1" t="s">
        <v>10</v>
      </c>
      <c r="F13168" s="1" t="str">
        <f>"fde1:103:4:c601:0:0:0:2"</f>
        <v>fde1:103:4:c601:0:0:0:2</v>
      </c>
      <c r="G13168" s="1" t="str">
        <f>"9825C001"</f>
        <v>9825C001</v>
      </c>
      <c r="H13168" s="1" t="str">
        <f>"서강간 46R20L1R2"</f>
        <v>서강간 46R20L1R2</v>
      </c>
      <c r="I13168" s="1" t="s">
        <v>15</v>
      </c>
      <c r="J13168" s="1" t="str">
        <f>"78/83"</f>
        <v>78/83</v>
      </c>
      <c r="K13168" s="1" t="str">
        <f>"2026-07-29 14:21:28"</f>
        <v>2026-07-29 14:21:28</v>
      </c>
      <c r="L13168" s="1" t="str">
        <f>"2024-11-01 18:13:48"</f>
        <v>2024-11-01 18:13:48</v>
      </c>
      <c r="M13168" s="1" t="s">
        <v>4</v>
      </c>
      <c r="N13168" s="1" t="s">
        <v>38</v>
      </c>
      <c r="O13168" s="1" t="s">
        <v>46</v>
      </c>
    </row>
    <row r="13169" spans="2:15" x14ac:dyDescent="0.3">
      <c r="B13169" s="1" t="s">
        <v>20</v>
      </c>
      <c r="C13169" s="1" t="str">
        <f>"5-2차"</f>
        <v>5-2차</v>
      </c>
      <c r="D13169" s="1" t="str">
        <f>"9825C0025S"</f>
        <v>9825C0025S</v>
      </c>
      <c r="E13169" s="1" t="s">
        <v>10</v>
      </c>
      <c r="F13169" s="1" t="str">
        <f>"fde3:102:1300:602:0:0:0:2"</f>
        <v>fde3:102:1300:602:0:0:0:2</v>
      </c>
      <c r="G13169" s="1" t="str">
        <f>"9825C002"</f>
        <v>9825C002</v>
      </c>
      <c r="H13169" s="1" t="str">
        <f>"서강간 46R20L1R3"</f>
        <v>서강간 46R20L1R3</v>
      </c>
      <c r="I13169" s="1" t="s">
        <v>15</v>
      </c>
      <c r="J13169" s="1" t="str">
        <f>"94/96"</f>
        <v>94/96</v>
      </c>
      <c r="K13169" s="1" t="str">
        <f>"2026-07-29 14:21:27"</f>
        <v>2026-07-29 14:21:27</v>
      </c>
      <c r="L13169" s="1" t="str">
        <f>"2023-09-22 14:59:27"</f>
        <v>2023-09-22 14:59:27</v>
      </c>
      <c r="M13169" s="1" t="s">
        <v>45</v>
      </c>
      <c r="N13169" s="1" t="s">
        <v>38</v>
      </c>
      <c r="O13169" s="1" t="s">
        <v>46</v>
      </c>
    </row>
    <row r="13170" spans="2:15" x14ac:dyDescent="0.3">
      <c r="B13170" s="1" t="s">
        <v>20</v>
      </c>
      <c r="C13170" s="1" t="str">
        <f>"5-1차"</f>
        <v>5-1차</v>
      </c>
      <c r="D13170" s="1" t="str">
        <f>"9825C0115S"</f>
        <v>9825C0115S</v>
      </c>
      <c r="E13170" s="1" t="s">
        <v>10</v>
      </c>
      <c r="F13170" s="1" t="str">
        <f>"fde3:102:1300:6a02:0:0:0:2"</f>
        <v>fde3:102:1300:6a02:0:0:0:2</v>
      </c>
      <c r="G13170" s="1" t="str">
        <f>"9825C011"</f>
        <v>9825C011</v>
      </c>
      <c r="H13170" s="1" t="str">
        <f>"서강간 46R20L1R1"</f>
        <v>서강간 46R20L1R1</v>
      </c>
      <c r="I13170" s="1" t="s">
        <v>15</v>
      </c>
      <c r="J13170" s="1" t="str">
        <f>"73/73"</f>
        <v>73/73</v>
      </c>
      <c r="K13170" s="1" t="str">
        <f>"2026-07-29 14:21:28"</f>
        <v>2026-07-29 14:21:28</v>
      </c>
      <c r="L13170" s="1" t="str">
        <f>"2022-12-08 12:23:12"</f>
        <v>2022-12-08 12:23:12</v>
      </c>
      <c r="M13170" s="1" t="s">
        <v>45</v>
      </c>
      <c r="N13170" s="1" t="s">
        <v>38</v>
      </c>
      <c r="O13170" s="1" t="s">
        <v>46</v>
      </c>
    </row>
    <row r="13171" spans="2:15" x14ac:dyDescent="0.3">
      <c r="B13171" s="1" t="s">
        <v>20</v>
      </c>
      <c r="C13171" s="1" t="str">
        <f>"5-1차"</f>
        <v>5-1차</v>
      </c>
      <c r="D13171" s="1" t="str">
        <f>"9825C0215M"</f>
        <v>9825C0215M</v>
      </c>
      <c r="E13171" s="1" t="s">
        <v>10</v>
      </c>
      <c r="F13171" s="1" t="str">
        <f>"fde3:102:1300:601:0:0:0:3"</f>
        <v>fde3:102:1300:601:0:0:0:3</v>
      </c>
      <c r="G13171" s="1" t="str">
        <f>"9825C021"</f>
        <v>9825C021</v>
      </c>
      <c r="H13171" s="1" t="str">
        <f>"서강간 46R20L1"</f>
        <v>서강간 46R20L1</v>
      </c>
      <c r="I13171" s="1" t="s">
        <v>15</v>
      </c>
      <c r="J13171" s="1" t="str">
        <f>"46/47"</f>
        <v>46/47</v>
      </c>
      <c r="K13171" s="1" t="str">
        <f>"2026-07-29 14:21:28"</f>
        <v>2026-07-29 14:21:28</v>
      </c>
      <c r="L13171" s="1" t="str">
        <f>"2022-11-10 06:39:13"</f>
        <v>2022-11-10 06:39:13</v>
      </c>
      <c r="M13171" s="1" t="s">
        <v>45</v>
      </c>
      <c r="N13171" s="1" t="s">
        <v>38</v>
      </c>
      <c r="O13171" s="1" t="s">
        <v>46</v>
      </c>
    </row>
    <row r="13172" spans="2:15" x14ac:dyDescent="0.3">
      <c r="B13172" s="1" t="s">
        <v>20</v>
      </c>
      <c r="C13172" s="1" t="str">
        <f>"6차"</f>
        <v>6차</v>
      </c>
      <c r="D13172" s="1" t="str">
        <f>"9825C0316S"</f>
        <v>9825C0316S</v>
      </c>
      <c r="E13172" s="1" t="s">
        <v>10</v>
      </c>
      <c r="F13172" s="1" t="str">
        <f>"fde1:103:4:c5f9:0:0:0:2"</f>
        <v>fde1:103:4:c5f9:0:0:0:2</v>
      </c>
      <c r="G13172" s="1" t="str">
        <f>"9825C031"</f>
        <v>9825C031</v>
      </c>
      <c r="H13172" s="1" t="str">
        <f>"서강간 46R20L1L1"</f>
        <v>서강간 46R20L1L1</v>
      </c>
      <c r="I13172" s="1" t="s">
        <v>15</v>
      </c>
      <c r="J13172" s="1" t="str">
        <f>"30/30"</f>
        <v>30/30</v>
      </c>
      <c r="K13172" s="1" t="str">
        <f>"2026-07-29 14:21:28"</f>
        <v>2026-07-29 14:21:28</v>
      </c>
      <c r="L13172" s="1" t="str">
        <f>"2024-11-01 18:04:07"</f>
        <v>2024-11-01 18:04:07</v>
      </c>
      <c r="M13172" s="1" t="s">
        <v>4</v>
      </c>
      <c r="N13172" s="1" t="s">
        <v>38</v>
      </c>
      <c r="O13172" s="1" t="s">
        <v>46</v>
      </c>
    </row>
    <row r="13173" spans="2:15" x14ac:dyDescent="0.3">
      <c r="B13173" s="1" t="s">
        <v>20</v>
      </c>
      <c r="C13173" s="1" t="str">
        <f>"5-1차"</f>
        <v>5-1차</v>
      </c>
      <c r="D13173" s="1" t="str">
        <f>"9825C0435S"</f>
        <v>9825C0435S</v>
      </c>
      <c r="E13173" s="1" t="s">
        <v>10</v>
      </c>
      <c r="F13173" s="1" t="str">
        <f>"fde3:102:1300:600:0:0:0:2"</f>
        <v>fde3:102:1300:600:0:0:0:2</v>
      </c>
      <c r="G13173" s="1" t="str">
        <f>"9825C043"</f>
        <v>9825C043</v>
      </c>
      <c r="H13173" s="1" t="str">
        <f>"서강간 46R20L1L2"</f>
        <v>서강간 46R20L1L2</v>
      </c>
      <c r="I13173" s="1" t="s">
        <v>15</v>
      </c>
      <c r="J13173" s="1" t="str">
        <f>"26/26"</f>
        <v>26/26</v>
      </c>
      <c r="K13173" s="1" t="str">
        <f>"2026-07-29 14:21:29"</f>
        <v>2026-07-29 14:21:29</v>
      </c>
      <c r="L13173" s="1" t="str">
        <f>"2022-11-08 11:21:48"</f>
        <v>2022-11-08 11:21:48</v>
      </c>
      <c r="M13173" s="1" t="s">
        <v>45</v>
      </c>
      <c r="N13173" s="1" t="s">
        <v>38</v>
      </c>
      <c r="O13173" s="1" t="s">
        <v>46</v>
      </c>
    </row>
    <row r="13174" spans="2:15" x14ac:dyDescent="0.3">
      <c r="B13174" s="1" t="s">
        <v>20</v>
      </c>
      <c r="C13174" s="1" t="str">
        <f>"6차"</f>
        <v>6차</v>
      </c>
      <c r="D13174" s="1" t="str">
        <f>"9825C0536S"</f>
        <v>9825C0536S</v>
      </c>
      <c r="E13174" s="1" t="s">
        <v>10</v>
      </c>
      <c r="F13174" s="1" t="str">
        <f>"fde1:103:4:c5ee:0:0:0:2"</f>
        <v>fde1:103:4:c5ee:0:0:0:2</v>
      </c>
      <c r="G13174" s="1" t="str">
        <f>"9825C053"</f>
        <v>9825C053</v>
      </c>
      <c r="H13174" s="1" t="str">
        <f>"서강간 46R15"</f>
        <v>서강간 46R15</v>
      </c>
      <c r="I13174" s="1" t="s">
        <v>15</v>
      </c>
      <c r="J13174" s="1" t="str">
        <f>"35/35"</f>
        <v>35/35</v>
      </c>
      <c r="K13174" s="1" t="str">
        <f>"2026-07-29 14:21:29"</f>
        <v>2026-07-29 14:21:29</v>
      </c>
      <c r="L13174" s="1" t="str">
        <f>"2024-11-01 18:08:08"</f>
        <v>2024-11-01 18:08:08</v>
      </c>
      <c r="M13174" s="1" t="s">
        <v>4</v>
      </c>
      <c r="N13174" s="1" t="s">
        <v>38</v>
      </c>
      <c r="O13174" s="1" t="s">
        <v>46</v>
      </c>
    </row>
    <row r="13175" spans="2:15" x14ac:dyDescent="0.3">
      <c r="B13175" s="1" t="s">
        <v>20</v>
      </c>
      <c r="C13175" s="1" t="str">
        <f>"5-2차"</f>
        <v>5-2차</v>
      </c>
      <c r="D13175" s="1" t="str">
        <f>"9825C1015S"</f>
        <v>9825C1015S</v>
      </c>
      <c r="E13175" s="1" t="s">
        <v>10</v>
      </c>
      <c r="F13175" s="1" t="str">
        <f>"fde3:102:1300:a00:0:0:0:5"</f>
        <v>fde3:102:1300:a00:0:0:0:5</v>
      </c>
      <c r="G13175" s="1" t="str">
        <f>"9825C101"</f>
        <v>9825C101</v>
      </c>
      <c r="H13175" s="1" t="str">
        <f>"노고산간 16L2"</f>
        <v>노고산간 16L2</v>
      </c>
      <c r="I13175" s="1" t="s">
        <v>15</v>
      </c>
      <c r="J13175" s="1" t="str">
        <f>"42/42"</f>
        <v>42/42</v>
      </c>
      <c r="K13175" s="1" t="str">
        <f>"2026-07-29 14:21:28"</f>
        <v>2026-07-29 14:21:28</v>
      </c>
      <c r="L13175" s="1" t="str">
        <f>"2023-09-22 14:32:03"</f>
        <v>2023-09-22 14:32:03</v>
      </c>
      <c r="M13175" s="1" t="s">
        <v>45</v>
      </c>
      <c r="N13175" s="1" t="s">
        <v>38</v>
      </c>
      <c r="O13175" s="1" t="s">
        <v>46</v>
      </c>
    </row>
    <row r="13176" spans="2:15" x14ac:dyDescent="0.3">
      <c r="B13176" s="1" t="s">
        <v>20</v>
      </c>
      <c r="C13176" s="1" t="str">
        <f>"5-2차"</f>
        <v>5-2차</v>
      </c>
      <c r="D13176" s="1" t="str">
        <f>"9825C1215M"</f>
        <v>9825C1215M</v>
      </c>
      <c r="E13176" s="1" t="s">
        <v>10</v>
      </c>
      <c r="F13176" s="1" t="str">
        <f>"fde3:102:1300:c00:0:0:0:5"</f>
        <v>fde3:102:1300:c00:0:0:0:5</v>
      </c>
      <c r="G13176" s="1" t="str">
        <f>"9825C121"</f>
        <v>9825C121</v>
      </c>
      <c r="H13176" s="1" t="str">
        <f>"서강간 46R20L2"</f>
        <v>서강간 46R20L2</v>
      </c>
      <c r="I13176" s="1" t="s">
        <v>15</v>
      </c>
      <c r="J13176" s="1" t="str">
        <f>"53/53"</f>
        <v>53/53</v>
      </c>
      <c r="K13176" s="1" t="str">
        <f>"2026-07-29 14:21:29"</f>
        <v>2026-07-29 14:21:29</v>
      </c>
      <c r="L13176" s="1" t="str">
        <f>"2023-11-23 14:33:54"</f>
        <v>2023-11-23 14:33:54</v>
      </c>
      <c r="M13176" s="1" t="s">
        <v>45</v>
      </c>
      <c r="N13176" s="1" t="s">
        <v>38</v>
      </c>
      <c r="O13176" s="1" t="s">
        <v>46</v>
      </c>
    </row>
    <row r="13177" spans="2:15" x14ac:dyDescent="0.3">
      <c r="B13177" s="1" t="s">
        <v>20</v>
      </c>
      <c r="C13177" s="1" t="str">
        <f>"5-2차"</f>
        <v>5-2차</v>
      </c>
      <c r="D13177" s="1" t="str">
        <f>"9825C1325M"</f>
        <v>9825C1325M</v>
      </c>
      <c r="E13177" s="1" t="s">
        <v>10</v>
      </c>
      <c r="F13177" s="1" t="str">
        <f>"fde1:103:4:5652:0:0:0:2"</f>
        <v>fde1:103:4:5652:0:0:0:2</v>
      </c>
      <c r="G13177" s="1" t="str">
        <f>"9825C132"</f>
        <v>9825C132</v>
      </c>
      <c r="H13177" s="1" t="str">
        <f>"서강간 46R20L2L2"</f>
        <v>서강간 46R20L2L2</v>
      </c>
      <c r="I13177" s="1" t="s">
        <v>15</v>
      </c>
      <c r="J13177" s="1" t="str">
        <f>"32/36"</f>
        <v>32/36</v>
      </c>
      <c r="K13177" s="1" t="str">
        <f>"2026-07-29 14:21:34"</f>
        <v>2026-07-29 14:21:34</v>
      </c>
      <c r="L13177" s="1" t="str">
        <f>"2023-09-01 15:47:49"</f>
        <v>2023-09-01 15:47:49</v>
      </c>
      <c r="M13177" s="1" t="s">
        <v>4</v>
      </c>
      <c r="N13177" s="1" t="s">
        <v>38</v>
      </c>
      <c r="O13177" s="1" t="s">
        <v>46</v>
      </c>
    </row>
    <row r="13178" spans="2:15" x14ac:dyDescent="0.3">
      <c r="B13178" s="1" t="s">
        <v>20</v>
      </c>
      <c r="C13178" s="1" t="str">
        <f>"5-1차"</f>
        <v>5-1차</v>
      </c>
      <c r="D13178" s="1" t="str">
        <f>"9825C2425M"</f>
        <v>9825C2425M</v>
      </c>
      <c r="E13178" s="1" t="s">
        <v>10</v>
      </c>
      <c r="F13178" s="1" t="str">
        <f>"fde3:102:1300:c00:0:0:0:2"</f>
        <v>fde3:102:1300:c00:0:0:0:2</v>
      </c>
      <c r="G13178" s="1" t="str">
        <f>"9825C242"</f>
        <v>9825C242</v>
      </c>
      <c r="H13178" s="1" t="str">
        <f>"서강간 46R11R1"</f>
        <v>서강간 46R11R1</v>
      </c>
      <c r="I13178" s="1" t="s">
        <v>15</v>
      </c>
      <c r="J13178" s="1" t="str">
        <f>"9/9"</f>
        <v>9/9</v>
      </c>
      <c r="K13178" s="1" t="str">
        <f>"2026-07-29 14:21:31"</f>
        <v>2026-07-29 14:21:31</v>
      </c>
      <c r="L13178" s="1" t="str">
        <f>"2022-11-28 10:34:58"</f>
        <v>2022-11-28 10:34:58</v>
      </c>
      <c r="M13178" s="1" t="s">
        <v>45</v>
      </c>
      <c r="N13178" s="1" t="s">
        <v>38</v>
      </c>
      <c r="O13178" s="1" t="s">
        <v>46</v>
      </c>
    </row>
    <row r="13179" spans="2:15" x14ac:dyDescent="0.3">
      <c r="B13179" s="1" t="s">
        <v>20</v>
      </c>
      <c r="C13179" s="1" t="str">
        <f>"5-2차"</f>
        <v>5-2차</v>
      </c>
      <c r="D13179" s="1" t="str">
        <f>"9825C3645S"</f>
        <v>9825C3645S</v>
      </c>
      <c r="E13179" s="1" t="s">
        <v>10</v>
      </c>
      <c r="F13179" s="1" t="str">
        <f>"fde1:103:4:597d:0:0:0:2"</f>
        <v>fde1:103:4:597d:0:0:0:2</v>
      </c>
      <c r="G13179" s="1" t="str">
        <f>"9825C364"</f>
        <v>9825C364</v>
      </c>
      <c r="H13179" s="1" t="str">
        <f>"풍림간 12L3"</f>
        <v>풍림간 12L3</v>
      </c>
      <c r="I13179" s="1" t="s">
        <v>15</v>
      </c>
      <c r="J13179" s="1" t="str">
        <f>"39/39"</f>
        <v>39/39</v>
      </c>
      <c r="K13179" s="1" t="str">
        <f>"2026-07-29 14:21:29"</f>
        <v>2026-07-29 14:21:29</v>
      </c>
      <c r="L13179" s="1" t="str">
        <f>"2023-09-12 13:33:09"</f>
        <v>2023-09-12 13:33:09</v>
      </c>
      <c r="M13179" s="1" t="s">
        <v>4</v>
      </c>
      <c r="N13179" s="1" t="s">
        <v>38</v>
      </c>
      <c r="O13179" s="1" t="s">
        <v>46</v>
      </c>
    </row>
    <row r="13180" spans="2:15" x14ac:dyDescent="0.3">
      <c r="B13180" s="1" t="s">
        <v>20</v>
      </c>
      <c r="C13180" s="1" t="str">
        <f>"4차"</f>
        <v>4차</v>
      </c>
      <c r="D13180" s="1" t="str">
        <f>"9825C46144"</f>
        <v>9825C46144</v>
      </c>
      <c r="E13180" s="1" t="s">
        <v>10</v>
      </c>
      <c r="F13180" s="1" t="str">
        <f>"10.125.128.205"</f>
        <v>10.125.128.205</v>
      </c>
      <c r="G13180" s="1" t="str">
        <f>"9825C461"</f>
        <v>9825C461</v>
      </c>
      <c r="H13180" s="1" t="str">
        <f>"풍림간 12L2"</f>
        <v>풍림간 12L2</v>
      </c>
      <c r="I13180" s="1" t="s">
        <v>8</v>
      </c>
      <c r="J13180" s="1" t="str">
        <f>"64/76"</f>
        <v>64/76</v>
      </c>
      <c r="K13180" s="1" t="str">
        <f>"2026-07-29 13:18:12"</f>
        <v>2026-07-29 13:18:12</v>
      </c>
      <c r="L13180" s="1" t="str">
        <f>"2023-07-12 14:34:28"</f>
        <v>2023-07-12 14:34:28</v>
      </c>
      <c r="M13180" s="1" t="s">
        <v>45</v>
      </c>
      <c r="N13180" s="1" t="s">
        <v>38</v>
      </c>
      <c r="O13180" s="1" t="s">
        <v>46</v>
      </c>
    </row>
    <row r="13181" spans="2:15" x14ac:dyDescent="0.3">
      <c r="B13181" s="1" t="s">
        <v>20</v>
      </c>
      <c r="C13181" s="1" t="str">
        <f>"6차"</f>
        <v>6차</v>
      </c>
      <c r="D13181" s="1" t="str">
        <f>"9825C4716M"</f>
        <v>9825C4716M</v>
      </c>
      <c r="E13181" s="1" t="s">
        <v>10</v>
      </c>
      <c r="F13181" s="1" t="str">
        <f>"fde1:103:4:c73b:0:0:0:2"</f>
        <v>fde1:103:4:c73b:0:0:0:2</v>
      </c>
      <c r="G13181" s="1" t="str">
        <f>"9825C471"</f>
        <v>9825C471</v>
      </c>
      <c r="H13181" s="1" t="str">
        <f>"풍림간 12L1"</f>
        <v>풍림간 12L1</v>
      </c>
      <c r="I13181" s="1" t="s">
        <v>15</v>
      </c>
      <c r="J13181" s="1" t="str">
        <f>"26/26"</f>
        <v>26/26</v>
      </c>
      <c r="K13181" s="1" t="str">
        <f>"2026-07-29 14:21:29"</f>
        <v>2026-07-29 14:21:29</v>
      </c>
      <c r="L13181" s="1" t="str">
        <f>"2024-12-02 13:57:08"</f>
        <v>2024-12-02 13:57:08</v>
      </c>
      <c r="M13181" s="1" t="s">
        <v>4</v>
      </c>
      <c r="N13181" s="1" t="s">
        <v>38</v>
      </c>
      <c r="O13181" s="1" t="s">
        <v>46</v>
      </c>
    </row>
    <row r="13182" spans="2:15" x14ac:dyDescent="0.3">
      <c r="B13182" s="1" t="s">
        <v>20</v>
      </c>
      <c r="C13182" s="1" t="str">
        <f>"4차"</f>
        <v>4차</v>
      </c>
      <c r="D13182" s="1" t="str">
        <f>"9825C47244"</f>
        <v>9825C47244</v>
      </c>
      <c r="E13182" s="1" t="s">
        <v>10</v>
      </c>
      <c r="F13182" s="1" t="str">
        <f>"10.12.130.199"</f>
        <v>10.12.130.199</v>
      </c>
      <c r="G13182" s="1" t="str">
        <f>"9825C472"</f>
        <v>9825C472</v>
      </c>
      <c r="H13182" s="1" t="str">
        <f>"풍림간 10"</f>
        <v>풍림간 10</v>
      </c>
      <c r="I13182" s="1" t="s">
        <v>8</v>
      </c>
      <c r="J13182" s="1" t="str">
        <f>"36/38"</f>
        <v>36/38</v>
      </c>
      <c r="K13182" s="1" t="str">
        <f>"2026-07-29 13:18:12"</f>
        <v>2026-07-29 13:18:12</v>
      </c>
      <c r="L13182" s="1" t="str">
        <f>"2023-11-01 09:29:00"</f>
        <v>2023-11-01 09:29:00</v>
      </c>
      <c r="M13182" s="1" t="s">
        <v>0</v>
      </c>
      <c r="N13182" s="1" t="s">
        <v>38</v>
      </c>
      <c r="O13182" s="1" t="s">
        <v>46</v>
      </c>
    </row>
    <row r="13183" spans="2:15" x14ac:dyDescent="0.3">
      <c r="B13183" s="1" t="s">
        <v>20</v>
      </c>
      <c r="C13183" s="1" t="str">
        <f>"5-1차"</f>
        <v>5-1차</v>
      </c>
      <c r="D13183" s="1" t="str">
        <f>"9825C4925M"</f>
        <v>9825C4925M</v>
      </c>
      <c r="E13183" s="1" t="s">
        <v>10</v>
      </c>
      <c r="F13183" s="1" t="str">
        <f>"fde3:102:1300:f00:0:0:0:2"</f>
        <v>fde3:102:1300:f00:0:0:0:2</v>
      </c>
      <c r="G13183" s="1" t="str">
        <f>"9825C492"</f>
        <v>9825C492</v>
      </c>
      <c r="H13183" s="1" t="str">
        <f>"풍림간 14R1"</f>
        <v>풍림간 14R1</v>
      </c>
      <c r="I13183" s="1" t="s">
        <v>15</v>
      </c>
      <c r="J13183" s="1" t="str">
        <f>"29/29"</f>
        <v>29/29</v>
      </c>
      <c r="K13183" s="1" t="str">
        <f>"2026-07-29 14:21:31"</f>
        <v>2026-07-29 14:21:31</v>
      </c>
      <c r="L13183" s="1" t="str">
        <f>"2022-12-08 12:42:24"</f>
        <v>2022-12-08 12:42:24</v>
      </c>
      <c r="M13183" s="1" t="s">
        <v>45</v>
      </c>
      <c r="N13183" s="1" t="s">
        <v>38</v>
      </c>
      <c r="O13183" s="1" t="s">
        <v>46</v>
      </c>
    </row>
    <row r="13184" spans="2:15" x14ac:dyDescent="0.3">
      <c r="B13184" s="1" t="s">
        <v>20</v>
      </c>
      <c r="C13184" s="1" t="str">
        <f>"3차"</f>
        <v>3차</v>
      </c>
      <c r="D13184" s="1" t="str">
        <f>"9825C55139"</f>
        <v>9825C55139</v>
      </c>
      <c r="E13184" s="1" t="s">
        <v>10</v>
      </c>
      <c r="F13184" s="1" t="str">
        <f>"10.125.200.50"</f>
        <v>10.125.200.50</v>
      </c>
      <c r="G13184" s="1" t="str">
        <f>"9825C551"</f>
        <v>9825C551</v>
      </c>
      <c r="H13184" s="1" t="str">
        <f>"풍림간 44"</f>
        <v>풍림간 44</v>
      </c>
      <c r="I13184" s="1" t="s">
        <v>8</v>
      </c>
      <c r="J13184" s="1" t="str">
        <f>"44/44"</f>
        <v>44/44</v>
      </c>
      <c r="K13184" s="1" t="str">
        <f>"2026-07-29 13:18:12"</f>
        <v>2026-07-29 13:18:12</v>
      </c>
      <c r="L13184" s="1" t="str">
        <f>"2023-07-27 17:16:53"</f>
        <v>2023-07-27 17:16:53</v>
      </c>
      <c r="M13184" s="1" t="s">
        <v>45</v>
      </c>
      <c r="N13184" s="1" t="s">
        <v>38</v>
      </c>
      <c r="O13184" s="1" t="s">
        <v>46</v>
      </c>
    </row>
    <row r="13185" spans="2:15" x14ac:dyDescent="0.3">
      <c r="B13185" s="1" t="s">
        <v>20</v>
      </c>
      <c r="C13185" s="1" t="str">
        <f>"1차"</f>
        <v>1차</v>
      </c>
      <c r="D13185" s="1" t="str">
        <f>"9825C56101"</f>
        <v>9825C56101</v>
      </c>
      <c r="E13185" s="1" t="s">
        <v>14</v>
      </c>
      <c r="F13185" s="1" t="str">
        <f>"10.14.10.121"</f>
        <v>10.14.10.121</v>
      </c>
      <c r="G13185" s="1" t="str">
        <f>"9825C561"</f>
        <v>9825C561</v>
      </c>
      <c r="H13185" s="1" t="str">
        <f>"풍림간 42"</f>
        <v>풍림간 42</v>
      </c>
      <c r="I13185" s="1" t="s">
        <v>8</v>
      </c>
      <c r="J13185" s="1" t="str">
        <f>"0/0"</f>
        <v>0/0</v>
      </c>
      <c r="K13185" s="1" t="str">
        <f>"2025-08-25 20:03:25"</f>
        <v>2025-08-25 20:03:25</v>
      </c>
      <c r="L13185" s="1" t="str">
        <f>"2014-12-04 17:03:59"</f>
        <v>2014-12-04 17:03:59</v>
      </c>
      <c r="M13185" s="1" t="s">
        <v>3</v>
      </c>
      <c r="N13185" s="1" t="s">
        <v>39</v>
      </c>
      <c r="O13185" s="1" t="s">
        <v>46</v>
      </c>
    </row>
    <row r="13186" spans="2:15" x14ac:dyDescent="0.3">
      <c r="B13186" s="1" t="s">
        <v>20</v>
      </c>
      <c r="C13186" s="1" t="str">
        <f>"5-1차"</f>
        <v>5-1차</v>
      </c>
      <c r="D13186" s="1" t="str">
        <f>"9825C5715M"</f>
        <v>9825C5715M</v>
      </c>
      <c r="E13186" s="1" t="s">
        <v>10</v>
      </c>
      <c r="F13186" s="1" t="str">
        <f>"fde3:102:1300:600:0:0:0:4"</f>
        <v>fde3:102:1300:600:0:0:0:4</v>
      </c>
      <c r="G13186" s="1" t="str">
        <f>"9825C571"</f>
        <v>9825C571</v>
      </c>
      <c r="H13186" s="1" t="str">
        <f>"풍림간 9"</f>
        <v>풍림간 9</v>
      </c>
      <c r="I13186" s="1" t="s">
        <v>15</v>
      </c>
      <c r="J13186" s="1" t="str">
        <f>"86/87"</f>
        <v>86/87</v>
      </c>
      <c r="K13186" s="1" t="str">
        <f>"2026-07-29 14:21:30"</f>
        <v>2026-07-29 14:21:30</v>
      </c>
      <c r="L13186" s="1" t="str">
        <f>"2022-11-15 09:43:02"</f>
        <v>2022-11-15 09:43:02</v>
      </c>
      <c r="M13186" s="1" t="s">
        <v>45</v>
      </c>
      <c r="N13186" s="1" t="s">
        <v>38</v>
      </c>
      <c r="O13186" s="1" t="s">
        <v>46</v>
      </c>
    </row>
    <row r="13187" spans="2:15" x14ac:dyDescent="0.3">
      <c r="B13187" s="1" t="s">
        <v>20</v>
      </c>
      <c r="C13187" s="1" t="str">
        <f>"5-2차"</f>
        <v>5-2차</v>
      </c>
      <c r="D13187" s="1" t="str">
        <f>"9825C5925M"</f>
        <v>9825C5925M</v>
      </c>
      <c r="E13187" s="1" t="s">
        <v>10</v>
      </c>
      <c r="F13187" s="1" t="str">
        <f>"fde1:103:4:56da:0:0:0:2"</f>
        <v>fde1:103:4:56da:0:0:0:2</v>
      </c>
      <c r="G13187" s="1" t="str">
        <f>"9825C592"</f>
        <v>9825C592</v>
      </c>
      <c r="H13187" s="1" t="str">
        <f>"풍림간 14R2"</f>
        <v>풍림간 14R2</v>
      </c>
      <c r="I13187" s="1" t="s">
        <v>15</v>
      </c>
      <c r="J13187" s="1" t="str">
        <f>"31/31"</f>
        <v>31/31</v>
      </c>
      <c r="K13187" s="1" t="str">
        <f>"2026-07-29 14:21:30"</f>
        <v>2026-07-29 14:21:30</v>
      </c>
      <c r="L13187" s="1" t="str">
        <f>"2023-09-01 16:00:30"</f>
        <v>2023-09-01 16:00:30</v>
      </c>
      <c r="M13187" s="1" t="s">
        <v>4</v>
      </c>
      <c r="N13187" s="1" t="s">
        <v>38</v>
      </c>
      <c r="O13187" s="1" t="s">
        <v>46</v>
      </c>
    </row>
    <row r="13188" spans="2:15" x14ac:dyDescent="0.3">
      <c r="B13188" s="1" t="s">
        <v>20</v>
      </c>
      <c r="C13188" s="1" t="str">
        <f>"4차"</f>
        <v>4차</v>
      </c>
      <c r="D13188" s="1" t="str">
        <f>"9825C59339"</f>
        <v>9825C59339</v>
      </c>
      <c r="E13188" s="1" t="s">
        <v>14</v>
      </c>
      <c r="F13188" s="1" t="str">
        <f>"10.12.134.131"</f>
        <v>10.12.134.131</v>
      </c>
      <c r="G13188" s="1" t="str">
        <f>"9825C593"</f>
        <v>9825C593</v>
      </c>
      <c r="H13188" s="1" t="str">
        <f>"신촌로 30"</f>
        <v>신촌로 30</v>
      </c>
      <c r="I13188" s="1" t="s">
        <v>17</v>
      </c>
      <c r="J13188" s="1" t="str">
        <f>"0/0"</f>
        <v>0/0</v>
      </c>
      <c r="K13188" s="1" t="str">
        <f>"2026-07-28 13:18:12"</f>
        <v>2026-07-28 13:18:12</v>
      </c>
      <c r="L13188" s="1" t="str">
        <f>"2018-06-20 13:03:14"</f>
        <v>2018-06-20 13:03:14</v>
      </c>
      <c r="M13188" s="1" t="s">
        <v>0</v>
      </c>
      <c r="N13188" s="1" t="s">
        <v>39</v>
      </c>
      <c r="O13188" s="1" t="s">
        <v>46</v>
      </c>
    </row>
    <row r="13189" spans="2:15" x14ac:dyDescent="0.3">
      <c r="B13189" s="1" t="s">
        <v>20</v>
      </c>
      <c r="C13189" s="1" t="str">
        <f>"5-2차"</f>
        <v>5-2차</v>
      </c>
      <c r="D13189" s="1" t="str">
        <f>"9825C6435M"</f>
        <v>9825C6435M</v>
      </c>
      <c r="E13189" s="1" t="s">
        <v>10</v>
      </c>
      <c r="F13189" s="1" t="str">
        <f>"fde1:103:4:5678:0:0:0:2"</f>
        <v>fde1:103:4:5678:0:0:0:2</v>
      </c>
      <c r="G13189" s="1" t="str">
        <f>"9825C643"</f>
        <v>9825C643</v>
      </c>
      <c r="H13189" s="1" t="str">
        <f>"풍림간 30"</f>
        <v>풍림간 30</v>
      </c>
      <c r="I13189" s="1" t="s">
        <v>15</v>
      </c>
      <c r="J13189" s="1" t="str">
        <f>"14/14"</f>
        <v>14/14</v>
      </c>
      <c r="K13189" s="1" t="str">
        <f>"2026-07-29 14:21:30"</f>
        <v>2026-07-29 14:21:30</v>
      </c>
      <c r="L13189" s="1" t="str">
        <f>"2023-09-01 16:16:36"</f>
        <v>2023-09-01 16:16:36</v>
      </c>
      <c r="M13189" s="1" t="s">
        <v>4</v>
      </c>
      <c r="N13189" s="1" t="s">
        <v>38</v>
      </c>
      <c r="O13189" s="1" t="s">
        <v>46</v>
      </c>
    </row>
    <row r="13190" spans="2:15" x14ac:dyDescent="0.3">
      <c r="B13190" s="1" t="s">
        <v>20</v>
      </c>
      <c r="C13190" s="1" t="str">
        <f>"5-1차"</f>
        <v>5-1차</v>
      </c>
      <c r="D13190" s="1" t="str">
        <f>"9825C6525S"</f>
        <v>9825C6525S</v>
      </c>
      <c r="E13190" s="1" t="s">
        <v>10</v>
      </c>
      <c r="F13190" s="1" t="str">
        <f>"fde2:104:0:ac:0:0:0:2"</f>
        <v>fde2:104:0:ac:0:0:0:2</v>
      </c>
      <c r="G13190" s="1" t="str">
        <f>"9825C652"</f>
        <v>9825C652</v>
      </c>
      <c r="H13190" s="1" t="str">
        <f>"풍림간 37L3"</f>
        <v>풍림간 37L3</v>
      </c>
      <c r="I13190" s="1" t="s">
        <v>15</v>
      </c>
      <c r="J13190" s="1" t="str">
        <f>"38/39"</f>
        <v>38/39</v>
      </c>
      <c r="K13190" s="1" t="str">
        <f>"2026-07-29 14:21:25"</f>
        <v>2026-07-29 14:21:25</v>
      </c>
      <c r="L13190" s="1" t="str">
        <f>"2022-09-28 11:07:09"</f>
        <v>2022-09-28 11:07:09</v>
      </c>
      <c r="M13190" s="1" t="s">
        <v>42</v>
      </c>
      <c r="N13190" s="1" t="s">
        <v>38</v>
      </c>
      <c r="O13190" s="1" t="s">
        <v>46</v>
      </c>
    </row>
    <row r="13191" spans="2:15" x14ac:dyDescent="0.3">
      <c r="B13191" s="1" t="s">
        <v>20</v>
      </c>
      <c r="C13191" s="1" t="str">
        <f>"5-2차"</f>
        <v>5-2차</v>
      </c>
      <c r="D13191" s="1" t="str">
        <f>"9825C6615S"</f>
        <v>9825C6615S</v>
      </c>
      <c r="E13191" s="1" t="s">
        <v>10</v>
      </c>
      <c r="F13191" s="1" t="str">
        <f>"fde3:102:1300:f02:0:0:0:2"</f>
        <v>fde3:102:1300:f02:0:0:0:2</v>
      </c>
      <c r="G13191" s="1" t="str">
        <f>"9825C661"</f>
        <v>9825C661</v>
      </c>
      <c r="H13191" s="1" t="str">
        <f>"풍림간 37"</f>
        <v>풍림간 37</v>
      </c>
      <c r="I13191" s="1" t="s">
        <v>15</v>
      </c>
      <c r="J13191" s="1" t="str">
        <f>"64/65"</f>
        <v>64/65</v>
      </c>
      <c r="K13191" s="1" t="str">
        <f>"2026-07-29 14:21:30"</f>
        <v>2026-07-29 14:21:30</v>
      </c>
      <c r="L13191" s="1" t="str">
        <f>"2023-09-22 14:15:13"</f>
        <v>2023-09-22 14:15:13</v>
      </c>
      <c r="M13191" s="1" t="s">
        <v>45</v>
      </c>
      <c r="N13191" s="1" t="s">
        <v>38</v>
      </c>
      <c r="O13191" s="1" t="s">
        <v>46</v>
      </c>
    </row>
    <row r="13192" spans="2:15" x14ac:dyDescent="0.3">
      <c r="B13192" s="1" t="s">
        <v>20</v>
      </c>
      <c r="C13192" s="1" t="str">
        <f>"6차"</f>
        <v>6차</v>
      </c>
      <c r="D13192" s="1" t="str">
        <f>"9825C6636S"</f>
        <v>9825C6636S</v>
      </c>
      <c r="E13192" s="1" t="s">
        <v>10</v>
      </c>
      <c r="F13192" s="1" t="str">
        <f>"fde1:103:4:c645:0:0:0:2"</f>
        <v>fde1:103:4:c645:0:0:0:2</v>
      </c>
      <c r="G13192" s="1" t="str">
        <f>"9825C663"</f>
        <v>9825C663</v>
      </c>
      <c r="H13192" s="1" t="str">
        <f>"풍림간 37L2"</f>
        <v>풍림간 37L2</v>
      </c>
      <c r="I13192" s="1" t="s">
        <v>15</v>
      </c>
      <c r="J13192" s="1" t="str">
        <f>"36/41"</f>
        <v>36/41</v>
      </c>
      <c r="K13192" s="1" t="str">
        <f>"2026-07-29 14:21:30"</f>
        <v>2026-07-29 14:21:30</v>
      </c>
      <c r="L13192" s="1" t="str">
        <f>"2024-12-10 15:44:18"</f>
        <v>2024-12-10 15:44:18</v>
      </c>
      <c r="M13192" s="1" t="s">
        <v>4</v>
      </c>
      <c r="N13192" s="1" t="s">
        <v>38</v>
      </c>
      <c r="O13192" s="1" t="s">
        <v>46</v>
      </c>
    </row>
    <row r="13193" spans="2:15" x14ac:dyDescent="0.3">
      <c r="B13193" s="1" t="s">
        <v>20</v>
      </c>
      <c r="C13193" s="1" t="str">
        <f>"6차"</f>
        <v>6차</v>
      </c>
      <c r="D13193" s="1" t="str">
        <f>"9825C6646S"</f>
        <v>9825C6646S</v>
      </c>
      <c r="E13193" s="1" t="s">
        <v>10</v>
      </c>
      <c r="F13193" s="1" t="str">
        <f>"fde1:103:4:c5ce:0:0:0:2"</f>
        <v>fde1:103:4:c5ce:0:0:0:2</v>
      </c>
      <c r="G13193" s="1" t="str">
        <f>"9825C664"</f>
        <v>9825C664</v>
      </c>
      <c r="H13193" s="1" t="str">
        <f>"풍림간 38"</f>
        <v>풍림간 38</v>
      </c>
      <c r="I13193" s="1" t="s">
        <v>15</v>
      </c>
      <c r="J13193" s="1" t="str">
        <f>"67/78"</f>
        <v>67/78</v>
      </c>
      <c r="K13193" s="1" t="str">
        <f>"2026-07-29 14:21:30"</f>
        <v>2026-07-29 14:21:30</v>
      </c>
      <c r="L13193" s="1" t="str">
        <f>"2024-11-12 15:06:39"</f>
        <v>2024-11-12 15:06:39</v>
      </c>
      <c r="M13193" s="1" t="s">
        <v>4</v>
      </c>
      <c r="N13193" s="1" t="s">
        <v>38</v>
      </c>
      <c r="O13193" s="1" t="s">
        <v>46</v>
      </c>
    </row>
    <row r="13194" spans="2:15" x14ac:dyDescent="0.3">
      <c r="B13194" s="1" t="s">
        <v>20</v>
      </c>
      <c r="C13194" s="1" t="str">
        <f>"6차"</f>
        <v>6차</v>
      </c>
      <c r="D13194" s="1" t="str">
        <f>"9825C6716S"</f>
        <v>9825C6716S</v>
      </c>
      <c r="E13194" s="1" t="s">
        <v>10</v>
      </c>
      <c r="F13194" s="1" t="str">
        <f>"fde3:102:1300:f01:0:0:0:3"</f>
        <v>fde3:102:1300:f01:0:0:0:3</v>
      </c>
      <c r="G13194" s="1" t="str">
        <f>"9825C671"</f>
        <v>9825C671</v>
      </c>
      <c r="H13194" s="1" t="str">
        <f>"풍림간 8"</f>
        <v>풍림간 8</v>
      </c>
      <c r="I13194" s="1" t="s">
        <v>15</v>
      </c>
      <c r="J13194" s="1" t="str">
        <f>"70/75"</f>
        <v>70/75</v>
      </c>
      <c r="K13194" s="1" t="str">
        <f>"2026-07-29 08:21:21"</f>
        <v>2026-07-29 08:21:21</v>
      </c>
      <c r="L13194" s="1" t="str">
        <f>"2024-12-03 15:49:36"</f>
        <v>2024-12-03 15:49:36</v>
      </c>
      <c r="M13194" s="1" t="s">
        <v>45</v>
      </c>
      <c r="N13194" s="1" t="s">
        <v>38</v>
      </c>
      <c r="O13194" s="1" t="s">
        <v>46</v>
      </c>
    </row>
    <row r="13195" spans="2:15" x14ac:dyDescent="0.3">
      <c r="B13195" s="1" t="s">
        <v>20</v>
      </c>
      <c r="C13195" s="1" t="str">
        <f>"5-2차"</f>
        <v>5-2차</v>
      </c>
      <c r="D13195" s="1" t="str">
        <f>"9825C6815S"</f>
        <v>9825C6815S</v>
      </c>
      <c r="E13195" s="1" t="s">
        <v>10</v>
      </c>
      <c r="F13195" s="1" t="str">
        <f>"fde1:103:4:5792:0:0:0:2"</f>
        <v>fde1:103:4:5792:0:0:0:2</v>
      </c>
      <c r="G13195" s="1" t="str">
        <f>"9825C681"</f>
        <v>9825C681</v>
      </c>
      <c r="H13195" s="1" t="str">
        <f>"풍림간 8R1"</f>
        <v>풍림간 8R1</v>
      </c>
      <c r="I13195" s="1" t="s">
        <v>15</v>
      </c>
      <c r="J13195" s="1" t="str">
        <f>"133/139"</f>
        <v>133/139</v>
      </c>
      <c r="K13195" s="1" t="str">
        <f>"2026-07-29 14:21:24"</f>
        <v>2026-07-29 14:21:24</v>
      </c>
      <c r="L13195" s="1" t="str">
        <f>"2023-09-12 13:21:50"</f>
        <v>2023-09-12 13:21:50</v>
      </c>
      <c r="M13195" s="1" t="s">
        <v>4</v>
      </c>
      <c r="N13195" s="1" t="s">
        <v>38</v>
      </c>
      <c r="O13195" s="1" t="s">
        <v>46</v>
      </c>
    </row>
    <row r="13196" spans="2:15" x14ac:dyDescent="0.3">
      <c r="B13196" s="1" t="s">
        <v>20</v>
      </c>
      <c r="C13196" s="1" t="str">
        <f>"5-2차"</f>
        <v>5-2차</v>
      </c>
      <c r="D13196" s="1" t="str">
        <f>"9825C6935M"</f>
        <v>9825C6935M</v>
      </c>
      <c r="E13196" s="1" t="s">
        <v>10</v>
      </c>
      <c r="F13196" s="1" t="str">
        <f>"fde1:103:4:56d6:0:0:0:2"</f>
        <v>fde1:103:4:56d6:0:0:0:2</v>
      </c>
      <c r="G13196" s="1" t="str">
        <f>"9825C693"</f>
        <v>9825C693</v>
      </c>
      <c r="H13196" s="1" t="str">
        <f>"풍림간 14R3"</f>
        <v>풍림간 14R3</v>
      </c>
      <c r="I13196" s="1" t="s">
        <v>15</v>
      </c>
      <c r="J13196" s="1" t="str">
        <f>"96/107"</f>
        <v>96/107</v>
      </c>
      <c r="K13196" s="1" t="str">
        <f>"2026-07-29 08:21:15"</f>
        <v>2026-07-29 08:21:15</v>
      </c>
      <c r="L13196" s="1" t="str">
        <f>"2023-09-01 16:28:17"</f>
        <v>2023-09-01 16:28:17</v>
      </c>
      <c r="M13196" s="1" t="s">
        <v>4</v>
      </c>
      <c r="N13196" s="1" t="s">
        <v>38</v>
      </c>
      <c r="O13196" s="1" t="s">
        <v>46</v>
      </c>
    </row>
    <row r="13197" spans="2:15" x14ac:dyDescent="0.3">
      <c r="B13197" s="1" t="s">
        <v>20</v>
      </c>
      <c r="C13197" s="1" t="str">
        <f>"5-2차"</f>
        <v>5-2차</v>
      </c>
      <c r="D13197" s="1" t="str">
        <f>"9825C7635M"</f>
        <v>9825C7635M</v>
      </c>
      <c r="E13197" s="1" t="s">
        <v>10</v>
      </c>
      <c r="F13197" s="1" t="str">
        <f>"fde3:102:1300:f01:0:0:0:2"</f>
        <v>fde3:102:1300:f01:0:0:0:2</v>
      </c>
      <c r="G13197" s="1" t="str">
        <f>"9825C763"</f>
        <v>9825C763</v>
      </c>
      <c r="H13197" s="1" t="str">
        <f>"풍림간 36"</f>
        <v>풍림간 36</v>
      </c>
      <c r="I13197" s="1" t="s">
        <v>15</v>
      </c>
      <c r="J13197" s="1" t="str">
        <f>"65/65"</f>
        <v>65/65</v>
      </c>
      <c r="K13197" s="1" t="str">
        <f>"2026-07-29 14:21:29"</f>
        <v>2026-07-29 14:21:29</v>
      </c>
      <c r="L13197" s="1" t="str">
        <f>"2023-09-11 11:50:04"</f>
        <v>2023-09-11 11:50:04</v>
      </c>
      <c r="M13197" s="1" t="s">
        <v>45</v>
      </c>
      <c r="N13197" s="1" t="s">
        <v>38</v>
      </c>
      <c r="O13197" s="1" t="s">
        <v>46</v>
      </c>
    </row>
    <row r="13198" spans="2:15" x14ac:dyDescent="0.3">
      <c r="B13198" s="1" t="s">
        <v>20</v>
      </c>
      <c r="C13198" s="1" t="str">
        <f>"5-1차"</f>
        <v>5-1차</v>
      </c>
      <c r="D13198" s="1" t="str">
        <f>"9825C7715M"</f>
        <v>9825C7715M</v>
      </c>
      <c r="E13198" s="1" t="s">
        <v>10</v>
      </c>
      <c r="F13198" s="1" t="str">
        <f>"fde2:104:0:ae:0:0:0:2"</f>
        <v>fde2:104:0:ae:0:0:0:2</v>
      </c>
      <c r="G13198" s="1" t="str">
        <f>"9825C771"</f>
        <v>9825C771</v>
      </c>
      <c r="H13198" s="1" t="str">
        <f>"풍림간 6"</f>
        <v>풍림간 6</v>
      </c>
      <c r="I13198" s="1" t="s">
        <v>15</v>
      </c>
      <c r="J13198" s="1" t="str">
        <f>"41/41"</f>
        <v>41/41</v>
      </c>
      <c r="K13198" s="1" t="str">
        <f>"2026-07-29 14:21:30"</f>
        <v>2026-07-29 14:21:30</v>
      </c>
      <c r="L13198" s="1" t="str">
        <f>"2022-09-28 11:06:48"</f>
        <v>2022-09-28 11:06:48</v>
      </c>
      <c r="M13198" s="1" t="s">
        <v>42</v>
      </c>
      <c r="N13198" s="1" t="s">
        <v>38</v>
      </c>
      <c r="O13198" s="1" t="s">
        <v>46</v>
      </c>
    </row>
    <row r="13199" spans="2:15" x14ac:dyDescent="0.3">
      <c r="B13199" s="1" t="s">
        <v>20</v>
      </c>
      <c r="C13199" s="1" t="str">
        <f t="shared" ref="C13199:C13206" si="671">"5-2차"</f>
        <v>5-2차</v>
      </c>
      <c r="D13199" s="1" t="str">
        <f>"9825C7925S"</f>
        <v>9825C7925S</v>
      </c>
      <c r="E13199" s="1" t="s">
        <v>10</v>
      </c>
      <c r="F13199" s="1" t="str">
        <f>"fde1:103:4:5916:0:0:0:2"</f>
        <v>fde1:103:4:5916:0:0:0:2</v>
      </c>
      <c r="G13199" s="1" t="str">
        <f>"9825C792"</f>
        <v>9825C792</v>
      </c>
      <c r="H13199" s="1" t="str">
        <f>"풍림간 14R4"</f>
        <v>풍림간 14R4</v>
      </c>
      <c r="I13199" s="1" t="s">
        <v>15</v>
      </c>
      <c r="J13199" s="1" t="str">
        <f>"18/18"</f>
        <v>18/18</v>
      </c>
      <c r="K13199" s="1" t="str">
        <f>"2026-07-29 14:21:10"</f>
        <v>2026-07-29 14:21:10</v>
      </c>
      <c r="L13199" s="1" t="str">
        <f>"2023-09-12 13:23:03"</f>
        <v>2023-09-12 13:23:03</v>
      </c>
      <c r="M13199" s="1" t="s">
        <v>4</v>
      </c>
      <c r="N13199" s="1" t="s">
        <v>38</v>
      </c>
      <c r="O13199" s="1" t="s">
        <v>46</v>
      </c>
    </row>
    <row r="13200" spans="2:15" x14ac:dyDescent="0.3">
      <c r="B13200" s="1" t="s">
        <v>20</v>
      </c>
      <c r="C13200" s="1" t="str">
        <f t="shared" si="671"/>
        <v>5-2차</v>
      </c>
      <c r="D13200" s="1" t="str">
        <f>"9825D4915S"</f>
        <v>9825D4915S</v>
      </c>
      <c r="E13200" s="1" t="s">
        <v>10</v>
      </c>
      <c r="F13200" s="1" t="str">
        <f>"fde1:103:4:596e:0:0:0:2"</f>
        <v>fde1:103:4:596e:0:0:0:2</v>
      </c>
      <c r="G13200" s="1" t="str">
        <f>"9825D491"</f>
        <v>9825D491</v>
      </c>
      <c r="H13200" s="1" t="str">
        <f>"숭문간 53L3L10"</f>
        <v>숭문간 53L3L10</v>
      </c>
      <c r="I13200" s="1" t="s">
        <v>15</v>
      </c>
      <c r="J13200" s="1" t="str">
        <f>"28/28"</f>
        <v>28/28</v>
      </c>
      <c r="K13200" s="1" t="str">
        <f>"2026-07-29 14:21:23"</f>
        <v>2026-07-29 14:21:23</v>
      </c>
      <c r="L13200" s="1" t="str">
        <f>"2023-09-12 13:42:41"</f>
        <v>2023-09-12 13:42:41</v>
      </c>
      <c r="M13200" s="1" t="s">
        <v>4</v>
      </c>
      <c r="N13200" s="1" t="s">
        <v>38</v>
      </c>
      <c r="O13200" s="1" t="s">
        <v>46</v>
      </c>
    </row>
    <row r="13201" spans="2:15" x14ac:dyDescent="0.3">
      <c r="B13201" s="1" t="s">
        <v>20</v>
      </c>
      <c r="C13201" s="1" t="str">
        <f t="shared" si="671"/>
        <v>5-2차</v>
      </c>
      <c r="D13201" s="1" t="str">
        <f>"9825D5925S"</f>
        <v>9825D5925S</v>
      </c>
      <c r="E13201" s="1" t="s">
        <v>10</v>
      </c>
      <c r="F13201" s="1" t="str">
        <f>"fde1:103:4:5915:0:0:0:2"</f>
        <v>fde1:103:4:5915:0:0:0:2</v>
      </c>
      <c r="G13201" s="1" t="str">
        <f>"9825D592"</f>
        <v>9825D592</v>
      </c>
      <c r="H13201" s="1" t="str">
        <f>"숭문간 53L3L9"</f>
        <v>숭문간 53L3L9</v>
      </c>
      <c r="I13201" s="1" t="s">
        <v>15</v>
      </c>
      <c r="J13201" s="1" t="str">
        <f>"56/57"</f>
        <v>56/57</v>
      </c>
      <c r="K13201" s="1" t="str">
        <f>"2026-07-29 14:21:24"</f>
        <v>2026-07-29 14:21:24</v>
      </c>
      <c r="L13201" s="1" t="str">
        <f>"2023-12-05 15:19:16"</f>
        <v>2023-12-05 15:19:16</v>
      </c>
      <c r="M13201" s="1" t="s">
        <v>4</v>
      </c>
      <c r="N13201" s="1" t="s">
        <v>38</v>
      </c>
      <c r="O13201" s="1" t="s">
        <v>46</v>
      </c>
    </row>
    <row r="13202" spans="2:15" x14ac:dyDescent="0.3">
      <c r="B13202" s="1" t="s">
        <v>20</v>
      </c>
      <c r="C13202" s="1" t="str">
        <f t="shared" si="671"/>
        <v>5-2차</v>
      </c>
      <c r="D13202" s="1" t="str">
        <f>"9825D6925M"</f>
        <v>9825D6925M</v>
      </c>
      <c r="E13202" s="1" t="s">
        <v>10</v>
      </c>
      <c r="F13202" s="1" t="str">
        <f>"fde1:103:4:55ed:0:0:0:2"</f>
        <v>fde1:103:4:55ed:0:0:0:2</v>
      </c>
      <c r="G13202" s="1" t="str">
        <f>"9825D692"</f>
        <v>9825D692</v>
      </c>
      <c r="H13202" s="1" t="str">
        <f>"숭문간 53L3L8R1"</f>
        <v>숭문간 53L3L8R1</v>
      </c>
      <c r="I13202" s="1" t="s">
        <v>15</v>
      </c>
      <c r="J13202" s="1" t="str">
        <f>"89/89"</f>
        <v>89/89</v>
      </c>
      <c r="K13202" s="1" t="str">
        <f>"2026-07-29 14:21:24"</f>
        <v>2026-07-29 14:21:24</v>
      </c>
      <c r="L13202" s="1" t="str">
        <f>"2023-09-01 16:41:29"</f>
        <v>2023-09-01 16:41:29</v>
      </c>
      <c r="M13202" s="1" t="s">
        <v>4</v>
      </c>
      <c r="N13202" s="1" t="s">
        <v>38</v>
      </c>
      <c r="O13202" s="1" t="s">
        <v>46</v>
      </c>
    </row>
    <row r="13203" spans="2:15" x14ac:dyDescent="0.3">
      <c r="B13203" s="1" t="s">
        <v>20</v>
      </c>
      <c r="C13203" s="1" t="str">
        <f t="shared" si="671"/>
        <v>5-2차</v>
      </c>
      <c r="D13203" s="1" t="str">
        <f>"9825D7825M"</f>
        <v>9825D7825M</v>
      </c>
      <c r="E13203" s="1" t="s">
        <v>10</v>
      </c>
      <c r="F13203" s="1" t="str">
        <f>"fde1:103:4:56d7:0:0:0:2"</f>
        <v>fde1:103:4:56d7:0:0:0:2</v>
      </c>
      <c r="G13203" s="1" t="str">
        <f>"9825D782"</f>
        <v>9825D782</v>
      </c>
      <c r="H13203" s="1" t="str">
        <f>"숭문간 53L3L6"</f>
        <v>숭문간 53L3L6</v>
      </c>
      <c r="I13203" s="1" t="s">
        <v>15</v>
      </c>
      <c r="J13203" s="1" t="str">
        <f>"114/115"</f>
        <v>114/115</v>
      </c>
      <c r="K13203" s="1" t="str">
        <f>"2026-07-29 14:21:30"</f>
        <v>2026-07-29 14:21:30</v>
      </c>
      <c r="L13203" s="1" t="str">
        <f>"2023-09-04 09:24:04"</f>
        <v>2023-09-04 09:24:04</v>
      </c>
      <c r="M13203" s="1" t="s">
        <v>4</v>
      </c>
      <c r="N13203" s="1" t="s">
        <v>38</v>
      </c>
      <c r="O13203" s="1" t="s">
        <v>46</v>
      </c>
    </row>
    <row r="13204" spans="2:15" x14ac:dyDescent="0.3">
      <c r="B13204" s="1" t="s">
        <v>20</v>
      </c>
      <c r="C13204" s="1" t="str">
        <f t="shared" si="671"/>
        <v>5-2차</v>
      </c>
      <c r="D13204" s="1" t="str">
        <f>"9825D8835M"</f>
        <v>9825D8835M</v>
      </c>
      <c r="E13204" s="1" t="s">
        <v>10</v>
      </c>
      <c r="F13204" s="1" t="str">
        <f>"fde1:103:4:5618:0:0:0:2"</f>
        <v>fde1:103:4:5618:0:0:0:2</v>
      </c>
      <c r="G13204" s="1" t="str">
        <f>"9825D883"</f>
        <v>9825D883</v>
      </c>
      <c r="H13204" s="1" t="str">
        <f>"숭문간 53L3L3"</f>
        <v>숭문간 53L3L3</v>
      </c>
      <c r="I13204" s="1" t="s">
        <v>15</v>
      </c>
      <c r="J13204" s="1" t="str">
        <f>"35/37"</f>
        <v>35/37</v>
      </c>
      <c r="K13204" s="1" t="str">
        <f>"2026-07-29 14:21:25"</f>
        <v>2026-07-29 14:21:25</v>
      </c>
      <c r="L13204" s="1" t="str">
        <f>"2023-09-04 09:26:00"</f>
        <v>2023-09-04 09:26:00</v>
      </c>
      <c r="M13204" s="1" t="s">
        <v>4</v>
      </c>
      <c r="N13204" s="1" t="s">
        <v>38</v>
      </c>
      <c r="O13204" s="1" t="s">
        <v>46</v>
      </c>
    </row>
    <row r="13205" spans="2:15" x14ac:dyDescent="0.3">
      <c r="B13205" s="1" t="s">
        <v>20</v>
      </c>
      <c r="C13205" s="1" t="str">
        <f t="shared" si="671"/>
        <v>5-2차</v>
      </c>
      <c r="D13205" s="1" t="str">
        <f>"9825D8915M"</f>
        <v>9825D8915M</v>
      </c>
      <c r="E13205" s="1" t="s">
        <v>10</v>
      </c>
      <c r="F13205" s="1" t="str">
        <f>"fde1:103:4:5683:0:0:0:2"</f>
        <v>fde1:103:4:5683:0:0:0:2</v>
      </c>
      <c r="G13205" s="1" t="str">
        <f>"9825D891"</f>
        <v>9825D891</v>
      </c>
      <c r="H13205" s="1" t="str">
        <f>"숭문간 53L3L5"</f>
        <v>숭문간 53L3L5</v>
      </c>
      <c r="I13205" s="1" t="s">
        <v>15</v>
      </c>
      <c r="J13205" s="1" t="str">
        <f>"63/63"</f>
        <v>63/63</v>
      </c>
      <c r="K13205" s="1" t="str">
        <f>"2026-07-29 14:21:24"</f>
        <v>2026-07-29 14:21:24</v>
      </c>
      <c r="L13205" s="1" t="str">
        <f>"2023-09-04 09:26:39"</f>
        <v>2023-09-04 09:26:39</v>
      </c>
      <c r="M13205" s="1" t="s">
        <v>4</v>
      </c>
      <c r="N13205" s="1" t="s">
        <v>38</v>
      </c>
      <c r="O13205" s="1" t="s">
        <v>46</v>
      </c>
    </row>
    <row r="13206" spans="2:15" x14ac:dyDescent="0.3">
      <c r="B13206" s="1" t="s">
        <v>20</v>
      </c>
      <c r="C13206" s="1" t="str">
        <f t="shared" si="671"/>
        <v>5-2차</v>
      </c>
      <c r="D13206" s="1" t="str">
        <f>"9825D9655M"</f>
        <v>9825D9655M</v>
      </c>
      <c r="E13206" s="1" t="s">
        <v>10</v>
      </c>
      <c r="F13206" s="1" t="str">
        <f>"fde1:103:4:56bb:0:0:0:2"</f>
        <v>fde1:103:4:56bb:0:0:0:2</v>
      </c>
      <c r="G13206" s="1" t="str">
        <f>"9825D965"</f>
        <v>9825D965</v>
      </c>
      <c r="H13206" s="1" t="str">
        <f>"숭문간 53L2"</f>
        <v>숭문간 53L2</v>
      </c>
      <c r="I13206" s="1" t="s">
        <v>15</v>
      </c>
      <c r="J13206" s="1" t="str">
        <f>"44/44"</f>
        <v>44/44</v>
      </c>
      <c r="K13206" s="1" t="str">
        <f>"2026-07-29 14:21:25"</f>
        <v>2026-07-29 14:21:25</v>
      </c>
      <c r="L13206" s="1" t="str">
        <f>"2023-09-04 09:43:19"</f>
        <v>2023-09-04 09:43:19</v>
      </c>
      <c r="M13206" s="1" t="s">
        <v>4</v>
      </c>
      <c r="N13206" s="1" t="s">
        <v>38</v>
      </c>
      <c r="O13206" s="1" t="s">
        <v>46</v>
      </c>
    </row>
    <row r="13207" spans="2:15" x14ac:dyDescent="0.3">
      <c r="B13207" s="1" t="s">
        <v>20</v>
      </c>
      <c r="C13207" s="1" t="str">
        <f>"1차"</f>
        <v>1차</v>
      </c>
      <c r="D13207" s="1" t="str">
        <f>"9825E70500"</f>
        <v>9825E70500</v>
      </c>
      <c r="E13207" s="1" t="str">
        <f>"검침실패(3시간 이상)"</f>
        <v>검침실패(3시간 이상)</v>
      </c>
      <c r="F13207" s="1" t="str">
        <f>"10.125.129.99"</f>
        <v>10.125.129.99</v>
      </c>
      <c r="G13207" s="1" t="str">
        <f>"9825E705"</f>
        <v>9825E705</v>
      </c>
      <c r="H13207" s="1" t="str">
        <f>"서부지 5"</f>
        <v>서부지 5</v>
      </c>
      <c r="I13207" s="1" t="s">
        <v>8</v>
      </c>
      <c r="J13207" s="1" t="str">
        <f>"0/13"</f>
        <v>0/13</v>
      </c>
      <c r="K13207" s="1" t="str">
        <f>"2026-07-29 13:18:12"</f>
        <v>2026-07-29 13:18:12</v>
      </c>
      <c r="L13207" s="1" t="str">
        <f>"2014-12-04 16:59:22"</f>
        <v>2014-12-04 16:59:22</v>
      </c>
      <c r="M13207" s="1" t="s">
        <v>45</v>
      </c>
      <c r="N13207" s="1" t="s">
        <v>38</v>
      </c>
      <c r="O13207" s="1" t="s">
        <v>46</v>
      </c>
    </row>
    <row r="13208" spans="2:15" x14ac:dyDescent="0.3">
      <c r="B13208" s="1" t="s">
        <v>20</v>
      </c>
      <c r="C13208" s="1" t="str">
        <f t="shared" ref="C13208:C13213" si="672">"5-2차"</f>
        <v>5-2차</v>
      </c>
      <c r="D13208" s="1" t="str">
        <f>"9825E8115M"</f>
        <v>9825E8115M</v>
      </c>
      <c r="E13208" s="1" t="s">
        <v>10</v>
      </c>
      <c r="F13208" s="1" t="str">
        <f>"fde1:103:4:56b7:0:0:0:2"</f>
        <v>fde1:103:4:56b7:0:0:0:2</v>
      </c>
      <c r="G13208" s="1" t="str">
        <f>"9825E811"</f>
        <v>9825E811</v>
      </c>
      <c r="H13208" s="1" t="str">
        <f>"서부지 9L7L1R2"</f>
        <v>서부지 9L7L1R2</v>
      </c>
      <c r="I13208" s="1" t="s">
        <v>15</v>
      </c>
      <c r="J13208" s="1" t="str">
        <f>"58/58"</f>
        <v>58/58</v>
      </c>
      <c r="K13208" s="1" t="str">
        <f>"2026-07-29 14:21:26"</f>
        <v>2026-07-29 14:21:26</v>
      </c>
      <c r="L13208" s="1" t="str">
        <f>"2023-09-04 09:52:31"</f>
        <v>2023-09-04 09:52:31</v>
      </c>
      <c r="M13208" s="1" t="s">
        <v>4</v>
      </c>
      <c r="N13208" s="1" t="s">
        <v>38</v>
      </c>
      <c r="O13208" s="1" t="s">
        <v>46</v>
      </c>
    </row>
    <row r="13209" spans="2:15" x14ac:dyDescent="0.3">
      <c r="B13209" s="1" t="s">
        <v>20</v>
      </c>
      <c r="C13209" s="1" t="str">
        <f t="shared" si="672"/>
        <v>5-2차</v>
      </c>
      <c r="D13209" s="1" t="str">
        <f>"9825E9135S"</f>
        <v>9825E9135S</v>
      </c>
      <c r="E13209" s="1" t="s">
        <v>10</v>
      </c>
      <c r="F13209" s="1" t="str">
        <f>"fde3:102:1300:4:0:0:0:2"</f>
        <v>fde3:102:1300:4:0:0:0:2</v>
      </c>
      <c r="G13209" s="1" t="str">
        <f>"9825E913"</f>
        <v>9825E913</v>
      </c>
      <c r="H13209" s="1" t="str">
        <f>"서부지 9L8"</f>
        <v>서부지 9L8</v>
      </c>
      <c r="I13209" s="1" t="s">
        <v>15</v>
      </c>
      <c r="J13209" s="1" t="str">
        <f>"33/33"</f>
        <v>33/33</v>
      </c>
      <c r="K13209" s="1" t="str">
        <f>"2026-07-29 14:21:30"</f>
        <v>2026-07-29 14:21:30</v>
      </c>
      <c r="L13209" s="1" t="str">
        <f>"2023-09-21 16:41:36"</f>
        <v>2023-09-21 16:41:36</v>
      </c>
      <c r="M13209" s="1" t="s">
        <v>45</v>
      </c>
      <c r="N13209" s="1" t="s">
        <v>38</v>
      </c>
      <c r="O13209" s="1" t="s">
        <v>46</v>
      </c>
    </row>
    <row r="13210" spans="2:15" x14ac:dyDescent="0.3">
      <c r="B13210" s="1" t="s">
        <v>20</v>
      </c>
      <c r="C13210" s="1" t="str">
        <f t="shared" si="672"/>
        <v>5-2차</v>
      </c>
      <c r="D13210" s="1" t="str">
        <f>"9825F0015M"</f>
        <v>9825F0015M</v>
      </c>
      <c r="E13210" s="1" t="s">
        <v>10</v>
      </c>
      <c r="F13210" s="1" t="str">
        <f>"fde3:102:1300:0:0:0:0:7"</f>
        <v>fde3:102:1300:0:0:0:0:7</v>
      </c>
      <c r="G13210" s="1" t="str">
        <f>"9825F001"</f>
        <v>9825F001</v>
      </c>
      <c r="H13210" s="1" t="str">
        <f>"서부지 9L5"</f>
        <v>서부지 9L5</v>
      </c>
      <c r="I13210" s="1" t="s">
        <v>15</v>
      </c>
      <c r="J13210" s="1" t="str">
        <f>"63/63"</f>
        <v>63/63</v>
      </c>
      <c r="K13210" s="1" t="str">
        <f>"2026-07-29 14:21:26"</f>
        <v>2026-07-29 14:21:26</v>
      </c>
      <c r="L13210" s="1" t="str">
        <f>"2023-10-12 17:21:14"</f>
        <v>2023-10-12 17:21:14</v>
      </c>
      <c r="M13210" s="1" t="s">
        <v>45</v>
      </c>
      <c r="N13210" s="1" t="s">
        <v>38</v>
      </c>
      <c r="O13210" s="1" t="s">
        <v>46</v>
      </c>
    </row>
    <row r="13211" spans="2:15" x14ac:dyDescent="0.3">
      <c r="B13211" s="1" t="s">
        <v>20</v>
      </c>
      <c r="C13211" s="1" t="str">
        <f t="shared" si="672"/>
        <v>5-2차</v>
      </c>
      <c r="D13211" s="1" t="str">
        <f>"9825F1115S"</f>
        <v>9825F1115S</v>
      </c>
      <c r="E13211" s="1" t="s">
        <v>10</v>
      </c>
      <c r="F13211" s="1" t="str">
        <f>"fde3:102:1300:2:0:0:0:2"</f>
        <v>fde3:102:1300:2:0:0:0:2</v>
      </c>
      <c r="G13211" s="1" t="str">
        <f>"9825F111"</f>
        <v>9825F111</v>
      </c>
      <c r="H13211" s="1" t="str">
        <f>"서부지 9L12"</f>
        <v>서부지 9L12</v>
      </c>
      <c r="I13211" s="1" t="s">
        <v>15</v>
      </c>
      <c r="J13211" s="1" t="str">
        <f>"48/48"</f>
        <v>48/48</v>
      </c>
      <c r="K13211" s="1" t="str">
        <f>"2026-07-29 14:21:30"</f>
        <v>2026-07-29 14:21:30</v>
      </c>
      <c r="L13211" s="1" t="str">
        <f>"2023-09-21 15:48:49"</f>
        <v>2023-09-21 15:48:49</v>
      </c>
      <c r="M13211" s="1" t="s">
        <v>45</v>
      </c>
      <c r="N13211" s="1" t="s">
        <v>38</v>
      </c>
      <c r="O13211" s="1" t="s">
        <v>46</v>
      </c>
    </row>
    <row r="13212" spans="2:15" x14ac:dyDescent="0.3">
      <c r="B13212" s="1" t="s">
        <v>20</v>
      </c>
      <c r="C13212" s="1" t="str">
        <f t="shared" si="672"/>
        <v>5-2차</v>
      </c>
      <c r="D13212" s="1" t="str">
        <f>"9825F1155S"</f>
        <v>9825F1155S</v>
      </c>
      <c r="E13212" s="1" t="s">
        <v>10</v>
      </c>
      <c r="F13212" s="1" t="str">
        <f>"fde3:102:1300:6:0:0:0:2"</f>
        <v>fde3:102:1300:6:0:0:0:2</v>
      </c>
      <c r="G13212" s="1" t="str">
        <f>"9825F115"</f>
        <v>9825F115</v>
      </c>
      <c r="H13212" s="1" t="str">
        <f>"서부지 9L11R1"</f>
        <v>서부지 9L11R1</v>
      </c>
      <c r="I13212" s="1" t="s">
        <v>15</v>
      </c>
      <c r="J13212" s="1" t="str">
        <f>"89/89"</f>
        <v>89/89</v>
      </c>
      <c r="K13212" s="1" t="str">
        <f>"2026-07-29 14:21:26"</f>
        <v>2026-07-29 14:21:26</v>
      </c>
      <c r="L13212" s="1" t="str">
        <f>"2023-09-21 16:14:25"</f>
        <v>2023-09-21 16:14:25</v>
      </c>
      <c r="M13212" s="1" t="s">
        <v>45</v>
      </c>
      <c r="N13212" s="1" t="s">
        <v>38</v>
      </c>
      <c r="O13212" s="1" t="s">
        <v>46</v>
      </c>
    </row>
    <row r="13213" spans="2:15" x14ac:dyDescent="0.3">
      <c r="B13213" s="1" t="s">
        <v>20</v>
      </c>
      <c r="C13213" s="1" t="str">
        <f t="shared" si="672"/>
        <v>5-2차</v>
      </c>
      <c r="D13213" s="1" t="str">
        <f>"9825F1215S"</f>
        <v>9825F1215S</v>
      </c>
      <c r="E13213" s="1" t="s">
        <v>10</v>
      </c>
      <c r="F13213" s="1" t="str">
        <f>"fde3:102:1300:2:0:0:0:3"</f>
        <v>fde3:102:1300:2:0:0:0:3</v>
      </c>
      <c r="G13213" s="1" t="str">
        <f>"9825F121"</f>
        <v>9825F121</v>
      </c>
      <c r="H13213" s="1" t="str">
        <f>"서부지 9L12L1"</f>
        <v>서부지 9L12L1</v>
      </c>
      <c r="I13213" s="1" t="s">
        <v>15</v>
      </c>
      <c r="J13213" s="1" t="str">
        <f>"39/40"</f>
        <v>39/40</v>
      </c>
      <c r="K13213" s="1" t="str">
        <f>"2026-07-29 14:21:31"</f>
        <v>2026-07-29 14:21:31</v>
      </c>
      <c r="L13213" s="1" t="str">
        <f>"2023-09-21 14:50:31"</f>
        <v>2023-09-21 14:50:31</v>
      </c>
      <c r="M13213" s="1" t="s">
        <v>45</v>
      </c>
      <c r="N13213" s="1" t="s">
        <v>38</v>
      </c>
      <c r="O13213" s="1" t="s">
        <v>46</v>
      </c>
    </row>
    <row r="13214" spans="2:15" x14ac:dyDescent="0.3">
      <c r="B13214" s="1" t="s">
        <v>20</v>
      </c>
      <c r="C13214" s="1" t="str">
        <f>"1차"</f>
        <v>1차</v>
      </c>
      <c r="D13214" s="1" t="str">
        <f>"9825F13100"</f>
        <v>9825F13100</v>
      </c>
      <c r="E13214" s="1" t="s">
        <v>10</v>
      </c>
      <c r="F13214" s="1" t="str">
        <f>"10.125.129.200"</f>
        <v>10.125.129.200</v>
      </c>
      <c r="G13214" s="1" t="str">
        <f>"9825F131"</f>
        <v>9825F131</v>
      </c>
      <c r="H13214" s="1" t="str">
        <f>"서부지 9L12L2"</f>
        <v>서부지 9L12L2</v>
      </c>
      <c r="I13214" s="1" t="s">
        <v>8</v>
      </c>
      <c r="J13214" s="1" t="str">
        <f>"60/60"</f>
        <v>60/60</v>
      </c>
      <c r="K13214" s="1" t="str">
        <f>"2026-07-29 13:18:12"</f>
        <v>2026-07-29 13:18:12</v>
      </c>
      <c r="L13214" s="1" t="str">
        <f>"2015-04-01 12:10:34"</f>
        <v>2015-04-01 12:10:34</v>
      </c>
      <c r="M13214" s="1" t="s">
        <v>45</v>
      </c>
      <c r="N13214" s="1" t="s">
        <v>38</v>
      </c>
      <c r="O13214" s="1" t="s">
        <v>46</v>
      </c>
    </row>
    <row r="13215" spans="2:15" x14ac:dyDescent="0.3">
      <c r="B13215" s="1" t="s">
        <v>20</v>
      </c>
      <c r="C13215" s="1" t="str">
        <f>"5-1차"</f>
        <v>5-1차</v>
      </c>
      <c r="D13215" s="1" t="str">
        <f>"9825F1325M"</f>
        <v>9825F1325M</v>
      </c>
      <c r="E13215" s="1" t="s">
        <v>10</v>
      </c>
      <c r="F13215" s="1" t="str">
        <f>"fde2:104:0:b2:0:0:0:2"</f>
        <v>fde2:104:0:b2:0:0:0:2</v>
      </c>
      <c r="G13215" s="1" t="str">
        <f>"9825F132"</f>
        <v>9825F132</v>
      </c>
      <c r="H13215" s="1" t="str">
        <f>"서부지 9L9L2"</f>
        <v>서부지 9L9L2</v>
      </c>
      <c r="I13215" s="1" t="s">
        <v>15</v>
      </c>
      <c r="J13215" s="1" t="str">
        <f>"34/34"</f>
        <v>34/34</v>
      </c>
      <c r="K13215" s="1" t="str">
        <f>"2026-07-29 14:21:27"</f>
        <v>2026-07-29 14:21:27</v>
      </c>
      <c r="L13215" s="1" t="str">
        <f>"2022-10-19 16:15:41"</f>
        <v>2022-10-19 16:15:41</v>
      </c>
      <c r="M13215" s="1" t="s">
        <v>42</v>
      </c>
      <c r="N13215" s="1" t="s">
        <v>38</v>
      </c>
      <c r="O13215" s="1" t="s">
        <v>46</v>
      </c>
    </row>
    <row r="13216" spans="2:15" x14ac:dyDescent="0.3">
      <c r="B13216" s="1" t="s">
        <v>20</v>
      </c>
      <c r="C13216" s="1" t="str">
        <f>"5-2차"</f>
        <v>5-2차</v>
      </c>
      <c r="D13216" s="1" t="str">
        <f>"9825F2215S"</f>
        <v>9825F2215S</v>
      </c>
      <c r="E13216" s="1" t="s">
        <v>10</v>
      </c>
      <c r="F13216" s="1" t="str">
        <f>"fde3:102:1300:3:0:0:0:2"</f>
        <v>fde3:102:1300:3:0:0:0:2</v>
      </c>
      <c r="G13216" s="1" t="str">
        <f>"9825F221"</f>
        <v>9825F221</v>
      </c>
      <c r="H13216" s="1" t="str">
        <f>"서부지 9L15"</f>
        <v>서부지 9L15</v>
      </c>
      <c r="I13216" s="1" t="s">
        <v>15</v>
      </c>
      <c r="J13216" s="1" t="str">
        <f>"75/80"</f>
        <v>75/80</v>
      </c>
      <c r="K13216" s="1" t="str">
        <f>"2026-07-29 14:21:26"</f>
        <v>2026-07-29 14:21:26</v>
      </c>
      <c r="L13216" s="1" t="str">
        <f>"2023-09-21 15:24:38"</f>
        <v>2023-09-21 15:24:38</v>
      </c>
      <c r="M13216" s="1" t="s">
        <v>45</v>
      </c>
      <c r="N13216" s="1" t="s">
        <v>38</v>
      </c>
      <c r="O13216" s="1" t="s">
        <v>46</v>
      </c>
    </row>
    <row r="13217" spans="2:15" x14ac:dyDescent="0.3">
      <c r="B13217" s="1" t="s">
        <v>20</v>
      </c>
      <c r="C13217" s="1" t="str">
        <f>"5-1차"</f>
        <v>5-1차</v>
      </c>
      <c r="D13217" s="1" t="str">
        <f>"9825F2235S"</f>
        <v>9825F2235S</v>
      </c>
      <c r="E13217" s="1" t="s">
        <v>10</v>
      </c>
      <c r="F13217" s="1" t="str">
        <f>"fde3:102:1300:1:0:0:0:2"</f>
        <v>fde3:102:1300:1:0:0:0:2</v>
      </c>
      <c r="G13217" s="1" t="str">
        <f>"9825F223"</f>
        <v>9825F223</v>
      </c>
      <c r="H13217" s="1" t="str">
        <f>"서부지 9L14"</f>
        <v>서부지 9L14</v>
      </c>
      <c r="I13217" s="1" t="s">
        <v>15</v>
      </c>
      <c r="J13217" s="1" t="str">
        <f>"19/19"</f>
        <v>19/19</v>
      </c>
      <c r="K13217" s="1" t="str">
        <f>"2026-07-29 14:21:27"</f>
        <v>2026-07-29 14:21:27</v>
      </c>
      <c r="L13217" s="1" t="str">
        <f>"2022-11-08 16:35:08"</f>
        <v>2022-11-08 16:35:08</v>
      </c>
      <c r="M13217" s="1" t="s">
        <v>45</v>
      </c>
      <c r="N13217" s="1" t="s">
        <v>38</v>
      </c>
      <c r="O13217" s="1" t="s">
        <v>46</v>
      </c>
    </row>
    <row r="13218" spans="2:15" x14ac:dyDescent="0.3">
      <c r="B13218" s="1" t="s">
        <v>20</v>
      </c>
      <c r="C13218" s="1" t="str">
        <f>"5-2차"</f>
        <v>5-2차</v>
      </c>
      <c r="D13218" s="1" t="str">
        <f>"9825G6555S"</f>
        <v>9825G6555S</v>
      </c>
      <c r="E13218" s="1" t="s">
        <v>10</v>
      </c>
      <c r="F13218" s="1" t="str">
        <f>"fde1:103:4:59ad:0:0:0:2"</f>
        <v>fde1:103:4:59ad:0:0:0:2</v>
      </c>
      <c r="G13218" s="1" t="str">
        <f>"9825G655"</f>
        <v>9825G655</v>
      </c>
      <c r="H13218" s="1" t="str">
        <f>"현대지 6"</f>
        <v>현대지 6</v>
      </c>
      <c r="I13218" s="1" t="s">
        <v>15</v>
      </c>
      <c r="J13218" s="1" t="str">
        <f>"71/77"</f>
        <v>71/77</v>
      </c>
      <c r="K13218" s="1" t="str">
        <f>"2026-07-29 14:21:30"</f>
        <v>2026-07-29 14:21:30</v>
      </c>
      <c r="L13218" s="1" t="str">
        <f>"2023-09-12 13:45:51"</f>
        <v>2023-09-12 13:45:51</v>
      </c>
      <c r="M13218" s="1" t="s">
        <v>4</v>
      </c>
      <c r="N13218" s="1" t="s">
        <v>38</v>
      </c>
      <c r="O13218" s="1" t="s">
        <v>46</v>
      </c>
    </row>
    <row r="13219" spans="2:15" x14ac:dyDescent="0.3">
      <c r="B13219" s="1" t="s">
        <v>20</v>
      </c>
      <c r="C13219" s="1" t="str">
        <f>"5-2차"</f>
        <v>5-2차</v>
      </c>
      <c r="D13219" s="1" t="str">
        <f>"9825G7215M"</f>
        <v>9825G7215M</v>
      </c>
      <c r="E13219" s="1" t="s">
        <v>10</v>
      </c>
      <c r="F13219" s="1" t="str">
        <f>"fde1:103:4:55cf:0:0:0:2"</f>
        <v>fde1:103:4:55cf:0:0:0:2</v>
      </c>
      <c r="G13219" s="1" t="str">
        <f>"9825G721"</f>
        <v>9825G721</v>
      </c>
      <c r="H13219" s="1" t="str">
        <f>"현대지 11L1"</f>
        <v>현대지 11L1</v>
      </c>
      <c r="I13219" s="1" t="s">
        <v>15</v>
      </c>
      <c r="J13219" s="1" t="str">
        <f>"44/44"</f>
        <v>44/44</v>
      </c>
      <c r="K13219" s="1" t="str">
        <f>"2026-07-29 14:21:30"</f>
        <v>2026-07-29 14:21:30</v>
      </c>
      <c r="L13219" s="1" t="str">
        <f>"2023-09-04 09:52:42"</f>
        <v>2023-09-04 09:52:42</v>
      </c>
      <c r="M13219" s="1" t="s">
        <v>4</v>
      </c>
      <c r="N13219" s="1" t="s">
        <v>38</v>
      </c>
      <c r="O13219" s="1" t="s">
        <v>46</v>
      </c>
    </row>
    <row r="13220" spans="2:15" x14ac:dyDescent="0.3">
      <c r="B13220" s="1" t="s">
        <v>20</v>
      </c>
      <c r="C13220" s="1" t="str">
        <f>"5-1차"</f>
        <v>5-1차</v>
      </c>
      <c r="D13220" s="1" t="str">
        <f>"9825G7415S"</f>
        <v>9825G7415S</v>
      </c>
      <c r="E13220" s="1" t="s">
        <v>10</v>
      </c>
      <c r="F13220" s="1" t="str">
        <f>"fde3:102:1300:0:0:0:0:2"</f>
        <v>fde3:102:1300:0:0:0:0:2</v>
      </c>
      <c r="G13220" s="1" t="str">
        <f>"9825G741"</f>
        <v>9825G741</v>
      </c>
      <c r="H13220" s="1" t="str">
        <f>"현대지 11A1"</f>
        <v>현대지 11A1</v>
      </c>
      <c r="I13220" s="1" t="s">
        <v>15</v>
      </c>
      <c r="J13220" s="1" t="str">
        <f>"56/56"</f>
        <v>56/56</v>
      </c>
      <c r="K13220" s="1" t="str">
        <f>"2026-07-29 14:21:31"</f>
        <v>2026-07-29 14:21:31</v>
      </c>
      <c r="L13220" s="1" t="str">
        <f>"2022-11-08 16:44:04"</f>
        <v>2022-11-08 16:44:04</v>
      </c>
      <c r="M13220" s="1" t="s">
        <v>45</v>
      </c>
      <c r="N13220" s="1" t="s">
        <v>38</v>
      </c>
      <c r="O13220" s="1" t="s">
        <v>46</v>
      </c>
    </row>
    <row r="13221" spans="2:15" x14ac:dyDescent="0.3">
      <c r="B13221" s="1" t="s">
        <v>20</v>
      </c>
      <c r="C13221" s="1" t="str">
        <f>"5-2차"</f>
        <v>5-2차</v>
      </c>
      <c r="D13221" s="1" t="str">
        <f>"9825G7815S"</f>
        <v>9825G7815S</v>
      </c>
      <c r="E13221" s="1" t="s">
        <v>10</v>
      </c>
      <c r="F13221" s="1" t="str">
        <f>"fde1:103:4:5873:0:0:0:2"</f>
        <v>fde1:103:4:5873:0:0:0:2</v>
      </c>
      <c r="G13221" s="1" t="str">
        <f>"9825G781"</f>
        <v>9825G781</v>
      </c>
      <c r="H13221" s="1" t="str">
        <f>"서부지 3"</f>
        <v>서부지 3</v>
      </c>
      <c r="I13221" s="1" t="s">
        <v>15</v>
      </c>
      <c r="J13221" s="1" t="str">
        <f>"40/40"</f>
        <v>40/40</v>
      </c>
      <c r="K13221" s="1" t="str">
        <f>"2026-07-29 14:21:30"</f>
        <v>2026-07-29 14:21:30</v>
      </c>
      <c r="L13221" s="1" t="str">
        <f>"2023-09-12 14:04:01"</f>
        <v>2023-09-12 14:04:01</v>
      </c>
      <c r="M13221" s="1" t="s">
        <v>4</v>
      </c>
      <c r="N13221" s="1" t="s">
        <v>38</v>
      </c>
      <c r="O13221" s="1" t="s">
        <v>46</v>
      </c>
    </row>
    <row r="13222" spans="2:15" x14ac:dyDescent="0.3">
      <c r="B13222" s="1" t="s">
        <v>20</v>
      </c>
      <c r="C13222" s="1" t="str">
        <f>"5-2차"</f>
        <v>5-2차</v>
      </c>
      <c r="D13222" s="1" t="str">
        <f>"9825G7955S"</f>
        <v>9825G7955S</v>
      </c>
      <c r="E13222" s="1" t="s">
        <v>10</v>
      </c>
      <c r="F13222" s="1" t="str">
        <f>"fde1:103:4:5a0b:0:0:0:2"</f>
        <v>fde1:103:4:5a0b:0:0:0:2</v>
      </c>
      <c r="G13222" s="1" t="str">
        <f>"9825G795"</f>
        <v>9825G795</v>
      </c>
      <c r="H13222" s="1" t="str">
        <f>"서부지 4"</f>
        <v>서부지 4</v>
      </c>
      <c r="I13222" s="1" t="s">
        <v>15</v>
      </c>
      <c r="J13222" s="1" t="str">
        <f>"53/53"</f>
        <v>53/53</v>
      </c>
      <c r="K13222" s="1" t="str">
        <f>"2026-07-29 14:21:37"</f>
        <v>2026-07-29 14:21:37</v>
      </c>
      <c r="L13222" s="1" t="str">
        <f>"2023-09-12 14:05:20"</f>
        <v>2023-09-12 14:05:20</v>
      </c>
      <c r="M13222" s="1" t="s">
        <v>4</v>
      </c>
      <c r="N13222" s="1" t="s">
        <v>38</v>
      </c>
      <c r="O13222" s="1" t="s">
        <v>46</v>
      </c>
    </row>
    <row r="13223" spans="2:15" x14ac:dyDescent="0.3">
      <c r="B13223" s="1" t="s">
        <v>20</v>
      </c>
      <c r="C13223" s="1" t="str">
        <f>"5-2차"</f>
        <v>5-2차</v>
      </c>
      <c r="D13223" s="1" t="str">
        <f>"9825G8225S"</f>
        <v>9825G8225S</v>
      </c>
      <c r="E13223" s="1" t="s">
        <v>10</v>
      </c>
      <c r="F13223" s="1" t="str">
        <f>"fde3:102:1300:5:0:0:0:2"</f>
        <v>fde3:102:1300:5:0:0:0:2</v>
      </c>
      <c r="G13223" s="1" t="str">
        <f>"9825G822"</f>
        <v>9825G822</v>
      </c>
      <c r="H13223" s="1" t="str">
        <f>"현대지 11L2"</f>
        <v>현대지 11L2</v>
      </c>
      <c r="I13223" s="1" t="s">
        <v>15</v>
      </c>
      <c r="J13223" s="1" t="str">
        <f>"60/60"</f>
        <v>60/60</v>
      </c>
      <c r="K13223" s="1" t="str">
        <f>"2026-07-29 14:21:31"</f>
        <v>2026-07-29 14:21:31</v>
      </c>
      <c r="L13223" s="1" t="str">
        <f>"2023-09-22 14:41:03"</f>
        <v>2023-09-22 14:41:03</v>
      </c>
      <c r="M13223" s="1" t="s">
        <v>45</v>
      </c>
      <c r="N13223" s="1" t="s">
        <v>38</v>
      </c>
      <c r="O13223" s="1" t="s">
        <v>46</v>
      </c>
    </row>
    <row r="13224" spans="2:15" x14ac:dyDescent="0.3">
      <c r="B13224" s="1" t="s">
        <v>20</v>
      </c>
      <c r="C13224" s="1" t="str">
        <f>"5-1차"</f>
        <v>5-1차</v>
      </c>
      <c r="D13224" s="1" t="str">
        <f>"9825G8415S"</f>
        <v>9825G8415S</v>
      </c>
      <c r="E13224" s="1" t="s">
        <v>10</v>
      </c>
      <c r="F13224" s="1" t="str">
        <f>"fde3:102:1300:0:0:0:0:3"</f>
        <v>fde3:102:1300:0:0:0:0:3</v>
      </c>
      <c r="G13224" s="1" t="str">
        <f>"9825G841"</f>
        <v>9825G841</v>
      </c>
      <c r="H13224" s="1" t="str">
        <f>"서부지 14R4"</f>
        <v>서부지 14R4</v>
      </c>
      <c r="I13224" s="1" t="s">
        <v>15</v>
      </c>
      <c r="J13224" s="1" t="str">
        <f>"50/50"</f>
        <v>50/50</v>
      </c>
      <c r="K13224" s="1" t="str">
        <f>"2026-07-29 14:21:33"</f>
        <v>2026-07-29 14:21:33</v>
      </c>
      <c r="L13224" s="1" t="str">
        <f>"2022-11-10 09:16:53"</f>
        <v>2022-11-10 09:16:53</v>
      </c>
      <c r="M13224" s="1" t="s">
        <v>45</v>
      </c>
      <c r="N13224" s="1" t="s">
        <v>38</v>
      </c>
      <c r="O13224" s="1" t="s">
        <v>46</v>
      </c>
    </row>
    <row r="13225" spans="2:15" x14ac:dyDescent="0.3">
      <c r="B13225" s="1" t="s">
        <v>20</v>
      </c>
      <c r="C13225" s="1" t="str">
        <f>"5-2차"</f>
        <v>5-2차</v>
      </c>
      <c r="D13225" s="1" t="str">
        <f>"9825G8535S"</f>
        <v>9825G8535S</v>
      </c>
      <c r="E13225" s="1" t="s">
        <v>10</v>
      </c>
      <c r="F13225" s="1" t="str">
        <f>"fde3:102:1301:4601:0:0:0:2"</f>
        <v>fde3:102:1301:4601:0:0:0:2</v>
      </c>
      <c r="G13225" s="1" t="str">
        <f>"9825G853"</f>
        <v>9825G853</v>
      </c>
      <c r="H13225" s="1" t="str">
        <f>"서부지 14R2R1"</f>
        <v>서부지 14R2R1</v>
      </c>
      <c r="I13225" s="1" t="s">
        <v>15</v>
      </c>
      <c r="J13225" s="1" t="str">
        <f>"45/45"</f>
        <v>45/45</v>
      </c>
      <c r="K13225" s="1" t="str">
        <f>"2026-07-29 14:21:31"</f>
        <v>2026-07-29 14:21:31</v>
      </c>
      <c r="L13225" s="1" t="str">
        <f>"2023-11-24 10:25:44"</f>
        <v>2023-11-24 10:25:44</v>
      </c>
      <c r="M13225" s="1" t="s">
        <v>45</v>
      </c>
      <c r="N13225" s="1" t="s">
        <v>38</v>
      </c>
      <c r="O13225" s="1" t="s">
        <v>46</v>
      </c>
    </row>
    <row r="13226" spans="2:15" x14ac:dyDescent="0.3">
      <c r="B13226" s="1" t="s">
        <v>20</v>
      </c>
      <c r="C13226" s="1" t="str">
        <f>"5-2차"</f>
        <v>5-2차</v>
      </c>
      <c r="D13226" s="1" t="str">
        <f>"9825G8815S"</f>
        <v>9825G8815S</v>
      </c>
      <c r="E13226" s="1" t="s">
        <v>10</v>
      </c>
      <c r="F13226" s="1" t="str">
        <f>"fde1:103:4:58c5:0:0:0:2"</f>
        <v>fde1:103:4:58c5:0:0:0:2</v>
      </c>
      <c r="G13226" s="1" t="str">
        <f>"9825G881"</f>
        <v>9825G881</v>
      </c>
      <c r="H13226" s="1" t="str">
        <f>"서부지 4R2"</f>
        <v>서부지 4R2</v>
      </c>
      <c r="I13226" s="1" t="s">
        <v>15</v>
      </c>
      <c r="J13226" s="1" t="str">
        <f>"57/57"</f>
        <v>57/57</v>
      </c>
      <c r="K13226" s="1" t="str">
        <f>"2026-07-29 14:21:32"</f>
        <v>2026-07-29 14:21:32</v>
      </c>
      <c r="L13226" s="1" t="str">
        <f>"2023-09-12 14:06:20"</f>
        <v>2023-09-12 14:06:20</v>
      </c>
      <c r="M13226" s="1" t="s">
        <v>4</v>
      </c>
      <c r="N13226" s="1" t="s">
        <v>38</v>
      </c>
      <c r="O13226" s="1" t="s">
        <v>46</v>
      </c>
    </row>
    <row r="13227" spans="2:15" x14ac:dyDescent="0.3">
      <c r="B13227" s="1" t="s">
        <v>20</v>
      </c>
      <c r="C13227" s="1" t="str">
        <f>"5-1차"</f>
        <v>5-1차</v>
      </c>
      <c r="D13227" s="1" t="str">
        <f>"9825G9515M"</f>
        <v>9825G9515M</v>
      </c>
      <c r="E13227" s="1" t="s">
        <v>10</v>
      </c>
      <c r="F13227" s="1" t="str">
        <f>"fde3:102:1300:0:0:0:0:4"</f>
        <v>fde3:102:1300:0:0:0:0:4</v>
      </c>
      <c r="G13227" s="1" t="str">
        <f>"9825G951"</f>
        <v>9825G951</v>
      </c>
      <c r="H13227" s="1" t="str">
        <f>"서부지 14"</f>
        <v>서부지 14</v>
      </c>
      <c r="I13227" s="1" t="s">
        <v>15</v>
      </c>
      <c r="J13227" s="1" t="str">
        <f>"47/47"</f>
        <v>47/47</v>
      </c>
      <c r="K13227" s="1" t="str">
        <f>"2026-07-29 14:21:32"</f>
        <v>2026-07-29 14:21:32</v>
      </c>
      <c r="L13227" s="1" t="str">
        <f>"2022-11-16 14:24:10"</f>
        <v>2022-11-16 14:24:10</v>
      </c>
      <c r="M13227" s="1" t="s">
        <v>45</v>
      </c>
      <c r="N13227" s="1" t="s">
        <v>38</v>
      </c>
      <c r="O13227" s="1" t="s">
        <v>46</v>
      </c>
    </row>
    <row r="13228" spans="2:15" x14ac:dyDescent="0.3">
      <c r="B13228" s="1" t="s">
        <v>20</v>
      </c>
      <c r="C13228" s="1" t="str">
        <f>"5-1차"</f>
        <v>5-1차</v>
      </c>
      <c r="D13228" s="1" t="str">
        <f>"9825G9715M"</f>
        <v>9825G9715M</v>
      </c>
      <c r="E13228" s="1" t="s">
        <v>10</v>
      </c>
      <c r="F13228" s="1" t="str">
        <f>"fde2:104:0:a9:0:0:0:2"</f>
        <v>fde2:104:0:a9:0:0:0:2</v>
      </c>
      <c r="G13228" s="1" t="str">
        <f>"9825G971"</f>
        <v>9825G971</v>
      </c>
      <c r="H13228" s="1" t="str">
        <f>"서부지 12"</f>
        <v>서부지 12</v>
      </c>
      <c r="I13228" s="1" t="s">
        <v>15</v>
      </c>
      <c r="J13228" s="1" t="str">
        <f>"33/36"</f>
        <v>33/36</v>
      </c>
      <c r="K13228" s="1" t="str">
        <f>"2026-07-29 14:21:36"</f>
        <v>2026-07-29 14:21:36</v>
      </c>
      <c r="L13228" s="1" t="str">
        <f>"2022-09-28 11:01:53"</f>
        <v>2022-09-28 11:01:53</v>
      </c>
      <c r="M13228" s="1" t="s">
        <v>42</v>
      </c>
      <c r="N13228" s="1" t="s">
        <v>38</v>
      </c>
      <c r="O13228" s="1" t="s">
        <v>46</v>
      </c>
    </row>
    <row r="13229" spans="2:15" x14ac:dyDescent="0.3">
      <c r="B13229" s="1" t="s">
        <v>20</v>
      </c>
      <c r="C13229" s="1" t="str">
        <f>"5-1차"</f>
        <v>5-1차</v>
      </c>
      <c r="D13229" s="1" t="str">
        <f>"9825G9815S"</f>
        <v>9825G9815S</v>
      </c>
      <c r="E13229" s="1" t="s">
        <v>10</v>
      </c>
      <c r="F13229" s="1" t="str">
        <f>"fde2:104:0:91:0:0:0:2"</f>
        <v>fde2:104:0:91:0:0:0:2</v>
      </c>
      <c r="G13229" s="1" t="str">
        <f>"9825G981"</f>
        <v>9825G981</v>
      </c>
      <c r="H13229" s="1" t="str">
        <f>"서부지 10"</f>
        <v>서부지 10</v>
      </c>
      <c r="I13229" s="1" t="s">
        <v>15</v>
      </c>
      <c r="J13229" s="1" t="str">
        <f>"40/40"</f>
        <v>40/40</v>
      </c>
      <c r="K13229" s="1" t="str">
        <f>"2026-07-29 14:21:34"</f>
        <v>2026-07-29 14:21:34</v>
      </c>
      <c r="L13229" s="1" t="str">
        <f>"2022-09-28 11:02:46"</f>
        <v>2022-09-28 11:02:46</v>
      </c>
      <c r="M13229" s="1" t="s">
        <v>42</v>
      </c>
      <c r="N13229" s="1" t="s">
        <v>38</v>
      </c>
      <c r="O13229" s="1" t="s">
        <v>46</v>
      </c>
    </row>
    <row r="13230" spans="2:15" x14ac:dyDescent="0.3">
      <c r="B13230" s="1" t="s">
        <v>20</v>
      </c>
      <c r="C13230" s="1" t="str">
        <f>"5-2차"</f>
        <v>5-2차</v>
      </c>
      <c r="D13230" s="1" t="str">
        <f>"9825G9915S"</f>
        <v>9825G9915S</v>
      </c>
      <c r="E13230" s="1" t="s">
        <v>10</v>
      </c>
      <c r="F13230" s="1" t="str">
        <f>"fde1:103:4:5789:0:0:0:2"</f>
        <v>fde1:103:4:5789:0:0:0:2</v>
      </c>
      <c r="G13230" s="1" t="str">
        <f>"9825G991"</f>
        <v>9825G991</v>
      </c>
      <c r="H13230" s="1" t="str">
        <f>"서부지 9L1"</f>
        <v>서부지 9L1</v>
      </c>
      <c r="I13230" s="1" t="s">
        <v>15</v>
      </c>
      <c r="J13230" s="1" t="str">
        <f>"57/57"</f>
        <v>57/57</v>
      </c>
      <c r="K13230" s="1" t="str">
        <f>"2026-07-29 14:21:31"</f>
        <v>2026-07-29 14:21:31</v>
      </c>
      <c r="L13230" s="1" t="str">
        <f>"2023-09-12 14:48:18"</f>
        <v>2023-09-12 14:48:18</v>
      </c>
      <c r="M13230" s="1" t="s">
        <v>4</v>
      </c>
      <c r="N13230" s="1" t="s">
        <v>38</v>
      </c>
      <c r="O13230" s="1" t="s">
        <v>46</v>
      </c>
    </row>
    <row r="13231" spans="2:15" x14ac:dyDescent="0.3">
      <c r="B13231" s="1" t="s">
        <v>20</v>
      </c>
      <c r="C13231" s="1" t="str">
        <f>"5-1차"</f>
        <v>5-1차</v>
      </c>
      <c r="D13231" s="1" t="str">
        <f>"9825G9925S"</f>
        <v>9825G9925S</v>
      </c>
      <c r="E13231" s="1" t="s">
        <v>10</v>
      </c>
      <c r="F13231" s="1" t="str">
        <f>"fde3:102:1300:0:0:0:0:5"</f>
        <v>fde3:102:1300:0:0:0:0:5</v>
      </c>
      <c r="G13231" s="1" t="str">
        <f>"9825G992"</f>
        <v>9825G992</v>
      </c>
      <c r="H13231" s="1" t="str">
        <f>"서부지 9L2"</f>
        <v>서부지 9L2</v>
      </c>
      <c r="I13231" s="1" t="s">
        <v>15</v>
      </c>
      <c r="J13231" s="1" t="str">
        <f>"65/65"</f>
        <v>65/65</v>
      </c>
      <c r="K13231" s="1" t="str">
        <f>"2026-07-29 14:21:32"</f>
        <v>2026-07-29 14:21:32</v>
      </c>
      <c r="L13231" s="1" t="str">
        <f>"2022-11-08 16:37:01"</f>
        <v>2022-11-08 16:37:01</v>
      </c>
      <c r="M13231" s="1" t="s">
        <v>45</v>
      </c>
      <c r="N13231" s="1" t="s">
        <v>38</v>
      </c>
      <c r="O13231" s="1" t="s">
        <v>46</v>
      </c>
    </row>
    <row r="13232" spans="2:15" x14ac:dyDescent="0.3">
      <c r="B13232" s="1" t="s">
        <v>20</v>
      </c>
      <c r="C13232" s="1" t="str">
        <f>"5-2차"</f>
        <v>5-2차</v>
      </c>
      <c r="D13232" s="1" t="str">
        <f>"9825H0425S"</f>
        <v>9825H0425S</v>
      </c>
      <c r="E13232" s="1" t="s">
        <v>10</v>
      </c>
      <c r="F13232" s="1" t="str">
        <f>"fde1:103:4:5999:0:0:0:2"</f>
        <v>fde1:103:4:5999:0:0:0:2</v>
      </c>
      <c r="G13232" s="1" t="str">
        <f>"9825H042"</f>
        <v>9825H042</v>
      </c>
      <c r="H13232" s="1" t="str">
        <f>"서부지 16L2H1"</f>
        <v>서부지 16L2H1</v>
      </c>
      <c r="I13232" s="1" t="s">
        <v>15</v>
      </c>
      <c r="J13232" s="1" t="str">
        <f>"57/57"</f>
        <v>57/57</v>
      </c>
      <c r="K13232" s="1" t="str">
        <f>"2026-07-29 14:21:32"</f>
        <v>2026-07-29 14:21:32</v>
      </c>
      <c r="L13232" s="1" t="str">
        <f>"2023-09-12 14:49:22"</f>
        <v>2023-09-12 14:49:22</v>
      </c>
      <c r="M13232" s="1" t="s">
        <v>4</v>
      </c>
      <c r="N13232" s="1" t="s">
        <v>38</v>
      </c>
      <c r="O13232" s="1" t="s">
        <v>46</v>
      </c>
    </row>
    <row r="13233" spans="2:15" x14ac:dyDescent="0.3">
      <c r="B13233" s="1" t="s">
        <v>20</v>
      </c>
      <c r="C13233" s="1" t="str">
        <f>"5-1차"</f>
        <v>5-1차</v>
      </c>
      <c r="D13233" s="1" t="str">
        <f>"9825H0715S"</f>
        <v>9825H0715S</v>
      </c>
      <c r="E13233" s="1" t="s">
        <v>10</v>
      </c>
      <c r="F13233" s="1" t="str">
        <f>"fde2:104:0:9e:0:0:0:2"</f>
        <v>fde2:104:0:9e:0:0:0:2</v>
      </c>
      <c r="G13233" s="1" t="str">
        <f>"9825H071"</f>
        <v>9825H071</v>
      </c>
      <c r="H13233" s="1" t="str">
        <f>"서부지 9L1R2"</f>
        <v>서부지 9L1R2</v>
      </c>
      <c r="I13233" s="1" t="s">
        <v>15</v>
      </c>
      <c r="J13233" s="1" t="str">
        <f>"34/34"</f>
        <v>34/34</v>
      </c>
      <c r="K13233" s="1" t="str">
        <f>"2026-07-29 14:21:39"</f>
        <v>2026-07-29 14:21:39</v>
      </c>
      <c r="L13233" s="1" t="str">
        <f>"2022-09-28 11:04:17"</f>
        <v>2022-09-28 11:04:17</v>
      </c>
      <c r="M13233" s="1" t="s">
        <v>42</v>
      </c>
      <c r="N13233" s="1" t="s">
        <v>38</v>
      </c>
      <c r="O13233" s="1" t="s">
        <v>46</v>
      </c>
    </row>
    <row r="13234" spans="2:15" x14ac:dyDescent="0.3">
      <c r="B13234" s="1" t="s">
        <v>20</v>
      </c>
      <c r="C13234" s="1" t="str">
        <f>"5-1차"</f>
        <v>5-1차</v>
      </c>
      <c r="D13234" s="1" t="str">
        <f>"9825H1715M"</f>
        <v>9825H1715M</v>
      </c>
      <c r="E13234" s="1" t="s">
        <v>10</v>
      </c>
      <c r="F13234" s="1" t="str">
        <f>"fde2:104:0:a1:0:0:0:2"</f>
        <v>fde2:104:0:a1:0:0:0:2</v>
      </c>
      <c r="G13234" s="1" t="str">
        <f>"9825H171"</f>
        <v>9825H171</v>
      </c>
      <c r="H13234" s="1" t="str">
        <f>"서부지 9L2R3"</f>
        <v>서부지 9L2R3</v>
      </c>
      <c r="I13234" s="1" t="s">
        <v>15</v>
      </c>
      <c r="J13234" s="1" t="str">
        <f>"76/76"</f>
        <v>76/76</v>
      </c>
      <c r="K13234" s="1" t="str">
        <f>"2026-07-29 14:21:44"</f>
        <v>2026-07-29 14:21:44</v>
      </c>
      <c r="L13234" s="1" t="str">
        <f>"2022-09-28 11:05:53"</f>
        <v>2022-09-28 11:05:53</v>
      </c>
      <c r="M13234" s="1" t="s">
        <v>42</v>
      </c>
      <c r="N13234" s="1" t="s">
        <v>38</v>
      </c>
      <c r="O13234" s="1" t="s">
        <v>46</v>
      </c>
    </row>
    <row r="13235" spans="2:15" x14ac:dyDescent="0.3">
      <c r="B13235" s="1" t="s">
        <v>20</v>
      </c>
      <c r="C13235" s="1" t="str">
        <f>"5-1차"</f>
        <v>5-1차</v>
      </c>
      <c r="D13235" s="1" t="str">
        <f>"9825H1815S"</f>
        <v>9825H1815S</v>
      </c>
      <c r="E13235" s="1" t="s">
        <v>10</v>
      </c>
      <c r="F13235" s="1" t="str">
        <f>"fde2:104:0:a5:0:0:0:2"</f>
        <v>fde2:104:0:a5:0:0:0:2</v>
      </c>
      <c r="G13235" s="1" t="str">
        <f>"9825H181"</f>
        <v>9825H181</v>
      </c>
      <c r="H13235" s="1" t="str">
        <f>"서부지 9L5R2R1"</f>
        <v>서부지 9L5R2R1</v>
      </c>
      <c r="I13235" s="1" t="s">
        <v>15</v>
      </c>
      <c r="J13235" s="1" t="str">
        <f>"64/68"</f>
        <v>64/68</v>
      </c>
      <c r="K13235" s="1" t="str">
        <f>"2026-07-29 14:21:33"</f>
        <v>2026-07-29 14:21:33</v>
      </c>
      <c r="L13235" s="1" t="str">
        <f>"2022-09-28 11:10:41"</f>
        <v>2022-09-28 11:10:41</v>
      </c>
      <c r="M13235" s="1" t="s">
        <v>42</v>
      </c>
      <c r="N13235" s="1" t="s">
        <v>38</v>
      </c>
      <c r="O13235" s="1" t="s">
        <v>46</v>
      </c>
    </row>
    <row r="13236" spans="2:15" x14ac:dyDescent="0.3">
      <c r="B13236" s="1" t="s">
        <v>20</v>
      </c>
      <c r="C13236" s="1" t="str">
        <f>"5-2차"</f>
        <v>5-2차</v>
      </c>
      <c r="D13236" s="1" t="str">
        <f>"9825H1915M"</f>
        <v>9825H1915M</v>
      </c>
      <c r="E13236" s="1" t="s">
        <v>10</v>
      </c>
      <c r="F13236" s="1" t="str">
        <f>"fde1:103:4:56af:0:0:0:2"</f>
        <v>fde1:103:4:56af:0:0:0:2</v>
      </c>
      <c r="G13236" s="1" t="str">
        <f>"9825H191"</f>
        <v>9825H191</v>
      </c>
      <c r="H13236" s="1" t="str">
        <f>"서부지 9L5R2"</f>
        <v>서부지 9L5R2</v>
      </c>
      <c r="I13236" s="1" t="s">
        <v>15</v>
      </c>
      <c r="J13236" s="1" t="str">
        <f>"48/51"</f>
        <v>48/51</v>
      </c>
      <c r="K13236" s="1" t="str">
        <f>"2026-07-29 14:21:34"</f>
        <v>2026-07-29 14:21:34</v>
      </c>
      <c r="L13236" s="1" t="str">
        <f>"2023-09-04 10:04:37"</f>
        <v>2023-09-04 10:04:37</v>
      </c>
      <c r="M13236" s="1" t="s">
        <v>4</v>
      </c>
      <c r="N13236" s="1" t="s">
        <v>38</v>
      </c>
      <c r="O13236" s="1" t="s">
        <v>46</v>
      </c>
    </row>
    <row r="13237" spans="2:15" x14ac:dyDescent="0.3">
      <c r="B13237" s="1" t="s">
        <v>20</v>
      </c>
      <c r="C13237" s="1" t="str">
        <f>"5-2차"</f>
        <v>5-2차</v>
      </c>
      <c r="D13237" s="1" t="str">
        <f>"9825H1925M"</f>
        <v>9825H1925M</v>
      </c>
      <c r="E13237" s="1" t="s">
        <v>10</v>
      </c>
      <c r="F13237" s="1" t="str">
        <f>"fde1:103:4:56b8:0:0:0:2"</f>
        <v>fde1:103:4:56b8:0:0:0:2</v>
      </c>
      <c r="G13237" s="1" t="str">
        <f>"9825H192"</f>
        <v>9825H192</v>
      </c>
      <c r="H13237" s="1" t="str">
        <f>"서부지 9L5R1"</f>
        <v>서부지 9L5R1</v>
      </c>
      <c r="I13237" s="1" t="s">
        <v>15</v>
      </c>
      <c r="J13237" s="1" t="str">
        <f>"39/39"</f>
        <v>39/39</v>
      </c>
      <c r="K13237" s="1" t="str">
        <f>"2026-07-29 14:21:57"</f>
        <v>2026-07-29 14:21:57</v>
      </c>
      <c r="L13237" s="1" t="str">
        <f>"2023-09-04 10:07:13"</f>
        <v>2023-09-04 10:07:13</v>
      </c>
      <c r="M13237" s="1" t="s">
        <v>4</v>
      </c>
      <c r="N13237" s="1" t="s">
        <v>38</v>
      </c>
      <c r="O13237" s="1" t="s">
        <v>46</v>
      </c>
    </row>
    <row r="13238" spans="2:15" x14ac:dyDescent="0.3">
      <c r="B13238" s="1" t="s">
        <v>20</v>
      </c>
      <c r="C13238" s="1" t="str">
        <f>"5-1차"</f>
        <v>5-1차</v>
      </c>
      <c r="D13238" s="1" t="str">
        <f>"9825H2825M"</f>
        <v>9825H2825M</v>
      </c>
      <c r="E13238" s="1" t="s">
        <v>10</v>
      </c>
      <c r="F13238" s="1" t="str">
        <f>"fde2:104:0:bb:0:0:0:2"</f>
        <v>fde2:104:0:bb:0:0:0:2</v>
      </c>
      <c r="G13238" s="1" t="str">
        <f>"9825H282"</f>
        <v>9825H282</v>
      </c>
      <c r="H13238" s="1" t="str">
        <f>"서부지 9L5R3"</f>
        <v>서부지 9L5R3</v>
      </c>
      <c r="I13238" s="1" t="s">
        <v>15</v>
      </c>
      <c r="J13238" s="1" t="str">
        <f>"65/65"</f>
        <v>65/65</v>
      </c>
      <c r="K13238" s="1" t="str">
        <f>"2026-07-29 14:21:35"</f>
        <v>2026-07-29 14:21:35</v>
      </c>
      <c r="L13238" s="1" t="str">
        <f>"2022-09-28 11:01:01"</f>
        <v>2022-09-28 11:01:01</v>
      </c>
      <c r="M13238" s="1" t="s">
        <v>42</v>
      </c>
      <c r="N13238" s="1" t="s">
        <v>38</v>
      </c>
      <c r="O13238" s="1" t="s">
        <v>46</v>
      </c>
    </row>
    <row r="13239" spans="2:15" x14ac:dyDescent="0.3">
      <c r="B13239" s="1" t="s">
        <v>20</v>
      </c>
      <c r="C13239" s="1" t="str">
        <f>"6차"</f>
        <v>6차</v>
      </c>
      <c r="D13239" s="1" t="str">
        <f>"9825H2926S"</f>
        <v>9825H2926S</v>
      </c>
      <c r="E13239" s="1" t="s">
        <v>10</v>
      </c>
      <c r="F13239" s="1" t="str">
        <f>"fde1:103:4:c649:0:0:0:2"</f>
        <v>fde1:103:4:c649:0:0:0:2</v>
      </c>
      <c r="G13239" s="1" t="str">
        <f>"9825H292"</f>
        <v>9825H292</v>
      </c>
      <c r="H13239" s="1" t="str">
        <f>"서부지 9L5R3L2"</f>
        <v>서부지 9L5R3L2</v>
      </c>
      <c r="I13239" s="1" t="s">
        <v>15</v>
      </c>
      <c r="J13239" s="1" t="str">
        <f>"57/58"</f>
        <v>57/58</v>
      </c>
      <c r="K13239" s="1" t="str">
        <f>"2026-07-29 14:21:49"</f>
        <v>2026-07-29 14:21:49</v>
      </c>
      <c r="L13239" s="1" t="str">
        <f>"2024-11-12 15:09:59"</f>
        <v>2024-11-12 15:09:59</v>
      </c>
      <c r="M13239" s="1" t="s">
        <v>4</v>
      </c>
      <c r="N13239" s="1" t="s">
        <v>38</v>
      </c>
      <c r="O13239" s="1" t="s">
        <v>46</v>
      </c>
    </row>
    <row r="13240" spans="2:15" x14ac:dyDescent="0.3">
      <c r="B13240" s="1" t="s">
        <v>20</v>
      </c>
      <c r="C13240" s="1" t="str">
        <f t="shared" ref="C13240:C13245" si="673">"4차"</f>
        <v>4차</v>
      </c>
      <c r="D13240" s="1" t="str">
        <f>"9825H40544"</f>
        <v>9825H40544</v>
      </c>
      <c r="E13240" s="1" t="s">
        <v>10</v>
      </c>
      <c r="F13240" s="1" t="str">
        <f>"10.12.132.55"</f>
        <v>10.12.132.55</v>
      </c>
      <c r="G13240" s="1" t="str">
        <f>"9825H405"</f>
        <v>9825H405</v>
      </c>
      <c r="H13240" s="1" t="str">
        <f>"마용간 42"</f>
        <v>마용간 42</v>
      </c>
      <c r="I13240" s="1" t="s">
        <v>8</v>
      </c>
      <c r="J13240" s="1" t="str">
        <f>"21/21"</f>
        <v>21/21</v>
      </c>
      <c r="K13240" s="1" t="str">
        <f>"2026-07-29 07:18:11"</f>
        <v>2026-07-29 07:18:11</v>
      </c>
      <c r="L13240" s="1" t="str">
        <f>"2022-11-15 15:10:26"</f>
        <v>2022-11-15 15:10:26</v>
      </c>
      <c r="M13240" s="1" t="s">
        <v>0</v>
      </c>
      <c r="N13240" s="1" t="s">
        <v>38</v>
      </c>
      <c r="O13240" s="1" t="s">
        <v>46</v>
      </c>
    </row>
    <row r="13241" spans="2:15" x14ac:dyDescent="0.3">
      <c r="B13241" s="1" t="s">
        <v>20</v>
      </c>
      <c r="C13241" s="1" t="str">
        <f t="shared" si="673"/>
        <v>4차</v>
      </c>
      <c r="D13241" s="1" t="str">
        <f>"9825H50344"</f>
        <v>9825H50344</v>
      </c>
      <c r="E13241" s="1" t="str">
        <f>"검침실패(3시간 이상)"</f>
        <v>검침실패(3시간 이상)</v>
      </c>
      <c r="F13241" s="1" t="str">
        <f>"10.10.138.130"</f>
        <v>10.10.138.130</v>
      </c>
      <c r="G13241" s="1" t="str">
        <f>"9825H503"</f>
        <v>9825H503</v>
      </c>
      <c r="H13241" s="1" t="str">
        <f>"마용간 44R2"</f>
        <v>마용간 44R2</v>
      </c>
      <c r="I13241" s="1" t="s">
        <v>8</v>
      </c>
      <c r="J13241" s="1" t="str">
        <f>"0/33"</f>
        <v>0/33</v>
      </c>
      <c r="K13241" s="1" t="str">
        <f>"2026-07-24 07:18:11"</f>
        <v>2026-07-24 07:18:11</v>
      </c>
      <c r="L13241" s="1" t="str">
        <f>"2019-12-11 18:16:11"</f>
        <v>2019-12-11 18:16:11</v>
      </c>
      <c r="M13241" s="1" t="s">
        <v>1</v>
      </c>
      <c r="N13241" s="1" t="s">
        <v>38</v>
      </c>
      <c r="O13241" s="1" t="s">
        <v>46</v>
      </c>
    </row>
    <row r="13242" spans="2:15" x14ac:dyDescent="0.3">
      <c r="B13242" s="1" t="s">
        <v>20</v>
      </c>
      <c r="C13242" s="1" t="str">
        <f t="shared" si="673"/>
        <v>4차</v>
      </c>
      <c r="D13242" s="1" t="str">
        <f>"9825H50644"</f>
        <v>9825H50644</v>
      </c>
      <c r="E13242" s="1" t="s">
        <v>10</v>
      </c>
      <c r="F13242" s="1" t="str">
        <f>"10.125.239.58"</f>
        <v>10.125.239.58</v>
      </c>
      <c r="G13242" s="1" t="str">
        <f>"9825H506"</f>
        <v>9825H506</v>
      </c>
      <c r="H13242" s="1" t="str">
        <f>"마용간 44R1L1"</f>
        <v>마용간 44R1L1</v>
      </c>
      <c r="I13242" s="1" t="s">
        <v>8</v>
      </c>
      <c r="J13242" s="1" t="str">
        <f>"23/23"</f>
        <v>23/23</v>
      </c>
      <c r="K13242" s="1" t="str">
        <f>"2026-07-29 13:18:12"</f>
        <v>2026-07-29 13:18:12</v>
      </c>
      <c r="L13242" s="1" t="str">
        <f>"2020-01-14 11:10:21"</f>
        <v>2020-01-14 11:10:21</v>
      </c>
      <c r="M13242" s="1" t="s">
        <v>45</v>
      </c>
      <c r="N13242" s="1" t="s">
        <v>38</v>
      </c>
      <c r="O13242" s="1" t="s">
        <v>46</v>
      </c>
    </row>
    <row r="13243" spans="2:15" x14ac:dyDescent="0.3">
      <c r="B13243" s="1" t="s">
        <v>20</v>
      </c>
      <c r="C13243" s="1" t="str">
        <f t="shared" si="673"/>
        <v>4차</v>
      </c>
      <c r="D13243" s="1" t="str">
        <f>"9825H60144"</f>
        <v>9825H60144</v>
      </c>
      <c r="E13243" s="1" t="s">
        <v>10</v>
      </c>
      <c r="F13243" s="1" t="str">
        <f>"10.10.138.98"</f>
        <v>10.10.138.98</v>
      </c>
      <c r="G13243" s="1" t="str">
        <f>"9825H601"</f>
        <v>9825H601</v>
      </c>
      <c r="H13243" s="1" t="str">
        <f>"효청간 63L17"</f>
        <v>효청간 63L17</v>
      </c>
      <c r="I13243" s="1" t="s">
        <v>8</v>
      </c>
      <c r="J13243" s="1" t="str">
        <f>"40/40"</f>
        <v>40/40</v>
      </c>
      <c r="K13243" s="1" t="str">
        <f>"2026-07-29 13:18:12"</f>
        <v>2026-07-29 13:18:12</v>
      </c>
      <c r="L13243" s="1" t="str">
        <f>"2019-12-11 18:18:22"</f>
        <v>2019-12-11 18:18:22</v>
      </c>
      <c r="M13243" s="1" t="s">
        <v>1</v>
      </c>
      <c r="N13243" s="1" t="s">
        <v>38</v>
      </c>
      <c r="O13243" s="1" t="s">
        <v>46</v>
      </c>
    </row>
    <row r="13244" spans="2:15" x14ac:dyDescent="0.3">
      <c r="B13244" s="1" t="s">
        <v>20</v>
      </c>
      <c r="C13244" s="1" t="str">
        <f t="shared" si="673"/>
        <v>4차</v>
      </c>
      <c r="D13244" s="1" t="str">
        <f>"9825H71244"</f>
        <v>9825H71244</v>
      </c>
      <c r="E13244" s="1" t="s">
        <v>10</v>
      </c>
      <c r="F13244" s="1" t="str">
        <f>"10.10.138.114"</f>
        <v>10.10.138.114</v>
      </c>
      <c r="G13244" s="1" t="str">
        <f>"9825H712"</f>
        <v>9825H712</v>
      </c>
      <c r="H13244" s="1" t="str">
        <f>"마용간 70R13R1"</f>
        <v>마용간 70R13R1</v>
      </c>
      <c r="I13244" s="1" t="s">
        <v>8</v>
      </c>
      <c r="J13244" s="1" t="str">
        <f>"12/12"</f>
        <v>12/12</v>
      </c>
      <c r="K13244" s="1" t="str">
        <f>"2026-07-29 13:18:12"</f>
        <v>2026-07-29 13:18:12</v>
      </c>
      <c r="L13244" s="1" t="str">
        <f>"2019-12-11 18:11:38"</f>
        <v>2019-12-11 18:11:38</v>
      </c>
      <c r="M13244" s="1" t="s">
        <v>1</v>
      </c>
      <c r="N13244" s="1" t="s">
        <v>38</v>
      </c>
      <c r="O13244" s="1" t="s">
        <v>46</v>
      </c>
    </row>
    <row r="13245" spans="2:15" x14ac:dyDescent="0.3">
      <c r="B13245" s="1" t="s">
        <v>20</v>
      </c>
      <c r="C13245" s="1" t="str">
        <f t="shared" si="673"/>
        <v>4차</v>
      </c>
      <c r="D13245" s="1" t="str">
        <f>"9825H72244"</f>
        <v>9825H72244</v>
      </c>
      <c r="E13245" s="1" t="s">
        <v>10</v>
      </c>
      <c r="F13245" s="1" t="str">
        <f>"10.10.141.98"</f>
        <v>10.10.141.98</v>
      </c>
      <c r="G13245" s="1" t="str">
        <f>"9825H722"</f>
        <v>9825H722</v>
      </c>
      <c r="H13245" s="1" t="str">
        <f>"마용간 49R2"</f>
        <v>마용간 49R2</v>
      </c>
      <c r="I13245" s="1" t="s">
        <v>8</v>
      </c>
      <c r="J13245" s="1" t="str">
        <f>"34/34"</f>
        <v>34/34</v>
      </c>
      <c r="K13245" s="1" t="str">
        <f>"2026-07-29 13:18:12"</f>
        <v>2026-07-29 13:18:12</v>
      </c>
      <c r="L13245" s="1" t="str">
        <f>"2024-08-01 16:10:12"</f>
        <v>2024-08-01 16:10:12</v>
      </c>
      <c r="M13245" s="1" t="s">
        <v>1</v>
      </c>
      <c r="N13245" s="1" t="s">
        <v>38</v>
      </c>
      <c r="O13245" s="1" t="s">
        <v>46</v>
      </c>
    </row>
    <row r="13246" spans="2:15" x14ac:dyDescent="0.3">
      <c r="B13246" s="1" t="s">
        <v>20</v>
      </c>
      <c r="C13246" s="1" t="str">
        <f>"5-2차"</f>
        <v>5-2차</v>
      </c>
      <c r="D13246" s="1" t="str">
        <f>"9825H7235S"</f>
        <v>9825H7235S</v>
      </c>
      <c r="E13246" s="1" t="s">
        <v>10</v>
      </c>
      <c r="F13246" s="1" t="str">
        <f>"fde3:102:1301:3200:0:0:0:2"</f>
        <v>fde3:102:1301:3200:0:0:0:2</v>
      </c>
      <c r="G13246" s="1" t="str">
        <f>"9825H723"</f>
        <v>9825H723</v>
      </c>
      <c r="H13246" s="1" t="str">
        <f>"마용간 49R2R1"</f>
        <v>마용간 49R2R1</v>
      </c>
      <c r="I13246" s="1" t="s">
        <v>15</v>
      </c>
      <c r="J13246" s="1" t="str">
        <f>"49/49"</f>
        <v>49/49</v>
      </c>
      <c r="K13246" s="1" t="str">
        <f>"2026-07-29 14:21:33"</f>
        <v>2026-07-29 14:21:33</v>
      </c>
      <c r="L13246" s="1" t="str">
        <f>"2023-10-04 14:35:45"</f>
        <v>2023-10-04 14:35:45</v>
      </c>
      <c r="M13246" s="1" t="s">
        <v>45</v>
      </c>
      <c r="N13246" s="1" t="s">
        <v>38</v>
      </c>
      <c r="O13246" s="1" t="s">
        <v>46</v>
      </c>
    </row>
    <row r="13247" spans="2:15" x14ac:dyDescent="0.3">
      <c r="B13247" s="1" t="s">
        <v>20</v>
      </c>
      <c r="C13247" s="1" t="str">
        <f>"6차"</f>
        <v>6차</v>
      </c>
      <c r="D13247" s="1" t="str">
        <f>"9825H8046M"</f>
        <v>9825H8046M</v>
      </c>
      <c r="E13247" s="1" t="s">
        <v>10</v>
      </c>
      <c r="F13247" s="1" t="str">
        <f>"fde1:103:4:c84b:0:0:0:2"</f>
        <v>fde1:103:4:c84b:0:0:0:2</v>
      </c>
      <c r="G13247" s="1" t="str">
        <f>"9825H804"</f>
        <v>9825H804</v>
      </c>
      <c r="H13247" s="1" t="str">
        <f>"마용간 70R2L5R2"</f>
        <v>마용간 70R2L5R2</v>
      </c>
      <c r="I13247" s="1" t="s">
        <v>15</v>
      </c>
      <c r="J13247" s="1" t="str">
        <f>"29/29"</f>
        <v>29/29</v>
      </c>
      <c r="K13247" s="1" t="str">
        <f>"2026-07-29 14:21:34"</f>
        <v>2026-07-29 14:21:34</v>
      </c>
      <c r="L13247" s="1" t="str">
        <f>"2024-11-25 10:52:02"</f>
        <v>2024-11-25 10:52:02</v>
      </c>
      <c r="M13247" s="1" t="s">
        <v>4</v>
      </c>
      <c r="N13247" s="1" t="s">
        <v>38</v>
      </c>
      <c r="O13247" s="1" t="s">
        <v>46</v>
      </c>
    </row>
    <row r="13248" spans="2:15" x14ac:dyDescent="0.3">
      <c r="B13248" s="1" t="s">
        <v>20</v>
      </c>
      <c r="C13248" s="1" t="str">
        <f>"4차"</f>
        <v>4차</v>
      </c>
      <c r="D13248" s="1" t="str">
        <f>"9825H81144"</f>
        <v>9825H81144</v>
      </c>
      <c r="E13248" s="1" t="s">
        <v>10</v>
      </c>
      <c r="F13248" s="1" t="str">
        <f>"10.10.141.114"</f>
        <v>10.10.141.114</v>
      </c>
      <c r="G13248" s="1" t="str">
        <f>"9825H811"</f>
        <v>9825H811</v>
      </c>
      <c r="H13248" s="1" t="str">
        <f>"마용간 70R12"</f>
        <v>마용간 70R12</v>
      </c>
      <c r="I13248" s="1" t="s">
        <v>8</v>
      </c>
      <c r="J13248" s="1" t="str">
        <f>"61/61"</f>
        <v>61/61</v>
      </c>
      <c r="K13248" s="1" t="str">
        <f>"2026-07-29 13:18:12"</f>
        <v>2026-07-29 13:18:12</v>
      </c>
      <c r="L13248" s="1" t="str">
        <f>"2019-12-17 16:10:18"</f>
        <v>2019-12-17 16:10:18</v>
      </c>
      <c r="M13248" s="1" t="s">
        <v>1</v>
      </c>
      <c r="N13248" s="1" t="s">
        <v>38</v>
      </c>
      <c r="O13248" s="1" t="s">
        <v>46</v>
      </c>
    </row>
    <row r="13249" spans="2:15" x14ac:dyDescent="0.3">
      <c r="B13249" s="1" t="s">
        <v>20</v>
      </c>
      <c r="C13249" s="1" t="str">
        <f>"4차"</f>
        <v>4차</v>
      </c>
      <c r="D13249" s="1" t="str">
        <f>"9825H83144"</f>
        <v>9825H83144</v>
      </c>
      <c r="E13249" s="1" t="s">
        <v>10</v>
      </c>
      <c r="F13249" s="1" t="str">
        <f>"10.10.141.82"</f>
        <v>10.10.141.82</v>
      </c>
      <c r="G13249" s="1" t="str">
        <f>"9825H831"</f>
        <v>9825H831</v>
      </c>
      <c r="H13249" s="1" t="str">
        <f>"마용간 64H1R8"</f>
        <v>마용간 64H1R8</v>
      </c>
      <c r="I13249" s="1" t="s">
        <v>8</v>
      </c>
      <c r="J13249" s="1" t="str">
        <f>"32/33"</f>
        <v>32/33</v>
      </c>
      <c r="K13249" s="1" t="str">
        <f>"2026-07-29 13:18:12"</f>
        <v>2026-07-29 13:18:12</v>
      </c>
      <c r="L13249" s="1" t="str">
        <f>"2019-12-11 18:17:09"</f>
        <v>2019-12-11 18:17:09</v>
      </c>
      <c r="M13249" s="1" t="s">
        <v>1</v>
      </c>
      <c r="N13249" s="1" t="s">
        <v>38</v>
      </c>
      <c r="O13249" s="1" t="s">
        <v>46</v>
      </c>
    </row>
    <row r="13250" spans="2:15" x14ac:dyDescent="0.3">
      <c r="B13250" s="1" t="s">
        <v>20</v>
      </c>
      <c r="C13250" s="1" t="str">
        <f>"4차"</f>
        <v>4차</v>
      </c>
      <c r="D13250" s="1" t="str">
        <f>"9825H93144"</f>
        <v>9825H93144</v>
      </c>
      <c r="E13250" s="1" t="s">
        <v>10</v>
      </c>
      <c r="F13250" s="1" t="str">
        <f>"10.10.141.90"</f>
        <v>10.10.141.90</v>
      </c>
      <c r="G13250" s="1" t="str">
        <f>"9825H931"</f>
        <v>9825H931</v>
      </c>
      <c r="H13250" s="1" t="str">
        <f>"마용간 64H1R7"</f>
        <v>마용간 64H1R7</v>
      </c>
      <c r="I13250" s="1" t="s">
        <v>8</v>
      </c>
      <c r="J13250" s="1" t="str">
        <f>"9/9"</f>
        <v>9/9</v>
      </c>
      <c r="K13250" s="1" t="str">
        <f>"2026-07-29 13:18:12"</f>
        <v>2026-07-29 13:18:12</v>
      </c>
      <c r="L13250" s="1" t="str">
        <f>"2019-12-11 18:16:02"</f>
        <v>2019-12-11 18:16:02</v>
      </c>
      <c r="M13250" s="1" t="s">
        <v>1</v>
      </c>
      <c r="N13250" s="1" t="s">
        <v>38</v>
      </c>
      <c r="O13250" s="1" t="s">
        <v>46</v>
      </c>
    </row>
    <row r="13251" spans="2:15" x14ac:dyDescent="0.3">
      <c r="B13251" s="1" t="s">
        <v>20</v>
      </c>
      <c r="C13251" s="1" t="str">
        <f>"5-2차"</f>
        <v>5-2차</v>
      </c>
      <c r="D13251" s="1" t="str">
        <f>"9825P0025M"</f>
        <v>9825P0025M</v>
      </c>
      <c r="E13251" s="1" t="s">
        <v>10</v>
      </c>
      <c r="F13251" s="1" t="str">
        <f>"fde1:103:4:560a:0:0:0:2"</f>
        <v>fde1:103:4:560a:0:0:0:2</v>
      </c>
      <c r="G13251" s="1" t="str">
        <f>"9825P002"</f>
        <v>9825P002</v>
      </c>
      <c r="H13251" s="1" t="str">
        <f>"숭문간 3L3"</f>
        <v>숭문간 3L3</v>
      </c>
      <c r="I13251" s="1" t="s">
        <v>15</v>
      </c>
      <c r="J13251" s="1" t="str">
        <f>"145/145"</f>
        <v>145/145</v>
      </c>
      <c r="K13251" s="1" t="str">
        <f>"2026-07-29 14:21:37"</f>
        <v>2026-07-29 14:21:37</v>
      </c>
      <c r="L13251" s="1" t="str">
        <f>"2024-02-28 17:59:07"</f>
        <v>2024-02-28 17:59:07</v>
      </c>
      <c r="M13251" s="1" t="s">
        <v>4</v>
      </c>
      <c r="N13251" s="1" t="s">
        <v>38</v>
      </c>
      <c r="O13251" s="1" t="s">
        <v>46</v>
      </c>
    </row>
    <row r="13252" spans="2:15" x14ac:dyDescent="0.3">
      <c r="B13252" s="1" t="s">
        <v>20</v>
      </c>
      <c r="C13252" s="1" t="str">
        <f>"1차"</f>
        <v>1차</v>
      </c>
      <c r="D13252" s="1" t="str">
        <f>"9825P01200"</f>
        <v>9825P01200</v>
      </c>
      <c r="E13252" s="1" t="s">
        <v>14</v>
      </c>
      <c r="F13252" s="1" t="str">
        <f>"10.125.129.101"</f>
        <v>10.125.129.101</v>
      </c>
      <c r="G13252" s="1" t="str">
        <f>"9825P012"</f>
        <v>9825P012</v>
      </c>
      <c r="H13252" s="1" t="str">
        <f>"노고산간 5R4R2"</f>
        <v>노고산간 5R4R2</v>
      </c>
      <c r="I13252" s="1" t="s">
        <v>8</v>
      </c>
      <c r="J13252" s="1" t="str">
        <f>"0/0"</f>
        <v>0/0</v>
      </c>
      <c r="K13252" s="1" t="str">
        <f>"2024-05-22 21:20:09"</f>
        <v>2024-05-22 21:20:09</v>
      </c>
      <c r="L13252" s="1" t="str">
        <f>"2014-08-02 16:27:28"</f>
        <v>2014-08-02 16:27:28</v>
      </c>
      <c r="M13252" s="1" t="s">
        <v>45</v>
      </c>
      <c r="N13252" s="1" t="s">
        <v>44</v>
      </c>
      <c r="O13252" s="1" t="s">
        <v>44</v>
      </c>
    </row>
    <row r="13253" spans="2:15" x14ac:dyDescent="0.3">
      <c r="B13253" s="1" t="s">
        <v>20</v>
      </c>
      <c r="C13253" s="1" t="str">
        <f>"6차"</f>
        <v>6차</v>
      </c>
      <c r="D13253" s="1" t="str">
        <f>"9825P0326S"</f>
        <v>9825P0326S</v>
      </c>
      <c r="E13253" s="1" t="s">
        <v>10</v>
      </c>
      <c r="F13253" s="1" t="str">
        <f>"fde1:103:4:c85e:0:0:0:2"</f>
        <v>fde1:103:4:c85e:0:0:0:2</v>
      </c>
      <c r="G13253" s="1" t="str">
        <f>"9825P032"</f>
        <v>9825P032</v>
      </c>
      <c r="H13253" s="1" t="str">
        <f>"노고산간 5R4"</f>
        <v>노고산간 5R4</v>
      </c>
      <c r="I13253" s="1" t="s">
        <v>15</v>
      </c>
      <c r="J13253" s="1" t="str">
        <f>"41/41"</f>
        <v>41/41</v>
      </c>
      <c r="K13253" s="1" t="str">
        <f>"2026-07-29 14:20:41"</f>
        <v>2026-07-29 14:20:41</v>
      </c>
      <c r="L13253" s="1" t="str">
        <f>"2024-11-22 15:56:36"</f>
        <v>2024-11-22 15:56:36</v>
      </c>
      <c r="M13253" s="1" t="s">
        <v>4</v>
      </c>
      <c r="N13253" s="1" t="s">
        <v>38</v>
      </c>
      <c r="O13253" s="1" t="s">
        <v>46</v>
      </c>
    </row>
    <row r="13254" spans="2:15" x14ac:dyDescent="0.3">
      <c r="B13254" s="1" t="s">
        <v>20</v>
      </c>
      <c r="C13254" s="1" t="str">
        <f>"1차"</f>
        <v>1차</v>
      </c>
      <c r="D13254" s="1" t="str">
        <f>"9825P03301"</f>
        <v>9825P03301</v>
      </c>
      <c r="E13254" s="1" t="s">
        <v>14</v>
      </c>
      <c r="F13254" s="1" t="str">
        <f>"10.125.128.216"</f>
        <v>10.125.128.216</v>
      </c>
      <c r="G13254" s="1" t="str">
        <f>"9825P033"</f>
        <v>9825P033</v>
      </c>
      <c r="H13254" s="1" t="str">
        <f>"노고산간 5R4L1"</f>
        <v>노고산간 5R4L1</v>
      </c>
      <c r="I13254" s="1" t="s">
        <v>8</v>
      </c>
      <c r="J13254" s="1" t="str">
        <f>"0/0"</f>
        <v>0/0</v>
      </c>
      <c r="K13254" s="1" t="str">
        <f>"2024-07-15 09:20:07"</f>
        <v>2024-07-15 09:20:07</v>
      </c>
      <c r="L13254" s="1" t="str">
        <f>"2014-12-04 14:22:11"</f>
        <v>2014-12-04 14:22:11</v>
      </c>
      <c r="M13254" s="1" t="s">
        <v>45</v>
      </c>
      <c r="N13254" s="1" t="s">
        <v>44</v>
      </c>
      <c r="O13254" s="1" t="s">
        <v>44</v>
      </c>
    </row>
    <row r="13255" spans="2:15" x14ac:dyDescent="0.3">
      <c r="B13255" s="1" t="s">
        <v>20</v>
      </c>
      <c r="C13255" s="1" t="str">
        <f>"5-1차"</f>
        <v>5-1차</v>
      </c>
      <c r="D13255" s="1" t="str">
        <f>"9825P0515M"</f>
        <v>9825P0515M</v>
      </c>
      <c r="E13255" s="1" t="s">
        <v>10</v>
      </c>
      <c r="F13255" s="1" t="str">
        <f>"fde2:104:0:b9:0:0:0:2"</f>
        <v>fde2:104:0:b9:0:0:0:2</v>
      </c>
      <c r="G13255" s="1" t="str">
        <f>"9825P051"</f>
        <v>9825P051</v>
      </c>
      <c r="H13255" s="1" t="str">
        <f>"노고산간 8R1L1"</f>
        <v>노고산간 8R1L1</v>
      </c>
      <c r="I13255" s="1" t="s">
        <v>15</v>
      </c>
      <c r="J13255" s="1" t="str">
        <f>"15/15"</f>
        <v>15/15</v>
      </c>
      <c r="K13255" s="1" t="str">
        <f>"2026-07-29 14:21:35"</f>
        <v>2026-07-29 14:21:35</v>
      </c>
      <c r="L13255" s="1" t="str">
        <f>"2022-09-28 10:59:31"</f>
        <v>2022-09-28 10:59:31</v>
      </c>
      <c r="M13255" s="1" t="s">
        <v>42</v>
      </c>
      <c r="N13255" s="1" t="s">
        <v>38</v>
      </c>
      <c r="O13255" s="1" t="s">
        <v>46</v>
      </c>
    </row>
    <row r="13256" spans="2:15" x14ac:dyDescent="0.3">
      <c r="B13256" s="1" t="s">
        <v>20</v>
      </c>
      <c r="C13256" s="1" t="str">
        <f>"5-2차"</f>
        <v>5-2차</v>
      </c>
      <c r="D13256" s="1" t="str">
        <f>"9825P0825S"</f>
        <v>9825P0825S</v>
      </c>
      <c r="E13256" s="1" t="s">
        <v>10</v>
      </c>
      <c r="F13256" s="1" t="str">
        <f>"fde3:102:1300:a00:0:0:0:3"</f>
        <v>fde3:102:1300:a00:0:0:0:3</v>
      </c>
      <c r="G13256" s="1" t="str">
        <f>"9825P082"</f>
        <v>9825P082</v>
      </c>
      <c r="H13256" s="1" t="str">
        <f>"노고산간 15L1"</f>
        <v>노고산간 15L1</v>
      </c>
      <c r="I13256" s="1" t="s">
        <v>15</v>
      </c>
      <c r="J13256" s="1" t="str">
        <f>"34/34"</f>
        <v>34/34</v>
      </c>
      <c r="K13256" s="1" t="str">
        <f>"2026-07-29 14:21:34"</f>
        <v>2026-07-29 14:21:34</v>
      </c>
      <c r="L13256" s="1" t="str">
        <f>"2023-09-22 13:41:56"</f>
        <v>2023-09-22 13:41:56</v>
      </c>
      <c r="M13256" s="1" t="s">
        <v>45</v>
      </c>
      <c r="N13256" s="1" t="s">
        <v>38</v>
      </c>
      <c r="O13256" s="1" t="s">
        <v>46</v>
      </c>
    </row>
    <row r="13257" spans="2:15" x14ac:dyDescent="0.3">
      <c r="B13257" s="1" t="s">
        <v>20</v>
      </c>
      <c r="C13257" s="1" t="str">
        <f>"5-1차"</f>
        <v>5-1차</v>
      </c>
      <c r="D13257" s="1" t="str">
        <f>"9825P0915M"</f>
        <v>9825P0915M</v>
      </c>
      <c r="E13257" s="1" t="s">
        <v>10</v>
      </c>
      <c r="F13257" s="1" t="str">
        <f>"fde3:102:1300:a00:0:0:0:2"</f>
        <v>fde3:102:1300:a00:0:0:0:2</v>
      </c>
      <c r="G13257" s="1" t="str">
        <f>"9825P091"</f>
        <v>9825P091</v>
      </c>
      <c r="H13257" s="1" t="str">
        <f>"노고산간 15"</f>
        <v>노고산간 15</v>
      </c>
      <c r="I13257" s="1" t="s">
        <v>15</v>
      </c>
      <c r="J13257" s="1" t="str">
        <f>"22/22"</f>
        <v>22/22</v>
      </c>
      <c r="K13257" s="1" t="str">
        <f>"2026-07-29 14:21:40"</f>
        <v>2026-07-29 14:21:40</v>
      </c>
      <c r="L13257" s="1" t="str">
        <f>"2022-11-08 11:50:17"</f>
        <v>2022-11-08 11:50:17</v>
      </c>
      <c r="M13257" s="1" t="s">
        <v>45</v>
      </c>
      <c r="N13257" s="1" t="s">
        <v>38</v>
      </c>
      <c r="O13257" s="1" t="s">
        <v>46</v>
      </c>
    </row>
    <row r="13258" spans="2:15" x14ac:dyDescent="0.3">
      <c r="B13258" s="1" t="s">
        <v>20</v>
      </c>
      <c r="C13258" s="1" t="str">
        <f>"5-2차"</f>
        <v>5-2차</v>
      </c>
      <c r="D13258" s="1" t="str">
        <f>"9825P1215S"</f>
        <v>9825P1215S</v>
      </c>
      <c r="E13258" s="1" t="s">
        <v>10</v>
      </c>
      <c r="F13258" s="1" t="str">
        <f>"fde1:103:4:5a1e:0:0:0:2"</f>
        <v>fde1:103:4:5a1e:0:0:0:2</v>
      </c>
      <c r="G13258" s="1" t="str">
        <f>"9825P121"</f>
        <v>9825P121</v>
      </c>
      <c r="H13258" s="1" t="str">
        <f>"숭문간 6L1"</f>
        <v>숭문간 6L1</v>
      </c>
      <c r="I13258" s="1" t="s">
        <v>15</v>
      </c>
      <c r="J13258" s="1" t="str">
        <f>"117/117"</f>
        <v>117/117</v>
      </c>
      <c r="K13258" s="1" t="str">
        <f>"2026-07-29 14:21:35"</f>
        <v>2026-07-29 14:21:35</v>
      </c>
      <c r="L13258" s="1" t="str">
        <f>"2023-09-12 14:50:41"</f>
        <v>2023-09-12 14:50:41</v>
      </c>
      <c r="M13258" s="1" t="s">
        <v>4</v>
      </c>
      <c r="N13258" s="1" t="s">
        <v>38</v>
      </c>
      <c r="O13258" s="1" t="s">
        <v>46</v>
      </c>
    </row>
    <row r="13259" spans="2:15" x14ac:dyDescent="0.3">
      <c r="B13259" s="1" t="s">
        <v>20</v>
      </c>
      <c r="C13259" s="1" t="str">
        <f>"6차"</f>
        <v>6차</v>
      </c>
      <c r="D13259" s="1" t="str">
        <f>"9825P1416S"</f>
        <v>9825P1416S</v>
      </c>
      <c r="E13259" s="1" t="s">
        <v>10</v>
      </c>
      <c r="F13259" s="1" t="str">
        <f>"fde1:103:4:c70c:0:0:0:2"</f>
        <v>fde1:103:4:c70c:0:0:0:2</v>
      </c>
      <c r="G13259" s="1" t="str">
        <f>"9825P141"</f>
        <v>9825P141</v>
      </c>
      <c r="H13259" s="1" t="str">
        <f>"노고산간 5R4L2"</f>
        <v>노고산간 5R4L2</v>
      </c>
      <c r="I13259" s="1" t="s">
        <v>15</v>
      </c>
      <c r="J13259" s="1" t="str">
        <f>"116/116"</f>
        <v>116/116</v>
      </c>
      <c r="K13259" s="1" t="str">
        <f>"2026-07-29 14:21:50"</f>
        <v>2026-07-29 14:21:50</v>
      </c>
      <c r="L13259" s="1" t="str">
        <f>"2024-11-22 16:07:22"</f>
        <v>2024-11-22 16:07:22</v>
      </c>
      <c r="M13259" s="1" t="s">
        <v>4</v>
      </c>
      <c r="N13259" s="1" t="s">
        <v>38</v>
      </c>
      <c r="O13259" s="1" t="s">
        <v>46</v>
      </c>
    </row>
    <row r="13260" spans="2:15" x14ac:dyDescent="0.3">
      <c r="B13260" s="1" t="s">
        <v>20</v>
      </c>
      <c r="C13260" s="1" t="str">
        <f>"4차"</f>
        <v>4차</v>
      </c>
      <c r="D13260" s="1" t="str">
        <f>"9825P20142"</f>
        <v>9825P20142</v>
      </c>
      <c r="E13260" s="1" t="s">
        <v>10</v>
      </c>
      <c r="F13260" s="1" t="str">
        <f>"10.125.128.218"</f>
        <v>10.125.128.218</v>
      </c>
      <c r="G13260" s="1" t="str">
        <f>"9825P201"</f>
        <v>9825P201</v>
      </c>
      <c r="H13260" s="1" t="str">
        <f>"숭문간 3"</f>
        <v>숭문간 3</v>
      </c>
      <c r="I13260" s="1" t="s">
        <v>8</v>
      </c>
      <c r="J13260" s="1" t="str">
        <f>"27/27"</f>
        <v>27/27</v>
      </c>
      <c r="K13260" s="1" t="str">
        <f>"2026-07-29 13:18:12"</f>
        <v>2026-07-29 13:18:12</v>
      </c>
      <c r="L13260" s="1" t="str">
        <f>"2025-01-14 13:29:24"</f>
        <v>2025-01-14 13:29:24</v>
      </c>
      <c r="M13260" s="1" t="s">
        <v>45</v>
      </c>
      <c r="N13260" s="1" t="s">
        <v>38</v>
      </c>
      <c r="O13260" s="1" t="s">
        <v>46</v>
      </c>
    </row>
    <row r="13261" spans="2:15" x14ac:dyDescent="0.3">
      <c r="B13261" s="1" t="s">
        <v>20</v>
      </c>
      <c r="C13261" s="1" t="str">
        <f>"6차"</f>
        <v>6차</v>
      </c>
      <c r="D13261" s="1" t="str">
        <f>"9825P2126S"</f>
        <v>9825P2126S</v>
      </c>
      <c r="E13261" s="1" t="s">
        <v>10</v>
      </c>
      <c r="F13261" s="1" t="str">
        <f>"fde1:103:4:923c:0:0:0:2"</f>
        <v>fde1:103:4:923c:0:0:0:2</v>
      </c>
      <c r="G13261" s="1" t="str">
        <f>"9825P212"</f>
        <v>9825P212</v>
      </c>
      <c r="H13261" s="1" t="str">
        <f>"숭문간 4"</f>
        <v>숭문간 4</v>
      </c>
      <c r="I13261" s="1" t="s">
        <v>15</v>
      </c>
      <c r="J13261" s="1" t="str">
        <f>"19/20"</f>
        <v>19/20</v>
      </c>
      <c r="K13261" s="1" t="str">
        <f>"2026-07-29 14:21:35"</f>
        <v>2026-07-29 14:21:35</v>
      </c>
      <c r="L13261" s="1" t="str">
        <f>"2025-02-18 16:05:39"</f>
        <v>2025-02-18 16:05:39</v>
      </c>
      <c r="M13261" s="1" t="s">
        <v>4</v>
      </c>
      <c r="N13261" s="1" t="s">
        <v>38</v>
      </c>
      <c r="O13261" s="1" t="s">
        <v>46</v>
      </c>
    </row>
    <row r="13262" spans="2:15" x14ac:dyDescent="0.3">
      <c r="B13262" s="1" t="s">
        <v>20</v>
      </c>
      <c r="C13262" s="1" t="str">
        <f>"5-1차"</f>
        <v>5-1차</v>
      </c>
      <c r="D13262" s="1" t="str">
        <f>"9825P2215M"</f>
        <v>9825P2215M</v>
      </c>
      <c r="E13262" s="1" t="s">
        <v>10</v>
      </c>
      <c r="F13262" s="1" t="str">
        <f>"fde2:104:0:b7:0:0:0:2"</f>
        <v>fde2:104:0:b7:0:0:0:2</v>
      </c>
      <c r="G13262" s="1" t="str">
        <f>"9825P221"</f>
        <v>9825P221</v>
      </c>
      <c r="H13262" s="1" t="str">
        <f>"숭문간 6"</f>
        <v>숭문간 6</v>
      </c>
      <c r="I13262" s="1" t="s">
        <v>15</v>
      </c>
      <c r="J13262" s="1" t="str">
        <f>"40/41"</f>
        <v>40/41</v>
      </c>
      <c r="K13262" s="1" t="str">
        <f>"2026-07-29 14:21:36"</f>
        <v>2026-07-29 14:21:36</v>
      </c>
      <c r="L13262" s="1" t="str">
        <f>"2022-09-28 10:59:46"</f>
        <v>2022-09-28 10:59:46</v>
      </c>
      <c r="M13262" s="1" t="s">
        <v>42</v>
      </c>
      <c r="N13262" s="1" t="s">
        <v>38</v>
      </c>
      <c r="O13262" s="1" t="s">
        <v>46</v>
      </c>
    </row>
    <row r="13263" spans="2:15" x14ac:dyDescent="0.3">
      <c r="B13263" s="1" t="s">
        <v>20</v>
      </c>
      <c r="C13263" s="1" t="str">
        <f>"1차"</f>
        <v>1차</v>
      </c>
      <c r="D13263" s="1" t="str">
        <f>"9825P23100"</f>
        <v>9825P23100</v>
      </c>
      <c r="E13263" s="1" t="s">
        <v>10</v>
      </c>
      <c r="F13263" s="1" t="str">
        <f>"10.125.129.103"</f>
        <v>10.125.129.103</v>
      </c>
      <c r="G13263" s="1" t="str">
        <f>"9825P231"</f>
        <v>9825P231</v>
      </c>
      <c r="H13263" s="1" t="str">
        <f>"숭문간 7"</f>
        <v>숭문간 7</v>
      </c>
      <c r="I13263" s="1" t="s">
        <v>8</v>
      </c>
      <c r="J13263" s="1" t="str">
        <f>"6/6"</f>
        <v>6/6</v>
      </c>
      <c r="K13263" s="1" t="str">
        <f>"2026-07-29 13:18:12"</f>
        <v>2026-07-29 13:18:12</v>
      </c>
      <c r="L13263" s="1" t="str">
        <f>"2015-01-08 10:36:23"</f>
        <v>2015-01-08 10:36:23</v>
      </c>
      <c r="M13263" s="1" t="s">
        <v>45</v>
      </c>
      <c r="N13263" s="1" t="s">
        <v>38</v>
      </c>
      <c r="O13263" s="1" t="s">
        <v>46</v>
      </c>
    </row>
    <row r="13264" spans="2:15" x14ac:dyDescent="0.3">
      <c r="B13264" s="1" t="s">
        <v>20</v>
      </c>
      <c r="C13264" s="1" t="str">
        <f>"1차"</f>
        <v>1차</v>
      </c>
      <c r="D13264" s="1" t="str">
        <f>"9825P30200"</f>
        <v>9825P30200</v>
      </c>
      <c r="E13264" s="1" t="s">
        <v>10</v>
      </c>
      <c r="F13264" s="1" t="str">
        <f>"10.125.128.221"</f>
        <v>10.125.128.221</v>
      </c>
      <c r="G13264" s="1" t="str">
        <f>"9825P302"</f>
        <v>9825P302</v>
      </c>
      <c r="H13264" s="1" t="str">
        <f>"숭문간 2R5"</f>
        <v>숭문간 2R5</v>
      </c>
      <c r="I13264" s="1" t="s">
        <v>8</v>
      </c>
      <c r="J13264" s="1" t="str">
        <f>"8/8"</f>
        <v>8/8</v>
      </c>
      <c r="K13264" s="1" t="str">
        <f>"2026-07-29 13:18:12"</f>
        <v>2026-07-29 13:18:12</v>
      </c>
      <c r="L13264" s="1" t="str">
        <f>"2014-11-03 11:26:53"</f>
        <v>2014-11-03 11:26:53</v>
      </c>
      <c r="M13264" s="1" t="s">
        <v>45</v>
      </c>
      <c r="N13264" s="1" t="s">
        <v>38</v>
      </c>
      <c r="O13264" s="1" t="s">
        <v>46</v>
      </c>
    </row>
    <row r="13265" spans="2:15" x14ac:dyDescent="0.3">
      <c r="B13265" s="1" t="s">
        <v>20</v>
      </c>
      <c r="C13265" s="1" t="str">
        <f>"5-2차"</f>
        <v>5-2차</v>
      </c>
      <c r="D13265" s="1" t="str">
        <f>"9825P3035S"</f>
        <v>9825P3035S</v>
      </c>
      <c r="E13265" s="1" t="s">
        <v>10</v>
      </c>
      <c r="F13265" s="1" t="str">
        <f>"fde1:103:4:5a05:0:0:0:2"</f>
        <v>fde1:103:4:5a05:0:0:0:2</v>
      </c>
      <c r="G13265" s="1" t="str">
        <f>"9825P303"</f>
        <v>9825P303</v>
      </c>
      <c r="H13265" s="1" t="str">
        <f>"숭문간 2R3"</f>
        <v>숭문간 2R3</v>
      </c>
      <c r="I13265" s="1" t="s">
        <v>15</v>
      </c>
      <c r="J13265" s="1" t="str">
        <f>"65/65"</f>
        <v>65/65</v>
      </c>
      <c r="K13265" s="1" t="str">
        <f>"2026-07-29 14:21:31"</f>
        <v>2026-07-29 14:21:31</v>
      </c>
      <c r="L13265" s="1" t="str">
        <f>"2023-09-12 15:08:20"</f>
        <v>2023-09-12 15:08:20</v>
      </c>
      <c r="M13265" s="1" t="s">
        <v>4</v>
      </c>
      <c r="N13265" s="1" t="s">
        <v>38</v>
      </c>
      <c r="O13265" s="1" t="s">
        <v>46</v>
      </c>
    </row>
    <row r="13266" spans="2:15" x14ac:dyDescent="0.3">
      <c r="B13266" s="1" t="s">
        <v>20</v>
      </c>
      <c r="C13266" s="1" t="str">
        <f>"6차"</f>
        <v>6차</v>
      </c>
      <c r="D13266" s="1" t="str">
        <f>"9825P5016S"</f>
        <v>9825P5016S</v>
      </c>
      <c r="E13266" s="1" t="s">
        <v>10</v>
      </c>
      <c r="F13266" s="1" t="str">
        <f>"fde1:103:4:c616:0:0:0:2"</f>
        <v>fde1:103:4:c616:0:0:0:2</v>
      </c>
      <c r="G13266" s="1" t="str">
        <f>"9825P501"</f>
        <v>9825P501</v>
      </c>
      <c r="H13266" s="1" t="str">
        <f>"동도지 14"</f>
        <v>동도지 14</v>
      </c>
      <c r="I13266" s="1" t="s">
        <v>15</v>
      </c>
      <c r="J13266" s="1" t="str">
        <f>"61/64"</f>
        <v>61/64</v>
      </c>
      <c r="K13266" s="1" t="str">
        <f>"2026-07-29 14:21:22"</f>
        <v>2026-07-29 14:21:22</v>
      </c>
      <c r="L13266" s="1" t="str">
        <f>"2024-11-01 18:04:05"</f>
        <v>2024-11-01 18:04:05</v>
      </c>
      <c r="M13266" s="1" t="s">
        <v>4</v>
      </c>
      <c r="N13266" s="1" t="s">
        <v>38</v>
      </c>
      <c r="O13266" s="1" t="s">
        <v>46</v>
      </c>
    </row>
    <row r="13267" spans="2:15" x14ac:dyDescent="0.3">
      <c r="B13267" s="1" t="s">
        <v>20</v>
      </c>
      <c r="C13267" s="1" t="str">
        <f>"4차"</f>
        <v>4차</v>
      </c>
      <c r="D13267" s="1" t="str">
        <f>"9825P58345"</f>
        <v>9825P58345</v>
      </c>
      <c r="E13267" s="1" t="s">
        <v>10</v>
      </c>
      <c r="F13267" s="1" t="str">
        <f>"10.14.15.31"</f>
        <v>10.14.15.31</v>
      </c>
      <c r="G13267" s="1" t="str">
        <f>"9825P583"</f>
        <v>9825P583</v>
      </c>
      <c r="H13267" s="1" t="str">
        <f>"염리로 2"</f>
        <v>염리로 2</v>
      </c>
      <c r="I13267" s="1" t="s">
        <v>17</v>
      </c>
      <c r="J13267" s="1" t="str">
        <f>"17/26"</f>
        <v>17/26</v>
      </c>
      <c r="K13267" s="1" t="str">
        <f>"2026-07-29 13:18:12"</f>
        <v>2026-07-29 13:18:12</v>
      </c>
      <c r="L13267" s="1" t="str">
        <f>"2021-06-10 16:55:27"</f>
        <v>2021-06-10 16:55:27</v>
      </c>
      <c r="M13267" s="1" t="s">
        <v>3</v>
      </c>
      <c r="N13267" s="1" t="s">
        <v>38</v>
      </c>
      <c r="O13267" s="1" t="s">
        <v>46</v>
      </c>
    </row>
    <row r="13268" spans="2:15" x14ac:dyDescent="0.3">
      <c r="B13268" s="1" t="s">
        <v>20</v>
      </c>
      <c r="C13268" s="1" t="str">
        <f>"5-1차"</f>
        <v>5-1차</v>
      </c>
      <c r="D13268" s="1" t="str">
        <f>"9825P6325M"</f>
        <v>9825P6325M</v>
      </c>
      <c r="E13268" s="1" t="s">
        <v>10</v>
      </c>
      <c r="F13268" s="1" t="str">
        <f>"fde2:104:0:b3:0:0:0:2"</f>
        <v>fde2:104:0:b3:0:0:0:2</v>
      </c>
      <c r="G13268" s="1" t="str">
        <f>"9825P632"</f>
        <v>9825P632</v>
      </c>
      <c r="H13268" s="1" t="str">
        <f>"동도지 18L3"</f>
        <v>동도지 18L3</v>
      </c>
      <c r="I13268" s="1" t="s">
        <v>15</v>
      </c>
      <c r="J13268" s="1" t="str">
        <f>"67/68"</f>
        <v>67/68</v>
      </c>
      <c r="K13268" s="1" t="str">
        <f>"2026-07-29 14:21:11"</f>
        <v>2026-07-29 14:21:11</v>
      </c>
      <c r="L13268" s="1" t="str">
        <f>"2022-09-28 11:03:11"</f>
        <v>2022-09-28 11:03:11</v>
      </c>
      <c r="M13268" s="1" t="s">
        <v>42</v>
      </c>
      <c r="N13268" s="1" t="s">
        <v>38</v>
      </c>
      <c r="O13268" s="1" t="s">
        <v>46</v>
      </c>
    </row>
    <row r="13269" spans="2:15" x14ac:dyDescent="0.3">
      <c r="B13269" s="1" t="s">
        <v>20</v>
      </c>
      <c r="C13269" s="1" t="str">
        <f>"4차"</f>
        <v>4차</v>
      </c>
      <c r="D13269" s="1" t="str">
        <f>"9825P68145"</f>
        <v>9825P68145</v>
      </c>
      <c r="E13269" s="1" t="s">
        <v>10</v>
      </c>
      <c r="F13269" s="1" t="str">
        <f>"10.12.129.175"</f>
        <v>10.12.129.175</v>
      </c>
      <c r="G13269" s="1" t="str">
        <f>"9825P681"</f>
        <v>9825P681</v>
      </c>
      <c r="H13269" s="1" t="str">
        <f>"염리로 3"</f>
        <v>염리로 3</v>
      </c>
      <c r="I13269" s="1" t="s">
        <v>17</v>
      </c>
      <c r="J13269" s="1" t="str">
        <f>"49/54"</f>
        <v>49/54</v>
      </c>
      <c r="K13269" s="1" t="str">
        <f>"2026-07-29 13:18:12"</f>
        <v>2026-07-29 13:18:12</v>
      </c>
      <c r="L13269" s="1" t="str">
        <f>"2021-06-10 14:48:01"</f>
        <v>2021-06-10 14:48:01</v>
      </c>
      <c r="M13269" s="1" t="s">
        <v>0</v>
      </c>
      <c r="N13269" s="1" t="s">
        <v>38</v>
      </c>
      <c r="O13269" s="1" t="s">
        <v>46</v>
      </c>
    </row>
    <row r="13270" spans="2:15" x14ac:dyDescent="0.3">
      <c r="B13270" s="1" t="s">
        <v>20</v>
      </c>
      <c r="C13270" s="1" t="str">
        <f>"5-1차"</f>
        <v>5-1차</v>
      </c>
      <c r="D13270" s="1" t="str">
        <f>"9825P7215M"</f>
        <v>9825P7215M</v>
      </c>
      <c r="E13270" s="1" t="s">
        <v>10</v>
      </c>
      <c r="F13270" s="1" t="str">
        <f>"fde2:104:0:af:0:0:0:2"</f>
        <v>fde2:104:0:af:0:0:0:2</v>
      </c>
      <c r="G13270" s="1" t="str">
        <f>"9825P721"</f>
        <v>9825P721</v>
      </c>
      <c r="H13270" s="1" t="str">
        <f>"동도지 20"</f>
        <v>동도지 20</v>
      </c>
      <c r="I13270" s="1" t="s">
        <v>15</v>
      </c>
      <c r="J13270" s="1" t="str">
        <f>"106/106"</f>
        <v>106/106</v>
      </c>
      <c r="K13270" s="1" t="str">
        <f>"2026-07-29 14:21:37"</f>
        <v>2026-07-29 14:21:37</v>
      </c>
      <c r="L13270" s="1" t="str">
        <f>"2022-09-28 11:03:28"</f>
        <v>2022-09-28 11:03:28</v>
      </c>
      <c r="M13270" s="1" t="s">
        <v>42</v>
      </c>
      <c r="N13270" s="1" t="s">
        <v>38</v>
      </c>
      <c r="O13270" s="1" t="s">
        <v>46</v>
      </c>
    </row>
    <row r="13271" spans="2:15" x14ac:dyDescent="0.3">
      <c r="B13271" s="1" t="s">
        <v>20</v>
      </c>
      <c r="C13271" s="1" t="str">
        <f>"4차"</f>
        <v>4차</v>
      </c>
      <c r="D13271" s="1" t="str">
        <f>"9825P74141"</f>
        <v>9825P74141</v>
      </c>
      <c r="E13271" s="1" t="s">
        <v>10</v>
      </c>
      <c r="F13271" s="1" t="str">
        <f>"10.14.9.115"</f>
        <v>10.14.9.115</v>
      </c>
      <c r="G13271" s="1" t="str">
        <f>"9825P741"</f>
        <v>9825P741</v>
      </c>
      <c r="H13271" s="1" t="str">
        <f>"동도지 18L4"</f>
        <v>동도지 18L4</v>
      </c>
      <c r="I13271" s="1" t="s">
        <v>17</v>
      </c>
      <c r="J13271" s="1" t="str">
        <f>"28/34"</f>
        <v>28/34</v>
      </c>
      <c r="K13271" s="1" t="str">
        <f>"2026-07-29 13:18:03"</f>
        <v>2026-07-29 13:18:03</v>
      </c>
      <c r="L13271" s="1" t="str">
        <f>"2021-08-11 11:45:31"</f>
        <v>2021-08-11 11:45:31</v>
      </c>
      <c r="M13271" s="1" t="s">
        <v>3</v>
      </c>
      <c r="N13271" s="1" t="s">
        <v>38</v>
      </c>
      <c r="O13271" s="1" t="s">
        <v>46</v>
      </c>
    </row>
    <row r="13272" spans="2:15" x14ac:dyDescent="0.3">
      <c r="B13272" s="1" t="s">
        <v>20</v>
      </c>
      <c r="C13272" s="1" t="str">
        <f>"4차"</f>
        <v>4차</v>
      </c>
      <c r="D13272" s="1" t="str">
        <f>"9825P78439"</f>
        <v>9825P78439</v>
      </c>
      <c r="E13272" s="1" t="s">
        <v>10</v>
      </c>
      <c r="F13272" s="1" t="str">
        <f>"10.12.132.92"</f>
        <v>10.12.132.92</v>
      </c>
      <c r="G13272" s="1" t="str">
        <f>"9825P784"</f>
        <v>9825P784</v>
      </c>
      <c r="H13272" s="1" t="str">
        <f>"염리로 4T"</f>
        <v>염리로 4T</v>
      </c>
      <c r="I13272" s="1" t="s">
        <v>17</v>
      </c>
      <c r="J13272" s="1" t="str">
        <f>"27/27"</f>
        <v>27/27</v>
      </c>
      <c r="K13272" s="1" t="str">
        <f>"2026-07-29 13:18:10"</f>
        <v>2026-07-29 13:18:10</v>
      </c>
      <c r="L13272" s="1" t="str">
        <f>"2018-10-12 11:30:11"</f>
        <v>2018-10-12 11:30:11</v>
      </c>
      <c r="M13272" s="1" t="s">
        <v>0</v>
      </c>
      <c r="N13272" s="1" t="s">
        <v>38</v>
      </c>
      <c r="O13272" s="1" t="s">
        <v>46</v>
      </c>
    </row>
    <row r="13273" spans="2:15" x14ac:dyDescent="0.3">
      <c r="B13273" s="1" t="s">
        <v>20</v>
      </c>
      <c r="C13273" s="1" t="str">
        <f>"6차"</f>
        <v>6차</v>
      </c>
      <c r="D13273" s="1" t="str">
        <f>"9825P8416S"</f>
        <v>9825P8416S</v>
      </c>
      <c r="E13273" s="1" t="s">
        <v>10</v>
      </c>
      <c r="F13273" s="1" t="str">
        <f>"fde1:103:4:c61f:0:0:0:2"</f>
        <v>fde1:103:4:c61f:0:0:0:2</v>
      </c>
      <c r="G13273" s="1" t="str">
        <f>"9825P841"</f>
        <v>9825P841</v>
      </c>
      <c r="H13273" s="1" t="str">
        <f>"동도지 20L2"</f>
        <v>동도지 20L2</v>
      </c>
      <c r="I13273" s="1" t="s">
        <v>15</v>
      </c>
      <c r="J13273" s="1" t="str">
        <f>"60/61"</f>
        <v>60/61</v>
      </c>
      <c r="K13273" s="1" t="str">
        <f>"2026-07-29 14:21:36"</f>
        <v>2026-07-29 14:21:36</v>
      </c>
      <c r="L13273" s="1" t="str">
        <f>"2024-11-01 18:17:08"</f>
        <v>2024-11-01 18:17:08</v>
      </c>
      <c r="M13273" s="1" t="s">
        <v>4</v>
      </c>
      <c r="N13273" s="1" t="s">
        <v>38</v>
      </c>
      <c r="O13273" s="1" t="s">
        <v>46</v>
      </c>
    </row>
    <row r="13274" spans="2:15" x14ac:dyDescent="0.3">
      <c r="B13274" s="1" t="s">
        <v>20</v>
      </c>
      <c r="C13274" s="1" t="str">
        <f>"4차"</f>
        <v>4차</v>
      </c>
      <c r="D13274" s="1" t="str">
        <f>"9825P89245"</f>
        <v>9825P89245</v>
      </c>
      <c r="E13274" s="1" t="s">
        <v>10</v>
      </c>
      <c r="F13274" s="1" t="str">
        <f>"10.14.14.64"</f>
        <v>10.14.14.64</v>
      </c>
      <c r="G13274" s="1" t="str">
        <f>"9825P892"</f>
        <v>9825P892</v>
      </c>
      <c r="H13274" s="1" t="str">
        <f>"염리로 5"</f>
        <v>염리로 5</v>
      </c>
      <c r="I13274" s="1" t="s">
        <v>17</v>
      </c>
      <c r="J13274" s="1" t="str">
        <f>"44/44"</f>
        <v>44/44</v>
      </c>
      <c r="K13274" s="1" t="str">
        <f>"2026-07-29 13:18:12"</f>
        <v>2026-07-29 13:18:12</v>
      </c>
      <c r="L13274" s="1" t="str">
        <f>"2021-06-10 15:32:35"</f>
        <v>2021-06-10 15:32:35</v>
      </c>
      <c r="M13274" s="1" t="s">
        <v>3</v>
      </c>
      <c r="N13274" s="1" t="s">
        <v>38</v>
      </c>
      <c r="O13274" s="1" t="s">
        <v>46</v>
      </c>
    </row>
    <row r="13275" spans="2:15" x14ac:dyDescent="0.3">
      <c r="B13275" s="1" t="s">
        <v>20</v>
      </c>
      <c r="C13275" s="1" t="str">
        <f>"5-1차"</f>
        <v>5-1차</v>
      </c>
      <c r="D13275" s="1" t="str">
        <f>"9825P9015M"</f>
        <v>9825P9015M</v>
      </c>
      <c r="E13275" s="1" t="s">
        <v>10</v>
      </c>
      <c r="F13275" s="1" t="str">
        <f>"fde2:104:0:ad:0:0:0:2"</f>
        <v>fde2:104:0:ad:0:0:0:2</v>
      </c>
      <c r="G13275" s="1" t="str">
        <f>"9825P901"</f>
        <v>9825P901</v>
      </c>
      <c r="H13275" s="1" t="str">
        <f>"동도지 22R2"</f>
        <v>동도지 22R2</v>
      </c>
      <c r="I13275" s="1" t="s">
        <v>15</v>
      </c>
      <c r="J13275" s="1" t="str">
        <f>"53/53"</f>
        <v>53/53</v>
      </c>
      <c r="K13275" s="1" t="str">
        <f>"2026-07-29 14:21:38"</f>
        <v>2026-07-29 14:21:38</v>
      </c>
      <c r="L13275" s="1" t="str">
        <f>"2022-09-28 11:02:31"</f>
        <v>2022-09-28 11:02:31</v>
      </c>
      <c r="M13275" s="1" t="s">
        <v>42</v>
      </c>
      <c r="N13275" s="1" t="s">
        <v>38</v>
      </c>
      <c r="O13275" s="1" t="s">
        <v>46</v>
      </c>
    </row>
    <row r="13276" spans="2:15" x14ac:dyDescent="0.3">
      <c r="B13276" s="1" t="s">
        <v>20</v>
      </c>
      <c r="C13276" s="1" t="str">
        <f>"5-2차"</f>
        <v>5-2차</v>
      </c>
      <c r="D13276" s="1" t="str">
        <f>"9825P9115M"</f>
        <v>9825P9115M</v>
      </c>
      <c r="E13276" s="1" t="s">
        <v>10</v>
      </c>
      <c r="F13276" s="1" t="str">
        <f>"fde1:103:4:57e7:0:0:0:2"</f>
        <v>fde1:103:4:57e7:0:0:0:2</v>
      </c>
      <c r="G13276" s="1" t="str">
        <f>"9825P911"</f>
        <v>9825P911</v>
      </c>
      <c r="H13276" s="1" t="str">
        <f>"동도지 22R1"</f>
        <v>동도지 22R1</v>
      </c>
      <c r="I13276" s="1" t="s">
        <v>15</v>
      </c>
      <c r="J13276" s="1" t="str">
        <f>"60/68"</f>
        <v>60/68</v>
      </c>
      <c r="K13276" s="1" t="str">
        <f>"2026-07-29 14:21:36"</f>
        <v>2026-07-29 14:21:36</v>
      </c>
      <c r="L13276" s="1" t="str">
        <f>"2023-09-04 10:07:57"</f>
        <v>2023-09-04 10:07:57</v>
      </c>
      <c r="M13276" s="1" t="s">
        <v>4</v>
      </c>
      <c r="N13276" s="1" t="s">
        <v>38</v>
      </c>
      <c r="O13276" s="1" t="s">
        <v>46</v>
      </c>
    </row>
    <row r="13277" spans="2:15" x14ac:dyDescent="0.3">
      <c r="B13277" s="1" t="s">
        <v>20</v>
      </c>
      <c r="C13277" s="1" t="str">
        <f t="shared" ref="C13277:C13283" si="674">"4차"</f>
        <v>4차</v>
      </c>
      <c r="D13277" s="1" t="str">
        <f>"9825P92344"</f>
        <v>9825P92344</v>
      </c>
      <c r="E13277" s="1" t="s">
        <v>10</v>
      </c>
      <c r="F13277" s="1" t="str">
        <f>"10.12.138.44"</f>
        <v>10.12.138.44</v>
      </c>
      <c r="G13277" s="1" t="str">
        <f>"9825P923"</f>
        <v>9825P923</v>
      </c>
      <c r="H13277" s="1" t="str">
        <f>"동도지 24"</f>
        <v>동도지 24</v>
      </c>
      <c r="I13277" s="1" t="s">
        <v>8</v>
      </c>
      <c r="J13277" s="1" t="str">
        <f>"34/36"</f>
        <v>34/36</v>
      </c>
      <c r="K13277" s="1" t="str">
        <f>"2026-07-29 13:18:12"</f>
        <v>2026-07-29 13:18:12</v>
      </c>
      <c r="L13277" s="1" t="str">
        <f>"2019-11-21 11:20:20"</f>
        <v>2019-11-21 11:20:20</v>
      </c>
      <c r="M13277" s="1" t="s">
        <v>0</v>
      </c>
      <c r="N13277" s="1" t="s">
        <v>38</v>
      </c>
      <c r="O13277" s="1" t="s">
        <v>46</v>
      </c>
    </row>
    <row r="13278" spans="2:15" x14ac:dyDescent="0.3">
      <c r="B13278" s="1" t="s">
        <v>20</v>
      </c>
      <c r="C13278" s="1" t="str">
        <f t="shared" si="674"/>
        <v>4차</v>
      </c>
      <c r="D13278" s="1" t="str">
        <f>"9825P99145"</f>
        <v>9825P99145</v>
      </c>
      <c r="E13278" s="1" t="s">
        <v>10</v>
      </c>
      <c r="F13278" s="1" t="str">
        <f>"10.14.10.16"</f>
        <v>10.14.10.16</v>
      </c>
      <c r="G13278" s="1" t="str">
        <f>"9825P991"</f>
        <v>9825P991</v>
      </c>
      <c r="H13278" s="1" t="str">
        <f>"염리로 6"</f>
        <v>염리로 6</v>
      </c>
      <c r="I13278" s="1" t="s">
        <v>17</v>
      </c>
      <c r="J13278" s="1" t="str">
        <f>"40/52"</f>
        <v>40/52</v>
      </c>
      <c r="K13278" s="1" t="str">
        <f>"2026-07-29 13:18:12"</f>
        <v>2026-07-29 13:18:12</v>
      </c>
      <c r="L13278" s="1" t="str">
        <f>"2021-06-10 16:14:18"</f>
        <v>2021-06-10 16:14:18</v>
      </c>
      <c r="M13278" s="1" t="s">
        <v>3</v>
      </c>
      <c r="N13278" s="1" t="s">
        <v>38</v>
      </c>
      <c r="O13278" s="1" t="s">
        <v>46</v>
      </c>
    </row>
    <row r="13279" spans="2:15" x14ac:dyDescent="0.3">
      <c r="B13279" s="1" t="s">
        <v>20</v>
      </c>
      <c r="C13279" s="1" t="str">
        <f t="shared" si="674"/>
        <v>4차</v>
      </c>
      <c r="D13279" s="1" t="str">
        <f>"9825Q43744"</f>
        <v>9825Q43744</v>
      </c>
      <c r="E13279" s="1" t="s">
        <v>10</v>
      </c>
      <c r="F13279" s="1" t="str">
        <f>"10.14.12.189"</f>
        <v>10.14.12.189</v>
      </c>
      <c r="G13279" s="1" t="str">
        <f>"9825Q437"</f>
        <v>9825Q437</v>
      </c>
      <c r="H13279" s="1" t="str">
        <f>"동도지 32"</f>
        <v>동도지 32</v>
      </c>
      <c r="I13279" s="1" t="s">
        <v>8</v>
      </c>
      <c r="J13279" s="1" t="str">
        <f>"21/24"</f>
        <v>21/24</v>
      </c>
      <c r="K13279" s="1" t="str">
        <f>"2026-07-29 13:18:13"</f>
        <v>2026-07-29 13:18:13</v>
      </c>
      <c r="L13279" s="1" t="str">
        <f>"2019-11-21 11:57:58"</f>
        <v>2019-11-21 11:57:58</v>
      </c>
      <c r="M13279" s="1" t="s">
        <v>3</v>
      </c>
      <c r="N13279" s="1" t="s">
        <v>38</v>
      </c>
      <c r="O13279" s="1" t="s">
        <v>46</v>
      </c>
    </row>
    <row r="13280" spans="2:15" x14ac:dyDescent="0.3">
      <c r="B13280" s="1" t="s">
        <v>20</v>
      </c>
      <c r="C13280" s="1" t="str">
        <f t="shared" si="674"/>
        <v>4차</v>
      </c>
      <c r="D13280" s="1" t="str">
        <f>"9825Q52144"</f>
        <v>9825Q52144</v>
      </c>
      <c r="E13280" s="1" t="s">
        <v>10</v>
      </c>
      <c r="F13280" s="1" t="str">
        <f>"10.14.8.17"</f>
        <v>10.14.8.17</v>
      </c>
      <c r="G13280" s="1" t="str">
        <f>"9825Q521"</f>
        <v>9825Q521</v>
      </c>
      <c r="H13280" s="1" t="str">
        <f>"동도지 34"</f>
        <v>동도지 34</v>
      </c>
      <c r="I13280" s="1" t="s">
        <v>8</v>
      </c>
      <c r="J13280" s="1" t="str">
        <f>"14/14"</f>
        <v>14/14</v>
      </c>
      <c r="K13280" s="1" t="str">
        <f>"2026-07-29 13:18:12"</f>
        <v>2026-07-29 13:18:12</v>
      </c>
      <c r="L13280" s="1" t="str">
        <f>"2019-11-21 12:45:01"</f>
        <v>2019-11-21 12:45:01</v>
      </c>
      <c r="M13280" s="1" t="s">
        <v>3</v>
      </c>
      <c r="N13280" s="1" t="s">
        <v>38</v>
      </c>
      <c r="O13280" s="1" t="s">
        <v>46</v>
      </c>
    </row>
    <row r="13281" spans="2:15" x14ac:dyDescent="0.3">
      <c r="B13281" s="1" t="s">
        <v>20</v>
      </c>
      <c r="C13281" s="1" t="str">
        <f t="shared" si="674"/>
        <v>4차</v>
      </c>
      <c r="D13281" s="1" t="str">
        <f>"9825Q61444"</f>
        <v>9825Q61444</v>
      </c>
      <c r="E13281" s="1" t="s">
        <v>10</v>
      </c>
      <c r="F13281" s="1" t="str">
        <f>"10.12.138.37"</f>
        <v>10.12.138.37</v>
      </c>
      <c r="G13281" s="1" t="str">
        <f>"9825Q614"</f>
        <v>9825Q614</v>
      </c>
      <c r="H13281" s="1" t="str">
        <f>"동도지 37"</f>
        <v>동도지 37</v>
      </c>
      <c r="I13281" s="1" t="s">
        <v>8</v>
      </c>
      <c r="J13281" s="1" t="str">
        <f>"20/20"</f>
        <v>20/20</v>
      </c>
      <c r="K13281" s="1" t="str">
        <f>"2026-07-29 13:18:12"</f>
        <v>2026-07-29 13:18:12</v>
      </c>
      <c r="L13281" s="1" t="str">
        <f>"2019-11-21 12:57:50"</f>
        <v>2019-11-21 12:57:50</v>
      </c>
      <c r="M13281" s="1" t="s">
        <v>0</v>
      </c>
      <c r="N13281" s="1" t="s">
        <v>38</v>
      </c>
      <c r="O13281" s="1" t="s">
        <v>46</v>
      </c>
    </row>
    <row r="13282" spans="2:15" x14ac:dyDescent="0.3">
      <c r="B13282" s="1" t="s">
        <v>20</v>
      </c>
      <c r="C13282" s="1" t="str">
        <f t="shared" si="674"/>
        <v>4차</v>
      </c>
      <c r="D13282" s="1" t="str">
        <f>"9825Q85341"</f>
        <v>9825Q85341</v>
      </c>
      <c r="E13282" s="1" t="s">
        <v>10</v>
      </c>
      <c r="F13282" s="1" t="str">
        <f>"10.14.5.178"</f>
        <v>10.14.5.178</v>
      </c>
      <c r="G13282" s="1" t="str">
        <f>"9825Q853"</f>
        <v>9825Q853</v>
      </c>
      <c r="H13282" s="1" t="str">
        <f>"숭문간 75"</f>
        <v>숭문간 75</v>
      </c>
      <c r="I13282" s="1" t="s">
        <v>17</v>
      </c>
      <c r="J13282" s="1" t="str">
        <f>"8/8"</f>
        <v>8/8</v>
      </c>
      <c r="K13282" s="1" t="str">
        <f>"2026-07-29 13:18:13"</f>
        <v>2026-07-29 13:18:13</v>
      </c>
      <c r="L13282" s="1" t="str">
        <f>"2021-10-26 10:04:25"</f>
        <v>2021-10-26 10:04:25</v>
      </c>
      <c r="M13282" s="1" t="s">
        <v>3</v>
      </c>
      <c r="N13282" s="1" t="s">
        <v>38</v>
      </c>
      <c r="O13282" s="1" t="s">
        <v>46</v>
      </c>
    </row>
    <row r="13283" spans="2:15" x14ac:dyDescent="0.3">
      <c r="B13283" s="1" t="s">
        <v>20</v>
      </c>
      <c r="C13283" s="1" t="str">
        <f t="shared" si="674"/>
        <v>4차</v>
      </c>
      <c r="D13283" s="1" t="str">
        <f>"9825R01141"</f>
        <v>9825R01141</v>
      </c>
      <c r="E13283" s="1" t="s">
        <v>10</v>
      </c>
      <c r="F13283" s="1" t="str">
        <f>"10.12.136.57"</f>
        <v>10.12.136.57</v>
      </c>
      <c r="G13283" s="1" t="str">
        <f>"9825R011"</f>
        <v>9825R011</v>
      </c>
      <c r="H13283" s="1" t="str">
        <f>"염리지 13L2"</f>
        <v>염리지 13L2</v>
      </c>
      <c r="I13283" s="1" t="s">
        <v>17</v>
      </c>
      <c r="J13283" s="1" t="str">
        <f>"18/22"</f>
        <v>18/22</v>
      </c>
      <c r="K13283" s="1" t="str">
        <f>"2026-07-29 13:18:10"</f>
        <v>2026-07-29 13:18:10</v>
      </c>
      <c r="L13283" s="1" t="str">
        <f>"2021-08-09 13:41:24"</f>
        <v>2021-08-09 13:41:24</v>
      </c>
      <c r="M13283" s="1" t="s">
        <v>0</v>
      </c>
      <c r="N13283" s="1" t="s">
        <v>38</v>
      </c>
      <c r="O13283" s="1" t="s">
        <v>46</v>
      </c>
    </row>
    <row r="13284" spans="2:15" x14ac:dyDescent="0.3">
      <c r="B13284" s="1" t="s">
        <v>20</v>
      </c>
      <c r="C13284" s="1" t="str">
        <f>"3차"</f>
        <v>3차</v>
      </c>
      <c r="D13284" s="1" t="str">
        <f>"9825R01239"</f>
        <v>9825R01239</v>
      </c>
      <c r="E13284" s="1" t="s">
        <v>10</v>
      </c>
      <c r="F13284" s="1" t="str">
        <f>"10.14.8.15"</f>
        <v>10.14.8.15</v>
      </c>
      <c r="G13284" s="1" t="str">
        <f>"9825R012"</f>
        <v>9825R012</v>
      </c>
      <c r="H13284" s="1" t="str">
        <f>"염리지 13L3H1"</f>
        <v>염리지 13L3H1</v>
      </c>
      <c r="I13284" s="1" t="s">
        <v>8</v>
      </c>
      <c r="J13284" s="1" t="str">
        <f>"2/2"</f>
        <v>2/2</v>
      </c>
      <c r="K13284" s="1" t="str">
        <f>"2026-07-29 13:18:12"</f>
        <v>2026-07-29 13:18:12</v>
      </c>
      <c r="L13284" s="1" t="str">
        <f>"2021-08-13 18:13:13"</f>
        <v>2021-08-13 18:13:13</v>
      </c>
      <c r="M13284" s="1" t="s">
        <v>3</v>
      </c>
      <c r="N13284" s="1" t="s">
        <v>38</v>
      </c>
      <c r="O13284" s="1" t="s">
        <v>46</v>
      </c>
    </row>
    <row r="13285" spans="2:15" x14ac:dyDescent="0.3">
      <c r="B13285" s="1" t="s">
        <v>20</v>
      </c>
      <c r="C13285" s="1" t="str">
        <f>"3차"</f>
        <v>3차</v>
      </c>
      <c r="D13285" s="1" t="str">
        <f>"9825R02339"</f>
        <v>9825R02339</v>
      </c>
      <c r="E13285" s="1" t="s">
        <v>10</v>
      </c>
      <c r="F13285" s="1" t="str">
        <f>"10.12.129.113"</f>
        <v>10.12.129.113</v>
      </c>
      <c r="G13285" s="1" t="str">
        <f>"9825R023"</f>
        <v>9825R023</v>
      </c>
      <c r="H13285" s="1" t="str">
        <f>"염리지 13L4"</f>
        <v>염리지 13L4</v>
      </c>
      <c r="I13285" s="1" t="s">
        <v>8</v>
      </c>
      <c r="J13285" s="1" t="str">
        <f>"24/24"</f>
        <v>24/24</v>
      </c>
      <c r="K13285" s="1" t="str">
        <f>"2026-07-29 13:18:13"</f>
        <v>2026-07-29 13:18:13</v>
      </c>
      <c r="L13285" s="1" t="str">
        <f>"2018-04-20 14:12:46"</f>
        <v>2018-04-20 14:12:46</v>
      </c>
      <c r="M13285" s="1" t="s">
        <v>0</v>
      </c>
      <c r="N13285" s="1" t="s">
        <v>38</v>
      </c>
      <c r="O13285" s="1" t="s">
        <v>46</v>
      </c>
    </row>
    <row r="13286" spans="2:15" x14ac:dyDescent="0.3">
      <c r="B13286" s="1" t="s">
        <v>20</v>
      </c>
      <c r="C13286" s="1" t="str">
        <f>"3차"</f>
        <v>3차</v>
      </c>
      <c r="D13286" s="1" t="str">
        <f>"9825R03239"</f>
        <v>9825R03239</v>
      </c>
      <c r="E13286" s="1" t="s">
        <v>10</v>
      </c>
      <c r="F13286" s="1" t="str">
        <f>"10.125.195.218"</f>
        <v>10.125.195.218</v>
      </c>
      <c r="G13286" s="1" t="str">
        <f>"9825R032"</f>
        <v>9825R032</v>
      </c>
      <c r="H13286" s="1" t="str">
        <f>"염리지 13L5"</f>
        <v>염리지 13L5</v>
      </c>
      <c r="I13286" s="1" t="s">
        <v>8</v>
      </c>
      <c r="J13286" s="1" t="str">
        <f>"16/17"</f>
        <v>16/17</v>
      </c>
      <c r="K13286" s="1" t="str">
        <f>"2026-07-29 13:18:12"</f>
        <v>2026-07-29 13:18:12</v>
      </c>
      <c r="L13286" s="1" t="str">
        <f>"2018-04-20 15:14:16"</f>
        <v>2018-04-20 15:14:16</v>
      </c>
      <c r="M13286" s="1" t="s">
        <v>45</v>
      </c>
      <c r="N13286" s="1" t="s">
        <v>38</v>
      </c>
      <c r="O13286" s="1" t="s">
        <v>46</v>
      </c>
    </row>
    <row r="13287" spans="2:15" x14ac:dyDescent="0.3">
      <c r="B13287" s="1" t="s">
        <v>20</v>
      </c>
      <c r="C13287" s="1" t="str">
        <f>"5-1차"</f>
        <v>5-1차</v>
      </c>
      <c r="D13287" s="1" t="str">
        <f>"9825R0815M"</f>
        <v>9825R0815M</v>
      </c>
      <c r="E13287" s="1" t="s">
        <v>10</v>
      </c>
      <c r="F13287" s="1" t="str">
        <f>"fde3:102:1300:4900:0:0:0:2"</f>
        <v>fde3:102:1300:4900:0:0:0:2</v>
      </c>
      <c r="G13287" s="1" t="str">
        <f>"9825R081"</f>
        <v>9825R081</v>
      </c>
      <c r="H13287" s="1" t="str">
        <f>"노고산간 1R7L1"</f>
        <v>노고산간 1R7L1</v>
      </c>
      <c r="I13287" s="1" t="s">
        <v>15</v>
      </c>
      <c r="J13287" s="1" t="str">
        <f>"65/65"</f>
        <v>65/65</v>
      </c>
      <c r="K13287" s="1" t="str">
        <f>"2026-07-29 14:21:37"</f>
        <v>2026-07-29 14:21:37</v>
      </c>
      <c r="L13287" s="1" t="str">
        <f>"2022-12-01 17:52:28"</f>
        <v>2022-12-01 17:52:28</v>
      </c>
      <c r="M13287" s="1" t="s">
        <v>45</v>
      </c>
      <c r="N13287" s="1" t="s">
        <v>38</v>
      </c>
      <c r="O13287" s="1" t="s">
        <v>46</v>
      </c>
    </row>
    <row r="13288" spans="2:15" x14ac:dyDescent="0.3">
      <c r="B13288" s="1" t="s">
        <v>20</v>
      </c>
      <c r="C13288" s="1" t="str">
        <f>"5-1차"</f>
        <v>5-1차</v>
      </c>
      <c r="D13288" s="1" t="str">
        <f>"9825R2715M"</f>
        <v>9825R2715M</v>
      </c>
      <c r="E13288" s="1" t="s">
        <v>10</v>
      </c>
      <c r="F13288" s="1" t="str">
        <f>"fde2:104:0:b1:0:0:0:2"</f>
        <v>fde2:104:0:b1:0:0:0:2</v>
      </c>
      <c r="G13288" s="1" t="str">
        <f>"9825R271"</f>
        <v>9825R271</v>
      </c>
      <c r="H13288" s="1" t="str">
        <f>"동도지 6"</f>
        <v>동도지 6</v>
      </c>
      <c r="I13288" s="1" t="s">
        <v>15</v>
      </c>
      <c r="J13288" s="1" t="str">
        <f>"48/48"</f>
        <v>48/48</v>
      </c>
      <c r="K13288" s="1" t="str">
        <f>"2026-07-29 14:21:39"</f>
        <v>2026-07-29 14:21:39</v>
      </c>
      <c r="L13288" s="1" t="str">
        <f>"2022-09-28 11:02:58"</f>
        <v>2022-09-28 11:02:58</v>
      </c>
      <c r="M13288" s="1" t="s">
        <v>42</v>
      </c>
      <c r="N13288" s="1" t="s">
        <v>38</v>
      </c>
      <c r="O13288" s="1" t="s">
        <v>46</v>
      </c>
    </row>
    <row r="13289" spans="2:15" x14ac:dyDescent="0.3">
      <c r="B13289" s="1" t="s">
        <v>20</v>
      </c>
      <c r="C13289" s="1" t="str">
        <f>"5-1차"</f>
        <v>5-1차</v>
      </c>
      <c r="D13289" s="1" t="str">
        <f>"9825R2725M"</f>
        <v>9825R2725M</v>
      </c>
      <c r="E13289" s="1" t="s">
        <v>10</v>
      </c>
      <c r="F13289" s="1" t="str">
        <f>"fde2:104:0:b5:0:0:0:2"</f>
        <v>fde2:104:0:b5:0:0:0:2</v>
      </c>
      <c r="G13289" s="1" t="str">
        <f>"9825R272"</f>
        <v>9825R272</v>
      </c>
      <c r="H13289" s="1" t="str">
        <f>"동도지 3"</f>
        <v>동도지 3</v>
      </c>
      <c r="I13289" s="1" t="s">
        <v>15</v>
      </c>
      <c r="J13289" s="1" t="str">
        <f>"47/47"</f>
        <v>47/47</v>
      </c>
      <c r="K13289" s="1" t="str">
        <f>"2026-07-29 14:21:47"</f>
        <v>2026-07-29 14:21:47</v>
      </c>
      <c r="L13289" s="1" t="str">
        <f>"2022-09-30 21:02:25"</f>
        <v>2022-09-30 21:02:25</v>
      </c>
      <c r="M13289" s="1" t="s">
        <v>42</v>
      </c>
      <c r="N13289" s="1" t="s">
        <v>38</v>
      </c>
      <c r="O13289" s="1" t="s">
        <v>46</v>
      </c>
    </row>
    <row r="13290" spans="2:15" x14ac:dyDescent="0.3">
      <c r="B13290" s="1" t="s">
        <v>20</v>
      </c>
      <c r="C13290" s="1" t="str">
        <f>"1차"</f>
        <v>1차</v>
      </c>
      <c r="D13290" s="1" t="str">
        <f>"9825R29100"</f>
        <v>9825R29100</v>
      </c>
      <c r="E13290" s="1" t="s">
        <v>10</v>
      </c>
      <c r="F13290" s="1" t="str">
        <f>"10.125.129.105"</f>
        <v>10.125.129.105</v>
      </c>
      <c r="G13290" s="1" t="str">
        <f>"9825R291"</f>
        <v>9825R291</v>
      </c>
      <c r="H13290" s="1" t="str">
        <f>"동도지 1"</f>
        <v>동도지 1</v>
      </c>
      <c r="I13290" s="1" t="s">
        <v>8</v>
      </c>
      <c r="J13290" s="1" t="str">
        <f>"21/21"</f>
        <v>21/21</v>
      </c>
      <c r="K13290" s="1" t="str">
        <f>"2026-07-29 13:18:12"</f>
        <v>2026-07-29 13:18:12</v>
      </c>
      <c r="L13290" s="1" t="str">
        <f>"2014-11-11 14:08:13"</f>
        <v>2014-11-11 14:08:13</v>
      </c>
      <c r="M13290" s="1" t="s">
        <v>45</v>
      </c>
      <c r="N13290" s="1" t="s">
        <v>38</v>
      </c>
      <c r="O13290" s="1" t="s">
        <v>46</v>
      </c>
    </row>
    <row r="13291" spans="2:15" x14ac:dyDescent="0.3">
      <c r="B13291" s="1" t="s">
        <v>20</v>
      </c>
      <c r="C13291" s="1" t="str">
        <f>"6차"</f>
        <v>6차</v>
      </c>
      <c r="D13291" s="1" t="str">
        <f>"9825R2926S"</f>
        <v>9825R2926S</v>
      </c>
      <c r="E13291" s="1" t="s">
        <v>10</v>
      </c>
      <c r="F13291" s="1" t="str">
        <f>"fde1:103:4:9239:0:0:0:2"</f>
        <v>fde1:103:4:9239:0:0:0:2</v>
      </c>
      <c r="G13291" s="1" t="str">
        <f>"9825R292"</f>
        <v>9825R292</v>
      </c>
      <c r="H13291" s="1" t="str">
        <f>"숭문간 2"</f>
        <v>숭문간 2</v>
      </c>
      <c r="I13291" s="1" t="s">
        <v>15</v>
      </c>
      <c r="J13291" s="1" t="str">
        <f>"21/22"</f>
        <v>21/22</v>
      </c>
      <c r="K13291" s="1" t="str">
        <f>"2026-07-29 08:21:26"</f>
        <v>2026-07-29 08:21:26</v>
      </c>
      <c r="L13291" s="1" t="str">
        <f>"2025-02-18 15:55:29"</f>
        <v>2025-02-18 15:55:29</v>
      </c>
      <c r="M13291" s="1" t="s">
        <v>4</v>
      </c>
      <c r="N13291" s="1" t="s">
        <v>38</v>
      </c>
      <c r="O13291" s="1" t="s">
        <v>46</v>
      </c>
    </row>
    <row r="13292" spans="2:15" x14ac:dyDescent="0.3">
      <c r="B13292" s="1" t="s">
        <v>20</v>
      </c>
      <c r="C13292" s="1" t="str">
        <f>"6차"</f>
        <v>6차</v>
      </c>
      <c r="D13292" s="1" t="str">
        <f>"9825R3916M"</f>
        <v>9825R3916M</v>
      </c>
      <c r="E13292" s="1" t="s">
        <v>10</v>
      </c>
      <c r="F13292" s="1" t="str">
        <f>"fde1:103:4:c756:0:0:0:2"</f>
        <v>fde1:103:4:c756:0:0:0:2</v>
      </c>
      <c r="G13292" s="1" t="str">
        <f>"9825R391"</f>
        <v>9825R391</v>
      </c>
      <c r="H13292" s="1" t="str">
        <f>"숭문간 2R2"</f>
        <v>숭문간 2R2</v>
      </c>
      <c r="I13292" s="1" t="s">
        <v>15</v>
      </c>
      <c r="J13292" s="1" t="str">
        <f>"26/32"</f>
        <v>26/32</v>
      </c>
      <c r="K13292" s="1" t="str">
        <f>"2026-07-29 14:21:38"</f>
        <v>2026-07-29 14:21:38</v>
      </c>
      <c r="L13292" s="1" t="str">
        <f>"2024-11-25 10:52:42"</f>
        <v>2024-11-25 10:52:42</v>
      </c>
      <c r="M13292" s="1" t="s">
        <v>4</v>
      </c>
      <c r="N13292" s="1" t="s">
        <v>38</v>
      </c>
      <c r="O13292" s="1" t="s">
        <v>46</v>
      </c>
    </row>
    <row r="13293" spans="2:15" x14ac:dyDescent="0.3">
      <c r="B13293" s="1" t="s">
        <v>20</v>
      </c>
      <c r="C13293" s="1" t="str">
        <f t="shared" ref="C13293:C13299" si="675">"4차"</f>
        <v>4차</v>
      </c>
      <c r="D13293" s="1" t="str">
        <f>"9825S38141"</f>
        <v>9825S38141</v>
      </c>
      <c r="E13293" s="1" t="s">
        <v>10</v>
      </c>
      <c r="F13293" s="1" t="str">
        <f>"10.12.133.87"</f>
        <v>10.12.133.87</v>
      </c>
      <c r="G13293" s="1" t="str">
        <f>"9825S381"</f>
        <v>9825S381</v>
      </c>
      <c r="H13293" s="1" t="str">
        <f>"동도지 26R8"</f>
        <v>동도지 26R8</v>
      </c>
      <c r="I13293" s="1" t="s">
        <v>17</v>
      </c>
      <c r="J13293" s="1" t="str">
        <f>"5/11"</f>
        <v>5/11</v>
      </c>
      <c r="K13293" s="1" t="str">
        <f>"2026-07-29 13:18:13"</f>
        <v>2026-07-29 13:18:13</v>
      </c>
      <c r="L13293" s="1" t="str">
        <f>"2021-08-11 10:45:24"</f>
        <v>2021-08-11 10:45:24</v>
      </c>
      <c r="M13293" s="1" t="s">
        <v>0</v>
      </c>
      <c r="N13293" s="1" t="s">
        <v>38</v>
      </c>
      <c r="O13293" s="1" t="s">
        <v>46</v>
      </c>
    </row>
    <row r="13294" spans="2:15" x14ac:dyDescent="0.3">
      <c r="B13294" s="1" t="s">
        <v>20</v>
      </c>
      <c r="C13294" s="1" t="str">
        <f t="shared" si="675"/>
        <v>4차</v>
      </c>
      <c r="D13294" s="1" t="str">
        <f>"9825S43244"</f>
        <v>9825S43244</v>
      </c>
      <c r="E13294" s="1" t="s">
        <v>10</v>
      </c>
      <c r="F13294" s="1" t="str">
        <f>"10.10.109.114"</f>
        <v>10.10.109.114</v>
      </c>
      <c r="G13294" s="1" t="str">
        <f>"9825S432"</f>
        <v>9825S432</v>
      </c>
      <c r="H13294" s="1" t="str">
        <f>"신마간 1R9L2R11"</f>
        <v>신마간 1R9L2R11</v>
      </c>
      <c r="I13294" s="1" t="s">
        <v>8</v>
      </c>
      <c r="J13294" s="1" t="str">
        <f>"8/9"</f>
        <v>8/9</v>
      </c>
      <c r="K13294" s="1" t="str">
        <f>"2026-07-29 13:18:12"</f>
        <v>2026-07-29 13:18:12</v>
      </c>
      <c r="L13294" s="1" t="str">
        <f>"2021-07-28 16:26:15"</f>
        <v>2021-07-28 16:26:15</v>
      </c>
      <c r="M13294" s="1" t="s">
        <v>1</v>
      </c>
      <c r="N13294" s="1" t="s">
        <v>38</v>
      </c>
      <c r="O13294" s="1" t="s">
        <v>46</v>
      </c>
    </row>
    <row r="13295" spans="2:15" x14ac:dyDescent="0.3">
      <c r="B13295" s="1" t="s">
        <v>20</v>
      </c>
      <c r="C13295" s="1" t="str">
        <f t="shared" si="675"/>
        <v>4차</v>
      </c>
      <c r="D13295" s="1" t="str">
        <f>"9825S74244"</f>
        <v>9825S74244</v>
      </c>
      <c r="E13295" s="1" t="s">
        <v>10</v>
      </c>
      <c r="F13295" s="1" t="str">
        <f>"10.12.137.250"</f>
        <v>10.12.137.250</v>
      </c>
      <c r="G13295" s="1" t="str">
        <f>"9825S742"</f>
        <v>9825S742</v>
      </c>
      <c r="H13295" s="1" t="str">
        <f>"신마간 1R9L2R4"</f>
        <v>신마간 1R9L2R4</v>
      </c>
      <c r="I13295" s="1" t="s">
        <v>8</v>
      </c>
      <c r="J13295" s="1" t="str">
        <f>"33/37"</f>
        <v>33/37</v>
      </c>
      <c r="K13295" s="1" t="str">
        <f>"2026-07-29 13:18:02"</f>
        <v>2026-07-29 13:18:02</v>
      </c>
      <c r="L13295" s="1" t="str">
        <f>"2020-01-15 09:55:45"</f>
        <v>2020-01-15 09:55:45</v>
      </c>
      <c r="M13295" s="1" t="s">
        <v>0</v>
      </c>
      <c r="N13295" s="1" t="s">
        <v>38</v>
      </c>
      <c r="O13295" s="1" t="s">
        <v>46</v>
      </c>
    </row>
    <row r="13296" spans="2:15" x14ac:dyDescent="0.3">
      <c r="B13296" s="1" t="s">
        <v>20</v>
      </c>
      <c r="C13296" s="1" t="str">
        <f t="shared" si="675"/>
        <v>4차</v>
      </c>
      <c r="D13296" s="1" t="str">
        <f>"9825S76144"</f>
        <v>9825S76144</v>
      </c>
      <c r="E13296" s="1" t="s">
        <v>10</v>
      </c>
      <c r="F13296" s="1" t="str">
        <f>"10.10.83.178"</f>
        <v>10.10.83.178</v>
      </c>
      <c r="G13296" s="1" t="str">
        <f>"9825S761"</f>
        <v>9825S761</v>
      </c>
      <c r="H13296" s="1" t="str">
        <f>"신마간 1R9"</f>
        <v>신마간 1R9</v>
      </c>
      <c r="I13296" s="1" t="s">
        <v>8</v>
      </c>
      <c r="J13296" s="1" t="str">
        <f>"1/1"</f>
        <v>1/1</v>
      </c>
      <c r="K13296" s="1" t="str">
        <f>"2026-07-29 13:18:12"</f>
        <v>2026-07-29 13:18:12</v>
      </c>
      <c r="L13296" s="1" t="str">
        <f>"2020-01-18 14:16:54"</f>
        <v>2020-01-18 14:16:54</v>
      </c>
      <c r="M13296" s="1" t="s">
        <v>1</v>
      </c>
      <c r="N13296" s="1" t="s">
        <v>38</v>
      </c>
      <c r="O13296" s="1" t="s">
        <v>46</v>
      </c>
    </row>
    <row r="13297" spans="2:15" x14ac:dyDescent="0.3">
      <c r="B13297" s="1" t="s">
        <v>20</v>
      </c>
      <c r="C13297" s="1" t="str">
        <f t="shared" si="675"/>
        <v>4차</v>
      </c>
      <c r="D13297" s="1" t="str">
        <f>"9825S86244"</f>
        <v>9825S86244</v>
      </c>
      <c r="E13297" s="1" t="s">
        <v>10</v>
      </c>
      <c r="F13297" s="1" t="str">
        <f>"10.10.83.114"</f>
        <v>10.10.83.114</v>
      </c>
      <c r="G13297" s="1" t="str">
        <f>"9825S862"</f>
        <v>9825S862</v>
      </c>
      <c r="H13297" s="1" t="str">
        <f>"신마간 1R7"</f>
        <v>신마간 1R7</v>
      </c>
      <c r="I13297" s="1" t="s">
        <v>8</v>
      </c>
      <c r="J13297" s="1" t="str">
        <f>"26/26"</f>
        <v>26/26</v>
      </c>
      <c r="K13297" s="1" t="str">
        <f>"2026-07-29 13:18:12"</f>
        <v>2026-07-29 13:18:12</v>
      </c>
      <c r="L13297" s="1" t="str">
        <f>"2020-01-18 14:16:53"</f>
        <v>2020-01-18 14:16:53</v>
      </c>
      <c r="M13297" s="1" t="s">
        <v>1</v>
      </c>
      <c r="N13297" s="1" t="s">
        <v>38</v>
      </c>
      <c r="O13297" s="1" t="s">
        <v>46</v>
      </c>
    </row>
    <row r="13298" spans="2:15" x14ac:dyDescent="0.3">
      <c r="B13298" s="1" t="s">
        <v>20</v>
      </c>
      <c r="C13298" s="1" t="str">
        <f t="shared" si="675"/>
        <v>4차</v>
      </c>
      <c r="D13298" s="1" t="str">
        <f>"9825S87144"</f>
        <v>9825S87144</v>
      </c>
      <c r="E13298" s="1" t="s">
        <v>10</v>
      </c>
      <c r="F13298" s="1" t="str">
        <f>"10.10.109.82"</f>
        <v>10.10.109.82</v>
      </c>
      <c r="G13298" s="1" t="str">
        <f>"9825S871"</f>
        <v>9825S871</v>
      </c>
      <c r="H13298" s="1" t="str">
        <f>"신마간 1R6"</f>
        <v>신마간 1R6</v>
      </c>
      <c r="I13298" s="1" t="s">
        <v>8</v>
      </c>
      <c r="J13298" s="1" t="str">
        <f>"6/6"</f>
        <v>6/6</v>
      </c>
      <c r="K13298" s="1" t="str">
        <f>"2026-07-29 13:18:12"</f>
        <v>2026-07-29 13:18:12</v>
      </c>
      <c r="L13298" s="1" t="str">
        <f>"2019-12-11 18:02:09"</f>
        <v>2019-12-11 18:02:09</v>
      </c>
      <c r="M13298" s="1" t="s">
        <v>1</v>
      </c>
      <c r="N13298" s="1" t="s">
        <v>38</v>
      </c>
      <c r="O13298" s="1" t="s">
        <v>46</v>
      </c>
    </row>
    <row r="13299" spans="2:15" x14ac:dyDescent="0.3">
      <c r="B13299" s="1" t="s">
        <v>20</v>
      </c>
      <c r="C13299" s="1" t="str">
        <f t="shared" si="675"/>
        <v>4차</v>
      </c>
      <c r="D13299" s="1" t="str">
        <f>"9825S87244"</f>
        <v>9825S87244</v>
      </c>
      <c r="E13299" s="1" t="s">
        <v>10</v>
      </c>
      <c r="F13299" s="1" t="str">
        <f>"10.10.83.242"</f>
        <v>10.10.83.242</v>
      </c>
      <c r="G13299" s="1" t="str">
        <f>"9825S872"</f>
        <v>9825S872</v>
      </c>
      <c r="H13299" s="1" t="str">
        <f>"신마간 1R9L5L2"</f>
        <v>신마간 1R9L5L2</v>
      </c>
      <c r="I13299" s="1" t="s">
        <v>8</v>
      </c>
      <c r="J13299" s="1" t="str">
        <f>"42/42"</f>
        <v>42/42</v>
      </c>
      <c r="K13299" s="1" t="str">
        <f>"2026-07-29 13:18:12"</f>
        <v>2026-07-29 13:18:12</v>
      </c>
      <c r="L13299" s="1" t="str">
        <f>"2019-12-11 18:11:26"</f>
        <v>2019-12-11 18:11:26</v>
      </c>
      <c r="M13299" s="1" t="s">
        <v>1</v>
      </c>
      <c r="N13299" s="1" t="s">
        <v>38</v>
      </c>
      <c r="O13299" s="1" t="s">
        <v>46</v>
      </c>
    </row>
    <row r="13300" spans="2:15" x14ac:dyDescent="0.3">
      <c r="B13300" s="1" t="s">
        <v>20</v>
      </c>
      <c r="C13300" s="1" t="str">
        <f>"5-2차"</f>
        <v>5-2차</v>
      </c>
      <c r="D13300" s="1" t="str">
        <f>"9825S8955M"</f>
        <v>9825S8955M</v>
      </c>
      <c r="E13300" s="1" t="s">
        <v>10</v>
      </c>
      <c r="F13300" s="1" t="str">
        <f>"fde1:103:4:55dc:0:0:0:2"</f>
        <v>fde1:103:4:55dc:0:0:0:2</v>
      </c>
      <c r="G13300" s="1" t="str">
        <f>"9825S895"</f>
        <v>9825S895</v>
      </c>
      <c r="H13300" s="1" t="str">
        <f>"신마간 1R4"</f>
        <v>신마간 1R4</v>
      </c>
      <c r="I13300" s="1" t="s">
        <v>15</v>
      </c>
      <c r="J13300" s="1" t="str">
        <f>"28/30"</f>
        <v>28/30</v>
      </c>
      <c r="K13300" s="1" t="str">
        <f>"2026-07-29 14:21:10"</f>
        <v>2026-07-29 14:21:10</v>
      </c>
      <c r="L13300" s="1" t="str">
        <f>"2023-09-04 10:27:42"</f>
        <v>2023-09-04 10:27:42</v>
      </c>
      <c r="M13300" s="1" t="s">
        <v>4</v>
      </c>
      <c r="N13300" s="1" t="s">
        <v>38</v>
      </c>
      <c r="O13300" s="1" t="s">
        <v>46</v>
      </c>
    </row>
    <row r="13301" spans="2:15" x14ac:dyDescent="0.3">
      <c r="B13301" s="1" t="s">
        <v>20</v>
      </c>
      <c r="C13301" s="1" t="str">
        <f>"4차"</f>
        <v>4차</v>
      </c>
      <c r="D13301" s="1" t="str">
        <f>"9825S94141"</f>
        <v>9825S94141</v>
      </c>
      <c r="E13301" s="1" t="s">
        <v>10</v>
      </c>
      <c r="F13301" s="1" t="str">
        <f>"10.14.13.114"</f>
        <v>10.14.13.114</v>
      </c>
      <c r="G13301" s="1" t="str">
        <f>"9825S941"</f>
        <v>9825S941</v>
      </c>
      <c r="H13301" s="1" t="str">
        <f>"신마간 11R5R11"</f>
        <v>신마간 11R5R11</v>
      </c>
      <c r="I13301" s="1" t="s">
        <v>17</v>
      </c>
      <c r="J13301" s="1" t="str">
        <f>"23/30"</f>
        <v>23/30</v>
      </c>
      <c r="K13301" s="1" t="str">
        <f>"2026-07-29 13:18:13"</f>
        <v>2026-07-29 13:18:13</v>
      </c>
      <c r="L13301" s="1" t="str">
        <f>"2021-08-10 10:51:23"</f>
        <v>2021-08-10 10:51:23</v>
      </c>
      <c r="M13301" s="1" t="s">
        <v>3</v>
      </c>
      <c r="N13301" s="1" t="s">
        <v>38</v>
      </c>
      <c r="O13301" s="1" t="s">
        <v>46</v>
      </c>
    </row>
    <row r="13302" spans="2:15" x14ac:dyDescent="0.3">
      <c r="B13302" s="1" t="s">
        <v>20</v>
      </c>
      <c r="C13302" s="1" t="str">
        <f>"4차"</f>
        <v>4차</v>
      </c>
      <c r="D13302" s="1" t="str">
        <f>"9825S95144"</f>
        <v>9825S95144</v>
      </c>
      <c r="E13302" s="1" t="s">
        <v>10</v>
      </c>
      <c r="F13302" s="1" t="str">
        <f>"10.10.87.242"</f>
        <v>10.10.87.242</v>
      </c>
      <c r="G13302" s="1" t="str">
        <f>"9825S951"</f>
        <v>9825S951</v>
      </c>
      <c r="H13302" s="1" t="str">
        <f>"신마간 1R9L2"</f>
        <v>신마간 1R9L2</v>
      </c>
      <c r="I13302" s="1" t="s">
        <v>8</v>
      </c>
      <c r="J13302" s="1" t="str">
        <f>"18/26"</f>
        <v>18/26</v>
      </c>
      <c r="K13302" s="1" t="str">
        <f>"2026-07-29 13:18:12"</f>
        <v>2026-07-29 13:18:12</v>
      </c>
      <c r="L13302" s="1" t="str">
        <f>"2020-01-10 17:20:59"</f>
        <v>2020-01-10 17:20:59</v>
      </c>
      <c r="M13302" s="1" t="s">
        <v>1</v>
      </c>
      <c r="N13302" s="1" t="s">
        <v>38</v>
      </c>
      <c r="O13302" s="1" t="s">
        <v>46</v>
      </c>
    </row>
    <row r="13303" spans="2:15" x14ac:dyDescent="0.3">
      <c r="B13303" s="1" t="s">
        <v>20</v>
      </c>
      <c r="C13303" s="1" t="str">
        <f>"5-2차"</f>
        <v>5-2차</v>
      </c>
      <c r="D13303" s="1" t="str">
        <f>"9825W0115M"</f>
        <v>9825W0115M</v>
      </c>
      <c r="E13303" s="1" t="s">
        <v>10</v>
      </c>
      <c r="F13303" s="1" t="str">
        <f>"fde1:103:4:5685:0:0:0:2"</f>
        <v>fde1:103:4:5685:0:0:0:2</v>
      </c>
      <c r="G13303" s="1" t="str">
        <f>"9825W011"</f>
        <v>9825W011</v>
      </c>
      <c r="H13303" s="1" t="str">
        <f>"신마간 7"</f>
        <v>신마간 7</v>
      </c>
      <c r="I13303" s="1" t="s">
        <v>15</v>
      </c>
      <c r="J13303" s="1" t="str">
        <f>"37/37"</f>
        <v>37/37</v>
      </c>
      <c r="K13303" s="1" t="str">
        <f>"2026-07-29 14:21:22"</f>
        <v>2026-07-29 14:21:22</v>
      </c>
      <c r="L13303" s="1" t="str">
        <f>"2023-09-04 10:28:59"</f>
        <v>2023-09-04 10:28:59</v>
      </c>
      <c r="M13303" s="1" t="s">
        <v>4</v>
      </c>
      <c r="N13303" s="1" t="s">
        <v>38</v>
      </c>
      <c r="O13303" s="1" t="s">
        <v>46</v>
      </c>
    </row>
    <row r="13304" spans="2:15" x14ac:dyDescent="0.3">
      <c r="B13304" s="1" t="s">
        <v>20</v>
      </c>
      <c r="C13304" s="1" t="str">
        <f>"5-1차"</f>
        <v>5-1차</v>
      </c>
      <c r="D13304" s="1" t="str">
        <f>"9825W2025M"</f>
        <v>9825W2025M</v>
      </c>
      <c r="E13304" s="1" t="s">
        <v>10</v>
      </c>
      <c r="F13304" s="1" t="str">
        <f>"fde2:104:0:9f:0:0:0:2"</f>
        <v>fde2:104:0:9f:0:0:0:2</v>
      </c>
      <c r="G13304" s="1" t="str">
        <f>"9825W202"</f>
        <v>9825W202</v>
      </c>
      <c r="H13304" s="1" t="str">
        <f>"신마간 11R1"</f>
        <v>신마간 11R1</v>
      </c>
      <c r="I13304" s="1" t="s">
        <v>15</v>
      </c>
      <c r="J13304" s="1" t="str">
        <f>"58/58"</f>
        <v>58/58</v>
      </c>
      <c r="K13304" s="1" t="str">
        <f>"2026-07-29 14:21:32"</f>
        <v>2026-07-29 14:21:32</v>
      </c>
      <c r="L13304" s="1" t="str">
        <f>"2022-09-28 11:02:51"</f>
        <v>2022-09-28 11:02:51</v>
      </c>
      <c r="M13304" s="1" t="s">
        <v>42</v>
      </c>
      <c r="N13304" s="1" t="s">
        <v>38</v>
      </c>
      <c r="O13304" s="1" t="s">
        <v>46</v>
      </c>
    </row>
    <row r="13305" spans="2:15" x14ac:dyDescent="0.3">
      <c r="B13305" s="1" t="s">
        <v>20</v>
      </c>
      <c r="C13305" s="1" t="str">
        <f>"6차"</f>
        <v>6차</v>
      </c>
      <c r="D13305" s="1" t="str">
        <f>"9825W3116M"</f>
        <v>9825W3116M</v>
      </c>
      <c r="E13305" s="1" t="s">
        <v>10</v>
      </c>
      <c r="F13305" s="1" t="str">
        <f>"fde1:103:4:c7e7:0:0:0:2"</f>
        <v>fde1:103:4:c7e7:0:0:0:2</v>
      </c>
      <c r="G13305" s="1" t="str">
        <f>"9825W311"</f>
        <v>9825W311</v>
      </c>
      <c r="H13305" s="1" t="str">
        <f>"신마간 13"</f>
        <v>신마간 13</v>
      </c>
      <c r="I13305" s="1" t="s">
        <v>15</v>
      </c>
      <c r="J13305" s="1" t="str">
        <f>"36/36"</f>
        <v>36/36</v>
      </c>
      <c r="K13305" s="1" t="str">
        <f>"2026-07-29 14:21:38"</f>
        <v>2026-07-29 14:21:38</v>
      </c>
      <c r="L13305" s="1" t="str">
        <f>"2024-11-25 10:53:23"</f>
        <v>2024-11-25 10:53:23</v>
      </c>
      <c r="M13305" s="1" t="s">
        <v>4</v>
      </c>
      <c r="N13305" s="1" t="s">
        <v>38</v>
      </c>
      <c r="O13305" s="1" t="s">
        <v>46</v>
      </c>
    </row>
    <row r="13306" spans="2:15" x14ac:dyDescent="0.3">
      <c r="B13306" s="1" t="s">
        <v>20</v>
      </c>
      <c r="C13306" s="1" t="str">
        <f>"6차"</f>
        <v>6차</v>
      </c>
      <c r="D13306" s="1" t="str">
        <f>"9825W3126M"</f>
        <v>9825W3126M</v>
      </c>
      <c r="E13306" s="1" t="s">
        <v>10</v>
      </c>
      <c r="F13306" s="1" t="str">
        <f>"fde1:103:4:c821:0:0:0:2"</f>
        <v>fde1:103:4:c821:0:0:0:2</v>
      </c>
      <c r="G13306" s="1" t="str">
        <f>"9825W312"</f>
        <v>9825W312</v>
      </c>
      <c r="H13306" s="1" t="str">
        <f>"신마간 13R1"</f>
        <v>신마간 13R1</v>
      </c>
      <c r="I13306" s="1" t="s">
        <v>15</v>
      </c>
      <c r="J13306" s="1" t="str">
        <f>"25/26"</f>
        <v>25/26</v>
      </c>
      <c r="K13306" s="1" t="str">
        <f>"2026-07-29 14:21:39"</f>
        <v>2026-07-29 14:21:39</v>
      </c>
      <c r="L13306" s="1" t="str">
        <f>"2024-11-25 10:54:03"</f>
        <v>2024-11-25 10:54:03</v>
      </c>
      <c r="M13306" s="1" t="s">
        <v>4</v>
      </c>
      <c r="N13306" s="1" t="s">
        <v>38</v>
      </c>
      <c r="O13306" s="1" t="s">
        <v>46</v>
      </c>
    </row>
    <row r="13307" spans="2:15" x14ac:dyDescent="0.3">
      <c r="B13307" s="1" t="s">
        <v>20</v>
      </c>
      <c r="C13307" s="1" t="str">
        <f>"1차"</f>
        <v>1차</v>
      </c>
      <c r="D13307" s="1" t="str">
        <f>"9825W43100"</f>
        <v>9825W43100</v>
      </c>
      <c r="E13307" s="1" t="s">
        <v>10</v>
      </c>
      <c r="F13307" s="1" t="str">
        <f>"10.125.196.2"</f>
        <v>10.125.196.2</v>
      </c>
      <c r="G13307" s="1" t="str">
        <f>"9825W431"</f>
        <v>9825W431</v>
      </c>
      <c r="H13307" s="1" t="str">
        <f>"신마간 16"</f>
        <v>신마간 16</v>
      </c>
      <c r="I13307" s="1" t="s">
        <v>8</v>
      </c>
      <c r="J13307" s="1" t="str">
        <f>"6/8"</f>
        <v>6/8</v>
      </c>
      <c r="K13307" s="1" t="str">
        <f>"2026-07-29 13:18:12"</f>
        <v>2026-07-29 13:18:12</v>
      </c>
      <c r="L13307" s="1" t="str">
        <f>"2014-11-13 15:57:18"</f>
        <v>2014-11-13 15:57:18</v>
      </c>
      <c r="M13307" s="1" t="s">
        <v>45</v>
      </c>
      <c r="N13307" s="1" t="s">
        <v>38</v>
      </c>
      <c r="O13307" s="1" t="s">
        <v>46</v>
      </c>
    </row>
    <row r="13308" spans="2:15" x14ac:dyDescent="0.3">
      <c r="B13308" s="1" t="s">
        <v>20</v>
      </c>
      <c r="C13308" s="1" t="str">
        <f>"4차"</f>
        <v>4차</v>
      </c>
      <c r="D13308" s="1" t="str">
        <f>"9825W50242"</f>
        <v>9825W50242</v>
      </c>
      <c r="E13308" s="1" t="s">
        <v>10</v>
      </c>
      <c r="F13308" s="1" t="str">
        <f>"10.12.135.87"</f>
        <v>10.12.135.87</v>
      </c>
      <c r="G13308" s="1" t="str">
        <f>"9825W502"</f>
        <v>9825W502</v>
      </c>
      <c r="H13308" s="1" t="str">
        <f>"마용간 23"</f>
        <v>마용간 23</v>
      </c>
      <c r="I13308" s="1" t="s">
        <v>8</v>
      </c>
      <c r="J13308" s="1" t="str">
        <f>"55/55"</f>
        <v>55/55</v>
      </c>
      <c r="K13308" s="1" t="str">
        <f>"2026-07-29 13:18:13"</f>
        <v>2026-07-29 13:18:13</v>
      </c>
      <c r="L13308" s="1" t="str">
        <f>"2025-01-17 17:03:12"</f>
        <v>2025-01-17 17:03:12</v>
      </c>
      <c r="M13308" s="1" t="s">
        <v>0</v>
      </c>
      <c r="N13308" s="1" t="s">
        <v>38</v>
      </c>
      <c r="O13308" s="1" t="s">
        <v>46</v>
      </c>
    </row>
    <row r="13309" spans="2:15" x14ac:dyDescent="0.3">
      <c r="B13309" s="1" t="s">
        <v>20</v>
      </c>
      <c r="C13309" s="1" t="str">
        <f>"1차"</f>
        <v>1차</v>
      </c>
      <c r="D13309" s="1" t="str">
        <f>"9825W52201"</f>
        <v>9825W52201</v>
      </c>
      <c r="E13309" s="1" t="s">
        <v>10</v>
      </c>
      <c r="F13309" s="1" t="str">
        <f>"10.12.130.14"</f>
        <v>10.12.130.14</v>
      </c>
      <c r="G13309" s="1" t="str">
        <f>"9825W522"</f>
        <v>9825W522</v>
      </c>
      <c r="H13309" s="1" t="str">
        <f>"신마간 16R2"</f>
        <v>신마간 16R2</v>
      </c>
      <c r="I13309" s="1" t="s">
        <v>8</v>
      </c>
      <c r="J13309" s="1" t="str">
        <f>"24/24"</f>
        <v>24/24</v>
      </c>
      <c r="K13309" s="1" t="str">
        <f>"2026-07-29 13:18:13"</f>
        <v>2026-07-29 13:18:13</v>
      </c>
      <c r="L13309" s="1" t="str">
        <f>"2014-11-13 00:13:33"</f>
        <v>2014-11-13 00:13:33</v>
      </c>
      <c r="M13309" s="1" t="s">
        <v>0</v>
      </c>
      <c r="N13309" s="1" t="s">
        <v>38</v>
      </c>
      <c r="O13309" s="1" t="s">
        <v>46</v>
      </c>
    </row>
    <row r="13310" spans="2:15" x14ac:dyDescent="0.3">
      <c r="B13310" s="1" t="s">
        <v>20</v>
      </c>
      <c r="C13310" s="1" t="str">
        <f>"6차"</f>
        <v>6차</v>
      </c>
      <c r="D13310" s="1" t="str">
        <f>"9825W5316M"</f>
        <v>9825W5316M</v>
      </c>
      <c r="E13310" s="1" t="s">
        <v>10</v>
      </c>
      <c r="F13310" s="1" t="str">
        <f>"fde1:103:4:c71a:0:0:0:2"</f>
        <v>fde1:103:4:c71a:0:0:0:2</v>
      </c>
      <c r="G13310" s="1" t="str">
        <f>"9825W531"</f>
        <v>9825W531</v>
      </c>
      <c r="H13310" s="1" t="str">
        <f>"신마간 17"</f>
        <v>신마간 17</v>
      </c>
      <c r="I13310" s="1" t="s">
        <v>15</v>
      </c>
      <c r="J13310" s="1" t="str">
        <f>"57/58"</f>
        <v>57/58</v>
      </c>
      <c r="K13310" s="1" t="str">
        <f>"2026-07-29 14:21:38"</f>
        <v>2026-07-29 14:21:38</v>
      </c>
      <c r="L13310" s="1" t="str">
        <f>"2024-11-25 10:54:44"</f>
        <v>2024-11-25 10:54:44</v>
      </c>
      <c r="M13310" s="1" t="s">
        <v>4</v>
      </c>
      <c r="N13310" s="1" t="s">
        <v>38</v>
      </c>
      <c r="O13310" s="1" t="s">
        <v>46</v>
      </c>
    </row>
    <row r="13311" spans="2:15" x14ac:dyDescent="0.3">
      <c r="B13311" s="1" t="s">
        <v>20</v>
      </c>
      <c r="C13311" s="1" t="str">
        <f>"1차"</f>
        <v>1차</v>
      </c>
      <c r="D13311" s="1" t="str">
        <f>"9825W61100"</f>
        <v>9825W61100</v>
      </c>
      <c r="E13311" s="1" t="s">
        <v>10</v>
      </c>
      <c r="F13311" s="1" t="str">
        <f>"10.125.128.236"</f>
        <v>10.125.128.236</v>
      </c>
      <c r="G13311" s="1" t="str">
        <f>"9825W611"</f>
        <v>9825W611</v>
      </c>
      <c r="H13311" s="1" t="str">
        <f>"신마간 11R12"</f>
        <v>신마간 11R12</v>
      </c>
      <c r="I13311" s="1" t="s">
        <v>8</v>
      </c>
      <c r="J13311" s="1" t="str">
        <f>"8/8"</f>
        <v>8/8</v>
      </c>
      <c r="K13311" s="1" t="str">
        <f t="shared" ref="K13311:K13318" si="676">"2026-07-29 13:18:12"</f>
        <v>2026-07-29 13:18:12</v>
      </c>
      <c r="L13311" s="1" t="str">
        <f>"2014-11-14 17:39:48"</f>
        <v>2014-11-14 17:39:48</v>
      </c>
      <c r="M13311" s="1" t="s">
        <v>45</v>
      </c>
      <c r="N13311" s="1" t="s">
        <v>38</v>
      </c>
      <c r="O13311" s="1" t="s">
        <v>46</v>
      </c>
    </row>
    <row r="13312" spans="2:15" x14ac:dyDescent="0.3">
      <c r="B13312" s="1" t="s">
        <v>20</v>
      </c>
      <c r="C13312" s="1" t="str">
        <f>"1차"</f>
        <v>1차</v>
      </c>
      <c r="D13312" s="1" t="str">
        <f>"9825W61201"</f>
        <v>9825W61201</v>
      </c>
      <c r="E13312" s="1" t="s">
        <v>10</v>
      </c>
      <c r="F13312" s="1" t="str">
        <f>"10.12.129.253"</f>
        <v>10.12.129.253</v>
      </c>
      <c r="G13312" s="1" t="str">
        <f>"9825W612"</f>
        <v>9825W612</v>
      </c>
      <c r="H13312" s="1" t="str">
        <f>"마용간 25H1"</f>
        <v>마용간 25H1</v>
      </c>
      <c r="I13312" s="1" t="s">
        <v>8</v>
      </c>
      <c r="J13312" s="1" t="str">
        <f>"7/7"</f>
        <v>7/7</v>
      </c>
      <c r="K13312" s="1" t="str">
        <f t="shared" si="676"/>
        <v>2026-07-29 13:18:12</v>
      </c>
      <c r="L13312" s="1" t="str">
        <f>"2014-11-19 14:36:23"</f>
        <v>2014-11-19 14:36:23</v>
      </c>
      <c r="M13312" s="1" t="s">
        <v>0</v>
      </c>
      <c r="N13312" s="1" t="s">
        <v>38</v>
      </c>
      <c r="O13312" s="1" t="s">
        <v>46</v>
      </c>
    </row>
    <row r="13313" spans="2:15" x14ac:dyDescent="0.3">
      <c r="B13313" s="1" t="s">
        <v>20</v>
      </c>
      <c r="C13313" s="1" t="str">
        <f>"1차"</f>
        <v>1차</v>
      </c>
      <c r="D13313" s="1" t="str">
        <f>"9825W61401"</f>
        <v>9825W61401</v>
      </c>
      <c r="E13313" s="1" t="s">
        <v>10</v>
      </c>
      <c r="F13313" s="1" t="str">
        <f>"10.125.128.237"</f>
        <v>10.125.128.237</v>
      </c>
      <c r="G13313" s="1" t="str">
        <f>"9825W614"</f>
        <v>9825W614</v>
      </c>
      <c r="H13313" s="1" t="str">
        <f>"신마간 11R10"</f>
        <v>신마간 11R10</v>
      </c>
      <c r="I13313" s="1" t="s">
        <v>8</v>
      </c>
      <c r="J13313" s="1" t="str">
        <f>"17/17"</f>
        <v>17/17</v>
      </c>
      <c r="K13313" s="1" t="str">
        <f t="shared" si="676"/>
        <v>2026-07-29 13:18:12</v>
      </c>
      <c r="L13313" s="1" t="str">
        <f>"2014-11-15 00:14:10"</f>
        <v>2014-11-15 00:14:10</v>
      </c>
      <c r="M13313" s="1" t="s">
        <v>45</v>
      </c>
      <c r="N13313" s="1" t="s">
        <v>38</v>
      </c>
      <c r="O13313" s="1" t="s">
        <v>46</v>
      </c>
    </row>
    <row r="13314" spans="2:15" x14ac:dyDescent="0.3">
      <c r="B13314" s="1" t="s">
        <v>20</v>
      </c>
      <c r="C13314" s="1" t="str">
        <f>"4차"</f>
        <v>4차</v>
      </c>
      <c r="D13314" s="1" t="str">
        <f>"9825W62244"</f>
        <v>9825W62244</v>
      </c>
      <c r="E13314" s="1" t="s">
        <v>10</v>
      </c>
      <c r="F13314" s="1" t="str">
        <f>"10.10.109.42"</f>
        <v>10.10.109.42</v>
      </c>
      <c r="G13314" s="1" t="str">
        <f>"9825W622"</f>
        <v>9825W622</v>
      </c>
      <c r="H13314" s="1" t="str">
        <f>"신마간 16R2"</f>
        <v>신마간 16R2</v>
      </c>
      <c r="I13314" s="1" t="s">
        <v>8</v>
      </c>
      <c r="J13314" s="1" t="str">
        <f>"22/22"</f>
        <v>22/22</v>
      </c>
      <c r="K13314" s="1" t="str">
        <f t="shared" si="676"/>
        <v>2026-07-29 13:18:12</v>
      </c>
      <c r="L13314" s="1" t="str">
        <f>"2020-02-10 18:36:35"</f>
        <v>2020-02-10 18:36:35</v>
      </c>
      <c r="M13314" s="1" t="s">
        <v>1</v>
      </c>
      <c r="N13314" s="1" t="s">
        <v>38</v>
      </c>
      <c r="O13314" s="1" t="s">
        <v>46</v>
      </c>
    </row>
    <row r="13315" spans="2:15" x14ac:dyDescent="0.3">
      <c r="B13315" s="1" t="s">
        <v>20</v>
      </c>
      <c r="C13315" s="1" t="str">
        <f>"4차"</f>
        <v>4차</v>
      </c>
      <c r="D13315" s="1" t="str">
        <f>"9825W63144"</f>
        <v>9825W63144</v>
      </c>
      <c r="E13315" s="1" t="s">
        <v>10</v>
      </c>
      <c r="F13315" s="1" t="str">
        <f>"10.10.82.210"</f>
        <v>10.10.82.210</v>
      </c>
      <c r="G13315" s="1" t="str">
        <f>"9825W631"</f>
        <v>9825W631</v>
      </c>
      <c r="H13315" s="1" t="str">
        <f>"신마간 11R16L2"</f>
        <v>신마간 11R16L2</v>
      </c>
      <c r="I13315" s="1" t="s">
        <v>8</v>
      </c>
      <c r="J13315" s="1" t="str">
        <f>"52/52"</f>
        <v>52/52</v>
      </c>
      <c r="K13315" s="1" t="str">
        <f t="shared" si="676"/>
        <v>2026-07-29 13:18:12</v>
      </c>
      <c r="L13315" s="1" t="str">
        <f>"2019-12-11 18:06:21"</f>
        <v>2019-12-11 18:06:21</v>
      </c>
      <c r="M13315" s="1" t="s">
        <v>1</v>
      </c>
      <c r="N13315" s="1" t="s">
        <v>38</v>
      </c>
      <c r="O13315" s="1" t="s">
        <v>46</v>
      </c>
    </row>
    <row r="13316" spans="2:15" x14ac:dyDescent="0.3">
      <c r="B13316" s="1" t="s">
        <v>20</v>
      </c>
      <c r="C13316" s="1" t="str">
        <f>"1차"</f>
        <v>1차</v>
      </c>
      <c r="D13316" s="1" t="str">
        <f>"9825W64200"</f>
        <v>9825W64200</v>
      </c>
      <c r="E13316" s="1" t="s">
        <v>10</v>
      </c>
      <c r="F13316" s="1" t="str">
        <f>"10.125.195.2"</f>
        <v>10.125.195.2</v>
      </c>
      <c r="G13316" s="1" t="str">
        <f>"9825W642"</f>
        <v>9825W642</v>
      </c>
      <c r="H13316" s="1" t="str">
        <f>"신마간 20"</f>
        <v>신마간 20</v>
      </c>
      <c r="I13316" s="1" t="s">
        <v>8</v>
      </c>
      <c r="J13316" s="1" t="str">
        <f>"13/13"</f>
        <v>13/13</v>
      </c>
      <c r="K13316" s="1" t="str">
        <f t="shared" si="676"/>
        <v>2026-07-29 13:18:12</v>
      </c>
      <c r="L13316" s="1" t="str">
        <f>"2014-12-05 11:22:29"</f>
        <v>2014-12-05 11:22:29</v>
      </c>
      <c r="M13316" s="1" t="s">
        <v>45</v>
      </c>
      <c r="N13316" s="1" t="s">
        <v>38</v>
      </c>
      <c r="O13316" s="1" t="s">
        <v>46</v>
      </c>
    </row>
    <row r="13317" spans="2:15" x14ac:dyDescent="0.3">
      <c r="B13317" s="1" t="s">
        <v>20</v>
      </c>
      <c r="C13317" s="1" t="str">
        <f>"4차"</f>
        <v>4차</v>
      </c>
      <c r="D13317" s="1" t="str">
        <f>"9825W70144"</f>
        <v>9825W70144</v>
      </c>
      <c r="E13317" s="1" t="s">
        <v>10</v>
      </c>
      <c r="F13317" s="1" t="str">
        <f>"10.10.76.26"</f>
        <v>10.10.76.26</v>
      </c>
      <c r="G13317" s="1" t="str">
        <f>"9825W701"</f>
        <v>9825W701</v>
      </c>
      <c r="H13317" s="1" t="str">
        <f>"마용간 25R3"</f>
        <v>마용간 25R3</v>
      </c>
      <c r="I13317" s="1" t="s">
        <v>8</v>
      </c>
      <c r="J13317" s="1" t="str">
        <f>"34/37"</f>
        <v>34/37</v>
      </c>
      <c r="K13317" s="1" t="str">
        <f t="shared" si="676"/>
        <v>2026-07-29 13:18:12</v>
      </c>
      <c r="L13317" s="1" t="str">
        <f>"2019-12-11 17:58:52"</f>
        <v>2019-12-11 17:58:52</v>
      </c>
      <c r="M13317" s="1" t="s">
        <v>1</v>
      </c>
      <c r="N13317" s="1" t="s">
        <v>38</v>
      </c>
      <c r="O13317" s="1" t="s">
        <v>46</v>
      </c>
    </row>
    <row r="13318" spans="2:15" x14ac:dyDescent="0.3">
      <c r="B13318" s="1" t="s">
        <v>20</v>
      </c>
      <c r="C13318" s="1" t="str">
        <f>"4차"</f>
        <v>4차</v>
      </c>
      <c r="D13318" s="1" t="str">
        <f>"9825W71244"</f>
        <v>9825W71244</v>
      </c>
      <c r="E13318" s="1" t="s">
        <v>10</v>
      </c>
      <c r="F13318" s="1" t="str">
        <f>"10.10.75.130"</f>
        <v>10.10.75.130</v>
      </c>
      <c r="G13318" s="1" t="str">
        <f>"9825W712"</f>
        <v>9825W712</v>
      </c>
      <c r="H13318" s="1" t="str">
        <f>"마용간 25R2L2"</f>
        <v>마용간 25R2L2</v>
      </c>
      <c r="I13318" s="1" t="s">
        <v>8</v>
      </c>
      <c r="J13318" s="1" t="str">
        <f>"28/28"</f>
        <v>28/28</v>
      </c>
      <c r="K13318" s="1" t="str">
        <f t="shared" si="676"/>
        <v>2026-07-29 13:18:12</v>
      </c>
      <c r="L13318" s="1" t="str">
        <f>"2020-01-10 17:11:26"</f>
        <v>2020-01-10 17:11:26</v>
      </c>
      <c r="M13318" s="1" t="s">
        <v>1</v>
      </c>
      <c r="N13318" s="1" t="s">
        <v>38</v>
      </c>
      <c r="O13318" s="1" t="s">
        <v>46</v>
      </c>
    </row>
    <row r="13319" spans="2:15" x14ac:dyDescent="0.3">
      <c r="B13319" s="1" t="s">
        <v>20</v>
      </c>
      <c r="C13319" s="1" t="str">
        <f>"4차"</f>
        <v>4차</v>
      </c>
      <c r="D13319" s="1" t="str">
        <f>"9825W71444"</f>
        <v>9825W71444</v>
      </c>
      <c r="E13319" s="1" t="s">
        <v>10</v>
      </c>
      <c r="F13319" s="1" t="str">
        <f>"10.12.138.18"</f>
        <v>10.12.138.18</v>
      </c>
      <c r="G13319" s="1" t="str">
        <f>"9825W714"</f>
        <v>9825W714</v>
      </c>
      <c r="H13319" s="1" t="str">
        <f>"마용간 25R2L3"</f>
        <v>마용간 25R2L3</v>
      </c>
      <c r="I13319" s="1" t="s">
        <v>8</v>
      </c>
      <c r="J13319" s="1" t="str">
        <f>"32/33"</f>
        <v>32/33</v>
      </c>
      <c r="K13319" s="1" t="str">
        <f>"2026-07-29 13:18:11"</f>
        <v>2026-07-29 13:18:11</v>
      </c>
      <c r="L13319" s="1" t="str">
        <f>"2020-01-14 10:40:51"</f>
        <v>2020-01-14 10:40:51</v>
      </c>
      <c r="M13319" s="1" t="s">
        <v>0</v>
      </c>
      <c r="N13319" s="1" t="s">
        <v>38</v>
      </c>
      <c r="O13319" s="1" t="s">
        <v>46</v>
      </c>
    </row>
    <row r="13320" spans="2:15" x14ac:dyDescent="0.3">
      <c r="B13320" s="1" t="s">
        <v>20</v>
      </c>
      <c r="C13320" s="1" t="str">
        <f>"4차"</f>
        <v>4차</v>
      </c>
      <c r="D13320" s="1" t="str">
        <f>"9825W71539"</f>
        <v>9825W71539</v>
      </c>
      <c r="E13320" s="1" t="s">
        <v>10</v>
      </c>
      <c r="F13320" s="1" t="str">
        <f>"10.12.129.130"</f>
        <v>10.12.129.130</v>
      </c>
      <c r="G13320" s="1" t="str">
        <f>"9825W715"</f>
        <v>9825W715</v>
      </c>
      <c r="H13320" s="1" t="str">
        <f>"마용간 25R2L1"</f>
        <v>마용간 25R2L1</v>
      </c>
      <c r="I13320" s="1" t="s">
        <v>8</v>
      </c>
      <c r="J13320" s="1" t="str">
        <f>"14/14"</f>
        <v>14/14</v>
      </c>
      <c r="K13320" s="1" t="str">
        <f>"2026-07-29 13:18:13"</f>
        <v>2026-07-29 13:18:13</v>
      </c>
      <c r="L13320" s="1" t="str">
        <f>"2018-04-21 10:21:26"</f>
        <v>2018-04-21 10:21:26</v>
      </c>
      <c r="M13320" s="1" t="s">
        <v>0</v>
      </c>
      <c r="N13320" s="1" t="s">
        <v>38</v>
      </c>
      <c r="O13320" s="1" t="s">
        <v>46</v>
      </c>
    </row>
    <row r="13321" spans="2:15" x14ac:dyDescent="0.3">
      <c r="B13321" s="1" t="s">
        <v>20</v>
      </c>
      <c r="C13321" s="1" t="str">
        <f>"1차"</f>
        <v>1차</v>
      </c>
      <c r="D13321" s="1" t="str">
        <f>"9825W73100"</f>
        <v>9825W73100</v>
      </c>
      <c r="E13321" s="1" t="s">
        <v>10</v>
      </c>
      <c r="F13321" s="1" t="str">
        <f>"10.125.129.109"</f>
        <v>10.125.129.109</v>
      </c>
      <c r="G13321" s="1" t="str">
        <f>"9825W731"</f>
        <v>9825W731</v>
      </c>
      <c r="H13321" s="1" t="str">
        <f>"신마간 11R15"</f>
        <v>신마간 11R15</v>
      </c>
      <c r="I13321" s="1" t="s">
        <v>8</v>
      </c>
      <c r="J13321" s="1" t="str">
        <f>"7/7"</f>
        <v>7/7</v>
      </c>
      <c r="K13321" s="1" t="str">
        <f>"2026-07-29 13:18:12"</f>
        <v>2026-07-29 13:18:12</v>
      </c>
      <c r="L13321" s="1" t="str">
        <f>"2014-07-31 01:42:06"</f>
        <v>2014-07-31 01:42:06</v>
      </c>
      <c r="M13321" s="1" t="s">
        <v>45</v>
      </c>
      <c r="N13321" s="1" t="s">
        <v>38</v>
      </c>
      <c r="O13321" s="1" t="s">
        <v>46</v>
      </c>
    </row>
    <row r="13322" spans="2:15" x14ac:dyDescent="0.3">
      <c r="B13322" s="1" t="s">
        <v>20</v>
      </c>
      <c r="C13322" s="1" t="str">
        <f t="shared" ref="C13322:C13337" si="677">"4차"</f>
        <v>4차</v>
      </c>
      <c r="D13322" s="1" t="str">
        <f>"9825W80144"</f>
        <v>9825W80144</v>
      </c>
      <c r="E13322" s="1" t="s">
        <v>10</v>
      </c>
      <c r="F13322" s="1" t="str">
        <f>"10.10.76.58"</f>
        <v>10.10.76.58</v>
      </c>
      <c r="G13322" s="1" t="str">
        <f>"9825W801"</f>
        <v>9825W801</v>
      </c>
      <c r="H13322" s="1" t="str">
        <f>"마용간 25R5"</f>
        <v>마용간 25R5</v>
      </c>
      <c r="I13322" s="1" t="s">
        <v>8</v>
      </c>
      <c r="J13322" s="1" t="str">
        <f>"23/23"</f>
        <v>23/23</v>
      </c>
      <c r="K13322" s="1" t="str">
        <f>"2026-07-29 13:18:12"</f>
        <v>2026-07-29 13:18:12</v>
      </c>
      <c r="L13322" s="1" t="str">
        <f>"2019-12-11 18:05:15"</f>
        <v>2019-12-11 18:05:15</v>
      </c>
      <c r="M13322" s="1" t="s">
        <v>1</v>
      </c>
      <c r="N13322" s="1" t="s">
        <v>38</v>
      </c>
      <c r="O13322" s="1" t="s">
        <v>46</v>
      </c>
    </row>
    <row r="13323" spans="2:15" x14ac:dyDescent="0.3">
      <c r="B13323" s="1" t="s">
        <v>20</v>
      </c>
      <c r="C13323" s="1" t="str">
        <f t="shared" si="677"/>
        <v>4차</v>
      </c>
      <c r="D13323" s="1" t="str">
        <f>"9825W80244"</f>
        <v>9825W80244</v>
      </c>
      <c r="E13323" s="1" t="s">
        <v>10</v>
      </c>
      <c r="F13323" s="1" t="str">
        <f>"10.10.76.50"</f>
        <v>10.10.76.50</v>
      </c>
      <c r="G13323" s="1" t="str">
        <f>"9825W802"</f>
        <v>9825W802</v>
      </c>
      <c r="H13323" s="1" t="str">
        <f>"마용간 25R4"</f>
        <v>마용간 25R4</v>
      </c>
      <c r="I13323" s="1" t="s">
        <v>8</v>
      </c>
      <c r="J13323" s="1" t="str">
        <f>"27/27"</f>
        <v>27/27</v>
      </c>
      <c r="K13323" s="1" t="str">
        <f>"2026-07-29 13:18:14"</f>
        <v>2026-07-29 13:18:14</v>
      </c>
      <c r="L13323" s="1" t="str">
        <f>"2019-12-11 17:55:50"</f>
        <v>2019-12-11 17:55:50</v>
      </c>
      <c r="M13323" s="1" t="s">
        <v>1</v>
      </c>
      <c r="N13323" s="1" t="s">
        <v>38</v>
      </c>
      <c r="O13323" s="1" t="s">
        <v>46</v>
      </c>
    </row>
    <row r="13324" spans="2:15" x14ac:dyDescent="0.3">
      <c r="B13324" s="1" t="s">
        <v>20</v>
      </c>
      <c r="C13324" s="1" t="str">
        <f t="shared" si="677"/>
        <v>4차</v>
      </c>
      <c r="D13324" s="1" t="str">
        <f>"9825W81244"</f>
        <v>9825W81244</v>
      </c>
      <c r="E13324" s="1" t="s">
        <v>10</v>
      </c>
      <c r="F13324" s="1" t="str">
        <f>"10.10.78.58"</f>
        <v>10.10.78.58</v>
      </c>
      <c r="G13324" s="1" t="str">
        <f>"9825W812"</f>
        <v>9825W812</v>
      </c>
      <c r="H13324" s="1" t="str">
        <f>"마용간 29H1R3"</f>
        <v>마용간 29H1R3</v>
      </c>
      <c r="I13324" s="1" t="s">
        <v>8</v>
      </c>
      <c r="J13324" s="1" t="str">
        <f>"18/18"</f>
        <v>18/18</v>
      </c>
      <c r="K13324" s="1" t="str">
        <f t="shared" ref="K13324:K13329" si="678">"2026-07-29 13:18:12"</f>
        <v>2026-07-29 13:18:12</v>
      </c>
      <c r="L13324" s="1" t="str">
        <f>"2019-12-11 17:57:03"</f>
        <v>2019-12-11 17:57:03</v>
      </c>
      <c r="M13324" s="1" t="s">
        <v>1</v>
      </c>
      <c r="N13324" s="1" t="s">
        <v>38</v>
      </c>
      <c r="O13324" s="1" t="s">
        <v>46</v>
      </c>
    </row>
    <row r="13325" spans="2:15" x14ac:dyDescent="0.3">
      <c r="B13325" s="1" t="s">
        <v>20</v>
      </c>
      <c r="C13325" s="1" t="str">
        <f t="shared" si="677"/>
        <v>4차</v>
      </c>
      <c r="D13325" s="1" t="str">
        <f>"9825W82244"</f>
        <v>9825W82244</v>
      </c>
      <c r="E13325" s="1" t="s">
        <v>10</v>
      </c>
      <c r="F13325" s="1" t="str">
        <f>"10.10.107.234"</f>
        <v>10.10.107.234</v>
      </c>
      <c r="G13325" s="1" t="str">
        <f>"9825W822"</f>
        <v>9825W822</v>
      </c>
      <c r="H13325" s="1" t="str">
        <f>"마용간 29H1R2"</f>
        <v>마용간 29H1R2</v>
      </c>
      <c r="I13325" s="1" t="s">
        <v>8</v>
      </c>
      <c r="J13325" s="1" t="str">
        <f>"12/12"</f>
        <v>12/12</v>
      </c>
      <c r="K13325" s="1" t="str">
        <f t="shared" si="678"/>
        <v>2026-07-29 13:18:12</v>
      </c>
      <c r="L13325" s="1" t="str">
        <f>"2019-12-11 17:58:00"</f>
        <v>2019-12-11 17:58:00</v>
      </c>
      <c r="M13325" s="1" t="s">
        <v>1</v>
      </c>
      <c r="N13325" s="1" t="s">
        <v>38</v>
      </c>
      <c r="O13325" s="1" t="s">
        <v>46</v>
      </c>
    </row>
    <row r="13326" spans="2:15" x14ac:dyDescent="0.3">
      <c r="B13326" s="1" t="s">
        <v>20</v>
      </c>
      <c r="C13326" s="1" t="str">
        <f t="shared" si="677"/>
        <v>4차</v>
      </c>
      <c r="D13326" s="1" t="str">
        <f>"9825W90144"</f>
        <v>9825W90144</v>
      </c>
      <c r="E13326" s="1" t="s">
        <v>10</v>
      </c>
      <c r="F13326" s="1" t="str">
        <f>"10.10.77.82"</f>
        <v>10.10.77.82</v>
      </c>
      <c r="G13326" s="1" t="str">
        <f>"9825W901"</f>
        <v>9825W901</v>
      </c>
      <c r="H13326" s="1" t="str">
        <f>"마용간 25R6"</f>
        <v>마용간 25R6</v>
      </c>
      <c r="I13326" s="1" t="s">
        <v>8</v>
      </c>
      <c r="J13326" s="1" t="str">
        <f>"31/33"</f>
        <v>31/33</v>
      </c>
      <c r="K13326" s="1" t="str">
        <f t="shared" si="678"/>
        <v>2026-07-29 13:18:12</v>
      </c>
      <c r="L13326" s="1" t="str">
        <f>"2019-12-11 17:55:04"</f>
        <v>2019-12-11 17:55:04</v>
      </c>
      <c r="M13326" s="1" t="s">
        <v>1</v>
      </c>
      <c r="N13326" s="1" t="s">
        <v>38</v>
      </c>
      <c r="O13326" s="1" t="s">
        <v>46</v>
      </c>
    </row>
    <row r="13327" spans="2:15" x14ac:dyDescent="0.3">
      <c r="B13327" s="1" t="s">
        <v>20</v>
      </c>
      <c r="C13327" s="1" t="str">
        <f t="shared" si="677"/>
        <v>4차</v>
      </c>
      <c r="D13327" s="1" t="str">
        <f>"9825W91144"</f>
        <v>9825W91144</v>
      </c>
      <c r="E13327" s="1" t="s">
        <v>10</v>
      </c>
      <c r="F13327" s="1" t="str">
        <f>"10.10.77.90"</f>
        <v>10.10.77.90</v>
      </c>
      <c r="G13327" s="1" t="str">
        <f>"9825W911"</f>
        <v>9825W911</v>
      </c>
      <c r="H13327" s="1" t="str">
        <f>"마용간 25R6L1"</f>
        <v>마용간 25R6L1</v>
      </c>
      <c r="I13327" s="1" t="s">
        <v>8</v>
      </c>
      <c r="J13327" s="1" t="str">
        <f>"35/36"</f>
        <v>35/36</v>
      </c>
      <c r="K13327" s="1" t="str">
        <f t="shared" si="678"/>
        <v>2026-07-29 13:18:12</v>
      </c>
      <c r="L13327" s="1" t="str">
        <f>"2019-12-24 16:48:14"</f>
        <v>2019-12-24 16:48:14</v>
      </c>
      <c r="M13327" s="1" t="s">
        <v>1</v>
      </c>
      <c r="N13327" s="1" t="s">
        <v>38</v>
      </c>
      <c r="O13327" s="1" t="s">
        <v>46</v>
      </c>
    </row>
    <row r="13328" spans="2:15" x14ac:dyDescent="0.3">
      <c r="B13328" s="1" t="s">
        <v>20</v>
      </c>
      <c r="C13328" s="1" t="str">
        <f t="shared" si="677"/>
        <v>4차</v>
      </c>
      <c r="D13328" s="1" t="str">
        <f>"9825W93144"</f>
        <v>9825W93144</v>
      </c>
      <c r="E13328" s="1" t="s">
        <v>10</v>
      </c>
      <c r="F13328" s="1" t="str">
        <f>"10.10.77.178"</f>
        <v>10.10.77.178</v>
      </c>
      <c r="G13328" s="1" t="str">
        <f>"9825W931"</f>
        <v>9825W931</v>
      </c>
      <c r="H13328" s="1" t="str">
        <f>"마용간 29H1R1L3"</f>
        <v>마용간 29H1R1L3</v>
      </c>
      <c r="I13328" s="1" t="s">
        <v>8</v>
      </c>
      <c r="J13328" s="1" t="str">
        <f>"30/30"</f>
        <v>30/30</v>
      </c>
      <c r="K13328" s="1" t="str">
        <f t="shared" si="678"/>
        <v>2026-07-29 13:18:12</v>
      </c>
      <c r="L13328" s="1" t="str">
        <f>"2019-12-11 17:59:54"</f>
        <v>2019-12-11 17:59:54</v>
      </c>
      <c r="M13328" s="1" t="s">
        <v>1</v>
      </c>
      <c r="N13328" s="1" t="s">
        <v>38</v>
      </c>
      <c r="O13328" s="1" t="s">
        <v>46</v>
      </c>
    </row>
    <row r="13329" spans="2:15" x14ac:dyDescent="0.3">
      <c r="B13329" s="1" t="s">
        <v>20</v>
      </c>
      <c r="C13329" s="1" t="str">
        <f t="shared" si="677"/>
        <v>4차</v>
      </c>
      <c r="D13329" s="1" t="str">
        <f>"9825W93344"</f>
        <v>9825W93344</v>
      </c>
      <c r="E13329" s="1" t="s">
        <v>10</v>
      </c>
      <c r="F13329" s="1" t="str">
        <f>"10.10.77.170"</f>
        <v>10.10.77.170</v>
      </c>
      <c r="G13329" s="1" t="str">
        <f>"9825W933"</f>
        <v>9825W933</v>
      </c>
      <c r="H13329" s="1" t="str">
        <f>"마용간 29H1AR1"</f>
        <v>마용간 29H1AR1</v>
      </c>
      <c r="I13329" s="1" t="s">
        <v>8</v>
      </c>
      <c r="J13329" s="1" t="str">
        <f>"54/55"</f>
        <v>54/55</v>
      </c>
      <c r="K13329" s="1" t="str">
        <f t="shared" si="678"/>
        <v>2026-07-29 13:18:12</v>
      </c>
      <c r="L13329" s="1" t="str">
        <f>"2019-12-11 17:59:33"</f>
        <v>2019-12-11 17:59:33</v>
      </c>
      <c r="M13329" s="1" t="s">
        <v>1</v>
      </c>
      <c r="N13329" s="1" t="s">
        <v>38</v>
      </c>
      <c r="O13329" s="1" t="s">
        <v>46</v>
      </c>
    </row>
    <row r="13330" spans="2:15" x14ac:dyDescent="0.3">
      <c r="B13330" s="1" t="s">
        <v>20</v>
      </c>
      <c r="C13330" s="1" t="str">
        <f t="shared" si="677"/>
        <v>4차</v>
      </c>
      <c r="D13330" s="1" t="str">
        <f>"9825W93439"</f>
        <v>9825W93439</v>
      </c>
      <c r="E13330" s="1" t="s">
        <v>10</v>
      </c>
      <c r="F13330" s="1" t="str">
        <f>"10.12.137.93"</f>
        <v>10.12.137.93</v>
      </c>
      <c r="G13330" s="1" t="str">
        <f>"9825W934"</f>
        <v>9825W934</v>
      </c>
      <c r="H13330" s="1" t="str">
        <f>"마용간 29H1R1L2"</f>
        <v>마용간 29H1R1L2</v>
      </c>
      <c r="I13330" s="1" t="s">
        <v>8</v>
      </c>
      <c r="J13330" s="1" t="str">
        <f>"102/102"</f>
        <v>102/102</v>
      </c>
      <c r="K13330" s="1" t="str">
        <f>"2026-07-29 13:18:10"</f>
        <v>2026-07-29 13:18:10</v>
      </c>
      <c r="L13330" s="1" t="str">
        <f>"2018-10-04 12:34:27"</f>
        <v>2018-10-04 12:34:27</v>
      </c>
      <c r="M13330" s="1" t="s">
        <v>0</v>
      </c>
      <c r="N13330" s="1" t="s">
        <v>38</v>
      </c>
      <c r="O13330" s="1" t="s">
        <v>46</v>
      </c>
    </row>
    <row r="13331" spans="2:15" x14ac:dyDescent="0.3">
      <c r="B13331" s="1" t="s">
        <v>20</v>
      </c>
      <c r="C13331" s="1" t="str">
        <f t="shared" si="677"/>
        <v>4차</v>
      </c>
      <c r="D13331" s="1" t="str">
        <f>"9825W95244"</f>
        <v>9825W95244</v>
      </c>
      <c r="E13331" s="1" t="s">
        <v>10</v>
      </c>
      <c r="F13331" s="1" t="str">
        <f>"10.10.138.178"</f>
        <v>10.10.138.178</v>
      </c>
      <c r="G13331" s="1" t="str">
        <f>"9825W952"</f>
        <v>9825W952</v>
      </c>
      <c r="H13331" s="1" t="str">
        <f>"마용간 33"</f>
        <v>마용간 33</v>
      </c>
      <c r="I13331" s="1" t="s">
        <v>8</v>
      </c>
      <c r="J13331" s="1" t="str">
        <f>"6/6"</f>
        <v>6/6</v>
      </c>
      <c r="K13331" s="1" t="str">
        <f t="shared" ref="K13331:K13337" si="679">"2026-07-29 13:18:12"</f>
        <v>2026-07-29 13:18:12</v>
      </c>
      <c r="L13331" s="1" t="str">
        <f>"2019-12-24 16:46:32"</f>
        <v>2019-12-24 16:46:32</v>
      </c>
      <c r="M13331" s="1" t="s">
        <v>1</v>
      </c>
      <c r="N13331" s="1" t="s">
        <v>38</v>
      </c>
      <c r="O13331" s="1" t="s">
        <v>46</v>
      </c>
    </row>
    <row r="13332" spans="2:15" x14ac:dyDescent="0.3">
      <c r="B13332" s="1" t="s">
        <v>20</v>
      </c>
      <c r="C13332" s="1" t="str">
        <f t="shared" si="677"/>
        <v>4차</v>
      </c>
      <c r="D13332" s="1" t="str">
        <f>"9825X00144"</f>
        <v>9825X00144</v>
      </c>
      <c r="E13332" s="1" t="s">
        <v>10</v>
      </c>
      <c r="F13332" s="1" t="str">
        <f>"10.10.107.226"</f>
        <v>10.10.107.226</v>
      </c>
      <c r="G13332" s="1" t="str">
        <f>"9825X001"</f>
        <v>9825X001</v>
      </c>
      <c r="H13332" s="1" t="str">
        <f>"마용간 25R7"</f>
        <v>마용간 25R7</v>
      </c>
      <c r="I13332" s="1" t="s">
        <v>8</v>
      </c>
      <c r="J13332" s="1" t="str">
        <f>"37/37"</f>
        <v>37/37</v>
      </c>
      <c r="K13332" s="1" t="str">
        <f t="shared" si="679"/>
        <v>2026-07-29 13:18:12</v>
      </c>
      <c r="L13332" s="1" t="str">
        <f>"2021-12-22 09:51:37"</f>
        <v>2021-12-22 09:51:37</v>
      </c>
      <c r="M13332" s="1" t="s">
        <v>1</v>
      </c>
      <c r="N13332" s="1" t="s">
        <v>38</v>
      </c>
      <c r="O13332" s="1" t="s">
        <v>46</v>
      </c>
    </row>
    <row r="13333" spans="2:15" x14ac:dyDescent="0.3">
      <c r="B13333" s="1" t="s">
        <v>20</v>
      </c>
      <c r="C13333" s="1" t="str">
        <f t="shared" si="677"/>
        <v>4차</v>
      </c>
      <c r="D13333" s="1" t="str">
        <f>"9825X02244"</f>
        <v>9825X02244</v>
      </c>
      <c r="E13333" s="1" t="s">
        <v>10</v>
      </c>
      <c r="F13333" s="1" t="str">
        <f>"10.10.78.34"</f>
        <v>10.10.78.34</v>
      </c>
      <c r="G13333" s="1" t="str">
        <f>"9825X022"</f>
        <v>9825X022</v>
      </c>
      <c r="H13333" s="1" t="str">
        <f>"마용간 29H1R1L4R1"</f>
        <v>마용간 29H1R1L4R1</v>
      </c>
      <c r="I13333" s="1" t="s">
        <v>8</v>
      </c>
      <c r="J13333" s="1" t="str">
        <f>"40/40"</f>
        <v>40/40</v>
      </c>
      <c r="K13333" s="1" t="str">
        <f t="shared" si="679"/>
        <v>2026-07-29 13:18:12</v>
      </c>
      <c r="L13333" s="1" t="str">
        <f>"2019-12-11 18:06:28"</f>
        <v>2019-12-11 18:06:28</v>
      </c>
      <c r="M13333" s="1" t="s">
        <v>1</v>
      </c>
      <c r="N13333" s="1" t="s">
        <v>38</v>
      </c>
      <c r="O13333" s="1" t="s">
        <v>46</v>
      </c>
    </row>
    <row r="13334" spans="2:15" x14ac:dyDescent="0.3">
      <c r="B13334" s="1" t="s">
        <v>20</v>
      </c>
      <c r="C13334" s="1" t="str">
        <f t="shared" si="677"/>
        <v>4차</v>
      </c>
      <c r="D13334" s="1" t="str">
        <f>"9825X02344"</f>
        <v>9825X02344</v>
      </c>
      <c r="E13334" s="1" t="s">
        <v>10</v>
      </c>
      <c r="F13334" s="1" t="str">
        <f>"10.10.107.250"</f>
        <v>10.10.107.250</v>
      </c>
      <c r="G13334" s="1" t="str">
        <f>"9825X023"</f>
        <v>9825X023</v>
      </c>
      <c r="H13334" s="1" t="str">
        <f>"마용간 34R16"</f>
        <v>마용간 34R16</v>
      </c>
      <c r="I13334" s="1" t="s">
        <v>8</v>
      </c>
      <c r="J13334" s="1" t="str">
        <f>"21/21"</f>
        <v>21/21</v>
      </c>
      <c r="K13334" s="1" t="str">
        <f t="shared" si="679"/>
        <v>2026-07-29 13:18:12</v>
      </c>
      <c r="L13334" s="1" t="str">
        <f>"2019-12-11 17:55:07"</f>
        <v>2019-12-11 17:55:07</v>
      </c>
      <c r="M13334" s="1" t="s">
        <v>1</v>
      </c>
      <c r="N13334" s="1" t="s">
        <v>38</v>
      </c>
      <c r="O13334" s="1" t="s">
        <v>46</v>
      </c>
    </row>
    <row r="13335" spans="2:15" x14ac:dyDescent="0.3">
      <c r="B13335" s="1" t="s">
        <v>20</v>
      </c>
      <c r="C13335" s="1" t="str">
        <f t="shared" si="677"/>
        <v>4차</v>
      </c>
      <c r="D13335" s="1" t="str">
        <f>"9825X02444"</f>
        <v>9825X02444</v>
      </c>
      <c r="E13335" s="1" t="s">
        <v>10</v>
      </c>
      <c r="F13335" s="1" t="str">
        <f>"10.125.195.18"</f>
        <v>10.125.195.18</v>
      </c>
      <c r="G13335" s="1" t="str">
        <f>"9825X024"</f>
        <v>9825X024</v>
      </c>
      <c r="H13335" s="1" t="str">
        <f>"마용간 34R15"</f>
        <v>마용간 34R15</v>
      </c>
      <c r="I13335" s="1" t="s">
        <v>8</v>
      </c>
      <c r="J13335" s="1" t="str">
        <f>"11/11"</f>
        <v>11/11</v>
      </c>
      <c r="K13335" s="1" t="str">
        <f t="shared" si="679"/>
        <v>2026-07-29 13:18:12</v>
      </c>
      <c r="L13335" s="1" t="str">
        <f>"2019-12-11 16:48:23"</f>
        <v>2019-12-11 16:48:23</v>
      </c>
      <c r="M13335" s="1" t="s">
        <v>45</v>
      </c>
      <c r="N13335" s="1" t="s">
        <v>38</v>
      </c>
      <c r="O13335" s="1" t="s">
        <v>46</v>
      </c>
    </row>
    <row r="13336" spans="2:15" x14ac:dyDescent="0.3">
      <c r="B13336" s="1" t="s">
        <v>20</v>
      </c>
      <c r="C13336" s="1" t="str">
        <f t="shared" si="677"/>
        <v>4차</v>
      </c>
      <c r="D13336" s="1" t="str">
        <f>"9825X03144"</f>
        <v>9825X03144</v>
      </c>
      <c r="E13336" s="1" t="s">
        <v>10</v>
      </c>
      <c r="F13336" s="1" t="str">
        <f>"10.10.78.10"</f>
        <v>10.10.78.10</v>
      </c>
      <c r="G13336" s="1" t="str">
        <f>"9825X031"</f>
        <v>9825X031</v>
      </c>
      <c r="H13336" s="1" t="str">
        <f>"마용간 29H1R1L4"</f>
        <v>마용간 29H1R1L4</v>
      </c>
      <c r="I13336" s="1" t="s">
        <v>8</v>
      </c>
      <c r="J13336" s="1" t="str">
        <f>"43/43"</f>
        <v>43/43</v>
      </c>
      <c r="K13336" s="1" t="str">
        <f t="shared" si="679"/>
        <v>2026-07-29 13:18:12</v>
      </c>
      <c r="L13336" s="1" t="str">
        <f>"2019-12-24 16:48:15"</f>
        <v>2019-12-24 16:48:15</v>
      </c>
      <c r="M13336" s="1" t="s">
        <v>1</v>
      </c>
      <c r="N13336" s="1" t="s">
        <v>38</v>
      </c>
      <c r="O13336" s="1" t="s">
        <v>46</v>
      </c>
    </row>
    <row r="13337" spans="2:15" x14ac:dyDescent="0.3">
      <c r="B13337" s="1" t="s">
        <v>20</v>
      </c>
      <c r="C13337" s="1" t="str">
        <f t="shared" si="677"/>
        <v>4차</v>
      </c>
      <c r="D13337" s="1" t="str">
        <f>"9825X05344"</f>
        <v>9825X05344</v>
      </c>
      <c r="E13337" s="1" t="s">
        <v>10</v>
      </c>
      <c r="F13337" s="1" t="str">
        <f>"10.10.138.170"</f>
        <v>10.10.138.170</v>
      </c>
      <c r="G13337" s="1" t="str">
        <f>"9825X053"</f>
        <v>9825X053</v>
      </c>
      <c r="H13337" s="1" t="str">
        <f>"마용간 34R1"</f>
        <v>마용간 34R1</v>
      </c>
      <c r="I13337" s="1" t="s">
        <v>8</v>
      </c>
      <c r="J13337" s="1" t="str">
        <f>"49/49"</f>
        <v>49/49</v>
      </c>
      <c r="K13337" s="1" t="str">
        <f t="shared" si="679"/>
        <v>2026-07-29 13:18:12</v>
      </c>
      <c r="L13337" s="1" t="str">
        <f>"2019-12-11 18:19:23"</f>
        <v>2019-12-11 18:19:23</v>
      </c>
      <c r="M13337" s="1" t="s">
        <v>1</v>
      </c>
      <c r="N13337" s="1" t="s">
        <v>38</v>
      </c>
      <c r="O13337" s="1" t="s">
        <v>46</v>
      </c>
    </row>
    <row r="13338" spans="2:15" x14ac:dyDescent="0.3">
      <c r="B13338" s="1" t="s">
        <v>20</v>
      </c>
      <c r="C13338" s="1" t="str">
        <f>"6차"</f>
        <v>6차</v>
      </c>
      <c r="D13338" s="1" t="str">
        <f>"9825X0626M"</f>
        <v>9825X0626M</v>
      </c>
      <c r="E13338" s="1" t="s">
        <v>10</v>
      </c>
      <c r="F13338" s="1" t="str">
        <f>"fde1:103:4:c73e:0:0:0:2"</f>
        <v>fde1:103:4:c73e:0:0:0:2</v>
      </c>
      <c r="G13338" s="1" t="str">
        <f>"9825X062"</f>
        <v>9825X062</v>
      </c>
      <c r="H13338" s="1" t="str">
        <f>"마용간 35"</f>
        <v>마용간 35</v>
      </c>
      <c r="I13338" s="1" t="s">
        <v>15</v>
      </c>
      <c r="J13338" s="1" t="str">
        <f>"21/22"</f>
        <v>21/22</v>
      </c>
      <c r="K13338" s="1" t="str">
        <f>"2026-07-29 14:21:38"</f>
        <v>2026-07-29 14:21:38</v>
      </c>
      <c r="L13338" s="1" t="str">
        <f>"2024-11-22 15:44:06"</f>
        <v>2024-11-22 15:44:06</v>
      </c>
      <c r="M13338" s="1" t="s">
        <v>4</v>
      </c>
      <c r="N13338" s="1" t="s">
        <v>38</v>
      </c>
      <c r="O13338" s="1" t="s">
        <v>46</v>
      </c>
    </row>
    <row r="13339" spans="2:15" x14ac:dyDescent="0.3">
      <c r="B13339" s="1" t="s">
        <v>20</v>
      </c>
      <c r="C13339" s="1" t="str">
        <f>"4차"</f>
        <v>4차</v>
      </c>
      <c r="D13339" s="1" t="str">
        <f>"9825X12344"</f>
        <v>9825X12344</v>
      </c>
      <c r="E13339" s="1" t="s">
        <v>10</v>
      </c>
      <c r="F13339" s="1" t="str">
        <f>"10.10.138.162"</f>
        <v>10.10.138.162</v>
      </c>
      <c r="G13339" s="1" t="str">
        <f>"9825X123"</f>
        <v>9825X123</v>
      </c>
      <c r="H13339" s="1" t="str">
        <f>"마용간 34R14"</f>
        <v>마용간 34R14</v>
      </c>
      <c r="I13339" s="1" t="s">
        <v>8</v>
      </c>
      <c r="J13339" s="1" t="str">
        <f>"27/27"</f>
        <v>27/27</v>
      </c>
      <c r="K13339" s="1" t="str">
        <f>"2026-07-29 13:18:12"</f>
        <v>2026-07-29 13:18:12</v>
      </c>
      <c r="L13339" s="1" t="str">
        <f>"2019-12-11 18:16:31"</f>
        <v>2019-12-11 18:16:31</v>
      </c>
      <c r="M13339" s="1" t="s">
        <v>1</v>
      </c>
      <c r="N13339" s="1" t="s">
        <v>38</v>
      </c>
      <c r="O13339" s="1" t="s">
        <v>46</v>
      </c>
    </row>
    <row r="13340" spans="2:15" x14ac:dyDescent="0.3">
      <c r="B13340" s="1" t="s">
        <v>20</v>
      </c>
      <c r="C13340" s="1" t="str">
        <f>"4차"</f>
        <v>4차</v>
      </c>
      <c r="D13340" s="1" t="str">
        <f>"9825X13144"</f>
        <v>9825X13144</v>
      </c>
      <c r="E13340" s="1" t="s">
        <v>10</v>
      </c>
      <c r="F13340" s="1" t="str">
        <f>"10.10.138.154"</f>
        <v>10.10.138.154</v>
      </c>
      <c r="G13340" s="1" t="str">
        <f>"9825X131"</f>
        <v>9825X131</v>
      </c>
      <c r="H13340" s="1" t="str">
        <f>"마용간 29H1R1L5"</f>
        <v>마용간 29H1R1L5</v>
      </c>
      <c r="I13340" s="1" t="s">
        <v>8</v>
      </c>
      <c r="J13340" s="1" t="str">
        <f>"49/49"</f>
        <v>49/49</v>
      </c>
      <c r="K13340" s="1" t="str">
        <f>"2026-07-29 13:18:12"</f>
        <v>2026-07-29 13:18:12</v>
      </c>
      <c r="L13340" s="1" t="str">
        <f>"2019-12-11 18:19:44"</f>
        <v>2019-12-11 18:19:44</v>
      </c>
      <c r="M13340" s="1" t="s">
        <v>1</v>
      </c>
      <c r="N13340" s="1" t="s">
        <v>38</v>
      </c>
      <c r="O13340" s="1" t="s">
        <v>46</v>
      </c>
    </row>
    <row r="13341" spans="2:15" x14ac:dyDescent="0.3">
      <c r="B13341" s="1" t="s">
        <v>20</v>
      </c>
      <c r="C13341" s="1" t="str">
        <f>"4차"</f>
        <v>4차</v>
      </c>
      <c r="D13341" s="1" t="str">
        <f>"9825X13444"</f>
        <v>9825X13444</v>
      </c>
      <c r="E13341" s="1" t="s">
        <v>10</v>
      </c>
      <c r="F13341" s="1" t="str">
        <f>"10.10.138.226"</f>
        <v>10.10.138.226</v>
      </c>
      <c r="G13341" s="1" t="str">
        <f>"9825X134"</f>
        <v>9825X134</v>
      </c>
      <c r="H13341" s="1" t="str">
        <f>"마용간 34R8R2"</f>
        <v>마용간 34R8R2</v>
      </c>
      <c r="I13341" s="1" t="s">
        <v>8</v>
      </c>
      <c r="J13341" s="1" t="str">
        <f>"42/42"</f>
        <v>42/42</v>
      </c>
      <c r="K13341" s="1" t="str">
        <f>"2026-07-29 13:18:12"</f>
        <v>2026-07-29 13:18:12</v>
      </c>
      <c r="L13341" s="1" t="str">
        <f>"2019-12-11 18:19:16"</f>
        <v>2019-12-11 18:19:16</v>
      </c>
      <c r="M13341" s="1" t="s">
        <v>1</v>
      </c>
      <c r="N13341" s="1" t="s">
        <v>38</v>
      </c>
      <c r="O13341" s="1" t="s">
        <v>46</v>
      </c>
    </row>
    <row r="13342" spans="2:15" x14ac:dyDescent="0.3">
      <c r="B13342" s="1" t="s">
        <v>20</v>
      </c>
      <c r="C13342" s="1" t="str">
        <f>"4차"</f>
        <v>4차</v>
      </c>
      <c r="D13342" s="1" t="str">
        <f>"9825X14244"</f>
        <v>9825X14244</v>
      </c>
      <c r="E13342" s="1" t="s">
        <v>10</v>
      </c>
      <c r="F13342" s="1" t="str">
        <f>"10.10.138.210"</f>
        <v>10.10.138.210</v>
      </c>
      <c r="G13342" s="1" t="str">
        <f>"9825X142"</f>
        <v>9825X142</v>
      </c>
      <c r="H13342" s="1" t="str">
        <f>"마용간 34R4"</f>
        <v>마용간 34R4</v>
      </c>
      <c r="I13342" s="1" t="s">
        <v>8</v>
      </c>
      <c r="J13342" s="1" t="str">
        <f>"19/19"</f>
        <v>19/19</v>
      </c>
      <c r="K13342" s="1" t="str">
        <f>"2026-07-29 13:18:12"</f>
        <v>2026-07-29 13:18:12</v>
      </c>
      <c r="L13342" s="1" t="str">
        <f>"2020-01-21 16:16:41"</f>
        <v>2020-01-21 16:16:41</v>
      </c>
      <c r="M13342" s="1" t="s">
        <v>1</v>
      </c>
      <c r="N13342" s="1" t="s">
        <v>38</v>
      </c>
      <c r="O13342" s="1" t="s">
        <v>46</v>
      </c>
    </row>
    <row r="13343" spans="2:15" x14ac:dyDescent="0.3">
      <c r="B13343" s="1" t="s">
        <v>20</v>
      </c>
      <c r="C13343" s="1" t="str">
        <f>"6차"</f>
        <v>6차</v>
      </c>
      <c r="D13343" s="1" t="str">
        <f>"9825X1646M"</f>
        <v>9825X1646M</v>
      </c>
      <c r="E13343" s="1" t="s">
        <v>10</v>
      </c>
      <c r="F13343" s="1" t="str">
        <f>"fde1:103:4:c740:0:0:0:2"</f>
        <v>fde1:103:4:c740:0:0:0:2</v>
      </c>
      <c r="G13343" s="1" t="str">
        <f>"9825X164"</f>
        <v>9825X164</v>
      </c>
      <c r="H13343" s="1" t="str">
        <f>"마용간 35H1R2"</f>
        <v>마용간 35H1R2</v>
      </c>
      <c r="I13343" s="1" t="s">
        <v>15</v>
      </c>
      <c r="J13343" s="1" t="str">
        <f>"25/25"</f>
        <v>25/25</v>
      </c>
      <c r="K13343" s="1" t="str">
        <f>"2026-07-29 14:21:39"</f>
        <v>2026-07-29 14:21:39</v>
      </c>
      <c r="L13343" s="1" t="str">
        <f>"2024-11-22 15:44:46"</f>
        <v>2024-11-22 15:44:46</v>
      </c>
      <c r="M13343" s="1" t="s">
        <v>4</v>
      </c>
      <c r="N13343" s="1" t="s">
        <v>38</v>
      </c>
      <c r="O13343" s="1" t="s">
        <v>46</v>
      </c>
    </row>
    <row r="13344" spans="2:15" x14ac:dyDescent="0.3">
      <c r="B13344" s="1" t="s">
        <v>20</v>
      </c>
      <c r="C13344" s="1" t="str">
        <f>"4차"</f>
        <v>4차</v>
      </c>
      <c r="D13344" s="1" t="str">
        <f>"9825X22144"</f>
        <v>9825X22144</v>
      </c>
      <c r="E13344" s="1" t="s">
        <v>10</v>
      </c>
      <c r="F13344" s="1" t="str">
        <f>"10.10.138.146"</f>
        <v>10.10.138.146</v>
      </c>
      <c r="G13344" s="1" t="str">
        <f>"9825X221"</f>
        <v>9825X221</v>
      </c>
      <c r="H13344" s="1" t="str">
        <f>"마용간 34R13"</f>
        <v>마용간 34R13</v>
      </c>
      <c r="I13344" s="1" t="s">
        <v>8</v>
      </c>
      <c r="J13344" s="1" t="str">
        <f>"25/25"</f>
        <v>25/25</v>
      </c>
      <c r="K13344" s="1" t="str">
        <f>"2026-07-29 13:18:12"</f>
        <v>2026-07-29 13:18:12</v>
      </c>
      <c r="L13344" s="1" t="str">
        <f>"2020-01-10 17:18:09"</f>
        <v>2020-01-10 17:18:09</v>
      </c>
      <c r="M13344" s="1" t="s">
        <v>1</v>
      </c>
      <c r="N13344" s="1" t="s">
        <v>38</v>
      </c>
      <c r="O13344" s="1" t="s">
        <v>46</v>
      </c>
    </row>
    <row r="13345" spans="2:15" x14ac:dyDescent="0.3">
      <c r="B13345" s="1" t="s">
        <v>20</v>
      </c>
      <c r="C13345" s="1" t="str">
        <f>"4차"</f>
        <v>4차</v>
      </c>
      <c r="D13345" s="1" t="str">
        <f>"9825X24244"</f>
        <v>9825X24244</v>
      </c>
      <c r="E13345" s="1" t="s">
        <v>10</v>
      </c>
      <c r="F13345" s="1" t="str">
        <f>"10.10.138.194"</f>
        <v>10.10.138.194</v>
      </c>
      <c r="G13345" s="1" t="str">
        <f>"9825X242"</f>
        <v>9825X242</v>
      </c>
      <c r="H13345" s="1" t="str">
        <f>"마용간 34R6"</f>
        <v>마용간 34R6</v>
      </c>
      <c r="I13345" s="1" t="s">
        <v>8</v>
      </c>
      <c r="J13345" s="1" t="str">
        <f>"27/27"</f>
        <v>27/27</v>
      </c>
      <c r="K13345" s="1" t="str">
        <f>"2026-07-29 13:18:12"</f>
        <v>2026-07-29 13:18:12</v>
      </c>
      <c r="L13345" s="1" t="str">
        <f>"2019-12-11 18:14:05"</f>
        <v>2019-12-11 18:14:05</v>
      </c>
      <c r="M13345" s="1" t="s">
        <v>1</v>
      </c>
      <c r="N13345" s="1" t="s">
        <v>38</v>
      </c>
      <c r="O13345" s="1" t="s">
        <v>46</v>
      </c>
    </row>
    <row r="13346" spans="2:15" x14ac:dyDescent="0.3">
      <c r="B13346" s="1" t="s">
        <v>20</v>
      </c>
      <c r="C13346" s="1" t="str">
        <f>"4차"</f>
        <v>4차</v>
      </c>
      <c r="D13346" s="1" t="str">
        <f>"9825X24344"</f>
        <v>9825X24344</v>
      </c>
      <c r="E13346" s="1" t="s">
        <v>10</v>
      </c>
      <c r="F13346" s="1" t="str">
        <f>"10.10.138.218"</f>
        <v>10.10.138.218</v>
      </c>
      <c r="G13346" s="1" t="str">
        <f>"9825X243"</f>
        <v>9825X243</v>
      </c>
      <c r="H13346" s="1" t="str">
        <f>"마용간 34R6L1"</f>
        <v>마용간 34R6L1</v>
      </c>
      <c r="I13346" s="1" t="s">
        <v>8</v>
      </c>
      <c r="J13346" s="1" t="str">
        <f>"14/14"</f>
        <v>14/14</v>
      </c>
      <c r="K13346" s="1" t="str">
        <f>"2026-07-29 13:18:12"</f>
        <v>2026-07-29 13:18:12</v>
      </c>
      <c r="L13346" s="1" t="str">
        <f>"2019-12-12 01:54:16"</f>
        <v>2019-12-12 01:54:16</v>
      </c>
      <c r="M13346" s="1" t="s">
        <v>1</v>
      </c>
      <c r="N13346" s="1" t="s">
        <v>38</v>
      </c>
      <c r="O13346" s="1" t="s">
        <v>46</v>
      </c>
    </row>
    <row r="13347" spans="2:15" x14ac:dyDescent="0.3">
      <c r="B13347" s="1" t="s">
        <v>20</v>
      </c>
      <c r="C13347" s="1" t="str">
        <f>"6차"</f>
        <v>6차</v>
      </c>
      <c r="D13347" s="1" t="str">
        <f>"9825X2526M"</f>
        <v>9825X2526M</v>
      </c>
      <c r="E13347" s="1" t="s">
        <v>10</v>
      </c>
      <c r="F13347" s="1" t="str">
        <f>"fde1:103:4:c78e:0:0:0:2"</f>
        <v>fde1:103:4:c78e:0:0:0:2</v>
      </c>
      <c r="G13347" s="1" t="str">
        <f>"9825X252"</f>
        <v>9825X252</v>
      </c>
      <c r="H13347" s="1" t="str">
        <f>"마용간 35H1R3"</f>
        <v>마용간 35H1R3</v>
      </c>
      <c r="I13347" s="1" t="s">
        <v>15</v>
      </c>
      <c r="J13347" s="1" t="str">
        <f>"22/22"</f>
        <v>22/22</v>
      </c>
      <c r="K13347" s="1" t="str">
        <f>"2026-07-29 14:21:31"</f>
        <v>2026-07-29 14:21:31</v>
      </c>
      <c r="L13347" s="1" t="str">
        <f>"2024-11-22 15:45:27"</f>
        <v>2024-11-22 15:45:27</v>
      </c>
      <c r="M13347" s="1" t="s">
        <v>4</v>
      </c>
      <c r="N13347" s="1" t="s">
        <v>38</v>
      </c>
      <c r="O13347" s="1" t="s">
        <v>46</v>
      </c>
    </row>
    <row r="13348" spans="2:15" x14ac:dyDescent="0.3">
      <c r="B13348" s="1" t="s">
        <v>20</v>
      </c>
      <c r="C13348" s="1" t="str">
        <f>"6차"</f>
        <v>6차</v>
      </c>
      <c r="D13348" s="1" t="str">
        <f>"9825X2616M"</f>
        <v>9825X2616M</v>
      </c>
      <c r="E13348" s="1" t="s">
        <v>10</v>
      </c>
      <c r="F13348" s="1" t="str">
        <f>"fde1:103:4:c7b4:0:0:0:2"</f>
        <v>fde1:103:4:c7b4:0:0:0:2</v>
      </c>
      <c r="G13348" s="1" t="str">
        <f>"9825X261"</f>
        <v>9825X261</v>
      </c>
      <c r="H13348" s="1" t="str">
        <f>"마용간 36R1"</f>
        <v>마용간 36R1</v>
      </c>
      <c r="I13348" s="1" t="s">
        <v>15</v>
      </c>
      <c r="J13348" s="1" t="str">
        <f>"74/78"</f>
        <v>74/78</v>
      </c>
      <c r="K13348" s="1" t="str">
        <f>"2026-07-29 14:21:40"</f>
        <v>2026-07-29 14:21:40</v>
      </c>
      <c r="L13348" s="1" t="str">
        <f>"2024-11-25 10:55:26"</f>
        <v>2024-11-25 10:55:26</v>
      </c>
      <c r="M13348" s="1" t="s">
        <v>4</v>
      </c>
      <c r="N13348" s="1" t="s">
        <v>38</v>
      </c>
      <c r="O13348" s="1" t="s">
        <v>46</v>
      </c>
    </row>
    <row r="13349" spans="2:15" x14ac:dyDescent="0.3">
      <c r="B13349" s="1" t="s">
        <v>20</v>
      </c>
      <c r="C13349" s="1" t="str">
        <f>"6차"</f>
        <v>6차</v>
      </c>
      <c r="D13349" s="1" t="str">
        <f>"9825X2736M"</f>
        <v>9825X2736M</v>
      </c>
      <c r="E13349" s="1" t="s">
        <v>10</v>
      </c>
      <c r="F13349" s="1" t="str">
        <f>"fde1:103:4:c7f5:0:0:0:2"</f>
        <v>fde1:103:4:c7f5:0:0:0:2</v>
      </c>
      <c r="G13349" s="1" t="str">
        <f>"9825X273"</f>
        <v>9825X273</v>
      </c>
      <c r="H13349" s="1" t="str">
        <f>"마용간 37R2"</f>
        <v>마용간 37R2</v>
      </c>
      <c r="I13349" s="1" t="s">
        <v>15</v>
      </c>
      <c r="J13349" s="1" t="str">
        <f>"42/45"</f>
        <v>42/45</v>
      </c>
      <c r="K13349" s="1" t="str">
        <f>"2026-07-29 14:21:42"</f>
        <v>2026-07-29 14:21:42</v>
      </c>
      <c r="L13349" s="1" t="str">
        <f>"2024-11-25 10:56:04"</f>
        <v>2024-11-25 10:56:04</v>
      </c>
      <c r="M13349" s="1" t="s">
        <v>4</v>
      </c>
      <c r="N13349" s="1" t="s">
        <v>38</v>
      </c>
      <c r="O13349" s="1" t="s">
        <v>46</v>
      </c>
    </row>
    <row r="13350" spans="2:15" x14ac:dyDescent="0.3">
      <c r="B13350" s="1" t="s">
        <v>20</v>
      </c>
      <c r="C13350" s="1" t="str">
        <f>"4차"</f>
        <v>4차</v>
      </c>
      <c r="D13350" s="1" t="str">
        <f>"9825X31141"</f>
        <v>9825X31141</v>
      </c>
      <c r="E13350" s="1" t="s">
        <v>10</v>
      </c>
      <c r="F13350" s="1" t="str">
        <f>"10.14.12.112"</f>
        <v>10.14.12.112</v>
      </c>
      <c r="G13350" s="1" t="str">
        <f>"9825X311"</f>
        <v>9825X311</v>
      </c>
      <c r="H13350" s="1" t="str">
        <f>"효청간 52L2L2R1"</f>
        <v>효청간 52L2L2R1</v>
      </c>
      <c r="I13350" s="1" t="s">
        <v>17</v>
      </c>
      <c r="J13350" s="1" t="str">
        <f>"3/3"</f>
        <v>3/3</v>
      </c>
      <c r="K13350" s="1" t="str">
        <f>"2026-07-29 13:18:13"</f>
        <v>2026-07-29 13:18:13</v>
      </c>
      <c r="L13350" s="1" t="str">
        <f>"2021-08-26 16:48:03"</f>
        <v>2021-08-26 16:48:03</v>
      </c>
      <c r="M13350" s="1" t="s">
        <v>3</v>
      </c>
      <c r="N13350" s="1" t="s">
        <v>38</v>
      </c>
      <c r="O13350" s="1" t="s">
        <v>46</v>
      </c>
    </row>
    <row r="13351" spans="2:15" x14ac:dyDescent="0.3">
      <c r="B13351" s="1" t="s">
        <v>20</v>
      </c>
      <c r="C13351" s="1" t="str">
        <f>"5-2차"</f>
        <v>5-2차</v>
      </c>
      <c r="D13351" s="1" t="str">
        <f>"9825X3215M"</f>
        <v>9825X3215M</v>
      </c>
      <c r="E13351" s="1" t="s">
        <v>10</v>
      </c>
      <c r="F13351" s="1" t="str">
        <f>"fde1:103:4:55d2:0:0:0:2"</f>
        <v>fde1:103:4:55d2:0:0:0:2</v>
      </c>
      <c r="G13351" s="1" t="str">
        <f>"9825X321"</f>
        <v>9825X321</v>
      </c>
      <c r="H13351" s="1" t="str">
        <f>"마용간 34R11"</f>
        <v>마용간 34R11</v>
      </c>
      <c r="I13351" s="1" t="s">
        <v>15</v>
      </c>
      <c r="J13351" s="1" t="str">
        <f>"30/33"</f>
        <v>30/33</v>
      </c>
      <c r="K13351" s="1" t="str">
        <f>"2026-07-29 14:21:40"</f>
        <v>2026-07-29 14:21:40</v>
      </c>
      <c r="L13351" s="1" t="str">
        <f>"2023-09-04 10:31:07"</f>
        <v>2023-09-04 10:31:07</v>
      </c>
      <c r="M13351" s="1" t="s">
        <v>4</v>
      </c>
      <c r="N13351" s="1" t="s">
        <v>38</v>
      </c>
      <c r="O13351" s="1" t="s">
        <v>46</v>
      </c>
    </row>
    <row r="13352" spans="2:15" x14ac:dyDescent="0.3">
      <c r="B13352" s="1" t="s">
        <v>20</v>
      </c>
      <c r="C13352" s="1" t="str">
        <f>"4차"</f>
        <v>4차</v>
      </c>
      <c r="D13352" s="1" t="str">
        <f>"9825X32444"</f>
        <v>9825X32444</v>
      </c>
      <c r="E13352" s="1" t="s">
        <v>10</v>
      </c>
      <c r="F13352" s="1" t="str">
        <f>"10.10.138.186"</f>
        <v>10.10.138.186</v>
      </c>
      <c r="G13352" s="1" t="str">
        <f>"9825X324"</f>
        <v>9825X324</v>
      </c>
      <c r="H13352" s="1" t="str">
        <f>"마용간 34R9"</f>
        <v>마용간 34R9</v>
      </c>
      <c r="I13352" s="1" t="s">
        <v>8</v>
      </c>
      <c r="J13352" s="1" t="str">
        <f>"7/12"</f>
        <v>7/12</v>
      </c>
      <c r="K13352" s="1" t="str">
        <f>"2026-07-29 13:18:12"</f>
        <v>2026-07-29 13:18:12</v>
      </c>
      <c r="L13352" s="1" t="str">
        <f>"2019-12-11 18:14:16"</f>
        <v>2019-12-11 18:14:16</v>
      </c>
      <c r="M13352" s="1" t="s">
        <v>1</v>
      </c>
      <c r="N13352" s="1" t="s">
        <v>38</v>
      </c>
      <c r="O13352" s="1" t="s">
        <v>46</v>
      </c>
    </row>
    <row r="13353" spans="2:15" x14ac:dyDescent="0.3">
      <c r="B13353" s="1" t="s">
        <v>20</v>
      </c>
      <c r="C13353" s="1" t="str">
        <f>"4차"</f>
        <v>4차</v>
      </c>
      <c r="D13353" s="1" t="str">
        <f>"9825X33244"</f>
        <v>9825X33244</v>
      </c>
      <c r="E13353" s="1" t="s">
        <v>10</v>
      </c>
      <c r="F13353" s="1" t="str">
        <f>"10.10.138.234"</f>
        <v>10.10.138.234</v>
      </c>
      <c r="G13353" s="1" t="str">
        <f>"9825X332"</f>
        <v>9825X332</v>
      </c>
      <c r="H13353" s="1" t="str">
        <f>"마용간 34R7"</f>
        <v>마용간 34R7</v>
      </c>
      <c r="I13353" s="1" t="s">
        <v>8</v>
      </c>
      <c r="J13353" s="1" t="str">
        <f>"25/25"</f>
        <v>25/25</v>
      </c>
      <c r="K13353" s="1" t="str">
        <f>"2026-07-29 13:18:12"</f>
        <v>2026-07-29 13:18:12</v>
      </c>
      <c r="L13353" s="1" t="str">
        <f>"2019-12-11 18:15:16"</f>
        <v>2019-12-11 18:15:16</v>
      </c>
      <c r="M13353" s="1" t="s">
        <v>1</v>
      </c>
      <c r="N13353" s="1" t="s">
        <v>38</v>
      </c>
      <c r="O13353" s="1" t="s">
        <v>46</v>
      </c>
    </row>
    <row r="13354" spans="2:15" x14ac:dyDescent="0.3">
      <c r="B13354" s="1" t="s">
        <v>20</v>
      </c>
      <c r="C13354" s="1" t="str">
        <f>"4차"</f>
        <v>4차</v>
      </c>
      <c r="D13354" s="1" t="str">
        <f>"9825X33344"</f>
        <v>9825X33344</v>
      </c>
      <c r="E13354" s="1" t="s">
        <v>10</v>
      </c>
      <c r="F13354" s="1" t="str">
        <f>"10.10.138.202"</f>
        <v>10.10.138.202</v>
      </c>
      <c r="G13354" s="1" t="str">
        <f>"9825X333"</f>
        <v>9825X333</v>
      </c>
      <c r="H13354" s="1" t="str">
        <f>"마용간 34R7L1"</f>
        <v>마용간 34R7L1</v>
      </c>
      <c r="I13354" s="1" t="s">
        <v>8</v>
      </c>
      <c r="J13354" s="1" t="str">
        <f>"33/33"</f>
        <v>33/33</v>
      </c>
      <c r="K13354" s="1" t="str">
        <f>"2026-07-29 13:18:12"</f>
        <v>2026-07-29 13:18:12</v>
      </c>
      <c r="L13354" s="1" t="str">
        <f>"2020-01-10 17:25:13"</f>
        <v>2020-01-10 17:25:13</v>
      </c>
      <c r="M13354" s="1" t="s">
        <v>1</v>
      </c>
      <c r="N13354" s="1" t="s">
        <v>38</v>
      </c>
      <c r="O13354" s="1" t="s">
        <v>46</v>
      </c>
    </row>
    <row r="13355" spans="2:15" x14ac:dyDescent="0.3">
      <c r="B13355" s="1" t="s">
        <v>20</v>
      </c>
      <c r="C13355" s="1" t="str">
        <f>"6차"</f>
        <v>6차</v>
      </c>
      <c r="D13355" s="1" t="str">
        <f>"9825X3516M"</f>
        <v>9825X3516M</v>
      </c>
      <c r="E13355" s="1" t="s">
        <v>10</v>
      </c>
      <c r="F13355" s="1" t="str">
        <f>"fde1:103:4:c71d:0:0:0:2"</f>
        <v>fde1:103:4:c71d:0:0:0:2</v>
      </c>
      <c r="G13355" s="1" t="str">
        <f>"9825X351"</f>
        <v>9825X351</v>
      </c>
      <c r="H13355" s="1" t="str">
        <f>"마용간 34R7L6"</f>
        <v>마용간 34R7L6</v>
      </c>
      <c r="I13355" s="1" t="s">
        <v>15</v>
      </c>
      <c r="J13355" s="1" t="str">
        <f>"23/23"</f>
        <v>23/23</v>
      </c>
      <c r="K13355" s="1" t="str">
        <f>"2026-07-29 14:21:31"</f>
        <v>2026-07-29 14:21:31</v>
      </c>
      <c r="L13355" s="1" t="str">
        <f>"2024-11-22 15:46:18"</f>
        <v>2024-11-22 15:46:18</v>
      </c>
      <c r="M13355" s="1" t="s">
        <v>4</v>
      </c>
      <c r="N13355" s="1" t="s">
        <v>38</v>
      </c>
      <c r="O13355" s="1" t="s">
        <v>46</v>
      </c>
    </row>
    <row r="13356" spans="2:15" x14ac:dyDescent="0.3">
      <c r="B13356" s="1" t="s">
        <v>20</v>
      </c>
      <c r="C13356" s="1" t="str">
        <f>"6차"</f>
        <v>6차</v>
      </c>
      <c r="D13356" s="1" t="str">
        <f>"9825X3546M"</f>
        <v>9825X3546M</v>
      </c>
      <c r="E13356" s="1" t="s">
        <v>10</v>
      </c>
      <c r="F13356" s="1" t="str">
        <f>"fde1:103:4:c70f:0:0:0:2"</f>
        <v>fde1:103:4:c70f:0:0:0:2</v>
      </c>
      <c r="G13356" s="1" t="str">
        <f>"9825X354"</f>
        <v>9825X354</v>
      </c>
      <c r="H13356" s="1" t="str">
        <f>"마용간 34R7L5"</f>
        <v>마용간 34R7L5</v>
      </c>
      <c r="I13356" s="1" t="s">
        <v>15</v>
      </c>
      <c r="J13356" s="1" t="str">
        <f>"30/30"</f>
        <v>30/30</v>
      </c>
      <c r="K13356" s="1" t="str">
        <f>"2026-07-29 14:21:19"</f>
        <v>2026-07-29 14:21:19</v>
      </c>
      <c r="L13356" s="1" t="str">
        <f>"2024-11-22 15:47:00"</f>
        <v>2024-11-22 15:47:00</v>
      </c>
      <c r="M13356" s="1" t="s">
        <v>4</v>
      </c>
      <c r="N13356" s="1" t="s">
        <v>38</v>
      </c>
      <c r="O13356" s="1" t="s">
        <v>46</v>
      </c>
    </row>
    <row r="13357" spans="2:15" x14ac:dyDescent="0.3">
      <c r="B13357" s="1" t="s">
        <v>20</v>
      </c>
      <c r="C13357" s="1" t="str">
        <f>"6차"</f>
        <v>6차</v>
      </c>
      <c r="D13357" s="1" t="str">
        <f>"9825X3616M"</f>
        <v>9825X3616M</v>
      </c>
      <c r="E13357" s="1" t="s">
        <v>10</v>
      </c>
      <c r="F13357" s="1" t="str">
        <f>"fde1:103:4:c81c:0:0:0:2"</f>
        <v>fde1:103:4:c81c:0:0:0:2</v>
      </c>
      <c r="G13357" s="1" t="str">
        <f>"9825X361"</f>
        <v>9825X361</v>
      </c>
      <c r="H13357" s="1" t="str">
        <f>"마용간 37R5"</f>
        <v>마용간 37R5</v>
      </c>
      <c r="I13357" s="1" t="s">
        <v>15</v>
      </c>
      <c r="J13357" s="1" t="str">
        <f>"50/50"</f>
        <v>50/50</v>
      </c>
      <c r="K13357" s="1" t="str">
        <f>"2026-07-29 14:21:40"</f>
        <v>2026-07-29 14:21:40</v>
      </c>
      <c r="L13357" s="1" t="str">
        <f>"2024-11-25 10:56:43"</f>
        <v>2024-11-25 10:56:43</v>
      </c>
      <c r="M13357" s="1" t="s">
        <v>4</v>
      </c>
      <c r="N13357" s="1" t="s">
        <v>38</v>
      </c>
      <c r="O13357" s="1" t="s">
        <v>46</v>
      </c>
    </row>
    <row r="13358" spans="2:15" x14ac:dyDescent="0.3">
      <c r="B13358" s="1" t="s">
        <v>20</v>
      </c>
      <c r="C13358" s="1" t="str">
        <f>"6차"</f>
        <v>6차</v>
      </c>
      <c r="D13358" s="1" t="str">
        <f>"9825X3636M"</f>
        <v>9825X3636M</v>
      </c>
      <c r="E13358" s="1" t="s">
        <v>10</v>
      </c>
      <c r="F13358" s="1" t="str">
        <f>"fde1:103:4:c7f8:0:0:0:2"</f>
        <v>fde1:103:4:c7f8:0:0:0:2</v>
      </c>
      <c r="G13358" s="1" t="str">
        <f>"9825X363"</f>
        <v>9825X363</v>
      </c>
      <c r="H13358" s="1" t="str">
        <f>"마용간 37R3"</f>
        <v>마용간 37R3</v>
      </c>
      <c r="I13358" s="1" t="s">
        <v>15</v>
      </c>
      <c r="J13358" s="1" t="str">
        <f>"32/32"</f>
        <v>32/32</v>
      </c>
      <c r="K13358" s="1" t="str">
        <f>"2026-07-29 14:21:12"</f>
        <v>2026-07-29 14:21:12</v>
      </c>
      <c r="L13358" s="1" t="str">
        <f>"2024-11-25 10:57:29"</f>
        <v>2024-11-25 10:57:29</v>
      </c>
      <c r="M13358" s="1" t="s">
        <v>4</v>
      </c>
      <c r="N13358" s="1" t="s">
        <v>38</v>
      </c>
      <c r="O13358" s="1" t="s">
        <v>46</v>
      </c>
    </row>
    <row r="13359" spans="2:15" x14ac:dyDescent="0.3">
      <c r="B13359" s="1" t="s">
        <v>20</v>
      </c>
      <c r="C13359" s="1" t="str">
        <f>"1차"</f>
        <v>1차</v>
      </c>
      <c r="D13359" s="1" t="str">
        <f>"9825X41100"</f>
        <v>9825X41100</v>
      </c>
      <c r="E13359" s="1" t="s">
        <v>10</v>
      </c>
      <c r="F13359" s="1" t="str">
        <f>"10.125.227.154"</f>
        <v>10.125.227.154</v>
      </c>
      <c r="G13359" s="1" t="str">
        <f>"9825X411"</f>
        <v>9825X411</v>
      </c>
      <c r="H13359" s="1" t="str">
        <f>"효청간 52L2L2"</f>
        <v>효청간 52L2L2</v>
      </c>
      <c r="I13359" s="1" t="s">
        <v>8</v>
      </c>
      <c r="J13359" s="1" t="str">
        <f>"25/27"</f>
        <v>25/27</v>
      </c>
      <c r="K13359" s="1" t="str">
        <f>"2026-07-29 13:18:12"</f>
        <v>2026-07-29 13:18:12</v>
      </c>
      <c r="L13359" s="1" t="str">
        <f>"2014-12-04 10:40:19"</f>
        <v>2014-12-04 10:40:19</v>
      </c>
      <c r="M13359" s="1" t="s">
        <v>45</v>
      </c>
      <c r="N13359" s="1" t="s">
        <v>38</v>
      </c>
      <c r="O13359" s="1" t="s">
        <v>46</v>
      </c>
    </row>
    <row r="13360" spans="2:15" x14ac:dyDescent="0.3">
      <c r="B13360" s="1" t="s">
        <v>20</v>
      </c>
      <c r="C13360" s="1" t="str">
        <f>"4차"</f>
        <v>4차</v>
      </c>
      <c r="D13360" s="1" t="str">
        <f>"9825X42144"</f>
        <v>9825X42144</v>
      </c>
      <c r="E13360" s="1" t="s">
        <v>10</v>
      </c>
      <c r="F13360" s="1" t="str">
        <f>"10.10.139.82"</f>
        <v>10.10.139.82</v>
      </c>
      <c r="G13360" s="1" t="str">
        <f>"9825X421"</f>
        <v>9825X421</v>
      </c>
      <c r="H13360" s="1" t="str">
        <f>"효청간 52L5"</f>
        <v>효청간 52L5</v>
      </c>
      <c r="I13360" s="1" t="s">
        <v>8</v>
      </c>
      <c r="J13360" s="1" t="str">
        <f>"17/17"</f>
        <v>17/17</v>
      </c>
      <c r="K13360" s="1" t="str">
        <f>"2026-07-29 13:18:12"</f>
        <v>2026-07-29 13:18:12</v>
      </c>
      <c r="L13360" s="1" t="str">
        <f>"2020-01-10 17:18:00"</f>
        <v>2020-01-10 17:18:00</v>
      </c>
      <c r="M13360" s="1" t="s">
        <v>1</v>
      </c>
      <c r="N13360" s="1" t="s">
        <v>38</v>
      </c>
      <c r="O13360" s="1" t="s">
        <v>46</v>
      </c>
    </row>
    <row r="13361" spans="2:15" x14ac:dyDescent="0.3">
      <c r="B13361" s="1" t="s">
        <v>20</v>
      </c>
      <c r="C13361" s="1" t="str">
        <f>"6차"</f>
        <v>6차</v>
      </c>
      <c r="D13361" s="1" t="str">
        <f>"9825X4516M"</f>
        <v>9825X4516M</v>
      </c>
      <c r="E13361" s="1" t="s">
        <v>10</v>
      </c>
      <c r="F13361" s="1" t="str">
        <f>"fde1:103:4:c830:0:0:0:2"</f>
        <v>fde1:103:4:c830:0:0:0:2</v>
      </c>
      <c r="G13361" s="1" t="str">
        <f>"9825X451"</f>
        <v>9825X451</v>
      </c>
      <c r="H13361" s="1" t="str">
        <f>"마용간 34R7L4R1"</f>
        <v>마용간 34R7L4R1</v>
      </c>
      <c r="I13361" s="1" t="s">
        <v>15</v>
      </c>
      <c r="J13361" s="1" t="str">
        <f>"47/47"</f>
        <v>47/47</v>
      </c>
      <c r="K13361" s="1" t="str">
        <f>"2026-07-29 14:21:49"</f>
        <v>2026-07-29 14:21:49</v>
      </c>
      <c r="L13361" s="1" t="str">
        <f>"2024-11-22 15:47:47"</f>
        <v>2024-11-22 15:47:47</v>
      </c>
      <c r="M13361" s="1" t="s">
        <v>4</v>
      </c>
      <c r="N13361" s="1" t="s">
        <v>38</v>
      </c>
      <c r="O13361" s="1" t="s">
        <v>46</v>
      </c>
    </row>
    <row r="13362" spans="2:15" x14ac:dyDescent="0.3">
      <c r="B13362" s="1" t="s">
        <v>20</v>
      </c>
      <c r="C13362" s="1" t="str">
        <f>"4차"</f>
        <v>4차</v>
      </c>
      <c r="D13362" s="1" t="str">
        <f>"9825X51244"</f>
        <v>9825X51244</v>
      </c>
      <c r="E13362" s="1" t="s">
        <v>10</v>
      </c>
      <c r="F13362" s="1" t="str">
        <f>"10.10.139.90"</f>
        <v>10.10.139.90</v>
      </c>
      <c r="G13362" s="1" t="str">
        <f>"9825X512"</f>
        <v>9825X512</v>
      </c>
      <c r="H13362" s="1" t="str">
        <f>"효청간 52L3"</f>
        <v>효청간 52L3</v>
      </c>
      <c r="I13362" s="1" t="s">
        <v>8</v>
      </c>
      <c r="J13362" s="1" t="str">
        <f>"26/26"</f>
        <v>26/26</v>
      </c>
      <c r="K13362" s="1" t="str">
        <f>"2026-07-29 13:18:12"</f>
        <v>2026-07-29 13:18:12</v>
      </c>
      <c r="L13362" s="1" t="str">
        <f>"2019-12-11 18:18:08"</f>
        <v>2019-12-11 18:18:08</v>
      </c>
      <c r="M13362" s="1" t="s">
        <v>1</v>
      </c>
      <c r="N13362" s="1" t="s">
        <v>38</v>
      </c>
      <c r="O13362" s="1" t="s">
        <v>46</v>
      </c>
    </row>
    <row r="13363" spans="2:15" x14ac:dyDescent="0.3">
      <c r="B13363" s="1" t="s">
        <v>20</v>
      </c>
      <c r="C13363" s="1" t="str">
        <f>"4차"</f>
        <v>4차</v>
      </c>
      <c r="D13363" s="1" t="str">
        <f>"9825X52244"</f>
        <v>9825X52244</v>
      </c>
      <c r="E13363" s="1" t="s">
        <v>10</v>
      </c>
      <c r="F13363" s="1" t="str">
        <f>"10.10.139.42"</f>
        <v>10.10.139.42</v>
      </c>
      <c r="G13363" s="1" t="str">
        <f>"9825X522"</f>
        <v>9825X522</v>
      </c>
      <c r="H13363" s="1" t="str">
        <f>"효청간 52L1R4"</f>
        <v>효청간 52L1R4</v>
      </c>
      <c r="I13363" s="1" t="s">
        <v>8</v>
      </c>
      <c r="J13363" s="1" t="str">
        <f>"11/12"</f>
        <v>11/12</v>
      </c>
      <c r="K13363" s="1" t="str">
        <f>"2026-07-29 13:18:12"</f>
        <v>2026-07-29 13:18:12</v>
      </c>
      <c r="L13363" s="1" t="str">
        <f>"2019-12-11 18:17:05"</f>
        <v>2019-12-11 18:17:05</v>
      </c>
      <c r="M13363" s="1" t="s">
        <v>1</v>
      </c>
      <c r="N13363" s="1" t="s">
        <v>38</v>
      </c>
      <c r="O13363" s="1" t="s">
        <v>46</v>
      </c>
    </row>
    <row r="13364" spans="2:15" x14ac:dyDescent="0.3">
      <c r="B13364" s="1" t="s">
        <v>20</v>
      </c>
      <c r="C13364" s="1" t="str">
        <f>"4차"</f>
        <v>4차</v>
      </c>
      <c r="D13364" s="1" t="str">
        <f>"9825X53244"</f>
        <v>9825X53244</v>
      </c>
      <c r="E13364" s="1" t="s">
        <v>10</v>
      </c>
      <c r="F13364" s="1" t="str">
        <f>"10.10.138.250"</f>
        <v>10.10.138.250</v>
      </c>
      <c r="G13364" s="1" t="str">
        <f>"9825X532"</f>
        <v>9825X532</v>
      </c>
      <c r="H13364" s="1" t="str">
        <f>"효청간 61L11"</f>
        <v>효청간 61L11</v>
      </c>
      <c r="I13364" s="1" t="s">
        <v>8</v>
      </c>
      <c r="J13364" s="1" t="str">
        <f>"17/18"</f>
        <v>17/18</v>
      </c>
      <c r="K13364" s="1" t="str">
        <f>"2026-07-29 13:18:12"</f>
        <v>2026-07-29 13:18:12</v>
      </c>
      <c r="L13364" s="1" t="str">
        <f>"2019-12-11 18:12:15"</f>
        <v>2019-12-11 18:12:15</v>
      </c>
      <c r="M13364" s="1" t="s">
        <v>1</v>
      </c>
      <c r="N13364" s="1" t="s">
        <v>38</v>
      </c>
      <c r="O13364" s="1" t="s">
        <v>46</v>
      </c>
    </row>
    <row r="13365" spans="2:15" x14ac:dyDescent="0.3">
      <c r="B13365" s="1" t="s">
        <v>20</v>
      </c>
      <c r="C13365" s="1" t="str">
        <f>"6차"</f>
        <v>6차</v>
      </c>
      <c r="D13365" s="1" t="str">
        <f>"9825X5726M"</f>
        <v>9825X5726M</v>
      </c>
      <c r="E13365" s="1" t="s">
        <v>10</v>
      </c>
      <c r="F13365" s="1" t="str">
        <f>"fde1:103:4:c729:0:0:0:2"</f>
        <v>fde1:103:4:c729:0:0:0:2</v>
      </c>
      <c r="G13365" s="1" t="str">
        <f>"9825X572"</f>
        <v>9825X572</v>
      </c>
      <c r="H13365" s="1" t="str">
        <f>"효청간 63L11"</f>
        <v>효청간 63L11</v>
      </c>
      <c r="I13365" s="1" t="s">
        <v>15</v>
      </c>
      <c r="J13365" s="1" t="str">
        <f>"26/26"</f>
        <v>26/26</v>
      </c>
      <c r="K13365" s="1" t="str">
        <f>"2026-07-29 14:21:24"</f>
        <v>2026-07-29 14:21:24</v>
      </c>
      <c r="L13365" s="1" t="str">
        <f>"2024-11-26 13:46:08"</f>
        <v>2024-11-26 13:46:08</v>
      </c>
      <c r="M13365" s="1" t="s">
        <v>4</v>
      </c>
      <c r="N13365" s="1" t="s">
        <v>38</v>
      </c>
      <c r="O13365" s="1" t="s">
        <v>46</v>
      </c>
    </row>
    <row r="13366" spans="2:15" x14ac:dyDescent="0.3">
      <c r="B13366" s="1" t="s">
        <v>20</v>
      </c>
      <c r="C13366" s="1" t="str">
        <f>"4차"</f>
        <v>4차</v>
      </c>
      <c r="D13366" s="1" t="str">
        <f>"9825X58344"</f>
        <v>9825X58344</v>
      </c>
      <c r="E13366" s="1" t="s">
        <v>10</v>
      </c>
      <c r="F13366" s="1" t="str">
        <f>"10.10.138.138"</f>
        <v>10.10.138.138</v>
      </c>
      <c r="G13366" s="1" t="str">
        <f>"9825X583"</f>
        <v>9825X583</v>
      </c>
      <c r="H13366" s="1" t="str">
        <f>"효청간 63L13"</f>
        <v>효청간 63L13</v>
      </c>
      <c r="I13366" s="1" t="s">
        <v>8</v>
      </c>
      <c r="J13366" s="1" t="str">
        <f>"39/40"</f>
        <v>39/40</v>
      </c>
      <c r="K13366" s="1" t="str">
        <f>"2026-07-29 13:18:12"</f>
        <v>2026-07-29 13:18:12</v>
      </c>
      <c r="L13366" s="1" t="str">
        <f>"2019-12-11 18:18:58"</f>
        <v>2019-12-11 18:18:58</v>
      </c>
      <c r="M13366" s="1" t="s">
        <v>1</v>
      </c>
      <c r="N13366" s="1" t="s">
        <v>38</v>
      </c>
      <c r="O13366" s="1" t="s">
        <v>46</v>
      </c>
    </row>
    <row r="13367" spans="2:15" x14ac:dyDescent="0.3">
      <c r="B13367" s="1" t="s">
        <v>20</v>
      </c>
      <c r="C13367" s="1" t="str">
        <f>"4차"</f>
        <v>4차</v>
      </c>
      <c r="D13367" s="1" t="str">
        <f>"9825X60144"</f>
        <v>9825X60144</v>
      </c>
      <c r="E13367" s="1" t="s">
        <v>10</v>
      </c>
      <c r="F13367" s="1" t="str">
        <f>"10.125.239.90"</f>
        <v>10.125.239.90</v>
      </c>
      <c r="G13367" s="1" t="str">
        <f>"9825X601"</f>
        <v>9825X601</v>
      </c>
      <c r="H13367" s="1" t="str">
        <f>"효청간 51"</f>
        <v>효청간 51</v>
      </c>
      <c r="I13367" s="1" t="s">
        <v>8</v>
      </c>
      <c r="J13367" s="1" t="str">
        <f>"1/10"</f>
        <v>1/10</v>
      </c>
      <c r="K13367" s="1" t="str">
        <f>"2026-07-29 13:18:12"</f>
        <v>2026-07-29 13:18:12</v>
      </c>
      <c r="L13367" s="1" t="str">
        <f>"2020-01-14 11:39:39"</f>
        <v>2020-01-14 11:39:39</v>
      </c>
      <c r="M13367" s="1" t="s">
        <v>45</v>
      </c>
      <c r="N13367" s="1" t="s">
        <v>38</v>
      </c>
      <c r="O13367" s="1" t="s">
        <v>46</v>
      </c>
    </row>
    <row r="13368" spans="2:15" x14ac:dyDescent="0.3">
      <c r="B13368" s="1" t="s">
        <v>20</v>
      </c>
      <c r="C13368" s="1" t="str">
        <f>"4차"</f>
        <v>4차</v>
      </c>
      <c r="D13368" s="1" t="str">
        <f>"9825X60244"</f>
        <v>9825X60244</v>
      </c>
      <c r="E13368" s="1" t="s">
        <v>10</v>
      </c>
      <c r="F13368" s="1" t="str">
        <f>"10.10.141.210"</f>
        <v>10.10.141.210</v>
      </c>
      <c r="G13368" s="1" t="str">
        <f>"9825X602"</f>
        <v>9825X602</v>
      </c>
      <c r="H13368" s="1" t="str">
        <f>"효청간 52L1"</f>
        <v>효청간 52L1</v>
      </c>
      <c r="I13368" s="1" t="s">
        <v>8</v>
      </c>
      <c r="J13368" s="1" t="str">
        <f>"22/22"</f>
        <v>22/22</v>
      </c>
      <c r="K13368" s="1" t="str">
        <f>"2026-07-29 13:18:12"</f>
        <v>2026-07-29 13:18:12</v>
      </c>
      <c r="L13368" s="1" t="str">
        <f>"2019-12-11 18:21:59"</f>
        <v>2019-12-11 18:21:59</v>
      </c>
      <c r="M13368" s="1" t="s">
        <v>1</v>
      </c>
      <c r="N13368" s="1" t="s">
        <v>38</v>
      </c>
      <c r="O13368" s="1" t="s">
        <v>46</v>
      </c>
    </row>
    <row r="13369" spans="2:15" x14ac:dyDescent="0.3">
      <c r="B13369" s="1" t="s">
        <v>20</v>
      </c>
      <c r="C13369" s="1" t="str">
        <f>"4차"</f>
        <v>4차</v>
      </c>
      <c r="D13369" s="1" t="str">
        <f>"9825X62144"</f>
        <v>9825X62144</v>
      </c>
      <c r="E13369" s="1" t="s">
        <v>10</v>
      </c>
      <c r="F13369" s="1" t="str">
        <f>"10.10.141.194"</f>
        <v>10.10.141.194</v>
      </c>
      <c r="G13369" s="1" t="str">
        <f>"9825X621"</f>
        <v>9825X621</v>
      </c>
      <c r="H13369" s="1" t="str">
        <f>"효청간 61L8"</f>
        <v>효청간 61L8</v>
      </c>
      <c r="I13369" s="1" t="s">
        <v>8</v>
      </c>
      <c r="J13369" s="1" t="str">
        <f>"11/11"</f>
        <v>11/11</v>
      </c>
      <c r="K13369" s="1" t="str">
        <f>"2026-07-29 13:18:12"</f>
        <v>2026-07-29 13:18:12</v>
      </c>
      <c r="L13369" s="1" t="str">
        <f>"2019-12-11 18:21:53"</f>
        <v>2019-12-11 18:21:53</v>
      </c>
      <c r="M13369" s="1" t="s">
        <v>1</v>
      </c>
      <c r="N13369" s="1" t="s">
        <v>38</v>
      </c>
      <c r="O13369" s="1" t="s">
        <v>46</v>
      </c>
    </row>
    <row r="13370" spans="2:15" x14ac:dyDescent="0.3">
      <c r="B13370" s="1" t="s">
        <v>20</v>
      </c>
      <c r="C13370" s="1" t="str">
        <f>"4차"</f>
        <v>4차</v>
      </c>
      <c r="D13370" s="1" t="str">
        <f>"9825X63144"</f>
        <v>9825X63144</v>
      </c>
      <c r="E13370" s="1" t="s">
        <v>10</v>
      </c>
      <c r="F13370" s="1" t="str">
        <f>"10.10.141.106"</f>
        <v>10.10.141.106</v>
      </c>
      <c r="G13370" s="1" t="str">
        <f>"9825X631"</f>
        <v>9825X631</v>
      </c>
      <c r="H13370" s="1" t="str">
        <f>"효청간 61L2R1L1"</f>
        <v>효청간 61L2R1L1</v>
      </c>
      <c r="I13370" s="1" t="s">
        <v>8</v>
      </c>
      <c r="J13370" s="1" t="str">
        <f>"13/13"</f>
        <v>13/13</v>
      </c>
      <c r="K13370" s="1" t="str">
        <f>"2026-07-29 13:18:12"</f>
        <v>2026-07-29 13:18:12</v>
      </c>
      <c r="L13370" s="1" t="str">
        <f>"2020-02-10 18:42:26"</f>
        <v>2020-02-10 18:42:26</v>
      </c>
      <c r="M13370" s="1" t="s">
        <v>1</v>
      </c>
      <c r="N13370" s="1" t="s">
        <v>38</v>
      </c>
      <c r="O13370" s="1" t="s">
        <v>46</v>
      </c>
    </row>
    <row r="13371" spans="2:15" x14ac:dyDescent="0.3">
      <c r="B13371" s="1" t="s">
        <v>20</v>
      </c>
      <c r="C13371" s="1" t="str">
        <f>"6차"</f>
        <v>6차</v>
      </c>
      <c r="D13371" s="1" t="str">
        <f>"9825X6616M"</f>
        <v>9825X6616M</v>
      </c>
      <c r="E13371" s="1" t="s">
        <v>10</v>
      </c>
      <c r="F13371" s="1" t="str">
        <f>"fde1:103:4:c7de:0:0:0:2"</f>
        <v>fde1:103:4:c7de:0:0:0:2</v>
      </c>
      <c r="G13371" s="1" t="str">
        <f>"9825X661"</f>
        <v>9825X661</v>
      </c>
      <c r="H13371" s="1" t="str">
        <f>"효청간 63L7R1"</f>
        <v>효청간 63L7R1</v>
      </c>
      <c r="I13371" s="1" t="s">
        <v>15</v>
      </c>
      <c r="J13371" s="1" t="str">
        <f>"25/25"</f>
        <v>25/25</v>
      </c>
      <c r="K13371" s="1" t="str">
        <f>"2026-07-29 14:21:42"</f>
        <v>2026-07-29 14:21:42</v>
      </c>
      <c r="L13371" s="1" t="str">
        <f>"2024-11-26 13:46:47"</f>
        <v>2024-11-26 13:46:47</v>
      </c>
      <c r="M13371" s="1" t="s">
        <v>4</v>
      </c>
      <c r="N13371" s="1" t="s">
        <v>38</v>
      </c>
      <c r="O13371" s="1" t="s">
        <v>46</v>
      </c>
    </row>
    <row r="13372" spans="2:15" x14ac:dyDescent="0.3">
      <c r="B13372" s="1" t="s">
        <v>20</v>
      </c>
      <c r="C13372" s="1" t="str">
        <f>"6차"</f>
        <v>6차</v>
      </c>
      <c r="D13372" s="1" t="str">
        <f>"9825X6646M"</f>
        <v>9825X6646M</v>
      </c>
      <c r="E13372" s="1" t="s">
        <v>10</v>
      </c>
      <c r="F13372" s="1" t="str">
        <f>"fde1:103:4:c7f3:0:0:0:2"</f>
        <v>fde1:103:4:c7f3:0:0:0:2</v>
      </c>
      <c r="G13372" s="1" t="str">
        <f>"9825X664"</f>
        <v>9825X664</v>
      </c>
      <c r="H13372" s="1" t="str">
        <f>"효청간 63L6R1"</f>
        <v>효청간 63L6R1</v>
      </c>
      <c r="I13372" s="1" t="s">
        <v>15</v>
      </c>
      <c r="J13372" s="1" t="str">
        <f>"25/65"</f>
        <v>25/65</v>
      </c>
      <c r="K13372" s="1" t="str">
        <f>"2026-07-29 14:21:40"</f>
        <v>2026-07-29 14:21:40</v>
      </c>
      <c r="L13372" s="1" t="str">
        <f>"2024-11-26 13:47:25"</f>
        <v>2024-11-26 13:47:25</v>
      </c>
      <c r="M13372" s="1" t="s">
        <v>4</v>
      </c>
      <c r="N13372" s="1" t="s">
        <v>38</v>
      </c>
      <c r="O13372" s="1" t="s">
        <v>46</v>
      </c>
    </row>
    <row r="13373" spans="2:15" x14ac:dyDescent="0.3">
      <c r="B13373" s="1" t="s">
        <v>20</v>
      </c>
      <c r="C13373" s="1" t="str">
        <f>"4차"</f>
        <v>4차</v>
      </c>
      <c r="D13373" s="1" t="str">
        <f>"9825X67144"</f>
        <v>9825X67144</v>
      </c>
      <c r="E13373" s="1" t="s">
        <v>10</v>
      </c>
      <c r="F13373" s="1" t="str">
        <f>"10.10.139.74"</f>
        <v>10.10.139.74</v>
      </c>
      <c r="G13373" s="1" t="str">
        <f>"9825X671"</f>
        <v>9825X671</v>
      </c>
      <c r="H13373" s="1" t="str">
        <f>"효청간 63L7R2"</f>
        <v>효청간 63L7R2</v>
      </c>
      <c r="I13373" s="1" t="s">
        <v>8</v>
      </c>
      <c r="J13373" s="1" t="str">
        <f>"68/68"</f>
        <v>68/68</v>
      </c>
      <c r="K13373" s="1" t="str">
        <f>"2026-07-29 13:18:12"</f>
        <v>2026-07-29 13:18:12</v>
      </c>
      <c r="L13373" s="1" t="str">
        <f>"2019-12-11 18:21:51"</f>
        <v>2019-12-11 18:21:51</v>
      </c>
      <c r="M13373" s="1" t="s">
        <v>1</v>
      </c>
      <c r="N13373" s="1" t="s">
        <v>38</v>
      </c>
      <c r="O13373" s="1" t="s">
        <v>46</v>
      </c>
    </row>
    <row r="13374" spans="2:15" x14ac:dyDescent="0.3">
      <c r="B13374" s="1" t="s">
        <v>20</v>
      </c>
      <c r="C13374" s="1" t="str">
        <f>"6차"</f>
        <v>6차</v>
      </c>
      <c r="D13374" s="1" t="str">
        <f>"9825X6816M"</f>
        <v>9825X6816M</v>
      </c>
      <c r="E13374" s="1" t="s">
        <v>10</v>
      </c>
      <c r="F13374" s="1" t="str">
        <f>"fde1:103:4:c73a:0:0:0:2"</f>
        <v>fde1:103:4:c73a:0:0:0:2</v>
      </c>
      <c r="G13374" s="1" t="str">
        <f>"9825X681"</f>
        <v>9825X681</v>
      </c>
      <c r="H13374" s="1" t="str">
        <f>"효청간 63L7R4"</f>
        <v>효청간 63L7R4</v>
      </c>
      <c r="I13374" s="1" t="s">
        <v>15</v>
      </c>
      <c r="J13374" s="1" t="str">
        <f>"25/25"</f>
        <v>25/25</v>
      </c>
      <c r="K13374" s="1" t="str">
        <f>"2026-07-29 14:21:41"</f>
        <v>2026-07-29 14:21:41</v>
      </c>
      <c r="L13374" s="1" t="str">
        <f>"2024-11-26 13:49:10"</f>
        <v>2024-11-26 13:49:10</v>
      </c>
      <c r="M13374" s="1" t="s">
        <v>4</v>
      </c>
      <c r="N13374" s="1" t="s">
        <v>38</v>
      </c>
      <c r="O13374" s="1" t="s">
        <v>46</v>
      </c>
    </row>
    <row r="13375" spans="2:15" x14ac:dyDescent="0.3">
      <c r="B13375" s="1" t="s">
        <v>20</v>
      </c>
      <c r="C13375" s="1" t="str">
        <f>"4차"</f>
        <v>4차</v>
      </c>
      <c r="D13375" s="1" t="str">
        <f>"9825X69144"</f>
        <v>9825X69144</v>
      </c>
      <c r="E13375" s="1" t="s">
        <v>10</v>
      </c>
      <c r="F13375" s="1" t="str">
        <f>"10.10.140.26"</f>
        <v>10.10.140.26</v>
      </c>
      <c r="G13375" s="1" t="str">
        <f>"9825X691"</f>
        <v>9825X691</v>
      </c>
      <c r="H13375" s="1" t="str">
        <f>"효청간 80"</f>
        <v>효청간 80</v>
      </c>
      <c r="I13375" s="1" t="s">
        <v>8</v>
      </c>
      <c r="J13375" s="1" t="str">
        <f>"90/90"</f>
        <v>90/90</v>
      </c>
      <c r="K13375" s="1" t="str">
        <f>"2026-07-29 13:18:12"</f>
        <v>2026-07-29 13:18:12</v>
      </c>
      <c r="L13375" s="1" t="str">
        <f>"2019-12-24 16:48:13"</f>
        <v>2019-12-24 16:48:13</v>
      </c>
      <c r="M13375" s="1" t="s">
        <v>1</v>
      </c>
      <c r="N13375" s="1" t="s">
        <v>38</v>
      </c>
      <c r="O13375" s="1" t="s">
        <v>46</v>
      </c>
    </row>
    <row r="13376" spans="2:15" x14ac:dyDescent="0.3">
      <c r="B13376" s="1" t="s">
        <v>20</v>
      </c>
      <c r="C13376" s="1" t="str">
        <f>"4차"</f>
        <v>4차</v>
      </c>
      <c r="D13376" s="1" t="str">
        <f>"9825X69244"</f>
        <v>9825X69244</v>
      </c>
      <c r="E13376" s="1" t="s">
        <v>10</v>
      </c>
      <c r="F13376" s="1" t="str">
        <f>"10.10.139.50"</f>
        <v>10.10.139.50</v>
      </c>
      <c r="G13376" s="1" t="str">
        <f>"9825X692"</f>
        <v>9825X692</v>
      </c>
      <c r="H13376" s="1" t="str">
        <f>"효청간 79"</f>
        <v>효청간 79</v>
      </c>
      <c r="I13376" s="1" t="s">
        <v>8</v>
      </c>
      <c r="J13376" s="1" t="str">
        <f>"35/35"</f>
        <v>35/35</v>
      </c>
      <c r="K13376" s="1" t="str">
        <f>"2026-07-29 13:18:12"</f>
        <v>2026-07-29 13:18:12</v>
      </c>
      <c r="L13376" s="1" t="str">
        <f>"2019-12-11 18:17:00"</f>
        <v>2019-12-11 18:17:00</v>
      </c>
      <c r="M13376" s="1" t="s">
        <v>1</v>
      </c>
      <c r="N13376" s="1" t="s">
        <v>38</v>
      </c>
      <c r="O13376" s="1" t="s">
        <v>46</v>
      </c>
    </row>
    <row r="13377" spans="2:15" x14ac:dyDescent="0.3">
      <c r="B13377" s="1" t="s">
        <v>20</v>
      </c>
      <c r="C13377" s="1" t="str">
        <f>"4차"</f>
        <v>4차</v>
      </c>
      <c r="D13377" s="1" t="str">
        <f>"9825X69344"</f>
        <v>9825X69344</v>
      </c>
      <c r="E13377" s="1" t="s">
        <v>10</v>
      </c>
      <c r="F13377" s="1" t="str">
        <f>"10.10.139.10"</f>
        <v>10.10.139.10</v>
      </c>
      <c r="G13377" s="1" t="str">
        <f>"9825X693"</f>
        <v>9825X693</v>
      </c>
      <c r="H13377" s="1" t="str">
        <f>"효청간 63L16"</f>
        <v>효청간 63L16</v>
      </c>
      <c r="I13377" s="1" t="s">
        <v>8</v>
      </c>
      <c r="J13377" s="1" t="str">
        <f>"17/17"</f>
        <v>17/17</v>
      </c>
      <c r="K13377" s="1" t="str">
        <f>"2026-07-29 13:18:12"</f>
        <v>2026-07-29 13:18:12</v>
      </c>
      <c r="L13377" s="1" t="str">
        <f>"2019-12-11 18:12:46"</f>
        <v>2019-12-11 18:12:46</v>
      </c>
      <c r="M13377" s="1" t="s">
        <v>1</v>
      </c>
      <c r="N13377" s="1" t="s">
        <v>38</v>
      </c>
      <c r="O13377" s="1" t="s">
        <v>46</v>
      </c>
    </row>
    <row r="13378" spans="2:15" x14ac:dyDescent="0.3">
      <c r="B13378" s="1" t="s">
        <v>20</v>
      </c>
      <c r="C13378" s="1" t="str">
        <f>"4차"</f>
        <v>4차</v>
      </c>
      <c r="D13378" s="1" t="str">
        <f>"9825X71144"</f>
        <v>9825X71144</v>
      </c>
      <c r="E13378" s="1" t="s">
        <v>10</v>
      </c>
      <c r="F13378" s="1" t="str">
        <f>"10.10.141.170"</f>
        <v>10.10.141.170</v>
      </c>
      <c r="G13378" s="1" t="str">
        <f>"9825X711"</f>
        <v>9825X711</v>
      </c>
      <c r="H13378" s="1" t="str">
        <f>"효청간 54"</f>
        <v>효청간 54</v>
      </c>
      <c r="I13378" s="1" t="s">
        <v>8</v>
      </c>
      <c r="J13378" s="1" t="str">
        <f>"34/34"</f>
        <v>34/34</v>
      </c>
      <c r="K13378" s="1" t="str">
        <f>"2026-07-29 13:18:12"</f>
        <v>2026-07-29 13:18:12</v>
      </c>
      <c r="L13378" s="1" t="str">
        <f>"2019-12-11 18:19:01"</f>
        <v>2019-12-11 18:19:01</v>
      </c>
      <c r="M13378" s="1" t="s">
        <v>1</v>
      </c>
      <c r="N13378" s="1" t="s">
        <v>38</v>
      </c>
      <c r="O13378" s="1" t="s">
        <v>46</v>
      </c>
    </row>
    <row r="13379" spans="2:15" x14ac:dyDescent="0.3">
      <c r="B13379" s="1" t="s">
        <v>20</v>
      </c>
      <c r="C13379" s="1" t="str">
        <f>"5-2차"</f>
        <v>5-2차</v>
      </c>
      <c r="D13379" s="1" t="str">
        <f>"9825X7215S"</f>
        <v>9825X7215S</v>
      </c>
      <c r="E13379" s="1" t="s">
        <v>10</v>
      </c>
      <c r="F13379" s="1" t="str">
        <f>"fde3:102:1301:2f00:0:0:0:18"</f>
        <v>fde3:102:1301:2f00:0:0:0:18</v>
      </c>
      <c r="G13379" s="1" t="str">
        <f>"9825X721"</f>
        <v>9825X721</v>
      </c>
      <c r="H13379" s="1" t="str">
        <f>"효청간 61L5"</f>
        <v>효청간 61L5</v>
      </c>
      <c r="I13379" s="1" t="s">
        <v>15</v>
      </c>
      <c r="J13379" s="1" t="str">
        <f>"41/44"</f>
        <v>41/44</v>
      </c>
      <c r="K13379" s="1" t="str">
        <f>"2026-07-29 14:21:40"</f>
        <v>2026-07-29 14:21:40</v>
      </c>
      <c r="L13379" s="1" t="str">
        <f>"2023-10-19 14:13:51"</f>
        <v>2023-10-19 14:13:51</v>
      </c>
      <c r="M13379" s="1" t="s">
        <v>45</v>
      </c>
      <c r="N13379" s="1" t="s">
        <v>38</v>
      </c>
      <c r="O13379" s="1" t="s">
        <v>46</v>
      </c>
    </row>
    <row r="13380" spans="2:15" x14ac:dyDescent="0.3">
      <c r="B13380" s="1" t="s">
        <v>20</v>
      </c>
      <c r="C13380" s="1" t="str">
        <f>"4차"</f>
        <v>4차</v>
      </c>
      <c r="D13380" s="1" t="str">
        <f>"9825X73144"</f>
        <v>9825X73144</v>
      </c>
      <c r="E13380" s="1" t="s">
        <v>10</v>
      </c>
      <c r="F13380" s="1" t="str">
        <f>"10.10.139.146"</f>
        <v>10.10.139.146</v>
      </c>
      <c r="G13380" s="1" t="str">
        <f>"9825X731"</f>
        <v>9825X731</v>
      </c>
      <c r="H13380" s="1" t="str">
        <f>"효청간 61L2R2"</f>
        <v>효청간 61L2R2</v>
      </c>
      <c r="I13380" s="1" t="s">
        <v>8</v>
      </c>
      <c r="J13380" s="1" t="str">
        <f>"37/37"</f>
        <v>37/37</v>
      </c>
      <c r="K13380" s="1" t="str">
        <f>"2026-07-29 13:18:12"</f>
        <v>2026-07-29 13:18:12</v>
      </c>
      <c r="L13380" s="1" t="str">
        <f>"2019-12-11 18:12:43"</f>
        <v>2019-12-11 18:12:43</v>
      </c>
      <c r="M13380" s="1" t="s">
        <v>1</v>
      </c>
      <c r="N13380" s="1" t="s">
        <v>38</v>
      </c>
      <c r="O13380" s="1" t="s">
        <v>46</v>
      </c>
    </row>
    <row r="13381" spans="2:15" x14ac:dyDescent="0.3">
      <c r="B13381" s="1" t="s">
        <v>20</v>
      </c>
      <c r="C13381" s="1" t="str">
        <f>"4차"</f>
        <v>4차</v>
      </c>
      <c r="D13381" s="1" t="str">
        <f>"9825X74144"</f>
        <v>9825X74144</v>
      </c>
      <c r="E13381" s="1" t="s">
        <v>10</v>
      </c>
      <c r="F13381" s="1" t="str">
        <f>"10.10.139.106"</f>
        <v>10.10.139.106</v>
      </c>
      <c r="G13381" s="1" t="str">
        <f>"9825X741"</f>
        <v>9825X741</v>
      </c>
      <c r="H13381" s="1" t="str">
        <f>"효청간 61L2R3"</f>
        <v>효청간 61L2R3</v>
      </c>
      <c r="I13381" s="1" t="s">
        <v>8</v>
      </c>
      <c r="J13381" s="1" t="str">
        <f>"42/52"</f>
        <v>42/52</v>
      </c>
      <c r="K13381" s="1" t="str">
        <f>"2026-07-29 13:18:12"</f>
        <v>2026-07-29 13:18:12</v>
      </c>
      <c r="L13381" s="1" t="str">
        <f>"2019-12-11 18:12:19"</f>
        <v>2019-12-11 18:12:19</v>
      </c>
      <c r="M13381" s="1" t="s">
        <v>1</v>
      </c>
      <c r="N13381" s="1" t="s">
        <v>38</v>
      </c>
      <c r="O13381" s="1" t="s">
        <v>46</v>
      </c>
    </row>
    <row r="13382" spans="2:15" x14ac:dyDescent="0.3">
      <c r="B13382" s="1" t="s">
        <v>20</v>
      </c>
      <c r="C13382" s="1" t="str">
        <f>"4차"</f>
        <v>4차</v>
      </c>
      <c r="D13382" s="1" t="str">
        <f>"9825X74244"</f>
        <v>9825X74244</v>
      </c>
      <c r="E13382" s="1" t="s">
        <v>10</v>
      </c>
      <c r="F13382" s="1" t="str">
        <f>"10.12.137.201"</f>
        <v>10.12.137.201</v>
      </c>
      <c r="G13382" s="1" t="str">
        <f>"9825X742"</f>
        <v>9825X742</v>
      </c>
      <c r="H13382" s="1" t="str">
        <f>"효청간 61L2R4"</f>
        <v>효청간 61L2R4</v>
      </c>
      <c r="I13382" s="1" t="s">
        <v>8</v>
      </c>
      <c r="J13382" s="1" t="str">
        <f>"10/11"</f>
        <v>10/11</v>
      </c>
      <c r="K13382" s="1" t="str">
        <f>"2026-07-29 13:18:13"</f>
        <v>2026-07-29 13:18:13</v>
      </c>
      <c r="L13382" s="1" t="str">
        <f>"2019-12-11 18:17:47"</f>
        <v>2019-12-11 18:17:47</v>
      </c>
      <c r="M13382" s="1" t="s">
        <v>0</v>
      </c>
      <c r="N13382" s="1" t="s">
        <v>38</v>
      </c>
      <c r="O13382" s="1" t="s">
        <v>46</v>
      </c>
    </row>
    <row r="13383" spans="2:15" x14ac:dyDescent="0.3">
      <c r="B13383" s="1" t="s">
        <v>20</v>
      </c>
      <c r="C13383" s="1" t="str">
        <f>"4차"</f>
        <v>4차</v>
      </c>
      <c r="D13383" s="1" t="str">
        <f>"9825X76144"</f>
        <v>9825X76144</v>
      </c>
      <c r="E13383" s="1" t="s">
        <v>10</v>
      </c>
      <c r="F13383" s="1" t="str">
        <f>"10.10.138.242"</f>
        <v>10.10.138.242</v>
      </c>
      <c r="G13383" s="1" t="str">
        <f>"9825X761"</f>
        <v>9825X761</v>
      </c>
      <c r="H13383" s="1" t="str">
        <f>"효청간 63L5R1"</f>
        <v>효청간 63L5R1</v>
      </c>
      <c r="I13383" s="1" t="s">
        <v>8</v>
      </c>
      <c r="J13383" s="1" t="str">
        <f>"5/5"</f>
        <v>5/5</v>
      </c>
      <c r="K13383" s="1" t="str">
        <f>"2026-07-29 13:18:12"</f>
        <v>2026-07-29 13:18:12</v>
      </c>
      <c r="L13383" s="1" t="str">
        <f>"2019-12-11 18:16:25"</f>
        <v>2019-12-11 18:16:25</v>
      </c>
      <c r="M13383" s="1" t="s">
        <v>1</v>
      </c>
      <c r="N13383" s="1" t="s">
        <v>38</v>
      </c>
      <c r="O13383" s="1" t="s">
        <v>46</v>
      </c>
    </row>
    <row r="13384" spans="2:15" x14ac:dyDescent="0.3">
      <c r="B13384" s="1" t="s">
        <v>20</v>
      </c>
      <c r="C13384" s="1" t="str">
        <f>"4차"</f>
        <v>4차</v>
      </c>
      <c r="D13384" s="1" t="str">
        <f>"9825X76244"</f>
        <v>9825X76244</v>
      </c>
      <c r="E13384" s="1" t="s">
        <v>10</v>
      </c>
      <c r="F13384" s="1" t="str">
        <f>"10.10.139.18"</f>
        <v>10.10.139.18</v>
      </c>
      <c r="G13384" s="1" t="str">
        <f>"9825X762"</f>
        <v>9825X762</v>
      </c>
      <c r="H13384" s="1" t="str">
        <f>"효청간 63L5R2"</f>
        <v>효청간 63L5R2</v>
      </c>
      <c r="I13384" s="1" t="s">
        <v>8</v>
      </c>
      <c r="J13384" s="1" t="str">
        <f>"31/31"</f>
        <v>31/31</v>
      </c>
      <c r="K13384" s="1" t="str">
        <f>"2026-07-29 13:18:12"</f>
        <v>2026-07-29 13:18:12</v>
      </c>
      <c r="L13384" s="1" t="str">
        <f>"2020-01-10 17:18:00"</f>
        <v>2020-01-10 17:18:00</v>
      </c>
      <c r="M13384" s="1" t="s">
        <v>1</v>
      </c>
      <c r="N13384" s="1" t="s">
        <v>38</v>
      </c>
      <c r="O13384" s="1" t="s">
        <v>46</v>
      </c>
    </row>
    <row r="13385" spans="2:15" x14ac:dyDescent="0.3">
      <c r="B13385" s="1" t="s">
        <v>20</v>
      </c>
      <c r="C13385" s="1" t="str">
        <f>"6차"</f>
        <v>6차</v>
      </c>
      <c r="D13385" s="1" t="str">
        <f>"9825X7816M"</f>
        <v>9825X7816M</v>
      </c>
      <c r="E13385" s="1" t="s">
        <v>10</v>
      </c>
      <c r="F13385" s="1" t="str">
        <f>"fde1:103:4:c74f:0:0:0:2"</f>
        <v>fde1:103:4:c74f:0:0:0:2</v>
      </c>
      <c r="G13385" s="1" t="str">
        <f>"9825X781"</f>
        <v>9825X781</v>
      </c>
      <c r="H13385" s="1" t="str">
        <f>"효청간 63L7R5"</f>
        <v>효청간 63L7R5</v>
      </c>
      <c r="I13385" s="1" t="s">
        <v>15</v>
      </c>
      <c r="J13385" s="1" t="str">
        <f>"40/41"</f>
        <v>40/41</v>
      </c>
      <c r="K13385" s="1" t="str">
        <f>"2026-07-29 14:21:42"</f>
        <v>2026-07-29 14:21:42</v>
      </c>
      <c r="L13385" s="1" t="str">
        <f>"2024-12-02 15:35:50"</f>
        <v>2024-12-02 15:35:50</v>
      </c>
      <c r="M13385" s="1" t="s">
        <v>4</v>
      </c>
      <c r="N13385" s="1" t="s">
        <v>38</v>
      </c>
      <c r="O13385" s="1" t="s">
        <v>46</v>
      </c>
    </row>
    <row r="13386" spans="2:15" x14ac:dyDescent="0.3">
      <c r="B13386" s="1" t="s">
        <v>20</v>
      </c>
      <c r="C13386" s="1" t="str">
        <f>"6차"</f>
        <v>6차</v>
      </c>
      <c r="D13386" s="1" t="str">
        <f>"9825X7826M"</f>
        <v>9825X7826M</v>
      </c>
      <c r="E13386" s="1" t="s">
        <v>10</v>
      </c>
      <c r="F13386" s="1" t="str">
        <f>"fde1:103:4:c7b5:0:0:0:2"</f>
        <v>fde1:103:4:c7b5:0:0:0:2</v>
      </c>
      <c r="G13386" s="1" t="str">
        <f>"9825X782"</f>
        <v>9825X782</v>
      </c>
      <c r="H13386" s="1" t="str">
        <f>"효청간 63L7R6"</f>
        <v>효청간 63L7R6</v>
      </c>
      <c r="I13386" s="1" t="s">
        <v>15</v>
      </c>
      <c r="J13386" s="1" t="str">
        <f>"29/29"</f>
        <v>29/29</v>
      </c>
      <c r="K13386" s="1" t="str">
        <f>"2026-07-29 14:21:41"</f>
        <v>2026-07-29 14:21:41</v>
      </c>
      <c r="L13386" s="1" t="str">
        <f>"2024-11-26 13:51:01"</f>
        <v>2024-11-26 13:51:01</v>
      </c>
      <c r="M13386" s="1" t="s">
        <v>4</v>
      </c>
      <c r="N13386" s="1" t="s">
        <v>38</v>
      </c>
      <c r="O13386" s="1" t="s">
        <v>46</v>
      </c>
    </row>
    <row r="13387" spans="2:15" x14ac:dyDescent="0.3">
      <c r="B13387" s="1" t="s">
        <v>20</v>
      </c>
      <c r="C13387" s="1" t="str">
        <f t="shared" ref="C13387:C13397" si="680">"4차"</f>
        <v>4차</v>
      </c>
      <c r="D13387" s="1" t="str">
        <f>"9825X78344"</f>
        <v>9825X78344</v>
      </c>
      <c r="E13387" s="1" t="s">
        <v>10</v>
      </c>
      <c r="F13387" s="1" t="str">
        <f>"10.10.139.58"</f>
        <v>10.10.139.58</v>
      </c>
      <c r="G13387" s="1" t="str">
        <f>"9825X783"</f>
        <v>9825X783</v>
      </c>
      <c r="H13387" s="1" t="str">
        <f>"효청간 77L2"</f>
        <v>효청간 77L2</v>
      </c>
      <c r="I13387" s="1" t="s">
        <v>8</v>
      </c>
      <c r="J13387" s="1" t="str">
        <f>"39/43"</f>
        <v>39/43</v>
      </c>
      <c r="K13387" s="1" t="str">
        <f t="shared" ref="K13387:K13397" si="681">"2026-07-29 13:18:12"</f>
        <v>2026-07-29 13:18:12</v>
      </c>
      <c r="L13387" s="1" t="str">
        <f>"2019-12-11 18:18:00"</f>
        <v>2019-12-11 18:18:00</v>
      </c>
      <c r="M13387" s="1" t="s">
        <v>1</v>
      </c>
      <c r="N13387" s="1" t="s">
        <v>38</v>
      </c>
      <c r="O13387" s="1" t="s">
        <v>46</v>
      </c>
    </row>
    <row r="13388" spans="2:15" x14ac:dyDescent="0.3">
      <c r="B13388" s="1" t="s">
        <v>20</v>
      </c>
      <c r="C13388" s="1" t="str">
        <f t="shared" si="680"/>
        <v>4차</v>
      </c>
      <c r="D13388" s="1" t="str">
        <f>"9825X79244"</f>
        <v>9825X79244</v>
      </c>
      <c r="E13388" s="1" t="s">
        <v>10</v>
      </c>
      <c r="F13388" s="1" t="str">
        <f>"10.10.141.122"</f>
        <v>10.10.141.122</v>
      </c>
      <c r="G13388" s="1" t="str">
        <f>"9825X792"</f>
        <v>9825X792</v>
      </c>
      <c r="H13388" s="1" t="str">
        <f>"효청간 77"</f>
        <v>효청간 77</v>
      </c>
      <c r="I13388" s="1" t="s">
        <v>8</v>
      </c>
      <c r="J13388" s="1" t="str">
        <f>"28/28"</f>
        <v>28/28</v>
      </c>
      <c r="K13388" s="1" t="str">
        <f t="shared" si="681"/>
        <v>2026-07-29 13:18:12</v>
      </c>
      <c r="L13388" s="1" t="str">
        <f>"2019-12-11 18:18:42"</f>
        <v>2019-12-11 18:18:42</v>
      </c>
      <c r="M13388" s="1" t="s">
        <v>1</v>
      </c>
      <c r="N13388" s="1" t="s">
        <v>38</v>
      </c>
      <c r="O13388" s="1" t="s">
        <v>46</v>
      </c>
    </row>
    <row r="13389" spans="2:15" x14ac:dyDescent="0.3">
      <c r="B13389" s="1" t="s">
        <v>20</v>
      </c>
      <c r="C13389" s="1" t="str">
        <f t="shared" si="680"/>
        <v>4차</v>
      </c>
      <c r="D13389" s="1" t="str">
        <f>"9825X79444"</f>
        <v>9825X79444</v>
      </c>
      <c r="E13389" s="1" t="s">
        <v>10</v>
      </c>
      <c r="F13389" s="1" t="str">
        <f>"10.10.139.66"</f>
        <v>10.10.139.66</v>
      </c>
      <c r="G13389" s="1" t="str">
        <f>"9825X794"</f>
        <v>9825X794</v>
      </c>
      <c r="H13389" s="1" t="str">
        <f>"효청간 78"</f>
        <v>효청간 78</v>
      </c>
      <c r="I13389" s="1" t="s">
        <v>8</v>
      </c>
      <c r="J13389" s="1" t="str">
        <f>"21/21"</f>
        <v>21/21</v>
      </c>
      <c r="K13389" s="1" t="str">
        <f t="shared" si="681"/>
        <v>2026-07-29 13:18:12</v>
      </c>
      <c r="L13389" s="1" t="str">
        <f>"2024-08-05 11:35:35"</f>
        <v>2024-08-05 11:35:35</v>
      </c>
      <c r="M13389" s="1" t="s">
        <v>1</v>
      </c>
      <c r="N13389" s="1" t="s">
        <v>38</v>
      </c>
      <c r="O13389" s="1" t="s">
        <v>46</v>
      </c>
    </row>
    <row r="13390" spans="2:15" x14ac:dyDescent="0.3">
      <c r="B13390" s="1" t="s">
        <v>20</v>
      </c>
      <c r="C13390" s="1" t="str">
        <f t="shared" si="680"/>
        <v>4차</v>
      </c>
      <c r="D13390" s="1" t="str">
        <f>"9825X81244"</f>
        <v>9825X81244</v>
      </c>
      <c r="E13390" s="1" t="s">
        <v>10</v>
      </c>
      <c r="F13390" s="1" t="str">
        <f>"10.10.141.162"</f>
        <v>10.10.141.162</v>
      </c>
      <c r="G13390" s="1" t="str">
        <f>"9825X812"</f>
        <v>9825X812</v>
      </c>
      <c r="H13390" s="1" t="str">
        <f>"효청간 56"</f>
        <v>효청간 56</v>
      </c>
      <c r="I13390" s="1" t="s">
        <v>8</v>
      </c>
      <c r="J13390" s="1" t="str">
        <f>"39/40"</f>
        <v>39/40</v>
      </c>
      <c r="K13390" s="1" t="str">
        <f t="shared" si="681"/>
        <v>2026-07-29 13:18:12</v>
      </c>
      <c r="L13390" s="1" t="str">
        <f>"2024-05-24 14:23:19"</f>
        <v>2024-05-24 14:23:19</v>
      </c>
      <c r="M13390" s="1" t="s">
        <v>1</v>
      </c>
      <c r="N13390" s="1" t="s">
        <v>38</v>
      </c>
      <c r="O13390" s="1" t="s">
        <v>46</v>
      </c>
    </row>
    <row r="13391" spans="2:15" x14ac:dyDescent="0.3">
      <c r="B13391" s="1" t="s">
        <v>20</v>
      </c>
      <c r="C13391" s="1" t="str">
        <f t="shared" si="680"/>
        <v>4차</v>
      </c>
      <c r="D13391" s="1" t="str">
        <f>"9825X82344"</f>
        <v>9825X82344</v>
      </c>
      <c r="E13391" s="1" t="s">
        <v>10</v>
      </c>
      <c r="F13391" s="1" t="str">
        <f>"10.10.139.98"</f>
        <v>10.10.139.98</v>
      </c>
      <c r="G13391" s="1" t="str">
        <f>"9825X823"</f>
        <v>9825X823</v>
      </c>
      <c r="H13391" s="1" t="str">
        <f>"효청간 61L3"</f>
        <v>효청간 61L3</v>
      </c>
      <c r="I13391" s="1" t="s">
        <v>8</v>
      </c>
      <c r="J13391" s="1" t="str">
        <f>"50/51"</f>
        <v>50/51</v>
      </c>
      <c r="K13391" s="1" t="str">
        <f t="shared" si="681"/>
        <v>2026-07-29 13:18:12</v>
      </c>
      <c r="L13391" s="1" t="str">
        <f>"2020-01-10 17:25:13"</f>
        <v>2020-01-10 17:25:13</v>
      </c>
      <c r="M13391" s="1" t="s">
        <v>1</v>
      </c>
      <c r="N13391" s="1" t="s">
        <v>38</v>
      </c>
      <c r="O13391" s="1" t="s">
        <v>46</v>
      </c>
    </row>
    <row r="13392" spans="2:15" x14ac:dyDescent="0.3">
      <c r="B13392" s="1" t="s">
        <v>20</v>
      </c>
      <c r="C13392" s="1" t="str">
        <f t="shared" si="680"/>
        <v>4차</v>
      </c>
      <c r="D13392" s="1" t="str">
        <f>"9825X83244"</f>
        <v>9825X83244</v>
      </c>
      <c r="E13392" s="1" t="s">
        <v>10</v>
      </c>
      <c r="F13392" s="1" t="str">
        <f>"10.10.141.130"</f>
        <v>10.10.141.130</v>
      </c>
      <c r="G13392" s="1" t="str">
        <f>"9825X832"</f>
        <v>9825X832</v>
      </c>
      <c r="H13392" s="1" t="str">
        <f>"효청간 61L2R1"</f>
        <v>효청간 61L2R1</v>
      </c>
      <c r="I13392" s="1" t="s">
        <v>8</v>
      </c>
      <c r="J13392" s="1" t="str">
        <f>"25/44"</f>
        <v>25/44</v>
      </c>
      <c r="K13392" s="1" t="str">
        <f t="shared" si="681"/>
        <v>2026-07-29 13:18:12</v>
      </c>
      <c r="L13392" s="1" t="str">
        <f>"2019-12-11 18:21:53"</f>
        <v>2019-12-11 18:21:53</v>
      </c>
      <c r="M13392" s="1" t="s">
        <v>1</v>
      </c>
      <c r="N13392" s="1" t="s">
        <v>38</v>
      </c>
      <c r="O13392" s="1" t="s">
        <v>46</v>
      </c>
    </row>
    <row r="13393" spans="2:15" x14ac:dyDescent="0.3">
      <c r="B13393" s="1" t="s">
        <v>20</v>
      </c>
      <c r="C13393" s="1" t="str">
        <f t="shared" si="680"/>
        <v>4차</v>
      </c>
      <c r="D13393" s="1" t="str">
        <f>"9825X85244"</f>
        <v>9825X85244</v>
      </c>
      <c r="E13393" s="1" t="s">
        <v>10</v>
      </c>
      <c r="F13393" s="1" t="str">
        <f>"10.10.139.2"</f>
        <v>10.10.139.2</v>
      </c>
      <c r="G13393" s="1" t="str">
        <f>"9825X852"</f>
        <v>9825X852</v>
      </c>
      <c r="H13393" s="1" t="str">
        <f>"효청간 63L4"</f>
        <v>효청간 63L4</v>
      </c>
      <c r="I13393" s="1" t="s">
        <v>8</v>
      </c>
      <c r="J13393" s="1" t="str">
        <f>"35/36"</f>
        <v>35/36</v>
      </c>
      <c r="K13393" s="1" t="str">
        <f t="shared" si="681"/>
        <v>2026-07-29 13:18:12</v>
      </c>
      <c r="L13393" s="1" t="str">
        <f>"2022-09-29 14:11:25"</f>
        <v>2022-09-29 14:11:25</v>
      </c>
      <c r="M13393" s="1" t="s">
        <v>1</v>
      </c>
      <c r="N13393" s="1" t="s">
        <v>38</v>
      </c>
      <c r="O13393" s="1" t="s">
        <v>46</v>
      </c>
    </row>
    <row r="13394" spans="2:15" x14ac:dyDescent="0.3">
      <c r="B13394" s="1" t="s">
        <v>20</v>
      </c>
      <c r="C13394" s="1" t="str">
        <f t="shared" si="680"/>
        <v>4차</v>
      </c>
      <c r="D13394" s="1" t="str">
        <f>"9825X89344"</f>
        <v>9825X89344</v>
      </c>
      <c r="E13394" s="1" t="s">
        <v>10</v>
      </c>
      <c r="F13394" s="1" t="str">
        <f>"10.10.141.154"</f>
        <v>10.10.141.154</v>
      </c>
      <c r="G13394" s="1" t="str">
        <f>"9825X893"</f>
        <v>9825X893</v>
      </c>
      <c r="H13394" s="1" t="str">
        <f>"효청간 75"</f>
        <v>효청간 75</v>
      </c>
      <c r="I13394" s="1" t="s">
        <v>8</v>
      </c>
      <c r="J13394" s="1" t="str">
        <f>"22/22"</f>
        <v>22/22</v>
      </c>
      <c r="K13394" s="1" t="str">
        <f t="shared" si="681"/>
        <v>2026-07-29 13:18:12</v>
      </c>
      <c r="L13394" s="1" t="str">
        <f>"2020-01-10 17:18:09"</f>
        <v>2020-01-10 17:18:09</v>
      </c>
      <c r="M13394" s="1" t="s">
        <v>1</v>
      </c>
      <c r="N13394" s="1" t="s">
        <v>38</v>
      </c>
      <c r="O13394" s="1" t="s">
        <v>46</v>
      </c>
    </row>
    <row r="13395" spans="2:15" x14ac:dyDescent="0.3">
      <c r="B13395" s="1" t="s">
        <v>20</v>
      </c>
      <c r="C13395" s="1" t="str">
        <f t="shared" si="680"/>
        <v>4차</v>
      </c>
      <c r="D13395" s="1" t="str">
        <f>"9825X91144"</f>
        <v>9825X91144</v>
      </c>
      <c r="E13395" s="1" t="s">
        <v>10</v>
      </c>
      <c r="F13395" s="1" t="str">
        <f>"10.10.141.178"</f>
        <v>10.10.141.178</v>
      </c>
      <c r="G13395" s="1" t="str">
        <f>"9825X911"</f>
        <v>9825X911</v>
      </c>
      <c r="H13395" s="1" t="str">
        <f>"효청간 57"</f>
        <v>효청간 57</v>
      </c>
      <c r="I13395" s="1" t="s">
        <v>8</v>
      </c>
      <c r="J13395" s="1" t="str">
        <f>"19/28"</f>
        <v>19/28</v>
      </c>
      <c r="K13395" s="1" t="str">
        <f t="shared" si="681"/>
        <v>2026-07-29 13:18:12</v>
      </c>
      <c r="L13395" s="1" t="str">
        <f>"2019-12-11 18:21:42"</f>
        <v>2019-12-11 18:21:42</v>
      </c>
      <c r="M13395" s="1" t="s">
        <v>1</v>
      </c>
      <c r="N13395" s="1" t="s">
        <v>38</v>
      </c>
      <c r="O13395" s="1" t="s">
        <v>46</v>
      </c>
    </row>
    <row r="13396" spans="2:15" x14ac:dyDescent="0.3">
      <c r="B13396" s="1" t="s">
        <v>20</v>
      </c>
      <c r="C13396" s="1" t="str">
        <f t="shared" si="680"/>
        <v>4차</v>
      </c>
      <c r="D13396" s="1" t="str">
        <f>"9825X93144"</f>
        <v>9825X93144</v>
      </c>
      <c r="E13396" s="1" t="s">
        <v>10</v>
      </c>
      <c r="F13396" s="1" t="str">
        <f>"10.10.141.186"</f>
        <v>10.10.141.186</v>
      </c>
      <c r="G13396" s="1" t="str">
        <f>"9825X931"</f>
        <v>9825X931</v>
      </c>
      <c r="H13396" s="1" t="str">
        <f>"효청간 61L1"</f>
        <v>효청간 61L1</v>
      </c>
      <c r="I13396" s="1" t="s">
        <v>8</v>
      </c>
      <c r="J13396" s="1" t="str">
        <f>"32/34"</f>
        <v>32/34</v>
      </c>
      <c r="K13396" s="1" t="str">
        <f t="shared" si="681"/>
        <v>2026-07-29 13:18:12</v>
      </c>
      <c r="L13396" s="1" t="str">
        <f>"2020-01-10 17:20:46"</f>
        <v>2020-01-10 17:20:46</v>
      </c>
      <c r="M13396" s="1" t="s">
        <v>1</v>
      </c>
      <c r="N13396" s="1" t="s">
        <v>38</v>
      </c>
      <c r="O13396" s="1" t="s">
        <v>46</v>
      </c>
    </row>
    <row r="13397" spans="2:15" x14ac:dyDescent="0.3">
      <c r="B13397" s="1" t="s">
        <v>20</v>
      </c>
      <c r="C13397" s="1" t="str">
        <f t="shared" si="680"/>
        <v>4차</v>
      </c>
      <c r="D13397" s="1" t="str">
        <f>"9825X94144"</f>
        <v>9825X94144</v>
      </c>
      <c r="E13397" s="1" t="s">
        <v>10</v>
      </c>
      <c r="F13397" s="1" t="str">
        <f>"10.10.141.138"</f>
        <v>10.10.141.138</v>
      </c>
      <c r="G13397" s="1" t="str">
        <f>"9825X941"</f>
        <v>9825X941</v>
      </c>
      <c r="H13397" s="1" t="str">
        <f>"효청간 61L1R1"</f>
        <v>효청간 61L1R1</v>
      </c>
      <c r="I13397" s="1" t="s">
        <v>8</v>
      </c>
      <c r="J13397" s="1" t="str">
        <f>"34/43"</f>
        <v>34/43</v>
      </c>
      <c r="K13397" s="1" t="str">
        <f t="shared" si="681"/>
        <v>2026-07-29 13:18:12</v>
      </c>
      <c r="L13397" s="1" t="str">
        <f>"2019-12-11 18:12:46"</f>
        <v>2019-12-11 18:12:46</v>
      </c>
      <c r="M13397" s="1" t="s">
        <v>1</v>
      </c>
      <c r="N13397" s="1" t="s">
        <v>38</v>
      </c>
      <c r="O13397" s="1" t="s">
        <v>46</v>
      </c>
    </row>
    <row r="13398" spans="2:15" x14ac:dyDescent="0.3">
      <c r="B13398" s="1" t="s">
        <v>20</v>
      </c>
      <c r="C13398" s="1" t="str">
        <f>"5-2차"</f>
        <v>5-2차</v>
      </c>
      <c r="D13398" s="1" t="str">
        <f>"9825X9515S"</f>
        <v>9825X9515S</v>
      </c>
      <c r="E13398" s="1" t="s">
        <v>10</v>
      </c>
      <c r="F13398" s="1" t="str">
        <f>"fde3:102:1301:4502:0:0:0:4"</f>
        <v>fde3:102:1301:4502:0:0:0:4</v>
      </c>
      <c r="G13398" s="1" t="str">
        <f>"9825X951"</f>
        <v>9825X951</v>
      </c>
      <c r="H13398" s="1" t="str">
        <f>"효청간 63L1"</f>
        <v>효청간 63L1</v>
      </c>
      <c r="I13398" s="1" t="s">
        <v>15</v>
      </c>
      <c r="J13398" s="1" t="str">
        <f>"23/23"</f>
        <v>23/23</v>
      </c>
      <c r="K13398" s="1" t="str">
        <f>"2026-07-29 14:21:30"</f>
        <v>2026-07-29 14:21:30</v>
      </c>
      <c r="L13398" s="1" t="str">
        <f>"2023-10-19 15:01:23"</f>
        <v>2023-10-19 15:01:23</v>
      </c>
      <c r="M13398" s="1" t="s">
        <v>45</v>
      </c>
      <c r="N13398" s="1" t="s">
        <v>38</v>
      </c>
      <c r="O13398" s="1" t="s">
        <v>46</v>
      </c>
    </row>
    <row r="13399" spans="2:15" x14ac:dyDescent="0.3">
      <c r="B13399" s="1" t="s">
        <v>20</v>
      </c>
      <c r="C13399" s="1" t="str">
        <f>"4차"</f>
        <v>4차</v>
      </c>
      <c r="D13399" s="1" t="str">
        <f>"9825X95244"</f>
        <v>9825X95244</v>
      </c>
      <c r="E13399" s="1" t="s">
        <v>10</v>
      </c>
      <c r="F13399" s="1" t="str">
        <f>"10.10.139.26"</f>
        <v>10.10.139.26</v>
      </c>
      <c r="G13399" s="1" t="str">
        <f>"9825X952"</f>
        <v>9825X952</v>
      </c>
      <c r="H13399" s="1" t="str">
        <f>"효청간 63L2"</f>
        <v>효청간 63L2</v>
      </c>
      <c r="I13399" s="1" t="s">
        <v>8</v>
      </c>
      <c r="J13399" s="1" t="str">
        <f>"8/9"</f>
        <v>8/9</v>
      </c>
      <c r="K13399" s="1" t="str">
        <f>"2026-07-29 13:18:12"</f>
        <v>2026-07-29 13:18:12</v>
      </c>
      <c r="L13399" s="1" t="str">
        <f>"2019-12-11 18:21:53"</f>
        <v>2019-12-11 18:21:53</v>
      </c>
      <c r="M13399" s="1" t="s">
        <v>1</v>
      </c>
      <c r="N13399" s="1" t="s">
        <v>38</v>
      </c>
      <c r="O13399" s="1" t="s">
        <v>46</v>
      </c>
    </row>
    <row r="13400" spans="2:15" x14ac:dyDescent="0.3">
      <c r="B13400" s="1" t="s">
        <v>20</v>
      </c>
      <c r="C13400" s="1" t="str">
        <f>"4차"</f>
        <v>4차</v>
      </c>
      <c r="D13400" s="1" t="str">
        <f>"9825X96244"</f>
        <v>9825X96244</v>
      </c>
      <c r="E13400" s="1" t="s">
        <v>10</v>
      </c>
      <c r="F13400" s="1" t="str">
        <f>"10.10.139.34"</f>
        <v>10.10.139.34</v>
      </c>
      <c r="G13400" s="1" t="str">
        <f>"9825X962"</f>
        <v>9825X962</v>
      </c>
      <c r="H13400" s="1" t="str">
        <f>"효청간 63L2R2"</f>
        <v>효청간 63L2R2</v>
      </c>
      <c r="I13400" s="1" t="s">
        <v>8</v>
      </c>
      <c r="J13400" s="1" t="str">
        <f>"56/56"</f>
        <v>56/56</v>
      </c>
      <c r="K13400" s="1" t="str">
        <f>"2026-07-29 13:18:12"</f>
        <v>2026-07-29 13:18:12</v>
      </c>
      <c r="L13400" s="1" t="str">
        <f>"2019-12-11 18:21:52"</f>
        <v>2019-12-11 18:21:52</v>
      </c>
      <c r="M13400" s="1" t="s">
        <v>1</v>
      </c>
      <c r="N13400" s="1" t="s">
        <v>38</v>
      </c>
      <c r="O13400" s="1" t="s">
        <v>46</v>
      </c>
    </row>
    <row r="13401" spans="2:15" x14ac:dyDescent="0.3">
      <c r="B13401" s="1" t="s">
        <v>20</v>
      </c>
      <c r="C13401" s="1" t="str">
        <f>"5-2차"</f>
        <v>5-2차</v>
      </c>
      <c r="D13401" s="1" t="str">
        <f>"9825X9715S"</f>
        <v>9825X9715S</v>
      </c>
      <c r="E13401" s="1" t="s">
        <v>10</v>
      </c>
      <c r="F13401" s="1" t="str">
        <f>"fde1:103:4:5a5b:0:0:0:2"</f>
        <v>fde1:103:4:5a5b:0:0:0:2</v>
      </c>
      <c r="G13401" s="1" t="str">
        <f>"9825X971"</f>
        <v>9825X971</v>
      </c>
      <c r="H13401" s="1" t="str">
        <f>"효청간 63L2R3"</f>
        <v>효청간 63L2R3</v>
      </c>
      <c r="I13401" s="1" t="s">
        <v>15</v>
      </c>
      <c r="J13401" s="1" t="str">
        <f>"52/52"</f>
        <v>52/52</v>
      </c>
      <c r="K13401" s="1" t="str">
        <f>"2026-07-29 14:21:42"</f>
        <v>2026-07-29 14:21:42</v>
      </c>
      <c r="L13401" s="1" t="str">
        <f>"2023-09-12 15:09:33"</f>
        <v>2023-09-12 15:09:33</v>
      </c>
      <c r="M13401" s="1" t="s">
        <v>4</v>
      </c>
      <c r="N13401" s="1" t="s">
        <v>38</v>
      </c>
      <c r="O13401" s="1" t="s">
        <v>46</v>
      </c>
    </row>
    <row r="13402" spans="2:15" x14ac:dyDescent="0.3">
      <c r="B13402" s="1" t="s">
        <v>20</v>
      </c>
      <c r="C13402" s="1" t="str">
        <f>"6차"</f>
        <v>6차</v>
      </c>
      <c r="D13402" s="1" t="str">
        <f>"9825X9816M"</f>
        <v>9825X9816M</v>
      </c>
      <c r="E13402" s="1" t="s">
        <v>10</v>
      </c>
      <c r="F13402" s="1" t="str">
        <f>"fde1:103:4:c70d:0:0:0:2"</f>
        <v>fde1:103:4:c70d:0:0:0:2</v>
      </c>
      <c r="G13402" s="1" t="str">
        <f>"9825X981"</f>
        <v>9825X981</v>
      </c>
      <c r="H13402" s="1" t="str">
        <f>"효청간 73"</f>
        <v>효청간 73</v>
      </c>
      <c r="I13402" s="1" t="s">
        <v>15</v>
      </c>
      <c r="J13402" s="1" t="str">
        <f>"59/61"</f>
        <v>59/61</v>
      </c>
      <c r="K13402" s="1" t="str">
        <f>"2026-07-29 14:21:43"</f>
        <v>2026-07-29 14:21:43</v>
      </c>
      <c r="L13402" s="1" t="str">
        <f>"2024-11-26 13:51:39"</f>
        <v>2024-11-26 13:51:39</v>
      </c>
      <c r="M13402" s="1" t="s">
        <v>4</v>
      </c>
      <c r="N13402" s="1" t="s">
        <v>38</v>
      </c>
      <c r="O13402" s="1" t="s">
        <v>46</v>
      </c>
    </row>
    <row r="13403" spans="2:15" x14ac:dyDescent="0.3">
      <c r="B13403" s="1" t="s">
        <v>20</v>
      </c>
      <c r="C13403" s="1" t="str">
        <f>"1차"</f>
        <v>1차</v>
      </c>
      <c r="D13403" s="1" t="str">
        <f>"9825X99201"</f>
        <v>9825X99201</v>
      </c>
      <c r="E13403" s="1" t="s">
        <v>10</v>
      </c>
      <c r="F13403" s="1" t="str">
        <f>"10.12.133.144"</f>
        <v>10.12.133.144</v>
      </c>
      <c r="G13403" s="1" t="str">
        <f>"9825X992"</f>
        <v>9825X992</v>
      </c>
      <c r="H13403" s="1" t="str">
        <f>"효청간 74"</f>
        <v>효청간 74</v>
      </c>
      <c r="I13403" s="1" t="s">
        <v>8</v>
      </c>
      <c r="J13403" s="1" t="str">
        <f>"8/9"</f>
        <v>8/9</v>
      </c>
      <c r="K13403" s="1" t="str">
        <f>"2026-07-29 13:18:13"</f>
        <v>2026-07-29 13:18:13</v>
      </c>
      <c r="L13403" s="1" t="str">
        <f>"2014-11-25 10:57:19"</f>
        <v>2014-11-25 10:57:19</v>
      </c>
      <c r="M13403" s="1" t="s">
        <v>0</v>
      </c>
      <c r="N13403" s="1" t="s">
        <v>38</v>
      </c>
      <c r="O13403" s="1" t="s">
        <v>46</v>
      </c>
    </row>
    <row r="13404" spans="2:15" x14ac:dyDescent="0.3">
      <c r="B13404" s="1" t="s">
        <v>20</v>
      </c>
      <c r="C13404" s="1" t="str">
        <f>"4차"</f>
        <v>4차</v>
      </c>
      <c r="D13404" s="1" t="str">
        <f>"9825Y05245"</f>
        <v>9825Y05245</v>
      </c>
      <c r="E13404" s="1" t="s">
        <v>10</v>
      </c>
      <c r="F13404" s="1" t="str">
        <f>"10.14.13.189"</f>
        <v>10.14.13.189</v>
      </c>
      <c r="G13404" s="1" t="str">
        <f>"9825Y052"</f>
        <v>9825Y052</v>
      </c>
      <c r="H13404" s="1" t="str">
        <f>"신공덕 4T"</f>
        <v>신공덕 4T</v>
      </c>
      <c r="I13404" s="1" t="s">
        <v>17</v>
      </c>
      <c r="J13404" s="1" t="str">
        <f>"35/35"</f>
        <v>35/35</v>
      </c>
      <c r="K13404" s="1" t="str">
        <f>"2026-07-29 13:18:10"</f>
        <v>2026-07-29 13:18:10</v>
      </c>
      <c r="L13404" s="1" t="str">
        <f>"2021-10-26 09:37:57"</f>
        <v>2021-10-26 09:37:57</v>
      </c>
      <c r="M13404" s="1" t="s">
        <v>3</v>
      </c>
      <c r="N13404" s="1" t="s">
        <v>38</v>
      </c>
      <c r="O13404" s="1" t="s">
        <v>46</v>
      </c>
    </row>
    <row r="13405" spans="2:15" x14ac:dyDescent="0.3">
      <c r="B13405" s="1" t="s">
        <v>20</v>
      </c>
      <c r="C13405" s="1" t="str">
        <f>"4차"</f>
        <v>4차</v>
      </c>
      <c r="D13405" s="1" t="str">
        <f>"9825Y06444"</f>
        <v>9825Y06444</v>
      </c>
      <c r="E13405" s="1" t="s">
        <v>10</v>
      </c>
      <c r="F13405" s="1" t="str">
        <f>"10.10.83.226"</f>
        <v>10.10.83.226</v>
      </c>
      <c r="G13405" s="1" t="str">
        <f>"9825Y064"</f>
        <v>9825Y064</v>
      </c>
      <c r="H13405" s="1" t="str">
        <f>"신마간 1R9L4"</f>
        <v>신마간 1R9L4</v>
      </c>
      <c r="I13405" s="1" t="s">
        <v>8</v>
      </c>
      <c r="J13405" s="1" t="str">
        <f>"1/1"</f>
        <v>1/1</v>
      </c>
      <c r="K13405" s="1" t="str">
        <f t="shared" ref="K13405:K13419" si="682">"2026-07-29 13:18:12"</f>
        <v>2026-07-29 13:18:12</v>
      </c>
      <c r="L13405" s="1" t="str">
        <f>"2019-12-24 16:46:01"</f>
        <v>2019-12-24 16:46:01</v>
      </c>
      <c r="M13405" s="1" t="s">
        <v>1</v>
      </c>
      <c r="N13405" s="1" t="s">
        <v>38</v>
      </c>
      <c r="O13405" s="1" t="s">
        <v>46</v>
      </c>
    </row>
    <row r="13406" spans="2:15" x14ac:dyDescent="0.3">
      <c r="B13406" s="1" t="s">
        <v>20</v>
      </c>
      <c r="C13406" s="1" t="str">
        <f>"4차"</f>
        <v>4차</v>
      </c>
      <c r="D13406" s="1" t="str">
        <f>"9825Y17244"</f>
        <v>9825Y17244</v>
      </c>
      <c r="E13406" s="1" t="s">
        <v>10</v>
      </c>
      <c r="F13406" s="1" t="str">
        <f>"10.10.83.210"</f>
        <v>10.10.83.210</v>
      </c>
      <c r="G13406" s="1" t="str">
        <f>"9825Y172"</f>
        <v>9825Y172</v>
      </c>
      <c r="H13406" s="1" t="str">
        <f>"신마간 1R9L6R2"</f>
        <v>신마간 1R9L6R2</v>
      </c>
      <c r="I13406" s="1" t="s">
        <v>8</v>
      </c>
      <c r="J13406" s="1" t="str">
        <f>"23/23"</f>
        <v>23/23</v>
      </c>
      <c r="K13406" s="1" t="str">
        <f t="shared" si="682"/>
        <v>2026-07-29 13:18:12</v>
      </c>
      <c r="L13406" s="1" t="str">
        <f>"2020-01-18 14:16:47"</f>
        <v>2020-01-18 14:16:47</v>
      </c>
      <c r="M13406" s="1" t="s">
        <v>1</v>
      </c>
      <c r="N13406" s="1" t="s">
        <v>38</v>
      </c>
      <c r="O13406" s="1" t="s">
        <v>46</v>
      </c>
    </row>
    <row r="13407" spans="2:15" x14ac:dyDescent="0.3">
      <c r="B13407" s="1" t="s">
        <v>20</v>
      </c>
      <c r="C13407" s="1" t="s">
        <v>16</v>
      </c>
      <c r="D13407" s="1" t="str">
        <f>"9825Y19141"</f>
        <v>9825Y19141</v>
      </c>
      <c r="E13407" s="1" t="s">
        <v>10</v>
      </c>
      <c r="F13407" s="1" t="str">
        <f>"10.14.15.202"</f>
        <v>10.14.15.202</v>
      </c>
      <c r="G13407" s="1" t="str">
        <f>"9825Y191"</f>
        <v>9825Y191</v>
      </c>
      <c r="H13407" s="1" t="str">
        <f>"신마간 1R9L11"</f>
        <v>신마간 1R9L11</v>
      </c>
      <c r="I13407" s="1" t="s">
        <v>17</v>
      </c>
      <c r="J13407" s="1" t="str">
        <f>"59/59"</f>
        <v>59/59</v>
      </c>
      <c r="K13407" s="1" t="str">
        <f t="shared" si="682"/>
        <v>2026-07-29 13:18:12</v>
      </c>
      <c r="L13407" s="1" t="str">
        <f>"2022-11-14 09:57:09"</f>
        <v>2022-11-14 09:57:09</v>
      </c>
      <c r="M13407" s="1" t="s">
        <v>3</v>
      </c>
      <c r="N13407" s="1" t="s">
        <v>38</v>
      </c>
      <c r="O13407" s="1" t="s">
        <v>46</v>
      </c>
    </row>
    <row r="13408" spans="2:15" x14ac:dyDescent="0.3">
      <c r="B13408" s="1" t="s">
        <v>20</v>
      </c>
      <c r="C13408" s="1" t="str">
        <f>"4차"</f>
        <v>4차</v>
      </c>
      <c r="D13408" s="1" t="str">
        <f>"9825Y20144"</f>
        <v>9825Y20144</v>
      </c>
      <c r="E13408" s="1" t="s">
        <v>10</v>
      </c>
      <c r="F13408" s="1" t="str">
        <f>"10.10.100.34"</f>
        <v>10.10.100.34</v>
      </c>
      <c r="G13408" s="1" t="str">
        <f>"9825Y201"</f>
        <v>9825Y201</v>
      </c>
      <c r="H13408" s="1" t="str">
        <f>"효청간 20"</f>
        <v>효청간 20</v>
      </c>
      <c r="I13408" s="1" t="s">
        <v>8</v>
      </c>
      <c r="J13408" s="1" t="str">
        <f>"38/38"</f>
        <v>38/38</v>
      </c>
      <c r="K13408" s="1" t="str">
        <f t="shared" si="682"/>
        <v>2026-07-29 13:18:12</v>
      </c>
      <c r="L13408" s="1" t="str">
        <f>"2019-12-11 18:11:34"</f>
        <v>2019-12-11 18:11:34</v>
      </c>
      <c r="M13408" s="1" t="s">
        <v>1</v>
      </c>
      <c r="N13408" s="1" t="s">
        <v>38</v>
      </c>
      <c r="O13408" s="1" t="s">
        <v>46</v>
      </c>
    </row>
    <row r="13409" spans="2:15" x14ac:dyDescent="0.3">
      <c r="B13409" s="1" t="s">
        <v>20</v>
      </c>
      <c r="C13409" s="1" t="str">
        <f>"4차"</f>
        <v>4차</v>
      </c>
      <c r="D13409" s="1" t="str">
        <f>"9825Y21144"</f>
        <v>9825Y21144</v>
      </c>
      <c r="E13409" s="1" t="s">
        <v>10</v>
      </c>
      <c r="F13409" s="1" t="str">
        <f>"10.10.100.58"</f>
        <v>10.10.100.58</v>
      </c>
      <c r="G13409" s="1" t="str">
        <f>"9825Y211"</f>
        <v>9825Y211</v>
      </c>
      <c r="H13409" s="1" t="str">
        <f>"효청간 23L1H1"</f>
        <v>효청간 23L1H1</v>
      </c>
      <c r="I13409" s="1" t="s">
        <v>8</v>
      </c>
      <c r="J13409" s="1" t="str">
        <f>"24/24"</f>
        <v>24/24</v>
      </c>
      <c r="K13409" s="1" t="str">
        <f t="shared" si="682"/>
        <v>2026-07-29 13:18:12</v>
      </c>
      <c r="L13409" s="1" t="str">
        <f>"2020-01-29 15:38:43"</f>
        <v>2020-01-29 15:38:43</v>
      </c>
      <c r="M13409" s="1" t="s">
        <v>1</v>
      </c>
      <c r="N13409" s="1" t="s">
        <v>38</v>
      </c>
      <c r="O13409" s="1" t="s">
        <v>46</v>
      </c>
    </row>
    <row r="13410" spans="2:15" x14ac:dyDescent="0.3">
      <c r="B13410" s="1" t="s">
        <v>20</v>
      </c>
      <c r="C13410" s="1" t="str">
        <f>"4차"</f>
        <v>4차</v>
      </c>
      <c r="D13410" s="1" t="str">
        <f>"9825Y21244"</f>
        <v>9825Y21244</v>
      </c>
      <c r="E13410" s="1" t="s">
        <v>10</v>
      </c>
      <c r="F13410" s="1" t="str">
        <f>"10.10.110.210"</f>
        <v>10.10.110.210</v>
      </c>
      <c r="G13410" s="1" t="str">
        <f>"9825Y212"</f>
        <v>9825Y212</v>
      </c>
      <c r="H13410" s="1" t="str">
        <f>"효청간 23L1"</f>
        <v>효청간 23L1</v>
      </c>
      <c r="I13410" s="1" t="s">
        <v>8</v>
      </c>
      <c r="J13410" s="1" t="str">
        <f>"19/19"</f>
        <v>19/19</v>
      </c>
      <c r="K13410" s="1" t="str">
        <f t="shared" si="682"/>
        <v>2026-07-29 13:18:12</v>
      </c>
      <c r="L13410" s="1" t="str">
        <f>"2019-12-11 18:14:52"</f>
        <v>2019-12-11 18:14:52</v>
      </c>
      <c r="M13410" s="1" t="s">
        <v>1</v>
      </c>
      <c r="N13410" s="1" t="s">
        <v>38</v>
      </c>
      <c r="O13410" s="1" t="s">
        <v>46</v>
      </c>
    </row>
    <row r="13411" spans="2:15" x14ac:dyDescent="0.3">
      <c r="B13411" s="1" t="s">
        <v>20</v>
      </c>
      <c r="C13411" s="1" t="str">
        <f>"4차"</f>
        <v>4차</v>
      </c>
      <c r="D13411" s="1" t="str">
        <f>"9825Y22344"</f>
        <v>9825Y22344</v>
      </c>
      <c r="E13411" s="1" t="s">
        <v>10</v>
      </c>
      <c r="F13411" s="1" t="str">
        <f>"10.10.85.34"</f>
        <v>10.10.85.34</v>
      </c>
      <c r="G13411" s="1" t="str">
        <f>"9825Y223"</f>
        <v>9825Y223</v>
      </c>
      <c r="H13411" s="1" t="str">
        <f>"효청간 23L3"</f>
        <v>효청간 23L3</v>
      </c>
      <c r="I13411" s="1" t="s">
        <v>8</v>
      </c>
      <c r="J13411" s="1" t="str">
        <f>"25/26"</f>
        <v>25/26</v>
      </c>
      <c r="K13411" s="1" t="str">
        <f t="shared" si="682"/>
        <v>2026-07-29 13:18:12</v>
      </c>
      <c r="L13411" s="1" t="str">
        <f>"2019-12-17 16:09:24"</f>
        <v>2019-12-17 16:09:24</v>
      </c>
      <c r="M13411" s="1" t="s">
        <v>1</v>
      </c>
      <c r="N13411" s="1" t="s">
        <v>38</v>
      </c>
      <c r="O13411" s="1" t="s">
        <v>46</v>
      </c>
    </row>
    <row r="13412" spans="2:15" x14ac:dyDescent="0.3">
      <c r="B13412" s="1" t="s">
        <v>20</v>
      </c>
      <c r="C13412" s="1" t="str">
        <f>"4차"</f>
        <v>4차</v>
      </c>
      <c r="D13412" s="1" t="str">
        <f>"9825Y30144"</f>
        <v>9825Y30144</v>
      </c>
      <c r="E13412" s="1" t="s">
        <v>10</v>
      </c>
      <c r="F13412" s="1" t="str">
        <f>"10.10.100.50"</f>
        <v>10.10.100.50</v>
      </c>
      <c r="G13412" s="1" t="str">
        <f>"9825Y301"</f>
        <v>9825Y301</v>
      </c>
      <c r="H13412" s="1" t="str">
        <f>"효청간 21"</f>
        <v>효청간 21</v>
      </c>
      <c r="I13412" s="1" t="s">
        <v>8</v>
      </c>
      <c r="J13412" s="1" t="str">
        <f>"18/18"</f>
        <v>18/18</v>
      </c>
      <c r="K13412" s="1" t="str">
        <f t="shared" si="682"/>
        <v>2026-07-29 13:18:12</v>
      </c>
      <c r="L13412" s="1" t="str">
        <f>"2019-12-24 16:49:04"</f>
        <v>2019-12-24 16:49:04</v>
      </c>
      <c r="M13412" s="1" t="s">
        <v>1</v>
      </c>
      <c r="N13412" s="1" t="s">
        <v>38</v>
      </c>
      <c r="O13412" s="1" t="s">
        <v>46</v>
      </c>
    </row>
    <row r="13413" spans="2:15" x14ac:dyDescent="0.3">
      <c r="B13413" s="1" t="s">
        <v>20</v>
      </c>
      <c r="C13413" s="1" t="str">
        <f>"3차"</f>
        <v>3차</v>
      </c>
      <c r="D13413" s="1" t="str">
        <f>"9825Y33139"</f>
        <v>9825Y33139</v>
      </c>
      <c r="E13413" s="1" t="s">
        <v>10</v>
      </c>
      <c r="F13413" s="1" t="str">
        <f>"10.12.129.177"</f>
        <v>10.12.129.177</v>
      </c>
      <c r="G13413" s="1" t="str">
        <f>"9825Y331"</f>
        <v>9825Y331</v>
      </c>
      <c r="H13413" s="1" t="str">
        <f>"효청간 23L1R2"</f>
        <v>효청간 23L1R2</v>
      </c>
      <c r="I13413" s="1" t="s">
        <v>8</v>
      </c>
      <c r="J13413" s="1" t="str">
        <f>"43/44"</f>
        <v>43/44</v>
      </c>
      <c r="K13413" s="1" t="str">
        <f t="shared" si="682"/>
        <v>2026-07-29 13:18:12</v>
      </c>
      <c r="L13413" s="1" t="str">
        <f>"2018-04-21 12:15:42"</f>
        <v>2018-04-21 12:15:42</v>
      </c>
      <c r="M13413" s="1" t="s">
        <v>0</v>
      </c>
      <c r="N13413" s="1" t="s">
        <v>38</v>
      </c>
      <c r="O13413" s="1" t="s">
        <v>46</v>
      </c>
    </row>
    <row r="13414" spans="2:15" x14ac:dyDescent="0.3">
      <c r="B13414" s="1" t="s">
        <v>20</v>
      </c>
      <c r="C13414" s="1" t="str">
        <f>"4차"</f>
        <v>4차</v>
      </c>
      <c r="D13414" s="1" t="str">
        <f>"9825Y33244"</f>
        <v>9825Y33244</v>
      </c>
      <c r="E13414" s="1" t="s">
        <v>10</v>
      </c>
      <c r="F13414" s="1" t="str">
        <f>"10.10.100.74"</f>
        <v>10.10.100.74</v>
      </c>
      <c r="G13414" s="1" t="str">
        <f>"9825Y332"</f>
        <v>9825Y332</v>
      </c>
      <c r="H13414" s="1" t="str">
        <f>"효청간 23L1R3"</f>
        <v>효청간 23L1R3</v>
      </c>
      <c r="I13414" s="1" t="s">
        <v>8</v>
      </c>
      <c r="J13414" s="1" t="str">
        <f>"26/26"</f>
        <v>26/26</v>
      </c>
      <c r="K13414" s="1" t="str">
        <f t="shared" si="682"/>
        <v>2026-07-29 13:18:12</v>
      </c>
      <c r="L13414" s="1" t="str">
        <f>"2019-12-11 18:10:56"</f>
        <v>2019-12-11 18:10:56</v>
      </c>
      <c r="M13414" s="1" t="s">
        <v>1</v>
      </c>
      <c r="N13414" s="1" t="s">
        <v>38</v>
      </c>
      <c r="O13414" s="1" t="s">
        <v>46</v>
      </c>
    </row>
    <row r="13415" spans="2:15" x14ac:dyDescent="0.3">
      <c r="B13415" s="1" t="s">
        <v>20</v>
      </c>
      <c r="C13415" s="1" t="str">
        <f>"3차"</f>
        <v>3차</v>
      </c>
      <c r="D13415" s="1" t="str">
        <f>"9825Y34139"</f>
        <v>9825Y34139</v>
      </c>
      <c r="E13415" s="1" t="s">
        <v>10</v>
      </c>
      <c r="F13415" s="1" t="str">
        <f>"10.12.129.239"</f>
        <v>10.12.129.239</v>
      </c>
      <c r="G13415" s="1" t="str">
        <f>"9825Y341"</f>
        <v>9825Y341</v>
      </c>
      <c r="H13415" s="1" t="str">
        <f>"효청간 23L1R4"</f>
        <v>효청간 23L1R4</v>
      </c>
      <c r="I13415" s="1" t="s">
        <v>8</v>
      </c>
      <c r="J13415" s="1" t="str">
        <f>"35/35"</f>
        <v>35/35</v>
      </c>
      <c r="K13415" s="1" t="str">
        <f t="shared" si="682"/>
        <v>2026-07-29 13:18:12</v>
      </c>
      <c r="L13415" s="1" t="str">
        <f>"2018-04-21 11:40:42"</f>
        <v>2018-04-21 11:40:42</v>
      </c>
      <c r="M13415" s="1" t="s">
        <v>0</v>
      </c>
      <c r="N13415" s="1" t="s">
        <v>38</v>
      </c>
      <c r="O13415" s="1" t="s">
        <v>46</v>
      </c>
    </row>
    <row r="13416" spans="2:15" x14ac:dyDescent="0.3">
      <c r="B13416" s="1" t="s">
        <v>20</v>
      </c>
      <c r="C13416" s="1" t="str">
        <f>"4차"</f>
        <v>4차</v>
      </c>
      <c r="D13416" s="1" t="str">
        <f>"9825Y39144"</f>
        <v>9825Y39144</v>
      </c>
      <c r="E13416" s="1" t="s">
        <v>10</v>
      </c>
      <c r="F13416" s="1" t="str">
        <f>"10.10.82.202"</f>
        <v>10.10.82.202</v>
      </c>
      <c r="G13416" s="1" t="str">
        <f>"9825Y391"</f>
        <v>9825Y391</v>
      </c>
      <c r="H13416" s="1" t="str">
        <f>"신마간 11R3"</f>
        <v>신마간 11R3</v>
      </c>
      <c r="I13416" s="1" t="s">
        <v>8</v>
      </c>
      <c r="J13416" s="1" t="str">
        <f>"50/50"</f>
        <v>50/50</v>
      </c>
      <c r="K13416" s="1" t="str">
        <f t="shared" si="682"/>
        <v>2026-07-29 13:18:12</v>
      </c>
      <c r="L13416" s="1" t="str">
        <f>"2019-12-24 16:49:17"</f>
        <v>2019-12-24 16:49:17</v>
      </c>
      <c r="M13416" s="1" t="s">
        <v>1</v>
      </c>
      <c r="N13416" s="1" t="s">
        <v>38</v>
      </c>
      <c r="O13416" s="1" t="s">
        <v>46</v>
      </c>
    </row>
    <row r="13417" spans="2:15" x14ac:dyDescent="0.3">
      <c r="B13417" s="1" t="s">
        <v>20</v>
      </c>
      <c r="C13417" s="1" t="str">
        <f>"4차"</f>
        <v>4차</v>
      </c>
      <c r="D13417" s="1" t="str">
        <f>"9825Y49644"</f>
        <v>9825Y49644</v>
      </c>
      <c r="E13417" s="1" t="s">
        <v>10</v>
      </c>
      <c r="F13417" s="1" t="str">
        <f>"10.12.138.17"</f>
        <v>10.12.138.17</v>
      </c>
      <c r="G13417" s="1" t="str">
        <f>"9825Y496"</f>
        <v>9825Y496</v>
      </c>
      <c r="H13417" s="1" t="str">
        <f>"신마간 11R6"</f>
        <v>신마간 11R6</v>
      </c>
      <c r="I13417" s="1" t="s">
        <v>8</v>
      </c>
      <c r="J13417" s="1" t="str">
        <f>"11/12"</f>
        <v>11/12</v>
      </c>
      <c r="K13417" s="1" t="str">
        <f t="shared" si="682"/>
        <v>2026-07-29 13:18:12</v>
      </c>
      <c r="L13417" s="1" t="str">
        <f>"2021-08-10 17:58:12"</f>
        <v>2021-08-10 17:58:12</v>
      </c>
      <c r="M13417" s="1" t="s">
        <v>0</v>
      </c>
      <c r="N13417" s="1" t="s">
        <v>38</v>
      </c>
      <c r="O13417" s="1" t="s">
        <v>46</v>
      </c>
    </row>
    <row r="13418" spans="2:15" x14ac:dyDescent="0.3">
      <c r="B13418" s="1" t="s">
        <v>20</v>
      </c>
      <c r="C13418" s="1" t="str">
        <f>"4차"</f>
        <v>4차</v>
      </c>
      <c r="D13418" s="1" t="str">
        <f>"9825Y59142"</f>
        <v>9825Y59142</v>
      </c>
      <c r="E13418" s="1" t="s">
        <v>10</v>
      </c>
      <c r="F13418" s="1" t="str">
        <f>"10.125.128.249"</f>
        <v>10.125.128.249</v>
      </c>
      <c r="G13418" s="1" t="str">
        <f>"9825Y591"</f>
        <v>9825Y591</v>
      </c>
      <c r="H13418" s="1" t="str">
        <f>"마용간 22"</f>
        <v>마용간 22</v>
      </c>
      <c r="I13418" s="1" t="s">
        <v>8</v>
      </c>
      <c r="J13418" s="1" t="str">
        <f>"17/17"</f>
        <v>17/17</v>
      </c>
      <c r="K13418" s="1" t="str">
        <f t="shared" si="682"/>
        <v>2026-07-29 13:18:12</v>
      </c>
      <c r="L13418" s="1" t="str">
        <f>"2025-01-14 13:30:18"</f>
        <v>2025-01-14 13:30:18</v>
      </c>
      <c r="M13418" s="1" t="s">
        <v>45</v>
      </c>
      <c r="N13418" s="1" t="s">
        <v>38</v>
      </c>
      <c r="O13418" s="1" t="s">
        <v>46</v>
      </c>
    </row>
    <row r="13419" spans="2:15" x14ac:dyDescent="0.3">
      <c r="B13419" s="1" t="s">
        <v>20</v>
      </c>
      <c r="C13419" s="1" t="str">
        <f>"4차"</f>
        <v>4차</v>
      </c>
      <c r="D13419" s="1" t="str">
        <f>"9825Y65144"</f>
        <v>9825Y65144</v>
      </c>
      <c r="E13419" s="1" t="s">
        <v>10</v>
      </c>
      <c r="F13419" s="1" t="str">
        <f>"10.10.100.98"</f>
        <v>10.10.100.98</v>
      </c>
      <c r="G13419" s="1" t="str">
        <f>"9825Y651"</f>
        <v>9825Y651</v>
      </c>
      <c r="H13419" s="1" t="str">
        <f>"효청간 32"</f>
        <v>효청간 32</v>
      </c>
      <c r="I13419" s="1" t="s">
        <v>8</v>
      </c>
      <c r="J13419" s="1" t="str">
        <f>"29/30"</f>
        <v>29/30</v>
      </c>
      <c r="K13419" s="1" t="str">
        <f t="shared" si="682"/>
        <v>2026-07-29 13:18:12</v>
      </c>
      <c r="L13419" s="1" t="str">
        <f>"2019-12-11 18:18:32"</f>
        <v>2019-12-11 18:18:32</v>
      </c>
      <c r="M13419" s="1" t="s">
        <v>1</v>
      </c>
      <c r="N13419" s="1" t="s">
        <v>38</v>
      </c>
      <c r="O13419" s="1" t="s">
        <v>46</v>
      </c>
    </row>
    <row r="13420" spans="2:15" x14ac:dyDescent="0.3">
      <c r="B13420" s="1" t="s">
        <v>20</v>
      </c>
      <c r="C13420" s="1" t="str">
        <f>"4차"</f>
        <v>4차</v>
      </c>
      <c r="D13420" s="1" t="str">
        <f>"9825Y65244"</f>
        <v>9825Y65244</v>
      </c>
      <c r="E13420" s="1" t="s">
        <v>10</v>
      </c>
      <c r="F13420" s="1" t="str">
        <f>"10.12.138.96"</f>
        <v>10.12.138.96</v>
      </c>
      <c r="G13420" s="1" t="str">
        <f>"9825Y652"</f>
        <v>9825Y652</v>
      </c>
      <c r="H13420" s="1" t="str">
        <f>"효청간 31"</f>
        <v>효청간 31</v>
      </c>
      <c r="I13420" s="1" t="s">
        <v>8</v>
      </c>
      <c r="J13420" s="1" t="str">
        <f>"7/7"</f>
        <v>7/7</v>
      </c>
      <c r="K13420" s="1" t="str">
        <f>"2026-07-29 13:18:13"</f>
        <v>2026-07-29 13:18:13</v>
      </c>
      <c r="L13420" s="1" t="str">
        <f>"2020-01-10 11:12:55"</f>
        <v>2020-01-10 11:12:55</v>
      </c>
      <c r="M13420" s="1" t="s">
        <v>0</v>
      </c>
      <c r="N13420" s="1" t="s">
        <v>38</v>
      </c>
      <c r="O13420" s="1" t="s">
        <v>46</v>
      </c>
    </row>
    <row r="13421" spans="2:15" x14ac:dyDescent="0.3">
      <c r="B13421" s="1" t="s">
        <v>20</v>
      </c>
      <c r="C13421" s="1" t="str">
        <f>"6차"</f>
        <v>6차</v>
      </c>
      <c r="D13421" s="1" t="str">
        <f>"9825Y6936M"</f>
        <v>9825Y6936M</v>
      </c>
      <c r="E13421" s="1" t="s">
        <v>10</v>
      </c>
      <c r="F13421" s="1" t="str">
        <f>"fde1:103:4:c825:0:0:0:2"</f>
        <v>fde1:103:4:c825:0:0:0:2</v>
      </c>
      <c r="G13421" s="1" t="str">
        <f>"9825Y693"</f>
        <v>9825Y693</v>
      </c>
      <c r="H13421" s="1" t="str">
        <f>"마용간 22R3"</f>
        <v>마용간 22R3</v>
      </c>
      <c r="I13421" s="1" t="s">
        <v>15</v>
      </c>
      <c r="J13421" s="1" t="str">
        <f>"20/20"</f>
        <v>20/20</v>
      </c>
      <c r="K13421" s="1" t="str">
        <f>"2026-07-29 14:21:48"</f>
        <v>2026-07-29 14:21:48</v>
      </c>
      <c r="L13421" s="1" t="str">
        <f>"2024-11-25 10:58:08"</f>
        <v>2024-11-25 10:58:08</v>
      </c>
      <c r="M13421" s="1" t="s">
        <v>4</v>
      </c>
      <c r="N13421" s="1" t="s">
        <v>38</v>
      </c>
      <c r="O13421" s="1" t="s">
        <v>46</v>
      </c>
    </row>
    <row r="13422" spans="2:15" x14ac:dyDescent="0.3">
      <c r="B13422" s="1" t="s">
        <v>20</v>
      </c>
      <c r="C13422" s="1" t="str">
        <f>"4차"</f>
        <v>4차</v>
      </c>
      <c r="D13422" s="1" t="str">
        <f>"9825Y70141"</f>
        <v>9825Y70141</v>
      </c>
      <c r="E13422" s="1" t="s">
        <v>10</v>
      </c>
      <c r="F13422" s="1" t="str">
        <f>"10.12.134.10"</f>
        <v>10.12.134.10</v>
      </c>
      <c r="G13422" s="1" t="str">
        <f>"9825Y701"</f>
        <v>9825Y701</v>
      </c>
      <c r="H13422" s="1" t="str">
        <f>"효청간 22R7R1"</f>
        <v>효청간 22R7R1</v>
      </c>
      <c r="I13422" s="1" t="s">
        <v>17</v>
      </c>
      <c r="J13422" s="1" t="str">
        <f>"5/11"</f>
        <v>5/11</v>
      </c>
      <c r="K13422" s="1" t="str">
        <f>"2026-07-29 13:18:13"</f>
        <v>2026-07-29 13:18:13</v>
      </c>
      <c r="L13422" s="1" t="str">
        <f>"2021-07-16 09:51:26"</f>
        <v>2021-07-16 09:51:26</v>
      </c>
      <c r="M13422" s="1" t="s">
        <v>0</v>
      </c>
      <c r="N13422" s="1" t="s">
        <v>38</v>
      </c>
      <c r="O13422" s="1" t="s">
        <v>46</v>
      </c>
    </row>
    <row r="13423" spans="2:15" x14ac:dyDescent="0.3">
      <c r="B13423" s="1" t="s">
        <v>20</v>
      </c>
      <c r="C13423" s="1" t="str">
        <f>"3차"</f>
        <v>3차</v>
      </c>
      <c r="D13423" s="1" t="str">
        <f>"9825Y76139"</f>
        <v>9825Y76139</v>
      </c>
      <c r="E13423" s="1" t="s">
        <v>10</v>
      </c>
      <c r="F13423" s="1" t="str">
        <f>"10.125.245.2"</f>
        <v>10.125.245.2</v>
      </c>
      <c r="G13423" s="1" t="str">
        <f>"9825Y761"</f>
        <v>9825Y761</v>
      </c>
      <c r="H13423" s="1" t="str">
        <f>"효청간 34"</f>
        <v>효청간 34</v>
      </c>
      <c r="I13423" s="1" t="s">
        <v>8</v>
      </c>
      <c r="J13423" s="1" t="str">
        <f>"2/2"</f>
        <v>2/2</v>
      </c>
      <c r="K13423" s="1" t="str">
        <f t="shared" ref="K13423:K13432" si="683">"2026-07-29 13:18:12"</f>
        <v>2026-07-29 13:18:12</v>
      </c>
      <c r="L13423" s="1" t="str">
        <f>"2018-04-21 11:07:11"</f>
        <v>2018-04-21 11:07:11</v>
      </c>
      <c r="M13423" s="1" t="s">
        <v>45</v>
      </c>
      <c r="N13423" s="1" t="s">
        <v>38</v>
      </c>
      <c r="O13423" s="1" t="s">
        <v>46</v>
      </c>
    </row>
    <row r="13424" spans="2:15" x14ac:dyDescent="0.3">
      <c r="B13424" s="1" t="s">
        <v>20</v>
      </c>
      <c r="C13424" s="1" t="str">
        <f>"4차"</f>
        <v>4차</v>
      </c>
      <c r="D13424" s="1" t="str">
        <f>"9825Y76544"</f>
        <v>9825Y76544</v>
      </c>
      <c r="E13424" s="1" t="s">
        <v>10</v>
      </c>
      <c r="F13424" s="1" t="str">
        <f>"10.10.111.2"</f>
        <v>10.10.111.2</v>
      </c>
      <c r="G13424" s="1" t="str">
        <f>"9825Y765"</f>
        <v>9825Y765</v>
      </c>
      <c r="H13424" s="1" t="str">
        <f>"효청간 33"</f>
        <v>효청간 33</v>
      </c>
      <c r="I13424" s="1" t="s">
        <v>8</v>
      </c>
      <c r="J13424" s="1" t="str">
        <f>"28/28"</f>
        <v>28/28</v>
      </c>
      <c r="K13424" s="1" t="str">
        <f t="shared" si="683"/>
        <v>2026-07-29 13:18:12</v>
      </c>
      <c r="L13424" s="1" t="str">
        <f>"2019-12-11 18:12:22"</f>
        <v>2019-12-11 18:12:22</v>
      </c>
      <c r="M13424" s="1" t="s">
        <v>1</v>
      </c>
      <c r="N13424" s="1" t="s">
        <v>38</v>
      </c>
      <c r="O13424" s="1" t="s">
        <v>46</v>
      </c>
    </row>
    <row r="13425" spans="2:15" x14ac:dyDescent="0.3">
      <c r="B13425" s="1" t="s">
        <v>20</v>
      </c>
      <c r="C13425" s="1" t="str">
        <f>"4차"</f>
        <v>4차</v>
      </c>
      <c r="D13425" s="1" t="str">
        <f>"9825Y77144"</f>
        <v>9825Y77144</v>
      </c>
      <c r="E13425" s="1" t="s">
        <v>10</v>
      </c>
      <c r="F13425" s="1" t="str">
        <f>"10.10.74.218"</f>
        <v>10.10.74.218</v>
      </c>
      <c r="G13425" s="1" t="str">
        <f>"9825Y771"</f>
        <v>9825Y771</v>
      </c>
      <c r="H13425" s="1" t="str">
        <f>"마용간 22R9"</f>
        <v>마용간 22R9</v>
      </c>
      <c r="I13425" s="1" t="s">
        <v>8</v>
      </c>
      <c r="J13425" s="1" t="str">
        <f>"71/72"</f>
        <v>71/72</v>
      </c>
      <c r="K13425" s="1" t="str">
        <f t="shared" si="683"/>
        <v>2026-07-29 13:18:12</v>
      </c>
      <c r="L13425" s="1" t="str">
        <f>"2019-12-11 17:57:15"</f>
        <v>2019-12-11 17:57:15</v>
      </c>
      <c r="M13425" s="1" t="s">
        <v>1</v>
      </c>
      <c r="N13425" s="1" t="s">
        <v>38</v>
      </c>
      <c r="O13425" s="1" t="s">
        <v>46</v>
      </c>
    </row>
    <row r="13426" spans="2:15" x14ac:dyDescent="0.3">
      <c r="B13426" s="1" t="s">
        <v>20</v>
      </c>
      <c r="C13426" s="1" t="str">
        <f>"1차"</f>
        <v>1차</v>
      </c>
      <c r="D13426" s="1" t="str">
        <f>"9825Y78100"</f>
        <v>9825Y78100</v>
      </c>
      <c r="E13426" s="1" t="s">
        <v>10</v>
      </c>
      <c r="F13426" s="1" t="str">
        <f>"10.125.129.4"</f>
        <v>10.125.129.4</v>
      </c>
      <c r="G13426" s="1" t="str">
        <f>"9825Y781"</f>
        <v>9825Y781</v>
      </c>
      <c r="H13426" s="1" t="str">
        <f>"마용간 22R6"</f>
        <v>마용간 22R6</v>
      </c>
      <c r="I13426" s="1" t="s">
        <v>8</v>
      </c>
      <c r="J13426" s="1" t="str">
        <f>"6/6"</f>
        <v>6/6</v>
      </c>
      <c r="K13426" s="1" t="str">
        <f t="shared" si="683"/>
        <v>2026-07-29 13:18:12</v>
      </c>
      <c r="L13426" s="1" t="str">
        <f>"2014-11-19 14:53:33"</f>
        <v>2014-11-19 14:53:33</v>
      </c>
      <c r="M13426" s="1" t="s">
        <v>45</v>
      </c>
      <c r="N13426" s="1" t="s">
        <v>38</v>
      </c>
      <c r="O13426" s="1" t="s">
        <v>46</v>
      </c>
    </row>
    <row r="13427" spans="2:15" x14ac:dyDescent="0.3">
      <c r="B13427" s="1" t="s">
        <v>20</v>
      </c>
      <c r="C13427" s="1" t="str">
        <f>"1차"</f>
        <v>1차</v>
      </c>
      <c r="D13427" s="1" t="str">
        <f>"9825Y78501"</f>
        <v>9825Y78501</v>
      </c>
      <c r="E13427" s="1" t="s">
        <v>10</v>
      </c>
      <c r="F13427" s="1" t="str">
        <f>"10.125.129.159"</f>
        <v>10.125.129.159</v>
      </c>
      <c r="G13427" s="1" t="str">
        <f>"9825Y785"</f>
        <v>9825Y785</v>
      </c>
      <c r="H13427" s="1" t="str">
        <f>"마용간 22R8"</f>
        <v>마용간 22R8</v>
      </c>
      <c r="I13427" s="1" t="s">
        <v>8</v>
      </c>
      <c r="J13427" s="1" t="str">
        <f>"49/51"</f>
        <v>49/51</v>
      </c>
      <c r="K13427" s="1" t="str">
        <f t="shared" si="683"/>
        <v>2026-07-29 13:18:12</v>
      </c>
      <c r="L13427" s="1" t="str">
        <f>"2019-12-11 15:03:56"</f>
        <v>2019-12-11 15:03:56</v>
      </c>
      <c r="M13427" s="1" t="s">
        <v>45</v>
      </c>
      <c r="N13427" s="1" t="s">
        <v>38</v>
      </c>
      <c r="O13427" s="1" t="s">
        <v>46</v>
      </c>
    </row>
    <row r="13428" spans="2:15" x14ac:dyDescent="0.3">
      <c r="B13428" s="1" t="s">
        <v>20</v>
      </c>
      <c r="C13428" s="1" t="str">
        <f>"4차"</f>
        <v>4차</v>
      </c>
      <c r="D13428" s="1" t="str">
        <f>"9825Y88144"</f>
        <v>9825Y88144</v>
      </c>
      <c r="E13428" s="1" t="s">
        <v>10</v>
      </c>
      <c r="F13428" s="1" t="str">
        <f>"10.10.76.234"</f>
        <v>10.10.76.234</v>
      </c>
      <c r="G13428" s="1" t="str">
        <f>"9825Y881"</f>
        <v>9825Y881</v>
      </c>
      <c r="H13428" s="1" t="str">
        <f>"마용간 25R5R2R1"</f>
        <v>마용간 25R5R2R1</v>
      </c>
      <c r="I13428" s="1" t="s">
        <v>8</v>
      </c>
      <c r="J13428" s="1" t="str">
        <f>"23/23"</f>
        <v>23/23</v>
      </c>
      <c r="K13428" s="1" t="str">
        <f t="shared" si="683"/>
        <v>2026-07-29 13:18:12</v>
      </c>
      <c r="L13428" s="1" t="str">
        <f>"2020-01-10 17:18:09"</f>
        <v>2020-01-10 17:18:09</v>
      </c>
      <c r="M13428" s="1" t="s">
        <v>1</v>
      </c>
      <c r="N13428" s="1" t="s">
        <v>38</v>
      </c>
      <c r="O13428" s="1" t="s">
        <v>46</v>
      </c>
    </row>
    <row r="13429" spans="2:15" x14ac:dyDescent="0.3">
      <c r="B13429" s="1" t="s">
        <v>20</v>
      </c>
      <c r="C13429" s="1" t="str">
        <f>"4차"</f>
        <v>4차</v>
      </c>
      <c r="D13429" s="1" t="str">
        <f>"9825Y89144"</f>
        <v>9825Y89144</v>
      </c>
      <c r="E13429" s="1" t="s">
        <v>10</v>
      </c>
      <c r="F13429" s="1" t="str">
        <f>"10.10.76.226"</f>
        <v>10.10.76.226</v>
      </c>
      <c r="G13429" s="1" t="str">
        <f>"9825Y891"</f>
        <v>9825Y891</v>
      </c>
      <c r="H13429" s="1" t="str">
        <f>"마용간 25R5R1"</f>
        <v>마용간 25R5R1</v>
      </c>
      <c r="I13429" s="1" t="s">
        <v>8</v>
      </c>
      <c r="J13429" s="1" t="str">
        <f>"26/26"</f>
        <v>26/26</v>
      </c>
      <c r="K13429" s="1" t="str">
        <f t="shared" si="683"/>
        <v>2026-07-29 13:18:12</v>
      </c>
      <c r="L13429" s="1" t="str">
        <f>"2019-12-24 16:43:41"</f>
        <v>2019-12-24 16:43:41</v>
      </c>
      <c r="M13429" s="1" t="s">
        <v>1</v>
      </c>
      <c r="N13429" s="1" t="s">
        <v>38</v>
      </c>
      <c r="O13429" s="1" t="s">
        <v>46</v>
      </c>
    </row>
    <row r="13430" spans="2:15" x14ac:dyDescent="0.3">
      <c r="B13430" s="1" t="s">
        <v>20</v>
      </c>
      <c r="C13430" s="1" t="str">
        <f>"4차"</f>
        <v>4차</v>
      </c>
      <c r="D13430" s="1" t="str">
        <f>"9825Z20144"</f>
        <v>9825Z20144</v>
      </c>
      <c r="E13430" s="1" t="s">
        <v>10</v>
      </c>
      <c r="F13430" s="1" t="str">
        <f>"10.125.227.162"</f>
        <v>10.125.227.162</v>
      </c>
      <c r="G13430" s="1" t="str">
        <f>"9825Z201"</f>
        <v>9825Z201</v>
      </c>
      <c r="H13430" s="1" t="str">
        <f>"백범지 25L2"</f>
        <v>백범지 25L2</v>
      </c>
      <c r="I13430" s="1" t="s">
        <v>8</v>
      </c>
      <c r="J13430" s="1" t="str">
        <f>"21/26"</f>
        <v>21/26</v>
      </c>
      <c r="K13430" s="1" t="str">
        <f t="shared" si="683"/>
        <v>2026-07-29 13:18:12</v>
      </c>
      <c r="L13430" s="1" t="str">
        <f>"2023-07-24 17:03:51"</f>
        <v>2023-07-24 17:03:51</v>
      </c>
      <c r="M13430" s="1" t="s">
        <v>45</v>
      </c>
      <c r="N13430" s="1" t="s">
        <v>38</v>
      </c>
      <c r="O13430" s="1" t="s">
        <v>46</v>
      </c>
    </row>
    <row r="13431" spans="2:15" x14ac:dyDescent="0.3">
      <c r="B13431" s="1" t="s">
        <v>20</v>
      </c>
      <c r="C13431" s="1" t="str">
        <f>"1차"</f>
        <v>1차</v>
      </c>
      <c r="D13431" s="1" t="str">
        <f>"9825Z21200"</f>
        <v>9825Z21200</v>
      </c>
      <c r="E13431" s="1" t="s">
        <v>10</v>
      </c>
      <c r="F13431" s="1" t="str">
        <f>"10.125.227.178"</f>
        <v>10.125.227.178</v>
      </c>
      <c r="G13431" s="1" t="str">
        <f>"9825Z212"</f>
        <v>9825Z212</v>
      </c>
      <c r="H13431" s="1" t="str">
        <f>"백범지 25L5"</f>
        <v>백범지 25L5</v>
      </c>
      <c r="I13431" s="1" t="s">
        <v>8</v>
      </c>
      <c r="J13431" s="1" t="str">
        <f>"29/29"</f>
        <v>29/29</v>
      </c>
      <c r="K13431" s="1" t="str">
        <f t="shared" si="683"/>
        <v>2026-07-29 13:18:12</v>
      </c>
      <c r="L13431" s="1" t="str">
        <f>"2014-11-24 11:41:55"</f>
        <v>2014-11-24 11:41:55</v>
      </c>
      <c r="M13431" s="1" t="s">
        <v>45</v>
      </c>
      <c r="N13431" s="1" t="s">
        <v>38</v>
      </c>
      <c r="O13431" s="1" t="s">
        <v>46</v>
      </c>
    </row>
    <row r="13432" spans="2:15" x14ac:dyDescent="0.3">
      <c r="B13432" s="1" t="s">
        <v>20</v>
      </c>
      <c r="C13432" s="1" t="str">
        <f>"1차"</f>
        <v>1차</v>
      </c>
      <c r="D13432" s="1" t="str">
        <f>"9825Z31101"</f>
        <v>9825Z31101</v>
      </c>
      <c r="E13432" s="1" t="s">
        <v>10</v>
      </c>
      <c r="F13432" s="1" t="str">
        <f>"10.125.241.179"</f>
        <v>10.125.241.179</v>
      </c>
      <c r="G13432" s="1" t="str">
        <f>"9825Z311"</f>
        <v>9825Z311</v>
      </c>
      <c r="H13432" s="1" t="str">
        <f>"백범지 25L6"</f>
        <v>백범지 25L6</v>
      </c>
      <c r="I13432" s="1" t="s">
        <v>8</v>
      </c>
      <c r="J13432" s="1" t="str">
        <f>"10/10"</f>
        <v>10/10</v>
      </c>
      <c r="K13432" s="1" t="str">
        <f t="shared" si="683"/>
        <v>2026-07-29 13:18:12</v>
      </c>
      <c r="L13432" s="1" t="str">
        <f>"2014-11-24 11:43:07"</f>
        <v>2014-11-24 11:43:07</v>
      </c>
      <c r="M13432" s="1" t="s">
        <v>45</v>
      </c>
      <c r="N13432" s="1" t="s">
        <v>38</v>
      </c>
      <c r="O13432" s="1" t="s">
        <v>46</v>
      </c>
    </row>
    <row r="13433" spans="2:15" x14ac:dyDescent="0.3">
      <c r="B13433" s="1" t="s">
        <v>20</v>
      </c>
      <c r="C13433" s="1" t="str">
        <f>"6차"</f>
        <v>6차</v>
      </c>
      <c r="D13433" s="1" t="str">
        <f>"9825Z4016S"</f>
        <v>9825Z4016S</v>
      </c>
      <c r="E13433" s="1" t="s">
        <v>10</v>
      </c>
      <c r="F13433" s="1" t="str">
        <f>"fde1:103:4:c705:0:0:0:2"</f>
        <v>fde1:103:4:c705:0:0:0:2</v>
      </c>
      <c r="G13433" s="1" t="str">
        <f>"9825Z401"</f>
        <v>9825Z401</v>
      </c>
      <c r="H13433" s="1" t="str">
        <f>"백범지 29L1"</f>
        <v>백범지 29L1</v>
      </c>
      <c r="I13433" s="1" t="s">
        <v>15</v>
      </c>
      <c r="J13433" s="1" t="str">
        <f>"28/28"</f>
        <v>28/28</v>
      </c>
      <c r="K13433" s="1" t="str">
        <f>"2026-07-29 14:21:42"</f>
        <v>2026-07-29 14:21:42</v>
      </c>
      <c r="L13433" s="1" t="str">
        <f>"2024-12-10 15:44:16"</f>
        <v>2024-12-10 15:44:16</v>
      </c>
      <c r="M13433" s="1" t="s">
        <v>4</v>
      </c>
      <c r="N13433" s="1" t="s">
        <v>38</v>
      </c>
      <c r="O13433" s="1" t="s">
        <v>46</v>
      </c>
    </row>
    <row r="13434" spans="2:15" x14ac:dyDescent="0.3">
      <c r="B13434" s="1" t="s">
        <v>20</v>
      </c>
      <c r="C13434" s="1" t="str">
        <f>"5-2차"</f>
        <v>5-2차</v>
      </c>
      <c r="D13434" s="1" t="str">
        <f>"9825Z5025M"</f>
        <v>9825Z5025M</v>
      </c>
      <c r="E13434" s="1" t="s">
        <v>10</v>
      </c>
      <c r="F13434" s="1" t="str">
        <f>"fde1:103:4:55e5:0:0:0:2"</f>
        <v>fde1:103:4:55e5:0:0:0:2</v>
      </c>
      <c r="G13434" s="1" t="str">
        <f>"9825Z502"</f>
        <v>9825Z502</v>
      </c>
      <c r="H13434" s="1" t="str">
        <f>"백범지 33L2"</f>
        <v>백범지 33L2</v>
      </c>
      <c r="I13434" s="1" t="s">
        <v>15</v>
      </c>
      <c r="J13434" s="1" t="str">
        <f>"43/43"</f>
        <v>43/43</v>
      </c>
      <c r="K13434" s="1" t="str">
        <f>"2026-07-29 14:21:41"</f>
        <v>2026-07-29 14:21:41</v>
      </c>
      <c r="L13434" s="1" t="str">
        <f>"2023-09-12 09:44:26"</f>
        <v>2023-09-12 09:44:26</v>
      </c>
      <c r="M13434" s="1" t="s">
        <v>4</v>
      </c>
      <c r="N13434" s="1" t="s">
        <v>38</v>
      </c>
      <c r="O13434" s="1" t="s">
        <v>46</v>
      </c>
    </row>
    <row r="13435" spans="2:15" x14ac:dyDescent="0.3">
      <c r="B13435" s="1" t="s">
        <v>20</v>
      </c>
      <c r="C13435" s="1" t="str">
        <f>"5-2차"</f>
        <v>5-2차</v>
      </c>
      <c r="D13435" s="1" t="str">
        <f>"9825Z6935M"</f>
        <v>9825Z6935M</v>
      </c>
      <c r="E13435" s="1" t="s">
        <v>10</v>
      </c>
      <c r="F13435" s="1" t="str">
        <f>"fde3:102:1301:2f00:0:0:0:7"</f>
        <v>fde3:102:1301:2f00:0:0:0:7</v>
      </c>
      <c r="G13435" s="1" t="str">
        <f>"9825Z693"</f>
        <v>9825Z693</v>
      </c>
      <c r="H13435" s="1" t="str">
        <f>"효청간 49"</f>
        <v>효청간 49</v>
      </c>
      <c r="I13435" s="1" t="s">
        <v>15</v>
      </c>
      <c r="J13435" s="1" t="str">
        <f>"41/52"</f>
        <v>41/52</v>
      </c>
      <c r="K13435" s="1" t="str">
        <f>"2026-07-29 14:21:49"</f>
        <v>2026-07-29 14:21:49</v>
      </c>
      <c r="L13435" s="1" t="str">
        <f>"2023-09-11 16:45:56"</f>
        <v>2023-09-11 16:45:56</v>
      </c>
      <c r="M13435" s="1" t="s">
        <v>45</v>
      </c>
      <c r="N13435" s="1" t="s">
        <v>38</v>
      </c>
      <c r="O13435" s="1" t="s">
        <v>46</v>
      </c>
    </row>
    <row r="13436" spans="2:15" x14ac:dyDescent="0.3">
      <c r="B13436" s="1" t="s">
        <v>20</v>
      </c>
      <c r="C13436" s="1" t="str">
        <f>"5-2차"</f>
        <v>5-2차</v>
      </c>
      <c r="D13436" s="1" t="str">
        <f>"9825Z7815S"</f>
        <v>9825Z7815S</v>
      </c>
      <c r="E13436" s="1" t="s">
        <v>10</v>
      </c>
      <c r="F13436" s="1" t="str">
        <f>"fde1:103:4:922a:0:0:0:2"</f>
        <v>fde1:103:4:922a:0:0:0:2</v>
      </c>
      <c r="G13436" s="1" t="str">
        <f>"9825Z781"</f>
        <v>9825Z781</v>
      </c>
      <c r="H13436" s="1" t="str">
        <f>"효청간 49R1"</f>
        <v>효청간 49R1</v>
      </c>
      <c r="I13436" s="1" t="s">
        <v>15</v>
      </c>
      <c r="J13436" s="1" t="str">
        <f>"48/48"</f>
        <v>48/48</v>
      </c>
      <c r="K13436" s="1" t="str">
        <f>"2026-07-29 14:21:31"</f>
        <v>2026-07-29 14:21:31</v>
      </c>
      <c r="L13436" s="1" t="str">
        <f>"2024-04-08 11:09:37"</f>
        <v>2024-04-08 11:09:37</v>
      </c>
      <c r="M13436" s="1" t="s">
        <v>4</v>
      </c>
      <c r="N13436" s="1" t="s">
        <v>38</v>
      </c>
      <c r="O13436" s="1" t="s">
        <v>46</v>
      </c>
    </row>
    <row r="13437" spans="2:15" x14ac:dyDescent="0.3">
      <c r="B13437" s="1" t="s">
        <v>20</v>
      </c>
      <c r="C13437" s="1" t="str">
        <f>"4차"</f>
        <v>4차</v>
      </c>
      <c r="D13437" s="1" t="str">
        <f>"9825Z80139"</f>
        <v>9825Z80139</v>
      </c>
      <c r="E13437" s="1" t="s">
        <v>14</v>
      </c>
      <c r="F13437" s="1" t="str">
        <f>"10.12.136.198"</f>
        <v>10.12.136.198</v>
      </c>
      <c r="G13437" s="1" t="str">
        <f>"9825Z801"</f>
        <v>9825Z801</v>
      </c>
      <c r="H13437" s="1" t="str">
        <f>"숙명로 2"</f>
        <v>숙명로 2</v>
      </c>
      <c r="I13437" s="1" t="s">
        <v>17</v>
      </c>
      <c r="J13437" s="1" t="str">
        <f>"0/0"</f>
        <v>0/0</v>
      </c>
      <c r="K13437" s="1" t="str">
        <f>"2026-07-28 13:18:13"</f>
        <v>2026-07-28 13:18:13</v>
      </c>
      <c r="L13437" s="1" t="str">
        <f>"2018-10-11 09:27:10"</f>
        <v>2018-10-11 09:27:10</v>
      </c>
      <c r="M13437" s="1" t="s">
        <v>0</v>
      </c>
      <c r="N13437" s="1" t="s">
        <v>39</v>
      </c>
      <c r="O13437" s="1" t="s">
        <v>46</v>
      </c>
    </row>
    <row r="13438" spans="2:15" x14ac:dyDescent="0.3">
      <c r="B13438" s="1" t="s">
        <v>20</v>
      </c>
      <c r="C13438" s="1" t="str">
        <f>"5-2차"</f>
        <v>5-2차</v>
      </c>
      <c r="D13438" s="1" t="str">
        <f>"9825Z8445M"</f>
        <v>9825Z8445M</v>
      </c>
      <c r="E13438" s="1" t="s">
        <v>10</v>
      </c>
      <c r="F13438" s="1" t="str">
        <f>"fde1:103:4:5612:0:0:0:2"</f>
        <v>fde1:103:4:5612:0:0:0:2</v>
      </c>
      <c r="G13438" s="1" t="str">
        <f>"9825Z844"</f>
        <v>9825Z844</v>
      </c>
      <c r="H13438" s="1" t="str">
        <f>"효청간 48R11R1L2"</f>
        <v>효청간 48R11R1L2</v>
      </c>
      <c r="I13438" s="1" t="s">
        <v>15</v>
      </c>
      <c r="J13438" s="1" t="str">
        <f>"84/84"</f>
        <v>84/84</v>
      </c>
      <c r="K13438" s="1" t="str">
        <f>"2026-07-29 14:21:23"</f>
        <v>2026-07-29 14:21:23</v>
      </c>
      <c r="L13438" s="1" t="str">
        <f>"2023-09-04 10:49:44"</f>
        <v>2023-09-04 10:49:44</v>
      </c>
      <c r="M13438" s="1" t="s">
        <v>4</v>
      </c>
      <c r="N13438" s="1" t="s">
        <v>38</v>
      </c>
      <c r="O13438" s="1" t="s">
        <v>46</v>
      </c>
    </row>
    <row r="13439" spans="2:15" x14ac:dyDescent="0.3">
      <c r="B13439" s="1" t="s">
        <v>20</v>
      </c>
      <c r="C13439" s="1" t="str">
        <f>"5-2차"</f>
        <v>5-2차</v>
      </c>
      <c r="D13439" s="1" t="str">
        <f>"9825Z8715S"</f>
        <v>9825Z8715S</v>
      </c>
      <c r="E13439" s="1" t="s">
        <v>10</v>
      </c>
      <c r="F13439" s="1" t="str">
        <f>"fde3:102:1301:2f00:0:0:0:6"</f>
        <v>fde3:102:1301:2f00:0:0:0:6</v>
      </c>
      <c r="G13439" s="1" t="str">
        <f>"9825Z871"</f>
        <v>9825Z871</v>
      </c>
      <c r="H13439" s="1" t="str">
        <f>"효청간 48R4"</f>
        <v>효청간 48R4</v>
      </c>
      <c r="I13439" s="1" t="s">
        <v>15</v>
      </c>
      <c r="J13439" s="1" t="str">
        <f>"31/31"</f>
        <v>31/31</v>
      </c>
      <c r="K13439" s="1" t="str">
        <f>"2026-07-29 14:21:42"</f>
        <v>2026-07-29 14:21:42</v>
      </c>
      <c r="L13439" s="1" t="str">
        <f>"2023-10-18 11:30:18"</f>
        <v>2023-10-18 11:30:18</v>
      </c>
      <c r="M13439" s="1" t="s">
        <v>45</v>
      </c>
      <c r="N13439" s="1" t="s">
        <v>38</v>
      </c>
      <c r="O13439" s="1" t="s">
        <v>46</v>
      </c>
    </row>
    <row r="13440" spans="2:15" x14ac:dyDescent="0.3">
      <c r="B13440" s="1" t="s">
        <v>20</v>
      </c>
      <c r="C13440" s="1" t="str">
        <f>"5-2차"</f>
        <v>5-2차</v>
      </c>
      <c r="D13440" s="1" t="str">
        <f>"9825Z8835S"</f>
        <v>9825Z8835S</v>
      </c>
      <c r="E13440" s="1" t="s">
        <v>10</v>
      </c>
      <c r="F13440" s="1" t="str">
        <f>"fde1:103:4:5a03:0:0:0:2"</f>
        <v>fde1:103:4:5a03:0:0:0:2</v>
      </c>
      <c r="G13440" s="1" t="str">
        <f>"9825Z883"</f>
        <v>9825Z883</v>
      </c>
      <c r="H13440" s="1" t="str">
        <f>"효청간 48R3L2"</f>
        <v>효청간 48R3L2</v>
      </c>
      <c r="I13440" s="1" t="s">
        <v>15</v>
      </c>
      <c r="J13440" s="1" t="str">
        <f>"45/45"</f>
        <v>45/45</v>
      </c>
      <c r="K13440" s="1" t="str">
        <f>"2026-07-29 14:20:42"</f>
        <v>2026-07-29 14:20:42</v>
      </c>
      <c r="L13440" s="1" t="str">
        <f>"2023-09-12 15:16:07"</f>
        <v>2023-09-12 15:16:07</v>
      </c>
      <c r="M13440" s="1" t="s">
        <v>4</v>
      </c>
      <c r="N13440" s="1" t="s">
        <v>38</v>
      </c>
      <c r="O13440" s="1" t="s">
        <v>46</v>
      </c>
    </row>
    <row r="13441" spans="2:15" x14ac:dyDescent="0.3">
      <c r="B13441" s="1" t="s">
        <v>20</v>
      </c>
      <c r="C13441" s="1" t="str">
        <f>"4차"</f>
        <v>4차</v>
      </c>
      <c r="D13441" s="1" t="str">
        <f>"9825Z89244"</f>
        <v>9825Z89244</v>
      </c>
      <c r="E13441" s="1" t="s">
        <v>10</v>
      </c>
      <c r="F13441" s="1" t="str">
        <f>"10.125.239.98"</f>
        <v>10.125.239.98</v>
      </c>
      <c r="G13441" s="1" t="str">
        <f>"9825Z892"</f>
        <v>9825Z892</v>
      </c>
      <c r="H13441" s="1" t="str">
        <f>"효청간 58R2R4"</f>
        <v>효청간 58R2R4</v>
      </c>
      <c r="I13441" s="1" t="s">
        <v>8</v>
      </c>
      <c r="J13441" s="1" t="str">
        <f>"47/48"</f>
        <v>47/48</v>
      </c>
      <c r="K13441" s="1" t="str">
        <f>"2026-07-29 13:18:12"</f>
        <v>2026-07-29 13:18:12</v>
      </c>
      <c r="L13441" s="1" t="str">
        <f>"2020-01-14 14:16:53"</f>
        <v>2020-01-14 14:16:53</v>
      </c>
      <c r="M13441" s="1" t="s">
        <v>45</v>
      </c>
      <c r="N13441" s="1" t="s">
        <v>38</v>
      </c>
      <c r="O13441" s="1" t="s">
        <v>46</v>
      </c>
    </row>
    <row r="13442" spans="2:15" x14ac:dyDescent="0.3">
      <c r="B13442" s="1" t="s">
        <v>20</v>
      </c>
      <c r="C13442" s="1" t="str">
        <f>"5-2차"</f>
        <v>5-2차</v>
      </c>
      <c r="D13442" s="1" t="str">
        <f>"9825Z9525M"</f>
        <v>9825Z9525M</v>
      </c>
      <c r="E13442" s="1" t="s">
        <v>10</v>
      </c>
      <c r="F13442" s="1" t="str">
        <f>"fde3:102:1301:2f00:0:0:0:5"</f>
        <v>fde3:102:1301:2f00:0:0:0:5</v>
      </c>
      <c r="G13442" s="1" t="str">
        <f>"9825Z952"</f>
        <v>9825Z952</v>
      </c>
      <c r="H13442" s="1" t="str">
        <f>"효청간 48R11R1"</f>
        <v>효청간 48R11R1</v>
      </c>
      <c r="I13442" s="1" t="s">
        <v>15</v>
      </c>
      <c r="J13442" s="1" t="str">
        <f>"31/31"</f>
        <v>31/31</v>
      </c>
      <c r="K13442" s="1" t="str">
        <f>"2026-07-29 14:21:42"</f>
        <v>2026-07-29 14:21:42</v>
      </c>
      <c r="L13442" s="1" t="str">
        <f>"2023-09-11 15:45:11"</f>
        <v>2023-09-11 15:45:11</v>
      </c>
      <c r="M13442" s="1" t="s">
        <v>45</v>
      </c>
      <c r="N13442" s="1" t="s">
        <v>38</v>
      </c>
      <c r="O13442" s="1" t="s">
        <v>46</v>
      </c>
    </row>
    <row r="13443" spans="2:15" x14ac:dyDescent="0.3">
      <c r="B13443" s="1" t="s">
        <v>20</v>
      </c>
      <c r="C13443" s="1" t="str">
        <f>"5-2차"</f>
        <v>5-2차</v>
      </c>
      <c r="D13443" s="1" t="str">
        <f>"9825Z9715S"</f>
        <v>9825Z9715S</v>
      </c>
      <c r="E13443" s="1" t="s">
        <v>10</v>
      </c>
      <c r="F13443" s="1" t="str">
        <f>"fde3:102:1301:2f00:0:0:0:13"</f>
        <v>fde3:102:1301:2f00:0:0:0:13</v>
      </c>
      <c r="G13443" s="1" t="str">
        <f>"9825Z971"</f>
        <v>9825Z971</v>
      </c>
      <c r="H13443" s="1" t="str">
        <f>"효청간 48R5"</f>
        <v>효청간 48R5</v>
      </c>
      <c r="I13443" s="1" t="s">
        <v>15</v>
      </c>
      <c r="J13443" s="1" t="str">
        <f>"22/22"</f>
        <v>22/22</v>
      </c>
      <c r="K13443" s="1" t="str">
        <f>"2026-07-29 14:21:42"</f>
        <v>2026-07-29 14:21:42</v>
      </c>
      <c r="L13443" s="1" t="str">
        <f>"2023-10-18 14:37:27"</f>
        <v>2023-10-18 14:37:27</v>
      </c>
      <c r="M13443" s="1" t="s">
        <v>45</v>
      </c>
      <c r="N13443" s="1" t="s">
        <v>38</v>
      </c>
      <c r="O13443" s="1" t="s">
        <v>46</v>
      </c>
    </row>
    <row r="13444" spans="2:15" x14ac:dyDescent="0.3">
      <c r="B13444" s="1" t="s">
        <v>20</v>
      </c>
      <c r="C13444" s="1" t="str">
        <f>"5-2차"</f>
        <v>5-2차</v>
      </c>
      <c r="D13444" s="1" t="str">
        <f>"9825Z9735M"</f>
        <v>9825Z9735M</v>
      </c>
      <c r="E13444" s="1" t="s">
        <v>10</v>
      </c>
      <c r="F13444" s="1" t="str">
        <f>"fde3:102:1301:4602:0:0:0:2"</f>
        <v>fde3:102:1301:4602:0:0:0:2</v>
      </c>
      <c r="G13444" s="1" t="str">
        <f>"9825Z973"</f>
        <v>9825Z973</v>
      </c>
      <c r="H13444" s="1" t="str">
        <f>"효청간 48R6"</f>
        <v>효청간 48R6</v>
      </c>
      <c r="I13444" s="1" t="s">
        <v>15</v>
      </c>
      <c r="J13444" s="1" t="str">
        <f>"31/31"</f>
        <v>31/31</v>
      </c>
      <c r="K13444" s="1" t="str">
        <f>"2026-07-29 14:21:30"</f>
        <v>2026-07-29 14:21:30</v>
      </c>
      <c r="L13444" s="1" t="str">
        <f>"2023-11-24 10:41:20"</f>
        <v>2023-11-24 10:41:20</v>
      </c>
      <c r="M13444" s="1" t="s">
        <v>45</v>
      </c>
      <c r="N13444" s="1" t="s">
        <v>38</v>
      </c>
      <c r="O13444" s="1" t="s">
        <v>46</v>
      </c>
    </row>
    <row r="13445" spans="2:15" x14ac:dyDescent="0.3">
      <c r="B13445" s="1" t="s">
        <v>20</v>
      </c>
      <c r="C13445" s="1" t="str">
        <f>"4차"</f>
        <v>4차</v>
      </c>
      <c r="D13445" s="1" t="str">
        <f>"9825Z99244"</f>
        <v>9825Z99244</v>
      </c>
      <c r="E13445" s="1" t="s">
        <v>10</v>
      </c>
      <c r="F13445" s="1" t="str">
        <f>"10.10.141.146"</f>
        <v>10.10.141.146</v>
      </c>
      <c r="G13445" s="1" t="str">
        <f>"9825Z992"</f>
        <v>9825Z992</v>
      </c>
      <c r="H13445" s="1" t="str">
        <f>"효청간 58R2R1"</f>
        <v>효청간 58R2R1</v>
      </c>
      <c r="I13445" s="1" t="s">
        <v>8</v>
      </c>
      <c r="J13445" s="1" t="str">
        <f>"25/25"</f>
        <v>25/25</v>
      </c>
      <c r="K13445" s="1" t="str">
        <f>"2026-07-29 13:18:12"</f>
        <v>2026-07-29 13:18:12</v>
      </c>
      <c r="L13445" s="1" t="str">
        <f>"2019-12-11 18:19:57"</f>
        <v>2019-12-11 18:19:57</v>
      </c>
      <c r="M13445" s="1" t="s">
        <v>1</v>
      </c>
      <c r="N13445" s="1" t="s">
        <v>38</v>
      </c>
      <c r="O13445" s="1" t="s">
        <v>46</v>
      </c>
    </row>
    <row r="13446" spans="2:15" x14ac:dyDescent="0.3">
      <c r="B13446" s="1" t="s">
        <v>20</v>
      </c>
      <c r="C13446" s="1" t="str">
        <f>"6차"</f>
        <v>6차</v>
      </c>
      <c r="D13446" s="1" t="str">
        <f>"9923A3626M"</f>
        <v>9923A3626M</v>
      </c>
      <c r="E13446" s="1" t="s">
        <v>10</v>
      </c>
      <c r="F13446" s="1" t="str">
        <f>"fde1:103:4:c762:0:0:0:2"</f>
        <v>fde1:103:4:c762:0:0:0:2</v>
      </c>
      <c r="G13446" s="1" t="str">
        <f>"9923A362"</f>
        <v>9923A362</v>
      </c>
      <c r="H13446" s="1" t="str">
        <f>"한강지 18"</f>
        <v>한강지 18</v>
      </c>
      <c r="I13446" s="1" t="s">
        <v>15</v>
      </c>
      <c r="J13446" s="1" t="str">
        <f>"33/36"</f>
        <v>33/36</v>
      </c>
      <c r="K13446" s="1" t="str">
        <f>"2026-07-29 14:21:32"</f>
        <v>2026-07-29 14:21:32</v>
      </c>
      <c r="L13446" s="1" t="str">
        <f>"2024-11-26 13:52:19"</f>
        <v>2024-11-26 13:52:19</v>
      </c>
      <c r="M13446" s="1" t="s">
        <v>4</v>
      </c>
      <c r="N13446" s="1" t="s">
        <v>38</v>
      </c>
      <c r="O13446" s="1" t="s">
        <v>46</v>
      </c>
    </row>
    <row r="13447" spans="2:15" x14ac:dyDescent="0.3">
      <c r="B13447" s="1" t="s">
        <v>20</v>
      </c>
      <c r="C13447" s="1" t="str">
        <f>"6차"</f>
        <v>6차</v>
      </c>
      <c r="D13447" s="1" t="str">
        <f>"9923A5546S"</f>
        <v>9923A5546S</v>
      </c>
      <c r="E13447" s="1" t="s">
        <v>10</v>
      </c>
      <c r="F13447" s="1" t="str">
        <f>"fde1:103:4:91f8:0:0:0:2"</f>
        <v>fde1:103:4:91f8:0:0:0:2</v>
      </c>
      <c r="G13447" s="1" t="str">
        <f>"9923A554"</f>
        <v>9923A554</v>
      </c>
      <c r="H13447" s="1" t="str">
        <f>"한강지 22"</f>
        <v>한강지 22</v>
      </c>
      <c r="I13447" s="1" t="s">
        <v>15</v>
      </c>
      <c r="J13447" s="1" t="str">
        <f>"28/28"</f>
        <v>28/28</v>
      </c>
      <c r="K13447" s="1" t="str">
        <f>"2026-07-29 14:21:23"</f>
        <v>2026-07-29 14:21:23</v>
      </c>
      <c r="L13447" s="1" t="str">
        <f>"2025-01-23 10:28:27"</f>
        <v>2025-01-23 10:28:27</v>
      </c>
      <c r="M13447" s="1" t="s">
        <v>4</v>
      </c>
      <c r="N13447" s="1" t="s">
        <v>38</v>
      </c>
      <c r="O13447" s="1" t="s">
        <v>46</v>
      </c>
    </row>
    <row r="13448" spans="2:15" x14ac:dyDescent="0.3">
      <c r="B13448" s="1" t="s">
        <v>20</v>
      </c>
      <c r="C13448" s="1" t="str">
        <f>"5-2차"</f>
        <v>5-2차</v>
      </c>
      <c r="D13448" s="1" t="str">
        <f>"9923B3025M"</f>
        <v>9923B3025M</v>
      </c>
      <c r="E13448" s="1" t="s">
        <v>10</v>
      </c>
      <c r="F13448" s="1" t="str">
        <f>"fde3:102:1301:1601:0:0:0:2"</f>
        <v>fde3:102:1301:1601:0:0:0:2</v>
      </c>
      <c r="G13448" s="1" t="str">
        <f>"9923B302"</f>
        <v>9923B302</v>
      </c>
      <c r="H13448" s="1" t="str">
        <f>"서빙고간 71R19L5"</f>
        <v>서빙고간 71R19L5</v>
      </c>
      <c r="I13448" s="1" t="s">
        <v>15</v>
      </c>
      <c r="J13448" s="1" t="str">
        <f>"13/14"</f>
        <v>13/14</v>
      </c>
      <c r="K13448" s="1" t="str">
        <f>"2026-07-29 14:21:29"</f>
        <v>2026-07-29 14:21:29</v>
      </c>
      <c r="L13448" s="1" t="str">
        <f>"2023-11-14 15:22:54"</f>
        <v>2023-11-14 15:22:54</v>
      </c>
      <c r="M13448" s="1" t="s">
        <v>45</v>
      </c>
      <c r="N13448" s="1" t="s">
        <v>38</v>
      </c>
      <c r="O13448" s="1" t="s">
        <v>46</v>
      </c>
    </row>
    <row r="13449" spans="2:15" x14ac:dyDescent="0.3">
      <c r="B13449" s="1" t="s">
        <v>20</v>
      </c>
      <c r="C13449" s="1" t="str">
        <f>"5-2차"</f>
        <v>5-2차</v>
      </c>
      <c r="D13449" s="1" t="str">
        <f>"9923D4825M"</f>
        <v>9923D4825M</v>
      </c>
      <c r="E13449" s="1" t="s">
        <v>10</v>
      </c>
      <c r="F13449" s="1" t="str">
        <f>"fde3:102:1301:1601:0:0:0:3"</f>
        <v>fde3:102:1301:1601:0:0:0:3</v>
      </c>
      <c r="G13449" s="1" t="str">
        <f>"9923D482"</f>
        <v>9923D482</v>
      </c>
      <c r="H13449" s="1" t="str">
        <f>"서빙고간 71R22L3"</f>
        <v>서빙고간 71R22L3</v>
      </c>
      <c r="I13449" s="1" t="s">
        <v>15</v>
      </c>
      <c r="J13449" s="1" t="str">
        <f>"24/24"</f>
        <v>24/24</v>
      </c>
      <c r="K13449" s="1" t="str">
        <f>"2026-07-29 14:21:28"</f>
        <v>2026-07-29 14:21:28</v>
      </c>
      <c r="L13449" s="1" t="str">
        <f>"2023-12-01 15:32:44"</f>
        <v>2023-12-01 15:32:44</v>
      </c>
      <c r="M13449" s="1" t="s">
        <v>45</v>
      </c>
      <c r="N13449" s="1" t="s">
        <v>38</v>
      </c>
      <c r="O13449" s="1" t="s">
        <v>46</v>
      </c>
    </row>
    <row r="13450" spans="2:15" x14ac:dyDescent="0.3">
      <c r="B13450" s="1" t="s">
        <v>20</v>
      </c>
      <c r="C13450" s="1" t="str">
        <f>"4차"</f>
        <v>4차</v>
      </c>
      <c r="D13450" s="1" t="str">
        <f>"9923D66G39"</f>
        <v>9923D66G39</v>
      </c>
      <c r="E13450" s="1" t="s">
        <v>10</v>
      </c>
      <c r="F13450" s="1" t="str">
        <f>"10.12.137.2"</f>
        <v>10.12.137.2</v>
      </c>
      <c r="G13450" s="1" t="str">
        <f>"9923D66G"</f>
        <v>9923D66G</v>
      </c>
      <c r="H13450" s="1" t="str">
        <f>"이촌로 L5T"</f>
        <v>이촌로 L5T</v>
      </c>
      <c r="I13450" s="1" t="s">
        <v>17</v>
      </c>
      <c r="J13450" s="1" t="str">
        <f>"1/2"</f>
        <v>1/2</v>
      </c>
      <c r="K13450" s="1" t="str">
        <f>"2026-07-29 13:18:13"</f>
        <v>2026-07-29 13:18:13</v>
      </c>
      <c r="L13450" s="1" t="str">
        <f>"2018-10-11 12:54:43"</f>
        <v>2018-10-11 12:54:43</v>
      </c>
      <c r="M13450" s="1" t="s">
        <v>0</v>
      </c>
      <c r="N13450" s="1" t="s">
        <v>38</v>
      </c>
      <c r="O13450" s="1" t="s">
        <v>46</v>
      </c>
    </row>
    <row r="13451" spans="2:15" x14ac:dyDescent="0.3">
      <c r="B13451" s="1" t="s">
        <v>20</v>
      </c>
      <c r="C13451" s="1" t="str">
        <f>"4차"</f>
        <v>4차</v>
      </c>
      <c r="D13451" s="1" t="str">
        <f>"9924A03244"</f>
        <v>9924A03244</v>
      </c>
      <c r="E13451" s="1" t="s">
        <v>10</v>
      </c>
      <c r="F13451" s="1" t="str">
        <f>"10.10.137.82"</f>
        <v>10.10.137.82</v>
      </c>
      <c r="G13451" s="1" t="str">
        <f>"9924A032"</f>
        <v>9924A032</v>
      </c>
      <c r="H13451" s="1" t="str">
        <f>"문청간 4L9L10"</f>
        <v>문청간 4L9L10</v>
      </c>
      <c r="I13451" s="1" t="s">
        <v>8</v>
      </c>
      <c r="J13451" s="1" t="str">
        <f>"17/18"</f>
        <v>17/18</v>
      </c>
      <c r="K13451" s="1" t="str">
        <f>"2026-07-29 13:18:13"</f>
        <v>2026-07-29 13:18:13</v>
      </c>
      <c r="L13451" s="1" t="str">
        <f>"2020-01-06 16:27:07"</f>
        <v>2020-01-06 16:27:07</v>
      </c>
      <c r="M13451" s="1" t="s">
        <v>1</v>
      </c>
      <c r="N13451" s="1" t="s">
        <v>38</v>
      </c>
      <c r="O13451" s="1" t="s">
        <v>46</v>
      </c>
    </row>
    <row r="13452" spans="2:15" x14ac:dyDescent="0.3">
      <c r="B13452" s="1" t="s">
        <v>20</v>
      </c>
      <c r="C13452" s="1" t="str">
        <f>"4차"</f>
        <v>4차</v>
      </c>
      <c r="D13452" s="1" t="str">
        <f>"9924A09144"</f>
        <v>9924A09144</v>
      </c>
      <c r="E13452" s="1" t="s">
        <v>10</v>
      </c>
      <c r="F13452" s="1" t="str">
        <f>"10.10.137.90"</f>
        <v>10.10.137.90</v>
      </c>
      <c r="G13452" s="1" t="str">
        <f>"9924A091"</f>
        <v>9924A091</v>
      </c>
      <c r="H13452" s="1" t="str">
        <f>"문청간 4L19L8"</f>
        <v>문청간 4L19L8</v>
      </c>
      <c r="I13452" s="1" t="s">
        <v>8</v>
      </c>
      <c r="J13452" s="1" t="str">
        <f>"47/50"</f>
        <v>47/50</v>
      </c>
      <c r="K13452" s="1" t="str">
        <f>"2026-07-29 13:18:10"</f>
        <v>2026-07-29 13:18:10</v>
      </c>
      <c r="L13452" s="1" t="str">
        <f>"2023-03-17 15:06:26"</f>
        <v>2023-03-17 15:06:26</v>
      </c>
      <c r="M13452" s="1" t="s">
        <v>1</v>
      </c>
      <c r="N13452" s="1" t="s">
        <v>38</v>
      </c>
      <c r="O13452" s="1" t="s">
        <v>46</v>
      </c>
    </row>
    <row r="13453" spans="2:15" x14ac:dyDescent="0.3">
      <c r="B13453" s="1" t="s">
        <v>20</v>
      </c>
      <c r="C13453" s="1" t="str">
        <f>"1차"</f>
        <v>1차</v>
      </c>
      <c r="D13453" s="1" t="str">
        <f>"9924A10400"</f>
        <v>9924A10400</v>
      </c>
      <c r="E13453" s="1" t="s">
        <v>10</v>
      </c>
      <c r="F13453" s="1" t="str">
        <f>"10.125.226.18"</f>
        <v>10.125.226.18</v>
      </c>
      <c r="G13453" s="1" t="str">
        <f>"9924A104"</f>
        <v>9924A104</v>
      </c>
      <c r="H13453" s="1" t="str">
        <f>"문청간 4L1L3"</f>
        <v>문청간 4L1L3</v>
      </c>
      <c r="I13453" s="1" t="s">
        <v>8</v>
      </c>
      <c r="J13453" s="1" t="str">
        <f>"30/30"</f>
        <v>30/30</v>
      </c>
      <c r="K13453" s="1" t="str">
        <f>"2026-07-29 13:18:02"</f>
        <v>2026-07-29 13:18:02</v>
      </c>
      <c r="L13453" s="1" t="str">
        <f>"2014-12-01 10:40:24"</f>
        <v>2014-12-01 10:40:24</v>
      </c>
      <c r="M13453" s="1" t="s">
        <v>45</v>
      </c>
      <c r="N13453" s="1" t="s">
        <v>38</v>
      </c>
      <c r="O13453" s="1" t="s">
        <v>46</v>
      </c>
    </row>
    <row r="13454" spans="2:15" x14ac:dyDescent="0.3">
      <c r="B13454" s="1" t="s">
        <v>20</v>
      </c>
      <c r="C13454" s="1" t="str">
        <f>"4차"</f>
        <v>4차</v>
      </c>
      <c r="D13454" s="1" t="str">
        <f>"9924A13144"</f>
        <v>9924A13144</v>
      </c>
      <c r="E13454" s="1" t="s">
        <v>10</v>
      </c>
      <c r="F13454" s="1" t="str">
        <f>"10.10.137.98"</f>
        <v>10.10.137.98</v>
      </c>
      <c r="G13454" s="1" t="str">
        <f>"9924A131"</f>
        <v>9924A131</v>
      </c>
      <c r="H13454" s="1" t="str">
        <f>"문청간 4L9L6"</f>
        <v>문청간 4L9L6</v>
      </c>
      <c r="I13454" s="1" t="s">
        <v>8</v>
      </c>
      <c r="J13454" s="1" t="str">
        <f>"17/17"</f>
        <v>17/17</v>
      </c>
      <c r="K13454" s="1" t="str">
        <f>"2026-07-29 13:18:13"</f>
        <v>2026-07-29 13:18:13</v>
      </c>
      <c r="L13454" s="1" t="str">
        <f>"2020-01-06 15:46:51"</f>
        <v>2020-01-06 15:46:51</v>
      </c>
      <c r="M13454" s="1" t="s">
        <v>1</v>
      </c>
      <c r="N13454" s="1" t="s">
        <v>38</v>
      </c>
      <c r="O13454" s="1" t="s">
        <v>46</v>
      </c>
    </row>
    <row r="13455" spans="2:15" x14ac:dyDescent="0.3">
      <c r="B13455" s="1" t="s">
        <v>20</v>
      </c>
      <c r="C13455" s="1" t="str">
        <f>"4차"</f>
        <v>4차</v>
      </c>
      <c r="D13455" s="1" t="str">
        <f>"9924A19144"</f>
        <v>9924A19144</v>
      </c>
      <c r="E13455" s="1" t="s">
        <v>10</v>
      </c>
      <c r="F13455" s="1" t="str">
        <f>"10.10.137.106"</f>
        <v>10.10.137.106</v>
      </c>
      <c r="G13455" s="1" t="str">
        <f>"9924A191"</f>
        <v>9924A191</v>
      </c>
      <c r="H13455" s="1" t="str">
        <f>"문청간 4L19L7"</f>
        <v>문청간 4L19L7</v>
      </c>
      <c r="I13455" s="1" t="s">
        <v>8</v>
      </c>
      <c r="J13455" s="1" t="str">
        <f>"21/21"</f>
        <v>21/21</v>
      </c>
      <c r="K13455" s="1" t="str">
        <f>"2026-07-29 13:18:10"</f>
        <v>2026-07-29 13:18:10</v>
      </c>
      <c r="L13455" s="1" t="str">
        <f>"2020-01-21 16:38:17"</f>
        <v>2020-01-21 16:38:17</v>
      </c>
      <c r="M13455" s="1" t="s">
        <v>1</v>
      </c>
      <c r="N13455" s="1" t="s">
        <v>38</v>
      </c>
      <c r="O13455" s="1" t="s">
        <v>46</v>
      </c>
    </row>
    <row r="13456" spans="2:15" x14ac:dyDescent="0.3">
      <c r="B13456" s="1" t="s">
        <v>20</v>
      </c>
      <c r="C13456" s="1" t="str">
        <f>"4차"</f>
        <v>4차</v>
      </c>
      <c r="D13456" s="1" t="str">
        <f>"9924A19244"</f>
        <v>9924A19244</v>
      </c>
      <c r="E13456" s="1" t="s">
        <v>10</v>
      </c>
      <c r="F13456" s="1" t="str">
        <f>"10.10.137.114"</f>
        <v>10.10.137.114</v>
      </c>
      <c r="G13456" s="1" t="str">
        <f>"9924A192"</f>
        <v>9924A192</v>
      </c>
      <c r="H13456" s="1" t="str">
        <f>"문청간 4L19L6"</f>
        <v>문청간 4L19L6</v>
      </c>
      <c r="I13456" s="1" t="s">
        <v>8</v>
      </c>
      <c r="J13456" s="1" t="str">
        <f>"14/14"</f>
        <v>14/14</v>
      </c>
      <c r="K13456" s="1" t="str">
        <f>"2026-07-29 13:18:10"</f>
        <v>2026-07-29 13:18:10</v>
      </c>
      <c r="L13456" s="1" t="str">
        <f>"2020-01-21 16:49:35"</f>
        <v>2020-01-21 16:49:35</v>
      </c>
      <c r="M13456" s="1" t="s">
        <v>1</v>
      </c>
      <c r="N13456" s="1" t="s">
        <v>38</v>
      </c>
      <c r="O13456" s="1" t="s">
        <v>46</v>
      </c>
    </row>
    <row r="13457" spans="2:15" x14ac:dyDescent="0.3">
      <c r="B13457" s="1" t="s">
        <v>20</v>
      </c>
      <c r="C13457" s="1" t="str">
        <f>"4차"</f>
        <v>4차</v>
      </c>
      <c r="D13457" s="1" t="str">
        <f>"9924A23144"</f>
        <v>9924A23144</v>
      </c>
      <c r="E13457" s="1" t="s">
        <v>10</v>
      </c>
      <c r="F13457" s="1" t="str">
        <f>"10.10.137.122"</f>
        <v>10.10.137.122</v>
      </c>
      <c r="G13457" s="1" t="str">
        <f>"9924A231"</f>
        <v>9924A231</v>
      </c>
      <c r="H13457" s="1" t="str">
        <f>"문청간 4L9L5R1"</f>
        <v>문청간 4L9L5R1</v>
      </c>
      <c r="I13457" s="1" t="s">
        <v>8</v>
      </c>
      <c r="J13457" s="1" t="str">
        <f>"25/25"</f>
        <v>25/25</v>
      </c>
      <c r="K13457" s="1" t="str">
        <f>"2026-07-29 13:18:10"</f>
        <v>2026-07-29 13:18:10</v>
      </c>
      <c r="L13457" s="1" t="str">
        <f>"2020-01-06 16:08:10"</f>
        <v>2020-01-06 16:08:10</v>
      </c>
      <c r="M13457" s="1" t="s">
        <v>1</v>
      </c>
      <c r="N13457" s="1" t="s">
        <v>38</v>
      </c>
      <c r="O13457" s="1" t="s">
        <v>46</v>
      </c>
    </row>
    <row r="13458" spans="2:15" x14ac:dyDescent="0.3">
      <c r="B13458" s="1" t="s">
        <v>20</v>
      </c>
      <c r="C13458" s="1" t="str">
        <f>"5-2차"</f>
        <v>5-2차</v>
      </c>
      <c r="D13458" s="1" t="str">
        <f>"9924A2415M"</f>
        <v>9924A2415M</v>
      </c>
      <c r="E13458" s="1" t="s">
        <v>10</v>
      </c>
      <c r="F13458" s="1" t="str">
        <f>"fde1:103:4:566f:0:0:0:2"</f>
        <v>fde1:103:4:566f:0:0:0:2</v>
      </c>
      <c r="G13458" s="1" t="str">
        <f>"9924A241"</f>
        <v>9924A241</v>
      </c>
      <c r="H13458" s="1" t="str">
        <f>"문청간 4L10"</f>
        <v>문청간 4L10</v>
      </c>
      <c r="I13458" s="1" t="s">
        <v>15</v>
      </c>
      <c r="J13458" s="1" t="str">
        <f>"52/52"</f>
        <v>52/52</v>
      </c>
      <c r="K13458" s="1" t="str">
        <f>"2026-07-29 14:21:25"</f>
        <v>2026-07-29 14:21:25</v>
      </c>
      <c r="L13458" s="1" t="str">
        <f>"2023-09-04 10:51:08"</f>
        <v>2023-09-04 10:51:08</v>
      </c>
      <c r="M13458" s="1" t="s">
        <v>4</v>
      </c>
      <c r="N13458" s="1" t="s">
        <v>38</v>
      </c>
      <c r="O13458" s="1" t="s">
        <v>46</v>
      </c>
    </row>
    <row r="13459" spans="2:15" x14ac:dyDescent="0.3">
      <c r="B13459" s="1" t="s">
        <v>20</v>
      </c>
      <c r="C13459" s="1" t="str">
        <f>"5-2차"</f>
        <v>5-2차</v>
      </c>
      <c r="D13459" s="1" t="str">
        <f>"9924A3335M"</f>
        <v>9924A3335M</v>
      </c>
      <c r="E13459" s="1" t="s">
        <v>10</v>
      </c>
      <c r="F13459" s="1" t="str">
        <f>"fde3:102:1301:2c00:0:0:0:5"</f>
        <v>fde3:102:1301:2c00:0:0:0:5</v>
      </c>
      <c r="G13459" s="1" t="str">
        <f>"9924A333"</f>
        <v>9924A333</v>
      </c>
      <c r="H13459" s="1" t="str">
        <f>"문청간 4L9L2H1"</f>
        <v>문청간 4L9L2H1</v>
      </c>
      <c r="I13459" s="1" t="s">
        <v>15</v>
      </c>
      <c r="J13459" s="1" t="str">
        <f>"18/18"</f>
        <v>18/18</v>
      </c>
      <c r="K13459" s="1" t="str">
        <f>"2026-07-29 14:21:24"</f>
        <v>2026-07-29 14:21:24</v>
      </c>
      <c r="L13459" s="1" t="str">
        <f>"2023-10-18 11:29:45"</f>
        <v>2023-10-18 11:29:45</v>
      </c>
      <c r="M13459" s="1" t="s">
        <v>45</v>
      </c>
      <c r="N13459" s="1" t="s">
        <v>38</v>
      </c>
      <c r="O13459" s="1" t="s">
        <v>46</v>
      </c>
    </row>
    <row r="13460" spans="2:15" x14ac:dyDescent="0.3">
      <c r="B13460" s="1" t="s">
        <v>20</v>
      </c>
      <c r="C13460" s="1" t="str">
        <f>"4차"</f>
        <v>4차</v>
      </c>
      <c r="D13460" s="1" t="str">
        <f>"9924A47242"</f>
        <v>9924A47242</v>
      </c>
      <c r="E13460" s="1" t="s">
        <v>10</v>
      </c>
      <c r="F13460" s="1" t="str">
        <f>"10.12.128.17"</f>
        <v>10.12.128.17</v>
      </c>
      <c r="G13460" s="1" t="str">
        <f>"9924A472"</f>
        <v>9924A472</v>
      </c>
      <c r="H13460" s="1" t="str">
        <f>"문청간 4L23"</f>
        <v>문청간 4L23</v>
      </c>
      <c r="I13460" s="1" t="s">
        <v>8</v>
      </c>
      <c r="J13460" s="1" t="str">
        <f>"64/64"</f>
        <v>64/64</v>
      </c>
      <c r="K13460" s="1" t="str">
        <f>"2026-07-29 13:18:13"</f>
        <v>2026-07-29 13:18:13</v>
      </c>
      <c r="L13460" s="1" t="str">
        <f>"2026-06-26 17:26:04"</f>
        <v>2026-06-26 17:26:04</v>
      </c>
      <c r="M13460" s="1" t="s">
        <v>0</v>
      </c>
      <c r="N13460" s="1" t="s">
        <v>38</v>
      </c>
      <c r="O13460" s="1" t="s">
        <v>46</v>
      </c>
    </row>
    <row r="13461" spans="2:15" x14ac:dyDescent="0.3">
      <c r="B13461" s="1" t="s">
        <v>20</v>
      </c>
      <c r="C13461" s="1" t="str">
        <f>"1차"</f>
        <v>1차</v>
      </c>
      <c r="D13461" s="1" t="str">
        <f>"9924A48100"</f>
        <v>9924A48100</v>
      </c>
      <c r="E13461" s="1" t="s">
        <v>10</v>
      </c>
      <c r="F13461" s="1" t="str">
        <f>"10.125.227.194"</f>
        <v>10.125.227.194</v>
      </c>
      <c r="G13461" s="1" t="str">
        <f>"9924A481"</f>
        <v>9924A481</v>
      </c>
      <c r="H13461" s="1" t="str">
        <f>"문청간 4L24"</f>
        <v>문청간 4L24</v>
      </c>
      <c r="I13461" s="1" t="s">
        <v>8</v>
      </c>
      <c r="J13461" s="1" t="str">
        <f>"51/61"</f>
        <v>51/61</v>
      </c>
      <c r="K13461" s="1" t="str">
        <f>"2026-07-29 13:18:10"</f>
        <v>2026-07-29 13:18:10</v>
      </c>
      <c r="L13461" s="1" t="str">
        <f>"2014-11-24 11:44:56"</f>
        <v>2014-11-24 11:44:56</v>
      </c>
      <c r="M13461" s="1" t="s">
        <v>45</v>
      </c>
      <c r="N13461" s="1" t="s">
        <v>38</v>
      </c>
      <c r="O13461" s="1" t="s">
        <v>46</v>
      </c>
    </row>
    <row r="13462" spans="2:15" x14ac:dyDescent="0.3">
      <c r="B13462" s="1" t="s">
        <v>20</v>
      </c>
      <c r="C13462" s="1" t="str">
        <f>"6차"</f>
        <v>6차</v>
      </c>
      <c r="D13462" s="1" t="str">
        <f>"9924A4916S"</f>
        <v>9924A4916S</v>
      </c>
      <c r="E13462" s="1" t="s">
        <v>10</v>
      </c>
      <c r="F13462" s="1" t="str">
        <f>"fde1:103:4:91ff:0:0:0:2"</f>
        <v>fde1:103:4:91ff:0:0:0:2</v>
      </c>
      <c r="G13462" s="1" t="str">
        <f>"9924A491"</f>
        <v>9924A491</v>
      </c>
      <c r="H13462" s="1" t="str">
        <f>"문청간 4L25"</f>
        <v>문청간 4L25</v>
      </c>
      <c r="I13462" s="1" t="s">
        <v>15</v>
      </c>
      <c r="J13462" s="1" t="str">
        <f>"26/26"</f>
        <v>26/26</v>
      </c>
      <c r="K13462" s="1" t="str">
        <f>"2026-07-29 14:21:24"</f>
        <v>2026-07-29 14:21:24</v>
      </c>
      <c r="L13462" s="1" t="str">
        <f>"2025-02-11 18:10:18"</f>
        <v>2025-02-11 18:10:18</v>
      </c>
      <c r="M13462" s="1" t="s">
        <v>4</v>
      </c>
      <c r="N13462" s="1" t="s">
        <v>38</v>
      </c>
      <c r="O13462" s="1" t="s">
        <v>46</v>
      </c>
    </row>
    <row r="13463" spans="2:15" x14ac:dyDescent="0.3">
      <c r="B13463" s="1" t="s">
        <v>20</v>
      </c>
      <c r="C13463" s="1" t="str">
        <f t="shared" ref="C13463:C13475" si="684">"4차"</f>
        <v>4차</v>
      </c>
      <c r="D13463" s="1" t="str">
        <f>"9924A88244"</f>
        <v>9924A88244</v>
      </c>
      <c r="E13463" s="1" t="s">
        <v>10</v>
      </c>
      <c r="F13463" s="1" t="str">
        <f>"10.10.89.130"</f>
        <v>10.10.89.130</v>
      </c>
      <c r="G13463" s="1" t="str">
        <f>"9924A882"</f>
        <v>9924A882</v>
      </c>
      <c r="H13463" s="1" t="str">
        <f>"갈월지 4"</f>
        <v>갈월지 4</v>
      </c>
      <c r="I13463" s="1" t="s">
        <v>8</v>
      </c>
      <c r="J13463" s="1" t="str">
        <f>"7/7"</f>
        <v>7/7</v>
      </c>
      <c r="K13463" s="1" t="str">
        <f>"2026-07-29 13:18:10"</f>
        <v>2026-07-29 13:18:10</v>
      </c>
      <c r="L13463" s="1" t="str">
        <f>"2020-01-10 17:16:46"</f>
        <v>2020-01-10 17:16:46</v>
      </c>
      <c r="M13463" s="1" t="s">
        <v>1</v>
      </c>
      <c r="N13463" s="1" t="s">
        <v>38</v>
      </c>
      <c r="O13463" s="1" t="s">
        <v>46</v>
      </c>
    </row>
    <row r="13464" spans="2:15" x14ac:dyDescent="0.3">
      <c r="B13464" s="1" t="s">
        <v>20</v>
      </c>
      <c r="C13464" s="1" t="str">
        <f t="shared" si="684"/>
        <v>4차</v>
      </c>
      <c r="D13464" s="1" t="str">
        <f>"9924B07139"</f>
        <v>9924B07139</v>
      </c>
      <c r="E13464" s="1" t="s">
        <v>10</v>
      </c>
      <c r="F13464" s="1" t="str">
        <f>"10.14.1.127"</f>
        <v>10.14.1.127</v>
      </c>
      <c r="G13464" s="1" t="str">
        <f>"9924B071"</f>
        <v>9924B071</v>
      </c>
      <c r="H13464" s="1" t="str">
        <f>"동자로 R2"</f>
        <v>동자로 R2</v>
      </c>
      <c r="I13464" s="1" t="s">
        <v>17</v>
      </c>
      <c r="J13464" s="1" t="str">
        <f>"9/12"</f>
        <v>9/12</v>
      </c>
      <c r="K13464" s="1" t="str">
        <f>"2026-07-29 13:18:13"</f>
        <v>2026-07-29 13:18:13</v>
      </c>
      <c r="L13464" s="1" t="str">
        <f>"2018-06-16 07:53:26"</f>
        <v>2018-06-16 07:53:26</v>
      </c>
      <c r="M13464" s="1" t="s">
        <v>3</v>
      </c>
      <c r="N13464" s="1" t="s">
        <v>38</v>
      </c>
      <c r="O13464" s="1" t="s">
        <v>46</v>
      </c>
    </row>
    <row r="13465" spans="2:15" x14ac:dyDescent="0.3">
      <c r="B13465" s="1" t="s">
        <v>20</v>
      </c>
      <c r="C13465" s="1" t="str">
        <f t="shared" si="684"/>
        <v>4차</v>
      </c>
      <c r="D13465" s="1" t="str">
        <f>"9924B08139"</f>
        <v>9924B08139</v>
      </c>
      <c r="E13465" s="1" t="s">
        <v>10</v>
      </c>
      <c r="F13465" s="1" t="str">
        <f>"10.12.134.30"</f>
        <v>10.12.134.30</v>
      </c>
      <c r="G13465" s="1" t="str">
        <f>"9924B081"</f>
        <v>9924B081</v>
      </c>
      <c r="H13465" s="1" t="str">
        <f>"동자로 L3-1"</f>
        <v>동자로 L3-1</v>
      </c>
      <c r="I13465" s="1" t="s">
        <v>17</v>
      </c>
      <c r="J13465" s="1" t="str">
        <f>"2/2"</f>
        <v>2/2</v>
      </c>
      <c r="K13465" s="1" t="str">
        <f>"2026-07-29 13:18:11"</f>
        <v>2026-07-29 13:18:11</v>
      </c>
      <c r="L13465" s="1" t="str">
        <f>"2018-06-15 14:21:27"</f>
        <v>2018-06-15 14:21:27</v>
      </c>
      <c r="M13465" s="1" t="s">
        <v>0</v>
      </c>
      <c r="N13465" s="1" t="s">
        <v>38</v>
      </c>
      <c r="O13465" s="1" t="s">
        <v>46</v>
      </c>
    </row>
    <row r="13466" spans="2:15" x14ac:dyDescent="0.3">
      <c r="B13466" s="1" t="s">
        <v>20</v>
      </c>
      <c r="C13466" s="1" t="str">
        <f t="shared" si="684"/>
        <v>4차</v>
      </c>
      <c r="D13466" s="1" t="str">
        <f>"9924B18144"</f>
        <v>9924B18144</v>
      </c>
      <c r="E13466" s="1" t="s">
        <v>10</v>
      </c>
      <c r="F13466" s="1" t="str">
        <f>"10.10.65.58"</f>
        <v>10.10.65.58</v>
      </c>
      <c r="G13466" s="1" t="str">
        <f>"9924B181"</f>
        <v>9924B181</v>
      </c>
      <c r="H13466" s="1" t="str">
        <f>"남해간 6"</f>
        <v>남해간 6</v>
      </c>
      <c r="I13466" s="1" t="s">
        <v>8</v>
      </c>
      <c r="J13466" s="1" t="str">
        <f>"25/28"</f>
        <v>25/28</v>
      </c>
      <c r="K13466" s="1" t="str">
        <f>"2026-07-29 13:18:10"</f>
        <v>2026-07-29 13:18:10</v>
      </c>
      <c r="L13466" s="1" t="str">
        <f>"2019-11-06 15:21:51"</f>
        <v>2019-11-06 15:21:51</v>
      </c>
      <c r="M13466" s="1" t="s">
        <v>1</v>
      </c>
      <c r="N13466" s="1" t="s">
        <v>38</v>
      </c>
      <c r="O13466" s="1" t="s">
        <v>46</v>
      </c>
    </row>
    <row r="13467" spans="2:15" x14ac:dyDescent="0.3">
      <c r="B13467" s="1" t="s">
        <v>20</v>
      </c>
      <c r="C13467" s="1" t="str">
        <f t="shared" si="684"/>
        <v>4차</v>
      </c>
      <c r="D13467" s="1" t="str">
        <f>"9924B19139"</f>
        <v>9924B19139</v>
      </c>
      <c r="E13467" s="1" t="s">
        <v>10</v>
      </c>
      <c r="F13467" s="1" t="str">
        <f>"10.125.239.178"</f>
        <v>10.125.239.178</v>
      </c>
      <c r="G13467" s="1" t="str">
        <f>"9924B191"</f>
        <v>9924B191</v>
      </c>
      <c r="H13467" s="1" t="str">
        <f>"남해간 8"</f>
        <v>남해간 8</v>
      </c>
      <c r="I13467" s="1" t="s">
        <v>8</v>
      </c>
      <c r="J13467" s="1" t="str">
        <f>"72/74"</f>
        <v>72/74</v>
      </c>
      <c r="K13467" s="1" t="str">
        <f>"2026-07-28 20:03:17"</f>
        <v>2026-07-28 20:03:17</v>
      </c>
      <c r="L13467" s="1" t="str">
        <f>"2024-07-22 16:46:16"</f>
        <v>2024-07-22 16:46:16</v>
      </c>
      <c r="M13467" s="1" t="s">
        <v>45</v>
      </c>
      <c r="N13467" s="1" t="s">
        <v>38</v>
      </c>
      <c r="O13467" s="1" t="s">
        <v>46</v>
      </c>
    </row>
    <row r="13468" spans="2:15" x14ac:dyDescent="0.3">
      <c r="B13468" s="1" t="s">
        <v>20</v>
      </c>
      <c r="C13468" s="1" t="str">
        <f t="shared" si="684"/>
        <v>4차</v>
      </c>
      <c r="D13468" s="1" t="str">
        <f>"9924B25144"</f>
        <v>9924B25144</v>
      </c>
      <c r="E13468" s="1" t="s">
        <v>10</v>
      </c>
      <c r="F13468" s="1" t="str">
        <f>"10.10.82.186"</f>
        <v>10.10.82.186</v>
      </c>
      <c r="G13468" s="1" t="str">
        <f>"9924B251"</f>
        <v>9924B251</v>
      </c>
      <c r="H13468" s="1" t="str">
        <f>"남해간 2"</f>
        <v>남해간 2</v>
      </c>
      <c r="I13468" s="1" t="s">
        <v>8</v>
      </c>
      <c r="J13468" s="1" t="str">
        <f>"21/21"</f>
        <v>21/21</v>
      </c>
      <c r="K13468" s="1" t="str">
        <f>"2026-07-29 13:18:10"</f>
        <v>2026-07-29 13:18:10</v>
      </c>
      <c r="L13468" s="1" t="str">
        <f>"2019-11-06 15:45:20"</f>
        <v>2019-11-06 15:45:20</v>
      </c>
      <c r="M13468" s="1" t="s">
        <v>1</v>
      </c>
      <c r="N13468" s="1" t="s">
        <v>38</v>
      </c>
      <c r="O13468" s="1" t="s">
        <v>46</v>
      </c>
    </row>
    <row r="13469" spans="2:15" x14ac:dyDescent="0.3">
      <c r="B13469" s="1" t="s">
        <v>20</v>
      </c>
      <c r="C13469" s="1" t="str">
        <f t="shared" si="684"/>
        <v>4차</v>
      </c>
      <c r="D13469" s="1" t="str">
        <f>"9924B27244"</f>
        <v>9924B27244</v>
      </c>
      <c r="E13469" s="1" t="s">
        <v>10</v>
      </c>
      <c r="F13469" s="1" t="str">
        <f>"10.10.81.202"</f>
        <v>10.10.81.202</v>
      </c>
      <c r="G13469" s="1" t="str">
        <f>"9924B272"</f>
        <v>9924B272</v>
      </c>
      <c r="H13469" s="1" t="str">
        <f>"남해간 4"</f>
        <v>남해간 4</v>
      </c>
      <c r="I13469" s="1" t="s">
        <v>8</v>
      </c>
      <c r="J13469" s="1" t="str">
        <f>"28/28"</f>
        <v>28/28</v>
      </c>
      <c r="K13469" s="1" t="str">
        <f>"2026-07-29 13:18:10"</f>
        <v>2026-07-29 13:18:10</v>
      </c>
      <c r="L13469" s="1" t="str">
        <f>"2019-11-06 15:22:50"</f>
        <v>2019-11-06 15:22:50</v>
      </c>
      <c r="M13469" s="1" t="s">
        <v>1</v>
      </c>
      <c r="N13469" s="1" t="s">
        <v>38</v>
      </c>
      <c r="O13469" s="1" t="s">
        <v>46</v>
      </c>
    </row>
    <row r="13470" spans="2:15" x14ac:dyDescent="0.3">
      <c r="B13470" s="1" t="s">
        <v>20</v>
      </c>
      <c r="C13470" s="1" t="str">
        <f t="shared" si="684"/>
        <v>4차</v>
      </c>
      <c r="D13470" s="1" t="str">
        <f>"9924B27344"</f>
        <v>9924B27344</v>
      </c>
      <c r="E13470" s="1" t="s">
        <v>10</v>
      </c>
      <c r="F13470" s="1" t="str">
        <f>"10.10.118.154"</f>
        <v>10.10.118.154</v>
      </c>
      <c r="G13470" s="1" t="str">
        <f>"9924B273"</f>
        <v>9924B273</v>
      </c>
      <c r="H13470" s="1" t="str">
        <f>"남해간 3R1L2"</f>
        <v>남해간 3R1L2</v>
      </c>
      <c r="I13470" s="1" t="s">
        <v>8</v>
      </c>
      <c r="J13470" s="1" t="str">
        <f>"24/24"</f>
        <v>24/24</v>
      </c>
      <c r="K13470" s="1" t="str">
        <f>"2026-07-29 13:18:10"</f>
        <v>2026-07-29 13:18:10</v>
      </c>
      <c r="L13470" s="1" t="str">
        <f>"2019-11-06 16:11:08"</f>
        <v>2019-11-06 16:11:08</v>
      </c>
      <c r="M13470" s="1" t="s">
        <v>1</v>
      </c>
      <c r="N13470" s="1" t="s">
        <v>38</v>
      </c>
      <c r="O13470" s="1" t="s">
        <v>46</v>
      </c>
    </row>
    <row r="13471" spans="2:15" x14ac:dyDescent="0.3">
      <c r="B13471" s="1" t="s">
        <v>20</v>
      </c>
      <c r="C13471" s="1" t="str">
        <f t="shared" si="684"/>
        <v>4차</v>
      </c>
      <c r="D13471" s="1" t="str">
        <f>"9924B35244"</f>
        <v>9924B35244</v>
      </c>
      <c r="E13471" s="1" t="s">
        <v>10</v>
      </c>
      <c r="F13471" s="1" t="str">
        <f>"10.10.81.242"</f>
        <v>10.10.81.242</v>
      </c>
      <c r="G13471" s="1" t="str">
        <f>"9924B352"</f>
        <v>9924B352</v>
      </c>
      <c r="H13471" s="1" t="str">
        <f>"남해간 3R3"</f>
        <v>남해간 3R3</v>
      </c>
      <c r="I13471" s="1" t="s">
        <v>8</v>
      </c>
      <c r="J13471" s="1" t="str">
        <f>"13/13"</f>
        <v>13/13</v>
      </c>
      <c r="K13471" s="1" t="str">
        <f>"2026-07-29 13:18:10"</f>
        <v>2026-07-29 13:18:10</v>
      </c>
      <c r="L13471" s="1" t="str">
        <f>"2019-11-06 16:01:50"</f>
        <v>2019-11-06 16:01:50</v>
      </c>
      <c r="M13471" s="1" t="s">
        <v>1</v>
      </c>
      <c r="N13471" s="1" t="s">
        <v>38</v>
      </c>
      <c r="O13471" s="1" t="s">
        <v>46</v>
      </c>
    </row>
    <row r="13472" spans="2:15" x14ac:dyDescent="0.3">
      <c r="B13472" s="1" t="s">
        <v>20</v>
      </c>
      <c r="C13472" s="1" t="str">
        <f t="shared" si="684"/>
        <v>4차</v>
      </c>
      <c r="D13472" s="1" t="str">
        <f>"9924C10339"</f>
        <v>9924C10339</v>
      </c>
      <c r="E13472" s="1" t="s">
        <v>10</v>
      </c>
      <c r="F13472" s="1" t="str">
        <f>"10.12.132.89"</f>
        <v>10.12.132.89</v>
      </c>
      <c r="G13472" s="1" t="str">
        <f>"9924C103"</f>
        <v>9924C103</v>
      </c>
      <c r="H13472" s="1" t="str">
        <f>"신계대림 2"</f>
        <v>신계대림 2</v>
      </c>
      <c r="I13472" s="1" t="s">
        <v>17</v>
      </c>
      <c r="J13472" s="1" t="str">
        <f>"12/12"</f>
        <v>12/12</v>
      </c>
      <c r="K13472" s="1" t="str">
        <f>"2026-07-29 07:18:13"</f>
        <v>2026-07-29 07:18:13</v>
      </c>
      <c r="L13472" s="1" t="str">
        <f>"2018-10-08 16:46:35"</f>
        <v>2018-10-08 16:46:35</v>
      </c>
      <c r="M13472" s="1" t="s">
        <v>0</v>
      </c>
      <c r="N13472" s="1" t="s">
        <v>38</v>
      </c>
      <c r="O13472" s="1" t="s">
        <v>46</v>
      </c>
    </row>
    <row r="13473" spans="2:15" x14ac:dyDescent="0.3">
      <c r="B13473" s="1" t="s">
        <v>20</v>
      </c>
      <c r="C13473" s="1" t="str">
        <f t="shared" si="684"/>
        <v>4차</v>
      </c>
      <c r="D13473" s="1" t="str">
        <f>"9924C28445"</f>
        <v>9924C28445</v>
      </c>
      <c r="E13473" s="1" t="s">
        <v>10</v>
      </c>
      <c r="F13473" s="1" t="str">
        <f>"10.14.6.27"</f>
        <v>10.14.6.27</v>
      </c>
      <c r="G13473" s="1" t="str">
        <f>"9924C284"</f>
        <v>9924C284</v>
      </c>
      <c r="H13473" s="1" t="str">
        <f>"원효로 2"</f>
        <v>원효로 2</v>
      </c>
      <c r="I13473" s="1" t="s">
        <v>17</v>
      </c>
      <c r="J13473" s="1" t="str">
        <f>"5/5"</f>
        <v>5/5</v>
      </c>
      <c r="K13473" s="1" t="str">
        <f>"2026-07-29 13:18:12"</f>
        <v>2026-07-29 13:18:12</v>
      </c>
      <c r="L13473" s="1" t="str">
        <f>"2021-06-16 08:45:00"</f>
        <v>2021-06-16 08:45:00</v>
      </c>
      <c r="M13473" s="1" t="s">
        <v>3</v>
      </c>
      <c r="N13473" s="1" t="s">
        <v>38</v>
      </c>
      <c r="O13473" s="1" t="s">
        <v>46</v>
      </c>
    </row>
    <row r="13474" spans="2:15" x14ac:dyDescent="0.3">
      <c r="B13474" s="1" t="s">
        <v>20</v>
      </c>
      <c r="C13474" s="1" t="str">
        <f t="shared" si="684"/>
        <v>4차</v>
      </c>
      <c r="D13474" s="1" t="str">
        <f>"9924C48145"</f>
        <v>9924C48145</v>
      </c>
      <c r="E13474" s="1" t="s">
        <v>10</v>
      </c>
      <c r="F13474" s="1" t="str">
        <f>"10.14.3.189"</f>
        <v>10.14.3.189</v>
      </c>
      <c r="G13474" s="1" t="str">
        <f>"9924C481"</f>
        <v>9924C481</v>
      </c>
      <c r="H13474" s="1" t="str">
        <f>"원효로 6T"</f>
        <v>원효로 6T</v>
      </c>
      <c r="I13474" s="1" t="s">
        <v>17</v>
      </c>
      <c r="J13474" s="1" t="str">
        <f>"28/57"</f>
        <v>28/57</v>
      </c>
      <c r="K13474" s="1" t="str">
        <f>"2026-07-29 13:18:13"</f>
        <v>2026-07-29 13:18:13</v>
      </c>
      <c r="L13474" s="1" t="str">
        <f>"2021-10-26 10:35:35"</f>
        <v>2021-10-26 10:35:35</v>
      </c>
      <c r="M13474" s="1" t="s">
        <v>3</v>
      </c>
      <c r="N13474" s="1" t="s">
        <v>38</v>
      </c>
      <c r="O13474" s="1" t="s">
        <v>46</v>
      </c>
    </row>
    <row r="13475" spans="2:15" x14ac:dyDescent="0.3">
      <c r="B13475" s="1" t="s">
        <v>20</v>
      </c>
      <c r="C13475" s="1" t="str">
        <f t="shared" si="684"/>
        <v>4차</v>
      </c>
      <c r="D13475" s="1" t="str">
        <f>"9924D33145"</f>
        <v>9924D33145</v>
      </c>
      <c r="E13475" s="1" t="s">
        <v>10</v>
      </c>
      <c r="F13475" s="1" t="str">
        <f>"10.14.4.22"</f>
        <v>10.14.4.22</v>
      </c>
      <c r="G13475" s="1" t="str">
        <f>"9924D331"</f>
        <v>9924D331</v>
      </c>
      <c r="H13475" s="1" t="str">
        <f>"한강로 8-1"</f>
        <v>한강로 8-1</v>
      </c>
      <c r="I13475" s="1" t="s">
        <v>17</v>
      </c>
      <c r="J13475" s="1" t="str">
        <f>"14/20"</f>
        <v>14/20</v>
      </c>
      <c r="K13475" s="1" t="str">
        <f>"2026-07-29 13:18:12"</f>
        <v>2026-07-29 13:18:12</v>
      </c>
      <c r="L13475" s="1" t="str">
        <f>"2021-06-16 11:41:13"</f>
        <v>2021-06-16 11:41:13</v>
      </c>
      <c r="M13475" s="1" t="s">
        <v>3</v>
      </c>
      <c r="N13475" s="1" t="s">
        <v>38</v>
      </c>
      <c r="O13475" s="1" t="s">
        <v>46</v>
      </c>
    </row>
    <row r="13476" spans="2:15" x14ac:dyDescent="0.3">
      <c r="B13476" s="1" t="s">
        <v>20</v>
      </c>
      <c r="C13476" s="1" t="str">
        <f>"5-2차"</f>
        <v>5-2차</v>
      </c>
      <c r="D13476" s="1" t="str">
        <f>"9924D4015M"</f>
        <v>9924D4015M</v>
      </c>
      <c r="E13476" s="1" t="s">
        <v>10</v>
      </c>
      <c r="F13476" s="1" t="str">
        <f>"fde1:103:4:561c:0:0:0:2"</f>
        <v>fde1:103:4:561c:0:0:0:2</v>
      </c>
      <c r="G13476" s="1" t="str">
        <f>"9924D401"</f>
        <v>9924D401</v>
      </c>
      <c r="H13476" s="1" t="str">
        <f>"용산지 38"</f>
        <v>용산지 38</v>
      </c>
      <c r="I13476" s="1" t="s">
        <v>15</v>
      </c>
      <c r="J13476" s="1" t="str">
        <f>"43/43"</f>
        <v>43/43</v>
      </c>
      <c r="K13476" s="1" t="str">
        <f>"2026-07-29 08:21:49"</f>
        <v>2026-07-29 08:21:49</v>
      </c>
      <c r="L13476" s="1" t="str">
        <f>"2023-09-04 11:16:03"</f>
        <v>2023-09-04 11:16:03</v>
      </c>
      <c r="M13476" s="1" t="s">
        <v>4</v>
      </c>
      <c r="N13476" s="1" t="s">
        <v>38</v>
      </c>
      <c r="O13476" s="1" t="s">
        <v>46</v>
      </c>
    </row>
    <row r="13477" spans="2:15" x14ac:dyDescent="0.3">
      <c r="B13477" s="1" t="s">
        <v>20</v>
      </c>
      <c r="C13477" s="1" t="str">
        <f>"3차"</f>
        <v>3차</v>
      </c>
      <c r="D13477" s="1" t="str">
        <f>"9924F06130"</f>
        <v>9924F06130</v>
      </c>
      <c r="E13477" s="1" t="s">
        <v>10</v>
      </c>
      <c r="F13477" s="1" t="str">
        <f>"10.10.26.218"</f>
        <v>10.10.26.218</v>
      </c>
      <c r="G13477" s="1" t="str">
        <f>"9924F061"</f>
        <v>9924F061</v>
      </c>
      <c r="H13477" s="1" t="str">
        <f>"해방간 6L4R5"</f>
        <v>해방간 6L4R5</v>
      </c>
      <c r="I13477" s="1" t="s">
        <v>8</v>
      </c>
      <c r="J13477" s="1" t="str">
        <f>"8/8"</f>
        <v>8/8</v>
      </c>
      <c r="K13477" s="1" t="str">
        <f t="shared" ref="K13477:K13482" si="685">"2026-07-29 13:18:10"</f>
        <v>2026-07-29 13:18:10</v>
      </c>
      <c r="L13477" s="1" t="str">
        <f>"2018-04-09 09:32:53"</f>
        <v>2018-04-09 09:32:53</v>
      </c>
      <c r="M13477" s="1" t="s">
        <v>1</v>
      </c>
      <c r="N13477" s="1" t="s">
        <v>38</v>
      </c>
      <c r="O13477" s="1" t="s">
        <v>46</v>
      </c>
    </row>
    <row r="13478" spans="2:15" x14ac:dyDescent="0.3">
      <c r="B13478" s="1" t="s">
        <v>20</v>
      </c>
      <c r="C13478" s="1" t="str">
        <f>"3차"</f>
        <v>3차</v>
      </c>
      <c r="D13478" s="1" t="str">
        <f>"9924F07331"</f>
        <v>9924F07331</v>
      </c>
      <c r="E13478" s="1" t="s">
        <v>10</v>
      </c>
      <c r="F13478" s="1" t="str">
        <f>"10.10.26.219"</f>
        <v>10.10.26.219</v>
      </c>
      <c r="G13478" s="1" t="str">
        <f>"9924F073"</f>
        <v>9924F073</v>
      </c>
      <c r="H13478" s="1" t="str">
        <f>"해방간 6L4R6"</f>
        <v>해방간 6L4R6</v>
      </c>
      <c r="I13478" s="1" t="s">
        <v>8</v>
      </c>
      <c r="J13478" s="1" t="str">
        <f>"46/52"</f>
        <v>46/52</v>
      </c>
      <c r="K13478" s="1" t="str">
        <f t="shared" si="685"/>
        <v>2026-07-29 13:18:10</v>
      </c>
      <c r="L13478" s="1" t="str">
        <f>"2018-04-09 14:50:26"</f>
        <v>2018-04-09 14:50:26</v>
      </c>
      <c r="M13478" s="1" t="s">
        <v>1</v>
      </c>
      <c r="N13478" s="1" t="s">
        <v>38</v>
      </c>
      <c r="O13478" s="1" t="s">
        <v>46</v>
      </c>
    </row>
    <row r="13479" spans="2:15" x14ac:dyDescent="0.3">
      <c r="B13479" s="1" t="s">
        <v>20</v>
      </c>
      <c r="C13479" s="1" t="str">
        <f>"4차"</f>
        <v>4차</v>
      </c>
      <c r="D13479" s="1" t="str">
        <f>"9924F16130"</f>
        <v>9924F16130</v>
      </c>
      <c r="E13479" s="1" t="s">
        <v>10</v>
      </c>
      <c r="F13479" s="1" t="str">
        <f>"10.10.26.210"</f>
        <v>10.10.26.210</v>
      </c>
      <c r="G13479" s="1" t="str">
        <f>"9924F161"</f>
        <v>9924F161</v>
      </c>
      <c r="H13479" s="1" t="str">
        <f>"해방간 6L4R2"</f>
        <v>해방간 6L4R2</v>
      </c>
      <c r="I13479" s="1" t="s">
        <v>8</v>
      </c>
      <c r="J13479" s="1" t="str">
        <f>"45/45"</f>
        <v>45/45</v>
      </c>
      <c r="K13479" s="1" t="str">
        <f t="shared" si="685"/>
        <v>2026-07-29 13:18:10</v>
      </c>
      <c r="L13479" s="1" t="str">
        <f>"2018-05-15 12:48:26"</f>
        <v>2018-05-15 12:48:26</v>
      </c>
      <c r="M13479" s="1" t="s">
        <v>1</v>
      </c>
      <c r="N13479" s="1" t="s">
        <v>38</v>
      </c>
      <c r="O13479" s="1" t="s">
        <v>46</v>
      </c>
    </row>
    <row r="13480" spans="2:15" x14ac:dyDescent="0.3">
      <c r="B13480" s="1" t="s">
        <v>20</v>
      </c>
      <c r="C13480" s="1" t="str">
        <f>"3차"</f>
        <v>3차</v>
      </c>
      <c r="D13480" s="1" t="str">
        <f>"9924F16231"</f>
        <v>9924F16231</v>
      </c>
      <c r="E13480" s="1" t="s">
        <v>10</v>
      </c>
      <c r="F13480" s="1" t="str">
        <f>"10.10.26.211"</f>
        <v>10.10.26.211</v>
      </c>
      <c r="G13480" s="1" t="str">
        <f>"9924F162"</f>
        <v>9924F162</v>
      </c>
      <c r="H13480" s="1" t="str">
        <f>"해방간 6L4R4"</f>
        <v>해방간 6L4R4</v>
      </c>
      <c r="I13480" s="1" t="s">
        <v>8</v>
      </c>
      <c r="J13480" s="1" t="str">
        <f>"32/32"</f>
        <v>32/32</v>
      </c>
      <c r="K13480" s="1" t="str">
        <f t="shared" si="685"/>
        <v>2026-07-29 13:18:10</v>
      </c>
      <c r="L13480" s="1" t="str">
        <f>"2018-04-09 14:24:56"</f>
        <v>2018-04-09 14:24:56</v>
      </c>
      <c r="M13480" s="1" t="s">
        <v>1</v>
      </c>
      <c r="N13480" s="1" t="s">
        <v>38</v>
      </c>
      <c r="O13480" s="1" t="s">
        <v>46</v>
      </c>
    </row>
    <row r="13481" spans="2:15" x14ac:dyDescent="0.3">
      <c r="B13481" s="1" t="s">
        <v>20</v>
      </c>
      <c r="C13481" s="1" t="str">
        <f>"3차"</f>
        <v>3차</v>
      </c>
      <c r="D13481" s="1" t="str">
        <f>"9924F17131"</f>
        <v>9924F17131</v>
      </c>
      <c r="E13481" s="1" t="s">
        <v>10</v>
      </c>
      <c r="F13481" s="1" t="str">
        <f>"10.10.26.139"</f>
        <v>10.10.26.139</v>
      </c>
      <c r="G13481" s="1" t="str">
        <f>"9924F171"</f>
        <v>9924F171</v>
      </c>
      <c r="H13481" s="1" t="str">
        <f>"해방간 23L13"</f>
        <v>해방간 23L13</v>
      </c>
      <c r="I13481" s="1" t="s">
        <v>8</v>
      </c>
      <c r="J13481" s="1" t="str">
        <f>"54/54"</f>
        <v>54/54</v>
      </c>
      <c r="K13481" s="1" t="str">
        <f t="shared" si="685"/>
        <v>2026-07-29 13:18:10</v>
      </c>
      <c r="L13481" s="1" t="str">
        <f>"2018-04-09 14:07:26"</f>
        <v>2018-04-09 14:07:26</v>
      </c>
      <c r="M13481" s="1" t="s">
        <v>1</v>
      </c>
      <c r="N13481" s="1" t="s">
        <v>38</v>
      </c>
      <c r="O13481" s="1" t="s">
        <v>46</v>
      </c>
    </row>
    <row r="13482" spans="2:15" x14ac:dyDescent="0.3">
      <c r="B13482" s="1" t="s">
        <v>20</v>
      </c>
      <c r="C13482" s="1" t="str">
        <f>"4차"</f>
        <v>4차</v>
      </c>
      <c r="D13482" s="1" t="str">
        <f>"9924F19130"</f>
        <v>9924F19130</v>
      </c>
      <c r="E13482" s="1" t="s">
        <v>10</v>
      </c>
      <c r="F13482" s="1" t="str">
        <f>"10.10.26.130"</f>
        <v>10.10.26.130</v>
      </c>
      <c r="G13482" s="1" t="str">
        <f>"9924F191"</f>
        <v>9924F191</v>
      </c>
      <c r="H13482" s="1" t="str">
        <f>"해방간 23L10"</f>
        <v>해방간 23L10</v>
      </c>
      <c r="I13482" s="1" t="s">
        <v>8</v>
      </c>
      <c r="J13482" s="1" t="str">
        <f>"35/35"</f>
        <v>35/35</v>
      </c>
      <c r="K13482" s="1" t="str">
        <f t="shared" si="685"/>
        <v>2026-07-29 13:18:10</v>
      </c>
      <c r="L13482" s="1" t="str">
        <f>"2025-05-08 17:55:28"</f>
        <v>2025-05-08 17:55:28</v>
      </c>
      <c r="M13482" s="1" t="s">
        <v>1</v>
      </c>
      <c r="N13482" s="1" t="s">
        <v>38</v>
      </c>
      <c r="O13482" s="1" t="s">
        <v>46</v>
      </c>
    </row>
    <row r="13483" spans="2:15" x14ac:dyDescent="0.3">
      <c r="B13483" s="1" t="s">
        <v>20</v>
      </c>
      <c r="C13483" s="1" t="str">
        <f>"3차"</f>
        <v>3차</v>
      </c>
      <c r="D13483" s="1" t="str">
        <f>"9924F26231"</f>
        <v>9924F26231</v>
      </c>
      <c r="E13483" s="1" t="s">
        <v>10</v>
      </c>
      <c r="F13483" s="1" t="str">
        <f>"10.10.26.203"</f>
        <v>10.10.26.203</v>
      </c>
      <c r="G13483" s="1" t="str">
        <f>"9924F262"</f>
        <v>9924F262</v>
      </c>
      <c r="H13483" s="1" t="str">
        <f>"해방간 6L4R1H1"</f>
        <v>해방간 6L4R1H1</v>
      </c>
      <c r="I13483" s="1" t="s">
        <v>8</v>
      </c>
      <c r="J13483" s="1" t="str">
        <f>"8/8"</f>
        <v>8/8</v>
      </c>
      <c r="K13483" s="1" t="str">
        <f>"2026-07-29 13:18:13"</f>
        <v>2026-07-29 13:18:13</v>
      </c>
      <c r="L13483" s="1" t="str">
        <f>"2018-04-20 14:01:43"</f>
        <v>2018-04-20 14:01:43</v>
      </c>
      <c r="M13483" s="1" t="s">
        <v>1</v>
      </c>
      <c r="N13483" s="1" t="s">
        <v>38</v>
      </c>
      <c r="O13483" s="1" t="s">
        <v>46</v>
      </c>
    </row>
    <row r="13484" spans="2:15" x14ac:dyDescent="0.3">
      <c r="B13484" s="1" t="s">
        <v>20</v>
      </c>
      <c r="C13484" s="1" t="str">
        <f>"3차"</f>
        <v>3차</v>
      </c>
      <c r="D13484" s="1" t="str">
        <f>"9924F27130"</f>
        <v>9924F27130</v>
      </c>
      <c r="E13484" s="1" t="s">
        <v>10</v>
      </c>
      <c r="F13484" s="1" t="str">
        <f>"10.10.26.226"</f>
        <v>10.10.26.226</v>
      </c>
      <c r="G13484" s="1" t="str">
        <f>"9924F271"</f>
        <v>9924F271</v>
      </c>
      <c r="H13484" s="1" t="str">
        <f>"해방간 6L5"</f>
        <v>해방간 6L5</v>
      </c>
      <c r="I13484" s="1" t="s">
        <v>8</v>
      </c>
      <c r="J13484" s="1" t="str">
        <f>"45/45"</f>
        <v>45/45</v>
      </c>
      <c r="K13484" s="1" t="str">
        <f>"2026-07-29 13:18:10"</f>
        <v>2026-07-29 13:18:10</v>
      </c>
      <c r="L13484" s="1" t="str">
        <f>"2018-04-09 09:27:38"</f>
        <v>2018-04-09 09:27:38</v>
      </c>
      <c r="M13484" s="1" t="s">
        <v>1</v>
      </c>
      <c r="N13484" s="1" t="s">
        <v>38</v>
      </c>
      <c r="O13484" s="1" t="s">
        <v>46</v>
      </c>
    </row>
    <row r="13485" spans="2:15" x14ac:dyDescent="0.3">
      <c r="B13485" s="1" t="s">
        <v>20</v>
      </c>
      <c r="C13485" s="1" t="str">
        <f>"3차"</f>
        <v>3차</v>
      </c>
      <c r="D13485" s="1" t="str">
        <f>"9924F28131"</f>
        <v>9924F28131</v>
      </c>
      <c r="E13485" s="1" t="s">
        <v>10</v>
      </c>
      <c r="F13485" s="1" t="str">
        <f>"10.12.131.69"</f>
        <v>10.12.131.69</v>
      </c>
      <c r="G13485" s="1" t="str">
        <f>"9924F281"</f>
        <v>9924F281</v>
      </c>
      <c r="H13485" s="1" t="str">
        <f>"해방간 23L11"</f>
        <v>해방간 23L11</v>
      </c>
      <c r="I13485" s="1" t="s">
        <v>8</v>
      </c>
      <c r="J13485" s="1" t="str">
        <f>"40/40"</f>
        <v>40/40</v>
      </c>
      <c r="K13485" s="1" t="str">
        <f>"2026-07-29 13:18:13"</f>
        <v>2026-07-29 13:18:13</v>
      </c>
      <c r="L13485" s="1" t="str">
        <f>"2018-04-09 13:36:56"</f>
        <v>2018-04-09 13:36:56</v>
      </c>
      <c r="M13485" s="1" t="s">
        <v>0</v>
      </c>
      <c r="N13485" s="1" t="s">
        <v>38</v>
      </c>
      <c r="O13485" s="1" t="s">
        <v>46</v>
      </c>
    </row>
    <row r="13486" spans="2:15" x14ac:dyDescent="0.3">
      <c r="B13486" s="1" t="s">
        <v>20</v>
      </c>
      <c r="C13486" s="1" t="str">
        <f>"3차"</f>
        <v>3차</v>
      </c>
      <c r="D13486" s="1" t="str">
        <f>"9924F28230"</f>
        <v>9924F28230</v>
      </c>
      <c r="E13486" s="1" t="s">
        <v>10</v>
      </c>
      <c r="F13486" s="1" t="str">
        <f>"10.10.26.138"</f>
        <v>10.10.26.138</v>
      </c>
      <c r="G13486" s="1" t="str">
        <f>"9924F282"</f>
        <v>9924F282</v>
      </c>
      <c r="H13486" s="1" t="str">
        <f>"해방간 23L12"</f>
        <v>해방간 23L12</v>
      </c>
      <c r="I13486" s="1" t="s">
        <v>8</v>
      </c>
      <c r="J13486" s="1" t="str">
        <f>"23/23"</f>
        <v>23/23</v>
      </c>
      <c r="K13486" s="1" t="str">
        <f>"2026-07-29 13:18:10"</f>
        <v>2026-07-29 13:18:10</v>
      </c>
      <c r="L13486" s="1" t="str">
        <f>"2018-04-09 09:23:23"</f>
        <v>2018-04-09 09:23:23</v>
      </c>
      <c r="M13486" s="1" t="s">
        <v>1</v>
      </c>
      <c r="N13486" s="1" t="s">
        <v>38</v>
      </c>
      <c r="O13486" s="1" t="s">
        <v>46</v>
      </c>
    </row>
    <row r="13487" spans="2:15" x14ac:dyDescent="0.3">
      <c r="B13487" s="1" t="s">
        <v>20</v>
      </c>
      <c r="C13487" s="1" t="str">
        <f>"4차"</f>
        <v>4차</v>
      </c>
      <c r="D13487" s="1" t="str">
        <f>"9924F35144"</f>
        <v>9924F35144</v>
      </c>
      <c r="E13487" s="1" t="s">
        <v>10</v>
      </c>
      <c r="F13487" s="1" t="str">
        <f>"10.10.118.226"</f>
        <v>10.10.118.226</v>
      </c>
      <c r="G13487" s="1" t="str">
        <f>"9924F351"</f>
        <v>9924F351</v>
      </c>
      <c r="H13487" s="1" t="str">
        <f>"해방간 6L1S1L2"</f>
        <v>해방간 6L1S1L2</v>
      </c>
      <c r="I13487" s="1" t="s">
        <v>8</v>
      </c>
      <c r="J13487" s="1" t="str">
        <f>"7/7"</f>
        <v>7/7</v>
      </c>
      <c r="K13487" s="1" t="str">
        <f>"2026-07-29 13:18:12"</f>
        <v>2026-07-29 13:18:12</v>
      </c>
      <c r="L13487" s="1" t="str">
        <f>"2019-12-11 18:12:17"</f>
        <v>2019-12-11 18:12:17</v>
      </c>
      <c r="M13487" s="1" t="s">
        <v>1</v>
      </c>
      <c r="N13487" s="1" t="s">
        <v>38</v>
      </c>
      <c r="O13487" s="1" t="s">
        <v>46</v>
      </c>
    </row>
    <row r="13488" spans="2:15" x14ac:dyDescent="0.3">
      <c r="B13488" s="1" t="s">
        <v>20</v>
      </c>
      <c r="C13488" s="1" t="str">
        <f>"3차"</f>
        <v>3차</v>
      </c>
      <c r="D13488" s="1" t="str">
        <f>"9924F35339"</f>
        <v>9924F35339</v>
      </c>
      <c r="E13488" s="1" t="s">
        <v>10</v>
      </c>
      <c r="F13488" s="1" t="str">
        <f>"10.12.136.13"</f>
        <v>10.12.136.13</v>
      </c>
      <c r="G13488" s="1" t="str">
        <f>"9924F353"</f>
        <v>9924F353</v>
      </c>
      <c r="H13488" s="1" t="str">
        <f>"해방간 6L1S1L3"</f>
        <v>해방간 6L1S1L3</v>
      </c>
      <c r="I13488" s="1" t="s">
        <v>8</v>
      </c>
      <c r="J13488" s="1" t="str">
        <f>"35/35"</f>
        <v>35/35</v>
      </c>
      <c r="K13488" s="1" t="str">
        <f>"2026-07-29 13:18:13"</f>
        <v>2026-07-29 13:18:13</v>
      </c>
      <c r="L13488" s="1" t="str">
        <f>"2018-04-19 16:18:43"</f>
        <v>2018-04-19 16:18:43</v>
      </c>
      <c r="M13488" s="1" t="s">
        <v>0</v>
      </c>
      <c r="N13488" s="1" t="s">
        <v>38</v>
      </c>
      <c r="O13488" s="1" t="s">
        <v>46</v>
      </c>
    </row>
    <row r="13489" spans="2:15" x14ac:dyDescent="0.3">
      <c r="B13489" s="1" t="s">
        <v>20</v>
      </c>
      <c r="C13489" s="1" t="str">
        <f>"3차"</f>
        <v>3차</v>
      </c>
      <c r="D13489" s="1" t="str">
        <f>"9924F36130"</f>
        <v>9924F36130</v>
      </c>
      <c r="E13489" s="1" t="s">
        <v>10</v>
      </c>
      <c r="F13489" s="1" t="str">
        <f>"10.10.26.202"</f>
        <v>10.10.26.202</v>
      </c>
      <c r="G13489" s="1" t="str">
        <f>"9924F361"</f>
        <v>9924F361</v>
      </c>
      <c r="H13489" s="1" t="str">
        <f>"해방간 6L4"</f>
        <v>해방간 6L4</v>
      </c>
      <c r="I13489" s="1" t="s">
        <v>8</v>
      </c>
      <c r="J13489" s="1" t="str">
        <f>"40/40"</f>
        <v>40/40</v>
      </c>
      <c r="K13489" s="1" t="str">
        <f>"2026-07-29 13:18:10"</f>
        <v>2026-07-29 13:18:10</v>
      </c>
      <c r="L13489" s="1" t="str">
        <f>"2018-04-09 09:26:08"</f>
        <v>2018-04-09 09:26:08</v>
      </c>
      <c r="M13489" s="1" t="s">
        <v>1</v>
      </c>
      <c r="N13489" s="1" t="s">
        <v>38</v>
      </c>
      <c r="O13489" s="1" t="s">
        <v>46</v>
      </c>
    </row>
    <row r="13490" spans="2:15" x14ac:dyDescent="0.3">
      <c r="B13490" s="1" t="s">
        <v>20</v>
      </c>
      <c r="C13490" s="1" t="str">
        <f>"4차"</f>
        <v>4차</v>
      </c>
      <c r="D13490" s="1" t="str">
        <f>"9924F36244"</f>
        <v>9924F36244</v>
      </c>
      <c r="E13490" s="1" t="s">
        <v>10</v>
      </c>
      <c r="F13490" s="1" t="str">
        <f>"10.10.26.194"</f>
        <v>10.10.26.194</v>
      </c>
      <c r="G13490" s="1" t="str">
        <f>"9924F362"</f>
        <v>9924F362</v>
      </c>
      <c r="H13490" s="1" t="str">
        <f>"해방간 6L3"</f>
        <v>해방간 6L3</v>
      </c>
      <c r="I13490" s="1" t="s">
        <v>8</v>
      </c>
      <c r="J13490" s="1" t="str">
        <f>"36/38"</f>
        <v>36/38</v>
      </c>
      <c r="K13490" s="1" t="str">
        <f>"2026-07-29 13:18:10"</f>
        <v>2026-07-29 13:18:10</v>
      </c>
      <c r="L13490" s="1" t="str">
        <f>"2023-10-11 14:54:56"</f>
        <v>2023-10-11 14:54:56</v>
      </c>
      <c r="M13490" s="1" t="s">
        <v>1</v>
      </c>
      <c r="N13490" s="1" t="s">
        <v>38</v>
      </c>
      <c r="O13490" s="1" t="s">
        <v>46</v>
      </c>
    </row>
    <row r="13491" spans="2:15" x14ac:dyDescent="0.3">
      <c r="B13491" s="1" t="s">
        <v>20</v>
      </c>
      <c r="C13491" s="1" t="str">
        <f>"3차"</f>
        <v>3차</v>
      </c>
      <c r="D13491" s="1" t="str">
        <f>"9924F37131"</f>
        <v>9924F37131</v>
      </c>
      <c r="E13491" s="1" t="s">
        <v>10</v>
      </c>
      <c r="F13491" s="1" t="str">
        <f>"10.10.26.227"</f>
        <v>10.10.26.227</v>
      </c>
      <c r="G13491" s="1" t="str">
        <f>"9924F371"</f>
        <v>9924F371</v>
      </c>
      <c r="H13491" s="1" t="str">
        <f>"해방간 6L6"</f>
        <v>해방간 6L6</v>
      </c>
      <c r="I13491" s="1" t="s">
        <v>8</v>
      </c>
      <c r="J13491" s="1" t="str">
        <f>"31/31"</f>
        <v>31/31</v>
      </c>
      <c r="K13491" s="1" t="str">
        <f>"2026-07-29 13:18:10"</f>
        <v>2026-07-29 13:18:10</v>
      </c>
      <c r="L13491" s="1" t="str">
        <f>"2018-04-09 11:01:27"</f>
        <v>2018-04-09 11:01:27</v>
      </c>
      <c r="M13491" s="1" t="s">
        <v>1</v>
      </c>
      <c r="N13491" s="1" t="s">
        <v>38</v>
      </c>
      <c r="O13491" s="1" t="s">
        <v>46</v>
      </c>
    </row>
    <row r="13492" spans="2:15" x14ac:dyDescent="0.3">
      <c r="B13492" s="1" t="s">
        <v>20</v>
      </c>
      <c r="C13492" s="1" t="str">
        <f>"4차"</f>
        <v>4차</v>
      </c>
      <c r="D13492" s="1" t="str">
        <f>"9924F39139"</f>
        <v>9924F39139</v>
      </c>
      <c r="E13492" s="1" t="s">
        <v>10</v>
      </c>
      <c r="F13492" s="1" t="str">
        <f>"10.10.27.2"</f>
        <v>10.10.27.2</v>
      </c>
      <c r="G13492" s="1" t="str">
        <f>"9924F391"</f>
        <v>9924F391</v>
      </c>
      <c r="H13492" s="1" t="str">
        <f>"해방간 8L5"</f>
        <v>해방간 8L5</v>
      </c>
      <c r="I13492" s="1" t="s">
        <v>8</v>
      </c>
      <c r="J13492" s="1" t="str">
        <f>"35/43"</f>
        <v>35/43</v>
      </c>
      <c r="K13492" s="1" t="str">
        <f>"2026-07-29 13:18:10"</f>
        <v>2026-07-29 13:18:10</v>
      </c>
      <c r="L13492" s="1" t="str">
        <f>"2018-04-09 11:14:24"</f>
        <v>2018-04-09 11:14:24</v>
      </c>
      <c r="M13492" s="1" t="s">
        <v>1</v>
      </c>
      <c r="N13492" s="1" t="s">
        <v>38</v>
      </c>
      <c r="O13492" s="1" t="s">
        <v>46</v>
      </c>
    </row>
    <row r="13493" spans="2:15" x14ac:dyDescent="0.3">
      <c r="B13493" s="1" t="s">
        <v>20</v>
      </c>
      <c r="C13493" s="1" t="str">
        <f>"4차"</f>
        <v>4차</v>
      </c>
      <c r="D13493" s="1" t="str">
        <f>"9924F41341"</f>
        <v>9924F41341</v>
      </c>
      <c r="E13493" s="1" t="s">
        <v>10</v>
      </c>
      <c r="F13493" s="1" t="str">
        <f>"10.14.2.182"</f>
        <v>10.14.2.182</v>
      </c>
      <c r="G13493" s="1" t="str">
        <f>"9924F413"</f>
        <v>9924F413</v>
      </c>
      <c r="H13493" s="1" t="str">
        <f>"해방간 1L2"</f>
        <v>해방간 1L2</v>
      </c>
      <c r="I13493" s="1" t="s">
        <v>17</v>
      </c>
      <c r="J13493" s="1" t="str">
        <f>"12/13"</f>
        <v>12/13</v>
      </c>
      <c r="K13493" s="1" t="str">
        <f>"2026-07-29 13:18:12"</f>
        <v>2026-07-29 13:18:12</v>
      </c>
      <c r="L13493" s="1" t="str">
        <f>"2021-08-13 07:37:06"</f>
        <v>2021-08-13 07:37:06</v>
      </c>
      <c r="M13493" s="1" t="s">
        <v>3</v>
      </c>
      <c r="N13493" s="1" t="s">
        <v>38</v>
      </c>
      <c r="O13493" s="1" t="s">
        <v>46</v>
      </c>
    </row>
    <row r="13494" spans="2:15" x14ac:dyDescent="0.3">
      <c r="B13494" s="1" t="s">
        <v>20</v>
      </c>
      <c r="C13494" s="1" t="str">
        <f>"3차"</f>
        <v>3차</v>
      </c>
      <c r="D13494" s="1" t="str">
        <f>"9924F45430"</f>
        <v>9924F45430</v>
      </c>
      <c r="E13494" s="1" t="s">
        <v>10</v>
      </c>
      <c r="F13494" s="1" t="str">
        <f>"10.10.26.186"</f>
        <v>10.10.26.186</v>
      </c>
      <c r="G13494" s="1" t="str">
        <f>"9924F454"</f>
        <v>9924F454</v>
      </c>
      <c r="H13494" s="1" t="str">
        <f>"해방간 6L1H1"</f>
        <v>해방간 6L1H1</v>
      </c>
      <c r="I13494" s="1" t="s">
        <v>8</v>
      </c>
      <c r="J13494" s="1" t="str">
        <f>"29/29"</f>
        <v>29/29</v>
      </c>
      <c r="K13494" s="1" t="str">
        <f>"2026-07-29 13:18:10"</f>
        <v>2026-07-29 13:18:10</v>
      </c>
      <c r="L13494" s="1" t="str">
        <f>"2018-04-09 09:28:53"</f>
        <v>2018-04-09 09:28:53</v>
      </c>
      <c r="M13494" s="1" t="s">
        <v>1</v>
      </c>
      <c r="N13494" s="1" t="s">
        <v>38</v>
      </c>
      <c r="O13494" s="1" t="s">
        <v>46</v>
      </c>
    </row>
    <row r="13495" spans="2:15" x14ac:dyDescent="0.3">
      <c r="B13495" s="1" t="s">
        <v>20</v>
      </c>
      <c r="C13495" s="1" t="str">
        <f>"3차"</f>
        <v>3차</v>
      </c>
      <c r="D13495" s="1" t="str">
        <f>"9924F45531"</f>
        <v>9924F45531</v>
      </c>
      <c r="E13495" s="1" t="s">
        <v>10</v>
      </c>
      <c r="F13495" s="1" t="str">
        <f>"10.10.26.187"</f>
        <v>10.10.26.187</v>
      </c>
      <c r="G13495" s="1" t="str">
        <f>"9924F455"</f>
        <v>9924F455</v>
      </c>
      <c r="H13495" s="1" t="str">
        <f>"해방간 6L2"</f>
        <v>해방간 6L2</v>
      </c>
      <c r="I13495" s="1" t="s">
        <v>8</v>
      </c>
      <c r="J13495" s="1" t="str">
        <f>"6/6"</f>
        <v>6/6</v>
      </c>
      <c r="K13495" s="1" t="str">
        <f>"2026-07-29 13:18:10"</f>
        <v>2026-07-29 13:18:10</v>
      </c>
      <c r="L13495" s="1" t="str">
        <f>"2018-04-09 10:22:55"</f>
        <v>2018-04-09 10:22:55</v>
      </c>
      <c r="M13495" s="1" t="s">
        <v>1</v>
      </c>
      <c r="N13495" s="1" t="s">
        <v>38</v>
      </c>
      <c r="O13495" s="1" t="s">
        <v>46</v>
      </c>
    </row>
    <row r="13496" spans="2:15" x14ac:dyDescent="0.3">
      <c r="B13496" s="1" t="s">
        <v>20</v>
      </c>
      <c r="C13496" s="1" t="str">
        <f>"4차"</f>
        <v>4차</v>
      </c>
      <c r="D13496" s="1" t="str">
        <f>"9924F46131"</f>
        <v>9924F46131</v>
      </c>
      <c r="E13496" s="1" t="s">
        <v>10</v>
      </c>
      <c r="F13496" s="1" t="str">
        <f>"10.12.136.140"</f>
        <v>10.12.136.140</v>
      </c>
      <c r="G13496" s="1" t="str">
        <f>"9924F461"</f>
        <v>9924F461</v>
      </c>
      <c r="H13496" s="1" t="str">
        <f>"해방간 6L3R1"</f>
        <v>해방간 6L3R1</v>
      </c>
      <c r="I13496" s="1" t="s">
        <v>8</v>
      </c>
      <c r="J13496" s="1" t="str">
        <f>"73/76"</f>
        <v>73/76</v>
      </c>
      <c r="K13496" s="1" t="str">
        <f>"2026-07-29 07:18:12"</f>
        <v>2026-07-29 07:18:12</v>
      </c>
      <c r="L13496" s="1" t="str">
        <f>"2018-05-11 19:49:16"</f>
        <v>2018-05-11 19:49:16</v>
      </c>
      <c r="M13496" s="1" t="s">
        <v>0</v>
      </c>
      <c r="N13496" s="1" t="s">
        <v>38</v>
      </c>
      <c r="O13496" s="1" t="s">
        <v>46</v>
      </c>
    </row>
    <row r="13497" spans="2:15" x14ac:dyDescent="0.3">
      <c r="B13497" s="1" t="s">
        <v>20</v>
      </c>
      <c r="C13497" s="1" t="str">
        <f>"4차"</f>
        <v>4차</v>
      </c>
      <c r="D13497" s="1" t="str">
        <f>"9924F48144"</f>
        <v>9924F48144</v>
      </c>
      <c r="E13497" s="1" t="s">
        <v>10</v>
      </c>
      <c r="F13497" s="1" t="str">
        <f>"10.10.66.50"</f>
        <v>10.10.66.50</v>
      </c>
      <c r="G13497" s="1" t="str">
        <f>"9924F481"</f>
        <v>9924F481</v>
      </c>
      <c r="H13497" s="1" t="str">
        <f>"해방간 8L2"</f>
        <v>해방간 8L2</v>
      </c>
      <c r="I13497" s="1" t="s">
        <v>8</v>
      </c>
      <c r="J13497" s="1" t="str">
        <f>"30/34"</f>
        <v>30/34</v>
      </c>
      <c r="K13497" s="1" t="str">
        <f>"2026-07-29 13:18:10"</f>
        <v>2026-07-29 13:18:10</v>
      </c>
      <c r="L13497" s="1" t="str">
        <f>"2019-12-11 18:18:26"</f>
        <v>2019-12-11 18:18:26</v>
      </c>
      <c r="M13497" s="1" t="s">
        <v>1</v>
      </c>
      <c r="N13497" s="1" t="s">
        <v>38</v>
      </c>
      <c r="O13497" s="1" t="s">
        <v>46</v>
      </c>
    </row>
    <row r="13498" spans="2:15" x14ac:dyDescent="0.3">
      <c r="B13498" s="1" t="s">
        <v>20</v>
      </c>
      <c r="C13498" s="1" t="str">
        <f>"4차"</f>
        <v>4차</v>
      </c>
      <c r="D13498" s="1" t="str">
        <f>"9924F48344"</f>
        <v>9924F48344</v>
      </c>
      <c r="E13498" s="1" t="s">
        <v>10</v>
      </c>
      <c r="F13498" s="1" t="str">
        <f>"10.10.66.58"</f>
        <v>10.10.66.58</v>
      </c>
      <c r="G13498" s="1" t="str">
        <f>"9924F483"</f>
        <v>9924F483</v>
      </c>
      <c r="H13498" s="1" t="str">
        <f>"해방간 8L3L1"</f>
        <v>해방간 8L3L1</v>
      </c>
      <c r="I13498" s="1" t="s">
        <v>8</v>
      </c>
      <c r="J13498" s="1" t="str">
        <f>"47/47"</f>
        <v>47/47</v>
      </c>
      <c r="K13498" s="1" t="str">
        <f>"2026-07-29 13:18:13"</f>
        <v>2026-07-29 13:18:13</v>
      </c>
      <c r="L13498" s="1" t="str">
        <f>"2019-12-11 18:15:08"</f>
        <v>2019-12-11 18:15:08</v>
      </c>
      <c r="M13498" s="1" t="s">
        <v>1</v>
      </c>
      <c r="N13498" s="1" t="s">
        <v>38</v>
      </c>
      <c r="O13498" s="1" t="s">
        <v>46</v>
      </c>
    </row>
    <row r="13499" spans="2:15" x14ac:dyDescent="0.3">
      <c r="B13499" s="1" t="s">
        <v>20</v>
      </c>
      <c r="C13499" s="1" t="str">
        <f>"3차"</f>
        <v>3차</v>
      </c>
      <c r="D13499" s="1" t="str">
        <f>"9924F49139"</f>
        <v>9924F49139</v>
      </c>
      <c r="E13499" s="1" t="s">
        <v>10</v>
      </c>
      <c r="F13499" s="1" t="str">
        <f>"10.10.26.250"</f>
        <v>10.10.26.250</v>
      </c>
      <c r="G13499" s="1" t="str">
        <f>"9924F491"</f>
        <v>9924F491</v>
      </c>
      <c r="H13499" s="1" t="str">
        <f>"해방간 8L4"</f>
        <v>해방간 8L4</v>
      </c>
      <c r="I13499" s="1" t="s">
        <v>8</v>
      </c>
      <c r="J13499" s="1" t="str">
        <f>"52/53"</f>
        <v>52/53</v>
      </c>
      <c r="K13499" s="1" t="str">
        <f>"2026-07-29 13:18:13"</f>
        <v>2026-07-29 13:18:13</v>
      </c>
      <c r="L13499" s="1" t="str">
        <f>"2018-04-09 11:30:10"</f>
        <v>2018-04-09 11:30:10</v>
      </c>
      <c r="M13499" s="1" t="s">
        <v>1</v>
      </c>
      <c r="N13499" s="1" t="s">
        <v>38</v>
      </c>
      <c r="O13499" s="1" t="s">
        <v>46</v>
      </c>
    </row>
    <row r="13500" spans="2:15" x14ac:dyDescent="0.3">
      <c r="B13500" s="1" t="s">
        <v>20</v>
      </c>
      <c r="C13500" s="1" t="str">
        <f>"5-1차"</f>
        <v>5-1차</v>
      </c>
      <c r="D13500" s="1" t="str">
        <f>"9924F5315M"</f>
        <v>9924F5315M</v>
      </c>
      <c r="E13500" s="1" t="s">
        <v>10</v>
      </c>
      <c r="F13500" s="1" t="str">
        <f>"fde2:104:0:cc:0:0:0:2"</f>
        <v>fde2:104:0:cc:0:0:0:2</v>
      </c>
      <c r="G13500" s="1" t="str">
        <f>"9924F531"</f>
        <v>9924F531</v>
      </c>
      <c r="H13500" s="1" t="str">
        <f>"해방간 4"</f>
        <v>해방간 4</v>
      </c>
      <c r="I13500" s="1" t="s">
        <v>15</v>
      </c>
      <c r="J13500" s="1" t="str">
        <f>"22/32"</f>
        <v>22/32</v>
      </c>
      <c r="K13500" s="1" t="str">
        <f>"2026-07-29 14:21:25"</f>
        <v>2026-07-29 14:21:25</v>
      </c>
      <c r="L13500" s="1" t="str">
        <f>"2022-09-28 10:59:50"</f>
        <v>2022-09-28 10:59:50</v>
      </c>
      <c r="M13500" s="1" t="s">
        <v>42</v>
      </c>
      <c r="N13500" s="1" t="s">
        <v>38</v>
      </c>
      <c r="O13500" s="1" t="s">
        <v>46</v>
      </c>
    </row>
    <row r="13501" spans="2:15" x14ac:dyDescent="0.3">
      <c r="B13501" s="1" t="s">
        <v>20</v>
      </c>
      <c r="C13501" s="1" t="str">
        <f>"4차"</f>
        <v>4차</v>
      </c>
      <c r="D13501" s="1" t="str">
        <f>"9924F54139"</f>
        <v>9924F54139</v>
      </c>
      <c r="E13501" s="1" t="s">
        <v>10</v>
      </c>
      <c r="F13501" s="1" t="str">
        <f>"10.10.26.26"</f>
        <v>10.10.26.26</v>
      </c>
      <c r="G13501" s="1" t="str">
        <f>"9924F541"</f>
        <v>9924F541</v>
      </c>
      <c r="H13501" s="1" t="str">
        <f>"해방간 5"</f>
        <v>해방간 5</v>
      </c>
      <c r="I13501" s="1" t="s">
        <v>8</v>
      </c>
      <c r="J13501" s="1" t="str">
        <f>"49/49"</f>
        <v>49/49</v>
      </c>
      <c r="K13501" s="1" t="str">
        <f>"2026-07-29 13:18:13"</f>
        <v>2026-07-29 13:18:13</v>
      </c>
      <c r="L13501" s="1" t="str">
        <f>"2018-04-09 09:13:25"</f>
        <v>2018-04-09 09:13:25</v>
      </c>
      <c r="M13501" s="1" t="s">
        <v>1</v>
      </c>
      <c r="N13501" s="1" t="s">
        <v>38</v>
      </c>
      <c r="O13501" s="1" t="s">
        <v>46</v>
      </c>
    </row>
    <row r="13502" spans="2:15" x14ac:dyDescent="0.3">
      <c r="B13502" s="1" t="s">
        <v>20</v>
      </c>
      <c r="C13502" s="1" t="str">
        <f>"4차"</f>
        <v>4차</v>
      </c>
      <c r="D13502" s="1" t="str">
        <f>"9924F55341"</f>
        <v>9924F55341</v>
      </c>
      <c r="E13502" s="1" t="s">
        <v>10</v>
      </c>
      <c r="F13502" s="1" t="str">
        <f>"10.14.6.181"</f>
        <v>10.14.6.181</v>
      </c>
      <c r="G13502" s="1" t="str">
        <f>"9924F553"</f>
        <v>9924F553</v>
      </c>
      <c r="H13502" s="1" t="str">
        <f>"해방간 7"</f>
        <v>해방간 7</v>
      </c>
      <c r="I13502" s="1" t="s">
        <v>17</v>
      </c>
      <c r="J13502" s="1" t="str">
        <f>"15/15"</f>
        <v>15/15</v>
      </c>
      <c r="K13502" s="1" t="str">
        <f>"2026-07-29 13:18:12"</f>
        <v>2026-07-29 13:18:12</v>
      </c>
      <c r="L13502" s="1" t="str">
        <f>"2021-08-13 07:00:26"</f>
        <v>2021-08-13 07:00:26</v>
      </c>
      <c r="M13502" s="1" t="s">
        <v>3</v>
      </c>
      <c r="N13502" s="1" t="s">
        <v>38</v>
      </c>
      <c r="O13502" s="1" t="s">
        <v>46</v>
      </c>
    </row>
    <row r="13503" spans="2:15" x14ac:dyDescent="0.3">
      <c r="B13503" s="1" t="s">
        <v>20</v>
      </c>
      <c r="C13503" s="1" t="str">
        <f>"3차"</f>
        <v>3차</v>
      </c>
      <c r="D13503" s="1" t="str">
        <f>"9924F56239"</f>
        <v>9924F56239</v>
      </c>
      <c r="E13503" s="1" t="s">
        <v>10</v>
      </c>
      <c r="F13503" s="1" t="str">
        <f>"10.10.27.250"</f>
        <v>10.10.27.250</v>
      </c>
      <c r="G13503" s="1" t="str">
        <f>"9924F562"</f>
        <v>9924F562</v>
      </c>
      <c r="H13503" s="1" t="str">
        <f>"해방간 7L1"</f>
        <v>해방간 7L1</v>
      </c>
      <c r="I13503" s="1" t="s">
        <v>8</v>
      </c>
      <c r="J13503" s="1" t="str">
        <f>"15/15"</f>
        <v>15/15</v>
      </c>
      <c r="K13503" s="1" t="str">
        <f>"2026-07-29 13:18:13"</f>
        <v>2026-07-29 13:18:13</v>
      </c>
      <c r="L13503" s="1" t="str">
        <f>"2018-04-09 11:08:54"</f>
        <v>2018-04-09 11:08:54</v>
      </c>
      <c r="M13503" s="1" t="s">
        <v>1</v>
      </c>
      <c r="N13503" s="1" t="s">
        <v>38</v>
      </c>
      <c r="O13503" s="1" t="s">
        <v>46</v>
      </c>
    </row>
    <row r="13504" spans="2:15" x14ac:dyDescent="0.3">
      <c r="B13504" s="1" t="s">
        <v>20</v>
      </c>
      <c r="C13504" s="1" t="str">
        <f>"4차"</f>
        <v>4차</v>
      </c>
      <c r="D13504" s="1" t="str">
        <f>"9924F58139"</f>
        <v>9924F58139</v>
      </c>
      <c r="E13504" s="1" t="s">
        <v>10</v>
      </c>
      <c r="F13504" s="1" t="str">
        <f>"10.10.26.50"</f>
        <v>10.10.26.50</v>
      </c>
      <c r="G13504" s="1" t="str">
        <f>"9924F581"</f>
        <v>9924F581</v>
      </c>
      <c r="H13504" s="1" t="str">
        <f>"해방간 10L2"</f>
        <v>해방간 10L2</v>
      </c>
      <c r="I13504" s="1" t="s">
        <v>8</v>
      </c>
      <c r="J13504" s="1" t="str">
        <f>"68/68"</f>
        <v>68/68</v>
      </c>
      <c r="K13504" s="1" t="str">
        <f>"2026-07-29 13:18:10"</f>
        <v>2026-07-29 13:18:10</v>
      </c>
      <c r="L13504" s="1" t="str">
        <f>"2018-04-09 09:18:54"</f>
        <v>2018-04-09 09:18:54</v>
      </c>
      <c r="M13504" s="1" t="s">
        <v>1</v>
      </c>
      <c r="N13504" s="1" t="s">
        <v>38</v>
      </c>
      <c r="O13504" s="1" t="s">
        <v>46</v>
      </c>
    </row>
    <row r="13505" spans="2:15" x14ac:dyDescent="0.3">
      <c r="B13505" s="1" t="s">
        <v>20</v>
      </c>
      <c r="C13505" s="1" t="str">
        <f>"3차"</f>
        <v>3차</v>
      </c>
      <c r="D13505" s="1" t="str">
        <f>"9924F59539"</f>
        <v>9924F59539</v>
      </c>
      <c r="E13505" s="1" t="s">
        <v>10</v>
      </c>
      <c r="F13505" s="1" t="str">
        <f>"10.10.26.58"</f>
        <v>10.10.26.58</v>
      </c>
      <c r="G13505" s="1" t="str">
        <f>"9924F595"</f>
        <v>9924F595</v>
      </c>
      <c r="H13505" s="1" t="str">
        <f>"해방간 10L3"</f>
        <v>해방간 10L3</v>
      </c>
      <c r="I13505" s="1" t="s">
        <v>8</v>
      </c>
      <c r="J13505" s="1" t="str">
        <f>"26/26"</f>
        <v>26/26</v>
      </c>
      <c r="K13505" s="1" t="str">
        <f>"2026-07-29 13:18:13"</f>
        <v>2026-07-29 13:18:13</v>
      </c>
      <c r="L13505" s="1" t="str">
        <f>"2018-04-09 09:18:39"</f>
        <v>2018-04-09 09:18:39</v>
      </c>
      <c r="M13505" s="1" t="s">
        <v>1</v>
      </c>
      <c r="N13505" s="1" t="s">
        <v>38</v>
      </c>
      <c r="O13505" s="1" t="s">
        <v>46</v>
      </c>
    </row>
    <row r="13506" spans="2:15" x14ac:dyDescent="0.3">
      <c r="B13506" s="1" t="s">
        <v>20</v>
      </c>
      <c r="C13506" s="1" t="str">
        <f>"4차"</f>
        <v>4차</v>
      </c>
      <c r="D13506" s="1" t="str">
        <f>"9924F62245"</f>
        <v>9924F62245</v>
      </c>
      <c r="E13506" s="1" t="s">
        <v>10</v>
      </c>
      <c r="F13506" s="1" t="str">
        <f>"10.12.137.45"</f>
        <v>10.12.137.45</v>
      </c>
      <c r="G13506" s="1" t="str">
        <f>"9924F622"</f>
        <v>9924F622</v>
      </c>
      <c r="H13506" s="1" t="str">
        <f>"반포로 T19-1"</f>
        <v>반포로 T19-1</v>
      </c>
      <c r="I13506" s="1" t="s">
        <v>17</v>
      </c>
      <c r="J13506" s="1" t="str">
        <f>"17/17"</f>
        <v>17/17</v>
      </c>
      <c r="K13506" s="1" t="str">
        <f>"2026-07-29 13:18:12"</f>
        <v>2026-07-29 13:18:12</v>
      </c>
      <c r="L13506" s="1" t="str">
        <f>"2021-06-16 14:11:52"</f>
        <v>2021-06-16 14:11:52</v>
      </c>
      <c r="M13506" s="1" t="s">
        <v>0</v>
      </c>
      <c r="N13506" s="1" t="s">
        <v>38</v>
      </c>
      <c r="O13506" s="1" t="s">
        <v>46</v>
      </c>
    </row>
    <row r="13507" spans="2:15" x14ac:dyDescent="0.3">
      <c r="B13507" s="1" t="s">
        <v>20</v>
      </c>
      <c r="C13507" s="1" t="str">
        <f>"3차"</f>
        <v>3차</v>
      </c>
      <c r="D13507" s="1" t="str">
        <f>"9924F64130"</f>
        <v>9924F64130</v>
      </c>
      <c r="E13507" s="1" t="s">
        <v>10</v>
      </c>
      <c r="F13507" s="1" t="str">
        <f>"10.10.26.234"</f>
        <v>10.10.26.234</v>
      </c>
      <c r="G13507" s="1" t="str">
        <f>"9924F641"</f>
        <v>9924F641</v>
      </c>
      <c r="H13507" s="1" t="str">
        <f>"해방간 6R1"</f>
        <v>해방간 6R1</v>
      </c>
      <c r="I13507" s="1" t="s">
        <v>8</v>
      </c>
      <c r="J13507" s="1" t="str">
        <f>"13/13"</f>
        <v>13/13</v>
      </c>
      <c r="K13507" s="1" t="str">
        <f>"2026-07-29 13:18:13"</f>
        <v>2026-07-29 13:18:13</v>
      </c>
      <c r="L13507" s="1" t="str">
        <f>"2018-04-09 09:27:39"</f>
        <v>2018-04-09 09:27:39</v>
      </c>
      <c r="M13507" s="1" t="s">
        <v>1</v>
      </c>
      <c r="N13507" s="1" t="s">
        <v>38</v>
      </c>
      <c r="O13507" s="1" t="s">
        <v>46</v>
      </c>
    </row>
    <row r="13508" spans="2:15" x14ac:dyDescent="0.3">
      <c r="B13508" s="1" t="s">
        <v>20</v>
      </c>
      <c r="C13508" s="1" t="str">
        <f>"3차"</f>
        <v>3차</v>
      </c>
      <c r="D13508" s="1" t="str">
        <f>"9924F65131"</f>
        <v>9924F65131</v>
      </c>
      <c r="E13508" s="1" t="s">
        <v>10</v>
      </c>
      <c r="F13508" s="1" t="str">
        <f>"10.10.26.235"</f>
        <v>10.10.26.235</v>
      </c>
      <c r="G13508" s="1" t="str">
        <f>"9924F651"</f>
        <v>9924F651</v>
      </c>
      <c r="H13508" s="1" t="str">
        <f>"해방간 6R2"</f>
        <v>해방간 6R2</v>
      </c>
      <c r="I13508" s="1" t="s">
        <v>8</v>
      </c>
      <c r="J13508" s="1" t="str">
        <f>"33/44"</f>
        <v>33/44</v>
      </c>
      <c r="K13508" s="1" t="str">
        <f>"2026-07-29 13:18:13"</f>
        <v>2026-07-29 13:18:13</v>
      </c>
      <c r="L13508" s="1" t="str">
        <f>"2018-04-20 13:21:25"</f>
        <v>2018-04-20 13:21:25</v>
      </c>
      <c r="M13508" s="1" t="s">
        <v>1</v>
      </c>
      <c r="N13508" s="1" t="s">
        <v>38</v>
      </c>
      <c r="O13508" s="1" t="s">
        <v>46</v>
      </c>
    </row>
    <row r="13509" spans="2:15" x14ac:dyDescent="0.3">
      <c r="B13509" s="1" t="s">
        <v>20</v>
      </c>
      <c r="C13509" s="1" t="str">
        <f>"1차"</f>
        <v>1차</v>
      </c>
      <c r="D13509" s="1" t="str">
        <f>"9924F67100"</f>
        <v>9924F67100</v>
      </c>
      <c r="E13509" s="1" t="s">
        <v>10</v>
      </c>
      <c r="F13509" s="1" t="str">
        <f>"10.125.225.202"</f>
        <v>10.125.225.202</v>
      </c>
      <c r="G13509" s="1" t="str">
        <f>"9924F671"</f>
        <v>9924F671</v>
      </c>
      <c r="H13509" s="1" t="str">
        <f>"해방간 8"</f>
        <v>해방간 8</v>
      </c>
      <c r="I13509" s="1" t="s">
        <v>8</v>
      </c>
      <c r="J13509" s="1" t="str">
        <f>"29/31"</f>
        <v>29/31</v>
      </c>
      <c r="K13509" s="1" t="str">
        <f>"2026-07-29 13:18:13"</f>
        <v>2026-07-29 13:18:13</v>
      </c>
      <c r="L13509" s="1" t="str">
        <f>"2021-04-28 10:44:10"</f>
        <v>2021-04-28 10:44:10</v>
      </c>
      <c r="M13509" s="1" t="s">
        <v>45</v>
      </c>
      <c r="N13509" s="1" t="s">
        <v>38</v>
      </c>
      <c r="O13509" s="1" t="s">
        <v>46</v>
      </c>
    </row>
    <row r="13510" spans="2:15" x14ac:dyDescent="0.3">
      <c r="B13510" s="1" t="s">
        <v>20</v>
      </c>
      <c r="C13510" s="1" t="str">
        <f>"5-2차"</f>
        <v>5-2차</v>
      </c>
      <c r="D13510" s="1" t="str">
        <f>"9924F6855M"</f>
        <v>9924F6855M</v>
      </c>
      <c r="E13510" s="1" t="s">
        <v>10</v>
      </c>
      <c r="F13510" s="1" t="str">
        <f>"fde3:102:1301:4e00:0:0:0:2"</f>
        <v>fde3:102:1301:4e00:0:0:0:2</v>
      </c>
      <c r="G13510" s="1" t="str">
        <f>"9924F685"</f>
        <v>9924F685</v>
      </c>
      <c r="H13510" s="1" t="str">
        <f>"해방간 10"</f>
        <v>해방간 10</v>
      </c>
      <c r="I13510" s="1" t="s">
        <v>15</v>
      </c>
      <c r="J13510" s="1" t="str">
        <f>"34/35"</f>
        <v>34/35</v>
      </c>
      <c r="K13510" s="1" t="str">
        <f>"2026-07-29 14:21:24"</f>
        <v>2026-07-29 14:21:24</v>
      </c>
      <c r="L13510" s="1" t="str">
        <f>"2023-12-05 08:46:41"</f>
        <v>2023-12-05 08:46:41</v>
      </c>
      <c r="M13510" s="1" t="s">
        <v>45</v>
      </c>
      <c r="N13510" s="1" t="s">
        <v>38</v>
      </c>
      <c r="O13510" s="1" t="s">
        <v>46</v>
      </c>
    </row>
    <row r="13511" spans="2:15" x14ac:dyDescent="0.3">
      <c r="B13511" s="1" t="s">
        <v>20</v>
      </c>
      <c r="C13511" s="1" t="str">
        <f>"4차"</f>
        <v>4차</v>
      </c>
      <c r="D13511" s="1" t="str">
        <f>"9924F71139"</f>
        <v>9924F71139</v>
      </c>
      <c r="E13511" s="1" t="s">
        <v>10</v>
      </c>
      <c r="F13511" s="1" t="str">
        <f>"10.10.27.74"</f>
        <v>10.10.27.74</v>
      </c>
      <c r="G13511" s="1" t="str">
        <f>"9924F711"</f>
        <v>9924F711</v>
      </c>
      <c r="H13511" s="1" t="str">
        <f>"관광간 46L3R2"</f>
        <v>관광간 46L3R2</v>
      </c>
      <c r="I13511" s="1" t="s">
        <v>8</v>
      </c>
      <c r="J13511" s="1" t="str">
        <f>"11/11"</f>
        <v>11/11</v>
      </c>
      <c r="K13511" s="1" t="str">
        <f>"2026-07-29 13:18:10"</f>
        <v>2026-07-29 13:18:10</v>
      </c>
      <c r="L13511" s="1" t="str">
        <f>"2018-01-09 10:45:11"</f>
        <v>2018-01-09 10:45:11</v>
      </c>
      <c r="M13511" s="1" t="s">
        <v>1</v>
      </c>
      <c r="N13511" s="1" t="s">
        <v>38</v>
      </c>
      <c r="O13511" s="1" t="s">
        <v>46</v>
      </c>
    </row>
    <row r="13512" spans="2:15" x14ac:dyDescent="0.3">
      <c r="B13512" s="1" t="s">
        <v>20</v>
      </c>
      <c r="C13512" s="1" t="str">
        <f>"4차"</f>
        <v>4차</v>
      </c>
      <c r="D13512" s="1" t="str">
        <f>"9924F71244"</f>
        <v>9924F71244</v>
      </c>
      <c r="E13512" s="1" t="s">
        <v>10</v>
      </c>
      <c r="F13512" s="1" t="str">
        <f>"10.10.88.234"</f>
        <v>10.10.88.234</v>
      </c>
      <c r="G13512" s="1" t="str">
        <f>"9924F712"</f>
        <v>9924F712</v>
      </c>
      <c r="H13512" s="1" t="str">
        <f>"관광간 46L3R3"</f>
        <v>관광간 46L3R3</v>
      </c>
      <c r="I13512" s="1" t="s">
        <v>8</v>
      </c>
      <c r="J13512" s="1" t="str">
        <f>"46/46"</f>
        <v>46/46</v>
      </c>
      <c r="K13512" s="1" t="str">
        <f>"2026-07-29 13:18:10"</f>
        <v>2026-07-29 13:18:10</v>
      </c>
      <c r="L13512" s="1" t="str">
        <f>"2020-01-10 17:17:56"</f>
        <v>2020-01-10 17:17:56</v>
      </c>
      <c r="M13512" s="1" t="s">
        <v>1</v>
      </c>
      <c r="N13512" s="1" t="s">
        <v>38</v>
      </c>
      <c r="O13512" s="1" t="s">
        <v>46</v>
      </c>
    </row>
    <row r="13513" spans="2:15" x14ac:dyDescent="0.3">
      <c r="B13513" s="1" t="s">
        <v>20</v>
      </c>
      <c r="C13513" s="1" t="str">
        <f>"5-2차"</f>
        <v>5-2차</v>
      </c>
      <c r="D13513" s="1" t="str">
        <f>"9924F7915M"</f>
        <v>9924F7915M</v>
      </c>
      <c r="E13513" s="1" t="s">
        <v>10</v>
      </c>
      <c r="F13513" s="1" t="str">
        <f>"fde1:103:4:56d8:0:0:0:2"</f>
        <v>fde1:103:4:56d8:0:0:0:2</v>
      </c>
      <c r="G13513" s="1" t="str">
        <f>"9924F791"</f>
        <v>9924F791</v>
      </c>
      <c r="H13513" s="1" t="str">
        <f>"해방간 10R1"</f>
        <v>해방간 10R1</v>
      </c>
      <c r="I13513" s="1" t="s">
        <v>15</v>
      </c>
      <c r="J13513" s="1" t="str">
        <f>"38/38"</f>
        <v>38/38</v>
      </c>
      <c r="K13513" s="1" t="str">
        <f>"2026-07-29 14:21:25"</f>
        <v>2026-07-29 14:21:25</v>
      </c>
      <c r="L13513" s="1" t="str">
        <f>"2023-09-04 11:16:20"</f>
        <v>2023-09-04 11:16:20</v>
      </c>
      <c r="M13513" s="1" t="s">
        <v>4</v>
      </c>
      <c r="N13513" s="1" t="s">
        <v>38</v>
      </c>
      <c r="O13513" s="1" t="s">
        <v>46</v>
      </c>
    </row>
    <row r="13514" spans="2:15" x14ac:dyDescent="0.3">
      <c r="B13514" s="1" t="s">
        <v>20</v>
      </c>
      <c r="C13514" s="1" t="str">
        <f>"4차"</f>
        <v>4차</v>
      </c>
      <c r="D13514" s="1" t="str">
        <f>"9924F80242"</f>
        <v>9924F80242</v>
      </c>
      <c r="E13514" s="1" t="s">
        <v>10</v>
      </c>
      <c r="F13514" s="1" t="str">
        <f>"10.125.224.154"</f>
        <v>10.125.224.154</v>
      </c>
      <c r="G13514" s="1" t="str">
        <f>"9924F802"</f>
        <v>9924F802</v>
      </c>
      <c r="H13514" s="1" t="str">
        <f>"관광간 46L3"</f>
        <v>관광간 46L3</v>
      </c>
      <c r="I13514" s="1" t="s">
        <v>8</v>
      </c>
      <c r="J13514" s="1" t="str">
        <f>"24/39"</f>
        <v>24/39</v>
      </c>
      <c r="K13514" s="1" t="str">
        <f>"2026-07-29 13:18:13"</f>
        <v>2026-07-29 13:18:13</v>
      </c>
      <c r="L13514" s="1" t="str">
        <f>"2025-09-22 17:07:09"</f>
        <v>2025-09-22 17:07:09</v>
      </c>
      <c r="M13514" s="1" t="s">
        <v>45</v>
      </c>
      <c r="N13514" s="1" t="s">
        <v>38</v>
      </c>
      <c r="O13514" s="1" t="s">
        <v>46</v>
      </c>
    </row>
    <row r="13515" spans="2:15" x14ac:dyDescent="0.3">
      <c r="B13515" s="1" t="s">
        <v>20</v>
      </c>
      <c r="C13515" s="1" t="str">
        <f>"4차"</f>
        <v>4차</v>
      </c>
      <c r="D13515" s="1" t="str">
        <f>"9924F80344"</f>
        <v>9924F80344</v>
      </c>
      <c r="E13515" s="1" t="s">
        <v>10</v>
      </c>
      <c r="F13515" s="1" t="str">
        <f>"10.12.138.43"</f>
        <v>10.12.138.43</v>
      </c>
      <c r="G13515" s="1" t="str">
        <f>"9924F803"</f>
        <v>9924F803</v>
      </c>
      <c r="H13515" s="1" t="str">
        <f>"관광간 46L3AR1"</f>
        <v>관광간 46L3AR1</v>
      </c>
      <c r="I13515" s="1" t="s">
        <v>8</v>
      </c>
      <c r="J13515" s="1" t="str">
        <f>"1/1"</f>
        <v>1/1</v>
      </c>
      <c r="K13515" s="1" t="str">
        <f>"2026-07-29 13:18:12"</f>
        <v>2026-07-29 13:18:12</v>
      </c>
      <c r="L13515" s="1" t="str">
        <f>"2019-11-11 20:08:33"</f>
        <v>2019-11-11 20:08:33</v>
      </c>
      <c r="M13515" s="1" t="s">
        <v>0</v>
      </c>
      <c r="N13515" s="1" t="s">
        <v>38</v>
      </c>
      <c r="O13515" s="1" t="s">
        <v>46</v>
      </c>
    </row>
    <row r="13516" spans="2:15" x14ac:dyDescent="0.3">
      <c r="B13516" s="1" t="s">
        <v>20</v>
      </c>
      <c r="C13516" s="1" t="str">
        <f>"3차"</f>
        <v>3차</v>
      </c>
      <c r="D13516" s="1" t="str">
        <f>"9924F91239"</f>
        <v>9924F91239</v>
      </c>
      <c r="E13516" s="1" t="s">
        <v>10</v>
      </c>
      <c r="F13516" s="1" t="str">
        <f>"10.10.38.18"</f>
        <v>10.10.38.18</v>
      </c>
      <c r="G13516" s="1" t="str">
        <f>"9924F912"</f>
        <v>9924F912</v>
      </c>
      <c r="H13516" s="1" t="str">
        <f>"관광간 46"</f>
        <v>관광간 46</v>
      </c>
      <c r="I13516" s="1" t="s">
        <v>8</v>
      </c>
      <c r="J13516" s="1" t="str">
        <f>"10/10"</f>
        <v>10/10</v>
      </c>
      <c r="K13516" s="1" t="str">
        <f>"2026-07-29 13:18:13"</f>
        <v>2026-07-29 13:18:13</v>
      </c>
      <c r="L13516" s="1" t="str">
        <f>"2018-03-28 15:08:28"</f>
        <v>2018-03-28 15:08:28</v>
      </c>
      <c r="M13516" s="1" t="s">
        <v>1</v>
      </c>
      <c r="N13516" s="1" t="s">
        <v>38</v>
      </c>
      <c r="O13516" s="1" t="s">
        <v>46</v>
      </c>
    </row>
    <row r="13517" spans="2:15" x14ac:dyDescent="0.3">
      <c r="B13517" s="1" t="s">
        <v>20</v>
      </c>
      <c r="C13517" s="1" t="str">
        <f>"3차"</f>
        <v>3차</v>
      </c>
      <c r="D13517" s="1" t="str">
        <f>"9924F91439"</f>
        <v>9924F91439</v>
      </c>
      <c r="E13517" s="1" t="s">
        <v>10</v>
      </c>
      <c r="F13517" s="1" t="str">
        <f>"10.10.35.146"</f>
        <v>10.10.35.146</v>
      </c>
      <c r="G13517" s="1" t="str">
        <f>"9924F914"</f>
        <v>9924F914</v>
      </c>
      <c r="H13517" s="1" t="str">
        <f>"관광간 46AL1"</f>
        <v>관광간 46AL1</v>
      </c>
      <c r="I13517" s="1" t="s">
        <v>8</v>
      </c>
      <c r="J13517" s="1" t="str">
        <f>"11/11"</f>
        <v>11/11</v>
      </c>
      <c r="K13517" s="1" t="str">
        <f>"2026-07-29 13:18:13"</f>
        <v>2026-07-29 13:18:13</v>
      </c>
      <c r="L13517" s="1" t="str">
        <f>"2018-01-08 16:55:14"</f>
        <v>2018-01-08 16:55:14</v>
      </c>
      <c r="M13517" s="1" t="s">
        <v>1</v>
      </c>
      <c r="N13517" s="1" t="s">
        <v>38</v>
      </c>
      <c r="O13517" s="1" t="s">
        <v>46</v>
      </c>
    </row>
    <row r="13518" spans="2:15" x14ac:dyDescent="0.3">
      <c r="B13518" s="1" t="s">
        <v>20</v>
      </c>
      <c r="C13518" s="1" t="str">
        <f>"3차"</f>
        <v>3차</v>
      </c>
      <c r="D13518" s="1" t="str">
        <f>"9924F92139"</f>
        <v>9924F92139</v>
      </c>
      <c r="E13518" s="1" t="s">
        <v>10</v>
      </c>
      <c r="F13518" s="1" t="str">
        <f>"10.10.38.42"</f>
        <v>10.10.38.42</v>
      </c>
      <c r="G13518" s="1" t="str">
        <f>"9924F921"</f>
        <v>9924F921</v>
      </c>
      <c r="H13518" s="1" t="str">
        <f>"관광간 47"</f>
        <v>관광간 47</v>
      </c>
      <c r="I13518" s="1" t="s">
        <v>8</v>
      </c>
      <c r="J13518" s="1" t="str">
        <f>"52/58"</f>
        <v>52/58</v>
      </c>
      <c r="K13518" s="1" t="str">
        <f>"2026-07-29 13:18:13"</f>
        <v>2026-07-29 13:18:13</v>
      </c>
      <c r="L13518" s="1" t="str">
        <f>"2018-01-09 13:43:27"</f>
        <v>2018-01-09 13:43:27</v>
      </c>
      <c r="M13518" s="1" t="s">
        <v>1</v>
      </c>
      <c r="N13518" s="1" t="s">
        <v>38</v>
      </c>
      <c r="O13518" s="1" t="s">
        <v>46</v>
      </c>
    </row>
    <row r="13519" spans="2:15" x14ac:dyDescent="0.3">
      <c r="B13519" s="1" t="s">
        <v>20</v>
      </c>
      <c r="C13519" s="1" t="str">
        <f t="shared" ref="C13519:C13524" si="686">"4차"</f>
        <v>4차</v>
      </c>
      <c r="D13519" s="1" t="str">
        <f>"9924F97139"</f>
        <v>9924F97139</v>
      </c>
      <c r="E13519" s="1" t="s">
        <v>10</v>
      </c>
      <c r="F13519" s="1" t="str">
        <f>"10.12.134.223"</f>
        <v>10.12.134.223</v>
      </c>
      <c r="G13519" s="1" t="str">
        <f>"9924F971"</f>
        <v>9924F971</v>
      </c>
      <c r="H13519" s="1" t="str">
        <f>"반포로 R22T"</f>
        <v>반포로 R22T</v>
      </c>
      <c r="I13519" s="1" t="s">
        <v>17</v>
      </c>
      <c r="J13519" s="1" t="str">
        <f>"13/13"</f>
        <v>13/13</v>
      </c>
      <c r="K13519" s="1" t="str">
        <f>"2026-07-29 13:18:12"</f>
        <v>2026-07-29 13:18:12</v>
      </c>
      <c r="L13519" s="1" t="str">
        <f>"2018-05-14 14:26:57"</f>
        <v>2018-05-14 14:26:57</v>
      </c>
      <c r="M13519" s="1" t="s">
        <v>0</v>
      </c>
      <c r="N13519" s="1" t="s">
        <v>38</v>
      </c>
      <c r="O13519" s="1" t="s">
        <v>46</v>
      </c>
    </row>
    <row r="13520" spans="2:15" x14ac:dyDescent="0.3">
      <c r="B13520" s="1" t="s">
        <v>20</v>
      </c>
      <c r="C13520" s="1" t="str">
        <f t="shared" si="686"/>
        <v>4차</v>
      </c>
      <c r="D13520" s="1" t="str">
        <f>"9924F98139"</f>
        <v>9924F98139</v>
      </c>
      <c r="E13520" s="1" t="s">
        <v>10</v>
      </c>
      <c r="F13520" s="1" t="str">
        <f>"10.14.2.120"</f>
        <v>10.14.2.120</v>
      </c>
      <c r="G13520" s="1" t="str">
        <f>"9924F981"</f>
        <v>9924F981</v>
      </c>
      <c r="H13520" s="1" t="str">
        <f>"반포로 R21"</f>
        <v>반포로 R21</v>
      </c>
      <c r="I13520" s="1" t="s">
        <v>17</v>
      </c>
      <c r="J13520" s="1" t="str">
        <f>"8/8"</f>
        <v>8/8</v>
      </c>
      <c r="K13520" s="1" t="str">
        <f>"2026-07-29 13:18:02"</f>
        <v>2026-07-29 13:18:02</v>
      </c>
      <c r="L13520" s="1" t="str">
        <f>"2018-05-14 14:44:15"</f>
        <v>2018-05-14 14:44:15</v>
      </c>
      <c r="M13520" s="1" t="s">
        <v>3</v>
      </c>
      <c r="N13520" s="1" t="s">
        <v>38</v>
      </c>
      <c r="O13520" s="1" t="s">
        <v>46</v>
      </c>
    </row>
    <row r="13521" spans="2:15" x14ac:dyDescent="0.3">
      <c r="B13521" s="1" t="s">
        <v>20</v>
      </c>
      <c r="C13521" s="1" t="str">
        <f t="shared" si="686"/>
        <v>4차</v>
      </c>
      <c r="D13521" s="1" t="str">
        <f>"9924F99139"</f>
        <v>9924F99139</v>
      </c>
      <c r="E13521" s="1" t="s">
        <v>10</v>
      </c>
      <c r="F13521" s="1" t="str">
        <f>"10.12.135.12"</f>
        <v>10.12.135.12</v>
      </c>
      <c r="G13521" s="1" t="str">
        <f>"9924F991"</f>
        <v>9924F991</v>
      </c>
      <c r="H13521" s="1" t="str">
        <f>"반포로 R20"</f>
        <v>반포로 R20</v>
      </c>
      <c r="I13521" s="1" t="s">
        <v>17</v>
      </c>
      <c r="J13521" s="1" t="str">
        <f>"19/19"</f>
        <v>19/19</v>
      </c>
      <c r="K13521" s="1" t="str">
        <f>"2026-07-29 13:18:13"</f>
        <v>2026-07-29 13:18:13</v>
      </c>
      <c r="L13521" s="1" t="str">
        <f>"2018-05-14 15:01:58"</f>
        <v>2018-05-14 15:01:58</v>
      </c>
      <c r="M13521" s="1" t="s">
        <v>0</v>
      </c>
      <c r="N13521" s="1" t="s">
        <v>38</v>
      </c>
      <c r="O13521" s="1" t="s">
        <v>46</v>
      </c>
    </row>
    <row r="13522" spans="2:15" x14ac:dyDescent="0.3">
      <c r="B13522" s="1" t="s">
        <v>20</v>
      </c>
      <c r="C13522" s="1" t="str">
        <f t="shared" si="686"/>
        <v>4차</v>
      </c>
      <c r="D13522" s="1" t="str">
        <f>"9924H55139"</f>
        <v>9924H55139</v>
      </c>
      <c r="E13522" s="1" t="s">
        <v>10</v>
      </c>
      <c r="F13522" s="1" t="str">
        <f>"10.12.135.26"</f>
        <v>10.12.135.26</v>
      </c>
      <c r="G13522" s="1" t="str">
        <f>"9924H551"</f>
        <v>9924H551</v>
      </c>
      <c r="H13522" s="1" t="str">
        <f>"반포로 R14"</f>
        <v>반포로 R14</v>
      </c>
      <c r="I13522" s="1" t="s">
        <v>17</v>
      </c>
      <c r="J13522" s="1" t="str">
        <f>"2/3"</f>
        <v>2/3</v>
      </c>
      <c r="K13522" s="1" t="str">
        <f>"2026-07-29 13:18:13"</f>
        <v>2026-07-29 13:18:13</v>
      </c>
      <c r="L13522" s="1" t="str">
        <f>"2018-05-14 11:45:26"</f>
        <v>2018-05-14 11:45:26</v>
      </c>
      <c r="M13522" s="1" t="s">
        <v>0</v>
      </c>
      <c r="N13522" s="1" t="s">
        <v>38</v>
      </c>
      <c r="O13522" s="1" t="s">
        <v>46</v>
      </c>
    </row>
    <row r="13523" spans="2:15" x14ac:dyDescent="0.3">
      <c r="B13523" s="1" t="s">
        <v>20</v>
      </c>
      <c r="C13523" s="1" t="str">
        <f t="shared" si="686"/>
        <v>4차</v>
      </c>
      <c r="D13523" s="1" t="str">
        <f>"9924H58139"</f>
        <v>9924H58139</v>
      </c>
      <c r="E13523" s="1" t="s">
        <v>10</v>
      </c>
      <c r="F13523" s="1" t="str">
        <f>"10.12.135.25"</f>
        <v>10.12.135.25</v>
      </c>
      <c r="G13523" s="1" t="str">
        <f>"9924H581"</f>
        <v>9924H581</v>
      </c>
      <c r="H13523" s="1" t="str">
        <f>"반포로 R16"</f>
        <v>반포로 R16</v>
      </c>
      <c r="I13523" s="1" t="s">
        <v>17</v>
      </c>
      <c r="J13523" s="1" t="str">
        <f>"9/9"</f>
        <v>9/9</v>
      </c>
      <c r="K13523" s="1" t="str">
        <f>"2026-07-29 13:18:13"</f>
        <v>2026-07-29 13:18:13</v>
      </c>
      <c r="L13523" s="1" t="str">
        <f>"2018-05-14 12:09:27"</f>
        <v>2018-05-14 12:09:27</v>
      </c>
      <c r="M13523" s="1" t="s">
        <v>0</v>
      </c>
      <c r="N13523" s="1" t="s">
        <v>38</v>
      </c>
      <c r="O13523" s="1" t="s">
        <v>46</v>
      </c>
    </row>
    <row r="13524" spans="2:15" x14ac:dyDescent="0.3">
      <c r="B13524" s="1" t="s">
        <v>20</v>
      </c>
      <c r="C13524" s="1" t="str">
        <f t="shared" si="686"/>
        <v>4차</v>
      </c>
      <c r="D13524" s="1" t="str">
        <f>"9924H70145"</f>
        <v>9924H70145</v>
      </c>
      <c r="E13524" s="1" t="s">
        <v>10</v>
      </c>
      <c r="F13524" s="1" t="str">
        <f>"10.12.131.17"</f>
        <v>10.12.131.17</v>
      </c>
      <c r="G13524" s="1" t="str">
        <f>"9924H701"</f>
        <v>9924H701</v>
      </c>
      <c r="H13524" s="1" t="str">
        <f>"반포로 R13"</f>
        <v>반포로 R13</v>
      </c>
      <c r="I13524" s="1" t="s">
        <v>17</v>
      </c>
      <c r="J13524" s="1" t="str">
        <f>"37/37"</f>
        <v>37/37</v>
      </c>
      <c r="K13524" s="1" t="str">
        <f>"2026-07-29 13:18:13"</f>
        <v>2026-07-29 13:18:13</v>
      </c>
      <c r="L13524" s="1" t="str">
        <f>"2024-04-16 17:57:55"</f>
        <v>2024-04-16 17:57:55</v>
      </c>
      <c r="M13524" s="1" t="s">
        <v>0</v>
      </c>
      <c r="N13524" s="1" t="s">
        <v>38</v>
      </c>
      <c r="O13524" s="1" t="s">
        <v>46</v>
      </c>
    </row>
    <row r="13525" spans="2:15" x14ac:dyDescent="0.3">
      <c r="B13525" s="1" t="s">
        <v>20</v>
      </c>
      <c r="C13525" s="1" t="str">
        <f>"1차"</f>
        <v>1차</v>
      </c>
      <c r="D13525" s="1" t="str">
        <f>"9924H71500"</f>
        <v>9924H71500</v>
      </c>
      <c r="E13525" s="1" t="s">
        <v>10</v>
      </c>
      <c r="F13525" s="1" t="str">
        <f>"10.125.227.58"</f>
        <v>10.125.227.58</v>
      </c>
      <c r="G13525" s="1" t="str">
        <f>"9924H715"</f>
        <v>9924H715</v>
      </c>
      <c r="H13525" s="1" t="str">
        <f>"관광간 46L24"</f>
        <v>관광간 46L24</v>
      </c>
      <c r="I13525" s="1" t="s">
        <v>8</v>
      </c>
      <c r="J13525" s="1" t="str">
        <f>"48/48"</f>
        <v>48/48</v>
      </c>
      <c r="K13525" s="1" t="str">
        <f>"2026-07-29 13:18:10"</f>
        <v>2026-07-29 13:18:10</v>
      </c>
      <c r="L13525" s="1" t="str">
        <f>"2014-10-19 00:13:48"</f>
        <v>2014-10-19 00:13:48</v>
      </c>
      <c r="M13525" s="1" t="s">
        <v>45</v>
      </c>
      <c r="N13525" s="1" t="s">
        <v>38</v>
      </c>
      <c r="O13525" s="1" t="s">
        <v>46</v>
      </c>
    </row>
    <row r="13526" spans="2:15" x14ac:dyDescent="0.3">
      <c r="B13526" s="1" t="s">
        <v>20</v>
      </c>
      <c r="C13526" s="1" t="s">
        <v>16</v>
      </c>
      <c r="D13526" s="1" t="str">
        <f>"9924H76342"</f>
        <v>9924H76342</v>
      </c>
      <c r="E13526" s="1" t="s">
        <v>10</v>
      </c>
      <c r="F13526" s="1" t="str">
        <f>"10.12.132.200"</f>
        <v>10.12.132.200</v>
      </c>
      <c r="G13526" s="1" t="str">
        <f>"9924H763"</f>
        <v>9924H763</v>
      </c>
      <c r="H13526" s="1" t="str">
        <f>"관광간 46L11H1"</f>
        <v>관광간 46L11H1</v>
      </c>
      <c r="I13526" s="1" t="s">
        <v>8</v>
      </c>
      <c r="J13526" s="1" t="str">
        <f>"20/23"</f>
        <v>20/23</v>
      </c>
      <c r="K13526" s="1" t="str">
        <f>"2026-07-29 13:18:13"</f>
        <v>2026-07-29 13:18:13</v>
      </c>
      <c r="L13526" s="1" t="str">
        <f>"2025-01-22 13:33:08"</f>
        <v>2025-01-22 13:33:08</v>
      </c>
      <c r="M13526" s="1" t="s">
        <v>0</v>
      </c>
      <c r="N13526" s="1" t="s">
        <v>38</v>
      </c>
      <c r="O13526" s="1" t="s">
        <v>46</v>
      </c>
    </row>
    <row r="13527" spans="2:15" x14ac:dyDescent="0.3">
      <c r="B13527" s="1" t="s">
        <v>20</v>
      </c>
      <c r="C13527" s="1" t="str">
        <f>"1차"</f>
        <v>1차</v>
      </c>
      <c r="D13527" s="1" t="str">
        <f>"9924H76400"</f>
        <v>9924H76400</v>
      </c>
      <c r="E13527" s="1" t="s">
        <v>10</v>
      </c>
      <c r="F13527" s="1" t="str">
        <f>"10.125.227.26"</f>
        <v>10.125.227.26</v>
      </c>
      <c r="G13527" s="1" t="str">
        <f>"9924H764"</f>
        <v>9924H764</v>
      </c>
      <c r="H13527" s="1" t="str">
        <f>"관광간 46L10"</f>
        <v>관광간 46L10</v>
      </c>
      <c r="I13527" s="1" t="s">
        <v>8</v>
      </c>
      <c r="J13527" s="1" t="str">
        <f>"49/49"</f>
        <v>49/49</v>
      </c>
      <c r="K13527" s="1" t="str">
        <f>"2026-07-29 13:18:10"</f>
        <v>2026-07-29 13:18:10</v>
      </c>
      <c r="L13527" s="1" t="str">
        <f>"2014-11-28 00:14:24"</f>
        <v>2014-11-28 00:14:24</v>
      </c>
      <c r="M13527" s="1" t="s">
        <v>45</v>
      </c>
      <c r="N13527" s="1" t="s">
        <v>38</v>
      </c>
      <c r="O13527" s="1" t="s">
        <v>46</v>
      </c>
    </row>
    <row r="13528" spans="2:15" x14ac:dyDescent="0.3">
      <c r="B13528" s="1" t="s">
        <v>20</v>
      </c>
      <c r="C13528" s="1" t="str">
        <f>"1차"</f>
        <v>1차</v>
      </c>
      <c r="D13528" s="1" t="str">
        <f>"9924H81301"</f>
        <v>9924H81301</v>
      </c>
      <c r="E13528" s="1" t="s">
        <v>10</v>
      </c>
      <c r="F13528" s="1" t="str">
        <f>"10.125.239.2"</f>
        <v>10.125.239.2</v>
      </c>
      <c r="G13528" s="1" t="str">
        <f>"9924H813"</f>
        <v>9924H813</v>
      </c>
      <c r="H13528" s="1" t="str">
        <f>"관광간 46L23L2"</f>
        <v>관광간 46L23L2</v>
      </c>
      <c r="I13528" s="1" t="s">
        <v>8</v>
      </c>
      <c r="J13528" s="1" t="str">
        <f>"31/32"</f>
        <v>31/32</v>
      </c>
      <c r="K13528" s="1" t="str">
        <f>"2026-07-29 13:18:10"</f>
        <v>2026-07-29 13:18:10</v>
      </c>
      <c r="L13528" s="1" t="str">
        <f>"2015-01-09 15:27:26"</f>
        <v>2015-01-09 15:27:26</v>
      </c>
      <c r="M13528" s="1" t="s">
        <v>45</v>
      </c>
      <c r="N13528" s="1" t="s">
        <v>38</v>
      </c>
      <c r="O13528" s="1" t="s">
        <v>46</v>
      </c>
    </row>
    <row r="13529" spans="2:15" x14ac:dyDescent="0.3">
      <c r="B13529" s="1" t="s">
        <v>20</v>
      </c>
      <c r="C13529" s="1" t="str">
        <f>"1차"</f>
        <v>1차</v>
      </c>
      <c r="D13529" s="1" t="str">
        <f>"9924H81500"</f>
        <v>9924H81500</v>
      </c>
      <c r="E13529" s="1" t="s">
        <v>10</v>
      </c>
      <c r="F13529" s="1" t="str">
        <f>"10.14.13.190"</f>
        <v>10.14.13.190</v>
      </c>
      <c r="G13529" s="1" t="str">
        <f>"9924H815"</f>
        <v>9924H815</v>
      </c>
      <c r="H13529" s="1" t="str">
        <f>"관광간 46L23L1"</f>
        <v>관광간 46L23L1</v>
      </c>
      <c r="I13529" s="1" t="s">
        <v>8</v>
      </c>
      <c r="J13529" s="1" t="str">
        <f>"27/27"</f>
        <v>27/27</v>
      </c>
      <c r="K13529" s="1" t="str">
        <f>"2026-07-29 13:18:02"</f>
        <v>2026-07-29 13:18:02</v>
      </c>
      <c r="L13529" s="1" t="str">
        <f>"2021-11-26 16:41:16"</f>
        <v>2021-11-26 16:41:16</v>
      </c>
      <c r="M13529" s="1" t="s">
        <v>3</v>
      </c>
      <c r="N13529" s="1" t="s">
        <v>38</v>
      </c>
      <c r="O13529" s="1" t="s">
        <v>46</v>
      </c>
    </row>
    <row r="13530" spans="2:15" x14ac:dyDescent="0.3">
      <c r="B13530" s="1" t="s">
        <v>20</v>
      </c>
      <c r="C13530" s="1" t="str">
        <f>"4차"</f>
        <v>4차</v>
      </c>
      <c r="D13530" s="1" t="str">
        <f>"9924H82231"</f>
        <v>9924H82231</v>
      </c>
      <c r="E13530" s="1" t="s">
        <v>10</v>
      </c>
      <c r="F13530" s="1" t="str">
        <f>"10.10.38.227"</f>
        <v>10.10.38.227</v>
      </c>
      <c r="G13530" s="1" t="str">
        <f>"9924H822"</f>
        <v>9924H822</v>
      </c>
      <c r="H13530" s="1" t="str">
        <f>"관광간 46L21"</f>
        <v>관광간 46L21</v>
      </c>
      <c r="I13530" s="1" t="s">
        <v>8</v>
      </c>
      <c r="J13530" s="1" t="str">
        <f>"17/17"</f>
        <v>17/17</v>
      </c>
      <c r="K13530" s="1" t="str">
        <f t="shared" ref="K13530:K13535" si="687">"2026-07-29 13:18:10"</f>
        <v>2026-07-29 13:18:10</v>
      </c>
      <c r="L13530" s="1" t="str">
        <f>"2018-03-14 17:40:27"</f>
        <v>2018-03-14 17:40:27</v>
      </c>
      <c r="M13530" s="1" t="s">
        <v>1</v>
      </c>
      <c r="N13530" s="1" t="s">
        <v>38</v>
      </c>
      <c r="O13530" s="1" t="s">
        <v>46</v>
      </c>
    </row>
    <row r="13531" spans="2:15" x14ac:dyDescent="0.3">
      <c r="B13531" s="1" t="s">
        <v>20</v>
      </c>
      <c r="C13531" s="1" t="str">
        <f>"3차"</f>
        <v>3차</v>
      </c>
      <c r="D13531" s="1" t="str">
        <f>"9924H83430"</f>
        <v>9924H83430</v>
      </c>
      <c r="E13531" s="1" t="s">
        <v>10</v>
      </c>
      <c r="F13531" s="1" t="str">
        <f>"10.10.38.226"</f>
        <v>10.10.38.226</v>
      </c>
      <c r="G13531" s="1" t="str">
        <f>"9924H834"</f>
        <v>9924H834</v>
      </c>
      <c r="H13531" s="1" t="str">
        <f>"관광간 46L19"</f>
        <v>관광간 46L19</v>
      </c>
      <c r="I13531" s="1" t="s">
        <v>8</v>
      </c>
      <c r="J13531" s="1" t="str">
        <f>"39/43"</f>
        <v>39/43</v>
      </c>
      <c r="K13531" s="1" t="str">
        <f t="shared" si="687"/>
        <v>2026-07-29 13:18:10</v>
      </c>
      <c r="L13531" s="1" t="str">
        <f>"2018-01-10 16:58:12"</f>
        <v>2018-01-10 16:58:12</v>
      </c>
      <c r="M13531" s="1" t="s">
        <v>1</v>
      </c>
      <c r="N13531" s="1" t="s">
        <v>38</v>
      </c>
      <c r="O13531" s="1" t="s">
        <v>46</v>
      </c>
    </row>
    <row r="13532" spans="2:15" x14ac:dyDescent="0.3">
      <c r="B13532" s="1" t="s">
        <v>20</v>
      </c>
      <c r="C13532" s="1" t="str">
        <f>"4차"</f>
        <v>4차</v>
      </c>
      <c r="D13532" s="1" t="str">
        <f>"9924H84131"</f>
        <v>9924H84131</v>
      </c>
      <c r="E13532" s="1" t="s">
        <v>10</v>
      </c>
      <c r="F13532" s="1" t="str">
        <f>"10.10.38.219"</f>
        <v>10.10.38.219</v>
      </c>
      <c r="G13532" s="1" t="str">
        <f>"9924H841"</f>
        <v>9924H841</v>
      </c>
      <c r="H13532" s="1" t="str">
        <f>"관광간 46L15R1"</f>
        <v>관광간 46L15R1</v>
      </c>
      <c r="I13532" s="1" t="s">
        <v>8</v>
      </c>
      <c r="J13532" s="1" t="str">
        <f>"8/10"</f>
        <v>8/10</v>
      </c>
      <c r="K13532" s="1" t="str">
        <f t="shared" si="687"/>
        <v>2026-07-29 13:18:10</v>
      </c>
      <c r="L13532" s="1" t="str">
        <f>"2018-03-14 16:48:14"</f>
        <v>2018-03-14 16:48:14</v>
      </c>
      <c r="M13532" s="1" t="s">
        <v>1</v>
      </c>
      <c r="N13532" s="1" t="s">
        <v>38</v>
      </c>
      <c r="O13532" s="1" t="s">
        <v>46</v>
      </c>
    </row>
    <row r="13533" spans="2:15" x14ac:dyDescent="0.3">
      <c r="B13533" s="1" t="s">
        <v>20</v>
      </c>
      <c r="C13533" s="1" t="str">
        <f>"3차"</f>
        <v>3차</v>
      </c>
      <c r="D13533" s="1" t="str">
        <f>"9924H84339"</f>
        <v>9924H84339</v>
      </c>
      <c r="E13533" s="1" t="s">
        <v>10</v>
      </c>
      <c r="F13533" s="1" t="str">
        <f>"10.125.239.162"</f>
        <v>10.125.239.162</v>
      </c>
      <c r="G13533" s="1" t="str">
        <f>"9924H843"</f>
        <v>9924H843</v>
      </c>
      <c r="H13533" s="1" t="str">
        <f>"관광간 46L17"</f>
        <v>관광간 46L17</v>
      </c>
      <c r="I13533" s="1" t="s">
        <v>8</v>
      </c>
      <c r="J13533" s="1" t="str">
        <f>"16/16"</f>
        <v>16/16</v>
      </c>
      <c r="K13533" s="1" t="str">
        <f t="shared" si="687"/>
        <v>2026-07-29 13:18:10</v>
      </c>
      <c r="L13533" s="1" t="str">
        <f>"2018-03-31 09:26:55"</f>
        <v>2018-03-31 09:26:55</v>
      </c>
      <c r="M13533" s="1" t="s">
        <v>45</v>
      </c>
      <c r="N13533" s="1" t="s">
        <v>38</v>
      </c>
      <c r="O13533" s="1" t="s">
        <v>46</v>
      </c>
    </row>
    <row r="13534" spans="2:15" x14ac:dyDescent="0.3">
      <c r="B13534" s="1" t="s">
        <v>20</v>
      </c>
      <c r="C13534" s="1" t="str">
        <f>"3차"</f>
        <v>3차</v>
      </c>
      <c r="D13534" s="1" t="str">
        <f>"9924H85230"</f>
        <v>9924H85230</v>
      </c>
      <c r="E13534" s="1" t="s">
        <v>10</v>
      </c>
      <c r="F13534" s="1" t="str">
        <f>"10.10.38.218"</f>
        <v>10.10.38.218</v>
      </c>
      <c r="G13534" s="1" t="str">
        <f>"9924H852"</f>
        <v>9924H852</v>
      </c>
      <c r="H13534" s="1" t="str">
        <f>"관광간 46L15"</f>
        <v>관광간 46L15</v>
      </c>
      <c r="I13534" s="1" t="s">
        <v>8</v>
      </c>
      <c r="J13534" s="1" t="str">
        <f>"55/57"</f>
        <v>55/57</v>
      </c>
      <c r="K13534" s="1" t="str">
        <f t="shared" si="687"/>
        <v>2026-07-29 13:18:10</v>
      </c>
      <c r="L13534" s="1" t="str">
        <f>"2018-01-08 17:28:59"</f>
        <v>2018-01-08 17:28:59</v>
      </c>
      <c r="M13534" s="1" t="s">
        <v>1</v>
      </c>
      <c r="N13534" s="1" t="s">
        <v>38</v>
      </c>
      <c r="O13534" s="1" t="s">
        <v>46</v>
      </c>
    </row>
    <row r="13535" spans="2:15" x14ac:dyDescent="0.3">
      <c r="B13535" s="1" t="s">
        <v>20</v>
      </c>
      <c r="C13535" s="1" t="str">
        <f>"1차"</f>
        <v>1차</v>
      </c>
      <c r="D13535" s="1" t="str">
        <f>"9924H85300"</f>
        <v>9924H85300</v>
      </c>
      <c r="E13535" s="1" t="s">
        <v>10</v>
      </c>
      <c r="F13535" s="1" t="str">
        <f>"10.125.227.42"</f>
        <v>10.125.227.42</v>
      </c>
      <c r="G13535" s="1" t="str">
        <f>"9924H853"</f>
        <v>9924H853</v>
      </c>
      <c r="H13535" s="1" t="str">
        <f>"관광간 46L16"</f>
        <v>관광간 46L16</v>
      </c>
      <c r="I13535" s="1" t="s">
        <v>8</v>
      </c>
      <c r="J13535" s="1" t="str">
        <f>"17/22"</f>
        <v>17/22</v>
      </c>
      <c r="K13535" s="1" t="str">
        <f t="shared" si="687"/>
        <v>2026-07-29 13:18:10</v>
      </c>
      <c r="L13535" s="1" t="str">
        <f>"2014-11-27 12:34:23"</f>
        <v>2014-11-27 12:34:23</v>
      </c>
      <c r="M13535" s="1" t="s">
        <v>45</v>
      </c>
      <c r="N13535" s="1" t="s">
        <v>38</v>
      </c>
      <c r="O13535" s="1" t="s">
        <v>46</v>
      </c>
    </row>
    <row r="13536" spans="2:15" x14ac:dyDescent="0.3">
      <c r="B13536" s="1" t="s">
        <v>20</v>
      </c>
      <c r="C13536" s="1" t="str">
        <f>"1차"</f>
        <v>1차</v>
      </c>
      <c r="D13536" s="1" t="str">
        <f>"9924H85601"</f>
        <v>9924H85601</v>
      </c>
      <c r="E13536" s="1" t="s">
        <v>10</v>
      </c>
      <c r="F13536" s="1" t="str">
        <f>"10.12.129.13"</f>
        <v>10.12.129.13</v>
      </c>
      <c r="G13536" s="1" t="str">
        <f>"9924H856"</f>
        <v>9924H856</v>
      </c>
      <c r="H13536" s="1" t="str">
        <f>"관광간 46L16L1"</f>
        <v>관광간 46L16L1</v>
      </c>
      <c r="I13536" s="1" t="s">
        <v>8</v>
      </c>
      <c r="J13536" s="1" t="str">
        <f>"34/34"</f>
        <v>34/34</v>
      </c>
      <c r="K13536" s="1" t="str">
        <f>"2026-07-29 13:18:12"</f>
        <v>2026-07-29 13:18:12</v>
      </c>
      <c r="L13536" s="1" t="str">
        <f>"2014-11-27 12:53:12"</f>
        <v>2014-11-27 12:53:12</v>
      </c>
      <c r="M13536" s="1" t="s">
        <v>0</v>
      </c>
      <c r="N13536" s="1" t="s">
        <v>38</v>
      </c>
      <c r="O13536" s="1" t="s">
        <v>46</v>
      </c>
    </row>
    <row r="13537" spans="2:15" x14ac:dyDescent="0.3">
      <c r="B13537" s="1" t="s">
        <v>20</v>
      </c>
      <c r="C13537" s="1" t="str">
        <f>"1차"</f>
        <v>1차</v>
      </c>
      <c r="D13537" s="1" t="str">
        <f>"9924H86101"</f>
        <v>9924H86101</v>
      </c>
      <c r="E13537" s="1" t="s">
        <v>10</v>
      </c>
      <c r="F13537" s="1" t="str">
        <f>"10.125.227.28"</f>
        <v>10.125.227.28</v>
      </c>
      <c r="G13537" s="1" t="str">
        <f>"9924H861"</f>
        <v>9924H861</v>
      </c>
      <c r="H13537" s="1" t="str">
        <f>"관광간 46L9"</f>
        <v>관광간 46L9</v>
      </c>
      <c r="I13537" s="1" t="s">
        <v>8</v>
      </c>
      <c r="J13537" s="1" t="str">
        <f>"5/5"</f>
        <v>5/5</v>
      </c>
      <c r="K13537" s="1" t="str">
        <f>"2026-07-29 13:18:10"</f>
        <v>2026-07-29 13:18:10</v>
      </c>
      <c r="L13537" s="1" t="str">
        <f>"2014-12-01 10:54:40"</f>
        <v>2014-12-01 10:54:40</v>
      </c>
      <c r="M13537" s="1" t="s">
        <v>45</v>
      </c>
      <c r="N13537" s="1" t="s">
        <v>38</v>
      </c>
      <c r="O13537" s="1" t="s">
        <v>46</v>
      </c>
    </row>
    <row r="13538" spans="2:15" x14ac:dyDescent="0.3">
      <c r="B13538" s="1" t="s">
        <v>20</v>
      </c>
      <c r="C13538" s="1" t="str">
        <f>"3차"</f>
        <v>3차</v>
      </c>
      <c r="D13538" s="1" t="str">
        <f>"9924H87139"</f>
        <v>9924H87139</v>
      </c>
      <c r="E13538" s="1" t="s">
        <v>10</v>
      </c>
      <c r="F13538" s="1" t="str">
        <f>"10.10.38.250"</f>
        <v>10.10.38.250</v>
      </c>
      <c r="G13538" s="1" t="str">
        <f>"9924H871"</f>
        <v>9924H871</v>
      </c>
      <c r="H13538" s="1" t="str">
        <f>"관광간 46L8"</f>
        <v>관광간 46L8</v>
      </c>
      <c r="I13538" s="1" t="s">
        <v>8</v>
      </c>
      <c r="J13538" s="1" t="str">
        <f>"24/24"</f>
        <v>24/24</v>
      </c>
      <c r="K13538" s="1" t="str">
        <f>"2026-07-29 13:18:10"</f>
        <v>2026-07-29 13:18:10</v>
      </c>
      <c r="L13538" s="1" t="str">
        <f>"2018-01-09 11:42:42"</f>
        <v>2018-01-09 11:42:42</v>
      </c>
      <c r="M13538" s="1" t="s">
        <v>1</v>
      </c>
      <c r="N13538" s="1" t="s">
        <v>38</v>
      </c>
      <c r="O13538" s="1" t="s">
        <v>46</v>
      </c>
    </row>
    <row r="13539" spans="2:15" x14ac:dyDescent="0.3">
      <c r="B13539" s="1" t="s">
        <v>20</v>
      </c>
      <c r="C13539" s="1" t="str">
        <f>"4차"</f>
        <v>4차</v>
      </c>
      <c r="D13539" s="1" t="str">
        <f>"9924H89139"</f>
        <v>9924H89139</v>
      </c>
      <c r="E13539" s="1" t="s">
        <v>10</v>
      </c>
      <c r="F13539" s="1" t="str">
        <f>"10.10.38.234"</f>
        <v>10.10.38.234</v>
      </c>
      <c r="G13539" s="1" t="str">
        <f>"9924H891"</f>
        <v>9924H891</v>
      </c>
      <c r="H13539" s="1" t="str">
        <f>"관광간 46L6"</f>
        <v>관광간 46L6</v>
      </c>
      <c r="I13539" s="1" t="s">
        <v>8</v>
      </c>
      <c r="J13539" s="1" t="str">
        <f>"15/15"</f>
        <v>15/15</v>
      </c>
      <c r="K13539" s="1" t="str">
        <f>"2026-07-29 13:18:10"</f>
        <v>2026-07-29 13:18:10</v>
      </c>
      <c r="L13539" s="1" t="str">
        <f>"2018-01-09 11:24:56"</f>
        <v>2018-01-09 11:24:56</v>
      </c>
      <c r="M13539" s="1" t="s">
        <v>1</v>
      </c>
      <c r="N13539" s="1" t="s">
        <v>38</v>
      </c>
      <c r="O13539" s="1" t="s">
        <v>46</v>
      </c>
    </row>
    <row r="13540" spans="2:15" x14ac:dyDescent="0.3">
      <c r="B13540" s="1" t="s">
        <v>20</v>
      </c>
      <c r="C13540" s="1" t="str">
        <f>"4차"</f>
        <v>4차</v>
      </c>
      <c r="D13540" s="1" t="str">
        <f>"9924H90139"</f>
        <v>9924H90139</v>
      </c>
      <c r="E13540" s="1" t="s">
        <v>10</v>
      </c>
      <c r="F13540" s="1" t="str">
        <f>"10.12.132.254"</f>
        <v>10.12.132.254</v>
      </c>
      <c r="G13540" s="1" t="str">
        <f>"9924H901"</f>
        <v>9924H901</v>
      </c>
      <c r="H13540" s="1" t="str">
        <f>"이태원로 4"</f>
        <v>이태원로 4</v>
      </c>
      <c r="I13540" s="1" t="s">
        <v>17</v>
      </c>
      <c r="J13540" s="1" t="str">
        <f>"2/2"</f>
        <v>2/2</v>
      </c>
      <c r="K13540" s="1" t="str">
        <f>"2026-07-29 13:18:12"</f>
        <v>2026-07-29 13:18:12</v>
      </c>
      <c r="L13540" s="1" t="str">
        <f>"2018-06-21 10:59:42"</f>
        <v>2018-06-21 10:59:42</v>
      </c>
      <c r="M13540" s="1" t="s">
        <v>0</v>
      </c>
      <c r="N13540" s="1" t="s">
        <v>38</v>
      </c>
      <c r="O13540" s="1" t="s">
        <v>46</v>
      </c>
    </row>
    <row r="13541" spans="2:15" x14ac:dyDescent="0.3">
      <c r="B13541" s="1" t="s">
        <v>20</v>
      </c>
      <c r="C13541" s="1" t="str">
        <f>"4차"</f>
        <v>4차</v>
      </c>
      <c r="D13541" s="1" t="str">
        <f>"9924H90239"</f>
        <v>9924H90239</v>
      </c>
      <c r="E13541" s="1" t="s">
        <v>10</v>
      </c>
      <c r="F13541" s="1" t="str">
        <f>"10.12.134.65"</f>
        <v>10.12.134.65</v>
      </c>
      <c r="G13541" s="1" t="str">
        <f>"9924H902"</f>
        <v>9924H902</v>
      </c>
      <c r="H13541" s="1" t="str">
        <f>"반포로 R12"</f>
        <v>반포로 R12</v>
      </c>
      <c r="I13541" s="1" t="s">
        <v>17</v>
      </c>
      <c r="J13541" s="1" t="str">
        <f>"14/20"</f>
        <v>14/20</v>
      </c>
      <c r="K13541" s="1" t="str">
        <f>"2026-07-29 13:18:11"</f>
        <v>2026-07-29 13:18:11</v>
      </c>
      <c r="L13541" s="1" t="str">
        <f>"2018-06-16 12:42:26"</f>
        <v>2018-06-16 12:42:26</v>
      </c>
      <c r="M13541" s="1" t="s">
        <v>0</v>
      </c>
      <c r="N13541" s="1" t="s">
        <v>38</v>
      </c>
      <c r="O13541" s="1" t="s">
        <v>46</v>
      </c>
    </row>
    <row r="13542" spans="2:15" x14ac:dyDescent="0.3">
      <c r="B13542" s="1" t="s">
        <v>20</v>
      </c>
      <c r="C13542" s="1" t="str">
        <f>"4차"</f>
        <v>4차</v>
      </c>
      <c r="D13542" s="1" t="str">
        <f>"9924H90539"</f>
        <v>9924H90539</v>
      </c>
      <c r="E13542" s="1" t="s">
        <v>14</v>
      </c>
      <c r="F13542" s="1" t="str">
        <f>"10.12.132.128"</f>
        <v>10.12.132.128</v>
      </c>
      <c r="G13542" s="1" t="str">
        <f>"9924H905"</f>
        <v>9924H905</v>
      </c>
      <c r="H13542" s="1" t="str">
        <f>"이태원로 3T"</f>
        <v>이태원로 3T</v>
      </c>
      <c r="I13542" s="1" t="s">
        <v>17</v>
      </c>
      <c r="J13542" s="1" t="str">
        <f>"0/0"</f>
        <v>0/0</v>
      </c>
      <c r="K13542" s="1" t="str">
        <f>"2025-12-03 13:21:14"</f>
        <v>2025-12-03 13:21:14</v>
      </c>
      <c r="L13542" s="1" t="str">
        <f>"2018-06-23 10:32:57"</f>
        <v>2018-06-23 10:32:57</v>
      </c>
      <c r="M13542" s="1" t="s">
        <v>0</v>
      </c>
      <c r="N13542" s="1" t="s">
        <v>39</v>
      </c>
      <c r="O13542" s="1" t="s">
        <v>46</v>
      </c>
    </row>
    <row r="13543" spans="2:15" x14ac:dyDescent="0.3">
      <c r="B13543" s="1" t="s">
        <v>20</v>
      </c>
      <c r="C13543" s="1" t="str">
        <f>"4차"</f>
        <v>4차</v>
      </c>
      <c r="D13543" s="1" t="str">
        <f>"9924H92144"</f>
        <v>9924H92144</v>
      </c>
      <c r="E13543" s="1" t="s">
        <v>10</v>
      </c>
      <c r="F13543" s="1" t="str">
        <f>"10.12.138.105"</f>
        <v>10.12.138.105</v>
      </c>
      <c r="G13543" s="1" t="str">
        <f>"9924H921"</f>
        <v>9924H921</v>
      </c>
      <c r="H13543" s="1" t="str">
        <f>"관광간 25L15"</f>
        <v>관광간 25L15</v>
      </c>
      <c r="I13543" s="1" t="s">
        <v>8</v>
      </c>
      <c r="J13543" s="1" t="str">
        <f>"21/21"</f>
        <v>21/21</v>
      </c>
      <c r="K13543" s="1" t="str">
        <f>"2026-07-29 13:18:12"</f>
        <v>2026-07-29 13:18:12</v>
      </c>
      <c r="L13543" s="1" t="str">
        <f>"2021-08-03 09:09:21"</f>
        <v>2021-08-03 09:09:21</v>
      </c>
      <c r="M13543" s="1" t="s">
        <v>0</v>
      </c>
      <c r="N13543" s="1" t="s">
        <v>38</v>
      </c>
      <c r="O13543" s="1" t="s">
        <v>46</v>
      </c>
    </row>
    <row r="13544" spans="2:15" x14ac:dyDescent="0.3">
      <c r="B13544" s="1" t="s">
        <v>20</v>
      </c>
      <c r="C13544" s="1" t="str">
        <f>"1차"</f>
        <v>1차</v>
      </c>
      <c r="D13544" s="1" t="str">
        <f>"9924H92200"</f>
        <v>9924H92200</v>
      </c>
      <c r="E13544" s="1" t="s">
        <v>10</v>
      </c>
      <c r="F13544" s="1" t="str">
        <f>"10.125.226.194"</f>
        <v>10.125.226.194</v>
      </c>
      <c r="G13544" s="1" t="str">
        <f>"9924H922"</f>
        <v>9924H922</v>
      </c>
      <c r="H13544" s="1" t="str">
        <f>"관광간 25L14"</f>
        <v>관광간 25L14</v>
      </c>
      <c r="I13544" s="1" t="s">
        <v>8</v>
      </c>
      <c r="J13544" s="1" t="str">
        <f>"24/24"</f>
        <v>24/24</v>
      </c>
      <c r="K13544" s="1" t="str">
        <f>"2026-07-29 13:18:10"</f>
        <v>2026-07-29 13:18:10</v>
      </c>
      <c r="L13544" s="1" t="str">
        <f>"2014-11-27 11:45:06"</f>
        <v>2014-11-27 11:45:06</v>
      </c>
      <c r="M13544" s="1" t="s">
        <v>45</v>
      </c>
      <c r="N13544" s="1" t="s">
        <v>38</v>
      </c>
      <c r="O13544" s="1" t="s">
        <v>46</v>
      </c>
    </row>
    <row r="13545" spans="2:15" x14ac:dyDescent="0.3">
      <c r="B13545" s="1" t="s">
        <v>20</v>
      </c>
      <c r="C13545" s="1" t="str">
        <f>"1차"</f>
        <v>1차</v>
      </c>
      <c r="D13545" s="1" t="str">
        <f>"9924H95101"</f>
        <v>9924H95101</v>
      </c>
      <c r="E13545" s="1" t="s">
        <v>10</v>
      </c>
      <c r="F13545" s="1" t="str">
        <f>"10.14.2.192"</f>
        <v>10.14.2.192</v>
      </c>
      <c r="G13545" s="1" t="str">
        <f>"9924H951"</f>
        <v>9924H951</v>
      </c>
      <c r="H13545" s="1" t="str">
        <f>"관광간 46L16AL2"</f>
        <v>관광간 46L16AL2</v>
      </c>
      <c r="I13545" s="1" t="s">
        <v>8</v>
      </c>
      <c r="J13545" s="1" t="str">
        <f>"12/12"</f>
        <v>12/12</v>
      </c>
      <c r="K13545" s="1" t="str">
        <f>"2026-07-29 13:18:11"</f>
        <v>2026-07-29 13:18:11</v>
      </c>
      <c r="L13545" s="1" t="str">
        <f>"2014-12-01 10:54:36"</f>
        <v>2014-12-01 10:54:36</v>
      </c>
      <c r="M13545" s="1" t="s">
        <v>3</v>
      </c>
      <c r="N13545" s="1" t="s">
        <v>38</v>
      </c>
      <c r="O13545" s="1" t="s">
        <v>46</v>
      </c>
    </row>
    <row r="13546" spans="2:15" x14ac:dyDescent="0.3">
      <c r="B13546" s="1" t="s">
        <v>20</v>
      </c>
      <c r="C13546" s="1" t="str">
        <f>"3차"</f>
        <v>3차</v>
      </c>
      <c r="D13546" s="1" t="str">
        <f>"9924H95439"</f>
        <v>9924H95439</v>
      </c>
      <c r="E13546" s="1" t="s">
        <v>10</v>
      </c>
      <c r="F13546" s="1" t="str">
        <f>"10.10.27.26"</f>
        <v>10.10.27.26</v>
      </c>
      <c r="G13546" s="1" t="str">
        <f>"9924H954"</f>
        <v>9924H954</v>
      </c>
      <c r="H13546" s="1" t="str">
        <f>"관광간 25L10AR6"</f>
        <v>관광간 25L10AR6</v>
      </c>
      <c r="I13546" s="1" t="s">
        <v>8</v>
      </c>
      <c r="J13546" s="1" t="str">
        <f>"35/35"</f>
        <v>35/35</v>
      </c>
      <c r="K13546" s="1" t="str">
        <f>"2026-07-29 13:18:10"</f>
        <v>2026-07-29 13:18:10</v>
      </c>
      <c r="L13546" s="1" t="str">
        <f>"2018-01-08 13:23:11"</f>
        <v>2018-01-08 13:23:11</v>
      </c>
      <c r="M13546" s="1" t="s">
        <v>1</v>
      </c>
      <c r="N13546" s="1" t="s">
        <v>38</v>
      </c>
      <c r="O13546" s="1" t="s">
        <v>46</v>
      </c>
    </row>
    <row r="13547" spans="2:15" x14ac:dyDescent="0.3">
      <c r="B13547" s="1" t="s">
        <v>20</v>
      </c>
      <c r="C13547" s="1" t="str">
        <f>"3차"</f>
        <v>3차</v>
      </c>
      <c r="D13547" s="1" t="str">
        <f>"9924H97231"</f>
        <v>9924H97231</v>
      </c>
      <c r="E13547" s="1" t="s">
        <v>10</v>
      </c>
      <c r="F13547" s="1" t="str">
        <f>"10.10.38.155"</f>
        <v>10.10.38.155</v>
      </c>
      <c r="G13547" s="1" t="str">
        <f>"9924H972"</f>
        <v>9924H972</v>
      </c>
      <c r="H13547" s="1" t="str">
        <f>"관광간 25L3R8"</f>
        <v>관광간 25L3R8</v>
      </c>
      <c r="I13547" s="1" t="s">
        <v>8</v>
      </c>
      <c r="J13547" s="1" t="str">
        <f>"85/85"</f>
        <v>85/85</v>
      </c>
      <c r="K13547" s="1" t="str">
        <f>"2026-07-29 13:18:10"</f>
        <v>2026-07-29 13:18:10</v>
      </c>
      <c r="L13547" s="1" t="str">
        <f>"2018-03-14 16:11:42"</f>
        <v>2018-03-14 16:11:42</v>
      </c>
      <c r="M13547" s="1" t="s">
        <v>1</v>
      </c>
      <c r="N13547" s="1" t="s">
        <v>38</v>
      </c>
      <c r="O13547" s="1" t="s">
        <v>46</v>
      </c>
    </row>
    <row r="13548" spans="2:15" x14ac:dyDescent="0.3">
      <c r="B13548" s="1" t="s">
        <v>20</v>
      </c>
      <c r="C13548" s="1" t="str">
        <f>"3차"</f>
        <v>3차</v>
      </c>
      <c r="D13548" s="1" t="str">
        <f>"9924H97330"</f>
        <v>9924H97330</v>
      </c>
      <c r="E13548" s="1" t="s">
        <v>10</v>
      </c>
      <c r="F13548" s="1" t="str">
        <f>"10.10.38.154"</f>
        <v>10.10.38.154</v>
      </c>
      <c r="G13548" s="1" t="str">
        <f>"9924H973"</f>
        <v>9924H973</v>
      </c>
      <c r="H13548" s="1" t="str">
        <f>"관광간 25L3R7"</f>
        <v>관광간 25L3R7</v>
      </c>
      <c r="I13548" s="1" t="s">
        <v>8</v>
      </c>
      <c r="J13548" s="1" t="str">
        <f>"18/18"</f>
        <v>18/18</v>
      </c>
      <c r="K13548" s="1" t="str">
        <f>"2026-07-29 13:18:10"</f>
        <v>2026-07-29 13:18:10</v>
      </c>
      <c r="L13548" s="1" t="str">
        <f>"2018-01-08 13:49:57"</f>
        <v>2018-01-08 13:49:57</v>
      </c>
      <c r="M13548" s="1" t="s">
        <v>1</v>
      </c>
      <c r="N13548" s="1" t="s">
        <v>38</v>
      </c>
      <c r="O13548" s="1" t="s">
        <v>46</v>
      </c>
    </row>
    <row r="13549" spans="2:15" x14ac:dyDescent="0.3">
      <c r="B13549" s="1" t="s">
        <v>20</v>
      </c>
      <c r="C13549" s="1" t="str">
        <f>"3차"</f>
        <v>3차</v>
      </c>
      <c r="D13549" s="1" t="str">
        <f>"9924H98231"</f>
        <v>9924H98231</v>
      </c>
      <c r="E13549" s="1" t="s">
        <v>10</v>
      </c>
      <c r="F13549" s="1" t="str">
        <f>"10.10.38.147"</f>
        <v>10.10.38.147</v>
      </c>
      <c r="G13549" s="1" t="str">
        <f>"9924H982"</f>
        <v>9924H982</v>
      </c>
      <c r="H13549" s="1" t="str">
        <f>"관광간 25L3R6"</f>
        <v>관광간 25L3R6</v>
      </c>
      <c r="I13549" s="1" t="s">
        <v>8</v>
      </c>
      <c r="J13549" s="1" t="str">
        <f>"82/82"</f>
        <v>82/82</v>
      </c>
      <c r="K13549" s="1" t="str">
        <f>"2026-07-29 13:18:10"</f>
        <v>2026-07-29 13:18:10</v>
      </c>
      <c r="L13549" s="1" t="str">
        <f>"2018-01-22 16:15:27"</f>
        <v>2018-01-22 16:15:27</v>
      </c>
      <c r="M13549" s="1" t="s">
        <v>1</v>
      </c>
      <c r="N13549" s="1" t="s">
        <v>38</v>
      </c>
      <c r="O13549" s="1" t="s">
        <v>46</v>
      </c>
    </row>
    <row r="13550" spans="2:15" x14ac:dyDescent="0.3">
      <c r="B13550" s="1" t="s">
        <v>20</v>
      </c>
      <c r="C13550" s="1" t="str">
        <f>"5-1차"</f>
        <v>5-1차</v>
      </c>
      <c r="D13550" s="1" t="str">
        <f>"9924P2415S"</f>
        <v>9924P2415S</v>
      </c>
      <c r="E13550" s="1" t="s">
        <v>10</v>
      </c>
      <c r="F13550" s="1" t="str">
        <f>"fde2:104:0:f3:0:0:0:2"</f>
        <v>fde2:104:0:f3:0:0:0:2</v>
      </c>
      <c r="G13550" s="1" t="str">
        <f>"9924P241"</f>
        <v>9924P241</v>
      </c>
      <c r="H13550" s="1" t="str">
        <f>"상명지 17R13"</f>
        <v>상명지 17R13</v>
      </c>
      <c r="I13550" s="1" t="s">
        <v>15</v>
      </c>
      <c r="J13550" s="1" t="str">
        <f>"60/60"</f>
        <v>60/60</v>
      </c>
      <c r="K13550" s="1" t="str">
        <f>"2026-07-29 14:21:27"</f>
        <v>2026-07-29 14:21:27</v>
      </c>
      <c r="L13550" s="1" t="str">
        <f>"2022-09-28 10:59:48"</f>
        <v>2022-09-28 10:59:48</v>
      </c>
      <c r="M13550" s="1" t="s">
        <v>42</v>
      </c>
      <c r="N13550" s="1" t="s">
        <v>38</v>
      </c>
      <c r="O13550" s="1" t="s">
        <v>46</v>
      </c>
    </row>
    <row r="13551" spans="2:15" x14ac:dyDescent="0.3">
      <c r="B13551" s="1" t="s">
        <v>20</v>
      </c>
      <c r="C13551" s="1" t="str">
        <f>"5-2차"</f>
        <v>5-2차</v>
      </c>
      <c r="D13551" s="1" t="str">
        <f>"9924P5025M"</f>
        <v>9924P5025M</v>
      </c>
      <c r="E13551" s="1" t="s">
        <v>10</v>
      </c>
      <c r="F13551" s="1" t="str">
        <f>"fde1:103:4:5696:0:0:0:2"</f>
        <v>fde1:103:4:5696:0:0:0:2</v>
      </c>
      <c r="G13551" s="1" t="str">
        <f>"9924P502"</f>
        <v>9924P502</v>
      </c>
      <c r="H13551" s="1" t="str">
        <f>"용산지 10R1"</f>
        <v>용산지 10R1</v>
      </c>
      <c r="I13551" s="1" t="s">
        <v>15</v>
      </c>
      <c r="J13551" s="1" t="str">
        <f>"61/61"</f>
        <v>61/61</v>
      </c>
      <c r="K13551" s="1" t="str">
        <f>"2026-07-29 14:21:50"</f>
        <v>2026-07-29 14:21:50</v>
      </c>
      <c r="L13551" s="1" t="str">
        <f>"2023-09-04 11:17:25"</f>
        <v>2023-09-04 11:17:25</v>
      </c>
      <c r="M13551" s="1" t="s">
        <v>4</v>
      </c>
      <c r="N13551" s="1" t="s">
        <v>38</v>
      </c>
      <c r="O13551" s="1" t="s">
        <v>46</v>
      </c>
    </row>
    <row r="13552" spans="2:15" x14ac:dyDescent="0.3">
      <c r="B13552" s="1" t="s">
        <v>20</v>
      </c>
      <c r="C13552" s="1" t="str">
        <f>"4차"</f>
        <v>4차</v>
      </c>
      <c r="D13552" s="1" t="str">
        <f>"9924P53345"</f>
        <v>9924P53345</v>
      </c>
      <c r="E13552" s="1" t="s">
        <v>12</v>
      </c>
      <c r="F13552" s="1" t="str">
        <f>"10.14.15.9"</f>
        <v>10.14.15.9</v>
      </c>
      <c r="G13552" s="1" t="str">
        <f>"9924P533"</f>
        <v>9924P533</v>
      </c>
      <c r="H13552" s="1" t="str">
        <f>"한강로 11"</f>
        <v>한강로 11</v>
      </c>
      <c r="I13552" s="1" t="s">
        <v>17</v>
      </c>
      <c r="J13552" s="1" t="str">
        <f>"0/3"</f>
        <v>0/3</v>
      </c>
      <c r="K13552" s="1" t="str">
        <f>"2026-07-17 01:18:12"</f>
        <v>2026-07-17 01:18:12</v>
      </c>
      <c r="L13552" s="1" t="str">
        <f>"2021-06-16 09:58:47"</f>
        <v>2021-06-16 09:58:47</v>
      </c>
      <c r="M13552" s="1" t="s">
        <v>3</v>
      </c>
      <c r="N13552" s="1" t="s">
        <v>38</v>
      </c>
      <c r="O13552" s="1" t="s">
        <v>46</v>
      </c>
    </row>
    <row r="13553" spans="2:15" x14ac:dyDescent="0.3">
      <c r="B13553" s="1" t="s">
        <v>20</v>
      </c>
      <c r="C13553" s="1" t="str">
        <f>"5-2차"</f>
        <v>5-2차</v>
      </c>
      <c r="D13553" s="1" t="str">
        <f>"9924P6125M"</f>
        <v>9924P6125M</v>
      </c>
      <c r="E13553" s="1" t="s">
        <v>10</v>
      </c>
      <c r="F13553" s="1" t="str">
        <f>"fde1:103:4:568b:0:0:0:2"</f>
        <v>fde1:103:4:568b:0:0:0:2</v>
      </c>
      <c r="G13553" s="1" t="str">
        <f>"9924P612"</f>
        <v>9924P612</v>
      </c>
      <c r="H13553" s="1" t="str">
        <f>"용산지 18AL3"</f>
        <v>용산지 18AL3</v>
      </c>
      <c r="I13553" s="1" t="s">
        <v>15</v>
      </c>
      <c r="J13553" s="1" t="str">
        <f>"15/16"</f>
        <v>15/16</v>
      </c>
      <c r="K13553" s="1" t="str">
        <f>"2026-07-29 14:21:26"</f>
        <v>2026-07-29 14:21:26</v>
      </c>
      <c r="L13553" s="1" t="str">
        <f>"2023-09-04 13:07:41"</f>
        <v>2023-09-04 13:07:41</v>
      </c>
      <c r="M13553" s="1" t="s">
        <v>4</v>
      </c>
      <c r="N13553" s="1" t="s">
        <v>38</v>
      </c>
      <c r="O13553" s="1" t="s">
        <v>46</v>
      </c>
    </row>
    <row r="13554" spans="2:15" x14ac:dyDescent="0.3">
      <c r="B13554" s="1" t="s">
        <v>20</v>
      </c>
      <c r="C13554" s="1" t="str">
        <f>"5-2차"</f>
        <v>5-2차</v>
      </c>
      <c r="D13554" s="1" t="str">
        <f>"9924P6235M"</f>
        <v>9924P6235M</v>
      </c>
      <c r="E13554" s="1" t="s">
        <v>10</v>
      </c>
      <c r="F13554" s="1" t="str">
        <f>"fde1:103:4:5682:0:0:0:2"</f>
        <v>fde1:103:4:5682:0:0:0:2</v>
      </c>
      <c r="G13554" s="1" t="str">
        <f>"9924P623"</f>
        <v>9924P623</v>
      </c>
      <c r="H13554" s="1" t="str">
        <f>"용산지 18AL1R1"</f>
        <v>용산지 18AL1R1</v>
      </c>
      <c r="I13554" s="1" t="s">
        <v>15</v>
      </c>
      <c r="J13554" s="1" t="str">
        <f>"53/53"</f>
        <v>53/53</v>
      </c>
      <c r="K13554" s="1" t="str">
        <f>"2026-07-29 14:21:23"</f>
        <v>2026-07-29 14:21:23</v>
      </c>
      <c r="L13554" s="1" t="str">
        <f>"2023-09-04 13:09:22"</f>
        <v>2023-09-04 13:09:22</v>
      </c>
      <c r="M13554" s="1" t="s">
        <v>4</v>
      </c>
      <c r="N13554" s="1" t="s">
        <v>38</v>
      </c>
      <c r="O13554" s="1" t="s">
        <v>46</v>
      </c>
    </row>
    <row r="13555" spans="2:15" x14ac:dyDescent="0.3">
      <c r="B13555" s="1" t="s">
        <v>20</v>
      </c>
      <c r="C13555" s="1" t="str">
        <f>"1차"</f>
        <v>1차</v>
      </c>
      <c r="D13555" s="1" t="str">
        <f>"9924P68100"</f>
        <v>9924P68100</v>
      </c>
      <c r="E13555" s="1" t="s">
        <v>10</v>
      </c>
      <c r="F13555" s="1" t="str">
        <f>"10.125.227.234"</f>
        <v>10.125.227.234</v>
      </c>
      <c r="G13555" s="1" t="str">
        <f>"9924P681"</f>
        <v>9924P681</v>
      </c>
      <c r="H13555" s="1" t="str">
        <f>"상명지 17R6L1"</f>
        <v>상명지 17R6L1</v>
      </c>
      <c r="I13555" s="1" t="s">
        <v>8</v>
      </c>
      <c r="J13555" s="1" t="str">
        <f>"13/14"</f>
        <v>13/14</v>
      </c>
      <c r="K13555" s="1" t="str">
        <f>"2026-07-29 13:18:10"</f>
        <v>2026-07-29 13:18:10</v>
      </c>
      <c r="L13555" s="1" t="str">
        <f>"2014-12-23 10:09:39"</f>
        <v>2014-12-23 10:09:39</v>
      </c>
      <c r="M13555" s="1" t="s">
        <v>45</v>
      </c>
      <c r="N13555" s="1" t="s">
        <v>38</v>
      </c>
      <c r="O13555" s="1" t="s">
        <v>46</v>
      </c>
    </row>
    <row r="13556" spans="2:15" x14ac:dyDescent="0.3">
      <c r="B13556" s="1" t="s">
        <v>20</v>
      </c>
      <c r="C13556" s="1" t="str">
        <f>"1차"</f>
        <v>1차</v>
      </c>
      <c r="D13556" s="1" t="str">
        <f>"9924P69300"</f>
        <v>9924P69300</v>
      </c>
      <c r="E13556" s="1" t="s">
        <v>10</v>
      </c>
      <c r="F13556" s="1" t="str">
        <f>"10.125.229.250"</f>
        <v>10.125.229.250</v>
      </c>
      <c r="G13556" s="1" t="str">
        <f>"9924P693"</f>
        <v>9924P693</v>
      </c>
      <c r="H13556" s="1" t="str">
        <f>"상명지 17R3"</f>
        <v>상명지 17R3</v>
      </c>
      <c r="I13556" s="1" t="s">
        <v>8</v>
      </c>
      <c r="J13556" s="1" t="str">
        <f>"9/9"</f>
        <v>9/9</v>
      </c>
      <c r="K13556" s="1" t="str">
        <f>"2026-07-29 13:18:10"</f>
        <v>2026-07-29 13:18:10</v>
      </c>
      <c r="L13556" s="1" t="str">
        <f>"2014-10-17 00:14:19"</f>
        <v>2014-10-17 00:14:19</v>
      </c>
      <c r="M13556" s="1" t="s">
        <v>45</v>
      </c>
      <c r="N13556" s="1" t="s">
        <v>38</v>
      </c>
      <c r="O13556" s="1" t="s">
        <v>46</v>
      </c>
    </row>
    <row r="13557" spans="2:15" x14ac:dyDescent="0.3">
      <c r="B13557" s="1" t="s">
        <v>20</v>
      </c>
      <c r="C13557" s="1" t="str">
        <f t="shared" ref="C13557:C13564" si="688">"5-2차"</f>
        <v>5-2차</v>
      </c>
      <c r="D13557" s="1" t="str">
        <f>"9924P7215M"</f>
        <v>9924P7215M</v>
      </c>
      <c r="E13557" s="1" t="s">
        <v>10</v>
      </c>
      <c r="F13557" s="1" t="str">
        <f>"fde1:103:4:563b:0:0:0:2"</f>
        <v>fde1:103:4:563b:0:0:0:2</v>
      </c>
      <c r="G13557" s="1" t="str">
        <f>"9924P721"</f>
        <v>9924P721</v>
      </c>
      <c r="H13557" s="1" t="str">
        <f>"용산지 18"</f>
        <v>용산지 18</v>
      </c>
      <c r="I13557" s="1" t="s">
        <v>15</v>
      </c>
      <c r="J13557" s="1" t="str">
        <f>"26/26"</f>
        <v>26/26</v>
      </c>
      <c r="K13557" s="1" t="str">
        <f>"2026-07-29 14:21:29"</f>
        <v>2026-07-29 14:21:29</v>
      </c>
      <c r="L13557" s="1" t="str">
        <f>"2023-09-04 13:10:52"</f>
        <v>2023-09-04 13:10:52</v>
      </c>
      <c r="M13557" s="1" t="s">
        <v>4</v>
      </c>
      <c r="N13557" s="1" t="s">
        <v>38</v>
      </c>
      <c r="O13557" s="1" t="s">
        <v>46</v>
      </c>
    </row>
    <row r="13558" spans="2:15" x14ac:dyDescent="0.3">
      <c r="B13558" s="1" t="s">
        <v>20</v>
      </c>
      <c r="C13558" s="1" t="str">
        <f t="shared" si="688"/>
        <v>5-2차</v>
      </c>
      <c r="D13558" s="1" t="str">
        <f>"9924P7325M"</f>
        <v>9924P7325M</v>
      </c>
      <c r="E13558" s="1" t="s">
        <v>10</v>
      </c>
      <c r="F13558" s="1" t="str">
        <f>"fde1:103:4:5574:0:0:0:2"</f>
        <v>fde1:103:4:5574:0:0:0:2</v>
      </c>
      <c r="G13558" s="1" t="str">
        <f>"9924P732"</f>
        <v>9924P732</v>
      </c>
      <c r="H13558" s="1" t="str">
        <f>"용산지 18L1"</f>
        <v>용산지 18L1</v>
      </c>
      <c r="I13558" s="1" t="s">
        <v>15</v>
      </c>
      <c r="J13558" s="1" t="str">
        <f>"27/38"</f>
        <v>27/38</v>
      </c>
      <c r="K13558" s="1" t="str">
        <f>"2026-07-29 14:21:26"</f>
        <v>2026-07-29 14:21:26</v>
      </c>
      <c r="L13558" s="1" t="str">
        <f>"2023-09-04 13:26:19"</f>
        <v>2023-09-04 13:26:19</v>
      </c>
      <c r="M13558" s="1" t="s">
        <v>4</v>
      </c>
      <c r="N13558" s="1" t="s">
        <v>38</v>
      </c>
      <c r="O13558" s="1" t="s">
        <v>46</v>
      </c>
    </row>
    <row r="13559" spans="2:15" x14ac:dyDescent="0.3">
      <c r="B13559" s="1" t="s">
        <v>20</v>
      </c>
      <c r="C13559" s="1" t="str">
        <f t="shared" si="688"/>
        <v>5-2차</v>
      </c>
      <c r="D13559" s="1" t="str">
        <f>"9924P7735S"</f>
        <v>9924P7735S</v>
      </c>
      <c r="E13559" s="1" t="s">
        <v>10</v>
      </c>
      <c r="F13559" s="1" t="str">
        <f>"fde1:103:4:5a19:0:0:0:2"</f>
        <v>fde1:103:4:5a19:0:0:0:2</v>
      </c>
      <c r="G13559" s="1" t="str">
        <f>"9924P773"</f>
        <v>9924P773</v>
      </c>
      <c r="H13559" s="1" t="str">
        <f>"상명지 17R6L2"</f>
        <v>상명지 17R6L2</v>
      </c>
      <c r="I13559" s="1" t="s">
        <v>15</v>
      </c>
      <c r="J13559" s="1" t="str">
        <f>"25/25"</f>
        <v>25/25</v>
      </c>
      <c r="K13559" s="1" t="str">
        <f>"2026-07-29 14:21:26"</f>
        <v>2026-07-29 14:21:26</v>
      </c>
      <c r="L13559" s="1" t="str">
        <f>"2023-09-12 15:27:29"</f>
        <v>2023-09-12 15:27:29</v>
      </c>
      <c r="M13559" s="1" t="s">
        <v>4</v>
      </c>
      <c r="N13559" s="1" t="s">
        <v>38</v>
      </c>
      <c r="O13559" s="1" t="s">
        <v>46</v>
      </c>
    </row>
    <row r="13560" spans="2:15" x14ac:dyDescent="0.3">
      <c r="B13560" s="1" t="s">
        <v>20</v>
      </c>
      <c r="C13560" s="1" t="str">
        <f t="shared" si="688"/>
        <v>5-2차</v>
      </c>
      <c r="D13560" s="1" t="str">
        <f>"9924P8115M"</f>
        <v>9924P8115M</v>
      </c>
      <c r="E13560" s="1" t="s">
        <v>10</v>
      </c>
      <c r="F13560" s="1" t="str">
        <f>"fde1:103:4:558f:0:0:0:2"</f>
        <v>fde1:103:4:558f:0:0:0:2</v>
      </c>
      <c r="G13560" s="1" t="str">
        <f>"9924P811"</f>
        <v>9924P811</v>
      </c>
      <c r="H13560" s="1" t="str">
        <f>"용산지 15R2"</f>
        <v>용산지 15R2</v>
      </c>
      <c r="I13560" s="1" t="s">
        <v>15</v>
      </c>
      <c r="J13560" s="1" t="str">
        <f>"38/38"</f>
        <v>38/38</v>
      </c>
      <c r="K13560" s="1" t="str">
        <f>"2026-07-29 14:21:27"</f>
        <v>2026-07-29 14:21:27</v>
      </c>
      <c r="L13560" s="1" t="str">
        <f>"2023-09-04 13:27:27"</f>
        <v>2023-09-04 13:27:27</v>
      </c>
      <c r="M13560" s="1" t="s">
        <v>4</v>
      </c>
      <c r="N13560" s="1" t="s">
        <v>38</v>
      </c>
      <c r="O13560" s="1" t="s">
        <v>46</v>
      </c>
    </row>
    <row r="13561" spans="2:15" x14ac:dyDescent="0.3">
      <c r="B13561" s="1" t="s">
        <v>20</v>
      </c>
      <c r="C13561" s="1" t="str">
        <f t="shared" si="688"/>
        <v>5-2차</v>
      </c>
      <c r="D13561" s="1" t="str">
        <f>"9924P8215M"</f>
        <v>9924P8215M</v>
      </c>
      <c r="E13561" s="1" t="s">
        <v>10</v>
      </c>
      <c r="F13561" s="1" t="str">
        <f>"fde1:103:4:55c6:0:0:0:2"</f>
        <v>fde1:103:4:55c6:0:0:0:2</v>
      </c>
      <c r="G13561" s="1" t="str">
        <f>"9924P821"</f>
        <v>9924P821</v>
      </c>
      <c r="H13561" s="1" t="str">
        <f>"용산지 17"</f>
        <v>용산지 17</v>
      </c>
      <c r="I13561" s="1" t="s">
        <v>15</v>
      </c>
      <c r="J13561" s="1" t="str">
        <f>"31/31"</f>
        <v>31/31</v>
      </c>
      <c r="K13561" s="1" t="str">
        <f>"2026-07-29 14:21:27"</f>
        <v>2026-07-29 14:21:27</v>
      </c>
      <c r="L13561" s="1" t="str">
        <f>"2023-09-04 13:28:46"</f>
        <v>2023-09-04 13:28:46</v>
      </c>
      <c r="M13561" s="1" t="s">
        <v>4</v>
      </c>
      <c r="N13561" s="1" t="s">
        <v>38</v>
      </c>
      <c r="O13561" s="1" t="s">
        <v>46</v>
      </c>
    </row>
    <row r="13562" spans="2:15" x14ac:dyDescent="0.3">
      <c r="B13562" s="1" t="s">
        <v>20</v>
      </c>
      <c r="C13562" s="1" t="str">
        <f t="shared" si="688"/>
        <v>5-2차</v>
      </c>
      <c r="D13562" s="1" t="str">
        <f>"9924P8315M"</f>
        <v>9924P8315M</v>
      </c>
      <c r="E13562" s="1" t="s">
        <v>10</v>
      </c>
      <c r="F13562" s="1" t="str">
        <f>"fde1:103:4:569d:0:0:0:2"</f>
        <v>fde1:103:4:569d:0:0:0:2</v>
      </c>
      <c r="G13562" s="1" t="str">
        <f>"9924P831"</f>
        <v>9924P831</v>
      </c>
      <c r="H13562" s="1" t="str">
        <f>"용산지 20"</f>
        <v>용산지 20</v>
      </c>
      <c r="I13562" s="1" t="s">
        <v>15</v>
      </c>
      <c r="J13562" s="1" t="str">
        <f>"43/44"</f>
        <v>43/44</v>
      </c>
      <c r="K13562" s="1" t="str">
        <f>"2026-07-29 14:21:27"</f>
        <v>2026-07-29 14:21:27</v>
      </c>
      <c r="L13562" s="1" t="str">
        <f>"2023-09-04 13:49:52"</f>
        <v>2023-09-04 13:49:52</v>
      </c>
      <c r="M13562" s="1" t="s">
        <v>4</v>
      </c>
      <c r="N13562" s="1" t="s">
        <v>38</v>
      </c>
      <c r="O13562" s="1" t="s">
        <v>46</v>
      </c>
    </row>
    <row r="13563" spans="2:15" x14ac:dyDescent="0.3">
      <c r="B13563" s="1" t="s">
        <v>20</v>
      </c>
      <c r="C13563" s="1" t="str">
        <f t="shared" si="688"/>
        <v>5-2차</v>
      </c>
      <c r="D13563" s="1" t="str">
        <f>"9924P9325M"</f>
        <v>9924P9325M</v>
      </c>
      <c r="E13563" s="1" t="s">
        <v>10</v>
      </c>
      <c r="F13563" s="1" t="str">
        <f>"fde1:103:4:55ca:0:0:0:2"</f>
        <v>fde1:103:4:55ca:0:0:0:2</v>
      </c>
      <c r="G13563" s="1" t="str">
        <f>"9924P932"</f>
        <v>9924P932</v>
      </c>
      <c r="H13563" s="1" t="str">
        <f>"용산지 21R1"</f>
        <v>용산지 21R1</v>
      </c>
      <c r="I13563" s="1" t="s">
        <v>15</v>
      </c>
      <c r="J13563" s="1" t="str">
        <f>"31/31"</f>
        <v>31/31</v>
      </c>
      <c r="K13563" s="1" t="str">
        <f>"2026-07-29 14:21:27"</f>
        <v>2026-07-29 14:21:27</v>
      </c>
      <c r="L13563" s="1" t="str">
        <f>"2023-09-04 13:50:54"</f>
        <v>2023-09-04 13:50:54</v>
      </c>
      <c r="M13563" s="1" t="s">
        <v>4</v>
      </c>
      <c r="N13563" s="1" t="s">
        <v>38</v>
      </c>
      <c r="O13563" s="1" t="s">
        <v>46</v>
      </c>
    </row>
    <row r="13564" spans="2:15" x14ac:dyDescent="0.3">
      <c r="B13564" s="1" t="s">
        <v>20</v>
      </c>
      <c r="C13564" s="1" t="str">
        <f t="shared" si="688"/>
        <v>5-2차</v>
      </c>
      <c r="D13564" s="1" t="str">
        <f>"9924P9515M"</f>
        <v>9924P9515M</v>
      </c>
      <c r="E13564" s="1" t="s">
        <v>10</v>
      </c>
      <c r="F13564" s="1" t="str">
        <f>"fde1:103:4:558e:0:0:0:2"</f>
        <v>fde1:103:4:558e:0:0:0:2</v>
      </c>
      <c r="G13564" s="1" t="str">
        <f>"9924P951"</f>
        <v>9924P951</v>
      </c>
      <c r="H13564" s="1" t="str">
        <f>"용산지 22L1"</f>
        <v>용산지 22L1</v>
      </c>
      <c r="I13564" s="1" t="s">
        <v>15</v>
      </c>
      <c r="J13564" s="1" t="str">
        <f>"72/75"</f>
        <v>72/75</v>
      </c>
      <c r="K13564" s="1" t="str">
        <f>"2026-07-29 02:21:43"</f>
        <v>2026-07-29 02:21:43</v>
      </c>
      <c r="L13564" s="1" t="str">
        <f>"2023-09-04 13:52:24"</f>
        <v>2023-09-04 13:52:24</v>
      </c>
      <c r="M13564" s="1" t="s">
        <v>4</v>
      </c>
      <c r="N13564" s="1" t="s">
        <v>38</v>
      </c>
      <c r="O13564" s="1" t="s">
        <v>46</v>
      </c>
    </row>
    <row r="13565" spans="2:15" x14ac:dyDescent="0.3">
      <c r="B13565" s="1" t="s">
        <v>20</v>
      </c>
      <c r="C13565" s="1" t="str">
        <f>"4차"</f>
        <v>4차</v>
      </c>
      <c r="D13565" s="1" t="str">
        <f>"9924P97239"</f>
        <v>9924P97239</v>
      </c>
      <c r="E13565" s="1" t="s">
        <v>10</v>
      </c>
      <c r="F13565" s="1" t="str">
        <f>"10.12.137.8"</f>
        <v>10.12.137.8</v>
      </c>
      <c r="G13565" s="1" t="str">
        <f>"9924P972"</f>
        <v>9924P972</v>
      </c>
      <c r="H13565" s="1" t="str">
        <f>"한강로 5-2"</f>
        <v>한강로 5-2</v>
      </c>
      <c r="I13565" s="1" t="s">
        <v>17</v>
      </c>
      <c r="J13565" s="1" t="str">
        <f>"5/7"</f>
        <v>5/7</v>
      </c>
      <c r="K13565" s="1" t="str">
        <f>"2026-07-29 13:18:12"</f>
        <v>2026-07-29 13:18:12</v>
      </c>
      <c r="L13565" s="1" t="str">
        <f>"2019-01-11 14:17:11"</f>
        <v>2019-01-11 14:17:11</v>
      </c>
      <c r="M13565" s="1" t="s">
        <v>0</v>
      </c>
      <c r="N13565" s="1" t="s">
        <v>38</v>
      </c>
      <c r="O13565" s="1" t="s">
        <v>46</v>
      </c>
    </row>
    <row r="13566" spans="2:15" x14ac:dyDescent="0.3">
      <c r="B13566" s="1" t="s">
        <v>20</v>
      </c>
      <c r="C13566" s="1" t="str">
        <f>"6차"</f>
        <v>6차</v>
      </c>
      <c r="D13566" s="1" t="str">
        <f>"9924Q0526S"</f>
        <v>9924Q0526S</v>
      </c>
      <c r="E13566" s="1" t="s">
        <v>10</v>
      </c>
      <c r="F13566" s="1" t="str">
        <f>"fde1:103:4:9209:0:0:0:2"</f>
        <v>fde1:103:4:9209:0:0:0:2</v>
      </c>
      <c r="G13566" s="1" t="str">
        <f>"9924Q052"</f>
        <v>9924Q052</v>
      </c>
      <c r="H13566" s="1" t="str">
        <f>"용산지 22L2R3"</f>
        <v>용산지 22L2R3</v>
      </c>
      <c r="I13566" s="1" t="s">
        <v>15</v>
      </c>
      <c r="J13566" s="1" t="str">
        <f>"27/33"</f>
        <v>27/33</v>
      </c>
      <c r="K13566" s="1" t="str">
        <f>"2026-07-29 14:21:56"</f>
        <v>2026-07-29 14:21:56</v>
      </c>
      <c r="L13566" s="1" t="str">
        <f>"2025-02-11 18:08:38"</f>
        <v>2025-02-11 18:08:38</v>
      </c>
      <c r="M13566" s="1" t="s">
        <v>4</v>
      </c>
      <c r="N13566" s="1" t="s">
        <v>38</v>
      </c>
      <c r="O13566" s="1" t="s">
        <v>46</v>
      </c>
    </row>
    <row r="13567" spans="2:15" x14ac:dyDescent="0.3">
      <c r="B13567" s="1" t="s">
        <v>20</v>
      </c>
      <c r="C13567" s="1" t="str">
        <f>"1차"</f>
        <v>1차</v>
      </c>
      <c r="D13567" s="1" t="str">
        <f>"9924Q06300"</f>
        <v>9924Q06300</v>
      </c>
      <c r="E13567" s="1" t="s">
        <v>10</v>
      </c>
      <c r="F13567" s="1" t="str">
        <f>"10.125.227.218"</f>
        <v>10.125.227.218</v>
      </c>
      <c r="G13567" s="1" t="str">
        <f>"9924Q063"</f>
        <v>9924Q063</v>
      </c>
      <c r="H13567" s="1" t="str">
        <f>"용산지 22L2R1"</f>
        <v>용산지 22L2R1</v>
      </c>
      <c r="I13567" s="1" t="s">
        <v>8</v>
      </c>
      <c r="J13567" s="1" t="str">
        <f>"1/1"</f>
        <v>1/1</v>
      </c>
      <c r="K13567" s="1" t="str">
        <f>"2026-07-29 13:18:10"</f>
        <v>2026-07-29 13:18:10</v>
      </c>
      <c r="L13567" s="1" t="str">
        <f>"2014-11-24 13:04:35"</f>
        <v>2014-11-24 13:04:35</v>
      </c>
      <c r="M13567" s="1" t="s">
        <v>45</v>
      </c>
      <c r="N13567" s="1" t="s">
        <v>38</v>
      </c>
      <c r="O13567" s="1" t="s">
        <v>46</v>
      </c>
    </row>
    <row r="13568" spans="2:15" x14ac:dyDescent="0.3">
      <c r="B13568" s="1" t="s">
        <v>20</v>
      </c>
      <c r="C13568" s="1" t="str">
        <f>"5-1차"</f>
        <v>5-1차</v>
      </c>
      <c r="D13568" s="1" t="str">
        <f>"9924Q1325M"</f>
        <v>9924Q1325M</v>
      </c>
      <c r="E13568" s="1" t="s">
        <v>10</v>
      </c>
      <c r="F13568" s="1" t="str">
        <f>"fde3:102:1301:4900:0:0:0:2"</f>
        <v>fde3:102:1301:4900:0:0:0:2</v>
      </c>
      <c r="G13568" s="1" t="str">
        <f>"9924Q132"</f>
        <v>9924Q132</v>
      </c>
      <c r="H13568" s="1" t="str">
        <f>"용산지 26"</f>
        <v>용산지 26</v>
      </c>
      <c r="I13568" s="1" t="s">
        <v>15</v>
      </c>
      <c r="J13568" s="1" t="str">
        <f>"21/21"</f>
        <v>21/21</v>
      </c>
      <c r="K13568" s="1" t="str">
        <f>"2026-07-29 14:21:28"</f>
        <v>2026-07-29 14:21:28</v>
      </c>
      <c r="L13568" s="1" t="str">
        <f>"2022-11-23 13:53:12"</f>
        <v>2022-11-23 13:53:12</v>
      </c>
      <c r="M13568" s="1" t="s">
        <v>45</v>
      </c>
      <c r="N13568" s="1" t="s">
        <v>38</v>
      </c>
      <c r="O13568" s="1" t="s">
        <v>46</v>
      </c>
    </row>
    <row r="13569" spans="2:15" x14ac:dyDescent="0.3">
      <c r="B13569" s="1" t="s">
        <v>20</v>
      </c>
      <c r="C13569" s="1" t="str">
        <f>"6차"</f>
        <v>6차</v>
      </c>
      <c r="D13569" s="1" t="str">
        <f>"9924Q1416S"</f>
        <v>9924Q1416S</v>
      </c>
      <c r="E13569" s="1" t="s">
        <v>10</v>
      </c>
      <c r="F13569" s="1" t="str">
        <f>"fde1:103:4:c643:0:0:0:2"</f>
        <v>fde1:103:4:c643:0:0:0:2</v>
      </c>
      <c r="G13569" s="1" t="str">
        <f>"9924Q141"</f>
        <v>9924Q141</v>
      </c>
      <c r="H13569" s="1" t="str">
        <f>"용산지 27"</f>
        <v>용산지 27</v>
      </c>
      <c r="I13569" s="1" t="s">
        <v>15</v>
      </c>
      <c r="J13569" s="1" t="str">
        <f>"40/41"</f>
        <v>40/41</v>
      </c>
      <c r="K13569" s="1" t="str">
        <f>"2026-07-29 14:21:31"</f>
        <v>2026-07-29 14:21:31</v>
      </c>
      <c r="L13569" s="1" t="str">
        <f>"2024-11-08 14:04:10"</f>
        <v>2024-11-08 14:04:10</v>
      </c>
      <c r="M13569" s="1" t="s">
        <v>4</v>
      </c>
      <c r="N13569" s="1" t="s">
        <v>38</v>
      </c>
      <c r="O13569" s="1" t="s">
        <v>46</v>
      </c>
    </row>
    <row r="13570" spans="2:15" x14ac:dyDescent="0.3">
      <c r="B13570" s="1" t="s">
        <v>20</v>
      </c>
      <c r="C13570" s="1" t="str">
        <f>"5-2차"</f>
        <v>5-2차</v>
      </c>
      <c r="D13570" s="1" t="str">
        <f>"9924Q1425M"</f>
        <v>9924Q1425M</v>
      </c>
      <c r="E13570" s="1" t="s">
        <v>10</v>
      </c>
      <c r="F13570" s="1" t="str">
        <f>"fde1:103:4:55ad:0:0:0:2"</f>
        <v>fde1:103:4:55ad:0:0:0:2</v>
      </c>
      <c r="G13570" s="1" t="str">
        <f>"9924Q142"</f>
        <v>9924Q142</v>
      </c>
      <c r="H13570" s="1" t="str">
        <f>"용산지 28"</f>
        <v>용산지 28</v>
      </c>
      <c r="I13570" s="1" t="s">
        <v>15</v>
      </c>
      <c r="J13570" s="1" t="str">
        <f>"41/41"</f>
        <v>41/41</v>
      </c>
      <c r="K13570" s="1" t="str">
        <f>"2026-07-29 14:21:28"</f>
        <v>2026-07-29 14:21:28</v>
      </c>
      <c r="L13570" s="1" t="str">
        <f>"2023-09-04 14:44:54"</f>
        <v>2023-09-04 14:44:54</v>
      </c>
      <c r="M13570" s="1" t="s">
        <v>4</v>
      </c>
      <c r="N13570" s="1" t="s">
        <v>38</v>
      </c>
      <c r="O13570" s="1" t="s">
        <v>46</v>
      </c>
    </row>
    <row r="13571" spans="2:15" x14ac:dyDescent="0.3">
      <c r="B13571" s="1" t="s">
        <v>20</v>
      </c>
      <c r="C13571" s="1" t="str">
        <f>"6차"</f>
        <v>6차</v>
      </c>
      <c r="D13571" s="1" t="str">
        <f>"9924Q1526S"</f>
        <v>9924Q1526S</v>
      </c>
      <c r="E13571" s="1" t="s">
        <v>10</v>
      </c>
      <c r="F13571" s="1" t="str">
        <f>"fde1:103:4:91ea:0:0:0:2"</f>
        <v>fde1:103:4:91ea:0:0:0:2</v>
      </c>
      <c r="G13571" s="1" t="str">
        <f>"9924Q152"</f>
        <v>9924Q152</v>
      </c>
      <c r="H13571" s="1" t="str">
        <f>"용산지 29R1"</f>
        <v>용산지 29R1</v>
      </c>
      <c r="I13571" s="1" t="s">
        <v>15</v>
      </c>
      <c r="J13571" s="1" t="str">
        <f>"53/55"</f>
        <v>53/55</v>
      </c>
      <c r="K13571" s="1" t="str">
        <f>"2026-07-29 14:21:28"</f>
        <v>2026-07-29 14:21:28</v>
      </c>
      <c r="L13571" s="1" t="str">
        <f>"2025-02-18 15:55:38"</f>
        <v>2025-02-18 15:55:38</v>
      </c>
      <c r="M13571" s="1" t="s">
        <v>4</v>
      </c>
      <c r="N13571" s="1" t="s">
        <v>38</v>
      </c>
      <c r="O13571" s="1" t="s">
        <v>46</v>
      </c>
    </row>
    <row r="13572" spans="2:15" x14ac:dyDescent="0.3">
      <c r="B13572" s="1" t="s">
        <v>20</v>
      </c>
      <c r="C13572" s="1" t="str">
        <f>"1차"</f>
        <v>1차</v>
      </c>
      <c r="D13572" s="1" t="str">
        <f>"9924Q17200"</f>
        <v>9924Q17200</v>
      </c>
      <c r="E13572" s="1" t="s">
        <v>10</v>
      </c>
      <c r="F13572" s="1" t="str">
        <f>"10.125.227.202"</f>
        <v>10.125.227.202</v>
      </c>
      <c r="G13572" s="1" t="str">
        <f>"9924Q172"</f>
        <v>9924Q172</v>
      </c>
      <c r="H13572" s="1" t="str">
        <f>"용산지 31"</f>
        <v>용산지 31</v>
      </c>
      <c r="I13572" s="1" t="s">
        <v>8</v>
      </c>
      <c r="J13572" s="1" t="str">
        <f>"11/11"</f>
        <v>11/11</v>
      </c>
      <c r="K13572" s="1" t="str">
        <f>"2026-07-29 13:18:10"</f>
        <v>2026-07-29 13:18:10</v>
      </c>
      <c r="L13572" s="1" t="str">
        <f>"2014-11-25 16:45:42"</f>
        <v>2014-11-25 16:45:42</v>
      </c>
      <c r="M13572" s="1" t="s">
        <v>45</v>
      </c>
      <c r="N13572" s="1" t="s">
        <v>38</v>
      </c>
      <c r="O13572" s="1" t="s">
        <v>46</v>
      </c>
    </row>
    <row r="13573" spans="2:15" x14ac:dyDescent="0.3">
      <c r="B13573" s="1" t="s">
        <v>20</v>
      </c>
      <c r="C13573" s="1" t="str">
        <f>"5-2차"</f>
        <v>5-2차</v>
      </c>
      <c r="D13573" s="1" t="str">
        <f>"9924Q1825M"</f>
        <v>9924Q1825M</v>
      </c>
      <c r="E13573" s="1" t="s">
        <v>10</v>
      </c>
      <c r="F13573" s="1" t="str">
        <f>"fde1:103:4:55d1:0:0:0:2"</f>
        <v>fde1:103:4:55d1:0:0:0:2</v>
      </c>
      <c r="G13573" s="1" t="str">
        <f>"9924Q182"</f>
        <v>9924Q182</v>
      </c>
      <c r="H13573" s="1" t="str">
        <f>"용산지 32"</f>
        <v>용산지 32</v>
      </c>
      <c r="I13573" s="1" t="s">
        <v>15</v>
      </c>
      <c r="J13573" s="1" t="str">
        <f>"15/16"</f>
        <v>15/16</v>
      </c>
      <c r="K13573" s="1" t="str">
        <f>"2026-07-29 14:21:28"</f>
        <v>2026-07-29 14:21:28</v>
      </c>
      <c r="L13573" s="1" t="str">
        <f>"2023-09-04 14:46:55"</f>
        <v>2023-09-04 14:46:55</v>
      </c>
      <c r="M13573" s="1" t="s">
        <v>4</v>
      </c>
      <c r="N13573" s="1" t="s">
        <v>38</v>
      </c>
      <c r="O13573" s="1" t="s">
        <v>46</v>
      </c>
    </row>
    <row r="13574" spans="2:15" x14ac:dyDescent="0.3">
      <c r="B13574" s="1" t="s">
        <v>20</v>
      </c>
      <c r="C13574" s="1" t="str">
        <f>"5-2차"</f>
        <v>5-2차</v>
      </c>
      <c r="D13574" s="1" t="str">
        <f>"9924Q2625M"</f>
        <v>9924Q2625M</v>
      </c>
      <c r="E13574" s="1" t="s">
        <v>10</v>
      </c>
      <c r="F13574" s="1" t="str">
        <f>"fde1:103:4:5698:0:0:0:2"</f>
        <v>fde1:103:4:5698:0:0:0:2</v>
      </c>
      <c r="G13574" s="1" t="str">
        <f>"9924Q262"</f>
        <v>9924Q262</v>
      </c>
      <c r="H13574" s="1" t="str">
        <f>"용산지 31R2"</f>
        <v>용산지 31R2</v>
      </c>
      <c r="I13574" s="1" t="s">
        <v>15</v>
      </c>
      <c r="J13574" s="1" t="str">
        <f>"119/119"</f>
        <v>119/119</v>
      </c>
      <c r="K13574" s="1" t="str">
        <f>"2026-07-29 14:21:28"</f>
        <v>2026-07-29 14:21:28</v>
      </c>
      <c r="L13574" s="1" t="str">
        <f>"2023-09-04 14:48:47"</f>
        <v>2023-09-04 14:48:47</v>
      </c>
      <c r="M13574" s="1" t="s">
        <v>4</v>
      </c>
      <c r="N13574" s="1" t="s">
        <v>38</v>
      </c>
      <c r="O13574" s="1" t="s">
        <v>46</v>
      </c>
    </row>
    <row r="13575" spans="2:15" x14ac:dyDescent="0.3">
      <c r="B13575" s="1" t="s">
        <v>20</v>
      </c>
      <c r="C13575" s="1" t="str">
        <f>"5-2차"</f>
        <v>5-2차</v>
      </c>
      <c r="D13575" s="1" t="str">
        <f>"9924Q3625M"</f>
        <v>9924Q3625M</v>
      </c>
      <c r="E13575" s="1" t="s">
        <v>10</v>
      </c>
      <c r="F13575" s="1" t="str">
        <f>"fde1:103:4:55a3:0:0:0:2"</f>
        <v>fde1:103:4:55a3:0:0:0:2</v>
      </c>
      <c r="G13575" s="1" t="str">
        <f>"9924Q362"</f>
        <v>9924Q362</v>
      </c>
      <c r="H13575" s="1" t="str">
        <f>"용산지 33R4"</f>
        <v>용산지 33R4</v>
      </c>
      <c r="I13575" s="1" t="s">
        <v>15</v>
      </c>
      <c r="J13575" s="1" t="str">
        <f>"45/47"</f>
        <v>45/47</v>
      </c>
      <c r="K13575" s="1" t="str">
        <f>"2026-07-29 14:21:29"</f>
        <v>2026-07-29 14:21:29</v>
      </c>
      <c r="L13575" s="1" t="str">
        <f>"2023-09-04 15:13:35"</f>
        <v>2023-09-04 15:13:35</v>
      </c>
      <c r="M13575" s="1" t="s">
        <v>4</v>
      </c>
      <c r="N13575" s="1" t="s">
        <v>38</v>
      </c>
      <c r="O13575" s="1" t="s">
        <v>46</v>
      </c>
    </row>
    <row r="13576" spans="2:15" x14ac:dyDescent="0.3">
      <c r="B13576" s="1" t="s">
        <v>20</v>
      </c>
      <c r="C13576" s="1" t="str">
        <f>"4차"</f>
        <v>4차</v>
      </c>
      <c r="D13576" s="1" t="str">
        <f>"9924X97539"</f>
        <v>9924X97539</v>
      </c>
      <c r="E13576" s="1" t="s">
        <v>10</v>
      </c>
      <c r="F13576" s="1" t="str">
        <f>"10.12.136.187"</f>
        <v>10.12.136.187</v>
      </c>
      <c r="G13576" s="1" t="str">
        <f>"9924X975"</f>
        <v>9924X975</v>
      </c>
      <c r="H13576" s="1" t="str">
        <f>"반포로 R7"</f>
        <v>반포로 R7</v>
      </c>
      <c r="I13576" s="1" t="s">
        <v>17</v>
      </c>
      <c r="J13576" s="1" t="str">
        <f>"28/32"</f>
        <v>28/32</v>
      </c>
      <c r="K13576" s="1" t="str">
        <f>"2026-07-29 13:18:12"</f>
        <v>2026-07-29 13:18:12</v>
      </c>
      <c r="L13576" s="1" t="str">
        <f>"2018-10-11 14:01:57"</f>
        <v>2018-10-11 14:01:57</v>
      </c>
      <c r="M13576" s="1" t="s">
        <v>0</v>
      </c>
      <c r="N13576" s="1" t="s">
        <v>38</v>
      </c>
      <c r="O13576" s="1" t="s">
        <v>46</v>
      </c>
    </row>
    <row r="13577" spans="2:15" x14ac:dyDescent="0.3">
      <c r="B13577" s="1" t="s">
        <v>20</v>
      </c>
      <c r="C13577" s="1" t="str">
        <f>"6차"</f>
        <v>6차</v>
      </c>
      <c r="D13577" s="1" t="str">
        <f>"9925C0016S"</f>
        <v>9925C0016S</v>
      </c>
      <c r="E13577" s="1" t="s">
        <v>10</v>
      </c>
      <c r="F13577" s="1" t="str">
        <f>"fde1:103:4:9232:0:0:0:2"</f>
        <v>fde1:103:4:9232:0:0:0:2</v>
      </c>
      <c r="G13577" s="1" t="str">
        <f>"9925C001"</f>
        <v>9925C001</v>
      </c>
      <c r="H13577" s="1" t="str">
        <f>"마용간 70R6"</f>
        <v>마용간 70R6</v>
      </c>
      <c r="I13577" s="1" t="s">
        <v>15</v>
      </c>
      <c r="J13577" s="1" t="str">
        <f>"21/22"</f>
        <v>21/22</v>
      </c>
      <c r="K13577" s="1" t="str">
        <f>"2026-07-29 02:21:45"</f>
        <v>2026-07-29 02:21:45</v>
      </c>
      <c r="L13577" s="1" t="str">
        <f>"2025-02-18 15:55:22"</f>
        <v>2025-02-18 15:55:22</v>
      </c>
      <c r="M13577" s="1" t="s">
        <v>4</v>
      </c>
      <c r="N13577" s="1" t="s">
        <v>38</v>
      </c>
      <c r="O13577" s="1" t="s">
        <v>46</v>
      </c>
    </row>
    <row r="13578" spans="2:15" x14ac:dyDescent="0.3">
      <c r="B13578" s="1" t="s">
        <v>20</v>
      </c>
      <c r="C13578" s="1" t="str">
        <f>"6차"</f>
        <v>6차</v>
      </c>
      <c r="D13578" s="1" t="str">
        <f>"9925C0026S"</f>
        <v>9925C0026S</v>
      </c>
      <c r="E13578" s="1" t="s">
        <v>10</v>
      </c>
      <c r="F13578" s="1" t="str">
        <f>"fde1:103:4:c61c:0:0:0:2"</f>
        <v>fde1:103:4:c61c:0:0:0:2</v>
      </c>
      <c r="G13578" s="1" t="str">
        <f>"9925C002"</f>
        <v>9925C002</v>
      </c>
      <c r="H13578" s="1" t="str">
        <f>"마용간 70R7"</f>
        <v>마용간 70R7</v>
      </c>
      <c r="I13578" s="1" t="s">
        <v>15</v>
      </c>
      <c r="J13578" s="1" t="str">
        <f>"43/45"</f>
        <v>43/45</v>
      </c>
      <c r="K13578" s="1" t="str">
        <f>"2026-07-29 14:21:30"</f>
        <v>2026-07-29 14:21:30</v>
      </c>
      <c r="L13578" s="1" t="str">
        <f>"2024-11-12 15:19:38"</f>
        <v>2024-11-12 15:19:38</v>
      </c>
      <c r="M13578" s="1" t="s">
        <v>4</v>
      </c>
      <c r="N13578" s="1" t="s">
        <v>38</v>
      </c>
      <c r="O13578" s="1" t="s">
        <v>46</v>
      </c>
    </row>
    <row r="13579" spans="2:15" x14ac:dyDescent="0.3">
      <c r="B13579" s="1" t="s">
        <v>20</v>
      </c>
      <c r="C13579" s="1" t="str">
        <f>"6차"</f>
        <v>6차</v>
      </c>
      <c r="D13579" s="1" t="str">
        <f>"9925C0116S"</f>
        <v>9925C0116S</v>
      </c>
      <c r="E13579" s="1" t="s">
        <v>10</v>
      </c>
      <c r="F13579" s="1" t="str">
        <f>"fde1:103:4:9289:0:0:0:2"</f>
        <v>fde1:103:4:9289:0:0:0:2</v>
      </c>
      <c r="G13579" s="1" t="str">
        <f>"9925C011"</f>
        <v>9925C011</v>
      </c>
      <c r="H13579" s="1" t="str">
        <f>"마용간 70R8"</f>
        <v>마용간 70R8</v>
      </c>
      <c r="I13579" s="1" t="s">
        <v>15</v>
      </c>
      <c r="J13579" s="1" t="str">
        <f>"38/38"</f>
        <v>38/38</v>
      </c>
      <c r="K13579" s="1" t="str">
        <f>"2026-07-29 08:21:26"</f>
        <v>2026-07-29 08:21:26</v>
      </c>
      <c r="L13579" s="1" t="str">
        <f>"2025-02-18 16:03:45"</f>
        <v>2025-02-18 16:03:45</v>
      </c>
      <c r="M13579" s="1" t="s">
        <v>4</v>
      </c>
      <c r="N13579" s="1" t="s">
        <v>38</v>
      </c>
      <c r="O13579" s="1" t="s">
        <v>46</v>
      </c>
    </row>
    <row r="13580" spans="2:15" x14ac:dyDescent="0.3">
      <c r="B13580" s="1" t="s">
        <v>20</v>
      </c>
      <c r="C13580" s="1" t="str">
        <f>"5-2차"</f>
        <v>5-2차</v>
      </c>
      <c r="D13580" s="1" t="str">
        <f>"9925C0345S"</f>
        <v>9925C0345S</v>
      </c>
      <c r="E13580" s="1" t="s">
        <v>10</v>
      </c>
      <c r="F13580" s="1" t="str">
        <f>"fde3:102:1301:3200:0:0:0:3"</f>
        <v>fde3:102:1301:3200:0:0:0:3</v>
      </c>
      <c r="G13580" s="1" t="str">
        <f>"9925C034"</f>
        <v>9925C034</v>
      </c>
      <c r="H13580" s="1" t="str">
        <f>"마용간 64H1R6H1"</f>
        <v>마용간 64H1R6H1</v>
      </c>
      <c r="I13580" s="1" t="s">
        <v>15</v>
      </c>
      <c r="J13580" s="1" t="str">
        <f>"52/52"</f>
        <v>52/52</v>
      </c>
      <c r="K13580" s="1" t="str">
        <f>"2026-07-29 14:21:29"</f>
        <v>2026-07-29 14:21:29</v>
      </c>
      <c r="L13580" s="1" t="str">
        <f>"2023-10-04 14:58:55"</f>
        <v>2023-10-04 14:58:55</v>
      </c>
      <c r="M13580" s="1" t="s">
        <v>45</v>
      </c>
      <c r="N13580" s="1" t="s">
        <v>38</v>
      </c>
      <c r="O13580" s="1" t="s">
        <v>46</v>
      </c>
    </row>
    <row r="13581" spans="2:15" x14ac:dyDescent="0.3">
      <c r="B13581" s="1" t="s">
        <v>20</v>
      </c>
      <c r="C13581" s="1" t="str">
        <f>"5-2차"</f>
        <v>5-2차</v>
      </c>
      <c r="D13581" s="1" t="str">
        <f>"9925C1235M"</f>
        <v>9925C1235M</v>
      </c>
      <c r="E13581" s="1" t="s">
        <v>10</v>
      </c>
      <c r="F13581" s="1" t="str">
        <f>"fde1:103:4:5693:0:0:0:2"</f>
        <v>fde1:103:4:5693:0:0:0:2</v>
      </c>
      <c r="G13581" s="1" t="str">
        <f>"9925C123"</f>
        <v>9925C123</v>
      </c>
      <c r="H13581" s="1" t="str">
        <f>"마용간 49R9"</f>
        <v>마용간 49R9</v>
      </c>
      <c r="I13581" s="1" t="s">
        <v>15</v>
      </c>
      <c r="J13581" s="1" t="str">
        <f>"39/39"</f>
        <v>39/39</v>
      </c>
      <c r="K13581" s="1" t="str">
        <f>"2026-07-29 14:21:30"</f>
        <v>2026-07-29 14:21:30</v>
      </c>
      <c r="L13581" s="1" t="str">
        <f>"2023-09-04 15:16:23"</f>
        <v>2023-09-04 15:16:23</v>
      </c>
      <c r="M13581" s="1" t="s">
        <v>4</v>
      </c>
      <c r="N13581" s="1" t="s">
        <v>38</v>
      </c>
      <c r="O13581" s="1" t="s">
        <v>46</v>
      </c>
    </row>
    <row r="13582" spans="2:15" x14ac:dyDescent="0.3">
      <c r="B13582" s="1" t="s">
        <v>20</v>
      </c>
      <c r="C13582" s="1" t="str">
        <f>"1차"</f>
        <v>1차</v>
      </c>
      <c r="D13582" s="1" t="str">
        <f>"9925C14200"</f>
        <v>9925C14200</v>
      </c>
      <c r="E13582" s="1" t="s">
        <v>10</v>
      </c>
      <c r="F13582" s="1" t="str">
        <f>"10.125.230.2"</f>
        <v>10.125.230.2</v>
      </c>
      <c r="G13582" s="1" t="str">
        <f>"9925C142"</f>
        <v>9925C142</v>
      </c>
      <c r="H13582" s="1" t="str">
        <f>"마용간 64H1R3"</f>
        <v>마용간 64H1R3</v>
      </c>
      <c r="I13582" s="1" t="s">
        <v>8</v>
      </c>
      <c r="J13582" s="1" t="str">
        <f>"12/12"</f>
        <v>12/12</v>
      </c>
      <c r="K13582" s="1" t="str">
        <f>"2026-07-29 13:18:10"</f>
        <v>2026-07-29 13:18:10</v>
      </c>
      <c r="L13582" s="1" t="str">
        <f>"2014-10-17 00:13:33"</f>
        <v>2014-10-17 00:13:33</v>
      </c>
      <c r="M13582" s="1" t="s">
        <v>45</v>
      </c>
      <c r="N13582" s="1" t="s">
        <v>38</v>
      </c>
      <c r="O13582" s="1" t="s">
        <v>46</v>
      </c>
    </row>
    <row r="13583" spans="2:15" x14ac:dyDescent="0.3">
      <c r="B13583" s="1" t="s">
        <v>20</v>
      </c>
      <c r="C13583" s="1" t="str">
        <f>"1차"</f>
        <v>1차</v>
      </c>
      <c r="D13583" s="1" t="str">
        <f>"9925C20200"</f>
        <v>9925C20200</v>
      </c>
      <c r="E13583" s="1" t="s">
        <v>14</v>
      </c>
      <c r="F13583" s="1" t="str">
        <f>"10.125.225.58"</f>
        <v>10.125.225.58</v>
      </c>
      <c r="G13583" s="1" t="str">
        <f>"9925C202"</f>
        <v>9925C202</v>
      </c>
      <c r="H13583" s="1" t="str">
        <f>"마용간 70R2L1"</f>
        <v>마용간 70R2L1</v>
      </c>
      <c r="I13583" s="1" t="s">
        <v>8</v>
      </c>
      <c r="J13583" s="1" t="str">
        <f>"0/0"</f>
        <v>0/0</v>
      </c>
      <c r="K13583" s="1" t="str">
        <f>"2024-06-24 18:22:00"</f>
        <v>2024-06-24 18:22:00</v>
      </c>
      <c r="L13583" s="1" t="str">
        <f>"2014-11-25 10:59:54"</f>
        <v>2014-11-25 10:59:54</v>
      </c>
      <c r="M13583" s="1" t="s">
        <v>45</v>
      </c>
      <c r="N13583" s="1" t="s">
        <v>44</v>
      </c>
      <c r="O13583" s="1" t="s">
        <v>44</v>
      </c>
    </row>
    <row r="13584" spans="2:15" x14ac:dyDescent="0.3">
      <c r="B13584" s="1" t="s">
        <v>20</v>
      </c>
      <c r="C13584" s="1" t="str">
        <f>"6차"</f>
        <v>6차</v>
      </c>
      <c r="D13584" s="1" t="str">
        <f>"9925C2056S"</f>
        <v>9925C2056S</v>
      </c>
      <c r="E13584" s="1" t="s">
        <v>10</v>
      </c>
      <c r="F13584" s="1" t="str">
        <f>"fde1:103:4:c60e:0:0:0:2"</f>
        <v>fde1:103:4:c60e:0:0:0:2</v>
      </c>
      <c r="G13584" s="1" t="str">
        <f>"9925C205"</f>
        <v>9925C205</v>
      </c>
      <c r="H13584" s="1" t="str">
        <f>"마용간 70R2L2R1"</f>
        <v>마용간 70R2L2R1</v>
      </c>
      <c r="I13584" s="1" t="s">
        <v>15</v>
      </c>
      <c r="J13584" s="1" t="str">
        <f>"35/41"</f>
        <v>35/41</v>
      </c>
      <c r="K13584" s="1" t="str">
        <f>"2026-07-29 14:21:30"</f>
        <v>2026-07-29 14:21:30</v>
      </c>
      <c r="L13584" s="1" t="str">
        <f>"2024-11-12 15:10:27"</f>
        <v>2024-11-12 15:10:27</v>
      </c>
      <c r="M13584" s="1" t="s">
        <v>4</v>
      </c>
      <c r="N13584" s="1" t="s">
        <v>38</v>
      </c>
      <c r="O13584" s="1" t="s">
        <v>46</v>
      </c>
    </row>
    <row r="13585" spans="2:15" x14ac:dyDescent="0.3">
      <c r="B13585" s="1" t="s">
        <v>20</v>
      </c>
      <c r="C13585" s="1" t="str">
        <f>"1차"</f>
        <v>1차</v>
      </c>
      <c r="D13585" s="1" t="str">
        <f>"9925D20300"</f>
        <v>9925D20300</v>
      </c>
      <c r="E13585" s="1" t="s">
        <v>14</v>
      </c>
      <c r="F13585" s="1" t="str">
        <f>"10.125.224.130"</f>
        <v>10.125.224.130</v>
      </c>
      <c r="G13585" s="1" t="str">
        <f>"9925D203"</f>
        <v>9925D203</v>
      </c>
      <c r="H13585" s="1" t="str">
        <f>"동암간 49L1"</f>
        <v>동암간 49L1</v>
      </c>
      <c r="I13585" s="1" t="s">
        <v>8</v>
      </c>
      <c r="J13585" s="1" t="str">
        <f>"0/0"</f>
        <v>0/0</v>
      </c>
      <c r="K13585" s="1" t="str">
        <f>"2026-06-26 07:18:10"</f>
        <v>2026-06-26 07:18:10</v>
      </c>
      <c r="L13585" s="1" t="str">
        <f>"2014-11-21 17:52:34"</f>
        <v>2014-11-21 17:52:34</v>
      </c>
      <c r="M13585" s="1" t="s">
        <v>45</v>
      </c>
      <c r="N13585" s="1" t="s">
        <v>44</v>
      </c>
      <c r="O13585" s="1" t="s">
        <v>44</v>
      </c>
    </row>
    <row r="13586" spans="2:15" x14ac:dyDescent="0.3">
      <c r="B13586" s="1" t="s">
        <v>20</v>
      </c>
      <c r="C13586" s="1" t="str">
        <f>"1차"</f>
        <v>1차</v>
      </c>
      <c r="D13586" s="1" t="str">
        <f>"9925D30201"</f>
        <v>9925D30201</v>
      </c>
      <c r="E13586" s="1" t="s">
        <v>14</v>
      </c>
      <c r="F13586" s="1" t="str">
        <f>"10.125.224.132"</f>
        <v>10.125.224.132</v>
      </c>
      <c r="G13586" s="1" t="str">
        <f>"9925D302"</f>
        <v>9925D302</v>
      </c>
      <c r="H13586" s="1" t="str">
        <f>"동암간 49L2"</f>
        <v>동암간 49L2</v>
      </c>
      <c r="I13586" s="1" t="s">
        <v>8</v>
      </c>
      <c r="J13586" s="1" t="str">
        <f>"0/0"</f>
        <v>0/0</v>
      </c>
      <c r="K13586" s="1" t="str">
        <f>"2026-04-11 20:03:39"</f>
        <v>2026-04-11 20:03:39</v>
      </c>
      <c r="L13586" s="1" t="str">
        <f>"2014-12-03 10:30:28"</f>
        <v>2014-12-03 10:30:28</v>
      </c>
      <c r="M13586" s="1" t="s">
        <v>45</v>
      </c>
      <c r="N13586" s="1" t="s">
        <v>44</v>
      </c>
      <c r="O13586" s="1" t="s">
        <v>44</v>
      </c>
    </row>
    <row r="13587" spans="2:15" x14ac:dyDescent="0.3">
      <c r="B13587" s="1" t="s">
        <v>20</v>
      </c>
      <c r="C13587" s="1" t="str">
        <f>"4차"</f>
        <v>4차</v>
      </c>
      <c r="D13587" s="1" t="str">
        <f>"9925D31244"</f>
        <v>9925D31244</v>
      </c>
      <c r="E13587" s="1" t="s">
        <v>10</v>
      </c>
      <c r="F13587" s="1" t="str">
        <f>"10.10.137.130"</f>
        <v>10.10.137.130</v>
      </c>
      <c r="G13587" s="1" t="str">
        <f>"9925D312"</f>
        <v>9925D312</v>
      </c>
      <c r="H13587" s="1" t="str">
        <f>"동암간 49L4"</f>
        <v>동암간 49L4</v>
      </c>
      <c r="I13587" s="1" t="s">
        <v>8</v>
      </c>
      <c r="J13587" s="1" t="str">
        <f>"5/5"</f>
        <v>5/5</v>
      </c>
      <c r="K13587" s="1" t="str">
        <f>"2026-07-29 13:18:10"</f>
        <v>2026-07-29 13:18:10</v>
      </c>
      <c r="L13587" s="1" t="str">
        <f>"2020-01-21 16:55:06"</f>
        <v>2020-01-21 16:55:06</v>
      </c>
      <c r="M13587" s="1" t="s">
        <v>1</v>
      </c>
      <c r="N13587" s="1" t="s">
        <v>38</v>
      </c>
      <c r="O13587" s="1" t="s">
        <v>46</v>
      </c>
    </row>
    <row r="13588" spans="2:15" x14ac:dyDescent="0.3">
      <c r="B13588" s="1" t="s">
        <v>20</v>
      </c>
      <c r="C13588" s="1" t="str">
        <f>"5-2차"</f>
        <v>5-2차</v>
      </c>
      <c r="D13588" s="1" t="str">
        <f>"9925D4025S"</f>
        <v>9925D4025S</v>
      </c>
      <c r="E13588" s="1" t="s">
        <v>10</v>
      </c>
      <c r="F13588" s="1" t="str">
        <f>"fde3:102:1301:1500:0:0:0:2"</f>
        <v>fde3:102:1301:1500:0:0:0:2</v>
      </c>
      <c r="G13588" s="1" t="str">
        <f>"9925D402"</f>
        <v>9925D402</v>
      </c>
      <c r="H13588" s="1" t="str">
        <f>"동암간 37L3L1"</f>
        <v>동암간 37L3L1</v>
      </c>
      <c r="I13588" s="1" t="s">
        <v>15</v>
      </c>
      <c r="J13588" s="1" t="str">
        <f>"31/32"</f>
        <v>31/32</v>
      </c>
      <c r="K13588" s="1" t="str">
        <f>"2026-07-29 14:21:30"</f>
        <v>2026-07-29 14:21:30</v>
      </c>
      <c r="L13588" s="1" t="str">
        <f>"2023-10-17 14:21:43"</f>
        <v>2023-10-17 14:21:43</v>
      </c>
      <c r="M13588" s="1" t="s">
        <v>45</v>
      </c>
      <c r="N13588" s="1" t="s">
        <v>38</v>
      </c>
      <c r="O13588" s="1" t="s">
        <v>46</v>
      </c>
    </row>
    <row r="13589" spans="2:15" x14ac:dyDescent="0.3">
      <c r="B13589" s="1" t="s">
        <v>20</v>
      </c>
      <c r="C13589" s="1" t="str">
        <f>"5-2차"</f>
        <v>5-2차</v>
      </c>
      <c r="D13589" s="1" t="str">
        <f>"9925D5015M"</f>
        <v>9925D5015M</v>
      </c>
      <c r="E13589" s="1" t="s">
        <v>10</v>
      </c>
      <c r="F13589" s="1" t="str">
        <f>"fde3:102:1301:1500:0:0:0:3"</f>
        <v>fde3:102:1301:1500:0:0:0:3</v>
      </c>
      <c r="G13589" s="1" t="str">
        <f>"9925D501"</f>
        <v>9925D501</v>
      </c>
      <c r="H13589" s="1" t="str">
        <f>"동암간 37L2"</f>
        <v>동암간 37L2</v>
      </c>
      <c r="I13589" s="1" t="s">
        <v>15</v>
      </c>
      <c r="J13589" s="1" t="str">
        <f>"59/59"</f>
        <v>59/59</v>
      </c>
      <c r="K13589" s="1" t="str">
        <f>"2026-07-29 14:21:22"</f>
        <v>2026-07-29 14:21:22</v>
      </c>
      <c r="L13589" s="1" t="str">
        <f>"2023-10-26 11:05:46"</f>
        <v>2023-10-26 11:05:46</v>
      </c>
      <c r="M13589" s="1" t="s">
        <v>45</v>
      </c>
      <c r="N13589" s="1" t="s">
        <v>38</v>
      </c>
      <c r="O13589" s="1" t="s">
        <v>46</v>
      </c>
    </row>
    <row r="13590" spans="2:15" x14ac:dyDescent="0.3">
      <c r="B13590" s="1" t="s">
        <v>20</v>
      </c>
      <c r="C13590" s="1" t="str">
        <f>"1차"</f>
        <v>1차</v>
      </c>
      <c r="D13590" s="1" t="str">
        <f>"9925D61300"</f>
        <v>9925D61300</v>
      </c>
      <c r="E13590" s="1" t="s">
        <v>10</v>
      </c>
      <c r="F13590" s="1" t="str">
        <f>"10.125.224.90"</f>
        <v>10.125.224.90</v>
      </c>
      <c r="G13590" s="1" t="str">
        <f>"9925D613"</f>
        <v>9925D613</v>
      </c>
      <c r="H13590" s="1" t="str">
        <f>"동암간 37L1"</f>
        <v>동암간 37L1</v>
      </c>
      <c r="I13590" s="1" t="s">
        <v>8</v>
      </c>
      <c r="J13590" s="1" t="str">
        <f>"19/19"</f>
        <v>19/19</v>
      </c>
      <c r="K13590" s="1" t="str">
        <f>"2026-07-29 13:18:10"</f>
        <v>2026-07-29 13:18:10</v>
      </c>
      <c r="L13590" s="1" t="str">
        <f>"2014-11-24 13:16:04"</f>
        <v>2014-11-24 13:16:04</v>
      </c>
      <c r="M13590" s="1" t="s">
        <v>45</v>
      </c>
      <c r="N13590" s="1" t="s">
        <v>38</v>
      </c>
      <c r="O13590" s="1" t="s">
        <v>46</v>
      </c>
    </row>
    <row r="13591" spans="2:15" x14ac:dyDescent="0.3">
      <c r="B13591" s="1" t="s">
        <v>20</v>
      </c>
      <c r="C13591" s="1" t="str">
        <f>"6차"</f>
        <v>6차</v>
      </c>
      <c r="D13591" s="1" t="str">
        <f>"9925D6226M"</f>
        <v>9925D6226M</v>
      </c>
      <c r="E13591" s="1" t="s">
        <v>10</v>
      </c>
      <c r="F13591" s="1" t="str">
        <f>"fde1:103:4:c765:0:0:0:2"</f>
        <v>fde1:103:4:c765:0:0:0:2</v>
      </c>
      <c r="G13591" s="1" t="str">
        <f>"9925D622"</f>
        <v>9925D622</v>
      </c>
      <c r="H13591" s="1" t="str">
        <f>"동암간 38H1"</f>
        <v>동암간 38H1</v>
      </c>
      <c r="I13591" s="1" t="s">
        <v>15</v>
      </c>
      <c r="J13591" s="1" t="str">
        <f>"28/28"</f>
        <v>28/28</v>
      </c>
      <c r="K13591" s="1" t="str">
        <f>"2026-07-29 14:21:31"</f>
        <v>2026-07-29 14:21:31</v>
      </c>
      <c r="L13591" s="1" t="str">
        <f>"2024-12-03 11:28:12"</f>
        <v>2024-12-03 11:28:12</v>
      </c>
      <c r="M13591" s="1" t="s">
        <v>4</v>
      </c>
      <c r="N13591" s="1" t="s">
        <v>38</v>
      </c>
      <c r="O13591" s="1" t="s">
        <v>46</v>
      </c>
    </row>
    <row r="13592" spans="2:15" x14ac:dyDescent="0.3">
      <c r="B13592" s="1" t="s">
        <v>20</v>
      </c>
      <c r="C13592" s="1" t="str">
        <f>"6차"</f>
        <v>6차</v>
      </c>
      <c r="D13592" s="1" t="str">
        <f>"9925D7016S"</f>
        <v>9925D7016S</v>
      </c>
      <c r="E13592" s="1" t="s">
        <v>10</v>
      </c>
      <c r="F13592" s="1" t="str">
        <f>"fde3:102:1301:4500:0:0:0:3"</f>
        <v>fde3:102:1301:4500:0:0:0:3</v>
      </c>
      <c r="G13592" s="1" t="str">
        <f>"9925D701"</f>
        <v>9925D701</v>
      </c>
      <c r="H13592" s="1" t="str">
        <f>"동암간 34"</f>
        <v>동암간 34</v>
      </c>
      <c r="I13592" s="1" t="s">
        <v>15</v>
      </c>
      <c r="J13592" s="1" t="str">
        <f>"23/24"</f>
        <v>23/24</v>
      </c>
      <c r="K13592" s="1" t="str">
        <f>"2026-07-29 14:21:30"</f>
        <v>2026-07-29 14:21:30</v>
      </c>
      <c r="L13592" s="1" t="str">
        <f>"2024-12-02 10:17:04"</f>
        <v>2024-12-02 10:17:04</v>
      </c>
      <c r="M13592" s="1" t="s">
        <v>45</v>
      </c>
      <c r="N13592" s="1" t="s">
        <v>38</v>
      </c>
      <c r="O13592" s="1" t="s">
        <v>46</v>
      </c>
    </row>
    <row r="13593" spans="2:15" x14ac:dyDescent="0.3">
      <c r="B13593" s="1" t="s">
        <v>20</v>
      </c>
      <c r="C13593" s="1" t="str">
        <f>"4차"</f>
        <v>4차</v>
      </c>
      <c r="D13593" s="1" t="str">
        <f>"9925D70544"</f>
        <v>9925D70544</v>
      </c>
      <c r="E13593" s="1" t="s">
        <v>10</v>
      </c>
      <c r="F13593" s="1" t="str">
        <f>"10.10.137.138"</f>
        <v>10.10.137.138</v>
      </c>
      <c r="G13593" s="1" t="str">
        <f>"9925D705"</f>
        <v>9925D705</v>
      </c>
      <c r="H13593" s="1" t="str">
        <f>"동암간 34R1R1"</f>
        <v>동암간 34R1R1</v>
      </c>
      <c r="I13593" s="1" t="s">
        <v>8</v>
      </c>
      <c r="J13593" s="1" t="str">
        <f>"32/32"</f>
        <v>32/32</v>
      </c>
      <c r="K13593" s="1" t="str">
        <f>"2026-07-29 13:18:10"</f>
        <v>2026-07-29 13:18:10</v>
      </c>
      <c r="L13593" s="1" t="str">
        <f>"2020-01-21 16:40:41"</f>
        <v>2020-01-21 16:40:41</v>
      </c>
      <c r="M13593" s="1" t="s">
        <v>1</v>
      </c>
      <c r="N13593" s="1" t="s">
        <v>38</v>
      </c>
      <c r="O13593" s="1" t="s">
        <v>46</v>
      </c>
    </row>
    <row r="13594" spans="2:15" x14ac:dyDescent="0.3">
      <c r="B13594" s="1" t="s">
        <v>20</v>
      </c>
      <c r="C13594" s="1" t="str">
        <f>"1차"</f>
        <v>1차</v>
      </c>
      <c r="D13594" s="1" t="str">
        <f>"9925D71101"</f>
        <v>9925D71101</v>
      </c>
      <c r="E13594" s="1" t="s">
        <v>10</v>
      </c>
      <c r="F13594" s="1" t="str">
        <f>"10.125.224.91"</f>
        <v>10.125.224.91</v>
      </c>
      <c r="G13594" s="1" t="str">
        <f>"9925D711"</f>
        <v>9925D711</v>
      </c>
      <c r="H13594" s="1" t="str">
        <f>"동암간 36"</f>
        <v>동암간 36</v>
      </c>
      <c r="I13594" s="1" t="s">
        <v>8</v>
      </c>
      <c r="J13594" s="1" t="str">
        <f>"14/14"</f>
        <v>14/14</v>
      </c>
      <c r="K13594" s="1" t="str">
        <f>"2026-07-29 13:18:10"</f>
        <v>2026-07-29 13:18:10</v>
      </c>
      <c r="L13594" s="1" t="str">
        <f>"2014-11-24 13:17:39"</f>
        <v>2014-11-24 13:17:39</v>
      </c>
      <c r="M13594" s="1" t="s">
        <v>45</v>
      </c>
      <c r="N13594" s="1" t="s">
        <v>38</v>
      </c>
      <c r="O13594" s="1" t="s">
        <v>46</v>
      </c>
    </row>
    <row r="13595" spans="2:15" x14ac:dyDescent="0.3">
      <c r="B13595" s="1" t="s">
        <v>20</v>
      </c>
      <c r="C13595" s="1" t="str">
        <f>"5-2차"</f>
        <v>5-2차</v>
      </c>
      <c r="D13595" s="1" t="str">
        <f>"9925D7425M"</f>
        <v>9925D7425M</v>
      </c>
      <c r="E13595" s="1" t="s">
        <v>10</v>
      </c>
      <c r="F13595" s="1" t="str">
        <f>"fde1:103:4:5629:0:0:0:2"</f>
        <v>fde1:103:4:5629:0:0:0:2</v>
      </c>
      <c r="G13595" s="1" t="str">
        <f>"9925D742"</f>
        <v>9925D742</v>
      </c>
      <c r="H13595" s="1" t="str">
        <f>"동암간 36R11"</f>
        <v>동암간 36R11</v>
      </c>
      <c r="I13595" s="1" t="s">
        <v>15</v>
      </c>
      <c r="J13595" s="1" t="str">
        <f>"34/38"</f>
        <v>34/38</v>
      </c>
      <c r="K13595" s="1" t="str">
        <f>"2026-07-29 14:21:31"</f>
        <v>2026-07-29 14:21:31</v>
      </c>
      <c r="L13595" s="1" t="str">
        <f>"2023-09-04 15:17:52"</f>
        <v>2023-09-04 15:17:52</v>
      </c>
      <c r="M13595" s="1" t="s">
        <v>4</v>
      </c>
      <c r="N13595" s="1" t="s">
        <v>38</v>
      </c>
      <c r="O13595" s="1" t="s">
        <v>46</v>
      </c>
    </row>
    <row r="13596" spans="2:15" x14ac:dyDescent="0.3">
      <c r="B13596" s="1" t="s">
        <v>20</v>
      </c>
      <c r="C13596" s="1" t="str">
        <f>"4차"</f>
        <v>4차</v>
      </c>
      <c r="D13596" s="1" t="str">
        <f>"9925D75145"</f>
        <v>9925D75145</v>
      </c>
      <c r="E13596" s="1" t="s">
        <v>12</v>
      </c>
      <c r="F13596" s="1" t="str">
        <f>"10.14.6.3"</f>
        <v>10.14.6.3</v>
      </c>
      <c r="G13596" s="1" t="str">
        <f>"9925D751"</f>
        <v>9925D751</v>
      </c>
      <c r="H13596" s="1" t="str">
        <f>"도동로 2-1T"</f>
        <v>도동로 2-1T</v>
      </c>
      <c r="I13596" s="1" t="s">
        <v>17</v>
      </c>
      <c r="J13596" s="1" t="str">
        <f>"0/25"</f>
        <v>0/25</v>
      </c>
      <c r="K13596" s="1" t="str">
        <f>"2026-07-28 07:18:12"</f>
        <v>2026-07-28 07:18:12</v>
      </c>
      <c r="L13596" s="1" t="str">
        <f>"2021-06-16 13:26:36"</f>
        <v>2021-06-16 13:26:36</v>
      </c>
      <c r="M13596" s="1" t="s">
        <v>3</v>
      </c>
      <c r="N13596" s="1" t="s">
        <v>38</v>
      </c>
      <c r="O13596" s="1" t="s">
        <v>46</v>
      </c>
    </row>
    <row r="13597" spans="2:15" x14ac:dyDescent="0.3">
      <c r="B13597" s="1" t="s">
        <v>20</v>
      </c>
      <c r="C13597" s="1" t="str">
        <f>"5-2차"</f>
        <v>5-2차</v>
      </c>
      <c r="D13597" s="1" t="str">
        <f>"9925D8125M"</f>
        <v>9925D8125M</v>
      </c>
      <c r="E13597" s="1" t="s">
        <v>10</v>
      </c>
      <c r="F13597" s="1" t="str">
        <f>"fde1:103:4:5697:0:0:0:2"</f>
        <v>fde1:103:4:5697:0:0:0:2</v>
      </c>
      <c r="G13597" s="1" t="str">
        <f>"9925D812"</f>
        <v>9925D812</v>
      </c>
      <c r="H13597" s="1" t="str">
        <f>"동암간 34R3"</f>
        <v>동암간 34R3</v>
      </c>
      <c r="I13597" s="1" t="s">
        <v>15</v>
      </c>
      <c r="J13597" s="1" t="str">
        <f>"35/37"</f>
        <v>35/37</v>
      </c>
      <c r="K13597" s="1" t="str">
        <f>"2026-07-29 14:21:30"</f>
        <v>2026-07-29 14:21:30</v>
      </c>
      <c r="L13597" s="1" t="str">
        <f>"2023-09-04 15:39:07"</f>
        <v>2023-09-04 15:39:07</v>
      </c>
      <c r="M13597" s="1" t="s">
        <v>4</v>
      </c>
      <c r="N13597" s="1" t="s">
        <v>38</v>
      </c>
      <c r="O13597" s="1" t="s">
        <v>46</v>
      </c>
    </row>
    <row r="13598" spans="2:15" x14ac:dyDescent="0.3">
      <c r="B13598" s="1" t="s">
        <v>20</v>
      </c>
      <c r="C13598" s="1" t="str">
        <f>"6차"</f>
        <v>6차</v>
      </c>
      <c r="D13598" s="1" t="str">
        <f>"9925D8216M"</f>
        <v>9925D8216M</v>
      </c>
      <c r="E13598" s="1" t="s">
        <v>10</v>
      </c>
      <c r="F13598" s="1" t="str">
        <f>"fde1:103:4:c75e:0:0:0:2"</f>
        <v>fde1:103:4:c75e:0:0:0:2</v>
      </c>
      <c r="G13598" s="1" t="str">
        <f>"9925D821"</f>
        <v>9925D821</v>
      </c>
      <c r="H13598" s="1" t="str">
        <f>"동암간 36R3"</f>
        <v>동암간 36R3</v>
      </c>
      <c r="I13598" s="1" t="s">
        <v>15</v>
      </c>
      <c r="J13598" s="1" t="str">
        <f>"50/50"</f>
        <v>50/50</v>
      </c>
      <c r="K13598" s="1" t="str">
        <f>"2026-07-29 14:21:40"</f>
        <v>2026-07-29 14:21:40</v>
      </c>
      <c r="L13598" s="1" t="str">
        <f>"2024-11-26 13:52:55"</f>
        <v>2024-11-26 13:52:55</v>
      </c>
      <c r="M13598" s="1" t="s">
        <v>4</v>
      </c>
      <c r="N13598" s="1" t="s">
        <v>38</v>
      </c>
      <c r="O13598" s="1" t="s">
        <v>46</v>
      </c>
    </row>
    <row r="13599" spans="2:15" x14ac:dyDescent="0.3">
      <c r="B13599" s="1" t="s">
        <v>20</v>
      </c>
      <c r="C13599" s="1" t="str">
        <f>"5-2차"</f>
        <v>5-2차</v>
      </c>
      <c r="D13599" s="1" t="str">
        <f>"9925D8225M"</f>
        <v>9925D8225M</v>
      </c>
      <c r="E13599" s="1" t="s">
        <v>10</v>
      </c>
      <c r="F13599" s="1" t="str">
        <f>"fde1:103:4:5635:0:0:0:2"</f>
        <v>fde1:103:4:5635:0:0:0:2</v>
      </c>
      <c r="G13599" s="1" t="str">
        <f>"9925D822"</f>
        <v>9925D822</v>
      </c>
      <c r="H13599" s="1" t="str">
        <f>"동암간 36R2"</f>
        <v>동암간 36R2</v>
      </c>
      <c r="I13599" s="1" t="s">
        <v>15</v>
      </c>
      <c r="J13599" s="1" t="str">
        <f>"17/17"</f>
        <v>17/17</v>
      </c>
      <c r="K13599" s="1" t="str">
        <f>"2026-07-29 14:21:23"</f>
        <v>2026-07-29 14:21:23</v>
      </c>
      <c r="L13599" s="1" t="str">
        <f>"2023-09-04 15:40:41"</f>
        <v>2023-09-04 15:40:41</v>
      </c>
      <c r="M13599" s="1" t="s">
        <v>4</v>
      </c>
      <c r="N13599" s="1" t="s">
        <v>38</v>
      </c>
      <c r="O13599" s="1" t="s">
        <v>46</v>
      </c>
    </row>
    <row r="13600" spans="2:15" x14ac:dyDescent="0.3">
      <c r="B13600" s="1" t="s">
        <v>20</v>
      </c>
      <c r="C13600" s="1" t="str">
        <f>"1차"</f>
        <v>1차</v>
      </c>
      <c r="D13600" s="1" t="str">
        <f>"9925D84100"</f>
        <v>9925D84100</v>
      </c>
      <c r="E13600" s="1" t="s">
        <v>10</v>
      </c>
      <c r="F13600" s="1" t="str">
        <f>"10.125.229.210"</f>
        <v>10.125.229.210</v>
      </c>
      <c r="G13600" s="1" t="str">
        <f>"9925D841"</f>
        <v>9925D841</v>
      </c>
      <c r="H13600" s="1" t="str">
        <f>"동암간 36R10"</f>
        <v>동암간 36R10</v>
      </c>
      <c r="I13600" s="1" t="s">
        <v>8</v>
      </c>
      <c r="J13600" s="1" t="str">
        <f>"22/22"</f>
        <v>22/22</v>
      </c>
      <c r="K13600" s="1" t="str">
        <f>"2026-07-29 13:18:10"</f>
        <v>2026-07-29 13:18:10</v>
      </c>
      <c r="L13600" s="1" t="str">
        <f>"2014-11-20 15:37:01"</f>
        <v>2014-11-20 15:37:01</v>
      </c>
      <c r="M13600" s="1" t="s">
        <v>45</v>
      </c>
      <c r="N13600" s="1" t="s">
        <v>38</v>
      </c>
      <c r="O13600" s="1" t="s">
        <v>46</v>
      </c>
    </row>
    <row r="13601" spans="2:15" x14ac:dyDescent="0.3">
      <c r="B13601" s="1" t="s">
        <v>20</v>
      </c>
      <c r="C13601" s="1" t="str">
        <f>"5-2차"</f>
        <v>5-2차</v>
      </c>
      <c r="D13601" s="1" t="str">
        <f>"9925D9115M"</f>
        <v>9925D9115M</v>
      </c>
      <c r="E13601" s="1" t="s">
        <v>10</v>
      </c>
      <c r="F13601" s="1" t="str">
        <f>"fde1:103:4:566a:0:0:0:2"</f>
        <v>fde1:103:4:566a:0:0:0:2</v>
      </c>
      <c r="G13601" s="1" t="str">
        <f>"9925D911"</f>
        <v>9925D911</v>
      </c>
      <c r="H13601" s="1" t="str">
        <f>"해암지 9L19L5"</f>
        <v>해암지 9L19L5</v>
      </c>
      <c r="I13601" s="1" t="s">
        <v>15</v>
      </c>
      <c r="J13601" s="1" t="str">
        <f>"73/73"</f>
        <v>73/73</v>
      </c>
      <c r="K13601" s="1" t="str">
        <f>"2026-07-29 14:21:31"</f>
        <v>2026-07-29 14:21:31</v>
      </c>
      <c r="L13601" s="1" t="str">
        <f>"2023-09-04 15:42:17"</f>
        <v>2023-09-04 15:42:17</v>
      </c>
      <c r="M13601" s="1" t="s">
        <v>4</v>
      </c>
      <c r="N13601" s="1" t="s">
        <v>38</v>
      </c>
      <c r="O13601" s="1" t="s">
        <v>46</v>
      </c>
    </row>
    <row r="13602" spans="2:15" x14ac:dyDescent="0.3">
      <c r="B13602" s="1" t="s">
        <v>20</v>
      </c>
      <c r="C13602" s="1" t="str">
        <f>"4차"</f>
        <v>4차</v>
      </c>
      <c r="D13602" s="1" t="str">
        <f>"9925D92144"</f>
        <v>9925D92144</v>
      </c>
      <c r="E13602" s="1" t="s">
        <v>10</v>
      </c>
      <c r="F13602" s="1" t="str">
        <f>"10.10.137.146"</f>
        <v>10.10.137.146</v>
      </c>
      <c r="G13602" s="1" t="str">
        <f>"9925D921"</f>
        <v>9925D921</v>
      </c>
      <c r="H13602" s="1" t="str">
        <f>"해암지 9L19L4"</f>
        <v>해암지 9L19L4</v>
      </c>
      <c r="I13602" s="1" t="s">
        <v>8</v>
      </c>
      <c r="J13602" s="1" t="str">
        <f>"4/4"</f>
        <v>4/4</v>
      </c>
      <c r="K13602" s="1" t="str">
        <f>"2026-07-29 13:18:10"</f>
        <v>2026-07-29 13:18:10</v>
      </c>
      <c r="L13602" s="1" t="str">
        <f>"2020-01-21 16:54:33"</f>
        <v>2020-01-21 16:54:33</v>
      </c>
      <c r="M13602" s="1" t="s">
        <v>1</v>
      </c>
      <c r="N13602" s="1" t="s">
        <v>38</v>
      </c>
      <c r="O13602" s="1" t="s">
        <v>46</v>
      </c>
    </row>
    <row r="13603" spans="2:15" x14ac:dyDescent="0.3">
      <c r="B13603" s="1" t="s">
        <v>20</v>
      </c>
      <c r="C13603" s="1" t="str">
        <f>"4차"</f>
        <v>4차</v>
      </c>
      <c r="D13603" s="1" t="str">
        <f>"9925D93144"</f>
        <v>9925D93144</v>
      </c>
      <c r="E13603" s="1" t="s">
        <v>10</v>
      </c>
      <c r="F13603" s="1" t="str">
        <f>"10.10.137.154"</f>
        <v>10.10.137.154</v>
      </c>
      <c r="G13603" s="1" t="str">
        <f>"9925D931"</f>
        <v>9925D931</v>
      </c>
      <c r="H13603" s="1" t="str">
        <f>"동암간 36R4"</f>
        <v>동암간 36R4</v>
      </c>
      <c r="I13603" s="1" t="s">
        <v>8</v>
      </c>
      <c r="J13603" s="1" t="str">
        <f>"23/23"</f>
        <v>23/23</v>
      </c>
      <c r="K13603" s="1" t="str">
        <f>"2026-07-29 13:18:10"</f>
        <v>2026-07-29 13:18:10</v>
      </c>
      <c r="L13603" s="1" t="str">
        <f>"2020-01-21 16:45:00"</f>
        <v>2020-01-21 16:45:00</v>
      </c>
      <c r="M13603" s="1" t="s">
        <v>1</v>
      </c>
      <c r="N13603" s="1" t="s">
        <v>38</v>
      </c>
      <c r="O13603" s="1" t="s">
        <v>46</v>
      </c>
    </row>
    <row r="13604" spans="2:15" x14ac:dyDescent="0.3">
      <c r="B13604" s="1" t="s">
        <v>20</v>
      </c>
      <c r="C13604" s="1" t="str">
        <f>"5-2차"</f>
        <v>5-2차</v>
      </c>
      <c r="D13604" s="1" t="str">
        <f>"9925D9325S"</f>
        <v>9925D9325S</v>
      </c>
      <c r="E13604" s="1" t="s">
        <v>10</v>
      </c>
      <c r="F13604" s="1" t="str">
        <f>"fde1:103:4:5a47:0:0:0:2"</f>
        <v>fde1:103:4:5a47:0:0:0:2</v>
      </c>
      <c r="G13604" s="1" t="str">
        <f>"9925D932"</f>
        <v>9925D932</v>
      </c>
      <c r="H13604" s="1" t="str">
        <f>"동암간 36R6"</f>
        <v>동암간 36R6</v>
      </c>
      <c r="I13604" s="1" t="s">
        <v>15</v>
      </c>
      <c r="J13604" s="1" t="str">
        <f>"30/30"</f>
        <v>30/30</v>
      </c>
      <c r="K13604" s="1" t="str">
        <f>"2026-07-29 14:21:23"</f>
        <v>2026-07-29 14:21:23</v>
      </c>
      <c r="L13604" s="1" t="str">
        <f>"2023-09-12 15:29:13"</f>
        <v>2023-09-12 15:29:13</v>
      </c>
      <c r="M13604" s="1" t="s">
        <v>4</v>
      </c>
      <c r="N13604" s="1" t="s">
        <v>38</v>
      </c>
      <c r="O13604" s="1" t="s">
        <v>46</v>
      </c>
    </row>
    <row r="13605" spans="2:15" x14ac:dyDescent="0.3">
      <c r="B13605" s="1" t="s">
        <v>20</v>
      </c>
      <c r="C13605" s="1" t="str">
        <f>"1차"</f>
        <v>1차</v>
      </c>
      <c r="D13605" s="1" t="str">
        <f>"9925D93400"</f>
        <v>9925D93400</v>
      </c>
      <c r="E13605" s="1" t="s">
        <v>10</v>
      </c>
      <c r="F13605" s="1" t="str">
        <f>"10.125.229.202"</f>
        <v>10.125.229.202</v>
      </c>
      <c r="G13605" s="1" t="str">
        <f>"9925D934"</f>
        <v>9925D934</v>
      </c>
      <c r="H13605" s="1" t="str">
        <f>"동암간 36R5"</f>
        <v>동암간 36R5</v>
      </c>
      <c r="I13605" s="1" t="s">
        <v>8</v>
      </c>
      <c r="J13605" s="1" t="str">
        <f>"22/22"</f>
        <v>22/22</v>
      </c>
      <c r="K13605" s="1" t="str">
        <f>"2026-07-29 13:18:10"</f>
        <v>2026-07-29 13:18:10</v>
      </c>
      <c r="L13605" s="1" t="str">
        <f>"2015-03-24 11:37:51"</f>
        <v>2015-03-24 11:37:51</v>
      </c>
      <c r="M13605" s="1" t="s">
        <v>45</v>
      </c>
      <c r="N13605" s="1" t="s">
        <v>38</v>
      </c>
      <c r="O13605" s="1" t="s">
        <v>46</v>
      </c>
    </row>
    <row r="13606" spans="2:15" x14ac:dyDescent="0.3">
      <c r="B13606" s="1" t="s">
        <v>20</v>
      </c>
      <c r="C13606" s="1" t="str">
        <f>"5-1차"</f>
        <v>5-1차</v>
      </c>
      <c r="D13606" s="1" t="str">
        <f>"9925G0015M"</f>
        <v>9925G0015M</v>
      </c>
      <c r="E13606" s="1" t="s">
        <v>10</v>
      </c>
      <c r="F13606" s="1" t="str">
        <f>"fde3:102:1301:4500:0:0:0:2"</f>
        <v>fde3:102:1301:4500:0:0:0:2</v>
      </c>
      <c r="G13606" s="1" t="str">
        <f>"9925G001"</f>
        <v>9925G001</v>
      </c>
      <c r="H13606" s="1" t="str">
        <f>"해암지 9L18"</f>
        <v>해암지 9L18</v>
      </c>
      <c r="I13606" s="1" t="s">
        <v>15</v>
      </c>
      <c r="J13606" s="1" t="str">
        <f>"24/24"</f>
        <v>24/24</v>
      </c>
      <c r="K13606" s="1" t="str">
        <f>"2026-07-29 14:21:32"</f>
        <v>2026-07-29 14:21:32</v>
      </c>
      <c r="L13606" s="1" t="str">
        <f>"2022-12-09 09:29:41"</f>
        <v>2022-12-09 09:29:41</v>
      </c>
      <c r="M13606" s="1" t="s">
        <v>45</v>
      </c>
      <c r="N13606" s="1" t="s">
        <v>38</v>
      </c>
      <c r="O13606" s="1" t="s">
        <v>46</v>
      </c>
    </row>
    <row r="13607" spans="2:15" x14ac:dyDescent="0.3">
      <c r="B13607" s="1" t="s">
        <v>20</v>
      </c>
      <c r="C13607" s="1" t="str">
        <f>"1차"</f>
        <v>1차</v>
      </c>
      <c r="D13607" s="1" t="str">
        <f>"9925G02200"</f>
        <v>9925G02200</v>
      </c>
      <c r="E13607" s="1" t="s">
        <v>10</v>
      </c>
      <c r="F13607" s="1" t="str">
        <f>"10.125.229.218"</f>
        <v>10.125.229.218</v>
      </c>
      <c r="G13607" s="1" t="str">
        <f>"9925G022"</f>
        <v>9925G022</v>
      </c>
      <c r="H13607" s="1" t="str">
        <f>"해암지 9L19L2"</f>
        <v>해암지 9L19L2</v>
      </c>
      <c r="I13607" s="1" t="s">
        <v>8</v>
      </c>
      <c r="J13607" s="1" t="str">
        <f>"19/19"</f>
        <v>19/19</v>
      </c>
      <c r="K13607" s="1" t="str">
        <f>"2026-07-29 13:18:11"</f>
        <v>2026-07-29 13:18:11</v>
      </c>
      <c r="L13607" s="1" t="str">
        <f>"2014-11-20 15:37:52"</f>
        <v>2014-11-20 15:37:52</v>
      </c>
      <c r="M13607" s="1" t="s">
        <v>45</v>
      </c>
      <c r="N13607" s="1" t="s">
        <v>38</v>
      </c>
      <c r="O13607" s="1" t="s">
        <v>46</v>
      </c>
    </row>
    <row r="13608" spans="2:15" x14ac:dyDescent="0.3">
      <c r="B13608" s="1" t="s">
        <v>20</v>
      </c>
      <c r="C13608" s="1" t="str">
        <f>"5-1차"</f>
        <v>5-1차</v>
      </c>
      <c r="D13608" s="1" t="str">
        <f>"9925P0025M"</f>
        <v>9925P0025M</v>
      </c>
      <c r="E13608" s="1" t="s">
        <v>10</v>
      </c>
      <c r="F13608" s="1" t="str">
        <f>"fde3:102:1301:2f00:0:0:0:2"</f>
        <v>fde3:102:1301:2f00:0:0:0:2</v>
      </c>
      <c r="G13608" s="1" t="str">
        <f>"9925P002"</f>
        <v>9925P002</v>
      </c>
      <c r="H13608" s="1" t="str">
        <f>"효청간 58R1L2"</f>
        <v>효청간 58R1L2</v>
      </c>
      <c r="I13608" s="1" t="s">
        <v>15</v>
      </c>
      <c r="J13608" s="1" t="str">
        <f>"37/38"</f>
        <v>37/38</v>
      </c>
      <c r="K13608" s="1" t="str">
        <f>"2026-07-29 14:21:32"</f>
        <v>2026-07-29 14:21:32</v>
      </c>
      <c r="L13608" s="1" t="str">
        <f>"2022-11-08 16:30:21"</f>
        <v>2022-11-08 16:30:21</v>
      </c>
      <c r="M13608" s="1" t="s">
        <v>45</v>
      </c>
      <c r="N13608" s="1" t="s">
        <v>38</v>
      </c>
      <c r="O13608" s="1" t="s">
        <v>46</v>
      </c>
    </row>
    <row r="13609" spans="2:15" x14ac:dyDescent="0.3">
      <c r="B13609" s="1" t="s">
        <v>20</v>
      </c>
      <c r="C13609" s="1" t="str">
        <f t="shared" ref="C13609:C13616" si="689">"5-2차"</f>
        <v>5-2차</v>
      </c>
      <c r="D13609" s="1" t="str">
        <f>"9925P0115M"</f>
        <v>9925P0115M</v>
      </c>
      <c r="E13609" s="1" t="s">
        <v>10</v>
      </c>
      <c r="F13609" s="1" t="str">
        <f>"fde3:102:1301:4502:0:0:0:6"</f>
        <v>fde3:102:1301:4502:0:0:0:6</v>
      </c>
      <c r="G13609" s="1" t="str">
        <f>"9925P011"</f>
        <v>9925P011</v>
      </c>
      <c r="H13609" s="1" t="str">
        <f>"효청간 59"</f>
        <v>효청간 59</v>
      </c>
      <c r="I13609" s="1" t="s">
        <v>15</v>
      </c>
      <c r="J13609" s="1" t="str">
        <f>"72/80"</f>
        <v>72/80</v>
      </c>
      <c r="K13609" s="1" t="str">
        <f>"2026-07-29 14:21:31"</f>
        <v>2026-07-29 14:21:31</v>
      </c>
      <c r="L13609" s="1" t="str">
        <f>"2023-11-23 13:50:16"</f>
        <v>2023-11-23 13:50:16</v>
      </c>
      <c r="M13609" s="1" t="s">
        <v>45</v>
      </c>
      <c r="N13609" s="1" t="s">
        <v>38</v>
      </c>
      <c r="O13609" s="1" t="s">
        <v>46</v>
      </c>
    </row>
    <row r="13610" spans="2:15" x14ac:dyDescent="0.3">
      <c r="B13610" s="1" t="s">
        <v>20</v>
      </c>
      <c r="C13610" s="1" t="str">
        <f t="shared" si="689"/>
        <v>5-2차</v>
      </c>
      <c r="D13610" s="1" t="str">
        <f>"9925P0125M"</f>
        <v>9925P0125M</v>
      </c>
      <c r="E13610" s="1" t="s">
        <v>10</v>
      </c>
      <c r="F13610" s="1" t="str">
        <f>"fde3:102:1301:4502:0:0:0:5"</f>
        <v>fde3:102:1301:4502:0:0:0:5</v>
      </c>
      <c r="G13610" s="1" t="str">
        <f>"9925P012"</f>
        <v>9925P012</v>
      </c>
      <c r="H13610" s="1" t="str">
        <f>"효청간 59H1"</f>
        <v>효청간 59H1</v>
      </c>
      <c r="I13610" s="1" t="s">
        <v>15</v>
      </c>
      <c r="J13610" s="1" t="str">
        <f>"65/70"</f>
        <v>65/70</v>
      </c>
      <c r="K13610" s="1" t="str">
        <f>"2026-07-29 14:21:45"</f>
        <v>2026-07-29 14:21:45</v>
      </c>
      <c r="L13610" s="1" t="str">
        <f>"2023-11-23 13:51:44"</f>
        <v>2023-11-23 13:51:44</v>
      </c>
      <c r="M13610" s="1" t="s">
        <v>45</v>
      </c>
      <c r="N13610" s="1" t="s">
        <v>38</v>
      </c>
      <c r="O13610" s="1" t="s">
        <v>46</v>
      </c>
    </row>
    <row r="13611" spans="2:15" x14ac:dyDescent="0.3">
      <c r="B13611" s="1" t="s">
        <v>20</v>
      </c>
      <c r="C13611" s="1" t="str">
        <f t="shared" si="689"/>
        <v>5-2차</v>
      </c>
      <c r="D13611" s="1" t="str">
        <f>"9925P0325S"</f>
        <v>9925P0325S</v>
      </c>
      <c r="E13611" s="1" t="s">
        <v>10</v>
      </c>
      <c r="F13611" s="1" t="str">
        <f>"fde3:102:1301:2f00:0:0:0:17"</f>
        <v>fde3:102:1301:2f00:0:0:0:17</v>
      </c>
      <c r="G13611" s="1" t="str">
        <f>"9925P032"</f>
        <v>9925P032</v>
      </c>
      <c r="H13611" s="1" t="str">
        <f>"효청간 60H3"</f>
        <v>효청간 60H3</v>
      </c>
      <c r="I13611" s="1" t="s">
        <v>15</v>
      </c>
      <c r="J13611" s="1" t="str">
        <f>"49/57"</f>
        <v>49/57</v>
      </c>
      <c r="K13611" s="1" t="str">
        <f>"2026-07-29 14:21:31"</f>
        <v>2026-07-29 14:21:31</v>
      </c>
      <c r="L13611" s="1" t="str">
        <f>"2023-10-19 12:35:16"</f>
        <v>2023-10-19 12:35:16</v>
      </c>
      <c r="M13611" s="1" t="s">
        <v>45</v>
      </c>
      <c r="N13611" s="1" t="s">
        <v>38</v>
      </c>
      <c r="O13611" s="1" t="s">
        <v>46</v>
      </c>
    </row>
    <row r="13612" spans="2:15" x14ac:dyDescent="0.3">
      <c r="B13612" s="1" t="s">
        <v>20</v>
      </c>
      <c r="C13612" s="1" t="str">
        <f t="shared" si="689"/>
        <v>5-2차</v>
      </c>
      <c r="D13612" s="1" t="str">
        <f>"9925P0425M"</f>
        <v>9925P0425M</v>
      </c>
      <c r="E13612" s="1" t="s">
        <v>10</v>
      </c>
      <c r="F13612" s="1" t="str">
        <f>"fde3:102:1301:3100:0:0:0:8"</f>
        <v>fde3:102:1301:3100:0:0:0:8</v>
      </c>
      <c r="G13612" s="1" t="str">
        <f>"9925P042"</f>
        <v>9925P042</v>
      </c>
      <c r="H13612" s="1" t="str">
        <f>"효청간 62"</f>
        <v>효청간 62</v>
      </c>
      <c r="I13612" s="1" t="s">
        <v>15</v>
      </c>
      <c r="J13612" s="1" t="str">
        <f>"74/77"</f>
        <v>74/77</v>
      </c>
      <c r="K13612" s="1" t="str">
        <f>"2026-07-29 14:21:23"</f>
        <v>2026-07-29 14:21:23</v>
      </c>
      <c r="L13612" s="1" t="str">
        <f>"2023-10-24 15:35:27"</f>
        <v>2023-10-24 15:35:27</v>
      </c>
      <c r="M13612" s="1" t="s">
        <v>45</v>
      </c>
      <c r="N13612" s="1" t="s">
        <v>38</v>
      </c>
      <c r="O13612" s="1" t="s">
        <v>46</v>
      </c>
    </row>
    <row r="13613" spans="2:15" x14ac:dyDescent="0.3">
      <c r="B13613" s="1" t="s">
        <v>20</v>
      </c>
      <c r="C13613" s="1" t="str">
        <f t="shared" si="689"/>
        <v>5-2차</v>
      </c>
      <c r="D13613" s="1" t="str">
        <f>"9925P0525S"</f>
        <v>9925P0525S</v>
      </c>
      <c r="E13613" s="1" t="s">
        <v>10</v>
      </c>
      <c r="F13613" s="1" t="str">
        <f>"fde3:102:1301:3100:0:0:0:7"</f>
        <v>fde3:102:1301:3100:0:0:0:7</v>
      </c>
      <c r="G13613" s="1" t="str">
        <f>"9925P052"</f>
        <v>9925P052</v>
      </c>
      <c r="H13613" s="1" t="str">
        <f>"효청간 64"</f>
        <v>효청간 64</v>
      </c>
      <c r="I13613" s="1" t="s">
        <v>15</v>
      </c>
      <c r="J13613" s="1" t="str">
        <f>"48/50"</f>
        <v>48/50</v>
      </c>
      <c r="K13613" s="1" t="str">
        <f>"2026-07-29 14:21:31"</f>
        <v>2026-07-29 14:21:31</v>
      </c>
      <c r="L13613" s="1" t="str">
        <f>"2023-10-31 16:14:45"</f>
        <v>2023-10-31 16:14:45</v>
      </c>
      <c r="M13613" s="1" t="s">
        <v>45</v>
      </c>
      <c r="N13613" s="1" t="s">
        <v>38</v>
      </c>
      <c r="O13613" s="1" t="s">
        <v>46</v>
      </c>
    </row>
    <row r="13614" spans="2:15" x14ac:dyDescent="0.3">
      <c r="B13614" s="1" t="s">
        <v>20</v>
      </c>
      <c r="C13614" s="1" t="str">
        <f t="shared" si="689"/>
        <v>5-2차</v>
      </c>
      <c r="D13614" s="1" t="str">
        <f>"9925P0535S"</f>
        <v>9925P0535S</v>
      </c>
      <c r="E13614" s="1" t="s">
        <v>10</v>
      </c>
      <c r="F13614" s="1" t="str">
        <f>"fde3:102:1301:3100:0:0:0:5"</f>
        <v>fde3:102:1301:3100:0:0:0:5</v>
      </c>
      <c r="G13614" s="1" t="str">
        <f>"9925P053"</f>
        <v>9925P053</v>
      </c>
      <c r="H13614" s="1" t="str">
        <f>"효청간 63R1H1"</f>
        <v>효청간 63R1H1</v>
      </c>
      <c r="I13614" s="1" t="s">
        <v>15</v>
      </c>
      <c r="J13614" s="1" t="str">
        <f>"34/40"</f>
        <v>34/40</v>
      </c>
      <c r="K13614" s="1" t="str">
        <f>"2026-07-29 14:21:32"</f>
        <v>2026-07-29 14:21:32</v>
      </c>
      <c r="L13614" s="1" t="str">
        <f>"2023-10-19 15:27:21"</f>
        <v>2023-10-19 15:27:21</v>
      </c>
      <c r="M13614" s="1" t="s">
        <v>45</v>
      </c>
      <c r="N13614" s="1" t="s">
        <v>38</v>
      </c>
      <c r="O13614" s="1" t="s">
        <v>46</v>
      </c>
    </row>
    <row r="13615" spans="2:15" x14ac:dyDescent="0.3">
      <c r="B13615" s="1" t="s">
        <v>20</v>
      </c>
      <c r="C13615" s="1" t="str">
        <f t="shared" si="689"/>
        <v>5-2차</v>
      </c>
      <c r="D13615" s="1" t="str">
        <f>"9925P0625S"</f>
        <v>9925P0625S</v>
      </c>
      <c r="E13615" s="1" t="s">
        <v>10</v>
      </c>
      <c r="F13615" s="1" t="str">
        <f>"fde3:102:1301:4502:0:0:0:2"</f>
        <v>fde3:102:1301:4502:0:0:0:2</v>
      </c>
      <c r="G13615" s="1" t="str">
        <f>"9925P062"</f>
        <v>9925P062</v>
      </c>
      <c r="H13615" s="1" t="str">
        <f>"효청간 66"</f>
        <v>효청간 66</v>
      </c>
      <c r="I13615" s="1" t="s">
        <v>15</v>
      </c>
      <c r="J13615" s="1" t="str">
        <f>"42/46"</f>
        <v>42/46</v>
      </c>
      <c r="K13615" s="1" t="str">
        <f>"2026-07-29 14:21:31"</f>
        <v>2026-07-29 14:21:31</v>
      </c>
      <c r="L13615" s="1" t="str">
        <f>"2023-09-21 15:58:52"</f>
        <v>2023-09-21 15:58:52</v>
      </c>
      <c r="M13615" s="1" t="s">
        <v>45</v>
      </c>
      <c r="N13615" s="1" t="s">
        <v>38</v>
      </c>
      <c r="O13615" s="1" t="s">
        <v>46</v>
      </c>
    </row>
    <row r="13616" spans="2:15" x14ac:dyDescent="0.3">
      <c r="B13616" s="1" t="s">
        <v>20</v>
      </c>
      <c r="C13616" s="1" t="str">
        <f t="shared" si="689"/>
        <v>5-2차</v>
      </c>
      <c r="D13616" s="1" t="str">
        <f>"9925P0915M"</f>
        <v>9925P0915M</v>
      </c>
      <c r="E13616" s="1" t="s">
        <v>10</v>
      </c>
      <c r="F13616" s="1" t="str">
        <f>"fde3:102:1301:3100:0:0:0:3"</f>
        <v>fde3:102:1301:3100:0:0:0:3</v>
      </c>
      <c r="G13616" s="1" t="str">
        <f>"9925P091"</f>
        <v>9925P091</v>
      </c>
      <c r="H13616" s="1" t="str">
        <f>"마용간 70R2L4"</f>
        <v>마용간 70R2L4</v>
      </c>
      <c r="I13616" s="1" t="s">
        <v>15</v>
      </c>
      <c r="J13616" s="1" t="str">
        <f>"59/59"</f>
        <v>59/59</v>
      </c>
      <c r="K13616" s="1" t="str">
        <f>"2026-07-29 14:21:40"</f>
        <v>2026-07-29 14:21:40</v>
      </c>
      <c r="L13616" s="1" t="str">
        <f>"2023-11-20 14:27:21"</f>
        <v>2023-11-20 14:27:21</v>
      </c>
      <c r="M13616" s="1" t="s">
        <v>45</v>
      </c>
      <c r="N13616" s="1" t="s">
        <v>38</v>
      </c>
      <c r="O13616" s="1" t="s">
        <v>46</v>
      </c>
    </row>
    <row r="13617" spans="2:15" x14ac:dyDescent="0.3">
      <c r="B13617" s="1" t="s">
        <v>20</v>
      </c>
      <c r="C13617" s="1" t="str">
        <f>"1차"</f>
        <v>1차</v>
      </c>
      <c r="D13617" s="1" t="str">
        <f>"9925P09201"</f>
        <v>9925P09201</v>
      </c>
      <c r="E13617" s="1" t="s">
        <v>10</v>
      </c>
      <c r="F13617" s="1" t="str">
        <f>"10.12.132.85"</f>
        <v>10.12.132.85</v>
      </c>
      <c r="G13617" s="1" t="str">
        <f>"9925P092"</f>
        <v>9925P092</v>
      </c>
      <c r="H13617" s="1" t="str">
        <f>"마용간 70R2L5"</f>
        <v>마용간 70R2L5</v>
      </c>
      <c r="I13617" s="1" t="s">
        <v>8</v>
      </c>
      <c r="J13617" s="1" t="str">
        <f>"25/26"</f>
        <v>25/26</v>
      </c>
      <c r="K13617" s="1" t="str">
        <f>"2026-07-29 13:18:12"</f>
        <v>2026-07-29 13:18:12</v>
      </c>
      <c r="L13617" s="1" t="str">
        <f>"2014-12-01 15:27:44"</f>
        <v>2014-12-01 15:27:44</v>
      </c>
      <c r="M13617" s="1" t="s">
        <v>0</v>
      </c>
      <c r="N13617" s="1" t="s">
        <v>38</v>
      </c>
      <c r="O13617" s="1" t="s">
        <v>46</v>
      </c>
    </row>
    <row r="13618" spans="2:15" x14ac:dyDescent="0.3">
      <c r="B13618" s="1" t="s">
        <v>20</v>
      </c>
      <c r="C13618" s="1" t="str">
        <f>"5-1차"</f>
        <v>5-1차</v>
      </c>
      <c r="D13618" s="1" t="str">
        <f>"9925P1015S"</f>
        <v>9925P1015S</v>
      </c>
      <c r="E13618" s="1" t="s">
        <v>10</v>
      </c>
      <c r="F13618" s="1" t="str">
        <f>"fde2:104:0:102:0:0:0:2"</f>
        <v>fde2:104:0:102:0:0:0:2</v>
      </c>
      <c r="G13618" s="1" t="str">
        <f>"9925P101"</f>
        <v>9925P101</v>
      </c>
      <c r="H13618" s="1" t="str">
        <f>"효청간 58R1L3"</f>
        <v>효청간 58R1L3</v>
      </c>
      <c r="I13618" s="1" t="s">
        <v>15</v>
      </c>
      <c r="J13618" s="1" t="str">
        <f>"46/55"</f>
        <v>46/55</v>
      </c>
      <c r="K13618" s="1" t="str">
        <f>"2026-07-29 14:21:40"</f>
        <v>2026-07-29 14:21:40</v>
      </c>
      <c r="L13618" s="1" t="str">
        <f>"2024-06-27 11:41:48"</f>
        <v>2024-06-27 11:41:48</v>
      </c>
      <c r="M13618" s="1" t="s">
        <v>42</v>
      </c>
      <c r="N13618" s="1" t="s">
        <v>38</v>
      </c>
      <c r="O13618" s="1" t="s">
        <v>46</v>
      </c>
    </row>
    <row r="13619" spans="2:15" x14ac:dyDescent="0.3">
      <c r="B13619" s="1" t="s">
        <v>20</v>
      </c>
      <c r="C13619" s="1" t="str">
        <f>"5-2차"</f>
        <v>5-2차</v>
      </c>
      <c r="D13619" s="1" t="str">
        <f>"9925P1215S"</f>
        <v>9925P1215S</v>
      </c>
      <c r="E13619" s="1" t="s">
        <v>10</v>
      </c>
      <c r="F13619" s="1" t="str">
        <f>"fde1:103:4:5a0c:0:0:0:2"</f>
        <v>fde1:103:4:5a0c:0:0:0:2</v>
      </c>
      <c r="G13619" s="1" t="str">
        <f>"9925P121"</f>
        <v>9925P121</v>
      </c>
      <c r="H13619" s="1" t="str">
        <f>"효청간 60H1"</f>
        <v>효청간 60H1</v>
      </c>
      <c r="I13619" s="1" t="s">
        <v>15</v>
      </c>
      <c r="J13619" s="1" t="str">
        <f>"50/61"</f>
        <v>50/61</v>
      </c>
      <c r="K13619" s="1" t="str">
        <f>"2026-07-29 14:21:32"</f>
        <v>2026-07-29 14:21:32</v>
      </c>
      <c r="L13619" s="1" t="str">
        <f>"2023-09-12 15:55:46"</f>
        <v>2023-09-12 15:55:46</v>
      </c>
      <c r="M13619" s="1" t="s">
        <v>4</v>
      </c>
      <c r="N13619" s="1" t="s">
        <v>38</v>
      </c>
      <c r="O13619" s="1" t="s">
        <v>46</v>
      </c>
    </row>
    <row r="13620" spans="2:15" x14ac:dyDescent="0.3">
      <c r="B13620" s="1" t="s">
        <v>20</v>
      </c>
      <c r="C13620" s="1" t="str">
        <f>"6차"</f>
        <v>6차</v>
      </c>
      <c r="D13620" s="1" t="str">
        <f>"9925P1316S"</f>
        <v>9925P1316S</v>
      </c>
      <c r="E13620" s="1" t="s">
        <v>10</v>
      </c>
      <c r="F13620" s="1" t="str">
        <f>"fde3:102:1301:4602:0:0:0:3"</f>
        <v>fde3:102:1301:4602:0:0:0:3</v>
      </c>
      <c r="G13620" s="1" t="str">
        <f>"9925P131"</f>
        <v>9925P131</v>
      </c>
      <c r="H13620" s="1" t="str">
        <f>"효청간 60H2"</f>
        <v>효청간 60H2</v>
      </c>
      <c r="I13620" s="1" t="s">
        <v>15</v>
      </c>
      <c r="J13620" s="1" t="str">
        <f>"85/85"</f>
        <v>85/85</v>
      </c>
      <c r="K13620" s="1" t="str">
        <f>"2026-07-29 14:21:32"</f>
        <v>2026-07-29 14:21:32</v>
      </c>
      <c r="L13620" s="1" t="str">
        <f>"2024-12-02 12:07:03"</f>
        <v>2024-12-02 12:07:03</v>
      </c>
      <c r="M13620" s="1" t="s">
        <v>45</v>
      </c>
      <c r="N13620" s="1" t="s">
        <v>38</v>
      </c>
      <c r="O13620" s="1" t="s">
        <v>46</v>
      </c>
    </row>
    <row r="13621" spans="2:15" x14ac:dyDescent="0.3">
      <c r="B13621" s="1" t="s">
        <v>20</v>
      </c>
      <c r="C13621" s="1" t="str">
        <f t="shared" ref="C13621:C13628" si="690">"5-2차"</f>
        <v>5-2차</v>
      </c>
      <c r="D13621" s="1" t="str">
        <f>"9925P1415S"</f>
        <v>9925P1415S</v>
      </c>
      <c r="E13621" s="1" t="s">
        <v>10</v>
      </c>
      <c r="F13621" s="1" t="str">
        <f>"fde3:102:1301:3100:0:0:0:9"</f>
        <v>fde3:102:1301:3100:0:0:0:9</v>
      </c>
      <c r="G13621" s="1" t="str">
        <f>"9925P141"</f>
        <v>9925P141</v>
      </c>
      <c r="H13621" s="1" t="str">
        <f>"효청간 63R4R1"</f>
        <v>효청간 63R4R1</v>
      </c>
      <c r="I13621" s="1" t="s">
        <v>15</v>
      </c>
      <c r="J13621" s="1" t="str">
        <f>"57/57"</f>
        <v>57/57</v>
      </c>
      <c r="K13621" s="1" t="str">
        <f>"2026-07-29 14:21:32"</f>
        <v>2026-07-29 14:21:32</v>
      </c>
      <c r="L13621" s="1" t="str">
        <f>"2023-10-19 16:04:25"</f>
        <v>2023-10-19 16:04:25</v>
      </c>
      <c r="M13621" s="1" t="s">
        <v>45</v>
      </c>
      <c r="N13621" s="1" t="s">
        <v>38</v>
      </c>
      <c r="O13621" s="1" t="s">
        <v>46</v>
      </c>
    </row>
    <row r="13622" spans="2:15" x14ac:dyDescent="0.3">
      <c r="B13622" s="1" t="s">
        <v>20</v>
      </c>
      <c r="C13622" s="1" t="str">
        <f t="shared" si="690"/>
        <v>5-2차</v>
      </c>
      <c r="D13622" s="1" t="str">
        <f>"9925P1625S"</f>
        <v>9925P1625S</v>
      </c>
      <c r="E13622" s="1" t="s">
        <v>10</v>
      </c>
      <c r="F13622" s="1" t="str">
        <f>"fde3:102:1301:3100:0:0:0:10"</f>
        <v>fde3:102:1301:3100:0:0:0:10</v>
      </c>
      <c r="G13622" s="1" t="str">
        <f>"9925P162"</f>
        <v>9925P162</v>
      </c>
      <c r="H13622" s="1" t="str">
        <f>"효청간 66R2"</f>
        <v>효청간 66R2</v>
      </c>
      <c r="I13622" s="1" t="s">
        <v>15</v>
      </c>
      <c r="J13622" s="1" t="str">
        <f>"95/95"</f>
        <v>95/95</v>
      </c>
      <c r="K13622" s="1" t="str">
        <f>"2026-07-29 14:21:32"</f>
        <v>2026-07-29 14:21:32</v>
      </c>
      <c r="L13622" s="1" t="str">
        <f>"2023-09-21 15:40:33"</f>
        <v>2023-09-21 15:40:33</v>
      </c>
      <c r="M13622" s="1" t="s">
        <v>45</v>
      </c>
      <c r="N13622" s="1" t="s">
        <v>38</v>
      </c>
      <c r="O13622" s="1" t="s">
        <v>46</v>
      </c>
    </row>
    <row r="13623" spans="2:15" x14ac:dyDescent="0.3">
      <c r="B13623" s="1" t="s">
        <v>20</v>
      </c>
      <c r="C13623" s="1" t="str">
        <f t="shared" si="690"/>
        <v>5-2차</v>
      </c>
      <c r="D13623" s="1" t="str">
        <f>"9925P1815M"</f>
        <v>9925P1815M</v>
      </c>
      <c r="E13623" s="1" t="s">
        <v>10</v>
      </c>
      <c r="F13623" s="1" t="str">
        <f>"fde3:102:1301:3100:0:0:0:4"</f>
        <v>fde3:102:1301:3100:0:0:0:4</v>
      </c>
      <c r="G13623" s="1" t="str">
        <f>"9925P181"</f>
        <v>9925P181</v>
      </c>
      <c r="H13623" s="1" t="str">
        <f>"효청간 71"</f>
        <v>효청간 71</v>
      </c>
      <c r="I13623" s="1" t="s">
        <v>15</v>
      </c>
      <c r="J13623" s="1" t="str">
        <f>"74/74"</f>
        <v>74/74</v>
      </c>
      <c r="K13623" s="1" t="str">
        <f>"2026-07-29 14:21:32"</f>
        <v>2026-07-29 14:21:32</v>
      </c>
      <c r="L13623" s="1" t="str">
        <f>"2023-09-11 16:22:11"</f>
        <v>2023-09-11 16:22:11</v>
      </c>
      <c r="M13623" s="1" t="s">
        <v>45</v>
      </c>
      <c r="N13623" s="1" t="s">
        <v>38</v>
      </c>
      <c r="O13623" s="1" t="s">
        <v>46</v>
      </c>
    </row>
    <row r="13624" spans="2:15" x14ac:dyDescent="0.3">
      <c r="B13624" s="1" t="s">
        <v>20</v>
      </c>
      <c r="C13624" s="1" t="str">
        <f t="shared" si="690"/>
        <v>5-2차</v>
      </c>
      <c r="D13624" s="1" t="str">
        <f>"9925P2115M"</f>
        <v>9925P2115M</v>
      </c>
      <c r="E13624" s="1" t="s">
        <v>10</v>
      </c>
      <c r="F13624" s="1" t="str">
        <f>"fde1:103:4:56a5:0:0:0:2"</f>
        <v>fde1:103:4:56a5:0:0:0:2</v>
      </c>
      <c r="G13624" s="1" t="str">
        <f>"9925P211"</f>
        <v>9925P211</v>
      </c>
      <c r="H13624" s="1" t="str">
        <f>"마용간 91"</f>
        <v>마용간 91</v>
      </c>
      <c r="I13624" s="1" t="s">
        <v>15</v>
      </c>
      <c r="J13624" s="1" t="str">
        <f>"82/83"</f>
        <v>82/83</v>
      </c>
      <c r="K13624" s="1" t="str">
        <f>"2026-07-29 14:21:33"</f>
        <v>2026-07-29 14:21:33</v>
      </c>
      <c r="L13624" s="1" t="str">
        <f>"2023-09-04 16:15:13"</f>
        <v>2023-09-04 16:15:13</v>
      </c>
      <c r="M13624" s="1" t="s">
        <v>4</v>
      </c>
      <c r="N13624" s="1" t="s">
        <v>38</v>
      </c>
      <c r="O13624" s="1" t="s">
        <v>46</v>
      </c>
    </row>
    <row r="13625" spans="2:15" x14ac:dyDescent="0.3">
      <c r="B13625" s="1" t="s">
        <v>20</v>
      </c>
      <c r="C13625" s="1" t="str">
        <f t="shared" si="690"/>
        <v>5-2차</v>
      </c>
      <c r="D13625" s="1" t="str">
        <f>"9925P2255S"</f>
        <v>9925P2255S</v>
      </c>
      <c r="E13625" s="1" t="s">
        <v>10</v>
      </c>
      <c r="F13625" s="1" t="str">
        <f>"fde1:103:4:59fe:0:0:0:2"</f>
        <v>fde1:103:4:59fe:0:0:0:2</v>
      </c>
      <c r="G13625" s="1" t="str">
        <f>"9925P225"</f>
        <v>9925P225</v>
      </c>
      <c r="H13625" s="1" t="str">
        <f>"마용간 93L2"</f>
        <v>마용간 93L2</v>
      </c>
      <c r="I13625" s="1" t="s">
        <v>15</v>
      </c>
      <c r="J13625" s="1" t="str">
        <f>"43/48"</f>
        <v>43/48</v>
      </c>
      <c r="K13625" s="1" t="str">
        <f>"2026-07-29 14:21:33"</f>
        <v>2026-07-29 14:21:33</v>
      </c>
      <c r="L13625" s="1" t="str">
        <f>"2023-09-12 15:56:48"</f>
        <v>2023-09-12 15:56:48</v>
      </c>
      <c r="M13625" s="1" t="s">
        <v>4</v>
      </c>
      <c r="N13625" s="1" t="s">
        <v>38</v>
      </c>
      <c r="O13625" s="1" t="s">
        <v>46</v>
      </c>
    </row>
    <row r="13626" spans="2:15" x14ac:dyDescent="0.3">
      <c r="B13626" s="1" t="s">
        <v>20</v>
      </c>
      <c r="C13626" s="1" t="str">
        <f t="shared" si="690"/>
        <v>5-2차</v>
      </c>
      <c r="D13626" s="1" t="str">
        <f>"9925P2545M"</f>
        <v>9925P2545M</v>
      </c>
      <c r="E13626" s="1" t="s">
        <v>10</v>
      </c>
      <c r="F13626" s="1" t="str">
        <f>"fde3:102:1301:2c00:0:0:0:7"</f>
        <v>fde3:102:1301:2c00:0:0:0:7</v>
      </c>
      <c r="G13626" s="1" t="str">
        <f>"9925P254"</f>
        <v>9925P254</v>
      </c>
      <c r="H13626" s="1" t="str">
        <f>"효청간 63R3"</f>
        <v>효청간 63R3</v>
      </c>
      <c r="I13626" s="1" t="s">
        <v>15</v>
      </c>
      <c r="J13626" s="1" t="str">
        <f>"137/138"</f>
        <v>137/138</v>
      </c>
      <c r="K13626" s="1" t="str">
        <f>"2026-07-29 14:21:33"</f>
        <v>2026-07-29 14:21:33</v>
      </c>
      <c r="L13626" s="1" t="str">
        <f>"2023-11-23 14:22:19"</f>
        <v>2023-11-23 14:22:19</v>
      </c>
      <c r="M13626" s="1" t="s">
        <v>45</v>
      </c>
      <c r="N13626" s="1" t="s">
        <v>38</v>
      </c>
      <c r="O13626" s="1" t="s">
        <v>46</v>
      </c>
    </row>
    <row r="13627" spans="2:15" x14ac:dyDescent="0.3">
      <c r="B13627" s="1" t="s">
        <v>20</v>
      </c>
      <c r="C13627" s="1" t="str">
        <f t="shared" si="690"/>
        <v>5-2차</v>
      </c>
      <c r="D13627" s="1" t="str">
        <f>"9925P2825M"</f>
        <v>9925P2825M</v>
      </c>
      <c r="E13627" s="1" t="s">
        <v>10</v>
      </c>
      <c r="F13627" s="1" t="str">
        <f>"fde3:102:1301:3100:0:0:0:a"</f>
        <v>fde3:102:1301:3100:0:0:0:a</v>
      </c>
      <c r="G13627" s="1" t="str">
        <f>"9925P282"</f>
        <v>9925P282</v>
      </c>
      <c r="H13627" s="1" t="str">
        <f>"효청간 71R2"</f>
        <v>효청간 71R2</v>
      </c>
      <c r="I13627" s="1" t="s">
        <v>15</v>
      </c>
      <c r="J13627" s="1" t="str">
        <f>"52/52"</f>
        <v>52/52</v>
      </c>
      <c r="K13627" s="1" t="str">
        <f>"2026-07-29 14:21:41"</f>
        <v>2026-07-29 14:21:41</v>
      </c>
      <c r="L13627" s="1" t="str">
        <f>"2023-11-23 14:13:45"</f>
        <v>2023-11-23 14:13:45</v>
      </c>
      <c r="M13627" s="1" t="s">
        <v>45</v>
      </c>
      <c r="N13627" s="1" t="s">
        <v>38</v>
      </c>
      <c r="O13627" s="1" t="s">
        <v>46</v>
      </c>
    </row>
    <row r="13628" spans="2:15" x14ac:dyDescent="0.3">
      <c r="B13628" s="1" t="s">
        <v>20</v>
      </c>
      <c r="C13628" s="1" t="str">
        <f t="shared" si="690"/>
        <v>5-2차</v>
      </c>
      <c r="D13628" s="1" t="str">
        <f>"9925P2915S"</f>
        <v>9925P2915S</v>
      </c>
      <c r="E13628" s="1" t="s">
        <v>10</v>
      </c>
      <c r="F13628" s="1" t="str">
        <f>"fde3:102:1301:3100:0:0:0:2"</f>
        <v>fde3:102:1301:3100:0:0:0:2</v>
      </c>
      <c r="G13628" s="1" t="str">
        <f>"9925P291"</f>
        <v>9925P291</v>
      </c>
      <c r="H13628" s="1" t="str">
        <f>"마용간 70R2L2"</f>
        <v>마용간 70R2L2</v>
      </c>
      <c r="I13628" s="1" t="s">
        <v>15</v>
      </c>
      <c r="J13628" s="1" t="str">
        <f>"38/38"</f>
        <v>38/38</v>
      </c>
      <c r="K13628" s="1" t="str">
        <f>"2026-07-29 14:21:33"</f>
        <v>2026-07-29 14:21:33</v>
      </c>
      <c r="L13628" s="1" t="str">
        <f>"2023-10-31 16:13:48"</f>
        <v>2023-10-31 16:13:48</v>
      </c>
      <c r="M13628" s="1" t="s">
        <v>45</v>
      </c>
      <c r="N13628" s="1" t="s">
        <v>38</v>
      </c>
      <c r="O13628" s="1" t="s">
        <v>46</v>
      </c>
    </row>
    <row r="13629" spans="2:15" x14ac:dyDescent="0.3">
      <c r="B13629" s="1" t="s">
        <v>20</v>
      </c>
      <c r="C13629" s="1" t="str">
        <f>"1차"</f>
        <v>1차</v>
      </c>
      <c r="D13629" s="1" t="str">
        <f>"9925P30101"</f>
        <v>9925P30101</v>
      </c>
      <c r="E13629" s="1" t="s">
        <v>10</v>
      </c>
      <c r="F13629" s="1" t="str">
        <f>"10.12.130.184"</f>
        <v>10.12.130.184</v>
      </c>
      <c r="G13629" s="1" t="str">
        <f>"9925P301"</f>
        <v>9925P301</v>
      </c>
      <c r="H13629" s="1" t="str">
        <f>"마용간 90"</f>
        <v>마용간 90</v>
      </c>
      <c r="I13629" s="1" t="s">
        <v>8</v>
      </c>
      <c r="J13629" s="1" t="str">
        <f>"17/18"</f>
        <v>17/18</v>
      </c>
      <c r="K13629" s="1" t="str">
        <f>"2026-07-29 13:18:13"</f>
        <v>2026-07-29 13:18:13</v>
      </c>
      <c r="L13629" s="1" t="str">
        <f>"2014-11-24 13:19:14"</f>
        <v>2014-11-24 13:19:14</v>
      </c>
      <c r="M13629" s="1" t="s">
        <v>0</v>
      </c>
      <c r="N13629" s="1" t="s">
        <v>38</v>
      </c>
      <c r="O13629" s="1" t="s">
        <v>46</v>
      </c>
    </row>
    <row r="13630" spans="2:15" x14ac:dyDescent="0.3">
      <c r="B13630" s="1" t="s">
        <v>20</v>
      </c>
      <c r="C13630" s="1" t="str">
        <f>"5-2차"</f>
        <v>5-2차</v>
      </c>
      <c r="D13630" s="1" t="str">
        <f>"9925P3335M"</f>
        <v>9925P3335M</v>
      </c>
      <c r="E13630" s="1" t="s">
        <v>10</v>
      </c>
      <c r="F13630" s="1" t="str">
        <f>"fde3:102:1301:3000:0:0:0:3"</f>
        <v>fde3:102:1301:3000:0:0:0:3</v>
      </c>
      <c r="G13630" s="1" t="str">
        <f>"9925P333"</f>
        <v>9925P333</v>
      </c>
      <c r="H13630" s="1" t="str">
        <f>"마용간 98"</f>
        <v>마용간 98</v>
      </c>
      <c r="I13630" s="1" t="s">
        <v>15</v>
      </c>
      <c r="J13630" s="1" t="str">
        <f>"54/54"</f>
        <v>54/54</v>
      </c>
      <c r="K13630" s="1" t="str">
        <f>"2026-07-29 14:21:33"</f>
        <v>2026-07-29 14:21:33</v>
      </c>
      <c r="L13630" s="1" t="str">
        <f>"2023-09-11 14:57:27"</f>
        <v>2023-09-11 14:57:27</v>
      </c>
      <c r="M13630" s="1" t="s">
        <v>45</v>
      </c>
      <c r="N13630" s="1" t="s">
        <v>38</v>
      </c>
      <c r="O13630" s="1" t="s">
        <v>46</v>
      </c>
    </row>
    <row r="13631" spans="2:15" x14ac:dyDescent="0.3">
      <c r="B13631" s="1" t="s">
        <v>20</v>
      </c>
      <c r="C13631" s="1" t="str">
        <f>"6차"</f>
        <v>6차</v>
      </c>
      <c r="D13631" s="1" t="str">
        <f>"9925P3516S"</f>
        <v>9925P3516S</v>
      </c>
      <c r="E13631" s="1" t="s">
        <v>10</v>
      </c>
      <c r="F13631" s="1" t="str">
        <f>"fde1:103:4:c5a9:0:0:0:2"</f>
        <v>fde1:103:4:c5a9:0:0:0:2</v>
      </c>
      <c r="G13631" s="1" t="str">
        <f>"9925P351"</f>
        <v>9925P351</v>
      </c>
      <c r="H13631" s="1" t="str">
        <f>"효청간 66R4"</f>
        <v>효청간 66R4</v>
      </c>
      <c r="I13631" s="1" t="s">
        <v>15</v>
      </c>
      <c r="J13631" s="1" t="str">
        <f>"77/80"</f>
        <v>77/80</v>
      </c>
      <c r="K13631" s="1" t="str">
        <f>"2026-07-29 08:21:17"</f>
        <v>2026-07-29 08:21:17</v>
      </c>
      <c r="L13631" s="1" t="str">
        <f>"2024-11-12 15:06:41"</f>
        <v>2024-11-12 15:06:41</v>
      </c>
      <c r="M13631" s="1" t="s">
        <v>4</v>
      </c>
      <c r="N13631" s="1" t="s">
        <v>38</v>
      </c>
      <c r="O13631" s="1" t="s">
        <v>46</v>
      </c>
    </row>
    <row r="13632" spans="2:15" x14ac:dyDescent="0.3">
      <c r="B13632" s="1" t="s">
        <v>20</v>
      </c>
      <c r="C13632" s="1" t="str">
        <f>"5-2차"</f>
        <v>5-2차</v>
      </c>
      <c r="D13632" s="1" t="str">
        <f>"9925P3615S"</f>
        <v>9925P3615S</v>
      </c>
      <c r="E13632" s="1" t="s">
        <v>10</v>
      </c>
      <c r="F13632" s="1" t="str">
        <f>"fde3:102:1301:3000:0:0:0:11"</f>
        <v>fde3:102:1301:3000:0:0:0:11</v>
      </c>
      <c r="G13632" s="1" t="str">
        <f>"9925P361"</f>
        <v>9925P361</v>
      </c>
      <c r="H13632" s="1" t="str">
        <f>"마용간 76R1"</f>
        <v>마용간 76R1</v>
      </c>
      <c r="I13632" s="1" t="s">
        <v>15</v>
      </c>
      <c r="J13632" s="1" t="str">
        <f>"57/57"</f>
        <v>57/57</v>
      </c>
      <c r="K13632" s="1" t="str">
        <f>"2026-07-29 14:21:33"</f>
        <v>2026-07-29 14:21:33</v>
      </c>
      <c r="L13632" s="1" t="str">
        <f>"2023-10-04 15:31:55"</f>
        <v>2023-10-04 15:31:55</v>
      </c>
      <c r="M13632" s="1" t="s">
        <v>45</v>
      </c>
      <c r="N13632" s="1" t="s">
        <v>38</v>
      </c>
      <c r="O13632" s="1" t="s">
        <v>46</v>
      </c>
    </row>
    <row r="13633" spans="2:15" x14ac:dyDescent="0.3">
      <c r="B13633" s="1" t="s">
        <v>20</v>
      </c>
      <c r="C13633" s="1" t="str">
        <f>"4차"</f>
        <v>4차</v>
      </c>
      <c r="D13633" s="1" t="str">
        <f>"9925P40242"</f>
        <v>9925P40242</v>
      </c>
      <c r="E13633" s="1" t="s">
        <v>10</v>
      </c>
      <c r="F13633" s="1" t="str">
        <f>"10.125.227.122"</f>
        <v>10.125.227.122</v>
      </c>
      <c r="G13633" s="1" t="str">
        <f>"9925P402"</f>
        <v>9925P402</v>
      </c>
      <c r="H13633" s="1" t="str">
        <f>"마용간 89"</f>
        <v>마용간 89</v>
      </c>
      <c r="I13633" s="1" t="s">
        <v>8</v>
      </c>
      <c r="J13633" s="1" t="str">
        <f>"28/38"</f>
        <v>28/38</v>
      </c>
      <c r="K13633" s="1" t="str">
        <f>"2026-07-29 13:18:11"</f>
        <v>2026-07-29 13:18:11</v>
      </c>
      <c r="L13633" s="1" t="str">
        <f>"2025-07-24 16:45:39"</f>
        <v>2025-07-24 16:45:39</v>
      </c>
      <c r="M13633" s="1" t="s">
        <v>45</v>
      </c>
      <c r="N13633" s="1" t="s">
        <v>38</v>
      </c>
      <c r="O13633" s="1" t="s">
        <v>46</v>
      </c>
    </row>
    <row r="13634" spans="2:15" x14ac:dyDescent="0.3">
      <c r="B13634" s="1" t="s">
        <v>20</v>
      </c>
      <c r="C13634" s="1" t="str">
        <f>"5-2차"</f>
        <v>5-2차</v>
      </c>
      <c r="D13634" s="1" t="str">
        <f>"9925P4415M"</f>
        <v>9925P4415M</v>
      </c>
      <c r="E13634" s="1" t="s">
        <v>10</v>
      </c>
      <c r="F13634" s="1" t="str">
        <f>"fde1:103:4:5a3b:0:0:0:2"</f>
        <v>fde1:103:4:5a3b:0:0:0:2</v>
      </c>
      <c r="G13634" s="1" t="str">
        <f>"9925P441"</f>
        <v>9925P441</v>
      </c>
      <c r="H13634" s="1" t="str">
        <f>"마용간 80R1"</f>
        <v>마용간 80R1</v>
      </c>
      <c r="I13634" s="1" t="s">
        <v>15</v>
      </c>
      <c r="J13634" s="1" t="str">
        <f>"67/77"</f>
        <v>67/77</v>
      </c>
      <c r="K13634" s="1" t="str">
        <f>"2026-07-29 14:21:34"</f>
        <v>2026-07-29 14:21:34</v>
      </c>
      <c r="L13634" s="1" t="str">
        <f>"2023-09-12 16:06:16"</f>
        <v>2023-09-12 16:06:16</v>
      </c>
      <c r="M13634" s="1" t="s">
        <v>4</v>
      </c>
      <c r="N13634" s="1" t="s">
        <v>38</v>
      </c>
      <c r="O13634" s="1" t="s">
        <v>46</v>
      </c>
    </row>
    <row r="13635" spans="2:15" x14ac:dyDescent="0.3">
      <c r="B13635" s="1" t="s">
        <v>20</v>
      </c>
      <c r="C13635" s="1" t="str">
        <f>"1차"</f>
        <v>1차</v>
      </c>
      <c r="D13635" s="1" t="str">
        <f>"9925P48100"</f>
        <v>9925P48100</v>
      </c>
      <c r="E13635" s="1" t="s">
        <v>10</v>
      </c>
      <c r="F13635" s="1" t="str">
        <f>"10.125.225.10"</f>
        <v>10.125.225.10</v>
      </c>
      <c r="G13635" s="1" t="str">
        <f>"9925P481"</f>
        <v>9925P481</v>
      </c>
      <c r="H13635" s="1" t="str">
        <f>"마용간 74"</f>
        <v>마용간 74</v>
      </c>
      <c r="I13635" s="1" t="s">
        <v>8</v>
      </c>
      <c r="J13635" s="1" t="str">
        <f>"4/4"</f>
        <v>4/4</v>
      </c>
      <c r="K13635" s="1" t="str">
        <f>"2026-07-29 13:18:11"</f>
        <v>2026-07-29 13:18:11</v>
      </c>
      <c r="L13635" s="1" t="str">
        <f>"2014-11-25 16:47:18"</f>
        <v>2014-11-25 16:47:18</v>
      </c>
      <c r="M13635" s="1" t="s">
        <v>45</v>
      </c>
      <c r="N13635" s="1" t="s">
        <v>38</v>
      </c>
      <c r="O13635" s="1" t="s">
        <v>46</v>
      </c>
    </row>
    <row r="13636" spans="2:15" x14ac:dyDescent="0.3">
      <c r="B13636" s="1" t="s">
        <v>20</v>
      </c>
      <c r="C13636" s="1" t="s">
        <v>16</v>
      </c>
      <c r="D13636" s="1" t="str">
        <f>"9925P52141"</f>
        <v>9925P52141</v>
      </c>
      <c r="E13636" s="1" t="s">
        <v>10</v>
      </c>
      <c r="F13636" s="1" t="str">
        <f>"10.14.3.201"</f>
        <v>10.14.3.201</v>
      </c>
      <c r="G13636" s="1" t="str">
        <f>"9925P521"</f>
        <v>9925P521</v>
      </c>
      <c r="H13636" s="1" t="str">
        <f>"마용간 83"</f>
        <v>마용간 83</v>
      </c>
      <c r="I13636" s="1" t="s">
        <v>17</v>
      </c>
      <c r="J13636" s="1" t="str">
        <f>"9/9"</f>
        <v>9/9</v>
      </c>
      <c r="K13636" s="1" t="str">
        <f>"2026-07-29 13:18:13"</f>
        <v>2026-07-29 13:18:13</v>
      </c>
      <c r="L13636" s="1" t="str">
        <f>"2022-11-15 09:44:07"</f>
        <v>2022-11-15 09:44:07</v>
      </c>
      <c r="M13636" s="1" t="s">
        <v>3</v>
      </c>
      <c r="N13636" s="1" t="s">
        <v>38</v>
      </c>
      <c r="O13636" s="1" t="s">
        <v>46</v>
      </c>
    </row>
    <row r="13637" spans="2:15" x14ac:dyDescent="0.3">
      <c r="B13637" s="1" t="s">
        <v>20</v>
      </c>
      <c r="C13637" s="1" t="str">
        <f>"1차"</f>
        <v>1차</v>
      </c>
      <c r="D13637" s="1" t="str">
        <f>"9925P52300"</f>
        <v>9925P52300</v>
      </c>
      <c r="E13637" s="1" t="s">
        <v>10</v>
      </c>
      <c r="F13637" s="1" t="str">
        <f>"10.125.227.130"</f>
        <v>10.125.227.130</v>
      </c>
      <c r="G13637" s="1" t="str">
        <f>"9925P523"</f>
        <v>9925P523</v>
      </c>
      <c r="H13637" s="1" t="str">
        <f>"마용간 82L1"</f>
        <v>마용간 82L1</v>
      </c>
      <c r="I13637" s="1" t="s">
        <v>8</v>
      </c>
      <c r="J13637" s="1" t="str">
        <f>"9/9"</f>
        <v>9/9</v>
      </c>
      <c r="K13637" s="1" t="str">
        <f>"2026-07-29 13:18:11"</f>
        <v>2026-07-29 13:18:11</v>
      </c>
      <c r="L13637" s="1" t="str">
        <f>"2014-11-24 13:22:04"</f>
        <v>2014-11-24 13:22:04</v>
      </c>
      <c r="M13637" s="1" t="s">
        <v>45</v>
      </c>
      <c r="N13637" s="1" t="s">
        <v>38</v>
      </c>
      <c r="O13637" s="1" t="s">
        <v>46</v>
      </c>
    </row>
    <row r="13638" spans="2:15" x14ac:dyDescent="0.3">
      <c r="B13638" s="1" t="s">
        <v>20</v>
      </c>
      <c r="C13638" s="1" t="str">
        <f>"4차"</f>
        <v>4차</v>
      </c>
      <c r="D13638" s="1" t="str">
        <f>"9925P86145"</f>
        <v>9925P86145</v>
      </c>
      <c r="E13638" s="1" t="s">
        <v>10</v>
      </c>
      <c r="F13638" s="1" t="str">
        <f>"10.12.135.1"</f>
        <v>10.12.135.1</v>
      </c>
      <c r="G13638" s="1" t="str">
        <f>"9925P861"</f>
        <v>9925P861</v>
      </c>
      <c r="H13638" s="1" t="str">
        <f>"동자로 L11"</f>
        <v>동자로 L11</v>
      </c>
      <c r="I13638" s="1" t="s">
        <v>17</v>
      </c>
      <c r="J13638" s="1" t="str">
        <f>"34/40"</f>
        <v>34/40</v>
      </c>
      <c r="K13638" s="1" t="str">
        <f>"2026-07-29 13:18:14"</f>
        <v>2026-07-29 13:18:14</v>
      </c>
      <c r="L13638" s="1" t="str">
        <f>"2025-04-30 18:40:29"</f>
        <v>2025-04-30 18:40:29</v>
      </c>
      <c r="M13638" s="1" t="s">
        <v>0</v>
      </c>
      <c r="N13638" s="1" t="s">
        <v>38</v>
      </c>
      <c r="O13638" s="1" t="s">
        <v>46</v>
      </c>
    </row>
    <row r="13639" spans="2:15" x14ac:dyDescent="0.3">
      <c r="B13639" s="1" t="s">
        <v>20</v>
      </c>
      <c r="C13639" s="1" t="str">
        <f>"4차"</f>
        <v>4차</v>
      </c>
      <c r="D13639" s="1" t="str">
        <f>"9925P90139"</f>
        <v>9925P90139</v>
      </c>
      <c r="E13639" s="1" t="s">
        <v>10</v>
      </c>
      <c r="F13639" s="1" t="str">
        <f>"10.12.133.134"</f>
        <v>10.12.133.134</v>
      </c>
      <c r="G13639" s="1" t="str">
        <f>"9925P901"</f>
        <v>9925P901</v>
      </c>
      <c r="H13639" s="1" t="str">
        <f>"동자로 R8"</f>
        <v>동자로 R8</v>
      </c>
      <c r="I13639" s="1" t="s">
        <v>17</v>
      </c>
      <c r="J13639" s="1" t="str">
        <f>"11/11"</f>
        <v>11/11</v>
      </c>
      <c r="K13639" s="1" t="str">
        <f>"2026-07-29 13:18:13"</f>
        <v>2026-07-29 13:18:13</v>
      </c>
      <c r="L13639" s="1" t="str">
        <f>"2018-06-16 10:05:58"</f>
        <v>2018-06-16 10:05:58</v>
      </c>
      <c r="M13639" s="1" t="s">
        <v>0</v>
      </c>
      <c r="N13639" s="1" t="s">
        <v>38</v>
      </c>
      <c r="O13639" s="1" t="s">
        <v>46</v>
      </c>
    </row>
    <row r="13640" spans="2:15" x14ac:dyDescent="0.3">
      <c r="B13640" s="1" t="s">
        <v>20</v>
      </c>
      <c r="C13640" s="1" t="str">
        <f>"1차"</f>
        <v>1차</v>
      </c>
      <c r="D13640" s="1" t="str">
        <f>"9925P90300"</f>
        <v>9925P90300</v>
      </c>
      <c r="E13640" s="1" t="s">
        <v>10</v>
      </c>
      <c r="F13640" s="1" t="str">
        <f>"10.125.224.26"</f>
        <v>10.125.224.26</v>
      </c>
      <c r="G13640" s="1" t="str">
        <f>"9925P903"</f>
        <v>9925P903</v>
      </c>
      <c r="H13640" s="1" t="str">
        <f>"동암간 2L1"</f>
        <v>동암간 2L1</v>
      </c>
      <c r="I13640" s="1" t="s">
        <v>8</v>
      </c>
      <c r="J13640" s="1" t="str">
        <f>"21/21"</f>
        <v>21/21</v>
      </c>
      <c r="K13640" s="1" t="str">
        <f>"2026-07-29 13:18:11"</f>
        <v>2026-07-29 13:18:11</v>
      </c>
      <c r="L13640" s="1" t="str">
        <f>"2014-12-05 11:21:53"</f>
        <v>2014-12-05 11:21:53</v>
      </c>
      <c r="M13640" s="1" t="s">
        <v>45</v>
      </c>
      <c r="N13640" s="1" t="s">
        <v>38</v>
      </c>
      <c r="O13640" s="1" t="s">
        <v>46</v>
      </c>
    </row>
    <row r="13641" spans="2:15" x14ac:dyDescent="0.3">
      <c r="B13641" s="1" t="s">
        <v>20</v>
      </c>
      <c r="C13641" s="1" t="str">
        <f>"4차"</f>
        <v>4차</v>
      </c>
      <c r="D13641" s="1" t="str">
        <f>"9925P92139"</f>
        <v>9925P92139</v>
      </c>
      <c r="E13641" s="1" t="s">
        <v>14</v>
      </c>
      <c r="F13641" s="1" t="str">
        <f>"10.12.130.89"</f>
        <v>10.12.130.89</v>
      </c>
      <c r="G13641" s="1" t="str">
        <f>"9925P921"</f>
        <v>9925P921</v>
      </c>
      <c r="H13641" s="1" t="str">
        <f>"동자로 R9"</f>
        <v>동자로 R9</v>
      </c>
      <c r="I13641" s="1" t="s">
        <v>17</v>
      </c>
      <c r="J13641" s="1" t="str">
        <f>"0/0"</f>
        <v>0/0</v>
      </c>
      <c r="K13641" s="1" t="str">
        <f>"2026-06-10 07:18:14"</f>
        <v>2026-06-10 07:18:14</v>
      </c>
      <c r="L13641" s="1" t="str">
        <f>"2023-06-29 10:27:03"</f>
        <v>2023-06-29 10:27:03</v>
      </c>
      <c r="M13641" s="1" t="s">
        <v>0</v>
      </c>
      <c r="N13641" s="1" t="s">
        <v>39</v>
      </c>
      <c r="O13641" s="1" t="s">
        <v>46</v>
      </c>
    </row>
    <row r="13642" spans="2:15" x14ac:dyDescent="0.3">
      <c r="B13642" s="1" t="s">
        <v>20</v>
      </c>
      <c r="C13642" s="1" t="str">
        <f>"4차"</f>
        <v>4차</v>
      </c>
      <c r="D13642" s="1" t="str">
        <f>"9925P95139"</f>
        <v>9925P95139</v>
      </c>
      <c r="E13642" s="1" t="s">
        <v>10</v>
      </c>
      <c r="F13642" s="1" t="str">
        <f>"10.12.134.21"</f>
        <v>10.12.134.21</v>
      </c>
      <c r="G13642" s="1" t="str">
        <f>"9925P951"</f>
        <v>9925P951</v>
      </c>
      <c r="H13642" s="1" t="str">
        <f>"동자로 R11-1"</f>
        <v>동자로 R11-1</v>
      </c>
      <c r="I13642" s="1" t="s">
        <v>17</v>
      </c>
      <c r="J13642" s="1" t="str">
        <f>"3/3"</f>
        <v>3/3</v>
      </c>
      <c r="K13642" s="1" t="str">
        <f>"2026-07-29 13:18:11"</f>
        <v>2026-07-29 13:18:11</v>
      </c>
      <c r="L13642" s="1" t="str">
        <f>"2018-06-16 10:58:56"</f>
        <v>2018-06-16 10:58:56</v>
      </c>
      <c r="M13642" s="1" t="s">
        <v>0</v>
      </c>
      <c r="N13642" s="1" t="s">
        <v>38</v>
      </c>
      <c r="O13642" s="1" t="s">
        <v>46</v>
      </c>
    </row>
    <row r="13643" spans="2:15" x14ac:dyDescent="0.3">
      <c r="B13643" s="1" t="s">
        <v>20</v>
      </c>
      <c r="C13643" s="1" t="str">
        <f>"4차"</f>
        <v>4차</v>
      </c>
      <c r="D13643" s="1" t="str">
        <f>"9925P99139"</f>
        <v>9925P99139</v>
      </c>
      <c r="E13643" s="1" t="s">
        <v>10</v>
      </c>
      <c r="F13643" s="1" t="str">
        <f>"10.12.134.206"</f>
        <v>10.12.134.206</v>
      </c>
      <c r="G13643" s="1" t="str">
        <f>"9925P991"</f>
        <v>9925P991</v>
      </c>
      <c r="H13643" s="1" t="str">
        <f>"동자로 L15T"</f>
        <v>동자로 L15T</v>
      </c>
      <c r="I13643" s="1" t="s">
        <v>17</v>
      </c>
      <c r="J13643" s="1" t="str">
        <f>"14/14"</f>
        <v>14/14</v>
      </c>
      <c r="K13643" s="1" t="str">
        <f>"2026-07-29 13:18:13"</f>
        <v>2026-07-29 13:18:13</v>
      </c>
      <c r="L13643" s="1" t="str">
        <f>"2018-05-21 10:28:23"</f>
        <v>2018-05-21 10:28:23</v>
      </c>
      <c r="M13643" s="1" t="s">
        <v>0</v>
      </c>
      <c r="N13643" s="1" t="s">
        <v>38</v>
      </c>
      <c r="O13643" s="1" t="s">
        <v>46</v>
      </c>
    </row>
    <row r="13644" spans="2:15" x14ac:dyDescent="0.3">
      <c r="B13644" s="1" t="s">
        <v>20</v>
      </c>
      <c r="C13644" s="1" t="str">
        <f>"1차"</f>
        <v>1차</v>
      </c>
      <c r="D13644" s="1" t="str">
        <f>"9925Q00100"</f>
        <v>9925Q00100</v>
      </c>
      <c r="E13644" s="1" t="s">
        <v>10</v>
      </c>
      <c r="F13644" s="1" t="str">
        <f>"10.125.224.18"</f>
        <v>10.125.224.18</v>
      </c>
      <c r="G13644" s="1" t="str">
        <f>"9925Q001"</f>
        <v>9925Q001</v>
      </c>
      <c r="H13644" s="1" t="str">
        <f>"동암간 3L2"</f>
        <v>동암간 3L2</v>
      </c>
      <c r="I13644" s="1" t="s">
        <v>8</v>
      </c>
      <c r="J13644" s="1" t="str">
        <f>"4/4"</f>
        <v>4/4</v>
      </c>
      <c r="K13644" s="1" t="str">
        <f>"2026-07-29 13:18:11"</f>
        <v>2026-07-29 13:18:11</v>
      </c>
      <c r="L13644" s="1" t="str">
        <f>"2014-11-24 13:24:37"</f>
        <v>2014-11-24 13:24:37</v>
      </c>
      <c r="M13644" s="1" t="s">
        <v>45</v>
      </c>
      <c r="N13644" s="1" t="s">
        <v>38</v>
      </c>
      <c r="O13644" s="1" t="s">
        <v>46</v>
      </c>
    </row>
    <row r="13645" spans="2:15" x14ac:dyDescent="0.3">
      <c r="B13645" s="1" t="s">
        <v>20</v>
      </c>
      <c r="C13645" s="1" t="str">
        <f>"5-2차"</f>
        <v>5-2차</v>
      </c>
      <c r="D13645" s="1" t="str">
        <f>"9925Q0115S"</f>
        <v>9925Q0115S</v>
      </c>
      <c r="E13645" s="1" t="s">
        <v>10</v>
      </c>
      <c r="F13645" s="1" t="str">
        <f>"fde3:102:1301:1400:0:0:0:6"</f>
        <v>fde3:102:1301:1400:0:0:0:6</v>
      </c>
      <c r="G13645" s="1" t="str">
        <f>"9925Q011"</f>
        <v>9925Q011</v>
      </c>
      <c r="H13645" s="1" t="str">
        <f>"동암간 3L4"</f>
        <v>동암간 3L4</v>
      </c>
      <c r="I13645" s="1" t="s">
        <v>15</v>
      </c>
      <c r="J13645" s="1" t="str">
        <f>"68/68"</f>
        <v>68/68</v>
      </c>
      <c r="K13645" s="1" t="str">
        <f>"2026-07-29 14:21:33"</f>
        <v>2026-07-29 14:21:33</v>
      </c>
      <c r="L13645" s="1" t="str">
        <f>"2023-10-13 14:57:59"</f>
        <v>2023-10-13 14:57:59</v>
      </c>
      <c r="M13645" s="1" t="s">
        <v>45</v>
      </c>
      <c r="N13645" s="1" t="s">
        <v>38</v>
      </c>
      <c r="O13645" s="1" t="s">
        <v>46</v>
      </c>
    </row>
    <row r="13646" spans="2:15" x14ac:dyDescent="0.3">
      <c r="B13646" s="1" t="s">
        <v>20</v>
      </c>
      <c r="C13646" s="1" t="str">
        <f>"5-1차"</f>
        <v>5-1차</v>
      </c>
      <c r="D13646" s="1" t="str">
        <f>"9925Q0455M"</f>
        <v>9925Q0455M</v>
      </c>
      <c r="E13646" s="1" t="s">
        <v>10</v>
      </c>
      <c r="F13646" s="1" t="str">
        <f>"fde2:104:0:192:0:0:0:2"</f>
        <v>fde2:104:0:192:0:0:0:2</v>
      </c>
      <c r="G13646" s="1" t="str">
        <f>"9925Q045"</f>
        <v>9925Q045</v>
      </c>
      <c r="H13646" s="1" t="str">
        <f>"동암간 23L7L2AR1"</f>
        <v>동암간 23L7L2AR1</v>
      </c>
      <c r="I13646" s="1" t="s">
        <v>15</v>
      </c>
      <c r="J13646" s="1" t="str">
        <f>"45/45"</f>
        <v>45/45</v>
      </c>
      <c r="K13646" s="1" t="str">
        <f>"2026-07-29 14:21:25"</f>
        <v>2026-07-29 14:21:25</v>
      </c>
      <c r="L13646" s="1" t="str">
        <f>"2025-10-16 17:46:09"</f>
        <v>2025-10-16 17:46:09</v>
      </c>
      <c r="M13646" s="1" t="s">
        <v>42</v>
      </c>
      <c r="N13646" s="1" t="s">
        <v>38</v>
      </c>
      <c r="O13646" s="1" t="s">
        <v>46</v>
      </c>
    </row>
    <row r="13647" spans="2:15" x14ac:dyDescent="0.3">
      <c r="B13647" s="1" t="s">
        <v>20</v>
      </c>
      <c r="C13647" s="1" t="str">
        <f>"5-2차"</f>
        <v>5-2차</v>
      </c>
      <c r="D13647" s="1" t="str">
        <f>"9925Q1315S"</f>
        <v>9925Q1315S</v>
      </c>
      <c r="E13647" s="1" t="s">
        <v>10</v>
      </c>
      <c r="F13647" s="1" t="str">
        <f>"fde3:102:1301:1400:0:0:0:7"</f>
        <v>fde3:102:1301:1400:0:0:0:7</v>
      </c>
      <c r="G13647" s="1" t="str">
        <f>"9925Q131"</f>
        <v>9925Q131</v>
      </c>
      <c r="H13647" s="1" t="str">
        <f>"동암간 3L8"</f>
        <v>동암간 3L8</v>
      </c>
      <c r="I13647" s="1" t="s">
        <v>15</v>
      </c>
      <c r="J13647" s="1" t="str">
        <f>"44/44"</f>
        <v>44/44</v>
      </c>
      <c r="K13647" s="1" t="str">
        <f>"2026-07-29 14:21:34"</f>
        <v>2026-07-29 14:21:34</v>
      </c>
      <c r="L13647" s="1" t="str">
        <f>"2023-10-13 15:14:56"</f>
        <v>2023-10-13 15:14:56</v>
      </c>
      <c r="M13647" s="1" t="s">
        <v>45</v>
      </c>
      <c r="N13647" s="1" t="s">
        <v>38</v>
      </c>
      <c r="O13647" s="1" t="s">
        <v>46</v>
      </c>
    </row>
    <row r="13648" spans="2:15" x14ac:dyDescent="0.3">
      <c r="B13648" s="1" t="s">
        <v>20</v>
      </c>
      <c r="C13648" s="1" t="str">
        <f>"5-2차"</f>
        <v>5-2차</v>
      </c>
      <c r="D13648" s="1" t="str">
        <f>"9925Q2115S"</f>
        <v>9925Q2115S</v>
      </c>
      <c r="E13648" s="1" t="s">
        <v>10</v>
      </c>
      <c r="F13648" s="1" t="str">
        <f>"fde1:103:4:597b:0:0:0:2"</f>
        <v>fde1:103:4:597b:0:0:0:2</v>
      </c>
      <c r="G13648" s="1" t="str">
        <f>"9925Q211"</f>
        <v>9925Q211</v>
      </c>
      <c r="H13648" s="1" t="str">
        <f>"동암간 3L14R2"</f>
        <v>동암간 3L14R2</v>
      </c>
      <c r="I13648" s="1" t="s">
        <v>15</v>
      </c>
      <c r="J13648" s="1" t="str">
        <f>"63/63"</f>
        <v>63/63</v>
      </c>
      <c r="K13648" s="1" t="str">
        <f>"2026-07-29 14:21:35"</f>
        <v>2026-07-29 14:21:35</v>
      </c>
      <c r="L13648" s="1" t="str">
        <f>"2023-09-12 16:18:27"</f>
        <v>2023-09-12 16:18:27</v>
      </c>
      <c r="M13648" s="1" t="s">
        <v>4</v>
      </c>
      <c r="N13648" s="1" t="s">
        <v>38</v>
      </c>
      <c r="O13648" s="1" t="s">
        <v>46</v>
      </c>
    </row>
    <row r="13649" spans="2:15" x14ac:dyDescent="0.3">
      <c r="B13649" s="1" t="s">
        <v>20</v>
      </c>
      <c r="C13649" s="1" t="str">
        <f>"5-2차"</f>
        <v>5-2차</v>
      </c>
      <c r="D13649" s="1" t="str">
        <f>"9925Q2145S"</f>
        <v>9925Q2145S</v>
      </c>
      <c r="E13649" s="1" t="s">
        <v>10</v>
      </c>
      <c r="F13649" s="1" t="str">
        <f>"fde1:103:4:58f7:0:0:0:2"</f>
        <v>fde1:103:4:58f7:0:0:0:2</v>
      </c>
      <c r="G13649" s="1" t="str">
        <f>"9925Q214"</f>
        <v>9925Q214</v>
      </c>
      <c r="H13649" s="1" t="str">
        <f>"동암간 3L14R4"</f>
        <v>동암간 3L14R4</v>
      </c>
      <c r="I13649" s="1" t="s">
        <v>15</v>
      </c>
      <c r="J13649" s="1" t="str">
        <f>"30/30"</f>
        <v>30/30</v>
      </c>
      <c r="K13649" s="1" t="str">
        <f>"2026-07-29 14:21:24"</f>
        <v>2026-07-29 14:21:24</v>
      </c>
      <c r="L13649" s="1" t="str">
        <f>"2023-09-12 16:20:07"</f>
        <v>2023-09-12 16:20:07</v>
      </c>
      <c r="M13649" s="1" t="s">
        <v>4</v>
      </c>
      <c r="N13649" s="1" t="s">
        <v>38</v>
      </c>
      <c r="O13649" s="1" t="s">
        <v>46</v>
      </c>
    </row>
    <row r="13650" spans="2:15" x14ac:dyDescent="0.3">
      <c r="B13650" s="1" t="s">
        <v>20</v>
      </c>
      <c r="C13650" s="1" t="str">
        <f>"5-2차"</f>
        <v>5-2차</v>
      </c>
      <c r="D13650" s="1" t="str">
        <f>"9925Q2215S"</f>
        <v>9925Q2215S</v>
      </c>
      <c r="E13650" s="1" t="s">
        <v>10</v>
      </c>
      <c r="F13650" s="1" t="str">
        <f>"fde3:102:1301:1400:0:0:0:5"</f>
        <v>fde3:102:1301:1400:0:0:0:5</v>
      </c>
      <c r="G13650" s="1" t="str">
        <f>"9925Q221"</f>
        <v>9925Q221</v>
      </c>
      <c r="H13650" s="1" t="str">
        <f>"동암간 3L11R2"</f>
        <v>동암간 3L11R2</v>
      </c>
      <c r="I13650" s="1" t="s">
        <v>15</v>
      </c>
      <c r="J13650" s="1" t="str">
        <f>"10/10"</f>
        <v>10/10</v>
      </c>
      <c r="K13650" s="1" t="str">
        <f>"2026-07-29 14:21:34"</f>
        <v>2026-07-29 14:21:34</v>
      </c>
      <c r="L13650" s="1" t="str">
        <f>"2024-02-16 10:43:36"</f>
        <v>2024-02-16 10:43:36</v>
      </c>
      <c r="M13650" s="1" t="s">
        <v>45</v>
      </c>
      <c r="N13650" s="1" t="s">
        <v>38</v>
      </c>
      <c r="O13650" s="1" t="s">
        <v>46</v>
      </c>
    </row>
    <row r="13651" spans="2:15" x14ac:dyDescent="0.3">
      <c r="B13651" s="1" t="s">
        <v>20</v>
      </c>
      <c r="C13651" s="1" t="s">
        <v>16</v>
      </c>
      <c r="D13651" s="1" t="str">
        <f>"9925Q24141"</f>
        <v>9925Q24141</v>
      </c>
      <c r="E13651" s="1" t="s">
        <v>10</v>
      </c>
      <c r="F13651" s="1" t="str">
        <f>"10.14.8.130"</f>
        <v>10.14.8.130</v>
      </c>
      <c r="G13651" s="1" t="str">
        <f>"9925Q241"</f>
        <v>9925Q241</v>
      </c>
      <c r="H13651" s="1" t="str">
        <f>"동암간 23L6L1"</f>
        <v>동암간 23L6L1</v>
      </c>
      <c r="I13651" s="1" t="s">
        <v>17</v>
      </c>
      <c r="J13651" s="1" t="str">
        <f>"21/21"</f>
        <v>21/21</v>
      </c>
      <c r="K13651" s="1" t="str">
        <f>"2026-07-29 13:18:13"</f>
        <v>2026-07-29 13:18:13</v>
      </c>
      <c r="L13651" s="1" t="str">
        <f>"2022-11-15 10:53:58"</f>
        <v>2022-11-15 10:53:58</v>
      </c>
      <c r="M13651" s="1" t="s">
        <v>3</v>
      </c>
      <c r="N13651" s="1" t="s">
        <v>38</v>
      </c>
      <c r="O13651" s="1" t="s">
        <v>46</v>
      </c>
    </row>
    <row r="13652" spans="2:15" x14ac:dyDescent="0.3">
      <c r="B13652" s="1" t="s">
        <v>20</v>
      </c>
      <c r="C13652" s="1" t="str">
        <f>"6차"</f>
        <v>6차</v>
      </c>
      <c r="D13652" s="1" t="str">
        <f>"9925Q2816M"</f>
        <v>9925Q2816M</v>
      </c>
      <c r="E13652" s="1" t="s">
        <v>10</v>
      </c>
      <c r="F13652" s="1" t="str">
        <f>"fde1:103:4:c7d9:0:0:0:2"</f>
        <v>fde1:103:4:c7d9:0:0:0:2</v>
      </c>
      <c r="G13652" s="1" t="str">
        <f>"9925Q281"</f>
        <v>9925Q281</v>
      </c>
      <c r="H13652" s="1" t="str">
        <f>"동암간 52"</f>
        <v>동암간 52</v>
      </c>
      <c r="I13652" s="1" t="s">
        <v>15</v>
      </c>
      <c r="J13652" s="1" t="str">
        <f>"39/40"</f>
        <v>39/40</v>
      </c>
      <c r="K13652" s="1" t="str">
        <f>"2026-07-29 14:21:42"</f>
        <v>2026-07-29 14:21:42</v>
      </c>
      <c r="L13652" s="1" t="str">
        <f>"2024-11-25 10:58:48"</f>
        <v>2024-11-25 10:58:48</v>
      </c>
      <c r="M13652" s="1" t="s">
        <v>4</v>
      </c>
      <c r="N13652" s="1" t="s">
        <v>38</v>
      </c>
      <c r="O13652" s="1" t="s">
        <v>46</v>
      </c>
    </row>
    <row r="13653" spans="2:15" x14ac:dyDescent="0.3">
      <c r="B13653" s="1" t="s">
        <v>20</v>
      </c>
      <c r="C13653" s="1" t="str">
        <f>"6차"</f>
        <v>6차</v>
      </c>
      <c r="D13653" s="1" t="str">
        <f>"9925Q3016S"</f>
        <v>9925Q3016S</v>
      </c>
      <c r="E13653" s="1" t="s">
        <v>10</v>
      </c>
      <c r="F13653" s="1" t="str">
        <f>"fde1:103:4:c7a9:0:0:0:2"</f>
        <v>fde1:103:4:c7a9:0:0:0:2</v>
      </c>
      <c r="G13653" s="1" t="str">
        <f>"9925Q301"</f>
        <v>9925Q301</v>
      </c>
      <c r="H13653" s="1" t="str">
        <f>"동암간 3L17"</f>
        <v>동암간 3L17</v>
      </c>
      <c r="I13653" s="1" t="s">
        <v>15</v>
      </c>
      <c r="J13653" s="1" t="str">
        <f>"68/69"</f>
        <v>68/69</v>
      </c>
      <c r="K13653" s="1" t="str">
        <f>"2026-07-29 14:21:35"</f>
        <v>2026-07-29 14:21:35</v>
      </c>
      <c r="L13653" s="1" t="str">
        <f>"2024-12-10 15:44:37"</f>
        <v>2024-12-10 15:44:37</v>
      </c>
      <c r="M13653" s="1" t="s">
        <v>4</v>
      </c>
      <c r="N13653" s="1" t="s">
        <v>38</v>
      </c>
      <c r="O13653" s="1" t="s">
        <v>46</v>
      </c>
    </row>
    <row r="13654" spans="2:15" x14ac:dyDescent="0.3">
      <c r="B13654" s="1" t="s">
        <v>20</v>
      </c>
      <c r="C13654" s="1" t="str">
        <f>"5-2차"</f>
        <v>5-2차</v>
      </c>
      <c r="D13654" s="1" t="str">
        <f>"9925Q3415S"</f>
        <v>9925Q3415S</v>
      </c>
      <c r="E13654" s="1" t="s">
        <v>10</v>
      </c>
      <c r="F13654" s="1" t="str">
        <f>"fde3:102:1301:1400:0:0:0:8"</f>
        <v>fde3:102:1301:1400:0:0:0:8</v>
      </c>
      <c r="G13654" s="1" t="str">
        <f>"9925Q341"</f>
        <v>9925Q341</v>
      </c>
      <c r="H13654" s="1" t="str">
        <f>"동암간 3L11L1"</f>
        <v>동암간 3L11L1</v>
      </c>
      <c r="I13654" s="1" t="s">
        <v>15</v>
      </c>
      <c r="J13654" s="1" t="str">
        <f>"41/41"</f>
        <v>41/41</v>
      </c>
      <c r="K13654" s="1" t="str">
        <f>"2026-07-29 14:21:41"</f>
        <v>2026-07-29 14:21:41</v>
      </c>
      <c r="L13654" s="1" t="str">
        <f>"2023-10-26 10:19:25"</f>
        <v>2023-10-26 10:19:25</v>
      </c>
      <c r="M13654" s="1" t="s">
        <v>45</v>
      </c>
      <c r="N13654" s="1" t="s">
        <v>38</v>
      </c>
      <c r="O13654" s="1" t="s">
        <v>46</v>
      </c>
    </row>
    <row r="13655" spans="2:15" x14ac:dyDescent="0.3">
      <c r="B13655" s="1" t="s">
        <v>20</v>
      </c>
      <c r="C13655" s="1" t="str">
        <f>"6차"</f>
        <v>6차</v>
      </c>
      <c r="D13655" s="1" t="str">
        <f>"9925Q3516S"</f>
        <v>9925Q3516S</v>
      </c>
      <c r="E13655" s="1" t="s">
        <v>10</v>
      </c>
      <c r="F13655" s="1" t="str">
        <f>"fde1:103:4:c642:0:0:0:2"</f>
        <v>fde1:103:4:c642:0:0:0:2</v>
      </c>
      <c r="G13655" s="1" t="str">
        <f>"9925Q351"</f>
        <v>9925Q351</v>
      </c>
      <c r="H13655" s="1" t="str">
        <f>"동암간 23L3L1"</f>
        <v>동암간 23L3L1</v>
      </c>
      <c r="I13655" s="1" t="s">
        <v>15</v>
      </c>
      <c r="J13655" s="1" t="str">
        <f>"36/37"</f>
        <v>36/37</v>
      </c>
      <c r="K13655" s="1" t="str">
        <f>"2026-07-29 14:21:23"</f>
        <v>2026-07-29 14:21:23</v>
      </c>
      <c r="L13655" s="1" t="str">
        <f>"2024-11-25 17:18:31"</f>
        <v>2024-11-25 17:18:31</v>
      </c>
      <c r="M13655" s="1" t="s">
        <v>4</v>
      </c>
      <c r="N13655" s="1" t="s">
        <v>38</v>
      </c>
      <c r="O13655" s="1" t="s">
        <v>46</v>
      </c>
    </row>
    <row r="13656" spans="2:15" x14ac:dyDescent="0.3">
      <c r="B13656" s="1" t="s">
        <v>20</v>
      </c>
      <c r="C13656" s="1" t="str">
        <f>"5-2차"</f>
        <v>5-2차</v>
      </c>
      <c r="D13656" s="1" t="str">
        <f>"9925Q3615M"</f>
        <v>9925Q3615M</v>
      </c>
      <c r="E13656" s="1" t="s">
        <v>10</v>
      </c>
      <c r="F13656" s="1" t="str">
        <f>"fde3:102:1301:1400:0:0:0:4"</f>
        <v>fde3:102:1301:1400:0:0:0:4</v>
      </c>
      <c r="G13656" s="1" t="str">
        <f>"9925Q361"</f>
        <v>9925Q361</v>
      </c>
      <c r="H13656" s="1" t="str">
        <f>"동암간 23L4"</f>
        <v>동암간 23L4</v>
      </c>
      <c r="I13656" s="1" t="s">
        <v>15</v>
      </c>
      <c r="J13656" s="1" t="str">
        <f>"31/31"</f>
        <v>31/31</v>
      </c>
      <c r="K13656" s="1" t="str">
        <f>"2026-07-29 14:21:35"</f>
        <v>2026-07-29 14:21:35</v>
      </c>
      <c r="L13656" s="1" t="str">
        <f>"2023-10-17 11:35:19"</f>
        <v>2023-10-17 11:35:19</v>
      </c>
      <c r="M13656" s="1" t="s">
        <v>45</v>
      </c>
      <c r="N13656" s="1" t="s">
        <v>38</v>
      </c>
      <c r="O13656" s="1" t="s">
        <v>46</v>
      </c>
    </row>
    <row r="13657" spans="2:15" x14ac:dyDescent="0.3">
      <c r="B13657" s="1" t="s">
        <v>20</v>
      </c>
      <c r="C13657" s="1" t="str">
        <f>"6차"</f>
        <v>6차</v>
      </c>
      <c r="D13657" s="1" t="str">
        <f>"9925Q3716M"</f>
        <v>9925Q3716M</v>
      </c>
      <c r="E13657" s="1" t="s">
        <v>10</v>
      </c>
      <c r="F13657" s="1" t="str">
        <f>"fde1:103:4:c813:0:0:0:2"</f>
        <v>fde1:103:4:c813:0:0:0:2</v>
      </c>
      <c r="G13657" s="1" t="str">
        <f>"9925Q371"</f>
        <v>9925Q371</v>
      </c>
      <c r="H13657" s="1" t="str">
        <f>"동암간 53L1"</f>
        <v>동암간 53L1</v>
      </c>
      <c r="I13657" s="1" t="s">
        <v>15</v>
      </c>
      <c r="J13657" s="1" t="str">
        <f>"50/51"</f>
        <v>50/51</v>
      </c>
      <c r="K13657" s="1" t="str">
        <f>"2026-07-29 14:21:23"</f>
        <v>2026-07-29 14:21:23</v>
      </c>
      <c r="L13657" s="1" t="str">
        <f>"2024-11-25 10:59:27"</f>
        <v>2024-11-25 10:59:27</v>
      </c>
      <c r="M13657" s="1" t="s">
        <v>4</v>
      </c>
      <c r="N13657" s="1" t="s">
        <v>38</v>
      </c>
      <c r="O13657" s="1" t="s">
        <v>46</v>
      </c>
    </row>
    <row r="13658" spans="2:15" x14ac:dyDescent="0.3">
      <c r="B13658" s="1" t="s">
        <v>20</v>
      </c>
      <c r="C13658" s="1" t="str">
        <f>"5-1차"</f>
        <v>5-1차</v>
      </c>
      <c r="D13658" s="1" t="str">
        <f>"9925Q4215S"</f>
        <v>9925Q4215S</v>
      </c>
      <c r="E13658" s="1" t="s">
        <v>10</v>
      </c>
      <c r="F13658" s="1" t="str">
        <f>"fde3:102:1301:4800:0:0:0:3"</f>
        <v>fde3:102:1301:4800:0:0:0:3</v>
      </c>
      <c r="G13658" s="1" t="str">
        <f>"9925Q421"</f>
        <v>9925Q421</v>
      </c>
      <c r="H13658" s="1" t="str">
        <f>"동암간 3L14"</f>
        <v>동암간 3L14</v>
      </c>
      <c r="I13658" s="1" t="s">
        <v>15</v>
      </c>
      <c r="J13658" s="1" t="str">
        <f>"42/42"</f>
        <v>42/42</v>
      </c>
      <c r="K13658" s="1" t="str">
        <f>"2026-07-29 14:21:24"</f>
        <v>2026-07-29 14:21:24</v>
      </c>
      <c r="L13658" s="1" t="str">
        <f>"2022-12-09 09:46:10"</f>
        <v>2022-12-09 09:46:10</v>
      </c>
      <c r="M13658" s="1" t="s">
        <v>45</v>
      </c>
      <c r="N13658" s="1" t="s">
        <v>38</v>
      </c>
      <c r="O13658" s="1" t="s">
        <v>46</v>
      </c>
    </row>
    <row r="13659" spans="2:15" x14ac:dyDescent="0.3">
      <c r="B13659" s="1" t="s">
        <v>20</v>
      </c>
      <c r="C13659" s="1" t="str">
        <f>"5-2차"</f>
        <v>5-2차</v>
      </c>
      <c r="D13659" s="1" t="str">
        <f>"9925Q4315M"</f>
        <v>9925Q4315M</v>
      </c>
      <c r="E13659" s="1" t="str">
        <f>"검침실패(3시간 이상)"</f>
        <v>검침실패(3시간 이상)</v>
      </c>
      <c r="F13659" s="1" t="str">
        <f>"fde1:103:4:588c:0:0:0:2"</f>
        <v>fde1:103:4:588c:0:0:0:2</v>
      </c>
      <c r="G13659" s="1" t="str">
        <f>"9925Q431"</f>
        <v>9925Q431</v>
      </c>
      <c r="H13659" s="1" t="str">
        <f>"동암간 3L13"</f>
        <v>동암간 3L13</v>
      </c>
      <c r="I13659" s="1" t="s">
        <v>15</v>
      </c>
      <c r="J13659" s="1" t="str">
        <f>"0/32"</f>
        <v>0/32</v>
      </c>
      <c r="K13659" s="1" t="str">
        <f>"2026-07-28 20:03:35"</f>
        <v>2026-07-28 20:03:35</v>
      </c>
      <c r="L13659" s="1" t="str">
        <f>"2023-09-12 16:21:20"</f>
        <v>2023-09-12 16:21:20</v>
      </c>
      <c r="M13659" s="1" t="s">
        <v>4</v>
      </c>
      <c r="N13659" s="1" t="s">
        <v>38</v>
      </c>
      <c r="O13659" s="1" t="s">
        <v>46</v>
      </c>
    </row>
    <row r="13660" spans="2:15" x14ac:dyDescent="0.3">
      <c r="B13660" s="1" t="s">
        <v>20</v>
      </c>
      <c r="C13660" s="1" t="str">
        <f>"1차"</f>
        <v>1차</v>
      </c>
      <c r="D13660" s="1" t="str">
        <f>"9925Q48101"</f>
        <v>9925Q48101</v>
      </c>
      <c r="E13660" s="1" t="s">
        <v>10</v>
      </c>
      <c r="F13660" s="1" t="str">
        <f>"10.12.128.234"</f>
        <v>10.12.128.234</v>
      </c>
      <c r="G13660" s="1" t="str">
        <f>"9925Q481"</f>
        <v>9925Q481</v>
      </c>
      <c r="H13660" s="1" t="str">
        <f>"동암간 53L3"</f>
        <v>동암간 53L3</v>
      </c>
      <c r="I13660" s="1" t="s">
        <v>8</v>
      </c>
      <c r="J13660" s="1" t="str">
        <f>"56/58"</f>
        <v>56/58</v>
      </c>
      <c r="K13660" s="1" t="str">
        <f>"2026-07-29 07:18:12"</f>
        <v>2026-07-29 07:18:12</v>
      </c>
      <c r="L13660" s="1" t="str">
        <f>"2014-11-25 11:03:09"</f>
        <v>2014-11-25 11:03:09</v>
      </c>
      <c r="M13660" s="1" t="s">
        <v>0</v>
      </c>
      <c r="N13660" s="1" t="s">
        <v>38</v>
      </c>
      <c r="O13660" s="1" t="s">
        <v>46</v>
      </c>
    </row>
    <row r="13661" spans="2:15" x14ac:dyDescent="0.3">
      <c r="B13661" s="1" t="s">
        <v>20</v>
      </c>
      <c r="C13661" s="1" t="str">
        <f>"5-1차"</f>
        <v>5-1차</v>
      </c>
      <c r="D13661" s="1" t="str">
        <f>"9925Q5415M"</f>
        <v>9925Q5415M</v>
      </c>
      <c r="E13661" s="1" t="s">
        <v>10</v>
      </c>
      <c r="F13661" s="1" t="str">
        <f>"fde3:102:1301:4800:0:0:0:2"</f>
        <v>fde3:102:1301:4800:0:0:0:2</v>
      </c>
      <c r="G13661" s="1" t="str">
        <f>"9925Q541"</f>
        <v>9925Q541</v>
      </c>
      <c r="H13661" s="1" t="str">
        <f>"동암간 3L13L1L1"</f>
        <v>동암간 3L13L1L1</v>
      </c>
      <c r="I13661" s="1" t="s">
        <v>15</v>
      </c>
      <c r="J13661" s="1" t="str">
        <f>"36/36"</f>
        <v>36/36</v>
      </c>
      <c r="K13661" s="1" t="str">
        <f>"2026-07-29 14:21:24"</f>
        <v>2026-07-29 14:21:24</v>
      </c>
      <c r="L13661" s="1" t="str">
        <f>"2022-12-15 06:59:54"</f>
        <v>2022-12-15 06:59:54</v>
      </c>
      <c r="M13661" s="1" t="s">
        <v>45</v>
      </c>
      <c r="N13661" s="1" t="s">
        <v>38</v>
      </c>
      <c r="O13661" s="1" t="s">
        <v>46</v>
      </c>
    </row>
    <row r="13662" spans="2:15" x14ac:dyDescent="0.3">
      <c r="B13662" s="1" t="s">
        <v>20</v>
      </c>
      <c r="C13662" s="1" t="str">
        <f>"6차"</f>
        <v>6차</v>
      </c>
      <c r="D13662" s="1" t="str">
        <f>"9925Q5516S"</f>
        <v>9925Q5516S</v>
      </c>
      <c r="E13662" s="1" t="s">
        <v>10</v>
      </c>
      <c r="F13662" s="1" t="str">
        <f>"fde1:103:4:c5f4:0:0:0:2"</f>
        <v>fde1:103:4:c5f4:0:0:0:2</v>
      </c>
      <c r="G13662" s="1" t="str">
        <f>"9925Q551"</f>
        <v>9925Q551</v>
      </c>
      <c r="H13662" s="1" t="str">
        <f>"동암간 23L1"</f>
        <v>동암간 23L1</v>
      </c>
      <c r="I13662" s="1" t="s">
        <v>15</v>
      </c>
      <c r="J13662" s="1" t="str">
        <f>"50/50"</f>
        <v>50/50</v>
      </c>
      <c r="K13662" s="1" t="str">
        <f>"2026-07-29 14:21:24"</f>
        <v>2026-07-29 14:21:24</v>
      </c>
      <c r="L13662" s="1" t="str">
        <f>"2024-11-05 14:47:00"</f>
        <v>2024-11-05 14:47:00</v>
      </c>
      <c r="M13662" s="1" t="s">
        <v>4</v>
      </c>
      <c r="N13662" s="1" t="s">
        <v>38</v>
      </c>
      <c r="O13662" s="1" t="s">
        <v>46</v>
      </c>
    </row>
    <row r="13663" spans="2:15" x14ac:dyDescent="0.3">
      <c r="B13663" s="1" t="s">
        <v>20</v>
      </c>
      <c r="C13663" s="1" t="str">
        <f>"6차"</f>
        <v>6차</v>
      </c>
      <c r="D13663" s="1" t="str">
        <f>"9925Q6256S"</f>
        <v>9925Q6256S</v>
      </c>
      <c r="E13663" s="1" t="s">
        <v>10</v>
      </c>
      <c r="F13663" s="1" t="str">
        <f>"fde3:102:1301:4501:0:0:0:3"</f>
        <v>fde3:102:1301:4501:0:0:0:3</v>
      </c>
      <c r="G13663" s="1" t="str">
        <f>"9925Q625"</f>
        <v>9925Q625</v>
      </c>
      <c r="H13663" s="1" t="str">
        <f>"동암간 17"</f>
        <v>동암간 17</v>
      </c>
      <c r="I13663" s="1" t="s">
        <v>15</v>
      </c>
      <c r="J13663" s="1" t="str">
        <f>"30/37"</f>
        <v>30/37</v>
      </c>
      <c r="K13663" s="1" t="str">
        <f>"2026-07-29 14:21:23"</f>
        <v>2026-07-29 14:21:23</v>
      </c>
      <c r="L13663" s="1" t="str">
        <f>"2024-12-02 10:46:36"</f>
        <v>2024-12-02 10:46:36</v>
      </c>
      <c r="M13663" s="1" t="s">
        <v>45</v>
      </c>
      <c r="N13663" s="1" t="s">
        <v>38</v>
      </c>
      <c r="O13663" s="1" t="s">
        <v>46</v>
      </c>
    </row>
    <row r="13664" spans="2:15" x14ac:dyDescent="0.3">
      <c r="B13664" s="1" t="s">
        <v>20</v>
      </c>
      <c r="C13664" s="1" t="str">
        <f>"6차"</f>
        <v>6차</v>
      </c>
      <c r="D13664" s="1" t="str">
        <f>"9925Q6316S"</f>
        <v>9925Q6316S</v>
      </c>
      <c r="E13664" s="1" t="s">
        <v>10</v>
      </c>
      <c r="F13664" s="1" t="str">
        <f>"fde1:103:4:9146:0:0:0:2"</f>
        <v>fde1:103:4:9146:0:0:0:2</v>
      </c>
      <c r="G13664" s="1" t="str">
        <f>"9925Q631"</f>
        <v>9925Q631</v>
      </c>
      <c r="H13664" s="1" t="str">
        <f>"동암간 20"</f>
        <v>동암간 20</v>
      </c>
      <c r="I13664" s="1" t="s">
        <v>15</v>
      </c>
      <c r="J13664" s="1" t="str">
        <f>"34/34"</f>
        <v>34/34</v>
      </c>
      <c r="K13664" s="1" t="str">
        <f>"2026-07-29 14:21:24"</f>
        <v>2026-07-29 14:21:24</v>
      </c>
      <c r="L13664" s="1" t="str">
        <f>"2025-04-15 18:03:25"</f>
        <v>2025-04-15 18:03:25</v>
      </c>
      <c r="M13664" s="1" t="s">
        <v>4</v>
      </c>
      <c r="N13664" s="1" t="s">
        <v>38</v>
      </c>
      <c r="O13664" s="1" t="s">
        <v>46</v>
      </c>
    </row>
    <row r="13665" spans="2:15" x14ac:dyDescent="0.3">
      <c r="B13665" s="1" t="s">
        <v>20</v>
      </c>
      <c r="C13665" s="1" t="str">
        <f>"5-2차"</f>
        <v>5-2차</v>
      </c>
      <c r="D13665" s="1" t="str">
        <f>"9925Q6325S"</f>
        <v>9925Q6325S</v>
      </c>
      <c r="E13665" s="1" t="s">
        <v>10</v>
      </c>
      <c r="F13665" s="1" t="str">
        <f>"fde1:103:4:588f:0:0:0:2"</f>
        <v>fde1:103:4:588f:0:0:0:2</v>
      </c>
      <c r="G13665" s="1" t="str">
        <f>"9925Q632"</f>
        <v>9925Q632</v>
      </c>
      <c r="H13665" s="1" t="str">
        <f>"동암간 19"</f>
        <v>동암간 19</v>
      </c>
      <c r="I13665" s="1" t="s">
        <v>15</v>
      </c>
      <c r="J13665" s="1" t="str">
        <f>"29/29"</f>
        <v>29/29</v>
      </c>
      <c r="K13665" s="1" t="str">
        <f>"2026-07-29 14:21:24"</f>
        <v>2026-07-29 14:21:24</v>
      </c>
      <c r="L13665" s="1" t="str">
        <f>"2023-09-12 16:33:43"</f>
        <v>2023-09-12 16:33:43</v>
      </c>
      <c r="M13665" s="1" t="s">
        <v>4</v>
      </c>
      <c r="N13665" s="1" t="s">
        <v>38</v>
      </c>
      <c r="O13665" s="1" t="s">
        <v>46</v>
      </c>
    </row>
    <row r="13666" spans="2:15" x14ac:dyDescent="0.3">
      <c r="B13666" s="1" t="s">
        <v>20</v>
      </c>
      <c r="C13666" s="1" t="str">
        <f>"4차"</f>
        <v>4차</v>
      </c>
      <c r="D13666" s="1" t="str">
        <f>"9925Q64342"</f>
        <v>9925Q64342</v>
      </c>
      <c r="E13666" s="1" t="s">
        <v>10</v>
      </c>
      <c r="F13666" s="1" t="str">
        <f>"10.14.11.23"</f>
        <v>10.14.11.23</v>
      </c>
      <c r="G13666" s="1" t="str">
        <f>"9925Q643"</f>
        <v>9925Q643</v>
      </c>
      <c r="H13666" s="1" t="str">
        <f>"동암간 21"</f>
        <v>동암간 21</v>
      </c>
      <c r="I13666" s="1" t="s">
        <v>8</v>
      </c>
      <c r="J13666" s="1" t="str">
        <f>"12/12"</f>
        <v>12/12</v>
      </c>
      <c r="K13666" s="1" t="str">
        <f>"2026-07-29 13:18:13"</f>
        <v>2026-07-29 13:18:13</v>
      </c>
      <c r="L13666" s="1" t="str">
        <f>"2025-08-26 10:52:41"</f>
        <v>2025-08-26 10:52:41</v>
      </c>
      <c r="M13666" s="1" t="s">
        <v>3</v>
      </c>
      <c r="N13666" s="1" t="s">
        <v>38</v>
      </c>
      <c r="O13666" s="1" t="s">
        <v>46</v>
      </c>
    </row>
    <row r="13667" spans="2:15" x14ac:dyDescent="0.3">
      <c r="B13667" s="1" t="s">
        <v>20</v>
      </c>
      <c r="C13667" s="1" t="str">
        <f>"1차"</f>
        <v>1차</v>
      </c>
      <c r="D13667" s="1" t="str">
        <f>"9925Q64500"</f>
        <v>9925Q64500</v>
      </c>
      <c r="E13667" s="1" t="s">
        <v>10</v>
      </c>
      <c r="F13667" s="1" t="str">
        <f>"10.125.229.114"</f>
        <v>10.125.229.114</v>
      </c>
      <c r="G13667" s="1" t="str">
        <f>"9925Q645"</f>
        <v>9925Q645</v>
      </c>
      <c r="H13667" s="1" t="str">
        <f>"동암간 22"</f>
        <v>동암간 22</v>
      </c>
      <c r="I13667" s="1" t="s">
        <v>8</v>
      </c>
      <c r="J13667" s="1" t="str">
        <f>"9/10"</f>
        <v>9/10</v>
      </c>
      <c r="K13667" s="1" t="str">
        <f>"2026-07-29 13:18:11"</f>
        <v>2026-07-29 13:18:11</v>
      </c>
      <c r="L13667" s="1" t="str">
        <f>"2014-11-20 16:34:38"</f>
        <v>2014-11-20 16:34:38</v>
      </c>
      <c r="M13667" s="1" t="s">
        <v>45</v>
      </c>
      <c r="N13667" s="1" t="s">
        <v>38</v>
      </c>
      <c r="O13667" s="1" t="s">
        <v>46</v>
      </c>
    </row>
    <row r="13668" spans="2:15" x14ac:dyDescent="0.3">
      <c r="B13668" s="1" t="s">
        <v>20</v>
      </c>
      <c r="C13668" s="1" t="str">
        <f>"1차"</f>
        <v>1차</v>
      </c>
      <c r="D13668" s="1" t="str">
        <f>"9925Q65301"</f>
        <v>9925Q65301</v>
      </c>
      <c r="E13668" s="1" t="s">
        <v>10</v>
      </c>
      <c r="F13668" s="1" t="str">
        <f>"10.125.229.115"</f>
        <v>10.125.229.115</v>
      </c>
      <c r="G13668" s="1" t="str">
        <f>"9925Q653"</f>
        <v>9925Q653</v>
      </c>
      <c r="H13668" s="1" t="str">
        <f>"동암간 24H1"</f>
        <v>동암간 24H1</v>
      </c>
      <c r="I13668" s="1" t="s">
        <v>8</v>
      </c>
      <c r="J13668" s="1" t="str">
        <f>"8/10"</f>
        <v>8/10</v>
      </c>
      <c r="K13668" s="1" t="str">
        <f>"2026-07-29 13:18:11"</f>
        <v>2026-07-29 13:18:11</v>
      </c>
      <c r="L13668" s="1" t="str">
        <f>"2014-12-03 11:15:52"</f>
        <v>2014-12-03 11:15:52</v>
      </c>
      <c r="M13668" s="1" t="s">
        <v>45</v>
      </c>
      <c r="N13668" s="1" t="s">
        <v>38</v>
      </c>
      <c r="O13668" s="1" t="s">
        <v>46</v>
      </c>
    </row>
    <row r="13669" spans="2:15" x14ac:dyDescent="0.3">
      <c r="B13669" s="1" t="s">
        <v>20</v>
      </c>
      <c r="C13669" s="1" t="str">
        <f t="shared" ref="C13669:C13679" si="691">"4차"</f>
        <v>4차</v>
      </c>
      <c r="D13669" s="1" t="str">
        <f>"9925Q66144"</f>
        <v>9925Q66144</v>
      </c>
      <c r="E13669" s="1" t="s">
        <v>10</v>
      </c>
      <c r="F13669" s="1" t="str">
        <f>"10.12.138.128"</f>
        <v>10.12.138.128</v>
      </c>
      <c r="G13669" s="1" t="str">
        <f>"9925Q661"</f>
        <v>9925Q661</v>
      </c>
      <c r="H13669" s="1" t="str">
        <f>"동암간 24H1L2"</f>
        <v>동암간 24H1L2</v>
      </c>
      <c r="I13669" s="1" t="s">
        <v>8</v>
      </c>
      <c r="J13669" s="1" t="str">
        <f>"28/30"</f>
        <v>28/30</v>
      </c>
      <c r="K13669" s="1" t="str">
        <f>"2026-07-29 13:18:02"</f>
        <v>2026-07-29 13:18:02</v>
      </c>
      <c r="L13669" s="1" t="str">
        <f>"2020-01-08 15:06:53"</f>
        <v>2020-01-08 15:06:53</v>
      </c>
      <c r="M13669" s="1" t="s">
        <v>0</v>
      </c>
      <c r="N13669" s="1" t="s">
        <v>38</v>
      </c>
      <c r="O13669" s="1" t="s">
        <v>46</v>
      </c>
    </row>
    <row r="13670" spans="2:15" x14ac:dyDescent="0.3">
      <c r="B13670" s="1" t="s">
        <v>20</v>
      </c>
      <c r="C13670" s="1" t="str">
        <f t="shared" si="691"/>
        <v>4차</v>
      </c>
      <c r="D13670" s="1" t="str">
        <f>"9925Q69144"</f>
        <v>9925Q69144</v>
      </c>
      <c r="E13670" s="1" t="s">
        <v>10</v>
      </c>
      <c r="F13670" s="1" t="str">
        <f>"10.12.138.16"</f>
        <v>10.12.138.16</v>
      </c>
      <c r="G13670" s="1" t="str">
        <f>"9925Q691"</f>
        <v>9925Q691</v>
      </c>
      <c r="H13670" s="1" t="str">
        <f>"동암간 32L2"</f>
        <v>동암간 32L2</v>
      </c>
      <c r="I13670" s="1" t="s">
        <v>8</v>
      </c>
      <c r="J13670" s="1" t="str">
        <f>"33/33"</f>
        <v>33/33</v>
      </c>
      <c r="K13670" s="1" t="str">
        <f>"2026-07-29 13:18:13"</f>
        <v>2026-07-29 13:18:13</v>
      </c>
      <c r="L13670" s="1" t="str">
        <f>"2020-01-30 11:50:51"</f>
        <v>2020-01-30 11:50:51</v>
      </c>
      <c r="M13670" s="1" t="s">
        <v>0</v>
      </c>
      <c r="N13670" s="1" t="s">
        <v>38</v>
      </c>
      <c r="O13670" s="1" t="s">
        <v>46</v>
      </c>
    </row>
    <row r="13671" spans="2:15" x14ac:dyDescent="0.3">
      <c r="B13671" s="1" t="s">
        <v>20</v>
      </c>
      <c r="C13671" s="1" t="str">
        <f t="shared" si="691"/>
        <v>4차</v>
      </c>
      <c r="D13671" s="1" t="str">
        <f>"9925Q73144"</f>
        <v>9925Q73144</v>
      </c>
      <c r="E13671" s="1" t="s">
        <v>10</v>
      </c>
      <c r="F13671" s="1" t="str">
        <f>"10.10.137.170"</f>
        <v>10.10.137.170</v>
      </c>
      <c r="G13671" s="1" t="str">
        <f>"9925Q731"</f>
        <v>9925Q731</v>
      </c>
      <c r="H13671" s="1" t="str">
        <f>"동암간 26R1H1R1R1"</f>
        <v>동암간 26R1H1R1R1</v>
      </c>
      <c r="I13671" s="1" t="s">
        <v>8</v>
      </c>
      <c r="J13671" s="1" t="str">
        <f>"10/10"</f>
        <v>10/10</v>
      </c>
      <c r="K13671" s="1" t="str">
        <f>"2026-07-29 13:18:12"</f>
        <v>2026-07-29 13:18:12</v>
      </c>
      <c r="L13671" s="1" t="str">
        <f>"2020-02-11 13:25:25"</f>
        <v>2020-02-11 13:25:25</v>
      </c>
      <c r="M13671" s="1" t="s">
        <v>1</v>
      </c>
      <c r="N13671" s="1" t="s">
        <v>38</v>
      </c>
      <c r="O13671" s="1" t="s">
        <v>46</v>
      </c>
    </row>
    <row r="13672" spans="2:15" x14ac:dyDescent="0.3">
      <c r="B13672" s="1" t="s">
        <v>20</v>
      </c>
      <c r="C13672" s="1" t="str">
        <f t="shared" si="691"/>
        <v>4차</v>
      </c>
      <c r="D13672" s="1" t="str">
        <f>"9925Q73244"</f>
        <v>9925Q73244</v>
      </c>
      <c r="E13672" s="1" t="s">
        <v>10</v>
      </c>
      <c r="F13672" s="1" t="str">
        <f>"10.10.65.66"</f>
        <v>10.10.65.66</v>
      </c>
      <c r="G13672" s="1" t="str">
        <f>"9925Q732"</f>
        <v>9925Q732</v>
      </c>
      <c r="H13672" s="1" t="str">
        <f>"동암간 26R1H1R1"</f>
        <v>동암간 26R1H1R1</v>
      </c>
      <c r="I13672" s="1" t="s">
        <v>8</v>
      </c>
      <c r="J13672" s="1" t="str">
        <f>"56/56"</f>
        <v>56/56</v>
      </c>
      <c r="K13672" s="1" t="str">
        <f t="shared" ref="K13672:K13678" si="692">"2026-07-29 13:18:11"</f>
        <v>2026-07-29 13:18:11</v>
      </c>
      <c r="L13672" s="1" t="str">
        <f>"2019-12-24 16:47:37"</f>
        <v>2019-12-24 16:47:37</v>
      </c>
      <c r="M13672" s="1" t="s">
        <v>1</v>
      </c>
      <c r="N13672" s="1" t="s">
        <v>38</v>
      </c>
      <c r="O13672" s="1" t="s">
        <v>46</v>
      </c>
    </row>
    <row r="13673" spans="2:15" x14ac:dyDescent="0.3">
      <c r="B13673" s="1" t="s">
        <v>20</v>
      </c>
      <c r="C13673" s="1" t="str">
        <f t="shared" si="691"/>
        <v>4차</v>
      </c>
      <c r="D13673" s="1" t="str">
        <f>"9925Q75344"</f>
        <v>9925Q75344</v>
      </c>
      <c r="E13673" s="1" t="s">
        <v>10</v>
      </c>
      <c r="F13673" s="1" t="str">
        <f>"10.10.137.178"</f>
        <v>10.10.137.178</v>
      </c>
      <c r="G13673" s="1" t="str">
        <f>"9925Q753"</f>
        <v>9925Q753</v>
      </c>
      <c r="H13673" s="1" t="str">
        <f>"동암간 25H1"</f>
        <v>동암간 25H1</v>
      </c>
      <c r="I13673" s="1" t="s">
        <v>8</v>
      </c>
      <c r="J13673" s="1" t="str">
        <f>"9/9"</f>
        <v>9/9</v>
      </c>
      <c r="K13673" s="1" t="str">
        <f t="shared" si="692"/>
        <v>2026-07-29 13:18:11</v>
      </c>
      <c r="L13673" s="1" t="str">
        <f>"2020-01-20 15:13:49"</f>
        <v>2020-01-20 15:13:49</v>
      </c>
      <c r="M13673" s="1" t="s">
        <v>1</v>
      </c>
      <c r="N13673" s="1" t="s">
        <v>38</v>
      </c>
      <c r="O13673" s="1" t="s">
        <v>46</v>
      </c>
    </row>
    <row r="13674" spans="2:15" x14ac:dyDescent="0.3">
      <c r="B13674" s="1" t="s">
        <v>20</v>
      </c>
      <c r="C13674" s="1" t="str">
        <f t="shared" si="691"/>
        <v>4차</v>
      </c>
      <c r="D13674" s="1" t="str">
        <f>"9925Q81144"</f>
        <v>9925Q81144</v>
      </c>
      <c r="E13674" s="1" t="s">
        <v>10</v>
      </c>
      <c r="F13674" s="1" t="str">
        <f>"10.10.65.74"</f>
        <v>10.10.65.74</v>
      </c>
      <c r="G13674" s="1" t="str">
        <f>"9925Q811"</f>
        <v>9925Q811</v>
      </c>
      <c r="H13674" s="1" t="str">
        <f>"동암간 26R1H1R5"</f>
        <v>동암간 26R1H1R5</v>
      </c>
      <c r="I13674" s="1" t="s">
        <v>8</v>
      </c>
      <c r="J13674" s="1" t="str">
        <f>"28/28"</f>
        <v>28/28</v>
      </c>
      <c r="K13674" s="1" t="str">
        <f t="shared" si="692"/>
        <v>2026-07-29 13:18:11</v>
      </c>
      <c r="L13674" s="1" t="str">
        <f>"2020-01-20 14:05:59"</f>
        <v>2020-01-20 14:05:59</v>
      </c>
      <c r="M13674" s="1" t="s">
        <v>1</v>
      </c>
      <c r="N13674" s="1" t="s">
        <v>38</v>
      </c>
      <c r="O13674" s="1" t="s">
        <v>46</v>
      </c>
    </row>
    <row r="13675" spans="2:15" x14ac:dyDescent="0.3">
      <c r="B13675" s="1" t="s">
        <v>20</v>
      </c>
      <c r="C13675" s="1" t="str">
        <f t="shared" si="691"/>
        <v>4차</v>
      </c>
      <c r="D13675" s="1" t="str">
        <f>"9925Q81244"</f>
        <v>9925Q81244</v>
      </c>
      <c r="E13675" s="1" t="s">
        <v>10</v>
      </c>
      <c r="F13675" s="1" t="str">
        <f>"10.10.118.170"</f>
        <v>10.10.118.170</v>
      </c>
      <c r="G13675" s="1" t="str">
        <f>"9925Q812"</f>
        <v>9925Q812</v>
      </c>
      <c r="H13675" s="1" t="str">
        <f>"동암간 26R1H1R4"</f>
        <v>동암간 26R1H1R4</v>
      </c>
      <c r="I13675" s="1" t="s">
        <v>8</v>
      </c>
      <c r="J13675" s="1" t="str">
        <f>"12/13"</f>
        <v>12/13</v>
      </c>
      <c r="K13675" s="1" t="str">
        <f t="shared" si="692"/>
        <v>2026-07-29 13:18:11</v>
      </c>
      <c r="L13675" s="1" t="str">
        <f>"2019-12-24 16:41:46"</f>
        <v>2019-12-24 16:41:46</v>
      </c>
      <c r="M13675" s="1" t="s">
        <v>1</v>
      </c>
      <c r="N13675" s="1" t="s">
        <v>38</v>
      </c>
      <c r="O13675" s="1" t="s">
        <v>46</v>
      </c>
    </row>
    <row r="13676" spans="2:15" x14ac:dyDescent="0.3">
      <c r="B13676" s="1" t="s">
        <v>20</v>
      </c>
      <c r="C13676" s="1" t="str">
        <f t="shared" si="691"/>
        <v>4차</v>
      </c>
      <c r="D13676" s="1" t="str">
        <f>"9925Q86344"</f>
        <v>9925Q86344</v>
      </c>
      <c r="E13676" s="1" t="s">
        <v>10</v>
      </c>
      <c r="F13676" s="1" t="str">
        <f>"10.10.137.186"</f>
        <v>10.10.137.186</v>
      </c>
      <c r="G13676" s="1" t="str">
        <f>"9925Q863"</f>
        <v>9925Q863</v>
      </c>
      <c r="H13676" s="1" t="str">
        <f>"해암지 9L7"</f>
        <v>해암지 9L7</v>
      </c>
      <c r="I13676" s="1" t="s">
        <v>8</v>
      </c>
      <c r="J13676" s="1" t="str">
        <f>"24/24"</f>
        <v>24/24</v>
      </c>
      <c r="K13676" s="1" t="str">
        <f t="shared" si="692"/>
        <v>2026-07-29 13:18:11</v>
      </c>
      <c r="L13676" s="1" t="str">
        <f>"2020-01-21 16:44:33"</f>
        <v>2020-01-21 16:44:33</v>
      </c>
      <c r="M13676" s="1" t="s">
        <v>1</v>
      </c>
      <c r="N13676" s="1" t="s">
        <v>38</v>
      </c>
      <c r="O13676" s="1" t="s">
        <v>46</v>
      </c>
    </row>
    <row r="13677" spans="2:15" x14ac:dyDescent="0.3">
      <c r="B13677" s="1" t="s">
        <v>20</v>
      </c>
      <c r="C13677" s="1" t="str">
        <f t="shared" si="691"/>
        <v>4차</v>
      </c>
      <c r="D13677" s="1" t="str">
        <f>"9925Q87144"</f>
        <v>9925Q87144</v>
      </c>
      <c r="E13677" s="1" t="s">
        <v>10</v>
      </c>
      <c r="F13677" s="1" t="str">
        <f>"10.10.136.194"</f>
        <v>10.10.136.194</v>
      </c>
      <c r="G13677" s="1" t="str">
        <f>"9925Q871"</f>
        <v>9925Q871</v>
      </c>
      <c r="H13677" s="1" t="str">
        <f>"해암지 9L10"</f>
        <v>해암지 9L10</v>
      </c>
      <c r="I13677" s="1" t="s">
        <v>8</v>
      </c>
      <c r="J13677" s="1" t="str">
        <f>"29/29"</f>
        <v>29/29</v>
      </c>
      <c r="K13677" s="1" t="str">
        <f t="shared" si="692"/>
        <v>2026-07-29 13:18:11</v>
      </c>
      <c r="L13677" s="1" t="str">
        <f>"2020-01-21 16:48:35"</f>
        <v>2020-01-21 16:48:35</v>
      </c>
      <c r="M13677" s="1" t="s">
        <v>1</v>
      </c>
      <c r="N13677" s="1" t="s">
        <v>38</v>
      </c>
      <c r="O13677" s="1" t="s">
        <v>46</v>
      </c>
    </row>
    <row r="13678" spans="2:15" x14ac:dyDescent="0.3">
      <c r="B13678" s="1" t="s">
        <v>20</v>
      </c>
      <c r="C13678" s="1" t="str">
        <f t="shared" si="691"/>
        <v>4차</v>
      </c>
      <c r="D13678" s="1" t="str">
        <f>"9925Q88344"</f>
        <v>9925Q88344</v>
      </c>
      <c r="E13678" s="1" t="s">
        <v>10</v>
      </c>
      <c r="F13678" s="1" t="str">
        <f>"10.10.137.194"</f>
        <v>10.10.137.194</v>
      </c>
      <c r="G13678" s="1" t="str">
        <f>"9925Q883"</f>
        <v>9925Q883</v>
      </c>
      <c r="H13678" s="1" t="str">
        <f>"해암지 9L8L3"</f>
        <v>해암지 9L8L3</v>
      </c>
      <c r="I13678" s="1" t="s">
        <v>8</v>
      </c>
      <c r="J13678" s="1" t="str">
        <f>"49/49"</f>
        <v>49/49</v>
      </c>
      <c r="K13678" s="1" t="str">
        <f t="shared" si="692"/>
        <v>2026-07-29 13:18:11</v>
      </c>
      <c r="L13678" s="1" t="str">
        <f>"2020-01-21 16:45:06"</f>
        <v>2020-01-21 16:45:06</v>
      </c>
      <c r="M13678" s="1" t="s">
        <v>1</v>
      </c>
      <c r="N13678" s="1" t="s">
        <v>38</v>
      </c>
      <c r="O13678" s="1" t="s">
        <v>46</v>
      </c>
    </row>
    <row r="13679" spans="2:15" x14ac:dyDescent="0.3">
      <c r="B13679" s="1" t="s">
        <v>20</v>
      </c>
      <c r="C13679" s="1" t="str">
        <f t="shared" si="691"/>
        <v>4차</v>
      </c>
      <c r="D13679" s="1" t="str">
        <f>"9925Q93141"</f>
        <v>9925Q93141</v>
      </c>
      <c r="E13679" s="1" t="s">
        <v>10</v>
      </c>
      <c r="F13679" s="1" t="str">
        <f>"10.14.14.49"</f>
        <v>10.14.14.49</v>
      </c>
      <c r="G13679" s="1" t="str">
        <f>"9925Q931"</f>
        <v>9925Q931</v>
      </c>
      <c r="H13679" s="1" t="str">
        <f>"해암지 15L4"</f>
        <v>해암지 15L4</v>
      </c>
      <c r="I13679" s="1" t="s">
        <v>17</v>
      </c>
      <c r="J13679" s="1" t="str">
        <f>"17/17"</f>
        <v>17/17</v>
      </c>
      <c r="K13679" s="1" t="str">
        <f>"2026-07-29 13:18:12"</f>
        <v>2026-07-29 13:18:12</v>
      </c>
      <c r="L13679" s="1" t="str">
        <f>"2021-08-11 08:26:28"</f>
        <v>2021-08-11 08:26:28</v>
      </c>
      <c r="M13679" s="1" t="s">
        <v>3</v>
      </c>
      <c r="N13679" s="1" t="s">
        <v>38</v>
      </c>
      <c r="O13679" s="1" t="s">
        <v>46</v>
      </c>
    </row>
    <row r="13680" spans="2:15" x14ac:dyDescent="0.3">
      <c r="B13680" s="1" t="s">
        <v>20</v>
      </c>
      <c r="C13680" s="1" t="str">
        <f>"3차"</f>
        <v>3차</v>
      </c>
      <c r="D13680" s="1" t="str">
        <f>"9925Q94139"</f>
        <v>9925Q94139</v>
      </c>
      <c r="E13680" s="1" t="s">
        <v>10</v>
      </c>
      <c r="F13680" s="1" t="str">
        <f>"10.12.129.135"</f>
        <v>10.12.129.135</v>
      </c>
      <c r="G13680" s="1" t="str">
        <f>"9925Q941"</f>
        <v>9925Q941</v>
      </c>
      <c r="H13680" s="1" t="str">
        <f>"해암지 17AL5"</f>
        <v>해암지 17AL5</v>
      </c>
      <c r="I13680" s="1" t="s">
        <v>8</v>
      </c>
      <c r="J13680" s="1" t="str">
        <f>"14/14"</f>
        <v>14/14</v>
      </c>
      <c r="K13680" s="1" t="str">
        <f>"2026-07-29 13:18:13"</f>
        <v>2026-07-29 13:18:13</v>
      </c>
      <c r="L13680" s="1" t="str">
        <f>"2018-04-26 11:00:27"</f>
        <v>2018-04-26 11:00:27</v>
      </c>
      <c r="M13680" s="1" t="s">
        <v>0</v>
      </c>
      <c r="N13680" s="1" t="s">
        <v>38</v>
      </c>
      <c r="O13680" s="1" t="s">
        <v>46</v>
      </c>
    </row>
    <row r="13681" spans="2:15" x14ac:dyDescent="0.3">
      <c r="B13681" s="1" t="s">
        <v>20</v>
      </c>
      <c r="C13681" s="1" t="str">
        <f>"4차"</f>
        <v>4차</v>
      </c>
      <c r="D13681" s="1" t="str">
        <f>"9925Q95244"</f>
        <v>9925Q95244</v>
      </c>
      <c r="E13681" s="1" t="s">
        <v>10</v>
      </c>
      <c r="F13681" s="1" t="str">
        <f>"10.10.137.202"</f>
        <v>10.10.137.202</v>
      </c>
      <c r="G13681" s="1" t="str">
        <f>"9925Q952"</f>
        <v>9925Q952</v>
      </c>
      <c r="H13681" s="1" t="str">
        <f>"해암지 9L6R2"</f>
        <v>해암지 9L6R2</v>
      </c>
      <c r="I13681" s="1" t="s">
        <v>8</v>
      </c>
      <c r="J13681" s="1" t="str">
        <f>"10/10"</f>
        <v>10/10</v>
      </c>
      <c r="K13681" s="1" t="str">
        <f>"2026-07-29 13:18:11"</f>
        <v>2026-07-29 13:18:11</v>
      </c>
      <c r="L13681" s="1" t="str">
        <f>"2020-01-21 16:44:03"</f>
        <v>2020-01-21 16:44:03</v>
      </c>
      <c r="M13681" s="1" t="s">
        <v>1</v>
      </c>
      <c r="N13681" s="1" t="s">
        <v>38</v>
      </c>
      <c r="O13681" s="1" t="s">
        <v>46</v>
      </c>
    </row>
    <row r="13682" spans="2:15" x14ac:dyDescent="0.3">
      <c r="B13682" s="1" t="s">
        <v>20</v>
      </c>
      <c r="C13682" s="1" t="str">
        <f>"4차"</f>
        <v>4차</v>
      </c>
      <c r="D13682" s="1" t="str">
        <f>"9925R00444"</f>
        <v>9925R00444</v>
      </c>
      <c r="E13682" s="1" t="s">
        <v>10</v>
      </c>
      <c r="F13682" s="1" t="str">
        <f>"10.10.137.218"</f>
        <v>10.10.137.218</v>
      </c>
      <c r="G13682" s="1" t="str">
        <f>"9925R004"</f>
        <v>9925R004</v>
      </c>
      <c r="H13682" s="1" t="str">
        <f>"문청간 4L19L10L1"</f>
        <v>문청간 4L19L10L1</v>
      </c>
      <c r="I13682" s="1" t="s">
        <v>8</v>
      </c>
      <c r="J13682" s="1" t="str">
        <f>"60/60"</f>
        <v>60/60</v>
      </c>
      <c r="K13682" s="1" t="str">
        <f>"2026-07-29 13:18:11"</f>
        <v>2026-07-29 13:18:11</v>
      </c>
      <c r="L13682" s="1" t="str">
        <f>"2020-01-21 16:48:35"</f>
        <v>2020-01-21 16:48:35</v>
      </c>
      <c r="M13682" s="1" t="s">
        <v>1</v>
      </c>
      <c r="N13682" s="1" t="s">
        <v>38</v>
      </c>
      <c r="O13682" s="1" t="s">
        <v>46</v>
      </c>
    </row>
    <row r="13683" spans="2:15" x14ac:dyDescent="0.3">
      <c r="B13683" s="1" t="s">
        <v>20</v>
      </c>
      <c r="C13683" s="1" t="str">
        <f t="shared" ref="C13683:C13688" si="693">"5-2차"</f>
        <v>5-2차</v>
      </c>
      <c r="D13683" s="1" t="str">
        <f>"9925R0415M"</f>
        <v>9925R0415M</v>
      </c>
      <c r="E13683" s="1" t="s">
        <v>10</v>
      </c>
      <c r="F13683" s="1" t="str">
        <f>"fde3:102:1301:3000:0:0:0:10"</f>
        <v>fde3:102:1301:3000:0:0:0:10</v>
      </c>
      <c r="G13683" s="1" t="str">
        <f>"9925R041"</f>
        <v>9925R041</v>
      </c>
      <c r="H13683" s="1" t="str">
        <f>"효청간 48R12"</f>
        <v>효청간 48R12</v>
      </c>
      <c r="I13683" s="1" t="s">
        <v>15</v>
      </c>
      <c r="J13683" s="1" t="str">
        <f>"56/56"</f>
        <v>56/56</v>
      </c>
      <c r="K13683" s="1" t="str">
        <f>"2026-07-29 14:21:24"</f>
        <v>2026-07-29 14:21:24</v>
      </c>
      <c r="L13683" s="1" t="str">
        <f>"2023-12-21 10:45:23"</f>
        <v>2023-12-21 10:45:23</v>
      </c>
      <c r="M13683" s="1" t="s">
        <v>45</v>
      </c>
      <c r="N13683" s="1" t="s">
        <v>38</v>
      </c>
      <c r="O13683" s="1" t="s">
        <v>46</v>
      </c>
    </row>
    <row r="13684" spans="2:15" x14ac:dyDescent="0.3">
      <c r="B13684" s="1" t="s">
        <v>20</v>
      </c>
      <c r="C13684" s="1" t="str">
        <f t="shared" si="693"/>
        <v>5-2차</v>
      </c>
      <c r="D13684" s="1" t="str">
        <f>"9925R0715S"</f>
        <v>9925R0715S</v>
      </c>
      <c r="E13684" s="1" t="s">
        <v>10</v>
      </c>
      <c r="F13684" s="1" t="str">
        <f>"fde3:102:1301:2f00:0:0:0:14"</f>
        <v>fde3:102:1301:2f00:0:0:0:14</v>
      </c>
      <c r="G13684" s="1" t="str">
        <f>"9925R071"</f>
        <v>9925R071</v>
      </c>
      <c r="H13684" s="1" t="str">
        <f>"효청간 48R7"</f>
        <v>효청간 48R7</v>
      </c>
      <c r="I13684" s="1" t="s">
        <v>15</v>
      </c>
      <c r="J13684" s="1" t="str">
        <f>"44/44"</f>
        <v>44/44</v>
      </c>
      <c r="K13684" s="1" t="str">
        <f>"2026-07-29 14:21:24"</f>
        <v>2026-07-29 14:21:24</v>
      </c>
      <c r="L13684" s="1" t="str">
        <f>"2023-10-18 15:26:10"</f>
        <v>2023-10-18 15:26:10</v>
      </c>
      <c r="M13684" s="1" t="s">
        <v>45</v>
      </c>
      <c r="N13684" s="1" t="s">
        <v>38</v>
      </c>
      <c r="O13684" s="1" t="s">
        <v>46</v>
      </c>
    </row>
    <row r="13685" spans="2:15" x14ac:dyDescent="0.3">
      <c r="B13685" s="1" t="s">
        <v>20</v>
      </c>
      <c r="C13685" s="1" t="str">
        <f t="shared" si="693"/>
        <v>5-2차</v>
      </c>
      <c r="D13685" s="1" t="str">
        <f>"9925R0825S"</f>
        <v>9925R0825S</v>
      </c>
      <c r="E13685" s="1" t="s">
        <v>10</v>
      </c>
      <c r="F13685" s="1" t="str">
        <f>"fde3:102:1301:2f00:0:0:0:10"</f>
        <v>fde3:102:1301:2f00:0:0:0:10</v>
      </c>
      <c r="G13685" s="1" t="str">
        <f>"9925R082"</f>
        <v>9925R082</v>
      </c>
      <c r="H13685" s="1" t="str">
        <f>"효청간 58R5"</f>
        <v>효청간 58R5</v>
      </c>
      <c r="I13685" s="1" t="s">
        <v>15</v>
      </c>
      <c r="J13685" s="1" t="str">
        <f>"79/79"</f>
        <v>79/79</v>
      </c>
      <c r="K13685" s="1" t="str">
        <f>"2026-07-29 14:21:24"</f>
        <v>2026-07-29 14:21:24</v>
      </c>
      <c r="L13685" s="1" t="str">
        <f>"2023-10-25 13:34:44"</f>
        <v>2023-10-25 13:34:44</v>
      </c>
      <c r="M13685" s="1" t="s">
        <v>45</v>
      </c>
      <c r="N13685" s="1" t="s">
        <v>38</v>
      </c>
      <c r="O13685" s="1" t="s">
        <v>46</v>
      </c>
    </row>
    <row r="13686" spans="2:15" x14ac:dyDescent="0.3">
      <c r="B13686" s="1" t="s">
        <v>20</v>
      </c>
      <c r="C13686" s="1" t="str">
        <f t="shared" si="693"/>
        <v>5-2차</v>
      </c>
      <c r="D13686" s="1" t="str">
        <f>"9925R0915S"</f>
        <v>9925R0915S</v>
      </c>
      <c r="E13686" s="1" t="s">
        <v>10</v>
      </c>
      <c r="F13686" s="1" t="str">
        <f>"fde3:102:1301:2f00:0:0:0:8"</f>
        <v>fde3:102:1301:2f00:0:0:0:8</v>
      </c>
      <c r="G13686" s="1" t="str">
        <f>"9925R091"</f>
        <v>9925R091</v>
      </c>
      <c r="H13686" s="1" t="str">
        <f>"효청간 58R2"</f>
        <v>효청간 58R2</v>
      </c>
      <c r="I13686" s="1" t="s">
        <v>15</v>
      </c>
      <c r="J13686" s="1" t="str">
        <f>"89/97"</f>
        <v>89/97</v>
      </c>
      <c r="K13686" s="1" t="str">
        <f>"2026-07-29 14:21:24"</f>
        <v>2026-07-29 14:21:24</v>
      </c>
      <c r="L13686" s="1" t="str">
        <f>"2023-10-25 11:08:36"</f>
        <v>2023-10-25 11:08:36</v>
      </c>
      <c r="M13686" s="1" t="s">
        <v>45</v>
      </c>
      <c r="N13686" s="1" t="s">
        <v>38</v>
      </c>
      <c r="O13686" s="1" t="s">
        <v>46</v>
      </c>
    </row>
    <row r="13687" spans="2:15" x14ac:dyDescent="0.3">
      <c r="B13687" s="1" t="s">
        <v>20</v>
      </c>
      <c r="C13687" s="1" t="str">
        <f t="shared" si="693"/>
        <v>5-2차</v>
      </c>
      <c r="D13687" s="1" t="str">
        <f>"9925R0925M"</f>
        <v>9925R0925M</v>
      </c>
      <c r="E13687" s="1" t="s">
        <v>10</v>
      </c>
      <c r="F13687" s="1" t="str">
        <f>"fde3:102:1301:2f00:0:0:0:9"</f>
        <v>fde3:102:1301:2f00:0:0:0:9</v>
      </c>
      <c r="G13687" s="1" t="str">
        <f>"9925R092"</f>
        <v>9925R092</v>
      </c>
      <c r="H13687" s="1" t="str">
        <f>"효청간 58R3"</f>
        <v>효청간 58R3</v>
      </c>
      <c r="I13687" s="1" t="s">
        <v>15</v>
      </c>
      <c r="J13687" s="1" t="str">
        <f>"55/55"</f>
        <v>55/55</v>
      </c>
      <c r="K13687" s="1" t="str">
        <f>"2026-07-29 14:21:24"</f>
        <v>2026-07-29 14:21:24</v>
      </c>
      <c r="L13687" s="1" t="str">
        <f>"2023-09-12 10:40:21"</f>
        <v>2023-09-12 10:40:21</v>
      </c>
      <c r="M13687" s="1" t="s">
        <v>45</v>
      </c>
      <c r="N13687" s="1" t="s">
        <v>38</v>
      </c>
      <c r="O13687" s="1" t="s">
        <v>46</v>
      </c>
    </row>
    <row r="13688" spans="2:15" x14ac:dyDescent="0.3">
      <c r="B13688" s="1" t="s">
        <v>20</v>
      </c>
      <c r="C13688" s="1" t="str">
        <f t="shared" si="693"/>
        <v>5-2차</v>
      </c>
      <c r="D13688" s="1" t="str">
        <f>"9925R1015M"</f>
        <v>9925R1015M</v>
      </c>
      <c r="E13688" s="1" t="s">
        <v>10</v>
      </c>
      <c r="F13688" s="1" t="str">
        <f>"fde1:103:4:5787:0:0:0:2"</f>
        <v>fde1:103:4:5787:0:0:0:2</v>
      </c>
      <c r="G13688" s="1" t="str">
        <f>"9925R101"</f>
        <v>9925R101</v>
      </c>
      <c r="H13688" s="1" t="str">
        <f>"문청간 4L19L7R1"</f>
        <v>문청간 4L19L7R1</v>
      </c>
      <c r="I13688" s="1" t="s">
        <v>15</v>
      </c>
      <c r="J13688" s="1" t="str">
        <f>"92/92"</f>
        <v>92/92</v>
      </c>
      <c r="K13688" s="1" t="str">
        <f>"2026-07-29 14:21:25"</f>
        <v>2026-07-29 14:21:25</v>
      </c>
      <c r="L13688" s="1" t="str">
        <f>"2023-09-12 16:34:56"</f>
        <v>2023-09-12 16:34:56</v>
      </c>
      <c r="M13688" s="1" t="s">
        <v>4</v>
      </c>
      <c r="N13688" s="1" t="s">
        <v>38</v>
      </c>
      <c r="O13688" s="1" t="s">
        <v>46</v>
      </c>
    </row>
    <row r="13689" spans="2:15" x14ac:dyDescent="0.3">
      <c r="B13689" s="1" t="s">
        <v>20</v>
      </c>
      <c r="C13689" s="1" t="str">
        <f>"4차"</f>
        <v>4차</v>
      </c>
      <c r="D13689" s="1" t="str">
        <f>"9925R11144"</f>
        <v>9925R11144</v>
      </c>
      <c r="E13689" s="1" t="s">
        <v>10</v>
      </c>
      <c r="F13689" s="1" t="str">
        <f>"10.10.137.226"</f>
        <v>10.10.137.226</v>
      </c>
      <c r="G13689" s="1" t="str">
        <f>"9925R111"</f>
        <v>9925R111</v>
      </c>
      <c r="H13689" s="1" t="str">
        <f>"문청간 4L19L13R1"</f>
        <v>문청간 4L19L13R1</v>
      </c>
      <c r="I13689" s="1" t="s">
        <v>8</v>
      </c>
      <c r="J13689" s="1" t="str">
        <f>"63/63"</f>
        <v>63/63</v>
      </c>
      <c r="K13689" s="1" t="str">
        <f>"2026-07-29 13:18:11"</f>
        <v>2026-07-29 13:18:11</v>
      </c>
      <c r="L13689" s="1" t="str">
        <f>"2020-01-21 16:40:43"</f>
        <v>2020-01-21 16:40:43</v>
      </c>
      <c r="M13689" s="1" t="s">
        <v>1</v>
      </c>
      <c r="N13689" s="1" t="s">
        <v>38</v>
      </c>
      <c r="O13689" s="1" t="s">
        <v>46</v>
      </c>
    </row>
    <row r="13690" spans="2:15" x14ac:dyDescent="0.3">
      <c r="B13690" s="1" t="s">
        <v>20</v>
      </c>
      <c r="C13690" s="1" t="str">
        <f>"4차"</f>
        <v>4차</v>
      </c>
      <c r="D13690" s="1" t="str">
        <f>"9925R14339"</f>
        <v>9925R14339</v>
      </c>
      <c r="E13690" s="1" t="s">
        <v>10</v>
      </c>
      <c r="F13690" s="1" t="str">
        <f>"10.12.131.212"</f>
        <v>10.12.131.212</v>
      </c>
      <c r="G13690" s="1" t="str">
        <f>"9925R143"</f>
        <v>9925R143</v>
      </c>
      <c r="H13690" s="1" t="str">
        <f>"숙명로 4"</f>
        <v>숙명로 4</v>
      </c>
      <c r="I13690" s="1" t="s">
        <v>17</v>
      </c>
      <c r="J13690" s="1" t="str">
        <f>"27/40"</f>
        <v>27/40</v>
      </c>
      <c r="K13690" s="1" t="str">
        <f>"2026-07-29 13:18:13"</f>
        <v>2026-07-29 13:18:13</v>
      </c>
      <c r="L13690" s="1" t="str">
        <f>"2022-05-19 16:18:10"</f>
        <v>2022-05-19 16:18:10</v>
      </c>
      <c r="M13690" s="1" t="s">
        <v>0</v>
      </c>
      <c r="N13690" s="1" t="s">
        <v>38</v>
      </c>
      <c r="O13690" s="1" t="s">
        <v>46</v>
      </c>
    </row>
    <row r="13691" spans="2:15" x14ac:dyDescent="0.3">
      <c r="B13691" s="1" t="s">
        <v>20</v>
      </c>
      <c r="C13691" s="1" t="str">
        <f>"4차"</f>
        <v>4차</v>
      </c>
      <c r="D13691" s="1" t="str">
        <f>"9925R14639"</f>
        <v>9925R14639</v>
      </c>
      <c r="E13691" s="1" t="s">
        <v>14</v>
      </c>
      <c r="F13691" s="1" t="str">
        <f>"10.12.130.82"</f>
        <v>10.12.130.82</v>
      </c>
      <c r="G13691" s="1" t="str">
        <f>"9925R146"</f>
        <v>9925R146</v>
      </c>
      <c r="H13691" s="1" t="str">
        <f>"숙명로 5"</f>
        <v>숙명로 5</v>
      </c>
      <c r="I13691" s="1" t="s">
        <v>17</v>
      </c>
      <c r="J13691" s="1" t="str">
        <f>"0/0"</f>
        <v>0/0</v>
      </c>
      <c r="K13691" s="1" t="str">
        <f>"2026-06-10 07:18:14"</f>
        <v>2026-06-10 07:18:14</v>
      </c>
      <c r="L13691" s="1" t="str">
        <f>"2018-10-11 11:05:10"</f>
        <v>2018-10-11 11:05:10</v>
      </c>
      <c r="M13691" s="1" t="s">
        <v>0</v>
      </c>
      <c r="N13691" s="1" t="s">
        <v>39</v>
      </c>
      <c r="O13691" s="1" t="s">
        <v>46</v>
      </c>
    </row>
    <row r="13692" spans="2:15" x14ac:dyDescent="0.3">
      <c r="B13692" s="1" t="s">
        <v>20</v>
      </c>
      <c r="C13692" s="1" t="str">
        <f>"5-2차"</f>
        <v>5-2차</v>
      </c>
      <c r="D13692" s="1" t="str">
        <f>"9925R1715M"</f>
        <v>9925R1715M</v>
      </c>
      <c r="E13692" s="1" t="s">
        <v>10</v>
      </c>
      <c r="F13692" s="1" t="str">
        <f>"fde3:102:1301:1301:0:0:0:2"</f>
        <v>fde3:102:1301:1301:0:0:0:2</v>
      </c>
      <c r="G13692" s="1" t="str">
        <f>"9925R171"</f>
        <v>9925R171</v>
      </c>
      <c r="H13692" s="1" t="str">
        <f>"효청간 48R8L1"</f>
        <v>효청간 48R8L1</v>
      </c>
      <c r="I13692" s="1" t="s">
        <v>15</v>
      </c>
      <c r="J13692" s="1" t="str">
        <f>"38/38"</f>
        <v>38/38</v>
      </c>
      <c r="K13692" s="1" t="str">
        <f>"2026-07-29 14:21:25"</f>
        <v>2026-07-29 14:21:25</v>
      </c>
      <c r="L13692" s="1" t="str">
        <f>"2023-09-11 14:43:02"</f>
        <v>2023-09-11 14:43:02</v>
      </c>
      <c r="M13692" s="1" t="s">
        <v>45</v>
      </c>
      <c r="N13692" s="1" t="s">
        <v>38</v>
      </c>
      <c r="O13692" s="1" t="s">
        <v>46</v>
      </c>
    </row>
    <row r="13693" spans="2:15" x14ac:dyDescent="0.3">
      <c r="B13693" s="1" t="s">
        <v>20</v>
      </c>
      <c r="C13693" s="1" t="str">
        <f>"5-2차"</f>
        <v>5-2차</v>
      </c>
      <c r="D13693" s="1" t="str">
        <f>"9925R1815M"</f>
        <v>9925R1815M</v>
      </c>
      <c r="E13693" s="1" t="s">
        <v>10</v>
      </c>
      <c r="F13693" s="1" t="str">
        <f>"fde3:102:1301:4502:0:0:0:3"</f>
        <v>fde3:102:1301:4502:0:0:0:3</v>
      </c>
      <c r="G13693" s="1" t="str">
        <f>"9925R181"</f>
        <v>9925R181</v>
      </c>
      <c r="H13693" s="1" t="str">
        <f>"효청간 48R8L3"</f>
        <v>효청간 48R8L3</v>
      </c>
      <c r="I13693" s="1" t="s">
        <v>15</v>
      </c>
      <c r="J13693" s="1" t="str">
        <f>"126/129"</f>
        <v>126/129</v>
      </c>
      <c r="K13693" s="1" t="str">
        <f>"2026-07-29 14:21:25"</f>
        <v>2026-07-29 14:21:25</v>
      </c>
      <c r="L13693" s="1" t="str">
        <f>"2023-09-11 15:20:28"</f>
        <v>2023-09-11 15:20:28</v>
      </c>
      <c r="M13693" s="1" t="s">
        <v>45</v>
      </c>
      <c r="N13693" s="1" t="s">
        <v>38</v>
      </c>
      <c r="O13693" s="1" t="s">
        <v>46</v>
      </c>
    </row>
    <row r="13694" spans="2:15" x14ac:dyDescent="0.3">
      <c r="B13694" s="1" t="s">
        <v>20</v>
      </c>
      <c r="C13694" s="1" t="str">
        <f>"5-2차"</f>
        <v>5-2차</v>
      </c>
      <c r="D13694" s="1" t="str">
        <f>"9925R1955M"</f>
        <v>9925R1955M</v>
      </c>
      <c r="E13694" s="1" t="s">
        <v>10</v>
      </c>
      <c r="F13694" s="1" t="str">
        <f>"fde1:103:4:59aa:0:0:0:2"</f>
        <v>fde1:103:4:59aa:0:0:0:2</v>
      </c>
      <c r="G13694" s="1" t="str">
        <f>"9925R195"</f>
        <v>9925R195</v>
      </c>
      <c r="H13694" s="1" t="str">
        <f>"효청간 48R8L7"</f>
        <v>효청간 48R8L7</v>
      </c>
      <c r="I13694" s="1" t="s">
        <v>15</v>
      </c>
      <c r="J13694" s="1" t="str">
        <f>"53/69"</f>
        <v>53/69</v>
      </c>
      <c r="K13694" s="1" t="str">
        <f>"2026-07-29 14:21:25"</f>
        <v>2026-07-29 14:21:25</v>
      </c>
      <c r="L13694" s="1" t="str">
        <f>"2023-09-12 16:36:11"</f>
        <v>2023-09-12 16:36:11</v>
      </c>
      <c r="M13694" s="1" t="s">
        <v>4</v>
      </c>
      <c r="N13694" s="1" t="s">
        <v>38</v>
      </c>
      <c r="O13694" s="1" t="s">
        <v>46</v>
      </c>
    </row>
    <row r="13695" spans="2:15" x14ac:dyDescent="0.3">
      <c r="B13695" s="1" t="s">
        <v>20</v>
      </c>
      <c r="C13695" s="1" t="str">
        <f>"4차"</f>
        <v>4차</v>
      </c>
      <c r="D13695" s="1" t="str">
        <f>"9925R21244"</f>
        <v>9925R21244</v>
      </c>
      <c r="E13695" s="1" t="s">
        <v>10</v>
      </c>
      <c r="F13695" s="1" t="str">
        <f>"10.10.137.234"</f>
        <v>10.10.137.234</v>
      </c>
      <c r="G13695" s="1" t="str">
        <f>"9925R212"</f>
        <v>9925R212</v>
      </c>
      <c r="H13695" s="1" t="str">
        <f>"문청간 4L19L13R2"</f>
        <v>문청간 4L19L13R2</v>
      </c>
      <c r="I13695" s="1" t="s">
        <v>8</v>
      </c>
      <c r="J13695" s="1" t="str">
        <f>"14/18"</f>
        <v>14/18</v>
      </c>
      <c r="K13695" s="1" t="str">
        <f>"2026-07-29 13:18:11"</f>
        <v>2026-07-29 13:18:11</v>
      </c>
      <c r="L13695" s="1" t="str">
        <f>"2020-01-21 16:54:38"</f>
        <v>2020-01-21 16:54:38</v>
      </c>
      <c r="M13695" s="1" t="s">
        <v>1</v>
      </c>
      <c r="N13695" s="1" t="s">
        <v>38</v>
      </c>
      <c r="O13695" s="1" t="s">
        <v>46</v>
      </c>
    </row>
    <row r="13696" spans="2:15" x14ac:dyDescent="0.3">
      <c r="B13696" s="1" t="s">
        <v>20</v>
      </c>
      <c r="C13696" s="1" t="str">
        <f>"4차"</f>
        <v>4차</v>
      </c>
      <c r="D13696" s="1" t="str">
        <f>"9925R21344"</f>
        <v>9925R21344</v>
      </c>
      <c r="E13696" s="1" t="s">
        <v>10</v>
      </c>
      <c r="F13696" s="1" t="str">
        <f>"10.10.137.242"</f>
        <v>10.10.137.242</v>
      </c>
      <c r="G13696" s="1" t="str">
        <f>"9925R213"</f>
        <v>9925R213</v>
      </c>
      <c r="H13696" s="1" t="str">
        <f>"문청간 4L19L13R3"</f>
        <v>문청간 4L19L13R3</v>
      </c>
      <c r="I13696" s="1" t="s">
        <v>8</v>
      </c>
      <c r="J13696" s="1" t="str">
        <f>"44/44"</f>
        <v>44/44</v>
      </c>
      <c r="K13696" s="1" t="str">
        <f>"2026-07-29 13:18:11"</f>
        <v>2026-07-29 13:18:11</v>
      </c>
      <c r="L13696" s="1" t="str">
        <f>"2020-01-21 17:10:09"</f>
        <v>2020-01-21 17:10:09</v>
      </c>
      <c r="M13696" s="1" t="s">
        <v>1</v>
      </c>
      <c r="N13696" s="1" t="s">
        <v>38</v>
      </c>
      <c r="O13696" s="1" t="s">
        <v>46</v>
      </c>
    </row>
    <row r="13697" spans="2:15" x14ac:dyDescent="0.3">
      <c r="B13697" s="1" t="s">
        <v>20</v>
      </c>
      <c r="C13697" s="1" t="str">
        <f>"5-2차"</f>
        <v>5-2차</v>
      </c>
      <c r="D13697" s="1" t="str">
        <f>"9925R2645S"</f>
        <v>9925R2645S</v>
      </c>
      <c r="E13697" s="1" t="s">
        <v>10</v>
      </c>
      <c r="F13697" s="1" t="str">
        <f>"fde3:102:1301:3000:0:0:0:5"</f>
        <v>fde3:102:1301:3000:0:0:0:5</v>
      </c>
      <c r="G13697" s="1" t="str">
        <f>"9925R264"</f>
        <v>9925R264</v>
      </c>
      <c r="H13697" s="1" t="str">
        <f>"문청간 33L7"</f>
        <v>문청간 33L7</v>
      </c>
      <c r="I13697" s="1" t="s">
        <v>15</v>
      </c>
      <c r="J13697" s="1" t="str">
        <f>"67/67"</f>
        <v>67/67</v>
      </c>
      <c r="K13697" s="1" t="str">
        <f>"2026-07-29 14:21:25"</f>
        <v>2026-07-29 14:21:25</v>
      </c>
      <c r="L13697" s="1" t="str">
        <f>"2023-12-01 15:33:58"</f>
        <v>2023-12-01 15:33:58</v>
      </c>
      <c r="M13697" s="1" t="s">
        <v>45</v>
      </c>
      <c r="N13697" s="1" t="s">
        <v>38</v>
      </c>
      <c r="O13697" s="1" t="s">
        <v>46</v>
      </c>
    </row>
    <row r="13698" spans="2:15" x14ac:dyDescent="0.3">
      <c r="B13698" s="1" t="s">
        <v>20</v>
      </c>
      <c r="C13698" s="1" t="str">
        <f>"5-2차"</f>
        <v>5-2차</v>
      </c>
      <c r="D13698" s="1" t="str">
        <f>"9925R2825S"</f>
        <v>9925R2825S</v>
      </c>
      <c r="E13698" s="1" t="s">
        <v>10</v>
      </c>
      <c r="F13698" s="1" t="str">
        <f>"fde3:102:1301:3000:0:0:0:6"</f>
        <v>fde3:102:1301:3000:0:0:0:6</v>
      </c>
      <c r="G13698" s="1" t="str">
        <f>"9925R282"</f>
        <v>9925R282</v>
      </c>
      <c r="H13698" s="1" t="str">
        <f>"문청간 36L5"</f>
        <v>문청간 36L5</v>
      </c>
      <c r="I13698" s="1" t="s">
        <v>15</v>
      </c>
      <c r="J13698" s="1" t="str">
        <f>"74/74"</f>
        <v>74/74</v>
      </c>
      <c r="K13698" s="1" t="str">
        <f>"2026-07-29 14:21:25"</f>
        <v>2026-07-29 14:21:25</v>
      </c>
      <c r="L13698" s="1" t="str">
        <f>"2023-12-01 15:34:59"</f>
        <v>2023-12-01 15:34:59</v>
      </c>
      <c r="M13698" s="1" t="s">
        <v>45</v>
      </c>
      <c r="N13698" s="1" t="s">
        <v>38</v>
      </c>
      <c r="O13698" s="1" t="s">
        <v>46</v>
      </c>
    </row>
    <row r="13699" spans="2:15" x14ac:dyDescent="0.3">
      <c r="B13699" s="1" t="s">
        <v>20</v>
      </c>
      <c r="C13699" s="1" t="str">
        <f>"6차"</f>
        <v>6차</v>
      </c>
      <c r="D13699" s="1" t="str">
        <f>"9925R2926S"</f>
        <v>9925R2926S</v>
      </c>
      <c r="E13699" s="1" t="s">
        <v>10</v>
      </c>
      <c r="F13699" s="1" t="str">
        <f>"fde1:103:4:c66a:0:0:0:2"</f>
        <v>fde1:103:4:c66a:0:0:0:2</v>
      </c>
      <c r="G13699" s="1" t="str">
        <f>"9925R292"</f>
        <v>9925R292</v>
      </c>
      <c r="H13699" s="1" t="str">
        <f>"효청간 48R8L4"</f>
        <v>효청간 48R8L4</v>
      </c>
      <c r="I13699" s="1" t="s">
        <v>15</v>
      </c>
      <c r="J13699" s="1" t="str">
        <f>"28/28"</f>
        <v>28/28</v>
      </c>
      <c r="K13699" s="1" t="str">
        <f>"2026-07-29 14:21:26"</f>
        <v>2026-07-29 14:21:26</v>
      </c>
      <c r="L13699" s="1" t="str">
        <f>"2024-12-10 15:44:25"</f>
        <v>2024-12-10 15:44:25</v>
      </c>
      <c r="M13699" s="1" t="s">
        <v>4</v>
      </c>
      <c r="N13699" s="1" t="s">
        <v>38</v>
      </c>
      <c r="O13699" s="1" t="s">
        <v>46</v>
      </c>
    </row>
    <row r="13700" spans="2:15" x14ac:dyDescent="0.3">
      <c r="B13700" s="1" t="s">
        <v>20</v>
      </c>
      <c r="C13700" s="1" t="str">
        <f>"4차"</f>
        <v>4차</v>
      </c>
      <c r="D13700" s="1" t="str">
        <f>"9925R30244"</f>
        <v>9925R30244</v>
      </c>
      <c r="E13700" s="1" t="s">
        <v>10</v>
      </c>
      <c r="F13700" s="1" t="str">
        <f>"10.10.137.250"</f>
        <v>10.10.137.250</v>
      </c>
      <c r="G13700" s="1" t="str">
        <f>"9925R302"</f>
        <v>9925R302</v>
      </c>
      <c r="H13700" s="1" t="str">
        <f>"문청간 4L19L13R4"</f>
        <v>문청간 4L19L13R4</v>
      </c>
      <c r="I13700" s="1" t="s">
        <v>8</v>
      </c>
      <c r="J13700" s="1" t="str">
        <f>"76/76"</f>
        <v>76/76</v>
      </c>
      <c r="K13700" s="1" t="str">
        <f>"2026-07-29 13:18:11"</f>
        <v>2026-07-29 13:18:11</v>
      </c>
      <c r="L13700" s="1" t="str">
        <f>"2020-01-21 16:46:30"</f>
        <v>2020-01-21 16:46:30</v>
      </c>
      <c r="M13700" s="1" t="s">
        <v>1</v>
      </c>
      <c r="N13700" s="1" t="s">
        <v>38</v>
      </c>
      <c r="O13700" s="1" t="s">
        <v>46</v>
      </c>
    </row>
    <row r="13701" spans="2:15" x14ac:dyDescent="0.3">
      <c r="B13701" s="1" t="s">
        <v>20</v>
      </c>
      <c r="C13701" s="1" t="str">
        <f>"1차"</f>
        <v>1차</v>
      </c>
      <c r="D13701" s="1" t="str">
        <f>"9925R32101"</f>
        <v>9925R32101</v>
      </c>
      <c r="E13701" s="1" t="s">
        <v>10</v>
      </c>
      <c r="F13701" s="1" t="str">
        <f>"10.12.128.149"</f>
        <v>10.12.128.149</v>
      </c>
      <c r="G13701" s="1" t="str">
        <f>"9925R321"</f>
        <v>9925R321</v>
      </c>
      <c r="H13701" s="1" t="str">
        <f>"문청간 4L27L4"</f>
        <v>문청간 4L27L4</v>
      </c>
      <c r="I13701" s="1" t="s">
        <v>8</v>
      </c>
      <c r="J13701" s="1" t="str">
        <f>"75/78"</f>
        <v>75/78</v>
      </c>
      <c r="K13701" s="1" t="str">
        <f>"2026-07-29 13:18:13"</f>
        <v>2026-07-29 13:18:13</v>
      </c>
      <c r="L13701" s="1" t="str">
        <f>"2014-11-24 13:29:16"</f>
        <v>2014-11-24 13:29:16</v>
      </c>
      <c r="M13701" s="1" t="s">
        <v>0</v>
      </c>
      <c r="N13701" s="1" t="s">
        <v>38</v>
      </c>
      <c r="O13701" s="1" t="s">
        <v>46</v>
      </c>
    </row>
    <row r="13702" spans="2:15" x14ac:dyDescent="0.3">
      <c r="B13702" s="1" t="s">
        <v>20</v>
      </c>
      <c r="C13702" s="1" t="str">
        <f>"4차"</f>
        <v>4차</v>
      </c>
      <c r="D13702" s="1" t="str">
        <f>"9925R33339"</f>
        <v>9925R33339</v>
      </c>
      <c r="E13702" s="1" t="s">
        <v>10</v>
      </c>
      <c r="F13702" s="1" t="str">
        <f>"10.12.136.250"</f>
        <v>10.12.136.250</v>
      </c>
      <c r="G13702" s="1" t="str">
        <f>"9925R333"</f>
        <v>9925R333</v>
      </c>
      <c r="H13702" s="1" t="str">
        <f>"숙명로 7"</f>
        <v>숙명로 7</v>
      </c>
      <c r="I13702" s="1" t="s">
        <v>17</v>
      </c>
      <c r="J13702" s="1" t="str">
        <f>"13/13"</f>
        <v>13/13</v>
      </c>
      <c r="K13702" s="1" t="str">
        <f>"2026-07-29 13:18:02"</f>
        <v>2026-07-29 13:18:02</v>
      </c>
      <c r="L13702" s="1" t="str">
        <f>"2018-10-11 10:34:25"</f>
        <v>2018-10-11 10:34:25</v>
      </c>
      <c r="M13702" s="1" t="s">
        <v>0</v>
      </c>
      <c r="N13702" s="1" t="s">
        <v>38</v>
      </c>
      <c r="O13702" s="1" t="s">
        <v>46</v>
      </c>
    </row>
    <row r="13703" spans="2:15" x14ac:dyDescent="0.3">
      <c r="B13703" s="1" t="s">
        <v>20</v>
      </c>
      <c r="C13703" s="1" t="str">
        <f>"3차"</f>
        <v>3차</v>
      </c>
      <c r="D13703" s="1" t="str">
        <f>"9925R33639"</f>
        <v>9925R33639</v>
      </c>
      <c r="E13703" s="1" t="s">
        <v>10</v>
      </c>
      <c r="F13703" s="1" t="str">
        <f>"10.12.136.244"</f>
        <v>10.12.136.244</v>
      </c>
      <c r="G13703" s="1" t="str">
        <f>"9925R336"</f>
        <v>9925R336</v>
      </c>
      <c r="H13703" s="1" t="str">
        <f>"숙명로 8"</f>
        <v>숙명로 8</v>
      </c>
      <c r="I13703" s="1" t="s">
        <v>17</v>
      </c>
      <c r="J13703" s="1" t="str">
        <f>"14/14"</f>
        <v>14/14</v>
      </c>
      <c r="K13703" s="1" t="str">
        <f>"2026-07-29 13:18:13"</f>
        <v>2026-07-29 13:18:13</v>
      </c>
      <c r="L13703" s="1" t="str">
        <f>"2018-10-11 10:16:40"</f>
        <v>2018-10-11 10:16:40</v>
      </c>
      <c r="M13703" s="1" t="s">
        <v>0</v>
      </c>
      <c r="N13703" s="1" t="s">
        <v>38</v>
      </c>
      <c r="O13703" s="1" t="s">
        <v>46</v>
      </c>
    </row>
    <row r="13704" spans="2:15" x14ac:dyDescent="0.3">
      <c r="B13704" s="1" t="s">
        <v>20</v>
      </c>
      <c r="C13704" s="1" t="str">
        <f>"5-2차"</f>
        <v>5-2차</v>
      </c>
      <c r="D13704" s="1" t="str">
        <f>"9925R3425S"</f>
        <v>9925R3425S</v>
      </c>
      <c r="E13704" s="1" t="s">
        <v>10</v>
      </c>
      <c r="F13704" s="1" t="str">
        <f>"fde3:102:1301:2f00:0:0:0:4"</f>
        <v>fde3:102:1301:2f00:0:0:0:4</v>
      </c>
      <c r="G13704" s="1" t="str">
        <f>"9925R342"</f>
        <v>9925R342</v>
      </c>
      <c r="H13704" s="1" t="str">
        <f>"문청간 30L4"</f>
        <v>문청간 30L4</v>
      </c>
      <c r="I13704" s="1" t="s">
        <v>15</v>
      </c>
      <c r="J13704" s="1" t="str">
        <f>"34/34"</f>
        <v>34/34</v>
      </c>
      <c r="K13704" s="1" t="str">
        <f>"2026-07-29 14:21:25"</f>
        <v>2026-07-29 14:21:25</v>
      </c>
      <c r="L13704" s="1" t="str">
        <f>"2023-11-14 11:15:47"</f>
        <v>2023-11-14 11:15:47</v>
      </c>
      <c r="M13704" s="1" t="s">
        <v>45</v>
      </c>
      <c r="N13704" s="1" t="s">
        <v>38</v>
      </c>
      <c r="O13704" s="1" t="s">
        <v>46</v>
      </c>
    </row>
    <row r="13705" spans="2:15" x14ac:dyDescent="0.3">
      <c r="B13705" s="1" t="s">
        <v>20</v>
      </c>
      <c r="C13705" s="1" t="str">
        <f>"4차"</f>
        <v>4차</v>
      </c>
      <c r="D13705" s="1" t="str">
        <f>"9925R36141"</f>
        <v>9925R36141</v>
      </c>
      <c r="E13705" s="1" t="s">
        <v>12</v>
      </c>
      <c r="F13705" s="1" t="str">
        <f>"10.12.128.242"</f>
        <v>10.12.128.242</v>
      </c>
      <c r="G13705" s="1" t="str">
        <f>"9925R361"</f>
        <v>9925R361</v>
      </c>
      <c r="H13705" s="1" t="str">
        <f>"문청간 33L6"</f>
        <v>문청간 33L6</v>
      </c>
      <c r="I13705" s="1" t="s">
        <v>17</v>
      </c>
      <c r="J13705" s="1" t="str">
        <f>"0/9"</f>
        <v>0/9</v>
      </c>
      <c r="K13705" s="1" t="str">
        <f>"2026-07-10 20:03:48"</f>
        <v>2026-07-10 20:03:48</v>
      </c>
      <c r="L13705" s="1" t="str">
        <f>"2021-11-10 11:00:44"</f>
        <v>2021-11-10 11:00:44</v>
      </c>
      <c r="M13705" s="1" t="s">
        <v>0</v>
      </c>
      <c r="N13705" s="1" t="s">
        <v>38</v>
      </c>
      <c r="O13705" s="1" t="s">
        <v>46</v>
      </c>
    </row>
    <row r="13706" spans="2:15" x14ac:dyDescent="0.3">
      <c r="B13706" s="1" t="s">
        <v>20</v>
      </c>
      <c r="C13706" s="1" t="str">
        <f>"5-2차"</f>
        <v>5-2차</v>
      </c>
      <c r="D13706" s="1" t="str">
        <f>"9925R3715S"</f>
        <v>9925R3715S</v>
      </c>
      <c r="E13706" s="1" t="s">
        <v>10</v>
      </c>
      <c r="F13706" s="1" t="str">
        <f>"fde3:102:1301:3000:0:0:0:8"</f>
        <v>fde3:102:1301:3000:0:0:0:8</v>
      </c>
      <c r="G13706" s="1" t="str">
        <f>"9925R371"</f>
        <v>9925R371</v>
      </c>
      <c r="H13706" s="1" t="str">
        <f>"문청간 33L8"</f>
        <v>문청간 33L8</v>
      </c>
      <c r="I13706" s="1" t="s">
        <v>15</v>
      </c>
      <c r="J13706" s="1" t="str">
        <f>"54/54"</f>
        <v>54/54</v>
      </c>
      <c r="K13706" s="1" t="str">
        <f>"2026-07-29 14:21:25"</f>
        <v>2026-07-29 14:21:25</v>
      </c>
      <c r="L13706" s="1" t="str">
        <f>"2023-11-23 14:15:40"</f>
        <v>2023-11-23 14:15:40</v>
      </c>
      <c r="M13706" s="1" t="s">
        <v>45</v>
      </c>
      <c r="N13706" s="1" t="s">
        <v>38</v>
      </c>
      <c r="O13706" s="1" t="s">
        <v>46</v>
      </c>
    </row>
    <row r="13707" spans="2:15" x14ac:dyDescent="0.3">
      <c r="B13707" s="1" t="s">
        <v>20</v>
      </c>
      <c r="C13707" s="1" t="str">
        <f>"6차"</f>
        <v>6차</v>
      </c>
      <c r="D13707" s="1" t="str">
        <f>"9925R3826M"</f>
        <v>9925R3826M</v>
      </c>
      <c r="E13707" s="1" t="s">
        <v>10</v>
      </c>
      <c r="F13707" s="1" t="str">
        <f>"fde1:103:4:c75f:0:0:0:2"</f>
        <v>fde1:103:4:c75f:0:0:0:2</v>
      </c>
      <c r="G13707" s="1" t="str">
        <f>"9925R382"</f>
        <v>9925R382</v>
      </c>
      <c r="H13707" s="1" t="str">
        <f>"문청간 36L3"</f>
        <v>문청간 36L3</v>
      </c>
      <c r="I13707" s="1" t="s">
        <v>15</v>
      </c>
      <c r="J13707" s="1" t="str">
        <f>"22/22"</f>
        <v>22/22</v>
      </c>
      <c r="K13707" s="1" t="str">
        <f>"2026-07-29 14:20:51"</f>
        <v>2026-07-29 14:20:51</v>
      </c>
      <c r="L13707" s="1" t="str">
        <f>"2024-11-25 11:00:12"</f>
        <v>2024-11-25 11:00:12</v>
      </c>
      <c r="M13707" s="1" t="s">
        <v>4</v>
      </c>
      <c r="N13707" s="1" t="s">
        <v>38</v>
      </c>
      <c r="O13707" s="1" t="s">
        <v>46</v>
      </c>
    </row>
    <row r="13708" spans="2:15" x14ac:dyDescent="0.3">
      <c r="B13708" s="1" t="s">
        <v>20</v>
      </c>
      <c r="C13708" s="1" t="str">
        <f>"5-2차"</f>
        <v>5-2차</v>
      </c>
      <c r="D13708" s="1" t="str">
        <f>"9925R3845S"</f>
        <v>9925R3845S</v>
      </c>
      <c r="E13708" s="1" t="s">
        <v>10</v>
      </c>
      <c r="F13708" s="1" t="str">
        <f>"fde3:102:1301:3000:0:0:0:7"</f>
        <v>fde3:102:1301:3000:0:0:0:7</v>
      </c>
      <c r="G13708" s="1" t="str">
        <f>"9925R384"</f>
        <v>9925R384</v>
      </c>
      <c r="H13708" s="1" t="str">
        <f>"문청간 36L7"</f>
        <v>문청간 36L7</v>
      </c>
      <c r="I13708" s="1" t="s">
        <v>15</v>
      </c>
      <c r="J13708" s="1" t="str">
        <f>"54/54"</f>
        <v>54/54</v>
      </c>
      <c r="K13708" s="1" t="str">
        <f>"2026-07-29 14:21:26"</f>
        <v>2026-07-29 14:21:26</v>
      </c>
      <c r="L13708" s="1" t="str">
        <f>"2023-10-12 14:13:00"</f>
        <v>2023-10-12 14:13:00</v>
      </c>
      <c r="M13708" s="1" t="s">
        <v>45</v>
      </c>
      <c r="N13708" s="1" t="s">
        <v>38</v>
      </c>
      <c r="O13708" s="1" t="s">
        <v>46</v>
      </c>
    </row>
    <row r="13709" spans="2:15" x14ac:dyDescent="0.3">
      <c r="B13709" s="1" t="s">
        <v>20</v>
      </c>
      <c r="C13709" s="1" t="str">
        <f>"5-2차"</f>
        <v>5-2차</v>
      </c>
      <c r="D13709" s="1" t="str">
        <f>"9925R4045S"</f>
        <v>9925R4045S</v>
      </c>
      <c r="E13709" s="1" t="s">
        <v>10</v>
      </c>
      <c r="F13709" s="1" t="str">
        <f>"fde3:102:1301:1300:0:0:0:10"</f>
        <v>fde3:102:1301:1300:0:0:0:10</v>
      </c>
      <c r="G13709" s="1" t="str">
        <f>"9925R404"</f>
        <v>9925R404</v>
      </c>
      <c r="H13709" s="1" t="str">
        <f>"문청간 4L27"</f>
        <v>문청간 4L27</v>
      </c>
      <c r="I13709" s="1" t="s">
        <v>15</v>
      </c>
      <c r="J13709" s="1" t="str">
        <f>"40/40"</f>
        <v>40/40</v>
      </c>
      <c r="K13709" s="1" t="str">
        <f>"2026-07-29 14:21:25"</f>
        <v>2026-07-29 14:21:25</v>
      </c>
      <c r="L13709" s="1" t="str">
        <f>"2023-10-12 16:16:33"</f>
        <v>2023-10-12 16:16:33</v>
      </c>
      <c r="M13709" s="1" t="s">
        <v>45</v>
      </c>
      <c r="N13709" s="1" t="s">
        <v>38</v>
      </c>
      <c r="O13709" s="1" t="s">
        <v>46</v>
      </c>
    </row>
    <row r="13710" spans="2:15" x14ac:dyDescent="0.3">
      <c r="B13710" s="1" t="s">
        <v>20</v>
      </c>
      <c r="C13710" s="1" t="str">
        <f>"1차"</f>
        <v>1차</v>
      </c>
      <c r="D13710" s="1" t="str">
        <f>"9925R41101"</f>
        <v>9925R41101</v>
      </c>
      <c r="E13710" s="1" t="s">
        <v>10</v>
      </c>
      <c r="F13710" s="1" t="str">
        <f>"10.12.129.173"</f>
        <v>10.12.129.173</v>
      </c>
      <c r="G13710" s="1" t="str">
        <f>"9925R411"</f>
        <v>9925R411</v>
      </c>
      <c r="H13710" s="1" t="str">
        <f>"문청간 4L27L2"</f>
        <v>문청간 4L27L2</v>
      </c>
      <c r="I13710" s="1" t="s">
        <v>8</v>
      </c>
      <c r="J13710" s="1" t="str">
        <f>"62/63"</f>
        <v>62/63</v>
      </c>
      <c r="K13710" s="1" t="str">
        <f>"2026-07-29 07:18:13"</f>
        <v>2026-07-29 07:18:13</v>
      </c>
      <c r="L13710" s="1" t="str">
        <f>"2014-11-24 13:31:49"</f>
        <v>2014-11-24 13:31:49</v>
      </c>
      <c r="M13710" s="1" t="s">
        <v>0</v>
      </c>
      <c r="N13710" s="1" t="s">
        <v>38</v>
      </c>
      <c r="O13710" s="1" t="s">
        <v>46</v>
      </c>
    </row>
    <row r="13711" spans="2:15" x14ac:dyDescent="0.3">
      <c r="B13711" s="1" t="s">
        <v>20</v>
      </c>
      <c r="C13711" s="1" t="str">
        <f>"5-2차"</f>
        <v>5-2차</v>
      </c>
      <c r="D13711" s="1" t="str">
        <f>"9925R44A5M"</f>
        <v>9925R44A5M</v>
      </c>
      <c r="E13711" s="1" t="s">
        <v>10</v>
      </c>
      <c r="F13711" s="1" t="str">
        <f>"fde1:103:4:586b:0:0:0:2"</f>
        <v>fde1:103:4:586b:0:0:0:2</v>
      </c>
      <c r="G13711" s="1" t="str">
        <f>"9925R44A"</f>
        <v>9925R44A</v>
      </c>
      <c r="H13711" s="1" t="str">
        <f>"문청간 30L3L1"</f>
        <v>문청간 30L3L1</v>
      </c>
      <c r="I13711" s="1" t="s">
        <v>15</v>
      </c>
      <c r="J13711" s="1" t="str">
        <f>"58/59"</f>
        <v>58/59</v>
      </c>
      <c r="K13711" s="1" t="str">
        <f>"2026-07-29 14:21:35"</f>
        <v>2026-07-29 14:21:35</v>
      </c>
      <c r="L13711" s="1" t="str">
        <f>"2023-09-12 16:50:21"</f>
        <v>2023-09-12 16:50:21</v>
      </c>
      <c r="M13711" s="1" t="s">
        <v>4</v>
      </c>
      <c r="N13711" s="1" t="s">
        <v>38</v>
      </c>
      <c r="O13711" s="1" t="s">
        <v>46</v>
      </c>
    </row>
    <row r="13712" spans="2:15" x14ac:dyDescent="0.3">
      <c r="B13712" s="1" t="s">
        <v>20</v>
      </c>
      <c r="C13712" s="1" t="str">
        <f>"5-2차"</f>
        <v>5-2차</v>
      </c>
      <c r="D13712" s="1" t="str">
        <f>"9925R4625M"</f>
        <v>9925R4625M</v>
      </c>
      <c r="E13712" s="1" t="s">
        <v>10</v>
      </c>
      <c r="F13712" s="1" t="str">
        <f>"fde3:102:1301:3000:0:0:0:4"</f>
        <v>fde3:102:1301:3000:0:0:0:4</v>
      </c>
      <c r="G13712" s="1" t="str">
        <f>"9925R462"</f>
        <v>9925R462</v>
      </c>
      <c r="H13712" s="1" t="str">
        <f>"문청간 33L5"</f>
        <v>문청간 33L5</v>
      </c>
      <c r="I13712" s="1" t="s">
        <v>15</v>
      </c>
      <c r="J13712" s="1" t="str">
        <f>"64/64"</f>
        <v>64/64</v>
      </c>
      <c r="K13712" s="1" t="str">
        <f>"2026-07-29 14:21:42"</f>
        <v>2026-07-29 14:21:42</v>
      </c>
      <c r="L13712" s="1" t="str">
        <f>"2023-09-12 11:42:18"</f>
        <v>2023-09-12 11:42:18</v>
      </c>
      <c r="M13712" s="1" t="s">
        <v>45</v>
      </c>
      <c r="N13712" s="1" t="s">
        <v>38</v>
      </c>
      <c r="O13712" s="1" t="s">
        <v>46</v>
      </c>
    </row>
    <row r="13713" spans="2:15" x14ac:dyDescent="0.3">
      <c r="B13713" s="1" t="s">
        <v>20</v>
      </c>
      <c r="C13713" s="1" t="str">
        <f>"1차"</f>
        <v>1차</v>
      </c>
      <c r="D13713" s="1" t="str">
        <f>"9925R48100"</f>
        <v>9925R48100</v>
      </c>
      <c r="E13713" s="1" t="s">
        <v>14</v>
      </c>
      <c r="F13713" s="1" t="str">
        <f>"10.125.227.114"</f>
        <v>10.125.227.114</v>
      </c>
      <c r="G13713" s="1" t="str">
        <f>"9925R481"</f>
        <v>9925R481</v>
      </c>
      <c r="H13713" s="1" t="str">
        <f>"문청간 36L2"</f>
        <v>문청간 36L2</v>
      </c>
      <c r="I13713" s="1" t="s">
        <v>8</v>
      </c>
      <c r="J13713" s="1" t="str">
        <f>"0/0"</f>
        <v>0/0</v>
      </c>
      <c r="K13713" s="1" t="str">
        <f>"2024-06-27 09:20:10"</f>
        <v>2024-06-27 09:20:10</v>
      </c>
      <c r="L13713" s="1" t="str">
        <f>"2014-11-24 13:34:58"</f>
        <v>2014-11-24 13:34:58</v>
      </c>
      <c r="M13713" s="1" t="s">
        <v>45</v>
      </c>
      <c r="N13713" s="1" t="s">
        <v>44</v>
      </c>
      <c r="O13713" s="1" t="s">
        <v>44</v>
      </c>
    </row>
    <row r="13714" spans="2:15" x14ac:dyDescent="0.3">
      <c r="B13714" s="1" t="s">
        <v>20</v>
      </c>
      <c r="C13714" s="1" t="str">
        <f>"4차"</f>
        <v>4차</v>
      </c>
      <c r="D13714" s="1" t="str">
        <f>"9925R50144"</f>
        <v>9925R50144</v>
      </c>
      <c r="E13714" s="1" t="s">
        <v>10</v>
      </c>
      <c r="F13714" s="1" t="str">
        <f>"10.10.138.2"</f>
        <v>10.10.138.2</v>
      </c>
      <c r="G13714" s="1" t="str">
        <f>"9925R501"</f>
        <v>9925R501</v>
      </c>
      <c r="H13714" s="1" t="str">
        <f>"문청간 4L29"</f>
        <v>문청간 4L29</v>
      </c>
      <c r="I13714" s="1" t="s">
        <v>8</v>
      </c>
      <c r="J13714" s="1" t="str">
        <f>"47/47"</f>
        <v>47/47</v>
      </c>
      <c r="K13714" s="1" t="str">
        <f>"2026-07-29 13:18:11"</f>
        <v>2026-07-29 13:18:11</v>
      </c>
      <c r="L13714" s="1" t="str">
        <f>"2020-01-21 16:43:49"</f>
        <v>2020-01-21 16:43:49</v>
      </c>
      <c r="M13714" s="1" t="s">
        <v>1</v>
      </c>
      <c r="N13714" s="1" t="s">
        <v>38</v>
      </c>
      <c r="O13714" s="1" t="s">
        <v>46</v>
      </c>
    </row>
    <row r="13715" spans="2:15" x14ac:dyDescent="0.3">
      <c r="B13715" s="1" t="s">
        <v>20</v>
      </c>
      <c r="C13715" s="1" t="str">
        <f>"4차"</f>
        <v>4차</v>
      </c>
      <c r="D13715" s="1" t="str">
        <f>"9925R50244"</f>
        <v>9925R50244</v>
      </c>
      <c r="E13715" s="1" t="s">
        <v>10</v>
      </c>
      <c r="F13715" s="1" t="str">
        <f>"10.10.138.10"</f>
        <v>10.10.138.10</v>
      </c>
      <c r="G13715" s="1" t="str">
        <f>"9925R502"</f>
        <v>9925R502</v>
      </c>
      <c r="H13715" s="1" t="str">
        <f>"문청간 4L28"</f>
        <v>문청간 4L28</v>
      </c>
      <c r="I13715" s="1" t="s">
        <v>8</v>
      </c>
      <c r="J13715" s="1" t="str">
        <f>"23/23"</f>
        <v>23/23</v>
      </c>
      <c r="K13715" s="1" t="str">
        <f>"2026-07-29 13:18:11"</f>
        <v>2026-07-29 13:18:11</v>
      </c>
      <c r="L13715" s="1" t="str">
        <f>"2020-01-21 16:57:41"</f>
        <v>2020-01-21 16:57:41</v>
      </c>
      <c r="M13715" s="1" t="s">
        <v>1</v>
      </c>
      <c r="N13715" s="1" t="s">
        <v>38</v>
      </c>
      <c r="O13715" s="1" t="s">
        <v>46</v>
      </c>
    </row>
    <row r="13716" spans="2:15" x14ac:dyDescent="0.3">
      <c r="B13716" s="1" t="s">
        <v>20</v>
      </c>
      <c r="C13716" s="1" t="str">
        <f>"5-1차"</f>
        <v>5-1차</v>
      </c>
      <c r="D13716" s="1" t="str">
        <f>"9925R5615M"</f>
        <v>9925R5615M</v>
      </c>
      <c r="E13716" s="1" t="s">
        <v>10</v>
      </c>
      <c r="F13716" s="1" t="str">
        <f>"fde3:102:1301:3000:0:0:0:2"</f>
        <v>fde3:102:1301:3000:0:0:0:2</v>
      </c>
      <c r="G13716" s="1" t="str">
        <f>"9925R561"</f>
        <v>9925R561</v>
      </c>
      <c r="H13716" s="1" t="str">
        <f>"문청간 33L3"</f>
        <v>문청간 33L3</v>
      </c>
      <c r="I13716" s="1" t="s">
        <v>15</v>
      </c>
      <c r="J13716" s="1" t="str">
        <f>"38/38"</f>
        <v>38/38</v>
      </c>
      <c r="K13716" s="1" t="str">
        <f>"2026-07-29 14:21:26"</f>
        <v>2026-07-29 14:21:26</v>
      </c>
      <c r="L13716" s="1" t="str">
        <f>"2022-11-08 16:30:57"</f>
        <v>2022-11-08 16:30:57</v>
      </c>
      <c r="M13716" s="1" t="s">
        <v>45</v>
      </c>
      <c r="N13716" s="1" t="s">
        <v>38</v>
      </c>
      <c r="O13716" s="1" t="s">
        <v>46</v>
      </c>
    </row>
    <row r="13717" spans="2:15" x14ac:dyDescent="0.3">
      <c r="B13717" s="1" t="s">
        <v>20</v>
      </c>
      <c r="C13717" s="1" t="str">
        <f t="shared" ref="C13717:C13724" si="694">"4차"</f>
        <v>4차</v>
      </c>
      <c r="D13717" s="1" t="str">
        <f>"9925R60244"</f>
        <v>9925R60244</v>
      </c>
      <c r="E13717" s="1" t="s">
        <v>10</v>
      </c>
      <c r="F13717" s="1" t="str">
        <f>"10.10.138.18"</f>
        <v>10.10.138.18</v>
      </c>
      <c r="G13717" s="1" t="str">
        <f>"9925R602"</f>
        <v>9925R602</v>
      </c>
      <c r="H13717" s="1" t="str">
        <f>"문청간 23"</f>
        <v>문청간 23</v>
      </c>
      <c r="I13717" s="1" t="s">
        <v>8</v>
      </c>
      <c r="J13717" s="1" t="str">
        <f>"41/41"</f>
        <v>41/41</v>
      </c>
      <c r="K13717" s="1" t="str">
        <f>"2026-07-29 13:18:11"</f>
        <v>2026-07-29 13:18:11</v>
      </c>
      <c r="L13717" s="1" t="str">
        <f>"2020-01-21 16:45:06"</f>
        <v>2020-01-21 16:45:06</v>
      </c>
      <c r="M13717" s="1" t="s">
        <v>1</v>
      </c>
      <c r="N13717" s="1" t="s">
        <v>38</v>
      </c>
      <c r="O13717" s="1" t="s">
        <v>46</v>
      </c>
    </row>
    <row r="13718" spans="2:15" x14ac:dyDescent="0.3">
      <c r="B13718" s="1" t="s">
        <v>20</v>
      </c>
      <c r="C13718" s="1" t="str">
        <f t="shared" si="694"/>
        <v>4차</v>
      </c>
      <c r="D13718" s="1" t="str">
        <f>"9925R84339"</f>
        <v>9925R84339</v>
      </c>
      <c r="E13718" s="1" t="s">
        <v>10</v>
      </c>
      <c r="F13718" s="1" t="str">
        <f>"10.12.134.154"</f>
        <v>10.12.134.154</v>
      </c>
      <c r="G13718" s="1" t="str">
        <f>"9925R843"</f>
        <v>9925R843</v>
      </c>
      <c r="H13718" s="1" t="str">
        <f>"동자로 L5"</f>
        <v>동자로 L5</v>
      </c>
      <c r="I13718" s="1" t="s">
        <v>17</v>
      </c>
      <c r="J13718" s="1" t="str">
        <f>"12/12"</f>
        <v>12/12</v>
      </c>
      <c r="K13718" s="1" t="str">
        <f>"2026-07-29 13:18:13"</f>
        <v>2026-07-29 13:18:13</v>
      </c>
      <c r="L13718" s="1" t="str">
        <f>"2018-06-16 09:14:27"</f>
        <v>2018-06-16 09:14:27</v>
      </c>
      <c r="M13718" s="1" t="s">
        <v>0</v>
      </c>
      <c r="N13718" s="1" t="s">
        <v>38</v>
      </c>
      <c r="O13718" s="1" t="s">
        <v>46</v>
      </c>
    </row>
    <row r="13719" spans="2:15" x14ac:dyDescent="0.3">
      <c r="B13719" s="1" t="s">
        <v>20</v>
      </c>
      <c r="C13719" s="1" t="str">
        <f t="shared" si="694"/>
        <v>4차</v>
      </c>
      <c r="D13719" s="1" t="str">
        <f>"9925R91139"</f>
        <v>9925R91139</v>
      </c>
      <c r="E13719" s="1" t="s">
        <v>10</v>
      </c>
      <c r="F13719" s="1" t="str">
        <f>"10.12.134.29"</f>
        <v>10.12.134.29</v>
      </c>
      <c r="G13719" s="1" t="str">
        <f>"9925R911"</f>
        <v>9925R911</v>
      </c>
      <c r="H13719" s="1" t="str">
        <f>"동자로 R3"</f>
        <v>동자로 R3</v>
      </c>
      <c r="I13719" s="1" t="s">
        <v>17</v>
      </c>
      <c r="J13719" s="1" t="str">
        <f>"4/4"</f>
        <v>4/4</v>
      </c>
      <c r="K13719" s="1" t="str">
        <f>"2026-07-29 13:18:13"</f>
        <v>2026-07-29 13:18:13</v>
      </c>
      <c r="L13719" s="1" t="str">
        <f>"2018-06-16 08:25:55"</f>
        <v>2018-06-16 08:25:55</v>
      </c>
      <c r="M13719" s="1" t="s">
        <v>0</v>
      </c>
      <c r="N13719" s="1" t="s">
        <v>38</v>
      </c>
      <c r="O13719" s="1" t="s">
        <v>46</v>
      </c>
    </row>
    <row r="13720" spans="2:15" x14ac:dyDescent="0.3">
      <c r="B13720" s="1" t="s">
        <v>20</v>
      </c>
      <c r="C13720" s="1" t="str">
        <f t="shared" si="694"/>
        <v>4차</v>
      </c>
      <c r="D13720" s="1" t="str">
        <f>"9925R91339"</f>
        <v>9925R91339</v>
      </c>
      <c r="E13720" s="1" t="s">
        <v>14</v>
      </c>
      <c r="F13720" s="1" t="str">
        <f>"10.12.134.28"</f>
        <v>10.12.134.28</v>
      </c>
      <c r="G13720" s="1" t="str">
        <f>"9925R913"</f>
        <v>9925R913</v>
      </c>
      <c r="H13720" s="1" t="str">
        <f>"동자로 R4"</f>
        <v>동자로 R4</v>
      </c>
      <c r="I13720" s="1" t="s">
        <v>17</v>
      </c>
      <c r="J13720" s="1" t="str">
        <f>"0/0"</f>
        <v>0/0</v>
      </c>
      <c r="K13720" s="1" t="str">
        <f>"2026-07-28 13:18:14"</f>
        <v>2026-07-28 13:18:14</v>
      </c>
      <c r="L13720" s="1" t="str">
        <f>"2018-06-11 16:51:15"</f>
        <v>2018-06-11 16:51:15</v>
      </c>
      <c r="M13720" s="1" t="s">
        <v>0</v>
      </c>
      <c r="N13720" s="1" t="s">
        <v>39</v>
      </c>
      <c r="O13720" s="1" t="s">
        <v>46</v>
      </c>
    </row>
    <row r="13721" spans="2:15" x14ac:dyDescent="0.3">
      <c r="B13721" s="1" t="s">
        <v>20</v>
      </c>
      <c r="C13721" s="1" t="str">
        <f t="shared" si="694"/>
        <v>4차</v>
      </c>
      <c r="D13721" s="1" t="str">
        <f>"9925R92145"</f>
        <v>9925R92145</v>
      </c>
      <c r="E13721" s="1" t="s">
        <v>10</v>
      </c>
      <c r="F13721" s="1" t="str">
        <f>"10.12.134.235"</f>
        <v>10.12.134.235</v>
      </c>
      <c r="G13721" s="1" t="str">
        <f>"9925R921"</f>
        <v>9925R921</v>
      </c>
      <c r="H13721" s="1" t="str">
        <f>"동자로 L4-2"</f>
        <v>동자로 L4-2</v>
      </c>
      <c r="I13721" s="1" t="s">
        <v>17</v>
      </c>
      <c r="J13721" s="1" t="str">
        <f>"9/9"</f>
        <v>9/9</v>
      </c>
      <c r="K13721" s="1" t="str">
        <f>"2026-07-29 13:18:13"</f>
        <v>2026-07-29 13:18:13</v>
      </c>
      <c r="L13721" s="1" t="str">
        <f>"2025-02-07 15:17:44"</f>
        <v>2025-02-07 15:17:44</v>
      </c>
      <c r="M13721" s="1" t="s">
        <v>0</v>
      </c>
      <c r="N13721" s="1" t="s">
        <v>38</v>
      </c>
      <c r="O13721" s="1" t="s">
        <v>46</v>
      </c>
    </row>
    <row r="13722" spans="2:15" x14ac:dyDescent="0.3">
      <c r="B13722" s="1" t="s">
        <v>20</v>
      </c>
      <c r="C13722" s="1" t="str">
        <f t="shared" si="694"/>
        <v>4차</v>
      </c>
      <c r="D13722" s="1" t="str">
        <f>"9925R92239"</f>
        <v>9925R92239</v>
      </c>
      <c r="E13722" s="1" t="s">
        <v>10</v>
      </c>
      <c r="F13722" s="1" t="str">
        <f>"10.12.133.132"</f>
        <v>10.12.133.132</v>
      </c>
      <c r="G13722" s="1" t="str">
        <f>"9925R922"</f>
        <v>9925R922</v>
      </c>
      <c r="H13722" s="1" t="str">
        <f>"동자로 L4-1"</f>
        <v>동자로 L4-1</v>
      </c>
      <c r="I13722" s="1" t="s">
        <v>17</v>
      </c>
      <c r="J13722" s="1" t="str">
        <f>"5/5"</f>
        <v>5/5</v>
      </c>
      <c r="K13722" s="1" t="str">
        <f>"2026-07-29 13:18:15"</f>
        <v>2026-07-29 13:18:15</v>
      </c>
      <c r="L13722" s="1" t="str">
        <f>"2018-06-15 13:40:29"</f>
        <v>2018-06-15 13:40:29</v>
      </c>
      <c r="M13722" s="1" t="s">
        <v>0</v>
      </c>
      <c r="N13722" s="1" t="s">
        <v>38</v>
      </c>
      <c r="O13722" s="1" t="s">
        <v>46</v>
      </c>
    </row>
    <row r="13723" spans="2:15" x14ac:dyDescent="0.3">
      <c r="B13723" s="1" t="s">
        <v>20</v>
      </c>
      <c r="C13723" s="1" t="str">
        <f t="shared" si="694"/>
        <v>4차</v>
      </c>
      <c r="D13723" s="1" t="str">
        <f>"9925R92339"</f>
        <v>9925R92339</v>
      </c>
      <c r="E13723" s="1" t="s">
        <v>10</v>
      </c>
      <c r="F13723" s="1" t="str">
        <f>"10.12.134.19"</f>
        <v>10.12.134.19</v>
      </c>
      <c r="G13723" s="1" t="str">
        <f>"9925R923"</f>
        <v>9925R923</v>
      </c>
      <c r="H13723" s="1" t="str">
        <f>"동자로 R4-1T"</f>
        <v>동자로 R4-1T</v>
      </c>
      <c r="I13723" s="1" t="s">
        <v>17</v>
      </c>
      <c r="J13723" s="1" t="str">
        <f>"3/3"</f>
        <v>3/3</v>
      </c>
      <c r="K13723" s="1" t="str">
        <f>"2026-07-29 13:18:13"</f>
        <v>2026-07-29 13:18:13</v>
      </c>
      <c r="L13723" s="1" t="str">
        <f>"2018-06-16 08:48:40"</f>
        <v>2018-06-16 08:48:40</v>
      </c>
      <c r="M13723" s="1" t="s">
        <v>0</v>
      </c>
      <c r="N13723" s="1" t="s">
        <v>38</v>
      </c>
      <c r="O13723" s="1" t="s">
        <v>46</v>
      </c>
    </row>
    <row r="13724" spans="2:15" x14ac:dyDescent="0.3">
      <c r="B13724" s="1" t="s">
        <v>20</v>
      </c>
      <c r="C13724" s="1" t="str">
        <f t="shared" si="694"/>
        <v>4차</v>
      </c>
      <c r="D13724" s="1" t="str">
        <f>"9925R94139"</f>
        <v>9925R94139</v>
      </c>
      <c r="E13724" s="1" t="s">
        <v>10</v>
      </c>
      <c r="F13724" s="1" t="str">
        <f>"10.12.133.146"</f>
        <v>10.12.133.146</v>
      </c>
      <c r="G13724" s="1" t="str">
        <f>"9925R941"</f>
        <v>9925R941</v>
      </c>
      <c r="H13724" s="1" t="str">
        <f>"동자로 R5"</f>
        <v>동자로 R5</v>
      </c>
      <c r="I13724" s="1" t="s">
        <v>17</v>
      </c>
      <c r="J13724" s="1" t="str">
        <f>"1/1"</f>
        <v>1/1</v>
      </c>
      <c r="K13724" s="1" t="str">
        <f>"2026-07-29 13:18:11"</f>
        <v>2026-07-29 13:18:11</v>
      </c>
      <c r="L13724" s="1" t="str">
        <f>"2018-06-16 09:04:56"</f>
        <v>2018-06-16 09:04:56</v>
      </c>
      <c r="M13724" s="1" t="s">
        <v>0</v>
      </c>
      <c r="N13724" s="1" t="s">
        <v>38</v>
      </c>
      <c r="O13724" s="1" t="s">
        <v>46</v>
      </c>
    </row>
    <row r="13725" spans="2:15" x14ac:dyDescent="0.3">
      <c r="B13725" s="1" t="s">
        <v>20</v>
      </c>
      <c r="C13725" s="1" t="str">
        <f>"6차"</f>
        <v>6차</v>
      </c>
      <c r="D13725" s="1" t="str">
        <f>"9925R9716S"</f>
        <v>9925R9716S</v>
      </c>
      <c r="E13725" s="1" t="s">
        <v>10</v>
      </c>
      <c r="F13725" s="1" t="str">
        <f>"fde1:103:4:c74d:0:0:0:2"</f>
        <v>fde1:103:4:c74d:0:0:0:2</v>
      </c>
      <c r="G13725" s="1" t="str">
        <f>"9925R971"</f>
        <v>9925R971</v>
      </c>
      <c r="H13725" s="1" t="str">
        <f>"남해간 17L2L1R5"</f>
        <v>남해간 17L2L1R5</v>
      </c>
      <c r="I13725" s="1" t="s">
        <v>15</v>
      </c>
      <c r="J13725" s="1" t="str">
        <f>"33/33"</f>
        <v>33/33</v>
      </c>
      <c r="K13725" s="1" t="str">
        <f>"2026-07-29 14:21:26"</f>
        <v>2026-07-29 14:21:26</v>
      </c>
      <c r="L13725" s="1" t="str">
        <f>"2024-11-22 15:58:09"</f>
        <v>2024-11-22 15:58:09</v>
      </c>
      <c r="M13725" s="1" t="s">
        <v>4</v>
      </c>
      <c r="N13725" s="1" t="s">
        <v>38</v>
      </c>
      <c r="O13725" s="1" t="s">
        <v>46</v>
      </c>
    </row>
    <row r="13726" spans="2:15" x14ac:dyDescent="0.3">
      <c r="B13726" s="1" t="s">
        <v>20</v>
      </c>
      <c r="C13726" s="1" t="str">
        <f t="shared" ref="C13726:C13731" si="695">"4차"</f>
        <v>4차</v>
      </c>
      <c r="D13726" s="1" t="str">
        <f>"9925R99139"</f>
        <v>9925R99139</v>
      </c>
      <c r="E13726" s="1" t="s">
        <v>10</v>
      </c>
      <c r="F13726" s="1" t="str">
        <f>"10.12.128.152"</f>
        <v>10.12.128.152</v>
      </c>
      <c r="G13726" s="1" t="str">
        <f>"9925R991"</f>
        <v>9925R991</v>
      </c>
      <c r="H13726" s="1" t="str">
        <f>"동자로 R7-1"</f>
        <v>동자로 R7-1</v>
      </c>
      <c r="I13726" s="1" t="s">
        <v>17</v>
      </c>
      <c r="J13726" s="1" t="str">
        <f>"3/3"</f>
        <v>3/3</v>
      </c>
      <c r="K13726" s="1" t="str">
        <f>"2026-07-29 13:18:13"</f>
        <v>2026-07-29 13:18:13</v>
      </c>
      <c r="L13726" s="1" t="str">
        <f>"2018-06-16 09:42:43"</f>
        <v>2018-06-16 09:42:43</v>
      </c>
      <c r="M13726" s="1" t="s">
        <v>0</v>
      </c>
      <c r="N13726" s="1" t="s">
        <v>38</v>
      </c>
      <c r="O13726" s="1" t="s">
        <v>46</v>
      </c>
    </row>
    <row r="13727" spans="2:15" x14ac:dyDescent="0.3">
      <c r="B13727" s="1" t="s">
        <v>20</v>
      </c>
      <c r="C13727" s="1" t="str">
        <f t="shared" si="695"/>
        <v>4차</v>
      </c>
      <c r="D13727" s="1" t="str">
        <f>"9925S00245"</f>
        <v>9925S00245</v>
      </c>
      <c r="E13727" s="1" t="s">
        <v>10</v>
      </c>
      <c r="F13727" s="1" t="str">
        <f>"10.14.8.14"</f>
        <v>10.14.8.14</v>
      </c>
      <c r="G13727" s="1" t="str">
        <f>"9925S002"</f>
        <v>9925S002</v>
      </c>
      <c r="H13727" s="1" t="str">
        <f>"동자로 R2-2"</f>
        <v>동자로 R2-2</v>
      </c>
      <c r="I13727" s="1" t="s">
        <v>17</v>
      </c>
      <c r="J13727" s="1" t="str">
        <f>"14/14"</f>
        <v>14/14</v>
      </c>
      <c r="K13727" s="1" t="str">
        <f>"2026-07-29 13:18:12"</f>
        <v>2026-07-29 13:18:12</v>
      </c>
      <c r="L13727" s="1" t="str">
        <f>"2021-06-16 12:12:47"</f>
        <v>2021-06-16 12:12:47</v>
      </c>
      <c r="M13727" s="1" t="s">
        <v>3</v>
      </c>
      <c r="N13727" s="1" t="s">
        <v>38</v>
      </c>
      <c r="O13727" s="1" t="s">
        <v>46</v>
      </c>
    </row>
    <row r="13728" spans="2:15" x14ac:dyDescent="0.3">
      <c r="B13728" s="1" t="s">
        <v>20</v>
      </c>
      <c r="C13728" s="1" t="str">
        <f t="shared" si="695"/>
        <v>4차</v>
      </c>
      <c r="D13728" s="1" t="str">
        <f>"9925S02244"</f>
        <v>9925S02244</v>
      </c>
      <c r="E13728" s="1" t="s">
        <v>10</v>
      </c>
      <c r="F13728" s="1" t="str">
        <f>"10.10.118.90"</f>
        <v>10.10.118.90</v>
      </c>
      <c r="G13728" s="1" t="str">
        <f>"9925S022"</f>
        <v>9925S022</v>
      </c>
      <c r="H13728" s="1" t="str">
        <f>"남해간 13L1"</f>
        <v>남해간 13L1</v>
      </c>
      <c r="I13728" s="1" t="s">
        <v>8</v>
      </c>
      <c r="J13728" s="1" t="str">
        <f>"10/10"</f>
        <v>10/10</v>
      </c>
      <c r="K13728" s="1" t="str">
        <f>"2026-07-29 13:18:11"</f>
        <v>2026-07-29 13:18:11</v>
      </c>
      <c r="L13728" s="1" t="str">
        <f>"2019-11-06 14:47:35"</f>
        <v>2019-11-06 14:47:35</v>
      </c>
      <c r="M13728" s="1" t="s">
        <v>1</v>
      </c>
      <c r="N13728" s="1" t="s">
        <v>38</v>
      </c>
      <c r="O13728" s="1" t="s">
        <v>46</v>
      </c>
    </row>
    <row r="13729" spans="2:15" x14ac:dyDescent="0.3">
      <c r="B13729" s="1" t="s">
        <v>20</v>
      </c>
      <c r="C13729" s="1" t="str">
        <f t="shared" si="695"/>
        <v>4차</v>
      </c>
      <c r="D13729" s="1" t="str">
        <f>"9925S04241"</f>
        <v>9925S04241</v>
      </c>
      <c r="E13729" s="1" t="s">
        <v>10</v>
      </c>
      <c r="F13729" s="1" t="str">
        <f>"10.14.5.114"</f>
        <v>10.14.5.114</v>
      </c>
      <c r="G13729" s="1" t="str">
        <f>"9925S042"</f>
        <v>9925S042</v>
      </c>
      <c r="H13729" s="1" t="str">
        <f>"남해간 17L3L2"</f>
        <v>남해간 17L3L2</v>
      </c>
      <c r="I13729" s="1" t="s">
        <v>17</v>
      </c>
      <c r="J13729" s="1" t="str">
        <f>"28/34"</f>
        <v>28/34</v>
      </c>
      <c r="K13729" s="1" t="str">
        <f>"2026-07-29 13:18:15"</f>
        <v>2026-07-29 13:18:15</v>
      </c>
      <c r="L13729" s="1" t="str">
        <f>"2021-10-21 12:14:00"</f>
        <v>2021-10-21 12:14:00</v>
      </c>
      <c r="M13729" s="1" t="s">
        <v>3</v>
      </c>
      <c r="N13729" s="1" t="s">
        <v>38</v>
      </c>
      <c r="O13729" s="1" t="s">
        <v>46</v>
      </c>
    </row>
    <row r="13730" spans="2:15" x14ac:dyDescent="0.3">
      <c r="B13730" s="1" t="s">
        <v>20</v>
      </c>
      <c r="C13730" s="1" t="str">
        <f t="shared" si="695"/>
        <v>4차</v>
      </c>
      <c r="D13730" s="1" t="str">
        <f>"9925S05241"</f>
        <v>9925S05241</v>
      </c>
      <c r="E13730" s="1" t="s">
        <v>10</v>
      </c>
      <c r="F13730" s="1" t="str">
        <f>"10.14.9.43"</f>
        <v>10.14.9.43</v>
      </c>
      <c r="G13730" s="1" t="str">
        <f>"9925S052"</f>
        <v>9925S052</v>
      </c>
      <c r="H13730" s="1" t="str">
        <f>"남해간 17L3L1"</f>
        <v>남해간 17L3L1</v>
      </c>
      <c r="I13730" s="1" t="s">
        <v>17</v>
      </c>
      <c r="J13730" s="1" t="str">
        <f>"12/12"</f>
        <v>12/12</v>
      </c>
      <c r="K13730" s="1" t="str">
        <f>"2026-07-29 13:18:14"</f>
        <v>2026-07-29 13:18:14</v>
      </c>
      <c r="L13730" s="1" t="str">
        <f>"2021-07-12 15:48:51"</f>
        <v>2021-07-12 15:48:51</v>
      </c>
      <c r="M13730" s="1" t="s">
        <v>3</v>
      </c>
      <c r="N13730" s="1" t="s">
        <v>38</v>
      </c>
      <c r="O13730" s="1" t="s">
        <v>46</v>
      </c>
    </row>
    <row r="13731" spans="2:15" x14ac:dyDescent="0.3">
      <c r="B13731" s="1" t="s">
        <v>20</v>
      </c>
      <c r="C13731" s="1" t="str">
        <f t="shared" si="695"/>
        <v>4차</v>
      </c>
      <c r="D13731" s="1" t="str">
        <f>"9925S07341"</f>
        <v>9925S07341</v>
      </c>
      <c r="E13731" s="1" t="s">
        <v>10</v>
      </c>
      <c r="F13731" s="1" t="str">
        <f>"10.14.2.45"</f>
        <v>10.14.2.45</v>
      </c>
      <c r="G13731" s="1" t="str">
        <f>"9925S073"</f>
        <v>9925S073</v>
      </c>
      <c r="H13731" s="1" t="str">
        <f>"남해간 17L2L1R2"</f>
        <v>남해간 17L2L1R2</v>
      </c>
      <c r="I13731" s="1" t="s">
        <v>17</v>
      </c>
      <c r="J13731" s="1" t="str">
        <f>"37/42"</f>
        <v>37/42</v>
      </c>
      <c r="K13731" s="1" t="str">
        <f>"2026-07-29 13:18:14"</f>
        <v>2026-07-29 13:18:14</v>
      </c>
      <c r="L13731" s="1" t="str">
        <f>"2021-10-21 10:39:28"</f>
        <v>2021-10-21 10:39:28</v>
      </c>
      <c r="M13731" s="1" t="s">
        <v>3</v>
      </c>
      <c r="N13731" s="1" t="s">
        <v>38</v>
      </c>
      <c r="O13731" s="1" t="s">
        <v>46</v>
      </c>
    </row>
    <row r="13732" spans="2:15" x14ac:dyDescent="0.3">
      <c r="B13732" s="1" t="s">
        <v>20</v>
      </c>
      <c r="C13732" s="1" t="str">
        <f>"6차"</f>
        <v>6차</v>
      </c>
      <c r="D13732" s="1" t="str">
        <f>"9925S0926S"</f>
        <v>9925S0926S</v>
      </c>
      <c r="E13732" s="1" t="s">
        <v>10</v>
      </c>
      <c r="F13732" s="1" t="str">
        <f>"fde1:103:4:c661:0:0:0:2"</f>
        <v>fde1:103:4:c661:0:0:0:2</v>
      </c>
      <c r="G13732" s="1" t="str">
        <f>"9925S092"</f>
        <v>9925S092</v>
      </c>
      <c r="H13732" s="1" t="str">
        <f>"동암간 3L1"</f>
        <v>동암간 3L1</v>
      </c>
      <c r="I13732" s="1" t="s">
        <v>15</v>
      </c>
      <c r="J13732" s="1" t="str">
        <f>"62/62"</f>
        <v>62/62</v>
      </c>
      <c r="K13732" s="1" t="str">
        <f>"2026-07-29 14:21:30"</f>
        <v>2026-07-29 14:21:30</v>
      </c>
      <c r="L13732" s="1" t="str">
        <f>"2024-11-05 14:47:05"</f>
        <v>2024-11-05 14:47:05</v>
      </c>
      <c r="M13732" s="1" t="s">
        <v>4</v>
      </c>
      <c r="N13732" s="1" t="s">
        <v>38</v>
      </c>
      <c r="O13732" s="1" t="s">
        <v>46</v>
      </c>
    </row>
    <row r="13733" spans="2:15" x14ac:dyDescent="0.3">
      <c r="B13733" s="1" t="s">
        <v>20</v>
      </c>
      <c r="C13733" s="1" t="str">
        <f>"4차"</f>
        <v>4차</v>
      </c>
      <c r="D13733" s="1" t="str">
        <f>"9925S16144"</f>
        <v>9925S16144</v>
      </c>
      <c r="E13733" s="1" t="s">
        <v>10</v>
      </c>
      <c r="F13733" s="1" t="str">
        <f>"10.10.82.226"</f>
        <v>10.10.82.226</v>
      </c>
      <c r="G13733" s="1" t="str">
        <f>"9925S161"</f>
        <v>9925S161</v>
      </c>
      <c r="H13733" s="1" t="str">
        <f>"남해간 17L4L1"</f>
        <v>남해간 17L4L1</v>
      </c>
      <c r="I13733" s="1" t="s">
        <v>8</v>
      </c>
      <c r="J13733" s="1" t="str">
        <f>"35/41"</f>
        <v>35/41</v>
      </c>
      <c r="K13733" s="1" t="str">
        <f>"2026-07-29 13:18:11"</f>
        <v>2026-07-29 13:18:11</v>
      </c>
      <c r="L13733" s="1" t="str">
        <f>"2019-12-17 15:38:19"</f>
        <v>2019-12-17 15:38:19</v>
      </c>
      <c r="M13733" s="1" t="s">
        <v>1</v>
      </c>
      <c r="N13733" s="1" t="s">
        <v>38</v>
      </c>
      <c r="O13733" s="1" t="s">
        <v>46</v>
      </c>
    </row>
    <row r="13734" spans="2:15" x14ac:dyDescent="0.3">
      <c r="B13734" s="1" t="s">
        <v>20</v>
      </c>
      <c r="C13734" s="1" t="str">
        <f>"4차"</f>
        <v>4차</v>
      </c>
      <c r="D13734" s="1" t="str">
        <f>"9925S16244"</f>
        <v>9925S16244</v>
      </c>
      <c r="E13734" s="1" t="s">
        <v>10</v>
      </c>
      <c r="F13734" s="1" t="str">
        <f>"10.10.82.234"</f>
        <v>10.10.82.234</v>
      </c>
      <c r="G13734" s="1" t="str">
        <f>"9925S162"</f>
        <v>9925S162</v>
      </c>
      <c r="H13734" s="1" t="str">
        <f>"남해간 17L2L1"</f>
        <v>남해간 17L2L1</v>
      </c>
      <c r="I13734" s="1" t="s">
        <v>8</v>
      </c>
      <c r="J13734" s="1" t="str">
        <f>"31/32"</f>
        <v>31/32</v>
      </c>
      <c r="K13734" s="1" t="str">
        <f>"2026-07-29 13:18:11"</f>
        <v>2026-07-29 13:18:11</v>
      </c>
      <c r="L13734" s="1" t="str">
        <f>"2019-11-06 14:33:03"</f>
        <v>2019-11-06 14:33:03</v>
      </c>
      <c r="M13734" s="1" t="s">
        <v>1</v>
      </c>
      <c r="N13734" s="1" t="s">
        <v>38</v>
      </c>
      <c r="O13734" s="1" t="s">
        <v>46</v>
      </c>
    </row>
    <row r="13735" spans="2:15" x14ac:dyDescent="0.3">
      <c r="B13735" s="1" t="s">
        <v>20</v>
      </c>
      <c r="C13735" s="1" t="str">
        <f>"5-1차"</f>
        <v>5-1차</v>
      </c>
      <c r="D13735" s="1" t="str">
        <f>"9925S1815M"</f>
        <v>9925S1815M</v>
      </c>
      <c r="E13735" s="1" t="s">
        <v>10</v>
      </c>
      <c r="F13735" s="1" t="str">
        <f>"fde3:102:1301:1400:0:0:0:3"</f>
        <v>fde3:102:1301:1400:0:0:0:3</v>
      </c>
      <c r="G13735" s="1" t="str">
        <f>"9925S181"</f>
        <v>9925S181</v>
      </c>
      <c r="H13735" s="1" t="str">
        <f>"동암간 4"</f>
        <v>동암간 4</v>
      </c>
      <c r="I13735" s="1" t="s">
        <v>15</v>
      </c>
      <c r="J13735" s="1" t="str">
        <f>"105/108"</f>
        <v>105/108</v>
      </c>
      <c r="K13735" s="1" t="str">
        <f>"2026-07-29 14:21:27"</f>
        <v>2026-07-29 14:21:27</v>
      </c>
      <c r="L13735" s="1" t="str">
        <f>"2022-11-17 14:14:18"</f>
        <v>2022-11-17 14:14:18</v>
      </c>
      <c r="M13735" s="1" t="s">
        <v>45</v>
      </c>
      <c r="N13735" s="1" t="s">
        <v>38</v>
      </c>
      <c r="O13735" s="1" t="s">
        <v>46</v>
      </c>
    </row>
    <row r="13736" spans="2:15" x14ac:dyDescent="0.3">
      <c r="B13736" s="1" t="s">
        <v>20</v>
      </c>
      <c r="C13736" s="1" t="str">
        <f>"4차"</f>
        <v>4차</v>
      </c>
      <c r="D13736" s="1" t="str">
        <f>"9925S20139"</f>
        <v>9925S20139</v>
      </c>
      <c r="E13736" s="1" t="s">
        <v>10</v>
      </c>
      <c r="F13736" s="1" t="str">
        <f>"10.12.129.131"</f>
        <v>10.12.129.131</v>
      </c>
      <c r="G13736" s="1" t="str">
        <f>"9925S201"</f>
        <v>9925S201</v>
      </c>
      <c r="H13736" s="1" t="str">
        <f>"남해간 10R3"</f>
        <v>남해간 10R3</v>
      </c>
      <c r="I13736" s="1" t="s">
        <v>8</v>
      </c>
      <c r="J13736" s="1" t="str">
        <f>"36/36"</f>
        <v>36/36</v>
      </c>
      <c r="K13736" s="1" t="str">
        <f>"2026-07-29 13:18:13"</f>
        <v>2026-07-29 13:18:13</v>
      </c>
      <c r="L13736" s="1" t="str">
        <f>"2018-04-19 14:12:43"</f>
        <v>2018-04-19 14:12:43</v>
      </c>
      <c r="M13736" s="1" t="s">
        <v>0</v>
      </c>
      <c r="N13736" s="1" t="s">
        <v>38</v>
      </c>
      <c r="O13736" s="1" t="s">
        <v>46</v>
      </c>
    </row>
    <row r="13737" spans="2:15" x14ac:dyDescent="0.3">
      <c r="B13737" s="1" t="s">
        <v>20</v>
      </c>
      <c r="C13737" s="1" t="str">
        <f>"4차"</f>
        <v>4차</v>
      </c>
      <c r="D13737" s="1" t="str">
        <f>"9925S26144"</f>
        <v>9925S26144</v>
      </c>
      <c r="E13737" s="1" t="s">
        <v>10</v>
      </c>
      <c r="F13737" s="1" t="str">
        <f>"10.10.118.122"</f>
        <v>10.10.118.122</v>
      </c>
      <c r="G13737" s="1" t="str">
        <f>"9925S261"</f>
        <v>9925S261</v>
      </c>
      <c r="H13737" s="1" t="str">
        <f>"남해간 17L6L1"</f>
        <v>남해간 17L6L1</v>
      </c>
      <c r="I13737" s="1" t="s">
        <v>8</v>
      </c>
      <c r="J13737" s="1" t="str">
        <f>"37/37"</f>
        <v>37/37</v>
      </c>
      <c r="K13737" s="1" t="str">
        <f>"2026-07-29 13:18:11"</f>
        <v>2026-07-29 13:18:11</v>
      </c>
      <c r="L13737" s="1" t="str">
        <f>"2019-11-06 15:03:04"</f>
        <v>2019-11-06 15:03:04</v>
      </c>
      <c r="M13737" s="1" t="s">
        <v>1</v>
      </c>
      <c r="N13737" s="1" t="s">
        <v>38</v>
      </c>
      <c r="O13737" s="1" t="s">
        <v>46</v>
      </c>
    </row>
    <row r="13738" spans="2:15" x14ac:dyDescent="0.3">
      <c r="B13738" s="1" t="s">
        <v>20</v>
      </c>
      <c r="C13738" s="1" t="str">
        <f>"4차"</f>
        <v>4차</v>
      </c>
      <c r="D13738" s="1" t="str">
        <f>"9925S36144"</f>
        <v>9925S36144</v>
      </c>
      <c r="E13738" s="1" t="s">
        <v>10</v>
      </c>
      <c r="F13738" s="1" t="str">
        <f>"10.10.118.114"</f>
        <v>10.10.118.114</v>
      </c>
      <c r="G13738" s="1" t="str">
        <f>"9925S361"</f>
        <v>9925S361</v>
      </c>
      <c r="H13738" s="1" t="str">
        <f>"남해간 17L6"</f>
        <v>남해간 17L6</v>
      </c>
      <c r="I13738" s="1" t="s">
        <v>8</v>
      </c>
      <c r="J13738" s="1" t="str">
        <f>"22/23"</f>
        <v>22/23</v>
      </c>
      <c r="K13738" s="1" t="str">
        <f>"2026-07-29 13:18:11"</f>
        <v>2026-07-29 13:18:11</v>
      </c>
      <c r="L13738" s="1" t="str">
        <f>"2019-11-06 15:23:04"</f>
        <v>2019-11-06 15:23:04</v>
      </c>
      <c r="M13738" s="1" t="s">
        <v>1</v>
      </c>
      <c r="N13738" s="1" t="s">
        <v>38</v>
      </c>
      <c r="O13738" s="1" t="s">
        <v>46</v>
      </c>
    </row>
    <row r="13739" spans="2:15" x14ac:dyDescent="0.3">
      <c r="B13739" s="1" t="s">
        <v>20</v>
      </c>
      <c r="C13739" s="1" t="str">
        <f>"6차"</f>
        <v>6차</v>
      </c>
      <c r="D13739" s="1" t="str">
        <f>"9925S3626S"</f>
        <v>9925S3626S</v>
      </c>
      <c r="E13739" s="1" t="s">
        <v>10</v>
      </c>
      <c r="F13739" s="1" t="str">
        <f>"fde1:103:4:c789:0:0:0:2"</f>
        <v>fde1:103:4:c789:0:0:0:2</v>
      </c>
      <c r="G13739" s="1" t="str">
        <f>"9925S362"</f>
        <v>9925S362</v>
      </c>
      <c r="H13739" s="1" t="str">
        <f>"남해간 17L7"</f>
        <v>남해간 17L7</v>
      </c>
      <c r="I13739" s="1" t="s">
        <v>15</v>
      </c>
      <c r="J13739" s="1" t="str">
        <f>"64/64"</f>
        <v>64/64</v>
      </c>
      <c r="K13739" s="1" t="str">
        <f>"2026-07-29 14:21:27"</f>
        <v>2026-07-29 14:21:27</v>
      </c>
      <c r="L13739" s="1" t="str">
        <f>"2024-11-22 15:58:48"</f>
        <v>2024-11-22 15:58:48</v>
      </c>
      <c r="M13739" s="1" t="s">
        <v>4</v>
      </c>
      <c r="N13739" s="1" t="s">
        <v>38</v>
      </c>
      <c r="O13739" s="1" t="s">
        <v>46</v>
      </c>
    </row>
    <row r="13740" spans="2:15" x14ac:dyDescent="0.3">
      <c r="B13740" s="1" t="s">
        <v>20</v>
      </c>
      <c r="C13740" s="1" t="str">
        <f>"5-2차"</f>
        <v>5-2차</v>
      </c>
      <c r="D13740" s="1" t="str">
        <f>"9925S3715S"</f>
        <v>9925S3715S</v>
      </c>
      <c r="E13740" s="1" t="s">
        <v>10</v>
      </c>
      <c r="F13740" s="1" t="str">
        <f>"fde1:103:4:59b3:0:0:0:2"</f>
        <v>fde1:103:4:59b3:0:0:0:2</v>
      </c>
      <c r="G13740" s="1" t="str">
        <f>"9925S371"</f>
        <v>9925S371</v>
      </c>
      <c r="H13740" s="1" t="str">
        <f>"동암간 7"</f>
        <v>동암간 7</v>
      </c>
      <c r="I13740" s="1" t="s">
        <v>15</v>
      </c>
      <c r="J13740" s="1" t="str">
        <f>"37/37"</f>
        <v>37/37</v>
      </c>
      <c r="K13740" s="1" t="str">
        <f>"2026-07-29 14:21:26"</f>
        <v>2026-07-29 14:21:26</v>
      </c>
      <c r="L13740" s="1" t="str">
        <f>"2023-09-12 16:52:18"</f>
        <v>2023-09-12 16:52:18</v>
      </c>
      <c r="M13740" s="1" t="s">
        <v>4</v>
      </c>
      <c r="N13740" s="1" t="s">
        <v>38</v>
      </c>
      <c r="O13740" s="1" t="s">
        <v>46</v>
      </c>
    </row>
    <row r="13741" spans="2:15" x14ac:dyDescent="0.3">
      <c r="B13741" s="1" t="s">
        <v>20</v>
      </c>
      <c r="C13741" s="1" t="str">
        <f>"5-2차"</f>
        <v>5-2차</v>
      </c>
      <c r="D13741" s="1" t="str">
        <f>"9925S4715M"</f>
        <v>9925S4715M</v>
      </c>
      <c r="E13741" s="1" t="s">
        <v>10</v>
      </c>
      <c r="F13741" s="1" t="str">
        <f>"fde3:102:1301:4501:0:0:0:2"</f>
        <v>fde3:102:1301:4501:0:0:0:2</v>
      </c>
      <c r="G13741" s="1" t="str">
        <f>"9925S471"</f>
        <v>9925S471</v>
      </c>
      <c r="H13741" s="1" t="str">
        <f>"동암간 8"</f>
        <v>동암간 8</v>
      </c>
      <c r="I13741" s="1" t="s">
        <v>15</v>
      </c>
      <c r="J13741" s="1" t="str">
        <f>"56/56"</f>
        <v>56/56</v>
      </c>
      <c r="K13741" s="1" t="str">
        <f>"2026-07-29 14:21:26"</f>
        <v>2026-07-29 14:21:26</v>
      </c>
      <c r="L13741" s="1" t="str">
        <f>"2023-11-02 17:06:43"</f>
        <v>2023-11-02 17:06:43</v>
      </c>
      <c r="M13741" s="1" t="s">
        <v>45</v>
      </c>
      <c r="N13741" s="1" t="s">
        <v>38</v>
      </c>
      <c r="O13741" s="1" t="s">
        <v>46</v>
      </c>
    </row>
    <row r="13742" spans="2:15" x14ac:dyDescent="0.3">
      <c r="B13742" s="1" t="s">
        <v>20</v>
      </c>
      <c r="C13742" s="1" t="str">
        <f>"1차"</f>
        <v>1차</v>
      </c>
      <c r="D13742" s="1" t="str">
        <f>"9925S48200"</f>
        <v>9925S48200</v>
      </c>
      <c r="E13742" s="1" t="s">
        <v>10</v>
      </c>
      <c r="F13742" s="1" t="str">
        <f>"10.125.229.226"</f>
        <v>10.125.229.226</v>
      </c>
      <c r="G13742" s="1" t="str">
        <f>"9925S482"</f>
        <v>9925S482</v>
      </c>
      <c r="H13742" s="1" t="str">
        <f>"동암간 8L1"</f>
        <v>동암간 8L1</v>
      </c>
      <c r="I13742" s="1" t="s">
        <v>8</v>
      </c>
      <c r="J13742" s="1" t="str">
        <f>"54/58"</f>
        <v>54/58</v>
      </c>
      <c r="K13742" s="1" t="str">
        <f>"2026-07-29 13:18:11"</f>
        <v>2026-07-29 13:18:11</v>
      </c>
      <c r="L13742" s="1" t="str">
        <f>"2014-11-21 17:57:29"</f>
        <v>2014-11-21 17:57:29</v>
      </c>
      <c r="M13742" s="1" t="s">
        <v>45</v>
      </c>
      <c r="N13742" s="1" t="s">
        <v>38</v>
      </c>
      <c r="O13742" s="1" t="s">
        <v>46</v>
      </c>
    </row>
    <row r="13743" spans="2:15" x14ac:dyDescent="0.3">
      <c r="B13743" s="1" t="s">
        <v>20</v>
      </c>
      <c r="C13743" s="1" t="str">
        <f>"5-2차"</f>
        <v>5-2차</v>
      </c>
      <c r="D13743" s="1" t="str">
        <f>"9925S4915S"</f>
        <v>9925S4915S</v>
      </c>
      <c r="E13743" s="1" t="s">
        <v>10</v>
      </c>
      <c r="F13743" s="1" t="str">
        <f>"fde1:103:4:58af:0:0:0:2"</f>
        <v>fde1:103:4:58af:0:0:0:2</v>
      </c>
      <c r="G13743" s="1" t="str">
        <f>"9925S491"</f>
        <v>9925S491</v>
      </c>
      <c r="H13743" s="1" t="str">
        <f>"동암간 8L2"</f>
        <v>동암간 8L2</v>
      </c>
      <c r="I13743" s="1" t="s">
        <v>15</v>
      </c>
      <c r="J13743" s="1" t="str">
        <f>"41/41"</f>
        <v>41/41</v>
      </c>
      <c r="K13743" s="1" t="str">
        <f>"2026-07-29 14:21:27"</f>
        <v>2026-07-29 14:21:27</v>
      </c>
      <c r="L13743" s="1" t="str">
        <f>"2023-09-12 16:53:41"</f>
        <v>2023-09-12 16:53:41</v>
      </c>
      <c r="M13743" s="1" t="s">
        <v>4</v>
      </c>
      <c r="N13743" s="1" t="s">
        <v>38</v>
      </c>
      <c r="O13743" s="1" t="s">
        <v>46</v>
      </c>
    </row>
    <row r="13744" spans="2:15" x14ac:dyDescent="0.3">
      <c r="B13744" s="1" t="s">
        <v>20</v>
      </c>
      <c r="C13744" s="1" t="str">
        <f>"6차"</f>
        <v>6차</v>
      </c>
      <c r="D13744" s="1" t="str">
        <f>"9925S7626S"</f>
        <v>9925S7626S</v>
      </c>
      <c r="E13744" s="1" t="s">
        <v>10</v>
      </c>
      <c r="F13744" s="1" t="str">
        <f>"fde1:103:4:c7ef:0:0:0:2"</f>
        <v>fde1:103:4:c7ef:0:0:0:2</v>
      </c>
      <c r="G13744" s="1" t="str">
        <f>"9925S762"</f>
        <v>9925S762</v>
      </c>
      <c r="H13744" s="1" t="str">
        <f>"남해간 25L2"</f>
        <v>남해간 25L2</v>
      </c>
      <c r="I13744" s="1" t="s">
        <v>15</v>
      </c>
      <c r="J13744" s="1" t="str">
        <f>"21/21"</f>
        <v>21/21</v>
      </c>
      <c r="K13744" s="1" t="str">
        <f>"2026-07-29 14:21:27"</f>
        <v>2026-07-29 14:21:27</v>
      </c>
      <c r="L13744" s="1" t="str">
        <f>"2024-11-22 15:59:39"</f>
        <v>2024-11-22 15:59:39</v>
      </c>
      <c r="M13744" s="1" t="s">
        <v>4</v>
      </c>
      <c r="N13744" s="1" t="s">
        <v>38</v>
      </c>
      <c r="O13744" s="1" t="s">
        <v>46</v>
      </c>
    </row>
    <row r="13745" spans="2:15" x14ac:dyDescent="0.3">
      <c r="B13745" s="1" t="s">
        <v>20</v>
      </c>
      <c r="C13745" s="1" t="str">
        <f>"6차"</f>
        <v>6차</v>
      </c>
      <c r="D13745" s="1" t="str">
        <f>"9925S7716S"</f>
        <v>9925S7716S</v>
      </c>
      <c r="E13745" s="1" t="s">
        <v>10</v>
      </c>
      <c r="F13745" s="1" t="str">
        <f>"fde1:103:4:c828:0:0:0:2"</f>
        <v>fde1:103:4:c828:0:0:0:2</v>
      </c>
      <c r="G13745" s="1" t="str">
        <f>"9925S771"</f>
        <v>9925S771</v>
      </c>
      <c r="H13745" s="1" t="str">
        <f>"남해간 25L3"</f>
        <v>남해간 25L3</v>
      </c>
      <c r="I13745" s="1" t="s">
        <v>15</v>
      </c>
      <c r="J13745" s="1" t="str">
        <f>"48/48"</f>
        <v>48/48</v>
      </c>
      <c r="K13745" s="1" t="str">
        <f>"2026-07-29 14:21:27"</f>
        <v>2026-07-29 14:21:27</v>
      </c>
      <c r="L13745" s="1" t="str">
        <f>"2024-11-22 16:00:43"</f>
        <v>2024-11-22 16:00:43</v>
      </c>
      <c r="M13745" s="1" t="s">
        <v>4</v>
      </c>
      <c r="N13745" s="1" t="s">
        <v>38</v>
      </c>
      <c r="O13745" s="1" t="s">
        <v>46</v>
      </c>
    </row>
    <row r="13746" spans="2:15" x14ac:dyDescent="0.3">
      <c r="B13746" s="1" t="s">
        <v>20</v>
      </c>
      <c r="C13746" s="1" t="str">
        <f>"4차"</f>
        <v>4차</v>
      </c>
      <c r="D13746" s="1" t="str">
        <f>"9925S86144"</f>
        <v>9925S86144</v>
      </c>
      <c r="E13746" s="1" t="s">
        <v>10</v>
      </c>
      <c r="F13746" s="1" t="str">
        <f>"10.10.82.130"</f>
        <v>10.10.82.130</v>
      </c>
      <c r="G13746" s="1" t="str">
        <f>"9925S861"</f>
        <v>9925S861</v>
      </c>
      <c r="H13746" s="1" t="str">
        <f>"남해간 25L5"</f>
        <v>남해간 25L5</v>
      </c>
      <c r="I13746" s="1" t="s">
        <v>8</v>
      </c>
      <c r="J13746" s="1" t="str">
        <f>"39/41"</f>
        <v>39/41</v>
      </c>
      <c r="K13746" s="1" t="str">
        <f t="shared" ref="K13746:K13755" si="696">"2026-07-29 13:18:11"</f>
        <v>2026-07-29 13:18:11</v>
      </c>
      <c r="L13746" s="1" t="str">
        <f>"2019-11-06 17:13:05"</f>
        <v>2019-11-06 17:13:05</v>
      </c>
      <c r="M13746" s="1" t="s">
        <v>1</v>
      </c>
      <c r="N13746" s="1" t="s">
        <v>38</v>
      </c>
      <c r="O13746" s="1" t="s">
        <v>46</v>
      </c>
    </row>
    <row r="13747" spans="2:15" x14ac:dyDescent="0.3">
      <c r="B13747" s="1" t="s">
        <v>20</v>
      </c>
      <c r="C13747" s="1" t="str">
        <f>"4차"</f>
        <v>4차</v>
      </c>
      <c r="D13747" s="1" t="str">
        <f>"9925S89244"</f>
        <v>9925S89244</v>
      </c>
      <c r="E13747" s="1" t="s">
        <v>10</v>
      </c>
      <c r="F13747" s="1" t="str">
        <f>"10.10.65.82"</f>
        <v>10.10.65.82</v>
      </c>
      <c r="G13747" s="1" t="str">
        <f>"9925S892"</f>
        <v>9925S892</v>
      </c>
      <c r="H13747" s="1" t="str">
        <f>"동암간 26R7L1R2"</f>
        <v>동암간 26R7L1R2</v>
      </c>
      <c r="I13747" s="1" t="s">
        <v>8</v>
      </c>
      <c r="J13747" s="1" t="str">
        <f>"23/23"</f>
        <v>23/23</v>
      </c>
      <c r="K13747" s="1" t="str">
        <f t="shared" si="696"/>
        <v>2026-07-29 13:18:11</v>
      </c>
      <c r="L13747" s="1" t="str">
        <f>"2020-01-17 14:18:04"</f>
        <v>2020-01-17 14:18:04</v>
      </c>
      <c r="M13747" s="1" t="s">
        <v>1</v>
      </c>
      <c r="N13747" s="1" t="s">
        <v>38</v>
      </c>
      <c r="O13747" s="1" t="s">
        <v>46</v>
      </c>
    </row>
    <row r="13748" spans="2:15" x14ac:dyDescent="0.3">
      <c r="B13748" s="1" t="s">
        <v>20</v>
      </c>
      <c r="C13748" s="1" t="str">
        <f>"1차"</f>
        <v>1차</v>
      </c>
      <c r="D13748" s="1" t="str">
        <f>"9925S95100"</f>
        <v>9925S95100</v>
      </c>
      <c r="E13748" s="1" t="s">
        <v>10</v>
      </c>
      <c r="F13748" s="1" t="str">
        <f>"10.125.229.138"</f>
        <v>10.125.229.138</v>
      </c>
      <c r="G13748" s="1" t="str">
        <f>"9925S951"</f>
        <v>9925S951</v>
      </c>
      <c r="H13748" s="1" t="str">
        <f>"남해간 28"</f>
        <v>남해간 28</v>
      </c>
      <c r="I13748" s="1" t="s">
        <v>8</v>
      </c>
      <c r="J13748" s="1" t="str">
        <f>"11/11"</f>
        <v>11/11</v>
      </c>
      <c r="K13748" s="1" t="str">
        <f t="shared" si="696"/>
        <v>2026-07-29 13:18:11</v>
      </c>
      <c r="L13748" s="1" t="str">
        <f>"2015-02-25 16:00:59"</f>
        <v>2015-02-25 16:00:59</v>
      </c>
      <c r="M13748" s="1" t="s">
        <v>45</v>
      </c>
      <c r="N13748" s="1" t="s">
        <v>38</v>
      </c>
      <c r="O13748" s="1" t="s">
        <v>46</v>
      </c>
    </row>
    <row r="13749" spans="2:15" x14ac:dyDescent="0.3">
      <c r="B13749" s="1" t="s">
        <v>20</v>
      </c>
      <c r="C13749" s="1" t="str">
        <f t="shared" ref="C13749:C13781" si="697">"4차"</f>
        <v>4차</v>
      </c>
      <c r="D13749" s="1" t="str">
        <f>"9925S98144"</f>
        <v>9925S98144</v>
      </c>
      <c r="E13749" s="1" t="s">
        <v>10</v>
      </c>
      <c r="F13749" s="1" t="str">
        <f>"10.10.118.178"</f>
        <v>10.10.118.178</v>
      </c>
      <c r="G13749" s="1" t="str">
        <f>"9925S981"</f>
        <v>9925S981</v>
      </c>
      <c r="H13749" s="1" t="str">
        <f>"동암간 26R7L1R3"</f>
        <v>동암간 26R7L1R3</v>
      </c>
      <c r="I13749" s="1" t="s">
        <v>8</v>
      </c>
      <c r="J13749" s="1" t="str">
        <f>"25/26"</f>
        <v>25/26</v>
      </c>
      <c r="K13749" s="1" t="str">
        <f t="shared" si="696"/>
        <v>2026-07-29 13:18:11</v>
      </c>
      <c r="L13749" s="1" t="str">
        <f>"2020-01-10 17:18:07"</f>
        <v>2020-01-10 17:18:07</v>
      </c>
      <c r="M13749" s="1" t="s">
        <v>1</v>
      </c>
      <c r="N13749" s="1" t="s">
        <v>38</v>
      </c>
      <c r="O13749" s="1" t="s">
        <v>46</v>
      </c>
    </row>
    <row r="13750" spans="2:15" x14ac:dyDescent="0.3">
      <c r="B13750" s="1" t="s">
        <v>20</v>
      </c>
      <c r="C13750" s="1" t="str">
        <f t="shared" si="697"/>
        <v>4차</v>
      </c>
      <c r="D13750" s="1" t="str">
        <f>"9925S99144"</f>
        <v>9925S99144</v>
      </c>
      <c r="E13750" s="1" t="s">
        <v>10</v>
      </c>
      <c r="F13750" s="1" t="str">
        <f>"10.10.118.186"</f>
        <v>10.10.118.186</v>
      </c>
      <c r="G13750" s="1" t="str">
        <f>"9925S991"</f>
        <v>9925S991</v>
      </c>
      <c r="H13750" s="1" t="str">
        <f>"동암간 26R7L2"</f>
        <v>동암간 26R7L2</v>
      </c>
      <c r="I13750" s="1" t="s">
        <v>8</v>
      </c>
      <c r="J13750" s="1" t="str">
        <f>"12/12"</f>
        <v>12/12</v>
      </c>
      <c r="K13750" s="1" t="str">
        <f t="shared" si="696"/>
        <v>2026-07-29 13:18:11</v>
      </c>
      <c r="L13750" s="1" t="str">
        <f>"2020-01-10 17:17:56"</f>
        <v>2020-01-10 17:17:56</v>
      </c>
      <c r="M13750" s="1" t="s">
        <v>1</v>
      </c>
      <c r="N13750" s="1" t="s">
        <v>38</v>
      </c>
      <c r="O13750" s="1" t="s">
        <v>46</v>
      </c>
    </row>
    <row r="13751" spans="2:15" x14ac:dyDescent="0.3">
      <c r="B13751" s="1" t="s">
        <v>20</v>
      </c>
      <c r="C13751" s="1" t="str">
        <f t="shared" si="697"/>
        <v>4차</v>
      </c>
      <c r="D13751" s="1" t="str">
        <f>"9925W00144"</f>
        <v>9925W00144</v>
      </c>
      <c r="E13751" s="1" t="s">
        <v>10</v>
      </c>
      <c r="F13751" s="1" t="str">
        <f>"10.10.66.74"</f>
        <v>10.10.66.74</v>
      </c>
      <c r="G13751" s="1" t="str">
        <f>"9925W001"</f>
        <v>9925W001</v>
      </c>
      <c r="H13751" s="1" t="str">
        <f>"해암지 10R1"</f>
        <v>해암지 10R1</v>
      </c>
      <c r="I13751" s="1" t="s">
        <v>8</v>
      </c>
      <c r="J13751" s="1" t="str">
        <f>"28/28"</f>
        <v>28/28</v>
      </c>
      <c r="K13751" s="1" t="str">
        <f t="shared" si="696"/>
        <v>2026-07-29 13:18:11</v>
      </c>
      <c r="L13751" s="1" t="str">
        <f>"2019-12-24 16:41:42"</f>
        <v>2019-12-24 16:41:42</v>
      </c>
      <c r="M13751" s="1" t="s">
        <v>1</v>
      </c>
      <c r="N13751" s="1" t="s">
        <v>38</v>
      </c>
      <c r="O13751" s="1" t="s">
        <v>46</v>
      </c>
    </row>
    <row r="13752" spans="2:15" x14ac:dyDescent="0.3">
      <c r="B13752" s="1" t="s">
        <v>20</v>
      </c>
      <c r="C13752" s="1" t="str">
        <f t="shared" si="697"/>
        <v>4차</v>
      </c>
      <c r="D13752" s="1" t="str">
        <f>"9925W01144"</f>
        <v>9925W01144</v>
      </c>
      <c r="E13752" s="1" t="s">
        <v>10</v>
      </c>
      <c r="F13752" s="1" t="str">
        <f>"10.10.118.242"</f>
        <v>10.10.118.242</v>
      </c>
      <c r="G13752" s="1" t="str">
        <f>"9925W011"</f>
        <v>9925W011</v>
      </c>
      <c r="H13752" s="1" t="str">
        <f>"해암지 11"</f>
        <v>해암지 11</v>
      </c>
      <c r="I13752" s="1" t="s">
        <v>8</v>
      </c>
      <c r="J13752" s="1" t="str">
        <f>"26/26"</f>
        <v>26/26</v>
      </c>
      <c r="K13752" s="1" t="str">
        <f t="shared" si="696"/>
        <v>2026-07-29 13:18:11</v>
      </c>
      <c r="L13752" s="1" t="str">
        <f>"2019-12-24 16:42:44"</f>
        <v>2019-12-24 16:42:44</v>
      </c>
      <c r="M13752" s="1" t="s">
        <v>1</v>
      </c>
      <c r="N13752" s="1" t="s">
        <v>38</v>
      </c>
      <c r="O13752" s="1" t="s">
        <v>46</v>
      </c>
    </row>
    <row r="13753" spans="2:15" x14ac:dyDescent="0.3">
      <c r="B13753" s="1" t="s">
        <v>20</v>
      </c>
      <c r="C13753" s="1" t="str">
        <f t="shared" si="697"/>
        <v>4차</v>
      </c>
      <c r="D13753" s="1" t="str">
        <f>"9925W04241"</f>
        <v>9925W04241</v>
      </c>
      <c r="E13753" s="1" t="s">
        <v>10</v>
      </c>
      <c r="F13753" s="1" t="str">
        <f>"10.14.10.108"</f>
        <v>10.14.10.108</v>
      </c>
      <c r="G13753" s="1" t="str">
        <f>"9925W042"</f>
        <v>9925W042</v>
      </c>
      <c r="H13753" s="1" t="str">
        <f>"해암지 17AL4"</f>
        <v>해암지 17AL4</v>
      </c>
      <c r="I13753" s="1" t="s">
        <v>17</v>
      </c>
      <c r="J13753" s="1" t="str">
        <f>"27/27"</f>
        <v>27/27</v>
      </c>
      <c r="K13753" s="1" t="str">
        <f t="shared" si="696"/>
        <v>2026-07-29 13:18:11</v>
      </c>
      <c r="L13753" s="1" t="str">
        <f>"2021-08-11 06:55:40"</f>
        <v>2021-08-11 06:55:40</v>
      </c>
      <c r="M13753" s="1" t="s">
        <v>3</v>
      </c>
      <c r="N13753" s="1" t="s">
        <v>38</v>
      </c>
      <c r="O13753" s="1" t="s">
        <v>46</v>
      </c>
    </row>
    <row r="13754" spans="2:15" x14ac:dyDescent="0.3">
      <c r="B13754" s="1" t="s">
        <v>20</v>
      </c>
      <c r="C13754" s="1" t="str">
        <f t="shared" si="697"/>
        <v>4차</v>
      </c>
      <c r="D13754" s="1" t="str">
        <f>"9925W06244"</f>
        <v>9925W06244</v>
      </c>
      <c r="E13754" s="1" t="s">
        <v>10</v>
      </c>
      <c r="F13754" s="1" t="str">
        <f>"10.10.138.26"</f>
        <v>10.10.138.26</v>
      </c>
      <c r="G13754" s="1" t="str">
        <f>"9925W062"</f>
        <v>9925W062</v>
      </c>
      <c r="H13754" s="1" t="str">
        <f>"해암지 9L6R4"</f>
        <v>해암지 9L6R4</v>
      </c>
      <c r="I13754" s="1" t="s">
        <v>8</v>
      </c>
      <c r="J13754" s="1" t="str">
        <f>"53/54"</f>
        <v>53/54</v>
      </c>
      <c r="K13754" s="1" t="str">
        <f t="shared" si="696"/>
        <v>2026-07-29 13:18:11</v>
      </c>
      <c r="L13754" s="1" t="str">
        <f>"2020-01-21 16:49:07"</f>
        <v>2020-01-21 16:49:07</v>
      </c>
      <c r="M13754" s="1" t="s">
        <v>1</v>
      </c>
      <c r="N13754" s="1" t="s">
        <v>38</v>
      </c>
      <c r="O13754" s="1" t="s">
        <v>46</v>
      </c>
    </row>
    <row r="13755" spans="2:15" x14ac:dyDescent="0.3">
      <c r="B13755" s="1" t="s">
        <v>20</v>
      </c>
      <c r="C13755" s="1" t="str">
        <f t="shared" si="697"/>
        <v>4차</v>
      </c>
      <c r="D13755" s="1" t="str">
        <f>"9925W08144"</f>
        <v>9925W08144</v>
      </c>
      <c r="E13755" s="1" t="s">
        <v>10</v>
      </c>
      <c r="F13755" s="1" t="str">
        <f>"10.10.136.202"</f>
        <v>10.10.136.202</v>
      </c>
      <c r="G13755" s="1" t="str">
        <f>"9925W081"</f>
        <v>9925W081</v>
      </c>
      <c r="H13755" s="1" t="str">
        <f>"해암지 9L12"</f>
        <v>해암지 9L12</v>
      </c>
      <c r="I13755" s="1" t="s">
        <v>8</v>
      </c>
      <c r="J13755" s="1" t="str">
        <f>"36/40"</f>
        <v>36/40</v>
      </c>
      <c r="K13755" s="1" t="str">
        <f t="shared" si="696"/>
        <v>2026-07-29 13:18:11</v>
      </c>
      <c r="L13755" s="1" t="str">
        <f>"2020-01-21 16:44:45"</f>
        <v>2020-01-21 16:44:45</v>
      </c>
      <c r="M13755" s="1" t="s">
        <v>1</v>
      </c>
      <c r="N13755" s="1" t="s">
        <v>38</v>
      </c>
      <c r="O13755" s="1" t="s">
        <v>46</v>
      </c>
    </row>
    <row r="13756" spans="2:15" x14ac:dyDescent="0.3">
      <c r="B13756" s="1" t="s">
        <v>20</v>
      </c>
      <c r="C13756" s="1" t="str">
        <f t="shared" si="697"/>
        <v>4차</v>
      </c>
      <c r="D13756" s="1" t="str">
        <f>"9925W09144"</f>
        <v>9925W09144</v>
      </c>
      <c r="E13756" s="1" t="s">
        <v>10</v>
      </c>
      <c r="F13756" s="1" t="str">
        <f>"10.14.8.66"</f>
        <v>10.14.8.66</v>
      </c>
      <c r="G13756" s="1" t="str">
        <f>"9925W091"</f>
        <v>9925W091</v>
      </c>
      <c r="H13756" s="1" t="str">
        <f>"해암지 9L13L1"</f>
        <v>해암지 9L13L1</v>
      </c>
      <c r="I13756" s="1" t="s">
        <v>8</v>
      </c>
      <c r="J13756" s="1" t="str">
        <f>"2/2"</f>
        <v>2/2</v>
      </c>
      <c r="K13756" s="1" t="str">
        <f>"2026-07-29 13:18:12"</f>
        <v>2026-07-29 13:18:12</v>
      </c>
      <c r="L13756" s="1" t="str">
        <f>"2021-08-17 10:23:02"</f>
        <v>2021-08-17 10:23:02</v>
      </c>
      <c r="M13756" s="1" t="s">
        <v>3</v>
      </c>
      <c r="N13756" s="1" t="s">
        <v>38</v>
      </c>
      <c r="O13756" s="1" t="s">
        <v>46</v>
      </c>
    </row>
    <row r="13757" spans="2:15" x14ac:dyDescent="0.3">
      <c r="B13757" s="1" t="s">
        <v>20</v>
      </c>
      <c r="C13757" s="1" t="str">
        <f t="shared" si="697"/>
        <v>4차</v>
      </c>
      <c r="D13757" s="1" t="str">
        <f>"9925W11241"</f>
        <v>9925W11241</v>
      </c>
      <c r="E13757" s="1" t="s">
        <v>10</v>
      </c>
      <c r="F13757" s="1" t="str">
        <f>"10.14.8.179"</f>
        <v>10.14.8.179</v>
      </c>
      <c r="G13757" s="1" t="str">
        <f>"9925W112"</f>
        <v>9925W112</v>
      </c>
      <c r="H13757" s="1" t="str">
        <f>"해암지 13"</f>
        <v>해암지 13</v>
      </c>
      <c r="I13757" s="1" t="s">
        <v>17</v>
      </c>
      <c r="J13757" s="1" t="str">
        <f>"1/7"</f>
        <v>1/7</v>
      </c>
      <c r="K13757" s="1" t="str">
        <f>"2026-07-29 13:18:12"</f>
        <v>2026-07-29 13:18:12</v>
      </c>
      <c r="L13757" s="1" t="str">
        <f>"2021-07-15 16:20:21"</f>
        <v>2021-07-15 16:20:21</v>
      </c>
      <c r="M13757" s="1" t="s">
        <v>3</v>
      </c>
      <c r="N13757" s="1" t="s">
        <v>38</v>
      </c>
      <c r="O13757" s="1" t="s">
        <v>46</v>
      </c>
    </row>
    <row r="13758" spans="2:15" x14ac:dyDescent="0.3">
      <c r="B13758" s="1" t="s">
        <v>20</v>
      </c>
      <c r="C13758" s="1" t="str">
        <f t="shared" si="697"/>
        <v>4차</v>
      </c>
      <c r="D13758" s="1" t="str">
        <f>"9925W12239"</f>
        <v>9925W12239</v>
      </c>
      <c r="E13758" s="1" t="s">
        <v>10</v>
      </c>
      <c r="F13758" s="1" t="str">
        <f>"10.125.239.34"</f>
        <v>10.125.239.34</v>
      </c>
      <c r="G13758" s="1" t="str">
        <f>"9925W122"</f>
        <v>9925W122</v>
      </c>
      <c r="H13758" s="1" t="str">
        <f>"해암지 15L2"</f>
        <v>해암지 15L2</v>
      </c>
      <c r="I13758" s="1" t="s">
        <v>8</v>
      </c>
      <c r="J13758" s="1" t="str">
        <f>"20/20"</f>
        <v>20/20</v>
      </c>
      <c r="K13758" s="1" t="str">
        <f>"2026-07-28 20:03:17"</f>
        <v>2026-07-28 20:03:17</v>
      </c>
      <c r="L13758" s="1" t="str">
        <f>"2018-04-26 15:55:00"</f>
        <v>2018-04-26 15:55:00</v>
      </c>
      <c r="M13758" s="1" t="s">
        <v>45</v>
      </c>
      <c r="N13758" s="1" t="s">
        <v>38</v>
      </c>
      <c r="O13758" s="1" t="s">
        <v>46</v>
      </c>
    </row>
    <row r="13759" spans="2:15" x14ac:dyDescent="0.3">
      <c r="B13759" s="1" t="s">
        <v>20</v>
      </c>
      <c r="C13759" s="1" t="str">
        <f t="shared" si="697"/>
        <v>4차</v>
      </c>
      <c r="D13759" s="1" t="str">
        <f>"9925W14241"</f>
        <v>9925W14241</v>
      </c>
      <c r="E13759" s="1" t="s">
        <v>10</v>
      </c>
      <c r="F13759" s="1" t="str">
        <f>"10.14.11.108"</f>
        <v>10.14.11.108</v>
      </c>
      <c r="G13759" s="1" t="str">
        <f>"9925W142"</f>
        <v>9925W142</v>
      </c>
      <c r="H13759" s="1" t="str">
        <f>"해암지 17AL2R1"</f>
        <v>해암지 17AL2R1</v>
      </c>
      <c r="I13759" s="1" t="s">
        <v>17</v>
      </c>
      <c r="J13759" s="1" t="str">
        <f>"22/26"</f>
        <v>22/26</v>
      </c>
      <c r="K13759" s="1" t="str">
        <f>"2026-07-29 13:18:12"</f>
        <v>2026-07-29 13:18:12</v>
      </c>
      <c r="L13759" s="1" t="str">
        <f>"2021-08-11 07:35:39"</f>
        <v>2021-08-11 07:35:39</v>
      </c>
      <c r="M13759" s="1" t="s">
        <v>3</v>
      </c>
      <c r="N13759" s="1" t="s">
        <v>38</v>
      </c>
      <c r="O13759" s="1" t="s">
        <v>46</v>
      </c>
    </row>
    <row r="13760" spans="2:15" x14ac:dyDescent="0.3">
      <c r="B13760" s="1" t="s">
        <v>20</v>
      </c>
      <c r="C13760" s="1" t="str">
        <f t="shared" si="697"/>
        <v>4차</v>
      </c>
      <c r="D13760" s="1" t="str">
        <f>"9925W15141"</f>
        <v>9925W15141</v>
      </c>
      <c r="E13760" s="1" t="s">
        <v>10</v>
      </c>
      <c r="F13760" s="1" t="str">
        <f>"10.14.9.179"</f>
        <v>10.14.9.179</v>
      </c>
      <c r="G13760" s="1" t="str">
        <f>"9925W151"</f>
        <v>9925W151</v>
      </c>
      <c r="H13760" s="1" t="str">
        <f>"해암지 17AL1R3"</f>
        <v>해암지 17AL1R3</v>
      </c>
      <c r="I13760" s="1" t="s">
        <v>17</v>
      </c>
      <c r="J13760" s="1" t="str">
        <f>"15/15"</f>
        <v>15/15</v>
      </c>
      <c r="K13760" s="1" t="str">
        <f>"2026-07-29 13:18:12"</f>
        <v>2026-07-29 13:18:12</v>
      </c>
      <c r="L13760" s="1" t="str">
        <f>"2021-08-11 11:41:31"</f>
        <v>2021-08-11 11:41:31</v>
      </c>
      <c r="M13760" s="1" t="s">
        <v>3</v>
      </c>
      <c r="N13760" s="1" t="s">
        <v>38</v>
      </c>
      <c r="O13760" s="1" t="s">
        <v>46</v>
      </c>
    </row>
    <row r="13761" spans="2:15" x14ac:dyDescent="0.3">
      <c r="B13761" s="1" t="s">
        <v>20</v>
      </c>
      <c r="C13761" s="1" t="str">
        <f t="shared" si="697"/>
        <v>4차</v>
      </c>
      <c r="D13761" s="1" t="str">
        <f>"9925W15241"</f>
        <v>9925W15241</v>
      </c>
      <c r="E13761" s="1" t="s">
        <v>10</v>
      </c>
      <c r="F13761" s="1" t="str">
        <f>"10.14.10.180"</f>
        <v>10.14.10.180</v>
      </c>
      <c r="G13761" s="1" t="str">
        <f>"9925W152"</f>
        <v>9925W152</v>
      </c>
      <c r="H13761" s="1" t="str">
        <f>"해암지 17AL1R2"</f>
        <v>해암지 17AL1R2</v>
      </c>
      <c r="I13761" s="1" t="s">
        <v>17</v>
      </c>
      <c r="J13761" s="1" t="str">
        <f>"12/24"</f>
        <v>12/24</v>
      </c>
      <c r="K13761" s="1" t="str">
        <f>"2026-07-29 13:18:14"</f>
        <v>2026-07-29 13:18:14</v>
      </c>
      <c r="L13761" s="1" t="str">
        <f>"2021-08-11 10:54:48"</f>
        <v>2021-08-11 10:54:48</v>
      </c>
      <c r="M13761" s="1" t="s">
        <v>3</v>
      </c>
      <c r="N13761" s="1" t="s">
        <v>38</v>
      </c>
      <c r="O13761" s="1" t="s">
        <v>46</v>
      </c>
    </row>
    <row r="13762" spans="2:15" x14ac:dyDescent="0.3">
      <c r="B13762" s="1" t="s">
        <v>20</v>
      </c>
      <c r="C13762" s="1" t="str">
        <f t="shared" si="697"/>
        <v>4차</v>
      </c>
      <c r="D13762" s="1" t="str">
        <f>"9925W16144"</f>
        <v>9925W16144</v>
      </c>
      <c r="E13762" s="1" t="s">
        <v>10</v>
      </c>
      <c r="F13762" s="1" t="str">
        <f>"10.10.138.42"</f>
        <v>10.10.138.42</v>
      </c>
      <c r="G13762" s="1" t="str">
        <f>"9925W161"</f>
        <v>9925W161</v>
      </c>
      <c r="H13762" s="1" t="str">
        <f>"해암지 9L6R5"</f>
        <v>해암지 9L6R5</v>
      </c>
      <c r="I13762" s="1" t="s">
        <v>8</v>
      </c>
      <c r="J13762" s="1" t="str">
        <f>"37/37"</f>
        <v>37/37</v>
      </c>
      <c r="K13762" s="1" t="str">
        <f>"2026-07-29 13:18:11"</f>
        <v>2026-07-29 13:18:11</v>
      </c>
      <c r="L13762" s="1" t="str">
        <f>"2020-01-21 16:44:12"</f>
        <v>2020-01-21 16:44:12</v>
      </c>
      <c r="M13762" s="1" t="s">
        <v>1</v>
      </c>
      <c r="N13762" s="1" t="s">
        <v>38</v>
      </c>
      <c r="O13762" s="1" t="s">
        <v>46</v>
      </c>
    </row>
    <row r="13763" spans="2:15" x14ac:dyDescent="0.3">
      <c r="B13763" s="1" t="s">
        <v>20</v>
      </c>
      <c r="C13763" s="1" t="str">
        <f t="shared" si="697"/>
        <v>4차</v>
      </c>
      <c r="D13763" s="1" t="str">
        <f>"9925W18244"</f>
        <v>9925W18244</v>
      </c>
      <c r="E13763" s="1" t="s">
        <v>10</v>
      </c>
      <c r="F13763" s="1" t="str">
        <f>"10.10.138.50"</f>
        <v>10.10.138.50</v>
      </c>
      <c r="G13763" s="1" t="str">
        <f>"9925W182"</f>
        <v>9925W182</v>
      </c>
      <c r="H13763" s="1" t="str">
        <f>"해암지 9L13R1"</f>
        <v>해암지 9L13R1</v>
      </c>
      <c r="I13763" s="1" t="s">
        <v>8</v>
      </c>
      <c r="J13763" s="1" t="str">
        <f>"38/38"</f>
        <v>38/38</v>
      </c>
      <c r="K13763" s="1" t="str">
        <f>"2026-07-29 13:18:11"</f>
        <v>2026-07-29 13:18:11</v>
      </c>
      <c r="L13763" s="1" t="str">
        <f>"2020-01-21 16:49:00"</f>
        <v>2020-01-21 16:49:00</v>
      </c>
      <c r="M13763" s="1" t="s">
        <v>1</v>
      </c>
      <c r="N13763" s="1" t="s">
        <v>38</v>
      </c>
      <c r="O13763" s="1" t="s">
        <v>46</v>
      </c>
    </row>
    <row r="13764" spans="2:15" x14ac:dyDescent="0.3">
      <c r="B13764" s="1" t="s">
        <v>20</v>
      </c>
      <c r="C13764" s="1" t="str">
        <f t="shared" si="697"/>
        <v>4차</v>
      </c>
      <c r="D13764" s="1" t="str">
        <f>"9925W20244"</f>
        <v>9925W20244</v>
      </c>
      <c r="E13764" s="1" t="s">
        <v>10</v>
      </c>
      <c r="F13764" s="1" t="str">
        <f>"10.10.66.218"</f>
        <v>10.10.66.218</v>
      </c>
      <c r="G13764" s="1" t="str">
        <f>"9925W202"</f>
        <v>9925W202</v>
      </c>
      <c r="H13764" s="1" t="str">
        <f>"해암지 22R6R1"</f>
        <v>해암지 22R6R1</v>
      </c>
      <c r="I13764" s="1" t="s">
        <v>8</v>
      </c>
      <c r="J13764" s="1" t="str">
        <f>"21/21"</f>
        <v>21/21</v>
      </c>
      <c r="K13764" s="1" t="str">
        <f>"2026-07-29 13:18:11"</f>
        <v>2026-07-29 13:18:11</v>
      </c>
      <c r="L13764" s="1" t="str">
        <f>"2019-12-24 16:49:20"</f>
        <v>2019-12-24 16:49:20</v>
      </c>
      <c r="M13764" s="1" t="s">
        <v>1</v>
      </c>
      <c r="N13764" s="1" t="s">
        <v>38</v>
      </c>
      <c r="O13764" s="1" t="s">
        <v>46</v>
      </c>
    </row>
    <row r="13765" spans="2:15" x14ac:dyDescent="0.3">
      <c r="B13765" s="1" t="s">
        <v>20</v>
      </c>
      <c r="C13765" s="1" t="str">
        <f t="shared" si="697"/>
        <v>4차</v>
      </c>
      <c r="D13765" s="1" t="str">
        <f>"9925W21144"</f>
        <v>9925W21144</v>
      </c>
      <c r="E13765" s="1" t="s">
        <v>10</v>
      </c>
      <c r="F13765" s="1" t="str">
        <f>"10.10.119.10"</f>
        <v>10.10.119.10</v>
      </c>
      <c r="G13765" s="1" t="str">
        <f>"9925W211"</f>
        <v>9925W211</v>
      </c>
      <c r="H13765" s="1" t="str">
        <f>"해암지 13R2"</f>
        <v>해암지 13R2</v>
      </c>
      <c r="I13765" s="1" t="s">
        <v>8</v>
      </c>
      <c r="J13765" s="1" t="str">
        <f>"18/18"</f>
        <v>18/18</v>
      </c>
      <c r="K13765" s="1" t="str">
        <f>"2026-07-29 13:18:11"</f>
        <v>2026-07-29 13:18:11</v>
      </c>
      <c r="L13765" s="1" t="str">
        <f>"2019-12-24 16:41:58"</f>
        <v>2019-12-24 16:41:58</v>
      </c>
      <c r="M13765" s="1" t="s">
        <v>1</v>
      </c>
      <c r="N13765" s="1" t="s">
        <v>38</v>
      </c>
      <c r="O13765" s="1" t="s">
        <v>46</v>
      </c>
    </row>
    <row r="13766" spans="2:15" x14ac:dyDescent="0.3">
      <c r="B13766" s="1" t="s">
        <v>20</v>
      </c>
      <c r="C13766" s="1" t="str">
        <f t="shared" si="697"/>
        <v>4차</v>
      </c>
      <c r="D13766" s="1" t="str">
        <f>"9925W22541"</f>
        <v>9925W22541</v>
      </c>
      <c r="E13766" s="1" t="s">
        <v>10</v>
      </c>
      <c r="F13766" s="1" t="str">
        <f>"10.14.13.47"</f>
        <v>10.14.13.47</v>
      </c>
      <c r="G13766" s="1" t="str">
        <f>"9925W225"</f>
        <v>9925W225</v>
      </c>
      <c r="H13766" s="1" t="str">
        <f>"해암지 15"</f>
        <v>해암지 15</v>
      </c>
      <c r="I13766" s="1" t="s">
        <v>17</v>
      </c>
      <c r="J13766" s="1" t="str">
        <f>"55/55"</f>
        <v>55/55</v>
      </c>
      <c r="K13766" s="1" t="str">
        <f>"2026-07-29 13:18:12"</f>
        <v>2026-07-29 13:18:12</v>
      </c>
      <c r="L13766" s="1" t="str">
        <f>"2021-08-11 09:11:05"</f>
        <v>2021-08-11 09:11:05</v>
      </c>
      <c r="M13766" s="1" t="s">
        <v>3</v>
      </c>
      <c r="N13766" s="1" t="s">
        <v>38</v>
      </c>
      <c r="O13766" s="1" t="s">
        <v>46</v>
      </c>
    </row>
    <row r="13767" spans="2:15" x14ac:dyDescent="0.3">
      <c r="B13767" s="1" t="s">
        <v>20</v>
      </c>
      <c r="C13767" s="1" t="str">
        <f t="shared" si="697"/>
        <v>4차</v>
      </c>
      <c r="D13767" s="1" t="str">
        <f>"9925W23441"</f>
        <v>9925W23441</v>
      </c>
      <c r="E13767" s="1" t="s">
        <v>10</v>
      </c>
      <c r="F13767" s="1" t="str">
        <f>"10.14.7.130"</f>
        <v>10.14.7.130</v>
      </c>
      <c r="G13767" s="1" t="str">
        <f>"9925W234"</f>
        <v>9925W234</v>
      </c>
      <c r="H13767" s="1" t="str">
        <f>"해암지 17L1"</f>
        <v>해암지 17L1</v>
      </c>
      <c r="I13767" s="1" t="s">
        <v>17</v>
      </c>
      <c r="J13767" s="1" t="str">
        <f>"24/29"</f>
        <v>24/29</v>
      </c>
      <c r="K13767" s="1" t="str">
        <f>"2026-07-29 13:18:12"</f>
        <v>2026-07-29 13:18:12</v>
      </c>
      <c r="L13767" s="1" t="str">
        <f>"2023-01-27 15:17:09"</f>
        <v>2023-01-27 15:17:09</v>
      </c>
      <c r="M13767" s="1" t="s">
        <v>3</v>
      </c>
      <c r="N13767" s="1" t="s">
        <v>38</v>
      </c>
      <c r="O13767" s="1" t="s">
        <v>46</v>
      </c>
    </row>
    <row r="13768" spans="2:15" x14ac:dyDescent="0.3">
      <c r="B13768" s="1" t="s">
        <v>20</v>
      </c>
      <c r="C13768" s="1" t="str">
        <f t="shared" si="697"/>
        <v>4차</v>
      </c>
      <c r="D13768" s="1" t="str">
        <f>"9925W25141"</f>
        <v>9925W25141</v>
      </c>
      <c r="E13768" s="1" t="s">
        <v>10</v>
      </c>
      <c r="F13768" s="1" t="str">
        <f>"10.14.5.182"</f>
        <v>10.14.5.182</v>
      </c>
      <c r="G13768" s="1" t="str">
        <f>"9925W251"</f>
        <v>9925W251</v>
      </c>
      <c r="H13768" s="1" t="str">
        <f>"해암지 17AL1R1R1"</f>
        <v>해암지 17AL1R1R1</v>
      </c>
      <c r="I13768" s="1" t="s">
        <v>17</v>
      </c>
      <c r="J13768" s="1" t="str">
        <f>"33/33"</f>
        <v>33/33</v>
      </c>
      <c r="K13768" s="1" t="str">
        <f>"2026-07-29 13:18:12"</f>
        <v>2026-07-29 13:18:12</v>
      </c>
      <c r="L13768" s="1" t="str">
        <f>"2021-08-11 13:13:28"</f>
        <v>2021-08-11 13:13:28</v>
      </c>
      <c r="M13768" s="1" t="s">
        <v>3</v>
      </c>
      <c r="N13768" s="1" t="s">
        <v>38</v>
      </c>
      <c r="O13768" s="1" t="s">
        <v>46</v>
      </c>
    </row>
    <row r="13769" spans="2:15" x14ac:dyDescent="0.3">
      <c r="B13769" s="1" t="s">
        <v>20</v>
      </c>
      <c r="C13769" s="1" t="str">
        <f t="shared" si="697"/>
        <v>4차</v>
      </c>
      <c r="D13769" s="1" t="str">
        <f>"9925W26644"</f>
        <v>9925W26644</v>
      </c>
      <c r="E13769" s="1" t="s">
        <v>10</v>
      </c>
      <c r="F13769" s="1" t="str">
        <f>"10.10.67.130"</f>
        <v>10.10.67.130</v>
      </c>
      <c r="G13769" s="1" t="str">
        <f>"9925W266"</f>
        <v>9925W266</v>
      </c>
      <c r="H13769" s="1" t="str">
        <f>"해암지 9L25R5"</f>
        <v>해암지 9L25R5</v>
      </c>
      <c r="I13769" s="1" t="s">
        <v>8</v>
      </c>
      <c r="J13769" s="1" t="str">
        <f>"32/33"</f>
        <v>32/33</v>
      </c>
      <c r="K13769" s="1" t="str">
        <f>"2026-07-29 13:18:11"</f>
        <v>2026-07-29 13:18:11</v>
      </c>
      <c r="L13769" s="1" t="str">
        <f>"2019-12-24 16:47:09"</f>
        <v>2019-12-24 16:47:09</v>
      </c>
      <c r="M13769" s="1" t="s">
        <v>1</v>
      </c>
      <c r="N13769" s="1" t="s">
        <v>38</v>
      </c>
      <c r="O13769" s="1" t="s">
        <v>46</v>
      </c>
    </row>
    <row r="13770" spans="2:15" x14ac:dyDescent="0.3">
      <c r="B13770" s="1" t="s">
        <v>20</v>
      </c>
      <c r="C13770" s="1" t="str">
        <f t="shared" si="697"/>
        <v>4차</v>
      </c>
      <c r="D13770" s="1" t="str">
        <f>"9925W27144"</f>
        <v>9925W27144</v>
      </c>
      <c r="E13770" s="1" t="s">
        <v>10</v>
      </c>
      <c r="F13770" s="1" t="str">
        <f>"10.10.136.210"</f>
        <v>10.10.136.210</v>
      </c>
      <c r="G13770" s="1" t="str">
        <f>"9925W271"</f>
        <v>9925W271</v>
      </c>
      <c r="H13770" s="1" t="str">
        <f>"해암지 9L25R4R1"</f>
        <v>해암지 9L25R4R1</v>
      </c>
      <c r="I13770" s="1" t="s">
        <v>8</v>
      </c>
      <c r="J13770" s="1" t="str">
        <f>"27/27"</f>
        <v>27/27</v>
      </c>
      <c r="K13770" s="1" t="str">
        <f>"2026-07-29 13:18:11"</f>
        <v>2026-07-29 13:18:11</v>
      </c>
      <c r="L13770" s="1" t="str">
        <f>"2020-01-21 16:45:39"</f>
        <v>2020-01-21 16:45:39</v>
      </c>
      <c r="M13770" s="1" t="s">
        <v>1</v>
      </c>
      <c r="N13770" s="1" t="s">
        <v>38</v>
      </c>
      <c r="O13770" s="1" t="s">
        <v>46</v>
      </c>
    </row>
    <row r="13771" spans="2:15" x14ac:dyDescent="0.3">
      <c r="B13771" s="1" t="s">
        <v>20</v>
      </c>
      <c r="C13771" s="1" t="str">
        <f t="shared" si="697"/>
        <v>4차</v>
      </c>
      <c r="D13771" s="1" t="str">
        <f>"9925W28144"</f>
        <v>9925W28144</v>
      </c>
      <c r="E13771" s="1" t="s">
        <v>10</v>
      </c>
      <c r="F13771" s="1" t="str">
        <f>"10.10.136.218"</f>
        <v>10.10.136.218</v>
      </c>
      <c r="G13771" s="1" t="str">
        <f>"9925W281"</f>
        <v>9925W281</v>
      </c>
      <c r="H13771" s="1" t="str">
        <f>"해암지 9L15"</f>
        <v>해암지 9L15</v>
      </c>
      <c r="I13771" s="1" t="s">
        <v>8</v>
      </c>
      <c r="J13771" s="1" t="str">
        <f>"14/14"</f>
        <v>14/14</v>
      </c>
      <c r="K13771" s="1" t="str">
        <f>"2026-07-29 13:18:11"</f>
        <v>2026-07-29 13:18:11</v>
      </c>
      <c r="L13771" s="1" t="str">
        <f>"2020-01-21 16:47:10"</f>
        <v>2020-01-21 16:47:10</v>
      </c>
      <c r="M13771" s="1" t="s">
        <v>1</v>
      </c>
      <c r="N13771" s="1" t="s">
        <v>38</v>
      </c>
      <c r="O13771" s="1" t="s">
        <v>46</v>
      </c>
    </row>
    <row r="13772" spans="2:15" x14ac:dyDescent="0.3">
      <c r="B13772" s="1" t="s">
        <v>20</v>
      </c>
      <c r="C13772" s="1" t="str">
        <f t="shared" si="697"/>
        <v>4차</v>
      </c>
      <c r="D13772" s="1" t="str">
        <f>"9925W28344"</f>
        <v>9925W28344</v>
      </c>
      <c r="E13772" s="1" t="s">
        <v>10</v>
      </c>
      <c r="F13772" s="1" t="str">
        <f>"10.10.138.58"</f>
        <v>10.10.138.58</v>
      </c>
      <c r="G13772" s="1" t="str">
        <f>"9925W283"</f>
        <v>9925W283</v>
      </c>
      <c r="H13772" s="1" t="str">
        <f>"해암지 9L23"</f>
        <v>해암지 9L23</v>
      </c>
      <c r="I13772" s="1" t="s">
        <v>8</v>
      </c>
      <c r="J13772" s="1" t="str">
        <f>"29/34"</f>
        <v>29/34</v>
      </c>
      <c r="K13772" s="1" t="str">
        <f>"2026-07-29 13:18:11"</f>
        <v>2026-07-29 13:18:11</v>
      </c>
      <c r="L13772" s="1" t="str">
        <f>"2020-01-21 16:48:24"</f>
        <v>2020-01-21 16:48:24</v>
      </c>
      <c r="M13772" s="1" t="s">
        <v>1</v>
      </c>
      <c r="N13772" s="1" t="s">
        <v>38</v>
      </c>
      <c r="O13772" s="1" t="s">
        <v>46</v>
      </c>
    </row>
    <row r="13773" spans="2:15" x14ac:dyDescent="0.3">
      <c r="B13773" s="1" t="s">
        <v>20</v>
      </c>
      <c r="C13773" s="1" t="str">
        <f t="shared" si="697"/>
        <v>4차</v>
      </c>
      <c r="D13773" s="1" t="str">
        <f>"9925W32141"</f>
        <v>9925W32141</v>
      </c>
      <c r="E13773" s="1" t="s">
        <v>10</v>
      </c>
      <c r="F13773" s="1" t="str">
        <f>"10.14.6.182"</f>
        <v>10.14.6.182</v>
      </c>
      <c r="G13773" s="1" t="str">
        <f>"9925W321"</f>
        <v>9925W321</v>
      </c>
      <c r="H13773" s="1" t="str">
        <f>"해암지 13R4"</f>
        <v>해암지 13R4</v>
      </c>
      <c r="I13773" s="1" t="s">
        <v>17</v>
      </c>
      <c r="J13773" s="1" t="str">
        <f>"28/37"</f>
        <v>28/37</v>
      </c>
      <c r="K13773" s="1" t="str">
        <f>"2026-07-29 01:18:12"</f>
        <v>2026-07-29 01:18:12</v>
      </c>
      <c r="L13773" s="1" t="str">
        <f>"2021-08-11 10:22:30"</f>
        <v>2021-08-11 10:22:30</v>
      </c>
      <c r="M13773" s="1" t="s">
        <v>3</v>
      </c>
      <c r="N13773" s="1" t="s">
        <v>38</v>
      </c>
      <c r="O13773" s="1" t="s">
        <v>46</v>
      </c>
    </row>
    <row r="13774" spans="2:15" x14ac:dyDescent="0.3">
      <c r="B13774" s="1" t="s">
        <v>20</v>
      </c>
      <c r="C13774" s="1" t="str">
        <f t="shared" si="697"/>
        <v>4차</v>
      </c>
      <c r="D13774" s="1" t="str">
        <f>"9925W33241"</f>
        <v>9925W33241</v>
      </c>
      <c r="E13774" s="1" t="s">
        <v>10</v>
      </c>
      <c r="F13774" s="1" t="str">
        <f>"10.14.2.50"</f>
        <v>10.14.2.50</v>
      </c>
      <c r="G13774" s="1" t="str">
        <f>"9925W332"</f>
        <v>9925W332</v>
      </c>
      <c r="H13774" s="1" t="str">
        <f>"해암지 19"</f>
        <v>해암지 19</v>
      </c>
      <c r="I13774" s="1" t="s">
        <v>17</v>
      </c>
      <c r="J13774" s="1" t="str">
        <f>"61/68"</f>
        <v>61/68</v>
      </c>
      <c r="K13774" s="1" t="str">
        <f t="shared" ref="K13774:K13781" si="698">"2026-07-29 13:18:11"</f>
        <v>2026-07-29 13:18:11</v>
      </c>
      <c r="L13774" s="1" t="str">
        <f>"2021-08-12 13:31:47"</f>
        <v>2021-08-12 13:31:47</v>
      </c>
      <c r="M13774" s="1" t="s">
        <v>3</v>
      </c>
      <c r="N13774" s="1" t="s">
        <v>38</v>
      </c>
      <c r="O13774" s="1" t="s">
        <v>46</v>
      </c>
    </row>
    <row r="13775" spans="2:15" x14ac:dyDescent="0.3">
      <c r="B13775" s="1" t="s">
        <v>20</v>
      </c>
      <c r="C13775" s="1" t="str">
        <f t="shared" si="697"/>
        <v>4차</v>
      </c>
      <c r="D13775" s="1" t="str">
        <f>"9925W34141"</f>
        <v>9925W34141</v>
      </c>
      <c r="E13775" s="1" t="s">
        <v>10</v>
      </c>
      <c r="F13775" s="1" t="str">
        <f>"10.14.4.112"</f>
        <v>10.14.4.112</v>
      </c>
      <c r="G13775" s="1" t="str">
        <f>"9925W341"</f>
        <v>9925W341</v>
      </c>
      <c r="H13775" s="1" t="str">
        <f>"해암지 17L2"</f>
        <v>해암지 17L2</v>
      </c>
      <c r="I13775" s="1" t="s">
        <v>17</v>
      </c>
      <c r="J13775" s="1" t="str">
        <f>"43/43"</f>
        <v>43/43</v>
      </c>
      <c r="K13775" s="1" t="str">
        <f t="shared" si="698"/>
        <v>2026-07-29 13:18:11</v>
      </c>
      <c r="L13775" s="1" t="str">
        <f>"2021-08-12 12:04:02"</f>
        <v>2021-08-12 12:04:02</v>
      </c>
      <c r="M13775" s="1" t="s">
        <v>3</v>
      </c>
      <c r="N13775" s="1" t="s">
        <v>38</v>
      </c>
      <c r="O13775" s="1" t="s">
        <v>46</v>
      </c>
    </row>
    <row r="13776" spans="2:15" x14ac:dyDescent="0.3">
      <c r="B13776" s="1" t="s">
        <v>20</v>
      </c>
      <c r="C13776" s="1" t="str">
        <f t="shared" si="697"/>
        <v>4차</v>
      </c>
      <c r="D13776" s="1" t="str">
        <f>"9925W35244"</f>
        <v>9925W35244</v>
      </c>
      <c r="E13776" s="1" t="s">
        <v>10</v>
      </c>
      <c r="F13776" s="1" t="str">
        <f>"10.10.66.122"</f>
        <v>10.10.66.122</v>
      </c>
      <c r="G13776" s="1" t="str">
        <f>"9925W352"</f>
        <v>9925W352</v>
      </c>
      <c r="H13776" s="1" t="str">
        <f>"해암지 17L4L1"</f>
        <v>해암지 17L4L1</v>
      </c>
      <c r="I13776" s="1" t="s">
        <v>8</v>
      </c>
      <c r="J13776" s="1" t="str">
        <f>"4/4"</f>
        <v>4/4</v>
      </c>
      <c r="K13776" s="1" t="str">
        <f t="shared" si="698"/>
        <v>2026-07-29 13:18:11</v>
      </c>
      <c r="L13776" s="1" t="str">
        <f>"2019-12-24 16:49:58"</f>
        <v>2019-12-24 16:49:58</v>
      </c>
      <c r="M13776" s="1" t="s">
        <v>1</v>
      </c>
      <c r="N13776" s="1" t="s">
        <v>38</v>
      </c>
      <c r="O13776" s="1" t="s">
        <v>46</v>
      </c>
    </row>
    <row r="13777" spans="2:15" x14ac:dyDescent="0.3">
      <c r="B13777" s="1" t="s">
        <v>20</v>
      </c>
      <c r="C13777" s="1" t="str">
        <f t="shared" si="697"/>
        <v>4차</v>
      </c>
      <c r="D13777" s="1" t="str">
        <f>"9925W36244"</f>
        <v>9925W36244</v>
      </c>
      <c r="E13777" s="1" t="s">
        <v>10</v>
      </c>
      <c r="F13777" s="1" t="str">
        <f>"10.10.138.66"</f>
        <v>10.10.138.66</v>
      </c>
      <c r="G13777" s="1" t="str">
        <f>"9925W362"</f>
        <v>9925W362</v>
      </c>
      <c r="H13777" s="1" t="str">
        <f>"해암지 9L25R3"</f>
        <v>해암지 9L25R3</v>
      </c>
      <c r="I13777" s="1" t="s">
        <v>8</v>
      </c>
      <c r="J13777" s="1" t="str">
        <f>"30/30"</f>
        <v>30/30</v>
      </c>
      <c r="K13777" s="1" t="str">
        <f t="shared" si="698"/>
        <v>2026-07-29 13:18:11</v>
      </c>
      <c r="L13777" s="1" t="str">
        <f>"2020-01-21 16:48:10"</f>
        <v>2020-01-21 16:48:10</v>
      </c>
      <c r="M13777" s="1" t="s">
        <v>1</v>
      </c>
      <c r="N13777" s="1" t="s">
        <v>38</v>
      </c>
      <c r="O13777" s="1" t="s">
        <v>46</v>
      </c>
    </row>
    <row r="13778" spans="2:15" x14ac:dyDescent="0.3">
      <c r="B13778" s="1" t="s">
        <v>20</v>
      </c>
      <c r="C13778" s="1" t="str">
        <f t="shared" si="697"/>
        <v>4차</v>
      </c>
      <c r="D13778" s="1" t="str">
        <f>"9925W37344"</f>
        <v>9925W37344</v>
      </c>
      <c r="E13778" s="1" t="s">
        <v>10</v>
      </c>
      <c r="F13778" s="1" t="str">
        <f>"10.10.136.226"</f>
        <v>10.10.136.226</v>
      </c>
      <c r="G13778" s="1" t="str">
        <f>"9925W373"</f>
        <v>9925W373</v>
      </c>
      <c r="H13778" s="1" t="str">
        <f>"해암지 9L25R2"</f>
        <v>해암지 9L25R2</v>
      </c>
      <c r="I13778" s="1" t="s">
        <v>8</v>
      </c>
      <c r="J13778" s="1" t="str">
        <f>"57/57"</f>
        <v>57/57</v>
      </c>
      <c r="K13778" s="1" t="str">
        <f t="shared" si="698"/>
        <v>2026-07-29 13:18:11</v>
      </c>
      <c r="L13778" s="1" t="str">
        <f>"2020-01-21 16:47:35"</f>
        <v>2020-01-21 16:47:35</v>
      </c>
      <c r="M13778" s="1" t="s">
        <v>1</v>
      </c>
      <c r="N13778" s="1" t="s">
        <v>38</v>
      </c>
      <c r="O13778" s="1" t="s">
        <v>46</v>
      </c>
    </row>
    <row r="13779" spans="2:15" x14ac:dyDescent="0.3">
      <c r="B13779" s="1" t="s">
        <v>20</v>
      </c>
      <c r="C13779" s="1" t="str">
        <f t="shared" si="697"/>
        <v>4차</v>
      </c>
      <c r="D13779" s="1" t="str">
        <f>"9925W41144"</f>
        <v>9925W41144</v>
      </c>
      <c r="E13779" s="1" t="s">
        <v>10</v>
      </c>
      <c r="F13779" s="1" t="str">
        <f>"10.10.66.170"</f>
        <v>10.10.66.170</v>
      </c>
      <c r="G13779" s="1" t="str">
        <f>"9925W411"</f>
        <v>9925W411</v>
      </c>
      <c r="H13779" s="1" t="str">
        <f>"해암지 22R3"</f>
        <v>해암지 22R3</v>
      </c>
      <c r="I13779" s="1" t="s">
        <v>8</v>
      </c>
      <c r="J13779" s="1" t="str">
        <f>"21/25"</f>
        <v>21/25</v>
      </c>
      <c r="K13779" s="1" t="str">
        <f t="shared" si="698"/>
        <v>2026-07-29 13:18:11</v>
      </c>
      <c r="L13779" s="1" t="str">
        <f>"2020-01-10 17:16:05"</f>
        <v>2020-01-10 17:16:05</v>
      </c>
      <c r="M13779" s="1" t="s">
        <v>1</v>
      </c>
      <c r="N13779" s="1" t="s">
        <v>38</v>
      </c>
      <c r="O13779" s="1" t="s">
        <v>46</v>
      </c>
    </row>
    <row r="13780" spans="2:15" x14ac:dyDescent="0.3">
      <c r="B13780" s="1" t="s">
        <v>20</v>
      </c>
      <c r="C13780" s="1" t="str">
        <f t="shared" si="697"/>
        <v>4차</v>
      </c>
      <c r="D13780" s="1" t="str">
        <f>"9925W41244"</f>
        <v>9925W41244</v>
      </c>
      <c r="E13780" s="1" t="s">
        <v>10</v>
      </c>
      <c r="F13780" s="1" t="str">
        <f>"10.10.66.178"</f>
        <v>10.10.66.178</v>
      </c>
      <c r="G13780" s="1" t="str">
        <f>"9925W412"</f>
        <v>9925W412</v>
      </c>
      <c r="H13780" s="1" t="str">
        <f>"해암지 22R4"</f>
        <v>해암지 22R4</v>
      </c>
      <c r="I13780" s="1" t="s">
        <v>8</v>
      </c>
      <c r="J13780" s="1" t="str">
        <f>"40/40"</f>
        <v>40/40</v>
      </c>
      <c r="K13780" s="1" t="str">
        <f t="shared" si="698"/>
        <v>2026-07-29 13:18:11</v>
      </c>
      <c r="L13780" s="1" t="str">
        <f>"2019-12-24 16:43:00"</f>
        <v>2019-12-24 16:43:00</v>
      </c>
      <c r="M13780" s="1" t="s">
        <v>1</v>
      </c>
      <c r="N13780" s="1" t="s">
        <v>38</v>
      </c>
      <c r="O13780" s="1" t="s">
        <v>46</v>
      </c>
    </row>
    <row r="13781" spans="2:15" x14ac:dyDescent="0.3">
      <c r="B13781" s="1" t="s">
        <v>20</v>
      </c>
      <c r="C13781" s="1" t="str">
        <f t="shared" si="697"/>
        <v>4차</v>
      </c>
      <c r="D13781" s="1" t="str">
        <f>"9925W41444"</f>
        <v>9925W41444</v>
      </c>
      <c r="E13781" s="1" t="s">
        <v>10</v>
      </c>
      <c r="F13781" s="1" t="str">
        <f>"10.10.66.162"</f>
        <v>10.10.66.162</v>
      </c>
      <c r="G13781" s="1" t="str">
        <f>"9925W414"</f>
        <v>9925W414</v>
      </c>
      <c r="H13781" s="1" t="str">
        <f>"해암지 22R2"</f>
        <v>해암지 22R2</v>
      </c>
      <c r="I13781" s="1" t="s">
        <v>8</v>
      </c>
      <c r="J13781" s="1" t="str">
        <f>"7/7"</f>
        <v>7/7</v>
      </c>
      <c r="K13781" s="1" t="str">
        <f t="shared" si="698"/>
        <v>2026-07-29 13:18:11</v>
      </c>
      <c r="L13781" s="1" t="str">
        <f>"2020-02-10 21:07:54"</f>
        <v>2020-02-10 21:07:54</v>
      </c>
      <c r="M13781" s="1" t="s">
        <v>1</v>
      </c>
      <c r="N13781" s="1" t="s">
        <v>38</v>
      </c>
      <c r="O13781" s="1" t="s">
        <v>46</v>
      </c>
    </row>
    <row r="13782" spans="2:15" x14ac:dyDescent="0.3">
      <c r="B13782" s="1" t="s">
        <v>20</v>
      </c>
      <c r="C13782" s="1" t="str">
        <f>"5-1차"</f>
        <v>5-1차</v>
      </c>
      <c r="D13782" s="1" t="str">
        <f>"9925W4215S"</f>
        <v>9925W4215S</v>
      </c>
      <c r="E13782" s="1" t="s">
        <v>10</v>
      </c>
      <c r="F13782" s="1" t="str">
        <f>"fde3:102:1301:1000:0:0:0:3"</f>
        <v>fde3:102:1301:1000:0:0:0:3</v>
      </c>
      <c r="G13782" s="1" t="str">
        <f>"9925W421"</f>
        <v>9925W421</v>
      </c>
      <c r="H13782" s="1" t="str">
        <f>"해암지 20"</f>
        <v>해암지 20</v>
      </c>
      <c r="I13782" s="1" t="s">
        <v>15</v>
      </c>
      <c r="J13782" s="1" t="str">
        <f>"12/15"</f>
        <v>12/15</v>
      </c>
      <c r="K13782" s="1" t="str">
        <f>"2026-07-29 14:21:27"</f>
        <v>2026-07-29 14:21:27</v>
      </c>
      <c r="L13782" s="1" t="str">
        <f>"2022-11-17 14:14:38"</f>
        <v>2022-11-17 14:14:38</v>
      </c>
      <c r="M13782" s="1" t="s">
        <v>45</v>
      </c>
      <c r="N13782" s="1" t="s">
        <v>38</v>
      </c>
      <c r="O13782" s="1" t="s">
        <v>46</v>
      </c>
    </row>
    <row r="13783" spans="2:15" x14ac:dyDescent="0.3">
      <c r="B13783" s="1" t="s">
        <v>20</v>
      </c>
      <c r="C13783" s="1" t="str">
        <f t="shared" ref="C13783:C13812" si="699">"4차"</f>
        <v>4차</v>
      </c>
      <c r="D13783" s="1" t="str">
        <f>"9925W44444"</f>
        <v>9925W44444</v>
      </c>
      <c r="E13783" s="1" t="s">
        <v>10</v>
      </c>
      <c r="F13783" s="1" t="str">
        <f>"10.10.67.114"</f>
        <v>10.10.67.114</v>
      </c>
      <c r="G13783" s="1" t="str">
        <f>"9925W444"</f>
        <v>9925W444</v>
      </c>
      <c r="H13783" s="1" t="str">
        <f>"해암지 33L4"</f>
        <v>해암지 33L4</v>
      </c>
      <c r="I13783" s="1" t="s">
        <v>8</v>
      </c>
      <c r="J13783" s="1" t="str">
        <f>"25/25"</f>
        <v>25/25</v>
      </c>
      <c r="K13783" s="1" t="str">
        <f t="shared" ref="K13783:K13800" si="700">"2026-07-29 13:18:11"</f>
        <v>2026-07-29 13:18:11</v>
      </c>
      <c r="L13783" s="1" t="str">
        <f>"2019-12-24 16:54:47"</f>
        <v>2019-12-24 16:54:47</v>
      </c>
      <c r="M13783" s="1" t="s">
        <v>1</v>
      </c>
      <c r="N13783" s="1" t="s">
        <v>38</v>
      </c>
      <c r="O13783" s="1" t="s">
        <v>46</v>
      </c>
    </row>
    <row r="13784" spans="2:15" x14ac:dyDescent="0.3">
      <c r="B13784" s="1" t="s">
        <v>20</v>
      </c>
      <c r="C13784" s="1" t="str">
        <f t="shared" si="699"/>
        <v>4차</v>
      </c>
      <c r="D13784" s="1" t="str">
        <f>"9925W46444"</f>
        <v>9925W46444</v>
      </c>
      <c r="E13784" s="1" t="s">
        <v>10</v>
      </c>
      <c r="F13784" s="1" t="str">
        <f>"10.10.67.122"</f>
        <v>10.10.67.122</v>
      </c>
      <c r="G13784" s="1" t="str">
        <f>"9925W464"</f>
        <v>9925W464</v>
      </c>
      <c r="H13784" s="1" t="str">
        <f>"해암지 37L3"</f>
        <v>해암지 37L3</v>
      </c>
      <c r="I13784" s="1" t="s">
        <v>8</v>
      </c>
      <c r="J13784" s="1" t="str">
        <f>"14/14"</f>
        <v>14/14</v>
      </c>
      <c r="K13784" s="1" t="str">
        <f t="shared" si="700"/>
        <v>2026-07-29 13:18:11</v>
      </c>
      <c r="L13784" s="1" t="str">
        <f>"2020-01-10 17:14:41"</f>
        <v>2020-01-10 17:14:41</v>
      </c>
      <c r="M13784" s="1" t="s">
        <v>1</v>
      </c>
      <c r="N13784" s="1" t="s">
        <v>38</v>
      </c>
      <c r="O13784" s="1" t="s">
        <v>46</v>
      </c>
    </row>
    <row r="13785" spans="2:15" x14ac:dyDescent="0.3">
      <c r="B13785" s="1" t="s">
        <v>20</v>
      </c>
      <c r="C13785" s="1" t="str">
        <f t="shared" si="699"/>
        <v>4차</v>
      </c>
      <c r="D13785" s="1" t="str">
        <f>"9925W46544"</f>
        <v>9925W46544</v>
      </c>
      <c r="E13785" s="1" t="s">
        <v>10</v>
      </c>
      <c r="F13785" s="1" t="str">
        <f>"10.10.138.74"</f>
        <v>10.10.138.74</v>
      </c>
      <c r="G13785" s="1" t="str">
        <f>"9925W465"</f>
        <v>9925W465</v>
      </c>
      <c r="H13785" s="1" t="str">
        <f>"해암지 37L2"</f>
        <v>해암지 37L2</v>
      </c>
      <c r="I13785" s="1" t="s">
        <v>8</v>
      </c>
      <c r="J13785" s="1" t="str">
        <f>"14/14"</f>
        <v>14/14</v>
      </c>
      <c r="K13785" s="1" t="str">
        <f t="shared" si="700"/>
        <v>2026-07-29 13:18:11</v>
      </c>
      <c r="L13785" s="1" t="str">
        <f>"2020-01-21 16:42:56"</f>
        <v>2020-01-21 16:42:56</v>
      </c>
      <c r="M13785" s="1" t="s">
        <v>1</v>
      </c>
      <c r="N13785" s="1" t="s">
        <v>38</v>
      </c>
      <c r="O13785" s="1" t="s">
        <v>46</v>
      </c>
    </row>
    <row r="13786" spans="2:15" x14ac:dyDescent="0.3">
      <c r="B13786" s="1" t="s">
        <v>20</v>
      </c>
      <c r="C13786" s="1" t="str">
        <f t="shared" si="699"/>
        <v>4차</v>
      </c>
      <c r="D13786" s="1" t="str">
        <f>"9925W47144"</f>
        <v>9925W47144</v>
      </c>
      <c r="E13786" s="1" t="s">
        <v>10</v>
      </c>
      <c r="F13786" s="1" t="str">
        <f>"10.10.138.82"</f>
        <v>10.10.138.82</v>
      </c>
      <c r="G13786" s="1" t="str">
        <f>"9925W471"</f>
        <v>9925W471</v>
      </c>
      <c r="H13786" s="1" t="str">
        <f>"해암지 9L25R1"</f>
        <v>해암지 9L25R1</v>
      </c>
      <c r="I13786" s="1" t="s">
        <v>8</v>
      </c>
      <c r="J13786" s="1" t="str">
        <f>"23/23"</f>
        <v>23/23</v>
      </c>
      <c r="K13786" s="1" t="str">
        <f t="shared" si="700"/>
        <v>2026-07-29 13:18:11</v>
      </c>
      <c r="L13786" s="1" t="str">
        <f>"2020-01-21 16:44:15"</f>
        <v>2020-01-21 16:44:15</v>
      </c>
      <c r="M13786" s="1" t="s">
        <v>1</v>
      </c>
      <c r="N13786" s="1" t="s">
        <v>38</v>
      </c>
      <c r="O13786" s="1" t="s">
        <v>46</v>
      </c>
    </row>
    <row r="13787" spans="2:15" x14ac:dyDescent="0.3">
      <c r="B13787" s="1" t="s">
        <v>20</v>
      </c>
      <c r="C13787" s="1" t="str">
        <f t="shared" si="699"/>
        <v>4차</v>
      </c>
      <c r="D13787" s="1" t="str">
        <f>"9925W48144"</f>
        <v>9925W48144</v>
      </c>
      <c r="E13787" s="1" t="s">
        <v>10</v>
      </c>
      <c r="F13787" s="1" t="str">
        <f>"10.10.138.90"</f>
        <v>10.10.138.90</v>
      </c>
      <c r="G13787" s="1" t="str">
        <f>"9925W481"</f>
        <v>9925W481</v>
      </c>
      <c r="H13787" s="1" t="str">
        <f>"해암지 9L26"</f>
        <v>해암지 9L26</v>
      </c>
      <c r="I13787" s="1" t="s">
        <v>8</v>
      </c>
      <c r="J13787" s="1" t="str">
        <f>"17/17"</f>
        <v>17/17</v>
      </c>
      <c r="K13787" s="1" t="str">
        <f t="shared" si="700"/>
        <v>2026-07-29 13:18:11</v>
      </c>
      <c r="L13787" s="1" t="str">
        <f>"2020-01-21 16:41:14"</f>
        <v>2020-01-21 16:41:14</v>
      </c>
      <c r="M13787" s="1" t="s">
        <v>1</v>
      </c>
      <c r="N13787" s="1" t="s">
        <v>38</v>
      </c>
      <c r="O13787" s="1" t="s">
        <v>46</v>
      </c>
    </row>
    <row r="13788" spans="2:15" x14ac:dyDescent="0.3">
      <c r="B13788" s="1" t="s">
        <v>20</v>
      </c>
      <c r="C13788" s="1" t="str">
        <f t="shared" si="699"/>
        <v>4차</v>
      </c>
      <c r="D13788" s="1" t="str">
        <f>"9925W50144"</f>
        <v>9925W50144</v>
      </c>
      <c r="E13788" s="1" t="s">
        <v>10</v>
      </c>
      <c r="F13788" s="1" t="str">
        <f>"10.10.66.146"</f>
        <v>10.10.66.146</v>
      </c>
      <c r="G13788" s="1" t="str">
        <f>"9925W501"</f>
        <v>9925W501</v>
      </c>
      <c r="H13788" s="1" t="str">
        <f>"해암지 22R14"</f>
        <v>해암지 22R14</v>
      </c>
      <c r="I13788" s="1" t="s">
        <v>8</v>
      </c>
      <c r="J13788" s="1" t="str">
        <f>"34/34"</f>
        <v>34/34</v>
      </c>
      <c r="K13788" s="1" t="str">
        <f t="shared" si="700"/>
        <v>2026-07-29 13:18:11</v>
      </c>
      <c r="L13788" s="1" t="str">
        <f>"2019-12-24 16:44:43"</f>
        <v>2019-12-24 16:44:43</v>
      </c>
      <c r="M13788" s="1" t="s">
        <v>1</v>
      </c>
      <c r="N13788" s="1" t="s">
        <v>38</v>
      </c>
      <c r="O13788" s="1" t="s">
        <v>46</v>
      </c>
    </row>
    <row r="13789" spans="2:15" x14ac:dyDescent="0.3">
      <c r="B13789" s="1" t="s">
        <v>20</v>
      </c>
      <c r="C13789" s="1" t="str">
        <f t="shared" si="699"/>
        <v>4차</v>
      </c>
      <c r="D13789" s="1" t="str">
        <f>"9925W50244"</f>
        <v>9925W50244</v>
      </c>
      <c r="E13789" s="1" t="s">
        <v>10</v>
      </c>
      <c r="F13789" s="1" t="str">
        <f>"10.10.66.154"</f>
        <v>10.10.66.154</v>
      </c>
      <c r="G13789" s="1" t="str">
        <f>"9925W502"</f>
        <v>9925W502</v>
      </c>
      <c r="H13789" s="1" t="str">
        <f>"해암지 22R15"</f>
        <v>해암지 22R15</v>
      </c>
      <c r="I13789" s="1" t="s">
        <v>8</v>
      </c>
      <c r="J13789" s="1" t="str">
        <f>"41/41"</f>
        <v>41/41</v>
      </c>
      <c r="K13789" s="1" t="str">
        <f t="shared" si="700"/>
        <v>2026-07-29 13:18:11</v>
      </c>
      <c r="L13789" s="1" t="str">
        <f>"2020-01-10 17:16:46"</f>
        <v>2020-01-10 17:16:46</v>
      </c>
      <c r="M13789" s="1" t="s">
        <v>1</v>
      </c>
      <c r="N13789" s="1" t="s">
        <v>38</v>
      </c>
      <c r="O13789" s="1" t="s">
        <v>46</v>
      </c>
    </row>
    <row r="13790" spans="2:15" x14ac:dyDescent="0.3">
      <c r="B13790" s="1" t="s">
        <v>20</v>
      </c>
      <c r="C13790" s="1" t="str">
        <f t="shared" si="699"/>
        <v>4차</v>
      </c>
      <c r="D13790" s="1" t="str">
        <f>"9925W53144"</f>
        <v>9925W53144</v>
      </c>
      <c r="E13790" s="1" t="s">
        <v>10</v>
      </c>
      <c r="F13790" s="1" t="str">
        <f>"10.10.66.130"</f>
        <v>10.10.66.130</v>
      </c>
      <c r="G13790" s="1" t="str">
        <f>"9925W531"</f>
        <v>9925W531</v>
      </c>
      <c r="H13790" s="1" t="str">
        <f>"해암지 20L1"</f>
        <v>해암지 20L1</v>
      </c>
      <c r="I13790" s="1" t="s">
        <v>8</v>
      </c>
      <c r="J13790" s="1" t="str">
        <f>"23/23"</f>
        <v>23/23</v>
      </c>
      <c r="K13790" s="1" t="str">
        <f t="shared" si="700"/>
        <v>2026-07-29 13:18:11</v>
      </c>
      <c r="L13790" s="1" t="str">
        <f>"2019-12-24 16:50:46"</f>
        <v>2019-12-24 16:50:46</v>
      </c>
      <c r="M13790" s="1" t="s">
        <v>1</v>
      </c>
      <c r="N13790" s="1" t="s">
        <v>38</v>
      </c>
      <c r="O13790" s="1" t="s">
        <v>46</v>
      </c>
    </row>
    <row r="13791" spans="2:15" x14ac:dyDescent="0.3">
      <c r="B13791" s="1" t="s">
        <v>20</v>
      </c>
      <c r="C13791" s="1" t="str">
        <f t="shared" si="699"/>
        <v>4차</v>
      </c>
      <c r="D13791" s="1" t="str">
        <f>"9925W54241"</f>
        <v>9925W54241</v>
      </c>
      <c r="E13791" s="1" t="s">
        <v>10</v>
      </c>
      <c r="F13791" s="1" t="str">
        <f>"10.14.4.50"</f>
        <v>10.14.4.50</v>
      </c>
      <c r="G13791" s="1" t="str">
        <f>"9925W542"</f>
        <v>9925W542</v>
      </c>
      <c r="H13791" s="1" t="str">
        <f>"해암지 20L2"</f>
        <v>해암지 20L2</v>
      </c>
      <c r="I13791" s="1" t="s">
        <v>17</v>
      </c>
      <c r="J13791" s="1" t="str">
        <f>"7/16"</f>
        <v>7/16</v>
      </c>
      <c r="K13791" s="1" t="str">
        <f t="shared" si="700"/>
        <v>2026-07-29 13:18:11</v>
      </c>
      <c r="L13791" s="1" t="str">
        <f>"2021-08-12 14:19:57"</f>
        <v>2021-08-12 14:19:57</v>
      </c>
      <c r="M13791" s="1" t="s">
        <v>3</v>
      </c>
      <c r="N13791" s="1" t="s">
        <v>38</v>
      </c>
      <c r="O13791" s="1" t="s">
        <v>46</v>
      </c>
    </row>
    <row r="13792" spans="2:15" x14ac:dyDescent="0.3">
      <c r="B13792" s="1" t="s">
        <v>20</v>
      </c>
      <c r="C13792" s="1" t="str">
        <f t="shared" si="699"/>
        <v>4차</v>
      </c>
      <c r="D13792" s="1" t="str">
        <f>"9925W55144"</f>
        <v>9925W55144</v>
      </c>
      <c r="E13792" s="1" t="s">
        <v>10</v>
      </c>
      <c r="F13792" s="1" t="str">
        <f>"10.10.67.106"</f>
        <v>10.10.67.106</v>
      </c>
      <c r="G13792" s="1" t="str">
        <f>"9925W551"</f>
        <v>9925W551</v>
      </c>
      <c r="H13792" s="1" t="str">
        <f>"해암지 33L1"</f>
        <v>해암지 33L1</v>
      </c>
      <c r="I13792" s="1" t="s">
        <v>8</v>
      </c>
      <c r="J13792" s="1" t="str">
        <f>"49/49"</f>
        <v>49/49</v>
      </c>
      <c r="K13792" s="1" t="str">
        <f t="shared" si="700"/>
        <v>2026-07-29 13:18:11</v>
      </c>
      <c r="L13792" s="1" t="str">
        <f>"2019-12-24 16:45:18"</f>
        <v>2019-12-24 16:45:18</v>
      </c>
      <c r="M13792" s="1" t="s">
        <v>1</v>
      </c>
      <c r="N13792" s="1" t="s">
        <v>38</v>
      </c>
      <c r="O13792" s="1" t="s">
        <v>46</v>
      </c>
    </row>
    <row r="13793" spans="2:15" x14ac:dyDescent="0.3">
      <c r="B13793" s="1" t="s">
        <v>20</v>
      </c>
      <c r="C13793" s="1" t="str">
        <f t="shared" si="699"/>
        <v>4차</v>
      </c>
      <c r="D13793" s="1" t="str">
        <f>"9925W55441"</f>
        <v>9925W55441</v>
      </c>
      <c r="E13793" s="1" t="s">
        <v>10</v>
      </c>
      <c r="F13793" s="1" t="str">
        <f>"10.14.4.182"</f>
        <v>10.14.4.182</v>
      </c>
      <c r="G13793" s="1" t="str">
        <f>"9925W554"</f>
        <v>9925W554</v>
      </c>
      <c r="H13793" s="1" t="str">
        <f>"해암지 32"</f>
        <v>해암지 32</v>
      </c>
      <c r="I13793" s="1" t="s">
        <v>17</v>
      </c>
      <c r="J13793" s="1" t="str">
        <f>"14/14"</f>
        <v>14/14</v>
      </c>
      <c r="K13793" s="1" t="str">
        <f t="shared" si="700"/>
        <v>2026-07-29 13:18:11</v>
      </c>
      <c r="L13793" s="1" t="str">
        <f>"2021-08-12 14:46:58"</f>
        <v>2021-08-12 14:46:58</v>
      </c>
      <c r="M13793" s="1" t="s">
        <v>3</v>
      </c>
      <c r="N13793" s="1" t="s">
        <v>38</v>
      </c>
      <c r="O13793" s="1" t="s">
        <v>46</v>
      </c>
    </row>
    <row r="13794" spans="2:15" x14ac:dyDescent="0.3">
      <c r="B13794" s="1" t="s">
        <v>20</v>
      </c>
      <c r="C13794" s="1" t="str">
        <f t="shared" si="699"/>
        <v>4차</v>
      </c>
      <c r="D13794" s="1" t="str">
        <f>"9925W61144"</f>
        <v>9925W61144</v>
      </c>
      <c r="E13794" s="1" t="s">
        <v>10</v>
      </c>
      <c r="F13794" s="1" t="str">
        <f>"10.10.119.26"</f>
        <v>10.10.119.26</v>
      </c>
      <c r="G13794" s="1" t="str">
        <f>"9925W611"</f>
        <v>9925W611</v>
      </c>
      <c r="H13794" s="1" t="str">
        <f>"해암지 22R16"</f>
        <v>해암지 22R16</v>
      </c>
      <c r="I13794" s="1" t="s">
        <v>8</v>
      </c>
      <c r="J13794" s="1" t="str">
        <f>"18/18"</f>
        <v>18/18</v>
      </c>
      <c r="K13794" s="1" t="str">
        <f t="shared" si="700"/>
        <v>2026-07-29 13:18:11</v>
      </c>
      <c r="L13794" s="1" t="str">
        <f>"2020-01-17 11:40:05"</f>
        <v>2020-01-17 11:40:05</v>
      </c>
      <c r="M13794" s="1" t="s">
        <v>1</v>
      </c>
      <c r="N13794" s="1" t="s">
        <v>38</v>
      </c>
      <c r="O13794" s="1" t="s">
        <v>46</v>
      </c>
    </row>
    <row r="13795" spans="2:15" x14ac:dyDescent="0.3">
      <c r="B13795" s="1" t="s">
        <v>20</v>
      </c>
      <c r="C13795" s="1" t="str">
        <f t="shared" si="699"/>
        <v>4차</v>
      </c>
      <c r="D13795" s="1" t="str">
        <f>"9925W62244"</f>
        <v>9925W62244</v>
      </c>
      <c r="E13795" s="1" t="s">
        <v>10</v>
      </c>
      <c r="F13795" s="1" t="str">
        <f>"10.10.119.66"</f>
        <v>10.10.119.66</v>
      </c>
      <c r="G13795" s="1" t="str">
        <f>"9925W622"</f>
        <v>9925W622</v>
      </c>
      <c r="H13795" s="1" t="str">
        <f>"해암지 27"</f>
        <v>해암지 27</v>
      </c>
      <c r="I13795" s="1" t="s">
        <v>8</v>
      </c>
      <c r="J13795" s="1" t="str">
        <f>"21/21"</f>
        <v>21/21</v>
      </c>
      <c r="K13795" s="1" t="str">
        <f t="shared" si="700"/>
        <v>2026-07-29 13:18:11</v>
      </c>
      <c r="L13795" s="1" t="str">
        <f>"2020-01-10 17:18:29"</f>
        <v>2020-01-10 17:18:29</v>
      </c>
      <c r="M13795" s="1" t="s">
        <v>1</v>
      </c>
      <c r="N13795" s="1" t="s">
        <v>38</v>
      </c>
      <c r="O13795" s="1" t="s">
        <v>46</v>
      </c>
    </row>
    <row r="13796" spans="2:15" x14ac:dyDescent="0.3">
      <c r="B13796" s="1" t="s">
        <v>20</v>
      </c>
      <c r="C13796" s="1" t="str">
        <f t="shared" si="699"/>
        <v>4차</v>
      </c>
      <c r="D13796" s="1" t="str">
        <f>"9925W62644"</f>
        <v>9925W62644</v>
      </c>
      <c r="E13796" s="1" t="s">
        <v>10</v>
      </c>
      <c r="F13796" s="1" t="str">
        <f>"10.10.67.10"</f>
        <v>10.10.67.10</v>
      </c>
      <c r="G13796" s="1" t="str">
        <f>"9925W626"</f>
        <v>9925W626</v>
      </c>
      <c r="H13796" s="1" t="str">
        <f>"해암지 24"</f>
        <v>해암지 24</v>
      </c>
      <c r="I13796" s="1" t="s">
        <v>8</v>
      </c>
      <c r="J13796" s="1" t="str">
        <f>"16/16"</f>
        <v>16/16</v>
      </c>
      <c r="K13796" s="1" t="str">
        <f t="shared" si="700"/>
        <v>2026-07-29 13:18:11</v>
      </c>
      <c r="L13796" s="1" t="str">
        <f>"2019-12-24 16:49:50"</f>
        <v>2019-12-24 16:49:50</v>
      </c>
      <c r="M13796" s="1" t="s">
        <v>1</v>
      </c>
      <c r="N13796" s="1" t="s">
        <v>38</v>
      </c>
      <c r="O13796" s="1" t="s">
        <v>46</v>
      </c>
    </row>
    <row r="13797" spans="2:15" x14ac:dyDescent="0.3">
      <c r="B13797" s="1" t="s">
        <v>20</v>
      </c>
      <c r="C13797" s="1" t="str">
        <f t="shared" si="699"/>
        <v>4차</v>
      </c>
      <c r="D13797" s="1" t="str">
        <f>"9925W63244"</f>
        <v>9925W63244</v>
      </c>
      <c r="E13797" s="1" t="s">
        <v>10</v>
      </c>
      <c r="F13797" s="1" t="str">
        <f>"10.10.67.50"</f>
        <v>10.10.67.50</v>
      </c>
      <c r="G13797" s="1" t="str">
        <f>"9925W632"</f>
        <v>9925W632</v>
      </c>
      <c r="H13797" s="1" t="str">
        <f>"해암지 28"</f>
        <v>해암지 28</v>
      </c>
      <c r="I13797" s="1" t="s">
        <v>8</v>
      </c>
      <c r="J13797" s="1" t="str">
        <f>"19/19"</f>
        <v>19/19</v>
      </c>
      <c r="K13797" s="1" t="str">
        <f t="shared" si="700"/>
        <v>2026-07-29 13:18:11</v>
      </c>
      <c r="L13797" s="1" t="str">
        <f>"2020-01-17 11:55:21"</f>
        <v>2020-01-17 11:55:21</v>
      </c>
      <c r="M13797" s="1" t="s">
        <v>1</v>
      </c>
      <c r="N13797" s="1" t="s">
        <v>38</v>
      </c>
      <c r="O13797" s="1" t="s">
        <v>46</v>
      </c>
    </row>
    <row r="13798" spans="2:15" x14ac:dyDescent="0.3">
      <c r="B13798" s="1" t="s">
        <v>20</v>
      </c>
      <c r="C13798" s="1" t="str">
        <f t="shared" si="699"/>
        <v>4차</v>
      </c>
      <c r="D13798" s="1" t="str">
        <f>"9925W71144"</f>
        <v>9925W71144</v>
      </c>
      <c r="E13798" s="1" t="s">
        <v>10</v>
      </c>
      <c r="F13798" s="1" t="str">
        <f>"10.10.67.42"</f>
        <v>10.10.67.42</v>
      </c>
      <c r="G13798" s="1" t="str">
        <f>"9925W711"</f>
        <v>9925W711</v>
      </c>
      <c r="H13798" s="1" t="str">
        <f>"해암지 25R2"</f>
        <v>해암지 25R2</v>
      </c>
      <c r="I13798" s="1" t="s">
        <v>8</v>
      </c>
      <c r="J13798" s="1" t="str">
        <f>"35/35"</f>
        <v>35/35</v>
      </c>
      <c r="K13798" s="1" t="str">
        <f t="shared" si="700"/>
        <v>2026-07-29 13:18:11</v>
      </c>
      <c r="L13798" s="1" t="str">
        <f>"2019-12-24 16:48:56"</f>
        <v>2019-12-24 16:48:56</v>
      </c>
      <c r="M13798" s="1" t="s">
        <v>1</v>
      </c>
      <c r="N13798" s="1" t="s">
        <v>38</v>
      </c>
      <c r="O13798" s="1" t="s">
        <v>46</v>
      </c>
    </row>
    <row r="13799" spans="2:15" x14ac:dyDescent="0.3">
      <c r="B13799" s="1" t="s">
        <v>20</v>
      </c>
      <c r="C13799" s="1" t="str">
        <f t="shared" si="699"/>
        <v>4차</v>
      </c>
      <c r="D13799" s="1" t="str">
        <f>"9925W72144"</f>
        <v>9925W72144</v>
      </c>
      <c r="E13799" s="1" t="s">
        <v>10</v>
      </c>
      <c r="F13799" s="1" t="str">
        <f>"10.10.119.82"</f>
        <v>10.10.119.82</v>
      </c>
      <c r="G13799" s="1" t="str">
        <f>"9925W721"</f>
        <v>9925W721</v>
      </c>
      <c r="H13799" s="1" t="str">
        <f>"해암지 27R1"</f>
        <v>해암지 27R1</v>
      </c>
      <c r="I13799" s="1" t="s">
        <v>8</v>
      </c>
      <c r="J13799" s="1" t="str">
        <f>"12/12"</f>
        <v>12/12</v>
      </c>
      <c r="K13799" s="1" t="str">
        <f t="shared" si="700"/>
        <v>2026-07-29 13:18:11</v>
      </c>
      <c r="L13799" s="1" t="str">
        <f>"2020-01-17 11:48:38"</f>
        <v>2020-01-17 11:48:38</v>
      </c>
      <c r="M13799" s="1" t="s">
        <v>1</v>
      </c>
      <c r="N13799" s="1" t="s">
        <v>38</v>
      </c>
      <c r="O13799" s="1" t="s">
        <v>46</v>
      </c>
    </row>
    <row r="13800" spans="2:15" x14ac:dyDescent="0.3">
      <c r="B13800" s="1" t="s">
        <v>20</v>
      </c>
      <c r="C13800" s="1" t="str">
        <f t="shared" si="699"/>
        <v>4차</v>
      </c>
      <c r="D13800" s="1" t="str">
        <f>"9925W72244"</f>
        <v>9925W72244</v>
      </c>
      <c r="E13800" s="1" t="s">
        <v>10</v>
      </c>
      <c r="F13800" s="1" t="str">
        <f>"10.10.119.58"</f>
        <v>10.10.119.58</v>
      </c>
      <c r="G13800" s="1" t="str">
        <f>"9925W722"</f>
        <v>9925W722</v>
      </c>
      <c r="H13800" s="1" t="str">
        <f>"해암지 26R1"</f>
        <v>해암지 26R1</v>
      </c>
      <c r="I13800" s="1" t="s">
        <v>8</v>
      </c>
      <c r="J13800" s="1" t="str">
        <f>"27/27"</f>
        <v>27/27</v>
      </c>
      <c r="K13800" s="1" t="str">
        <f t="shared" si="700"/>
        <v>2026-07-29 13:18:11</v>
      </c>
      <c r="L13800" s="1" t="str">
        <f>"2020-01-10 17:18:51"</f>
        <v>2020-01-10 17:18:51</v>
      </c>
      <c r="M13800" s="1" t="s">
        <v>1</v>
      </c>
      <c r="N13800" s="1" t="s">
        <v>38</v>
      </c>
      <c r="O13800" s="1" t="s">
        <v>46</v>
      </c>
    </row>
    <row r="13801" spans="2:15" x14ac:dyDescent="0.3">
      <c r="B13801" s="1" t="s">
        <v>20</v>
      </c>
      <c r="C13801" s="1" t="str">
        <f t="shared" si="699"/>
        <v>4차</v>
      </c>
      <c r="D13801" s="1" t="str">
        <f>"9925W73244"</f>
        <v>9925W73244</v>
      </c>
      <c r="E13801" s="1" t="s">
        <v>10</v>
      </c>
      <c r="F13801" s="1" t="str">
        <f>"10.12.138.124"</f>
        <v>10.12.138.124</v>
      </c>
      <c r="G13801" s="1" t="str">
        <f>"9925W732"</f>
        <v>9925W732</v>
      </c>
      <c r="H13801" s="1" t="str">
        <f>"해암지 30R3R1"</f>
        <v>해암지 30R3R1</v>
      </c>
      <c r="I13801" s="1" t="s">
        <v>8</v>
      </c>
      <c r="J13801" s="1" t="str">
        <f>"20/20"</f>
        <v>20/20</v>
      </c>
      <c r="K13801" s="1" t="str">
        <f>"2026-07-29 13:18:15"</f>
        <v>2026-07-29 13:18:15</v>
      </c>
      <c r="L13801" s="1" t="str">
        <f>"2020-01-08 14:57:39"</f>
        <v>2020-01-08 14:57:39</v>
      </c>
      <c r="M13801" s="1" t="s">
        <v>0</v>
      </c>
      <c r="N13801" s="1" t="s">
        <v>38</v>
      </c>
      <c r="O13801" s="1" t="s">
        <v>46</v>
      </c>
    </row>
    <row r="13802" spans="2:15" x14ac:dyDescent="0.3">
      <c r="B13802" s="1" t="s">
        <v>20</v>
      </c>
      <c r="C13802" s="1" t="str">
        <f t="shared" si="699"/>
        <v>4차</v>
      </c>
      <c r="D13802" s="1" t="str">
        <f>"9925W74144"</f>
        <v>9925W74144</v>
      </c>
      <c r="E13802" s="1" t="s">
        <v>10</v>
      </c>
      <c r="F13802" s="1" t="str">
        <f>"10.10.119.114"</f>
        <v>10.10.119.114</v>
      </c>
      <c r="G13802" s="1" t="str">
        <f>"9925W741"</f>
        <v>9925W741</v>
      </c>
      <c r="H13802" s="1" t="str">
        <f>"해암지 31R6R1"</f>
        <v>해암지 31R6R1</v>
      </c>
      <c r="I13802" s="1" t="s">
        <v>8</v>
      </c>
      <c r="J13802" s="1" t="str">
        <f>"27/27"</f>
        <v>27/27</v>
      </c>
      <c r="K13802" s="1" t="str">
        <f>"2026-07-29 13:18:11"</f>
        <v>2026-07-29 13:18:11</v>
      </c>
      <c r="L13802" s="1" t="str">
        <f>"2020-01-10 17:18:00"</f>
        <v>2020-01-10 17:18:00</v>
      </c>
      <c r="M13802" s="1" t="s">
        <v>1</v>
      </c>
      <c r="N13802" s="1" t="s">
        <v>38</v>
      </c>
      <c r="O13802" s="1" t="s">
        <v>46</v>
      </c>
    </row>
    <row r="13803" spans="2:15" x14ac:dyDescent="0.3">
      <c r="B13803" s="1" t="s">
        <v>20</v>
      </c>
      <c r="C13803" s="1" t="str">
        <f t="shared" si="699"/>
        <v>4차</v>
      </c>
      <c r="D13803" s="1" t="str">
        <f>"9925W74344"</f>
        <v>9925W74344</v>
      </c>
      <c r="E13803" s="1" t="s">
        <v>10</v>
      </c>
      <c r="F13803" s="1" t="str">
        <f>"10.10.67.58"</f>
        <v>10.10.67.58</v>
      </c>
      <c r="G13803" s="1" t="str">
        <f>"9925W743"</f>
        <v>9925W743</v>
      </c>
      <c r="H13803" s="1" t="str">
        <f>"해암지 30R3"</f>
        <v>해암지 30R3</v>
      </c>
      <c r="I13803" s="1" t="s">
        <v>8</v>
      </c>
      <c r="J13803" s="1" t="str">
        <f>"35/35"</f>
        <v>35/35</v>
      </c>
      <c r="K13803" s="1" t="str">
        <f>"2026-07-29 13:18:11"</f>
        <v>2026-07-29 13:18:11</v>
      </c>
      <c r="L13803" s="1" t="str">
        <f>"2020-01-21 17:15:35"</f>
        <v>2020-01-21 17:15:35</v>
      </c>
      <c r="M13803" s="1" t="s">
        <v>1</v>
      </c>
      <c r="N13803" s="1" t="s">
        <v>38</v>
      </c>
      <c r="O13803" s="1" t="s">
        <v>46</v>
      </c>
    </row>
    <row r="13804" spans="2:15" x14ac:dyDescent="0.3">
      <c r="B13804" s="1" t="s">
        <v>20</v>
      </c>
      <c r="C13804" s="1" t="str">
        <f t="shared" si="699"/>
        <v>4차</v>
      </c>
      <c r="D13804" s="1" t="str">
        <f>"9925W80144"</f>
        <v>9925W80144</v>
      </c>
      <c r="E13804" s="1" t="s">
        <v>10</v>
      </c>
      <c r="F13804" s="1" t="str">
        <f>"10.12.138.140"</f>
        <v>10.12.138.140</v>
      </c>
      <c r="G13804" s="1" t="str">
        <f>"9925W801"</f>
        <v>9925W801</v>
      </c>
      <c r="H13804" s="1" t="str">
        <f>"해암지 30R8R2"</f>
        <v>해암지 30R8R2</v>
      </c>
      <c r="I13804" s="1" t="s">
        <v>8</v>
      </c>
      <c r="J13804" s="1" t="str">
        <f>"35/35"</f>
        <v>35/35</v>
      </c>
      <c r="K13804" s="1" t="str">
        <f>"2026-07-29 13:18:13"</f>
        <v>2026-07-29 13:18:13</v>
      </c>
      <c r="L13804" s="1" t="str">
        <f>"2020-01-08 15:10:47"</f>
        <v>2020-01-08 15:10:47</v>
      </c>
      <c r="M13804" s="1" t="s">
        <v>0</v>
      </c>
      <c r="N13804" s="1" t="s">
        <v>38</v>
      </c>
      <c r="O13804" s="1" t="s">
        <v>46</v>
      </c>
    </row>
    <row r="13805" spans="2:15" x14ac:dyDescent="0.3">
      <c r="B13805" s="1" t="s">
        <v>20</v>
      </c>
      <c r="C13805" s="1" t="str">
        <f t="shared" si="699"/>
        <v>4차</v>
      </c>
      <c r="D13805" s="1" t="str">
        <f>"9925W80244"</f>
        <v>9925W80244</v>
      </c>
      <c r="E13805" s="1" t="s">
        <v>10</v>
      </c>
      <c r="F13805" s="1" t="str">
        <f>"10.10.67.98"</f>
        <v>10.10.67.98</v>
      </c>
      <c r="G13805" s="1" t="str">
        <f>"9925W802"</f>
        <v>9925W802</v>
      </c>
      <c r="H13805" s="1" t="str">
        <f>"해암지 30R12"</f>
        <v>해암지 30R12</v>
      </c>
      <c r="I13805" s="1" t="s">
        <v>8</v>
      </c>
      <c r="J13805" s="1" t="str">
        <f>"32/36"</f>
        <v>32/36</v>
      </c>
      <c r="K13805" s="1" t="str">
        <f>"2026-07-29 13:18:11"</f>
        <v>2026-07-29 13:18:11</v>
      </c>
      <c r="L13805" s="1" t="str">
        <f>"2019-12-11 18:14:10"</f>
        <v>2019-12-11 18:14:10</v>
      </c>
      <c r="M13805" s="1" t="s">
        <v>1</v>
      </c>
      <c r="N13805" s="1" t="s">
        <v>38</v>
      </c>
      <c r="O13805" s="1" t="s">
        <v>46</v>
      </c>
    </row>
    <row r="13806" spans="2:15" x14ac:dyDescent="0.3">
      <c r="B13806" s="1" t="s">
        <v>20</v>
      </c>
      <c r="C13806" s="1" t="str">
        <f t="shared" si="699"/>
        <v>4차</v>
      </c>
      <c r="D13806" s="1" t="str">
        <f>"9925W81144"</f>
        <v>9925W81144</v>
      </c>
      <c r="E13806" s="1" t="s">
        <v>10</v>
      </c>
      <c r="F13806" s="1" t="str">
        <f>"10.10.67.90"</f>
        <v>10.10.67.90</v>
      </c>
      <c r="G13806" s="1" t="str">
        <f>"9925W811"</f>
        <v>9925W811</v>
      </c>
      <c r="H13806" s="1" t="str">
        <f>"해암지 31R6R6H1"</f>
        <v>해암지 31R6R6H1</v>
      </c>
      <c r="I13806" s="1" t="s">
        <v>8</v>
      </c>
      <c r="J13806" s="1" t="str">
        <f>"29/29"</f>
        <v>29/29</v>
      </c>
      <c r="K13806" s="1" t="str">
        <f>"2026-07-29 13:18:12"</f>
        <v>2026-07-29 13:18:12</v>
      </c>
      <c r="L13806" s="1" t="str">
        <f>"2019-12-11 18:11:39"</f>
        <v>2019-12-11 18:11:39</v>
      </c>
      <c r="M13806" s="1" t="s">
        <v>1</v>
      </c>
      <c r="N13806" s="1" t="s">
        <v>38</v>
      </c>
      <c r="O13806" s="1" t="s">
        <v>46</v>
      </c>
    </row>
    <row r="13807" spans="2:15" x14ac:dyDescent="0.3">
      <c r="B13807" s="1" t="s">
        <v>20</v>
      </c>
      <c r="C13807" s="1" t="str">
        <f t="shared" si="699"/>
        <v>4차</v>
      </c>
      <c r="D13807" s="1" t="str">
        <f>"9925W81344"</f>
        <v>9925W81344</v>
      </c>
      <c r="E13807" s="1" t="s">
        <v>10</v>
      </c>
      <c r="F13807" s="1" t="str">
        <f>"10.12.138.150"</f>
        <v>10.12.138.150</v>
      </c>
      <c r="G13807" s="1" t="str">
        <f>"9925W813"</f>
        <v>9925W813</v>
      </c>
      <c r="H13807" s="1" t="str">
        <f>"해암지 30R8"</f>
        <v>해암지 30R8</v>
      </c>
      <c r="I13807" s="1" t="s">
        <v>8</v>
      </c>
      <c r="J13807" s="1" t="str">
        <f>"36/36"</f>
        <v>36/36</v>
      </c>
      <c r="K13807" s="1" t="str">
        <f>"2026-07-29 13:18:14"</f>
        <v>2026-07-29 13:18:14</v>
      </c>
      <c r="L13807" s="1" t="str">
        <f>"2024-11-12 09:26:59"</f>
        <v>2024-11-12 09:26:59</v>
      </c>
      <c r="M13807" s="1" t="s">
        <v>0</v>
      </c>
      <c r="N13807" s="1" t="s">
        <v>38</v>
      </c>
      <c r="O13807" s="1" t="s">
        <v>46</v>
      </c>
    </row>
    <row r="13808" spans="2:15" x14ac:dyDescent="0.3">
      <c r="B13808" s="1" t="s">
        <v>20</v>
      </c>
      <c r="C13808" s="1" t="str">
        <f t="shared" si="699"/>
        <v>4차</v>
      </c>
      <c r="D13808" s="1" t="str">
        <f>"9925W82244"</f>
        <v>9925W82244</v>
      </c>
      <c r="E13808" s="1" t="s">
        <v>10</v>
      </c>
      <c r="F13808" s="1" t="str">
        <f>"10.10.67.74"</f>
        <v>10.10.67.74</v>
      </c>
      <c r="G13808" s="1" t="str">
        <f>"9925W822"</f>
        <v>9925W822</v>
      </c>
      <c r="H13808" s="1" t="str">
        <f>"해암지 31R6R3"</f>
        <v>해암지 31R6R3</v>
      </c>
      <c r="I13808" s="1" t="s">
        <v>8</v>
      </c>
      <c r="J13808" s="1" t="str">
        <f>"34/34"</f>
        <v>34/34</v>
      </c>
      <c r="K13808" s="1" t="str">
        <f t="shared" ref="K13808:K13813" si="701">"2026-07-29 13:18:11"</f>
        <v>2026-07-29 13:18:11</v>
      </c>
      <c r="L13808" s="1" t="str">
        <f>"2020-01-10 17:20:41"</f>
        <v>2020-01-10 17:20:41</v>
      </c>
      <c r="M13808" s="1" t="s">
        <v>1</v>
      </c>
      <c r="N13808" s="1" t="s">
        <v>38</v>
      </c>
      <c r="O13808" s="1" t="s">
        <v>46</v>
      </c>
    </row>
    <row r="13809" spans="2:15" x14ac:dyDescent="0.3">
      <c r="B13809" s="1" t="s">
        <v>20</v>
      </c>
      <c r="C13809" s="1" t="str">
        <f t="shared" si="699"/>
        <v>4차</v>
      </c>
      <c r="D13809" s="1" t="str">
        <f>"9925W83244"</f>
        <v>9925W83244</v>
      </c>
      <c r="E13809" s="1" t="s">
        <v>10</v>
      </c>
      <c r="F13809" s="1" t="str">
        <f>"10.10.67.66"</f>
        <v>10.10.67.66</v>
      </c>
      <c r="G13809" s="1" t="str">
        <f>"9925W832"</f>
        <v>9925W832</v>
      </c>
      <c r="H13809" s="1" t="str">
        <f>"해암지 30R5"</f>
        <v>해암지 30R5</v>
      </c>
      <c r="I13809" s="1" t="s">
        <v>8</v>
      </c>
      <c r="J13809" s="1" t="str">
        <f>"37/37"</f>
        <v>37/37</v>
      </c>
      <c r="K13809" s="1" t="str">
        <f t="shared" si="701"/>
        <v>2026-07-29 13:18:11</v>
      </c>
      <c r="L13809" s="1" t="str">
        <f>"2019-12-24 16:52:29"</f>
        <v>2019-12-24 16:52:29</v>
      </c>
      <c r="M13809" s="1" t="s">
        <v>1</v>
      </c>
      <c r="N13809" s="1" t="s">
        <v>38</v>
      </c>
      <c r="O13809" s="1" t="s">
        <v>46</v>
      </c>
    </row>
    <row r="13810" spans="2:15" x14ac:dyDescent="0.3">
      <c r="B13810" s="1" t="s">
        <v>20</v>
      </c>
      <c r="C13810" s="1" t="str">
        <f t="shared" si="699"/>
        <v>4차</v>
      </c>
      <c r="D13810" s="1" t="str">
        <f>"9925W84344"</f>
        <v>9925W84344</v>
      </c>
      <c r="E13810" s="1" t="s">
        <v>10</v>
      </c>
      <c r="F13810" s="1" t="str">
        <f>"10.10.119.98"</f>
        <v>10.10.119.98</v>
      </c>
      <c r="G13810" s="1" t="str">
        <f>"9925W843"</f>
        <v>9925W843</v>
      </c>
      <c r="H13810" s="1" t="str">
        <f>"해암지 31R5"</f>
        <v>해암지 31R5</v>
      </c>
      <c r="I13810" s="1" t="s">
        <v>8</v>
      </c>
      <c r="J13810" s="1" t="str">
        <f>"19/19"</f>
        <v>19/19</v>
      </c>
      <c r="K13810" s="1" t="str">
        <f t="shared" si="701"/>
        <v>2026-07-29 13:18:11</v>
      </c>
      <c r="L13810" s="1" t="str">
        <f>"2020-01-17 14:06:35"</f>
        <v>2020-01-17 14:06:35</v>
      </c>
      <c r="M13810" s="1" t="s">
        <v>1</v>
      </c>
      <c r="N13810" s="1" t="s">
        <v>38</v>
      </c>
      <c r="O13810" s="1" t="s">
        <v>46</v>
      </c>
    </row>
    <row r="13811" spans="2:15" x14ac:dyDescent="0.3">
      <c r="B13811" s="1" t="s">
        <v>20</v>
      </c>
      <c r="C13811" s="1" t="str">
        <f t="shared" si="699"/>
        <v>4차</v>
      </c>
      <c r="D13811" s="1" t="str">
        <f>"9925W92144"</f>
        <v>9925W92144</v>
      </c>
      <c r="E13811" s="1" t="s">
        <v>10</v>
      </c>
      <c r="F13811" s="1" t="str">
        <f>"10.10.65.218"</f>
        <v>10.10.65.218</v>
      </c>
      <c r="G13811" s="1" t="str">
        <f>"9925W921"</f>
        <v>9925W921</v>
      </c>
      <c r="H13811" s="1" t="str">
        <f>"해방간 23AL11"</f>
        <v>해방간 23AL11</v>
      </c>
      <c r="I13811" s="1" t="s">
        <v>8</v>
      </c>
      <c r="J13811" s="1" t="str">
        <f>"19/19"</f>
        <v>19/19</v>
      </c>
      <c r="K13811" s="1" t="str">
        <f t="shared" si="701"/>
        <v>2026-07-29 13:18:11</v>
      </c>
      <c r="L13811" s="1" t="str">
        <f>"2019-12-17 16:09:25"</f>
        <v>2019-12-17 16:09:25</v>
      </c>
      <c r="M13811" s="1" t="s">
        <v>1</v>
      </c>
      <c r="N13811" s="1" t="s">
        <v>38</v>
      </c>
      <c r="O13811" s="1" t="s">
        <v>46</v>
      </c>
    </row>
    <row r="13812" spans="2:15" x14ac:dyDescent="0.3">
      <c r="B13812" s="1" t="s">
        <v>20</v>
      </c>
      <c r="C13812" s="1" t="str">
        <f t="shared" si="699"/>
        <v>4차</v>
      </c>
      <c r="D13812" s="1" t="str">
        <f>"9925X00244"</f>
        <v>9925X00244</v>
      </c>
      <c r="E13812" s="1" t="s">
        <v>10</v>
      </c>
      <c r="F13812" s="1" t="str">
        <f>"10.10.118.218"</f>
        <v>10.10.118.218</v>
      </c>
      <c r="G13812" s="1" t="str">
        <f>"9925X002"</f>
        <v>9925X002</v>
      </c>
      <c r="H13812" s="1" t="str">
        <f>"해방간 23AL8"</f>
        <v>해방간 23AL8</v>
      </c>
      <c r="I13812" s="1" t="s">
        <v>8</v>
      </c>
      <c r="J13812" s="1" t="str">
        <f>"15/15"</f>
        <v>15/15</v>
      </c>
      <c r="K13812" s="1" t="str">
        <f t="shared" si="701"/>
        <v>2026-07-29 13:18:11</v>
      </c>
      <c r="L13812" s="1" t="str">
        <f>"2019-12-24 16:44:39"</f>
        <v>2019-12-24 16:44:39</v>
      </c>
      <c r="M13812" s="1" t="s">
        <v>1</v>
      </c>
      <c r="N13812" s="1" t="s">
        <v>38</v>
      </c>
      <c r="O13812" s="1" t="s">
        <v>46</v>
      </c>
    </row>
    <row r="13813" spans="2:15" x14ac:dyDescent="0.3">
      <c r="B13813" s="1" t="s">
        <v>20</v>
      </c>
      <c r="C13813" s="1" t="str">
        <f>"1차"</f>
        <v>1차</v>
      </c>
      <c r="D13813" s="1" t="str">
        <f>"9925Y06100"</f>
        <v>9925Y06100</v>
      </c>
      <c r="E13813" s="1" t="s">
        <v>10</v>
      </c>
      <c r="F13813" s="1" t="str">
        <f>"10.125.229.154"</f>
        <v>10.125.229.154</v>
      </c>
      <c r="G13813" s="1" t="str">
        <f>"9925Y061"</f>
        <v>9925Y061</v>
      </c>
      <c r="H13813" s="1" t="str">
        <f>"해암지 2"</f>
        <v>해암지 2</v>
      </c>
      <c r="I13813" s="1" t="s">
        <v>8</v>
      </c>
      <c r="J13813" s="1" t="str">
        <f>"10/10"</f>
        <v>10/10</v>
      </c>
      <c r="K13813" s="1" t="str">
        <f t="shared" si="701"/>
        <v>2026-07-29 13:18:11</v>
      </c>
      <c r="L13813" s="1" t="str">
        <f>"2014-11-24 13:41:03"</f>
        <v>2014-11-24 13:41:03</v>
      </c>
      <c r="M13813" s="1" t="s">
        <v>45</v>
      </c>
      <c r="N13813" s="1" t="s">
        <v>38</v>
      </c>
      <c r="O13813" s="1" t="s">
        <v>46</v>
      </c>
    </row>
    <row r="13814" spans="2:15" x14ac:dyDescent="0.3">
      <c r="B13814" s="1" t="s">
        <v>20</v>
      </c>
      <c r="C13814" s="1" t="str">
        <f>"4차"</f>
        <v>4차</v>
      </c>
      <c r="D13814" s="1" t="str">
        <f>"9925Y07144"</f>
        <v>9925Y07144</v>
      </c>
      <c r="E13814" s="1" t="s">
        <v>10</v>
      </c>
      <c r="F13814" s="1" t="str">
        <f>"10.12.138.132"</f>
        <v>10.12.138.132</v>
      </c>
      <c r="G13814" s="1" t="str">
        <f>"9925Y071"</f>
        <v>9925Y071</v>
      </c>
      <c r="H13814" s="1" t="str">
        <f>"해암지 3"</f>
        <v>해암지 3</v>
      </c>
      <c r="I13814" s="1" t="s">
        <v>8</v>
      </c>
      <c r="J13814" s="1" t="str">
        <f>"3/4"</f>
        <v>3/4</v>
      </c>
      <c r="K13814" s="1" t="str">
        <f>"2026-07-29 13:18:13"</f>
        <v>2026-07-29 13:18:13</v>
      </c>
      <c r="L13814" s="1" t="str">
        <f>"2025-08-05 19:22:10"</f>
        <v>2025-08-05 19:22:10</v>
      </c>
      <c r="M13814" s="1" t="s">
        <v>0</v>
      </c>
      <c r="N13814" s="1" t="s">
        <v>38</v>
      </c>
      <c r="O13814" s="1" t="s">
        <v>46</v>
      </c>
    </row>
    <row r="13815" spans="2:15" x14ac:dyDescent="0.3">
      <c r="B13815" s="1" t="s">
        <v>20</v>
      </c>
      <c r="C13815" s="1" t="str">
        <f>"1차"</f>
        <v>1차</v>
      </c>
      <c r="D13815" s="1" t="str">
        <f>"9925Y07400"</f>
        <v>9925Y07400</v>
      </c>
      <c r="E13815" s="1" t="s">
        <v>10</v>
      </c>
      <c r="F13815" s="1" t="str">
        <f>"10.125.229.162"</f>
        <v>10.125.229.162</v>
      </c>
      <c r="G13815" s="1" t="str">
        <f>"9925Y074"</f>
        <v>9925Y074</v>
      </c>
      <c r="H13815" s="1" t="str">
        <f>"해암지 5R2"</f>
        <v>해암지 5R2</v>
      </c>
      <c r="I13815" s="1" t="s">
        <v>8</v>
      </c>
      <c r="J13815" s="1" t="str">
        <f>"12/12"</f>
        <v>12/12</v>
      </c>
      <c r="K13815" s="1" t="str">
        <f>"2026-07-29 13:18:11"</f>
        <v>2026-07-29 13:18:11</v>
      </c>
      <c r="L13815" s="1" t="str">
        <f>"2014-11-24 13:42:13"</f>
        <v>2014-11-24 13:42:13</v>
      </c>
      <c r="M13815" s="1" t="s">
        <v>45</v>
      </c>
      <c r="N13815" s="1" t="s">
        <v>38</v>
      </c>
      <c r="O13815" s="1" t="s">
        <v>46</v>
      </c>
    </row>
    <row r="13816" spans="2:15" x14ac:dyDescent="0.3">
      <c r="B13816" s="1" t="s">
        <v>20</v>
      </c>
      <c r="C13816" s="1" t="str">
        <f>"6차"</f>
        <v>6차</v>
      </c>
      <c r="D13816" s="1" t="str">
        <f>"9925Y0856S"</f>
        <v>9925Y0856S</v>
      </c>
      <c r="E13816" s="1" t="s">
        <v>10</v>
      </c>
      <c r="F13816" s="1" t="str">
        <f>"fde1:103:4:c695:0:0:0:2"</f>
        <v>fde1:103:4:c695:0:0:0:2</v>
      </c>
      <c r="G13816" s="1" t="str">
        <f>"9925Y085"</f>
        <v>9925Y085</v>
      </c>
      <c r="H13816" s="1" t="str">
        <f>"해암지 5"</f>
        <v>해암지 5</v>
      </c>
      <c r="I13816" s="1" t="s">
        <v>15</v>
      </c>
      <c r="J13816" s="1" t="str">
        <f>"42/42"</f>
        <v>42/42</v>
      </c>
      <c r="K13816" s="1" t="str">
        <f>"2026-07-29 14:21:43"</f>
        <v>2026-07-29 14:21:43</v>
      </c>
      <c r="L13816" s="1" t="str">
        <f>"2024-11-08 14:05:06"</f>
        <v>2024-11-08 14:05:06</v>
      </c>
      <c r="M13816" s="1" t="s">
        <v>4</v>
      </c>
      <c r="N13816" s="1" t="s">
        <v>38</v>
      </c>
      <c r="O13816" s="1" t="s">
        <v>46</v>
      </c>
    </row>
    <row r="13817" spans="2:15" x14ac:dyDescent="0.3">
      <c r="B13817" s="1" t="s">
        <v>20</v>
      </c>
      <c r="C13817" s="1" t="str">
        <f t="shared" ref="C13817:C13823" si="702">"4차"</f>
        <v>4차</v>
      </c>
      <c r="D13817" s="1" t="str">
        <f>"9925Y09444"</f>
        <v>9925Y09444</v>
      </c>
      <c r="E13817" s="1" t="s">
        <v>10</v>
      </c>
      <c r="F13817" s="1" t="str">
        <f>"10.10.118.234"</f>
        <v>10.10.118.234</v>
      </c>
      <c r="G13817" s="1" t="str">
        <f>"9925Y094"</f>
        <v>9925Y094</v>
      </c>
      <c r="H13817" s="1" t="str">
        <f>"해암지 10R3"</f>
        <v>해암지 10R3</v>
      </c>
      <c r="I13817" s="1" t="s">
        <v>8</v>
      </c>
      <c r="J13817" s="1" t="str">
        <f>"20/20"</f>
        <v>20/20</v>
      </c>
      <c r="K13817" s="1" t="str">
        <f>"2026-07-29 13:18:11"</f>
        <v>2026-07-29 13:18:11</v>
      </c>
      <c r="L13817" s="1" t="str">
        <f>"2019-12-24 16:47:50"</f>
        <v>2019-12-24 16:47:50</v>
      </c>
      <c r="M13817" s="1" t="s">
        <v>1</v>
      </c>
      <c r="N13817" s="1" t="s">
        <v>38</v>
      </c>
      <c r="O13817" s="1" t="s">
        <v>46</v>
      </c>
    </row>
    <row r="13818" spans="2:15" x14ac:dyDescent="0.3">
      <c r="B13818" s="1" t="s">
        <v>20</v>
      </c>
      <c r="C13818" s="1" t="str">
        <f t="shared" si="702"/>
        <v>4차</v>
      </c>
      <c r="D13818" s="1" t="str">
        <f>"9925Y15144"</f>
        <v>9925Y15144</v>
      </c>
      <c r="E13818" s="1" t="s">
        <v>10</v>
      </c>
      <c r="F13818" s="1" t="str">
        <f>"10.10.118.130"</f>
        <v>10.10.118.130</v>
      </c>
      <c r="G13818" s="1" t="str">
        <f>"9925Y151"</f>
        <v>9925Y151</v>
      </c>
      <c r="H13818" s="1" t="str">
        <f>"남해간 31"</f>
        <v>남해간 31</v>
      </c>
      <c r="I13818" s="1" t="s">
        <v>8</v>
      </c>
      <c r="J13818" s="1" t="str">
        <f>"15/15"</f>
        <v>15/15</v>
      </c>
      <c r="K13818" s="1" t="str">
        <f>"2026-07-29 13:18:11"</f>
        <v>2026-07-29 13:18:11</v>
      </c>
      <c r="L13818" s="1" t="str">
        <f>"2019-12-24 16:45:45"</f>
        <v>2019-12-24 16:45:45</v>
      </c>
      <c r="M13818" s="1" t="s">
        <v>1</v>
      </c>
      <c r="N13818" s="1" t="s">
        <v>38</v>
      </c>
      <c r="O13818" s="1" t="s">
        <v>46</v>
      </c>
    </row>
    <row r="13819" spans="2:15" x14ac:dyDescent="0.3">
      <c r="B13819" s="1" t="s">
        <v>20</v>
      </c>
      <c r="C13819" s="1" t="str">
        <f t="shared" si="702"/>
        <v>4차</v>
      </c>
      <c r="D13819" s="1" t="str">
        <f>"9925Y18544"</f>
        <v>9925Y18544</v>
      </c>
      <c r="E13819" s="1" t="s">
        <v>10</v>
      </c>
      <c r="F13819" s="1" t="str">
        <f>"10.10.119.50"</f>
        <v>10.10.119.50</v>
      </c>
      <c r="G13819" s="1" t="str">
        <f>"9925Y185"</f>
        <v>9925Y185</v>
      </c>
      <c r="H13819" s="1" t="str">
        <f>"해암지 22R9R5"</f>
        <v>해암지 22R9R5</v>
      </c>
      <c r="I13819" s="1" t="s">
        <v>8</v>
      </c>
      <c r="J13819" s="1" t="str">
        <f>"3/3"</f>
        <v>3/3</v>
      </c>
      <c r="K13819" s="1" t="str">
        <f>"2026-07-29 13:18:11"</f>
        <v>2026-07-29 13:18:11</v>
      </c>
      <c r="L13819" s="1" t="str">
        <f>"2019-12-24 16:49:12"</f>
        <v>2019-12-24 16:49:12</v>
      </c>
      <c r="M13819" s="1" t="s">
        <v>1</v>
      </c>
      <c r="N13819" s="1" t="s">
        <v>38</v>
      </c>
      <c r="O13819" s="1" t="s">
        <v>46</v>
      </c>
    </row>
    <row r="13820" spans="2:15" x14ac:dyDescent="0.3">
      <c r="B13820" s="1" t="s">
        <v>20</v>
      </c>
      <c r="C13820" s="1" t="str">
        <f t="shared" si="702"/>
        <v>4차</v>
      </c>
      <c r="D13820" s="1" t="str">
        <f>"9925Y26144"</f>
        <v>9925Y26144</v>
      </c>
      <c r="E13820" s="1" t="s">
        <v>10</v>
      </c>
      <c r="F13820" s="1" t="str">
        <f>"10.10.82.114"</f>
        <v>10.10.82.114</v>
      </c>
      <c r="G13820" s="1" t="str">
        <f>"9925Y261"</f>
        <v>9925Y261</v>
      </c>
      <c r="H13820" s="1" t="str">
        <f>"남해간 33"</f>
        <v>남해간 33</v>
      </c>
      <c r="I13820" s="1" t="s">
        <v>8</v>
      </c>
      <c r="J13820" s="1" t="str">
        <f>"4/4"</f>
        <v>4/4</v>
      </c>
      <c r="K13820" s="1" t="str">
        <f>"2026-07-29 13:18:11"</f>
        <v>2026-07-29 13:18:11</v>
      </c>
      <c r="L13820" s="1" t="str">
        <f>"2019-12-24 16:44:36"</f>
        <v>2019-12-24 16:44:36</v>
      </c>
      <c r="M13820" s="1" t="s">
        <v>1</v>
      </c>
      <c r="N13820" s="1" t="s">
        <v>38</v>
      </c>
      <c r="O13820" s="1" t="s">
        <v>46</v>
      </c>
    </row>
    <row r="13821" spans="2:15" x14ac:dyDescent="0.3">
      <c r="B13821" s="1" t="s">
        <v>20</v>
      </c>
      <c r="C13821" s="1" t="str">
        <f t="shared" si="702"/>
        <v>4차</v>
      </c>
      <c r="D13821" s="1" t="str">
        <f>"9925Y27144"</f>
        <v>9925Y27144</v>
      </c>
      <c r="E13821" s="1" t="s">
        <v>14</v>
      </c>
      <c r="F13821" s="1" t="str">
        <f>"10.10.67.2"</f>
        <v>10.10.67.2</v>
      </c>
      <c r="G13821" s="1" t="str">
        <f>"9925Y271"</f>
        <v>9925Y271</v>
      </c>
      <c r="H13821" s="1" t="str">
        <f>"해암지 22R9R3"</f>
        <v>해암지 22R9R3</v>
      </c>
      <c r="I13821" s="1" t="s">
        <v>8</v>
      </c>
      <c r="J13821" s="1" t="str">
        <f>"0/0"</f>
        <v>0/0</v>
      </c>
      <c r="K13821" s="1" t="str">
        <f>"2026-07-29 13:18:11"</f>
        <v>2026-07-29 13:18:11</v>
      </c>
      <c r="L13821" s="1" t="str">
        <f>"2019-12-24 16:45:25"</f>
        <v>2019-12-24 16:45:25</v>
      </c>
      <c r="M13821" s="1" t="s">
        <v>1</v>
      </c>
      <c r="N13821" s="1" t="s">
        <v>38</v>
      </c>
      <c r="O13821" s="1" t="s">
        <v>44</v>
      </c>
    </row>
    <row r="13822" spans="2:15" x14ac:dyDescent="0.3">
      <c r="B13822" s="1" t="s">
        <v>20</v>
      </c>
      <c r="C13822" s="1" t="str">
        <f t="shared" si="702"/>
        <v>4차</v>
      </c>
      <c r="D13822" s="1" t="str">
        <f>"9925Y28144"</f>
        <v>9925Y28144</v>
      </c>
      <c r="E13822" s="1" t="s">
        <v>10</v>
      </c>
      <c r="F13822" s="1" t="str">
        <f>"10.12.138.147"</f>
        <v>10.12.138.147</v>
      </c>
      <c r="G13822" s="1" t="str">
        <f>"9925Y281"</f>
        <v>9925Y281</v>
      </c>
      <c r="H13822" s="1" t="str">
        <f>"해암지 22R8R2"</f>
        <v>해암지 22R8R2</v>
      </c>
      <c r="I13822" s="1" t="s">
        <v>8</v>
      </c>
      <c r="J13822" s="1" t="str">
        <f>"37/40"</f>
        <v>37/40</v>
      </c>
      <c r="K13822" s="1" t="str">
        <f>"2026-07-29 13:18:14"</f>
        <v>2026-07-29 13:18:14</v>
      </c>
      <c r="L13822" s="1" t="str">
        <f>"2019-11-11 20:06:24"</f>
        <v>2019-11-11 20:06:24</v>
      </c>
      <c r="M13822" s="1" t="s">
        <v>0</v>
      </c>
      <c r="N13822" s="1" t="s">
        <v>38</v>
      </c>
      <c r="O13822" s="1" t="s">
        <v>46</v>
      </c>
    </row>
    <row r="13823" spans="2:15" x14ac:dyDescent="0.3">
      <c r="B13823" s="1" t="s">
        <v>20</v>
      </c>
      <c r="C13823" s="1" t="str">
        <f t="shared" si="702"/>
        <v>4차</v>
      </c>
      <c r="D13823" s="1" t="str">
        <f>"9925Y29144"</f>
        <v>9925Y29144</v>
      </c>
      <c r="E13823" s="1" t="s">
        <v>10</v>
      </c>
      <c r="F13823" s="1" t="str">
        <f>"10.10.66.226"</f>
        <v>10.10.66.226</v>
      </c>
      <c r="G13823" s="1" t="str">
        <f>"9925Y291"</f>
        <v>9925Y291</v>
      </c>
      <c r="H13823" s="1" t="str">
        <f>"해암지 22R6R2"</f>
        <v>해암지 22R6R2</v>
      </c>
      <c r="I13823" s="1" t="s">
        <v>8</v>
      </c>
      <c r="J13823" s="1" t="str">
        <f>"56/56"</f>
        <v>56/56</v>
      </c>
      <c r="K13823" s="1" t="str">
        <f>"2026-07-29 13:18:11"</f>
        <v>2026-07-29 13:18:11</v>
      </c>
      <c r="L13823" s="1" t="str">
        <f>"2019-12-24 16:52:27"</f>
        <v>2019-12-24 16:52:27</v>
      </c>
      <c r="M13823" s="1" t="s">
        <v>1</v>
      </c>
      <c r="N13823" s="1" t="s">
        <v>38</v>
      </c>
      <c r="O13823" s="1" t="s">
        <v>46</v>
      </c>
    </row>
    <row r="13824" spans="2:15" x14ac:dyDescent="0.3">
      <c r="B13824" s="1" t="s">
        <v>20</v>
      </c>
      <c r="C13824" s="1" t="str">
        <f>"3차"</f>
        <v>3차</v>
      </c>
      <c r="D13824" s="1" t="str">
        <f>"9925Y37339"</f>
        <v>9925Y37339</v>
      </c>
      <c r="E13824" s="1" t="s">
        <v>10</v>
      </c>
      <c r="F13824" s="1" t="str">
        <f>"10.125.239.42"</f>
        <v>10.125.239.42</v>
      </c>
      <c r="G13824" s="1" t="str">
        <f>"9925Y373"</f>
        <v>9925Y373</v>
      </c>
      <c r="H13824" s="1" t="str">
        <f>"해암지 22R9R2"</f>
        <v>해암지 22R9R2</v>
      </c>
      <c r="I13824" s="1" t="s">
        <v>8</v>
      </c>
      <c r="J13824" s="1" t="str">
        <f>"31/31"</f>
        <v>31/31</v>
      </c>
      <c r="K13824" s="1" t="str">
        <f>"2026-07-29 13:18:11"</f>
        <v>2026-07-29 13:18:11</v>
      </c>
      <c r="L13824" s="1" t="str">
        <f>"2018-04-26 12:15:28"</f>
        <v>2018-04-26 12:15:28</v>
      </c>
      <c r="M13824" s="1" t="s">
        <v>45</v>
      </c>
      <c r="N13824" s="1" t="s">
        <v>38</v>
      </c>
      <c r="O13824" s="1" t="s">
        <v>46</v>
      </c>
    </row>
    <row r="13825" spans="2:15" x14ac:dyDescent="0.3">
      <c r="B13825" s="1" t="s">
        <v>20</v>
      </c>
      <c r="C13825" s="1" t="str">
        <f>"6차"</f>
        <v>6차</v>
      </c>
      <c r="D13825" s="1" t="str">
        <f>"9925Y3746S"</f>
        <v>9925Y3746S</v>
      </c>
      <c r="E13825" s="1" t="s">
        <v>10</v>
      </c>
      <c r="F13825" s="1" t="str">
        <f>"fde1:103:4:9296:0:0:0:2"</f>
        <v>fde1:103:4:9296:0:0:0:2</v>
      </c>
      <c r="G13825" s="1" t="str">
        <f>"9925Y374"</f>
        <v>9925Y374</v>
      </c>
      <c r="H13825" s="1" t="str">
        <f>"해암지 22R9R2L1"</f>
        <v>해암지 22R9R2L1</v>
      </c>
      <c r="I13825" s="1" t="s">
        <v>15</v>
      </c>
      <c r="J13825" s="1" t="str">
        <f>"13/13"</f>
        <v>13/13</v>
      </c>
      <c r="K13825" s="1" t="str">
        <f>"2026-07-29 14:21:28"</f>
        <v>2026-07-29 14:21:28</v>
      </c>
      <c r="L13825" s="1" t="str">
        <f>"2025-02-18 15:49:14"</f>
        <v>2025-02-18 15:49:14</v>
      </c>
      <c r="M13825" s="1" t="s">
        <v>4</v>
      </c>
      <c r="N13825" s="1" t="s">
        <v>38</v>
      </c>
      <c r="O13825" s="1" t="s">
        <v>46</v>
      </c>
    </row>
    <row r="13826" spans="2:15" x14ac:dyDescent="0.3">
      <c r="B13826" s="1" t="s">
        <v>20</v>
      </c>
      <c r="C13826" s="1" t="str">
        <f>"6차"</f>
        <v>6차</v>
      </c>
      <c r="D13826" s="1" t="str">
        <f>"9925Y3766S"</f>
        <v>9925Y3766S</v>
      </c>
      <c r="E13826" s="1" t="s">
        <v>10</v>
      </c>
      <c r="F13826" s="1" t="str">
        <f>"fde1:103:4:9298:0:0:0:2"</f>
        <v>fde1:103:4:9298:0:0:0:2</v>
      </c>
      <c r="G13826" s="1" t="str">
        <f>"9925Y376"</f>
        <v>9925Y376</v>
      </c>
      <c r="H13826" s="1" t="str">
        <f>"해암지 22R9R1"</f>
        <v>해암지 22R9R1</v>
      </c>
      <c r="I13826" s="1" t="s">
        <v>15</v>
      </c>
      <c r="J13826" s="1" t="str">
        <f>"50/50"</f>
        <v>50/50</v>
      </c>
      <c r="K13826" s="1" t="str">
        <f>"2026-07-29 14:21:28"</f>
        <v>2026-07-29 14:21:28</v>
      </c>
      <c r="L13826" s="1" t="str">
        <f>"2025-02-18 15:48:54"</f>
        <v>2025-02-18 15:48:54</v>
      </c>
      <c r="M13826" s="1" t="s">
        <v>4</v>
      </c>
      <c r="N13826" s="1" t="s">
        <v>38</v>
      </c>
      <c r="O13826" s="1" t="s">
        <v>46</v>
      </c>
    </row>
    <row r="13827" spans="2:15" x14ac:dyDescent="0.3">
      <c r="B13827" s="1" t="s">
        <v>20</v>
      </c>
      <c r="C13827" s="1" t="str">
        <f t="shared" ref="C13827:C13832" si="703">"4차"</f>
        <v>4차</v>
      </c>
      <c r="D13827" s="1" t="str">
        <f>"9925Y38144"</f>
        <v>9925Y38144</v>
      </c>
      <c r="E13827" s="1" t="s">
        <v>10</v>
      </c>
      <c r="F13827" s="1" t="str">
        <f>"10.10.119.34"</f>
        <v>10.10.119.34</v>
      </c>
      <c r="G13827" s="1" t="str">
        <f>"9925Y381"</f>
        <v>9925Y381</v>
      </c>
      <c r="H13827" s="1" t="str">
        <f>"해암지 22R8"</f>
        <v>해암지 22R8</v>
      </c>
      <c r="I13827" s="1" t="s">
        <v>8</v>
      </c>
      <c r="J13827" s="1" t="str">
        <f>"15/15"</f>
        <v>15/15</v>
      </c>
      <c r="K13827" s="1" t="str">
        <f t="shared" ref="K13827:K13838" si="704">"2026-07-29 13:18:11"</f>
        <v>2026-07-29 13:18:11</v>
      </c>
      <c r="L13827" s="1" t="str">
        <f>"2020-01-10 17:11:26"</f>
        <v>2020-01-10 17:11:26</v>
      </c>
      <c r="M13827" s="1" t="s">
        <v>1</v>
      </c>
      <c r="N13827" s="1" t="s">
        <v>38</v>
      </c>
      <c r="O13827" s="1" t="s">
        <v>46</v>
      </c>
    </row>
    <row r="13828" spans="2:15" x14ac:dyDescent="0.3">
      <c r="B13828" s="1" t="s">
        <v>20</v>
      </c>
      <c r="C13828" s="1" t="str">
        <f t="shared" si="703"/>
        <v>4차</v>
      </c>
      <c r="D13828" s="1" t="str">
        <f>"9925Y38244"</f>
        <v>9925Y38244</v>
      </c>
      <c r="E13828" s="1" t="s">
        <v>10</v>
      </c>
      <c r="F13828" s="1" t="str">
        <f>"10.10.66.250"</f>
        <v>10.10.66.250</v>
      </c>
      <c r="G13828" s="1" t="str">
        <f>"9925Y382"</f>
        <v>9925Y382</v>
      </c>
      <c r="H13828" s="1" t="str">
        <f>"해암지 22R8R1"</f>
        <v>해암지 22R8R1</v>
      </c>
      <c r="I13828" s="1" t="s">
        <v>8</v>
      </c>
      <c r="J13828" s="1" t="str">
        <f>"31/31"</f>
        <v>31/31</v>
      </c>
      <c r="K13828" s="1" t="str">
        <f t="shared" si="704"/>
        <v>2026-07-29 13:18:11</v>
      </c>
      <c r="L13828" s="1" t="str">
        <f>"2019-12-24 16:45:41"</f>
        <v>2019-12-24 16:45:41</v>
      </c>
      <c r="M13828" s="1" t="s">
        <v>1</v>
      </c>
      <c r="N13828" s="1" t="s">
        <v>38</v>
      </c>
      <c r="O13828" s="1" t="s">
        <v>46</v>
      </c>
    </row>
    <row r="13829" spans="2:15" x14ac:dyDescent="0.3">
      <c r="B13829" s="1" t="s">
        <v>20</v>
      </c>
      <c r="C13829" s="1" t="str">
        <f t="shared" si="703"/>
        <v>4차</v>
      </c>
      <c r="D13829" s="1" t="str">
        <f>"9925Y39144"</f>
        <v>9925Y39144</v>
      </c>
      <c r="E13829" s="1" t="s">
        <v>10</v>
      </c>
      <c r="F13829" s="1" t="str">
        <f>"10.10.66.186"</f>
        <v>10.10.66.186</v>
      </c>
      <c r="G13829" s="1" t="str">
        <f>"9925Y391"</f>
        <v>9925Y391</v>
      </c>
      <c r="H13829" s="1" t="str">
        <f>"해암지 22R6"</f>
        <v>해암지 22R6</v>
      </c>
      <c r="I13829" s="1" t="s">
        <v>8</v>
      </c>
      <c r="J13829" s="1" t="str">
        <f>"10/10"</f>
        <v>10/10</v>
      </c>
      <c r="K13829" s="1" t="str">
        <f t="shared" si="704"/>
        <v>2026-07-29 13:18:11</v>
      </c>
      <c r="L13829" s="1" t="str">
        <f>"2019-12-24 16:45:56"</f>
        <v>2019-12-24 16:45:56</v>
      </c>
      <c r="M13829" s="1" t="s">
        <v>1</v>
      </c>
      <c r="N13829" s="1" t="s">
        <v>38</v>
      </c>
      <c r="O13829" s="1" t="s">
        <v>46</v>
      </c>
    </row>
    <row r="13830" spans="2:15" x14ac:dyDescent="0.3">
      <c r="B13830" s="1" t="s">
        <v>20</v>
      </c>
      <c r="C13830" s="1" t="str">
        <f t="shared" si="703"/>
        <v>4차</v>
      </c>
      <c r="D13830" s="1" t="str">
        <f>"9925Y39244"</f>
        <v>9925Y39244</v>
      </c>
      <c r="E13830" s="1" t="s">
        <v>10</v>
      </c>
      <c r="F13830" s="1" t="str">
        <f>"10.10.66.210"</f>
        <v>10.10.66.210</v>
      </c>
      <c r="G13830" s="1" t="str">
        <f>"9925Y392"</f>
        <v>9925Y392</v>
      </c>
      <c r="H13830" s="1" t="str">
        <f>"해암지 22R6AR1"</f>
        <v>해암지 22R6AR1</v>
      </c>
      <c r="I13830" s="1" t="s">
        <v>8</v>
      </c>
      <c r="J13830" s="1" t="str">
        <f>"21/21"</f>
        <v>21/21</v>
      </c>
      <c r="K13830" s="1" t="str">
        <f t="shared" si="704"/>
        <v>2026-07-29 13:18:11</v>
      </c>
      <c r="L13830" s="1" t="str">
        <f>"2019-12-24 16:46:32"</f>
        <v>2019-12-24 16:46:32</v>
      </c>
      <c r="M13830" s="1" t="s">
        <v>1</v>
      </c>
      <c r="N13830" s="1" t="s">
        <v>38</v>
      </c>
      <c r="O13830" s="1" t="s">
        <v>46</v>
      </c>
    </row>
    <row r="13831" spans="2:15" x14ac:dyDescent="0.3">
      <c r="B13831" s="1" t="s">
        <v>20</v>
      </c>
      <c r="C13831" s="1" t="str">
        <f t="shared" si="703"/>
        <v>4차</v>
      </c>
      <c r="D13831" s="1" t="str">
        <f>"9925Y46144"</f>
        <v>9925Y46144</v>
      </c>
      <c r="E13831" s="1" t="s">
        <v>10</v>
      </c>
      <c r="F13831" s="1" t="str">
        <f>"10.10.118.138"</f>
        <v>10.10.118.138</v>
      </c>
      <c r="G13831" s="1" t="str">
        <f>"9925Y461"</f>
        <v>9925Y461</v>
      </c>
      <c r="H13831" s="1" t="str">
        <f>"남해간 36"</f>
        <v>남해간 36</v>
      </c>
      <c r="I13831" s="1" t="s">
        <v>8</v>
      </c>
      <c r="J13831" s="1" t="str">
        <f>"27/27"</f>
        <v>27/27</v>
      </c>
      <c r="K13831" s="1" t="str">
        <f t="shared" si="704"/>
        <v>2026-07-29 13:18:11</v>
      </c>
      <c r="L13831" s="1" t="str">
        <f>"2019-12-24 16:40:10"</f>
        <v>2019-12-24 16:40:10</v>
      </c>
      <c r="M13831" s="1" t="s">
        <v>1</v>
      </c>
      <c r="N13831" s="1" t="s">
        <v>38</v>
      </c>
      <c r="O13831" s="1" t="s">
        <v>46</v>
      </c>
    </row>
    <row r="13832" spans="2:15" x14ac:dyDescent="0.3">
      <c r="B13832" s="1" t="s">
        <v>20</v>
      </c>
      <c r="C13832" s="1" t="str">
        <f t="shared" si="703"/>
        <v>4차</v>
      </c>
      <c r="D13832" s="1" t="str">
        <f>"9925Y47244"</f>
        <v>9925Y47244</v>
      </c>
      <c r="E13832" s="1" t="s">
        <v>10</v>
      </c>
      <c r="F13832" s="1" t="str">
        <f>"10.10.119.42"</f>
        <v>10.10.119.42</v>
      </c>
      <c r="G13832" s="1" t="str">
        <f>"9925Y472"</f>
        <v>9925Y472</v>
      </c>
      <c r="H13832" s="1" t="str">
        <f>"해암지 22R9"</f>
        <v>해암지 22R9</v>
      </c>
      <c r="I13832" s="1" t="s">
        <v>8</v>
      </c>
      <c r="J13832" s="1" t="str">
        <f>"17/17"</f>
        <v>17/17</v>
      </c>
      <c r="K13832" s="1" t="str">
        <f t="shared" si="704"/>
        <v>2026-07-29 13:18:11</v>
      </c>
      <c r="L13832" s="1" t="str">
        <f>"2019-12-24 16:47:13"</f>
        <v>2019-12-24 16:47:13</v>
      </c>
      <c r="M13832" s="1" t="s">
        <v>1</v>
      </c>
      <c r="N13832" s="1" t="s">
        <v>38</v>
      </c>
      <c r="O13832" s="1" t="s">
        <v>46</v>
      </c>
    </row>
    <row r="13833" spans="2:15" x14ac:dyDescent="0.3">
      <c r="B13833" s="1" t="s">
        <v>20</v>
      </c>
      <c r="C13833" s="1" t="str">
        <f>"1차"</f>
        <v>1차</v>
      </c>
      <c r="D13833" s="1" t="str">
        <f>"9925Y48100"</f>
        <v>9925Y48100</v>
      </c>
      <c r="E13833" s="1" t="s">
        <v>10</v>
      </c>
      <c r="F13833" s="1" t="str">
        <f>"10.125.229.178"</f>
        <v>10.125.229.178</v>
      </c>
      <c r="G13833" s="1" t="str">
        <f>"9925Y481"</f>
        <v>9925Y481</v>
      </c>
      <c r="H13833" s="1" t="str">
        <f>"해암지 22R10"</f>
        <v>해암지 22R10</v>
      </c>
      <c r="I13833" s="1" t="s">
        <v>8</v>
      </c>
      <c r="J13833" s="1" t="str">
        <f>"24/24"</f>
        <v>24/24</v>
      </c>
      <c r="K13833" s="1" t="str">
        <f t="shared" si="704"/>
        <v>2026-07-29 13:18:11</v>
      </c>
      <c r="L13833" s="1" t="str">
        <f>"2014-12-04 11:23:40"</f>
        <v>2014-12-04 11:23:40</v>
      </c>
      <c r="M13833" s="1" t="s">
        <v>45</v>
      </c>
      <c r="N13833" s="1" t="s">
        <v>38</v>
      </c>
      <c r="O13833" s="1" t="s">
        <v>46</v>
      </c>
    </row>
    <row r="13834" spans="2:15" x14ac:dyDescent="0.3">
      <c r="B13834" s="1" t="s">
        <v>20</v>
      </c>
      <c r="C13834" s="1" t="str">
        <f>"1차"</f>
        <v>1차</v>
      </c>
      <c r="D13834" s="1" t="str">
        <f>"9925Y52100"</f>
        <v>9925Y52100</v>
      </c>
      <c r="E13834" s="1" t="s">
        <v>10</v>
      </c>
      <c r="F13834" s="1" t="str">
        <f>"10.125.225.242"</f>
        <v>10.125.225.242</v>
      </c>
      <c r="G13834" s="1" t="str">
        <f>"9925Y521"</f>
        <v>9925Y521</v>
      </c>
      <c r="H13834" s="1" t="str">
        <f>"남해간 46R1"</f>
        <v>남해간 46R1</v>
      </c>
      <c r="I13834" s="1" t="s">
        <v>8</v>
      </c>
      <c r="J13834" s="1" t="str">
        <f>"30/30"</f>
        <v>30/30</v>
      </c>
      <c r="K13834" s="1" t="str">
        <f t="shared" si="704"/>
        <v>2026-07-29 13:18:11</v>
      </c>
      <c r="L13834" s="1" t="str">
        <f>"2014-11-24 13:46:50"</f>
        <v>2014-11-24 13:46:50</v>
      </c>
      <c r="M13834" s="1" t="s">
        <v>45</v>
      </c>
      <c r="N13834" s="1" t="s">
        <v>38</v>
      </c>
      <c r="O13834" s="1" t="s">
        <v>46</v>
      </c>
    </row>
    <row r="13835" spans="2:15" x14ac:dyDescent="0.3">
      <c r="B13835" s="1" t="s">
        <v>20</v>
      </c>
      <c r="C13835" s="1" t="str">
        <f>"4차"</f>
        <v>4차</v>
      </c>
      <c r="D13835" s="1" t="str">
        <f>"9925Y52244"</f>
        <v>9925Y52244</v>
      </c>
      <c r="E13835" s="1" t="s">
        <v>10</v>
      </c>
      <c r="F13835" s="1" t="str">
        <f>"10.125.239.18"</f>
        <v>10.125.239.18</v>
      </c>
      <c r="G13835" s="1" t="str">
        <f>"9925Y522"</f>
        <v>9925Y522</v>
      </c>
      <c r="H13835" s="1" t="str">
        <f>"남해간 46R2"</f>
        <v>남해간 46R2</v>
      </c>
      <c r="I13835" s="1" t="s">
        <v>8</v>
      </c>
      <c r="J13835" s="1" t="str">
        <f>"31/31"</f>
        <v>31/31</v>
      </c>
      <c r="K13835" s="1" t="str">
        <f t="shared" si="704"/>
        <v>2026-07-29 13:18:11</v>
      </c>
      <c r="L13835" s="1" t="str">
        <f>"2020-01-08 15:06:39"</f>
        <v>2020-01-08 15:06:39</v>
      </c>
      <c r="M13835" s="1" t="s">
        <v>45</v>
      </c>
      <c r="N13835" s="1" t="s">
        <v>38</v>
      </c>
      <c r="O13835" s="1" t="s">
        <v>46</v>
      </c>
    </row>
    <row r="13836" spans="2:15" x14ac:dyDescent="0.3">
      <c r="B13836" s="1" t="s">
        <v>20</v>
      </c>
      <c r="C13836" s="1" t="str">
        <f>"4차"</f>
        <v>4차</v>
      </c>
      <c r="D13836" s="1" t="str">
        <f>"9925Y57242"</f>
        <v>9925Y57242</v>
      </c>
      <c r="E13836" s="1" t="s">
        <v>10</v>
      </c>
      <c r="F13836" s="1" t="str">
        <f>"10.125.229.194"</f>
        <v>10.125.229.194</v>
      </c>
      <c r="G13836" s="1" t="str">
        <f>"9925Y572"</f>
        <v>9925Y572</v>
      </c>
      <c r="H13836" s="1" t="str">
        <f>"남해간 39"</f>
        <v>남해간 39</v>
      </c>
      <c r="I13836" s="1" t="s">
        <v>8</v>
      </c>
      <c r="J13836" s="1" t="str">
        <f>"19/20"</f>
        <v>19/20</v>
      </c>
      <c r="K13836" s="1" t="str">
        <f t="shared" si="704"/>
        <v>2026-07-29 13:18:11</v>
      </c>
      <c r="L13836" s="1" t="str">
        <f>"2025-07-23 15:51:03"</f>
        <v>2025-07-23 15:51:03</v>
      </c>
      <c r="M13836" s="1" t="s">
        <v>45</v>
      </c>
      <c r="N13836" s="1" t="s">
        <v>38</v>
      </c>
      <c r="O13836" s="1" t="s">
        <v>46</v>
      </c>
    </row>
    <row r="13837" spans="2:15" x14ac:dyDescent="0.3">
      <c r="B13837" s="1" t="s">
        <v>20</v>
      </c>
      <c r="C13837" s="1" t="str">
        <f>"4차"</f>
        <v>4차</v>
      </c>
      <c r="D13837" s="1" t="str">
        <f>"9925Y58144"</f>
        <v>9925Y58144</v>
      </c>
      <c r="E13837" s="1" t="s">
        <v>10</v>
      </c>
      <c r="F13837" s="1" t="str">
        <f>"10.10.119.18"</f>
        <v>10.10.119.18</v>
      </c>
      <c r="G13837" s="1" t="str">
        <f>"9925Y581"</f>
        <v>9925Y581</v>
      </c>
      <c r="H13837" s="1" t="str">
        <f>"해암지 22R11"</f>
        <v>해암지 22R11</v>
      </c>
      <c r="I13837" s="1" t="s">
        <v>8</v>
      </c>
      <c r="J13837" s="1" t="str">
        <f>"21/21"</f>
        <v>21/21</v>
      </c>
      <c r="K13837" s="1" t="str">
        <f t="shared" si="704"/>
        <v>2026-07-29 13:18:11</v>
      </c>
      <c r="L13837" s="1" t="str">
        <f>"2020-01-17 11:25:29"</f>
        <v>2020-01-17 11:25:29</v>
      </c>
      <c r="M13837" s="1" t="s">
        <v>1</v>
      </c>
      <c r="N13837" s="1" t="s">
        <v>38</v>
      </c>
      <c r="O13837" s="1" t="s">
        <v>46</v>
      </c>
    </row>
    <row r="13838" spans="2:15" x14ac:dyDescent="0.3">
      <c r="B13838" s="1" t="s">
        <v>20</v>
      </c>
      <c r="C13838" s="1" t="str">
        <f>"4차"</f>
        <v>4차</v>
      </c>
      <c r="D13838" s="1" t="str">
        <f>"9925Y59144"</f>
        <v>9925Y59144</v>
      </c>
      <c r="E13838" s="1" t="s">
        <v>10</v>
      </c>
      <c r="F13838" s="1" t="str">
        <f>"10.10.66.138"</f>
        <v>10.10.66.138</v>
      </c>
      <c r="G13838" s="1" t="str">
        <f>"9925Y591"</f>
        <v>9925Y591</v>
      </c>
      <c r="H13838" s="1" t="str">
        <f>"해암지 22R12"</f>
        <v>해암지 22R12</v>
      </c>
      <c r="I13838" s="1" t="s">
        <v>8</v>
      </c>
      <c r="J13838" s="1" t="str">
        <f>"21/21"</f>
        <v>21/21</v>
      </c>
      <c r="K13838" s="1" t="str">
        <f t="shared" si="704"/>
        <v>2026-07-29 13:18:11</v>
      </c>
      <c r="L13838" s="1" t="str">
        <f>"2020-01-17 11:12:14"</f>
        <v>2020-01-17 11:12:14</v>
      </c>
      <c r="M13838" s="1" t="s">
        <v>1</v>
      </c>
      <c r="N13838" s="1" t="s">
        <v>38</v>
      </c>
      <c r="O13838" s="1" t="s">
        <v>46</v>
      </c>
    </row>
    <row r="13839" spans="2:15" x14ac:dyDescent="0.3">
      <c r="B13839" s="1" t="s">
        <v>20</v>
      </c>
      <c r="C13839" s="1" t="str">
        <f>"1차"</f>
        <v>1차</v>
      </c>
      <c r="D13839" s="1" t="str">
        <f>"9925Y59201"</f>
        <v>9925Y59201</v>
      </c>
      <c r="E13839" s="1" t="s">
        <v>10</v>
      </c>
      <c r="F13839" s="1" t="str">
        <f>"10.125.229.179"</f>
        <v>10.125.229.179</v>
      </c>
      <c r="G13839" s="1" t="str">
        <f>"9925Y592"</f>
        <v>9925Y592</v>
      </c>
      <c r="H13839" s="1" t="str">
        <f>"해암지 22R13"</f>
        <v>해암지 22R13</v>
      </c>
      <c r="I13839" s="1" t="s">
        <v>8</v>
      </c>
      <c r="J13839" s="1" t="str">
        <f>"19/19"</f>
        <v>19/19</v>
      </c>
      <c r="K13839" s="1" t="str">
        <f>"2026-07-29 01:18:13"</f>
        <v>2026-07-29 01:18:13</v>
      </c>
      <c r="L13839" s="1" t="str">
        <f>"2014-12-04 11:13:35"</f>
        <v>2014-12-04 11:13:35</v>
      </c>
      <c r="M13839" s="1" t="s">
        <v>45</v>
      </c>
      <c r="N13839" s="1" t="s">
        <v>38</v>
      </c>
      <c r="O13839" s="1" t="s">
        <v>46</v>
      </c>
    </row>
    <row r="13840" spans="2:15" x14ac:dyDescent="0.3">
      <c r="B13840" s="1" t="s">
        <v>20</v>
      </c>
      <c r="C13840" s="1" t="str">
        <f>"4차"</f>
        <v>4차</v>
      </c>
      <c r="D13840" s="1" t="str">
        <f>"9925Y62344"</f>
        <v>9925Y62344</v>
      </c>
      <c r="E13840" s="1" t="s">
        <v>10</v>
      </c>
      <c r="F13840" s="1" t="str">
        <f>"10.10.64.170"</f>
        <v>10.10.64.170</v>
      </c>
      <c r="G13840" s="1" t="str">
        <f>"9925Y623"</f>
        <v>9925Y623</v>
      </c>
      <c r="H13840" s="1" t="str">
        <f>"남해간 46"</f>
        <v>남해간 46</v>
      </c>
      <c r="I13840" s="1" t="s">
        <v>8</v>
      </c>
      <c r="J13840" s="1" t="str">
        <f>"47/47"</f>
        <v>47/47</v>
      </c>
      <c r="K13840" s="1" t="str">
        <f>"2026-07-29 13:18:11"</f>
        <v>2026-07-29 13:18:11</v>
      </c>
      <c r="L13840" s="1" t="str">
        <f>"2019-12-17 15:36:57"</f>
        <v>2019-12-17 15:36:57</v>
      </c>
      <c r="M13840" s="1" t="s">
        <v>1</v>
      </c>
      <c r="N13840" s="1" t="s">
        <v>38</v>
      </c>
      <c r="O13840" s="1" t="s">
        <v>46</v>
      </c>
    </row>
    <row r="13841" spans="2:15" x14ac:dyDescent="0.3">
      <c r="B13841" s="1" t="s">
        <v>20</v>
      </c>
      <c r="C13841" s="1" t="str">
        <f>"4차"</f>
        <v>4차</v>
      </c>
      <c r="D13841" s="1" t="str">
        <f>"9925Y63144"</f>
        <v>9925Y63144</v>
      </c>
      <c r="E13841" s="1" t="s">
        <v>10</v>
      </c>
      <c r="F13841" s="1" t="str">
        <f>"10.10.64.130"</f>
        <v>10.10.64.130</v>
      </c>
      <c r="G13841" s="1" t="str">
        <f>"9925Y631"</f>
        <v>9925Y631</v>
      </c>
      <c r="H13841" s="1" t="str">
        <f>"남해간 45"</f>
        <v>남해간 45</v>
      </c>
      <c r="I13841" s="1" t="s">
        <v>8</v>
      </c>
      <c r="J13841" s="1" t="str">
        <f>"25/27"</f>
        <v>25/27</v>
      </c>
      <c r="K13841" s="1" t="str">
        <f>"2026-07-29 13:18:11"</f>
        <v>2026-07-29 13:18:11</v>
      </c>
      <c r="L13841" s="1" t="str">
        <f>"2020-01-10 17:20:48"</f>
        <v>2020-01-10 17:20:48</v>
      </c>
      <c r="M13841" s="1" t="s">
        <v>1</v>
      </c>
      <c r="N13841" s="1" t="s">
        <v>38</v>
      </c>
      <c r="O13841" s="1" t="s">
        <v>46</v>
      </c>
    </row>
    <row r="13842" spans="2:15" x14ac:dyDescent="0.3">
      <c r="B13842" s="1" t="s">
        <v>20</v>
      </c>
      <c r="C13842" s="1" t="str">
        <f>"4차"</f>
        <v>4차</v>
      </c>
      <c r="D13842" s="1" t="str">
        <f>"9925Y65344"</f>
        <v>9925Y65344</v>
      </c>
      <c r="E13842" s="1" t="s">
        <v>10</v>
      </c>
      <c r="F13842" s="1" t="str">
        <f>"10.10.64.202"</f>
        <v>10.10.64.202</v>
      </c>
      <c r="G13842" s="1" t="str">
        <f>"9925Y653"</f>
        <v>9925Y653</v>
      </c>
      <c r="H13842" s="1" t="str">
        <f>"남해간 50L12"</f>
        <v>남해간 50L12</v>
      </c>
      <c r="I13842" s="1" t="s">
        <v>8</v>
      </c>
      <c r="J13842" s="1" t="str">
        <f>"25/25"</f>
        <v>25/25</v>
      </c>
      <c r="K13842" s="1" t="str">
        <f>"2026-07-29 13:18:11"</f>
        <v>2026-07-29 13:18:11</v>
      </c>
      <c r="L13842" s="1" t="str">
        <f>"2019-12-17 15:38:01"</f>
        <v>2019-12-17 15:38:01</v>
      </c>
      <c r="M13842" s="1" t="s">
        <v>1</v>
      </c>
      <c r="N13842" s="1" t="s">
        <v>38</v>
      </c>
      <c r="O13842" s="1" t="s">
        <v>46</v>
      </c>
    </row>
    <row r="13843" spans="2:15" x14ac:dyDescent="0.3">
      <c r="B13843" s="1" t="s">
        <v>20</v>
      </c>
      <c r="C13843" s="1" t="str">
        <f>"6차"</f>
        <v>6차</v>
      </c>
      <c r="D13843" s="1" t="str">
        <f>"9925Y6916S"</f>
        <v>9925Y6916S</v>
      </c>
      <c r="E13843" s="1" t="s">
        <v>10</v>
      </c>
      <c r="F13843" s="1" t="str">
        <f>"fde1:103:4:c84e:0:0:0:2"</f>
        <v>fde1:103:4:c84e:0:0:0:2</v>
      </c>
      <c r="G13843" s="1" t="str">
        <f>"9925Y691"</f>
        <v>9925Y691</v>
      </c>
      <c r="H13843" s="1" t="str">
        <f>"남해간 38L3L1"</f>
        <v>남해간 38L3L1</v>
      </c>
      <c r="I13843" s="1" t="s">
        <v>15</v>
      </c>
      <c r="J13843" s="1" t="str">
        <f>"60/60"</f>
        <v>60/60</v>
      </c>
      <c r="K13843" s="1" t="str">
        <f>"2026-07-29 14:21:28"</f>
        <v>2026-07-29 14:21:28</v>
      </c>
      <c r="L13843" s="1" t="str">
        <f>"2024-11-22 16:01:20"</f>
        <v>2024-11-22 16:01:20</v>
      </c>
      <c r="M13843" s="1" t="s">
        <v>4</v>
      </c>
      <c r="N13843" s="1" t="s">
        <v>38</v>
      </c>
      <c r="O13843" s="1" t="s">
        <v>46</v>
      </c>
    </row>
    <row r="13844" spans="2:15" x14ac:dyDescent="0.3">
      <c r="B13844" s="1" t="s">
        <v>20</v>
      </c>
      <c r="C13844" s="1" t="str">
        <f t="shared" ref="C13844:C13852" si="705">"4차"</f>
        <v>4차</v>
      </c>
      <c r="D13844" s="1" t="str">
        <f>"9925Y72244"</f>
        <v>9925Y72244</v>
      </c>
      <c r="E13844" s="1" t="s">
        <v>10</v>
      </c>
      <c r="F13844" s="1" t="str">
        <f>"10.10.64.194"</f>
        <v>10.10.64.194</v>
      </c>
      <c r="G13844" s="1" t="str">
        <f>"9925Y722"</f>
        <v>9925Y722</v>
      </c>
      <c r="H13844" s="1" t="str">
        <f>"남해간 48"</f>
        <v>남해간 48</v>
      </c>
      <c r="I13844" s="1" t="s">
        <v>8</v>
      </c>
      <c r="J13844" s="1" t="str">
        <f>"24/25"</f>
        <v>24/25</v>
      </c>
      <c r="K13844" s="1" t="str">
        <f>"2026-07-29 13:18:11"</f>
        <v>2026-07-29 13:18:11</v>
      </c>
      <c r="L13844" s="1" t="str">
        <f>"2020-01-10 17:17:27"</f>
        <v>2020-01-10 17:17:27</v>
      </c>
      <c r="M13844" s="1" t="s">
        <v>1</v>
      </c>
      <c r="N13844" s="1" t="s">
        <v>38</v>
      </c>
      <c r="O13844" s="1" t="s">
        <v>46</v>
      </c>
    </row>
    <row r="13845" spans="2:15" x14ac:dyDescent="0.3">
      <c r="B13845" s="1" t="s">
        <v>20</v>
      </c>
      <c r="C13845" s="1" t="str">
        <f t="shared" si="705"/>
        <v>4차</v>
      </c>
      <c r="D13845" s="1" t="str">
        <f>"9925Y72331"</f>
        <v>9925Y72331</v>
      </c>
      <c r="E13845" s="1" t="s">
        <v>10</v>
      </c>
      <c r="F13845" s="1" t="str">
        <f>"10.10.39.91"</f>
        <v>10.10.39.91</v>
      </c>
      <c r="G13845" s="1" t="str">
        <f>"9925Y723"</f>
        <v>9925Y723</v>
      </c>
      <c r="H13845" s="1" t="str">
        <f>"남해간 51R3"</f>
        <v>남해간 51R3</v>
      </c>
      <c r="I13845" s="1" t="s">
        <v>8</v>
      </c>
      <c r="J13845" s="1" t="str">
        <f>"21/21"</f>
        <v>21/21</v>
      </c>
      <c r="K13845" s="1" t="str">
        <f>"2026-07-29 13:18:11"</f>
        <v>2026-07-29 13:18:11</v>
      </c>
      <c r="L13845" s="1" t="str">
        <f>"2018-04-10 09:35:58"</f>
        <v>2018-04-10 09:35:58</v>
      </c>
      <c r="M13845" s="1" t="s">
        <v>1</v>
      </c>
      <c r="N13845" s="1" t="s">
        <v>38</v>
      </c>
      <c r="O13845" s="1" t="s">
        <v>46</v>
      </c>
    </row>
    <row r="13846" spans="2:15" x14ac:dyDescent="0.3">
      <c r="B13846" s="1" t="s">
        <v>20</v>
      </c>
      <c r="C13846" s="1" t="str">
        <f t="shared" si="705"/>
        <v>4차</v>
      </c>
      <c r="D13846" s="1" t="str">
        <f>"9925Y75139"</f>
        <v>9925Y75139</v>
      </c>
      <c r="E13846" s="1" t="str">
        <f>"검침실패(3시간 이상)"</f>
        <v>검침실패(3시간 이상)</v>
      </c>
      <c r="F13846" s="1" t="str">
        <f>"10.125.225.178"</f>
        <v>10.125.225.178</v>
      </c>
      <c r="G13846" s="1" t="str">
        <f>"9925Y751"</f>
        <v>9925Y751</v>
      </c>
      <c r="H13846" s="1" t="str">
        <f>"남해간 50L9"</f>
        <v>남해간 50L9</v>
      </c>
      <c r="I13846" s="1" t="s">
        <v>8</v>
      </c>
      <c r="J13846" s="1" t="str">
        <f>"38/46"</f>
        <v>38/46</v>
      </c>
      <c r="K13846" s="1" t="str">
        <f>"2026-07-27 13:18:13"</f>
        <v>2026-07-27 13:18:13</v>
      </c>
      <c r="L13846" s="1" t="str">
        <f>"2023-07-27 17:25:25"</f>
        <v>2023-07-27 17:25:25</v>
      </c>
      <c r="M13846" s="1" t="s">
        <v>45</v>
      </c>
      <c r="N13846" s="1" t="s">
        <v>38</v>
      </c>
      <c r="O13846" s="1" t="s">
        <v>46</v>
      </c>
    </row>
    <row r="13847" spans="2:15" x14ac:dyDescent="0.3">
      <c r="B13847" s="1" t="s">
        <v>20</v>
      </c>
      <c r="C13847" s="1" t="str">
        <f t="shared" si="705"/>
        <v>4차</v>
      </c>
      <c r="D13847" s="1" t="str">
        <f>"9925Y76344"</f>
        <v>9925Y76344</v>
      </c>
      <c r="E13847" s="1" t="s">
        <v>10</v>
      </c>
      <c r="F13847" s="1" t="str">
        <f>"10.10.65.50"</f>
        <v>10.10.65.50</v>
      </c>
      <c r="G13847" s="1" t="str">
        <f>"9925Y763"</f>
        <v>9925Y763</v>
      </c>
      <c r="H13847" s="1" t="str">
        <f>"남해간 50L8R1"</f>
        <v>남해간 50L8R1</v>
      </c>
      <c r="I13847" s="1" t="s">
        <v>8</v>
      </c>
      <c r="J13847" s="1" t="str">
        <f>"18/18"</f>
        <v>18/18</v>
      </c>
      <c r="K13847" s="1" t="str">
        <f t="shared" ref="K13847:K13862" si="706">"2026-07-29 13:18:11"</f>
        <v>2026-07-29 13:18:11</v>
      </c>
      <c r="L13847" s="1" t="str">
        <f>"2019-12-11 17:52:53"</f>
        <v>2019-12-11 17:52:53</v>
      </c>
      <c r="M13847" s="1" t="s">
        <v>1</v>
      </c>
      <c r="N13847" s="1" t="s">
        <v>38</v>
      </c>
      <c r="O13847" s="1" t="s">
        <v>46</v>
      </c>
    </row>
    <row r="13848" spans="2:15" x14ac:dyDescent="0.3">
      <c r="B13848" s="1" t="s">
        <v>20</v>
      </c>
      <c r="C13848" s="1" t="str">
        <f t="shared" si="705"/>
        <v>4차</v>
      </c>
      <c r="D13848" s="1" t="str">
        <f>"9925Y78244"</f>
        <v>9925Y78244</v>
      </c>
      <c r="E13848" s="1" t="s">
        <v>10</v>
      </c>
      <c r="F13848" s="1" t="str">
        <f>"10.10.82.90"</f>
        <v>10.10.82.90</v>
      </c>
      <c r="G13848" s="1" t="str">
        <f>"9925Y782"</f>
        <v>9925Y782</v>
      </c>
      <c r="H13848" s="1" t="str">
        <f>"남해간 38L2R2"</f>
        <v>남해간 38L2R2</v>
      </c>
      <c r="I13848" s="1" t="s">
        <v>8</v>
      </c>
      <c r="J13848" s="1" t="str">
        <f>"42/42"</f>
        <v>42/42</v>
      </c>
      <c r="K13848" s="1" t="str">
        <f t="shared" si="706"/>
        <v>2026-07-29 13:18:11</v>
      </c>
      <c r="L13848" s="1" t="str">
        <f>"2019-12-24 16:39:41"</f>
        <v>2019-12-24 16:39:41</v>
      </c>
      <c r="M13848" s="1" t="s">
        <v>1</v>
      </c>
      <c r="N13848" s="1" t="s">
        <v>38</v>
      </c>
      <c r="O13848" s="1" t="s">
        <v>46</v>
      </c>
    </row>
    <row r="13849" spans="2:15" x14ac:dyDescent="0.3">
      <c r="B13849" s="1" t="s">
        <v>20</v>
      </c>
      <c r="C13849" s="1" t="str">
        <f t="shared" si="705"/>
        <v>4차</v>
      </c>
      <c r="D13849" s="1" t="str">
        <f>"9925Y79144"</f>
        <v>9925Y79144</v>
      </c>
      <c r="E13849" s="1" t="s">
        <v>10</v>
      </c>
      <c r="F13849" s="1" t="str">
        <f>"10.10.82.18"</f>
        <v>10.10.82.18</v>
      </c>
      <c r="G13849" s="1" t="str">
        <f>"9925Y791"</f>
        <v>9925Y791</v>
      </c>
      <c r="H13849" s="1" t="str">
        <f>"남해간 38L5"</f>
        <v>남해간 38L5</v>
      </c>
      <c r="I13849" s="1" t="s">
        <v>8</v>
      </c>
      <c r="J13849" s="1" t="str">
        <f>"29/29"</f>
        <v>29/29</v>
      </c>
      <c r="K13849" s="1" t="str">
        <f t="shared" si="706"/>
        <v>2026-07-29 13:18:11</v>
      </c>
      <c r="L13849" s="1" t="str">
        <f>"2020-01-17 10:27:23"</f>
        <v>2020-01-17 10:27:23</v>
      </c>
      <c r="M13849" s="1" t="s">
        <v>1</v>
      </c>
      <c r="N13849" s="1" t="s">
        <v>38</v>
      </c>
      <c r="O13849" s="1" t="s">
        <v>46</v>
      </c>
    </row>
    <row r="13850" spans="2:15" x14ac:dyDescent="0.3">
      <c r="B13850" s="1" t="s">
        <v>20</v>
      </c>
      <c r="C13850" s="1" t="str">
        <f t="shared" si="705"/>
        <v>4차</v>
      </c>
      <c r="D13850" s="1" t="str">
        <f>"9925Y79244"</f>
        <v>9925Y79244</v>
      </c>
      <c r="E13850" s="1" t="s">
        <v>10</v>
      </c>
      <c r="F13850" s="1" t="str">
        <f>"10.10.82.42"</f>
        <v>10.10.82.42</v>
      </c>
      <c r="G13850" s="1" t="str">
        <f>"9925Y792"</f>
        <v>9925Y792</v>
      </c>
      <c r="H13850" s="1" t="str">
        <f>"남해간 38L3L2"</f>
        <v>남해간 38L3L2</v>
      </c>
      <c r="I13850" s="1" t="s">
        <v>8</v>
      </c>
      <c r="J13850" s="1" t="str">
        <f>"24/24"</f>
        <v>24/24</v>
      </c>
      <c r="K13850" s="1" t="str">
        <f t="shared" si="706"/>
        <v>2026-07-29 13:18:11</v>
      </c>
      <c r="L13850" s="1" t="str">
        <f>"2020-01-17 10:42:38"</f>
        <v>2020-01-17 10:42:38</v>
      </c>
      <c r="M13850" s="1" t="s">
        <v>1</v>
      </c>
      <c r="N13850" s="1" t="s">
        <v>38</v>
      </c>
      <c r="O13850" s="1" t="s">
        <v>46</v>
      </c>
    </row>
    <row r="13851" spans="2:15" x14ac:dyDescent="0.3">
      <c r="B13851" s="1" t="s">
        <v>20</v>
      </c>
      <c r="C13851" s="1" t="str">
        <f t="shared" si="705"/>
        <v>4차</v>
      </c>
      <c r="D13851" s="1" t="str">
        <f>"9925Y82230"</f>
        <v>9925Y82230</v>
      </c>
      <c r="E13851" s="1" t="s">
        <v>10</v>
      </c>
      <c r="F13851" s="1" t="str">
        <f>"10.10.26.162"</f>
        <v>10.10.26.162</v>
      </c>
      <c r="G13851" s="1" t="str">
        <f>"9925Y822"</f>
        <v>9925Y822</v>
      </c>
      <c r="H13851" s="1" t="str">
        <f>"해방간 23L5R5"</f>
        <v>해방간 23L5R5</v>
      </c>
      <c r="I13851" s="1" t="s">
        <v>8</v>
      </c>
      <c r="J13851" s="1" t="str">
        <f>"31/32"</f>
        <v>31/32</v>
      </c>
      <c r="K13851" s="1" t="str">
        <f t="shared" si="706"/>
        <v>2026-07-29 13:18:11</v>
      </c>
      <c r="L13851" s="1" t="str">
        <f>"2018-04-09 09:20:39"</f>
        <v>2018-04-09 09:20:39</v>
      </c>
      <c r="M13851" s="1" t="s">
        <v>1</v>
      </c>
      <c r="N13851" s="1" t="s">
        <v>38</v>
      </c>
      <c r="O13851" s="1" t="s">
        <v>46</v>
      </c>
    </row>
    <row r="13852" spans="2:15" x14ac:dyDescent="0.3">
      <c r="B13852" s="1" t="s">
        <v>20</v>
      </c>
      <c r="C13852" s="1" t="str">
        <f t="shared" si="705"/>
        <v>4차</v>
      </c>
      <c r="D13852" s="1" t="str">
        <f>"9925Y82331"</f>
        <v>9925Y82331</v>
      </c>
      <c r="E13852" s="1" t="s">
        <v>10</v>
      </c>
      <c r="F13852" s="1" t="str">
        <f>"10.10.26.163"</f>
        <v>10.10.26.163</v>
      </c>
      <c r="G13852" s="1" t="str">
        <f>"9925Y823"</f>
        <v>9925Y823</v>
      </c>
      <c r="H13852" s="1" t="str">
        <f>"해방간 23L5R6"</f>
        <v>해방간 23L5R6</v>
      </c>
      <c r="I13852" s="1" t="s">
        <v>8</v>
      </c>
      <c r="J13852" s="1" t="str">
        <f>"35/35"</f>
        <v>35/35</v>
      </c>
      <c r="K13852" s="1" t="str">
        <f t="shared" si="706"/>
        <v>2026-07-29 13:18:11</v>
      </c>
      <c r="L13852" s="1" t="str">
        <f>"2018-04-10 09:57:41"</f>
        <v>2018-04-10 09:57:41</v>
      </c>
      <c r="M13852" s="1" t="s">
        <v>1</v>
      </c>
      <c r="N13852" s="1" t="s">
        <v>38</v>
      </c>
      <c r="O13852" s="1" t="s">
        <v>46</v>
      </c>
    </row>
    <row r="13853" spans="2:15" x14ac:dyDescent="0.3">
      <c r="B13853" s="1" t="s">
        <v>20</v>
      </c>
      <c r="C13853" s="1" t="str">
        <f>"3차"</f>
        <v>3차</v>
      </c>
      <c r="D13853" s="1" t="str">
        <f>"9925Y83230"</f>
        <v>9925Y83230</v>
      </c>
      <c r="E13853" s="1" t="s">
        <v>10</v>
      </c>
      <c r="F13853" s="1" t="str">
        <f>"10.10.39.90"</f>
        <v>10.10.39.90</v>
      </c>
      <c r="G13853" s="1" t="str">
        <f>"9925Y832"</f>
        <v>9925Y832</v>
      </c>
      <c r="H13853" s="1" t="str">
        <f>"남해간 51R1"</f>
        <v>남해간 51R1</v>
      </c>
      <c r="I13853" s="1" t="s">
        <v>8</v>
      </c>
      <c r="J13853" s="1" t="str">
        <f>"31/31"</f>
        <v>31/31</v>
      </c>
      <c r="K13853" s="1" t="str">
        <f t="shared" si="706"/>
        <v>2026-07-29 13:18:11</v>
      </c>
      <c r="L13853" s="1" t="str">
        <f>"2018-02-01 15:21:59"</f>
        <v>2018-02-01 15:21:59</v>
      </c>
      <c r="M13853" s="1" t="s">
        <v>1</v>
      </c>
      <c r="N13853" s="1" t="s">
        <v>38</v>
      </c>
      <c r="O13853" s="1" t="s">
        <v>46</v>
      </c>
    </row>
    <row r="13854" spans="2:15" x14ac:dyDescent="0.3">
      <c r="B13854" s="1" t="s">
        <v>20</v>
      </c>
      <c r="C13854" s="1" t="str">
        <f t="shared" ref="C13854:C13861" si="707">"4차"</f>
        <v>4차</v>
      </c>
      <c r="D13854" s="1" t="str">
        <f>"9925Y85144"</f>
        <v>9925Y85144</v>
      </c>
      <c r="E13854" s="1" t="s">
        <v>10</v>
      </c>
      <c r="F13854" s="1" t="str">
        <f>"10.10.65.42"</f>
        <v>10.10.65.42</v>
      </c>
      <c r="G13854" s="1" t="str">
        <f>"9925Y851"</f>
        <v>9925Y851</v>
      </c>
      <c r="H13854" s="1" t="str">
        <f>"남해간 50L7"</f>
        <v>남해간 50L7</v>
      </c>
      <c r="I13854" s="1" t="s">
        <v>8</v>
      </c>
      <c r="J13854" s="1" t="str">
        <f>"34/35"</f>
        <v>34/35</v>
      </c>
      <c r="K13854" s="1" t="str">
        <f t="shared" si="706"/>
        <v>2026-07-29 13:18:11</v>
      </c>
      <c r="L13854" s="1" t="str">
        <f>"2019-01-08 13:46:26"</f>
        <v>2019-01-08 13:46:26</v>
      </c>
      <c r="M13854" s="1" t="s">
        <v>1</v>
      </c>
      <c r="N13854" s="1" t="s">
        <v>38</v>
      </c>
      <c r="O13854" s="1" t="s">
        <v>46</v>
      </c>
    </row>
    <row r="13855" spans="2:15" x14ac:dyDescent="0.3">
      <c r="B13855" s="1" t="s">
        <v>20</v>
      </c>
      <c r="C13855" s="1" t="str">
        <f t="shared" si="707"/>
        <v>4차</v>
      </c>
      <c r="D13855" s="1" t="str">
        <f>"9925Y85242"</f>
        <v>9925Y85242</v>
      </c>
      <c r="E13855" s="1" t="s">
        <v>10</v>
      </c>
      <c r="F13855" s="1" t="str">
        <f>"10.12.130.137"</f>
        <v>10.12.130.137</v>
      </c>
      <c r="G13855" s="1" t="str">
        <f>"9925Y852"</f>
        <v>9925Y852</v>
      </c>
      <c r="H13855" s="1" t="str">
        <f>"남해간 50L8"</f>
        <v>남해간 50L8</v>
      </c>
      <c r="I13855" s="1" t="s">
        <v>8</v>
      </c>
      <c r="J13855" s="1" t="str">
        <f>"26/26"</f>
        <v>26/26</v>
      </c>
      <c r="K13855" s="1" t="str">
        <f t="shared" si="706"/>
        <v>2026-07-29 13:18:11</v>
      </c>
      <c r="L13855" s="1" t="str">
        <f>"2024-12-23 14:21:26"</f>
        <v>2024-12-23 14:21:26</v>
      </c>
      <c r="M13855" s="1" t="s">
        <v>0</v>
      </c>
      <c r="N13855" s="1" t="s">
        <v>38</v>
      </c>
      <c r="O13855" s="1" t="s">
        <v>46</v>
      </c>
    </row>
    <row r="13856" spans="2:15" x14ac:dyDescent="0.3">
      <c r="B13856" s="1" t="s">
        <v>20</v>
      </c>
      <c r="C13856" s="1" t="str">
        <f t="shared" si="707"/>
        <v>4차</v>
      </c>
      <c r="D13856" s="1" t="str">
        <f>"9925Y85444"</f>
        <v>9925Y85444</v>
      </c>
      <c r="E13856" s="1" t="s">
        <v>10</v>
      </c>
      <c r="F13856" s="1" t="str">
        <f>"10.10.64.218"</f>
        <v>10.10.64.218</v>
      </c>
      <c r="G13856" s="1" t="str">
        <f>"9925Y854"</f>
        <v>9925Y854</v>
      </c>
      <c r="H13856" s="1" t="str">
        <f>"남해간 50L5L2"</f>
        <v>남해간 50L5L2</v>
      </c>
      <c r="I13856" s="1" t="s">
        <v>8</v>
      </c>
      <c r="J13856" s="1" t="str">
        <f>"39/39"</f>
        <v>39/39</v>
      </c>
      <c r="K13856" s="1" t="str">
        <f t="shared" si="706"/>
        <v>2026-07-29 13:18:11</v>
      </c>
      <c r="L13856" s="1" t="str">
        <f>"2019-12-11 17:52:21"</f>
        <v>2019-12-11 17:52:21</v>
      </c>
      <c r="M13856" s="1" t="s">
        <v>1</v>
      </c>
      <c r="N13856" s="1" t="s">
        <v>38</v>
      </c>
      <c r="O13856" s="1" t="s">
        <v>46</v>
      </c>
    </row>
    <row r="13857" spans="2:15" x14ac:dyDescent="0.3">
      <c r="B13857" s="1" t="s">
        <v>20</v>
      </c>
      <c r="C13857" s="1" t="str">
        <f t="shared" si="707"/>
        <v>4차</v>
      </c>
      <c r="D13857" s="1" t="str">
        <f>"9925Y87144"</f>
        <v>9925Y87144</v>
      </c>
      <c r="E13857" s="1" t="s">
        <v>10</v>
      </c>
      <c r="F13857" s="1" t="str">
        <f>"10.10.82.50"</f>
        <v>10.10.82.50</v>
      </c>
      <c r="G13857" s="1" t="str">
        <f>"9925Y871"</f>
        <v>9925Y871</v>
      </c>
      <c r="H13857" s="1" t="str">
        <f>"남해간 38L2R4"</f>
        <v>남해간 38L2R4</v>
      </c>
      <c r="I13857" s="1" t="s">
        <v>8</v>
      </c>
      <c r="J13857" s="1" t="str">
        <f>"37/37"</f>
        <v>37/37</v>
      </c>
      <c r="K13857" s="1" t="str">
        <f t="shared" si="706"/>
        <v>2026-07-29 13:18:11</v>
      </c>
      <c r="L13857" s="1" t="str">
        <f>"2019-12-11 17:49:29"</f>
        <v>2019-12-11 17:49:29</v>
      </c>
      <c r="M13857" s="1" t="s">
        <v>1</v>
      </c>
      <c r="N13857" s="1" t="s">
        <v>38</v>
      </c>
      <c r="O13857" s="1" t="s">
        <v>46</v>
      </c>
    </row>
    <row r="13858" spans="2:15" x14ac:dyDescent="0.3">
      <c r="B13858" s="1" t="s">
        <v>20</v>
      </c>
      <c r="C13858" s="1" t="str">
        <f t="shared" si="707"/>
        <v>4차</v>
      </c>
      <c r="D13858" s="1" t="str">
        <f>"9925Y88144"</f>
        <v>9925Y88144</v>
      </c>
      <c r="E13858" s="1" t="s">
        <v>10</v>
      </c>
      <c r="F13858" s="1" t="str">
        <f>"10.10.82.74"</f>
        <v>10.10.82.74</v>
      </c>
      <c r="G13858" s="1" t="str">
        <f>"9925Y881"</f>
        <v>9925Y881</v>
      </c>
      <c r="H13858" s="1" t="str">
        <f>"남해간 38L2R3"</f>
        <v>남해간 38L2R3</v>
      </c>
      <c r="I13858" s="1" t="s">
        <v>8</v>
      </c>
      <c r="J13858" s="1" t="str">
        <f>"28/28"</f>
        <v>28/28</v>
      </c>
      <c r="K13858" s="1" t="str">
        <f t="shared" si="706"/>
        <v>2026-07-29 13:18:11</v>
      </c>
      <c r="L13858" s="1" t="str">
        <f>"2019-12-11 17:47:43"</f>
        <v>2019-12-11 17:47:43</v>
      </c>
      <c r="M13858" s="1" t="s">
        <v>1</v>
      </c>
      <c r="N13858" s="1" t="s">
        <v>38</v>
      </c>
      <c r="O13858" s="1" t="s">
        <v>46</v>
      </c>
    </row>
    <row r="13859" spans="2:15" x14ac:dyDescent="0.3">
      <c r="B13859" s="1" t="s">
        <v>20</v>
      </c>
      <c r="C13859" s="1" t="str">
        <f t="shared" si="707"/>
        <v>4차</v>
      </c>
      <c r="D13859" s="1" t="str">
        <f>"9925Y89244"</f>
        <v>9925Y89244</v>
      </c>
      <c r="E13859" s="1" t="s">
        <v>10</v>
      </c>
      <c r="F13859" s="1" t="str">
        <f>"10.10.82.2"</f>
        <v>10.10.82.2</v>
      </c>
      <c r="G13859" s="1" t="str">
        <f>"9925Y892"</f>
        <v>9925Y892</v>
      </c>
      <c r="H13859" s="1" t="str">
        <f>"남해간 38L6"</f>
        <v>남해간 38L6</v>
      </c>
      <c r="I13859" s="1" t="s">
        <v>8</v>
      </c>
      <c r="J13859" s="1" t="str">
        <f>"72/73"</f>
        <v>72/73</v>
      </c>
      <c r="K13859" s="1" t="str">
        <f t="shared" si="706"/>
        <v>2026-07-29 13:18:11</v>
      </c>
      <c r="L13859" s="1" t="str">
        <f>"2019-12-11 17:43:41"</f>
        <v>2019-12-11 17:43:41</v>
      </c>
      <c r="M13859" s="1" t="s">
        <v>1</v>
      </c>
      <c r="N13859" s="1" t="s">
        <v>38</v>
      </c>
      <c r="O13859" s="1" t="s">
        <v>46</v>
      </c>
    </row>
    <row r="13860" spans="2:15" x14ac:dyDescent="0.3">
      <c r="B13860" s="1" t="s">
        <v>20</v>
      </c>
      <c r="C13860" s="1" t="str">
        <f t="shared" si="707"/>
        <v>4차</v>
      </c>
      <c r="D13860" s="1" t="str">
        <f>"9925Y90144"</f>
        <v>9925Y90144</v>
      </c>
      <c r="E13860" s="1" t="s">
        <v>10</v>
      </c>
      <c r="F13860" s="1" t="str">
        <f>"10.10.66.42"</f>
        <v>10.10.66.42</v>
      </c>
      <c r="G13860" s="1" t="str">
        <f>"9925Y901"</f>
        <v>9925Y901</v>
      </c>
      <c r="H13860" s="1" t="str">
        <f>"해방간 23L7R1"</f>
        <v>해방간 23L7R1</v>
      </c>
      <c r="I13860" s="1" t="s">
        <v>8</v>
      </c>
      <c r="J13860" s="1" t="str">
        <f>"9/9"</f>
        <v>9/9</v>
      </c>
      <c r="K13860" s="1" t="str">
        <f t="shared" si="706"/>
        <v>2026-07-29 13:18:11</v>
      </c>
      <c r="L13860" s="1" t="str">
        <f>"2019-01-08 18:18:58"</f>
        <v>2019-01-08 18:18:58</v>
      </c>
      <c r="M13860" s="1" t="s">
        <v>1</v>
      </c>
      <c r="N13860" s="1" t="s">
        <v>38</v>
      </c>
      <c r="O13860" s="1" t="s">
        <v>46</v>
      </c>
    </row>
    <row r="13861" spans="2:15" x14ac:dyDescent="0.3">
      <c r="B13861" s="1" t="s">
        <v>20</v>
      </c>
      <c r="C13861" s="1" t="str">
        <f t="shared" si="707"/>
        <v>4차</v>
      </c>
      <c r="D13861" s="1" t="str">
        <f>"9925Y91144"</f>
        <v>9925Y91144</v>
      </c>
      <c r="E13861" s="1" t="s">
        <v>10</v>
      </c>
      <c r="F13861" s="1" t="str">
        <f>"10.10.65.242"</f>
        <v>10.10.65.242</v>
      </c>
      <c r="G13861" s="1" t="str">
        <f>"9925Y911"</f>
        <v>9925Y911</v>
      </c>
      <c r="H13861" s="1" t="str">
        <f>"해방간 23L5R3"</f>
        <v>해방간 23L5R3</v>
      </c>
      <c r="I13861" s="1" t="s">
        <v>8</v>
      </c>
      <c r="J13861" s="1" t="str">
        <f>"53/53"</f>
        <v>53/53</v>
      </c>
      <c r="K13861" s="1" t="str">
        <f t="shared" si="706"/>
        <v>2026-07-29 13:18:11</v>
      </c>
      <c r="L13861" s="1" t="str">
        <f>"2019-12-11 18:18:36"</f>
        <v>2019-12-11 18:18:36</v>
      </c>
      <c r="M13861" s="1" t="s">
        <v>1</v>
      </c>
      <c r="N13861" s="1" t="s">
        <v>38</v>
      </c>
      <c r="O13861" s="1" t="s">
        <v>46</v>
      </c>
    </row>
    <row r="13862" spans="2:15" x14ac:dyDescent="0.3">
      <c r="B13862" s="1" t="s">
        <v>20</v>
      </c>
      <c r="C13862" s="1" t="str">
        <f>"3차"</f>
        <v>3차</v>
      </c>
      <c r="D13862" s="1" t="str">
        <f>"9925Y93239"</f>
        <v>9925Y93239</v>
      </c>
      <c r="E13862" s="1" t="s">
        <v>10</v>
      </c>
      <c r="F13862" s="1" t="str">
        <f>"10.10.39.50"</f>
        <v>10.10.39.50</v>
      </c>
      <c r="G13862" s="1" t="str">
        <f>"9925Y932"</f>
        <v>9925Y932</v>
      </c>
      <c r="H13862" s="1" t="str">
        <f>"남해간 52"</f>
        <v>남해간 52</v>
      </c>
      <c r="I13862" s="1" t="s">
        <v>8</v>
      </c>
      <c r="J13862" s="1" t="str">
        <f>"30/30"</f>
        <v>30/30</v>
      </c>
      <c r="K13862" s="1" t="str">
        <f t="shared" si="706"/>
        <v>2026-07-29 13:18:11</v>
      </c>
      <c r="L13862" s="1" t="str">
        <f>"2018-02-01 15:19:58"</f>
        <v>2018-02-01 15:19:58</v>
      </c>
      <c r="M13862" s="1" t="s">
        <v>1</v>
      </c>
      <c r="N13862" s="1" t="s">
        <v>38</v>
      </c>
      <c r="O13862" s="1" t="s">
        <v>46</v>
      </c>
    </row>
    <row r="13863" spans="2:15" x14ac:dyDescent="0.3">
      <c r="B13863" s="1" t="s">
        <v>20</v>
      </c>
      <c r="C13863" s="1" t="str">
        <f t="shared" ref="C13863:C13868" si="708">"4차"</f>
        <v>4차</v>
      </c>
      <c r="D13863" s="1" t="str">
        <f>"9925Y94244"</f>
        <v>9925Y94244</v>
      </c>
      <c r="E13863" s="1" t="s">
        <v>12</v>
      </c>
      <c r="F13863" s="1" t="str">
        <f>"10.10.64.210"</f>
        <v>10.10.64.210</v>
      </c>
      <c r="G13863" s="1" t="str">
        <f>"9925Y942"</f>
        <v>9925Y942</v>
      </c>
      <c r="H13863" s="1" t="str">
        <f>"남해간 50L2"</f>
        <v>남해간 50L2</v>
      </c>
      <c r="I13863" s="1" t="s">
        <v>8</v>
      </c>
      <c r="J13863" s="1" t="str">
        <f>"0/21"</f>
        <v>0/21</v>
      </c>
      <c r="K13863" s="1" t="str">
        <f>"2026-07-17 20:03:27"</f>
        <v>2026-07-17 20:03:27</v>
      </c>
      <c r="L13863" s="1" t="str">
        <f>"2019-12-11 17:49:29"</f>
        <v>2019-12-11 17:49:29</v>
      </c>
      <c r="M13863" s="1" t="s">
        <v>1</v>
      </c>
      <c r="N13863" s="1" t="s">
        <v>38</v>
      </c>
      <c r="O13863" s="1" t="s">
        <v>46</v>
      </c>
    </row>
    <row r="13864" spans="2:15" x14ac:dyDescent="0.3">
      <c r="B13864" s="1" t="s">
        <v>20</v>
      </c>
      <c r="C13864" s="1" t="str">
        <f t="shared" si="708"/>
        <v>4차</v>
      </c>
      <c r="D13864" s="1" t="str">
        <f>"9925Y96444"</f>
        <v>9925Y96444</v>
      </c>
      <c r="E13864" s="1" t="s">
        <v>10</v>
      </c>
      <c r="F13864" s="1" t="str">
        <f>"10.10.65.10"</f>
        <v>10.10.65.10</v>
      </c>
      <c r="G13864" s="1" t="str">
        <f>"9925Y964"</f>
        <v>9925Y964</v>
      </c>
      <c r="H13864" s="1" t="str">
        <f>"남해간 50L6AR2"</f>
        <v>남해간 50L6AR2</v>
      </c>
      <c r="I13864" s="1" t="s">
        <v>8</v>
      </c>
      <c r="J13864" s="1" t="str">
        <f>"39/39"</f>
        <v>39/39</v>
      </c>
      <c r="K13864" s="1" t="str">
        <f>"2026-07-29 13:18:11"</f>
        <v>2026-07-29 13:18:11</v>
      </c>
      <c r="L13864" s="1" t="str">
        <f>"2019-12-11 17:48:51"</f>
        <v>2019-12-11 17:48:51</v>
      </c>
      <c r="M13864" s="1" t="s">
        <v>1</v>
      </c>
      <c r="N13864" s="1" t="s">
        <v>38</v>
      </c>
      <c r="O13864" s="1" t="s">
        <v>46</v>
      </c>
    </row>
    <row r="13865" spans="2:15" x14ac:dyDescent="0.3">
      <c r="B13865" s="1" t="s">
        <v>20</v>
      </c>
      <c r="C13865" s="1" t="str">
        <f t="shared" si="708"/>
        <v>4차</v>
      </c>
      <c r="D13865" s="1" t="str">
        <f>"9925Y96644"</f>
        <v>9925Y96644</v>
      </c>
      <c r="E13865" s="1" t="s">
        <v>10</v>
      </c>
      <c r="F13865" s="1" t="str">
        <f>"10.10.65.18"</f>
        <v>10.10.65.18</v>
      </c>
      <c r="G13865" s="1" t="str">
        <f>"9925Y966"</f>
        <v>9925Y966</v>
      </c>
      <c r="H13865" s="1" t="str">
        <f>"남해간 50L6AR4"</f>
        <v>남해간 50L6AR4</v>
      </c>
      <c r="I13865" s="1" t="s">
        <v>8</v>
      </c>
      <c r="J13865" s="1" t="str">
        <f>"46/46"</f>
        <v>46/46</v>
      </c>
      <c r="K13865" s="1" t="str">
        <f>"2026-07-29 13:18:00"</f>
        <v>2026-07-29 13:18:00</v>
      </c>
      <c r="L13865" s="1" t="str">
        <f>"2019-12-11 17:44:21"</f>
        <v>2019-12-11 17:44:21</v>
      </c>
      <c r="M13865" s="1" t="s">
        <v>1</v>
      </c>
      <c r="N13865" s="1" t="s">
        <v>38</v>
      </c>
      <c r="O13865" s="1" t="s">
        <v>46</v>
      </c>
    </row>
    <row r="13866" spans="2:15" x14ac:dyDescent="0.3">
      <c r="B13866" s="1" t="s">
        <v>20</v>
      </c>
      <c r="C13866" s="1" t="str">
        <f t="shared" si="708"/>
        <v>4차</v>
      </c>
      <c r="D13866" s="1" t="str">
        <f>"9925Y97144"</f>
        <v>9925Y97144</v>
      </c>
      <c r="E13866" s="1" t="s">
        <v>10</v>
      </c>
      <c r="F13866" s="1" t="str">
        <f>"10.10.82.82"</f>
        <v>10.10.82.82</v>
      </c>
      <c r="G13866" s="1" t="str">
        <f>"9925Y971"</f>
        <v>9925Y971</v>
      </c>
      <c r="H13866" s="1" t="str">
        <f>"남해간 38L2R2L3"</f>
        <v>남해간 38L2R2L3</v>
      </c>
      <c r="I13866" s="1" t="s">
        <v>8</v>
      </c>
      <c r="J13866" s="1" t="str">
        <f>"59/64"</f>
        <v>59/64</v>
      </c>
      <c r="K13866" s="1" t="str">
        <f>"2026-07-29 13:18:11"</f>
        <v>2026-07-29 13:18:11</v>
      </c>
      <c r="L13866" s="1" t="str">
        <f>"2019-12-24 16:44:05"</f>
        <v>2019-12-24 16:44:05</v>
      </c>
      <c r="M13866" s="1" t="s">
        <v>1</v>
      </c>
      <c r="N13866" s="1" t="s">
        <v>38</v>
      </c>
      <c r="O13866" s="1" t="s">
        <v>46</v>
      </c>
    </row>
    <row r="13867" spans="2:15" x14ac:dyDescent="0.3">
      <c r="B13867" s="1" t="s">
        <v>20</v>
      </c>
      <c r="C13867" s="1" t="str">
        <f t="shared" si="708"/>
        <v>4차</v>
      </c>
      <c r="D13867" s="1" t="str">
        <f>"9925Y98144"</f>
        <v>9925Y98144</v>
      </c>
      <c r="E13867" s="1" t="s">
        <v>10</v>
      </c>
      <c r="F13867" s="1" t="str">
        <f>"10.10.118.146"</f>
        <v>10.10.118.146</v>
      </c>
      <c r="G13867" s="1" t="str">
        <f>"9925Y981"</f>
        <v>9925Y981</v>
      </c>
      <c r="H13867" s="1" t="str">
        <f>"남해간 38L2R2L2"</f>
        <v>남해간 38L2R2L2</v>
      </c>
      <c r="I13867" s="1" t="s">
        <v>8</v>
      </c>
      <c r="J13867" s="1" t="str">
        <f>"26/26"</f>
        <v>26/26</v>
      </c>
      <c r="K13867" s="1" t="str">
        <f>"2026-07-29 13:18:11"</f>
        <v>2026-07-29 13:18:11</v>
      </c>
      <c r="L13867" s="1" t="str">
        <f>"2019-12-24 16:42:45"</f>
        <v>2019-12-24 16:42:45</v>
      </c>
      <c r="M13867" s="1" t="s">
        <v>1</v>
      </c>
      <c r="N13867" s="1" t="s">
        <v>38</v>
      </c>
      <c r="O13867" s="1" t="s">
        <v>46</v>
      </c>
    </row>
    <row r="13868" spans="2:15" x14ac:dyDescent="0.3">
      <c r="B13868" s="1" t="s">
        <v>20</v>
      </c>
      <c r="C13868" s="1" t="str">
        <f t="shared" si="708"/>
        <v>4차</v>
      </c>
      <c r="D13868" s="1" t="str">
        <f>"9925Z00130"</f>
        <v>9925Z00130</v>
      </c>
      <c r="E13868" s="1" t="s">
        <v>10</v>
      </c>
      <c r="F13868" s="1" t="str">
        <f>"10.10.26.170"</f>
        <v>10.10.26.170</v>
      </c>
      <c r="G13868" s="1" t="str">
        <f>"9925Z001"</f>
        <v>9925Z001</v>
      </c>
      <c r="H13868" s="1" t="str">
        <f>"해방간 23L7"</f>
        <v>해방간 23L7</v>
      </c>
      <c r="I13868" s="1" t="s">
        <v>8</v>
      </c>
      <c r="J13868" s="1" t="str">
        <f>"30/30"</f>
        <v>30/30</v>
      </c>
      <c r="K13868" s="1" t="str">
        <f>"2026-07-29 13:18:11"</f>
        <v>2026-07-29 13:18:11</v>
      </c>
      <c r="L13868" s="1" t="str">
        <f>"2018-04-09 09:25:26"</f>
        <v>2018-04-09 09:25:26</v>
      </c>
      <c r="M13868" s="1" t="s">
        <v>1</v>
      </c>
      <c r="N13868" s="1" t="s">
        <v>38</v>
      </c>
      <c r="O13868" s="1" t="s">
        <v>46</v>
      </c>
    </row>
    <row r="13869" spans="2:15" x14ac:dyDescent="0.3">
      <c r="B13869" s="1" t="s">
        <v>20</v>
      </c>
      <c r="C13869" s="1" t="str">
        <f>"3차"</f>
        <v>3차</v>
      </c>
      <c r="D13869" s="1" t="str">
        <f>"9925Z00330"</f>
        <v>9925Z00330</v>
      </c>
      <c r="E13869" s="1" t="s">
        <v>10</v>
      </c>
      <c r="F13869" s="1" t="str">
        <f>"10.10.26.178"</f>
        <v>10.10.26.178</v>
      </c>
      <c r="G13869" s="1" t="str">
        <f>"9925Z003"</f>
        <v>9925Z003</v>
      </c>
      <c r="H13869" s="1" t="str">
        <f>"해방간 23L8"</f>
        <v>해방간 23L8</v>
      </c>
      <c r="I13869" s="1" t="s">
        <v>8</v>
      </c>
      <c r="J13869" s="1" t="str">
        <f>"16/16"</f>
        <v>16/16</v>
      </c>
      <c r="K13869" s="1" t="str">
        <f>"2026-07-29 13:18:11"</f>
        <v>2026-07-29 13:18:11</v>
      </c>
      <c r="L13869" s="1" t="str">
        <f>"2018-04-09 09:20:54"</f>
        <v>2018-04-09 09:20:54</v>
      </c>
      <c r="M13869" s="1" t="s">
        <v>1</v>
      </c>
      <c r="N13869" s="1" t="s">
        <v>38</v>
      </c>
      <c r="O13869" s="1" t="s">
        <v>46</v>
      </c>
    </row>
    <row r="13870" spans="2:15" x14ac:dyDescent="0.3">
      <c r="B13870" s="1" t="s">
        <v>20</v>
      </c>
      <c r="C13870" s="1" t="str">
        <f>"4차"</f>
        <v>4차</v>
      </c>
      <c r="D13870" s="1" t="str">
        <f>"9925Z01332"</f>
        <v>9925Z01332</v>
      </c>
      <c r="E13870" s="1" t="s">
        <v>10</v>
      </c>
      <c r="F13870" s="1" t="str">
        <f>"10.14.10.125"</f>
        <v>10.14.10.125</v>
      </c>
      <c r="G13870" s="1" t="str">
        <f>"9925Z013"</f>
        <v>9925Z013</v>
      </c>
      <c r="H13870" s="1" t="str">
        <f>"해방간 23L6"</f>
        <v>해방간 23L6</v>
      </c>
      <c r="I13870" s="1" t="s">
        <v>8</v>
      </c>
      <c r="J13870" s="1" t="str">
        <f>"17/17"</f>
        <v>17/17</v>
      </c>
      <c r="K13870" s="1" t="str">
        <f>"2026-07-29 13:18:12"</f>
        <v>2026-07-29 13:18:12</v>
      </c>
      <c r="L13870" s="1" t="str">
        <f>"2018-04-09 15:32:13"</f>
        <v>2018-04-09 15:32:13</v>
      </c>
      <c r="M13870" s="1" t="s">
        <v>3</v>
      </c>
      <c r="N13870" s="1" t="s">
        <v>38</v>
      </c>
      <c r="O13870" s="1" t="s">
        <v>46</v>
      </c>
    </row>
    <row r="13871" spans="2:15" x14ac:dyDescent="0.3">
      <c r="B13871" s="1" t="s">
        <v>20</v>
      </c>
      <c r="C13871" s="1" t="str">
        <f>"3차"</f>
        <v>3차</v>
      </c>
      <c r="D13871" s="1" t="str">
        <f>"9925Z03139"</f>
        <v>9925Z03139</v>
      </c>
      <c r="E13871" s="1" t="s">
        <v>10</v>
      </c>
      <c r="F13871" s="1" t="str">
        <f>"10.10.39.58"</f>
        <v>10.10.39.58</v>
      </c>
      <c r="G13871" s="1" t="str">
        <f>"9925Z031"</f>
        <v>9925Z031</v>
      </c>
      <c r="H13871" s="1" t="str">
        <f>"남해간 53"</f>
        <v>남해간 53</v>
      </c>
      <c r="I13871" s="1" t="s">
        <v>8</v>
      </c>
      <c r="J13871" s="1" t="str">
        <f>"35/35"</f>
        <v>35/35</v>
      </c>
      <c r="K13871" s="1" t="str">
        <f>"2026-07-29 13:18:11"</f>
        <v>2026-07-29 13:18:11</v>
      </c>
      <c r="L13871" s="1" t="str">
        <f>"2018-02-01 16:31:13"</f>
        <v>2018-02-01 16:31:13</v>
      </c>
      <c r="M13871" s="1" t="s">
        <v>1</v>
      </c>
      <c r="N13871" s="1" t="s">
        <v>38</v>
      </c>
      <c r="O13871" s="1" t="s">
        <v>46</v>
      </c>
    </row>
    <row r="13872" spans="2:15" x14ac:dyDescent="0.3">
      <c r="B13872" s="1" t="s">
        <v>20</v>
      </c>
      <c r="C13872" s="1" t="str">
        <f>"4차"</f>
        <v>4차</v>
      </c>
      <c r="D13872" s="1" t="str">
        <f>"9925Z05144"</f>
        <v>9925Z05144</v>
      </c>
      <c r="E13872" s="1" t="s">
        <v>10</v>
      </c>
      <c r="F13872" s="1" t="str">
        <f>"10.10.65.26"</f>
        <v>10.10.65.26</v>
      </c>
      <c r="G13872" s="1" t="str">
        <f>"9925Z051"</f>
        <v>9925Z051</v>
      </c>
      <c r="H13872" s="1" t="str">
        <f>"남해간 50L6R1"</f>
        <v>남해간 50L6R1</v>
      </c>
      <c r="I13872" s="1" t="s">
        <v>8</v>
      </c>
      <c r="J13872" s="1" t="str">
        <f>"14/14"</f>
        <v>14/14</v>
      </c>
      <c r="K13872" s="1" t="str">
        <f>"2026-07-29 13:18:11"</f>
        <v>2026-07-29 13:18:11</v>
      </c>
      <c r="L13872" s="1" t="str">
        <f>"2019-01-08 12:02:24"</f>
        <v>2019-01-08 12:02:24</v>
      </c>
      <c r="M13872" s="1" t="s">
        <v>1</v>
      </c>
      <c r="N13872" s="1" t="s">
        <v>38</v>
      </c>
      <c r="O13872" s="1" t="s">
        <v>46</v>
      </c>
    </row>
    <row r="13873" spans="2:15" x14ac:dyDescent="0.3">
      <c r="B13873" s="1" t="s">
        <v>20</v>
      </c>
      <c r="C13873" s="1" t="str">
        <f>"4차"</f>
        <v>4차</v>
      </c>
      <c r="D13873" s="1" t="str">
        <f>"9925Z05244"</f>
        <v>9925Z05244</v>
      </c>
      <c r="E13873" s="1" t="s">
        <v>10</v>
      </c>
      <c r="F13873" s="1" t="str">
        <f>"10.10.118.162"</f>
        <v>10.10.118.162</v>
      </c>
      <c r="G13873" s="1" t="str">
        <f>"9925Z052"</f>
        <v>9925Z052</v>
      </c>
      <c r="H13873" s="1" t="str">
        <f>"남해간 50L5R1"</f>
        <v>남해간 50L5R1</v>
      </c>
      <c r="I13873" s="1" t="s">
        <v>8</v>
      </c>
      <c r="J13873" s="1" t="str">
        <f>"14/17"</f>
        <v>14/17</v>
      </c>
      <c r="K13873" s="1" t="str">
        <f>"2026-07-29 13:18:11"</f>
        <v>2026-07-29 13:18:11</v>
      </c>
      <c r="L13873" s="1" t="str">
        <f>"2020-01-17 10:11:00"</f>
        <v>2020-01-17 10:11:00</v>
      </c>
      <c r="M13873" s="1" t="s">
        <v>1</v>
      </c>
      <c r="N13873" s="1" t="s">
        <v>38</v>
      </c>
      <c r="O13873" s="1" t="s">
        <v>46</v>
      </c>
    </row>
    <row r="13874" spans="2:15" x14ac:dyDescent="0.3">
      <c r="B13874" s="1" t="s">
        <v>20</v>
      </c>
      <c r="C13874" s="1" t="str">
        <f>"4차"</f>
        <v>4차</v>
      </c>
      <c r="D13874" s="1" t="str">
        <f>"9925Z05344"</f>
        <v>9925Z05344</v>
      </c>
      <c r="E13874" s="1" t="s">
        <v>10</v>
      </c>
      <c r="F13874" s="1" t="str">
        <f>"10.10.65.34"</f>
        <v>10.10.65.34</v>
      </c>
      <c r="G13874" s="1" t="str">
        <f>"9925Z053"</f>
        <v>9925Z053</v>
      </c>
      <c r="H13874" s="1" t="str">
        <f>"남해간 50L6R2"</f>
        <v>남해간 50L6R2</v>
      </c>
      <c r="I13874" s="1" t="s">
        <v>8</v>
      </c>
      <c r="J13874" s="1" t="str">
        <f>"85/86"</f>
        <v>85/86</v>
      </c>
      <c r="K13874" s="1" t="str">
        <f>"2026-07-29 13:18:11"</f>
        <v>2026-07-29 13:18:11</v>
      </c>
      <c r="L13874" s="1" t="str">
        <f>"2019-12-11 17:49:39"</f>
        <v>2019-12-11 17:49:39</v>
      </c>
      <c r="M13874" s="1" t="s">
        <v>1</v>
      </c>
      <c r="N13874" s="1" t="s">
        <v>38</v>
      </c>
      <c r="O13874" s="1" t="s">
        <v>46</v>
      </c>
    </row>
    <row r="13875" spans="2:15" x14ac:dyDescent="0.3">
      <c r="B13875" s="1" t="s">
        <v>20</v>
      </c>
      <c r="C13875" s="1" t="str">
        <f>"4차"</f>
        <v>4차</v>
      </c>
      <c r="D13875" s="1" t="str">
        <f>"9925Z06144"</f>
        <v>9925Z06144</v>
      </c>
      <c r="E13875" s="1" t="s">
        <v>10</v>
      </c>
      <c r="F13875" s="1" t="str">
        <f>"10.10.65.226"</f>
        <v>10.10.65.226</v>
      </c>
      <c r="G13875" s="1" t="str">
        <f>"9925Z061"</f>
        <v>9925Z061</v>
      </c>
      <c r="H13875" s="1" t="str">
        <f>"해방간 23AL3L1"</f>
        <v>해방간 23AL3L1</v>
      </c>
      <c r="I13875" s="1" t="s">
        <v>8</v>
      </c>
      <c r="J13875" s="1" t="str">
        <f>"56/56"</f>
        <v>56/56</v>
      </c>
      <c r="K13875" s="1" t="str">
        <f>"2026-07-29 13:18:11"</f>
        <v>2026-07-29 13:18:11</v>
      </c>
      <c r="L13875" s="1" t="str">
        <f>"2019-12-11 18:10:52"</f>
        <v>2019-12-11 18:10:52</v>
      </c>
      <c r="M13875" s="1" t="s">
        <v>1</v>
      </c>
      <c r="N13875" s="1" t="s">
        <v>38</v>
      </c>
      <c r="O13875" s="1" t="s">
        <v>46</v>
      </c>
    </row>
    <row r="13876" spans="2:15" x14ac:dyDescent="0.3">
      <c r="B13876" s="1" t="s">
        <v>20</v>
      </c>
      <c r="C13876" s="1" t="str">
        <f>"4차"</f>
        <v>4차</v>
      </c>
      <c r="D13876" s="1" t="str">
        <f>"9925Z08144"</f>
        <v>9925Z08144</v>
      </c>
      <c r="E13876" s="1" t="s">
        <v>10</v>
      </c>
      <c r="F13876" s="1" t="str">
        <f>"10.12.138.127"</f>
        <v>10.12.138.127</v>
      </c>
      <c r="G13876" s="1" t="str">
        <f>"9925Z081"</f>
        <v>9925Z081</v>
      </c>
      <c r="H13876" s="1" t="str">
        <f>"해방간 23AL4H1"</f>
        <v>해방간 23AL4H1</v>
      </c>
      <c r="I13876" s="1" t="s">
        <v>8</v>
      </c>
      <c r="J13876" s="1" t="str">
        <f>"3/3"</f>
        <v>3/3</v>
      </c>
      <c r="K13876" s="1" t="str">
        <f>"2026-07-29 13:18:12"</f>
        <v>2026-07-29 13:18:12</v>
      </c>
      <c r="L13876" s="1" t="str">
        <f>"2020-01-08 15:09:52"</f>
        <v>2020-01-08 15:09:52</v>
      </c>
      <c r="M13876" s="1" t="s">
        <v>0</v>
      </c>
      <c r="N13876" s="1" t="s">
        <v>38</v>
      </c>
      <c r="O13876" s="1" t="s">
        <v>46</v>
      </c>
    </row>
    <row r="13877" spans="2:15" x14ac:dyDescent="0.3">
      <c r="B13877" s="1" t="s">
        <v>20</v>
      </c>
      <c r="C13877" s="1" t="str">
        <f>"3차"</f>
        <v>3차</v>
      </c>
      <c r="D13877" s="1" t="str">
        <f>"9925Z08339"</f>
        <v>9925Z08339</v>
      </c>
      <c r="E13877" s="1" t="s">
        <v>10</v>
      </c>
      <c r="F13877" s="1" t="str">
        <f>"10.12.129.231"</f>
        <v>10.12.129.231</v>
      </c>
      <c r="G13877" s="1" t="str">
        <f>"9925Z083"</f>
        <v>9925Z083</v>
      </c>
      <c r="H13877" s="1" t="str">
        <f>"해방간 23AL6"</f>
        <v>해방간 23AL6</v>
      </c>
      <c r="I13877" s="1" t="s">
        <v>8</v>
      </c>
      <c r="J13877" s="1" t="str">
        <f>"23/23"</f>
        <v>23/23</v>
      </c>
      <c r="K13877" s="1" t="str">
        <f>"2026-07-29 13:18:13"</f>
        <v>2026-07-29 13:18:13</v>
      </c>
      <c r="L13877" s="1" t="str">
        <f>"2018-04-26 13:50:44"</f>
        <v>2018-04-26 13:50:44</v>
      </c>
      <c r="M13877" s="1" t="s">
        <v>0</v>
      </c>
      <c r="N13877" s="1" t="s">
        <v>38</v>
      </c>
      <c r="O13877" s="1" t="s">
        <v>46</v>
      </c>
    </row>
    <row r="13878" spans="2:15" x14ac:dyDescent="0.3">
      <c r="B13878" s="1" t="s">
        <v>20</v>
      </c>
      <c r="C13878" s="1" t="str">
        <f>"3차"</f>
        <v>3차</v>
      </c>
      <c r="D13878" s="1" t="str">
        <f>"9925Z11131"</f>
        <v>9925Z11131</v>
      </c>
      <c r="E13878" s="1" t="s">
        <v>10</v>
      </c>
      <c r="F13878" s="1" t="str">
        <f>"10.10.26.243"</f>
        <v>10.10.26.243</v>
      </c>
      <c r="G13878" s="1" t="str">
        <f>"9925Z111"</f>
        <v>9925Z111</v>
      </c>
      <c r="H13878" s="1" t="str">
        <f>"해방간 8L11"</f>
        <v>해방간 8L11</v>
      </c>
      <c r="I13878" s="1" t="s">
        <v>8</v>
      </c>
      <c r="J13878" s="1" t="str">
        <f>"12/12"</f>
        <v>12/12</v>
      </c>
      <c r="K13878" s="1" t="str">
        <f t="shared" ref="K13878:K13895" si="709">"2026-07-29 13:18:11"</f>
        <v>2026-07-29 13:18:11</v>
      </c>
      <c r="L13878" s="1" t="str">
        <f>"2018-05-11 19:45:45"</f>
        <v>2018-05-11 19:45:45</v>
      </c>
      <c r="M13878" s="1" t="s">
        <v>1</v>
      </c>
      <c r="N13878" s="1" t="s">
        <v>38</v>
      </c>
      <c r="O13878" s="1" t="s">
        <v>46</v>
      </c>
    </row>
    <row r="13879" spans="2:15" x14ac:dyDescent="0.3">
      <c r="B13879" s="1" t="s">
        <v>20</v>
      </c>
      <c r="C13879" s="1" t="str">
        <f>"4차"</f>
        <v>4차</v>
      </c>
      <c r="D13879" s="1" t="str">
        <f>"9925Z11230"</f>
        <v>9925Z11230</v>
      </c>
      <c r="E13879" s="1" t="s">
        <v>10</v>
      </c>
      <c r="F13879" s="1" t="str">
        <f>"10.10.26.242"</f>
        <v>10.10.26.242</v>
      </c>
      <c r="G13879" s="1" t="str">
        <f>"9925Z112"</f>
        <v>9925Z112</v>
      </c>
      <c r="H13879" s="1" t="str">
        <f>"해방간 8L10"</f>
        <v>해방간 8L10</v>
      </c>
      <c r="I13879" s="1" t="s">
        <v>8</v>
      </c>
      <c r="J13879" s="1" t="str">
        <f>"33/33"</f>
        <v>33/33</v>
      </c>
      <c r="K13879" s="1" t="str">
        <f t="shared" si="709"/>
        <v>2026-07-29 13:18:11</v>
      </c>
      <c r="L13879" s="1" t="str">
        <f>"2018-04-09 12:53:11"</f>
        <v>2018-04-09 12:53:11</v>
      </c>
      <c r="M13879" s="1" t="s">
        <v>1</v>
      </c>
      <c r="N13879" s="1" t="s">
        <v>38</v>
      </c>
      <c r="O13879" s="1" t="s">
        <v>46</v>
      </c>
    </row>
    <row r="13880" spans="2:15" x14ac:dyDescent="0.3">
      <c r="B13880" s="1" t="s">
        <v>20</v>
      </c>
      <c r="C13880" s="1" t="str">
        <f>"3차"</f>
        <v>3차</v>
      </c>
      <c r="D13880" s="1" t="str">
        <f>"9925Z12239"</f>
        <v>9925Z12239</v>
      </c>
      <c r="E13880" s="1" t="s">
        <v>10</v>
      </c>
      <c r="F13880" s="1" t="str">
        <f>"10.10.40.234"</f>
        <v>10.10.40.234</v>
      </c>
      <c r="G13880" s="1" t="str">
        <f>"9925Z122"</f>
        <v>9925Z122</v>
      </c>
      <c r="H13880" s="1" t="str">
        <f>"해방간 23L4R1"</f>
        <v>해방간 23L4R1</v>
      </c>
      <c r="I13880" s="1" t="s">
        <v>8</v>
      </c>
      <c r="J13880" s="1" t="str">
        <f>"12/15"</f>
        <v>12/15</v>
      </c>
      <c r="K13880" s="1" t="str">
        <f t="shared" si="709"/>
        <v>2026-07-29 13:18:11</v>
      </c>
      <c r="L13880" s="1" t="str">
        <f>"2018-04-09 09:33:55"</f>
        <v>2018-04-09 09:33:55</v>
      </c>
      <c r="M13880" s="1" t="s">
        <v>1</v>
      </c>
      <c r="N13880" s="1" t="s">
        <v>38</v>
      </c>
      <c r="O13880" s="1" t="s">
        <v>46</v>
      </c>
    </row>
    <row r="13881" spans="2:15" x14ac:dyDescent="0.3">
      <c r="B13881" s="1" t="s">
        <v>20</v>
      </c>
      <c r="C13881" s="1" t="str">
        <f>"3차"</f>
        <v>3차</v>
      </c>
      <c r="D13881" s="1" t="str">
        <f>"9925Z12339"</f>
        <v>9925Z12339</v>
      </c>
      <c r="E13881" s="1" t="s">
        <v>10</v>
      </c>
      <c r="F13881" s="1" t="str">
        <f>"10.10.39.138"</f>
        <v>10.10.39.138</v>
      </c>
      <c r="G13881" s="1" t="str">
        <f>"9925Z123"</f>
        <v>9925Z123</v>
      </c>
      <c r="H13881" s="1" t="str">
        <f>"해방간 23L5H1"</f>
        <v>해방간 23L5H1</v>
      </c>
      <c r="I13881" s="1" t="s">
        <v>8</v>
      </c>
      <c r="J13881" s="1" t="str">
        <f>"11/11"</f>
        <v>11/11</v>
      </c>
      <c r="K13881" s="1" t="str">
        <f t="shared" si="709"/>
        <v>2026-07-29 13:18:11</v>
      </c>
      <c r="L13881" s="1" t="str">
        <f>"2018-04-09 09:33:24"</f>
        <v>2018-04-09 09:33:24</v>
      </c>
      <c r="M13881" s="1" t="s">
        <v>1</v>
      </c>
      <c r="N13881" s="1" t="s">
        <v>38</v>
      </c>
      <c r="O13881" s="1" t="s">
        <v>46</v>
      </c>
    </row>
    <row r="13882" spans="2:15" x14ac:dyDescent="0.3">
      <c r="B13882" s="1" t="s">
        <v>20</v>
      </c>
      <c r="C13882" s="1" t="str">
        <f>"3차"</f>
        <v>3차</v>
      </c>
      <c r="D13882" s="1" t="str">
        <f>"9925Z12439"</f>
        <v>9925Z12439</v>
      </c>
      <c r="E13882" s="1" t="s">
        <v>10</v>
      </c>
      <c r="F13882" s="1" t="str">
        <f>"10.125.239.50"</f>
        <v>10.125.239.50</v>
      </c>
      <c r="G13882" s="1" t="str">
        <f>"9925Z124"</f>
        <v>9925Z124</v>
      </c>
      <c r="H13882" s="1" t="str">
        <f>"해방간 23L4"</f>
        <v>해방간 23L4</v>
      </c>
      <c r="I13882" s="1" t="s">
        <v>8</v>
      </c>
      <c r="J13882" s="1" t="str">
        <f>"28/31"</f>
        <v>28/31</v>
      </c>
      <c r="K13882" s="1" t="str">
        <f t="shared" si="709"/>
        <v>2026-07-29 13:18:11</v>
      </c>
      <c r="L13882" s="1" t="str">
        <f>"2018-03-31 10:36:26"</f>
        <v>2018-03-31 10:36:26</v>
      </c>
      <c r="M13882" s="1" t="s">
        <v>45</v>
      </c>
      <c r="N13882" s="1" t="s">
        <v>38</v>
      </c>
      <c r="O13882" s="1" t="s">
        <v>46</v>
      </c>
    </row>
    <row r="13883" spans="2:15" x14ac:dyDescent="0.3">
      <c r="B13883" s="1" t="s">
        <v>20</v>
      </c>
      <c r="C13883" s="1" t="str">
        <f>"3차"</f>
        <v>3차</v>
      </c>
      <c r="D13883" s="1" t="str">
        <f>"9925Z13139"</f>
        <v>9925Z13139</v>
      </c>
      <c r="E13883" s="1" t="s">
        <v>10</v>
      </c>
      <c r="F13883" s="1" t="str">
        <f>"10.10.39.66"</f>
        <v>10.10.39.66</v>
      </c>
      <c r="G13883" s="1" t="str">
        <f>"9925Z131"</f>
        <v>9925Z131</v>
      </c>
      <c r="H13883" s="1" t="str">
        <f>"남해간 54"</f>
        <v>남해간 54</v>
      </c>
      <c r="I13883" s="1" t="s">
        <v>8</v>
      </c>
      <c r="J13883" s="1" t="str">
        <f>"26/26"</f>
        <v>26/26</v>
      </c>
      <c r="K13883" s="1" t="str">
        <f t="shared" si="709"/>
        <v>2026-07-29 13:18:11</v>
      </c>
      <c r="L13883" s="1" t="str">
        <f>"2018-02-01 16:36:14"</f>
        <v>2018-02-01 16:36:14</v>
      </c>
      <c r="M13883" s="1" t="s">
        <v>1</v>
      </c>
      <c r="N13883" s="1" t="s">
        <v>38</v>
      </c>
      <c r="O13883" s="1" t="s">
        <v>46</v>
      </c>
    </row>
    <row r="13884" spans="2:15" x14ac:dyDescent="0.3">
      <c r="B13884" s="1" t="s">
        <v>20</v>
      </c>
      <c r="C13884" s="1" t="str">
        <f>"4차"</f>
        <v>4차</v>
      </c>
      <c r="D13884" s="1" t="str">
        <f>"9925Z14139"</f>
        <v>9925Z14139</v>
      </c>
      <c r="E13884" s="1" t="s">
        <v>10</v>
      </c>
      <c r="F13884" s="1" t="str">
        <f>"10.10.39.74"</f>
        <v>10.10.39.74</v>
      </c>
      <c r="G13884" s="1" t="str">
        <f>"9925Z141"</f>
        <v>9925Z141</v>
      </c>
      <c r="H13884" s="1" t="str">
        <f>"남해간 55"</f>
        <v>남해간 55</v>
      </c>
      <c r="I13884" s="1" t="s">
        <v>8</v>
      </c>
      <c r="J13884" s="1" t="str">
        <f>"26/29"</f>
        <v>26/29</v>
      </c>
      <c r="K13884" s="1" t="str">
        <f t="shared" si="709"/>
        <v>2026-07-29 13:18:11</v>
      </c>
      <c r="L13884" s="1" t="str">
        <f>"2018-06-12 13:20:41"</f>
        <v>2018-06-12 13:20:41</v>
      </c>
      <c r="M13884" s="1" t="s">
        <v>1</v>
      </c>
      <c r="N13884" s="1" t="s">
        <v>38</v>
      </c>
      <c r="O13884" s="1" t="s">
        <v>46</v>
      </c>
    </row>
    <row r="13885" spans="2:15" x14ac:dyDescent="0.3">
      <c r="B13885" s="1" t="s">
        <v>20</v>
      </c>
      <c r="C13885" s="1" t="str">
        <f>"4차"</f>
        <v>4차</v>
      </c>
      <c r="D13885" s="1" t="str">
        <f>"9925Z16244"</f>
        <v>9925Z16244</v>
      </c>
      <c r="E13885" s="1" t="s">
        <v>10</v>
      </c>
      <c r="F13885" s="1" t="str">
        <f>"10.10.65.210"</f>
        <v>10.10.65.210</v>
      </c>
      <c r="G13885" s="1" t="str">
        <f>"9925Z162"</f>
        <v>9925Z162</v>
      </c>
      <c r="H13885" s="1" t="str">
        <f>"해방간 23AL1"</f>
        <v>해방간 23AL1</v>
      </c>
      <c r="I13885" s="1" t="s">
        <v>8</v>
      </c>
      <c r="J13885" s="1" t="str">
        <f>"31/31"</f>
        <v>31/31</v>
      </c>
      <c r="K13885" s="1" t="str">
        <f t="shared" si="709"/>
        <v>2026-07-29 13:18:11</v>
      </c>
      <c r="L13885" s="1" t="str">
        <f>"2019-01-07 17:01:54"</f>
        <v>2019-01-07 17:01:54</v>
      </c>
      <c r="M13885" s="1" t="s">
        <v>1</v>
      </c>
      <c r="N13885" s="1" t="s">
        <v>38</v>
      </c>
      <c r="O13885" s="1" t="s">
        <v>46</v>
      </c>
    </row>
    <row r="13886" spans="2:15" x14ac:dyDescent="0.3">
      <c r="B13886" s="1" t="s">
        <v>20</v>
      </c>
      <c r="C13886" s="1" t="str">
        <f>"4차"</f>
        <v>4차</v>
      </c>
      <c r="D13886" s="1" t="str">
        <f>"9925Z17144"</f>
        <v>9925Z17144</v>
      </c>
      <c r="E13886" s="1" t="s">
        <v>10</v>
      </c>
      <c r="F13886" s="1" t="str">
        <f>"10.10.118.210"</f>
        <v>10.10.118.210</v>
      </c>
      <c r="G13886" s="1" t="str">
        <f>"9925Z171"</f>
        <v>9925Z171</v>
      </c>
      <c r="H13886" s="1" t="str">
        <f>"해방간 23AL3"</f>
        <v>해방간 23AL3</v>
      </c>
      <c r="I13886" s="1" t="s">
        <v>8</v>
      </c>
      <c r="J13886" s="1" t="str">
        <f>"22/23"</f>
        <v>22/23</v>
      </c>
      <c r="K13886" s="1" t="str">
        <f t="shared" si="709"/>
        <v>2026-07-29 13:18:11</v>
      </c>
      <c r="L13886" s="1" t="str">
        <f>"2019-12-11 18:09:45"</f>
        <v>2019-12-11 18:09:45</v>
      </c>
      <c r="M13886" s="1" t="s">
        <v>1</v>
      </c>
      <c r="N13886" s="1" t="s">
        <v>38</v>
      </c>
      <c r="O13886" s="1" t="s">
        <v>46</v>
      </c>
    </row>
    <row r="13887" spans="2:15" x14ac:dyDescent="0.3">
      <c r="B13887" s="1" t="s">
        <v>20</v>
      </c>
      <c r="C13887" s="1" t="str">
        <f>"3차"</f>
        <v>3차</v>
      </c>
      <c r="D13887" s="1" t="str">
        <f>"9925Z20239"</f>
        <v>9925Z20239</v>
      </c>
      <c r="E13887" s="1" t="s">
        <v>10</v>
      </c>
      <c r="F13887" s="1" t="str">
        <f>"10.10.28.26"</f>
        <v>10.10.28.26</v>
      </c>
      <c r="G13887" s="1" t="str">
        <f>"9925Z202"</f>
        <v>9925Z202</v>
      </c>
      <c r="H13887" s="1" t="str">
        <f>"해방간 8L9"</f>
        <v>해방간 8L9</v>
      </c>
      <c r="I13887" s="1" t="s">
        <v>8</v>
      </c>
      <c r="J13887" s="1" t="str">
        <f>"34/34"</f>
        <v>34/34</v>
      </c>
      <c r="K13887" s="1" t="str">
        <f t="shared" si="709"/>
        <v>2026-07-29 13:18:11</v>
      </c>
      <c r="L13887" s="1" t="str">
        <f>"2018-04-09 13:07:25"</f>
        <v>2018-04-09 13:07:25</v>
      </c>
      <c r="M13887" s="1" t="s">
        <v>1</v>
      </c>
      <c r="N13887" s="1" t="s">
        <v>38</v>
      </c>
      <c r="O13887" s="1" t="s">
        <v>46</v>
      </c>
    </row>
    <row r="13888" spans="2:15" x14ac:dyDescent="0.3">
      <c r="B13888" s="1" t="s">
        <v>20</v>
      </c>
      <c r="C13888" s="1" t="str">
        <f>"4차"</f>
        <v>4차</v>
      </c>
      <c r="D13888" s="1" t="str">
        <f>"9925Z23130"</f>
        <v>9925Z23130</v>
      </c>
      <c r="E13888" s="1" t="s">
        <v>10</v>
      </c>
      <c r="F13888" s="1" t="str">
        <f>"10.10.26.154"</f>
        <v>10.10.26.154</v>
      </c>
      <c r="G13888" s="1" t="str">
        <f>"9925Z231"</f>
        <v>9925Z231</v>
      </c>
      <c r="H13888" s="1" t="str">
        <f>"해방간 23L3"</f>
        <v>해방간 23L3</v>
      </c>
      <c r="I13888" s="1" t="s">
        <v>8</v>
      </c>
      <c r="J13888" s="1" t="str">
        <f>"32/33"</f>
        <v>32/33</v>
      </c>
      <c r="K13888" s="1" t="str">
        <f t="shared" si="709"/>
        <v>2026-07-29 13:18:11</v>
      </c>
      <c r="L13888" s="1" t="str">
        <f>"2018-04-09 09:17:54"</f>
        <v>2018-04-09 09:17:54</v>
      </c>
      <c r="M13888" s="1" t="s">
        <v>1</v>
      </c>
      <c r="N13888" s="1" t="s">
        <v>38</v>
      </c>
      <c r="O13888" s="1" t="s">
        <v>46</v>
      </c>
    </row>
    <row r="13889" spans="2:15" x14ac:dyDescent="0.3">
      <c r="B13889" s="1" t="s">
        <v>20</v>
      </c>
      <c r="C13889" s="1" t="str">
        <f>"3차"</f>
        <v>3차</v>
      </c>
      <c r="D13889" s="1" t="str">
        <f>"9925Z24130"</f>
        <v>9925Z24130</v>
      </c>
      <c r="E13889" s="1" t="s">
        <v>10</v>
      </c>
      <c r="F13889" s="1" t="str">
        <f>"10.10.26.146"</f>
        <v>10.10.26.146</v>
      </c>
      <c r="G13889" s="1" t="str">
        <f>"9925Z241"</f>
        <v>9925Z241</v>
      </c>
      <c r="H13889" s="1" t="str">
        <f>"해방간 23L2"</f>
        <v>해방간 23L2</v>
      </c>
      <c r="I13889" s="1" t="s">
        <v>8</v>
      </c>
      <c r="J13889" s="1" t="str">
        <f>"45/46"</f>
        <v>45/46</v>
      </c>
      <c r="K13889" s="1" t="str">
        <f t="shared" si="709"/>
        <v>2026-07-29 13:18:11</v>
      </c>
      <c r="L13889" s="1" t="str">
        <f>"2018-04-09 09:20:09"</f>
        <v>2018-04-09 09:20:09</v>
      </c>
      <c r="M13889" s="1" t="s">
        <v>1</v>
      </c>
      <c r="N13889" s="1" t="s">
        <v>38</v>
      </c>
      <c r="O13889" s="1" t="s">
        <v>46</v>
      </c>
    </row>
    <row r="13890" spans="2:15" x14ac:dyDescent="0.3">
      <c r="B13890" s="1" t="s">
        <v>20</v>
      </c>
      <c r="C13890" s="1" t="str">
        <f>"3차"</f>
        <v>3차</v>
      </c>
      <c r="D13890" s="1" t="str">
        <f>"9925Z24231"</f>
        <v>9925Z24231</v>
      </c>
      <c r="E13890" s="1" t="s">
        <v>10</v>
      </c>
      <c r="F13890" s="1" t="str">
        <f>"10.10.26.147"</f>
        <v>10.10.26.147</v>
      </c>
      <c r="G13890" s="1" t="str">
        <f>"9925Z242"</f>
        <v>9925Z242</v>
      </c>
      <c r="H13890" s="1" t="str">
        <f>"해방간 23L2H1"</f>
        <v>해방간 23L2H1</v>
      </c>
      <c r="I13890" s="1" t="s">
        <v>8</v>
      </c>
      <c r="J13890" s="1" t="str">
        <f>"19/20"</f>
        <v>19/20</v>
      </c>
      <c r="K13890" s="1" t="str">
        <f t="shared" si="709"/>
        <v>2026-07-29 13:18:11</v>
      </c>
      <c r="L13890" s="1" t="str">
        <f>"2018-04-10 08:48:11"</f>
        <v>2018-04-10 08:48:11</v>
      </c>
      <c r="M13890" s="1" t="s">
        <v>1</v>
      </c>
      <c r="N13890" s="1" t="s">
        <v>38</v>
      </c>
      <c r="O13890" s="1" t="s">
        <v>46</v>
      </c>
    </row>
    <row r="13891" spans="2:15" x14ac:dyDescent="0.3">
      <c r="B13891" s="1" t="s">
        <v>20</v>
      </c>
      <c r="C13891" s="1" t="str">
        <f>"4차"</f>
        <v>4차</v>
      </c>
      <c r="D13891" s="1" t="str">
        <f>"9925Z25244"</f>
        <v>9925Z25244</v>
      </c>
      <c r="E13891" s="1" t="s">
        <v>10</v>
      </c>
      <c r="F13891" s="1" t="str">
        <f>"10.10.118.202"</f>
        <v>10.10.118.202</v>
      </c>
      <c r="G13891" s="1" t="str">
        <f>"9925Z252"</f>
        <v>9925Z252</v>
      </c>
      <c r="H13891" s="1" t="str">
        <f>"해방간 23"</f>
        <v>해방간 23</v>
      </c>
      <c r="I13891" s="1" t="s">
        <v>8</v>
      </c>
      <c r="J13891" s="1" t="str">
        <f>"6/6"</f>
        <v>6/6</v>
      </c>
      <c r="K13891" s="1" t="str">
        <f t="shared" si="709"/>
        <v>2026-07-29 13:18:11</v>
      </c>
      <c r="L13891" s="1" t="str">
        <f>"2019-12-17 16:09:30"</f>
        <v>2019-12-17 16:09:30</v>
      </c>
      <c r="M13891" s="1" t="s">
        <v>1</v>
      </c>
      <c r="N13891" s="1" t="s">
        <v>38</v>
      </c>
      <c r="O13891" s="1" t="s">
        <v>46</v>
      </c>
    </row>
    <row r="13892" spans="2:15" x14ac:dyDescent="0.3">
      <c r="B13892" s="1" t="s">
        <v>20</v>
      </c>
      <c r="C13892" s="1" t="str">
        <f>"3차"</f>
        <v>3차</v>
      </c>
      <c r="D13892" s="1" t="str">
        <f>"9925Z30139"</f>
        <v>9925Z30139</v>
      </c>
      <c r="E13892" s="1" t="s">
        <v>10</v>
      </c>
      <c r="F13892" s="1" t="str">
        <f>"10.10.27.10"</f>
        <v>10.10.27.10</v>
      </c>
      <c r="G13892" s="1" t="str">
        <f>"9925Z301"</f>
        <v>9925Z301</v>
      </c>
      <c r="H13892" s="1" t="str">
        <f>"해방간 8L6"</f>
        <v>해방간 8L6</v>
      </c>
      <c r="I13892" s="1" t="s">
        <v>8</v>
      </c>
      <c r="J13892" s="1" t="str">
        <f>"71/71"</f>
        <v>71/71</v>
      </c>
      <c r="K13892" s="1" t="str">
        <f t="shared" si="709"/>
        <v>2026-07-29 13:18:11</v>
      </c>
      <c r="L13892" s="1" t="str">
        <f>"2018-04-09 11:13:54"</f>
        <v>2018-04-09 11:13:54</v>
      </c>
      <c r="M13892" s="1" t="s">
        <v>1</v>
      </c>
      <c r="N13892" s="1" t="s">
        <v>38</v>
      </c>
      <c r="O13892" s="1" t="s">
        <v>46</v>
      </c>
    </row>
    <row r="13893" spans="2:15" x14ac:dyDescent="0.3">
      <c r="B13893" s="1" t="s">
        <v>20</v>
      </c>
      <c r="C13893" s="1" t="str">
        <f>"4차"</f>
        <v>4차</v>
      </c>
      <c r="D13893" s="1" t="str">
        <f>"9925Z30544"</f>
        <v>9925Z30544</v>
      </c>
      <c r="E13893" s="1" t="s">
        <v>10</v>
      </c>
      <c r="F13893" s="1" t="str">
        <f>"10.10.66.66"</f>
        <v>10.10.66.66</v>
      </c>
      <c r="G13893" s="1" t="str">
        <f>"9925Z305"</f>
        <v>9925Z305</v>
      </c>
      <c r="H13893" s="1" t="str">
        <f>"해방간 8L7R1"</f>
        <v>해방간 8L7R1</v>
      </c>
      <c r="I13893" s="1" t="s">
        <v>8</v>
      </c>
      <c r="J13893" s="1" t="str">
        <f>"80/80"</f>
        <v>80/80</v>
      </c>
      <c r="K13893" s="1" t="str">
        <f t="shared" si="709"/>
        <v>2026-07-29 13:18:11</v>
      </c>
      <c r="L13893" s="1" t="str">
        <f>"2019-01-08 10:14:53"</f>
        <v>2019-01-08 10:14:53</v>
      </c>
      <c r="M13893" s="1" t="s">
        <v>1</v>
      </c>
      <c r="N13893" s="1" t="s">
        <v>38</v>
      </c>
      <c r="O13893" s="1" t="s">
        <v>46</v>
      </c>
    </row>
    <row r="13894" spans="2:15" x14ac:dyDescent="0.3">
      <c r="B13894" s="1" t="s">
        <v>20</v>
      </c>
      <c r="C13894" s="1" t="str">
        <f>"4차"</f>
        <v>4차</v>
      </c>
      <c r="D13894" s="1" t="str">
        <f>"9925Z32231"</f>
        <v>9925Z32231</v>
      </c>
      <c r="E13894" s="1" t="s">
        <v>10</v>
      </c>
      <c r="F13894" s="1" t="str">
        <f>"10.10.26.155"</f>
        <v>10.10.26.155</v>
      </c>
      <c r="G13894" s="1" t="str">
        <f>"9925Z322"</f>
        <v>9925Z322</v>
      </c>
      <c r="H13894" s="1" t="str">
        <f>"해방간 23L3L2"</f>
        <v>해방간 23L3L2</v>
      </c>
      <c r="I13894" s="1" t="s">
        <v>8</v>
      </c>
      <c r="J13894" s="1" t="str">
        <f>"62/62"</f>
        <v>62/62</v>
      </c>
      <c r="K13894" s="1" t="str">
        <f t="shared" si="709"/>
        <v>2026-07-29 13:18:11</v>
      </c>
      <c r="L13894" s="1" t="str">
        <f>"2018-04-09 16:28:42"</f>
        <v>2018-04-09 16:28:42</v>
      </c>
      <c r="M13894" s="1" t="s">
        <v>1</v>
      </c>
      <c r="N13894" s="1" t="s">
        <v>38</v>
      </c>
      <c r="O13894" s="1" t="s">
        <v>46</v>
      </c>
    </row>
    <row r="13895" spans="2:15" x14ac:dyDescent="0.3">
      <c r="B13895" s="1" t="s">
        <v>20</v>
      </c>
      <c r="C13895" s="1" t="str">
        <f>"3차"</f>
        <v>3차</v>
      </c>
      <c r="D13895" s="1" t="str">
        <f>"9925Z33139"</f>
        <v>9925Z33139</v>
      </c>
      <c r="E13895" s="1" t="s">
        <v>10</v>
      </c>
      <c r="F13895" s="1" t="str">
        <f>"10.10.26.106"</f>
        <v>10.10.26.106</v>
      </c>
      <c r="G13895" s="1" t="str">
        <f>"9925Z331"</f>
        <v>9925Z331</v>
      </c>
      <c r="H13895" s="1" t="str">
        <f>"해방간 18L1R2"</f>
        <v>해방간 18L1R2</v>
      </c>
      <c r="I13895" s="1" t="s">
        <v>8</v>
      </c>
      <c r="J13895" s="1" t="str">
        <f>"24/24"</f>
        <v>24/24</v>
      </c>
      <c r="K13895" s="1" t="str">
        <f t="shared" si="709"/>
        <v>2026-07-29 13:18:11</v>
      </c>
      <c r="L13895" s="1" t="str">
        <f>"2018-04-09 12:50:41"</f>
        <v>2018-04-09 12:50:41</v>
      </c>
      <c r="M13895" s="1" t="s">
        <v>1</v>
      </c>
      <c r="N13895" s="1" t="s">
        <v>38</v>
      </c>
      <c r="O13895" s="1" t="s">
        <v>46</v>
      </c>
    </row>
    <row r="13896" spans="2:15" x14ac:dyDescent="0.3">
      <c r="B13896" s="1" t="s">
        <v>20</v>
      </c>
      <c r="C13896" s="1" t="str">
        <f>"4차"</f>
        <v>4차</v>
      </c>
      <c r="D13896" s="1" t="str">
        <f>"9925Z35242"</f>
        <v>9925Z35242</v>
      </c>
      <c r="E13896" s="1" t="s">
        <v>10</v>
      </c>
      <c r="F13896" s="1" t="str">
        <f>"10.12.137.252"</f>
        <v>10.12.137.252</v>
      </c>
      <c r="G13896" s="1" t="str">
        <f>"9925Z352"</f>
        <v>9925Z352</v>
      </c>
      <c r="H13896" s="1" t="str">
        <f>"해방간 22"</f>
        <v>해방간 22</v>
      </c>
      <c r="I13896" s="1" t="s">
        <v>8</v>
      </c>
      <c r="J13896" s="1" t="str">
        <f>"12/20"</f>
        <v>12/20</v>
      </c>
      <c r="K13896" s="1" t="str">
        <f>"2026-07-29 13:18:12"</f>
        <v>2026-07-29 13:18:12</v>
      </c>
      <c r="L13896" s="1" t="str">
        <f>"2025-01-02 17:10:11"</f>
        <v>2025-01-02 17:10:11</v>
      </c>
      <c r="M13896" s="1" t="s">
        <v>0</v>
      </c>
      <c r="N13896" s="1" t="s">
        <v>38</v>
      </c>
      <c r="O13896" s="1" t="s">
        <v>46</v>
      </c>
    </row>
    <row r="13897" spans="2:15" x14ac:dyDescent="0.3">
      <c r="B13897" s="1" t="s">
        <v>20</v>
      </c>
      <c r="C13897" s="1" t="str">
        <f>"3차"</f>
        <v>3차</v>
      </c>
      <c r="D13897" s="1" t="str">
        <f>"9925Z41230"</f>
        <v>9925Z41230</v>
      </c>
      <c r="E13897" s="1" t="s">
        <v>10</v>
      </c>
      <c r="F13897" s="1" t="str">
        <f>"10.10.26.114"</f>
        <v>10.10.26.114</v>
      </c>
      <c r="G13897" s="1" t="str">
        <f>"9925Z412"</f>
        <v>9925Z412</v>
      </c>
      <c r="H13897" s="1" t="str">
        <f>"해방간 18L2"</f>
        <v>해방간 18L2</v>
      </c>
      <c r="I13897" s="1" t="s">
        <v>8</v>
      </c>
      <c r="J13897" s="1" t="str">
        <f>"29/29"</f>
        <v>29/29</v>
      </c>
      <c r="K13897" s="1" t="str">
        <f>"2026-07-29 13:18:11"</f>
        <v>2026-07-29 13:18:11</v>
      </c>
      <c r="L13897" s="1" t="str">
        <f>"2021-04-28 15:15:39"</f>
        <v>2021-04-28 15:15:39</v>
      </c>
      <c r="M13897" s="1" t="s">
        <v>1</v>
      </c>
      <c r="N13897" s="1" t="s">
        <v>38</v>
      </c>
      <c r="O13897" s="1" t="s">
        <v>46</v>
      </c>
    </row>
    <row r="13898" spans="2:15" x14ac:dyDescent="0.3">
      <c r="B13898" s="1" t="s">
        <v>20</v>
      </c>
      <c r="C13898" s="1" t="str">
        <f>"3차"</f>
        <v>3차</v>
      </c>
      <c r="D13898" s="1" t="str">
        <f>"9925Z42139"</f>
        <v>9925Z42139</v>
      </c>
      <c r="E13898" s="1" t="s">
        <v>10</v>
      </c>
      <c r="F13898" s="1" t="str">
        <f>"10.10.26.90"</f>
        <v>10.10.26.90</v>
      </c>
      <c r="G13898" s="1" t="str">
        <f>"9925Z421"</f>
        <v>9925Z421</v>
      </c>
      <c r="H13898" s="1" t="str">
        <f>"해방간 18L1"</f>
        <v>해방간 18L1</v>
      </c>
      <c r="I13898" s="1" t="s">
        <v>8</v>
      </c>
      <c r="J13898" s="1" t="str">
        <f>"9/9"</f>
        <v>9/9</v>
      </c>
      <c r="K13898" s="1" t="str">
        <f>"2026-07-29 13:18:11"</f>
        <v>2026-07-29 13:18:11</v>
      </c>
      <c r="L13898" s="1" t="str">
        <f>"2018-04-09 11:33:09"</f>
        <v>2018-04-09 11:33:09</v>
      </c>
      <c r="M13898" s="1" t="s">
        <v>1</v>
      </c>
      <c r="N13898" s="1" t="s">
        <v>38</v>
      </c>
      <c r="O13898" s="1" t="s">
        <v>46</v>
      </c>
    </row>
    <row r="13899" spans="2:15" x14ac:dyDescent="0.3">
      <c r="B13899" s="1" t="s">
        <v>20</v>
      </c>
      <c r="C13899" s="1" t="str">
        <f>"6차"</f>
        <v>6차</v>
      </c>
      <c r="D13899" s="1" t="str">
        <f>"9925Z4316S"</f>
        <v>9925Z4316S</v>
      </c>
      <c r="E13899" s="1" t="s">
        <v>10</v>
      </c>
      <c r="F13899" s="1" t="str">
        <f>"fde1:103:4:c80d:0:0:0:2"</f>
        <v>fde1:103:4:c80d:0:0:0:2</v>
      </c>
      <c r="G13899" s="1" t="str">
        <f>"9925Z431"</f>
        <v>9925Z431</v>
      </c>
      <c r="H13899" s="1" t="str">
        <f>"해방간 19"</f>
        <v>해방간 19</v>
      </c>
      <c r="I13899" s="1" t="s">
        <v>15</v>
      </c>
      <c r="J13899" s="1" t="str">
        <f>"30/33"</f>
        <v>30/33</v>
      </c>
      <c r="K13899" s="1" t="str">
        <f>"2026-07-29 14:21:28"</f>
        <v>2026-07-29 14:21:28</v>
      </c>
      <c r="L13899" s="1" t="str">
        <f>"2024-12-10 15:44:12"</f>
        <v>2024-12-10 15:44:12</v>
      </c>
      <c r="M13899" s="1" t="s">
        <v>4</v>
      </c>
      <c r="N13899" s="1" t="s">
        <v>38</v>
      </c>
      <c r="O13899" s="1" t="s">
        <v>46</v>
      </c>
    </row>
    <row r="13900" spans="2:15" x14ac:dyDescent="0.3">
      <c r="B13900" s="1" t="s">
        <v>20</v>
      </c>
      <c r="C13900" s="1" t="str">
        <f>"3차"</f>
        <v>3차</v>
      </c>
      <c r="D13900" s="1" t="str">
        <f>"9925Z43239"</f>
        <v>9925Z43239</v>
      </c>
      <c r="E13900" s="1" t="s">
        <v>10</v>
      </c>
      <c r="F13900" s="1" t="str">
        <f>"10.10.26.98"</f>
        <v>10.10.26.98</v>
      </c>
      <c r="G13900" s="1" t="str">
        <f>"9925Z432"</f>
        <v>9925Z432</v>
      </c>
      <c r="H13900" s="1" t="str">
        <f>"해방간 18L1R1"</f>
        <v>해방간 18L1R1</v>
      </c>
      <c r="I13900" s="1" t="s">
        <v>8</v>
      </c>
      <c r="J13900" s="1" t="str">
        <f>"29/29"</f>
        <v>29/29</v>
      </c>
      <c r="K13900" s="1" t="str">
        <f>"2026-07-29 13:18:11"</f>
        <v>2026-07-29 13:18:11</v>
      </c>
      <c r="L13900" s="1" t="str">
        <f>"2018-04-09 12:45:10"</f>
        <v>2018-04-09 12:45:10</v>
      </c>
      <c r="M13900" s="1" t="s">
        <v>1</v>
      </c>
      <c r="N13900" s="1" t="s">
        <v>38</v>
      </c>
      <c r="O13900" s="1" t="s">
        <v>46</v>
      </c>
    </row>
    <row r="13901" spans="2:15" x14ac:dyDescent="0.3">
      <c r="B13901" s="1" t="s">
        <v>20</v>
      </c>
      <c r="C13901" s="1" t="str">
        <f>"3차"</f>
        <v>3차</v>
      </c>
      <c r="D13901" s="1" t="str">
        <f>"9925Z45139"</f>
        <v>9925Z45139</v>
      </c>
      <c r="E13901" s="1" t="s">
        <v>10</v>
      </c>
      <c r="F13901" s="1" t="str">
        <f>"10.125.225.194"</f>
        <v>10.125.225.194</v>
      </c>
      <c r="G13901" s="1" t="str">
        <f>"9925Z451"</f>
        <v>9925Z451</v>
      </c>
      <c r="H13901" s="1" t="str">
        <f>"해방간 20R4"</f>
        <v>해방간 20R4</v>
      </c>
      <c r="I13901" s="1" t="s">
        <v>8</v>
      </c>
      <c r="J13901" s="1" t="str">
        <f>"90/90"</f>
        <v>90/90</v>
      </c>
      <c r="K13901" s="1" t="str">
        <f>"2026-07-29 13:18:11"</f>
        <v>2026-07-29 13:18:11</v>
      </c>
      <c r="L13901" s="1" t="str">
        <f>"2023-03-14 13:19:22"</f>
        <v>2023-03-14 13:19:22</v>
      </c>
      <c r="M13901" s="1" t="s">
        <v>45</v>
      </c>
      <c r="N13901" s="1" t="s">
        <v>38</v>
      </c>
      <c r="O13901" s="1" t="s">
        <v>46</v>
      </c>
    </row>
    <row r="13902" spans="2:15" x14ac:dyDescent="0.3">
      <c r="B13902" s="1" t="s">
        <v>20</v>
      </c>
      <c r="C13902" s="1" t="str">
        <f>"4차"</f>
        <v>4차</v>
      </c>
      <c r="D13902" s="1" t="str">
        <f>"9925Z50131"</f>
        <v>9925Z50131</v>
      </c>
      <c r="E13902" s="1" t="s">
        <v>10</v>
      </c>
      <c r="F13902" s="1" t="str">
        <f>"10.12.129.154"</f>
        <v>10.12.129.154</v>
      </c>
      <c r="G13902" s="1" t="str">
        <f>"9925Z501"</f>
        <v>9925Z501</v>
      </c>
      <c r="H13902" s="1" t="str">
        <f>"해방간 15L1"</f>
        <v>해방간 15L1</v>
      </c>
      <c r="I13902" s="1" t="s">
        <v>8</v>
      </c>
      <c r="J13902" s="1" t="str">
        <f>"11/11"</f>
        <v>11/11</v>
      </c>
      <c r="K13902" s="1" t="str">
        <f>"2026-07-29 13:18:14"</f>
        <v>2026-07-29 13:18:14</v>
      </c>
      <c r="L13902" s="1" t="str">
        <f>"2025-03-10 10:34:35"</f>
        <v>2025-03-10 10:34:35</v>
      </c>
      <c r="M13902" s="1" t="s">
        <v>0</v>
      </c>
      <c r="N13902" s="1" t="s">
        <v>38</v>
      </c>
      <c r="O13902" s="1" t="s">
        <v>46</v>
      </c>
    </row>
    <row r="13903" spans="2:15" x14ac:dyDescent="0.3">
      <c r="B13903" s="1" t="s">
        <v>20</v>
      </c>
      <c r="C13903" s="1" t="str">
        <f>"4차"</f>
        <v>4차</v>
      </c>
      <c r="D13903" s="1" t="str">
        <f>"9925Z50230"</f>
        <v>9925Z50230</v>
      </c>
      <c r="E13903" s="1" t="s">
        <v>10</v>
      </c>
      <c r="F13903" s="1" t="str">
        <f>"10.10.26.122"</f>
        <v>10.10.26.122</v>
      </c>
      <c r="G13903" s="1" t="str">
        <f>"9925Z502"</f>
        <v>9925Z502</v>
      </c>
      <c r="H13903" s="1" t="str">
        <f>"해방간 18L4"</f>
        <v>해방간 18L4</v>
      </c>
      <c r="I13903" s="1" t="s">
        <v>8</v>
      </c>
      <c r="J13903" s="1" t="str">
        <f>"51/51"</f>
        <v>51/51</v>
      </c>
      <c r="K13903" s="1" t="str">
        <f>"2026-07-29 13:18:11"</f>
        <v>2026-07-29 13:18:11</v>
      </c>
      <c r="L13903" s="1" t="str">
        <f>"2018-04-09 11:59:40"</f>
        <v>2018-04-09 11:59:40</v>
      </c>
      <c r="M13903" s="1" t="s">
        <v>1</v>
      </c>
      <c r="N13903" s="1" t="s">
        <v>38</v>
      </c>
      <c r="O13903" s="1" t="s">
        <v>46</v>
      </c>
    </row>
    <row r="13904" spans="2:15" x14ac:dyDescent="0.3">
      <c r="B13904" s="1" t="s">
        <v>20</v>
      </c>
      <c r="C13904" s="1" t="str">
        <f>"4차"</f>
        <v>4차</v>
      </c>
      <c r="D13904" s="1" t="str">
        <f>"9925Z51231"</f>
        <v>9925Z51231</v>
      </c>
      <c r="E13904" s="1" t="s">
        <v>14</v>
      </c>
      <c r="F13904" s="1" t="str">
        <f>"10.12.135.143"</f>
        <v>10.12.135.143</v>
      </c>
      <c r="G13904" s="1" t="str">
        <f>"9925Z512"</f>
        <v>9925Z512</v>
      </c>
      <c r="H13904" s="1" t="str">
        <f>"해방간 18L3"</f>
        <v>해방간 18L3</v>
      </c>
      <c r="I13904" s="1" t="s">
        <v>8</v>
      </c>
      <c r="J13904" s="1" t="str">
        <f>"0/0"</f>
        <v>0/0</v>
      </c>
      <c r="K13904" s="1" t="str">
        <f>"2026-06-10 07:18:12"</f>
        <v>2026-06-10 07:18:12</v>
      </c>
      <c r="L13904" s="1" t="str">
        <f>"2026-01-21 11:14:21"</f>
        <v>2026-01-21 11:14:21</v>
      </c>
      <c r="M13904" s="1" t="s">
        <v>0</v>
      </c>
      <c r="N13904" s="1" t="s">
        <v>39</v>
      </c>
      <c r="O13904" s="1" t="s">
        <v>46</v>
      </c>
    </row>
    <row r="13905" spans="2:15" x14ac:dyDescent="0.3">
      <c r="B13905" s="1" t="s">
        <v>20</v>
      </c>
      <c r="C13905" s="1" t="str">
        <f>"3차"</f>
        <v>3차</v>
      </c>
      <c r="D13905" s="1" t="str">
        <f>"9925Z52339"</f>
        <v>9925Z52339</v>
      </c>
      <c r="E13905" s="1" t="s">
        <v>10</v>
      </c>
      <c r="F13905" s="1" t="str">
        <f>"10.10.27.234"</f>
        <v>10.10.27.234</v>
      </c>
      <c r="G13905" s="1" t="str">
        <f>"9925Z523"</f>
        <v>9925Z523</v>
      </c>
      <c r="H13905" s="1" t="str">
        <f>"해방간 17H1"</f>
        <v>해방간 17H1</v>
      </c>
      <c r="I13905" s="1" t="s">
        <v>8</v>
      </c>
      <c r="J13905" s="1" t="str">
        <f>"63/63"</f>
        <v>63/63</v>
      </c>
      <c r="K13905" s="1" t="str">
        <f>"2026-07-29 13:18:11"</f>
        <v>2026-07-29 13:18:11</v>
      </c>
      <c r="L13905" s="1" t="str">
        <f>"2018-04-09 13:14:54"</f>
        <v>2018-04-09 13:14:54</v>
      </c>
      <c r="M13905" s="1" t="s">
        <v>1</v>
      </c>
      <c r="N13905" s="1" t="s">
        <v>38</v>
      </c>
      <c r="O13905" s="1" t="s">
        <v>46</v>
      </c>
    </row>
    <row r="13906" spans="2:15" x14ac:dyDescent="0.3">
      <c r="B13906" s="1" t="s">
        <v>20</v>
      </c>
      <c r="C13906" s="1" t="str">
        <f>"4차"</f>
        <v>4차</v>
      </c>
      <c r="D13906" s="1" t="str">
        <f>"9925Z53144"</f>
        <v>9925Z53144</v>
      </c>
      <c r="E13906" s="1" t="s">
        <v>10</v>
      </c>
      <c r="F13906" s="1" t="str">
        <f>"10.10.65.146"</f>
        <v>10.10.65.146</v>
      </c>
      <c r="G13906" s="1" t="str">
        <f>"9925Z531"</f>
        <v>9925Z531</v>
      </c>
      <c r="H13906" s="1" t="str">
        <f>"해방간 18R1"</f>
        <v>해방간 18R1</v>
      </c>
      <c r="I13906" s="1" t="s">
        <v>8</v>
      </c>
      <c r="J13906" s="1" t="str">
        <f>"70/70"</f>
        <v>70/70</v>
      </c>
      <c r="K13906" s="1" t="str">
        <f>"2026-07-29 13:18:11"</f>
        <v>2026-07-29 13:18:11</v>
      </c>
      <c r="L13906" s="1" t="str">
        <f>"2019-12-11 18:08:15"</f>
        <v>2019-12-11 18:08:15</v>
      </c>
      <c r="M13906" s="1" t="s">
        <v>1</v>
      </c>
      <c r="N13906" s="1" t="s">
        <v>38</v>
      </c>
      <c r="O13906" s="1" t="s">
        <v>46</v>
      </c>
    </row>
    <row r="13907" spans="2:15" x14ac:dyDescent="0.3">
      <c r="B13907" s="1" t="s">
        <v>20</v>
      </c>
      <c r="C13907" s="1" t="str">
        <f>"3차"</f>
        <v>3차</v>
      </c>
      <c r="D13907" s="1" t="str">
        <f>"9925Z54139"</f>
        <v>9925Z54139</v>
      </c>
      <c r="E13907" s="1" t="s">
        <v>10</v>
      </c>
      <c r="F13907" s="1" t="str">
        <f>"10.125.239.26"</f>
        <v>10.125.239.26</v>
      </c>
      <c r="G13907" s="1" t="str">
        <f>"9925Z541"</f>
        <v>9925Z541</v>
      </c>
      <c r="H13907" s="1" t="str">
        <f>"해방간 20R3R1"</f>
        <v>해방간 20R3R1</v>
      </c>
      <c r="I13907" s="1" t="s">
        <v>8</v>
      </c>
      <c r="J13907" s="1" t="str">
        <f>"78/78"</f>
        <v>78/78</v>
      </c>
      <c r="K13907" s="1" t="str">
        <f>"2026-07-29 13:18:11"</f>
        <v>2026-07-29 13:18:11</v>
      </c>
      <c r="L13907" s="1" t="str">
        <f>"2018-09-28 10:42:55"</f>
        <v>2018-09-28 10:42:55</v>
      </c>
      <c r="M13907" s="1" t="s">
        <v>45</v>
      </c>
      <c r="N13907" s="1" t="s">
        <v>38</v>
      </c>
      <c r="O13907" s="1" t="s">
        <v>46</v>
      </c>
    </row>
    <row r="13908" spans="2:15" x14ac:dyDescent="0.3">
      <c r="B13908" s="1" t="s">
        <v>20</v>
      </c>
      <c r="C13908" s="1" t="str">
        <f>"4차"</f>
        <v>4차</v>
      </c>
      <c r="D13908" s="1" t="str">
        <f>"9925Z54544"</f>
        <v>9925Z54544</v>
      </c>
      <c r="E13908" s="1" t="s">
        <v>10</v>
      </c>
      <c r="F13908" s="1" t="str">
        <f>"10.10.65.202"</f>
        <v>10.10.65.202</v>
      </c>
      <c r="G13908" s="1" t="str">
        <f>"9925Z545"</f>
        <v>9925Z545</v>
      </c>
      <c r="H13908" s="1" t="str">
        <f>"해방간 20R3R2"</f>
        <v>해방간 20R3R2</v>
      </c>
      <c r="I13908" s="1" t="s">
        <v>8</v>
      </c>
      <c r="J13908" s="1" t="str">
        <f>"36/36"</f>
        <v>36/36</v>
      </c>
      <c r="K13908" s="1" t="str">
        <f>"2026-07-29 13:18:11"</f>
        <v>2026-07-29 13:18:11</v>
      </c>
      <c r="L13908" s="1" t="str">
        <f>"2019-01-07 15:22:08"</f>
        <v>2019-01-07 15:22:08</v>
      </c>
      <c r="M13908" s="1" t="s">
        <v>1</v>
      </c>
      <c r="N13908" s="1" t="s">
        <v>38</v>
      </c>
      <c r="O13908" s="1" t="s">
        <v>46</v>
      </c>
    </row>
    <row r="13909" spans="2:15" x14ac:dyDescent="0.3">
      <c r="B13909" s="1" t="s">
        <v>20</v>
      </c>
      <c r="C13909" s="1" t="str">
        <f>"4차"</f>
        <v>4차</v>
      </c>
      <c r="D13909" s="1" t="str">
        <f>"9925Z55144"</f>
        <v>9925Z55144</v>
      </c>
      <c r="E13909" s="1" t="s">
        <v>10</v>
      </c>
      <c r="F13909" s="1" t="str">
        <f>"10.12.132.171"</f>
        <v>10.12.132.171</v>
      </c>
      <c r="G13909" s="1" t="str">
        <f>"9925Z551"</f>
        <v>9925Z551</v>
      </c>
      <c r="H13909" s="1" t="str">
        <f>"해방간 20R3"</f>
        <v>해방간 20R3</v>
      </c>
      <c r="I13909" s="1" t="s">
        <v>8</v>
      </c>
      <c r="J13909" s="1" t="str">
        <f>"34/34"</f>
        <v>34/34</v>
      </c>
      <c r="K13909" s="1" t="str">
        <f>"2026-07-29 13:18:12"</f>
        <v>2026-07-29 13:18:12</v>
      </c>
      <c r="L13909" s="1" t="str">
        <f>"2023-09-22 17:27:06"</f>
        <v>2023-09-22 17:27:06</v>
      </c>
      <c r="M13909" s="1" t="s">
        <v>0</v>
      </c>
      <c r="N13909" s="1" t="s">
        <v>38</v>
      </c>
      <c r="O13909" s="1" t="s">
        <v>46</v>
      </c>
    </row>
    <row r="13910" spans="2:15" x14ac:dyDescent="0.3">
      <c r="B13910" s="1" t="s">
        <v>20</v>
      </c>
      <c r="C13910" s="1" t="str">
        <f t="shared" ref="C13910:C13917" si="710">"3차"</f>
        <v>3차</v>
      </c>
      <c r="D13910" s="1" t="str">
        <f>"9925Z60130"</f>
        <v>9925Z60130</v>
      </c>
      <c r="E13910" s="1" t="s">
        <v>10</v>
      </c>
      <c r="F13910" s="1" t="str">
        <f>"10.10.26.42"</f>
        <v>10.10.26.42</v>
      </c>
      <c r="G13910" s="1" t="str">
        <f>"9925Z601"</f>
        <v>9925Z601</v>
      </c>
      <c r="H13910" s="1" t="str">
        <f>"해방간 15"</f>
        <v>해방간 15</v>
      </c>
      <c r="I13910" s="1" t="s">
        <v>8</v>
      </c>
      <c r="J13910" s="1" t="str">
        <f>"26/26"</f>
        <v>26/26</v>
      </c>
      <c r="K13910" s="1" t="str">
        <f>"2026-07-29 13:18:11"</f>
        <v>2026-07-29 13:18:11</v>
      </c>
      <c r="L13910" s="1" t="str">
        <f>"2018-04-09 12:51:41"</f>
        <v>2018-04-09 12:51:41</v>
      </c>
      <c r="M13910" s="1" t="s">
        <v>1</v>
      </c>
      <c r="N13910" s="1" t="s">
        <v>38</v>
      </c>
      <c r="O13910" s="1" t="s">
        <v>46</v>
      </c>
    </row>
    <row r="13911" spans="2:15" x14ac:dyDescent="0.3">
      <c r="B13911" s="1" t="s">
        <v>20</v>
      </c>
      <c r="C13911" s="1" t="str">
        <f t="shared" si="710"/>
        <v>3차</v>
      </c>
      <c r="D13911" s="1" t="str">
        <f>"9925Z60331"</f>
        <v>9925Z60331</v>
      </c>
      <c r="E13911" s="1" t="s">
        <v>10</v>
      </c>
      <c r="F13911" s="1" t="str">
        <f>"10.10.26.123"</f>
        <v>10.10.26.123</v>
      </c>
      <c r="G13911" s="1" t="str">
        <f>"9925Z603"</f>
        <v>9925Z603</v>
      </c>
      <c r="H13911" s="1" t="str">
        <f>"해방간 18L5"</f>
        <v>해방간 18L5</v>
      </c>
      <c r="I13911" s="1" t="s">
        <v>8</v>
      </c>
      <c r="J13911" s="1" t="str">
        <f>"29/29"</f>
        <v>29/29</v>
      </c>
      <c r="K13911" s="1" t="str">
        <f>"2026-07-29 13:18:12"</f>
        <v>2026-07-29 13:18:12</v>
      </c>
      <c r="L13911" s="1" t="str">
        <f>"2018-05-03 11:23:09"</f>
        <v>2018-05-03 11:23:09</v>
      </c>
      <c r="M13911" s="1" t="s">
        <v>1</v>
      </c>
      <c r="N13911" s="1" t="s">
        <v>38</v>
      </c>
      <c r="O13911" s="1" t="s">
        <v>46</v>
      </c>
    </row>
    <row r="13912" spans="2:15" x14ac:dyDescent="0.3">
      <c r="B13912" s="1" t="s">
        <v>20</v>
      </c>
      <c r="C13912" s="1" t="str">
        <f t="shared" si="710"/>
        <v>3차</v>
      </c>
      <c r="D13912" s="1" t="str">
        <f>"9925Z61239"</f>
        <v>9925Z61239</v>
      </c>
      <c r="E13912" s="1" t="s">
        <v>10</v>
      </c>
      <c r="F13912" s="1" t="str">
        <f>"10.10.27.226"</f>
        <v>10.10.27.226</v>
      </c>
      <c r="G13912" s="1" t="str">
        <f>"9925Z612"</f>
        <v>9925Z612</v>
      </c>
      <c r="H13912" s="1" t="str">
        <f>"해방간 16R1"</f>
        <v>해방간 16R1</v>
      </c>
      <c r="I13912" s="1" t="s">
        <v>8</v>
      </c>
      <c r="J13912" s="1" t="str">
        <f>"59/59"</f>
        <v>59/59</v>
      </c>
      <c r="K13912" s="1" t="str">
        <f>"2026-07-29 13:18:11"</f>
        <v>2026-07-29 13:18:11</v>
      </c>
      <c r="L13912" s="1" t="str">
        <f>"2018-04-09 13:28:55"</f>
        <v>2018-04-09 13:28:55</v>
      </c>
      <c r="M13912" s="1" t="s">
        <v>1</v>
      </c>
      <c r="N13912" s="1" t="s">
        <v>38</v>
      </c>
      <c r="O13912" s="1" t="s">
        <v>46</v>
      </c>
    </row>
    <row r="13913" spans="2:15" x14ac:dyDescent="0.3">
      <c r="B13913" s="1" t="s">
        <v>20</v>
      </c>
      <c r="C13913" s="1" t="str">
        <f t="shared" si="710"/>
        <v>3차</v>
      </c>
      <c r="D13913" s="1" t="str">
        <f>"9925Z62139"</f>
        <v>9925Z62139</v>
      </c>
      <c r="E13913" s="1" t="s">
        <v>10</v>
      </c>
      <c r="F13913" s="1" t="str">
        <f>"10.10.26.74"</f>
        <v>10.10.26.74</v>
      </c>
      <c r="G13913" s="1" t="str">
        <f>"9925Z621"</f>
        <v>9925Z621</v>
      </c>
      <c r="H13913" s="1" t="str">
        <f>"해방간 15R5"</f>
        <v>해방간 15R5</v>
      </c>
      <c r="I13913" s="1" t="s">
        <v>8</v>
      </c>
      <c r="J13913" s="1" t="str">
        <f>"46/46"</f>
        <v>46/46</v>
      </c>
      <c r="K13913" s="1" t="str">
        <f>"2026-07-29 13:18:11"</f>
        <v>2026-07-29 13:18:11</v>
      </c>
      <c r="L13913" s="1" t="str">
        <f>"2018-04-09 13:12:15"</f>
        <v>2018-04-09 13:12:15</v>
      </c>
      <c r="M13913" s="1" t="s">
        <v>1</v>
      </c>
      <c r="N13913" s="1" t="s">
        <v>38</v>
      </c>
      <c r="O13913" s="1" t="s">
        <v>46</v>
      </c>
    </row>
    <row r="13914" spans="2:15" x14ac:dyDescent="0.3">
      <c r="B13914" s="1" t="s">
        <v>20</v>
      </c>
      <c r="C13914" s="1" t="str">
        <f t="shared" si="710"/>
        <v>3차</v>
      </c>
      <c r="D13914" s="1" t="str">
        <f>"9925Z63139"</f>
        <v>9925Z63139</v>
      </c>
      <c r="E13914" s="1" t="s">
        <v>10</v>
      </c>
      <c r="F13914" s="1" t="str">
        <f>"10.10.26.82"</f>
        <v>10.10.26.82</v>
      </c>
      <c r="G13914" s="1" t="str">
        <f>"9925Z631"</f>
        <v>9925Z631</v>
      </c>
      <c r="H13914" s="1" t="str">
        <f>"해방간 15R6"</f>
        <v>해방간 15R6</v>
      </c>
      <c r="I13914" s="1" t="s">
        <v>8</v>
      </c>
      <c r="J13914" s="1" t="str">
        <f>"22/22"</f>
        <v>22/22</v>
      </c>
      <c r="K13914" s="1" t="str">
        <f>"2026-07-29 13:18:11"</f>
        <v>2026-07-29 13:18:11</v>
      </c>
      <c r="L13914" s="1" t="str">
        <f>"2018-04-09 13:23:55"</f>
        <v>2018-04-09 13:23:55</v>
      </c>
      <c r="M13914" s="1" t="s">
        <v>1</v>
      </c>
      <c r="N13914" s="1" t="s">
        <v>38</v>
      </c>
      <c r="O13914" s="1" t="s">
        <v>46</v>
      </c>
    </row>
    <row r="13915" spans="2:15" x14ac:dyDescent="0.3">
      <c r="B13915" s="1" t="s">
        <v>20</v>
      </c>
      <c r="C13915" s="1" t="str">
        <f t="shared" si="710"/>
        <v>3차</v>
      </c>
      <c r="D13915" s="1" t="str">
        <f>"9925Z65139"</f>
        <v>9925Z65139</v>
      </c>
      <c r="E13915" s="1" t="s">
        <v>10</v>
      </c>
      <c r="F13915" s="1" t="str">
        <f>"10.12.132.91"</f>
        <v>10.12.132.91</v>
      </c>
      <c r="G13915" s="1" t="str">
        <f>"9925Z651"</f>
        <v>9925Z651</v>
      </c>
      <c r="H13915" s="1" t="str">
        <f>"소월로 5"</f>
        <v>소월로 5</v>
      </c>
      <c r="I13915" s="1" t="s">
        <v>17</v>
      </c>
      <c r="J13915" s="1" t="str">
        <f>"35/45"</f>
        <v>35/45</v>
      </c>
      <c r="K13915" s="1" t="str">
        <f>"2026-07-29 13:18:12"</f>
        <v>2026-07-29 13:18:12</v>
      </c>
      <c r="L13915" s="1" t="str">
        <f>"2018-10-04 17:45:29"</f>
        <v>2018-10-04 17:45:29</v>
      </c>
      <c r="M13915" s="1" t="s">
        <v>0</v>
      </c>
      <c r="N13915" s="1" t="s">
        <v>38</v>
      </c>
      <c r="O13915" s="1" t="s">
        <v>46</v>
      </c>
    </row>
    <row r="13916" spans="2:15" x14ac:dyDescent="0.3">
      <c r="B13916" s="1" t="s">
        <v>20</v>
      </c>
      <c r="C13916" s="1" t="str">
        <f t="shared" si="710"/>
        <v>3차</v>
      </c>
      <c r="D13916" s="1" t="str">
        <f>"9925Z71130"</f>
        <v>9925Z71130</v>
      </c>
      <c r="E13916" s="1" t="s">
        <v>10</v>
      </c>
      <c r="F13916" s="1" t="str">
        <f>"10.10.26.66"</f>
        <v>10.10.26.66</v>
      </c>
      <c r="G13916" s="1" t="str">
        <f>"9925Z711"</f>
        <v>9925Z711</v>
      </c>
      <c r="H13916" s="1" t="str">
        <f>"해방간 15R2"</f>
        <v>해방간 15R2</v>
      </c>
      <c r="I13916" s="1" t="s">
        <v>8</v>
      </c>
      <c r="J13916" s="1" t="str">
        <f>"37/37"</f>
        <v>37/37</v>
      </c>
      <c r="K13916" s="1" t="str">
        <f>"2026-07-29 13:18:11"</f>
        <v>2026-07-29 13:18:11</v>
      </c>
      <c r="L13916" s="1" t="str">
        <f>"2018-04-09 12:50:57"</f>
        <v>2018-04-09 12:50:57</v>
      </c>
      <c r="M13916" s="1" t="s">
        <v>1</v>
      </c>
      <c r="N13916" s="1" t="s">
        <v>38</v>
      </c>
      <c r="O13916" s="1" t="s">
        <v>46</v>
      </c>
    </row>
    <row r="13917" spans="2:15" x14ac:dyDescent="0.3">
      <c r="B13917" s="1" t="s">
        <v>20</v>
      </c>
      <c r="C13917" s="1" t="str">
        <f t="shared" si="710"/>
        <v>3차</v>
      </c>
      <c r="D13917" s="1" t="str">
        <f>"9925Z71231"</f>
        <v>9925Z71231</v>
      </c>
      <c r="E13917" s="1" t="s">
        <v>10</v>
      </c>
      <c r="F13917" s="1" t="str">
        <f>"10.10.26.67"</f>
        <v>10.10.26.67</v>
      </c>
      <c r="G13917" s="1" t="str">
        <f>"9925Z712"</f>
        <v>9925Z712</v>
      </c>
      <c r="H13917" s="1" t="str">
        <f>"해방간 15R3"</f>
        <v>해방간 15R3</v>
      </c>
      <c r="I13917" s="1" t="s">
        <v>8</v>
      </c>
      <c r="J13917" s="1" t="str">
        <f>"23/23"</f>
        <v>23/23</v>
      </c>
      <c r="K13917" s="1" t="str">
        <f>"2026-07-29 13:18:11"</f>
        <v>2026-07-29 13:18:11</v>
      </c>
      <c r="L13917" s="1" t="str">
        <f>"2018-04-20 14:30:31"</f>
        <v>2018-04-20 14:30:31</v>
      </c>
      <c r="M13917" s="1" t="s">
        <v>1</v>
      </c>
      <c r="N13917" s="1" t="s">
        <v>38</v>
      </c>
      <c r="O13917" s="1" t="s">
        <v>46</v>
      </c>
    </row>
    <row r="13918" spans="2:15" x14ac:dyDescent="0.3">
      <c r="B13918" s="1" t="s">
        <v>20</v>
      </c>
      <c r="C13918" s="1" t="str">
        <f>"4차"</f>
        <v>4차</v>
      </c>
      <c r="D13918" s="1" t="str">
        <f>"9925Z83145"</f>
        <v>9925Z83145</v>
      </c>
      <c r="E13918" s="1" t="s">
        <v>10</v>
      </c>
      <c r="F13918" s="1" t="str">
        <f>"10.12.135.21"</f>
        <v>10.12.135.21</v>
      </c>
      <c r="G13918" s="1" t="str">
        <f>"9925Z831"</f>
        <v>9925Z831</v>
      </c>
      <c r="H13918" s="1" t="str">
        <f>"소월로 6"</f>
        <v>소월로 6</v>
      </c>
      <c r="I13918" s="1" t="s">
        <v>17</v>
      </c>
      <c r="J13918" s="1" t="str">
        <f>"67/67"</f>
        <v>67/67</v>
      </c>
      <c r="K13918" s="1" t="str">
        <f>"2026-07-29 13:18:13"</f>
        <v>2026-07-29 13:18:13</v>
      </c>
      <c r="L13918" s="1" t="str">
        <f>"2026-01-26 10:31:48"</f>
        <v>2026-01-26 10:31:48</v>
      </c>
      <c r="M13918" s="1" t="s">
        <v>0</v>
      </c>
      <c r="N13918" s="1" t="s">
        <v>38</v>
      </c>
      <c r="O13918" s="1" t="s">
        <v>46</v>
      </c>
    </row>
    <row r="13919" spans="2:15" x14ac:dyDescent="0.3">
      <c r="B13919" s="1" t="s">
        <v>20</v>
      </c>
      <c r="C13919" s="1" t="str">
        <f>"4차"</f>
        <v>4차</v>
      </c>
      <c r="D13919" s="1" t="str">
        <f>"9925Z91145"</f>
        <v>9925Z91145</v>
      </c>
      <c r="E13919" s="1" t="s">
        <v>10</v>
      </c>
      <c r="F13919" s="1" t="str">
        <f>"10.12.134.163"</f>
        <v>10.12.134.163</v>
      </c>
      <c r="G13919" s="1" t="str">
        <f>"9925Z911"</f>
        <v>9925Z911</v>
      </c>
      <c r="H13919" s="1" t="str">
        <f>"반포로 R26"</f>
        <v>반포로 R26</v>
      </c>
      <c r="I13919" s="1" t="s">
        <v>17</v>
      </c>
      <c r="J13919" s="1" t="str">
        <f>"41/49"</f>
        <v>41/49</v>
      </c>
      <c r="K13919" s="1" t="str">
        <f>"2026-07-29 13:18:14"</f>
        <v>2026-07-29 13:18:14</v>
      </c>
      <c r="L13919" s="1" t="str">
        <f>"2022-05-13 16:33:55"</f>
        <v>2022-05-13 16:33:55</v>
      </c>
      <c r="M13919" s="1" t="s">
        <v>0</v>
      </c>
      <c r="N13919" s="1" t="s">
        <v>38</v>
      </c>
      <c r="O13919" s="1" t="s">
        <v>46</v>
      </c>
    </row>
    <row r="13920" spans="2:15" x14ac:dyDescent="0.3">
      <c r="B13920" s="1" t="s">
        <v>19</v>
      </c>
      <c r="C13920" s="1" t="str">
        <f>"5-1차"</f>
        <v>5-1차</v>
      </c>
      <c r="D13920" s="1" t="str">
        <f>"0027A0465S"</f>
        <v>0027A0465S</v>
      </c>
      <c r="E13920" s="1" t="s">
        <v>10</v>
      </c>
      <c r="F13920" s="1" t="str">
        <f>"fde2:104:0:59:0:0:0:2"</f>
        <v>fde2:104:0:59:0:0:0:2</v>
      </c>
      <c r="G13920" s="1" t="str">
        <f>"0027A046"</f>
        <v>0027A046</v>
      </c>
      <c r="H13920" s="1" t="str">
        <f>"삼청지 24L2"</f>
        <v>삼청지 24L2</v>
      </c>
      <c r="I13920" s="1" t="s">
        <v>15</v>
      </c>
      <c r="J13920" s="1" t="str">
        <f>"23/23"</f>
        <v>23/23</v>
      </c>
      <c r="K13920" s="1" t="str">
        <f>"2026-07-29 14:20:18"</f>
        <v>2026-07-29 14:20:18</v>
      </c>
      <c r="L13920" s="1" t="str">
        <f>"2022-08-10 13:48:32"</f>
        <v>2022-08-10 13:48:32</v>
      </c>
      <c r="M13920" s="1" t="s">
        <v>42</v>
      </c>
      <c r="N13920" s="1" t="s">
        <v>38</v>
      </c>
      <c r="O13920" s="1" t="s">
        <v>46</v>
      </c>
    </row>
    <row r="13921" spans="2:15" x14ac:dyDescent="0.3">
      <c r="B13921" s="1" t="s">
        <v>19</v>
      </c>
      <c r="C13921" s="1" t="str">
        <f t="shared" ref="C13921:C13935" si="711">"4차"</f>
        <v>4차</v>
      </c>
      <c r="D13921" s="1" t="str">
        <f>"0027A34141"</f>
        <v>0027A34141</v>
      </c>
      <c r="E13921" s="1" t="s">
        <v>10</v>
      </c>
      <c r="F13921" s="1" t="str">
        <f>"10.12.128.155"</f>
        <v>10.12.128.155</v>
      </c>
      <c r="G13921" s="1" t="str">
        <f>"0027A341"</f>
        <v>0027A341</v>
      </c>
      <c r="H13921" s="1" t="str">
        <f>"삼청지 20"</f>
        <v>삼청지 20</v>
      </c>
      <c r="I13921" s="1" t="s">
        <v>17</v>
      </c>
      <c r="J13921" s="1" t="str">
        <f>"22/25"</f>
        <v>22/25</v>
      </c>
      <c r="K13921" s="1" t="str">
        <f t="shared" ref="K13921:K13926" si="712">"2026-07-29 13:18:01"</f>
        <v>2026-07-29 13:18:01</v>
      </c>
      <c r="L13921" s="1" t="str">
        <f>"2021-10-18 14:00:56"</f>
        <v>2021-10-18 14:00:56</v>
      </c>
      <c r="M13921" s="1" t="s">
        <v>0</v>
      </c>
      <c r="N13921" s="1" t="s">
        <v>38</v>
      </c>
      <c r="O13921" s="1" t="s">
        <v>46</v>
      </c>
    </row>
    <row r="13922" spans="2:15" x14ac:dyDescent="0.3">
      <c r="B13922" s="1" t="s">
        <v>19</v>
      </c>
      <c r="C13922" s="1" t="str">
        <f t="shared" si="711"/>
        <v>4차</v>
      </c>
      <c r="D13922" s="1" t="str">
        <f>"0027A43339"</f>
        <v>0027A43339</v>
      </c>
      <c r="E13922" s="1" t="s">
        <v>10</v>
      </c>
      <c r="F13922" s="1" t="str">
        <f>"10.12.129.204"</f>
        <v>10.12.129.204</v>
      </c>
      <c r="G13922" s="1" t="str">
        <f>"0027A433"</f>
        <v>0027A433</v>
      </c>
      <c r="H13922" s="1" t="str">
        <f>"삼청지 19"</f>
        <v>삼청지 19</v>
      </c>
      <c r="I13922" s="1" t="s">
        <v>8</v>
      </c>
      <c r="J13922" s="1" t="str">
        <f>"17/17"</f>
        <v>17/17</v>
      </c>
      <c r="K13922" s="1" t="str">
        <f t="shared" si="712"/>
        <v>2026-07-29 13:18:01</v>
      </c>
      <c r="L13922" s="1" t="str">
        <f>"2018-04-20 08:07:39"</f>
        <v>2018-04-20 08:07:39</v>
      </c>
      <c r="M13922" s="1" t="s">
        <v>0</v>
      </c>
      <c r="N13922" s="1" t="s">
        <v>38</v>
      </c>
      <c r="O13922" s="1" t="s">
        <v>46</v>
      </c>
    </row>
    <row r="13923" spans="2:15" x14ac:dyDescent="0.3">
      <c r="B13923" s="1" t="s">
        <v>19</v>
      </c>
      <c r="C13923" s="1" t="str">
        <f t="shared" si="711"/>
        <v>4차</v>
      </c>
      <c r="D13923" s="1" t="str">
        <f>"0027A57144"</f>
        <v>0027A57144</v>
      </c>
      <c r="E13923" s="1" t="s">
        <v>10</v>
      </c>
      <c r="F13923" s="1" t="str">
        <f>"10.107.12.32"</f>
        <v>10.107.12.32</v>
      </c>
      <c r="G13923" s="1" t="str">
        <f>"0027A571"</f>
        <v>0027A571</v>
      </c>
      <c r="H13923" s="1" t="str">
        <f>"삼청지 15R5"</f>
        <v>삼청지 15R5</v>
      </c>
      <c r="I13923" s="1" t="s">
        <v>8</v>
      </c>
      <c r="J13923" s="1" t="str">
        <f>"30/30"</f>
        <v>30/30</v>
      </c>
      <c r="K13923" s="1" t="str">
        <f t="shared" si="712"/>
        <v>2026-07-29 13:18:01</v>
      </c>
      <c r="L13923" s="1" t="str">
        <f>"2019-10-18 14:55:18"</f>
        <v>2019-10-18 14:55:18</v>
      </c>
      <c r="M13923" s="1" t="s">
        <v>45</v>
      </c>
      <c r="N13923" s="1" t="s">
        <v>38</v>
      </c>
      <c r="O13923" s="1" t="s">
        <v>46</v>
      </c>
    </row>
    <row r="13924" spans="2:15" x14ac:dyDescent="0.3">
      <c r="B13924" s="1" t="s">
        <v>19</v>
      </c>
      <c r="C13924" s="1" t="str">
        <f t="shared" si="711"/>
        <v>4차</v>
      </c>
      <c r="D13924" s="1" t="str">
        <f>"0027A66244"</f>
        <v>0027A66244</v>
      </c>
      <c r="E13924" s="1" t="s">
        <v>10</v>
      </c>
      <c r="F13924" s="1" t="str">
        <f>"10.107.12.31"</f>
        <v>10.107.12.31</v>
      </c>
      <c r="G13924" s="1" t="str">
        <f>"0027A662"</f>
        <v>0027A662</v>
      </c>
      <c r="H13924" s="1" t="str">
        <f>"삼청지 15R4"</f>
        <v>삼청지 15R4</v>
      </c>
      <c r="I13924" s="1" t="s">
        <v>8</v>
      </c>
      <c r="J13924" s="1" t="str">
        <f>"31/31"</f>
        <v>31/31</v>
      </c>
      <c r="K13924" s="1" t="str">
        <f t="shared" si="712"/>
        <v>2026-07-29 13:18:01</v>
      </c>
      <c r="L13924" s="1" t="str">
        <f>"2019-10-18 14:50:03"</f>
        <v>2019-10-18 14:50:03</v>
      </c>
      <c r="M13924" s="1" t="s">
        <v>45</v>
      </c>
      <c r="N13924" s="1" t="s">
        <v>38</v>
      </c>
      <c r="O13924" s="1" t="s">
        <v>46</v>
      </c>
    </row>
    <row r="13925" spans="2:15" x14ac:dyDescent="0.3">
      <c r="B13925" s="1" t="s">
        <v>19</v>
      </c>
      <c r="C13925" s="1" t="str">
        <f t="shared" si="711"/>
        <v>4차</v>
      </c>
      <c r="D13925" s="1" t="str">
        <f>"0027A68244"</f>
        <v>0027A68244</v>
      </c>
      <c r="E13925" s="1" t="s">
        <v>10</v>
      </c>
      <c r="F13925" s="1" t="str">
        <f>"10.107.12.33"</f>
        <v>10.107.12.33</v>
      </c>
      <c r="G13925" s="1" t="str">
        <f>"0027A682"</f>
        <v>0027A682</v>
      </c>
      <c r="H13925" s="1" t="str">
        <f>"삼청지 15R6R2"</f>
        <v>삼청지 15R6R2</v>
      </c>
      <c r="I13925" s="1" t="s">
        <v>8</v>
      </c>
      <c r="J13925" s="1" t="str">
        <f>"22/22"</f>
        <v>22/22</v>
      </c>
      <c r="K13925" s="1" t="str">
        <f t="shared" si="712"/>
        <v>2026-07-29 13:18:01</v>
      </c>
      <c r="L13925" s="1" t="str">
        <f>"2019-10-18 15:04:03"</f>
        <v>2019-10-18 15:04:03</v>
      </c>
      <c r="M13925" s="1" t="s">
        <v>45</v>
      </c>
      <c r="N13925" s="1" t="s">
        <v>38</v>
      </c>
      <c r="O13925" s="1" t="s">
        <v>46</v>
      </c>
    </row>
    <row r="13926" spans="2:15" x14ac:dyDescent="0.3">
      <c r="B13926" s="1" t="s">
        <v>19</v>
      </c>
      <c r="C13926" s="1" t="str">
        <f t="shared" si="711"/>
        <v>4차</v>
      </c>
      <c r="D13926" s="1" t="str">
        <f>"0027A70141"</f>
        <v>0027A70141</v>
      </c>
      <c r="E13926" s="1" t="s">
        <v>10</v>
      </c>
      <c r="F13926" s="1" t="str">
        <f>"10.12.137.92"</f>
        <v>10.12.137.92</v>
      </c>
      <c r="G13926" s="1" t="str">
        <f>"0027A701"</f>
        <v>0027A701</v>
      </c>
      <c r="H13926" s="1" t="str">
        <f>"삼청지 8L8R1"</f>
        <v>삼청지 8L8R1</v>
      </c>
      <c r="I13926" s="1" t="s">
        <v>17</v>
      </c>
      <c r="J13926" s="1" t="str">
        <f>"29/29"</f>
        <v>29/29</v>
      </c>
      <c r="K13926" s="1" t="str">
        <f t="shared" si="712"/>
        <v>2026-07-29 13:18:01</v>
      </c>
      <c r="L13926" s="1" t="str">
        <f>"2021-10-18 12:14:38"</f>
        <v>2021-10-18 12:14:38</v>
      </c>
      <c r="M13926" s="1" t="s">
        <v>0</v>
      </c>
      <c r="N13926" s="1" t="s">
        <v>38</v>
      </c>
      <c r="O13926" s="1" t="s">
        <v>46</v>
      </c>
    </row>
    <row r="13927" spans="2:15" x14ac:dyDescent="0.3">
      <c r="B13927" s="1" t="s">
        <v>19</v>
      </c>
      <c r="C13927" s="1" t="str">
        <f t="shared" si="711"/>
        <v>4차</v>
      </c>
      <c r="D13927" s="1" t="str">
        <f>"0027A74244"</f>
        <v>0027A74244</v>
      </c>
      <c r="E13927" s="1" t="s">
        <v>10</v>
      </c>
      <c r="F13927" s="1" t="str">
        <f>"10.107.12.30"</f>
        <v>10.107.12.30</v>
      </c>
      <c r="G13927" s="1" t="str">
        <f>"0027A742"</f>
        <v>0027A742</v>
      </c>
      <c r="H13927" s="1" t="str">
        <f>"삼청지 15"</f>
        <v>삼청지 15</v>
      </c>
      <c r="I13927" s="1" t="s">
        <v>8</v>
      </c>
      <c r="J13927" s="1" t="str">
        <f>"20/20"</f>
        <v>20/20</v>
      </c>
      <c r="K13927" s="1" t="str">
        <f>"2026-07-29 13:18:02"</f>
        <v>2026-07-29 13:18:02</v>
      </c>
      <c r="L13927" s="1" t="str">
        <f>"2019-10-18 15:02:33"</f>
        <v>2019-10-18 15:02:33</v>
      </c>
      <c r="M13927" s="1" t="s">
        <v>45</v>
      </c>
      <c r="N13927" s="1" t="s">
        <v>38</v>
      </c>
      <c r="O13927" s="1" t="s">
        <v>46</v>
      </c>
    </row>
    <row r="13928" spans="2:15" x14ac:dyDescent="0.3">
      <c r="B13928" s="1" t="s">
        <v>19</v>
      </c>
      <c r="C13928" s="1" t="str">
        <f t="shared" si="711"/>
        <v>4차</v>
      </c>
      <c r="D13928" s="1" t="str">
        <f>"0027A85141"</f>
        <v>0027A85141</v>
      </c>
      <c r="E13928" s="1" t="s">
        <v>10</v>
      </c>
      <c r="F13928" s="1" t="str">
        <f>"10.14.14.25"</f>
        <v>10.14.14.25</v>
      </c>
      <c r="G13928" s="1" t="str">
        <f>"0027A851"</f>
        <v>0027A851</v>
      </c>
      <c r="H13928" s="1" t="str">
        <f>"삼청지 12R2"</f>
        <v>삼청지 12R2</v>
      </c>
      <c r="I13928" s="1" t="s">
        <v>17</v>
      </c>
      <c r="J13928" s="1" t="str">
        <f>"22/31"</f>
        <v>22/31</v>
      </c>
      <c r="K13928" s="1" t="str">
        <f>"2026-07-29 13:18:02"</f>
        <v>2026-07-29 13:18:02</v>
      </c>
      <c r="L13928" s="1" t="str">
        <f>"2021-10-18 13:25:56"</f>
        <v>2021-10-18 13:25:56</v>
      </c>
      <c r="M13928" s="1" t="s">
        <v>3</v>
      </c>
      <c r="N13928" s="1" t="s">
        <v>38</v>
      </c>
      <c r="O13928" s="1" t="s">
        <v>46</v>
      </c>
    </row>
    <row r="13929" spans="2:15" x14ac:dyDescent="0.3">
      <c r="B13929" s="1" t="s">
        <v>19</v>
      </c>
      <c r="C13929" s="1" t="str">
        <f t="shared" si="711"/>
        <v>4차</v>
      </c>
      <c r="D13929" s="1" t="str">
        <f>"0027A86244"</f>
        <v>0027A86244</v>
      </c>
      <c r="E13929" s="1" t="s">
        <v>10</v>
      </c>
      <c r="F13929" s="1" t="str">
        <f>"10.107.12.29"</f>
        <v>10.107.12.29</v>
      </c>
      <c r="G13929" s="1" t="str">
        <f>"0027A862"</f>
        <v>0027A862</v>
      </c>
      <c r="H13929" s="1" t="str">
        <f>"삼청지 11R6"</f>
        <v>삼청지 11R6</v>
      </c>
      <c r="I13929" s="1" t="s">
        <v>8</v>
      </c>
      <c r="J13929" s="1" t="str">
        <f>"48/49"</f>
        <v>48/49</v>
      </c>
      <c r="K13929" s="1" t="str">
        <f>"2026-07-29 13:18:02"</f>
        <v>2026-07-29 13:18:02</v>
      </c>
      <c r="L13929" s="1" t="str">
        <f>"2019-10-18 14:44:50"</f>
        <v>2019-10-18 14:44:50</v>
      </c>
      <c r="M13929" s="1" t="s">
        <v>45</v>
      </c>
      <c r="N13929" s="1" t="s">
        <v>38</v>
      </c>
      <c r="O13929" s="1" t="s">
        <v>46</v>
      </c>
    </row>
    <row r="13930" spans="2:15" x14ac:dyDescent="0.3">
      <c r="B13930" s="1" t="s">
        <v>19</v>
      </c>
      <c r="C13930" s="1" t="str">
        <f t="shared" si="711"/>
        <v>4차</v>
      </c>
      <c r="D13930" s="1" t="str">
        <f>"0027A87144"</f>
        <v>0027A87144</v>
      </c>
      <c r="E13930" s="1" t="s">
        <v>10</v>
      </c>
      <c r="F13930" s="1" t="str">
        <f>"10.107.12.140"</f>
        <v>10.107.12.140</v>
      </c>
      <c r="G13930" s="1" t="str">
        <f>"0027A871"</f>
        <v>0027A871</v>
      </c>
      <c r="H13930" s="1" t="str">
        <f>"삼청지 11R7"</f>
        <v>삼청지 11R7</v>
      </c>
      <c r="I13930" s="1" t="s">
        <v>8</v>
      </c>
      <c r="J13930" s="1" t="str">
        <f>"10/10"</f>
        <v>10/10</v>
      </c>
      <c r="K13930" s="1" t="str">
        <f>"2026-07-29 13:18:02"</f>
        <v>2026-07-29 13:18:02</v>
      </c>
      <c r="L13930" s="1" t="str">
        <f>"2019-12-16 15:40:41"</f>
        <v>2019-12-16 15:40:41</v>
      </c>
      <c r="M13930" s="1" t="s">
        <v>45</v>
      </c>
      <c r="N13930" s="1" t="s">
        <v>38</v>
      </c>
      <c r="O13930" s="1" t="s">
        <v>46</v>
      </c>
    </row>
    <row r="13931" spans="2:15" x14ac:dyDescent="0.3">
      <c r="B13931" s="1" t="s">
        <v>19</v>
      </c>
      <c r="C13931" s="1" t="str">
        <f t="shared" si="711"/>
        <v>4차</v>
      </c>
      <c r="D13931" s="1" t="str">
        <f>"0027A90441"</f>
        <v>0027A90441</v>
      </c>
      <c r="E13931" s="1" t="s">
        <v>10</v>
      </c>
      <c r="F13931" s="1" t="str">
        <f>"10.12.129.243"</f>
        <v>10.12.129.243</v>
      </c>
      <c r="G13931" s="1" t="str">
        <f>"0027A904"</f>
        <v>0027A904</v>
      </c>
      <c r="H13931" s="1" t="str">
        <f>"삼청지 8L5R1"</f>
        <v>삼청지 8L5R1</v>
      </c>
      <c r="I13931" s="1" t="s">
        <v>17</v>
      </c>
      <c r="J13931" s="1" t="str">
        <f>"24/25"</f>
        <v>24/25</v>
      </c>
      <c r="K13931" s="1" t="str">
        <f>"2026-07-29 13:18:04"</f>
        <v>2026-07-29 13:18:04</v>
      </c>
      <c r="L13931" s="1" t="str">
        <f>"2021-10-18 11:35:17"</f>
        <v>2021-10-18 11:35:17</v>
      </c>
      <c r="M13931" s="1" t="s">
        <v>0</v>
      </c>
      <c r="N13931" s="1" t="s">
        <v>38</v>
      </c>
      <c r="O13931" s="1" t="s">
        <v>46</v>
      </c>
    </row>
    <row r="13932" spans="2:15" x14ac:dyDescent="0.3">
      <c r="B13932" s="1" t="s">
        <v>19</v>
      </c>
      <c r="C13932" s="1" t="str">
        <f t="shared" si="711"/>
        <v>4차</v>
      </c>
      <c r="D13932" s="1" t="str">
        <f>"0027B14144"</f>
        <v>0027B14144</v>
      </c>
      <c r="E13932" s="1" t="s">
        <v>10</v>
      </c>
      <c r="F13932" s="1" t="str">
        <f>"10.107.12.28"</f>
        <v>10.107.12.28</v>
      </c>
      <c r="G13932" s="1" t="str">
        <f>"0027B141"</f>
        <v>0027B141</v>
      </c>
      <c r="H13932" s="1" t="str">
        <f>"삼청지 11R1"</f>
        <v>삼청지 11R1</v>
      </c>
      <c r="I13932" s="1" t="s">
        <v>8</v>
      </c>
      <c r="J13932" s="1" t="str">
        <f>"17/17"</f>
        <v>17/17</v>
      </c>
      <c r="K13932" s="1" t="str">
        <f>"2026-07-29 13:18:02"</f>
        <v>2026-07-29 13:18:02</v>
      </c>
      <c r="L13932" s="1" t="str">
        <f>"2019-10-18 14:48:08"</f>
        <v>2019-10-18 14:48:08</v>
      </c>
      <c r="M13932" s="1" t="s">
        <v>45</v>
      </c>
      <c r="N13932" s="1" t="s">
        <v>38</v>
      </c>
      <c r="O13932" s="1" t="s">
        <v>46</v>
      </c>
    </row>
    <row r="13933" spans="2:15" x14ac:dyDescent="0.3">
      <c r="B13933" s="1" t="s">
        <v>19</v>
      </c>
      <c r="C13933" s="1" t="str">
        <f t="shared" si="711"/>
        <v>4차</v>
      </c>
      <c r="D13933" s="1" t="str">
        <f>"0027B28241"</f>
        <v>0027B28241</v>
      </c>
      <c r="E13933" s="1" t="s">
        <v>10</v>
      </c>
      <c r="F13933" s="1" t="str">
        <f>"10.12.131.235"</f>
        <v>10.12.131.235</v>
      </c>
      <c r="G13933" s="1" t="str">
        <f>"0027B282"</f>
        <v>0027B282</v>
      </c>
      <c r="H13933" s="1" t="str">
        <f>"성북간 36H1"</f>
        <v>성북간 36H1</v>
      </c>
      <c r="I13933" s="1" t="s">
        <v>17</v>
      </c>
      <c r="J13933" s="1" t="str">
        <f>"16/17"</f>
        <v>16/17</v>
      </c>
      <c r="K13933" s="1" t="str">
        <f>"2026-07-29 13:18:02"</f>
        <v>2026-07-29 13:18:02</v>
      </c>
      <c r="L13933" s="1" t="str">
        <f>"2021-10-26 08:52:54"</f>
        <v>2021-10-26 08:52:54</v>
      </c>
      <c r="M13933" s="1" t="s">
        <v>0</v>
      </c>
      <c r="N13933" s="1" t="s">
        <v>38</v>
      </c>
      <c r="O13933" s="1" t="s">
        <v>46</v>
      </c>
    </row>
    <row r="13934" spans="2:15" x14ac:dyDescent="0.3">
      <c r="B13934" s="1" t="s">
        <v>19</v>
      </c>
      <c r="C13934" s="1" t="str">
        <f t="shared" si="711"/>
        <v>4차</v>
      </c>
      <c r="D13934" s="1" t="str">
        <f>"0027B46141"</f>
        <v>0027B46141</v>
      </c>
      <c r="E13934" s="1" t="s">
        <v>10</v>
      </c>
      <c r="F13934" s="1" t="str">
        <f>"10.12.136.128"</f>
        <v>10.12.136.128</v>
      </c>
      <c r="G13934" s="1" t="str">
        <f>"0027B461"</f>
        <v>0027B461</v>
      </c>
      <c r="H13934" s="1" t="str">
        <f>"성북간 33"</f>
        <v>성북간 33</v>
      </c>
      <c r="I13934" s="1" t="s">
        <v>17</v>
      </c>
      <c r="J13934" s="1" t="str">
        <f>"19/24"</f>
        <v>19/24</v>
      </c>
      <c r="K13934" s="1" t="str">
        <f>"2026-07-29 13:18:02"</f>
        <v>2026-07-29 13:18:02</v>
      </c>
      <c r="L13934" s="1" t="str">
        <f>"2021-10-20 07:35:00"</f>
        <v>2021-10-20 07:35:00</v>
      </c>
      <c r="M13934" s="1" t="s">
        <v>0</v>
      </c>
      <c r="N13934" s="1" t="s">
        <v>38</v>
      </c>
      <c r="O13934" s="1" t="s">
        <v>46</v>
      </c>
    </row>
    <row r="13935" spans="2:15" x14ac:dyDescent="0.3">
      <c r="B13935" s="1" t="s">
        <v>19</v>
      </c>
      <c r="C13935" s="1" t="str">
        <f t="shared" si="711"/>
        <v>4차</v>
      </c>
      <c r="D13935" s="1" t="str">
        <f>"0027B60241"</f>
        <v>0027B60241</v>
      </c>
      <c r="E13935" s="1" t="s">
        <v>10</v>
      </c>
      <c r="F13935" s="1" t="str">
        <f>"10.12.135.209"</f>
        <v>10.12.135.209</v>
      </c>
      <c r="G13935" s="1" t="str">
        <f>"0027B602"</f>
        <v>0027B602</v>
      </c>
      <c r="H13935" s="1" t="str">
        <f>"삼청지 1L1"</f>
        <v>삼청지 1L1</v>
      </c>
      <c r="I13935" s="1" t="s">
        <v>17</v>
      </c>
      <c r="J13935" s="1" t="str">
        <f>"35/35"</f>
        <v>35/35</v>
      </c>
      <c r="K13935" s="1" t="str">
        <f>"2026-07-29 13:18:02"</f>
        <v>2026-07-29 13:18:02</v>
      </c>
      <c r="L13935" s="1" t="str">
        <f>"2021-10-18 10:51:18"</f>
        <v>2021-10-18 10:51:18</v>
      </c>
      <c r="M13935" s="1" t="s">
        <v>0</v>
      </c>
      <c r="N13935" s="1" t="s">
        <v>38</v>
      </c>
      <c r="O13935" s="1" t="s">
        <v>46</v>
      </c>
    </row>
    <row r="13936" spans="2:15" x14ac:dyDescent="0.3">
      <c r="B13936" s="1" t="s">
        <v>19</v>
      </c>
      <c r="C13936" s="1" t="str">
        <f>"5-2차"</f>
        <v>5-2차</v>
      </c>
      <c r="D13936" s="1" t="str">
        <f>"0027B7135M"</f>
        <v>0027B7135M</v>
      </c>
      <c r="E13936" s="1" t="s">
        <v>10</v>
      </c>
      <c r="F13936" s="1" t="str">
        <f>"fde1:103:4:561b:0:0:0:2"</f>
        <v>fde1:103:4:561b:0:0:0:2</v>
      </c>
      <c r="G13936" s="1" t="str">
        <f>"0027B713"</f>
        <v>0027B713</v>
      </c>
      <c r="H13936" s="1" t="str">
        <f>"성북간 24"</f>
        <v>성북간 24</v>
      </c>
      <c r="I13936" s="1" t="s">
        <v>15</v>
      </c>
      <c r="J13936" s="1" t="str">
        <f>"46/46"</f>
        <v>46/46</v>
      </c>
      <c r="K13936" s="1" t="str">
        <f>"2026-07-29 14:20:18"</f>
        <v>2026-07-29 14:20:18</v>
      </c>
      <c r="L13936" s="1" t="str">
        <f>"2023-09-05 10:43:40"</f>
        <v>2023-09-05 10:43:40</v>
      </c>
      <c r="M13936" s="1" t="s">
        <v>4</v>
      </c>
      <c r="N13936" s="1" t="s">
        <v>38</v>
      </c>
      <c r="O13936" s="1" t="s">
        <v>46</v>
      </c>
    </row>
    <row r="13937" spans="2:15" x14ac:dyDescent="0.3">
      <c r="B13937" s="1" t="s">
        <v>19</v>
      </c>
      <c r="C13937" s="1" t="str">
        <f>"4차"</f>
        <v>4차</v>
      </c>
      <c r="D13937" s="1" t="str">
        <f>"0027B72544"</f>
        <v>0027B72544</v>
      </c>
      <c r="E13937" s="1" t="s">
        <v>10</v>
      </c>
      <c r="F13937" s="1" t="str">
        <f>"10.107.12.60"</f>
        <v>10.107.12.60</v>
      </c>
      <c r="G13937" s="1" t="str">
        <f>"0027B725"</f>
        <v>0027B725</v>
      </c>
      <c r="H13937" s="1" t="str">
        <f>"성북간 27R2"</f>
        <v>성북간 27R2</v>
      </c>
      <c r="I13937" s="1" t="s">
        <v>8</v>
      </c>
      <c r="J13937" s="1" t="str">
        <f>"18/19"</f>
        <v>18/19</v>
      </c>
      <c r="K13937" s="1" t="str">
        <f>"2026-07-29 13:18:02"</f>
        <v>2026-07-29 13:18:02</v>
      </c>
      <c r="L13937" s="1" t="str">
        <f>"2019-10-31 09:49:13"</f>
        <v>2019-10-31 09:49:13</v>
      </c>
      <c r="M13937" s="1" t="s">
        <v>45</v>
      </c>
      <c r="N13937" s="1" t="s">
        <v>38</v>
      </c>
      <c r="O13937" s="1" t="s">
        <v>46</v>
      </c>
    </row>
    <row r="13938" spans="2:15" x14ac:dyDescent="0.3">
      <c r="B13938" s="1" t="s">
        <v>19</v>
      </c>
      <c r="C13938" s="1" t="str">
        <f>"5-2차"</f>
        <v>5-2차</v>
      </c>
      <c r="D13938" s="1" t="str">
        <f>"0027B8015S"</f>
        <v>0027B8015S</v>
      </c>
      <c r="E13938" s="1" t="s">
        <v>10</v>
      </c>
      <c r="F13938" s="1" t="str">
        <f>"fde1:103:4:5649:0:0:0:2"</f>
        <v>fde1:103:4:5649:0:0:0:2</v>
      </c>
      <c r="G13938" s="1" t="str">
        <f>"0027B801"</f>
        <v>0027B801</v>
      </c>
      <c r="H13938" s="1" t="str">
        <f>"성북간 20L4"</f>
        <v>성북간 20L4</v>
      </c>
      <c r="I13938" s="1" t="s">
        <v>15</v>
      </c>
      <c r="J13938" s="1" t="str">
        <f>"48/48"</f>
        <v>48/48</v>
      </c>
      <c r="K13938" s="1" t="str">
        <f>"2026-07-29 14:20:07"</f>
        <v>2026-07-29 14:20:07</v>
      </c>
      <c r="L13938" s="1" t="str">
        <f>"2023-09-05 10:45:54"</f>
        <v>2023-09-05 10:45:54</v>
      </c>
      <c r="M13938" s="1" t="s">
        <v>4</v>
      </c>
      <c r="N13938" s="1" t="s">
        <v>38</v>
      </c>
      <c r="O13938" s="1" t="s">
        <v>46</v>
      </c>
    </row>
    <row r="13939" spans="2:15" x14ac:dyDescent="0.3">
      <c r="B13939" s="1" t="s">
        <v>19</v>
      </c>
      <c r="C13939" s="1" t="str">
        <f>"5-1차"</f>
        <v>5-1차</v>
      </c>
      <c r="D13939" s="1" t="str">
        <f>"0027C7915S"</f>
        <v>0027C7915S</v>
      </c>
      <c r="E13939" s="1" t="s">
        <v>10</v>
      </c>
      <c r="F13939" s="1" t="str">
        <f>"fde2:104:0:60:0:0:0:2"</f>
        <v>fde2:104:0:60:0:0:0:2</v>
      </c>
      <c r="G13939" s="1" t="str">
        <f>"0027C791"</f>
        <v>0027C791</v>
      </c>
      <c r="H13939" s="1" t="str">
        <f>"삼청지 8L9"</f>
        <v>삼청지 8L9</v>
      </c>
      <c r="I13939" s="1" t="s">
        <v>15</v>
      </c>
      <c r="J13939" s="1" t="str">
        <f>"32/32"</f>
        <v>32/32</v>
      </c>
      <c r="K13939" s="1" t="str">
        <f>"2026-07-29 14:20:01"</f>
        <v>2026-07-29 14:20:01</v>
      </c>
      <c r="L13939" s="1" t="str">
        <f>"2022-08-10 14:13:04"</f>
        <v>2022-08-10 14:13:04</v>
      </c>
      <c r="M13939" s="1" t="s">
        <v>42</v>
      </c>
      <c r="N13939" s="1" t="s">
        <v>38</v>
      </c>
      <c r="O13939" s="1" t="s">
        <v>46</v>
      </c>
    </row>
    <row r="13940" spans="2:15" x14ac:dyDescent="0.3">
      <c r="B13940" s="1" t="s">
        <v>19</v>
      </c>
      <c r="C13940" s="1" t="str">
        <f>"5-2차"</f>
        <v>5-2차</v>
      </c>
      <c r="D13940" s="1" t="str">
        <f>"0027C9825S"</f>
        <v>0027C9825S</v>
      </c>
      <c r="E13940" s="1" t="s">
        <v>10</v>
      </c>
      <c r="F13940" s="1" t="str">
        <f>"fde1:103:4:5645:0:0:0:2"</f>
        <v>fde1:103:4:5645:0:0:0:2</v>
      </c>
      <c r="G13940" s="1" t="str">
        <f>"0027C982"</f>
        <v>0027C982</v>
      </c>
      <c r="H13940" s="1" t="str">
        <f>"삼청지 8L6L2"</f>
        <v>삼청지 8L6L2</v>
      </c>
      <c r="I13940" s="1" t="s">
        <v>15</v>
      </c>
      <c r="J13940" s="1" t="str">
        <f>"54/54"</f>
        <v>54/54</v>
      </c>
      <c r="K13940" s="1" t="str">
        <f>"2026-07-29 14:20:05"</f>
        <v>2026-07-29 14:20:05</v>
      </c>
      <c r="L13940" s="1" t="str">
        <f>"2023-09-05 10:50:06"</f>
        <v>2023-09-05 10:50:06</v>
      </c>
      <c r="M13940" s="1" t="s">
        <v>4</v>
      </c>
      <c r="N13940" s="1" t="s">
        <v>38</v>
      </c>
      <c r="O13940" s="1" t="s">
        <v>46</v>
      </c>
    </row>
    <row r="13941" spans="2:15" x14ac:dyDescent="0.3">
      <c r="B13941" s="1" t="s">
        <v>19</v>
      </c>
      <c r="C13941" s="1" t="str">
        <f>"5-2차"</f>
        <v>5-2차</v>
      </c>
      <c r="D13941" s="1" t="str">
        <f>"0027C9935M"</f>
        <v>0027C9935M</v>
      </c>
      <c r="E13941" s="1" t="s">
        <v>10</v>
      </c>
      <c r="F13941" s="1" t="str">
        <f>"fde1:103:4:55d6:0:0:0:2"</f>
        <v>fde1:103:4:55d6:0:0:0:2</v>
      </c>
      <c r="G13941" s="1" t="str">
        <f>"0027C993"</f>
        <v>0027C993</v>
      </c>
      <c r="H13941" s="1" t="str">
        <f>"삼청지 8L7"</f>
        <v>삼청지 8L7</v>
      </c>
      <c r="I13941" s="1" t="s">
        <v>15</v>
      </c>
      <c r="J13941" s="1" t="str">
        <f>"34/34"</f>
        <v>34/34</v>
      </c>
      <c r="K13941" s="1" t="str">
        <f>"2026-07-29 14:20:19"</f>
        <v>2026-07-29 14:20:19</v>
      </c>
      <c r="L13941" s="1" t="str">
        <f>"2023-09-05 13:15:58"</f>
        <v>2023-09-05 13:15:58</v>
      </c>
      <c r="M13941" s="1" t="s">
        <v>4</v>
      </c>
      <c r="N13941" s="1" t="s">
        <v>38</v>
      </c>
      <c r="O13941" s="1" t="s">
        <v>46</v>
      </c>
    </row>
    <row r="13942" spans="2:15" x14ac:dyDescent="0.3">
      <c r="B13942" s="1" t="s">
        <v>19</v>
      </c>
      <c r="C13942" s="1" t="str">
        <f>"4차"</f>
        <v>4차</v>
      </c>
      <c r="D13942" s="1" t="str">
        <f>"0027D29244"</f>
        <v>0027D29244</v>
      </c>
      <c r="E13942" s="1" t="s">
        <v>10</v>
      </c>
      <c r="F13942" s="1" t="str">
        <f>"10.107.10.35"</f>
        <v>10.107.10.35</v>
      </c>
      <c r="G13942" s="1" t="str">
        <f>"0027D292"</f>
        <v>0027D292</v>
      </c>
      <c r="H13942" s="1" t="str">
        <f>"삼청지 4L6"</f>
        <v>삼청지 4L6</v>
      </c>
      <c r="I13942" s="1" t="s">
        <v>8</v>
      </c>
      <c r="J13942" s="1" t="str">
        <f>"22/23"</f>
        <v>22/23</v>
      </c>
      <c r="K13942" s="1" t="str">
        <f>"2026-07-29 13:18:02"</f>
        <v>2026-07-29 13:18:02</v>
      </c>
      <c r="L13942" s="1" t="str">
        <f>"2019-10-18 15:03:33"</f>
        <v>2019-10-18 15:03:33</v>
      </c>
      <c r="M13942" s="1" t="s">
        <v>45</v>
      </c>
      <c r="N13942" s="1" t="s">
        <v>38</v>
      </c>
      <c r="O13942" s="1" t="s">
        <v>46</v>
      </c>
    </row>
    <row r="13943" spans="2:15" x14ac:dyDescent="0.3">
      <c r="B13943" s="1" t="s">
        <v>19</v>
      </c>
      <c r="C13943" s="1" t="str">
        <f>"5-2차"</f>
        <v>5-2차</v>
      </c>
      <c r="D13943" s="1" t="str">
        <f>"0027E1025M"</f>
        <v>0027E1025M</v>
      </c>
      <c r="E13943" s="1" t="s">
        <v>10</v>
      </c>
      <c r="F13943" s="1" t="str">
        <f>"fde1:103:4:56c2:0:0:0:2"</f>
        <v>fde1:103:4:56c2:0:0:0:2</v>
      </c>
      <c r="G13943" s="1" t="str">
        <f>"0027E102"</f>
        <v>0027E102</v>
      </c>
      <c r="H13943" s="1" t="str">
        <f>"홍익간 16"</f>
        <v>홍익간 16</v>
      </c>
      <c r="I13943" s="1" t="s">
        <v>15</v>
      </c>
      <c r="J13943" s="1" t="str">
        <f>"58/58"</f>
        <v>58/58</v>
      </c>
      <c r="K13943" s="1" t="str">
        <f>"2026-07-29 14:20:20"</f>
        <v>2026-07-29 14:20:20</v>
      </c>
      <c r="L13943" s="1" t="str">
        <f>"2023-09-05 13:25:24"</f>
        <v>2023-09-05 13:25:24</v>
      </c>
      <c r="M13943" s="1" t="s">
        <v>4</v>
      </c>
      <c r="N13943" s="1" t="s">
        <v>38</v>
      </c>
      <c r="O13943" s="1" t="s">
        <v>46</v>
      </c>
    </row>
    <row r="13944" spans="2:15" x14ac:dyDescent="0.3">
      <c r="B13944" s="1" t="s">
        <v>19</v>
      </c>
      <c r="C13944" s="1" t="str">
        <f>"5-2차"</f>
        <v>5-2차</v>
      </c>
      <c r="D13944" s="1" t="str">
        <f>"0027E1045M"</f>
        <v>0027E1045M</v>
      </c>
      <c r="E13944" s="1" t="s">
        <v>10</v>
      </c>
      <c r="F13944" s="1" t="str">
        <f>"fde1:103:4:560c:0:0:0:2"</f>
        <v>fde1:103:4:560c:0:0:0:2</v>
      </c>
      <c r="G13944" s="1" t="str">
        <f>"0027E104"</f>
        <v>0027E104</v>
      </c>
      <c r="H13944" s="1" t="str">
        <f>"성북간 19H1"</f>
        <v>성북간 19H1</v>
      </c>
      <c r="I13944" s="1" t="s">
        <v>15</v>
      </c>
      <c r="J13944" s="1" t="str">
        <f>"36/36"</f>
        <v>36/36</v>
      </c>
      <c r="K13944" s="1" t="str">
        <f>"2026-07-29 14:20:21"</f>
        <v>2026-07-29 14:20:21</v>
      </c>
      <c r="L13944" s="1" t="str">
        <f>"2023-09-05 13:18:57"</f>
        <v>2023-09-05 13:18:57</v>
      </c>
      <c r="M13944" s="1" t="s">
        <v>4</v>
      </c>
      <c r="N13944" s="1" t="s">
        <v>38</v>
      </c>
      <c r="O13944" s="1" t="s">
        <v>46</v>
      </c>
    </row>
    <row r="13945" spans="2:15" x14ac:dyDescent="0.3">
      <c r="B13945" s="1" t="s">
        <v>19</v>
      </c>
      <c r="C13945" s="1" t="str">
        <f>"5-2차"</f>
        <v>5-2차</v>
      </c>
      <c r="D13945" s="1" t="str">
        <f>"0027E1215M"</f>
        <v>0027E1215M</v>
      </c>
      <c r="E13945" s="1" t="s">
        <v>10</v>
      </c>
      <c r="F13945" s="1" t="str">
        <f>"fde1:103:4:564f:0:0:0:2"</f>
        <v>fde1:103:4:564f:0:0:0:2</v>
      </c>
      <c r="G13945" s="1" t="str">
        <f>"0027E121"</f>
        <v>0027E121</v>
      </c>
      <c r="H13945" s="1" t="str">
        <f>"홍익간 20"</f>
        <v>홍익간 20</v>
      </c>
      <c r="I13945" s="1" t="s">
        <v>15</v>
      </c>
      <c r="J13945" s="1" t="str">
        <f>"79/81"</f>
        <v>79/81</v>
      </c>
      <c r="K13945" s="1" t="str">
        <f>"2026-07-29 14:20:20"</f>
        <v>2026-07-29 14:20:20</v>
      </c>
      <c r="L13945" s="1" t="str">
        <f>"2023-09-05 13:54:10"</f>
        <v>2023-09-05 13:54:10</v>
      </c>
      <c r="M13945" s="1" t="s">
        <v>4</v>
      </c>
      <c r="N13945" s="1" t="s">
        <v>38</v>
      </c>
      <c r="O13945" s="1" t="s">
        <v>46</v>
      </c>
    </row>
    <row r="13946" spans="2:15" x14ac:dyDescent="0.3">
      <c r="B13946" s="1" t="s">
        <v>19</v>
      </c>
      <c r="C13946" s="1" t="str">
        <f>"5-1차"</f>
        <v>5-1차</v>
      </c>
      <c r="D13946" s="1" t="str">
        <f>"0027E1415M"</f>
        <v>0027E1415M</v>
      </c>
      <c r="E13946" s="1" t="s">
        <v>10</v>
      </c>
      <c r="F13946" s="1" t="str">
        <f>"fde2:104:0:63:0:0:0:2"</f>
        <v>fde2:104:0:63:0:0:0:2</v>
      </c>
      <c r="G13946" s="1" t="str">
        <f>"0027E141"</f>
        <v>0027E141</v>
      </c>
      <c r="H13946" s="1" t="str">
        <f>"홍익간 23"</f>
        <v>홍익간 23</v>
      </c>
      <c r="I13946" s="1" t="s">
        <v>15</v>
      </c>
      <c r="J13946" s="1" t="str">
        <f>"47/49"</f>
        <v>47/49</v>
      </c>
      <c r="K13946" s="1" t="str">
        <f>"2026-07-29 14:20:01"</f>
        <v>2026-07-29 14:20:01</v>
      </c>
      <c r="L13946" s="1" t="str">
        <f>"2022-08-04 12:47:54"</f>
        <v>2022-08-04 12:47:54</v>
      </c>
      <c r="M13946" s="1" t="s">
        <v>42</v>
      </c>
      <c r="N13946" s="1" t="s">
        <v>38</v>
      </c>
      <c r="O13946" s="1" t="s">
        <v>46</v>
      </c>
    </row>
    <row r="13947" spans="2:15" x14ac:dyDescent="0.3">
      <c r="B13947" s="1" t="s">
        <v>19</v>
      </c>
      <c r="C13947" s="1" t="str">
        <f>"5-2차"</f>
        <v>5-2차</v>
      </c>
      <c r="D13947" s="1" t="str">
        <f>"0027E1425M"</f>
        <v>0027E1425M</v>
      </c>
      <c r="E13947" s="1" t="s">
        <v>10</v>
      </c>
      <c r="F13947" s="1" t="str">
        <f>"fde1:103:4:5651:0:0:0:2"</f>
        <v>fde1:103:4:5651:0:0:0:2</v>
      </c>
      <c r="G13947" s="1" t="str">
        <f>"0027E142"</f>
        <v>0027E142</v>
      </c>
      <c r="H13947" s="1" t="str">
        <f>"홍익간 24"</f>
        <v>홍익간 24</v>
      </c>
      <c r="I13947" s="1" t="s">
        <v>15</v>
      </c>
      <c r="J13947" s="1" t="str">
        <f>"89/90"</f>
        <v>89/90</v>
      </c>
      <c r="K13947" s="1" t="str">
        <f>"2026-07-29 14:20:01"</f>
        <v>2026-07-29 14:20:01</v>
      </c>
      <c r="L13947" s="1" t="str">
        <f>"2023-09-05 13:55:18"</f>
        <v>2023-09-05 13:55:18</v>
      </c>
      <c r="M13947" s="1" t="s">
        <v>4</v>
      </c>
      <c r="N13947" s="1" t="s">
        <v>38</v>
      </c>
      <c r="O13947" s="1" t="s">
        <v>46</v>
      </c>
    </row>
    <row r="13948" spans="2:15" x14ac:dyDescent="0.3">
      <c r="B13948" s="1" t="s">
        <v>19</v>
      </c>
      <c r="C13948" s="1" t="str">
        <f>"5-2차"</f>
        <v>5-2차</v>
      </c>
      <c r="D13948" s="1" t="str">
        <f>"0027E2515S"</f>
        <v>0027E2515S</v>
      </c>
      <c r="E13948" s="1" t="s">
        <v>10</v>
      </c>
      <c r="F13948" s="1" t="str">
        <f>"fde1:103:4:56e2:0:0:0:2"</f>
        <v>fde1:103:4:56e2:0:0:0:2</v>
      </c>
      <c r="G13948" s="1" t="str">
        <f>"0027E251"</f>
        <v>0027E251</v>
      </c>
      <c r="H13948" s="1" t="str">
        <f>"홍익간 24R1L1"</f>
        <v>홍익간 24R1L1</v>
      </c>
      <c r="I13948" s="1" t="s">
        <v>15</v>
      </c>
      <c r="J13948" s="1" t="str">
        <f>"47/47"</f>
        <v>47/47</v>
      </c>
      <c r="K13948" s="1" t="str">
        <f>"2026-07-29 14:20:01"</f>
        <v>2026-07-29 14:20:01</v>
      </c>
      <c r="L13948" s="1" t="str">
        <f>"2023-09-05 13:59:30"</f>
        <v>2023-09-05 13:59:30</v>
      </c>
      <c r="M13948" s="1" t="s">
        <v>4</v>
      </c>
      <c r="N13948" s="1" t="s">
        <v>38</v>
      </c>
      <c r="O13948" s="1" t="s">
        <v>46</v>
      </c>
    </row>
    <row r="13949" spans="2:15" x14ac:dyDescent="0.3">
      <c r="B13949" s="1" t="s">
        <v>19</v>
      </c>
      <c r="C13949" s="1" t="str">
        <f>"5-2차"</f>
        <v>5-2차</v>
      </c>
      <c r="D13949" s="1" t="str">
        <f>"0027E3035M"</f>
        <v>0027E3035M</v>
      </c>
      <c r="E13949" s="1" t="s">
        <v>10</v>
      </c>
      <c r="F13949" s="1" t="str">
        <f>"fde1:103:4:5908:0:0:0:2"</f>
        <v>fde1:103:4:5908:0:0:0:2</v>
      </c>
      <c r="G13949" s="1" t="str">
        <f>"0027E303"</f>
        <v>0027E303</v>
      </c>
      <c r="H13949" s="1" t="str">
        <f>"홍익간 14R1"</f>
        <v>홍익간 14R1</v>
      </c>
      <c r="I13949" s="1" t="s">
        <v>15</v>
      </c>
      <c r="J13949" s="1" t="str">
        <f>"128/128"</f>
        <v>128/128</v>
      </c>
      <c r="K13949" s="1" t="str">
        <f>"2026-07-29 14:20:01"</f>
        <v>2026-07-29 14:20:01</v>
      </c>
      <c r="L13949" s="1" t="str">
        <f>"2023-09-13 10:28:07"</f>
        <v>2023-09-13 10:28:07</v>
      </c>
      <c r="M13949" s="1" t="s">
        <v>4</v>
      </c>
      <c r="N13949" s="1" t="s">
        <v>38</v>
      </c>
      <c r="O13949" s="1" t="s">
        <v>46</v>
      </c>
    </row>
    <row r="13950" spans="2:15" x14ac:dyDescent="0.3">
      <c r="B13950" s="1" t="s">
        <v>19</v>
      </c>
      <c r="C13950" s="1" t="str">
        <f>"5-1차"</f>
        <v>5-1차</v>
      </c>
      <c r="D13950" s="1" t="str">
        <f>"0027F9135M"</f>
        <v>0027F9135M</v>
      </c>
      <c r="E13950" s="1" t="s">
        <v>10</v>
      </c>
      <c r="F13950" s="1" t="str">
        <f>"fde3:102:1410:6200:0:0:0:2"</f>
        <v>fde3:102:1410:6200:0:0:0:2</v>
      </c>
      <c r="G13950" s="1" t="str">
        <f>"0027F913"</f>
        <v>0027F913</v>
      </c>
      <c r="H13950" s="1" t="str">
        <f>"동미간 24L6"</f>
        <v>동미간 24L6</v>
      </c>
      <c r="I13950" s="1" t="s">
        <v>15</v>
      </c>
      <c r="J13950" s="1" t="str">
        <f>"52/52"</f>
        <v>52/52</v>
      </c>
      <c r="K13950" s="1" t="str">
        <f>"2026-07-29 14:20:01"</f>
        <v>2026-07-29 14:20:01</v>
      </c>
      <c r="L13950" s="1" t="str">
        <f>"2022-11-17 15:46:54"</f>
        <v>2022-11-17 15:46:54</v>
      </c>
      <c r="M13950" s="1" t="s">
        <v>45</v>
      </c>
      <c r="N13950" s="1" t="s">
        <v>38</v>
      </c>
      <c r="O13950" s="1" t="s">
        <v>46</v>
      </c>
    </row>
    <row r="13951" spans="2:15" x14ac:dyDescent="0.3">
      <c r="B13951" s="1" t="s">
        <v>19</v>
      </c>
      <c r="C13951" s="1" t="str">
        <f>"6차"</f>
        <v>6차</v>
      </c>
      <c r="D13951" s="1" t="str">
        <f>"0027F9926S"</f>
        <v>0027F9926S</v>
      </c>
      <c r="E13951" s="1" t="s">
        <v>10</v>
      </c>
      <c r="F13951" s="1" t="str">
        <f>"fde1:103:4:9320:0:0:0:2"</f>
        <v>fde1:103:4:9320:0:0:0:2</v>
      </c>
      <c r="G13951" s="1" t="str">
        <f>"0027F992"</f>
        <v>0027F992</v>
      </c>
      <c r="H13951" s="1" t="str">
        <f>"동미간 52"</f>
        <v>동미간 52</v>
      </c>
      <c r="I13951" s="1" t="s">
        <v>15</v>
      </c>
      <c r="J13951" s="1" t="str">
        <f>"21/25"</f>
        <v>21/25</v>
      </c>
      <c r="K13951" s="1" t="str">
        <f>"2026-07-29 08:20:01"</f>
        <v>2026-07-29 08:20:01</v>
      </c>
      <c r="L13951" s="1" t="str">
        <f>"2025-02-24 13:29:23"</f>
        <v>2025-02-24 13:29:23</v>
      </c>
      <c r="M13951" s="1" t="s">
        <v>4</v>
      </c>
      <c r="N13951" s="1" t="s">
        <v>38</v>
      </c>
      <c r="O13951" s="1" t="s">
        <v>46</v>
      </c>
    </row>
    <row r="13952" spans="2:15" x14ac:dyDescent="0.3">
      <c r="B13952" s="1" t="s">
        <v>19</v>
      </c>
      <c r="C13952" s="1" t="str">
        <f>"4차"</f>
        <v>4차</v>
      </c>
      <c r="D13952" s="1" t="str">
        <f>"0027G08144"</f>
        <v>0027G08144</v>
      </c>
      <c r="E13952" s="1" t="s">
        <v>10</v>
      </c>
      <c r="F13952" s="1" t="str">
        <f>"10.107.121.117"</f>
        <v>10.107.121.117</v>
      </c>
      <c r="G13952" s="1" t="str">
        <f>"0027G081"</f>
        <v>0027G081</v>
      </c>
      <c r="H13952" s="1" t="str">
        <f>"성북간 9L9"</f>
        <v>성북간 9L9</v>
      </c>
      <c r="I13952" s="1" t="s">
        <v>8</v>
      </c>
      <c r="J13952" s="1" t="str">
        <f>"60/64"</f>
        <v>60/64</v>
      </c>
      <c r="K13952" s="1" t="str">
        <f>"2026-07-29 13:18:02"</f>
        <v>2026-07-29 13:18:02</v>
      </c>
      <c r="L13952" s="1" t="str">
        <f>"2019-11-01 17:01:14"</f>
        <v>2019-11-01 17:01:14</v>
      </c>
      <c r="M13952" s="1" t="s">
        <v>45</v>
      </c>
      <c r="N13952" s="1" t="s">
        <v>38</v>
      </c>
      <c r="O13952" s="1" t="s">
        <v>46</v>
      </c>
    </row>
    <row r="13953" spans="2:15" x14ac:dyDescent="0.3">
      <c r="B13953" s="1" t="s">
        <v>19</v>
      </c>
      <c r="C13953" s="1" t="str">
        <f>"5-2차"</f>
        <v>5-2차</v>
      </c>
      <c r="D13953" s="1" t="str">
        <f>"0027G0915S"</f>
        <v>0027G0915S</v>
      </c>
      <c r="E13953" s="1" t="s">
        <v>10</v>
      </c>
      <c r="F13953" s="1" t="str">
        <f>"fde1:103:4:5917:0:0:0:2"</f>
        <v>fde1:103:4:5917:0:0:0:2</v>
      </c>
      <c r="G13953" s="1" t="str">
        <f>"0027G091"</f>
        <v>0027G091</v>
      </c>
      <c r="H13953" s="1" t="str">
        <f>"성북간 9L11"</f>
        <v>성북간 9L11</v>
      </c>
      <c r="I13953" s="1" t="s">
        <v>15</v>
      </c>
      <c r="J13953" s="1" t="str">
        <f>"37/37"</f>
        <v>37/37</v>
      </c>
      <c r="K13953" s="1" t="str">
        <f>"2026-07-29 14:20:00"</f>
        <v>2026-07-29 14:20:00</v>
      </c>
      <c r="L13953" s="1" t="str">
        <f>"2023-09-13 10:37:01"</f>
        <v>2023-09-13 10:37:01</v>
      </c>
      <c r="M13953" s="1" t="s">
        <v>4</v>
      </c>
      <c r="N13953" s="1" t="s">
        <v>38</v>
      </c>
      <c r="O13953" s="1" t="s">
        <v>46</v>
      </c>
    </row>
    <row r="13954" spans="2:15" x14ac:dyDescent="0.3">
      <c r="B13954" s="1" t="s">
        <v>19</v>
      </c>
      <c r="C13954" s="1" t="str">
        <f>"4차"</f>
        <v>4차</v>
      </c>
      <c r="D13954" s="1" t="str">
        <f>"0027G13344"</f>
        <v>0027G13344</v>
      </c>
      <c r="E13954" s="1" t="s">
        <v>10</v>
      </c>
      <c r="F13954" s="1" t="str">
        <f>"10.107.121.118"</f>
        <v>10.107.121.118</v>
      </c>
      <c r="G13954" s="1" t="str">
        <f>"0027G133"</f>
        <v>0027G133</v>
      </c>
      <c r="H13954" s="1" t="str">
        <f>"성북간 9L6L5"</f>
        <v>성북간 9L6L5</v>
      </c>
      <c r="I13954" s="1" t="s">
        <v>8</v>
      </c>
      <c r="J13954" s="1" t="str">
        <f>"19/20"</f>
        <v>19/20</v>
      </c>
      <c r="K13954" s="1" t="str">
        <f>"2026-07-29 13:18:01"</f>
        <v>2026-07-29 13:18:01</v>
      </c>
      <c r="L13954" s="1" t="str">
        <f>"2019-11-01 17:03:05"</f>
        <v>2019-11-01 17:03:05</v>
      </c>
      <c r="M13954" s="1" t="s">
        <v>45</v>
      </c>
      <c r="N13954" s="1" t="s">
        <v>38</v>
      </c>
      <c r="O13954" s="1" t="s">
        <v>46</v>
      </c>
    </row>
    <row r="13955" spans="2:15" x14ac:dyDescent="0.3">
      <c r="B13955" s="1" t="s">
        <v>19</v>
      </c>
      <c r="C13955" s="1" t="str">
        <f>"4차"</f>
        <v>4차</v>
      </c>
      <c r="D13955" s="1" t="str">
        <f>"0027G15244"</f>
        <v>0027G15244</v>
      </c>
      <c r="E13955" s="1" t="s">
        <v>10</v>
      </c>
      <c r="F13955" s="1" t="str">
        <f>"10.12.138.51"</f>
        <v>10.12.138.51</v>
      </c>
      <c r="G13955" s="1" t="str">
        <f>"0027G152"</f>
        <v>0027G152</v>
      </c>
      <c r="H13955" s="1" t="str">
        <f>"성북간 9L6L3"</f>
        <v>성북간 9L6L3</v>
      </c>
      <c r="I13955" s="1" t="s">
        <v>8</v>
      </c>
      <c r="J13955" s="1" t="str">
        <f>"29/29"</f>
        <v>29/29</v>
      </c>
      <c r="K13955" s="1" t="str">
        <f>"2026-07-29 13:18:01"</f>
        <v>2026-07-29 13:18:01</v>
      </c>
      <c r="L13955" s="1" t="str">
        <f>"2019-11-11 20:07:27"</f>
        <v>2019-11-11 20:07:27</v>
      </c>
      <c r="M13955" s="1" t="s">
        <v>0</v>
      </c>
      <c r="N13955" s="1" t="s">
        <v>38</v>
      </c>
      <c r="O13955" s="1" t="s">
        <v>46</v>
      </c>
    </row>
    <row r="13956" spans="2:15" x14ac:dyDescent="0.3">
      <c r="B13956" s="1" t="s">
        <v>19</v>
      </c>
      <c r="C13956" s="1" t="str">
        <f>"4차"</f>
        <v>4차</v>
      </c>
      <c r="D13956" s="1" t="str">
        <f>"0027G16244"</f>
        <v>0027G16244</v>
      </c>
      <c r="E13956" s="1" t="s">
        <v>10</v>
      </c>
      <c r="F13956" s="1" t="str">
        <f>"10.107.121.119"</f>
        <v>10.107.121.119</v>
      </c>
      <c r="G13956" s="1" t="str">
        <f>"0027G162"</f>
        <v>0027G162</v>
      </c>
      <c r="H13956" s="1" t="str">
        <f>"성북간 9L6"</f>
        <v>성북간 9L6</v>
      </c>
      <c r="I13956" s="1" t="s">
        <v>8</v>
      </c>
      <c r="J13956" s="1" t="str">
        <f>"8/12"</f>
        <v>8/12</v>
      </c>
      <c r="K13956" s="1" t="str">
        <f>"2026-07-29 13:18:02"</f>
        <v>2026-07-29 13:18:02</v>
      </c>
      <c r="L13956" s="1" t="str">
        <f>"2019-11-01 16:43:05"</f>
        <v>2019-11-01 16:43:05</v>
      </c>
      <c r="M13956" s="1" t="s">
        <v>45</v>
      </c>
      <c r="N13956" s="1" t="s">
        <v>38</v>
      </c>
      <c r="O13956" s="1" t="s">
        <v>46</v>
      </c>
    </row>
    <row r="13957" spans="2:15" x14ac:dyDescent="0.3">
      <c r="B13957" s="1" t="s">
        <v>19</v>
      </c>
      <c r="C13957" s="1" t="str">
        <f>"4차"</f>
        <v>4차</v>
      </c>
      <c r="D13957" s="1" t="str">
        <f>"0027G17144"</f>
        <v>0027G17144</v>
      </c>
      <c r="E13957" s="1" t="s">
        <v>10</v>
      </c>
      <c r="F13957" s="1" t="str">
        <f>"10.107.121.120"</f>
        <v>10.107.121.120</v>
      </c>
      <c r="G13957" s="1" t="str">
        <f>"0027G171"</f>
        <v>0027G171</v>
      </c>
      <c r="H13957" s="1" t="str">
        <f>"성북간 9L8"</f>
        <v>성북간 9L8</v>
      </c>
      <c r="I13957" s="1" t="s">
        <v>8</v>
      </c>
      <c r="J13957" s="1" t="str">
        <f>"26/26"</f>
        <v>26/26</v>
      </c>
      <c r="K13957" s="1" t="str">
        <f>"2026-07-29 13:18:01"</f>
        <v>2026-07-29 13:18:01</v>
      </c>
      <c r="L13957" s="1" t="str">
        <f>"2019-11-01 16:43:05"</f>
        <v>2019-11-01 16:43:05</v>
      </c>
      <c r="M13957" s="1" t="s">
        <v>45</v>
      </c>
      <c r="N13957" s="1" t="s">
        <v>38</v>
      </c>
      <c r="O13957" s="1" t="s">
        <v>46</v>
      </c>
    </row>
    <row r="13958" spans="2:15" x14ac:dyDescent="0.3">
      <c r="B13958" s="1" t="s">
        <v>19</v>
      </c>
      <c r="C13958" s="1" t="s">
        <v>16</v>
      </c>
      <c r="D13958" s="1" t="str">
        <f>"0027G25141"</f>
        <v>0027G25141</v>
      </c>
      <c r="E13958" s="1" t="s">
        <v>10</v>
      </c>
      <c r="F13958" s="1" t="str">
        <f>"10.14.15.200"</f>
        <v>10.14.15.200</v>
      </c>
      <c r="G13958" s="1" t="str">
        <f>"0027G251"</f>
        <v>0027G251</v>
      </c>
      <c r="H13958" s="1" t="str">
        <f>"성북간 9L3L2"</f>
        <v>성북간 9L3L2</v>
      </c>
      <c r="I13958" s="1" t="s">
        <v>17</v>
      </c>
      <c r="J13958" s="1" t="str">
        <f>"24/28"</f>
        <v>24/28</v>
      </c>
      <c r="K13958" s="1" t="str">
        <f>"2026-07-29 13:18:01"</f>
        <v>2026-07-29 13:18:01</v>
      </c>
      <c r="L13958" s="1" t="str">
        <f>"2022-11-07 15:50:39"</f>
        <v>2022-11-07 15:50:39</v>
      </c>
      <c r="M13958" s="1" t="s">
        <v>3</v>
      </c>
      <c r="N13958" s="1" t="s">
        <v>38</v>
      </c>
      <c r="O13958" s="1" t="s">
        <v>46</v>
      </c>
    </row>
    <row r="13959" spans="2:15" x14ac:dyDescent="0.3">
      <c r="B13959" s="1" t="s">
        <v>19</v>
      </c>
      <c r="C13959" s="1" t="str">
        <f>"4차"</f>
        <v>4차</v>
      </c>
      <c r="D13959" s="1" t="str">
        <f>"0027G29144"</f>
        <v>0027G29144</v>
      </c>
      <c r="E13959" s="1" t="s">
        <v>10</v>
      </c>
      <c r="F13959" s="1" t="str">
        <f>"10.107.121.121"</f>
        <v>10.107.121.121</v>
      </c>
      <c r="G13959" s="1" t="str">
        <f>"0027G291"</f>
        <v>0027G291</v>
      </c>
      <c r="H13959" s="1" t="str">
        <f>"성북간 17"</f>
        <v>성북간 17</v>
      </c>
      <c r="I13959" s="1" t="s">
        <v>8</v>
      </c>
      <c r="J13959" s="1" t="str">
        <f>"26/26"</f>
        <v>26/26</v>
      </c>
      <c r="K13959" s="1" t="str">
        <f>"2026-07-29 13:18:02"</f>
        <v>2026-07-29 13:18:02</v>
      </c>
      <c r="L13959" s="1" t="str">
        <f>"2019-10-31 09:42:12"</f>
        <v>2019-10-31 09:42:12</v>
      </c>
      <c r="M13959" s="1" t="s">
        <v>45</v>
      </c>
      <c r="N13959" s="1" t="s">
        <v>38</v>
      </c>
      <c r="O13959" s="1" t="s">
        <v>46</v>
      </c>
    </row>
    <row r="13960" spans="2:15" x14ac:dyDescent="0.3">
      <c r="B13960" s="1" t="s">
        <v>19</v>
      </c>
      <c r="C13960" s="1" t="str">
        <f>"5-1차"</f>
        <v>5-1차</v>
      </c>
      <c r="D13960" s="1" t="str">
        <f>"0027G3315S"</f>
        <v>0027G3315S</v>
      </c>
      <c r="E13960" s="1" t="s">
        <v>10</v>
      </c>
      <c r="F13960" s="1" t="str">
        <f>"fde2:104:0:5e:0:0:0:2"</f>
        <v>fde2:104:0:5e:0:0:0:2</v>
      </c>
      <c r="G13960" s="1" t="str">
        <f>"0027G331"</f>
        <v>0027G331</v>
      </c>
      <c r="H13960" s="1" t="str">
        <f>"성북간 9L3L4"</f>
        <v>성북간 9L3L4</v>
      </c>
      <c r="I13960" s="1" t="s">
        <v>15</v>
      </c>
      <c r="J13960" s="1" t="str">
        <f>"49/49"</f>
        <v>49/49</v>
      </c>
      <c r="K13960" s="1" t="str">
        <f>"2026-07-29 14:20:21"</f>
        <v>2026-07-29 14:20:21</v>
      </c>
      <c r="L13960" s="1" t="str">
        <f>"2022-08-04 11:17:23"</f>
        <v>2022-08-04 11:17:23</v>
      </c>
      <c r="M13960" s="1" t="s">
        <v>42</v>
      </c>
      <c r="N13960" s="1" t="s">
        <v>38</v>
      </c>
      <c r="O13960" s="1" t="s">
        <v>46</v>
      </c>
    </row>
    <row r="13961" spans="2:15" x14ac:dyDescent="0.3">
      <c r="B13961" s="1" t="s">
        <v>19</v>
      </c>
      <c r="C13961" s="1" t="str">
        <f>"4차"</f>
        <v>4차</v>
      </c>
      <c r="D13961" s="1" t="str">
        <f>"0027G34244"</f>
        <v>0027G34244</v>
      </c>
      <c r="E13961" s="1" t="s">
        <v>10</v>
      </c>
      <c r="F13961" s="1" t="str">
        <f>"10.107.121.122"</f>
        <v>10.107.121.122</v>
      </c>
      <c r="G13961" s="1" t="str">
        <f>"0027G342"</f>
        <v>0027G342</v>
      </c>
      <c r="H13961" s="1" t="str">
        <f>"성북간 9L3L2L2"</f>
        <v>성북간 9L3L2L2</v>
      </c>
      <c r="I13961" s="1" t="s">
        <v>8</v>
      </c>
      <c r="J13961" s="1" t="str">
        <f>"22/22"</f>
        <v>22/22</v>
      </c>
      <c r="K13961" s="1" t="str">
        <f>"2026-07-29 13:18:02"</f>
        <v>2026-07-29 13:18:02</v>
      </c>
      <c r="L13961" s="1" t="str">
        <f>"2019-10-31 11:03:05"</f>
        <v>2019-10-31 11:03:05</v>
      </c>
      <c r="M13961" s="1" t="s">
        <v>45</v>
      </c>
      <c r="N13961" s="1" t="s">
        <v>38</v>
      </c>
      <c r="O13961" s="1" t="s">
        <v>46</v>
      </c>
    </row>
    <row r="13962" spans="2:15" x14ac:dyDescent="0.3">
      <c r="B13962" s="1" t="s">
        <v>19</v>
      </c>
      <c r="C13962" s="1" t="str">
        <f>"4차"</f>
        <v>4차</v>
      </c>
      <c r="D13962" s="1" t="str">
        <f>"0027G34344"</f>
        <v>0027G34344</v>
      </c>
      <c r="E13962" s="1" t="s">
        <v>10</v>
      </c>
      <c r="F13962" s="1" t="str">
        <f>"10.107.121.123"</f>
        <v>10.107.121.123</v>
      </c>
      <c r="G13962" s="1" t="str">
        <f>"0027G343"</f>
        <v>0027G343</v>
      </c>
      <c r="H13962" s="1" t="str">
        <f>"성북간 9L3L3"</f>
        <v>성북간 9L3L3</v>
      </c>
      <c r="I13962" s="1" t="s">
        <v>8</v>
      </c>
      <c r="J13962" s="1" t="str">
        <f>"61/61"</f>
        <v>61/61</v>
      </c>
      <c r="K13962" s="1" t="str">
        <f>"2026-07-29 13:18:02"</f>
        <v>2026-07-29 13:18:02</v>
      </c>
      <c r="L13962" s="1" t="str">
        <f>"2019-11-19 23:39:17"</f>
        <v>2019-11-19 23:39:17</v>
      </c>
      <c r="M13962" s="1" t="s">
        <v>45</v>
      </c>
      <c r="N13962" s="1" t="s">
        <v>38</v>
      </c>
      <c r="O13962" s="1" t="s">
        <v>46</v>
      </c>
    </row>
    <row r="13963" spans="2:15" x14ac:dyDescent="0.3">
      <c r="B13963" s="1" t="s">
        <v>19</v>
      </c>
      <c r="C13963" s="1" t="str">
        <f>"4차"</f>
        <v>4차</v>
      </c>
      <c r="D13963" s="1" t="str">
        <f>"0027G37144"</f>
        <v>0027G37144</v>
      </c>
      <c r="E13963" s="1" t="s">
        <v>10</v>
      </c>
      <c r="F13963" s="1" t="str">
        <f>"10.107.121.124"</f>
        <v>10.107.121.124</v>
      </c>
      <c r="G13963" s="1" t="str">
        <f>"0027G371"</f>
        <v>0027G371</v>
      </c>
      <c r="H13963" s="1" t="str">
        <f>"성북간 14"</f>
        <v>성북간 14</v>
      </c>
      <c r="I13963" s="1" t="s">
        <v>8</v>
      </c>
      <c r="J13963" s="1" t="str">
        <f>"18/18"</f>
        <v>18/18</v>
      </c>
      <c r="K13963" s="1" t="str">
        <f>"2026-07-29 13:18:02"</f>
        <v>2026-07-29 13:18:02</v>
      </c>
      <c r="L13963" s="1" t="str">
        <f>"2019-10-31 09:43:03"</f>
        <v>2019-10-31 09:43:03</v>
      </c>
      <c r="M13963" s="1" t="s">
        <v>45</v>
      </c>
      <c r="N13963" s="1" t="s">
        <v>38</v>
      </c>
      <c r="O13963" s="1" t="s">
        <v>46</v>
      </c>
    </row>
    <row r="13964" spans="2:15" x14ac:dyDescent="0.3">
      <c r="B13964" s="1" t="s">
        <v>19</v>
      </c>
      <c r="C13964" s="1" t="str">
        <f>"5-2차"</f>
        <v>5-2차</v>
      </c>
      <c r="D13964" s="1" t="str">
        <f>"0027G4115S"</f>
        <v>0027G4115S</v>
      </c>
      <c r="E13964" s="1" t="s">
        <v>10</v>
      </c>
      <c r="F13964" s="1" t="str">
        <f>"fde1:103:4:58cb:0:0:0:2"</f>
        <v>fde1:103:4:58cb:0:0:0:2</v>
      </c>
      <c r="G13964" s="1" t="str">
        <f>"0027G411"</f>
        <v>0027G411</v>
      </c>
      <c r="H13964" s="1" t="str">
        <f>"성북간 5L4B2"</f>
        <v>성북간 5L4B2</v>
      </c>
      <c r="I13964" s="1" t="s">
        <v>15</v>
      </c>
      <c r="J13964" s="1" t="str">
        <f>"42/42"</f>
        <v>42/42</v>
      </c>
      <c r="K13964" s="1" t="str">
        <f>"2026-07-29 14:20:05"</f>
        <v>2026-07-29 14:20:05</v>
      </c>
      <c r="L13964" s="1" t="str">
        <f>"2023-09-13 10:52:45"</f>
        <v>2023-09-13 10:52:45</v>
      </c>
      <c r="M13964" s="1" t="s">
        <v>4</v>
      </c>
      <c r="N13964" s="1" t="s">
        <v>38</v>
      </c>
      <c r="O13964" s="1" t="s">
        <v>46</v>
      </c>
    </row>
    <row r="13965" spans="2:15" x14ac:dyDescent="0.3">
      <c r="B13965" s="1" t="s">
        <v>19</v>
      </c>
      <c r="C13965" s="1" t="str">
        <f>"3차"</f>
        <v>3차</v>
      </c>
      <c r="D13965" s="1" t="str">
        <f>"0027G42139"</f>
        <v>0027G42139</v>
      </c>
      <c r="E13965" s="1" t="s">
        <v>10</v>
      </c>
      <c r="F13965" s="1" t="str">
        <f>"10.11.140.82"</f>
        <v>10.11.140.82</v>
      </c>
      <c r="G13965" s="1" t="str">
        <f>"0027G421"</f>
        <v>0027G421</v>
      </c>
      <c r="H13965" s="1" t="str">
        <f>"성북간 5L4B1R1"</f>
        <v>성북간 5L4B1R1</v>
      </c>
      <c r="I13965" s="1" t="s">
        <v>8</v>
      </c>
      <c r="J13965" s="1" t="str">
        <f>"36/36"</f>
        <v>36/36</v>
      </c>
      <c r="K13965" s="1" t="str">
        <f>"2026-07-29 13:18:01"</f>
        <v>2026-07-29 13:18:01</v>
      </c>
      <c r="L13965" s="1" t="str">
        <f>"2018-04-20 09:21:56"</f>
        <v>2018-04-20 09:21:56</v>
      </c>
      <c r="M13965" s="1" t="s">
        <v>2</v>
      </c>
      <c r="N13965" s="1" t="s">
        <v>38</v>
      </c>
      <c r="O13965" s="1" t="s">
        <v>46</v>
      </c>
    </row>
    <row r="13966" spans="2:15" x14ac:dyDescent="0.3">
      <c r="B13966" s="1" t="s">
        <v>19</v>
      </c>
      <c r="C13966" s="1" t="str">
        <f>"4차"</f>
        <v>4차</v>
      </c>
      <c r="D13966" s="1" t="str">
        <f>"0027G43144"</f>
        <v>0027G43144</v>
      </c>
      <c r="E13966" s="1" t="s">
        <v>10</v>
      </c>
      <c r="F13966" s="1" t="str">
        <f>"10.107.121.125"</f>
        <v>10.107.121.125</v>
      </c>
      <c r="G13966" s="1" t="str">
        <f>"0027G431"</f>
        <v>0027G431</v>
      </c>
      <c r="H13966" s="1" t="str">
        <f>"성북간 5L4R3L2"</f>
        <v>성북간 5L4R3L2</v>
      </c>
      <c r="I13966" s="1" t="s">
        <v>8</v>
      </c>
      <c r="J13966" s="1" t="str">
        <f>"45/45"</f>
        <v>45/45</v>
      </c>
      <c r="K13966" s="1" t="str">
        <f>"2026-07-29 13:18:02"</f>
        <v>2026-07-29 13:18:02</v>
      </c>
      <c r="L13966" s="1" t="str">
        <f>"2019-12-13 08:57:34"</f>
        <v>2019-12-13 08:57:34</v>
      </c>
      <c r="M13966" s="1" t="s">
        <v>45</v>
      </c>
      <c r="N13966" s="1" t="s">
        <v>38</v>
      </c>
      <c r="O13966" s="1" t="s">
        <v>46</v>
      </c>
    </row>
    <row r="13967" spans="2:15" x14ac:dyDescent="0.3">
      <c r="B13967" s="1" t="s">
        <v>19</v>
      </c>
      <c r="C13967" s="1" t="str">
        <f>"3차"</f>
        <v>3차</v>
      </c>
      <c r="D13967" s="1" t="str">
        <f>"0027G50339"</f>
        <v>0027G50339</v>
      </c>
      <c r="E13967" s="1" t="s">
        <v>10</v>
      </c>
      <c r="F13967" s="1" t="str">
        <f>"10.107.121.126"</f>
        <v>10.107.121.126</v>
      </c>
      <c r="G13967" s="1" t="str">
        <f>"0027G503"</f>
        <v>0027G503</v>
      </c>
      <c r="H13967" s="1" t="str">
        <f>"성북간 5L4B1L1"</f>
        <v>성북간 5L4B1L1</v>
      </c>
      <c r="I13967" s="1" t="s">
        <v>8</v>
      </c>
      <c r="J13967" s="1" t="str">
        <f>"35/36"</f>
        <v>35/36</v>
      </c>
      <c r="K13967" s="1" t="str">
        <f>"2026-07-29 13:18:01"</f>
        <v>2026-07-29 13:18:01</v>
      </c>
      <c r="L13967" s="1" t="str">
        <f>"2018-04-20 09:55:55"</f>
        <v>2018-04-20 09:55:55</v>
      </c>
      <c r="M13967" s="1" t="s">
        <v>45</v>
      </c>
      <c r="N13967" s="1" t="s">
        <v>38</v>
      </c>
      <c r="O13967" s="1" t="s">
        <v>46</v>
      </c>
    </row>
    <row r="13968" spans="2:15" x14ac:dyDescent="0.3">
      <c r="B13968" s="1" t="s">
        <v>19</v>
      </c>
      <c r="C13968" s="1" t="str">
        <f>"5-1차"</f>
        <v>5-1차</v>
      </c>
      <c r="D13968" s="1" t="str">
        <f>"0027G5135M"</f>
        <v>0027G5135M</v>
      </c>
      <c r="E13968" s="1" t="s">
        <v>10</v>
      </c>
      <c r="F13968" s="1" t="str">
        <f>"fde2:104:0:5c:0:0:0:2"</f>
        <v>fde2:104:0:5c:0:0:0:2</v>
      </c>
      <c r="G13968" s="1" t="str">
        <f>"0027G513"</f>
        <v>0027G513</v>
      </c>
      <c r="H13968" s="1" t="str">
        <f>"성북간 5L4B1"</f>
        <v>성북간 5L4B1</v>
      </c>
      <c r="I13968" s="1" t="s">
        <v>15</v>
      </c>
      <c r="J13968" s="1" t="str">
        <f>"38/38"</f>
        <v>38/38</v>
      </c>
      <c r="K13968" s="1" t="str">
        <f>"2026-07-29 14:20:01"</f>
        <v>2026-07-29 14:20:01</v>
      </c>
      <c r="L13968" s="1" t="str">
        <f>"2022-08-10 14:51:59"</f>
        <v>2022-08-10 14:51:59</v>
      </c>
      <c r="M13968" s="1" t="s">
        <v>42</v>
      </c>
      <c r="N13968" s="1" t="s">
        <v>38</v>
      </c>
      <c r="O13968" s="1" t="s">
        <v>46</v>
      </c>
    </row>
    <row r="13969" spans="2:15" x14ac:dyDescent="0.3">
      <c r="B13969" s="1" t="s">
        <v>19</v>
      </c>
      <c r="C13969" s="1" t="str">
        <f t="shared" ref="C13969:C13978" si="713">"4차"</f>
        <v>4차</v>
      </c>
      <c r="D13969" s="1" t="str">
        <f>"0027G51639"</f>
        <v>0027G51639</v>
      </c>
      <c r="E13969" s="1" t="s">
        <v>10</v>
      </c>
      <c r="F13969" s="1" t="str">
        <f>"10.12.132.240"</f>
        <v>10.12.132.240</v>
      </c>
      <c r="G13969" s="1" t="str">
        <f>"0027G516"</f>
        <v>0027G516</v>
      </c>
      <c r="H13969" s="1" t="str">
        <f>"성북간 5L4R1"</f>
        <v>성북간 5L4R1</v>
      </c>
      <c r="I13969" s="1" t="s">
        <v>8</v>
      </c>
      <c r="J13969" s="1" t="str">
        <f>"135/144"</f>
        <v>135/144</v>
      </c>
      <c r="K13969" s="1" t="str">
        <f t="shared" ref="K13969:K13979" si="714">"2026-07-29 13:18:01"</f>
        <v>2026-07-29 13:18:01</v>
      </c>
      <c r="L13969" s="1" t="str">
        <f>"2025-11-24 16:52:02"</f>
        <v>2025-11-24 16:52:02</v>
      </c>
      <c r="M13969" s="1" t="s">
        <v>0</v>
      </c>
      <c r="N13969" s="1" t="s">
        <v>38</v>
      </c>
      <c r="O13969" s="1" t="s">
        <v>46</v>
      </c>
    </row>
    <row r="13970" spans="2:15" x14ac:dyDescent="0.3">
      <c r="B13970" s="1" t="s">
        <v>19</v>
      </c>
      <c r="C13970" s="1" t="str">
        <f t="shared" si="713"/>
        <v>4차</v>
      </c>
      <c r="D13970" s="1" t="str">
        <f>"0027G53144"</f>
        <v>0027G53144</v>
      </c>
      <c r="E13970" s="1" t="s">
        <v>10</v>
      </c>
      <c r="F13970" s="1" t="str">
        <f>"10.107.118.98"</f>
        <v>10.107.118.98</v>
      </c>
      <c r="G13970" s="1" t="str">
        <f>"0027G531"</f>
        <v>0027G531</v>
      </c>
      <c r="H13970" s="1" t="str">
        <f>"성북간 5L4R4"</f>
        <v>성북간 5L4R4</v>
      </c>
      <c r="I13970" s="1" t="s">
        <v>8</v>
      </c>
      <c r="J13970" s="1" t="str">
        <f>"9/9"</f>
        <v>9/9</v>
      </c>
      <c r="K13970" s="1" t="str">
        <f t="shared" si="714"/>
        <v>2026-07-29 13:18:01</v>
      </c>
      <c r="L13970" s="1" t="str">
        <f>"2019-12-13 08:57:35"</f>
        <v>2019-12-13 08:57:35</v>
      </c>
      <c r="M13970" s="1" t="s">
        <v>45</v>
      </c>
      <c r="N13970" s="1" t="s">
        <v>38</v>
      </c>
      <c r="O13970" s="1" t="s">
        <v>46</v>
      </c>
    </row>
    <row r="13971" spans="2:15" x14ac:dyDescent="0.3">
      <c r="B13971" s="1" t="s">
        <v>19</v>
      </c>
      <c r="C13971" s="1" t="str">
        <f t="shared" si="713"/>
        <v>4차</v>
      </c>
      <c r="D13971" s="1" t="str">
        <f>"0027G53244"</f>
        <v>0027G53244</v>
      </c>
      <c r="E13971" s="1" t="s">
        <v>10</v>
      </c>
      <c r="F13971" s="1" t="str">
        <f>"10.107.118.99"</f>
        <v>10.107.118.99</v>
      </c>
      <c r="G13971" s="1" t="str">
        <f>"0027G532"</f>
        <v>0027G532</v>
      </c>
      <c r="H13971" s="1" t="str">
        <f>"성북간 5L4R3"</f>
        <v>성북간 5L4R3</v>
      </c>
      <c r="I13971" s="1" t="s">
        <v>8</v>
      </c>
      <c r="J13971" s="1" t="str">
        <f>"14/14"</f>
        <v>14/14</v>
      </c>
      <c r="K13971" s="1" t="str">
        <f t="shared" si="714"/>
        <v>2026-07-29 13:18:01</v>
      </c>
      <c r="L13971" s="1" t="str">
        <f>"2019-10-31 09:54:15"</f>
        <v>2019-10-31 09:54:15</v>
      </c>
      <c r="M13971" s="1" t="s">
        <v>45</v>
      </c>
      <c r="N13971" s="1" t="s">
        <v>38</v>
      </c>
      <c r="O13971" s="1" t="s">
        <v>46</v>
      </c>
    </row>
    <row r="13972" spans="2:15" x14ac:dyDescent="0.3">
      <c r="B13972" s="1" t="s">
        <v>19</v>
      </c>
      <c r="C13972" s="1" t="str">
        <f t="shared" si="713"/>
        <v>4차</v>
      </c>
      <c r="D13972" s="1" t="str">
        <f>"0027G54244"</f>
        <v>0027G54244</v>
      </c>
      <c r="E13972" s="1" t="s">
        <v>10</v>
      </c>
      <c r="F13972" s="1" t="str">
        <f>"10.107.118.100"</f>
        <v>10.107.118.100</v>
      </c>
      <c r="G13972" s="1" t="str">
        <f>"0027G542"</f>
        <v>0027G542</v>
      </c>
      <c r="H13972" s="1" t="str">
        <f>"성북간 8"</f>
        <v>성북간 8</v>
      </c>
      <c r="I13972" s="1" t="s">
        <v>8</v>
      </c>
      <c r="J13972" s="1" t="str">
        <f>"29/29"</f>
        <v>29/29</v>
      </c>
      <c r="K13972" s="1" t="str">
        <f t="shared" si="714"/>
        <v>2026-07-29 13:18:01</v>
      </c>
      <c r="L13972" s="1" t="str">
        <f>"2019-10-31 10:31:29"</f>
        <v>2019-10-31 10:31:29</v>
      </c>
      <c r="M13972" s="1" t="s">
        <v>45</v>
      </c>
      <c r="N13972" s="1" t="s">
        <v>38</v>
      </c>
      <c r="O13972" s="1" t="s">
        <v>46</v>
      </c>
    </row>
    <row r="13973" spans="2:15" x14ac:dyDescent="0.3">
      <c r="B13973" s="1" t="s">
        <v>19</v>
      </c>
      <c r="C13973" s="1" t="str">
        <f t="shared" si="713"/>
        <v>4차</v>
      </c>
      <c r="D13973" s="1" t="str">
        <f>"0027G56144"</f>
        <v>0027G56144</v>
      </c>
      <c r="E13973" s="1" t="s">
        <v>10</v>
      </c>
      <c r="F13973" s="1" t="str">
        <f>"10.107.12.138"</f>
        <v>10.107.12.138</v>
      </c>
      <c r="G13973" s="1" t="str">
        <f>"0027G561"</f>
        <v>0027G561</v>
      </c>
      <c r="H13973" s="1" t="str">
        <f>"홍익간 9"</f>
        <v>홍익간 9</v>
      </c>
      <c r="I13973" s="1" t="s">
        <v>8</v>
      </c>
      <c r="J13973" s="1" t="str">
        <f>"26/26"</f>
        <v>26/26</v>
      </c>
      <c r="K13973" s="1" t="str">
        <f t="shared" si="714"/>
        <v>2026-07-29 13:18:01</v>
      </c>
      <c r="L13973" s="1" t="str">
        <f>"2019-12-13 12:10:09"</f>
        <v>2019-12-13 12:10:09</v>
      </c>
      <c r="M13973" s="1" t="s">
        <v>45</v>
      </c>
      <c r="N13973" s="1" t="s">
        <v>38</v>
      </c>
      <c r="O13973" s="1" t="s">
        <v>46</v>
      </c>
    </row>
    <row r="13974" spans="2:15" x14ac:dyDescent="0.3">
      <c r="B13974" s="1" t="s">
        <v>19</v>
      </c>
      <c r="C13974" s="1" t="str">
        <f t="shared" si="713"/>
        <v>4차</v>
      </c>
      <c r="D13974" s="1" t="str">
        <f>"0027G61244"</f>
        <v>0027G61244</v>
      </c>
      <c r="E13974" s="1" t="s">
        <v>10</v>
      </c>
      <c r="F13974" s="1" t="str">
        <f>"10.107.118.101"</f>
        <v>10.107.118.101</v>
      </c>
      <c r="G13974" s="1" t="str">
        <f>"0027G612"</f>
        <v>0027G612</v>
      </c>
      <c r="H13974" s="1" t="str">
        <f>"성북간 5L2"</f>
        <v>성북간 5L2</v>
      </c>
      <c r="I13974" s="1" t="s">
        <v>8</v>
      </c>
      <c r="J13974" s="1" t="str">
        <f>"32/33"</f>
        <v>32/33</v>
      </c>
      <c r="K13974" s="1" t="str">
        <f t="shared" si="714"/>
        <v>2026-07-29 13:18:01</v>
      </c>
      <c r="L13974" s="1" t="str">
        <f>"2019-10-31 09:46:11"</f>
        <v>2019-10-31 09:46:11</v>
      </c>
      <c r="M13974" s="1" t="s">
        <v>45</v>
      </c>
      <c r="N13974" s="1" t="s">
        <v>38</v>
      </c>
      <c r="O13974" s="1" t="s">
        <v>46</v>
      </c>
    </row>
    <row r="13975" spans="2:15" x14ac:dyDescent="0.3">
      <c r="B13975" s="1" t="s">
        <v>19</v>
      </c>
      <c r="C13975" s="1" t="str">
        <f t="shared" si="713"/>
        <v>4차</v>
      </c>
      <c r="D13975" s="1" t="str">
        <f>"0027G62244"</f>
        <v>0027G62244</v>
      </c>
      <c r="E13975" s="1" t="s">
        <v>10</v>
      </c>
      <c r="F13975" s="1" t="str">
        <f>"10.107.118.102"</f>
        <v>10.107.118.102</v>
      </c>
      <c r="G13975" s="1" t="str">
        <f>"0027G622"</f>
        <v>0027G622</v>
      </c>
      <c r="H13975" s="1" t="str">
        <f>"성북간 6"</f>
        <v>성북간 6</v>
      </c>
      <c r="I13975" s="1" t="s">
        <v>8</v>
      </c>
      <c r="J13975" s="1" t="str">
        <f>"17/17"</f>
        <v>17/17</v>
      </c>
      <c r="K13975" s="1" t="str">
        <f t="shared" si="714"/>
        <v>2026-07-29 13:18:01</v>
      </c>
      <c r="L13975" s="1" t="str">
        <f>"2019-12-13 08:57:36"</f>
        <v>2019-12-13 08:57:36</v>
      </c>
      <c r="M13975" s="1" t="s">
        <v>45</v>
      </c>
      <c r="N13975" s="1" t="s">
        <v>38</v>
      </c>
      <c r="O13975" s="1" t="s">
        <v>46</v>
      </c>
    </row>
    <row r="13976" spans="2:15" x14ac:dyDescent="0.3">
      <c r="B13976" s="1" t="s">
        <v>19</v>
      </c>
      <c r="C13976" s="1" t="str">
        <f t="shared" si="713"/>
        <v>4차</v>
      </c>
      <c r="D13976" s="1" t="str">
        <f>"0027G63144"</f>
        <v>0027G63144</v>
      </c>
      <c r="E13976" s="1" t="s">
        <v>10</v>
      </c>
      <c r="F13976" s="1" t="str">
        <f>"10.107.118.103"</f>
        <v>10.107.118.103</v>
      </c>
      <c r="G13976" s="1" t="str">
        <f>"0027G631"</f>
        <v>0027G631</v>
      </c>
      <c r="H13976" s="1" t="str">
        <f>"성북간 7"</f>
        <v>성북간 7</v>
      </c>
      <c r="I13976" s="1" t="s">
        <v>8</v>
      </c>
      <c r="J13976" s="1" t="str">
        <f>"19/19"</f>
        <v>19/19</v>
      </c>
      <c r="K13976" s="1" t="str">
        <f t="shared" si="714"/>
        <v>2026-07-29 13:18:01</v>
      </c>
      <c r="L13976" s="1" t="str">
        <f>"2022-09-06 13:27:54"</f>
        <v>2022-09-06 13:27:54</v>
      </c>
      <c r="M13976" s="1" t="s">
        <v>45</v>
      </c>
      <c r="N13976" s="1" t="s">
        <v>38</v>
      </c>
      <c r="O13976" s="1" t="s">
        <v>46</v>
      </c>
    </row>
    <row r="13977" spans="2:15" x14ac:dyDescent="0.3">
      <c r="B13977" s="1" t="s">
        <v>19</v>
      </c>
      <c r="C13977" s="1" t="str">
        <f t="shared" si="713"/>
        <v>4차</v>
      </c>
      <c r="D13977" s="1" t="str">
        <f>"0027G70244"</f>
        <v>0027G70244</v>
      </c>
      <c r="E13977" s="1" t="s">
        <v>10</v>
      </c>
      <c r="F13977" s="1" t="str">
        <f>"10.107.118.104"</f>
        <v>10.107.118.104</v>
      </c>
      <c r="G13977" s="1" t="str">
        <f>"0027G702"</f>
        <v>0027G702</v>
      </c>
      <c r="H13977" s="1" t="str">
        <f>"성북간 4L1"</f>
        <v>성북간 4L1</v>
      </c>
      <c r="I13977" s="1" t="s">
        <v>8</v>
      </c>
      <c r="J13977" s="1" t="str">
        <f>"17/17"</f>
        <v>17/17</v>
      </c>
      <c r="K13977" s="1" t="str">
        <f t="shared" si="714"/>
        <v>2026-07-29 13:18:01</v>
      </c>
      <c r="L13977" s="1" t="str">
        <f>"2019-10-31 09:43:41"</f>
        <v>2019-10-31 09:43:41</v>
      </c>
      <c r="M13977" s="1" t="s">
        <v>45</v>
      </c>
      <c r="N13977" s="1" t="s">
        <v>38</v>
      </c>
      <c r="O13977" s="1" t="s">
        <v>46</v>
      </c>
    </row>
    <row r="13978" spans="2:15" x14ac:dyDescent="0.3">
      <c r="B13978" s="1" t="s">
        <v>19</v>
      </c>
      <c r="C13978" s="1" t="str">
        <f t="shared" si="713"/>
        <v>4차</v>
      </c>
      <c r="D13978" s="1" t="str">
        <f>"0027G73141"</f>
        <v>0027G73141</v>
      </c>
      <c r="E13978" s="1" t="s">
        <v>10</v>
      </c>
      <c r="F13978" s="1" t="str">
        <f>"10.12.129.1"</f>
        <v>10.12.129.1</v>
      </c>
      <c r="G13978" s="1" t="str">
        <f>"0027G731"</f>
        <v>0027G731</v>
      </c>
      <c r="H13978" s="1" t="str">
        <f>"홍익간 3R2"</f>
        <v>홍익간 3R2</v>
      </c>
      <c r="I13978" s="1" t="s">
        <v>17</v>
      </c>
      <c r="J13978" s="1" t="str">
        <f>"18/18"</f>
        <v>18/18</v>
      </c>
      <c r="K13978" s="1" t="str">
        <f t="shared" si="714"/>
        <v>2026-07-29 13:18:01</v>
      </c>
      <c r="L13978" s="1" t="str">
        <f>"2021-10-18 09:15:22"</f>
        <v>2021-10-18 09:15:22</v>
      </c>
      <c r="M13978" s="1" t="s">
        <v>0</v>
      </c>
      <c r="N13978" s="1" t="s">
        <v>38</v>
      </c>
      <c r="O13978" s="1" t="s">
        <v>46</v>
      </c>
    </row>
    <row r="13979" spans="2:15" x14ac:dyDescent="0.3">
      <c r="B13979" s="1" t="s">
        <v>19</v>
      </c>
      <c r="C13979" s="1" t="str">
        <f>"3차"</f>
        <v>3차</v>
      </c>
      <c r="D13979" s="1" t="str">
        <f>"0027G81139"</f>
        <v>0027G81139</v>
      </c>
      <c r="E13979" s="1" t="s">
        <v>10</v>
      </c>
      <c r="F13979" s="1" t="str">
        <f>"10.11.140.74"</f>
        <v>10.11.140.74</v>
      </c>
      <c r="G13979" s="1" t="str">
        <f>"0027G811"</f>
        <v>0027G811</v>
      </c>
      <c r="H13979" s="1" t="str">
        <f>"성북간 4"</f>
        <v>성북간 4</v>
      </c>
      <c r="I13979" s="1" t="s">
        <v>8</v>
      </c>
      <c r="J13979" s="1" t="str">
        <f>"30/31"</f>
        <v>30/31</v>
      </c>
      <c r="K13979" s="1" t="str">
        <f t="shared" si="714"/>
        <v>2026-07-29 13:18:01</v>
      </c>
      <c r="L13979" s="1" t="str">
        <f>"2018-04-20 08:45:25"</f>
        <v>2018-04-20 08:45:25</v>
      </c>
      <c r="M13979" s="1" t="s">
        <v>2</v>
      </c>
      <c r="N13979" s="1" t="s">
        <v>38</v>
      </c>
      <c r="O13979" s="1" t="s">
        <v>46</v>
      </c>
    </row>
    <row r="13980" spans="2:15" x14ac:dyDescent="0.3">
      <c r="B13980" s="1" t="s">
        <v>19</v>
      </c>
      <c r="C13980" s="1" t="str">
        <f>"4차"</f>
        <v>4차</v>
      </c>
      <c r="D13980" s="1" t="str">
        <f>"0027G94241"</f>
        <v>0027G94241</v>
      </c>
      <c r="E13980" s="1" t="s">
        <v>10</v>
      </c>
      <c r="F13980" s="1" t="str">
        <f>"10.14.6.23"</f>
        <v>10.14.6.23</v>
      </c>
      <c r="G13980" s="1" t="str">
        <f>"0027G942"</f>
        <v>0027G942</v>
      </c>
      <c r="H13980" s="1" t="str">
        <f>"동구지 4L1"</f>
        <v>동구지 4L1</v>
      </c>
      <c r="I13980" s="1" t="s">
        <v>17</v>
      </c>
      <c r="J13980" s="1" t="str">
        <f>"32/53"</f>
        <v>32/53</v>
      </c>
      <c r="K13980" s="1" t="str">
        <f>"2026-07-29 13:18:02"</f>
        <v>2026-07-29 13:18:02</v>
      </c>
      <c r="L13980" s="1" t="str">
        <f>"2021-06-14 14:29:40"</f>
        <v>2021-06-14 14:29:40</v>
      </c>
      <c r="M13980" s="1" t="s">
        <v>3</v>
      </c>
      <c r="N13980" s="1" t="s">
        <v>38</v>
      </c>
      <c r="O13980" s="1" t="s">
        <v>46</v>
      </c>
    </row>
    <row r="13981" spans="2:15" x14ac:dyDescent="0.3">
      <c r="B13981" s="1" t="s">
        <v>19</v>
      </c>
      <c r="C13981" s="1" t="str">
        <f>"4차"</f>
        <v>4차</v>
      </c>
      <c r="D13981" s="1" t="str">
        <f>"0027G98141"</f>
        <v>0027G98141</v>
      </c>
      <c r="E13981" s="1" t="s">
        <v>10</v>
      </c>
      <c r="F13981" s="1" t="str">
        <f>"10.12.132.237"</f>
        <v>10.12.132.237</v>
      </c>
      <c r="G13981" s="1" t="str">
        <f>"0027G981"</f>
        <v>0027G981</v>
      </c>
      <c r="H13981" s="1" t="str">
        <f>"홍익간 7R3R3"</f>
        <v>홍익간 7R3R3</v>
      </c>
      <c r="I13981" s="1" t="s">
        <v>17</v>
      </c>
      <c r="J13981" s="1" t="str">
        <f>"54/60"</f>
        <v>54/60</v>
      </c>
      <c r="K13981" s="1" t="str">
        <f>"2026-07-29 13:18:03"</f>
        <v>2026-07-29 13:18:03</v>
      </c>
      <c r="L13981" s="1" t="str">
        <f>"2021-10-18 09:59:18"</f>
        <v>2021-10-18 09:59:18</v>
      </c>
      <c r="M13981" s="1" t="s">
        <v>0</v>
      </c>
      <c r="N13981" s="1" t="s">
        <v>38</v>
      </c>
      <c r="O13981" s="1" t="s">
        <v>46</v>
      </c>
    </row>
    <row r="13982" spans="2:15" x14ac:dyDescent="0.3">
      <c r="B13982" s="1" t="s">
        <v>19</v>
      </c>
      <c r="C13982" s="1" t="str">
        <f>"4차"</f>
        <v>4차</v>
      </c>
      <c r="D13982" s="1" t="str">
        <f>"0027H00245"</f>
        <v>0027H00245</v>
      </c>
      <c r="E13982" s="1" t="s">
        <v>10</v>
      </c>
      <c r="F13982" s="1" t="str">
        <f>"10.14.12.51"</f>
        <v>10.14.12.51</v>
      </c>
      <c r="G13982" s="1" t="str">
        <f>"0027H002"</f>
        <v>0027H002</v>
      </c>
      <c r="H13982" s="1" t="str">
        <f>"동소문 4"</f>
        <v>동소문 4</v>
      </c>
      <c r="I13982" s="1" t="s">
        <v>17</v>
      </c>
      <c r="J13982" s="1" t="str">
        <f>"20/20"</f>
        <v>20/20</v>
      </c>
      <c r="K13982" s="1" t="str">
        <f>"2026-07-29 13:18:03"</f>
        <v>2026-07-29 13:18:03</v>
      </c>
      <c r="L13982" s="1" t="str">
        <f>"2021-06-28 09:03:10"</f>
        <v>2021-06-28 09:03:10</v>
      </c>
      <c r="M13982" s="1" t="s">
        <v>3</v>
      </c>
      <c r="N13982" s="1" t="s">
        <v>38</v>
      </c>
      <c r="O13982" s="1" t="s">
        <v>46</v>
      </c>
    </row>
    <row r="13983" spans="2:15" x14ac:dyDescent="0.3">
      <c r="B13983" s="1" t="s">
        <v>19</v>
      </c>
      <c r="C13983" s="1" t="s">
        <v>16</v>
      </c>
      <c r="D13983" s="1" t="str">
        <f>"0027H02141"</f>
        <v>0027H02141</v>
      </c>
      <c r="E13983" s="1" t="s">
        <v>10</v>
      </c>
      <c r="F13983" s="1" t="str">
        <f>"10.14.4.129"</f>
        <v>10.14.4.129</v>
      </c>
      <c r="G13983" s="1" t="str">
        <f>"0027H021"</f>
        <v>0027H021</v>
      </c>
      <c r="H13983" s="1" t="str">
        <f>"동미간 4"</f>
        <v>동미간 4</v>
      </c>
      <c r="I13983" s="1" t="s">
        <v>17</v>
      </c>
      <c r="J13983" s="1" t="str">
        <f>"39/53"</f>
        <v>39/53</v>
      </c>
      <c r="K13983" s="1" t="str">
        <f>"2026-07-29 13:18:01"</f>
        <v>2026-07-29 13:18:01</v>
      </c>
      <c r="L13983" s="1" t="str">
        <f>"2022-11-09 09:41:55"</f>
        <v>2022-11-09 09:41:55</v>
      </c>
      <c r="M13983" s="1" t="s">
        <v>3</v>
      </c>
      <c r="N13983" s="1" t="s">
        <v>38</v>
      </c>
      <c r="O13983" s="1" t="s">
        <v>46</v>
      </c>
    </row>
    <row r="13984" spans="2:15" x14ac:dyDescent="0.3">
      <c r="B13984" s="1" t="s">
        <v>19</v>
      </c>
      <c r="C13984" s="1" t="str">
        <f>"5-2차"</f>
        <v>5-2차</v>
      </c>
      <c r="D13984" s="1" t="str">
        <f>"0027H0445M"</f>
        <v>0027H0445M</v>
      </c>
      <c r="E13984" s="1" t="s">
        <v>10</v>
      </c>
      <c r="F13984" s="1" t="str">
        <f>"fde1:103:4:59ef:0:0:0:2"</f>
        <v>fde1:103:4:59ef:0:0:0:2</v>
      </c>
      <c r="G13984" s="1" t="str">
        <f>"0027H044"</f>
        <v>0027H044</v>
      </c>
      <c r="H13984" s="1" t="str">
        <f>"동구지 5R1"</f>
        <v>동구지 5R1</v>
      </c>
      <c r="I13984" s="1" t="s">
        <v>15</v>
      </c>
      <c r="J13984" s="1" t="str">
        <f>"45/45"</f>
        <v>45/45</v>
      </c>
      <c r="K13984" s="1" t="str">
        <f>"2026-07-29 14:20:00"</f>
        <v>2026-07-29 14:20:00</v>
      </c>
      <c r="L13984" s="1" t="str">
        <f>"2023-09-13 10:53:32"</f>
        <v>2023-09-13 10:53:32</v>
      </c>
      <c r="M13984" s="1" t="s">
        <v>4</v>
      </c>
      <c r="N13984" s="1" t="s">
        <v>38</v>
      </c>
      <c r="O13984" s="1" t="s">
        <v>46</v>
      </c>
    </row>
    <row r="13985" spans="2:15" x14ac:dyDescent="0.3">
      <c r="B13985" s="1" t="s">
        <v>19</v>
      </c>
      <c r="C13985" s="1" t="str">
        <f>"5-2차"</f>
        <v>5-2차</v>
      </c>
      <c r="D13985" s="1" t="str">
        <f>"0027H0635S"</f>
        <v>0027H0635S</v>
      </c>
      <c r="E13985" s="1" t="s">
        <v>10</v>
      </c>
      <c r="F13985" s="1" t="str">
        <f>"fde1:103:4:5992:0:0:0:2"</f>
        <v>fde1:103:4:5992:0:0:0:2</v>
      </c>
      <c r="G13985" s="1" t="str">
        <f>"0027H063"</f>
        <v>0027H063</v>
      </c>
      <c r="H13985" s="1" t="str">
        <f>"동구지 8"</f>
        <v>동구지 8</v>
      </c>
      <c r="I13985" s="1" t="s">
        <v>15</v>
      </c>
      <c r="J13985" s="1" t="str">
        <f>"29/29"</f>
        <v>29/29</v>
      </c>
      <c r="K13985" s="1" t="str">
        <f>"2026-07-29 14:20:05"</f>
        <v>2026-07-29 14:20:05</v>
      </c>
      <c r="L13985" s="1" t="str">
        <f>"2023-09-13 11:12:10"</f>
        <v>2023-09-13 11:12:10</v>
      </c>
      <c r="M13985" s="1" t="s">
        <v>4</v>
      </c>
      <c r="N13985" s="1" t="s">
        <v>38</v>
      </c>
      <c r="O13985" s="1" t="s">
        <v>46</v>
      </c>
    </row>
    <row r="13986" spans="2:15" x14ac:dyDescent="0.3">
      <c r="B13986" s="1" t="s">
        <v>19</v>
      </c>
      <c r="C13986" s="1" t="str">
        <f>"4차"</f>
        <v>4차</v>
      </c>
      <c r="D13986" s="1" t="str">
        <f>"0027H13141"</f>
        <v>0027H13141</v>
      </c>
      <c r="E13986" s="1" t="s">
        <v>10</v>
      </c>
      <c r="F13986" s="1" t="str">
        <f>"10.14.5.9"</f>
        <v>10.14.5.9</v>
      </c>
      <c r="G13986" s="1" t="str">
        <f>"0027H131"</f>
        <v>0027H131</v>
      </c>
      <c r="H13986" s="1" t="str">
        <f>"동미간 10L4L5"</f>
        <v>동미간 10L4L5</v>
      </c>
      <c r="I13986" s="1" t="s">
        <v>17</v>
      </c>
      <c r="J13986" s="1" t="str">
        <f>"19/19"</f>
        <v>19/19</v>
      </c>
      <c r="K13986" s="1" t="str">
        <f>"2026-07-29 13:18:01"</f>
        <v>2026-07-29 13:18:01</v>
      </c>
      <c r="L13986" s="1" t="str">
        <f>"2021-06-14 14:58:59"</f>
        <v>2021-06-14 14:58:59</v>
      </c>
      <c r="M13986" s="1" t="s">
        <v>3</v>
      </c>
      <c r="N13986" s="1" t="s">
        <v>38</v>
      </c>
      <c r="O13986" s="1" t="s">
        <v>46</v>
      </c>
    </row>
    <row r="13987" spans="2:15" x14ac:dyDescent="0.3">
      <c r="B13987" s="1" t="s">
        <v>19</v>
      </c>
      <c r="C13987" s="1" t="str">
        <f>"4차"</f>
        <v>4차</v>
      </c>
      <c r="D13987" s="1" t="str">
        <f>"0027H17241"</f>
        <v>0027H17241</v>
      </c>
      <c r="E13987" s="1" t="s">
        <v>10</v>
      </c>
      <c r="F13987" s="1" t="str">
        <f>"10.14.3.7"</f>
        <v>10.14.3.7</v>
      </c>
      <c r="G13987" s="1" t="str">
        <f>"0027H172"</f>
        <v>0027H172</v>
      </c>
      <c r="H13987" s="1" t="str">
        <f>"동구지 10"</f>
        <v>동구지 10</v>
      </c>
      <c r="I13987" s="1" t="s">
        <v>17</v>
      </c>
      <c r="J13987" s="1" t="str">
        <f>"27/27"</f>
        <v>27/27</v>
      </c>
      <c r="K13987" s="1" t="str">
        <f>"2026-07-29 13:18:02"</f>
        <v>2026-07-29 13:18:02</v>
      </c>
      <c r="L13987" s="1" t="str">
        <f>"2021-06-14 13:58:06"</f>
        <v>2021-06-14 13:58:06</v>
      </c>
      <c r="M13987" s="1" t="s">
        <v>3</v>
      </c>
      <c r="N13987" s="1" t="s">
        <v>38</v>
      </c>
      <c r="O13987" s="1" t="s">
        <v>46</v>
      </c>
    </row>
    <row r="13988" spans="2:15" x14ac:dyDescent="0.3">
      <c r="B13988" s="1" t="s">
        <v>19</v>
      </c>
      <c r="C13988" s="1" t="str">
        <f>"4차"</f>
        <v>4차</v>
      </c>
      <c r="D13988" s="1" t="str">
        <f>"0027H32345"</f>
        <v>0027H32345</v>
      </c>
      <c r="E13988" s="1" t="s">
        <v>10</v>
      </c>
      <c r="F13988" s="1" t="str">
        <f>"10.14.6.51"</f>
        <v>10.14.6.51</v>
      </c>
      <c r="G13988" s="1" t="str">
        <f>"0027H323"</f>
        <v>0027H323</v>
      </c>
      <c r="H13988" s="1" t="str">
        <f>"동소문 48"</f>
        <v>동소문 48</v>
      </c>
      <c r="I13988" s="1" t="s">
        <v>17</v>
      </c>
      <c r="J13988" s="1" t="str">
        <f>"37/38"</f>
        <v>37/38</v>
      </c>
      <c r="K13988" s="1" t="str">
        <f>"2026-07-29 13:18:01"</f>
        <v>2026-07-29 13:18:01</v>
      </c>
      <c r="L13988" s="1" t="str">
        <f>"2021-06-28 09:35:36"</f>
        <v>2021-06-28 09:35:36</v>
      </c>
      <c r="M13988" s="1" t="s">
        <v>3</v>
      </c>
      <c r="N13988" s="1" t="s">
        <v>38</v>
      </c>
      <c r="O13988" s="1" t="s">
        <v>46</v>
      </c>
    </row>
    <row r="13989" spans="2:15" x14ac:dyDescent="0.3">
      <c r="B13989" s="1" t="s">
        <v>19</v>
      </c>
      <c r="C13989" s="1" t="str">
        <f>"4차"</f>
        <v>4차</v>
      </c>
      <c r="D13989" s="1" t="str">
        <f>"0027H33341"</f>
        <v>0027H33341</v>
      </c>
      <c r="E13989" s="1" t="s">
        <v>10</v>
      </c>
      <c r="F13989" s="1" t="str">
        <f>"10.12.131.13"</f>
        <v>10.12.131.13</v>
      </c>
      <c r="G13989" s="1" t="str">
        <f>"0027H333"</f>
        <v>0027H333</v>
      </c>
      <c r="H13989" s="1" t="str">
        <f>"동미간 7"</f>
        <v>동미간 7</v>
      </c>
      <c r="I13989" s="1" t="s">
        <v>17</v>
      </c>
      <c r="J13989" s="1" t="str">
        <f>"24/39"</f>
        <v>24/39</v>
      </c>
      <c r="K13989" s="1" t="str">
        <f>"2026-07-29 13:18:02"</f>
        <v>2026-07-29 13:18:02</v>
      </c>
      <c r="L13989" s="1" t="str">
        <f>"2021-10-15 13:06:56"</f>
        <v>2021-10-15 13:06:56</v>
      </c>
      <c r="M13989" s="1" t="s">
        <v>0</v>
      </c>
      <c r="N13989" s="1" t="s">
        <v>38</v>
      </c>
      <c r="O13989" s="1" t="s">
        <v>46</v>
      </c>
    </row>
    <row r="13990" spans="2:15" x14ac:dyDescent="0.3">
      <c r="B13990" s="1" t="s">
        <v>19</v>
      </c>
      <c r="C13990" s="1" t="str">
        <f>"4차"</f>
        <v>4차</v>
      </c>
      <c r="D13990" s="1" t="str">
        <f>"0027H33645"</f>
        <v>0027H33645</v>
      </c>
      <c r="E13990" s="1" t="s">
        <v>10</v>
      </c>
      <c r="F13990" s="1" t="str">
        <f>"10.14.5.51"</f>
        <v>10.14.5.51</v>
      </c>
      <c r="G13990" s="1" t="str">
        <f>"0027H336"</f>
        <v>0027H336</v>
      </c>
      <c r="H13990" s="1" t="str">
        <f>"동소문 7"</f>
        <v>동소문 7</v>
      </c>
      <c r="I13990" s="1" t="s">
        <v>17</v>
      </c>
      <c r="J13990" s="1" t="str">
        <f>"13/17"</f>
        <v>13/17</v>
      </c>
      <c r="K13990" s="1" t="str">
        <f>"2026-07-29 13:18:02"</f>
        <v>2026-07-29 13:18:02</v>
      </c>
      <c r="L13990" s="1" t="str">
        <f>"2021-06-28 08:31:01"</f>
        <v>2021-06-28 08:31:01</v>
      </c>
      <c r="M13990" s="1" t="s">
        <v>3</v>
      </c>
      <c r="N13990" s="1" t="s">
        <v>38</v>
      </c>
      <c r="O13990" s="1" t="s">
        <v>46</v>
      </c>
    </row>
    <row r="13991" spans="2:15" x14ac:dyDescent="0.3">
      <c r="B13991" s="1" t="s">
        <v>19</v>
      </c>
      <c r="C13991" s="1" t="str">
        <f>"5-1차"</f>
        <v>5-1차</v>
      </c>
      <c r="D13991" s="1" t="str">
        <f>"0027H3425S"</f>
        <v>0027H3425S</v>
      </c>
      <c r="E13991" s="1" t="s">
        <v>10</v>
      </c>
      <c r="F13991" s="1" t="str">
        <f>"fde3:102:1410:6200:0:0:0:3"</f>
        <v>fde3:102:1410:6200:0:0:0:3</v>
      </c>
      <c r="G13991" s="1" t="str">
        <f>"0027H342"</f>
        <v>0027H342</v>
      </c>
      <c r="H13991" s="1" t="str">
        <f>"동미간 10L4L1L2"</f>
        <v>동미간 10L4L1L2</v>
      </c>
      <c r="I13991" s="1" t="s">
        <v>15</v>
      </c>
      <c r="J13991" s="1" t="str">
        <f>"50/52"</f>
        <v>50/52</v>
      </c>
      <c r="K13991" s="1" t="str">
        <f>"2026-07-29 02:20:06"</f>
        <v>2026-07-29 02:20:06</v>
      </c>
      <c r="L13991" s="1" t="str">
        <f>"2022-11-15 16:43:12"</f>
        <v>2022-11-15 16:43:12</v>
      </c>
      <c r="M13991" s="1" t="s">
        <v>45</v>
      </c>
      <c r="N13991" s="1" t="s">
        <v>38</v>
      </c>
      <c r="O13991" s="1" t="s">
        <v>46</v>
      </c>
    </row>
    <row r="13992" spans="2:15" x14ac:dyDescent="0.3">
      <c r="B13992" s="1" t="s">
        <v>19</v>
      </c>
      <c r="C13992" s="1" t="str">
        <f>"5-1차"</f>
        <v>5-1차</v>
      </c>
      <c r="D13992" s="1" t="str">
        <f>"0027H3535M"</f>
        <v>0027H3535M</v>
      </c>
      <c r="E13992" s="1" t="s">
        <v>10</v>
      </c>
      <c r="F13992" s="1" t="str">
        <f>"fde3:102:1410:6200:0:0:0:4"</f>
        <v>fde3:102:1410:6200:0:0:0:4</v>
      </c>
      <c r="G13992" s="1" t="str">
        <f>"0027H353"</f>
        <v>0027H353</v>
      </c>
      <c r="H13992" s="1" t="str">
        <f>"동미간 10L3"</f>
        <v>동미간 10L3</v>
      </c>
      <c r="I13992" s="1" t="s">
        <v>15</v>
      </c>
      <c r="J13992" s="1" t="str">
        <f>"30/30"</f>
        <v>30/30</v>
      </c>
      <c r="K13992" s="1" t="str">
        <f>"2026-07-29 14:20:01"</f>
        <v>2026-07-29 14:20:01</v>
      </c>
      <c r="L13992" s="1" t="str">
        <f>"2022-12-23 11:24:49"</f>
        <v>2022-12-23 11:24:49</v>
      </c>
      <c r="M13992" s="1" t="s">
        <v>45</v>
      </c>
      <c r="N13992" s="1" t="s">
        <v>38</v>
      </c>
      <c r="O13992" s="1" t="s">
        <v>46</v>
      </c>
    </row>
    <row r="13993" spans="2:15" x14ac:dyDescent="0.3">
      <c r="B13993" s="1" t="s">
        <v>19</v>
      </c>
      <c r="C13993" s="1" t="str">
        <f>"4차"</f>
        <v>4차</v>
      </c>
      <c r="D13993" s="1" t="str">
        <f>"0027H42145"</f>
        <v>0027H42145</v>
      </c>
      <c r="E13993" s="1" t="s">
        <v>10</v>
      </c>
      <c r="F13993" s="1" t="str">
        <f>"10.14.10.1"</f>
        <v>10.14.10.1</v>
      </c>
      <c r="G13993" s="1" t="str">
        <f>"0027H421"</f>
        <v>0027H421</v>
      </c>
      <c r="H13993" s="1" t="str">
        <f>"동소문 49"</f>
        <v>동소문 49</v>
      </c>
      <c r="I13993" s="1" t="s">
        <v>17</v>
      </c>
      <c r="J13993" s="1" t="str">
        <f>"10/10"</f>
        <v>10/10</v>
      </c>
      <c r="K13993" s="1" t="str">
        <f>"2026-07-29 13:18:02"</f>
        <v>2026-07-29 13:18:02</v>
      </c>
      <c r="L13993" s="1" t="str">
        <f>"2021-06-28 09:59:07"</f>
        <v>2021-06-28 09:59:07</v>
      </c>
      <c r="M13993" s="1" t="s">
        <v>3</v>
      </c>
      <c r="N13993" s="1" t="s">
        <v>38</v>
      </c>
      <c r="O13993" s="1" t="s">
        <v>46</v>
      </c>
    </row>
    <row r="13994" spans="2:15" x14ac:dyDescent="0.3">
      <c r="B13994" s="1" t="s">
        <v>19</v>
      </c>
      <c r="C13994" s="1" t="str">
        <f>"4차"</f>
        <v>4차</v>
      </c>
      <c r="D13994" s="1" t="str">
        <f>"0027H53145"</f>
        <v>0027H53145</v>
      </c>
      <c r="E13994" s="1" t="s">
        <v>10</v>
      </c>
      <c r="F13994" s="1" t="str">
        <f>"10.14.14.52"</f>
        <v>10.14.14.52</v>
      </c>
      <c r="G13994" s="1" t="str">
        <f>"0027H531"</f>
        <v>0027H531</v>
      </c>
      <c r="H13994" s="1" t="str">
        <f>"동소문 9"</f>
        <v>동소문 9</v>
      </c>
      <c r="I13994" s="1" t="s">
        <v>17</v>
      </c>
      <c r="J13994" s="1" t="str">
        <f>"25/25"</f>
        <v>25/25</v>
      </c>
      <c r="K13994" s="1" t="str">
        <f>"2026-07-29 13:18:01"</f>
        <v>2026-07-29 13:18:01</v>
      </c>
      <c r="L13994" s="1" t="str">
        <f>"2021-06-25 15:18:50"</f>
        <v>2021-06-25 15:18:50</v>
      </c>
      <c r="M13994" s="1" t="s">
        <v>3</v>
      </c>
      <c r="N13994" s="1" t="s">
        <v>38</v>
      </c>
      <c r="O13994" s="1" t="s">
        <v>46</v>
      </c>
    </row>
    <row r="13995" spans="2:15" x14ac:dyDescent="0.3">
      <c r="B13995" s="1" t="s">
        <v>19</v>
      </c>
      <c r="C13995" s="1" t="str">
        <f>"5-2차"</f>
        <v>5-2차</v>
      </c>
      <c r="D13995" s="1" t="str">
        <f>"0027H5435M"</f>
        <v>0027H5435M</v>
      </c>
      <c r="E13995" s="1" t="s">
        <v>10</v>
      </c>
      <c r="F13995" s="1" t="str">
        <f>"fde3:102:1410:6100:0:0:0:7"</f>
        <v>fde3:102:1410:6100:0:0:0:7</v>
      </c>
      <c r="G13995" s="1" t="str">
        <f>"0027H543"</f>
        <v>0027H543</v>
      </c>
      <c r="H13995" s="1" t="str">
        <f>"동미간 11"</f>
        <v>동미간 11</v>
      </c>
      <c r="I13995" s="1" t="s">
        <v>15</v>
      </c>
      <c r="J13995" s="1" t="str">
        <f>"79/88"</f>
        <v>79/88</v>
      </c>
      <c r="K13995" s="1" t="str">
        <f>"2026-07-29 14:20:06"</f>
        <v>2026-07-29 14:20:06</v>
      </c>
      <c r="L13995" s="1" t="str">
        <f>"2023-06-19 18:33:02"</f>
        <v>2023-06-19 18:33:02</v>
      </c>
      <c r="M13995" s="1" t="s">
        <v>45</v>
      </c>
      <c r="N13995" s="1" t="s">
        <v>38</v>
      </c>
      <c r="O13995" s="1" t="s">
        <v>46</v>
      </c>
    </row>
    <row r="13996" spans="2:15" x14ac:dyDescent="0.3">
      <c r="B13996" s="1" t="s">
        <v>19</v>
      </c>
      <c r="C13996" s="1" t="str">
        <f>"6차"</f>
        <v>6차</v>
      </c>
      <c r="D13996" s="1" t="str">
        <f>"0027H6126S"</f>
        <v>0027H6126S</v>
      </c>
      <c r="E13996" s="1" t="s">
        <v>10</v>
      </c>
      <c r="F13996" s="1" t="str">
        <f>"fde1:103:4:9279:0:0:0:2"</f>
        <v>fde1:103:4:9279:0:0:0:2</v>
      </c>
      <c r="G13996" s="1" t="str">
        <f>"0027H612"</f>
        <v>0027H612</v>
      </c>
      <c r="H13996" s="1" t="str">
        <f>"보문지 7R2R1"</f>
        <v>보문지 7R2R1</v>
      </c>
      <c r="I13996" s="1" t="s">
        <v>15</v>
      </c>
      <c r="J13996" s="1" t="str">
        <f>"30/32"</f>
        <v>30/32</v>
      </c>
      <c r="K13996" s="1" t="str">
        <f>"2026-07-29 14:20:01"</f>
        <v>2026-07-29 14:20:01</v>
      </c>
      <c r="L13996" s="1" t="str">
        <f>"2024-10-29 17:11:04"</f>
        <v>2024-10-29 17:11:04</v>
      </c>
      <c r="M13996" s="1" t="s">
        <v>4</v>
      </c>
      <c r="N13996" s="1" t="s">
        <v>38</v>
      </c>
      <c r="O13996" s="1" t="s">
        <v>46</v>
      </c>
    </row>
    <row r="13997" spans="2:15" x14ac:dyDescent="0.3">
      <c r="B13997" s="1" t="s">
        <v>19</v>
      </c>
      <c r="C13997" s="1" t="str">
        <f>"4차"</f>
        <v>4차</v>
      </c>
      <c r="D13997" s="1" t="str">
        <f>"0027H61344"</f>
        <v>0027H61344</v>
      </c>
      <c r="E13997" s="1" t="s">
        <v>10</v>
      </c>
      <c r="F13997" s="1" t="str">
        <f>"10.12.138.115"</f>
        <v>10.12.138.115</v>
      </c>
      <c r="G13997" s="1" t="str">
        <f>"0027H613"</f>
        <v>0027H613</v>
      </c>
      <c r="H13997" s="1" t="str">
        <f>"보문지 7R2"</f>
        <v>보문지 7R2</v>
      </c>
      <c r="I13997" s="1" t="s">
        <v>8</v>
      </c>
      <c r="J13997" s="1" t="str">
        <f>"25/25"</f>
        <v>25/25</v>
      </c>
      <c r="K13997" s="1" t="str">
        <f>"2026-07-29 13:18:01"</f>
        <v>2026-07-29 13:18:01</v>
      </c>
      <c r="L13997" s="1" t="str">
        <f>"2020-01-28 15:23:02"</f>
        <v>2020-01-28 15:23:02</v>
      </c>
      <c r="M13997" s="1" t="s">
        <v>0</v>
      </c>
      <c r="N13997" s="1" t="s">
        <v>38</v>
      </c>
      <c r="O13997" s="1" t="s">
        <v>46</v>
      </c>
    </row>
    <row r="13998" spans="2:15" x14ac:dyDescent="0.3">
      <c r="B13998" s="1" t="s">
        <v>19</v>
      </c>
      <c r="C13998" s="1" t="str">
        <f>"5-1차"</f>
        <v>5-1차</v>
      </c>
      <c r="D13998" s="1" t="str">
        <f>"0027H6515M"</f>
        <v>0027H6515M</v>
      </c>
      <c r="E13998" s="1" t="s">
        <v>10</v>
      </c>
      <c r="F13998" s="1" t="str">
        <f>"fde3:102:1410:6200:0:0:0:5"</f>
        <v>fde3:102:1410:6200:0:0:0:5</v>
      </c>
      <c r="G13998" s="1" t="str">
        <f>"0027H651"</f>
        <v>0027H651</v>
      </c>
      <c r="H13998" s="1" t="str">
        <f>"동미간 13"</f>
        <v>동미간 13</v>
      </c>
      <c r="I13998" s="1" t="s">
        <v>15</v>
      </c>
      <c r="J13998" s="1" t="str">
        <f>"48/49"</f>
        <v>48/49</v>
      </c>
      <c r="K13998" s="1" t="str">
        <f>"2026-07-29 02:20:06"</f>
        <v>2026-07-29 02:20:06</v>
      </c>
      <c r="L13998" s="1" t="str">
        <f>"2022-11-15 16:41:57"</f>
        <v>2022-11-15 16:41:57</v>
      </c>
      <c r="M13998" s="1" t="s">
        <v>45</v>
      </c>
      <c r="N13998" s="1" t="s">
        <v>38</v>
      </c>
      <c r="O13998" s="1" t="s">
        <v>46</v>
      </c>
    </row>
    <row r="13999" spans="2:15" x14ac:dyDescent="0.3">
      <c r="B13999" s="1" t="s">
        <v>19</v>
      </c>
      <c r="C13999" s="1" t="str">
        <f>"4차"</f>
        <v>4차</v>
      </c>
      <c r="D13999" s="1" t="str">
        <f>"0027H70244"</f>
        <v>0027H70244</v>
      </c>
      <c r="E13999" s="1" t="s">
        <v>10</v>
      </c>
      <c r="F13999" s="1" t="str">
        <f>"10.107.251.22"</f>
        <v>10.107.251.22</v>
      </c>
      <c r="G13999" s="1" t="str">
        <f>"0027H702"</f>
        <v>0027H702</v>
      </c>
      <c r="H13999" s="1" t="str">
        <f>"한성간 16"</f>
        <v>한성간 16</v>
      </c>
      <c r="I13999" s="1" t="s">
        <v>8</v>
      </c>
      <c r="J13999" s="1" t="str">
        <f>"23/23"</f>
        <v>23/23</v>
      </c>
      <c r="K13999" s="1" t="str">
        <f>"2026-07-29 13:18:01"</f>
        <v>2026-07-29 13:18:01</v>
      </c>
      <c r="L13999" s="1" t="str">
        <f>"2019-12-13 12:09:18"</f>
        <v>2019-12-13 12:09:18</v>
      </c>
      <c r="M13999" s="1" t="s">
        <v>45</v>
      </c>
      <c r="N13999" s="1" t="s">
        <v>38</v>
      </c>
      <c r="O13999" s="1" t="s">
        <v>46</v>
      </c>
    </row>
    <row r="14000" spans="2:15" x14ac:dyDescent="0.3">
      <c r="B14000" s="1" t="s">
        <v>19</v>
      </c>
      <c r="C14000" s="1" t="str">
        <f>"4차"</f>
        <v>4차</v>
      </c>
      <c r="D14000" s="1" t="str">
        <f>"0027H71144"</f>
        <v>0027H71144</v>
      </c>
      <c r="E14000" s="1" t="s">
        <v>10</v>
      </c>
      <c r="F14000" s="1" t="str">
        <f>"10.12.137.245"</f>
        <v>10.12.137.245</v>
      </c>
      <c r="G14000" s="1" t="str">
        <f>"0027H711"</f>
        <v>0027H711</v>
      </c>
      <c r="H14000" s="1" t="str">
        <f>"보문지 7R3L1"</f>
        <v>보문지 7R3L1</v>
      </c>
      <c r="I14000" s="1" t="s">
        <v>8</v>
      </c>
      <c r="J14000" s="1" t="str">
        <f>"30/30"</f>
        <v>30/30</v>
      </c>
      <c r="K14000" s="1" t="str">
        <f>"2026-07-29 13:18:02"</f>
        <v>2026-07-29 13:18:02</v>
      </c>
      <c r="L14000" s="1" t="str">
        <f>"2020-01-14 15:41:12"</f>
        <v>2020-01-14 15:41:12</v>
      </c>
      <c r="M14000" s="1" t="s">
        <v>0</v>
      </c>
      <c r="N14000" s="1" t="s">
        <v>38</v>
      </c>
      <c r="O14000" s="1" t="s">
        <v>46</v>
      </c>
    </row>
    <row r="14001" spans="2:15" x14ac:dyDescent="0.3">
      <c r="B14001" s="1" t="s">
        <v>19</v>
      </c>
      <c r="C14001" s="1" t="str">
        <f>"5-1차"</f>
        <v>5-1차</v>
      </c>
      <c r="D14001" s="1" t="str">
        <f>"0027H7215M"</f>
        <v>0027H7215M</v>
      </c>
      <c r="E14001" s="1" t="s">
        <v>10</v>
      </c>
      <c r="F14001" s="1" t="str">
        <f>"fde2:104:0:5b:0:0:0:2"</f>
        <v>fde2:104:0:5b:0:0:0:2</v>
      </c>
      <c r="G14001" s="1" t="str">
        <f>"0027H721"</f>
        <v>0027H721</v>
      </c>
      <c r="H14001" s="1" t="str">
        <f>"보문지 7"</f>
        <v>보문지 7</v>
      </c>
      <c r="I14001" s="1" t="s">
        <v>15</v>
      </c>
      <c r="J14001" s="1" t="str">
        <f>"37/40"</f>
        <v>37/40</v>
      </c>
      <c r="K14001" s="1" t="str">
        <f>"2026-07-29 14:20:06"</f>
        <v>2026-07-29 14:20:06</v>
      </c>
      <c r="L14001" s="1" t="str">
        <f>"2022-08-10 16:24:34"</f>
        <v>2022-08-10 16:24:34</v>
      </c>
      <c r="M14001" s="1" t="s">
        <v>42</v>
      </c>
      <c r="N14001" s="1" t="s">
        <v>38</v>
      </c>
      <c r="O14001" s="1" t="s">
        <v>46</v>
      </c>
    </row>
    <row r="14002" spans="2:15" x14ac:dyDescent="0.3">
      <c r="B14002" s="1" t="s">
        <v>19</v>
      </c>
      <c r="C14002" s="1" t="str">
        <f t="shared" ref="C14002:C14039" si="715">"4차"</f>
        <v>4차</v>
      </c>
      <c r="D14002" s="1" t="str">
        <f>"0027H74445"</f>
        <v>0027H74445</v>
      </c>
      <c r="E14002" s="1" t="s">
        <v>10</v>
      </c>
      <c r="F14002" s="1" t="str">
        <f>"10.14.11.51"</f>
        <v>10.14.11.51</v>
      </c>
      <c r="G14002" s="1" t="str">
        <f>"0027H744"</f>
        <v>0027H744</v>
      </c>
      <c r="H14002" s="1" t="str">
        <f>"동소문 52"</f>
        <v>동소문 52</v>
      </c>
      <c r="I14002" s="1" t="s">
        <v>17</v>
      </c>
      <c r="J14002" s="1" t="str">
        <f>"29/38"</f>
        <v>29/38</v>
      </c>
      <c r="K14002" s="1" t="str">
        <f>"2026-07-29 13:18:02"</f>
        <v>2026-07-29 13:18:02</v>
      </c>
      <c r="L14002" s="1" t="str">
        <f>"2021-06-28 10:31:10"</f>
        <v>2021-06-28 10:31:10</v>
      </c>
      <c r="M14002" s="1" t="s">
        <v>3</v>
      </c>
      <c r="N14002" s="1" t="s">
        <v>38</v>
      </c>
      <c r="O14002" s="1" t="s">
        <v>46</v>
      </c>
    </row>
    <row r="14003" spans="2:15" x14ac:dyDescent="0.3">
      <c r="B14003" s="1" t="s">
        <v>19</v>
      </c>
      <c r="C14003" s="1" t="str">
        <f t="shared" si="715"/>
        <v>4차</v>
      </c>
      <c r="D14003" s="1" t="str">
        <f>"0027H76341"</f>
        <v>0027H76341</v>
      </c>
      <c r="E14003" s="1" t="s">
        <v>10</v>
      </c>
      <c r="F14003" s="1" t="str">
        <f>"10.14.11.35"</f>
        <v>10.14.11.35</v>
      </c>
      <c r="G14003" s="1" t="str">
        <f>"0027H763"</f>
        <v>0027H763</v>
      </c>
      <c r="H14003" s="1" t="str">
        <f>"동미간 16H1"</f>
        <v>동미간 16H1</v>
      </c>
      <c r="I14003" s="1" t="s">
        <v>17</v>
      </c>
      <c r="J14003" s="1" t="str">
        <f>"23/34"</f>
        <v>23/34</v>
      </c>
      <c r="K14003" s="1" t="str">
        <f>"2026-07-29 13:18:02"</f>
        <v>2026-07-29 13:18:02</v>
      </c>
      <c r="L14003" s="1" t="str">
        <f>"2021-10-15 13:43:31"</f>
        <v>2021-10-15 13:43:31</v>
      </c>
      <c r="M14003" s="1" t="s">
        <v>3</v>
      </c>
      <c r="N14003" s="1" t="s">
        <v>38</v>
      </c>
      <c r="O14003" s="1" t="s">
        <v>46</v>
      </c>
    </row>
    <row r="14004" spans="2:15" x14ac:dyDescent="0.3">
      <c r="B14004" s="1" t="s">
        <v>19</v>
      </c>
      <c r="C14004" s="1" t="str">
        <f t="shared" si="715"/>
        <v>4차</v>
      </c>
      <c r="D14004" s="1" t="str">
        <f>"0027H77141"</f>
        <v>0027H77141</v>
      </c>
      <c r="E14004" s="1" t="s">
        <v>10</v>
      </c>
      <c r="F14004" s="1" t="str">
        <f>"10.12.130.122"</f>
        <v>10.12.130.122</v>
      </c>
      <c r="G14004" s="1" t="str">
        <f>"0027H771"</f>
        <v>0027H771</v>
      </c>
      <c r="H14004" s="1" t="str">
        <f>"동미간 10L10R2"</f>
        <v>동미간 10L10R2</v>
      </c>
      <c r="I14004" s="1" t="s">
        <v>17</v>
      </c>
      <c r="J14004" s="1" t="str">
        <f>"53/54"</f>
        <v>53/54</v>
      </c>
      <c r="K14004" s="1" t="str">
        <f t="shared" ref="K14004:K14014" si="716">"2026-07-29 13:18:01"</f>
        <v>2026-07-29 13:18:01</v>
      </c>
      <c r="L14004" s="1" t="str">
        <f>"2021-06-14 14:57:06"</f>
        <v>2021-06-14 14:57:06</v>
      </c>
      <c r="M14004" s="1" t="s">
        <v>0</v>
      </c>
      <c r="N14004" s="1" t="s">
        <v>38</v>
      </c>
      <c r="O14004" s="1" t="s">
        <v>46</v>
      </c>
    </row>
    <row r="14005" spans="2:15" x14ac:dyDescent="0.3">
      <c r="B14005" s="1" t="s">
        <v>19</v>
      </c>
      <c r="C14005" s="1" t="str">
        <f t="shared" si="715"/>
        <v>4차</v>
      </c>
      <c r="D14005" s="1" t="str">
        <f>"0027H80144"</f>
        <v>0027H80144</v>
      </c>
      <c r="E14005" s="1" t="s">
        <v>10</v>
      </c>
      <c r="F14005" s="1" t="str">
        <f>"10.107.252.132"</f>
        <v>10.107.252.132</v>
      </c>
      <c r="G14005" s="1" t="str">
        <f>"0027H801"</f>
        <v>0027H801</v>
      </c>
      <c r="H14005" s="1" t="str">
        <f>"보문지 7R4L2"</f>
        <v>보문지 7R4L2</v>
      </c>
      <c r="I14005" s="1" t="s">
        <v>8</v>
      </c>
      <c r="J14005" s="1" t="str">
        <f>"52/53"</f>
        <v>52/53</v>
      </c>
      <c r="K14005" s="1" t="str">
        <f t="shared" si="716"/>
        <v>2026-07-29 13:18:01</v>
      </c>
      <c r="L14005" s="1" t="str">
        <f>"2019-12-13 08:58:07"</f>
        <v>2019-12-13 08:58:07</v>
      </c>
      <c r="M14005" s="1" t="s">
        <v>45</v>
      </c>
      <c r="N14005" s="1" t="s">
        <v>38</v>
      </c>
      <c r="O14005" s="1" t="s">
        <v>46</v>
      </c>
    </row>
    <row r="14006" spans="2:15" x14ac:dyDescent="0.3">
      <c r="B14006" s="1" t="s">
        <v>19</v>
      </c>
      <c r="C14006" s="1" t="str">
        <f t="shared" si="715"/>
        <v>4차</v>
      </c>
      <c r="D14006" s="1" t="str">
        <f>"0027H80444"</f>
        <v>0027H80444</v>
      </c>
      <c r="E14006" s="1" t="s">
        <v>10</v>
      </c>
      <c r="F14006" s="1" t="str">
        <f>"10.107.251.23"</f>
        <v>10.107.251.23</v>
      </c>
      <c r="G14006" s="1" t="str">
        <f>"0027H804"</f>
        <v>0027H804</v>
      </c>
      <c r="H14006" s="1" t="str">
        <f>"한성간 16L2"</f>
        <v>한성간 16L2</v>
      </c>
      <c r="I14006" s="1" t="s">
        <v>8</v>
      </c>
      <c r="J14006" s="1" t="str">
        <f>"29/30"</f>
        <v>29/30</v>
      </c>
      <c r="K14006" s="1" t="str">
        <f t="shared" si="716"/>
        <v>2026-07-29 13:18:01</v>
      </c>
      <c r="L14006" s="1" t="str">
        <f>"2019-12-13 09:18:37"</f>
        <v>2019-12-13 09:18:37</v>
      </c>
      <c r="M14006" s="1" t="s">
        <v>45</v>
      </c>
      <c r="N14006" s="1" t="s">
        <v>38</v>
      </c>
      <c r="O14006" s="1" t="s">
        <v>46</v>
      </c>
    </row>
    <row r="14007" spans="2:15" x14ac:dyDescent="0.3">
      <c r="B14007" s="1" t="s">
        <v>19</v>
      </c>
      <c r="C14007" s="1" t="str">
        <f t="shared" si="715"/>
        <v>4차</v>
      </c>
      <c r="D14007" s="1" t="str">
        <f>"0027H82144"</f>
        <v>0027H82144</v>
      </c>
      <c r="E14007" s="1" t="s">
        <v>10</v>
      </c>
      <c r="F14007" s="1" t="str">
        <f>"10.107.10.21"</f>
        <v>10.107.10.21</v>
      </c>
      <c r="G14007" s="1" t="str">
        <f>"0027H821"</f>
        <v>0027H821</v>
      </c>
      <c r="H14007" s="1" t="str">
        <f>"보문지 8"</f>
        <v>보문지 8</v>
      </c>
      <c r="I14007" s="1" t="s">
        <v>8</v>
      </c>
      <c r="J14007" s="1" t="str">
        <f>"37/38"</f>
        <v>37/38</v>
      </c>
      <c r="K14007" s="1" t="str">
        <f t="shared" si="716"/>
        <v>2026-07-29 13:18:01</v>
      </c>
      <c r="L14007" s="1" t="str">
        <f>"2019-10-18 17:14:37"</f>
        <v>2019-10-18 17:14:37</v>
      </c>
      <c r="M14007" s="1" t="s">
        <v>45</v>
      </c>
      <c r="N14007" s="1" t="s">
        <v>38</v>
      </c>
      <c r="O14007" s="1" t="s">
        <v>46</v>
      </c>
    </row>
    <row r="14008" spans="2:15" x14ac:dyDescent="0.3">
      <c r="B14008" s="1" t="s">
        <v>19</v>
      </c>
      <c r="C14008" s="1" t="str">
        <f t="shared" si="715"/>
        <v>4차</v>
      </c>
      <c r="D14008" s="1" t="str">
        <f>"0027H82344"</f>
        <v>0027H82344</v>
      </c>
      <c r="E14008" s="1" t="s">
        <v>10</v>
      </c>
      <c r="F14008" s="1" t="str">
        <f>"10.107.10.22"</f>
        <v>10.107.10.22</v>
      </c>
      <c r="G14008" s="1" t="str">
        <f>"0027H823"</f>
        <v>0027H823</v>
      </c>
      <c r="H14008" s="1" t="str">
        <f>"보문지 9L1"</f>
        <v>보문지 9L1</v>
      </c>
      <c r="I14008" s="1" t="s">
        <v>8</v>
      </c>
      <c r="J14008" s="1" t="str">
        <f>"14/14"</f>
        <v>14/14</v>
      </c>
      <c r="K14008" s="1" t="str">
        <f t="shared" si="716"/>
        <v>2026-07-29 13:18:01</v>
      </c>
      <c r="L14008" s="1" t="str">
        <f>"2019-10-18 17:17:54"</f>
        <v>2019-10-18 17:17:54</v>
      </c>
      <c r="M14008" s="1" t="s">
        <v>45</v>
      </c>
      <c r="N14008" s="1" t="s">
        <v>38</v>
      </c>
      <c r="O14008" s="1" t="s">
        <v>46</v>
      </c>
    </row>
    <row r="14009" spans="2:15" x14ac:dyDescent="0.3">
      <c r="B14009" s="1" t="s">
        <v>19</v>
      </c>
      <c r="C14009" s="1" t="str">
        <f t="shared" si="715"/>
        <v>4차</v>
      </c>
      <c r="D14009" s="1" t="str">
        <f>"0027H86244"</f>
        <v>0027H86244</v>
      </c>
      <c r="E14009" s="1" t="s">
        <v>10</v>
      </c>
      <c r="F14009" s="1" t="str">
        <f>"10.107.252.53"</f>
        <v>10.107.252.53</v>
      </c>
      <c r="G14009" s="1" t="str">
        <f>"0027H862"</f>
        <v>0027H862</v>
      </c>
      <c r="H14009" s="1" t="str">
        <f>"동미간 17"</f>
        <v>동미간 17</v>
      </c>
      <c r="I14009" s="1" t="s">
        <v>8</v>
      </c>
      <c r="J14009" s="1" t="str">
        <f>"65/65"</f>
        <v>65/65</v>
      </c>
      <c r="K14009" s="1" t="str">
        <f t="shared" si="716"/>
        <v>2026-07-29 13:18:01</v>
      </c>
      <c r="L14009" s="1" t="str">
        <f>"2019-10-28 16:13:03"</f>
        <v>2019-10-28 16:13:03</v>
      </c>
      <c r="M14009" s="1" t="s">
        <v>45</v>
      </c>
      <c r="N14009" s="1" t="s">
        <v>38</v>
      </c>
      <c r="O14009" s="1" t="s">
        <v>46</v>
      </c>
    </row>
    <row r="14010" spans="2:15" x14ac:dyDescent="0.3">
      <c r="B14010" s="1" t="s">
        <v>19</v>
      </c>
      <c r="C14010" s="1" t="str">
        <f t="shared" si="715"/>
        <v>4차</v>
      </c>
      <c r="D14010" s="1" t="str">
        <f>"0027H89144"</f>
        <v>0027H89144</v>
      </c>
      <c r="E14010" s="1" t="s">
        <v>10</v>
      </c>
      <c r="F14010" s="1" t="str">
        <f>"10.107.252.83"</f>
        <v>10.107.252.83</v>
      </c>
      <c r="G14010" s="1" t="str">
        <f>"0027H891"</f>
        <v>0027H891</v>
      </c>
      <c r="H14010" s="1" t="str">
        <f>"동미간 10L16"</f>
        <v>동미간 10L16</v>
      </c>
      <c r="I14010" s="1" t="s">
        <v>8</v>
      </c>
      <c r="J14010" s="1" t="str">
        <f>"11/11"</f>
        <v>11/11</v>
      </c>
      <c r="K14010" s="1" t="str">
        <f t="shared" si="716"/>
        <v>2026-07-29 13:18:01</v>
      </c>
      <c r="L14010" s="1" t="str">
        <f>"2020-01-21 10:22:43"</f>
        <v>2020-01-21 10:22:43</v>
      </c>
      <c r="M14010" s="1" t="s">
        <v>45</v>
      </c>
      <c r="N14010" s="1" t="s">
        <v>38</v>
      </c>
      <c r="O14010" s="1" t="s">
        <v>46</v>
      </c>
    </row>
    <row r="14011" spans="2:15" x14ac:dyDescent="0.3">
      <c r="B14011" s="1" t="s">
        <v>19</v>
      </c>
      <c r="C14011" s="1" t="str">
        <f t="shared" si="715"/>
        <v>4차</v>
      </c>
      <c r="D14011" s="1" t="str">
        <f>"0027H89344"</f>
        <v>0027H89344</v>
      </c>
      <c r="E14011" s="1" t="s">
        <v>10</v>
      </c>
      <c r="F14011" s="1" t="str">
        <f>"10.107.252.82"</f>
        <v>10.107.252.82</v>
      </c>
      <c r="G14011" s="1" t="str">
        <f>"0027H893"</f>
        <v>0027H893</v>
      </c>
      <c r="H14011" s="1" t="str">
        <f>"동미간 10L15"</f>
        <v>동미간 10L15</v>
      </c>
      <c r="I14011" s="1" t="s">
        <v>8</v>
      </c>
      <c r="J14011" s="1" t="str">
        <f>"19/19"</f>
        <v>19/19</v>
      </c>
      <c r="K14011" s="1" t="str">
        <f t="shared" si="716"/>
        <v>2026-07-29 13:18:01</v>
      </c>
      <c r="L14011" s="1" t="str">
        <f>"2020-01-21 10:40:05"</f>
        <v>2020-01-21 10:40:05</v>
      </c>
      <c r="M14011" s="1" t="s">
        <v>45</v>
      </c>
      <c r="N14011" s="1" t="s">
        <v>38</v>
      </c>
      <c r="O14011" s="1" t="s">
        <v>46</v>
      </c>
    </row>
    <row r="14012" spans="2:15" x14ac:dyDescent="0.3">
      <c r="B14012" s="1" t="s">
        <v>19</v>
      </c>
      <c r="C14012" s="1" t="str">
        <f t="shared" si="715"/>
        <v>4차</v>
      </c>
      <c r="D14012" s="1" t="str">
        <f>"0027H91144"</f>
        <v>0027H91144</v>
      </c>
      <c r="E14012" s="1" t="s">
        <v>10</v>
      </c>
      <c r="F14012" s="1" t="str">
        <f>"10.107.10.23"</f>
        <v>10.107.10.23</v>
      </c>
      <c r="G14012" s="1" t="str">
        <f>"0027H911"</f>
        <v>0027H911</v>
      </c>
      <c r="H14012" s="1" t="str">
        <f>"보문지 9R1"</f>
        <v>보문지 9R1</v>
      </c>
      <c r="I14012" s="1" t="s">
        <v>8</v>
      </c>
      <c r="J14012" s="1" t="str">
        <f>"45/51"</f>
        <v>45/51</v>
      </c>
      <c r="K14012" s="1" t="str">
        <f t="shared" si="716"/>
        <v>2026-07-29 13:18:01</v>
      </c>
      <c r="L14012" s="1" t="str">
        <f>"2019-10-18 17:33:05"</f>
        <v>2019-10-18 17:33:05</v>
      </c>
      <c r="M14012" s="1" t="s">
        <v>45</v>
      </c>
      <c r="N14012" s="1" t="s">
        <v>38</v>
      </c>
      <c r="O14012" s="1" t="s">
        <v>46</v>
      </c>
    </row>
    <row r="14013" spans="2:15" x14ac:dyDescent="0.3">
      <c r="B14013" s="1" t="s">
        <v>19</v>
      </c>
      <c r="C14013" s="1" t="str">
        <f t="shared" si="715"/>
        <v>4차</v>
      </c>
      <c r="D14013" s="1" t="str">
        <f>"0027H92244"</f>
        <v>0027H92244</v>
      </c>
      <c r="E14013" s="1" t="s">
        <v>10</v>
      </c>
      <c r="F14013" s="1" t="str">
        <f>"10.107.10.18"</f>
        <v>10.107.10.18</v>
      </c>
      <c r="G14013" s="1" t="str">
        <f>"0027H922"</f>
        <v>0027H922</v>
      </c>
      <c r="H14013" s="1" t="str">
        <f>"보문지 10"</f>
        <v>보문지 10</v>
      </c>
      <c r="I14013" s="1" t="s">
        <v>8</v>
      </c>
      <c r="J14013" s="1" t="str">
        <f>"38/38"</f>
        <v>38/38</v>
      </c>
      <c r="K14013" s="1" t="str">
        <f t="shared" si="716"/>
        <v>2026-07-29 13:18:01</v>
      </c>
      <c r="L14013" s="1" t="str">
        <f>"2019-10-21 17:32:30"</f>
        <v>2019-10-21 17:32:30</v>
      </c>
      <c r="M14013" s="1" t="s">
        <v>45</v>
      </c>
      <c r="N14013" s="1" t="s">
        <v>38</v>
      </c>
      <c r="O14013" s="1" t="s">
        <v>46</v>
      </c>
    </row>
    <row r="14014" spans="2:15" x14ac:dyDescent="0.3">
      <c r="B14014" s="1" t="s">
        <v>19</v>
      </c>
      <c r="C14014" s="1" t="str">
        <f t="shared" si="715"/>
        <v>4차</v>
      </c>
      <c r="D14014" s="1" t="str">
        <f>"0027H93244"</f>
        <v>0027H93244</v>
      </c>
      <c r="E14014" s="1" t="s">
        <v>10</v>
      </c>
      <c r="F14014" s="1" t="str">
        <f>"10.107.10.19"</f>
        <v>10.107.10.19</v>
      </c>
      <c r="G14014" s="1" t="str">
        <f>"0027H932"</f>
        <v>0027H932</v>
      </c>
      <c r="H14014" s="1" t="str">
        <f>"보문지 11"</f>
        <v>보문지 11</v>
      </c>
      <c r="I14014" s="1" t="s">
        <v>8</v>
      </c>
      <c r="J14014" s="1" t="str">
        <f>"16/16"</f>
        <v>16/16</v>
      </c>
      <c r="K14014" s="1" t="str">
        <f t="shared" si="716"/>
        <v>2026-07-29 13:18:01</v>
      </c>
      <c r="L14014" s="1" t="str">
        <f>"2019-10-18 17:11:26"</f>
        <v>2019-10-18 17:11:26</v>
      </c>
      <c r="M14014" s="1" t="s">
        <v>45</v>
      </c>
      <c r="N14014" s="1" t="s">
        <v>38</v>
      </c>
      <c r="O14014" s="1" t="s">
        <v>46</v>
      </c>
    </row>
    <row r="14015" spans="2:15" x14ac:dyDescent="0.3">
      <c r="B14015" s="1" t="s">
        <v>19</v>
      </c>
      <c r="C14015" s="1" t="str">
        <f t="shared" si="715"/>
        <v>4차</v>
      </c>
      <c r="D14015" s="1" t="str">
        <f>"0027H96139"</f>
        <v>0027H96139</v>
      </c>
      <c r="E14015" s="1" t="s">
        <v>10</v>
      </c>
      <c r="F14015" s="1" t="str">
        <f>"10.12.136.71"</f>
        <v>10.12.136.71</v>
      </c>
      <c r="G14015" s="1" t="str">
        <f>"0027H961"</f>
        <v>0027H961</v>
      </c>
      <c r="H14015" s="1" t="str">
        <f>"동소문 10"</f>
        <v>동소문 10</v>
      </c>
      <c r="I14015" s="1" t="s">
        <v>17</v>
      </c>
      <c r="J14015" s="1" t="str">
        <f>"27/27"</f>
        <v>27/27</v>
      </c>
      <c r="K14015" s="1" t="str">
        <f>"2026-07-29 13:18:02"</f>
        <v>2026-07-29 13:18:02</v>
      </c>
      <c r="L14015" s="1" t="str">
        <f>"2018-05-28 10:18:10"</f>
        <v>2018-05-28 10:18:10</v>
      </c>
      <c r="M14015" s="1" t="s">
        <v>0</v>
      </c>
      <c r="N14015" s="1" t="s">
        <v>38</v>
      </c>
      <c r="O14015" s="1" t="s">
        <v>46</v>
      </c>
    </row>
    <row r="14016" spans="2:15" x14ac:dyDescent="0.3">
      <c r="B14016" s="1" t="s">
        <v>19</v>
      </c>
      <c r="C14016" s="1" t="str">
        <f t="shared" si="715"/>
        <v>4차</v>
      </c>
      <c r="D14016" s="1" t="str">
        <f>"0027H96239"</f>
        <v>0027H96239</v>
      </c>
      <c r="E14016" s="1" t="s">
        <v>10</v>
      </c>
      <c r="F14016" s="1" t="str">
        <f>"10.12.136.121"</f>
        <v>10.12.136.121</v>
      </c>
      <c r="G14016" s="1" t="str">
        <f>"0027H962"</f>
        <v>0027H962</v>
      </c>
      <c r="H14016" s="1" t="str">
        <f>"동소문 11"</f>
        <v>동소문 11</v>
      </c>
      <c r="I14016" s="1" t="s">
        <v>17</v>
      </c>
      <c r="J14016" s="1" t="str">
        <f>"1/1"</f>
        <v>1/1</v>
      </c>
      <c r="K14016" s="1" t="str">
        <f>"2026-07-29 13:18:02"</f>
        <v>2026-07-29 13:18:02</v>
      </c>
      <c r="L14016" s="1" t="str">
        <f>"2018-05-28 10:04:25"</f>
        <v>2018-05-28 10:04:25</v>
      </c>
      <c r="M14016" s="1" t="s">
        <v>0</v>
      </c>
      <c r="N14016" s="1" t="s">
        <v>38</v>
      </c>
      <c r="O14016" s="1" t="s">
        <v>46</v>
      </c>
    </row>
    <row r="14017" spans="2:15" x14ac:dyDescent="0.3">
      <c r="B14017" s="1" t="s">
        <v>19</v>
      </c>
      <c r="C14017" s="1" t="str">
        <f t="shared" si="715"/>
        <v>4차</v>
      </c>
      <c r="D14017" s="1" t="str">
        <f>"0027H97144"</f>
        <v>0027H97144</v>
      </c>
      <c r="E14017" s="1" t="s">
        <v>10</v>
      </c>
      <c r="F14017" s="1" t="str">
        <f>"10.107.252.54"</f>
        <v>10.107.252.54</v>
      </c>
      <c r="G14017" s="1" t="str">
        <f>"0027H971"</f>
        <v>0027H971</v>
      </c>
      <c r="H14017" s="1" t="str">
        <f>"동미간 18"</f>
        <v>동미간 18</v>
      </c>
      <c r="I14017" s="1" t="s">
        <v>8</v>
      </c>
      <c r="J14017" s="1" t="str">
        <f>"42/42"</f>
        <v>42/42</v>
      </c>
      <c r="K14017" s="1" t="str">
        <f>"2026-07-29 13:18:01"</f>
        <v>2026-07-29 13:18:01</v>
      </c>
      <c r="L14017" s="1" t="str">
        <f>"2019-10-28 16:33:04"</f>
        <v>2019-10-28 16:33:04</v>
      </c>
      <c r="M14017" s="1" t="s">
        <v>45</v>
      </c>
      <c r="N14017" s="1" t="s">
        <v>38</v>
      </c>
      <c r="O14017" s="1" t="s">
        <v>46</v>
      </c>
    </row>
    <row r="14018" spans="2:15" x14ac:dyDescent="0.3">
      <c r="B14018" s="1" t="s">
        <v>19</v>
      </c>
      <c r="C14018" s="1" t="str">
        <f t="shared" si="715"/>
        <v>4차</v>
      </c>
      <c r="D14018" s="1" t="str">
        <f>"0027H99344"</f>
        <v>0027H99344</v>
      </c>
      <c r="E14018" s="1" t="s">
        <v>10</v>
      </c>
      <c r="F14018" s="1" t="str">
        <f>"10.107.252.84"</f>
        <v>10.107.252.84</v>
      </c>
      <c r="G14018" s="1" t="str">
        <f>"0027H993"</f>
        <v>0027H993</v>
      </c>
      <c r="H14018" s="1" t="str">
        <f>"동미간 10L20R3"</f>
        <v>동미간 10L20R3</v>
      </c>
      <c r="I14018" s="1" t="s">
        <v>8</v>
      </c>
      <c r="J14018" s="1" t="str">
        <f>"85/85"</f>
        <v>85/85</v>
      </c>
      <c r="K14018" s="1" t="str">
        <f>"2026-07-29 13:18:01"</f>
        <v>2026-07-29 13:18:01</v>
      </c>
      <c r="L14018" s="1" t="str">
        <f>"2019-12-24 17:43:55"</f>
        <v>2019-12-24 17:43:55</v>
      </c>
      <c r="M14018" s="1" t="s">
        <v>45</v>
      </c>
      <c r="N14018" s="1" t="s">
        <v>38</v>
      </c>
      <c r="O14018" s="1" t="s">
        <v>46</v>
      </c>
    </row>
    <row r="14019" spans="2:15" x14ac:dyDescent="0.3">
      <c r="B14019" s="1" t="s">
        <v>19</v>
      </c>
      <c r="C14019" s="1" t="str">
        <f t="shared" si="715"/>
        <v>4차</v>
      </c>
      <c r="D14019" s="1" t="str">
        <f>"0027W59244"</f>
        <v>0027W59244</v>
      </c>
      <c r="E14019" s="1" t="s">
        <v>10</v>
      </c>
      <c r="F14019" s="1" t="str">
        <f>"10.107.118.105"</f>
        <v>10.107.118.105</v>
      </c>
      <c r="G14019" s="1" t="str">
        <f>"0027W592"</f>
        <v>0027W592</v>
      </c>
      <c r="H14019" s="1" t="str">
        <f>"성북간 5L10"</f>
        <v>성북간 5L10</v>
      </c>
      <c r="I14019" s="1" t="s">
        <v>8</v>
      </c>
      <c r="J14019" s="1" t="str">
        <f>"11/11"</f>
        <v>11/11</v>
      </c>
      <c r="K14019" s="1" t="str">
        <f t="shared" ref="K14019:K14024" si="717">"2026-07-29 13:18:00"</f>
        <v>2026-07-29 13:18:00</v>
      </c>
      <c r="L14019" s="1" t="str">
        <f>"2019-12-13 12:09:19"</f>
        <v>2019-12-13 12:09:19</v>
      </c>
      <c r="M14019" s="1" t="s">
        <v>45</v>
      </c>
      <c r="N14019" s="1" t="s">
        <v>38</v>
      </c>
      <c r="O14019" s="1" t="s">
        <v>46</v>
      </c>
    </row>
    <row r="14020" spans="2:15" x14ac:dyDescent="0.3">
      <c r="B14020" s="1" t="s">
        <v>19</v>
      </c>
      <c r="C14020" s="1" t="str">
        <f t="shared" si="715"/>
        <v>4차</v>
      </c>
      <c r="D14020" s="1" t="str">
        <f>"0027W78144"</f>
        <v>0027W78144</v>
      </c>
      <c r="E14020" s="1" t="s">
        <v>10</v>
      </c>
      <c r="F14020" s="1" t="str">
        <f>"10.107.118.36"</f>
        <v>10.107.118.36</v>
      </c>
      <c r="G14020" s="1" t="str">
        <f>"0027W781"</f>
        <v>0027W781</v>
      </c>
      <c r="H14020" s="1" t="str">
        <f>"한성간 3R7"</f>
        <v>한성간 3R7</v>
      </c>
      <c r="I14020" s="1" t="s">
        <v>8</v>
      </c>
      <c r="J14020" s="1" t="str">
        <f>"25/25"</f>
        <v>25/25</v>
      </c>
      <c r="K14020" s="1" t="str">
        <f t="shared" si="717"/>
        <v>2026-07-29 13:18:00</v>
      </c>
      <c r="L14020" s="1" t="str">
        <f>"2019-12-13 09:19:20"</f>
        <v>2019-12-13 09:19:20</v>
      </c>
      <c r="M14020" s="1" t="s">
        <v>45</v>
      </c>
      <c r="N14020" s="1" t="s">
        <v>38</v>
      </c>
      <c r="O14020" s="1" t="s">
        <v>46</v>
      </c>
    </row>
    <row r="14021" spans="2:15" x14ac:dyDescent="0.3">
      <c r="B14021" s="1" t="s">
        <v>19</v>
      </c>
      <c r="C14021" s="1" t="str">
        <f t="shared" si="715"/>
        <v>4차</v>
      </c>
      <c r="D14021" s="1" t="str">
        <f>"0027W98144"</f>
        <v>0027W98144</v>
      </c>
      <c r="E14021" s="1" t="s">
        <v>10</v>
      </c>
      <c r="F14021" s="1" t="str">
        <f>"10.107.118.35"</f>
        <v>10.107.118.35</v>
      </c>
      <c r="G14021" s="1" t="str">
        <f>"0027W981"</f>
        <v>0027W981</v>
      </c>
      <c r="H14021" s="1" t="str">
        <f>"한성간 3R3L2"</f>
        <v>한성간 3R3L2</v>
      </c>
      <c r="I14021" s="1" t="s">
        <v>8</v>
      </c>
      <c r="J14021" s="1" t="str">
        <f>"41/41"</f>
        <v>41/41</v>
      </c>
      <c r="K14021" s="1" t="str">
        <f t="shared" si="717"/>
        <v>2026-07-29 13:18:00</v>
      </c>
      <c r="L14021" s="1" t="str">
        <f>"2019-12-13 12:09:18"</f>
        <v>2019-12-13 12:09:18</v>
      </c>
      <c r="M14021" s="1" t="s">
        <v>45</v>
      </c>
      <c r="N14021" s="1" t="s">
        <v>38</v>
      </c>
      <c r="O14021" s="1" t="s">
        <v>46</v>
      </c>
    </row>
    <row r="14022" spans="2:15" x14ac:dyDescent="0.3">
      <c r="B14022" s="1" t="s">
        <v>19</v>
      </c>
      <c r="C14022" s="1" t="str">
        <f t="shared" si="715"/>
        <v>4차</v>
      </c>
      <c r="D14022" s="1" t="str">
        <f>"0027X06344"</f>
        <v>0027X06344</v>
      </c>
      <c r="E14022" s="1" t="s">
        <v>10</v>
      </c>
      <c r="F14022" s="1" t="str">
        <f>"10.107.118.43"</f>
        <v>10.107.118.43</v>
      </c>
      <c r="G14022" s="1" t="str">
        <f>"0027X063"</f>
        <v>0027X063</v>
      </c>
      <c r="H14022" s="1" t="str">
        <f>"한성간 7R5"</f>
        <v>한성간 7R5</v>
      </c>
      <c r="I14022" s="1" t="s">
        <v>8</v>
      </c>
      <c r="J14022" s="1" t="str">
        <f>"97/97"</f>
        <v>97/97</v>
      </c>
      <c r="K14022" s="1" t="str">
        <f t="shared" si="717"/>
        <v>2026-07-29 13:18:00</v>
      </c>
      <c r="L14022" s="1" t="str">
        <f>"2019-12-13 09:17:41"</f>
        <v>2019-12-13 09:17:41</v>
      </c>
      <c r="M14022" s="1" t="s">
        <v>45</v>
      </c>
      <c r="N14022" s="1" t="s">
        <v>38</v>
      </c>
      <c r="O14022" s="1" t="s">
        <v>46</v>
      </c>
    </row>
    <row r="14023" spans="2:15" x14ac:dyDescent="0.3">
      <c r="B14023" s="1" t="s">
        <v>19</v>
      </c>
      <c r="C14023" s="1" t="str">
        <f t="shared" si="715"/>
        <v>4차</v>
      </c>
      <c r="D14023" s="1" t="str">
        <f>"0027X07144"</f>
        <v>0027X07144</v>
      </c>
      <c r="E14023" s="1" t="s">
        <v>10</v>
      </c>
      <c r="F14023" s="1" t="str">
        <f>"10.107.118.41"</f>
        <v>10.107.118.41</v>
      </c>
      <c r="G14023" s="1" t="str">
        <f>"0027X071"</f>
        <v>0027X071</v>
      </c>
      <c r="H14023" s="1" t="str">
        <f>"한성간 7R3"</f>
        <v>한성간 7R3</v>
      </c>
      <c r="I14023" s="1" t="s">
        <v>8</v>
      </c>
      <c r="J14023" s="1" t="str">
        <f>"74/74"</f>
        <v>74/74</v>
      </c>
      <c r="K14023" s="1" t="str">
        <f t="shared" si="717"/>
        <v>2026-07-29 13:18:00</v>
      </c>
      <c r="L14023" s="1" t="str">
        <f>"2022-07-21 08:15:31"</f>
        <v>2022-07-21 08:15:31</v>
      </c>
      <c r="M14023" s="1" t="s">
        <v>45</v>
      </c>
      <c r="N14023" s="1" t="s">
        <v>38</v>
      </c>
      <c r="O14023" s="1" t="s">
        <v>46</v>
      </c>
    </row>
    <row r="14024" spans="2:15" x14ac:dyDescent="0.3">
      <c r="B14024" s="1" t="s">
        <v>19</v>
      </c>
      <c r="C14024" s="1" t="str">
        <f t="shared" si="715"/>
        <v>4차</v>
      </c>
      <c r="D14024" s="1" t="str">
        <f>"0027X07244"</f>
        <v>0027X07244</v>
      </c>
      <c r="E14024" s="1" t="s">
        <v>10</v>
      </c>
      <c r="F14024" s="1" t="str">
        <f>"10.107.118.42"</f>
        <v>10.107.118.42</v>
      </c>
      <c r="G14024" s="1" t="str">
        <f>"0027X072"</f>
        <v>0027X072</v>
      </c>
      <c r="H14024" s="1" t="str">
        <f>"한성간 7R4"</f>
        <v>한성간 7R4</v>
      </c>
      <c r="I14024" s="1" t="s">
        <v>8</v>
      </c>
      <c r="J14024" s="1" t="str">
        <f>"50/50"</f>
        <v>50/50</v>
      </c>
      <c r="K14024" s="1" t="str">
        <f t="shared" si="717"/>
        <v>2026-07-29 13:18:00</v>
      </c>
      <c r="L14024" s="1" t="str">
        <f>"2019-12-13 09:18:28"</f>
        <v>2019-12-13 09:18:28</v>
      </c>
      <c r="M14024" s="1" t="s">
        <v>45</v>
      </c>
      <c r="N14024" s="1" t="s">
        <v>38</v>
      </c>
      <c r="O14024" s="1" t="s">
        <v>46</v>
      </c>
    </row>
    <row r="14025" spans="2:15" x14ac:dyDescent="0.3">
      <c r="B14025" s="1" t="s">
        <v>19</v>
      </c>
      <c r="C14025" s="1" t="str">
        <f t="shared" si="715"/>
        <v>4차</v>
      </c>
      <c r="D14025" s="1" t="str">
        <f>"0027X09144"</f>
        <v>0027X09144</v>
      </c>
      <c r="E14025" s="1" t="s">
        <v>10</v>
      </c>
      <c r="F14025" s="1" t="str">
        <f>"10.107.118.37"</f>
        <v>10.107.118.37</v>
      </c>
      <c r="G14025" s="1" t="str">
        <f>"0027X091"</f>
        <v>0027X091</v>
      </c>
      <c r="H14025" s="1" t="str">
        <f>"한성간 4"</f>
        <v>한성간 4</v>
      </c>
      <c r="I14025" s="1" t="s">
        <v>8</v>
      </c>
      <c r="J14025" s="1" t="str">
        <f>"3/3"</f>
        <v>3/3</v>
      </c>
      <c r="K14025" s="1" t="str">
        <f t="shared" ref="K14025:K14039" si="718">"2026-07-29 13:18:01"</f>
        <v>2026-07-29 13:18:01</v>
      </c>
      <c r="L14025" s="1" t="str">
        <f>"2019-12-13 12:10:18"</f>
        <v>2019-12-13 12:10:18</v>
      </c>
      <c r="M14025" s="1" t="s">
        <v>45</v>
      </c>
      <c r="N14025" s="1" t="s">
        <v>38</v>
      </c>
      <c r="O14025" s="1" t="s">
        <v>46</v>
      </c>
    </row>
    <row r="14026" spans="2:15" x14ac:dyDescent="0.3">
      <c r="B14026" s="1" t="s">
        <v>19</v>
      </c>
      <c r="C14026" s="1" t="str">
        <f t="shared" si="715"/>
        <v>4차</v>
      </c>
      <c r="D14026" s="1" t="str">
        <f>"0027X12144"</f>
        <v>0027X12144</v>
      </c>
      <c r="E14026" s="1" t="s">
        <v>10</v>
      </c>
      <c r="F14026" s="1" t="str">
        <f>"10.107.10.95"</f>
        <v>10.107.10.95</v>
      </c>
      <c r="G14026" s="1" t="str">
        <f>"0027X121"</f>
        <v>0027X121</v>
      </c>
      <c r="H14026" s="1" t="str">
        <f>"한성간 9R7R3"</f>
        <v>한성간 9R7R3</v>
      </c>
      <c r="I14026" s="1" t="s">
        <v>8</v>
      </c>
      <c r="J14026" s="1" t="str">
        <f>"20/20"</f>
        <v>20/20</v>
      </c>
      <c r="K14026" s="1" t="str">
        <f t="shared" si="718"/>
        <v>2026-07-29 13:18:01</v>
      </c>
      <c r="L14026" s="1" t="str">
        <f>"2019-12-13 09:19:29"</f>
        <v>2019-12-13 09:19:29</v>
      </c>
      <c r="M14026" s="1" t="s">
        <v>45</v>
      </c>
      <c r="N14026" s="1" t="s">
        <v>38</v>
      </c>
      <c r="O14026" s="1" t="s">
        <v>46</v>
      </c>
    </row>
    <row r="14027" spans="2:15" x14ac:dyDescent="0.3">
      <c r="B14027" s="1" t="s">
        <v>19</v>
      </c>
      <c r="C14027" s="1" t="str">
        <f t="shared" si="715"/>
        <v>4차</v>
      </c>
      <c r="D14027" s="1" t="str">
        <f>"0027X12244"</f>
        <v>0027X12244</v>
      </c>
      <c r="E14027" s="1" t="s">
        <v>10</v>
      </c>
      <c r="F14027" s="1" t="str">
        <f>"10.107.12.120"</f>
        <v>10.107.12.120</v>
      </c>
      <c r="G14027" s="1" t="str">
        <f>"0027X122"</f>
        <v>0027X122</v>
      </c>
      <c r="H14027" s="1" t="str">
        <f>"한성간 7R12"</f>
        <v>한성간 7R12</v>
      </c>
      <c r="I14027" s="1" t="s">
        <v>8</v>
      </c>
      <c r="J14027" s="1" t="str">
        <f>"6/6"</f>
        <v>6/6</v>
      </c>
      <c r="K14027" s="1" t="str">
        <f t="shared" si="718"/>
        <v>2026-07-29 13:18:01</v>
      </c>
      <c r="L14027" s="1" t="str">
        <f>"2019-12-13 09:18:17"</f>
        <v>2019-12-13 09:18:17</v>
      </c>
      <c r="M14027" s="1" t="s">
        <v>45</v>
      </c>
      <c r="N14027" s="1" t="s">
        <v>38</v>
      </c>
      <c r="O14027" s="1" t="s">
        <v>46</v>
      </c>
    </row>
    <row r="14028" spans="2:15" x14ac:dyDescent="0.3">
      <c r="B14028" s="1" t="s">
        <v>19</v>
      </c>
      <c r="C14028" s="1" t="str">
        <f t="shared" si="715"/>
        <v>4차</v>
      </c>
      <c r="D14028" s="1" t="str">
        <f>"0027X13144"</f>
        <v>0027X13144</v>
      </c>
      <c r="E14028" s="1" t="s">
        <v>10</v>
      </c>
      <c r="F14028" s="1" t="str">
        <f>"10.107.12.119"</f>
        <v>10.107.12.119</v>
      </c>
      <c r="G14028" s="1" t="str">
        <f>"0027X131"</f>
        <v>0027X131</v>
      </c>
      <c r="H14028" s="1" t="str">
        <f>"한성간 7R10"</f>
        <v>한성간 7R10</v>
      </c>
      <c r="I14028" s="1" t="s">
        <v>8</v>
      </c>
      <c r="J14028" s="1" t="str">
        <f>"24/24"</f>
        <v>24/24</v>
      </c>
      <c r="K14028" s="1" t="str">
        <f t="shared" si="718"/>
        <v>2026-07-29 13:18:01</v>
      </c>
      <c r="L14028" s="1" t="str">
        <f>"2019-12-13 09:17:24"</f>
        <v>2019-12-13 09:17:24</v>
      </c>
      <c r="M14028" s="1" t="s">
        <v>45</v>
      </c>
      <c r="N14028" s="1" t="s">
        <v>38</v>
      </c>
      <c r="O14028" s="1" t="s">
        <v>46</v>
      </c>
    </row>
    <row r="14029" spans="2:15" x14ac:dyDescent="0.3">
      <c r="B14029" s="1" t="s">
        <v>19</v>
      </c>
      <c r="C14029" s="1" t="str">
        <f t="shared" si="715"/>
        <v>4차</v>
      </c>
      <c r="D14029" s="1" t="str">
        <f>"0027X14144"</f>
        <v>0027X14144</v>
      </c>
      <c r="E14029" s="1" t="s">
        <v>10</v>
      </c>
      <c r="F14029" s="1" t="str">
        <f>"10.107.12.131"</f>
        <v>10.107.12.131</v>
      </c>
      <c r="G14029" s="1" t="str">
        <f>"0027X141"</f>
        <v>0027X141</v>
      </c>
      <c r="H14029" s="1" t="str">
        <f>"한성간 7R8"</f>
        <v>한성간 7R8</v>
      </c>
      <c r="I14029" s="1" t="s">
        <v>8</v>
      </c>
      <c r="J14029" s="1" t="str">
        <f>"40/41"</f>
        <v>40/41</v>
      </c>
      <c r="K14029" s="1" t="str">
        <f t="shared" si="718"/>
        <v>2026-07-29 13:18:01</v>
      </c>
      <c r="L14029" s="1" t="str">
        <f>"2019-12-13 09:19:12"</f>
        <v>2019-12-13 09:19:12</v>
      </c>
      <c r="M14029" s="1" t="s">
        <v>45</v>
      </c>
      <c r="N14029" s="1" t="s">
        <v>38</v>
      </c>
      <c r="O14029" s="1" t="s">
        <v>46</v>
      </c>
    </row>
    <row r="14030" spans="2:15" x14ac:dyDescent="0.3">
      <c r="B14030" s="1" t="s">
        <v>19</v>
      </c>
      <c r="C14030" s="1" t="str">
        <f t="shared" si="715"/>
        <v>4차</v>
      </c>
      <c r="D14030" s="1" t="str">
        <f>"0027X14241"</f>
        <v>0027X14241</v>
      </c>
      <c r="E14030" s="1" t="s">
        <v>10</v>
      </c>
      <c r="F14030" s="1" t="str">
        <f>"10.12.132.180"</f>
        <v>10.12.132.180</v>
      </c>
      <c r="G14030" s="1" t="str">
        <f>"0027X142"</f>
        <v>0027X142</v>
      </c>
      <c r="H14030" s="1" t="str">
        <f>"한성간 7R9"</f>
        <v>한성간 7R9</v>
      </c>
      <c r="I14030" s="1" t="s">
        <v>17</v>
      </c>
      <c r="J14030" s="1" t="str">
        <f>"7/7"</f>
        <v>7/7</v>
      </c>
      <c r="K14030" s="1" t="str">
        <f t="shared" si="718"/>
        <v>2026-07-29 13:18:01</v>
      </c>
      <c r="L14030" s="1" t="str">
        <f>"2021-08-30 14:45:23"</f>
        <v>2021-08-30 14:45:23</v>
      </c>
      <c r="M14030" s="1" t="s">
        <v>0</v>
      </c>
      <c r="N14030" s="1" t="s">
        <v>38</v>
      </c>
      <c r="O14030" s="1" t="s">
        <v>46</v>
      </c>
    </row>
    <row r="14031" spans="2:15" x14ac:dyDescent="0.3">
      <c r="B14031" s="1" t="s">
        <v>19</v>
      </c>
      <c r="C14031" s="1" t="str">
        <f t="shared" si="715"/>
        <v>4차</v>
      </c>
      <c r="D14031" s="1" t="str">
        <f>"0027X15144"</f>
        <v>0027X15144</v>
      </c>
      <c r="E14031" s="1" t="s">
        <v>10</v>
      </c>
      <c r="F14031" s="1" t="str">
        <f>"10.107.118.40"</f>
        <v>10.107.118.40</v>
      </c>
      <c r="G14031" s="1" t="str">
        <f>"0027X151"</f>
        <v>0027X151</v>
      </c>
      <c r="H14031" s="1" t="str">
        <f>"한성간 7R1L3"</f>
        <v>한성간 7R1L3</v>
      </c>
      <c r="I14031" s="1" t="s">
        <v>8</v>
      </c>
      <c r="J14031" s="1" t="str">
        <f>"24/24"</f>
        <v>24/24</v>
      </c>
      <c r="K14031" s="1" t="str">
        <f t="shared" si="718"/>
        <v>2026-07-29 13:18:01</v>
      </c>
      <c r="L14031" s="1" t="str">
        <f>"2019-12-13 09:16:00"</f>
        <v>2019-12-13 09:16:00</v>
      </c>
      <c r="M14031" s="1" t="s">
        <v>45</v>
      </c>
      <c r="N14031" s="1" t="s">
        <v>38</v>
      </c>
      <c r="O14031" s="1" t="s">
        <v>46</v>
      </c>
    </row>
    <row r="14032" spans="2:15" x14ac:dyDescent="0.3">
      <c r="B14032" s="1" t="s">
        <v>19</v>
      </c>
      <c r="C14032" s="1" t="str">
        <f t="shared" si="715"/>
        <v>4차</v>
      </c>
      <c r="D14032" s="1" t="str">
        <f>"0027X15444"</f>
        <v>0027X15444</v>
      </c>
      <c r="E14032" s="1" t="s">
        <v>10</v>
      </c>
      <c r="F14032" s="1" t="str">
        <f>"10.107.12.132"</f>
        <v>10.107.12.132</v>
      </c>
      <c r="G14032" s="1" t="str">
        <f>"0027X154"</f>
        <v>0027X154</v>
      </c>
      <c r="H14032" s="1" t="str">
        <f>"한성간 7R8L2"</f>
        <v>한성간 7R8L2</v>
      </c>
      <c r="I14032" s="1" t="s">
        <v>8</v>
      </c>
      <c r="J14032" s="1" t="str">
        <f>"31/31"</f>
        <v>31/31</v>
      </c>
      <c r="K14032" s="1" t="str">
        <f t="shared" si="718"/>
        <v>2026-07-29 13:18:01</v>
      </c>
      <c r="L14032" s="1" t="str">
        <f>"2019-12-13 09:17:16"</f>
        <v>2019-12-13 09:17:16</v>
      </c>
      <c r="M14032" s="1" t="s">
        <v>45</v>
      </c>
      <c r="N14032" s="1" t="s">
        <v>38</v>
      </c>
      <c r="O14032" s="1" t="s">
        <v>46</v>
      </c>
    </row>
    <row r="14033" spans="2:15" x14ac:dyDescent="0.3">
      <c r="B14033" s="1" t="s">
        <v>19</v>
      </c>
      <c r="C14033" s="1" t="str">
        <f t="shared" si="715"/>
        <v>4차</v>
      </c>
      <c r="D14033" s="1" t="str">
        <f>"0027X16244"</f>
        <v>0027X16244</v>
      </c>
      <c r="E14033" s="1" t="s">
        <v>10</v>
      </c>
      <c r="F14033" s="1" t="str">
        <f>"10.107.118.39"</f>
        <v>10.107.118.39</v>
      </c>
      <c r="G14033" s="1" t="str">
        <f>"0027X162"</f>
        <v>0027X162</v>
      </c>
      <c r="H14033" s="1" t="str">
        <f>"한성간 7R1L1"</f>
        <v>한성간 7R1L1</v>
      </c>
      <c r="I14033" s="1" t="s">
        <v>8</v>
      </c>
      <c r="J14033" s="1" t="str">
        <f>"65/70"</f>
        <v>65/70</v>
      </c>
      <c r="K14033" s="1" t="str">
        <f t="shared" si="718"/>
        <v>2026-07-29 13:18:01</v>
      </c>
      <c r="L14033" s="1" t="str">
        <f>"2019-12-13 12:09:20"</f>
        <v>2019-12-13 12:09:20</v>
      </c>
      <c r="M14033" s="1" t="s">
        <v>45</v>
      </c>
      <c r="N14033" s="1" t="s">
        <v>38</v>
      </c>
      <c r="O14033" s="1" t="s">
        <v>46</v>
      </c>
    </row>
    <row r="14034" spans="2:15" x14ac:dyDescent="0.3">
      <c r="B14034" s="1" t="s">
        <v>19</v>
      </c>
      <c r="C14034" s="1" t="str">
        <f t="shared" si="715"/>
        <v>4차</v>
      </c>
      <c r="D14034" s="1" t="str">
        <f>"0027X17144"</f>
        <v>0027X17144</v>
      </c>
      <c r="E14034" s="1" t="s">
        <v>10</v>
      </c>
      <c r="F14034" s="1" t="str">
        <f>"10.107.118.38"</f>
        <v>10.107.118.38</v>
      </c>
      <c r="G14034" s="1" t="str">
        <f>"0027X171"</f>
        <v>0027X171</v>
      </c>
      <c r="H14034" s="1" t="str">
        <f>"한성간 7R1"</f>
        <v>한성간 7R1</v>
      </c>
      <c r="I14034" s="1" t="s">
        <v>8</v>
      </c>
      <c r="J14034" s="1" t="str">
        <f>"38/43"</f>
        <v>38/43</v>
      </c>
      <c r="K14034" s="1" t="str">
        <f t="shared" si="718"/>
        <v>2026-07-29 13:18:01</v>
      </c>
      <c r="L14034" s="1" t="str">
        <f>"2019-12-13 12:09:18"</f>
        <v>2019-12-13 12:09:18</v>
      </c>
      <c r="M14034" s="1" t="s">
        <v>45</v>
      </c>
      <c r="N14034" s="1" t="s">
        <v>38</v>
      </c>
      <c r="O14034" s="1" t="s">
        <v>46</v>
      </c>
    </row>
    <row r="14035" spans="2:15" x14ac:dyDescent="0.3">
      <c r="B14035" s="1" t="s">
        <v>19</v>
      </c>
      <c r="C14035" s="1" t="str">
        <f t="shared" si="715"/>
        <v>4차</v>
      </c>
      <c r="D14035" s="1" t="str">
        <f>"0027X18444"</f>
        <v>0027X18444</v>
      </c>
      <c r="E14035" s="1" t="s">
        <v>10</v>
      </c>
      <c r="F14035" s="1" t="str">
        <f>"10.107.118.45"</f>
        <v>10.107.118.45</v>
      </c>
      <c r="G14035" s="1" t="str">
        <f>"0027X184"</f>
        <v>0027X184</v>
      </c>
      <c r="H14035" s="1" t="str">
        <f>"한성간 6"</f>
        <v>한성간 6</v>
      </c>
      <c r="I14035" s="1" t="s">
        <v>8</v>
      </c>
      <c r="J14035" s="1" t="str">
        <f>"23/23"</f>
        <v>23/23</v>
      </c>
      <c r="K14035" s="1" t="str">
        <f t="shared" si="718"/>
        <v>2026-07-29 13:18:01</v>
      </c>
      <c r="L14035" s="1" t="str">
        <f>"2019-12-13 09:18:10"</f>
        <v>2019-12-13 09:18:10</v>
      </c>
      <c r="M14035" s="1" t="s">
        <v>45</v>
      </c>
      <c r="N14035" s="1" t="s">
        <v>38</v>
      </c>
      <c r="O14035" s="1" t="s">
        <v>46</v>
      </c>
    </row>
    <row r="14036" spans="2:15" x14ac:dyDescent="0.3">
      <c r="B14036" s="1" t="s">
        <v>19</v>
      </c>
      <c r="C14036" s="1" t="str">
        <f t="shared" si="715"/>
        <v>4차</v>
      </c>
      <c r="D14036" s="1" t="str">
        <f>"0027X23144"</f>
        <v>0027X23144</v>
      </c>
      <c r="E14036" s="1" t="s">
        <v>10</v>
      </c>
      <c r="F14036" s="1" t="str">
        <f>"10.107.10.93"</f>
        <v>10.107.10.93</v>
      </c>
      <c r="G14036" s="1" t="str">
        <f>"0027X231"</f>
        <v>0027X231</v>
      </c>
      <c r="H14036" s="1" t="str">
        <f>"한성간 9R7"</f>
        <v>한성간 9R7</v>
      </c>
      <c r="I14036" s="1" t="s">
        <v>8</v>
      </c>
      <c r="J14036" s="1" t="str">
        <f>"24/24"</f>
        <v>24/24</v>
      </c>
      <c r="K14036" s="1" t="str">
        <f t="shared" si="718"/>
        <v>2026-07-29 13:18:01</v>
      </c>
      <c r="L14036" s="1" t="str">
        <f>"2019-12-13 09:09:41"</f>
        <v>2019-12-13 09:09:41</v>
      </c>
      <c r="M14036" s="1" t="s">
        <v>45</v>
      </c>
      <c r="N14036" s="1" t="s">
        <v>38</v>
      </c>
      <c r="O14036" s="1" t="s">
        <v>46</v>
      </c>
    </row>
    <row r="14037" spans="2:15" x14ac:dyDescent="0.3">
      <c r="B14037" s="1" t="s">
        <v>19</v>
      </c>
      <c r="C14037" s="1" t="str">
        <f t="shared" si="715"/>
        <v>4차</v>
      </c>
      <c r="D14037" s="1" t="str">
        <f>"0027X23244"</f>
        <v>0027X23244</v>
      </c>
      <c r="E14037" s="1" t="s">
        <v>10</v>
      </c>
      <c r="F14037" s="1" t="str">
        <f>"10.107.10.94"</f>
        <v>10.107.10.94</v>
      </c>
      <c r="G14037" s="1" t="str">
        <f>"0027X232"</f>
        <v>0027X232</v>
      </c>
      <c r="H14037" s="1" t="str">
        <f>"한성간 9R7R2"</f>
        <v>한성간 9R7R2</v>
      </c>
      <c r="I14037" s="1" t="s">
        <v>8</v>
      </c>
      <c r="J14037" s="1" t="str">
        <f>"51/51"</f>
        <v>51/51</v>
      </c>
      <c r="K14037" s="1" t="str">
        <f t="shared" si="718"/>
        <v>2026-07-29 13:18:01</v>
      </c>
      <c r="L14037" s="1" t="str">
        <f>"2019-12-13 09:11:41"</f>
        <v>2019-12-13 09:11:41</v>
      </c>
      <c r="M14037" s="1" t="s">
        <v>45</v>
      </c>
      <c r="N14037" s="1" t="s">
        <v>38</v>
      </c>
      <c r="O14037" s="1" t="s">
        <v>46</v>
      </c>
    </row>
    <row r="14038" spans="2:15" x14ac:dyDescent="0.3">
      <c r="B14038" s="1" t="s">
        <v>19</v>
      </c>
      <c r="C14038" s="1" t="str">
        <f t="shared" si="715"/>
        <v>4차</v>
      </c>
      <c r="D14038" s="1" t="str">
        <f>"0027X25244"</f>
        <v>0027X25244</v>
      </c>
      <c r="E14038" s="1" t="s">
        <v>10</v>
      </c>
      <c r="F14038" s="1" t="str">
        <f>"10.107.12.133"</f>
        <v>10.107.12.133</v>
      </c>
      <c r="G14038" s="1" t="str">
        <f>"0027X252"</f>
        <v>0027X252</v>
      </c>
      <c r="H14038" s="1" t="str">
        <f>"한성간 7R8L3"</f>
        <v>한성간 7R8L3</v>
      </c>
      <c r="I14038" s="1" t="s">
        <v>8</v>
      </c>
      <c r="J14038" s="1" t="str">
        <f>"52/52"</f>
        <v>52/52</v>
      </c>
      <c r="K14038" s="1" t="str">
        <f t="shared" si="718"/>
        <v>2026-07-29 13:18:01</v>
      </c>
      <c r="L14038" s="1" t="str">
        <f>"2019-12-24 17:39:07"</f>
        <v>2019-12-24 17:39:07</v>
      </c>
      <c r="M14038" s="1" t="s">
        <v>45</v>
      </c>
      <c r="N14038" s="1" t="s">
        <v>38</v>
      </c>
      <c r="O14038" s="1" t="s">
        <v>46</v>
      </c>
    </row>
    <row r="14039" spans="2:15" x14ac:dyDescent="0.3">
      <c r="B14039" s="1" t="s">
        <v>19</v>
      </c>
      <c r="C14039" s="1" t="str">
        <f t="shared" si="715"/>
        <v>4차</v>
      </c>
      <c r="D14039" s="1" t="str">
        <f>"0027X27144"</f>
        <v>0027X27144</v>
      </c>
      <c r="E14039" s="1" t="s">
        <v>10</v>
      </c>
      <c r="F14039" s="1" t="str">
        <f>"10.107.10.91"</f>
        <v>10.107.10.91</v>
      </c>
      <c r="G14039" s="1" t="str">
        <f>"0027X271"</f>
        <v>0027X271</v>
      </c>
      <c r="H14039" s="1" t="str">
        <f>"한성간 9R2"</f>
        <v>한성간 9R2</v>
      </c>
      <c r="I14039" s="1" t="s">
        <v>8</v>
      </c>
      <c r="J14039" s="1" t="str">
        <f>"78/85"</f>
        <v>78/85</v>
      </c>
      <c r="K14039" s="1" t="str">
        <f t="shared" si="718"/>
        <v>2026-07-29 13:18:01</v>
      </c>
      <c r="L14039" s="1" t="str">
        <f>"2019-12-13 09:16:50"</f>
        <v>2019-12-13 09:16:50</v>
      </c>
      <c r="M14039" s="1" t="s">
        <v>45</v>
      </c>
      <c r="N14039" s="1" t="s">
        <v>38</v>
      </c>
      <c r="O14039" s="1" t="s">
        <v>46</v>
      </c>
    </row>
    <row r="14040" spans="2:15" x14ac:dyDescent="0.3">
      <c r="B14040" s="1" t="s">
        <v>19</v>
      </c>
      <c r="C14040" s="1" t="str">
        <f>"3차"</f>
        <v>3차</v>
      </c>
      <c r="D14040" s="1" t="str">
        <f>"0027X28239"</f>
        <v>0027X28239</v>
      </c>
      <c r="E14040" s="1" t="s">
        <v>10</v>
      </c>
      <c r="F14040" s="1" t="str">
        <f>"10.12.129.138"</f>
        <v>10.12.129.138</v>
      </c>
      <c r="G14040" s="1" t="str">
        <f>"0027X282"</f>
        <v>0027X282</v>
      </c>
      <c r="H14040" s="1" t="str">
        <f>"한성간 9"</f>
        <v>한성간 9</v>
      </c>
      <c r="I14040" s="1" t="s">
        <v>8</v>
      </c>
      <c r="J14040" s="1" t="str">
        <f>"38/40"</f>
        <v>38/40</v>
      </c>
      <c r="K14040" s="1" t="str">
        <f>"2026-07-29 13:18:02"</f>
        <v>2026-07-29 13:18:02</v>
      </c>
      <c r="L14040" s="1" t="str">
        <f>"2018-04-20 10:43:10"</f>
        <v>2018-04-20 10:43:10</v>
      </c>
      <c r="M14040" s="1" t="s">
        <v>0</v>
      </c>
      <c r="N14040" s="1" t="s">
        <v>38</v>
      </c>
      <c r="O14040" s="1" t="s">
        <v>46</v>
      </c>
    </row>
    <row r="14041" spans="2:15" x14ac:dyDescent="0.3">
      <c r="B14041" s="1" t="s">
        <v>19</v>
      </c>
      <c r="C14041" s="1" t="str">
        <f>"4차"</f>
        <v>4차</v>
      </c>
      <c r="D14041" s="1" t="str">
        <f>"0027X33244"</f>
        <v>0027X33244</v>
      </c>
      <c r="E14041" s="1" t="s">
        <v>10</v>
      </c>
      <c r="F14041" s="1" t="str">
        <f>"10.107.10.96"</f>
        <v>10.107.10.96</v>
      </c>
      <c r="G14041" s="1" t="str">
        <f>"0027X332"</f>
        <v>0027X332</v>
      </c>
      <c r="H14041" s="1" t="str">
        <f>"한성간 9R8"</f>
        <v>한성간 9R8</v>
      </c>
      <c r="I14041" s="1" t="s">
        <v>8</v>
      </c>
      <c r="J14041" s="1" t="str">
        <f>"44/44"</f>
        <v>44/44</v>
      </c>
      <c r="K14041" s="1" t="str">
        <f>"2026-07-29 13:18:01"</f>
        <v>2026-07-29 13:18:01</v>
      </c>
      <c r="L14041" s="1" t="str">
        <f>"2019-12-13 09:11:03"</f>
        <v>2019-12-13 09:11:03</v>
      </c>
      <c r="M14041" s="1" t="s">
        <v>45</v>
      </c>
      <c r="N14041" s="1" t="s">
        <v>38</v>
      </c>
      <c r="O14041" s="1" t="s">
        <v>46</v>
      </c>
    </row>
    <row r="14042" spans="2:15" x14ac:dyDescent="0.3">
      <c r="B14042" s="1" t="s">
        <v>19</v>
      </c>
      <c r="C14042" s="1" t="str">
        <f>"5-1차"</f>
        <v>5-1차</v>
      </c>
      <c r="D14042" s="1" t="str">
        <f>"0027X3335M"</f>
        <v>0027X3335M</v>
      </c>
      <c r="E14042" s="1" t="s">
        <v>10</v>
      </c>
      <c r="F14042" s="1" t="str">
        <f>"fde2:104:0:5d:0:0:0:2"</f>
        <v>fde2:104:0:5d:0:0:0:2</v>
      </c>
      <c r="G14042" s="1" t="str">
        <f>"0027X333"</f>
        <v>0027X333</v>
      </c>
      <c r="H14042" s="1" t="str">
        <f>"한성간 9R9L1"</f>
        <v>한성간 9R9L1</v>
      </c>
      <c r="I14042" s="1" t="s">
        <v>15</v>
      </c>
      <c r="J14042" s="1" t="str">
        <f>"134/134"</f>
        <v>134/134</v>
      </c>
      <c r="K14042" s="1" t="str">
        <f>"2026-07-29 14:20:02"</f>
        <v>2026-07-29 14:20:02</v>
      </c>
      <c r="L14042" s="1" t="str">
        <f>"2022-08-10 15:30:19"</f>
        <v>2022-08-10 15:30:19</v>
      </c>
      <c r="M14042" s="1" t="s">
        <v>42</v>
      </c>
      <c r="N14042" s="1" t="s">
        <v>38</v>
      </c>
      <c r="O14042" s="1" t="s">
        <v>46</v>
      </c>
    </row>
    <row r="14043" spans="2:15" x14ac:dyDescent="0.3">
      <c r="B14043" s="1" t="s">
        <v>19</v>
      </c>
      <c r="C14043" s="1" t="str">
        <f>"3차"</f>
        <v>3차</v>
      </c>
      <c r="D14043" s="1" t="str">
        <f>"0027X35239"</f>
        <v>0027X35239</v>
      </c>
      <c r="E14043" s="1" t="s">
        <v>10</v>
      </c>
      <c r="F14043" s="1" t="str">
        <f>"10.11.140.146"</f>
        <v>10.11.140.146</v>
      </c>
      <c r="G14043" s="1" t="str">
        <f>"0027X352"</f>
        <v>0027X352</v>
      </c>
      <c r="H14043" s="1" t="str">
        <f>"한성간 9R4"</f>
        <v>한성간 9R4</v>
      </c>
      <c r="I14043" s="1" t="s">
        <v>8</v>
      </c>
      <c r="J14043" s="1" t="str">
        <f>"142/149"</f>
        <v>142/149</v>
      </c>
      <c r="K14043" s="1" t="str">
        <f>"2026-07-29 13:18:01"</f>
        <v>2026-07-29 13:18:01</v>
      </c>
      <c r="L14043" s="1" t="str">
        <f>"2018-09-12 12:03:56"</f>
        <v>2018-09-12 12:03:56</v>
      </c>
      <c r="M14043" s="1" t="s">
        <v>2</v>
      </c>
      <c r="N14043" s="1" t="s">
        <v>38</v>
      </c>
      <c r="O14043" s="1" t="s">
        <v>46</v>
      </c>
    </row>
    <row r="14044" spans="2:15" x14ac:dyDescent="0.3">
      <c r="B14044" s="1" t="s">
        <v>19</v>
      </c>
      <c r="C14044" s="1" t="str">
        <f>"4차"</f>
        <v>4차</v>
      </c>
      <c r="D14044" s="1" t="str">
        <f>"0027X35444"</f>
        <v>0027X35444</v>
      </c>
      <c r="E14044" s="1" t="s">
        <v>10</v>
      </c>
      <c r="F14044" s="1" t="str">
        <f>"10.107.252.136"</f>
        <v>10.107.252.136</v>
      </c>
      <c r="G14044" s="1" t="str">
        <f>"0027X354"</f>
        <v>0027X354</v>
      </c>
      <c r="H14044" s="1" t="str">
        <f>"한성간 9R4L2"</f>
        <v>한성간 9R4L2</v>
      </c>
      <c r="I14044" s="1" t="s">
        <v>8</v>
      </c>
      <c r="J14044" s="1" t="str">
        <f>"73/74"</f>
        <v>73/74</v>
      </c>
      <c r="K14044" s="1" t="str">
        <f>"2026-07-29 13:18:01"</f>
        <v>2026-07-29 13:18:01</v>
      </c>
      <c r="L14044" s="1" t="str">
        <f>"2019-12-13 09:10:45"</f>
        <v>2019-12-13 09:10:45</v>
      </c>
      <c r="M14044" s="1" t="s">
        <v>45</v>
      </c>
      <c r="N14044" s="1" t="s">
        <v>38</v>
      </c>
      <c r="O14044" s="1" t="s">
        <v>46</v>
      </c>
    </row>
    <row r="14045" spans="2:15" x14ac:dyDescent="0.3">
      <c r="B14045" s="1" t="s">
        <v>19</v>
      </c>
      <c r="C14045" s="1" t="str">
        <f>"4차"</f>
        <v>4차</v>
      </c>
      <c r="D14045" s="1" t="str">
        <f>"0027X37144"</f>
        <v>0027X37144</v>
      </c>
      <c r="E14045" s="1" t="s">
        <v>10</v>
      </c>
      <c r="F14045" s="1" t="str">
        <f>"10.107.10.92"</f>
        <v>10.107.10.92</v>
      </c>
      <c r="G14045" s="1" t="str">
        <f>"0027X371"</f>
        <v>0027X371</v>
      </c>
      <c r="H14045" s="1" t="str">
        <f>"한성간 9R2L2"</f>
        <v>한성간 9R2L2</v>
      </c>
      <c r="I14045" s="1" t="s">
        <v>8</v>
      </c>
      <c r="J14045" s="1" t="str">
        <f>"46/46"</f>
        <v>46/46</v>
      </c>
      <c r="K14045" s="1" t="str">
        <f>"2026-07-29 13:18:01"</f>
        <v>2026-07-29 13:18:01</v>
      </c>
      <c r="L14045" s="1" t="str">
        <f>"2019-12-13 09:18:18"</f>
        <v>2019-12-13 09:18:18</v>
      </c>
      <c r="M14045" s="1" t="s">
        <v>45</v>
      </c>
      <c r="N14045" s="1" t="s">
        <v>38</v>
      </c>
      <c r="O14045" s="1" t="s">
        <v>46</v>
      </c>
    </row>
    <row r="14046" spans="2:15" x14ac:dyDescent="0.3">
      <c r="B14046" s="1" t="s">
        <v>19</v>
      </c>
      <c r="C14046" s="1" t="str">
        <f>"4차"</f>
        <v>4차</v>
      </c>
      <c r="D14046" s="1" t="str">
        <f>"0027X38144"</f>
        <v>0027X38144</v>
      </c>
      <c r="E14046" s="1" t="s">
        <v>10</v>
      </c>
      <c r="F14046" s="1" t="str">
        <f>"10.107.118.34"</f>
        <v>10.107.118.34</v>
      </c>
      <c r="G14046" s="1" t="str">
        <f>"0027X381"</f>
        <v>0027X381</v>
      </c>
      <c r="H14046" s="1" t="str">
        <f>"한성간 10"</f>
        <v>한성간 10</v>
      </c>
      <c r="I14046" s="1" t="s">
        <v>8</v>
      </c>
      <c r="J14046" s="1" t="str">
        <f>"24/25"</f>
        <v>24/25</v>
      </c>
      <c r="K14046" s="1" t="str">
        <f>"2026-07-29 13:18:01"</f>
        <v>2026-07-29 13:18:01</v>
      </c>
      <c r="L14046" s="1" t="str">
        <f>"2019-12-13 12:09:18"</f>
        <v>2019-12-13 12:09:18</v>
      </c>
      <c r="M14046" s="1" t="s">
        <v>45</v>
      </c>
      <c r="N14046" s="1" t="s">
        <v>38</v>
      </c>
      <c r="O14046" s="1" t="s">
        <v>46</v>
      </c>
    </row>
    <row r="14047" spans="2:15" x14ac:dyDescent="0.3">
      <c r="B14047" s="1" t="s">
        <v>19</v>
      </c>
      <c r="C14047" s="1" t="str">
        <f>"4차"</f>
        <v>4차</v>
      </c>
      <c r="D14047" s="1" t="str">
        <f>"0027X40344"</f>
        <v>0027X40344</v>
      </c>
      <c r="E14047" s="1" t="s">
        <v>10</v>
      </c>
      <c r="F14047" s="1" t="str">
        <f>"10.107.10.98"</f>
        <v>10.107.10.98</v>
      </c>
      <c r="G14047" s="1" t="str">
        <f>"0027X403"</f>
        <v>0027X403</v>
      </c>
      <c r="H14047" s="1" t="str">
        <f>"한성간 9R13"</f>
        <v>한성간 9R13</v>
      </c>
      <c r="I14047" s="1" t="s">
        <v>8</v>
      </c>
      <c r="J14047" s="1" t="str">
        <f>"51/51"</f>
        <v>51/51</v>
      </c>
      <c r="K14047" s="1" t="str">
        <f>"2026-07-29 13:18:01"</f>
        <v>2026-07-29 13:18:01</v>
      </c>
      <c r="L14047" s="1" t="str">
        <f>"2019-12-13 09:17:10"</f>
        <v>2019-12-13 09:17:10</v>
      </c>
      <c r="M14047" s="1" t="s">
        <v>45</v>
      </c>
      <c r="N14047" s="1" t="s">
        <v>38</v>
      </c>
      <c r="O14047" s="1" t="s">
        <v>46</v>
      </c>
    </row>
    <row r="14048" spans="2:15" x14ac:dyDescent="0.3">
      <c r="B14048" s="1" t="s">
        <v>19</v>
      </c>
      <c r="C14048" s="1" t="str">
        <f>"5-2차"</f>
        <v>5-2차</v>
      </c>
      <c r="D14048" s="1" t="str">
        <f>"0027X4435M"</f>
        <v>0027X4435M</v>
      </c>
      <c r="E14048" s="1" t="s">
        <v>10</v>
      </c>
      <c r="F14048" s="1" t="str">
        <f>"fde1:103:4:583e:0:0:0:2"</f>
        <v>fde1:103:4:583e:0:0:0:2</v>
      </c>
      <c r="G14048" s="1" t="str">
        <f>"0027X443"</f>
        <v>0027X443</v>
      </c>
      <c r="H14048" s="1" t="str">
        <f>"한성간 9R9L4"</f>
        <v>한성간 9R9L4</v>
      </c>
      <c r="I14048" s="1" t="s">
        <v>15</v>
      </c>
      <c r="J14048" s="1" t="str">
        <f>"54/54"</f>
        <v>54/54</v>
      </c>
      <c r="K14048" s="1" t="str">
        <f>"2026-07-29 14:20:04"</f>
        <v>2026-07-29 14:20:04</v>
      </c>
      <c r="L14048" s="1" t="str">
        <f>"2023-09-13 11:11:46"</f>
        <v>2023-09-13 11:11:46</v>
      </c>
      <c r="M14048" s="1" t="s">
        <v>4</v>
      </c>
      <c r="N14048" s="1" t="s">
        <v>38</v>
      </c>
      <c r="O14048" s="1" t="s">
        <v>46</v>
      </c>
    </row>
    <row r="14049" spans="2:15" x14ac:dyDescent="0.3">
      <c r="B14049" s="1" t="s">
        <v>19</v>
      </c>
      <c r="C14049" s="1" t="str">
        <f t="shared" ref="C14049:C14056" si="719">"4차"</f>
        <v>4차</v>
      </c>
      <c r="D14049" s="1" t="str">
        <f>"0027X45444"</f>
        <v>0027X45444</v>
      </c>
      <c r="E14049" s="1" t="s">
        <v>10</v>
      </c>
      <c r="F14049" s="1" t="str">
        <f>"10.107.252.137"</f>
        <v>10.107.252.137</v>
      </c>
      <c r="G14049" s="1" t="str">
        <f>"0027X454"</f>
        <v>0027X454</v>
      </c>
      <c r="H14049" s="1" t="str">
        <f>"한성간 9R4L3"</f>
        <v>한성간 9R4L3</v>
      </c>
      <c r="I14049" s="1" t="s">
        <v>8</v>
      </c>
      <c r="J14049" s="1" t="str">
        <f>"48/52"</f>
        <v>48/52</v>
      </c>
      <c r="K14049" s="1" t="str">
        <f>"2026-07-29 13:18:01"</f>
        <v>2026-07-29 13:18:01</v>
      </c>
      <c r="L14049" s="1" t="str">
        <f>"2019-12-13 09:10:17"</f>
        <v>2019-12-13 09:10:17</v>
      </c>
      <c r="M14049" s="1" t="s">
        <v>45</v>
      </c>
      <c r="N14049" s="1" t="s">
        <v>38</v>
      </c>
      <c r="O14049" s="1" t="s">
        <v>46</v>
      </c>
    </row>
    <row r="14050" spans="2:15" x14ac:dyDescent="0.3">
      <c r="B14050" s="1" t="s">
        <v>19</v>
      </c>
      <c r="C14050" s="1" t="str">
        <f t="shared" si="719"/>
        <v>4차</v>
      </c>
      <c r="D14050" s="1" t="str">
        <f>"0027X47244"</f>
        <v>0027X47244</v>
      </c>
      <c r="E14050" s="1" t="s">
        <v>10</v>
      </c>
      <c r="F14050" s="1" t="str">
        <f>"10.12.137.239"</f>
        <v>10.12.137.239</v>
      </c>
      <c r="G14050" s="1" t="str">
        <f>"0027X472"</f>
        <v>0027X472</v>
      </c>
      <c r="H14050" s="1" t="str">
        <f>"한성간 9R2L3"</f>
        <v>한성간 9R2L3</v>
      </c>
      <c r="I14050" s="1" t="s">
        <v>8</v>
      </c>
      <c r="J14050" s="1" t="str">
        <f>"68/69"</f>
        <v>68/69</v>
      </c>
      <c r="K14050" s="1" t="str">
        <f>"2026-07-29 13:18:02"</f>
        <v>2026-07-29 13:18:02</v>
      </c>
      <c r="L14050" s="1" t="str">
        <f>"2020-01-14 14:58:31"</f>
        <v>2020-01-14 14:58:31</v>
      </c>
      <c r="M14050" s="1" t="s">
        <v>0</v>
      </c>
      <c r="N14050" s="1" t="s">
        <v>38</v>
      </c>
      <c r="O14050" s="1" t="s">
        <v>46</v>
      </c>
    </row>
    <row r="14051" spans="2:15" x14ac:dyDescent="0.3">
      <c r="B14051" s="1" t="s">
        <v>19</v>
      </c>
      <c r="C14051" s="1" t="str">
        <f t="shared" si="719"/>
        <v>4차</v>
      </c>
      <c r="D14051" s="1" t="str">
        <f>"0027X48144"</f>
        <v>0027X48144</v>
      </c>
      <c r="E14051" s="1" t="s">
        <v>10</v>
      </c>
      <c r="F14051" s="1" t="str">
        <f>"10.107.252.140"</f>
        <v>10.107.252.140</v>
      </c>
      <c r="G14051" s="1" t="str">
        <f>"0027X481"</f>
        <v>0027X481</v>
      </c>
      <c r="H14051" s="1" t="str">
        <f>"한성간 9R4L5R1R3"</f>
        <v>한성간 9R4L5R1R3</v>
      </c>
      <c r="I14051" s="1" t="s">
        <v>8</v>
      </c>
      <c r="J14051" s="1" t="str">
        <f>"29/40"</f>
        <v>29/40</v>
      </c>
      <c r="K14051" s="1" t="str">
        <f t="shared" ref="K14051:K14057" si="720">"2026-07-29 13:18:01"</f>
        <v>2026-07-29 13:18:01</v>
      </c>
      <c r="L14051" s="1" t="str">
        <f>"2019-12-13 09:18:39"</f>
        <v>2019-12-13 09:18:39</v>
      </c>
      <c r="M14051" s="1" t="s">
        <v>45</v>
      </c>
      <c r="N14051" s="1" t="s">
        <v>38</v>
      </c>
      <c r="O14051" s="1" t="s">
        <v>46</v>
      </c>
    </row>
    <row r="14052" spans="2:15" x14ac:dyDescent="0.3">
      <c r="B14052" s="1" t="s">
        <v>19</v>
      </c>
      <c r="C14052" s="1" t="str">
        <f t="shared" si="719"/>
        <v>4차</v>
      </c>
      <c r="D14052" s="1" t="str">
        <f>"0027X49544"</f>
        <v>0027X49544</v>
      </c>
      <c r="E14052" s="1" t="s">
        <v>10</v>
      </c>
      <c r="F14052" s="1" t="str">
        <f>"10.107.118.44"</f>
        <v>10.107.118.44</v>
      </c>
      <c r="G14052" s="1" t="str">
        <f>"0027X495"</f>
        <v>0027X495</v>
      </c>
      <c r="H14052" s="1" t="str">
        <f>"보문지 7R9"</f>
        <v>보문지 7R9</v>
      </c>
      <c r="I14052" s="1" t="s">
        <v>8</v>
      </c>
      <c r="J14052" s="1" t="str">
        <f>"35/35"</f>
        <v>35/35</v>
      </c>
      <c r="K14052" s="1" t="str">
        <f t="shared" si="720"/>
        <v>2026-07-29 13:18:01</v>
      </c>
      <c r="L14052" s="1" t="str">
        <f>"2019-10-18 17:13:09"</f>
        <v>2019-10-18 17:13:09</v>
      </c>
      <c r="M14052" s="1" t="s">
        <v>45</v>
      </c>
      <c r="N14052" s="1" t="s">
        <v>38</v>
      </c>
      <c r="O14052" s="1" t="s">
        <v>46</v>
      </c>
    </row>
    <row r="14053" spans="2:15" x14ac:dyDescent="0.3">
      <c r="B14053" s="1" t="s">
        <v>19</v>
      </c>
      <c r="C14053" s="1" t="str">
        <f t="shared" si="719"/>
        <v>4차</v>
      </c>
      <c r="D14053" s="1" t="str">
        <f>"0027X55144"</f>
        <v>0027X55144</v>
      </c>
      <c r="E14053" s="1" t="s">
        <v>10</v>
      </c>
      <c r="F14053" s="1" t="str">
        <f>"10.107.252.141"</f>
        <v>10.107.252.141</v>
      </c>
      <c r="G14053" s="1" t="str">
        <f>"0027X551"</f>
        <v>0027X551</v>
      </c>
      <c r="H14053" s="1" t="str">
        <f>"한성간 9R4L5R2"</f>
        <v>한성간 9R4L5R2</v>
      </c>
      <c r="I14053" s="1" t="s">
        <v>8</v>
      </c>
      <c r="J14053" s="1" t="str">
        <f>"24/24"</f>
        <v>24/24</v>
      </c>
      <c r="K14053" s="1" t="str">
        <f t="shared" si="720"/>
        <v>2026-07-29 13:18:01</v>
      </c>
      <c r="L14053" s="1" t="str">
        <f>"2019-12-24 17:36:32"</f>
        <v>2019-12-24 17:36:32</v>
      </c>
      <c r="M14053" s="1" t="s">
        <v>45</v>
      </c>
      <c r="N14053" s="1" t="s">
        <v>38</v>
      </c>
      <c r="O14053" s="1" t="s">
        <v>46</v>
      </c>
    </row>
    <row r="14054" spans="2:15" x14ac:dyDescent="0.3">
      <c r="B14054" s="1" t="s">
        <v>19</v>
      </c>
      <c r="C14054" s="1" t="str">
        <f t="shared" si="719"/>
        <v>4차</v>
      </c>
      <c r="D14054" s="1" t="str">
        <f>"0027X56144"</f>
        <v>0027X56144</v>
      </c>
      <c r="E14054" s="1" t="s">
        <v>10</v>
      </c>
      <c r="F14054" s="1" t="str">
        <f>"10.107.251.25"</f>
        <v>10.107.251.25</v>
      </c>
      <c r="G14054" s="1" t="str">
        <f>"0027X561"</f>
        <v>0027X561</v>
      </c>
      <c r="H14054" s="1" t="str">
        <f>"한성간 9R4L5R1"</f>
        <v>한성간 9R4L5R1</v>
      </c>
      <c r="I14054" s="1" t="s">
        <v>8</v>
      </c>
      <c r="J14054" s="1" t="str">
        <f>"13/13"</f>
        <v>13/13</v>
      </c>
      <c r="K14054" s="1" t="str">
        <f t="shared" si="720"/>
        <v>2026-07-29 13:18:01</v>
      </c>
      <c r="L14054" s="1" t="str">
        <f>"2019-12-13 09:18:44"</f>
        <v>2019-12-13 09:18:44</v>
      </c>
      <c r="M14054" s="1" t="s">
        <v>45</v>
      </c>
      <c r="N14054" s="1" t="s">
        <v>38</v>
      </c>
      <c r="O14054" s="1" t="s">
        <v>46</v>
      </c>
    </row>
    <row r="14055" spans="2:15" x14ac:dyDescent="0.3">
      <c r="B14055" s="1" t="s">
        <v>19</v>
      </c>
      <c r="C14055" s="1" t="str">
        <f t="shared" si="719"/>
        <v>4차</v>
      </c>
      <c r="D14055" s="1" t="str">
        <f>"0027X56344"</f>
        <v>0027X56344</v>
      </c>
      <c r="E14055" s="1" t="s">
        <v>10</v>
      </c>
      <c r="F14055" s="1" t="str">
        <f>"10.107.252.138"</f>
        <v>10.107.252.138</v>
      </c>
      <c r="G14055" s="1" t="str">
        <f>"0027X563"</f>
        <v>0027X563</v>
      </c>
      <c r="H14055" s="1" t="str">
        <f>"한성간 9R4L5"</f>
        <v>한성간 9R4L5</v>
      </c>
      <c r="I14055" s="1" t="s">
        <v>8</v>
      </c>
      <c r="J14055" s="1" t="str">
        <f>"41/41"</f>
        <v>41/41</v>
      </c>
      <c r="K14055" s="1" t="str">
        <f t="shared" si="720"/>
        <v>2026-07-29 13:18:01</v>
      </c>
      <c r="L14055" s="1" t="str">
        <f>"2019-12-13 12:10:09"</f>
        <v>2019-12-13 12:10:09</v>
      </c>
      <c r="M14055" s="1" t="s">
        <v>45</v>
      </c>
      <c r="N14055" s="1" t="s">
        <v>38</v>
      </c>
      <c r="O14055" s="1" t="s">
        <v>46</v>
      </c>
    </row>
    <row r="14056" spans="2:15" x14ac:dyDescent="0.3">
      <c r="B14056" s="1" t="s">
        <v>19</v>
      </c>
      <c r="C14056" s="1" t="str">
        <f t="shared" si="719"/>
        <v>4차</v>
      </c>
      <c r="D14056" s="1" t="str">
        <f>"0027X57144"</f>
        <v>0027X57144</v>
      </c>
      <c r="E14056" s="1" t="s">
        <v>10</v>
      </c>
      <c r="F14056" s="1" t="str">
        <f>"10.107.252.139"</f>
        <v>10.107.252.139</v>
      </c>
      <c r="G14056" s="1" t="str">
        <f>"0027X571"</f>
        <v>0027X571</v>
      </c>
      <c r="H14056" s="1" t="str">
        <f>"한성간 9R4L5R1R1"</f>
        <v>한성간 9R4L5R1R1</v>
      </c>
      <c r="I14056" s="1" t="s">
        <v>8</v>
      </c>
      <c r="J14056" s="1" t="str">
        <f>"28/28"</f>
        <v>28/28</v>
      </c>
      <c r="K14056" s="1" t="str">
        <f t="shared" si="720"/>
        <v>2026-07-29 13:18:01</v>
      </c>
      <c r="L14056" s="1" t="str">
        <f>"2019-12-13 12:09:19"</f>
        <v>2019-12-13 12:09:19</v>
      </c>
      <c r="M14056" s="1" t="s">
        <v>45</v>
      </c>
      <c r="N14056" s="1" t="s">
        <v>38</v>
      </c>
      <c r="O14056" s="1" t="s">
        <v>46</v>
      </c>
    </row>
    <row r="14057" spans="2:15" x14ac:dyDescent="0.3">
      <c r="B14057" s="1" t="s">
        <v>19</v>
      </c>
      <c r="C14057" s="1" t="str">
        <f>"3차"</f>
        <v>3차</v>
      </c>
      <c r="D14057" s="1" t="str">
        <f>"0027X57239"</f>
        <v>0027X57239</v>
      </c>
      <c r="E14057" s="1" t="s">
        <v>10</v>
      </c>
      <c r="F14057" s="1" t="str">
        <f>"10.12.129.140"</f>
        <v>10.12.129.140</v>
      </c>
      <c r="G14057" s="1" t="str">
        <f>"0027X572"</f>
        <v>0027X572</v>
      </c>
      <c r="H14057" s="1" t="str">
        <f>"한성간 9R4L7"</f>
        <v>한성간 9R4L7</v>
      </c>
      <c r="I14057" s="1" t="s">
        <v>8</v>
      </c>
      <c r="J14057" s="1" t="str">
        <f>"47/47"</f>
        <v>47/47</v>
      </c>
      <c r="K14057" s="1" t="str">
        <f t="shared" si="720"/>
        <v>2026-07-29 13:18:01</v>
      </c>
      <c r="L14057" s="1" t="str">
        <f>"2018-04-20 11:08:57"</f>
        <v>2018-04-20 11:08:57</v>
      </c>
      <c r="M14057" s="1" t="s">
        <v>0</v>
      </c>
      <c r="N14057" s="1" t="s">
        <v>38</v>
      </c>
      <c r="O14057" s="1" t="s">
        <v>46</v>
      </c>
    </row>
    <row r="14058" spans="2:15" x14ac:dyDescent="0.3">
      <c r="B14058" s="1" t="s">
        <v>19</v>
      </c>
      <c r="C14058" s="1" t="str">
        <f>"4차"</f>
        <v>4차</v>
      </c>
      <c r="D14058" s="1" t="str">
        <f>"0027X58141"</f>
        <v>0027X58141</v>
      </c>
      <c r="E14058" s="1" t="s">
        <v>10</v>
      </c>
      <c r="F14058" s="1" t="str">
        <f>"10.14.14.12"</f>
        <v>10.14.14.12</v>
      </c>
      <c r="G14058" s="1" t="str">
        <f>"0027X581"</f>
        <v>0027X581</v>
      </c>
      <c r="H14058" s="1" t="str">
        <f>"한성간 9R4L8"</f>
        <v>한성간 9R4L8</v>
      </c>
      <c r="I14058" s="1" t="s">
        <v>17</v>
      </c>
      <c r="J14058" s="1" t="str">
        <f>"60/61"</f>
        <v>60/61</v>
      </c>
      <c r="K14058" s="1" t="str">
        <f>"2026-07-29 13:18:02"</f>
        <v>2026-07-29 13:18:02</v>
      </c>
      <c r="L14058" s="1" t="str">
        <f>"2021-06-15 13:45:37"</f>
        <v>2021-06-15 13:45:37</v>
      </c>
      <c r="M14058" s="1" t="s">
        <v>3</v>
      </c>
      <c r="N14058" s="1" t="s">
        <v>38</v>
      </c>
      <c r="O14058" s="1" t="s">
        <v>46</v>
      </c>
    </row>
    <row r="14059" spans="2:15" x14ac:dyDescent="0.3">
      <c r="B14059" s="1" t="s">
        <v>19</v>
      </c>
      <c r="C14059" s="1" t="str">
        <f>"4차"</f>
        <v>4차</v>
      </c>
      <c r="D14059" s="1" t="str">
        <f>"0027X59141"</f>
        <v>0027X59141</v>
      </c>
      <c r="E14059" s="1" t="s">
        <v>10</v>
      </c>
      <c r="F14059" s="1" t="str">
        <f>"10.12.134.247"</f>
        <v>10.12.134.247</v>
      </c>
      <c r="G14059" s="1" t="str">
        <f>"0027X591"</f>
        <v>0027X591</v>
      </c>
      <c r="H14059" s="1" t="str">
        <f>"보문지 7R7"</f>
        <v>보문지 7R7</v>
      </c>
      <c r="I14059" s="1" t="s">
        <v>17</v>
      </c>
      <c r="J14059" s="1" t="str">
        <f>"22/25"</f>
        <v>22/25</v>
      </c>
      <c r="K14059" s="1" t="str">
        <f>"2026-07-29 13:18:01"</f>
        <v>2026-07-29 13:18:01</v>
      </c>
      <c r="L14059" s="1" t="str">
        <f>"2021-08-30 10:57:41"</f>
        <v>2021-08-30 10:57:41</v>
      </c>
      <c r="M14059" s="1" t="s">
        <v>0</v>
      </c>
      <c r="N14059" s="1" t="s">
        <v>38</v>
      </c>
      <c r="O14059" s="1" t="s">
        <v>46</v>
      </c>
    </row>
    <row r="14060" spans="2:15" x14ac:dyDescent="0.3">
      <c r="B14060" s="1" t="s">
        <v>19</v>
      </c>
      <c r="C14060" s="1" t="str">
        <f>"4차"</f>
        <v>4차</v>
      </c>
      <c r="D14060" s="1" t="str">
        <f>"0027X63141"</f>
        <v>0027X63141</v>
      </c>
      <c r="E14060" s="1" t="s">
        <v>10</v>
      </c>
      <c r="F14060" s="1" t="str">
        <f>"10.14.13.15"</f>
        <v>10.14.13.15</v>
      </c>
      <c r="G14060" s="1" t="str">
        <f>"0027X631"</f>
        <v>0027X631</v>
      </c>
      <c r="H14060" s="1" t="str">
        <f>"한성간 15R7"</f>
        <v>한성간 15R7</v>
      </c>
      <c r="I14060" s="1" t="s">
        <v>17</v>
      </c>
      <c r="J14060" s="1" t="str">
        <f>"33/43"</f>
        <v>33/43</v>
      </c>
      <c r="K14060" s="1" t="str">
        <f>"2026-07-29 13:18:02"</f>
        <v>2026-07-29 13:18:02</v>
      </c>
      <c r="L14060" s="1" t="str">
        <f>"2021-06-17 11:34:46"</f>
        <v>2021-06-17 11:34:46</v>
      </c>
      <c r="M14060" s="1" t="s">
        <v>3</v>
      </c>
      <c r="N14060" s="1" t="s">
        <v>38</v>
      </c>
      <c r="O14060" s="1" t="s">
        <v>46</v>
      </c>
    </row>
    <row r="14061" spans="2:15" x14ac:dyDescent="0.3">
      <c r="B14061" s="1" t="s">
        <v>19</v>
      </c>
      <c r="C14061" s="1" t="str">
        <f>"5-1차"</f>
        <v>5-1차</v>
      </c>
      <c r="D14061" s="1" t="str">
        <f>"0027X6355M"</f>
        <v>0027X6355M</v>
      </c>
      <c r="E14061" s="1" t="s">
        <v>10</v>
      </c>
      <c r="F14061" s="1" t="str">
        <f>"fde2:104:0:56:0:0:0:2"</f>
        <v>fde2:104:0:56:0:0:0:2</v>
      </c>
      <c r="G14061" s="1" t="str">
        <f>"0027X635"</f>
        <v>0027X635</v>
      </c>
      <c r="H14061" s="1" t="str">
        <f>"한성간 9R4L5R6"</f>
        <v>한성간 9R4L5R6</v>
      </c>
      <c r="I14061" s="1" t="s">
        <v>15</v>
      </c>
      <c r="J14061" s="1" t="str">
        <f>"47/47"</f>
        <v>47/47</v>
      </c>
      <c r="K14061" s="1" t="str">
        <f>"2026-07-29 14:20:02"</f>
        <v>2026-07-29 14:20:02</v>
      </c>
      <c r="L14061" s="1" t="str">
        <f>"2022-08-10 15:58:21"</f>
        <v>2022-08-10 15:58:21</v>
      </c>
      <c r="M14061" s="1" t="s">
        <v>42</v>
      </c>
      <c r="N14061" s="1" t="s">
        <v>38</v>
      </c>
      <c r="O14061" s="1" t="s">
        <v>46</v>
      </c>
    </row>
    <row r="14062" spans="2:15" x14ac:dyDescent="0.3">
      <c r="B14062" s="1" t="s">
        <v>19</v>
      </c>
      <c r="C14062" s="1" t="str">
        <f>"4차"</f>
        <v>4차</v>
      </c>
      <c r="D14062" s="1" t="str">
        <f>"0027X64144"</f>
        <v>0027X64144</v>
      </c>
      <c r="E14062" s="1" t="s">
        <v>10</v>
      </c>
      <c r="F14062" s="1" t="str">
        <f>"10.107.251.21"</f>
        <v>10.107.251.21</v>
      </c>
      <c r="G14062" s="1" t="str">
        <f>"0027X641"</f>
        <v>0027X641</v>
      </c>
      <c r="H14062" s="1" t="str">
        <f>"한성간 15R6"</f>
        <v>한성간 15R6</v>
      </c>
      <c r="I14062" s="1" t="s">
        <v>8</v>
      </c>
      <c r="J14062" s="1" t="str">
        <f>"22/36"</f>
        <v>22/36</v>
      </c>
      <c r="K14062" s="1" t="str">
        <f>"2026-07-29 13:18:01"</f>
        <v>2026-07-29 13:18:01</v>
      </c>
      <c r="L14062" s="1" t="str">
        <f>"2019-12-13 09:18:39"</f>
        <v>2019-12-13 09:18:39</v>
      </c>
      <c r="M14062" s="1" t="s">
        <v>45</v>
      </c>
      <c r="N14062" s="1" t="s">
        <v>38</v>
      </c>
      <c r="O14062" s="1" t="s">
        <v>46</v>
      </c>
    </row>
    <row r="14063" spans="2:15" x14ac:dyDescent="0.3">
      <c r="B14063" s="1" t="s">
        <v>19</v>
      </c>
      <c r="C14063" s="1" t="str">
        <f>"4차"</f>
        <v>4차</v>
      </c>
      <c r="D14063" s="1" t="str">
        <f>"0027X65139"</f>
        <v>0027X65139</v>
      </c>
      <c r="E14063" s="1" t="s">
        <v>10</v>
      </c>
      <c r="F14063" s="1" t="str">
        <f>"10.11.140.138"</f>
        <v>10.11.140.138</v>
      </c>
      <c r="G14063" s="1" t="str">
        <f>"0027X651"</f>
        <v>0027X651</v>
      </c>
      <c r="H14063" s="1" t="str">
        <f>"한성간 15R5"</f>
        <v>한성간 15R5</v>
      </c>
      <c r="I14063" s="1" t="s">
        <v>8</v>
      </c>
      <c r="J14063" s="1" t="str">
        <f>"97/116"</f>
        <v>97/116</v>
      </c>
      <c r="K14063" s="1" t="str">
        <f>"2026-07-29 13:18:01"</f>
        <v>2026-07-29 13:18:01</v>
      </c>
      <c r="L14063" s="1" t="str">
        <f>"2019-01-08 08:39:10"</f>
        <v>2019-01-08 08:39:10</v>
      </c>
      <c r="M14063" s="1" t="s">
        <v>2</v>
      </c>
      <c r="N14063" s="1" t="s">
        <v>38</v>
      </c>
      <c r="O14063" s="1" t="s">
        <v>46</v>
      </c>
    </row>
    <row r="14064" spans="2:15" x14ac:dyDescent="0.3">
      <c r="B14064" s="1" t="s">
        <v>19</v>
      </c>
      <c r="C14064" s="1" t="str">
        <f>"4차"</f>
        <v>4차</v>
      </c>
      <c r="D14064" s="1" t="str">
        <f>"0027X66244"</f>
        <v>0027X66244</v>
      </c>
      <c r="E14064" s="1" t="s">
        <v>10</v>
      </c>
      <c r="F14064" s="1" t="str">
        <f>"10.107.252.142"</f>
        <v>10.107.252.142</v>
      </c>
      <c r="G14064" s="1" t="str">
        <f>"0027X662"</f>
        <v>0027X662</v>
      </c>
      <c r="H14064" s="1" t="str">
        <f>"한성간 9R4L6"</f>
        <v>한성간 9R4L6</v>
      </c>
      <c r="I14064" s="1" t="s">
        <v>8</v>
      </c>
      <c r="J14064" s="1" t="str">
        <f>"33/33"</f>
        <v>33/33</v>
      </c>
      <c r="K14064" s="1" t="str">
        <f>"2026-07-29 13:18:00"</f>
        <v>2026-07-29 13:18:00</v>
      </c>
      <c r="L14064" s="1" t="str">
        <f>"2019-12-13 12:09:19"</f>
        <v>2019-12-13 12:09:19</v>
      </c>
      <c r="M14064" s="1" t="s">
        <v>45</v>
      </c>
      <c r="N14064" s="1" t="s">
        <v>38</v>
      </c>
      <c r="O14064" s="1" t="s">
        <v>46</v>
      </c>
    </row>
    <row r="14065" spans="2:15" x14ac:dyDescent="0.3">
      <c r="B14065" s="1" t="s">
        <v>19</v>
      </c>
      <c r="C14065" s="1" t="str">
        <f>"4차"</f>
        <v>4차</v>
      </c>
      <c r="D14065" s="1" t="str">
        <f>"0027X67244"</f>
        <v>0027X67244</v>
      </c>
      <c r="E14065" s="1" t="s">
        <v>10</v>
      </c>
      <c r="F14065" s="1" t="str">
        <f>"10.107.251.20"</f>
        <v>10.107.251.20</v>
      </c>
      <c r="G14065" s="1" t="str">
        <f>"0027X672"</f>
        <v>0027X672</v>
      </c>
      <c r="H14065" s="1" t="str">
        <f>"한성간 15R3"</f>
        <v>한성간 15R3</v>
      </c>
      <c r="I14065" s="1" t="s">
        <v>8</v>
      </c>
      <c r="J14065" s="1" t="str">
        <f>"18/18"</f>
        <v>18/18</v>
      </c>
      <c r="K14065" s="1" t="str">
        <f>"2026-07-29 13:18:00"</f>
        <v>2026-07-29 13:18:00</v>
      </c>
      <c r="L14065" s="1" t="str">
        <f>"2019-12-13 12:09:18"</f>
        <v>2019-12-13 12:09:18</v>
      </c>
      <c r="M14065" s="1" t="s">
        <v>45</v>
      </c>
      <c r="N14065" s="1" t="s">
        <v>38</v>
      </c>
      <c r="O14065" s="1" t="s">
        <v>46</v>
      </c>
    </row>
    <row r="14066" spans="2:15" x14ac:dyDescent="0.3">
      <c r="B14066" s="1" t="s">
        <v>19</v>
      </c>
      <c r="C14066" s="1" t="str">
        <f>"3차"</f>
        <v>3차</v>
      </c>
      <c r="D14066" s="1" t="str">
        <f>"0027X68239"</f>
        <v>0027X68239</v>
      </c>
      <c r="E14066" s="1" t="s">
        <v>10</v>
      </c>
      <c r="F14066" s="1" t="str">
        <f>"10.12.136.179"</f>
        <v>10.12.136.179</v>
      </c>
      <c r="G14066" s="1" t="str">
        <f>"0027X682"</f>
        <v>0027X682</v>
      </c>
      <c r="H14066" s="1" t="str">
        <f>"한성간 15R2H1"</f>
        <v>한성간 15R2H1</v>
      </c>
      <c r="I14066" s="1" t="s">
        <v>8</v>
      </c>
      <c r="J14066" s="1" t="str">
        <f>"91/91"</f>
        <v>91/91</v>
      </c>
      <c r="K14066" s="1" t="str">
        <f>"2026-07-29 13:18:02"</f>
        <v>2026-07-29 13:18:02</v>
      </c>
      <c r="L14066" s="1" t="str">
        <f>"2018-09-12 10:06:25"</f>
        <v>2018-09-12 10:06:25</v>
      </c>
      <c r="M14066" s="1" t="s">
        <v>0</v>
      </c>
      <c r="N14066" s="1" t="s">
        <v>38</v>
      </c>
      <c r="O14066" s="1" t="s">
        <v>46</v>
      </c>
    </row>
    <row r="14067" spans="2:15" x14ac:dyDescent="0.3">
      <c r="B14067" s="1" t="s">
        <v>19</v>
      </c>
      <c r="C14067" s="1" t="str">
        <f>"5-1차"</f>
        <v>5-1차</v>
      </c>
      <c r="D14067" s="1" t="str">
        <f>"0027X7115M"</f>
        <v>0027X7115M</v>
      </c>
      <c r="E14067" s="1" t="s">
        <v>10</v>
      </c>
      <c r="F14067" s="1" t="str">
        <f>"fde2:104:0:5a:0:0:0:2"</f>
        <v>fde2:104:0:5a:0:0:0:2</v>
      </c>
      <c r="G14067" s="1" t="str">
        <f>"0027X711"</f>
        <v>0027X711</v>
      </c>
      <c r="H14067" s="1" t="str">
        <f>"한성간 15R9"</f>
        <v>한성간 15R9</v>
      </c>
      <c r="I14067" s="1" t="s">
        <v>15</v>
      </c>
      <c r="J14067" s="1" t="str">
        <f>"79/79"</f>
        <v>79/79</v>
      </c>
      <c r="K14067" s="1" t="str">
        <f>"2026-07-29 14:20:04"</f>
        <v>2026-07-29 14:20:04</v>
      </c>
      <c r="L14067" s="1" t="str">
        <f>"2022-08-30 17:13:58"</f>
        <v>2022-08-30 17:13:58</v>
      </c>
      <c r="M14067" s="1" t="s">
        <v>42</v>
      </c>
      <c r="N14067" s="1" t="s">
        <v>38</v>
      </c>
      <c r="O14067" s="1" t="s">
        <v>46</v>
      </c>
    </row>
    <row r="14068" spans="2:15" x14ac:dyDescent="0.3">
      <c r="B14068" s="1" t="s">
        <v>19</v>
      </c>
      <c r="C14068" s="1" t="str">
        <f>"4차"</f>
        <v>4차</v>
      </c>
      <c r="D14068" s="1" t="str">
        <f>"0027X75144"</f>
        <v>0027X75144</v>
      </c>
      <c r="E14068" s="1" t="s">
        <v>10</v>
      </c>
      <c r="F14068" s="1" t="str">
        <f>"10.107.252.135"</f>
        <v>10.107.252.135</v>
      </c>
      <c r="G14068" s="1" t="str">
        <f>"0027X751"</f>
        <v>0027X751</v>
      </c>
      <c r="H14068" s="1" t="str">
        <f>"한성간 21"</f>
        <v>한성간 21</v>
      </c>
      <c r="I14068" s="1" t="s">
        <v>8</v>
      </c>
      <c r="J14068" s="1" t="str">
        <f>"33/33"</f>
        <v>33/33</v>
      </c>
      <c r="K14068" s="1" t="str">
        <f>"2026-07-29 13:18:00"</f>
        <v>2026-07-29 13:18:00</v>
      </c>
      <c r="L14068" s="1" t="str">
        <f>"2019-12-13 09:09:45"</f>
        <v>2019-12-13 09:09:45</v>
      </c>
      <c r="M14068" s="1" t="s">
        <v>45</v>
      </c>
      <c r="N14068" s="1" t="s">
        <v>38</v>
      </c>
      <c r="O14068" s="1" t="s">
        <v>46</v>
      </c>
    </row>
    <row r="14069" spans="2:15" x14ac:dyDescent="0.3">
      <c r="B14069" s="1" t="s">
        <v>19</v>
      </c>
      <c r="C14069" s="1" t="str">
        <f>"4차"</f>
        <v>4차</v>
      </c>
      <c r="D14069" s="1" t="str">
        <f>"0027X77144"</f>
        <v>0027X77144</v>
      </c>
      <c r="E14069" s="1" t="s">
        <v>10</v>
      </c>
      <c r="F14069" s="1" t="str">
        <f>"10.107.252.134"</f>
        <v>10.107.252.134</v>
      </c>
      <c r="G14069" s="1" t="str">
        <f>"0027X771"</f>
        <v>0027X771</v>
      </c>
      <c r="H14069" s="1" t="str">
        <f>"한성간 19"</f>
        <v>한성간 19</v>
      </c>
      <c r="I14069" s="1" t="s">
        <v>8</v>
      </c>
      <c r="J14069" s="1" t="str">
        <f>"54/54"</f>
        <v>54/54</v>
      </c>
      <c r="K14069" s="1" t="str">
        <f>"2026-07-29 13:18:00"</f>
        <v>2026-07-29 13:18:00</v>
      </c>
      <c r="L14069" s="1" t="str">
        <f>"2020-02-10 18:41:03"</f>
        <v>2020-02-10 18:41:03</v>
      </c>
      <c r="M14069" s="1" t="s">
        <v>45</v>
      </c>
      <c r="N14069" s="1" t="s">
        <v>38</v>
      </c>
      <c r="O14069" s="1" t="s">
        <v>46</v>
      </c>
    </row>
    <row r="14070" spans="2:15" x14ac:dyDescent="0.3">
      <c r="B14070" s="1" t="s">
        <v>19</v>
      </c>
      <c r="C14070" s="1" t="str">
        <f>"4차"</f>
        <v>4차</v>
      </c>
      <c r="D14070" s="1" t="str">
        <f>"0027X78144"</f>
        <v>0027X78144</v>
      </c>
      <c r="E14070" s="1" t="s">
        <v>10</v>
      </c>
      <c r="F14070" s="1" t="str">
        <f>"10.107.252.133"</f>
        <v>10.107.252.133</v>
      </c>
      <c r="G14070" s="1" t="str">
        <f>"0027X781"</f>
        <v>0027X781</v>
      </c>
      <c r="H14070" s="1" t="str">
        <f>"한성간 18"</f>
        <v>한성간 18</v>
      </c>
      <c r="I14070" s="1" t="s">
        <v>8</v>
      </c>
      <c r="J14070" s="1" t="str">
        <f>"53/53"</f>
        <v>53/53</v>
      </c>
      <c r="K14070" s="1" t="str">
        <f>"2026-07-29 13:18:00"</f>
        <v>2026-07-29 13:18:00</v>
      </c>
      <c r="L14070" s="1" t="str">
        <f>"2019-12-13 12:09:20"</f>
        <v>2019-12-13 12:09:20</v>
      </c>
      <c r="M14070" s="1" t="s">
        <v>45</v>
      </c>
      <c r="N14070" s="1" t="s">
        <v>38</v>
      </c>
      <c r="O14070" s="1" t="s">
        <v>46</v>
      </c>
    </row>
    <row r="14071" spans="2:15" x14ac:dyDescent="0.3">
      <c r="B14071" s="1" t="s">
        <v>19</v>
      </c>
      <c r="C14071" s="1" t="str">
        <f>"3차"</f>
        <v>3차</v>
      </c>
      <c r="D14071" s="1" t="str">
        <f>"0027X78230"</f>
        <v>0027X78230</v>
      </c>
      <c r="E14071" s="1" t="s">
        <v>10</v>
      </c>
      <c r="F14071" s="1" t="str">
        <f>"10.107.251.27"</f>
        <v>10.107.251.27</v>
      </c>
      <c r="G14071" s="1" t="str">
        <f>"0027X782"</f>
        <v>0027X782</v>
      </c>
      <c r="H14071" s="1" t="str">
        <f>"한성간 18L1"</f>
        <v>한성간 18L1</v>
      </c>
      <c r="I14071" s="1" t="s">
        <v>8</v>
      </c>
      <c r="J14071" s="1" t="str">
        <f>"1/1"</f>
        <v>1/1</v>
      </c>
      <c r="K14071" s="1" t="str">
        <f>"2026-07-29 13:18:01"</f>
        <v>2026-07-29 13:18:01</v>
      </c>
      <c r="L14071" s="1" t="str">
        <f>"2018-07-02 00:48:04"</f>
        <v>2018-07-02 00:48:04</v>
      </c>
      <c r="M14071" s="1" t="s">
        <v>45</v>
      </c>
      <c r="N14071" s="1" t="s">
        <v>38</v>
      </c>
      <c r="O14071" s="1" t="s">
        <v>46</v>
      </c>
    </row>
    <row r="14072" spans="2:15" x14ac:dyDescent="0.3">
      <c r="B14072" s="1" t="s">
        <v>19</v>
      </c>
      <c r="C14072" s="1" t="str">
        <f>"5-1차"</f>
        <v>5-1차</v>
      </c>
      <c r="D14072" s="1" t="str">
        <f>"0027X8215S"</f>
        <v>0027X8215S</v>
      </c>
      <c r="E14072" s="1" t="s">
        <v>10</v>
      </c>
      <c r="F14072" s="1" t="str">
        <f>"fde3:102:1410:6100:0:0:0:2"</f>
        <v>fde3:102:1410:6100:0:0:0:2</v>
      </c>
      <c r="G14072" s="1" t="str">
        <f>"0027X821"</f>
        <v>0027X821</v>
      </c>
      <c r="H14072" s="1" t="str">
        <f>"한성간 27"</f>
        <v>한성간 27</v>
      </c>
      <c r="I14072" s="1" t="s">
        <v>15</v>
      </c>
      <c r="J14072" s="1" t="str">
        <f>"49/49"</f>
        <v>49/49</v>
      </c>
      <c r="K14072" s="1" t="str">
        <f>"2026-07-29 14:20:02"</f>
        <v>2026-07-29 14:20:02</v>
      </c>
      <c r="L14072" s="1" t="str">
        <f>"2022-11-21 09:53:27"</f>
        <v>2022-11-21 09:53:27</v>
      </c>
      <c r="M14072" s="1" t="s">
        <v>45</v>
      </c>
      <c r="N14072" s="1" t="s">
        <v>38</v>
      </c>
      <c r="O14072" s="1" t="s">
        <v>46</v>
      </c>
    </row>
    <row r="14073" spans="2:15" x14ac:dyDescent="0.3">
      <c r="B14073" s="1" t="s">
        <v>19</v>
      </c>
      <c r="C14073" s="1" t="str">
        <f>"4차"</f>
        <v>4차</v>
      </c>
      <c r="D14073" s="1" t="str">
        <f>"0027X82444"</f>
        <v>0027X82444</v>
      </c>
      <c r="E14073" s="1" t="s">
        <v>10</v>
      </c>
      <c r="F14073" s="1" t="str">
        <f>"10.107.10.100"</f>
        <v>10.107.10.100</v>
      </c>
      <c r="G14073" s="1" t="str">
        <f>"0027X824"</f>
        <v>0027X824</v>
      </c>
      <c r="H14073" s="1" t="str">
        <f>"한성간 15R13L5"</f>
        <v>한성간 15R13L5</v>
      </c>
      <c r="I14073" s="1" t="s">
        <v>8</v>
      </c>
      <c r="J14073" s="1" t="str">
        <f>"58/59"</f>
        <v>58/59</v>
      </c>
      <c r="K14073" s="1" t="str">
        <f>"2026-07-29 13:18:01"</f>
        <v>2026-07-29 13:18:01</v>
      </c>
      <c r="L14073" s="1" t="str">
        <f>"2023-03-08 13:31:54"</f>
        <v>2023-03-08 13:31:54</v>
      </c>
      <c r="M14073" s="1" t="s">
        <v>45</v>
      </c>
      <c r="N14073" s="1" t="s">
        <v>38</v>
      </c>
      <c r="O14073" s="1" t="s">
        <v>46</v>
      </c>
    </row>
    <row r="14074" spans="2:15" x14ac:dyDescent="0.3">
      <c r="B14074" s="1" t="s">
        <v>19</v>
      </c>
      <c r="C14074" s="1" t="str">
        <f>"3차"</f>
        <v>3차</v>
      </c>
      <c r="D14074" s="1" t="str">
        <f>"0027X88131"</f>
        <v>0027X88131</v>
      </c>
      <c r="E14074" s="1" t="s">
        <v>10</v>
      </c>
      <c r="F14074" s="1" t="str">
        <f>"10.107.251.28"</f>
        <v>10.107.251.28</v>
      </c>
      <c r="G14074" s="1" t="str">
        <f>"0027X881"</f>
        <v>0027X881</v>
      </c>
      <c r="H14074" s="1" t="str">
        <f>"한성간 18L3"</f>
        <v>한성간 18L3</v>
      </c>
      <c r="I14074" s="1" t="s">
        <v>8</v>
      </c>
      <c r="J14074" s="1" t="str">
        <f>"31/31"</f>
        <v>31/31</v>
      </c>
      <c r="K14074" s="1" t="str">
        <f>"2026-07-29 13:18:01"</f>
        <v>2026-07-29 13:18:01</v>
      </c>
      <c r="L14074" s="1" t="str">
        <f>"2018-07-02 00:53:12"</f>
        <v>2018-07-02 00:53:12</v>
      </c>
      <c r="M14074" s="1" t="s">
        <v>45</v>
      </c>
      <c r="N14074" s="1" t="s">
        <v>38</v>
      </c>
      <c r="O14074" s="1" t="s">
        <v>46</v>
      </c>
    </row>
    <row r="14075" spans="2:15" x14ac:dyDescent="0.3">
      <c r="B14075" s="1" t="s">
        <v>19</v>
      </c>
      <c r="C14075" s="1" t="str">
        <f>"5-1차"</f>
        <v>5-1차</v>
      </c>
      <c r="D14075" s="1" t="str">
        <f>"0027Z1715S"</f>
        <v>0027Z1715S</v>
      </c>
      <c r="E14075" s="1" t="s">
        <v>10</v>
      </c>
      <c r="F14075" s="1" t="str">
        <f>"fde2:104:0:69:0:0:0:2"</f>
        <v>fde2:104:0:69:0:0:0:2</v>
      </c>
      <c r="G14075" s="1" t="str">
        <f>"0027Z171"</f>
        <v>0027Z171</v>
      </c>
      <c r="H14075" s="1" t="str">
        <f>"한성간 7R20"</f>
        <v>한성간 7R20</v>
      </c>
      <c r="I14075" s="1" t="s">
        <v>15</v>
      </c>
      <c r="J14075" s="1" t="str">
        <f>"35/35"</f>
        <v>35/35</v>
      </c>
      <c r="K14075" s="1" t="str">
        <f>"2026-07-29 14:20:05"</f>
        <v>2026-07-29 14:20:05</v>
      </c>
      <c r="L14075" s="1" t="str">
        <f>"2022-08-05 11:39:41"</f>
        <v>2022-08-05 11:39:41</v>
      </c>
      <c r="M14075" s="1" t="s">
        <v>42</v>
      </c>
      <c r="N14075" s="1" t="s">
        <v>38</v>
      </c>
      <c r="O14075" s="1" t="s">
        <v>46</v>
      </c>
    </row>
    <row r="14076" spans="2:15" x14ac:dyDescent="0.3">
      <c r="B14076" s="1" t="s">
        <v>19</v>
      </c>
      <c r="C14076" s="1" t="str">
        <f t="shared" ref="C14076:C14081" si="721">"4차"</f>
        <v>4차</v>
      </c>
      <c r="D14076" s="1" t="str">
        <f>"0027Z19144"</f>
        <v>0027Z19144</v>
      </c>
      <c r="E14076" s="1" t="s">
        <v>10</v>
      </c>
      <c r="F14076" s="1" t="str">
        <f>"10.107.12.121"</f>
        <v>10.107.12.121</v>
      </c>
      <c r="G14076" s="1" t="str">
        <f>"0027Z191"</f>
        <v>0027Z191</v>
      </c>
      <c r="H14076" s="1" t="str">
        <f>"한성간 7R17"</f>
        <v>한성간 7R17</v>
      </c>
      <c r="I14076" s="1" t="s">
        <v>8</v>
      </c>
      <c r="J14076" s="1" t="str">
        <f>"42/42"</f>
        <v>42/42</v>
      </c>
      <c r="K14076" s="1" t="str">
        <f>"2026-07-29 13:18:00"</f>
        <v>2026-07-29 13:18:00</v>
      </c>
      <c r="L14076" s="1" t="str">
        <f>"2020-02-11 14:48:44"</f>
        <v>2020-02-11 14:48:44</v>
      </c>
      <c r="M14076" s="1" t="s">
        <v>45</v>
      </c>
      <c r="N14076" s="1" t="s">
        <v>38</v>
      </c>
      <c r="O14076" s="1" t="s">
        <v>46</v>
      </c>
    </row>
    <row r="14077" spans="2:15" x14ac:dyDescent="0.3">
      <c r="B14077" s="1" t="s">
        <v>19</v>
      </c>
      <c r="C14077" s="1" t="str">
        <f t="shared" si="721"/>
        <v>4차</v>
      </c>
      <c r="D14077" s="1" t="str">
        <f>"0027Z26244"</f>
        <v>0027Z26244</v>
      </c>
      <c r="E14077" s="1" t="s">
        <v>10</v>
      </c>
      <c r="F14077" s="1" t="str">
        <f>"10.107.12.125"</f>
        <v>10.107.12.125</v>
      </c>
      <c r="G14077" s="1" t="str">
        <f>"0027Z262"</f>
        <v>0027Z262</v>
      </c>
      <c r="H14077" s="1" t="str">
        <f>"한성간 7R25R3"</f>
        <v>한성간 7R25R3</v>
      </c>
      <c r="I14077" s="1" t="s">
        <v>8</v>
      </c>
      <c r="J14077" s="1" t="str">
        <f>"27/27"</f>
        <v>27/27</v>
      </c>
      <c r="K14077" s="1" t="str">
        <f>"2026-07-29 13:18:00"</f>
        <v>2026-07-29 13:18:00</v>
      </c>
      <c r="L14077" s="1" t="str">
        <f>"2019-12-13 09:10:36"</f>
        <v>2019-12-13 09:10:36</v>
      </c>
      <c r="M14077" s="1" t="s">
        <v>45</v>
      </c>
      <c r="N14077" s="1" t="s">
        <v>38</v>
      </c>
      <c r="O14077" s="1" t="s">
        <v>46</v>
      </c>
    </row>
    <row r="14078" spans="2:15" x14ac:dyDescent="0.3">
      <c r="B14078" s="1" t="s">
        <v>19</v>
      </c>
      <c r="C14078" s="1" t="str">
        <f t="shared" si="721"/>
        <v>4차</v>
      </c>
      <c r="D14078" s="1" t="str">
        <f>"0027Z29144"</f>
        <v>0027Z29144</v>
      </c>
      <c r="E14078" s="1" t="s">
        <v>10</v>
      </c>
      <c r="F14078" s="1" t="str">
        <f>"10.107.10.99"</f>
        <v>10.107.10.99</v>
      </c>
      <c r="G14078" s="1" t="str">
        <f>"0027Z291"</f>
        <v>0027Z291</v>
      </c>
      <c r="H14078" s="1" t="str">
        <f>"한성간 9R17"</f>
        <v>한성간 9R17</v>
      </c>
      <c r="I14078" s="1" t="s">
        <v>8</v>
      </c>
      <c r="J14078" s="1" t="str">
        <f>"62/62"</f>
        <v>62/62</v>
      </c>
      <c r="K14078" s="1" t="str">
        <f>"2026-07-29 13:18:03"</f>
        <v>2026-07-29 13:18:03</v>
      </c>
      <c r="L14078" s="1" t="str">
        <f>"2019-12-13 09:11:06"</f>
        <v>2019-12-13 09:11:06</v>
      </c>
      <c r="M14078" s="1" t="s">
        <v>45</v>
      </c>
      <c r="N14078" s="1" t="s">
        <v>38</v>
      </c>
      <c r="O14078" s="1" t="s">
        <v>46</v>
      </c>
    </row>
    <row r="14079" spans="2:15" x14ac:dyDescent="0.3">
      <c r="B14079" s="1" t="s">
        <v>19</v>
      </c>
      <c r="C14079" s="1" t="str">
        <f t="shared" si="721"/>
        <v>4차</v>
      </c>
      <c r="D14079" s="1" t="str">
        <f>"0027Z37344"</f>
        <v>0027Z37344</v>
      </c>
      <c r="E14079" s="1" t="s">
        <v>10</v>
      </c>
      <c r="F14079" s="1" t="str">
        <f>"10.107.12.124"</f>
        <v>10.107.12.124</v>
      </c>
      <c r="G14079" s="1" t="str">
        <f>"0027Z373"</f>
        <v>0027Z373</v>
      </c>
      <c r="H14079" s="1" t="str">
        <f>"한성간 7R25"</f>
        <v>한성간 7R25</v>
      </c>
      <c r="I14079" s="1" t="s">
        <v>8</v>
      </c>
      <c r="J14079" s="1" t="str">
        <f>"17/17"</f>
        <v>17/17</v>
      </c>
      <c r="K14079" s="1" t="str">
        <f>"2026-07-29 13:18:01"</f>
        <v>2026-07-29 13:18:01</v>
      </c>
      <c r="L14079" s="1" t="str">
        <f>"2019-12-13 09:18:49"</f>
        <v>2019-12-13 09:18:49</v>
      </c>
      <c r="M14079" s="1" t="s">
        <v>45</v>
      </c>
      <c r="N14079" s="1" t="s">
        <v>38</v>
      </c>
      <c r="O14079" s="1" t="s">
        <v>46</v>
      </c>
    </row>
    <row r="14080" spans="2:15" x14ac:dyDescent="0.3">
      <c r="B14080" s="1" t="s">
        <v>19</v>
      </c>
      <c r="C14080" s="1" t="str">
        <f t="shared" si="721"/>
        <v>4차</v>
      </c>
      <c r="D14080" s="1" t="str">
        <f>"0027Z45144"</f>
        <v>0027Z45144</v>
      </c>
      <c r="E14080" s="1" t="s">
        <v>10</v>
      </c>
      <c r="F14080" s="1" t="str">
        <f>"10.107.12.126"</f>
        <v>10.107.12.126</v>
      </c>
      <c r="G14080" s="1" t="str">
        <f>"0027Z451"</f>
        <v>0027Z451</v>
      </c>
      <c r="H14080" s="1" t="str">
        <f>"한성간 7R27"</f>
        <v>한성간 7R27</v>
      </c>
      <c r="I14080" s="1" t="s">
        <v>8</v>
      </c>
      <c r="J14080" s="1" t="str">
        <f>"58/58"</f>
        <v>58/58</v>
      </c>
      <c r="K14080" s="1" t="str">
        <f>"2026-07-29 13:18:01"</f>
        <v>2026-07-29 13:18:01</v>
      </c>
      <c r="L14080" s="1" t="str">
        <f>"2019-12-13 09:05:07"</f>
        <v>2019-12-13 09:05:07</v>
      </c>
      <c r="M14080" s="1" t="s">
        <v>45</v>
      </c>
      <c r="N14080" s="1" t="s">
        <v>38</v>
      </c>
      <c r="O14080" s="1" t="s">
        <v>46</v>
      </c>
    </row>
    <row r="14081" spans="2:15" x14ac:dyDescent="0.3">
      <c r="B14081" s="1" t="s">
        <v>19</v>
      </c>
      <c r="C14081" s="1" t="str">
        <f t="shared" si="721"/>
        <v>4차</v>
      </c>
      <c r="D14081" s="1" t="str">
        <f>"0027Z45344"</f>
        <v>0027Z45344</v>
      </c>
      <c r="E14081" s="1" t="s">
        <v>10</v>
      </c>
      <c r="F14081" s="1" t="str">
        <f>"10.107.12.127"</f>
        <v>10.107.12.127</v>
      </c>
      <c r="G14081" s="1" t="str">
        <f>"0027Z453"</f>
        <v>0027Z453</v>
      </c>
      <c r="H14081" s="1" t="str">
        <f>"한성간 7R29"</f>
        <v>한성간 7R29</v>
      </c>
      <c r="I14081" s="1" t="s">
        <v>8</v>
      </c>
      <c r="J14081" s="1" t="str">
        <f>"29/29"</f>
        <v>29/29</v>
      </c>
      <c r="K14081" s="1" t="str">
        <f>"2026-07-29 13:18:01"</f>
        <v>2026-07-29 13:18:01</v>
      </c>
      <c r="L14081" s="1" t="str">
        <f>"2019-12-13 12:09:18"</f>
        <v>2019-12-13 12:09:18</v>
      </c>
      <c r="M14081" s="1" t="s">
        <v>45</v>
      </c>
      <c r="N14081" s="1" t="s">
        <v>38</v>
      </c>
      <c r="O14081" s="1" t="s">
        <v>46</v>
      </c>
    </row>
    <row r="14082" spans="2:15" x14ac:dyDescent="0.3">
      <c r="B14082" s="1" t="s">
        <v>19</v>
      </c>
      <c r="C14082" s="1" t="str">
        <f>"5-1차"</f>
        <v>5-1차</v>
      </c>
      <c r="D14082" s="1" t="str">
        <f>"0028B7025M"</f>
        <v>0028B7025M</v>
      </c>
      <c r="E14082" s="1" t="s">
        <v>10</v>
      </c>
      <c r="F14082" s="1" t="str">
        <f>"fde2:104:0:67:0:0:0:2"</f>
        <v>fde2:104:0:67:0:0:0:2</v>
      </c>
      <c r="G14082" s="1" t="str">
        <f>"0028B702"</f>
        <v>0028B702</v>
      </c>
      <c r="H14082" s="1" t="str">
        <f>"국민간 51"</f>
        <v>국민간 51</v>
      </c>
      <c r="I14082" s="1" t="s">
        <v>15</v>
      </c>
      <c r="J14082" s="1" t="str">
        <f>"32/32"</f>
        <v>32/32</v>
      </c>
      <c r="K14082" s="1" t="str">
        <f>"2026-07-29 14:20:23"</f>
        <v>2026-07-29 14:20:23</v>
      </c>
      <c r="L14082" s="1" t="str">
        <f>"2022-08-10 16:35:04"</f>
        <v>2022-08-10 16:35:04</v>
      </c>
      <c r="M14082" s="1" t="s">
        <v>42</v>
      </c>
      <c r="N14082" s="1" t="s">
        <v>38</v>
      </c>
      <c r="O14082" s="1" t="s">
        <v>46</v>
      </c>
    </row>
    <row r="14083" spans="2:15" x14ac:dyDescent="0.3">
      <c r="B14083" s="1" t="s">
        <v>19</v>
      </c>
      <c r="C14083" s="1" t="str">
        <f>"4차"</f>
        <v>4차</v>
      </c>
      <c r="D14083" s="1" t="str">
        <f>"0028D40141"</f>
        <v>0028D40141</v>
      </c>
      <c r="E14083" s="1" t="s">
        <v>12</v>
      </c>
      <c r="F14083" s="1" t="str">
        <f>"10.14.4.10"</f>
        <v>10.14.4.10</v>
      </c>
      <c r="G14083" s="1" t="str">
        <f>"0028D401"</f>
        <v>0028D401</v>
      </c>
      <c r="H14083" s="1" t="str">
        <f>"성북간 75L6H1"</f>
        <v>성북간 75L6H1</v>
      </c>
      <c r="I14083" s="1" t="s">
        <v>17</v>
      </c>
      <c r="J14083" s="1" t="str">
        <f>"0/14"</f>
        <v>0/14</v>
      </c>
      <c r="K14083" s="1" t="str">
        <f>"2026-07-28 20:03:48"</f>
        <v>2026-07-28 20:03:48</v>
      </c>
      <c r="L14083" s="1" t="str">
        <f>"2021-10-13 12:19:16"</f>
        <v>2021-10-13 12:19:16</v>
      </c>
      <c r="M14083" s="1" t="s">
        <v>3</v>
      </c>
      <c r="N14083" s="1" t="s">
        <v>38</v>
      </c>
      <c r="O14083" s="1" t="s">
        <v>46</v>
      </c>
    </row>
    <row r="14084" spans="2:15" x14ac:dyDescent="0.3">
      <c r="B14084" s="1" t="s">
        <v>19</v>
      </c>
      <c r="C14084" s="1" t="str">
        <f>"4차"</f>
        <v>4차</v>
      </c>
      <c r="D14084" s="1" t="str">
        <f>"0028D40241"</f>
        <v>0028D40241</v>
      </c>
      <c r="E14084" s="1" t="s">
        <v>10</v>
      </c>
      <c r="F14084" s="1" t="str">
        <f>"10.14.1.31"</f>
        <v>10.14.1.31</v>
      </c>
      <c r="G14084" s="1" t="str">
        <f>"0028D402"</f>
        <v>0028D402</v>
      </c>
      <c r="H14084" s="1" t="str">
        <f>"성북간 75L6"</f>
        <v>성북간 75L6</v>
      </c>
      <c r="I14084" s="1" t="s">
        <v>17</v>
      </c>
      <c r="J14084" s="1" t="str">
        <f>"35/35"</f>
        <v>35/35</v>
      </c>
      <c r="K14084" s="1" t="str">
        <f>"2026-07-29 13:18:01"</f>
        <v>2026-07-29 13:18:01</v>
      </c>
      <c r="L14084" s="1" t="str">
        <f>"2021-10-13 13:16:17"</f>
        <v>2021-10-13 13:16:17</v>
      </c>
      <c r="M14084" s="1" t="s">
        <v>3</v>
      </c>
      <c r="N14084" s="1" t="s">
        <v>38</v>
      </c>
      <c r="O14084" s="1" t="s">
        <v>46</v>
      </c>
    </row>
    <row r="14085" spans="2:15" x14ac:dyDescent="0.3">
      <c r="B14085" s="1" t="s">
        <v>19</v>
      </c>
      <c r="C14085" s="1" t="str">
        <f>"5-1차"</f>
        <v>5-1차</v>
      </c>
      <c r="D14085" s="1" t="str">
        <f>"0028D4415M"</f>
        <v>0028D4415M</v>
      </c>
      <c r="E14085" s="1" t="s">
        <v>10</v>
      </c>
      <c r="F14085" s="1" t="str">
        <f>"fde2:104:0:6d:0:0:0:2"</f>
        <v>fde2:104:0:6d:0:0:0:2</v>
      </c>
      <c r="G14085" s="1" t="str">
        <f>"0028D441"</f>
        <v>0028D441</v>
      </c>
      <c r="H14085" s="1" t="str">
        <f>"성북간 81L7"</f>
        <v>성북간 81L7</v>
      </c>
      <c r="I14085" s="1" t="s">
        <v>15</v>
      </c>
      <c r="J14085" s="1" t="str">
        <f>"66/67"</f>
        <v>66/67</v>
      </c>
      <c r="K14085" s="1" t="str">
        <f>"2026-07-29 14:20:05"</f>
        <v>2026-07-29 14:20:05</v>
      </c>
      <c r="L14085" s="1" t="str">
        <f>"2023-01-13 11:06:59"</f>
        <v>2023-01-13 11:06:59</v>
      </c>
      <c r="M14085" s="1" t="s">
        <v>42</v>
      </c>
      <c r="N14085" s="1" t="s">
        <v>38</v>
      </c>
      <c r="O14085" s="1" t="s">
        <v>46</v>
      </c>
    </row>
    <row r="14086" spans="2:15" x14ac:dyDescent="0.3">
      <c r="B14086" s="1" t="s">
        <v>19</v>
      </c>
      <c r="C14086" s="1" t="str">
        <f>"1차"</f>
        <v>1차</v>
      </c>
      <c r="D14086" s="1" t="str">
        <f>"0028D50201"</f>
        <v>0028D50201</v>
      </c>
      <c r="E14086" s="1" t="s">
        <v>10</v>
      </c>
      <c r="F14086" s="1" t="str">
        <f>"10.107.3.5"</f>
        <v>10.107.3.5</v>
      </c>
      <c r="G14086" s="1" t="str">
        <f>"0028D502"</f>
        <v>0028D502</v>
      </c>
      <c r="H14086" s="1" t="str">
        <f>"성북간 75L3"</f>
        <v>성북간 75L3</v>
      </c>
      <c r="I14086" s="1" t="s">
        <v>8</v>
      </c>
      <c r="J14086" s="1" t="str">
        <f>"21/21"</f>
        <v>21/21</v>
      </c>
      <c r="K14086" s="1" t="str">
        <f>"2026-07-29 13:18:01"</f>
        <v>2026-07-29 13:18:01</v>
      </c>
      <c r="L14086" s="1" t="str">
        <f>"2014-11-18 11:24:49"</f>
        <v>2014-11-18 11:24:49</v>
      </c>
      <c r="M14086" s="1" t="s">
        <v>45</v>
      </c>
      <c r="N14086" s="1" t="s">
        <v>38</v>
      </c>
      <c r="O14086" s="1" t="s">
        <v>46</v>
      </c>
    </row>
    <row r="14087" spans="2:15" x14ac:dyDescent="0.3">
      <c r="B14087" s="1" t="s">
        <v>19</v>
      </c>
      <c r="C14087" s="1" t="str">
        <f>"1차"</f>
        <v>1차</v>
      </c>
      <c r="D14087" s="1" t="str">
        <f>"0028D60101"</f>
        <v>0028D60101</v>
      </c>
      <c r="E14087" s="1" t="s">
        <v>10</v>
      </c>
      <c r="F14087" s="1" t="str">
        <f>"10.107.3.6"</f>
        <v>10.107.3.6</v>
      </c>
      <c r="G14087" s="1" t="str">
        <f>"0028D601"</f>
        <v>0028D601</v>
      </c>
      <c r="H14087" s="1" t="str">
        <f>"성북간 74"</f>
        <v>성북간 74</v>
      </c>
      <c r="I14087" s="1" t="s">
        <v>8</v>
      </c>
      <c r="J14087" s="1" t="str">
        <f>"15/15"</f>
        <v>15/15</v>
      </c>
      <c r="K14087" s="1" t="str">
        <f>"2026-07-29 13:18:01"</f>
        <v>2026-07-29 13:18:01</v>
      </c>
      <c r="L14087" s="1" t="str">
        <f>"2014-11-18 11:25:25"</f>
        <v>2014-11-18 11:25:25</v>
      </c>
      <c r="M14087" s="1" t="s">
        <v>45</v>
      </c>
      <c r="N14087" s="1" t="s">
        <v>38</v>
      </c>
      <c r="O14087" s="1" t="s">
        <v>46</v>
      </c>
    </row>
    <row r="14088" spans="2:15" x14ac:dyDescent="0.3">
      <c r="B14088" s="1" t="s">
        <v>19</v>
      </c>
      <c r="C14088" s="1" t="str">
        <f>"1차"</f>
        <v>1차</v>
      </c>
      <c r="D14088" s="1" t="str">
        <f>"0028D60200"</f>
        <v>0028D60200</v>
      </c>
      <c r="E14088" s="1" t="s">
        <v>10</v>
      </c>
      <c r="F14088" s="1" t="str">
        <f>"10.107.3.4"</f>
        <v>10.107.3.4</v>
      </c>
      <c r="G14088" s="1" t="str">
        <f>"0028D602"</f>
        <v>0028D602</v>
      </c>
      <c r="H14088" s="1" t="str">
        <f>"성북간 76H1"</f>
        <v>성북간 76H1</v>
      </c>
      <c r="I14088" s="1" t="s">
        <v>8</v>
      </c>
      <c r="J14088" s="1" t="str">
        <f>"7/7"</f>
        <v>7/7</v>
      </c>
      <c r="K14088" s="1" t="str">
        <f>"2026-07-29 13:18:01"</f>
        <v>2026-07-29 13:18:01</v>
      </c>
      <c r="L14088" s="1" t="str">
        <f>"2014-11-18 11:11:57"</f>
        <v>2014-11-18 11:11:57</v>
      </c>
      <c r="M14088" s="1" t="s">
        <v>45</v>
      </c>
      <c r="N14088" s="1" t="s">
        <v>38</v>
      </c>
      <c r="O14088" s="1" t="s">
        <v>46</v>
      </c>
    </row>
    <row r="14089" spans="2:15" x14ac:dyDescent="0.3">
      <c r="B14089" s="1" t="s">
        <v>19</v>
      </c>
      <c r="C14089" s="1" t="str">
        <f>"4차"</f>
        <v>4차</v>
      </c>
      <c r="D14089" s="1" t="str">
        <f>"0028D63442"</f>
        <v>0028D63442</v>
      </c>
      <c r="E14089" s="1" t="s">
        <v>10</v>
      </c>
      <c r="F14089" s="1" t="str">
        <f>"10.14.11.183"</f>
        <v>10.14.11.183</v>
      </c>
      <c r="G14089" s="1" t="str">
        <f>"0028D634"</f>
        <v>0028D634</v>
      </c>
      <c r="H14089" s="1" t="str">
        <f>"성북간 80L1"</f>
        <v>성북간 80L1</v>
      </c>
      <c r="I14089" s="1" t="s">
        <v>8</v>
      </c>
      <c r="J14089" s="1" t="str">
        <f>"31/31"</f>
        <v>31/31</v>
      </c>
      <c r="K14089" s="1" t="str">
        <f>"2026-07-29 13:18:02"</f>
        <v>2026-07-29 13:18:02</v>
      </c>
      <c r="L14089" s="1" t="str">
        <f>"2024-06-25 09:28:26"</f>
        <v>2024-06-25 09:28:26</v>
      </c>
      <c r="M14089" s="1" t="s">
        <v>3</v>
      </c>
      <c r="N14089" s="1" t="s">
        <v>38</v>
      </c>
      <c r="O14089" s="1" t="s">
        <v>46</v>
      </c>
    </row>
    <row r="14090" spans="2:15" x14ac:dyDescent="0.3">
      <c r="B14090" s="1" t="s">
        <v>19</v>
      </c>
      <c r="C14090" s="1" t="str">
        <f>"5-1차"</f>
        <v>5-1차</v>
      </c>
      <c r="D14090" s="1" t="str">
        <f>"0028D6425M"</f>
        <v>0028D6425M</v>
      </c>
      <c r="E14090" s="1" t="s">
        <v>10</v>
      </c>
      <c r="F14090" s="1" t="str">
        <f>"fde2:104:0:6c:0:0:0:2"</f>
        <v>fde2:104:0:6c:0:0:0:2</v>
      </c>
      <c r="G14090" s="1" t="str">
        <f>"0028D642"</f>
        <v>0028D642</v>
      </c>
      <c r="H14090" s="1" t="str">
        <f>"성북간 81L2"</f>
        <v>성북간 81L2</v>
      </c>
      <c r="I14090" s="1" t="s">
        <v>15</v>
      </c>
      <c r="J14090" s="1" t="str">
        <f>"45/45"</f>
        <v>45/45</v>
      </c>
      <c r="K14090" s="1" t="str">
        <f>"2026-07-29 14:20:05"</f>
        <v>2026-07-29 14:20:05</v>
      </c>
      <c r="L14090" s="1" t="str">
        <f>"2022-08-30 18:14:54"</f>
        <v>2022-08-30 18:14:54</v>
      </c>
      <c r="M14090" s="1" t="s">
        <v>42</v>
      </c>
      <c r="N14090" s="1" t="s">
        <v>38</v>
      </c>
      <c r="O14090" s="1" t="s">
        <v>46</v>
      </c>
    </row>
    <row r="14091" spans="2:15" x14ac:dyDescent="0.3">
      <c r="B14091" s="1" t="s">
        <v>19</v>
      </c>
      <c r="C14091" s="1" t="str">
        <f>"5-1차"</f>
        <v>5-1차</v>
      </c>
      <c r="D14091" s="1" t="str">
        <f>"0028D7235M"</f>
        <v>0028D7235M</v>
      </c>
      <c r="E14091" s="1" t="s">
        <v>10</v>
      </c>
      <c r="F14091" s="1" t="str">
        <f>"fde2:104:0:68:0:0:0:2"</f>
        <v>fde2:104:0:68:0:0:0:2</v>
      </c>
      <c r="G14091" s="1" t="str">
        <f>"0028D723"</f>
        <v>0028D723</v>
      </c>
      <c r="H14091" s="1" t="str">
        <f>"성북간 78"</f>
        <v>성북간 78</v>
      </c>
      <c r="I14091" s="1" t="s">
        <v>15</v>
      </c>
      <c r="J14091" s="1" t="str">
        <f>"77/77"</f>
        <v>77/77</v>
      </c>
      <c r="K14091" s="1" t="str">
        <f>"2026-07-29 14:20:06"</f>
        <v>2026-07-29 14:20:06</v>
      </c>
      <c r="L14091" s="1" t="str">
        <f>"2022-08-30 18:01:57"</f>
        <v>2022-08-30 18:01:57</v>
      </c>
      <c r="M14091" s="1" t="s">
        <v>42</v>
      </c>
      <c r="N14091" s="1" t="s">
        <v>38</v>
      </c>
      <c r="O14091" s="1" t="s">
        <v>46</v>
      </c>
    </row>
    <row r="14092" spans="2:15" x14ac:dyDescent="0.3">
      <c r="B14092" s="1" t="s">
        <v>19</v>
      </c>
      <c r="C14092" s="1" t="str">
        <f>"5-1차"</f>
        <v>5-1차</v>
      </c>
      <c r="D14092" s="1" t="str">
        <f>"0028D7835M"</f>
        <v>0028D7835M</v>
      </c>
      <c r="E14092" s="1" t="s">
        <v>10</v>
      </c>
      <c r="F14092" s="1" t="str">
        <f>"fde3:102:1410:7200:0:0:0:2"</f>
        <v>fde3:102:1410:7200:0:0:0:2</v>
      </c>
      <c r="G14092" s="1" t="str">
        <f>"0028D783"</f>
        <v>0028D783</v>
      </c>
      <c r="H14092" s="1" t="str">
        <f>"국민간 55"</f>
        <v>국민간 55</v>
      </c>
      <c r="I14092" s="1" t="s">
        <v>15</v>
      </c>
      <c r="J14092" s="1" t="str">
        <f>"27/28"</f>
        <v>27/28</v>
      </c>
      <c r="K14092" s="1" t="str">
        <f>"2026-07-29 14:20:07"</f>
        <v>2026-07-29 14:20:07</v>
      </c>
      <c r="L14092" s="1" t="str">
        <f>"2023-01-03 09:07:10"</f>
        <v>2023-01-03 09:07:10</v>
      </c>
      <c r="M14092" s="1" t="s">
        <v>45</v>
      </c>
      <c r="N14092" s="1" t="s">
        <v>38</v>
      </c>
      <c r="O14092" s="1" t="s">
        <v>46</v>
      </c>
    </row>
    <row r="14093" spans="2:15" x14ac:dyDescent="0.3">
      <c r="B14093" s="1" t="s">
        <v>19</v>
      </c>
      <c r="C14093" s="1" t="str">
        <f>"1차"</f>
        <v>1차</v>
      </c>
      <c r="D14093" s="1" t="str">
        <f>"0028D83200"</f>
        <v>0028D83200</v>
      </c>
      <c r="E14093" s="1" t="s">
        <v>10</v>
      </c>
      <c r="F14093" s="1" t="str">
        <f>"10.107.3.9"</f>
        <v>10.107.3.9</v>
      </c>
      <c r="G14093" s="1" t="str">
        <f>"0028D832"</f>
        <v>0028D832</v>
      </c>
      <c r="H14093" s="1" t="str">
        <f>"성북간 83"</f>
        <v>성북간 83</v>
      </c>
      <c r="I14093" s="1" t="s">
        <v>8</v>
      </c>
      <c r="J14093" s="1" t="str">
        <f>"37/37"</f>
        <v>37/37</v>
      </c>
      <c r="K14093" s="1" t="str">
        <f>"2026-07-29 13:18:01"</f>
        <v>2026-07-29 13:18:01</v>
      </c>
      <c r="L14093" s="1" t="str">
        <f>"2014-11-18 11:25:24"</f>
        <v>2014-11-18 11:25:24</v>
      </c>
      <c r="M14093" s="1" t="s">
        <v>45</v>
      </c>
      <c r="N14093" s="1" t="s">
        <v>38</v>
      </c>
      <c r="O14093" s="1" t="s">
        <v>46</v>
      </c>
    </row>
    <row r="14094" spans="2:15" x14ac:dyDescent="0.3">
      <c r="B14094" s="1" t="s">
        <v>19</v>
      </c>
      <c r="C14094" s="1" t="str">
        <f>"5-2차"</f>
        <v>5-2차</v>
      </c>
      <c r="D14094" s="1" t="str">
        <f>"0028D8345M"</f>
        <v>0028D8345M</v>
      </c>
      <c r="E14094" s="1" t="s">
        <v>10</v>
      </c>
      <c r="F14094" s="1" t="str">
        <f>"fde1:103:4:5914:0:0:0:2"</f>
        <v>fde1:103:4:5914:0:0:0:2</v>
      </c>
      <c r="G14094" s="1" t="str">
        <f>"0028D834"</f>
        <v>0028D834</v>
      </c>
      <c r="H14094" s="1" t="str">
        <f>"성북간 83L1"</f>
        <v>성북간 83L1</v>
      </c>
      <c r="I14094" s="1" t="s">
        <v>15</v>
      </c>
      <c r="J14094" s="1" t="str">
        <f>"25/25"</f>
        <v>25/25</v>
      </c>
      <c r="K14094" s="1" t="str">
        <f>"2026-07-29 14:20:06"</f>
        <v>2026-07-29 14:20:06</v>
      </c>
      <c r="L14094" s="1" t="str">
        <f>"2023-09-13 11:26:55"</f>
        <v>2023-09-13 11:26:55</v>
      </c>
      <c r="M14094" s="1" t="s">
        <v>4</v>
      </c>
      <c r="N14094" s="1" t="s">
        <v>38</v>
      </c>
      <c r="O14094" s="1" t="s">
        <v>46</v>
      </c>
    </row>
    <row r="14095" spans="2:15" x14ac:dyDescent="0.3">
      <c r="B14095" s="1" t="s">
        <v>19</v>
      </c>
      <c r="C14095" s="1" t="str">
        <f>"5-1차"</f>
        <v>5-1차</v>
      </c>
      <c r="D14095" s="1" t="str">
        <f>"0028D9225S"</f>
        <v>0028D9225S</v>
      </c>
      <c r="E14095" s="1" t="s">
        <v>10</v>
      </c>
      <c r="F14095" s="1" t="str">
        <f>"fde2:104:0:66:0:0:0:2"</f>
        <v>fde2:104:0:66:0:0:0:2</v>
      </c>
      <c r="G14095" s="1" t="str">
        <f>"0028D922"</f>
        <v>0028D922</v>
      </c>
      <c r="H14095" s="1" t="str">
        <f>"성북간 86"</f>
        <v>성북간 86</v>
      </c>
      <c r="I14095" s="1" t="s">
        <v>15</v>
      </c>
      <c r="J14095" s="1" t="str">
        <f>"45/45"</f>
        <v>45/45</v>
      </c>
      <c r="K14095" s="1" t="str">
        <f>"2026-07-29 14:20:06"</f>
        <v>2026-07-29 14:20:06</v>
      </c>
      <c r="L14095" s="1" t="str">
        <f>"2022-08-30 18:03:01"</f>
        <v>2022-08-30 18:03:01</v>
      </c>
      <c r="M14095" s="1" t="s">
        <v>42</v>
      </c>
      <c r="N14095" s="1" t="s">
        <v>38</v>
      </c>
      <c r="O14095" s="1" t="s">
        <v>46</v>
      </c>
    </row>
    <row r="14096" spans="2:15" x14ac:dyDescent="0.3">
      <c r="B14096" s="1" t="s">
        <v>19</v>
      </c>
      <c r="C14096" s="1" t="str">
        <f>"5-1차"</f>
        <v>5-1차</v>
      </c>
      <c r="D14096" s="1" t="str">
        <f>"0028D9815M"</f>
        <v>0028D9815M</v>
      </c>
      <c r="E14096" s="1" t="s">
        <v>10</v>
      </c>
      <c r="F14096" s="1" t="str">
        <f>"fde2:104:0:64:0:0:0:2"</f>
        <v>fde2:104:0:64:0:0:0:2</v>
      </c>
      <c r="G14096" s="1" t="str">
        <f>"0028D981"</f>
        <v>0028D981</v>
      </c>
      <c r="H14096" s="1" t="str">
        <f>"국민간 58H1L4"</f>
        <v>국민간 58H1L4</v>
      </c>
      <c r="I14096" s="1" t="s">
        <v>15</v>
      </c>
      <c r="J14096" s="1" t="str">
        <f>"42/42"</f>
        <v>42/42</v>
      </c>
      <c r="K14096" s="1" t="str">
        <f>"2026-07-29 14:20:06"</f>
        <v>2026-07-29 14:20:06</v>
      </c>
      <c r="L14096" s="1" t="str">
        <f>"2022-08-30 18:04:08"</f>
        <v>2022-08-30 18:04:08</v>
      </c>
      <c r="M14096" s="1" t="s">
        <v>42</v>
      </c>
      <c r="N14096" s="1" t="s">
        <v>38</v>
      </c>
      <c r="O14096" s="1" t="s">
        <v>46</v>
      </c>
    </row>
    <row r="14097" spans="2:15" x14ac:dyDescent="0.3">
      <c r="B14097" s="1" t="s">
        <v>19</v>
      </c>
      <c r="C14097" s="1" t="str">
        <f>"5-1차"</f>
        <v>5-1차</v>
      </c>
      <c r="D14097" s="1" t="str">
        <f>"0028E4045S"</f>
        <v>0028E4045S</v>
      </c>
      <c r="E14097" s="1" t="s">
        <v>10</v>
      </c>
      <c r="F14097" s="1" t="str">
        <f>"10.14.15.201"</f>
        <v>10.14.15.201</v>
      </c>
      <c r="G14097" s="1" t="str">
        <f>"0028E404"</f>
        <v>0028E404</v>
      </c>
      <c r="H14097" s="1" t="str">
        <f>"국민간 30L6"</f>
        <v>국민간 30L6</v>
      </c>
      <c r="I14097" s="1" t="s">
        <v>15</v>
      </c>
      <c r="J14097" s="1" t="str">
        <f>"48/51"</f>
        <v>48/51</v>
      </c>
      <c r="K14097" s="1" t="str">
        <f>"2026-07-29 14:20:06"</f>
        <v>2026-07-29 14:20:06</v>
      </c>
      <c r="L14097" s="1" t="str">
        <f>"2022-01-25 16:20:42"</f>
        <v>2022-01-25 16:20:42</v>
      </c>
      <c r="M14097" s="1" t="s">
        <v>3</v>
      </c>
      <c r="N14097" s="1" t="s">
        <v>38</v>
      </c>
      <c r="O14097" s="1" t="s">
        <v>46</v>
      </c>
    </row>
    <row r="14098" spans="2:15" x14ac:dyDescent="0.3">
      <c r="B14098" s="1" t="s">
        <v>19</v>
      </c>
      <c r="C14098" s="1" t="str">
        <f>"5-1차"</f>
        <v>5-1차</v>
      </c>
      <c r="D14098" s="1" t="str">
        <f>"0028E5115M"</f>
        <v>0028E5115M</v>
      </c>
      <c r="E14098" s="1" t="s">
        <v>10</v>
      </c>
      <c r="F14098" s="1" t="str">
        <f>"fde2:104:0:8d:0:0:0:2"</f>
        <v>fde2:104:0:8d:0:0:0:2</v>
      </c>
      <c r="G14098" s="1" t="str">
        <f>"0028E511"</f>
        <v>0028E511</v>
      </c>
      <c r="H14098" s="1" t="str">
        <f>"국민간 30L4R2"</f>
        <v>국민간 30L4R2</v>
      </c>
      <c r="I14098" s="1" t="s">
        <v>15</v>
      </c>
      <c r="J14098" s="1" t="str">
        <f>"1/31"</f>
        <v>1/31</v>
      </c>
      <c r="K14098" s="1" t="str">
        <f>"2026-07-29 14:20:16"</f>
        <v>2026-07-29 14:20:16</v>
      </c>
      <c r="L14098" s="1" t="str">
        <f>"2022-08-10 16:34:58"</f>
        <v>2022-08-10 16:34:58</v>
      </c>
      <c r="M14098" s="1" t="s">
        <v>42</v>
      </c>
      <c r="N14098" s="1" t="s">
        <v>38</v>
      </c>
      <c r="O14098" s="1" t="s">
        <v>46</v>
      </c>
    </row>
    <row r="14099" spans="2:15" x14ac:dyDescent="0.3">
      <c r="B14099" s="1" t="s">
        <v>19</v>
      </c>
      <c r="C14099" s="1" t="str">
        <f>"5-1차"</f>
        <v>5-1차</v>
      </c>
      <c r="D14099" s="1" t="str">
        <f>"0028E6025M"</f>
        <v>0028E6025M</v>
      </c>
      <c r="E14099" s="1" t="s">
        <v>10</v>
      </c>
      <c r="F14099" s="1" t="str">
        <f>"fde3:102:1410:7100:0:0:0:6"</f>
        <v>fde3:102:1410:7100:0:0:0:6</v>
      </c>
      <c r="G14099" s="1" t="str">
        <f>"0028E602"</f>
        <v>0028E602</v>
      </c>
      <c r="H14099" s="1" t="str">
        <f>"국민간 30L2"</f>
        <v>국민간 30L2</v>
      </c>
      <c r="I14099" s="1" t="s">
        <v>15</v>
      </c>
      <c r="J14099" s="1" t="str">
        <f>"58/58"</f>
        <v>58/58</v>
      </c>
      <c r="K14099" s="1" t="str">
        <f>"2026-07-29 14:20:17"</f>
        <v>2026-07-29 14:20:17</v>
      </c>
      <c r="L14099" s="1" t="str">
        <f>"2022-11-23 18:33:23"</f>
        <v>2022-11-23 18:33:23</v>
      </c>
      <c r="M14099" s="1" t="s">
        <v>45</v>
      </c>
      <c r="N14099" s="1" t="s">
        <v>38</v>
      </c>
      <c r="O14099" s="1" t="s">
        <v>46</v>
      </c>
    </row>
    <row r="14100" spans="2:15" x14ac:dyDescent="0.3">
      <c r="B14100" s="1" t="s">
        <v>19</v>
      </c>
      <c r="C14100" s="1" t="str">
        <f>"5-2차"</f>
        <v>5-2차</v>
      </c>
      <c r="D14100" s="1" t="str">
        <f>"0028E7325M"</f>
        <v>0028E7325M</v>
      </c>
      <c r="E14100" s="1" t="s">
        <v>10</v>
      </c>
      <c r="F14100" s="1" t="str">
        <f>"fde1:103:4:5a6d:0:0:0:2"</f>
        <v>fde1:103:4:5a6d:0:0:0:2</v>
      </c>
      <c r="G14100" s="1" t="str">
        <f>"0028E732"</f>
        <v>0028E732</v>
      </c>
      <c r="H14100" s="1" t="str">
        <f>"국민간 36"</f>
        <v>국민간 36</v>
      </c>
      <c r="I14100" s="1" t="s">
        <v>15</v>
      </c>
      <c r="J14100" s="1" t="str">
        <f>"36/37"</f>
        <v>36/37</v>
      </c>
      <c r="K14100" s="1" t="str">
        <f>"2026-07-29 14:20:06"</f>
        <v>2026-07-29 14:20:06</v>
      </c>
      <c r="L14100" s="1" t="str">
        <f>"2023-09-13 13:00:55"</f>
        <v>2023-09-13 13:00:55</v>
      </c>
      <c r="M14100" s="1" t="s">
        <v>4</v>
      </c>
      <c r="N14100" s="1" t="s">
        <v>38</v>
      </c>
      <c r="O14100" s="1" t="s">
        <v>46</v>
      </c>
    </row>
    <row r="14101" spans="2:15" x14ac:dyDescent="0.3">
      <c r="B14101" s="1" t="s">
        <v>19</v>
      </c>
      <c r="C14101" s="1" t="str">
        <f>"5-2차"</f>
        <v>5-2차</v>
      </c>
      <c r="D14101" s="1" t="str">
        <f>"0028E8235M"</f>
        <v>0028E8235M</v>
      </c>
      <c r="E14101" s="1" t="s">
        <v>10</v>
      </c>
      <c r="F14101" s="1" t="str">
        <f>"fde1:103:4:58ef:0:0:0:2"</f>
        <v>fde1:103:4:58ef:0:0:0:2</v>
      </c>
      <c r="G14101" s="1" t="str">
        <f>"0028E823"</f>
        <v>0028E823</v>
      </c>
      <c r="H14101" s="1" t="str">
        <f>"국민간 35H1R1R1"</f>
        <v>국민간 35H1R1R1</v>
      </c>
      <c r="I14101" s="1" t="s">
        <v>15</v>
      </c>
      <c r="J14101" s="1" t="str">
        <f>"35/35"</f>
        <v>35/35</v>
      </c>
      <c r="K14101" s="1" t="str">
        <f>"2026-07-29 14:20:06"</f>
        <v>2026-07-29 14:20:06</v>
      </c>
      <c r="L14101" s="1" t="str">
        <f>"2023-09-13 13:03:48"</f>
        <v>2023-09-13 13:03:48</v>
      </c>
      <c r="M14101" s="1" t="s">
        <v>4</v>
      </c>
      <c r="N14101" s="1" t="s">
        <v>38</v>
      </c>
      <c r="O14101" s="1" t="s">
        <v>46</v>
      </c>
    </row>
    <row r="14102" spans="2:15" x14ac:dyDescent="0.3">
      <c r="B14102" s="1" t="s">
        <v>19</v>
      </c>
      <c r="C14102" s="1" t="str">
        <f>"5-1차"</f>
        <v>5-1차</v>
      </c>
      <c r="D14102" s="1" t="str">
        <f>"0028F2015M"</f>
        <v>0028F2015M</v>
      </c>
      <c r="E14102" s="1" t="s">
        <v>10</v>
      </c>
      <c r="F14102" s="1" t="str">
        <f>"fde3:102:1410:7100:0:0:0:4"</f>
        <v>fde3:102:1410:7100:0:0:0:4</v>
      </c>
      <c r="G14102" s="1" t="str">
        <f>"0028F201"</f>
        <v>0028F201</v>
      </c>
      <c r="H14102" s="1" t="str">
        <f>"정릉지 19L2"</f>
        <v>정릉지 19L2</v>
      </c>
      <c r="I14102" s="1" t="s">
        <v>15</v>
      </c>
      <c r="J14102" s="1" t="str">
        <f>"93/96"</f>
        <v>93/96</v>
      </c>
      <c r="K14102" s="1" t="str">
        <f>"2026-07-29 14:20:07"</f>
        <v>2026-07-29 14:20:07</v>
      </c>
      <c r="L14102" s="1" t="str">
        <f>"2022-11-14 16:36:18"</f>
        <v>2022-11-14 16:36:18</v>
      </c>
      <c r="M14102" s="1" t="s">
        <v>45</v>
      </c>
      <c r="N14102" s="1" t="s">
        <v>38</v>
      </c>
      <c r="O14102" s="1" t="s">
        <v>46</v>
      </c>
    </row>
    <row r="14103" spans="2:15" x14ac:dyDescent="0.3">
      <c r="B14103" s="1" t="s">
        <v>19</v>
      </c>
      <c r="C14103" s="1" t="str">
        <f>"6차"</f>
        <v>6차</v>
      </c>
      <c r="D14103" s="1" t="str">
        <f>"0028F2416S"</f>
        <v>0028F2416S</v>
      </c>
      <c r="E14103" s="1" t="s">
        <v>10</v>
      </c>
      <c r="F14103" s="1" t="str">
        <f>"fde1:103:4:927e:0:0:0:2"</f>
        <v>fde1:103:4:927e:0:0:0:2</v>
      </c>
      <c r="G14103" s="1" t="str">
        <f>"0028F241"</f>
        <v>0028F241</v>
      </c>
      <c r="H14103" s="1" t="str">
        <f>"대일지 31R3"</f>
        <v>대일지 31R3</v>
      </c>
      <c r="I14103" s="1" t="s">
        <v>15</v>
      </c>
      <c r="J14103" s="1" t="str">
        <f>"44/44"</f>
        <v>44/44</v>
      </c>
      <c r="K14103" s="1" t="str">
        <f>"2026-07-29 14:20:07"</f>
        <v>2026-07-29 14:20:07</v>
      </c>
      <c r="L14103" s="1" t="str">
        <f>"2024-11-01 18:43:16"</f>
        <v>2024-11-01 18:43:16</v>
      </c>
      <c r="M14103" s="1" t="s">
        <v>4</v>
      </c>
      <c r="N14103" s="1" t="s">
        <v>38</v>
      </c>
      <c r="O14103" s="1" t="s">
        <v>46</v>
      </c>
    </row>
    <row r="14104" spans="2:15" x14ac:dyDescent="0.3">
      <c r="B14104" s="1" t="s">
        <v>19</v>
      </c>
      <c r="C14104" s="1" t="str">
        <f>"4차"</f>
        <v>4차</v>
      </c>
      <c r="D14104" s="1" t="str">
        <f>"0028F32245"</f>
        <v>0028F32245</v>
      </c>
      <c r="E14104" s="1" t="s">
        <v>10</v>
      </c>
      <c r="F14104" s="1" t="str">
        <f>"10.14.9.51"</f>
        <v>10.14.9.51</v>
      </c>
      <c r="G14104" s="1" t="str">
        <f>"0028F322"</f>
        <v>0028F322</v>
      </c>
      <c r="H14104" s="1" t="str">
        <f>"보국 13"</f>
        <v>보국 13</v>
      </c>
      <c r="I14104" s="1" t="s">
        <v>17</v>
      </c>
      <c r="J14104" s="1" t="str">
        <f>"6/6"</f>
        <v>6/6</v>
      </c>
      <c r="K14104" s="1" t="str">
        <f>"2026-07-29 13:18:01"</f>
        <v>2026-07-29 13:18:01</v>
      </c>
      <c r="L14104" s="1" t="str">
        <f>"2021-06-25 11:56:31"</f>
        <v>2021-06-25 11:56:31</v>
      </c>
      <c r="M14104" s="1" t="s">
        <v>3</v>
      </c>
      <c r="N14104" s="1" t="s">
        <v>38</v>
      </c>
      <c r="O14104" s="1" t="s">
        <v>46</v>
      </c>
    </row>
    <row r="14105" spans="2:15" x14ac:dyDescent="0.3">
      <c r="B14105" s="1" t="s">
        <v>19</v>
      </c>
      <c r="C14105" s="1" t="str">
        <f>"5-1차"</f>
        <v>5-1차</v>
      </c>
      <c r="D14105" s="1" t="str">
        <f>"0028F3415S"</f>
        <v>0028F3415S</v>
      </c>
      <c r="E14105" s="1" t="s">
        <v>10</v>
      </c>
      <c r="F14105" s="1" t="str">
        <f>"fde2:104:0:61:0:0:0:2"</f>
        <v>fde2:104:0:61:0:0:0:2</v>
      </c>
      <c r="G14105" s="1" t="str">
        <f>"0028F341"</f>
        <v>0028F341</v>
      </c>
      <c r="H14105" s="1" t="str">
        <f>"보국SW 9R3"</f>
        <v>보국SW 9R3</v>
      </c>
      <c r="I14105" s="1" t="s">
        <v>15</v>
      </c>
      <c r="J14105" s="1" t="str">
        <f>"11/14"</f>
        <v>11/14</v>
      </c>
      <c r="K14105" s="1" t="str">
        <f>"2026-07-29 14:20:23"</f>
        <v>2026-07-29 14:20:23</v>
      </c>
      <c r="L14105" s="1" t="str">
        <f>"2022-08-30 18:05:33"</f>
        <v>2022-08-30 18:05:33</v>
      </c>
      <c r="M14105" s="1" t="s">
        <v>42</v>
      </c>
      <c r="N14105" s="1" t="s">
        <v>38</v>
      </c>
      <c r="O14105" s="1" t="s">
        <v>46</v>
      </c>
    </row>
    <row r="14106" spans="2:15" x14ac:dyDescent="0.3">
      <c r="B14106" s="1" t="s">
        <v>19</v>
      </c>
      <c r="C14106" s="1" t="str">
        <f>"4차"</f>
        <v>4차</v>
      </c>
      <c r="D14106" s="1" t="str">
        <f>"0028F40545"</f>
        <v>0028F40545</v>
      </c>
      <c r="E14106" s="1" t="s">
        <v>10</v>
      </c>
      <c r="F14106" s="1" t="str">
        <f>"10.14.3.51"</f>
        <v>10.14.3.51</v>
      </c>
      <c r="G14106" s="1" t="str">
        <f>"0028F405"</f>
        <v>0028F405</v>
      </c>
      <c r="H14106" s="1" t="str">
        <f>"보국 28"</f>
        <v>보국 28</v>
      </c>
      <c r="I14106" s="1" t="s">
        <v>17</v>
      </c>
      <c r="J14106" s="1" t="str">
        <f>"15/15"</f>
        <v>15/15</v>
      </c>
      <c r="K14106" s="1" t="str">
        <f>"2026-07-29 13:18:01"</f>
        <v>2026-07-29 13:18:01</v>
      </c>
      <c r="L14106" s="1" t="str">
        <f>"2021-06-25 13:09:03"</f>
        <v>2021-06-25 13:09:03</v>
      </c>
      <c r="M14106" s="1" t="s">
        <v>3</v>
      </c>
      <c r="N14106" s="1" t="s">
        <v>38</v>
      </c>
      <c r="O14106" s="1" t="s">
        <v>46</v>
      </c>
    </row>
    <row r="14107" spans="2:15" x14ac:dyDescent="0.3">
      <c r="B14107" s="1" t="s">
        <v>19</v>
      </c>
      <c r="C14107" s="1" t="str">
        <f>"5-2차"</f>
        <v>5-2차</v>
      </c>
      <c r="D14107" s="1" t="str">
        <f>"0028F4225M"</f>
        <v>0028F4225M</v>
      </c>
      <c r="E14107" s="1" t="s">
        <v>10</v>
      </c>
      <c r="F14107" s="1" t="str">
        <f>"fde1:103:4:580b:0:0:0:2"</f>
        <v>fde1:103:4:580b:0:0:0:2</v>
      </c>
      <c r="G14107" s="1" t="str">
        <f>"0028F422"</f>
        <v>0028F422</v>
      </c>
      <c r="H14107" s="1" t="str">
        <f>"대일지 26R2"</f>
        <v>대일지 26R2</v>
      </c>
      <c r="I14107" s="1" t="s">
        <v>15</v>
      </c>
      <c r="J14107" s="1" t="str">
        <f>"21/21"</f>
        <v>21/21</v>
      </c>
      <c r="K14107" s="1" t="str">
        <f>"2026-07-29 14:20:06"</f>
        <v>2026-07-29 14:20:06</v>
      </c>
      <c r="L14107" s="1" t="str">
        <f>"2023-09-13 13:17:54"</f>
        <v>2023-09-13 13:17:54</v>
      </c>
      <c r="M14107" s="1" t="s">
        <v>4</v>
      </c>
      <c r="N14107" s="1" t="s">
        <v>38</v>
      </c>
      <c r="O14107" s="1" t="s">
        <v>46</v>
      </c>
    </row>
    <row r="14108" spans="2:15" x14ac:dyDescent="0.3">
      <c r="B14108" s="1" t="s">
        <v>19</v>
      </c>
      <c r="C14108" s="1" t="str">
        <f>"5-2차"</f>
        <v>5-2차</v>
      </c>
      <c r="D14108" s="1" t="str">
        <f>"0028F4825S"</f>
        <v>0028F4825S</v>
      </c>
      <c r="E14108" s="1" t="s">
        <v>10</v>
      </c>
      <c r="F14108" s="1" t="str">
        <f>"fde1:103:4:5a33:0:0:0:2"</f>
        <v>fde1:103:4:5a33:0:0:0:2</v>
      </c>
      <c r="G14108" s="1" t="str">
        <f>"0028F482"</f>
        <v>0028F482</v>
      </c>
      <c r="H14108" s="1" t="str">
        <f>"대일지 19R19"</f>
        <v>대일지 19R19</v>
      </c>
      <c r="I14108" s="1" t="s">
        <v>15</v>
      </c>
      <c r="J14108" s="1" t="str">
        <f>"56/56"</f>
        <v>56/56</v>
      </c>
      <c r="K14108" s="1" t="str">
        <f>"2026-07-29 14:20:07"</f>
        <v>2026-07-29 14:20:07</v>
      </c>
      <c r="L14108" s="1" t="str">
        <f>"2023-09-13 13:18:27"</f>
        <v>2023-09-13 13:18:27</v>
      </c>
      <c r="M14108" s="1" t="s">
        <v>4</v>
      </c>
      <c r="N14108" s="1" t="s">
        <v>38</v>
      </c>
      <c r="O14108" s="1" t="s">
        <v>46</v>
      </c>
    </row>
    <row r="14109" spans="2:15" x14ac:dyDescent="0.3">
      <c r="B14109" s="1" t="s">
        <v>19</v>
      </c>
      <c r="C14109" s="1" t="str">
        <f>"3차"</f>
        <v>3차</v>
      </c>
      <c r="D14109" s="1" t="str">
        <f>"0028F50131"</f>
        <v>0028F50131</v>
      </c>
      <c r="E14109" s="1" t="s">
        <v>10</v>
      </c>
      <c r="F14109" s="1" t="str">
        <f>"10.107.118.79"</f>
        <v>10.107.118.79</v>
      </c>
      <c r="G14109" s="1" t="str">
        <f>"0028F501"</f>
        <v>0028F501</v>
      </c>
      <c r="H14109" s="1" t="str">
        <f>"대일지 19R4"</f>
        <v>대일지 19R4</v>
      </c>
      <c r="I14109" s="1" t="s">
        <v>8</v>
      </c>
      <c r="J14109" s="1" t="str">
        <f>"16/16"</f>
        <v>16/16</v>
      </c>
      <c r="K14109" s="1" t="str">
        <f>"2026-07-29 13:18:01"</f>
        <v>2026-07-29 13:18:01</v>
      </c>
      <c r="L14109" s="1" t="str">
        <f>"2018-06-20 16:43:57"</f>
        <v>2018-06-20 16:43:57</v>
      </c>
      <c r="M14109" s="1" t="s">
        <v>45</v>
      </c>
      <c r="N14109" s="1" t="s">
        <v>38</v>
      </c>
      <c r="O14109" s="1" t="s">
        <v>46</v>
      </c>
    </row>
    <row r="14110" spans="2:15" x14ac:dyDescent="0.3">
      <c r="B14110" s="1" t="s">
        <v>19</v>
      </c>
      <c r="C14110" s="1" t="str">
        <f>"3차"</f>
        <v>3차</v>
      </c>
      <c r="D14110" s="1" t="str">
        <f>"0028F51230"</f>
        <v>0028F51230</v>
      </c>
      <c r="E14110" s="1" t="s">
        <v>10</v>
      </c>
      <c r="F14110" s="1" t="str">
        <f>"10.107.118.78"</f>
        <v>10.107.118.78</v>
      </c>
      <c r="G14110" s="1" t="str">
        <f>"0028F512"</f>
        <v>0028F512</v>
      </c>
      <c r="H14110" s="1" t="str">
        <f>"대일지 19R5R1"</f>
        <v>대일지 19R5R1</v>
      </c>
      <c r="I14110" s="1" t="s">
        <v>8</v>
      </c>
      <c r="J14110" s="1" t="str">
        <f>"26/26"</f>
        <v>26/26</v>
      </c>
      <c r="K14110" s="1" t="str">
        <f>"2026-07-29 13:18:01"</f>
        <v>2026-07-29 13:18:01</v>
      </c>
      <c r="L14110" s="1" t="str">
        <f>"2018-06-19 15:47:04"</f>
        <v>2018-06-19 15:47:04</v>
      </c>
      <c r="M14110" s="1" t="s">
        <v>45</v>
      </c>
      <c r="N14110" s="1" t="s">
        <v>38</v>
      </c>
      <c r="O14110" s="1" t="s">
        <v>46</v>
      </c>
    </row>
    <row r="14111" spans="2:15" x14ac:dyDescent="0.3">
      <c r="B14111" s="1" t="s">
        <v>19</v>
      </c>
      <c r="C14111" s="1" t="str">
        <f>"5-2차"</f>
        <v>5-2차</v>
      </c>
      <c r="D14111" s="1" t="str">
        <f>"0028F5215M"</f>
        <v>0028F5215M</v>
      </c>
      <c r="E14111" s="1" t="s">
        <v>10</v>
      </c>
      <c r="F14111" s="1" t="str">
        <f>"fde1:103:4:57e2:0:0:0:2"</f>
        <v>fde1:103:4:57e2:0:0:0:2</v>
      </c>
      <c r="G14111" s="1" t="str">
        <f>"0028F521"</f>
        <v>0028F521</v>
      </c>
      <c r="H14111" s="1" t="str">
        <f>"대일지 26R3"</f>
        <v>대일지 26R3</v>
      </c>
      <c r="I14111" s="1" t="s">
        <v>15</v>
      </c>
      <c r="J14111" s="1" t="str">
        <f>"11/11"</f>
        <v>11/11</v>
      </c>
      <c r="K14111" s="1" t="str">
        <f>"2026-07-29 14:20:07"</f>
        <v>2026-07-29 14:20:07</v>
      </c>
      <c r="L14111" s="1" t="str">
        <f>"2023-09-13 13:34:08"</f>
        <v>2023-09-13 13:34:08</v>
      </c>
      <c r="M14111" s="1" t="s">
        <v>4</v>
      </c>
      <c r="N14111" s="1" t="s">
        <v>38</v>
      </c>
      <c r="O14111" s="1" t="s">
        <v>46</v>
      </c>
    </row>
    <row r="14112" spans="2:15" x14ac:dyDescent="0.3">
      <c r="B14112" s="1" t="s">
        <v>19</v>
      </c>
      <c r="C14112" s="1" t="str">
        <f>"6차"</f>
        <v>6차</v>
      </c>
      <c r="D14112" s="1" t="str">
        <f>"0028F5226M"</f>
        <v>0028F5226M</v>
      </c>
      <c r="E14112" s="1" t="s">
        <v>10</v>
      </c>
      <c r="F14112" s="1" t="str">
        <f>"fde1:103:4:c80e:0:0:0:2"</f>
        <v>fde1:103:4:c80e:0:0:0:2</v>
      </c>
      <c r="G14112" s="1" t="str">
        <f>"0028F522"</f>
        <v>0028F522</v>
      </c>
      <c r="H14112" s="1" t="str">
        <f>"대일지 19R7"</f>
        <v>대일지 19R7</v>
      </c>
      <c r="I14112" s="1" t="s">
        <v>15</v>
      </c>
      <c r="J14112" s="1" t="str">
        <f>"36/38"</f>
        <v>36/38</v>
      </c>
      <c r="K14112" s="1" t="str">
        <f>"2026-07-29 14:20:07"</f>
        <v>2026-07-29 14:20:07</v>
      </c>
      <c r="L14112" s="1" t="str">
        <f>"2024-12-03 11:22:10"</f>
        <v>2024-12-03 11:22:10</v>
      </c>
      <c r="M14112" s="1" t="s">
        <v>4</v>
      </c>
      <c r="N14112" s="1" t="s">
        <v>38</v>
      </c>
      <c r="O14112" s="1" t="s">
        <v>46</v>
      </c>
    </row>
    <row r="14113" spans="2:15" x14ac:dyDescent="0.3">
      <c r="B14113" s="1" t="s">
        <v>19</v>
      </c>
      <c r="C14113" s="1" t="str">
        <f>"1차"</f>
        <v>1차</v>
      </c>
      <c r="D14113" s="1" t="str">
        <f>"0028F54400"</f>
        <v>0028F54400</v>
      </c>
      <c r="E14113" s="1" t="s">
        <v>10</v>
      </c>
      <c r="F14113" s="1" t="str">
        <f>"10.107.118.73"</f>
        <v>10.107.118.73</v>
      </c>
      <c r="G14113" s="1" t="str">
        <f>"0028F544"</f>
        <v>0028F544</v>
      </c>
      <c r="H14113" s="1" t="str">
        <f>"대일지 26R5H1"</f>
        <v>대일지 26R5H1</v>
      </c>
      <c r="I14113" s="1" t="s">
        <v>8</v>
      </c>
      <c r="J14113" s="1" t="str">
        <f>"30/30"</f>
        <v>30/30</v>
      </c>
      <c r="K14113" s="1" t="str">
        <f>"2026-07-29 13:18:01"</f>
        <v>2026-07-29 13:18:01</v>
      </c>
      <c r="L14113" s="1" t="str">
        <f>"2014-11-18 11:25:59"</f>
        <v>2014-11-18 11:25:59</v>
      </c>
      <c r="M14113" s="1" t="s">
        <v>45</v>
      </c>
      <c r="N14113" s="1" t="s">
        <v>38</v>
      </c>
      <c r="O14113" s="1" t="s">
        <v>46</v>
      </c>
    </row>
    <row r="14114" spans="2:15" x14ac:dyDescent="0.3">
      <c r="B14114" s="1" t="s">
        <v>19</v>
      </c>
      <c r="C14114" s="1" t="str">
        <f>"4차"</f>
        <v>4차</v>
      </c>
      <c r="D14114" s="1" t="str">
        <f>"0028F56244"</f>
        <v>0028F56244</v>
      </c>
      <c r="E14114" s="1" t="s">
        <v>10</v>
      </c>
      <c r="F14114" s="1" t="str">
        <f>"10.14.13.124"</f>
        <v>10.14.13.124</v>
      </c>
      <c r="G14114" s="1" t="str">
        <f>"0028F562"</f>
        <v>0028F562</v>
      </c>
      <c r="H14114" s="1" t="str">
        <f>"대일지 19R14"</f>
        <v>대일지 19R14</v>
      </c>
      <c r="I14114" s="1" t="s">
        <v>8</v>
      </c>
      <c r="J14114" s="1" t="str">
        <f>"83/83"</f>
        <v>83/83</v>
      </c>
      <c r="K14114" s="1" t="str">
        <f>"2026-07-29 13:18:01"</f>
        <v>2026-07-29 13:18:01</v>
      </c>
      <c r="L14114" s="1" t="str">
        <f>"2023-07-19 17:10:39"</f>
        <v>2023-07-19 17:10:39</v>
      </c>
      <c r="M14114" s="1" t="s">
        <v>3</v>
      </c>
      <c r="N14114" s="1" t="s">
        <v>38</v>
      </c>
      <c r="O14114" s="1" t="s">
        <v>46</v>
      </c>
    </row>
    <row r="14115" spans="2:15" x14ac:dyDescent="0.3">
      <c r="B14115" s="1" t="s">
        <v>19</v>
      </c>
      <c r="C14115" s="1" t="str">
        <f>"5-2차"</f>
        <v>5-2차</v>
      </c>
      <c r="D14115" s="1" t="str">
        <f>"0028F5715M"</f>
        <v>0028F5715M</v>
      </c>
      <c r="E14115" s="1" t="s">
        <v>10</v>
      </c>
      <c r="F14115" s="1" t="str">
        <f>"fde1:103:4:5801:0:0:0:2"</f>
        <v>fde1:103:4:5801:0:0:0:2</v>
      </c>
      <c r="G14115" s="1" t="str">
        <f>"0028F571"</f>
        <v>0028F571</v>
      </c>
      <c r="H14115" s="1" t="str">
        <f>"대일지 19R16"</f>
        <v>대일지 19R16</v>
      </c>
      <c r="I14115" s="1" t="s">
        <v>15</v>
      </c>
      <c r="J14115" s="1" t="str">
        <f>"83/83"</f>
        <v>83/83</v>
      </c>
      <c r="K14115" s="1" t="str">
        <f>"2026-07-29 14:20:08"</f>
        <v>2026-07-29 14:20:08</v>
      </c>
      <c r="L14115" s="1" t="str">
        <f>"2023-09-13 13:34:56"</f>
        <v>2023-09-13 13:34:56</v>
      </c>
      <c r="M14115" s="1" t="s">
        <v>4</v>
      </c>
      <c r="N14115" s="1" t="s">
        <v>38</v>
      </c>
      <c r="O14115" s="1" t="s">
        <v>46</v>
      </c>
    </row>
    <row r="14116" spans="2:15" x14ac:dyDescent="0.3">
      <c r="B14116" s="1" t="s">
        <v>19</v>
      </c>
      <c r="C14116" s="1" t="str">
        <f>"4차"</f>
        <v>4차</v>
      </c>
      <c r="D14116" s="1" t="str">
        <f>"0028F60139"</f>
        <v>0028F60139</v>
      </c>
      <c r="E14116" s="1" t="s">
        <v>10</v>
      </c>
      <c r="F14116" s="1" t="str">
        <f>"10.107.8.13"</f>
        <v>10.107.8.13</v>
      </c>
      <c r="G14116" s="1" t="str">
        <f>"0028F601"</f>
        <v>0028F601</v>
      </c>
      <c r="H14116" s="1" t="str">
        <f>"대일지 19R7R6R3R1"</f>
        <v>대일지 19R7R6R3R1</v>
      </c>
      <c r="I14116" s="1" t="s">
        <v>8</v>
      </c>
      <c r="J14116" s="1" t="str">
        <f>"122/132"</f>
        <v>122/132</v>
      </c>
      <c r="K14116" s="1" t="str">
        <f>"2026-07-29 13:18:01"</f>
        <v>2026-07-29 13:18:01</v>
      </c>
      <c r="L14116" s="1" t="str">
        <f>"2018-03-23 14:08:12"</f>
        <v>2018-03-23 14:08:12</v>
      </c>
      <c r="M14116" s="1" t="s">
        <v>45</v>
      </c>
      <c r="N14116" s="1" t="s">
        <v>38</v>
      </c>
      <c r="O14116" s="1" t="s">
        <v>46</v>
      </c>
    </row>
    <row r="14117" spans="2:15" x14ac:dyDescent="0.3">
      <c r="B14117" s="1" t="s">
        <v>19</v>
      </c>
      <c r="C14117" s="1" t="str">
        <f>"1차"</f>
        <v>1차</v>
      </c>
      <c r="D14117" s="1" t="str">
        <f>"0028F62300"</f>
        <v>0028F62300</v>
      </c>
      <c r="E14117" s="1" t="s">
        <v>10</v>
      </c>
      <c r="F14117" s="1" t="str">
        <f>"10.107.118.74"</f>
        <v>10.107.118.74</v>
      </c>
      <c r="G14117" s="1" t="str">
        <f>"0028F623"</f>
        <v>0028F623</v>
      </c>
      <c r="H14117" s="1" t="str">
        <f>"대일지 19R7R3"</f>
        <v>대일지 19R7R3</v>
      </c>
      <c r="I14117" s="1" t="s">
        <v>8</v>
      </c>
      <c r="J14117" s="1" t="str">
        <f>"70/71"</f>
        <v>70/71</v>
      </c>
      <c r="K14117" s="1" t="str">
        <f>"2026-07-29 13:18:01"</f>
        <v>2026-07-29 13:18:01</v>
      </c>
      <c r="L14117" s="1" t="str">
        <f>"2014-11-18 11:24:32"</f>
        <v>2014-11-18 11:24:32</v>
      </c>
      <c r="M14117" s="1" t="s">
        <v>45</v>
      </c>
      <c r="N14117" s="1" t="s">
        <v>38</v>
      </c>
      <c r="O14117" s="1" t="s">
        <v>46</v>
      </c>
    </row>
    <row r="14118" spans="2:15" x14ac:dyDescent="0.3">
      <c r="B14118" s="1" t="s">
        <v>19</v>
      </c>
      <c r="C14118" s="1" t="str">
        <f>"1차"</f>
        <v>1차</v>
      </c>
      <c r="D14118" s="1" t="str">
        <f>"0028F63100"</f>
        <v>0028F63100</v>
      </c>
      <c r="E14118" s="1" t="s">
        <v>10</v>
      </c>
      <c r="F14118" s="1" t="str">
        <f>"10.107.118.81"</f>
        <v>10.107.118.81</v>
      </c>
      <c r="G14118" s="1" t="str">
        <f>"0028F631"</f>
        <v>0028F631</v>
      </c>
      <c r="H14118" s="1" t="str">
        <f>"대일지 19R8"</f>
        <v>대일지 19R8</v>
      </c>
      <c r="I14118" s="1" t="s">
        <v>8</v>
      </c>
      <c r="J14118" s="1" t="str">
        <f>"13/13"</f>
        <v>13/13</v>
      </c>
      <c r="K14118" s="1" t="str">
        <f>"2026-07-29 13:18:01"</f>
        <v>2026-07-29 13:18:01</v>
      </c>
      <c r="L14118" s="1" t="str">
        <f>"2014-11-19 14:24:29"</f>
        <v>2014-11-19 14:24:29</v>
      </c>
      <c r="M14118" s="1" t="s">
        <v>45</v>
      </c>
      <c r="N14118" s="1" t="s">
        <v>38</v>
      </c>
      <c r="O14118" s="1" t="s">
        <v>46</v>
      </c>
    </row>
    <row r="14119" spans="2:15" x14ac:dyDescent="0.3">
      <c r="B14119" s="1" t="s">
        <v>19</v>
      </c>
      <c r="C14119" s="1" t="str">
        <f>"6차"</f>
        <v>6차</v>
      </c>
      <c r="D14119" s="1" t="str">
        <f>"0028F6416M"</f>
        <v>0028F6416M</v>
      </c>
      <c r="E14119" s="1" t="s">
        <v>10</v>
      </c>
      <c r="F14119" s="1" t="str">
        <f>"fde1:103:4:c841:0:0:0:2"</f>
        <v>fde1:103:4:c841:0:0:0:2</v>
      </c>
      <c r="G14119" s="1" t="str">
        <f>"0028F641"</f>
        <v>0028F641</v>
      </c>
      <c r="H14119" s="1" t="str">
        <f>"대일지 19R9"</f>
        <v>대일지 19R9</v>
      </c>
      <c r="I14119" s="1" t="s">
        <v>15</v>
      </c>
      <c r="J14119" s="1" t="str">
        <f>"31/31"</f>
        <v>31/31</v>
      </c>
      <c r="K14119" s="1" t="str">
        <f>"2026-07-29 14:20:08"</f>
        <v>2026-07-29 14:20:08</v>
      </c>
      <c r="L14119" s="1" t="str">
        <f>"2024-12-02 13:43:37"</f>
        <v>2024-12-02 13:43:37</v>
      </c>
      <c r="M14119" s="1" t="s">
        <v>4</v>
      </c>
      <c r="N14119" s="1" t="s">
        <v>38</v>
      </c>
      <c r="O14119" s="1" t="s">
        <v>46</v>
      </c>
    </row>
    <row r="14120" spans="2:15" x14ac:dyDescent="0.3">
      <c r="B14120" s="1" t="s">
        <v>19</v>
      </c>
      <c r="C14120" s="1" t="str">
        <f>"1차"</f>
        <v>1차</v>
      </c>
      <c r="D14120" s="1" t="str">
        <f>"0028F66300"</f>
        <v>0028F66300</v>
      </c>
      <c r="E14120" s="1" t="s">
        <v>10</v>
      </c>
      <c r="F14120" s="1" t="str">
        <f>"10.107.118.80"</f>
        <v>10.107.118.80</v>
      </c>
      <c r="G14120" s="1" t="str">
        <f>"0028F663"</f>
        <v>0028F663</v>
      </c>
      <c r="H14120" s="1" t="str">
        <f>"대일지 19R12"</f>
        <v>대일지 19R12</v>
      </c>
      <c r="I14120" s="1" t="s">
        <v>8</v>
      </c>
      <c r="J14120" s="1" t="str">
        <f>"50/50"</f>
        <v>50/50</v>
      </c>
      <c r="K14120" s="1" t="str">
        <f>"2026-07-29 13:18:01"</f>
        <v>2026-07-29 13:18:01</v>
      </c>
      <c r="L14120" s="1" t="str">
        <f>"2014-11-18 11:25:43"</f>
        <v>2014-11-18 11:25:43</v>
      </c>
      <c r="M14120" s="1" t="s">
        <v>45</v>
      </c>
      <c r="N14120" s="1" t="s">
        <v>38</v>
      </c>
      <c r="O14120" s="1" t="s">
        <v>46</v>
      </c>
    </row>
    <row r="14121" spans="2:15" x14ac:dyDescent="0.3">
      <c r="B14121" s="1" t="s">
        <v>19</v>
      </c>
      <c r="C14121" s="1" t="str">
        <f>"3차"</f>
        <v>3차</v>
      </c>
      <c r="D14121" s="1" t="str">
        <f>"0028F72139"</f>
        <v>0028F72139</v>
      </c>
      <c r="E14121" s="1" t="s">
        <v>10</v>
      </c>
      <c r="F14121" s="1" t="str">
        <f>"10.107.118.77"</f>
        <v>10.107.118.77</v>
      </c>
      <c r="G14121" s="1" t="str">
        <f>"0028F721"</f>
        <v>0028F721</v>
      </c>
      <c r="H14121" s="1" t="str">
        <f>"대일지 19R7R5"</f>
        <v>대일지 19R7R5</v>
      </c>
      <c r="I14121" s="1" t="s">
        <v>8</v>
      </c>
      <c r="J14121" s="1" t="str">
        <f>"37/40"</f>
        <v>37/40</v>
      </c>
      <c r="K14121" s="1" t="str">
        <f>"2026-07-29 13:18:01"</f>
        <v>2026-07-29 13:18:01</v>
      </c>
      <c r="L14121" s="1" t="str">
        <f>"2018-03-23 14:22:59"</f>
        <v>2018-03-23 14:22:59</v>
      </c>
      <c r="M14121" s="1" t="s">
        <v>45</v>
      </c>
      <c r="N14121" s="1" t="s">
        <v>38</v>
      </c>
      <c r="O14121" s="1" t="s">
        <v>46</v>
      </c>
    </row>
    <row r="14122" spans="2:15" x14ac:dyDescent="0.3">
      <c r="B14122" s="1" t="s">
        <v>19</v>
      </c>
      <c r="C14122" s="1" t="str">
        <f>"1차"</f>
        <v>1차</v>
      </c>
      <c r="D14122" s="1" t="str">
        <f>"0028F74200"</f>
        <v>0028F74200</v>
      </c>
      <c r="E14122" s="1" t="s">
        <v>10</v>
      </c>
      <c r="F14122" s="1" t="str">
        <f>"10.107.118.75"</f>
        <v>10.107.118.75</v>
      </c>
      <c r="G14122" s="1" t="str">
        <f>"0028F742"</f>
        <v>0028F742</v>
      </c>
      <c r="H14122" s="1" t="str">
        <f>"대일지 19R7R3L4"</f>
        <v>대일지 19R7R3L4</v>
      </c>
      <c r="I14122" s="1" t="s">
        <v>8</v>
      </c>
      <c r="J14122" s="1" t="str">
        <f>"72/72"</f>
        <v>72/72</v>
      </c>
      <c r="K14122" s="1" t="str">
        <f>"2026-07-29 13:18:01"</f>
        <v>2026-07-29 13:18:01</v>
      </c>
      <c r="L14122" s="1" t="str">
        <f>"2014-11-18 11:25:33"</f>
        <v>2014-11-18 11:25:33</v>
      </c>
      <c r="M14122" s="1" t="s">
        <v>45</v>
      </c>
      <c r="N14122" s="1" t="s">
        <v>38</v>
      </c>
      <c r="O14122" s="1" t="s">
        <v>46</v>
      </c>
    </row>
    <row r="14123" spans="2:15" x14ac:dyDescent="0.3">
      <c r="B14123" s="1" t="s">
        <v>19</v>
      </c>
      <c r="C14123" s="1" t="str">
        <f>"5-1차"</f>
        <v>5-1차</v>
      </c>
      <c r="D14123" s="1" t="str">
        <f>"0028F7725M"</f>
        <v>0028F7725M</v>
      </c>
      <c r="E14123" s="1" t="s">
        <v>10</v>
      </c>
      <c r="F14123" s="1" t="str">
        <f>"fde3:102:1410:7100:0:0:0:8"</f>
        <v>fde3:102:1410:7100:0:0:0:8</v>
      </c>
      <c r="G14123" s="1" t="str">
        <f>"0028F772"</f>
        <v>0028F772</v>
      </c>
      <c r="H14123" s="1" t="str">
        <f>"대일지 19R12R2"</f>
        <v>대일지 19R12R2</v>
      </c>
      <c r="I14123" s="1" t="s">
        <v>15</v>
      </c>
      <c r="J14123" s="1" t="str">
        <f>"58/58"</f>
        <v>58/58</v>
      </c>
      <c r="K14123" s="1" t="str">
        <f>"2026-07-29 14:20:08"</f>
        <v>2026-07-29 14:20:08</v>
      </c>
      <c r="L14123" s="1" t="str">
        <f>"2022-11-14 15:59:52"</f>
        <v>2022-11-14 15:59:52</v>
      </c>
      <c r="M14123" s="1" t="s">
        <v>45</v>
      </c>
      <c r="N14123" s="1" t="s">
        <v>38</v>
      </c>
      <c r="O14123" s="1" t="s">
        <v>46</v>
      </c>
    </row>
    <row r="14124" spans="2:15" x14ac:dyDescent="0.3">
      <c r="B14124" s="1" t="s">
        <v>19</v>
      </c>
      <c r="C14124" s="1" t="str">
        <f>"3차"</f>
        <v>3차</v>
      </c>
      <c r="D14124" s="1" t="str">
        <f>"0028F80231"</f>
        <v>0028F80231</v>
      </c>
      <c r="E14124" s="1" t="s">
        <v>10</v>
      </c>
      <c r="F14124" s="1" t="str">
        <f>"10.12.130.41"</f>
        <v>10.12.130.41</v>
      </c>
      <c r="G14124" s="1" t="str">
        <f>"0028F802"</f>
        <v>0028F802</v>
      </c>
      <c r="H14124" s="1" t="str">
        <f>"대일지 19R7R6R1L2"</f>
        <v>대일지 19R7R6R1L2</v>
      </c>
      <c r="I14124" s="1" t="s">
        <v>8</v>
      </c>
      <c r="J14124" s="1" t="str">
        <f>"124/127"</f>
        <v>124/127</v>
      </c>
      <c r="K14124" s="1" t="str">
        <f>"2026-07-29 13:18:02"</f>
        <v>2026-07-29 13:18:02</v>
      </c>
      <c r="L14124" s="1" t="str">
        <f>"2018-06-20 17:01:13"</f>
        <v>2018-06-20 17:01:13</v>
      </c>
      <c r="M14124" s="1" t="s">
        <v>0</v>
      </c>
      <c r="N14124" s="1" t="s">
        <v>38</v>
      </c>
      <c r="O14124" s="1" t="s">
        <v>46</v>
      </c>
    </row>
    <row r="14125" spans="2:15" x14ac:dyDescent="0.3">
      <c r="B14125" s="1" t="s">
        <v>19</v>
      </c>
      <c r="C14125" s="1" t="str">
        <f>"4차"</f>
        <v>4차</v>
      </c>
      <c r="D14125" s="1" t="str">
        <f>"0028F81230"</f>
        <v>0028F81230</v>
      </c>
      <c r="E14125" s="1" t="s">
        <v>10</v>
      </c>
      <c r="F14125" s="1" t="str">
        <f>"10.107.8.12"</f>
        <v>10.107.8.12</v>
      </c>
      <c r="G14125" s="1" t="str">
        <f>"0028F812"</f>
        <v>0028F812</v>
      </c>
      <c r="H14125" s="1" t="str">
        <f>"대일지 19R7R6R2"</f>
        <v>대일지 19R7R6R2</v>
      </c>
      <c r="I14125" s="1" t="s">
        <v>8</v>
      </c>
      <c r="J14125" s="1" t="str">
        <f>"13/13"</f>
        <v>13/13</v>
      </c>
      <c r="K14125" s="1" t="str">
        <f>"2026-07-29 13:18:01"</f>
        <v>2026-07-29 13:18:01</v>
      </c>
      <c r="L14125" s="1" t="str">
        <f>"2024-06-07 15:24:32"</f>
        <v>2024-06-07 15:24:32</v>
      </c>
      <c r="M14125" s="1" t="s">
        <v>45</v>
      </c>
      <c r="N14125" s="1" t="s">
        <v>38</v>
      </c>
      <c r="O14125" s="1" t="s">
        <v>46</v>
      </c>
    </row>
    <row r="14126" spans="2:15" x14ac:dyDescent="0.3">
      <c r="B14126" s="1" t="s">
        <v>19</v>
      </c>
      <c r="C14126" s="1" t="str">
        <f>"5-2차"</f>
        <v>5-2차</v>
      </c>
      <c r="D14126" s="1" t="str">
        <f>"0028F8515M"</f>
        <v>0028F8515M</v>
      </c>
      <c r="E14126" s="1" t="s">
        <v>10</v>
      </c>
      <c r="F14126" s="1" t="str">
        <f>"fde1:103:4:57c7:0:0:0:2"</f>
        <v>fde1:103:4:57c7:0:0:0:2</v>
      </c>
      <c r="G14126" s="1" t="str">
        <f>"0028F851"</f>
        <v>0028F851</v>
      </c>
      <c r="H14126" s="1" t="str">
        <f>"대일지 19R7R12"</f>
        <v>대일지 19R7R12</v>
      </c>
      <c r="I14126" s="1" t="s">
        <v>15</v>
      </c>
      <c r="J14126" s="1" t="str">
        <f>"84/84"</f>
        <v>84/84</v>
      </c>
      <c r="K14126" s="1" t="str">
        <f>"2026-07-29 14:20:08"</f>
        <v>2026-07-29 14:20:08</v>
      </c>
      <c r="L14126" s="1" t="str">
        <f>"2023-09-13 13:51:40"</f>
        <v>2023-09-13 13:51:40</v>
      </c>
      <c r="M14126" s="1" t="s">
        <v>4</v>
      </c>
      <c r="N14126" s="1" t="s">
        <v>38</v>
      </c>
      <c r="O14126" s="1" t="s">
        <v>46</v>
      </c>
    </row>
    <row r="14127" spans="2:15" x14ac:dyDescent="0.3">
      <c r="B14127" s="1" t="s">
        <v>19</v>
      </c>
      <c r="C14127" s="1" t="str">
        <f>"4차"</f>
        <v>4차</v>
      </c>
      <c r="D14127" s="1" t="str">
        <f>"0028F91439"</f>
        <v>0028F91439</v>
      </c>
      <c r="E14127" s="1" t="s">
        <v>10</v>
      </c>
      <c r="F14127" s="1" t="str">
        <f>"10.107.8.10"</f>
        <v>10.107.8.10</v>
      </c>
      <c r="G14127" s="1" t="str">
        <f>"0028F914"</f>
        <v>0028F914</v>
      </c>
      <c r="H14127" s="1" t="str">
        <f>"대일지 19R7R6R1L1L1"</f>
        <v>대일지 19R7R6R1L1L1</v>
      </c>
      <c r="I14127" s="1" t="s">
        <v>8</v>
      </c>
      <c r="J14127" s="1" t="str">
        <f>"106/106"</f>
        <v>106/106</v>
      </c>
      <c r="K14127" s="1" t="str">
        <f>"2026-07-29 13:18:01"</f>
        <v>2026-07-29 13:18:01</v>
      </c>
      <c r="L14127" s="1" t="str">
        <f>"2018-06-20 18:06:06"</f>
        <v>2018-06-20 18:06:06</v>
      </c>
      <c r="M14127" s="1" t="s">
        <v>45</v>
      </c>
      <c r="N14127" s="1" t="s">
        <v>38</v>
      </c>
      <c r="O14127" s="1" t="s">
        <v>46</v>
      </c>
    </row>
    <row r="14128" spans="2:15" x14ac:dyDescent="0.3">
      <c r="B14128" s="1" t="s">
        <v>19</v>
      </c>
      <c r="C14128" s="1" t="str">
        <f>"4차"</f>
        <v>4차</v>
      </c>
      <c r="D14128" s="1" t="str">
        <f>"0028F92142"</f>
        <v>0028F92142</v>
      </c>
      <c r="E14128" s="1" t="s">
        <v>10</v>
      </c>
      <c r="F14128" s="1" t="str">
        <f>"10.107.4.179"</f>
        <v>10.107.4.179</v>
      </c>
      <c r="G14128" s="1" t="str">
        <f>"0028F921"</f>
        <v>0028F921</v>
      </c>
      <c r="H14128" s="1" t="str">
        <f>"대일지 19R7R7"</f>
        <v>대일지 19R7R7</v>
      </c>
      <c r="I14128" s="1" t="s">
        <v>8</v>
      </c>
      <c r="J14128" s="1" t="str">
        <f>"43/44"</f>
        <v>43/44</v>
      </c>
      <c r="K14128" s="1" t="str">
        <f>"2026-07-29 13:18:01"</f>
        <v>2026-07-29 13:18:01</v>
      </c>
      <c r="L14128" s="1" t="str">
        <f>"2024-12-20 10:23:21"</f>
        <v>2024-12-20 10:23:21</v>
      </c>
      <c r="M14128" s="1" t="s">
        <v>45</v>
      </c>
      <c r="N14128" s="1" t="s">
        <v>38</v>
      </c>
      <c r="O14128" s="1" t="s">
        <v>46</v>
      </c>
    </row>
    <row r="14129" spans="2:15" x14ac:dyDescent="0.3">
      <c r="B14129" s="1" t="s">
        <v>19</v>
      </c>
      <c r="C14129" s="1" t="str">
        <f>"4차"</f>
        <v>4차</v>
      </c>
      <c r="D14129" s="1" t="str">
        <f>"0028F92244"</f>
        <v>0028F92244</v>
      </c>
      <c r="E14129" s="1" t="s">
        <v>10</v>
      </c>
      <c r="F14129" s="1" t="str">
        <f>"10.12.132.162"</f>
        <v>10.12.132.162</v>
      </c>
      <c r="G14129" s="1" t="str">
        <f>"0028F922"</f>
        <v>0028F922</v>
      </c>
      <c r="H14129" s="1" t="str">
        <f>"대일지 19R7R8"</f>
        <v>대일지 19R7R8</v>
      </c>
      <c r="I14129" s="1" t="s">
        <v>8</v>
      </c>
      <c r="J14129" s="1" t="str">
        <f>"58/58"</f>
        <v>58/58</v>
      </c>
      <c r="K14129" s="1" t="str">
        <f>"2026-07-29 13:18:01"</f>
        <v>2026-07-29 13:18:01</v>
      </c>
      <c r="L14129" s="1" t="str">
        <f>"2023-10-05 17:36:12"</f>
        <v>2023-10-05 17:36:12</v>
      </c>
      <c r="M14129" s="1" t="s">
        <v>0</v>
      </c>
      <c r="N14129" s="1" t="s">
        <v>38</v>
      </c>
      <c r="O14129" s="1" t="s">
        <v>46</v>
      </c>
    </row>
    <row r="14130" spans="2:15" x14ac:dyDescent="0.3">
      <c r="B14130" s="1" t="s">
        <v>19</v>
      </c>
      <c r="C14130" s="1" t="str">
        <f>"4차"</f>
        <v>4차</v>
      </c>
      <c r="D14130" s="1" t="str">
        <f>"0028F94142"</f>
        <v>0028F94142</v>
      </c>
      <c r="E14130" s="1" t="s">
        <v>10</v>
      </c>
      <c r="F14130" s="1" t="str">
        <f>"10.107.3.19"</f>
        <v>10.107.3.19</v>
      </c>
      <c r="G14130" s="1" t="str">
        <f>"0028F941"</f>
        <v>0028F941</v>
      </c>
      <c r="H14130" s="1" t="str">
        <f>"대일지 19R7R10"</f>
        <v>대일지 19R7R10</v>
      </c>
      <c r="I14130" s="1" t="s">
        <v>8</v>
      </c>
      <c r="J14130" s="1" t="str">
        <f>"46/53"</f>
        <v>46/53</v>
      </c>
      <c r="K14130" s="1" t="str">
        <f>"2026-07-29 13:18:01"</f>
        <v>2026-07-29 13:18:01</v>
      </c>
      <c r="L14130" s="1" t="str">
        <f>"2025-09-05 10:36:04"</f>
        <v>2025-09-05 10:36:04</v>
      </c>
      <c r="M14130" s="1" t="s">
        <v>45</v>
      </c>
      <c r="N14130" s="1" t="s">
        <v>38</v>
      </c>
      <c r="O14130" s="1" t="s">
        <v>46</v>
      </c>
    </row>
    <row r="14131" spans="2:15" x14ac:dyDescent="0.3">
      <c r="B14131" s="1" t="s">
        <v>19</v>
      </c>
      <c r="C14131" s="1" t="str">
        <f>"1차"</f>
        <v>1차</v>
      </c>
      <c r="D14131" s="1" t="str">
        <f>"0028F95101"</f>
        <v>0028F95101</v>
      </c>
      <c r="E14131" s="1" t="s">
        <v>10</v>
      </c>
      <c r="F14131" s="1" t="str">
        <f>"10.12.131.170"</f>
        <v>10.12.131.170</v>
      </c>
      <c r="G14131" s="1" t="str">
        <f>"0028F951"</f>
        <v>0028F951</v>
      </c>
      <c r="H14131" s="1" t="str">
        <f>"대일지 19R7R11"</f>
        <v>대일지 19R7R11</v>
      </c>
      <c r="I14131" s="1" t="s">
        <v>8</v>
      </c>
      <c r="J14131" s="1" t="str">
        <f>"52/56"</f>
        <v>52/56</v>
      </c>
      <c r="K14131" s="1" t="str">
        <f>"2026-07-29 13:18:02"</f>
        <v>2026-07-29 13:18:02</v>
      </c>
      <c r="L14131" s="1" t="str">
        <f>"2014-11-18 11:25:25"</f>
        <v>2014-11-18 11:25:25</v>
      </c>
      <c r="M14131" s="1" t="s">
        <v>0</v>
      </c>
      <c r="N14131" s="1" t="s">
        <v>38</v>
      </c>
      <c r="O14131" s="1" t="s">
        <v>46</v>
      </c>
    </row>
    <row r="14132" spans="2:15" x14ac:dyDescent="0.3">
      <c r="B14132" s="1" t="s">
        <v>19</v>
      </c>
      <c r="C14132" s="1" t="str">
        <f>"1차"</f>
        <v>1차</v>
      </c>
      <c r="D14132" s="1" t="str">
        <f>"0028G01100"</f>
        <v>0028G01100</v>
      </c>
      <c r="E14132" s="1" t="s">
        <v>10</v>
      </c>
      <c r="F14132" s="1" t="str">
        <f>"10.107.3.22"</f>
        <v>10.107.3.22</v>
      </c>
      <c r="G14132" s="1" t="str">
        <f>"0028G011"</f>
        <v>0028G011</v>
      </c>
      <c r="H14132" s="1" t="str">
        <f>"성북간 93"</f>
        <v>성북간 93</v>
      </c>
      <c r="I14132" s="1" t="s">
        <v>8</v>
      </c>
      <c r="J14132" s="1" t="str">
        <f>"25/25"</f>
        <v>25/25</v>
      </c>
      <c r="K14132" s="1" t="str">
        <f>"2026-07-29 13:18:01"</f>
        <v>2026-07-29 13:18:01</v>
      </c>
      <c r="L14132" s="1" t="str">
        <f>"2014-11-18 11:24:55"</f>
        <v>2014-11-18 11:24:55</v>
      </c>
      <c r="M14132" s="1" t="s">
        <v>45</v>
      </c>
      <c r="N14132" s="1" t="s">
        <v>38</v>
      </c>
      <c r="O14132" s="1" t="s">
        <v>46</v>
      </c>
    </row>
    <row r="14133" spans="2:15" x14ac:dyDescent="0.3">
      <c r="B14133" s="1" t="s">
        <v>19</v>
      </c>
      <c r="C14133" s="1" t="str">
        <f>"1차"</f>
        <v>1차</v>
      </c>
      <c r="D14133" s="1" t="str">
        <f>"0028G11301"</f>
        <v>0028G11301</v>
      </c>
      <c r="E14133" s="1" t="s">
        <v>10</v>
      </c>
      <c r="F14133" s="1" t="str">
        <f>"10.107.3.23"</f>
        <v>10.107.3.23</v>
      </c>
      <c r="G14133" s="1" t="str">
        <f>"0028G113"</f>
        <v>0028G113</v>
      </c>
      <c r="H14133" s="1" t="str">
        <f>"성북간 94"</f>
        <v>성북간 94</v>
      </c>
      <c r="I14133" s="1" t="s">
        <v>8</v>
      </c>
      <c r="J14133" s="1" t="str">
        <f>"42/42"</f>
        <v>42/42</v>
      </c>
      <c r="K14133" s="1" t="str">
        <f>"2026-07-29 13:18:01"</f>
        <v>2026-07-29 13:18:01</v>
      </c>
      <c r="L14133" s="1" t="str">
        <f>"2014-11-18 11:24:30"</f>
        <v>2014-11-18 11:24:30</v>
      </c>
      <c r="M14133" s="1" t="s">
        <v>45</v>
      </c>
      <c r="N14133" s="1" t="s">
        <v>38</v>
      </c>
      <c r="O14133" s="1" t="s">
        <v>46</v>
      </c>
    </row>
    <row r="14134" spans="2:15" x14ac:dyDescent="0.3">
      <c r="B14134" s="1" t="s">
        <v>19</v>
      </c>
      <c r="C14134" s="1" t="str">
        <f>"1차"</f>
        <v>1차</v>
      </c>
      <c r="D14134" s="1" t="str">
        <f>"0028G22200"</f>
        <v>0028G22200</v>
      </c>
      <c r="E14134" s="1" t="s">
        <v>10</v>
      </c>
      <c r="F14134" s="1" t="str">
        <f>"10.107.4.186"</f>
        <v>10.107.4.186</v>
      </c>
      <c r="G14134" s="1" t="str">
        <f>"0028G222"</f>
        <v>0028G222</v>
      </c>
      <c r="H14134" s="1" t="str">
        <f>"성북간 97L1"</f>
        <v>성북간 97L1</v>
      </c>
      <c r="I14134" s="1" t="s">
        <v>8</v>
      </c>
      <c r="J14134" s="1" t="str">
        <f>"29/29"</f>
        <v>29/29</v>
      </c>
      <c r="K14134" s="1" t="str">
        <f>"2026-07-29 13:18:01"</f>
        <v>2026-07-29 13:18:01</v>
      </c>
      <c r="L14134" s="1" t="str">
        <f>"2014-11-18 11:24:36"</f>
        <v>2014-11-18 11:24:36</v>
      </c>
      <c r="M14134" s="1" t="s">
        <v>45</v>
      </c>
      <c r="N14134" s="1" t="s">
        <v>38</v>
      </c>
      <c r="O14134" s="1" t="s">
        <v>46</v>
      </c>
    </row>
    <row r="14135" spans="2:15" x14ac:dyDescent="0.3">
      <c r="B14135" s="1" t="s">
        <v>19</v>
      </c>
      <c r="C14135" s="1" t="str">
        <f>"1차"</f>
        <v>1차</v>
      </c>
      <c r="D14135" s="1" t="str">
        <f>"0028G23200"</f>
        <v>0028G23200</v>
      </c>
      <c r="E14135" s="1" t="s">
        <v>14</v>
      </c>
      <c r="F14135" s="1" t="str">
        <f>"10.107.4.187"</f>
        <v>10.107.4.187</v>
      </c>
      <c r="G14135" s="1" t="str">
        <f>"0028G232"</f>
        <v>0028G232</v>
      </c>
      <c r="H14135" s="1" t="str">
        <f>"국민간 60L5"</f>
        <v>국민간 60L5</v>
      </c>
      <c r="I14135" s="1" t="s">
        <v>8</v>
      </c>
      <c r="J14135" s="1" t="str">
        <f>"0/0"</f>
        <v>0/0</v>
      </c>
      <c r="K14135" s="1" t="str">
        <f>"2026-07-29 13:18:01"</f>
        <v>2026-07-29 13:18:01</v>
      </c>
      <c r="L14135" s="1" t="str">
        <f>"2014-11-18 11:22:29"</f>
        <v>2014-11-18 11:22:29</v>
      </c>
      <c r="M14135" s="1" t="s">
        <v>45</v>
      </c>
      <c r="N14135" s="1" t="s">
        <v>38</v>
      </c>
      <c r="O14135" s="1" t="s">
        <v>44</v>
      </c>
    </row>
    <row r="14136" spans="2:15" x14ac:dyDescent="0.3">
      <c r="B14136" s="1" t="s">
        <v>19</v>
      </c>
      <c r="C14136" s="1" t="str">
        <f>"5-2차"</f>
        <v>5-2차</v>
      </c>
      <c r="D14136" s="1" t="str">
        <f>"0028G2915S"</f>
        <v>0028G2915S</v>
      </c>
      <c r="E14136" s="1" t="s">
        <v>10</v>
      </c>
      <c r="F14136" s="1" t="str">
        <f>"fde1:103:4:58e2:0:0:0:2"</f>
        <v>fde1:103:4:58e2:0:0:0:2</v>
      </c>
      <c r="G14136" s="1" t="str">
        <f>"0028G291"</f>
        <v>0028G291</v>
      </c>
      <c r="H14136" s="1" t="str">
        <f>"국민간 24L10"</f>
        <v>국민간 24L10</v>
      </c>
      <c r="I14136" s="1" t="s">
        <v>15</v>
      </c>
      <c r="J14136" s="1" t="str">
        <f>"74/74"</f>
        <v>74/74</v>
      </c>
      <c r="K14136" s="1" t="str">
        <f>"2026-07-29 14:20:06"</f>
        <v>2026-07-29 14:20:06</v>
      </c>
      <c r="L14136" s="1" t="str">
        <f>"2023-09-13 13:52:14"</f>
        <v>2023-09-13 13:52:14</v>
      </c>
      <c r="M14136" s="1" t="s">
        <v>4</v>
      </c>
      <c r="N14136" s="1" t="s">
        <v>38</v>
      </c>
      <c r="O14136" s="1" t="s">
        <v>46</v>
      </c>
    </row>
    <row r="14137" spans="2:15" x14ac:dyDescent="0.3">
      <c r="B14137" s="1" t="s">
        <v>19</v>
      </c>
      <c r="C14137" s="1" t="str">
        <f>"5-2차"</f>
        <v>5-2차</v>
      </c>
      <c r="D14137" s="1" t="str">
        <f>"0028G3915M"</f>
        <v>0028G3915M</v>
      </c>
      <c r="E14137" s="1" t="s">
        <v>10</v>
      </c>
      <c r="F14137" s="1" t="str">
        <f>"fde1:103:4:589c:0:0:0:2"</f>
        <v>fde1:103:4:589c:0:0:0:2</v>
      </c>
      <c r="G14137" s="1" t="str">
        <f>"0028G391"</f>
        <v>0028G391</v>
      </c>
      <c r="H14137" s="1" t="str">
        <f>"국민간 24L8"</f>
        <v>국민간 24L8</v>
      </c>
      <c r="I14137" s="1" t="s">
        <v>15</v>
      </c>
      <c r="J14137" s="1" t="str">
        <f>"114/114"</f>
        <v>114/114</v>
      </c>
      <c r="K14137" s="1" t="str">
        <f>"2026-07-29 14:20:08"</f>
        <v>2026-07-29 14:20:08</v>
      </c>
      <c r="L14137" s="1" t="str">
        <f>"2023-09-13 14:04:58"</f>
        <v>2023-09-13 14:04:58</v>
      </c>
      <c r="M14137" s="1" t="s">
        <v>4</v>
      </c>
      <c r="N14137" s="1" t="s">
        <v>38</v>
      </c>
      <c r="O14137" s="1" t="s">
        <v>46</v>
      </c>
    </row>
    <row r="14138" spans="2:15" x14ac:dyDescent="0.3">
      <c r="B14138" s="1" t="s">
        <v>19</v>
      </c>
      <c r="C14138" s="1" t="str">
        <f>"6차"</f>
        <v>6차</v>
      </c>
      <c r="D14138" s="1" t="str">
        <f>"0028G4146M"</f>
        <v>0028G4146M</v>
      </c>
      <c r="E14138" s="1" t="s">
        <v>10</v>
      </c>
      <c r="F14138" s="1" t="str">
        <f>"fde1:103:4:c807:0:0:0:2"</f>
        <v>fde1:103:4:c807:0:0:0:2</v>
      </c>
      <c r="G14138" s="1" t="str">
        <f>"0028G414"</f>
        <v>0028G414</v>
      </c>
      <c r="H14138" s="1" t="str">
        <f>"정릉SW 5L3"</f>
        <v>정릉SW 5L3</v>
      </c>
      <c r="I14138" s="1" t="s">
        <v>15</v>
      </c>
      <c r="J14138" s="1" t="str">
        <f>"46/46"</f>
        <v>46/46</v>
      </c>
      <c r="K14138" s="1" t="str">
        <f>"2026-07-29 14:20:08"</f>
        <v>2026-07-29 14:20:08</v>
      </c>
      <c r="L14138" s="1" t="str">
        <f>"2024-12-03 11:22:36"</f>
        <v>2024-12-03 11:22:36</v>
      </c>
      <c r="M14138" s="1" t="s">
        <v>4</v>
      </c>
      <c r="N14138" s="1" t="s">
        <v>38</v>
      </c>
      <c r="O14138" s="1" t="s">
        <v>46</v>
      </c>
    </row>
    <row r="14139" spans="2:15" x14ac:dyDescent="0.3">
      <c r="B14139" s="1" t="s">
        <v>19</v>
      </c>
      <c r="C14139" s="1" t="str">
        <f t="shared" ref="C14139:C14144" si="722">"5-2차"</f>
        <v>5-2차</v>
      </c>
      <c r="D14139" s="1" t="str">
        <f>"0028G4525M"</f>
        <v>0028G4525M</v>
      </c>
      <c r="E14139" s="1" t="s">
        <v>10</v>
      </c>
      <c r="F14139" s="1" t="str">
        <f>"fde1:103:4:5890:0:0:0:2"</f>
        <v>fde1:103:4:5890:0:0:0:2</v>
      </c>
      <c r="G14139" s="1" t="str">
        <f>"0028G452"</f>
        <v>0028G452</v>
      </c>
      <c r="H14139" s="1" t="str">
        <f>"국민간 24B2R8"</f>
        <v>국민간 24B2R8</v>
      </c>
      <c r="I14139" s="1" t="s">
        <v>15</v>
      </c>
      <c r="J14139" s="1" t="str">
        <f>"54/54"</f>
        <v>54/54</v>
      </c>
      <c r="K14139" s="1" t="str">
        <f>"2026-07-29 14:20:08"</f>
        <v>2026-07-29 14:20:08</v>
      </c>
      <c r="L14139" s="1" t="str">
        <f>"2023-09-13 14:06:05"</f>
        <v>2023-09-13 14:06:05</v>
      </c>
      <c r="M14139" s="1" t="s">
        <v>4</v>
      </c>
      <c r="N14139" s="1" t="s">
        <v>38</v>
      </c>
      <c r="O14139" s="1" t="s">
        <v>46</v>
      </c>
    </row>
    <row r="14140" spans="2:15" x14ac:dyDescent="0.3">
      <c r="B14140" s="1" t="s">
        <v>19</v>
      </c>
      <c r="C14140" s="1" t="str">
        <f t="shared" si="722"/>
        <v>5-2차</v>
      </c>
      <c r="D14140" s="1" t="str">
        <f>"0028G4625M"</f>
        <v>0028G4625M</v>
      </c>
      <c r="E14140" s="1" t="s">
        <v>10</v>
      </c>
      <c r="F14140" s="1" t="str">
        <f>"fde1:103:4:57cc:0:0:0:2"</f>
        <v>fde1:103:4:57cc:0:0:0:2</v>
      </c>
      <c r="G14140" s="1" t="str">
        <f>"0028G462"</f>
        <v>0028G462</v>
      </c>
      <c r="H14140" s="1" t="str">
        <f>"국민간 24B2R9R1"</f>
        <v>국민간 24B2R9R1</v>
      </c>
      <c r="I14140" s="1" t="s">
        <v>15</v>
      </c>
      <c r="J14140" s="1" t="str">
        <f>"77/77"</f>
        <v>77/77</v>
      </c>
      <c r="K14140" s="1" t="str">
        <f>"2026-07-29 14:20:08"</f>
        <v>2026-07-29 14:20:08</v>
      </c>
      <c r="L14140" s="1" t="str">
        <f>"2023-09-13 14:15:47"</f>
        <v>2023-09-13 14:15:47</v>
      </c>
      <c r="M14140" s="1" t="s">
        <v>4</v>
      </c>
      <c r="N14140" s="1" t="s">
        <v>38</v>
      </c>
      <c r="O14140" s="1" t="s">
        <v>46</v>
      </c>
    </row>
    <row r="14141" spans="2:15" x14ac:dyDescent="0.3">
      <c r="B14141" s="1" t="s">
        <v>19</v>
      </c>
      <c r="C14141" s="1" t="str">
        <f t="shared" si="722"/>
        <v>5-2차</v>
      </c>
      <c r="D14141" s="1" t="str">
        <f>"0028G4715M"</f>
        <v>0028G4715M</v>
      </c>
      <c r="E14141" s="1" t="s">
        <v>10</v>
      </c>
      <c r="F14141" s="1" t="str">
        <f>"fde1:103:4:5a4f:0:0:0:2"</f>
        <v>fde1:103:4:5a4f:0:0:0:2</v>
      </c>
      <c r="G14141" s="1" t="str">
        <f>"0028G471"</f>
        <v>0028G471</v>
      </c>
      <c r="H14141" s="1" t="str">
        <f>"국민간 24L5"</f>
        <v>국민간 24L5</v>
      </c>
      <c r="I14141" s="1" t="s">
        <v>15</v>
      </c>
      <c r="J14141" s="1" t="str">
        <f>"53/53"</f>
        <v>53/53</v>
      </c>
      <c r="K14141" s="1" t="str">
        <f>"2026-07-29 14:20:08"</f>
        <v>2026-07-29 14:20:08</v>
      </c>
      <c r="L14141" s="1" t="str">
        <f>"2023-09-13 14:35:50"</f>
        <v>2023-09-13 14:35:50</v>
      </c>
      <c r="M14141" s="1" t="s">
        <v>4</v>
      </c>
      <c r="N14141" s="1" t="s">
        <v>38</v>
      </c>
      <c r="O14141" s="1" t="s">
        <v>46</v>
      </c>
    </row>
    <row r="14142" spans="2:15" x14ac:dyDescent="0.3">
      <c r="B14142" s="1" t="s">
        <v>19</v>
      </c>
      <c r="C14142" s="1" t="str">
        <f t="shared" si="722"/>
        <v>5-2차</v>
      </c>
      <c r="D14142" s="1" t="str">
        <f>"0028G4815M"</f>
        <v>0028G4815M</v>
      </c>
      <c r="E14142" s="1" t="s">
        <v>10</v>
      </c>
      <c r="F14142" s="1" t="str">
        <f>"fde1:103:4:5970:0:0:0:2"</f>
        <v>fde1:103:4:5970:0:0:0:2</v>
      </c>
      <c r="G14142" s="1" t="str">
        <f>"0028G481"</f>
        <v>0028G481</v>
      </c>
      <c r="H14142" s="1" t="str">
        <f>"국민간 24L7"</f>
        <v>국민간 24L7</v>
      </c>
      <c r="I14142" s="1" t="s">
        <v>15</v>
      </c>
      <c r="J14142" s="1" t="str">
        <f>"81/81"</f>
        <v>81/81</v>
      </c>
      <c r="K14142" s="1" t="str">
        <f>"2026-07-29 14:20:01"</f>
        <v>2026-07-29 14:20:01</v>
      </c>
      <c r="L14142" s="1" t="str">
        <f>"2023-09-14 15:00:56"</f>
        <v>2023-09-14 15:00:56</v>
      </c>
      <c r="M14142" s="1" t="s">
        <v>4</v>
      </c>
      <c r="N14142" s="1" t="s">
        <v>38</v>
      </c>
      <c r="O14142" s="1" t="s">
        <v>46</v>
      </c>
    </row>
    <row r="14143" spans="2:15" x14ac:dyDescent="0.3">
      <c r="B14143" s="1" t="s">
        <v>19</v>
      </c>
      <c r="C14143" s="1" t="str">
        <f t="shared" si="722"/>
        <v>5-2차</v>
      </c>
      <c r="D14143" s="1" t="str">
        <f>"0028G4915M"</f>
        <v>0028G4915M</v>
      </c>
      <c r="E14143" s="1" t="s">
        <v>10</v>
      </c>
      <c r="F14143" s="1" t="str">
        <f>"fde1:103:4:57a6:0:0:0:2"</f>
        <v>fde1:103:4:57a6:0:0:0:2</v>
      </c>
      <c r="G14143" s="1" t="str">
        <f>"0028G491"</f>
        <v>0028G491</v>
      </c>
      <c r="H14143" s="1" t="str">
        <f>"국민간 30L4L2B1"</f>
        <v>국민간 30L4L2B1</v>
      </c>
      <c r="I14143" s="1" t="s">
        <v>15</v>
      </c>
      <c r="J14143" s="1" t="str">
        <f>"68/68"</f>
        <v>68/68</v>
      </c>
      <c r="K14143" s="1" t="str">
        <f>"2026-07-29 14:20:08"</f>
        <v>2026-07-29 14:20:08</v>
      </c>
      <c r="L14143" s="1" t="str">
        <f>"2023-09-14 15:02:11"</f>
        <v>2023-09-14 15:02:11</v>
      </c>
      <c r="M14143" s="1" t="s">
        <v>4</v>
      </c>
      <c r="N14143" s="1" t="s">
        <v>38</v>
      </c>
      <c r="O14143" s="1" t="s">
        <v>46</v>
      </c>
    </row>
    <row r="14144" spans="2:15" x14ac:dyDescent="0.3">
      <c r="B14144" s="1" t="s">
        <v>19</v>
      </c>
      <c r="C14144" s="1" t="str">
        <f t="shared" si="722"/>
        <v>5-2차</v>
      </c>
      <c r="D14144" s="1" t="str">
        <f>"0028G5925S"</f>
        <v>0028G5925S</v>
      </c>
      <c r="E14144" s="1" t="s">
        <v>10</v>
      </c>
      <c r="F14144" s="1" t="str">
        <f>"fde1:103:4:589a:0:0:0:2"</f>
        <v>fde1:103:4:589a:0:0:0:2</v>
      </c>
      <c r="G14144" s="1" t="str">
        <f>"0028G592"</f>
        <v>0028G592</v>
      </c>
      <c r="H14144" s="1" t="str">
        <f>"국민간 30L4L2"</f>
        <v>국민간 30L4L2</v>
      </c>
      <c r="I14144" s="1" t="s">
        <v>15</v>
      </c>
      <c r="J14144" s="1" t="str">
        <f>"46/46"</f>
        <v>46/46</v>
      </c>
      <c r="K14144" s="1" t="str">
        <f>"2026-07-29 14:20:08"</f>
        <v>2026-07-29 14:20:08</v>
      </c>
      <c r="L14144" s="1" t="str">
        <f>"2023-09-14 15:59:41"</f>
        <v>2023-09-14 15:59:41</v>
      </c>
      <c r="M14144" s="1" t="s">
        <v>4</v>
      </c>
      <c r="N14144" s="1" t="s">
        <v>38</v>
      </c>
      <c r="O14144" s="1" t="s">
        <v>46</v>
      </c>
    </row>
    <row r="14145" spans="2:15" x14ac:dyDescent="0.3">
      <c r="B14145" s="1" t="s">
        <v>19</v>
      </c>
      <c r="C14145" s="1" t="str">
        <f>"5-1차"</f>
        <v>5-1차</v>
      </c>
      <c r="D14145" s="1" t="str">
        <f>"0028G6525M"</f>
        <v>0028G6525M</v>
      </c>
      <c r="E14145" s="1" t="s">
        <v>10</v>
      </c>
      <c r="F14145" s="1" t="str">
        <f>"fde2:104:0:62:0:0:0:2"</f>
        <v>fde2:104:0:62:0:0:0:2</v>
      </c>
      <c r="G14145" s="1" t="str">
        <f>"0028G652"</f>
        <v>0028G652</v>
      </c>
      <c r="H14145" s="1" t="str">
        <f>"국민간 24B2R1"</f>
        <v>국민간 24B2R1</v>
      </c>
      <c r="I14145" s="1" t="s">
        <v>15</v>
      </c>
      <c r="J14145" s="1" t="str">
        <f>"23/25"</f>
        <v>23/25</v>
      </c>
      <c r="K14145" s="1" t="str">
        <f>"2026-07-29 14:20:06"</f>
        <v>2026-07-29 14:20:06</v>
      </c>
      <c r="L14145" s="1" t="str">
        <f>"2022-08-10 16:11:36"</f>
        <v>2022-08-10 16:11:36</v>
      </c>
      <c r="M14145" s="1" t="s">
        <v>42</v>
      </c>
      <c r="N14145" s="1" t="s">
        <v>38</v>
      </c>
      <c r="O14145" s="1" t="s">
        <v>46</v>
      </c>
    </row>
    <row r="14146" spans="2:15" x14ac:dyDescent="0.3">
      <c r="B14146" s="1" t="s">
        <v>19</v>
      </c>
      <c r="C14146" s="1" t="str">
        <f>"5-2차"</f>
        <v>5-2차</v>
      </c>
      <c r="D14146" s="1" t="str">
        <f>"0028G6615S"</f>
        <v>0028G6615S</v>
      </c>
      <c r="E14146" s="1" t="s">
        <v>10</v>
      </c>
      <c r="F14146" s="1" t="str">
        <f>"fde1:103:4:573f:0:0:0:2"</f>
        <v>fde1:103:4:573f:0:0:0:2</v>
      </c>
      <c r="G14146" s="1" t="str">
        <f>"0028G661"</f>
        <v>0028G661</v>
      </c>
      <c r="H14146" s="1" t="str">
        <f>"국민간 24L2"</f>
        <v>국민간 24L2</v>
      </c>
      <c r="I14146" s="1" t="s">
        <v>15</v>
      </c>
      <c r="J14146" s="1" t="str">
        <f>"48/48"</f>
        <v>48/48</v>
      </c>
      <c r="K14146" s="1" t="str">
        <f>"2026-07-29 14:20:09"</f>
        <v>2026-07-29 14:20:09</v>
      </c>
      <c r="L14146" s="1" t="str">
        <f>"2023-09-14 16:00:24"</f>
        <v>2023-09-14 16:00:24</v>
      </c>
      <c r="M14146" s="1" t="s">
        <v>4</v>
      </c>
      <c r="N14146" s="1" t="s">
        <v>38</v>
      </c>
      <c r="O14146" s="1" t="s">
        <v>46</v>
      </c>
    </row>
    <row r="14147" spans="2:15" x14ac:dyDescent="0.3">
      <c r="B14147" s="1" t="s">
        <v>19</v>
      </c>
      <c r="C14147" s="1" t="str">
        <f>"5-2차"</f>
        <v>5-2차</v>
      </c>
      <c r="D14147" s="1" t="str">
        <f>"0028G6625S"</f>
        <v>0028G6625S</v>
      </c>
      <c r="E14147" s="1" t="s">
        <v>10</v>
      </c>
      <c r="F14147" s="1" t="str">
        <f>"fde1:103:4:5835:0:0:0:2"</f>
        <v>fde1:103:4:5835:0:0:0:2</v>
      </c>
      <c r="G14147" s="1" t="str">
        <f>"0028G662"</f>
        <v>0028G662</v>
      </c>
      <c r="H14147" s="1" t="str">
        <f>"국민간 24L3"</f>
        <v>국민간 24L3</v>
      </c>
      <c r="I14147" s="1" t="s">
        <v>15</v>
      </c>
      <c r="J14147" s="1" t="str">
        <f>"95/95"</f>
        <v>95/95</v>
      </c>
      <c r="K14147" s="1" t="str">
        <f>"2026-07-29 14:20:09"</f>
        <v>2026-07-29 14:20:09</v>
      </c>
      <c r="L14147" s="1" t="str">
        <f>"2023-09-14 16:24:01"</f>
        <v>2023-09-14 16:24:01</v>
      </c>
      <c r="M14147" s="1" t="s">
        <v>4</v>
      </c>
      <c r="N14147" s="1" t="s">
        <v>38</v>
      </c>
      <c r="O14147" s="1" t="s">
        <v>46</v>
      </c>
    </row>
    <row r="14148" spans="2:15" x14ac:dyDescent="0.3">
      <c r="B14148" s="1" t="s">
        <v>19</v>
      </c>
      <c r="C14148" s="1" t="str">
        <f>"5-2차"</f>
        <v>5-2차</v>
      </c>
      <c r="D14148" s="1" t="str">
        <f>"0028G6915M"</f>
        <v>0028G6915M</v>
      </c>
      <c r="E14148" s="1" t="s">
        <v>10</v>
      </c>
      <c r="F14148" s="1" t="str">
        <f>"fde1:103:4:57fe:0:0:0:2"</f>
        <v>fde1:103:4:57fe:0:0:0:2</v>
      </c>
      <c r="G14148" s="1" t="str">
        <f>"0028G691"</f>
        <v>0028G691</v>
      </c>
      <c r="H14148" s="1" t="str">
        <f>"국민간 30L4L3"</f>
        <v>국민간 30L4L3</v>
      </c>
      <c r="I14148" s="1" t="s">
        <v>15</v>
      </c>
      <c r="J14148" s="1" t="str">
        <f>"149/150"</f>
        <v>149/150</v>
      </c>
      <c r="K14148" s="1" t="str">
        <f>"2026-07-29 14:20:06"</f>
        <v>2026-07-29 14:20:06</v>
      </c>
      <c r="L14148" s="1" t="str">
        <f>"2023-09-14 16:26:46"</f>
        <v>2023-09-14 16:26:46</v>
      </c>
      <c r="M14148" s="1" t="s">
        <v>4</v>
      </c>
      <c r="N14148" s="1" t="s">
        <v>38</v>
      </c>
      <c r="O14148" s="1" t="s">
        <v>46</v>
      </c>
    </row>
    <row r="14149" spans="2:15" x14ac:dyDescent="0.3">
      <c r="B14149" s="1" t="s">
        <v>19</v>
      </c>
      <c r="C14149" s="1" t="str">
        <f>"5-2차"</f>
        <v>5-2차</v>
      </c>
      <c r="D14149" s="1" t="str">
        <f>"0028G7515S"</f>
        <v>0028G7515S</v>
      </c>
      <c r="E14149" s="1" t="s">
        <v>10</v>
      </c>
      <c r="F14149" s="1" t="str">
        <f>"fde1:103:4:5846:0:0:0:2"</f>
        <v>fde1:103:4:5846:0:0:0:2</v>
      </c>
      <c r="G14149" s="1" t="str">
        <f>"0028G751"</f>
        <v>0028G751</v>
      </c>
      <c r="H14149" s="1" t="str">
        <f>"국민간 24B2L1"</f>
        <v>국민간 24B2L1</v>
      </c>
      <c r="I14149" s="1" t="s">
        <v>15</v>
      </c>
      <c r="J14149" s="1" t="str">
        <f>"131/131"</f>
        <v>131/131</v>
      </c>
      <c r="K14149" s="1" t="str">
        <f>"2026-07-29 14:20:09"</f>
        <v>2026-07-29 14:20:09</v>
      </c>
      <c r="L14149" s="1" t="str">
        <f>"2023-09-14 16:42:22"</f>
        <v>2023-09-14 16:42:22</v>
      </c>
      <c r="M14149" s="1" t="s">
        <v>4</v>
      </c>
      <c r="N14149" s="1" t="s">
        <v>38</v>
      </c>
      <c r="O14149" s="1" t="s">
        <v>46</v>
      </c>
    </row>
    <row r="14150" spans="2:15" x14ac:dyDescent="0.3">
      <c r="B14150" s="1" t="s">
        <v>19</v>
      </c>
      <c r="C14150" s="1" t="str">
        <f>"5-2차"</f>
        <v>5-2차</v>
      </c>
      <c r="D14150" s="1" t="str">
        <f>"0028G7915M"</f>
        <v>0028G7915M</v>
      </c>
      <c r="E14150" s="1" t="s">
        <v>10</v>
      </c>
      <c r="F14150" s="1" t="str">
        <f>"fde1:103:4:57c0:0:0:0:2"</f>
        <v>fde1:103:4:57c0:0:0:0:2</v>
      </c>
      <c r="G14150" s="1" t="str">
        <f>"0028G791"</f>
        <v>0028G791</v>
      </c>
      <c r="H14150" s="1" t="str">
        <f>"국민간 28"</f>
        <v>국민간 28</v>
      </c>
      <c r="I14150" s="1" t="s">
        <v>15</v>
      </c>
      <c r="J14150" s="1" t="str">
        <f>"75/75"</f>
        <v>75/75</v>
      </c>
      <c r="K14150" s="1" t="str">
        <f>"2026-07-29 14:20:09"</f>
        <v>2026-07-29 14:20:09</v>
      </c>
      <c r="L14150" s="1" t="str">
        <f>"2023-09-14 16:42:55"</f>
        <v>2023-09-14 16:42:55</v>
      </c>
      <c r="M14150" s="1" t="s">
        <v>4</v>
      </c>
      <c r="N14150" s="1" t="s">
        <v>38</v>
      </c>
      <c r="O14150" s="1" t="s">
        <v>46</v>
      </c>
    </row>
    <row r="14151" spans="2:15" x14ac:dyDescent="0.3">
      <c r="B14151" s="1" t="s">
        <v>19</v>
      </c>
      <c r="C14151" s="1" t="str">
        <f>"6차"</f>
        <v>6차</v>
      </c>
      <c r="D14151" s="1" t="str">
        <f>"0028G8746S"</f>
        <v>0028G8746S</v>
      </c>
      <c r="E14151" s="1" t="s">
        <v>10</v>
      </c>
      <c r="F14151" s="1" t="str">
        <f>"fde3:102:1410:7100:0:0:0:b"</f>
        <v>fde3:102:1410:7100:0:0:0:b</v>
      </c>
      <c r="G14151" s="1" t="str">
        <f>"0028G874"</f>
        <v>0028G874</v>
      </c>
      <c r="H14151" s="1" t="str">
        <f>"국민간 17R4"</f>
        <v>국민간 17R4</v>
      </c>
      <c r="I14151" s="1" t="s">
        <v>15</v>
      </c>
      <c r="J14151" s="1" t="str">
        <f>"142/142"</f>
        <v>142/142</v>
      </c>
      <c r="K14151" s="1" t="str">
        <f>"2026-07-27 02:20:00"</f>
        <v>2026-07-27 02:20:00</v>
      </c>
      <c r="L14151" s="1" t="str">
        <f>"2024-11-05 12:47:46"</f>
        <v>2024-11-05 12:47:46</v>
      </c>
      <c r="M14151" s="1" t="s">
        <v>45</v>
      </c>
      <c r="N14151" s="1" t="s">
        <v>38</v>
      </c>
      <c r="O14151" s="1" t="s">
        <v>46</v>
      </c>
    </row>
    <row r="14152" spans="2:15" x14ac:dyDescent="0.3">
      <c r="B14152" s="1" t="s">
        <v>19</v>
      </c>
      <c r="C14152" s="1" t="str">
        <f>"5-2차"</f>
        <v>5-2차</v>
      </c>
      <c r="D14152" s="1" t="str">
        <f>"0028G8845M"</f>
        <v>0028G8845M</v>
      </c>
      <c r="E14152" s="1" t="s">
        <v>10</v>
      </c>
      <c r="F14152" s="1" t="str">
        <f>"fde1:103:4:5795:0:0:0:2"</f>
        <v>fde1:103:4:5795:0:0:0:2</v>
      </c>
      <c r="G14152" s="1" t="str">
        <f>"0028G884"</f>
        <v>0028G884</v>
      </c>
      <c r="H14152" s="1" t="str">
        <f>"국민간 17R6"</f>
        <v>국민간 17R6</v>
      </c>
      <c r="I14152" s="1" t="s">
        <v>15</v>
      </c>
      <c r="J14152" s="1" t="str">
        <f>"62/62"</f>
        <v>62/62</v>
      </c>
      <c r="K14152" s="1" t="str">
        <f>"2026-07-29 14:20:09"</f>
        <v>2026-07-29 14:20:09</v>
      </c>
      <c r="L14152" s="1" t="str">
        <f>"2023-09-14 17:00:17"</f>
        <v>2023-09-14 17:00:17</v>
      </c>
      <c r="M14152" s="1" t="s">
        <v>4</v>
      </c>
      <c r="N14152" s="1" t="s">
        <v>38</v>
      </c>
      <c r="O14152" s="1" t="s">
        <v>46</v>
      </c>
    </row>
    <row r="14153" spans="2:15" x14ac:dyDescent="0.3">
      <c r="B14153" s="1" t="s">
        <v>19</v>
      </c>
      <c r="C14153" s="1" t="str">
        <f>"4차"</f>
        <v>4차</v>
      </c>
      <c r="D14153" s="1" t="str">
        <f>"0028G94139"</f>
        <v>0028G94139</v>
      </c>
      <c r="E14153" s="1" t="s">
        <v>10</v>
      </c>
      <c r="F14153" s="1" t="str">
        <f>"10.12.135.42"</f>
        <v>10.12.135.42</v>
      </c>
      <c r="G14153" s="1" t="str">
        <f>"0028G941"</f>
        <v>0028G941</v>
      </c>
      <c r="H14153" s="1" t="str">
        <f>"국민간 19L1"</f>
        <v>국민간 19L1</v>
      </c>
      <c r="I14153" s="1" t="s">
        <v>8</v>
      </c>
      <c r="J14153" s="1" t="str">
        <f>"55/75"</f>
        <v>55/75</v>
      </c>
      <c r="K14153" s="1" t="str">
        <f>"2026-07-29 13:18:01"</f>
        <v>2026-07-29 13:18:01</v>
      </c>
      <c r="L14153" s="1" t="str">
        <f>"2023-01-05 15:50:01"</f>
        <v>2023-01-05 15:50:01</v>
      </c>
      <c r="M14153" s="1" t="s">
        <v>0</v>
      </c>
      <c r="N14153" s="1" t="s">
        <v>38</v>
      </c>
      <c r="O14153" s="1" t="s">
        <v>46</v>
      </c>
    </row>
    <row r="14154" spans="2:15" x14ac:dyDescent="0.3">
      <c r="B14154" s="1" t="s">
        <v>19</v>
      </c>
      <c r="C14154" s="1" t="str">
        <f>"6차"</f>
        <v>6차</v>
      </c>
      <c r="D14154" s="1" t="str">
        <f>"0028G9626M"</f>
        <v>0028G9626M</v>
      </c>
      <c r="E14154" s="1" t="s">
        <v>10</v>
      </c>
      <c r="F14154" s="1" t="str">
        <f>"fde1:103:4:c780:0:0:0:2"</f>
        <v>fde1:103:4:c780:0:0:0:2</v>
      </c>
      <c r="G14154" s="1" t="str">
        <f>"0028G962"</f>
        <v>0028G962</v>
      </c>
      <c r="H14154" s="1" t="str">
        <f>"국민간 17R1"</f>
        <v>국민간 17R1</v>
      </c>
      <c r="I14154" s="1" t="s">
        <v>15</v>
      </c>
      <c r="J14154" s="1" t="str">
        <f>"171/178"</f>
        <v>171/178</v>
      </c>
      <c r="K14154" s="1" t="str">
        <f>"2026-07-29 14:20:10"</f>
        <v>2026-07-29 14:20:10</v>
      </c>
      <c r="L14154" s="1" t="str">
        <f>"2024-12-03 11:22:50"</f>
        <v>2024-12-03 11:22:50</v>
      </c>
      <c r="M14154" s="1" t="s">
        <v>4</v>
      </c>
      <c r="N14154" s="1" t="s">
        <v>38</v>
      </c>
      <c r="O14154" s="1" t="s">
        <v>46</v>
      </c>
    </row>
    <row r="14155" spans="2:15" x14ac:dyDescent="0.3">
      <c r="B14155" s="1" t="s">
        <v>19</v>
      </c>
      <c r="C14155" s="1" t="str">
        <f>"5-2차"</f>
        <v>5-2차</v>
      </c>
      <c r="D14155" s="1" t="str">
        <f>"0028G9825M"</f>
        <v>0028G9825M</v>
      </c>
      <c r="E14155" s="1" t="s">
        <v>10</v>
      </c>
      <c r="F14155" s="1" t="str">
        <f>"fde1:103:4:5785:0:0:0:2"</f>
        <v>fde1:103:4:5785:0:0:0:2</v>
      </c>
      <c r="G14155" s="1" t="str">
        <f>"0028G982"</f>
        <v>0028G982</v>
      </c>
      <c r="H14155" s="1" t="str">
        <f>"국민간 17R7"</f>
        <v>국민간 17R7</v>
      </c>
      <c r="I14155" s="1" t="s">
        <v>15</v>
      </c>
      <c r="J14155" s="1" t="str">
        <f>"45/45"</f>
        <v>45/45</v>
      </c>
      <c r="K14155" s="1" t="str">
        <f>"2026-07-29 14:20:10"</f>
        <v>2026-07-29 14:20:10</v>
      </c>
      <c r="L14155" s="1" t="str">
        <f>"2023-09-14 17:01:01"</f>
        <v>2023-09-14 17:01:01</v>
      </c>
      <c r="M14155" s="1" t="s">
        <v>4</v>
      </c>
      <c r="N14155" s="1" t="s">
        <v>38</v>
      </c>
      <c r="O14155" s="1" t="s">
        <v>46</v>
      </c>
    </row>
    <row r="14156" spans="2:15" x14ac:dyDescent="0.3">
      <c r="B14156" s="1" t="s">
        <v>19</v>
      </c>
      <c r="C14156" s="1" t="str">
        <f>"5-2차"</f>
        <v>5-2차</v>
      </c>
      <c r="D14156" s="1" t="str">
        <f>"0028G9915S"</f>
        <v>0028G9915S</v>
      </c>
      <c r="E14156" s="1" t="s">
        <v>10</v>
      </c>
      <c r="F14156" s="1" t="str">
        <f>"fde1:103:4:5780:0:0:0:2"</f>
        <v>fde1:103:4:5780:0:0:0:2</v>
      </c>
      <c r="G14156" s="1" t="str">
        <f>"0028G991"</f>
        <v>0028G991</v>
      </c>
      <c r="H14156" s="1" t="str">
        <f>"국민간 17R9"</f>
        <v>국민간 17R9</v>
      </c>
      <c r="I14156" s="1" t="s">
        <v>15</v>
      </c>
      <c r="J14156" s="1" t="str">
        <f>"30/30"</f>
        <v>30/30</v>
      </c>
      <c r="K14156" s="1" t="str">
        <f>"2026-07-29 14:20:10"</f>
        <v>2026-07-29 14:20:10</v>
      </c>
      <c r="L14156" s="1" t="str">
        <f>"2023-09-15 09:58:20"</f>
        <v>2023-09-15 09:58:20</v>
      </c>
      <c r="M14156" s="1" t="s">
        <v>4</v>
      </c>
      <c r="N14156" s="1" t="s">
        <v>38</v>
      </c>
      <c r="O14156" s="1" t="s">
        <v>46</v>
      </c>
    </row>
    <row r="14157" spans="2:15" x14ac:dyDescent="0.3">
      <c r="B14157" s="1" t="s">
        <v>19</v>
      </c>
      <c r="C14157" s="1" t="str">
        <f>"5-2차"</f>
        <v>5-2차</v>
      </c>
      <c r="D14157" s="1" t="str">
        <f>"0028G9945M"</f>
        <v>0028G9945M</v>
      </c>
      <c r="E14157" s="1" t="s">
        <v>10</v>
      </c>
      <c r="F14157" s="1" t="str">
        <f>"fde1:103:4:58ec:0:0:0:2"</f>
        <v>fde1:103:4:58ec:0:0:0:2</v>
      </c>
      <c r="G14157" s="1" t="str">
        <f>"0028G994"</f>
        <v>0028G994</v>
      </c>
      <c r="H14157" s="1" t="str">
        <f>"국민간 34R4"</f>
        <v>국민간 34R4</v>
      </c>
      <c r="I14157" s="1" t="s">
        <v>15</v>
      </c>
      <c r="J14157" s="1" t="str">
        <f>"48/48"</f>
        <v>48/48</v>
      </c>
      <c r="K14157" s="1" t="str">
        <f>"2026-07-29 08:20:21"</f>
        <v>2026-07-29 08:20:21</v>
      </c>
      <c r="L14157" s="1" t="str">
        <f>"2023-09-15 09:59:59"</f>
        <v>2023-09-15 09:59:59</v>
      </c>
      <c r="M14157" s="1" t="s">
        <v>4</v>
      </c>
      <c r="N14157" s="1" t="s">
        <v>38</v>
      </c>
      <c r="O14157" s="1" t="s">
        <v>46</v>
      </c>
    </row>
    <row r="14158" spans="2:15" x14ac:dyDescent="0.3">
      <c r="B14158" s="1" t="s">
        <v>19</v>
      </c>
      <c r="C14158" s="1" t="str">
        <f>"5-2차"</f>
        <v>5-2차</v>
      </c>
      <c r="D14158" s="1" t="str">
        <f>"0028H0215M"</f>
        <v>0028H0215M</v>
      </c>
      <c r="E14158" s="1" t="s">
        <v>10</v>
      </c>
      <c r="F14158" s="1" t="str">
        <f>"fde1:103:4:57c3:0:0:0:2"</f>
        <v>fde1:103:4:57c3:0:0:0:2</v>
      </c>
      <c r="G14158" s="1" t="str">
        <f>"0028H021"</f>
        <v>0028H021</v>
      </c>
      <c r="H14158" s="1" t="str">
        <f>"국민간 3L9R1"</f>
        <v>국민간 3L9R1</v>
      </c>
      <c r="I14158" s="1" t="s">
        <v>15</v>
      </c>
      <c r="J14158" s="1" t="str">
        <f>"63/63"</f>
        <v>63/63</v>
      </c>
      <c r="K14158" s="1" t="str">
        <f>"2026-07-29 14:20:06"</f>
        <v>2026-07-29 14:20:06</v>
      </c>
      <c r="L14158" s="1" t="str">
        <f>"2023-09-15 10:15:37"</f>
        <v>2023-09-15 10:15:37</v>
      </c>
      <c r="M14158" s="1" t="s">
        <v>4</v>
      </c>
      <c r="N14158" s="1" t="s">
        <v>38</v>
      </c>
      <c r="O14158" s="1" t="s">
        <v>46</v>
      </c>
    </row>
    <row r="14159" spans="2:15" x14ac:dyDescent="0.3">
      <c r="B14159" s="1" t="s">
        <v>19</v>
      </c>
      <c r="C14159" s="1" t="str">
        <f>"6차"</f>
        <v>6차</v>
      </c>
      <c r="D14159" s="1" t="str">
        <f>"0028H0546M"</f>
        <v>0028H0546M</v>
      </c>
      <c r="E14159" s="1" t="s">
        <v>10</v>
      </c>
      <c r="F14159" s="1" t="str">
        <f>"fde1:103:4:c842:0:0:0:2"</f>
        <v>fde1:103:4:c842:0:0:0:2</v>
      </c>
      <c r="G14159" s="1" t="str">
        <f>"0028H054"</f>
        <v>0028H054</v>
      </c>
      <c r="H14159" s="1" t="str">
        <f>"국민간 16"</f>
        <v>국민간 16</v>
      </c>
      <c r="I14159" s="1" t="s">
        <v>15</v>
      </c>
      <c r="J14159" s="1" t="str">
        <f>"27/27"</f>
        <v>27/27</v>
      </c>
      <c r="K14159" s="1" t="str">
        <f>"2026-07-29 14:20:06"</f>
        <v>2026-07-29 14:20:06</v>
      </c>
      <c r="L14159" s="1" t="str">
        <f>"2024-12-03 11:23:14"</f>
        <v>2024-12-03 11:23:14</v>
      </c>
      <c r="M14159" s="1" t="s">
        <v>4</v>
      </c>
      <c r="N14159" s="1" t="s">
        <v>38</v>
      </c>
      <c r="O14159" s="1" t="s">
        <v>46</v>
      </c>
    </row>
    <row r="14160" spans="2:15" x14ac:dyDescent="0.3">
      <c r="B14160" s="1" t="s">
        <v>19</v>
      </c>
      <c r="C14160" s="1" t="str">
        <f>"5-2차"</f>
        <v>5-2차</v>
      </c>
      <c r="D14160" s="1" t="str">
        <f>"0028H0725M"</f>
        <v>0028H0725M</v>
      </c>
      <c r="E14160" s="1" t="s">
        <v>10</v>
      </c>
      <c r="F14160" s="1" t="str">
        <f>"fde1:103:4:58a9:0:0:0:2"</f>
        <v>fde1:103:4:58a9:0:0:0:2</v>
      </c>
      <c r="G14160" s="1" t="str">
        <f>"0028H072"</f>
        <v>0028H072</v>
      </c>
      <c r="H14160" s="1" t="str">
        <f>"국민간 17R2R3"</f>
        <v>국민간 17R2R3</v>
      </c>
      <c r="I14160" s="1" t="s">
        <v>15</v>
      </c>
      <c r="J14160" s="1" t="str">
        <f>"42/42"</f>
        <v>42/42</v>
      </c>
      <c r="K14160" s="1" t="str">
        <f>"2026-07-29 14:20:10"</f>
        <v>2026-07-29 14:20:10</v>
      </c>
      <c r="L14160" s="1" t="str">
        <f>"2023-09-15 10:16:18"</f>
        <v>2023-09-15 10:16:18</v>
      </c>
      <c r="M14160" s="1" t="s">
        <v>4</v>
      </c>
      <c r="N14160" s="1" t="s">
        <v>38</v>
      </c>
      <c r="O14160" s="1" t="s">
        <v>46</v>
      </c>
    </row>
    <row r="14161" spans="2:15" x14ac:dyDescent="0.3">
      <c r="B14161" s="1" t="s">
        <v>19</v>
      </c>
      <c r="C14161" s="1" t="str">
        <f>"5-2차"</f>
        <v>5-2차</v>
      </c>
      <c r="D14161" s="1" t="str">
        <f>"0028H0915S"</f>
        <v>0028H0915S</v>
      </c>
      <c r="E14161" s="1" t="s">
        <v>10</v>
      </c>
      <c r="F14161" s="1" t="str">
        <f>"fde1:103:4:58fa:0:0:0:2"</f>
        <v>fde1:103:4:58fa:0:0:0:2</v>
      </c>
      <c r="G14161" s="1" t="str">
        <f>"0028H091"</f>
        <v>0028H091</v>
      </c>
      <c r="H14161" s="1" t="str">
        <f>"국민간 17R10"</f>
        <v>국민간 17R10</v>
      </c>
      <c r="I14161" s="1" t="s">
        <v>15</v>
      </c>
      <c r="J14161" s="1" t="str">
        <f>"40/40"</f>
        <v>40/40</v>
      </c>
      <c r="K14161" s="1" t="str">
        <f>"2026-07-29 14:20:06"</f>
        <v>2026-07-29 14:20:06</v>
      </c>
      <c r="L14161" s="1" t="str">
        <f>"2023-09-15 10:40:46"</f>
        <v>2023-09-15 10:40:46</v>
      </c>
      <c r="M14161" s="1" t="s">
        <v>4</v>
      </c>
      <c r="N14161" s="1" t="s">
        <v>38</v>
      </c>
      <c r="O14161" s="1" t="s">
        <v>46</v>
      </c>
    </row>
    <row r="14162" spans="2:15" x14ac:dyDescent="0.3">
      <c r="B14162" s="1" t="s">
        <v>19</v>
      </c>
      <c r="C14162" s="1" t="str">
        <f>"5-2차"</f>
        <v>5-2차</v>
      </c>
      <c r="D14162" s="1" t="str">
        <f>"0028H1155M"</f>
        <v>0028H1155M</v>
      </c>
      <c r="E14162" s="1" t="s">
        <v>10</v>
      </c>
      <c r="F14162" s="1" t="str">
        <f>"fde1:103:4:5921:0:0:0:2"</f>
        <v>fde1:103:4:5921:0:0:0:2</v>
      </c>
      <c r="G14162" s="1" t="str">
        <f>"0028H115"</f>
        <v>0028H115</v>
      </c>
      <c r="H14162" s="1" t="str">
        <f>"국민간 3L9"</f>
        <v>국민간 3L9</v>
      </c>
      <c r="I14162" s="1" t="s">
        <v>15</v>
      </c>
      <c r="J14162" s="1" t="str">
        <f>"49/49"</f>
        <v>49/49</v>
      </c>
      <c r="K14162" s="1" t="str">
        <f>"2026-07-29 14:20:17"</f>
        <v>2026-07-29 14:20:17</v>
      </c>
      <c r="L14162" s="1" t="str">
        <f>"2023-09-15 10:41:50"</f>
        <v>2023-09-15 10:41:50</v>
      </c>
      <c r="M14162" s="1" t="s">
        <v>4</v>
      </c>
      <c r="N14162" s="1" t="s">
        <v>38</v>
      </c>
      <c r="O14162" s="1" t="s">
        <v>46</v>
      </c>
    </row>
    <row r="14163" spans="2:15" x14ac:dyDescent="0.3">
      <c r="B14163" s="1" t="s">
        <v>19</v>
      </c>
      <c r="C14163" s="1" t="str">
        <f>"5-2차"</f>
        <v>5-2차</v>
      </c>
      <c r="D14163" s="1" t="str">
        <f>"0028H1215M"</f>
        <v>0028H1215M</v>
      </c>
      <c r="E14163" s="1" t="s">
        <v>10</v>
      </c>
      <c r="F14163" s="1" t="str">
        <f>"fde1:103:4:58b5:0:0:0:2"</f>
        <v>fde1:103:4:58b5:0:0:0:2</v>
      </c>
      <c r="G14163" s="1" t="str">
        <f>"0028H121"</f>
        <v>0028H121</v>
      </c>
      <c r="H14163" s="1" t="str">
        <f>"국민간 3L8"</f>
        <v>국민간 3L8</v>
      </c>
      <c r="I14163" s="1" t="s">
        <v>15</v>
      </c>
      <c r="J14163" s="1" t="str">
        <f>"49/49"</f>
        <v>49/49</v>
      </c>
      <c r="K14163" s="1" t="str">
        <f>"2026-07-29 14:20:07"</f>
        <v>2026-07-29 14:20:07</v>
      </c>
      <c r="L14163" s="1" t="str">
        <f>"2023-09-15 10:55:38"</f>
        <v>2023-09-15 10:55:38</v>
      </c>
      <c r="M14163" s="1" t="s">
        <v>4</v>
      </c>
      <c r="N14163" s="1" t="s">
        <v>38</v>
      </c>
      <c r="O14163" s="1" t="s">
        <v>46</v>
      </c>
    </row>
    <row r="14164" spans="2:15" x14ac:dyDescent="0.3">
      <c r="B14164" s="1" t="s">
        <v>19</v>
      </c>
      <c r="C14164" s="1" t="str">
        <f>"4차"</f>
        <v>4차</v>
      </c>
      <c r="D14164" s="1" t="str">
        <f>"0028H15144"</f>
        <v>0028H15144</v>
      </c>
      <c r="E14164" s="1" t="s">
        <v>10</v>
      </c>
      <c r="F14164" s="1" t="str">
        <f>"10.107.126.18"</f>
        <v>10.107.126.18</v>
      </c>
      <c r="G14164" s="1" t="str">
        <f>"0028H151"</f>
        <v>0028H151</v>
      </c>
      <c r="H14164" s="1" t="str">
        <f>"국민간 15"</f>
        <v>국민간 15</v>
      </c>
      <c r="I14164" s="1" t="s">
        <v>8</v>
      </c>
      <c r="J14164" s="1" t="str">
        <f>"57/59"</f>
        <v>57/59</v>
      </c>
      <c r="K14164" s="1" t="str">
        <f>"2026-07-29 13:18:01"</f>
        <v>2026-07-29 13:18:01</v>
      </c>
      <c r="L14164" s="1" t="str">
        <f>"2023-08-17 17:39:12"</f>
        <v>2023-08-17 17:39:12</v>
      </c>
      <c r="M14164" s="1" t="s">
        <v>45</v>
      </c>
      <c r="N14164" s="1" t="s">
        <v>38</v>
      </c>
      <c r="O14164" s="1" t="s">
        <v>46</v>
      </c>
    </row>
    <row r="14165" spans="2:15" x14ac:dyDescent="0.3">
      <c r="B14165" s="1" t="s">
        <v>19</v>
      </c>
      <c r="C14165" s="1" t="str">
        <f>"6차"</f>
        <v>6차</v>
      </c>
      <c r="D14165" s="1" t="str">
        <f>"0028H1616M"</f>
        <v>0028H1616M</v>
      </c>
      <c r="E14165" s="1" t="s">
        <v>10</v>
      </c>
      <c r="F14165" s="1" t="str">
        <f>"fde1:103:4:c79b:0:0:0:2"</f>
        <v>fde1:103:4:c79b:0:0:0:2</v>
      </c>
      <c r="G14165" s="1" t="str">
        <f>"0028H161"</f>
        <v>0028H161</v>
      </c>
      <c r="H14165" s="1" t="str">
        <f>"국민간 17R2R2"</f>
        <v>국민간 17R2R2</v>
      </c>
      <c r="I14165" s="1" t="s">
        <v>15</v>
      </c>
      <c r="J14165" s="1" t="str">
        <f>"50/66"</f>
        <v>50/66</v>
      </c>
      <c r="K14165" s="1" t="str">
        <f>"2026-07-29 14:20:23"</f>
        <v>2026-07-29 14:20:23</v>
      </c>
      <c r="L14165" s="1" t="str">
        <f>"2024-12-03 11:23:32"</f>
        <v>2024-12-03 11:23:32</v>
      </c>
      <c r="M14165" s="1" t="s">
        <v>4</v>
      </c>
      <c r="N14165" s="1" t="s">
        <v>38</v>
      </c>
      <c r="O14165" s="1" t="s">
        <v>46</v>
      </c>
    </row>
    <row r="14166" spans="2:15" x14ac:dyDescent="0.3">
      <c r="B14166" s="1" t="s">
        <v>19</v>
      </c>
      <c r="C14166" s="1" t="str">
        <f>"5-2차"</f>
        <v>5-2차</v>
      </c>
      <c r="D14166" s="1" t="str">
        <f>"0028H1925M"</f>
        <v>0028H1925M</v>
      </c>
      <c r="E14166" s="1" t="s">
        <v>10</v>
      </c>
      <c r="F14166" s="1" t="str">
        <f>"fde1:103:4:58eb:0:0:0:2"</f>
        <v>fde1:103:4:58eb:0:0:0:2</v>
      </c>
      <c r="G14166" s="1" t="str">
        <f>"0028H192"</f>
        <v>0028H192</v>
      </c>
      <c r="H14166" s="1" t="str">
        <f>"국민간 17R11"</f>
        <v>국민간 17R11</v>
      </c>
      <c r="I14166" s="1" t="s">
        <v>15</v>
      </c>
      <c r="J14166" s="1" t="str">
        <f>"51/51"</f>
        <v>51/51</v>
      </c>
      <c r="K14166" s="1" t="str">
        <f>"2026-07-29 14:20:10"</f>
        <v>2026-07-29 14:20:10</v>
      </c>
      <c r="L14166" s="1" t="str">
        <f>"2023-09-15 10:56:50"</f>
        <v>2023-09-15 10:56:50</v>
      </c>
      <c r="M14166" s="1" t="s">
        <v>4</v>
      </c>
      <c r="N14166" s="1" t="s">
        <v>38</v>
      </c>
      <c r="O14166" s="1" t="s">
        <v>46</v>
      </c>
    </row>
    <row r="14167" spans="2:15" x14ac:dyDescent="0.3">
      <c r="B14167" s="1" t="s">
        <v>19</v>
      </c>
      <c r="C14167" s="1" t="str">
        <f>"5-1차"</f>
        <v>5-1차</v>
      </c>
      <c r="D14167" s="1" t="str">
        <f>"0028H2325M"</f>
        <v>0028H2325M</v>
      </c>
      <c r="E14167" s="1" t="s">
        <v>10</v>
      </c>
      <c r="F14167" s="1" t="str">
        <f>"fde2:104:0:1ac:0:0:0:2"</f>
        <v>fde2:104:0:1ac:0:0:0:2</v>
      </c>
      <c r="G14167" s="1" t="str">
        <f>"0028H232"</f>
        <v>0028H232</v>
      </c>
      <c r="H14167" s="1" t="str">
        <f>"국민간 13L4"</f>
        <v>국민간 13L4</v>
      </c>
      <c r="I14167" s="1" t="s">
        <v>15</v>
      </c>
      <c r="J14167" s="1" t="str">
        <f>"84/84"</f>
        <v>84/84</v>
      </c>
      <c r="K14167" s="1" t="str">
        <f>"2026-07-29 14:20:20"</f>
        <v>2026-07-29 14:20:20</v>
      </c>
      <c r="L14167" s="1" t="str">
        <f>"2022-11-29 08:48:23"</f>
        <v>2022-11-29 08:48:23</v>
      </c>
      <c r="M14167" s="1" t="s">
        <v>42</v>
      </c>
      <c r="N14167" s="1" t="s">
        <v>38</v>
      </c>
      <c r="O14167" s="1" t="s">
        <v>46</v>
      </c>
    </row>
    <row r="14168" spans="2:15" x14ac:dyDescent="0.3">
      <c r="B14168" s="1" t="s">
        <v>19</v>
      </c>
      <c r="C14168" s="1" t="str">
        <f>"5-2차"</f>
        <v>5-2차</v>
      </c>
      <c r="D14168" s="1" t="str">
        <f>"0028H2355M"</f>
        <v>0028H2355M</v>
      </c>
      <c r="E14168" s="1" t="s">
        <v>10</v>
      </c>
      <c r="F14168" s="1" t="str">
        <f>"fde1:103:4:594d:0:0:0:2"</f>
        <v>fde1:103:4:594d:0:0:0:2</v>
      </c>
      <c r="G14168" s="1" t="str">
        <f>"0028H235"</f>
        <v>0028H235</v>
      </c>
      <c r="H14168" s="1" t="str">
        <f>"국민간 13L3"</f>
        <v>국민간 13L3</v>
      </c>
      <c r="I14168" s="1" t="s">
        <v>15</v>
      </c>
      <c r="J14168" s="1" t="str">
        <f>"141/142"</f>
        <v>141/142</v>
      </c>
      <c r="K14168" s="1" t="str">
        <f>"2026-07-29 14:20:10"</f>
        <v>2026-07-29 14:20:10</v>
      </c>
      <c r="L14168" s="1" t="str">
        <f>"2023-09-15 11:09:11"</f>
        <v>2023-09-15 11:09:11</v>
      </c>
      <c r="M14168" s="1" t="s">
        <v>4</v>
      </c>
      <c r="N14168" s="1" t="s">
        <v>38</v>
      </c>
      <c r="O14168" s="1" t="s">
        <v>46</v>
      </c>
    </row>
    <row r="14169" spans="2:15" x14ac:dyDescent="0.3">
      <c r="B14169" s="1" t="s">
        <v>19</v>
      </c>
      <c r="C14169" s="1" t="str">
        <f>"1차"</f>
        <v>1차</v>
      </c>
      <c r="D14169" s="1" t="str">
        <f>"0028H25201"</f>
        <v>0028H25201</v>
      </c>
      <c r="E14169" s="1" t="s">
        <v>10</v>
      </c>
      <c r="F14169" s="1" t="str">
        <f>"10.107.125.6"</f>
        <v>10.107.125.6</v>
      </c>
      <c r="G14169" s="1" t="str">
        <f>"0028H252"</f>
        <v>0028H252</v>
      </c>
      <c r="H14169" s="1" t="str">
        <f>"국민간 13"</f>
        <v>국민간 13</v>
      </c>
      <c r="I14169" s="1" t="s">
        <v>8</v>
      </c>
      <c r="J14169" s="1" t="str">
        <f>"25/27"</f>
        <v>25/27</v>
      </c>
      <c r="K14169" s="1" t="str">
        <f>"2026-07-29 13:18:01"</f>
        <v>2026-07-29 13:18:01</v>
      </c>
      <c r="L14169" s="1" t="str">
        <f>"2014-11-12 08:40:29"</f>
        <v>2014-11-12 08:40:29</v>
      </c>
      <c r="M14169" s="1" t="s">
        <v>45</v>
      </c>
      <c r="N14169" s="1" t="s">
        <v>38</v>
      </c>
      <c r="O14169" s="1" t="s">
        <v>46</v>
      </c>
    </row>
    <row r="14170" spans="2:15" x14ac:dyDescent="0.3">
      <c r="B14170" s="1" t="s">
        <v>19</v>
      </c>
      <c r="C14170" s="1" t="str">
        <f>"6차"</f>
        <v>6차</v>
      </c>
      <c r="D14170" s="1" t="str">
        <f>"0028H2616M"</f>
        <v>0028H2616M</v>
      </c>
      <c r="E14170" s="1" t="s">
        <v>10</v>
      </c>
      <c r="F14170" s="1" t="str">
        <f>"fde1:103:4:c7a6:0:0:0:2"</f>
        <v>fde1:103:4:c7a6:0:0:0:2</v>
      </c>
      <c r="G14170" s="1" t="str">
        <f>"0028H261"</f>
        <v>0028H261</v>
      </c>
      <c r="H14170" s="1" t="str">
        <f>"국민간 17R2R2R1"</f>
        <v>국민간 17R2R2R1</v>
      </c>
      <c r="I14170" s="1" t="s">
        <v>15</v>
      </c>
      <c r="J14170" s="1" t="str">
        <f>"32/34"</f>
        <v>32/34</v>
      </c>
      <c r="K14170" s="1" t="str">
        <f>"2026-07-29 14:20:10"</f>
        <v>2026-07-29 14:20:10</v>
      </c>
      <c r="L14170" s="1" t="str">
        <f>"2024-12-03 11:23:48"</f>
        <v>2024-12-03 11:23:48</v>
      </c>
      <c r="M14170" s="1" t="s">
        <v>4</v>
      </c>
      <c r="N14170" s="1" t="s">
        <v>38</v>
      </c>
      <c r="O14170" s="1" t="s">
        <v>46</v>
      </c>
    </row>
    <row r="14171" spans="2:15" x14ac:dyDescent="0.3">
      <c r="B14171" s="1" t="s">
        <v>19</v>
      </c>
      <c r="C14171" s="1" t="str">
        <f>"5-1차"</f>
        <v>5-1차</v>
      </c>
      <c r="D14171" s="1" t="str">
        <f>"0028H3625M"</f>
        <v>0028H3625M</v>
      </c>
      <c r="E14171" s="1" t="s">
        <v>10</v>
      </c>
      <c r="F14171" s="1" t="str">
        <f>"fde3:102:1410:7100:0:0:0:3"</f>
        <v>fde3:102:1410:7100:0:0:0:3</v>
      </c>
      <c r="G14171" s="1" t="str">
        <f>"0028H362"</f>
        <v>0028H362</v>
      </c>
      <c r="H14171" s="1" t="str">
        <f>"국민간 10R3"</f>
        <v>국민간 10R3</v>
      </c>
      <c r="I14171" s="1" t="s">
        <v>15</v>
      </c>
      <c r="J14171" s="1" t="str">
        <f>"44/44"</f>
        <v>44/44</v>
      </c>
      <c r="K14171" s="1" t="str">
        <f>"2026-07-29 14:20:01"</f>
        <v>2026-07-29 14:20:01</v>
      </c>
      <c r="L14171" s="1" t="str">
        <f>"2022-09-26 16:29:00"</f>
        <v>2022-09-26 16:29:00</v>
      </c>
      <c r="M14171" s="1" t="s">
        <v>45</v>
      </c>
      <c r="N14171" s="1" t="s">
        <v>38</v>
      </c>
      <c r="O14171" s="1" t="s">
        <v>46</v>
      </c>
    </row>
    <row r="14172" spans="2:15" x14ac:dyDescent="0.3">
      <c r="B14172" s="1" t="s">
        <v>19</v>
      </c>
      <c r="C14172" s="1" t="str">
        <f>"1차"</f>
        <v>1차</v>
      </c>
      <c r="D14172" s="1" t="str">
        <f>"0028H37101"</f>
        <v>0028H37101</v>
      </c>
      <c r="E14172" s="1" t="s">
        <v>10</v>
      </c>
      <c r="F14172" s="1" t="str">
        <f>"10.107.126.35"</f>
        <v>10.107.126.35</v>
      </c>
      <c r="G14172" s="1" t="str">
        <f>"0028H371"</f>
        <v>0028H371</v>
      </c>
      <c r="H14172" s="1" t="str">
        <f>"국민간 10R5"</f>
        <v>국민간 10R5</v>
      </c>
      <c r="I14172" s="1" t="s">
        <v>8</v>
      </c>
      <c r="J14172" s="1" t="str">
        <f>"5/5"</f>
        <v>5/5</v>
      </c>
      <c r="K14172" s="1" t="str">
        <f>"2026-07-29 13:18:01"</f>
        <v>2026-07-29 13:18:01</v>
      </c>
      <c r="L14172" s="1" t="str">
        <f>"2014-11-12 08:54:28"</f>
        <v>2014-11-12 08:54:28</v>
      </c>
      <c r="M14172" s="1" t="s">
        <v>45</v>
      </c>
      <c r="N14172" s="1" t="s">
        <v>38</v>
      </c>
      <c r="O14172" s="1" t="s">
        <v>46</v>
      </c>
    </row>
    <row r="14173" spans="2:15" x14ac:dyDescent="0.3">
      <c r="B14173" s="1" t="s">
        <v>19</v>
      </c>
      <c r="C14173" s="1" t="str">
        <f>"1차"</f>
        <v>1차</v>
      </c>
      <c r="D14173" s="1" t="str">
        <f>"0028H37200"</f>
        <v>0028H37200</v>
      </c>
      <c r="E14173" s="1" t="s">
        <v>10</v>
      </c>
      <c r="F14173" s="1" t="str">
        <f>"10.107.126.34"</f>
        <v>10.107.126.34</v>
      </c>
      <c r="G14173" s="1" t="str">
        <f>"0028H372"</f>
        <v>0028H372</v>
      </c>
      <c r="H14173" s="1" t="str">
        <f>"국민간 10R4"</f>
        <v>국민간 10R4</v>
      </c>
      <c r="I14173" s="1" t="s">
        <v>8</v>
      </c>
      <c r="J14173" s="1" t="str">
        <f>"83/89"</f>
        <v>83/89</v>
      </c>
      <c r="K14173" s="1" t="str">
        <f>"2026-07-29 13:18:01"</f>
        <v>2026-07-29 13:18:01</v>
      </c>
      <c r="L14173" s="1" t="str">
        <f>"2014-11-12 15:33:08"</f>
        <v>2014-11-12 15:33:08</v>
      </c>
      <c r="M14173" s="1" t="s">
        <v>45</v>
      </c>
      <c r="N14173" s="1" t="s">
        <v>38</v>
      </c>
      <c r="O14173" s="1" t="s">
        <v>46</v>
      </c>
    </row>
    <row r="14174" spans="2:15" x14ac:dyDescent="0.3">
      <c r="B14174" s="1" t="s">
        <v>19</v>
      </c>
      <c r="C14174" s="1" t="str">
        <f>"5-2차"</f>
        <v>5-2차</v>
      </c>
      <c r="D14174" s="1" t="str">
        <f>"0028H4025M"</f>
        <v>0028H4025M</v>
      </c>
      <c r="E14174" s="1" t="s">
        <v>10</v>
      </c>
      <c r="F14174" s="1" t="str">
        <f>"fde1:103:4:589b:0:0:0:2"</f>
        <v>fde1:103:4:589b:0:0:0:2</v>
      </c>
      <c r="G14174" s="1" t="str">
        <f>"0028H402"</f>
        <v>0028H402</v>
      </c>
      <c r="H14174" s="1" t="str">
        <f>"국민간 3L2"</f>
        <v>국민간 3L2</v>
      </c>
      <c r="I14174" s="1" t="s">
        <v>15</v>
      </c>
      <c r="J14174" s="1" t="str">
        <f>"33/33"</f>
        <v>33/33</v>
      </c>
      <c r="K14174" s="1" t="str">
        <f>"2026-07-29 14:20:11"</f>
        <v>2026-07-29 14:20:11</v>
      </c>
      <c r="L14174" s="1" t="str">
        <f>"2023-09-15 11:10:13"</f>
        <v>2023-09-15 11:10:13</v>
      </c>
      <c r="M14174" s="1" t="s">
        <v>4</v>
      </c>
      <c r="N14174" s="1" t="s">
        <v>38</v>
      </c>
      <c r="O14174" s="1" t="s">
        <v>46</v>
      </c>
    </row>
    <row r="14175" spans="2:15" x14ac:dyDescent="0.3">
      <c r="B14175" s="1" t="s">
        <v>19</v>
      </c>
      <c r="C14175" s="1" t="str">
        <f>"5-2차"</f>
        <v>5-2차</v>
      </c>
      <c r="D14175" s="1" t="str">
        <f>"0028H4315M"</f>
        <v>0028H4315M</v>
      </c>
      <c r="E14175" s="1" t="s">
        <v>10</v>
      </c>
      <c r="F14175" s="1" t="str">
        <f>"fde1:103:4:589d:0:0:0:2"</f>
        <v>fde1:103:4:589d:0:0:0:2</v>
      </c>
      <c r="G14175" s="1" t="str">
        <f>"0028H431"</f>
        <v>0028H431</v>
      </c>
      <c r="H14175" s="1" t="str">
        <f>"국민간 3L2R3"</f>
        <v>국민간 3L2R3</v>
      </c>
      <c r="I14175" s="1" t="s">
        <v>15</v>
      </c>
      <c r="J14175" s="1" t="str">
        <f>"26/27"</f>
        <v>26/27</v>
      </c>
      <c r="K14175" s="1" t="str">
        <f>"2026-07-29 14:20:07"</f>
        <v>2026-07-29 14:20:07</v>
      </c>
      <c r="L14175" s="1" t="str">
        <f>"2023-09-15 11:26:00"</f>
        <v>2023-09-15 11:26:00</v>
      </c>
      <c r="M14175" s="1" t="s">
        <v>4</v>
      </c>
      <c r="N14175" s="1" t="s">
        <v>38</v>
      </c>
      <c r="O14175" s="1" t="s">
        <v>46</v>
      </c>
    </row>
    <row r="14176" spans="2:15" x14ac:dyDescent="0.3">
      <c r="B14176" s="1" t="s">
        <v>19</v>
      </c>
      <c r="C14176" s="1" t="str">
        <f>"5-2차"</f>
        <v>5-2차</v>
      </c>
      <c r="D14176" s="1" t="str">
        <f>"0028H5415M"</f>
        <v>0028H5415M</v>
      </c>
      <c r="E14176" s="1" t="s">
        <v>10</v>
      </c>
      <c r="F14176" s="1" t="str">
        <f>"fde1:103:4:595c:0:0:0:2"</f>
        <v>fde1:103:4:595c:0:0:0:2</v>
      </c>
      <c r="G14176" s="1" t="str">
        <f>"0028H541"</f>
        <v>0028H541</v>
      </c>
      <c r="H14176" s="1" t="str">
        <f>"국민간 10A2"</f>
        <v>국민간 10A2</v>
      </c>
      <c r="I14176" s="1" t="s">
        <v>15</v>
      </c>
      <c r="J14176" s="1" t="str">
        <f>"33/40"</f>
        <v>33/40</v>
      </c>
      <c r="K14176" s="1" t="str">
        <f>"2026-07-29 14:20:17"</f>
        <v>2026-07-29 14:20:17</v>
      </c>
      <c r="L14176" s="1" t="str">
        <f>"2023-09-15 11:26:47"</f>
        <v>2023-09-15 11:26:47</v>
      </c>
      <c r="M14176" s="1" t="s">
        <v>4</v>
      </c>
      <c r="N14176" s="1" t="s">
        <v>38</v>
      </c>
      <c r="O14176" s="1" t="s">
        <v>46</v>
      </c>
    </row>
    <row r="14177" spans="2:15" x14ac:dyDescent="0.3">
      <c r="B14177" s="1" t="s">
        <v>19</v>
      </c>
      <c r="C14177" s="1" t="str">
        <f t="shared" ref="C14177:C14183" si="723">"4차"</f>
        <v>4차</v>
      </c>
      <c r="D14177" s="1" t="str">
        <f>"0028H56639"</f>
        <v>0028H56639</v>
      </c>
      <c r="E14177" s="1" t="s">
        <v>10</v>
      </c>
      <c r="F14177" s="1" t="str">
        <f>"10.12.137.62"</f>
        <v>10.12.137.62</v>
      </c>
      <c r="G14177" s="1" t="str">
        <f>"0028H566"</f>
        <v>0028H566</v>
      </c>
      <c r="H14177" s="1" t="str">
        <f>"보국 10"</f>
        <v>보국 10</v>
      </c>
      <c r="I14177" s="1" t="s">
        <v>17</v>
      </c>
      <c r="J14177" s="1" t="str">
        <f>"26/26"</f>
        <v>26/26</v>
      </c>
      <c r="K14177" s="1" t="str">
        <f>"2026-07-29 13:18:02"</f>
        <v>2026-07-29 13:18:02</v>
      </c>
      <c r="L14177" s="1" t="str">
        <f>"2018-08-02 15:02:27"</f>
        <v>2018-08-02 15:02:27</v>
      </c>
      <c r="M14177" s="1" t="s">
        <v>0</v>
      </c>
      <c r="N14177" s="1" t="s">
        <v>38</v>
      </c>
      <c r="O14177" s="1" t="s">
        <v>46</v>
      </c>
    </row>
    <row r="14178" spans="2:15" x14ac:dyDescent="0.3">
      <c r="B14178" s="1" t="s">
        <v>19</v>
      </c>
      <c r="C14178" s="1" t="str">
        <f t="shared" si="723"/>
        <v>4차</v>
      </c>
      <c r="D14178" s="1" t="str">
        <f>"0028H57439"</f>
        <v>0028H57439</v>
      </c>
      <c r="E14178" s="1" t="s">
        <v>10</v>
      </c>
      <c r="F14178" s="1" t="str">
        <f>"10.12.135.142"</f>
        <v>10.12.135.142</v>
      </c>
      <c r="G14178" s="1" t="str">
        <f>"0028H574"</f>
        <v>0028H574</v>
      </c>
      <c r="H14178" s="1" t="str">
        <f>"보국 27"</f>
        <v>보국 27</v>
      </c>
      <c r="I14178" s="1" t="s">
        <v>17</v>
      </c>
      <c r="J14178" s="1" t="str">
        <f>"64/64"</f>
        <v>64/64</v>
      </c>
      <c r="K14178" s="1" t="str">
        <f>"2026-07-29 13:18:01"</f>
        <v>2026-07-29 13:18:01</v>
      </c>
      <c r="L14178" s="1" t="str">
        <f>"2018-10-08 13:32:42"</f>
        <v>2018-10-08 13:32:42</v>
      </c>
      <c r="M14178" s="1" t="s">
        <v>0</v>
      </c>
      <c r="N14178" s="1" t="s">
        <v>38</v>
      </c>
      <c r="O14178" s="1" t="s">
        <v>46</v>
      </c>
    </row>
    <row r="14179" spans="2:15" x14ac:dyDescent="0.3">
      <c r="B14179" s="1" t="s">
        <v>19</v>
      </c>
      <c r="C14179" s="1" t="str">
        <f t="shared" si="723"/>
        <v>4차</v>
      </c>
      <c r="D14179" s="1" t="str">
        <f>"0028H59239"</f>
        <v>0028H59239</v>
      </c>
      <c r="E14179" s="1" t="s">
        <v>10</v>
      </c>
      <c r="F14179" s="1" t="str">
        <f>"10.107.118.76"</f>
        <v>10.107.118.76</v>
      </c>
      <c r="G14179" s="1" t="str">
        <f>"0028H592"</f>
        <v>0028H592</v>
      </c>
      <c r="H14179" s="1" t="str">
        <f>"대일지 19R3"</f>
        <v>대일지 19R3</v>
      </c>
      <c r="I14179" s="1" t="s">
        <v>8</v>
      </c>
      <c r="J14179" s="1" t="str">
        <f>"12/16"</f>
        <v>12/16</v>
      </c>
      <c r="K14179" s="1" t="str">
        <f>"2026-07-29 13:18:01"</f>
        <v>2026-07-29 13:18:01</v>
      </c>
      <c r="L14179" s="1" t="str">
        <f>"2018-06-19 15:42:10"</f>
        <v>2018-06-19 15:42:10</v>
      </c>
      <c r="M14179" s="1" t="s">
        <v>45</v>
      </c>
      <c r="N14179" s="1" t="s">
        <v>38</v>
      </c>
      <c r="O14179" s="1" t="s">
        <v>46</v>
      </c>
    </row>
    <row r="14180" spans="2:15" x14ac:dyDescent="0.3">
      <c r="B14180" s="1" t="s">
        <v>19</v>
      </c>
      <c r="C14180" s="1" t="str">
        <f t="shared" si="723"/>
        <v>4차</v>
      </c>
      <c r="D14180" s="1" t="str">
        <f>"0028H62539"</f>
        <v>0028H62539</v>
      </c>
      <c r="E14180" s="1" t="s">
        <v>10</v>
      </c>
      <c r="F14180" s="1" t="str">
        <f>"10.12.137.54"</f>
        <v>10.12.137.54</v>
      </c>
      <c r="G14180" s="1" t="str">
        <f>"0028H625"</f>
        <v>0028H625</v>
      </c>
      <c r="H14180" s="1" t="str">
        <f>"보국 6"</f>
        <v>보국 6</v>
      </c>
      <c r="I14180" s="1" t="s">
        <v>17</v>
      </c>
      <c r="J14180" s="1" t="str">
        <f>"54/55"</f>
        <v>54/55</v>
      </c>
      <c r="K14180" s="1" t="str">
        <f>"2026-07-29 13:18:02"</f>
        <v>2026-07-29 13:18:02</v>
      </c>
      <c r="L14180" s="1" t="str">
        <f>"2018-05-25 13:35:41"</f>
        <v>2018-05-25 13:35:41</v>
      </c>
      <c r="M14180" s="1" t="s">
        <v>0</v>
      </c>
      <c r="N14180" s="1" t="s">
        <v>38</v>
      </c>
      <c r="O14180" s="1" t="s">
        <v>46</v>
      </c>
    </row>
    <row r="14181" spans="2:15" x14ac:dyDescent="0.3">
      <c r="B14181" s="1" t="s">
        <v>19</v>
      </c>
      <c r="C14181" s="1" t="str">
        <f t="shared" si="723"/>
        <v>4차</v>
      </c>
      <c r="D14181" s="1" t="str">
        <f>"0028H62645"</f>
        <v>0028H62645</v>
      </c>
      <c r="E14181" s="1" t="s">
        <v>10</v>
      </c>
      <c r="F14181" s="1" t="str">
        <f>"10.14.4.51"</f>
        <v>10.14.4.51</v>
      </c>
      <c r="G14181" s="1" t="str">
        <f>"0028H626"</f>
        <v>0028H626</v>
      </c>
      <c r="H14181" s="1" t="str">
        <f>"보국 23T2"</f>
        <v>보국 23T2</v>
      </c>
      <c r="I14181" s="1" t="s">
        <v>17</v>
      </c>
      <c r="J14181" s="1" t="str">
        <f>"18/18"</f>
        <v>18/18</v>
      </c>
      <c r="K14181" s="1" t="str">
        <f>"2026-07-29 13:18:01"</f>
        <v>2026-07-29 13:18:01</v>
      </c>
      <c r="L14181" s="1" t="str">
        <f>"2021-06-03 11:11:34"</f>
        <v>2021-06-03 11:11:34</v>
      </c>
      <c r="M14181" s="1" t="s">
        <v>3</v>
      </c>
      <c r="N14181" s="1" t="s">
        <v>38</v>
      </c>
      <c r="O14181" s="1" t="s">
        <v>46</v>
      </c>
    </row>
    <row r="14182" spans="2:15" x14ac:dyDescent="0.3">
      <c r="B14182" s="1" t="s">
        <v>19</v>
      </c>
      <c r="C14182" s="1" t="str">
        <f t="shared" si="723"/>
        <v>4차</v>
      </c>
      <c r="D14182" s="1" t="str">
        <f>"0028H63439"</f>
        <v>0028H63439</v>
      </c>
      <c r="E14182" s="1" t="s">
        <v>10</v>
      </c>
      <c r="F14182" s="1" t="str">
        <f>"10.12.137.66"</f>
        <v>10.12.137.66</v>
      </c>
      <c r="G14182" s="1" t="str">
        <f>"0028H634"</f>
        <v>0028H634</v>
      </c>
      <c r="H14182" s="1" t="str">
        <f>"보국 7"</f>
        <v>보국 7</v>
      </c>
      <c r="I14182" s="1" t="s">
        <v>17</v>
      </c>
      <c r="J14182" s="1" t="str">
        <f>"32/37"</f>
        <v>32/37</v>
      </c>
      <c r="K14182" s="1" t="str">
        <f>"2026-07-29 13:18:02"</f>
        <v>2026-07-29 13:18:02</v>
      </c>
      <c r="L14182" s="1" t="str">
        <f>"2018-05-25 14:48:57"</f>
        <v>2018-05-25 14:48:57</v>
      </c>
      <c r="M14182" s="1" t="s">
        <v>0</v>
      </c>
      <c r="N14182" s="1" t="s">
        <v>38</v>
      </c>
      <c r="O14182" s="1" t="s">
        <v>46</v>
      </c>
    </row>
    <row r="14183" spans="2:15" x14ac:dyDescent="0.3">
      <c r="B14183" s="1" t="s">
        <v>19</v>
      </c>
      <c r="C14183" s="1" t="str">
        <f t="shared" si="723"/>
        <v>4차</v>
      </c>
      <c r="D14183" s="1" t="str">
        <f>"0028H64639"</f>
        <v>0028H64639</v>
      </c>
      <c r="E14183" s="1" t="s">
        <v>10</v>
      </c>
      <c r="F14183" s="1" t="str">
        <f>"10.12.137.55"</f>
        <v>10.12.137.55</v>
      </c>
      <c r="G14183" s="1" t="str">
        <f>"0028H646"</f>
        <v>0028H646</v>
      </c>
      <c r="H14183" s="1" t="str">
        <f>"보국 9"</f>
        <v>보국 9</v>
      </c>
      <c r="I14183" s="1" t="s">
        <v>17</v>
      </c>
      <c r="J14183" s="1" t="str">
        <f>"4/4"</f>
        <v>4/4</v>
      </c>
      <c r="K14183" s="1" t="str">
        <f>"2026-07-29 13:18:02"</f>
        <v>2026-07-29 13:18:02</v>
      </c>
      <c r="L14183" s="1" t="str">
        <f>"2018-05-28 09:11:12"</f>
        <v>2018-05-28 09:11:12</v>
      </c>
      <c r="M14183" s="1" t="s">
        <v>0</v>
      </c>
      <c r="N14183" s="1" t="s">
        <v>38</v>
      </c>
      <c r="O14183" s="1" t="s">
        <v>46</v>
      </c>
    </row>
    <row r="14184" spans="2:15" x14ac:dyDescent="0.3">
      <c r="B14184" s="1" t="s">
        <v>19</v>
      </c>
      <c r="C14184" s="1" t="str">
        <f>"3차"</f>
        <v>3차</v>
      </c>
      <c r="D14184" s="1" t="str">
        <f>"0028H68139"</f>
        <v>0028H68139</v>
      </c>
      <c r="E14184" s="1" t="s">
        <v>10</v>
      </c>
      <c r="F14184" s="1" t="str">
        <f>"10.107.122.106"</f>
        <v>10.107.122.106</v>
      </c>
      <c r="G14184" s="1" t="str">
        <f>"0028H681"</f>
        <v>0028H681</v>
      </c>
      <c r="H14184" s="1" t="str">
        <f>"보국SW 5R2"</f>
        <v>보국SW 5R2</v>
      </c>
      <c r="I14184" s="1" t="s">
        <v>8</v>
      </c>
      <c r="J14184" s="1" t="str">
        <f>"30/30"</f>
        <v>30/30</v>
      </c>
      <c r="K14184" s="1" t="str">
        <f>"2026-07-29 13:18:01"</f>
        <v>2026-07-29 13:18:01</v>
      </c>
      <c r="L14184" s="1" t="str">
        <f>"2018-07-27 09:49:05"</f>
        <v>2018-07-27 09:49:05</v>
      </c>
      <c r="M14184" s="1" t="s">
        <v>45</v>
      </c>
      <c r="N14184" s="1" t="s">
        <v>38</v>
      </c>
      <c r="O14184" s="1" t="s">
        <v>46</v>
      </c>
    </row>
    <row r="14185" spans="2:15" x14ac:dyDescent="0.3">
      <c r="B14185" s="1" t="s">
        <v>19</v>
      </c>
      <c r="C14185" s="1" t="str">
        <f>"4차"</f>
        <v>4차</v>
      </c>
      <c r="D14185" s="1" t="str">
        <f>"0028H71845"</f>
        <v>0028H71845</v>
      </c>
      <c r="E14185" s="1" t="s">
        <v>10</v>
      </c>
      <c r="F14185" s="1" t="str">
        <f>"10.14.1.51"</f>
        <v>10.14.1.51</v>
      </c>
      <c r="G14185" s="1" t="str">
        <f>"0028H718"</f>
        <v>0028H718</v>
      </c>
      <c r="H14185" s="1" t="str">
        <f>"보국 22"</f>
        <v>보국 22</v>
      </c>
      <c r="I14185" s="1" t="s">
        <v>17</v>
      </c>
      <c r="J14185" s="1" t="str">
        <f>"14/14"</f>
        <v>14/14</v>
      </c>
      <c r="K14185" s="1" t="str">
        <f>"2026-07-29 13:18:01"</f>
        <v>2026-07-29 13:18:01</v>
      </c>
      <c r="L14185" s="1" t="str">
        <f>"2021-06-25 13:38:41"</f>
        <v>2021-06-25 13:38:41</v>
      </c>
      <c r="M14185" s="1" t="s">
        <v>3</v>
      </c>
      <c r="N14185" s="1" t="s">
        <v>38</v>
      </c>
      <c r="O14185" s="1" t="s">
        <v>46</v>
      </c>
    </row>
    <row r="14186" spans="2:15" x14ac:dyDescent="0.3">
      <c r="B14186" s="1" t="s">
        <v>19</v>
      </c>
      <c r="C14186" s="1" t="str">
        <f>"4차"</f>
        <v>4차</v>
      </c>
      <c r="D14186" s="1" t="str">
        <f>"0028H72439"</f>
        <v>0028H72439</v>
      </c>
      <c r="E14186" s="1" t="s">
        <v>10</v>
      </c>
      <c r="F14186" s="1" t="str">
        <f>"10.14.15.192"</f>
        <v>10.14.15.192</v>
      </c>
      <c r="G14186" s="1" t="str">
        <f>"0028H724"</f>
        <v>0028H724</v>
      </c>
      <c r="H14186" s="1" t="str">
        <f>"보국 5"</f>
        <v>보국 5</v>
      </c>
      <c r="I14186" s="1" t="s">
        <v>17</v>
      </c>
      <c r="J14186" s="1" t="str">
        <f>"17/17"</f>
        <v>17/17</v>
      </c>
      <c r="K14186" s="1" t="str">
        <f>"2026-07-29 13:18:02"</f>
        <v>2026-07-29 13:18:02</v>
      </c>
      <c r="L14186" s="1" t="str">
        <f>"2018-05-25 14:26:42"</f>
        <v>2018-05-25 14:26:42</v>
      </c>
      <c r="M14186" s="1" t="s">
        <v>3</v>
      </c>
      <c r="N14186" s="1" t="s">
        <v>38</v>
      </c>
      <c r="O14186" s="1" t="s">
        <v>46</v>
      </c>
    </row>
    <row r="14187" spans="2:15" x14ac:dyDescent="0.3">
      <c r="B14187" s="1" t="s">
        <v>19</v>
      </c>
      <c r="C14187" s="1" t="str">
        <f>"3차"</f>
        <v>3차</v>
      </c>
      <c r="D14187" s="1" t="str">
        <f>"0028H75139"</f>
        <v>0028H75139</v>
      </c>
      <c r="E14187" s="1" t="s">
        <v>10</v>
      </c>
      <c r="F14187" s="1" t="str">
        <f>"10.107.122.105"</f>
        <v>10.107.122.105</v>
      </c>
      <c r="G14187" s="1" t="str">
        <f>"0028H751"</f>
        <v>0028H751</v>
      </c>
      <c r="H14187" s="1" t="str">
        <f>"보국SW 4-1R2"</f>
        <v>보국SW 4-1R2</v>
      </c>
      <c r="I14187" s="1" t="s">
        <v>8</v>
      </c>
      <c r="J14187" s="1" t="str">
        <f>"96/104"</f>
        <v>96/104</v>
      </c>
      <c r="K14187" s="1" t="str">
        <f>"2026-07-29 13:18:01"</f>
        <v>2026-07-29 13:18:01</v>
      </c>
      <c r="L14187" s="1" t="str">
        <f>"2018-04-03 11:00:40"</f>
        <v>2018-04-03 11:00:40</v>
      </c>
      <c r="M14187" s="1" t="s">
        <v>45</v>
      </c>
      <c r="N14187" s="1" t="s">
        <v>38</v>
      </c>
      <c r="O14187" s="1" t="s">
        <v>46</v>
      </c>
    </row>
    <row r="14188" spans="2:15" x14ac:dyDescent="0.3">
      <c r="B14188" s="1" t="s">
        <v>19</v>
      </c>
      <c r="C14188" s="1" t="str">
        <f>"3차"</f>
        <v>3차</v>
      </c>
      <c r="D14188" s="1" t="str">
        <f>"0028H76239"</f>
        <v>0028H76239</v>
      </c>
      <c r="E14188" s="1" t="s">
        <v>10</v>
      </c>
      <c r="F14188" s="1" t="str">
        <f>"10.107.122.101"</f>
        <v>10.107.122.101</v>
      </c>
      <c r="G14188" s="1" t="str">
        <f>"0028H762"</f>
        <v>0028H762</v>
      </c>
      <c r="H14188" s="1" t="str">
        <f>"대일지 10R10L5"</f>
        <v>대일지 10R10L5</v>
      </c>
      <c r="I14188" s="1" t="s">
        <v>8</v>
      </c>
      <c r="J14188" s="1" t="str">
        <f>"53/53"</f>
        <v>53/53</v>
      </c>
      <c r="K14188" s="1" t="str">
        <f>"2026-07-29 13:18:01"</f>
        <v>2026-07-29 13:18:01</v>
      </c>
      <c r="L14188" s="1" t="str">
        <f>"2018-06-05 10:16:41"</f>
        <v>2018-06-05 10:16:41</v>
      </c>
      <c r="M14188" s="1" t="s">
        <v>45</v>
      </c>
      <c r="N14188" s="1" t="s">
        <v>38</v>
      </c>
      <c r="O14188" s="1" t="s">
        <v>46</v>
      </c>
    </row>
    <row r="14189" spans="2:15" x14ac:dyDescent="0.3">
      <c r="B14189" s="1" t="s">
        <v>19</v>
      </c>
      <c r="C14189" s="1" t="str">
        <f>"4차"</f>
        <v>4차</v>
      </c>
      <c r="D14189" s="1" t="str">
        <f>"0028H77139"</f>
        <v>0028H77139</v>
      </c>
      <c r="E14189" s="1" t="s">
        <v>10</v>
      </c>
      <c r="F14189" s="1" t="str">
        <f>"10.107.122.100"</f>
        <v>10.107.122.100</v>
      </c>
      <c r="G14189" s="1" t="str">
        <f>"0028H771"</f>
        <v>0028H771</v>
      </c>
      <c r="H14189" s="1" t="str">
        <f>"대일지 10R10L3"</f>
        <v>대일지 10R10L3</v>
      </c>
      <c r="I14189" s="1" t="s">
        <v>8</v>
      </c>
      <c r="J14189" s="1" t="str">
        <f>"62/64"</f>
        <v>62/64</v>
      </c>
      <c r="K14189" s="1" t="str">
        <f>"2026-07-29 13:18:01"</f>
        <v>2026-07-29 13:18:01</v>
      </c>
      <c r="L14189" s="1" t="str">
        <f>"2018-06-05 10:43:29"</f>
        <v>2018-06-05 10:43:29</v>
      </c>
      <c r="M14189" s="1" t="s">
        <v>45</v>
      </c>
      <c r="N14189" s="1" t="s">
        <v>38</v>
      </c>
      <c r="O14189" s="1" t="s">
        <v>46</v>
      </c>
    </row>
    <row r="14190" spans="2:15" x14ac:dyDescent="0.3">
      <c r="B14190" s="1" t="s">
        <v>19</v>
      </c>
      <c r="C14190" s="1" t="str">
        <f>"4차"</f>
        <v>4차</v>
      </c>
      <c r="D14190" s="1" t="str">
        <f>"0028H80345"</f>
        <v>0028H80345</v>
      </c>
      <c r="E14190" s="1" t="s">
        <v>10</v>
      </c>
      <c r="F14190" s="1" t="str">
        <f>"10.14.7.51"</f>
        <v>10.14.7.51</v>
      </c>
      <c r="G14190" s="1" t="str">
        <f>"0028H803"</f>
        <v>0028H803</v>
      </c>
      <c r="H14190" s="1" t="str">
        <f>"보국 4"</f>
        <v>보국 4</v>
      </c>
      <c r="I14190" s="1" t="s">
        <v>17</v>
      </c>
      <c r="J14190" s="1" t="str">
        <f>"21/24"</f>
        <v>21/24</v>
      </c>
      <c r="K14190" s="1" t="str">
        <f>"2026-07-29 13:18:01"</f>
        <v>2026-07-29 13:18:01</v>
      </c>
      <c r="L14190" s="1" t="str">
        <f>"2021-06-25 14:01:57"</f>
        <v>2021-06-25 14:01:57</v>
      </c>
      <c r="M14190" s="1" t="s">
        <v>3</v>
      </c>
      <c r="N14190" s="1" t="s">
        <v>38</v>
      </c>
      <c r="O14190" s="1" t="s">
        <v>46</v>
      </c>
    </row>
    <row r="14191" spans="2:15" x14ac:dyDescent="0.3">
      <c r="B14191" s="1" t="s">
        <v>19</v>
      </c>
      <c r="C14191" s="1" t="str">
        <f>"5-2차"</f>
        <v>5-2차</v>
      </c>
      <c r="D14191" s="1" t="str">
        <f>"0028H8515S"</f>
        <v>0028H8515S</v>
      </c>
      <c r="E14191" s="1" t="s">
        <v>10</v>
      </c>
      <c r="F14191" s="1" t="str">
        <f>"fde1:103:4:5898:0:0:0:2"</f>
        <v>fde1:103:4:5898:0:0:0:2</v>
      </c>
      <c r="G14191" s="1" t="str">
        <f>"0028H851"</f>
        <v>0028H851</v>
      </c>
      <c r="H14191" s="1" t="str">
        <f>"보국SW 4-1R4"</f>
        <v>보국SW 4-1R4</v>
      </c>
      <c r="I14191" s="1" t="s">
        <v>15</v>
      </c>
      <c r="J14191" s="1" t="str">
        <f>"66/66"</f>
        <v>66/66</v>
      </c>
      <c r="K14191" s="1" t="str">
        <f>"2026-07-29 14:20:07"</f>
        <v>2026-07-29 14:20:07</v>
      </c>
      <c r="L14191" s="1" t="str">
        <f>"2023-09-15 11:39:30"</f>
        <v>2023-09-15 11:39:30</v>
      </c>
      <c r="M14191" s="1" t="s">
        <v>4</v>
      </c>
      <c r="N14191" s="1" t="s">
        <v>38</v>
      </c>
      <c r="O14191" s="1" t="s">
        <v>46</v>
      </c>
    </row>
    <row r="14192" spans="2:15" x14ac:dyDescent="0.3">
      <c r="B14192" s="1" t="s">
        <v>19</v>
      </c>
      <c r="C14192" s="1" t="str">
        <f>"5-2차"</f>
        <v>5-2차</v>
      </c>
      <c r="D14192" s="1" t="str">
        <f>"0028H8735M"</f>
        <v>0028H8735M</v>
      </c>
      <c r="E14192" s="1" t="s">
        <v>10</v>
      </c>
      <c r="F14192" s="1" t="str">
        <f>"fde1:103:4:576d:0:0:0:2"</f>
        <v>fde1:103:4:576d:0:0:0:2</v>
      </c>
      <c r="G14192" s="1" t="str">
        <f>"0028H873"</f>
        <v>0028H873</v>
      </c>
      <c r="H14192" s="1" t="str">
        <f>"대일지 10R10L2"</f>
        <v>대일지 10R10L2</v>
      </c>
      <c r="I14192" s="1" t="s">
        <v>15</v>
      </c>
      <c r="J14192" s="1" t="str">
        <f>"50/50"</f>
        <v>50/50</v>
      </c>
      <c r="K14192" s="1" t="str">
        <f>"2026-07-29 14:20:11"</f>
        <v>2026-07-29 14:20:11</v>
      </c>
      <c r="L14192" s="1" t="str">
        <f>"2023-09-15 11:41:58"</f>
        <v>2023-09-15 11:41:58</v>
      </c>
      <c r="M14192" s="1" t="s">
        <v>4</v>
      </c>
      <c r="N14192" s="1" t="s">
        <v>38</v>
      </c>
      <c r="O14192" s="1" t="s">
        <v>46</v>
      </c>
    </row>
    <row r="14193" spans="2:15" x14ac:dyDescent="0.3">
      <c r="B14193" s="1" t="s">
        <v>19</v>
      </c>
      <c r="C14193" s="1" t="str">
        <f>"5-2차"</f>
        <v>5-2차</v>
      </c>
      <c r="D14193" s="1" t="str">
        <f>"0028H8745M"</f>
        <v>0028H8745M</v>
      </c>
      <c r="E14193" s="1" t="s">
        <v>10</v>
      </c>
      <c r="F14193" s="1" t="str">
        <f>"fde1:103:4:57b8:0:0:0:2"</f>
        <v>fde1:103:4:57b8:0:0:0:2</v>
      </c>
      <c r="G14193" s="1" t="str">
        <f>"0028H874"</f>
        <v>0028H874</v>
      </c>
      <c r="H14193" s="1" t="str">
        <f>"대일지 10R9"</f>
        <v>대일지 10R9</v>
      </c>
      <c r="I14193" s="1" t="s">
        <v>15</v>
      </c>
      <c r="J14193" s="1" t="str">
        <f>"36/61"</f>
        <v>36/61</v>
      </c>
      <c r="K14193" s="1" t="str">
        <f>"2026-07-29 14:20:11"</f>
        <v>2026-07-29 14:20:11</v>
      </c>
      <c r="L14193" s="1" t="str">
        <f>"2023-09-15 13:18:20"</f>
        <v>2023-09-15 13:18:20</v>
      </c>
      <c r="M14193" s="1" t="s">
        <v>4</v>
      </c>
      <c r="N14193" s="1" t="s">
        <v>38</v>
      </c>
      <c r="O14193" s="1" t="s">
        <v>46</v>
      </c>
    </row>
    <row r="14194" spans="2:15" x14ac:dyDescent="0.3">
      <c r="B14194" s="1" t="s">
        <v>19</v>
      </c>
      <c r="C14194" s="1" t="str">
        <f>"4차"</f>
        <v>4차</v>
      </c>
      <c r="D14194" s="1" t="str">
        <f>"0028H90241"</f>
        <v>0028H90241</v>
      </c>
      <c r="E14194" s="1" t="s">
        <v>10</v>
      </c>
      <c r="F14194" s="1" t="str">
        <f>"10.12.132.176"</f>
        <v>10.12.132.176</v>
      </c>
      <c r="G14194" s="1" t="str">
        <f>"0028H902"</f>
        <v>0028H902</v>
      </c>
      <c r="H14194" s="1" t="str">
        <f>"대일지 10R2R2R2"</f>
        <v>대일지 10R2R2R2</v>
      </c>
      <c r="I14194" s="1" t="s">
        <v>17</v>
      </c>
      <c r="J14194" s="1" t="str">
        <f>"36/44"</f>
        <v>36/44</v>
      </c>
      <c r="K14194" s="1" t="str">
        <f>"2026-07-29 13:18:02"</f>
        <v>2026-07-29 13:18:02</v>
      </c>
      <c r="L14194" s="1" t="str">
        <f>"2021-06-14 13:56:32"</f>
        <v>2021-06-14 13:56:32</v>
      </c>
      <c r="M14194" s="1" t="s">
        <v>0</v>
      </c>
      <c r="N14194" s="1" t="s">
        <v>38</v>
      </c>
      <c r="O14194" s="1" t="s">
        <v>46</v>
      </c>
    </row>
    <row r="14195" spans="2:15" x14ac:dyDescent="0.3">
      <c r="B14195" s="1" t="s">
        <v>19</v>
      </c>
      <c r="C14195" s="1" t="str">
        <f>"6차"</f>
        <v>6차</v>
      </c>
      <c r="D14195" s="1" t="str">
        <f>"0028H9116S"</f>
        <v>0028H9116S</v>
      </c>
      <c r="E14195" s="1" t="s">
        <v>10</v>
      </c>
      <c r="F14195" s="1" t="str">
        <f>"fde3:102:1410:5100:0:0:0:2"</f>
        <v>fde3:102:1410:5100:0:0:0:2</v>
      </c>
      <c r="G14195" s="1" t="str">
        <f>"0028H911"</f>
        <v>0028H911</v>
      </c>
      <c r="H14195" s="1" t="str">
        <f>"대일지 10R2R2"</f>
        <v>대일지 10R2R2</v>
      </c>
      <c r="I14195" s="1" t="s">
        <v>15</v>
      </c>
      <c r="J14195" s="1" t="str">
        <f>"97/97"</f>
        <v>97/97</v>
      </c>
      <c r="K14195" s="1" t="str">
        <f>"2026-07-29 14:20:08"</f>
        <v>2026-07-29 14:20:08</v>
      </c>
      <c r="L14195" s="1" t="str">
        <f>"2024-12-03 14:13:29"</f>
        <v>2024-12-03 14:13:29</v>
      </c>
      <c r="M14195" s="1" t="s">
        <v>45</v>
      </c>
      <c r="N14195" s="1" t="s">
        <v>38</v>
      </c>
      <c r="O14195" s="1" t="s">
        <v>46</v>
      </c>
    </row>
    <row r="14196" spans="2:15" x14ac:dyDescent="0.3">
      <c r="B14196" s="1" t="s">
        <v>19</v>
      </c>
      <c r="C14196" s="1" t="str">
        <f>"5-2차"</f>
        <v>5-2차</v>
      </c>
      <c r="D14196" s="1" t="str">
        <f>"0028H9215M"</f>
        <v>0028H9215M</v>
      </c>
      <c r="E14196" s="1" t="s">
        <v>10</v>
      </c>
      <c r="F14196" s="1" t="str">
        <f>"fde1:103:4:591f:0:0:0:2"</f>
        <v>fde1:103:4:591f:0:0:0:2</v>
      </c>
      <c r="G14196" s="1" t="str">
        <f>"0028H921"</f>
        <v>0028H921</v>
      </c>
      <c r="H14196" s="1" t="str">
        <f>"대일지 10R3"</f>
        <v>대일지 10R3</v>
      </c>
      <c r="I14196" s="1" t="s">
        <v>15</v>
      </c>
      <c r="J14196" s="1" t="str">
        <f>"58/59"</f>
        <v>58/59</v>
      </c>
      <c r="K14196" s="1" t="str">
        <f>"2026-07-29 14:20:25"</f>
        <v>2026-07-29 14:20:25</v>
      </c>
      <c r="L14196" s="1" t="str">
        <f>"2023-09-15 13:19:03"</f>
        <v>2023-09-15 13:19:03</v>
      </c>
      <c r="M14196" s="1" t="s">
        <v>4</v>
      </c>
      <c r="N14196" s="1" t="s">
        <v>38</v>
      </c>
      <c r="O14196" s="1" t="s">
        <v>46</v>
      </c>
    </row>
    <row r="14197" spans="2:15" x14ac:dyDescent="0.3">
      <c r="B14197" s="1" t="s">
        <v>19</v>
      </c>
      <c r="C14197" s="1" t="str">
        <f>"5-2차"</f>
        <v>5-2차</v>
      </c>
      <c r="D14197" s="1" t="str">
        <f>"0028H9335S"</f>
        <v>0028H9335S</v>
      </c>
      <c r="E14197" s="1" t="s">
        <v>10</v>
      </c>
      <c r="F14197" s="1" t="str">
        <f>"fde1:103:4:5a65:0:0:0:2"</f>
        <v>fde1:103:4:5a65:0:0:0:2</v>
      </c>
      <c r="G14197" s="1" t="str">
        <f>"0028H933"</f>
        <v>0028H933</v>
      </c>
      <c r="H14197" s="1" t="str">
        <f>"대일지 10R5H1"</f>
        <v>대일지 10R5H1</v>
      </c>
      <c r="I14197" s="1" t="s">
        <v>15</v>
      </c>
      <c r="J14197" s="1" t="str">
        <f>"39/39"</f>
        <v>39/39</v>
      </c>
      <c r="K14197" s="1" t="str">
        <f>"2026-07-29 14:20:00"</f>
        <v>2026-07-29 14:20:00</v>
      </c>
      <c r="L14197" s="1" t="str">
        <f>"2023-09-15 13:33:23"</f>
        <v>2023-09-15 13:33:23</v>
      </c>
      <c r="M14197" s="1" t="s">
        <v>4</v>
      </c>
      <c r="N14197" s="1" t="s">
        <v>38</v>
      </c>
      <c r="O14197" s="1" t="s">
        <v>46</v>
      </c>
    </row>
    <row r="14198" spans="2:15" x14ac:dyDescent="0.3">
      <c r="B14198" s="1" t="s">
        <v>19</v>
      </c>
      <c r="C14198" s="1" t="str">
        <f>"5-2차"</f>
        <v>5-2차</v>
      </c>
      <c r="D14198" s="1" t="str">
        <f>"0028H9415S"</f>
        <v>0028H9415S</v>
      </c>
      <c r="E14198" s="1" t="s">
        <v>10</v>
      </c>
      <c r="F14198" s="1" t="str">
        <f>"fde1:103:4:5741:0:0:0:2"</f>
        <v>fde1:103:4:5741:0:0:0:2</v>
      </c>
      <c r="G14198" s="1" t="str">
        <f>"0028H941"</f>
        <v>0028H941</v>
      </c>
      <c r="H14198" s="1" t="str">
        <f>"대일지 10R5"</f>
        <v>대일지 10R5</v>
      </c>
      <c r="I14198" s="1" t="s">
        <v>15</v>
      </c>
      <c r="J14198" s="1" t="str">
        <f>"56/56"</f>
        <v>56/56</v>
      </c>
      <c r="K14198" s="1" t="str">
        <f>"2026-07-29 14:20:08"</f>
        <v>2026-07-29 14:20:08</v>
      </c>
      <c r="L14198" s="1" t="str">
        <f>"2023-09-15 13:34:25"</f>
        <v>2023-09-15 13:34:25</v>
      </c>
      <c r="M14198" s="1" t="s">
        <v>4</v>
      </c>
      <c r="N14198" s="1" t="s">
        <v>38</v>
      </c>
      <c r="O14198" s="1" t="s">
        <v>46</v>
      </c>
    </row>
    <row r="14199" spans="2:15" x14ac:dyDescent="0.3">
      <c r="B14199" s="1" t="s">
        <v>19</v>
      </c>
      <c r="C14199" s="1" t="str">
        <f>"5-2차"</f>
        <v>5-2차</v>
      </c>
      <c r="D14199" s="1" t="str">
        <f>"0028H9515M"</f>
        <v>0028H9515M</v>
      </c>
      <c r="E14199" s="1" t="s">
        <v>10</v>
      </c>
      <c r="F14199" s="1" t="str">
        <f>"fde1:103:4:5978:0:0:0:2"</f>
        <v>fde1:103:4:5978:0:0:0:2</v>
      </c>
      <c r="G14199" s="1" t="str">
        <f>"0028H951"</f>
        <v>0028H951</v>
      </c>
      <c r="H14199" s="1" t="str">
        <f>"대일지 10R6"</f>
        <v>대일지 10R6</v>
      </c>
      <c r="I14199" s="1" t="s">
        <v>15</v>
      </c>
      <c r="J14199" s="1" t="str">
        <f>"80/86"</f>
        <v>80/86</v>
      </c>
      <c r="K14199" s="1" t="str">
        <f>"2026-07-29 14:20:19"</f>
        <v>2026-07-29 14:20:19</v>
      </c>
      <c r="L14199" s="1" t="str">
        <f>"2023-09-15 13:49:13"</f>
        <v>2023-09-15 13:49:13</v>
      </c>
      <c r="M14199" s="1" t="s">
        <v>4</v>
      </c>
      <c r="N14199" s="1" t="s">
        <v>38</v>
      </c>
      <c r="O14199" s="1" t="s">
        <v>46</v>
      </c>
    </row>
    <row r="14200" spans="2:15" x14ac:dyDescent="0.3">
      <c r="B14200" s="1" t="s">
        <v>19</v>
      </c>
      <c r="C14200" s="1" t="str">
        <f>"6차"</f>
        <v>6차</v>
      </c>
      <c r="D14200" s="1" t="str">
        <f>"0028H9816S"</f>
        <v>0028H9816S</v>
      </c>
      <c r="E14200" s="1" t="s">
        <v>10</v>
      </c>
      <c r="F14200" s="1" t="str">
        <f>"fde3:102:1410:5100:0:0:0:3"</f>
        <v>fde3:102:1410:5100:0:0:0:3</v>
      </c>
      <c r="G14200" s="1" t="str">
        <f>"0028H981"</f>
        <v>0028H981</v>
      </c>
      <c r="H14200" s="1" t="str">
        <f>"대일지 10R12"</f>
        <v>대일지 10R12</v>
      </c>
      <c r="I14200" s="1" t="s">
        <v>15</v>
      </c>
      <c r="J14200" s="1" t="str">
        <f>"17/17"</f>
        <v>17/17</v>
      </c>
      <c r="K14200" s="1" t="str">
        <f>"2026-07-29 14:20:00"</f>
        <v>2026-07-29 14:20:00</v>
      </c>
      <c r="L14200" s="1" t="str">
        <f>"2024-12-03 14:06:41"</f>
        <v>2024-12-03 14:06:41</v>
      </c>
      <c r="M14200" s="1" t="s">
        <v>45</v>
      </c>
      <c r="N14200" s="1" t="s">
        <v>38</v>
      </c>
      <c r="O14200" s="1" t="s">
        <v>46</v>
      </c>
    </row>
    <row r="14201" spans="2:15" x14ac:dyDescent="0.3">
      <c r="B14201" s="1" t="s">
        <v>19</v>
      </c>
      <c r="C14201" s="1" t="str">
        <f>"4차"</f>
        <v>4차</v>
      </c>
      <c r="D14201" s="1" t="str">
        <f>"0028H99139"</f>
        <v>0028H99139</v>
      </c>
      <c r="E14201" s="1" t="s">
        <v>10</v>
      </c>
      <c r="F14201" s="1" t="str">
        <f>"10.107.122.104"</f>
        <v>10.107.122.104</v>
      </c>
      <c r="G14201" s="1" t="str">
        <f>"0028H991"</f>
        <v>0028H991</v>
      </c>
      <c r="H14201" s="1" t="str">
        <f>"대일지 10R12L2"</f>
        <v>대일지 10R12L2</v>
      </c>
      <c r="I14201" s="1" t="s">
        <v>8</v>
      </c>
      <c r="J14201" s="1" t="str">
        <f>"22/43"</f>
        <v>22/43</v>
      </c>
      <c r="K14201" s="1" t="str">
        <f>"2026-07-29 13:18:01"</f>
        <v>2026-07-29 13:18:01</v>
      </c>
      <c r="L14201" s="1" t="str">
        <f>"2018-04-03 12:20:47"</f>
        <v>2018-04-03 12:20:47</v>
      </c>
      <c r="M14201" s="1" t="s">
        <v>45</v>
      </c>
      <c r="N14201" s="1" t="s">
        <v>38</v>
      </c>
      <c r="O14201" s="1" t="s">
        <v>46</v>
      </c>
    </row>
    <row r="14202" spans="2:15" x14ac:dyDescent="0.3">
      <c r="B14202" s="1" t="s">
        <v>19</v>
      </c>
      <c r="C14202" s="1" t="str">
        <f>"5-1차"</f>
        <v>5-1차</v>
      </c>
      <c r="D14202" s="1" t="str">
        <f>"0028Q2915S"</f>
        <v>0028Q2915S</v>
      </c>
      <c r="E14202" s="1" t="s">
        <v>10</v>
      </c>
      <c r="F14202" s="1" t="str">
        <f>"fde2:104:0:78:0:0:0:2"</f>
        <v>fde2:104:0:78:0:0:0:2</v>
      </c>
      <c r="G14202" s="1" t="str">
        <f>"0028Q291"</f>
        <v>0028Q291</v>
      </c>
      <c r="H14202" s="1" t="str">
        <f>"성북간 75L8"</f>
        <v>성북간 75L8</v>
      </c>
      <c r="I14202" s="1" t="s">
        <v>15</v>
      </c>
      <c r="J14202" s="1" t="str">
        <f>"32/33"</f>
        <v>32/33</v>
      </c>
      <c r="K14202" s="1" t="str">
        <f>"2026-07-29 14:20:24"</f>
        <v>2026-07-29 14:20:24</v>
      </c>
      <c r="L14202" s="1" t="str">
        <f>"2022-08-30 18:06:08"</f>
        <v>2022-08-30 18:06:08</v>
      </c>
      <c r="M14202" s="1" t="s">
        <v>42</v>
      </c>
      <c r="N14202" s="1" t="s">
        <v>38</v>
      </c>
      <c r="O14202" s="1" t="s">
        <v>46</v>
      </c>
    </row>
    <row r="14203" spans="2:15" x14ac:dyDescent="0.3">
      <c r="B14203" s="1" t="s">
        <v>19</v>
      </c>
      <c r="C14203" s="1" t="str">
        <f>"5-2차"</f>
        <v>5-2차</v>
      </c>
      <c r="D14203" s="1" t="str">
        <f>"0028Q5615M"</f>
        <v>0028Q5615M</v>
      </c>
      <c r="E14203" s="1" t="s">
        <v>10</v>
      </c>
      <c r="F14203" s="1" t="str">
        <f>"fde1:103:4:5740:0:0:0:2"</f>
        <v>fde1:103:4:5740:0:0:0:2</v>
      </c>
      <c r="G14203" s="1" t="str">
        <f>"0028Q561"</f>
        <v>0028Q561</v>
      </c>
      <c r="H14203" s="1" t="str">
        <f>"성북간 67"</f>
        <v>성북간 67</v>
      </c>
      <c r="I14203" s="1" t="s">
        <v>15</v>
      </c>
      <c r="J14203" s="1" t="str">
        <f>"36/36"</f>
        <v>36/36</v>
      </c>
      <c r="K14203" s="1" t="str">
        <f>"2026-07-29 14:20:08"</f>
        <v>2026-07-29 14:20:08</v>
      </c>
      <c r="L14203" s="1" t="str">
        <f>"2023-09-15 13:49:34"</f>
        <v>2023-09-15 13:49:34</v>
      </c>
      <c r="M14203" s="1" t="s">
        <v>4</v>
      </c>
      <c r="N14203" s="1" t="s">
        <v>38</v>
      </c>
      <c r="O14203" s="1" t="s">
        <v>46</v>
      </c>
    </row>
    <row r="14204" spans="2:15" x14ac:dyDescent="0.3">
      <c r="B14204" s="1" t="s">
        <v>19</v>
      </c>
      <c r="C14204" s="1" t="str">
        <f>"5-2차"</f>
        <v>5-2차</v>
      </c>
      <c r="D14204" s="1" t="str">
        <f>"0028Q5625M"</f>
        <v>0028Q5625M</v>
      </c>
      <c r="E14204" s="1" t="s">
        <v>10</v>
      </c>
      <c r="F14204" s="1" t="str">
        <f>"fde1:103:4:59fb:0:0:0:2"</f>
        <v>fde1:103:4:59fb:0:0:0:2</v>
      </c>
      <c r="G14204" s="1" t="str">
        <f>"0028Q562"</f>
        <v>0028Q562</v>
      </c>
      <c r="H14204" s="1" t="str">
        <f>"성북간 68"</f>
        <v>성북간 68</v>
      </c>
      <c r="I14204" s="1" t="s">
        <v>15</v>
      </c>
      <c r="J14204" s="1" t="str">
        <f>"44/44"</f>
        <v>44/44</v>
      </c>
      <c r="K14204" s="1" t="str">
        <f>"2026-07-29 14:20:24"</f>
        <v>2026-07-29 14:20:24</v>
      </c>
      <c r="L14204" s="1" t="str">
        <f>"2023-09-15 14:04:36"</f>
        <v>2023-09-15 14:04:36</v>
      </c>
      <c r="M14204" s="1" t="s">
        <v>4</v>
      </c>
      <c r="N14204" s="1" t="s">
        <v>38</v>
      </c>
      <c r="O14204" s="1" t="s">
        <v>46</v>
      </c>
    </row>
    <row r="14205" spans="2:15" x14ac:dyDescent="0.3">
      <c r="B14205" s="1" t="s">
        <v>19</v>
      </c>
      <c r="C14205" s="1" t="str">
        <f>"4차"</f>
        <v>4차</v>
      </c>
      <c r="D14205" s="1" t="str">
        <f>"0028Q69141"</f>
        <v>0028Q69141</v>
      </c>
      <c r="E14205" s="1" t="s">
        <v>10</v>
      </c>
      <c r="F14205" s="1" t="str">
        <f>"10.14.1.18"</f>
        <v>10.14.1.18</v>
      </c>
      <c r="G14205" s="1" t="str">
        <f>"0028Q691"</f>
        <v>0028Q691</v>
      </c>
      <c r="H14205" s="1" t="str">
        <f>"성북간 73"</f>
        <v>성북간 73</v>
      </c>
      <c r="I14205" s="1" t="s">
        <v>17</v>
      </c>
      <c r="J14205" s="1" t="str">
        <f>"59/59"</f>
        <v>59/59</v>
      </c>
      <c r="K14205" s="1" t="str">
        <f>"2026-07-29 13:18:01"</f>
        <v>2026-07-29 13:18:01</v>
      </c>
      <c r="L14205" s="1" t="str">
        <f>"2021-10-13 13:53:34"</f>
        <v>2021-10-13 13:53:34</v>
      </c>
      <c r="M14205" s="1" t="s">
        <v>3</v>
      </c>
      <c r="N14205" s="1" t="s">
        <v>38</v>
      </c>
      <c r="O14205" s="1" t="s">
        <v>46</v>
      </c>
    </row>
    <row r="14206" spans="2:15" x14ac:dyDescent="0.3">
      <c r="B14206" s="1" t="s">
        <v>19</v>
      </c>
      <c r="C14206" s="1" t="str">
        <f>"4차"</f>
        <v>4차</v>
      </c>
      <c r="D14206" s="1" t="str">
        <f>"0028Q78139"</f>
        <v>0028Q78139</v>
      </c>
      <c r="E14206" s="1" t="s">
        <v>10</v>
      </c>
      <c r="F14206" s="1" t="str">
        <f>"10.12.129.44"</f>
        <v>10.12.129.44</v>
      </c>
      <c r="G14206" s="1" t="str">
        <f>"0028Q781"</f>
        <v>0028Q781</v>
      </c>
      <c r="H14206" s="1" t="str">
        <f>"성북간 74R4R1"</f>
        <v>성북간 74R4R1</v>
      </c>
      <c r="I14206" s="1" t="s">
        <v>17</v>
      </c>
      <c r="J14206" s="1" t="str">
        <f>"92/92"</f>
        <v>92/92</v>
      </c>
      <c r="K14206" s="1" t="str">
        <f>"2026-07-29 13:18:02"</f>
        <v>2026-07-29 13:18:02</v>
      </c>
      <c r="L14206" s="1" t="str">
        <f>"2018-12-17 13:11:43"</f>
        <v>2018-12-17 13:11:43</v>
      </c>
      <c r="M14206" s="1" t="s">
        <v>0</v>
      </c>
      <c r="N14206" s="1" t="s">
        <v>38</v>
      </c>
      <c r="O14206" s="1" t="s">
        <v>46</v>
      </c>
    </row>
    <row r="14207" spans="2:15" x14ac:dyDescent="0.3">
      <c r="B14207" s="1" t="s">
        <v>19</v>
      </c>
      <c r="C14207" s="1" t="str">
        <f>"4차"</f>
        <v>4차</v>
      </c>
      <c r="D14207" s="1" t="str">
        <f>"0028Q78241"</f>
        <v>0028Q78241</v>
      </c>
      <c r="E14207" s="1" t="s">
        <v>10</v>
      </c>
      <c r="F14207" s="1" t="str">
        <f>"10.12.130.173"</f>
        <v>10.12.130.173</v>
      </c>
      <c r="G14207" s="1" t="str">
        <f>"0028Q782"</f>
        <v>0028Q782</v>
      </c>
      <c r="H14207" s="1" t="str">
        <f>"성북간 74R4R2"</f>
        <v>성북간 74R4R2</v>
      </c>
      <c r="I14207" s="1" t="s">
        <v>17</v>
      </c>
      <c r="J14207" s="1" t="str">
        <f>"19/30"</f>
        <v>19/30</v>
      </c>
      <c r="K14207" s="1" t="str">
        <f>"2026-07-29 13:18:02"</f>
        <v>2026-07-29 13:18:02</v>
      </c>
      <c r="L14207" s="1" t="str">
        <f>"2021-10-20 09:05:02"</f>
        <v>2021-10-20 09:05:02</v>
      </c>
      <c r="M14207" s="1" t="s">
        <v>0</v>
      </c>
      <c r="N14207" s="1" t="s">
        <v>38</v>
      </c>
      <c r="O14207" s="1" t="s">
        <v>46</v>
      </c>
    </row>
    <row r="14208" spans="2:15" x14ac:dyDescent="0.3">
      <c r="B14208" s="1" t="s">
        <v>19</v>
      </c>
      <c r="C14208" s="1" t="str">
        <f>"4차"</f>
        <v>4차</v>
      </c>
      <c r="D14208" s="1" t="str">
        <f>"0028Q96141"</f>
        <v>0028Q96141</v>
      </c>
      <c r="E14208" s="1" t="s">
        <v>10</v>
      </c>
      <c r="F14208" s="1" t="str">
        <f>"10.12.128.142"</f>
        <v>10.12.128.142</v>
      </c>
      <c r="G14208" s="1" t="str">
        <f>"0028Q961"</f>
        <v>0028Q961</v>
      </c>
      <c r="H14208" s="1" t="str">
        <f>"성북간 74R8"</f>
        <v>성북간 74R8</v>
      </c>
      <c r="I14208" s="1" t="s">
        <v>17</v>
      </c>
      <c r="J14208" s="1" t="str">
        <f>"43/49"</f>
        <v>43/49</v>
      </c>
      <c r="K14208" s="1" t="str">
        <f>"2026-07-29 13:18:02"</f>
        <v>2026-07-29 13:18:02</v>
      </c>
      <c r="L14208" s="1" t="str">
        <f>"2021-10-13 15:42:37"</f>
        <v>2021-10-13 15:42:37</v>
      </c>
      <c r="M14208" s="1" t="s">
        <v>0</v>
      </c>
      <c r="N14208" s="1" t="s">
        <v>38</v>
      </c>
      <c r="O14208" s="1" t="s">
        <v>46</v>
      </c>
    </row>
    <row r="14209" spans="2:15" x14ac:dyDescent="0.3">
      <c r="B14209" s="1" t="s">
        <v>19</v>
      </c>
      <c r="C14209" s="1" t="str">
        <f>"5-2차"</f>
        <v>5-2차</v>
      </c>
      <c r="D14209" s="1" t="str">
        <f>"0028Q9625S"</f>
        <v>0028Q9625S</v>
      </c>
      <c r="E14209" s="1" t="s">
        <v>10</v>
      </c>
      <c r="F14209" s="1" t="str">
        <f>"fde1:103:4:5a14:0:0:0:2"</f>
        <v>fde1:103:4:5a14:0:0:0:2</v>
      </c>
      <c r="G14209" s="1" t="str">
        <f>"0028Q962"</f>
        <v>0028Q962</v>
      </c>
      <c r="H14209" s="1" t="str">
        <f>"성북간 74R9"</f>
        <v>성북간 74R9</v>
      </c>
      <c r="I14209" s="1" t="s">
        <v>15</v>
      </c>
      <c r="J14209" s="1" t="str">
        <f>"46/46"</f>
        <v>46/46</v>
      </c>
      <c r="K14209" s="1" t="str">
        <f>"2026-07-29 14:20:24"</f>
        <v>2026-07-29 14:20:24</v>
      </c>
      <c r="L14209" s="1" t="str">
        <f>"2023-09-15 14:05:34"</f>
        <v>2023-09-15 14:05:34</v>
      </c>
      <c r="M14209" s="1" t="s">
        <v>4</v>
      </c>
      <c r="N14209" s="1" t="s">
        <v>38</v>
      </c>
      <c r="O14209" s="1" t="s">
        <v>46</v>
      </c>
    </row>
    <row r="14210" spans="2:15" x14ac:dyDescent="0.3">
      <c r="B14210" s="1" t="s">
        <v>19</v>
      </c>
      <c r="C14210" s="1" t="str">
        <f>"4차"</f>
        <v>4차</v>
      </c>
      <c r="D14210" s="1" t="str">
        <f>"0028R35341"</f>
        <v>0028R35341</v>
      </c>
      <c r="E14210" s="1" t="s">
        <v>10</v>
      </c>
      <c r="F14210" s="1" t="str">
        <f>"10.14.3.36"</f>
        <v>10.14.3.36</v>
      </c>
      <c r="G14210" s="1" t="str">
        <f>"0028R353"</f>
        <v>0028R353</v>
      </c>
      <c r="H14210" s="1" t="str">
        <f>"대교지 12R12L3"</f>
        <v>대교지 12R12L3</v>
      </c>
      <c r="I14210" s="1" t="s">
        <v>17</v>
      </c>
      <c r="J14210" s="1" t="str">
        <f>"8/8"</f>
        <v>8/8</v>
      </c>
      <c r="K14210" s="1" t="str">
        <f>"2026-07-29 13:18:02"</f>
        <v>2026-07-29 13:18:02</v>
      </c>
      <c r="L14210" s="1" t="str">
        <f>"2021-11-03 18:06:07"</f>
        <v>2021-11-03 18:06:07</v>
      </c>
      <c r="M14210" s="1" t="s">
        <v>3</v>
      </c>
      <c r="N14210" s="1" t="s">
        <v>38</v>
      </c>
      <c r="O14210" s="1" t="s">
        <v>46</v>
      </c>
    </row>
    <row r="14211" spans="2:15" x14ac:dyDescent="0.3">
      <c r="B14211" s="1" t="s">
        <v>19</v>
      </c>
      <c r="C14211" s="1" t="str">
        <f>"4차"</f>
        <v>4차</v>
      </c>
      <c r="D14211" s="1" t="str">
        <f>"0028R90444"</f>
        <v>0028R90444</v>
      </c>
      <c r="E14211" s="1" t="s">
        <v>10</v>
      </c>
      <c r="F14211" s="1" t="str">
        <f>"10.107.10.2"</f>
        <v>10.107.10.2</v>
      </c>
      <c r="G14211" s="1" t="str">
        <f>"0028R904"</f>
        <v>0028R904</v>
      </c>
      <c r="H14211" s="1" t="str">
        <f>"대교지 5"</f>
        <v>대교지 5</v>
      </c>
      <c r="I14211" s="1" t="s">
        <v>8</v>
      </c>
      <c r="J14211" s="1" t="str">
        <f>"25/25"</f>
        <v>25/25</v>
      </c>
      <c r="K14211" s="1" t="str">
        <f>"2026-07-29 13:18:01"</f>
        <v>2026-07-29 13:18:01</v>
      </c>
      <c r="L14211" s="1" t="str">
        <f>"2019-10-17 12:34:04"</f>
        <v>2019-10-17 12:34:04</v>
      </c>
      <c r="M14211" s="1" t="s">
        <v>45</v>
      </c>
      <c r="N14211" s="1" t="s">
        <v>38</v>
      </c>
      <c r="O14211" s="1" t="s">
        <v>46</v>
      </c>
    </row>
    <row r="14212" spans="2:15" x14ac:dyDescent="0.3">
      <c r="B14212" s="1" t="s">
        <v>19</v>
      </c>
      <c r="C14212" s="1" t="str">
        <f>"4차"</f>
        <v>4차</v>
      </c>
      <c r="D14212" s="1" t="str">
        <f>"0028W19441"</f>
        <v>0028W19441</v>
      </c>
      <c r="E14212" s="1" t="s">
        <v>10</v>
      </c>
      <c r="F14212" s="1" t="str">
        <f>"10.12.129.236"</f>
        <v>10.12.129.236</v>
      </c>
      <c r="G14212" s="1" t="str">
        <f>"0028W194"</f>
        <v>0028W194</v>
      </c>
      <c r="H14212" s="1" t="str">
        <f>"성북간 91R5R3"</f>
        <v>성북간 91R5R3</v>
      </c>
      <c r="I14212" s="1" t="s">
        <v>17</v>
      </c>
      <c r="J14212" s="1" t="str">
        <f>"18/18"</f>
        <v>18/18</v>
      </c>
      <c r="K14212" s="1" t="str">
        <f>"2026-07-29 13:18:01"</f>
        <v>2026-07-29 13:18:01</v>
      </c>
      <c r="L14212" s="1" t="str">
        <f>"2021-10-14 07:39:50"</f>
        <v>2021-10-14 07:39:50</v>
      </c>
      <c r="M14212" s="1" t="s">
        <v>0</v>
      </c>
      <c r="N14212" s="1" t="s">
        <v>38</v>
      </c>
      <c r="O14212" s="1" t="s">
        <v>46</v>
      </c>
    </row>
    <row r="14213" spans="2:15" x14ac:dyDescent="0.3">
      <c r="B14213" s="1" t="s">
        <v>19</v>
      </c>
      <c r="C14213" s="1" t="str">
        <f>"5-2차"</f>
        <v>5-2차</v>
      </c>
      <c r="D14213" s="1" t="str">
        <f>"0028W2715M"</f>
        <v>0028W2715M</v>
      </c>
      <c r="E14213" s="1" t="s">
        <v>10</v>
      </c>
      <c r="F14213" s="1" t="str">
        <f>"fde1:103:4:5a1b:0:0:0:2"</f>
        <v>fde1:103:4:5a1b:0:0:0:2</v>
      </c>
      <c r="G14213" s="1" t="str">
        <f>"0028W271"</f>
        <v>0028W271</v>
      </c>
      <c r="H14213" s="1" t="str">
        <f>"성북간 91R5"</f>
        <v>성북간 91R5</v>
      </c>
      <c r="I14213" s="1" t="s">
        <v>15</v>
      </c>
      <c r="J14213" s="1" t="str">
        <f>"41/41"</f>
        <v>41/41</v>
      </c>
      <c r="K14213" s="1" t="str">
        <f>"2026-07-29 14:20:24"</f>
        <v>2026-07-29 14:20:24</v>
      </c>
      <c r="L14213" s="1" t="str">
        <f>"2023-09-15 14:20:33"</f>
        <v>2023-09-15 14:20:33</v>
      </c>
      <c r="M14213" s="1" t="s">
        <v>4</v>
      </c>
      <c r="N14213" s="1" t="s">
        <v>38</v>
      </c>
      <c r="O14213" s="1" t="s">
        <v>46</v>
      </c>
    </row>
    <row r="14214" spans="2:15" x14ac:dyDescent="0.3">
      <c r="B14214" s="1" t="s">
        <v>19</v>
      </c>
      <c r="C14214" s="1" t="str">
        <f>"1차"</f>
        <v>1차</v>
      </c>
      <c r="D14214" s="1" t="str">
        <f>"0028W29100"</f>
        <v>0028W29100</v>
      </c>
      <c r="E14214" s="1" t="s">
        <v>10</v>
      </c>
      <c r="F14214" s="1" t="str">
        <f>"10.107.4.190"</f>
        <v>10.107.4.190</v>
      </c>
      <c r="G14214" s="1" t="str">
        <f>"0028W291"</f>
        <v>0028W291</v>
      </c>
      <c r="H14214" s="1" t="str">
        <f>"성북간 91R3"</f>
        <v>성북간 91R3</v>
      </c>
      <c r="I14214" s="1" t="s">
        <v>8</v>
      </c>
      <c r="J14214" s="1" t="str">
        <f>"16/16"</f>
        <v>16/16</v>
      </c>
      <c r="K14214" s="1" t="str">
        <f>"2026-07-29 13:18:01"</f>
        <v>2026-07-29 13:18:01</v>
      </c>
      <c r="L14214" s="1" t="str">
        <f>"2014-11-18 11:26:08"</f>
        <v>2014-11-18 11:26:08</v>
      </c>
      <c r="M14214" s="1" t="s">
        <v>45</v>
      </c>
      <c r="N14214" s="1" t="s">
        <v>38</v>
      </c>
      <c r="O14214" s="1" t="s">
        <v>46</v>
      </c>
    </row>
    <row r="14215" spans="2:15" x14ac:dyDescent="0.3">
      <c r="B14215" s="1" t="s">
        <v>19</v>
      </c>
      <c r="C14215" s="1" t="str">
        <f>"5-2차"</f>
        <v>5-2차</v>
      </c>
      <c r="D14215" s="1" t="str">
        <f>"0028X2325M"</f>
        <v>0028X2325M</v>
      </c>
      <c r="E14215" s="1" t="s">
        <v>10</v>
      </c>
      <c r="F14215" s="1" t="str">
        <f>"fde1:103:4:59fd:0:0:0:2"</f>
        <v>fde1:103:4:59fd:0:0:0:2</v>
      </c>
      <c r="G14215" s="1" t="str">
        <f>"0028X232"</f>
        <v>0028X232</v>
      </c>
      <c r="H14215" s="1" t="str">
        <f>"북악간 41R16"</f>
        <v>북악간 41R16</v>
      </c>
      <c r="I14215" s="1" t="s">
        <v>15</v>
      </c>
      <c r="J14215" s="1" t="str">
        <f>"84/84"</f>
        <v>84/84</v>
      </c>
      <c r="K14215" s="1" t="str">
        <f>"2026-07-29 14:20:11"</f>
        <v>2026-07-29 14:20:11</v>
      </c>
      <c r="L14215" s="1" t="str">
        <f>"2023-09-15 14:33:50"</f>
        <v>2023-09-15 14:33:50</v>
      </c>
      <c r="M14215" s="1" t="s">
        <v>4</v>
      </c>
      <c r="N14215" s="1" t="s">
        <v>38</v>
      </c>
      <c r="O14215" s="1" t="s">
        <v>46</v>
      </c>
    </row>
    <row r="14216" spans="2:15" x14ac:dyDescent="0.3">
      <c r="B14216" s="1" t="s">
        <v>19</v>
      </c>
      <c r="C14216" s="1" t="str">
        <f>"5-2차"</f>
        <v>5-2차</v>
      </c>
      <c r="D14216" s="1" t="str">
        <f>"0028X2425S"</f>
        <v>0028X2425S</v>
      </c>
      <c r="E14216" s="1" t="s">
        <v>10</v>
      </c>
      <c r="F14216" s="1" t="str">
        <f>"fde1:103:4:59a9:0:0:0:2"</f>
        <v>fde1:103:4:59a9:0:0:0:2</v>
      </c>
      <c r="G14216" s="1" t="str">
        <f>"0028X242"</f>
        <v>0028X242</v>
      </c>
      <c r="H14216" s="1" t="str">
        <f>"북악간 41R13"</f>
        <v>북악간 41R13</v>
      </c>
      <c r="I14216" s="1" t="s">
        <v>15</v>
      </c>
      <c r="J14216" s="1" t="str">
        <f>"16/16"</f>
        <v>16/16</v>
      </c>
      <c r="K14216" s="1" t="str">
        <f>"2026-07-29 14:20:24"</f>
        <v>2026-07-29 14:20:24</v>
      </c>
      <c r="L14216" s="1" t="str">
        <f>"2023-09-18 10:46:18"</f>
        <v>2023-09-18 10:46:18</v>
      </c>
      <c r="M14216" s="1" t="s">
        <v>4</v>
      </c>
      <c r="N14216" s="1" t="s">
        <v>38</v>
      </c>
      <c r="O14216" s="1" t="s">
        <v>46</v>
      </c>
    </row>
    <row r="14217" spans="2:15" x14ac:dyDescent="0.3">
      <c r="B14217" s="1" t="s">
        <v>19</v>
      </c>
      <c r="C14217" s="1" t="str">
        <f>"5-2차"</f>
        <v>5-2차</v>
      </c>
      <c r="D14217" s="1" t="str">
        <f>"0028X4475M"</f>
        <v>0028X4475M</v>
      </c>
      <c r="E14217" s="1" t="s">
        <v>10</v>
      </c>
      <c r="F14217" s="1" t="str">
        <f>"fde1:103:4:5879:0:0:0:2"</f>
        <v>fde1:103:4:5879:0:0:0:2</v>
      </c>
      <c r="G14217" s="1" t="str">
        <f>"0028X447"</f>
        <v>0028X447</v>
      </c>
      <c r="H14217" s="1" t="str">
        <f>"북악간 41R6"</f>
        <v>북악간 41R6</v>
      </c>
      <c r="I14217" s="1" t="s">
        <v>15</v>
      </c>
      <c r="J14217" s="1" t="str">
        <f>"33/33"</f>
        <v>33/33</v>
      </c>
      <c r="K14217" s="1" t="str">
        <f>"2026-07-29 14:20:00"</f>
        <v>2026-07-29 14:20:00</v>
      </c>
      <c r="L14217" s="1" t="str">
        <f>"2023-09-18 10:46:57"</f>
        <v>2023-09-18 10:46:57</v>
      </c>
      <c r="M14217" s="1" t="s">
        <v>4</v>
      </c>
      <c r="N14217" s="1" t="s">
        <v>38</v>
      </c>
      <c r="O14217" s="1" t="s">
        <v>46</v>
      </c>
    </row>
    <row r="14218" spans="2:15" x14ac:dyDescent="0.3">
      <c r="B14218" s="1" t="s">
        <v>19</v>
      </c>
      <c r="C14218" s="1" t="str">
        <f>"4차"</f>
        <v>4차</v>
      </c>
      <c r="D14218" s="1" t="str">
        <f>"0028X76441"</f>
        <v>0028X76441</v>
      </c>
      <c r="E14218" s="1" t="s">
        <v>10</v>
      </c>
      <c r="F14218" s="1" t="str">
        <f>"10.12.131.2"</f>
        <v>10.12.131.2</v>
      </c>
      <c r="G14218" s="1" t="str">
        <f>"0028X764"</f>
        <v>0028X764</v>
      </c>
      <c r="H14218" s="1" t="str">
        <f>"북악간 25R1"</f>
        <v>북악간 25R1</v>
      </c>
      <c r="I14218" s="1" t="s">
        <v>17</v>
      </c>
      <c r="J14218" s="1" t="str">
        <f>"24/25"</f>
        <v>24/25</v>
      </c>
      <c r="K14218" s="1" t="str">
        <f>"2026-07-29 13:18:01"</f>
        <v>2026-07-29 13:18:01</v>
      </c>
      <c r="L14218" s="1" t="str">
        <f>"2021-10-13 07:55:51"</f>
        <v>2021-10-13 07:55:51</v>
      </c>
      <c r="M14218" s="1" t="s">
        <v>0</v>
      </c>
      <c r="N14218" s="1" t="s">
        <v>38</v>
      </c>
      <c r="O14218" s="1" t="s">
        <v>46</v>
      </c>
    </row>
    <row r="14219" spans="2:15" x14ac:dyDescent="0.3">
      <c r="B14219" s="1" t="s">
        <v>19</v>
      </c>
      <c r="C14219" s="1" t="str">
        <f>"4차"</f>
        <v>4차</v>
      </c>
      <c r="D14219" s="1" t="str">
        <f>"0028X88245"</f>
        <v>0028X88245</v>
      </c>
      <c r="E14219" s="1" t="s">
        <v>10</v>
      </c>
      <c r="F14219" s="1" t="str">
        <f>"10.14.4.53"</f>
        <v>10.14.4.53</v>
      </c>
      <c r="G14219" s="1" t="str">
        <f>"0028X882"</f>
        <v>0028X882</v>
      </c>
      <c r="H14219" s="1" t="str">
        <f>"보국 20"</f>
        <v>보국 20</v>
      </c>
      <c r="I14219" s="1" t="s">
        <v>17</v>
      </c>
      <c r="J14219" s="1" t="str">
        <f>"7/10"</f>
        <v>7/10</v>
      </c>
      <c r="K14219" s="1" t="str">
        <f>"2026-07-29 13:18:01"</f>
        <v>2026-07-29 13:18:01</v>
      </c>
      <c r="L14219" s="1" t="str">
        <f>"2021-06-25 14:28:08"</f>
        <v>2021-06-25 14:28:08</v>
      </c>
      <c r="M14219" s="1" t="s">
        <v>3</v>
      </c>
      <c r="N14219" s="1" t="s">
        <v>38</v>
      </c>
      <c r="O14219" s="1" t="s">
        <v>46</v>
      </c>
    </row>
    <row r="14220" spans="2:15" x14ac:dyDescent="0.3">
      <c r="B14220" s="1" t="s">
        <v>19</v>
      </c>
      <c r="C14220" s="1" t="str">
        <f>"4차"</f>
        <v>4차</v>
      </c>
      <c r="D14220" s="1" t="str">
        <f>"0028X89445"</f>
        <v>0028X89445</v>
      </c>
      <c r="E14220" s="1" t="s">
        <v>10</v>
      </c>
      <c r="F14220" s="1" t="str">
        <f>"10.14.2.51"</f>
        <v>10.14.2.51</v>
      </c>
      <c r="G14220" s="1" t="str">
        <f>"0028X894"</f>
        <v>0028X894</v>
      </c>
      <c r="H14220" s="1" t="str">
        <f>"보국 21"</f>
        <v>보국 21</v>
      </c>
      <c r="I14220" s="1" t="s">
        <v>17</v>
      </c>
      <c r="J14220" s="1" t="str">
        <f>"6/6"</f>
        <v>6/6</v>
      </c>
      <c r="K14220" s="1" t="str">
        <f>"2026-07-29 13:18:01"</f>
        <v>2026-07-29 13:18:01</v>
      </c>
      <c r="L14220" s="1" t="str">
        <f>"2021-06-25 14:17:36"</f>
        <v>2021-06-25 14:17:36</v>
      </c>
      <c r="M14220" s="1" t="s">
        <v>3</v>
      </c>
      <c r="N14220" s="1" t="s">
        <v>38</v>
      </c>
      <c r="O14220" s="1" t="s">
        <v>46</v>
      </c>
    </row>
    <row r="14221" spans="2:15" x14ac:dyDescent="0.3">
      <c r="B14221" s="1" t="s">
        <v>19</v>
      </c>
      <c r="C14221" s="1" t="str">
        <f>"4차"</f>
        <v>4차</v>
      </c>
      <c r="D14221" s="1" t="str">
        <f>"0028X89645"</f>
        <v>0028X89645</v>
      </c>
      <c r="E14221" s="1" t="s">
        <v>10</v>
      </c>
      <c r="F14221" s="1" t="str">
        <f>"10.14.8.51"</f>
        <v>10.14.8.51</v>
      </c>
      <c r="G14221" s="1" t="str">
        <f>"0028X896"</f>
        <v>0028X896</v>
      </c>
      <c r="H14221" s="1" t="str">
        <f>"보국 3"</f>
        <v>보국 3</v>
      </c>
      <c r="I14221" s="1" t="s">
        <v>17</v>
      </c>
      <c r="J14221" s="1" t="str">
        <f>"27/39"</f>
        <v>27/39</v>
      </c>
      <c r="K14221" s="1" t="str">
        <f>"2026-07-29 13:18:01"</f>
        <v>2026-07-29 13:18:01</v>
      </c>
      <c r="L14221" s="1" t="str">
        <f>"2021-06-25 11:28:33"</f>
        <v>2021-06-25 11:28:33</v>
      </c>
      <c r="M14221" s="1" t="s">
        <v>3</v>
      </c>
      <c r="N14221" s="1" t="s">
        <v>38</v>
      </c>
      <c r="O14221" s="1" t="s">
        <v>46</v>
      </c>
    </row>
    <row r="14222" spans="2:15" x14ac:dyDescent="0.3">
      <c r="B14222" s="1" t="s">
        <v>19</v>
      </c>
      <c r="C14222" s="1" t="str">
        <f>"5-2차"</f>
        <v>5-2차</v>
      </c>
      <c r="D14222" s="1" t="str">
        <f>"0028X9215M"</f>
        <v>0028X9215M</v>
      </c>
      <c r="E14222" s="1" t="s">
        <v>10</v>
      </c>
      <c r="F14222" s="1" t="str">
        <f>"fde1:103:4:59ea:0:0:0:2"</f>
        <v>fde1:103:4:59ea:0:0:0:2</v>
      </c>
      <c r="G14222" s="1" t="str">
        <f>"0028X921"</f>
        <v>0028X921</v>
      </c>
      <c r="H14222" s="1" t="str">
        <f>"북악간 38"</f>
        <v>북악간 38</v>
      </c>
      <c r="I14222" s="1" t="s">
        <v>15</v>
      </c>
      <c r="J14222" s="1" t="str">
        <f>"43/44"</f>
        <v>43/44</v>
      </c>
      <c r="K14222" s="1" t="str">
        <f>"2026-07-29 14:20:24"</f>
        <v>2026-07-29 14:20:24</v>
      </c>
      <c r="L14222" s="1" t="str">
        <f>"2023-09-18 11:03:29"</f>
        <v>2023-09-18 11:03:29</v>
      </c>
      <c r="M14222" s="1" t="s">
        <v>4</v>
      </c>
      <c r="N14222" s="1" t="s">
        <v>38</v>
      </c>
      <c r="O14222" s="1" t="s">
        <v>46</v>
      </c>
    </row>
    <row r="14223" spans="2:15" x14ac:dyDescent="0.3">
      <c r="B14223" s="1" t="s">
        <v>19</v>
      </c>
      <c r="C14223" s="1" t="str">
        <f>"5-2차"</f>
        <v>5-2차</v>
      </c>
      <c r="D14223" s="1" t="str">
        <f>"0028X9235M"</f>
        <v>0028X9235M</v>
      </c>
      <c r="E14223" s="1" t="s">
        <v>10</v>
      </c>
      <c r="F14223" s="1" t="str">
        <f>"fde1:103:4:59da:0:0:0:2"</f>
        <v>fde1:103:4:59da:0:0:0:2</v>
      </c>
      <c r="G14223" s="1" t="str">
        <f>"0028X923"</f>
        <v>0028X923</v>
      </c>
      <c r="H14223" s="1" t="str">
        <f>"북악간 39"</f>
        <v>북악간 39</v>
      </c>
      <c r="I14223" s="1" t="s">
        <v>15</v>
      </c>
      <c r="J14223" s="1" t="str">
        <f>"36/36"</f>
        <v>36/36</v>
      </c>
      <c r="K14223" s="1" t="str">
        <f>"2026-07-29 14:20:24"</f>
        <v>2026-07-29 14:20:24</v>
      </c>
      <c r="L14223" s="1" t="str">
        <f>"2023-09-18 11:04:11"</f>
        <v>2023-09-18 11:04:11</v>
      </c>
      <c r="M14223" s="1" t="s">
        <v>4</v>
      </c>
      <c r="N14223" s="1" t="s">
        <v>38</v>
      </c>
      <c r="O14223" s="1" t="s">
        <v>46</v>
      </c>
    </row>
    <row r="14224" spans="2:15" x14ac:dyDescent="0.3">
      <c r="B14224" s="1" t="s">
        <v>19</v>
      </c>
      <c r="C14224" s="1" t="str">
        <f>"5-2차"</f>
        <v>5-2차</v>
      </c>
      <c r="D14224" s="1" t="str">
        <f>"0028Y4215M"</f>
        <v>0028Y4215M</v>
      </c>
      <c r="E14224" s="1" t="s">
        <v>10</v>
      </c>
      <c r="F14224" s="1" t="str">
        <f>"fde1:103:4:5905:0:0:0:2"</f>
        <v>fde1:103:4:5905:0:0:0:2</v>
      </c>
      <c r="G14224" s="1" t="str">
        <f>"0028Y421"</f>
        <v>0028Y421</v>
      </c>
      <c r="H14224" s="1" t="str">
        <f>"동구지 51L2"</f>
        <v>동구지 51L2</v>
      </c>
      <c r="I14224" s="1" t="s">
        <v>15</v>
      </c>
      <c r="J14224" s="1" t="str">
        <f>"38/38"</f>
        <v>38/38</v>
      </c>
      <c r="K14224" s="1" t="str">
        <f>"2026-07-29 14:20:24"</f>
        <v>2026-07-29 14:20:24</v>
      </c>
      <c r="L14224" s="1" t="str">
        <f>"2023-09-18 11:17:01"</f>
        <v>2023-09-18 11:17:01</v>
      </c>
      <c r="M14224" s="1" t="s">
        <v>4</v>
      </c>
      <c r="N14224" s="1" t="s">
        <v>38</v>
      </c>
      <c r="O14224" s="1" t="s">
        <v>46</v>
      </c>
    </row>
    <row r="14225" spans="2:15" x14ac:dyDescent="0.3">
      <c r="B14225" s="1" t="s">
        <v>19</v>
      </c>
      <c r="C14225" s="1" t="str">
        <f>"4차"</f>
        <v>4차</v>
      </c>
      <c r="D14225" s="1" t="str">
        <f>"0028Y45241"</f>
        <v>0028Y45241</v>
      </c>
      <c r="E14225" s="1" t="s">
        <v>10</v>
      </c>
      <c r="F14225" s="1" t="str">
        <f>"10.12.132.203"</f>
        <v>10.12.132.203</v>
      </c>
      <c r="G14225" s="1" t="str">
        <f>"0028Y452"</f>
        <v>0028Y452</v>
      </c>
      <c r="H14225" s="1" t="str">
        <f>"동구지 54H1"</f>
        <v>동구지 54H1</v>
      </c>
      <c r="I14225" s="1" t="s">
        <v>17</v>
      </c>
      <c r="J14225" s="1" t="str">
        <f>"21/23"</f>
        <v>21/23</v>
      </c>
      <c r="K14225" s="1" t="str">
        <f>"2026-07-29 13:18:02"</f>
        <v>2026-07-29 13:18:02</v>
      </c>
      <c r="L14225" s="1" t="str">
        <f>"2021-10-14 11:08:16"</f>
        <v>2021-10-14 11:08:16</v>
      </c>
      <c r="M14225" s="1" t="s">
        <v>0</v>
      </c>
      <c r="N14225" s="1" t="s">
        <v>38</v>
      </c>
      <c r="O14225" s="1" t="s">
        <v>46</v>
      </c>
    </row>
    <row r="14226" spans="2:15" x14ac:dyDescent="0.3">
      <c r="B14226" s="1" t="s">
        <v>19</v>
      </c>
      <c r="C14226" s="1" t="str">
        <f>"5-2차"</f>
        <v>5-2차</v>
      </c>
      <c r="D14226" s="1" t="str">
        <f>"0028Y5235M"</f>
        <v>0028Y5235M</v>
      </c>
      <c r="E14226" s="1" t="s">
        <v>10</v>
      </c>
      <c r="F14226" s="1" t="str">
        <f>"fde1:103:4:5909:0:0:0:2"</f>
        <v>fde1:103:4:5909:0:0:0:2</v>
      </c>
      <c r="G14226" s="1" t="str">
        <f>"0028Y523"</f>
        <v>0028Y523</v>
      </c>
      <c r="H14226" s="1" t="str">
        <f>"동구지 51"</f>
        <v>동구지 51</v>
      </c>
      <c r="I14226" s="1" t="s">
        <v>15</v>
      </c>
      <c r="J14226" s="1" t="str">
        <f>"31/31"</f>
        <v>31/31</v>
      </c>
      <c r="K14226" s="1" t="str">
        <f>"2026-07-29 14:20:24"</f>
        <v>2026-07-29 14:20:24</v>
      </c>
      <c r="L14226" s="1" t="str">
        <f>"2023-09-18 11:17:30"</f>
        <v>2023-09-18 11:17:30</v>
      </c>
      <c r="M14226" s="1" t="s">
        <v>4</v>
      </c>
      <c r="N14226" s="1" t="s">
        <v>38</v>
      </c>
      <c r="O14226" s="1" t="s">
        <v>46</v>
      </c>
    </row>
    <row r="14227" spans="2:15" x14ac:dyDescent="0.3">
      <c r="B14227" s="1" t="s">
        <v>19</v>
      </c>
      <c r="C14227" s="1" t="str">
        <f>"5-2차"</f>
        <v>5-2차</v>
      </c>
      <c r="D14227" s="1" t="str">
        <f>"0028Y6215S"</f>
        <v>0028Y6215S</v>
      </c>
      <c r="E14227" s="1" t="s">
        <v>10</v>
      </c>
      <c r="F14227" s="1" t="str">
        <f>"fde1:103:4:5965:0:0:0:2"</f>
        <v>fde1:103:4:5965:0:0:0:2</v>
      </c>
      <c r="G14227" s="1" t="str">
        <f>"0028Y621"</f>
        <v>0028Y621</v>
      </c>
      <c r="H14227" s="1" t="str">
        <f>"동구지 48R1L2"</f>
        <v>동구지 48R1L2</v>
      </c>
      <c r="I14227" s="1" t="s">
        <v>15</v>
      </c>
      <c r="J14227" s="1" t="str">
        <f>"31/31"</f>
        <v>31/31</v>
      </c>
      <c r="K14227" s="1" t="str">
        <f>"2026-07-29 14:20:00"</f>
        <v>2026-07-29 14:20:00</v>
      </c>
      <c r="L14227" s="1" t="str">
        <f>"2023-09-18 11:29:35"</f>
        <v>2023-09-18 11:29:35</v>
      </c>
      <c r="M14227" s="1" t="s">
        <v>4</v>
      </c>
      <c r="N14227" s="1" t="s">
        <v>38</v>
      </c>
      <c r="O14227" s="1" t="s">
        <v>46</v>
      </c>
    </row>
    <row r="14228" spans="2:15" x14ac:dyDescent="0.3">
      <c r="B14228" s="1" t="s">
        <v>19</v>
      </c>
      <c r="C14228" s="1" t="str">
        <f>"5-2차"</f>
        <v>5-2차</v>
      </c>
      <c r="D14228" s="1" t="str">
        <f>"0028Y6225M"</f>
        <v>0028Y6225M</v>
      </c>
      <c r="E14228" s="1" t="s">
        <v>10</v>
      </c>
      <c r="F14228" s="1" t="str">
        <f>"fde1:103:4:594a:0:0:0:2"</f>
        <v>fde1:103:4:594a:0:0:0:2</v>
      </c>
      <c r="G14228" s="1" t="str">
        <f>"0028Y622"</f>
        <v>0028Y622</v>
      </c>
      <c r="H14228" s="1" t="str">
        <f>"동구지 48R1L3"</f>
        <v>동구지 48R1L3</v>
      </c>
      <c r="I14228" s="1" t="s">
        <v>15</v>
      </c>
      <c r="J14228" s="1" t="str">
        <f>"49/51"</f>
        <v>49/51</v>
      </c>
      <c r="K14228" s="1" t="str">
        <f>"2026-07-29 14:20:25"</f>
        <v>2026-07-29 14:20:25</v>
      </c>
      <c r="L14228" s="1" t="str">
        <f>"2023-09-18 11:30:02"</f>
        <v>2023-09-18 11:30:02</v>
      </c>
      <c r="M14228" s="1" t="s">
        <v>4</v>
      </c>
      <c r="N14228" s="1" t="s">
        <v>38</v>
      </c>
      <c r="O14228" s="1" t="s">
        <v>46</v>
      </c>
    </row>
    <row r="14229" spans="2:15" x14ac:dyDescent="0.3">
      <c r="B14229" s="1" t="s">
        <v>19</v>
      </c>
      <c r="C14229" s="1" t="str">
        <f>"4차"</f>
        <v>4차</v>
      </c>
      <c r="D14229" s="1" t="str">
        <f>"0028Y64341"</f>
        <v>0028Y64341</v>
      </c>
      <c r="E14229" s="1" t="s">
        <v>10</v>
      </c>
      <c r="F14229" s="1" t="str">
        <f>"10.14.9.29"</f>
        <v>10.14.9.29</v>
      </c>
      <c r="G14229" s="1" t="str">
        <f>"0028Y643"</f>
        <v>0028Y643</v>
      </c>
      <c r="H14229" s="1" t="str">
        <f>"동구지 48R2L5"</f>
        <v>동구지 48R2L5</v>
      </c>
      <c r="I14229" s="1" t="s">
        <v>17</v>
      </c>
      <c r="J14229" s="1" t="str">
        <f>"32/32"</f>
        <v>32/32</v>
      </c>
      <c r="K14229" s="1" t="str">
        <f>"2026-07-29 13:18:02"</f>
        <v>2026-07-29 13:18:02</v>
      </c>
      <c r="L14229" s="1" t="str">
        <f>"2021-10-14 09:53:12"</f>
        <v>2021-10-14 09:53:12</v>
      </c>
      <c r="M14229" s="1" t="s">
        <v>3</v>
      </c>
      <c r="N14229" s="1" t="s">
        <v>38</v>
      </c>
      <c r="O14229" s="1" t="s">
        <v>46</v>
      </c>
    </row>
    <row r="14230" spans="2:15" x14ac:dyDescent="0.3">
      <c r="B14230" s="1" t="s">
        <v>19</v>
      </c>
      <c r="C14230" s="1" t="str">
        <f>"5-2차"</f>
        <v>5-2차</v>
      </c>
      <c r="D14230" s="1" t="str">
        <f>"0028Y7025M"</f>
        <v>0028Y7025M</v>
      </c>
      <c r="E14230" s="1" t="s">
        <v>10</v>
      </c>
      <c r="F14230" s="1" t="str">
        <f>"fde1:103:4:5797:0:0:0:2"</f>
        <v>fde1:103:4:5797:0:0:0:2</v>
      </c>
      <c r="G14230" s="1" t="str">
        <f>"0028Y702"</f>
        <v>0028Y702</v>
      </c>
      <c r="H14230" s="1" t="str">
        <f>"동구지 48"</f>
        <v>동구지 48</v>
      </c>
      <c r="I14230" s="1" t="s">
        <v>15</v>
      </c>
      <c r="J14230" s="1" t="str">
        <f>"26/26"</f>
        <v>26/26</v>
      </c>
      <c r="K14230" s="1" t="str">
        <f>"2026-07-29 14:20:24"</f>
        <v>2026-07-29 14:20:24</v>
      </c>
      <c r="L14230" s="1" t="str">
        <f>"2023-09-18 13:11:22"</f>
        <v>2023-09-18 13:11:22</v>
      </c>
      <c r="M14230" s="1" t="s">
        <v>4</v>
      </c>
      <c r="N14230" s="1" t="s">
        <v>38</v>
      </c>
      <c r="O14230" s="1" t="s">
        <v>46</v>
      </c>
    </row>
    <row r="14231" spans="2:15" x14ac:dyDescent="0.3">
      <c r="B14231" s="1" t="s">
        <v>19</v>
      </c>
      <c r="C14231" s="1" t="str">
        <f>"5-1차"</f>
        <v>5-1차</v>
      </c>
      <c r="D14231" s="1" t="str">
        <f>"0028Y7315M"</f>
        <v>0028Y7315M</v>
      </c>
      <c r="E14231" s="1" t="s">
        <v>10</v>
      </c>
      <c r="F14231" s="1" t="str">
        <f>"10.14.2.111"</f>
        <v>10.14.2.111</v>
      </c>
      <c r="G14231" s="1" t="str">
        <f>"0028Y731"</f>
        <v>0028Y731</v>
      </c>
      <c r="H14231" s="1" t="str">
        <f>"동구지 48R2L3"</f>
        <v>동구지 48R2L3</v>
      </c>
      <c r="I14231" s="1" t="s">
        <v>15</v>
      </c>
      <c r="J14231" s="1" t="str">
        <f>"29/35"</f>
        <v>29/35</v>
      </c>
      <c r="K14231" s="1" t="str">
        <f>"2026-07-29 14:20:26"</f>
        <v>2026-07-29 14:20:26</v>
      </c>
      <c r="L14231" s="1" t="str">
        <f>"2022-01-25 13:15:27"</f>
        <v>2022-01-25 13:15:27</v>
      </c>
      <c r="M14231" s="1" t="s">
        <v>3</v>
      </c>
      <c r="N14231" s="1" t="s">
        <v>38</v>
      </c>
      <c r="O14231" s="1" t="s">
        <v>46</v>
      </c>
    </row>
    <row r="14232" spans="2:15" x14ac:dyDescent="0.3">
      <c r="B14232" s="1" t="s">
        <v>19</v>
      </c>
      <c r="C14232" s="1" t="str">
        <f>"5-2차"</f>
        <v>5-2차</v>
      </c>
      <c r="D14232" s="1" t="str">
        <f>"0028Y7415S"</f>
        <v>0028Y7415S</v>
      </c>
      <c r="E14232" s="1" t="s">
        <v>10</v>
      </c>
      <c r="F14232" s="1" t="str">
        <f>"fde1:103:4:58c7:0:0:0:2"</f>
        <v>fde1:103:4:58c7:0:0:0:2</v>
      </c>
      <c r="G14232" s="1" t="str">
        <f>"0028Y741"</f>
        <v>0028Y741</v>
      </c>
      <c r="H14232" s="1" t="str">
        <f>"동구지 48R6A1"</f>
        <v>동구지 48R6A1</v>
      </c>
      <c r="I14232" s="1" t="s">
        <v>15</v>
      </c>
      <c r="J14232" s="1" t="str">
        <f>"53/55"</f>
        <v>53/55</v>
      </c>
      <c r="K14232" s="1" t="str">
        <f>"2026-07-29 14:20:25"</f>
        <v>2026-07-29 14:20:25</v>
      </c>
      <c r="L14232" s="1" t="str">
        <f>"2023-09-18 13:12:55"</f>
        <v>2023-09-18 13:12:55</v>
      </c>
      <c r="M14232" s="1" t="s">
        <v>4</v>
      </c>
      <c r="N14232" s="1" t="s">
        <v>38</v>
      </c>
      <c r="O14232" s="1" t="s">
        <v>46</v>
      </c>
    </row>
    <row r="14233" spans="2:15" x14ac:dyDescent="0.3">
      <c r="B14233" s="1" t="s">
        <v>19</v>
      </c>
      <c r="C14233" s="1" t="str">
        <f>"5-2차"</f>
        <v>5-2차</v>
      </c>
      <c r="D14233" s="1" t="str">
        <f>"0028Y7435M"</f>
        <v>0028Y7435M</v>
      </c>
      <c r="E14233" s="1" t="s">
        <v>10</v>
      </c>
      <c r="F14233" s="1" t="str">
        <f>"fde1:103:4:5955:0:0:0:2"</f>
        <v>fde1:103:4:5955:0:0:0:2</v>
      </c>
      <c r="G14233" s="1" t="str">
        <f>"0028Y743"</f>
        <v>0028Y743</v>
      </c>
      <c r="H14233" s="1" t="str">
        <f>"동구지 48R3L4"</f>
        <v>동구지 48R3L4</v>
      </c>
      <c r="I14233" s="1" t="s">
        <v>15</v>
      </c>
      <c r="J14233" s="1" t="str">
        <f>"102/113"</f>
        <v>102/113</v>
      </c>
      <c r="K14233" s="1" t="str">
        <f>"2026-07-29 14:20:25"</f>
        <v>2026-07-29 14:20:25</v>
      </c>
      <c r="L14233" s="1" t="str">
        <f>"2023-09-18 13:44:19"</f>
        <v>2023-09-18 13:44:19</v>
      </c>
      <c r="M14233" s="1" t="s">
        <v>4</v>
      </c>
      <c r="N14233" s="1" t="s">
        <v>38</v>
      </c>
      <c r="O14233" s="1" t="s">
        <v>46</v>
      </c>
    </row>
    <row r="14234" spans="2:15" x14ac:dyDescent="0.3">
      <c r="B14234" s="1" t="s">
        <v>19</v>
      </c>
      <c r="C14234" s="1" t="str">
        <f>"4차"</f>
        <v>4차</v>
      </c>
      <c r="D14234" s="1" t="str">
        <f>"0028Y81141"</f>
        <v>0028Y81141</v>
      </c>
      <c r="E14234" s="1" t="s">
        <v>10</v>
      </c>
      <c r="F14234" s="1" t="str">
        <f>"10.14.4.13"</f>
        <v>10.14.4.13</v>
      </c>
      <c r="G14234" s="1" t="str">
        <f>"0028Y811"</f>
        <v>0028Y811</v>
      </c>
      <c r="H14234" s="1" t="str">
        <f>"동구지 48R2"</f>
        <v>동구지 48R2</v>
      </c>
      <c r="I14234" s="1" t="s">
        <v>17</v>
      </c>
      <c r="J14234" s="1" t="str">
        <f>"19/20"</f>
        <v>19/20</v>
      </c>
      <c r="K14234" s="1" t="str">
        <f>"2026-07-29 13:18:02"</f>
        <v>2026-07-29 13:18:02</v>
      </c>
      <c r="L14234" s="1" t="str">
        <f>"2021-10-14 09:09:06"</f>
        <v>2021-10-14 09:09:06</v>
      </c>
      <c r="M14234" s="1" t="s">
        <v>3</v>
      </c>
      <c r="N14234" s="1" t="s">
        <v>38</v>
      </c>
      <c r="O14234" s="1" t="s">
        <v>46</v>
      </c>
    </row>
    <row r="14235" spans="2:15" x14ac:dyDescent="0.3">
      <c r="B14235" s="1" t="s">
        <v>19</v>
      </c>
      <c r="C14235" s="1" t="str">
        <f>"5-1차"</f>
        <v>5-1차</v>
      </c>
      <c r="D14235" s="1" t="str">
        <f>"0028Y8215S"</f>
        <v>0028Y8215S</v>
      </c>
      <c r="E14235" s="1" t="s">
        <v>10</v>
      </c>
      <c r="F14235" s="1" t="str">
        <f>"fde2:104:0:76:0:0:0:2"</f>
        <v>fde2:104:0:76:0:0:0:2</v>
      </c>
      <c r="G14235" s="1" t="str">
        <f>"0028Y821"</f>
        <v>0028Y821</v>
      </c>
      <c r="H14235" s="1" t="str">
        <f>"동구지 48R2L1"</f>
        <v>동구지 48R2L1</v>
      </c>
      <c r="I14235" s="1" t="s">
        <v>15</v>
      </c>
      <c r="J14235" s="1" t="str">
        <f>"33/35"</f>
        <v>33/35</v>
      </c>
      <c r="K14235" s="1" t="str">
        <f>"2026-07-29 14:20:26"</f>
        <v>2026-07-29 14:20:26</v>
      </c>
      <c r="L14235" s="1" t="str">
        <f>"2022-08-22 08:08:02"</f>
        <v>2022-08-22 08:08:02</v>
      </c>
      <c r="M14235" s="1" t="s">
        <v>42</v>
      </c>
      <c r="N14235" s="1" t="s">
        <v>38</v>
      </c>
      <c r="O14235" s="1" t="s">
        <v>46</v>
      </c>
    </row>
    <row r="14236" spans="2:15" x14ac:dyDescent="0.3">
      <c r="B14236" s="1" t="s">
        <v>19</v>
      </c>
      <c r="C14236" s="1" t="str">
        <f>"5-2차"</f>
        <v>5-2차</v>
      </c>
      <c r="D14236" s="1" t="str">
        <f>"0028Y8415M"</f>
        <v>0028Y8415M</v>
      </c>
      <c r="E14236" s="1" t="s">
        <v>10</v>
      </c>
      <c r="F14236" s="1" t="str">
        <f>"fde1:103:4:5a0a:0:0:0:2"</f>
        <v>fde1:103:4:5a0a:0:0:0:2</v>
      </c>
      <c r="G14236" s="1" t="str">
        <f>"0028Y841"</f>
        <v>0028Y841</v>
      </c>
      <c r="H14236" s="1" t="str">
        <f>"동구지 48R6"</f>
        <v>동구지 48R6</v>
      </c>
      <c r="I14236" s="1" t="s">
        <v>15</v>
      </c>
      <c r="J14236" s="1" t="str">
        <f>"50/51"</f>
        <v>50/51</v>
      </c>
      <c r="K14236" s="1" t="str">
        <f>"2026-07-29 14:20:30"</f>
        <v>2026-07-29 14:20:30</v>
      </c>
      <c r="L14236" s="1" t="str">
        <f>"2023-09-18 13:48:33"</f>
        <v>2023-09-18 13:48:33</v>
      </c>
      <c r="M14236" s="1" t="s">
        <v>4</v>
      </c>
      <c r="N14236" s="1" t="s">
        <v>38</v>
      </c>
      <c r="O14236" s="1" t="s">
        <v>46</v>
      </c>
    </row>
    <row r="14237" spans="2:15" x14ac:dyDescent="0.3">
      <c r="B14237" s="1" t="s">
        <v>19</v>
      </c>
      <c r="C14237" s="1" t="str">
        <f>"5-2차"</f>
        <v>5-2차</v>
      </c>
      <c r="D14237" s="1" t="str">
        <f>"0028Y8515S"</f>
        <v>0028Y8515S</v>
      </c>
      <c r="E14237" s="1" t="s">
        <v>10</v>
      </c>
      <c r="F14237" s="1" t="str">
        <f>"fde1:103:4:585e:0:0:0:2"</f>
        <v>fde1:103:4:585e:0:0:0:2</v>
      </c>
      <c r="G14237" s="1" t="str">
        <f>"0028Y851"</f>
        <v>0028Y851</v>
      </c>
      <c r="H14237" s="1" t="str">
        <f>"동구지 48R7L1"</f>
        <v>동구지 48R7L1</v>
      </c>
      <c r="I14237" s="1" t="s">
        <v>15</v>
      </c>
      <c r="J14237" s="1" t="str">
        <f>"26/35"</f>
        <v>26/35</v>
      </c>
      <c r="K14237" s="1" t="str">
        <f>"2026-07-29 14:20:26"</f>
        <v>2026-07-29 14:20:26</v>
      </c>
      <c r="L14237" s="1" t="str">
        <f>"2023-09-18 14:02:27"</f>
        <v>2023-09-18 14:02:27</v>
      </c>
      <c r="M14237" s="1" t="s">
        <v>4</v>
      </c>
      <c r="N14237" s="1" t="s">
        <v>38</v>
      </c>
      <c r="O14237" s="1" t="s">
        <v>46</v>
      </c>
    </row>
    <row r="14238" spans="2:15" x14ac:dyDescent="0.3">
      <c r="B14238" s="1" t="s">
        <v>19</v>
      </c>
      <c r="C14238" s="1" t="str">
        <f>"5-2차"</f>
        <v>5-2차</v>
      </c>
      <c r="D14238" s="1" t="str">
        <f>"0028Y8525S"</f>
        <v>0028Y8525S</v>
      </c>
      <c r="E14238" s="1" t="s">
        <v>10</v>
      </c>
      <c r="F14238" s="1" t="str">
        <f>"fde1:103:4:5831:0:0:0:2"</f>
        <v>fde1:103:4:5831:0:0:0:2</v>
      </c>
      <c r="G14238" s="1" t="str">
        <f>"0028Y852"</f>
        <v>0028Y852</v>
      </c>
      <c r="H14238" s="1" t="str">
        <f>"동구지 48R8"</f>
        <v>동구지 48R8</v>
      </c>
      <c r="I14238" s="1" t="s">
        <v>15</v>
      </c>
      <c r="J14238" s="1" t="str">
        <f>"61/61"</f>
        <v>61/61</v>
      </c>
      <c r="K14238" s="1" t="str">
        <f>"2026-07-29 14:20:11"</f>
        <v>2026-07-29 14:20:11</v>
      </c>
      <c r="L14238" s="1" t="str">
        <f>"2023-09-18 14:03:38"</f>
        <v>2023-09-18 14:03:38</v>
      </c>
      <c r="M14238" s="1" t="s">
        <v>4</v>
      </c>
      <c r="N14238" s="1" t="s">
        <v>38</v>
      </c>
      <c r="O14238" s="1" t="s">
        <v>46</v>
      </c>
    </row>
    <row r="14239" spans="2:15" x14ac:dyDescent="0.3">
      <c r="B14239" s="1" t="s">
        <v>19</v>
      </c>
      <c r="C14239" s="1" t="str">
        <f>"4차"</f>
        <v>4차</v>
      </c>
      <c r="D14239" s="1" t="str">
        <f>"0028Y92341"</f>
        <v>0028Y92341</v>
      </c>
      <c r="E14239" s="1" t="s">
        <v>10</v>
      </c>
      <c r="F14239" s="1" t="str">
        <f>"10.14.2.17"</f>
        <v>10.14.2.17</v>
      </c>
      <c r="G14239" s="1" t="str">
        <f>"0028Y923"</f>
        <v>0028Y923</v>
      </c>
      <c r="H14239" s="1" t="str">
        <f>"동구지 48R4"</f>
        <v>동구지 48R4</v>
      </c>
      <c r="I14239" s="1" t="s">
        <v>17</v>
      </c>
      <c r="J14239" s="1" t="str">
        <f>"35/36"</f>
        <v>35/36</v>
      </c>
      <c r="K14239" s="1" t="str">
        <f>"2026-07-29 13:18:02"</f>
        <v>2026-07-29 13:18:02</v>
      </c>
      <c r="L14239" s="1" t="str">
        <f>"2021-06-14 14:13:09"</f>
        <v>2021-06-14 14:13:09</v>
      </c>
      <c r="M14239" s="1" t="s">
        <v>3</v>
      </c>
      <c r="N14239" s="1" t="s">
        <v>38</v>
      </c>
      <c r="O14239" s="1" t="s">
        <v>46</v>
      </c>
    </row>
    <row r="14240" spans="2:15" x14ac:dyDescent="0.3">
      <c r="B14240" s="1" t="s">
        <v>19</v>
      </c>
      <c r="C14240" s="1" t="str">
        <f>"1차"</f>
        <v>1차</v>
      </c>
      <c r="D14240" s="1" t="str">
        <f>"0028Z33400"</f>
        <v>0028Z33400</v>
      </c>
      <c r="E14240" s="1" t="s">
        <v>10</v>
      </c>
      <c r="F14240" s="1" t="str">
        <f>"10.107.4.191"</f>
        <v>10.107.4.191</v>
      </c>
      <c r="G14240" s="1" t="str">
        <f>"0028Z334"</f>
        <v>0028Z334</v>
      </c>
      <c r="H14240" s="1" t="str">
        <f>"북악간 59R4"</f>
        <v>북악간 59R4</v>
      </c>
      <c r="I14240" s="1" t="s">
        <v>8</v>
      </c>
      <c r="J14240" s="1" t="str">
        <f>"3/3"</f>
        <v>3/3</v>
      </c>
      <c r="K14240" s="1" t="str">
        <f>"2026-07-29 13:18:01"</f>
        <v>2026-07-29 13:18:01</v>
      </c>
      <c r="L14240" s="1" t="str">
        <f>"2014-11-18 11:23:07"</f>
        <v>2014-11-18 11:23:07</v>
      </c>
      <c r="M14240" s="1" t="s">
        <v>45</v>
      </c>
      <c r="N14240" s="1" t="s">
        <v>38</v>
      </c>
      <c r="O14240" s="1" t="s">
        <v>46</v>
      </c>
    </row>
    <row r="14241" spans="2:15" x14ac:dyDescent="0.3">
      <c r="B14241" s="1" t="s">
        <v>19</v>
      </c>
      <c r="C14241" s="1" t="str">
        <f>"5-2차"</f>
        <v>5-2차</v>
      </c>
      <c r="D14241" s="1" t="str">
        <f>"0028Z5315M"</f>
        <v>0028Z5315M</v>
      </c>
      <c r="E14241" s="1" t="s">
        <v>10</v>
      </c>
      <c r="F14241" s="1" t="str">
        <f>"fde1:103:4:5a3e:0:0:0:2"</f>
        <v>fde1:103:4:5a3e:0:0:0:2</v>
      </c>
      <c r="G14241" s="1" t="str">
        <f>"0028Z531"</f>
        <v>0028Z531</v>
      </c>
      <c r="H14241" s="1" t="str">
        <f>"북악간 59R1L2"</f>
        <v>북악간 59R1L2</v>
      </c>
      <c r="I14241" s="1" t="s">
        <v>15</v>
      </c>
      <c r="J14241" s="1" t="str">
        <f>"57/57"</f>
        <v>57/57</v>
      </c>
      <c r="K14241" s="1" t="str">
        <f>"2026-07-29 14:20:11"</f>
        <v>2026-07-29 14:20:11</v>
      </c>
      <c r="L14241" s="1" t="str">
        <f>"2023-09-18 14:26:29"</f>
        <v>2023-09-18 14:26:29</v>
      </c>
      <c r="M14241" s="1" t="s">
        <v>4</v>
      </c>
      <c r="N14241" s="1" t="s">
        <v>38</v>
      </c>
      <c r="O14241" s="1" t="s">
        <v>46</v>
      </c>
    </row>
    <row r="14242" spans="2:15" x14ac:dyDescent="0.3">
      <c r="B14242" s="1" t="s">
        <v>19</v>
      </c>
      <c r="C14242" s="1" t="str">
        <f>"5-2차"</f>
        <v>5-2차</v>
      </c>
      <c r="D14242" s="1" t="str">
        <f>"0028Z7315S"</f>
        <v>0028Z7315S</v>
      </c>
      <c r="E14242" s="1" t="s">
        <v>10</v>
      </c>
      <c r="F14242" s="1" t="str">
        <f>"fde1:103:4:5906:0:0:0:2"</f>
        <v>fde1:103:4:5906:0:0:0:2</v>
      </c>
      <c r="G14242" s="1" t="str">
        <f>"0028Z731"</f>
        <v>0028Z731</v>
      </c>
      <c r="H14242" s="1" t="str">
        <f>"북악간 59R1L5"</f>
        <v>북악간 59R1L5</v>
      </c>
      <c r="I14242" s="1" t="s">
        <v>15</v>
      </c>
      <c r="J14242" s="1" t="str">
        <f>"56/56"</f>
        <v>56/56</v>
      </c>
      <c r="K14242" s="1" t="str">
        <f>"2026-07-29 14:20:25"</f>
        <v>2026-07-29 14:20:25</v>
      </c>
      <c r="L14242" s="1" t="str">
        <f>"2023-09-18 14:27:23"</f>
        <v>2023-09-18 14:27:23</v>
      </c>
      <c r="M14242" s="1" t="s">
        <v>4</v>
      </c>
      <c r="N14242" s="1" t="s">
        <v>38</v>
      </c>
      <c r="O14242" s="1" t="s">
        <v>46</v>
      </c>
    </row>
    <row r="14243" spans="2:15" x14ac:dyDescent="0.3">
      <c r="B14243" s="1" t="s">
        <v>19</v>
      </c>
      <c r="C14243" s="1" t="str">
        <f>"4차"</f>
        <v>4차</v>
      </c>
      <c r="D14243" s="1" t="str">
        <f>"0028Z83344"</f>
        <v>0028Z83344</v>
      </c>
      <c r="E14243" s="1" t="s">
        <v>10</v>
      </c>
      <c r="F14243" s="1" t="str">
        <f>"10.107.12.139"</f>
        <v>10.107.12.139</v>
      </c>
      <c r="G14243" s="1" t="str">
        <f>"0028Z833"</f>
        <v>0028Z833</v>
      </c>
      <c r="H14243" s="1" t="str">
        <f>"동미간 59"</f>
        <v>동미간 59</v>
      </c>
      <c r="I14243" s="1" t="s">
        <v>8</v>
      </c>
      <c r="J14243" s="1" t="str">
        <f>"15/15"</f>
        <v>15/15</v>
      </c>
      <c r="K14243" s="1" t="str">
        <f>"2026-07-29 13:18:01"</f>
        <v>2026-07-29 13:18:01</v>
      </c>
      <c r="L14243" s="1" t="str">
        <f>"2019-12-16 15:30:04"</f>
        <v>2019-12-16 15:30:04</v>
      </c>
      <c r="M14243" s="1" t="s">
        <v>45</v>
      </c>
      <c r="N14243" s="1" t="s">
        <v>38</v>
      </c>
      <c r="O14243" s="1" t="s">
        <v>46</v>
      </c>
    </row>
    <row r="14244" spans="2:15" x14ac:dyDescent="0.3">
      <c r="B14244" s="1" t="s">
        <v>19</v>
      </c>
      <c r="C14244" s="1" t="str">
        <f>"4차"</f>
        <v>4차</v>
      </c>
      <c r="D14244" s="1" t="str">
        <f>"0029F69141"</f>
        <v>0029F69141</v>
      </c>
      <c r="E14244" s="1" t="s">
        <v>10</v>
      </c>
      <c r="F14244" s="1" t="str">
        <f>"10.14.1.23"</f>
        <v>10.14.1.23</v>
      </c>
      <c r="G14244" s="1" t="str">
        <f>"0029F691"</f>
        <v>0029F691</v>
      </c>
      <c r="H14244" s="1" t="str">
        <f>"화계지 57R8"</f>
        <v>화계지 57R8</v>
      </c>
      <c r="I14244" s="1" t="s">
        <v>17</v>
      </c>
      <c r="J14244" s="1" t="str">
        <f>"12/19"</f>
        <v>12/19</v>
      </c>
      <c r="K14244" s="1" t="str">
        <f>"2026-07-29 13:18:02"</f>
        <v>2026-07-29 13:18:02</v>
      </c>
      <c r="L14244" s="1" t="str">
        <f>"2021-06-15 16:00:33"</f>
        <v>2021-06-15 16:00:33</v>
      </c>
      <c r="M14244" s="1" t="s">
        <v>3</v>
      </c>
      <c r="N14244" s="1" t="s">
        <v>38</v>
      </c>
      <c r="O14244" s="1" t="s">
        <v>46</v>
      </c>
    </row>
    <row r="14245" spans="2:15" x14ac:dyDescent="0.3">
      <c r="B14245" s="1" t="s">
        <v>19</v>
      </c>
      <c r="C14245" s="1" t="str">
        <f>"4차"</f>
        <v>4차</v>
      </c>
      <c r="D14245" s="1" t="str">
        <f>"0029F88344"</f>
        <v>0029F88344</v>
      </c>
      <c r="E14245" s="1" t="s">
        <v>10</v>
      </c>
      <c r="F14245" s="1" t="str">
        <f>"10.107.120.211"</f>
        <v>10.107.120.211</v>
      </c>
      <c r="G14245" s="1" t="str">
        <f>"0029F883"</f>
        <v>0029F883</v>
      </c>
      <c r="H14245" s="1" t="str">
        <f>"화계지 57R3L2R4"</f>
        <v>화계지 57R3L2R4</v>
      </c>
      <c r="I14245" s="1" t="s">
        <v>8</v>
      </c>
      <c r="J14245" s="1" t="str">
        <f>"48/48"</f>
        <v>48/48</v>
      </c>
      <c r="K14245" s="1" t="str">
        <f>"2026-07-29 13:18:01"</f>
        <v>2026-07-29 13:18:01</v>
      </c>
      <c r="L14245" s="1" t="str">
        <f>"2019-12-13 09:11:22"</f>
        <v>2019-12-13 09:11:22</v>
      </c>
      <c r="M14245" s="1" t="s">
        <v>45</v>
      </c>
      <c r="N14245" s="1" t="s">
        <v>38</v>
      </c>
      <c r="O14245" s="1" t="s">
        <v>46</v>
      </c>
    </row>
    <row r="14246" spans="2:15" x14ac:dyDescent="0.3">
      <c r="B14246" s="1" t="s">
        <v>19</v>
      </c>
      <c r="C14246" s="1" t="str">
        <f>"4차"</f>
        <v>4차</v>
      </c>
      <c r="D14246" s="1" t="str">
        <f>"0029F98244"</f>
        <v>0029F98244</v>
      </c>
      <c r="E14246" s="1" t="s">
        <v>10</v>
      </c>
      <c r="F14246" s="1" t="str">
        <f>"10.107.120.212"</f>
        <v>10.107.120.212</v>
      </c>
      <c r="G14246" s="1" t="str">
        <f>"0029F982"</f>
        <v>0029F982</v>
      </c>
      <c r="H14246" s="1" t="str">
        <f>"화계지 57R3L2R2"</f>
        <v>화계지 57R3L2R2</v>
      </c>
      <c r="I14246" s="1" t="s">
        <v>8</v>
      </c>
      <c r="J14246" s="1" t="str">
        <f>"45/50"</f>
        <v>45/50</v>
      </c>
      <c r="K14246" s="1" t="str">
        <f>"2026-07-29 13:18:01"</f>
        <v>2026-07-29 13:18:01</v>
      </c>
      <c r="L14246" s="1" t="str">
        <f>"2019-12-13 09:17:43"</f>
        <v>2019-12-13 09:17:43</v>
      </c>
      <c r="M14246" s="1" t="s">
        <v>45</v>
      </c>
      <c r="N14246" s="1" t="s">
        <v>38</v>
      </c>
      <c r="O14246" s="1" t="s">
        <v>46</v>
      </c>
    </row>
    <row r="14247" spans="2:15" x14ac:dyDescent="0.3">
      <c r="B14247" s="1" t="s">
        <v>19</v>
      </c>
      <c r="C14247" s="1" t="str">
        <f t="shared" ref="C14247:C14253" si="724">"5-2차"</f>
        <v>5-2차</v>
      </c>
      <c r="D14247" s="1" t="str">
        <f>"0029H6615S"</f>
        <v>0029H6615S</v>
      </c>
      <c r="E14247" s="1" t="s">
        <v>10</v>
      </c>
      <c r="F14247" s="1" t="str">
        <f>"fde3:102:1410:1600:0:0:0:8"</f>
        <v>fde3:102:1410:1600:0:0:0:8</v>
      </c>
      <c r="G14247" s="1" t="str">
        <f>"0029H661"</f>
        <v>0029H661</v>
      </c>
      <c r="H14247" s="1" t="str">
        <f>"삼원간 51R23R4"</f>
        <v>삼원간 51R23R4</v>
      </c>
      <c r="I14247" s="1" t="s">
        <v>15</v>
      </c>
      <c r="J14247" s="1" t="str">
        <f>"42/42"</f>
        <v>42/42</v>
      </c>
      <c r="K14247" s="1" t="str">
        <f>"2026-07-29 14:20:17"</f>
        <v>2026-07-29 14:20:17</v>
      </c>
      <c r="L14247" s="1" t="str">
        <f>"2023-06-19 14:15:22"</f>
        <v>2023-06-19 14:15:22</v>
      </c>
      <c r="M14247" s="1" t="s">
        <v>45</v>
      </c>
      <c r="N14247" s="1" t="s">
        <v>38</v>
      </c>
      <c r="O14247" s="1" t="s">
        <v>46</v>
      </c>
    </row>
    <row r="14248" spans="2:15" x14ac:dyDescent="0.3">
      <c r="B14248" s="1" t="s">
        <v>19</v>
      </c>
      <c r="C14248" s="1" t="str">
        <f t="shared" si="724"/>
        <v>5-2차</v>
      </c>
      <c r="D14248" s="1" t="str">
        <f>"0029H7625M"</f>
        <v>0029H7625M</v>
      </c>
      <c r="E14248" s="1" t="s">
        <v>10</v>
      </c>
      <c r="F14248" s="1" t="str">
        <f>"fde3:102:1410:1600:0:0:0:a"</f>
        <v>fde3:102:1410:1600:0:0:0:a</v>
      </c>
      <c r="G14248" s="1" t="str">
        <f>"0029H762"</f>
        <v>0029H762</v>
      </c>
      <c r="H14248" s="1" t="str">
        <f>"삼원간 51R23R3L2"</f>
        <v>삼원간 51R23R3L2</v>
      </c>
      <c r="I14248" s="1" t="s">
        <v>15</v>
      </c>
      <c r="J14248" s="1" t="str">
        <f>"55/55"</f>
        <v>55/55</v>
      </c>
      <c r="K14248" s="1" t="str">
        <f>"2026-07-28 20:03:27"</f>
        <v>2026-07-28 20:03:27</v>
      </c>
      <c r="L14248" s="1" t="str">
        <f>"2023-06-19 18:32:07"</f>
        <v>2023-06-19 18:32:07</v>
      </c>
      <c r="M14248" s="1" t="s">
        <v>45</v>
      </c>
      <c r="N14248" s="1" t="s">
        <v>38</v>
      </c>
      <c r="O14248" s="1" t="s">
        <v>46</v>
      </c>
    </row>
    <row r="14249" spans="2:15" x14ac:dyDescent="0.3">
      <c r="B14249" s="1" t="s">
        <v>19</v>
      </c>
      <c r="C14249" s="1" t="str">
        <f t="shared" si="724"/>
        <v>5-2차</v>
      </c>
      <c r="D14249" s="1" t="str">
        <f>"0029H8325M"</f>
        <v>0029H8325M</v>
      </c>
      <c r="E14249" s="1" t="s">
        <v>10</v>
      </c>
      <c r="F14249" s="1" t="str">
        <f>"fde3:102:1410:1600:0:0:0:c"</f>
        <v>fde3:102:1410:1600:0:0:0:c</v>
      </c>
      <c r="G14249" s="1" t="str">
        <f>"0029H832"</f>
        <v>0029H832</v>
      </c>
      <c r="H14249" s="1" t="str">
        <f>"삼원간 51R27R3"</f>
        <v>삼원간 51R27R3</v>
      </c>
      <c r="I14249" s="1" t="s">
        <v>15</v>
      </c>
      <c r="J14249" s="1" t="str">
        <f>"36/37"</f>
        <v>36/37</v>
      </c>
      <c r="K14249" s="1" t="str">
        <f>"2026-07-29 14:20:25"</f>
        <v>2026-07-29 14:20:25</v>
      </c>
      <c r="L14249" s="1" t="str">
        <f>"2023-11-06 17:51:40"</f>
        <v>2023-11-06 17:51:40</v>
      </c>
      <c r="M14249" s="1" t="s">
        <v>45</v>
      </c>
      <c r="N14249" s="1" t="s">
        <v>38</v>
      </c>
      <c r="O14249" s="1" t="s">
        <v>46</v>
      </c>
    </row>
    <row r="14250" spans="2:15" x14ac:dyDescent="0.3">
      <c r="B14250" s="1" t="s">
        <v>19</v>
      </c>
      <c r="C14250" s="1" t="str">
        <f t="shared" si="724"/>
        <v>5-2차</v>
      </c>
      <c r="D14250" s="1" t="str">
        <f>"0029H8515M"</f>
        <v>0029H8515M</v>
      </c>
      <c r="E14250" s="1" t="s">
        <v>10</v>
      </c>
      <c r="F14250" s="1" t="str">
        <f>"fde3:102:1410:1600:0:0:0:b"</f>
        <v>fde3:102:1410:1600:0:0:0:b</v>
      </c>
      <c r="G14250" s="1" t="str">
        <f>"0029H851"</f>
        <v>0029H851</v>
      </c>
      <c r="H14250" s="1" t="str">
        <f>"삼원간 51R26"</f>
        <v>삼원간 51R26</v>
      </c>
      <c r="I14250" s="1" t="s">
        <v>15</v>
      </c>
      <c r="J14250" s="1" t="str">
        <f>"53/53"</f>
        <v>53/53</v>
      </c>
      <c r="K14250" s="1" t="str">
        <f>"2026-07-28 20:03:27"</f>
        <v>2026-07-28 20:03:27</v>
      </c>
      <c r="L14250" s="1" t="str">
        <f>"2023-11-06 17:56:49"</f>
        <v>2023-11-06 17:56:49</v>
      </c>
      <c r="M14250" s="1" t="s">
        <v>45</v>
      </c>
      <c r="N14250" s="1" t="s">
        <v>38</v>
      </c>
      <c r="O14250" s="1" t="s">
        <v>46</v>
      </c>
    </row>
    <row r="14251" spans="2:15" x14ac:dyDescent="0.3">
      <c r="B14251" s="1" t="s">
        <v>19</v>
      </c>
      <c r="C14251" s="1" t="str">
        <f t="shared" si="724"/>
        <v>5-2차</v>
      </c>
      <c r="D14251" s="1" t="str">
        <f>"0029H8615M"</f>
        <v>0029H8615M</v>
      </c>
      <c r="E14251" s="1" t="s">
        <v>10</v>
      </c>
      <c r="F14251" s="1" t="str">
        <f>"fde3:102:1410:1600:0:0:0:9"</f>
        <v>fde3:102:1410:1600:0:0:0:9</v>
      </c>
      <c r="G14251" s="1" t="str">
        <f>"0029H861"</f>
        <v>0029H861</v>
      </c>
      <c r="H14251" s="1" t="str">
        <f>"삼원간 51R25"</f>
        <v>삼원간 51R25</v>
      </c>
      <c r="I14251" s="1" t="s">
        <v>15</v>
      </c>
      <c r="J14251" s="1" t="str">
        <f>"62/62"</f>
        <v>62/62</v>
      </c>
      <c r="K14251" s="1" t="str">
        <f>"2026-07-28 20:03:27"</f>
        <v>2026-07-28 20:03:27</v>
      </c>
      <c r="L14251" s="1" t="str">
        <f>"2023-11-06 17:59:51"</f>
        <v>2023-11-06 17:59:51</v>
      </c>
      <c r="M14251" s="1" t="s">
        <v>45</v>
      </c>
      <c r="N14251" s="1" t="s">
        <v>38</v>
      </c>
      <c r="O14251" s="1" t="s">
        <v>46</v>
      </c>
    </row>
    <row r="14252" spans="2:15" x14ac:dyDescent="0.3">
      <c r="B14252" s="1" t="s">
        <v>19</v>
      </c>
      <c r="C14252" s="1" t="str">
        <f t="shared" si="724"/>
        <v>5-2차</v>
      </c>
      <c r="D14252" s="1" t="str">
        <f>"0029H8745M"</f>
        <v>0029H8745M</v>
      </c>
      <c r="E14252" s="1" t="s">
        <v>10</v>
      </c>
      <c r="F14252" s="1" t="str">
        <f>"fde3:102:1410:1600:0:0:0:6"</f>
        <v>fde3:102:1410:1600:0:0:0:6</v>
      </c>
      <c r="G14252" s="1" t="str">
        <f>"0029H874"</f>
        <v>0029H874</v>
      </c>
      <c r="H14252" s="1" t="str">
        <f>"삼원간 51R23"</f>
        <v>삼원간 51R23</v>
      </c>
      <c r="I14252" s="1" t="s">
        <v>15</v>
      </c>
      <c r="J14252" s="1" t="str">
        <f>"56/56"</f>
        <v>56/56</v>
      </c>
      <c r="K14252" s="1" t="str">
        <f>"2026-07-28 20:03:35"</f>
        <v>2026-07-28 20:03:35</v>
      </c>
      <c r="L14252" s="1" t="str">
        <f>"2023-06-19 18:31:16"</f>
        <v>2023-06-19 18:31:16</v>
      </c>
      <c r="M14252" s="1" t="s">
        <v>45</v>
      </c>
      <c r="N14252" s="1" t="s">
        <v>38</v>
      </c>
      <c r="O14252" s="1" t="s">
        <v>46</v>
      </c>
    </row>
    <row r="14253" spans="2:15" x14ac:dyDescent="0.3">
      <c r="B14253" s="1" t="s">
        <v>19</v>
      </c>
      <c r="C14253" s="1" t="str">
        <f t="shared" si="724"/>
        <v>5-2차</v>
      </c>
      <c r="D14253" s="1" t="str">
        <f>"0029H8755S"</f>
        <v>0029H8755S</v>
      </c>
      <c r="E14253" s="1" t="s">
        <v>10</v>
      </c>
      <c r="F14253" s="1" t="str">
        <f>"fde3:102:1410:1600:0:0:0:7"</f>
        <v>fde3:102:1410:1600:0:0:0:7</v>
      </c>
      <c r="G14253" s="1" t="str">
        <f>"0029H875"</f>
        <v>0029H875</v>
      </c>
      <c r="H14253" s="1" t="str">
        <f>"삼원간 51R23R1"</f>
        <v>삼원간 51R23R1</v>
      </c>
      <c r="I14253" s="1" t="s">
        <v>15</v>
      </c>
      <c r="J14253" s="1" t="str">
        <f>"41/41"</f>
        <v>41/41</v>
      </c>
      <c r="K14253" s="1" t="str">
        <f>"2026-07-29 14:20:25"</f>
        <v>2026-07-29 14:20:25</v>
      </c>
      <c r="L14253" s="1" t="str">
        <f>"2023-06-19 14:18:34"</f>
        <v>2023-06-19 14:18:34</v>
      </c>
      <c r="M14253" s="1" t="s">
        <v>45</v>
      </c>
      <c r="N14253" s="1" t="s">
        <v>38</v>
      </c>
      <c r="O14253" s="1" t="s">
        <v>46</v>
      </c>
    </row>
    <row r="14254" spans="2:15" x14ac:dyDescent="0.3">
      <c r="B14254" s="1" t="s">
        <v>19</v>
      </c>
      <c r="C14254" s="1" t="str">
        <f>"3차"</f>
        <v>3차</v>
      </c>
      <c r="D14254" s="1" t="str">
        <f>"0029H90339"</f>
        <v>0029H90339</v>
      </c>
      <c r="E14254" s="1" t="s">
        <v>10</v>
      </c>
      <c r="F14254" s="1" t="str">
        <f>"10.107.123.69"</f>
        <v>10.107.123.69</v>
      </c>
      <c r="G14254" s="1" t="str">
        <f>"0029H903"</f>
        <v>0029H903</v>
      </c>
      <c r="H14254" s="1" t="str">
        <f>"시장지 17R3"</f>
        <v>시장지 17R3</v>
      </c>
      <c r="I14254" s="1" t="s">
        <v>8</v>
      </c>
      <c r="J14254" s="1" t="str">
        <f>"55/59"</f>
        <v>55/59</v>
      </c>
      <c r="K14254" s="1" t="str">
        <f>"2026-07-29 13:18:01"</f>
        <v>2026-07-29 13:18:01</v>
      </c>
      <c r="L14254" s="1" t="str">
        <f>"2018-07-25 17:58:39"</f>
        <v>2018-07-25 17:58:39</v>
      </c>
      <c r="M14254" s="1" t="s">
        <v>45</v>
      </c>
      <c r="N14254" s="1" t="s">
        <v>38</v>
      </c>
      <c r="O14254" s="1" t="s">
        <v>46</v>
      </c>
    </row>
    <row r="14255" spans="2:15" x14ac:dyDescent="0.3">
      <c r="B14255" s="1" t="s">
        <v>19</v>
      </c>
      <c r="C14255" s="1" t="str">
        <f>"3차"</f>
        <v>3차</v>
      </c>
      <c r="D14255" s="1" t="str">
        <f>"0029H91139"</f>
        <v>0029H91139</v>
      </c>
      <c r="E14255" s="1" t="s">
        <v>10</v>
      </c>
      <c r="F14255" s="1" t="str">
        <f>"10.107.123.68"</f>
        <v>10.107.123.68</v>
      </c>
      <c r="G14255" s="1" t="str">
        <f>"0029H911"</f>
        <v>0029H911</v>
      </c>
      <c r="H14255" s="1" t="str">
        <f>"시장지 17R2"</f>
        <v>시장지 17R2</v>
      </c>
      <c r="I14255" s="1" t="s">
        <v>8</v>
      </c>
      <c r="J14255" s="1" t="str">
        <f>"86/86"</f>
        <v>86/86</v>
      </c>
      <c r="K14255" s="1" t="str">
        <f>"2026-07-29 13:18:01"</f>
        <v>2026-07-29 13:18:01</v>
      </c>
      <c r="L14255" s="1" t="str">
        <f>"2018-06-15 11:41:55"</f>
        <v>2018-06-15 11:41:55</v>
      </c>
      <c r="M14255" s="1" t="s">
        <v>45</v>
      </c>
      <c r="N14255" s="1" t="s">
        <v>38</v>
      </c>
      <c r="O14255" s="1" t="s">
        <v>46</v>
      </c>
    </row>
    <row r="14256" spans="2:15" x14ac:dyDescent="0.3">
      <c r="B14256" s="1" t="s">
        <v>19</v>
      </c>
      <c r="C14256" s="1" t="str">
        <f>"5-1차"</f>
        <v>5-1차</v>
      </c>
      <c r="D14256" s="1" t="str">
        <f>"0029H9545S"</f>
        <v>0029H9545S</v>
      </c>
      <c r="E14256" s="1" t="s">
        <v>10</v>
      </c>
      <c r="F14256" s="1" t="str">
        <f>"fde2:104:0:72:0:0:0:2"</f>
        <v>fde2:104:0:72:0:0:0:2</v>
      </c>
      <c r="G14256" s="1" t="str">
        <f>"0029H954"</f>
        <v>0029H954</v>
      </c>
      <c r="H14256" s="1" t="str">
        <f>"삼원간 51R28"</f>
        <v>삼원간 51R28</v>
      </c>
      <c r="I14256" s="1" t="s">
        <v>15</v>
      </c>
      <c r="J14256" s="1" t="str">
        <f>"86/86"</f>
        <v>86/86</v>
      </c>
      <c r="K14256" s="1" t="str">
        <f>"2026-07-29 14:20:27"</f>
        <v>2026-07-29 14:20:27</v>
      </c>
      <c r="L14256" s="1" t="str">
        <f>"2022-08-22 10:16:44"</f>
        <v>2022-08-22 10:16:44</v>
      </c>
      <c r="M14256" s="1" t="s">
        <v>42</v>
      </c>
      <c r="N14256" s="1" t="s">
        <v>38</v>
      </c>
      <c r="O14256" s="1" t="s">
        <v>46</v>
      </c>
    </row>
    <row r="14257" spans="2:15" x14ac:dyDescent="0.3">
      <c r="B14257" s="1" t="s">
        <v>19</v>
      </c>
      <c r="C14257" s="1" t="str">
        <f>"5-1차"</f>
        <v>5-1차</v>
      </c>
      <c r="D14257" s="1" t="str">
        <f>"0029S5625M"</f>
        <v>0029S5625M</v>
      </c>
      <c r="E14257" s="1" t="s">
        <v>10</v>
      </c>
      <c r="F14257" s="1" t="str">
        <f>"fde2:104:0:73:0:0:0:2"</f>
        <v>fde2:104:0:73:0:0:0:2</v>
      </c>
      <c r="G14257" s="1" t="str">
        <f>"0029S562"</f>
        <v>0029S562</v>
      </c>
      <c r="H14257" s="1" t="str">
        <f>"대일지 50L12"</f>
        <v>대일지 50L12</v>
      </c>
      <c r="I14257" s="1" t="s">
        <v>15</v>
      </c>
      <c r="J14257" s="1" t="str">
        <f>"66/66"</f>
        <v>66/66</v>
      </c>
      <c r="K14257" s="1" t="str">
        <f>"2026-07-29 14:20:28"</f>
        <v>2026-07-29 14:20:28</v>
      </c>
      <c r="L14257" s="1" t="str">
        <f>"2022-08-26 10:46:52"</f>
        <v>2022-08-26 10:46:52</v>
      </c>
      <c r="M14257" s="1" t="s">
        <v>42</v>
      </c>
      <c r="N14257" s="1" t="s">
        <v>38</v>
      </c>
      <c r="O14257" s="1" t="s">
        <v>46</v>
      </c>
    </row>
    <row r="14258" spans="2:15" x14ac:dyDescent="0.3">
      <c r="B14258" s="1" t="s">
        <v>19</v>
      </c>
      <c r="C14258" s="1" t="str">
        <f>"1차"</f>
        <v>1차</v>
      </c>
      <c r="D14258" s="1" t="str">
        <f>"0029S56300"</f>
        <v>0029S56300</v>
      </c>
      <c r="E14258" s="1" t="s">
        <v>10</v>
      </c>
      <c r="F14258" s="1" t="str">
        <f>"10.107.123.187"</f>
        <v>10.107.123.187</v>
      </c>
      <c r="G14258" s="1" t="str">
        <f>"0029S563"</f>
        <v>0029S563</v>
      </c>
      <c r="H14258" s="1" t="str">
        <f>"대일지 50L11"</f>
        <v>대일지 50L11</v>
      </c>
      <c r="I14258" s="1" t="s">
        <v>8</v>
      </c>
      <c r="J14258" s="1" t="str">
        <f>"31/31"</f>
        <v>31/31</v>
      </c>
      <c r="K14258" s="1" t="str">
        <f>"2026-07-29 13:18:01"</f>
        <v>2026-07-29 13:18:01</v>
      </c>
      <c r="L14258" s="1" t="str">
        <f>"2014-11-18 11:24:45"</f>
        <v>2014-11-18 11:24:45</v>
      </c>
      <c r="M14258" s="1" t="s">
        <v>45</v>
      </c>
      <c r="N14258" s="1" t="s">
        <v>38</v>
      </c>
      <c r="O14258" s="1" t="s">
        <v>46</v>
      </c>
    </row>
    <row r="14259" spans="2:15" x14ac:dyDescent="0.3">
      <c r="B14259" s="1" t="s">
        <v>19</v>
      </c>
      <c r="C14259" s="1" t="str">
        <f>"1차"</f>
        <v>1차</v>
      </c>
      <c r="D14259" s="1" t="str">
        <f>"0029S58301"</f>
        <v>0029S58301</v>
      </c>
      <c r="E14259" s="1" t="s">
        <v>10</v>
      </c>
      <c r="F14259" s="1" t="str">
        <f>"10.107.123.190"</f>
        <v>10.107.123.190</v>
      </c>
      <c r="G14259" s="1" t="str">
        <f>"0029S583"</f>
        <v>0029S583</v>
      </c>
      <c r="H14259" s="1" t="str">
        <f>"대일지 50L11R5"</f>
        <v>대일지 50L11R5</v>
      </c>
      <c r="I14259" s="1" t="s">
        <v>8</v>
      </c>
      <c r="J14259" s="1" t="str">
        <f>"32/41"</f>
        <v>32/41</v>
      </c>
      <c r="K14259" s="1" t="str">
        <f>"2026-07-29 13:18:01"</f>
        <v>2026-07-29 13:18:01</v>
      </c>
      <c r="L14259" s="1" t="str">
        <f>"2014-11-27 13:17:00"</f>
        <v>2014-11-27 13:17:00</v>
      </c>
      <c r="M14259" s="1" t="s">
        <v>45</v>
      </c>
      <c r="N14259" s="1" t="s">
        <v>38</v>
      </c>
      <c r="O14259" s="1" t="s">
        <v>46</v>
      </c>
    </row>
    <row r="14260" spans="2:15" x14ac:dyDescent="0.3">
      <c r="B14260" s="1" t="s">
        <v>19</v>
      </c>
      <c r="C14260" s="1" t="str">
        <f>"1차"</f>
        <v>1차</v>
      </c>
      <c r="D14260" s="1" t="str">
        <f>"0029S58400"</f>
        <v>0029S58400</v>
      </c>
      <c r="E14260" s="1" t="s">
        <v>10</v>
      </c>
      <c r="F14260" s="1" t="str">
        <f>"10.107.123.189"</f>
        <v>10.107.123.189</v>
      </c>
      <c r="G14260" s="1" t="str">
        <f>"0029S584"</f>
        <v>0029S584</v>
      </c>
      <c r="H14260" s="1" t="str">
        <f>"대일지 50L11R4"</f>
        <v>대일지 50L11R4</v>
      </c>
      <c r="I14260" s="1" t="s">
        <v>8</v>
      </c>
      <c r="J14260" s="1" t="str">
        <f>"91/91"</f>
        <v>91/91</v>
      </c>
      <c r="K14260" s="1" t="str">
        <f>"2026-07-29 13:18:01"</f>
        <v>2026-07-29 13:18:01</v>
      </c>
      <c r="L14260" s="1" t="str">
        <f>"2014-11-18 11:21:43"</f>
        <v>2014-11-18 11:21:43</v>
      </c>
      <c r="M14260" s="1" t="s">
        <v>45</v>
      </c>
      <c r="N14260" s="1" t="s">
        <v>38</v>
      </c>
      <c r="O14260" s="1" t="s">
        <v>46</v>
      </c>
    </row>
    <row r="14261" spans="2:15" x14ac:dyDescent="0.3">
      <c r="B14261" s="1" t="s">
        <v>19</v>
      </c>
      <c r="C14261" s="1" t="str">
        <f>"1차"</f>
        <v>1차</v>
      </c>
      <c r="D14261" s="1" t="str">
        <f>"0029S66201"</f>
        <v>0029S66201</v>
      </c>
      <c r="E14261" s="1" t="s">
        <v>10</v>
      </c>
      <c r="F14261" s="1" t="str">
        <f>"10.12.131.239"</f>
        <v>10.12.131.239</v>
      </c>
      <c r="G14261" s="1" t="str">
        <f>"0029S662"</f>
        <v>0029S662</v>
      </c>
      <c r="H14261" s="1" t="str">
        <f>"대일지 50L11R2"</f>
        <v>대일지 50L11R2</v>
      </c>
      <c r="I14261" s="1" t="s">
        <v>8</v>
      </c>
      <c r="J14261" s="1" t="str">
        <f>"97/99"</f>
        <v>97/99</v>
      </c>
      <c r="K14261" s="1" t="str">
        <f>"2026-07-29 07:18:02"</f>
        <v>2026-07-29 07:18:02</v>
      </c>
      <c r="L14261" s="1" t="str">
        <f>"2014-11-20 16:58:53"</f>
        <v>2014-11-20 16:58:53</v>
      </c>
      <c r="M14261" s="1" t="s">
        <v>0</v>
      </c>
      <c r="N14261" s="1" t="s">
        <v>38</v>
      </c>
      <c r="O14261" s="1" t="s">
        <v>46</v>
      </c>
    </row>
    <row r="14262" spans="2:15" x14ac:dyDescent="0.3">
      <c r="B14262" s="1" t="s">
        <v>19</v>
      </c>
      <c r="C14262" s="1" t="str">
        <f>"5-2차"</f>
        <v>5-2차</v>
      </c>
      <c r="D14262" s="1" t="str">
        <f>"0029S7325S"</f>
        <v>0029S7325S</v>
      </c>
      <c r="E14262" s="1" t="s">
        <v>10</v>
      </c>
      <c r="F14262" s="1" t="str">
        <f>"fde1:103:4:57c4:0:0:0:2"</f>
        <v>fde1:103:4:57c4:0:0:0:2</v>
      </c>
      <c r="G14262" s="1" t="str">
        <f>"0029S732"</f>
        <v>0029S732</v>
      </c>
      <c r="H14262" s="1" t="str">
        <f>"정릉지 52L3"</f>
        <v>정릉지 52L3</v>
      </c>
      <c r="I14262" s="1" t="s">
        <v>15</v>
      </c>
      <c r="J14262" s="1" t="str">
        <f>"45/45"</f>
        <v>45/45</v>
      </c>
      <c r="K14262" s="1" t="str">
        <f>"2026-07-29 14:20:21"</f>
        <v>2026-07-29 14:20:21</v>
      </c>
      <c r="L14262" s="1" t="str">
        <f>"2023-09-18 14:40:46"</f>
        <v>2023-09-18 14:40:46</v>
      </c>
      <c r="M14262" s="1" t="s">
        <v>4</v>
      </c>
      <c r="N14262" s="1" t="s">
        <v>38</v>
      </c>
      <c r="O14262" s="1" t="s">
        <v>46</v>
      </c>
    </row>
    <row r="14263" spans="2:15" x14ac:dyDescent="0.3">
      <c r="B14263" s="1" t="s">
        <v>19</v>
      </c>
      <c r="C14263" s="1" t="str">
        <f>"5-2차"</f>
        <v>5-2차</v>
      </c>
      <c r="D14263" s="1" t="str">
        <f>"0029S8635S"</f>
        <v>0029S8635S</v>
      </c>
      <c r="E14263" s="1" t="s">
        <v>10</v>
      </c>
      <c r="F14263" s="1" t="str">
        <f>"fde1:103:4:5912:0:0:0:2"</f>
        <v>fde1:103:4:5912:0:0:0:2</v>
      </c>
      <c r="G14263" s="1" t="str">
        <f>"0029S863"</f>
        <v>0029S863</v>
      </c>
      <c r="H14263" s="1" t="str">
        <f>"대일지 50L7R3"</f>
        <v>대일지 50L7R3</v>
      </c>
      <c r="I14263" s="1" t="s">
        <v>15</v>
      </c>
      <c r="J14263" s="1" t="str">
        <f>"58/58"</f>
        <v>58/58</v>
      </c>
      <c r="K14263" s="1" t="str">
        <f>"2026-07-29 14:20:26"</f>
        <v>2026-07-29 14:20:26</v>
      </c>
      <c r="L14263" s="1" t="str">
        <f>"2023-09-18 14:41:43"</f>
        <v>2023-09-18 14:41:43</v>
      </c>
      <c r="M14263" s="1" t="s">
        <v>4</v>
      </c>
      <c r="N14263" s="1" t="s">
        <v>38</v>
      </c>
      <c r="O14263" s="1" t="s">
        <v>46</v>
      </c>
    </row>
    <row r="14264" spans="2:15" x14ac:dyDescent="0.3">
      <c r="B14264" s="1" t="s">
        <v>19</v>
      </c>
      <c r="C14264" s="1" t="str">
        <f>"5-2차"</f>
        <v>5-2차</v>
      </c>
      <c r="D14264" s="1" t="str">
        <f>"0029S8735M"</f>
        <v>0029S8735M</v>
      </c>
      <c r="E14264" s="1" t="s">
        <v>10</v>
      </c>
      <c r="F14264" s="1" t="str">
        <f>"fde1:103:4:578d:0:0:0:2"</f>
        <v>fde1:103:4:578d:0:0:0:2</v>
      </c>
      <c r="G14264" s="1" t="str">
        <f>"0029S873"</f>
        <v>0029S873</v>
      </c>
      <c r="H14264" s="1" t="str">
        <f>"대일지 50L7R4"</f>
        <v>대일지 50L7R4</v>
      </c>
      <c r="I14264" s="1" t="s">
        <v>15</v>
      </c>
      <c r="J14264" s="1" t="str">
        <f>"57/57"</f>
        <v>57/57</v>
      </c>
      <c r="K14264" s="1" t="str">
        <f>"2026-07-29 14:20:27"</f>
        <v>2026-07-29 14:20:27</v>
      </c>
      <c r="L14264" s="1" t="str">
        <f>"2023-09-18 15:13:43"</f>
        <v>2023-09-18 15:13:43</v>
      </c>
      <c r="M14264" s="1" t="s">
        <v>4</v>
      </c>
      <c r="N14264" s="1" t="s">
        <v>38</v>
      </c>
      <c r="O14264" s="1" t="s">
        <v>46</v>
      </c>
    </row>
    <row r="14265" spans="2:15" x14ac:dyDescent="0.3">
      <c r="B14265" s="1" t="s">
        <v>19</v>
      </c>
      <c r="C14265" s="1" t="str">
        <f>"5-2차"</f>
        <v>5-2차</v>
      </c>
      <c r="D14265" s="1" t="str">
        <f>"0029S8815M"</f>
        <v>0029S8815M</v>
      </c>
      <c r="E14265" s="1" t="s">
        <v>10</v>
      </c>
      <c r="F14265" s="1" t="str">
        <f>"fde1:103:4:5925:0:0:0:2"</f>
        <v>fde1:103:4:5925:0:0:0:2</v>
      </c>
      <c r="G14265" s="1" t="str">
        <f>"0029S881"</f>
        <v>0029S881</v>
      </c>
      <c r="H14265" s="1" t="str">
        <f>"대일지 50L7R6"</f>
        <v>대일지 50L7R6</v>
      </c>
      <c r="I14265" s="1" t="s">
        <v>15</v>
      </c>
      <c r="J14265" s="1" t="str">
        <f>"49/49"</f>
        <v>49/49</v>
      </c>
      <c r="K14265" s="1" t="str">
        <f>"2026-07-29 14:20:26"</f>
        <v>2026-07-29 14:20:26</v>
      </c>
      <c r="L14265" s="1" t="str">
        <f>"2023-09-18 15:14:09"</f>
        <v>2023-09-18 15:14:09</v>
      </c>
      <c r="M14265" s="1" t="s">
        <v>4</v>
      </c>
      <c r="N14265" s="1" t="s">
        <v>38</v>
      </c>
      <c r="O14265" s="1" t="s">
        <v>46</v>
      </c>
    </row>
    <row r="14266" spans="2:15" x14ac:dyDescent="0.3">
      <c r="B14266" s="1" t="s">
        <v>19</v>
      </c>
      <c r="C14266" s="1" t="str">
        <f>"1차"</f>
        <v>1차</v>
      </c>
      <c r="D14266" s="1" t="str">
        <f>"0029X91100"</f>
        <v>0029X91100</v>
      </c>
      <c r="E14266" s="1" t="s">
        <v>10</v>
      </c>
      <c r="F14266" s="1" t="str">
        <f>"10.107.2.76"</f>
        <v>10.107.2.76</v>
      </c>
      <c r="G14266" s="1" t="str">
        <f>"0029X911"</f>
        <v>0029X911</v>
      </c>
      <c r="H14266" s="1" t="str">
        <f>"삼양지 27"</f>
        <v>삼양지 27</v>
      </c>
      <c r="I14266" s="1" t="s">
        <v>8</v>
      </c>
      <c r="J14266" s="1" t="str">
        <f>"10/10"</f>
        <v>10/10</v>
      </c>
      <c r="K14266" s="1" t="str">
        <f>"2026-07-29 13:18:01"</f>
        <v>2026-07-29 13:18:01</v>
      </c>
      <c r="L14266" s="1" t="str">
        <f>"2014-10-18 15:24:21"</f>
        <v>2014-10-18 15:24:21</v>
      </c>
      <c r="M14266" s="1" t="s">
        <v>45</v>
      </c>
      <c r="N14266" s="1" t="s">
        <v>38</v>
      </c>
      <c r="O14266" s="1" t="s">
        <v>46</v>
      </c>
    </row>
    <row r="14267" spans="2:15" x14ac:dyDescent="0.3">
      <c r="B14267" s="1" t="s">
        <v>19</v>
      </c>
      <c r="C14267" s="1" t="str">
        <f>"5-2차"</f>
        <v>5-2차</v>
      </c>
      <c r="D14267" s="1" t="str">
        <f>"0029Y0615M"</f>
        <v>0029Y0615M</v>
      </c>
      <c r="E14267" s="1" t="s">
        <v>10</v>
      </c>
      <c r="F14267" s="1" t="str">
        <f>"fde1:103:4:57ba:0:0:0:2"</f>
        <v>fde1:103:4:57ba:0:0:0:2</v>
      </c>
      <c r="G14267" s="1" t="str">
        <f>"0029Y061"</f>
        <v>0029Y061</v>
      </c>
      <c r="H14267" s="1" t="str">
        <f>"대일지 50L4R2"</f>
        <v>대일지 50L4R2</v>
      </c>
      <c r="I14267" s="1" t="s">
        <v>15</v>
      </c>
      <c r="J14267" s="1" t="str">
        <f>"111/111"</f>
        <v>111/111</v>
      </c>
      <c r="K14267" s="1" t="str">
        <f>"2026-07-29 14:20:12"</f>
        <v>2026-07-29 14:20:12</v>
      </c>
      <c r="L14267" s="1" t="str">
        <f>"2023-09-18 15:30:27"</f>
        <v>2023-09-18 15:30:27</v>
      </c>
      <c r="M14267" s="1" t="s">
        <v>4</v>
      </c>
      <c r="N14267" s="1" t="s">
        <v>38</v>
      </c>
      <c r="O14267" s="1" t="s">
        <v>46</v>
      </c>
    </row>
    <row r="14268" spans="2:15" x14ac:dyDescent="0.3">
      <c r="B14268" s="1" t="s">
        <v>19</v>
      </c>
      <c r="C14268" s="1" t="str">
        <f>"5-2차"</f>
        <v>5-2차</v>
      </c>
      <c r="D14268" s="1" t="str">
        <f>"0029Y2455M"</f>
        <v>0029Y2455M</v>
      </c>
      <c r="E14268" s="1" t="s">
        <v>10</v>
      </c>
      <c r="F14268" s="1" t="str">
        <f>"fde1:103:4:581c:0:0:0:2"</f>
        <v>fde1:103:4:581c:0:0:0:2</v>
      </c>
      <c r="G14268" s="1" t="str">
        <f>"0029Y245"</f>
        <v>0029Y245</v>
      </c>
      <c r="H14268" s="1" t="str">
        <f>"대일지 50HL2"</f>
        <v>대일지 50HL2</v>
      </c>
      <c r="I14268" s="1" t="s">
        <v>15</v>
      </c>
      <c r="J14268" s="1" t="str">
        <f>"34/34"</f>
        <v>34/34</v>
      </c>
      <c r="K14268" s="1" t="str">
        <f>"2026-07-29 14:20:27"</f>
        <v>2026-07-29 14:20:27</v>
      </c>
      <c r="L14268" s="1" t="str">
        <f>"2023-09-19 09:24:55"</f>
        <v>2023-09-19 09:24:55</v>
      </c>
      <c r="M14268" s="1" t="s">
        <v>4</v>
      </c>
      <c r="N14268" s="1" t="s">
        <v>38</v>
      </c>
      <c r="O14268" s="1" t="s">
        <v>46</v>
      </c>
    </row>
    <row r="14269" spans="2:15" x14ac:dyDescent="0.3">
      <c r="B14269" s="1" t="s">
        <v>19</v>
      </c>
      <c r="C14269" s="1" t="str">
        <f>"5-2차"</f>
        <v>5-2차</v>
      </c>
      <c r="D14269" s="1" t="str">
        <f>"0029Y3445M"</f>
        <v>0029Y3445M</v>
      </c>
      <c r="E14269" s="1" t="s">
        <v>10</v>
      </c>
      <c r="F14269" s="1" t="str">
        <f>"fde1:103:4:59e5:0:0:0:2"</f>
        <v>fde1:103:4:59e5:0:0:0:2</v>
      </c>
      <c r="G14269" s="1" t="str">
        <f>"0029Y344"</f>
        <v>0029Y344</v>
      </c>
      <c r="H14269" s="1" t="str">
        <f>"대일지 51"</f>
        <v>대일지 51</v>
      </c>
      <c r="I14269" s="1" t="s">
        <v>15</v>
      </c>
      <c r="J14269" s="1" t="str">
        <f>"50/50"</f>
        <v>50/50</v>
      </c>
      <c r="K14269" s="1" t="str">
        <f>"2026-07-29 14:20:26"</f>
        <v>2026-07-29 14:20:26</v>
      </c>
      <c r="L14269" s="1" t="str">
        <f>"2023-09-19 09:25:33"</f>
        <v>2023-09-19 09:25:33</v>
      </c>
      <c r="M14269" s="1" t="s">
        <v>4</v>
      </c>
      <c r="N14269" s="1" t="s">
        <v>38</v>
      </c>
      <c r="O14269" s="1" t="s">
        <v>46</v>
      </c>
    </row>
    <row r="14270" spans="2:15" x14ac:dyDescent="0.3">
      <c r="B14270" s="1" t="s">
        <v>19</v>
      </c>
      <c r="C14270" s="1" t="str">
        <f>"4차"</f>
        <v>4차</v>
      </c>
      <c r="D14270" s="1" t="str">
        <f>"0029Y43444"</f>
        <v>0029Y43444</v>
      </c>
      <c r="E14270" s="1" t="s">
        <v>10</v>
      </c>
      <c r="F14270" s="1" t="str">
        <f>"10.107.118.72"</f>
        <v>10.107.118.72</v>
      </c>
      <c r="G14270" s="1" t="str">
        <f>"0029Y434"</f>
        <v>0029Y434</v>
      </c>
      <c r="H14270" s="1" t="str">
        <f>"대일지 48"</f>
        <v>대일지 48</v>
      </c>
      <c r="I14270" s="1" t="s">
        <v>8</v>
      </c>
      <c r="J14270" s="1" t="str">
        <f>"36/36"</f>
        <v>36/36</v>
      </c>
      <c r="K14270" s="1" t="str">
        <f>"2026-07-29 13:18:01"</f>
        <v>2026-07-29 13:18:01</v>
      </c>
      <c r="L14270" s="1" t="str">
        <f>"2023-07-17 17:57:39"</f>
        <v>2023-07-17 17:57:39</v>
      </c>
      <c r="M14270" s="1" t="s">
        <v>45</v>
      </c>
      <c r="N14270" s="1" t="s">
        <v>38</v>
      </c>
      <c r="O14270" s="1" t="s">
        <v>46</v>
      </c>
    </row>
    <row r="14271" spans="2:15" x14ac:dyDescent="0.3">
      <c r="B14271" s="1" t="s">
        <v>19</v>
      </c>
      <c r="C14271" s="1" t="str">
        <f>"1차"</f>
        <v>1차</v>
      </c>
      <c r="D14271" s="1" t="str">
        <f>"0029Y54100"</f>
        <v>0029Y54100</v>
      </c>
      <c r="E14271" s="1" t="s">
        <v>10</v>
      </c>
      <c r="F14271" s="1" t="str">
        <f>"10.107.118.66"</f>
        <v>10.107.118.66</v>
      </c>
      <c r="G14271" s="1" t="str">
        <f>"0029Y541"</f>
        <v>0029Y541</v>
      </c>
      <c r="H14271" s="1" t="str">
        <f>"대일지 48R3"</f>
        <v>대일지 48R3</v>
      </c>
      <c r="I14271" s="1" t="s">
        <v>8</v>
      </c>
      <c r="J14271" s="1" t="str">
        <f>"48/48"</f>
        <v>48/48</v>
      </c>
      <c r="K14271" s="1" t="str">
        <f>"2026-07-29 13:18:01"</f>
        <v>2026-07-29 13:18:01</v>
      </c>
      <c r="L14271" s="1" t="str">
        <f>"2014-11-18 11:24:18"</f>
        <v>2014-11-18 11:24:18</v>
      </c>
      <c r="M14271" s="1" t="s">
        <v>45</v>
      </c>
      <c r="N14271" s="1" t="s">
        <v>38</v>
      </c>
      <c r="O14271" s="1" t="s">
        <v>46</v>
      </c>
    </row>
    <row r="14272" spans="2:15" x14ac:dyDescent="0.3">
      <c r="B14272" s="1" t="s">
        <v>19</v>
      </c>
      <c r="C14272" s="1" t="str">
        <f>"4차"</f>
        <v>4차</v>
      </c>
      <c r="D14272" s="1" t="str">
        <f>"0029Y62342"</f>
        <v>0029Y62342</v>
      </c>
      <c r="E14272" s="1" t="s">
        <v>10</v>
      </c>
      <c r="F14272" s="1" t="str">
        <f>"10.12.130.13"</f>
        <v>10.12.130.13</v>
      </c>
      <c r="G14272" s="1" t="str">
        <f>"0029Y623"</f>
        <v>0029Y623</v>
      </c>
      <c r="H14272" s="1" t="str">
        <f>"대일지 45"</f>
        <v>대일지 45</v>
      </c>
      <c r="I14272" s="1" t="s">
        <v>8</v>
      </c>
      <c r="J14272" s="1" t="str">
        <f>"59/60"</f>
        <v>59/60</v>
      </c>
      <c r="K14272" s="1" t="str">
        <f>"2026-07-29 13:18:01"</f>
        <v>2026-07-29 13:18:01</v>
      </c>
      <c r="L14272" s="1" t="str">
        <f>"2024-12-19 08:55:34"</f>
        <v>2024-12-19 08:55:34</v>
      </c>
      <c r="M14272" s="1" t="s">
        <v>0</v>
      </c>
      <c r="N14272" s="1" t="s">
        <v>38</v>
      </c>
      <c r="O14272" s="1" t="s">
        <v>46</v>
      </c>
    </row>
    <row r="14273" spans="2:15" x14ac:dyDescent="0.3">
      <c r="B14273" s="1" t="s">
        <v>19</v>
      </c>
      <c r="C14273" s="1" t="str">
        <f>"1차"</f>
        <v>1차</v>
      </c>
      <c r="D14273" s="1" t="str">
        <f>"0029Y63101"</f>
        <v>0029Y63101</v>
      </c>
      <c r="E14273" s="1" t="s">
        <v>12</v>
      </c>
      <c r="F14273" s="1" t="str">
        <f>"10.107.118.68"</f>
        <v>10.107.118.68</v>
      </c>
      <c r="G14273" s="1" t="str">
        <f>"0029Y631"</f>
        <v>0029Y631</v>
      </c>
      <c r="H14273" s="1" t="str">
        <f>"대일지 48R3R2"</f>
        <v>대일지 48R3R2</v>
      </c>
      <c r="I14273" s="1" t="s">
        <v>8</v>
      </c>
      <c r="J14273" s="1" t="str">
        <f>"0/42"</f>
        <v>0/42</v>
      </c>
      <c r="K14273" s="1" t="str">
        <f>"2026-07-10 07:18:01"</f>
        <v>2026-07-10 07:18:01</v>
      </c>
      <c r="L14273" s="1" t="str">
        <f>"2014-11-18 11:24:53"</f>
        <v>2014-11-18 11:24:53</v>
      </c>
      <c r="M14273" s="1" t="s">
        <v>45</v>
      </c>
      <c r="N14273" s="1" t="s">
        <v>38</v>
      </c>
      <c r="O14273" s="1" t="s">
        <v>46</v>
      </c>
    </row>
    <row r="14274" spans="2:15" x14ac:dyDescent="0.3">
      <c r="B14274" s="1" t="s">
        <v>19</v>
      </c>
      <c r="C14274" s="1" t="str">
        <f>"1차"</f>
        <v>1차</v>
      </c>
      <c r="D14274" s="1" t="str">
        <f>"0029Y66300"</f>
        <v>0029Y66300</v>
      </c>
      <c r="E14274" s="1" t="s">
        <v>10</v>
      </c>
      <c r="F14274" s="1" t="str">
        <f>"10.107.118.71"</f>
        <v>10.107.118.71</v>
      </c>
      <c r="G14274" s="1" t="str">
        <f>"0029Y663"</f>
        <v>0029Y663</v>
      </c>
      <c r="H14274" s="1" t="str">
        <f>"대일지 48R7"</f>
        <v>대일지 48R7</v>
      </c>
      <c r="I14274" s="1" t="s">
        <v>8</v>
      </c>
      <c r="J14274" s="1" t="str">
        <f>"40/40"</f>
        <v>40/40</v>
      </c>
      <c r="K14274" s="1" t="str">
        <f>"2026-07-29 13:18:01"</f>
        <v>2026-07-29 13:18:01</v>
      </c>
      <c r="L14274" s="1" t="str">
        <f>"2015-02-26 15:12:49"</f>
        <v>2015-02-26 15:12:49</v>
      </c>
      <c r="M14274" s="1" t="s">
        <v>45</v>
      </c>
      <c r="N14274" s="1" t="s">
        <v>38</v>
      </c>
      <c r="O14274" s="1" t="s">
        <v>46</v>
      </c>
    </row>
    <row r="14275" spans="2:15" x14ac:dyDescent="0.3">
      <c r="B14275" s="1" t="s">
        <v>19</v>
      </c>
      <c r="C14275" s="1" t="str">
        <f>"1차"</f>
        <v>1차</v>
      </c>
      <c r="D14275" s="1" t="str">
        <f>"0029Y74200"</f>
        <v>0029Y74200</v>
      </c>
      <c r="E14275" s="1" t="s">
        <v>10</v>
      </c>
      <c r="F14275" s="1" t="str">
        <f>"10.107.118.67"</f>
        <v>10.107.118.67</v>
      </c>
      <c r="G14275" s="1" t="str">
        <f>"0029Y742"</f>
        <v>0029Y742</v>
      </c>
      <c r="H14275" s="1" t="str">
        <f>"대일지 48R3R3"</f>
        <v>대일지 48R3R3</v>
      </c>
      <c r="I14275" s="1" t="s">
        <v>8</v>
      </c>
      <c r="J14275" s="1" t="str">
        <f>"25/25"</f>
        <v>25/25</v>
      </c>
      <c r="K14275" s="1" t="str">
        <f>"2026-07-29 13:18:02"</f>
        <v>2026-07-29 13:18:02</v>
      </c>
      <c r="L14275" s="1" t="str">
        <f>"2014-11-18 11:25:39"</f>
        <v>2014-11-18 11:25:39</v>
      </c>
      <c r="M14275" s="1" t="s">
        <v>45</v>
      </c>
      <c r="N14275" s="1" t="s">
        <v>38</v>
      </c>
      <c r="O14275" s="1" t="s">
        <v>46</v>
      </c>
    </row>
    <row r="14276" spans="2:15" x14ac:dyDescent="0.3">
      <c r="B14276" s="1" t="s">
        <v>19</v>
      </c>
      <c r="C14276" s="1" t="str">
        <f>"1차"</f>
        <v>1차</v>
      </c>
      <c r="D14276" s="1" t="str">
        <f>"0029Y83100"</f>
        <v>0029Y83100</v>
      </c>
      <c r="E14276" s="1" t="s">
        <v>10</v>
      </c>
      <c r="F14276" s="1" t="str">
        <f>"10.107.118.69"</f>
        <v>10.107.118.69</v>
      </c>
      <c r="G14276" s="1" t="str">
        <f>"0029Y831"</f>
        <v>0029Y831</v>
      </c>
      <c r="H14276" s="1" t="str">
        <f>"대일지 43R3"</f>
        <v>대일지 43R3</v>
      </c>
      <c r="I14276" s="1" t="s">
        <v>8</v>
      </c>
      <c r="J14276" s="1" t="str">
        <f>"36/36"</f>
        <v>36/36</v>
      </c>
      <c r="K14276" s="1" t="str">
        <f>"2026-07-29 13:18:01"</f>
        <v>2026-07-29 13:18:01</v>
      </c>
      <c r="L14276" s="1" t="str">
        <f>"2014-11-18 11:25:24"</f>
        <v>2014-11-18 11:25:24</v>
      </c>
      <c r="M14276" s="1" t="s">
        <v>45</v>
      </c>
      <c r="N14276" s="1" t="s">
        <v>38</v>
      </c>
      <c r="O14276" s="1" t="s">
        <v>46</v>
      </c>
    </row>
    <row r="14277" spans="2:15" x14ac:dyDescent="0.3">
      <c r="B14277" s="1" t="s">
        <v>19</v>
      </c>
      <c r="C14277" s="1" t="str">
        <f>"1차"</f>
        <v>1차</v>
      </c>
      <c r="D14277" s="1" t="str">
        <f>"0029Y84301"</f>
        <v>0029Y84301</v>
      </c>
      <c r="E14277" s="1" t="s">
        <v>10</v>
      </c>
      <c r="F14277" s="1" t="str">
        <f>"10.107.118.70"</f>
        <v>10.107.118.70</v>
      </c>
      <c r="G14277" s="1" t="str">
        <f>"0029Y843"</f>
        <v>0029Y843</v>
      </c>
      <c r="H14277" s="1" t="str">
        <f>"대일지 43R5"</f>
        <v>대일지 43R5</v>
      </c>
      <c r="I14277" s="1" t="s">
        <v>8</v>
      </c>
      <c r="J14277" s="1" t="str">
        <f>"31/31"</f>
        <v>31/31</v>
      </c>
      <c r="K14277" s="1" t="str">
        <f>"2026-07-29 13:18:01"</f>
        <v>2026-07-29 13:18:01</v>
      </c>
      <c r="L14277" s="1" t="str">
        <f>"2015-01-02 14:42:25"</f>
        <v>2015-01-02 14:42:25</v>
      </c>
      <c r="M14277" s="1" t="s">
        <v>45</v>
      </c>
      <c r="N14277" s="1" t="s">
        <v>38</v>
      </c>
      <c r="O14277" s="1" t="s">
        <v>46</v>
      </c>
    </row>
    <row r="14278" spans="2:15" x14ac:dyDescent="0.3">
      <c r="B14278" s="1" t="s">
        <v>19</v>
      </c>
      <c r="C14278" s="1" t="str">
        <f>"5-1차"</f>
        <v>5-1차</v>
      </c>
      <c r="D14278" s="1" t="str">
        <f>"0030E9025M"</f>
        <v>0030E9025M</v>
      </c>
      <c r="E14278" s="1" t="s">
        <v>10</v>
      </c>
      <c r="F14278" s="1" t="str">
        <f>"fde2:104:0:7d:0:0:0:2"</f>
        <v>fde2:104:0:7d:0:0:0:2</v>
      </c>
      <c r="G14278" s="1" t="str">
        <f>"0030E902"</f>
        <v>0030E902</v>
      </c>
      <c r="H14278" s="1" t="str">
        <f>"한신지 12R6R3R1"</f>
        <v>한신지 12R6R3R1</v>
      </c>
      <c r="I14278" s="1" t="s">
        <v>15</v>
      </c>
      <c r="J14278" s="1" t="str">
        <f>"16/16"</f>
        <v>16/16</v>
      </c>
      <c r="K14278" s="1" t="str">
        <f>"2026-07-29 14:20:02"</f>
        <v>2026-07-29 14:20:02</v>
      </c>
      <c r="L14278" s="1" t="str">
        <f>"2022-08-30 18:07:01"</f>
        <v>2022-08-30 18:07:01</v>
      </c>
      <c r="M14278" s="1" t="s">
        <v>42</v>
      </c>
      <c r="N14278" s="1" t="s">
        <v>38</v>
      </c>
      <c r="O14278" s="1" t="s">
        <v>46</v>
      </c>
    </row>
    <row r="14279" spans="2:15" x14ac:dyDescent="0.3">
      <c r="B14279" s="1" t="s">
        <v>19</v>
      </c>
      <c r="C14279" s="1" t="str">
        <f t="shared" ref="C14279:C14284" si="725">"1차"</f>
        <v>1차</v>
      </c>
      <c r="D14279" s="1" t="str">
        <f>"0030F31101"</f>
        <v>0030F31101</v>
      </c>
      <c r="E14279" s="1" t="s">
        <v>10</v>
      </c>
      <c r="F14279" s="1" t="str">
        <f>"10.12.128.89"</f>
        <v>10.12.128.89</v>
      </c>
      <c r="G14279" s="1" t="str">
        <f>"0030F311"</f>
        <v>0030F311</v>
      </c>
      <c r="H14279" s="1" t="str">
        <f>"한신지 11R4"</f>
        <v>한신지 11R4</v>
      </c>
      <c r="I14279" s="1" t="s">
        <v>8</v>
      </c>
      <c r="J14279" s="1" t="str">
        <f>"2/2"</f>
        <v>2/2</v>
      </c>
      <c r="K14279" s="1" t="str">
        <f>"2026-07-29 13:18:01"</f>
        <v>2026-07-29 13:18:01</v>
      </c>
      <c r="L14279" s="1" t="str">
        <f>"2014-10-16 11:56:09"</f>
        <v>2014-10-16 11:56:09</v>
      </c>
      <c r="M14279" s="1" t="s">
        <v>0</v>
      </c>
      <c r="N14279" s="1" t="s">
        <v>38</v>
      </c>
      <c r="O14279" s="1" t="s">
        <v>46</v>
      </c>
    </row>
    <row r="14280" spans="2:15" x14ac:dyDescent="0.3">
      <c r="B14280" s="1" t="s">
        <v>19</v>
      </c>
      <c r="C14280" s="1" t="str">
        <f t="shared" si="725"/>
        <v>1차</v>
      </c>
      <c r="D14280" s="1" t="str">
        <f>"0030F40100"</f>
        <v>0030F40100</v>
      </c>
      <c r="E14280" s="1" t="s">
        <v>10</v>
      </c>
      <c r="F14280" s="1" t="str">
        <f>"10.107.122.130"</f>
        <v>10.107.122.130</v>
      </c>
      <c r="G14280" s="1" t="str">
        <f>"0030F401"</f>
        <v>0030F401</v>
      </c>
      <c r="H14280" s="1" t="str">
        <f>"한신지 11R2"</f>
        <v>한신지 11R2</v>
      </c>
      <c r="I14280" s="1" t="s">
        <v>8</v>
      </c>
      <c r="J14280" s="1" t="str">
        <f>"14/14"</f>
        <v>14/14</v>
      </c>
      <c r="K14280" s="1" t="str">
        <f>"2026-07-29 13:18:01"</f>
        <v>2026-07-29 13:18:01</v>
      </c>
      <c r="L14280" s="1" t="str">
        <f>"2014-10-06 09:12:05"</f>
        <v>2014-10-06 09:12:05</v>
      </c>
      <c r="M14280" s="1" t="s">
        <v>45</v>
      </c>
      <c r="N14280" s="1" t="s">
        <v>38</v>
      </c>
      <c r="O14280" s="1" t="s">
        <v>46</v>
      </c>
    </row>
    <row r="14281" spans="2:15" x14ac:dyDescent="0.3">
      <c r="B14281" s="1" t="s">
        <v>19</v>
      </c>
      <c r="C14281" s="1" t="str">
        <f t="shared" si="725"/>
        <v>1차</v>
      </c>
      <c r="D14281" s="1" t="str">
        <f>"0030F70100"</f>
        <v>0030F70100</v>
      </c>
      <c r="E14281" s="1" t="s">
        <v>10</v>
      </c>
      <c r="F14281" s="1" t="str">
        <f>"10.107.122.139"</f>
        <v>10.107.122.139</v>
      </c>
      <c r="G14281" s="1" t="str">
        <f>"0030F701"</f>
        <v>0030F701</v>
      </c>
      <c r="H14281" s="1" t="str">
        <f>"화계지 11"</f>
        <v>화계지 11</v>
      </c>
      <c r="I14281" s="1" t="s">
        <v>8</v>
      </c>
      <c r="J14281" s="1" t="str">
        <f>"23/23"</f>
        <v>23/23</v>
      </c>
      <c r="K14281" s="1" t="str">
        <f>"2026-07-29 13:18:01"</f>
        <v>2026-07-29 13:18:01</v>
      </c>
      <c r="L14281" s="1" t="str">
        <f>"2014-10-10 08:11:59"</f>
        <v>2014-10-10 08:11:59</v>
      </c>
      <c r="M14281" s="1" t="s">
        <v>45</v>
      </c>
      <c r="N14281" s="1" t="s">
        <v>38</v>
      </c>
      <c r="O14281" s="1" t="s">
        <v>46</v>
      </c>
    </row>
    <row r="14282" spans="2:15" x14ac:dyDescent="0.3">
      <c r="B14282" s="1" t="s">
        <v>19</v>
      </c>
      <c r="C14282" s="1" t="str">
        <f t="shared" si="725"/>
        <v>1차</v>
      </c>
      <c r="D14282" s="1" t="str">
        <f>"0030F70300"</f>
        <v>0030F70300</v>
      </c>
      <c r="E14282" s="1" t="s">
        <v>10</v>
      </c>
      <c r="F14282" s="1" t="str">
        <f>"10.107.120.130"</f>
        <v>10.107.120.130</v>
      </c>
      <c r="G14282" s="1" t="str">
        <f>"0030F703"</f>
        <v>0030F703</v>
      </c>
      <c r="H14282" s="1" t="str">
        <f>"한신지 15"</f>
        <v>한신지 15</v>
      </c>
      <c r="I14282" s="1" t="s">
        <v>8</v>
      </c>
      <c r="J14282" s="1" t="str">
        <f>"5/5"</f>
        <v>5/5</v>
      </c>
      <c r="K14282" s="1" t="str">
        <f>"2026-07-29 13:18:01"</f>
        <v>2026-07-29 13:18:01</v>
      </c>
      <c r="L14282" s="1" t="str">
        <f>"2014-10-10 07:56:59"</f>
        <v>2014-10-10 07:56:59</v>
      </c>
      <c r="M14282" s="1" t="s">
        <v>45</v>
      </c>
      <c r="N14282" s="1" t="s">
        <v>38</v>
      </c>
      <c r="O14282" s="1" t="s">
        <v>46</v>
      </c>
    </row>
    <row r="14283" spans="2:15" x14ac:dyDescent="0.3">
      <c r="B14283" s="1" t="s">
        <v>19</v>
      </c>
      <c r="C14283" s="1" t="str">
        <f t="shared" si="725"/>
        <v>1차</v>
      </c>
      <c r="D14283" s="1" t="str">
        <f>"0030F71101"</f>
        <v>0030F71101</v>
      </c>
      <c r="E14283" s="1" t="s">
        <v>10</v>
      </c>
      <c r="F14283" s="1" t="str">
        <f>"10.12.131.188"</f>
        <v>10.12.131.188</v>
      </c>
      <c r="G14283" s="1" t="str">
        <f>"0030F711"</f>
        <v>0030F711</v>
      </c>
      <c r="H14283" s="1" t="str">
        <f>"한신지 9"</f>
        <v>한신지 9</v>
      </c>
      <c r="I14283" s="1" t="s">
        <v>8</v>
      </c>
      <c r="J14283" s="1" t="str">
        <f>"18/20"</f>
        <v>18/20</v>
      </c>
      <c r="K14283" s="1" t="str">
        <f>"2026-07-29 13:18:02"</f>
        <v>2026-07-29 13:18:02</v>
      </c>
      <c r="L14283" s="1" t="str">
        <f>"2014-10-22 09:40:05"</f>
        <v>2014-10-22 09:40:05</v>
      </c>
      <c r="M14283" s="1" t="s">
        <v>0</v>
      </c>
      <c r="N14283" s="1" t="s">
        <v>38</v>
      </c>
      <c r="O14283" s="1" t="s">
        <v>46</v>
      </c>
    </row>
    <row r="14284" spans="2:15" x14ac:dyDescent="0.3">
      <c r="B14284" s="1" t="s">
        <v>19</v>
      </c>
      <c r="C14284" s="1" t="str">
        <f t="shared" si="725"/>
        <v>1차</v>
      </c>
      <c r="D14284" s="1" t="str">
        <f>"0030F81300"</f>
        <v>0030F81300</v>
      </c>
      <c r="E14284" s="1" t="s">
        <v>10</v>
      </c>
      <c r="F14284" s="1" t="str">
        <f>"10.107.122.131"</f>
        <v>10.107.122.131</v>
      </c>
      <c r="G14284" s="1" t="str">
        <f>"0030F813"</f>
        <v>0030F813</v>
      </c>
      <c r="H14284" s="1" t="str">
        <f>"화계지 8"</f>
        <v>화계지 8</v>
      </c>
      <c r="I14284" s="1" t="s">
        <v>8</v>
      </c>
      <c r="J14284" s="1" t="str">
        <f>"7/7"</f>
        <v>7/7</v>
      </c>
      <c r="K14284" s="1" t="str">
        <f>"2026-07-29 13:18:01"</f>
        <v>2026-07-29 13:18:01</v>
      </c>
      <c r="L14284" s="1" t="str">
        <f>"2014-10-06 09:12:01"</f>
        <v>2014-10-06 09:12:01</v>
      </c>
      <c r="M14284" s="1" t="s">
        <v>45</v>
      </c>
      <c r="N14284" s="1" t="s">
        <v>38</v>
      </c>
      <c r="O14284" s="1" t="s">
        <v>46</v>
      </c>
    </row>
    <row r="14285" spans="2:15" x14ac:dyDescent="0.3">
      <c r="B14285" s="1" t="s">
        <v>19</v>
      </c>
      <c r="C14285" s="1" t="str">
        <f>"5-2차"</f>
        <v>5-2차</v>
      </c>
      <c r="D14285" s="1" t="str">
        <f>"0030F8315S"</f>
        <v>0030F8315S</v>
      </c>
      <c r="E14285" s="1" t="s">
        <v>10</v>
      </c>
      <c r="F14285" s="1" t="str">
        <f>"fde1:103:4:59cc:0:0:0:2"</f>
        <v>fde1:103:4:59cc:0:0:0:2</v>
      </c>
      <c r="G14285" s="1" t="str">
        <f>"0030F831"</f>
        <v>0030F831</v>
      </c>
      <c r="H14285" s="1" t="str">
        <f>"한신지 6R7"</f>
        <v>한신지 6R7</v>
      </c>
      <c r="I14285" s="1" t="s">
        <v>15</v>
      </c>
      <c r="J14285" s="1" t="str">
        <f>"60/60"</f>
        <v>60/60</v>
      </c>
      <c r="K14285" s="1" t="str">
        <f>"2026-07-29 14:20:12"</f>
        <v>2026-07-29 14:20:12</v>
      </c>
      <c r="L14285" s="1" t="str">
        <f>"2023-09-19 09:37:30"</f>
        <v>2023-09-19 09:37:30</v>
      </c>
      <c r="M14285" s="1" t="s">
        <v>4</v>
      </c>
      <c r="N14285" s="1" t="s">
        <v>38</v>
      </c>
      <c r="O14285" s="1" t="s">
        <v>46</v>
      </c>
    </row>
    <row r="14286" spans="2:15" x14ac:dyDescent="0.3">
      <c r="B14286" s="1" t="s">
        <v>19</v>
      </c>
      <c r="C14286" s="1" t="str">
        <f>"5-1차"</f>
        <v>5-1차</v>
      </c>
      <c r="D14286" s="1" t="str">
        <f>"0030F8345S"</f>
        <v>0030F8345S</v>
      </c>
      <c r="E14286" s="1" t="s">
        <v>10</v>
      </c>
      <c r="F14286" s="1" t="str">
        <f>"fde3:102:1410:3100:0:0:0:8"</f>
        <v>fde3:102:1410:3100:0:0:0:8</v>
      </c>
      <c r="G14286" s="1" t="str">
        <f>"0030F834"</f>
        <v>0030F834</v>
      </c>
      <c r="H14286" s="1" t="str">
        <f>"한신지 6R6"</f>
        <v>한신지 6R6</v>
      </c>
      <c r="I14286" s="1" t="s">
        <v>15</v>
      </c>
      <c r="J14286" s="1" t="str">
        <f>"44/46"</f>
        <v>44/46</v>
      </c>
      <c r="K14286" s="1" t="str">
        <f>"2026-07-29 14:20:01"</f>
        <v>2026-07-29 14:20:01</v>
      </c>
      <c r="L14286" s="1" t="str">
        <f>"2022-09-26 16:10:03"</f>
        <v>2022-09-26 16:10:03</v>
      </c>
      <c r="M14286" s="1" t="s">
        <v>45</v>
      </c>
      <c r="N14286" s="1" t="s">
        <v>38</v>
      </c>
      <c r="O14286" s="1" t="s">
        <v>46</v>
      </c>
    </row>
    <row r="14287" spans="2:15" x14ac:dyDescent="0.3">
      <c r="B14287" s="1" t="s">
        <v>19</v>
      </c>
      <c r="C14287" s="1" t="str">
        <f>"1차"</f>
        <v>1차</v>
      </c>
      <c r="D14287" s="1" t="str">
        <f>"0030F90300"</f>
        <v>0030F90300</v>
      </c>
      <c r="E14287" s="1" t="s">
        <v>10</v>
      </c>
      <c r="F14287" s="1" t="str">
        <f>"10.107.122.147"</f>
        <v>10.107.122.147</v>
      </c>
      <c r="G14287" s="1" t="str">
        <f>"0030F903"</f>
        <v>0030F903</v>
      </c>
      <c r="H14287" s="1" t="str">
        <f>"삼원간 2R7"</f>
        <v>삼원간 2R7</v>
      </c>
      <c r="I14287" s="1" t="s">
        <v>8</v>
      </c>
      <c r="J14287" s="1" t="str">
        <f>"73/73"</f>
        <v>73/73</v>
      </c>
      <c r="K14287" s="1" t="str">
        <f>"2026-07-29 13:18:01"</f>
        <v>2026-07-29 13:18:01</v>
      </c>
      <c r="L14287" s="1" t="str">
        <f>"2014-10-10 08:11:35"</f>
        <v>2014-10-10 08:11:35</v>
      </c>
      <c r="M14287" s="1" t="s">
        <v>45</v>
      </c>
      <c r="N14287" s="1" t="s">
        <v>38</v>
      </c>
      <c r="O14287" s="1" t="s">
        <v>46</v>
      </c>
    </row>
    <row r="14288" spans="2:15" x14ac:dyDescent="0.3">
      <c r="B14288" s="1" t="s">
        <v>19</v>
      </c>
      <c r="C14288" s="1" t="str">
        <f>"1차"</f>
        <v>1차</v>
      </c>
      <c r="D14288" s="1" t="str">
        <f>"0030F91200"</f>
        <v>0030F91200</v>
      </c>
      <c r="E14288" s="1" t="s">
        <v>14</v>
      </c>
      <c r="F14288" s="1" t="str">
        <f>"10.107.122.134"</f>
        <v>10.107.122.134</v>
      </c>
      <c r="G14288" s="1" t="str">
        <f>"0030F912"</f>
        <v>0030F912</v>
      </c>
      <c r="H14288" s="1" t="str">
        <f>"한신지 8"</f>
        <v>한신지 8</v>
      </c>
      <c r="I14288" s="1" t="s">
        <v>8</v>
      </c>
      <c r="J14288" s="1" t="str">
        <f>"0/0"</f>
        <v>0/0</v>
      </c>
      <c r="K14288" s="1" t="str">
        <f>"2026-07-29 13:18:01"</f>
        <v>2026-07-29 13:18:01</v>
      </c>
      <c r="L14288" s="1" t="str">
        <f>"2014-10-22 09:41:11"</f>
        <v>2014-10-22 09:41:11</v>
      </c>
      <c r="M14288" s="1" t="s">
        <v>45</v>
      </c>
      <c r="N14288" s="1" t="s">
        <v>38</v>
      </c>
      <c r="O14288" s="1" t="s">
        <v>44</v>
      </c>
    </row>
    <row r="14289" spans="2:15" x14ac:dyDescent="0.3">
      <c r="B14289" s="1" t="s">
        <v>19</v>
      </c>
      <c r="C14289" s="1" t="str">
        <f>"1차"</f>
        <v>1차</v>
      </c>
      <c r="D14289" s="1" t="str">
        <f>"0030F91501"</f>
        <v>0030F91501</v>
      </c>
      <c r="E14289" s="1" t="s">
        <v>10</v>
      </c>
      <c r="F14289" s="1" t="str">
        <f>"10.14.8.122"</f>
        <v>10.14.8.122</v>
      </c>
      <c r="G14289" s="1" t="str">
        <f>"0030F915"</f>
        <v>0030F915</v>
      </c>
      <c r="H14289" s="1" t="str">
        <f>"한신지 7"</f>
        <v>한신지 7</v>
      </c>
      <c r="I14289" s="1" t="s">
        <v>8</v>
      </c>
      <c r="J14289" s="1" t="str">
        <f>"19/21"</f>
        <v>19/21</v>
      </c>
      <c r="K14289" s="1" t="str">
        <f>"2026-07-29 13:18:01"</f>
        <v>2026-07-29 13:18:01</v>
      </c>
      <c r="L14289" s="1" t="str">
        <f>"2014-11-18 11:10:07"</f>
        <v>2014-11-18 11:10:07</v>
      </c>
      <c r="M14289" s="1" t="s">
        <v>3</v>
      </c>
      <c r="N14289" s="1" t="s">
        <v>38</v>
      </c>
      <c r="O14289" s="1" t="s">
        <v>46</v>
      </c>
    </row>
    <row r="14290" spans="2:15" x14ac:dyDescent="0.3">
      <c r="B14290" s="1" t="s">
        <v>19</v>
      </c>
      <c r="C14290" s="1" t="str">
        <f>"1차"</f>
        <v>1차</v>
      </c>
      <c r="D14290" s="1" t="str">
        <f>"0030F94101"</f>
        <v>0030F94101</v>
      </c>
      <c r="E14290" s="1" t="s">
        <v>10</v>
      </c>
      <c r="F14290" s="1" t="str">
        <f>"10.107.122.135"</f>
        <v>10.107.122.135</v>
      </c>
      <c r="G14290" s="1" t="str">
        <f>"0030F941"</f>
        <v>0030F941</v>
      </c>
      <c r="H14290" s="1" t="str">
        <f>"한신지 6R3"</f>
        <v>한신지 6R3</v>
      </c>
      <c r="I14290" s="1" t="s">
        <v>8</v>
      </c>
      <c r="J14290" s="1" t="str">
        <f>"43/44"</f>
        <v>43/44</v>
      </c>
      <c r="K14290" s="1" t="str">
        <f>"2026-07-29 13:18:01"</f>
        <v>2026-07-29 13:18:01</v>
      </c>
      <c r="L14290" s="1" t="str">
        <f>"2014-12-26 10:53:26"</f>
        <v>2014-12-26 10:53:26</v>
      </c>
      <c r="M14290" s="1" t="s">
        <v>45</v>
      </c>
      <c r="N14290" s="1" t="s">
        <v>38</v>
      </c>
      <c r="O14290" s="1" t="s">
        <v>46</v>
      </c>
    </row>
    <row r="14291" spans="2:15" x14ac:dyDescent="0.3">
      <c r="B14291" s="1" t="s">
        <v>19</v>
      </c>
      <c r="C14291" s="1" t="str">
        <f>"5-2차"</f>
        <v>5-2차</v>
      </c>
      <c r="D14291" s="1" t="str">
        <f>"0030F9645M"</f>
        <v>0030F9645M</v>
      </c>
      <c r="E14291" s="1" t="s">
        <v>10</v>
      </c>
      <c r="F14291" s="1" t="str">
        <f>"fde1:103:4:58c1:0:0:0:2"</f>
        <v>fde1:103:4:58c1:0:0:0:2</v>
      </c>
      <c r="G14291" s="1" t="str">
        <f>"0030F964"</f>
        <v>0030F964</v>
      </c>
      <c r="H14291" s="1" t="str">
        <f>"우이간 48L4"</f>
        <v>우이간 48L4</v>
      </c>
      <c r="I14291" s="1" t="s">
        <v>15</v>
      </c>
      <c r="J14291" s="1" t="str">
        <f>"90/90"</f>
        <v>90/90</v>
      </c>
      <c r="K14291" s="1" t="str">
        <f>"2026-07-29 14:20:26"</f>
        <v>2026-07-29 14:20:26</v>
      </c>
      <c r="L14291" s="1" t="str">
        <f>"2023-09-19 09:38:32"</f>
        <v>2023-09-19 09:38:32</v>
      </c>
      <c r="M14291" s="1" t="s">
        <v>4</v>
      </c>
      <c r="N14291" s="1" t="s">
        <v>38</v>
      </c>
      <c r="O14291" s="1" t="s">
        <v>46</v>
      </c>
    </row>
    <row r="14292" spans="2:15" x14ac:dyDescent="0.3">
      <c r="B14292" s="1" t="s">
        <v>19</v>
      </c>
      <c r="C14292" s="1" t="str">
        <f>"5-2차"</f>
        <v>5-2차</v>
      </c>
      <c r="D14292" s="1" t="str">
        <f>"0030F9655S"</f>
        <v>0030F9655S</v>
      </c>
      <c r="E14292" s="1" t="s">
        <v>10</v>
      </c>
      <c r="F14292" s="1" t="str">
        <f>"fde1:103:4:5a48:0:0:0:2"</f>
        <v>fde1:103:4:5a48:0:0:0:2</v>
      </c>
      <c r="G14292" s="1" t="str">
        <f>"0030F965"</f>
        <v>0030F965</v>
      </c>
      <c r="H14292" s="1" t="str">
        <f>"우이간 48L5"</f>
        <v>우이간 48L5</v>
      </c>
      <c r="I14292" s="1" t="s">
        <v>15</v>
      </c>
      <c r="J14292" s="1" t="str">
        <f>"35/35"</f>
        <v>35/35</v>
      </c>
      <c r="K14292" s="1" t="str">
        <f>"2026-07-29 14:20:12"</f>
        <v>2026-07-29 14:20:12</v>
      </c>
      <c r="L14292" s="1" t="str">
        <f>"2023-09-19 09:52:08"</f>
        <v>2023-09-19 09:52:08</v>
      </c>
      <c r="M14292" s="1" t="s">
        <v>4</v>
      </c>
      <c r="N14292" s="1" t="s">
        <v>38</v>
      </c>
      <c r="O14292" s="1" t="s">
        <v>46</v>
      </c>
    </row>
    <row r="14293" spans="2:15" x14ac:dyDescent="0.3">
      <c r="B14293" s="1" t="s">
        <v>19</v>
      </c>
      <c r="C14293" s="1" t="str">
        <f>"5-1차"</f>
        <v>5-1차</v>
      </c>
      <c r="D14293" s="1" t="str">
        <f>"0030G6185M"</f>
        <v>0030G6185M</v>
      </c>
      <c r="E14293" s="1" t="s">
        <v>10</v>
      </c>
      <c r="F14293" s="1" t="str">
        <f>"fde2:104:0:7f:0:0:0:2"</f>
        <v>fde2:104:0:7f:0:0:0:2</v>
      </c>
      <c r="G14293" s="1" t="str">
        <f>"0030G618"</f>
        <v>0030G618</v>
      </c>
      <c r="H14293" s="1" t="str">
        <f>"한신SW 1R3"</f>
        <v>한신SW 1R3</v>
      </c>
      <c r="I14293" s="1" t="s">
        <v>15</v>
      </c>
      <c r="J14293" s="1" t="str">
        <f>"52/52"</f>
        <v>52/52</v>
      </c>
      <c r="K14293" s="1" t="str">
        <f>"2026-07-29 14:20:27"</f>
        <v>2026-07-29 14:20:27</v>
      </c>
      <c r="L14293" s="1" t="str">
        <f>"2022-08-26 11:04:53"</f>
        <v>2022-08-26 11:04:53</v>
      </c>
      <c r="M14293" s="1" t="s">
        <v>42</v>
      </c>
      <c r="N14293" s="1" t="s">
        <v>38</v>
      </c>
      <c r="O14293" s="1" t="s">
        <v>46</v>
      </c>
    </row>
    <row r="14294" spans="2:15" x14ac:dyDescent="0.3">
      <c r="B14294" s="1" t="s">
        <v>19</v>
      </c>
      <c r="C14294" s="1" t="str">
        <f>"1차"</f>
        <v>1차</v>
      </c>
      <c r="D14294" s="1" t="str">
        <f>"0030G84300"</f>
        <v>0030G84300</v>
      </c>
      <c r="E14294" s="1" t="s">
        <v>10</v>
      </c>
      <c r="F14294" s="1" t="str">
        <f>"10.107.120.132"</f>
        <v>10.107.120.132</v>
      </c>
      <c r="G14294" s="1" t="str">
        <f>"0030G843"</f>
        <v>0030G843</v>
      </c>
      <c r="H14294" s="1" t="str">
        <f>"한신지 23R18"</f>
        <v>한신지 23R18</v>
      </c>
      <c r="I14294" s="1" t="s">
        <v>8</v>
      </c>
      <c r="J14294" s="1" t="str">
        <f>"18/18"</f>
        <v>18/18</v>
      </c>
      <c r="K14294" s="1" t="str">
        <f>"2026-07-29 13:18:01"</f>
        <v>2026-07-29 13:18:01</v>
      </c>
      <c r="L14294" s="1" t="str">
        <f>"2014-09-30 18:26:58"</f>
        <v>2014-09-30 18:26:58</v>
      </c>
      <c r="M14294" s="1" t="s">
        <v>45</v>
      </c>
      <c r="N14294" s="1" t="s">
        <v>38</v>
      </c>
      <c r="O14294" s="1" t="s">
        <v>46</v>
      </c>
    </row>
    <row r="14295" spans="2:15" x14ac:dyDescent="0.3">
      <c r="B14295" s="1" t="s">
        <v>19</v>
      </c>
      <c r="C14295" s="1" t="str">
        <f>"4차"</f>
        <v>4차</v>
      </c>
      <c r="D14295" s="1" t="str">
        <f>"0030G90341"</f>
        <v>0030G90341</v>
      </c>
      <c r="E14295" s="1" t="s">
        <v>10</v>
      </c>
      <c r="F14295" s="1" t="str">
        <f>"10.12.135.43"</f>
        <v>10.12.135.43</v>
      </c>
      <c r="G14295" s="1" t="str">
        <f>"0030G903"</f>
        <v>0030G903</v>
      </c>
      <c r="H14295" s="1" t="str">
        <f>"한신지 23R7L4R6"</f>
        <v>한신지 23R7L4R6</v>
      </c>
      <c r="I14295" s="1" t="s">
        <v>17</v>
      </c>
      <c r="J14295" s="1" t="str">
        <f>"22/22"</f>
        <v>22/22</v>
      </c>
      <c r="K14295" s="1" t="str">
        <f>"2026-07-29 13:18:01"</f>
        <v>2026-07-29 13:18:01</v>
      </c>
      <c r="L14295" s="1" t="str">
        <f>"2021-08-10 14:02:25"</f>
        <v>2021-08-10 14:02:25</v>
      </c>
      <c r="M14295" s="1" t="s">
        <v>0</v>
      </c>
      <c r="N14295" s="1" t="s">
        <v>38</v>
      </c>
      <c r="O14295" s="1" t="s">
        <v>46</v>
      </c>
    </row>
    <row r="14296" spans="2:15" x14ac:dyDescent="0.3">
      <c r="B14296" s="1" t="s">
        <v>19</v>
      </c>
      <c r="C14296" s="1" t="str">
        <f>"4차"</f>
        <v>4차</v>
      </c>
      <c r="D14296" s="1" t="str">
        <f>"0030G92241"</f>
        <v>0030G92241</v>
      </c>
      <c r="E14296" s="1" t="s">
        <v>10</v>
      </c>
      <c r="F14296" s="1" t="str">
        <f>"10.12.133.82"</f>
        <v>10.12.133.82</v>
      </c>
      <c r="G14296" s="1" t="str">
        <f>"0030G922"</f>
        <v>0030G922</v>
      </c>
      <c r="H14296" s="1" t="str">
        <f>"한신지 23R7L4R5R2"</f>
        <v>한신지 23R7L4R5R2</v>
      </c>
      <c r="I14296" s="1" t="s">
        <v>17</v>
      </c>
      <c r="J14296" s="1" t="str">
        <f>"23/23"</f>
        <v>23/23</v>
      </c>
      <c r="K14296" s="1" t="str">
        <f>"2026-07-29 13:18:01"</f>
        <v>2026-07-29 13:18:01</v>
      </c>
      <c r="L14296" s="1" t="str">
        <f>"2021-08-10 12:13:56"</f>
        <v>2021-08-10 12:13:56</v>
      </c>
      <c r="M14296" s="1" t="s">
        <v>0</v>
      </c>
      <c r="N14296" s="1" t="s">
        <v>38</v>
      </c>
      <c r="O14296" s="1" t="s">
        <v>46</v>
      </c>
    </row>
    <row r="14297" spans="2:15" x14ac:dyDescent="0.3">
      <c r="B14297" s="1" t="s">
        <v>19</v>
      </c>
      <c r="C14297" s="1" t="str">
        <f>"5-2차"</f>
        <v>5-2차</v>
      </c>
      <c r="D14297" s="1" t="str">
        <f>"0030G9315M"</f>
        <v>0030G9315M</v>
      </c>
      <c r="E14297" s="1" t="s">
        <v>10</v>
      </c>
      <c r="F14297" s="1" t="str">
        <f>"fde3:102:1410:3200:0:0:0:8"</f>
        <v>fde3:102:1410:3200:0:0:0:8</v>
      </c>
      <c r="G14297" s="1" t="str">
        <f>"0030G931"</f>
        <v>0030G931</v>
      </c>
      <c r="H14297" s="1" t="str">
        <f>"한신지 23R15L1"</f>
        <v>한신지 23R15L1</v>
      </c>
      <c r="I14297" s="1" t="s">
        <v>15</v>
      </c>
      <c r="J14297" s="1" t="str">
        <f>"65/65"</f>
        <v>65/65</v>
      </c>
      <c r="K14297" s="1" t="str">
        <f>"2026-07-29 14:20:00"</f>
        <v>2026-07-29 14:20:00</v>
      </c>
      <c r="L14297" s="1" t="str">
        <f>"2023-08-23 21:10:17"</f>
        <v>2023-08-23 21:10:17</v>
      </c>
      <c r="M14297" s="1" t="s">
        <v>45</v>
      </c>
      <c r="N14297" s="1" t="s">
        <v>38</v>
      </c>
      <c r="O14297" s="1" t="s">
        <v>46</v>
      </c>
    </row>
    <row r="14298" spans="2:15" x14ac:dyDescent="0.3">
      <c r="B14298" s="1" t="s">
        <v>19</v>
      </c>
      <c r="C14298" s="1" t="str">
        <f>"4차"</f>
        <v>4차</v>
      </c>
      <c r="D14298" s="1" t="str">
        <f>"0030G95241"</f>
        <v>0030G95241</v>
      </c>
      <c r="E14298" s="1" t="s">
        <v>10</v>
      </c>
      <c r="F14298" s="1" t="str">
        <f>"10.12.129.79"</f>
        <v>10.12.129.79</v>
      </c>
      <c r="G14298" s="1" t="str">
        <f>"0030G952"</f>
        <v>0030G952</v>
      </c>
      <c r="H14298" s="1" t="str">
        <f>"한신지 23R18R2"</f>
        <v>한신지 23R18R2</v>
      </c>
      <c r="I14298" s="1" t="s">
        <v>17</v>
      </c>
      <c r="J14298" s="1" t="str">
        <f>"45/45"</f>
        <v>45/45</v>
      </c>
      <c r="K14298" s="1" t="str">
        <f>"2026-07-29 13:18:02"</f>
        <v>2026-07-29 13:18:02</v>
      </c>
      <c r="L14298" s="1" t="str">
        <f>"2021-08-10 11:31:03"</f>
        <v>2021-08-10 11:31:03</v>
      </c>
      <c r="M14298" s="1" t="s">
        <v>0</v>
      </c>
      <c r="N14298" s="1" t="s">
        <v>38</v>
      </c>
      <c r="O14298" s="1" t="s">
        <v>46</v>
      </c>
    </row>
    <row r="14299" spans="2:15" x14ac:dyDescent="0.3">
      <c r="B14299" s="1" t="s">
        <v>19</v>
      </c>
      <c r="C14299" s="1" t="str">
        <f>"4차"</f>
        <v>4차</v>
      </c>
      <c r="D14299" s="1" t="str">
        <f>"0030H10241"</f>
        <v>0030H10241</v>
      </c>
      <c r="E14299" s="1" t="s">
        <v>10</v>
      </c>
      <c r="F14299" s="1" t="str">
        <f>"10.12.128.127"</f>
        <v>10.12.128.127</v>
      </c>
      <c r="G14299" s="1" t="str">
        <f>"0030H102"</f>
        <v>0030H102</v>
      </c>
      <c r="H14299" s="1" t="str">
        <f>"한신지 23R7L6"</f>
        <v>한신지 23R7L6</v>
      </c>
      <c r="I14299" s="1" t="s">
        <v>17</v>
      </c>
      <c r="J14299" s="1" t="str">
        <f>"7/7"</f>
        <v>7/7</v>
      </c>
      <c r="K14299" s="1" t="str">
        <f>"2026-07-29 13:18:01"</f>
        <v>2026-07-29 13:18:01</v>
      </c>
      <c r="L14299" s="1" t="str">
        <f>"2021-08-10 14:43:14"</f>
        <v>2021-08-10 14:43:14</v>
      </c>
      <c r="M14299" s="1" t="s">
        <v>0</v>
      </c>
      <c r="N14299" s="1" t="s">
        <v>38</v>
      </c>
      <c r="O14299" s="1" t="s">
        <v>46</v>
      </c>
    </row>
    <row r="14300" spans="2:15" x14ac:dyDescent="0.3">
      <c r="B14300" s="1" t="s">
        <v>19</v>
      </c>
      <c r="C14300" s="1" t="str">
        <f>"5-2차"</f>
        <v>5-2차</v>
      </c>
      <c r="D14300" s="1" t="str">
        <f>"0030H1115S"</f>
        <v>0030H1115S</v>
      </c>
      <c r="E14300" s="1" t="s">
        <v>10</v>
      </c>
      <c r="F14300" s="1" t="str">
        <f>"fde3:102:1410:3200:0:0:0:7"</f>
        <v>fde3:102:1410:3200:0:0:0:7</v>
      </c>
      <c r="G14300" s="1" t="str">
        <f>"0030H111"</f>
        <v>0030H111</v>
      </c>
      <c r="H14300" s="1" t="str">
        <f>"한신지 23R7L4R2"</f>
        <v>한신지 23R7L4R2</v>
      </c>
      <c r="I14300" s="1" t="s">
        <v>15</v>
      </c>
      <c r="J14300" s="1" t="str">
        <f>"29/29"</f>
        <v>29/29</v>
      </c>
      <c r="K14300" s="1" t="str">
        <f>"2026-07-29 14:20:26"</f>
        <v>2026-07-29 14:20:26</v>
      </c>
      <c r="L14300" s="1" t="str">
        <f>"2023-06-13 14:05:09"</f>
        <v>2023-06-13 14:05:09</v>
      </c>
      <c r="M14300" s="1" t="s">
        <v>45</v>
      </c>
      <c r="N14300" s="1" t="s">
        <v>38</v>
      </c>
      <c r="O14300" s="1" t="s">
        <v>46</v>
      </c>
    </row>
    <row r="14301" spans="2:15" x14ac:dyDescent="0.3">
      <c r="B14301" s="1" t="s">
        <v>19</v>
      </c>
      <c r="C14301" s="1" t="str">
        <f>"5-2차"</f>
        <v>5-2차</v>
      </c>
      <c r="D14301" s="1" t="str">
        <f>"0030H1325S"</f>
        <v>0030H1325S</v>
      </c>
      <c r="E14301" s="1" t="s">
        <v>10</v>
      </c>
      <c r="F14301" s="1" t="str">
        <f>"fde3:102:1410:3200:0:0:0:a"</f>
        <v>fde3:102:1410:3200:0:0:0:a</v>
      </c>
      <c r="G14301" s="1" t="str">
        <f>"0030H132"</f>
        <v>0030H132</v>
      </c>
      <c r="H14301" s="1" t="str">
        <f>"한신지 23R9L3"</f>
        <v>한신지 23R9L3</v>
      </c>
      <c r="I14301" s="1" t="s">
        <v>15</v>
      </c>
      <c r="J14301" s="1" t="str">
        <f>"32/32"</f>
        <v>32/32</v>
      </c>
      <c r="K14301" s="1" t="str">
        <f>"2026-07-29 08:20:16"</f>
        <v>2026-07-29 08:20:16</v>
      </c>
      <c r="L14301" s="1" t="str">
        <f>"2023-11-29 14:16:27"</f>
        <v>2023-11-29 14:16:27</v>
      </c>
      <c r="M14301" s="1" t="s">
        <v>45</v>
      </c>
      <c r="N14301" s="1" t="s">
        <v>38</v>
      </c>
      <c r="O14301" s="1" t="s">
        <v>46</v>
      </c>
    </row>
    <row r="14302" spans="2:15" x14ac:dyDescent="0.3">
      <c r="B14302" s="1" t="s">
        <v>19</v>
      </c>
      <c r="C14302" s="1" t="str">
        <f>"1차"</f>
        <v>1차</v>
      </c>
      <c r="D14302" s="1" t="str">
        <f>"0030H15100"</f>
        <v>0030H15100</v>
      </c>
      <c r="E14302" s="1" t="s">
        <v>10</v>
      </c>
      <c r="F14302" s="1" t="str">
        <f>"10.107.120.133"</f>
        <v>10.107.120.133</v>
      </c>
      <c r="G14302" s="1" t="str">
        <f>"0030H151"</f>
        <v>0030H151</v>
      </c>
      <c r="H14302" s="1" t="str">
        <f>"한신지 23R18R4"</f>
        <v>한신지 23R18R4</v>
      </c>
      <c r="I14302" s="1" t="s">
        <v>8</v>
      </c>
      <c r="J14302" s="1" t="str">
        <f>"35/35"</f>
        <v>35/35</v>
      </c>
      <c r="K14302" s="1" t="str">
        <f>"2026-07-29 13:18:01"</f>
        <v>2026-07-29 13:18:01</v>
      </c>
      <c r="L14302" s="1" t="str">
        <f>"2014-10-01 10:56:52"</f>
        <v>2014-10-01 10:56:52</v>
      </c>
      <c r="M14302" s="1" t="s">
        <v>45</v>
      </c>
      <c r="N14302" s="1" t="s">
        <v>38</v>
      </c>
      <c r="O14302" s="1" t="s">
        <v>46</v>
      </c>
    </row>
    <row r="14303" spans="2:15" x14ac:dyDescent="0.3">
      <c r="B14303" s="1" t="s">
        <v>19</v>
      </c>
      <c r="C14303" s="1" t="str">
        <f>"1차"</f>
        <v>1차</v>
      </c>
      <c r="D14303" s="1" t="str">
        <f>"0030H18100"</f>
        <v>0030H18100</v>
      </c>
      <c r="E14303" s="1" t="s">
        <v>10</v>
      </c>
      <c r="F14303" s="1" t="str">
        <f>"10.107.120.134"</f>
        <v>10.107.120.134</v>
      </c>
      <c r="G14303" s="1" t="str">
        <f>"0030H181"</f>
        <v>0030H181</v>
      </c>
      <c r="H14303" s="1" t="str">
        <f>"한신지 12R7"</f>
        <v>한신지 12R7</v>
      </c>
      <c r="I14303" s="1" t="s">
        <v>8</v>
      </c>
      <c r="J14303" s="1" t="str">
        <f>"15/17"</f>
        <v>15/17</v>
      </c>
      <c r="K14303" s="1" t="str">
        <f>"2026-07-29 13:18:01"</f>
        <v>2026-07-29 13:18:01</v>
      </c>
      <c r="L14303" s="1" t="str">
        <f>"2014-11-05 15:41:11"</f>
        <v>2014-11-05 15:41:11</v>
      </c>
      <c r="M14303" s="1" t="s">
        <v>45</v>
      </c>
      <c r="N14303" s="1" t="s">
        <v>38</v>
      </c>
      <c r="O14303" s="1" t="s">
        <v>46</v>
      </c>
    </row>
    <row r="14304" spans="2:15" x14ac:dyDescent="0.3">
      <c r="B14304" s="1" t="s">
        <v>19</v>
      </c>
      <c r="C14304" s="1" t="str">
        <f>"5-1차"</f>
        <v>5-1차</v>
      </c>
      <c r="D14304" s="1" t="str">
        <f>"0030H2115M"</f>
        <v>0030H2115M</v>
      </c>
      <c r="E14304" s="1" t="s">
        <v>10</v>
      </c>
      <c r="F14304" s="1" t="str">
        <f>"fde3:102:1410:3200:0:0:0:2"</f>
        <v>fde3:102:1410:3200:0:0:0:2</v>
      </c>
      <c r="G14304" s="1" t="str">
        <f>"0030H211"</f>
        <v>0030H211</v>
      </c>
      <c r="H14304" s="1" t="str">
        <f>"한신지 23R7L3"</f>
        <v>한신지 23R7L3</v>
      </c>
      <c r="I14304" s="1" t="s">
        <v>15</v>
      </c>
      <c r="J14304" s="1" t="str">
        <f>"70/70"</f>
        <v>70/70</v>
      </c>
      <c r="K14304" s="1" t="str">
        <f>"2026-07-29 14:20:13"</f>
        <v>2026-07-29 14:20:13</v>
      </c>
      <c r="L14304" s="1" t="str">
        <f>"2022-09-26 16:14:57"</f>
        <v>2022-09-26 16:14:57</v>
      </c>
      <c r="M14304" s="1" t="s">
        <v>45</v>
      </c>
      <c r="N14304" s="1" t="s">
        <v>38</v>
      </c>
      <c r="O14304" s="1" t="s">
        <v>46</v>
      </c>
    </row>
    <row r="14305" spans="2:15" x14ac:dyDescent="0.3">
      <c r="B14305" s="1" t="s">
        <v>19</v>
      </c>
      <c r="C14305" s="1" t="str">
        <f>"4차"</f>
        <v>4차</v>
      </c>
      <c r="D14305" s="1" t="str">
        <f>"0030H23144"</f>
        <v>0030H23144</v>
      </c>
      <c r="E14305" s="1" t="s">
        <v>10</v>
      </c>
      <c r="F14305" s="1" t="str">
        <f>"10.107.124.220"</f>
        <v>10.107.124.220</v>
      </c>
      <c r="G14305" s="1" t="str">
        <f>"0030H231"</f>
        <v>0030H231</v>
      </c>
      <c r="H14305" s="1" t="str">
        <f>"한신지 23R9L1"</f>
        <v>한신지 23R9L1</v>
      </c>
      <c r="I14305" s="1" t="s">
        <v>8</v>
      </c>
      <c r="J14305" s="1" t="str">
        <f>"13/13"</f>
        <v>13/13</v>
      </c>
      <c r="K14305" s="1" t="str">
        <f>"2026-07-29 13:18:01"</f>
        <v>2026-07-29 13:18:01</v>
      </c>
      <c r="L14305" s="1" t="str">
        <f>"2019-12-13 09:19:01"</f>
        <v>2019-12-13 09:19:01</v>
      </c>
      <c r="M14305" s="1" t="s">
        <v>45</v>
      </c>
      <c r="N14305" s="1" t="s">
        <v>38</v>
      </c>
      <c r="O14305" s="1" t="s">
        <v>46</v>
      </c>
    </row>
    <row r="14306" spans="2:15" x14ac:dyDescent="0.3">
      <c r="B14306" s="1" t="s">
        <v>19</v>
      </c>
      <c r="C14306" s="1" t="str">
        <f>"5-2차"</f>
        <v>5-2차</v>
      </c>
      <c r="D14306" s="1" t="str">
        <f>"0030H2355S"</f>
        <v>0030H2355S</v>
      </c>
      <c r="E14306" s="1" t="s">
        <v>10</v>
      </c>
      <c r="F14306" s="1" t="str">
        <f>"fde3:102:1410:3200:0:0:0:b"</f>
        <v>fde3:102:1410:3200:0:0:0:b</v>
      </c>
      <c r="G14306" s="1" t="str">
        <f>"0030H235"</f>
        <v>0030H235</v>
      </c>
      <c r="H14306" s="1" t="str">
        <f>"한신지 23R9L2"</f>
        <v>한신지 23R9L2</v>
      </c>
      <c r="I14306" s="1" t="s">
        <v>15</v>
      </c>
      <c r="J14306" s="1" t="str">
        <f>"21/21"</f>
        <v>21/21</v>
      </c>
      <c r="K14306" s="1" t="str">
        <f>"2026-07-29 14:20:26"</f>
        <v>2026-07-29 14:20:26</v>
      </c>
      <c r="L14306" s="1" t="str">
        <f>"2023-06-13 14:35:10"</f>
        <v>2023-06-13 14:35:10</v>
      </c>
      <c r="M14306" s="1" t="s">
        <v>45</v>
      </c>
      <c r="N14306" s="1" t="s">
        <v>38</v>
      </c>
      <c r="O14306" s="1" t="s">
        <v>46</v>
      </c>
    </row>
    <row r="14307" spans="2:15" x14ac:dyDescent="0.3">
      <c r="B14307" s="1" t="s">
        <v>19</v>
      </c>
      <c r="C14307" s="1" t="str">
        <f>"5-2차"</f>
        <v>5-2차</v>
      </c>
      <c r="D14307" s="1" t="str">
        <f>"0030H2415S"</f>
        <v>0030H2415S</v>
      </c>
      <c r="E14307" s="1" t="s">
        <v>10</v>
      </c>
      <c r="F14307" s="1" t="str">
        <f>"fde3:102:1410:3200:0:0:0:9"</f>
        <v>fde3:102:1410:3200:0:0:0:9</v>
      </c>
      <c r="G14307" s="1" t="str">
        <f>"0030H241"</f>
        <v>0030H241</v>
      </c>
      <c r="H14307" s="1" t="str">
        <f>"한신지 23R11"</f>
        <v>한신지 23R11</v>
      </c>
      <c r="I14307" s="1" t="s">
        <v>15</v>
      </c>
      <c r="J14307" s="1" t="str">
        <f>"43/43"</f>
        <v>43/43</v>
      </c>
      <c r="K14307" s="1" t="str">
        <f>"2026-07-29 14:20:00"</f>
        <v>2026-07-29 14:20:00</v>
      </c>
      <c r="L14307" s="1" t="str">
        <f>"2023-07-06 11:10:26"</f>
        <v>2023-07-06 11:10:26</v>
      </c>
      <c r="M14307" s="1" t="s">
        <v>45</v>
      </c>
      <c r="N14307" s="1" t="s">
        <v>38</v>
      </c>
      <c r="O14307" s="1" t="s">
        <v>46</v>
      </c>
    </row>
    <row r="14308" spans="2:15" x14ac:dyDescent="0.3">
      <c r="B14308" s="1" t="s">
        <v>19</v>
      </c>
      <c r="C14308" s="1" t="str">
        <f>"1차"</f>
        <v>1차</v>
      </c>
      <c r="D14308" s="1" t="str">
        <f>"0030H27100"</f>
        <v>0030H27100</v>
      </c>
      <c r="E14308" s="1" t="s">
        <v>10</v>
      </c>
      <c r="F14308" s="1" t="str">
        <f>"10.107.252.247"</f>
        <v>10.107.252.247</v>
      </c>
      <c r="G14308" s="1" t="str">
        <f>"0030H271"</f>
        <v>0030H271</v>
      </c>
      <c r="H14308" s="1" t="str">
        <f>"한신지 12R6L2R1"</f>
        <v>한신지 12R6L2R1</v>
      </c>
      <c r="I14308" s="1" t="s">
        <v>8</v>
      </c>
      <c r="J14308" s="1" t="str">
        <f>"90/90"</f>
        <v>90/90</v>
      </c>
      <c r="K14308" s="1" t="str">
        <f>"2026-07-29 13:18:01"</f>
        <v>2026-07-29 13:18:01</v>
      </c>
      <c r="L14308" s="1" t="str">
        <f>"2014-09-28 22:28:14"</f>
        <v>2014-09-28 22:28:14</v>
      </c>
      <c r="M14308" s="1" t="s">
        <v>45</v>
      </c>
      <c r="N14308" s="1" t="s">
        <v>38</v>
      </c>
      <c r="O14308" s="1" t="s">
        <v>46</v>
      </c>
    </row>
    <row r="14309" spans="2:15" x14ac:dyDescent="0.3">
      <c r="B14309" s="1" t="s">
        <v>19</v>
      </c>
      <c r="C14309" s="1" t="str">
        <f>"1차"</f>
        <v>1차</v>
      </c>
      <c r="D14309" s="1" t="str">
        <f>"0030H28301"</f>
        <v>0030H28301</v>
      </c>
      <c r="E14309" s="1" t="s">
        <v>10</v>
      </c>
      <c r="F14309" s="1" t="str">
        <f>"10.107.120.135"</f>
        <v>10.107.120.135</v>
      </c>
      <c r="G14309" s="1" t="str">
        <f>"0030H283"</f>
        <v>0030H283</v>
      </c>
      <c r="H14309" s="1" t="str">
        <f>"한신지 12R6"</f>
        <v>한신지 12R6</v>
      </c>
      <c r="I14309" s="1" t="s">
        <v>8</v>
      </c>
      <c r="J14309" s="1" t="str">
        <f>"23/23"</f>
        <v>23/23</v>
      </c>
      <c r="K14309" s="1" t="str">
        <f>"2026-07-29 13:18:01"</f>
        <v>2026-07-29 13:18:01</v>
      </c>
      <c r="L14309" s="1" t="str">
        <f>"2021-07-21 10:41:40"</f>
        <v>2021-07-21 10:41:40</v>
      </c>
      <c r="M14309" s="1" t="s">
        <v>45</v>
      </c>
      <c r="N14309" s="1" t="s">
        <v>38</v>
      </c>
      <c r="O14309" s="1" t="s">
        <v>46</v>
      </c>
    </row>
    <row r="14310" spans="2:15" x14ac:dyDescent="0.3">
      <c r="B14310" s="1" t="s">
        <v>19</v>
      </c>
      <c r="C14310" s="1" t="str">
        <f>"4차"</f>
        <v>4차</v>
      </c>
      <c r="D14310" s="1" t="str">
        <f>"0030H32144"</f>
        <v>0030H32144</v>
      </c>
      <c r="E14310" s="1" t="s">
        <v>10</v>
      </c>
      <c r="F14310" s="1" t="str">
        <f>"10.107.124.195"</f>
        <v>10.107.124.195</v>
      </c>
      <c r="G14310" s="1" t="str">
        <f>"0030H321"</f>
        <v>0030H321</v>
      </c>
      <c r="H14310" s="1" t="str">
        <f>"한신지 23R7L1"</f>
        <v>한신지 23R7L1</v>
      </c>
      <c r="I14310" s="1" t="s">
        <v>8</v>
      </c>
      <c r="J14310" s="1" t="str">
        <f>"55/55"</f>
        <v>55/55</v>
      </c>
      <c r="K14310" s="1" t="str">
        <f>"2026-07-29 13:18:01"</f>
        <v>2026-07-29 13:18:01</v>
      </c>
      <c r="L14310" s="1" t="str">
        <f>"2019-12-13 09:17:23"</f>
        <v>2019-12-13 09:17:23</v>
      </c>
      <c r="M14310" s="1" t="s">
        <v>45</v>
      </c>
      <c r="N14310" s="1" t="s">
        <v>38</v>
      </c>
      <c r="O14310" s="1" t="s">
        <v>46</v>
      </c>
    </row>
    <row r="14311" spans="2:15" x14ac:dyDescent="0.3">
      <c r="B14311" s="1" t="s">
        <v>19</v>
      </c>
      <c r="C14311" s="1" t="str">
        <f>"4차"</f>
        <v>4차</v>
      </c>
      <c r="D14311" s="1" t="str">
        <f>"0030H33344"</f>
        <v>0030H33344</v>
      </c>
      <c r="E14311" s="1" t="s">
        <v>10</v>
      </c>
      <c r="F14311" s="1" t="str">
        <f>"10.107.124.201"</f>
        <v>10.107.124.201</v>
      </c>
      <c r="G14311" s="1" t="str">
        <f>"0030H333"</f>
        <v>0030H333</v>
      </c>
      <c r="H14311" s="1" t="str">
        <f>"한신지 23R9R1"</f>
        <v>한신지 23R9R1</v>
      </c>
      <c r="I14311" s="1" t="s">
        <v>8</v>
      </c>
      <c r="J14311" s="1" t="str">
        <f>"48/48"</f>
        <v>48/48</v>
      </c>
      <c r="K14311" s="1" t="str">
        <f>"2026-07-29 13:18:01"</f>
        <v>2026-07-29 13:18:01</v>
      </c>
      <c r="L14311" s="1" t="str">
        <f>"2019-12-13 09:10:44"</f>
        <v>2019-12-13 09:10:44</v>
      </c>
      <c r="M14311" s="1" t="s">
        <v>45</v>
      </c>
      <c r="N14311" s="1" t="s">
        <v>38</v>
      </c>
      <c r="O14311" s="1" t="s">
        <v>46</v>
      </c>
    </row>
    <row r="14312" spans="2:15" x14ac:dyDescent="0.3">
      <c r="B14312" s="1" t="s">
        <v>19</v>
      </c>
      <c r="C14312" s="1" t="str">
        <f>"6차"</f>
        <v>6차</v>
      </c>
      <c r="D14312" s="1" t="str">
        <f>"0030H3516S"</f>
        <v>0030H3516S</v>
      </c>
      <c r="E14312" s="1" t="s">
        <v>10</v>
      </c>
      <c r="F14312" s="1" t="str">
        <f>"fde1:103:4:9164:0:0:0:2"</f>
        <v>fde1:103:4:9164:0:0:0:2</v>
      </c>
      <c r="G14312" s="1" t="str">
        <f>"0030H351"</f>
        <v>0030H351</v>
      </c>
      <c r="H14312" s="1" t="str">
        <f>"한신지 12R6L5"</f>
        <v>한신지 12R6L5</v>
      </c>
      <c r="I14312" s="1" t="s">
        <v>15</v>
      </c>
      <c r="J14312" s="1" t="str">
        <f>"41/41"</f>
        <v>41/41</v>
      </c>
      <c r="K14312" s="1" t="str">
        <f>"2026-07-29 14:20:12"</f>
        <v>2026-07-29 14:20:12</v>
      </c>
      <c r="L14312" s="1" t="str">
        <f>"2025-02-18 15:49:10"</f>
        <v>2025-02-18 15:49:10</v>
      </c>
      <c r="M14312" s="1" t="s">
        <v>4</v>
      </c>
      <c r="N14312" s="1" t="s">
        <v>38</v>
      </c>
      <c r="O14312" s="1" t="s">
        <v>46</v>
      </c>
    </row>
    <row r="14313" spans="2:15" x14ac:dyDescent="0.3">
      <c r="B14313" s="1" t="s">
        <v>19</v>
      </c>
      <c r="C14313" s="1" t="str">
        <f>"4차"</f>
        <v>4차</v>
      </c>
      <c r="D14313" s="1" t="str">
        <f>"0030H35244"</f>
        <v>0030H35244</v>
      </c>
      <c r="E14313" s="1" t="s">
        <v>10</v>
      </c>
      <c r="F14313" s="1" t="str">
        <f>"10.107.252.254"</f>
        <v>10.107.252.254</v>
      </c>
      <c r="G14313" s="1" t="str">
        <f>"0030H352"</f>
        <v>0030H352</v>
      </c>
      <c r="H14313" s="1" t="str">
        <f>"한신지 23R3R4"</f>
        <v>한신지 23R3R4</v>
      </c>
      <c r="I14313" s="1" t="s">
        <v>8</v>
      </c>
      <c r="J14313" s="1" t="str">
        <f>"16/16"</f>
        <v>16/16</v>
      </c>
      <c r="K14313" s="1" t="str">
        <f>"2026-07-29 13:18:01"</f>
        <v>2026-07-29 13:18:01</v>
      </c>
      <c r="L14313" s="1" t="str">
        <f>"2019-12-24 17:39:23"</f>
        <v>2019-12-24 17:39:23</v>
      </c>
      <c r="M14313" s="1" t="s">
        <v>45</v>
      </c>
      <c r="N14313" s="1" t="s">
        <v>38</v>
      </c>
      <c r="O14313" s="1" t="s">
        <v>46</v>
      </c>
    </row>
    <row r="14314" spans="2:15" x14ac:dyDescent="0.3">
      <c r="B14314" s="1" t="s">
        <v>19</v>
      </c>
      <c r="C14314" s="1" t="str">
        <f>"6차"</f>
        <v>6차</v>
      </c>
      <c r="D14314" s="1" t="str">
        <f>"0030H3726S"</f>
        <v>0030H3726S</v>
      </c>
      <c r="E14314" s="1" t="s">
        <v>10</v>
      </c>
      <c r="F14314" s="1" t="str">
        <f>"fde1:103:4:5829:0:0:0:2"</f>
        <v>fde1:103:4:5829:0:0:0:2</v>
      </c>
      <c r="G14314" s="1" t="str">
        <f>"0030H372"</f>
        <v>0030H372</v>
      </c>
      <c r="H14314" s="1" t="str">
        <f>"한신지 12R6L3"</f>
        <v>한신지 12R6L3</v>
      </c>
      <c r="I14314" s="1" t="s">
        <v>15</v>
      </c>
      <c r="J14314" s="1" t="str">
        <f>"56/56"</f>
        <v>56/56</v>
      </c>
      <c r="K14314" s="1" t="str">
        <f>"2026-07-29 14:20:46"</f>
        <v>2026-07-29 14:20:46</v>
      </c>
      <c r="L14314" s="1" t="str">
        <f>"2025-02-18 15:51:54"</f>
        <v>2025-02-18 15:51:54</v>
      </c>
      <c r="M14314" s="1" t="s">
        <v>4</v>
      </c>
      <c r="N14314" s="1" t="s">
        <v>38</v>
      </c>
      <c r="O14314" s="1" t="s">
        <v>46</v>
      </c>
    </row>
    <row r="14315" spans="2:15" x14ac:dyDescent="0.3">
      <c r="B14315" s="1" t="s">
        <v>19</v>
      </c>
      <c r="C14315" s="1" t="str">
        <f t="shared" ref="C14315:C14322" si="726">"4차"</f>
        <v>4차</v>
      </c>
      <c r="D14315" s="1" t="str">
        <f>"0030H40144"</f>
        <v>0030H40144</v>
      </c>
      <c r="E14315" s="1" t="s">
        <v>10</v>
      </c>
      <c r="F14315" s="1" t="str">
        <f>"10.107.124.196"</f>
        <v>10.107.124.196</v>
      </c>
      <c r="G14315" s="1" t="str">
        <f>"0030H401"</f>
        <v>0030H401</v>
      </c>
      <c r="H14315" s="1" t="str">
        <f>"한신지 23R7L2L2"</f>
        <v>한신지 23R7L2L2</v>
      </c>
      <c r="I14315" s="1" t="s">
        <v>8</v>
      </c>
      <c r="J14315" s="1" t="str">
        <f>"54/56"</f>
        <v>54/56</v>
      </c>
      <c r="K14315" s="1" t="str">
        <f>"2026-07-29 13:18:01"</f>
        <v>2026-07-29 13:18:01</v>
      </c>
      <c r="L14315" s="1" t="str">
        <f>"2020-02-10 18:37:33"</f>
        <v>2020-02-10 18:37:33</v>
      </c>
      <c r="M14315" s="1" t="s">
        <v>45</v>
      </c>
      <c r="N14315" s="1" t="s">
        <v>38</v>
      </c>
      <c r="O14315" s="1" t="s">
        <v>46</v>
      </c>
    </row>
    <row r="14316" spans="2:15" x14ac:dyDescent="0.3">
      <c r="B14316" s="1" t="s">
        <v>19</v>
      </c>
      <c r="C14316" s="1" t="str">
        <f t="shared" si="726"/>
        <v>4차</v>
      </c>
      <c r="D14316" s="1" t="str">
        <f>"0030H40341"</f>
        <v>0030H40341</v>
      </c>
      <c r="E14316" s="1" t="s">
        <v>10</v>
      </c>
      <c r="F14316" s="1" t="str">
        <f>"10.14.13.30"</f>
        <v>10.14.13.30</v>
      </c>
      <c r="G14316" s="1" t="str">
        <f>"0030H403"</f>
        <v>0030H403</v>
      </c>
      <c r="H14316" s="1" t="str">
        <f>"한신지 23R7L2L3"</f>
        <v>한신지 23R7L2L3</v>
      </c>
      <c r="I14316" s="1" t="s">
        <v>17</v>
      </c>
      <c r="J14316" s="1" t="str">
        <f>"33/40"</f>
        <v>33/40</v>
      </c>
      <c r="K14316" s="1" t="str">
        <f>"2026-07-29 13:18:02"</f>
        <v>2026-07-29 13:18:02</v>
      </c>
      <c r="L14316" s="1" t="str">
        <f>"2021-06-15 13:58:47"</f>
        <v>2021-06-15 13:58:47</v>
      </c>
      <c r="M14316" s="1" t="s">
        <v>3</v>
      </c>
      <c r="N14316" s="1" t="s">
        <v>38</v>
      </c>
      <c r="O14316" s="1" t="s">
        <v>46</v>
      </c>
    </row>
    <row r="14317" spans="2:15" x14ac:dyDescent="0.3">
      <c r="B14317" s="1" t="s">
        <v>19</v>
      </c>
      <c r="C14317" s="1" t="str">
        <f t="shared" si="726"/>
        <v>4차</v>
      </c>
      <c r="D14317" s="1" t="str">
        <f>"0030H42144"</f>
        <v>0030H42144</v>
      </c>
      <c r="E14317" s="1" t="s">
        <v>10</v>
      </c>
      <c r="F14317" s="1" t="str">
        <f>"10.107.124.219"</f>
        <v>10.107.124.219</v>
      </c>
      <c r="G14317" s="1" t="str">
        <f>"0030H421"</f>
        <v>0030H421</v>
      </c>
      <c r="H14317" s="1" t="str">
        <f>"한신지 23R7"</f>
        <v>한신지 23R7</v>
      </c>
      <c r="I14317" s="1" t="s">
        <v>8</v>
      </c>
      <c r="J14317" s="1" t="str">
        <f>"50/50"</f>
        <v>50/50</v>
      </c>
      <c r="K14317" s="1" t="str">
        <f t="shared" ref="K14317:K14324" si="727">"2026-07-29 13:18:01"</f>
        <v>2026-07-29 13:18:01</v>
      </c>
      <c r="L14317" s="1" t="str">
        <f>"2019-12-13 09:11:27"</f>
        <v>2019-12-13 09:11:27</v>
      </c>
      <c r="M14317" s="1" t="s">
        <v>45</v>
      </c>
      <c r="N14317" s="1" t="s">
        <v>38</v>
      </c>
      <c r="O14317" s="1" t="s">
        <v>46</v>
      </c>
    </row>
    <row r="14318" spans="2:15" x14ac:dyDescent="0.3">
      <c r="B14318" s="1" t="s">
        <v>19</v>
      </c>
      <c r="C14318" s="1" t="str">
        <f t="shared" si="726"/>
        <v>4차</v>
      </c>
      <c r="D14318" s="1" t="str">
        <f>"0030H43244"</f>
        <v>0030H43244</v>
      </c>
      <c r="E14318" s="1" t="s">
        <v>10</v>
      </c>
      <c r="F14318" s="1" t="str">
        <f>"10.107.124.194"</f>
        <v>10.107.124.194</v>
      </c>
      <c r="G14318" s="1" t="str">
        <f>"0030H432"</f>
        <v>0030H432</v>
      </c>
      <c r="H14318" s="1" t="str">
        <f>"한신지 23R6"</f>
        <v>한신지 23R6</v>
      </c>
      <c r="I14318" s="1" t="s">
        <v>8</v>
      </c>
      <c r="J14318" s="1" t="str">
        <f>"59/59"</f>
        <v>59/59</v>
      </c>
      <c r="K14318" s="1" t="str">
        <f t="shared" si="727"/>
        <v>2026-07-29 13:18:01</v>
      </c>
      <c r="L14318" s="1" t="str">
        <f>"2020-01-21 18:58:32"</f>
        <v>2020-01-21 18:58:32</v>
      </c>
      <c r="M14318" s="1" t="s">
        <v>45</v>
      </c>
      <c r="N14318" s="1" t="s">
        <v>38</v>
      </c>
      <c r="O14318" s="1" t="s">
        <v>46</v>
      </c>
    </row>
    <row r="14319" spans="2:15" x14ac:dyDescent="0.3">
      <c r="B14319" s="1" t="s">
        <v>19</v>
      </c>
      <c r="C14319" s="1" t="str">
        <f t="shared" si="726"/>
        <v>4차</v>
      </c>
      <c r="D14319" s="1" t="str">
        <f>"0030H44244"</f>
        <v>0030H44244</v>
      </c>
      <c r="E14319" s="1" t="s">
        <v>10</v>
      </c>
      <c r="F14319" s="1" t="str">
        <f>"10.107.252.245"</f>
        <v>10.107.252.245</v>
      </c>
      <c r="G14319" s="1" t="str">
        <f>"0030H442"</f>
        <v>0030H442</v>
      </c>
      <c r="H14319" s="1" t="str">
        <f>"한신지 23R3R2"</f>
        <v>한신지 23R3R2</v>
      </c>
      <c r="I14319" s="1" t="s">
        <v>8</v>
      </c>
      <c r="J14319" s="1" t="str">
        <f>"37/37"</f>
        <v>37/37</v>
      </c>
      <c r="K14319" s="1" t="str">
        <f t="shared" si="727"/>
        <v>2026-07-29 13:18:01</v>
      </c>
      <c r="L14319" s="1" t="str">
        <f>"2019-12-13 09:16:17"</f>
        <v>2019-12-13 09:16:17</v>
      </c>
      <c r="M14319" s="1" t="s">
        <v>45</v>
      </c>
      <c r="N14319" s="1" t="s">
        <v>38</v>
      </c>
      <c r="O14319" s="1" t="s">
        <v>46</v>
      </c>
    </row>
    <row r="14320" spans="2:15" x14ac:dyDescent="0.3">
      <c r="B14320" s="1" t="s">
        <v>19</v>
      </c>
      <c r="C14320" s="1" t="str">
        <f t="shared" si="726"/>
        <v>4차</v>
      </c>
      <c r="D14320" s="1" t="str">
        <f>"0030H47244"</f>
        <v>0030H47244</v>
      </c>
      <c r="E14320" s="1" t="s">
        <v>10</v>
      </c>
      <c r="F14320" s="1" t="str">
        <f>"10.107.252.242"</f>
        <v>10.107.252.242</v>
      </c>
      <c r="G14320" s="1" t="str">
        <f>"0030H472"</f>
        <v>0030H472</v>
      </c>
      <c r="H14320" s="1" t="str">
        <f>"한신지 12R6L3L2"</f>
        <v>한신지 12R6L3L2</v>
      </c>
      <c r="I14320" s="1" t="s">
        <v>8</v>
      </c>
      <c r="J14320" s="1" t="str">
        <f>"66/69"</f>
        <v>66/69</v>
      </c>
      <c r="K14320" s="1" t="str">
        <f t="shared" si="727"/>
        <v>2026-07-29 13:18:01</v>
      </c>
      <c r="L14320" s="1" t="str">
        <f>"2019-12-13 09:18:26"</f>
        <v>2019-12-13 09:18:26</v>
      </c>
      <c r="M14320" s="1" t="s">
        <v>45</v>
      </c>
      <c r="N14320" s="1" t="s">
        <v>38</v>
      </c>
      <c r="O14320" s="1" t="s">
        <v>46</v>
      </c>
    </row>
    <row r="14321" spans="2:15" x14ac:dyDescent="0.3">
      <c r="B14321" s="1" t="s">
        <v>19</v>
      </c>
      <c r="C14321" s="1" t="str">
        <f t="shared" si="726"/>
        <v>4차</v>
      </c>
      <c r="D14321" s="1" t="str">
        <f>"0030H54144"</f>
        <v>0030H54144</v>
      </c>
      <c r="E14321" s="1" t="s">
        <v>10</v>
      </c>
      <c r="F14321" s="1" t="str">
        <f>"10.107.252.244"</f>
        <v>10.107.252.244</v>
      </c>
      <c r="G14321" s="1" t="str">
        <f>"0030H541"</f>
        <v>0030H541</v>
      </c>
      <c r="H14321" s="1" t="str">
        <f>"한신지 23R3"</f>
        <v>한신지 23R3</v>
      </c>
      <c r="I14321" s="1" t="s">
        <v>8</v>
      </c>
      <c r="J14321" s="1" t="str">
        <f>"99/99"</f>
        <v>99/99</v>
      </c>
      <c r="K14321" s="1" t="str">
        <f t="shared" si="727"/>
        <v>2026-07-29 13:18:01</v>
      </c>
      <c r="L14321" s="1" t="str">
        <f>"2019-12-13 09:10:48"</f>
        <v>2019-12-13 09:10:48</v>
      </c>
      <c r="M14321" s="1" t="s">
        <v>45</v>
      </c>
      <c r="N14321" s="1" t="s">
        <v>38</v>
      </c>
      <c r="O14321" s="1" t="s">
        <v>46</v>
      </c>
    </row>
    <row r="14322" spans="2:15" x14ac:dyDescent="0.3">
      <c r="B14322" s="1" t="s">
        <v>19</v>
      </c>
      <c r="C14322" s="1" t="str">
        <f t="shared" si="726"/>
        <v>4차</v>
      </c>
      <c r="D14322" s="1" t="str">
        <f>"0030H57144"</f>
        <v>0030H57144</v>
      </c>
      <c r="E14322" s="1" t="s">
        <v>10</v>
      </c>
      <c r="F14322" s="1" t="str">
        <f>"10.107.120.137"</f>
        <v>10.107.120.137</v>
      </c>
      <c r="G14322" s="1" t="str">
        <f>"0030H571"</f>
        <v>0030H571</v>
      </c>
      <c r="H14322" s="1" t="str">
        <f>"한신지 12R2L4"</f>
        <v>한신지 12R2L4</v>
      </c>
      <c r="I14322" s="1" t="s">
        <v>8</v>
      </c>
      <c r="J14322" s="1" t="str">
        <f>"35/40"</f>
        <v>35/40</v>
      </c>
      <c r="K14322" s="1" t="str">
        <f t="shared" si="727"/>
        <v>2026-07-29 13:18:01</v>
      </c>
      <c r="L14322" s="1" t="str">
        <f>"2019-12-13 09:05:18"</f>
        <v>2019-12-13 09:05:18</v>
      </c>
      <c r="M14322" s="1" t="s">
        <v>45</v>
      </c>
      <c r="N14322" s="1" t="s">
        <v>38</v>
      </c>
      <c r="O14322" s="1" t="s">
        <v>46</v>
      </c>
    </row>
    <row r="14323" spans="2:15" x14ac:dyDescent="0.3">
      <c r="B14323" s="1" t="s">
        <v>19</v>
      </c>
      <c r="C14323" s="1" t="str">
        <f>"1차"</f>
        <v>1차</v>
      </c>
      <c r="D14323" s="1" t="str">
        <f>"0030H59100"</f>
        <v>0030H59100</v>
      </c>
      <c r="E14323" s="1" t="s">
        <v>10</v>
      </c>
      <c r="F14323" s="1" t="str">
        <f>"10.107.120.139"</f>
        <v>10.107.120.139</v>
      </c>
      <c r="G14323" s="1" t="str">
        <f>"0030H591"</f>
        <v>0030H591</v>
      </c>
      <c r="H14323" s="1" t="str">
        <f>"한신지 12R2L1"</f>
        <v>한신지 12R2L1</v>
      </c>
      <c r="I14323" s="1" t="s">
        <v>8</v>
      </c>
      <c r="J14323" s="1" t="str">
        <f>"113/113"</f>
        <v>113/113</v>
      </c>
      <c r="K14323" s="1" t="str">
        <f t="shared" si="727"/>
        <v>2026-07-29 13:18:01</v>
      </c>
      <c r="L14323" s="1" t="str">
        <f>"2014-09-28 07:27:46"</f>
        <v>2014-09-28 07:27:46</v>
      </c>
      <c r="M14323" s="1" t="s">
        <v>45</v>
      </c>
      <c r="N14323" s="1" t="s">
        <v>38</v>
      </c>
      <c r="O14323" s="1" t="s">
        <v>46</v>
      </c>
    </row>
    <row r="14324" spans="2:15" x14ac:dyDescent="0.3">
      <c r="B14324" s="1" t="s">
        <v>19</v>
      </c>
      <c r="C14324" s="1" t="str">
        <f>"4차"</f>
        <v>4차</v>
      </c>
      <c r="D14324" s="1" t="str">
        <f>"0030H64144"</f>
        <v>0030H64144</v>
      </c>
      <c r="E14324" s="1" t="s">
        <v>10</v>
      </c>
      <c r="F14324" s="1" t="str">
        <f>"10.107.252.243"</f>
        <v>10.107.252.243</v>
      </c>
      <c r="G14324" s="1" t="str">
        <f>"0030H641"</f>
        <v>0030H641</v>
      </c>
      <c r="H14324" s="1" t="str">
        <f>"한신지 23R2"</f>
        <v>한신지 23R2</v>
      </c>
      <c r="I14324" s="1" t="s">
        <v>8</v>
      </c>
      <c r="J14324" s="1" t="str">
        <f>"35/35"</f>
        <v>35/35</v>
      </c>
      <c r="K14324" s="1" t="str">
        <f t="shared" si="727"/>
        <v>2026-07-29 13:18:01</v>
      </c>
      <c r="L14324" s="1" t="str">
        <f>"2020-01-17 10:11:06"</f>
        <v>2020-01-17 10:11:06</v>
      </c>
      <c r="M14324" s="1" t="s">
        <v>45</v>
      </c>
      <c r="N14324" s="1" t="s">
        <v>38</v>
      </c>
      <c r="O14324" s="1" t="s">
        <v>46</v>
      </c>
    </row>
    <row r="14325" spans="2:15" x14ac:dyDescent="0.3">
      <c r="B14325" s="1" t="s">
        <v>19</v>
      </c>
      <c r="C14325" s="1" t="str">
        <f>"6차"</f>
        <v>6차</v>
      </c>
      <c r="D14325" s="1" t="str">
        <f>"0030H6636S"</f>
        <v>0030H6636S</v>
      </c>
      <c r="E14325" s="1" t="s">
        <v>10</v>
      </c>
      <c r="F14325" s="1" t="str">
        <f>"fde1:103:4:9323:0:0:0:2"</f>
        <v>fde1:103:4:9323:0:0:0:2</v>
      </c>
      <c r="G14325" s="1" t="str">
        <f>"0030H663"</f>
        <v>0030H663</v>
      </c>
      <c r="H14325" s="1" t="str">
        <f>"한신지 21R2"</f>
        <v>한신지 21R2</v>
      </c>
      <c r="I14325" s="1" t="s">
        <v>15</v>
      </c>
      <c r="J14325" s="1" t="str">
        <f>"79/80"</f>
        <v>79/80</v>
      </c>
      <c r="K14325" s="1" t="str">
        <f>"2026-07-29 08:20:28"</f>
        <v>2026-07-29 08:20:28</v>
      </c>
      <c r="L14325" s="1" t="str">
        <f>"2025-02-11 18:10:34"</f>
        <v>2025-02-11 18:10:34</v>
      </c>
      <c r="M14325" s="1" t="s">
        <v>4</v>
      </c>
      <c r="N14325" s="1" t="s">
        <v>38</v>
      </c>
      <c r="O14325" s="1" t="s">
        <v>46</v>
      </c>
    </row>
    <row r="14326" spans="2:15" x14ac:dyDescent="0.3">
      <c r="B14326" s="1" t="s">
        <v>19</v>
      </c>
      <c r="C14326" s="1" t="str">
        <f>"1차"</f>
        <v>1차</v>
      </c>
      <c r="D14326" s="1" t="str">
        <f>"0030H73101"</f>
        <v>0030H73101</v>
      </c>
      <c r="E14326" s="1" t="s">
        <v>10</v>
      </c>
      <c r="F14326" s="1" t="str">
        <f>"10.107.0.66"</f>
        <v>10.107.0.66</v>
      </c>
      <c r="G14326" s="1" t="str">
        <f>"0030H731"</f>
        <v>0030H731</v>
      </c>
      <c r="H14326" s="1" t="str">
        <f>"화계지 21"</f>
        <v>화계지 21</v>
      </c>
      <c r="I14326" s="1" t="s">
        <v>8</v>
      </c>
      <c r="J14326" s="1" t="str">
        <f>"30/30"</f>
        <v>30/30</v>
      </c>
      <c r="K14326" s="1" t="str">
        <f>"2026-07-29 13:18:01"</f>
        <v>2026-07-29 13:18:01</v>
      </c>
      <c r="L14326" s="1" t="str">
        <f>"2014-10-17 16:11:48"</f>
        <v>2014-10-17 16:11:48</v>
      </c>
      <c r="M14326" s="1" t="s">
        <v>45</v>
      </c>
      <c r="N14326" s="1" t="s">
        <v>38</v>
      </c>
      <c r="O14326" s="1" t="s">
        <v>46</v>
      </c>
    </row>
    <row r="14327" spans="2:15" x14ac:dyDescent="0.3">
      <c r="B14327" s="1" t="s">
        <v>19</v>
      </c>
      <c r="C14327" s="1" t="str">
        <f>"1차"</f>
        <v>1차</v>
      </c>
      <c r="D14327" s="1" t="str">
        <f>"0030H74200"</f>
        <v>0030H74200</v>
      </c>
      <c r="E14327" s="1" t="s">
        <v>10</v>
      </c>
      <c r="F14327" s="1" t="str">
        <f>"10.107.0.65"</f>
        <v>10.107.0.65</v>
      </c>
      <c r="G14327" s="1" t="str">
        <f>"0030H742"</f>
        <v>0030H742</v>
      </c>
      <c r="H14327" s="1" t="str">
        <f>"화계지 19"</f>
        <v>화계지 19</v>
      </c>
      <c r="I14327" s="1" t="s">
        <v>8</v>
      </c>
      <c r="J14327" s="1" t="str">
        <f>"11/11"</f>
        <v>11/11</v>
      </c>
      <c r="K14327" s="1" t="str">
        <f>"2026-07-29 13:18:01"</f>
        <v>2026-07-29 13:18:01</v>
      </c>
      <c r="L14327" s="1" t="str">
        <f>"2014-10-01 11:28:01"</f>
        <v>2014-10-01 11:28:01</v>
      </c>
      <c r="M14327" s="1" t="s">
        <v>45</v>
      </c>
      <c r="N14327" s="1" t="s">
        <v>38</v>
      </c>
      <c r="O14327" s="1" t="s">
        <v>46</v>
      </c>
    </row>
    <row r="14328" spans="2:15" x14ac:dyDescent="0.3">
      <c r="B14328" s="1" t="s">
        <v>19</v>
      </c>
      <c r="C14328" s="1" t="str">
        <f>"4차"</f>
        <v>4차</v>
      </c>
      <c r="D14328" s="1" t="str">
        <f>"0030H75244"</f>
        <v>0030H75244</v>
      </c>
      <c r="E14328" s="1" t="s">
        <v>10</v>
      </c>
      <c r="F14328" s="1" t="str">
        <f>"10.107.15.130"</f>
        <v>10.107.15.130</v>
      </c>
      <c r="G14328" s="1" t="str">
        <f>"0030H752"</f>
        <v>0030H752</v>
      </c>
      <c r="H14328" s="1" t="str">
        <f>"화계지 18"</f>
        <v>화계지 18</v>
      </c>
      <c r="I14328" s="1" t="s">
        <v>8</v>
      </c>
      <c r="J14328" s="1" t="str">
        <f>"21/22"</f>
        <v>21/22</v>
      </c>
      <c r="K14328" s="1" t="str">
        <f>"2026-07-29 13:18:01"</f>
        <v>2026-07-29 13:18:01</v>
      </c>
      <c r="L14328" s="1" t="str">
        <f>"2019-12-13 09:10:01"</f>
        <v>2019-12-13 09:10:01</v>
      </c>
      <c r="M14328" s="1" t="s">
        <v>45</v>
      </c>
      <c r="N14328" s="1" t="s">
        <v>38</v>
      </c>
      <c r="O14328" s="1" t="s">
        <v>46</v>
      </c>
    </row>
    <row r="14329" spans="2:15" x14ac:dyDescent="0.3">
      <c r="B14329" s="1" t="s">
        <v>19</v>
      </c>
      <c r="C14329" s="1" t="str">
        <f>"6차"</f>
        <v>6차</v>
      </c>
      <c r="D14329" s="1" t="str">
        <f>"0030H7736S"</f>
        <v>0030H7736S</v>
      </c>
      <c r="E14329" s="1" t="s">
        <v>10</v>
      </c>
      <c r="F14329" s="1" t="str">
        <f>"fde1:103:4:9172:0:0:0:2"</f>
        <v>fde1:103:4:9172:0:0:0:2</v>
      </c>
      <c r="G14329" s="1" t="str">
        <f>"0030H773"</f>
        <v>0030H773</v>
      </c>
      <c r="H14329" s="1" t="str">
        <f>"한신지 19"</f>
        <v>한신지 19</v>
      </c>
      <c r="I14329" s="1" t="s">
        <v>15</v>
      </c>
      <c r="J14329" s="1" t="str">
        <f>"23/23"</f>
        <v>23/23</v>
      </c>
      <c r="K14329" s="1" t="str">
        <f>"2026-07-29 14:20:28"</f>
        <v>2026-07-29 14:20:28</v>
      </c>
      <c r="L14329" s="1" t="str">
        <f>"2025-02-18 15:51:58"</f>
        <v>2025-02-18 15:51:58</v>
      </c>
      <c r="M14329" s="1" t="s">
        <v>4</v>
      </c>
      <c r="N14329" s="1" t="s">
        <v>38</v>
      </c>
      <c r="O14329" s="1" t="s">
        <v>46</v>
      </c>
    </row>
    <row r="14330" spans="2:15" x14ac:dyDescent="0.3">
      <c r="B14330" s="1" t="s">
        <v>19</v>
      </c>
      <c r="C14330" s="1" t="str">
        <f>"4차"</f>
        <v>4차</v>
      </c>
      <c r="D14330" s="1" t="str">
        <f>"0030H79144"</f>
        <v>0030H79144</v>
      </c>
      <c r="E14330" s="1" t="s">
        <v>10</v>
      </c>
      <c r="F14330" s="1" t="str">
        <f>"10.12.130.146"</f>
        <v>10.12.130.146</v>
      </c>
      <c r="G14330" s="1" t="str">
        <f>"0030H791"</f>
        <v>0030H791</v>
      </c>
      <c r="H14330" s="1" t="str">
        <f>"한신지 16"</f>
        <v>한신지 16</v>
      </c>
      <c r="I14330" s="1" t="s">
        <v>8</v>
      </c>
      <c r="J14330" s="1" t="str">
        <f>"40/40"</f>
        <v>40/40</v>
      </c>
      <c r="K14330" s="1" t="str">
        <f>"2026-07-29 13:18:01"</f>
        <v>2026-07-29 13:18:01</v>
      </c>
      <c r="L14330" s="1" t="str">
        <f>"2023-07-20 17:45:08"</f>
        <v>2023-07-20 17:45:08</v>
      </c>
      <c r="M14330" s="1" t="s">
        <v>0</v>
      </c>
      <c r="N14330" s="1" t="s">
        <v>38</v>
      </c>
      <c r="O14330" s="1" t="s">
        <v>46</v>
      </c>
    </row>
    <row r="14331" spans="2:15" x14ac:dyDescent="0.3">
      <c r="B14331" s="1" t="s">
        <v>19</v>
      </c>
      <c r="C14331" s="1" t="str">
        <f>"5-2차"</f>
        <v>5-2차</v>
      </c>
      <c r="D14331" s="1" t="str">
        <f>"0030H7925M"</f>
        <v>0030H7925M</v>
      </c>
      <c r="E14331" s="1" t="s">
        <v>10</v>
      </c>
      <c r="F14331" s="1" t="str">
        <f>"fde3:102:1410:3100:0:0:0:e"</f>
        <v>fde3:102:1410:3100:0:0:0:e</v>
      </c>
      <c r="G14331" s="1" t="str">
        <f>"0030H792"</f>
        <v>0030H792</v>
      </c>
      <c r="H14331" s="1" t="str">
        <f>"화계지 12"</f>
        <v>화계지 12</v>
      </c>
      <c r="I14331" s="1" t="s">
        <v>15</v>
      </c>
      <c r="J14331" s="1" t="str">
        <f>"35/35"</f>
        <v>35/35</v>
      </c>
      <c r="K14331" s="1" t="str">
        <f>"2026-07-29 14:20:20"</f>
        <v>2026-07-29 14:20:20</v>
      </c>
      <c r="L14331" s="1" t="str">
        <f>"2023-10-11 13:41:25"</f>
        <v>2023-10-11 13:41:25</v>
      </c>
      <c r="M14331" s="1" t="s">
        <v>45</v>
      </c>
      <c r="N14331" s="1" t="s">
        <v>38</v>
      </c>
      <c r="O14331" s="1" t="s">
        <v>46</v>
      </c>
    </row>
    <row r="14332" spans="2:15" x14ac:dyDescent="0.3">
      <c r="B14332" s="1" t="s">
        <v>19</v>
      </c>
      <c r="C14332" s="1" t="str">
        <f>"4차"</f>
        <v>4차</v>
      </c>
      <c r="D14332" s="1" t="str">
        <f>"0030H81344"</f>
        <v>0030H81344</v>
      </c>
      <c r="E14332" s="1" t="s">
        <v>10</v>
      </c>
      <c r="F14332" s="1" t="str">
        <f>"10.107.15.131"</f>
        <v>10.107.15.131</v>
      </c>
      <c r="G14332" s="1" t="str">
        <f>"0030H813"</f>
        <v>0030H813</v>
      </c>
      <c r="H14332" s="1" t="str">
        <f>"화계지 24"</f>
        <v>화계지 24</v>
      </c>
      <c r="I14332" s="1" t="s">
        <v>8</v>
      </c>
      <c r="J14332" s="1" t="str">
        <f>"70/70"</f>
        <v>70/70</v>
      </c>
      <c r="K14332" s="1" t="str">
        <f>"2026-07-29 13:18:01"</f>
        <v>2026-07-29 13:18:01</v>
      </c>
      <c r="L14332" s="1" t="str">
        <f>"2019-12-13 09:18:07"</f>
        <v>2019-12-13 09:18:07</v>
      </c>
      <c r="M14332" s="1" t="s">
        <v>45</v>
      </c>
      <c r="N14332" s="1" t="s">
        <v>38</v>
      </c>
      <c r="O14332" s="1" t="s">
        <v>46</v>
      </c>
    </row>
    <row r="14333" spans="2:15" x14ac:dyDescent="0.3">
      <c r="B14333" s="1" t="s">
        <v>19</v>
      </c>
      <c r="C14333" s="1" t="str">
        <f>"1차"</f>
        <v>1차</v>
      </c>
      <c r="D14333" s="1" t="str">
        <f>"0030H82701"</f>
        <v>0030H82701</v>
      </c>
      <c r="E14333" s="1" t="s">
        <v>10</v>
      </c>
      <c r="F14333" s="1" t="str">
        <f>"10.107.124.252"</f>
        <v>10.107.124.252</v>
      </c>
      <c r="G14333" s="1" t="str">
        <f>"0030H827"</f>
        <v>0030H827</v>
      </c>
      <c r="H14333" s="1" t="str">
        <f>"삼원간 14R9L6"</f>
        <v>삼원간 14R9L6</v>
      </c>
      <c r="I14333" s="1" t="s">
        <v>8</v>
      </c>
      <c r="J14333" s="1" t="str">
        <f>"131/138"</f>
        <v>131/138</v>
      </c>
      <c r="K14333" s="1" t="str">
        <f>"2026-07-29 13:18:01"</f>
        <v>2026-07-29 13:18:01</v>
      </c>
      <c r="L14333" s="1" t="str">
        <f>"2014-10-17 17:12:21"</f>
        <v>2014-10-17 17:12:21</v>
      </c>
      <c r="M14333" s="1" t="s">
        <v>45</v>
      </c>
      <c r="N14333" s="1" t="s">
        <v>38</v>
      </c>
      <c r="O14333" s="1" t="s">
        <v>46</v>
      </c>
    </row>
    <row r="14334" spans="2:15" x14ac:dyDescent="0.3">
      <c r="B14334" s="1" t="s">
        <v>19</v>
      </c>
      <c r="C14334" s="1" t="str">
        <f>"4차"</f>
        <v>4차</v>
      </c>
      <c r="D14334" s="1" t="str">
        <f>"0030H84242"</f>
        <v>0030H84242</v>
      </c>
      <c r="E14334" s="1" t="s">
        <v>10</v>
      </c>
      <c r="F14334" s="1" t="str">
        <f>"10.107.124.247"</f>
        <v>10.107.124.247</v>
      </c>
      <c r="G14334" s="1" t="str">
        <f>"0030H842"</f>
        <v>0030H842</v>
      </c>
      <c r="H14334" s="1" t="str">
        <f>"화계지 19H1L1"</f>
        <v>화계지 19H1L1</v>
      </c>
      <c r="I14334" s="1" t="s">
        <v>8</v>
      </c>
      <c r="J14334" s="1" t="str">
        <f>"83/83"</f>
        <v>83/83</v>
      </c>
      <c r="K14334" s="1" t="str">
        <f>"2026-07-29 13:18:01"</f>
        <v>2026-07-29 13:18:01</v>
      </c>
      <c r="L14334" s="1" t="str">
        <f>"2025-05-21 17:56:15"</f>
        <v>2025-05-21 17:56:15</v>
      </c>
      <c r="M14334" s="1" t="s">
        <v>45</v>
      </c>
      <c r="N14334" s="1" t="s">
        <v>38</v>
      </c>
      <c r="O14334" s="1" t="s">
        <v>46</v>
      </c>
    </row>
    <row r="14335" spans="2:15" x14ac:dyDescent="0.3">
      <c r="B14335" s="1" t="s">
        <v>19</v>
      </c>
      <c r="C14335" s="1" t="str">
        <f>"4차"</f>
        <v>4차</v>
      </c>
      <c r="D14335" s="1" t="str">
        <f>"0030H87144"</f>
        <v>0030H87144</v>
      </c>
      <c r="E14335" s="1" t="s">
        <v>10</v>
      </c>
      <c r="F14335" s="1" t="str">
        <f>"10.107.122.142"</f>
        <v>10.107.122.142</v>
      </c>
      <c r="G14335" s="1" t="str">
        <f>"0030H871"</f>
        <v>0030H871</v>
      </c>
      <c r="H14335" s="1" t="str">
        <f>"화계지 15L1"</f>
        <v>화계지 15L1</v>
      </c>
      <c r="I14335" s="1" t="s">
        <v>8</v>
      </c>
      <c r="J14335" s="1" t="str">
        <f>"66/66"</f>
        <v>66/66</v>
      </c>
      <c r="K14335" s="1" t="str">
        <f>"2026-07-29 13:18:01"</f>
        <v>2026-07-29 13:18:01</v>
      </c>
      <c r="L14335" s="1" t="str">
        <f>"2019-12-13 09:18:18"</f>
        <v>2019-12-13 09:18:18</v>
      </c>
      <c r="M14335" s="1" t="s">
        <v>45</v>
      </c>
      <c r="N14335" s="1" t="s">
        <v>38</v>
      </c>
      <c r="O14335" s="1" t="s">
        <v>46</v>
      </c>
    </row>
    <row r="14336" spans="2:15" x14ac:dyDescent="0.3">
      <c r="B14336" s="1" t="s">
        <v>19</v>
      </c>
      <c r="C14336" s="1" t="str">
        <f>"5-1차"</f>
        <v>5-1차</v>
      </c>
      <c r="D14336" s="1" t="str">
        <f>"0030H8815M"</f>
        <v>0030H8815M</v>
      </c>
      <c r="E14336" s="1" t="s">
        <v>10</v>
      </c>
      <c r="F14336" s="1" t="str">
        <f>"fde3:102:1410:3100:0:0:0:7"</f>
        <v>fde3:102:1410:3100:0:0:0:7</v>
      </c>
      <c r="G14336" s="1" t="str">
        <f>"0030H881"</f>
        <v>0030H881</v>
      </c>
      <c r="H14336" s="1" t="str">
        <f>"화계지 13L1"</f>
        <v>화계지 13L1</v>
      </c>
      <c r="I14336" s="1" t="s">
        <v>15</v>
      </c>
      <c r="J14336" s="1" t="str">
        <f>"34/34"</f>
        <v>34/34</v>
      </c>
      <c r="K14336" s="1" t="str">
        <f>"2026-07-29 14:20:01"</f>
        <v>2026-07-29 14:20:01</v>
      </c>
      <c r="L14336" s="1" t="str">
        <f>"2022-09-26 16:03:54"</f>
        <v>2022-09-26 16:03:54</v>
      </c>
      <c r="M14336" s="1" t="s">
        <v>45</v>
      </c>
      <c r="N14336" s="1" t="s">
        <v>38</v>
      </c>
      <c r="O14336" s="1" t="s">
        <v>46</v>
      </c>
    </row>
    <row r="14337" spans="2:15" x14ac:dyDescent="0.3">
      <c r="B14337" s="1" t="s">
        <v>19</v>
      </c>
      <c r="C14337" s="1" t="str">
        <f>"4차"</f>
        <v>4차</v>
      </c>
      <c r="D14337" s="1" t="str">
        <f>"0030H89244"</f>
        <v>0030H89244</v>
      </c>
      <c r="E14337" s="1" t="s">
        <v>10</v>
      </c>
      <c r="F14337" s="1" t="str">
        <f>"10.107.122.140"</f>
        <v>10.107.122.140</v>
      </c>
      <c r="G14337" s="1" t="str">
        <f>"0030H892"</f>
        <v>0030H892</v>
      </c>
      <c r="H14337" s="1" t="str">
        <f>"화계지 13L3"</f>
        <v>화계지 13L3</v>
      </c>
      <c r="I14337" s="1" t="s">
        <v>8</v>
      </c>
      <c r="J14337" s="1" t="str">
        <f>"21/21"</f>
        <v>21/21</v>
      </c>
      <c r="K14337" s="1" t="str">
        <f>"2026-07-29 13:18:01"</f>
        <v>2026-07-29 13:18:01</v>
      </c>
      <c r="L14337" s="1" t="str">
        <f>"2019-12-13 09:11:29"</f>
        <v>2019-12-13 09:11:29</v>
      </c>
      <c r="M14337" s="1" t="s">
        <v>45</v>
      </c>
      <c r="N14337" s="1" t="s">
        <v>38</v>
      </c>
      <c r="O14337" s="1" t="s">
        <v>46</v>
      </c>
    </row>
    <row r="14338" spans="2:15" x14ac:dyDescent="0.3">
      <c r="B14338" s="1" t="s">
        <v>19</v>
      </c>
      <c r="C14338" s="1" t="str">
        <f>"4차"</f>
        <v>4차</v>
      </c>
      <c r="D14338" s="1" t="str">
        <f>"0030H90339"</f>
        <v>0030H90339</v>
      </c>
      <c r="E14338" s="1" t="s">
        <v>10</v>
      </c>
      <c r="F14338" s="1" t="str">
        <f>"10.107.124.245"</f>
        <v>10.107.124.245</v>
      </c>
      <c r="G14338" s="1" t="str">
        <f>"0030H903"</f>
        <v>0030H903</v>
      </c>
      <c r="H14338" s="1" t="str">
        <f>"삼원간 14R9L5L3"</f>
        <v>삼원간 14R9L5L3</v>
      </c>
      <c r="I14338" s="1" t="s">
        <v>8</v>
      </c>
      <c r="J14338" s="1" t="str">
        <f>"51/51"</f>
        <v>51/51</v>
      </c>
      <c r="K14338" s="1" t="str">
        <f>"2026-07-29 13:18:01"</f>
        <v>2026-07-29 13:18:01</v>
      </c>
      <c r="L14338" s="1" t="str">
        <f>"2018-06-05 08:45:10"</f>
        <v>2018-06-05 08:45:10</v>
      </c>
      <c r="M14338" s="1" t="s">
        <v>45</v>
      </c>
      <c r="N14338" s="1" t="s">
        <v>38</v>
      </c>
      <c r="O14338" s="1" t="s">
        <v>46</v>
      </c>
    </row>
    <row r="14339" spans="2:15" x14ac:dyDescent="0.3">
      <c r="B14339" s="1" t="s">
        <v>19</v>
      </c>
      <c r="C14339" s="1" t="str">
        <f>"4차"</f>
        <v>4차</v>
      </c>
      <c r="D14339" s="1" t="str">
        <f>"0030H91144"</f>
        <v>0030H91144</v>
      </c>
      <c r="E14339" s="1" t="s">
        <v>10</v>
      </c>
      <c r="F14339" s="1" t="str">
        <f>"10.107.124.248"</f>
        <v>10.107.124.248</v>
      </c>
      <c r="G14339" s="1" t="str">
        <f>"0030H911"</f>
        <v>0030H911</v>
      </c>
      <c r="H14339" s="1" t="str">
        <f>"삼원간 14R9L5L1"</f>
        <v>삼원간 14R9L5L1</v>
      </c>
      <c r="I14339" s="1" t="s">
        <v>8</v>
      </c>
      <c r="J14339" s="1" t="str">
        <f>"39/39"</f>
        <v>39/39</v>
      </c>
      <c r="K14339" s="1" t="str">
        <f>"2026-07-29 13:18:01"</f>
        <v>2026-07-29 13:18:01</v>
      </c>
      <c r="L14339" s="1" t="str">
        <f>"2019-12-30 11:27:37"</f>
        <v>2019-12-30 11:27:37</v>
      </c>
      <c r="M14339" s="1" t="s">
        <v>45</v>
      </c>
      <c r="N14339" s="1" t="s">
        <v>38</v>
      </c>
      <c r="O14339" s="1" t="s">
        <v>46</v>
      </c>
    </row>
    <row r="14340" spans="2:15" x14ac:dyDescent="0.3">
      <c r="B14340" s="1" t="s">
        <v>19</v>
      </c>
      <c r="C14340" s="1" t="str">
        <f>"4차"</f>
        <v>4차</v>
      </c>
      <c r="D14340" s="1" t="str">
        <f>"0030H91244"</f>
        <v>0030H91244</v>
      </c>
      <c r="E14340" s="1" t="s">
        <v>10</v>
      </c>
      <c r="F14340" s="1" t="str">
        <f>"10.107.124.249"</f>
        <v>10.107.124.249</v>
      </c>
      <c r="G14340" s="1" t="str">
        <f>"0030H912"</f>
        <v>0030H912</v>
      </c>
      <c r="H14340" s="1" t="str">
        <f>"삼원간 14R9L5L2"</f>
        <v>삼원간 14R9L5L2</v>
      </c>
      <c r="I14340" s="1" t="s">
        <v>8</v>
      </c>
      <c r="J14340" s="1" t="str">
        <f>"26/26"</f>
        <v>26/26</v>
      </c>
      <c r="K14340" s="1" t="str">
        <f>"2026-07-29 13:18:01"</f>
        <v>2026-07-29 13:18:01</v>
      </c>
      <c r="L14340" s="1" t="str">
        <f>"2019-12-13 12:09:19"</f>
        <v>2019-12-13 12:09:19</v>
      </c>
      <c r="M14340" s="1" t="s">
        <v>45</v>
      </c>
      <c r="N14340" s="1" t="s">
        <v>38</v>
      </c>
      <c r="O14340" s="1" t="s">
        <v>46</v>
      </c>
    </row>
    <row r="14341" spans="2:15" x14ac:dyDescent="0.3">
      <c r="B14341" s="1" t="s">
        <v>19</v>
      </c>
      <c r="C14341" s="1" t="str">
        <f>"1차"</f>
        <v>1차</v>
      </c>
      <c r="D14341" s="1" t="str">
        <f>"0030H92200"</f>
        <v>0030H92200</v>
      </c>
      <c r="E14341" s="1" t="s">
        <v>10</v>
      </c>
      <c r="F14341" s="1" t="str">
        <f>"10.107.124.250"</f>
        <v>10.107.124.250</v>
      </c>
      <c r="G14341" s="1" t="str">
        <f>"0030H922"</f>
        <v>0030H922</v>
      </c>
      <c r="H14341" s="1" t="str">
        <f>"삼원간 14R9L5"</f>
        <v>삼원간 14R9L5</v>
      </c>
      <c r="I14341" s="1" t="s">
        <v>8</v>
      </c>
      <c r="J14341" s="1" t="str">
        <f>"38/47"</f>
        <v>38/47</v>
      </c>
      <c r="K14341" s="1" t="str">
        <f>"2026-07-29 13:18:01"</f>
        <v>2026-07-29 13:18:01</v>
      </c>
      <c r="L14341" s="1" t="str">
        <f>"2014-10-01 11:43:10"</f>
        <v>2014-10-01 11:43:10</v>
      </c>
      <c r="M14341" s="1" t="s">
        <v>45</v>
      </c>
      <c r="N14341" s="1" t="s">
        <v>38</v>
      </c>
      <c r="O14341" s="1" t="s">
        <v>46</v>
      </c>
    </row>
    <row r="14342" spans="2:15" x14ac:dyDescent="0.3">
      <c r="B14342" s="1" t="s">
        <v>19</v>
      </c>
      <c r="C14342" s="1" t="str">
        <f>"1차"</f>
        <v>1차</v>
      </c>
      <c r="D14342" s="1" t="str">
        <f>"0030H93411"</f>
        <v>0030H93411</v>
      </c>
      <c r="E14342" s="1" t="s">
        <v>10</v>
      </c>
      <c r="F14342" s="1" t="str">
        <f>"10.107.124.251"</f>
        <v>10.107.124.251</v>
      </c>
      <c r="G14342" s="1" t="str">
        <f>"0030H934"</f>
        <v>0030H934</v>
      </c>
      <c r="H14342" s="1" t="str">
        <f>"삼원간 14R9L4"</f>
        <v>삼원간 14R9L4</v>
      </c>
      <c r="I14342" s="1" t="s">
        <v>8</v>
      </c>
      <c r="J14342" s="1" t="str">
        <f>"92/92"</f>
        <v>92/92</v>
      </c>
      <c r="K14342" s="1" t="str">
        <f>"2026-07-28 20:03:17"</f>
        <v>2026-07-28 20:03:17</v>
      </c>
      <c r="L14342" s="1" t="str">
        <f>"2017-03-08 13:33:51"</f>
        <v>2017-03-08 13:33:51</v>
      </c>
      <c r="M14342" s="1" t="s">
        <v>45</v>
      </c>
      <c r="N14342" s="1" t="s">
        <v>38</v>
      </c>
      <c r="O14342" s="1" t="s">
        <v>46</v>
      </c>
    </row>
    <row r="14343" spans="2:15" x14ac:dyDescent="0.3">
      <c r="B14343" s="1" t="s">
        <v>19</v>
      </c>
      <c r="C14343" s="1" t="str">
        <f>"6차"</f>
        <v>6차</v>
      </c>
      <c r="D14343" s="1" t="str">
        <f>"0030H9526S"</f>
        <v>0030H9526S</v>
      </c>
      <c r="E14343" s="1" t="s">
        <v>10</v>
      </c>
      <c r="F14343" s="1" t="str">
        <f>"fde1:103:4:9343:0:0:0:2"</f>
        <v>fde1:103:4:9343:0:0:0:2</v>
      </c>
      <c r="G14343" s="1" t="str">
        <f>"0030H952"</f>
        <v>0030H952</v>
      </c>
      <c r="H14343" s="1" t="str">
        <f>"삼원간 14R12"</f>
        <v>삼원간 14R12</v>
      </c>
      <c r="I14343" s="1" t="s">
        <v>15</v>
      </c>
      <c r="J14343" s="1" t="str">
        <f>"133/134"</f>
        <v>133/134</v>
      </c>
      <c r="K14343" s="1" t="str">
        <f>"2026-07-29 02:20:13"</f>
        <v>2026-07-29 02:20:13</v>
      </c>
      <c r="L14343" s="1" t="str">
        <f>"2025-02-24 13:12:49"</f>
        <v>2025-02-24 13:12:49</v>
      </c>
      <c r="M14343" s="1" t="s">
        <v>4</v>
      </c>
      <c r="N14343" s="1" t="s">
        <v>38</v>
      </c>
      <c r="O14343" s="1" t="s">
        <v>46</v>
      </c>
    </row>
    <row r="14344" spans="2:15" x14ac:dyDescent="0.3">
      <c r="B14344" s="1" t="s">
        <v>19</v>
      </c>
      <c r="C14344" s="1" t="str">
        <f>"4차"</f>
        <v>4차</v>
      </c>
      <c r="D14344" s="1" t="str">
        <f>"0030H95439"</f>
        <v>0030H95439</v>
      </c>
      <c r="E14344" s="1" t="s">
        <v>10</v>
      </c>
      <c r="F14344" s="1" t="str">
        <f>"10.107.124.244"</f>
        <v>10.107.124.244</v>
      </c>
      <c r="G14344" s="1" t="str">
        <f>"0030H954"</f>
        <v>0030H954</v>
      </c>
      <c r="H14344" s="1" t="str">
        <f>"삼원간 14R13"</f>
        <v>삼원간 14R13</v>
      </c>
      <c r="I14344" s="1" t="s">
        <v>8</v>
      </c>
      <c r="J14344" s="1" t="str">
        <f>"19/19"</f>
        <v>19/19</v>
      </c>
      <c r="K14344" s="1" t="str">
        <f>"2026-07-29 13:18:01"</f>
        <v>2026-07-29 13:18:01</v>
      </c>
      <c r="L14344" s="1" t="str">
        <f>"2018-04-24 11:36:40"</f>
        <v>2018-04-24 11:36:40</v>
      </c>
      <c r="M14344" s="1" t="s">
        <v>45</v>
      </c>
      <c r="N14344" s="1" t="s">
        <v>38</v>
      </c>
      <c r="O14344" s="1" t="s">
        <v>46</v>
      </c>
    </row>
    <row r="14345" spans="2:15" x14ac:dyDescent="0.3">
      <c r="B14345" s="1" t="s">
        <v>19</v>
      </c>
      <c r="C14345" s="1" t="str">
        <f>"4차"</f>
        <v>4차</v>
      </c>
      <c r="D14345" s="1" t="str">
        <f>"0030H97144"</f>
        <v>0030H97144</v>
      </c>
      <c r="E14345" s="1" t="s">
        <v>10</v>
      </c>
      <c r="F14345" s="1" t="str">
        <f>"10.107.122.143"</f>
        <v>10.107.122.143</v>
      </c>
      <c r="G14345" s="1" t="str">
        <f>"0030H971"</f>
        <v>0030H971</v>
      </c>
      <c r="H14345" s="1" t="str">
        <f>"화계지 15L2"</f>
        <v>화계지 15L2</v>
      </c>
      <c r="I14345" s="1" t="s">
        <v>8</v>
      </c>
      <c r="J14345" s="1" t="str">
        <f>"75/75"</f>
        <v>75/75</v>
      </c>
      <c r="K14345" s="1" t="str">
        <f>"2026-07-29 13:18:01"</f>
        <v>2026-07-29 13:18:01</v>
      </c>
      <c r="L14345" s="1" t="str">
        <f>"2020-01-21 15:45:10"</f>
        <v>2020-01-21 15:45:10</v>
      </c>
      <c r="M14345" s="1" t="s">
        <v>45</v>
      </c>
      <c r="N14345" s="1" t="s">
        <v>38</v>
      </c>
      <c r="O14345" s="1" t="s">
        <v>46</v>
      </c>
    </row>
    <row r="14346" spans="2:15" x14ac:dyDescent="0.3">
      <c r="B14346" s="1" t="s">
        <v>19</v>
      </c>
      <c r="C14346" s="1" t="str">
        <f>"4차"</f>
        <v>4차</v>
      </c>
      <c r="D14346" s="1" t="str">
        <f>"0030H99144"</f>
        <v>0030H99144</v>
      </c>
      <c r="E14346" s="1" t="s">
        <v>10</v>
      </c>
      <c r="F14346" s="1" t="str">
        <f>"10.107.122.141"</f>
        <v>10.107.122.141</v>
      </c>
      <c r="G14346" s="1" t="str">
        <f>"0030H991"</f>
        <v>0030H991</v>
      </c>
      <c r="H14346" s="1" t="str">
        <f>"화계지 13L4"</f>
        <v>화계지 13L4</v>
      </c>
      <c r="I14346" s="1" t="s">
        <v>8</v>
      </c>
      <c r="J14346" s="1" t="str">
        <f>"54/54"</f>
        <v>54/54</v>
      </c>
      <c r="K14346" s="1" t="str">
        <f>"2026-07-29 13:18:01"</f>
        <v>2026-07-29 13:18:01</v>
      </c>
      <c r="L14346" s="1" t="str">
        <f>"2019-12-13 09:13:19"</f>
        <v>2019-12-13 09:13:19</v>
      </c>
      <c r="M14346" s="1" t="s">
        <v>45</v>
      </c>
      <c r="N14346" s="1" t="s">
        <v>38</v>
      </c>
      <c r="O14346" s="1" t="s">
        <v>46</v>
      </c>
    </row>
    <row r="14347" spans="2:15" x14ac:dyDescent="0.3">
      <c r="B14347" s="1" t="s">
        <v>19</v>
      </c>
      <c r="C14347" s="1" t="str">
        <f>"4차"</f>
        <v>4차</v>
      </c>
      <c r="D14347" s="1" t="str">
        <f>"0030W98244"</f>
        <v>0030W98244</v>
      </c>
      <c r="E14347" s="1" t="s">
        <v>10</v>
      </c>
      <c r="F14347" s="1" t="str">
        <f>"10.107.124.200"</f>
        <v>10.107.124.200</v>
      </c>
      <c r="G14347" s="1" t="str">
        <f>"0030W982"</f>
        <v>0030W982</v>
      </c>
      <c r="H14347" s="1" t="str">
        <f>"한신지 23R7L4L7"</f>
        <v>한신지 23R7L4L7</v>
      </c>
      <c r="I14347" s="1" t="s">
        <v>8</v>
      </c>
      <c r="J14347" s="1" t="str">
        <f>"21/21"</f>
        <v>21/21</v>
      </c>
      <c r="K14347" s="1" t="str">
        <f>"2026-07-29 13:18:01"</f>
        <v>2026-07-29 13:18:01</v>
      </c>
      <c r="L14347" s="1" t="str">
        <f>"2019-12-13 09:12:18"</f>
        <v>2019-12-13 09:12:18</v>
      </c>
      <c r="M14347" s="1" t="s">
        <v>45</v>
      </c>
      <c r="N14347" s="1" t="s">
        <v>38</v>
      </c>
      <c r="O14347" s="1" t="s">
        <v>46</v>
      </c>
    </row>
    <row r="14348" spans="2:15" x14ac:dyDescent="0.3">
      <c r="B14348" s="1" t="s">
        <v>19</v>
      </c>
      <c r="C14348" s="1" t="str">
        <f>"5-2차"</f>
        <v>5-2차</v>
      </c>
      <c r="D14348" s="1" t="str">
        <f>"0030X0915M"</f>
        <v>0030X0915M</v>
      </c>
      <c r="E14348" s="1" t="s">
        <v>10</v>
      </c>
      <c r="F14348" s="1" t="str">
        <f>"fde3:102:1410:3200:0:0:0:6"</f>
        <v>fde3:102:1410:3200:0:0:0:6</v>
      </c>
      <c r="G14348" s="1" t="str">
        <f>"0030X091"</f>
        <v>0030X091</v>
      </c>
      <c r="H14348" s="1" t="str">
        <f>"한신지 23R7L7"</f>
        <v>한신지 23R7L7</v>
      </c>
      <c r="I14348" s="1" t="s">
        <v>15</v>
      </c>
      <c r="J14348" s="1" t="str">
        <f>"39/48"</f>
        <v>39/48</v>
      </c>
      <c r="K14348" s="1" t="str">
        <f>"2026-07-29 14:20:27"</f>
        <v>2026-07-29 14:20:27</v>
      </c>
      <c r="L14348" s="1" t="str">
        <f>"2023-06-19 18:29:56"</f>
        <v>2023-06-19 18:29:56</v>
      </c>
      <c r="M14348" s="1" t="s">
        <v>45</v>
      </c>
      <c r="N14348" s="1" t="s">
        <v>38</v>
      </c>
      <c r="O14348" s="1" t="s">
        <v>46</v>
      </c>
    </row>
    <row r="14349" spans="2:15" x14ac:dyDescent="0.3">
      <c r="B14349" s="1" t="s">
        <v>19</v>
      </c>
      <c r="C14349" s="1" t="str">
        <f t="shared" ref="C14349:C14364" si="728">"4차"</f>
        <v>4차</v>
      </c>
      <c r="D14349" s="1" t="str">
        <f>"0030X10144"</f>
        <v>0030X10144</v>
      </c>
      <c r="E14349" s="1" t="s">
        <v>10</v>
      </c>
      <c r="F14349" s="1" t="str">
        <f>"10.107.119.130"</f>
        <v>10.107.119.130</v>
      </c>
      <c r="G14349" s="1" t="str">
        <f>"0030X101"</f>
        <v>0030X101</v>
      </c>
      <c r="H14349" s="1" t="str">
        <f>"한신지 39R19L1"</f>
        <v>한신지 39R19L1</v>
      </c>
      <c r="I14349" s="1" t="s">
        <v>8</v>
      </c>
      <c r="J14349" s="1" t="str">
        <f>"42/42"</f>
        <v>42/42</v>
      </c>
      <c r="K14349" s="1" t="str">
        <f t="shared" ref="K14349:K14364" si="729">"2026-07-29 13:18:01"</f>
        <v>2026-07-29 13:18:01</v>
      </c>
      <c r="L14349" s="1" t="str">
        <f>"2019-12-13 09:16:50"</f>
        <v>2019-12-13 09:16:50</v>
      </c>
      <c r="M14349" s="1" t="s">
        <v>45</v>
      </c>
      <c r="N14349" s="1" t="s">
        <v>38</v>
      </c>
      <c r="O14349" s="1" t="s">
        <v>46</v>
      </c>
    </row>
    <row r="14350" spans="2:15" x14ac:dyDescent="0.3">
      <c r="B14350" s="1" t="s">
        <v>19</v>
      </c>
      <c r="C14350" s="1" t="str">
        <f t="shared" si="728"/>
        <v>4차</v>
      </c>
      <c r="D14350" s="1" t="str">
        <f>"0030X20244"</f>
        <v>0030X20244</v>
      </c>
      <c r="E14350" s="1" t="s">
        <v>10</v>
      </c>
      <c r="F14350" s="1" t="str">
        <f>"10.107.119.131"</f>
        <v>10.107.119.131</v>
      </c>
      <c r="G14350" s="1" t="str">
        <f>"0030X202"</f>
        <v>0030X202</v>
      </c>
      <c r="H14350" s="1" t="str">
        <f>"한신지 39R18L2"</f>
        <v>한신지 39R18L2</v>
      </c>
      <c r="I14350" s="1" t="s">
        <v>8</v>
      </c>
      <c r="J14350" s="1" t="str">
        <f>"39/39"</f>
        <v>39/39</v>
      </c>
      <c r="K14350" s="1" t="str">
        <f t="shared" si="729"/>
        <v>2026-07-29 13:18:01</v>
      </c>
      <c r="L14350" s="1" t="str">
        <f>"2020-01-28 19:12:13"</f>
        <v>2020-01-28 19:12:13</v>
      </c>
      <c r="M14350" s="1" t="s">
        <v>45</v>
      </c>
      <c r="N14350" s="1" t="s">
        <v>38</v>
      </c>
      <c r="O14350" s="1" t="s">
        <v>46</v>
      </c>
    </row>
    <row r="14351" spans="2:15" x14ac:dyDescent="0.3">
      <c r="B14351" s="1" t="s">
        <v>19</v>
      </c>
      <c r="C14351" s="1" t="str">
        <f t="shared" si="728"/>
        <v>4차</v>
      </c>
      <c r="D14351" s="1" t="str">
        <f>"0030X33344"</f>
        <v>0030X33344</v>
      </c>
      <c r="E14351" s="1" t="s">
        <v>10</v>
      </c>
      <c r="F14351" s="1" t="str">
        <f>"10.107.119.132"</f>
        <v>10.107.119.132</v>
      </c>
      <c r="G14351" s="1" t="str">
        <f>"0030X333"</f>
        <v>0030X333</v>
      </c>
      <c r="H14351" s="1" t="str">
        <f>"한신지 39R10"</f>
        <v>한신지 39R10</v>
      </c>
      <c r="I14351" s="1" t="s">
        <v>8</v>
      </c>
      <c r="J14351" s="1" t="str">
        <f>"28/28"</f>
        <v>28/28</v>
      </c>
      <c r="K14351" s="1" t="str">
        <f t="shared" si="729"/>
        <v>2026-07-29 13:18:01</v>
      </c>
      <c r="L14351" s="1" t="str">
        <f>"2019-12-30 11:24:05"</f>
        <v>2019-12-30 11:24:05</v>
      </c>
      <c r="M14351" s="1" t="s">
        <v>45</v>
      </c>
      <c r="N14351" s="1" t="s">
        <v>38</v>
      </c>
      <c r="O14351" s="1" t="s">
        <v>46</v>
      </c>
    </row>
    <row r="14352" spans="2:15" x14ac:dyDescent="0.3">
      <c r="B14352" s="1" t="s">
        <v>19</v>
      </c>
      <c r="C14352" s="1" t="str">
        <f t="shared" si="728"/>
        <v>4차</v>
      </c>
      <c r="D14352" s="1" t="str">
        <f>"0030X39241"</f>
        <v>0030X39241</v>
      </c>
      <c r="E14352" s="1" t="s">
        <v>10</v>
      </c>
      <c r="F14352" s="1" t="str">
        <f>"10.12.132.148"</f>
        <v>10.12.132.148</v>
      </c>
      <c r="G14352" s="1" t="str">
        <f>"0030X392"</f>
        <v>0030X392</v>
      </c>
      <c r="H14352" s="1" t="str">
        <f>"한신지 23R7L2L10"</f>
        <v>한신지 23R7L2L10</v>
      </c>
      <c r="I14352" s="1" t="s">
        <v>17</v>
      </c>
      <c r="J14352" s="1" t="str">
        <f>"21/21"</f>
        <v>21/21</v>
      </c>
      <c r="K14352" s="1" t="str">
        <f t="shared" si="729"/>
        <v>2026-07-29 13:18:01</v>
      </c>
      <c r="L14352" s="1" t="str">
        <f>"2021-08-25 14:45:43"</f>
        <v>2021-08-25 14:45:43</v>
      </c>
      <c r="M14352" s="1" t="s">
        <v>0</v>
      </c>
      <c r="N14352" s="1" t="s">
        <v>38</v>
      </c>
      <c r="O14352" s="1" t="s">
        <v>46</v>
      </c>
    </row>
    <row r="14353" spans="2:15" x14ac:dyDescent="0.3">
      <c r="B14353" s="1" t="s">
        <v>19</v>
      </c>
      <c r="C14353" s="1" t="str">
        <f t="shared" si="728"/>
        <v>4차</v>
      </c>
      <c r="D14353" s="1" t="str">
        <f>"0030X48144"</f>
        <v>0030X48144</v>
      </c>
      <c r="E14353" s="1" t="s">
        <v>10</v>
      </c>
      <c r="F14353" s="1" t="str">
        <f>"10.107.124.198"</f>
        <v>10.107.124.198</v>
      </c>
      <c r="G14353" s="1" t="str">
        <f>"0030X481"</f>
        <v>0030X481</v>
      </c>
      <c r="H14353" s="1" t="str">
        <f>"한신지 23R7L2L5"</f>
        <v>한신지 23R7L2L5</v>
      </c>
      <c r="I14353" s="1" t="s">
        <v>8</v>
      </c>
      <c r="J14353" s="1" t="str">
        <f>"66/66"</f>
        <v>66/66</v>
      </c>
      <c r="K14353" s="1" t="str">
        <f t="shared" si="729"/>
        <v>2026-07-29 13:18:01</v>
      </c>
      <c r="L14353" s="1" t="str">
        <f>"2019-12-13 12:10:09"</f>
        <v>2019-12-13 12:10:09</v>
      </c>
      <c r="M14353" s="1" t="s">
        <v>45</v>
      </c>
      <c r="N14353" s="1" t="s">
        <v>38</v>
      </c>
      <c r="O14353" s="1" t="s">
        <v>46</v>
      </c>
    </row>
    <row r="14354" spans="2:15" x14ac:dyDescent="0.3">
      <c r="B14354" s="1" t="s">
        <v>19</v>
      </c>
      <c r="C14354" s="1" t="str">
        <f t="shared" si="728"/>
        <v>4차</v>
      </c>
      <c r="D14354" s="1" t="str">
        <f>"0030X48344"</f>
        <v>0030X48344</v>
      </c>
      <c r="E14354" s="1" t="s">
        <v>10</v>
      </c>
      <c r="F14354" s="1" t="str">
        <f>"10.107.124.199"</f>
        <v>10.107.124.199</v>
      </c>
      <c r="G14354" s="1" t="str">
        <f>"0030X483"</f>
        <v>0030X483</v>
      </c>
      <c r="H14354" s="1" t="str">
        <f>"한신지 23R7L2L6"</f>
        <v>한신지 23R7L2L6</v>
      </c>
      <c r="I14354" s="1" t="s">
        <v>8</v>
      </c>
      <c r="J14354" s="1" t="str">
        <f>"32/32"</f>
        <v>32/32</v>
      </c>
      <c r="K14354" s="1" t="str">
        <f t="shared" si="729"/>
        <v>2026-07-29 13:18:01</v>
      </c>
      <c r="L14354" s="1" t="str">
        <f>"2019-12-13 09:11:02"</f>
        <v>2019-12-13 09:11:02</v>
      </c>
      <c r="M14354" s="1" t="s">
        <v>45</v>
      </c>
      <c r="N14354" s="1" t="s">
        <v>38</v>
      </c>
      <c r="O14354" s="1" t="s">
        <v>46</v>
      </c>
    </row>
    <row r="14355" spans="2:15" x14ac:dyDescent="0.3">
      <c r="B14355" s="1" t="s">
        <v>19</v>
      </c>
      <c r="C14355" s="1" t="str">
        <f t="shared" si="728"/>
        <v>4차</v>
      </c>
      <c r="D14355" s="1" t="str">
        <f>"0030X49144"</f>
        <v>0030X49144</v>
      </c>
      <c r="E14355" s="1" t="s">
        <v>10</v>
      </c>
      <c r="F14355" s="1" t="str">
        <f>"10.107.124.197"</f>
        <v>10.107.124.197</v>
      </c>
      <c r="G14355" s="1" t="str">
        <f>"0030X491"</f>
        <v>0030X491</v>
      </c>
      <c r="H14355" s="1" t="str">
        <f>"한신지 23R7L2L4"</f>
        <v>한신지 23R7L2L4</v>
      </c>
      <c r="I14355" s="1" t="s">
        <v>8</v>
      </c>
      <c r="J14355" s="1" t="str">
        <f>"61/61"</f>
        <v>61/61</v>
      </c>
      <c r="K14355" s="1" t="str">
        <f t="shared" si="729"/>
        <v>2026-07-29 13:18:01</v>
      </c>
      <c r="L14355" s="1" t="str">
        <f>"2019-12-13 12:09:19"</f>
        <v>2019-12-13 12:09:19</v>
      </c>
      <c r="M14355" s="1" t="s">
        <v>45</v>
      </c>
      <c r="N14355" s="1" t="s">
        <v>38</v>
      </c>
      <c r="O14355" s="1" t="s">
        <v>46</v>
      </c>
    </row>
    <row r="14356" spans="2:15" x14ac:dyDescent="0.3">
      <c r="B14356" s="1" t="s">
        <v>19</v>
      </c>
      <c r="C14356" s="1" t="str">
        <f t="shared" si="728"/>
        <v>4차</v>
      </c>
      <c r="D14356" s="1" t="str">
        <f>"0030X53141"</f>
        <v>0030X53141</v>
      </c>
      <c r="E14356" s="1" t="s">
        <v>10</v>
      </c>
      <c r="F14356" s="1" t="str">
        <f>"10.12.131.79"</f>
        <v>10.12.131.79</v>
      </c>
      <c r="G14356" s="1" t="str">
        <f>"0030X531"</f>
        <v>0030X531</v>
      </c>
      <c r="H14356" s="1" t="str">
        <f>"한신지 39R7"</f>
        <v>한신지 39R7</v>
      </c>
      <c r="I14356" s="1" t="s">
        <v>17</v>
      </c>
      <c r="J14356" s="1" t="str">
        <f>"17/22"</f>
        <v>17/22</v>
      </c>
      <c r="K14356" s="1" t="str">
        <f t="shared" si="729"/>
        <v>2026-07-29 13:18:01</v>
      </c>
      <c r="L14356" s="1" t="str">
        <f>"2021-08-11 09:52:01"</f>
        <v>2021-08-11 09:52:01</v>
      </c>
      <c r="M14356" s="1" t="s">
        <v>0</v>
      </c>
      <c r="N14356" s="1" t="s">
        <v>38</v>
      </c>
      <c r="O14356" s="1" t="s">
        <v>46</v>
      </c>
    </row>
    <row r="14357" spans="2:15" x14ac:dyDescent="0.3">
      <c r="B14357" s="1" t="s">
        <v>19</v>
      </c>
      <c r="C14357" s="1" t="str">
        <f t="shared" si="728"/>
        <v>4차</v>
      </c>
      <c r="D14357" s="1" t="str">
        <f>"0030X63344"</f>
        <v>0030X63344</v>
      </c>
      <c r="E14357" s="1" t="s">
        <v>10</v>
      </c>
      <c r="F14357" s="1" t="str">
        <f>"10.107.119.133"</f>
        <v>10.107.119.133</v>
      </c>
      <c r="G14357" s="1" t="str">
        <f>"0030X633"</f>
        <v>0030X633</v>
      </c>
      <c r="H14357" s="1" t="str">
        <f>"한신지 39R5"</f>
        <v>한신지 39R5</v>
      </c>
      <c r="I14357" s="1" t="s">
        <v>8</v>
      </c>
      <c r="J14357" s="1" t="str">
        <f>"87/88"</f>
        <v>87/88</v>
      </c>
      <c r="K14357" s="1" t="str">
        <f t="shared" si="729"/>
        <v>2026-07-29 13:18:01</v>
      </c>
      <c r="L14357" s="1" t="str">
        <f>"2019-12-13 09:12:54"</f>
        <v>2019-12-13 09:12:54</v>
      </c>
      <c r="M14357" s="1" t="s">
        <v>45</v>
      </c>
      <c r="N14357" s="1" t="s">
        <v>38</v>
      </c>
      <c r="O14357" s="1" t="s">
        <v>46</v>
      </c>
    </row>
    <row r="14358" spans="2:15" x14ac:dyDescent="0.3">
      <c r="B14358" s="1" t="s">
        <v>19</v>
      </c>
      <c r="C14358" s="1" t="str">
        <f t="shared" si="728"/>
        <v>4차</v>
      </c>
      <c r="D14358" s="1" t="str">
        <f>"0030X67144"</f>
        <v>0030X67144</v>
      </c>
      <c r="E14358" s="1" t="s">
        <v>10</v>
      </c>
      <c r="F14358" s="1" t="str">
        <f>"10.107.15.122"</f>
        <v>10.107.15.122</v>
      </c>
      <c r="G14358" s="1" t="str">
        <f>"0030X671"</f>
        <v>0030X671</v>
      </c>
      <c r="H14358" s="1" t="str">
        <f>"한신지 33R1"</f>
        <v>한신지 33R1</v>
      </c>
      <c r="I14358" s="1" t="s">
        <v>8</v>
      </c>
      <c r="J14358" s="1" t="str">
        <f>"48/48"</f>
        <v>48/48</v>
      </c>
      <c r="K14358" s="1" t="str">
        <f t="shared" si="729"/>
        <v>2026-07-29 13:18:01</v>
      </c>
      <c r="L14358" s="1" t="str">
        <f>"2019-12-13 09:10:13"</f>
        <v>2019-12-13 09:10:13</v>
      </c>
      <c r="M14358" s="1" t="s">
        <v>45</v>
      </c>
      <c r="N14358" s="1" t="s">
        <v>38</v>
      </c>
      <c r="O14358" s="1" t="s">
        <v>46</v>
      </c>
    </row>
    <row r="14359" spans="2:15" x14ac:dyDescent="0.3">
      <c r="B14359" s="1" t="s">
        <v>19</v>
      </c>
      <c r="C14359" s="1" t="str">
        <f t="shared" si="728"/>
        <v>4차</v>
      </c>
      <c r="D14359" s="1" t="str">
        <f>"0030X69144"</f>
        <v>0030X69144</v>
      </c>
      <c r="E14359" s="1" t="s">
        <v>10</v>
      </c>
      <c r="F14359" s="1" t="str">
        <f>"10.107.15.120"</f>
        <v>10.107.15.120</v>
      </c>
      <c r="G14359" s="1" t="str">
        <f>"0030X691"</f>
        <v>0030X691</v>
      </c>
      <c r="H14359" s="1" t="str">
        <f>"한신지 30R2"</f>
        <v>한신지 30R2</v>
      </c>
      <c r="I14359" s="1" t="s">
        <v>8</v>
      </c>
      <c r="J14359" s="1" t="str">
        <f>"97/97"</f>
        <v>97/97</v>
      </c>
      <c r="K14359" s="1" t="str">
        <f t="shared" si="729"/>
        <v>2026-07-29 13:18:01</v>
      </c>
      <c r="L14359" s="1" t="str">
        <f>"2019-12-13 09:11:23"</f>
        <v>2019-12-13 09:11:23</v>
      </c>
      <c r="M14359" s="1" t="s">
        <v>45</v>
      </c>
      <c r="N14359" s="1" t="s">
        <v>38</v>
      </c>
      <c r="O14359" s="1" t="s">
        <v>46</v>
      </c>
    </row>
    <row r="14360" spans="2:15" x14ac:dyDescent="0.3">
      <c r="B14360" s="1" t="s">
        <v>19</v>
      </c>
      <c r="C14360" s="1" t="str">
        <f t="shared" si="728"/>
        <v>4차</v>
      </c>
      <c r="D14360" s="1" t="str">
        <f>"0030X76144"</f>
        <v>0030X76144</v>
      </c>
      <c r="E14360" s="1" t="s">
        <v>10</v>
      </c>
      <c r="F14360" s="1" t="str">
        <f>"10.107.15.123"</f>
        <v>10.107.15.123</v>
      </c>
      <c r="G14360" s="1" t="str">
        <f>"0030X761"</f>
        <v>0030X761</v>
      </c>
      <c r="H14360" s="1" t="str">
        <f>"한신지 34"</f>
        <v>한신지 34</v>
      </c>
      <c r="I14360" s="1" t="s">
        <v>8</v>
      </c>
      <c r="J14360" s="1" t="str">
        <f>"7/7"</f>
        <v>7/7</v>
      </c>
      <c r="K14360" s="1" t="str">
        <f t="shared" si="729"/>
        <v>2026-07-29 13:18:01</v>
      </c>
      <c r="L14360" s="1" t="str">
        <f>"2019-12-13 09:11:37"</f>
        <v>2019-12-13 09:11:37</v>
      </c>
      <c r="M14360" s="1" t="s">
        <v>45</v>
      </c>
      <c r="N14360" s="1" t="s">
        <v>38</v>
      </c>
      <c r="O14360" s="1" t="s">
        <v>46</v>
      </c>
    </row>
    <row r="14361" spans="2:15" x14ac:dyDescent="0.3">
      <c r="B14361" s="1" t="s">
        <v>19</v>
      </c>
      <c r="C14361" s="1" t="str">
        <f t="shared" si="728"/>
        <v>4차</v>
      </c>
      <c r="D14361" s="1" t="str">
        <f>"0030X77144"</f>
        <v>0030X77144</v>
      </c>
      <c r="E14361" s="1" t="s">
        <v>10</v>
      </c>
      <c r="F14361" s="1" t="str">
        <f>"10.107.15.121"</f>
        <v>10.107.15.121</v>
      </c>
      <c r="G14361" s="1" t="str">
        <f>"0030X771"</f>
        <v>0030X771</v>
      </c>
      <c r="H14361" s="1" t="str">
        <f>"한신지 33"</f>
        <v>한신지 33</v>
      </c>
      <c r="I14361" s="1" t="s">
        <v>8</v>
      </c>
      <c r="J14361" s="1" t="str">
        <f>"21/21"</f>
        <v>21/21</v>
      </c>
      <c r="K14361" s="1" t="str">
        <f t="shared" si="729"/>
        <v>2026-07-29 13:18:01</v>
      </c>
      <c r="L14361" s="1" t="str">
        <f>"2019-12-13 12:10:09"</f>
        <v>2019-12-13 12:10:09</v>
      </c>
      <c r="M14361" s="1" t="s">
        <v>45</v>
      </c>
      <c r="N14361" s="1" t="s">
        <v>38</v>
      </c>
      <c r="O14361" s="1" t="s">
        <v>46</v>
      </c>
    </row>
    <row r="14362" spans="2:15" x14ac:dyDescent="0.3">
      <c r="B14362" s="1" t="s">
        <v>19</v>
      </c>
      <c r="C14362" s="1" t="str">
        <f t="shared" si="728"/>
        <v>4차</v>
      </c>
      <c r="D14362" s="1" t="str">
        <f>"0030X86444"</f>
        <v>0030X86444</v>
      </c>
      <c r="E14362" s="1" t="s">
        <v>10</v>
      </c>
      <c r="F14362" s="1" t="str">
        <f>"10.107.15.124"</f>
        <v>10.107.15.124</v>
      </c>
      <c r="G14362" s="1" t="str">
        <f>"0030X864"</f>
        <v>0030X864</v>
      </c>
      <c r="H14362" s="1" t="str">
        <f>"한신지 35"</f>
        <v>한신지 35</v>
      </c>
      <c r="I14362" s="1" t="s">
        <v>8</v>
      </c>
      <c r="J14362" s="1" t="str">
        <f>"38/38"</f>
        <v>38/38</v>
      </c>
      <c r="K14362" s="1" t="str">
        <f t="shared" si="729"/>
        <v>2026-07-29 13:18:01</v>
      </c>
      <c r="L14362" s="1" t="str">
        <f>"2019-12-13 09:16:54"</f>
        <v>2019-12-13 09:16:54</v>
      </c>
      <c r="M14362" s="1" t="s">
        <v>45</v>
      </c>
      <c r="N14362" s="1" t="s">
        <v>38</v>
      </c>
      <c r="O14362" s="1" t="s">
        <v>46</v>
      </c>
    </row>
    <row r="14363" spans="2:15" x14ac:dyDescent="0.3">
      <c r="B14363" s="1" t="s">
        <v>19</v>
      </c>
      <c r="C14363" s="1" t="str">
        <f t="shared" si="728"/>
        <v>4차</v>
      </c>
      <c r="D14363" s="1" t="str">
        <f>"0030X86544"</f>
        <v>0030X86544</v>
      </c>
      <c r="E14363" s="1" t="s">
        <v>10</v>
      </c>
      <c r="F14363" s="1" t="str">
        <f>"10.107.15.132"</f>
        <v>10.107.15.132</v>
      </c>
      <c r="G14363" s="1" t="str">
        <f>"0030X865"</f>
        <v>0030X865</v>
      </c>
      <c r="H14363" s="1" t="str">
        <f>"화계지 31"</f>
        <v>화계지 31</v>
      </c>
      <c r="I14363" s="1" t="s">
        <v>8</v>
      </c>
      <c r="J14363" s="1" t="str">
        <f>"55/55"</f>
        <v>55/55</v>
      </c>
      <c r="K14363" s="1" t="str">
        <f t="shared" si="729"/>
        <v>2026-07-29 13:18:01</v>
      </c>
      <c r="L14363" s="1" t="str">
        <f>"2019-12-24 17:40:24"</f>
        <v>2019-12-24 17:40:24</v>
      </c>
      <c r="M14363" s="1" t="s">
        <v>45</v>
      </c>
      <c r="N14363" s="1" t="s">
        <v>38</v>
      </c>
      <c r="O14363" s="1" t="s">
        <v>46</v>
      </c>
    </row>
    <row r="14364" spans="2:15" x14ac:dyDescent="0.3">
      <c r="B14364" s="1" t="s">
        <v>19</v>
      </c>
      <c r="C14364" s="1" t="str">
        <f t="shared" si="728"/>
        <v>4차</v>
      </c>
      <c r="D14364" s="1" t="str">
        <f>"0030X90344"</f>
        <v>0030X90344</v>
      </c>
      <c r="E14364" s="1" t="s">
        <v>10</v>
      </c>
      <c r="F14364" s="1" t="str">
        <f>"10.107.120.138"</f>
        <v>10.107.120.138</v>
      </c>
      <c r="G14364" s="1" t="str">
        <f>"0030X903"</f>
        <v>0030X903</v>
      </c>
      <c r="H14364" s="1" t="str">
        <f>"한신지 45R5"</f>
        <v>한신지 45R5</v>
      </c>
      <c r="I14364" s="1" t="s">
        <v>8</v>
      </c>
      <c r="J14364" s="1" t="str">
        <f>"82/84"</f>
        <v>82/84</v>
      </c>
      <c r="K14364" s="1" t="str">
        <f t="shared" si="729"/>
        <v>2026-07-29 13:18:01</v>
      </c>
      <c r="L14364" s="1" t="str">
        <f>"2019-12-13 09:05:07"</f>
        <v>2019-12-13 09:05:07</v>
      </c>
      <c r="M14364" s="1" t="s">
        <v>45</v>
      </c>
      <c r="N14364" s="1" t="s">
        <v>38</v>
      </c>
      <c r="O14364" s="1" t="s">
        <v>46</v>
      </c>
    </row>
    <row r="14365" spans="2:15" x14ac:dyDescent="0.3">
      <c r="B14365" s="1" t="s">
        <v>19</v>
      </c>
      <c r="C14365" s="1" t="str">
        <f>"5-2차"</f>
        <v>5-2차</v>
      </c>
      <c r="D14365" s="1" t="str">
        <f>"0030X9535M"</f>
        <v>0030X9535M</v>
      </c>
      <c r="E14365" s="1" t="s">
        <v>10</v>
      </c>
      <c r="F14365" s="1" t="str">
        <f>"fde3:102:1410:3200:0:0:0:c"</f>
        <v>fde3:102:1410:3200:0:0:0:c</v>
      </c>
      <c r="G14365" s="1" t="str">
        <f>"0030X953"</f>
        <v>0030X953</v>
      </c>
      <c r="H14365" s="1" t="str">
        <f>"한신지 38"</f>
        <v>한신지 38</v>
      </c>
      <c r="I14365" s="1" t="s">
        <v>15</v>
      </c>
      <c r="J14365" s="1" t="str">
        <f>"51/51"</f>
        <v>51/51</v>
      </c>
      <c r="K14365" s="1" t="str">
        <f>"2026-07-29 02:20:22"</f>
        <v>2026-07-29 02:20:22</v>
      </c>
      <c r="L14365" s="1" t="str">
        <f>"2023-11-30 17:05:24"</f>
        <v>2023-11-30 17:05:24</v>
      </c>
      <c r="M14365" s="1" t="s">
        <v>45</v>
      </c>
      <c r="N14365" s="1" t="s">
        <v>38</v>
      </c>
      <c r="O14365" s="1" t="s">
        <v>46</v>
      </c>
    </row>
    <row r="14366" spans="2:15" x14ac:dyDescent="0.3">
      <c r="B14366" s="1" t="s">
        <v>19</v>
      </c>
      <c r="C14366" s="1" t="str">
        <f>"4차"</f>
        <v>4차</v>
      </c>
      <c r="D14366" s="1" t="str">
        <f>"0030Z09144"</f>
        <v>0030Z09144</v>
      </c>
      <c r="E14366" s="1" t="s">
        <v>10</v>
      </c>
      <c r="F14366" s="1" t="str">
        <f>"10.107.119.134"</f>
        <v>10.107.119.134</v>
      </c>
      <c r="G14366" s="1" t="str">
        <f>"0030Z091"</f>
        <v>0030Z091</v>
      </c>
      <c r="H14366" s="1" t="str">
        <f>"한신지 39R20"</f>
        <v>한신지 39R20</v>
      </c>
      <c r="I14366" s="1" t="s">
        <v>8</v>
      </c>
      <c r="J14366" s="1" t="str">
        <f>"35/35"</f>
        <v>35/35</v>
      </c>
      <c r="K14366" s="1" t="str">
        <f t="shared" ref="K14366:K14372" si="730">"2026-07-29 13:18:01"</f>
        <v>2026-07-29 13:18:01</v>
      </c>
      <c r="L14366" s="1" t="str">
        <f>"2019-12-13 12:09:19"</f>
        <v>2019-12-13 12:09:19</v>
      </c>
      <c r="M14366" s="1" t="s">
        <v>45</v>
      </c>
      <c r="N14366" s="1" t="s">
        <v>38</v>
      </c>
      <c r="O14366" s="1" t="s">
        <v>46</v>
      </c>
    </row>
    <row r="14367" spans="2:15" x14ac:dyDescent="0.3">
      <c r="B14367" s="1" t="s">
        <v>19</v>
      </c>
      <c r="C14367" s="1" t="str">
        <f>"4차"</f>
        <v>4차</v>
      </c>
      <c r="D14367" s="1" t="str">
        <f>"0030Z29144"</f>
        <v>0030Z29144</v>
      </c>
      <c r="E14367" s="1" t="s">
        <v>10</v>
      </c>
      <c r="F14367" s="1" t="str">
        <f>"10.107.119.135"</f>
        <v>10.107.119.135</v>
      </c>
      <c r="G14367" s="1" t="str">
        <f>"0030Z291"</f>
        <v>0030Z291</v>
      </c>
      <c r="H14367" s="1" t="str">
        <f>"한신지 39R22"</f>
        <v>한신지 39R22</v>
      </c>
      <c r="I14367" s="1" t="s">
        <v>8</v>
      </c>
      <c r="J14367" s="1" t="str">
        <f>"17/17"</f>
        <v>17/17</v>
      </c>
      <c r="K14367" s="1" t="str">
        <f t="shared" si="730"/>
        <v>2026-07-29 13:18:01</v>
      </c>
      <c r="L14367" s="1" t="str">
        <f>"2019-12-13 09:16:05"</f>
        <v>2019-12-13 09:16:05</v>
      </c>
      <c r="M14367" s="1" t="s">
        <v>45</v>
      </c>
      <c r="N14367" s="1" t="s">
        <v>38</v>
      </c>
      <c r="O14367" s="1" t="s">
        <v>46</v>
      </c>
    </row>
    <row r="14368" spans="2:15" x14ac:dyDescent="0.3">
      <c r="B14368" s="1" t="s">
        <v>19</v>
      </c>
      <c r="C14368" s="1" t="str">
        <f>"4차"</f>
        <v>4차</v>
      </c>
      <c r="D14368" s="1" t="str">
        <f>"0030Z29344"</f>
        <v>0030Z29344</v>
      </c>
      <c r="E14368" s="1" t="s">
        <v>10</v>
      </c>
      <c r="F14368" s="1" t="str">
        <f>"10.107.119.136"</f>
        <v>10.107.119.136</v>
      </c>
      <c r="G14368" s="1" t="str">
        <f>"0030Z293"</f>
        <v>0030Z293</v>
      </c>
      <c r="H14368" s="1" t="str">
        <f>"한신지 39R23"</f>
        <v>한신지 39R23</v>
      </c>
      <c r="I14368" s="1" t="s">
        <v>8</v>
      </c>
      <c r="J14368" s="1" t="str">
        <f>"18/18"</f>
        <v>18/18</v>
      </c>
      <c r="K14368" s="1" t="str">
        <f t="shared" si="730"/>
        <v>2026-07-29 13:18:01</v>
      </c>
      <c r="L14368" s="1" t="str">
        <f>"2019-12-13 09:11:23"</f>
        <v>2019-12-13 09:11:23</v>
      </c>
      <c r="M14368" s="1" t="s">
        <v>45</v>
      </c>
      <c r="N14368" s="1" t="s">
        <v>38</v>
      </c>
      <c r="O14368" s="1" t="s">
        <v>46</v>
      </c>
    </row>
    <row r="14369" spans="2:15" x14ac:dyDescent="0.3">
      <c r="B14369" s="1" t="s">
        <v>19</v>
      </c>
      <c r="C14369" s="1" t="str">
        <f>"3차"</f>
        <v>3차</v>
      </c>
      <c r="D14369" s="1" t="str">
        <f>"0030Z39144"</f>
        <v>0030Z39144</v>
      </c>
      <c r="E14369" s="1" t="s">
        <v>10</v>
      </c>
      <c r="F14369" s="1" t="str">
        <f>"10.107.119.137"</f>
        <v>10.107.119.137</v>
      </c>
      <c r="G14369" s="1" t="str">
        <f>"0030Z391"</f>
        <v>0030Z391</v>
      </c>
      <c r="H14369" s="1" t="str">
        <f>"한신지 39R25"</f>
        <v>한신지 39R25</v>
      </c>
      <c r="I14369" s="1" t="s">
        <v>8</v>
      </c>
      <c r="J14369" s="1" t="str">
        <f>"33/33"</f>
        <v>33/33</v>
      </c>
      <c r="K14369" s="1" t="str">
        <f t="shared" si="730"/>
        <v>2026-07-29 13:18:01</v>
      </c>
      <c r="L14369" s="1" t="str">
        <f>"2023-12-29 17:18:19"</f>
        <v>2023-12-29 17:18:19</v>
      </c>
      <c r="M14369" s="1" t="s">
        <v>45</v>
      </c>
      <c r="N14369" s="1" t="s">
        <v>38</v>
      </c>
      <c r="O14369" s="1" t="s">
        <v>46</v>
      </c>
    </row>
    <row r="14370" spans="2:15" x14ac:dyDescent="0.3">
      <c r="B14370" s="1" t="s">
        <v>19</v>
      </c>
      <c r="C14370" s="1" t="str">
        <f>"4차"</f>
        <v>4차</v>
      </c>
      <c r="D14370" s="1" t="str">
        <f>"0030Z49144"</f>
        <v>0030Z49144</v>
      </c>
      <c r="E14370" s="1" t="s">
        <v>10</v>
      </c>
      <c r="F14370" s="1" t="str">
        <f>"10.107.251.6"</f>
        <v>10.107.251.6</v>
      </c>
      <c r="G14370" s="1" t="str">
        <f>"0030Z491"</f>
        <v>0030Z491</v>
      </c>
      <c r="H14370" s="1" t="str">
        <f>"한신지 39R27"</f>
        <v>한신지 39R27</v>
      </c>
      <c r="I14370" s="1" t="s">
        <v>8</v>
      </c>
      <c r="J14370" s="1" t="str">
        <f>"26/26"</f>
        <v>26/26</v>
      </c>
      <c r="K14370" s="1" t="str">
        <f t="shared" si="730"/>
        <v>2026-07-29 13:18:01</v>
      </c>
      <c r="L14370" s="1" t="str">
        <f>"2020-01-16 10:27:10"</f>
        <v>2020-01-16 10:27:10</v>
      </c>
      <c r="M14370" s="1" t="s">
        <v>45</v>
      </c>
      <c r="N14370" s="1" t="s">
        <v>38</v>
      </c>
      <c r="O14370" s="1" t="s">
        <v>46</v>
      </c>
    </row>
    <row r="14371" spans="2:15" x14ac:dyDescent="0.3">
      <c r="B14371" s="1" t="s">
        <v>19</v>
      </c>
      <c r="C14371" s="1" t="str">
        <f>"4차"</f>
        <v>4차</v>
      </c>
      <c r="D14371" s="1" t="str">
        <f>"0030Z56239"</f>
        <v>0030Z56239</v>
      </c>
      <c r="E14371" s="1" t="s">
        <v>10</v>
      </c>
      <c r="F14371" s="1" t="str">
        <f>"10.12.130.62"</f>
        <v>10.12.130.62</v>
      </c>
      <c r="G14371" s="1" t="str">
        <f>"0030Z562"</f>
        <v>0030Z562</v>
      </c>
      <c r="H14371" s="1" t="str">
        <f>"한신지 52R6L3"</f>
        <v>한신지 52R6L3</v>
      </c>
      <c r="I14371" s="1" t="s">
        <v>17</v>
      </c>
      <c r="J14371" s="1" t="str">
        <f>"105/106"</f>
        <v>105/106</v>
      </c>
      <c r="K14371" s="1" t="str">
        <f t="shared" si="730"/>
        <v>2026-07-29 13:18:01</v>
      </c>
      <c r="L14371" s="1" t="str">
        <f>"2018-09-20 16:58:30"</f>
        <v>2018-09-20 16:58:30</v>
      </c>
      <c r="M14371" s="1" t="s">
        <v>0</v>
      </c>
      <c r="N14371" s="1" t="s">
        <v>38</v>
      </c>
      <c r="O14371" s="1" t="s">
        <v>46</v>
      </c>
    </row>
    <row r="14372" spans="2:15" x14ac:dyDescent="0.3">
      <c r="B14372" s="1" t="s">
        <v>19</v>
      </c>
      <c r="C14372" s="1" t="str">
        <f>"4차"</f>
        <v>4차</v>
      </c>
      <c r="D14372" s="1" t="str">
        <f>"0030Z57244"</f>
        <v>0030Z57244</v>
      </c>
      <c r="E14372" s="1" t="s">
        <v>10</v>
      </c>
      <c r="F14372" s="1" t="str">
        <f>"10.107.251.4"</f>
        <v>10.107.251.4</v>
      </c>
      <c r="G14372" s="1" t="str">
        <f>"0030Z572"</f>
        <v>0030Z572</v>
      </c>
      <c r="H14372" s="1" t="str">
        <f>"한신지 52R6L1"</f>
        <v>한신지 52R6L1</v>
      </c>
      <c r="I14372" s="1" t="s">
        <v>8</v>
      </c>
      <c r="J14372" s="1" t="str">
        <f>"52/62"</f>
        <v>52/62</v>
      </c>
      <c r="K14372" s="1" t="str">
        <f t="shared" si="730"/>
        <v>2026-07-29 13:18:01</v>
      </c>
      <c r="L14372" s="1" t="str">
        <f>"2019-12-13 09:05:45"</f>
        <v>2019-12-13 09:05:45</v>
      </c>
      <c r="M14372" s="1" t="s">
        <v>45</v>
      </c>
      <c r="N14372" s="1" t="s">
        <v>38</v>
      </c>
      <c r="O14372" s="1" t="s">
        <v>46</v>
      </c>
    </row>
    <row r="14373" spans="2:15" x14ac:dyDescent="0.3">
      <c r="B14373" s="1" t="s">
        <v>19</v>
      </c>
      <c r="C14373" s="1" t="str">
        <f>"6차"</f>
        <v>6차</v>
      </c>
      <c r="D14373" s="1" t="str">
        <f>"0030Z5746S"</f>
        <v>0030Z5746S</v>
      </c>
      <c r="E14373" s="1" t="s">
        <v>10</v>
      </c>
      <c r="F14373" s="1" t="str">
        <f>"fde3:102:1410:4200:0:0:0:8"</f>
        <v>fde3:102:1410:4200:0:0:0:8</v>
      </c>
      <c r="G14373" s="1" t="str">
        <f>"0030Z574"</f>
        <v>0030Z574</v>
      </c>
      <c r="H14373" s="1" t="str">
        <f>"한신지 52R7"</f>
        <v>한신지 52R7</v>
      </c>
      <c r="I14373" s="1" t="s">
        <v>15</v>
      </c>
      <c r="J14373" s="1" t="str">
        <f>"1/58"</f>
        <v>1/58</v>
      </c>
      <c r="K14373" s="1" t="str">
        <f>"2026-07-28 02:20:00"</f>
        <v>2026-07-28 02:20:00</v>
      </c>
      <c r="L14373" s="1" t="str">
        <f>"2024-10-11 11:26:40"</f>
        <v>2024-10-11 11:26:40</v>
      </c>
      <c r="M14373" s="1" t="s">
        <v>45</v>
      </c>
      <c r="N14373" s="1" t="s">
        <v>38</v>
      </c>
      <c r="O14373" s="1" t="s">
        <v>46</v>
      </c>
    </row>
    <row r="14374" spans="2:15" x14ac:dyDescent="0.3">
      <c r="B14374" s="1" t="s">
        <v>19</v>
      </c>
      <c r="C14374" s="1" t="str">
        <f t="shared" ref="C14374:C14388" si="731">"4차"</f>
        <v>4차</v>
      </c>
      <c r="D14374" s="1" t="str">
        <f>"0030Z64144"</f>
        <v>0030Z64144</v>
      </c>
      <c r="E14374" s="1" t="s">
        <v>10</v>
      </c>
      <c r="F14374" s="1" t="str">
        <f>"10.107.251.5"</f>
        <v>10.107.251.5</v>
      </c>
      <c r="G14374" s="1" t="str">
        <f>"0030Z641"</f>
        <v>0030Z641</v>
      </c>
      <c r="H14374" s="1" t="str">
        <f>"한신지 52R6L5"</f>
        <v>한신지 52R6L5</v>
      </c>
      <c r="I14374" s="1" t="s">
        <v>8</v>
      </c>
      <c r="J14374" s="1" t="str">
        <f>"32/34"</f>
        <v>32/34</v>
      </c>
      <c r="K14374" s="1" t="str">
        <f>"2026-07-29 13:18:01"</f>
        <v>2026-07-29 13:18:01</v>
      </c>
      <c r="L14374" s="1" t="str">
        <f>"2019-12-13 09:16:26"</f>
        <v>2019-12-13 09:16:26</v>
      </c>
      <c r="M14374" s="1" t="s">
        <v>45</v>
      </c>
      <c r="N14374" s="1" t="s">
        <v>38</v>
      </c>
      <c r="O14374" s="1" t="s">
        <v>46</v>
      </c>
    </row>
    <row r="14375" spans="2:15" x14ac:dyDescent="0.3">
      <c r="B14375" s="1" t="s">
        <v>19</v>
      </c>
      <c r="C14375" s="1" t="str">
        <f t="shared" si="731"/>
        <v>4차</v>
      </c>
      <c r="D14375" s="1" t="str">
        <f>"0030Z64441"</f>
        <v>0030Z64441</v>
      </c>
      <c r="E14375" s="1" t="s">
        <v>10</v>
      </c>
      <c r="F14375" s="1" t="str">
        <f>"10.12.129.35"</f>
        <v>10.12.129.35</v>
      </c>
      <c r="G14375" s="1" t="str">
        <f>"0030Z644"</f>
        <v>0030Z644</v>
      </c>
      <c r="H14375" s="1" t="str">
        <f>"한신지 52R6L6"</f>
        <v>한신지 52R6L6</v>
      </c>
      <c r="I14375" s="1" t="s">
        <v>17</v>
      </c>
      <c r="J14375" s="1" t="str">
        <f>"34/34"</f>
        <v>34/34</v>
      </c>
      <c r="K14375" s="1" t="str">
        <f>"2026-07-29 13:18:02"</f>
        <v>2026-07-29 13:18:02</v>
      </c>
      <c r="L14375" s="1" t="str">
        <f>"2021-08-11 08:53:05"</f>
        <v>2021-08-11 08:53:05</v>
      </c>
      <c r="M14375" s="1" t="s">
        <v>0</v>
      </c>
      <c r="N14375" s="1" t="s">
        <v>38</v>
      </c>
      <c r="O14375" s="1" t="s">
        <v>46</v>
      </c>
    </row>
    <row r="14376" spans="2:15" x14ac:dyDescent="0.3">
      <c r="B14376" s="1" t="s">
        <v>19</v>
      </c>
      <c r="C14376" s="1" t="str">
        <f t="shared" si="731"/>
        <v>4차</v>
      </c>
      <c r="D14376" s="1" t="str">
        <f>"0030Z69144"</f>
        <v>0030Z69144</v>
      </c>
      <c r="E14376" s="1" t="s">
        <v>10</v>
      </c>
      <c r="F14376" s="1" t="str">
        <f>"10.107.120.149"</f>
        <v>10.107.120.149</v>
      </c>
      <c r="G14376" s="1" t="str">
        <f>"0030Z691"</f>
        <v>0030Z691</v>
      </c>
      <c r="H14376" s="1" t="str">
        <f>"한신지 45R9"</f>
        <v>한신지 45R9</v>
      </c>
      <c r="I14376" s="1" t="s">
        <v>8</v>
      </c>
      <c r="J14376" s="1" t="str">
        <f>"94/95"</f>
        <v>94/95</v>
      </c>
      <c r="K14376" s="1" t="str">
        <f t="shared" ref="K14376:K14381" si="732">"2026-07-29 13:18:01"</f>
        <v>2026-07-29 13:18:01</v>
      </c>
      <c r="L14376" s="1" t="str">
        <f>"2019-12-13 09:18:34"</f>
        <v>2019-12-13 09:18:34</v>
      </c>
      <c r="M14376" s="1" t="s">
        <v>45</v>
      </c>
      <c r="N14376" s="1" t="s">
        <v>38</v>
      </c>
      <c r="O14376" s="1" t="s">
        <v>46</v>
      </c>
    </row>
    <row r="14377" spans="2:15" x14ac:dyDescent="0.3">
      <c r="B14377" s="1" t="s">
        <v>19</v>
      </c>
      <c r="C14377" s="1" t="str">
        <f t="shared" si="731"/>
        <v>4차</v>
      </c>
      <c r="D14377" s="1" t="str">
        <f>"0030Z75144"</f>
        <v>0030Z75144</v>
      </c>
      <c r="E14377" s="1" t="s">
        <v>10</v>
      </c>
      <c r="F14377" s="1" t="str">
        <f>"10.107.15.129"</f>
        <v>10.107.15.129</v>
      </c>
      <c r="G14377" s="1" t="str">
        <f>"0030Z751"</f>
        <v>0030Z751</v>
      </c>
      <c r="H14377" s="1" t="str">
        <f>"한신지 52R2L5"</f>
        <v>한신지 52R2L5</v>
      </c>
      <c r="I14377" s="1" t="s">
        <v>8</v>
      </c>
      <c r="J14377" s="1" t="str">
        <f>"58/58"</f>
        <v>58/58</v>
      </c>
      <c r="K14377" s="1" t="str">
        <f t="shared" si="732"/>
        <v>2026-07-29 13:18:01</v>
      </c>
      <c r="L14377" s="1" t="str">
        <f>"2019-12-13 09:16:27"</f>
        <v>2019-12-13 09:16:27</v>
      </c>
      <c r="M14377" s="1" t="s">
        <v>45</v>
      </c>
      <c r="N14377" s="1" t="s">
        <v>38</v>
      </c>
      <c r="O14377" s="1" t="s">
        <v>46</v>
      </c>
    </row>
    <row r="14378" spans="2:15" x14ac:dyDescent="0.3">
      <c r="B14378" s="1" t="s">
        <v>19</v>
      </c>
      <c r="C14378" s="1" t="str">
        <f t="shared" si="731"/>
        <v>4차</v>
      </c>
      <c r="D14378" s="1" t="str">
        <f>"0030Z77144"</f>
        <v>0030Z77144</v>
      </c>
      <c r="E14378" s="1" t="s">
        <v>10</v>
      </c>
      <c r="F14378" s="1" t="str">
        <f>"10.107.252.205"</f>
        <v>10.107.252.205</v>
      </c>
      <c r="G14378" s="1" t="str">
        <f>"0030Z771"</f>
        <v>0030Z771</v>
      </c>
      <c r="H14378" s="1" t="str">
        <f>"한신지 52R4"</f>
        <v>한신지 52R4</v>
      </c>
      <c r="I14378" s="1" t="s">
        <v>8</v>
      </c>
      <c r="J14378" s="1" t="str">
        <f>"85/85"</f>
        <v>85/85</v>
      </c>
      <c r="K14378" s="1" t="str">
        <f t="shared" si="732"/>
        <v>2026-07-29 13:18:01</v>
      </c>
      <c r="L14378" s="1" t="str">
        <f>"2019-12-13 09:10:25"</f>
        <v>2019-12-13 09:10:25</v>
      </c>
      <c r="M14378" s="1" t="s">
        <v>45</v>
      </c>
      <c r="N14378" s="1" t="s">
        <v>38</v>
      </c>
      <c r="O14378" s="1" t="s">
        <v>46</v>
      </c>
    </row>
    <row r="14379" spans="2:15" x14ac:dyDescent="0.3">
      <c r="B14379" s="1" t="s">
        <v>19</v>
      </c>
      <c r="C14379" s="1" t="str">
        <f t="shared" si="731"/>
        <v>4차</v>
      </c>
      <c r="D14379" s="1" t="str">
        <f>"0030Z77244"</f>
        <v>0030Z77244</v>
      </c>
      <c r="E14379" s="1" t="s">
        <v>10</v>
      </c>
      <c r="F14379" s="1" t="str">
        <f>"10.107.252.206"</f>
        <v>10.107.252.206</v>
      </c>
      <c r="G14379" s="1" t="str">
        <f>"0030Z772"</f>
        <v>0030Z772</v>
      </c>
      <c r="H14379" s="1" t="str">
        <f>"한신지 52R5"</f>
        <v>한신지 52R5</v>
      </c>
      <c r="I14379" s="1" t="s">
        <v>8</v>
      </c>
      <c r="J14379" s="1" t="str">
        <f>"96/101"</f>
        <v>96/101</v>
      </c>
      <c r="K14379" s="1" t="str">
        <f t="shared" si="732"/>
        <v>2026-07-29 13:18:01</v>
      </c>
      <c r="L14379" s="1" t="str">
        <f>"2020-01-21 18:56:51"</f>
        <v>2020-01-21 18:56:51</v>
      </c>
      <c r="M14379" s="1" t="s">
        <v>45</v>
      </c>
      <c r="N14379" s="1" t="s">
        <v>38</v>
      </c>
      <c r="O14379" s="1" t="s">
        <v>46</v>
      </c>
    </row>
    <row r="14380" spans="2:15" x14ac:dyDescent="0.3">
      <c r="B14380" s="1" t="s">
        <v>19</v>
      </c>
      <c r="C14380" s="1" t="str">
        <f t="shared" si="731"/>
        <v>4차</v>
      </c>
      <c r="D14380" s="1" t="str">
        <f>"0030Z80444"</f>
        <v>0030Z80444</v>
      </c>
      <c r="E14380" s="1" t="s">
        <v>10</v>
      </c>
      <c r="F14380" s="1" t="str">
        <f>"10.107.120.213"</f>
        <v>10.107.120.213</v>
      </c>
      <c r="G14380" s="1" t="str">
        <f>"0030Z804"</f>
        <v>0030Z804</v>
      </c>
      <c r="H14380" s="1" t="str">
        <f>"화계지 57R5"</f>
        <v>화계지 57R5</v>
      </c>
      <c r="I14380" s="1" t="s">
        <v>8</v>
      </c>
      <c r="J14380" s="1" t="str">
        <f>"103/103"</f>
        <v>103/103</v>
      </c>
      <c r="K14380" s="1" t="str">
        <f t="shared" si="732"/>
        <v>2026-07-29 13:18:01</v>
      </c>
      <c r="L14380" s="1" t="str">
        <f>"2019-12-13 09:19:09"</f>
        <v>2019-12-13 09:19:09</v>
      </c>
      <c r="M14380" s="1" t="s">
        <v>45</v>
      </c>
      <c r="N14380" s="1" t="s">
        <v>38</v>
      </c>
      <c r="O14380" s="1" t="s">
        <v>46</v>
      </c>
    </row>
    <row r="14381" spans="2:15" x14ac:dyDescent="0.3">
      <c r="B14381" s="1" t="s">
        <v>19</v>
      </c>
      <c r="C14381" s="1" t="str">
        <f t="shared" si="731"/>
        <v>4차</v>
      </c>
      <c r="D14381" s="1" t="str">
        <f>"0030Z87344"</f>
        <v>0030Z87344</v>
      </c>
      <c r="E14381" s="1" t="s">
        <v>10</v>
      </c>
      <c r="F14381" s="1" t="str">
        <f>"10.107.252.204"</f>
        <v>10.107.252.204</v>
      </c>
      <c r="G14381" s="1" t="str">
        <f>"0030Z873"</f>
        <v>0030Z873</v>
      </c>
      <c r="H14381" s="1" t="str">
        <f>"한신지 52R3"</f>
        <v>한신지 52R3</v>
      </c>
      <c r="I14381" s="1" t="s">
        <v>8</v>
      </c>
      <c r="J14381" s="1" t="str">
        <f>"41/41"</f>
        <v>41/41</v>
      </c>
      <c r="K14381" s="1" t="str">
        <f t="shared" si="732"/>
        <v>2026-07-29 13:18:01</v>
      </c>
      <c r="L14381" s="1" t="str">
        <f>"2019-12-13 09:10:40"</f>
        <v>2019-12-13 09:10:40</v>
      </c>
      <c r="M14381" s="1" t="s">
        <v>45</v>
      </c>
      <c r="N14381" s="1" t="s">
        <v>38</v>
      </c>
      <c r="O14381" s="1" t="s">
        <v>46</v>
      </c>
    </row>
    <row r="14382" spans="2:15" x14ac:dyDescent="0.3">
      <c r="B14382" s="1" t="s">
        <v>19</v>
      </c>
      <c r="C14382" s="1" t="str">
        <f t="shared" si="731"/>
        <v>4차</v>
      </c>
      <c r="D14382" s="1" t="str">
        <f>"0030Z89341"</f>
        <v>0030Z89341</v>
      </c>
      <c r="E14382" s="1" t="s">
        <v>10</v>
      </c>
      <c r="F14382" s="1" t="str">
        <f>"10.14.6.19"</f>
        <v>10.14.6.19</v>
      </c>
      <c r="G14382" s="1" t="str">
        <f>"0030Z893"</f>
        <v>0030Z893</v>
      </c>
      <c r="H14382" s="1" t="str">
        <f>"한신지 52R3R2"</f>
        <v>한신지 52R3R2</v>
      </c>
      <c r="I14382" s="1" t="s">
        <v>17</v>
      </c>
      <c r="J14382" s="1" t="str">
        <f>"15/15"</f>
        <v>15/15</v>
      </c>
      <c r="K14382" s="1" t="str">
        <f>"2026-07-29 13:18:02"</f>
        <v>2026-07-29 13:18:02</v>
      </c>
      <c r="L14382" s="1" t="str">
        <f>"2021-08-11 07:50:30"</f>
        <v>2021-08-11 07:50:30</v>
      </c>
      <c r="M14382" s="1" t="s">
        <v>3</v>
      </c>
      <c r="N14382" s="1" t="s">
        <v>38</v>
      </c>
      <c r="O14382" s="1" t="s">
        <v>46</v>
      </c>
    </row>
    <row r="14383" spans="2:15" x14ac:dyDescent="0.3">
      <c r="B14383" s="1" t="s">
        <v>19</v>
      </c>
      <c r="C14383" s="1" t="str">
        <f t="shared" si="731"/>
        <v>4차</v>
      </c>
      <c r="D14383" s="1" t="str">
        <f>"0030Z89444"</f>
        <v>0030Z89444</v>
      </c>
      <c r="E14383" s="1" t="s">
        <v>10</v>
      </c>
      <c r="F14383" s="1" t="str">
        <f>"10.107.120.150"</f>
        <v>10.107.120.150</v>
      </c>
      <c r="G14383" s="1" t="str">
        <f>"0030Z894"</f>
        <v>0030Z894</v>
      </c>
      <c r="H14383" s="1" t="str">
        <f>"한신지 45R7"</f>
        <v>한신지 45R7</v>
      </c>
      <c r="I14383" s="1" t="s">
        <v>8</v>
      </c>
      <c r="J14383" s="1" t="str">
        <f>"34/34"</f>
        <v>34/34</v>
      </c>
      <c r="K14383" s="1" t="str">
        <f t="shared" ref="K14383:K14388" si="733">"2026-07-29 13:18:01"</f>
        <v>2026-07-29 13:18:01</v>
      </c>
      <c r="L14383" s="1" t="str">
        <f>"2019-12-13 09:09:49"</f>
        <v>2019-12-13 09:09:49</v>
      </c>
      <c r="M14383" s="1" t="s">
        <v>45</v>
      </c>
      <c r="N14383" s="1" t="s">
        <v>38</v>
      </c>
      <c r="O14383" s="1" t="s">
        <v>46</v>
      </c>
    </row>
    <row r="14384" spans="2:15" x14ac:dyDescent="0.3">
      <c r="B14384" s="1" t="s">
        <v>19</v>
      </c>
      <c r="C14384" s="1" t="str">
        <f t="shared" si="731"/>
        <v>4차</v>
      </c>
      <c r="D14384" s="1" t="str">
        <f>"0030Z90244"</f>
        <v>0030Z90244</v>
      </c>
      <c r="E14384" s="1" t="s">
        <v>10</v>
      </c>
      <c r="F14384" s="1" t="str">
        <f>"10.107.120.214"</f>
        <v>10.107.120.214</v>
      </c>
      <c r="G14384" s="1" t="str">
        <f>"0030Z902"</f>
        <v>0030Z902</v>
      </c>
      <c r="H14384" s="1" t="str">
        <f>"화계지 57R4"</f>
        <v>화계지 57R4</v>
      </c>
      <c r="I14384" s="1" t="s">
        <v>8</v>
      </c>
      <c r="J14384" s="1" t="str">
        <f>"24/24"</f>
        <v>24/24</v>
      </c>
      <c r="K14384" s="1" t="str">
        <f t="shared" si="733"/>
        <v>2026-07-29 13:18:01</v>
      </c>
      <c r="L14384" s="1" t="str">
        <f>"2019-12-13 12:09:19"</f>
        <v>2019-12-13 12:09:19</v>
      </c>
      <c r="M14384" s="1" t="s">
        <v>45</v>
      </c>
      <c r="N14384" s="1" t="s">
        <v>38</v>
      </c>
      <c r="O14384" s="1" t="s">
        <v>46</v>
      </c>
    </row>
    <row r="14385" spans="2:15" x14ac:dyDescent="0.3">
      <c r="B14385" s="1" t="s">
        <v>19</v>
      </c>
      <c r="C14385" s="1" t="str">
        <f t="shared" si="731"/>
        <v>4차</v>
      </c>
      <c r="D14385" s="1" t="str">
        <f>"0030Z95444"</f>
        <v>0030Z95444</v>
      </c>
      <c r="E14385" s="1" t="s">
        <v>10</v>
      </c>
      <c r="F14385" s="1" t="str">
        <f>"10.107.15.128"</f>
        <v>10.107.15.128</v>
      </c>
      <c r="G14385" s="1" t="str">
        <f>"0030Z954"</f>
        <v>0030Z954</v>
      </c>
      <c r="H14385" s="1" t="str">
        <f>"한신지 52R2L3"</f>
        <v>한신지 52R2L3</v>
      </c>
      <c r="I14385" s="1" t="s">
        <v>8</v>
      </c>
      <c r="J14385" s="1" t="str">
        <f>"69/71"</f>
        <v>69/71</v>
      </c>
      <c r="K14385" s="1" t="str">
        <f t="shared" si="733"/>
        <v>2026-07-29 13:18:01</v>
      </c>
      <c r="L14385" s="1" t="str">
        <f>"2019-12-13 12:09:19"</f>
        <v>2019-12-13 12:09:19</v>
      </c>
      <c r="M14385" s="1" t="s">
        <v>45</v>
      </c>
      <c r="N14385" s="1" t="s">
        <v>38</v>
      </c>
      <c r="O14385" s="1" t="s">
        <v>46</v>
      </c>
    </row>
    <row r="14386" spans="2:15" x14ac:dyDescent="0.3">
      <c r="B14386" s="1" t="s">
        <v>19</v>
      </c>
      <c r="C14386" s="1" t="str">
        <f t="shared" si="731"/>
        <v>4차</v>
      </c>
      <c r="D14386" s="1" t="str">
        <f>"0030Z95544"</f>
        <v>0030Z95544</v>
      </c>
      <c r="E14386" s="1" t="s">
        <v>10</v>
      </c>
      <c r="F14386" s="1" t="str">
        <f>"10.107.15.125"</f>
        <v>10.107.15.125</v>
      </c>
      <c r="G14386" s="1" t="str">
        <f>"0030Z955"</f>
        <v>0030Z955</v>
      </c>
      <c r="H14386" s="1" t="str">
        <f>"한신지 52R2L2"</f>
        <v>한신지 52R2L2</v>
      </c>
      <c r="I14386" s="1" t="s">
        <v>8</v>
      </c>
      <c r="J14386" s="1" t="str">
        <f>"71/71"</f>
        <v>71/71</v>
      </c>
      <c r="K14386" s="1" t="str">
        <f t="shared" si="733"/>
        <v>2026-07-29 13:18:01</v>
      </c>
      <c r="L14386" s="1" t="str">
        <f>"2019-12-13 09:16:44"</f>
        <v>2019-12-13 09:16:44</v>
      </c>
      <c r="M14386" s="1" t="s">
        <v>45</v>
      </c>
      <c r="N14386" s="1" t="s">
        <v>38</v>
      </c>
      <c r="O14386" s="1" t="s">
        <v>46</v>
      </c>
    </row>
    <row r="14387" spans="2:15" x14ac:dyDescent="0.3">
      <c r="B14387" s="1" t="s">
        <v>19</v>
      </c>
      <c r="C14387" s="1" t="str">
        <f t="shared" si="731"/>
        <v>4차</v>
      </c>
      <c r="D14387" s="1" t="str">
        <f>"0030Z97139"</f>
        <v>0030Z97139</v>
      </c>
      <c r="E14387" s="1" t="s">
        <v>10</v>
      </c>
      <c r="F14387" s="1" t="str">
        <f>"10.107.251.8"</f>
        <v>10.107.251.8</v>
      </c>
      <c r="G14387" s="1" t="str">
        <f>"0030Z971"</f>
        <v>0030Z971</v>
      </c>
      <c r="H14387" s="1" t="str">
        <f>"한신지 52R2"</f>
        <v>한신지 52R2</v>
      </c>
      <c r="I14387" s="1" t="s">
        <v>8</v>
      </c>
      <c r="J14387" s="1" t="str">
        <f>"141/141"</f>
        <v>141/141</v>
      </c>
      <c r="K14387" s="1" t="str">
        <f t="shared" si="733"/>
        <v>2026-07-29 13:18:01</v>
      </c>
      <c r="L14387" s="1" t="str">
        <f>"2018-09-14 11:41:40"</f>
        <v>2018-09-14 11:41:40</v>
      </c>
      <c r="M14387" s="1" t="s">
        <v>45</v>
      </c>
      <c r="N14387" s="1" t="s">
        <v>38</v>
      </c>
      <c r="O14387" s="1" t="s">
        <v>46</v>
      </c>
    </row>
    <row r="14388" spans="2:15" x14ac:dyDescent="0.3">
      <c r="B14388" s="1" t="s">
        <v>19</v>
      </c>
      <c r="C14388" s="1" t="str">
        <f t="shared" si="731"/>
        <v>4차</v>
      </c>
      <c r="D14388" s="1" t="str">
        <f>"0031H32144"</f>
        <v>0031H32144</v>
      </c>
      <c r="E14388" s="1" t="s">
        <v>10</v>
      </c>
      <c r="F14388" s="1" t="str">
        <f>"10.107.124.88"</f>
        <v>10.107.124.88</v>
      </c>
      <c r="G14388" s="1" t="str">
        <f>"0031H321"</f>
        <v>0031H321</v>
      </c>
      <c r="H14388" s="1" t="str">
        <f>"우이간 78L11"</f>
        <v>우이간 78L11</v>
      </c>
      <c r="I14388" s="1" t="s">
        <v>8</v>
      </c>
      <c r="J14388" s="1" t="str">
        <f>"37/38"</f>
        <v>37/38</v>
      </c>
      <c r="K14388" s="1" t="str">
        <f t="shared" si="733"/>
        <v>2026-07-29 13:18:01</v>
      </c>
      <c r="L14388" s="1" t="str">
        <f>"2019-12-13 12:09:18"</f>
        <v>2019-12-13 12:09:18</v>
      </c>
      <c r="M14388" s="1" t="s">
        <v>45</v>
      </c>
      <c r="N14388" s="1" t="s">
        <v>38</v>
      </c>
      <c r="O14388" s="1" t="s">
        <v>46</v>
      </c>
    </row>
    <row r="14389" spans="2:15" x14ac:dyDescent="0.3">
      <c r="B14389" s="1" t="s">
        <v>19</v>
      </c>
      <c r="C14389" s="1" t="str">
        <f>"5-2차"</f>
        <v>5-2차</v>
      </c>
      <c r="D14389" s="1" t="str">
        <f>"0031H3315M"</f>
        <v>0031H3315M</v>
      </c>
      <c r="E14389" s="1" t="s">
        <v>10</v>
      </c>
      <c r="F14389" s="1" t="str">
        <f>"fde1:103:4:5a09:0:0:0:2"</f>
        <v>fde1:103:4:5a09:0:0:0:2</v>
      </c>
      <c r="G14389" s="1" t="str">
        <f>"0031H331"</f>
        <v>0031H331</v>
      </c>
      <c r="H14389" s="1" t="str">
        <f>"우이간 78L12"</f>
        <v>우이간 78L12</v>
      </c>
      <c r="I14389" s="1" t="s">
        <v>15</v>
      </c>
      <c r="J14389" s="1" t="str">
        <f>"41/43"</f>
        <v>41/43</v>
      </c>
      <c r="K14389" s="1" t="str">
        <f>"2026-07-29 14:20:31"</f>
        <v>2026-07-29 14:20:31</v>
      </c>
      <c r="L14389" s="1" t="str">
        <f>"2023-09-19 09:53:17"</f>
        <v>2023-09-19 09:53:17</v>
      </c>
      <c r="M14389" s="1" t="s">
        <v>4</v>
      </c>
      <c r="N14389" s="1" t="s">
        <v>38</v>
      </c>
      <c r="O14389" s="1" t="s">
        <v>46</v>
      </c>
    </row>
    <row r="14390" spans="2:15" x14ac:dyDescent="0.3">
      <c r="B14390" s="1" t="s">
        <v>19</v>
      </c>
      <c r="C14390" s="1" t="str">
        <f>"4차"</f>
        <v>4차</v>
      </c>
      <c r="D14390" s="1" t="str">
        <f>"0031H42241"</f>
        <v>0031H42241</v>
      </c>
      <c r="E14390" s="1" t="s">
        <v>10</v>
      </c>
      <c r="F14390" s="1" t="str">
        <f>"10.12.128.254"</f>
        <v>10.12.128.254</v>
      </c>
      <c r="G14390" s="1" t="str">
        <f>"0031H422"</f>
        <v>0031H422</v>
      </c>
      <c r="H14390" s="1" t="str">
        <f>"우이간 78L10H1"</f>
        <v>우이간 78L10H1</v>
      </c>
      <c r="I14390" s="1" t="s">
        <v>17</v>
      </c>
      <c r="J14390" s="1" t="str">
        <f>"38/44"</f>
        <v>38/44</v>
      </c>
      <c r="K14390" s="1" t="str">
        <f>"2026-07-29 13:18:01"</f>
        <v>2026-07-29 13:18:01</v>
      </c>
      <c r="L14390" s="1" t="str">
        <f>"2021-08-10 08:11:33"</f>
        <v>2021-08-10 08:11:33</v>
      </c>
      <c r="M14390" s="1" t="s">
        <v>0</v>
      </c>
      <c r="N14390" s="1" t="s">
        <v>38</v>
      </c>
      <c r="O14390" s="1" t="s">
        <v>46</v>
      </c>
    </row>
    <row r="14391" spans="2:15" x14ac:dyDescent="0.3">
      <c r="B14391" s="1" t="s">
        <v>19</v>
      </c>
      <c r="C14391" s="1" t="str">
        <f>"4차"</f>
        <v>4차</v>
      </c>
      <c r="D14391" s="1" t="str">
        <f>"0031H44141"</f>
        <v>0031H44141</v>
      </c>
      <c r="E14391" s="1" t="s">
        <v>10</v>
      </c>
      <c r="F14391" s="1" t="str">
        <f>"10.12.128.15"</f>
        <v>10.12.128.15</v>
      </c>
      <c r="G14391" s="1" t="str">
        <f>"0031H441"</f>
        <v>0031H441</v>
      </c>
      <c r="H14391" s="1" t="str">
        <f>"우이간 78L13R2"</f>
        <v>우이간 78L13R2</v>
      </c>
      <c r="I14391" s="1" t="s">
        <v>17</v>
      </c>
      <c r="J14391" s="1" t="str">
        <f>"33/34"</f>
        <v>33/34</v>
      </c>
      <c r="K14391" s="1" t="str">
        <f>"2026-07-29 13:18:02"</f>
        <v>2026-07-29 13:18:02</v>
      </c>
      <c r="L14391" s="1" t="str">
        <f>"2021-08-10 07:25:22"</f>
        <v>2021-08-10 07:25:22</v>
      </c>
      <c r="M14391" s="1" t="s">
        <v>0</v>
      </c>
      <c r="N14391" s="1" t="s">
        <v>38</v>
      </c>
      <c r="O14391" s="1" t="s">
        <v>46</v>
      </c>
    </row>
    <row r="14392" spans="2:15" x14ac:dyDescent="0.3">
      <c r="B14392" s="1" t="s">
        <v>19</v>
      </c>
      <c r="C14392" s="1" t="str">
        <f>"4차"</f>
        <v>4차</v>
      </c>
      <c r="D14392" s="1" t="str">
        <f>"0031H55144"</f>
        <v>0031H55144</v>
      </c>
      <c r="E14392" s="1" t="s">
        <v>10</v>
      </c>
      <c r="F14392" s="1" t="str">
        <f>"10.107.124.92"</f>
        <v>10.107.124.92</v>
      </c>
      <c r="G14392" s="1" t="str">
        <f>"0031H551"</f>
        <v>0031H551</v>
      </c>
      <c r="H14392" s="1" t="str">
        <f>"우이간 84L5R1L2"</f>
        <v>우이간 84L5R1L2</v>
      </c>
      <c r="I14392" s="1" t="s">
        <v>8</v>
      </c>
      <c r="J14392" s="1" t="str">
        <f>"29/29"</f>
        <v>29/29</v>
      </c>
      <c r="K14392" s="1" t="str">
        <f t="shared" ref="K14392:K14402" si="734">"2026-07-29 13:18:01"</f>
        <v>2026-07-29 13:18:01</v>
      </c>
      <c r="L14392" s="1" t="str">
        <f>"2019-12-13 12:09:19"</f>
        <v>2019-12-13 12:09:19</v>
      </c>
      <c r="M14392" s="1" t="s">
        <v>45</v>
      </c>
      <c r="N14392" s="1" t="s">
        <v>38</v>
      </c>
      <c r="O14392" s="1" t="s">
        <v>46</v>
      </c>
    </row>
    <row r="14393" spans="2:15" x14ac:dyDescent="0.3">
      <c r="B14393" s="1" t="s">
        <v>19</v>
      </c>
      <c r="C14393" s="1" t="str">
        <f>"4차"</f>
        <v>4차</v>
      </c>
      <c r="D14393" s="1" t="str">
        <f>"0031H61144"</f>
        <v>0031H61144</v>
      </c>
      <c r="E14393" s="1" t="s">
        <v>10</v>
      </c>
      <c r="F14393" s="1" t="str">
        <f>"10.107.122.67"</f>
        <v>10.107.122.67</v>
      </c>
      <c r="G14393" s="1" t="str">
        <f>"0031H611"</f>
        <v>0031H611</v>
      </c>
      <c r="H14393" s="1" t="str">
        <f>"우이간 78L8"</f>
        <v>우이간 78L8</v>
      </c>
      <c r="I14393" s="1" t="s">
        <v>8</v>
      </c>
      <c r="J14393" s="1" t="str">
        <f>"37/42"</f>
        <v>37/42</v>
      </c>
      <c r="K14393" s="1" t="str">
        <f t="shared" si="734"/>
        <v>2026-07-29 13:18:01</v>
      </c>
      <c r="L14393" s="1" t="str">
        <f>"2019-12-13 09:17:00"</f>
        <v>2019-12-13 09:17:00</v>
      </c>
      <c r="M14393" s="1" t="s">
        <v>45</v>
      </c>
      <c r="N14393" s="1" t="s">
        <v>38</v>
      </c>
      <c r="O14393" s="1" t="s">
        <v>46</v>
      </c>
    </row>
    <row r="14394" spans="2:15" x14ac:dyDescent="0.3">
      <c r="B14394" s="1" t="s">
        <v>19</v>
      </c>
      <c r="C14394" s="1" t="str">
        <f>"3차"</f>
        <v>3차</v>
      </c>
      <c r="D14394" s="1" t="str">
        <f>"0031H63139"</f>
        <v>0031H63139</v>
      </c>
      <c r="E14394" s="1" t="s">
        <v>10</v>
      </c>
      <c r="F14394" s="1" t="str">
        <f>"10.14.10.25"</f>
        <v>10.14.10.25</v>
      </c>
      <c r="G14394" s="1" t="str">
        <f>"0031H631"</f>
        <v>0031H631</v>
      </c>
      <c r="H14394" s="1" t="str">
        <f>"우이간 78L9A1"</f>
        <v>우이간 78L9A1</v>
      </c>
      <c r="I14394" s="1" t="s">
        <v>8</v>
      </c>
      <c r="J14394" s="1" t="str">
        <f>"43/43"</f>
        <v>43/43</v>
      </c>
      <c r="K14394" s="1" t="str">
        <f t="shared" si="734"/>
        <v>2026-07-29 13:18:01</v>
      </c>
      <c r="L14394" s="1" t="str">
        <f>"2018-04-25 08:45:56"</f>
        <v>2018-04-25 08:45:56</v>
      </c>
      <c r="M14394" s="1" t="s">
        <v>3</v>
      </c>
      <c r="N14394" s="1" t="s">
        <v>38</v>
      </c>
      <c r="O14394" s="1" t="s">
        <v>46</v>
      </c>
    </row>
    <row r="14395" spans="2:15" x14ac:dyDescent="0.3">
      <c r="B14395" s="1" t="s">
        <v>19</v>
      </c>
      <c r="C14395" s="1" t="str">
        <f t="shared" ref="C14395:C14402" si="735">"4차"</f>
        <v>4차</v>
      </c>
      <c r="D14395" s="1" t="str">
        <f>"0031H63344"</f>
        <v>0031H63344</v>
      </c>
      <c r="E14395" s="1" t="s">
        <v>10</v>
      </c>
      <c r="F14395" s="1" t="str">
        <f>"10.107.124.87"</f>
        <v>10.107.124.87</v>
      </c>
      <c r="G14395" s="1" t="str">
        <f>"0031H633"</f>
        <v>0031H633</v>
      </c>
      <c r="H14395" s="1" t="str">
        <f>"우이간 78L9"</f>
        <v>우이간 78L9</v>
      </c>
      <c r="I14395" s="1" t="s">
        <v>8</v>
      </c>
      <c r="J14395" s="1" t="str">
        <f>"61/61"</f>
        <v>61/61</v>
      </c>
      <c r="K14395" s="1" t="str">
        <f t="shared" si="734"/>
        <v>2026-07-29 13:18:01</v>
      </c>
      <c r="L14395" s="1" t="str">
        <f>"2019-12-13 09:18:22"</f>
        <v>2019-12-13 09:18:22</v>
      </c>
      <c r="M14395" s="1" t="s">
        <v>45</v>
      </c>
      <c r="N14395" s="1" t="s">
        <v>38</v>
      </c>
      <c r="O14395" s="1" t="s">
        <v>46</v>
      </c>
    </row>
    <row r="14396" spans="2:15" x14ac:dyDescent="0.3">
      <c r="B14396" s="1" t="s">
        <v>19</v>
      </c>
      <c r="C14396" s="1" t="str">
        <f t="shared" si="735"/>
        <v>4차</v>
      </c>
      <c r="D14396" s="1" t="str">
        <f>"0031H63441"</f>
        <v>0031H63441</v>
      </c>
      <c r="E14396" s="1" t="s">
        <v>10</v>
      </c>
      <c r="F14396" s="1" t="str">
        <f>"10.14.4.15"</f>
        <v>10.14.4.15</v>
      </c>
      <c r="G14396" s="1" t="str">
        <f>"0031H634"</f>
        <v>0031H634</v>
      </c>
      <c r="H14396" s="1" t="str">
        <f>"우이간 78L9R1"</f>
        <v>우이간 78L9R1</v>
      </c>
      <c r="I14396" s="1" t="s">
        <v>17</v>
      </c>
      <c r="J14396" s="1" t="str">
        <f>"42/43"</f>
        <v>42/43</v>
      </c>
      <c r="K14396" s="1" t="str">
        <f t="shared" si="734"/>
        <v>2026-07-29 13:18:01</v>
      </c>
      <c r="L14396" s="1" t="str">
        <f>"2021-08-09 09:41:39"</f>
        <v>2021-08-09 09:41:39</v>
      </c>
      <c r="M14396" s="1" t="s">
        <v>3</v>
      </c>
      <c r="N14396" s="1" t="s">
        <v>38</v>
      </c>
      <c r="O14396" s="1" t="s">
        <v>46</v>
      </c>
    </row>
    <row r="14397" spans="2:15" x14ac:dyDescent="0.3">
      <c r="B14397" s="1" t="s">
        <v>19</v>
      </c>
      <c r="C14397" s="1" t="str">
        <f t="shared" si="735"/>
        <v>4차</v>
      </c>
      <c r="D14397" s="1" t="str">
        <f>"0031H65144"</f>
        <v>0031H65144</v>
      </c>
      <c r="E14397" s="1" t="s">
        <v>10</v>
      </c>
      <c r="F14397" s="1" t="str">
        <f>"10.107.124.91"</f>
        <v>10.107.124.91</v>
      </c>
      <c r="G14397" s="1" t="str">
        <f>"0031H651"</f>
        <v>0031H651</v>
      </c>
      <c r="H14397" s="1" t="str">
        <f>"우이간 84L5R1L1"</f>
        <v>우이간 84L5R1L1</v>
      </c>
      <c r="I14397" s="1" t="s">
        <v>8</v>
      </c>
      <c r="J14397" s="1" t="str">
        <f>"35/35"</f>
        <v>35/35</v>
      </c>
      <c r="K14397" s="1" t="str">
        <f t="shared" si="734"/>
        <v>2026-07-29 13:18:01</v>
      </c>
      <c r="L14397" s="1" t="str">
        <f>"2023-06-19 17:29:56"</f>
        <v>2023-06-19 17:29:56</v>
      </c>
      <c r="M14397" s="1" t="s">
        <v>45</v>
      </c>
      <c r="N14397" s="1" t="s">
        <v>38</v>
      </c>
      <c r="O14397" s="1" t="s">
        <v>46</v>
      </c>
    </row>
    <row r="14398" spans="2:15" x14ac:dyDescent="0.3">
      <c r="B14398" s="1" t="s">
        <v>19</v>
      </c>
      <c r="C14398" s="1" t="str">
        <f t="shared" si="735"/>
        <v>4차</v>
      </c>
      <c r="D14398" s="1" t="str">
        <f>"0031H67141"</f>
        <v>0031H67141</v>
      </c>
      <c r="E14398" s="1" t="s">
        <v>10</v>
      </c>
      <c r="F14398" s="1" t="str">
        <f>"10.14.10.27"</f>
        <v>10.14.10.27</v>
      </c>
      <c r="G14398" s="1" t="str">
        <f>"0031H671"</f>
        <v>0031H671</v>
      </c>
      <c r="H14398" s="1" t="str">
        <f>"우이간 84L5R2"</f>
        <v>우이간 84L5R2</v>
      </c>
      <c r="I14398" s="1" t="s">
        <v>17</v>
      </c>
      <c r="J14398" s="1" t="str">
        <f>"52/54"</f>
        <v>52/54</v>
      </c>
      <c r="K14398" s="1" t="str">
        <f t="shared" si="734"/>
        <v>2026-07-29 13:18:01</v>
      </c>
      <c r="L14398" s="1" t="str">
        <f>"2021-08-09 10:36:42"</f>
        <v>2021-08-09 10:36:42</v>
      </c>
      <c r="M14398" s="1" t="s">
        <v>3</v>
      </c>
      <c r="N14398" s="1" t="s">
        <v>38</v>
      </c>
      <c r="O14398" s="1" t="s">
        <v>46</v>
      </c>
    </row>
    <row r="14399" spans="2:15" x14ac:dyDescent="0.3">
      <c r="B14399" s="1" t="s">
        <v>19</v>
      </c>
      <c r="C14399" s="1" t="str">
        <f t="shared" si="735"/>
        <v>4차</v>
      </c>
      <c r="D14399" s="1" t="str">
        <f>"0031H75244"</f>
        <v>0031H75244</v>
      </c>
      <c r="E14399" s="1" t="s">
        <v>10</v>
      </c>
      <c r="F14399" s="1" t="str">
        <f>"10.107.124.93"</f>
        <v>10.107.124.93</v>
      </c>
      <c r="G14399" s="1" t="str">
        <f>"0031H752"</f>
        <v>0031H752</v>
      </c>
      <c r="H14399" s="1" t="str">
        <f>"우이간 84L5R1"</f>
        <v>우이간 84L5R1</v>
      </c>
      <c r="I14399" s="1" t="s">
        <v>8</v>
      </c>
      <c r="J14399" s="1" t="str">
        <f>"22/22"</f>
        <v>22/22</v>
      </c>
      <c r="K14399" s="1" t="str">
        <f t="shared" si="734"/>
        <v>2026-07-29 13:18:01</v>
      </c>
      <c r="L14399" s="1" t="str">
        <f>"2019-12-13 12:09:19"</f>
        <v>2019-12-13 12:09:19</v>
      </c>
      <c r="M14399" s="1" t="s">
        <v>45</v>
      </c>
      <c r="N14399" s="1" t="s">
        <v>38</v>
      </c>
      <c r="O14399" s="1" t="s">
        <v>46</v>
      </c>
    </row>
    <row r="14400" spans="2:15" x14ac:dyDescent="0.3">
      <c r="B14400" s="1" t="s">
        <v>19</v>
      </c>
      <c r="C14400" s="1" t="str">
        <f t="shared" si="735"/>
        <v>4차</v>
      </c>
      <c r="D14400" s="1" t="str">
        <f>"0031H75344"</f>
        <v>0031H75344</v>
      </c>
      <c r="E14400" s="1" t="s">
        <v>10</v>
      </c>
      <c r="F14400" s="1" t="str">
        <f>"10.107.122.68"</f>
        <v>10.107.122.68</v>
      </c>
      <c r="G14400" s="1" t="str">
        <f>"0031H753"</f>
        <v>0031H753</v>
      </c>
      <c r="H14400" s="1" t="str">
        <f>"우이간 84L4"</f>
        <v>우이간 84L4</v>
      </c>
      <c r="I14400" s="1" t="s">
        <v>8</v>
      </c>
      <c r="J14400" s="1" t="str">
        <f>"14/14"</f>
        <v>14/14</v>
      </c>
      <c r="K14400" s="1" t="str">
        <f t="shared" si="734"/>
        <v>2026-07-29 13:18:01</v>
      </c>
      <c r="L14400" s="1" t="str">
        <f>"2019-12-13 09:00:03"</f>
        <v>2019-12-13 09:00:03</v>
      </c>
      <c r="M14400" s="1" t="s">
        <v>45</v>
      </c>
      <c r="N14400" s="1" t="s">
        <v>38</v>
      </c>
      <c r="O14400" s="1" t="s">
        <v>46</v>
      </c>
    </row>
    <row r="14401" spans="2:15" x14ac:dyDescent="0.3">
      <c r="B14401" s="1" t="s">
        <v>19</v>
      </c>
      <c r="C14401" s="1" t="str">
        <f t="shared" si="735"/>
        <v>4차</v>
      </c>
      <c r="D14401" s="1" t="str">
        <f>"0031H81144"</f>
        <v>0031H81144</v>
      </c>
      <c r="E14401" s="1" t="s">
        <v>10</v>
      </c>
      <c r="F14401" s="1" t="str">
        <f>"10.107.124.90"</f>
        <v>10.107.124.90</v>
      </c>
      <c r="G14401" s="1" t="str">
        <f>"0031H811"</f>
        <v>0031H811</v>
      </c>
      <c r="H14401" s="1" t="str">
        <f>"우이간 78L6"</f>
        <v>우이간 78L6</v>
      </c>
      <c r="I14401" s="1" t="s">
        <v>8</v>
      </c>
      <c r="J14401" s="1" t="str">
        <f>"23/23"</f>
        <v>23/23</v>
      </c>
      <c r="K14401" s="1" t="str">
        <f t="shared" si="734"/>
        <v>2026-07-29 13:18:01</v>
      </c>
      <c r="L14401" s="1" t="str">
        <f>"2019-12-13 12:09:18"</f>
        <v>2019-12-13 12:09:18</v>
      </c>
      <c r="M14401" s="1" t="s">
        <v>45</v>
      </c>
      <c r="N14401" s="1" t="s">
        <v>38</v>
      </c>
      <c r="O14401" s="1" t="s">
        <v>46</v>
      </c>
    </row>
    <row r="14402" spans="2:15" x14ac:dyDescent="0.3">
      <c r="B14402" s="1" t="s">
        <v>19</v>
      </c>
      <c r="C14402" s="1" t="str">
        <f t="shared" si="735"/>
        <v>4차</v>
      </c>
      <c r="D14402" s="1" t="str">
        <f>"0031H83339"</f>
        <v>0031H83339</v>
      </c>
      <c r="E14402" s="1" t="s">
        <v>10</v>
      </c>
      <c r="F14402" s="1" t="str">
        <f>"10.107.124.86"</f>
        <v>10.107.124.86</v>
      </c>
      <c r="G14402" s="1" t="str">
        <f>"0031H833"</f>
        <v>0031H833</v>
      </c>
      <c r="H14402" s="1" t="str">
        <f>"우이간 78L9R2"</f>
        <v>우이간 78L9R2</v>
      </c>
      <c r="I14402" s="1" t="s">
        <v>17</v>
      </c>
      <c r="J14402" s="1" t="str">
        <f>"119/123"</f>
        <v>119/123</v>
      </c>
      <c r="K14402" s="1" t="str">
        <f t="shared" si="734"/>
        <v>2026-07-29 13:18:01</v>
      </c>
      <c r="L14402" s="1" t="str">
        <f>"2018-09-20 16:04:43"</f>
        <v>2018-09-20 16:04:43</v>
      </c>
      <c r="M14402" s="1" t="s">
        <v>45</v>
      </c>
      <c r="N14402" s="1" t="s">
        <v>38</v>
      </c>
      <c r="O14402" s="1" t="s">
        <v>46</v>
      </c>
    </row>
    <row r="14403" spans="2:15" x14ac:dyDescent="0.3">
      <c r="B14403" s="1" t="s">
        <v>19</v>
      </c>
      <c r="C14403" s="1" t="str">
        <f>"5-1차"</f>
        <v>5-1차</v>
      </c>
      <c r="D14403" s="1" t="str">
        <f>"0031H8415S"</f>
        <v>0031H8415S</v>
      </c>
      <c r="E14403" s="1" t="s">
        <v>10</v>
      </c>
      <c r="F14403" s="1" t="str">
        <f>"fde3:102:1410:4400:0:0:0:8"</f>
        <v>fde3:102:1410:4400:0:0:0:8</v>
      </c>
      <c r="G14403" s="1" t="str">
        <f>"0031H841"</f>
        <v>0031H841</v>
      </c>
      <c r="H14403" s="1" t="str">
        <f>"우이간 78L9R3"</f>
        <v>우이간 78L9R3</v>
      </c>
      <c r="I14403" s="1" t="s">
        <v>15</v>
      </c>
      <c r="J14403" s="1" t="str">
        <f>"64/66"</f>
        <v>64/66</v>
      </c>
      <c r="K14403" s="1" t="str">
        <f>"2026-07-29 14:20:28"</f>
        <v>2026-07-29 14:20:28</v>
      </c>
      <c r="L14403" s="1" t="str">
        <f>"2022-09-26 15:43:21"</f>
        <v>2022-09-26 15:43:21</v>
      </c>
      <c r="M14403" s="1" t="s">
        <v>45</v>
      </c>
      <c r="N14403" s="1" t="s">
        <v>38</v>
      </c>
      <c r="O14403" s="1" t="s">
        <v>46</v>
      </c>
    </row>
    <row r="14404" spans="2:15" x14ac:dyDescent="0.3">
      <c r="B14404" s="1" t="s">
        <v>19</v>
      </c>
      <c r="C14404" s="1" t="str">
        <f>"4차"</f>
        <v>4차</v>
      </c>
      <c r="D14404" s="1" t="str">
        <f>"0031H91141"</f>
        <v>0031H91141</v>
      </c>
      <c r="E14404" s="1" t="s">
        <v>10</v>
      </c>
      <c r="F14404" s="1" t="str">
        <f>"10.14.2.118"</f>
        <v>10.14.2.118</v>
      </c>
      <c r="G14404" s="1" t="str">
        <f>"0031H911"</f>
        <v>0031H911</v>
      </c>
      <c r="H14404" s="1" t="str">
        <f>"우이간 78L5L1"</f>
        <v>우이간 78L5L1</v>
      </c>
      <c r="I14404" s="1" t="s">
        <v>17</v>
      </c>
      <c r="J14404" s="1" t="str">
        <f>"12/18"</f>
        <v>12/18</v>
      </c>
      <c r="K14404" s="1" t="str">
        <f>"2026-07-29 13:18:01"</f>
        <v>2026-07-29 13:18:01</v>
      </c>
      <c r="L14404" s="1" t="str">
        <f>"2021-08-09 08:54:12"</f>
        <v>2021-08-09 08:54:12</v>
      </c>
      <c r="M14404" s="1" t="s">
        <v>3</v>
      </c>
      <c r="N14404" s="1" t="s">
        <v>38</v>
      </c>
      <c r="O14404" s="1" t="s">
        <v>46</v>
      </c>
    </row>
    <row r="14405" spans="2:15" x14ac:dyDescent="0.3">
      <c r="B14405" s="1" t="s">
        <v>19</v>
      </c>
      <c r="C14405" s="1" t="str">
        <f>"4차"</f>
        <v>4차</v>
      </c>
      <c r="D14405" s="1" t="str">
        <f>"0031H91244"</f>
        <v>0031H91244</v>
      </c>
      <c r="E14405" s="1" t="s">
        <v>10</v>
      </c>
      <c r="F14405" s="1" t="str">
        <f>"10.107.124.89"</f>
        <v>10.107.124.89</v>
      </c>
      <c r="G14405" s="1" t="str">
        <f>"0031H912"</f>
        <v>0031H912</v>
      </c>
      <c r="H14405" s="1" t="str">
        <f>"우이간 78L5"</f>
        <v>우이간 78L5</v>
      </c>
      <c r="I14405" s="1" t="s">
        <v>8</v>
      </c>
      <c r="J14405" s="1" t="str">
        <f>"45/46"</f>
        <v>45/46</v>
      </c>
      <c r="K14405" s="1" t="str">
        <f>"2026-07-29 13:18:01"</f>
        <v>2026-07-29 13:18:01</v>
      </c>
      <c r="L14405" s="1" t="str">
        <f>"2019-12-13 09:09:47"</f>
        <v>2019-12-13 09:09:47</v>
      </c>
      <c r="M14405" s="1" t="s">
        <v>45</v>
      </c>
      <c r="N14405" s="1" t="s">
        <v>38</v>
      </c>
      <c r="O14405" s="1" t="s">
        <v>46</v>
      </c>
    </row>
    <row r="14406" spans="2:15" x14ac:dyDescent="0.3">
      <c r="B14406" s="1" t="s">
        <v>19</v>
      </c>
      <c r="C14406" s="1" t="str">
        <f>"4차"</f>
        <v>4차</v>
      </c>
      <c r="D14406" s="1" t="str">
        <f>"0031H92144"</f>
        <v>0031H92144</v>
      </c>
      <c r="E14406" s="1" t="s">
        <v>10</v>
      </c>
      <c r="F14406" s="1" t="str">
        <f>"10.107.124.202"</f>
        <v>10.107.124.202</v>
      </c>
      <c r="G14406" s="1" t="str">
        <f>"0031H921"</f>
        <v>0031H921</v>
      </c>
      <c r="H14406" s="1" t="str">
        <f>"우이간 78L4"</f>
        <v>우이간 78L4</v>
      </c>
      <c r="I14406" s="1" t="s">
        <v>8</v>
      </c>
      <c r="J14406" s="1" t="str">
        <f>"46/46"</f>
        <v>46/46</v>
      </c>
      <c r="K14406" s="1" t="str">
        <f>"2026-07-29 13:18:01"</f>
        <v>2026-07-29 13:18:01</v>
      </c>
      <c r="L14406" s="1" t="str">
        <f>"2019-11-21 21:28:24"</f>
        <v>2019-11-21 21:28:24</v>
      </c>
      <c r="M14406" s="1" t="s">
        <v>45</v>
      </c>
      <c r="N14406" s="1" t="s">
        <v>38</v>
      </c>
      <c r="O14406" s="1" t="s">
        <v>46</v>
      </c>
    </row>
    <row r="14407" spans="2:15" x14ac:dyDescent="0.3">
      <c r="B14407" s="1" t="s">
        <v>19</v>
      </c>
      <c r="C14407" s="1" t="str">
        <f>"5-1차"</f>
        <v>5-1차</v>
      </c>
      <c r="D14407" s="1" t="str">
        <f>"0031H9225S"</f>
        <v>0031H9225S</v>
      </c>
      <c r="E14407" s="1" t="s">
        <v>10</v>
      </c>
      <c r="F14407" s="1" t="str">
        <f>"fde3:102:1410:3200:0:0:0:3"</f>
        <v>fde3:102:1410:3200:0:0:0:3</v>
      </c>
      <c r="G14407" s="1" t="str">
        <f>"0031H922"</f>
        <v>0031H922</v>
      </c>
      <c r="H14407" s="1" t="str">
        <f>"우이간 78L4R1"</f>
        <v>우이간 78L4R1</v>
      </c>
      <c r="I14407" s="1" t="s">
        <v>15</v>
      </c>
      <c r="J14407" s="1" t="str">
        <f>"23/23"</f>
        <v>23/23</v>
      </c>
      <c r="K14407" s="1" t="str">
        <f>"2026-07-29 14:20:01"</f>
        <v>2026-07-29 14:20:01</v>
      </c>
      <c r="L14407" s="1" t="str">
        <f>"2022-09-26 16:12:33"</f>
        <v>2022-09-26 16:12:33</v>
      </c>
      <c r="M14407" s="1" t="s">
        <v>45</v>
      </c>
      <c r="N14407" s="1" t="s">
        <v>38</v>
      </c>
      <c r="O14407" s="1" t="s">
        <v>46</v>
      </c>
    </row>
    <row r="14408" spans="2:15" x14ac:dyDescent="0.3">
      <c r="B14408" s="1" t="s">
        <v>19</v>
      </c>
      <c r="C14408" s="1" t="str">
        <f t="shared" ref="C14408:C14420" si="736">"4차"</f>
        <v>4차</v>
      </c>
      <c r="D14408" s="1" t="str">
        <f>"0031X55144"</f>
        <v>0031X55144</v>
      </c>
      <c r="E14408" s="1" t="s">
        <v>10</v>
      </c>
      <c r="F14408" s="1" t="str">
        <f>"10.107.124.214"</f>
        <v>10.107.124.214</v>
      </c>
      <c r="G14408" s="1" t="str">
        <f>"0031X551"</f>
        <v>0031X551</v>
      </c>
      <c r="H14408" s="1" t="str">
        <f>"우이간 71L3L1R7"</f>
        <v>우이간 71L3L1R7</v>
      </c>
      <c r="I14408" s="1" t="s">
        <v>8</v>
      </c>
      <c r="J14408" s="1" t="str">
        <f>"11/14"</f>
        <v>11/14</v>
      </c>
      <c r="K14408" s="1" t="str">
        <f t="shared" ref="K14408:K14417" si="737">"2026-07-29 13:18:01"</f>
        <v>2026-07-29 13:18:01</v>
      </c>
      <c r="L14408" s="1" t="str">
        <f>"2019-11-21 21:19:44"</f>
        <v>2019-11-21 21:19:44</v>
      </c>
      <c r="M14408" s="1" t="s">
        <v>45</v>
      </c>
      <c r="N14408" s="1" t="s">
        <v>38</v>
      </c>
      <c r="O14408" s="1" t="s">
        <v>46</v>
      </c>
    </row>
    <row r="14409" spans="2:15" x14ac:dyDescent="0.3">
      <c r="B14409" s="1" t="s">
        <v>19</v>
      </c>
      <c r="C14409" s="1" t="str">
        <f t="shared" si="736"/>
        <v>4차</v>
      </c>
      <c r="D14409" s="1" t="str">
        <f>"0031X76144"</f>
        <v>0031X76144</v>
      </c>
      <c r="E14409" s="1" t="s">
        <v>10</v>
      </c>
      <c r="F14409" s="1" t="str">
        <f>"10.107.124.213"</f>
        <v>10.107.124.213</v>
      </c>
      <c r="G14409" s="1" t="str">
        <f>"0031X761"</f>
        <v>0031X761</v>
      </c>
      <c r="H14409" s="1" t="str">
        <f>"우이간 71L3L1R4"</f>
        <v>우이간 71L3L1R4</v>
      </c>
      <c r="I14409" s="1" t="s">
        <v>8</v>
      </c>
      <c r="J14409" s="1" t="str">
        <f>"43/48"</f>
        <v>43/48</v>
      </c>
      <c r="K14409" s="1" t="str">
        <f t="shared" si="737"/>
        <v>2026-07-29 13:18:01</v>
      </c>
      <c r="L14409" s="1" t="str">
        <f>"2019-11-21 21:20:09"</f>
        <v>2019-11-21 21:20:09</v>
      </c>
      <c r="M14409" s="1" t="s">
        <v>45</v>
      </c>
      <c r="N14409" s="1" t="s">
        <v>38</v>
      </c>
      <c r="O14409" s="1" t="s">
        <v>46</v>
      </c>
    </row>
    <row r="14410" spans="2:15" x14ac:dyDescent="0.3">
      <c r="B14410" s="1" t="s">
        <v>19</v>
      </c>
      <c r="C14410" s="1" t="str">
        <f t="shared" si="736"/>
        <v>4차</v>
      </c>
      <c r="D14410" s="1" t="str">
        <f>"0031X83244"</f>
        <v>0031X83244</v>
      </c>
      <c r="E14410" s="1" t="s">
        <v>10</v>
      </c>
      <c r="F14410" s="1" t="str">
        <f>"10.107.124.238"</f>
        <v>10.107.124.238</v>
      </c>
      <c r="G14410" s="1" t="str">
        <f>"0031X832"</f>
        <v>0031X832</v>
      </c>
      <c r="H14410" s="1" t="str">
        <f>"우이간 64L9"</f>
        <v>우이간 64L9</v>
      </c>
      <c r="I14410" s="1" t="s">
        <v>8</v>
      </c>
      <c r="J14410" s="1" t="str">
        <f>"40/40"</f>
        <v>40/40</v>
      </c>
      <c r="K14410" s="1" t="str">
        <f t="shared" si="737"/>
        <v>2026-07-29 13:18:01</v>
      </c>
      <c r="L14410" s="1" t="str">
        <f>"2019-11-21 21:01:14"</f>
        <v>2019-11-21 21:01:14</v>
      </c>
      <c r="M14410" s="1" t="s">
        <v>45</v>
      </c>
      <c r="N14410" s="1" t="s">
        <v>38</v>
      </c>
      <c r="O14410" s="1" t="s">
        <v>46</v>
      </c>
    </row>
    <row r="14411" spans="2:15" x14ac:dyDescent="0.3">
      <c r="B14411" s="1" t="s">
        <v>19</v>
      </c>
      <c r="C14411" s="1" t="str">
        <f t="shared" si="736"/>
        <v>4차</v>
      </c>
      <c r="D14411" s="1" t="str">
        <f>"0031X83344"</f>
        <v>0031X83344</v>
      </c>
      <c r="E14411" s="1" t="s">
        <v>10</v>
      </c>
      <c r="F14411" s="1" t="str">
        <f>"10.107.124.242"</f>
        <v>10.107.124.242</v>
      </c>
      <c r="G14411" s="1" t="str">
        <f>"0031X833"</f>
        <v>0031X833</v>
      </c>
      <c r="H14411" s="1" t="str">
        <f>"우이간 64L10"</f>
        <v>우이간 64L10</v>
      </c>
      <c r="I14411" s="1" t="s">
        <v>8</v>
      </c>
      <c r="J14411" s="1" t="str">
        <f>"53/53"</f>
        <v>53/53</v>
      </c>
      <c r="K14411" s="1" t="str">
        <f t="shared" si="737"/>
        <v>2026-07-29 13:18:01</v>
      </c>
      <c r="L14411" s="1" t="str">
        <f>"2019-12-13 09:19:05"</f>
        <v>2019-12-13 09:19:05</v>
      </c>
      <c r="M14411" s="1" t="s">
        <v>45</v>
      </c>
      <c r="N14411" s="1" t="s">
        <v>38</v>
      </c>
      <c r="O14411" s="1" t="s">
        <v>46</v>
      </c>
    </row>
    <row r="14412" spans="2:15" x14ac:dyDescent="0.3">
      <c r="B14412" s="1" t="s">
        <v>19</v>
      </c>
      <c r="C14412" s="1" t="str">
        <f t="shared" si="736"/>
        <v>4차</v>
      </c>
      <c r="D14412" s="1" t="str">
        <f>"0031X84544"</f>
        <v>0031X84544</v>
      </c>
      <c r="E14412" s="1" t="s">
        <v>10</v>
      </c>
      <c r="F14412" s="1" t="str">
        <f>"10.107.124.239"</f>
        <v>10.107.124.239</v>
      </c>
      <c r="G14412" s="1" t="str">
        <f>"0031X845"</f>
        <v>0031X845</v>
      </c>
      <c r="H14412" s="1" t="str">
        <f>"우이간 71L3L4"</f>
        <v>우이간 71L3L4</v>
      </c>
      <c r="I14412" s="1" t="s">
        <v>8</v>
      </c>
      <c r="J14412" s="1" t="str">
        <f>"95/95"</f>
        <v>95/95</v>
      </c>
      <c r="K14412" s="1" t="str">
        <f t="shared" si="737"/>
        <v>2026-07-29 13:18:01</v>
      </c>
      <c r="L14412" s="1" t="str">
        <f>"2019-11-21 22:49:19"</f>
        <v>2019-11-21 22:49:19</v>
      </c>
      <c r="M14412" s="1" t="s">
        <v>45</v>
      </c>
      <c r="N14412" s="1" t="s">
        <v>38</v>
      </c>
      <c r="O14412" s="1" t="s">
        <v>46</v>
      </c>
    </row>
    <row r="14413" spans="2:15" x14ac:dyDescent="0.3">
      <c r="B14413" s="1" t="s">
        <v>19</v>
      </c>
      <c r="C14413" s="1" t="str">
        <f t="shared" si="736"/>
        <v>4차</v>
      </c>
      <c r="D14413" s="1" t="str">
        <f>"0031X85144"</f>
        <v>0031X85144</v>
      </c>
      <c r="E14413" s="1" t="s">
        <v>10</v>
      </c>
      <c r="F14413" s="1" t="str">
        <f>"10.107.124.212"</f>
        <v>10.107.124.212</v>
      </c>
      <c r="G14413" s="1" t="str">
        <f>"0031X851"</f>
        <v>0031X851</v>
      </c>
      <c r="H14413" s="1" t="str">
        <f>"우이간 71L3L1R2"</f>
        <v>우이간 71L3L1R2</v>
      </c>
      <c r="I14413" s="1" t="s">
        <v>8</v>
      </c>
      <c r="J14413" s="1" t="str">
        <f>"59/61"</f>
        <v>59/61</v>
      </c>
      <c r="K14413" s="1" t="str">
        <f t="shared" si="737"/>
        <v>2026-07-29 13:18:01</v>
      </c>
      <c r="L14413" s="1" t="str">
        <f>"2019-11-21 21:27:21"</f>
        <v>2019-11-21 21:27:21</v>
      </c>
      <c r="M14413" s="1" t="s">
        <v>45</v>
      </c>
      <c r="N14413" s="1" t="s">
        <v>38</v>
      </c>
      <c r="O14413" s="1" t="s">
        <v>46</v>
      </c>
    </row>
    <row r="14414" spans="2:15" x14ac:dyDescent="0.3">
      <c r="B14414" s="1" t="s">
        <v>19</v>
      </c>
      <c r="C14414" s="1" t="str">
        <f t="shared" si="736"/>
        <v>4차</v>
      </c>
      <c r="D14414" s="1" t="str">
        <f>"0031X87244"</f>
        <v>0031X87244</v>
      </c>
      <c r="E14414" s="1" t="s">
        <v>10</v>
      </c>
      <c r="F14414" s="1" t="str">
        <f>"10.107.124.215"</f>
        <v>10.107.124.215</v>
      </c>
      <c r="G14414" s="1" t="str">
        <f>"0031X872"</f>
        <v>0031X872</v>
      </c>
      <c r="H14414" s="1" t="str">
        <f>"우이간 71L7L1"</f>
        <v>우이간 71L7L1</v>
      </c>
      <c r="I14414" s="1" t="s">
        <v>8</v>
      </c>
      <c r="J14414" s="1" t="str">
        <f>"27/27"</f>
        <v>27/27</v>
      </c>
      <c r="K14414" s="1" t="str">
        <f t="shared" si="737"/>
        <v>2026-07-29 13:18:01</v>
      </c>
      <c r="L14414" s="1" t="str">
        <f>"2019-11-21 21:28:11"</f>
        <v>2019-11-21 21:28:11</v>
      </c>
      <c r="M14414" s="1" t="s">
        <v>45</v>
      </c>
      <c r="N14414" s="1" t="s">
        <v>38</v>
      </c>
      <c r="O14414" s="1" t="s">
        <v>46</v>
      </c>
    </row>
    <row r="14415" spans="2:15" x14ac:dyDescent="0.3">
      <c r="B14415" s="1" t="s">
        <v>19</v>
      </c>
      <c r="C14415" s="1" t="str">
        <f t="shared" si="736"/>
        <v>4차</v>
      </c>
      <c r="D14415" s="1" t="str">
        <f>"0031X88244"</f>
        <v>0031X88244</v>
      </c>
      <c r="E14415" s="1" t="s">
        <v>10</v>
      </c>
      <c r="F14415" s="1" t="str">
        <f>"10.107.124.206"</f>
        <v>10.107.124.206</v>
      </c>
      <c r="G14415" s="1" t="str">
        <f>"0031X882"</f>
        <v>0031X882</v>
      </c>
      <c r="H14415" s="1" t="str">
        <f>"우이간 71L10R1"</f>
        <v>우이간 71L10R1</v>
      </c>
      <c r="I14415" s="1" t="s">
        <v>8</v>
      </c>
      <c r="J14415" s="1" t="str">
        <f>"20/21"</f>
        <v>20/21</v>
      </c>
      <c r="K14415" s="1" t="str">
        <f t="shared" si="737"/>
        <v>2026-07-29 13:18:01</v>
      </c>
      <c r="L14415" s="1" t="str">
        <f>"2019-11-21 21:09:39"</f>
        <v>2019-11-21 21:09:39</v>
      </c>
      <c r="M14415" s="1" t="s">
        <v>45</v>
      </c>
      <c r="N14415" s="1" t="s">
        <v>38</v>
      </c>
      <c r="O14415" s="1" t="s">
        <v>46</v>
      </c>
    </row>
    <row r="14416" spans="2:15" x14ac:dyDescent="0.3">
      <c r="B14416" s="1" t="s">
        <v>19</v>
      </c>
      <c r="C14416" s="1" t="str">
        <f t="shared" si="736"/>
        <v>4차</v>
      </c>
      <c r="D14416" s="1" t="str">
        <f>"0031X88344"</f>
        <v>0031X88344</v>
      </c>
      <c r="E14416" s="1" t="s">
        <v>10</v>
      </c>
      <c r="F14416" s="1" t="str">
        <f>"10.107.124.222"</f>
        <v>10.107.124.222</v>
      </c>
      <c r="G14416" s="1" t="str">
        <f>"0031X883"</f>
        <v>0031X883</v>
      </c>
      <c r="H14416" s="1" t="str">
        <f>"우이간 71L8"</f>
        <v>우이간 71L8</v>
      </c>
      <c r="I14416" s="1" t="s">
        <v>8</v>
      </c>
      <c r="J14416" s="1" t="str">
        <f>"82/82"</f>
        <v>82/82</v>
      </c>
      <c r="K14416" s="1" t="str">
        <f t="shared" si="737"/>
        <v>2026-07-29 13:18:01</v>
      </c>
      <c r="L14416" s="1" t="str">
        <f>"2019-12-13 08:59:43"</f>
        <v>2019-12-13 08:59:43</v>
      </c>
      <c r="M14416" s="1" t="s">
        <v>45</v>
      </c>
      <c r="N14416" s="1" t="s">
        <v>38</v>
      </c>
      <c r="O14416" s="1" t="s">
        <v>46</v>
      </c>
    </row>
    <row r="14417" spans="2:15" x14ac:dyDescent="0.3">
      <c r="B14417" s="1" t="s">
        <v>19</v>
      </c>
      <c r="C14417" s="1" t="str">
        <f t="shared" si="736"/>
        <v>4차</v>
      </c>
      <c r="D14417" s="1" t="str">
        <f>"0031X88444"</f>
        <v>0031X88444</v>
      </c>
      <c r="E14417" s="1" t="s">
        <v>10</v>
      </c>
      <c r="F14417" s="1" t="str">
        <f>"10.107.124.205"</f>
        <v>10.107.124.205</v>
      </c>
      <c r="G14417" s="1" t="str">
        <f>"0031X884"</f>
        <v>0031X884</v>
      </c>
      <c r="H14417" s="1" t="str">
        <f>"우이간 71L10"</f>
        <v>우이간 71L10</v>
      </c>
      <c r="I14417" s="1" t="s">
        <v>8</v>
      </c>
      <c r="J14417" s="1" t="str">
        <f>"33/36"</f>
        <v>33/36</v>
      </c>
      <c r="K14417" s="1" t="str">
        <f t="shared" si="737"/>
        <v>2026-07-29 13:18:01</v>
      </c>
      <c r="L14417" s="1" t="str">
        <f>"2019-11-21 21:04:47"</f>
        <v>2019-11-21 21:04:47</v>
      </c>
      <c r="M14417" s="1" t="s">
        <v>45</v>
      </c>
      <c r="N14417" s="1" t="s">
        <v>38</v>
      </c>
      <c r="O14417" s="1" t="s">
        <v>46</v>
      </c>
    </row>
    <row r="14418" spans="2:15" x14ac:dyDescent="0.3">
      <c r="B14418" s="1" t="s">
        <v>19</v>
      </c>
      <c r="C14418" s="1" t="str">
        <f t="shared" si="736"/>
        <v>4차</v>
      </c>
      <c r="D14418" s="1" t="str">
        <f>"0031X91241"</f>
        <v>0031X91241</v>
      </c>
      <c r="E14418" s="1" t="s">
        <v>10</v>
      </c>
      <c r="F14418" s="1" t="str">
        <f>"10.12.138.75"</f>
        <v>10.12.138.75</v>
      </c>
      <c r="G14418" s="1" t="str">
        <f>"0031X912"</f>
        <v>0031X912</v>
      </c>
      <c r="H14418" s="1" t="str">
        <f>"우이간 64L4"</f>
        <v>우이간 64L4</v>
      </c>
      <c r="I14418" s="1" t="s">
        <v>17</v>
      </c>
      <c r="J14418" s="1" t="str">
        <f>"33/36"</f>
        <v>33/36</v>
      </c>
      <c r="K14418" s="1" t="str">
        <f>"2026-07-29 13:18:02"</f>
        <v>2026-07-29 13:18:02</v>
      </c>
      <c r="L14418" s="1" t="str">
        <f>"2021-08-10 09:48:30"</f>
        <v>2021-08-10 09:48:30</v>
      </c>
      <c r="M14418" s="1" t="s">
        <v>0</v>
      </c>
      <c r="N14418" s="1" t="s">
        <v>38</v>
      </c>
      <c r="O14418" s="1" t="s">
        <v>46</v>
      </c>
    </row>
    <row r="14419" spans="2:15" x14ac:dyDescent="0.3">
      <c r="B14419" s="1" t="s">
        <v>19</v>
      </c>
      <c r="C14419" s="1" t="str">
        <f t="shared" si="736"/>
        <v>4차</v>
      </c>
      <c r="D14419" s="1" t="str">
        <f>"0031X94141"</f>
        <v>0031X94141</v>
      </c>
      <c r="E14419" s="1" t="s">
        <v>10</v>
      </c>
      <c r="F14419" s="1" t="str">
        <f>"10.12.137.136"</f>
        <v>10.12.137.136</v>
      </c>
      <c r="G14419" s="1" t="str">
        <f>"0031X941"</f>
        <v>0031X941</v>
      </c>
      <c r="H14419" s="1" t="str">
        <f>"우이간 71L3L2"</f>
        <v>우이간 71L3L2</v>
      </c>
      <c r="I14419" s="1" t="s">
        <v>17</v>
      </c>
      <c r="J14419" s="1" t="str">
        <f>"28/38"</f>
        <v>28/38</v>
      </c>
      <c r="K14419" s="1" t="str">
        <f>"2026-07-29 13:18:01"</f>
        <v>2026-07-29 13:18:01</v>
      </c>
      <c r="L14419" s="1" t="str">
        <f>"2021-08-10 08:54:30"</f>
        <v>2021-08-10 08:54:30</v>
      </c>
      <c r="M14419" s="1" t="s">
        <v>0</v>
      </c>
      <c r="N14419" s="1" t="s">
        <v>38</v>
      </c>
      <c r="O14419" s="1" t="s">
        <v>46</v>
      </c>
    </row>
    <row r="14420" spans="2:15" x14ac:dyDescent="0.3">
      <c r="B14420" s="1" t="s">
        <v>19</v>
      </c>
      <c r="C14420" s="1" t="str">
        <f t="shared" si="736"/>
        <v>4차</v>
      </c>
      <c r="D14420" s="1" t="str">
        <f>"0031X95244"</f>
        <v>0031X95244</v>
      </c>
      <c r="E14420" s="1" t="s">
        <v>10</v>
      </c>
      <c r="F14420" s="1" t="str">
        <f>"10.107.124.210"</f>
        <v>10.107.124.210</v>
      </c>
      <c r="G14420" s="1" t="str">
        <f>"0031X952"</f>
        <v>0031X952</v>
      </c>
      <c r="H14420" s="1" t="str">
        <f>"우이간 71L3L1"</f>
        <v>우이간 71L3L1</v>
      </c>
      <c r="I14420" s="1" t="s">
        <v>8</v>
      </c>
      <c r="J14420" s="1" t="str">
        <f>"57/57"</f>
        <v>57/57</v>
      </c>
      <c r="K14420" s="1" t="str">
        <f>"2026-07-29 13:18:01"</f>
        <v>2026-07-29 13:18:01</v>
      </c>
      <c r="L14420" s="1" t="str">
        <f>"2019-11-21 21:19:26"</f>
        <v>2019-11-21 21:19:26</v>
      </c>
      <c r="M14420" s="1" t="s">
        <v>45</v>
      </c>
      <c r="N14420" s="1" t="s">
        <v>38</v>
      </c>
      <c r="O14420" s="1" t="s">
        <v>46</v>
      </c>
    </row>
    <row r="14421" spans="2:15" x14ac:dyDescent="0.3">
      <c r="B14421" s="1" t="s">
        <v>19</v>
      </c>
      <c r="C14421" s="1" t="str">
        <f>"5-2차"</f>
        <v>5-2차</v>
      </c>
      <c r="D14421" s="1" t="str">
        <f>"0031Z6345S"</f>
        <v>0031Z6345S</v>
      </c>
      <c r="E14421" s="1" t="s">
        <v>10</v>
      </c>
      <c r="F14421" s="1" t="str">
        <f>"fde3:102:1410:3100:0:0:0:10"</f>
        <v>fde3:102:1410:3100:0:0:0:10</v>
      </c>
      <c r="G14421" s="1" t="str">
        <f>"0031Z634"</f>
        <v>0031Z634</v>
      </c>
      <c r="H14421" s="1" t="str">
        <f>"우이간 57L6L2"</f>
        <v>우이간 57L6L2</v>
      </c>
      <c r="I14421" s="1" t="s">
        <v>15</v>
      </c>
      <c r="J14421" s="1" t="str">
        <f>"40/40"</f>
        <v>40/40</v>
      </c>
      <c r="K14421" s="1" t="str">
        <f>"2026-07-29 14:20:27"</f>
        <v>2026-07-29 14:20:27</v>
      </c>
      <c r="L14421" s="1" t="str">
        <f>"2023-09-18 14:24:36"</f>
        <v>2023-09-18 14:24:36</v>
      </c>
      <c r="M14421" s="1" t="s">
        <v>45</v>
      </c>
      <c r="N14421" s="1" t="s">
        <v>38</v>
      </c>
      <c r="O14421" s="1" t="s">
        <v>46</v>
      </c>
    </row>
    <row r="14422" spans="2:15" x14ac:dyDescent="0.3">
      <c r="B14422" s="1" t="s">
        <v>19</v>
      </c>
      <c r="C14422" s="1" t="str">
        <f>"6차"</f>
        <v>6차</v>
      </c>
      <c r="D14422" s="1" t="str">
        <f>"0031Z8026M"</f>
        <v>0031Z8026M</v>
      </c>
      <c r="E14422" s="1" t="s">
        <v>10</v>
      </c>
      <c r="F14422" s="1" t="str">
        <f>"fde1:103:4:c7c1:0:0:0:2"</f>
        <v>fde1:103:4:c7c1:0:0:0:2</v>
      </c>
      <c r="G14422" s="1" t="str">
        <f>"0031Z802"</f>
        <v>0031Z802</v>
      </c>
      <c r="H14422" s="1" t="str">
        <f>"우이간 52L3"</f>
        <v>우이간 52L3</v>
      </c>
      <c r="I14422" s="1" t="s">
        <v>15</v>
      </c>
      <c r="J14422" s="1" t="str">
        <f>"17/20"</f>
        <v>17/20</v>
      </c>
      <c r="K14422" s="1" t="str">
        <f>"2026-07-29 14:20:28"</f>
        <v>2026-07-29 14:20:28</v>
      </c>
      <c r="L14422" s="1" t="str">
        <f>"2024-12-04 15:37:42"</f>
        <v>2024-12-04 15:37:42</v>
      </c>
      <c r="M14422" s="1" t="s">
        <v>4</v>
      </c>
      <c r="N14422" s="1" t="s">
        <v>38</v>
      </c>
      <c r="O14422" s="1" t="s">
        <v>46</v>
      </c>
    </row>
    <row r="14423" spans="2:15" x14ac:dyDescent="0.3">
      <c r="B14423" s="1" t="s">
        <v>19</v>
      </c>
      <c r="C14423" s="1" t="str">
        <f>"1차"</f>
        <v>1차</v>
      </c>
      <c r="D14423" s="1" t="str">
        <f>"0031Z87100"</f>
        <v>0031Z87100</v>
      </c>
      <c r="E14423" s="1" t="s">
        <v>10</v>
      </c>
      <c r="F14423" s="1" t="str">
        <f>"10.107.124.240"</f>
        <v>10.107.124.240</v>
      </c>
      <c r="G14423" s="1" t="str">
        <f>"0031Z871"</f>
        <v>0031Z871</v>
      </c>
      <c r="H14423" s="1" t="str">
        <f>"우이간 57L4R2"</f>
        <v>우이간 57L4R2</v>
      </c>
      <c r="I14423" s="1" t="s">
        <v>8</v>
      </c>
      <c r="J14423" s="1" t="str">
        <f>"19/20"</f>
        <v>19/20</v>
      </c>
      <c r="K14423" s="1" t="str">
        <f>"2026-07-29 13:18:01"</f>
        <v>2026-07-29 13:18:01</v>
      </c>
      <c r="L14423" s="1" t="str">
        <f>"2014-11-03 08:56:16"</f>
        <v>2014-11-03 08:56:16</v>
      </c>
      <c r="M14423" s="1" t="s">
        <v>45</v>
      </c>
      <c r="N14423" s="1" t="s">
        <v>38</v>
      </c>
      <c r="O14423" s="1" t="s">
        <v>46</v>
      </c>
    </row>
    <row r="14424" spans="2:15" x14ac:dyDescent="0.3">
      <c r="B14424" s="1" t="s">
        <v>19</v>
      </c>
      <c r="C14424" s="1" t="str">
        <f>"1차"</f>
        <v>1차</v>
      </c>
      <c r="D14424" s="1" t="str">
        <f>"0031Z97201"</f>
        <v>0031Z97201</v>
      </c>
      <c r="E14424" s="1" t="s">
        <v>10</v>
      </c>
      <c r="F14424" s="1" t="str">
        <f>"10.107.124.227"</f>
        <v>10.107.124.227</v>
      </c>
      <c r="G14424" s="1" t="str">
        <f>"0031Z972"</f>
        <v>0031Z972</v>
      </c>
      <c r="H14424" s="1" t="str">
        <f>"우이간 57L2R2"</f>
        <v>우이간 57L2R2</v>
      </c>
      <c r="I14424" s="1" t="s">
        <v>8</v>
      </c>
      <c r="J14424" s="1" t="str">
        <f>"63/64"</f>
        <v>63/64</v>
      </c>
      <c r="K14424" s="1" t="str">
        <f>"2026-07-29 13:18:01"</f>
        <v>2026-07-29 13:18:01</v>
      </c>
      <c r="L14424" s="1" t="str">
        <f>"2015-01-01 00:23:54"</f>
        <v>2015-01-01 00:23:54</v>
      </c>
      <c r="M14424" s="1" t="s">
        <v>45</v>
      </c>
      <c r="N14424" s="1" t="s">
        <v>38</v>
      </c>
      <c r="O14424" s="1" t="s">
        <v>46</v>
      </c>
    </row>
    <row r="14425" spans="2:15" x14ac:dyDescent="0.3">
      <c r="B14425" s="1" t="s">
        <v>19</v>
      </c>
      <c r="C14425" s="1" t="str">
        <f>"4차"</f>
        <v>4차</v>
      </c>
      <c r="D14425" s="1" t="str">
        <f>"0126B37544"</f>
        <v>0126B37544</v>
      </c>
      <c r="E14425" s="1" t="s">
        <v>10</v>
      </c>
      <c r="F14425" s="1" t="str">
        <f>"10.107.121.98"</f>
        <v>10.107.121.98</v>
      </c>
      <c r="G14425" s="1" t="str">
        <f>"0126B375"</f>
        <v>0126B375</v>
      </c>
      <c r="H14425" s="1" t="str">
        <f>"보문지 56R5B4"</f>
        <v>보문지 56R5B4</v>
      </c>
      <c r="I14425" s="1" t="s">
        <v>8</v>
      </c>
      <c r="J14425" s="1" t="str">
        <f>"105/105"</f>
        <v>105/105</v>
      </c>
      <c r="K14425" s="1" t="str">
        <f>"2026-07-29 13:18:01"</f>
        <v>2026-07-29 13:18:01</v>
      </c>
      <c r="L14425" s="1" t="str">
        <f>"2019-10-17 18:33:04"</f>
        <v>2019-10-17 18:33:04</v>
      </c>
      <c r="M14425" s="1" t="s">
        <v>45</v>
      </c>
      <c r="N14425" s="1" t="s">
        <v>38</v>
      </c>
      <c r="O14425" s="1" t="s">
        <v>46</v>
      </c>
    </row>
    <row r="14426" spans="2:15" x14ac:dyDescent="0.3">
      <c r="B14426" s="1" t="s">
        <v>19</v>
      </c>
      <c r="C14426" s="1" t="str">
        <f>"4차"</f>
        <v>4차</v>
      </c>
      <c r="D14426" s="1" t="str">
        <f>"0126B38241"</f>
        <v>0126B38241</v>
      </c>
      <c r="E14426" s="1" t="s">
        <v>10</v>
      </c>
      <c r="F14426" s="1" t="str">
        <f>"10.12.128.153"</f>
        <v>10.12.128.153</v>
      </c>
      <c r="G14426" s="1" t="str">
        <f>"0126B382"</f>
        <v>0126B382</v>
      </c>
      <c r="H14426" s="1" t="str">
        <f>"보문지 56R5A2"</f>
        <v>보문지 56R5A2</v>
      </c>
      <c r="I14426" s="1" t="s">
        <v>17</v>
      </c>
      <c r="J14426" s="1" t="str">
        <f>"71/71"</f>
        <v>71/71</v>
      </c>
      <c r="K14426" s="1" t="str">
        <f>"2026-07-29 13:18:01"</f>
        <v>2026-07-29 13:18:01</v>
      </c>
      <c r="L14426" s="1" t="str">
        <f>"2021-10-15 07:35:38"</f>
        <v>2021-10-15 07:35:38</v>
      </c>
      <c r="M14426" s="1" t="s">
        <v>0</v>
      </c>
      <c r="N14426" s="1" t="s">
        <v>38</v>
      </c>
      <c r="O14426" s="1" t="s">
        <v>46</v>
      </c>
    </row>
    <row r="14427" spans="2:15" x14ac:dyDescent="0.3">
      <c r="B14427" s="1" t="s">
        <v>19</v>
      </c>
      <c r="C14427" s="1" t="str">
        <f>"5-1차"</f>
        <v>5-1차</v>
      </c>
      <c r="D14427" s="1" t="str">
        <f>"0126B5915M"</f>
        <v>0126B5915M</v>
      </c>
      <c r="E14427" s="1" t="s">
        <v>10</v>
      </c>
      <c r="F14427" s="1" t="str">
        <f>"10.14.9.193"</f>
        <v>10.14.9.193</v>
      </c>
      <c r="G14427" s="1" t="str">
        <f>"0126B591"</f>
        <v>0126B591</v>
      </c>
      <c r="H14427" s="1" t="str">
        <f>"보문지 57"</f>
        <v>보문지 57</v>
      </c>
      <c r="I14427" s="1" t="s">
        <v>15</v>
      </c>
      <c r="J14427" s="1" t="str">
        <f>"76/79"</f>
        <v>76/79</v>
      </c>
      <c r="K14427" s="1" t="str">
        <f>"2026-07-29 14:20:24"</f>
        <v>2026-07-29 14:20:24</v>
      </c>
      <c r="L14427" s="1" t="str">
        <f>"2022-03-14 12:18:05"</f>
        <v>2022-03-14 12:18:05</v>
      </c>
      <c r="M14427" s="1" t="s">
        <v>3</v>
      </c>
      <c r="N14427" s="1" t="s">
        <v>38</v>
      </c>
      <c r="O14427" s="1" t="s">
        <v>46</v>
      </c>
    </row>
    <row r="14428" spans="2:15" x14ac:dyDescent="0.3">
      <c r="B14428" s="1" t="s">
        <v>19</v>
      </c>
      <c r="C14428" s="1" t="str">
        <f>"4차"</f>
        <v>4차</v>
      </c>
      <c r="D14428" s="1" t="str">
        <f>"0126B79444"</f>
        <v>0126B79444</v>
      </c>
      <c r="E14428" s="1" t="s">
        <v>10</v>
      </c>
      <c r="F14428" s="1" t="str">
        <f>"10.12.138.66"</f>
        <v>10.12.138.66</v>
      </c>
      <c r="G14428" s="1" t="str">
        <f>"0126B794"</f>
        <v>0126B794</v>
      </c>
      <c r="H14428" s="1" t="str">
        <f>"안암간 48"</f>
        <v>안암간 48</v>
      </c>
      <c r="I14428" s="1" t="s">
        <v>8</v>
      </c>
      <c r="J14428" s="1" t="str">
        <f>"15/18"</f>
        <v>15/18</v>
      </c>
      <c r="K14428" s="1" t="str">
        <f>"2026-07-29 13:18:02"</f>
        <v>2026-07-29 13:18:02</v>
      </c>
      <c r="L14428" s="1" t="str">
        <f>"2019-11-12 00:49:38"</f>
        <v>2019-11-12 00:49:38</v>
      </c>
      <c r="M14428" s="1" t="s">
        <v>0</v>
      </c>
      <c r="N14428" s="1" t="s">
        <v>38</v>
      </c>
      <c r="O14428" s="1" t="s">
        <v>46</v>
      </c>
    </row>
    <row r="14429" spans="2:15" x14ac:dyDescent="0.3">
      <c r="B14429" s="1" t="s">
        <v>19</v>
      </c>
      <c r="C14429" s="1" t="s">
        <v>16</v>
      </c>
      <c r="D14429" s="1" t="str">
        <f>"0126B87141"</f>
        <v>0126B87141</v>
      </c>
      <c r="E14429" s="1" t="s">
        <v>10</v>
      </c>
      <c r="F14429" s="1" t="str">
        <f>"10.14.5.201"</f>
        <v>10.14.5.201</v>
      </c>
      <c r="G14429" s="1" t="str">
        <f>"0126B871"</f>
        <v>0126B871</v>
      </c>
      <c r="H14429" s="1" t="str">
        <f>"안암간 51"</f>
        <v>안암간 51</v>
      </c>
      <c r="I14429" s="1" t="s">
        <v>17</v>
      </c>
      <c r="J14429" s="1" t="str">
        <f>"20/28"</f>
        <v>20/28</v>
      </c>
      <c r="K14429" s="1" t="str">
        <f>"2026-07-29 13:18:02"</f>
        <v>2026-07-29 13:18:02</v>
      </c>
      <c r="L14429" s="1" t="str">
        <f>"2022-11-16 10:43:22"</f>
        <v>2022-11-16 10:43:22</v>
      </c>
      <c r="M14429" s="1" t="s">
        <v>3</v>
      </c>
      <c r="N14429" s="1" t="s">
        <v>38</v>
      </c>
      <c r="O14429" s="1" t="s">
        <v>46</v>
      </c>
    </row>
    <row r="14430" spans="2:15" x14ac:dyDescent="0.3">
      <c r="B14430" s="1" t="s">
        <v>19</v>
      </c>
      <c r="C14430" s="1" t="str">
        <f>"5-2차"</f>
        <v>5-2차</v>
      </c>
      <c r="D14430" s="1" t="str">
        <f>"0126B8735M"</f>
        <v>0126B8735M</v>
      </c>
      <c r="E14430" s="1" t="s">
        <v>10</v>
      </c>
      <c r="F14430" s="1" t="str">
        <f>"fde1:103:4:5a00:0:0:0:2"</f>
        <v>fde1:103:4:5a00:0:0:0:2</v>
      </c>
      <c r="G14430" s="1" t="str">
        <f>"0126B873"</f>
        <v>0126B873</v>
      </c>
      <c r="H14430" s="1" t="str">
        <f>"안암간 51R1"</f>
        <v>안암간 51R1</v>
      </c>
      <c r="I14430" s="1" t="s">
        <v>15</v>
      </c>
      <c r="J14430" s="1" t="str">
        <f>"49/55"</f>
        <v>49/55</v>
      </c>
      <c r="K14430" s="1" t="str">
        <f>"2026-07-29 14:20:23"</f>
        <v>2026-07-29 14:20:23</v>
      </c>
      <c r="L14430" s="1" t="str">
        <f>"2023-09-19 10:07:08"</f>
        <v>2023-09-19 10:07:08</v>
      </c>
      <c r="M14430" s="1" t="s">
        <v>4</v>
      </c>
      <c r="N14430" s="1" t="s">
        <v>38</v>
      </c>
      <c r="O14430" s="1" t="s">
        <v>46</v>
      </c>
    </row>
    <row r="14431" spans="2:15" x14ac:dyDescent="0.3">
      <c r="B14431" s="1" t="s">
        <v>19</v>
      </c>
      <c r="C14431" s="1" t="str">
        <f>"1차"</f>
        <v>1차</v>
      </c>
      <c r="D14431" s="1" t="str">
        <f>"0127A09400"</f>
        <v>0127A09400</v>
      </c>
      <c r="E14431" s="1" t="s">
        <v>10</v>
      </c>
      <c r="F14431" s="1" t="str">
        <f>"10.107.3.2"</f>
        <v>10.107.3.2</v>
      </c>
      <c r="G14431" s="1" t="str">
        <f>"0127A094"</f>
        <v>0127A094</v>
      </c>
      <c r="H14431" s="1" t="str">
        <f>"동미간 51"</f>
        <v>동미간 51</v>
      </c>
      <c r="I14431" s="1" t="s">
        <v>8</v>
      </c>
      <c r="J14431" s="1" t="str">
        <f>"14/14"</f>
        <v>14/14</v>
      </c>
      <c r="K14431" s="1" t="str">
        <f>"2026-07-29 13:18:01"</f>
        <v>2026-07-29 13:18:01</v>
      </c>
      <c r="L14431" s="1" t="str">
        <f>"2014-11-18 11:23:52"</f>
        <v>2014-11-18 11:23:52</v>
      </c>
      <c r="M14431" s="1" t="s">
        <v>45</v>
      </c>
      <c r="N14431" s="1" t="s">
        <v>38</v>
      </c>
      <c r="O14431" s="1" t="s">
        <v>46</v>
      </c>
    </row>
    <row r="14432" spans="2:15" x14ac:dyDescent="0.3">
      <c r="B14432" s="1" t="s">
        <v>19</v>
      </c>
      <c r="C14432" s="1" t="str">
        <f>"4차"</f>
        <v>4차</v>
      </c>
      <c r="D14432" s="1" t="str">
        <f>"0127A19141"</f>
        <v>0127A19141</v>
      </c>
      <c r="E14432" s="1" t="s">
        <v>10</v>
      </c>
      <c r="F14432" s="1" t="str">
        <f>"10.14.6.35"</f>
        <v>10.14.6.35</v>
      </c>
      <c r="G14432" s="1" t="str">
        <f>"0127A191"</f>
        <v>0127A191</v>
      </c>
      <c r="H14432" s="1" t="str">
        <f>"동미간 48"</f>
        <v>동미간 48</v>
      </c>
      <c r="I14432" s="1" t="s">
        <v>17</v>
      </c>
      <c r="J14432" s="1" t="str">
        <f>"28/37"</f>
        <v>28/37</v>
      </c>
      <c r="K14432" s="1" t="str">
        <f>"2026-07-29 13:18:03"</f>
        <v>2026-07-29 13:18:03</v>
      </c>
      <c r="L14432" s="1" t="str">
        <f>"2021-10-14 14:07:10"</f>
        <v>2021-10-14 14:07:10</v>
      </c>
      <c r="M14432" s="1" t="s">
        <v>3</v>
      </c>
      <c r="N14432" s="1" t="s">
        <v>38</v>
      </c>
      <c r="O14432" s="1" t="s">
        <v>46</v>
      </c>
    </row>
    <row r="14433" spans="2:15" x14ac:dyDescent="0.3">
      <c r="B14433" s="1" t="s">
        <v>19</v>
      </c>
      <c r="C14433" s="1" t="str">
        <f>"1차"</f>
        <v>1차</v>
      </c>
      <c r="D14433" s="1" t="str">
        <f>"0127A19300"</f>
        <v>0127A19300</v>
      </c>
      <c r="E14433" s="1" t="s">
        <v>10</v>
      </c>
      <c r="F14433" s="1" t="str">
        <f>"10.107.4.196"</f>
        <v>10.107.4.196</v>
      </c>
      <c r="G14433" s="1" t="str">
        <f>"0127A193"</f>
        <v>0127A193</v>
      </c>
      <c r="H14433" s="1" t="str">
        <f>"동미간 48R1"</f>
        <v>동미간 48R1</v>
      </c>
      <c r="I14433" s="1" t="s">
        <v>8</v>
      </c>
      <c r="J14433" s="1" t="str">
        <f>"39/56"</f>
        <v>39/56</v>
      </c>
      <c r="K14433" s="1" t="str">
        <f>"2026-07-29 13:18:01"</f>
        <v>2026-07-29 13:18:01</v>
      </c>
      <c r="L14433" s="1" t="str">
        <f>"2014-11-18 11:25:30"</f>
        <v>2014-11-18 11:25:30</v>
      </c>
      <c r="M14433" s="1" t="s">
        <v>45</v>
      </c>
      <c r="N14433" s="1" t="s">
        <v>38</v>
      </c>
      <c r="O14433" s="1" t="s">
        <v>46</v>
      </c>
    </row>
    <row r="14434" spans="2:15" x14ac:dyDescent="0.3">
      <c r="B14434" s="1" t="s">
        <v>19</v>
      </c>
      <c r="C14434" s="1" t="str">
        <f>"3차"</f>
        <v>3차</v>
      </c>
      <c r="D14434" s="1" t="str">
        <f>"0127A30239"</f>
        <v>0127A30239</v>
      </c>
      <c r="E14434" s="1" t="s">
        <v>10</v>
      </c>
      <c r="F14434" s="1" t="str">
        <f>"10.107.253.68"</f>
        <v>10.107.253.68</v>
      </c>
      <c r="G14434" s="1" t="str">
        <f>"0127A302"</f>
        <v>0127A302</v>
      </c>
      <c r="H14434" s="1" t="str">
        <f>"동미간 26"</f>
        <v>동미간 26</v>
      </c>
      <c r="I14434" s="1" t="s">
        <v>8</v>
      </c>
      <c r="J14434" s="1" t="str">
        <f>"8/8"</f>
        <v>8/8</v>
      </c>
      <c r="K14434" s="1" t="str">
        <f>"2026-07-29 13:18:01"</f>
        <v>2026-07-29 13:18:01</v>
      </c>
      <c r="L14434" s="1" t="str">
        <f>"2018-04-06 11:59:14"</f>
        <v>2018-04-06 11:59:14</v>
      </c>
      <c r="M14434" s="1" t="s">
        <v>45</v>
      </c>
      <c r="N14434" s="1" t="s">
        <v>38</v>
      </c>
      <c r="O14434" s="1" t="s">
        <v>46</v>
      </c>
    </row>
    <row r="14435" spans="2:15" x14ac:dyDescent="0.3">
      <c r="B14435" s="1" t="s">
        <v>19</v>
      </c>
      <c r="C14435" s="1" t="str">
        <f>"3차"</f>
        <v>3차</v>
      </c>
      <c r="D14435" s="1" t="str">
        <f>"0127A31139"</f>
        <v>0127A31139</v>
      </c>
      <c r="E14435" s="1" t="s">
        <v>10</v>
      </c>
      <c r="F14435" s="1" t="str">
        <f>"10.107.253.73"</f>
        <v>10.107.253.73</v>
      </c>
      <c r="G14435" s="1" t="str">
        <f>"0127A311"</f>
        <v>0127A311</v>
      </c>
      <c r="H14435" s="1" t="str">
        <f>"동미간 31L3L3"</f>
        <v>동미간 31L3L3</v>
      </c>
      <c r="I14435" s="1" t="s">
        <v>8</v>
      </c>
      <c r="J14435" s="1" t="str">
        <f>"62/64"</f>
        <v>62/64</v>
      </c>
      <c r="K14435" s="1" t="str">
        <f>"2026-07-29 13:18:01"</f>
        <v>2026-07-29 13:18:01</v>
      </c>
      <c r="L14435" s="1" t="str">
        <f>"2018-04-06 11:39:17"</f>
        <v>2018-04-06 11:39:17</v>
      </c>
      <c r="M14435" s="1" t="s">
        <v>45</v>
      </c>
      <c r="N14435" s="1" t="s">
        <v>38</v>
      </c>
      <c r="O14435" s="1" t="s">
        <v>46</v>
      </c>
    </row>
    <row r="14436" spans="2:15" x14ac:dyDescent="0.3">
      <c r="B14436" s="1" t="s">
        <v>19</v>
      </c>
      <c r="C14436" s="1" t="str">
        <f>"4차"</f>
        <v>4차</v>
      </c>
      <c r="D14436" s="1" t="str">
        <f>"0127A32241"</f>
        <v>0127A32241</v>
      </c>
      <c r="E14436" s="1" t="s">
        <v>10</v>
      </c>
      <c r="F14436" s="1" t="str">
        <f>"10.14.8.23"</f>
        <v>10.14.8.23</v>
      </c>
      <c r="G14436" s="1" t="str">
        <f>"0127A322"</f>
        <v>0127A322</v>
      </c>
      <c r="H14436" s="1" t="str">
        <f>"동미간 31L3"</f>
        <v>동미간 31L3</v>
      </c>
      <c r="I14436" s="1" t="s">
        <v>17</v>
      </c>
      <c r="J14436" s="1" t="str">
        <f>"6/15"</f>
        <v>6/15</v>
      </c>
      <c r="K14436" s="1" t="str">
        <f>"2026-07-29 13:18:03"</f>
        <v>2026-07-29 13:18:03</v>
      </c>
      <c r="L14436" s="1" t="str">
        <f>"2021-06-14 15:12:01"</f>
        <v>2021-06-14 15:12:01</v>
      </c>
      <c r="M14436" s="1" t="s">
        <v>3</v>
      </c>
      <c r="N14436" s="1" t="s">
        <v>38</v>
      </c>
      <c r="O14436" s="1" t="s">
        <v>46</v>
      </c>
    </row>
    <row r="14437" spans="2:15" x14ac:dyDescent="0.3">
      <c r="B14437" s="1" t="s">
        <v>19</v>
      </c>
      <c r="C14437" s="1" t="str">
        <f>"4차"</f>
        <v>4차</v>
      </c>
      <c r="D14437" s="1" t="str">
        <f>"0127A36144"</f>
        <v>0127A36144</v>
      </c>
      <c r="E14437" s="1" t="s">
        <v>10</v>
      </c>
      <c r="F14437" s="1" t="str">
        <f>"10.107.252.90"</f>
        <v>10.107.252.90</v>
      </c>
      <c r="G14437" s="1" t="str">
        <f>"0127A361"</f>
        <v>0127A361</v>
      </c>
      <c r="H14437" s="1" t="str">
        <f>"동미간 43L3"</f>
        <v>동미간 43L3</v>
      </c>
      <c r="I14437" s="1" t="s">
        <v>8</v>
      </c>
      <c r="J14437" s="1" t="str">
        <f>"26/26"</f>
        <v>26/26</v>
      </c>
      <c r="K14437" s="1" t="str">
        <f>"2026-07-29 13:18:01"</f>
        <v>2026-07-29 13:18:01</v>
      </c>
      <c r="L14437" s="1" t="str">
        <f>"2019-10-31 16:33:06"</f>
        <v>2019-10-31 16:33:06</v>
      </c>
      <c r="M14437" s="1" t="s">
        <v>45</v>
      </c>
      <c r="N14437" s="1" t="s">
        <v>38</v>
      </c>
      <c r="O14437" s="1" t="s">
        <v>46</v>
      </c>
    </row>
    <row r="14438" spans="2:15" x14ac:dyDescent="0.3">
      <c r="B14438" s="1" t="s">
        <v>19</v>
      </c>
      <c r="C14438" s="1" t="str">
        <f>"4차"</f>
        <v>4차</v>
      </c>
      <c r="D14438" s="1" t="str">
        <f>"0127A38141"</f>
        <v>0127A38141</v>
      </c>
      <c r="E14438" s="1" t="s">
        <v>10</v>
      </c>
      <c r="F14438" s="1" t="str">
        <f>"10.14.9.34"</f>
        <v>10.14.9.34</v>
      </c>
      <c r="G14438" s="1" t="str">
        <f>"0127A381"</f>
        <v>0127A381</v>
      </c>
      <c r="H14438" s="1" t="str">
        <f>"동미간 45"</f>
        <v>동미간 45</v>
      </c>
      <c r="I14438" s="1" t="s">
        <v>17</v>
      </c>
      <c r="J14438" s="1" t="str">
        <f>"12/12"</f>
        <v>12/12</v>
      </c>
      <c r="K14438" s="1" t="str">
        <f>"2026-07-29 13:18:03"</f>
        <v>2026-07-29 13:18:03</v>
      </c>
      <c r="L14438" s="1" t="str">
        <f>"2021-10-14 13:29:15"</f>
        <v>2021-10-14 13:29:15</v>
      </c>
      <c r="M14438" s="1" t="s">
        <v>3</v>
      </c>
      <c r="N14438" s="1" t="s">
        <v>38</v>
      </c>
      <c r="O14438" s="1" t="s">
        <v>46</v>
      </c>
    </row>
    <row r="14439" spans="2:15" x14ac:dyDescent="0.3">
      <c r="B14439" s="1" t="s">
        <v>19</v>
      </c>
      <c r="C14439" s="1" t="str">
        <f>"3차"</f>
        <v>3차</v>
      </c>
      <c r="D14439" s="1" t="str">
        <f>"0127A40139"</f>
        <v>0127A40139</v>
      </c>
      <c r="E14439" s="1" t="s">
        <v>10</v>
      </c>
      <c r="F14439" s="1" t="str">
        <f>"10.107.253.70"</f>
        <v>10.107.253.70</v>
      </c>
      <c r="G14439" s="1" t="str">
        <f>"0127A401"</f>
        <v>0127A401</v>
      </c>
      <c r="H14439" s="1" t="str">
        <f>"동미간 28"</f>
        <v>동미간 28</v>
      </c>
      <c r="I14439" s="1" t="s">
        <v>8</v>
      </c>
      <c r="J14439" s="1" t="str">
        <f>"14/14"</f>
        <v>14/14</v>
      </c>
      <c r="K14439" s="1" t="str">
        <f>"2026-07-29 13:18:01"</f>
        <v>2026-07-29 13:18:01</v>
      </c>
      <c r="L14439" s="1" t="str">
        <f>"2018-04-06 12:21:58"</f>
        <v>2018-04-06 12:21:58</v>
      </c>
      <c r="M14439" s="1" t="s">
        <v>45</v>
      </c>
      <c r="N14439" s="1" t="s">
        <v>38</v>
      </c>
      <c r="O14439" s="1" t="s">
        <v>46</v>
      </c>
    </row>
    <row r="14440" spans="2:15" x14ac:dyDescent="0.3">
      <c r="B14440" s="1" t="s">
        <v>19</v>
      </c>
      <c r="C14440" s="1" t="str">
        <f>"3차"</f>
        <v>3차</v>
      </c>
      <c r="D14440" s="1" t="str">
        <f>"0127A40339"</f>
        <v>0127A40339</v>
      </c>
      <c r="E14440" s="1" t="s">
        <v>10</v>
      </c>
      <c r="F14440" s="1" t="str">
        <f>"10.107.253.67"</f>
        <v>10.107.253.67</v>
      </c>
      <c r="G14440" s="1" t="str">
        <f>"0127A403"</f>
        <v>0127A403</v>
      </c>
      <c r="H14440" s="1" t="str">
        <f>"동미간 26L1"</f>
        <v>동미간 26L1</v>
      </c>
      <c r="I14440" s="1" t="s">
        <v>8</v>
      </c>
      <c r="J14440" s="1" t="str">
        <f>"24/24"</f>
        <v>24/24</v>
      </c>
      <c r="K14440" s="1" t="str">
        <f>"2026-07-29 13:18:01"</f>
        <v>2026-07-29 13:18:01</v>
      </c>
      <c r="L14440" s="1" t="str">
        <f>"2018-04-04 15:00:00"</f>
        <v>2018-04-04 15:00:00</v>
      </c>
      <c r="M14440" s="1" t="s">
        <v>45</v>
      </c>
      <c r="N14440" s="1" t="s">
        <v>38</v>
      </c>
      <c r="O14440" s="1" t="s">
        <v>46</v>
      </c>
    </row>
    <row r="14441" spans="2:15" x14ac:dyDescent="0.3">
      <c r="B14441" s="1" t="s">
        <v>19</v>
      </c>
      <c r="C14441" s="1" t="str">
        <f>"3차"</f>
        <v>3차</v>
      </c>
      <c r="D14441" s="1" t="str">
        <f>"0127A41139"</f>
        <v>0127A41139</v>
      </c>
      <c r="E14441" s="1" t="s">
        <v>10</v>
      </c>
      <c r="F14441" s="1" t="str">
        <f>"10.107.253.66"</f>
        <v>10.107.253.66</v>
      </c>
      <c r="G14441" s="1" t="str">
        <f>"0127A411"</f>
        <v>0127A411</v>
      </c>
      <c r="H14441" s="1" t="str">
        <f>"동미간 26L2"</f>
        <v>동미간 26L2</v>
      </c>
      <c r="I14441" s="1" t="s">
        <v>8</v>
      </c>
      <c r="J14441" s="1" t="str">
        <f>"46/47"</f>
        <v>46/47</v>
      </c>
      <c r="K14441" s="1" t="str">
        <f>"2026-07-29 13:18:01"</f>
        <v>2026-07-29 13:18:01</v>
      </c>
      <c r="L14441" s="1" t="str">
        <f>"2018-03-27 17:06:29"</f>
        <v>2018-03-27 17:06:29</v>
      </c>
      <c r="M14441" s="1" t="s">
        <v>45</v>
      </c>
      <c r="N14441" s="1" t="s">
        <v>38</v>
      </c>
      <c r="O14441" s="1" t="s">
        <v>46</v>
      </c>
    </row>
    <row r="14442" spans="2:15" x14ac:dyDescent="0.3">
      <c r="B14442" s="1" t="s">
        <v>19</v>
      </c>
      <c r="C14442" s="1" t="str">
        <f>"3차"</f>
        <v>3차</v>
      </c>
      <c r="D14442" s="1" t="str">
        <f>"0127A41339"</f>
        <v>0127A41339</v>
      </c>
      <c r="E14442" s="1" t="s">
        <v>10</v>
      </c>
      <c r="F14442" s="1" t="str">
        <f>"10.12.132.172"</f>
        <v>10.12.132.172</v>
      </c>
      <c r="G14442" s="1" t="str">
        <f>"0127A413"</f>
        <v>0127A413</v>
      </c>
      <c r="H14442" s="1" t="str">
        <f>"동미간 31L1"</f>
        <v>동미간 31L1</v>
      </c>
      <c r="I14442" s="1" t="s">
        <v>8</v>
      </c>
      <c r="J14442" s="1" t="str">
        <f>"149/153"</f>
        <v>149/153</v>
      </c>
      <c r="K14442" s="1" t="str">
        <f>"2026-07-29 13:18:01"</f>
        <v>2026-07-29 13:18:01</v>
      </c>
      <c r="L14442" s="1" t="str">
        <f>"2018-09-14 13:37:26"</f>
        <v>2018-09-14 13:37:26</v>
      </c>
      <c r="M14442" s="1" t="s">
        <v>0</v>
      </c>
      <c r="N14442" s="1" t="s">
        <v>38</v>
      </c>
      <c r="O14442" s="1" t="s">
        <v>46</v>
      </c>
    </row>
    <row r="14443" spans="2:15" x14ac:dyDescent="0.3">
      <c r="B14443" s="1" t="s">
        <v>19</v>
      </c>
      <c r="C14443" s="1" t="str">
        <f>"4차"</f>
        <v>4차</v>
      </c>
      <c r="D14443" s="1" t="str">
        <f>"0127A45244"</f>
        <v>0127A45244</v>
      </c>
      <c r="E14443" s="1" t="s">
        <v>10</v>
      </c>
      <c r="F14443" s="1" t="str">
        <f>"10.107.251.26"</f>
        <v>10.107.251.26</v>
      </c>
      <c r="G14443" s="1" t="str">
        <f>"0127A452"</f>
        <v>0127A452</v>
      </c>
      <c r="H14443" s="1" t="str">
        <f>"동미간 43L5"</f>
        <v>동미간 43L5</v>
      </c>
      <c r="I14443" s="1" t="s">
        <v>8</v>
      </c>
      <c r="J14443" s="1" t="str">
        <f>"26/26"</f>
        <v>26/26</v>
      </c>
      <c r="K14443" s="1" t="str">
        <f>"2026-07-29 13:18:01"</f>
        <v>2026-07-29 13:18:01</v>
      </c>
      <c r="L14443" s="1" t="str">
        <f>"2020-01-21 10:57:04"</f>
        <v>2020-01-21 10:57:04</v>
      </c>
      <c r="M14443" s="1" t="s">
        <v>45</v>
      </c>
      <c r="N14443" s="1" t="s">
        <v>38</v>
      </c>
      <c r="O14443" s="1" t="s">
        <v>46</v>
      </c>
    </row>
    <row r="14444" spans="2:15" x14ac:dyDescent="0.3">
      <c r="B14444" s="1" t="s">
        <v>19</v>
      </c>
      <c r="C14444" s="1" t="str">
        <f>"3차"</f>
        <v>3차</v>
      </c>
      <c r="D14444" s="1" t="str">
        <f>"0127A48339"</f>
        <v>0127A48339</v>
      </c>
      <c r="E14444" s="1" t="s">
        <v>10</v>
      </c>
      <c r="F14444" s="1" t="str">
        <f>"10.12.135.202"</f>
        <v>10.12.135.202</v>
      </c>
      <c r="G14444" s="1" t="str">
        <f>"0127A483"</f>
        <v>0127A483</v>
      </c>
      <c r="H14444" s="1" t="str">
        <f>"동미간 43R1"</f>
        <v>동미간 43R1</v>
      </c>
      <c r="I14444" s="1" t="s">
        <v>8</v>
      </c>
      <c r="J14444" s="1" t="str">
        <f>"8/8"</f>
        <v>8/8</v>
      </c>
      <c r="K14444" s="1" t="str">
        <f>"2026-07-29 13:18:02"</f>
        <v>2026-07-29 13:18:02</v>
      </c>
      <c r="L14444" s="1" t="str">
        <f>"2018-04-20 11:59:11"</f>
        <v>2018-04-20 11:59:11</v>
      </c>
      <c r="M14444" s="1" t="s">
        <v>0</v>
      </c>
      <c r="N14444" s="1" t="s">
        <v>38</v>
      </c>
      <c r="O14444" s="1" t="s">
        <v>46</v>
      </c>
    </row>
    <row r="14445" spans="2:15" x14ac:dyDescent="0.3">
      <c r="B14445" s="1" t="s">
        <v>19</v>
      </c>
      <c r="C14445" s="1" t="str">
        <f>"4차"</f>
        <v>4차</v>
      </c>
      <c r="D14445" s="1" t="str">
        <f>"0127A50344"</f>
        <v>0127A50344</v>
      </c>
      <c r="E14445" s="1" t="s">
        <v>10</v>
      </c>
      <c r="F14445" s="1" t="str">
        <f>"10.107.252.85"</f>
        <v>10.107.252.85</v>
      </c>
      <c r="G14445" s="1" t="str">
        <f>"0127A503"</f>
        <v>0127A503</v>
      </c>
      <c r="H14445" s="1" t="str">
        <f>"동미간 31R1"</f>
        <v>동미간 31R1</v>
      </c>
      <c r="I14445" s="1" t="s">
        <v>8</v>
      </c>
      <c r="J14445" s="1" t="str">
        <f>"23/23"</f>
        <v>23/23</v>
      </c>
      <c r="K14445" s="1" t="str">
        <f>"2026-07-29 13:18:01"</f>
        <v>2026-07-29 13:18:01</v>
      </c>
      <c r="L14445" s="1" t="str">
        <f>"2019-10-28 16:43:04"</f>
        <v>2019-10-28 16:43:04</v>
      </c>
      <c r="M14445" s="1" t="s">
        <v>45</v>
      </c>
      <c r="N14445" s="1" t="s">
        <v>38</v>
      </c>
      <c r="O14445" s="1" t="s">
        <v>46</v>
      </c>
    </row>
    <row r="14446" spans="2:15" x14ac:dyDescent="0.3">
      <c r="B14446" s="1" t="s">
        <v>19</v>
      </c>
      <c r="C14446" s="1" t="str">
        <f>"3차"</f>
        <v>3차</v>
      </c>
      <c r="D14446" s="1" t="str">
        <f>"0127A51239"</f>
        <v>0127A51239</v>
      </c>
      <c r="E14446" s="1" t="s">
        <v>10</v>
      </c>
      <c r="F14446" s="1" t="str">
        <f>"10.107.253.72"</f>
        <v>10.107.253.72</v>
      </c>
      <c r="G14446" s="1" t="str">
        <f>"0127A512"</f>
        <v>0127A512</v>
      </c>
      <c r="H14446" s="1" t="str">
        <f>"동미간 32"</f>
        <v>동미간 32</v>
      </c>
      <c r="I14446" s="1" t="s">
        <v>8</v>
      </c>
      <c r="J14446" s="1" t="str">
        <f>"42/42"</f>
        <v>42/42</v>
      </c>
      <c r="K14446" s="1" t="str">
        <f>"2026-07-29 13:18:01"</f>
        <v>2026-07-29 13:18:01</v>
      </c>
      <c r="L14446" s="1" t="str">
        <f>"2018-04-06 17:20:13"</f>
        <v>2018-04-06 17:20:13</v>
      </c>
      <c r="M14446" s="1" t="s">
        <v>45</v>
      </c>
      <c r="N14446" s="1" t="s">
        <v>38</v>
      </c>
      <c r="O14446" s="1" t="s">
        <v>46</v>
      </c>
    </row>
    <row r="14447" spans="2:15" x14ac:dyDescent="0.3">
      <c r="B14447" s="1" t="s">
        <v>19</v>
      </c>
      <c r="C14447" s="1" t="str">
        <f>"4차"</f>
        <v>4차</v>
      </c>
      <c r="D14447" s="1" t="str">
        <f>"0127A53344"</f>
        <v>0127A53344</v>
      </c>
      <c r="E14447" s="1" t="s">
        <v>10</v>
      </c>
      <c r="F14447" s="1" t="str">
        <f>"10.107.252.130"</f>
        <v>10.107.252.130</v>
      </c>
      <c r="G14447" s="1" t="str">
        <f>"0127A533"</f>
        <v>0127A533</v>
      </c>
      <c r="H14447" s="1" t="str">
        <f>"동미간 43L8"</f>
        <v>동미간 43L8</v>
      </c>
      <c r="I14447" s="1" t="s">
        <v>8</v>
      </c>
      <c r="J14447" s="1" t="str">
        <f>"26/26"</f>
        <v>26/26</v>
      </c>
      <c r="K14447" s="1" t="str">
        <f>"2026-07-29 13:18:01"</f>
        <v>2026-07-29 13:18:01</v>
      </c>
      <c r="L14447" s="1" t="str">
        <f>"2019-12-13 08:59:03"</f>
        <v>2019-12-13 08:59:03</v>
      </c>
      <c r="M14447" s="1" t="s">
        <v>45</v>
      </c>
      <c r="N14447" s="1" t="s">
        <v>38</v>
      </c>
      <c r="O14447" s="1" t="s">
        <v>46</v>
      </c>
    </row>
    <row r="14448" spans="2:15" x14ac:dyDescent="0.3">
      <c r="B14448" s="1" t="s">
        <v>19</v>
      </c>
      <c r="C14448" s="1" t="str">
        <f>"3차"</f>
        <v>3차</v>
      </c>
      <c r="D14448" s="1" t="str">
        <f>"0127A54139"</f>
        <v>0127A54139</v>
      </c>
      <c r="E14448" s="1" t="s">
        <v>10</v>
      </c>
      <c r="F14448" s="1" t="str">
        <f>"10.107.253.74"</f>
        <v>10.107.253.74</v>
      </c>
      <c r="G14448" s="1" t="str">
        <f>"0127A541"</f>
        <v>0127A541</v>
      </c>
      <c r="H14448" s="1" t="str">
        <f>"동미간 37"</f>
        <v>동미간 37</v>
      </c>
      <c r="I14448" s="1" t="s">
        <v>8</v>
      </c>
      <c r="J14448" s="1" t="str">
        <f>"61/61"</f>
        <v>61/61</v>
      </c>
      <c r="K14448" s="1" t="str">
        <f>"2026-07-29 13:18:01"</f>
        <v>2026-07-29 13:18:01</v>
      </c>
      <c r="L14448" s="1" t="str">
        <f>"2018-04-06 13:37:09"</f>
        <v>2018-04-06 13:37:09</v>
      </c>
      <c r="M14448" s="1" t="s">
        <v>45</v>
      </c>
      <c r="N14448" s="1" t="s">
        <v>38</v>
      </c>
      <c r="O14448" s="1" t="s">
        <v>46</v>
      </c>
    </row>
    <row r="14449" spans="2:15" x14ac:dyDescent="0.3">
      <c r="B14449" s="1" t="s">
        <v>19</v>
      </c>
      <c r="C14449" s="1" t="str">
        <f>"4차"</f>
        <v>4차</v>
      </c>
      <c r="D14449" s="1" t="str">
        <f>"0127A55139"</f>
        <v>0127A55139</v>
      </c>
      <c r="E14449" s="1" t="s">
        <v>10</v>
      </c>
      <c r="F14449" s="1" t="str">
        <f>"10.107.253.76"</f>
        <v>10.107.253.76</v>
      </c>
      <c r="G14449" s="1" t="str">
        <f>"0127A551"</f>
        <v>0127A551</v>
      </c>
      <c r="H14449" s="1" t="str">
        <f>"동미간 38"</f>
        <v>동미간 38</v>
      </c>
      <c r="I14449" s="1" t="s">
        <v>8</v>
      </c>
      <c r="J14449" s="1" t="str">
        <f>"39/41"</f>
        <v>39/41</v>
      </c>
      <c r="K14449" s="1" t="str">
        <f>"2026-07-29 13:18:00"</f>
        <v>2026-07-29 13:18:00</v>
      </c>
      <c r="L14449" s="1" t="str">
        <f>"2018-03-27 17:07:43"</f>
        <v>2018-03-27 17:07:43</v>
      </c>
      <c r="M14449" s="1" t="s">
        <v>45</v>
      </c>
      <c r="N14449" s="1" t="s">
        <v>38</v>
      </c>
      <c r="O14449" s="1" t="s">
        <v>46</v>
      </c>
    </row>
    <row r="14450" spans="2:15" x14ac:dyDescent="0.3">
      <c r="B14450" s="1" t="s">
        <v>19</v>
      </c>
      <c r="C14450" s="1" t="str">
        <f>"6차"</f>
        <v>6차</v>
      </c>
      <c r="D14450" s="1" t="str">
        <f>"0127A5616S"</f>
        <v>0127A5616S</v>
      </c>
      <c r="E14450" s="1" t="s">
        <v>10</v>
      </c>
      <c r="F14450" s="1" t="str">
        <f>"fde1:103:4:928f:0:0:0:2"</f>
        <v>fde1:103:4:928f:0:0:0:2</v>
      </c>
      <c r="G14450" s="1" t="str">
        <f>"0127A561"</f>
        <v>0127A561</v>
      </c>
      <c r="H14450" s="1" t="str">
        <f>"동미간 40"</f>
        <v>동미간 40</v>
      </c>
      <c r="I14450" s="1" t="s">
        <v>15</v>
      </c>
      <c r="J14450" s="1" t="str">
        <f>"46/46"</f>
        <v>46/46</v>
      </c>
      <c r="K14450" s="1" t="str">
        <f>"2026-07-29 14:20:30"</f>
        <v>2026-07-29 14:20:30</v>
      </c>
      <c r="L14450" s="1" t="str">
        <f>"2024-10-29 17:01:53"</f>
        <v>2024-10-29 17:01:53</v>
      </c>
      <c r="M14450" s="1" t="s">
        <v>4</v>
      </c>
      <c r="N14450" s="1" t="s">
        <v>38</v>
      </c>
      <c r="O14450" s="1" t="s">
        <v>46</v>
      </c>
    </row>
    <row r="14451" spans="2:15" x14ac:dyDescent="0.3">
      <c r="B14451" s="1" t="s">
        <v>19</v>
      </c>
      <c r="C14451" s="1" t="str">
        <f>"4차"</f>
        <v>4차</v>
      </c>
      <c r="D14451" s="1" t="str">
        <f>"0127A58145"</f>
        <v>0127A58145</v>
      </c>
      <c r="E14451" s="1" t="s">
        <v>10</v>
      </c>
      <c r="F14451" s="1" t="str">
        <f>"10.14.9.54"</f>
        <v>10.14.9.54</v>
      </c>
      <c r="G14451" s="1" t="str">
        <f>"0127A581"</f>
        <v>0127A581</v>
      </c>
      <c r="H14451" s="1" t="str">
        <f>"아리랑 10"</f>
        <v>아리랑 10</v>
      </c>
      <c r="I14451" s="1" t="s">
        <v>17</v>
      </c>
      <c r="J14451" s="1" t="str">
        <f>"6/7"</f>
        <v>6/7</v>
      </c>
      <c r="K14451" s="1" t="str">
        <f>"2026-07-29 13:18:02"</f>
        <v>2026-07-29 13:18:02</v>
      </c>
      <c r="L14451" s="1" t="str">
        <f>"2021-06-25 08:49:53"</f>
        <v>2021-06-25 08:49:53</v>
      </c>
      <c r="M14451" s="1" t="s">
        <v>3</v>
      </c>
      <c r="N14451" s="1" t="s">
        <v>38</v>
      </c>
      <c r="O14451" s="1" t="s">
        <v>46</v>
      </c>
    </row>
    <row r="14452" spans="2:15" x14ac:dyDescent="0.3">
      <c r="B14452" s="1" t="s">
        <v>19</v>
      </c>
      <c r="C14452" s="1" t="str">
        <f>"4차"</f>
        <v>4차</v>
      </c>
      <c r="D14452" s="1" t="str">
        <f>"0127A58245"</f>
        <v>0127A58245</v>
      </c>
      <c r="E14452" s="1" t="s">
        <v>10</v>
      </c>
      <c r="F14452" s="1" t="str">
        <f>"10.14.3.52"</f>
        <v>10.14.3.52</v>
      </c>
      <c r="G14452" s="1" t="str">
        <f>"0127A582"</f>
        <v>0127A582</v>
      </c>
      <c r="H14452" s="1" t="str">
        <f>"아리랑 21"</f>
        <v>아리랑 21</v>
      </c>
      <c r="I14452" s="1" t="s">
        <v>17</v>
      </c>
      <c r="J14452" s="1" t="str">
        <f>"16/17"</f>
        <v>16/17</v>
      </c>
      <c r="K14452" s="1" t="str">
        <f>"2026-07-29 13:18:02"</f>
        <v>2026-07-29 13:18:02</v>
      </c>
      <c r="L14452" s="1" t="str">
        <f>"2021-06-25 08:34:01"</f>
        <v>2021-06-25 08:34:01</v>
      </c>
      <c r="M14452" s="1" t="s">
        <v>3</v>
      </c>
      <c r="N14452" s="1" t="s">
        <v>38</v>
      </c>
      <c r="O14452" s="1" t="s">
        <v>46</v>
      </c>
    </row>
    <row r="14453" spans="2:15" x14ac:dyDescent="0.3">
      <c r="B14453" s="1" t="s">
        <v>19</v>
      </c>
      <c r="C14453" s="1" t="str">
        <f>"4차"</f>
        <v>4차</v>
      </c>
      <c r="D14453" s="1" t="str">
        <f>"0127A62439"</f>
        <v>0127A62439</v>
      </c>
      <c r="E14453" s="1" t="s">
        <v>10</v>
      </c>
      <c r="F14453" s="1" t="str">
        <f>"10.107.253.71"</f>
        <v>10.107.253.71</v>
      </c>
      <c r="G14453" s="1" t="str">
        <f>"0127A624"</f>
        <v>0127A624</v>
      </c>
      <c r="H14453" s="1" t="str">
        <f>"동미간 34"</f>
        <v>동미간 34</v>
      </c>
      <c r="I14453" s="1" t="s">
        <v>8</v>
      </c>
      <c r="J14453" s="1" t="str">
        <f>"43/43"</f>
        <v>43/43</v>
      </c>
      <c r="K14453" s="1" t="str">
        <f>"2026-07-29 13:18:01"</f>
        <v>2026-07-29 13:18:01</v>
      </c>
      <c r="L14453" s="1" t="str">
        <f>"2018-04-04 14:04:41"</f>
        <v>2018-04-04 14:04:41</v>
      </c>
      <c r="M14453" s="1" t="s">
        <v>45</v>
      </c>
      <c r="N14453" s="1" t="s">
        <v>38</v>
      </c>
      <c r="O14453" s="1" t="s">
        <v>46</v>
      </c>
    </row>
    <row r="14454" spans="2:15" x14ac:dyDescent="0.3">
      <c r="B14454" s="1" t="s">
        <v>19</v>
      </c>
      <c r="C14454" s="1" t="str">
        <f>"3차"</f>
        <v>3차</v>
      </c>
      <c r="D14454" s="1" t="str">
        <f>"0127A63339"</f>
        <v>0127A63339</v>
      </c>
      <c r="E14454" s="1" t="s">
        <v>10</v>
      </c>
      <c r="F14454" s="1" t="str">
        <f>"10.107.253.75"</f>
        <v>10.107.253.75</v>
      </c>
      <c r="G14454" s="1" t="str">
        <f>"0127A633"</f>
        <v>0127A633</v>
      </c>
      <c r="H14454" s="1" t="str">
        <f>"동미간 36"</f>
        <v>동미간 36</v>
      </c>
      <c r="I14454" s="1" t="s">
        <v>8</v>
      </c>
      <c r="J14454" s="1" t="str">
        <f>"26/26"</f>
        <v>26/26</v>
      </c>
      <c r="K14454" s="1" t="str">
        <f>"2026-07-29 13:18:01"</f>
        <v>2026-07-29 13:18:01</v>
      </c>
      <c r="L14454" s="1" t="str">
        <f>"2018-04-02 11:36:26"</f>
        <v>2018-04-02 11:36:26</v>
      </c>
      <c r="M14454" s="1" t="s">
        <v>45</v>
      </c>
      <c r="N14454" s="1" t="s">
        <v>38</v>
      </c>
      <c r="O14454" s="1" t="s">
        <v>46</v>
      </c>
    </row>
    <row r="14455" spans="2:15" x14ac:dyDescent="0.3">
      <c r="B14455" s="1" t="s">
        <v>19</v>
      </c>
      <c r="C14455" s="1" t="str">
        <f>"4차"</f>
        <v>4차</v>
      </c>
      <c r="D14455" s="1" t="str">
        <f>"0127A65139"</f>
        <v>0127A65139</v>
      </c>
      <c r="E14455" s="1" t="s">
        <v>10</v>
      </c>
      <c r="F14455" s="1" t="str">
        <f>"10.12.137.60"</f>
        <v>10.12.137.60</v>
      </c>
      <c r="G14455" s="1" t="str">
        <f>"0127A651"</f>
        <v>0127A651</v>
      </c>
      <c r="H14455" s="1" t="str">
        <f>"아리랑 12"</f>
        <v>아리랑 12</v>
      </c>
      <c r="I14455" s="1" t="s">
        <v>17</v>
      </c>
      <c r="J14455" s="1" t="str">
        <f>"7/7"</f>
        <v>7/7</v>
      </c>
      <c r="K14455" s="1" t="str">
        <f>"2026-07-29 13:18:02"</f>
        <v>2026-07-29 13:18:02</v>
      </c>
      <c r="L14455" s="1" t="str">
        <f>"2018-05-30 09:37:12"</f>
        <v>2018-05-30 09:37:12</v>
      </c>
      <c r="M14455" s="1" t="s">
        <v>0</v>
      </c>
      <c r="N14455" s="1" t="s">
        <v>38</v>
      </c>
      <c r="O14455" s="1" t="s">
        <v>46</v>
      </c>
    </row>
    <row r="14456" spans="2:15" x14ac:dyDescent="0.3">
      <c r="B14456" s="1" t="s">
        <v>19</v>
      </c>
      <c r="C14456" s="1" t="str">
        <f>"4차"</f>
        <v>4차</v>
      </c>
      <c r="D14456" s="1" t="str">
        <f>"0127A67445"</f>
        <v>0127A67445</v>
      </c>
      <c r="E14456" s="1" t="s">
        <v>10</v>
      </c>
      <c r="F14456" s="1" t="str">
        <f>"10.14.13.52"</f>
        <v>10.14.13.52</v>
      </c>
      <c r="G14456" s="1" t="str">
        <f>"0127A674"</f>
        <v>0127A674</v>
      </c>
      <c r="H14456" s="1" t="str">
        <f>"아리랑 20"</f>
        <v>아리랑 20</v>
      </c>
      <c r="I14456" s="1" t="s">
        <v>17</v>
      </c>
      <c r="J14456" s="1" t="str">
        <f>"10/14"</f>
        <v>10/14</v>
      </c>
      <c r="K14456" s="1" t="str">
        <f>"2026-07-29 13:18:02"</f>
        <v>2026-07-29 13:18:02</v>
      </c>
      <c r="L14456" s="1" t="str">
        <f>"2021-06-25 08:20:08"</f>
        <v>2021-06-25 08:20:08</v>
      </c>
      <c r="M14456" s="1" t="s">
        <v>3</v>
      </c>
      <c r="N14456" s="1" t="s">
        <v>38</v>
      </c>
      <c r="O14456" s="1" t="s">
        <v>46</v>
      </c>
    </row>
    <row r="14457" spans="2:15" x14ac:dyDescent="0.3">
      <c r="B14457" s="1" t="s">
        <v>19</v>
      </c>
      <c r="C14457" s="1" t="str">
        <f>"1차"</f>
        <v>1차</v>
      </c>
      <c r="D14457" s="1" t="str">
        <f>"0127A68200"</f>
        <v>0127A68200</v>
      </c>
      <c r="E14457" s="1" t="s">
        <v>10</v>
      </c>
      <c r="F14457" s="1" t="str">
        <f>"10.107.4.197"</f>
        <v>10.107.4.197</v>
      </c>
      <c r="G14457" s="1" t="str">
        <f>"0127A682"</f>
        <v>0127A682</v>
      </c>
      <c r="H14457" s="1" t="str">
        <f>"동미간 35R5L9"</f>
        <v>동미간 35R5L9</v>
      </c>
      <c r="I14457" s="1" t="s">
        <v>8</v>
      </c>
      <c r="J14457" s="1" t="str">
        <f>"53/53"</f>
        <v>53/53</v>
      </c>
      <c r="K14457" s="1" t="str">
        <f>"2026-07-29 13:18:01"</f>
        <v>2026-07-29 13:18:01</v>
      </c>
      <c r="L14457" s="1" t="str">
        <f>"2014-11-18 11:26:38"</f>
        <v>2014-11-18 11:26:38</v>
      </c>
      <c r="M14457" s="1" t="s">
        <v>45</v>
      </c>
      <c r="N14457" s="1" t="s">
        <v>38</v>
      </c>
      <c r="O14457" s="1" t="s">
        <v>46</v>
      </c>
    </row>
    <row r="14458" spans="2:15" x14ac:dyDescent="0.3">
      <c r="B14458" s="1" t="s">
        <v>19</v>
      </c>
      <c r="C14458" s="1" t="str">
        <f t="shared" ref="C14458:C14473" si="738">"4차"</f>
        <v>4차</v>
      </c>
      <c r="D14458" s="1" t="str">
        <f>"0127A69144"</f>
        <v>0127A69144</v>
      </c>
      <c r="E14458" s="1" t="s">
        <v>10</v>
      </c>
      <c r="F14458" s="1" t="str">
        <f>"10.107.10.3"</f>
        <v>10.107.10.3</v>
      </c>
      <c r="G14458" s="1" t="str">
        <f>"0127A691"</f>
        <v>0127A691</v>
      </c>
      <c r="H14458" s="1" t="str">
        <f>"동미간 35R5L10"</f>
        <v>동미간 35R5L10</v>
      </c>
      <c r="I14458" s="1" t="s">
        <v>8</v>
      </c>
      <c r="J14458" s="1" t="str">
        <f>"98/98"</f>
        <v>98/98</v>
      </c>
      <c r="K14458" s="1" t="str">
        <f>"2026-07-29 13:18:01"</f>
        <v>2026-07-29 13:18:01</v>
      </c>
      <c r="L14458" s="1" t="str">
        <f>"2019-10-17 18:16:21"</f>
        <v>2019-10-17 18:16:21</v>
      </c>
      <c r="M14458" s="1" t="s">
        <v>45</v>
      </c>
      <c r="N14458" s="1" t="s">
        <v>38</v>
      </c>
      <c r="O14458" s="1" t="s">
        <v>46</v>
      </c>
    </row>
    <row r="14459" spans="2:15" x14ac:dyDescent="0.3">
      <c r="B14459" s="1" t="s">
        <v>19</v>
      </c>
      <c r="C14459" s="1" t="str">
        <f t="shared" si="738"/>
        <v>4차</v>
      </c>
      <c r="D14459" s="1" t="str">
        <f>"0127A70139"</f>
        <v>0127A70139</v>
      </c>
      <c r="E14459" s="1" t="s">
        <v>10</v>
      </c>
      <c r="F14459" s="1" t="str">
        <f>"10.12.137.59"</f>
        <v>10.12.137.59</v>
      </c>
      <c r="G14459" s="1" t="str">
        <f>"0127A701"</f>
        <v>0127A701</v>
      </c>
      <c r="H14459" s="1" t="str">
        <f>"아리랑 15"</f>
        <v>아리랑 15</v>
      </c>
      <c r="I14459" s="1" t="s">
        <v>17</v>
      </c>
      <c r="J14459" s="1" t="str">
        <f>"5/5"</f>
        <v>5/5</v>
      </c>
      <c r="K14459" s="1" t="str">
        <f>"2026-07-29 13:18:04"</f>
        <v>2026-07-29 13:18:04</v>
      </c>
      <c r="L14459" s="1" t="str">
        <f>"2018-05-30 09:53:42"</f>
        <v>2018-05-30 09:53:42</v>
      </c>
      <c r="M14459" s="1" t="s">
        <v>0</v>
      </c>
      <c r="N14459" s="1" t="s">
        <v>38</v>
      </c>
      <c r="O14459" s="1" t="s">
        <v>46</v>
      </c>
    </row>
    <row r="14460" spans="2:15" x14ac:dyDescent="0.3">
      <c r="B14460" s="1" t="s">
        <v>19</v>
      </c>
      <c r="C14460" s="1" t="str">
        <f t="shared" si="738"/>
        <v>4차</v>
      </c>
      <c r="D14460" s="1" t="str">
        <f>"0127A71139"</f>
        <v>0127A71139</v>
      </c>
      <c r="E14460" s="1" t="s">
        <v>10</v>
      </c>
      <c r="F14460" s="1" t="str">
        <f>"10.12.137.58"</f>
        <v>10.12.137.58</v>
      </c>
      <c r="G14460" s="1" t="str">
        <f>"0127A711"</f>
        <v>0127A711</v>
      </c>
      <c r="H14460" s="1" t="str">
        <f>"아리랑 16"</f>
        <v>아리랑 16</v>
      </c>
      <c r="I14460" s="1" t="s">
        <v>17</v>
      </c>
      <c r="J14460" s="1" t="str">
        <f>"14/14"</f>
        <v>14/14</v>
      </c>
      <c r="K14460" s="1" t="str">
        <f>"2026-07-29 13:18:02"</f>
        <v>2026-07-29 13:18:02</v>
      </c>
      <c r="L14460" s="1" t="str">
        <f>"2018-05-30 11:40:56"</f>
        <v>2018-05-30 11:40:56</v>
      </c>
      <c r="M14460" s="1" t="s">
        <v>0</v>
      </c>
      <c r="N14460" s="1" t="s">
        <v>38</v>
      </c>
      <c r="O14460" s="1" t="s">
        <v>46</v>
      </c>
    </row>
    <row r="14461" spans="2:15" x14ac:dyDescent="0.3">
      <c r="B14461" s="1" t="s">
        <v>19</v>
      </c>
      <c r="C14461" s="1" t="str">
        <f t="shared" si="738"/>
        <v>4차</v>
      </c>
      <c r="D14461" s="1" t="str">
        <f>"0127A72339"</f>
        <v>0127A72339</v>
      </c>
      <c r="E14461" s="1" t="s">
        <v>10</v>
      </c>
      <c r="F14461" s="1" t="str">
        <f>"10.12.137.48"</f>
        <v>10.12.137.48</v>
      </c>
      <c r="G14461" s="1" t="str">
        <f>"0127A723"</f>
        <v>0127A723</v>
      </c>
      <c r="H14461" s="1" t="str">
        <f>"아리랑 17"</f>
        <v>아리랑 17</v>
      </c>
      <c r="I14461" s="1" t="s">
        <v>17</v>
      </c>
      <c r="J14461" s="1" t="str">
        <f>"7/7"</f>
        <v>7/7</v>
      </c>
      <c r="K14461" s="1" t="str">
        <f>"2026-07-29 13:18:03"</f>
        <v>2026-07-29 13:18:03</v>
      </c>
      <c r="L14461" s="1" t="str">
        <f>"2018-05-30 13:42:00"</f>
        <v>2018-05-30 13:42:00</v>
      </c>
      <c r="M14461" s="1" t="s">
        <v>0</v>
      </c>
      <c r="N14461" s="1" t="s">
        <v>38</v>
      </c>
      <c r="O14461" s="1" t="s">
        <v>46</v>
      </c>
    </row>
    <row r="14462" spans="2:15" x14ac:dyDescent="0.3">
      <c r="B14462" s="1" t="s">
        <v>19</v>
      </c>
      <c r="C14462" s="1" t="str">
        <f t="shared" si="738"/>
        <v>4차</v>
      </c>
      <c r="D14462" s="1" t="str">
        <f>"0127A73139"</f>
        <v>0127A73139</v>
      </c>
      <c r="E14462" s="1" t="s">
        <v>10</v>
      </c>
      <c r="F14462" s="1" t="str">
        <f>"10.12.137.49"</f>
        <v>10.12.137.49</v>
      </c>
      <c r="G14462" s="1" t="str">
        <f>"0127A731"</f>
        <v>0127A731</v>
      </c>
      <c r="H14462" s="1" t="str">
        <f>"아리랑 18"</f>
        <v>아리랑 18</v>
      </c>
      <c r="I14462" s="1" t="s">
        <v>17</v>
      </c>
      <c r="J14462" s="1" t="str">
        <f>"14/14"</f>
        <v>14/14</v>
      </c>
      <c r="K14462" s="1" t="str">
        <f>"2026-07-29 13:18:02"</f>
        <v>2026-07-29 13:18:02</v>
      </c>
      <c r="L14462" s="1" t="str">
        <f>"2018-05-30 13:50:57"</f>
        <v>2018-05-30 13:50:57</v>
      </c>
      <c r="M14462" s="1" t="s">
        <v>0</v>
      </c>
      <c r="N14462" s="1" t="s">
        <v>38</v>
      </c>
      <c r="O14462" s="1" t="s">
        <v>46</v>
      </c>
    </row>
    <row r="14463" spans="2:15" x14ac:dyDescent="0.3">
      <c r="B14463" s="1" t="s">
        <v>19</v>
      </c>
      <c r="C14463" s="1" t="str">
        <f t="shared" si="738"/>
        <v>4차</v>
      </c>
      <c r="D14463" s="1" t="str">
        <f>"0127A74244"</f>
        <v>0127A74244</v>
      </c>
      <c r="E14463" s="1" t="s">
        <v>10</v>
      </c>
      <c r="F14463" s="1" t="str">
        <f>"10.107.252.112"</f>
        <v>10.107.252.112</v>
      </c>
      <c r="G14463" s="1" t="str">
        <f>"0127A742"</f>
        <v>0127A742</v>
      </c>
      <c r="H14463" s="1" t="str">
        <f>"동미간 35R5L6A2"</f>
        <v>동미간 35R5L6A2</v>
      </c>
      <c r="I14463" s="1" t="s">
        <v>8</v>
      </c>
      <c r="J14463" s="1" t="str">
        <f>"22/22"</f>
        <v>22/22</v>
      </c>
      <c r="K14463" s="1" t="str">
        <f>"2026-07-29 13:18:01"</f>
        <v>2026-07-29 13:18:01</v>
      </c>
      <c r="L14463" s="1" t="str">
        <f>"2019-12-13 08:57:46"</f>
        <v>2019-12-13 08:57:46</v>
      </c>
      <c r="M14463" s="1" t="s">
        <v>45</v>
      </c>
      <c r="N14463" s="1" t="s">
        <v>38</v>
      </c>
      <c r="O14463" s="1" t="s">
        <v>46</v>
      </c>
    </row>
    <row r="14464" spans="2:15" x14ac:dyDescent="0.3">
      <c r="B14464" s="1" t="s">
        <v>19</v>
      </c>
      <c r="C14464" s="1" t="str">
        <f t="shared" si="738"/>
        <v>4차</v>
      </c>
      <c r="D14464" s="1" t="str">
        <f>"0127A74339"</f>
        <v>0127A74339</v>
      </c>
      <c r="E14464" s="1" t="s">
        <v>10</v>
      </c>
      <c r="F14464" s="1" t="str">
        <f>"10.12.136.97"</f>
        <v>10.12.136.97</v>
      </c>
      <c r="G14464" s="1" t="str">
        <f>"0127A743"</f>
        <v>0127A743</v>
      </c>
      <c r="H14464" s="1" t="str">
        <f>"아리랑 19"</f>
        <v>아리랑 19</v>
      </c>
      <c r="I14464" s="1" t="s">
        <v>17</v>
      </c>
      <c r="J14464" s="1" t="str">
        <f>"36/36"</f>
        <v>36/36</v>
      </c>
      <c r="K14464" s="1" t="str">
        <f>"2026-07-29 13:18:02"</f>
        <v>2026-07-29 13:18:02</v>
      </c>
      <c r="L14464" s="1" t="str">
        <f>"2018-05-30 14:01:27"</f>
        <v>2018-05-30 14:01:27</v>
      </c>
      <c r="M14464" s="1" t="s">
        <v>0</v>
      </c>
      <c r="N14464" s="1" t="s">
        <v>38</v>
      </c>
      <c r="O14464" s="1" t="s">
        <v>46</v>
      </c>
    </row>
    <row r="14465" spans="2:15" x14ac:dyDescent="0.3">
      <c r="B14465" s="1" t="s">
        <v>19</v>
      </c>
      <c r="C14465" s="1" t="str">
        <f t="shared" si="738"/>
        <v>4차</v>
      </c>
      <c r="D14465" s="1" t="str">
        <f>"0127A75144"</f>
        <v>0127A75144</v>
      </c>
      <c r="E14465" s="1" t="s">
        <v>10</v>
      </c>
      <c r="F14465" s="1" t="str">
        <f>"10.107.252.111"</f>
        <v>10.107.252.111</v>
      </c>
      <c r="G14465" s="1" t="str">
        <f>"0127A751"</f>
        <v>0127A751</v>
      </c>
      <c r="H14465" s="1" t="str">
        <f>"동미간 35R5L6A1"</f>
        <v>동미간 35R5L6A1</v>
      </c>
      <c r="I14465" s="1" t="s">
        <v>8</v>
      </c>
      <c r="J14465" s="1" t="str">
        <f>"34/34"</f>
        <v>34/34</v>
      </c>
      <c r="K14465" s="1" t="str">
        <f t="shared" ref="K14465:K14473" si="739">"2026-07-29 13:18:01"</f>
        <v>2026-07-29 13:18:01</v>
      </c>
      <c r="L14465" s="1" t="str">
        <f>"2019-12-13 08:57:45"</f>
        <v>2019-12-13 08:57:45</v>
      </c>
      <c r="M14465" s="1" t="s">
        <v>45</v>
      </c>
      <c r="N14465" s="1" t="s">
        <v>38</v>
      </c>
      <c r="O14465" s="1" t="s">
        <v>46</v>
      </c>
    </row>
    <row r="14466" spans="2:15" x14ac:dyDescent="0.3">
      <c r="B14466" s="1" t="s">
        <v>19</v>
      </c>
      <c r="C14466" s="1" t="str">
        <f t="shared" si="738"/>
        <v>4차</v>
      </c>
      <c r="D14466" s="1" t="str">
        <f>"0127A76144"</f>
        <v>0127A76144</v>
      </c>
      <c r="E14466" s="1" t="s">
        <v>10</v>
      </c>
      <c r="F14466" s="1" t="str">
        <f>"10.107.252.110"</f>
        <v>10.107.252.110</v>
      </c>
      <c r="G14466" s="1" t="str">
        <f>"0127A761"</f>
        <v>0127A761</v>
      </c>
      <c r="H14466" s="1" t="str">
        <f>"동미간 35R5L6"</f>
        <v>동미간 35R5L6</v>
      </c>
      <c r="I14466" s="1" t="s">
        <v>8</v>
      </c>
      <c r="J14466" s="1" t="str">
        <f>"97/101"</f>
        <v>97/101</v>
      </c>
      <c r="K14466" s="1" t="str">
        <f t="shared" si="739"/>
        <v>2026-07-29 13:18:01</v>
      </c>
      <c r="L14466" s="1" t="str">
        <f>"2019-10-31 17:03:03"</f>
        <v>2019-10-31 17:03:03</v>
      </c>
      <c r="M14466" s="1" t="s">
        <v>45</v>
      </c>
      <c r="N14466" s="1" t="s">
        <v>38</v>
      </c>
      <c r="O14466" s="1" t="s">
        <v>46</v>
      </c>
    </row>
    <row r="14467" spans="2:15" x14ac:dyDescent="0.3">
      <c r="B14467" s="1" t="s">
        <v>19</v>
      </c>
      <c r="C14467" s="1" t="str">
        <f t="shared" si="738"/>
        <v>4차</v>
      </c>
      <c r="D14467" s="1" t="str">
        <f>"0127A77144"</f>
        <v>0127A77144</v>
      </c>
      <c r="E14467" s="1" t="s">
        <v>10</v>
      </c>
      <c r="F14467" s="1" t="str">
        <f>"10.107.252.113"</f>
        <v>10.107.252.113</v>
      </c>
      <c r="G14467" s="1" t="str">
        <f>"0127A771"</f>
        <v>0127A771</v>
      </c>
      <c r="H14467" s="1" t="str">
        <f>"동미간 35R5L7"</f>
        <v>동미간 35R5L7</v>
      </c>
      <c r="I14467" s="1" t="s">
        <v>8</v>
      </c>
      <c r="J14467" s="1" t="str">
        <f>"36/37"</f>
        <v>36/37</v>
      </c>
      <c r="K14467" s="1" t="str">
        <f t="shared" si="739"/>
        <v>2026-07-29 13:18:01</v>
      </c>
      <c r="L14467" s="1" t="str">
        <f>"2019-12-13 12:09:19"</f>
        <v>2019-12-13 12:09:19</v>
      </c>
      <c r="M14467" s="1" t="s">
        <v>45</v>
      </c>
      <c r="N14467" s="1" t="s">
        <v>38</v>
      </c>
      <c r="O14467" s="1" t="s">
        <v>46</v>
      </c>
    </row>
    <row r="14468" spans="2:15" x14ac:dyDescent="0.3">
      <c r="B14468" s="1" t="s">
        <v>19</v>
      </c>
      <c r="C14468" s="1" t="str">
        <f t="shared" si="738"/>
        <v>4차</v>
      </c>
      <c r="D14468" s="1" t="str">
        <f>"0127A82444"</f>
        <v>0127A82444</v>
      </c>
      <c r="E14468" s="1" t="s">
        <v>10</v>
      </c>
      <c r="F14468" s="1" t="str">
        <f>"10.107.252.100"</f>
        <v>10.107.252.100</v>
      </c>
      <c r="G14468" s="1" t="str">
        <f>"0127A824"</f>
        <v>0127A824</v>
      </c>
      <c r="H14468" s="1" t="str">
        <f>"동미간 35R10R8"</f>
        <v>동미간 35R10R8</v>
      </c>
      <c r="I14468" s="1" t="s">
        <v>8</v>
      </c>
      <c r="J14468" s="1" t="str">
        <f>"97/97"</f>
        <v>97/97</v>
      </c>
      <c r="K14468" s="1" t="str">
        <f t="shared" si="739"/>
        <v>2026-07-29 13:18:01</v>
      </c>
      <c r="L14468" s="1" t="str">
        <f>"2019-10-28 14:13:04"</f>
        <v>2019-10-28 14:13:04</v>
      </c>
      <c r="M14468" s="1" t="s">
        <v>45</v>
      </c>
      <c r="N14468" s="1" t="s">
        <v>38</v>
      </c>
      <c r="O14468" s="1" t="s">
        <v>46</v>
      </c>
    </row>
    <row r="14469" spans="2:15" x14ac:dyDescent="0.3">
      <c r="B14469" s="1" t="s">
        <v>19</v>
      </c>
      <c r="C14469" s="1" t="str">
        <f t="shared" si="738"/>
        <v>4차</v>
      </c>
      <c r="D14469" s="1" t="str">
        <f>"0127A84144"</f>
        <v>0127A84144</v>
      </c>
      <c r="E14469" s="1" t="s">
        <v>10</v>
      </c>
      <c r="F14469" s="1" t="str">
        <f>"10.107.252.86"</f>
        <v>10.107.252.86</v>
      </c>
      <c r="G14469" s="1" t="str">
        <f>"0127A841"</f>
        <v>0127A841</v>
      </c>
      <c r="H14469" s="1" t="str">
        <f>"동미간 35R4"</f>
        <v>동미간 35R4</v>
      </c>
      <c r="I14469" s="1" t="s">
        <v>8</v>
      </c>
      <c r="J14469" s="1" t="str">
        <f>"71/72"</f>
        <v>71/72</v>
      </c>
      <c r="K14469" s="1" t="str">
        <f t="shared" si="739"/>
        <v>2026-07-29 13:18:01</v>
      </c>
      <c r="L14469" s="1" t="str">
        <f>"2019-12-13 12:09:19"</f>
        <v>2019-12-13 12:09:19</v>
      </c>
      <c r="M14469" s="1" t="s">
        <v>45</v>
      </c>
      <c r="N14469" s="1" t="s">
        <v>38</v>
      </c>
      <c r="O14469" s="1" t="s">
        <v>46</v>
      </c>
    </row>
    <row r="14470" spans="2:15" x14ac:dyDescent="0.3">
      <c r="B14470" s="1" t="s">
        <v>19</v>
      </c>
      <c r="C14470" s="1" t="str">
        <f t="shared" si="738"/>
        <v>4차</v>
      </c>
      <c r="D14470" s="1" t="str">
        <f>"0127A84344"</f>
        <v>0127A84344</v>
      </c>
      <c r="E14470" s="1" t="s">
        <v>10</v>
      </c>
      <c r="F14470" s="1" t="str">
        <f>"10.107.252.87"</f>
        <v>10.107.252.87</v>
      </c>
      <c r="G14470" s="1" t="str">
        <f>"0127A843"</f>
        <v>0127A843</v>
      </c>
      <c r="H14470" s="1" t="str">
        <f>"동미간 35R5"</f>
        <v>동미간 35R5</v>
      </c>
      <c r="I14470" s="1" t="s">
        <v>8</v>
      </c>
      <c r="J14470" s="1" t="str">
        <f>"31/31"</f>
        <v>31/31</v>
      </c>
      <c r="K14470" s="1" t="str">
        <f t="shared" si="739"/>
        <v>2026-07-29 13:18:01</v>
      </c>
      <c r="L14470" s="1" t="str">
        <f>"2019-10-31 17:03:03"</f>
        <v>2019-10-31 17:03:03</v>
      </c>
      <c r="M14470" s="1" t="s">
        <v>45</v>
      </c>
      <c r="N14470" s="1" t="s">
        <v>38</v>
      </c>
      <c r="O14470" s="1" t="s">
        <v>46</v>
      </c>
    </row>
    <row r="14471" spans="2:15" x14ac:dyDescent="0.3">
      <c r="B14471" s="1" t="s">
        <v>19</v>
      </c>
      <c r="C14471" s="1" t="str">
        <f t="shared" si="738"/>
        <v>4차</v>
      </c>
      <c r="D14471" s="1" t="str">
        <f>"0127A85144"</f>
        <v>0127A85144</v>
      </c>
      <c r="E14471" s="1" t="s">
        <v>10</v>
      </c>
      <c r="F14471" s="1" t="str">
        <f>"10.107.252.105"</f>
        <v>10.107.252.105</v>
      </c>
      <c r="G14471" s="1" t="str">
        <f>"0127A851"</f>
        <v>0127A851</v>
      </c>
      <c r="H14471" s="1" t="str">
        <f>"동미간 35R5L2"</f>
        <v>동미간 35R5L2</v>
      </c>
      <c r="I14471" s="1" t="s">
        <v>8</v>
      </c>
      <c r="J14471" s="1" t="str">
        <f>"97/97"</f>
        <v>97/97</v>
      </c>
      <c r="K14471" s="1" t="str">
        <f t="shared" si="739"/>
        <v>2026-07-29 13:18:01</v>
      </c>
      <c r="L14471" s="1" t="str">
        <f>"2019-10-31 17:03:03"</f>
        <v>2019-10-31 17:03:03</v>
      </c>
      <c r="M14471" s="1" t="s">
        <v>45</v>
      </c>
      <c r="N14471" s="1" t="s">
        <v>38</v>
      </c>
      <c r="O14471" s="1" t="s">
        <v>46</v>
      </c>
    </row>
    <row r="14472" spans="2:15" x14ac:dyDescent="0.3">
      <c r="B14472" s="1" t="s">
        <v>19</v>
      </c>
      <c r="C14472" s="1" t="str">
        <f t="shared" si="738"/>
        <v>4차</v>
      </c>
      <c r="D14472" s="1" t="str">
        <f>"0127A87144"</f>
        <v>0127A87144</v>
      </c>
      <c r="E14472" s="1" t="s">
        <v>10</v>
      </c>
      <c r="F14472" s="1" t="str">
        <f>"10.107.252.107"</f>
        <v>10.107.252.107</v>
      </c>
      <c r="G14472" s="1" t="str">
        <f>"0127A871"</f>
        <v>0127A871</v>
      </c>
      <c r="H14472" s="1" t="str">
        <f>"동미간 35R5L4R1"</f>
        <v>동미간 35R5L4R1</v>
      </c>
      <c r="I14472" s="1" t="s">
        <v>8</v>
      </c>
      <c r="J14472" s="1" t="str">
        <f>"59/59"</f>
        <v>59/59</v>
      </c>
      <c r="K14472" s="1" t="str">
        <f t="shared" si="739"/>
        <v>2026-07-29 13:18:01</v>
      </c>
      <c r="L14472" s="1" t="str">
        <f>"2019-10-31 16:03:05"</f>
        <v>2019-10-31 16:03:05</v>
      </c>
      <c r="M14472" s="1" t="s">
        <v>45</v>
      </c>
      <c r="N14472" s="1" t="s">
        <v>38</v>
      </c>
      <c r="O14472" s="1" t="s">
        <v>46</v>
      </c>
    </row>
    <row r="14473" spans="2:15" x14ac:dyDescent="0.3">
      <c r="B14473" s="1" t="s">
        <v>19</v>
      </c>
      <c r="C14473" s="1" t="str">
        <f t="shared" si="738"/>
        <v>4차</v>
      </c>
      <c r="D14473" s="1" t="str">
        <f>"0127A87244"</f>
        <v>0127A87244</v>
      </c>
      <c r="E14473" s="1" t="s">
        <v>10</v>
      </c>
      <c r="F14473" s="1" t="str">
        <f>"10.107.252.108"</f>
        <v>10.107.252.108</v>
      </c>
      <c r="G14473" s="1" t="str">
        <f>"0127A872"</f>
        <v>0127A872</v>
      </c>
      <c r="H14473" s="1" t="str">
        <f>"동미간 35R5L4R2"</f>
        <v>동미간 35R5L4R2</v>
      </c>
      <c r="I14473" s="1" t="s">
        <v>8</v>
      </c>
      <c r="J14473" s="1" t="str">
        <f>"35/35"</f>
        <v>35/35</v>
      </c>
      <c r="K14473" s="1" t="str">
        <f t="shared" si="739"/>
        <v>2026-07-29 13:18:01</v>
      </c>
      <c r="L14473" s="1" t="str">
        <f>"2019-10-31 16:17:30"</f>
        <v>2019-10-31 16:17:30</v>
      </c>
      <c r="M14473" s="1" t="s">
        <v>45</v>
      </c>
      <c r="N14473" s="1" t="s">
        <v>38</v>
      </c>
      <c r="O14473" s="1" t="s">
        <v>46</v>
      </c>
    </row>
    <row r="14474" spans="2:15" x14ac:dyDescent="0.3">
      <c r="B14474" s="1" t="s">
        <v>19</v>
      </c>
      <c r="C14474" s="1" t="str">
        <f>"3차"</f>
        <v>3차</v>
      </c>
      <c r="D14474" s="1" t="str">
        <f>"0127A88239"</f>
        <v>0127A88239</v>
      </c>
      <c r="E14474" s="1" t="s">
        <v>10</v>
      </c>
      <c r="F14474" s="1" t="str">
        <f>"10.12.136.181"</f>
        <v>10.12.136.181</v>
      </c>
      <c r="G14474" s="1" t="str">
        <f>"0127A882"</f>
        <v>0127A882</v>
      </c>
      <c r="H14474" s="1" t="str">
        <f>"동미간 35R5L4R3L1"</f>
        <v>동미간 35R5L4R3L1</v>
      </c>
      <c r="I14474" s="1" t="s">
        <v>8</v>
      </c>
      <c r="J14474" s="1" t="str">
        <f>"99/99"</f>
        <v>99/99</v>
      </c>
      <c r="K14474" s="1" t="str">
        <f>"2026-07-29 13:18:02"</f>
        <v>2026-07-29 13:18:02</v>
      </c>
      <c r="L14474" s="1" t="str">
        <f>"2018-09-14 10:11:24"</f>
        <v>2018-09-14 10:11:24</v>
      </c>
      <c r="M14474" s="1" t="s">
        <v>0</v>
      </c>
      <c r="N14474" s="1" t="s">
        <v>38</v>
      </c>
      <c r="O14474" s="1" t="s">
        <v>46</v>
      </c>
    </row>
    <row r="14475" spans="2:15" x14ac:dyDescent="0.3">
      <c r="B14475" s="1" t="s">
        <v>19</v>
      </c>
      <c r="C14475" s="1" t="str">
        <f t="shared" ref="C14475:C14485" si="740">"4차"</f>
        <v>4차</v>
      </c>
      <c r="D14475" s="1" t="str">
        <f>"0127A90139"</f>
        <v>0127A90139</v>
      </c>
      <c r="E14475" s="1" t="s">
        <v>10</v>
      </c>
      <c r="F14475" s="1" t="str">
        <f>"10.12.136.68"</f>
        <v>10.12.136.68</v>
      </c>
      <c r="G14475" s="1" t="str">
        <f>"0127A901"</f>
        <v>0127A901</v>
      </c>
      <c r="H14475" s="1" t="str">
        <f>"동소문 18"</f>
        <v>동소문 18</v>
      </c>
      <c r="I14475" s="1" t="s">
        <v>17</v>
      </c>
      <c r="J14475" s="1" t="str">
        <f>"9/9"</f>
        <v>9/9</v>
      </c>
      <c r="K14475" s="1" t="str">
        <f>"2026-07-29 13:18:02"</f>
        <v>2026-07-29 13:18:02</v>
      </c>
      <c r="L14475" s="1" t="str">
        <f>"2018-05-28 09:28:10"</f>
        <v>2018-05-28 09:28:10</v>
      </c>
      <c r="M14475" s="1" t="s">
        <v>0</v>
      </c>
      <c r="N14475" s="1" t="s">
        <v>38</v>
      </c>
      <c r="O14475" s="1" t="s">
        <v>46</v>
      </c>
    </row>
    <row r="14476" spans="2:15" x14ac:dyDescent="0.3">
      <c r="B14476" s="1" t="s">
        <v>19</v>
      </c>
      <c r="C14476" s="1" t="str">
        <f t="shared" si="740"/>
        <v>4차</v>
      </c>
      <c r="D14476" s="1" t="str">
        <f>"0127A90239"</f>
        <v>0127A90239</v>
      </c>
      <c r="E14476" s="1" t="s">
        <v>10</v>
      </c>
      <c r="F14476" s="1" t="str">
        <f>"10.14.13.31"</f>
        <v>10.14.13.31</v>
      </c>
      <c r="G14476" s="1" t="str">
        <f>"0127A902"</f>
        <v>0127A902</v>
      </c>
      <c r="H14476" s="1" t="str">
        <f>"동소문 19"</f>
        <v>동소문 19</v>
      </c>
      <c r="I14476" s="1" t="s">
        <v>17</v>
      </c>
      <c r="J14476" s="1" t="str">
        <f>"24/24"</f>
        <v>24/24</v>
      </c>
      <c r="K14476" s="1" t="str">
        <f t="shared" ref="K14476:K14481" si="741">"2026-07-29 13:18:01"</f>
        <v>2026-07-29 13:18:01</v>
      </c>
      <c r="L14476" s="1" t="str">
        <f>"2018-05-28 09:22:25"</f>
        <v>2018-05-28 09:22:25</v>
      </c>
      <c r="M14476" s="1" t="s">
        <v>3</v>
      </c>
      <c r="N14476" s="1" t="s">
        <v>38</v>
      </c>
      <c r="O14476" s="1" t="s">
        <v>46</v>
      </c>
    </row>
    <row r="14477" spans="2:15" x14ac:dyDescent="0.3">
      <c r="B14477" s="1" t="s">
        <v>19</v>
      </c>
      <c r="C14477" s="1" t="str">
        <f t="shared" si="740"/>
        <v>4차</v>
      </c>
      <c r="D14477" s="1" t="str">
        <f>"0127A93144"</f>
        <v>0127A93144</v>
      </c>
      <c r="E14477" s="1" t="s">
        <v>10</v>
      </c>
      <c r="F14477" s="1" t="str">
        <f>"10.107.252.99"</f>
        <v>10.107.252.99</v>
      </c>
      <c r="G14477" s="1" t="str">
        <f>"0127A931"</f>
        <v>0127A931</v>
      </c>
      <c r="H14477" s="1" t="str">
        <f>"동미간 35R10R7"</f>
        <v>동미간 35R10R7</v>
      </c>
      <c r="I14477" s="1" t="s">
        <v>8</v>
      </c>
      <c r="J14477" s="1" t="str">
        <f>"13/13"</f>
        <v>13/13</v>
      </c>
      <c r="K14477" s="1" t="str">
        <f t="shared" si="741"/>
        <v>2026-07-29 13:18:01</v>
      </c>
      <c r="L14477" s="1" t="str">
        <f>"2019-10-28 14:32:27"</f>
        <v>2019-10-28 14:32:27</v>
      </c>
      <c r="M14477" s="1" t="s">
        <v>45</v>
      </c>
      <c r="N14477" s="1" t="s">
        <v>38</v>
      </c>
      <c r="O14477" s="1" t="s">
        <v>46</v>
      </c>
    </row>
    <row r="14478" spans="2:15" x14ac:dyDescent="0.3">
      <c r="B14478" s="1" t="s">
        <v>19</v>
      </c>
      <c r="C14478" s="1" t="str">
        <f t="shared" si="740"/>
        <v>4차</v>
      </c>
      <c r="D14478" s="1" t="str">
        <f>"0127A94139"</f>
        <v>0127A94139</v>
      </c>
      <c r="E14478" s="1" t="s">
        <v>10</v>
      </c>
      <c r="F14478" s="1" t="str">
        <f>"10.12.132.76"</f>
        <v>10.12.132.76</v>
      </c>
      <c r="G14478" s="1" t="str">
        <f>"0127A941"</f>
        <v>0127A941</v>
      </c>
      <c r="H14478" s="1" t="str">
        <f>"동미간 35R10R5"</f>
        <v>동미간 35R10R5</v>
      </c>
      <c r="I14478" s="1" t="s">
        <v>8</v>
      </c>
      <c r="J14478" s="1" t="str">
        <f>"97/97"</f>
        <v>97/97</v>
      </c>
      <c r="K14478" s="1" t="str">
        <f t="shared" si="741"/>
        <v>2026-07-29 13:18:01</v>
      </c>
      <c r="L14478" s="1" t="str">
        <f>"2018-09-14 11:02:54"</f>
        <v>2018-09-14 11:02:54</v>
      </c>
      <c r="M14478" s="1" t="s">
        <v>0</v>
      </c>
      <c r="N14478" s="1" t="s">
        <v>38</v>
      </c>
      <c r="O14478" s="1" t="s">
        <v>46</v>
      </c>
    </row>
    <row r="14479" spans="2:15" x14ac:dyDescent="0.3">
      <c r="B14479" s="1" t="s">
        <v>19</v>
      </c>
      <c r="C14479" s="1" t="str">
        <f t="shared" si="740"/>
        <v>4차</v>
      </c>
      <c r="D14479" s="1" t="str">
        <f>"0127A96144"</f>
        <v>0127A96144</v>
      </c>
      <c r="E14479" s="1" t="s">
        <v>10</v>
      </c>
      <c r="F14479" s="1" t="str">
        <f>"10.107.252.106"</f>
        <v>10.107.252.106</v>
      </c>
      <c r="G14479" s="1" t="str">
        <f>"0127A961"</f>
        <v>0127A961</v>
      </c>
      <c r="H14479" s="1" t="str">
        <f>"동미간 35R5L4B1"</f>
        <v>동미간 35R5L4B1</v>
      </c>
      <c r="I14479" s="1" t="s">
        <v>8</v>
      </c>
      <c r="J14479" s="1" t="str">
        <f>"36/36"</f>
        <v>36/36</v>
      </c>
      <c r="K14479" s="1" t="str">
        <f t="shared" si="741"/>
        <v>2026-07-29 13:18:01</v>
      </c>
      <c r="L14479" s="1" t="str">
        <f>"2019-10-31 15:49:14"</f>
        <v>2019-10-31 15:49:14</v>
      </c>
      <c r="M14479" s="1" t="s">
        <v>45</v>
      </c>
      <c r="N14479" s="1" t="s">
        <v>38</v>
      </c>
      <c r="O14479" s="1" t="s">
        <v>46</v>
      </c>
    </row>
    <row r="14480" spans="2:15" x14ac:dyDescent="0.3">
      <c r="B14480" s="1" t="s">
        <v>19</v>
      </c>
      <c r="C14480" s="1" t="str">
        <f t="shared" si="740"/>
        <v>4차</v>
      </c>
      <c r="D14480" s="1" t="str">
        <f>"0127A97144"</f>
        <v>0127A97144</v>
      </c>
      <c r="E14480" s="1" t="s">
        <v>10</v>
      </c>
      <c r="F14480" s="1" t="str">
        <f>"10.107.252.109"</f>
        <v>10.107.252.109</v>
      </c>
      <c r="G14480" s="1" t="str">
        <f>"0127A971"</f>
        <v>0127A971</v>
      </c>
      <c r="H14480" s="1" t="str">
        <f>"동미간 35R5L4R6"</f>
        <v>동미간 35R5L4R6</v>
      </c>
      <c r="I14480" s="1" t="s">
        <v>8</v>
      </c>
      <c r="J14480" s="1" t="str">
        <f>"85/85"</f>
        <v>85/85</v>
      </c>
      <c r="K14480" s="1" t="str">
        <f t="shared" si="741"/>
        <v>2026-07-29 13:18:01</v>
      </c>
      <c r="L14480" s="1" t="str">
        <f>"2019-10-31 15:43:05"</f>
        <v>2019-10-31 15:43:05</v>
      </c>
      <c r="M14480" s="1" t="s">
        <v>45</v>
      </c>
      <c r="N14480" s="1" t="s">
        <v>38</v>
      </c>
      <c r="O14480" s="1" t="s">
        <v>46</v>
      </c>
    </row>
    <row r="14481" spans="2:15" x14ac:dyDescent="0.3">
      <c r="B14481" s="1" t="s">
        <v>19</v>
      </c>
      <c r="C14481" s="1" t="str">
        <f t="shared" si="740"/>
        <v>4차</v>
      </c>
      <c r="D14481" s="1" t="str">
        <f>"0127A98144"</f>
        <v>0127A98144</v>
      </c>
      <c r="E14481" s="1" t="s">
        <v>10</v>
      </c>
      <c r="F14481" s="1" t="str">
        <f>"10.107.252.104"</f>
        <v>10.107.252.104</v>
      </c>
      <c r="G14481" s="1" t="str">
        <f>"0127A981"</f>
        <v>0127A981</v>
      </c>
      <c r="H14481" s="1" t="str">
        <f>"동미간 35R5L4R4"</f>
        <v>동미간 35R5L4R4</v>
      </c>
      <c r="I14481" s="1" t="s">
        <v>8</v>
      </c>
      <c r="J14481" s="1" t="str">
        <f>"43/43"</f>
        <v>43/43</v>
      </c>
      <c r="K14481" s="1" t="str">
        <f t="shared" si="741"/>
        <v>2026-07-29 13:18:01</v>
      </c>
      <c r="L14481" s="1" t="str">
        <f>"2019-10-31 14:43:04"</f>
        <v>2019-10-31 14:43:04</v>
      </c>
      <c r="M14481" s="1" t="s">
        <v>45</v>
      </c>
      <c r="N14481" s="1" t="s">
        <v>38</v>
      </c>
      <c r="O14481" s="1" t="s">
        <v>46</v>
      </c>
    </row>
    <row r="14482" spans="2:15" x14ac:dyDescent="0.3">
      <c r="B14482" s="1" t="s">
        <v>19</v>
      </c>
      <c r="C14482" s="1" t="str">
        <f t="shared" si="740"/>
        <v>4차</v>
      </c>
      <c r="D14482" s="1" t="str">
        <f>"0127B02145"</f>
        <v>0127B02145</v>
      </c>
      <c r="E14482" s="1" t="s">
        <v>10</v>
      </c>
      <c r="F14482" s="1" t="str">
        <f>"10.14.5.60"</f>
        <v>10.14.5.60</v>
      </c>
      <c r="G14482" s="1" t="str">
        <f>"0127B021"</f>
        <v>0127B021</v>
      </c>
      <c r="H14482" s="1" t="str">
        <f>"동소문 20"</f>
        <v>동소문 20</v>
      </c>
      <c r="I14482" s="1" t="s">
        <v>17</v>
      </c>
      <c r="J14482" s="1" t="str">
        <f>"7/7"</f>
        <v>7/7</v>
      </c>
      <c r="K14482" s="1" t="str">
        <f>"2026-07-29 13:18:02"</f>
        <v>2026-07-29 13:18:02</v>
      </c>
      <c r="L14482" s="1" t="str">
        <f>"2021-06-25 14:47:12"</f>
        <v>2021-06-25 14:47:12</v>
      </c>
      <c r="M14482" s="1" t="s">
        <v>3</v>
      </c>
      <c r="N14482" s="1" t="s">
        <v>38</v>
      </c>
      <c r="O14482" s="1" t="s">
        <v>46</v>
      </c>
    </row>
    <row r="14483" spans="2:15" x14ac:dyDescent="0.3">
      <c r="B14483" s="1" t="s">
        <v>19</v>
      </c>
      <c r="C14483" s="1" t="str">
        <f t="shared" si="740"/>
        <v>4차</v>
      </c>
      <c r="D14483" s="1" t="str">
        <f>"0127B03144"</f>
        <v>0127B03144</v>
      </c>
      <c r="E14483" s="1" t="s">
        <v>10</v>
      </c>
      <c r="F14483" s="1" t="str">
        <f>"10.107.252.103"</f>
        <v>10.107.252.103</v>
      </c>
      <c r="G14483" s="1" t="str">
        <f>"0127B031"</f>
        <v>0127B031</v>
      </c>
      <c r="H14483" s="1" t="str">
        <f>"동미간 35R16"</f>
        <v>동미간 35R16</v>
      </c>
      <c r="I14483" s="1" t="s">
        <v>8</v>
      </c>
      <c r="J14483" s="1" t="str">
        <f>"95/95"</f>
        <v>95/95</v>
      </c>
      <c r="K14483" s="1" t="str">
        <f>"2026-07-29 13:18:01"</f>
        <v>2026-07-29 13:18:01</v>
      </c>
      <c r="L14483" s="1" t="str">
        <f>"2019-12-13 08:59:32"</f>
        <v>2019-12-13 08:59:32</v>
      </c>
      <c r="M14483" s="1" t="s">
        <v>45</v>
      </c>
      <c r="N14483" s="1" t="s">
        <v>38</v>
      </c>
      <c r="O14483" s="1" t="s">
        <v>46</v>
      </c>
    </row>
    <row r="14484" spans="2:15" x14ac:dyDescent="0.3">
      <c r="B14484" s="1" t="s">
        <v>19</v>
      </c>
      <c r="C14484" s="1" t="str">
        <f t="shared" si="740"/>
        <v>4차</v>
      </c>
      <c r="D14484" s="1" t="str">
        <f>"0127B03244"</f>
        <v>0127B03244</v>
      </c>
      <c r="E14484" s="1" t="s">
        <v>10</v>
      </c>
      <c r="F14484" s="1" t="str">
        <f>"10.107.252.114"</f>
        <v>10.107.252.114</v>
      </c>
      <c r="G14484" s="1" t="str">
        <f>"0127B032"</f>
        <v>0127B032</v>
      </c>
      <c r="H14484" s="1" t="str">
        <f>"동미간 35R17"</f>
        <v>동미간 35R17</v>
      </c>
      <c r="I14484" s="1" t="s">
        <v>8</v>
      </c>
      <c r="J14484" s="1" t="str">
        <f>"114/114"</f>
        <v>114/114</v>
      </c>
      <c r="K14484" s="1" t="str">
        <f>"2026-07-29 13:18:01"</f>
        <v>2026-07-29 13:18:01</v>
      </c>
      <c r="L14484" s="1" t="str">
        <f>"2019-12-13 09:05:43"</f>
        <v>2019-12-13 09:05:43</v>
      </c>
      <c r="M14484" s="1" t="s">
        <v>45</v>
      </c>
      <c r="N14484" s="1" t="s">
        <v>38</v>
      </c>
      <c r="O14484" s="1" t="s">
        <v>46</v>
      </c>
    </row>
    <row r="14485" spans="2:15" x14ac:dyDescent="0.3">
      <c r="B14485" s="1" t="s">
        <v>19</v>
      </c>
      <c r="C14485" s="1" t="str">
        <f t="shared" si="740"/>
        <v>4차</v>
      </c>
      <c r="D14485" s="1" t="str">
        <f>"0127B04144"</f>
        <v>0127B04144</v>
      </c>
      <c r="E14485" s="1" t="s">
        <v>10</v>
      </c>
      <c r="F14485" s="1" t="str">
        <f>"10.107.252.102"</f>
        <v>10.107.252.102</v>
      </c>
      <c r="G14485" s="1" t="str">
        <f>"0127B041"</f>
        <v>0127B041</v>
      </c>
      <c r="H14485" s="1" t="str">
        <f>"동미간 35R15"</f>
        <v>동미간 35R15</v>
      </c>
      <c r="I14485" s="1" t="s">
        <v>8</v>
      </c>
      <c r="J14485" s="1" t="str">
        <f>"62/73"</f>
        <v>62/73</v>
      </c>
      <c r="K14485" s="1" t="str">
        <f>"2026-07-29 13:18:01"</f>
        <v>2026-07-29 13:18:01</v>
      </c>
      <c r="L14485" s="1" t="str">
        <f>"2019-10-28 15:33:05"</f>
        <v>2019-10-28 15:33:05</v>
      </c>
      <c r="M14485" s="1" t="s">
        <v>45</v>
      </c>
      <c r="N14485" s="1" t="s">
        <v>38</v>
      </c>
      <c r="O14485" s="1" t="s">
        <v>46</v>
      </c>
    </row>
    <row r="14486" spans="2:15" x14ac:dyDescent="0.3">
      <c r="B14486" s="1" t="s">
        <v>19</v>
      </c>
      <c r="C14486" s="1" t="str">
        <f>"3차"</f>
        <v>3차</v>
      </c>
      <c r="D14486" s="1" t="str">
        <f>"0127B05139"</f>
        <v>0127B05139</v>
      </c>
      <c r="E14486" s="1" t="s">
        <v>10</v>
      </c>
      <c r="F14486" s="1" t="str">
        <f>"10.12.132.184"</f>
        <v>10.12.132.184</v>
      </c>
      <c r="G14486" s="1" t="str">
        <f>"0127B051"</f>
        <v>0127B051</v>
      </c>
      <c r="H14486" s="1" t="str">
        <f>"동미간 35R10R4"</f>
        <v>동미간 35R10R4</v>
      </c>
      <c r="I14486" s="1" t="s">
        <v>8</v>
      </c>
      <c r="J14486" s="1" t="str">
        <f>"97/98"</f>
        <v>97/98</v>
      </c>
      <c r="K14486" s="1" t="str">
        <f>"2026-07-29 13:18:02"</f>
        <v>2026-07-29 13:18:02</v>
      </c>
      <c r="L14486" s="1" t="str">
        <f>"2018-09-14 11:55:41"</f>
        <v>2018-09-14 11:55:41</v>
      </c>
      <c r="M14486" s="1" t="s">
        <v>0</v>
      </c>
      <c r="N14486" s="1" t="s">
        <v>38</v>
      </c>
      <c r="O14486" s="1" t="s">
        <v>46</v>
      </c>
    </row>
    <row r="14487" spans="2:15" x14ac:dyDescent="0.3">
      <c r="B14487" s="1" t="s">
        <v>19</v>
      </c>
      <c r="C14487" s="1" t="str">
        <f>"4차"</f>
        <v>4차</v>
      </c>
      <c r="D14487" s="1" t="str">
        <f>"0127B05244"</f>
        <v>0127B05244</v>
      </c>
      <c r="E14487" s="1" t="s">
        <v>10</v>
      </c>
      <c r="F14487" s="1" t="str">
        <f>"10.107.252.88"</f>
        <v>10.107.252.88</v>
      </c>
      <c r="G14487" s="1" t="str">
        <f>"0127B052"</f>
        <v>0127B052</v>
      </c>
      <c r="H14487" s="1" t="str">
        <f>"동미간 35R7"</f>
        <v>동미간 35R7</v>
      </c>
      <c r="I14487" s="1" t="s">
        <v>8</v>
      </c>
      <c r="J14487" s="1" t="str">
        <f>"62/62"</f>
        <v>62/62</v>
      </c>
      <c r="K14487" s="1" t="str">
        <f>"2026-07-29 13:18:01"</f>
        <v>2026-07-29 13:18:01</v>
      </c>
      <c r="L14487" s="1" t="str">
        <f>"2019-10-31 16:43:03"</f>
        <v>2019-10-31 16:43:03</v>
      </c>
      <c r="M14487" s="1" t="s">
        <v>45</v>
      </c>
      <c r="N14487" s="1" t="s">
        <v>38</v>
      </c>
      <c r="O14487" s="1" t="s">
        <v>46</v>
      </c>
    </row>
    <row r="14488" spans="2:15" x14ac:dyDescent="0.3">
      <c r="B14488" s="1" t="s">
        <v>19</v>
      </c>
      <c r="C14488" s="1" t="str">
        <f>"4차"</f>
        <v>4차</v>
      </c>
      <c r="D14488" s="1" t="str">
        <f>"0127B08144"</f>
        <v>0127B08144</v>
      </c>
      <c r="E14488" s="1" t="s">
        <v>10</v>
      </c>
      <c r="F14488" s="1" t="str">
        <f>"10.107.252.89"</f>
        <v>10.107.252.89</v>
      </c>
      <c r="G14488" s="1" t="str">
        <f>"0127B081"</f>
        <v>0127B081</v>
      </c>
      <c r="H14488" s="1" t="str">
        <f>"동미간 35R9L2L2"</f>
        <v>동미간 35R9L2L2</v>
      </c>
      <c r="I14488" s="1" t="s">
        <v>8</v>
      </c>
      <c r="J14488" s="1" t="str">
        <f>"77/77"</f>
        <v>77/77</v>
      </c>
      <c r="K14488" s="1" t="str">
        <f>"2026-07-29 13:18:01"</f>
        <v>2026-07-29 13:18:01</v>
      </c>
      <c r="L14488" s="1" t="str">
        <f>"2019-10-31 14:33:04"</f>
        <v>2019-10-31 14:33:04</v>
      </c>
      <c r="M14488" s="1" t="s">
        <v>45</v>
      </c>
      <c r="N14488" s="1" t="s">
        <v>38</v>
      </c>
      <c r="O14488" s="1" t="s">
        <v>46</v>
      </c>
    </row>
    <row r="14489" spans="2:15" x14ac:dyDescent="0.3">
      <c r="B14489" s="1" t="s">
        <v>19</v>
      </c>
      <c r="C14489" s="1" t="str">
        <f>"4차"</f>
        <v>4차</v>
      </c>
      <c r="D14489" s="1" t="str">
        <f>"0127B16244"</f>
        <v>0127B16244</v>
      </c>
      <c r="E14489" s="1" t="s">
        <v>10</v>
      </c>
      <c r="F14489" s="1" t="str">
        <f>"10.107.252.98"</f>
        <v>10.107.252.98</v>
      </c>
      <c r="G14489" s="1" t="str">
        <f>"0127B162"</f>
        <v>0127B162</v>
      </c>
      <c r="H14489" s="1" t="str">
        <f>"동미간 35R10R2"</f>
        <v>동미간 35R10R2</v>
      </c>
      <c r="I14489" s="1" t="s">
        <v>8</v>
      </c>
      <c r="J14489" s="1" t="str">
        <f>"35/36"</f>
        <v>35/36</v>
      </c>
      <c r="K14489" s="1" t="str">
        <f>"2026-07-29 13:18:01"</f>
        <v>2026-07-29 13:18:01</v>
      </c>
      <c r="L14489" s="1" t="str">
        <f>"2019-12-24 17:36:32"</f>
        <v>2019-12-24 17:36:32</v>
      </c>
      <c r="M14489" s="1" t="s">
        <v>45</v>
      </c>
      <c r="N14489" s="1" t="s">
        <v>38</v>
      </c>
      <c r="O14489" s="1" t="s">
        <v>46</v>
      </c>
    </row>
    <row r="14490" spans="2:15" x14ac:dyDescent="0.3">
      <c r="B14490" s="1" t="s">
        <v>19</v>
      </c>
      <c r="C14490" s="1" t="str">
        <f>"5-1차"</f>
        <v>5-1차</v>
      </c>
      <c r="D14490" s="1" t="str">
        <f>"0127B1715S"</f>
        <v>0127B1715S</v>
      </c>
      <c r="E14490" s="1" t="s">
        <v>10</v>
      </c>
      <c r="F14490" s="1" t="str">
        <f>"fde2:104:0:1bb:0:0:0:2"</f>
        <v>fde2:104:0:1bb:0:0:0:2</v>
      </c>
      <c r="G14490" s="1" t="str">
        <f>"0127B171"</f>
        <v>0127B171</v>
      </c>
      <c r="H14490" s="1" t="str">
        <f>"동미간 35R9"</f>
        <v>동미간 35R9</v>
      </c>
      <c r="I14490" s="1" t="s">
        <v>15</v>
      </c>
      <c r="J14490" s="1" t="str">
        <f>"61/61"</f>
        <v>61/61</v>
      </c>
      <c r="K14490" s="1" t="str">
        <f>"2026-07-29 14:20:32"</f>
        <v>2026-07-29 14:20:32</v>
      </c>
      <c r="L14490" s="1" t="str">
        <f>"2022-11-29 10:42:34"</f>
        <v>2022-11-29 10:42:34</v>
      </c>
      <c r="M14490" s="1" t="s">
        <v>42</v>
      </c>
      <c r="N14490" s="1" t="s">
        <v>38</v>
      </c>
      <c r="O14490" s="1" t="s">
        <v>46</v>
      </c>
    </row>
    <row r="14491" spans="2:15" x14ac:dyDescent="0.3">
      <c r="B14491" s="1" t="s">
        <v>19</v>
      </c>
      <c r="C14491" s="1" t="str">
        <f>"4차"</f>
        <v>4차</v>
      </c>
      <c r="D14491" s="1" t="str">
        <f>"0127B20339"</f>
        <v>0127B20339</v>
      </c>
      <c r="E14491" s="1" t="s">
        <v>10</v>
      </c>
      <c r="F14491" s="1" t="str">
        <f>"10.12.133.103"</f>
        <v>10.12.133.103</v>
      </c>
      <c r="G14491" s="1" t="str">
        <f>"0127B203"</f>
        <v>0127B203</v>
      </c>
      <c r="H14491" s="1" t="str">
        <f>"용문지 2R7L3L2"</f>
        <v>용문지 2R7L3L2</v>
      </c>
      <c r="I14491" s="1" t="s">
        <v>17</v>
      </c>
      <c r="J14491" s="1" t="str">
        <f>"111/129"</f>
        <v>111/129</v>
      </c>
      <c r="K14491" s="1" t="str">
        <f>"2026-07-29 13:18:02"</f>
        <v>2026-07-29 13:18:02</v>
      </c>
      <c r="L14491" s="1" t="str">
        <f>"2018-09-20 12:38:56"</f>
        <v>2018-09-20 12:38:56</v>
      </c>
      <c r="M14491" s="1" t="s">
        <v>0</v>
      </c>
      <c r="N14491" s="1" t="s">
        <v>38</v>
      </c>
      <c r="O14491" s="1" t="s">
        <v>46</v>
      </c>
    </row>
    <row r="14492" spans="2:15" x14ac:dyDescent="0.3">
      <c r="B14492" s="1" t="s">
        <v>19</v>
      </c>
      <c r="C14492" s="1" t="str">
        <f>"4차"</f>
        <v>4차</v>
      </c>
      <c r="D14492" s="1" t="str">
        <f>"0127B21141"</f>
        <v>0127B21141</v>
      </c>
      <c r="E14492" s="1" t="s">
        <v>10</v>
      </c>
      <c r="F14492" s="1" t="str">
        <f>"10.14.10.29"</f>
        <v>10.14.10.29</v>
      </c>
      <c r="G14492" s="1" t="str">
        <f>"0127B211"</f>
        <v>0127B211</v>
      </c>
      <c r="H14492" s="1" t="str">
        <f>"용문지 2R7L2L2"</f>
        <v>용문지 2R7L2L2</v>
      </c>
      <c r="I14492" s="1" t="s">
        <v>17</v>
      </c>
      <c r="J14492" s="1" t="str">
        <f>"84/84"</f>
        <v>84/84</v>
      </c>
      <c r="K14492" s="1" t="str">
        <f>"2026-07-29 13:18:02"</f>
        <v>2026-07-29 13:18:02</v>
      </c>
      <c r="L14492" s="1" t="str">
        <f>"2021-08-25 07:14:50"</f>
        <v>2021-08-25 07:14:50</v>
      </c>
      <c r="M14492" s="1" t="s">
        <v>3</v>
      </c>
      <c r="N14492" s="1" t="s">
        <v>38</v>
      </c>
      <c r="O14492" s="1" t="s">
        <v>46</v>
      </c>
    </row>
    <row r="14493" spans="2:15" x14ac:dyDescent="0.3">
      <c r="B14493" s="1" t="s">
        <v>19</v>
      </c>
      <c r="C14493" s="1" t="str">
        <f>"4차"</f>
        <v>4차</v>
      </c>
      <c r="D14493" s="1" t="str">
        <f>"0127B25144"</f>
        <v>0127B25144</v>
      </c>
      <c r="E14493" s="1" t="s">
        <v>10</v>
      </c>
      <c r="F14493" s="1" t="str">
        <f>"10.107.252.101"</f>
        <v>10.107.252.101</v>
      </c>
      <c r="G14493" s="1" t="str">
        <f>"0127B251"</f>
        <v>0127B251</v>
      </c>
      <c r="H14493" s="1" t="str">
        <f>"동미간 35R13"</f>
        <v>동미간 35R13</v>
      </c>
      <c r="I14493" s="1" t="s">
        <v>8</v>
      </c>
      <c r="J14493" s="1" t="str">
        <f>"33/33"</f>
        <v>33/33</v>
      </c>
      <c r="K14493" s="1" t="str">
        <f>"2026-07-29 13:18:01"</f>
        <v>2026-07-29 13:18:01</v>
      </c>
      <c r="L14493" s="1" t="str">
        <f>"2019-12-24 17:35:37"</f>
        <v>2019-12-24 17:35:37</v>
      </c>
      <c r="M14493" s="1" t="s">
        <v>45</v>
      </c>
      <c r="N14493" s="1" t="s">
        <v>38</v>
      </c>
      <c r="O14493" s="1" t="s">
        <v>46</v>
      </c>
    </row>
    <row r="14494" spans="2:15" x14ac:dyDescent="0.3">
      <c r="B14494" s="1" t="s">
        <v>19</v>
      </c>
      <c r="C14494" s="1" t="str">
        <f>"4차"</f>
        <v>4차</v>
      </c>
      <c r="D14494" s="1" t="str">
        <f>"0127B26344"</f>
        <v>0127B26344</v>
      </c>
      <c r="E14494" s="1" t="s">
        <v>10</v>
      </c>
      <c r="F14494" s="1" t="str">
        <f>"10.107.252.115"</f>
        <v>10.107.252.115</v>
      </c>
      <c r="G14494" s="1" t="str">
        <f>"0127B263"</f>
        <v>0127B263</v>
      </c>
      <c r="H14494" s="1" t="str">
        <f>"동미간 35R12L1"</f>
        <v>동미간 35R12L1</v>
      </c>
      <c r="I14494" s="1" t="s">
        <v>8</v>
      </c>
      <c r="J14494" s="1" t="str">
        <f>"27/27"</f>
        <v>27/27</v>
      </c>
      <c r="K14494" s="1" t="str">
        <f>"2026-07-29 13:18:01"</f>
        <v>2026-07-29 13:18:01</v>
      </c>
      <c r="L14494" s="1" t="str">
        <f>"2019-12-24 17:38:37"</f>
        <v>2019-12-24 17:38:37</v>
      </c>
      <c r="M14494" s="1" t="s">
        <v>45</v>
      </c>
      <c r="N14494" s="1" t="s">
        <v>38</v>
      </c>
      <c r="O14494" s="1" t="s">
        <v>46</v>
      </c>
    </row>
    <row r="14495" spans="2:15" x14ac:dyDescent="0.3">
      <c r="B14495" s="1" t="s">
        <v>19</v>
      </c>
      <c r="C14495" s="1" t="str">
        <f>"5-2차"</f>
        <v>5-2차</v>
      </c>
      <c r="D14495" s="1" t="str">
        <f>"0127B2925M"</f>
        <v>0127B2925M</v>
      </c>
      <c r="E14495" s="1" t="s">
        <v>10</v>
      </c>
      <c r="F14495" s="1" t="str">
        <f>"fde1:103:4:5a11:0:0:0:2"</f>
        <v>fde1:103:4:5a11:0:0:0:2</v>
      </c>
      <c r="G14495" s="1" t="str">
        <f>"0127B292"</f>
        <v>0127B292</v>
      </c>
      <c r="H14495" s="1" t="str">
        <f>"동미간 35R9L4"</f>
        <v>동미간 35R9L4</v>
      </c>
      <c r="I14495" s="1" t="s">
        <v>15</v>
      </c>
      <c r="J14495" s="1" t="str">
        <f>"50/51"</f>
        <v>50/51</v>
      </c>
      <c r="K14495" s="1" t="str">
        <f>"2026-07-29 14:20:19"</f>
        <v>2026-07-29 14:20:19</v>
      </c>
      <c r="L14495" s="1" t="str">
        <f>"2023-09-19 10:07:46"</f>
        <v>2023-09-19 10:07:46</v>
      </c>
      <c r="M14495" s="1" t="s">
        <v>4</v>
      </c>
      <c r="N14495" s="1" t="s">
        <v>38</v>
      </c>
      <c r="O14495" s="1" t="s">
        <v>46</v>
      </c>
    </row>
    <row r="14496" spans="2:15" x14ac:dyDescent="0.3">
      <c r="B14496" s="1" t="s">
        <v>19</v>
      </c>
      <c r="C14496" s="1" t="str">
        <f t="shared" ref="C14496:C14508" si="742">"4차"</f>
        <v>4차</v>
      </c>
      <c r="D14496" s="1" t="str">
        <f>"0127B32244"</f>
        <v>0127B32244</v>
      </c>
      <c r="E14496" s="1" t="s">
        <v>10</v>
      </c>
      <c r="F14496" s="1" t="str">
        <f>"10.107.12.80"</f>
        <v>10.107.12.80</v>
      </c>
      <c r="G14496" s="1" t="str">
        <f>"0127B322"</f>
        <v>0127B322</v>
      </c>
      <c r="H14496" s="1" t="str">
        <f>"용문지 2R4L2"</f>
        <v>용문지 2R4L2</v>
      </c>
      <c r="I14496" s="1" t="s">
        <v>8</v>
      </c>
      <c r="J14496" s="1" t="str">
        <f>"81/81"</f>
        <v>81/81</v>
      </c>
      <c r="K14496" s="1" t="str">
        <f>"2026-07-29 13:18:01"</f>
        <v>2026-07-29 13:18:01</v>
      </c>
      <c r="L14496" s="1" t="str">
        <f>"2019-11-12 20:20:28"</f>
        <v>2019-11-12 20:20:28</v>
      </c>
      <c r="M14496" s="1" t="s">
        <v>45</v>
      </c>
      <c r="N14496" s="1" t="s">
        <v>38</v>
      </c>
      <c r="O14496" s="1" t="s">
        <v>46</v>
      </c>
    </row>
    <row r="14497" spans="2:15" x14ac:dyDescent="0.3">
      <c r="B14497" s="1" t="s">
        <v>19</v>
      </c>
      <c r="C14497" s="1" t="str">
        <f t="shared" si="742"/>
        <v>4차</v>
      </c>
      <c r="D14497" s="1" t="str">
        <f>"0127B33144"</f>
        <v>0127B33144</v>
      </c>
      <c r="E14497" s="1" t="s">
        <v>10</v>
      </c>
      <c r="F14497" s="1" t="str">
        <f>"10.107.12.79"</f>
        <v>10.107.12.79</v>
      </c>
      <c r="G14497" s="1" t="str">
        <f>"0127B331"</f>
        <v>0127B331</v>
      </c>
      <c r="H14497" s="1" t="str">
        <f>"용문지 2R3"</f>
        <v>용문지 2R3</v>
      </c>
      <c r="I14497" s="1" t="s">
        <v>8</v>
      </c>
      <c r="J14497" s="1" t="str">
        <f>"44/48"</f>
        <v>44/48</v>
      </c>
      <c r="K14497" s="1" t="str">
        <f>"2026-07-29 13:18:02"</f>
        <v>2026-07-29 13:18:02</v>
      </c>
      <c r="L14497" s="1" t="str">
        <f>"2019-11-12 20:20:01"</f>
        <v>2019-11-12 20:20:01</v>
      </c>
      <c r="M14497" s="1" t="s">
        <v>45</v>
      </c>
      <c r="N14497" s="1" t="s">
        <v>38</v>
      </c>
      <c r="O14497" s="1" t="s">
        <v>46</v>
      </c>
    </row>
    <row r="14498" spans="2:15" x14ac:dyDescent="0.3">
      <c r="B14498" s="1" t="s">
        <v>19</v>
      </c>
      <c r="C14498" s="1" t="str">
        <f t="shared" si="742"/>
        <v>4차</v>
      </c>
      <c r="D14498" s="1" t="str">
        <f>"0127B40144"</f>
        <v>0127B40144</v>
      </c>
      <c r="E14498" s="1" t="s">
        <v>10</v>
      </c>
      <c r="F14498" s="1" t="str">
        <f>"10.107.12.78"</f>
        <v>10.107.12.78</v>
      </c>
      <c r="G14498" s="1" t="str">
        <f>"0127B401"</f>
        <v>0127B401</v>
      </c>
      <c r="H14498" s="1" t="str">
        <f>"용문지 2D6"</f>
        <v>용문지 2D6</v>
      </c>
      <c r="I14498" s="1" t="s">
        <v>8</v>
      </c>
      <c r="J14498" s="1" t="str">
        <f>"63/70"</f>
        <v>63/70</v>
      </c>
      <c r="K14498" s="1" t="str">
        <f>"2026-07-29 13:18:02"</f>
        <v>2026-07-29 13:18:02</v>
      </c>
      <c r="L14498" s="1" t="str">
        <f>"2019-11-12 20:18:29"</f>
        <v>2019-11-12 20:18:29</v>
      </c>
      <c r="M14498" s="1" t="s">
        <v>45</v>
      </c>
      <c r="N14498" s="1" t="s">
        <v>38</v>
      </c>
      <c r="O14498" s="1" t="s">
        <v>46</v>
      </c>
    </row>
    <row r="14499" spans="2:15" x14ac:dyDescent="0.3">
      <c r="B14499" s="1" t="s">
        <v>19</v>
      </c>
      <c r="C14499" s="1" t="str">
        <f t="shared" si="742"/>
        <v>4차</v>
      </c>
      <c r="D14499" s="1" t="str">
        <f>"0127B41344"</f>
        <v>0127B41344</v>
      </c>
      <c r="E14499" s="1" t="s">
        <v>10</v>
      </c>
      <c r="F14499" s="1" t="str">
        <f>"10.107.121.101"</f>
        <v>10.107.121.101</v>
      </c>
      <c r="G14499" s="1" t="str">
        <f>"0127B413"</f>
        <v>0127B413</v>
      </c>
      <c r="H14499" s="1" t="str">
        <f>"용문지 2D5"</f>
        <v>용문지 2D5</v>
      </c>
      <c r="I14499" s="1" t="s">
        <v>8</v>
      </c>
      <c r="J14499" s="1" t="str">
        <f>"30/30"</f>
        <v>30/30</v>
      </c>
      <c r="K14499" s="1" t="str">
        <f>"2026-07-29 13:18:01"</f>
        <v>2026-07-29 13:18:01</v>
      </c>
      <c r="L14499" s="1" t="str">
        <f>"2019-11-12 20:18:50"</f>
        <v>2019-11-12 20:18:50</v>
      </c>
      <c r="M14499" s="1" t="s">
        <v>45</v>
      </c>
      <c r="N14499" s="1" t="s">
        <v>38</v>
      </c>
      <c r="O14499" s="1" t="s">
        <v>46</v>
      </c>
    </row>
    <row r="14500" spans="2:15" x14ac:dyDescent="0.3">
      <c r="B14500" s="1" t="s">
        <v>19</v>
      </c>
      <c r="C14500" s="1" t="str">
        <f t="shared" si="742"/>
        <v>4차</v>
      </c>
      <c r="D14500" s="1" t="str">
        <f>"0127B42244"</f>
        <v>0127B42244</v>
      </c>
      <c r="E14500" s="1" t="s">
        <v>10</v>
      </c>
      <c r="F14500" s="1" t="str">
        <f>"10.107.121.102"</f>
        <v>10.107.121.102</v>
      </c>
      <c r="G14500" s="1" t="str">
        <f>"0127B422"</f>
        <v>0127B422</v>
      </c>
      <c r="H14500" s="1" t="str">
        <f>"용문지 6R1"</f>
        <v>용문지 6R1</v>
      </c>
      <c r="I14500" s="1" t="s">
        <v>8</v>
      </c>
      <c r="J14500" s="1" t="str">
        <f>"11/23"</f>
        <v>11/23</v>
      </c>
      <c r="K14500" s="1" t="str">
        <f>"2026-07-29 13:18:01"</f>
        <v>2026-07-29 13:18:01</v>
      </c>
      <c r="L14500" s="1" t="str">
        <f>"2019-12-13 09:00:10"</f>
        <v>2019-12-13 09:00:10</v>
      </c>
      <c r="M14500" s="1" t="s">
        <v>45</v>
      </c>
      <c r="N14500" s="1" t="s">
        <v>38</v>
      </c>
      <c r="O14500" s="1" t="s">
        <v>46</v>
      </c>
    </row>
    <row r="14501" spans="2:15" x14ac:dyDescent="0.3">
      <c r="B14501" s="1" t="s">
        <v>19</v>
      </c>
      <c r="C14501" s="1" t="str">
        <f t="shared" si="742"/>
        <v>4차</v>
      </c>
      <c r="D14501" s="1" t="str">
        <f>"0127B43544"</f>
        <v>0127B43544</v>
      </c>
      <c r="E14501" s="1" t="s">
        <v>10</v>
      </c>
      <c r="F14501" s="1" t="str">
        <f>"10.107.12.77"</f>
        <v>10.107.12.77</v>
      </c>
      <c r="G14501" s="1" t="str">
        <f>"0127B435"</f>
        <v>0127B435</v>
      </c>
      <c r="H14501" s="1" t="str">
        <f>"용문지 2D2R1"</f>
        <v>용문지 2D2R1</v>
      </c>
      <c r="I14501" s="1" t="s">
        <v>8</v>
      </c>
      <c r="J14501" s="1" t="str">
        <f>"45/45"</f>
        <v>45/45</v>
      </c>
      <c r="K14501" s="1" t="str">
        <f>"2026-07-29 13:18:01"</f>
        <v>2026-07-29 13:18:01</v>
      </c>
      <c r="L14501" s="1" t="str">
        <f>"2019-11-12 20:17:58"</f>
        <v>2019-11-12 20:17:58</v>
      </c>
      <c r="M14501" s="1" t="s">
        <v>45</v>
      </c>
      <c r="N14501" s="1" t="s">
        <v>38</v>
      </c>
      <c r="O14501" s="1" t="s">
        <v>46</v>
      </c>
    </row>
    <row r="14502" spans="2:15" x14ac:dyDescent="0.3">
      <c r="B14502" s="1" t="s">
        <v>19</v>
      </c>
      <c r="C14502" s="1" t="str">
        <f t="shared" si="742"/>
        <v>4차</v>
      </c>
      <c r="D14502" s="1" t="str">
        <f>"0127B44144"</f>
        <v>0127B44144</v>
      </c>
      <c r="E14502" s="1" t="s">
        <v>10</v>
      </c>
      <c r="F14502" s="1" t="str">
        <f>"10.107.121.103"</f>
        <v>10.107.121.103</v>
      </c>
      <c r="G14502" s="1" t="str">
        <f>"0127B441"</f>
        <v>0127B441</v>
      </c>
      <c r="H14502" s="1" t="str">
        <f>"용문지 2"</f>
        <v>용문지 2</v>
      </c>
      <c r="I14502" s="1" t="s">
        <v>8</v>
      </c>
      <c r="J14502" s="1" t="str">
        <f>"53/61"</f>
        <v>53/61</v>
      </c>
      <c r="K14502" s="1" t="str">
        <f>"2026-07-29 13:18:01"</f>
        <v>2026-07-29 13:18:01</v>
      </c>
      <c r="L14502" s="1" t="str">
        <f>"2019-11-12 20:19:02"</f>
        <v>2019-11-12 20:19:02</v>
      </c>
      <c r="M14502" s="1" t="s">
        <v>45</v>
      </c>
      <c r="N14502" s="1" t="s">
        <v>38</v>
      </c>
      <c r="O14502" s="1" t="s">
        <v>46</v>
      </c>
    </row>
    <row r="14503" spans="2:15" x14ac:dyDescent="0.3">
      <c r="B14503" s="1" t="s">
        <v>19</v>
      </c>
      <c r="C14503" s="1" t="str">
        <f t="shared" si="742"/>
        <v>4차</v>
      </c>
      <c r="D14503" s="1" t="str">
        <f>"0127B45245"</f>
        <v>0127B45245</v>
      </c>
      <c r="E14503" s="1" t="s">
        <v>10</v>
      </c>
      <c r="F14503" s="1" t="str">
        <f>"10.14.10.51"</f>
        <v>10.14.10.51</v>
      </c>
      <c r="G14503" s="1" t="str">
        <f>"0127B452"</f>
        <v>0127B452</v>
      </c>
      <c r="H14503" s="1" t="str">
        <f>"동소문 65"</f>
        <v>동소문 65</v>
      </c>
      <c r="I14503" s="1" t="s">
        <v>17</v>
      </c>
      <c r="J14503" s="1" t="str">
        <f>"11/11"</f>
        <v>11/11</v>
      </c>
      <c r="K14503" s="1" t="str">
        <f>"2026-07-29 13:18:03"</f>
        <v>2026-07-29 13:18:03</v>
      </c>
      <c r="L14503" s="1" t="str">
        <f>"2021-06-25 11:38:19"</f>
        <v>2021-06-25 11:38:19</v>
      </c>
      <c r="M14503" s="1" t="s">
        <v>3</v>
      </c>
      <c r="N14503" s="1" t="s">
        <v>38</v>
      </c>
      <c r="O14503" s="1" t="s">
        <v>46</v>
      </c>
    </row>
    <row r="14504" spans="2:15" x14ac:dyDescent="0.3">
      <c r="B14504" s="1" t="s">
        <v>19</v>
      </c>
      <c r="C14504" s="1" t="str">
        <f t="shared" si="742"/>
        <v>4차</v>
      </c>
      <c r="D14504" s="1" t="str">
        <f>"0127B45344"</f>
        <v>0127B45344</v>
      </c>
      <c r="E14504" s="1" t="s">
        <v>10</v>
      </c>
      <c r="F14504" s="1" t="str">
        <f>"10.107.121.104"</f>
        <v>10.107.121.104</v>
      </c>
      <c r="G14504" s="1" t="str">
        <f>"0127B453"</f>
        <v>0127B453</v>
      </c>
      <c r="H14504" s="1" t="str">
        <f>"용문지 1A1"</f>
        <v>용문지 1A1</v>
      </c>
      <c r="I14504" s="1" t="s">
        <v>8</v>
      </c>
      <c r="J14504" s="1" t="str">
        <f>"17/19"</f>
        <v>17/19</v>
      </c>
      <c r="K14504" s="1" t="str">
        <f>"2026-07-29 13:18:01"</f>
        <v>2026-07-29 13:18:01</v>
      </c>
      <c r="L14504" s="1" t="str">
        <f>"2019-11-12 20:17:25"</f>
        <v>2019-11-12 20:17:25</v>
      </c>
      <c r="M14504" s="1" t="s">
        <v>45</v>
      </c>
      <c r="N14504" s="1" t="s">
        <v>38</v>
      </c>
      <c r="O14504" s="1" t="s">
        <v>46</v>
      </c>
    </row>
    <row r="14505" spans="2:15" x14ac:dyDescent="0.3">
      <c r="B14505" s="1" t="s">
        <v>19</v>
      </c>
      <c r="C14505" s="1" t="str">
        <f t="shared" si="742"/>
        <v>4차</v>
      </c>
      <c r="D14505" s="1" t="str">
        <f>"0127B50344"</f>
        <v>0127B50344</v>
      </c>
      <c r="E14505" s="1" t="s">
        <v>10</v>
      </c>
      <c r="F14505" s="1" t="str">
        <f>"10.107.121.105"</f>
        <v>10.107.121.105</v>
      </c>
      <c r="G14505" s="1" t="str">
        <f>"0127B503"</f>
        <v>0127B503</v>
      </c>
      <c r="H14505" s="1" t="str">
        <f>"용문지 9"</f>
        <v>용문지 9</v>
      </c>
      <c r="I14505" s="1" t="s">
        <v>8</v>
      </c>
      <c r="J14505" s="1" t="str">
        <f>"79/85"</f>
        <v>79/85</v>
      </c>
      <c r="K14505" s="1" t="str">
        <f>"2026-07-29 13:18:01"</f>
        <v>2026-07-29 13:18:01</v>
      </c>
      <c r="L14505" s="1" t="str">
        <f>"2019-11-12 20:25:28"</f>
        <v>2019-11-12 20:25:28</v>
      </c>
      <c r="M14505" s="1" t="s">
        <v>45</v>
      </c>
      <c r="N14505" s="1" t="s">
        <v>38</v>
      </c>
      <c r="O14505" s="1" t="s">
        <v>46</v>
      </c>
    </row>
    <row r="14506" spans="2:15" x14ac:dyDescent="0.3">
      <c r="B14506" s="1" t="s">
        <v>19</v>
      </c>
      <c r="C14506" s="1" t="str">
        <f t="shared" si="742"/>
        <v>4차</v>
      </c>
      <c r="D14506" s="1" t="str">
        <f>"0127B51144"</f>
        <v>0127B51144</v>
      </c>
      <c r="E14506" s="1" t="s">
        <v>10</v>
      </c>
      <c r="F14506" s="1" t="str">
        <f>"10.107.121.106"</f>
        <v>10.107.121.106</v>
      </c>
      <c r="G14506" s="1" t="str">
        <f>"0127B511"</f>
        <v>0127B511</v>
      </c>
      <c r="H14506" s="1" t="str">
        <f>"용문지 7"</f>
        <v>용문지 7</v>
      </c>
      <c r="I14506" s="1" t="s">
        <v>8</v>
      </c>
      <c r="J14506" s="1" t="str">
        <f>"83/83"</f>
        <v>83/83</v>
      </c>
      <c r="K14506" s="1" t="str">
        <f>"2026-07-29 13:18:01"</f>
        <v>2026-07-29 13:18:01</v>
      </c>
      <c r="L14506" s="1" t="str">
        <f>"2019-11-12 20:40:01"</f>
        <v>2019-11-12 20:40:01</v>
      </c>
      <c r="M14506" s="1" t="s">
        <v>45</v>
      </c>
      <c r="N14506" s="1" t="s">
        <v>38</v>
      </c>
      <c r="O14506" s="1" t="s">
        <v>46</v>
      </c>
    </row>
    <row r="14507" spans="2:15" x14ac:dyDescent="0.3">
      <c r="B14507" s="1" t="s">
        <v>19</v>
      </c>
      <c r="C14507" s="1" t="str">
        <f t="shared" si="742"/>
        <v>4차</v>
      </c>
      <c r="D14507" s="1" t="str">
        <f>"0127B51244"</f>
        <v>0127B51244</v>
      </c>
      <c r="E14507" s="1" t="s">
        <v>10</v>
      </c>
      <c r="F14507" s="1" t="str">
        <f>"10.107.121.107"</f>
        <v>10.107.121.107</v>
      </c>
      <c r="G14507" s="1" t="str">
        <f>"0127B512"</f>
        <v>0127B512</v>
      </c>
      <c r="H14507" s="1" t="str">
        <f>"용문지 6L2"</f>
        <v>용문지 6L2</v>
      </c>
      <c r="I14507" s="1" t="s">
        <v>8</v>
      </c>
      <c r="J14507" s="1" t="str">
        <f>"56/56"</f>
        <v>56/56</v>
      </c>
      <c r="K14507" s="1" t="str">
        <f>"2026-07-29 13:18:01"</f>
        <v>2026-07-29 13:18:01</v>
      </c>
      <c r="L14507" s="1" t="str">
        <f>"2019-11-12 14:29:04"</f>
        <v>2019-11-12 14:29:04</v>
      </c>
      <c r="M14507" s="1" t="s">
        <v>45</v>
      </c>
      <c r="N14507" s="1" t="s">
        <v>38</v>
      </c>
      <c r="O14507" s="1" t="s">
        <v>46</v>
      </c>
    </row>
    <row r="14508" spans="2:15" x14ac:dyDescent="0.3">
      <c r="B14508" s="1" t="s">
        <v>19</v>
      </c>
      <c r="C14508" s="1" t="str">
        <f t="shared" si="742"/>
        <v>4차</v>
      </c>
      <c r="D14508" s="1" t="str">
        <f>"0127B52244"</f>
        <v>0127B52244</v>
      </c>
      <c r="E14508" s="1" t="s">
        <v>10</v>
      </c>
      <c r="F14508" s="1" t="str">
        <f>"10.107.121.108"</f>
        <v>10.107.121.108</v>
      </c>
      <c r="G14508" s="1" t="str">
        <f>"0127B522"</f>
        <v>0127B522</v>
      </c>
      <c r="H14508" s="1" t="str">
        <f>"용문지 6L1"</f>
        <v>용문지 6L1</v>
      </c>
      <c r="I14508" s="1" t="s">
        <v>8</v>
      </c>
      <c r="J14508" s="1" t="str">
        <f>"36/36"</f>
        <v>36/36</v>
      </c>
      <c r="K14508" s="1" t="str">
        <f>"2026-07-29 13:18:01"</f>
        <v>2026-07-29 13:18:01</v>
      </c>
      <c r="L14508" s="1" t="str">
        <f>"2019-11-12 14:29:02"</f>
        <v>2019-11-12 14:29:02</v>
      </c>
      <c r="M14508" s="1" t="s">
        <v>45</v>
      </c>
      <c r="N14508" s="1" t="s">
        <v>38</v>
      </c>
      <c r="O14508" s="1" t="s">
        <v>46</v>
      </c>
    </row>
    <row r="14509" spans="2:15" x14ac:dyDescent="0.3">
      <c r="B14509" s="1" t="s">
        <v>19</v>
      </c>
      <c r="C14509" s="1" t="str">
        <f>"3차"</f>
        <v>3차</v>
      </c>
      <c r="D14509" s="1" t="str">
        <f>"0127B53239"</f>
        <v>0127B53239</v>
      </c>
      <c r="E14509" s="1" t="s">
        <v>10</v>
      </c>
      <c r="F14509" s="1" t="str">
        <f>"10.12.137.43"</f>
        <v>10.12.137.43</v>
      </c>
      <c r="G14509" s="1" t="str">
        <f>"0127B532"</f>
        <v>0127B532</v>
      </c>
      <c r="H14509" s="1" t="str">
        <f>"용문지 5"</f>
        <v>용문지 5</v>
      </c>
      <c r="I14509" s="1" t="s">
        <v>8</v>
      </c>
      <c r="J14509" s="1" t="str">
        <f>"151/154"</f>
        <v>151/154</v>
      </c>
      <c r="K14509" s="1" t="str">
        <f>"2026-07-29 13:18:02"</f>
        <v>2026-07-29 13:18:02</v>
      </c>
      <c r="L14509" s="1" t="str">
        <f>"2018-09-12 16:38:57"</f>
        <v>2018-09-12 16:38:57</v>
      </c>
      <c r="M14509" s="1" t="s">
        <v>0</v>
      </c>
      <c r="N14509" s="1" t="s">
        <v>38</v>
      </c>
      <c r="O14509" s="1" t="s">
        <v>46</v>
      </c>
    </row>
    <row r="14510" spans="2:15" x14ac:dyDescent="0.3">
      <c r="B14510" s="1" t="s">
        <v>19</v>
      </c>
      <c r="C14510" s="1" t="str">
        <f>"3차"</f>
        <v>3차</v>
      </c>
      <c r="D14510" s="1" t="str">
        <f>"0127B54139"</f>
        <v>0127B54139</v>
      </c>
      <c r="E14510" s="1" t="s">
        <v>10</v>
      </c>
      <c r="F14510" s="1" t="str">
        <f>"10.14.3.119"</f>
        <v>10.14.3.119</v>
      </c>
      <c r="G14510" s="1" t="str">
        <f>"0127B541"</f>
        <v>0127B541</v>
      </c>
      <c r="H14510" s="1" t="str">
        <f>"용문지 3"</f>
        <v>용문지 3</v>
      </c>
      <c r="I14510" s="1" t="s">
        <v>8</v>
      </c>
      <c r="J14510" s="1" t="str">
        <f>"44/44"</f>
        <v>44/44</v>
      </c>
      <c r="K14510" s="1" t="str">
        <f>"2026-07-29 13:18:02"</f>
        <v>2026-07-29 13:18:02</v>
      </c>
      <c r="L14510" s="1" t="str">
        <f>"2018-04-20 13:05:12"</f>
        <v>2018-04-20 13:05:12</v>
      </c>
      <c r="M14510" s="1" t="s">
        <v>3</v>
      </c>
      <c r="N14510" s="1" t="s">
        <v>38</v>
      </c>
      <c r="O14510" s="1" t="s">
        <v>46</v>
      </c>
    </row>
    <row r="14511" spans="2:15" x14ac:dyDescent="0.3">
      <c r="B14511" s="1" t="s">
        <v>19</v>
      </c>
      <c r="C14511" s="1" t="str">
        <f>"3차"</f>
        <v>3차</v>
      </c>
      <c r="D14511" s="1" t="str">
        <f>"0127B55139"</f>
        <v>0127B55139</v>
      </c>
      <c r="E14511" s="1" t="s">
        <v>10</v>
      </c>
      <c r="F14511" s="1" t="str">
        <f>"10.12.136.176"</f>
        <v>10.12.136.176</v>
      </c>
      <c r="G14511" s="1" t="str">
        <f>"0127B551"</f>
        <v>0127B551</v>
      </c>
      <c r="H14511" s="1" t="str">
        <f>"용문지 3A1"</f>
        <v>용문지 3A1</v>
      </c>
      <c r="I14511" s="1" t="s">
        <v>8</v>
      </c>
      <c r="J14511" s="1" t="str">
        <f>"125/125"</f>
        <v>125/125</v>
      </c>
      <c r="K14511" s="1" t="str">
        <f>"2026-07-29 13:18:02"</f>
        <v>2026-07-29 13:18:02</v>
      </c>
      <c r="L14511" s="1" t="str">
        <f>"2018-09-12 17:42:47"</f>
        <v>2018-09-12 17:42:47</v>
      </c>
      <c r="M14511" s="1" t="s">
        <v>0</v>
      </c>
      <c r="N14511" s="1" t="s">
        <v>38</v>
      </c>
      <c r="O14511" s="1" t="s">
        <v>46</v>
      </c>
    </row>
    <row r="14512" spans="2:15" x14ac:dyDescent="0.3">
      <c r="B14512" s="1" t="s">
        <v>19</v>
      </c>
      <c r="C14512" s="1" t="str">
        <f>"4차"</f>
        <v>4차</v>
      </c>
      <c r="D14512" s="1" t="str">
        <f>"0127B57245"</f>
        <v>0127B57245</v>
      </c>
      <c r="E14512" s="1" t="s">
        <v>14</v>
      </c>
      <c r="F14512" s="1" t="str">
        <f>"10.14.2.54"</f>
        <v>10.14.2.54</v>
      </c>
      <c r="G14512" s="1" t="str">
        <f>"0127B572"</f>
        <v>0127B572</v>
      </c>
      <c r="H14512" s="1" t="str">
        <f>"동소문 67"</f>
        <v>동소문 67</v>
      </c>
      <c r="I14512" s="1" t="s">
        <v>17</v>
      </c>
      <c r="J14512" s="1" t="str">
        <f>"0/0"</f>
        <v>0/0</v>
      </c>
      <c r="K14512" s="1" t="str">
        <f>"2026-07-29 13:18:02"</f>
        <v>2026-07-29 13:18:02</v>
      </c>
      <c r="L14512" s="1" t="str">
        <f>"2021-06-25 12:16:55"</f>
        <v>2021-06-25 12:16:55</v>
      </c>
      <c r="M14512" s="1" t="s">
        <v>3</v>
      </c>
      <c r="N14512" s="1" t="s">
        <v>38</v>
      </c>
      <c r="O14512" s="1" t="s">
        <v>44</v>
      </c>
    </row>
    <row r="14513" spans="2:15" x14ac:dyDescent="0.3">
      <c r="B14513" s="1" t="s">
        <v>19</v>
      </c>
      <c r="C14513" s="1" t="str">
        <f>"4차"</f>
        <v>4차</v>
      </c>
      <c r="D14513" s="1" t="str">
        <f>"0127B62144"</f>
        <v>0127B62144</v>
      </c>
      <c r="E14513" s="1" t="s">
        <v>10</v>
      </c>
      <c r="F14513" s="1" t="str">
        <f>"10.107.121.109"</f>
        <v>10.107.121.109</v>
      </c>
      <c r="G14513" s="1" t="str">
        <f>"0127B621"</f>
        <v>0127B621</v>
      </c>
      <c r="H14513" s="1" t="str">
        <f>"용문지 6L1L1"</f>
        <v>용문지 6L1L1</v>
      </c>
      <c r="I14513" s="1" t="s">
        <v>8</v>
      </c>
      <c r="J14513" s="1" t="str">
        <f>"24/24"</f>
        <v>24/24</v>
      </c>
      <c r="K14513" s="1" t="str">
        <f>"2026-07-29 13:18:01"</f>
        <v>2026-07-29 13:18:01</v>
      </c>
      <c r="L14513" s="1" t="str">
        <f>"2019-11-12 14:33:04"</f>
        <v>2019-11-12 14:33:04</v>
      </c>
      <c r="M14513" s="1" t="s">
        <v>45</v>
      </c>
      <c r="N14513" s="1" t="s">
        <v>38</v>
      </c>
      <c r="O14513" s="1" t="s">
        <v>46</v>
      </c>
    </row>
    <row r="14514" spans="2:15" x14ac:dyDescent="0.3">
      <c r="B14514" s="1" t="s">
        <v>19</v>
      </c>
      <c r="C14514" s="1" t="str">
        <f>"4차"</f>
        <v>4차</v>
      </c>
      <c r="D14514" s="1" t="str">
        <f>"0127B63144"</f>
        <v>0127B63144</v>
      </c>
      <c r="E14514" s="1" t="s">
        <v>10</v>
      </c>
      <c r="F14514" s="1" t="str">
        <f>"10.107.121.110"</f>
        <v>10.107.121.110</v>
      </c>
      <c r="G14514" s="1" t="str">
        <f>"0127B631"</f>
        <v>0127B631</v>
      </c>
      <c r="H14514" s="1" t="str">
        <f>"용문지 3L1R1"</f>
        <v>용문지 3L1R1</v>
      </c>
      <c r="I14514" s="1" t="s">
        <v>8</v>
      </c>
      <c r="J14514" s="1" t="str">
        <f>"51/51"</f>
        <v>51/51</v>
      </c>
      <c r="K14514" s="1" t="str">
        <f>"2026-07-29 13:18:01"</f>
        <v>2026-07-29 13:18:01</v>
      </c>
      <c r="L14514" s="1" t="str">
        <f>"2019-11-12 14:33:04"</f>
        <v>2019-11-12 14:33:04</v>
      </c>
      <c r="M14514" s="1" t="s">
        <v>45</v>
      </c>
      <c r="N14514" s="1" t="s">
        <v>38</v>
      </c>
      <c r="O14514" s="1" t="s">
        <v>46</v>
      </c>
    </row>
    <row r="14515" spans="2:15" x14ac:dyDescent="0.3">
      <c r="B14515" s="1" t="s">
        <v>19</v>
      </c>
      <c r="C14515" s="1" t="str">
        <f>"4차"</f>
        <v>4차</v>
      </c>
      <c r="D14515" s="1" t="str">
        <f>"0127B64144"</f>
        <v>0127B64144</v>
      </c>
      <c r="E14515" s="1" t="s">
        <v>10</v>
      </c>
      <c r="F14515" s="1" t="str">
        <f>"10.107.121.111"</f>
        <v>10.107.121.111</v>
      </c>
      <c r="G14515" s="1" t="str">
        <f>"0127B641"</f>
        <v>0127B641</v>
      </c>
      <c r="H14515" s="1" t="str">
        <f>"용문지 3L1"</f>
        <v>용문지 3L1</v>
      </c>
      <c r="I14515" s="1" t="s">
        <v>8</v>
      </c>
      <c r="J14515" s="1" t="str">
        <f>"55/56"</f>
        <v>55/56</v>
      </c>
      <c r="K14515" s="1" t="str">
        <f>"2026-07-29 13:18:01"</f>
        <v>2026-07-29 13:18:01</v>
      </c>
      <c r="L14515" s="1" t="str">
        <f>"2019-11-12 14:33:48"</f>
        <v>2019-11-12 14:33:48</v>
      </c>
      <c r="M14515" s="1" t="s">
        <v>45</v>
      </c>
      <c r="N14515" s="1" t="s">
        <v>38</v>
      </c>
      <c r="O14515" s="1" t="s">
        <v>46</v>
      </c>
    </row>
    <row r="14516" spans="2:15" x14ac:dyDescent="0.3">
      <c r="B14516" s="1" t="s">
        <v>19</v>
      </c>
      <c r="C14516" s="1" t="str">
        <f>"5-2차"</f>
        <v>5-2차</v>
      </c>
      <c r="D14516" s="1" t="str">
        <f>"0127B6425M"</f>
        <v>0127B6425M</v>
      </c>
      <c r="E14516" s="1" t="s">
        <v>10</v>
      </c>
      <c r="F14516" s="1" t="str">
        <f>"fde1:103:4:5a10:0:0:0:2"</f>
        <v>fde1:103:4:5a10:0:0:0:2</v>
      </c>
      <c r="G14516" s="1" t="str">
        <f>"0127B642"</f>
        <v>0127B642</v>
      </c>
      <c r="H14516" s="1" t="str">
        <f>"용문지 3L2"</f>
        <v>용문지 3L2</v>
      </c>
      <c r="I14516" s="1" t="s">
        <v>15</v>
      </c>
      <c r="J14516" s="1" t="str">
        <f>"52/53"</f>
        <v>52/53</v>
      </c>
      <c r="K14516" s="1" t="str">
        <f>"2026-07-29 14:20:01"</f>
        <v>2026-07-29 14:20:01</v>
      </c>
      <c r="L14516" s="1" t="str">
        <f>"2023-09-19 10:22:33"</f>
        <v>2023-09-19 10:22:33</v>
      </c>
      <c r="M14516" s="1" t="s">
        <v>4</v>
      </c>
      <c r="N14516" s="1" t="s">
        <v>38</v>
      </c>
      <c r="O14516" s="1" t="s">
        <v>46</v>
      </c>
    </row>
    <row r="14517" spans="2:15" x14ac:dyDescent="0.3">
      <c r="B14517" s="1" t="s">
        <v>19</v>
      </c>
      <c r="C14517" s="1" t="str">
        <f>"4차"</f>
        <v>4차</v>
      </c>
      <c r="D14517" s="1" t="str">
        <f>"0127B65144"</f>
        <v>0127B65144</v>
      </c>
      <c r="E14517" s="1" t="s">
        <v>10</v>
      </c>
      <c r="F14517" s="1" t="str">
        <f>"10.107.121.112"</f>
        <v>10.107.121.112</v>
      </c>
      <c r="G14517" s="1" t="str">
        <f>"0127B651"</f>
        <v>0127B651</v>
      </c>
      <c r="H14517" s="1" t="str">
        <f>"용문지 3L1L1"</f>
        <v>용문지 3L1L1</v>
      </c>
      <c r="I14517" s="1" t="s">
        <v>8</v>
      </c>
      <c r="J14517" s="1" t="str">
        <f>"61/61"</f>
        <v>61/61</v>
      </c>
      <c r="K14517" s="1" t="str">
        <f>"2026-07-29 13:18:01"</f>
        <v>2026-07-29 13:18:01</v>
      </c>
      <c r="L14517" s="1" t="str">
        <f>"2019-11-12 20:19:57"</f>
        <v>2019-11-12 20:19:57</v>
      </c>
      <c r="M14517" s="1" t="s">
        <v>45</v>
      </c>
      <c r="N14517" s="1" t="s">
        <v>38</v>
      </c>
      <c r="O14517" s="1" t="s">
        <v>46</v>
      </c>
    </row>
    <row r="14518" spans="2:15" x14ac:dyDescent="0.3">
      <c r="B14518" s="1" t="s">
        <v>19</v>
      </c>
      <c r="C14518" s="1" t="str">
        <f>"4차"</f>
        <v>4차</v>
      </c>
      <c r="D14518" s="1" t="str">
        <f>"0127B66144"</f>
        <v>0127B66144</v>
      </c>
      <c r="E14518" s="1" t="s">
        <v>10</v>
      </c>
      <c r="F14518" s="1" t="str">
        <f>"10.107.121.113"</f>
        <v>10.107.121.113</v>
      </c>
      <c r="G14518" s="1" t="str">
        <f>"0127B661"</f>
        <v>0127B661</v>
      </c>
      <c r="H14518" s="1" t="str">
        <f>"용문지 3L1L2"</f>
        <v>용문지 3L1L2</v>
      </c>
      <c r="I14518" s="1" t="s">
        <v>8</v>
      </c>
      <c r="J14518" s="1" t="str">
        <f>"29/29"</f>
        <v>29/29</v>
      </c>
      <c r="K14518" s="1" t="str">
        <f>"2026-07-29 13:18:01"</f>
        <v>2026-07-29 13:18:01</v>
      </c>
      <c r="L14518" s="1" t="str">
        <f>"2019-11-12 20:25:03"</f>
        <v>2019-11-12 20:25:03</v>
      </c>
      <c r="M14518" s="1" t="s">
        <v>45</v>
      </c>
      <c r="N14518" s="1" t="s">
        <v>38</v>
      </c>
      <c r="O14518" s="1" t="s">
        <v>46</v>
      </c>
    </row>
    <row r="14519" spans="2:15" x14ac:dyDescent="0.3">
      <c r="B14519" s="1" t="s">
        <v>19</v>
      </c>
      <c r="C14519" s="1" t="str">
        <f>"4차"</f>
        <v>4차</v>
      </c>
      <c r="D14519" s="1" t="str">
        <f>"0127B67144"</f>
        <v>0127B67144</v>
      </c>
      <c r="E14519" s="1" t="s">
        <v>10</v>
      </c>
      <c r="F14519" s="1" t="str">
        <f>"10.107.121.114"</f>
        <v>10.107.121.114</v>
      </c>
      <c r="G14519" s="1" t="str">
        <f>"0127B671"</f>
        <v>0127B671</v>
      </c>
      <c r="H14519" s="1" t="str">
        <f>"용문지 3L1L3"</f>
        <v>용문지 3L1L3</v>
      </c>
      <c r="I14519" s="1" t="s">
        <v>8</v>
      </c>
      <c r="J14519" s="1" t="str">
        <f>"98/98"</f>
        <v>98/98</v>
      </c>
      <c r="K14519" s="1" t="str">
        <f>"2026-07-29 13:18:01"</f>
        <v>2026-07-29 13:18:01</v>
      </c>
      <c r="L14519" s="1" t="str">
        <f>"2019-11-12 20:27:52"</f>
        <v>2019-11-12 20:27:52</v>
      </c>
      <c r="M14519" s="1" t="s">
        <v>45</v>
      </c>
      <c r="N14519" s="1" t="s">
        <v>38</v>
      </c>
      <c r="O14519" s="1" t="s">
        <v>46</v>
      </c>
    </row>
    <row r="14520" spans="2:15" x14ac:dyDescent="0.3">
      <c r="B14520" s="1" t="s">
        <v>19</v>
      </c>
      <c r="C14520" s="1" t="str">
        <f>"5-1차"</f>
        <v>5-1차</v>
      </c>
      <c r="D14520" s="1" t="str">
        <f>"0127B8615M"</f>
        <v>0127B8615M</v>
      </c>
      <c r="E14520" s="1" t="s">
        <v>10</v>
      </c>
      <c r="F14520" s="1" t="str">
        <f>"fde2:104:0:7e:0:0:0:2"</f>
        <v>fde2:104:0:7e:0:0:0:2</v>
      </c>
      <c r="G14520" s="1" t="str">
        <f>"0127B861"</f>
        <v>0127B861</v>
      </c>
      <c r="H14520" s="1" t="str">
        <f>"개운간 5"</f>
        <v>개운간 5</v>
      </c>
      <c r="I14520" s="1" t="s">
        <v>15</v>
      </c>
      <c r="J14520" s="1" t="str">
        <f>"58/58"</f>
        <v>58/58</v>
      </c>
      <c r="K14520" s="1" t="str">
        <f>"2026-07-29 14:20:33"</f>
        <v>2026-07-29 14:20:33</v>
      </c>
      <c r="L14520" s="1" t="str">
        <f>"2022-08-30 18:07:50"</f>
        <v>2022-08-30 18:07:50</v>
      </c>
      <c r="M14520" s="1" t="s">
        <v>42</v>
      </c>
      <c r="N14520" s="1" t="s">
        <v>38</v>
      </c>
      <c r="O14520" s="1" t="s">
        <v>46</v>
      </c>
    </row>
    <row r="14521" spans="2:15" x14ac:dyDescent="0.3">
      <c r="B14521" s="1" t="s">
        <v>19</v>
      </c>
      <c r="C14521" s="1" t="str">
        <f>"5-2차"</f>
        <v>5-2차</v>
      </c>
      <c r="D14521" s="1" t="str">
        <f>"0127B8645M"</f>
        <v>0127B8645M</v>
      </c>
      <c r="E14521" s="1" t="s">
        <v>10</v>
      </c>
      <c r="F14521" s="1" t="str">
        <f>"fde1:103:4:59f2:0:0:0:2"</f>
        <v>fde1:103:4:59f2:0:0:0:2</v>
      </c>
      <c r="G14521" s="1" t="str">
        <f>"0127B864"</f>
        <v>0127B864</v>
      </c>
      <c r="H14521" s="1" t="str">
        <f>"개운간 6H1"</f>
        <v>개운간 6H1</v>
      </c>
      <c r="I14521" s="1" t="s">
        <v>15</v>
      </c>
      <c r="J14521" s="1" t="str">
        <f>"44/44"</f>
        <v>44/44</v>
      </c>
      <c r="K14521" s="1" t="str">
        <f>"2026-07-29 14:20:37"</f>
        <v>2026-07-29 14:20:37</v>
      </c>
      <c r="L14521" s="1" t="str">
        <f>"2023-09-19 10:23:19"</f>
        <v>2023-09-19 10:23:19</v>
      </c>
      <c r="M14521" s="1" t="s">
        <v>4</v>
      </c>
      <c r="N14521" s="1" t="s">
        <v>38</v>
      </c>
      <c r="O14521" s="1" t="s">
        <v>46</v>
      </c>
    </row>
    <row r="14522" spans="2:15" x14ac:dyDescent="0.3">
      <c r="B14522" s="1" t="s">
        <v>19</v>
      </c>
      <c r="C14522" s="1" t="str">
        <f>"4차"</f>
        <v>4차</v>
      </c>
      <c r="D14522" s="1" t="str">
        <f>"0127C06239"</f>
        <v>0127C06239</v>
      </c>
      <c r="E14522" s="1" t="s">
        <v>10</v>
      </c>
      <c r="F14522" s="1" t="str">
        <f>"10.12.136.114"</f>
        <v>10.12.136.114</v>
      </c>
      <c r="G14522" s="1" t="str">
        <f>"0127C062"</f>
        <v>0127C062</v>
      </c>
      <c r="H14522" s="1" t="str">
        <f>"동소문 54"</f>
        <v>동소문 54</v>
      </c>
      <c r="I14522" s="1" t="s">
        <v>17</v>
      </c>
      <c r="J14522" s="1" t="str">
        <f>"21/21"</f>
        <v>21/21</v>
      </c>
      <c r="K14522" s="1" t="str">
        <f>"2026-07-29 13:18:03"</f>
        <v>2026-07-29 13:18:03</v>
      </c>
      <c r="L14522" s="1" t="str">
        <f>"2018-05-28 10:48:11"</f>
        <v>2018-05-28 10:48:11</v>
      </c>
      <c r="M14522" s="1" t="s">
        <v>0</v>
      </c>
      <c r="N14522" s="1" t="s">
        <v>38</v>
      </c>
      <c r="O14522" s="1" t="s">
        <v>46</v>
      </c>
    </row>
    <row r="14523" spans="2:15" x14ac:dyDescent="0.3">
      <c r="B14523" s="1" t="s">
        <v>19</v>
      </c>
      <c r="C14523" s="1" t="str">
        <f>"5-2차"</f>
        <v>5-2차</v>
      </c>
      <c r="D14523" s="1" t="str">
        <f>"0127C0715M"</f>
        <v>0127C0715M</v>
      </c>
      <c r="E14523" s="1" t="s">
        <v>10</v>
      </c>
      <c r="F14523" s="1" t="str">
        <f>"fde3:102:1410:6100:0:0:0:3"</f>
        <v>fde3:102:1410:6100:0:0:0:3</v>
      </c>
      <c r="G14523" s="1" t="str">
        <f>"0127C071"</f>
        <v>0127C071</v>
      </c>
      <c r="H14523" s="1" t="str">
        <f>"동미간 19"</f>
        <v>동미간 19</v>
      </c>
      <c r="I14523" s="1" t="s">
        <v>15</v>
      </c>
      <c r="J14523" s="1" t="str">
        <f>"65/65"</f>
        <v>65/65</v>
      </c>
      <c r="K14523" s="1" t="str">
        <f>"2026-07-29 14:20:37"</f>
        <v>2026-07-29 14:20:37</v>
      </c>
      <c r="L14523" s="1" t="str">
        <f>"2023-06-19 18:29:00"</f>
        <v>2023-06-19 18:29:00</v>
      </c>
      <c r="M14523" s="1" t="s">
        <v>45</v>
      </c>
      <c r="N14523" s="1" t="s">
        <v>38</v>
      </c>
      <c r="O14523" s="1" t="s">
        <v>46</v>
      </c>
    </row>
    <row r="14524" spans="2:15" x14ac:dyDescent="0.3">
      <c r="B14524" s="1" t="s">
        <v>19</v>
      </c>
      <c r="C14524" s="1" t="str">
        <f>"5-2차"</f>
        <v>5-2차</v>
      </c>
      <c r="D14524" s="1" t="str">
        <f>"0127C0955M"</f>
        <v>0127C0955M</v>
      </c>
      <c r="E14524" s="1" t="s">
        <v>10</v>
      </c>
      <c r="F14524" s="1" t="str">
        <f>"fde1:103:4:5a5f:0:0:0:2"</f>
        <v>fde1:103:4:5a5f:0:0:0:2</v>
      </c>
      <c r="G14524" s="1" t="str">
        <f>"0127C095"</f>
        <v>0127C095</v>
      </c>
      <c r="H14524" s="1" t="str">
        <f>"동미간 24L3L1"</f>
        <v>동미간 24L3L1</v>
      </c>
      <c r="I14524" s="1" t="s">
        <v>15</v>
      </c>
      <c r="J14524" s="1" t="str">
        <f>"89/89"</f>
        <v>89/89</v>
      </c>
      <c r="K14524" s="1" t="str">
        <f>"2026-07-29 14:20:32"</f>
        <v>2026-07-29 14:20:32</v>
      </c>
      <c r="L14524" s="1" t="str">
        <f>"2023-09-19 10:41:39"</f>
        <v>2023-09-19 10:41:39</v>
      </c>
      <c r="M14524" s="1" t="s">
        <v>4</v>
      </c>
      <c r="N14524" s="1" t="s">
        <v>38</v>
      </c>
      <c r="O14524" s="1" t="s">
        <v>46</v>
      </c>
    </row>
    <row r="14525" spans="2:15" x14ac:dyDescent="0.3">
      <c r="B14525" s="1" t="s">
        <v>19</v>
      </c>
      <c r="C14525" s="1" t="str">
        <f>"3차"</f>
        <v>3차</v>
      </c>
      <c r="D14525" s="1" t="str">
        <f>"0127C10139"</f>
        <v>0127C10139</v>
      </c>
      <c r="E14525" s="1" t="s">
        <v>10</v>
      </c>
      <c r="F14525" s="1" t="str">
        <f>"10.107.8.28"</f>
        <v>10.107.8.28</v>
      </c>
      <c r="G14525" s="1" t="str">
        <f>"0127C101"</f>
        <v>0127C101</v>
      </c>
      <c r="H14525" s="1" t="str">
        <f>"보문지 17R1"</f>
        <v>보문지 17R1</v>
      </c>
      <c r="I14525" s="1" t="s">
        <v>8</v>
      </c>
      <c r="J14525" s="1" t="str">
        <f>"110/111"</f>
        <v>110/111</v>
      </c>
      <c r="K14525" s="1" t="str">
        <f>"2026-07-29 13:18:01"</f>
        <v>2026-07-29 13:18:01</v>
      </c>
      <c r="L14525" s="1" t="str">
        <f>"2018-03-26 15:59:10"</f>
        <v>2018-03-26 15:59:10</v>
      </c>
      <c r="M14525" s="1" t="s">
        <v>45</v>
      </c>
      <c r="N14525" s="1" t="s">
        <v>38</v>
      </c>
      <c r="O14525" s="1" t="s">
        <v>46</v>
      </c>
    </row>
    <row r="14526" spans="2:15" x14ac:dyDescent="0.3">
      <c r="B14526" s="1" t="s">
        <v>19</v>
      </c>
      <c r="C14526" s="1" t="str">
        <f>"5-2차"</f>
        <v>5-2차</v>
      </c>
      <c r="D14526" s="1" t="str">
        <f>"0127C1235M"</f>
        <v>0127C1235M</v>
      </c>
      <c r="E14526" s="1" t="s">
        <v>10</v>
      </c>
      <c r="F14526" s="1" t="str">
        <f>"fde1:103:4:5a51:0:0:0:2"</f>
        <v>fde1:103:4:5a51:0:0:0:2</v>
      </c>
      <c r="G14526" s="1" t="str">
        <f>"0127C123"</f>
        <v>0127C123</v>
      </c>
      <c r="H14526" s="1" t="str">
        <f>"보문지 15"</f>
        <v>보문지 15</v>
      </c>
      <c r="I14526" s="1" t="s">
        <v>15</v>
      </c>
      <c r="J14526" s="1" t="str">
        <f>"86/86"</f>
        <v>86/86</v>
      </c>
      <c r="K14526" s="1" t="str">
        <f>"2026-07-29 14:20:01"</f>
        <v>2026-07-29 14:20:01</v>
      </c>
      <c r="L14526" s="1" t="str">
        <f>"2023-09-19 10:44:05"</f>
        <v>2023-09-19 10:44:05</v>
      </c>
      <c r="M14526" s="1" t="s">
        <v>4</v>
      </c>
      <c r="N14526" s="1" t="s">
        <v>38</v>
      </c>
      <c r="O14526" s="1" t="s">
        <v>46</v>
      </c>
    </row>
    <row r="14527" spans="2:15" x14ac:dyDescent="0.3">
      <c r="B14527" s="1" t="s">
        <v>19</v>
      </c>
      <c r="C14527" s="1" t="str">
        <f>"5-2차"</f>
        <v>5-2차</v>
      </c>
      <c r="D14527" s="1" t="str">
        <f>"0127C1255M"</f>
        <v>0127C1255M</v>
      </c>
      <c r="E14527" s="1" t="s">
        <v>10</v>
      </c>
      <c r="F14527" s="1" t="str">
        <f>"fde1:103:4:5a4a:0:0:0:2"</f>
        <v>fde1:103:4:5a4a:0:0:0:2</v>
      </c>
      <c r="G14527" s="1" t="str">
        <f>"0127C125"</f>
        <v>0127C125</v>
      </c>
      <c r="H14527" s="1" t="str">
        <f>"보문지 14"</f>
        <v>보문지 14</v>
      </c>
      <c r="I14527" s="1" t="s">
        <v>15</v>
      </c>
      <c r="J14527" s="1" t="str">
        <f>"153/153"</f>
        <v>153/153</v>
      </c>
      <c r="K14527" s="1" t="str">
        <f>"2026-07-29 14:20:31"</f>
        <v>2026-07-29 14:20:31</v>
      </c>
      <c r="L14527" s="1" t="str">
        <f>"2023-09-19 10:58:48"</f>
        <v>2023-09-19 10:58:48</v>
      </c>
      <c r="M14527" s="1" t="s">
        <v>4</v>
      </c>
      <c r="N14527" s="1" t="s">
        <v>38</v>
      </c>
      <c r="O14527" s="1" t="s">
        <v>46</v>
      </c>
    </row>
    <row r="14528" spans="2:15" x14ac:dyDescent="0.3">
      <c r="B14528" s="1" t="s">
        <v>19</v>
      </c>
      <c r="C14528" s="1" t="str">
        <f>"4차"</f>
        <v>4차</v>
      </c>
      <c r="D14528" s="1" t="str">
        <f>"0127C15141"</f>
        <v>0127C15141</v>
      </c>
      <c r="E14528" s="1" t="s">
        <v>10</v>
      </c>
      <c r="F14528" s="1" t="str">
        <f>"10.12.129.155"</f>
        <v>10.12.129.155</v>
      </c>
      <c r="G14528" s="1" t="str">
        <f>"0127C151"</f>
        <v>0127C151</v>
      </c>
      <c r="H14528" s="1" t="str">
        <f>"안암간 4R1"</f>
        <v>안암간 4R1</v>
      </c>
      <c r="I14528" s="1" t="s">
        <v>17</v>
      </c>
      <c r="J14528" s="1" t="str">
        <f>"15/20"</f>
        <v>15/20</v>
      </c>
      <c r="K14528" s="1" t="str">
        <f>"2026-07-29 13:18:02"</f>
        <v>2026-07-29 13:18:02</v>
      </c>
      <c r="L14528" s="1" t="str">
        <f>"2021-08-25 06:58:39"</f>
        <v>2021-08-25 06:58:39</v>
      </c>
      <c r="M14528" s="1" t="s">
        <v>0</v>
      </c>
      <c r="N14528" s="1" t="s">
        <v>38</v>
      </c>
      <c r="O14528" s="1" t="s">
        <v>46</v>
      </c>
    </row>
    <row r="14529" spans="2:15" x14ac:dyDescent="0.3">
      <c r="B14529" s="1" t="s">
        <v>19</v>
      </c>
      <c r="C14529" s="1" t="str">
        <f>"4차"</f>
        <v>4차</v>
      </c>
      <c r="D14529" s="1" t="str">
        <f>"0127C17239"</f>
        <v>0127C17239</v>
      </c>
      <c r="E14529" s="1" t="s">
        <v>10</v>
      </c>
      <c r="F14529" s="1" t="str">
        <f>"10.12.137.67"</f>
        <v>10.12.137.67</v>
      </c>
      <c r="G14529" s="1" t="str">
        <f>"0127C172"</f>
        <v>0127C172</v>
      </c>
      <c r="H14529" s="1" t="str">
        <f>"동소문 55"</f>
        <v>동소문 55</v>
      </c>
      <c r="I14529" s="1" t="s">
        <v>17</v>
      </c>
      <c r="J14529" s="1" t="str">
        <f>"3/3"</f>
        <v>3/3</v>
      </c>
      <c r="K14529" s="1" t="str">
        <f>"2026-07-29 13:18:02"</f>
        <v>2026-07-29 13:18:02</v>
      </c>
      <c r="L14529" s="1" t="str">
        <f>"2018-05-28 11:00:11"</f>
        <v>2018-05-28 11:00:11</v>
      </c>
      <c r="M14529" s="1" t="s">
        <v>0</v>
      </c>
      <c r="N14529" s="1" t="s">
        <v>38</v>
      </c>
      <c r="O14529" s="1" t="s">
        <v>46</v>
      </c>
    </row>
    <row r="14530" spans="2:15" x14ac:dyDescent="0.3">
      <c r="B14530" s="1" t="s">
        <v>19</v>
      </c>
      <c r="C14530" s="1" t="str">
        <f>"4차"</f>
        <v>4차</v>
      </c>
      <c r="D14530" s="1" t="str">
        <f>"0127C19141"</f>
        <v>0127C19141</v>
      </c>
      <c r="E14530" s="1" t="s">
        <v>10</v>
      </c>
      <c r="F14530" s="1" t="str">
        <f>"10.14.12.18"</f>
        <v>10.14.12.18</v>
      </c>
      <c r="G14530" s="1" t="str">
        <f>"0127C191"</f>
        <v>0127C191</v>
      </c>
      <c r="H14530" s="1" t="str">
        <f>"동미간 24L2"</f>
        <v>동미간 24L2</v>
      </c>
      <c r="I14530" s="1" t="s">
        <v>17</v>
      </c>
      <c r="J14530" s="1" t="str">
        <f>"20/26"</f>
        <v>20/26</v>
      </c>
      <c r="K14530" s="1" t="str">
        <f>"2026-07-29 13:18:03"</f>
        <v>2026-07-29 13:18:03</v>
      </c>
      <c r="L14530" s="1" t="str">
        <f>"2021-10-15 15:06:58"</f>
        <v>2021-10-15 15:06:58</v>
      </c>
      <c r="M14530" s="1" t="s">
        <v>3</v>
      </c>
      <c r="N14530" s="1" t="s">
        <v>38</v>
      </c>
      <c r="O14530" s="1" t="s">
        <v>46</v>
      </c>
    </row>
    <row r="14531" spans="2:15" x14ac:dyDescent="0.3">
      <c r="B14531" s="1" t="s">
        <v>19</v>
      </c>
      <c r="C14531" s="1" t="str">
        <f>"4차"</f>
        <v>4차</v>
      </c>
      <c r="D14531" s="1" t="str">
        <f>"0127C20139"</f>
        <v>0127C20139</v>
      </c>
      <c r="E14531" s="1" t="s">
        <v>10</v>
      </c>
      <c r="F14531" s="1" t="str">
        <f>"10.107.8.14"</f>
        <v>10.107.8.14</v>
      </c>
      <c r="G14531" s="1" t="str">
        <f>"0127C201"</f>
        <v>0127C201</v>
      </c>
      <c r="H14531" s="1" t="str">
        <f>"보문지 18"</f>
        <v>보문지 18</v>
      </c>
      <c r="I14531" s="1" t="s">
        <v>8</v>
      </c>
      <c r="J14531" s="1" t="str">
        <f>"22/22"</f>
        <v>22/22</v>
      </c>
      <c r="K14531" s="1" t="str">
        <f>"2026-07-29 13:18:01"</f>
        <v>2026-07-29 13:18:01</v>
      </c>
      <c r="L14531" s="1" t="str">
        <f>"2018-04-02 11:41:14"</f>
        <v>2018-04-02 11:41:14</v>
      </c>
      <c r="M14531" s="1" t="s">
        <v>45</v>
      </c>
      <c r="N14531" s="1" t="s">
        <v>38</v>
      </c>
      <c r="O14531" s="1" t="s">
        <v>46</v>
      </c>
    </row>
    <row r="14532" spans="2:15" x14ac:dyDescent="0.3">
      <c r="B14532" s="1" t="s">
        <v>19</v>
      </c>
      <c r="C14532" s="1" t="str">
        <f>"3차"</f>
        <v>3차</v>
      </c>
      <c r="D14532" s="1" t="str">
        <f>"0127C21439"</f>
        <v>0127C21439</v>
      </c>
      <c r="E14532" s="1" t="s">
        <v>10</v>
      </c>
      <c r="F14532" s="1" t="str">
        <f>"10.107.8.27"</f>
        <v>10.107.8.27</v>
      </c>
      <c r="G14532" s="1" t="str">
        <f>"0127C214"</f>
        <v>0127C214</v>
      </c>
      <c r="H14532" s="1" t="str">
        <f>"보문지 17"</f>
        <v>보문지 17</v>
      </c>
      <c r="I14532" s="1" t="s">
        <v>8</v>
      </c>
      <c r="J14532" s="1" t="str">
        <f>"44/45"</f>
        <v>44/45</v>
      </c>
      <c r="K14532" s="1" t="str">
        <f>"2026-07-29 13:18:01"</f>
        <v>2026-07-29 13:18:01</v>
      </c>
      <c r="L14532" s="1" t="str">
        <f>"2018-03-26 15:30:10"</f>
        <v>2018-03-26 15:30:10</v>
      </c>
      <c r="M14532" s="1" t="s">
        <v>45</v>
      </c>
      <c r="N14532" s="1" t="s">
        <v>38</v>
      </c>
      <c r="O14532" s="1" t="s">
        <v>46</v>
      </c>
    </row>
    <row r="14533" spans="2:15" x14ac:dyDescent="0.3">
      <c r="B14533" s="1" t="s">
        <v>19</v>
      </c>
      <c r="C14533" s="1" t="str">
        <f>"5-2차"</f>
        <v>5-2차</v>
      </c>
      <c r="D14533" s="1" t="str">
        <f>"0127C2215M"</f>
        <v>0127C2215M</v>
      </c>
      <c r="E14533" s="1" t="s">
        <v>10</v>
      </c>
      <c r="F14533" s="1" t="str">
        <f>"fde1:103:4:5a40:0:0:0:2"</f>
        <v>fde1:103:4:5a40:0:0:0:2</v>
      </c>
      <c r="G14533" s="1" t="str">
        <f>"0127C221"</f>
        <v>0127C221</v>
      </c>
      <c r="H14533" s="1" t="str">
        <f>"보문지 16L1"</f>
        <v>보문지 16L1</v>
      </c>
      <c r="I14533" s="1" t="s">
        <v>15</v>
      </c>
      <c r="J14533" s="1" t="str">
        <f>"52/52"</f>
        <v>52/52</v>
      </c>
      <c r="K14533" s="1" t="str">
        <f>"2026-07-29 14:20:32"</f>
        <v>2026-07-29 14:20:32</v>
      </c>
      <c r="L14533" s="1" t="str">
        <f>"2023-09-19 10:59:15"</f>
        <v>2023-09-19 10:59:15</v>
      </c>
      <c r="M14533" s="1" t="s">
        <v>4</v>
      </c>
      <c r="N14533" s="1" t="s">
        <v>38</v>
      </c>
      <c r="O14533" s="1" t="s">
        <v>46</v>
      </c>
    </row>
    <row r="14534" spans="2:15" x14ac:dyDescent="0.3">
      <c r="B14534" s="1" t="s">
        <v>19</v>
      </c>
      <c r="C14534" s="1" t="str">
        <f>"5-2차"</f>
        <v>5-2차</v>
      </c>
      <c r="D14534" s="1" t="str">
        <f>"0127C2225S"</f>
        <v>0127C2225S</v>
      </c>
      <c r="E14534" s="1" t="s">
        <v>10</v>
      </c>
      <c r="F14534" s="1" t="str">
        <f>"fde1:103:4:59a7:0:0:0:2"</f>
        <v>fde1:103:4:59a7:0:0:0:2</v>
      </c>
      <c r="G14534" s="1" t="str">
        <f>"0127C222"</f>
        <v>0127C222</v>
      </c>
      <c r="H14534" s="1" t="str">
        <f>"보문지 16L2"</f>
        <v>보문지 16L2</v>
      </c>
      <c r="I14534" s="1" t="s">
        <v>15</v>
      </c>
      <c r="J14534" s="1" t="str">
        <f>"63/63"</f>
        <v>63/63</v>
      </c>
      <c r="K14534" s="1" t="str">
        <f>"2026-07-29 14:20:01"</f>
        <v>2026-07-29 14:20:01</v>
      </c>
      <c r="L14534" s="1" t="str">
        <f>"2023-09-19 11:12:25"</f>
        <v>2023-09-19 11:12:25</v>
      </c>
      <c r="M14534" s="1" t="s">
        <v>4</v>
      </c>
      <c r="N14534" s="1" t="s">
        <v>38</v>
      </c>
      <c r="O14534" s="1" t="s">
        <v>46</v>
      </c>
    </row>
    <row r="14535" spans="2:15" x14ac:dyDescent="0.3">
      <c r="B14535" s="1" t="s">
        <v>19</v>
      </c>
      <c r="C14535" s="1" t="str">
        <f>"5-2차"</f>
        <v>5-2차</v>
      </c>
      <c r="D14535" s="1" t="str">
        <f>"0127C2415M"</f>
        <v>0127C2415M</v>
      </c>
      <c r="E14535" s="1" t="s">
        <v>10</v>
      </c>
      <c r="F14535" s="1" t="str">
        <f>"fde1:103:4:599e:0:0:0:2"</f>
        <v>fde1:103:4:599e:0:0:0:2</v>
      </c>
      <c r="G14535" s="1" t="str">
        <f>"0127C241"</f>
        <v>0127C241</v>
      </c>
      <c r="H14535" s="1" t="str">
        <f>"보문지 13L1"</f>
        <v>보문지 13L1</v>
      </c>
      <c r="I14535" s="1" t="s">
        <v>15</v>
      </c>
      <c r="J14535" s="1" t="str">
        <f>"31/49"</f>
        <v>31/49</v>
      </c>
      <c r="K14535" s="1" t="str">
        <f>"2026-07-29 14:20:31"</f>
        <v>2026-07-29 14:20:31</v>
      </c>
      <c r="L14535" s="1" t="str">
        <f>"2023-09-19 11:12:55"</f>
        <v>2023-09-19 11:12:55</v>
      </c>
      <c r="M14535" s="1" t="s">
        <v>4</v>
      </c>
      <c r="N14535" s="1" t="s">
        <v>38</v>
      </c>
      <c r="O14535" s="1" t="s">
        <v>46</v>
      </c>
    </row>
    <row r="14536" spans="2:15" x14ac:dyDescent="0.3">
      <c r="B14536" s="1" t="s">
        <v>19</v>
      </c>
      <c r="C14536" s="1" t="str">
        <f>"4차"</f>
        <v>4차</v>
      </c>
      <c r="D14536" s="1" t="str">
        <f>"0127C25341"</f>
        <v>0127C25341</v>
      </c>
      <c r="E14536" s="1" t="s">
        <v>10</v>
      </c>
      <c r="F14536" s="1" t="str">
        <f>"10.14.14.1"</f>
        <v>10.14.14.1</v>
      </c>
      <c r="G14536" s="1" t="str">
        <f>"0127C253"</f>
        <v>0127C253</v>
      </c>
      <c r="H14536" s="1" t="str">
        <f>"안암간 6"</f>
        <v>안암간 6</v>
      </c>
      <c r="I14536" s="1" t="s">
        <v>17</v>
      </c>
      <c r="J14536" s="1" t="str">
        <f>"1/1"</f>
        <v>1/1</v>
      </c>
      <c r="K14536" s="1" t="str">
        <f>"2026-07-29 13:18:03"</f>
        <v>2026-07-29 13:18:03</v>
      </c>
      <c r="L14536" s="1" t="str">
        <f>"2021-08-25 08:08:15"</f>
        <v>2021-08-25 08:08:15</v>
      </c>
      <c r="M14536" s="1" t="s">
        <v>3</v>
      </c>
      <c r="N14536" s="1" t="s">
        <v>38</v>
      </c>
      <c r="O14536" s="1" t="s">
        <v>46</v>
      </c>
    </row>
    <row r="14537" spans="2:15" x14ac:dyDescent="0.3">
      <c r="B14537" s="1" t="s">
        <v>19</v>
      </c>
      <c r="C14537" s="1" t="str">
        <f>"4차"</f>
        <v>4차</v>
      </c>
      <c r="D14537" s="1" t="str">
        <f>"0127C28139"</f>
        <v>0127C28139</v>
      </c>
      <c r="E14537" s="1" t="s">
        <v>10</v>
      </c>
      <c r="F14537" s="1" t="str">
        <f>"10.12.136.77"</f>
        <v>10.12.136.77</v>
      </c>
      <c r="G14537" s="1" t="str">
        <f>"0127C281"</f>
        <v>0127C281</v>
      </c>
      <c r="H14537" s="1" t="str">
        <f>"동소문 14"</f>
        <v>동소문 14</v>
      </c>
      <c r="I14537" s="1" t="s">
        <v>17</v>
      </c>
      <c r="J14537" s="1" t="str">
        <f>"31/31"</f>
        <v>31/31</v>
      </c>
      <c r="K14537" s="1" t="str">
        <f>"2026-07-29 13:18:02"</f>
        <v>2026-07-29 13:18:02</v>
      </c>
      <c r="L14537" s="1" t="str">
        <f>"2018-05-28 09:42:27"</f>
        <v>2018-05-28 09:42:27</v>
      </c>
      <c r="M14537" s="1" t="s">
        <v>0</v>
      </c>
      <c r="N14537" s="1" t="s">
        <v>38</v>
      </c>
      <c r="O14537" s="1" t="s">
        <v>46</v>
      </c>
    </row>
    <row r="14538" spans="2:15" x14ac:dyDescent="0.3">
      <c r="B14538" s="1" t="s">
        <v>19</v>
      </c>
      <c r="C14538" s="1" t="str">
        <f>"4차"</f>
        <v>4차</v>
      </c>
      <c r="D14538" s="1" t="str">
        <f>"0127C29139"</f>
        <v>0127C29139</v>
      </c>
      <c r="E14538" s="1" t="s">
        <v>10</v>
      </c>
      <c r="F14538" s="1" t="str">
        <f>"10.107.252.51"</f>
        <v>10.107.252.51</v>
      </c>
      <c r="G14538" s="1" t="str">
        <f>"0127C291"</f>
        <v>0127C291</v>
      </c>
      <c r="H14538" s="1" t="str">
        <f>"동미간 23"</f>
        <v>동미간 23</v>
      </c>
      <c r="I14538" s="1" t="s">
        <v>8</v>
      </c>
      <c r="J14538" s="1" t="str">
        <f>"14/15"</f>
        <v>14/15</v>
      </c>
      <c r="K14538" s="1" t="str">
        <f t="shared" ref="K14538:K14544" si="743">"2026-07-29 13:18:01"</f>
        <v>2026-07-29 13:18:01</v>
      </c>
      <c r="L14538" s="1" t="str">
        <f>"2018-03-28 17:34:28"</f>
        <v>2018-03-28 17:34:28</v>
      </c>
      <c r="M14538" s="1" t="s">
        <v>45</v>
      </c>
      <c r="N14538" s="1" t="s">
        <v>38</v>
      </c>
      <c r="O14538" s="1" t="s">
        <v>46</v>
      </c>
    </row>
    <row r="14539" spans="2:15" x14ac:dyDescent="0.3">
      <c r="B14539" s="1" t="s">
        <v>19</v>
      </c>
      <c r="C14539" s="1" t="str">
        <f>"4차"</f>
        <v>4차</v>
      </c>
      <c r="D14539" s="1" t="str">
        <f>"0127C29239"</f>
        <v>0127C29239</v>
      </c>
      <c r="E14539" s="1" t="s">
        <v>10</v>
      </c>
      <c r="F14539" s="1" t="str">
        <f>"10.107.252.52"</f>
        <v>10.107.252.52</v>
      </c>
      <c r="G14539" s="1" t="str">
        <f>"0127C292"</f>
        <v>0127C292</v>
      </c>
      <c r="H14539" s="1" t="str">
        <f>"동미간 24"</f>
        <v>동미간 24</v>
      </c>
      <c r="I14539" s="1" t="s">
        <v>8</v>
      </c>
      <c r="J14539" s="1" t="str">
        <f>"60/60"</f>
        <v>60/60</v>
      </c>
      <c r="K14539" s="1" t="str">
        <f t="shared" si="743"/>
        <v>2026-07-29 13:18:01</v>
      </c>
      <c r="L14539" s="1" t="str">
        <f>"2018-03-28 19:06:30"</f>
        <v>2018-03-28 19:06:30</v>
      </c>
      <c r="M14539" s="1" t="s">
        <v>45</v>
      </c>
      <c r="N14539" s="1" t="s">
        <v>38</v>
      </c>
      <c r="O14539" s="1" t="s">
        <v>46</v>
      </c>
    </row>
    <row r="14540" spans="2:15" x14ac:dyDescent="0.3">
      <c r="B14540" s="1" t="s">
        <v>19</v>
      </c>
      <c r="C14540" s="1" t="str">
        <f>"4차"</f>
        <v>4차</v>
      </c>
      <c r="D14540" s="1" t="str">
        <f>"0127C30339"</f>
        <v>0127C30339</v>
      </c>
      <c r="E14540" s="1" t="s">
        <v>10</v>
      </c>
      <c r="F14540" s="1" t="str">
        <f>"10.107.8.24"</f>
        <v>10.107.8.24</v>
      </c>
      <c r="G14540" s="1" t="str">
        <f>"0127C303"</f>
        <v>0127C303</v>
      </c>
      <c r="H14540" s="1" t="str">
        <f>"보문지 17L1R2"</f>
        <v>보문지 17L1R2</v>
      </c>
      <c r="I14540" s="1" t="s">
        <v>8</v>
      </c>
      <c r="J14540" s="1" t="str">
        <f>"134/139"</f>
        <v>134/139</v>
      </c>
      <c r="K14540" s="1" t="str">
        <f t="shared" si="743"/>
        <v>2026-07-29 13:18:01</v>
      </c>
      <c r="L14540" s="1" t="str">
        <f>"2018-03-27 13:20:27"</f>
        <v>2018-03-27 13:20:27</v>
      </c>
      <c r="M14540" s="1" t="s">
        <v>45</v>
      </c>
      <c r="N14540" s="1" t="s">
        <v>38</v>
      </c>
      <c r="O14540" s="1" t="s">
        <v>46</v>
      </c>
    </row>
    <row r="14541" spans="2:15" x14ac:dyDescent="0.3">
      <c r="B14541" s="1" t="s">
        <v>19</v>
      </c>
      <c r="C14541" s="1" t="str">
        <f>"3차"</f>
        <v>3차</v>
      </c>
      <c r="D14541" s="1" t="str">
        <f>"0127C31139"</f>
        <v>0127C31139</v>
      </c>
      <c r="E14541" s="1" t="s">
        <v>10</v>
      </c>
      <c r="F14541" s="1" t="str">
        <f>"10.107.8.23"</f>
        <v>10.107.8.23</v>
      </c>
      <c r="G14541" s="1" t="str">
        <f>"0127C311"</f>
        <v>0127C311</v>
      </c>
      <c r="H14541" s="1" t="str">
        <f>"보문지 17L1"</f>
        <v>보문지 17L1</v>
      </c>
      <c r="I14541" s="1" t="s">
        <v>8</v>
      </c>
      <c r="J14541" s="1" t="str">
        <f>"21/21"</f>
        <v>21/21</v>
      </c>
      <c r="K14541" s="1" t="str">
        <f t="shared" si="743"/>
        <v>2026-07-29 13:18:01</v>
      </c>
      <c r="L14541" s="1" t="str">
        <f>"2018-03-26 16:12:11"</f>
        <v>2018-03-26 16:12:11</v>
      </c>
      <c r="M14541" s="1" t="s">
        <v>45</v>
      </c>
      <c r="N14541" s="1" t="s">
        <v>38</v>
      </c>
      <c r="O14541" s="1" t="s">
        <v>46</v>
      </c>
    </row>
    <row r="14542" spans="2:15" x14ac:dyDescent="0.3">
      <c r="B14542" s="1" t="s">
        <v>19</v>
      </c>
      <c r="C14542" s="1" t="str">
        <f>"4차"</f>
        <v>4차</v>
      </c>
      <c r="D14542" s="1" t="str">
        <f>"0127C31239"</f>
        <v>0127C31239</v>
      </c>
      <c r="E14542" s="1" t="s">
        <v>10</v>
      </c>
      <c r="F14542" s="1" t="str">
        <f>"10.107.8.25"</f>
        <v>10.107.8.25</v>
      </c>
      <c r="G14542" s="1" t="str">
        <f>"0127C312"</f>
        <v>0127C312</v>
      </c>
      <c r="H14542" s="1" t="str">
        <f>"보문지 17L2"</f>
        <v>보문지 17L2</v>
      </c>
      <c r="I14542" s="1" t="s">
        <v>8</v>
      </c>
      <c r="J14542" s="1" t="str">
        <f>"121/121"</f>
        <v>121/121</v>
      </c>
      <c r="K14542" s="1" t="str">
        <f t="shared" si="743"/>
        <v>2026-07-29 13:18:01</v>
      </c>
      <c r="L14542" s="1" t="str">
        <f>"2018-03-26 16:04:39"</f>
        <v>2018-03-26 16:04:39</v>
      </c>
      <c r="M14542" s="1" t="s">
        <v>45</v>
      </c>
      <c r="N14542" s="1" t="s">
        <v>38</v>
      </c>
      <c r="O14542" s="1" t="s">
        <v>46</v>
      </c>
    </row>
    <row r="14543" spans="2:15" x14ac:dyDescent="0.3">
      <c r="B14543" s="1" t="s">
        <v>19</v>
      </c>
      <c r="C14543" s="1" t="str">
        <f>"4차"</f>
        <v>4차</v>
      </c>
      <c r="D14543" s="1" t="str">
        <f>"0127C33244"</f>
        <v>0127C33244</v>
      </c>
      <c r="E14543" s="1" t="s">
        <v>10</v>
      </c>
      <c r="F14543" s="1" t="str">
        <f>"10.107.10.49"</f>
        <v>10.107.10.49</v>
      </c>
      <c r="G14543" s="1" t="str">
        <f>"0127C332"</f>
        <v>0127C332</v>
      </c>
      <c r="H14543" s="1" t="str">
        <f>"안암간 9R1"</f>
        <v>안암간 9R1</v>
      </c>
      <c r="I14543" s="1" t="s">
        <v>8</v>
      </c>
      <c r="J14543" s="1" t="str">
        <f>"1/1"</f>
        <v>1/1</v>
      </c>
      <c r="K14543" s="1" t="str">
        <f t="shared" si="743"/>
        <v>2026-07-29 13:18:01</v>
      </c>
      <c r="L14543" s="1" t="str">
        <f>"2019-11-12 20:16:48"</f>
        <v>2019-11-12 20:16:48</v>
      </c>
      <c r="M14543" s="1" t="s">
        <v>45</v>
      </c>
      <c r="N14543" s="1" t="s">
        <v>38</v>
      </c>
      <c r="O14543" s="1" t="s">
        <v>46</v>
      </c>
    </row>
    <row r="14544" spans="2:15" x14ac:dyDescent="0.3">
      <c r="B14544" s="1" t="s">
        <v>19</v>
      </c>
      <c r="C14544" s="1" t="str">
        <f>"4차"</f>
        <v>4차</v>
      </c>
      <c r="D14544" s="1" t="str">
        <f>"0127C34244"</f>
        <v>0127C34244</v>
      </c>
      <c r="E14544" s="1" t="s">
        <v>10</v>
      </c>
      <c r="F14544" s="1" t="str">
        <f>"10.107.119.162"</f>
        <v>10.107.119.162</v>
      </c>
      <c r="G14544" s="1" t="str">
        <f>"0127C342"</f>
        <v>0127C342</v>
      </c>
      <c r="H14544" s="1" t="str">
        <f>"안암간 9"</f>
        <v>안암간 9</v>
      </c>
      <c r="I14544" s="1" t="s">
        <v>8</v>
      </c>
      <c r="J14544" s="1" t="str">
        <f>"19/19"</f>
        <v>19/19</v>
      </c>
      <c r="K14544" s="1" t="str">
        <f t="shared" si="743"/>
        <v>2026-07-29 13:18:01</v>
      </c>
      <c r="L14544" s="1" t="str">
        <f>"2019-11-12 20:18:44"</f>
        <v>2019-11-12 20:18:44</v>
      </c>
      <c r="M14544" s="1" t="s">
        <v>45</v>
      </c>
      <c r="N14544" s="1" t="s">
        <v>38</v>
      </c>
      <c r="O14544" s="1" t="s">
        <v>46</v>
      </c>
    </row>
    <row r="14545" spans="2:15" x14ac:dyDescent="0.3">
      <c r="B14545" s="1" t="s">
        <v>19</v>
      </c>
      <c r="C14545" s="1" t="str">
        <f>"3차"</f>
        <v>3차</v>
      </c>
      <c r="D14545" s="1" t="str">
        <f>"0127C34439"</f>
        <v>0127C34439</v>
      </c>
      <c r="E14545" s="1" t="s">
        <v>10</v>
      </c>
      <c r="F14545" s="1" t="str">
        <f>"10.12.135.210"</f>
        <v>10.12.135.210</v>
      </c>
      <c r="G14545" s="1" t="str">
        <f>"0127C344"</f>
        <v>0127C344</v>
      </c>
      <c r="H14545" s="1" t="str">
        <f>"안암간 8L1"</f>
        <v>안암간 8L1</v>
      </c>
      <c r="I14545" s="1" t="s">
        <v>8</v>
      </c>
      <c r="J14545" s="1" t="str">
        <f>"3/4"</f>
        <v>3/4</v>
      </c>
      <c r="K14545" s="1" t="str">
        <f>"2026-07-29 13:18:04"</f>
        <v>2026-07-29 13:18:04</v>
      </c>
      <c r="L14545" s="1" t="str">
        <f>"2018-04-20 14:15:02"</f>
        <v>2018-04-20 14:15:02</v>
      </c>
      <c r="M14545" s="1" t="s">
        <v>0</v>
      </c>
      <c r="N14545" s="1" t="s">
        <v>38</v>
      </c>
      <c r="O14545" s="1" t="s">
        <v>46</v>
      </c>
    </row>
    <row r="14546" spans="2:15" x14ac:dyDescent="0.3">
      <c r="B14546" s="1" t="s">
        <v>19</v>
      </c>
      <c r="C14546" s="1" t="str">
        <f>"4차"</f>
        <v>4차</v>
      </c>
      <c r="D14546" s="1" t="str">
        <f>"0127C37341"</f>
        <v>0127C37341</v>
      </c>
      <c r="E14546" s="1" t="s">
        <v>10</v>
      </c>
      <c r="F14546" s="1" t="str">
        <f>"10.14.10.67"</f>
        <v>10.14.10.67</v>
      </c>
      <c r="G14546" s="1" t="str">
        <f>"0127C373"</f>
        <v>0127C373</v>
      </c>
      <c r="H14546" s="1" t="str">
        <f>"삼선지 2L4L3"</f>
        <v>삼선지 2L4L3</v>
      </c>
      <c r="I14546" s="1" t="s">
        <v>17</v>
      </c>
      <c r="J14546" s="1" t="str">
        <f>"10/10"</f>
        <v>10/10</v>
      </c>
      <c r="K14546" s="1" t="str">
        <f>"2026-07-29 13:18:03"</f>
        <v>2026-07-29 13:18:03</v>
      </c>
      <c r="L14546" s="1" t="str">
        <f>"2021-08-23 11:46:42"</f>
        <v>2021-08-23 11:46:42</v>
      </c>
      <c r="M14546" s="1" t="s">
        <v>3</v>
      </c>
      <c r="N14546" s="1" t="s">
        <v>38</v>
      </c>
      <c r="O14546" s="1" t="s">
        <v>46</v>
      </c>
    </row>
    <row r="14547" spans="2:15" x14ac:dyDescent="0.3">
      <c r="B14547" s="1" t="s">
        <v>19</v>
      </c>
      <c r="C14547" s="1" t="str">
        <f>"4차"</f>
        <v>4차</v>
      </c>
      <c r="D14547" s="1" t="str">
        <f>"0127C38139"</f>
        <v>0127C38139</v>
      </c>
      <c r="E14547" s="1" t="s">
        <v>10</v>
      </c>
      <c r="F14547" s="1" t="str">
        <f>"10.12.136.123"</f>
        <v>10.12.136.123</v>
      </c>
      <c r="G14547" s="1" t="str">
        <f>"0127C381"</f>
        <v>0127C381</v>
      </c>
      <c r="H14547" s="1" t="str">
        <f>"동소문 15"</f>
        <v>동소문 15</v>
      </c>
      <c r="I14547" s="1" t="s">
        <v>17</v>
      </c>
      <c r="J14547" s="1" t="str">
        <f>"1/3"</f>
        <v>1/3</v>
      </c>
      <c r="K14547" s="1" t="str">
        <f>"2026-07-29 13:18:02"</f>
        <v>2026-07-29 13:18:02</v>
      </c>
      <c r="L14547" s="1" t="str">
        <f>"2018-05-28 09:00:56"</f>
        <v>2018-05-28 09:00:56</v>
      </c>
      <c r="M14547" s="1" t="s">
        <v>0</v>
      </c>
      <c r="N14547" s="1" t="s">
        <v>38</v>
      </c>
      <c r="O14547" s="1" t="s">
        <v>46</v>
      </c>
    </row>
    <row r="14548" spans="2:15" x14ac:dyDescent="0.3">
      <c r="B14548" s="1" t="s">
        <v>19</v>
      </c>
      <c r="C14548" s="1" t="str">
        <f>"4차"</f>
        <v>4차</v>
      </c>
      <c r="D14548" s="1" t="str">
        <f>"0127C38339"</f>
        <v>0127C38339</v>
      </c>
      <c r="E14548" s="1" t="s">
        <v>10</v>
      </c>
      <c r="F14548" s="1" t="str">
        <f>"10.12.136.112"</f>
        <v>10.12.136.112</v>
      </c>
      <c r="G14548" s="1" t="str">
        <f>"0127C383"</f>
        <v>0127C383</v>
      </c>
      <c r="H14548" s="1" t="str">
        <f>"동소문 50T3"</f>
        <v>동소문 50T3</v>
      </c>
      <c r="I14548" s="1" t="s">
        <v>17</v>
      </c>
      <c r="J14548" s="1" t="str">
        <f>"8/8"</f>
        <v>8/8</v>
      </c>
      <c r="K14548" s="1" t="str">
        <f>"2026-07-29 13:18:02"</f>
        <v>2026-07-29 13:18:02</v>
      </c>
      <c r="L14548" s="1" t="str">
        <f>"2018-05-28 11:13:27"</f>
        <v>2018-05-28 11:13:27</v>
      </c>
      <c r="M14548" s="1" t="s">
        <v>0</v>
      </c>
      <c r="N14548" s="1" t="s">
        <v>38</v>
      </c>
      <c r="O14548" s="1" t="s">
        <v>46</v>
      </c>
    </row>
    <row r="14549" spans="2:15" x14ac:dyDescent="0.3">
      <c r="B14549" s="1" t="s">
        <v>19</v>
      </c>
      <c r="C14549" s="1" t="str">
        <f>"3차"</f>
        <v>3차</v>
      </c>
      <c r="D14549" s="1" t="str">
        <f>"0127C42139"</f>
        <v>0127C42139</v>
      </c>
      <c r="E14549" s="1" t="s">
        <v>10</v>
      </c>
      <c r="F14549" s="1" t="str">
        <f>"10.107.8.26"</f>
        <v>10.107.8.26</v>
      </c>
      <c r="G14549" s="1" t="str">
        <f>"0127C421"</f>
        <v>0127C421</v>
      </c>
      <c r="H14549" s="1" t="str">
        <f>"보문지 17L3"</f>
        <v>보문지 17L3</v>
      </c>
      <c r="I14549" s="1" t="s">
        <v>8</v>
      </c>
      <c r="J14549" s="1" t="str">
        <f>"100/106"</f>
        <v>100/106</v>
      </c>
      <c r="K14549" s="1" t="str">
        <f>"2026-07-29 13:18:01"</f>
        <v>2026-07-29 13:18:01</v>
      </c>
      <c r="L14549" s="1" t="str">
        <f>"2018-04-17 18:20:14"</f>
        <v>2018-04-17 18:20:14</v>
      </c>
      <c r="M14549" s="1" t="s">
        <v>45</v>
      </c>
      <c r="N14549" s="1" t="s">
        <v>38</v>
      </c>
      <c r="O14549" s="1" t="s">
        <v>46</v>
      </c>
    </row>
    <row r="14550" spans="2:15" x14ac:dyDescent="0.3">
      <c r="B14550" s="1" t="s">
        <v>19</v>
      </c>
      <c r="C14550" s="1" t="str">
        <f>"4차"</f>
        <v>4차</v>
      </c>
      <c r="D14550" s="1" t="str">
        <f>"0127C43244"</f>
        <v>0127C43244</v>
      </c>
      <c r="E14550" s="1" t="s">
        <v>10</v>
      </c>
      <c r="F14550" s="1" t="str">
        <f>"10.107.119.163"</f>
        <v>10.107.119.163</v>
      </c>
      <c r="G14550" s="1" t="str">
        <f>"0127C432"</f>
        <v>0127C432</v>
      </c>
      <c r="H14550" s="1" t="str">
        <f>"안암간 11"</f>
        <v>안암간 11</v>
      </c>
      <c r="I14550" s="1" t="s">
        <v>8</v>
      </c>
      <c r="J14550" s="1" t="str">
        <f>"16/18"</f>
        <v>16/18</v>
      </c>
      <c r="K14550" s="1" t="str">
        <f>"2026-07-29 13:18:01"</f>
        <v>2026-07-29 13:18:01</v>
      </c>
      <c r="L14550" s="1" t="str">
        <f>"2019-11-12 20:17:23"</f>
        <v>2019-11-12 20:17:23</v>
      </c>
      <c r="M14550" s="1" t="s">
        <v>45</v>
      </c>
      <c r="N14550" s="1" t="s">
        <v>38</v>
      </c>
      <c r="O14550" s="1" t="s">
        <v>46</v>
      </c>
    </row>
    <row r="14551" spans="2:15" x14ac:dyDescent="0.3">
      <c r="B14551" s="1" t="s">
        <v>19</v>
      </c>
      <c r="C14551" s="1" t="str">
        <f>"4차"</f>
        <v>4차</v>
      </c>
      <c r="D14551" s="1" t="str">
        <f>"0127C44A45"</f>
        <v>0127C44A45</v>
      </c>
      <c r="E14551" s="1" t="s">
        <v>10</v>
      </c>
      <c r="F14551" s="1" t="str">
        <f>"10.12.136.40"</f>
        <v>10.12.136.40</v>
      </c>
      <c r="G14551" s="1" t="str">
        <f>"0127C44A"</f>
        <v>0127C44A</v>
      </c>
      <c r="H14551" s="1" t="str">
        <f>"보문로 2"</f>
        <v>보문로 2</v>
      </c>
      <c r="I14551" s="1" t="s">
        <v>17</v>
      </c>
      <c r="J14551" s="1" t="str">
        <f>"8/8"</f>
        <v>8/8</v>
      </c>
      <c r="K14551" s="1" t="str">
        <f>"2026-07-29 13:18:01"</f>
        <v>2026-07-29 13:18:01</v>
      </c>
      <c r="L14551" s="1" t="str">
        <f>"2021-06-24 14:47:39"</f>
        <v>2021-06-24 14:47:39</v>
      </c>
      <c r="M14551" s="1" t="s">
        <v>0</v>
      </c>
      <c r="N14551" s="1" t="s">
        <v>38</v>
      </c>
      <c r="O14551" s="1" t="s">
        <v>46</v>
      </c>
    </row>
    <row r="14552" spans="2:15" x14ac:dyDescent="0.3">
      <c r="B14552" s="1" t="s">
        <v>19</v>
      </c>
      <c r="C14552" s="1" t="str">
        <f>"4차"</f>
        <v>4차</v>
      </c>
      <c r="D14552" s="1" t="str">
        <f>"0127C48345"</f>
        <v>0127C48345</v>
      </c>
      <c r="E14552" s="1" t="s">
        <v>10</v>
      </c>
      <c r="F14552" s="1" t="str">
        <f>"10.14.14.51"</f>
        <v>10.14.14.51</v>
      </c>
      <c r="G14552" s="1" t="str">
        <f>"0127C483"</f>
        <v>0127C483</v>
      </c>
      <c r="H14552" s="1" t="str">
        <f>"동소문 56-1"</f>
        <v>동소문 56-1</v>
      </c>
      <c r="I14552" s="1" t="s">
        <v>17</v>
      </c>
      <c r="J14552" s="1" t="str">
        <f>"31/36"</f>
        <v>31/36</v>
      </c>
      <c r="K14552" s="1" t="str">
        <f>"2026-07-29 13:18:03"</f>
        <v>2026-07-29 13:18:03</v>
      </c>
      <c r="L14552" s="1" t="str">
        <f>"2021-06-28 11:02:01"</f>
        <v>2021-06-28 11:02:01</v>
      </c>
      <c r="M14552" s="1" t="s">
        <v>3</v>
      </c>
      <c r="N14552" s="1" t="s">
        <v>38</v>
      </c>
      <c r="O14552" s="1" t="s">
        <v>46</v>
      </c>
    </row>
    <row r="14553" spans="2:15" x14ac:dyDescent="0.3">
      <c r="B14553" s="1" t="s">
        <v>19</v>
      </c>
      <c r="C14553" s="1" t="str">
        <f>"5-2차"</f>
        <v>5-2차</v>
      </c>
      <c r="D14553" s="1" t="str">
        <f>"0127C5015M"</f>
        <v>0127C5015M</v>
      </c>
      <c r="E14553" s="1" t="s">
        <v>10</v>
      </c>
      <c r="F14553" s="1" t="str">
        <f>"fde1:103:4:597f:0:0:0:2"</f>
        <v>fde1:103:4:597f:0:0:0:2</v>
      </c>
      <c r="G14553" s="1" t="str">
        <f>"0127C501"</f>
        <v>0127C501</v>
      </c>
      <c r="H14553" s="1" t="str">
        <f>"보문지 21L5"</f>
        <v>보문지 21L5</v>
      </c>
      <c r="I14553" s="1" t="s">
        <v>15</v>
      </c>
      <c r="J14553" s="1" t="str">
        <f>"70/70"</f>
        <v>70/70</v>
      </c>
      <c r="K14553" s="1" t="str">
        <f>"2026-07-29 14:20:43"</f>
        <v>2026-07-29 14:20:43</v>
      </c>
      <c r="L14553" s="1" t="str">
        <f>"2023-09-19 11:23:38"</f>
        <v>2023-09-19 11:23:38</v>
      </c>
      <c r="M14553" s="1" t="s">
        <v>4</v>
      </c>
      <c r="N14553" s="1" t="s">
        <v>38</v>
      </c>
      <c r="O14553" s="1" t="s">
        <v>46</v>
      </c>
    </row>
    <row r="14554" spans="2:15" x14ac:dyDescent="0.3">
      <c r="B14554" s="1" t="s">
        <v>19</v>
      </c>
      <c r="C14554" s="1" t="str">
        <f>"5-2차"</f>
        <v>5-2차</v>
      </c>
      <c r="D14554" s="1" t="str">
        <f>"0127C5735M"</f>
        <v>0127C5735M</v>
      </c>
      <c r="E14554" s="1" t="s">
        <v>10</v>
      </c>
      <c r="F14554" s="1" t="str">
        <f>"fde1:103:4:5a29:0:0:0:2"</f>
        <v>fde1:103:4:5a29:0:0:0:2</v>
      </c>
      <c r="G14554" s="1" t="str">
        <f>"0127C573"</f>
        <v>0127C573</v>
      </c>
      <c r="H14554" s="1" t="str">
        <f>"삼선지 2L3"</f>
        <v>삼선지 2L3</v>
      </c>
      <c r="I14554" s="1" t="s">
        <v>15</v>
      </c>
      <c r="J14554" s="1" t="str">
        <f>"15/15"</f>
        <v>15/15</v>
      </c>
      <c r="K14554" s="1" t="str">
        <f>"2026-07-29 14:20:32"</f>
        <v>2026-07-29 14:20:32</v>
      </c>
      <c r="L14554" s="1" t="str">
        <f>"2023-09-19 11:24:03"</f>
        <v>2023-09-19 11:24:03</v>
      </c>
      <c r="M14554" s="1" t="s">
        <v>4</v>
      </c>
      <c r="N14554" s="1" t="s">
        <v>38</v>
      </c>
      <c r="O14554" s="1" t="s">
        <v>46</v>
      </c>
    </row>
    <row r="14555" spans="2:15" x14ac:dyDescent="0.3">
      <c r="B14555" s="1" t="s">
        <v>19</v>
      </c>
      <c r="C14555" s="1" t="str">
        <f>"5-2차"</f>
        <v>5-2차</v>
      </c>
      <c r="D14555" s="1" t="str">
        <f>"0127C6015M"</f>
        <v>0127C6015M</v>
      </c>
      <c r="E14555" s="1" t="s">
        <v>10</v>
      </c>
      <c r="F14555" s="1" t="str">
        <f>"fde1:103:4:59c3:0:0:0:2"</f>
        <v>fde1:103:4:59c3:0:0:0:2</v>
      </c>
      <c r="G14555" s="1" t="str">
        <f>"0127C601"</f>
        <v>0127C601</v>
      </c>
      <c r="H14555" s="1" t="str">
        <f>"보문지 21L6"</f>
        <v>보문지 21L6</v>
      </c>
      <c r="I14555" s="1" t="s">
        <v>15</v>
      </c>
      <c r="J14555" s="1" t="str">
        <f>"89/89"</f>
        <v>89/89</v>
      </c>
      <c r="K14555" s="1" t="str">
        <f>"2026-07-29 14:20:02"</f>
        <v>2026-07-29 14:20:02</v>
      </c>
      <c r="L14555" s="1" t="str">
        <f>"2023-09-25 13:46:47"</f>
        <v>2023-09-25 13:46:47</v>
      </c>
      <c r="M14555" s="1" t="s">
        <v>4</v>
      </c>
      <c r="N14555" s="1" t="s">
        <v>38</v>
      </c>
      <c r="O14555" s="1" t="s">
        <v>46</v>
      </c>
    </row>
    <row r="14556" spans="2:15" x14ac:dyDescent="0.3">
      <c r="B14556" s="1" t="s">
        <v>19</v>
      </c>
      <c r="C14556" s="1" t="str">
        <f>"3차"</f>
        <v>3차</v>
      </c>
      <c r="D14556" s="1" t="str">
        <f>"0127C61239"</f>
        <v>0127C61239</v>
      </c>
      <c r="E14556" s="1" t="s">
        <v>10</v>
      </c>
      <c r="F14556" s="1" t="str">
        <f>"10.107.119.164"</f>
        <v>10.107.119.164</v>
      </c>
      <c r="G14556" s="1" t="str">
        <f>"0127C612"</f>
        <v>0127C612</v>
      </c>
      <c r="H14556" s="1" t="str">
        <f>"안암간 13"</f>
        <v>안암간 13</v>
      </c>
      <c r="I14556" s="1" t="s">
        <v>8</v>
      </c>
      <c r="J14556" s="1" t="str">
        <f>"126/126"</f>
        <v>126/126</v>
      </c>
      <c r="K14556" s="1" t="str">
        <f>"2026-07-29 13:18:01"</f>
        <v>2026-07-29 13:18:01</v>
      </c>
      <c r="L14556" s="1" t="str">
        <f>"2018-04-05 10:24:41"</f>
        <v>2018-04-05 10:24:41</v>
      </c>
      <c r="M14556" s="1" t="s">
        <v>45</v>
      </c>
      <c r="N14556" s="1" t="s">
        <v>38</v>
      </c>
      <c r="O14556" s="1" t="s">
        <v>46</v>
      </c>
    </row>
    <row r="14557" spans="2:15" x14ac:dyDescent="0.3">
      <c r="B14557" s="1" t="s">
        <v>19</v>
      </c>
      <c r="C14557" s="1" t="str">
        <f>"5-2차"</f>
        <v>5-2차</v>
      </c>
      <c r="D14557" s="1" t="str">
        <f>"0127C6445M"</f>
        <v>0127C6445M</v>
      </c>
      <c r="E14557" s="1" t="s">
        <v>10</v>
      </c>
      <c r="F14557" s="1" t="str">
        <f>"fde1:103:4:5902:0:0:0:2"</f>
        <v>fde1:103:4:5902:0:0:0:2</v>
      </c>
      <c r="G14557" s="1" t="str">
        <f>"0127C644"</f>
        <v>0127C644</v>
      </c>
      <c r="H14557" s="1" t="str">
        <f>"삼선지 8R2"</f>
        <v>삼선지 8R2</v>
      </c>
      <c r="I14557" s="1" t="s">
        <v>15</v>
      </c>
      <c r="J14557" s="1" t="str">
        <f>"71/71"</f>
        <v>71/71</v>
      </c>
      <c r="K14557" s="1" t="str">
        <f>"2026-07-29 14:20:33"</f>
        <v>2026-07-29 14:20:33</v>
      </c>
      <c r="L14557" s="1" t="str">
        <f>"2023-09-19 11:34:29"</f>
        <v>2023-09-19 11:34:29</v>
      </c>
      <c r="M14557" s="1" t="s">
        <v>4</v>
      </c>
      <c r="N14557" s="1" t="s">
        <v>38</v>
      </c>
      <c r="O14557" s="1" t="s">
        <v>46</v>
      </c>
    </row>
    <row r="14558" spans="2:15" x14ac:dyDescent="0.3">
      <c r="B14558" s="1" t="s">
        <v>19</v>
      </c>
      <c r="C14558" s="1" t="str">
        <f>"5-2차"</f>
        <v>5-2차</v>
      </c>
      <c r="D14558" s="1" t="str">
        <f>"0127C6535M"</f>
        <v>0127C6535M</v>
      </c>
      <c r="E14558" s="1" t="s">
        <v>10</v>
      </c>
      <c r="F14558" s="1" t="str">
        <f>"fde1:103:4:5781:0:0:0:2"</f>
        <v>fde1:103:4:5781:0:0:0:2</v>
      </c>
      <c r="G14558" s="1" t="str">
        <f>"0127C653"</f>
        <v>0127C653</v>
      </c>
      <c r="H14558" s="1" t="str">
        <f>"삼선지 7"</f>
        <v>삼선지 7</v>
      </c>
      <c r="I14558" s="1" t="s">
        <v>15</v>
      </c>
      <c r="J14558" s="1" t="str">
        <f>"101/101"</f>
        <v>101/101</v>
      </c>
      <c r="K14558" s="1" t="str">
        <f>"2026-07-29 14:20:32"</f>
        <v>2026-07-29 14:20:32</v>
      </c>
      <c r="L14558" s="1" t="str">
        <f>"2023-09-19 16:38:17"</f>
        <v>2023-09-19 16:38:17</v>
      </c>
      <c r="M14558" s="1" t="s">
        <v>4</v>
      </c>
      <c r="N14558" s="1" t="s">
        <v>38</v>
      </c>
      <c r="O14558" s="1" t="s">
        <v>46</v>
      </c>
    </row>
    <row r="14559" spans="2:15" x14ac:dyDescent="0.3">
      <c r="B14559" s="1" t="s">
        <v>19</v>
      </c>
      <c r="C14559" s="1" t="s">
        <v>16</v>
      </c>
      <c r="D14559" s="1" t="str">
        <f>"0127C66141"</f>
        <v>0127C66141</v>
      </c>
      <c r="E14559" s="1" t="s">
        <v>10</v>
      </c>
      <c r="F14559" s="1" t="str">
        <f>"10.14.2.129"</f>
        <v>10.14.2.129</v>
      </c>
      <c r="G14559" s="1" t="str">
        <f>"0127C661"</f>
        <v>0127C661</v>
      </c>
      <c r="H14559" s="1" t="str">
        <f>"삼선지 2L2R2"</f>
        <v>삼선지 2L2R2</v>
      </c>
      <c r="I14559" s="1" t="s">
        <v>17</v>
      </c>
      <c r="J14559" s="1" t="str">
        <f>"24/28"</f>
        <v>24/28</v>
      </c>
      <c r="K14559" s="1" t="str">
        <f>"2026-07-29 13:18:01"</f>
        <v>2026-07-29 13:18:01</v>
      </c>
      <c r="L14559" s="1" t="str">
        <f>"2022-11-07 15:36:49"</f>
        <v>2022-11-07 15:36:49</v>
      </c>
      <c r="M14559" s="1" t="s">
        <v>3</v>
      </c>
      <c r="N14559" s="1" t="s">
        <v>38</v>
      </c>
      <c r="O14559" s="1" t="s">
        <v>46</v>
      </c>
    </row>
    <row r="14560" spans="2:15" x14ac:dyDescent="0.3">
      <c r="B14560" s="1" t="s">
        <v>19</v>
      </c>
      <c r="C14560" s="1" t="str">
        <f>"4차"</f>
        <v>4차</v>
      </c>
      <c r="D14560" s="1" t="str">
        <f>"0127C68141"</f>
        <v>0127C68141</v>
      </c>
      <c r="E14560" s="1" t="s">
        <v>10</v>
      </c>
      <c r="F14560" s="1" t="str">
        <f>"10.14.6.33"</f>
        <v>10.14.6.33</v>
      </c>
      <c r="G14560" s="1" t="str">
        <f>"0127C681"</f>
        <v>0127C681</v>
      </c>
      <c r="H14560" s="1" t="str">
        <f>"삼선지 2L6"</f>
        <v>삼선지 2L6</v>
      </c>
      <c r="I14560" s="1" t="s">
        <v>17</v>
      </c>
      <c r="J14560" s="1" t="str">
        <f>"6/6"</f>
        <v>6/6</v>
      </c>
      <c r="K14560" s="1" t="str">
        <f>"2026-07-29 13:18:02"</f>
        <v>2026-07-29 13:18:02</v>
      </c>
      <c r="L14560" s="1" t="str">
        <f>"2021-06-14 13:39:40"</f>
        <v>2021-06-14 13:39:40</v>
      </c>
      <c r="M14560" s="1" t="s">
        <v>3</v>
      </c>
      <c r="N14560" s="1" t="s">
        <v>38</v>
      </c>
      <c r="O14560" s="1" t="s">
        <v>46</v>
      </c>
    </row>
    <row r="14561" spans="2:15" x14ac:dyDescent="0.3">
      <c r="B14561" s="1" t="s">
        <v>19</v>
      </c>
      <c r="C14561" s="1" t="str">
        <f>"3차"</f>
        <v>3차</v>
      </c>
      <c r="D14561" s="1" t="str">
        <f>"0127C70139"</f>
        <v>0127C70139</v>
      </c>
      <c r="E14561" s="1" t="s">
        <v>10</v>
      </c>
      <c r="F14561" s="1" t="str">
        <f>"10.107.119.165"</f>
        <v>10.107.119.165</v>
      </c>
      <c r="G14561" s="1" t="str">
        <f>"0127C701"</f>
        <v>0127C701</v>
      </c>
      <c r="H14561" s="1" t="str">
        <f>"안암간 14"</f>
        <v>안암간 14</v>
      </c>
      <c r="I14561" s="1" t="s">
        <v>8</v>
      </c>
      <c r="J14561" s="1" t="str">
        <f>"50/50"</f>
        <v>50/50</v>
      </c>
      <c r="K14561" s="1" t="str">
        <f>"2026-07-29 13:18:01"</f>
        <v>2026-07-29 13:18:01</v>
      </c>
      <c r="L14561" s="1" t="str">
        <f>"2018-03-26 15:42:40"</f>
        <v>2018-03-26 15:42:40</v>
      </c>
      <c r="M14561" s="1" t="s">
        <v>45</v>
      </c>
      <c r="N14561" s="1" t="s">
        <v>38</v>
      </c>
      <c r="O14561" s="1" t="s">
        <v>46</v>
      </c>
    </row>
    <row r="14562" spans="2:15" x14ac:dyDescent="0.3">
      <c r="B14562" s="1" t="s">
        <v>19</v>
      </c>
      <c r="C14562" s="1" t="str">
        <f>"3차"</f>
        <v>3차</v>
      </c>
      <c r="D14562" s="1" t="str">
        <f>"0127C70339"</f>
        <v>0127C70339</v>
      </c>
      <c r="E14562" s="1" t="s">
        <v>10</v>
      </c>
      <c r="F14562" s="1" t="str">
        <f>"10.107.119.166"</f>
        <v>10.107.119.166</v>
      </c>
      <c r="G14562" s="1" t="str">
        <f>"0127C703"</f>
        <v>0127C703</v>
      </c>
      <c r="H14562" s="1" t="str">
        <f>"안암간 15"</f>
        <v>안암간 15</v>
      </c>
      <c r="I14562" s="1" t="s">
        <v>8</v>
      </c>
      <c r="J14562" s="1" t="str">
        <f>"39/39"</f>
        <v>39/39</v>
      </c>
      <c r="K14562" s="1" t="str">
        <f>"2026-07-29 13:18:01"</f>
        <v>2026-07-29 13:18:01</v>
      </c>
      <c r="L14562" s="1" t="str">
        <f>"2018-04-05 10:17:39"</f>
        <v>2018-04-05 10:17:39</v>
      </c>
      <c r="M14562" s="1" t="s">
        <v>45</v>
      </c>
      <c r="N14562" s="1" t="s">
        <v>38</v>
      </c>
      <c r="O14562" s="1" t="s">
        <v>46</v>
      </c>
    </row>
    <row r="14563" spans="2:15" x14ac:dyDescent="0.3">
      <c r="B14563" s="1" t="s">
        <v>19</v>
      </c>
      <c r="C14563" s="1" t="str">
        <f>"4차"</f>
        <v>4차</v>
      </c>
      <c r="D14563" s="1" t="str">
        <f>"0127C76141"</f>
        <v>0127C76141</v>
      </c>
      <c r="E14563" s="1" t="s">
        <v>10</v>
      </c>
      <c r="F14563" s="1" t="str">
        <f>"10.12.131.208"</f>
        <v>10.12.131.208</v>
      </c>
      <c r="G14563" s="1" t="str">
        <f>"0127C761"</f>
        <v>0127C761</v>
      </c>
      <c r="H14563" s="1" t="str">
        <f>"삼선지 2L2R3"</f>
        <v>삼선지 2L2R3</v>
      </c>
      <c r="I14563" s="1" t="s">
        <v>17</v>
      </c>
      <c r="J14563" s="1" t="str">
        <f>"10/10"</f>
        <v>10/10</v>
      </c>
      <c r="K14563" s="1" t="str">
        <f>"2026-07-29 13:18:03"</f>
        <v>2026-07-29 13:18:03</v>
      </c>
      <c r="L14563" s="1" t="str">
        <f>"2021-08-26 13:21:30"</f>
        <v>2021-08-26 13:21:30</v>
      </c>
      <c r="M14563" s="1" t="s">
        <v>0</v>
      </c>
      <c r="N14563" s="1" t="s">
        <v>38</v>
      </c>
      <c r="O14563" s="1" t="s">
        <v>46</v>
      </c>
    </row>
    <row r="14564" spans="2:15" x14ac:dyDescent="0.3">
      <c r="B14564" s="1" t="s">
        <v>19</v>
      </c>
      <c r="C14564" s="1" t="str">
        <f>"3차"</f>
        <v>3차</v>
      </c>
      <c r="D14564" s="1" t="str">
        <f>"0127C85239"</f>
        <v>0127C85239</v>
      </c>
      <c r="E14564" s="1" t="s">
        <v>10</v>
      </c>
      <c r="F14564" s="1" t="str">
        <f>"10.12.135.201"</f>
        <v>10.12.135.201</v>
      </c>
      <c r="G14564" s="1" t="str">
        <f>"0127C852"</f>
        <v>0127C852</v>
      </c>
      <c r="H14564" s="1" t="str">
        <f>"동소문SW 58L3"</f>
        <v>동소문SW 58L3</v>
      </c>
      <c r="I14564" s="1" t="s">
        <v>8</v>
      </c>
      <c r="J14564" s="1" t="str">
        <f>"5/5"</f>
        <v>5/5</v>
      </c>
      <c r="K14564" s="1" t="str">
        <f>"2026-07-29 13:18:01"</f>
        <v>2026-07-29 13:18:01</v>
      </c>
      <c r="L14564" s="1" t="str">
        <f>"2018-04-20 15:07:45"</f>
        <v>2018-04-20 15:07:45</v>
      </c>
      <c r="M14564" s="1" t="s">
        <v>0</v>
      </c>
      <c r="N14564" s="1" t="s">
        <v>38</v>
      </c>
      <c r="O14564" s="1" t="s">
        <v>46</v>
      </c>
    </row>
    <row r="14565" spans="2:15" x14ac:dyDescent="0.3">
      <c r="B14565" s="1" t="s">
        <v>19</v>
      </c>
      <c r="C14565" s="1" t="str">
        <f t="shared" ref="C14565:C14570" si="744">"4차"</f>
        <v>4차</v>
      </c>
      <c r="D14565" s="1" t="str">
        <f>"0127C86241"</f>
        <v>0127C86241</v>
      </c>
      <c r="E14565" s="1" t="s">
        <v>10</v>
      </c>
      <c r="F14565" s="1" t="str">
        <f>"10.12.137.253"</f>
        <v>10.12.137.253</v>
      </c>
      <c r="G14565" s="1" t="str">
        <f>"0127C862"</f>
        <v>0127C862</v>
      </c>
      <c r="H14565" s="1" t="str">
        <f>"동소문SW 58L5"</f>
        <v>동소문SW 58L5</v>
      </c>
      <c r="I14565" s="1" t="s">
        <v>17</v>
      </c>
      <c r="J14565" s="1" t="str">
        <f>"4/4"</f>
        <v>4/4</v>
      </c>
      <c r="K14565" s="1" t="str">
        <f>"2026-07-29 13:18:02"</f>
        <v>2026-07-29 13:18:02</v>
      </c>
      <c r="L14565" s="1" t="str">
        <f>"2021-09-03 16:56:59"</f>
        <v>2021-09-03 16:56:59</v>
      </c>
      <c r="M14565" s="1" t="s">
        <v>0</v>
      </c>
      <c r="N14565" s="1" t="s">
        <v>38</v>
      </c>
      <c r="O14565" s="1" t="s">
        <v>46</v>
      </c>
    </row>
    <row r="14566" spans="2:15" x14ac:dyDescent="0.3">
      <c r="B14566" s="1" t="s">
        <v>19</v>
      </c>
      <c r="C14566" s="1" t="str">
        <f t="shared" si="744"/>
        <v>4차</v>
      </c>
      <c r="D14566" s="1" t="str">
        <f>"0127C86441"</f>
        <v>0127C86441</v>
      </c>
      <c r="E14566" s="1" t="s">
        <v>10</v>
      </c>
      <c r="F14566" s="1" t="str">
        <f>"10.12.129.141"</f>
        <v>10.12.129.141</v>
      </c>
      <c r="G14566" s="1" t="str">
        <f>"0127C864"</f>
        <v>0127C864</v>
      </c>
      <c r="H14566" s="1" t="str">
        <f>"동소문SW 58L4"</f>
        <v>동소문SW 58L4</v>
      </c>
      <c r="I14566" s="1" t="s">
        <v>17</v>
      </c>
      <c r="J14566" s="1" t="str">
        <f>"7/11"</f>
        <v>7/11</v>
      </c>
      <c r="K14566" s="1" t="str">
        <f>"2026-07-29 13:18:03"</f>
        <v>2026-07-29 13:18:03</v>
      </c>
      <c r="L14566" s="1" t="str">
        <f>"2021-08-26 11:38:49"</f>
        <v>2021-08-26 11:38:49</v>
      </c>
      <c r="M14566" s="1" t="s">
        <v>0</v>
      </c>
      <c r="N14566" s="1" t="s">
        <v>38</v>
      </c>
      <c r="O14566" s="1" t="s">
        <v>46</v>
      </c>
    </row>
    <row r="14567" spans="2:15" x14ac:dyDescent="0.3">
      <c r="B14567" s="1" t="s">
        <v>19</v>
      </c>
      <c r="C14567" s="1" t="str">
        <f t="shared" si="744"/>
        <v>4차</v>
      </c>
      <c r="D14567" s="1" t="str">
        <f>"0127C87241"</f>
        <v>0127C87241</v>
      </c>
      <c r="E14567" s="1" t="s">
        <v>10</v>
      </c>
      <c r="F14567" s="1" t="str">
        <f>"10.14.8.32"</f>
        <v>10.14.8.32</v>
      </c>
      <c r="G14567" s="1" t="str">
        <f>"0127C872"</f>
        <v>0127C872</v>
      </c>
      <c r="H14567" s="1" t="str">
        <f>"동소문SW 58L7"</f>
        <v>동소문SW 58L7</v>
      </c>
      <c r="I14567" s="1" t="s">
        <v>17</v>
      </c>
      <c r="J14567" s="1" t="str">
        <f>"6/7"</f>
        <v>6/7</v>
      </c>
      <c r="K14567" s="1" t="str">
        <f>"2026-07-29 13:18:03"</f>
        <v>2026-07-29 13:18:03</v>
      </c>
      <c r="L14567" s="1" t="str">
        <f>"2021-08-27 08:00:35"</f>
        <v>2021-08-27 08:00:35</v>
      </c>
      <c r="M14567" s="1" t="s">
        <v>3</v>
      </c>
      <c r="N14567" s="1" t="s">
        <v>38</v>
      </c>
      <c r="O14567" s="1" t="s">
        <v>46</v>
      </c>
    </row>
    <row r="14568" spans="2:15" x14ac:dyDescent="0.3">
      <c r="B14568" s="1" t="s">
        <v>19</v>
      </c>
      <c r="C14568" s="1" t="str">
        <f t="shared" si="744"/>
        <v>4차</v>
      </c>
      <c r="D14568" s="1" t="str">
        <f>"0127C89A39"</f>
        <v>0127C89A39</v>
      </c>
      <c r="E14568" s="1" t="str">
        <f>"검침실패(3시간 이상)"</f>
        <v>검침실패(3시간 이상)</v>
      </c>
      <c r="F14568" s="1" t="str">
        <f>"10.14.14.16"</f>
        <v>10.14.14.16</v>
      </c>
      <c r="G14568" s="1" t="str">
        <f>"0127C89A"</f>
        <v>0127C89A</v>
      </c>
      <c r="H14568" s="1" t="str">
        <f>"동소문 59"</f>
        <v>동소문 59</v>
      </c>
      <c r="I14568" s="1" t="s">
        <v>17</v>
      </c>
      <c r="J14568" s="1" t="str">
        <f>"0/4"</f>
        <v>0/4</v>
      </c>
      <c r="K14568" s="1" t="str">
        <f>"2026-07-29 13:18:03"</f>
        <v>2026-07-29 13:18:03</v>
      </c>
      <c r="L14568" s="1" t="str">
        <f>"2018-10-16 10:44:11"</f>
        <v>2018-10-16 10:44:11</v>
      </c>
      <c r="M14568" s="1" t="s">
        <v>3</v>
      </c>
      <c r="N14568" s="1" t="s">
        <v>38</v>
      </c>
      <c r="O14568" s="1" t="s">
        <v>46</v>
      </c>
    </row>
    <row r="14569" spans="2:15" x14ac:dyDescent="0.3">
      <c r="B14569" s="1" t="s">
        <v>19</v>
      </c>
      <c r="C14569" s="1" t="str">
        <f t="shared" si="744"/>
        <v>4차</v>
      </c>
      <c r="D14569" s="1" t="str">
        <f>"0127C89B39"</f>
        <v>0127C89B39</v>
      </c>
      <c r="E14569" s="1" t="s">
        <v>14</v>
      </c>
      <c r="F14569" s="1" t="str">
        <f>"10.12.136.205"</f>
        <v>10.12.136.205</v>
      </c>
      <c r="G14569" s="1" t="str">
        <f>"0127C89B"</f>
        <v>0127C89B</v>
      </c>
      <c r="H14569" s="1" t="str">
        <f>"동소문 60"</f>
        <v>동소문 60</v>
      </c>
      <c r="I14569" s="1" t="s">
        <v>17</v>
      </c>
      <c r="J14569" s="1" t="str">
        <f>"0/0"</f>
        <v>0/0</v>
      </c>
      <c r="K14569" s="1" t="str">
        <f>"2026-07-28 07:18:03"</f>
        <v>2026-07-28 07:18:03</v>
      </c>
      <c r="L14569" s="1" t="str">
        <f>"2018-10-16 11:21:58"</f>
        <v>2018-10-16 11:21:58</v>
      </c>
      <c r="M14569" s="1" t="s">
        <v>0</v>
      </c>
      <c r="N14569" s="1" t="s">
        <v>39</v>
      </c>
      <c r="O14569" s="1" t="s">
        <v>46</v>
      </c>
    </row>
    <row r="14570" spans="2:15" x14ac:dyDescent="0.3">
      <c r="B14570" s="1" t="s">
        <v>19</v>
      </c>
      <c r="C14570" s="1" t="str">
        <f t="shared" si="744"/>
        <v>4차</v>
      </c>
      <c r="D14570" s="1" t="str">
        <f>"0127C90345"</f>
        <v>0127C90345</v>
      </c>
      <c r="E14570" s="1" t="s">
        <v>10</v>
      </c>
      <c r="F14570" s="1" t="str">
        <f>"10.12.131.153"</f>
        <v>10.12.131.153</v>
      </c>
      <c r="G14570" s="1" t="str">
        <f>"0127C903"</f>
        <v>0127C903</v>
      </c>
      <c r="H14570" s="1" t="str">
        <f>"보문로 5"</f>
        <v>보문로 5</v>
      </c>
      <c r="I14570" s="1" t="s">
        <v>17</v>
      </c>
      <c r="J14570" s="1" t="str">
        <f>"19/19"</f>
        <v>19/19</v>
      </c>
      <c r="K14570" s="1" t="str">
        <f>"2026-07-29 13:18:01"</f>
        <v>2026-07-29 13:18:01</v>
      </c>
      <c r="L14570" s="1" t="str">
        <f>"2021-06-24 15:34:38"</f>
        <v>2021-06-24 15:34:38</v>
      </c>
      <c r="M14570" s="1" t="s">
        <v>0</v>
      </c>
      <c r="N14570" s="1" t="s">
        <v>38</v>
      </c>
      <c r="O14570" s="1" t="s">
        <v>46</v>
      </c>
    </row>
    <row r="14571" spans="2:15" x14ac:dyDescent="0.3">
      <c r="B14571" s="1" t="s">
        <v>19</v>
      </c>
      <c r="C14571" s="1" t="str">
        <f>"5-2차"</f>
        <v>5-2차</v>
      </c>
      <c r="D14571" s="1" t="str">
        <f>"0127C9125M"</f>
        <v>0127C9125M</v>
      </c>
      <c r="E14571" s="1" t="s">
        <v>10</v>
      </c>
      <c r="F14571" s="1" t="str">
        <f>"fde1:103:4:5974:0:0:0:2"</f>
        <v>fde1:103:4:5974:0:0:0:2</v>
      </c>
      <c r="G14571" s="1" t="str">
        <f>"0127C912"</f>
        <v>0127C912</v>
      </c>
      <c r="H14571" s="1" t="str">
        <f>"삼선지 20R3"</f>
        <v>삼선지 20R3</v>
      </c>
      <c r="I14571" s="1" t="s">
        <v>15</v>
      </c>
      <c r="J14571" s="1" t="str">
        <f>"96/96"</f>
        <v>96/96</v>
      </c>
      <c r="K14571" s="1" t="str">
        <f>"2026-07-29 14:20:06"</f>
        <v>2026-07-29 14:20:06</v>
      </c>
      <c r="L14571" s="1" t="str">
        <f>"2023-09-19 17:03:04"</f>
        <v>2023-09-19 17:03:04</v>
      </c>
      <c r="M14571" s="1" t="s">
        <v>4</v>
      </c>
      <c r="N14571" s="1" t="s">
        <v>38</v>
      </c>
      <c r="O14571" s="1" t="s">
        <v>46</v>
      </c>
    </row>
    <row r="14572" spans="2:15" x14ac:dyDescent="0.3">
      <c r="B14572" s="1" t="s">
        <v>19</v>
      </c>
      <c r="C14572" s="1" t="str">
        <f>"5-2차"</f>
        <v>5-2차</v>
      </c>
      <c r="D14572" s="1" t="str">
        <f>"0127C9225M"</f>
        <v>0127C9225M</v>
      </c>
      <c r="E14572" s="1" t="s">
        <v>10</v>
      </c>
      <c r="F14572" s="1" t="str">
        <f>"fde1:103:4:59c7:0:0:0:2"</f>
        <v>fde1:103:4:59c7:0:0:0:2</v>
      </c>
      <c r="G14572" s="1" t="str">
        <f>"0127C922"</f>
        <v>0127C922</v>
      </c>
      <c r="H14572" s="1" t="str">
        <f>"삼선지 17R4"</f>
        <v>삼선지 17R4</v>
      </c>
      <c r="I14572" s="1" t="s">
        <v>15</v>
      </c>
      <c r="J14572" s="1" t="str">
        <f>"36/36"</f>
        <v>36/36</v>
      </c>
      <c r="K14572" s="1" t="str">
        <f>"2026-07-29 14:20:04"</f>
        <v>2026-07-29 14:20:04</v>
      </c>
      <c r="L14572" s="1" t="str">
        <f>"2023-09-19 16:53:28"</f>
        <v>2023-09-19 16:53:28</v>
      </c>
      <c r="M14572" s="1" t="s">
        <v>4</v>
      </c>
      <c r="N14572" s="1" t="s">
        <v>38</v>
      </c>
      <c r="O14572" s="1" t="s">
        <v>46</v>
      </c>
    </row>
    <row r="14573" spans="2:15" x14ac:dyDescent="0.3">
      <c r="B14573" s="1" t="s">
        <v>19</v>
      </c>
      <c r="C14573" s="1" t="str">
        <f>"4차"</f>
        <v>4차</v>
      </c>
      <c r="D14573" s="1" t="str">
        <f>"0127C99541"</f>
        <v>0127C99541</v>
      </c>
      <c r="E14573" s="1" t="s">
        <v>10</v>
      </c>
      <c r="F14573" s="1" t="str">
        <f>"10.12.131.224"</f>
        <v>10.12.131.224</v>
      </c>
      <c r="G14573" s="1" t="str">
        <f>"0127C995"</f>
        <v>0127C995</v>
      </c>
      <c r="H14573" s="1" t="str">
        <f>"용문지 2R11"</f>
        <v>용문지 2R11</v>
      </c>
      <c r="I14573" s="1" t="s">
        <v>17</v>
      </c>
      <c r="J14573" s="1" t="str">
        <f>"7/7"</f>
        <v>7/7</v>
      </c>
      <c r="K14573" s="1" t="str">
        <f>"2026-07-29 13:18:03"</f>
        <v>2026-07-29 13:18:03</v>
      </c>
      <c r="L14573" s="1" t="str">
        <f>"2021-09-03 17:17:30"</f>
        <v>2021-09-03 17:17:30</v>
      </c>
      <c r="M14573" s="1" t="s">
        <v>0</v>
      </c>
      <c r="N14573" s="1" t="s">
        <v>38</v>
      </c>
      <c r="O14573" s="1" t="s">
        <v>46</v>
      </c>
    </row>
    <row r="14574" spans="2:15" x14ac:dyDescent="0.3">
      <c r="B14574" s="1" t="s">
        <v>19</v>
      </c>
      <c r="C14574" s="1" t="str">
        <f>"4차"</f>
        <v>4차</v>
      </c>
      <c r="D14574" s="1" t="str">
        <f>"0127D04141"</f>
        <v>0127D04141</v>
      </c>
      <c r="E14574" s="1" t="s">
        <v>10</v>
      </c>
      <c r="F14574" s="1" t="str">
        <f>"10.14.10.34"</f>
        <v>10.14.10.34</v>
      </c>
      <c r="G14574" s="1" t="str">
        <f>"0127D041"</f>
        <v>0127D041</v>
      </c>
      <c r="H14574" s="1" t="str">
        <f>"삼선지 12L2"</f>
        <v>삼선지 12L2</v>
      </c>
      <c r="I14574" s="1" t="s">
        <v>17</v>
      </c>
      <c r="J14574" s="1" t="str">
        <f>"41/47"</f>
        <v>41/47</v>
      </c>
      <c r="K14574" s="1" t="str">
        <f>"2026-07-29 13:18:02"</f>
        <v>2026-07-29 13:18:02</v>
      </c>
      <c r="L14574" s="1" t="str">
        <f>"2021-08-30 10:05:05"</f>
        <v>2021-08-30 10:05:05</v>
      </c>
      <c r="M14574" s="1" t="s">
        <v>3</v>
      </c>
      <c r="N14574" s="1" t="s">
        <v>38</v>
      </c>
      <c r="O14574" s="1" t="s">
        <v>46</v>
      </c>
    </row>
    <row r="14575" spans="2:15" x14ac:dyDescent="0.3">
      <c r="B14575" s="1" t="s">
        <v>19</v>
      </c>
      <c r="C14575" s="1" t="str">
        <f>"4차"</f>
        <v>4차</v>
      </c>
      <c r="D14575" s="1" t="str">
        <f>"0127D05745"</f>
        <v>0127D05745</v>
      </c>
      <c r="E14575" s="1" t="s">
        <v>10</v>
      </c>
      <c r="F14575" s="1" t="str">
        <f>"10.14.3.54"</f>
        <v>10.14.3.54</v>
      </c>
      <c r="G14575" s="1" t="str">
        <f>"0127D057"</f>
        <v>0127D057</v>
      </c>
      <c r="H14575" s="1" t="str">
        <f>"동소문 70"</f>
        <v>동소문 70</v>
      </c>
      <c r="I14575" s="1" t="s">
        <v>17</v>
      </c>
      <c r="J14575" s="1" t="str">
        <f>"16/16"</f>
        <v>16/16</v>
      </c>
      <c r="K14575" s="1" t="str">
        <f>"2026-07-29 13:18:02"</f>
        <v>2026-07-29 13:18:02</v>
      </c>
      <c r="L14575" s="1" t="str">
        <f>"2021-06-25 09:47:40"</f>
        <v>2021-06-25 09:47:40</v>
      </c>
      <c r="M14575" s="1" t="s">
        <v>3</v>
      </c>
      <c r="N14575" s="1" t="s">
        <v>38</v>
      </c>
      <c r="O14575" s="1" t="s">
        <v>46</v>
      </c>
    </row>
    <row r="14576" spans="2:15" x14ac:dyDescent="0.3">
      <c r="B14576" s="1" t="s">
        <v>19</v>
      </c>
      <c r="C14576" s="1" t="str">
        <f>"4차"</f>
        <v>4차</v>
      </c>
      <c r="D14576" s="1" t="str">
        <f>"0127D05939"</f>
        <v>0127D05939</v>
      </c>
      <c r="E14576" s="1" t="s">
        <v>10</v>
      </c>
      <c r="F14576" s="1" t="str">
        <f>"10.12.135.5"</f>
        <v>10.12.135.5</v>
      </c>
      <c r="G14576" s="1" t="str">
        <f>"0127D059"</f>
        <v>0127D059</v>
      </c>
      <c r="H14576" s="1" t="str">
        <f>"동소문 72"</f>
        <v>동소문 72</v>
      </c>
      <c r="I14576" s="1" t="s">
        <v>17</v>
      </c>
      <c r="J14576" s="1" t="str">
        <f>"3/3"</f>
        <v>3/3</v>
      </c>
      <c r="K14576" s="1" t="str">
        <f>"2026-07-29 13:18:02"</f>
        <v>2026-07-29 13:18:02</v>
      </c>
      <c r="L14576" s="1" t="str">
        <f>"2018-10-08 14:30:24"</f>
        <v>2018-10-08 14:30:24</v>
      </c>
      <c r="M14576" s="1" t="s">
        <v>0</v>
      </c>
      <c r="N14576" s="1" t="s">
        <v>38</v>
      </c>
      <c r="O14576" s="1" t="s">
        <v>46</v>
      </c>
    </row>
    <row r="14577" spans="2:15" x14ac:dyDescent="0.3">
      <c r="B14577" s="1" t="s">
        <v>19</v>
      </c>
      <c r="C14577" s="1" t="str">
        <f>"5-1차"</f>
        <v>5-1차</v>
      </c>
      <c r="D14577" s="1" t="str">
        <f>"0127D1035M"</f>
        <v>0127D1035M</v>
      </c>
      <c r="E14577" s="1" t="s">
        <v>10</v>
      </c>
      <c r="F14577" s="1" t="str">
        <f>"fde2:104:0:7b:0:0:0:2"</f>
        <v>fde2:104:0:7b:0:0:0:2</v>
      </c>
      <c r="G14577" s="1" t="str">
        <f>"0127D103"</f>
        <v>0127D103</v>
      </c>
      <c r="H14577" s="1" t="str">
        <f>"삼선지 17R1"</f>
        <v>삼선지 17R1</v>
      </c>
      <c r="I14577" s="1" t="s">
        <v>15</v>
      </c>
      <c r="J14577" s="1" t="str">
        <f>"41/41"</f>
        <v>41/41</v>
      </c>
      <c r="K14577" s="1" t="str">
        <f>"2026-07-29 14:20:03"</f>
        <v>2026-07-29 14:20:03</v>
      </c>
      <c r="L14577" s="1" t="str">
        <f>"2022-08-22 14:03:29"</f>
        <v>2022-08-22 14:03:29</v>
      </c>
      <c r="M14577" s="1" t="s">
        <v>42</v>
      </c>
      <c r="N14577" s="1" t="s">
        <v>38</v>
      </c>
      <c r="O14577" s="1" t="s">
        <v>46</v>
      </c>
    </row>
    <row r="14578" spans="2:15" x14ac:dyDescent="0.3">
      <c r="B14578" s="1" t="s">
        <v>19</v>
      </c>
      <c r="C14578" s="1" t="str">
        <f>"5-2차"</f>
        <v>5-2차</v>
      </c>
      <c r="D14578" s="1" t="str">
        <f>"0127D1525M"</f>
        <v>0127D1525M</v>
      </c>
      <c r="E14578" s="1" t="s">
        <v>10</v>
      </c>
      <c r="F14578" s="1" t="str">
        <f>"fde1:103:4:599d:0:0:0:2"</f>
        <v>fde1:103:4:599d:0:0:0:2</v>
      </c>
      <c r="G14578" s="1" t="str">
        <f>"0127D152"</f>
        <v>0127D152</v>
      </c>
      <c r="H14578" s="1" t="str">
        <f>"동소문SW 64L8R5"</f>
        <v>동소문SW 64L8R5</v>
      </c>
      <c r="I14578" s="1" t="s">
        <v>15</v>
      </c>
      <c r="J14578" s="1" t="str">
        <f>"33/33"</f>
        <v>33/33</v>
      </c>
      <c r="K14578" s="1" t="str">
        <f>"2026-07-29 14:20:02"</f>
        <v>2026-07-29 14:20:02</v>
      </c>
      <c r="L14578" s="1" t="str">
        <f>"2023-09-19 17:19:16"</f>
        <v>2023-09-19 17:19:16</v>
      </c>
      <c r="M14578" s="1" t="s">
        <v>4</v>
      </c>
      <c r="N14578" s="1" t="s">
        <v>38</v>
      </c>
      <c r="O14578" s="1" t="s">
        <v>46</v>
      </c>
    </row>
    <row r="14579" spans="2:15" x14ac:dyDescent="0.3">
      <c r="B14579" s="1" t="s">
        <v>19</v>
      </c>
      <c r="C14579" s="1" t="str">
        <f>"4차"</f>
        <v>4차</v>
      </c>
      <c r="D14579" s="1" t="str">
        <f>"0127D15745"</f>
        <v>0127D15745</v>
      </c>
      <c r="E14579" s="1" t="s">
        <v>10</v>
      </c>
      <c r="F14579" s="1" t="str">
        <f>"10.12.129.26"</f>
        <v>10.12.129.26</v>
      </c>
      <c r="G14579" s="1" t="str">
        <f>"0127D157"</f>
        <v>0127D157</v>
      </c>
      <c r="H14579" s="1" t="str">
        <f>"동소문 73"</f>
        <v>동소문 73</v>
      </c>
      <c r="I14579" s="1" t="s">
        <v>17</v>
      </c>
      <c r="J14579" s="1" t="str">
        <f>"1/1"</f>
        <v>1/1</v>
      </c>
      <c r="K14579" s="1" t="str">
        <f>"2026-07-29 13:18:02"</f>
        <v>2026-07-29 13:18:02</v>
      </c>
      <c r="L14579" s="1" t="str">
        <f>"2021-06-25 10:18:24"</f>
        <v>2021-06-25 10:18:24</v>
      </c>
      <c r="M14579" s="1" t="s">
        <v>0</v>
      </c>
      <c r="N14579" s="1" t="s">
        <v>38</v>
      </c>
      <c r="O14579" s="1" t="s">
        <v>46</v>
      </c>
    </row>
    <row r="14580" spans="2:15" x14ac:dyDescent="0.3">
      <c r="B14580" s="1" t="s">
        <v>19</v>
      </c>
      <c r="C14580" s="1" t="str">
        <f>"4차"</f>
        <v>4차</v>
      </c>
      <c r="D14580" s="1" t="str">
        <f>"0127D18341"</f>
        <v>0127D18341</v>
      </c>
      <c r="E14580" s="1" t="s">
        <v>10</v>
      </c>
      <c r="F14580" s="1" t="str">
        <f>"10.14.14.10"</f>
        <v>10.14.14.10</v>
      </c>
      <c r="G14580" s="1" t="str">
        <f>"0127D183"</f>
        <v>0127D183</v>
      </c>
      <c r="H14580" s="1" t="str">
        <f>"용문지 2R7L5"</f>
        <v>용문지 2R7L5</v>
      </c>
      <c r="I14580" s="1" t="s">
        <v>17</v>
      </c>
      <c r="J14580" s="1" t="str">
        <f>"1/1"</f>
        <v>1/1</v>
      </c>
      <c r="K14580" s="1" t="str">
        <f>"2026-07-29 13:18:02"</f>
        <v>2026-07-29 13:18:02</v>
      </c>
      <c r="L14580" s="1" t="str">
        <f>"2021-08-26 10:39:49"</f>
        <v>2021-08-26 10:39:49</v>
      </c>
      <c r="M14580" s="1" t="s">
        <v>3</v>
      </c>
      <c r="N14580" s="1" t="s">
        <v>38</v>
      </c>
      <c r="O14580" s="1" t="s">
        <v>46</v>
      </c>
    </row>
    <row r="14581" spans="2:15" x14ac:dyDescent="0.3">
      <c r="B14581" s="1" t="s">
        <v>19</v>
      </c>
      <c r="C14581" s="1" t="str">
        <f>"4차"</f>
        <v>4차</v>
      </c>
      <c r="D14581" s="1" t="str">
        <f>"0127D21441"</f>
        <v>0127D21441</v>
      </c>
      <c r="E14581" s="1" t="s">
        <v>10</v>
      </c>
      <c r="F14581" s="1" t="str">
        <f>"10.14.14.26"</f>
        <v>10.14.14.26</v>
      </c>
      <c r="G14581" s="1" t="str">
        <f>"0127D214"</f>
        <v>0127D214</v>
      </c>
      <c r="H14581" s="1" t="str">
        <f>"삼선지 16L2"</f>
        <v>삼선지 16L2</v>
      </c>
      <c r="I14581" s="1" t="s">
        <v>17</v>
      </c>
      <c r="J14581" s="1" t="str">
        <f>"62/66"</f>
        <v>62/66</v>
      </c>
      <c r="K14581" s="1" t="str">
        <f>"2026-07-29 13:18:02"</f>
        <v>2026-07-29 13:18:02</v>
      </c>
      <c r="L14581" s="1" t="str">
        <f>"2021-08-30 08:06:23"</f>
        <v>2021-08-30 08:06:23</v>
      </c>
      <c r="M14581" s="1" t="s">
        <v>3</v>
      </c>
      <c r="N14581" s="1" t="s">
        <v>38</v>
      </c>
      <c r="O14581" s="1" t="s">
        <v>46</v>
      </c>
    </row>
    <row r="14582" spans="2:15" x14ac:dyDescent="0.3">
      <c r="B14582" s="1" t="s">
        <v>19</v>
      </c>
      <c r="C14582" s="1" t="str">
        <f>"5-2차"</f>
        <v>5-2차</v>
      </c>
      <c r="D14582" s="1" t="str">
        <f>"0127D2225M"</f>
        <v>0127D2225M</v>
      </c>
      <c r="E14582" s="1" t="s">
        <v>10</v>
      </c>
      <c r="F14582" s="1" t="str">
        <f>"fde1:103:4:5956:0:0:0:2"</f>
        <v>fde1:103:4:5956:0:0:0:2</v>
      </c>
      <c r="G14582" s="1" t="str">
        <f>"0127D222"</f>
        <v>0127D222</v>
      </c>
      <c r="H14582" s="1" t="str">
        <f>"동소문SW 64L8R1"</f>
        <v>동소문SW 64L8R1</v>
      </c>
      <c r="I14582" s="1" t="s">
        <v>15</v>
      </c>
      <c r="J14582" s="1" t="str">
        <f>"20/20"</f>
        <v>20/20</v>
      </c>
      <c r="K14582" s="1" t="str">
        <f>"2026-07-29 14:20:02"</f>
        <v>2026-07-29 14:20:02</v>
      </c>
      <c r="L14582" s="1" t="str">
        <f>"2023-09-19 17:20:05"</f>
        <v>2023-09-19 17:20:05</v>
      </c>
      <c r="M14582" s="1" t="s">
        <v>4</v>
      </c>
      <c r="N14582" s="1" t="s">
        <v>38</v>
      </c>
      <c r="O14582" s="1" t="s">
        <v>46</v>
      </c>
    </row>
    <row r="14583" spans="2:15" x14ac:dyDescent="0.3">
      <c r="B14583" s="1" t="s">
        <v>19</v>
      </c>
      <c r="C14583" s="1" t="str">
        <f>"5-2차"</f>
        <v>5-2차</v>
      </c>
      <c r="D14583" s="1" t="str">
        <f>"0127D2335M"</f>
        <v>0127D2335M</v>
      </c>
      <c r="E14583" s="1" t="s">
        <v>10</v>
      </c>
      <c r="F14583" s="1" t="str">
        <f>"fde1:103:4:59bd:0:0:0:2"</f>
        <v>fde1:103:4:59bd:0:0:0:2</v>
      </c>
      <c r="G14583" s="1" t="str">
        <f>"0127D233"</f>
        <v>0127D233</v>
      </c>
      <c r="H14583" s="1" t="str">
        <f>"동소문SW 64L8R3R1"</f>
        <v>동소문SW 64L8R3R1</v>
      </c>
      <c r="I14583" s="1" t="s">
        <v>15</v>
      </c>
      <c r="J14583" s="1" t="str">
        <f>"76/78"</f>
        <v>76/78</v>
      </c>
      <c r="K14583" s="1" t="str">
        <f>"2026-07-29 14:20:06"</f>
        <v>2026-07-29 14:20:06</v>
      </c>
      <c r="L14583" s="1" t="str">
        <f>"2023-09-20 11:00:45"</f>
        <v>2023-09-20 11:00:45</v>
      </c>
      <c r="M14583" s="1" t="s">
        <v>4</v>
      </c>
      <c r="N14583" s="1" t="s">
        <v>38</v>
      </c>
      <c r="O14583" s="1" t="s">
        <v>46</v>
      </c>
    </row>
    <row r="14584" spans="2:15" x14ac:dyDescent="0.3">
      <c r="B14584" s="1" t="s">
        <v>19</v>
      </c>
      <c r="C14584" s="1" t="str">
        <f>"5-2차"</f>
        <v>5-2차</v>
      </c>
      <c r="D14584" s="1" t="str">
        <f>"0127D2415M"</f>
        <v>0127D2415M</v>
      </c>
      <c r="E14584" s="1" t="s">
        <v>10</v>
      </c>
      <c r="F14584" s="1" t="str">
        <f>"fde3:102:1410:6100:0:0:0:5"</f>
        <v>fde3:102:1410:6100:0:0:0:5</v>
      </c>
      <c r="G14584" s="1" t="str">
        <f>"0127D241"</f>
        <v>0127D241</v>
      </c>
      <c r="H14584" s="1" t="str">
        <f>"동소문SW 64L4R1"</f>
        <v>동소문SW 64L4R1</v>
      </c>
      <c r="I14584" s="1" t="s">
        <v>15</v>
      </c>
      <c r="J14584" s="1" t="str">
        <f>"41/41"</f>
        <v>41/41</v>
      </c>
      <c r="K14584" s="1" t="str">
        <f>"2026-07-29 14:20:11"</f>
        <v>2026-07-29 14:20:11</v>
      </c>
      <c r="L14584" s="1" t="str">
        <f>"2023-11-30 14:06:29"</f>
        <v>2023-11-30 14:06:29</v>
      </c>
      <c r="M14584" s="1" t="s">
        <v>45</v>
      </c>
      <c r="N14584" s="1" t="s">
        <v>38</v>
      </c>
      <c r="O14584" s="1" t="s">
        <v>46</v>
      </c>
    </row>
    <row r="14585" spans="2:15" x14ac:dyDescent="0.3">
      <c r="B14585" s="1" t="s">
        <v>19</v>
      </c>
      <c r="C14585" s="1" t="str">
        <f>"4차"</f>
        <v>4차</v>
      </c>
      <c r="D14585" s="1" t="str">
        <f>"0127D25241"</f>
        <v>0127D25241</v>
      </c>
      <c r="E14585" s="1" t="s">
        <v>10</v>
      </c>
      <c r="F14585" s="1" t="str">
        <f>"10.12.134.133"</f>
        <v>10.12.134.133</v>
      </c>
      <c r="G14585" s="1" t="str">
        <f>"0127D252"</f>
        <v>0127D252</v>
      </c>
      <c r="H14585" s="1" t="str">
        <f>"동소문SW 64L2R2"</f>
        <v>동소문SW 64L2R2</v>
      </c>
      <c r="I14585" s="1" t="s">
        <v>17</v>
      </c>
      <c r="J14585" s="1" t="str">
        <f>"24/24"</f>
        <v>24/24</v>
      </c>
      <c r="K14585" s="1" t="str">
        <f>"2026-07-29 13:18:02"</f>
        <v>2026-07-29 13:18:02</v>
      </c>
      <c r="L14585" s="1" t="str">
        <f>"2021-08-30 09:27:58"</f>
        <v>2021-08-30 09:27:58</v>
      </c>
      <c r="M14585" s="1" t="s">
        <v>0</v>
      </c>
      <c r="N14585" s="1" t="s">
        <v>38</v>
      </c>
      <c r="O14585" s="1" t="s">
        <v>46</v>
      </c>
    </row>
    <row r="14586" spans="2:15" x14ac:dyDescent="0.3">
      <c r="B14586" s="1" t="s">
        <v>19</v>
      </c>
      <c r="C14586" s="1" t="str">
        <f>"4차"</f>
        <v>4차</v>
      </c>
      <c r="D14586" s="1" t="str">
        <f>"0127D27439"</f>
        <v>0127D27439</v>
      </c>
      <c r="E14586" s="1" t="s">
        <v>10</v>
      </c>
      <c r="F14586" s="1" t="str">
        <f>"10.12.132.178"</f>
        <v>10.12.132.178</v>
      </c>
      <c r="G14586" s="1" t="str">
        <f>"0127D274"</f>
        <v>0127D274</v>
      </c>
      <c r="H14586" s="1" t="str">
        <f>"용문지 2R7L7"</f>
        <v>용문지 2R7L7</v>
      </c>
      <c r="I14586" s="1" t="s">
        <v>8</v>
      </c>
      <c r="J14586" s="1" t="str">
        <f>"13/71"</f>
        <v>13/71</v>
      </c>
      <c r="K14586" s="1" t="str">
        <f>"2026-07-29 13:18:02"</f>
        <v>2026-07-29 13:18:02</v>
      </c>
      <c r="L14586" s="1" t="str">
        <f>"2018-09-13 08:46:22"</f>
        <v>2018-09-13 08:46:22</v>
      </c>
      <c r="M14586" s="1" t="s">
        <v>0</v>
      </c>
      <c r="N14586" s="1" t="s">
        <v>38</v>
      </c>
      <c r="O14586" s="1" t="s">
        <v>46</v>
      </c>
    </row>
    <row r="14587" spans="2:15" x14ac:dyDescent="0.3">
      <c r="B14587" s="1" t="s">
        <v>19</v>
      </c>
      <c r="C14587" s="1" t="str">
        <f>"4차"</f>
        <v>4차</v>
      </c>
      <c r="D14587" s="1" t="str">
        <f>"0127D29144"</f>
        <v>0127D29144</v>
      </c>
      <c r="E14587" s="1" t="s">
        <v>10</v>
      </c>
      <c r="F14587" s="1" t="str">
        <f>"10.107.12.81"</f>
        <v>10.107.12.81</v>
      </c>
      <c r="G14587" s="1" t="str">
        <f>"0127D291"</f>
        <v>0127D291</v>
      </c>
      <c r="H14587" s="1" t="str">
        <f>"용문지 2R7L4"</f>
        <v>용문지 2R7L4</v>
      </c>
      <c r="I14587" s="1" t="s">
        <v>8</v>
      </c>
      <c r="J14587" s="1" t="str">
        <f>"20/29"</f>
        <v>20/29</v>
      </c>
      <c r="K14587" s="1" t="str">
        <f>"2026-07-29 13:18:01"</f>
        <v>2026-07-29 13:18:01</v>
      </c>
      <c r="L14587" s="1" t="str">
        <f>"2019-11-12 20:19:57"</f>
        <v>2019-11-12 20:19:57</v>
      </c>
      <c r="M14587" s="1" t="s">
        <v>45</v>
      </c>
      <c r="N14587" s="1" t="s">
        <v>38</v>
      </c>
      <c r="O14587" s="1" t="s">
        <v>46</v>
      </c>
    </row>
    <row r="14588" spans="2:15" x14ac:dyDescent="0.3">
      <c r="B14588" s="1" t="s">
        <v>19</v>
      </c>
      <c r="C14588" s="1" t="str">
        <f>"4차"</f>
        <v>4차</v>
      </c>
      <c r="D14588" s="1" t="str">
        <f>"0127D30244"</f>
        <v>0127D30244</v>
      </c>
      <c r="E14588" s="1" t="s">
        <v>10</v>
      </c>
      <c r="F14588" s="1" t="str">
        <f>"10.107.118.46"</f>
        <v>10.107.118.46</v>
      </c>
      <c r="G14588" s="1" t="str">
        <f>"0127D302"</f>
        <v>0127D302</v>
      </c>
      <c r="H14588" s="1" t="str">
        <f>"용문지 19R3"</f>
        <v>용문지 19R3</v>
      </c>
      <c r="I14588" s="1" t="s">
        <v>8</v>
      </c>
      <c r="J14588" s="1" t="str">
        <f>"92/92"</f>
        <v>92/92</v>
      </c>
      <c r="K14588" s="1" t="str">
        <f>"2026-07-29 13:18:01"</f>
        <v>2026-07-29 13:18:01</v>
      </c>
      <c r="L14588" s="1" t="str">
        <f>"2019-11-12 14:32:18"</f>
        <v>2019-11-12 14:32:18</v>
      </c>
      <c r="M14588" s="1" t="s">
        <v>45</v>
      </c>
      <c r="N14588" s="1" t="s">
        <v>38</v>
      </c>
      <c r="O14588" s="1" t="s">
        <v>46</v>
      </c>
    </row>
    <row r="14589" spans="2:15" x14ac:dyDescent="0.3">
      <c r="B14589" s="1" t="s">
        <v>19</v>
      </c>
      <c r="C14589" s="1" t="str">
        <f>"4차"</f>
        <v>4차</v>
      </c>
      <c r="D14589" s="1" t="str">
        <f>"0127D31239"</f>
        <v>0127D31239</v>
      </c>
      <c r="E14589" s="1" t="s">
        <v>10</v>
      </c>
      <c r="F14589" s="1" t="str">
        <f>"10.12.132.35"</f>
        <v>10.12.132.35</v>
      </c>
      <c r="G14589" s="1" t="str">
        <f>"0127D312"</f>
        <v>0127D312</v>
      </c>
      <c r="H14589" s="1" t="str">
        <f>"용문지 19R2"</f>
        <v>용문지 19R2</v>
      </c>
      <c r="I14589" s="1" t="s">
        <v>17</v>
      </c>
      <c r="J14589" s="1" t="str">
        <f>"57/72"</f>
        <v>57/72</v>
      </c>
      <c r="K14589" s="1" t="str">
        <f>"2026-07-29 13:18:02"</f>
        <v>2026-07-29 13:18:02</v>
      </c>
      <c r="L14589" s="1" t="str">
        <f>"2018-12-17 14:50:28"</f>
        <v>2018-12-17 14:50:28</v>
      </c>
      <c r="M14589" s="1" t="s">
        <v>0</v>
      </c>
      <c r="N14589" s="1" t="s">
        <v>38</v>
      </c>
      <c r="O14589" s="1" t="s">
        <v>46</v>
      </c>
    </row>
    <row r="14590" spans="2:15" x14ac:dyDescent="0.3">
      <c r="B14590" s="1" t="s">
        <v>19</v>
      </c>
      <c r="C14590" s="1" t="str">
        <f>"5-2차"</f>
        <v>5-2차</v>
      </c>
      <c r="D14590" s="1" t="str">
        <f>"0127D3215M"</f>
        <v>0127D3215M</v>
      </c>
      <c r="E14590" s="1" t="s">
        <v>10</v>
      </c>
      <c r="F14590" s="1" t="str">
        <f>"fde1:103:4:58a4:0:0:0:2"</f>
        <v>fde1:103:4:58a4:0:0:0:2</v>
      </c>
      <c r="G14590" s="1" t="str">
        <f>"0127D321"</f>
        <v>0127D321</v>
      </c>
      <c r="H14590" s="1" t="str">
        <f>"용문지 18L1R1"</f>
        <v>용문지 18L1R1</v>
      </c>
      <c r="I14590" s="1" t="s">
        <v>15</v>
      </c>
      <c r="J14590" s="1" t="str">
        <f>"53/53"</f>
        <v>53/53</v>
      </c>
      <c r="K14590" s="1" t="str">
        <f>"2026-07-29 14:20:03"</f>
        <v>2026-07-29 14:20:03</v>
      </c>
      <c r="L14590" s="1" t="str">
        <f>"2023-09-20 11:02:22"</f>
        <v>2023-09-20 11:02:22</v>
      </c>
      <c r="M14590" s="1" t="s">
        <v>4</v>
      </c>
      <c r="N14590" s="1" t="s">
        <v>38</v>
      </c>
      <c r="O14590" s="1" t="s">
        <v>46</v>
      </c>
    </row>
    <row r="14591" spans="2:15" x14ac:dyDescent="0.3">
      <c r="B14591" s="1" t="s">
        <v>19</v>
      </c>
      <c r="C14591" s="1" t="str">
        <f>"5-2차"</f>
        <v>5-2차</v>
      </c>
      <c r="D14591" s="1" t="str">
        <f>"0127D3415M"</f>
        <v>0127D3415M</v>
      </c>
      <c r="E14591" s="1" t="s">
        <v>10</v>
      </c>
      <c r="F14591" s="1" t="str">
        <f>"fde1:103:4:5927:0:0:0:2"</f>
        <v>fde1:103:4:5927:0:0:0:2</v>
      </c>
      <c r="G14591" s="1" t="str">
        <f>"0127D341"</f>
        <v>0127D341</v>
      </c>
      <c r="H14591" s="1" t="str">
        <f>"동소문SW 64L6"</f>
        <v>동소문SW 64L6</v>
      </c>
      <c r="I14591" s="1" t="s">
        <v>15</v>
      </c>
      <c r="J14591" s="1" t="str">
        <f>"65/65"</f>
        <v>65/65</v>
      </c>
      <c r="K14591" s="1" t="str">
        <f>"2026-07-29 14:20:40"</f>
        <v>2026-07-29 14:20:40</v>
      </c>
      <c r="L14591" s="1" t="str">
        <f>"2023-09-20 11:03:36"</f>
        <v>2023-09-20 11:03:36</v>
      </c>
      <c r="M14591" s="1" t="s">
        <v>4</v>
      </c>
      <c r="N14591" s="1" t="s">
        <v>38</v>
      </c>
      <c r="O14591" s="1" t="s">
        <v>46</v>
      </c>
    </row>
    <row r="14592" spans="2:15" x14ac:dyDescent="0.3">
      <c r="B14592" s="1" t="s">
        <v>19</v>
      </c>
      <c r="C14592" s="1" t="str">
        <f>"4차"</f>
        <v>4차</v>
      </c>
      <c r="D14592" s="1" t="str">
        <f>"0127D34241"</f>
        <v>0127D34241</v>
      </c>
      <c r="E14592" s="1" t="s">
        <v>10</v>
      </c>
      <c r="F14592" s="1" t="str">
        <f>"10.12.138.85"</f>
        <v>10.12.138.85</v>
      </c>
      <c r="G14592" s="1" t="str">
        <f>"0127D342"</f>
        <v>0127D342</v>
      </c>
      <c r="H14592" s="1" t="str">
        <f>"용문지 15R1"</f>
        <v>용문지 15R1</v>
      </c>
      <c r="I14592" s="1" t="s">
        <v>17</v>
      </c>
      <c r="J14592" s="1" t="str">
        <f>"36/36"</f>
        <v>36/36</v>
      </c>
      <c r="K14592" s="1" t="str">
        <f>"2026-07-29 13:18:02"</f>
        <v>2026-07-29 13:18:02</v>
      </c>
      <c r="L14592" s="1" t="str">
        <f>"2021-06-17 13:47:24"</f>
        <v>2021-06-17 13:47:24</v>
      </c>
      <c r="M14592" s="1" t="s">
        <v>0</v>
      </c>
      <c r="N14592" s="1" t="s">
        <v>38</v>
      </c>
      <c r="O14592" s="1" t="s">
        <v>46</v>
      </c>
    </row>
    <row r="14593" spans="2:15" x14ac:dyDescent="0.3">
      <c r="B14593" s="1" t="s">
        <v>19</v>
      </c>
      <c r="C14593" s="1" t="str">
        <f>"5-2차"</f>
        <v>5-2차</v>
      </c>
      <c r="D14593" s="1" t="str">
        <f>"0127D3445M"</f>
        <v>0127D3445M</v>
      </c>
      <c r="E14593" s="1" t="s">
        <v>10</v>
      </c>
      <c r="F14593" s="1" t="str">
        <f>"fde3:102:1410:6100:0:0:0:6"</f>
        <v>fde3:102:1410:6100:0:0:0:6</v>
      </c>
      <c r="G14593" s="1" t="str">
        <f>"0127D344"</f>
        <v>0127D344</v>
      </c>
      <c r="H14593" s="1" t="str">
        <f>"동소문SW 64L5"</f>
        <v>동소문SW 64L5</v>
      </c>
      <c r="I14593" s="1" t="s">
        <v>15</v>
      </c>
      <c r="J14593" s="1" t="str">
        <f>"63/63"</f>
        <v>63/63</v>
      </c>
      <c r="K14593" s="1" t="str">
        <f>"2026-07-29 14:20:16"</f>
        <v>2026-07-29 14:20:16</v>
      </c>
      <c r="L14593" s="1" t="str">
        <f>"2023-08-23 21:18:10"</f>
        <v>2023-08-23 21:18:10</v>
      </c>
      <c r="M14593" s="1" t="s">
        <v>45</v>
      </c>
      <c r="N14593" s="1" t="s">
        <v>38</v>
      </c>
      <c r="O14593" s="1" t="s">
        <v>46</v>
      </c>
    </row>
    <row r="14594" spans="2:15" x14ac:dyDescent="0.3">
      <c r="B14594" s="1" t="s">
        <v>19</v>
      </c>
      <c r="C14594" s="1" t="str">
        <f>"5-2차"</f>
        <v>5-2차</v>
      </c>
      <c r="D14594" s="1" t="str">
        <f>"0127D3515M"</f>
        <v>0127D3515M</v>
      </c>
      <c r="E14594" s="1" t="s">
        <v>10</v>
      </c>
      <c r="F14594" s="1" t="str">
        <f>"fde1:103:4:5777:0:0:0:2"</f>
        <v>fde1:103:4:5777:0:0:0:2</v>
      </c>
      <c r="G14594" s="1" t="str">
        <f>"0127D351"</f>
        <v>0127D351</v>
      </c>
      <c r="H14594" s="1" t="str">
        <f>"동소문SW 64L2"</f>
        <v>동소문SW 64L2</v>
      </c>
      <c r="I14594" s="1" t="s">
        <v>15</v>
      </c>
      <c r="J14594" s="1" t="str">
        <f>"32/32"</f>
        <v>32/32</v>
      </c>
      <c r="K14594" s="1" t="str">
        <f>"2026-07-29 14:20:34"</f>
        <v>2026-07-29 14:20:34</v>
      </c>
      <c r="L14594" s="1" t="str">
        <f>"2023-09-20 11:16:04"</f>
        <v>2023-09-20 11:16:04</v>
      </c>
      <c r="M14594" s="1" t="s">
        <v>4</v>
      </c>
      <c r="N14594" s="1" t="s">
        <v>38</v>
      </c>
      <c r="O14594" s="1" t="s">
        <v>46</v>
      </c>
    </row>
    <row r="14595" spans="2:15" x14ac:dyDescent="0.3">
      <c r="B14595" s="1" t="s">
        <v>19</v>
      </c>
      <c r="C14595" s="1" t="str">
        <f>"4차"</f>
        <v>4차</v>
      </c>
      <c r="D14595" s="1" t="str">
        <f>"0127D36245"</f>
        <v>0127D36245</v>
      </c>
      <c r="E14595" s="1" t="s">
        <v>10</v>
      </c>
      <c r="F14595" s="1" t="str">
        <f>"10.14.12.53"</f>
        <v>10.14.12.53</v>
      </c>
      <c r="G14595" s="1" t="str">
        <f>"0127D362"</f>
        <v>0127D362</v>
      </c>
      <c r="H14595" s="1" t="str">
        <f>"동소문 75"</f>
        <v>동소문 75</v>
      </c>
      <c r="I14595" s="1" t="s">
        <v>17</v>
      </c>
      <c r="J14595" s="1" t="str">
        <f>"5/5"</f>
        <v>5/5</v>
      </c>
      <c r="K14595" s="1" t="str">
        <f>"2026-07-29 13:18:03"</f>
        <v>2026-07-29 13:18:03</v>
      </c>
      <c r="L14595" s="1" t="str">
        <f>"2021-06-25 11:00:19"</f>
        <v>2021-06-25 11:00:19</v>
      </c>
      <c r="M14595" s="1" t="s">
        <v>3</v>
      </c>
      <c r="N14595" s="1" t="s">
        <v>38</v>
      </c>
      <c r="O14595" s="1" t="s">
        <v>46</v>
      </c>
    </row>
    <row r="14596" spans="2:15" x14ac:dyDescent="0.3">
      <c r="B14596" s="1" t="s">
        <v>19</v>
      </c>
      <c r="C14596" s="1" t="str">
        <f>"4차"</f>
        <v>4차</v>
      </c>
      <c r="D14596" s="1" t="str">
        <f>"0127D37341"</f>
        <v>0127D37341</v>
      </c>
      <c r="E14596" s="1" t="s">
        <v>10</v>
      </c>
      <c r="F14596" s="1" t="str">
        <f>"10.12.133.169"</f>
        <v>10.12.133.169</v>
      </c>
      <c r="G14596" s="1" t="str">
        <f>"0127D373"</f>
        <v>0127D373</v>
      </c>
      <c r="H14596" s="1" t="str">
        <f>"용문지 2D10"</f>
        <v>용문지 2D10</v>
      </c>
      <c r="I14596" s="1" t="s">
        <v>17</v>
      </c>
      <c r="J14596" s="1" t="str">
        <f>"64/64"</f>
        <v>64/64</v>
      </c>
      <c r="K14596" s="1" t="str">
        <f>"2026-07-29 13:18:02"</f>
        <v>2026-07-29 13:18:02</v>
      </c>
      <c r="L14596" s="1" t="str">
        <f>"2021-08-26 09:44:38"</f>
        <v>2021-08-26 09:44:38</v>
      </c>
      <c r="M14596" s="1" t="s">
        <v>0</v>
      </c>
      <c r="N14596" s="1" t="s">
        <v>38</v>
      </c>
      <c r="O14596" s="1" t="s">
        <v>46</v>
      </c>
    </row>
    <row r="14597" spans="2:15" x14ac:dyDescent="0.3">
      <c r="B14597" s="1" t="s">
        <v>19</v>
      </c>
      <c r="C14597" s="1" t="str">
        <f>"5-2차"</f>
        <v>5-2차</v>
      </c>
      <c r="D14597" s="1" t="str">
        <f>"0127D4115M"</f>
        <v>0127D4115M</v>
      </c>
      <c r="E14597" s="1" t="s">
        <v>10</v>
      </c>
      <c r="F14597" s="1" t="str">
        <f>"fde1:103:4:5880:0:0:0:2"</f>
        <v>fde1:103:4:5880:0:0:0:2</v>
      </c>
      <c r="G14597" s="1" t="str">
        <f>"0127D411"</f>
        <v>0127D411</v>
      </c>
      <c r="H14597" s="1" t="str">
        <f>"용문지 20"</f>
        <v>용문지 20</v>
      </c>
      <c r="I14597" s="1" t="s">
        <v>15</v>
      </c>
      <c r="J14597" s="1" t="str">
        <f>"90/90"</f>
        <v>90/90</v>
      </c>
      <c r="K14597" s="1" t="str">
        <f>"2026-07-29 14:20:34"</f>
        <v>2026-07-29 14:20:34</v>
      </c>
      <c r="L14597" s="1" t="str">
        <f>"2023-09-20 11:17:12"</f>
        <v>2023-09-20 11:17:12</v>
      </c>
      <c r="M14597" s="1" t="s">
        <v>4</v>
      </c>
      <c r="N14597" s="1" t="s">
        <v>38</v>
      </c>
      <c r="O14597" s="1" t="s">
        <v>46</v>
      </c>
    </row>
    <row r="14598" spans="2:15" x14ac:dyDescent="0.3">
      <c r="B14598" s="1" t="s">
        <v>19</v>
      </c>
      <c r="C14598" s="1" t="str">
        <f>"5-2차"</f>
        <v>5-2차</v>
      </c>
      <c r="D14598" s="1" t="str">
        <f>"0127D4145M"</f>
        <v>0127D4145M</v>
      </c>
      <c r="E14598" s="1" t="s">
        <v>10</v>
      </c>
      <c r="F14598" s="1" t="str">
        <f>"fde1:103:4:5760:0:0:0:2"</f>
        <v>fde1:103:4:5760:0:0:0:2</v>
      </c>
      <c r="G14598" s="1" t="str">
        <f>"0127D414"</f>
        <v>0127D414</v>
      </c>
      <c r="H14598" s="1" t="str">
        <f>"용문지 20R1"</f>
        <v>용문지 20R1</v>
      </c>
      <c r="I14598" s="1" t="s">
        <v>15</v>
      </c>
      <c r="J14598" s="1" t="str">
        <f>"103/104"</f>
        <v>103/104</v>
      </c>
      <c r="K14598" s="1" t="str">
        <f>"2026-07-29 14:20:06"</f>
        <v>2026-07-29 14:20:06</v>
      </c>
      <c r="L14598" s="1" t="str">
        <f>"2023-09-20 11:18:32"</f>
        <v>2023-09-20 11:18:32</v>
      </c>
      <c r="M14598" s="1" t="s">
        <v>4</v>
      </c>
      <c r="N14598" s="1" t="s">
        <v>38</v>
      </c>
      <c r="O14598" s="1" t="s">
        <v>46</v>
      </c>
    </row>
    <row r="14599" spans="2:15" x14ac:dyDescent="0.3">
      <c r="B14599" s="1" t="s">
        <v>19</v>
      </c>
      <c r="C14599" s="1" t="str">
        <f>"4차"</f>
        <v>4차</v>
      </c>
      <c r="D14599" s="1" t="str">
        <f>"0127D44141"</f>
        <v>0127D44141</v>
      </c>
      <c r="E14599" s="1" t="s">
        <v>10</v>
      </c>
      <c r="F14599" s="1" t="str">
        <f>"10.14.4.18"</f>
        <v>10.14.4.18</v>
      </c>
      <c r="G14599" s="1" t="str">
        <f>"0127D441"</f>
        <v>0127D441</v>
      </c>
      <c r="H14599" s="1" t="str">
        <f>"용문지 16"</f>
        <v>용문지 16</v>
      </c>
      <c r="I14599" s="1" t="s">
        <v>17</v>
      </c>
      <c r="J14599" s="1" t="str">
        <f>"73/77"</f>
        <v>73/77</v>
      </c>
      <c r="K14599" s="1" t="str">
        <f>"2026-07-29 13:18:03"</f>
        <v>2026-07-29 13:18:03</v>
      </c>
      <c r="L14599" s="1" t="str">
        <f>"2021-08-26 08:27:48"</f>
        <v>2021-08-26 08:27:48</v>
      </c>
      <c r="M14599" s="1" t="s">
        <v>3</v>
      </c>
      <c r="N14599" s="1" t="s">
        <v>38</v>
      </c>
      <c r="O14599" s="1" t="s">
        <v>46</v>
      </c>
    </row>
    <row r="14600" spans="2:15" x14ac:dyDescent="0.3">
      <c r="B14600" s="1" t="s">
        <v>19</v>
      </c>
      <c r="C14600" s="1" t="str">
        <f>"6차"</f>
        <v>6차</v>
      </c>
      <c r="D14600" s="1" t="str">
        <f>"0127D4426S"</f>
        <v>0127D4426S</v>
      </c>
      <c r="E14600" s="1" t="s">
        <v>10</v>
      </c>
      <c r="F14600" s="1" t="str">
        <f>"fde1:103:4:911d:0:0:0:2"</f>
        <v>fde1:103:4:911d:0:0:0:2</v>
      </c>
      <c r="G14600" s="1" t="str">
        <f>"0127D442"</f>
        <v>0127D442</v>
      </c>
      <c r="H14600" s="1" t="str">
        <f>"용문지 15"</f>
        <v>용문지 15</v>
      </c>
      <c r="I14600" s="1" t="s">
        <v>15</v>
      </c>
      <c r="J14600" s="1" t="str">
        <f>"114/134"</f>
        <v>114/134</v>
      </c>
      <c r="K14600" s="1" t="str">
        <f>"2026-07-29 14:20:03"</f>
        <v>2026-07-29 14:20:03</v>
      </c>
      <c r="L14600" s="1" t="str">
        <f>"2024-10-29 17:01:39"</f>
        <v>2024-10-29 17:01:39</v>
      </c>
      <c r="M14600" s="1" t="s">
        <v>4</v>
      </c>
      <c r="N14600" s="1" t="s">
        <v>38</v>
      </c>
      <c r="O14600" s="1" t="s">
        <v>46</v>
      </c>
    </row>
    <row r="14601" spans="2:15" x14ac:dyDescent="0.3">
      <c r="B14601" s="1" t="s">
        <v>19</v>
      </c>
      <c r="C14601" s="1" t="str">
        <f>"4차"</f>
        <v>4차</v>
      </c>
      <c r="D14601" s="1" t="str">
        <f>"0127D46445"</f>
        <v>0127D46445</v>
      </c>
      <c r="E14601" s="1" t="s">
        <v>10</v>
      </c>
      <c r="F14601" s="1" t="str">
        <f>"10.14.4.59"</f>
        <v>10.14.4.59</v>
      </c>
      <c r="G14601" s="1" t="str">
        <f>"0127D464"</f>
        <v>0127D464</v>
      </c>
      <c r="H14601" s="1" t="str">
        <f>"동소문 74"</f>
        <v>동소문 74</v>
      </c>
      <c r="I14601" s="1" t="s">
        <v>17</v>
      </c>
      <c r="J14601" s="1" t="str">
        <f>"10/14"</f>
        <v>10/14</v>
      </c>
      <c r="K14601" s="1" t="str">
        <f>"2026-07-29 13:18:03"</f>
        <v>2026-07-29 13:18:03</v>
      </c>
      <c r="L14601" s="1" t="str">
        <f>"2021-06-25 11:13:51"</f>
        <v>2021-06-25 11:13:51</v>
      </c>
      <c r="M14601" s="1" t="s">
        <v>3</v>
      </c>
      <c r="N14601" s="1" t="s">
        <v>38</v>
      </c>
      <c r="O14601" s="1" t="s">
        <v>46</v>
      </c>
    </row>
    <row r="14602" spans="2:15" x14ac:dyDescent="0.3">
      <c r="B14602" s="1" t="s">
        <v>19</v>
      </c>
      <c r="C14602" s="1" t="str">
        <f>"4차"</f>
        <v>4차</v>
      </c>
      <c r="D14602" s="1" t="str">
        <f>"0127D47141"</f>
        <v>0127D47141</v>
      </c>
      <c r="E14602" s="1" t="s">
        <v>10</v>
      </c>
      <c r="F14602" s="1" t="str">
        <f>"10.12.131.165"</f>
        <v>10.12.131.165</v>
      </c>
      <c r="G14602" s="1" t="str">
        <f>"0127D471"</f>
        <v>0127D471</v>
      </c>
      <c r="H14602" s="1" t="str">
        <f>"용문지 12"</f>
        <v>용문지 12</v>
      </c>
      <c r="I14602" s="1" t="s">
        <v>17</v>
      </c>
      <c r="J14602" s="1" t="str">
        <f>"36/39"</f>
        <v>36/39</v>
      </c>
      <c r="K14602" s="1" t="str">
        <f>"2026-07-29 13:18:01"</f>
        <v>2026-07-29 13:18:01</v>
      </c>
      <c r="L14602" s="1" t="str">
        <f>"2021-08-26 09:09:16"</f>
        <v>2021-08-26 09:09:16</v>
      </c>
      <c r="M14602" s="1" t="s">
        <v>0</v>
      </c>
      <c r="N14602" s="1" t="s">
        <v>38</v>
      </c>
      <c r="O14602" s="1" t="s">
        <v>46</v>
      </c>
    </row>
    <row r="14603" spans="2:15" x14ac:dyDescent="0.3">
      <c r="B14603" s="1" t="s">
        <v>19</v>
      </c>
      <c r="C14603" s="1" t="str">
        <f>"5-2차"</f>
        <v>5-2차</v>
      </c>
      <c r="D14603" s="1" t="str">
        <f>"0127D5055M"</f>
        <v>0127D5055M</v>
      </c>
      <c r="E14603" s="1" t="s">
        <v>10</v>
      </c>
      <c r="F14603" s="1" t="str">
        <f>"fde1:103:4:5a38:0:0:0:2"</f>
        <v>fde1:103:4:5a38:0:0:0:2</v>
      </c>
      <c r="G14603" s="1" t="str">
        <f>"0127D505"</f>
        <v>0127D505</v>
      </c>
      <c r="H14603" s="1" t="str">
        <f>"용문지 22R1"</f>
        <v>용문지 22R1</v>
      </c>
      <c r="I14603" s="1" t="s">
        <v>15</v>
      </c>
      <c r="J14603" s="1" t="str">
        <f>"79/79"</f>
        <v>79/79</v>
      </c>
      <c r="K14603" s="1" t="str">
        <f>"2026-07-29 14:20:02"</f>
        <v>2026-07-29 14:20:02</v>
      </c>
      <c r="L14603" s="1" t="str">
        <f>"2023-09-20 11:27:41"</f>
        <v>2023-09-20 11:27:41</v>
      </c>
      <c r="M14603" s="1" t="s">
        <v>4</v>
      </c>
      <c r="N14603" s="1" t="s">
        <v>38</v>
      </c>
      <c r="O14603" s="1" t="s">
        <v>46</v>
      </c>
    </row>
    <row r="14604" spans="2:15" x14ac:dyDescent="0.3">
      <c r="B14604" s="1" t="s">
        <v>19</v>
      </c>
      <c r="C14604" s="1" t="str">
        <f>"5-2차"</f>
        <v>5-2차</v>
      </c>
      <c r="D14604" s="1" t="str">
        <f>"0127D5215M"</f>
        <v>0127D5215M</v>
      </c>
      <c r="E14604" s="1" t="s">
        <v>10</v>
      </c>
      <c r="F14604" s="1" t="str">
        <f>"fde3:102:1410:6100:0:0:0:4"</f>
        <v>fde3:102:1410:6100:0:0:0:4</v>
      </c>
      <c r="G14604" s="1" t="str">
        <f>"0127D521"</f>
        <v>0127D521</v>
      </c>
      <c r="H14604" s="1" t="str">
        <f>"용문지 18L2"</f>
        <v>용문지 18L2</v>
      </c>
      <c r="I14604" s="1" t="s">
        <v>15</v>
      </c>
      <c r="J14604" s="1" t="str">
        <f>"54/54"</f>
        <v>54/54</v>
      </c>
      <c r="K14604" s="1" t="str">
        <f>"2026-07-29 14:20:33"</f>
        <v>2026-07-29 14:20:33</v>
      </c>
      <c r="L14604" s="1" t="str">
        <f>"2023-11-30 14:01:10"</f>
        <v>2023-11-30 14:01:10</v>
      </c>
      <c r="M14604" s="1" t="s">
        <v>45</v>
      </c>
      <c r="N14604" s="1" t="s">
        <v>38</v>
      </c>
      <c r="O14604" s="1" t="s">
        <v>46</v>
      </c>
    </row>
    <row r="14605" spans="2:15" x14ac:dyDescent="0.3">
      <c r="B14605" s="1" t="s">
        <v>19</v>
      </c>
      <c r="C14605" s="1" t="str">
        <f>"5-2차"</f>
        <v>5-2차</v>
      </c>
      <c r="D14605" s="1" t="str">
        <f>"0127D5315S"</f>
        <v>0127D5315S</v>
      </c>
      <c r="E14605" s="1" t="s">
        <v>10</v>
      </c>
      <c r="F14605" s="1" t="str">
        <f>"fde1:103:4:580a:0:0:0:2"</f>
        <v>fde1:103:4:580a:0:0:0:2</v>
      </c>
      <c r="G14605" s="1" t="str">
        <f>"0127D531"</f>
        <v>0127D531</v>
      </c>
      <c r="H14605" s="1" t="str">
        <f>"용문지 17L2"</f>
        <v>용문지 17L2</v>
      </c>
      <c r="I14605" s="1" t="s">
        <v>15</v>
      </c>
      <c r="J14605" s="1" t="str">
        <f>"54/54"</f>
        <v>54/54</v>
      </c>
      <c r="K14605" s="1" t="str">
        <f>"2026-07-29 14:20:04"</f>
        <v>2026-07-29 14:20:04</v>
      </c>
      <c r="L14605" s="1" t="str">
        <f>"2023-09-20 11:28:45"</f>
        <v>2023-09-20 11:28:45</v>
      </c>
      <c r="M14605" s="1" t="s">
        <v>4</v>
      </c>
      <c r="N14605" s="1" t="s">
        <v>38</v>
      </c>
      <c r="O14605" s="1" t="s">
        <v>46</v>
      </c>
    </row>
    <row r="14606" spans="2:15" x14ac:dyDescent="0.3">
      <c r="B14606" s="1" t="s">
        <v>19</v>
      </c>
      <c r="C14606" s="1" t="str">
        <f>"5-2차"</f>
        <v>5-2차</v>
      </c>
      <c r="D14606" s="1" t="str">
        <f>"0127D5325S"</f>
        <v>0127D5325S</v>
      </c>
      <c r="E14606" s="1" t="s">
        <v>10</v>
      </c>
      <c r="F14606" s="1" t="str">
        <f>"fde1:103:4:58e3:0:0:0:2"</f>
        <v>fde1:103:4:58e3:0:0:0:2</v>
      </c>
      <c r="G14606" s="1" t="str">
        <f>"0127D532"</f>
        <v>0127D532</v>
      </c>
      <c r="H14606" s="1" t="str">
        <f>"용문지 17L3"</f>
        <v>용문지 17L3</v>
      </c>
      <c r="I14606" s="1" t="s">
        <v>15</v>
      </c>
      <c r="J14606" s="1" t="str">
        <f>"80/80"</f>
        <v>80/80</v>
      </c>
      <c r="K14606" s="1" t="str">
        <f>"2026-07-29 14:20:03"</f>
        <v>2026-07-29 14:20:03</v>
      </c>
      <c r="L14606" s="1" t="str">
        <f>"2023-09-20 11:29:43"</f>
        <v>2023-09-20 11:29:43</v>
      </c>
      <c r="M14606" s="1" t="s">
        <v>4</v>
      </c>
      <c r="N14606" s="1" t="s">
        <v>38</v>
      </c>
      <c r="O14606" s="1" t="s">
        <v>46</v>
      </c>
    </row>
    <row r="14607" spans="2:15" x14ac:dyDescent="0.3">
      <c r="B14607" s="1" t="s">
        <v>19</v>
      </c>
      <c r="C14607" s="1" t="str">
        <f>"5-2차"</f>
        <v>5-2차</v>
      </c>
      <c r="D14607" s="1" t="str">
        <f>"0127D5435M"</f>
        <v>0127D5435M</v>
      </c>
      <c r="E14607" s="1" t="s">
        <v>10</v>
      </c>
      <c r="F14607" s="1" t="str">
        <f>"fde1:103:4:5924:0:0:0:2"</f>
        <v>fde1:103:4:5924:0:0:0:2</v>
      </c>
      <c r="G14607" s="1" t="str">
        <f>"0127D543"</f>
        <v>0127D543</v>
      </c>
      <c r="H14607" s="1" t="str">
        <f>"용문지 15L1"</f>
        <v>용문지 15L1</v>
      </c>
      <c r="I14607" s="1" t="s">
        <v>15</v>
      </c>
      <c r="J14607" s="1" t="str">
        <f>"137/139"</f>
        <v>137/139</v>
      </c>
      <c r="K14607" s="1" t="str">
        <f>"2026-07-29 14:20:07"</f>
        <v>2026-07-29 14:20:07</v>
      </c>
      <c r="L14607" s="1" t="str">
        <f>"2023-09-20 13:07:10"</f>
        <v>2023-09-20 13:07:10</v>
      </c>
      <c r="M14607" s="1" t="s">
        <v>4</v>
      </c>
      <c r="N14607" s="1" t="s">
        <v>38</v>
      </c>
      <c r="O14607" s="1" t="s">
        <v>46</v>
      </c>
    </row>
    <row r="14608" spans="2:15" x14ac:dyDescent="0.3">
      <c r="B14608" s="1" t="s">
        <v>19</v>
      </c>
      <c r="C14608" s="1" t="str">
        <f>"4차"</f>
        <v>4차</v>
      </c>
      <c r="D14608" s="1" t="str">
        <f>"0127D58144"</f>
        <v>0127D58144</v>
      </c>
      <c r="E14608" s="1" t="s">
        <v>10</v>
      </c>
      <c r="F14608" s="1" t="str">
        <f>"10.107.121.115"</f>
        <v>10.107.121.115</v>
      </c>
      <c r="G14608" s="1" t="str">
        <f>"0127D581"</f>
        <v>0127D581</v>
      </c>
      <c r="H14608" s="1" t="str">
        <f>"용문지 6L6"</f>
        <v>용문지 6L6</v>
      </c>
      <c r="I14608" s="1" t="s">
        <v>8</v>
      </c>
      <c r="J14608" s="1" t="str">
        <f>"109/109"</f>
        <v>109/109</v>
      </c>
      <c r="K14608" s="1" t="str">
        <f>"2026-07-29 13:18:01"</f>
        <v>2026-07-29 13:18:01</v>
      </c>
      <c r="L14608" s="1" t="str">
        <f>"2019-11-12 14:33:04"</f>
        <v>2019-11-12 14:33:04</v>
      </c>
      <c r="M14608" s="1" t="s">
        <v>45</v>
      </c>
      <c r="N14608" s="1" t="s">
        <v>38</v>
      </c>
      <c r="O14608" s="1" t="s">
        <v>46</v>
      </c>
    </row>
    <row r="14609" spans="2:15" x14ac:dyDescent="0.3">
      <c r="B14609" s="1" t="s">
        <v>19</v>
      </c>
      <c r="C14609" s="1" t="str">
        <f>"4차"</f>
        <v>4차</v>
      </c>
      <c r="D14609" s="1" t="str">
        <f>"0127D59244"</f>
        <v>0127D59244</v>
      </c>
      <c r="E14609" s="1" t="s">
        <v>10</v>
      </c>
      <c r="F14609" s="1" t="str">
        <f>"10.107.121.116"</f>
        <v>10.107.121.116</v>
      </c>
      <c r="G14609" s="1" t="str">
        <f>"0127D592"</f>
        <v>0127D592</v>
      </c>
      <c r="H14609" s="1" t="str">
        <f>"용문지 6L5"</f>
        <v>용문지 6L5</v>
      </c>
      <c r="I14609" s="1" t="s">
        <v>8</v>
      </c>
      <c r="J14609" s="1" t="str">
        <f>"58/58"</f>
        <v>58/58</v>
      </c>
      <c r="K14609" s="1" t="str">
        <f>"2026-07-29 13:18:01"</f>
        <v>2026-07-29 13:18:01</v>
      </c>
      <c r="L14609" s="1" t="str">
        <f>"2019-12-13 12:09:20"</f>
        <v>2019-12-13 12:09:20</v>
      </c>
      <c r="M14609" s="1" t="s">
        <v>45</v>
      </c>
      <c r="N14609" s="1" t="s">
        <v>38</v>
      </c>
      <c r="O14609" s="1" t="s">
        <v>46</v>
      </c>
    </row>
    <row r="14610" spans="2:15" x14ac:dyDescent="0.3">
      <c r="B14610" s="1" t="s">
        <v>19</v>
      </c>
      <c r="C14610" s="1" t="str">
        <f>"5-2차"</f>
        <v>5-2차</v>
      </c>
      <c r="D14610" s="1" t="str">
        <f>"0127D6115S"</f>
        <v>0127D6115S</v>
      </c>
      <c r="E14610" s="1" t="s">
        <v>10</v>
      </c>
      <c r="F14610" s="1" t="str">
        <f>"fde1:103:4:58fc:0:0:0:2"</f>
        <v>fde1:103:4:58fc:0:0:0:2</v>
      </c>
      <c r="G14610" s="1" t="str">
        <f>"0127D611"</f>
        <v>0127D611</v>
      </c>
      <c r="H14610" s="1" t="str">
        <f>"용문지 18L5"</f>
        <v>용문지 18L5</v>
      </c>
      <c r="I14610" s="1" t="s">
        <v>15</v>
      </c>
      <c r="J14610" s="1" t="str">
        <f>"28/28"</f>
        <v>28/28</v>
      </c>
      <c r="K14610" s="1" t="str">
        <f>"2026-07-29 14:20:05"</f>
        <v>2026-07-29 14:20:05</v>
      </c>
      <c r="L14610" s="1" t="str">
        <f>"2023-09-20 13:31:53"</f>
        <v>2023-09-20 13:31:53</v>
      </c>
      <c r="M14610" s="1" t="s">
        <v>4</v>
      </c>
      <c r="N14610" s="1" t="s">
        <v>38</v>
      </c>
      <c r="O14610" s="1" t="s">
        <v>46</v>
      </c>
    </row>
    <row r="14611" spans="2:15" x14ac:dyDescent="0.3">
      <c r="B14611" s="1" t="s">
        <v>19</v>
      </c>
      <c r="C14611" s="1" t="str">
        <f>"5-2차"</f>
        <v>5-2차</v>
      </c>
      <c r="D14611" s="1" t="str">
        <f>"0127D6215M"</f>
        <v>0127D6215M</v>
      </c>
      <c r="E14611" s="1" t="s">
        <v>10</v>
      </c>
      <c r="F14611" s="1" t="str">
        <f>"fde1:103:4:5926:0:0:0:2"</f>
        <v>fde1:103:4:5926:0:0:0:2</v>
      </c>
      <c r="G14611" s="1" t="str">
        <f>"0127D621"</f>
        <v>0127D621</v>
      </c>
      <c r="H14611" s="1" t="str">
        <f>"용문지 18L4"</f>
        <v>용문지 18L4</v>
      </c>
      <c r="I14611" s="1" t="s">
        <v>15</v>
      </c>
      <c r="J14611" s="1" t="str">
        <f>"69/71"</f>
        <v>69/71</v>
      </c>
      <c r="K14611" s="1" t="str">
        <f>"2026-07-29 14:20:35"</f>
        <v>2026-07-29 14:20:35</v>
      </c>
      <c r="L14611" s="1" t="str">
        <f>"2023-09-20 13:12:02"</f>
        <v>2023-09-20 13:12:02</v>
      </c>
      <c r="M14611" s="1" t="s">
        <v>4</v>
      </c>
      <c r="N14611" s="1" t="s">
        <v>38</v>
      </c>
      <c r="O14611" s="1" t="s">
        <v>46</v>
      </c>
    </row>
    <row r="14612" spans="2:15" x14ac:dyDescent="0.3">
      <c r="B14612" s="1" t="s">
        <v>19</v>
      </c>
      <c r="C14612" s="1" t="str">
        <f>"4차"</f>
        <v>4차</v>
      </c>
      <c r="D14612" s="1" t="str">
        <f>"0127D63139"</f>
        <v>0127D63139</v>
      </c>
      <c r="E14612" s="1" t="s">
        <v>10</v>
      </c>
      <c r="F14612" s="1" t="str">
        <f>"10.12.128.49"</f>
        <v>10.12.128.49</v>
      </c>
      <c r="G14612" s="1" t="str">
        <f>"0127D631"</f>
        <v>0127D631</v>
      </c>
      <c r="H14612" s="1" t="str">
        <f>"용문지 16L2"</f>
        <v>용문지 16L2</v>
      </c>
      <c r="I14612" s="1" t="s">
        <v>8</v>
      </c>
      <c r="J14612" s="1" t="str">
        <f>"50/50"</f>
        <v>50/50</v>
      </c>
      <c r="K14612" s="1" t="str">
        <f>"2026-07-29 13:18:03"</f>
        <v>2026-07-29 13:18:03</v>
      </c>
      <c r="L14612" s="1" t="str">
        <f>"2018-04-25 09:42:56"</f>
        <v>2018-04-25 09:42:56</v>
      </c>
      <c r="M14612" s="1" t="s">
        <v>0</v>
      </c>
      <c r="N14612" s="1" t="s">
        <v>38</v>
      </c>
      <c r="O14612" s="1" t="s">
        <v>46</v>
      </c>
    </row>
    <row r="14613" spans="2:15" x14ac:dyDescent="0.3">
      <c r="B14613" s="1" t="s">
        <v>19</v>
      </c>
      <c r="C14613" s="1" t="str">
        <f>"5-2차"</f>
        <v>5-2차</v>
      </c>
      <c r="D14613" s="1" t="str">
        <f>"0127D6325S"</f>
        <v>0127D6325S</v>
      </c>
      <c r="E14613" s="1" t="s">
        <v>10</v>
      </c>
      <c r="F14613" s="1" t="str">
        <f>"fde1:103:4:589e:0:0:0:2"</f>
        <v>fde1:103:4:589e:0:0:0:2</v>
      </c>
      <c r="G14613" s="1" t="str">
        <f>"0127D632"</f>
        <v>0127D632</v>
      </c>
      <c r="H14613" s="1" t="str">
        <f>"용문지 16L3"</f>
        <v>용문지 16L3</v>
      </c>
      <c r="I14613" s="1" t="s">
        <v>15</v>
      </c>
      <c r="J14613" s="1" t="str">
        <f>"73/73"</f>
        <v>73/73</v>
      </c>
      <c r="K14613" s="1" t="str">
        <f>"2026-07-29 14:20:04"</f>
        <v>2026-07-29 14:20:04</v>
      </c>
      <c r="L14613" s="1" t="str">
        <f>"2023-09-20 13:40:21"</f>
        <v>2023-09-20 13:40:21</v>
      </c>
      <c r="M14613" s="1" t="s">
        <v>4</v>
      </c>
      <c r="N14613" s="1" t="s">
        <v>38</v>
      </c>
      <c r="O14613" s="1" t="s">
        <v>46</v>
      </c>
    </row>
    <row r="14614" spans="2:15" x14ac:dyDescent="0.3">
      <c r="B14614" s="1" t="s">
        <v>19</v>
      </c>
      <c r="C14614" s="1" t="str">
        <f>"5-2차"</f>
        <v>5-2차</v>
      </c>
      <c r="D14614" s="1" t="str">
        <f>"0127D6515M"</f>
        <v>0127D6515M</v>
      </c>
      <c r="E14614" s="1" t="s">
        <v>10</v>
      </c>
      <c r="F14614" s="1" t="str">
        <f>"fde1:103:4:5929:0:0:0:2"</f>
        <v>fde1:103:4:5929:0:0:0:2</v>
      </c>
      <c r="G14614" s="1" t="str">
        <f>"0127D651"</f>
        <v>0127D651</v>
      </c>
      <c r="H14614" s="1" t="str">
        <f>"용문지 16L5"</f>
        <v>용문지 16L5</v>
      </c>
      <c r="I14614" s="1" t="s">
        <v>15</v>
      </c>
      <c r="J14614" s="1" t="str">
        <f>"58/58"</f>
        <v>58/58</v>
      </c>
      <c r="K14614" s="1" t="str">
        <f>"2026-07-29 14:20:35"</f>
        <v>2026-07-29 14:20:35</v>
      </c>
      <c r="L14614" s="1" t="str">
        <f>"2023-09-20 13:41:35"</f>
        <v>2023-09-20 13:41:35</v>
      </c>
      <c r="M14614" s="1" t="s">
        <v>4</v>
      </c>
      <c r="N14614" s="1" t="s">
        <v>38</v>
      </c>
      <c r="O14614" s="1" t="s">
        <v>46</v>
      </c>
    </row>
    <row r="14615" spans="2:15" x14ac:dyDescent="0.3">
      <c r="B14615" s="1" t="s">
        <v>19</v>
      </c>
      <c r="C14615" s="1" t="str">
        <f>"4차"</f>
        <v>4차</v>
      </c>
      <c r="D14615" s="1" t="str">
        <f>"0127D70339"</f>
        <v>0127D70339</v>
      </c>
      <c r="E14615" s="1" t="s">
        <v>10</v>
      </c>
      <c r="F14615" s="1" t="str">
        <f>"10.12.132.39"</f>
        <v>10.12.132.39</v>
      </c>
      <c r="G14615" s="1" t="str">
        <f>"0127D703"</f>
        <v>0127D703</v>
      </c>
      <c r="H14615" s="1" t="str">
        <f>"용문지 24L4"</f>
        <v>용문지 24L4</v>
      </c>
      <c r="I14615" s="1" t="s">
        <v>17</v>
      </c>
      <c r="J14615" s="1" t="str">
        <f>"43/43"</f>
        <v>43/43</v>
      </c>
      <c r="K14615" s="1" t="str">
        <f>"2026-07-29 13:18:02"</f>
        <v>2026-07-29 13:18:02</v>
      </c>
      <c r="L14615" s="1" t="str">
        <f>"2018-09-13 13:23:55"</f>
        <v>2018-09-13 13:23:55</v>
      </c>
      <c r="M14615" s="1" t="s">
        <v>0</v>
      </c>
      <c r="N14615" s="1" t="s">
        <v>38</v>
      </c>
      <c r="O14615" s="1" t="s">
        <v>46</v>
      </c>
    </row>
    <row r="14616" spans="2:15" x14ac:dyDescent="0.3">
      <c r="B14616" s="1" t="s">
        <v>19</v>
      </c>
      <c r="C14616" s="1" t="str">
        <f>"5-2차"</f>
        <v>5-2차</v>
      </c>
      <c r="D14616" s="1" t="str">
        <f>"0127D7315M"</f>
        <v>0127D7315M</v>
      </c>
      <c r="E14616" s="1" t="s">
        <v>10</v>
      </c>
      <c r="F14616" s="1" t="str">
        <f>"fde1:103:4:9187:0:0:0:2"</f>
        <v>fde1:103:4:9187:0:0:0:2</v>
      </c>
      <c r="G14616" s="1" t="str">
        <f>"0127D731"</f>
        <v>0127D731</v>
      </c>
      <c r="H14616" s="1" t="str">
        <f>"용문지 18L9"</f>
        <v>용문지 18L9</v>
      </c>
      <c r="I14616" s="1" t="s">
        <v>15</v>
      </c>
      <c r="J14616" s="1" t="str">
        <f>"80/80"</f>
        <v>80/80</v>
      </c>
      <c r="K14616" s="1" t="str">
        <f>"2026-07-29 14:20:06"</f>
        <v>2026-07-29 14:20:06</v>
      </c>
      <c r="L14616" s="1" t="str">
        <f>"2024-01-18 16:23:41"</f>
        <v>2024-01-18 16:23:41</v>
      </c>
      <c r="M14616" s="1" t="s">
        <v>4</v>
      </c>
      <c r="N14616" s="1" t="s">
        <v>38</v>
      </c>
      <c r="O14616" s="1" t="s">
        <v>46</v>
      </c>
    </row>
    <row r="14617" spans="2:15" x14ac:dyDescent="0.3">
      <c r="B14617" s="1" t="s">
        <v>19</v>
      </c>
      <c r="C14617" s="1" t="str">
        <f t="shared" ref="C14617:C14623" si="745">"4차"</f>
        <v>4차</v>
      </c>
      <c r="D14617" s="1" t="str">
        <f>"0127D80239"</f>
        <v>0127D80239</v>
      </c>
      <c r="E14617" s="1" t="s">
        <v>10</v>
      </c>
      <c r="F14617" s="1" t="str">
        <f>"10.12.132.27"</f>
        <v>10.12.132.27</v>
      </c>
      <c r="G14617" s="1" t="str">
        <f>"0127D802"</f>
        <v>0127D802</v>
      </c>
      <c r="H14617" s="1" t="str">
        <f>"용문지 26L5L3"</f>
        <v>용문지 26L5L3</v>
      </c>
      <c r="I14617" s="1" t="s">
        <v>17</v>
      </c>
      <c r="J14617" s="1" t="str">
        <f>"70/70"</f>
        <v>70/70</v>
      </c>
      <c r="K14617" s="1" t="str">
        <f>"2026-07-29 13:18:02"</f>
        <v>2026-07-29 13:18:02</v>
      </c>
      <c r="L14617" s="1" t="str">
        <f>"2018-09-13 13:25:57"</f>
        <v>2018-09-13 13:25:57</v>
      </c>
      <c r="M14617" s="1" t="s">
        <v>0</v>
      </c>
      <c r="N14617" s="1" t="s">
        <v>38</v>
      </c>
      <c r="O14617" s="1" t="s">
        <v>46</v>
      </c>
    </row>
    <row r="14618" spans="2:15" x14ac:dyDescent="0.3">
      <c r="B14618" s="1" t="s">
        <v>19</v>
      </c>
      <c r="C14618" s="1" t="str">
        <f t="shared" si="745"/>
        <v>4차</v>
      </c>
      <c r="D14618" s="1" t="str">
        <f>"0127D81441"</f>
        <v>0127D81441</v>
      </c>
      <c r="E14618" s="1" t="s">
        <v>10</v>
      </c>
      <c r="F14618" s="1" t="str">
        <f>"10.12.130.71"</f>
        <v>10.12.130.71</v>
      </c>
      <c r="G14618" s="1" t="str">
        <f>"0127D814"</f>
        <v>0127D814</v>
      </c>
      <c r="H14618" s="1" t="str">
        <f>"용문지 18L6R1"</f>
        <v>용문지 18L6R1</v>
      </c>
      <c r="I14618" s="1" t="s">
        <v>17</v>
      </c>
      <c r="J14618" s="1" t="str">
        <f>"20/20"</f>
        <v>20/20</v>
      </c>
      <c r="K14618" s="1" t="str">
        <f>"2026-07-29 13:18:02"</f>
        <v>2026-07-29 13:18:02</v>
      </c>
      <c r="L14618" s="1" t="str">
        <f>"2021-08-26 07:46:44"</f>
        <v>2021-08-26 07:46:44</v>
      </c>
      <c r="M14618" s="1" t="s">
        <v>0</v>
      </c>
      <c r="N14618" s="1" t="s">
        <v>38</v>
      </c>
      <c r="O14618" s="1" t="s">
        <v>46</v>
      </c>
    </row>
    <row r="14619" spans="2:15" x14ac:dyDescent="0.3">
      <c r="B14619" s="1" t="s">
        <v>19</v>
      </c>
      <c r="C14619" s="1" t="str">
        <f t="shared" si="745"/>
        <v>4차</v>
      </c>
      <c r="D14619" s="1" t="str">
        <f>"0127D81541"</f>
        <v>0127D81541</v>
      </c>
      <c r="E14619" s="1" t="s">
        <v>10</v>
      </c>
      <c r="F14619" s="1" t="str">
        <f>"10.14.15.18"</f>
        <v>10.14.15.18</v>
      </c>
      <c r="G14619" s="1" t="str">
        <f>"0127D815"</f>
        <v>0127D815</v>
      </c>
      <c r="H14619" s="1" t="str">
        <f>"용문지 26L5L4"</f>
        <v>용문지 26L5L4</v>
      </c>
      <c r="I14619" s="1" t="s">
        <v>17</v>
      </c>
      <c r="J14619" s="1" t="str">
        <f>"57/58"</f>
        <v>57/58</v>
      </c>
      <c r="K14619" s="1" t="str">
        <f>"2026-07-29 13:18:03"</f>
        <v>2026-07-29 13:18:03</v>
      </c>
      <c r="L14619" s="1" t="str">
        <f>"2021-08-26 06:35:37"</f>
        <v>2021-08-26 06:35:37</v>
      </c>
      <c r="M14619" s="1" t="s">
        <v>3</v>
      </c>
      <c r="N14619" s="1" t="s">
        <v>38</v>
      </c>
      <c r="O14619" s="1" t="s">
        <v>46</v>
      </c>
    </row>
    <row r="14620" spans="2:15" x14ac:dyDescent="0.3">
      <c r="B14620" s="1" t="s">
        <v>19</v>
      </c>
      <c r="C14620" s="1" t="str">
        <f t="shared" si="745"/>
        <v>4차</v>
      </c>
      <c r="D14620" s="1" t="str">
        <f>"0127D91241"</f>
        <v>0127D91241</v>
      </c>
      <c r="E14620" s="1" t="s">
        <v>10</v>
      </c>
      <c r="F14620" s="1" t="str">
        <f>"10.14.15.14"</f>
        <v>10.14.15.14</v>
      </c>
      <c r="G14620" s="1" t="str">
        <f>"0127D912"</f>
        <v>0127D912</v>
      </c>
      <c r="H14620" s="1" t="str">
        <f>"용문지 18L6R4"</f>
        <v>용문지 18L6R4</v>
      </c>
      <c r="I14620" s="1" t="s">
        <v>17</v>
      </c>
      <c r="J14620" s="1" t="str">
        <f>"33/43"</f>
        <v>33/43</v>
      </c>
      <c r="K14620" s="1" t="str">
        <f>"2026-07-29 13:18:03"</f>
        <v>2026-07-29 13:18:03</v>
      </c>
      <c r="L14620" s="1" t="str">
        <f>"2021-08-26 07:13:16"</f>
        <v>2021-08-26 07:13:16</v>
      </c>
      <c r="M14620" s="1" t="s">
        <v>3</v>
      </c>
      <c r="N14620" s="1" t="s">
        <v>38</v>
      </c>
      <c r="O14620" s="1" t="s">
        <v>46</v>
      </c>
    </row>
    <row r="14621" spans="2:15" x14ac:dyDescent="0.3">
      <c r="B14621" s="1" t="s">
        <v>19</v>
      </c>
      <c r="C14621" s="1" t="str">
        <f t="shared" si="745"/>
        <v>4차</v>
      </c>
      <c r="D14621" s="1" t="str">
        <f>"0127F62144"</f>
        <v>0127F62144</v>
      </c>
      <c r="E14621" s="1" t="s">
        <v>10</v>
      </c>
      <c r="F14621" s="1" t="str">
        <f>"10.107.12.105"</f>
        <v>10.107.12.105</v>
      </c>
      <c r="G14621" s="1" t="str">
        <f>"0127F621"</f>
        <v>0127F621</v>
      </c>
      <c r="H14621" s="1" t="str">
        <f>"종암SW 14L2R13"</f>
        <v>종암SW 14L2R13</v>
      </c>
      <c r="I14621" s="1" t="s">
        <v>8</v>
      </c>
      <c r="J14621" s="1" t="str">
        <f>"50/50"</f>
        <v>50/50</v>
      </c>
      <c r="K14621" s="1" t="str">
        <f>"2026-07-29 13:18:02"</f>
        <v>2026-07-29 13:18:02</v>
      </c>
      <c r="L14621" s="1" t="str">
        <f>"2023-06-16 09:57:04"</f>
        <v>2023-06-16 09:57:04</v>
      </c>
      <c r="M14621" s="1" t="s">
        <v>45</v>
      </c>
      <c r="N14621" s="1" t="s">
        <v>38</v>
      </c>
      <c r="O14621" s="1" t="s">
        <v>46</v>
      </c>
    </row>
    <row r="14622" spans="2:15" x14ac:dyDescent="0.3">
      <c r="B14622" s="1" t="s">
        <v>19</v>
      </c>
      <c r="C14622" s="1" t="str">
        <f t="shared" si="745"/>
        <v>4차</v>
      </c>
      <c r="D14622" s="1" t="str">
        <f>"0127F62244"</f>
        <v>0127F62244</v>
      </c>
      <c r="E14622" s="1" t="s">
        <v>10</v>
      </c>
      <c r="F14622" s="1" t="str">
        <f>"10.107.12.103"</f>
        <v>10.107.12.103</v>
      </c>
      <c r="G14622" s="1" t="str">
        <f>"0127F622"</f>
        <v>0127F622</v>
      </c>
      <c r="H14622" s="1" t="str">
        <f>"종암SW 14L2R11"</f>
        <v>종암SW 14L2R11</v>
      </c>
      <c r="I14622" s="1" t="s">
        <v>8</v>
      </c>
      <c r="J14622" s="1" t="str">
        <f>"60/64"</f>
        <v>60/64</v>
      </c>
      <c r="K14622" s="1" t="str">
        <f>"2026-07-29 13:18:01"</f>
        <v>2026-07-29 13:18:01</v>
      </c>
      <c r="L14622" s="1" t="str">
        <f>"2019-12-13 12:09:19"</f>
        <v>2019-12-13 12:09:19</v>
      </c>
      <c r="M14622" s="1" t="s">
        <v>45</v>
      </c>
      <c r="N14622" s="1" t="s">
        <v>38</v>
      </c>
      <c r="O14622" s="1" t="s">
        <v>46</v>
      </c>
    </row>
    <row r="14623" spans="2:15" x14ac:dyDescent="0.3">
      <c r="B14623" s="1" t="s">
        <v>19</v>
      </c>
      <c r="C14623" s="1" t="str">
        <f t="shared" si="745"/>
        <v>4차</v>
      </c>
      <c r="D14623" s="1" t="str">
        <f>"0127F62344"</f>
        <v>0127F62344</v>
      </c>
      <c r="E14623" s="1" t="s">
        <v>10</v>
      </c>
      <c r="F14623" s="1" t="str">
        <f>"10.107.12.104"</f>
        <v>10.107.12.104</v>
      </c>
      <c r="G14623" s="1" t="str">
        <f>"0127F623"</f>
        <v>0127F623</v>
      </c>
      <c r="H14623" s="1" t="str">
        <f>"종암SW 14L2R12"</f>
        <v>종암SW 14L2R12</v>
      </c>
      <c r="I14623" s="1" t="s">
        <v>8</v>
      </c>
      <c r="J14623" s="1" t="str">
        <f>"172/177"</f>
        <v>172/177</v>
      </c>
      <c r="K14623" s="1" t="str">
        <f>"2026-07-29 13:18:02"</f>
        <v>2026-07-29 13:18:02</v>
      </c>
      <c r="L14623" s="1" t="str">
        <f>"2019-12-13 09:09:38"</f>
        <v>2019-12-13 09:09:38</v>
      </c>
      <c r="M14623" s="1" t="s">
        <v>45</v>
      </c>
      <c r="N14623" s="1" t="s">
        <v>38</v>
      </c>
      <c r="O14623" s="1" t="s">
        <v>46</v>
      </c>
    </row>
    <row r="14624" spans="2:15" x14ac:dyDescent="0.3">
      <c r="B14624" s="1" t="s">
        <v>19</v>
      </c>
      <c r="C14624" s="1" t="str">
        <f>"3차"</f>
        <v>3차</v>
      </c>
      <c r="D14624" s="1" t="str">
        <f>"0127F63139"</f>
        <v>0127F63139</v>
      </c>
      <c r="E14624" s="1" t="s">
        <v>10</v>
      </c>
      <c r="F14624" s="1" t="str">
        <f>"10.11.140.114"</f>
        <v>10.11.140.114</v>
      </c>
      <c r="G14624" s="1" t="str">
        <f>"0127F631"</f>
        <v>0127F631</v>
      </c>
      <c r="H14624" s="1" t="str">
        <f>"종암SW 14L2R14"</f>
        <v>종암SW 14L2R14</v>
      </c>
      <c r="I14624" s="1" t="s">
        <v>8</v>
      </c>
      <c r="J14624" s="1" t="str">
        <f>"39/39"</f>
        <v>39/39</v>
      </c>
      <c r="K14624" s="1" t="str">
        <f>"2026-07-29 13:18:01"</f>
        <v>2026-07-29 13:18:01</v>
      </c>
      <c r="L14624" s="1" t="str">
        <f>"2018-04-20 17:09:02"</f>
        <v>2018-04-20 17:09:02</v>
      </c>
      <c r="M14624" s="1" t="s">
        <v>2</v>
      </c>
      <c r="N14624" s="1" t="s">
        <v>38</v>
      </c>
      <c r="O14624" s="1" t="s">
        <v>46</v>
      </c>
    </row>
    <row r="14625" spans="2:15" x14ac:dyDescent="0.3">
      <c r="B14625" s="1" t="s">
        <v>19</v>
      </c>
      <c r="C14625" s="1" t="str">
        <f>"4차"</f>
        <v>4차</v>
      </c>
      <c r="D14625" s="1" t="str">
        <f>"0127F64144"</f>
        <v>0127F64144</v>
      </c>
      <c r="E14625" s="1" t="s">
        <v>10</v>
      </c>
      <c r="F14625" s="1" t="str">
        <f>"10.107.12.106"</f>
        <v>10.107.12.106</v>
      </c>
      <c r="G14625" s="1" t="str">
        <f>"0127F641"</f>
        <v>0127F641</v>
      </c>
      <c r="H14625" s="1" t="str">
        <f>"종암SW 14L2R15"</f>
        <v>종암SW 14L2R15</v>
      </c>
      <c r="I14625" s="1" t="s">
        <v>8</v>
      </c>
      <c r="J14625" s="1" t="str">
        <f>"116/117"</f>
        <v>116/117</v>
      </c>
      <c r="K14625" s="1" t="str">
        <f>"2026-07-29 13:18:01"</f>
        <v>2026-07-29 13:18:01</v>
      </c>
      <c r="L14625" s="1" t="str">
        <f>"2019-12-13 12:09:18"</f>
        <v>2019-12-13 12:09:18</v>
      </c>
      <c r="M14625" s="1" t="s">
        <v>45</v>
      </c>
      <c r="N14625" s="1" t="s">
        <v>38</v>
      </c>
      <c r="O14625" s="1" t="s">
        <v>46</v>
      </c>
    </row>
    <row r="14626" spans="2:15" x14ac:dyDescent="0.3">
      <c r="B14626" s="1" t="s">
        <v>19</v>
      </c>
      <c r="C14626" s="1" t="str">
        <f>"4차"</f>
        <v>4차</v>
      </c>
      <c r="D14626" s="1" t="str">
        <f>"0127F66144"</f>
        <v>0127F66144</v>
      </c>
      <c r="E14626" s="1" t="s">
        <v>10</v>
      </c>
      <c r="F14626" s="1" t="str">
        <f>"10.107.12.112"</f>
        <v>10.107.12.112</v>
      </c>
      <c r="G14626" s="1" t="str">
        <f>"0127F661"</f>
        <v>0127F661</v>
      </c>
      <c r="H14626" s="1" t="str">
        <f>"종암SW 16L7L2"</f>
        <v>종암SW 16L7L2</v>
      </c>
      <c r="I14626" s="1" t="s">
        <v>8</v>
      </c>
      <c r="J14626" s="1" t="str">
        <f>"21/21"</f>
        <v>21/21</v>
      </c>
      <c r="K14626" s="1" t="str">
        <f>"2026-07-29 13:18:01"</f>
        <v>2026-07-29 13:18:01</v>
      </c>
      <c r="L14626" s="1" t="str">
        <f>"2019-12-13 09:00:49"</f>
        <v>2019-12-13 09:00:49</v>
      </c>
      <c r="M14626" s="1" t="s">
        <v>45</v>
      </c>
      <c r="N14626" s="1" t="s">
        <v>38</v>
      </c>
      <c r="O14626" s="1" t="s">
        <v>46</v>
      </c>
    </row>
    <row r="14627" spans="2:15" x14ac:dyDescent="0.3">
      <c r="B14627" s="1" t="s">
        <v>19</v>
      </c>
      <c r="C14627" s="1" t="str">
        <f>"3차"</f>
        <v>3차</v>
      </c>
      <c r="D14627" s="1" t="str">
        <f>"0127F69131"</f>
        <v>0127F69131</v>
      </c>
      <c r="E14627" s="1" t="s">
        <v>10</v>
      </c>
      <c r="F14627" s="1" t="str">
        <f>"10.107.124.61"</f>
        <v>10.107.124.61</v>
      </c>
      <c r="G14627" s="1" t="str">
        <f>"0127F691"</f>
        <v>0127F691</v>
      </c>
      <c r="H14627" s="1" t="str">
        <f>"종암지 26L5"</f>
        <v>종암지 26L5</v>
      </c>
      <c r="I14627" s="1" t="s">
        <v>8</v>
      </c>
      <c r="J14627" s="1" t="str">
        <f>"3/3"</f>
        <v>3/3</v>
      </c>
      <c r="K14627" s="1" t="str">
        <f>"2026-07-29 13:18:01"</f>
        <v>2026-07-29 13:18:01</v>
      </c>
      <c r="L14627" s="1" t="str">
        <f>"2018-05-31 17:45:25"</f>
        <v>2018-05-31 17:45:25</v>
      </c>
      <c r="M14627" s="1" t="s">
        <v>45</v>
      </c>
      <c r="N14627" s="1" t="s">
        <v>38</v>
      </c>
      <c r="O14627" s="1" t="s">
        <v>46</v>
      </c>
    </row>
    <row r="14628" spans="2:15" x14ac:dyDescent="0.3">
      <c r="B14628" s="1" t="s">
        <v>19</v>
      </c>
      <c r="C14628" s="1" t="str">
        <f>"4차"</f>
        <v>4차</v>
      </c>
      <c r="D14628" s="1" t="str">
        <f>"0127F70139"</f>
        <v>0127F70139</v>
      </c>
      <c r="E14628" s="1" t="s">
        <v>10</v>
      </c>
      <c r="F14628" s="1" t="str">
        <f>"10.12.130.67"</f>
        <v>10.12.130.67</v>
      </c>
      <c r="G14628" s="1" t="str">
        <f>"0127F701"</f>
        <v>0127F701</v>
      </c>
      <c r="H14628" s="1" t="str">
        <f>"종암SW 14L9R3"</f>
        <v>종암SW 14L9R3</v>
      </c>
      <c r="I14628" s="1" t="s">
        <v>17</v>
      </c>
      <c r="J14628" s="1" t="str">
        <f>"99/115"</f>
        <v>99/115</v>
      </c>
      <c r="K14628" s="1" t="str">
        <f>"2026-07-29 13:18:02"</f>
        <v>2026-07-29 13:18:02</v>
      </c>
      <c r="L14628" s="1" t="str">
        <f>"2018-09-20 12:27:27"</f>
        <v>2018-09-20 12:27:27</v>
      </c>
      <c r="M14628" s="1" t="s">
        <v>0</v>
      </c>
      <c r="N14628" s="1" t="s">
        <v>38</v>
      </c>
      <c r="O14628" s="1" t="s">
        <v>46</v>
      </c>
    </row>
    <row r="14629" spans="2:15" x14ac:dyDescent="0.3">
      <c r="B14629" s="1" t="s">
        <v>19</v>
      </c>
      <c r="C14629" s="1" t="str">
        <f>"4차"</f>
        <v>4차</v>
      </c>
      <c r="D14629" s="1" t="str">
        <f>"0127F72341"</f>
        <v>0127F72341</v>
      </c>
      <c r="E14629" s="1" t="s">
        <v>12</v>
      </c>
      <c r="F14629" s="1" t="str">
        <f>"10.12.129.157"</f>
        <v>10.12.129.157</v>
      </c>
      <c r="G14629" s="1" t="str">
        <f>"0127F723"</f>
        <v>0127F723</v>
      </c>
      <c r="H14629" s="1" t="str">
        <f>"종암SW 14L2R9"</f>
        <v>종암SW 14L2R9</v>
      </c>
      <c r="I14629" s="1" t="s">
        <v>17</v>
      </c>
      <c r="J14629" s="1" t="str">
        <f>"0/8"</f>
        <v>0/8</v>
      </c>
      <c r="K14629" s="1" t="str">
        <f>"2026-07-26 07:18:02"</f>
        <v>2026-07-26 07:18:02</v>
      </c>
      <c r="L14629" s="1" t="str">
        <f>"2021-08-26 12:00:58"</f>
        <v>2021-08-26 12:00:58</v>
      </c>
      <c r="M14629" s="1" t="s">
        <v>0</v>
      </c>
      <c r="N14629" s="1" t="s">
        <v>38</v>
      </c>
      <c r="O14629" s="1" t="s">
        <v>46</v>
      </c>
    </row>
    <row r="14630" spans="2:15" x14ac:dyDescent="0.3">
      <c r="B14630" s="1" t="s">
        <v>19</v>
      </c>
      <c r="C14630" s="1" t="str">
        <f>"4차"</f>
        <v>4차</v>
      </c>
      <c r="D14630" s="1" t="str">
        <f>"0127F74144"</f>
        <v>0127F74144</v>
      </c>
      <c r="E14630" s="1" t="s">
        <v>10</v>
      </c>
      <c r="F14630" s="1" t="str">
        <f>"10.107.12.107"</f>
        <v>10.107.12.107</v>
      </c>
      <c r="G14630" s="1" t="str">
        <f>"0127F741"</f>
        <v>0127F741</v>
      </c>
      <c r="H14630" s="1" t="str">
        <f>"종암SW 14L2R16"</f>
        <v>종암SW 14L2R16</v>
      </c>
      <c r="I14630" s="1" t="s">
        <v>8</v>
      </c>
      <c r="J14630" s="1" t="str">
        <f>"134/134"</f>
        <v>134/134</v>
      </c>
      <c r="K14630" s="1" t="str">
        <f>"2026-07-29 13:18:02"</f>
        <v>2026-07-29 13:18:02</v>
      </c>
      <c r="L14630" s="1" t="str">
        <f>"2019-12-13 09:16:06"</f>
        <v>2019-12-13 09:16:06</v>
      </c>
      <c r="M14630" s="1" t="s">
        <v>45</v>
      </c>
      <c r="N14630" s="1" t="s">
        <v>38</v>
      </c>
      <c r="O14630" s="1" t="s">
        <v>46</v>
      </c>
    </row>
    <row r="14631" spans="2:15" x14ac:dyDescent="0.3">
      <c r="B14631" s="1" t="s">
        <v>19</v>
      </c>
      <c r="C14631" s="1" t="str">
        <f>"3차"</f>
        <v>3차</v>
      </c>
      <c r="D14631" s="1" t="str">
        <f>"0127F77339"</f>
        <v>0127F77339</v>
      </c>
      <c r="E14631" s="1" t="s">
        <v>10</v>
      </c>
      <c r="F14631" s="1" t="str">
        <f>"10.107.8.222"</f>
        <v>10.107.8.222</v>
      </c>
      <c r="G14631" s="1" t="str">
        <f>"0127F773"</f>
        <v>0127F773</v>
      </c>
      <c r="H14631" s="1" t="str">
        <f>"종암SW 16L10R1"</f>
        <v>종암SW 16L10R1</v>
      </c>
      <c r="I14631" s="1" t="s">
        <v>8</v>
      </c>
      <c r="J14631" s="1" t="str">
        <f>"45/45"</f>
        <v>45/45</v>
      </c>
      <c r="K14631" s="1" t="str">
        <f>"2026-07-29 13:18:02"</f>
        <v>2026-07-29 13:18:02</v>
      </c>
      <c r="L14631" s="1" t="str">
        <f>"2018-06-05 09:39:10"</f>
        <v>2018-06-05 09:39:10</v>
      </c>
      <c r="M14631" s="1" t="s">
        <v>45</v>
      </c>
      <c r="N14631" s="1" t="s">
        <v>38</v>
      </c>
      <c r="O14631" s="1" t="s">
        <v>46</v>
      </c>
    </row>
    <row r="14632" spans="2:15" x14ac:dyDescent="0.3">
      <c r="B14632" s="1" t="s">
        <v>19</v>
      </c>
      <c r="C14632" s="1" t="str">
        <f>"3차"</f>
        <v>3차</v>
      </c>
      <c r="D14632" s="1" t="str">
        <f>"0127F77439"</f>
        <v>0127F77439</v>
      </c>
      <c r="E14632" s="1" t="s">
        <v>10</v>
      </c>
      <c r="F14632" s="1" t="str">
        <f>"10.12.132.168"</f>
        <v>10.12.132.168</v>
      </c>
      <c r="G14632" s="1" t="str">
        <f>"0127F774"</f>
        <v>0127F774</v>
      </c>
      <c r="H14632" s="1" t="str">
        <f>"종암SW 16L10R2"</f>
        <v>종암SW 16L10R2</v>
      </c>
      <c r="I14632" s="1" t="s">
        <v>8</v>
      </c>
      <c r="J14632" s="1" t="str">
        <f>"104/104"</f>
        <v>104/104</v>
      </c>
      <c r="K14632" s="1" t="str">
        <f>"2026-07-29 13:18:01"</f>
        <v>2026-07-29 13:18:01</v>
      </c>
      <c r="L14632" s="1" t="str">
        <f>"2018-09-12 12:29:57"</f>
        <v>2018-09-12 12:29:57</v>
      </c>
      <c r="M14632" s="1" t="s">
        <v>0</v>
      </c>
      <c r="N14632" s="1" t="s">
        <v>38</v>
      </c>
      <c r="O14632" s="1" t="s">
        <v>46</v>
      </c>
    </row>
    <row r="14633" spans="2:15" x14ac:dyDescent="0.3">
      <c r="B14633" s="1" t="s">
        <v>19</v>
      </c>
      <c r="C14633" s="1" t="s">
        <v>16</v>
      </c>
      <c r="D14633" s="1" t="str">
        <f>"0127F80141"</f>
        <v>0127F80141</v>
      </c>
      <c r="E14633" s="1" t="s">
        <v>10</v>
      </c>
      <c r="F14633" s="1" t="str">
        <f>"10.14.11.131"</f>
        <v>10.14.11.131</v>
      </c>
      <c r="G14633" s="1" t="str">
        <f>"0127F801"</f>
        <v>0127F801</v>
      </c>
      <c r="H14633" s="1" t="str">
        <f>"종암SW 14L5"</f>
        <v>종암SW 14L5</v>
      </c>
      <c r="I14633" s="1" t="s">
        <v>17</v>
      </c>
      <c r="J14633" s="1" t="str">
        <f>"44/53"</f>
        <v>44/53</v>
      </c>
      <c r="K14633" s="1" t="str">
        <f>"2026-07-29 13:18:02"</f>
        <v>2026-07-29 13:18:02</v>
      </c>
      <c r="L14633" s="1" t="str">
        <f>"2022-11-09 11:59:36"</f>
        <v>2022-11-09 11:59:36</v>
      </c>
      <c r="M14633" s="1" t="s">
        <v>3</v>
      </c>
      <c r="N14633" s="1" t="s">
        <v>38</v>
      </c>
      <c r="O14633" s="1" t="s">
        <v>46</v>
      </c>
    </row>
    <row r="14634" spans="2:15" x14ac:dyDescent="0.3">
      <c r="B14634" s="1" t="s">
        <v>19</v>
      </c>
      <c r="C14634" s="1" t="str">
        <f>"4차"</f>
        <v>4차</v>
      </c>
      <c r="D14634" s="1" t="str">
        <f>"0127F82241"</f>
        <v>0127F82241</v>
      </c>
      <c r="E14634" s="1" t="s">
        <v>10</v>
      </c>
      <c r="F14634" s="1" t="str">
        <f>"10.12.129.241"</f>
        <v>10.12.129.241</v>
      </c>
      <c r="G14634" s="1" t="str">
        <f>"0127F822"</f>
        <v>0127F822</v>
      </c>
      <c r="H14634" s="1" t="str">
        <f>"종암SW 14L2R8L1"</f>
        <v>종암SW 14L2R8L1</v>
      </c>
      <c r="I14634" s="1" t="s">
        <v>17</v>
      </c>
      <c r="J14634" s="1" t="str">
        <f>"126/245"</f>
        <v>126/245</v>
      </c>
      <c r="K14634" s="1" t="str">
        <f>"2026-07-29 13:18:01"</f>
        <v>2026-07-29 13:18:01</v>
      </c>
      <c r="L14634" s="1" t="str">
        <f>"2021-08-26 11:14:46"</f>
        <v>2021-08-26 11:14:46</v>
      </c>
      <c r="M14634" s="1" t="s">
        <v>0</v>
      </c>
      <c r="N14634" s="1" t="s">
        <v>38</v>
      </c>
      <c r="O14634" s="1" t="s">
        <v>46</v>
      </c>
    </row>
    <row r="14635" spans="2:15" x14ac:dyDescent="0.3">
      <c r="B14635" s="1" t="s">
        <v>19</v>
      </c>
      <c r="C14635" s="1" t="str">
        <f>"4차"</f>
        <v>4차</v>
      </c>
      <c r="D14635" s="1" t="str">
        <f>"0127F86144"</f>
        <v>0127F86144</v>
      </c>
      <c r="E14635" s="1" t="s">
        <v>10</v>
      </c>
      <c r="F14635" s="1" t="str">
        <f>"10.107.12.111"</f>
        <v>10.107.12.111</v>
      </c>
      <c r="G14635" s="1" t="str">
        <f>"0127F861"</f>
        <v>0127F861</v>
      </c>
      <c r="H14635" s="1" t="str">
        <f>"종암SW 16L5"</f>
        <v>종암SW 16L5</v>
      </c>
      <c r="I14635" s="1" t="s">
        <v>8</v>
      </c>
      <c r="J14635" s="1" t="str">
        <f>"22/23"</f>
        <v>22/23</v>
      </c>
      <c r="K14635" s="1" t="str">
        <f>"2026-07-29 13:18:02"</f>
        <v>2026-07-29 13:18:02</v>
      </c>
      <c r="L14635" s="1" t="str">
        <f>"2019-12-13 12:09:19"</f>
        <v>2019-12-13 12:09:19</v>
      </c>
      <c r="M14635" s="1" t="s">
        <v>45</v>
      </c>
      <c r="N14635" s="1" t="s">
        <v>38</v>
      </c>
      <c r="O14635" s="1" t="s">
        <v>46</v>
      </c>
    </row>
    <row r="14636" spans="2:15" x14ac:dyDescent="0.3">
      <c r="B14636" s="1" t="s">
        <v>19</v>
      </c>
      <c r="C14636" s="1" t="str">
        <f>"4차"</f>
        <v>4차</v>
      </c>
      <c r="D14636" s="1" t="str">
        <f>"0127F88139"</f>
        <v>0127F88139</v>
      </c>
      <c r="E14636" s="1" t="s">
        <v>10</v>
      </c>
      <c r="F14636" s="1" t="str">
        <f>"10.107.252.155"</f>
        <v>10.107.252.155</v>
      </c>
      <c r="G14636" s="1" t="str">
        <f>"0127F881"</f>
        <v>0127F881</v>
      </c>
      <c r="H14636" s="1" t="str">
        <f>"종암SW 17L3"</f>
        <v>종암SW 17L3</v>
      </c>
      <c r="I14636" s="1" t="s">
        <v>8</v>
      </c>
      <c r="J14636" s="1" t="str">
        <f>"162/169"</f>
        <v>162/169</v>
      </c>
      <c r="K14636" s="1" t="str">
        <f>"2026-07-29 13:18:02"</f>
        <v>2026-07-29 13:18:02</v>
      </c>
      <c r="L14636" s="1" t="str">
        <f>"2018-03-26 16:33:11"</f>
        <v>2018-03-26 16:33:11</v>
      </c>
      <c r="M14636" s="1" t="s">
        <v>45</v>
      </c>
      <c r="N14636" s="1" t="s">
        <v>38</v>
      </c>
      <c r="O14636" s="1" t="s">
        <v>46</v>
      </c>
    </row>
    <row r="14637" spans="2:15" x14ac:dyDescent="0.3">
      <c r="B14637" s="1" t="s">
        <v>19</v>
      </c>
      <c r="C14637" s="1" t="str">
        <f>"3차"</f>
        <v>3차</v>
      </c>
      <c r="D14637" s="1" t="str">
        <f>"0127F89130"</f>
        <v>0127F89130</v>
      </c>
      <c r="E14637" s="1" t="s">
        <v>10</v>
      </c>
      <c r="F14637" s="1" t="str">
        <f>"10.107.124.24"</f>
        <v>10.107.124.24</v>
      </c>
      <c r="G14637" s="1" t="str">
        <f>"0127F891"</f>
        <v>0127F891</v>
      </c>
      <c r="H14637" s="1" t="str">
        <f>"종암SW 16L10R3L2"</f>
        <v>종암SW 16L10R3L2</v>
      </c>
      <c r="I14637" s="1" t="s">
        <v>8</v>
      </c>
      <c r="J14637" s="1" t="str">
        <f>"19/19"</f>
        <v>19/19</v>
      </c>
      <c r="K14637" s="1" t="str">
        <f>"2026-07-29 13:18:01"</f>
        <v>2026-07-29 13:18:01</v>
      </c>
      <c r="L14637" s="1" t="str">
        <f>"2018-03-26 15:57:56"</f>
        <v>2018-03-26 15:57:56</v>
      </c>
      <c r="M14637" s="1" t="s">
        <v>45</v>
      </c>
      <c r="N14637" s="1" t="s">
        <v>38</v>
      </c>
      <c r="O14637" s="1" t="s">
        <v>46</v>
      </c>
    </row>
    <row r="14638" spans="2:15" x14ac:dyDescent="0.3">
      <c r="B14638" s="1" t="s">
        <v>19</v>
      </c>
      <c r="C14638" s="1" t="str">
        <f>"4차"</f>
        <v>4차</v>
      </c>
      <c r="D14638" s="1" t="str">
        <f>"0127F90141"</f>
        <v>0127F90141</v>
      </c>
      <c r="E14638" s="1" t="s">
        <v>10</v>
      </c>
      <c r="F14638" s="1" t="str">
        <f>"10.14.12.22"</f>
        <v>10.14.12.22</v>
      </c>
      <c r="G14638" s="1" t="str">
        <f>"0127F901"</f>
        <v>0127F901</v>
      </c>
      <c r="H14638" s="1" t="str">
        <f>"종암SW 14L8L4"</f>
        <v>종암SW 14L8L4</v>
      </c>
      <c r="I14638" s="1" t="s">
        <v>17</v>
      </c>
      <c r="J14638" s="1" t="str">
        <f>"40/45"</f>
        <v>40/45</v>
      </c>
      <c r="K14638" s="1" t="str">
        <f>"2026-07-29 13:18:03"</f>
        <v>2026-07-29 13:18:03</v>
      </c>
      <c r="L14638" s="1" t="str">
        <f>"2021-08-26 12:54:16"</f>
        <v>2021-08-26 12:54:16</v>
      </c>
      <c r="M14638" s="1" t="s">
        <v>3</v>
      </c>
      <c r="N14638" s="1" t="s">
        <v>38</v>
      </c>
      <c r="O14638" s="1" t="s">
        <v>46</v>
      </c>
    </row>
    <row r="14639" spans="2:15" x14ac:dyDescent="0.3">
      <c r="B14639" s="1" t="s">
        <v>19</v>
      </c>
      <c r="C14639" s="1" t="str">
        <f>"5-2차"</f>
        <v>5-2차</v>
      </c>
      <c r="D14639" s="1" t="str">
        <f>"0127F9115M"</f>
        <v>0127F9115M</v>
      </c>
      <c r="E14639" s="1" t="s">
        <v>10</v>
      </c>
      <c r="F14639" s="1" t="str">
        <f>"fde1:103:4:592b:0:0:0:2"</f>
        <v>fde1:103:4:592b:0:0:0:2</v>
      </c>
      <c r="G14639" s="1" t="str">
        <f>"0127F911"</f>
        <v>0127F911</v>
      </c>
      <c r="H14639" s="1" t="str">
        <f>"종암SW 14L2R8L2"</f>
        <v>종암SW 14L2R8L2</v>
      </c>
      <c r="I14639" s="1" t="s">
        <v>15</v>
      </c>
      <c r="J14639" s="1" t="str">
        <f>"52/52"</f>
        <v>52/52</v>
      </c>
      <c r="K14639" s="1" t="str">
        <f>"2026-07-29 14:20:07"</f>
        <v>2026-07-29 14:20:07</v>
      </c>
      <c r="L14639" s="1" t="str">
        <f>"2023-09-21 10:20:09"</f>
        <v>2023-09-21 10:20:09</v>
      </c>
      <c r="M14639" s="1" t="s">
        <v>4</v>
      </c>
      <c r="N14639" s="1" t="s">
        <v>38</v>
      </c>
      <c r="O14639" s="1" t="s">
        <v>46</v>
      </c>
    </row>
    <row r="14640" spans="2:15" x14ac:dyDescent="0.3">
      <c r="B14640" s="1" t="s">
        <v>19</v>
      </c>
      <c r="C14640" s="1" t="str">
        <f>"4차"</f>
        <v>4차</v>
      </c>
      <c r="D14640" s="1" t="str">
        <f>"0127F92141"</f>
        <v>0127F92141</v>
      </c>
      <c r="E14640" s="1" t="s">
        <v>10</v>
      </c>
      <c r="F14640" s="1" t="str">
        <f>"10.14.3.23"</f>
        <v>10.14.3.23</v>
      </c>
      <c r="G14640" s="1" t="str">
        <f>"0127F921"</f>
        <v>0127F921</v>
      </c>
      <c r="H14640" s="1" t="str">
        <f>"종암SW 14L2R7L1"</f>
        <v>종암SW 14L2R7L1</v>
      </c>
      <c r="I14640" s="1" t="s">
        <v>17</v>
      </c>
      <c r="J14640" s="1" t="str">
        <f>"43/43"</f>
        <v>43/43</v>
      </c>
      <c r="K14640" s="1" t="str">
        <f>"2026-07-29 13:18:02"</f>
        <v>2026-07-29 13:18:02</v>
      </c>
      <c r="L14640" s="1" t="str">
        <f>"2021-08-26 09:47:23"</f>
        <v>2021-08-26 09:47:23</v>
      </c>
      <c r="M14640" s="1" t="s">
        <v>3</v>
      </c>
      <c r="N14640" s="1" t="s">
        <v>38</v>
      </c>
      <c r="O14640" s="1" t="s">
        <v>46</v>
      </c>
    </row>
    <row r="14641" spans="2:15" x14ac:dyDescent="0.3">
      <c r="B14641" s="1" t="s">
        <v>19</v>
      </c>
      <c r="C14641" s="1" t="str">
        <f>"4차"</f>
        <v>4차</v>
      </c>
      <c r="D14641" s="1" t="str">
        <f>"0127F93241"</f>
        <v>0127F93241</v>
      </c>
      <c r="E14641" s="1" t="s">
        <v>10</v>
      </c>
      <c r="F14641" s="1" t="str">
        <f>"10.14.10.21"</f>
        <v>10.14.10.21</v>
      </c>
      <c r="G14641" s="1" t="str">
        <f>"0127F932"</f>
        <v>0127F932</v>
      </c>
      <c r="H14641" s="1" t="str">
        <f>"종암SW 14L2R7"</f>
        <v>종암SW 14L2R7</v>
      </c>
      <c r="I14641" s="1" t="s">
        <v>17</v>
      </c>
      <c r="J14641" s="1" t="str">
        <f>"9/9"</f>
        <v>9/9</v>
      </c>
      <c r="K14641" s="1" t="str">
        <f>"2026-07-29 13:18:02"</f>
        <v>2026-07-29 13:18:02</v>
      </c>
      <c r="L14641" s="1" t="str">
        <f>"2021-08-26 09:01:54"</f>
        <v>2021-08-26 09:01:54</v>
      </c>
      <c r="M14641" s="1" t="s">
        <v>3</v>
      </c>
      <c r="N14641" s="1" t="s">
        <v>38</v>
      </c>
      <c r="O14641" s="1" t="s">
        <v>46</v>
      </c>
    </row>
    <row r="14642" spans="2:15" x14ac:dyDescent="0.3">
      <c r="B14642" s="1" t="s">
        <v>19</v>
      </c>
      <c r="C14642" s="1" t="str">
        <f>"4차"</f>
        <v>4차</v>
      </c>
      <c r="D14642" s="1" t="str">
        <f>"0127F94244"</f>
        <v>0127F94244</v>
      </c>
      <c r="E14642" s="1" t="s">
        <v>10</v>
      </c>
      <c r="F14642" s="1" t="str">
        <f>"10.107.12.109"</f>
        <v>10.107.12.109</v>
      </c>
      <c r="G14642" s="1" t="str">
        <f>"0127F942"</f>
        <v>0127F942</v>
      </c>
      <c r="H14642" s="1" t="str">
        <f>"종암SW 16L4L4"</f>
        <v>종암SW 16L4L4</v>
      </c>
      <c r="I14642" s="1" t="s">
        <v>8</v>
      </c>
      <c r="J14642" s="1" t="str">
        <f>"22/22"</f>
        <v>22/22</v>
      </c>
      <c r="K14642" s="1" t="str">
        <f>"2026-07-29 13:18:02"</f>
        <v>2026-07-29 13:18:02</v>
      </c>
      <c r="L14642" s="1" t="str">
        <f>"2019-12-13 12:09:19"</f>
        <v>2019-12-13 12:09:19</v>
      </c>
      <c r="M14642" s="1" t="s">
        <v>45</v>
      </c>
      <c r="N14642" s="1" t="s">
        <v>38</v>
      </c>
      <c r="O14642" s="1" t="s">
        <v>46</v>
      </c>
    </row>
    <row r="14643" spans="2:15" x14ac:dyDescent="0.3">
      <c r="B14643" s="1" t="s">
        <v>19</v>
      </c>
      <c r="C14643" s="1" t="str">
        <f>"4차"</f>
        <v>4차</v>
      </c>
      <c r="D14643" s="1" t="str">
        <f>"0127F95144"</f>
        <v>0127F95144</v>
      </c>
      <c r="E14643" s="1" t="s">
        <v>10</v>
      </c>
      <c r="F14643" s="1" t="str">
        <f>"10.107.12.108"</f>
        <v>10.107.12.108</v>
      </c>
      <c r="G14643" s="1" t="str">
        <f>"0127F951"</f>
        <v>0127F951</v>
      </c>
      <c r="H14643" s="1" t="str">
        <f>"종암SW 16L4L3"</f>
        <v>종암SW 16L4L3</v>
      </c>
      <c r="I14643" s="1" t="s">
        <v>8</v>
      </c>
      <c r="J14643" s="1" t="str">
        <f>"22/22"</f>
        <v>22/22</v>
      </c>
      <c r="K14643" s="1" t="str">
        <f>"2026-07-29 13:18:02"</f>
        <v>2026-07-29 13:18:02</v>
      </c>
      <c r="L14643" s="1" t="str">
        <f>"2021-08-18 10:24:18"</f>
        <v>2021-08-18 10:24:18</v>
      </c>
      <c r="M14643" s="1" t="s">
        <v>45</v>
      </c>
      <c r="N14643" s="1" t="s">
        <v>38</v>
      </c>
      <c r="O14643" s="1" t="s">
        <v>46</v>
      </c>
    </row>
    <row r="14644" spans="2:15" x14ac:dyDescent="0.3">
      <c r="B14644" s="1" t="s">
        <v>19</v>
      </c>
      <c r="C14644" s="1" t="str">
        <f>"4차"</f>
        <v>4차</v>
      </c>
      <c r="D14644" s="1" t="str">
        <f>"0127F96244"</f>
        <v>0127F96244</v>
      </c>
      <c r="E14644" s="1" t="s">
        <v>10</v>
      </c>
      <c r="F14644" s="1" t="str">
        <f>"10.107.12.110"</f>
        <v>10.107.12.110</v>
      </c>
      <c r="G14644" s="1" t="str">
        <f>"0127F962"</f>
        <v>0127F962</v>
      </c>
      <c r="H14644" s="1" t="str">
        <f>"종암SW 16L4R1"</f>
        <v>종암SW 16L4R1</v>
      </c>
      <c r="I14644" s="1" t="s">
        <v>8</v>
      </c>
      <c r="J14644" s="1" t="str">
        <f>"88/89"</f>
        <v>88/89</v>
      </c>
      <c r="K14644" s="1" t="str">
        <f>"2026-07-29 13:18:02"</f>
        <v>2026-07-29 13:18:02</v>
      </c>
      <c r="L14644" s="1" t="str">
        <f>"2019-12-13 12:10:09"</f>
        <v>2019-12-13 12:10:09</v>
      </c>
      <c r="M14644" s="1" t="s">
        <v>45</v>
      </c>
      <c r="N14644" s="1" t="s">
        <v>38</v>
      </c>
      <c r="O14644" s="1" t="s">
        <v>46</v>
      </c>
    </row>
    <row r="14645" spans="2:15" x14ac:dyDescent="0.3">
      <c r="B14645" s="1" t="s">
        <v>19</v>
      </c>
      <c r="C14645" s="1" t="str">
        <f>"3차"</f>
        <v>3차</v>
      </c>
      <c r="D14645" s="1" t="str">
        <f>"0127F98139"</f>
        <v>0127F98139</v>
      </c>
      <c r="E14645" s="1" t="s">
        <v>10</v>
      </c>
      <c r="F14645" s="1" t="str">
        <f>"10.107.8.173"</f>
        <v>10.107.8.173</v>
      </c>
      <c r="G14645" s="1" t="str">
        <f>"0127F981"</f>
        <v>0127F981</v>
      </c>
      <c r="H14645" s="1" t="str">
        <f>"종암SW 16L10R5"</f>
        <v>종암SW 16L10R5</v>
      </c>
      <c r="I14645" s="1" t="s">
        <v>8</v>
      </c>
      <c r="J14645" s="1" t="str">
        <f>"80/80"</f>
        <v>80/80</v>
      </c>
      <c r="K14645" s="1" t="str">
        <f>"2026-07-29 13:18:01"</f>
        <v>2026-07-29 13:18:01</v>
      </c>
      <c r="L14645" s="1" t="str">
        <f>"2018-03-26 15:34:55"</f>
        <v>2018-03-26 15:34:55</v>
      </c>
      <c r="M14645" s="1" t="s">
        <v>45</v>
      </c>
      <c r="N14645" s="1" t="s">
        <v>38</v>
      </c>
      <c r="O14645" s="1" t="s">
        <v>46</v>
      </c>
    </row>
    <row r="14646" spans="2:15" x14ac:dyDescent="0.3">
      <c r="B14646" s="1" t="s">
        <v>19</v>
      </c>
      <c r="C14646" s="1" t="str">
        <f>"5-1차"</f>
        <v>5-1차</v>
      </c>
      <c r="D14646" s="1" t="str">
        <f>"0127G8115M"</f>
        <v>0127G8115M</v>
      </c>
      <c r="E14646" s="1" t="s">
        <v>10</v>
      </c>
      <c r="F14646" s="1" t="str">
        <f>"fde2:104:0:70:0:0:0:2"</f>
        <v>fde2:104:0:70:0:0:0:2</v>
      </c>
      <c r="G14646" s="1" t="str">
        <f>"0127G811"</f>
        <v>0127G811</v>
      </c>
      <c r="H14646" s="1" t="str">
        <f>"고대SW 3R7L5L1"</f>
        <v>고대SW 3R7L5L1</v>
      </c>
      <c r="I14646" s="1" t="s">
        <v>15</v>
      </c>
      <c r="J14646" s="1" t="str">
        <f>"81/81"</f>
        <v>81/81</v>
      </c>
      <c r="K14646" s="1" t="str">
        <f>"2026-07-29 14:20:36"</f>
        <v>2026-07-29 14:20:36</v>
      </c>
      <c r="L14646" s="1" t="str">
        <f>"2022-08-23 10:02:40"</f>
        <v>2022-08-23 10:02:40</v>
      </c>
      <c r="M14646" s="1" t="s">
        <v>42</v>
      </c>
      <c r="N14646" s="1" t="s">
        <v>38</v>
      </c>
      <c r="O14646" s="1" t="s">
        <v>46</v>
      </c>
    </row>
    <row r="14647" spans="2:15" x14ac:dyDescent="0.3">
      <c r="B14647" s="1" t="s">
        <v>19</v>
      </c>
      <c r="C14647" s="1" t="str">
        <f>"5-1차"</f>
        <v>5-1차</v>
      </c>
      <c r="D14647" s="1" t="str">
        <f>"0127G8215M"</f>
        <v>0127G8215M</v>
      </c>
      <c r="E14647" s="1" t="s">
        <v>10</v>
      </c>
      <c r="F14647" s="1" t="str">
        <f>"fde2:104:0:7c:0:0:0:2"</f>
        <v>fde2:104:0:7c:0:0:0:2</v>
      </c>
      <c r="G14647" s="1" t="str">
        <f>"0127G821"</f>
        <v>0127G821</v>
      </c>
      <c r="H14647" s="1" t="str">
        <f>"고대SW 3R7L6"</f>
        <v>고대SW 3R7L6</v>
      </c>
      <c r="I14647" s="1" t="s">
        <v>15</v>
      </c>
      <c r="J14647" s="1" t="str">
        <f>"46/46"</f>
        <v>46/46</v>
      </c>
      <c r="K14647" s="1" t="str">
        <f>"2026-07-29 14:20:36"</f>
        <v>2026-07-29 14:20:36</v>
      </c>
      <c r="L14647" s="1" t="str">
        <f>"2022-08-23 09:10:25"</f>
        <v>2022-08-23 09:10:25</v>
      </c>
      <c r="M14647" s="1" t="s">
        <v>42</v>
      </c>
      <c r="N14647" s="1" t="s">
        <v>38</v>
      </c>
      <c r="O14647" s="1" t="s">
        <v>46</v>
      </c>
    </row>
    <row r="14648" spans="2:15" x14ac:dyDescent="0.3">
      <c r="B14648" s="1" t="s">
        <v>19</v>
      </c>
      <c r="C14648" s="1" t="str">
        <f>"4차"</f>
        <v>4차</v>
      </c>
      <c r="D14648" s="1" t="str">
        <f>"0127G84141"</f>
        <v>0127G84141</v>
      </c>
      <c r="E14648" s="1" t="s">
        <v>10</v>
      </c>
      <c r="F14648" s="1" t="str">
        <f>"10.14.15.12"</f>
        <v>10.14.15.12</v>
      </c>
      <c r="G14648" s="1" t="str">
        <f>"0127G841"</f>
        <v>0127G841</v>
      </c>
      <c r="H14648" s="1" t="str">
        <f>"고대SW 3R10A5"</f>
        <v>고대SW 3R10A5</v>
      </c>
      <c r="I14648" s="1" t="s">
        <v>17</v>
      </c>
      <c r="J14648" s="1" t="str">
        <f>"38/38"</f>
        <v>38/38</v>
      </c>
      <c r="K14648" s="1" t="str">
        <f>"2026-07-29 13:18:02"</f>
        <v>2026-07-29 13:18:02</v>
      </c>
      <c r="L14648" s="1" t="str">
        <f>"2021-06-14 12:41:01"</f>
        <v>2021-06-14 12:41:01</v>
      </c>
      <c r="M14648" s="1" t="s">
        <v>3</v>
      </c>
      <c r="N14648" s="1" t="s">
        <v>38</v>
      </c>
      <c r="O14648" s="1" t="s">
        <v>46</v>
      </c>
    </row>
    <row r="14649" spans="2:15" x14ac:dyDescent="0.3">
      <c r="B14649" s="1" t="s">
        <v>19</v>
      </c>
      <c r="C14649" s="1" t="str">
        <f>"5-1차"</f>
        <v>5-1차</v>
      </c>
      <c r="D14649" s="1" t="str">
        <f>"0127G9125M"</f>
        <v>0127G9125M</v>
      </c>
      <c r="E14649" s="1" t="s">
        <v>10</v>
      </c>
      <c r="F14649" s="1" t="str">
        <f>"fde2:104:0:6e:0:0:0:2"</f>
        <v>fde2:104:0:6e:0:0:0:2</v>
      </c>
      <c r="G14649" s="1" t="str">
        <f>"0127G912"</f>
        <v>0127G912</v>
      </c>
      <c r="H14649" s="1" t="str">
        <f>"고대SW 3R7L1"</f>
        <v>고대SW 3R7L1</v>
      </c>
      <c r="I14649" s="1" t="s">
        <v>15</v>
      </c>
      <c r="J14649" s="1" t="str">
        <f>"5/5"</f>
        <v>5/5</v>
      </c>
      <c r="K14649" s="1" t="str">
        <f>"2026-07-29 14:20:37"</f>
        <v>2026-07-29 14:20:37</v>
      </c>
      <c r="L14649" s="1" t="str">
        <f>"2022-08-31 09:25:30"</f>
        <v>2022-08-31 09:25:30</v>
      </c>
      <c r="M14649" s="1" t="s">
        <v>42</v>
      </c>
      <c r="N14649" s="1" t="s">
        <v>38</v>
      </c>
      <c r="O14649" s="1" t="s">
        <v>46</v>
      </c>
    </row>
    <row r="14650" spans="2:15" x14ac:dyDescent="0.3">
      <c r="B14650" s="1" t="s">
        <v>19</v>
      </c>
      <c r="C14650" s="1" t="s">
        <v>16</v>
      </c>
      <c r="D14650" s="1" t="str">
        <f>"0127H00441"</f>
        <v>0127H00441</v>
      </c>
      <c r="E14650" s="1" t="s">
        <v>10</v>
      </c>
      <c r="F14650" s="1" t="str">
        <f>"10.14.11.202"</f>
        <v>10.14.11.202</v>
      </c>
      <c r="G14650" s="1" t="str">
        <f>"0127H004"</f>
        <v>0127H004</v>
      </c>
      <c r="H14650" s="1" t="str">
        <f>"고대SW 3R5"</f>
        <v>고대SW 3R5</v>
      </c>
      <c r="I14650" s="1" t="s">
        <v>17</v>
      </c>
      <c r="J14650" s="1" t="str">
        <f>"30/39"</f>
        <v>30/39</v>
      </c>
      <c r="K14650" s="1" t="str">
        <f>"2026-07-29 13:18:02"</f>
        <v>2026-07-29 13:18:02</v>
      </c>
      <c r="L14650" s="1" t="str">
        <f>"2022-11-07 15:02:35"</f>
        <v>2022-11-07 15:02:35</v>
      </c>
      <c r="M14650" s="1" t="s">
        <v>3</v>
      </c>
      <c r="N14650" s="1" t="s">
        <v>38</v>
      </c>
      <c r="O14650" s="1" t="s">
        <v>46</v>
      </c>
    </row>
    <row r="14651" spans="2:15" x14ac:dyDescent="0.3">
      <c r="B14651" s="1" t="s">
        <v>19</v>
      </c>
      <c r="C14651" s="1" t="str">
        <f>"5-1차"</f>
        <v>5-1차</v>
      </c>
      <c r="D14651" s="1" t="str">
        <f>"0127H0125S"</f>
        <v>0127H0125S</v>
      </c>
      <c r="E14651" s="1" t="s">
        <v>10</v>
      </c>
      <c r="F14651" s="1" t="str">
        <f>"fde2:104:0:71:0:0:0:2"</f>
        <v>fde2:104:0:71:0:0:0:2</v>
      </c>
      <c r="G14651" s="1" t="str">
        <f>"0127H012"</f>
        <v>0127H012</v>
      </c>
      <c r="H14651" s="1" t="str">
        <f>"고대SW 3R7R1"</f>
        <v>고대SW 3R7R1</v>
      </c>
      <c r="I14651" s="1" t="s">
        <v>15</v>
      </c>
      <c r="J14651" s="1" t="str">
        <f>"30/30"</f>
        <v>30/30</v>
      </c>
      <c r="K14651" s="1" t="str">
        <f>"2026-07-29 14:20:43"</f>
        <v>2026-07-29 14:20:43</v>
      </c>
      <c r="L14651" s="1" t="str">
        <f>"2022-08-22 15:07:00"</f>
        <v>2022-08-22 15:07:00</v>
      </c>
      <c r="M14651" s="1" t="s">
        <v>42</v>
      </c>
      <c r="N14651" s="1" t="s">
        <v>38</v>
      </c>
      <c r="O14651" s="1" t="s">
        <v>46</v>
      </c>
    </row>
    <row r="14652" spans="2:15" x14ac:dyDescent="0.3">
      <c r="B14652" s="1" t="s">
        <v>19</v>
      </c>
      <c r="C14652" s="1" t="str">
        <f>"5-2차"</f>
        <v>5-2차</v>
      </c>
      <c r="D14652" s="1" t="str">
        <f>"0127H0135M"</f>
        <v>0127H0135M</v>
      </c>
      <c r="E14652" s="1" t="s">
        <v>10</v>
      </c>
      <c r="F14652" s="1" t="str">
        <f>"fde1:103:4:57de:0:0:0:2"</f>
        <v>fde1:103:4:57de:0:0:0:2</v>
      </c>
      <c r="G14652" s="1" t="str">
        <f>"0127H013"</f>
        <v>0127H013</v>
      </c>
      <c r="H14652" s="1" t="str">
        <f>"고대SW 3R8"</f>
        <v>고대SW 3R8</v>
      </c>
      <c r="I14652" s="1" t="s">
        <v>15</v>
      </c>
      <c r="J14652" s="1" t="str">
        <f>"31/31"</f>
        <v>31/31</v>
      </c>
      <c r="K14652" s="1" t="str">
        <f>"2026-07-29 14:20:04"</f>
        <v>2026-07-29 14:20:04</v>
      </c>
      <c r="L14652" s="1" t="str">
        <f>"2023-09-21 10:20:55"</f>
        <v>2023-09-21 10:20:55</v>
      </c>
      <c r="M14652" s="1" t="s">
        <v>4</v>
      </c>
      <c r="N14652" s="1" t="s">
        <v>38</v>
      </c>
      <c r="O14652" s="1" t="s">
        <v>46</v>
      </c>
    </row>
    <row r="14653" spans="2:15" x14ac:dyDescent="0.3">
      <c r="B14653" s="1" t="s">
        <v>19</v>
      </c>
      <c r="C14653" s="1" t="str">
        <f>"5-2차"</f>
        <v>5-2차</v>
      </c>
      <c r="D14653" s="1" t="str">
        <f>"0127H0225M"</f>
        <v>0127H0225M</v>
      </c>
      <c r="E14653" s="1" t="s">
        <v>10</v>
      </c>
      <c r="F14653" s="1" t="str">
        <f>"fde1:103:4:5739:0:0:0:2"</f>
        <v>fde1:103:4:5739:0:0:0:2</v>
      </c>
      <c r="G14653" s="1" t="str">
        <f>"0127H022"</f>
        <v>0127H022</v>
      </c>
      <c r="H14653" s="1" t="str">
        <f>"고대SW 3R8R2"</f>
        <v>고대SW 3R8R2</v>
      </c>
      <c r="I14653" s="1" t="s">
        <v>15</v>
      </c>
      <c r="J14653" s="1" t="str">
        <f>"25/25"</f>
        <v>25/25</v>
      </c>
      <c r="K14653" s="1" t="str">
        <f>"2026-07-29 14:20:36"</f>
        <v>2026-07-29 14:20:36</v>
      </c>
      <c r="L14653" s="1" t="str">
        <f>"2023-09-21 10:21:44"</f>
        <v>2023-09-21 10:21:44</v>
      </c>
      <c r="M14653" s="1" t="s">
        <v>4</v>
      </c>
      <c r="N14653" s="1" t="s">
        <v>38</v>
      </c>
      <c r="O14653" s="1" t="s">
        <v>46</v>
      </c>
    </row>
    <row r="14654" spans="2:15" x14ac:dyDescent="0.3">
      <c r="B14654" s="1" t="s">
        <v>19</v>
      </c>
      <c r="C14654" s="1" t="str">
        <f>"4차"</f>
        <v>4차</v>
      </c>
      <c r="D14654" s="1" t="str">
        <f>"0127H02341"</f>
        <v>0127H02341</v>
      </c>
      <c r="E14654" s="1" t="s">
        <v>10</v>
      </c>
      <c r="F14654" s="1" t="str">
        <f>"10.14.12.16"</f>
        <v>10.14.12.16</v>
      </c>
      <c r="G14654" s="1" t="str">
        <f>"0127H023"</f>
        <v>0127H023</v>
      </c>
      <c r="H14654" s="1" t="str">
        <f>"고대SW 3R9"</f>
        <v>고대SW 3R9</v>
      </c>
      <c r="I14654" s="1" t="s">
        <v>17</v>
      </c>
      <c r="J14654" s="1" t="str">
        <f>"25/25"</f>
        <v>25/25</v>
      </c>
      <c r="K14654" s="1" t="str">
        <f>"2026-07-29 13:18:02"</f>
        <v>2026-07-29 13:18:02</v>
      </c>
      <c r="L14654" s="1" t="str">
        <f>"2021-08-30 09:16:08"</f>
        <v>2021-08-30 09:16:08</v>
      </c>
      <c r="M14654" s="1" t="s">
        <v>3</v>
      </c>
      <c r="N14654" s="1" t="s">
        <v>38</v>
      </c>
      <c r="O14654" s="1" t="s">
        <v>46</v>
      </c>
    </row>
    <row r="14655" spans="2:15" x14ac:dyDescent="0.3">
      <c r="B14655" s="1" t="s">
        <v>19</v>
      </c>
      <c r="C14655" s="1" t="str">
        <f>"5-1차"</f>
        <v>5-1차</v>
      </c>
      <c r="D14655" s="1" t="str">
        <f>"0127H0245M"</f>
        <v>0127H0245M</v>
      </c>
      <c r="E14655" s="1" t="s">
        <v>10</v>
      </c>
      <c r="F14655" s="1" t="str">
        <f>"fde2:104:0:77:0:0:0:2"</f>
        <v>fde2:104:0:77:0:0:0:2</v>
      </c>
      <c r="G14655" s="1" t="str">
        <f>"0127H024"</f>
        <v>0127H024</v>
      </c>
      <c r="H14655" s="1" t="str">
        <f>"고대SW 3R8R1"</f>
        <v>고대SW 3R8R1</v>
      </c>
      <c r="I14655" s="1" t="s">
        <v>15</v>
      </c>
      <c r="J14655" s="1" t="str">
        <f>"105/106"</f>
        <v>105/106</v>
      </c>
      <c r="K14655" s="1" t="str">
        <f>"2026-07-29 14:20:37"</f>
        <v>2026-07-29 14:20:37</v>
      </c>
      <c r="L14655" s="1" t="str">
        <f>"2022-08-30 18:08:55"</f>
        <v>2022-08-30 18:08:55</v>
      </c>
      <c r="M14655" s="1" t="s">
        <v>42</v>
      </c>
      <c r="N14655" s="1" t="s">
        <v>38</v>
      </c>
      <c r="O14655" s="1" t="s">
        <v>46</v>
      </c>
    </row>
    <row r="14656" spans="2:15" x14ac:dyDescent="0.3">
      <c r="B14656" s="1" t="s">
        <v>19</v>
      </c>
      <c r="C14656" s="1" t="str">
        <f>"5-2차"</f>
        <v>5-2차</v>
      </c>
      <c r="D14656" s="1" t="str">
        <f>"0127H0335M"</f>
        <v>0127H0335M</v>
      </c>
      <c r="E14656" s="1" t="s">
        <v>10</v>
      </c>
      <c r="F14656" s="1" t="str">
        <f>"fde1:103:4:580d:0:0:0:2"</f>
        <v>fde1:103:4:580d:0:0:0:2</v>
      </c>
      <c r="G14656" s="1" t="str">
        <f>"0127H033"</f>
        <v>0127H033</v>
      </c>
      <c r="H14656" s="1" t="str">
        <f>"고대SW 3R11"</f>
        <v>고대SW 3R11</v>
      </c>
      <c r="I14656" s="1" t="s">
        <v>15</v>
      </c>
      <c r="J14656" s="1" t="str">
        <f>"105/105"</f>
        <v>105/105</v>
      </c>
      <c r="K14656" s="1" t="str">
        <f>"2026-07-29 14:20:20"</f>
        <v>2026-07-29 14:20:20</v>
      </c>
      <c r="L14656" s="1" t="str">
        <f>"2023-09-21 10:35:44"</f>
        <v>2023-09-21 10:35:44</v>
      </c>
      <c r="M14656" s="1" t="s">
        <v>4</v>
      </c>
      <c r="N14656" s="1" t="s">
        <v>38</v>
      </c>
      <c r="O14656" s="1" t="s">
        <v>46</v>
      </c>
    </row>
    <row r="14657" spans="2:15" x14ac:dyDescent="0.3">
      <c r="B14657" s="1" t="s">
        <v>19</v>
      </c>
      <c r="C14657" s="1" t="str">
        <f>"5-2차"</f>
        <v>5-2차</v>
      </c>
      <c r="D14657" s="1" t="str">
        <f>"0127H0345M"</f>
        <v>0127H0345M</v>
      </c>
      <c r="E14657" s="1" t="s">
        <v>10</v>
      </c>
      <c r="F14657" s="1" t="str">
        <f>"fde1:103:4:5788:0:0:0:2"</f>
        <v>fde1:103:4:5788:0:0:0:2</v>
      </c>
      <c r="G14657" s="1" t="str">
        <f>"0127H034"</f>
        <v>0127H034</v>
      </c>
      <c r="H14657" s="1" t="str">
        <f>"고대SW 3R10H1L1"</f>
        <v>고대SW 3R10H1L1</v>
      </c>
      <c r="I14657" s="1" t="s">
        <v>15</v>
      </c>
      <c r="J14657" s="1" t="str">
        <f>"79/81"</f>
        <v>79/81</v>
      </c>
      <c r="K14657" s="1" t="str">
        <f>"2026-07-29 14:20:43"</f>
        <v>2026-07-29 14:20:43</v>
      </c>
      <c r="L14657" s="1" t="str">
        <f>"2023-09-21 10:36:20"</f>
        <v>2023-09-21 10:36:20</v>
      </c>
      <c r="M14657" s="1" t="s">
        <v>4</v>
      </c>
      <c r="N14657" s="1" t="s">
        <v>38</v>
      </c>
      <c r="O14657" s="1" t="s">
        <v>46</v>
      </c>
    </row>
    <row r="14658" spans="2:15" x14ac:dyDescent="0.3">
      <c r="B14658" s="1" t="s">
        <v>19</v>
      </c>
      <c r="C14658" s="1" t="str">
        <f>"4차"</f>
        <v>4차</v>
      </c>
      <c r="D14658" s="1" t="str">
        <f>"0127H10139"</f>
        <v>0127H10139</v>
      </c>
      <c r="E14658" s="1" t="s">
        <v>10</v>
      </c>
      <c r="F14658" s="1" t="str">
        <f>"10.12.132.43"</f>
        <v>10.12.132.43</v>
      </c>
      <c r="G14658" s="1" t="str">
        <f>"0127H101"</f>
        <v>0127H101</v>
      </c>
      <c r="H14658" s="1" t="str">
        <f>"고대SW 2R6"</f>
        <v>고대SW 2R6</v>
      </c>
      <c r="I14658" s="1" t="s">
        <v>17</v>
      </c>
      <c r="J14658" s="1" t="str">
        <f>"111/111"</f>
        <v>111/111</v>
      </c>
      <c r="K14658" s="1" t="str">
        <f>"2026-07-29 13:18:03"</f>
        <v>2026-07-29 13:18:03</v>
      </c>
      <c r="L14658" s="1" t="str">
        <f>"2018-09-17 15:26:12"</f>
        <v>2018-09-17 15:26:12</v>
      </c>
      <c r="M14658" s="1" t="s">
        <v>0</v>
      </c>
      <c r="N14658" s="1" t="s">
        <v>38</v>
      </c>
      <c r="O14658" s="1" t="s">
        <v>46</v>
      </c>
    </row>
    <row r="14659" spans="2:15" x14ac:dyDescent="0.3">
      <c r="B14659" s="1" t="s">
        <v>19</v>
      </c>
      <c r="C14659" s="1" t="str">
        <f>"4차"</f>
        <v>4차</v>
      </c>
      <c r="D14659" s="1" t="str">
        <f>"0127H10241"</f>
        <v>0127H10241</v>
      </c>
      <c r="E14659" s="1" t="s">
        <v>10</v>
      </c>
      <c r="F14659" s="1" t="str">
        <f>"10.14.8.36"</f>
        <v>10.14.8.36</v>
      </c>
      <c r="G14659" s="1" t="str">
        <f>"0127H102"</f>
        <v>0127H102</v>
      </c>
      <c r="H14659" s="1" t="str">
        <f>"고대SW 2R9"</f>
        <v>고대SW 2R9</v>
      </c>
      <c r="I14659" s="1" t="s">
        <v>17</v>
      </c>
      <c r="J14659" s="1" t="str">
        <f>"24/29"</f>
        <v>24/29</v>
      </c>
      <c r="K14659" s="1" t="str">
        <f>"2026-07-29 13:18:02"</f>
        <v>2026-07-29 13:18:02</v>
      </c>
      <c r="L14659" s="1" t="str">
        <f>"2021-08-30 08:41:11"</f>
        <v>2021-08-30 08:41:11</v>
      </c>
      <c r="M14659" s="1" t="s">
        <v>3</v>
      </c>
      <c r="N14659" s="1" t="s">
        <v>38</v>
      </c>
      <c r="O14659" s="1" t="s">
        <v>46</v>
      </c>
    </row>
    <row r="14660" spans="2:15" x14ac:dyDescent="0.3">
      <c r="B14660" s="1" t="s">
        <v>19</v>
      </c>
      <c r="C14660" s="1" t="str">
        <f>"4차"</f>
        <v>4차</v>
      </c>
      <c r="D14660" s="1" t="str">
        <f>"0127H10339"</f>
        <v>0127H10339</v>
      </c>
      <c r="E14660" s="1" t="s">
        <v>10</v>
      </c>
      <c r="F14660" s="1" t="str">
        <f>"10.12.132.38"</f>
        <v>10.12.132.38</v>
      </c>
      <c r="G14660" s="1" t="str">
        <f>"0127H103"</f>
        <v>0127H103</v>
      </c>
      <c r="H14660" s="1" t="str">
        <f>"고대SW 2R8"</f>
        <v>고대SW 2R8</v>
      </c>
      <c r="I14660" s="1" t="s">
        <v>17</v>
      </c>
      <c r="J14660" s="1" t="str">
        <f>"20/20"</f>
        <v>20/20</v>
      </c>
      <c r="K14660" s="1" t="str">
        <f>"2026-07-29 13:18:02"</f>
        <v>2026-07-29 13:18:02</v>
      </c>
      <c r="L14660" s="1" t="str">
        <f>"2018-09-17 16:07:12"</f>
        <v>2018-09-17 16:07:12</v>
      </c>
      <c r="M14660" s="1" t="s">
        <v>0</v>
      </c>
      <c r="N14660" s="1" t="s">
        <v>38</v>
      </c>
      <c r="O14660" s="1" t="s">
        <v>46</v>
      </c>
    </row>
    <row r="14661" spans="2:15" x14ac:dyDescent="0.3">
      <c r="B14661" s="1" t="s">
        <v>19</v>
      </c>
      <c r="C14661" s="1" t="str">
        <f>"5-2차"</f>
        <v>5-2차</v>
      </c>
      <c r="D14661" s="1" t="str">
        <f>"0127H1215M"</f>
        <v>0127H1215M</v>
      </c>
      <c r="E14661" s="1" t="s">
        <v>10</v>
      </c>
      <c r="F14661" s="1" t="str">
        <f>"fde1:103:4:5782:0:0:0:2"</f>
        <v>fde1:103:4:5782:0:0:0:2</v>
      </c>
      <c r="G14661" s="1" t="str">
        <f>"0127H121"</f>
        <v>0127H121</v>
      </c>
      <c r="H14661" s="1" t="str">
        <f>"고대SW 3R8R3"</f>
        <v>고대SW 3R8R3</v>
      </c>
      <c r="I14661" s="1" t="s">
        <v>15</v>
      </c>
      <c r="J14661" s="1" t="str">
        <f>"33/33"</f>
        <v>33/33</v>
      </c>
      <c r="K14661" s="1" t="str">
        <f>"2026-07-29 08:20:35"</f>
        <v>2026-07-29 08:20:35</v>
      </c>
      <c r="L14661" s="1" t="str">
        <f>"2023-09-21 10:36:49"</f>
        <v>2023-09-21 10:36:49</v>
      </c>
      <c r="M14661" s="1" t="s">
        <v>4</v>
      </c>
      <c r="N14661" s="1" t="s">
        <v>38</v>
      </c>
      <c r="O14661" s="1" t="s">
        <v>46</v>
      </c>
    </row>
    <row r="14662" spans="2:15" x14ac:dyDescent="0.3">
      <c r="B14662" s="1" t="s">
        <v>19</v>
      </c>
      <c r="C14662" s="1" t="str">
        <f>"5-2차"</f>
        <v>5-2차</v>
      </c>
      <c r="D14662" s="1" t="str">
        <f>"0127H1225S"</f>
        <v>0127H1225S</v>
      </c>
      <c r="E14662" s="1" t="s">
        <v>10</v>
      </c>
      <c r="F14662" s="1" t="str">
        <f>"fde1:103:4:57e0:0:0:0:2"</f>
        <v>fde1:103:4:57e0:0:0:0:2</v>
      </c>
      <c r="G14662" s="1" t="str">
        <f>"0127H122"</f>
        <v>0127H122</v>
      </c>
      <c r="H14662" s="1" t="str">
        <f>"고대SW 3R8R4"</f>
        <v>고대SW 3R8R4</v>
      </c>
      <c r="I14662" s="1" t="s">
        <v>15</v>
      </c>
      <c r="J14662" s="1" t="str">
        <f>"8/8"</f>
        <v>8/8</v>
      </c>
      <c r="K14662" s="1" t="str">
        <f>"2026-07-29 14:20:37"</f>
        <v>2026-07-29 14:20:37</v>
      </c>
      <c r="L14662" s="1" t="str">
        <f>"2023-09-21 10:55:13"</f>
        <v>2023-09-21 10:55:13</v>
      </c>
      <c r="M14662" s="1" t="s">
        <v>4</v>
      </c>
      <c r="N14662" s="1" t="s">
        <v>38</v>
      </c>
      <c r="O14662" s="1" t="s">
        <v>46</v>
      </c>
    </row>
    <row r="14663" spans="2:15" x14ac:dyDescent="0.3">
      <c r="B14663" s="1" t="s">
        <v>19</v>
      </c>
      <c r="C14663" s="1" t="str">
        <f>"5-2차"</f>
        <v>5-2차</v>
      </c>
      <c r="D14663" s="1" t="str">
        <f>"0127H7815M"</f>
        <v>0127H7815M</v>
      </c>
      <c r="E14663" s="1" t="s">
        <v>10</v>
      </c>
      <c r="F14663" s="1" t="str">
        <f>"fde1:103:4:5712:0:0:0:2"</f>
        <v>fde1:103:4:5712:0:0:0:2</v>
      </c>
      <c r="G14663" s="1" t="str">
        <f>"0127H781"</f>
        <v>0127H781</v>
      </c>
      <c r="H14663" s="1" t="str">
        <f>"종암SW 14L10R2"</f>
        <v>종암SW 14L10R2</v>
      </c>
      <c r="I14663" s="1" t="s">
        <v>15</v>
      </c>
      <c r="J14663" s="1" t="str">
        <f>"204/204"</f>
        <v>204/204</v>
      </c>
      <c r="K14663" s="1" t="str">
        <f>"2026-07-29 14:20:38"</f>
        <v>2026-07-29 14:20:38</v>
      </c>
      <c r="L14663" s="1" t="str">
        <f>"2023-09-21 10:55:55"</f>
        <v>2023-09-21 10:55:55</v>
      </c>
      <c r="M14663" s="1" t="s">
        <v>4</v>
      </c>
      <c r="N14663" s="1" t="s">
        <v>38</v>
      </c>
      <c r="O14663" s="1" t="s">
        <v>46</v>
      </c>
    </row>
    <row r="14664" spans="2:15" x14ac:dyDescent="0.3">
      <c r="B14664" s="1" t="s">
        <v>19</v>
      </c>
      <c r="C14664" s="1" t="str">
        <f>"5-2차"</f>
        <v>5-2차</v>
      </c>
      <c r="D14664" s="1" t="str">
        <f>"0127H8815M"</f>
        <v>0127H8815M</v>
      </c>
      <c r="E14664" s="1" t="s">
        <v>10</v>
      </c>
      <c r="F14664" s="1" t="str">
        <f>"fde1:103:4:57ac:0:0:0:2"</f>
        <v>fde1:103:4:57ac:0:0:0:2</v>
      </c>
      <c r="G14664" s="1" t="str">
        <f>"0127H881"</f>
        <v>0127H881</v>
      </c>
      <c r="H14664" s="1" t="str">
        <f>"종암SW 14L9R1"</f>
        <v>종암SW 14L9R1</v>
      </c>
      <c r="I14664" s="1" t="s">
        <v>15</v>
      </c>
      <c r="J14664" s="1" t="str">
        <f>"55/55"</f>
        <v>55/55</v>
      </c>
      <c r="K14664" s="1" t="str">
        <f>"2026-07-29 14:20:38"</f>
        <v>2026-07-29 14:20:38</v>
      </c>
      <c r="L14664" s="1" t="str">
        <f>"2023-09-21 10:56:13"</f>
        <v>2023-09-21 10:56:13</v>
      </c>
      <c r="M14664" s="1" t="s">
        <v>4</v>
      </c>
      <c r="N14664" s="1" t="s">
        <v>38</v>
      </c>
      <c r="O14664" s="1" t="s">
        <v>46</v>
      </c>
    </row>
    <row r="14665" spans="2:15" x14ac:dyDescent="0.3">
      <c r="B14665" s="1" t="s">
        <v>19</v>
      </c>
      <c r="C14665" s="1" t="str">
        <f>"5-2차"</f>
        <v>5-2차</v>
      </c>
      <c r="D14665" s="1" t="str">
        <f>"0127H8915M"</f>
        <v>0127H8915M</v>
      </c>
      <c r="E14665" s="1" t="s">
        <v>10</v>
      </c>
      <c r="F14665" s="1" t="str">
        <f>"fde1:103:4:57c8:0:0:0:2"</f>
        <v>fde1:103:4:57c8:0:0:0:2</v>
      </c>
      <c r="G14665" s="1" t="str">
        <f>"0127H891"</f>
        <v>0127H891</v>
      </c>
      <c r="H14665" s="1" t="str">
        <f>"종암SW 14L6"</f>
        <v>종암SW 14L6</v>
      </c>
      <c r="I14665" s="1" t="s">
        <v>15</v>
      </c>
      <c r="J14665" s="1" t="str">
        <f>"140/140"</f>
        <v>140/140</v>
      </c>
      <c r="K14665" s="1" t="str">
        <f>"2026-07-29 14:20:38"</f>
        <v>2026-07-29 14:20:38</v>
      </c>
      <c r="L14665" s="1" t="str">
        <f>"2023-09-21 11:09:51"</f>
        <v>2023-09-21 11:09:51</v>
      </c>
      <c r="M14665" s="1" t="s">
        <v>4</v>
      </c>
      <c r="N14665" s="1" t="s">
        <v>38</v>
      </c>
      <c r="O14665" s="1" t="s">
        <v>46</v>
      </c>
    </row>
    <row r="14666" spans="2:15" x14ac:dyDescent="0.3">
      <c r="B14666" s="1" t="s">
        <v>19</v>
      </c>
      <c r="C14666" s="1" t="str">
        <f>"3차"</f>
        <v>3차</v>
      </c>
      <c r="D14666" s="1" t="str">
        <f>"0127H89239"</f>
        <v>0127H89239</v>
      </c>
      <c r="E14666" s="1" t="s">
        <v>10</v>
      </c>
      <c r="F14666" s="1" t="str">
        <f>"10.12.130.58"</f>
        <v>10.12.130.58</v>
      </c>
      <c r="G14666" s="1" t="str">
        <f>"0127H892"</f>
        <v>0127H892</v>
      </c>
      <c r="H14666" s="1" t="str">
        <f>"종암SW 14L9R2"</f>
        <v>종암SW 14L9R2</v>
      </c>
      <c r="I14666" s="1" t="s">
        <v>17</v>
      </c>
      <c r="J14666" s="1" t="str">
        <f>"60/60"</f>
        <v>60/60</v>
      </c>
      <c r="K14666" s="1" t="str">
        <f>"2026-07-29 13:18:02"</f>
        <v>2026-07-29 13:18:02</v>
      </c>
      <c r="L14666" s="1" t="str">
        <f>"2018-09-20 12:28:42"</f>
        <v>2018-09-20 12:28:42</v>
      </c>
      <c r="M14666" s="1" t="s">
        <v>0</v>
      </c>
      <c r="N14666" s="1" t="s">
        <v>38</v>
      </c>
      <c r="O14666" s="1" t="s">
        <v>46</v>
      </c>
    </row>
    <row r="14667" spans="2:15" x14ac:dyDescent="0.3">
      <c r="B14667" s="1" t="s">
        <v>19</v>
      </c>
      <c r="C14667" s="1" t="str">
        <f>"5-2차"</f>
        <v>5-2차</v>
      </c>
      <c r="D14667" s="1" t="str">
        <f>"0127H9835M"</f>
        <v>0127H9835M</v>
      </c>
      <c r="E14667" s="1" t="s">
        <v>10</v>
      </c>
      <c r="F14667" s="1" t="str">
        <f>"fde1:103:4:585f:0:0:0:2"</f>
        <v>fde1:103:4:585f:0:0:0:2</v>
      </c>
      <c r="G14667" s="1" t="str">
        <f>"0127H983"</f>
        <v>0127H983</v>
      </c>
      <c r="H14667" s="1" t="str">
        <f>"종암SW 14L8"</f>
        <v>종암SW 14L8</v>
      </c>
      <c r="I14667" s="1" t="s">
        <v>15</v>
      </c>
      <c r="J14667" s="1" t="str">
        <f>"89/89"</f>
        <v>89/89</v>
      </c>
      <c r="K14667" s="1" t="str">
        <f>"2026-07-29 14:20:07"</f>
        <v>2026-07-29 14:20:07</v>
      </c>
      <c r="L14667" s="1" t="str">
        <f>"2023-09-21 11:10:33"</f>
        <v>2023-09-21 11:10:33</v>
      </c>
      <c r="M14667" s="1" t="s">
        <v>4</v>
      </c>
      <c r="N14667" s="1" t="s">
        <v>38</v>
      </c>
      <c r="O14667" s="1" t="s">
        <v>46</v>
      </c>
    </row>
    <row r="14668" spans="2:15" x14ac:dyDescent="0.3">
      <c r="B14668" s="1" t="s">
        <v>19</v>
      </c>
      <c r="C14668" s="1" t="str">
        <f>"5-2차"</f>
        <v>5-2차</v>
      </c>
      <c r="D14668" s="1" t="str">
        <f>"0127H9925M"</f>
        <v>0127H9925M</v>
      </c>
      <c r="E14668" s="1" t="s">
        <v>10</v>
      </c>
      <c r="F14668" s="1" t="str">
        <f>"fde1:103:4:5748:0:0:0:2"</f>
        <v>fde1:103:4:5748:0:0:0:2</v>
      </c>
      <c r="G14668" s="1" t="str">
        <f>"0127H992"</f>
        <v>0127H992</v>
      </c>
      <c r="H14668" s="1" t="str">
        <f>"종암SW 14L8L3"</f>
        <v>종암SW 14L8L3</v>
      </c>
      <c r="I14668" s="1" t="s">
        <v>15</v>
      </c>
      <c r="J14668" s="1" t="str">
        <f>"79/79"</f>
        <v>79/79</v>
      </c>
      <c r="K14668" s="1" t="str">
        <f>"2026-07-29 08:20:36"</f>
        <v>2026-07-29 08:20:36</v>
      </c>
      <c r="L14668" s="1" t="str">
        <f>"2023-09-21 11:11:19"</f>
        <v>2023-09-21 11:11:19</v>
      </c>
      <c r="M14668" s="1" t="s">
        <v>4</v>
      </c>
      <c r="N14668" s="1" t="s">
        <v>38</v>
      </c>
      <c r="O14668" s="1" t="s">
        <v>46</v>
      </c>
    </row>
    <row r="14669" spans="2:15" x14ac:dyDescent="0.3">
      <c r="B14669" s="1" t="s">
        <v>19</v>
      </c>
      <c r="C14669" s="1" t="str">
        <f>"5-1차"</f>
        <v>5-1차</v>
      </c>
      <c r="D14669" s="1" t="str">
        <f>"0127P0335M"</f>
        <v>0127P0335M</v>
      </c>
      <c r="E14669" s="1" t="s">
        <v>10</v>
      </c>
      <c r="F14669" s="1" t="str">
        <f>"fde2:104:0:79:0:0:0:2"</f>
        <v>fde2:104:0:79:0:0:0:2</v>
      </c>
      <c r="G14669" s="1" t="str">
        <f>"0127P033"</f>
        <v>0127P033</v>
      </c>
      <c r="H14669" s="1" t="str">
        <f>"한성간 23L3"</f>
        <v>한성간 23L3</v>
      </c>
      <c r="I14669" s="1" t="s">
        <v>15</v>
      </c>
      <c r="J14669" s="1" t="str">
        <f>"42/42"</f>
        <v>42/42</v>
      </c>
      <c r="K14669" s="1" t="str">
        <f>"2026-07-29 14:20:20"</f>
        <v>2026-07-29 14:20:20</v>
      </c>
      <c r="L14669" s="1" t="str">
        <f>"2022-08-23 15:38:22"</f>
        <v>2022-08-23 15:38:22</v>
      </c>
      <c r="M14669" s="1" t="s">
        <v>42</v>
      </c>
      <c r="N14669" s="1" t="s">
        <v>38</v>
      </c>
      <c r="O14669" s="1" t="s">
        <v>46</v>
      </c>
    </row>
    <row r="14670" spans="2:15" x14ac:dyDescent="0.3">
      <c r="B14670" s="1" t="s">
        <v>19</v>
      </c>
      <c r="C14670" s="1" t="str">
        <f>"4차"</f>
        <v>4차</v>
      </c>
      <c r="D14670" s="1" t="str">
        <f>"0127P08141"</f>
        <v>0127P08141</v>
      </c>
      <c r="E14670" s="1" t="s">
        <v>10</v>
      </c>
      <c r="F14670" s="1" t="str">
        <f>"10.12.136.127"</f>
        <v>10.12.136.127</v>
      </c>
      <c r="G14670" s="1" t="str">
        <f>"0127P081"</f>
        <v>0127P081</v>
      </c>
      <c r="H14670" s="1" t="str">
        <f>"보문지 17R5"</f>
        <v>보문지 17R5</v>
      </c>
      <c r="I14670" s="1" t="s">
        <v>17</v>
      </c>
      <c r="J14670" s="1" t="str">
        <f>"30/30"</f>
        <v>30/30</v>
      </c>
      <c r="K14670" s="1" t="str">
        <f>"2026-07-29 13:18:04"</f>
        <v>2026-07-29 13:18:04</v>
      </c>
      <c r="L14670" s="1" t="str">
        <f>"2021-08-30 13:57:24"</f>
        <v>2021-08-30 13:57:24</v>
      </c>
      <c r="M14670" s="1" t="s">
        <v>0</v>
      </c>
      <c r="N14670" s="1" t="s">
        <v>38</v>
      </c>
      <c r="O14670" s="1" t="s">
        <v>46</v>
      </c>
    </row>
    <row r="14671" spans="2:15" x14ac:dyDescent="0.3">
      <c r="B14671" s="1" t="s">
        <v>19</v>
      </c>
      <c r="C14671" s="1" t="str">
        <f>"5-2차"</f>
        <v>5-2차</v>
      </c>
      <c r="D14671" s="1" t="str">
        <f>"0127P1715M"</f>
        <v>0127P1715M</v>
      </c>
      <c r="E14671" s="1" t="s">
        <v>10</v>
      </c>
      <c r="F14671" s="1" t="str">
        <f>"fde1:103:4:58b8:0:0:0:2"</f>
        <v>fde1:103:4:58b8:0:0:0:2</v>
      </c>
      <c r="G14671" s="1" t="str">
        <f>"0127P171"</f>
        <v>0127P171</v>
      </c>
      <c r="H14671" s="1" t="str">
        <f>"보문지 21R4"</f>
        <v>보문지 21R4</v>
      </c>
      <c r="I14671" s="1" t="s">
        <v>15</v>
      </c>
      <c r="J14671" s="1" t="str">
        <f>"39/39"</f>
        <v>39/39</v>
      </c>
      <c r="K14671" s="1" t="str">
        <f>"2026-07-29 14:20:11"</f>
        <v>2026-07-29 14:20:11</v>
      </c>
      <c r="L14671" s="1" t="str">
        <f>"2023-09-21 11:25:51"</f>
        <v>2023-09-21 11:25:51</v>
      </c>
      <c r="M14671" s="1" t="s">
        <v>4</v>
      </c>
      <c r="N14671" s="1" t="s">
        <v>38</v>
      </c>
      <c r="O14671" s="1" t="s">
        <v>46</v>
      </c>
    </row>
    <row r="14672" spans="2:15" x14ac:dyDescent="0.3">
      <c r="B14672" s="1" t="s">
        <v>19</v>
      </c>
      <c r="C14672" s="1" t="str">
        <f>"5-1차"</f>
        <v>5-1차</v>
      </c>
      <c r="D14672" s="1" t="str">
        <f>"0127P2515S"</f>
        <v>0127P2515S</v>
      </c>
      <c r="E14672" s="1" t="s">
        <v>10</v>
      </c>
      <c r="F14672" s="1" t="str">
        <f>"fde2:104:0:18f:0:0:0:2"</f>
        <v>fde2:104:0:18f:0:0:0:2</v>
      </c>
      <c r="G14672" s="1" t="str">
        <f>"0127P251"</f>
        <v>0127P251</v>
      </c>
      <c r="H14672" s="1" t="str">
        <f>"보문지 23R2"</f>
        <v>보문지 23R2</v>
      </c>
      <c r="I14672" s="1" t="s">
        <v>15</v>
      </c>
      <c r="J14672" s="1" t="str">
        <f>"101/101"</f>
        <v>101/101</v>
      </c>
      <c r="K14672" s="1" t="str">
        <f>"2026-07-29 14:20:20"</f>
        <v>2026-07-29 14:20:20</v>
      </c>
      <c r="L14672" s="1" t="str">
        <f>"2024-06-27 13:58:40"</f>
        <v>2024-06-27 13:58:40</v>
      </c>
      <c r="M14672" s="1" t="s">
        <v>42</v>
      </c>
      <c r="N14672" s="1" t="s">
        <v>38</v>
      </c>
      <c r="O14672" s="1" t="s">
        <v>46</v>
      </c>
    </row>
    <row r="14673" spans="2:15" x14ac:dyDescent="0.3">
      <c r="B14673" s="1" t="s">
        <v>19</v>
      </c>
      <c r="C14673" s="1" t="str">
        <f>"4차"</f>
        <v>4차</v>
      </c>
      <c r="D14673" s="1" t="str">
        <f>"0127P26539"</f>
        <v>0127P26539</v>
      </c>
      <c r="E14673" s="1" t="s">
        <v>10</v>
      </c>
      <c r="F14673" s="1" t="str">
        <f>"10.107.8.20"</f>
        <v>10.107.8.20</v>
      </c>
      <c r="G14673" s="1" t="str">
        <f>"0127P265"</f>
        <v>0127P265</v>
      </c>
      <c r="H14673" s="1" t="str">
        <f>"보문지 21R2"</f>
        <v>보문지 21R2</v>
      </c>
      <c r="I14673" s="1" t="s">
        <v>8</v>
      </c>
      <c r="J14673" s="1" t="str">
        <f>"131/133"</f>
        <v>131/133</v>
      </c>
      <c r="K14673" s="1" t="str">
        <f>"2026-07-29 13:18:02"</f>
        <v>2026-07-29 13:18:02</v>
      </c>
      <c r="L14673" s="1" t="str">
        <f>"2018-03-26 15:51:25"</f>
        <v>2018-03-26 15:51:25</v>
      </c>
      <c r="M14673" s="1" t="s">
        <v>45</v>
      </c>
      <c r="N14673" s="1" t="s">
        <v>38</v>
      </c>
      <c r="O14673" s="1" t="s">
        <v>46</v>
      </c>
    </row>
    <row r="14674" spans="2:15" x14ac:dyDescent="0.3">
      <c r="B14674" s="1" t="s">
        <v>19</v>
      </c>
      <c r="C14674" s="1" t="str">
        <f t="shared" ref="C14674:C14683" si="746">"3차"</f>
        <v>3차</v>
      </c>
      <c r="D14674" s="1" t="str">
        <f>"0127P27131"</f>
        <v>0127P27131</v>
      </c>
      <c r="E14674" s="1" t="s">
        <v>10</v>
      </c>
      <c r="F14674" s="1" t="str">
        <f>"10.107.8.33"</f>
        <v>10.107.8.33</v>
      </c>
      <c r="G14674" s="1" t="str">
        <f>"0127P271"</f>
        <v>0127P271</v>
      </c>
      <c r="H14674" s="1" t="str">
        <f>"보문지 21R5"</f>
        <v>보문지 21R5</v>
      </c>
      <c r="I14674" s="1" t="s">
        <v>8</v>
      </c>
      <c r="J14674" s="1" t="str">
        <f>"45/45"</f>
        <v>45/45</v>
      </c>
      <c r="K14674" s="1" t="str">
        <f>"2026-07-29 13:18:02"</f>
        <v>2026-07-29 13:18:02</v>
      </c>
      <c r="L14674" s="1" t="str">
        <f>"2018-06-19 10:56:32"</f>
        <v>2018-06-19 10:56:32</v>
      </c>
      <c r="M14674" s="1" t="s">
        <v>45</v>
      </c>
      <c r="N14674" s="1" t="s">
        <v>38</v>
      </c>
      <c r="O14674" s="1" t="s">
        <v>46</v>
      </c>
    </row>
    <row r="14675" spans="2:15" x14ac:dyDescent="0.3">
      <c r="B14675" s="1" t="s">
        <v>19</v>
      </c>
      <c r="C14675" s="1" t="str">
        <f t="shared" si="746"/>
        <v>3차</v>
      </c>
      <c r="D14675" s="1" t="str">
        <f>"0127P28130"</f>
        <v>0127P28130</v>
      </c>
      <c r="E14675" s="1" t="s">
        <v>10</v>
      </c>
      <c r="F14675" s="1" t="str">
        <f>"10.107.8.32"</f>
        <v>10.107.8.32</v>
      </c>
      <c r="G14675" s="1" t="str">
        <f>"0127P281"</f>
        <v>0127P281</v>
      </c>
      <c r="H14675" s="1" t="str">
        <f>"보문지 21R6"</f>
        <v>보문지 21R6</v>
      </c>
      <c r="I14675" s="1" t="s">
        <v>8</v>
      </c>
      <c r="J14675" s="1" t="str">
        <f>"67/67"</f>
        <v>67/67</v>
      </c>
      <c r="K14675" s="1" t="str">
        <f>"2026-07-29 13:18:02"</f>
        <v>2026-07-29 13:18:02</v>
      </c>
      <c r="L14675" s="1" t="str">
        <f>"2018-03-26 16:34:56"</f>
        <v>2018-03-26 16:34:56</v>
      </c>
      <c r="M14675" s="1" t="s">
        <v>45</v>
      </c>
      <c r="N14675" s="1" t="s">
        <v>38</v>
      </c>
      <c r="O14675" s="1" t="s">
        <v>46</v>
      </c>
    </row>
    <row r="14676" spans="2:15" x14ac:dyDescent="0.3">
      <c r="B14676" s="1" t="s">
        <v>19</v>
      </c>
      <c r="C14676" s="1" t="str">
        <f t="shared" si="746"/>
        <v>3차</v>
      </c>
      <c r="D14676" s="1" t="str">
        <f>"0127P28332"</f>
        <v>0127P28332</v>
      </c>
      <c r="E14676" s="1" t="s">
        <v>10</v>
      </c>
      <c r="F14676" s="1" t="str">
        <f>"10.107.8.34"</f>
        <v>10.107.8.34</v>
      </c>
      <c r="G14676" s="1" t="str">
        <f>"0127P283"</f>
        <v>0127P283</v>
      </c>
      <c r="H14676" s="1" t="str">
        <f>"보문지 21R7"</f>
        <v>보문지 21R7</v>
      </c>
      <c r="I14676" s="1" t="s">
        <v>8</v>
      </c>
      <c r="J14676" s="1" t="str">
        <f>"53/55"</f>
        <v>53/55</v>
      </c>
      <c r="K14676" s="1" t="str">
        <f>"2026-07-29 13:18:02"</f>
        <v>2026-07-29 13:18:02</v>
      </c>
      <c r="L14676" s="1" t="str">
        <f>"2018-03-26 16:43:52"</f>
        <v>2018-03-26 16:43:52</v>
      </c>
      <c r="M14676" s="1" t="s">
        <v>45</v>
      </c>
      <c r="N14676" s="1" t="s">
        <v>38</v>
      </c>
      <c r="O14676" s="1" t="s">
        <v>46</v>
      </c>
    </row>
    <row r="14677" spans="2:15" x14ac:dyDescent="0.3">
      <c r="B14677" s="1" t="s">
        <v>19</v>
      </c>
      <c r="C14677" s="1" t="str">
        <f t="shared" si="746"/>
        <v>3차</v>
      </c>
      <c r="D14677" s="1" t="str">
        <f>"0127P37330"</f>
        <v>0127P37330</v>
      </c>
      <c r="E14677" s="1" t="s">
        <v>10</v>
      </c>
      <c r="F14677" s="1" t="str">
        <f>"10.107.8.19"</f>
        <v>10.107.8.19</v>
      </c>
      <c r="G14677" s="1" t="str">
        <f>"0127P373"</f>
        <v>0127P373</v>
      </c>
      <c r="H14677" s="1" t="str">
        <f>"보문지 21"</f>
        <v>보문지 21</v>
      </c>
      <c r="I14677" s="1" t="s">
        <v>8</v>
      </c>
      <c r="J14677" s="1" t="str">
        <f>"96/99"</f>
        <v>96/99</v>
      </c>
      <c r="K14677" s="1" t="str">
        <f>"2026-07-29 13:18:01"</f>
        <v>2026-07-29 13:18:01</v>
      </c>
      <c r="L14677" s="1" t="str">
        <f>"2018-06-22 11:13:09"</f>
        <v>2018-06-22 11:13:09</v>
      </c>
      <c r="M14677" s="1" t="s">
        <v>45</v>
      </c>
      <c r="N14677" s="1" t="s">
        <v>38</v>
      </c>
      <c r="O14677" s="1" t="s">
        <v>46</v>
      </c>
    </row>
    <row r="14678" spans="2:15" x14ac:dyDescent="0.3">
      <c r="B14678" s="1" t="s">
        <v>19</v>
      </c>
      <c r="C14678" s="1" t="str">
        <f t="shared" si="746"/>
        <v>3차</v>
      </c>
      <c r="D14678" s="1" t="str">
        <f>"0127P38231"</f>
        <v>0127P38231</v>
      </c>
      <c r="E14678" s="1" t="s">
        <v>10</v>
      </c>
      <c r="F14678" s="1" t="str">
        <f>"10.107.8.17"</f>
        <v>10.107.8.17</v>
      </c>
      <c r="G14678" s="1" t="str">
        <f>"0127P382"</f>
        <v>0127P382</v>
      </c>
      <c r="H14678" s="1" t="str">
        <f>"보문지 21L1"</f>
        <v>보문지 21L1</v>
      </c>
      <c r="I14678" s="1" t="s">
        <v>8</v>
      </c>
      <c r="J14678" s="1" t="str">
        <f>"27/31"</f>
        <v>27/31</v>
      </c>
      <c r="K14678" s="1" t="str">
        <f t="shared" ref="K14678:K14693" si="747">"2026-07-29 13:18:02"</f>
        <v>2026-07-29 13:18:02</v>
      </c>
      <c r="L14678" s="1" t="str">
        <f>"2018-06-19 18:25:24"</f>
        <v>2018-06-19 18:25:24</v>
      </c>
      <c r="M14678" s="1" t="s">
        <v>45</v>
      </c>
      <c r="N14678" s="1" t="s">
        <v>38</v>
      </c>
      <c r="O14678" s="1" t="s">
        <v>46</v>
      </c>
    </row>
    <row r="14679" spans="2:15" x14ac:dyDescent="0.3">
      <c r="B14679" s="1" t="s">
        <v>19</v>
      </c>
      <c r="C14679" s="1" t="str">
        <f t="shared" si="746"/>
        <v>3차</v>
      </c>
      <c r="D14679" s="1" t="str">
        <f>"0127P39139"</f>
        <v>0127P39139</v>
      </c>
      <c r="E14679" s="1" t="s">
        <v>10</v>
      </c>
      <c r="F14679" s="1" t="str">
        <f>"10.107.8.18"</f>
        <v>10.107.8.18</v>
      </c>
      <c r="G14679" s="1" t="str">
        <f>"0127P391"</f>
        <v>0127P391</v>
      </c>
      <c r="H14679" s="1" t="str">
        <f>"보문지 21L2L1"</f>
        <v>보문지 21L2L1</v>
      </c>
      <c r="I14679" s="1" t="s">
        <v>8</v>
      </c>
      <c r="J14679" s="1" t="str">
        <f>"36/36"</f>
        <v>36/36</v>
      </c>
      <c r="K14679" s="1" t="str">
        <f t="shared" si="747"/>
        <v>2026-07-29 13:18:02</v>
      </c>
      <c r="L14679" s="1" t="str">
        <f>"2018-03-27 14:11:12"</f>
        <v>2018-03-27 14:11:12</v>
      </c>
      <c r="M14679" s="1" t="s">
        <v>45</v>
      </c>
      <c r="N14679" s="1" t="s">
        <v>38</v>
      </c>
      <c r="O14679" s="1" t="s">
        <v>46</v>
      </c>
    </row>
    <row r="14680" spans="2:15" x14ac:dyDescent="0.3">
      <c r="B14680" s="1" t="s">
        <v>19</v>
      </c>
      <c r="C14680" s="1" t="str">
        <f t="shared" si="746"/>
        <v>3차</v>
      </c>
      <c r="D14680" s="1" t="str">
        <f>"0127P39239"</f>
        <v>0127P39239</v>
      </c>
      <c r="E14680" s="1" t="s">
        <v>10</v>
      </c>
      <c r="F14680" s="1" t="str">
        <f>"10.107.8.15"</f>
        <v>10.107.8.15</v>
      </c>
      <c r="G14680" s="1" t="str">
        <f>"0127P392"</f>
        <v>0127P392</v>
      </c>
      <c r="H14680" s="1" t="str">
        <f>"보문지 19"</f>
        <v>보문지 19</v>
      </c>
      <c r="I14680" s="1" t="s">
        <v>8</v>
      </c>
      <c r="J14680" s="1" t="str">
        <f>"95/95"</f>
        <v>95/95</v>
      </c>
      <c r="K14680" s="1" t="str">
        <f t="shared" si="747"/>
        <v>2026-07-29 13:18:02</v>
      </c>
      <c r="L14680" s="1" t="str">
        <f>"2018-04-05 08:19:09"</f>
        <v>2018-04-05 08:19:09</v>
      </c>
      <c r="M14680" s="1" t="s">
        <v>45</v>
      </c>
      <c r="N14680" s="1" t="s">
        <v>38</v>
      </c>
      <c r="O14680" s="1" t="s">
        <v>46</v>
      </c>
    </row>
    <row r="14681" spans="2:15" x14ac:dyDescent="0.3">
      <c r="B14681" s="1" t="s">
        <v>19</v>
      </c>
      <c r="C14681" s="1" t="str">
        <f t="shared" si="746"/>
        <v>3차</v>
      </c>
      <c r="D14681" s="1" t="str">
        <f>"0127P46139"</f>
        <v>0127P46139</v>
      </c>
      <c r="E14681" s="1" t="s">
        <v>10</v>
      </c>
      <c r="F14681" s="1" t="str">
        <f>"10.107.8.21"</f>
        <v>10.107.8.21</v>
      </c>
      <c r="G14681" s="1" t="str">
        <f>"0127P461"</f>
        <v>0127P461</v>
      </c>
      <c r="H14681" s="1" t="str">
        <f>"보문지 24"</f>
        <v>보문지 24</v>
      </c>
      <c r="I14681" s="1" t="s">
        <v>8</v>
      </c>
      <c r="J14681" s="1" t="str">
        <f>"35/35"</f>
        <v>35/35</v>
      </c>
      <c r="K14681" s="1" t="str">
        <f t="shared" si="747"/>
        <v>2026-07-29 13:18:02</v>
      </c>
      <c r="L14681" s="1" t="str">
        <f>"2018-03-27 13:52:07"</f>
        <v>2018-03-27 13:52:07</v>
      </c>
      <c r="M14681" s="1" t="s">
        <v>45</v>
      </c>
      <c r="N14681" s="1" t="s">
        <v>38</v>
      </c>
      <c r="O14681" s="1" t="s">
        <v>46</v>
      </c>
    </row>
    <row r="14682" spans="2:15" x14ac:dyDescent="0.3">
      <c r="B14682" s="1" t="s">
        <v>19</v>
      </c>
      <c r="C14682" s="1" t="str">
        <f t="shared" si="746"/>
        <v>3차</v>
      </c>
      <c r="D14682" s="1" t="str">
        <f>"0127P48139"</f>
        <v>0127P48139</v>
      </c>
      <c r="E14682" s="1" t="s">
        <v>10</v>
      </c>
      <c r="F14682" s="1" t="str">
        <f>"10.107.8.16"</f>
        <v>10.107.8.16</v>
      </c>
      <c r="G14682" s="1" t="str">
        <f>"0127P481"</f>
        <v>0127P481</v>
      </c>
      <c r="H14682" s="1" t="str">
        <f>"보문지 21L2HL1"</f>
        <v>보문지 21L2HL1</v>
      </c>
      <c r="I14682" s="1" t="s">
        <v>8</v>
      </c>
      <c r="J14682" s="1" t="str">
        <f>"72/72"</f>
        <v>72/72</v>
      </c>
      <c r="K14682" s="1" t="str">
        <f t="shared" si="747"/>
        <v>2026-07-29 13:18:02</v>
      </c>
      <c r="L14682" s="1" t="str">
        <f>"2018-06-22 11:08:39"</f>
        <v>2018-06-22 11:08:39</v>
      </c>
      <c r="M14682" s="1" t="s">
        <v>45</v>
      </c>
      <c r="N14682" s="1" t="s">
        <v>38</v>
      </c>
      <c r="O14682" s="1" t="s">
        <v>46</v>
      </c>
    </row>
    <row r="14683" spans="2:15" x14ac:dyDescent="0.3">
      <c r="B14683" s="1" t="s">
        <v>19</v>
      </c>
      <c r="C14683" s="1" t="str">
        <f t="shared" si="746"/>
        <v>3차</v>
      </c>
      <c r="D14683" s="1" t="str">
        <f>"0127P49130"</f>
        <v>0127P49130</v>
      </c>
      <c r="E14683" s="1" t="s">
        <v>10</v>
      </c>
      <c r="F14683" s="1" t="str">
        <f>"10.107.8.29"</f>
        <v>10.107.8.29</v>
      </c>
      <c r="G14683" s="1" t="str">
        <f>"0127P491"</f>
        <v>0127P491</v>
      </c>
      <c r="H14683" s="1" t="str">
        <f>"보문지 21L4"</f>
        <v>보문지 21L4</v>
      </c>
      <c r="I14683" s="1" t="s">
        <v>8</v>
      </c>
      <c r="J14683" s="1" t="str">
        <f>"70/70"</f>
        <v>70/70</v>
      </c>
      <c r="K14683" s="1" t="str">
        <f t="shared" si="747"/>
        <v>2026-07-29 13:18:02</v>
      </c>
      <c r="L14683" s="1" t="str">
        <f>"2018-03-27 13:24:29"</f>
        <v>2018-03-27 13:24:29</v>
      </c>
      <c r="M14683" s="1" t="s">
        <v>45</v>
      </c>
      <c r="N14683" s="1" t="s">
        <v>38</v>
      </c>
      <c r="O14683" s="1" t="s">
        <v>46</v>
      </c>
    </row>
    <row r="14684" spans="2:15" x14ac:dyDescent="0.3">
      <c r="B14684" s="1" t="s">
        <v>19</v>
      </c>
      <c r="C14684" s="1" t="str">
        <f>"4차"</f>
        <v>4차</v>
      </c>
      <c r="D14684" s="1" t="str">
        <f>"0127P49331"</f>
        <v>0127P49331</v>
      </c>
      <c r="E14684" s="1" t="s">
        <v>10</v>
      </c>
      <c r="F14684" s="1" t="str">
        <f>"10.107.8.30"</f>
        <v>10.107.8.30</v>
      </c>
      <c r="G14684" s="1" t="str">
        <f>"0127P493"</f>
        <v>0127P493</v>
      </c>
      <c r="H14684" s="1" t="str">
        <f>"보문지 21L4B1"</f>
        <v>보문지 21L4B1</v>
      </c>
      <c r="I14684" s="1" t="s">
        <v>8</v>
      </c>
      <c r="J14684" s="1" t="str">
        <f>"62/62"</f>
        <v>62/62</v>
      </c>
      <c r="K14684" s="1" t="str">
        <f t="shared" si="747"/>
        <v>2026-07-29 13:18:02</v>
      </c>
      <c r="L14684" s="1" t="str">
        <f>"2018-03-27 13:21:28"</f>
        <v>2018-03-27 13:21:28</v>
      </c>
      <c r="M14684" s="1" t="s">
        <v>45</v>
      </c>
      <c r="N14684" s="1" t="s">
        <v>38</v>
      </c>
      <c r="O14684" s="1" t="s">
        <v>46</v>
      </c>
    </row>
    <row r="14685" spans="2:15" x14ac:dyDescent="0.3">
      <c r="B14685" s="1" t="s">
        <v>19</v>
      </c>
      <c r="C14685" s="1" t="str">
        <f>"3차"</f>
        <v>3차</v>
      </c>
      <c r="D14685" s="1" t="str">
        <f>"0127P57139"</f>
        <v>0127P57139</v>
      </c>
      <c r="E14685" s="1" t="s">
        <v>10</v>
      </c>
      <c r="F14685" s="1" t="str">
        <f>"10.107.8.22"</f>
        <v>10.107.8.22</v>
      </c>
      <c r="G14685" s="1" t="str">
        <f>"0127P571"</f>
        <v>0127P571</v>
      </c>
      <c r="H14685" s="1" t="str">
        <f>"보문지 26"</f>
        <v>보문지 26</v>
      </c>
      <c r="I14685" s="1" t="s">
        <v>8</v>
      </c>
      <c r="J14685" s="1" t="str">
        <f>"55/55"</f>
        <v>55/55</v>
      </c>
      <c r="K14685" s="1" t="str">
        <f t="shared" si="747"/>
        <v>2026-07-29 13:18:02</v>
      </c>
      <c r="L14685" s="1" t="str">
        <f>"2018-03-27 13:00:26"</f>
        <v>2018-03-27 13:00:26</v>
      </c>
      <c r="M14685" s="1" t="s">
        <v>45</v>
      </c>
      <c r="N14685" s="1" t="s">
        <v>38</v>
      </c>
      <c r="O14685" s="1" t="s">
        <v>46</v>
      </c>
    </row>
    <row r="14686" spans="2:15" x14ac:dyDescent="0.3">
      <c r="B14686" s="1" t="s">
        <v>19</v>
      </c>
      <c r="C14686" s="1" t="str">
        <f>"3차"</f>
        <v>3차</v>
      </c>
      <c r="D14686" s="1" t="str">
        <f>"0127P59232"</f>
        <v>0127P59232</v>
      </c>
      <c r="E14686" s="1" t="s">
        <v>10</v>
      </c>
      <c r="F14686" s="1" t="str">
        <f>"10.107.8.31"</f>
        <v>10.107.8.31</v>
      </c>
      <c r="G14686" s="1" t="str">
        <f>"0127P592"</f>
        <v>0127P592</v>
      </c>
      <c r="H14686" s="1" t="str">
        <f>"보문지 21L4R2"</f>
        <v>보문지 21L4R2</v>
      </c>
      <c r="I14686" s="1" t="s">
        <v>8</v>
      </c>
      <c r="J14686" s="1" t="str">
        <f>"68/72"</f>
        <v>68/72</v>
      </c>
      <c r="K14686" s="1" t="str">
        <f t="shared" si="747"/>
        <v>2026-07-29 13:18:02</v>
      </c>
      <c r="L14686" s="1" t="str">
        <f>"2018-05-16 12:28:12"</f>
        <v>2018-05-16 12:28:12</v>
      </c>
      <c r="M14686" s="1" t="s">
        <v>45</v>
      </c>
      <c r="N14686" s="1" t="s">
        <v>38</v>
      </c>
      <c r="O14686" s="1" t="s">
        <v>46</v>
      </c>
    </row>
    <row r="14687" spans="2:15" x14ac:dyDescent="0.3">
      <c r="B14687" s="1" t="s">
        <v>19</v>
      </c>
      <c r="C14687" s="1" t="str">
        <f>"3차"</f>
        <v>3차</v>
      </c>
      <c r="D14687" s="1" t="str">
        <f>"0127P67231"</f>
        <v>0127P67231</v>
      </c>
      <c r="E14687" s="1" t="s">
        <v>10</v>
      </c>
      <c r="F14687" s="1" t="str">
        <f>"10.107.119.168"</f>
        <v>10.107.119.168</v>
      </c>
      <c r="G14687" s="1" t="str">
        <f>"0127P672"</f>
        <v>0127P672</v>
      </c>
      <c r="H14687" s="1" t="str">
        <f>"안암간 15R4"</f>
        <v>안암간 15R4</v>
      </c>
      <c r="I14687" s="1" t="s">
        <v>8</v>
      </c>
      <c r="J14687" s="1" t="str">
        <f>"47/58"</f>
        <v>47/58</v>
      </c>
      <c r="K14687" s="1" t="str">
        <f t="shared" si="747"/>
        <v>2026-07-29 13:18:02</v>
      </c>
      <c r="L14687" s="1" t="str">
        <f>"2018-03-26 16:46:11"</f>
        <v>2018-03-26 16:46:11</v>
      </c>
      <c r="M14687" s="1" t="s">
        <v>45</v>
      </c>
      <c r="N14687" s="1" t="s">
        <v>38</v>
      </c>
      <c r="O14687" s="1" t="s">
        <v>46</v>
      </c>
    </row>
    <row r="14688" spans="2:15" x14ac:dyDescent="0.3">
      <c r="B14688" s="1" t="s">
        <v>19</v>
      </c>
      <c r="C14688" s="1" t="str">
        <f>"3차"</f>
        <v>3차</v>
      </c>
      <c r="D14688" s="1" t="str">
        <f>"0127P68130"</f>
        <v>0127P68130</v>
      </c>
      <c r="E14688" s="1" t="s">
        <v>10</v>
      </c>
      <c r="F14688" s="1" t="str">
        <f>"10.107.119.167"</f>
        <v>10.107.119.167</v>
      </c>
      <c r="G14688" s="1" t="str">
        <f>"0127P681"</f>
        <v>0127P681</v>
      </c>
      <c r="H14688" s="1" t="str">
        <f>"안암간 15R2"</f>
        <v>안암간 15R2</v>
      </c>
      <c r="I14688" s="1" t="s">
        <v>8</v>
      </c>
      <c r="J14688" s="1" t="str">
        <f>"54/54"</f>
        <v>54/54</v>
      </c>
      <c r="K14688" s="1" t="str">
        <f t="shared" si="747"/>
        <v>2026-07-29 13:18:02</v>
      </c>
      <c r="L14688" s="1" t="str">
        <f>"2018-03-26 16:48:18"</f>
        <v>2018-03-26 16:48:18</v>
      </c>
      <c r="M14688" s="1" t="s">
        <v>45</v>
      </c>
      <c r="N14688" s="1" t="s">
        <v>38</v>
      </c>
      <c r="O14688" s="1" t="s">
        <v>46</v>
      </c>
    </row>
    <row r="14689" spans="2:15" x14ac:dyDescent="0.3">
      <c r="B14689" s="1" t="s">
        <v>19</v>
      </c>
      <c r="C14689" s="1" t="str">
        <f>"3차"</f>
        <v>3차</v>
      </c>
      <c r="D14689" s="1" t="str">
        <f>"0127P77239"</f>
        <v>0127P77239</v>
      </c>
      <c r="E14689" s="1" t="s">
        <v>10</v>
      </c>
      <c r="F14689" s="1" t="str">
        <f>"10.107.8.35"</f>
        <v>10.107.8.35</v>
      </c>
      <c r="G14689" s="1" t="str">
        <f>"0127P772"</f>
        <v>0127P772</v>
      </c>
      <c r="H14689" s="1" t="str">
        <f>"보문지 30C1"</f>
        <v>보문지 30C1</v>
      </c>
      <c r="I14689" s="1" t="s">
        <v>8</v>
      </c>
      <c r="J14689" s="1" t="str">
        <f>"83/83"</f>
        <v>83/83</v>
      </c>
      <c r="K14689" s="1" t="str">
        <f t="shared" si="747"/>
        <v>2026-07-29 13:18:02</v>
      </c>
      <c r="L14689" s="1" t="str">
        <f>"2018-04-05 09:53:40"</f>
        <v>2018-04-05 09:53:40</v>
      </c>
      <c r="M14689" s="1" t="s">
        <v>45</v>
      </c>
      <c r="N14689" s="1" t="s">
        <v>38</v>
      </c>
      <c r="O14689" s="1" t="s">
        <v>46</v>
      </c>
    </row>
    <row r="14690" spans="2:15" x14ac:dyDescent="0.3">
      <c r="B14690" s="1" t="s">
        <v>19</v>
      </c>
      <c r="C14690" s="1" t="str">
        <f>"4차"</f>
        <v>4차</v>
      </c>
      <c r="D14690" s="1" t="str">
        <f>"0127P78139"</f>
        <v>0127P78139</v>
      </c>
      <c r="E14690" s="1" t="s">
        <v>10</v>
      </c>
      <c r="F14690" s="1" t="str">
        <f>"10.107.119.169"</f>
        <v>10.107.119.169</v>
      </c>
      <c r="G14690" s="1" t="str">
        <f>"0127P781"</f>
        <v>0127P781</v>
      </c>
      <c r="H14690" s="1" t="str">
        <f>"안암간 15R1L2"</f>
        <v>안암간 15R1L2</v>
      </c>
      <c r="I14690" s="1" t="s">
        <v>8</v>
      </c>
      <c r="J14690" s="1" t="str">
        <f>"59/61"</f>
        <v>59/61</v>
      </c>
      <c r="K14690" s="1" t="str">
        <f t="shared" si="747"/>
        <v>2026-07-29 13:18:02</v>
      </c>
      <c r="L14690" s="1" t="str">
        <f>"2018-03-27 14:50:39"</f>
        <v>2018-03-27 14:50:39</v>
      </c>
      <c r="M14690" s="1" t="s">
        <v>45</v>
      </c>
      <c r="N14690" s="1" t="s">
        <v>38</v>
      </c>
      <c r="O14690" s="1" t="s">
        <v>46</v>
      </c>
    </row>
    <row r="14691" spans="2:15" x14ac:dyDescent="0.3">
      <c r="B14691" s="1" t="s">
        <v>19</v>
      </c>
      <c r="C14691" s="1" t="str">
        <f>"3차"</f>
        <v>3차</v>
      </c>
      <c r="D14691" s="1" t="str">
        <f>"0127P79139"</f>
        <v>0127P79139</v>
      </c>
      <c r="E14691" s="1" t="s">
        <v>10</v>
      </c>
      <c r="F14691" s="1" t="str">
        <f>"10.107.119.170"</f>
        <v>10.107.119.170</v>
      </c>
      <c r="G14691" s="1" t="str">
        <f>"0127P791"</f>
        <v>0127P791</v>
      </c>
      <c r="H14691" s="1" t="str">
        <f>"안암간 15R1"</f>
        <v>안암간 15R1</v>
      </c>
      <c r="I14691" s="1" t="s">
        <v>8</v>
      </c>
      <c r="J14691" s="1" t="str">
        <f>"45/55"</f>
        <v>45/55</v>
      </c>
      <c r="K14691" s="1" t="str">
        <f t="shared" si="747"/>
        <v>2026-07-29 13:18:02</v>
      </c>
      <c r="L14691" s="1" t="str">
        <f>"2018-03-26 16:05:26"</f>
        <v>2018-03-26 16:05:26</v>
      </c>
      <c r="M14691" s="1" t="s">
        <v>45</v>
      </c>
      <c r="N14691" s="1" t="s">
        <v>38</v>
      </c>
      <c r="O14691" s="1" t="s">
        <v>46</v>
      </c>
    </row>
    <row r="14692" spans="2:15" x14ac:dyDescent="0.3">
      <c r="B14692" s="1" t="s">
        <v>19</v>
      </c>
      <c r="C14692" s="1" t="str">
        <f>"4차"</f>
        <v>4차</v>
      </c>
      <c r="D14692" s="1" t="str">
        <f>"0127P87339"</f>
        <v>0127P87339</v>
      </c>
      <c r="E14692" s="1" t="s">
        <v>10</v>
      </c>
      <c r="F14692" s="1" t="str">
        <f>"10.107.8.36"</f>
        <v>10.107.8.36</v>
      </c>
      <c r="G14692" s="1" t="str">
        <f>"0127P873"</f>
        <v>0127P873</v>
      </c>
      <c r="H14692" s="1" t="str">
        <f>"보문지 30L1"</f>
        <v>보문지 30L1</v>
      </c>
      <c r="I14692" s="1" t="s">
        <v>8</v>
      </c>
      <c r="J14692" s="1" t="str">
        <f>"73/73"</f>
        <v>73/73</v>
      </c>
      <c r="K14692" s="1" t="str">
        <f t="shared" si="747"/>
        <v>2026-07-29 13:18:02</v>
      </c>
      <c r="L14692" s="1" t="str">
        <f>"2018-07-24 18:15:26"</f>
        <v>2018-07-24 18:15:26</v>
      </c>
      <c r="M14692" s="1" t="s">
        <v>45</v>
      </c>
      <c r="N14692" s="1" t="s">
        <v>38</v>
      </c>
      <c r="O14692" s="1" t="s">
        <v>46</v>
      </c>
    </row>
    <row r="14693" spans="2:15" x14ac:dyDescent="0.3">
      <c r="B14693" s="1" t="s">
        <v>19</v>
      </c>
      <c r="C14693" s="1" t="str">
        <f>"3차"</f>
        <v>3차</v>
      </c>
      <c r="D14693" s="1" t="str">
        <f>"0127P89139"</f>
        <v>0127P89139</v>
      </c>
      <c r="E14693" s="1" t="s">
        <v>10</v>
      </c>
      <c r="F14693" s="1" t="str">
        <f>"10.107.8.150"</f>
        <v>10.107.8.150</v>
      </c>
      <c r="G14693" s="1" t="str">
        <f>"0127P891"</f>
        <v>0127P891</v>
      </c>
      <c r="H14693" s="1" t="str">
        <f>"안암간 16"</f>
        <v>안암간 16</v>
      </c>
      <c r="I14693" s="1" t="s">
        <v>8</v>
      </c>
      <c r="J14693" s="1" t="str">
        <f>"68/68"</f>
        <v>68/68</v>
      </c>
      <c r="K14693" s="1" t="str">
        <f t="shared" si="747"/>
        <v>2026-07-29 13:18:02</v>
      </c>
      <c r="L14693" s="1" t="str">
        <f>"2018-03-27 14:24:54"</f>
        <v>2018-03-27 14:24:54</v>
      </c>
      <c r="M14693" s="1" t="s">
        <v>45</v>
      </c>
      <c r="N14693" s="1" t="s">
        <v>38</v>
      </c>
      <c r="O14693" s="1" t="s">
        <v>46</v>
      </c>
    </row>
    <row r="14694" spans="2:15" x14ac:dyDescent="0.3">
      <c r="B14694" s="1" t="s">
        <v>19</v>
      </c>
      <c r="C14694" s="1" t="str">
        <f>"3차"</f>
        <v>3차</v>
      </c>
      <c r="D14694" s="1" t="str">
        <f>"0127P89239"</f>
        <v>0127P89239</v>
      </c>
      <c r="E14694" s="1" t="s">
        <v>10</v>
      </c>
      <c r="F14694" s="1" t="str">
        <f>"10.107.8.151"</f>
        <v>10.107.8.151</v>
      </c>
      <c r="G14694" s="1" t="str">
        <f>"0127P892"</f>
        <v>0127P892</v>
      </c>
      <c r="H14694" s="1" t="str">
        <f>"안암간 17"</f>
        <v>안암간 17</v>
      </c>
      <c r="I14694" s="1" t="s">
        <v>8</v>
      </c>
      <c r="J14694" s="1" t="str">
        <f>"56/56"</f>
        <v>56/56</v>
      </c>
      <c r="K14694" s="1" t="str">
        <f>"2026-07-29 13:18:01"</f>
        <v>2026-07-29 13:18:01</v>
      </c>
      <c r="L14694" s="1" t="str">
        <f>"2018-03-26 16:44:26"</f>
        <v>2018-03-26 16:44:26</v>
      </c>
      <c r="M14694" s="1" t="s">
        <v>45</v>
      </c>
      <c r="N14694" s="1" t="s">
        <v>38</v>
      </c>
      <c r="O14694" s="1" t="s">
        <v>46</v>
      </c>
    </row>
    <row r="14695" spans="2:15" x14ac:dyDescent="0.3">
      <c r="B14695" s="1" t="s">
        <v>19</v>
      </c>
      <c r="C14695" s="1" t="str">
        <f t="shared" ref="C14695:C14701" si="748">"5-2차"</f>
        <v>5-2차</v>
      </c>
      <c r="D14695" s="1" t="str">
        <f>"0127P9115S"</f>
        <v>0127P9115S</v>
      </c>
      <c r="E14695" s="1" t="s">
        <v>10</v>
      </c>
      <c r="F14695" s="1" t="str">
        <f>"fde3:102:1410:6300:0:0:0:5"</f>
        <v>fde3:102:1410:6300:0:0:0:5</v>
      </c>
      <c r="G14695" s="1" t="str">
        <f>"0127P911"</f>
        <v>0127P911</v>
      </c>
      <c r="H14695" s="1" t="str">
        <f>"보문지 39R1"</f>
        <v>보문지 39R1</v>
      </c>
      <c r="I14695" s="1" t="s">
        <v>15</v>
      </c>
      <c r="J14695" s="1" t="str">
        <f>"32/32"</f>
        <v>32/32</v>
      </c>
      <c r="K14695" s="1" t="str">
        <f>"2026-07-29 14:20:34"</f>
        <v>2026-07-29 14:20:34</v>
      </c>
      <c r="L14695" s="1" t="str">
        <f>"2023-08-09 10:19:25"</f>
        <v>2023-08-09 10:19:25</v>
      </c>
      <c r="M14695" s="1" t="s">
        <v>45</v>
      </c>
      <c r="N14695" s="1" t="s">
        <v>38</v>
      </c>
      <c r="O14695" s="1" t="s">
        <v>46</v>
      </c>
    </row>
    <row r="14696" spans="2:15" x14ac:dyDescent="0.3">
      <c r="B14696" s="1" t="s">
        <v>19</v>
      </c>
      <c r="C14696" s="1" t="str">
        <f t="shared" si="748"/>
        <v>5-2차</v>
      </c>
      <c r="D14696" s="1" t="str">
        <f>"0127P9315M"</f>
        <v>0127P9315M</v>
      </c>
      <c r="E14696" s="1" t="s">
        <v>10</v>
      </c>
      <c r="F14696" s="1" t="str">
        <f>"fde1:103:4:58d5:0:0:0:2"</f>
        <v>fde1:103:4:58d5:0:0:0:2</v>
      </c>
      <c r="G14696" s="1" t="str">
        <f>"0127P931"</f>
        <v>0127P931</v>
      </c>
      <c r="H14696" s="1" t="str">
        <f>"보문지 37"</f>
        <v>보문지 37</v>
      </c>
      <c r="I14696" s="1" t="s">
        <v>15</v>
      </c>
      <c r="J14696" s="1" t="str">
        <f>"256/256"</f>
        <v>256/256</v>
      </c>
      <c r="K14696" s="1" t="str">
        <f>"2026-07-29 14:20:34"</f>
        <v>2026-07-29 14:20:34</v>
      </c>
      <c r="L14696" s="1" t="str">
        <f>"2023-09-21 11:26:25"</f>
        <v>2023-09-21 11:26:25</v>
      </c>
      <c r="M14696" s="1" t="s">
        <v>4</v>
      </c>
      <c r="N14696" s="1" t="s">
        <v>38</v>
      </c>
      <c r="O14696" s="1" t="s">
        <v>46</v>
      </c>
    </row>
    <row r="14697" spans="2:15" x14ac:dyDescent="0.3">
      <c r="B14697" s="1" t="s">
        <v>19</v>
      </c>
      <c r="C14697" s="1" t="str">
        <f t="shared" si="748"/>
        <v>5-2차</v>
      </c>
      <c r="D14697" s="1" t="str">
        <f>"0127P9515M"</f>
        <v>0127P9515M</v>
      </c>
      <c r="E14697" s="1" t="s">
        <v>10</v>
      </c>
      <c r="F14697" s="1" t="str">
        <f>"fde1:103:4:5747:0:0:0:2"</f>
        <v>fde1:103:4:5747:0:0:0:2</v>
      </c>
      <c r="G14697" s="1" t="str">
        <f>"0127P951"</f>
        <v>0127P951</v>
      </c>
      <c r="H14697" s="1" t="str">
        <f>"보문지 35L2"</f>
        <v>보문지 35L2</v>
      </c>
      <c r="I14697" s="1" t="s">
        <v>15</v>
      </c>
      <c r="J14697" s="1" t="str">
        <f>"66/67"</f>
        <v>66/67</v>
      </c>
      <c r="K14697" s="1" t="str">
        <f>"2026-07-29 14:20:19"</f>
        <v>2026-07-29 14:20:19</v>
      </c>
      <c r="L14697" s="1" t="str">
        <f>"2023-09-21 11:40:53"</f>
        <v>2023-09-21 11:40:53</v>
      </c>
      <c r="M14697" s="1" t="s">
        <v>4</v>
      </c>
      <c r="N14697" s="1" t="s">
        <v>38</v>
      </c>
      <c r="O14697" s="1" t="s">
        <v>46</v>
      </c>
    </row>
    <row r="14698" spans="2:15" x14ac:dyDescent="0.3">
      <c r="B14698" s="1" t="s">
        <v>19</v>
      </c>
      <c r="C14698" s="1" t="str">
        <f t="shared" si="748"/>
        <v>5-2차</v>
      </c>
      <c r="D14698" s="1" t="str">
        <f>"0127P9715M"</f>
        <v>0127P9715M</v>
      </c>
      <c r="E14698" s="1" t="s">
        <v>10</v>
      </c>
      <c r="F14698" s="1" t="str">
        <f>"fde1:103:4:57c5:0:0:0:2"</f>
        <v>fde1:103:4:57c5:0:0:0:2</v>
      </c>
      <c r="G14698" s="1" t="str">
        <f>"0127P971"</f>
        <v>0127P971</v>
      </c>
      <c r="H14698" s="1" t="str">
        <f>"안암간 20"</f>
        <v>안암간 20</v>
      </c>
      <c r="I14698" s="1" t="s">
        <v>15</v>
      </c>
      <c r="J14698" s="1" t="str">
        <f>"92/92"</f>
        <v>92/92</v>
      </c>
      <c r="K14698" s="1" t="str">
        <f>"2026-07-29 08:20:31"</f>
        <v>2026-07-29 08:20:31</v>
      </c>
      <c r="L14698" s="1" t="str">
        <f>"2023-09-21 11:41:22"</f>
        <v>2023-09-21 11:41:22</v>
      </c>
      <c r="M14698" s="1" t="s">
        <v>4</v>
      </c>
      <c r="N14698" s="1" t="s">
        <v>38</v>
      </c>
      <c r="O14698" s="1" t="s">
        <v>46</v>
      </c>
    </row>
    <row r="14699" spans="2:15" x14ac:dyDescent="0.3">
      <c r="B14699" s="1" t="s">
        <v>19</v>
      </c>
      <c r="C14699" s="1" t="str">
        <f t="shared" si="748"/>
        <v>5-2차</v>
      </c>
      <c r="D14699" s="1" t="str">
        <f>"0127Q0035S"</f>
        <v>0127Q0035S</v>
      </c>
      <c r="E14699" s="1" t="s">
        <v>10</v>
      </c>
      <c r="F14699" s="1" t="str">
        <f>"fde3:102:1410:6300:0:0:0:3"</f>
        <v>fde3:102:1410:6300:0:0:0:3</v>
      </c>
      <c r="G14699" s="1" t="str">
        <f>"0127Q003"</f>
        <v>0127Q003</v>
      </c>
      <c r="H14699" s="1" t="str">
        <f>"보문지 41"</f>
        <v>보문지 41</v>
      </c>
      <c r="I14699" s="1" t="s">
        <v>15</v>
      </c>
      <c r="J14699" s="1" t="str">
        <f>"94/94"</f>
        <v>94/94</v>
      </c>
      <c r="K14699" s="1" t="str">
        <f>"2026-07-29 14:20:05"</f>
        <v>2026-07-29 14:20:05</v>
      </c>
      <c r="L14699" s="1" t="str">
        <f>"2023-08-09 10:23:36"</f>
        <v>2023-08-09 10:23:36</v>
      </c>
      <c r="M14699" s="1" t="s">
        <v>45</v>
      </c>
      <c r="N14699" s="1" t="s">
        <v>38</v>
      </c>
      <c r="O14699" s="1" t="s">
        <v>46</v>
      </c>
    </row>
    <row r="14700" spans="2:15" x14ac:dyDescent="0.3">
      <c r="B14700" s="1" t="s">
        <v>19</v>
      </c>
      <c r="C14700" s="1" t="str">
        <f t="shared" si="748"/>
        <v>5-2차</v>
      </c>
      <c r="D14700" s="1" t="str">
        <f>"0127Q0125M"</f>
        <v>0127Q0125M</v>
      </c>
      <c r="E14700" s="1" t="s">
        <v>10</v>
      </c>
      <c r="F14700" s="1" t="str">
        <f>"fde3:102:1410:8200:0:0:0:7"</f>
        <v>fde3:102:1410:8200:0:0:0:7</v>
      </c>
      <c r="G14700" s="1" t="str">
        <f>"0127Q012"</f>
        <v>0127Q012</v>
      </c>
      <c r="H14700" s="1" t="str">
        <f>"보문지 39"</f>
        <v>보문지 39</v>
      </c>
      <c r="I14700" s="1" t="s">
        <v>15</v>
      </c>
      <c r="J14700" s="1" t="str">
        <f>"46/46"</f>
        <v>46/46</v>
      </c>
      <c r="K14700" s="1" t="str">
        <f>"2026-07-28 20:03:26"</f>
        <v>2026-07-28 20:03:26</v>
      </c>
      <c r="L14700" s="1" t="str">
        <f>"2023-08-23 21:24:41"</f>
        <v>2023-08-23 21:24:41</v>
      </c>
      <c r="M14700" s="1" t="s">
        <v>45</v>
      </c>
      <c r="N14700" s="1" t="s">
        <v>38</v>
      </c>
      <c r="O14700" s="1" t="s">
        <v>46</v>
      </c>
    </row>
    <row r="14701" spans="2:15" x14ac:dyDescent="0.3">
      <c r="B14701" s="1" t="s">
        <v>19</v>
      </c>
      <c r="C14701" s="1" t="str">
        <f t="shared" si="748"/>
        <v>5-2차</v>
      </c>
      <c r="D14701" s="1" t="str">
        <f>"0127Q0235M"</f>
        <v>0127Q0235M</v>
      </c>
      <c r="E14701" s="1" t="s">
        <v>10</v>
      </c>
      <c r="F14701" s="1" t="str">
        <f>"fde1:103:4:57c9:0:0:0:2"</f>
        <v>fde1:103:4:57c9:0:0:0:2</v>
      </c>
      <c r="G14701" s="1" t="str">
        <f>"0127Q023"</f>
        <v>0127Q023</v>
      </c>
      <c r="H14701" s="1" t="str">
        <f>"안암간 28R2"</f>
        <v>안암간 28R2</v>
      </c>
      <c r="I14701" s="1" t="s">
        <v>15</v>
      </c>
      <c r="J14701" s="1" t="str">
        <f>"29/29"</f>
        <v>29/29</v>
      </c>
      <c r="K14701" s="1" t="str">
        <f>"2026-07-29 14:20:19"</f>
        <v>2026-07-29 14:20:19</v>
      </c>
      <c r="L14701" s="1" t="str">
        <f>"2023-09-21 11:44:03"</f>
        <v>2023-09-21 11:44:03</v>
      </c>
      <c r="M14701" s="1" t="s">
        <v>4</v>
      </c>
      <c r="N14701" s="1" t="s">
        <v>38</v>
      </c>
      <c r="O14701" s="1" t="s">
        <v>46</v>
      </c>
    </row>
    <row r="14702" spans="2:15" x14ac:dyDescent="0.3">
      <c r="B14702" s="1" t="s">
        <v>19</v>
      </c>
      <c r="C14702" s="1" t="str">
        <f>"4차"</f>
        <v>4차</v>
      </c>
      <c r="D14702" s="1" t="str">
        <f>"0127Q07445"</f>
        <v>0127Q07445</v>
      </c>
      <c r="E14702" s="1" t="s">
        <v>10</v>
      </c>
      <c r="F14702" s="1" t="str">
        <f>"10.14.6.52"</f>
        <v>10.14.6.52</v>
      </c>
      <c r="G14702" s="1" t="str">
        <f>"0127Q074"</f>
        <v>0127Q074</v>
      </c>
      <c r="H14702" s="1" t="str">
        <f>"보문로 6"</f>
        <v>보문로 6</v>
      </c>
      <c r="I14702" s="1" t="s">
        <v>17</v>
      </c>
      <c r="J14702" s="1" t="str">
        <f>"48/49"</f>
        <v>48/49</v>
      </c>
      <c r="K14702" s="1" t="str">
        <f>"2026-07-29 13:18:01"</f>
        <v>2026-07-29 13:18:01</v>
      </c>
      <c r="L14702" s="1" t="str">
        <f>"2021-06-25 08:13:34"</f>
        <v>2021-06-25 08:13:34</v>
      </c>
      <c r="M14702" s="1" t="s">
        <v>3</v>
      </c>
      <c r="N14702" s="1" t="s">
        <v>38</v>
      </c>
      <c r="O14702" s="1" t="s">
        <v>46</v>
      </c>
    </row>
    <row r="14703" spans="2:15" x14ac:dyDescent="0.3">
      <c r="B14703" s="1" t="s">
        <v>19</v>
      </c>
      <c r="C14703" s="1" t="str">
        <f>"5-2차"</f>
        <v>5-2차</v>
      </c>
      <c r="D14703" s="1" t="str">
        <f>"0127Q0925M"</f>
        <v>0127Q0925M</v>
      </c>
      <c r="E14703" s="1" t="s">
        <v>10</v>
      </c>
      <c r="F14703" s="1" t="str">
        <f>"fde1:103:4:59e9:0:0:0:2"</f>
        <v>fde1:103:4:59e9:0:0:0:2</v>
      </c>
      <c r="G14703" s="1" t="str">
        <f>"0127Q092"</f>
        <v>0127Q092</v>
      </c>
      <c r="H14703" s="1" t="str">
        <f>"삼선지 20"</f>
        <v>삼선지 20</v>
      </c>
      <c r="I14703" s="1" t="s">
        <v>15</v>
      </c>
      <c r="J14703" s="1" t="str">
        <f>"110/110"</f>
        <v>110/110</v>
      </c>
      <c r="K14703" s="1" t="str">
        <f>"2026-07-29 14:20:07"</f>
        <v>2026-07-29 14:20:07</v>
      </c>
      <c r="L14703" s="1" t="str">
        <f>"2023-09-21 13:28:54"</f>
        <v>2023-09-21 13:28:54</v>
      </c>
      <c r="M14703" s="1" t="s">
        <v>4</v>
      </c>
      <c r="N14703" s="1" t="s">
        <v>38</v>
      </c>
      <c r="O14703" s="1" t="s">
        <v>46</v>
      </c>
    </row>
    <row r="14704" spans="2:15" x14ac:dyDescent="0.3">
      <c r="B14704" s="1" t="s">
        <v>19</v>
      </c>
      <c r="C14704" s="1" t="str">
        <f>"5-2차"</f>
        <v>5-2차</v>
      </c>
      <c r="D14704" s="1" t="str">
        <f>"0127Q1115S"</f>
        <v>0127Q1115S</v>
      </c>
      <c r="E14704" s="1" t="s">
        <v>10</v>
      </c>
      <c r="F14704" s="1" t="str">
        <f>"fde3:102:1410:6300:0:0:0:7"</f>
        <v>fde3:102:1410:6300:0:0:0:7</v>
      </c>
      <c r="G14704" s="1" t="str">
        <f>"0127Q111"</f>
        <v>0127Q111</v>
      </c>
      <c r="H14704" s="1" t="str">
        <f>"안암간 29R2"</f>
        <v>안암간 29R2</v>
      </c>
      <c r="I14704" s="1" t="s">
        <v>15</v>
      </c>
      <c r="J14704" s="1" t="str">
        <f>"34/34"</f>
        <v>34/34</v>
      </c>
      <c r="K14704" s="1" t="str">
        <f>"2026-07-29 14:20:38"</f>
        <v>2026-07-29 14:20:38</v>
      </c>
      <c r="L14704" s="1" t="str">
        <f>"2023-08-09 10:22:55"</f>
        <v>2023-08-09 10:22:55</v>
      </c>
      <c r="M14704" s="1" t="s">
        <v>45</v>
      </c>
      <c r="N14704" s="1" t="s">
        <v>38</v>
      </c>
      <c r="O14704" s="1" t="s">
        <v>46</v>
      </c>
    </row>
    <row r="14705" spans="2:15" x14ac:dyDescent="0.3">
      <c r="B14705" s="1" t="s">
        <v>19</v>
      </c>
      <c r="C14705" s="1" t="str">
        <f>"5-2차"</f>
        <v>5-2차</v>
      </c>
      <c r="D14705" s="1" t="str">
        <f>"0127Q1325M"</f>
        <v>0127Q1325M</v>
      </c>
      <c r="E14705" s="1" t="s">
        <v>10</v>
      </c>
      <c r="F14705" s="1" t="str">
        <f>"fde1:103:4:5733:0:0:0:2"</f>
        <v>fde1:103:4:5733:0:0:0:2</v>
      </c>
      <c r="G14705" s="1" t="str">
        <f>"0127Q132"</f>
        <v>0127Q132</v>
      </c>
      <c r="H14705" s="1" t="str">
        <f>"안암간 27"</f>
        <v>안암간 27</v>
      </c>
      <c r="I14705" s="1" t="s">
        <v>15</v>
      </c>
      <c r="J14705" s="1" t="str">
        <f>"57/57"</f>
        <v>57/57</v>
      </c>
      <c r="K14705" s="1" t="str">
        <f>"2026-07-29 14:20:34"</f>
        <v>2026-07-29 14:20:34</v>
      </c>
      <c r="L14705" s="1" t="str">
        <f>"2023-09-21 13:27:26"</f>
        <v>2023-09-21 13:27:26</v>
      </c>
      <c r="M14705" s="1" t="s">
        <v>4</v>
      </c>
      <c r="N14705" s="1" t="s">
        <v>38</v>
      </c>
      <c r="O14705" s="1" t="s">
        <v>46</v>
      </c>
    </row>
    <row r="14706" spans="2:15" x14ac:dyDescent="0.3">
      <c r="B14706" s="1" t="s">
        <v>19</v>
      </c>
      <c r="C14706" s="1" t="str">
        <f>"5-2차"</f>
        <v>5-2차</v>
      </c>
      <c r="D14706" s="1" t="str">
        <f>"0127Q1415S"</f>
        <v>0127Q1415S</v>
      </c>
      <c r="E14706" s="1" t="s">
        <v>10</v>
      </c>
      <c r="F14706" s="1" t="str">
        <f>"fde1:103:4:570b:0:0:0:2"</f>
        <v>fde1:103:4:570b:0:0:0:2</v>
      </c>
      <c r="G14706" s="1" t="str">
        <f>"0127Q141"</f>
        <v>0127Q141</v>
      </c>
      <c r="H14706" s="1" t="str">
        <f>"안암간 25"</f>
        <v>안암간 25</v>
      </c>
      <c r="I14706" s="1" t="s">
        <v>15</v>
      </c>
      <c r="J14706" s="1" t="str">
        <f>"59/59"</f>
        <v>59/59</v>
      </c>
      <c r="K14706" s="1" t="str">
        <f>"2026-07-29 14:20:20"</f>
        <v>2026-07-29 14:20:20</v>
      </c>
      <c r="L14706" s="1" t="str">
        <f>"2023-09-21 13:27:57"</f>
        <v>2023-09-21 13:27:57</v>
      </c>
      <c r="M14706" s="1" t="s">
        <v>4</v>
      </c>
      <c r="N14706" s="1" t="s">
        <v>38</v>
      </c>
      <c r="O14706" s="1" t="s">
        <v>46</v>
      </c>
    </row>
    <row r="14707" spans="2:15" x14ac:dyDescent="0.3">
      <c r="B14707" s="1" t="s">
        <v>19</v>
      </c>
      <c r="C14707" s="1" t="str">
        <f>"4차"</f>
        <v>4차</v>
      </c>
      <c r="D14707" s="1" t="str">
        <f>"0127Q15445"</f>
        <v>0127Q15445</v>
      </c>
      <c r="E14707" s="1" t="s">
        <v>10</v>
      </c>
      <c r="F14707" s="1" t="str">
        <f>"10.14.2.56"</f>
        <v>10.14.2.56</v>
      </c>
      <c r="G14707" s="1" t="str">
        <f>"0127Q154"</f>
        <v>0127Q154</v>
      </c>
      <c r="H14707" s="1" t="str">
        <f>"보문로 8"</f>
        <v>보문로 8</v>
      </c>
      <c r="I14707" s="1" t="s">
        <v>17</v>
      </c>
      <c r="J14707" s="1" t="str">
        <f>"7/7"</f>
        <v>7/7</v>
      </c>
      <c r="K14707" s="1" t="str">
        <f>"2026-07-29 13:18:01"</f>
        <v>2026-07-29 13:18:01</v>
      </c>
      <c r="L14707" s="1" t="str">
        <f>"2021-06-25 08:54:37"</f>
        <v>2021-06-25 08:54:37</v>
      </c>
      <c r="M14707" s="1" t="s">
        <v>3</v>
      </c>
      <c r="N14707" s="1" t="s">
        <v>38</v>
      </c>
      <c r="O14707" s="1" t="s">
        <v>46</v>
      </c>
    </row>
    <row r="14708" spans="2:15" x14ac:dyDescent="0.3">
      <c r="B14708" s="1" t="s">
        <v>19</v>
      </c>
      <c r="C14708" s="1" t="str">
        <f>"4차"</f>
        <v>4차</v>
      </c>
      <c r="D14708" s="1" t="str">
        <f>"0127Q16445"</f>
        <v>0127Q16445</v>
      </c>
      <c r="E14708" s="1" t="s">
        <v>10</v>
      </c>
      <c r="F14708" s="1" t="str">
        <f>"10.12.128.66"</f>
        <v>10.12.128.66</v>
      </c>
      <c r="G14708" s="1" t="str">
        <f>"0127Q164"</f>
        <v>0127Q164</v>
      </c>
      <c r="H14708" s="1" t="str">
        <f>"보문로 7"</f>
        <v>보문로 7</v>
      </c>
      <c r="I14708" s="1" t="s">
        <v>17</v>
      </c>
      <c r="J14708" s="1" t="str">
        <f>"14/23"</f>
        <v>14/23</v>
      </c>
      <c r="K14708" s="1" t="str">
        <f>"2026-07-29 13:18:02"</f>
        <v>2026-07-29 13:18:02</v>
      </c>
      <c r="L14708" s="1" t="str">
        <f>"2021-06-25 08:46:29"</f>
        <v>2021-06-25 08:46:29</v>
      </c>
      <c r="M14708" s="1" t="s">
        <v>0</v>
      </c>
      <c r="N14708" s="1" t="s">
        <v>38</v>
      </c>
      <c r="O14708" s="1" t="s">
        <v>46</v>
      </c>
    </row>
    <row r="14709" spans="2:15" x14ac:dyDescent="0.3">
      <c r="B14709" s="1" t="s">
        <v>19</v>
      </c>
      <c r="C14709" s="1" t="str">
        <f>"4차"</f>
        <v>4차</v>
      </c>
      <c r="D14709" s="1" t="str">
        <f>"0127Q17545"</f>
        <v>0127Q17545</v>
      </c>
      <c r="E14709" s="1" t="s">
        <v>10</v>
      </c>
      <c r="F14709" s="1" t="str">
        <f>"10.14.7.55"</f>
        <v>10.14.7.55</v>
      </c>
      <c r="G14709" s="1" t="str">
        <f>"0127Q175"</f>
        <v>0127Q175</v>
      </c>
      <c r="H14709" s="1" t="str">
        <f>"보문로 24"</f>
        <v>보문로 24</v>
      </c>
      <c r="I14709" s="1" t="s">
        <v>17</v>
      </c>
      <c r="J14709" s="1" t="str">
        <f>"11/11"</f>
        <v>11/11</v>
      </c>
      <c r="K14709" s="1" t="str">
        <f>"2026-07-29 13:18:01"</f>
        <v>2026-07-29 13:18:01</v>
      </c>
      <c r="L14709" s="1" t="str">
        <f>"2021-06-24 14:14:38"</f>
        <v>2021-06-24 14:14:38</v>
      </c>
      <c r="M14709" s="1" t="s">
        <v>3</v>
      </c>
      <c r="N14709" s="1" t="s">
        <v>38</v>
      </c>
      <c r="O14709" s="1" t="s">
        <v>46</v>
      </c>
    </row>
    <row r="14710" spans="2:15" x14ac:dyDescent="0.3">
      <c r="B14710" s="1" t="s">
        <v>19</v>
      </c>
      <c r="C14710" s="1" t="str">
        <f>"5-2차"</f>
        <v>5-2차</v>
      </c>
      <c r="D14710" s="1" t="str">
        <f>"0127Q1825M"</f>
        <v>0127Q1825M</v>
      </c>
      <c r="E14710" s="1" t="s">
        <v>10</v>
      </c>
      <c r="F14710" s="1" t="str">
        <f>"fde1:103:4:5a53:0:0:0:2"</f>
        <v>fde1:103:4:5a53:0:0:0:2</v>
      </c>
      <c r="G14710" s="1" t="str">
        <f>"0127Q182"</f>
        <v>0127Q182</v>
      </c>
      <c r="H14710" s="1" t="str">
        <f>"삼선지 23"</f>
        <v>삼선지 23</v>
      </c>
      <c r="I14710" s="1" t="s">
        <v>15</v>
      </c>
      <c r="J14710" s="1" t="str">
        <f>"62/62"</f>
        <v>62/62</v>
      </c>
      <c r="K14710" s="1" t="str">
        <f>"2026-07-29 14:20:19"</f>
        <v>2026-07-29 14:20:19</v>
      </c>
      <c r="L14710" s="1" t="str">
        <f>"2023-09-21 13:42:40"</f>
        <v>2023-09-21 13:42:40</v>
      </c>
      <c r="M14710" s="1" t="s">
        <v>4</v>
      </c>
      <c r="N14710" s="1" t="s">
        <v>38</v>
      </c>
      <c r="O14710" s="1" t="s">
        <v>46</v>
      </c>
    </row>
    <row r="14711" spans="2:15" x14ac:dyDescent="0.3">
      <c r="B14711" s="1" t="s">
        <v>19</v>
      </c>
      <c r="C14711" s="1" t="str">
        <f>"5-2차"</f>
        <v>5-2차</v>
      </c>
      <c r="D14711" s="1" t="str">
        <f>"0127Q2015M"</f>
        <v>0127Q2015M</v>
      </c>
      <c r="E14711" s="1" t="s">
        <v>10</v>
      </c>
      <c r="F14711" s="1" t="str">
        <f>"fde3:102:1410:6300:0:0:0:6"</f>
        <v>fde3:102:1410:6300:0:0:0:6</v>
      </c>
      <c r="G14711" s="1" t="str">
        <f>"0127Q201"</f>
        <v>0127Q201</v>
      </c>
      <c r="H14711" s="1" t="str">
        <f>"안암간 31"</f>
        <v>안암간 31</v>
      </c>
      <c r="I14711" s="1" t="s">
        <v>15</v>
      </c>
      <c r="J14711" s="1" t="str">
        <f>"58/58"</f>
        <v>58/58</v>
      </c>
      <c r="K14711" s="1" t="str">
        <f>"2026-07-29 14:20:13"</f>
        <v>2026-07-29 14:20:13</v>
      </c>
      <c r="L14711" s="1" t="str">
        <f>"2023-08-23 21:25:16"</f>
        <v>2023-08-23 21:25:16</v>
      </c>
      <c r="M14711" s="1" t="s">
        <v>45</v>
      </c>
      <c r="N14711" s="1" t="s">
        <v>38</v>
      </c>
      <c r="O14711" s="1" t="s">
        <v>46</v>
      </c>
    </row>
    <row r="14712" spans="2:15" x14ac:dyDescent="0.3">
      <c r="B14712" s="1" t="s">
        <v>19</v>
      </c>
      <c r="C14712" s="1" t="str">
        <f>"5-2차"</f>
        <v>5-2차</v>
      </c>
      <c r="D14712" s="1" t="str">
        <f>"0127Q2045M"</f>
        <v>0127Q2045M</v>
      </c>
      <c r="E14712" s="1" t="s">
        <v>10</v>
      </c>
      <c r="F14712" s="1" t="str">
        <f>"fde3:102:1410:6300:0:0:0:2"</f>
        <v>fde3:102:1410:6300:0:0:0:2</v>
      </c>
      <c r="G14712" s="1" t="str">
        <f>"0127Q204"</f>
        <v>0127Q204</v>
      </c>
      <c r="H14712" s="1" t="str">
        <f>"보문지 43L3"</f>
        <v>보문지 43L3</v>
      </c>
      <c r="I14712" s="1" t="s">
        <v>15</v>
      </c>
      <c r="J14712" s="1" t="str">
        <f>"39/39"</f>
        <v>39/39</v>
      </c>
      <c r="K14712" s="1" t="str">
        <f>"2026-07-29 14:20:34"</f>
        <v>2026-07-29 14:20:34</v>
      </c>
      <c r="L14712" s="1" t="str">
        <f>"2023-08-23 21:25:53"</f>
        <v>2023-08-23 21:25:53</v>
      </c>
      <c r="M14712" s="1" t="s">
        <v>45</v>
      </c>
      <c r="N14712" s="1" t="s">
        <v>38</v>
      </c>
      <c r="O14712" s="1" t="s">
        <v>46</v>
      </c>
    </row>
    <row r="14713" spans="2:15" x14ac:dyDescent="0.3">
      <c r="B14713" s="1" t="s">
        <v>19</v>
      </c>
      <c r="C14713" s="1" t="str">
        <f>"5-2차"</f>
        <v>5-2차</v>
      </c>
      <c r="D14713" s="1" t="str">
        <f>"0127Q2245M"</f>
        <v>0127Q2245M</v>
      </c>
      <c r="E14713" s="1" t="s">
        <v>10</v>
      </c>
      <c r="F14713" s="1" t="str">
        <f>"fde3:102:1410:6300:0:0:0:8"</f>
        <v>fde3:102:1410:6300:0:0:0:8</v>
      </c>
      <c r="G14713" s="1" t="str">
        <f>"0127Q224"</f>
        <v>0127Q224</v>
      </c>
      <c r="H14713" s="1" t="str">
        <f>"안암간 29"</f>
        <v>안암간 29</v>
      </c>
      <c r="I14713" s="1" t="s">
        <v>15</v>
      </c>
      <c r="J14713" s="1" t="str">
        <f>"78/78"</f>
        <v>78/78</v>
      </c>
      <c r="K14713" s="1" t="str">
        <f>"2026-07-29 14:20:40"</f>
        <v>2026-07-29 14:20:40</v>
      </c>
      <c r="L14713" s="1" t="str">
        <f>"2024-01-10 16:01:14"</f>
        <v>2024-01-10 16:01:14</v>
      </c>
      <c r="M14713" s="1" t="s">
        <v>45</v>
      </c>
      <c r="N14713" s="1" t="s">
        <v>38</v>
      </c>
      <c r="O14713" s="1" t="s">
        <v>46</v>
      </c>
    </row>
    <row r="14714" spans="2:15" x14ac:dyDescent="0.3">
      <c r="B14714" s="1" t="s">
        <v>19</v>
      </c>
      <c r="C14714" s="1" t="str">
        <f>"4차"</f>
        <v>4차</v>
      </c>
      <c r="D14714" s="1" t="str">
        <f>"0127Q25645"</f>
        <v>0127Q25645</v>
      </c>
      <c r="E14714" s="1" t="s">
        <v>10</v>
      </c>
      <c r="F14714" s="1" t="str">
        <f>"10.14.6.53"</f>
        <v>10.14.6.53</v>
      </c>
      <c r="G14714" s="1" t="str">
        <f>"0127Q256"</f>
        <v>0127Q256</v>
      </c>
      <c r="H14714" s="1" t="str">
        <f>"보문로 25"</f>
        <v>보문로 25</v>
      </c>
      <c r="I14714" s="1" t="s">
        <v>17</v>
      </c>
      <c r="J14714" s="1" t="str">
        <f>"5/5"</f>
        <v>5/5</v>
      </c>
      <c r="K14714" s="1" t="str">
        <f>"2026-07-29 13:18:03"</f>
        <v>2026-07-29 13:18:03</v>
      </c>
      <c r="L14714" s="1" t="str">
        <f>"2021-06-24 13:54:51"</f>
        <v>2021-06-24 13:54:51</v>
      </c>
      <c r="M14714" s="1" t="s">
        <v>3</v>
      </c>
      <c r="N14714" s="1" t="s">
        <v>38</v>
      </c>
      <c r="O14714" s="1" t="s">
        <v>46</v>
      </c>
    </row>
    <row r="14715" spans="2:15" x14ac:dyDescent="0.3">
      <c r="B14715" s="1" t="s">
        <v>19</v>
      </c>
      <c r="C14715" s="1" t="str">
        <f t="shared" ref="C14715:C14720" si="749">"5-2차"</f>
        <v>5-2차</v>
      </c>
      <c r="D14715" s="1" t="str">
        <f>"0127Q2735M"</f>
        <v>0127Q2735M</v>
      </c>
      <c r="E14715" s="1" t="s">
        <v>10</v>
      </c>
      <c r="F14715" s="1" t="str">
        <f>"fde1:103:4:5a64:0:0:0:2"</f>
        <v>fde1:103:4:5a64:0:0:0:2</v>
      </c>
      <c r="G14715" s="1" t="str">
        <f>"0127Q273"</f>
        <v>0127Q273</v>
      </c>
      <c r="H14715" s="1" t="str">
        <f>"삼선지 26"</f>
        <v>삼선지 26</v>
      </c>
      <c r="I14715" s="1" t="s">
        <v>15</v>
      </c>
      <c r="J14715" s="1" t="str">
        <f>"33/33"</f>
        <v>33/33</v>
      </c>
      <c r="K14715" s="1" t="str">
        <f>"2026-07-29 14:20:19"</f>
        <v>2026-07-29 14:20:19</v>
      </c>
      <c r="L14715" s="1" t="str">
        <f>"2023-09-21 13:43:05"</f>
        <v>2023-09-21 13:43:05</v>
      </c>
      <c r="M14715" s="1" t="s">
        <v>4</v>
      </c>
      <c r="N14715" s="1" t="s">
        <v>38</v>
      </c>
      <c r="O14715" s="1" t="s">
        <v>46</v>
      </c>
    </row>
    <row r="14716" spans="2:15" x14ac:dyDescent="0.3">
      <c r="B14716" s="1" t="s">
        <v>19</v>
      </c>
      <c r="C14716" s="1" t="str">
        <f t="shared" si="749"/>
        <v>5-2차</v>
      </c>
      <c r="D14716" s="1" t="str">
        <f>"0127Q2915S"</f>
        <v>0127Q2915S</v>
      </c>
      <c r="E14716" s="1" t="s">
        <v>10</v>
      </c>
      <c r="F14716" s="1" t="str">
        <f>"fde1:103:4:5936:0:0:0:2"</f>
        <v>fde1:103:4:5936:0:0:0:2</v>
      </c>
      <c r="G14716" s="1" t="str">
        <f>"0127Q291"</f>
        <v>0127Q291</v>
      </c>
      <c r="H14716" s="1" t="str">
        <f>"삼선지 25L6"</f>
        <v>삼선지 25L6</v>
      </c>
      <c r="I14716" s="1" t="s">
        <v>15</v>
      </c>
      <c r="J14716" s="1" t="str">
        <f>"45/45"</f>
        <v>45/45</v>
      </c>
      <c r="K14716" s="1" t="str">
        <f>"2026-07-29 14:20:08"</f>
        <v>2026-07-29 14:20:08</v>
      </c>
      <c r="L14716" s="1" t="str">
        <f>"2023-09-21 13:43:31"</f>
        <v>2023-09-21 13:43:31</v>
      </c>
      <c r="M14716" s="1" t="s">
        <v>4</v>
      </c>
      <c r="N14716" s="1" t="s">
        <v>38</v>
      </c>
      <c r="O14716" s="1" t="s">
        <v>46</v>
      </c>
    </row>
    <row r="14717" spans="2:15" x14ac:dyDescent="0.3">
      <c r="B14717" s="1" t="s">
        <v>19</v>
      </c>
      <c r="C14717" s="1" t="str">
        <f t="shared" si="749"/>
        <v>5-2차</v>
      </c>
      <c r="D14717" s="1" t="str">
        <f>"0127Q3035M"</f>
        <v>0127Q3035M</v>
      </c>
      <c r="E14717" s="1" t="s">
        <v>10</v>
      </c>
      <c r="F14717" s="1" t="str">
        <f>"fde1:103:4:5744:0:0:0:2"</f>
        <v>fde1:103:4:5744:0:0:0:2</v>
      </c>
      <c r="G14717" s="1" t="str">
        <f>"0127Q303"</f>
        <v>0127Q303</v>
      </c>
      <c r="H14717" s="1" t="str">
        <f>"안암간 32"</f>
        <v>안암간 32</v>
      </c>
      <c r="I14717" s="1" t="s">
        <v>15</v>
      </c>
      <c r="J14717" s="1" t="str">
        <f>"19/20"</f>
        <v>19/20</v>
      </c>
      <c r="K14717" s="1" t="str">
        <f>"2026-07-29 14:20:20"</f>
        <v>2026-07-29 14:20:20</v>
      </c>
      <c r="L14717" s="1" t="str">
        <f>"2023-09-21 13:57:33"</f>
        <v>2023-09-21 13:57:33</v>
      </c>
      <c r="M14717" s="1" t="s">
        <v>4</v>
      </c>
      <c r="N14717" s="1" t="s">
        <v>38</v>
      </c>
      <c r="O14717" s="1" t="s">
        <v>46</v>
      </c>
    </row>
    <row r="14718" spans="2:15" x14ac:dyDescent="0.3">
      <c r="B14718" s="1" t="s">
        <v>19</v>
      </c>
      <c r="C14718" s="1" t="str">
        <f t="shared" si="749"/>
        <v>5-2차</v>
      </c>
      <c r="D14718" s="1" t="str">
        <f>"0127Q3525M"</f>
        <v>0127Q3525M</v>
      </c>
      <c r="E14718" s="1" t="s">
        <v>10</v>
      </c>
      <c r="F14718" s="1" t="str">
        <f>"fde1:103:4:5a61:0:0:0:2"</f>
        <v>fde1:103:4:5a61:0:0:0:2</v>
      </c>
      <c r="G14718" s="1" t="str">
        <f>"0127Q352"</f>
        <v>0127Q352</v>
      </c>
      <c r="H14718" s="1" t="str">
        <f>"삼선지 28"</f>
        <v>삼선지 28</v>
      </c>
      <c r="I14718" s="1" t="s">
        <v>15</v>
      </c>
      <c r="J14718" s="1" t="str">
        <f>"44/44"</f>
        <v>44/44</v>
      </c>
      <c r="K14718" s="1" t="str">
        <f>"2026-07-29 14:20:39"</f>
        <v>2026-07-29 14:20:39</v>
      </c>
      <c r="L14718" s="1" t="str">
        <f>"2023-09-21 13:58:03"</f>
        <v>2023-09-21 13:58:03</v>
      </c>
      <c r="M14718" s="1" t="s">
        <v>4</v>
      </c>
      <c r="N14718" s="1" t="s">
        <v>38</v>
      </c>
      <c r="O14718" s="1" t="s">
        <v>46</v>
      </c>
    </row>
    <row r="14719" spans="2:15" x14ac:dyDescent="0.3">
      <c r="B14719" s="1" t="s">
        <v>19</v>
      </c>
      <c r="C14719" s="1" t="str">
        <f t="shared" si="749"/>
        <v>5-2차</v>
      </c>
      <c r="D14719" s="1" t="str">
        <f>"0127Q4825M"</f>
        <v>0127Q4825M</v>
      </c>
      <c r="E14719" s="1" t="s">
        <v>10</v>
      </c>
      <c r="F14719" s="1" t="str">
        <f>"fde1:103:4:576f:0:0:0:2"</f>
        <v>fde1:103:4:576f:0:0:0:2</v>
      </c>
      <c r="G14719" s="1" t="str">
        <f>"0127Q482"</f>
        <v>0127Q482</v>
      </c>
      <c r="H14719" s="1" t="str">
        <f>"용문지 24R3"</f>
        <v>용문지 24R3</v>
      </c>
      <c r="I14719" s="1" t="s">
        <v>15</v>
      </c>
      <c r="J14719" s="1" t="str">
        <f>"62/62"</f>
        <v>62/62</v>
      </c>
      <c r="K14719" s="1" t="str">
        <f>"2026-07-29 14:20:20"</f>
        <v>2026-07-29 14:20:20</v>
      </c>
      <c r="L14719" s="1" t="str">
        <f>"2023-09-21 13:58:38"</f>
        <v>2023-09-21 13:58:38</v>
      </c>
      <c r="M14719" s="1" t="s">
        <v>4</v>
      </c>
      <c r="N14719" s="1" t="s">
        <v>38</v>
      </c>
      <c r="O14719" s="1" t="s">
        <v>46</v>
      </c>
    </row>
    <row r="14720" spans="2:15" x14ac:dyDescent="0.3">
      <c r="B14720" s="1" t="s">
        <v>19</v>
      </c>
      <c r="C14720" s="1" t="str">
        <f t="shared" si="749"/>
        <v>5-2차</v>
      </c>
      <c r="D14720" s="1" t="str">
        <f>"0127Q4915M"</f>
        <v>0127Q4915M</v>
      </c>
      <c r="E14720" s="1" t="s">
        <v>10</v>
      </c>
      <c r="F14720" s="1" t="str">
        <f>"fde1:103:4:590e:0:0:0:2"</f>
        <v>fde1:103:4:590e:0:0:0:2</v>
      </c>
      <c r="G14720" s="1" t="str">
        <f>"0127Q491"</f>
        <v>0127Q491</v>
      </c>
      <c r="H14720" s="1" t="str">
        <f>"용문지 22R3"</f>
        <v>용문지 22R3</v>
      </c>
      <c r="I14720" s="1" t="s">
        <v>15</v>
      </c>
      <c r="J14720" s="1" t="str">
        <f>"45/45"</f>
        <v>45/45</v>
      </c>
      <c r="K14720" s="1" t="str">
        <f>"2026-07-29 14:20:05"</f>
        <v>2026-07-29 14:20:05</v>
      </c>
      <c r="L14720" s="1" t="str">
        <f>"2023-09-21 14:15:42"</f>
        <v>2023-09-21 14:15:42</v>
      </c>
      <c r="M14720" s="1" t="s">
        <v>4</v>
      </c>
      <c r="N14720" s="1" t="s">
        <v>38</v>
      </c>
      <c r="O14720" s="1" t="s">
        <v>46</v>
      </c>
    </row>
    <row r="14721" spans="2:15" x14ac:dyDescent="0.3">
      <c r="B14721" s="1" t="s">
        <v>19</v>
      </c>
      <c r="C14721" s="1" t="str">
        <f>"6차"</f>
        <v>6차</v>
      </c>
      <c r="D14721" s="1" t="str">
        <f>"0127Q5616S"</f>
        <v>0127Q5616S</v>
      </c>
      <c r="E14721" s="1" t="s">
        <v>10</v>
      </c>
      <c r="F14721" s="1" t="str">
        <f>"fde1:103:4:9281:0:0:0:2"</f>
        <v>fde1:103:4:9281:0:0:0:2</v>
      </c>
      <c r="G14721" s="1" t="str">
        <f>"0127Q561"</f>
        <v>0127Q561</v>
      </c>
      <c r="H14721" s="1" t="str">
        <f>"용문지 28R4"</f>
        <v>용문지 28R4</v>
      </c>
      <c r="I14721" s="1" t="s">
        <v>15</v>
      </c>
      <c r="J14721" s="1" t="str">
        <f>"48/51"</f>
        <v>48/51</v>
      </c>
      <c r="K14721" s="1" t="str">
        <f>"2026-07-29 08:20:07"</f>
        <v>2026-07-29 08:20:07</v>
      </c>
      <c r="L14721" s="1" t="str">
        <f>"2024-10-28 15:50:28"</f>
        <v>2024-10-28 15:50:28</v>
      </c>
      <c r="M14721" s="1" t="s">
        <v>4</v>
      </c>
      <c r="N14721" s="1" t="s">
        <v>38</v>
      </c>
      <c r="O14721" s="1" t="s">
        <v>46</v>
      </c>
    </row>
    <row r="14722" spans="2:15" x14ac:dyDescent="0.3">
      <c r="B14722" s="1" t="s">
        <v>19</v>
      </c>
      <c r="C14722" s="1" t="str">
        <f>"5-2차"</f>
        <v>5-2차</v>
      </c>
      <c r="D14722" s="1" t="str">
        <f>"0127Q5815M"</f>
        <v>0127Q5815M</v>
      </c>
      <c r="E14722" s="1" t="s">
        <v>10</v>
      </c>
      <c r="F14722" s="1" t="str">
        <f>"fde1:103:4:598b:0:0:0:2"</f>
        <v>fde1:103:4:598b:0:0:0:2</v>
      </c>
      <c r="G14722" s="1" t="str">
        <f>"0127Q581"</f>
        <v>0127Q581</v>
      </c>
      <c r="H14722" s="1" t="str">
        <f>"용문지 25R2"</f>
        <v>용문지 25R2</v>
      </c>
      <c r="I14722" s="1" t="s">
        <v>15</v>
      </c>
      <c r="J14722" s="1" t="str">
        <f>"96/96"</f>
        <v>96/96</v>
      </c>
      <c r="K14722" s="1" t="str">
        <f>"2026-07-29 14:20:06"</f>
        <v>2026-07-29 14:20:06</v>
      </c>
      <c r="L14722" s="1" t="str">
        <f>"2023-09-21 14:16:24"</f>
        <v>2023-09-21 14:16:24</v>
      </c>
      <c r="M14722" s="1" t="s">
        <v>4</v>
      </c>
      <c r="N14722" s="1" t="s">
        <v>38</v>
      </c>
      <c r="O14722" s="1" t="s">
        <v>46</v>
      </c>
    </row>
    <row r="14723" spans="2:15" x14ac:dyDescent="0.3">
      <c r="B14723" s="1" t="s">
        <v>19</v>
      </c>
      <c r="C14723" s="1" t="str">
        <f>"5-2차"</f>
        <v>5-2차</v>
      </c>
      <c r="D14723" s="1" t="str">
        <f>"0127Q6125M"</f>
        <v>0127Q6125M</v>
      </c>
      <c r="E14723" s="1" t="s">
        <v>10</v>
      </c>
      <c r="F14723" s="1" t="str">
        <f>"fde1:103:4:58d2:0:0:0:2"</f>
        <v>fde1:103:4:58d2:0:0:0:2</v>
      </c>
      <c r="G14723" s="1" t="str">
        <f>"0127Q612"</f>
        <v>0127Q612</v>
      </c>
      <c r="H14723" s="1" t="str">
        <f>"용문지 37R2"</f>
        <v>용문지 37R2</v>
      </c>
      <c r="I14723" s="1" t="s">
        <v>15</v>
      </c>
      <c r="J14723" s="1" t="str">
        <f>"46/46"</f>
        <v>46/46</v>
      </c>
      <c r="K14723" s="1" t="str">
        <f>"2026-07-29 14:20:00"</f>
        <v>2026-07-29 14:20:00</v>
      </c>
      <c r="L14723" s="1" t="str">
        <f>"2023-09-21 14:17:18"</f>
        <v>2023-09-21 14:17:18</v>
      </c>
      <c r="M14723" s="1" t="s">
        <v>4</v>
      </c>
      <c r="N14723" s="1" t="s">
        <v>38</v>
      </c>
      <c r="O14723" s="1" t="s">
        <v>46</v>
      </c>
    </row>
    <row r="14724" spans="2:15" x14ac:dyDescent="0.3">
      <c r="B14724" s="1" t="s">
        <v>19</v>
      </c>
      <c r="C14724" s="1" t="str">
        <f>"5-2차"</f>
        <v>5-2차</v>
      </c>
      <c r="D14724" s="1" t="str">
        <f>"0127Q6715M"</f>
        <v>0127Q6715M</v>
      </c>
      <c r="E14724" s="1" t="s">
        <v>10</v>
      </c>
      <c r="F14724" s="1" t="str">
        <f>"fde1:103:4:5791:0:0:0:2"</f>
        <v>fde1:103:4:5791:0:0:0:2</v>
      </c>
      <c r="G14724" s="1" t="str">
        <f>"0127Q671"</f>
        <v>0127Q671</v>
      </c>
      <c r="H14724" s="1" t="str">
        <f>"용문지 26"</f>
        <v>용문지 26</v>
      </c>
      <c r="I14724" s="1" t="s">
        <v>15</v>
      </c>
      <c r="J14724" s="1" t="str">
        <f>"133/134"</f>
        <v>133/134</v>
      </c>
      <c r="K14724" s="1" t="str">
        <f>"2026-07-29 14:20:05"</f>
        <v>2026-07-29 14:20:05</v>
      </c>
      <c r="L14724" s="1" t="str">
        <f>"2023-09-21 15:02:00"</f>
        <v>2023-09-21 15:02:00</v>
      </c>
      <c r="M14724" s="1" t="s">
        <v>4</v>
      </c>
      <c r="N14724" s="1" t="s">
        <v>38</v>
      </c>
      <c r="O14724" s="1" t="s">
        <v>46</v>
      </c>
    </row>
    <row r="14725" spans="2:15" x14ac:dyDescent="0.3">
      <c r="B14725" s="1" t="s">
        <v>19</v>
      </c>
      <c r="C14725" s="1" t="str">
        <f>"5-2차"</f>
        <v>5-2차</v>
      </c>
      <c r="D14725" s="1" t="str">
        <f>"0127Q6755M"</f>
        <v>0127Q6755M</v>
      </c>
      <c r="E14725" s="1" t="s">
        <v>10</v>
      </c>
      <c r="F14725" s="1" t="str">
        <f>"fde1:103:4:573a:0:0:0:2"</f>
        <v>fde1:103:4:573a:0:0:0:2</v>
      </c>
      <c r="G14725" s="1" t="str">
        <f>"0127Q675"</f>
        <v>0127Q675</v>
      </c>
      <c r="H14725" s="1" t="str">
        <f>"용문지 26L1R1"</f>
        <v>용문지 26L1R1</v>
      </c>
      <c r="I14725" s="1" t="s">
        <v>15</v>
      </c>
      <c r="J14725" s="1" t="str">
        <f>"56/56"</f>
        <v>56/56</v>
      </c>
      <c r="K14725" s="1" t="str">
        <f>"2026-07-29 14:20:20"</f>
        <v>2026-07-29 14:20:20</v>
      </c>
      <c r="L14725" s="1" t="str">
        <f>"2023-09-21 15:02:54"</f>
        <v>2023-09-21 15:02:54</v>
      </c>
      <c r="M14725" s="1" t="s">
        <v>4</v>
      </c>
      <c r="N14725" s="1" t="s">
        <v>38</v>
      </c>
      <c r="O14725" s="1" t="s">
        <v>46</v>
      </c>
    </row>
    <row r="14726" spans="2:15" x14ac:dyDescent="0.3">
      <c r="B14726" s="1" t="s">
        <v>19</v>
      </c>
      <c r="C14726" s="1" t="str">
        <f>"5-1차"</f>
        <v>5-1차</v>
      </c>
      <c r="D14726" s="1" t="str">
        <f>"0127Q6765M"</f>
        <v>0127Q6765M</v>
      </c>
      <c r="E14726" s="1" t="s">
        <v>10</v>
      </c>
      <c r="F14726" s="1" t="str">
        <f>"fde2:104:0:75:0:0:0:2"</f>
        <v>fde2:104:0:75:0:0:0:2</v>
      </c>
      <c r="G14726" s="1" t="str">
        <f>"0127Q676"</f>
        <v>0127Q676</v>
      </c>
      <c r="H14726" s="1" t="str">
        <f>"용문지 28R1"</f>
        <v>용문지 28R1</v>
      </c>
      <c r="I14726" s="1" t="s">
        <v>15</v>
      </c>
      <c r="J14726" s="1" t="str">
        <f>"42/42"</f>
        <v>42/42</v>
      </c>
      <c r="K14726" s="1" t="str">
        <f>"2026-07-29 14:20:08"</f>
        <v>2026-07-29 14:20:08</v>
      </c>
      <c r="L14726" s="1" t="str">
        <f>"2022-08-31 10:01:13"</f>
        <v>2022-08-31 10:01:13</v>
      </c>
      <c r="M14726" s="1" t="s">
        <v>42</v>
      </c>
      <c r="N14726" s="1" t="s">
        <v>38</v>
      </c>
      <c r="O14726" s="1" t="s">
        <v>46</v>
      </c>
    </row>
    <row r="14727" spans="2:15" x14ac:dyDescent="0.3">
      <c r="B14727" s="1" t="s">
        <v>19</v>
      </c>
      <c r="C14727" s="1" t="str">
        <f t="shared" ref="C14727:C14743" si="750">"5-2차"</f>
        <v>5-2차</v>
      </c>
      <c r="D14727" s="1" t="str">
        <f>"0127Q6915M"</f>
        <v>0127Q6915M</v>
      </c>
      <c r="E14727" s="1" t="s">
        <v>10</v>
      </c>
      <c r="F14727" s="1" t="str">
        <f>"fde1:103:4:5a6c:0:0:0:2"</f>
        <v>fde1:103:4:5a6c:0:0:0:2</v>
      </c>
      <c r="G14727" s="1" t="str">
        <f>"0127Q691"</f>
        <v>0127Q691</v>
      </c>
      <c r="H14727" s="1" t="str">
        <f>"용문지 24"</f>
        <v>용문지 24</v>
      </c>
      <c r="I14727" s="1" t="s">
        <v>15</v>
      </c>
      <c r="J14727" s="1" t="str">
        <f>"28/29"</f>
        <v>28/29</v>
      </c>
      <c r="K14727" s="1" t="str">
        <f>"2026-07-29 14:20:12"</f>
        <v>2026-07-29 14:20:12</v>
      </c>
      <c r="L14727" s="1" t="str">
        <f>"2023-09-21 15:03:30"</f>
        <v>2023-09-21 15:03:30</v>
      </c>
      <c r="M14727" s="1" t="s">
        <v>4</v>
      </c>
      <c r="N14727" s="1" t="s">
        <v>38</v>
      </c>
      <c r="O14727" s="1" t="s">
        <v>46</v>
      </c>
    </row>
    <row r="14728" spans="2:15" x14ac:dyDescent="0.3">
      <c r="B14728" s="1" t="s">
        <v>19</v>
      </c>
      <c r="C14728" s="1" t="str">
        <f t="shared" si="750"/>
        <v>5-2차</v>
      </c>
      <c r="D14728" s="1" t="str">
        <f>"0127Q6925S"</f>
        <v>0127Q6925S</v>
      </c>
      <c r="E14728" s="1" t="s">
        <v>10</v>
      </c>
      <c r="F14728" s="1" t="str">
        <f>"fde1:103:4:57d2:0:0:0:2"</f>
        <v>fde1:103:4:57d2:0:0:0:2</v>
      </c>
      <c r="G14728" s="1" t="str">
        <f>"0127Q692"</f>
        <v>0127Q692</v>
      </c>
      <c r="H14728" s="1" t="str">
        <f>"용문지 24L2"</f>
        <v>용문지 24L2</v>
      </c>
      <c r="I14728" s="1" t="s">
        <v>15</v>
      </c>
      <c r="J14728" s="1" t="str">
        <f>"78/78"</f>
        <v>78/78</v>
      </c>
      <c r="K14728" s="1" t="str">
        <f>"2026-07-29 14:20:06"</f>
        <v>2026-07-29 14:20:06</v>
      </c>
      <c r="L14728" s="1" t="str">
        <f>"2023-09-21 15:41:10"</f>
        <v>2023-09-21 15:41:10</v>
      </c>
      <c r="M14728" s="1" t="s">
        <v>4</v>
      </c>
      <c r="N14728" s="1" t="s">
        <v>38</v>
      </c>
      <c r="O14728" s="1" t="s">
        <v>46</v>
      </c>
    </row>
    <row r="14729" spans="2:15" x14ac:dyDescent="0.3">
      <c r="B14729" s="1" t="s">
        <v>19</v>
      </c>
      <c r="C14729" s="1" t="str">
        <f t="shared" si="750"/>
        <v>5-2차</v>
      </c>
      <c r="D14729" s="1" t="str">
        <f>"0127Q6935S"</f>
        <v>0127Q6935S</v>
      </c>
      <c r="E14729" s="1" t="s">
        <v>10</v>
      </c>
      <c r="F14729" s="1" t="str">
        <f>"fde1:103:4:575a:0:0:0:2"</f>
        <v>fde1:103:4:575a:0:0:0:2</v>
      </c>
      <c r="G14729" s="1" t="str">
        <f>"0127Q693"</f>
        <v>0127Q693</v>
      </c>
      <c r="H14729" s="1" t="str">
        <f>"용문지 23"</f>
        <v>용문지 23</v>
      </c>
      <c r="I14729" s="1" t="s">
        <v>15</v>
      </c>
      <c r="J14729" s="1" t="str">
        <f>"45/46"</f>
        <v>45/46</v>
      </c>
      <c r="K14729" s="1" t="str">
        <f>"2026-07-29 14:20:06"</f>
        <v>2026-07-29 14:20:06</v>
      </c>
      <c r="L14729" s="1" t="str">
        <f>"2023-09-21 15:41:47"</f>
        <v>2023-09-21 15:41:47</v>
      </c>
      <c r="M14729" s="1" t="s">
        <v>4</v>
      </c>
      <c r="N14729" s="1" t="s">
        <v>38</v>
      </c>
      <c r="O14729" s="1" t="s">
        <v>46</v>
      </c>
    </row>
    <row r="14730" spans="2:15" x14ac:dyDescent="0.3">
      <c r="B14730" s="1" t="s">
        <v>19</v>
      </c>
      <c r="C14730" s="1" t="str">
        <f t="shared" si="750"/>
        <v>5-2차</v>
      </c>
      <c r="D14730" s="1" t="str">
        <f>"0127Q7115M"</f>
        <v>0127Q7115M</v>
      </c>
      <c r="E14730" s="1" t="s">
        <v>10</v>
      </c>
      <c r="F14730" s="1" t="str">
        <f>"fde1:103:4:5a6b:0:0:0:2"</f>
        <v>fde1:103:4:5a6b:0:0:0:2</v>
      </c>
      <c r="G14730" s="1" t="str">
        <f>"0127Q711"</f>
        <v>0127Q711</v>
      </c>
      <c r="H14730" s="1" t="str">
        <f>"용문지 39"</f>
        <v>용문지 39</v>
      </c>
      <c r="I14730" s="1" t="s">
        <v>15</v>
      </c>
      <c r="J14730" s="1" t="str">
        <f>"36/36"</f>
        <v>36/36</v>
      </c>
      <c r="K14730" s="1" t="str">
        <f>"2026-07-29 14:20:07"</f>
        <v>2026-07-29 14:20:07</v>
      </c>
      <c r="L14730" s="1" t="str">
        <f>"2023-09-21 15:42:21"</f>
        <v>2023-09-21 15:42:21</v>
      </c>
      <c r="M14730" s="1" t="s">
        <v>4</v>
      </c>
      <c r="N14730" s="1" t="s">
        <v>38</v>
      </c>
      <c r="O14730" s="1" t="s">
        <v>46</v>
      </c>
    </row>
    <row r="14731" spans="2:15" x14ac:dyDescent="0.3">
      <c r="B14731" s="1" t="s">
        <v>19</v>
      </c>
      <c r="C14731" s="1" t="str">
        <f t="shared" si="750"/>
        <v>5-2차</v>
      </c>
      <c r="D14731" s="1" t="str">
        <f>"0127Q7225M"</f>
        <v>0127Q7225M</v>
      </c>
      <c r="E14731" s="1" t="s">
        <v>10</v>
      </c>
      <c r="F14731" s="1" t="str">
        <f>"fde1:103:4:5888:0:0:0:2"</f>
        <v>fde1:103:4:5888:0:0:0:2</v>
      </c>
      <c r="G14731" s="1" t="str">
        <f>"0127Q722"</f>
        <v>0127Q722</v>
      </c>
      <c r="H14731" s="1" t="str">
        <f>"용문지 37"</f>
        <v>용문지 37</v>
      </c>
      <c r="I14731" s="1" t="s">
        <v>15</v>
      </c>
      <c r="J14731" s="1" t="str">
        <f>"118/118"</f>
        <v>118/118</v>
      </c>
      <c r="K14731" s="1" t="str">
        <f>"2026-07-29 14:20:08"</f>
        <v>2026-07-29 14:20:08</v>
      </c>
      <c r="L14731" s="1" t="str">
        <f>"2023-09-21 15:59:14"</f>
        <v>2023-09-21 15:59:14</v>
      </c>
      <c r="M14731" s="1" t="s">
        <v>4</v>
      </c>
      <c r="N14731" s="1" t="s">
        <v>38</v>
      </c>
      <c r="O14731" s="1" t="s">
        <v>46</v>
      </c>
    </row>
    <row r="14732" spans="2:15" x14ac:dyDescent="0.3">
      <c r="B14732" s="1" t="s">
        <v>19</v>
      </c>
      <c r="C14732" s="1" t="str">
        <f t="shared" si="750"/>
        <v>5-2차</v>
      </c>
      <c r="D14732" s="1" t="str">
        <f>"0127Q7825M"</f>
        <v>0127Q7825M</v>
      </c>
      <c r="E14732" s="1" t="s">
        <v>10</v>
      </c>
      <c r="F14732" s="1" t="str">
        <f>"fde1:103:4:58ac:0:0:0:2"</f>
        <v>fde1:103:4:58ac:0:0:0:2</v>
      </c>
      <c r="G14732" s="1" t="str">
        <f>"0127Q782"</f>
        <v>0127Q782</v>
      </c>
      <c r="H14732" s="1" t="str">
        <f>"용문지 26L2"</f>
        <v>용문지 26L2</v>
      </c>
      <c r="I14732" s="1" t="s">
        <v>15</v>
      </c>
      <c r="J14732" s="1" t="str">
        <f>"28/28"</f>
        <v>28/28</v>
      </c>
      <c r="K14732" s="1" t="str">
        <f>"2026-07-29 14:20:07"</f>
        <v>2026-07-29 14:20:07</v>
      </c>
      <c r="L14732" s="1" t="str">
        <f>"2023-09-21 15:59:56"</f>
        <v>2023-09-21 15:59:56</v>
      </c>
      <c r="M14732" s="1" t="s">
        <v>4</v>
      </c>
      <c r="N14732" s="1" t="s">
        <v>38</v>
      </c>
      <c r="O14732" s="1" t="s">
        <v>46</v>
      </c>
    </row>
    <row r="14733" spans="2:15" x14ac:dyDescent="0.3">
      <c r="B14733" s="1" t="s">
        <v>19</v>
      </c>
      <c r="C14733" s="1" t="str">
        <f t="shared" si="750"/>
        <v>5-2차</v>
      </c>
      <c r="D14733" s="1" t="str">
        <f>"0127Q7835M"</f>
        <v>0127Q7835M</v>
      </c>
      <c r="E14733" s="1" t="s">
        <v>10</v>
      </c>
      <c r="F14733" s="1" t="str">
        <f>"fde1:103:4:574d:0:0:0:2"</f>
        <v>fde1:103:4:574d:0:0:0:2</v>
      </c>
      <c r="G14733" s="1" t="str">
        <f>"0127Q783"</f>
        <v>0127Q783</v>
      </c>
      <c r="H14733" s="1" t="str">
        <f>"용문지 25L1"</f>
        <v>용문지 25L1</v>
      </c>
      <c r="I14733" s="1" t="s">
        <v>15</v>
      </c>
      <c r="J14733" s="1" t="str">
        <f>"63/63"</f>
        <v>63/63</v>
      </c>
      <c r="K14733" s="1" t="str">
        <f>"2026-07-29 08:20:45"</f>
        <v>2026-07-29 08:20:45</v>
      </c>
      <c r="L14733" s="1" t="str">
        <f>"2023-09-21 16:02:11"</f>
        <v>2023-09-21 16:02:11</v>
      </c>
      <c r="M14733" s="1" t="s">
        <v>4</v>
      </c>
      <c r="N14733" s="1" t="s">
        <v>38</v>
      </c>
      <c r="O14733" s="1" t="s">
        <v>46</v>
      </c>
    </row>
    <row r="14734" spans="2:15" x14ac:dyDescent="0.3">
      <c r="B14734" s="1" t="s">
        <v>19</v>
      </c>
      <c r="C14734" s="1" t="str">
        <f t="shared" si="750"/>
        <v>5-2차</v>
      </c>
      <c r="D14734" s="1" t="str">
        <f>"0127Q7915S"</f>
        <v>0127Q7915S</v>
      </c>
      <c r="E14734" s="1" t="s">
        <v>10</v>
      </c>
      <c r="F14734" s="1" t="str">
        <f>"fde1:103:4:58a6:0:0:0:2"</f>
        <v>fde1:103:4:58a6:0:0:0:2</v>
      </c>
      <c r="G14734" s="1" t="str">
        <f>"0127Q791"</f>
        <v>0127Q791</v>
      </c>
      <c r="H14734" s="1" t="str">
        <f>"용문지 25L2"</f>
        <v>용문지 25L2</v>
      </c>
      <c r="I14734" s="1" t="s">
        <v>15</v>
      </c>
      <c r="J14734" s="1" t="str">
        <f>"41/41"</f>
        <v>41/41</v>
      </c>
      <c r="K14734" s="1" t="str">
        <f>"2026-07-29 14:20:07"</f>
        <v>2026-07-29 14:20:07</v>
      </c>
      <c r="L14734" s="1" t="str">
        <f>"2023-09-21 16:21:21"</f>
        <v>2023-09-21 16:21:21</v>
      </c>
      <c r="M14734" s="1" t="s">
        <v>4</v>
      </c>
      <c r="N14734" s="1" t="s">
        <v>38</v>
      </c>
      <c r="O14734" s="1" t="s">
        <v>46</v>
      </c>
    </row>
    <row r="14735" spans="2:15" x14ac:dyDescent="0.3">
      <c r="B14735" s="1" t="s">
        <v>19</v>
      </c>
      <c r="C14735" s="1" t="str">
        <f t="shared" si="750"/>
        <v>5-2차</v>
      </c>
      <c r="D14735" s="1" t="str">
        <f>"0127Q7925S"</f>
        <v>0127Q7925S</v>
      </c>
      <c r="E14735" s="1" t="s">
        <v>10</v>
      </c>
      <c r="F14735" s="1" t="str">
        <f>"fde1:103:4:572a:0:0:0:2"</f>
        <v>fde1:103:4:572a:0:0:0:2</v>
      </c>
      <c r="G14735" s="1" t="str">
        <f>"0127Q792"</f>
        <v>0127Q792</v>
      </c>
      <c r="H14735" s="1" t="str">
        <f>"용문지 24L3"</f>
        <v>용문지 24L3</v>
      </c>
      <c r="I14735" s="1" t="s">
        <v>15</v>
      </c>
      <c r="J14735" s="1" t="str">
        <f>"101/101"</f>
        <v>101/101</v>
      </c>
      <c r="K14735" s="1" t="str">
        <f>"2026-07-29 14:20:07"</f>
        <v>2026-07-29 14:20:07</v>
      </c>
      <c r="L14735" s="1" t="str">
        <f>"2023-09-21 16:36:01"</f>
        <v>2023-09-21 16:36:01</v>
      </c>
      <c r="M14735" s="1" t="s">
        <v>4</v>
      </c>
      <c r="N14735" s="1" t="s">
        <v>38</v>
      </c>
      <c r="O14735" s="1" t="s">
        <v>46</v>
      </c>
    </row>
    <row r="14736" spans="2:15" x14ac:dyDescent="0.3">
      <c r="B14736" s="1" t="s">
        <v>19</v>
      </c>
      <c r="C14736" s="1" t="str">
        <f t="shared" si="750"/>
        <v>5-2차</v>
      </c>
      <c r="D14736" s="1" t="str">
        <f>"0127Q8015M"</f>
        <v>0127Q8015M</v>
      </c>
      <c r="E14736" s="1" t="s">
        <v>10</v>
      </c>
      <c r="F14736" s="1" t="str">
        <f>"fde1:103:4:57df:0:0:0:2"</f>
        <v>fde1:103:4:57df:0:0:0:2</v>
      </c>
      <c r="G14736" s="1" t="str">
        <f>"0127Q801"</f>
        <v>0127Q801</v>
      </c>
      <c r="H14736" s="1" t="str">
        <f>"용문지 40L2"</f>
        <v>용문지 40L2</v>
      </c>
      <c r="I14736" s="1" t="s">
        <v>15</v>
      </c>
      <c r="J14736" s="1" t="str">
        <f>"76/78"</f>
        <v>76/78</v>
      </c>
      <c r="K14736" s="1" t="str">
        <f>"2026-07-29 14:20:00"</f>
        <v>2026-07-29 14:20:00</v>
      </c>
      <c r="L14736" s="1" t="str">
        <f>"2023-09-21 16:36:30"</f>
        <v>2023-09-21 16:36:30</v>
      </c>
      <c r="M14736" s="1" t="s">
        <v>4</v>
      </c>
      <c r="N14736" s="1" t="s">
        <v>38</v>
      </c>
      <c r="O14736" s="1" t="s">
        <v>46</v>
      </c>
    </row>
    <row r="14737" spans="2:15" x14ac:dyDescent="0.3">
      <c r="B14737" s="1" t="s">
        <v>19</v>
      </c>
      <c r="C14737" s="1" t="str">
        <f t="shared" si="750"/>
        <v>5-2차</v>
      </c>
      <c r="D14737" s="1" t="str">
        <f>"0127Q8115M"</f>
        <v>0127Q8115M</v>
      </c>
      <c r="E14737" s="1" t="s">
        <v>10</v>
      </c>
      <c r="F14737" s="1" t="str">
        <f>"fde1:103:4:583d:0:0:0:2"</f>
        <v>fde1:103:4:583d:0:0:0:2</v>
      </c>
      <c r="G14737" s="1" t="str">
        <f>"0127Q811"</f>
        <v>0127Q811</v>
      </c>
      <c r="H14737" s="1" t="str">
        <f>"용문지 37L2R2"</f>
        <v>용문지 37L2R2</v>
      </c>
      <c r="I14737" s="1" t="s">
        <v>15</v>
      </c>
      <c r="J14737" s="1" t="str">
        <f>"54/54"</f>
        <v>54/54</v>
      </c>
      <c r="K14737" s="1" t="str">
        <f>"2026-07-29 14:20:08"</f>
        <v>2026-07-29 14:20:08</v>
      </c>
      <c r="L14737" s="1" t="str">
        <f>"2023-09-21 16:37:05"</f>
        <v>2023-09-21 16:37:05</v>
      </c>
      <c r="M14737" s="1" t="s">
        <v>4</v>
      </c>
      <c r="N14737" s="1" t="s">
        <v>38</v>
      </c>
      <c r="O14737" s="1" t="s">
        <v>46</v>
      </c>
    </row>
    <row r="14738" spans="2:15" x14ac:dyDescent="0.3">
      <c r="B14738" s="1" t="s">
        <v>19</v>
      </c>
      <c r="C14738" s="1" t="str">
        <f t="shared" si="750"/>
        <v>5-2차</v>
      </c>
      <c r="D14738" s="1" t="str">
        <f>"0127Q8315S"</f>
        <v>0127Q8315S</v>
      </c>
      <c r="E14738" s="1" t="s">
        <v>10</v>
      </c>
      <c r="F14738" s="1" t="str">
        <f>"fde1:103:4:5942:0:0:0:2"</f>
        <v>fde1:103:4:5942:0:0:0:2</v>
      </c>
      <c r="G14738" s="1" t="str">
        <f>"0127Q831"</f>
        <v>0127Q831</v>
      </c>
      <c r="H14738" s="1" t="str">
        <f>"용문지 37L4"</f>
        <v>용문지 37L4</v>
      </c>
      <c r="I14738" s="1" t="s">
        <v>15</v>
      </c>
      <c r="J14738" s="1" t="str">
        <f>"85/85"</f>
        <v>85/85</v>
      </c>
      <c r="K14738" s="1" t="str">
        <f>"2026-07-29 14:20:08"</f>
        <v>2026-07-29 14:20:08</v>
      </c>
      <c r="L14738" s="1" t="str">
        <f>"2023-09-21 16:49:46"</f>
        <v>2023-09-21 16:49:46</v>
      </c>
      <c r="M14738" s="1" t="s">
        <v>4</v>
      </c>
      <c r="N14738" s="1" t="s">
        <v>38</v>
      </c>
      <c r="O14738" s="1" t="s">
        <v>46</v>
      </c>
    </row>
    <row r="14739" spans="2:15" x14ac:dyDescent="0.3">
      <c r="B14739" s="1" t="s">
        <v>19</v>
      </c>
      <c r="C14739" s="1" t="str">
        <f t="shared" si="750"/>
        <v>5-2차</v>
      </c>
      <c r="D14739" s="1" t="str">
        <f>"0127Q8325S"</f>
        <v>0127Q8325S</v>
      </c>
      <c r="E14739" s="1" t="s">
        <v>10</v>
      </c>
      <c r="F14739" s="1" t="str">
        <f>"fde1:103:4:5750:0:0:0:2"</f>
        <v>fde1:103:4:5750:0:0:0:2</v>
      </c>
      <c r="G14739" s="1" t="str">
        <f>"0127Q832"</f>
        <v>0127Q832</v>
      </c>
      <c r="H14739" s="1" t="str">
        <f>"용문지 37L2"</f>
        <v>용문지 37L2</v>
      </c>
      <c r="I14739" s="1" t="s">
        <v>15</v>
      </c>
      <c r="J14739" s="1" t="str">
        <f>"115/115"</f>
        <v>115/115</v>
      </c>
      <c r="K14739" s="1" t="str">
        <f>"2026-07-29 14:20:08"</f>
        <v>2026-07-29 14:20:08</v>
      </c>
      <c r="L14739" s="1" t="str">
        <f>"2023-09-21 16:50:35"</f>
        <v>2023-09-21 16:50:35</v>
      </c>
      <c r="M14739" s="1" t="s">
        <v>4</v>
      </c>
      <c r="N14739" s="1" t="s">
        <v>38</v>
      </c>
      <c r="O14739" s="1" t="s">
        <v>46</v>
      </c>
    </row>
    <row r="14740" spans="2:15" x14ac:dyDescent="0.3">
      <c r="B14740" s="1" t="s">
        <v>19</v>
      </c>
      <c r="C14740" s="1" t="str">
        <f t="shared" si="750"/>
        <v>5-2차</v>
      </c>
      <c r="D14740" s="1" t="str">
        <f>"0127Q8615M"</f>
        <v>0127Q8615M</v>
      </c>
      <c r="E14740" s="1" t="s">
        <v>10</v>
      </c>
      <c r="F14740" s="1" t="str">
        <f>"fde1:103:4:571a:0:0:0:2"</f>
        <v>fde1:103:4:571a:0:0:0:2</v>
      </c>
      <c r="G14740" s="1" t="str">
        <f>"0127Q861"</f>
        <v>0127Q861</v>
      </c>
      <c r="H14740" s="1" t="str">
        <f>"용문지 26L5R4R3"</f>
        <v>용문지 26L5R4R3</v>
      </c>
      <c r="I14740" s="1" t="s">
        <v>15</v>
      </c>
      <c r="J14740" s="1" t="str">
        <f>"108/108"</f>
        <v>108/108</v>
      </c>
      <c r="K14740" s="1" t="str">
        <f>"2026-07-29 14:20:38"</f>
        <v>2026-07-29 14:20:38</v>
      </c>
      <c r="L14740" s="1" t="str">
        <f>"2023-09-21 16:51:17"</f>
        <v>2023-09-21 16:51:17</v>
      </c>
      <c r="M14740" s="1" t="s">
        <v>4</v>
      </c>
      <c r="N14740" s="1" t="s">
        <v>38</v>
      </c>
      <c r="O14740" s="1" t="s">
        <v>46</v>
      </c>
    </row>
    <row r="14741" spans="2:15" x14ac:dyDescent="0.3">
      <c r="B14741" s="1" t="s">
        <v>19</v>
      </c>
      <c r="C14741" s="1" t="str">
        <f t="shared" si="750"/>
        <v>5-2차</v>
      </c>
      <c r="D14741" s="1" t="str">
        <f>"0127Q8815M"</f>
        <v>0127Q8815M</v>
      </c>
      <c r="E14741" s="1" t="s">
        <v>10</v>
      </c>
      <c r="F14741" s="1" t="str">
        <f>"fde1:103:4:5855:0:0:0:2"</f>
        <v>fde1:103:4:5855:0:0:0:2</v>
      </c>
      <c r="G14741" s="1" t="str">
        <f>"0127Q881"</f>
        <v>0127Q881</v>
      </c>
      <c r="H14741" s="1" t="str">
        <f>"용문지 26L3"</f>
        <v>용문지 26L3</v>
      </c>
      <c r="I14741" s="1" t="s">
        <v>15</v>
      </c>
      <c r="J14741" s="1" t="str">
        <f>"40/40"</f>
        <v>40/40</v>
      </c>
      <c r="K14741" s="1" t="str">
        <f>"2026-07-29 14:20:36"</f>
        <v>2026-07-29 14:20:36</v>
      </c>
      <c r="L14741" s="1" t="str">
        <f>"2023-09-21 17:08:28"</f>
        <v>2023-09-21 17:08:28</v>
      </c>
      <c r="M14741" s="1" t="s">
        <v>4</v>
      </c>
      <c r="N14741" s="1" t="s">
        <v>38</v>
      </c>
      <c r="O14741" s="1" t="s">
        <v>46</v>
      </c>
    </row>
    <row r="14742" spans="2:15" x14ac:dyDescent="0.3">
      <c r="B14742" s="1" t="s">
        <v>19</v>
      </c>
      <c r="C14742" s="1" t="str">
        <f t="shared" si="750"/>
        <v>5-2차</v>
      </c>
      <c r="D14742" s="1" t="str">
        <f>"0127Q8915M"</f>
        <v>0127Q8915M</v>
      </c>
      <c r="E14742" s="1" t="s">
        <v>10</v>
      </c>
      <c r="F14742" s="1" t="str">
        <f>"fde1:103:4:593a:0:0:0:2"</f>
        <v>fde1:103:4:593a:0:0:0:2</v>
      </c>
      <c r="G14742" s="1" t="str">
        <f>"0127Q891"</f>
        <v>0127Q891</v>
      </c>
      <c r="H14742" s="1" t="str">
        <f>"용문지 25L3"</f>
        <v>용문지 25L3</v>
      </c>
      <c r="I14742" s="1" t="s">
        <v>15</v>
      </c>
      <c r="J14742" s="1" t="str">
        <f>"70/70"</f>
        <v>70/70</v>
      </c>
      <c r="K14742" s="1" t="str">
        <f>"2026-07-29 14:20:08"</f>
        <v>2026-07-29 14:20:08</v>
      </c>
      <c r="L14742" s="1" t="str">
        <f>"2023-09-21 17:08:59"</f>
        <v>2023-09-21 17:08:59</v>
      </c>
      <c r="M14742" s="1" t="s">
        <v>4</v>
      </c>
      <c r="N14742" s="1" t="s">
        <v>38</v>
      </c>
      <c r="O14742" s="1" t="s">
        <v>46</v>
      </c>
    </row>
    <row r="14743" spans="2:15" x14ac:dyDescent="0.3">
      <c r="B14743" s="1" t="s">
        <v>19</v>
      </c>
      <c r="C14743" s="1" t="str">
        <f t="shared" si="750"/>
        <v>5-2차</v>
      </c>
      <c r="D14743" s="1" t="str">
        <f>"0127Q9015M"</f>
        <v>0127Q9015M</v>
      </c>
      <c r="E14743" s="1" t="s">
        <v>10</v>
      </c>
      <c r="F14743" s="1" t="str">
        <f>"fde1:103:4:574a:0:0:0:2"</f>
        <v>fde1:103:4:574a:0:0:0:2</v>
      </c>
      <c r="G14743" s="1" t="str">
        <f>"0127Q901"</f>
        <v>0127Q901</v>
      </c>
      <c r="H14743" s="1" t="str">
        <f>"용문지 40L4"</f>
        <v>용문지 40L4</v>
      </c>
      <c r="I14743" s="1" t="s">
        <v>15</v>
      </c>
      <c r="J14743" s="1" t="str">
        <f>"127/133"</f>
        <v>127/133</v>
      </c>
      <c r="K14743" s="1" t="str">
        <f>"2026-07-29 14:20:20"</f>
        <v>2026-07-29 14:20:20</v>
      </c>
      <c r="L14743" s="1" t="str">
        <f>"2023-09-21 17:09:28"</f>
        <v>2023-09-21 17:09:28</v>
      </c>
      <c r="M14743" s="1" t="s">
        <v>4</v>
      </c>
      <c r="N14743" s="1" t="s">
        <v>38</v>
      </c>
      <c r="O14743" s="1" t="s">
        <v>46</v>
      </c>
    </row>
    <row r="14744" spans="2:15" x14ac:dyDescent="0.3">
      <c r="B14744" s="1" t="s">
        <v>19</v>
      </c>
      <c r="C14744" s="1" t="str">
        <f>"4차"</f>
        <v>4차</v>
      </c>
      <c r="D14744" s="1" t="str">
        <f>"0127Q90241"</f>
        <v>0127Q90241</v>
      </c>
      <c r="E14744" s="1" t="s">
        <v>10</v>
      </c>
      <c r="F14744" s="1" t="str">
        <f>"10.12.137.241"</f>
        <v>10.12.137.241</v>
      </c>
      <c r="G14744" s="1" t="str">
        <f>"0127Q902"</f>
        <v>0127Q902</v>
      </c>
      <c r="H14744" s="1" t="str">
        <f>"용문지 40L3"</f>
        <v>용문지 40L3</v>
      </c>
      <c r="I14744" s="1" t="s">
        <v>17</v>
      </c>
      <c r="J14744" s="1" t="str">
        <f>"27/27"</f>
        <v>27/27</v>
      </c>
      <c r="K14744" s="1" t="str">
        <f>"2026-07-29 13:18:02"</f>
        <v>2026-07-29 13:18:02</v>
      </c>
      <c r="L14744" s="1" t="str">
        <f>"2021-08-30 07:52:30"</f>
        <v>2021-08-30 07:52:30</v>
      </c>
      <c r="M14744" s="1" t="s">
        <v>0</v>
      </c>
      <c r="N14744" s="1" t="s">
        <v>38</v>
      </c>
      <c r="O14744" s="1" t="s">
        <v>46</v>
      </c>
    </row>
    <row r="14745" spans="2:15" x14ac:dyDescent="0.3">
      <c r="B14745" s="1" t="s">
        <v>19</v>
      </c>
      <c r="C14745" s="1" t="str">
        <f>"5-1차"</f>
        <v>5-1차</v>
      </c>
      <c r="D14745" s="1" t="str">
        <f>"0127Q9315S"</f>
        <v>0127Q9315S</v>
      </c>
      <c r="E14745" s="1" t="s">
        <v>10</v>
      </c>
      <c r="F14745" s="1" t="str">
        <f>"fde2:104:0:74:0:0:0:2"</f>
        <v>fde2:104:0:74:0:0:0:2</v>
      </c>
      <c r="G14745" s="1" t="str">
        <f>"0127Q931"</f>
        <v>0127Q931</v>
      </c>
      <c r="H14745" s="1" t="str">
        <f>"용문지 37L8"</f>
        <v>용문지 37L8</v>
      </c>
      <c r="I14745" s="1" t="s">
        <v>15</v>
      </c>
      <c r="J14745" s="1" t="str">
        <f>"53/53"</f>
        <v>53/53</v>
      </c>
      <c r="K14745" s="1" t="str">
        <f>"2026-07-29 14:20:08"</f>
        <v>2026-07-29 14:20:08</v>
      </c>
      <c r="L14745" s="1" t="str">
        <f>"2022-08-23 11:01:46"</f>
        <v>2022-08-23 11:01:46</v>
      </c>
      <c r="M14745" s="1" t="s">
        <v>42</v>
      </c>
      <c r="N14745" s="1" t="s">
        <v>38</v>
      </c>
      <c r="O14745" s="1" t="s">
        <v>46</v>
      </c>
    </row>
    <row r="14746" spans="2:15" x14ac:dyDescent="0.3">
      <c r="B14746" s="1" t="s">
        <v>19</v>
      </c>
      <c r="C14746" s="1" t="str">
        <f>"5-2차"</f>
        <v>5-2차</v>
      </c>
      <c r="D14746" s="1" t="str">
        <f>"0127Q9325M"</f>
        <v>0127Q9325M</v>
      </c>
      <c r="E14746" s="1" t="s">
        <v>10</v>
      </c>
      <c r="F14746" s="1" t="str">
        <f>"fde1:103:4:57a1:0:0:0:2"</f>
        <v>fde1:103:4:57a1:0:0:0:2</v>
      </c>
      <c r="G14746" s="1" t="str">
        <f>"0127Q932"</f>
        <v>0127Q932</v>
      </c>
      <c r="H14746" s="1" t="str">
        <f>"용문지 37L5"</f>
        <v>용문지 37L5</v>
      </c>
      <c r="I14746" s="1" t="s">
        <v>15</v>
      </c>
      <c r="J14746" s="1" t="str">
        <f>"108/108"</f>
        <v>108/108</v>
      </c>
      <c r="K14746" s="1" t="str">
        <f>"2026-07-29 14:20:36"</f>
        <v>2026-07-29 14:20:36</v>
      </c>
      <c r="L14746" s="1" t="str">
        <f>"2023-09-21 17:21:22"</f>
        <v>2023-09-21 17:21:22</v>
      </c>
      <c r="M14746" s="1" t="s">
        <v>4</v>
      </c>
      <c r="N14746" s="1" t="s">
        <v>38</v>
      </c>
      <c r="O14746" s="1" t="s">
        <v>46</v>
      </c>
    </row>
    <row r="14747" spans="2:15" x14ac:dyDescent="0.3">
      <c r="B14747" s="1" t="s">
        <v>19</v>
      </c>
      <c r="C14747" s="1" t="str">
        <f>"5-2차"</f>
        <v>5-2차</v>
      </c>
      <c r="D14747" s="1" t="str">
        <f>"0127Q9715S"</f>
        <v>0127Q9715S</v>
      </c>
      <c r="E14747" s="1" t="s">
        <v>10</v>
      </c>
      <c r="F14747" s="1" t="str">
        <f>"fde1:103:4:570a:0:0:0:2"</f>
        <v>fde1:103:4:570a:0:0:0:2</v>
      </c>
      <c r="G14747" s="1" t="str">
        <f>"0127Q971"</f>
        <v>0127Q971</v>
      </c>
      <c r="H14747" s="1" t="str">
        <f>"용문지 26L5R2"</f>
        <v>용문지 26L5R2</v>
      </c>
      <c r="I14747" s="1" t="s">
        <v>15</v>
      </c>
      <c r="J14747" s="1" t="str">
        <f>"49/49"</f>
        <v>49/49</v>
      </c>
      <c r="K14747" s="1" t="str">
        <f>"2026-07-29 14:20:36"</f>
        <v>2026-07-29 14:20:36</v>
      </c>
      <c r="L14747" s="1" t="str">
        <f>"2023-09-22 09:27:54"</f>
        <v>2023-09-22 09:27:54</v>
      </c>
      <c r="M14747" s="1" t="s">
        <v>4</v>
      </c>
      <c r="N14747" s="1" t="s">
        <v>38</v>
      </c>
      <c r="O14747" s="1" t="s">
        <v>46</v>
      </c>
    </row>
    <row r="14748" spans="2:15" x14ac:dyDescent="0.3">
      <c r="B14748" s="1" t="s">
        <v>19</v>
      </c>
      <c r="C14748" s="1" t="str">
        <f>"5-2차"</f>
        <v>5-2차</v>
      </c>
      <c r="D14748" s="1" t="str">
        <f>"0127Q9745M"</f>
        <v>0127Q9745M</v>
      </c>
      <c r="E14748" s="1" t="s">
        <v>10</v>
      </c>
      <c r="F14748" s="1" t="str">
        <f>"fde1:103:4:5704:0:0:0:2"</f>
        <v>fde1:103:4:5704:0:0:0:2</v>
      </c>
      <c r="G14748" s="1" t="str">
        <f>"0127Q974"</f>
        <v>0127Q974</v>
      </c>
      <c r="H14748" s="1" t="str">
        <f>"용문지 26L5R4"</f>
        <v>용문지 26L5R4</v>
      </c>
      <c r="I14748" s="1" t="s">
        <v>15</v>
      </c>
      <c r="J14748" s="1" t="str">
        <f>"62/62"</f>
        <v>62/62</v>
      </c>
      <c r="K14748" s="1" t="str">
        <f>"2026-07-29 14:20:36"</f>
        <v>2026-07-29 14:20:36</v>
      </c>
      <c r="L14748" s="1" t="str">
        <f>"2023-09-22 09:30:24"</f>
        <v>2023-09-22 09:30:24</v>
      </c>
      <c r="M14748" s="1" t="s">
        <v>4</v>
      </c>
      <c r="N14748" s="1" t="s">
        <v>38</v>
      </c>
      <c r="O14748" s="1" t="s">
        <v>46</v>
      </c>
    </row>
    <row r="14749" spans="2:15" x14ac:dyDescent="0.3">
      <c r="B14749" s="1" t="s">
        <v>19</v>
      </c>
      <c r="C14749" s="1" t="str">
        <f>"5-2차"</f>
        <v>5-2차</v>
      </c>
      <c r="D14749" s="1" t="str">
        <f>"0127Q9915M"</f>
        <v>0127Q9915M</v>
      </c>
      <c r="E14749" s="1" t="s">
        <v>10</v>
      </c>
      <c r="F14749" s="1" t="str">
        <f>"fde1:103:4:57b2:0:0:0:2"</f>
        <v>fde1:103:4:57b2:0:0:0:2</v>
      </c>
      <c r="G14749" s="1" t="str">
        <f>"0127Q991"</f>
        <v>0127Q991</v>
      </c>
      <c r="H14749" s="1" t="str">
        <f>"용문지 26L6"</f>
        <v>용문지 26L6</v>
      </c>
      <c r="I14749" s="1" t="s">
        <v>15</v>
      </c>
      <c r="J14749" s="1" t="str">
        <f>"118/118"</f>
        <v>118/118</v>
      </c>
      <c r="K14749" s="1" t="str">
        <f>"2026-07-29 14:20:36"</f>
        <v>2026-07-29 14:20:36</v>
      </c>
      <c r="L14749" s="1" t="str">
        <f>"2023-09-22 09:43:51"</f>
        <v>2023-09-22 09:43:51</v>
      </c>
      <c r="M14749" s="1" t="s">
        <v>4</v>
      </c>
      <c r="N14749" s="1" t="s">
        <v>38</v>
      </c>
      <c r="O14749" s="1" t="s">
        <v>46</v>
      </c>
    </row>
    <row r="14750" spans="2:15" x14ac:dyDescent="0.3">
      <c r="B14750" s="1" t="s">
        <v>19</v>
      </c>
      <c r="C14750" s="1" t="str">
        <f>"4차"</f>
        <v>4차</v>
      </c>
      <c r="D14750" s="1" t="str">
        <f>"0127R94141"</f>
        <v>0127R94141</v>
      </c>
      <c r="E14750" s="1" t="s">
        <v>10</v>
      </c>
      <c r="F14750" s="1" t="str">
        <f>"10.14.2.36"</f>
        <v>10.14.2.36</v>
      </c>
      <c r="G14750" s="1" t="str">
        <f>"0127R941"</f>
        <v>0127R941</v>
      </c>
      <c r="H14750" s="1" t="str">
        <f>"보문지 39R14R2"</f>
        <v>보문지 39R14R2</v>
      </c>
      <c r="I14750" s="1" t="s">
        <v>17</v>
      </c>
      <c r="J14750" s="1" t="str">
        <f>"14/18"</f>
        <v>14/18</v>
      </c>
      <c r="K14750" s="1" t="str">
        <f>"2026-07-29 13:18:02"</f>
        <v>2026-07-29 13:18:02</v>
      </c>
      <c r="L14750" s="1" t="str">
        <f>"2021-10-15 12:14:27"</f>
        <v>2021-10-15 12:14:27</v>
      </c>
      <c r="M14750" s="1" t="s">
        <v>3</v>
      </c>
      <c r="N14750" s="1" t="s">
        <v>38</v>
      </c>
      <c r="O14750" s="1" t="s">
        <v>46</v>
      </c>
    </row>
    <row r="14751" spans="2:15" x14ac:dyDescent="0.3">
      <c r="B14751" s="1" t="s">
        <v>19</v>
      </c>
      <c r="C14751" s="1" t="str">
        <f>"5-2차"</f>
        <v>5-2차</v>
      </c>
      <c r="D14751" s="1" t="str">
        <f>"0127S0815M"</f>
        <v>0127S0815M</v>
      </c>
      <c r="E14751" s="1" t="s">
        <v>10</v>
      </c>
      <c r="F14751" s="1" t="str">
        <f>"fde1:103:4:587a:0:0:0:2"</f>
        <v>fde1:103:4:587a:0:0:0:2</v>
      </c>
      <c r="G14751" s="1" t="str">
        <f>"0127S081"</f>
        <v>0127S081</v>
      </c>
      <c r="H14751" s="1" t="str">
        <f>"보문지 46R2"</f>
        <v>보문지 46R2</v>
      </c>
      <c r="I14751" s="1" t="s">
        <v>15</v>
      </c>
      <c r="J14751" s="1" t="str">
        <f>"47/47"</f>
        <v>47/47</v>
      </c>
      <c r="K14751" s="1" t="str">
        <f>"2026-07-29 14:20:37"</f>
        <v>2026-07-29 14:20:37</v>
      </c>
      <c r="L14751" s="1" t="str">
        <f>"2023-09-22 09:44:48"</f>
        <v>2023-09-22 09:44:48</v>
      </c>
      <c r="M14751" s="1" t="s">
        <v>4</v>
      </c>
      <c r="N14751" s="1" t="s">
        <v>38</v>
      </c>
      <c r="O14751" s="1" t="s">
        <v>46</v>
      </c>
    </row>
    <row r="14752" spans="2:15" x14ac:dyDescent="0.3">
      <c r="B14752" s="1" t="s">
        <v>19</v>
      </c>
      <c r="C14752" s="1" t="str">
        <f>"5-2차"</f>
        <v>5-2차</v>
      </c>
      <c r="D14752" s="1" t="str">
        <f>"0127S0945S"</f>
        <v>0127S0945S</v>
      </c>
      <c r="E14752" s="1" t="s">
        <v>10</v>
      </c>
      <c r="F14752" s="1" t="str">
        <f>"fde3:102:1410:6300:0:0:0:4"</f>
        <v>fde3:102:1410:6300:0:0:0:4</v>
      </c>
      <c r="G14752" s="1" t="str">
        <f>"0127S094"</f>
        <v>0127S094</v>
      </c>
      <c r="H14752" s="1" t="str">
        <f>"보문지 39R8L1"</f>
        <v>보문지 39R8L1</v>
      </c>
      <c r="I14752" s="1" t="s">
        <v>15</v>
      </c>
      <c r="J14752" s="1" t="str">
        <f>"41/41"</f>
        <v>41/41</v>
      </c>
      <c r="K14752" s="1" t="str">
        <f>"2026-07-29 14:20:45"</f>
        <v>2026-07-29 14:20:45</v>
      </c>
      <c r="L14752" s="1" t="str">
        <f>"2023-08-09 10:18:33"</f>
        <v>2023-08-09 10:18:33</v>
      </c>
      <c r="M14752" s="1" t="s">
        <v>45</v>
      </c>
      <c r="N14752" s="1" t="s">
        <v>38</v>
      </c>
      <c r="O14752" s="1" t="s">
        <v>46</v>
      </c>
    </row>
    <row r="14753" spans="2:15" x14ac:dyDescent="0.3">
      <c r="B14753" s="1" t="s">
        <v>19</v>
      </c>
      <c r="C14753" s="1" t="str">
        <f>"4차"</f>
        <v>4차</v>
      </c>
      <c r="D14753" s="1" t="str">
        <f>"0127S17141"</f>
        <v>0127S17141</v>
      </c>
      <c r="E14753" s="1" t="s">
        <v>10</v>
      </c>
      <c r="F14753" s="1" t="str">
        <f>"10.14.10.13"</f>
        <v>10.14.10.13</v>
      </c>
      <c r="G14753" s="1" t="str">
        <f>"0127S171"</f>
        <v>0127S171</v>
      </c>
      <c r="H14753" s="1" t="str">
        <f>"보문지 46R1"</f>
        <v>보문지 46R1</v>
      </c>
      <c r="I14753" s="1" t="s">
        <v>17</v>
      </c>
      <c r="J14753" s="1" t="str">
        <f>"46/52"</f>
        <v>46/52</v>
      </c>
      <c r="K14753" s="1" t="str">
        <f>"2026-07-29 13:18:01"</f>
        <v>2026-07-29 13:18:01</v>
      </c>
      <c r="L14753" s="1" t="str">
        <f>"2021-10-15 10:37:09"</f>
        <v>2021-10-15 10:37:09</v>
      </c>
      <c r="M14753" s="1" t="s">
        <v>3</v>
      </c>
      <c r="N14753" s="1" t="s">
        <v>38</v>
      </c>
      <c r="O14753" s="1" t="s">
        <v>46</v>
      </c>
    </row>
    <row r="14754" spans="2:15" x14ac:dyDescent="0.3">
      <c r="B14754" s="1" t="s">
        <v>19</v>
      </c>
      <c r="C14754" s="1" t="str">
        <f>"5-2차"</f>
        <v>5-2차</v>
      </c>
      <c r="D14754" s="1" t="str">
        <f>"0127S1915S"</f>
        <v>0127S1915S</v>
      </c>
      <c r="E14754" s="1" t="s">
        <v>10</v>
      </c>
      <c r="F14754" s="1" t="str">
        <f>"fde1:103:4:5728:0:0:0:2"</f>
        <v>fde1:103:4:5728:0:0:0:2</v>
      </c>
      <c r="G14754" s="1" t="str">
        <f>"0127S191"</f>
        <v>0127S191</v>
      </c>
      <c r="H14754" s="1" t="str">
        <f>"보문지 44"</f>
        <v>보문지 44</v>
      </c>
      <c r="I14754" s="1" t="s">
        <v>15</v>
      </c>
      <c r="J14754" s="1" t="str">
        <f>"90/90"</f>
        <v>90/90</v>
      </c>
      <c r="K14754" s="1" t="str">
        <f>"2026-07-29 14:20:37"</f>
        <v>2026-07-29 14:20:37</v>
      </c>
      <c r="L14754" s="1" t="str">
        <f>"2023-09-22 10:05:26"</f>
        <v>2023-09-22 10:05:26</v>
      </c>
      <c r="M14754" s="1" t="s">
        <v>4</v>
      </c>
      <c r="N14754" s="1" t="s">
        <v>38</v>
      </c>
      <c r="O14754" s="1" t="s">
        <v>46</v>
      </c>
    </row>
    <row r="14755" spans="2:15" x14ac:dyDescent="0.3">
      <c r="B14755" s="1" t="s">
        <v>19</v>
      </c>
      <c r="C14755" s="1" t="str">
        <f>"5-2차"</f>
        <v>5-2차</v>
      </c>
      <c r="D14755" s="1" t="str">
        <f>"0127S1925M"</f>
        <v>0127S1925M</v>
      </c>
      <c r="E14755" s="1" t="s">
        <v>10</v>
      </c>
      <c r="F14755" s="1" t="str">
        <f>"fde1:103:4:57f3:0:0:0:2"</f>
        <v>fde1:103:4:57f3:0:0:0:2</v>
      </c>
      <c r="G14755" s="1" t="str">
        <f>"0127S192"</f>
        <v>0127S192</v>
      </c>
      <c r="H14755" s="1" t="str">
        <f>"보문지 43"</f>
        <v>보문지 43</v>
      </c>
      <c r="I14755" s="1" t="s">
        <v>15</v>
      </c>
      <c r="J14755" s="1" t="str">
        <f>"30/30"</f>
        <v>30/30</v>
      </c>
      <c r="K14755" s="1" t="str">
        <f>"2026-07-29 14:20:14"</f>
        <v>2026-07-29 14:20:14</v>
      </c>
      <c r="L14755" s="1" t="str">
        <f>"2023-09-22 10:06:12"</f>
        <v>2023-09-22 10:06:12</v>
      </c>
      <c r="M14755" s="1" t="s">
        <v>4</v>
      </c>
      <c r="N14755" s="1" t="s">
        <v>38</v>
      </c>
      <c r="O14755" s="1" t="s">
        <v>46</v>
      </c>
    </row>
    <row r="14756" spans="2:15" x14ac:dyDescent="0.3">
      <c r="B14756" s="1" t="s">
        <v>19</v>
      </c>
      <c r="C14756" s="1" t="str">
        <f>"5-1차"</f>
        <v>5-1차</v>
      </c>
      <c r="D14756" s="1" t="str">
        <f>"0127S2315S"</f>
        <v>0127S2315S</v>
      </c>
      <c r="E14756" s="1" t="s">
        <v>10</v>
      </c>
      <c r="F14756" s="1" t="str">
        <f>"fde2:104:0:7a:0:0:0:2"</f>
        <v>fde2:104:0:7a:0:0:0:2</v>
      </c>
      <c r="G14756" s="1" t="str">
        <f>"0127S231"</f>
        <v>0127S231</v>
      </c>
      <c r="H14756" s="1" t="str">
        <f>"보문지 50L1L2"</f>
        <v>보문지 50L1L2</v>
      </c>
      <c r="I14756" s="1" t="s">
        <v>15</v>
      </c>
      <c r="J14756" s="1" t="str">
        <f>"63/63"</f>
        <v>63/63</v>
      </c>
      <c r="K14756" s="1" t="str">
        <f>"2026-07-29 14:20:09"</f>
        <v>2026-07-29 14:20:09</v>
      </c>
      <c r="L14756" s="1" t="str">
        <f>"2022-08-31 08:10:04"</f>
        <v>2022-08-31 08:10:04</v>
      </c>
      <c r="M14756" s="1" t="s">
        <v>42</v>
      </c>
      <c r="N14756" s="1" t="s">
        <v>38</v>
      </c>
      <c r="O14756" s="1" t="s">
        <v>46</v>
      </c>
    </row>
    <row r="14757" spans="2:15" x14ac:dyDescent="0.3">
      <c r="B14757" s="1" t="s">
        <v>19</v>
      </c>
      <c r="C14757" s="1" t="str">
        <f>"5-2차"</f>
        <v>5-2차</v>
      </c>
      <c r="D14757" s="1" t="str">
        <f>"0127S2515S"</f>
        <v>0127S2515S</v>
      </c>
      <c r="E14757" s="1" t="s">
        <v>10</v>
      </c>
      <c r="F14757" s="1" t="str">
        <f>"fde1:103:4:58d8:0:0:0:2"</f>
        <v>fde1:103:4:58d8:0:0:0:2</v>
      </c>
      <c r="G14757" s="1" t="str">
        <f>"0127S251"</f>
        <v>0127S251</v>
      </c>
      <c r="H14757" s="1" t="str">
        <f>"보문지 49R2"</f>
        <v>보문지 49R2</v>
      </c>
      <c r="I14757" s="1" t="s">
        <v>15</v>
      </c>
      <c r="J14757" s="1" t="str">
        <f>"20/20"</f>
        <v>20/20</v>
      </c>
      <c r="K14757" s="1" t="str">
        <f>"2026-07-29 14:20:08"</f>
        <v>2026-07-29 14:20:08</v>
      </c>
      <c r="L14757" s="1" t="str">
        <f>"2023-09-22 10:23:03"</f>
        <v>2023-09-22 10:23:03</v>
      </c>
      <c r="M14757" s="1" t="s">
        <v>4</v>
      </c>
      <c r="N14757" s="1" t="s">
        <v>38</v>
      </c>
      <c r="O14757" s="1" t="s">
        <v>46</v>
      </c>
    </row>
    <row r="14758" spans="2:15" x14ac:dyDescent="0.3">
      <c r="B14758" s="1" t="s">
        <v>19</v>
      </c>
      <c r="C14758" s="1" t="str">
        <f>"5-1차"</f>
        <v>5-1차</v>
      </c>
      <c r="D14758" s="1" t="str">
        <f>"0127S2615M"</f>
        <v>0127S2615M</v>
      </c>
      <c r="E14758" s="1" t="s">
        <v>10</v>
      </c>
      <c r="F14758" s="1" t="str">
        <f>"fde2:104:0:6f:0:0:0:2"</f>
        <v>fde2:104:0:6f:0:0:0:2</v>
      </c>
      <c r="G14758" s="1" t="str">
        <f>"0127S261"</f>
        <v>0127S261</v>
      </c>
      <c r="H14758" s="1" t="str">
        <f>"보문지 48"</f>
        <v>보문지 48</v>
      </c>
      <c r="I14758" s="1" t="s">
        <v>15</v>
      </c>
      <c r="J14758" s="1" t="str">
        <f>"131/131"</f>
        <v>131/131</v>
      </c>
      <c r="K14758" s="1" t="str">
        <f>"2026-07-29 14:20:38"</f>
        <v>2026-07-29 14:20:38</v>
      </c>
      <c r="L14758" s="1" t="str">
        <f>"2022-09-02 12:16:02"</f>
        <v>2022-09-02 12:16:02</v>
      </c>
      <c r="M14758" s="1" t="s">
        <v>42</v>
      </c>
      <c r="N14758" s="1" t="s">
        <v>38</v>
      </c>
      <c r="O14758" s="1" t="s">
        <v>46</v>
      </c>
    </row>
    <row r="14759" spans="2:15" x14ac:dyDescent="0.3">
      <c r="B14759" s="1" t="s">
        <v>19</v>
      </c>
      <c r="C14759" s="1" t="str">
        <f>"4차"</f>
        <v>4차</v>
      </c>
      <c r="D14759" s="1" t="str">
        <f>"0127S27141"</f>
        <v>0127S27141</v>
      </c>
      <c r="E14759" s="1" t="s">
        <v>10</v>
      </c>
      <c r="F14759" s="1" t="str">
        <f>"10.14.14.18"</f>
        <v>10.14.14.18</v>
      </c>
      <c r="G14759" s="1" t="str">
        <f>"0127S271"</f>
        <v>0127S271</v>
      </c>
      <c r="H14759" s="1" t="str">
        <f>"보문지 46"</f>
        <v>보문지 46</v>
      </c>
      <c r="I14759" s="1" t="s">
        <v>17</v>
      </c>
      <c r="J14759" s="1" t="str">
        <f>"40/43"</f>
        <v>40/43</v>
      </c>
      <c r="K14759" s="1" t="str">
        <f>"2026-07-29 13:18:01"</f>
        <v>2026-07-29 13:18:01</v>
      </c>
      <c r="L14759" s="1" t="str">
        <f>"2021-10-15 10:05:13"</f>
        <v>2021-10-15 10:05:13</v>
      </c>
      <c r="M14759" s="1" t="s">
        <v>3</v>
      </c>
      <c r="N14759" s="1" t="s">
        <v>38</v>
      </c>
      <c r="O14759" s="1" t="s">
        <v>46</v>
      </c>
    </row>
    <row r="14760" spans="2:15" x14ac:dyDescent="0.3">
      <c r="B14760" s="1" t="s">
        <v>19</v>
      </c>
      <c r="C14760" s="1" t="str">
        <f>"5-2차"</f>
        <v>5-2차</v>
      </c>
      <c r="D14760" s="1" t="str">
        <f>"0127S3115M"</f>
        <v>0127S3115M</v>
      </c>
      <c r="E14760" s="1" t="s">
        <v>10</v>
      </c>
      <c r="F14760" s="1" t="str">
        <f>"fde1:103:4:5727:0:0:0:2"</f>
        <v>fde1:103:4:5727:0:0:0:2</v>
      </c>
      <c r="G14760" s="1" t="str">
        <f>"0127S311"</f>
        <v>0127S311</v>
      </c>
      <c r="H14760" s="1" t="str">
        <f>"보문지 54R1"</f>
        <v>보문지 54R1</v>
      </c>
      <c r="I14760" s="1" t="s">
        <v>15</v>
      </c>
      <c r="J14760" s="1" t="str">
        <f>"75/75"</f>
        <v>75/75</v>
      </c>
      <c r="K14760" s="1" t="str">
        <f>"2026-07-29 14:20:38"</f>
        <v>2026-07-29 14:20:38</v>
      </c>
      <c r="L14760" s="1" t="str">
        <f>"2023-09-22 10:24:03"</f>
        <v>2023-09-22 10:24:03</v>
      </c>
      <c r="M14760" s="1" t="s">
        <v>4</v>
      </c>
      <c r="N14760" s="1" t="s">
        <v>38</v>
      </c>
      <c r="O14760" s="1" t="s">
        <v>46</v>
      </c>
    </row>
    <row r="14761" spans="2:15" x14ac:dyDescent="0.3">
      <c r="B14761" s="1" t="s">
        <v>19</v>
      </c>
      <c r="C14761" s="1" t="str">
        <f>"5-1차"</f>
        <v>5-1차</v>
      </c>
      <c r="D14761" s="1" t="str">
        <f>"0127S3215S"</f>
        <v>0127S3215S</v>
      </c>
      <c r="E14761" s="1" t="s">
        <v>10</v>
      </c>
      <c r="F14761" s="1" t="str">
        <f>"fde2:104:0:6a:0:0:0:2"</f>
        <v>fde2:104:0:6a:0:0:0:2</v>
      </c>
      <c r="G14761" s="1" t="str">
        <f>"0127S321"</f>
        <v>0127S321</v>
      </c>
      <c r="H14761" s="1" t="str">
        <f>"보문지 54R4R2"</f>
        <v>보문지 54R4R2</v>
      </c>
      <c r="I14761" s="1" t="s">
        <v>15</v>
      </c>
      <c r="J14761" s="1" t="str">
        <f>"55/55"</f>
        <v>55/55</v>
      </c>
      <c r="K14761" s="1" t="str">
        <f>"2026-07-29 14:20:40"</f>
        <v>2026-07-29 14:20:40</v>
      </c>
      <c r="L14761" s="1" t="str">
        <f>"2022-09-02 15:32:13"</f>
        <v>2022-09-02 15:32:13</v>
      </c>
      <c r="M14761" s="1" t="s">
        <v>42</v>
      </c>
      <c r="N14761" s="1" t="s">
        <v>38</v>
      </c>
      <c r="O14761" s="1" t="s">
        <v>46</v>
      </c>
    </row>
    <row r="14762" spans="2:15" x14ac:dyDescent="0.3">
      <c r="B14762" s="1" t="s">
        <v>19</v>
      </c>
      <c r="C14762" s="1" t="str">
        <f>"5-1차"</f>
        <v>5-1차</v>
      </c>
      <c r="D14762" s="1" t="str">
        <f>"0127S3315S"</f>
        <v>0127S3315S</v>
      </c>
      <c r="E14762" s="1" t="s">
        <v>10</v>
      </c>
      <c r="F14762" s="1" t="str">
        <f>"fde2:104:0:21:0:0:0:2"</f>
        <v>fde2:104:0:21:0:0:0:2</v>
      </c>
      <c r="G14762" s="1" t="str">
        <f>"0127S331"</f>
        <v>0127S331</v>
      </c>
      <c r="H14762" s="1" t="str">
        <f>"보문지 51R1"</f>
        <v>보문지 51R1</v>
      </c>
      <c r="I14762" s="1" t="s">
        <v>15</v>
      </c>
      <c r="J14762" s="1" t="str">
        <f>"38/44"</f>
        <v>38/44</v>
      </c>
      <c r="K14762" s="1" t="str">
        <f>"2026-07-29 14:20:13"</f>
        <v>2026-07-29 14:20:13</v>
      </c>
      <c r="L14762" s="1" t="str">
        <f>"2023-01-03 10:08:26"</f>
        <v>2023-01-03 10:08:26</v>
      </c>
      <c r="M14762" s="1" t="s">
        <v>42</v>
      </c>
      <c r="N14762" s="1" t="s">
        <v>38</v>
      </c>
      <c r="O14762" s="1" t="s">
        <v>46</v>
      </c>
    </row>
    <row r="14763" spans="2:15" x14ac:dyDescent="0.3">
      <c r="B14763" s="1" t="s">
        <v>19</v>
      </c>
      <c r="C14763" s="1" t="str">
        <f>"4차"</f>
        <v>4차</v>
      </c>
      <c r="D14763" s="1" t="str">
        <f>"0127S33341"</f>
        <v>0127S33341</v>
      </c>
      <c r="E14763" s="1" t="s">
        <v>10</v>
      </c>
      <c r="F14763" s="1" t="str">
        <f>"10.12.131.181"</f>
        <v>10.12.131.181</v>
      </c>
      <c r="G14763" s="1" t="str">
        <f>"0127S333"</f>
        <v>0127S333</v>
      </c>
      <c r="H14763" s="1" t="str">
        <f>"보문지 51L1"</f>
        <v>보문지 51L1</v>
      </c>
      <c r="I14763" s="1" t="s">
        <v>17</v>
      </c>
      <c r="J14763" s="1" t="str">
        <f>"20/20"</f>
        <v>20/20</v>
      </c>
      <c r="K14763" s="1" t="str">
        <f>"2026-07-29 13:18:04"</f>
        <v>2026-07-29 13:18:04</v>
      </c>
      <c r="L14763" s="1" t="str">
        <f>"2021-10-15 09:26:14"</f>
        <v>2021-10-15 09:26:14</v>
      </c>
      <c r="M14763" s="1" t="s">
        <v>0</v>
      </c>
      <c r="N14763" s="1" t="s">
        <v>38</v>
      </c>
      <c r="O14763" s="1" t="s">
        <v>46</v>
      </c>
    </row>
    <row r="14764" spans="2:15" x14ac:dyDescent="0.3">
      <c r="B14764" s="1" t="s">
        <v>19</v>
      </c>
      <c r="C14764" s="1" t="str">
        <f>"5-1차"</f>
        <v>5-1차</v>
      </c>
      <c r="D14764" s="1" t="str">
        <f>"0127S3415M"</f>
        <v>0127S3415M</v>
      </c>
      <c r="E14764" s="1" t="s">
        <v>10</v>
      </c>
      <c r="F14764" s="1" t="str">
        <f>"fde2:104:0:22:0:0:0:2"</f>
        <v>fde2:104:0:22:0:0:0:2</v>
      </c>
      <c r="G14764" s="1" t="str">
        <f>"0127S341"</f>
        <v>0127S341</v>
      </c>
      <c r="H14764" s="1" t="str">
        <f>"보문지 50"</f>
        <v>보문지 50</v>
      </c>
      <c r="I14764" s="1" t="s">
        <v>15</v>
      </c>
      <c r="J14764" s="1" t="str">
        <f>"34/34"</f>
        <v>34/34</v>
      </c>
      <c r="K14764" s="1" t="str">
        <f>"2026-07-29 14:20:38"</f>
        <v>2026-07-29 14:20:38</v>
      </c>
      <c r="L14764" s="1" t="str">
        <f>"2022-09-02 14:04:18"</f>
        <v>2022-09-02 14:04:18</v>
      </c>
      <c r="M14764" s="1" t="s">
        <v>42</v>
      </c>
      <c r="N14764" s="1" t="s">
        <v>38</v>
      </c>
      <c r="O14764" s="1" t="s">
        <v>46</v>
      </c>
    </row>
    <row r="14765" spans="2:15" x14ac:dyDescent="0.3">
      <c r="B14765" s="1" t="s">
        <v>19</v>
      </c>
      <c r="C14765" s="1" t="str">
        <f>"5-2차"</f>
        <v>5-2차</v>
      </c>
      <c r="D14765" s="1" t="str">
        <f>"0127S3515M"</f>
        <v>0127S3515M</v>
      </c>
      <c r="E14765" s="1" t="s">
        <v>10</v>
      </c>
      <c r="F14765" s="1" t="str">
        <f>"fde1:103:4:5776:0:0:0:2"</f>
        <v>fde1:103:4:5776:0:0:0:2</v>
      </c>
      <c r="G14765" s="1" t="str">
        <f>"0127S351"</f>
        <v>0127S351</v>
      </c>
      <c r="H14765" s="1" t="str">
        <f>"보문지 49R1"</f>
        <v>보문지 49R1</v>
      </c>
      <c r="I14765" s="1" t="s">
        <v>15</v>
      </c>
      <c r="J14765" s="1" t="str">
        <f>"124/124"</f>
        <v>124/124</v>
      </c>
      <c r="K14765" s="1" t="str">
        <f>"2026-07-29 14:20:38"</f>
        <v>2026-07-29 14:20:38</v>
      </c>
      <c r="L14765" s="1" t="str">
        <f>"2023-09-22 10:38:06"</f>
        <v>2023-09-22 10:38:06</v>
      </c>
      <c r="M14765" s="1" t="s">
        <v>4</v>
      </c>
      <c r="N14765" s="1" t="s">
        <v>38</v>
      </c>
      <c r="O14765" s="1" t="s">
        <v>46</v>
      </c>
    </row>
    <row r="14766" spans="2:15" x14ac:dyDescent="0.3">
      <c r="B14766" s="1" t="s">
        <v>19</v>
      </c>
      <c r="C14766" s="1" t="str">
        <f>"5-2차"</f>
        <v>5-2차</v>
      </c>
      <c r="D14766" s="1" t="str">
        <f>"0127S3715S"</f>
        <v>0127S3715S</v>
      </c>
      <c r="E14766" s="1" t="s">
        <v>10</v>
      </c>
      <c r="F14766" s="1" t="str">
        <f>"fde1:103:4:584a:0:0:0:2"</f>
        <v>fde1:103:4:584a:0:0:0:2</v>
      </c>
      <c r="G14766" s="1" t="str">
        <f>"0127S371"</f>
        <v>0127S371</v>
      </c>
      <c r="H14766" s="1" t="str">
        <f>"보문지 47L2"</f>
        <v>보문지 47L2</v>
      </c>
      <c r="I14766" s="1" t="s">
        <v>15</v>
      </c>
      <c r="J14766" s="1" t="str">
        <f>"70/70"</f>
        <v>70/70</v>
      </c>
      <c r="K14766" s="1" t="str">
        <f>"2026-07-29 14:20:39"</f>
        <v>2026-07-29 14:20:39</v>
      </c>
      <c r="L14766" s="1" t="str">
        <f>"2023-09-22 10:38:37"</f>
        <v>2023-09-22 10:38:37</v>
      </c>
      <c r="M14766" s="1" t="s">
        <v>4</v>
      </c>
      <c r="N14766" s="1" t="s">
        <v>38</v>
      </c>
      <c r="O14766" s="1" t="s">
        <v>46</v>
      </c>
    </row>
    <row r="14767" spans="2:15" x14ac:dyDescent="0.3">
      <c r="B14767" s="1" t="s">
        <v>19</v>
      </c>
      <c r="C14767" s="1" t="str">
        <f>"5-2차"</f>
        <v>5-2차</v>
      </c>
      <c r="D14767" s="1" t="str">
        <f>"0127S3815M"</f>
        <v>0127S3815M</v>
      </c>
      <c r="E14767" s="1" t="s">
        <v>10</v>
      </c>
      <c r="F14767" s="1" t="str">
        <f>"fde1:103:4:5751:0:0:0:2"</f>
        <v>fde1:103:4:5751:0:0:0:2</v>
      </c>
      <c r="G14767" s="1" t="str">
        <f>"0127S381"</f>
        <v>0127S381</v>
      </c>
      <c r="H14767" s="1" t="str">
        <f>"보문지 46R1H1L2"</f>
        <v>보문지 46R1H1L2</v>
      </c>
      <c r="I14767" s="1" t="s">
        <v>15</v>
      </c>
      <c r="J14767" s="1" t="str">
        <f>"89/89"</f>
        <v>89/89</v>
      </c>
      <c r="K14767" s="1" t="str">
        <f>"2026-07-29 14:20:08"</f>
        <v>2026-07-29 14:20:08</v>
      </c>
      <c r="L14767" s="1" t="str">
        <f>"2023-09-22 10:53:11"</f>
        <v>2023-09-22 10:53:11</v>
      </c>
      <c r="M14767" s="1" t="s">
        <v>4</v>
      </c>
      <c r="N14767" s="1" t="s">
        <v>38</v>
      </c>
      <c r="O14767" s="1" t="s">
        <v>46</v>
      </c>
    </row>
    <row r="14768" spans="2:15" x14ac:dyDescent="0.3">
      <c r="B14768" s="1" t="s">
        <v>19</v>
      </c>
      <c r="C14768" s="1" t="str">
        <f>"5-2차"</f>
        <v>5-2차</v>
      </c>
      <c r="D14768" s="1" t="str">
        <f>"0127S3915M"</f>
        <v>0127S3915M</v>
      </c>
      <c r="E14768" s="1" t="s">
        <v>10</v>
      </c>
      <c r="F14768" s="1" t="str">
        <f>"fde1:103:4:5731:0:0:0:2"</f>
        <v>fde1:103:4:5731:0:0:0:2</v>
      </c>
      <c r="G14768" s="1" t="str">
        <f>"0127S391"</f>
        <v>0127S391</v>
      </c>
      <c r="H14768" s="1" t="str">
        <f>"안암간 33"</f>
        <v>안암간 33</v>
      </c>
      <c r="I14768" s="1" t="s">
        <v>15</v>
      </c>
      <c r="J14768" s="1" t="str">
        <f>"37/37"</f>
        <v>37/37</v>
      </c>
      <c r="K14768" s="1" t="str">
        <f>"2026-07-29 14:20:39"</f>
        <v>2026-07-29 14:20:39</v>
      </c>
      <c r="L14768" s="1" t="str">
        <f>"2023-09-22 10:53:42"</f>
        <v>2023-09-22 10:53:42</v>
      </c>
      <c r="M14768" s="1" t="s">
        <v>4</v>
      </c>
      <c r="N14768" s="1" t="s">
        <v>38</v>
      </c>
      <c r="O14768" s="1" t="s">
        <v>46</v>
      </c>
    </row>
    <row r="14769" spans="2:15" x14ac:dyDescent="0.3">
      <c r="B14769" s="1" t="s">
        <v>19</v>
      </c>
      <c r="C14769" s="1" t="str">
        <f>"4차"</f>
        <v>4차</v>
      </c>
      <c r="D14769" s="1" t="str">
        <f>"0127S42239"</f>
        <v>0127S42239</v>
      </c>
      <c r="E14769" s="1" t="s">
        <v>10</v>
      </c>
      <c r="F14769" s="1" t="str">
        <f>"10.12.132.36"</f>
        <v>10.12.132.36</v>
      </c>
      <c r="G14769" s="1" t="str">
        <f>"0127S422"</f>
        <v>0127S422</v>
      </c>
      <c r="H14769" s="1" t="str">
        <f>"보문지 52"</f>
        <v>보문지 52</v>
      </c>
      <c r="I14769" s="1" t="s">
        <v>17</v>
      </c>
      <c r="J14769" s="1" t="str">
        <f>"47/51"</f>
        <v>47/51</v>
      </c>
      <c r="K14769" s="1" t="str">
        <f>"2026-07-29 13:18:01"</f>
        <v>2026-07-29 13:18:01</v>
      </c>
      <c r="L14769" s="1" t="str">
        <f>"2018-12-17 13:58:43"</f>
        <v>2018-12-17 13:58:43</v>
      </c>
      <c r="M14769" s="1" t="s">
        <v>0</v>
      </c>
      <c r="N14769" s="1" t="s">
        <v>38</v>
      </c>
      <c r="O14769" s="1" t="s">
        <v>46</v>
      </c>
    </row>
    <row r="14770" spans="2:15" x14ac:dyDescent="0.3">
      <c r="B14770" s="1" t="s">
        <v>19</v>
      </c>
      <c r="C14770" s="1" t="str">
        <f>"5-1차"</f>
        <v>5-1차</v>
      </c>
      <c r="D14770" s="1" t="str">
        <f>"0127S4415M"</f>
        <v>0127S4415M</v>
      </c>
      <c r="E14770" s="1" t="s">
        <v>10</v>
      </c>
      <c r="F14770" s="1" t="str">
        <f>"fde2:104:0:23:0:0:0:2"</f>
        <v>fde2:104:0:23:0:0:0:2</v>
      </c>
      <c r="G14770" s="1" t="str">
        <f>"0127S441"</f>
        <v>0127S441</v>
      </c>
      <c r="H14770" s="1" t="str">
        <f>"보문지 50L2"</f>
        <v>보문지 50L2</v>
      </c>
      <c r="I14770" s="1" t="s">
        <v>15</v>
      </c>
      <c r="J14770" s="1" t="str">
        <f>"91/91"</f>
        <v>91/91</v>
      </c>
      <c r="K14770" s="1" t="str">
        <f>"2026-07-29 14:20:11"</f>
        <v>2026-07-29 14:20:11</v>
      </c>
      <c r="L14770" s="1" t="str">
        <f>"2022-09-02 16:30:24"</f>
        <v>2022-09-02 16:30:24</v>
      </c>
      <c r="M14770" s="1" t="s">
        <v>42</v>
      </c>
      <c r="N14770" s="1" t="s">
        <v>38</v>
      </c>
      <c r="O14770" s="1" t="s">
        <v>46</v>
      </c>
    </row>
    <row r="14771" spans="2:15" x14ac:dyDescent="0.3">
      <c r="B14771" s="1" t="s">
        <v>19</v>
      </c>
      <c r="C14771" s="1" t="str">
        <f>"5-2차"</f>
        <v>5-2차</v>
      </c>
      <c r="D14771" s="1" t="str">
        <f>"0127S4635M"</f>
        <v>0127S4635M</v>
      </c>
      <c r="E14771" s="1" t="s">
        <v>10</v>
      </c>
      <c r="F14771" s="1" t="str">
        <f>"fde1:103:4:5721:0:0:0:2"</f>
        <v>fde1:103:4:5721:0:0:0:2</v>
      </c>
      <c r="G14771" s="1" t="str">
        <f>"0127S463"</f>
        <v>0127S463</v>
      </c>
      <c r="H14771" s="1" t="str">
        <f>"안암간 37"</f>
        <v>안암간 37</v>
      </c>
      <c r="I14771" s="1" t="s">
        <v>15</v>
      </c>
      <c r="J14771" s="1" t="str">
        <f>"32/32"</f>
        <v>32/32</v>
      </c>
      <c r="K14771" s="1" t="str">
        <f>"2026-07-29 14:20:39"</f>
        <v>2026-07-29 14:20:39</v>
      </c>
      <c r="L14771" s="1" t="str">
        <f>"2023-09-22 11:06:48"</f>
        <v>2023-09-22 11:06:48</v>
      </c>
      <c r="M14771" s="1" t="s">
        <v>4</v>
      </c>
      <c r="N14771" s="1" t="s">
        <v>38</v>
      </c>
      <c r="O14771" s="1" t="s">
        <v>46</v>
      </c>
    </row>
    <row r="14772" spans="2:15" x14ac:dyDescent="0.3">
      <c r="B14772" s="1" t="s">
        <v>19</v>
      </c>
      <c r="C14772" s="1" t="str">
        <f>"5-2차"</f>
        <v>5-2차</v>
      </c>
      <c r="D14772" s="1" t="str">
        <f>"0127S5015M"</f>
        <v>0127S5015M</v>
      </c>
      <c r="E14772" s="1" t="s">
        <v>10</v>
      </c>
      <c r="F14772" s="1" t="str">
        <f>"fde1:103:4:579b:0:0:0:2"</f>
        <v>fde1:103:4:579b:0:0:0:2</v>
      </c>
      <c r="G14772" s="1" t="str">
        <f>"0127S501"</f>
        <v>0127S501</v>
      </c>
      <c r="H14772" s="1" t="str">
        <f>"보문지 56"</f>
        <v>보문지 56</v>
      </c>
      <c r="I14772" s="1" t="s">
        <v>15</v>
      </c>
      <c r="J14772" s="1" t="str">
        <f>"85/86"</f>
        <v>85/86</v>
      </c>
      <c r="K14772" s="1" t="str">
        <f>"2026-07-29 14:20:09"</f>
        <v>2026-07-29 14:20:09</v>
      </c>
      <c r="L14772" s="1" t="str">
        <f>"2023-09-22 11:09:11"</f>
        <v>2023-09-22 11:09:11</v>
      </c>
      <c r="M14772" s="1" t="s">
        <v>4</v>
      </c>
      <c r="N14772" s="1" t="s">
        <v>38</v>
      </c>
      <c r="O14772" s="1" t="s">
        <v>46</v>
      </c>
    </row>
    <row r="14773" spans="2:15" x14ac:dyDescent="0.3">
      <c r="B14773" s="1" t="s">
        <v>19</v>
      </c>
      <c r="C14773" s="1" t="str">
        <f>"5-2차"</f>
        <v>5-2차</v>
      </c>
      <c r="D14773" s="1" t="str">
        <f>"0127S5215M"</f>
        <v>0127S5215M</v>
      </c>
      <c r="E14773" s="1" t="s">
        <v>10</v>
      </c>
      <c r="F14773" s="1" t="str">
        <f>"fde1:103:4:57d4:0:0:0:2"</f>
        <v>fde1:103:4:57d4:0:0:0:2</v>
      </c>
      <c r="G14773" s="1" t="str">
        <f>"0127S521"</f>
        <v>0127S521</v>
      </c>
      <c r="H14773" s="1" t="str">
        <f>"보문지 54L1"</f>
        <v>보문지 54L1</v>
      </c>
      <c r="I14773" s="1" t="s">
        <v>15</v>
      </c>
      <c r="J14773" s="1" t="str">
        <f>"34/34"</f>
        <v>34/34</v>
      </c>
      <c r="K14773" s="1" t="str">
        <f>"2026-07-29 14:20:09"</f>
        <v>2026-07-29 14:20:09</v>
      </c>
      <c r="L14773" s="1" t="str">
        <f>"2023-09-22 11:26:10"</f>
        <v>2023-09-22 11:26:10</v>
      </c>
      <c r="M14773" s="1" t="s">
        <v>4</v>
      </c>
      <c r="N14773" s="1" t="s">
        <v>38</v>
      </c>
      <c r="O14773" s="1" t="s">
        <v>46</v>
      </c>
    </row>
    <row r="14774" spans="2:15" x14ac:dyDescent="0.3">
      <c r="B14774" s="1" t="s">
        <v>19</v>
      </c>
      <c r="C14774" s="1" t="str">
        <f>"4차"</f>
        <v>4차</v>
      </c>
      <c r="D14774" s="1" t="str">
        <f>"0127S53139"</f>
        <v>0127S53139</v>
      </c>
      <c r="E14774" s="1" t="s">
        <v>10</v>
      </c>
      <c r="F14774" s="1" t="str">
        <f>"10.11.140.106"</f>
        <v>10.11.140.106</v>
      </c>
      <c r="G14774" s="1" t="str">
        <f>"0127S531"</f>
        <v>0127S531</v>
      </c>
      <c r="H14774" s="1" t="str">
        <f>"안암간 41L1R1"</f>
        <v>안암간 41L1R1</v>
      </c>
      <c r="I14774" s="1" t="s">
        <v>17</v>
      </c>
      <c r="J14774" s="1" t="str">
        <f>"83/84"</f>
        <v>83/84</v>
      </c>
      <c r="K14774" s="1" t="str">
        <f>"2026-07-29 13:18:01"</f>
        <v>2026-07-29 13:18:01</v>
      </c>
      <c r="L14774" s="1" t="str">
        <f>"2018-09-13 13:18:40"</f>
        <v>2018-09-13 13:18:40</v>
      </c>
      <c r="M14774" s="1" t="s">
        <v>2</v>
      </c>
      <c r="N14774" s="1" t="s">
        <v>38</v>
      </c>
      <c r="O14774" s="1" t="s">
        <v>46</v>
      </c>
    </row>
    <row r="14775" spans="2:15" x14ac:dyDescent="0.3">
      <c r="B14775" s="1" t="s">
        <v>19</v>
      </c>
      <c r="C14775" s="1" t="str">
        <f>"4차"</f>
        <v>4차</v>
      </c>
      <c r="D14775" s="1" t="str">
        <f>"0127S53241"</f>
        <v>0127S53241</v>
      </c>
      <c r="E14775" s="1" t="s">
        <v>10</v>
      </c>
      <c r="F14775" s="1" t="str">
        <f>"10.12.133.237"</f>
        <v>10.12.133.237</v>
      </c>
      <c r="G14775" s="1" t="str">
        <f>"0127S532"</f>
        <v>0127S532</v>
      </c>
      <c r="H14775" s="1" t="str">
        <f>"안암간 41"</f>
        <v>안암간 41</v>
      </c>
      <c r="I14775" s="1" t="s">
        <v>17</v>
      </c>
      <c r="J14775" s="1" t="str">
        <f>"21/21"</f>
        <v>21/21</v>
      </c>
      <c r="K14775" s="1" t="str">
        <f>"2026-07-29 13:18:02"</f>
        <v>2026-07-29 13:18:02</v>
      </c>
      <c r="L14775" s="1" t="str">
        <f>"2021-10-15 08:47:57"</f>
        <v>2021-10-15 08:47:57</v>
      </c>
      <c r="M14775" s="1" t="s">
        <v>0</v>
      </c>
      <c r="N14775" s="1" t="s">
        <v>38</v>
      </c>
      <c r="O14775" s="1" t="s">
        <v>46</v>
      </c>
    </row>
    <row r="14776" spans="2:15" x14ac:dyDescent="0.3">
      <c r="B14776" s="1" t="s">
        <v>19</v>
      </c>
      <c r="C14776" s="1" t="str">
        <f t="shared" ref="C14776:C14781" si="751">"5-2차"</f>
        <v>5-2차</v>
      </c>
      <c r="D14776" s="1" t="str">
        <f>"0127S5415M"</f>
        <v>0127S5415M</v>
      </c>
      <c r="E14776" s="1" t="s">
        <v>10</v>
      </c>
      <c r="F14776" s="1" t="str">
        <f>"fde1:103:4:584d:0:0:0:2"</f>
        <v>fde1:103:4:584d:0:0:0:2</v>
      </c>
      <c r="G14776" s="1" t="str">
        <f>"0127S541"</f>
        <v>0127S541</v>
      </c>
      <c r="H14776" s="1" t="str">
        <f>"안암간 40"</f>
        <v>안암간 40</v>
      </c>
      <c r="I14776" s="1" t="s">
        <v>15</v>
      </c>
      <c r="J14776" s="1" t="str">
        <f>"50/50"</f>
        <v>50/50</v>
      </c>
      <c r="K14776" s="1" t="str">
        <f>"2026-07-29 14:20:09"</f>
        <v>2026-07-29 14:20:09</v>
      </c>
      <c r="L14776" s="1" t="str">
        <f>"2023-09-22 11:23:50"</f>
        <v>2023-09-22 11:23:50</v>
      </c>
      <c r="M14776" s="1" t="s">
        <v>4</v>
      </c>
      <c r="N14776" s="1" t="s">
        <v>38</v>
      </c>
      <c r="O14776" s="1" t="s">
        <v>46</v>
      </c>
    </row>
    <row r="14777" spans="2:15" x14ac:dyDescent="0.3">
      <c r="B14777" s="1" t="s">
        <v>19</v>
      </c>
      <c r="C14777" s="1" t="str">
        <f t="shared" si="751"/>
        <v>5-2차</v>
      </c>
      <c r="D14777" s="1" t="str">
        <f>"0127S6235M"</f>
        <v>0127S6235M</v>
      </c>
      <c r="E14777" s="1" t="s">
        <v>10</v>
      </c>
      <c r="F14777" s="1" t="str">
        <f>"fde1:103:4:5842:0:0:0:2"</f>
        <v>fde1:103:4:5842:0:0:0:2</v>
      </c>
      <c r="G14777" s="1" t="str">
        <f>"0127S623"</f>
        <v>0127S623</v>
      </c>
      <c r="H14777" s="1" t="str">
        <f>"안암간 43"</f>
        <v>안암간 43</v>
      </c>
      <c r="I14777" s="1" t="s">
        <v>15</v>
      </c>
      <c r="J14777" s="1" t="str">
        <f>"65/66"</f>
        <v>65/66</v>
      </c>
      <c r="K14777" s="1" t="str">
        <f>"2026-07-29 14:20:39"</f>
        <v>2026-07-29 14:20:39</v>
      </c>
      <c r="L14777" s="1" t="str">
        <f>"2023-09-22 13:06:04"</f>
        <v>2023-09-22 13:06:04</v>
      </c>
      <c r="M14777" s="1" t="s">
        <v>4</v>
      </c>
      <c r="N14777" s="1" t="s">
        <v>38</v>
      </c>
      <c r="O14777" s="1" t="s">
        <v>46</v>
      </c>
    </row>
    <row r="14778" spans="2:15" x14ac:dyDescent="0.3">
      <c r="B14778" s="1" t="s">
        <v>19</v>
      </c>
      <c r="C14778" s="1" t="str">
        <f t="shared" si="751"/>
        <v>5-2차</v>
      </c>
      <c r="D14778" s="1" t="str">
        <f>"0127S6245M"</f>
        <v>0127S6245M</v>
      </c>
      <c r="E14778" s="1" t="s">
        <v>10</v>
      </c>
      <c r="F14778" s="1" t="str">
        <f>"fde1:103:4:578f:0:0:0:2"</f>
        <v>fde1:103:4:578f:0:0:0:2</v>
      </c>
      <c r="G14778" s="1" t="str">
        <f>"0127S624"</f>
        <v>0127S624</v>
      </c>
      <c r="H14778" s="1" t="str">
        <f>"보문지 54L2"</f>
        <v>보문지 54L2</v>
      </c>
      <c r="I14778" s="1" t="s">
        <v>15</v>
      </c>
      <c r="J14778" s="1" t="str">
        <f>"37/39"</f>
        <v>37/39</v>
      </c>
      <c r="K14778" s="1" t="str">
        <f>"2026-07-29 14:20:08"</f>
        <v>2026-07-29 14:20:08</v>
      </c>
      <c r="L14778" s="1" t="str">
        <f>"2023-09-22 13:06:27"</f>
        <v>2023-09-22 13:06:27</v>
      </c>
      <c r="M14778" s="1" t="s">
        <v>4</v>
      </c>
      <c r="N14778" s="1" t="s">
        <v>38</v>
      </c>
      <c r="O14778" s="1" t="s">
        <v>46</v>
      </c>
    </row>
    <row r="14779" spans="2:15" x14ac:dyDescent="0.3">
      <c r="B14779" s="1" t="s">
        <v>19</v>
      </c>
      <c r="C14779" s="1" t="str">
        <f t="shared" si="751"/>
        <v>5-2차</v>
      </c>
      <c r="D14779" s="1" t="str">
        <f>"0127S6355M"</f>
        <v>0127S6355M</v>
      </c>
      <c r="E14779" s="1" t="s">
        <v>10</v>
      </c>
      <c r="F14779" s="1" t="str">
        <f>"fde1:103:4:5730:0:0:0:2"</f>
        <v>fde1:103:4:5730:0:0:0:2</v>
      </c>
      <c r="G14779" s="1" t="str">
        <f>"0127S635"</f>
        <v>0127S635</v>
      </c>
      <c r="H14779" s="1" t="str">
        <f>"안암간 41L2"</f>
        <v>안암간 41L2</v>
      </c>
      <c r="I14779" s="1" t="s">
        <v>15</v>
      </c>
      <c r="J14779" s="1" t="str">
        <f>"35/35"</f>
        <v>35/35</v>
      </c>
      <c r="K14779" s="1" t="str">
        <f>"2026-07-29 14:20:45"</f>
        <v>2026-07-29 14:20:45</v>
      </c>
      <c r="L14779" s="1" t="str">
        <f>"2023-09-22 17:50:03"</f>
        <v>2023-09-22 17:50:03</v>
      </c>
      <c r="M14779" s="1" t="s">
        <v>4</v>
      </c>
      <c r="N14779" s="1" t="s">
        <v>38</v>
      </c>
      <c r="O14779" s="1" t="s">
        <v>46</v>
      </c>
    </row>
    <row r="14780" spans="2:15" x14ac:dyDescent="0.3">
      <c r="B14780" s="1" t="s">
        <v>19</v>
      </c>
      <c r="C14780" s="1" t="str">
        <f t="shared" si="751"/>
        <v>5-2차</v>
      </c>
      <c r="D14780" s="1" t="str">
        <f>"0127S6615M"</f>
        <v>0127S6615M</v>
      </c>
      <c r="E14780" s="1" t="s">
        <v>10</v>
      </c>
      <c r="F14780" s="1" t="str">
        <f>"fde1:103:4:57a4:0:0:0:2"</f>
        <v>fde1:103:4:57a4:0:0:0:2</v>
      </c>
      <c r="G14780" s="1" t="str">
        <f>"0127S661"</f>
        <v>0127S661</v>
      </c>
      <c r="H14780" s="1" t="str">
        <f>"삼선지 41"</f>
        <v>삼선지 41</v>
      </c>
      <c r="I14780" s="1" t="s">
        <v>15</v>
      </c>
      <c r="J14780" s="1" t="str">
        <f>"43/43"</f>
        <v>43/43</v>
      </c>
      <c r="K14780" s="1" t="str">
        <f>"2026-07-29 14:20:09"</f>
        <v>2026-07-29 14:20:09</v>
      </c>
      <c r="L14780" s="1" t="str">
        <f>"2023-09-22 13:35:31"</f>
        <v>2023-09-22 13:35:31</v>
      </c>
      <c r="M14780" s="1" t="s">
        <v>4</v>
      </c>
      <c r="N14780" s="1" t="s">
        <v>38</v>
      </c>
      <c r="O14780" s="1" t="s">
        <v>46</v>
      </c>
    </row>
    <row r="14781" spans="2:15" x14ac:dyDescent="0.3">
      <c r="B14781" s="1" t="s">
        <v>19</v>
      </c>
      <c r="C14781" s="1" t="str">
        <f t="shared" si="751"/>
        <v>5-2차</v>
      </c>
      <c r="D14781" s="1" t="str">
        <f>"0127S6715M"</f>
        <v>0127S6715M</v>
      </c>
      <c r="E14781" s="1" t="s">
        <v>10</v>
      </c>
      <c r="F14781" s="1" t="str">
        <f>"fde1:103:4:57ad:0:0:0:2"</f>
        <v>fde1:103:4:57ad:0:0:0:2</v>
      </c>
      <c r="G14781" s="1" t="str">
        <f>"0127S671"</f>
        <v>0127S671</v>
      </c>
      <c r="H14781" s="1" t="str">
        <f>"삼선지 39"</f>
        <v>삼선지 39</v>
      </c>
      <c r="I14781" s="1" t="s">
        <v>15</v>
      </c>
      <c r="J14781" s="1" t="str">
        <f>"63/63"</f>
        <v>63/63</v>
      </c>
      <c r="K14781" s="1" t="str">
        <f>"2026-07-29 14:20:13"</f>
        <v>2026-07-29 14:20:13</v>
      </c>
      <c r="L14781" s="1" t="str">
        <f>"2023-09-25 09:30:20"</f>
        <v>2023-09-25 09:30:20</v>
      </c>
      <c r="M14781" s="1" t="s">
        <v>4</v>
      </c>
      <c r="N14781" s="1" t="s">
        <v>38</v>
      </c>
      <c r="O14781" s="1" t="s">
        <v>46</v>
      </c>
    </row>
    <row r="14782" spans="2:15" x14ac:dyDescent="0.3">
      <c r="B14782" s="1" t="s">
        <v>19</v>
      </c>
      <c r="C14782" s="1" t="str">
        <f>"5-1차"</f>
        <v>5-1차</v>
      </c>
      <c r="D14782" s="1" t="str">
        <f>"0127S6735M"</f>
        <v>0127S6735M</v>
      </c>
      <c r="E14782" s="1" t="s">
        <v>10</v>
      </c>
      <c r="F14782" s="1" t="str">
        <f>"fde2:104:0:81:0:0:0:2"</f>
        <v>fde2:104:0:81:0:0:0:2</v>
      </c>
      <c r="G14782" s="1" t="str">
        <f>"0127S673"</f>
        <v>0127S673</v>
      </c>
      <c r="H14782" s="1" t="str">
        <f>"삼선지 40"</f>
        <v>삼선지 40</v>
      </c>
      <c r="I14782" s="1" t="s">
        <v>15</v>
      </c>
      <c r="J14782" s="1" t="str">
        <f>"44/44"</f>
        <v>44/44</v>
      </c>
      <c r="K14782" s="1" t="str">
        <f>"2026-07-29 14:20:15"</f>
        <v>2026-07-29 14:20:15</v>
      </c>
      <c r="L14782" s="1" t="str">
        <f>"2022-09-07 08:40:31"</f>
        <v>2022-09-07 08:40:31</v>
      </c>
      <c r="M14782" s="1" t="s">
        <v>42</v>
      </c>
      <c r="N14782" s="1" t="s">
        <v>38</v>
      </c>
      <c r="O14782" s="1" t="s">
        <v>46</v>
      </c>
    </row>
    <row r="14783" spans="2:15" x14ac:dyDescent="0.3">
      <c r="B14783" s="1" t="s">
        <v>19</v>
      </c>
      <c r="C14783" s="1" t="str">
        <f>"5-2차"</f>
        <v>5-2차</v>
      </c>
      <c r="D14783" s="1" t="str">
        <f>"0127S6815M"</f>
        <v>0127S6815M</v>
      </c>
      <c r="E14783" s="1" t="s">
        <v>10</v>
      </c>
      <c r="F14783" s="1" t="str">
        <f>"fde1:103:4:576e:0:0:0:2"</f>
        <v>fde1:103:4:576e:0:0:0:2</v>
      </c>
      <c r="G14783" s="1" t="str">
        <f>"0127S681"</f>
        <v>0127S681</v>
      </c>
      <c r="H14783" s="1" t="str">
        <f>"삼선지 37"</f>
        <v>삼선지 37</v>
      </c>
      <c r="I14783" s="1" t="s">
        <v>15</v>
      </c>
      <c r="J14783" s="1" t="str">
        <f>"49/49"</f>
        <v>49/49</v>
      </c>
      <c r="K14783" s="1" t="str">
        <f>"2026-07-29 14:20:10"</f>
        <v>2026-07-29 14:20:10</v>
      </c>
      <c r="L14783" s="1" t="str">
        <f>"2023-09-25 09:30:53"</f>
        <v>2023-09-25 09:30:53</v>
      </c>
      <c r="M14783" s="1" t="s">
        <v>4</v>
      </c>
      <c r="N14783" s="1" t="s">
        <v>38</v>
      </c>
      <c r="O14783" s="1" t="s">
        <v>46</v>
      </c>
    </row>
    <row r="14784" spans="2:15" x14ac:dyDescent="0.3">
      <c r="B14784" s="1" t="s">
        <v>19</v>
      </c>
      <c r="C14784" s="1" t="str">
        <f>"4차"</f>
        <v>4차</v>
      </c>
      <c r="D14784" s="1" t="str">
        <f>"0127S70244"</f>
        <v>0127S70244</v>
      </c>
      <c r="E14784" s="1" t="s">
        <v>10</v>
      </c>
      <c r="F14784" s="1" t="str">
        <f>"10.107.121.99"</f>
        <v>10.107.121.99</v>
      </c>
      <c r="G14784" s="1" t="str">
        <f>"0127S702"</f>
        <v>0127S702</v>
      </c>
      <c r="H14784" s="1" t="str">
        <f>"안암간 46L1"</f>
        <v>안암간 46L1</v>
      </c>
      <c r="I14784" s="1" t="s">
        <v>8</v>
      </c>
      <c r="J14784" s="1" t="str">
        <f>"27/27"</f>
        <v>27/27</v>
      </c>
      <c r="K14784" s="1" t="str">
        <f>"2026-07-29 13:18:01"</f>
        <v>2026-07-29 13:18:01</v>
      </c>
      <c r="L14784" s="1" t="str">
        <f>"2019-12-13 08:59:07"</f>
        <v>2019-12-13 08:59:07</v>
      </c>
      <c r="M14784" s="1" t="s">
        <v>45</v>
      </c>
      <c r="N14784" s="1" t="s">
        <v>38</v>
      </c>
      <c r="O14784" s="1" t="s">
        <v>46</v>
      </c>
    </row>
    <row r="14785" spans="2:15" x14ac:dyDescent="0.3">
      <c r="B14785" s="1" t="s">
        <v>19</v>
      </c>
      <c r="C14785" s="1" t="str">
        <f>"5-2차"</f>
        <v>5-2차</v>
      </c>
      <c r="D14785" s="1" t="str">
        <f>"0127S7125M"</f>
        <v>0127S7125M</v>
      </c>
      <c r="E14785" s="1" t="s">
        <v>10</v>
      </c>
      <c r="F14785" s="1" t="str">
        <f>"fde1:103:4:575f:0:0:0:2"</f>
        <v>fde1:103:4:575f:0:0:0:2</v>
      </c>
      <c r="G14785" s="1" t="str">
        <f>"0127S712"</f>
        <v>0127S712</v>
      </c>
      <c r="H14785" s="1" t="str">
        <f>"안암간 45"</f>
        <v>안암간 45</v>
      </c>
      <c r="I14785" s="1" t="s">
        <v>15</v>
      </c>
      <c r="J14785" s="1" t="str">
        <f>"70/70"</f>
        <v>70/70</v>
      </c>
      <c r="K14785" s="1" t="str">
        <f>"2026-07-29 14:20:39"</f>
        <v>2026-07-29 14:20:39</v>
      </c>
      <c r="L14785" s="1" t="str">
        <f>"2023-09-25 09:43:17"</f>
        <v>2023-09-25 09:43:17</v>
      </c>
      <c r="M14785" s="1" t="s">
        <v>4</v>
      </c>
      <c r="N14785" s="1" t="s">
        <v>38</v>
      </c>
      <c r="O14785" s="1" t="s">
        <v>46</v>
      </c>
    </row>
    <row r="14786" spans="2:15" x14ac:dyDescent="0.3">
      <c r="B14786" s="1" t="s">
        <v>19</v>
      </c>
      <c r="C14786" s="1" t="str">
        <f>"5-2차"</f>
        <v>5-2차</v>
      </c>
      <c r="D14786" s="1" t="str">
        <f>"0127S7265M"</f>
        <v>0127S7265M</v>
      </c>
      <c r="E14786" s="1" t="s">
        <v>10</v>
      </c>
      <c r="F14786" s="1" t="str">
        <f>"fde1:103:4:583b:0:0:0:2"</f>
        <v>fde1:103:4:583b:0:0:0:2</v>
      </c>
      <c r="G14786" s="1" t="str">
        <f>"0127S726"</f>
        <v>0127S726</v>
      </c>
      <c r="H14786" s="1" t="str">
        <f>"안암간 44R1L1"</f>
        <v>안암간 44R1L1</v>
      </c>
      <c r="I14786" s="1" t="s">
        <v>15</v>
      </c>
      <c r="J14786" s="1" t="str">
        <f>"41/42"</f>
        <v>41/42</v>
      </c>
      <c r="K14786" s="1" t="str">
        <f>"2026-07-29 14:20:10"</f>
        <v>2026-07-29 14:20:10</v>
      </c>
      <c r="L14786" s="1" t="str">
        <f>"2023-09-25 09:43:51"</f>
        <v>2023-09-25 09:43:51</v>
      </c>
      <c r="M14786" s="1" t="s">
        <v>4</v>
      </c>
      <c r="N14786" s="1" t="s">
        <v>38</v>
      </c>
      <c r="O14786" s="1" t="s">
        <v>46</v>
      </c>
    </row>
    <row r="14787" spans="2:15" x14ac:dyDescent="0.3">
      <c r="B14787" s="1" t="s">
        <v>19</v>
      </c>
      <c r="C14787" s="1" t="str">
        <f>"5-2차"</f>
        <v>5-2차</v>
      </c>
      <c r="D14787" s="1" t="str">
        <f>"0127S7335M"</f>
        <v>0127S7335M</v>
      </c>
      <c r="E14787" s="1" t="s">
        <v>10</v>
      </c>
      <c r="F14787" s="1" t="str">
        <f>"fde1:103:4:570d:0:0:0:2"</f>
        <v>fde1:103:4:570d:0:0:0:2</v>
      </c>
      <c r="G14787" s="1" t="str">
        <f>"0127S733"</f>
        <v>0127S733</v>
      </c>
      <c r="H14787" s="1" t="str">
        <f>"삼선지 44R3"</f>
        <v>삼선지 44R3</v>
      </c>
      <c r="I14787" s="1" t="s">
        <v>15</v>
      </c>
      <c r="J14787" s="1" t="str">
        <f>"28/28"</f>
        <v>28/28</v>
      </c>
      <c r="K14787" s="1" t="str">
        <f>"2026-07-29 14:20:41"</f>
        <v>2026-07-29 14:20:41</v>
      </c>
      <c r="L14787" s="1" t="str">
        <f>"2023-09-25 09:57:59"</f>
        <v>2023-09-25 09:57:59</v>
      </c>
      <c r="M14787" s="1" t="s">
        <v>4</v>
      </c>
      <c r="N14787" s="1" t="s">
        <v>38</v>
      </c>
      <c r="O14787" s="1" t="s">
        <v>46</v>
      </c>
    </row>
    <row r="14788" spans="2:15" x14ac:dyDescent="0.3">
      <c r="B14788" s="1" t="s">
        <v>19</v>
      </c>
      <c r="C14788" s="1" t="str">
        <f>"5-2차"</f>
        <v>5-2차</v>
      </c>
      <c r="D14788" s="1" t="str">
        <f>"0127S7725M"</f>
        <v>0127S7725M</v>
      </c>
      <c r="E14788" s="1" t="s">
        <v>10</v>
      </c>
      <c r="F14788" s="1" t="str">
        <f>"fde3:102:1410:6400:0:0:0:2"</f>
        <v>fde3:102:1410:6400:0:0:0:2</v>
      </c>
      <c r="G14788" s="1" t="str">
        <f>"0127S772"</f>
        <v>0127S772</v>
      </c>
      <c r="H14788" s="1" t="str">
        <f>"삼선지 44L7"</f>
        <v>삼선지 44L7</v>
      </c>
      <c r="I14788" s="1" t="s">
        <v>15</v>
      </c>
      <c r="J14788" s="1" t="str">
        <f>"42/43"</f>
        <v>42/43</v>
      </c>
      <c r="K14788" s="1" t="str">
        <f>"2026-07-29 14:20:17"</f>
        <v>2026-07-29 14:20:17</v>
      </c>
      <c r="L14788" s="1" t="str">
        <f>"2023-11-30 08:36:23"</f>
        <v>2023-11-30 08:36:23</v>
      </c>
      <c r="M14788" s="1" t="s">
        <v>45</v>
      </c>
      <c r="N14788" s="1" t="s">
        <v>38</v>
      </c>
      <c r="O14788" s="1" t="s">
        <v>46</v>
      </c>
    </row>
    <row r="14789" spans="2:15" x14ac:dyDescent="0.3">
      <c r="B14789" s="1" t="s">
        <v>19</v>
      </c>
      <c r="C14789" s="1" t="str">
        <f>"4차"</f>
        <v>4차</v>
      </c>
      <c r="D14789" s="1" t="str">
        <f>"0127S80144"</f>
        <v>0127S80144</v>
      </c>
      <c r="E14789" s="1" t="s">
        <v>10</v>
      </c>
      <c r="F14789" s="1" t="str">
        <f>"10.107.121.100"</f>
        <v>10.107.121.100</v>
      </c>
      <c r="G14789" s="1" t="str">
        <f>"0127S801"</f>
        <v>0127S801</v>
      </c>
      <c r="H14789" s="1" t="str">
        <f>"안암간 46L2"</f>
        <v>안암간 46L2</v>
      </c>
      <c r="I14789" s="1" t="s">
        <v>8</v>
      </c>
      <c r="J14789" s="1" t="str">
        <f>"8/14"</f>
        <v>8/14</v>
      </c>
      <c r="K14789" s="1" t="str">
        <f>"2026-07-29 13:18:02"</f>
        <v>2026-07-29 13:18:02</v>
      </c>
      <c r="L14789" s="1" t="str">
        <f>"2019-11-12 20:17:05"</f>
        <v>2019-11-12 20:17:05</v>
      </c>
      <c r="M14789" s="1" t="s">
        <v>45</v>
      </c>
      <c r="N14789" s="1" t="s">
        <v>38</v>
      </c>
      <c r="O14789" s="1" t="s">
        <v>46</v>
      </c>
    </row>
    <row r="14790" spans="2:15" x14ac:dyDescent="0.3">
      <c r="B14790" s="1" t="s">
        <v>19</v>
      </c>
      <c r="C14790" s="1" t="str">
        <f>"5-2차"</f>
        <v>5-2차</v>
      </c>
      <c r="D14790" s="1" t="str">
        <f>"0127S8215M"</f>
        <v>0127S8215M</v>
      </c>
      <c r="E14790" s="1" t="s">
        <v>10</v>
      </c>
      <c r="F14790" s="1" t="str">
        <f>"fde1:103:4:5759:0:0:0:2"</f>
        <v>fde1:103:4:5759:0:0:0:2</v>
      </c>
      <c r="G14790" s="1" t="str">
        <f>"0127S821"</f>
        <v>0127S821</v>
      </c>
      <c r="H14790" s="1" t="str">
        <f>"삼선지 46"</f>
        <v>삼선지 46</v>
      </c>
      <c r="I14790" s="1" t="s">
        <v>15</v>
      </c>
      <c r="J14790" s="1" t="str">
        <f>"43/43"</f>
        <v>43/43</v>
      </c>
      <c r="K14790" s="1" t="str">
        <f>"2026-07-29 14:20:41"</f>
        <v>2026-07-29 14:20:41</v>
      </c>
      <c r="L14790" s="1" t="str">
        <f>"2023-09-25 09:58:33"</f>
        <v>2023-09-25 09:58:33</v>
      </c>
      <c r="M14790" s="1" t="s">
        <v>4</v>
      </c>
      <c r="N14790" s="1" t="s">
        <v>38</v>
      </c>
      <c r="O14790" s="1" t="s">
        <v>46</v>
      </c>
    </row>
    <row r="14791" spans="2:15" x14ac:dyDescent="0.3">
      <c r="B14791" s="1" t="s">
        <v>19</v>
      </c>
      <c r="C14791" s="1" t="str">
        <f>"5-2차"</f>
        <v>5-2차</v>
      </c>
      <c r="D14791" s="1" t="str">
        <f>"0127S8725M"</f>
        <v>0127S8725M</v>
      </c>
      <c r="E14791" s="1" t="s">
        <v>10</v>
      </c>
      <c r="F14791" s="1" t="str">
        <f>"fde1:103:4:5707:0:0:0:2"</f>
        <v>fde1:103:4:5707:0:0:0:2</v>
      </c>
      <c r="G14791" s="1" t="str">
        <f>"0127S872"</f>
        <v>0127S872</v>
      </c>
      <c r="H14791" s="1" t="str">
        <f>"용문지 47R7"</f>
        <v>용문지 47R7</v>
      </c>
      <c r="I14791" s="1" t="s">
        <v>15</v>
      </c>
      <c r="J14791" s="1" t="str">
        <f>"37/37"</f>
        <v>37/37</v>
      </c>
      <c r="K14791" s="1" t="str">
        <f>"2026-07-29 14:20:10"</f>
        <v>2026-07-29 14:20:10</v>
      </c>
      <c r="L14791" s="1" t="str">
        <f>"2023-09-25 10:16:09"</f>
        <v>2023-09-25 10:16:09</v>
      </c>
      <c r="M14791" s="1" t="s">
        <v>4</v>
      </c>
      <c r="N14791" s="1" t="s">
        <v>38</v>
      </c>
      <c r="O14791" s="1" t="s">
        <v>46</v>
      </c>
    </row>
    <row r="14792" spans="2:15" x14ac:dyDescent="0.3">
      <c r="B14792" s="1" t="s">
        <v>19</v>
      </c>
      <c r="C14792" s="1" t="str">
        <f>"5-2차"</f>
        <v>5-2차</v>
      </c>
      <c r="D14792" s="1" t="str">
        <f>"0127S8815M"</f>
        <v>0127S8815M</v>
      </c>
      <c r="E14792" s="1" t="s">
        <v>10</v>
      </c>
      <c r="F14792" s="1" t="str">
        <f>"fde1:103:4:570c:0:0:0:2"</f>
        <v>fde1:103:4:570c:0:0:0:2</v>
      </c>
      <c r="G14792" s="1" t="str">
        <f>"0127S881"</f>
        <v>0127S881</v>
      </c>
      <c r="H14792" s="1" t="str">
        <f>"용문지 43"</f>
        <v>용문지 43</v>
      </c>
      <c r="I14792" s="1" t="s">
        <v>15</v>
      </c>
      <c r="J14792" s="1" t="str">
        <f>"55/56"</f>
        <v>55/56</v>
      </c>
      <c r="K14792" s="1" t="str">
        <f>"2026-07-29 14:20:10"</f>
        <v>2026-07-29 14:20:10</v>
      </c>
      <c r="L14792" s="1" t="str">
        <f>"2023-09-25 10:17:38"</f>
        <v>2023-09-25 10:17:38</v>
      </c>
      <c r="M14792" s="1" t="s">
        <v>4</v>
      </c>
      <c r="N14792" s="1" t="s">
        <v>38</v>
      </c>
      <c r="O14792" s="1" t="s">
        <v>46</v>
      </c>
    </row>
    <row r="14793" spans="2:15" x14ac:dyDescent="0.3">
      <c r="B14793" s="1" t="s">
        <v>19</v>
      </c>
      <c r="C14793" s="1" t="str">
        <f>"5-2차"</f>
        <v>5-2차</v>
      </c>
      <c r="D14793" s="1" t="str">
        <f>"0127S8915S"</f>
        <v>0127S8915S</v>
      </c>
      <c r="E14793" s="1" t="s">
        <v>10</v>
      </c>
      <c r="F14793" s="1" t="str">
        <f>"fde1:103:4:5729:0:0:0:2"</f>
        <v>fde1:103:4:5729:0:0:0:2</v>
      </c>
      <c r="G14793" s="1" t="str">
        <f>"0127S891"</f>
        <v>0127S891</v>
      </c>
      <c r="H14793" s="1" t="str">
        <f>"용문지 41"</f>
        <v>용문지 41</v>
      </c>
      <c r="I14793" s="1" t="s">
        <v>15</v>
      </c>
      <c r="J14793" s="1" t="str">
        <f>"43/43"</f>
        <v>43/43</v>
      </c>
      <c r="K14793" s="1" t="str">
        <f>"2026-07-29 08:20:01"</f>
        <v>2026-07-29 08:20:01</v>
      </c>
      <c r="L14793" s="1" t="str">
        <f>"2023-09-25 11:00:50"</f>
        <v>2023-09-25 11:00:50</v>
      </c>
      <c r="M14793" s="1" t="s">
        <v>4</v>
      </c>
      <c r="N14793" s="1" t="s">
        <v>38</v>
      </c>
      <c r="O14793" s="1" t="s">
        <v>46</v>
      </c>
    </row>
    <row r="14794" spans="2:15" x14ac:dyDescent="0.3">
      <c r="B14794" s="1" t="s">
        <v>19</v>
      </c>
      <c r="C14794" s="1" t="str">
        <f>"3차"</f>
        <v>3차</v>
      </c>
      <c r="D14794" s="1" t="str">
        <f>"0127S91139"</f>
        <v>0127S91139</v>
      </c>
      <c r="E14794" s="1" t="s">
        <v>10</v>
      </c>
      <c r="F14794" s="1" t="str">
        <f>"10.14.8.119"</f>
        <v>10.14.8.119</v>
      </c>
      <c r="G14794" s="1" t="str">
        <f>"0127S911"</f>
        <v>0127S911</v>
      </c>
      <c r="H14794" s="1" t="str">
        <f>"삼선지 49"</f>
        <v>삼선지 49</v>
      </c>
      <c r="I14794" s="1" t="s">
        <v>8</v>
      </c>
      <c r="J14794" s="1" t="str">
        <f>"1/3"</f>
        <v>1/3</v>
      </c>
      <c r="K14794" s="1" t="str">
        <f>"2026-07-29 13:18:01"</f>
        <v>2026-07-29 13:18:01</v>
      </c>
      <c r="L14794" s="1" t="str">
        <f>"2018-04-20 16:22:16"</f>
        <v>2018-04-20 16:22:16</v>
      </c>
      <c r="M14794" s="1" t="s">
        <v>3</v>
      </c>
      <c r="N14794" s="1" t="s">
        <v>38</v>
      </c>
      <c r="O14794" s="1" t="s">
        <v>46</v>
      </c>
    </row>
    <row r="14795" spans="2:15" x14ac:dyDescent="0.3">
      <c r="B14795" s="1" t="s">
        <v>19</v>
      </c>
      <c r="C14795" s="1" t="str">
        <f t="shared" ref="C14795:C14803" si="752">"5-2차"</f>
        <v>5-2차</v>
      </c>
      <c r="D14795" s="1" t="str">
        <f>"0127S9425M"</f>
        <v>0127S9425M</v>
      </c>
      <c r="E14795" s="1" t="s">
        <v>10</v>
      </c>
      <c r="F14795" s="1" t="str">
        <f>"fde1:103:4:5773:0:0:0:2"</f>
        <v>fde1:103:4:5773:0:0:0:2</v>
      </c>
      <c r="G14795" s="1" t="str">
        <f>"0127S942"</f>
        <v>0127S942</v>
      </c>
      <c r="H14795" s="1" t="str">
        <f>"용문지 47R1"</f>
        <v>용문지 47R1</v>
      </c>
      <c r="I14795" s="1" t="s">
        <v>15</v>
      </c>
      <c r="J14795" s="1" t="str">
        <f>"43/43"</f>
        <v>43/43</v>
      </c>
      <c r="K14795" s="1" t="str">
        <f>"2026-07-29 14:20:11"</f>
        <v>2026-07-29 14:20:11</v>
      </c>
      <c r="L14795" s="1" t="str">
        <f>"2023-09-25 11:03:05"</f>
        <v>2023-09-25 11:03:05</v>
      </c>
      <c r="M14795" s="1" t="s">
        <v>4</v>
      </c>
      <c r="N14795" s="1" t="s">
        <v>38</v>
      </c>
      <c r="O14795" s="1" t="s">
        <v>46</v>
      </c>
    </row>
    <row r="14796" spans="2:15" x14ac:dyDescent="0.3">
      <c r="B14796" s="1" t="s">
        <v>19</v>
      </c>
      <c r="C14796" s="1" t="str">
        <f t="shared" si="752"/>
        <v>5-2차</v>
      </c>
      <c r="D14796" s="1" t="str">
        <f>"0127S9715S"</f>
        <v>0127S9715S</v>
      </c>
      <c r="E14796" s="1" t="s">
        <v>10</v>
      </c>
      <c r="F14796" s="1" t="str">
        <f>"fde1:103:4:5784:0:0:0:2"</f>
        <v>fde1:103:4:5784:0:0:0:2</v>
      </c>
      <c r="G14796" s="1" t="str">
        <f>"0127S971"</f>
        <v>0127S971</v>
      </c>
      <c r="H14796" s="1" t="str">
        <f>"용문지 44"</f>
        <v>용문지 44</v>
      </c>
      <c r="I14796" s="1" t="s">
        <v>15</v>
      </c>
      <c r="J14796" s="1" t="str">
        <f>"30/30"</f>
        <v>30/30</v>
      </c>
      <c r="K14796" s="1" t="str">
        <f>"2026-07-29 14:20:12"</f>
        <v>2026-07-29 14:20:12</v>
      </c>
      <c r="L14796" s="1" t="str">
        <f>"2023-09-25 11:28:33"</f>
        <v>2023-09-25 11:28:33</v>
      </c>
      <c r="M14796" s="1" t="s">
        <v>4</v>
      </c>
      <c r="N14796" s="1" t="s">
        <v>38</v>
      </c>
      <c r="O14796" s="1" t="s">
        <v>46</v>
      </c>
    </row>
    <row r="14797" spans="2:15" x14ac:dyDescent="0.3">
      <c r="B14797" s="1" t="s">
        <v>19</v>
      </c>
      <c r="C14797" s="1" t="str">
        <f t="shared" si="752"/>
        <v>5-2차</v>
      </c>
      <c r="D14797" s="1" t="str">
        <f>"0127S9725M"</f>
        <v>0127S9725M</v>
      </c>
      <c r="E14797" s="1" t="s">
        <v>10</v>
      </c>
      <c r="F14797" s="1" t="str">
        <f>"fde1:103:4:577c:0:0:0:2"</f>
        <v>fde1:103:4:577c:0:0:0:2</v>
      </c>
      <c r="G14797" s="1" t="str">
        <f>"0127S972"</f>
        <v>0127S972</v>
      </c>
      <c r="H14797" s="1" t="str">
        <f>"용문지 44L1"</f>
        <v>용문지 44L1</v>
      </c>
      <c r="I14797" s="1" t="s">
        <v>15</v>
      </c>
      <c r="J14797" s="1" t="str">
        <f>"65/74"</f>
        <v>65/74</v>
      </c>
      <c r="K14797" s="1" t="str">
        <f>"2026-07-29 14:20:01"</f>
        <v>2026-07-29 14:20:01</v>
      </c>
      <c r="L14797" s="1" t="str">
        <f>"2023-09-25 11:29:21"</f>
        <v>2023-09-25 11:29:21</v>
      </c>
      <c r="M14797" s="1" t="s">
        <v>4</v>
      </c>
      <c r="N14797" s="1" t="s">
        <v>38</v>
      </c>
      <c r="O14797" s="1" t="s">
        <v>46</v>
      </c>
    </row>
    <row r="14798" spans="2:15" x14ac:dyDescent="0.3">
      <c r="B14798" s="1" t="s">
        <v>19</v>
      </c>
      <c r="C14798" s="1" t="str">
        <f t="shared" si="752"/>
        <v>5-2차</v>
      </c>
      <c r="D14798" s="1" t="str">
        <f>"0127S9925M"</f>
        <v>0127S9925M</v>
      </c>
      <c r="E14798" s="1" t="s">
        <v>10</v>
      </c>
      <c r="F14798" s="1" t="str">
        <f>"fde1:103:4:571e:0:0:0:2"</f>
        <v>fde1:103:4:571e:0:0:0:2</v>
      </c>
      <c r="G14798" s="1" t="str">
        <f>"0127S992"</f>
        <v>0127S992</v>
      </c>
      <c r="H14798" s="1" t="str">
        <f>"용문지 44L2L2"</f>
        <v>용문지 44L2L2</v>
      </c>
      <c r="I14798" s="1" t="s">
        <v>15</v>
      </c>
      <c r="J14798" s="1" t="str">
        <f>"108/110"</f>
        <v>108/110</v>
      </c>
      <c r="K14798" s="1" t="str">
        <f>"2026-07-29 08:20:36"</f>
        <v>2026-07-29 08:20:36</v>
      </c>
      <c r="L14798" s="1" t="str">
        <f>"2023-09-25 13:26:50"</f>
        <v>2023-09-25 13:26:50</v>
      </c>
      <c r="M14798" s="1" t="s">
        <v>4</v>
      </c>
      <c r="N14798" s="1" t="s">
        <v>38</v>
      </c>
      <c r="O14798" s="1" t="s">
        <v>46</v>
      </c>
    </row>
    <row r="14799" spans="2:15" x14ac:dyDescent="0.3">
      <c r="B14799" s="1" t="s">
        <v>19</v>
      </c>
      <c r="C14799" s="1" t="str">
        <f t="shared" si="752"/>
        <v>5-2차</v>
      </c>
      <c r="D14799" s="1" t="str">
        <f>"0127W0515M"</f>
        <v>0127W0515M</v>
      </c>
      <c r="E14799" s="1" t="s">
        <v>10</v>
      </c>
      <c r="F14799" s="1" t="str">
        <f>"fde1:103:4:57a8:0:0:0:2"</f>
        <v>fde1:103:4:57a8:0:0:0:2</v>
      </c>
      <c r="G14799" s="1" t="str">
        <f>"0127W051"</f>
        <v>0127W051</v>
      </c>
      <c r="H14799" s="1" t="str">
        <f>"용문지 37L7L2"</f>
        <v>용문지 37L7L2</v>
      </c>
      <c r="I14799" s="1" t="s">
        <v>15</v>
      </c>
      <c r="J14799" s="1" t="str">
        <f>"17/17"</f>
        <v>17/17</v>
      </c>
      <c r="K14799" s="1" t="str">
        <f>"2026-07-29 14:20:11"</f>
        <v>2026-07-29 14:20:11</v>
      </c>
      <c r="L14799" s="1" t="str">
        <f>"2023-09-25 14:02:40"</f>
        <v>2023-09-25 14:02:40</v>
      </c>
      <c r="M14799" s="1" t="s">
        <v>4</v>
      </c>
      <c r="N14799" s="1" t="s">
        <v>38</v>
      </c>
      <c r="O14799" s="1" t="s">
        <v>46</v>
      </c>
    </row>
    <row r="14800" spans="2:15" x14ac:dyDescent="0.3">
      <c r="B14800" s="1" t="s">
        <v>19</v>
      </c>
      <c r="C14800" s="1" t="str">
        <f t="shared" si="752"/>
        <v>5-2차</v>
      </c>
      <c r="D14800" s="1" t="str">
        <f>"0127W0615M"</f>
        <v>0127W0615M</v>
      </c>
      <c r="E14800" s="1" t="s">
        <v>10</v>
      </c>
      <c r="F14800" s="1" t="str">
        <f>"fde1:103:4:5722:0:0:0:2"</f>
        <v>fde1:103:4:5722:0:0:0:2</v>
      </c>
      <c r="G14800" s="1" t="str">
        <f>"0127W061"</f>
        <v>0127W061</v>
      </c>
      <c r="H14800" s="1" t="str">
        <f>"용문지 26L5R5"</f>
        <v>용문지 26L5R5</v>
      </c>
      <c r="I14800" s="1" t="s">
        <v>15</v>
      </c>
      <c r="J14800" s="1" t="str">
        <f>"35/35"</f>
        <v>35/35</v>
      </c>
      <c r="K14800" s="1" t="str">
        <f>"2026-07-29 08:20:35"</f>
        <v>2026-07-29 08:20:35</v>
      </c>
      <c r="L14800" s="1" t="str">
        <f>"2023-09-25 14:17:27"</f>
        <v>2023-09-25 14:17:27</v>
      </c>
      <c r="M14800" s="1" t="s">
        <v>4</v>
      </c>
      <c r="N14800" s="1" t="s">
        <v>38</v>
      </c>
      <c r="O14800" s="1" t="s">
        <v>46</v>
      </c>
    </row>
    <row r="14801" spans="2:15" x14ac:dyDescent="0.3">
      <c r="B14801" s="1" t="s">
        <v>19</v>
      </c>
      <c r="C14801" s="1" t="str">
        <f t="shared" si="752"/>
        <v>5-2차</v>
      </c>
      <c r="D14801" s="1" t="str">
        <f>"0127W0825S"</f>
        <v>0127W0825S</v>
      </c>
      <c r="E14801" s="1" t="s">
        <v>10</v>
      </c>
      <c r="F14801" s="1" t="str">
        <f>"fde1:103:4:57c2:0:0:0:2"</f>
        <v>fde1:103:4:57c2:0:0:0:2</v>
      </c>
      <c r="G14801" s="1" t="str">
        <f>"0127W082"</f>
        <v>0127W082</v>
      </c>
      <c r="H14801" s="1" t="str">
        <f>"용문지 26L6R2"</f>
        <v>용문지 26L6R2</v>
      </c>
      <c r="I14801" s="1" t="s">
        <v>15</v>
      </c>
      <c r="J14801" s="1" t="str">
        <f>"57/60"</f>
        <v>57/60</v>
      </c>
      <c r="K14801" s="1" t="str">
        <f>"2026-07-29 14:20:11"</f>
        <v>2026-07-29 14:20:11</v>
      </c>
      <c r="L14801" s="1" t="str">
        <f>"2023-09-25 14:18:09"</f>
        <v>2023-09-25 14:18:09</v>
      </c>
      <c r="M14801" s="1" t="s">
        <v>4</v>
      </c>
      <c r="N14801" s="1" t="s">
        <v>38</v>
      </c>
      <c r="O14801" s="1" t="s">
        <v>46</v>
      </c>
    </row>
    <row r="14802" spans="2:15" x14ac:dyDescent="0.3">
      <c r="B14802" s="1" t="s">
        <v>19</v>
      </c>
      <c r="C14802" s="1" t="str">
        <f t="shared" si="752"/>
        <v>5-2차</v>
      </c>
      <c r="D14802" s="1" t="str">
        <f>"0127W0925M"</f>
        <v>0127W0925M</v>
      </c>
      <c r="E14802" s="1" t="s">
        <v>10</v>
      </c>
      <c r="F14802" s="1" t="str">
        <f>"fde1:103:4:57d9:0:0:0:2"</f>
        <v>fde1:103:4:57d9:0:0:0:2</v>
      </c>
      <c r="G14802" s="1" t="str">
        <f>"0127W092"</f>
        <v>0127W092</v>
      </c>
      <c r="H14802" s="1" t="str">
        <f>"용문지 26L8"</f>
        <v>용문지 26L8</v>
      </c>
      <c r="I14802" s="1" t="s">
        <v>15</v>
      </c>
      <c r="J14802" s="1" t="str">
        <f>"51/51"</f>
        <v>51/51</v>
      </c>
      <c r="K14802" s="1" t="str">
        <f>"2026-07-29 14:20:11"</f>
        <v>2026-07-29 14:20:11</v>
      </c>
      <c r="L14802" s="1" t="str">
        <f>"2023-09-25 14:32:36"</f>
        <v>2023-09-25 14:32:36</v>
      </c>
      <c r="M14802" s="1" t="s">
        <v>4</v>
      </c>
      <c r="N14802" s="1" t="s">
        <v>38</v>
      </c>
      <c r="O14802" s="1" t="s">
        <v>46</v>
      </c>
    </row>
    <row r="14803" spans="2:15" x14ac:dyDescent="0.3">
      <c r="B14803" s="1" t="s">
        <v>19</v>
      </c>
      <c r="C14803" s="1" t="str">
        <f t="shared" si="752"/>
        <v>5-2차</v>
      </c>
      <c r="D14803" s="1" t="str">
        <f>"0127W1615M"</f>
        <v>0127W1615M</v>
      </c>
      <c r="E14803" s="1" t="s">
        <v>10</v>
      </c>
      <c r="F14803" s="1" t="str">
        <f>"fde1:103:4:57d6:0:0:0:2"</f>
        <v>fde1:103:4:57d6:0:0:0:2</v>
      </c>
      <c r="G14803" s="1" t="str">
        <f>"0127W161"</f>
        <v>0127W161</v>
      </c>
      <c r="H14803" s="1" t="str">
        <f>"용문지 26L5R6"</f>
        <v>용문지 26L5R6</v>
      </c>
      <c r="I14803" s="1" t="s">
        <v>15</v>
      </c>
      <c r="J14803" s="1" t="str">
        <f>"63/68"</f>
        <v>63/68</v>
      </c>
      <c r="K14803" s="1" t="str">
        <f>"2026-07-29 14:20:12"</f>
        <v>2026-07-29 14:20:12</v>
      </c>
      <c r="L14803" s="1" t="str">
        <f>"2023-09-25 14:33:08"</f>
        <v>2023-09-25 14:33:08</v>
      </c>
      <c r="M14803" s="1" t="s">
        <v>4</v>
      </c>
      <c r="N14803" s="1" t="s">
        <v>38</v>
      </c>
      <c r="O14803" s="1" t="s">
        <v>46</v>
      </c>
    </row>
    <row r="14804" spans="2:15" x14ac:dyDescent="0.3">
      <c r="B14804" s="1" t="s">
        <v>19</v>
      </c>
      <c r="C14804" s="1" t="str">
        <f>"4차"</f>
        <v>4차</v>
      </c>
      <c r="D14804" s="1" t="str">
        <f>"0127W16239"</f>
        <v>0127W16239</v>
      </c>
      <c r="E14804" s="1" t="s">
        <v>10</v>
      </c>
      <c r="F14804" s="1" t="str">
        <f>"10.12.133.117"</f>
        <v>10.12.133.117</v>
      </c>
      <c r="G14804" s="1" t="str">
        <f>"0127W162"</f>
        <v>0127W162</v>
      </c>
      <c r="H14804" s="1" t="str">
        <f>"용문지 26L5R7"</f>
        <v>용문지 26L5R7</v>
      </c>
      <c r="I14804" s="1" t="s">
        <v>17</v>
      </c>
      <c r="J14804" s="1" t="str">
        <f>"43/43"</f>
        <v>43/43</v>
      </c>
      <c r="K14804" s="1" t="str">
        <f>"2026-07-29 13:18:03"</f>
        <v>2026-07-29 13:18:03</v>
      </c>
      <c r="L14804" s="1" t="str">
        <f>"2018-09-20 13:30:28"</f>
        <v>2018-09-20 13:30:28</v>
      </c>
      <c r="M14804" s="1" t="s">
        <v>0</v>
      </c>
      <c r="N14804" s="1" t="s">
        <v>38</v>
      </c>
      <c r="O14804" s="1" t="s">
        <v>46</v>
      </c>
    </row>
    <row r="14805" spans="2:15" x14ac:dyDescent="0.3">
      <c r="B14805" s="1" t="s">
        <v>19</v>
      </c>
      <c r="C14805" s="1" t="str">
        <f>"5-2차"</f>
        <v>5-2차</v>
      </c>
      <c r="D14805" s="1" t="str">
        <f>"0127W1715S"</f>
        <v>0127W1715S</v>
      </c>
      <c r="E14805" s="1" t="s">
        <v>10</v>
      </c>
      <c r="F14805" s="1" t="str">
        <f>"fde1:103:4:57a7:0:0:0:2"</f>
        <v>fde1:103:4:57a7:0:0:0:2</v>
      </c>
      <c r="G14805" s="1" t="str">
        <f>"0127W171"</f>
        <v>0127W171</v>
      </c>
      <c r="H14805" s="1" t="str">
        <f>"용문지 26L5R2L3"</f>
        <v>용문지 26L5R2L3</v>
      </c>
      <c r="I14805" s="1" t="s">
        <v>15</v>
      </c>
      <c r="J14805" s="1" t="str">
        <f>"86/86"</f>
        <v>86/86</v>
      </c>
      <c r="K14805" s="1" t="str">
        <f>"2026-07-29 14:20:12"</f>
        <v>2026-07-29 14:20:12</v>
      </c>
      <c r="L14805" s="1" t="str">
        <f>"2023-09-25 15:19:11"</f>
        <v>2023-09-25 15:19:11</v>
      </c>
      <c r="M14805" s="1" t="s">
        <v>4</v>
      </c>
      <c r="N14805" s="1" t="s">
        <v>38</v>
      </c>
      <c r="O14805" s="1" t="s">
        <v>46</v>
      </c>
    </row>
    <row r="14806" spans="2:15" x14ac:dyDescent="0.3">
      <c r="B14806" s="1" t="s">
        <v>19</v>
      </c>
      <c r="C14806" s="1" t="str">
        <f>"4차"</f>
        <v>4차</v>
      </c>
      <c r="D14806" s="1" t="str">
        <f>"0127W26339"</f>
        <v>0127W26339</v>
      </c>
      <c r="E14806" s="1" t="s">
        <v>10</v>
      </c>
      <c r="F14806" s="1" t="str">
        <f>"10.12.133.99"</f>
        <v>10.12.133.99</v>
      </c>
      <c r="G14806" s="1" t="str">
        <f>"0127W263"</f>
        <v>0127W263</v>
      </c>
      <c r="H14806" s="1" t="str">
        <f>"용문지 26L5R8"</f>
        <v>용문지 26L5R8</v>
      </c>
      <c r="I14806" s="1" t="s">
        <v>17</v>
      </c>
      <c r="J14806" s="1" t="str">
        <f>"97/106"</f>
        <v>97/106</v>
      </c>
      <c r="K14806" s="1" t="str">
        <f>"2026-07-29 13:18:02"</f>
        <v>2026-07-29 13:18:02</v>
      </c>
      <c r="L14806" s="1" t="str">
        <f>"2018-12-17 14:27:12"</f>
        <v>2018-12-17 14:27:12</v>
      </c>
      <c r="M14806" s="1" t="s">
        <v>0</v>
      </c>
      <c r="N14806" s="1" t="s">
        <v>38</v>
      </c>
      <c r="O14806" s="1" t="s">
        <v>46</v>
      </c>
    </row>
    <row r="14807" spans="2:15" x14ac:dyDescent="0.3">
      <c r="B14807" s="1" t="s">
        <v>19</v>
      </c>
      <c r="C14807" s="1" t="str">
        <f>"5-2차"</f>
        <v>5-2차</v>
      </c>
      <c r="D14807" s="1" t="str">
        <f>"0127W3815M"</f>
        <v>0127W3815M</v>
      </c>
      <c r="E14807" s="1" t="s">
        <v>10</v>
      </c>
      <c r="F14807" s="1" t="str">
        <f>"fde1:103:4:57f6:0:0:0:2"</f>
        <v>fde1:103:4:57f6:0:0:0:2</v>
      </c>
      <c r="G14807" s="1" t="str">
        <f>"0127W381"</f>
        <v>0127W381</v>
      </c>
      <c r="H14807" s="1" t="str">
        <f>"개운간 14R26"</f>
        <v>개운간 14R26</v>
      </c>
      <c r="I14807" s="1" t="s">
        <v>15</v>
      </c>
      <c r="J14807" s="1" t="str">
        <f>"79/79"</f>
        <v>79/79</v>
      </c>
      <c r="K14807" s="1" t="str">
        <f>"2026-07-29 14:20:00"</f>
        <v>2026-07-29 14:20:00</v>
      </c>
      <c r="L14807" s="1" t="str">
        <f>"2023-09-25 15:19:50"</f>
        <v>2023-09-25 15:19:50</v>
      </c>
      <c r="M14807" s="1" t="s">
        <v>4</v>
      </c>
      <c r="N14807" s="1" t="s">
        <v>38</v>
      </c>
      <c r="O14807" s="1" t="s">
        <v>46</v>
      </c>
    </row>
    <row r="14808" spans="2:15" x14ac:dyDescent="0.3">
      <c r="B14808" s="1" t="s">
        <v>19</v>
      </c>
      <c r="C14808" s="1" t="str">
        <f>"5-1차"</f>
        <v>5-1차</v>
      </c>
      <c r="D14808" s="1" t="str">
        <f>"0127W9025M"</f>
        <v>0127W9025M</v>
      </c>
      <c r="E14808" s="1" t="s">
        <v>10</v>
      </c>
      <c r="F14808" s="1" t="str">
        <f>"fde2:104:0:25:0:0:0:2"</f>
        <v>fde2:104:0:25:0:0:0:2</v>
      </c>
      <c r="G14808" s="1" t="str">
        <f>"0127W902"</f>
        <v>0127W902</v>
      </c>
      <c r="H14808" s="1" t="str">
        <f>"용문지 72L7HL5"</f>
        <v>용문지 72L7HL5</v>
      </c>
      <c r="I14808" s="1" t="s">
        <v>15</v>
      </c>
      <c r="J14808" s="1" t="str">
        <f>"88/88"</f>
        <v>88/88</v>
      </c>
      <c r="K14808" s="1" t="str">
        <f>"2026-07-29 14:20:13"</f>
        <v>2026-07-29 14:20:13</v>
      </c>
      <c r="L14808" s="1" t="str">
        <f>"2022-09-07 09:51:00"</f>
        <v>2022-09-07 09:51:00</v>
      </c>
      <c r="M14808" s="1" t="s">
        <v>42</v>
      </c>
      <c r="N14808" s="1" t="s">
        <v>38</v>
      </c>
      <c r="O14808" s="1" t="s">
        <v>46</v>
      </c>
    </row>
    <row r="14809" spans="2:15" x14ac:dyDescent="0.3">
      <c r="B14809" s="1" t="s">
        <v>19</v>
      </c>
      <c r="C14809" s="1" t="str">
        <f>"5-2차"</f>
        <v>5-2차</v>
      </c>
      <c r="D14809" s="1" t="str">
        <f>"0127W9215M"</f>
        <v>0127W9215M</v>
      </c>
      <c r="E14809" s="1" t="s">
        <v>10</v>
      </c>
      <c r="F14809" s="1" t="str">
        <f>"fde1:103:4:5754:0:0:0:2"</f>
        <v>fde1:103:4:5754:0:0:0:2</v>
      </c>
      <c r="G14809" s="1" t="str">
        <f>"0127W921"</f>
        <v>0127W921</v>
      </c>
      <c r="H14809" s="1" t="str">
        <f>"용문지 72L7L3"</f>
        <v>용문지 72L7L3</v>
      </c>
      <c r="I14809" s="1" t="s">
        <v>15</v>
      </c>
      <c r="J14809" s="1" t="str">
        <f>"105/105"</f>
        <v>105/105</v>
      </c>
      <c r="K14809" s="1" t="str">
        <f>"2026-07-29 14:20:13"</f>
        <v>2026-07-29 14:20:13</v>
      </c>
      <c r="L14809" s="1" t="str">
        <f>"2023-09-25 15:33:36"</f>
        <v>2023-09-25 15:33:36</v>
      </c>
      <c r="M14809" s="1" t="s">
        <v>4</v>
      </c>
      <c r="N14809" s="1" t="s">
        <v>38</v>
      </c>
      <c r="O14809" s="1" t="s">
        <v>46</v>
      </c>
    </row>
    <row r="14810" spans="2:15" x14ac:dyDescent="0.3">
      <c r="B14810" s="1" t="s">
        <v>19</v>
      </c>
      <c r="C14810" s="1" t="str">
        <f>"5-2차"</f>
        <v>5-2차</v>
      </c>
      <c r="D14810" s="1" t="str">
        <f>"0127W9325M"</f>
        <v>0127W9325M</v>
      </c>
      <c r="E14810" s="1" t="s">
        <v>10</v>
      </c>
      <c r="F14810" s="1" t="str">
        <f>"fde1:103:4:57a0:0:0:0:2"</f>
        <v>fde1:103:4:57a0:0:0:0:2</v>
      </c>
      <c r="G14810" s="1" t="str">
        <f>"0127W932"</f>
        <v>0127W932</v>
      </c>
      <c r="H14810" s="1" t="str">
        <f>"용문지 72L7L2R1"</f>
        <v>용문지 72L7L2R1</v>
      </c>
      <c r="I14810" s="1" t="s">
        <v>15</v>
      </c>
      <c r="J14810" s="1" t="str">
        <f>"117/118"</f>
        <v>117/118</v>
      </c>
      <c r="K14810" s="1" t="str">
        <f>"2026-07-29 14:20:13"</f>
        <v>2026-07-29 14:20:13</v>
      </c>
      <c r="L14810" s="1" t="str">
        <f>"2023-09-25 15:34:02"</f>
        <v>2023-09-25 15:34:02</v>
      </c>
      <c r="M14810" s="1" t="s">
        <v>4</v>
      </c>
      <c r="N14810" s="1" t="s">
        <v>38</v>
      </c>
      <c r="O14810" s="1" t="s">
        <v>46</v>
      </c>
    </row>
    <row r="14811" spans="2:15" x14ac:dyDescent="0.3">
      <c r="B14811" s="1" t="s">
        <v>19</v>
      </c>
      <c r="C14811" s="1" t="str">
        <f>"4차"</f>
        <v>4차</v>
      </c>
      <c r="D14811" s="1" t="str">
        <f>"0127W95145"</f>
        <v>0127W95145</v>
      </c>
      <c r="E14811" s="1" t="s">
        <v>10</v>
      </c>
      <c r="F14811" s="1" t="str">
        <f>"10.14.8.52"</f>
        <v>10.14.8.52</v>
      </c>
      <c r="G14811" s="1" t="str">
        <f>"0127W951"</f>
        <v>0127W951</v>
      </c>
      <c r="H14811" s="1" t="str">
        <f>"고대 3"</f>
        <v>고대 3</v>
      </c>
      <c r="I14811" s="1" t="s">
        <v>17</v>
      </c>
      <c r="J14811" s="1" t="str">
        <f>"10/10"</f>
        <v>10/10</v>
      </c>
      <c r="K14811" s="1" t="str">
        <f>"2026-07-29 13:18:03"</f>
        <v>2026-07-29 13:18:03</v>
      </c>
      <c r="L14811" s="1" t="str">
        <f>"2021-06-24 10:58:13"</f>
        <v>2021-06-24 10:58:13</v>
      </c>
      <c r="M14811" s="1" t="s">
        <v>3</v>
      </c>
      <c r="N14811" s="1" t="s">
        <v>38</v>
      </c>
      <c r="O14811" s="1" t="s">
        <v>46</v>
      </c>
    </row>
    <row r="14812" spans="2:15" x14ac:dyDescent="0.3">
      <c r="B14812" s="1" t="s">
        <v>19</v>
      </c>
      <c r="C14812" s="1" t="str">
        <f>"4차"</f>
        <v>4차</v>
      </c>
      <c r="D14812" s="1" t="str">
        <f>"0127W95245"</f>
        <v>0127W95245</v>
      </c>
      <c r="E14812" s="1" t="s">
        <v>10</v>
      </c>
      <c r="F14812" s="1" t="str">
        <f>"10.14.1.58"</f>
        <v>10.14.1.58</v>
      </c>
      <c r="G14812" s="1" t="str">
        <f>"0127W952"</f>
        <v>0127W952</v>
      </c>
      <c r="H14812" s="1" t="str">
        <f>"고대 4"</f>
        <v>고대 4</v>
      </c>
      <c r="I14812" s="1" t="s">
        <v>17</v>
      </c>
      <c r="J14812" s="1" t="str">
        <f>"1/1"</f>
        <v>1/1</v>
      </c>
      <c r="K14812" s="1" t="str">
        <f>"2026-07-29 13:18:03"</f>
        <v>2026-07-29 13:18:03</v>
      </c>
      <c r="L14812" s="1" t="str">
        <f>"2021-06-24 11:47:46"</f>
        <v>2021-06-24 11:47:46</v>
      </c>
      <c r="M14812" s="1" t="s">
        <v>3</v>
      </c>
      <c r="N14812" s="1" t="s">
        <v>38</v>
      </c>
      <c r="O14812" s="1" t="s">
        <v>46</v>
      </c>
    </row>
    <row r="14813" spans="2:15" x14ac:dyDescent="0.3">
      <c r="B14813" s="1" t="s">
        <v>19</v>
      </c>
      <c r="C14813" s="1" t="str">
        <f>"5-2차"</f>
        <v>5-2차</v>
      </c>
      <c r="D14813" s="1" t="str">
        <f>"0127W9715M"</f>
        <v>0127W9715M</v>
      </c>
      <c r="E14813" s="1" t="s">
        <v>10</v>
      </c>
      <c r="F14813" s="1" t="str">
        <f>"fde1:103:4:5755:0:0:0:2"</f>
        <v>fde1:103:4:5755:0:0:0:2</v>
      </c>
      <c r="G14813" s="1" t="str">
        <f>"0127W971"</f>
        <v>0127W971</v>
      </c>
      <c r="H14813" s="1" t="str">
        <f>"고대SW 3R5L6"</f>
        <v>고대SW 3R5L6</v>
      </c>
      <c r="I14813" s="1" t="s">
        <v>15</v>
      </c>
      <c r="J14813" s="1" t="str">
        <f>"97/97"</f>
        <v>97/97</v>
      </c>
      <c r="K14813" s="1" t="str">
        <f>"2026-07-29 14:20:01"</f>
        <v>2026-07-29 14:20:01</v>
      </c>
      <c r="L14813" s="1" t="str">
        <f>"2023-09-25 15:53:40"</f>
        <v>2023-09-25 15:53:40</v>
      </c>
      <c r="M14813" s="1" t="s">
        <v>4</v>
      </c>
      <c r="N14813" s="1" t="s">
        <v>38</v>
      </c>
      <c r="O14813" s="1" t="s">
        <v>46</v>
      </c>
    </row>
    <row r="14814" spans="2:15" x14ac:dyDescent="0.3">
      <c r="B14814" s="1" t="s">
        <v>19</v>
      </c>
      <c r="C14814" s="1" t="str">
        <f>"5-1차"</f>
        <v>5-1차</v>
      </c>
      <c r="D14814" s="1" t="str">
        <f>"0127W9815M"</f>
        <v>0127W9815M</v>
      </c>
      <c r="E14814" s="1" t="s">
        <v>10</v>
      </c>
      <c r="F14814" s="1" t="str">
        <f>"fde2:104:0:13:0:0:0:2"</f>
        <v>fde2:104:0:13:0:0:0:2</v>
      </c>
      <c r="G14814" s="1" t="str">
        <f>"0127W981"</f>
        <v>0127W981</v>
      </c>
      <c r="H14814" s="1" t="str">
        <f>"고대SW 3R3L1"</f>
        <v>고대SW 3R3L1</v>
      </c>
      <c r="I14814" s="1" t="s">
        <v>15</v>
      </c>
      <c r="J14814" s="1" t="str">
        <f>"26/26"</f>
        <v>26/26</v>
      </c>
      <c r="K14814" s="1" t="str">
        <f>"2026-07-29 14:20:41"</f>
        <v>2026-07-29 14:20:41</v>
      </c>
      <c r="L14814" s="1" t="str">
        <f>"2022-09-07 10:47:46"</f>
        <v>2022-09-07 10:47:46</v>
      </c>
      <c r="M14814" s="1" t="s">
        <v>42</v>
      </c>
      <c r="N14814" s="1" t="s">
        <v>38</v>
      </c>
      <c r="O14814" s="1" t="s">
        <v>46</v>
      </c>
    </row>
    <row r="14815" spans="2:15" x14ac:dyDescent="0.3">
      <c r="B14815" s="1" t="s">
        <v>19</v>
      </c>
      <c r="C14815" s="1" t="str">
        <f>"5-2차"</f>
        <v>5-2차</v>
      </c>
      <c r="D14815" s="1" t="str">
        <f>"0127X0225M"</f>
        <v>0127X0225M</v>
      </c>
      <c r="E14815" s="1" t="s">
        <v>10</v>
      </c>
      <c r="F14815" s="1" t="str">
        <f>"fde1:103:4:57b5:0:0:0:2"</f>
        <v>fde1:103:4:57b5:0:0:0:2</v>
      </c>
      <c r="G14815" s="1" t="str">
        <f>"0127X022"</f>
        <v>0127X022</v>
      </c>
      <c r="H14815" s="1" t="str">
        <f>"용문지 72L5R1"</f>
        <v>용문지 72L5R1</v>
      </c>
      <c r="I14815" s="1" t="s">
        <v>15</v>
      </c>
      <c r="J14815" s="1" t="str">
        <f>"48/48"</f>
        <v>48/48</v>
      </c>
      <c r="K14815" s="1" t="str">
        <f>"2026-07-29 14:20:13"</f>
        <v>2026-07-29 14:20:13</v>
      </c>
      <c r="L14815" s="1" t="str">
        <f>"2023-09-25 15:54:16"</f>
        <v>2023-09-25 15:54:16</v>
      </c>
      <c r="M14815" s="1" t="s">
        <v>4</v>
      </c>
      <c r="N14815" s="1" t="s">
        <v>38</v>
      </c>
      <c r="O14815" s="1" t="s">
        <v>46</v>
      </c>
    </row>
    <row r="14816" spans="2:15" x14ac:dyDescent="0.3">
      <c r="B14816" s="1" t="s">
        <v>19</v>
      </c>
      <c r="C14816" s="1" t="str">
        <f>"5-2차"</f>
        <v>5-2차</v>
      </c>
      <c r="D14816" s="1" t="str">
        <f>"0127X0335M"</f>
        <v>0127X0335M</v>
      </c>
      <c r="E14816" s="1" t="s">
        <v>10</v>
      </c>
      <c r="F14816" s="1" t="str">
        <f>"fde1:103:4:578e:0:0:0:2"</f>
        <v>fde1:103:4:578e:0:0:0:2</v>
      </c>
      <c r="G14816" s="1" t="str">
        <f>"0127X033"</f>
        <v>0127X033</v>
      </c>
      <c r="H14816" s="1" t="str">
        <f>"용문지 72L8"</f>
        <v>용문지 72L8</v>
      </c>
      <c r="I14816" s="1" t="s">
        <v>15</v>
      </c>
      <c r="J14816" s="1" t="str">
        <f>"39/40"</f>
        <v>39/40</v>
      </c>
      <c r="K14816" s="1" t="str">
        <f>"2026-07-29 14:20:13"</f>
        <v>2026-07-29 14:20:13</v>
      </c>
      <c r="L14816" s="1" t="str">
        <f>"2023-09-25 16:36:35"</f>
        <v>2023-09-25 16:36:35</v>
      </c>
      <c r="M14816" s="1" t="s">
        <v>4</v>
      </c>
      <c r="N14816" s="1" t="s">
        <v>38</v>
      </c>
      <c r="O14816" s="1" t="s">
        <v>46</v>
      </c>
    </row>
    <row r="14817" spans="2:15" x14ac:dyDescent="0.3">
      <c r="B14817" s="1" t="s">
        <v>19</v>
      </c>
      <c r="C14817" s="1" t="str">
        <f>"4차"</f>
        <v>4차</v>
      </c>
      <c r="D14817" s="1" t="str">
        <f>"0127X07141"</f>
        <v>0127X07141</v>
      </c>
      <c r="E14817" s="1" t="s">
        <v>10</v>
      </c>
      <c r="F14817" s="1" t="str">
        <f>"10.14.12.5"</f>
        <v>10.14.12.5</v>
      </c>
      <c r="G14817" s="1" t="str">
        <f>"0127X071"</f>
        <v>0127X071</v>
      </c>
      <c r="H14817" s="1" t="str">
        <f>"고대SW 3R2"</f>
        <v>고대SW 3R2</v>
      </c>
      <c r="I14817" s="1" t="s">
        <v>17</v>
      </c>
      <c r="J14817" s="1" t="str">
        <f>"31/39"</f>
        <v>31/39</v>
      </c>
      <c r="K14817" s="1" t="str">
        <f>"2026-07-29 13:18:02"</f>
        <v>2026-07-29 13:18:02</v>
      </c>
      <c r="L14817" s="1" t="str">
        <f>"2021-06-14 12:42:35"</f>
        <v>2021-06-14 12:42:35</v>
      </c>
      <c r="M14817" s="1" t="s">
        <v>3</v>
      </c>
      <c r="N14817" s="1" t="s">
        <v>38</v>
      </c>
      <c r="O14817" s="1" t="s">
        <v>46</v>
      </c>
    </row>
    <row r="14818" spans="2:15" x14ac:dyDescent="0.3">
      <c r="B14818" s="1" t="s">
        <v>19</v>
      </c>
      <c r="C14818" s="1" t="str">
        <f>"4차"</f>
        <v>4차</v>
      </c>
      <c r="D14818" s="1" t="str">
        <f>"0127X09141"</f>
        <v>0127X09141</v>
      </c>
      <c r="E14818" s="1" t="s">
        <v>10</v>
      </c>
      <c r="F14818" s="1" t="str">
        <f>"10.14.2.63"</f>
        <v>10.14.2.63</v>
      </c>
      <c r="G14818" s="1" t="str">
        <f>"0127X091"</f>
        <v>0127X091</v>
      </c>
      <c r="H14818" s="1" t="str">
        <f>"고대SW 3R4"</f>
        <v>고대SW 3R4</v>
      </c>
      <c r="I14818" s="1" t="s">
        <v>17</v>
      </c>
      <c r="J14818" s="1" t="str">
        <f>"39/43"</f>
        <v>39/43</v>
      </c>
      <c r="K14818" s="1" t="str">
        <f>"2026-07-29 13:18:02"</f>
        <v>2026-07-29 13:18:02</v>
      </c>
      <c r="L14818" s="1" t="str">
        <f>"2021-08-30 09:59:35"</f>
        <v>2021-08-30 09:59:35</v>
      </c>
      <c r="M14818" s="1" t="s">
        <v>3</v>
      </c>
      <c r="N14818" s="1" t="s">
        <v>38</v>
      </c>
      <c r="O14818" s="1" t="s">
        <v>46</v>
      </c>
    </row>
    <row r="14819" spans="2:15" x14ac:dyDescent="0.3">
      <c r="B14819" s="1" t="s">
        <v>19</v>
      </c>
      <c r="C14819" s="1" t="str">
        <f>"5-2차"</f>
        <v>5-2차</v>
      </c>
      <c r="D14819" s="1" t="str">
        <f>"0127X1115M"</f>
        <v>0127X1115M</v>
      </c>
      <c r="E14819" s="1" t="s">
        <v>10</v>
      </c>
      <c r="F14819" s="1" t="str">
        <f>"fde1:103:4:57dd:0:0:0:2"</f>
        <v>fde1:103:4:57dd:0:0:0:2</v>
      </c>
      <c r="G14819" s="1" t="str">
        <f>"0127X111"</f>
        <v>0127X111</v>
      </c>
      <c r="H14819" s="1" t="str">
        <f>"용문지 76L4"</f>
        <v>용문지 76L4</v>
      </c>
      <c r="I14819" s="1" t="s">
        <v>15</v>
      </c>
      <c r="J14819" s="1" t="str">
        <f>"45/45"</f>
        <v>45/45</v>
      </c>
      <c r="K14819" s="1" t="str">
        <f>"2026-07-29 14:20:13"</f>
        <v>2026-07-29 14:20:13</v>
      </c>
      <c r="L14819" s="1" t="str">
        <f>"2023-09-25 16:37:04"</f>
        <v>2023-09-25 16:37:04</v>
      </c>
      <c r="M14819" s="1" t="s">
        <v>4</v>
      </c>
      <c r="N14819" s="1" t="s">
        <v>38</v>
      </c>
      <c r="O14819" s="1" t="s">
        <v>46</v>
      </c>
    </row>
    <row r="14820" spans="2:15" x14ac:dyDescent="0.3">
      <c r="B14820" s="1" t="s">
        <v>19</v>
      </c>
      <c r="C14820" s="1" t="str">
        <f>"5-2차"</f>
        <v>5-2차</v>
      </c>
      <c r="D14820" s="1" t="str">
        <f>"0127X1215M"</f>
        <v>0127X1215M</v>
      </c>
      <c r="E14820" s="1" t="s">
        <v>10</v>
      </c>
      <c r="F14820" s="1" t="str">
        <f>"fde1:103:4:572e:0:0:0:2"</f>
        <v>fde1:103:4:572e:0:0:0:2</v>
      </c>
      <c r="G14820" s="1" t="str">
        <f>"0127X121"</f>
        <v>0127X121</v>
      </c>
      <c r="H14820" s="1" t="str">
        <f>"용문지 72L7R2R1"</f>
        <v>용문지 72L7R2R1</v>
      </c>
      <c r="I14820" s="1" t="s">
        <v>15</v>
      </c>
      <c r="J14820" s="1" t="str">
        <f>"77/77"</f>
        <v>77/77</v>
      </c>
      <c r="K14820" s="1" t="str">
        <f>"2026-07-29 14:20:16"</f>
        <v>2026-07-29 14:20:16</v>
      </c>
      <c r="L14820" s="1" t="str">
        <f>"2023-09-25 16:55:38"</f>
        <v>2023-09-25 16:55:38</v>
      </c>
      <c r="M14820" s="1" t="s">
        <v>4</v>
      </c>
      <c r="N14820" s="1" t="s">
        <v>38</v>
      </c>
      <c r="O14820" s="1" t="s">
        <v>46</v>
      </c>
    </row>
    <row r="14821" spans="2:15" x14ac:dyDescent="0.3">
      <c r="B14821" s="1" t="s">
        <v>19</v>
      </c>
      <c r="C14821" s="1" t="str">
        <f>"5-2차"</f>
        <v>5-2차</v>
      </c>
      <c r="D14821" s="1" t="str">
        <f>"0127X1415M"</f>
        <v>0127X1415M</v>
      </c>
      <c r="E14821" s="1" t="s">
        <v>10</v>
      </c>
      <c r="F14821" s="1" t="str">
        <f>"fde1:103:4:5720:0:0:0:2"</f>
        <v>fde1:103:4:5720:0:0:0:2</v>
      </c>
      <c r="G14821" s="1" t="str">
        <f>"0127X141"</f>
        <v>0127X141</v>
      </c>
      <c r="H14821" s="1" t="str">
        <f>"용문지 72L7R2L2"</f>
        <v>용문지 72L7R2L2</v>
      </c>
      <c r="I14821" s="1" t="s">
        <v>15</v>
      </c>
      <c r="J14821" s="1" t="str">
        <f>"60/60"</f>
        <v>60/60</v>
      </c>
      <c r="K14821" s="1" t="str">
        <f>"2026-07-29 14:20:14"</f>
        <v>2026-07-29 14:20:14</v>
      </c>
      <c r="L14821" s="1" t="str">
        <f>"2023-09-25 16:56:16"</f>
        <v>2023-09-25 16:56:16</v>
      </c>
      <c r="M14821" s="1" t="s">
        <v>4</v>
      </c>
      <c r="N14821" s="1" t="s">
        <v>38</v>
      </c>
      <c r="O14821" s="1" t="s">
        <v>46</v>
      </c>
    </row>
    <row r="14822" spans="2:15" x14ac:dyDescent="0.3">
      <c r="B14822" s="1" t="s">
        <v>19</v>
      </c>
      <c r="C14822" s="1" t="str">
        <f>"5-1차"</f>
        <v>5-1차</v>
      </c>
      <c r="D14822" s="1" t="str">
        <f>"0127X1425M"</f>
        <v>0127X1425M</v>
      </c>
      <c r="E14822" s="1" t="s">
        <v>10</v>
      </c>
      <c r="F14822" s="1" t="str">
        <f>"fde2:104:0:26:0:0:0:2"</f>
        <v>fde2:104:0:26:0:0:0:2</v>
      </c>
      <c r="G14822" s="1" t="str">
        <f>"0127X142"</f>
        <v>0127X142</v>
      </c>
      <c r="H14822" s="1" t="str">
        <f>"용문지 72L7R2L1"</f>
        <v>용문지 72L7R2L1</v>
      </c>
      <c r="I14822" s="1" t="s">
        <v>15</v>
      </c>
      <c r="J14822" s="1" t="str">
        <f>"43/43"</f>
        <v>43/43</v>
      </c>
      <c r="K14822" s="1" t="str">
        <f>"2026-07-29 14:20:02"</f>
        <v>2026-07-29 14:20:02</v>
      </c>
      <c r="L14822" s="1" t="str">
        <f>"2022-09-07 11:45:33"</f>
        <v>2022-09-07 11:45:33</v>
      </c>
      <c r="M14822" s="1" t="s">
        <v>42</v>
      </c>
      <c r="N14822" s="1" t="s">
        <v>38</v>
      </c>
      <c r="O14822" s="1" t="s">
        <v>46</v>
      </c>
    </row>
    <row r="14823" spans="2:15" x14ac:dyDescent="0.3">
      <c r="B14823" s="1" t="s">
        <v>19</v>
      </c>
      <c r="C14823" s="1" t="str">
        <f>"5-2차"</f>
        <v>5-2차</v>
      </c>
      <c r="D14823" s="1" t="str">
        <f>"0127X1715M"</f>
        <v>0127X1715M</v>
      </c>
      <c r="E14823" s="1" t="s">
        <v>10</v>
      </c>
      <c r="F14823" s="1" t="str">
        <f>"fde1:103:4:58e0:0:0:0:2"</f>
        <v>fde1:103:4:58e0:0:0:0:2</v>
      </c>
      <c r="G14823" s="1" t="str">
        <f>"0127X171"</f>
        <v>0127X171</v>
      </c>
      <c r="H14823" s="1" t="str">
        <f>"고대SW 2R3"</f>
        <v>고대SW 2R3</v>
      </c>
      <c r="I14823" s="1" t="s">
        <v>15</v>
      </c>
      <c r="J14823" s="1" t="str">
        <f>"63/64"</f>
        <v>63/64</v>
      </c>
      <c r="K14823" s="1" t="str">
        <f>"2026-07-29 14:20:01"</f>
        <v>2026-07-29 14:20:01</v>
      </c>
      <c r="L14823" s="1" t="str">
        <f>"2023-09-25 17:13:51"</f>
        <v>2023-09-25 17:13:51</v>
      </c>
      <c r="M14823" s="1" t="s">
        <v>4</v>
      </c>
      <c r="N14823" s="1" t="s">
        <v>38</v>
      </c>
      <c r="O14823" s="1" t="s">
        <v>46</v>
      </c>
    </row>
    <row r="14824" spans="2:15" x14ac:dyDescent="0.3">
      <c r="B14824" s="1" t="s">
        <v>19</v>
      </c>
      <c r="C14824" s="1" t="s">
        <v>16</v>
      </c>
      <c r="D14824" s="1" t="str">
        <f>"0127X18141"</f>
        <v>0127X18141</v>
      </c>
      <c r="E14824" s="1" t="s">
        <v>10</v>
      </c>
      <c r="F14824" s="1" t="str">
        <f>"10.14.9.129"</f>
        <v>10.14.9.129</v>
      </c>
      <c r="G14824" s="1" t="str">
        <f>"0127X181"</f>
        <v>0127X181</v>
      </c>
      <c r="H14824" s="1" t="str">
        <f>"고대SW 2R4"</f>
        <v>고대SW 2R4</v>
      </c>
      <c r="I14824" s="1" t="s">
        <v>17</v>
      </c>
      <c r="J14824" s="1" t="str">
        <f>"70/70"</f>
        <v>70/70</v>
      </c>
      <c r="K14824" s="1" t="str">
        <f>"2026-07-29 13:18:03"</f>
        <v>2026-07-29 13:18:03</v>
      </c>
      <c r="L14824" s="1" t="str">
        <f>"2022-11-08 13:35:02"</f>
        <v>2022-11-08 13:35:02</v>
      </c>
      <c r="M14824" s="1" t="s">
        <v>3</v>
      </c>
      <c r="N14824" s="1" t="s">
        <v>38</v>
      </c>
      <c r="O14824" s="1" t="s">
        <v>46</v>
      </c>
    </row>
    <row r="14825" spans="2:15" x14ac:dyDescent="0.3">
      <c r="B14825" s="1" t="s">
        <v>19</v>
      </c>
      <c r="C14825" s="1" t="str">
        <f>"4차"</f>
        <v>4차</v>
      </c>
      <c r="D14825" s="1" t="str">
        <f>"0127X19139"</f>
        <v>0127X19139</v>
      </c>
      <c r="E14825" s="1" t="s">
        <v>10</v>
      </c>
      <c r="F14825" s="1" t="str">
        <f>"10.12.132.44"</f>
        <v>10.12.132.44</v>
      </c>
      <c r="G14825" s="1" t="str">
        <f>"0127X191"</f>
        <v>0127X191</v>
      </c>
      <c r="H14825" s="1" t="str">
        <f>"고대SW 2R5"</f>
        <v>고대SW 2R5</v>
      </c>
      <c r="I14825" s="1" t="s">
        <v>17</v>
      </c>
      <c r="J14825" s="1" t="str">
        <f>"4/4"</f>
        <v>4/4</v>
      </c>
      <c r="K14825" s="1" t="str">
        <f>"2026-07-29 13:18:01"</f>
        <v>2026-07-29 13:18:01</v>
      </c>
      <c r="L14825" s="1" t="str">
        <f>"2018-09-17 14:34:41"</f>
        <v>2018-09-17 14:34:41</v>
      </c>
      <c r="M14825" s="1" t="s">
        <v>0</v>
      </c>
      <c r="N14825" s="1" t="s">
        <v>38</v>
      </c>
      <c r="O14825" s="1" t="s">
        <v>46</v>
      </c>
    </row>
    <row r="14826" spans="2:15" x14ac:dyDescent="0.3">
      <c r="B14826" s="1" t="s">
        <v>19</v>
      </c>
      <c r="C14826" s="1" t="str">
        <f>"4차"</f>
        <v>4차</v>
      </c>
      <c r="D14826" s="1" t="str">
        <f>"0127X19639"</f>
        <v>0127X19639</v>
      </c>
      <c r="E14826" s="1" t="s">
        <v>10</v>
      </c>
      <c r="F14826" s="1" t="str">
        <f>"10.12.132.40"</f>
        <v>10.12.132.40</v>
      </c>
      <c r="G14826" s="1" t="str">
        <f>"0127X196"</f>
        <v>0127X196</v>
      </c>
      <c r="H14826" s="1" t="str">
        <f>"고대SW 2H1R6"</f>
        <v>고대SW 2H1R6</v>
      </c>
      <c r="I14826" s="1" t="s">
        <v>17</v>
      </c>
      <c r="J14826" s="1" t="str">
        <f>"74/74"</f>
        <v>74/74</v>
      </c>
      <c r="K14826" s="1" t="str">
        <f>"2026-07-29 13:18:01"</f>
        <v>2026-07-29 13:18:01</v>
      </c>
      <c r="L14826" s="1" t="str">
        <f>"2018-09-17 16:50:57"</f>
        <v>2018-09-17 16:50:57</v>
      </c>
      <c r="M14826" s="1" t="s">
        <v>0</v>
      </c>
      <c r="N14826" s="1" t="s">
        <v>38</v>
      </c>
      <c r="O14826" s="1" t="s">
        <v>46</v>
      </c>
    </row>
    <row r="14827" spans="2:15" x14ac:dyDescent="0.3">
      <c r="B14827" s="1" t="s">
        <v>19</v>
      </c>
      <c r="C14827" s="1" t="str">
        <f>"5-1차"</f>
        <v>5-1차</v>
      </c>
      <c r="D14827" s="1" t="str">
        <f>"0127X2115M"</f>
        <v>0127X2115M</v>
      </c>
      <c r="E14827" s="1" t="s">
        <v>10</v>
      </c>
      <c r="F14827" s="1" t="str">
        <f>"fde3:102:1410:8200:0:0:0:3"</f>
        <v>fde3:102:1410:8200:0:0:0:3</v>
      </c>
      <c r="G14827" s="1" t="str">
        <f>"0127X211"</f>
        <v>0127X211</v>
      </c>
      <c r="H14827" s="1" t="str">
        <f>"용문지 76L3H1R1"</f>
        <v>용문지 76L3H1R1</v>
      </c>
      <c r="I14827" s="1" t="s">
        <v>15</v>
      </c>
      <c r="J14827" s="1" t="str">
        <f>"35/35"</f>
        <v>35/35</v>
      </c>
      <c r="K14827" s="1" t="str">
        <f>"2026-07-29 14:20:01"</f>
        <v>2026-07-29 14:20:01</v>
      </c>
      <c r="L14827" s="1" t="str">
        <f>"2022-11-21 09:16:42"</f>
        <v>2022-11-21 09:16:42</v>
      </c>
      <c r="M14827" s="1" t="s">
        <v>45</v>
      </c>
      <c r="N14827" s="1" t="s">
        <v>38</v>
      </c>
      <c r="O14827" s="1" t="s">
        <v>46</v>
      </c>
    </row>
    <row r="14828" spans="2:15" x14ac:dyDescent="0.3">
      <c r="B14828" s="1" t="s">
        <v>19</v>
      </c>
      <c r="C14828" s="1" t="str">
        <f>"5-2차"</f>
        <v>5-2차</v>
      </c>
      <c r="D14828" s="1" t="str">
        <f>"0127X2315M"</f>
        <v>0127X2315M</v>
      </c>
      <c r="E14828" s="1" t="s">
        <v>10</v>
      </c>
      <c r="F14828" s="1" t="str">
        <f>"fde1:103:4:57ec:0:0:0:2"</f>
        <v>fde1:103:4:57ec:0:0:0:2</v>
      </c>
      <c r="G14828" s="1" t="str">
        <f>"0127X231"</f>
        <v>0127X231</v>
      </c>
      <c r="H14828" s="1" t="str">
        <f>"용문지 72L7R3"</f>
        <v>용문지 72L7R3</v>
      </c>
      <c r="I14828" s="1" t="s">
        <v>15</v>
      </c>
      <c r="J14828" s="1" t="str">
        <f>"82/82"</f>
        <v>82/82</v>
      </c>
      <c r="K14828" s="1" t="str">
        <f>"2026-07-29 14:20:40"</f>
        <v>2026-07-29 14:20:40</v>
      </c>
      <c r="L14828" s="1" t="str">
        <f>"2023-09-25 16:43:05"</f>
        <v>2023-09-25 16:43:05</v>
      </c>
      <c r="M14828" s="1" t="s">
        <v>4</v>
      </c>
      <c r="N14828" s="1" t="s">
        <v>38</v>
      </c>
      <c r="O14828" s="1" t="s">
        <v>46</v>
      </c>
    </row>
    <row r="14829" spans="2:15" x14ac:dyDescent="0.3">
      <c r="B14829" s="1" t="s">
        <v>19</v>
      </c>
      <c r="C14829" s="1" t="s">
        <v>16</v>
      </c>
      <c r="D14829" s="1" t="str">
        <f>"0127X24241"</f>
        <v>0127X24241</v>
      </c>
      <c r="E14829" s="1" t="s">
        <v>10</v>
      </c>
      <c r="F14829" s="1" t="str">
        <f>"10.14.3.132"</f>
        <v>10.14.3.132</v>
      </c>
      <c r="G14829" s="1" t="str">
        <f>"0127X242"</f>
        <v>0127X242</v>
      </c>
      <c r="H14829" s="1" t="str">
        <f>"고대SW 9L2"</f>
        <v>고대SW 9L2</v>
      </c>
      <c r="I14829" s="1" t="s">
        <v>17</v>
      </c>
      <c r="J14829" s="1" t="str">
        <f>"18/26"</f>
        <v>18/26</v>
      </c>
      <c r="K14829" s="1" t="str">
        <f>"2026-07-29 13:18:01"</f>
        <v>2026-07-29 13:18:01</v>
      </c>
      <c r="L14829" s="1" t="str">
        <f>"2022-11-07 15:10:53"</f>
        <v>2022-11-07 15:10:53</v>
      </c>
      <c r="M14829" s="1" t="s">
        <v>3</v>
      </c>
      <c r="N14829" s="1" t="s">
        <v>38</v>
      </c>
      <c r="O14829" s="1" t="s">
        <v>46</v>
      </c>
    </row>
    <row r="14830" spans="2:15" x14ac:dyDescent="0.3">
      <c r="B14830" s="1" t="s">
        <v>19</v>
      </c>
      <c r="C14830" s="1" t="str">
        <f>"5-2차"</f>
        <v>5-2차</v>
      </c>
      <c r="D14830" s="1" t="str">
        <f>"0127X3115M"</f>
        <v>0127X3115M</v>
      </c>
      <c r="E14830" s="1" t="s">
        <v>10</v>
      </c>
      <c r="F14830" s="1" t="str">
        <f>"fde1:103:4:5794:0:0:0:2"</f>
        <v>fde1:103:4:5794:0:0:0:2</v>
      </c>
      <c r="G14830" s="1" t="str">
        <f>"0127X311"</f>
        <v>0127X311</v>
      </c>
      <c r="H14830" s="1" t="str">
        <f>"용문지 77"</f>
        <v>용문지 77</v>
      </c>
      <c r="I14830" s="1" t="s">
        <v>15</v>
      </c>
      <c r="J14830" s="1" t="str">
        <f>"11/11"</f>
        <v>11/11</v>
      </c>
      <c r="K14830" s="1" t="str">
        <f>"2026-07-29 02:20:49"</f>
        <v>2026-07-29 02:20:49</v>
      </c>
      <c r="L14830" s="1" t="str">
        <f>"2023-09-25 16:43:47"</f>
        <v>2023-09-25 16:43:47</v>
      </c>
      <c r="M14830" s="1" t="s">
        <v>4</v>
      </c>
      <c r="N14830" s="1" t="s">
        <v>38</v>
      </c>
      <c r="O14830" s="1" t="s">
        <v>46</v>
      </c>
    </row>
    <row r="14831" spans="2:15" x14ac:dyDescent="0.3">
      <c r="B14831" s="1" t="s">
        <v>19</v>
      </c>
      <c r="C14831" s="1" t="str">
        <f>"5-1차"</f>
        <v>5-1차</v>
      </c>
      <c r="D14831" s="1" t="str">
        <f>"0127X3315M"</f>
        <v>0127X3315M</v>
      </c>
      <c r="E14831" s="1" t="s">
        <v>10</v>
      </c>
      <c r="F14831" s="1" t="str">
        <f>"fde2:104:0:40:0:0:0:2"</f>
        <v>fde2:104:0:40:0:0:0:2</v>
      </c>
      <c r="G14831" s="1" t="str">
        <f>"0127X331"</f>
        <v>0127X331</v>
      </c>
      <c r="H14831" s="1" t="str">
        <f>"고대SW 9L4"</f>
        <v>고대SW 9L4</v>
      </c>
      <c r="I14831" s="1" t="s">
        <v>15</v>
      </c>
      <c r="J14831" s="1" t="str">
        <f>"53/53"</f>
        <v>53/53</v>
      </c>
      <c r="K14831" s="1" t="str">
        <f>"2026-07-29 14:20:41"</f>
        <v>2026-07-29 14:20:41</v>
      </c>
      <c r="L14831" s="1" t="str">
        <f>"2022-09-07 13:17:27"</f>
        <v>2022-09-07 13:17:27</v>
      </c>
      <c r="M14831" s="1" t="s">
        <v>42</v>
      </c>
      <c r="N14831" s="1" t="s">
        <v>38</v>
      </c>
      <c r="O14831" s="1" t="s">
        <v>46</v>
      </c>
    </row>
    <row r="14832" spans="2:15" x14ac:dyDescent="0.3">
      <c r="B14832" s="1" t="s">
        <v>19</v>
      </c>
      <c r="C14832" s="1" t="str">
        <f>"5-2차"</f>
        <v>5-2차</v>
      </c>
      <c r="D14832" s="1" t="str">
        <f>"0127X3415M"</f>
        <v>0127X3415M</v>
      </c>
      <c r="E14832" s="1" t="s">
        <v>10</v>
      </c>
      <c r="F14832" s="1" t="str">
        <f>"fde1:103:4:58da:0:0:0:2"</f>
        <v>fde1:103:4:58da:0:0:0:2</v>
      </c>
      <c r="G14832" s="1" t="str">
        <f>"0127X341"</f>
        <v>0127X341</v>
      </c>
      <c r="H14832" s="1" t="str">
        <f>"고대SW 9L2L3"</f>
        <v>고대SW 9L2L3</v>
      </c>
      <c r="I14832" s="1" t="s">
        <v>15</v>
      </c>
      <c r="J14832" s="1" t="str">
        <f>"161/161"</f>
        <v>161/161</v>
      </c>
      <c r="K14832" s="1" t="str">
        <f>"2026-07-29 14:20:41"</f>
        <v>2026-07-29 14:20:41</v>
      </c>
      <c r="L14832" s="1" t="str">
        <f>"2023-09-25 16:57:18"</f>
        <v>2023-09-25 16:57:18</v>
      </c>
      <c r="M14832" s="1" t="s">
        <v>4</v>
      </c>
      <c r="N14832" s="1" t="s">
        <v>38</v>
      </c>
      <c r="O14832" s="1" t="s">
        <v>46</v>
      </c>
    </row>
    <row r="14833" spans="2:15" x14ac:dyDescent="0.3">
      <c r="B14833" s="1" t="s">
        <v>19</v>
      </c>
      <c r="C14833" s="1" t="str">
        <f>"5-1차"</f>
        <v>5-1차</v>
      </c>
      <c r="D14833" s="1" t="str">
        <f>"0127X3515M"</f>
        <v>0127X3515M</v>
      </c>
      <c r="E14833" s="1" t="s">
        <v>10</v>
      </c>
      <c r="F14833" s="1" t="str">
        <f>"fde3:102:1410:8200:0:0:0:2"</f>
        <v>fde3:102:1410:8200:0:0:0:2</v>
      </c>
      <c r="G14833" s="1" t="str">
        <f>"0127X351"</f>
        <v>0127X351</v>
      </c>
      <c r="H14833" s="1" t="str">
        <f>"고대SW 9L2L1"</f>
        <v>고대SW 9L2L1</v>
      </c>
      <c r="I14833" s="1" t="s">
        <v>15</v>
      </c>
      <c r="J14833" s="1" t="str">
        <f>"38/38"</f>
        <v>38/38</v>
      </c>
      <c r="K14833" s="1" t="str">
        <f>"2026-07-29 14:20:01"</f>
        <v>2026-07-29 14:20:01</v>
      </c>
      <c r="L14833" s="1" t="str">
        <f>"2022-09-27 08:22:44"</f>
        <v>2022-09-27 08:22:44</v>
      </c>
      <c r="M14833" s="1" t="s">
        <v>45</v>
      </c>
      <c r="N14833" s="1" t="s">
        <v>38</v>
      </c>
      <c r="O14833" s="1" t="s">
        <v>46</v>
      </c>
    </row>
    <row r="14834" spans="2:15" x14ac:dyDescent="0.3">
      <c r="B14834" s="1" t="s">
        <v>19</v>
      </c>
      <c r="C14834" s="1" t="str">
        <f>"4차"</f>
        <v>4차</v>
      </c>
      <c r="D14834" s="1" t="str">
        <f>"0127X36145"</f>
        <v>0127X36145</v>
      </c>
      <c r="E14834" s="1" t="s">
        <v>10</v>
      </c>
      <c r="F14834" s="1" t="str">
        <f>"10.14.15.52"</f>
        <v>10.14.15.52</v>
      </c>
      <c r="G14834" s="1" t="str">
        <f>"0127X361"</f>
        <v>0127X361</v>
      </c>
      <c r="H14834" s="1" t="str">
        <f>"고대 1"</f>
        <v>고대 1</v>
      </c>
      <c r="I14834" s="1" t="s">
        <v>17</v>
      </c>
      <c r="J14834" s="1" t="str">
        <f>"7/7"</f>
        <v>7/7</v>
      </c>
      <c r="K14834" s="1" t="str">
        <f>"2026-07-29 13:18:03"</f>
        <v>2026-07-29 13:18:03</v>
      </c>
      <c r="L14834" s="1" t="str">
        <f>"2021-06-24 13:26:55"</f>
        <v>2021-06-24 13:26:55</v>
      </c>
      <c r="M14834" s="1" t="s">
        <v>3</v>
      </c>
      <c r="N14834" s="1" t="s">
        <v>38</v>
      </c>
      <c r="O14834" s="1" t="s">
        <v>46</v>
      </c>
    </row>
    <row r="14835" spans="2:15" x14ac:dyDescent="0.3">
      <c r="B14835" s="1" t="s">
        <v>19</v>
      </c>
      <c r="C14835" s="1" t="str">
        <f>"5-2차"</f>
        <v>5-2차</v>
      </c>
      <c r="D14835" s="1" t="str">
        <f>"0127X4345M"</f>
        <v>0127X4345M</v>
      </c>
      <c r="E14835" s="1" t="s">
        <v>10</v>
      </c>
      <c r="F14835" s="1" t="str">
        <f>"fde1:103:4:5839:0:0:0:2"</f>
        <v>fde1:103:4:5839:0:0:0:2</v>
      </c>
      <c r="G14835" s="1" t="str">
        <f>"0127X434"</f>
        <v>0127X434</v>
      </c>
      <c r="H14835" s="1" t="str">
        <f>"용문지 81L2"</f>
        <v>용문지 81L2</v>
      </c>
      <c r="I14835" s="1" t="s">
        <v>15</v>
      </c>
      <c r="J14835" s="1" t="str">
        <f>"67/67"</f>
        <v>67/67</v>
      </c>
      <c r="K14835" s="1" t="str">
        <f>"2026-07-29 14:20:20"</f>
        <v>2026-07-29 14:20:20</v>
      </c>
      <c r="L14835" s="1" t="str">
        <f>"2023-09-25 16:59:23"</f>
        <v>2023-09-25 16:59:23</v>
      </c>
      <c r="M14835" s="1" t="s">
        <v>4</v>
      </c>
      <c r="N14835" s="1" t="s">
        <v>38</v>
      </c>
      <c r="O14835" s="1" t="s">
        <v>46</v>
      </c>
    </row>
    <row r="14836" spans="2:15" x14ac:dyDescent="0.3">
      <c r="B14836" s="1" t="s">
        <v>19</v>
      </c>
      <c r="C14836" s="1" t="str">
        <f>"5-2차"</f>
        <v>5-2차</v>
      </c>
      <c r="D14836" s="1" t="str">
        <f>"0127Y0315M"</f>
        <v>0127Y0315M</v>
      </c>
      <c r="E14836" s="1" t="s">
        <v>10</v>
      </c>
      <c r="F14836" s="1" t="str">
        <f>"fde1:103:4:57c1:0:0:0:2"</f>
        <v>fde1:103:4:57c1:0:0:0:2</v>
      </c>
      <c r="G14836" s="1" t="str">
        <f>"0127Y031"</f>
        <v>0127Y031</v>
      </c>
      <c r="H14836" s="1" t="str">
        <f>"용문지 49"</f>
        <v>용문지 49</v>
      </c>
      <c r="I14836" s="1" t="s">
        <v>15</v>
      </c>
      <c r="J14836" s="1" t="str">
        <f>"64/65"</f>
        <v>64/65</v>
      </c>
      <c r="K14836" s="1" t="str">
        <f>"2026-07-29 14:20:01"</f>
        <v>2026-07-29 14:20:01</v>
      </c>
      <c r="L14836" s="1" t="str">
        <f>"2023-09-26 10:02:22"</f>
        <v>2023-09-26 10:02:22</v>
      </c>
      <c r="M14836" s="1" t="s">
        <v>4</v>
      </c>
      <c r="N14836" s="1" t="s">
        <v>38</v>
      </c>
      <c r="O14836" s="1" t="s">
        <v>46</v>
      </c>
    </row>
    <row r="14837" spans="2:15" x14ac:dyDescent="0.3">
      <c r="B14837" s="1" t="s">
        <v>19</v>
      </c>
      <c r="C14837" s="1" t="str">
        <f>"5-2차"</f>
        <v>5-2차</v>
      </c>
      <c r="D14837" s="1" t="str">
        <f>"0127Y0415M"</f>
        <v>0127Y0415M</v>
      </c>
      <c r="E14837" s="1" t="s">
        <v>10</v>
      </c>
      <c r="F14837" s="1" t="str">
        <f>"fde1:103:4:58dd:0:0:0:2"</f>
        <v>fde1:103:4:58dd:0:0:0:2</v>
      </c>
      <c r="G14837" s="1" t="str">
        <f>"0127Y041"</f>
        <v>0127Y041</v>
      </c>
      <c r="H14837" s="1" t="str">
        <f>"용문지 48"</f>
        <v>용문지 48</v>
      </c>
      <c r="I14837" s="1" t="s">
        <v>15</v>
      </c>
      <c r="J14837" s="1" t="str">
        <f>"24/24"</f>
        <v>24/24</v>
      </c>
      <c r="K14837" s="1" t="str">
        <f>"2026-07-29 14:20:44"</f>
        <v>2026-07-29 14:20:44</v>
      </c>
      <c r="L14837" s="1" t="str">
        <f>"2023-09-26 10:41:49"</f>
        <v>2023-09-26 10:41:49</v>
      </c>
      <c r="M14837" s="1" t="s">
        <v>4</v>
      </c>
      <c r="N14837" s="1" t="s">
        <v>38</v>
      </c>
      <c r="O14837" s="1" t="s">
        <v>46</v>
      </c>
    </row>
    <row r="14838" spans="2:15" x14ac:dyDescent="0.3">
      <c r="B14838" s="1" t="s">
        <v>19</v>
      </c>
      <c r="C14838" s="1" t="str">
        <f>"5-2차"</f>
        <v>5-2차</v>
      </c>
      <c r="D14838" s="1" t="str">
        <f>"0127Y0515M"</f>
        <v>0127Y0515M</v>
      </c>
      <c r="E14838" s="1" t="s">
        <v>10</v>
      </c>
      <c r="F14838" s="1" t="str">
        <f>"fde1:103:4:579c:0:0:0:2"</f>
        <v>fde1:103:4:579c:0:0:0:2</v>
      </c>
      <c r="G14838" s="1" t="str">
        <f>"0127Y051"</f>
        <v>0127Y051</v>
      </c>
      <c r="H14838" s="1" t="str">
        <f>"용문지 44L2R3"</f>
        <v>용문지 44L2R3</v>
      </c>
      <c r="I14838" s="1" t="s">
        <v>15</v>
      </c>
      <c r="J14838" s="1" t="str">
        <f>"82/82"</f>
        <v>82/82</v>
      </c>
      <c r="K14838" s="1" t="str">
        <f>"2026-07-29 14:20:42"</f>
        <v>2026-07-29 14:20:42</v>
      </c>
      <c r="L14838" s="1" t="str">
        <f>"2023-09-26 10:04:36"</f>
        <v>2023-09-26 10:04:36</v>
      </c>
      <c r="M14838" s="1" t="s">
        <v>4</v>
      </c>
      <c r="N14838" s="1" t="s">
        <v>38</v>
      </c>
      <c r="O14838" s="1" t="s">
        <v>46</v>
      </c>
    </row>
    <row r="14839" spans="2:15" x14ac:dyDescent="0.3">
      <c r="B14839" s="1" t="s">
        <v>19</v>
      </c>
      <c r="C14839" s="1" t="str">
        <f>"5-2차"</f>
        <v>5-2차</v>
      </c>
      <c r="D14839" s="1" t="str">
        <f>"0127Y0715S"</f>
        <v>0127Y0715S</v>
      </c>
      <c r="E14839" s="1" t="s">
        <v>10</v>
      </c>
      <c r="F14839" s="1" t="str">
        <f>"fde1:103:4:5703:0:0:0:2"</f>
        <v>fde1:103:4:5703:0:0:0:2</v>
      </c>
      <c r="G14839" s="1" t="str">
        <f>"0127Y071"</f>
        <v>0127Y071</v>
      </c>
      <c r="H14839" s="1" t="str">
        <f>"용문지 44L2R1"</f>
        <v>용문지 44L2R1</v>
      </c>
      <c r="I14839" s="1" t="s">
        <v>15</v>
      </c>
      <c r="J14839" s="1" t="str">
        <f>"55/57"</f>
        <v>55/57</v>
      </c>
      <c r="K14839" s="1" t="str">
        <f>"2026-07-29 08:20:38"</f>
        <v>2026-07-29 08:20:38</v>
      </c>
      <c r="L14839" s="1" t="str">
        <f>"2023-09-26 10:34:50"</f>
        <v>2023-09-26 10:34:50</v>
      </c>
      <c r="M14839" s="1" t="s">
        <v>4</v>
      </c>
      <c r="N14839" s="1" t="s">
        <v>38</v>
      </c>
      <c r="O14839" s="1" t="s">
        <v>46</v>
      </c>
    </row>
    <row r="14840" spans="2:15" x14ac:dyDescent="0.3">
      <c r="B14840" s="1" t="s">
        <v>19</v>
      </c>
      <c r="C14840" s="1" t="str">
        <f>"5-1차"</f>
        <v>5-1차</v>
      </c>
      <c r="D14840" s="1" t="str">
        <f>"0127Y0825S"</f>
        <v>0127Y0825S</v>
      </c>
      <c r="E14840" s="1" t="s">
        <v>10</v>
      </c>
      <c r="F14840" s="1" t="str">
        <f>"fde2:104:0:1b0:0:0:0:2"</f>
        <v>fde2:104:0:1b0:0:0:0:2</v>
      </c>
      <c r="G14840" s="1" t="str">
        <f>"0127Y082"</f>
        <v>0127Y082</v>
      </c>
      <c r="H14840" s="1" t="str">
        <f>"용문지 44L3"</f>
        <v>용문지 44L3</v>
      </c>
      <c r="I14840" s="1" t="s">
        <v>15</v>
      </c>
      <c r="J14840" s="1" t="str">
        <f>"80/88"</f>
        <v>80/88</v>
      </c>
      <c r="K14840" s="1" t="str">
        <f>"2026-07-29 14:20:09"</f>
        <v>2026-07-29 14:20:09</v>
      </c>
      <c r="L14840" s="1" t="str">
        <f>"2022-11-29 11:35:14"</f>
        <v>2022-11-29 11:35:14</v>
      </c>
      <c r="M14840" s="1" t="s">
        <v>42</v>
      </c>
      <c r="N14840" s="1" t="s">
        <v>38</v>
      </c>
      <c r="O14840" s="1" t="s">
        <v>46</v>
      </c>
    </row>
    <row r="14841" spans="2:15" x14ac:dyDescent="0.3">
      <c r="B14841" s="1" t="s">
        <v>19</v>
      </c>
      <c r="C14841" s="1" t="str">
        <f>"5-1차"</f>
        <v>5-1차</v>
      </c>
      <c r="D14841" s="1" t="str">
        <f>"0127Y1135M"</f>
        <v>0127Y1135M</v>
      </c>
      <c r="E14841" s="1" t="s">
        <v>10</v>
      </c>
      <c r="F14841" s="1" t="str">
        <f>"fde2:104:0:24:0:0:0:2"</f>
        <v>fde2:104:0:24:0:0:0:2</v>
      </c>
      <c r="G14841" s="1" t="str">
        <f>"0127Y113"</f>
        <v>0127Y113</v>
      </c>
      <c r="H14841" s="1" t="str">
        <f>"용문지 52H1"</f>
        <v>용문지 52H1</v>
      </c>
      <c r="I14841" s="1" t="s">
        <v>15</v>
      </c>
      <c r="J14841" s="1" t="str">
        <f>"29/29"</f>
        <v>29/29</v>
      </c>
      <c r="K14841" s="1" t="str">
        <f>"2026-07-29 14:20:01"</f>
        <v>2026-07-29 14:20:01</v>
      </c>
      <c r="L14841" s="1" t="str">
        <f>"2022-09-07 15:05:22"</f>
        <v>2022-09-07 15:05:22</v>
      </c>
      <c r="M14841" s="1" t="s">
        <v>42</v>
      </c>
      <c r="N14841" s="1" t="s">
        <v>38</v>
      </c>
      <c r="O14841" s="1" t="s">
        <v>46</v>
      </c>
    </row>
    <row r="14842" spans="2:15" x14ac:dyDescent="0.3">
      <c r="B14842" s="1" t="s">
        <v>19</v>
      </c>
      <c r="C14842" s="1" t="str">
        <f t="shared" ref="C14842:C14848" si="753">"5-2차"</f>
        <v>5-2차</v>
      </c>
      <c r="D14842" s="1" t="str">
        <f>"0127Y2075M"</f>
        <v>0127Y2075M</v>
      </c>
      <c r="E14842" s="1" t="s">
        <v>10</v>
      </c>
      <c r="F14842" s="1" t="str">
        <f>"fde1:103:4:57b0:0:0:0:2"</f>
        <v>fde1:103:4:57b0:0:0:0:2</v>
      </c>
      <c r="G14842" s="1" t="str">
        <f>"0127Y207"</f>
        <v>0127Y207</v>
      </c>
      <c r="H14842" s="1" t="str">
        <f>"용문지 53"</f>
        <v>용문지 53</v>
      </c>
      <c r="I14842" s="1" t="s">
        <v>15</v>
      </c>
      <c r="J14842" s="1" t="str">
        <f>"44/44"</f>
        <v>44/44</v>
      </c>
      <c r="K14842" s="1" t="str">
        <f>"2026-07-29 14:20:21"</f>
        <v>2026-07-29 14:20:21</v>
      </c>
      <c r="L14842" s="1" t="str">
        <f>"2023-10-24 17:27:35"</f>
        <v>2023-10-24 17:27:35</v>
      </c>
      <c r="M14842" s="1" t="s">
        <v>4</v>
      </c>
      <c r="N14842" s="1" t="s">
        <v>38</v>
      </c>
      <c r="O14842" s="1" t="s">
        <v>46</v>
      </c>
    </row>
    <row r="14843" spans="2:15" x14ac:dyDescent="0.3">
      <c r="B14843" s="1" t="s">
        <v>19</v>
      </c>
      <c r="C14843" s="1" t="str">
        <f t="shared" si="753"/>
        <v>5-2차</v>
      </c>
      <c r="D14843" s="1" t="str">
        <f>"0127Y2315M"</f>
        <v>0127Y2315M</v>
      </c>
      <c r="E14843" s="1" t="s">
        <v>10</v>
      </c>
      <c r="F14843" s="1" t="str">
        <f>"fde1:103:4:577d:0:0:0:2"</f>
        <v>fde1:103:4:577d:0:0:0:2</v>
      </c>
      <c r="G14843" s="1" t="str">
        <f>"0127Y231"</f>
        <v>0127Y231</v>
      </c>
      <c r="H14843" s="1" t="str">
        <f>"용문지 50L2"</f>
        <v>용문지 50L2</v>
      </c>
      <c r="I14843" s="1" t="s">
        <v>15</v>
      </c>
      <c r="J14843" s="1" t="str">
        <f>"58/59"</f>
        <v>58/59</v>
      </c>
      <c r="K14843" s="1" t="str">
        <f>"2026-07-29 14:20:43"</f>
        <v>2026-07-29 14:20:43</v>
      </c>
      <c r="L14843" s="1" t="str">
        <f>"2023-09-26 10:54:24"</f>
        <v>2023-09-26 10:54:24</v>
      </c>
      <c r="M14843" s="1" t="s">
        <v>4</v>
      </c>
      <c r="N14843" s="1" t="s">
        <v>38</v>
      </c>
      <c r="O14843" s="1" t="s">
        <v>46</v>
      </c>
    </row>
    <row r="14844" spans="2:15" x14ac:dyDescent="0.3">
      <c r="B14844" s="1" t="s">
        <v>19</v>
      </c>
      <c r="C14844" s="1" t="str">
        <f t="shared" si="753"/>
        <v>5-2차</v>
      </c>
      <c r="D14844" s="1" t="str">
        <f>"0127Y2325M"</f>
        <v>0127Y2325M</v>
      </c>
      <c r="E14844" s="1" t="s">
        <v>10</v>
      </c>
      <c r="F14844" s="1" t="str">
        <f>"fde1:103:4:5769:0:0:0:2"</f>
        <v>fde1:103:4:5769:0:0:0:2</v>
      </c>
      <c r="G14844" s="1" t="str">
        <f>"0127Y232"</f>
        <v>0127Y232</v>
      </c>
      <c r="H14844" s="1" t="str">
        <f>"용문지 50L3"</f>
        <v>용문지 50L3</v>
      </c>
      <c r="I14844" s="1" t="s">
        <v>15</v>
      </c>
      <c r="J14844" s="1" t="str">
        <f>"89/89"</f>
        <v>89/89</v>
      </c>
      <c r="K14844" s="1" t="str">
        <f>"2026-07-29 14:20:21"</f>
        <v>2026-07-29 14:20:21</v>
      </c>
      <c r="L14844" s="1" t="str">
        <f>"2023-09-26 10:55:11"</f>
        <v>2023-09-26 10:55:11</v>
      </c>
      <c r="M14844" s="1" t="s">
        <v>4</v>
      </c>
      <c r="N14844" s="1" t="s">
        <v>38</v>
      </c>
      <c r="O14844" s="1" t="s">
        <v>46</v>
      </c>
    </row>
    <row r="14845" spans="2:15" x14ac:dyDescent="0.3">
      <c r="B14845" s="1" t="s">
        <v>19</v>
      </c>
      <c r="C14845" s="1" t="str">
        <f t="shared" si="753"/>
        <v>5-2차</v>
      </c>
      <c r="D14845" s="1" t="str">
        <f>"0127Y3415S"</f>
        <v>0127Y3415S</v>
      </c>
      <c r="E14845" s="1" t="s">
        <v>10</v>
      </c>
      <c r="F14845" s="1" t="str">
        <f>"fde1:103:4:5786:0:0:0:2"</f>
        <v>fde1:103:4:5786:0:0:0:2</v>
      </c>
      <c r="G14845" s="1" t="str">
        <f>"0127Y341"</f>
        <v>0127Y341</v>
      </c>
      <c r="H14845" s="1" t="str">
        <f>"용문지 50L4L2"</f>
        <v>용문지 50L4L2</v>
      </c>
      <c r="I14845" s="1" t="s">
        <v>15</v>
      </c>
      <c r="J14845" s="1" t="str">
        <f>"31/31"</f>
        <v>31/31</v>
      </c>
      <c r="K14845" s="1" t="str">
        <f>"2026-07-29 14:20:00"</f>
        <v>2026-07-29 14:20:00</v>
      </c>
      <c r="L14845" s="1" t="str">
        <f>"2023-09-26 10:55:44"</f>
        <v>2023-09-26 10:55:44</v>
      </c>
      <c r="M14845" s="1" t="s">
        <v>4</v>
      </c>
      <c r="N14845" s="1" t="s">
        <v>38</v>
      </c>
      <c r="O14845" s="1" t="s">
        <v>46</v>
      </c>
    </row>
    <row r="14846" spans="2:15" x14ac:dyDescent="0.3">
      <c r="B14846" s="1" t="s">
        <v>19</v>
      </c>
      <c r="C14846" s="1" t="str">
        <f t="shared" si="753"/>
        <v>5-2차</v>
      </c>
      <c r="D14846" s="1" t="str">
        <f>"0127Y4315S"</f>
        <v>0127Y4315S</v>
      </c>
      <c r="E14846" s="1" t="s">
        <v>10</v>
      </c>
      <c r="F14846" s="1" t="str">
        <f>"fde1:103:4:576b:0:0:0:2"</f>
        <v>fde1:103:4:576b:0:0:0:2</v>
      </c>
      <c r="G14846" s="1" t="str">
        <f>"0127Y431"</f>
        <v>0127Y431</v>
      </c>
      <c r="H14846" s="1" t="str">
        <f>"용문지 50L6"</f>
        <v>용문지 50L6</v>
      </c>
      <c r="I14846" s="1" t="s">
        <v>15</v>
      </c>
      <c r="J14846" s="1" t="str">
        <f>"41/41"</f>
        <v>41/41</v>
      </c>
      <c r="K14846" s="1" t="str">
        <f>"2026-07-29 14:20:00"</f>
        <v>2026-07-29 14:20:00</v>
      </c>
      <c r="L14846" s="1" t="str">
        <f>"2023-09-26 10:57:17"</f>
        <v>2023-09-26 10:57:17</v>
      </c>
      <c r="M14846" s="1" t="s">
        <v>4</v>
      </c>
      <c r="N14846" s="1" t="s">
        <v>38</v>
      </c>
      <c r="O14846" s="1" t="s">
        <v>46</v>
      </c>
    </row>
    <row r="14847" spans="2:15" x14ac:dyDescent="0.3">
      <c r="B14847" s="1" t="s">
        <v>19</v>
      </c>
      <c r="C14847" s="1" t="str">
        <f t="shared" si="753"/>
        <v>5-2차</v>
      </c>
      <c r="D14847" s="1" t="str">
        <f>"0127Y5325M"</f>
        <v>0127Y5325M</v>
      </c>
      <c r="E14847" s="1" t="s">
        <v>10</v>
      </c>
      <c r="F14847" s="1" t="str">
        <f>"fde1:103:4:57b4:0:0:0:2"</f>
        <v>fde1:103:4:57b4:0:0:0:2</v>
      </c>
      <c r="G14847" s="1" t="str">
        <f>"0127Y532"</f>
        <v>0127Y532</v>
      </c>
      <c r="H14847" s="1" t="str">
        <f>"용문지 61L1"</f>
        <v>용문지 61L1</v>
      </c>
      <c r="I14847" s="1" t="s">
        <v>15</v>
      </c>
      <c r="J14847" s="1" t="str">
        <f>"73/73"</f>
        <v>73/73</v>
      </c>
      <c r="K14847" s="1" t="str">
        <f>"2026-07-29 14:20:21"</f>
        <v>2026-07-29 14:20:21</v>
      </c>
      <c r="L14847" s="1" t="str">
        <f>"2023-09-26 10:58:40"</f>
        <v>2023-09-26 10:58:40</v>
      </c>
      <c r="M14847" s="1" t="s">
        <v>4</v>
      </c>
      <c r="N14847" s="1" t="s">
        <v>38</v>
      </c>
      <c r="O14847" s="1" t="s">
        <v>46</v>
      </c>
    </row>
    <row r="14848" spans="2:15" x14ac:dyDescent="0.3">
      <c r="B14848" s="1" t="s">
        <v>19</v>
      </c>
      <c r="C14848" s="1" t="str">
        <f t="shared" si="753"/>
        <v>5-2차</v>
      </c>
      <c r="D14848" s="1" t="str">
        <f>"0127Y6425M"</f>
        <v>0127Y6425M</v>
      </c>
      <c r="E14848" s="1" t="s">
        <v>10</v>
      </c>
      <c r="F14848" s="1" t="str">
        <f>"fde1:103:4:57e9:0:0:0:2"</f>
        <v>fde1:103:4:57e9:0:0:0:2</v>
      </c>
      <c r="G14848" s="1" t="str">
        <f>"0127Y642"</f>
        <v>0127Y642</v>
      </c>
      <c r="H14848" s="1" t="str">
        <f>"용문지 61L3"</f>
        <v>용문지 61L3</v>
      </c>
      <c r="I14848" s="1" t="s">
        <v>15</v>
      </c>
      <c r="J14848" s="1" t="str">
        <f>"75/76"</f>
        <v>75/76</v>
      </c>
      <c r="K14848" s="1" t="str">
        <f>"2026-07-29 14:20:01"</f>
        <v>2026-07-29 14:20:01</v>
      </c>
      <c r="L14848" s="1" t="str">
        <f>"2023-09-26 11:14:42"</f>
        <v>2023-09-26 11:14:42</v>
      </c>
      <c r="M14848" s="1" t="s">
        <v>4</v>
      </c>
      <c r="N14848" s="1" t="s">
        <v>38</v>
      </c>
      <c r="O14848" s="1" t="s">
        <v>46</v>
      </c>
    </row>
    <row r="14849" spans="2:15" x14ac:dyDescent="0.3">
      <c r="B14849" s="1" t="s">
        <v>19</v>
      </c>
      <c r="C14849" s="1" t="str">
        <f>"6차"</f>
        <v>6차</v>
      </c>
      <c r="D14849" s="1" t="str">
        <f>"0127Y6536S"</f>
        <v>0127Y6536S</v>
      </c>
      <c r="E14849" s="1" t="s">
        <v>10</v>
      </c>
      <c r="F14849" s="1" t="str">
        <f>"fde1:103:4:91fd:0:0:0:2"</f>
        <v>fde1:103:4:91fd:0:0:0:2</v>
      </c>
      <c r="G14849" s="1" t="str">
        <f>"0127Y653"</f>
        <v>0127Y653</v>
      </c>
      <c r="H14849" s="1" t="str">
        <f>"용문지 61L4"</f>
        <v>용문지 61L4</v>
      </c>
      <c r="I14849" s="1" t="s">
        <v>15</v>
      </c>
      <c r="J14849" s="1" t="str">
        <f>"96/109"</f>
        <v>96/109</v>
      </c>
      <c r="K14849" s="1" t="str">
        <f>"2026-07-29 14:20:01"</f>
        <v>2026-07-29 14:20:01</v>
      </c>
      <c r="L14849" s="1" t="str">
        <f>"2024-10-28 15:49:49"</f>
        <v>2024-10-28 15:49:49</v>
      </c>
      <c r="M14849" s="1" t="s">
        <v>4</v>
      </c>
      <c r="N14849" s="1" t="s">
        <v>38</v>
      </c>
      <c r="O14849" s="1" t="s">
        <v>46</v>
      </c>
    </row>
    <row r="14850" spans="2:15" x14ac:dyDescent="0.3">
      <c r="B14850" s="1" t="s">
        <v>19</v>
      </c>
      <c r="C14850" s="1" t="str">
        <f>"3차"</f>
        <v>3차</v>
      </c>
      <c r="D14850" s="1" t="str">
        <f>"0127Y75339"</f>
        <v>0127Y75339</v>
      </c>
      <c r="E14850" s="1" t="s">
        <v>10</v>
      </c>
      <c r="F14850" s="1" t="str">
        <f>"10.107.8.156"</f>
        <v>10.107.8.156</v>
      </c>
      <c r="G14850" s="1" t="str">
        <f>"0127Y753"</f>
        <v>0127Y753</v>
      </c>
      <c r="H14850" s="1" t="str">
        <f>"용문지 65"</f>
        <v>용문지 65</v>
      </c>
      <c r="I14850" s="1" t="s">
        <v>8</v>
      </c>
      <c r="J14850" s="1" t="str">
        <f>"10/10"</f>
        <v>10/10</v>
      </c>
      <c r="K14850" s="1" t="str">
        <f t="shared" ref="K14850:K14857" si="754">"2026-07-29 13:18:02"</f>
        <v>2026-07-29 13:18:02</v>
      </c>
      <c r="L14850" s="1" t="str">
        <f>"2018-03-26 16:15:27"</f>
        <v>2018-03-26 16:15:27</v>
      </c>
      <c r="M14850" s="1" t="s">
        <v>45</v>
      </c>
      <c r="N14850" s="1" t="s">
        <v>38</v>
      </c>
      <c r="O14850" s="1" t="s">
        <v>46</v>
      </c>
    </row>
    <row r="14851" spans="2:15" x14ac:dyDescent="0.3">
      <c r="B14851" s="1" t="s">
        <v>19</v>
      </c>
      <c r="C14851" s="1" t="str">
        <f>"3차"</f>
        <v>3차</v>
      </c>
      <c r="D14851" s="1" t="str">
        <f>"0127Y85139"</f>
        <v>0127Y85139</v>
      </c>
      <c r="E14851" s="1" t="s">
        <v>10</v>
      </c>
      <c r="F14851" s="1" t="str">
        <f>"10.107.8.157"</f>
        <v>10.107.8.157</v>
      </c>
      <c r="G14851" s="1" t="str">
        <f>"0127Y851"</f>
        <v>0127Y851</v>
      </c>
      <c r="H14851" s="1" t="str">
        <f>"용문지 66"</f>
        <v>용문지 66</v>
      </c>
      <c r="I14851" s="1" t="s">
        <v>8</v>
      </c>
      <c r="J14851" s="1" t="str">
        <f>"10/10"</f>
        <v>10/10</v>
      </c>
      <c r="K14851" s="1" t="str">
        <f t="shared" si="754"/>
        <v>2026-07-29 13:18:02</v>
      </c>
      <c r="L14851" s="1" t="str">
        <f>"2018-03-26 16:15:33"</f>
        <v>2018-03-26 16:15:33</v>
      </c>
      <c r="M14851" s="1" t="s">
        <v>45</v>
      </c>
      <c r="N14851" s="1" t="s">
        <v>38</v>
      </c>
      <c r="O14851" s="1" t="s">
        <v>46</v>
      </c>
    </row>
    <row r="14852" spans="2:15" x14ac:dyDescent="0.3">
      <c r="B14852" s="1" t="s">
        <v>19</v>
      </c>
      <c r="C14852" s="1" t="str">
        <f>"3차"</f>
        <v>3차</v>
      </c>
      <c r="D14852" s="1" t="str">
        <f>"0127Y86239"</f>
        <v>0127Y86239</v>
      </c>
      <c r="E14852" s="1" t="s">
        <v>10</v>
      </c>
      <c r="F14852" s="1" t="str">
        <f>"10.107.8.223"</f>
        <v>10.107.8.223</v>
      </c>
      <c r="G14852" s="1" t="str">
        <f>"0127Y862"</f>
        <v>0127Y862</v>
      </c>
      <c r="H14852" s="1" t="str">
        <f>"용문지 68L2L1"</f>
        <v>용문지 68L2L1</v>
      </c>
      <c r="I14852" s="1" t="s">
        <v>8</v>
      </c>
      <c r="J14852" s="1" t="str">
        <f>"19/19"</f>
        <v>19/19</v>
      </c>
      <c r="K14852" s="1" t="str">
        <f t="shared" si="754"/>
        <v>2026-07-29 13:18:02</v>
      </c>
      <c r="L14852" s="1" t="str">
        <f>"2018-07-27 09:51:01"</f>
        <v>2018-07-27 09:51:01</v>
      </c>
      <c r="M14852" s="1" t="s">
        <v>45</v>
      </c>
      <c r="N14852" s="1" t="s">
        <v>38</v>
      </c>
      <c r="O14852" s="1" t="s">
        <v>46</v>
      </c>
    </row>
    <row r="14853" spans="2:15" x14ac:dyDescent="0.3">
      <c r="B14853" s="1" t="s">
        <v>19</v>
      </c>
      <c r="C14853" s="1" t="str">
        <f>"3차"</f>
        <v>3차</v>
      </c>
      <c r="D14853" s="1" t="str">
        <f>"0127Y87239"</f>
        <v>0127Y87239</v>
      </c>
      <c r="E14853" s="1" t="s">
        <v>10</v>
      </c>
      <c r="F14853" s="1" t="str">
        <f>"10.107.8.163"</f>
        <v>10.107.8.163</v>
      </c>
      <c r="G14853" s="1" t="str">
        <f>"0127Y872"</f>
        <v>0127Y872</v>
      </c>
      <c r="H14853" s="1" t="str">
        <f>"용문지 68L4"</f>
        <v>용문지 68L4</v>
      </c>
      <c r="I14853" s="1" t="s">
        <v>8</v>
      </c>
      <c r="J14853" s="1" t="str">
        <f>"35/35"</f>
        <v>35/35</v>
      </c>
      <c r="K14853" s="1" t="str">
        <f t="shared" si="754"/>
        <v>2026-07-29 13:18:02</v>
      </c>
      <c r="L14853" s="1" t="str">
        <f>"2018-03-26 17:48:56"</f>
        <v>2018-03-26 17:48:56</v>
      </c>
      <c r="M14853" s="1" t="s">
        <v>45</v>
      </c>
      <c r="N14853" s="1" t="s">
        <v>38</v>
      </c>
      <c r="O14853" s="1" t="s">
        <v>46</v>
      </c>
    </row>
    <row r="14854" spans="2:15" x14ac:dyDescent="0.3">
      <c r="B14854" s="1" t="s">
        <v>19</v>
      </c>
      <c r="C14854" s="1" t="str">
        <f>"4차"</f>
        <v>4차</v>
      </c>
      <c r="D14854" s="1" t="str">
        <f>"0127Y88130"</f>
        <v>0127Y88130</v>
      </c>
      <c r="E14854" s="1" t="s">
        <v>10</v>
      </c>
      <c r="F14854" s="1" t="str">
        <f>"10.107.8.161"</f>
        <v>10.107.8.161</v>
      </c>
      <c r="G14854" s="1" t="str">
        <f>"0127Y881"</f>
        <v>0127Y881</v>
      </c>
      <c r="H14854" s="1" t="str">
        <f>"용문지 68L5"</f>
        <v>용문지 68L5</v>
      </c>
      <c r="I14854" s="1" t="s">
        <v>8</v>
      </c>
      <c r="J14854" s="1" t="str">
        <f>"63/63"</f>
        <v>63/63</v>
      </c>
      <c r="K14854" s="1" t="str">
        <f t="shared" si="754"/>
        <v>2026-07-29 13:18:02</v>
      </c>
      <c r="L14854" s="1" t="str">
        <f>"2018-03-26 15:39:26"</f>
        <v>2018-03-26 15:39:26</v>
      </c>
      <c r="M14854" s="1" t="s">
        <v>45</v>
      </c>
      <c r="N14854" s="1" t="s">
        <v>38</v>
      </c>
      <c r="O14854" s="1" t="s">
        <v>46</v>
      </c>
    </row>
    <row r="14855" spans="2:15" x14ac:dyDescent="0.3">
      <c r="B14855" s="1" t="s">
        <v>19</v>
      </c>
      <c r="C14855" s="1" t="str">
        <f>"3차"</f>
        <v>3차</v>
      </c>
      <c r="D14855" s="1" t="str">
        <f>"0127Y96139"</f>
        <v>0127Y96139</v>
      </c>
      <c r="E14855" s="1" t="s">
        <v>10</v>
      </c>
      <c r="F14855" s="1" t="str">
        <f>"10.107.8.160"</f>
        <v>10.107.8.160</v>
      </c>
      <c r="G14855" s="1" t="str">
        <f>"0127Y961"</f>
        <v>0127Y961</v>
      </c>
      <c r="H14855" s="1" t="str">
        <f>"용문지 68"</f>
        <v>용문지 68</v>
      </c>
      <c r="I14855" s="1" t="s">
        <v>8</v>
      </c>
      <c r="J14855" s="1" t="str">
        <f>"53/56"</f>
        <v>53/56</v>
      </c>
      <c r="K14855" s="1" t="str">
        <f t="shared" si="754"/>
        <v>2026-07-29 13:18:02</v>
      </c>
      <c r="L14855" s="1" t="str">
        <f>"2018-04-04 15:18:27"</f>
        <v>2018-04-04 15:18:27</v>
      </c>
      <c r="M14855" s="1" t="s">
        <v>45</v>
      </c>
      <c r="N14855" s="1" t="s">
        <v>38</v>
      </c>
      <c r="O14855" s="1" t="s">
        <v>46</v>
      </c>
    </row>
    <row r="14856" spans="2:15" x14ac:dyDescent="0.3">
      <c r="B14856" s="1" t="s">
        <v>19</v>
      </c>
      <c r="C14856" s="1" t="str">
        <f>"3차"</f>
        <v>3차</v>
      </c>
      <c r="D14856" s="1" t="str">
        <f>"0127Y98131"</f>
        <v>0127Y98131</v>
      </c>
      <c r="E14856" s="1" t="s">
        <v>10</v>
      </c>
      <c r="F14856" s="1" t="str">
        <f>"10.107.8.162"</f>
        <v>10.107.8.162</v>
      </c>
      <c r="G14856" s="1" t="str">
        <f>"0127Y981"</f>
        <v>0127Y981</v>
      </c>
      <c r="H14856" s="1" t="str">
        <f>"용문지 68L6"</f>
        <v>용문지 68L6</v>
      </c>
      <c r="I14856" s="1" t="s">
        <v>8</v>
      </c>
      <c r="J14856" s="1" t="str">
        <f>"58/58"</f>
        <v>58/58</v>
      </c>
      <c r="K14856" s="1" t="str">
        <f t="shared" si="754"/>
        <v>2026-07-29 13:18:02</v>
      </c>
      <c r="L14856" s="1" t="str">
        <f>"2018-03-26 15:45:10"</f>
        <v>2018-03-26 15:45:10</v>
      </c>
      <c r="M14856" s="1" t="s">
        <v>45</v>
      </c>
      <c r="N14856" s="1" t="s">
        <v>38</v>
      </c>
      <c r="O14856" s="1" t="s">
        <v>46</v>
      </c>
    </row>
    <row r="14857" spans="2:15" x14ac:dyDescent="0.3">
      <c r="B14857" s="1" t="s">
        <v>19</v>
      </c>
      <c r="C14857" s="1" t="str">
        <f>"4차"</f>
        <v>4차</v>
      </c>
      <c r="D14857" s="1" t="str">
        <f>"0128A00339"</f>
        <v>0128A00339</v>
      </c>
      <c r="E14857" s="1" t="s">
        <v>10</v>
      </c>
      <c r="F14857" s="1" t="str">
        <f>"10.107.122.103"</f>
        <v>10.107.122.103</v>
      </c>
      <c r="G14857" s="1" t="str">
        <f>"0128A003"</f>
        <v>0128A003</v>
      </c>
      <c r="H14857" s="1" t="str">
        <f>"대일지 10R15L1"</f>
        <v>대일지 10R15L1</v>
      </c>
      <c r="I14857" s="1" t="s">
        <v>8</v>
      </c>
      <c r="J14857" s="1" t="str">
        <f>"62/75"</f>
        <v>62/75</v>
      </c>
      <c r="K14857" s="1" t="str">
        <f t="shared" si="754"/>
        <v>2026-07-29 13:18:02</v>
      </c>
      <c r="L14857" s="1" t="str">
        <f>"2018-03-23 14:01:11"</f>
        <v>2018-03-23 14:01:11</v>
      </c>
      <c r="M14857" s="1" t="s">
        <v>45</v>
      </c>
      <c r="N14857" s="1" t="s">
        <v>38</v>
      </c>
      <c r="O14857" s="1" t="s">
        <v>46</v>
      </c>
    </row>
    <row r="14858" spans="2:15" x14ac:dyDescent="0.3">
      <c r="B14858" s="1" t="s">
        <v>19</v>
      </c>
      <c r="C14858" s="1" t="str">
        <f>"6차"</f>
        <v>6차</v>
      </c>
      <c r="D14858" s="1" t="str">
        <f>"0128A0236M"</f>
        <v>0128A0236M</v>
      </c>
      <c r="E14858" s="1" t="s">
        <v>10</v>
      </c>
      <c r="F14858" s="1" t="str">
        <f>"fde1:103:4:c839:0:0:0:2"</f>
        <v>fde1:103:4:c839:0:0:0:2</v>
      </c>
      <c r="G14858" s="1" t="str">
        <f>"0128A023"</f>
        <v>0128A023</v>
      </c>
      <c r="H14858" s="1" t="str">
        <f>"대일지 19R7R7R1"</f>
        <v>대일지 19R7R7R1</v>
      </c>
      <c r="I14858" s="1" t="s">
        <v>15</v>
      </c>
      <c r="J14858" s="1" t="str">
        <f>"41/41"</f>
        <v>41/41</v>
      </c>
      <c r="K14858" s="1" t="str">
        <f>"2026-07-29 14:20:40"</f>
        <v>2026-07-29 14:20:40</v>
      </c>
      <c r="L14858" s="1" t="str">
        <f>"2024-12-03 11:24:05"</f>
        <v>2024-12-03 11:24:05</v>
      </c>
      <c r="M14858" s="1" t="s">
        <v>4</v>
      </c>
      <c r="N14858" s="1" t="s">
        <v>38</v>
      </c>
      <c r="O14858" s="1" t="s">
        <v>46</v>
      </c>
    </row>
    <row r="14859" spans="2:15" x14ac:dyDescent="0.3">
      <c r="B14859" s="1" t="s">
        <v>19</v>
      </c>
      <c r="C14859" s="1" t="str">
        <f>"6차"</f>
        <v>6차</v>
      </c>
      <c r="D14859" s="1" t="str">
        <f>"0128A1026S"</f>
        <v>0128A1026S</v>
      </c>
      <c r="E14859" s="1" t="s">
        <v>10</v>
      </c>
      <c r="F14859" s="1" t="str">
        <f>"fde1:103:4:93ec:0:0:0:2"</f>
        <v>fde1:103:4:93ec:0:0:0:2</v>
      </c>
      <c r="G14859" s="1" t="str">
        <f>"0128A102"</f>
        <v>0128A102</v>
      </c>
      <c r="H14859" s="1" t="str">
        <f>"대일지 10R16H1"</f>
        <v>대일지 10R16H1</v>
      </c>
      <c r="I14859" s="1" t="s">
        <v>15</v>
      </c>
      <c r="J14859" s="1" t="str">
        <f>"33/33"</f>
        <v>33/33</v>
      </c>
      <c r="K14859" s="1" t="str">
        <f>"2026-07-29 08:20:11"</f>
        <v>2026-07-29 08:20:11</v>
      </c>
      <c r="L14859" s="1" t="str">
        <f>"2025-02-12 18:01:37"</f>
        <v>2025-02-12 18:01:37</v>
      </c>
      <c r="M14859" s="1" t="s">
        <v>4</v>
      </c>
      <c r="N14859" s="1" t="s">
        <v>38</v>
      </c>
      <c r="O14859" s="1" t="s">
        <v>46</v>
      </c>
    </row>
    <row r="14860" spans="2:15" x14ac:dyDescent="0.3">
      <c r="B14860" s="1" t="s">
        <v>19</v>
      </c>
      <c r="C14860" s="1" t="str">
        <f>"1차"</f>
        <v>1차</v>
      </c>
      <c r="D14860" s="1" t="str">
        <f>"0128A11200"</f>
        <v>0128A11200</v>
      </c>
      <c r="E14860" s="1" t="s">
        <v>10</v>
      </c>
      <c r="F14860" s="1" t="str">
        <f>"10.107.122.99"</f>
        <v>10.107.122.99</v>
      </c>
      <c r="G14860" s="1" t="str">
        <f>"0128A112"</f>
        <v>0128A112</v>
      </c>
      <c r="H14860" s="1" t="str">
        <f>"대일지 10R17"</f>
        <v>대일지 10R17</v>
      </c>
      <c r="I14860" s="1" t="s">
        <v>8</v>
      </c>
      <c r="J14860" s="1" t="str">
        <f>"50/51"</f>
        <v>50/51</v>
      </c>
      <c r="K14860" s="1" t="str">
        <f>"2026-07-29 13:18:02"</f>
        <v>2026-07-29 13:18:02</v>
      </c>
      <c r="L14860" s="1" t="str">
        <f>"2015-02-12 12:06:25"</f>
        <v>2015-02-12 12:06:25</v>
      </c>
      <c r="M14860" s="1" t="s">
        <v>45</v>
      </c>
      <c r="N14860" s="1" t="s">
        <v>38</v>
      </c>
      <c r="O14860" s="1" t="s">
        <v>46</v>
      </c>
    </row>
    <row r="14861" spans="2:15" x14ac:dyDescent="0.3">
      <c r="B14861" s="1" t="s">
        <v>19</v>
      </c>
      <c r="C14861" s="1" t="str">
        <f>"6차"</f>
        <v>6차</v>
      </c>
      <c r="D14861" s="1" t="str">
        <f>"0128A1326S"</f>
        <v>0128A1326S</v>
      </c>
      <c r="E14861" s="1" t="s">
        <v>10</v>
      </c>
      <c r="F14861" s="1" t="str">
        <f>"fde1:103:4:940c:0:0:0:2"</f>
        <v>fde1:103:4:940c:0:0:0:2</v>
      </c>
      <c r="G14861" s="1" t="str">
        <f>"0128A132"</f>
        <v>0128A132</v>
      </c>
      <c r="H14861" s="1" t="str">
        <f>"대일지 19R7R7R2"</f>
        <v>대일지 19R7R7R2</v>
      </c>
      <c r="I14861" s="1" t="s">
        <v>15</v>
      </c>
      <c r="J14861" s="1" t="str">
        <f>"29/29"</f>
        <v>29/29</v>
      </c>
      <c r="K14861" s="1" t="str">
        <f>"2026-07-29 14:20:22"</f>
        <v>2026-07-29 14:20:22</v>
      </c>
      <c r="L14861" s="1" t="str">
        <f>"2025-02-24 13:13:15"</f>
        <v>2025-02-24 13:13:15</v>
      </c>
      <c r="M14861" s="1" t="s">
        <v>4</v>
      </c>
      <c r="N14861" s="1" t="s">
        <v>38</v>
      </c>
      <c r="O14861" s="1" t="s">
        <v>46</v>
      </c>
    </row>
    <row r="14862" spans="2:15" x14ac:dyDescent="0.3">
      <c r="B14862" s="1" t="s">
        <v>19</v>
      </c>
      <c r="C14862" s="1" t="str">
        <f>"6차"</f>
        <v>6차</v>
      </c>
      <c r="D14862" s="1" t="str">
        <f>"0128A3056M"</f>
        <v>0128A3056M</v>
      </c>
      <c r="E14862" s="1" t="s">
        <v>10</v>
      </c>
      <c r="F14862" s="1" t="str">
        <f>"fde1:103:4:c802:0:0:0:2"</f>
        <v>fde1:103:4:c802:0:0:0:2</v>
      </c>
      <c r="G14862" s="1" t="str">
        <f>"0128A305"</f>
        <v>0128A305</v>
      </c>
      <c r="H14862" s="1" t="str">
        <f>"미아간 51"</f>
        <v>미아간 51</v>
      </c>
      <c r="I14862" s="1" t="s">
        <v>15</v>
      </c>
      <c r="J14862" s="1" t="str">
        <f>"42/42"</f>
        <v>42/42</v>
      </c>
      <c r="K14862" s="1" t="str">
        <f>"2026-07-29 14:20:21"</f>
        <v>2026-07-29 14:20:21</v>
      </c>
      <c r="L14862" s="1" t="str">
        <f>"2024-12-02 13:43:57"</f>
        <v>2024-12-02 13:43:57</v>
      </c>
      <c r="M14862" s="1" t="s">
        <v>4</v>
      </c>
      <c r="N14862" s="1" t="s">
        <v>38</v>
      </c>
      <c r="O14862" s="1" t="s">
        <v>46</v>
      </c>
    </row>
    <row r="14863" spans="2:15" x14ac:dyDescent="0.3">
      <c r="B14863" s="1" t="s">
        <v>19</v>
      </c>
      <c r="C14863" s="1" t="str">
        <f>"4차"</f>
        <v>4차</v>
      </c>
      <c r="D14863" s="1" t="str">
        <f>"0128A31231"</f>
        <v>0128A31231</v>
      </c>
      <c r="E14863" s="1" t="s">
        <v>10</v>
      </c>
      <c r="F14863" s="1" t="str">
        <f>"10.107.122.113"</f>
        <v>10.107.122.113</v>
      </c>
      <c r="G14863" s="1" t="str">
        <f>"0128A312"</f>
        <v>0128A312</v>
      </c>
      <c r="H14863" s="1" t="str">
        <f>"미아간 55H1"</f>
        <v>미아간 55H1</v>
      </c>
      <c r="I14863" s="1" t="s">
        <v>8</v>
      </c>
      <c r="J14863" s="1" t="str">
        <f>"78/79"</f>
        <v>78/79</v>
      </c>
      <c r="K14863" s="1" t="str">
        <f>"2026-07-29 13:18:02"</f>
        <v>2026-07-29 13:18:02</v>
      </c>
      <c r="L14863" s="1" t="str">
        <f>"2018-04-03 12:08:42"</f>
        <v>2018-04-03 12:08:42</v>
      </c>
      <c r="M14863" s="1" t="s">
        <v>45</v>
      </c>
      <c r="N14863" s="1" t="s">
        <v>38</v>
      </c>
      <c r="O14863" s="1" t="s">
        <v>46</v>
      </c>
    </row>
    <row r="14864" spans="2:15" x14ac:dyDescent="0.3">
      <c r="B14864" s="1" t="s">
        <v>19</v>
      </c>
      <c r="C14864" s="1" t="str">
        <f>"1차"</f>
        <v>1차</v>
      </c>
      <c r="D14864" s="1" t="str">
        <f>"0128A33100"</f>
        <v>0128A33100</v>
      </c>
      <c r="E14864" s="1" t="s">
        <v>10</v>
      </c>
      <c r="F14864" s="1" t="str">
        <f>"10.107.122.111"</f>
        <v>10.107.122.111</v>
      </c>
      <c r="G14864" s="1" t="str">
        <f>"0128A331"</f>
        <v>0128A331</v>
      </c>
      <c r="H14864" s="1" t="str">
        <f>"미아간 56"</f>
        <v>미아간 56</v>
      </c>
      <c r="I14864" s="1" t="s">
        <v>8</v>
      </c>
      <c r="J14864" s="1" t="str">
        <f>"18/22"</f>
        <v>18/22</v>
      </c>
      <c r="K14864" s="1" t="str">
        <f>"2026-07-29 13:18:02"</f>
        <v>2026-07-29 13:18:02</v>
      </c>
      <c r="L14864" s="1" t="str">
        <f>"2014-11-18 11:25:53"</f>
        <v>2014-11-18 11:25:53</v>
      </c>
      <c r="M14864" s="1" t="s">
        <v>45</v>
      </c>
      <c r="N14864" s="1" t="s">
        <v>38</v>
      </c>
      <c r="O14864" s="1" t="s">
        <v>46</v>
      </c>
    </row>
    <row r="14865" spans="2:15" x14ac:dyDescent="0.3">
      <c r="B14865" s="1" t="s">
        <v>19</v>
      </c>
      <c r="C14865" s="1" t="str">
        <f>"6차"</f>
        <v>6차</v>
      </c>
      <c r="D14865" s="1" t="str">
        <f>"0128A3416S"</f>
        <v>0128A3416S</v>
      </c>
      <c r="E14865" s="1" t="s">
        <v>10</v>
      </c>
      <c r="F14865" s="1" t="str">
        <f>"fde3:102:1410:5100:0:0:0:5"</f>
        <v>fde3:102:1410:5100:0:0:0:5</v>
      </c>
      <c r="G14865" s="1" t="str">
        <f>"0128A341"</f>
        <v>0128A341</v>
      </c>
      <c r="H14865" s="1" t="str">
        <f>"미아간 57"</f>
        <v>미아간 57</v>
      </c>
      <c r="I14865" s="1" t="s">
        <v>15</v>
      </c>
      <c r="J14865" s="1" t="str">
        <f>"72/93"</f>
        <v>72/93</v>
      </c>
      <c r="K14865" s="1" t="str">
        <f>"2026-07-29 14:20:10"</f>
        <v>2026-07-29 14:20:10</v>
      </c>
      <c r="L14865" s="1" t="str">
        <f>"2024-12-03 14:07:07"</f>
        <v>2024-12-03 14:07:07</v>
      </c>
      <c r="M14865" s="1" t="s">
        <v>45</v>
      </c>
      <c r="N14865" s="1" t="s">
        <v>38</v>
      </c>
      <c r="O14865" s="1" t="s">
        <v>46</v>
      </c>
    </row>
    <row r="14866" spans="2:15" x14ac:dyDescent="0.3">
      <c r="B14866" s="1" t="s">
        <v>19</v>
      </c>
      <c r="C14866" s="1" t="str">
        <f>"4차"</f>
        <v>4차</v>
      </c>
      <c r="D14866" s="1" t="str">
        <f>"0128A40130"</f>
        <v>0128A40130</v>
      </c>
      <c r="E14866" s="1" t="s">
        <v>10</v>
      </c>
      <c r="F14866" s="1" t="str">
        <f>"10.107.122.112"</f>
        <v>10.107.122.112</v>
      </c>
      <c r="G14866" s="1" t="str">
        <f>"0128A401"</f>
        <v>0128A401</v>
      </c>
      <c r="H14866" s="1" t="str">
        <f>"미아간 53"</f>
        <v>미아간 53</v>
      </c>
      <c r="I14866" s="1" t="s">
        <v>8</v>
      </c>
      <c r="J14866" s="1" t="str">
        <f>"109/129"</f>
        <v>109/129</v>
      </c>
      <c r="K14866" s="1" t="str">
        <f>"2026-07-29 13:18:02"</f>
        <v>2026-07-29 13:18:02</v>
      </c>
      <c r="L14866" s="1" t="str">
        <f>"2018-04-03 12:00:27"</f>
        <v>2018-04-03 12:00:27</v>
      </c>
      <c r="M14866" s="1" t="s">
        <v>45</v>
      </c>
      <c r="N14866" s="1" t="s">
        <v>38</v>
      </c>
      <c r="O14866" s="1" t="s">
        <v>46</v>
      </c>
    </row>
    <row r="14867" spans="2:15" x14ac:dyDescent="0.3">
      <c r="B14867" s="1" t="s">
        <v>19</v>
      </c>
      <c r="C14867" s="1" t="str">
        <f>"4차"</f>
        <v>4차</v>
      </c>
      <c r="D14867" s="1" t="str">
        <f>"0128A75745"</f>
        <v>0128A75745</v>
      </c>
      <c r="E14867" s="1" t="s">
        <v>10</v>
      </c>
      <c r="F14867" s="1" t="str">
        <f>"10.14.8.53"</f>
        <v>10.14.8.53</v>
      </c>
      <c r="G14867" s="1" t="str">
        <f>"0128A757"</f>
        <v>0128A757</v>
      </c>
      <c r="H14867" s="1" t="str">
        <f>"길음 7"</f>
        <v>길음 7</v>
      </c>
      <c r="I14867" s="1" t="s">
        <v>17</v>
      </c>
      <c r="J14867" s="1" t="str">
        <f>"7/7"</f>
        <v>7/7</v>
      </c>
      <c r="K14867" s="1" t="str">
        <f>"2026-07-29 13:18:03"</f>
        <v>2026-07-29 13:18:03</v>
      </c>
      <c r="L14867" s="1" t="str">
        <f>"2021-06-25 10:50:28"</f>
        <v>2021-06-25 10:50:28</v>
      </c>
      <c r="M14867" s="1" t="s">
        <v>3</v>
      </c>
      <c r="N14867" s="1" t="s">
        <v>38</v>
      </c>
      <c r="O14867" s="1" t="s">
        <v>46</v>
      </c>
    </row>
    <row r="14868" spans="2:15" x14ac:dyDescent="0.3">
      <c r="B14868" s="1" t="s">
        <v>19</v>
      </c>
      <c r="C14868" s="1" t="str">
        <f>"1차"</f>
        <v>1차</v>
      </c>
      <c r="D14868" s="1" t="str">
        <f>"0128B81101"</f>
        <v>0128B81101</v>
      </c>
      <c r="E14868" s="1" t="s">
        <v>10</v>
      </c>
      <c r="F14868" s="1" t="str">
        <f>"10.12.137.113"</f>
        <v>10.12.137.113</v>
      </c>
      <c r="G14868" s="1" t="str">
        <f>"0128B811"</f>
        <v>0128B811</v>
      </c>
      <c r="H14868" s="1" t="str">
        <f>"길삼간 38"</f>
        <v>길삼간 38</v>
      </c>
      <c r="I14868" s="1" t="s">
        <v>8</v>
      </c>
      <c r="J14868" s="1" t="str">
        <f>"17/18"</f>
        <v>17/18</v>
      </c>
      <c r="K14868" s="1" t="str">
        <f>"2026-07-29 13:18:02"</f>
        <v>2026-07-29 13:18:02</v>
      </c>
      <c r="L14868" s="1" t="str">
        <f>"2014-10-22 00:26:56"</f>
        <v>2014-10-22 00:26:56</v>
      </c>
      <c r="M14868" s="1" t="s">
        <v>0</v>
      </c>
      <c r="N14868" s="1" t="s">
        <v>38</v>
      </c>
      <c r="O14868" s="1" t="s">
        <v>46</v>
      </c>
    </row>
    <row r="14869" spans="2:15" x14ac:dyDescent="0.3">
      <c r="B14869" s="1" t="s">
        <v>19</v>
      </c>
      <c r="C14869" s="1" t="str">
        <f>"4차"</f>
        <v>4차</v>
      </c>
      <c r="D14869" s="1" t="str">
        <f>"0128B83144"</f>
        <v>0128B83144</v>
      </c>
      <c r="E14869" s="1" t="s">
        <v>14</v>
      </c>
      <c r="F14869" s="1" t="str">
        <f>"10.107.120.174"</f>
        <v>10.107.120.174</v>
      </c>
      <c r="G14869" s="1" t="str">
        <f>"0128B831"</f>
        <v>0128B831</v>
      </c>
      <c r="H14869" s="1" t="str">
        <f>"길삼간 41L7"</f>
        <v>길삼간 41L7</v>
      </c>
      <c r="I14869" s="1" t="s">
        <v>8</v>
      </c>
      <c r="J14869" s="1" t="str">
        <f>"0/0"</f>
        <v>0/0</v>
      </c>
      <c r="K14869" s="1" t="str">
        <f>"2026-02-02 07:21:07"</f>
        <v>2026-02-02 07:21:07</v>
      </c>
      <c r="L14869" s="1" t="str">
        <f>"2023-07-17 18:15:57"</f>
        <v>2023-07-17 18:15:57</v>
      </c>
      <c r="M14869" s="1" t="s">
        <v>45</v>
      </c>
      <c r="N14869" s="1" t="s">
        <v>44</v>
      </c>
      <c r="O14869" s="1" t="s">
        <v>44</v>
      </c>
    </row>
    <row r="14870" spans="2:15" x14ac:dyDescent="0.3">
      <c r="B14870" s="1" t="s">
        <v>19</v>
      </c>
      <c r="C14870" s="1" t="str">
        <f>"1차"</f>
        <v>1차</v>
      </c>
      <c r="D14870" s="1" t="str">
        <f>"0128B87201"</f>
        <v>0128B87201</v>
      </c>
      <c r="E14870" s="1" t="s">
        <v>10</v>
      </c>
      <c r="F14870" s="1" t="str">
        <f>"10.107.120.170"</f>
        <v>10.107.120.170</v>
      </c>
      <c r="G14870" s="1" t="str">
        <f>"0128B872"</f>
        <v>0128B872</v>
      </c>
      <c r="H14870" s="1" t="str">
        <f>"송천간 43"</f>
        <v>송천간 43</v>
      </c>
      <c r="I14870" s="1" t="s">
        <v>8</v>
      </c>
      <c r="J14870" s="1" t="str">
        <f>"10/10"</f>
        <v>10/10</v>
      </c>
      <c r="K14870" s="1" t="str">
        <f>"2026-07-29 13:18:01"</f>
        <v>2026-07-29 13:18:01</v>
      </c>
      <c r="L14870" s="1" t="str">
        <f>"2014-11-18 11:25:21"</f>
        <v>2014-11-18 11:25:21</v>
      </c>
      <c r="M14870" s="1" t="s">
        <v>45</v>
      </c>
      <c r="N14870" s="1" t="s">
        <v>38</v>
      </c>
      <c r="O14870" s="1" t="s">
        <v>46</v>
      </c>
    </row>
    <row r="14871" spans="2:15" x14ac:dyDescent="0.3">
      <c r="B14871" s="1" t="s">
        <v>19</v>
      </c>
      <c r="C14871" s="1" t="str">
        <f>"1차"</f>
        <v>1차</v>
      </c>
      <c r="D14871" s="1" t="str">
        <f>"0128B93100"</f>
        <v>0128B93100</v>
      </c>
      <c r="E14871" s="1" t="s">
        <v>14</v>
      </c>
      <c r="F14871" s="1" t="str">
        <f>"10.107.120.175"</f>
        <v>10.107.120.175</v>
      </c>
      <c r="G14871" s="1" t="str">
        <f>"0128B931"</f>
        <v>0128B931</v>
      </c>
      <c r="H14871" s="1" t="str">
        <f>"길삼간 41L4"</f>
        <v>길삼간 41L4</v>
      </c>
      <c r="I14871" s="1" t="s">
        <v>8</v>
      </c>
      <c r="J14871" s="1" t="str">
        <f>"0/0"</f>
        <v>0/0</v>
      </c>
      <c r="K14871" s="1" t="str">
        <f>"2026-02-02 07:21:06"</f>
        <v>2026-02-02 07:21:06</v>
      </c>
      <c r="L14871" s="1" t="str">
        <f>"2014-10-24 00:27:03"</f>
        <v>2014-10-24 00:27:03</v>
      </c>
      <c r="M14871" s="1" t="s">
        <v>45</v>
      </c>
      <c r="N14871" s="1" t="s">
        <v>44</v>
      </c>
      <c r="O14871" s="1" t="s">
        <v>44</v>
      </c>
    </row>
    <row r="14872" spans="2:15" x14ac:dyDescent="0.3">
      <c r="B14872" s="1" t="s">
        <v>19</v>
      </c>
      <c r="C14872" s="1" t="str">
        <f>"1차"</f>
        <v>1차</v>
      </c>
      <c r="D14872" s="1" t="str">
        <f>"0128B97101"</f>
        <v>0128B97101</v>
      </c>
      <c r="E14872" s="1" t="s">
        <v>10</v>
      </c>
      <c r="F14872" s="1" t="str">
        <f>"10.107.120.169"</f>
        <v>10.107.120.169</v>
      </c>
      <c r="G14872" s="1" t="str">
        <f>"0128B971"</f>
        <v>0128B971</v>
      </c>
      <c r="H14872" s="1" t="str">
        <f>"송천간 45A1"</f>
        <v>송천간 45A1</v>
      </c>
      <c r="I14872" s="1" t="s">
        <v>8</v>
      </c>
      <c r="J14872" s="1" t="str">
        <f>"30/30"</f>
        <v>30/30</v>
      </c>
      <c r="K14872" s="1" t="str">
        <f>"2026-07-29 13:18:01"</f>
        <v>2026-07-29 13:18:01</v>
      </c>
      <c r="L14872" s="1" t="str">
        <f>"2014-11-18 11:25:08"</f>
        <v>2014-11-18 11:25:08</v>
      </c>
      <c r="M14872" s="1" t="s">
        <v>45</v>
      </c>
      <c r="N14872" s="1" t="s">
        <v>38</v>
      </c>
      <c r="O14872" s="1" t="s">
        <v>46</v>
      </c>
    </row>
    <row r="14873" spans="2:15" x14ac:dyDescent="0.3">
      <c r="B14873" s="1" t="s">
        <v>19</v>
      </c>
      <c r="C14873" s="1" t="str">
        <f>"1차"</f>
        <v>1차</v>
      </c>
      <c r="D14873" s="1" t="str">
        <f>"0128B97200"</f>
        <v>0128B97200</v>
      </c>
      <c r="E14873" s="1" t="s">
        <v>10</v>
      </c>
      <c r="F14873" s="1" t="str">
        <f>"10.107.120.168"</f>
        <v>10.107.120.168</v>
      </c>
      <c r="G14873" s="1" t="str">
        <f>"0128B972"</f>
        <v>0128B972</v>
      </c>
      <c r="H14873" s="1" t="str">
        <f>"송천간 45"</f>
        <v>송천간 45</v>
      </c>
      <c r="I14873" s="1" t="s">
        <v>8</v>
      </c>
      <c r="J14873" s="1" t="str">
        <f>"2/2"</f>
        <v>2/2</v>
      </c>
      <c r="K14873" s="1" t="str">
        <f>"2026-07-29 13:18:01"</f>
        <v>2026-07-29 13:18:01</v>
      </c>
      <c r="L14873" s="1" t="str">
        <f>"2014-11-18 11:25:33"</f>
        <v>2014-11-18 11:25:33</v>
      </c>
      <c r="M14873" s="1" t="s">
        <v>45</v>
      </c>
      <c r="N14873" s="1" t="s">
        <v>38</v>
      </c>
      <c r="O14873" s="1" t="s">
        <v>46</v>
      </c>
    </row>
    <row r="14874" spans="2:15" x14ac:dyDescent="0.3">
      <c r="B14874" s="1" t="s">
        <v>19</v>
      </c>
      <c r="C14874" s="1" t="str">
        <f>"4차"</f>
        <v>4차</v>
      </c>
      <c r="D14874" s="1" t="str">
        <f>"0128C01144"</f>
        <v>0128C01144</v>
      </c>
      <c r="E14874" s="1" t="s">
        <v>10</v>
      </c>
      <c r="F14874" s="1" t="str">
        <f>"10.107.123.165"</f>
        <v>10.107.123.165</v>
      </c>
      <c r="G14874" s="1" t="str">
        <f>"0128C011"</f>
        <v>0128C011</v>
      </c>
      <c r="H14874" s="1" t="str">
        <f>"미아간 31L4R13L1L2"</f>
        <v>미아간 31L4R13L1L2</v>
      </c>
      <c r="I14874" s="1" t="s">
        <v>8</v>
      </c>
      <c r="J14874" s="1" t="str">
        <f>"23/23"</f>
        <v>23/23</v>
      </c>
      <c r="K14874" s="1" t="str">
        <f>"2026-07-29 13:18:01"</f>
        <v>2026-07-29 13:18:01</v>
      </c>
      <c r="L14874" s="1" t="str">
        <f>"2019-10-21 11:33:05"</f>
        <v>2019-10-21 11:33:05</v>
      </c>
      <c r="M14874" s="1" t="s">
        <v>45</v>
      </c>
      <c r="N14874" s="1" t="s">
        <v>38</v>
      </c>
      <c r="O14874" s="1" t="s">
        <v>46</v>
      </c>
    </row>
    <row r="14875" spans="2:15" x14ac:dyDescent="0.3">
      <c r="B14875" s="1" t="s">
        <v>19</v>
      </c>
      <c r="C14875" s="1" t="str">
        <f>"4차"</f>
        <v>4차</v>
      </c>
      <c r="D14875" s="1" t="str">
        <f>"0128C02141"</f>
        <v>0128C02141</v>
      </c>
      <c r="E14875" s="1" t="s">
        <v>10</v>
      </c>
      <c r="F14875" s="1" t="str">
        <f>"10.14.2.19"</f>
        <v>10.14.2.19</v>
      </c>
      <c r="G14875" s="1" t="str">
        <f>"0128C021"</f>
        <v>0128C021</v>
      </c>
      <c r="H14875" s="1" t="str">
        <f>"미아간 31L4R13L1"</f>
        <v>미아간 31L4R13L1</v>
      </c>
      <c r="I14875" s="1" t="s">
        <v>17</v>
      </c>
      <c r="J14875" s="1" t="str">
        <f>"36/36"</f>
        <v>36/36</v>
      </c>
      <c r="K14875" s="1" t="str">
        <f>"2026-07-29 13:18:03"</f>
        <v>2026-07-29 13:18:03</v>
      </c>
      <c r="L14875" s="1" t="str">
        <f>"2021-10-13 10:33:04"</f>
        <v>2021-10-13 10:33:04</v>
      </c>
      <c r="M14875" s="1" t="s">
        <v>3</v>
      </c>
      <c r="N14875" s="1" t="s">
        <v>38</v>
      </c>
      <c r="O14875" s="1" t="s">
        <v>46</v>
      </c>
    </row>
    <row r="14876" spans="2:15" x14ac:dyDescent="0.3">
      <c r="B14876" s="1" t="s">
        <v>19</v>
      </c>
      <c r="C14876" s="1" t="str">
        <f>"5-2차"</f>
        <v>5-2차</v>
      </c>
      <c r="D14876" s="1" t="str">
        <f>"0128C0715S"</f>
        <v>0128C0715S</v>
      </c>
      <c r="E14876" s="1" t="s">
        <v>10</v>
      </c>
      <c r="F14876" s="1" t="str">
        <f>"fde1:103:4:5726:0:0:0:2"</f>
        <v>fde1:103:4:5726:0:0:0:2</v>
      </c>
      <c r="G14876" s="1" t="str">
        <f>"0128C071"</f>
        <v>0128C071</v>
      </c>
      <c r="H14876" s="1" t="str">
        <f>"미아간 31L4R24"</f>
        <v>미아간 31L4R24</v>
      </c>
      <c r="I14876" s="1" t="s">
        <v>15</v>
      </c>
      <c r="J14876" s="1" t="str">
        <f>"35/35"</f>
        <v>35/35</v>
      </c>
      <c r="K14876" s="1" t="str">
        <f>"2026-07-29 14:20:44"</f>
        <v>2026-07-29 14:20:44</v>
      </c>
      <c r="L14876" s="1" t="str">
        <f>"2023-09-26 11:17:06"</f>
        <v>2023-09-26 11:17:06</v>
      </c>
      <c r="M14876" s="1" t="s">
        <v>4</v>
      </c>
      <c r="N14876" s="1" t="s">
        <v>38</v>
      </c>
      <c r="O14876" s="1" t="s">
        <v>46</v>
      </c>
    </row>
    <row r="14877" spans="2:15" x14ac:dyDescent="0.3">
      <c r="B14877" s="1" t="s">
        <v>19</v>
      </c>
      <c r="C14877" s="1" t="str">
        <f>"4차"</f>
        <v>4차</v>
      </c>
      <c r="D14877" s="1" t="str">
        <f>"0128C08244"</f>
        <v>0128C08244</v>
      </c>
      <c r="E14877" s="1" t="s">
        <v>10</v>
      </c>
      <c r="F14877" s="1" t="str">
        <f>"10.107.123.167"</f>
        <v>10.107.123.167</v>
      </c>
      <c r="G14877" s="1" t="str">
        <f>"0128C082"</f>
        <v>0128C082</v>
      </c>
      <c r="H14877" s="1" t="str">
        <f>"미아간 31L4R22"</f>
        <v>미아간 31L4R22</v>
      </c>
      <c r="I14877" s="1" t="s">
        <v>8</v>
      </c>
      <c r="J14877" s="1" t="str">
        <f>"60/60"</f>
        <v>60/60</v>
      </c>
      <c r="K14877" s="1" t="str">
        <f>"2026-07-29 13:18:01"</f>
        <v>2026-07-29 13:18:01</v>
      </c>
      <c r="L14877" s="1" t="str">
        <f>"2019-10-21 11:18:48"</f>
        <v>2019-10-21 11:18:48</v>
      </c>
      <c r="M14877" s="1" t="s">
        <v>45</v>
      </c>
      <c r="N14877" s="1" t="s">
        <v>38</v>
      </c>
      <c r="O14877" s="1" t="s">
        <v>46</v>
      </c>
    </row>
    <row r="14878" spans="2:15" x14ac:dyDescent="0.3">
      <c r="B14878" s="1" t="s">
        <v>19</v>
      </c>
      <c r="C14878" s="1" t="str">
        <f>"3차"</f>
        <v>3차</v>
      </c>
      <c r="D14878" s="1" t="str">
        <f>"0128C09239"</f>
        <v>0128C09239</v>
      </c>
      <c r="E14878" s="1" t="s">
        <v>10</v>
      </c>
      <c r="F14878" s="1" t="str">
        <f>"10.107.122.102"</f>
        <v>10.107.122.102</v>
      </c>
      <c r="G14878" s="1" t="str">
        <f>"0128C092"</f>
        <v>0128C092</v>
      </c>
      <c r="H14878" s="1" t="str">
        <f>"대일지 10R14"</f>
        <v>대일지 10R14</v>
      </c>
      <c r="I14878" s="1" t="s">
        <v>8</v>
      </c>
      <c r="J14878" s="1" t="str">
        <f>"49/52"</f>
        <v>49/52</v>
      </c>
      <c r="K14878" s="1" t="str">
        <f>"2026-07-29 13:18:01"</f>
        <v>2026-07-29 13:18:01</v>
      </c>
      <c r="L14878" s="1" t="str">
        <f>"2018-06-05 11:26:41"</f>
        <v>2018-06-05 11:26:41</v>
      </c>
      <c r="M14878" s="1" t="s">
        <v>45</v>
      </c>
      <c r="N14878" s="1" t="s">
        <v>38</v>
      </c>
      <c r="O14878" s="1" t="s">
        <v>46</v>
      </c>
    </row>
    <row r="14879" spans="2:15" x14ac:dyDescent="0.3">
      <c r="B14879" s="1" t="s">
        <v>19</v>
      </c>
      <c r="C14879" s="1" t="str">
        <f>"4차"</f>
        <v>4차</v>
      </c>
      <c r="D14879" s="1" t="str">
        <f>"0128C11144"</f>
        <v>0128C11144</v>
      </c>
      <c r="E14879" s="1" t="s">
        <v>10</v>
      </c>
      <c r="F14879" s="1" t="str">
        <f>"10.107.123.162"</f>
        <v>10.107.123.162</v>
      </c>
      <c r="G14879" s="1" t="str">
        <f>"0128C111"</f>
        <v>0128C111</v>
      </c>
      <c r="H14879" s="1" t="str">
        <f>"미아간 31L4R10"</f>
        <v>미아간 31L4R10</v>
      </c>
      <c r="I14879" s="1" t="s">
        <v>8</v>
      </c>
      <c r="J14879" s="1" t="str">
        <f>"118/118"</f>
        <v>118/118</v>
      </c>
      <c r="K14879" s="1" t="str">
        <f>"2026-07-29 13:18:01"</f>
        <v>2026-07-29 13:18:01</v>
      </c>
      <c r="L14879" s="1" t="str">
        <f>"2019-10-18 17:03:05"</f>
        <v>2019-10-18 17:03:05</v>
      </c>
      <c r="M14879" s="1" t="s">
        <v>45</v>
      </c>
      <c r="N14879" s="1" t="s">
        <v>38</v>
      </c>
      <c r="O14879" s="1" t="s">
        <v>46</v>
      </c>
    </row>
    <row r="14880" spans="2:15" x14ac:dyDescent="0.3">
      <c r="B14880" s="1" t="s">
        <v>19</v>
      </c>
      <c r="C14880" s="1" t="str">
        <f>"5-2차"</f>
        <v>5-2차</v>
      </c>
      <c r="D14880" s="1" t="str">
        <f>"0128C1725M"</f>
        <v>0128C1725M</v>
      </c>
      <c r="E14880" s="1" t="s">
        <v>10</v>
      </c>
      <c r="F14880" s="1" t="str">
        <f>"fde1:103:4:5859:0:0:0:2"</f>
        <v>fde1:103:4:5859:0:0:0:2</v>
      </c>
      <c r="G14880" s="1" t="str">
        <f>"0128C172"</f>
        <v>0128C172</v>
      </c>
      <c r="H14880" s="1" t="str">
        <f>"미아간 31L4R20"</f>
        <v>미아간 31L4R20</v>
      </c>
      <c r="I14880" s="1" t="s">
        <v>15</v>
      </c>
      <c r="J14880" s="1" t="str">
        <f>"56/56"</f>
        <v>56/56</v>
      </c>
      <c r="K14880" s="1" t="str">
        <f>"2026-07-29 14:20:01"</f>
        <v>2026-07-29 14:20:01</v>
      </c>
      <c r="L14880" s="1" t="str">
        <f>"2023-09-26 11:19:56"</f>
        <v>2023-09-26 11:19:56</v>
      </c>
      <c r="M14880" s="1" t="s">
        <v>4</v>
      </c>
      <c r="N14880" s="1" t="s">
        <v>38</v>
      </c>
      <c r="O14880" s="1" t="s">
        <v>46</v>
      </c>
    </row>
    <row r="14881" spans="2:15" x14ac:dyDescent="0.3">
      <c r="B14881" s="1" t="s">
        <v>19</v>
      </c>
      <c r="C14881" s="1" t="str">
        <f>"4차"</f>
        <v>4차</v>
      </c>
      <c r="D14881" s="1" t="str">
        <f>"0128C19244"</f>
        <v>0128C19244</v>
      </c>
      <c r="E14881" s="1" t="s">
        <v>10</v>
      </c>
      <c r="F14881" s="1" t="str">
        <f>"10.107.122.107"</f>
        <v>10.107.122.107</v>
      </c>
      <c r="G14881" s="1" t="str">
        <f>"0128C192"</f>
        <v>0128C192</v>
      </c>
      <c r="H14881" s="1" t="str">
        <f>"대일지 10R15R2"</f>
        <v>대일지 10R15R2</v>
      </c>
      <c r="I14881" s="1" t="s">
        <v>8</v>
      </c>
      <c r="J14881" s="1" t="str">
        <f>"57/57"</f>
        <v>57/57</v>
      </c>
      <c r="K14881" s="1" t="str">
        <f>"2026-07-29 13:18:02"</f>
        <v>2026-07-29 13:18:02</v>
      </c>
      <c r="L14881" s="1" t="str">
        <f>"2019-10-21 10:03:31"</f>
        <v>2019-10-21 10:03:31</v>
      </c>
      <c r="M14881" s="1" t="s">
        <v>45</v>
      </c>
      <c r="N14881" s="1" t="s">
        <v>38</v>
      </c>
      <c r="O14881" s="1" t="s">
        <v>46</v>
      </c>
    </row>
    <row r="14882" spans="2:15" x14ac:dyDescent="0.3">
      <c r="B14882" s="1" t="s">
        <v>19</v>
      </c>
      <c r="C14882" s="1" t="str">
        <f>"4차"</f>
        <v>4차</v>
      </c>
      <c r="D14882" s="1" t="str">
        <f>"0128C20144"</f>
        <v>0128C20144</v>
      </c>
      <c r="E14882" s="1" t="s">
        <v>10</v>
      </c>
      <c r="F14882" s="1" t="str">
        <f>"10.107.123.171"</f>
        <v>10.107.123.171</v>
      </c>
      <c r="G14882" s="1" t="str">
        <f>"0128C201"</f>
        <v>0128C201</v>
      </c>
      <c r="H14882" s="1" t="str">
        <f>"미아간 31L4R9"</f>
        <v>미아간 31L4R9</v>
      </c>
      <c r="I14882" s="1" t="s">
        <v>8</v>
      </c>
      <c r="J14882" s="1" t="str">
        <f>"69/72"</f>
        <v>69/72</v>
      </c>
      <c r="K14882" s="1" t="str">
        <f>"2026-07-29 13:18:02"</f>
        <v>2026-07-29 13:18:02</v>
      </c>
      <c r="L14882" s="1" t="str">
        <f>"2019-10-18 17:33:05"</f>
        <v>2019-10-18 17:33:05</v>
      </c>
      <c r="M14882" s="1" t="s">
        <v>45</v>
      </c>
      <c r="N14882" s="1" t="s">
        <v>38</v>
      </c>
      <c r="O14882" s="1" t="s">
        <v>46</v>
      </c>
    </row>
    <row r="14883" spans="2:15" x14ac:dyDescent="0.3">
      <c r="B14883" s="1" t="s">
        <v>19</v>
      </c>
      <c r="C14883" s="1" t="str">
        <f>"4차"</f>
        <v>4차</v>
      </c>
      <c r="D14883" s="1" t="str">
        <f>"0128C21244"</f>
        <v>0128C21244</v>
      </c>
      <c r="E14883" s="1" t="s">
        <v>10</v>
      </c>
      <c r="F14883" s="1" t="str">
        <f>"10.107.123.163"</f>
        <v>10.107.123.163</v>
      </c>
      <c r="G14883" s="1" t="str">
        <f>"0128C212"</f>
        <v>0128C212</v>
      </c>
      <c r="H14883" s="1" t="str">
        <f>"미아간 31L4R11R1"</f>
        <v>미아간 31L4R11R1</v>
      </c>
      <c r="I14883" s="1" t="s">
        <v>8</v>
      </c>
      <c r="J14883" s="1" t="str">
        <f>"43/43"</f>
        <v>43/43</v>
      </c>
      <c r="K14883" s="1" t="str">
        <f>"2026-07-29 13:18:02"</f>
        <v>2026-07-29 13:18:02</v>
      </c>
      <c r="L14883" s="1" t="str">
        <f>"2019-10-18 17:02:41"</f>
        <v>2019-10-18 17:02:41</v>
      </c>
      <c r="M14883" s="1" t="s">
        <v>45</v>
      </c>
      <c r="N14883" s="1" t="s">
        <v>38</v>
      </c>
      <c r="O14883" s="1" t="s">
        <v>46</v>
      </c>
    </row>
    <row r="14884" spans="2:15" x14ac:dyDescent="0.3">
      <c r="B14884" s="1" t="s">
        <v>19</v>
      </c>
      <c r="C14884" s="1" t="str">
        <f>"4차"</f>
        <v>4차</v>
      </c>
      <c r="D14884" s="1" t="str">
        <f>"0128C22244"</f>
        <v>0128C22244</v>
      </c>
      <c r="E14884" s="1" t="s">
        <v>10</v>
      </c>
      <c r="F14884" s="1" t="str">
        <f>"10.107.123.164"</f>
        <v>10.107.123.164</v>
      </c>
      <c r="G14884" s="1" t="str">
        <f>"0128C222"</f>
        <v>0128C222</v>
      </c>
      <c r="H14884" s="1" t="str">
        <f>"미아간 31L4R12"</f>
        <v>미아간 31L4R12</v>
      </c>
      <c r="I14884" s="1" t="s">
        <v>8</v>
      </c>
      <c r="J14884" s="1" t="str">
        <f>"19/24"</f>
        <v>19/24</v>
      </c>
      <c r="K14884" s="1" t="str">
        <f>"2026-07-29 13:18:02"</f>
        <v>2026-07-29 13:18:02</v>
      </c>
      <c r="L14884" s="1" t="str">
        <f>"2019-10-25 14:13:05"</f>
        <v>2019-10-25 14:13:05</v>
      </c>
      <c r="M14884" s="1" t="s">
        <v>45</v>
      </c>
      <c r="N14884" s="1" t="s">
        <v>38</v>
      </c>
      <c r="O14884" s="1" t="s">
        <v>46</v>
      </c>
    </row>
    <row r="14885" spans="2:15" x14ac:dyDescent="0.3">
      <c r="B14885" s="1" t="s">
        <v>19</v>
      </c>
      <c r="C14885" s="1" t="str">
        <f>"4차"</f>
        <v>4차</v>
      </c>
      <c r="D14885" s="1" t="str">
        <f>"0128C30144"</f>
        <v>0128C30144</v>
      </c>
      <c r="E14885" s="1" t="s">
        <v>10</v>
      </c>
      <c r="F14885" s="1" t="str">
        <f>"10.107.123.172"</f>
        <v>10.107.123.172</v>
      </c>
      <c r="G14885" s="1" t="str">
        <f>"0128C301"</f>
        <v>0128C301</v>
      </c>
      <c r="H14885" s="1" t="str">
        <f>"미아간 31L4R9R1"</f>
        <v>미아간 31L4R9R1</v>
      </c>
      <c r="I14885" s="1" t="s">
        <v>8</v>
      </c>
      <c r="J14885" s="1" t="str">
        <f>"31/32"</f>
        <v>31/32</v>
      </c>
      <c r="K14885" s="1" t="str">
        <f>"2026-07-29 13:18:02"</f>
        <v>2026-07-29 13:18:02</v>
      </c>
      <c r="L14885" s="1" t="str">
        <f>"2019-10-18 17:06:23"</f>
        <v>2019-10-18 17:06:23</v>
      </c>
      <c r="M14885" s="1" t="s">
        <v>45</v>
      </c>
      <c r="N14885" s="1" t="s">
        <v>38</v>
      </c>
      <c r="O14885" s="1" t="s">
        <v>46</v>
      </c>
    </row>
    <row r="14886" spans="2:15" x14ac:dyDescent="0.3">
      <c r="B14886" s="1" t="s">
        <v>19</v>
      </c>
      <c r="C14886" s="1" t="str">
        <f>"6차"</f>
        <v>6차</v>
      </c>
      <c r="D14886" s="1" t="str">
        <f>"0128C3416S"</f>
        <v>0128C3416S</v>
      </c>
      <c r="E14886" s="1" t="s">
        <v>10</v>
      </c>
      <c r="F14886" s="1" t="str">
        <f>"fde3:102:1410:5100:0:0:0:4"</f>
        <v>fde3:102:1410:5100:0:0:0:4</v>
      </c>
      <c r="G14886" s="1" t="str">
        <f>"0128C341"</f>
        <v>0128C341</v>
      </c>
      <c r="H14886" s="1" t="str">
        <f>"미아간 43L5L2L2"</f>
        <v>미아간 43L5L2L2</v>
      </c>
      <c r="I14886" s="1" t="s">
        <v>15</v>
      </c>
      <c r="J14886" s="1" t="str">
        <f>"31/35"</f>
        <v>31/35</v>
      </c>
      <c r="K14886" s="1" t="str">
        <f>"2026-07-28 18:22:39"</f>
        <v>2026-07-28 18:22:39</v>
      </c>
      <c r="L14886" s="1" t="str">
        <f>"2024-12-03 14:12:28"</f>
        <v>2024-12-03 14:12:28</v>
      </c>
      <c r="M14886" s="1" t="s">
        <v>45</v>
      </c>
      <c r="N14886" s="1" t="s">
        <v>38</v>
      </c>
      <c r="O14886" s="1" t="s">
        <v>46</v>
      </c>
    </row>
    <row r="14887" spans="2:15" x14ac:dyDescent="0.3">
      <c r="B14887" s="1" t="s">
        <v>19</v>
      </c>
      <c r="C14887" s="1" t="str">
        <f>"1차"</f>
        <v>1차</v>
      </c>
      <c r="D14887" s="1" t="str">
        <f>"0128C35100"</f>
        <v>0128C35100</v>
      </c>
      <c r="E14887" s="1" t="s">
        <v>10</v>
      </c>
      <c r="F14887" s="1" t="str">
        <f>"10.107.122.114"</f>
        <v>10.107.122.114</v>
      </c>
      <c r="G14887" s="1" t="str">
        <f>"0128C351"</f>
        <v>0128C351</v>
      </c>
      <c r="H14887" s="1" t="str">
        <f>"미아간 43L5"</f>
        <v>미아간 43L5</v>
      </c>
      <c r="I14887" s="1" t="s">
        <v>8</v>
      </c>
      <c r="J14887" s="1" t="str">
        <f>"35/35"</f>
        <v>35/35</v>
      </c>
      <c r="K14887" s="1" t="str">
        <f>"2026-07-29 13:18:02"</f>
        <v>2026-07-29 13:18:02</v>
      </c>
      <c r="L14887" s="1" t="str">
        <f>"2014-11-18 11:25:19"</f>
        <v>2014-11-18 11:25:19</v>
      </c>
      <c r="M14887" s="1" t="s">
        <v>45</v>
      </c>
      <c r="N14887" s="1" t="s">
        <v>38</v>
      </c>
      <c r="O14887" s="1" t="s">
        <v>46</v>
      </c>
    </row>
    <row r="14888" spans="2:15" x14ac:dyDescent="0.3">
      <c r="B14888" s="1" t="s">
        <v>19</v>
      </c>
      <c r="C14888" s="1" t="str">
        <f>"4차"</f>
        <v>4차</v>
      </c>
      <c r="D14888" s="1" t="str">
        <f>"0128C39139"</f>
        <v>0128C39139</v>
      </c>
      <c r="E14888" s="1" t="s">
        <v>10</v>
      </c>
      <c r="F14888" s="1" t="str">
        <f>"10.12.136.237"</f>
        <v>10.12.136.237</v>
      </c>
      <c r="G14888" s="1" t="str">
        <f>"0128C391"</f>
        <v>0128C391</v>
      </c>
      <c r="H14888" s="1" t="str">
        <f>"미아간 44L5"</f>
        <v>미아간 44L5</v>
      </c>
      <c r="I14888" s="1" t="s">
        <v>8</v>
      </c>
      <c r="J14888" s="1" t="str">
        <f>"40/42"</f>
        <v>40/42</v>
      </c>
      <c r="K14888" s="1" t="str">
        <f>"2026-07-29 13:18:01"</f>
        <v>2026-07-29 13:18:01</v>
      </c>
      <c r="L14888" s="1" t="str">
        <f>"2023-12-11 17:02:39"</f>
        <v>2023-12-11 17:02:39</v>
      </c>
      <c r="M14888" s="1" t="s">
        <v>0</v>
      </c>
      <c r="N14888" s="1" t="s">
        <v>38</v>
      </c>
      <c r="O14888" s="1" t="s">
        <v>46</v>
      </c>
    </row>
    <row r="14889" spans="2:15" x14ac:dyDescent="0.3">
      <c r="B14889" s="1" t="s">
        <v>19</v>
      </c>
      <c r="C14889" s="1" t="str">
        <f>"5-2차"</f>
        <v>5-2차</v>
      </c>
      <c r="D14889" s="1" t="str">
        <f>"0128C4135M"</f>
        <v>0128C4135M</v>
      </c>
      <c r="E14889" s="1" t="s">
        <v>10</v>
      </c>
      <c r="F14889" s="1" t="str">
        <f>"fde1:103:4:5757:0:0:0:2"</f>
        <v>fde1:103:4:5757:0:0:0:2</v>
      </c>
      <c r="G14889" s="1" t="str">
        <f>"0128C413"</f>
        <v>0128C413</v>
      </c>
      <c r="H14889" s="1" t="str">
        <f>"미아간 38C3"</f>
        <v>미아간 38C3</v>
      </c>
      <c r="I14889" s="1" t="s">
        <v>15</v>
      </c>
      <c r="J14889" s="1" t="str">
        <f>"50/50"</f>
        <v>50/50</v>
      </c>
      <c r="K14889" s="1" t="str">
        <f>"2026-07-29 14:20:01"</f>
        <v>2026-07-29 14:20:01</v>
      </c>
      <c r="L14889" s="1" t="str">
        <f>"2023-09-26 11:21:12"</f>
        <v>2023-09-26 11:21:12</v>
      </c>
      <c r="M14889" s="1" t="s">
        <v>4</v>
      </c>
      <c r="N14889" s="1" t="s">
        <v>38</v>
      </c>
      <c r="O14889" s="1" t="s">
        <v>46</v>
      </c>
    </row>
    <row r="14890" spans="2:15" x14ac:dyDescent="0.3">
      <c r="B14890" s="1" t="s">
        <v>19</v>
      </c>
      <c r="C14890" s="1" t="str">
        <f>"4차"</f>
        <v>4차</v>
      </c>
      <c r="D14890" s="1" t="str">
        <f>"0128C47142"</f>
        <v>0128C47142</v>
      </c>
      <c r="E14890" s="1" t="s">
        <v>10</v>
      </c>
      <c r="F14890" s="1" t="str">
        <f>"10.107.122.115"</f>
        <v>10.107.122.115</v>
      </c>
      <c r="G14890" s="1" t="str">
        <f>"0128C471"</f>
        <v>0128C471</v>
      </c>
      <c r="H14890" s="1" t="str">
        <f>"미아간 44L3"</f>
        <v>미아간 44L3</v>
      </c>
      <c r="I14890" s="1" t="s">
        <v>8</v>
      </c>
      <c r="J14890" s="1" t="str">
        <f>"53/55"</f>
        <v>53/55</v>
      </c>
      <c r="K14890" s="1" t="str">
        <f t="shared" ref="K14890:K14896" si="755">"2026-07-29 13:18:02"</f>
        <v>2026-07-29 13:18:02</v>
      </c>
      <c r="L14890" s="1" t="str">
        <f>"2024-05-22 09:23:38"</f>
        <v>2024-05-22 09:23:38</v>
      </c>
      <c r="M14890" s="1" t="s">
        <v>45</v>
      </c>
      <c r="N14890" s="1" t="s">
        <v>38</v>
      </c>
      <c r="O14890" s="1" t="s">
        <v>46</v>
      </c>
    </row>
    <row r="14891" spans="2:15" x14ac:dyDescent="0.3">
      <c r="B14891" s="1" t="s">
        <v>19</v>
      </c>
      <c r="C14891" s="1" t="str">
        <f>"4차"</f>
        <v>4차</v>
      </c>
      <c r="D14891" s="1" t="str">
        <f>"0128C48539"</f>
        <v>0128C48539</v>
      </c>
      <c r="E14891" s="1" t="s">
        <v>10</v>
      </c>
      <c r="F14891" s="1" t="str">
        <f>"10.107.122.116"</f>
        <v>10.107.122.116</v>
      </c>
      <c r="G14891" s="1" t="str">
        <f>"0128C485"</f>
        <v>0128C485</v>
      </c>
      <c r="H14891" s="1" t="str">
        <f>"미아간 49"</f>
        <v>미아간 49</v>
      </c>
      <c r="I14891" s="1" t="s">
        <v>8</v>
      </c>
      <c r="J14891" s="1" t="str">
        <f>"72/73"</f>
        <v>72/73</v>
      </c>
      <c r="K14891" s="1" t="str">
        <f t="shared" si="755"/>
        <v>2026-07-29 13:18:02</v>
      </c>
      <c r="L14891" s="1" t="str">
        <f>"2018-06-05 11:42:56"</f>
        <v>2018-06-05 11:42:56</v>
      </c>
      <c r="M14891" s="1" t="s">
        <v>45</v>
      </c>
      <c r="N14891" s="1" t="s">
        <v>38</v>
      </c>
      <c r="O14891" s="1" t="s">
        <v>46</v>
      </c>
    </row>
    <row r="14892" spans="2:15" x14ac:dyDescent="0.3">
      <c r="B14892" s="1" t="s">
        <v>19</v>
      </c>
      <c r="C14892" s="1" t="str">
        <f>"1차"</f>
        <v>1차</v>
      </c>
      <c r="D14892" s="1" t="str">
        <f>"0128C49400"</f>
        <v>0128C49400</v>
      </c>
      <c r="E14892" s="1" t="s">
        <v>10</v>
      </c>
      <c r="F14892" s="1" t="str">
        <f>"10.107.122.117"</f>
        <v>10.107.122.117</v>
      </c>
      <c r="G14892" s="1" t="str">
        <f>"0128C494"</f>
        <v>0128C494</v>
      </c>
      <c r="H14892" s="1" t="str">
        <f>"미아간 50"</f>
        <v>미아간 50</v>
      </c>
      <c r="I14892" s="1" t="s">
        <v>8</v>
      </c>
      <c r="J14892" s="1" t="str">
        <f>"18/18"</f>
        <v>18/18</v>
      </c>
      <c r="K14892" s="1" t="str">
        <f t="shared" si="755"/>
        <v>2026-07-29 13:18:02</v>
      </c>
      <c r="L14892" s="1" t="str">
        <f>"2014-11-18 11:25:24"</f>
        <v>2014-11-18 11:25:24</v>
      </c>
      <c r="M14892" s="1" t="s">
        <v>45</v>
      </c>
      <c r="N14892" s="1" t="s">
        <v>38</v>
      </c>
      <c r="O14892" s="1" t="s">
        <v>46</v>
      </c>
    </row>
    <row r="14893" spans="2:15" x14ac:dyDescent="0.3">
      <c r="B14893" s="1" t="s">
        <v>19</v>
      </c>
      <c r="C14893" s="1" t="str">
        <f>"3차"</f>
        <v>3차</v>
      </c>
      <c r="D14893" s="1" t="str">
        <f>"0128C54139"</f>
        <v>0128C54139</v>
      </c>
      <c r="E14893" s="1" t="s">
        <v>10</v>
      </c>
      <c r="F14893" s="1" t="str">
        <f>"10.14.1.118"</f>
        <v>10.14.1.118</v>
      </c>
      <c r="G14893" s="1" t="str">
        <f>"0128C541"</f>
        <v>0128C541</v>
      </c>
      <c r="H14893" s="1" t="str">
        <f>"미아간 43"</f>
        <v>미아간 43</v>
      </c>
      <c r="I14893" s="1" t="s">
        <v>8</v>
      </c>
      <c r="J14893" s="1" t="str">
        <f>"11/11"</f>
        <v>11/11</v>
      </c>
      <c r="K14893" s="1" t="str">
        <f t="shared" si="755"/>
        <v>2026-07-29 13:18:02</v>
      </c>
      <c r="L14893" s="1" t="str">
        <f>"2021-08-19 09:31:01"</f>
        <v>2021-08-19 09:31:01</v>
      </c>
      <c r="M14893" s="1" t="s">
        <v>3</v>
      </c>
      <c r="N14893" s="1" t="s">
        <v>38</v>
      </c>
      <c r="O14893" s="1" t="s">
        <v>46</v>
      </c>
    </row>
    <row r="14894" spans="2:15" x14ac:dyDescent="0.3">
      <c r="B14894" s="1" t="s">
        <v>19</v>
      </c>
      <c r="C14894" s="1" t="str">
        <f>"1차"</f>
        <v>1차</v>
      </c>
      <c r="D14894" s="1" t="str">
        <f>"0128C57200"</f>
        <v>0128C57200</v>
      </c>
      <c r="E14894" s="1" t="s">
        <v>10</v>
      </c>
      <c r="F14894" s="1" t="str">
        <f>"10.107.122.118"</f>
        <v>10.107.122.118</v>
      </c>
      <c r="G14894" s="1" t="str">
        <f>"0128C572"</f>
        <v>0128C572</v>
      </c>
      <c r="H14894" s="1" t="str">
        <f>"미아간 46"</f>
        <v>미아간 46</v>
      </c>
      <c r="I14894" s="1" t="s">
        <v>8</v>
      </c>
      <c r="J14894" s="1" t="str">
        <f>"29/29"</f>
        <v>29/29</v>
      </c>
      <c r="K14894" s="1" t="str">
        <f t="shared" si="755"/>
        <v>2026-07-29 13:18:02</v>
      </c>
      <c r="L14894" s="1" t="str">
        <f>"2021-06-04 09:43:01"</f>
        <v>2021-06-04 09:43:01</v>
      </c>
      <c r="M14894" s="1" t="s">
        <v>45</v>
      </c>
      <c r="N14894" s="1" t="s">
        <v>38</v>
      </c>
      <c r="O14894" s="1" t="s">
        <v>46</v>
      </c>
    </row>
    <row r="14895" spans="2:15" x14ac:dyDescent="0.3">
      <c r="B14895" s="1" t="s">
        <v>19</v>
      </c>
      <c r="C14895" s="1" t="str">
        <f>"4차"</f>
        <v>4차</v>
      </c>
      <c r="D14895" s="1" t="str">
        <f>"0128D67141"</f>
        <v>0128D67141</v>
      </c>
      <c r="E14895" s="1" t="s">
        <v>10</v>
      </c>
      <c r="F14895" s="1" t="str">
        <f>"10.14.10.11"</f>
        <v>10.14.10.11</v>
      </c>
      <c r="G14895" s="1" t="str">
        <f>"0128D671"</f>
        <v>0128D671</v>
      </c>
      <c r="H14895" s="1" t="str">
        <f>"삼원간 121R5R3R1"</f>
        <v>삼원간 121R5R3R1</v>
      </c>
      <c r="I14895" s="1" t="s">
        <v>17</v>
      </c>
      <c r="J14895" s="1" t="str">
        <f>"1/7"</f>
        <v>1/7</v>
      </c>
      <c r="K14895" s="1" t="str">
        <f t="shared" si="755"/>
        <v>2026-07-29 13:18:02</v>
      </c>
      <c r="L14895" s="1" t="str">
        <f>"2021-08-23 12:05:46"</f>
        <v>2021-08-23 12:05:46</v>
      </c>
      <c r="M14895" s="1" t="s">
        <v>3</v>
      </c>
      <c r="N14895" s="1" t="s">
        <v>38</v>
      </c>
      <c r="O14895" s="1" t="s">
        <v>46</v>
      </c>
    </row>
    <row r="14896" spans="2:15" x14ac:dyDescent="0.3">
      <c r="B14896" s="1" t="s">
        <v>19</v>
      </c>
      <c r="C14896" s="1" t="str">
        <f>"4차"</f>
        <v>4차</v>
      </c>
      <c r="D14896" s="1" t="str">
        <f>"0128D74241"</f>
        <v>0128D74241</v>
      </c>
      <c r="E14896" s="1" t="s">
        <v>10</v>
      </c>
      <c r="F14896" s="1" t="str">
        <f>"10.12.131.142"</f>
        <v>10.12.131.142</v>
      </c>
      <c r="G14896" s="1" t="str">
        <f>"0128D742"</f>
        <v>0128D742</v>
      </c>
      <c r="H14896" s="1" t="str">
        <f>"삼원간 121R5"</f>
        <v>삼원간 121R5</v>
      </c>
      <c r="I14896" s="1" t="s">
        <v>17</v>
      </c>
      <c r="J14896" s="1" t="str">
        <f>"19/19"</f>
        <v>19/19</v>
      </c>
      <c r="K14896" s="1" t="str">
        <f t="shared" si="755"/>
        <v>2026-07-29 13:18:02</v>
      </c>
      <c r="L14896" s="1" t="str">
        <f>"2021-10-13 09:31:35"</f>
        <v>2021-10-13 09:31:35</v>
      </c>
      <c r="M14896" s="1" t="s">
        <v>0</v>
      </c>
      <c r="N14896" s="1" t="s">
        <v>38</v>
      </c>
      <c r="O14896" s="1" t="s">
        <v>46</v>
      </c>
    </row>
    <row r="14897" spans="2:15" x14ac:dyDescent="0.3">
      <c r="B14897" s="1" t="s">
        <v>19</v>
      </c>
      <c r="C14897" s="1" t="str">
        <f>"5-1차"</f>
        <v>5-1차</v>
      </c>
      <c r="D14897" s="1" t="str">
        <f>"0128D7435M"</f>
        <v>0128D7435M</v>
      </c>
      <c r="E14897" s="1" t="s">
        <v>10</v>
      </c>
      <c r="F14897" s="1" t="str">
        <f>"fde2:104:0:28:0:0:0:2"</f>
        <v>fde2:104:0:28:0:0:0:2</v>
      </c>
      <c r="G14897" s="1" t="str">
        <f>"0128D743"</f>
        <v>0128D743</v>
      </c>
      <c r="H14897" s="1" t="str">
        <f>"삼원간 121R3"</f>
        <v>삼원간 121R3</v>
      </c>
      <c r="I14897" s="1" t="s">
        <v>15</v>
      </c>
      <c r="J14897" s="1" t="str">
        <f>"74/74"</f>
        <v>74/74</v>
      </c>
      <c r="K14897" s="1" t="str">
        <f>"2026-07-29 14:20:02"</f>
        <v>2026-07-29 14:20:02</v>
      </c>
      <c r="L14897" s="1" t="str">
        <f>"2022-09-07 16:36:48"</f>
        <v>2022-09-07 16:36:48</v>
      </c>
      <c r="M14897" s="1" t="s">
        <v>42</v>
      </c>
      <c r="N14897" s="1" t="s">
        <v>38</v>
      </c>
      <c r="O14897" s="1" t="s">
        <v>46</v>
      </c>
    </row>
    <row r="14898" spans="2:15" x14ac:dyDescent="0.3">
      <c r="B14898" s="1" t="s">
        <v>19</v>
      </c>
      <c r="C14898" s="1" t="str">
        <f>"5-2차"</f>
        <v>5-2차</v>
      </c>
      <c r="D14898" s="1" t="str">
        <f>"0128D7445M"</f>
        <v>0128D7445M</v>
      </c>
      <c r="E14898" s="1" t="s">
        <v>10</v>
      </c>
      <c r="F14898" s="1" t="str">
        <f>"fde1:103:4:5800:0:0:0:2"</f>
        <v>fde1:103:4:5800:0:0:0:2</v>
      </c>
      <c r="G14898" s="1" t="str">
        <f>"0128D744"</f>
        <v>0128D744</v>
      </c>
      <c r="H14898" s="1" t="str">
        <f>"삼원간 121R3R1"</f>
        <v>삼원간 121R3R1</v>
      </c>
      <c r="I14898" s="1" t="s">
        <v>15</v>
      </c>
      <c r="J14898" s="1" t="str">
        <f>"56/56"</f>
        <v>56/56</v>
      </c>
      <c r="K14898" s="1" t="str">
        <f>"2026-07-29 14:20:01"</f>
        <v>2026-07-29 14:20:01</v>
      </c>
      <c r="L14898" s="1" t="str">
        <f>"2023-09-26 13:17:55"</f>
        <v>2023-09-26 13:17:55</v>
      </c>
      <c r="M14898" s="1" t="s">
        <v>4</v>
      </c>
      <c r="N14898" s="1" t="s">
        <v>38</v>
      </c>
      <c r="O14898" s="1" t="s">
        <v>46</v>
      </c>
    </row>
    <row r="14899" spans="2:15" x14ac:dyDescent="0.3">
      <c r="B14899" s="1" t="s">
        <v>19</v>
      </c>
      <c r="C14899" s="1" t="str">
        <f>"1차"</f>
        <v>1차</v>
      </c>
      <c r="D14899" s="1" t="str">
        <f>"0128D76100"</f>
        <v>0128D76100</v>
      </c>
      <c r="E14899" s="1" t="s">
        <v>10</v>
      </c>
      <c r="F14899" s="1" t="str">
        <f>"10.107.3.66"</f>
        <v>10.107.3.66</v>
      </c>
      <c r="G14899" s="1" t="str">
        <f>"0128D761"</f>
        <v>0128D761</v>
      </c>
      <c r="H14899" s="1" t="str">
        <f>"삼원간 121R2R2"</f>
        <v>삼원간 121R2R2</v>
      </c>
      <c r="I14899" s="1" t="s">
        <v>8</v>
      </c>
      <c r="J14899" s="1" t="str">
        <f>"8/8"</f>
        <v>8/8</v>
      </c>
      <c r="K14899" s="1" t="str">
        <f>"2026-07-29 13:18:02"</f>
        <v>2026-07-29 13:18:02</v>
      </c>
      <c r="L14899" s="1" t="str">
        <f>"2014-11-18 11:24:56"</f>
        <v>2014-11-18 11:24:56</v>
      </c>
      <c r="M14899" s="1" t="s">
        <v>45</v>
      </c>
      <c r="N14899" s="1" t="s">
        <v>38</v>
      </c>
      <c r="O14899" s="1" t="s">
        <v>46</v>
      </c>
    </row>
    <row r="14900" spans="2:15" x14ac:dyDescent="0.3">
      <c r="B14900" s="1" t="s">
        <v>19</v>
      </c>
      <c r="C14900" s="1" t="str">
        <f>"5-2차"</f>
        <v>5-2차</v>
      </c>
      <c r="D14900" s="1" t="str">
        <f>"0128D8415M"</f>
        <v>0128D8415M</v>
      </c>
      <c r="E14900" s="1" t="s">
        <v>10</v>
      </c>
      <c r="F14900" s="1" t="str">
        <f>"fde1:103:4:6e77:0:0:0:2"</f>
        <v>fde1:103:4:6e77:0:0:0:2</v>
      </c>
      <c r="G14900" s="1" t="str">
        <f>"0128D841"</f>
        <v>0128D841</v>
      </c>
      <c r="H14900" s="1" t="str">
        <f>"삼원간 121R2"</f>
        <v>삼원간 121R2</v>
      </c>
      <c r="I14900" s="1" t="s">
        <v>15</v>
      </c>
      <c r="J14900" s="1" t="str">
        <f>"10/17"</f>
        <v>10/17</v>
      </c>
      <c r="K14900" s="1" t="str">
        <f>"2026-07-29 02:20:58"</f>
        <v>2026-07-29 02:20:58</v>
      </c>
      <c r="L14900" s="1" t="str">
        <f>"2023-11-15 10:42:35"</f>
        <v>2023-11-15 10:42:35</v>
      </c>
      <c r="M14900" s="1" t="s">
        <v>4</v>
      </c>
      <c r="N14900" s="1" t="s">
        <v>38</v>
      </c>
      <c r="O14900" s="1" t="s">
        <v>46</v>
      </c>
    </row>
    <row r="14901" spans="2:15" x14ac:dyDescent="0.3">
      <c r="B14901" s="1" t="s">
        <v>19</v>
      </c>
      <c r="C14901" s="1" t="str">
        <f>"1차"</f>
        <v>1차</v>
      </c>
      <c r="D14901" s="1" t="str">
        <f>"0128D84501"</f>
        <v>0128D84501</v>
      </c>
      <c r="E14901" s="1" t="s">
        <v>10</v>
      </c>
      <c r="F14901" s="1" t="str">
        <f>"10.107.3.70"</f>
        <v>10.107.3.70</v>
      </c>
      <c r="G14901" s="1" t="str">
        <f>"0128D845"</f>
        <v>0128D845</v>
      </c>
      <c r="H14901" s="1" t="str">
        <f>"삼원간 121R1"</f>
        <v>삼원간 121R1</v>
      </c>
      <c r="I14901" s="1" t="s">
        <v>8</v>
      </c>
      <c r="J14901" s="1" t="str">
        <f>"23/23"</f>
        <v>23/23</v>
      </c>
      <c r="K14901" s="1" t="str">
        <f>"2026-07-29 13:18:02"</f>
        <v>2026-07-29 13:18:02</v>
      </c>
      <c r="L14901" s="1" t="str">
        <f>"2014-11-18 11:25:33"</f>
        <v>2014-11-18 11:25:33</v>
      </c>
      <c r="M14901" s="1" t="s">
        <v>45</v>
      </c>
      <c r="N14901" s="1" t="s">
        <v>38</v>
      </c>
      <c r="O14901" s="1" t="s">
        <v>46</v>
      </c>
    </row>
    <row r="14902" spans="2:15" x14ac:dyDescent="0.3">
      <c r="B14902" s="1" t="s">
        <v>19</v>
      </c>
      <c r="C14902" s="1" t="str">
        <f>"1차"</f>
        <v>1차</v>
      </c>
      <c r="D14902" s="1" t="str">
        <f>"0128D87401"</f>
        <v>0128D87401</v>
      </c>
      <c r="E14902" s="1" t="s">
        <v>10</v>
      </c>
      <c r="F14902" s="1" t="str">
        <f>"10.107.3.71"</f>
        <v>10.107.3.71</v>
      </c>
      <c r="G14902" s="1" t="str">
        <f>"0128D874"</f>
        <v>0128D874</v>
      </c>
      <c r="H14902" s="1" t="str">
        <f>"삼원간 117H1"</f>
        <v>삼원간 117H1</v>
      </c>
      <c r="I14902" s="1" t="s">
        <v>8</v>
      </c>
      <c r="J14902" s="1" t="str">
        <f>"5/6"</f>
        <v>5/6</v>
      </c>
      <c r="K14902" s="1" t="str">
        <f>"2026-07-29 13:18:02"</f>
        <v>2026-07-29 13:18:02</v>
      </c>
      <c r="L14902" s="1" t="str">
        <f>"2014-11-18 11:25:04"</f>
        <v>2014-11-18 11:25:04</v>
      </c>
      <c r="M14902" s="1" t="s">
        <v>45</v>
      </c>
      <c r="N14902" s="1" t="s">
        <v>38</v>
      </c>
      <c r="O14902" s="1" t="s">
        <v>46</v>
      </c>
    </row>
    <row r="14903" spans="2:15" x14ac:dyDescent="0.3">
      <c r="B14903" s="1" t="s">
        <v>19</v>
      </c>
      <c r="C14903" s="1" t="str">
        <f>"1차"</f>
        <v>1차</v>
      </c>
      <c r="D14903" s="1" t="str">
        <f>"0128D88200"</f>
        <v>0128D88200</v>
      </c>
      <c r="E14903" s="1" t="s">
        <v>10</v>
      </c>
      <c r="F14903" s="1" t="str">
        <f>"10.107.4.201"</f>
        <v>10.107.4.201</v>
      </c>
      <c r="G14903" s="1" t="str">
        <f>"0128D882"</f>
        <v>0128D882</v>
      </c>
      <c r="H14903" s="1" t="str">
        <f>"길삼간 32"</f>
        <v>길삼간 32</v>
      </c>
      <c r="I14903" s="1" t="s">
        <v>8</v>
      </c>
      <c r="J14903" s="1" t="str">
        <f>"13/13"</f>
        <v>13/13</v>
      </c>
      <c r="K14903" s="1" t="str">
        <f>"2026-07-29 13:18:00"</f>
        <v>2026-07-29 13:18:00</v>
      </c>
      <c r="L14903" s="1" t="str">
        <f>"2014-11-18 11:25:23"</f>
        <v>2014-11-18 11:25:23</v>
      </c>
      <c r="M14903" s="1" t="s">
        <v>45</v>
      </c>
      <c r="N14903" s="1" t="s">
        <v>38</v>
      </c>
      <c r="O14903" s="1" t="s">
        <v>46</v>
      </c>
    </row>
    <row r="14904" spans="2:15" x14ac:dyDescent="0.3">
      <c r="B14904" s="1" t="s">
        <v>19</v>
      </c>
      <c r="C14904" s="1" t="str">
        <f>"1차"</f>
        <v>1차</v>
      </c>
      <c r="D14904" s="1" t="str">
        <f>"0128D95300"</f>
        <v>0128D95300</v>
      </c>
      <c r="E14904" s="1" t="s">
        <v>10</v>
      </c>
      <c r="F14904" s="1" t="str">
        <f>"10.107.3.69"</f>
        <v>10.107.3.69</v>
      </c>
      <c r="G14904" s="1" t="str">
        <f>"0128D953"</f>
        <v>0128D953</v>
      </c>
      <c r="H14904" s="1" t="str">
        <f>"삼원간 119"</f>
        <v>삼원간 119</v>
      </c>
      <c r="I14904" s="1" t="s">
        <v>8</v>
      </c>
      <c r="J14904" s="1" t="str">
        <f>"2/2"</f>
        <v>2/2</v>
      </c>
      <c r="K14904" s="1" t="str">
        <f>"2026-07-29 13:18:02"</f>
        <v>2026-07-29 13:18:02</v>
      </c>
      <c r="L14904" s="1" t="str">
        <f>"2014-11-18 11:25:39"</f>
        <v>2014-11-18 11:25:39</v>
      </c>
      <c r="M14904" s="1" t="s">
        <v>45</v>
      </c>
      <c r="N14904" s="1" t="s">
        <v>38</v>
      </c>
      <c r="O14904" s="1" t="s">
        <v>46</v>
      </c>
    </row>
    <row r="14905" spans="2:15" x14ac:dyDescent="0.3">
      <c r="B14905" s="1" t="s">
        <v>19</v>
      </c>
      <c r="C14905" s="1" t="str">
        <f>"1차"</f>
        <v>1차</v>
      </c>
      <c r="D14905" s="1" t="str">
        <f>"0128D97100"</f>
        <v>0128D97100</v>
      </c>
      <c r="E14905" s="1" t="s">
        <v>10</v>
      </c>
      <c r="F14905" s="1" t="str">
        <f>"10.107.4.202"</f>
        <v>10.107.4.202</v>
      </c>
      <c r="G14905" s="1" t="str">
        <f>"0128D971"</f>
        <v>0128D971</v>
      </c>
      <c r="H14905" s="1" t="str">
        <f>"길삼간 28R4"</f>
        <v>길삼간 28R4</v>
      </c>
      <c r="I14905" s="1" t="s">
        <v>8</v>
      </c>
      <c r="J14905" s="1" t="str">
        <f>"35/40"</f>
        <v>35/40</v>
      </c>
      <c r="K14905" s="1" t="str">
        <f>"2026-07-29 13:18:02"</f>
        <v>2026-07-29 13:18:02</v>
      </c>
      <c r="L14905" s="1" t="str">
        <f>"2014-11-18 11:24:36"</f>
        <v>2014-11-18 11:24:36</v>
      </c>
      <c r="M14905" s="1" t="s">
        <v>45</v>
      </c>
      <c r="N14905" s="1" t="s">
        <v>38</v>
      </c>
      <c r="O14905" s="1" t="s">
        <v>46</v>
      </c>
    </row>
    <row r="14906" spans="2:15" x14ac:dyDescent="0.3">
      <c r="B14906" s="1" t="s">
        <v>19</v>
      </c>
      <c r="C14906" s="1" t="str">
        <f>"4차"</f>
        <v>4차</v>
      </c>
      <c r="D14906" s="1" t="str">
        <f>"0128E39339"</f>
        <v>0128E39339</v>
      </c>
      <c r="E14906" s="1" t="s">
        <v>10</v>
      </c>
      <c r="F14906" s="1" t="str">
        <f>"10.12.130.248"</f>
        <v>10.12.130.248</v>
      </c>
      <c r="G14906" s="1" t="str">
        <f>"0128E393"</f>
        <v>0128E393</v>
      </c>
      <c r="H14906" s="1" t="str">
        <f>"송천간 50"</f>
        <v>송천간 50</v>
      </c>
      <c r="I14906" s="1" t="s">
        <v>8</v>
      </c>
      <c r="J14906" s="1" t="str">
        <f>"47/48"</f>
        <v>47/48</v>
      </c>
      <c r="K14906" s="1" t="str">
        <f>"2026-07-29 13:18:02"</f>
        <v>2026-07-29 13:18:02</v>
      </c>
      <c r="L14906" s="1" t="str">
        <f>"2024-03-04 18:10:10"</f>
        <v>2024-03-04 18:10:10</v>
      </c>
      <c r="M14906" s="1" t="s">
        <v>0</v>
      </c>
      <c r="N14906" s="1" t="s">
        <v>38</v>
      </c>
      <c r="O14906" s="1" t="s">
        <v>46</v>
      </c>
    </row>
    <row r="14907" spans="2:15" x14ac:dyDescent="0.3">
      <c r="B14907" s="1" t="s">
        <v>19</v>
      </c>
      <c r="C14907" s="1" t="str">
        <f>"1차"</f>
        <v>1차</v>
      </c>
      <c r="D14907" s="1" t="str">
        <f>"0128E49100"</f>
        <v>0128E49100</v>
      </c>
      <c r="E14907" s="1" t="s">
        <v>10</v>
      </c>
      <c r="F14907" s="1" t="str">
        <f>"10.107.127.74"</f>
        <v>10.107.127.74</v>
      </c>
      <c r="G14907" s="1" t="str">
        <f>"0128E491"</f>
        <v>0128E491</v>
      </c>
      <c r="H14907" s="1" t="str">
        <f>"송천간 51"</f>
        <v>송천간 51</v>
      </c>
      <c r="I14907" s="1" t="s">
        <v>8</v>
      </c>
      <c r="J14907" s="1" t="str">
        <f>"14/14"</f>
        <v>14/14</v>
      </c>
      <c r="K14907" s="1" t="str">
        <f>"2026-07-29 13:18:02"</f>
        <v>2026-07-29 13:18:02</v>
      </c>
      <c r="L14907" s="1" t="str">
        <f>"2014-10-27 13:56:54"</f>
        <v>2014-10-27 13:56:54</v>
      </c>
      <c r="M14907" s="1" t="s">
        <v>45</v>
      </c>
      <c r="N14907" s="1" t="s">
        <v>38</v>
      </c>
      <c r="O14907" s="1" t="s">
        <v>46</v>
      </c>
    </row>
    <row r="14908" spans="2:15" x14ac:dyDescent="0.3">
      <c r="B14908" s="1" t="s">
        <v>19</v>
      </c>
      <c r="C14908" s="1" t="str">
        <f>"1차"</f>
        <v>1차</v>
      </c>
      <c r="D14908" s="1" t="str">
        <f>"0128E59201"</f>
        <v>0128E59201</v>
      </c>
      <c r="E14908" s="1" t="s">
        <v>10</v>
      </c>
      <c r="F14908" s="1" t="str">
        <f>"10.12.128.162"</f>
        <v>10.12.128.162</v>
      </c>
      <c r="G14908" s="1" t="str">
        <f>"0128E592"</f>
        <v>0128E592</v>
      </c>
      <c r="H14908" s="1" t="str">
        <f>"송천간 H53"</f>
        <v>송천간 H53</v>
      </c>
      <c r="I14908" s="1" t="s">
        <v>8</v>
      </c>
      <c r="J14908" s="1" t="str">
        <f>"16/16"</f>
        <v>16/16</v>
      </c>
      <c r="K14908" s="1" t="str">
        <f>"2026-07-29 13:18:03"</f>
        <v>2026-07-29 13:18:03</v>
      </c>
      <c r="L14908" s="1" t="str">
        <f>"2014-10-27 13:56:32"</f>
        <v>2014-10-27 13:56:32</v>
      </c>
      <c r="M14908" s="1" t="s">
        <v>0</v>
      </c>
      <c r="N14908" s="1" t="s">
        <v>38</v>
      </c>
      <c r="O14908" s="1" t="s">
        <v>46</v>
      </c>
    </row>
    <row r="14909" spans="2:15" x14ac:dyDescent="0.3">
      <c r="B14909" s="1" t="s">
        <v>19</v>
      </c>
      <c r="C14909" s="1" t="str">
        <f>"5-1차"</f>
        <v>5-1차</v>
      </c>
      <c r="D14909" s="1" t="str">
        <f>"0128E6625M"</f>
        <v>0128E6625M</v>
      </c>
      <c r="E14909" s="1" t="s">
        <v>14</v>
      </c>
      <c r="F14909" s="1" t="str">
        <f>"fde3:102:1410:1200:0:0:0:3"</f>
        <v>fde3:102:1410:1200:0:0:0:3</v>
      </c>
      <c r="G14909" s="1" t="str">
        <f>"0128E662"</f>
        <v>0128E662</v>
      </c>
      <c r="H14909" s="1" t="str">
        <f>"송천간 54R2L2"</f>
        <v>송천간 54R2L2</v>
      </c>
      <c r="I14909" s="1" t="s">
        <v>15</v>
      </c>
      <c r="J14909" s="1" t="str">
        <f>"0/0"</f>
        <v>0/0</v>
      </c>
      <c r="K14909" s="1" t="str">
        <f>"2026-07-29 14:20:02"</f>
        <v>2026-07-29 14:20:02</v>
      </c>
      <c r="L14909" s="1" t="str">
        <f>"2022-09-26 14:33:58"</f>
        <v>2022-09-26 14:33:58</v>
      </c>
      <c r="M14909" s="1" t="s">
        <v>45</v>
      </c>
      <c r="N14909" s="1" t="s">
        <v>38</v>
      </c>
      <c r="O14909" s="1" t="s">
        <v>44</v>
      </c>
    </row>
    <row r="14910" spans="2:15" x14ac:dyDescent="0.3">
      <c r="B14910" s="1" t="s">
        <v>19</v>
      </c>
      <c r="C14910" s="1" t="str">
        <f>"4차"</f>
        <v>4차</v>
      </c>
      <c r="D14910" s="1" t="str">
        <f>"0128E83645"</f>
        <v>0128E83645</v>
      </c>
      <c r="E14910" s="1" t="s">
        <v>10</v>
      </c>
      <c r="F14910" s="1" t="str">
        <f>"10.14.8.67"</f>
        <v>10.14.8.67</v>
      </c>
      <c r="G14910" s="1" t="str">
        <f>"0128E836"</f>
        <v>0128E836</v>
      </c>
      <c r="H14910" s="1" t="str">
        <f>"길삼간 55R1T1"</f>
        <v>길삼간 55R1T1</v>
      </c>
      <c r="I14910" s="1" t="s">
        <v>17</v>
      </c>
      <c r="J14910" s="1" t="str">
        <f>"14/23"</f>
        <v>14/23</v>
      </c>
      <c r="K14910" s="1" t="str">
        <f>"2026-07-29 13:18:02"</f>
        <v>2026-07-29 13:18:02</v>
      </c>
      <c r="L14910" s="1" t="str">
        <f>"2021-06-25 10:23:21"</f>
        <v>2021-06-25 10:23:21</v>
      </c>
      <c r="M14910" s="1" t="s">
        <v>3</v>
      </c>
      <c r="N14910" s="1" t="s">
        <v>38</v>
      </c>
      <c r="O14910" s="1" t="s">
        <v>46</v>
      </c>
    </row>
    <row r="14911" spans="2:15" x14ac:dyDescent="0.3">
      <c r="B14911" s="1" t="s">
        <v>19</v>
      </c>
      <c r="C14911" s="1" t="str">
        <f>"1차"</f>
        <v>1차</v>
      </c>
      <c r="D14911" s="1" t="str">
        <f>"0128E91200"</f>
        <v>0128E91200</v>
      </c>
      <c r="E14911" s="1" t="s">
        <v>10</v>
      </c>
      <c r="F14911" s="1" t="str">
        <f>"10.107.3.72"</f>
        <v>10.107.3.72</v>
      </c>
      <c r="G14911" s="1" t="str">
        <f>"0128E912"</f>
        <v>0128E912</v>
      </c>
      <c r="H14911" s="1" t="str">
        <f>"송천간 76L7"</f>
        <v>송천간 76L7</v>
      </c>
      <c r="I14911" s="1" t="s">
        <v>8</v>
      </c>
      <c r="J14911" s="1" t="str">
        <f>"9/9"</f>
        <v>9/9</v>
      </c>
      <c r="K14911" s="1" t="str">
        <f>"2026-07-29 13:18:02"</f>
        <v>2026-07-29 13:18:02</v>
      </c>
      <c r="L14911" s="1" t="str">
        <f>"2014-11-18 11:25:58"</f>
        <v>2014-11-18 11:25:58</v>
      </c>
      <c r="M14911" s="1" t="s">
        <v>45</v>
      </c>
      <c r="N14911" s="1" t="s">
        <v>38</v>
      </c>
      <c r="O14911" s="1" t="s">
        <v>46</v>
      </c>
    </row>
    <row r="14912" spans="2:15" x14ac:dyDescent="0.3">
      <c r="B14912" s="1" t="s">
        <v>19</v>
      </c>
      <c r="C14912" s="1" t="str">
        <f>"1차"</f>
        <v>1차</v>
      </c>
      <c r="D14912" s="1" t="str">
        <f>"0128E93100"</f>
        <v>0128E93100</v>
      </c>
      <c r="E14912" s="1" t="s">
        <v>10</v>
      </c>
      <c r="F14912" s="1" t="str">
        <f>"10.107.5.68"</f>
        <v>10.107.5.68</v>
      </c>
      <c r="G14912" s="1" t="str">
        <f>"0128E931"</f>
        <v>0128E931</v>
      </c>
      <c r="H14912" s="1" t="str">
        <f>"송천간 76"</f>
        <v>송천간 76</v>
      </c>
      <c r="I14912" s="1" t="s">
        <v>8</v>
      </c>
      <c r="J14912" s="1" t="str">
        <f>"4/4"</f>
        <v>4/4</v>
      </c>
      <c r="K14912" s="1" t="str">
        <f>"2026-07-29 13:18:02"</f>
        <v>2026-07-29 13:18:02</v>
      </c>
      <c r="L14912" s="1" t="str">
        <f>"2014-11-27 10:35:53"</f>
        <v>2014-11-27 10:35:53</v>
      </c>
      <c r="M14912" s="1" t="s">
        <v>45</v>
      </c>
      <c r="N14912" s="1" t="s">
        <v>38</v>
      </c>
      <c r="O14912" s="1" t="s">
        <v>46</v>
      </c>
    </row>
    <row r="14913" spans="2:15" x14ac:dyDescent="0.3">
      <c r="B14913" s="1" t="s">
        <v>19</v>
      </c>
      <c r="C14913" s="1" t="str">
        <f>"4차"</f>
        <v>4차</v>
      </c>
      <c r="D14913" s="1" t="str">
        <f>"0128E98341"</f>
        <v>0128E98341</v>
      </c>
      <c r="E14913" s="1" t="s">
        <v>10</v>
      </c>
      <c r="F14913" s="1" t="str">
        <f>"10.14.2.31"</f>
        <v>10.14.2.31</v>
      </c>
      <c r="G14913" s="1" t="str">
        <f>"0128E983"</f>
        <v>0128E983</v>
      </c>
      <c r="H14913" s="1" t="str">
        <f>"송천간 62R2"</f>
        <v>송천간 62R2</v>
      </c>
      <c r="I14913" s="1" t="s">
        <v>17</v>
      </c>
      <c r="J14913" s="1" t="str">
        <f>"45/47"</f>
        <v>45/47</v>
      </c>
      <c r="K14913" s="1" t="str">
        <f>"2026-07-29 13:18:01"</f>
        <v>2026-07-29 13:18:01</v>
      </c>
      <c r="L14913" s="1" t="str">
        <f>"2021-10-12 16:10:16"</f>
        <v>2021-10-12 16:10:16</v>
      </c>
      <c r="M14913" s="1" t="s">
        <v>3</v>
      </c>
      <c r="N14913" s="1" t="s">
        <v>38</v>
      </c>
      <c r="O14913" s="1" t="s">
        <v>46</v>
      </c>
    </row>
    <row r="14914" spans="2:15" x14ac:dyDescent="0.3">
      <c r="B14914" s="1" t="s">
        <v>19</v>
      </c>
      <c r="C14914" s="1" t="str">
        <f>"4차"</f>
        <v>4차</v>
      </c>
      <c r="D14914" s="1" t="str">
        <f>"0128F10139"</f>
        <v>0128F10139</v>
      </c>
      <c r="E14914" s="1" t="str">
        <f>"검침실패(3시간 이상)"</f>
        <v>검침실패(3시간 이상)</v>
      </c>
      <c r="F14914" s="1" t="str">
        <f>"10.12.136.218"</f>
        <v>10.12.136.218</v>
      </c>
      <c r="G14914" s="1" t="str">
        <f>"0128F101"</f>
        <v>0128F101</v>
      </c>
      <c r="H14914" s="1" t="str">
        <f>"미아 2"</f>
        <v>미아 2</v>
      </c>
      <c r="I14914" s="1" t="s">
        <v>17</v>
      </c>
      <c r="J14914" s="1" t="str">
        <f>"0/2"</f>
        <v>0/2</v>
      </c>
      <c r="K14914" s="1" t="str">
        <f>"2026-07-29 13:18:03"</f>
        <v>2026-07-29 13:18:03</v>
      </c>
      <c r="L14914" s="1" t="str">
        <f>"2018-10-16 11:53:11"</f>
        <v>2018-10-16 11:53:11</v>
      </c>
      <c r="M14914" s="1" t="s">
        <v>0</v>
      </c>
      <c r="N14914" s="1" t="s">
        <v>38</v>
      </c>
      <c r="O14914" s="1" t="s">
        <v>46</v>
      </c>
    </row>
    <row r="14915" spans="2:15" x14ac:dyDescent="0.3">
      <c r="B14915" s="1" t="s">
        <v>19</v>
      </c>
      <c r="C14915" s="1" t="str">
        <f>"1차"</f>
        <v>1차</v>
      </c>
      <c r="D14915" s="1" t="str">
        <f>"0128F31100"</f>
        <v>0128F31100</v>
      </c>
      <c r="E14915" s="1" t="s">
        <v>10</v>
      </c>
      <c r="F14915" s="1" t="str">
        <f>"10.107.123.175"</f>
        <v>10.107.123.175</v>
      </c>
      <c r="G14915" s="1" t="str">
        <f>"0128F311"</f>
        <v>0128F311</v>
      </c>
      <c r="H14915" s="1" t="str">
        <f>"대지간 76R8"</f>
        <v>대지간 76R8</v>
      </c>
      <c r="I14915" s="1" t="s">
        <v>8</v>
      </c>
      <c r="J14915" s="1" t="str">
        <f>"11/19"</f>
        <v>11/19</v>
      </c>
      <c r="K14915" s="1" t="str">
        <f>"2026-07-29 13:18:02"</f>
        <v>2026-07-29 13:18:02</v>
      </c>
      <c r="L14915" s="1" t="str">
        <f>"2014-10-07 00:13:28"</f>
        <v>2014-10-07 00:13:28</v>
      </c>
      <c r="M14915" s="1" t="s">
        <v>45</v>
      </c>
      <c r="N14915" s="1" t="s">
        <v>38</v>
      </c>
      <c r="O14915" s="1" t="s">
        <v>46</v>
      </c>
    </row>
    <row r="14916" spans="2:15" x14ac:dyDescent="0.3">
      <c r="B14916" s="1" t="s">
        <v>19</v>
      </c>
      <c r="C14916" s="1" t="str">
        <f>"1차"</f>
        <v>1차</v>
      </c>
      <c r="D14916" s="1" t="str">
        <f>"0128F31201"</f>
        <v>0128F31201</v>
      </c>
      <c r="E14916" s="1" t="s">
        <v>10</v>
      </c>
      <c r="F14916" s="1" t="str">
        <f>"10.107.123.176"</f>
        <v>10.107.123.176</v>
      </c>
      <c r="G14916" s="1" t="str">
        <f>"0128F312"</f>
        <v>0128F312</v>
      </c>
      <c r="H14916" s="1" t="str">
        <f>"대지간 76R7"</f>
        <v>대지간 76R7</v>
      </c>
      <c r="I14916" s="1" t="s">
        <v>8</v>
      </c>
      <c r="J14916" s="1" t="str">
        <f>"6/6"</f>
        <v>6/6</v>
      </c>
      <c r="K14916" s="1" t="str">
        <f>"2026-07-29 13:18:02"</f>
        <v>2026-07-29 13:18:02</v>
      </c>
      <c r="L14916" s="1" t="str">
        <f>"2014-10-23 00:26:50"</f>
        <v>2014-10-23 00:26:50</v>
      </c>
      <c r="M14916" s="1" t="s">
        <v>45</v>
      </c>
      <c r="N14916" s="1" t="s">
        <v>38</v>
      </c>
      <c r="O14916" s="1" t="s">
        <v>46</v>
      </c>
    </row>
    <row r="14917" spans="2:15" x14ac:dyDescent="0.3">
      <c r="B14917" s="1" t="s">
        <v>19</v>
      </c>
      <c r="C14917" s="1" t="str">
        <f>"5-2차"</f>
        <v>5-2차</v>
      </c>
      <c r="D14917" s="1" t="str">
        <f>"0128F3715M"</f>
        <v>0128F3715M</v>
      </c>
      <c r="E14917" s="1" t="s">
        <v>10</v>
      </c>
      <c r="F14917" s="1" t="str">
        <f>"fde3:102:1410:1700:0:0:0:4"</f>
        <v>fde3:102:1410:1700:0:0:0:4</v>
      </c>
      <c r="G14917" s="1" t="str">
        <f>"0128F371"</f>
        <v>0128F371</v>
      </c>
      <c r="H14917" s="1" t="str">
        <f>"대지간 76R32L4"</f>
        <v>대지간 76R32L4</v>
      </c>
      <c r="I14917" s="1" t="s">
        <v>15</v>
      </c>
      <c r="J14917" s="1" t="str">
        <f>"85/85"</f>
        <v>85/85</v>
      </c>
      <c r="K14917" s="1" t="str">
        <f>"2026-07-29 14:20:21"</f>
        <v>2026-07-29 14:20:21</v>
      </c>
      <c r="L14917" s="1" t="str">
        <f>"2023-08-23 21:18:46"</f>
        <v>2023-08-23 21:18:46</v>
      </c>
      <c r="M14917" s="1" t="s">
        <v>45</v>
      </c>
      <c r="N14917" s="1" t="s">
        <v>38</v>
      </c>
      <c r="O14917" s="1" t="s">
        <v>46</v>
      </c>
    </row>
    <row r="14918" spans="2:15" x14ac:dyDescent="0.3">
      <c r="B14918" s="1" t="s">
        <v>19</v>
      </c>
      <c r="C14918" s="1" t="str">
        <f>"1차"</f>
        <v>1차</v>
      </c>
      <c r="D14918" s="1" t="str">
        <f>"0128F38200"</f>
        <v>0128F38200</v>
      </c>
      <c r="E14918" s="1" t="s">
        <v>10</v>
      </c>
      <c r="F14918" s="1" t="str">
        <f>"10.107.121.206"</f>
        <v>10.107.121.206</v>
      </c>
      <c r="G14918" s="1" t="str">
        <f>"0128F382"</f>
        <v>0128F382</v>
      </c>
      <c r="H14918" s="1" t="str">
        <f>"대지간 103R1R4"</f>
        <v>대지간 103R1R4</v>
      </c>
      <c r="I14918" s="1" t="s">
        <v>8</v>
      </c>
      <c r="J14918" s="1" t="str">
        <f>"20/20"</f>
        <v>20/20</v>
      </c>
      <c r="K14918" s="1" t="str">
        <f>"2026-07-29 13:18:02"</f>
        <v>2026-07-29 13:18:02</v>
      </c>
      <c r="L14918" s="1" t="str">
        <f>"2014-10-06 09:42:12"</f>
        <v>2014-10-06 09:42:12</v>
      </c>
      <c r="M14918" s="1" t="s">
        <v>45</v>
      </c>
      <c r="N14918" s="1" t="s">
        <v>38</v>
      </c>
      <c r="O14918" s="1" t="s">
        <v>46</v>
      </c>
    </row>
    <row r="14919" spans="2:15" x14ac:dyDescent="0.3">
      <c r="B14919" s="1" t="s">
        <v>19</v>
      </c>
      <c r="C14919" s="1" t="str">
        <f>"1차"</f>
        <v>1차</v>
      </c>
      <c r="D14919" s="1" t="str">
        <f>"0128F40200"</f>
        <v>0128F40200</v>
      </c>
      <c r="E14919" s="1" t="s">
        <v>10</v>
      </c>
      <c r="F14919" s="1" t="str">
        <f>"10.107.123.179"</f>
        <v>10.107.123.179</v>
      </c>
      <c r="G14919" s="1" t="str">
        <f>"0128F402"</f>
        <v>0128F402</v>
      </c>
      <c r="H14919" s="1" t="str">
        <f>"대지간 76R6R2"</f>
        <v>대지간 76R6R2</v>
      </c>
      <c r="I14919" s="1" t="s">
        <v>8</v>
      </c>
      <c r="J14919" s="1" t="str">
        <f>"5/5"</f>
        <v>5/5</v>
      </c>
      <c r="K14919" s="1" t="str">
        <f>"2026-07-29 13:18:02"</f>
        <v>2026-07-29 13:18:02</v>
      </c>
      <c r="L14919" s="1" t="str">
        <f>"2014-10-23 00:14:08"</f>
        <v>2014-10-23 00:14:08</v>
      </c>
      <c r="M14919" s="1" t="s">
        <v>45</v>
      </c>
      <c r="N14919" s="1" t="s">
        <v>38</v>
      </c>
      <c r="O14919" s="1" t="s">
        <v>46</v>
      </c>
    </row>
    <row r="14920" spans="2:15" x14ac:dyDescent="0.3">
      <c r="B14920" s="1" t="s">
        <v>19</v>
      </c>
      <c r="C14920" s="1" t="str">
        <f>"1차"</f>
        <v>1차</v>
      </c>
      <c r="D14920" s="1" t="str">
        <f>"0128F44200"</f>
        <v>0128F44200</v>
      </c>
      <c r="E14920" s="1" t="s">
        <v>10</v>
      </c>
      <c r="F14920" s="1" t="str">
        <f>"10.107.0.103"</f>
        <v>10.107.0.103</v>
      </c>
      <c r="G14920" s="1" t="str">
        <f>"0128F442"</f>
        <v>0128F442</v>
      </c>
      <c r="H14920" s="1" t="str">
        <f>"대지간 76R24L3"</f>
        <v>대지간 76R24L3</v>
      </c>
      <c r="I14920" s="1" t="s">
        <v>8</v>
      </c>
      <c r="J14920" s="1" t="str">
        <f>"48/48"</f>
        <v>48/48</v>
      </c>
      <c r="K14920" s="1" t="str">
        <f>"2026-07-29 13:18:02"</f>
        <v>2026-07-29 13:18:02</v>
      </c>
      <c r="L14920" s="1" t="str">
        <f>"2014-12-31 16:09:15"</f>
        <v>2014-12-31 16:09:15</v>
      </c>
      <c r="M14920" s="1" t="s">
        <v>45</v>
      </c>
      <c r="N14920" s="1" t="s">
        <v>38</v>
      </c>
      <c r="O14920" s="1" t="s">
        <v>46</v>
      </c>
    </row>
    <row r="14921" spans="2:15" x14ac:dyDescent="0.3">
      <c r="B14921" s="1" t="s">
        <v>19</v>
      </c>
      <c r="C14921" s="1" t="str">
        <f>"1차"</f>
        <v>1차</v>
      </c>
      <c r="D14921" s="1" t="str">
        <f>"0128F44301"</f>
        <v>0128F44301</v>
      </c>
      <c r="E14921" s="1" t="s">
        <v>10</v>
      </c>
      <c r="F14921" s="1" t="str">
        <f>"10.107.0.104"</f>
        <v>10.107.0.104</v>
      </c>
      <c r="G14921" s="1" t="str">
        <f>"0128F443"</f>
        <v>0128F443</v>
      </c>
      <c r="H14921" s="1" t="str">
        <f>"대지간 76R24L4"</f>
        <v>대지간 76R24L4</v>
      </c>
      <c r="I14921" s="1" t="s">
        <v>8</v>
      </c>
      <c r="J14921" s="1" t="str">
        <f>"57/57"</f>
        <v>57/57</v>
      </c>
      <c r="K14921" s="1" t="str">
        <f>"2026-07-29 13:18:02"</f>
        <v>2026-07-29 13:18:02</v>
      </c>
      <c r="L14921" s="1" t="str">
        <f>"2014-11-11 18:18:18"</f>
        <v>2014-11-11 18:18:18</v>
      </c>
      <c r="M14921" s="1" t="s">
        <v>45</v>
      </c>
      <c r="N14921" s="1" t="s">
        <v>38</v>
      </c>
      <c r="O14921" s="1" t="s">
        <v>46</v>
      </c>
    </row>
    <row r="14922" spans="2:15" x14ac:dyDescent="0.3">
      <c r="B14922" s="1" t="s">
        <v>19</v>
      </c>
      <c r="C14922" s="1" t="str">
        <f>"1차"</f>
        <v>1차</v>
      </c>
      <c r="D14922" s="1" t="str">
        <f>"0128F46300"</f>
        <v>0128F46300</v>
      </c>
      <c r="E14922" s="1" t="s">
        <v>10</v>
      </c>
      <c r="F14922" s="1" t="str">
        <f>"10.107.2.16"</f>
        <v>10.107.2.16</v>
      </c>
      <c r="G14922" s="1" t="str">
        <f>"0128F463"</f>
        <v>0128F463</v>
      </c>
      <c r="H14922" s="1" t="str">
        <f>"대지간 76R28L4"</f>
        <v>대지간 76R28L4</v>
      </c>
      <c r="I14922" s="1" t="s">
        <v>8</v>
      </c>
      <c r="J14922" s="1" t="str">
        <f>"88/88"</f>
        <v>88/88</v>
      </c>
      <c r="K14922" s="1" t="str">
        <f>"2026-07-29 13:18:02"</f>
        <v>2026-07-29 13:18:02</v>
      </c>
      <c r="L14922" s="1" t="str">
        <f>"2014-10-08 00:14:25"</f>
        <v>2014-10-08 00:14:25</v>
      </c>
      <c r="M14922" s="1" t="s">
        <v>45</v>
      </c>
      <c r="N14922" s="1" t="s">
        <v>38</v>
      </c>
      <c r="O14922" s="1" t="s">
        <v>46</v>
      </c>
    </row>
    <row r="14923" spans="2:15" x14ac:dyDescent="0.3">
      <c r="B14923" s="1" t="s">
        <v>19</v>
      </c>
      <c r="C14923" s="1" t="str">
        <f>"5-1차"</f>
        <v>5-1차</v>
      </c>
      <c r="D14923" s="1" t="str">
        <f>"0128F4715S"</f>
        <v>0128F4715S</v>
      </c>
      <c r="E14923" s="1" t="s">
        <v>10</v>
      </c>
      <c r="F14923" s="1" t="str">
        <f>"fde2:104:0:3c:0:0:0:2"</f>
        <v>fde2:104:0:3c:0:0:0:2</v>
      </c>
      <c r="G14923" s="1" t="str">
        <f>"0128F471"</f>
        <v>0128F471</v>
      </c>
      <c r="H14923" s="1" t="str">
        <f>"대지간 76R32L5L1"</f>
        <v>대지간 76R32L5L1</v>
      </c>
      <c r="I14923" s="1" t="s">
        <v>15</v>
      </c>
      <c r="J14923" s="1" t="str">
        <f>"51/53"</f>
        <v>51/53</v>
      </c>
      <c r="K14923" s="1" t="str">
        <f>"2026-07-29 14:20:03"</f>
        <v>2026-07-29 14:20:03</v>
      </c>
      <c r="L14923" s="1" t="str">
        <f>"2022-10-24 15:25:33"</f>
        <v>2022-10-24 15:25:33</v>
      </c>
      <c r="M14923" s="1" t="s">
        <v>42</v>
      </c>
      <c r="N14923" s="1" t="s">
        <v>38</v>
      </c>
      <c r="O14923" s="1" t="s">
        <v>46</v>
      </c>
    </row>
    <row r="14924" spans="2:15" x14ac:dyDescent="0.3">
      <c r="B14924" s="1" t="s">
        <v>19</v>
      </c>
      <c r="C14924" s="1" t="str">
        <f>"6차"</f>
        <v>6차</v>
      </c>
      <c r="D14924" s="1" t="str">
        <f>"0128F4816M"</f>
        <v>0128F4816M</v>
      </c>
      <c r="E14924" s="1" t="s">
        <v>10</v>
      </c>
      <c r="F14924" s="1" t="str">
        <f>"fde1:103:4:c844:0:0:0:2"</f>
        <v>fde1:103:4:c844:0:0:0:2</v>
      </c>
      <c r="G14924" s="1" t="str">
        <f>"0128F481"</f>
        <v>0128F481</v>
      </c>
      <c r="H14924" s="1" t="str">
        <f>"대지간 76R32L1"</f>
        <v>대지간 76R32L1</v>
      </c>
      <c r="I14924" s="1" t="s">
        <v>15</v>
      </c>
      <c r="J14924" s="1" t="str">
        <f>"56/59"</f>
        <v>56/59</v>
      </c>
      <c r="K14924" s="1" t="str">
        <f>"2026-07-29 14:20:44"</f>
        <v>2026-07-29 14:20:44</v>
      </c>
      <c r="L14924" s="1" t="str">
        <f>"2024-12-02 13:44:14"</f>
        <v>2024-12-02 13:44:14</v>
      </c>
      <c r="M14924" s="1" t="s">
        <v>4</v>
      </c>
      <c r="N14924" s="1" t="s">
        <v>38</v>
      </c>
      <c r="O14924" s="1" t="s">
        <v>46</v>
      </c>
    </row>
    <row r="14925" spans="2:15" x14ac:dyDescent="0.3">
      <c r="B14925" s="1" t="s">
        <v>19</v>
      </c>
      <c r="C14925" s="1" t="str">
        <f>"3차"</f>
        <v>3차</v>
      </c>
      <c r="D14925" s="1" t="str">
        <f>"0128F48339"</f>
        <v>0128F48339</v>
      </c>
      <c r="E14925" s="1" t="s">
        <v>10</v>
      </c>
      <c r="F14925" s="1" t="str">
        <f>"10.107.121.207"</f>
        <v>10.107.121.207</v>
      </c>
      <c r="G14925" s="1" t="str">
        <f>"0128F483"</f>
        <v>0128F483</v>
      </c>
      <c r="H14925" s="1" t="str">
        <f>"대지간 76R32L3"</f>
        <v>대지간 76R32L3</v>
      </c>
      <c r="I14925" s="1" t="s">
        <v>8</v>
      </c>
      <c r="J14925" s="1" t="str">
        <f>"10/10"</f>
        <v>10/10</v>
      </c>
      <c r="K14925" s="1" t="str">
        <f>"2026-07-29 13:18:02"</f>
        <v>2026-07-29 13:18:02</v>
      </c>
      <c r="L14925" s="1" t="str">
        <f>"2018-04-09 12:14:25"</f>
        <v>2018-04-09 12:14:25</v>
      </c>
      <c r="M14925" s="1" t="s">
        <v>45</v>
      </c>
      <c r="N14925" s="1" t="s">
        <v>38</v>
      </c>
      <c r="O14925" s="1" t="s">
        <v>46</v>
      </c>
    </row>
    <row r="14926" spans="2:15" x14ac:dyDescent="0.3">
      <c r="B14926" s="1" t="s">
        <v>19</v>
      </c>
      <c r="C14926" s="1" t="str">
        <f>"1차"</f>
        <v>1차</v>
      </c>
      <c r="D14926" s="1" t="str">
        <f>"0128F48401"</f>
        <v>0128F48401</v>
      </c>
      <c r="E14926" s="1" t="s">
        <v>10</v>
      </c>
      <c r="F14926" s="1" t="str">
        <f>"10.12.129.9"</f>
        <v>10.12.129.9</v>
      </c>
      <c r="G14926" s="1" t="str">
        <f>"0128F484"</f>
        <v>0128F484</v>
      </c>
      <c r="H14926" s="1" t="str">
        <f>"대지간 76R32L2"</f>
        <v>대지간 76R32L2</v>
      </c>
      <c r="I14926" s="1" t="s">
        <v>8</v>
      </c>
      <c r="J14926" s="1" t="str">
        <f>"25/36"</f>
        <v>25/36</v>
      </c>
      <c r="K14926" s="1" t="str">
        <f>"2026-07-29 13:18:02"</f>
        <v>2026-07-29 13:18:02</v>
      </c>
      <c r="L14926" s="1" t="str">
        <f>"2014-10-24 00:14:08"</f>
        <v>2014-10-24 00:14:08</v>
      </c>
      <c r="M14926" s="1" t="s">
        <v>0</v>
      </c>
      <c r="N14926" s="1" t="s">
        <v>38</v>
      </c>
      <c r="O14926" s="1" t="s">
        <v>46</v>
      </c>
    </row>
    <row r="14927" spans="2:15" x14ac:dyDescent="0.3">
      <c r="B14927" s="1" t="s">
        <v>19</v>
      </c>
      <c r="C14927" s="1" t="str">
        <f>"1차"</f>
        <v>1차</v>
      </c>
      <c r="D14927" s="1" t="str">
        <f>"0128F50101"</f>
        <v>0128F50101</v>
      </c>
      <c r="E14927" s="1" t="s">
        <v>10</v>
      </c>
      <c r="F14927" s="1" t="str">
        <f>"10.12.129.181"</f>
        <v>10.12.129.181</v>
      </c>
      <c r="G14927" s="1" t="str">
        <f>"0128F501"</f>
        <v>0128F501</v>
      </c>
      <c r="H14927" s="1" t="str">
        <f>"대지간 76R6R3"</f>
        <v>대지간 76R6R3</v>
      </c>
      <c r="I14927" s="1" t="s">
        <v>8</v>
      </c>
      <c r="J14927" s="1" t="str">
        <f>"1/1"</f>
        <v>1/1</v>
      </c>
      <c r="K14927" s="1" t="str">
        <f>"2026-07-29 13:18:02"</f>
        <v>2026-07-29 13:18:02</v>
      </c>
      <c r="L14927" s="1" t="str">
        <f>"2014-11-12 16:03:36"</f>
        <v>2014-11-12 16:03:36</v>
      </c>
      <c r="M14927" s="1" t="s">
        <v>0</v>
      </c>
      <c r="N14927" s="1" t="s">
        <v>38</v>
      </c>
      <c r="O14927" s="1" t="s">
        <v>46</v>
      </c>
    </row>
    <row r="14928" spans="2:15" x14ac:dyDescent="0.3">
      <c r="B14928" s="1" t="s">
        <v>19</v>
      </c>
      <c r="C14928" s="1" t="str">
        <f>"1차"</f>
        <v>1차</v>
      </c>
      <c r="D14928" s="1" t="str">
        <f>"0128F53301"</f>
        <v>0128F53301</v>
      </c>
      <c r="E14928" s="1" t="s">
        <v>10</v>
      </c>
      <c r="F14928" s="1" t="str">
        <f>"10.107.0.105"</f>
        <v>10.107.0.105</v>
      </c>
      <c r="G14928" s="1" t="str">
        <f>"0128F533"</f>
        <v>0128F533</v>
      </c>
      <c r="H14928" s="1" t="str">
        <f>"대지간 76R24L2"</f>
        <v>대지간 76R24L2</v>
      </c>
      <c r="I14928" s="1" t="s">
        <v>8</v>
      </c>
      <c r="J14928" s="1" t="str">
        <f>"20/20"</f>
        <v>20/20</v>
      </c>
      <c r="K14928" s="1" t="str">
        <f>"2026-07-29 13:18:02"</f>
        <v>2026-07-29 13:18:02</v>
      </c>
      <c r="L14928" s="1" t="str">
        <f>"2014-11-05 16:40:48"</f>
        <v>2014-11-05 16:40:48</v>
      </c>
      <c r="M14928" s="1" t="s">
        <v>45</v>
      </c>
      <c r="N14928" s="1" t="s">
        <v>38</v>
      </c>
      <c r="O14928" s="1" t="s">
        <v>46</v>
      </c>
    </row>
    <row r="14929" spans="2:15" x14ac:dyDescent="0.3">
      <c r="B14929" s="1" t="s">
        <v>19</v>
      </c>
      <c r="C14929" s="1" t="str">
        <f>"5-2차"</f>
        <v>5-2차</v>
      </c>
      <c r="D14929" s="1" t="str">
        <f>"0128F5425S"</f>
        <v>0128F5425S</v>
      </c>
      <c r="E14929" s="1" t="s">
        <v>10</v>
      </c>
      <c r="F14929" s="1" t="str">
        <f>"fde1:103:4:6e7e:0:0:0:2"</f>
        <v>fde1:103:4:6e7e:0:0:0:2</v>
      </c>
      <c r="G14929" s="1" t="str">
        <f>"0128F542"</f>
        <v>0128F542</v>
      </c>
      <c r="H14929" s="1" t="str">
        <f>"대지간 76R24L1R1"</f>
        <v>대지간 76R24L1R1</v>
      </c>
      <c r="I14929" s="1" t="s">
        <v>15</v>
      </c>
      <c r="J14929" s="1" t="str">
        <f>"95/95"</f>
        <v>95/95</v>
      </c>
      <c r="K14929" s="1" t="str">
        <f>"2026-07-29 14:20:21"</f>
        <v>2026-07-29 14:20:21</v>
      </c>
      <c r="L14929" s="1" t="str">
        <f>"2023-11-15 09:22:14"</f>
        <v>2023-11-15 09:22:14</v>
      </c>
      <c r="M14929" s="1" t="s">
        <v>4</v>
      </c>
      <c r="N14929" s="1" t="s">
        <v>38</v>
      </c>
      <c r="O14929" s="1" t="s">
        <v>46</v>
      </c>
    </row>
    <row r="14930" spans="2:15" x14ac:dyDescent="0.3">
      <c r="B14930" s="1" t="s">
        <v>19</v>
      </c>
      <c r="C14930" s="1" t="str">
        <f>"5-2차"</f>
        <v>5-2차</v>
      </c>
      <c r="D14930" s="1" t="str">
        <f>"0128F5615S"</f>
        <v>0128F5615S</v>
      </c>
      <c r="E14930" s="1" t="s">
        <v>10</v>
      </c>
      <c r="F14930" s="1" t="str">
        <f>"fde1:103:4:6e78:0:0:0:2"</f>
        <v>fde1:103:4:6e78:0:0:0:2</v>
      </c>
      <c r="G14930" s="1" t="str">
        <f>"0128F561"</f>
        <v>0128F561</v>
      </c>
      <c r="H14930" s="1" t="str">
        <f>"대지간 76R28L2"</f>
        <v>대지간 76R28L2</v>
      </c>
      <c r="I14930" s="1" t="s">
        <v>15</v>
      </c>
      <c r="J14930" s="1" t="str">
        <f>"78/80"</f>
        <v>78/80</v>
      </c>
      <c r="K14930" s="1" t="str">
        <f>"2026-07-29 14:20:23"</f>
        <v>2026-07-29 14:20:23</v>
      </c>
      <c r="L14930" s="1" t="str">
        <f>"2023-11-15 09:09:14"</f>
        <v>2023-11-15 09:09:14</v>
      </c>
      <c r="M14930" s="1" t="s">
        <v>4</v>
      </c>
      <c r="N14930" s="1" t="s">
        <v>38</v>
      </c>
      <c r="O14930" s="1" t="s">
        <v>46</v>
      </c>
    </row>
    <row r="14931" spans="2:15" x14ac:dyDescent="0.3">
      <c r="B14931" s="1" t="s">
        <v>19</v>
      </c>
      <c r="C14931" s="1" t="str">
        <f>"5-2차"</f>
        <v>5-2차</v>
      </c>
      <c r="D14931" s="1" t="str">
        <f>"0128F5625S"</f>
        <v>0128F5625S</v>
      </c>
      <c r="E14931" s="1" t="s">
        <v>10</v>
      </c>
      <c r="F14931" s="1" t="str">
        <f>"fde1:103:4:6e7f:0:0:0:2"</f>
        <v>fde1:103:4:6e7f:0:0:0:2</v>
      </c>
      <c r="G14931" s="1" t="str">
        <f>"0128F562"</f>
        <v>0128F562</v>
      </c>
      <c r="H14931" s="1" t="str">
        <f>"대지간 76R28L3"</f>
        <v>대지간 76R28L3</v>
      </c>
      <c r="I14931" s="1" t="s">
        <v>15</v>
      </c>
      <c r="J14931" s="1" t="str">
        <f>"77/77"</f>
        <v>77/77</v>
      </c>
      <c r="K14931" s="1" t="str">
        <f>"2026-07-29 14:20:44"</f>
        <v>2026-07-29 14:20:44</v>
      </c>
      <c r="L14931" s="1" t="str">
        <f>"2023-11-15 09:15:03"</f>
        <v>2023-11-15 09:15:03</v>
      </c>
      <c r="M14931" s="1" t="s">
        <v>4</v>
      </c>
      <c r="N14931" s="1" t="s">
        <v>38</v>
      </c>
      <c r="O14931" s="1" t="s">
        <v>46</v>
      </c>
    </row>
    <row r="14932" spans="2:15" x14ac:dyDescent="0.3">
      <c r="B14932" s="1" t="s">
        <v>19</v>
      </c>
      <c r="C14932" s="1" t="str">
        <f>"3차"</f>
        <v>3차</v>
      </c>
      <c r="D14932" s="1" t="str">
        <f>"0128F58239"</f>
        <v>0128F58239</v>
      </c>
      <c r="E14932" s="1" t="s">
        <v>10</v>
      </c>
      <c r="F14932" s="1" t="str">
        <f>"10.107.2.137"</f>
        <v>10.107.2.137</v>
      </c>
      <c r="G14932" s="1" t="str">
        <f>"0128F582"</f>
        <v>0128F582</v>
      </c>
      <c r="H14932" s="1" t="str">
        <f>"대지간 76R31"</f>
        <v>대지간 76R31</v>
      </c>
      <c r="I14932" s="1" t="s">
        <v>8</v>
      </c>
      <c r="J14932" s="1" t="str">
        <f>"60/62"</f>
        <v>60/62</v>
      </c>
      <c r="K14932" s="1" t="str">
        <f>"2026-07-29 13:18:01"</f>
        <v>2026-07-29 13:18:01</v>
      </c>
      <c r="L14932" s="1" t="str">
        <f>"2018-02-22 00:53:53"</f>
        <v>2018-02-22 00:53:53</v>
      </c>
      <c r="M14932" s="1" t="s">
        <v>45</v>
      </c>
      <c r="N14932" s="1" t="s">
        <v>38</v>
      </c>
      <c r="O14932" s="1" t="s">
        <v>46</v>
      </c>
    </row>
    <row r="14933" spans="2:15" x14ac:dyDescent="0.3">
      <c r="B14933" s="1" t="s">
        <v>19</v>
      </c>
      <c r="C14933" s="1" t="str">
        <f>"6차"</f>
        <v>6차</v>
      </c>
      <c r="D14933" s="1" t="str">
        <f>"0128F5916M"</f>
        <v>0128F5916M</v>
      </c>
      <c r="E14933" s="1" t="s">
        <v>10</v>
      </c>
      <c r="F14933" s="1" t="str">
        <f>"fde1:103:4:c855:0:0:0:2"</f>
        <v>fde1:103:4:c855:0:0:0:2</v>
      </c>
      <c r="G14933" s="1" t="str">
        <f>"0128F591"</f>
        <v>0128F591</v>
      </c>
      <c r="H14933" s="1" t="str">
        <f>"대지간 76R33"</f>
        <v>대지간 76R33</v>
      </c>
      <c r="I14933" s="1" t="s">
        <v>15</v>
      </c>
      <c r="J14933" s="1" t="str">
        <f>"57/60"</f>
        <v>57/60</v>
      </c>
      <c r="K14933" s="1" t="str">
        <f>"2026-07-29 14:20:01"</f>
        <v>2026-07-29 14:20:01</v>
      </c>
      <c r="L14933" s="1" t="str">
        <f>"2024-12-04 15:38:07"</f>
        <v>2024-12-04 15:38:07</v>
      </c>
      <c r="M14933" s="1" t="s">
        <v>4</v>
      </c>
      <c r="N14933" s="1" t="s">
        <v>38</v>
      </c>
      <c r="O14933" s="1" t="s">
        <v>46</v>
      </c>
    </row>
    <row r="14934" spans="2:15" x14ac:dyDescent="0.3">
      <c r="B14934" s="1" t="s">
        <v>19</v>
      </c>
      <c r="C14934" s="1" t="str">
        <f>"1차"</f>
        <v>1차</v>
      </c>
      <c r="D14934" s="1" t="str">
        <f>"0128F60200"</f>
        <v>0128F60200</v>
      </c>
      <c r="E14934" s="1" t="s">
        <v>10</v>
      </c>
      <c r="F14934" s="1" t="str">
        <f>"10.107.123.183"</f>
        <v>10.107.123.183</v>
      </c>
      <c r="G14934" s="1" t="str">
        <f>"0128F602"</f>
        <v>0128F602</v>
      </c>
      <c r="H14934" s="1" t="str">
        <f>"대지간 76R16"</f>
        <v>대지간 76R16</v>
      </c>
      <c r="I14934" s="1" t="s">
        <v>8</v>
      </c>
      <c r="J14934" s="1" t="str">
        <f>"19/20"</f>
        <v>19/20</v>
      </c>
      <c r="K14934" s="1" t="str">
        <f>"2026-07-29 13:18:02"</f>
        <v>2026-07-29 13:18:02</v>
      </c>
      <c r="L14934" s="1" t="str">
        <f>"2014-10-07 00:14:17"</f>
        <v>2014-10-07 00:14:17</v>
      </c>
      <c r="M14934" s="1" t="s">
        <v>45</v>
      </c>
      <c r="N14934" s="1" t="s">
        <v>38</v>
      </c>
      <c r="O14934" s="1" t="s">
        <v>46</v>
      </c>
    </row>
    <row r="14935" spans="2:15" x14ac:dyDescent="0.3">
      <c r="B14935" s="1" t="s">
        <v>19</v>
      </c>
      <c r="C14935" s="1" t="str">
        <f>"1차"</f>
        <v>1차</v>
      </c>
      <c r="D14935" s="1" t="str">
        <f>"0128F60300"</f>
        <v>0128F60300</v>
      </c>
      <c r="E14935" s="1" t="s">
        <v>10</v>
      </c>
      <c r="F14935" s="1" t="str">
        <f>"10.107.123.177"</f>
        <v>10.107.123.177</v>
      </c>
      <c r="G14935" s="1" t="str">
        <f>"0128F603"</f>
        <v>0128F603</v>
      </c>
      <c r="H14935" s="1" t="str">
        <f>"대지간 76R6R4"</f>
        <v>대지간 76R6R4</v>
      </c>
      <c r="I14935" s="1" t="s">
        <v>8</v>
      </c>
      <c r="J14935" s="1" t="str">
        <f>"8/8"</f>
        <v>8/8</v>
      </c>
      <c r="K14935" s="1" t="str">
        <f>"2026-07-29 13:18:02"</f>
        <v>2026-07-29 13:18:02</v>
      </c>
      <c r="L14935" s="1" t="str">
        <f>"2014-10-07 00:13:30"</f>
        <v>2014-10-07 00:13:30</v>
      </c>
      <c r="M14935" s="1" t="s">
        <v>45</v>
      </c>
      <c r="N14935" s="1" t="s">
        <v>38</v>
      </c>
      <c r="O14935" s="1" t="s">
        <v>46</v>
      </c>
    </row>
    <row r="14936" spans="2:15" x14ac:dyDescent="0.3">
      <c r="B14936" s="1" t="s">
        <v>19</v>
      </c>
      <c r="C14936" s="1" t="str">
        <f>"1차"</f>
        <v>1차</v>
      </c>
      <c r="D14936" s="1" t="str">
        <f>"0128F60501"</f>
        <v>0128F60501</v>
      </c>
      <c r="E14936" s="1" t="s">
        <v>10</v>
      </c>
      <c r="F14936" s="1" t="str">
        <f>"10.107.123.178"</f>
        <v>10.107.123.178</v>
      </c>
      <c r="G14936" s="1" t="str">
        <f>"0128F605"</f>
        <v>0128F605</v>
      </c>
      <c r="H14936" s="1" t="str">
        <f>"대지간 76R6R5"</f>
        <v>대지간 76R6R5</v>
      </c>
      <c r="I14936" s="1" t="s">
        <v>8</v>
      </c>
      <c r="J14936" s="1" t="str">
        <f>"3/3"</f>
        <v>3/3</v>
      </c>
      <c r="K14936" s="1" t="str">
        <f>"2026-07-29 13:18:02"</f>
        <v>2026-07-29 13:18:02</v>
      </c>
      <c r="L14936" s="1" t="str">
        <f>"2014-10-23 00:14:08"</f>
        <v>2014-10-23 00:14:08</v>
      </c>
      <c r="M14936" s="1" t="s">
        <v>45</v>
      </c>
      <c r="N14936" s="1" t="s">
        <v>38</v>
      </c>
      <c r="O14936" s="1" t="s">
        <v>46</v>
      </c>
    </row>
    <row r="14937" spans="2:15" x14ac:dyDescent="0.3">
      <c r="B14937" s="1" t="s">
        <v>19</v>
      </c>
      <c r="C14937" s="1" t="str">
        <f>"1차"</f>
        <v>1차</v>
      </c>
      <c r="D14937" s="1" t="str">
        <f>"0128F62100"</f>
        <v>0128F62100</v>
      </c>
      <c r="E14937" s="1" t="s">
        <v>10</v>
      </c>
      <c r="F14937" s="1" t="str">
        <f>"10.107.2.19"</f>
        <v>10.107.2.19</v>
      </c>
      <c r="G14937" s="1" t="str">
        <f>"0128F621"</f>
        <v>0128F621</v>
      </c>
      <c r="H14937" s="1" t="str">
        <f>"대지간 76R19L2"</f>
        <v>대지간 76R19L2</v>
      </c>
      <c r="I14937" s="1" t="s">
        <v>8</v>
      </c>
      <c r="J14937" s="1" t="str">
        <f>"43/43"</f>
        <v>43/43</v>
      </c>
      <c r="K14937" s="1" t="str">
        <f>"2026-07-29 13:18:01"</f>
        <v>2026-07-29 13:18:01</v>
      </c>
      <c r="L14937" s="1" t="str">
        <f>"2014-10-07 00:13:45"</f>
        <v>2014-10-07 00:13:45</v>
      </c>
      <c r="M14937" s="1" t="s">
        <v>45</v>
      </c>
      <c r="N14937" s="1" t="s">
        <v>38</v>
      </c>
      <c r="O14937" s="1" t="s">
        <v>46</v>
      </c>
    </row>
    <row r="14938" spans="2:15" x14ac:dyDescent="0.3">
      <c r="B14938" s="1" t="s">
        <v>19</v>
      </c>
      <c r="C14938" s="1" t="str">
        <f>"5-2차"</f>
        <v>5-2차</v>
      </c>
      <c r="D14938" s="1" t="str">
        <f>"0128F6315M"</f>
        <v>0128F6315M</v>
      </c>
      <c r="E14938" s="1" t="s">
        <v>10</v>
      </c>
      <c r="F14938" s="1" t="str">
        <f>"fde1:103:4:6e79:0:0:0:2"</f>
        <v>fde1:103:4:6e79:0:0:0:2</v>
      </c>
      <c r="G14938" s="1" t="str">
        <f>"0128F631"</f>
        <v>0128F631</v>
      </c>
      <c r="H14938" s="1" t="str">
        <f>"대지간 76R23"</f>
        <v>대지간 76R23</v>
      </c>
      <c r="I14938" s="1" t="s">
        <v>15</v>
      </c>
      <c r="J14938" s="1" t="str">
        <f>"84/85"</f>
        <v>84/85</v>
      </c>
      <c r="K14938" s="1" t="str">
        <f>"2026-07-29 14:20:02"</f>
        <v>2026-07-29 14:20:02</v>
      </c>
      <c r="L14938" s="1" t="str">
        <f>"2023-11-15 09:00:01"</f>
        <v>2023-11-15 09:00:01</v>
      </c>
      <c r="M14938" s="1" t="s">
        <v>4</v>
      </c>
      <c r="N14938" s="1" t="s">
        <v>38</v>
      </c>
      <c r="O14938" s="1" t="s">
        <v>46</v>
      </c>
    </row>
    <row r="14939" spans="2:15" x14ac:dyDescent="0.3">
      <c r="B14939" s="1" t="s">
        <v>19</v>
      </c>
      <c r="C14939" s="1" t="str">
        <f>"1차"</f>
        <v>1차</v>
      </c>
      <c r="D14939" s="1" t="str">
        <f>"0128F63200"</f>
        <v>0128F63200</v>
      </c>
      <c r="E14939" s="1" t="s">
        <v>10</v>
      </c>
      <c r="F14939" s="1" t="str">
        <f>"10.107.0.106"</f>
        <v>10.107.0.106</v>
      </c>
      <c r="G14939" s="1" t="str">
        <f>"0128F632"</f>
        <v>0128F632</v>
      </c>
      <c r="H14939" s="1" t="str">
        <f>"대지간 76R24"</f>
        <v>대지간 76R24</v>
      </c>
      <c r="I14939" s="1" t="s">
        <v>8</v>
      </c>
      <c r="J14939" s="1" t="str">
        <f>"35/36"</f>
        <v>35/36</v>
      </c>
      <c r="K14939" s="1" t="str">
        <f>"2026-07-29 13:18:02"</f>
        <v>2026-07-29 13:18:02</v>
      </c>
      <c r="L14939" s="1" t="str">
        <f>"2015-02-12 14:21:52"</f>
        <v>2015-02-12 14:21:52</v>
      </c>
      <c r="M14939" s="1" t="s">
        <v>45</v>
      </c>
      <c r="N14939" s="1" t="s">
        <v>38</v>
      </c>
      <c r="O14939" s="1" t="s">
        <v>46</v>
      </c>
    </row>
    <row r="14940" spans="2:15" x14ac:dyDescent="0.3">
      <c r="B14940" s="1" t="s">
        <v>19</v>
      </c>
      <c r="C14940" s="1" t="str">
        <f>"1차"</f>
        <v>1차</v>
      </c>
      <c r="D14940" s="1" t="str">
        <f>"0128F64101"</f>
        <v>0128F64101</v>
      </c>
      <c r="E14940" s="1" t="s">
        <v>10</v>
      </c>
      <c r="F14940" s="1" t="str">
        <f>"10.107.0.108"</f>
        <v>10.107.0.108</v>
      </c>
      <c r="G14940" s="1" t="str">
        <f>"0128F641"</f>
        <v>0128F641</v>
      </c>
      <c r="H14940" s="1" t="str">
        <f>"대지간 76R25"</f>
        <v>대지간 76R25</v>
      </c>
      <c r="I14940" s="1" t="s">
        <v>8</v>
      </c>
      <c r="J14940" s="1" t="str">
        <f>"108/108"</f>
        <v>108/108</v>
      </c>
      <c r="K14940" s="1" t="str">
        <f>"2026-07-29 13:18:01"</f>
        <v>2026-07-29 13:18:01</v>
      </c>
      <c r="L14940" s="1" t="str">
        <f>"2014-11-04 00:28:06"</f>
        <v>2014-11-04 00:28:06</v>
      </c>
      <c r="M14940" s="1" t="s">
        <v>45</v>
      </c>
      <c r="N14940" s="1" t="s">
        <v>38</v>
      </c>
      <c r="O14940" s="1" t="s">
        <v>46</v>
      </c>
    </row>
    <row r="14941" spans="2:15" x14ac:dyDescent="0.3">
      <c r="B14941" s="1" t="s">
        <v>19</v>
      </c>
      <c r="C14941" s="1" t="str">
        <f>"1차"</f>
        <v>1차</v>
      </c>
      <c r="D14941" s="1" t="str">
        <f>"0128F66101"</f>
        <v>0128F66101</v>
      </c>
      <c r="E14941" s="1" t="s">
        <v>10</v>
      </c>
      <c r="F14941" s="1" t="str">
        <f>"10.107.0.113"</f>
        <v>10.107.0.113</v>
      </c>
      <c r="G14941" s="1" t="str">
        <f>"0128F661"</f>
        <v>0128F661</v>
      </c>
      <c r="H14941" s="1" t="str">
        <f>"대지간 76R28R1"</f>
        <v>대지간 76R28R1</v>
      </c>
      <c r="I14941" s="1" t="s">
        <v>8</v>
      </c>
      <c r="J14941" s="1" t="str">
        <f>"62/72"</f>
        <v>62/72</v>
      </c>
      <c r="K14941" s="1" t="str">
        <f t="shared" ref="K14941:K14947" si="756">"2026-07-29 13:18:02"</f>
        <v>2026-07-29 13:18:02</v>
      </c>
      <c r="L14941" s="1" t="str">
        <f>"2014-12-03 09:55:01"</f>
        <v>2014-12-03 09:55:01</v>
      </c>
      <c r="M14941" s="1" t="s">
        <v>45</v>
      </c>
      <c r="N14941" s="1" t="s">
        <v>38</v>
      </c>
      <c r="O14941" s="1" t="s">
        <v>46</v>
      </c>
    </row>
    <row r="14942" spans="2:15" x14ac:dyDescent="0.3">
      <c r="B14942" s="1" t="s">
        <v>19</v>
      </c>
      <c r="C14942" s="1" t="str">
        <f>"1차"</f>
        <v>1차</v>
      </c>
      <c r="D14942" s="1" t="str">
        <f>"0128F66300"</f>
        <v>0128F66300</v>
      </c>
      <c r="E14942" s="1" t="s">
        <v>10</v>
      </c>
      <c r="F14942" s="1" t="str">
        <f>"10.107.0.112"</f>
        <v>10.107.0.112</v>
      </c>
      <c r="G14942" s="1" t="str">
        <f>"0128F663"</f>
        <v>0128F663</v>
      </c>
      <c r="H14942" s="1" t="str">
        <f>"대지간 76R27"</f>
        <v>대지간 76R27</v>
      </c>
      <c r="I14942" s="1" t="s">
        <v>8</v>
      </c>
      <c r="J14942" s="1" t="str">
        <f>"34/48"</f>
        <v>34/48</v>
      </c>
      <c r="K14942" s="1" t="str">
        <f t="shared" si="756"/>
        <v>2026-07-29 13:18:02</v>
      </c>
      <c r="L14942" s="1" t="str">
        <f>"2014-10-30 16:41:45"</f>
        <v>2014-10-30 16:41:45</v>
      </c>
      <c r="M14942" s="1" t="s">
        <v>45</v>
      </c>
      <c r="N14942" s="1" t="s">
        <v>38</v>
      </c>
      <c r="O14942" s="1" t="s">
        <v>46</v>
      </c>
    </row>
    <row r="14943" spans="2:15" x14ac:dyDescent="0.3">
      <c r="B14943" s="1" t="s">
        <v>19</v>
      </c>
      <c r="C14943" s="1" t="str">
        <f>"4차"</f>
        <v>4차</v>
      </c>
      <c r="D14943" s="1" t="str">
        <f>"0128F68139"</f>
        <v>0128F68139</v>
      </c>
      <c r="E14943" s="1" t="s">
        <v>10</v>
      </c>
      <c r="F14943" s="1" t="str">
        <f>"10.107.121.208"</f>
        <v>10.107.121.208</v>
      </c>
      <c r="G14943" s="1" t="str">
        <f>"0128F681"</f>
        <v>0128F681</v>
      </c>
      <c r="H14943" s="1" t="str">
        <f>"대지간 76R32B1"</f>
        <v>대지간 76R32B1</v>
      </c>
      <c r="I14943" s="1" t="s">
        <v>8</v>
      </c>
      <c r="J14943" s="1" t="str">
        <f>"66/66"</f>
        <v>66/66</v>
      </c>
      <c r="K14943" s="1" t="str">
        <f t="shared" si="756"/>
        <v>2026-07-29 13:18:02</v>
      </c>
      <c r="L14943" s="1" t="str">
        <f>"2018-03-13 16:05:33"</f>
        <v>2018-03-13 16:05:33</v>
      </c>
      <c r="M14943" s="1" t="s">
        <v>45</v>
      </c>
      <c r="N14943" s="1" t="s">
        <v>38</v>
      </c>
      <c r="O14943" s="1" t="s">
        <v>46</v>
      </c>
    </row>
    <row r="14944" spans="2:15" x14ac:dyDescent="0.3">
      <c r="B14944" s="1" t="s">
        <v>19</v>
      </c>
      <c r="C14944" s="1" t="str">
        <f>"3차"</f>
        <v>3차</v>
      </c>
      <c r="D14944" s="1" t="str">
        <f>"0128F68239"</f>
        <v>0128F68239</v>
      </c>
      <c r="E14944" s="1" t="s">
        <v>10</v>
      </c>
      <c r="F14944" s="1" t="str">
        <f>"10.107.121.209"</f>
        <v>10.107.121.209</v>
      </c>
      <c r="G14944" s="1" t="str">
        <f>"0128F682"</f>
        <v>0128F682</v>
      </c>
      <c r="H14944" s="1" t="str">
        <f>"대지간 76R32B2"</f>
        <v>대지간 76R32B2</v>
      </c>
      <c r="I14944" s="1" t="s">
        <v>8</v>
      </c>
      <c r="J14944" s="1" t="str">
        <f>"30/30"</f>
        <v>30/30</v>
      </c>
      <c r="K14944" s="1" t="str">
        <f t="shared" si="756"/>
        <v>2026-07-29 13:18:02</v>
      </c>
      <c r="L14944" s="1" t="str">
        <f>"2018-02-21 18:50:48"</f>
        <v>2018-02-21 18:50:48</v>
      </c>
      <c r="M14944" s="1" t="s">
        <v>45</v>
      </c>
      <c r="N14944" s="1" t="s">
        <v>38</v>
      </c>
      <c r="O14944" s="1" t="s">
        <v>46</v>
      </c>
    </row>
    <row r="14945" spans="2:15" x14ac:dyDescent="0.3">
      <c r="B14945" s="1" t="s">
        <v>19</v>
      </c>
      <c r="C14945" s="1" t="str">
        <f>"4차"</f>
        <v>4차</v>
      </c>
      <c r="D14945" s="1" t="str">
        <f>"0128F69139"</f>
        <v>0128F69139</v>
      </c>
      <c r="E14945" s="1" t="s">
        <v>10</v>
      </c>
      <c r="F14945" s="1" t="str">
        <f>"10.107.121.210"</f>
        <v>10.107.121.210</v>
      </c>
      <c r="G14945" s="1" t="str">
        <f>"0128F691"</f>
        <v>0128F691</v>
      </c>
      <c r="H14945" s="1" t="str">
        <f>"대지간 76R32R2"</f>
        <v>대지간 76R32R2</v>
      </c>
      <c r="I14945" s="1" t="s">
        <v>8</v>
      </c>
      <c r="J14945" s="1" t="str">
        <f>"171/171"</f>
        <v>171/171</v>
      </c>
      <c r="K14945" s="1" t="str">
        <f t="shared" si="756"/>
        <v>2026-07-29 13:18:02</v>
      </c>
      <c r="L14945" s="1" t="str">
        <f>"2018-04-09 11:52:10"</f>
        <v>2018-04-09 11:52:10</v>
      </c>
      <c r="M14945" s="1" t="s">
        <v>45</v>
      </c>
      <c r="N14945" s="1" t="s">
        <v>38</v>
      </c>
      <c r="O14945" s="1" t="s">
        <v>46</v>
      </c>
    </row>
    <row r="14946" spans="2:15" x14ac:dyDescent="0.3">
      <c r="B14946" s="1" t="s">
        <v>19</v>
      </c>
      <c r="C14946" s="1" t="str">
        <f>"3차"</f>
        <v>3차</v>
      </c>
      <c r="D14946" s="1" t="str">
        <f>"0128F71439"</f>
        <v>0128F71439</v>
      </c>
      <c r="E14946" s="1" t="s">
        <v>10</v>
      </c>
      <c r="F14946" s="1" t="str">
        <f>"10.107.123.185"</f>
        <v>10.107.123.185</v>
      </c>
      <c r="G14946" s="1" t="str">
        <f>"0128F714"</f>
        <v>0128F714</v>
      </c>
      <c r="H14946" s="1" t="str">
        <f>"대지간 76R19"</f>
        <v>대지간 76R19</v>
      </c>
      <c r="I14946" s="1" t="s">
        <v>8</v>
      </c>
      <c r="J14946" s="1" t="str">
        <f>"12/12"</f>
        <v>12/12</v>
      </c>
      <c r="K14946" s="1" t="str">
        <f t="shared" si="756"/>
        <v>2026-07-29 13:18:02</v>
      </c>
      <c r="L14946" s="1" t="str">
        <f>"2018-03-08 10:31:15"</f>
        <v>2018-03-08 10:31:15</v>
      </c>
      <c r="M14946" s="1" t="s">
        <v>45</v>
      </c>
      <c r="N14946" s="1" t="s">
        <v>38</v>
      </c>
      <c r="O14946" s="1" t="s">
        <v>46</v>
      </c>
    </row>
    <row r="14947" spans="2:15" x14ac:dyDescent="0.3">
      <c r="B14947" s="1" t="s">
        <v>19</v>
      </c>
      <c r="C14947" s="1" t="str">
        <f>"4차"</f>
        <v>4차</v>
      </c>
      <c r="D14947" s="1" t="str">
        <f>"0128F72339"</f>
        <v>0128F72339</v>
      </c>
      <c r="E14947" s="1" t="s">
        <v>10</v>
      </c>
      <c r="F14947" s="1" t="str">
        <f>"10.107.123.186"</f>
        <v>10.107.123.186</v>
      </c>
      <c r="G14947" s="1" t="str">
        <f>"0128F723"</f>
        <v>0128F723</v>
      </c>
      <c r="H14947" s="1" t="str">
        <f>"대지간 76R20"</f>
        <v>대지간 76R20</v>
      </c>
      <c r="I14947" s="1" t="s">
        <v>8</v>
      </c>
      <c r="J14947" s="1" t="str">
        <f>"7/7"</f>
        <v>7/7</v>
      </c>
      <c r="K14947" s="1" t="str">
        <f t="shared" si="756"/>
        <v>2026-07-29 13:18:02</v>
      </c>
      <c r="L14947" s="1" t="str">
        <f>"2018-03-08 09:56:54"</f>
        <v>2018-03-08 09:56:54</v>
      </c>
      <c r="M14947" s="1" t="s">
        <v>45</v>
      </c>
      <c r="N14947" s="1" t="s">
        <v>38</v>
      </c>
      <c r="O14947" s="1" t="s">
        <v>46</v>
      </c>
    </row>
    <row r="14948" spans="2:15" x14ac:dyDescent="0.3">
      <c r="B14948" s="1" t="s">
        <v>19</v>
      </c>
      <c r="C14948" s="1" t="str">
        <f>"1차"</f>
        <v>1차</v>
      </c>
      <c r="D14948" s="1" t="str">
        <f>"0128F73101"</f>
        <v>0128F73101</v>
      </c>
      <c r="E14948" s="1" t="s">
        <v>10</v>
      </c>
      <c r="F14948" s="1" t="str">
        <f>"10.12.129.126"</f>
        <v>10.12.129.126</v>
      </c>
      <c r="G14948" s="1" t="str">
        <f>"0128F731"</f>
        <v>0128F731</v>
      </c>
      <c r="H14948" s="1" t="str">
        <f>"대지간 76R24R1"</f>
        <v>대지간 76R24R1</v>
      </c>
      <c r="I14948" s="1" t="s">
        <v>8</v>
      </c>
      <c r="J14948" s="1" t="str">
        <f>"37/38"</f>
        <v>37/38</v>
      </c>
      <c r="K14948" s="1" t="str">
        <f>"2026-07-29 13:18:01"</f>
        <v>2026-07-29 13:18:01</v>
      </c>
      <c r="L14948" s="1" t="str">
        <f>"2014-11-19 10:50:22"</f>
        <v>2014-11-19 10:50:22</v>
      </c>
      <c r="M14948" s="1" t="s">
        <v>0</v>
      </c>
      <c r="N14948" s="1" t="s">
        <v>38</v>
      </c>
      <c r="O14948" s="1" t="s">
        <v>46</v>
      </c>
    </row>
    <row r="14949" spans="2:15" x14ac:dyDescent="0.3">
      <c r="B14949" s="1" t="s">
        <v>19</v>
      </c>
      <c r="C14949" s="1" t="str">
        <f>"4차"</f>
        <v>4차</v>
      </c>
      <c r="D14949" s="1" t="str">
        <f>"0128F78139"</f>
        <v>0128F78139</v>
      </c>
      <c r="E14949" s="1" t="s">
        <v>10</v>
      </c>
      <c r="F14949" s="1" t="str">
        <f>"10.107.2.132"</f>
        <v>10.107.2.132</v>
      </c>
      <c r="G14949" s="1" t="str">
        <f>"0128F781"</f>
        <v>0128F781</v>
      </c>
      <c r="H14949" s="1" t="str">
        <f>"대지간 64R7L6"</f>
        <v>대지간 64R7L6</v>
      </c>
      <c r="I14949" s="1" t="s">
        <v>8</v>
      </c>
      <c r="J14949" s="1" t="str">
        <f>"78/84"</f>
        <v>78/84</v>
      </c>
      <c r="K14949" s="1" t="str">
        <f>"2026-07-29 13:18:01"</f>
        <v>2026-07-29 13:18:01</v>
      </c>
      <c r="L14949" s="1" t="str">
        <f>"2018-03-19 12:57:40"</f>
        <v>2018-03-19 12:57:40</v>
      </c>
      <c r="M14949" s="1" t="s">
        <v>45</v>
      </c>
      <c r="N14949" s="1" t="s">
        <v>38</v>
      </c>
      <c r="O14949" s="1" t="s">
        <v>46</v>
      </c>
    </row>
    <row r="14950" spans="2:15" x14ac:dyDescent="0.3">
      <c r="B14950" s="1" t="s">
        <v>19</v>
      </c>
      <c r="C14950" s="1" t="str">
        <f>"3차"</f>
        <v>3차</v>
      </c>
      <c r="D14950" s="1" t="str">
        <f>"0128F78239"</f>
        <v>0128F78239</v>
      </c>
      <c r="E14950" s="1" t="s">
        <v>10</v>
      </c>
      <c r="F14950" s="1" t="str">
        <f>"10.107.121.211"</f>
        <v>10.107.121.211</v>
      </c>
      <c r="G14950" s="1" t="str">
        <f>"0128F782"</f>
        <v>0128F782</v>
      </c>
      <c r="H14950" s="1" t="str">
        <f>"대지간 76R32B3"</f>
        <v>대지간 76R32B3</v>
      </c>
      <c r="I14950" s="1" t="s">
        <v>8</v>
      </c>
      <c r="J14950" s="1" t="str">
        <f>"41/41"</f>
        <v>41/41</v>
      </c>
      <c r="K14950" s="1" t="str">
        <f>"2026-07-29 13:18:02"</f>
        <v>2026-07-29 13:18:02</v>
      </c>
      <c r="L14950" s="1" t="str">
        <f>"2018-02-21 17:42:42"</f>
        <v>2018-02-21 17:42:42</v>
      </c>
      <c r="M14950" s="1" t="s">
        <v>45</v>
      </c>
      <c r="N14950" s="1" t="s">
        <v>38</v>
      </c>
      <c r="O14950" s="1" t="s">
        <v>46</v>
      </c>
    </row>
    <row r="14951" spans="2:15" x14ac:dyDescent="0.3">
      <c r="B14951" s="1" t="s">
        <v>19</v>
      </c>
      <c r="C14951" s="1" t="str">
        <f>"3차"</f>
        <v>3차</v>
      </c>
      <c r="D14951" s="1" t="str">
        <f>"0128F79139"</f>
        <v>0128F79139</v>
      </c>
      <c r="E14951" s="1" t="s">
        <v>10</v>
      </c>
      <c r="F14951" s="1" t="str">
        <f>"10.107.2.133"</f>
        <v>10.107.2.133</v>
      </c>
      <c r="G14951" s="1" t="str">
        <f>"0128F791"</f>
        <v>0128F791</v>
      </c>
      <c r="H14951" s="1" t="str">
        <f>"대지간 64R7L7"</f>
        <v>대지간 64R7L7</v>
      </c>
      <c r="I14951" s="1" t="s">
        <v>8</v>
      </c>
      <c r="J14951" s="1" t="str">
        <f>"51/51"</f>
        <v>51/51</v>
      </c>
      <c r="K14951" s="1" t="str">
        <f>"2026-07-29 13:18:01"</f>
        <v>2026-07-29 13:18:01</v>
      </c>
      <c r="L14951" s="1" t="str">
        <f>"2018-03-19 12:46:58"</f>
        <v>2018-03-19 12:46:58</v>
      </c>
      <c r="M14951" s="1" t="s">
        <v>45</v>
      </c>
      <c r="N14951" s="1" t="s">
        <v>38</v>
      </c>
      <c r="O14951" s="1" t="s">
        <v>46</v>
      </c>
    </row>
    <row r="14952" spans="2:15" x14ac:dyDescent="0.3">
      <c r="B14952" s="1" t="s">
        <v>19</v>
      </c>
      <c r="C14952" s="1" t="str">
        <f>"3차"</f>
        <v>3차</v>
      </c>
      <c r="D14952" s="1" t="str">
        <f>"0128F79239"</f>
        <v>0128F79239</v>
      </c>
      <c r="E14952" s="1" t="s">
        <v>10</v>
      </c>
      <c r="F14952" s="1" t="str">
        <f>"10.107.2.134"</f>
        <v>10.107.2.134</v>
      </c>
      <c r="G14952" s="1" t="str">
        <f>"0128F792"</f>
        <v>0128F792</v>
      </c>
      <c r="H14952" s="1" t="str">
        <f>"대지간 64R7L8"</f>
        <v>대지간 64R7L8</v>
      </c>
      <c r="I14952" s="1" t="s">
        <v>8</v>
      </c>
      <c r="J14952" s="1" t="str">
        <f>"71/71"</f>
        <v>71/71</v>
      </c>
      <c r="K14952" s="1" t="str">
        <f t="shared" ref="K14952:K14957" si="757">"2026-07-29 13:18:02"</f>
        <v>2026-07-29 13:18:02</v>
      </c>
      <c r="L14952" s="1" t="str">
        <f>"2018-02-22 00:50:30"</f>
        <v>2018-02-22 00:50:30</v>
      </c>
      <c r="M14952" s="1" t="s">
        <v>45</v>
      </c>
      <c r="N14952" s="1" t="s">
        <v>38</v>
      </c>
      <c r="O14952" s="1" t="s">
        <v>46</v>
      </c>
    </row>
    <row r="14953" spans="2:15" x14ac:dyDescent="0.3">
      <c r="B14953" s="1" t="s">
        <v>19</v>
      </c>
      <c r="C14953" s="1" t="str">
        <f>"4차"</f>
        <v>4차</v>
      </c>
      <c r="D14953" s="1" t="str">
        <f>"0128F80639"</f>
        <v>0128F80639</v>
      </c>
      <c r="E14953" s="1" t="s">
        <v>10</v>
      </c>
      <c r="F14953" s="1" t="str">
        <f>"10.12.136.101"</f>
        <v>10.12.136.101</v>
      </c>
      <c r="G14953" s="1" t="str">
        <f>"0128F806"</f>
        <v>0128F806</v>
      </c>
      <c r="H14953" s="1" t="str">
        <f>"하월곡 34"</f>
        <v>하월곡 34</v>
      </c>
      <c r="I14953" s="1" t="s">
        <v>17</v>
      </c>
      <c r="J14953" s="1" t="str">
        <f>"35/35"</f>
        <v>35/35</v>
      </c>
      <c r="K14953" s="1" t="str">
        <f t="shared" si="757"/>
        <v>2026-07-29 13:18:02</v>
      </c>
      <c r="L14953" s="1" t="str">
        <f>"2018-05-28 12:14:16"</f>
        <v>2018-05-28 12:14:16</v>
      </c>
      <c r="M14953" s="1" t="s">
        <v>0</v>
      </c>
      <c r="N14953" s="1" t="s">
        <v>38</v>
      </c>
      <c r="O14953" s="1" t="s">
        <v>46</v>
      </c>
    </row>
    <row r="14954" spans="2:15" x14ac:dyDescent="0.3">
      <c r="B14954" s="1" t="s">
        <v>19</v>
      </c>
      <c r="C14954" s="1" t="str">
        <f>"4차"</f>
        <v>4차</v>
      </c>
      <c r="D14954" s="1" t="str">
        <f>"0128F83242"</f>
        <v>0128F83242</v>
      </c>
      <c r="E14954" s="1" t="s">
        <v>10</v>
      </c>
      <c r="F14954" s="1" t="str">
        <f>"10.107.123.181"</f>
        <v>10.107.123.181</v>
      </c>
      <c r="G14954" s="1" t="str">
        <f>"0128F832"</f>
        <v>0128F832</v>
      </c>
      <c r="H14954" s="1" t="str">
        <f>"대지간 64R7H1A3"</f>
        <v>대지간 64R7H1A3</v>
      </c>
      <c r="I14954" s="1" t="s">
        <v>8</v>
      </c>
      <c r="J14954" s="1" t="str">
        <f>"81/90"</f>
        <v>81/90</v>
      </c>
      <c r="K14954" s="1" t="str">
        <f t="shared" si="757"/>
        <v>2026-07-29 13:18:02</v>
      </c>
      <c r="L14954" s="1" t="str">
        <f>"2025-08-08 16:22:40"</f>
        <v>2025-08-08 16:22:40</v>
      </c>
      <c r="M14954" s="1" t="s">
        <v>45</v>
      </c>
      <c r="N14954" s="1" t="s">
        <v>38</v>
      </c>
      <c r="O14954" s="1" t="s">
        <v>46</v>
      </c>
    </row>
    <row r="14955" spans="2:15" x14ac:dyDescent="0.3">
      <c r="B14955" s="1" t="s">
        <v>19</v>
      </c>
      <c r="C14955" s="1" t="str">
        <f>"1차"</f>
        <v>1차</v>
      </c>
      <c r="D14955" s="1" t="str">
        <f>"0128F84200"</f>
        <v>0128F84200</v>
      </c>
      <c r="E14955" s="1" t="s">
        <v>10</v>
      </c>
      <c r="F14955" s="1" t="str">
        <f>"10.107.0.120"</f>
        <v>10.107.0.120</v>
      </c>
      <c r="G14955" s="1" t="str">
        <f>"0128F842"</f>
        <v>0128F842</v>
      </c>
      <c r="H14955" s="1" t="str">
        <f>"대지간 64R7H1"</f>
        <v>대지간 64R7H1</v>
      </c>
      <c r="I14955" s="1" t="s">
        <v>8</v>
      </c>
      <c r="J14955" s="1" t="str">
        <f>"50/50"</f>
        <v>50/50</v>
      </c>
      <c r="K14955" s="1" t="str">
        <f t="shared" si="757"/>
        <v>2026-07-29 13:18:02</v>
      </c>
      <c r="L14955" s="1" t="str">
        <f>"2014-10-07 00:13:55"</f>
        <v>2014-10-07 00:13:55</v>
      </c>
      <c r="M14955" s="1" t="s">
        <v>45</v>
      </c>
      <c r="N14955" s="1" t="s">
        <v>38</v>
      </c>
      <c r="O14955" s="1" t="s">
        <v>46</v>
      </c>
    </row>
    <row r="14956" spans="2:15" x14ac:dyDescent="0.3">
      <c r="B14956" s="1" t="s">
        <v>19</v>
      </c>
      <c r="C14956" s="1" t="str">
        <f>"3차"</f>
        <v>3차</v>
      </c>
      <c r="D14956" s="1" t="str">
        <f>"0128F85431"</f>
        <v>0128F85431</v>
      </c>
      <c r="E14956" s="1" t="s">
        <v>10</v>
      </c>
      <c r="F14956" s="1" t="str">
        <f>"10.107.2.130"</f>
        <v>10.107.2.130</v>
      </c>
      <c r="G14956" s="1" t="str">
        <f>"0128F854"</f>
        <v>0128F854</v>
      </c>
      <c r="H14956" s="1" t="str">
        <f>"대지간 64R7L2"</f>
        <v>대지간 64R7L2</v>
      </c>
      <c r="I14956" s="1" t="s">
        <v>8</v>
      </c>
      <c r="J14956" s="1" t="str">
        <f>"12/12"</f>
        <v>12/12</v>
      </c>
      <c r="K14956" s="1" t="str">
        <f t="shared" si="757"/>
        <v>2026-07-29 13:18:02</v>
      </c>
      <c r="L14956" s="1" t="str">
        <f>"2018-06-04 16:44:47"</f>
        <v>2018-06-04 16:44:47</v>
      </c>
      <c r="M14956" s="1" t="s">
        <v>45</v>
      </c>
      <c r="N14956" s="1" t="s">
        <v>38</v>
      </c>
      <c r="O14956" s="1" t="s">
        <v>46</v>
      </c>
    </row>
    <row r="14957" spans="2:15" x14ac:dyDescent="0.3">
      <c r="B14957" s="1" t="s">
        <v>19</v>
      </c>
      <c r="C14957" s="1" t="str">
        <f>"3차"</f>
        <v>3차</v>
      </c>
      <c r="D14957" s="1" t="str">
        <f>"0128F86130"</f>
        <v>0128F86130</v>
      </c>
      <c r="E14957" s="1" t="s">
        <v>10</v>
      </c>
      <c r="F14957" s="1" t="str">
        <f>"10.107.2.129"</f>
        <v>10.107.2.129</v>
      </c>
      <c r="G14957" s="1" t="str">
        <f>"0128F861"</f>
        <v>0128F861</v>
      </c>
      <c r="H14957" s="1" t="str">
        <f>"대지간 64R7L3"</f>
        <v>대지간 64R7L3</v>
      </c>
      <c r="I14957" s="1" t="s">
        <v>8</v>
      </c>
      <c r="J14957" s="1" t="str">
        <f>"112/120"</f>
        <v>112/120</v>
      </c>
      <c r="K14957" s="1" t="str">
        <f t="shared" si="757"/>
        <v>2026-07-29 13:18:02</v>
      </c>
      <c r="L14957" s="1" t="str">
        <f>"2018-06-04 16:38:32"</f>
        <v>2018-06-04 16:38:32</v>
      </c>
      <c r="M14957" s="1" t="s">
        <v>45</v>
      </c>
      <c r="N14957" s="1" t="s">
        <v>38</v>
      </c>
      <c r="O14957" s="1" t="s">
        <v>46</v>
      </c>
    </row>
    <row r="14958" spans="2:15" x14ac:dyDescent="0.3">
      <c r="B14958" s="1" t="s">
        <v>19</v>
      </c>
      <c r="C14958" s="1" t="str">
        <f>"3차"</f>
        <v>3차</v>
      </c>
      <c r="D14958" s="1" t="str">
        <f>"0128F87232"</f>
        <v>0128F87232</v>
      </c>
      <c r="E14958" s="1" t="s">
        <v>10</v>
      </c>
      <c r="F14958" s="1" t="str">
        <f>"10.14.5.121"</f>
        <v>10.14.5.121</v>
      </c>
      <c r="G14958" s="1" t="str">
        <f>"0128F872"</f>
        <v>0128F872</v>
      </c>
      <c r="H14958" s="1" t="str">
        <f>"대지간 64R7L4"</f>
        <v>대지간 64R7L4</v>
      </c>
      <c r="I14958" s="1" t="s">
        <v>8</v>
      </c>
      <c r="J14958" s="1" t="str">
        <f>"24/24"</f>
        <v>24/24</v>
      </c>
      <c r="K14958" s="1" t="str">
        <f>"2026-07-29 13:18:03"</f>
        <v>2026-07-29 13:18:03</v>
      </c>
      <c r="L14958" s="1" t="str">
        <f>"2018-06-04 16:45:39"</f>
        <v>2018-06-04 16:45:39</v>
      </c>
      <c r="M14958" s="1" t="s">
        <v>3</v>
      </c>
      <c r="N14958" s="1" t="s">
        <v>38</v>
      </c>
      <c r="O14958" s="1" t="s">
        <v>46</v>
      </c>
    </row>
    <row r="14959" spans="2:15" x14ac:dyDescent="0.3">
      <c r="B14959" s="1" t="s">
        <v>19</v>
      </c>
      <c r="C14959" s="1" t="str">
        <f>"4차"</f>
        <v>4차</v>
      </c>
      <c r="D14959" s="1" t="str">
        <f>"0128F91439"</f>
        <v>0128F91439</v>
      </c>
      <c r="E14959" s="1" t="s">
        <v>10</v>
      </c>
      <c r="F14959" s="1" t="str">
        <f>"10.12.136.95"</f>
        <v>10.12.136.95</v>
      </c>
      <c r="G14959" s="1" t="str">
        <f>"0128F914"</f>
        <v>0128F914</v>
      </c>
      <c r="H14959" s="1" t="str">
        <f>"하월곡 35"</f>
        <v>하월곡 35</v>
      </c>
      <c r="I14959" s="1" t="s">
        <v>17</v>
      </c>
      <c r="J14959" s="1" t="str">
        <f>"12/12"</f>
        <v>12/12</v>
      </c>
      <c r="K14959" s="1" t="str">
        <f>"2026-07-29 13:18:03"</f>
        <v>2026-07-29 13:18:03</v>
      </c>
      <c r="L14959" s="1" t="str">
        <f>"2018-05-28 11:53:42"</f>
        <v>2018-05-28 11:53:42</v>
      </c>
      <c r="M14959" s="1" t="s">
        <v>0</v>
      </c>
      <c r="N14959" s="1" t="s">
        <v>38</v>
      </c>
      <c r="O14959" s="1" t="s">
        <v>46</v>
      </c>
    </row>
    <row r="14960" spans="2:15" x14ac:dyDescent="0.3">
      <c r="B14960" s="1" t="s">
        <v>19</v>
      </c>
      <c r="C14960" s="1" t="str">
        <f>"3차"</f>
        <v>3차</v>
      </c>
      <c r="D14960" s="1" t="str">
        <f>"0128F92239"</f>
        <v>0128F92239</v>
      </c>
      <c r="E14960" s="1" t="s">
        <v>10</v>
      </c>
      <c r="F14960" s="1" t="str">
        <f>"10.107.2.141"</f>
        <v>10.107.2.141</v>
      </c>
      <c r="G14960" s="1" t="str">
        <f>"0128F922"</f>
        <v>0128F922</v>
      </c>
      <c r="H14960" s="1" t="str">
        <f>"대지간 64R2L1"</f>
        <v>대지간 64R2L1</v>
      </c>
      <c r="I14960" s="1" t="s">
        <v>8</v>
      </c>
      <c r="J14960" s="1" t="str">
        <f>"43/43"</f>
        <v>43/43</v>
      </c>
      <c r="K14960" s="1" t="str">
        <f>"2026-07-29 13:18:02"</f>
        <v>2026-07-29 13:18:02</v>
      </c>
      <c r="L14960" s="1" t="str">
        <f>"2018-06-22 11:06:27"</f>
        <v>2018-06-22 11:06:27</v>
      </c>
      <c r="M14960" s="1" t="s">
        <v>45</v>
      </c>
      <c r="N14960" s="1" t="s">
        <v>38</v>
      </c>
      <c r="O14960" s="1" t="s">
        <v>46</v>
      </c>
    </row>
    <row r="14961" spans="2:15" x14ac:dyDescent="0.3">
      <c r="B14961" s="1" t="s">
        <v>19</v>
      </c>
      <c r="C14961" s="1" t="str">
        <f>"3차"</f>
        <v>3차</v>
      </c>
      <c r="D14961" s="1" t="str">
        <f>"0128F93239"</f>
        <v>0128F93239</v>
      </c>
      <c r="E14961" s="1" t="s">
        <v>10</v>
      </c>
      <c r="F14961" s="1" t="str">
        <f>"10.107.2.128"</f>
        <v>10.107.2.128</v>
      </c>
      <c r="G14961" s="1" t="str">
        <f>"0128F932"</f>
        <v>0128F932</v>
      </c>
      <c r="H14961" s="1" t="str">
        <f>"대지간 64R4"</f>
        <v>대지간 64R4</v>
      </c>
      <c r="I14961" s="1" t="s">
        <v>8</v>
      </c>
      <c r="J14961" s="1" t="str">
        <f>"26/27"</f>
        <v>26/27</v>
      </c>
      <c r="K14961" s="1" t="str">
        <f>"2026-07-29 13:18:02"</f>
        <v>2026-07-29 13:18:02</v>
      </c>
      <c r="L14961" s="1" t="str">
        <f>"2018-02-21 17:54:36"</f>
        <v>2018-02-21 17:54:36</v>
      </c>
      <c r="M14961" s="1" t="s">
        <v>45</v>
      </c>
      <c r="N14961" s="1" t="s">
        <v>38</v>
      </c>
      <c r="O14961" s="1" t="s">
        <v>46</v>
      </c>
    </row>
    <row r="14962" spans="2:15" x14ac:dyDescent="0.3">
      <c r="B14962" s="1" t="s">
        <v>19</v>
      </c>
      <c r="C14962" s="1" t="str">
        <f>"3차"</f>
        <v>3차</v>
      </c>
      <c r="D14962" s="1" t="str">
        <f>"0128F93330"</f>
        <v>0128F93330</v>
      </c>
      <c r="E14962" s="1" t="s">
        <v>10</v>
      </c>
      <c r="F14962" s="1" t="str">
        <f>"10.107.2.127"</f>
        <v>10.107.2.127</v>
      </c>
      <c r="G14962" s="1" t="str">
        <f>"0128F933"</f>
        <v>0128F933</v>
      </c>
      <c r="H14962" s="1" t="str">
        <f>"대지간 64R3"</f>
        <v>대지간 64R3</v>
      </c>
      <c r="I14962" s="1" t="s">
        <v>8</v>
      </c>
      <c r="J14962" s="1" t="str">
        <f>"37/37"</f>
        <v>37/37</v>
      </c>
      <c r="K14962" s="1" t="str">
        <f>"2026-07-29 13:18:02"</f>
        <v>2026-07-29 13:18:02</v>
      </c>
      <c r="L14962" s="1" t="str">
        <f>"2018-06-21 14:45:45"</f>
        <v>2018-06-21 14:45:45</v>
      </c>
      <c r="M14962" s="1" t="s">
        <v>45</v>
      </c>
      <c r="N14962" s="1" t="s">
        <v>38</v>
      </c>
      <c r="O14962" s="1" t="s">
        <v>46</v>
      </c>
    </row>
    <row r="14963" spans="2:15" x14ac:dyDescent="0.3">
      <c r="B14963" s="1" t="s">
        <v>19</v>
      </c>
      <c r="C14963" s="1" t="str">
        <f>"1차"</f>
        <v>1차</v>
      </c>
      <c r="D14963" s="1" t="str">
        <f>"0128F94101"</f>
        <v>0128F94101</v>
      </c>
      <c r="E14963" s="1" t="s">
        <v>10</v>
      </c>
      <c r="F14963" s="1" t="str">
        <f>"10.12.130.226"</f>
        <v>10.12.130.226</v>
      </c>
      <c r="G14963" s="1" t="str">
        <f>"0128F941"</f>
        <v>0128F941</v>
      </c>
      <c r="H14963" s="1" t="str">
        <f>"대지간 64R5"</f>
        <v>대지간 64R5</v>
      </c>
      <c r="I14963" s="1" t="s">
        <v>8</v>
      </c>
      <c r="J14963" s="1" t="str">
        <f>"3/3"</f>
        <v>3/3</v>
      </c>
      <c r="K14963" s="1" t="str">
        <f>"2026-07-29 13:18:02"</f>
        <v>2026-07-29 13:18:02</v>
      </c>
      <c r="L14963" s="1" t="str">
        <f>"2014-11-13 17:44:23"</f>
        <v>2014-11-13 17:44:23</v>
      </c>
      <c r="M14963" s="1" t="s">
        <v>0</v>
      </c>
      <c r="N14963" s="1" t="s">
        <v>38</v>
      </c>
      <c r="O14963" s="1" t="s">
        <v>46</v>
      </c>
    </row>
    <row r="14964" spans="2:15" x14ac:dyDescent="0.3">
      <c r="B14964" s="1" t="s">
        <v>19</v>
      </c>
      <c r="C14964" s="1" t="str">
        <f>"4차"</f>
        <v>4차</v>
      </c>
      <c r="D14964" s="1" t="str">
        <f>"0128F95542"</f>
        <v>0128F95542</v>
      </c>
      <c r="E14964" s="1" t="s">
        <v>10</v>
      </c>
      <c r="F14964" s="1" t="str">
        <f>"10.12.128.169"</f>
        <v>10.12.128.169</v>
      </c>
      <c r="G14964" s="1" t="str">
        <f>"0128F955"</f>
        <v>0128F955</v>
      </c>
      <c r="H14964" s="1" t="str">
        <f>"대지간 64R7"</f>
        <v>대지간 64R7</v>
      </c>
      <c r="I14964" s="1" t="s">
        <v>8</v>
      </c>
      <c r="J14964" s="1" t="str">
        <f>"60/60"</f>
        <v>60/60</v>
      </c>
      <c r="K14964" s="1" t="str">
        <f>"2026-07-29 13:18:03"</f>
        <v>2026-07-29 13:18:03</v>
      </c>
      <c r="L14964" s="1" t="str">
        <f>"2025-03-21 17:34:43"</f>
        <v>2025-03-21 17:34:43</v>
      </c>
      <c r="M14964" s="1" t="s">
        <v>0</v>
      </c>
      <c r="N14964" s="1" t="s">
        <v>38</v>
      </c>
      <c r="O14964" s="1" t="s">
        <v>46</v>
      </c>
    </row>
    <row r="14965" spans="2:15" x14ac:dyDescent="0.3">
      <c r="B14965" s="1" t="s">
        <v>19</v>
      </c>
      <c r="C14965" s="1" t="str">
        <f>"1차"</f>
        <v>1차</v>
      </c>
      <c r="D14965" s="1" t="str">
        <f>"0128F96101"</f>
        <v>0128F96101</v>
      </c>
      <c r="E14965" s="1" t="s">
        <v>10</v>
      </c>
      <c r="F14965" s="1" t="str">
        <f>"10.107.137.88"</f>
        <v>10.107.137.88</v>
      </c>
      <c r="G14965" s="1" t="str">
        <f>"0128F961"</f>
        <v>0128F961</v>
      </c>
      <c r="H14965" s="1" t="str">
        <f>"대지간 64HR10L1"</f>
        <v>대지간 64HR10L1</v>
      </c>
      <c r="I14965" s="1" t="s">
        <v>8</v>
      </c>
      <c r="J14965" s="1" t="str">
        <f>"43/44"</f>
        <v>43/44</v>
      </c>
      <c r="K14965" s="1" t="str">
        <f>"2026-07-29 13:18:02"</f>
        <v>2026-07-29 13:18:02</v>
      </c>
      <c r="L14965" s="1" t="str">
        <f>"2014-10-24 00:14:22"</f>
        <v>2014-10-24 00:14:22</v>
      </c>
      <c r="M14965" s="1" t="s">
        <v>45</v>
      </c>
      <c r="N14965" s="1" t="s">
        <v>38</v>
      </c>
      <c r="O14965" s="1" t="s">
        <v>46</v>
      </c>
    </row>
    <row r="14966" spans="2:15" x14ac:dyDescent="0.3">
      <c r="B14966" s="1" t="s">
        <v>19</v>
      </c>
      <c r="C14966" s="1" t="str">
        <f>"5-2차"</f>
        <v>5-2차</v>
      </c>
      <c r="D14966" s="1" t="str">
        <f>"0128G0115M"</f>
        <v>0128G0115M</v>
      </c>
      <c r="E14966" s="1" t="s">
        <v>10</v>
      </c>
      <c r="F14966" s="1" t="str">
        <f>"fde1:103:4:6e7a:0:0:0:2"</f>
        <v>fde1:103:4:6e7a:0:0:0:2</v>
      </c>
      <c r="G14966" s="1" t="str">
        <f>"0128G011"</f>
        <v>0128G011</v>
      </c>
      <c r="H14966" s="1" t="str">
        <f>"삼원간 127"</f>
        <v>삼원간 127</v>
      </c>
      <c r="I14966" s="1" t="s">
        <v>15</v>
      </c>
      <c r="J14966" s="1" t="str">
        <f>"29/29"</f>
        <v>29/29</v>
      </c>
      <c r="K14966" s="1" t="str">
        <f>"2026-07-29 14:20:02"</f>
        <v>2026-07-29 14:20:02</v>
      </c>
      <c r="L14966" s="1" t="str">
        <f>"2023-11-15 10:51:41"</f>
        <v>2023-11-15 10:51:41</v>
      </c>
      <c r="M14966" s="1" t="s">
        <v>4</v>
      </c>
      <c r="N14966" s="1" t="s">
        <v>38</v>
      </c>
      <c r="O14966" s="1" t="s">
        <v>46</v>
      </c>
    </row>
    <row r="14967" spans="2:15" x14ac:dyDescent="0.3">
      <c r="B14967" s="1" t="s">
        <v>19</v>
      </c>
      <c r="C14967" s="1" t="str">
        <f t="shared" ref="C14967:C14972" si="758">"1차"</f>
        <v>1차</v>
      </c>
      <c r="D14967" s="1" t="str">
        <f>"0128G01500"</f>
        <v>0128G01500</v>
      </c>
      <c r="E14967" s="1" t="s">
        <v>10</v>
      </c>
      <c r="F14967" s="1" t="str">
        <f>"10.107.3.78"</f>
        <v>10.107.3.78</v>
      </c>
      <c r="G14967" s="1" t="str">
        <f>"0128G015"</f>
        <v>0128G015</v>
      </c>
      <c r="H14967" s="1" t="str">
        <f>"길삼간 22"</f>
        <v>길삼간 22</v>
      </c>
      <c r="I14967" s="1" t="s">
        <v>8</v>
      </c>
      <c r="J14967" s="1" t="str">
        <f>"7/7"</f>
        <v>7/7</v>
      </c>
      <c r="K14967" s="1" t="str">
        <f>"2026-07-29 13:18:02"</f>
        <v>2026-07-29 13:18:02</v>
      </c>
      <c r="L14967" s="1" t="str">
        <f>"2014-11-19 13:39:01"</f>
        <v>2014-11-19 13:39:01</v>
      </c>
      <c r="M14967" s="1" t="s">
        <v>45</v>
      </c>
      <c r="N14967" s="1" t="s">
        <v>38</v>
      </c>
      <c r="O14967" s="1" t="s">
        <v>46</v>
      </c>
    </row>
    <row r="14968" spans="2:15" x14ac:dyDescent="0.3">
      <c r="B14968" s="1" t="s">
        <v>19</v>
      </c>
      <c r="C14968" s="1" t="str">
        <f t="shared" si="758"/>
        <v>1차</v>
      </c>
      <c r="D14968" s="1" t="str">
        <f>"0128G04100"</f>
        <v>0128G04100</v>
      </c>
      <c r="E14968" s="1" t="s">
        <v>10</v>
      </c>
      <c r="F14968" s="1" t="str">
        <f>"10.107.3.81"</f>
        <v>10.107.3.81</v>
      </c>
      <c r="G14968" s="1" t="str">
        <f>"0128G041"</f>
        <v>0128G041</v>
      </c>
      <c r="H14968" s="1" t="str">
        <f>"길삼간 28R1R1"</f>
        <v>길삼간 28R1R1</v>
      </c>
      <c r="I14968" s="1" t="s">
        <v>8</v>
      </c>
      <c r="J14968" s="1" t="str">
        <f>"12/14"</f>
        <v>12/14</v>
      </c>
      <c r="K14968" s="1" t="str">
        <f>"2026-07-29 13:18:02"</f>
        <v>2026-07-29 13:18:02</v>
      </c>
      <c r="L14968" s="1" t="str">
        <f>"2014-11-19 13:41:26"</f>
        <v>2014-11-19 13:41:26</v>
      </c>
      <c r="M14968" s="1" t="s">
        <v>45</v>
      </c>
      <c r="N14968" s="1" t="s">
        <v>38</v>
      </c>
      <c r="O14968" s="1" t="s">
        <v>46</v>
      </c>
    </row>
    <row r="14969" spans="2:15" x14ac:dyDescent="0.3">
      <c r="B14969" s="1" t="s">
        <v>19</v>
      </c>
      <c r="C14969" s="1" t="str">
        <f t="shared" si="758"/>
        <v>1차</v>
      </c>
      <c r="D14969" s="1" t="str">
        <f>"0128G05100"</f>
        <v>0128G05100</v>
      </c>
      <c r="E14969" s="1" t="s">
        <v>10</v>
      </c>
      <c r="F14969" s="1" t="str">
        <f>"10.107.3.83"</f>
        <v>10.107.3.83</v>
      </c>
      <c r="G14969" s="1" t="str">
        <f>"0128G051"</f>
        <v>0128G051</v>
      </c>
      <c r="H14969" s="1" t="str">
        <f>"길삼간 28R1"</f>
        <v>길삼간 28R1</v>
      </c>
      <c r="I14969" s="1" t="s">
        <v>8</v>
      </c>
      <c r="J14969" s="1" t="str">
        <f>"4/4"</f>
        <v>4/4</v>
      </c>
      <c r="K14969" s="1" t="str">
        <f>"2026-07-29 13:18:02"</f>
        <v>2026-07-29 13:18:02</v>
      </c>
      <c r="L14969" s="1" t="str">
        <f>"2014-11-19 13:44:57"</f>
        <v>2014-11-19 13:44:57</v>
      </c>
      <c r="M14969" s="1" t="s">
        <v>45</v>
      </c>
      <c r="N14969" s="1" t="s">
        <v>38</v>
      </c>
      <c r="O14969" s="1" t="s">
        <v>46</v>
      </c>
    </row>
    <row r="14970" spans="2:15" x14ac:dyDescent="0.3">
      <c r="B14970" s="1" t="s">
        <v>19</v>
      </c>
      <c r="C14970" s="1" t="str">
        <f t="shared" si="758"/>
        <v>1차</v>
      </c>
      <c r="D14970" s="1" t="str">
        <f>"0128G07200"</f>
        <v>0128G07200</v>
      </c>
      <c r="E14970" s="1" t="s">
        <v>10</v>
      </c>
      <c r="F14970" s="1" t="str">
        <f>"10.107.5.2"</f>
        <v>10.107.5.2</v>
      </c>
      <c r="G14970" s="1" t="str">
        <f>"0128G072"</f>
        <v>0128G072</v>
      </c>
      <c r="H14970" s="1" t="str">
        <f>"길삼간 37R7"</f>
        <v>길삼간 37R7</v>
      </c>
      <c r="I14970" s="1" t="s">
        <v>8</v>
      </c>
      <c r="J14970" s="1" t="str">
        <f>"30/30"</f>
        <v>30/30</v>
      </c>
      <c r="K14970" s="1" t="str">
        <f>"2026-07-29 13:18:01"</f>
        <v>2026-07-29 13:18:01</v>
      </c>
      <c r="L14970" s="1" t="str">
        <f>"2014-11-19 14:44:16"</f>
        <v>2014-11-19 14:44:16</v>
      </c>
      <c r="M14970" s="1" t="s">
        <v>45</v>
      </c>
      <c r="N14970" s="1" t="s">
        <v>38</v>
      </c>
      <c r="O14970" s="1" t="s">
        <v>46</v>
      </c>
    </row>
    <row r="14971" spans="2:15" x14ac:dyDescent="0.3">
      <c r="B14971" s="1" t="s">
        <v>19</v>
      </c>
      <c r="C14971" s="1" t="str">
        <f t="shared" si="758"/>
        <v>1차</v>
      </c>
      <c r="D14971" s="1" t="str">
        <f>"0128G12101"</f>
        <v>0128G12101</v>
      </c>
      <c r="E14971" s="1" t="s">
        <v>10</v>
      </c>
      <c r="F14971" s="1" t="str">
        <f>"10.107.3.86"</f>
        <v>10.107.3.86</v>
      </c>
      <c r="G14971" s="1" t="str">
        <f>"0128G121"</f>
        <v>0128G121</v>
      </c>
      <c r="H14971" s="1" t="str">
        <f>"길삼간 12R8"</f>
        <v>길삼간 12R8</v>
      </c>
      <c r="I14971" s="1" t="s">
        <v>8</v>
      </c>
      <c r="J14971" s="1" t="str">
        <f>"28/36"</f>
        <v>28/36</v>
      </c>
      <c r="K14971" s="1" t="str">
        <f>"2026-07-29 13:18:02"</f>
        <v>2026-07-29 13:18:02</v>
      </c>
      <c r="L14971" s="1" t="str">
        <f>"2014-11-19 13:49:27"</f>
        <v>2014-11-19 13:49:27</v>
      </c>
      <c r="M14971" s="1" t="s">
        <v>45</v>
      </c>
      <c r="N14971" s="1" t="s">
        <v>38</v>
      </c>
      <c r="O14971" s="1" t="s">
        <v>46</v>
      </c>
    </row>
    <row r="14972" spans="2:15" x14ac:dyDescent="0.3">
      <c r="B14972" s="1" t="s">
        <v>19</v>
      </c>
      <c r="C14972" s="1" t="str">
        <f t="shared" si="758"/>
        <v>1차</v>
      </c>
      <c r="D14972" s="1" t="str">
        <f>"0128G13100"</f>
        <v>0128G13100</v>
      </c>
      <c r="E14972" s="1" t="s">
        <v>10</v>
      </c>
      <c r="F14972" s="1" t="str">
        <f>"10.107.3.85"</f>
        <v>10.107.3.85</v>
      </c>
      <c r="G14972" s="1" t="str">
        <f>"0128G131"</f>
        <v>0128G131</v>
      </c>
      <c r="H14972" s="1" t="str">
        <f>"길삼간 12R9"</f>
        <v>길삼간 12R9</v>
      </c>
      <c r="I14972" s="1" t="s">
        <v>8</v>
      </c>
      <c r="J14972" s="1" t="str">
        <f>"37/41"</f>
        <v>37/41</v>
      </c>
      <c r="K14972" s="1" t="str">
        <f>"2026-07-29 13:18:02"</f>
        <v>2026-07-29 13:18:02</v>
      </c>
      <c r="L14972" s="1" t="str">
        <f>"2014-11-19 13:46:14"</f>
        <v>2014-11-19 13:46:14</v>
      </c>
      <c r="M14972" s="1" t="s">
        <v>45</v>
      </c>
      <c r="N14972" s="1" t="s">
        <v>38</v>
      </c>
      <c r="O14972" s="1" t="s">
        <v>46</v>
      </c>
    </row>
    <row r="14973" spans="2:15" x14ac:dyDescent="0.3">
      <c r="B14973" s="1" t="s">
        <v>19</v>
      </c>
      <c r="C14973" s="1" t="str">
        <f>"4차"</f>
        <v>4차</v>
      </c>
      <c r="D14973" s="1" t="str">
        <f>"0128G71139"</f>
        <v>0128G71139</v>
      </c>
      <c r="E14973" s="1" t="s">
        <v>10</v>
      </c>
      <c r="F14973" s="1" t="str">
        <f>"10.12.136.80"</f>
        <v>10.12.136.80</v>
      </c>
      <c r="G14973" s="1" t="str">
        <f>"0128G711"</f>
        <v>0128G711</v>
      </c>
      <c r="H14973" s="1" t="str">
        <f>"미아 8"</f>
        <v>미아 8</v>
      </c>
      <c r="I14973" s="1" t="s">
        <v>17</v>
      </c>
      <c r="J14973" s="1" t="str">
        <f>"1/1"</f>
        <v>1/1</v>
      </c>
      <c r="K14973" s="1" t="str">
        <f>"2026-07-29 13:18:01"</f>
        <v>2026-07-29 13:18:01</v>
      </c>
      <c r="L14973" s="1" t="str">
        <f>"2018-05-29 11:36:43"</f>
        <v>2018-05-29 11:36:43</v>
      </c>
      <c r="M14973" s="1" t="s">
        <v>0</v>
      </c>
      <c r="N14973" s="1" t="s">
        <v>38</v>
      </c>
      <c r="O14973" s="1" t="s">
        <v>46</v>
      </c>
    </row>
    <row r="14974" spans="2:15" x14ac:dyDescent="0.3">
      <c r="B14974" s="1" t="s">
        <v>19</v>
      </c>
      <c r="C14974" s="1" t="str">
        <f>"4차"</f>
        <v>4차</v>
      </c>
      <c r="D14974" s="1" t="str">
        <f>"0128G82139"</f>
        <v>0128G82139</v>
      </c>
      <c r="E14974" s="1" t="s">
        <v>10</v>
      </c>
      <c r="F14974" s="1" t="str">
        <f>"10.12.136.105"</f>
        <v>10.12.136.105</v>
      </c>
      <c r="G14974" s="1" t="str">
        <f>"0128G821"</f>
        <v>0128G821</v>
      </c>
      <c r="H14974" s="1" t="str">
        <f>"미아 7"</f>
        <v>미아 7</v>
      </c>
      <c r="I14974" s="1" t="s">
        <v>17</v>
      </c>
      <c r="J14974" s="1" t="str">
        <f>"9/12"</f>
        <v>9/12</v>
      </c>
      <c r="K14974" s="1" t="str">
        <f>"2026-07-29 13:18:02"</f>
        <v>2026-07-29 13:18:02</v>
      </c>
      <c r="L14974" s="1" t="str">
        <f>"2018-05-29 11:27:41"</f>
        <v>2018-05-29 11:27:41</v>
      </c>
      <c r="M14974" s="1" t="s">
        <v>0</v>
      </c>
      <c r="N14974" s="1" t="s">
        <v>38</v>
      </c>
      <c r="O14974" s="1" t="s">
        <v>46</v>
      </c>
    </row>
    <row r="14975" spans="2:15" x14ac:dyDescent="0.3">
      <c r="B14975" s="1" t="s">
        <v>19</v>
      </c>
      <c r="C14975" s="1" t="str">
        <f>"4차"</f>
        <v>4차</v>
      </c>
      <c r="D14975" s="1" t="str">
        <f>"0128G92939"</f>
        <v>0128G92939</v>
      </c>
      <c r="E14975" s="1" t="s">
        <v>10</v>
      </c>
      <c r="F14975" s="1" t="str">
        <f>"10.12.137.63"</f>
        <v>10.12.137.63</v>
      </c>
      <c r="G14975" s="1" t="str">
        <f>"0128G929"</f>
        <v>0128G929</v>
      </c>
      <c r="H14975" s="1" t="str">
        <f>"미아 32"</f>
        <v>미아 32</v>
      </c>
      <c r="I14975" s="1" t="s">
        <v>17</v>
      </c>
      <c r="J14975" s="1" t="str">
        <f>"1/1"</f>
        <v>1/1</v>
      </c>
      <c r="K14975" s="1" t="str">
        <f>"2026-07-29 13:18:02"</f>
        <v>2026-07-29 13:18:02</v>
      </c>
      <c r="L14975" s="1" t="str">
        <f>"2018-05-29 13:05:11"</f>
        <v>2018-05-29 13:05:11</v>
      </c>
      <c r="M14975" s="1" t="s">
        <v>0</v>
      </c>
      <c r="N14975" s="1" t="s">
        <v>38</v>
      </c>
      <c r="O14975" s="1" t="s">
        <v>46</v>
      </c>
    </row>
    <row r="14976" spans="2:15" x14ac:dyDescent="0.3">
      <c r="B14976" s="1" t="s">
        <v>19</v>
      </c>
      <c r="C14976" s="1" t="str">
        <f>"4차"</f>
        <v>4차</v>
      </c>
      <c r="D14976" s="1" t="str">
        <f>"0128G96241"</f>
        <v>0128G96241</v>
      </c>
      <c r="E14976" s="1" t="s">
        <v>10</v>
      </c>
      <c r="F14976" s="1" t="str">
        <f>"10.12.130.138"</f>
        <v>10.12.130.138</v>
      </c>
      <c r="G14976" s="1" t="str">
        <f>"0128G962"</f>
        <v>0128G962</v>
      </c>
      <c r="H14976" s="1" t="str">
        <f>"길삼간 44R16"</f>
        <v>길삼간 44R16</v>
      </c>
      <c r="I14976" s="1" t="s">
        <v>17</v>
      </c>
      <c r="J14976" s="1" t="str">
        <f>"16/16"</f>
        <v>16/16</v>
      </c>
      <c r="K14976" s="1" t="str">
        <f>"2026-07-29 13:18:03"</f>
        <v>2026-07-29 13:18:03</v>
      </c>
      <c r="L14976" s="1" t="str">
        <f>"2021-06-14 13:42:55"</f>
        <v>2021-06-14 13:42:55</v>
      </c>
      <c r="M14976" s="1" t="s">
        <v>0</v>
      </c>
      <c r="N14976" s="1" t="s">
        <v>38</v>
      </c>
      <c r="O14976" s="1" t="s">
        <v>46</v>
      </c>
    </row>
    <row r="14977" spans="2:15" x14ac:dyDescent="0.3">
      <c r="B14977" s="1" t="s">
        <v>19</v>
      </c>
      <c r="C14977" s="1" t="str">
        <f>"4차"</f>
        <v>4차</v>
      </c>
      <c r="D14977" s="1" t="str">
        <f>"0128H09244"</f>
        <v>0128H09244</v>
      </c>
      <c r="E14977" s="1" t="s">
        <v>10</v>
      </c>
      <c r="F14977" s="1" t="str">
        <f>"10.107.3.94"</f>
        <v>10.107.3.94</v>
      </c>
      <c r="G14977" s="1" t="str">
        <f>"0128H092"</f>
        <v>0128H092</v>
      </c>
      <c r="H14977" s="1" t="str">
        <f>"미아SW 3R3"</f>
        <v>미아SW 3R3</v>
      </c>
      <c r="I14977" s="1" t="s">
        <v>8</v>
      </c>
      <c r="J14977" s="1" t="str">
        <f>"51/52"</f>
        <v>51/52</v>
      </c>
      <c r="K14977" s="1" t="str">
        <f>"2026-07-29 13:18:01"</f>
        <v>2026-07-29 13:18:01</v>
      </c>
      <c r="L14977" s="1" t="str">
        <f>"2023-07-06 16:59:51"</f>
        <v>2023-07-06 16:59:51</v>
      </c>
      <c r="M14977" s="1" t="s">
        <v>45</v>
      </c>
      <c r="N14977" s="1" t="s">
        <v>38</v>
      </c>
      <c r="O14977" s="1" t="s">
        <v>46</v>
      </c>
    </row>
    <row r="14978" spans="2:15" x14ac:dyDescent="0.3">
      <c r="B14978" s="1" t="s">
        <v>19</v>
      </c>
      <c r="C14978" s="1" t="str">
        <f>"5-2차"</f>
        <v>5-2차</v>
      </c>
      <c r="D14978" s="1" t="str">
        <f>"0128H1015M"</f>
        <v>0128H1015M</v>
      </c>
      <c r="E14978" s="1" t="s">
        <v>14</v>
      </c>
      <c r="F14978" s="1" t="str">
        <f>"fde1:103:4:6e7b:0:0:0:2"</f>
        <v>fde1:103:4:6e7b:0:0:0:2</v>
      </c>
      <c r="G14978" s="1" t="str">
        <f>"0128H101"</f>
        <v>0128H101</v>
      </c>
      <c r="H14978" s="1" t="str">
        <f>"성가지 8R4"</f>
        <v>성가지 8R4</v>
      </c>
      <c r="I14978" s="1" t="s">
        <v>15</v>
      </c>
      <c r="J14978" s="1" t="str">
        <f>"0/0"</f>
        <v>0/0</v>
      </c>
      <c r="K14978" s="1" t="str">
        <f>"2026-07-29 14:20:21"</f>
        <v>2026-07-29 14:20:21</v>
      </c>
      <c r="L14978" s="1" t="str">
        <f>"2023-11-15 08:47:26"</f>
        <v>2023-11-15 08:47:26</v>
      </c>
      <c r="M14978" s="1" t="s">
        <v>4</v>
      </c>
      <c r="N14978" s="1" t="s">
        <v>38</v>
      </c>
      <c r="O14978" s="1" t="s">
        <v>797</v>
      </c>
    </row>
    <row r="14979" spans="2:15" x14ac:dyDescent="0.3">
      <c r="B14979" s="1" t="s">
        <v>19</v>
      </c>
      <c r="C14979" s="1" t="str">
        <f t="shared" ref="C14979:C14984" si="759">"4차"</f>
        <v>4차</v>
      </c>
      <c r="D14979" s="1" t="str">
        <f>"0128H11444"</f>
        <v>0128H11444</v>
      </c>
      <c r="E14979" s="1" t="s">
        <v>10</v>
      </c>
      <c r="F14979" s="1" t="str">
        <f>"10.107.119.194"</f>
        <v>10.107.119.194</v>
      </c>
      <c r="G14979" s="1" t="str">
        <f>"0128H114"</f>
        <v>0128H114</v>
      </c>
      <c r="H14979" s="1" t="str">
        <f>"성가지 8R1R5L3"</f>
        <v>성가지 8R1R5L3</v>
      </c>
      <c r="I14979" s="1" t="s">
        <v>8</v>
      </c>
      <c r="J14979" s="1" t="str">
        <f>"9/9"</f>
        <v>9/9</v>
      </c>
      <c r="K14979" s="1" t="str">
        <f>"2026-07-29 13:18:02"</f>
        <v>2026-07-29 13:18:02</v>
      </c>
      <c r="L14979" s="1" t="str">
        <f>"2019-12-13 09:16:04"</f>
        <v>2019-12-13 09:16:04</v>
      </c>
      <c r="M14979" s="1" t="s">
        <v>45</v>
      </c>
      <c r="N14979" s="1" t="s">
        <v>38</v>
      </c>
      <c r="O14979" s="1" t="s">
        <v>46</v>
      </c>
    </row>
    <row r="14980" spans="2:15" x14ac:dyDescent="0.3">
      <c r="B14980" s="1" t="s">
        <v>19</v>
      </c>
      <c r="C14980" s="1" t="str">
        <f t="shared" si="759"/>
        <v>4차</v>
      </c>
      <c r="D14980" s="1" t="str">
        <f>"0128H17239"</f>
        <v>0128H17239</v>
      </c>
      <c r="E14980" s="1" t="s">
        <v>10</v>
      </c>
      <c r="F14980" s="1" t="str">
        <f>"10.12.137.65"</f>
        <v>10.12.137.65</v>
      </c>
      <c r="G14980" s="1" t="str">
        <f>"0128H172"</f>
        <v>0128H172</v>
      </c>
      <c r="H14980" s="1" t="str">
        <f>"미아 3"</f>
        <v>미아 3</v>
      </c>
      <c r="I14980" s="1" t="s">
        <v>17</v>
      </c>
      <c r="J14980" s="1" t="str">
        <f>"2/2"</f>
        <v>2/2</v>
      </c>
      <c r="K14980" s="1" t="str">
        <f>"2026-07-29 13:18:02"</f>
        <v>2026-07-29 13:18:02</v>
      </c>
      <c r="L14980" s="1" t="str">
        <f>"2018-05-25 15:24:16"</f>
        <v>2018-05-25 15:24:16</v>
      </c>
      <c r="M14980" s="1" t="s">
        <v>0</v>
      </c>
      <c r="N14980" s="1" t="s">
        <v>38</v>
      </c>
      <c r="O14980" s="1" t="s">
        <v>46</v>
      </c>
    </row>
    <row r="14981" spans="2:15" x14ac:dyDescent="0.3">
      <c r="B14981" s="1" t="s">
        <v>19</v>
      </c>
      <c r="C14981" s="1" t="str">
        <f t="shared" si="759"/>
        <v>4차</v>
      </c>
      <c r="D14981" s="1" t="str">
        <f>"0128H35144"</f>
        <v>0128H35144</v>
      </c>
      <c r="E14981" s="1" t="s">
        <v>10</v>
      </c>
      <c r="F14981" s="1" t="str">
        <f>"10.107.123.130"</f>
        <v>10.107.123.130</v>
      </c>
      <c r="G14981" s="1" t="str">
        <f>"0128H351"</f>
        <v>0128H351</v>
      </c>
      <c r="H14981" s="1" t="str">
        <f>"성가지 1L2"</f>
        <v>성가지 1L2</v>
      </c>
      <c r="I14981" s="1" t="s">
        <v>8</v>
      </c>
      <c r="J14981" s="1" t="str">
        <f>"18/18"</f>
        <v>18/18</v>
      </c>
      <c r="K14981" s="1" t="str">
        <f>"2026-07-29 13:18:02"</f>
        <v>2026-07-29 13:18:02</v>
      </c>
      <c r="L14981" s="1" t="str">
        <f>"2019-10-31 09:01:26"</f>
        <v>2019-10-31 09:01:26</v>
      </c>
      <c r="M14981" s="1" t="s">
        <v>45</v>
      </c>
      <c r="N14981" s="1" t="s">
        <v>38</v>
      </c>
      <c r="O14981" s="1" t="s">
        <v>46</v>
      </c>
    </row>
    <row r="14982" spans="2:15" x14ac:dyDescent="0.3">
      <c r="B14982" s="1" t="s">
        <v>19</v>
      </c>
      <c r="C14982" s="1" t="str">
        <f t="shared" si="759"/>
        <v>4차</v>
      </c>
      <c r="D14982" s="1" t="str">
        <f>"0128H36439"</f>
        <v>0128H36439</v>
      </c>
      <c r="E14982" s="1" t="s">
        <v>10</v>
      </c>
      <c r="F14982" s="1" t="str">
        <f>"10.12.136.86"</f>
        <v>10.12.136.86</v>
      </c>
      <c r="G14982" s="1" t="str">
        <f>"0128H364"</f>
        <v>0128H364</v>
      </c>
      <c r="H14982" s="1" t="str">
        <f>"하월곡 2"</f>
        <v>하월곡 2</v>
      </c>
      <c r="I14982" s="1" t="s">
        <v>17</v>
      </c>
      <c r="J14982" s="1" t="str">
        <f>"10/10"</f>
        <v>10/10</v>
      </c>
      <c r="K14982" s="1" t="str">
        <f>"2026-07-29 13:18:01"</f>
        <v>2026-07-29 13:18:01</v>
      </c>
      <c r="L14982" s="1" t="str">
        <f>"2018-05-29 11:49:56"</f>
        <v>2018-05-29 11:49:56</v>
      </c>
      <c r="M14982" s="1" t="s">
        <v>0</v>
      </c>
      <c r="N14982" s="1" t="s">
        <v>38</v>
      </c>
      <c r="O14982" s="1" t="s">
        <v>46</v>
      </c>
    </row>
    <row r="14983" spans="2:15" x14ac:dyDescent="0.3">
      <c r="B14983" s="1" t="s">
        <v>19</v>
      </c>
      <c r="C14983" s="1" t="str">
        <f t="shared" si="759"/>
        <v>4차</v>
      </c>
      <c r="D14983" s="1" t="str">
        <f>"0128H50144"</f>
        <v>0128H50144</v>
      </c>
      <c r="E14983" s="1" t="s">
        <v>10</v>
      </c>
      <c r="F14983" s="1" t="str">
        <f>"10.107.119.195"</f>
        <v>10.107.119.195</v>
      </c>
      <c r="G14983" s="1" t="str">
        <f>"0128H501"</f>
        <v>0128H501</v>
      </c>
      <c r="H14983" s="1" t="str">
        <f>"성가지 12L13R1"</f>
        <v>성가지 12L13R1</v>
      </c>
      <c r="I14983" s="1" t="s">
        <v>8</v>
      </c>
      <c r="J14983" s="1" t="str">
        <f>"49/49"</f>
        <v>49/49</v>
      </c>
      <c r="K14983" s="1" t="str">
        <f>"2026-07-29 13:18:02"</f>
        <v>2026-07-29 13:18:02</v>
      </c>
      <c r="L14983" s="1" t="str">
        <f>"2019-10-31 09:03:05"</f>
        <v>2019-10-31 09:03:05</v>
      </c>
      <c r="M14983" s="1" t="s">
        <v>45</v>
      </c>
      <c r="N14983" s="1" t="s">
        <v>38</v>
      </c>
      <c r="O14983" s="1" t="s">
        <v>46</v>
      </c>
    </row>
    <row r="14984" spans="2:15" x14ac:dyDescent="0.3">
      <c r="B14984" s="1" t="s">
        <v>19</v>
      </c>
      <c r="C14984" s="1" t="str">
        <f t="shared" si="759"/>
        <v>4차</v>
      </c>
      <c r="D14984" s="1" t="str">
        <f>"0128H50344"</f>
        <v>0128H50344</v>
      </c>
      <c r="E14984" s="1" t="s">
        <v>10</v>
      </c>
      <c r="F14984" s="1" t="str">
        <f>"10.107.119.241"</f>
        <v>10.107.119.241</v>
      </c>
      <c r="G14984" s="1" t="str">
        <f>"0128H503"</f>
        <v>0128H503</v>
      </c>
      <c r="H14984" s="1" t="str">
        <f>"성가지 12L12"</f>
        <v>성가지 12L12</v>
      </c>
      <c r="I14984" s="1" t="s">
        <v>8</v>
      </c>
      <c r="J14984" s="1" t="str">
        <f>"42/42"</f>
        <v>42/42</v>
      </c>
      <c r="K14984" s="1" t="str">
        <f>"2026-07-29 13:18:01"</f>
        <v>2026-07-29 13:18:01</v>
      </c>
      <c r="L14984" s="1" t="str">
        <f>"2019-10-31 08:50:11"</f>
        <v>2019-10-31 08:50:11</v>
      </c>
      <c r="M14984" s="1" t="s">
        <v>45</v>
      </c>
      <c r="N14984" s="1" t="s">
        <v>38</v>
      </c>
      <c r="O14984" s="1" t="s">
        <v>46</v>
      </c>
    </row>
    <row r="14985" spans="2:15" x14ac:dyDescent="0.3">
      <c r="B14985" s="1" t="s">
        <v>19</v>
      </c>
      <c r="C14985" s="1" t="str">
        <f>"1차"</f>
        <v>1차</v>
      </c>
      <c r="D14985" s="1" t="str">
        <f>"0128H56200"</f>
        <v>0128H56200</v>
      </c>
      <c r="E14985" s="1" t="s">
        <v>10</v>
      </c>
      <c r="F14985" s="1" t="str">
        <f>"10.107.123.143"</f>
        <v>10.107.123.143</v>
      </c>
      <c r="G14985" s="1" t="str">
        <f>"0128H562"</f>
        <v>0128H562</v>
      </c>
      <c r="H14985" s="1" t="str">
        <f>"성가지 1L5"</f>
        <v>성가지 1L5</v>
      </c>
      <c r="I14985" s="1" t="s">
        <v>8</v>
      </c>
      <c r="J14985" s="1" t="str">
        <f>"30/30"</f>
        <v>30/30</v>
      </c>
      <c r="K14985" s="1" t="str">
        <f>"2026-07-29 13:18:01"</f>
        <v>2026-07-29 13:18:01</v>
      </c>
      <c r="L14985" s="1" t="str">
        <f>"2014-11-19 13:52:55"</f>
        <v>2014-11-19 13:52:55</v>
      </c>
      <c r="M14985" s="1" t="s">
        <v>45</v>
      </c>
      <c r="N14985" s="1" t="s">
        <v>38</v>
      </c>
      <c r="O14985" s="1" t="s">
        <v>46</v>
      </c>
    </row>
    <row r="14986" spans="2:15" x14ac:dyDescent="0.3">
      <c r="B14986" s="1" t="s">
        <v>19</v>
      </c>
      <c r="C14986" s="1" t="str">
        <f>"4차"</f>
        <v>4차</v>
      </c>
      <c r="D14986" s="1" t="str">
        <f>"0128H56344"</f>
        <v>0128H56344</v>
      </c>
      <c r="E14986" s="1" t="s">
        <v>10</v>
      </c>
      <c r="F14986" s="1" t="str">
        <f>"10.107.123.131"</f>
        <v>10.107.123.131</v>
      </c>
      <c r="G14986" s="1" t="str">
        <f>"0128H563"</f>
        <v>0128H563</v>
      </c>
      <c r="H14986" s="1" t="str">
        <f>"성가지 1L4"</f>
        <v>성가지 1L4</v>
      </c>
      <c r="I14986" s="1" t="s">
        <v>8</v>
      </c>
      <c r="J14986" s="1" t="str">
        <f>"43/43"</f>
        <v>43/43</v>
      </c>
      <c r="K14986" s="1" t="str">
        <f>"2026-07-29 13:18:01"</f>
        <v>2026-07-29 13:18:01</v>
      </c>
      <c r="L14986" s="1" t="str">
        <f>"2019-10-31 09:16:28"</f>
        <v>2019-10-31 09:16:28</v>
      </c>
      <c r="M14986" s="1" t="s">
        <v>45</v>
      </c>
      <c r="N14986" s="1" t="s">
        <v>38</v>
      </c>
      <c r="O14986" s="1" t="s">
        <v>46</v>
      </c>
    </row>
    <row r="14987" spans="2:15" x14ac:dyDescent="0.3">
      <c r="B14987" s="1" t="s">
        <v>19</v>
      </c>
      <c r="C14987" s="1" t="str">
        <f>"1차"</f>
        <v>1차</v>
      </c>
      <c r="D14987" s="1" t="str">
        <f>"0128H60101"</f>
        <v>0128H60101</v>
      </c>
      <c r="E14987" s="1" t="s">
        <v>10</v>
      </c>
      <c r="F14987" s="1" t="str">
        <f>"10.107.119.243"</f>
        <v>10.107.119.243</v>
      </c>
      <c r="G14987" s="1" t="str">
        <f>"0128H601"</f>
        <v>0128H601</v>
      </c>
      <c r="H14987" s="1" t="str">
        <f>"성가지 12L11"</f>
        <v>성가지 12L11</v>
      </c>
      <c r="I14987" s="1" t="s">
        <v>8</v>
      </c>
      <c r="J14987" s="1" t="str">
        <f>"49/49"</f>
        <v>49/49</v>
      </c>
      <c r="K14987" s="1" t="str">
        <f>"2026-07-29 13:18:02"</f>
        <v>2026-07-29 13:18:02</v>
      </c>
      <c r="L14987" s="1" t="str">
        <f>"2014-11-19 13:53:30"</f>
        <v>2014-11-19 13:53:30</v>
      </c>
      <c r="M14987" s="1" t="s">
        <v>45</v>
      </c>
      <c r="N14987" s="1" t="s">
        <v>38</v>
      </c>
      <c r="O14987" s="1" t="s">
        <v>46</v>
      </c>
    </row>
    <row r="14988" spans="2:15" x14ac:dyDescent="0.3">
      <c r="B14988" s="1" t="s">
        <v>19</v>
      </c>
      <c r="C14988" s="1" t="str">
        <f>"1차"</f>
        <v>1차</v>
      </c>
      <c r="D14988" s="1" t="str">
        <f>"0128H64101"</f>
        <v>0128H64101</v>
      </c>
      <c r="E14988" s="1" t="s">
        <v>10</v>
      </c>
      <c r="F14988" s="1" t="str">
        <f>"10.107.123.136"</f>
        <v>10.107.123.136</v>
      </c>
      <c r="G14988" s="1" t="str">
        <f>"0128H641"</f>
        <v>0128H641</v>
      </c>
      <c r="H14988" s="1" t="str">
        <f>"성가지 50L7L4"</f>
        <v>성가지 50L7L4</v>
      </c>
      <c r="I14988" s="1" t="s">
        <v>8</v>
      </c>
      <c r="J14988" s="1" t="str">
        <f>"19/20"</f>
        <v>19/20</v>
      </c>
      <c r="K14988" s="1" t="str">
        <f>"2026-07-29 13:18:01"</f>
        <v>2026-07-29 13:18:01</v>
      </c>
      <c r="L14988" s="1" t="str">
        <f>"2014-11-27 14:02:32"</f>
        <v>2014-11-27 14:02:32</v>
      </c>
      <c r="M14988" s="1" t="s">
        <v>45</v>
      </c>
      <c r="N14988" s="1" t="s">
        <v>38</v>
      </c>
      <c r="O14988" s="1" t="s">
        <v>46</v>
      </c>
    </row>
    <row r="14989" spans="2:15" x14ac:dyDescent="0.3">
      <c r="B14989" s="1" t="s">
        <v>19</v>
      </c>
      <c r="C14989" s="1" t="str">
        <f>"1차"</f>
        <v>1차</v>
      </c>
      <c r="D14989" s="1" t="str">
        <f>"0128H66200"</f>
        <v>0128H66200</v>
      </c>
      <c r="E14989" s="1" t="s">
        <v>10</v>
      </c>
      <c r="F14989" s="1" t="str">
        <f>"10.107.123.137"</f>
        <v>10.107.123.137</v>
      </c>
      <c r="G14989" s="1" t="str">
        <f>"0128H662"</f>
        <v>0128H662</v>
      </c>
      <c r="H14989" s="1" t="str">
        <f>"성가지 50L12"</f>
        <v>성가지 50L12</v>
      </c>
      <c r="I14989" s="1" t="s">
        <v>8</v>
      </c>
      <c r="J14989" s="1" t="str">
        <f>"27/27"</f>
        <v>27/27</v>
      </c>
      <c r="K14989" s="1" t="str">
        <f>"2026-07-29 13:18:01"</f>
        <v>2026-07-29 13:18:01</v>
      </c>
      <c r="L14989" s="1" t="str">
        <f>"2014-11-18 14:43:01"</f>
        <v>2014-11-18 14:43:01</v>
      </c>
      <c r="M14989" s="1" t="s">
        <v>45</v>
      </c>
      <c r="N14989" s="1" t="s">
        <v>38</v>
      </c>
      <c r="O14989" s="1" t="s">
        <v>46</v>
      </c>
    </row>
    <row r="14990" spans="2:15" x14ac:dyDescent="0.3">
      <c r="B14990" s="1" t="s">
        <v>19</v>
      </c>
      <c r="C14990" s="1" t="str">
        <f>"1차"</f>
        <v>1차</v>
      </c>
      <c r="D14990" s="1" t="str">
        <f>"0128H67301"</f>
        <v>0128H67301</v>
      </c>
      <c r="E14990" s="1" t="s">
        <v>10</v>
      </c>
      <c r="F14990" s="1" t="str">
        <f>"10.107.123.138"</f>
        <v>10.107.123.138</v>
      </c>
      <c r="G14990" s="1" t="str">
        <f>"0128H673"</f>
        <v>0128H673</v>
      </c>
      <c r="H14990" s="1" t="str">
        <f>"성가지 50L14"</f>
        <v>성가지 50L14</v>
      </c>
      <c r="I14990" s="1" t="s">
        <v>8</v>
      </c>
      <c r="J14990" s="1" t="str">
        <f>"25/27"</f>
        <v>25/27</v>
      </c>
      <c r="K14990" s="1" t="str">
        <f>"2026-07-29 13:18:02"</f>
        <v>2026-07-29 13:18:02</v>
      </c>
      <c r="L14990" s="1" t="str">
        <f>"2014-11-18 14:45:16"</f>
        <v>2014-11-18 14:45:16</v>
      </c>
      <c r="M14990" s="1" t="s">
        <v>45</v>
      </c>
      <c r="N14990" s="1" t="s">
        <v>38</v>
      </c>
      <c r="O14990" s="1" t="s">
        <v>46</v>
      </c>
    </row>
    <row r="14991" spans="2:15" x14ac:dyDescent="0.3">
      <c r="B14991" s="1" t="s">
        <v>19</v>
      </c>
      <c r="C14991" s="1" t="str">
        <f>"6차"</f>
        <v>6차</v>
      </c>
      <c r="D14991" s="1" t="str">
        <f>"0128H7016S"</f>
        <v>0128H7016S</v>
      </c>
      <c r="E14991" s="1" t="s">
        <v>10</v>
      </c>
      <c r="F14991" s="1" t="str">
        <f>"fde1:103:4:9421:0:0:0:2"</f>
        <v>fde1:103:4:9421:0:0:0:2</v>
      </c>
      <c r="G14991" s="1" t="str">
        <f>"0128H701"</f>
        <v>0128H701</v>
      </c>
      <c r="H14991" s="1" t="str">
        <f>"성가지 12L9"</f>
        <v>성가지 12L9</v>
      </c>
      <c r="I14991" s="1" t="s">
        <v>15</v>
      </c>
      <c r="J14991" s="1" t="str">
        <f>"28/28"</f>
        <v>28/28</v>
      </c>
      <c r="K14991" s="1" t="str">
        <f>"2026-07-29 14:20:01"</f>
        <v>2026-07-29 14:20:01</v>
      </c>
      <c r="L14991" s="1" t="str">
        <f>"2025-02-05 16:37:34"</f>
        <v>2025-02-05 16:37:34</v>
      </c>
      <c r="M14991" s="1" t="s">
        <v>4</v>
      </c>
      <c r="N14991" s="1" t="s">
        <v>38</v>
      </c>
      <c r="O14991" s="1" t="s">
        <v>46</v>
      </c>
    </row>
    <row r="14992" spans="2:15" x14ac:dyDescent="0.3">
      <c r="B14992" s="1" t="s">
        <v>19</v>
      </c>
      <c r="C14992" s="1" t="str">
        <f>"1차"</f>
        <v>1차</v>
      </c>
      <c r="D14992" s="1" t="str">
        <f>"0128H70200"</f>
        <v>0128H70200</v>
      </c>
      <c r="E14992" s="1" t="s">
        <v>10</v>
      </c>
      <c r="F14992" s="1" t="str">
        <f>"10.107.119.242"</f>
        <v>10.107.119.242</v>
      </c>
      <c r="G14992" s="1" t="str">
        <f>"0128H702"</f>
        <v>0128H702</v>
      </c>
      <c r="H14992" s="1" t="str">
        <f>"성가지 12L10"</f>
        <v>성가지 12L10</v>
      </c>
      <c r="I14992" s="1" t="s">
        <v>8</v>
      </c>
      <c r="J14992" s="1" t="str">
        <f>"27/27"</f>
        <v>27/27</v>
      </c>
      <c r="K14992" s="1" t="str">
        <f>"2026-07-29 13:18:01"</f>
        <v>2026-07-29 13:18:01</v>
      </c>
      <c r="L14992" s="1" t="str">
        <f>"2014-11-19 13:53:20"</f>
        <v>2014-11-19 13:53:20</v>
      </c>
      <c r="M14992" s="1" t="s">
        <v>45</v>
      </c>
      <c r="N14992" s="1" t="s">
        <v>38</v>
      </c>
      <c r="O14992" s="1" t="s">
        <v>46</v>
      </c>
    </row>
    <row r="14993" spans="2:15" x14ac:dyDescent="0.3">
      <c r="B14993" s="1" t="s">
        <v>19</v>
      </c>
      <c r="C14993" s="1" t="s">
        <v>16</v>
      </c>
      <c r="D14993" s="1" t="str">
        <f>"0128H74244"</f>
        <v>0128H74244</v>
      </c>
      <c r="E14993" s="1" t="s">
        <v>10</v>
      </c>
      <c r="F14993" s="1" t="str">
        <f>"10.107.123.134"</f>
        <v>10.107.123.134</v>
      </c>
      <c r="G14993" s="1" t="str">
        <f>"0128H742"</f>
        <v>0128H742</v>
      </c>
      <c r="H14993" s="1" t="str">
        <f>"성가지 50L9"</f>
        <v>성가지 50L9</v>
      </c>
      <c r="I14993" s="1" t="s">
        <v>8</v>
      </c>
      <c r="J14993" s="1" t="str">
        <f>"35/35"</f>
        <v>35/35</v>
      </c>
      <c r="K14993" s="1" t="str">
        <f>"2026-07-29 13:18:01"</f>
        <v>2026-07-29 13:18:01</v>
      </c>
      <c r="L14993" s="1" t="str">
        <f>"2026-03-11 16:07:04"</f>
        <v>2026-03-11 16:07:04</v>
      </c>
      <c r="M14993" s="1" t="s">
        <v>45</v>
      </c>
      <c r="N14993" s="1" t="s">
        <v>38</v>
      </c>
      <c r="O14993" s="1" t="s">
        <v>46</v>
      </c>
    </row>
    <row r="14994" spans="2:15" x14ac:dyDescent="0.3">
      <c r="B14994" s="1" t="s">
        <v>19</v>
      </c>
      <c r="C14994" s="1" t="str">
        <f>"4차"</f>
        <v>4차</v>
      </c>
      <c r="D14994" s="1" t="str">
        <f>"0128H75144"</f>
        <v>0128H75144</v>
      </c>
      <c r="E14994" s="1" t="s">
        <v>10</v>
      </c>
      <c r="F14994" s="1" t="str">
        <f>"10.107.123.132"</f>
        <v>10.107.123.132</v>
      </c>
      <c r="G14994" s="1" t="str">
        <f>"0128H751"</f>
        <v>0128H751</v>
      </c>
      <c r="H14994" s="1" t="str">
        <f>"성가지 50L10"</f>
        <v>성가지 50L10</v>
      </c>
      <c r="I14994" s="1" t="s">
        <v>8</v>
      </c>
      <c r="J14994" s="1" t="str">
        <f>"73/73"</f>
        <v>73/73</v>
      </c>
      <c r="K14994" s="1" t="str">
        <f>"2026-07-29 13:18:02"</f>
        <v>2026-07-29 13:18:02</v>
      </c>
      <c r="L14994" s="1" t="str">
        <f>"2019-10-31 09:43:03"</f>
        <v>2019-10-31 09:43:03</v>
      </c>
      <c r="M14994" s="1" t="s">
        <v>45</v>
      </c>
      <c r="N14994" s="1" t="s">
        <v>38</v>
      </c>
      <c r="O14994" s="1" t="s">
        <v>46</v>
      </c>
    </row>
    <row r="14995" spans="2:15" x14ac:dyDescent="0.3">
      <c r="B14995" s="1" t="s">
        <v>19</v>
      </c>
      <c r="C14995" s="1" t="str">
        <f>"3차"</f>
        <v>3차</v>
      </c>
      <c r="D14995" s="1" t="str">
        <f>"0128H76339"</f>
        <v>0128H76339</v>
      </c>
      <c r="E14995" s="1" t="s">
        <v>10</v>
      </c>
      <c r="F14995" s="1" t="str">
        <f>"10.12.131.7"</f>
        <v>10.12.131.7</v>
      </c>
      <c r="G14995" s="1" t="str">
        <f>"0128H763"</f>
        <v>0128H763</v>
      </c>
      <c r="H14995" s="1" t="str">
        <f>"성가지 50L12R1L1"</f>
        <v>성가지 50L12R1L1</v>
      </c>
      <c r="I14995" s="1" t="s">
        <v>8</v>
      </c>
      <c r="J14995" s="1" t="str">
        <f>"22/22"</f>
        <v>22/22</v>
      </c>
      <c r="K14995" s="1" t="str">
        <f>"2026-07-29 13:18:01"</f>
        <v>2026-07-29 13:18:01</v>
      </c>
      <c r="L14995" s="1" t="str">
        <f>"2023-07-20 17:37:45"</f>
        <v>2023-07-20 17:37:45</v>
      </c>
      <c r="M14995" s="1" t="s">
        <v>0</v>
      </c>
      <c r="N14995" s="1" t="s">
        <v>38</v>
      </c>
      <c r="O14995" s="1" t="s">
        <v>46</v>
      </c>
    </row>
    <row r="14996" spans="2:15" x14ac:dyDescent="0.3">
      <c r="B14996" s="1" t="s">
        <v>19</v>
      </c>
      <c r="C14996" s="1" t="str">
        <f>"1차"</f>
        <v>1차</v>
      </c>
      <c r="D14996" s="1" t="str">
        <f>"0128H77100"</f>
        <v>0128H77100</v>
      </c>
      <c r="E14996" s="1" t="s">
        <v>10</v>
      </c>
      <c r="F14996" s="1" t="str">
        <f>"10.107.123.145"</f>
        <v>10.107.123.145</v>
      </c>
      <c r="G14996" s="1" t="str">
        <f>"0128H771"</f>
        <v>0128H771</v>
      </c>
      <c r="H14996" s="1" t="str">
        <f>"성가지 50L13R2"</f>
        <v>성가지 50L13R2</v>
      </c>
      <c r="I14996" s="1" t="s">
        <v>8</v>
      </c>
      <c r="J14996" s="1" t="str">
        <f>"92/92"</f>
        <v>92/92</v>
      </c>
      <c r="K14996" s="1" t="str">
        <f t="shared" ref="K14996:K15003" si="760">"2026-07-29 13:18:02"</f>
        <v>2026-07-29 13:18:02</v>
      </c>
      <c r="L14996" s="1" t="str">
        <f>"2014-11-19 15:32:26"</f>
        <v>2014-11-19 15:32:26</v>
      </c>
      <c r="M14996" s="1" t="s">
        <v>45</v>
      </c>
      <c r="N14996" s="1" t="s">
        <v>38</v>
      </c>
      <c r="O14996" s="1" t="s">
        <v>46</v>
      </c>
    </row>
    <row r="14997" spans="2:15" x14ac:dyDescent="0.3">
      <c r="B14997" s="1" t="s">
        <v>19</v>
      </c>
      <c r="C14997" s="1" t="str">
        <f>"1차"</f>
        <v>1차</v>
      </c>
      <c r="D14997" s="1" t="str">
        <f>"0128H80200"</f>
        <v>0128H80200</v>
      </c>
      <c r="E14997" s="1" t="s">
        <v>10</v>
      </c>
      <c r="F14997" s="1" t="str">
        <f>"10.107.119.244"</f>
        <v>10.107.119.244</v>
      </c>
      <c r="G14997" s="1" t="str">
        <f>"0128H802"</f>
        <v>0128H802</v>
      </c>
      <c r="H14997" s="1" t="str">
        <f>"성가지 12L7"</f>
        <v>성가지 12L7</v>
      </c>
      <c r="I14997" s="1" t="s">
        <v>8</v>
      </c>
      <c r="J14997" s="1" t="str">
        <f>"75/81"</f>
        <v>75/81</v>
      </c>
      <c r="K14997" s="1" t="str">
        <f t="shared" si="760"/>
        <v>2026-07-29 13:18:02</v>
      </c>
      <c r="L14997" s="1" t="str">
        <f>"2014-11-19 15:33:24"</f>
        <v>2014-11-19 15:33:24</v>
      </c>
      <c r="M14997" s="1" t="s">
        <v>45</v>
      </c>
      <c r="N14997" s="1" t="s">
        <v>38</v>
      </c>
      <c r="O14997" s="1" t="s">
        <v>46</v>
      </c>
    </row>
    <row r="14998" spans="2:15" x14ac:dyDescent="0.3">
      <c r="B14998" s="1" t="s">
        <v>19</v>
      </c>
      <c r="C14998" s="1" t="str">
        <f>"1차"</f>
        <v>1차</v>
      </c>
      <c r="D14998" s="1" t="str">
        <f>"0128H83200"</f>
        <v>0128H83200</v>
      </c>
      <c r="E14998" s="1" t="s">
        <v>10</v>
      </c>
      <c r="F14998" s="1" t="str">
        <f>"10.107.123.135"</f>
        <v>10.107.123.135</v>
      </c>
      <c r="G14998" s="1" t="str">
        <f>"0128H832"</f>
        <v>0128H832</v>
      </c>
      <c r="H14998" s="1" t="str">
        <f>"성가지 50L7L1"</f>
        <v>성가지 50L7L1</v>
      </c>
      <c r="I14998" s="1" t="s">
        <v>8</v>
      </c>
      <c r="J14998" s="1" t="str">
        <f>"17/17"</f>
        <v>17/17</v>
      </c>
      <c r="K14998" s="1" t="str">
        <f t="shared" si="760"/>
        <v>2026-07-29 13:18:02</v>
      </c>
      <c r="L14998" s="1" t="str">
        <f>"2014-11-18 14:40:10"</f>
        <v>2014-11-18 14:40:10</v>
      </c>
      <c r="M14998" s="1" t="s">
        <v>45</v>
      </c>
      <c r="N14998" s="1" t="s">
        <v>38</v>
      </c>
      <c r="O14998" s="1" t="s">
        <v>46</v>
      </c>
    </row>
    <row r="14999" spans="2:15" x14ac:dyDescent="0.3">
      <c r="B14999" s="1" t="s">
        <v>19</v>
      </c>
      <c r="C14999" s="1" t="str">
        <f>"4차"</f>
        <v>4차</v>
      </c>
      <c r="D14999" s="1" t="str">
        <f>"0128H85139"</f>
        <v>0128H85139</v>
      </c>
      <c r="E14999" s="1" t="s">
        <v>10</v>
      </c>
      <c r="F14999" s="1" t="str">
        <f>"10.12.131.77"</f>
        <v>10.12.131.77</v>
      </c>
      <c r="G14999" s="1" t="str">
        <f>"0128H851"</f>
        <v>0128H851</v>
      </c>
      <c r="H14999" s="1" t="str">
        <f>"성가지 50L12R2"</f>
        <v>성가지 50L12R2</v>
      </c>
      <c r="I14999" s="1" t="s">
        <v>8</v>
      </c>
      <c r="J14999" s="1" t="str">
        <f>"37/39"</f>
        <v>37/39</v>
      </c>
      <c r="K14999" s="1" t="str">
        <f t="shared" si="760"/>
        <v>2026-07-29 13:18:02</v>
      </c>
      <c r="L14999" s="1" t="str">
        <f>"2023-07-21 17:45:30"</f>
        <v>2023-07-21 17:45:30</v>
      </c>
      <c r="M14999" s="1" t="s">
        <v>0</v>
      </c>
      <c r="N14999" s="1" t="s">
        <v>38</v>
      </c>
      <c r="O14999" s="1" t="s">
        <v>46</v>
      </c>
    </row>
    <row r="15000" spans="2:15" x14ac:dyDescent="0.3">
      <c r="B15000" s="1" t="s">
        <v>19</v>
      </c>
      <c r="C15000" s="1" t="str">
        <f>"4차"</f>
        <v>4차</v>
      </c>
      <c r="D15000" s="1" t="str">
        <f>"0128H85239"</f>
        <v>0128H85239</v>
      </c>
      <c r="E15000" s="1" t="s">
        <v>10</v>
      </c>
      <c r="F15000" s="1" t="str">
        <f>"10.107.123.142"</f>
        <v>10.107.123.142</v>
      </c>
      <c r="G15000" s="1" t="str">
        <f>"0128H852"</f>
        <v>0128H852</v>
      </c>
      <c r="H15000" s="1" t="str">
        <f>"성가지 50L12R4"</f>
        <v>성가지 50L12R4</v>
      </c>
      <c r="I15000" s="1" t="s">
        <v>8</v>
      </c>
      <c r="J15000" s="1" t="str">
        <f>"26/26"</f>
        <v>26/26</v>
      </c>
      <c r="K15000" s="1" t="str">
        <f t="shared" si="760"/>
        <v>2026-07-29 13:18:02</v>
      </c>
      <c r="L15000" s="1" t="str">
        <f>"2023-08-07 14:40:13"</f>
        <v>2023-08-07 14:40:13</v>
      </c>
      <c r="M15000" s="1" t="s">
        <v>45</v>
      </c>
      <c r="N15000" s="1" t="s">
        <v>38</v>
      </c>
      <c r="O15000" s="1" t="s">
        <v>46</v>
      </c>
    </row>
    <row r="15001" spans="2:15" x14ac:dyDescent="0.3">
      <c r="B15001" s="1" t="s">
        <v>19</v>
      </c>
      <c r="C15001" s="1" t="str">
        <f>"4차"</f>
        <v>4차</v>
      </c>
      <c r="D15001" s="1" t="str">
        <f>"0128H89139"</f>
        <v>0128H89139</v>
      </c>
      <c r="E15001" s="1" t="s">
        <v>10</v>
      </c>
      <c r="F15001" s="1" t="str">
        <f>"10.12.136.102"</f>
        <v>10.12.136.102</v>
      </c>
      <c r="G15001" s="1" t="str">
        <f>"0128H891"</f>
        <v>0128H891</v>
      </c>
      <c r="H15001" s="1" t="str">
        <f>"하월곡 5"</f>
        <v>하월곡 5</v>
      </c>
      <c r="I15001" s="1" t="s">
        <v>17</v>
      </c>
      <c r="J15001" s="1" t="str">
        <f>"3/3"</f>
        <v>3/3</v>
      </c>
      <c r="K15001" s="1" t="str">
        <f t="shared" si="760"/>
        <v>2026-07-29 13:18:02</v>
      </c>
      <c r="L15001" s="1" t="str">
        <f>"2018-05-29 10:59:43"</f>
        <v>2018-05-29 10:59:43</v>
      </c>
      <c r="M15001" s="1" t="s">
        <v>0</v>
      </c>
      <c r="N15001" s="1" t="s">
        <v>38</v>
      </c>
      <c r="O15001" s="1" t="s">
        <v>46</v>
      </c>
    </row>
    <row r="15002" spans="2:15" x14ac:dyDescent="0.3">
      <c r="B15002" s="1" t="s">
        <v>19</v>
      </c>
      <c r="C15002" s="1" t="str">
        <f>"4차"</f>
        <v>4차</v>
      </c>
      <c r="D15002" s="1" t="str">
        <f>"0128H91139"</f>
        <v>0128H91139</v>
      </c>
      <c r="E15002" s="1" t="s">
        <v>10</v>
      </c>
      <c r="F15002" s="1" t="str">
        <f>"10.107.123.153"</f>
        <v>10.107.123.153</v>
      </c>
      <c r="G15002" s="1" t="str">
        <f>"0128H911"</f>
        <v>0128H911</v>
      </c>
      <c r="H15002" s="1" t="str">
        <f>"성가지 50L4"</f>
        <v>성가지 50L4</v>
      </c>
      <c r="I15002" s="1" t="s">
        <v>8</v>
      </c>
      <c r="J15002" s="1" t="str">
        <f>"5/5"</f>
        <v>5/5</v>
      </c>
      <c r="K15002" s="1" t="str">
        <f t="shared" si="760"/>
        <v>2026-07-29 13:18:02</v>
      </c>
      <c r="L15002" s="1" t="str">
        <f>"2018-03-23 14:16:26"</f>
        <v>2018-03-23 14:16:26</v>
      </c>
      <c r="M15002" s="1" t="s">
        <v>45</v>
      </c>
      <c r="N15002" s="1" t="s">
        <v>38</v>
      </c>
      <c r="O15002" s="1" t="s">
        <v>46</v>
      </c>
    </row>
    <row r="15003" spans="2:15" x14ac:dyDescent="0.3">
      <c r="B15003" s="1" t="s">
        <v>19</v>
      </c>
      <c r="C15003" s="1" t="str">
        <f>"3차"</f>
        <v>3차</v>
      </c>
      <c r="D15003" s="1" t="str">
        <f>"0128H92239"</f>
        <v>0128H92239</v>
      </c>
      <c r="E15003" s="1" t="s">
        <v>10</v>
      </c>
      <c r="F15003" s="1" t="str">
        <f>"10.107.121.154"</f>
        <v>10.107.121.154</v>
      </c>
      <c r="G15003" s="1" t="str">
        <f>"0128H922"</f>
        <v>0128H922</v>
      </c>
      <c r="H15003" s="1" t="str">
        <f>"성가지 50L3R2L4"</f>
        <v>성가지 50L3R2L4</v>
      </c>
      <c r="I15003" s="1" t="s">
        <v>8</v>
      </c>
      <c r="J15003" s="1" t="str">
        <f>"29/29"</f>
        <v>29/29</v>
      </c>
      <c r="K15003" s="1" t="str">
        <f t="shared" si="760"/>
        <v>2026-07-29 13:18:02</v>
      </c>
      <c r="L15003" s="1" t="str">
        <f>"2018-04-09 10:12:39"</f>
        <v>2018-04-09 10:12:39</v>
      </c>
      <c r="M15003" s="1" t="s">
        <v>45</v>
      </c>
      <c r="N15003" s="1" t="s">
        <v>38</v>
      </c>
      <c r="O15003" s="1" t="s">
        <v>46</v>
      </c>
    </row>
    <row r="15004" spans="2:15" x14ac:dyDescent="0.3">
      <c r="B15004" s="1" t="s">
        <v>19</v>
      </c>
      <c r="C15004" s="1" t="str">
        <f>"4차"</f>
        <v>4차</v>
      </c>
      <c r="D15004" s="1" t="str">
        <f>"0128H94144"</f>
        <v>0128H94144</v>
      </c>
      <c r="E15004" s="1" t="s">
        <v>10</v>
      </c>
      <c r="F15004" s="1" t="str">
        <f>"10.107.121.155"</f>
        <v>10.107.121.155</v>
      </c>
      <c r="G15004" s="1" t="str">
        <f>"0128H941"</f>
        <v>0128H941</v>
      </c>
      <c r="H15004" s="1" t="str">
        <f>"성가지 50L3R5L5"</f>
        <v>성가지 50L3R5L5</v>
      </c>
      <c r="I15004" s="1" t="s">
        <v>8</v>
      </c>
      <c r="J15004" s="1" t="str">
        <f>"69/73"</f>
        <v>69/73</v>
      </c>
      <c r="K15004" s="1" t="str">
        <f>"2026-07-29 13:18:01"</f>
        <v>2026-07-29 13:18:01</v>
      </c>
      <c r="L15004" s="1" t="str">
        <f>"2019-11-01 16:28:44"</f>
        <v>2019-11-01 16:28:44</v>
      </c>
      <c r="M15004" s="1" t="s">
        <v>45</v>
      </c>
      <c r="N15004" s="1" t="s">
        <v>38</v>
      </c>
      <c r="O15004" s="1" t="s">
        <v>46</v>
      </c>
    </row>
    <row r="15005" spans="2:15" x14ac:dyDescent="0.3">
      <c r="B15005" s="1" t="s">
        <v>19</v>
      </c>
      <c r="C15005" s="1" t="str">
        <f>"1차"</f>
        <v>1차</v>
      </c>
      <c r="D15005" s="1" t="str">
        <f>"0128H94400"</f>
        <v>0128H94400</v>
      </c>
      <c r="E15005" s="1" t="s">
        <v>10</v>
      </c>
      <c r="F15005" s="1" t="str">
        <f>"10.107.121.157"</f>
        <v>10.107.121.157</v>
      </c>
      <c r="G15005" s="1" t="str">
        <f>"0128H944"</f>
        <v>0128H944</v>
      </c>
      <c r="H15005" s="1" t="str">
        <f>"성가지 50L8H1R2"</f>
        <v>성가지 50L8H1R2</v>
      </c>
      <c r="I15005" s="1" t="s">
        <v>8</v>
      </c>
      <c r="J15005" s="1" t="str">
        <f>"68/69"</f>
        <v>68/69</v>
      </c>
      <c r="K15005" s="1" t="str">
        <f>"2026-07-29 13:18:02"</f>
        <v>2026-07-29 13:18:02</v>
      </c>
      <c r="L15005" s="1" t="str">
        <f>"2014-11-19 15:30:32"</f>
        <v>2014-11-19 15:30:32</v>
      </c>
      <c r="M15005" s="1" t="s">
        <v>45</v>
      </c>
      <c r="N15005" s="1" t="s">
        <v>38</v>
      </c>
      <c r="O15005" s="1" t="s">
        <v>46</v>
      </c>
    </row>
    <row r="15006" spans="2:15" x14ac:dyDescent="0.3">
      <c r="B15006" s="1" t="s">
        <v>19</v>
      </c>
      <c r="C15006" s="1" t="str">
        <f>"4차"</f>
        <v>4차</v>
      </c>
      <c r="D15006" s="1" t="str">
        <f>"0128H96144"</f>
        <v>0128H96144</v>
      </c>
      <c r="E15006" s="1" t="s">
        <v>10</v>
      </c>
      <c r="F15006" s="1" t="str">
        <f>"10.107.123.133"</f>
        <v>10.107.123.133</v>
      </c>
      <c r="G15006" s="1" t="str">
        <f>"0128H961"</f>
        <v>0128H961</v>
      </c>
      <c r="H15006" s="1" t="str">
        <f>"성가지 50L12R1L4"</f>
        <v>성가지 50L12R1L4</v>
      </c>
      <c r="I15006" s="1" t="s">
        <v>8</v>
      </c>
      <c r="J15006" s="1" t="str">
        <f>"71/71"</f>
        <v>71/71</v>
      </c>
      <c r="K15006" s="1" t="str">
        <f>"2026-07-29 13:18:02"</f>
        <v>2026-07-29 13:18:02</v>
      </c>
      <c r="L15006" s="1" t="str">
        <f>"2019-11-01 16:33:05"</f>
        <v>2019-11-01 16:33:05</v>
      </c>
      <c r="M15006" s="1" t="s">
        <v>45</v>
      </c>
      <c r="N15006" s="1" t="s">
        <v>38</v>
      </c>
      <c r="O15006" s="1" t="s">
        <v>46</v>
      </c>
    </row>
    <row r="15007" spans="2:15" x14ac:dyDescent="0.3">
      <c r="B15007" s="1" t="s">
        <v>19</v>
      </c>
      <c r="C15007" s="1" t="str">
        <f>"4차"</f>
        <v>4차</v>
      </c>
      <c r="D15007" s="1" t="str">
        <f>"0128H97144"</f>
        <v>0128H97144</v>
      </c>
      <c r="E15007" s="1" t="s">
        <v>10</v>
      </c>
      <c r="F15007" s="1" t="str">
        <f>"10.107.123.154"</f>
        <v>10.107.123.154</v>
      </c>
      <c r="G15007" s="1" t="str">
        <f>"0128H971"</f>
        <v>0128H971</v>
      </c>
      <c r="H15007" s="1" t="str">
        <f>"성가지 50L12R1L3"</f>
        <v>성가지 50L12R1L3</v>
      </c>
      <c r="I15007" s="1" t="s">
        <v>8</v>
      </c>
      <c r="J15007" s="1" t="str">
        <f>"17/17"</f>
        <v>17/17</v>
      </c>
      <c r="K15007" s="1" t="str">
        <f>"2026-07-29 13:18:02"</f>
        <v>2026-07-29 13:18:02</v>
      </c>
      <c r="L15007" s="1" t="str">
        <f>"2019-12-13 09:16:25"</f>
        <v>2019-12-13 09:16:25</v>
      </c>
      <c r="M15007" s="1" t="s">
        <v>45</v>
      </c>
      <c r="N15007" s="1" t="s">
        <v>38</v>
      </c>
      <c r="O15007" s="1" t="s">
        <v>46</v>
      </c>
    </row>
    <row r="15008" spans="2:15" x14ac:dyDescent="0.3">
      <c r="B15008" s="1" t="s">
        <v>19</v>
      </c>
      <c r="C15008" s="1" t="str">
        <f>"6차"</f>
        <v>6차</v>
      </c>
      <c r="D15008" s="1" t="str">
        <f>"0128H9826M"</f>
        <v>0128H9826M</v>
      </c>
      <c r="E15008" s="1" t="s">
        <v>10</v>
      </c>
      <c r="F15008" s="1" t="str">
        <f>"fde1:103:4:c77c:0:0:0:2"</f>
        <v>fde1:103:4:c77c:0:0:0:2</v>
      </c>
      <c r="G15008" s="1" t="str">
        <f>"0128H982"</f>
        <v>0128H982</v>
      </c>
      <c r="H15008" s="1" t="str">
        <f>"공주간 49L3R4"</f>
        <v>공주간 49L3R4</v>
      </c>
      <c r="I15008" s="1" t="s">
        <v>15</v>
      </c>
      <c r="J15008" s="1" t="str">
        <f>"43/43"</f>
        <v>43/43</v>
      </c>
      <c r="K15008" s="1" t="str">
        <f>"2026-07-29 14:20:50"</f>
        <v>2026-07-29 14:20:50</v>
      </c>
      <c r="L15008" s="1" t="str">
        <f>"2024-12-04 15:38:19"</f>
        <v>2024-12-04 15:38:19</v>
      </c>
      <c r="M15008" s="1" t="s">
        <v>4</v>
      </c>
      <c r="N15008" s="1" t="s">
        <v>38</v>
      </c>
      <c r="O15008" s="1" t="s">
        <v>46</v>
      </c>
    </row>
    <row r="15009" spans="2:15" x14ac:dyDescent="0.3">
      <c r="B15009" s="1" t="s">
        <v>19</v>
      </c>
      <c r="C15009" s="1" t="str">
        <f>"3차"</f>
        <v>3차</v>
      </c>
      <c r="D15009" s="1" t="str">
        <f>"0128P10139"</f>
        <v>0128P10139</v>
      </c>
      <c r="E15009" s="1" t="s">
        <v>10</v>
      </c>
      <c r="F15009" s="1" t="str">
        <f>"10.11.140.18"</f>
        <v>10.11.140.18</v>
      </c>
      <c r="G15009" s="1" t="str">
        <f>"0128P101"</f>
        <v>0128P101</v>
      </c>
      <c r="H15009" s="1" t="str">
        <f>"북악간 72"</f>
        <v>북악간 72</v>
      </c>
      <c r="I15009" s="1" t="s">
        <v>8</v>
      </c>
      <c r="J15009" s="1" t="str">
        <f>"1/1"</f>
        <v>1/1</v>
      </c>
      <c r="K15009" s="1" t="str">
        <f>"2026-07-29 13:18:01"</f>
        <v>2026-07-29 13:18:01</v>
      </c>
      <c r="L15009" s="1" t="str">
        <f>"2018-04-25 07:56:55"</f>
        <v>2018-04-25 07:56:55</v>
      </c>
      <c r="M15009" s="1" t="s">
        <v>2</v>
      </c>
      <c r="N15009" s="1" t="s">
        <v>38</v>
      </c>
      <c r="O15009" s="1" t="s">
        <v>46</v>
      </c>
    </row>
    <row r="15010" spans="2:15" x14ac:dyDescent="0.3">
      <c r="B15010" s="1" t="s">
        <v>19</v>
      </c>
      <c r="C15010" s="1" t="str">
        <f>"4차"</f>
        <v>4차</v>
      </c>
      <c r="D15010" s="1" t="str">
        <f>"0128P19144"</f>
        <v>0128P19144</v>
      </c>
      <c r="E15010" s="1" t="s">
        <v>10</v>
      </c>
      <c r="F15010" s="1" t="str">
        <f>"10.107.123.170"</f>
        <v>10.107.123.170</v>
      </c>
      <c r="G15010" s="1" t="str">
        <f>"0128P191"</f>
        <v>0128P191</v>
      </c>
      <c r="H15010" s="1" t="str">
        <f>"미아간 31L4R7L2"</f>
        <v>미아간 31L4R7L2</v>
      </c>
      <c r="I15010" s="1" t="s">
        <v>8</v>
      </c>
      <c r="J15010" s="1" t="str">
        <f>"44/44"</f>
        <v>44/44</v>
      </c>
      <c r="K15010" s="1" t="str">
        <f>"2026-07-29 13:18:02"</f>
        <v>2026-07-29 13:18:02</v>
      </c>
      <c r="L15010" s="1" t="str">
        <f>"2019-10-18 17:18:24"</f>
        <v>2019-10-18 17:18:24</v>
      </c>
      <c r="M15010" s="1" t="s">
        <v>45</v>
      </c>
      <c r="N15010" s="1" t="s">
        <v>38</v>
      </c>
      <c r="O15010" s="1" t="s">
        <v>46</v>
      </c>
    </row>
    <row r="15011" spans="2:15" x14ac:dyDescent="0.3">
      <c r="B15011" s="1" t="s">
        <v>19</v>
      </c>
      <c r="C15011" s="1" t="str">
        <f>"4차"</f>
        <v>4차</v>
      </c>
      <c r="D15011" s="1" t="str">
        <f>"0128P21845"</f>
        <v>0128P21845</v>
      </c>
      <c r="E15011" s="1" t="s">
        <v>10</v>
      </c>
      <c r="F15011" s="1" t="str">
        <f>"10.14.13.55"</f>
        <v>10.14.13.55</v>
      </c>
      <c r="G15011" s="1" t="str">
        <f>"0128P218"</f>
        <v>0128P218</v>
      </c>
      <c r="H15011" s="1" t="str">
        <f>"아리랑 3"</f>
        <v>아리랑 3</v>
      </c>
      <c r="I15011" s="1" t="s">
        <v>17</v>
      </c>
      <c r="J15011" s="1" t="str">
        <f>"2/2"</f>
        <v>2/2</v>
      </c>
      <c r="K15011" s="1" t="str">
        <f>"2026-07-29 13:18:02"</f>
        <v>2026-07-29 13:18:02</v>
      </c>
      <c r="L15011" s="1" t="str">
        <f>"2021-06-28 11:30:59"</f>
        <v>2021-06-28 11:30:59</v>
      </c>
      <c r="M15011" s="1" t="s">
        <v>3</v>
      </c>
      <c r="N15011" s="1" t="s">
        <v>38</v>
      </c>
      <c r="O15011" s="1" t="s">
        <v>46</v>
      </c>
    </row>
    <row r="15012" spans="2:15" x14ac:dyDescent="0.3">
      <c r="B15012" s="1" t="s">
        <v>19</v>
      </c>
      <c r="C15012" s="1" t="str">
        <f>"5-2차"</f>
        <v>5-2차</v>
      </c>
      <c r="D15012" s="1" t="str">
        <f>"0128P2215M"</f>
        <v>0128P2215M</v>
      </c>
      <c r="E15012" s="1" t="s">
        <v>10</v>
      </c>
      <c r="F15012" s="1" t="str">
        <f>"fde3:102:1410:5200:0:0:0:2"</f>
        <v>fde3:102:1410:5200:0:0:0:2</v>
      </c>
      <c r="G15012" s="1" t="str">
        <f>"0128P221"</f>
        <v>0128P221</v>
      </c>
      <c r="H15012" s="1" t="str">
        <f>"북악간 18H1L4"</f>
        <v>북악간 18H1L4</v>
      </c>
      <c r="I15012" s="1" t="s">
        <v>15</v>
      </c>
      <c r="J15012" s="1" t="str">
        <f>"41/41"</f>
        <v>41/41</v>
      </c>
      <c r="K15012" s="1" t="str">
        <f>"2026-07-29 14:20:39"</f>
        <v>2026-07-29 14:20:39</v>
      </c>
      <c r="L15012" s="1" t="str">
        <f>"2024-01-30 13:22:30"</f>
        <v>2024-01-30 13:22:30</v>
      </c>
      <c r="M15012" s="1" t="s">
        <v>45</v>
      </c>
      <c r="N15012" s="1" t="s">
        <v>38</v>
      </c>
      <c r="O15012" s="1" t="s">
        <v>46</v>
      </c>
    </row>
    <row r="15013" spans="2:15" x14ac:dyDescent="0.3">
      <c r="B15013" s="1" t="s">
        <v>19</v>
      </c>
      <c r="C15013" s="1" t="str">
        <f>"6차"</f>
        <v>6차</v>
      </c>
      <c r="D15013" s="1" t="str">
        <f>"0128P2616M"</f>
        <v>0128P2616M</v>
      </c>
      <c r="E15013" s="1" t="s">
        <v>10</v>
      </c>
      <c r="F15013" s="1" t="str">
        <f>"fde1:103:4:c7ff:0:0:0:2"</f>
        <v>fde1:103:4:c7ff:0:0:0:2</v>
      </c>
      <c r="G15013" s="1" t="str">
        <f>"0128P261"</f>
        <v>0128P261</v>
      </c>
      <c r="H15013" s="1" t="str">
        <f>"미아간 31L4R3"</f>
        <v>미아간 31L4R3</v>
      </c>
      <c r="I15013" s="1" t="s">
        <v>15</v>
      </c>
      <c r="J15013" s="1" t="str">
        <f>"57/59"</f>
        <v>57/59</v>
      </c>
      <c r="K15013" s="1" t="str">
        <f>"2026-07-29 14:20:39"</f>
        <v>2026-07-29 14:20:39</v>
      </c>
      <c r="L15013" s="1" t="str">
        <f>"2024-12-02 13:44:31"</f>
        <v>2024-12-02 13:44:31</v>
      </c>
      <c r="M15013" s="1" t="s">
        <v>4</v>
      </c>
      <c r="N15013" s="1" t="s">
        <v>38</v>
      </c>
      <c r="O15013" s="1" t="s">
        <v>46</v>
      </c>
    </row>
    <row r="15014" spans="2:15" x14ac:dyDescent="0.3">
      <c r="B15014" s="1" t="s">
        <v>19</v>
      </c>
      <c r="C15014" s="1" t="str">
        <f>"4차"</f>
        <v>4차</v>
      </c>
      <c r="D15014" s="1" t="str">
        <f>"0128P27244"</f>
        <v>0128P27244</v>
      </c>
      <c r="E15014" s="1" t="s">
        <v>10</v>
      </c>
      <c r="F15014" s="1" t="str">
        <f>"10.107.123.168"</f>
        <v>10.107.123.168</v>
      </c>
      <c r="G15014" s="1" t="str">
        <f>"0128P272"</f>
        <v>0128P272</v>
      </c>
      <c r="H15014" s="1" t="str">
        <f>"미아간 31L4R5"</f>
        <v>미아간 31L4R5</v>
      </c>
      <c r="I15014" s="1" t="s">
        <v>8</v>
      </c>
      <c r="J15014" s="1" t="str">
        <f>"92/95"</f>
        <v>92/95</v>
      </c>
      <c r="K15014" s="1" t="str">
        <f>"2026-07-29 13:18:02"</f>
        <v>2026-07-29 13:18:02</v>
      </c>
      <c r="L15014" s="1" t="str">
        <f>"2023-12-06 13:23:56"</f>
        <v>2023-12-06 13:23:56</v>
      </c>
      <c r="M15014" s="1" t="s">
        <v>45</v>
      </c>
      <c r="N15014" s="1" t="s">
        <v>38</v>
      </c>
      <c r="O15014" s="1" t="s">
        <v>46</v>
      </c>
    </row>
    <row r="15015" spans="2:15" x14ac:dyDescent="0.3">
      <c r="B15015" s="1" t="s">
        <v>19</v>
      </c>
      <c r="C15015" s="1" t="str">
        <f>"4차"</f>
        <v>4차</v>
      </c>
      <c r="D15015" s="1" t="str">
        <f>"0128P28244"</f>
        <v>0128P28244</v>
      </c>
      <c r="E15015" s="1" t="s">
        <v>10</v>
      </c>
      <c r="F15015" s="1" t="str">
        <f>"10.107.123.169"</f>
        <v>10.107.123.169</v>
      </c>
      <c r="G15015" s="1" t="str">
        <f>"0128P282"</f>
        <v>0128P282</v>
      </c>
      <c r="H15015" s="1" t="str">
        <f>"미아간 31L4R6"</f>
        <v>미아간 31L4R6</v>
      </c>
      <c r="I15015" s="1" t="s">
        <v>8</v>
      </c>
      <c r="J15015" s="1" t="str">
        <f>"28/32"</f>
        <v>28/32</v>
      </c>
      <c r="K15015" s="1" t="str">
        <f>"2026-07-29 13:18:02"</f>
        <v>2026-07-29 13:18:02</v>
      </c>
      <c r="L15015" s="1" t="str">
        <f>"2019-10-18 17:01:25"</f>
        <v>2019-10-18 17:01:25</v>
      </c>
      <c r="M15015" s="1" t="s">
        <v>45</v>
      </c>
      <c r="N15015" s="1" t="s">
        <v>38</v>
      </c>
      <c r="O15015" s="1" t="s">
        <v>46</v>
      </c>
    </row>
    <row r="15016" spans="2:15" x14ac:dyDescent="0.3">
      <c r="B15016" s="1" t="s">
        <v>19</v>
      </c>
      <c r="C15016" s="1" t="str">
        <f>"4차"</f>
        <v>4차</v>
      </c>
      <c r="D15016" s="1" t="str">
        <f>"0128P28444"</f>
        <v>0128P28444</v>
      </c>
      <c r="E15016" s="1" t="s">
        <v>10</v>
      </c>
      <c r="F15016" s="1" t="str">
        <f>"10.107.123.174"</f>
        <v>10.107.123.174</v>
      </c>
      <c r="G15016" s="1" t="str">
        <f>"0128P284"</f>
        <v>0128P284</v>
      </c>
      <c r="H15016" s="1" t="str">
        <f>"미아간 31L4R7"</f>
        <v>미아간 31L4R7</v>
      </c>
      <c r="I15016" s="1" t="s">
        <v>8</v>
      </c>
      <c r="J15016" s="1" t="str">
        <f>"78/78"</f>
        <v>78/78</v>
      </c>
      <c r="K15016" s="1" t="str">
        <f>"2026-07-29 13:18:01"</f>
        <v>2026-07-29 13:18:01</v>
      </c>
      <c r="L15016" s="1" t="str">
        <f>"2019-10-18 17:03:05"</f>
        <v>2019-10-18 17:03:05</v>
      </c>
      <c r="M15016" s="1" t="s">
        <v>45</v>
      </c>
      <c r="N15016" s="1" t="s">
        <v>38</v>
      </c>
      <c r="O15016" s="1" t="s">
        <v>46</v>
      </c>
    </row>
    <row r="15017" spans="2:15" x14ac:dyDescent="0.3">
      <c r="B15017" s="1" t="s">
        <v>19</v>
      </c>
      <c r="C15017" s="1" t="str">
        <f>"4차"</f>
        <v>4차</v>
      </c>
      <c r="D15017" s="1" t="str">
        <f>"0128P31141"</f>
        <v>0128P31141</v>
      </c>
      <c r="E15017" s="1" t="s">
        <v>10</v>
      </c>
      <c r="F15017" s="1" t="str">
        <f>"10.12.133.116"</f>
        <v>10.12.133.116</v>
      </c>
      <c r="G15017" s="1" t="str">
        <f>"0128P311"</f>
        <v>0128P311</v>
      </c>
      <c r="H15017" s="1" t="str">
        <f>"북악간 8L5R6"</f>
        <v>북악간 8L5R6</v>
      </c>
      <c r="I15017" s="1" t="s">
        <v>17</v>
      </c>
      <c r="J15017" s="1" t="str">
        <f>"20/20"</f>
        <v>20/20</v>
      </c>
      <c r="K15017" s="1" t="str">
        <f>"2026-07-29 13:18:03"</f>
        <v>2026-07-29 13:18:03</v>
      </c>
      <c r="L15017" s="1" t="str">
        <f>"2021-10-13 08:43:06"</f>
        <v>2021-10-13 08:43:06</v>
      </c>
      <c r="M15017" s="1" t="s">
        <v>0</v>
      </c>
      <c r="N15017" s="1" t="s">
        <v>38</v>
      </c>
      <c r="O15017" s="1" t="s">
        <v>46</v>
      </c>
    </row>
    <row r="15018" spans="2:15" x14ac:dyDescent="0.3">
      <c r="B15018" s="1" t="s">
        <v>19</v>
      </c>
      <c r="C15018" s="1" t="str">
        <f>"4차"</f>
        <v>4차</v>
      </c>
      <c r="D15018" s="1" t="str">
        <f>"0128P41144"</f>
        <v>0128P41144</v>
      </c>
      <c r="E15018" s="1" t="s">
        <v>10</v>
      </c>
      <c r="F15018" s="1" t="str">
        <f>"10.107.121.130"</f>
        <v>10.107.121.130</v>
      </c>
      <c r="G15018" s="1" t="str">
        <f>"0128P411"</f>
        <v>0128P411</v>
      </c>
      <c r="H15018" s="1" t="str">
        <f>"북악간 8L5R5"</f>
        <v>북악간 8L5R5</v>
      </c>
      <c r="I15018" s="1" t="s">
        <v>8</v>
      </c>
      <c r="J15018" s="1" t="str">
        <f>"43/43"</f>
        <v>43/43</v>
      </c>
      <c r="K15018" s="1" t="str">
        <f>"2026-07-29 13:18:01"</f>
        <v>2026-07-29 13:18:01</v>
      </c>
      <c r="L15018" s="1" t="str">
        <f>"2019-10-18 18:18:24"</f>
        <v>2019-10-18 18:18:24</v>
      </c>
      <c r="M15018" s="1" t="s">
        <v>45</v>
      </c>
      <c r="N15018" s="1" t="s">
        <v>38</v>
      </c>
      <c r="O15018" s="1" t="s">
        <v>46</v>
      </c>
    </row>
    <row r="15019" spans="2:15" x14ac:dyDescent="0.3">
      <c r="B15019" s="1" t="s">
        <v>19</v>
      </c>
      <c r="C15019" s="1" t="str">
        <f>"1차"</f>
        <v>1차</v>
      </c>
      <c r="D15019" s="1" t="str">
        <f>"0128P45300"</f>
        <v>0128P45300</v>
      </c>
      <c r="E15019" s="1" t="s">
        <v>10</v>
      </c>
      <c r="F15019" s="1" t="str">
        <f>"10.107.3.117"</f>
        <v>10.107.3.117</v>
      </c>
      <c r="G15019" s="1" t="str">
        <f>"0128P453"</f>
        <v>0128P453</v>
      </c>
      <c r="H15019" s="1" t="str">
        <f>"미아간 33"</f>
        <v>미아간 33</v>
      </c>
      <c r="I15019" s="1" t="s">
        <v>8</v>
      </c>
      <c r="J15019" s="1" t="str">
        <f>"24/24"</f>
        <v>24/24</v>
      </c>
      <c r="K15019" s="1" t="str">
        <f>"2026-07-29 13:18:02"</f>
        <v>2026-07-29 13:18:02</v>
      </c>
      <c r="L15019" s="1" t="str">
        <f>"2016-02-25 13:39:46"</f>
        <v>2016-02-25 13:39:46</v>
      </c>
      <c r="M15019" s="1" t="s">
        <v>45</v>
      </c>
      <c r="N15019" s="1" t="s">
        <v>38</v>
      </c>
      <c r="O15019" s="1" t="s">
        <v>46</v>
      </c>
    </row>
    <row r="15020" spans="2:15" x14ac:dyDescent="0.3">
      <c r="B15020" s="1" t="s">
        <v>19</v>
      </c>
      <c r="C15020" s="1" t="str">
        <f>"1차"</f>
        <v>1차</v>
      </c>
      <c r="D15020" s="1" t="str">
        <f>"0128P49101"</f>
        <v>0128P49101</v>
      </c>
      <c r="E15020" s="1" t="s">
        <v>10</v>
      </c>
      <c r="F15020" s="1" t="str">
        <f>"10.107.3.118"</f>
        <v>10.107.3.118</v>
      </c>
      <c r="G15020" s="1" t="str">
        <f>"0128P491"</f>
        <v>0128P491</v>
      </c>
      <c r="H15020" s="1" t="str">
        <f>"미아간 37"</f>
        <v>미아간 37</v>
      </c>
      <c r="I15020" s="1" t="s">
        <v>8</v>
      </c>
      <c r="J15020" s="1" t="str">
        <f>"174/179"</f>
        <v>174/179</v>
      </c>
      <c r="K15020" s="1" t="str">
        <f>"2026-07-29 13:18:01"</f>
        <v>2026-07-29 13:18:01</v>
      </c>
      <c r="L15020" s="1" t="str">
        <f>"2015-01-12 15:37:44"</f>
        <v>2015-01-12 15:37:44</v>
      </c>
      <c r="M15020" s="1" t="s">
        <v>45</v>
      </c>
      <c r="N15020" s="1" t="s">
        <v>38</v>
      </c>
      <c r="O15020" s="1" t="s">
        <v>46</v>
      </c>
    </row>
    <row r="15021" spans="2:15" x14ac:dyDescent="0.3">
      <c r="B15021" s="1" t="s">
        <v>19</v>
      </c>
      <c r="C15021" s="1" t="str">
        <f>"4차"</f>
        <v>4차</v>
      </c>
      <c r="D15021" s="1" t="str">
        <f>"0128P51144"</f>
        <v>0128P51144</v>
      </c>
      <c r="E15021" s="1" t="s">
        <v>10</v>
      </c>
      <c r="F15021" s="1" t="str">
        <f>"10.107.121.131"</f>
        <v>10.107.121.131</v>
      </c>
      <c r="G15021" s="1" t="str">
        <f>"0128P511"</f>
        <v>0128P511</v>
      </c>
      <c r="H15021" s="1" t="str">
        <f>"북악간 8L5R3"</f>
        <v>북악간 8L5R3</v>
      </c>
      <c r="I15021" s="1" t="s">
        <v>8</v>
      </c>
      <c r="J15021" s="1" t="str">
        <f>"22/22"</f>
        <v>22/22</v>
      </c>
      <c r="K15021" s="1" t="str">
        <f>"2026-07-29 13:18:01"</f>
        <v>2026-07-29 13:18:01</v>
      </c>
      <c r="L15021" s="1" t="str">
        <f>"2019-10-18 17:46:10"</f>
        <v>2019-10-18 17:46:10</v>
      </c>
      <c r="M15021" s="1" t="s">
        <v>45</v>
      </c>
      <c r="N15021" s="1" t="s">
        <v>38</v>
      </c>
      <c r="O15021" s="1" t="s">
        <v>46</v>
      </c>
    </row>
    <row r="15022" spans="2:15" x14ac:dyDescent="0.3">
      <c r="B15022" s="1" t="s">
        <v>19</v>
      </c>
      <c r="C15022" s="1" t="str">
        <f>"4차"</f>
        <v>4차</v>
      </c>
      <c r="D15022" s="1" t="str">
        <f>"0128P51239"</f>
        <v>0128P51239</v>
      </c>
      <c r="E15022" s="1" t="s">
        <v>10</v>
      </c>
      <c r="F15022" s="1" t="str">
        <f>"10.12.135.203"</f>
        <v>10.12.135.203</v>
      </c>
      <c r="G15022" s="1" t="str">
        <f>"0128P512"</f>
        <v>0128P512</v>
      </c>
      <c r="H15022" s="1" t="str">
        <f>"북악간 8L5R4"</f>
        <v>북악간 8L5R4</v>
      </c>
      <c r="I15022" s="1" t="s">
        <v>8</v>
      </c>
      <c r="J15022" s="1" t="str">
        <f>"42/42"</f>
        <v>42/42</v>
      </c>
      <c r="K15022" s="1" t="str">
        <f>"2026-07-29 07:18:03"</f>
        <v>2026-07-29 07:18:03</v>
      </c>
      <c r="L15022" s="1" t="str">
        <f>"2018-04-25 09:56:56"</f>
        <v>2018-04-25 09:56:56</v>
      </c>
      <c r="M15022" s="1" t="s">
        <v>0</v>
      </c>
      <c r="N15022" s="1" t="s">
        <v>38</v>
      </c>
      <c r="O15022" s="1" t="s">
        <v>46</v>
      </c>
    </row>
    <row r="15023" spans="2:15" x14ac:dyDescent="0.3">
      <c r="B15023" s="1" t="s">
        <v>19</v>
      </c>
      <c r="C15023" s="1" t="str">
        <f>"1차"</f>
        <v>1차</v>
      </c>
      <c r="D15023" s="1" t="str">
        <f>"0128P55100"</f>
        <v>0128P55100</v>
      </c>
      <c r="E15023" s="1" t="s">
        <v>10</v>
      </c>
      <c r="F15023" s="1" t="str">
        <f>"10.107.3.119"</f>
        <v>10.107.3.119</v>
      </c>
      <c r="G15023" s="1" t="str">
        <f>"0128P551"</f>
        <v>0128P551</v>
      </c>
      <c r="H15023" s="1" t="str">
        <f>"미아간 30R2"</f>
        <v>미아간 30R2</v>
      </c>
      <c r="I15023" s="1" t="s">
        <v>8</v>
      </c>
      <c r="J15023" s="1" t="str">
        <f>"36/46"</f>
        <v>36/46</v>
      </c>
      <c r="K15023" s="1" t="str">
        <f>"2026-07-29 13:18:01"</f>
        <v>2026-07-29 13:18:01</v>
      </c>
      <c r="L15023" s="1" t="str">
        <f>"2015-01-06 00:15:25"</f>
        <v>2015-01-06 00:15:25</v>
      </c>
      <c r="M15023" s="1" t="s">
        <v>45</v>
      </c>
      <c r="N15023" s="1" t="s">
        <v>38</v>
      </c>
      <c r="O15023" s="1" t="s">
        <v>46</v>
      </c>
    </row>
    <row r="15024" spans="2:15" x14ac:dyDescent="0.3">
      <c r="B15024" s="1" t="s">
        <v>19</v>
      </c>
      <c r="C15024" s="1" t="str">
        <f>"1차"</f>
        <v>1차</v>
      </c>
      <c r="D15024" s="1" t="str">
        <f>"0128P57500"</f>
        <v>0128P57500</v>
      </c>
      <c r="E15024" s="1" t="s">
        <v>10</v>
      </c>
      <c r="F15024" s="1" t="str">
        <f>"10.107.5.15"</f>
        <v>10.107.5.15</v>
      </c>
      <c r="G15024" s="1" t="str">
        <f>"0128P575"</f>
        <v>0128P575</v>
      </c>
      <c r="H15024" s="1" t="str">
        <f>"미아간 35R4"</f>
        <v>미아간 35R4</v>
      </c>
      <c r="I15024" s="1" t="s">
        <v>8</v>
      </c>
      <c r="J15024" s="1" t="str">
        <f>"23/23"</f>
        <v>23/23</v>
      </c>
      <c r="K15024" s="1" t="str">
        <f>"2026-07-29 13:18:02"</f>
        <v>2026-07-29 13:18:02</v>
      </c>
      <c r="L15024" s="1" t="str">
        <f>"2014-11-19 14:33:14"</f>
        <v>2014-11-19 14:33:14</v>
      </c>
      <c r="M15024" s="1" t="s">
        <v>45</v>
      </c>
      <c r="N15024" s="1" t="s">
        <v>38</v>
      </c>
      <c r="O15024" s="1" t="s">
        <v>46</v>
      </c>
    </row>
    <row r="15025" spans="2:15" x14ac:dyDescent="0.3">
      <c r="B15025" s="1" t="s">
        <v>19</v>
      </c>
      <c r="C15025" s="1" t="str">
        <f>"4차"</f>
        <v>4차</v>
      </c>
      <c r="D15025" s="1" t="str">
        <f>"0128P60244"</f>
        <v>0128P60244</v>
      </c>
      <c r="E15025" s="1" t="s">
        <v>10</v>
      </c>
      <c r="F15025" s="1" t="str">
        <f>"10.107.121.132"</f>
        <v>10.107.121.132</v>
      </c>
      <c r="G15025" s="1" t="str">
        <f>"0128P602"</f>
        <v>0128P602</v>
      </c>
      <c r="H15025" s="1" t="str">
        <f>"북악간 8L5R2L2"</f>
        <v>북악간 8L5R2L2</v>
      </c>
      <c r="I15025" s="1" t="s">
        <v>8</v>
      </c>
      <c r="J15025" s="1" t="str">
        <f>"57/57"</f>
        <v>57/57</v>
      </c>
      <c r="K15025" s="1" t="str">
        <f>"2026-07-29 13:18:01"</f>
        <v>2026-07-29 13:18:01</v>
      </c>
      <c r="L15025" s="1" t="str">
        <f>"2019-10-18 18:01:53"</f>
        <v>2019-10-18 18:01:53</v>
      </c>
      <c r="M15025" s="1" t="s">
        <v>45</v>
      </c>
      <c r="N15025" s="1" t="s">
        <v>38</v>
      </c>
      <c r="O15025" s="1" t="s">
        <v>46</v>
      </c>
    </row>
    <row r="15026" spans="2:15" x14ac:dyDescent="0.3">
      <c r="B15026" s="1" t="s">
        <v>19</v>
      </c>
      <c r="C15026" s="1" t="str">
        <f>"4차"</f>
        <v>4차</v>
      </c>
      <c r="D15026" s="1" t="str">
        <f>"0128P61144"</f>
        <v>0128P61144</v>
      </c>
      <c r="E15026" s="1" t="s">
        <v>10</v>
      </c>
      <c r="F15026" s="1" t="str">
        <f>"10.107.121.133"</f>
        <v>10.107.121.133</v>
      </c>
      <c r="G15026" s="1" t="str">
        <f>"0128P611"</f>
        <v>0128P611</v>
      </c>
      <c r="H15026" s="1" t="str">
        <f>"북악간 8L5R2"</f>
        <v>북악간 8L5R2</v>
      </c>
      <c r="I15026" s="1" t="s">
        <v>8</v>
      </c>
      <c r="J15026" s="1" t="str">
        <f>"18/18"</f>
        <v>18/18</v>
      </c>
      <c r="K15026" s="1" t="str">
        <f>"2026-07-29 13:18:01"</f>
        <v>2026-07-29 13:18:01</v>
      </c>
      <c r="L15026" s="1" t="str">
        <f>"2019-10-18 18:03:03"</f>
        <v>2019-10-18 18:03:03</v>
      </c>
      <c r="M15026" s="1" t="s">
        <v>45</v>
      </c>
      <c r="N15026" s="1" t="s">
        <v>38</v>
      </c>
      <c r="O15026" s="1" t="s">
        <v>46</v>
      </c>
    </row>
    <row r="15027" spans="2:15" x14ac:dyDescent="0.3">
      <c r="B15027" s="1" t="s">
        <v>19</v>
      </c>
      <c r="C15027" s="1" t="str">
        <f>"4차"</f>
        <v>4차</v>
      </c>
      <c r="D15027" s="1" t="str">
        <f>"0128P64344"</f>
        <v>0128P64344</v>
      </c>
      <c r="E15027" s="1" t="s">
        <v>10</v>
      </c>
      <c r="F15027" s="1" t="str">
        <f>"10.107.10.6"</f>
        <v>10.107.10.6</v>
      </c>
      <c r="G15027" s="1" t="str">
        <f>"0128P643"</f>
        <v>0128P643</v>
      </c>
      <c r="H15027" s="1" t="str">
        <f>"미아간 28"</f>
        <v>미아간 28</v>
      </c>
      <c r="I15027" s="1" t="s">
        <v>8</v>
      </c>
      <c r="J15027" s="1" t="str">
        <f>"20/20"</f>
        <v>20/20</v>
      </c>
      <c r="K15027" s="1" t="str">
        <f>"2026-07-29 13:18:02"</f>
        <v>2026-07-29 13:18:02</v>
      </c>
      <c r="L15027" s="1" t="str">
        <f>"2019-10-21 11:02:35"</f>
        <v>2019-10-21 11:02:35</v>
      </c>
      <c r="M15027" s="1" t="s">
        <v>45</v>
      </c>
      <c r="N15027" s="1" t="s">
        <v>38</v>
      </c>
      <c r="O15027" s="1" t="s">
        <v>46</v>
      </c>
    </row>
    <row r="15028" spans="2:15" x14ac:dyDescent="0.3">
      <c r="B15028" s="1" t="s">
        <v>19</v>
      </c>
      <c r="C15028" s="1" t="str">
        <f>"6차"</f>
        <v>6차</v>
      </c>
      <c r="D15028" s="1" t="str">
        <f>"0128P6516M"</f>
        <v>0128P6516M</v>
      </c>
      <c r="E15028" s="1" t="s">
        <v>10</v>
      </c>
      <c r="F15028" s="1" t="str">
        <f>"fde1:103:4:c7d5:0:0:0:2"</f>
        <v>fde1:103:4:c7d5:0:0:0:2</v>
      </c>
      <c r="G15028" s="1" t="str">
        <f>"0128P651"</f>
        <v>0128P651</v>
      </c>
      <c r="H15028" s="1" t="str">
        <f>"미아간 30R2R1"</f>
        <v>미아간 30R2R1</v>
      </c>
      <c r="I15028" s="1" t="s">
        <v>15</v>
      </c>
      <c r="J15028" s="1" t="str">
        <f>"32/32"</f>
        <v>32/32</v>
      </c>
      <c r="K15028" s="1" t="str">
        <f>"2026-07-29 14:20:02"</f>
        <v>2026-07-29 14:20:02</v>
      </c>
      <c r="L15028" s="1" t="str">
        <f>"2024-12-02 13:44:45"</f>
        <v>2024-12-02 13:44:45</v>
      </c>
      <c r="M15028" s="1" t="s">
        <v>4</v>
      </c>
      <c r="N15028" s="1" t="s">
        <v>38</v>
      </c>
      <c r="O15028" s="1" t="s">
        <v>46</v>
      </c>
    </row>
    <row r="15029" spans="2:15" x14ac:dyDescent="0.3">
      <c r="B15029" s="1" t="s">
        <v>19</v>
      </c>
      <c r="C15029" s="1" t="str">
        <f>"6차"</f>
        <v>6차</v>
      </c>
      <c r="D15029" s="1" t="str">
        <f>"0128P6636S"</f>
        <v>0128P6636S</v>
      </c>
      <c r="E15029" s="1" t="s">
        <v>10</v>
      </c>
      <c r="F15029" s="1" t="str">
        <f>"fde1:103:4:9436:0:0:0:2"</f>
        <v>fde1:103:4:9436:0:0:0:2</v>
      </c>
      <c r="G15029" s="1" t="str">
        <f>"0128P663"</f>
        <v>0128P663</v>
      </c>
      <c r="H15029" s="1" t="str">
        <f>"미아간 30R4"</f>
        <v>미아간 30R4</v>
      </c>
      <c r="I15029" s="1" t="s">
        <v>15</v>
      </c>
      <c r="J15029" s="1" t="str">
        <f>"41/41"</f>
        <v>41/41</v>
      </c>
      <c r="K15029" s="1" t="str">
        <f>"2026-07-29 14:20:45"</f>
        <v>2026-07-29 14:20:45</v>
      </c>
      <c r="L15029" s="1" t="str">
        <f>"2025-02-24 13:12:45"</f>
        <v>2025-02-24 13:12:45</v>
      </c>
      <c r="M15029" s="1" t="s">
        <v>4</v>
      </c>
      <c r="N15029" s="1" t="s">
        <v>38</v>
      </c>
      <c r="O15029" s="1" t="s">
        <v>46</v>
      </c>
    </row>
    <row r="15030" spans="2:15" x14ac:dyDescent="0.3">
      <c r="B15030" s="1" t="s">
        <v>19</v>
      </c>
      <c r="C15030" s="1" t="str">
        <f t="shared" ref="C15030:C15036" si="761">"4차"</f>
        <v>4차</v>
      </c>
      <c r="D15030" s="1" t="str">
        <f>"0128P68144"</f>
        <v>0128P68144</v>
      </c>
      <c r="E15030" s="1" t="s">
        <v>10</v>
      </c>
      <c r="F15030" s="1" t="str">
        <f>"10.107.5.16"</f>
        <v>10.107.5.16</v>
      </c>
      <c r="G15030" s="1" t="str">
        <f>"0128P681"</f>
        <v>0128P681</v>
      </c>
      <c r="H15030" s="1" t="str">
        <f>"미아간 30R7L1"</f>
        <v>미아간 30R7L1</v>
      </c>
      <c r="I15030" s="1" t="s">
        <v>8</v>
      </c>
      <c r="J15030" s="1" t="str">
        <f>"21/21"</f>
        <v>21/21</v>
      </c>
      <c r="K15030" s="1" t="str">
        <f t="shared" ref="K15030:K15041" si="762">"2026-07-29 13:18:01"</f>
        <v>2026-07-29 13:18:01</v>
      </c>
      <c r="L15030" s="1" t="str">
        <f>"2023-07-20 17:45:26"</f>
        <v>2023-07-20 17:45:26</v>
      </c>
      <c r="M15030" s="1" t="s">
        <v>45</v>
      </c>
      <c r="N15030" s="1" t="s">
        <v>38</v>
      </c>
      <c r="O15030" s="1" t="s">
        <v>46</v>
      </c>
    </row>
    <row r="15031" spans="2:15" x14ac:dyDescent="0.3">
      <c r="B15031" s="1" t="s">
        <v>19</v>
      </c>
      <c r="C15031" s="1" t="str">
        <f t="shared" si="761"/>
        <v>4차</v>
      </c>
      <c r="D15031" s="1" t="str">
        <f>"0128P74144"</f>
        <v>0128P74144</v>
      </c>
      <c r="E15031" s="1" t="s">
        <v>10</v>
      </c>
      <c r="F15031" s="1" t="str">
        <f>"10.107.10.7"</f>
        <v>10.107.10.7</v>
      </c>
      <c r="G15031" s="1" t="str">
        <f>"0128P741"</f>
        <v>0128P741</v>
      </c>
      <c r="H15031" s="1" t="str">
        <f>"미아간 28R1"</f>
        <v>미아간 28R1</v>
      </c>
      <c r="I15031" s="1" t="s">
        <v>8</v>
      </c>
      <c r="J15031" s="1" t="str">
        <f>"33/33"</f>
        <v>33/33</v>
      </c>
      <c r="K15031" s="1" t="str">
        <f t="shared" si="762"/>
        <v>2026-07-29 13:18:01</v>
      </c>
      <c r="L15031" s="1" t="str">
        <f>"2019-10-21 11:33:05"</f>
        <v>2019-10-21 11:33:05</v>
      </c>
      <c r="M15031" s="1" t="s">
        <v>45</v>
      </c>
      <c r="N15031" s="1" t="s">
        <v>38</v>
      </c>
      <c r="O15031" s="1" t="s">
        <v>46</v>
      </c>
    </row>
    <row r="15032" spans="2:15" x14ac:dyDescent="0.3">
      <c r="B15032" s="1" t="s">
        <v>19</v>
      </c>
      <c r="C15032" s="1" t="str">
        <f t="shared" si="761"/>
        <v>4차</v>
      </c>
      <c r="D15032" s="1" t="str">
        <f>"0128P80144"</f>
        <v>0128P80144</v>
      </c>
      <c r="E15032" s="1" t="s">
        <v>10</v>
      </c>
      <c r="F15032" s="1" t="str">
        <f>"10.107.121.140"</f>
        <v>10.107.121.140</v>
      </c>
      <c r="G15032" s="1" t="str">
        <f>"0128P801"</f>
        <v>0128P801</v>
      </c>
      <c r="H15032" s="1" t="str">
        <f>"북악간 8L10L3"</f>
        <v>북악간 8L10L3</v>
      </c>
      <c r="I15032" s="1" t="s">
        <v>8</v>
      </c>
      <c r="J15032" s="1" t="str">
        <f>"13/13"</f>
        <v>13/13</v>
      </c>
      <c r="K15032" s="1" t="str">
        <f t="shared" si="762"/>
        <v>2026-07-29 13:18:01</v>
      </c>
      <c r="L15032" s="1" t="str">
        <f>"2019-10-18 17:32:52"</f>
        <v>2019-10-18 17:32:52</v>
      </c>
      <c r="M15032" s="1" t="s">
        <v>45</v>
      </c>
      <c r="N15032" s="1" t="s">
        <v>38</v>
      </c>
      <c r="O15032" s="1" t="s">
        <v>46</v>
      </c>
    </row>
    <row r="15033" spans="2:15" x14ac:dyDescent="0.3">
      <c r="B15033" s="1" t="s">
        <v>19</v>
      </c>
      <c r="C15033" s="1" t="str">
        <f t="shared" si="761"/>
        <v>4차</v>
      </c>
      <c r="D15033" s="1" t="str">
        <f>"0128P80344"</f>
        <v>0128P80344</v>
      </c>
      <c r="E15033" s="1" t="s">
        <v>10</v>
      </c>
      <c r="F15033" s="1" t="str">
        <f>"10.107.121.141"</f>
        <v>10.107.121.141</v>
      </c>
      <c r="G15033" s="1" t="str">
        <f>"0128P803"</f>
        <v>0128P803</v>
      </c>
      <c r="H15033" s="1" t="str">
        <f>"북악간 8L6"</f>
        <v>북악간 8L6</v>
      </c>
      <c r="I15033" s="1" t="s">
        <v>8</v>
      </c>
      <c r="J15033" s="1" t="str">
        <f>"28/28"</f>
        <v>28/28</v>
      </c>
      <c r="K15033" s="1" t="str">
        <f t="shared" si="762"/>
        <v>2026-07-29 13:18:01</v>
      </c>
      <c r="L15033" s="1" t="str">
        <f>"2019-10-18 18:33:04"</f>
        <v>2019-10-18 18:33:04</v>
      </c>
      <c r="M15033" s="1" t="s">
        <v>45</v>
      </c>
      <c r="N15033" s="1" t="s">
        <v>38</v>
      </c>
      <c r="O15033" s="1" t="s">
        <v>46</v>
      </c>
    </row>
    <row r="15034" spans="2:15" x14ac:dyDescent="0.3">
      <c r="B15034" s="1" t="s">
        <v>19</v>
      </c>
      <c r="C15034" s="1" t="str">
        <f t="shared" si="761"/>
        <v>4차</v>
      </c>
      <c r="D15034" s="1" t="str">
        <f>"0128P81144"</f>
        <v>0128P81144</v>
      </c>
      <c r="E15034" s="1" t="s">
        <v>10</v>
      </c>
      <c r="F15034" s="1" t="str">
        <f>"10.107.121.134"</f>
        <v>10.107.121.134</v>
      </c>
      <c r="G15034" s="1" t="str">
        <f>"0128P811"</f>
        <v>0128P811</v>
      </c>
      <c r="H15034" s="1" t="str">
        <f>"북악간 8L4"</f>
        <v>북악간 8L4</v>
      </c>
      <c r="I15034" s="1" t="s">
        <v>8</v>
      </c>
      <c r="J15034" s="1" t="str">
        <f>"30/30"</f>
        <v>30/30</v>
      </c>
      <c r="K15034" s="1" t="str">
        <f t="shared" si="762"/>
        <v>2026-07-29 13:18:01</v>
      </c>
      <c r="L15034" s="1" t="str">
        <f>"2019-10-18 18:19:37"</f>
        <v>2019-10-18 18:19:37</v>
      </c>
      <c r="M15034" s="1" t="s">
        <v>45</v>
      </c>
      <c r="N15034" s="1" t="s">
        <v>38</v>
      </c>
      <c r="O15034" s="1" t="s">
        <v>46</v>
      </c>
    </row>
    <row r="15035" spans="2:15" x14ac:dyDescent="0.3">
      <c r="B15035" s="1" t="s">
        <v>19</v>
      </c>
      <c r="C15035" s="1" t="str">
        <f t="shared" si="761"/>
        <v>4차</v>
      </c>
      <c r="D15035" s="1" t="str">
        <f>"0128P81344"</f>
        <v>0128P81344</v>
      </c>
      <c r="E15035" s="1" t="s">
        <v>10</v>
      </c>
      <c r="F15035" s="1" t="str">
        <f>"10.107.121.135"</f>
        <v>10.107.121.135</v>
      </c>
      <c r="G15035" s="1" t="str">
        <f>"0128P813"</f>
        <v>0128P813</v>
      </c>
      <c r="H15035" s="1" t="str">
        <f>"북악간 8L5"</f>
        <v>북악간 8L5</v>
      </c>
      <c r="I15035" s="1" t="s">
        <v>8</v>
      </c>
      <c r="J15035" s="1" t="str">
        <f>"46/46"</f>
        <v>46/46</v>
      </c>
      <c r="K15035" s="1" t="str">
        <f t="shared" si="762"/>
        <v>2026-07-29 13:18:01</v>
      </c>
      <c r="L15035" s="1" t="str">
        <f>"2019-10-18 18:02:07"</f>
        <v>2019-10-18 18:02:07</v>
      </c>
      <c r="M15035" s="1" t="s">
        <v>45</v>
      </c>
      <c r="N15035" s="1" t="s">
        <v>38</v>
      </c>
      <c r="O15035" s="1" t="s">
        <v>46</v>
      </c>
    </row>
    <row r="15036" spans="2:15" x14ac:dyDescent="0.3">
      <c r="B15036" s="1" t="s">
        <v>19</v>
      </c>
      <c r="C15036" s="1" t="str">
        <f t="shared" si="761"/>
        <v>4차</v>
      </c>
      <c r="D15036" s="1" t="str">
        <f>"0128P83144"</f>
        <v>0128P83144</v>
      </c>
      <c r="E15036" s="1" t="s">
        <v>10</v>
      </c>
      <c r="F15036" s="1" t="str">
        <f>"10.107.10.5"</f>
        <v>10.107.10.5</v>
      </c>
      <c r="G15036" s="1" t="str">
        <f>"0128P831"</f>
        <v>0128P831</v>
      </c>
      <c r="H15036" s="1" t="str">
        <f>"미아간 26"</f>
        <v>미아간 26</v>
      </c>
      <c r="I15036" s="1" t="s">
        <v>8</v>
      </c>
      <c r="J15036" s="1" t="str">
        <f>"21/21"</f>
        <v>21/21</v>
      </c>
      <c r="K15036" s="1" t="str">
        <f t="shared" si="762"/>
        <v>2026-07-29 13:18:01</v>
      </c>
      <c r="L15036" s="1" t="str">
        <f>"2019-10-21 11:03:05"</f>
        <v>2019-10-21 11:03:05</v>
      </c>
      <c r="M15036" s="1" t="s">
        <v>45</v>
      </c>
      <c r="N15036" s="1" t="s">
        <v>38</v>
      </c>
      <c r="O15036" s="1" t="s">
        <v>46</v>
      </c>
    </row>
    <row r="15037" spans="2:15" x14ac:dyDescent="0.3">
      <c r="B15037" s="1" t="s">
        <v>19</v>
      </c>
      <c r="C15037" s="1" t="str">
        <f>"1차"</f>
        <v>1차</v>
      </c>
      <c r="D15037" s="1" t="str">
        <f>"0128P89300"</f>
        <v>0128P89300</v>
      </c>
      <c r="E15037" s="1" t="s">
        <v>10</v>
      </c>
      <c r="F15037" s="1" t="str">
        <f>"10.107.5.17"</f>
        <v>10.107.5.17</v>
      </c>
      <c r="G15037" s="1" t="str">
        <f>"0128P893"</f>
        <v>0128P893</v>
      </c>
      <c r="H15037" s="1" t="str">
        <f>"미아간 30R9R1"</f>
        <v>미아간 30R9R1</v>
      </c>
      <c r="I15037" s="1" t="s">
        <v>8</v>
      </c>
      <c r="J15037" s="1" t="str">
        <f>"9/9"</f>
        <v>9/9</v>
      </c>
      <c r="K15037" s="1" t="str">
        <f t="shared" si="762"/>
        <v>2026-07-29 13:18:01</v>
      </c>
      <c r="L15037" s="1" t="str">
        <f>"2014-11-19 14:38:26"</f>
        <v>2014-11-19 14:38:26</v>
      </c>
      <c r="M15037" s="1" t="s">
        <v>45</v>
      </c>
      <c r="N15037" s="1" t="s">
        <v>38</v>
      </c>
      <c r="O15037" s="1" t="s">
        <v>46</v>
      </c>
    </row>
    <row r="15038" spans="2:15" x14ac:dyDescent="0.3">
      <c r="B15038" s="1" t="s">
        <v>19</v>
      </c>
      <c r="C15038" s="1" t="str">
        <f t="shared" ref="C15038:C15044" si="763">"4차"</f>
        <v>4차</v>
      </c>
      <c r="D15038" s="1" t="str">
        <f>"0128P90144"</f>
        <v>0128P90144</v>
      </c>
      <c r="E15038" s="1" t="s">
        <v>10</v>
      </c>
      <c r="F15038" s="1" t="str">
        <f>"10.107.121.142"</f>
        <v>10.107.121.142</v>
      </c>
      <c r="G15038" s="1" t="str">
        <f>"0128P901"</f>
        <v>0128P901</v>
      </c>
      <c r="H15038" s="1" t="str">
        <f>"북악간 8L10L2"</f>
        <v>북악간 8L10L2</v>
      </c>
      <c r="I15038" s="1" t="s">
        <v>8</v>
      </c>
      <c r="J15038" s="1" t="str">
        <f>"44/45"</f>
        <v>44/45</v>
      </c>
      <c r="K15038" s="1" t="str">
        <f t="shared" si="762"/>
        <v>2026-07-29 13:18:01</v>
      </c>
      <c r="L15038" s="1" t="str">
        <f>"2019-10-18 17:20:38"</f>
        <v>2019-10-18 17:20:38</v>
      </c>
      <c r="M15038" s="1" t="s">
        <v>45</v>
      </c>
      <c r="N15038" s="1" t="s">
        <v>38</v>
      </c>
      <c r="O15038" s="1" t="s">
        <v>46</v>
      </c>
    </row>
    <row r="15039" spans="2:15" x14ac:dyDescent="0.3">
      <c r="B15039" s="1" t="s">
        <v>19</v>
      </c>
      <c r="C15039" s="1" t="str">
        <f t="shared" si="763"/>
        <v>4차</v>
      </c>
      <c r="D15039" s="1" t="str">
        <f>"0128P91144"</f>
        <v>0128P91144</v>
      </c>
      <c r="E15039" s="1" t="s">
        <v>10</v>
      </c>
      <c r="F15039" s="1" t="str">
        <f>"10.107.121.136"</f>
        <v>10.107.121.136</v>
      </c>
      <c r="G15039" s="1" t="str">
        <f>"0128P911"</f>
        <v>0128P911</v>
      </c>
      <c r="H15039" s="1" t="str">
        <f>"북악간 8L3"</f>
        <v>북악간 8L3</v>
      </c>
      <c r="I15039" s="1" t="s">
        <v>8</v>
      </c>
      <c r="J15039" s="1" t="str">
        <f>"28/28"</f>
        <v>28/28</v>
      </c>
      <c r="K15039" s="1" t="str">
        <f t="shared" si="762"/>
        <v>2026-07-29 13:18:01</v>
      </c>
      <c r="L15039" s="1" t="str">
        <f>"2019-10-18 17:47:24"</f>
        <v>2019-10-18 17:47:24</v>
      </c>
      <c r="M15039" s="1" t="s">
        <v>45</v>
      </c>
      <c r="N15039" s="1" t="s">
        <v>38</v>
      </c>
      <c r="O15039" s="1" t="s">
        <v>46</v>
      </c>
    </row>
    <row r="15040" spans="2:15" x14ac:dyDescent="0.3">
      <c r="B15040" s="1" t="s">
        <v>19</v>
      </c>
      <c r="C15040" s="1" t="str">
        <f t="shared" si="763"/>
        <v>4차</v>
      </c>
      <c r="D15040" s="1" t="str">
        <f>"0128Q01144"</f>
        <v>0128Q01144</v>
      </c>
      <c r="E15040" s="1" t="s">
        <v>10</v>
      </c>
      <c r="F15040" s="1" t="str">
        <f>"10.107.121.137"</f>
        <v>10.107.121.137</v>
      </c>
      <c r="G15040" s="1" t="str">
        <f>"0128Q011"</f>
        <v>0128Q011</v>
      </c>
      <c r="H15040" s="1" t="str">
        <f>"북악간 8L2"</f>
        <v>북악간 8L2</v>
      </c>
      <c r="I15040" s="1" t="s">
        <v>8</v>
      </c>
      <c r="J15040" s="1" t="str">
        <f>"19/19"</f>
        <v>19/19</v>
      </c>
      <c r="K15040" s="1" t="str">
        <f t="shared" si="762"/>
        <v>2026-07-29 13:18:01</v>
      </c>
      <c r="L15040" s="1" t="str">
        <f>"2019-10-18 17:48:24"</f>
        <v>2019-10-18 17:48:24</v>
      </c>
      <c r="M15040" s="1" t="s">
        <v>45</v>
      </c>
      <c r="N15040" s="1" t="s">
        <v>38</v>
      </c>
      <c r="O15040" s="1" t="s">
        <v>46</v>
      </c>
    </row>
    <row r="15041" spans="2:15" x14ac:dyDescent="0.3">
      <c r="B15041" s="1" t="s">
        <v>19</v>
      </c>
      <c r="C15041" s="1" t="str">
        <f t="shared" si="763"/>
        <v>4차</v>
      </c>
      <c r="D15041" s="1" t="str">
        <f>"0128Q20144"</f>
        <v>0128Q20144</v>
      </c>
      <c r="E15041" s="1" t="s">
        <v>10</v>
      </c>
      <c r="F15041" s="1" t="str">
        <f>"10.107.121.143"</f>
        <v>10.107.121.143</v>
      </c>
      <c r="G15041" s="1" t="str">
        <f>"0128Q201"</f>
        <v>0128Q201</v>
      </c>
      <c r="H15041" s="1" t="str">
        <f>"북악간 8L17L5"</f>
        <v>북악간 8L17L5</v>
      </c>
      <c r="I15041" s="1" t="s">
        <v>8</v>
      </c>
      <c r="J15041" s="1" t="str">
        <f>"101/101"</f>
        <v>101/101</v>
      </c>
      <c r="K15041" s="1" t="str">
        <f t="shared" si="762"/>
        <v>2026-07-29 13:18:01</v>
      </c>
      <c r="L15041" s="1" t="str">
        <f>"2021-09-09 10:30:54"</f>
        <v>2021-09-09 10:30:54</v>
      </c>
      <c r="M15041" s="1" t="s">
        <v>45</v>
      </c>
      <c r="N15041" s="1" t="s">
        <v>38</v>
      </c>
      <c r="O15041" s="1" t="s">
        <v>46</v>
      </c>
    </row>
    <row r="15042" spans="2:15" x14ac:dyDescent="0.3">
      <c r="B15042" s="1" t="s">
        <v>19</v>
      </c>
      <c r="C15042" s="1" t="str">
        <f t="shared" si="763"/>
        <v>4차</v>
      </c>
      <c r="D15042" s="1" t="str">
        <f>"0128Q78345"</f>
        <v>0128Q78345</v>
      </c>
      <c r="E15042" s="1" t="s">
        <v>10</v>
      </c>
      <c r="F15042" s="1" t="str">
        <f>"10.14.1.54"</f>
        <v>10.14.1.54</v>
      </c>
      <c r="G15042" s="1" t="str">
        <f>"0128Q783"</f>
        <v>0128Q783</v>
      </c>
      <c r="H15042" s="1" t="str">
        <f>"길음 11"</f>
        <v>길음 11</v>
      </c>
      <c r="I15042" s="1" t="s">
        <v>17</v>
      </c>
      <c r="J15042" s="1" t="str">
        <f>"14/22"</f>
        <v>14/22</v>
      </c>
      <c r="K15042" s="1" t="str">
        <f>"2026-07-29 13:18:03"</f>
        <v>2026-07-29 13:18:03</v>
      </c>
      <c r="L15042" s="1" t="str">
        <f>"2021-06-25 09:34:43"</f>
        <v>2021-06-25 09:34:43</v>
      </c>
      <c r="M15042" s="1" t="s">
        <v>3</v>
      </c>
      <c r="N15042" s="1" t="s">
        <v>38</v>
      </c>
      <c r="O15042" s="1" t="s">
        <v>46</v>
      </c>
    </row>
    <row r="15043" spans="2:15" x14ac:dyDescent="0.3">
      <c r="B15043" s="1" t="s">
        <v>19</v>
      </c>
      <c r="C15043" s="1" t="str">
        <f t="shared" si="763"/>
        <v>4차</v>
      </c>
      <c r="D15043" s="1" t="str">
        <f>"0128R30241"</f>
        <v>0128R30241</v>
      </c>
      <c r="E15043" s="1" t="s">
        <v>10</v>
      </c>
      <c r="F15043" s="1" t="str">
        <f>"10.12.129.218"</f>
        <v>10.12.129.218</v>
      </c>
      <c r="G15043" s="1" t="str">
        <f>"0128R302"</f>
        <v>0128R302</v>
      </c>
      <c r="H15043" s="1" t="str">
        <f>"동미간 48R4L1"</f>
        <v>동미간 48R4L1</v>
      </c>
      <c r="I15043" s="1" t="s">
        <v>17</v>
      </c>
      <c r="J15043" s="1" t="str">
        <f>"15/15"</f>
        <v>15/15</v>
      </c>
      <c r="K15043" s="1" t="str">
        <f>"2026-07-29 07:18:01"</f>
        <v>2026-07-29 07:18:01</v>
      </c>
      <c r="L15043" s="1" t="str">
        <f>"2021-10-14 11:55:02"</f>
        <v>2021-10-14 11:55:02</v>
      </c>
      <c r="M15043" s="1" t="s">
        <v>0</v>
      </c>
      <c r="N15043" s="1" t="s">
        <v>38</v>
      </c>
      <c r="O15043" s="1" t="s">
        <v>46</v>
      </c>
    </row>
    <row r="15044" spans="2:15" x14ac:dyDescent="0.3">
      <c r="B15044" s="1" t="s">
        <v>19</v>
      </c>
      <c r="C15044" s="1" t="str">
        <f t="shared" si="763"/>
        <v>4차</v>
      </c>
      <c r="D15044" s="1" t="str">
        <f>"0128R44342"</f>
        <v>0128R44342</v>
      </c>
      <c r="E15044" s="1" t="s">
        <v>10</v>
      </c>
      <c r="F15044" s="1" t="str">
        <f>"10.107.4.50"</f>
        <v>10.107.4.50</v>
      </c>
      <c r="G15044" s="1" t="str">
        <f>"0128R443"</f>
        <v>0128R443</v>
      </c>
      <c r="H15044" s="1" t="str">
        <f>"동미간 48R11R1"</f>
        <v>동미간 48R11R1</v>
      </c>
      <c r="I15044" s="1" t="s">
        <v>8</v>
      </c>
      <c r="J15044" s="1" t="str">
        <f>"22/22"</f>
        <v>22/22</v>
      </c>
      <c r="K15044" s="1" t="str">
        <f>"2026-07-29 13:18:01"</f>
        <v>2026-07-29 13:18:01</v>
      </c>
      <c r="L15044" s="1" t="str">
        <f>"2025-08-22 15:46:33"</f>
        <v>2025-08-22 15:46:33</v>
      </c>
      <c r="M15044" s="1" t="s">
        <v>45</v>
      </c>
      <c r="N15044" s="1" t="s">
        <v>38</v>
      </c>
      <c r="O15044" s="1" t="s">
        <v>46</v>
      </c>
    </row>
    <row r="15045" spans="2:15" x14ac:dyDescent="0.3">
      <c r="B15045" s="1" t="s">
        <v>19</v>
      </c>
      <c r="C15045" s="1" t="str">
        <f>"1차"</f>
        <v>1차</v>
      </c>
      <c r="D15045" s="1" t="str">
        <f>"0128R45100"</f>
        <v>0128R45100</v>
      </c>
      <c r="E15045" s="1" t="s">
        <v>10</v>
      </c>
      <c r="F15045" s="1" t="str">
        <f>"10.107.3.125"</f>
        <v>10.107.3.125</v>
      </c>
      <c r="G15045" s="1" t="str">
        <f>"0128R451"</f>
        <v>0128R451</v>
      </c>
      <c r="H15045" s="1" t="str">
        <f>"동미간 48R11R2"</f>
        <v>동미간 48R11R2</v>
      </c>
      <c r="I15045" s="1" t="s">
        <v>8</v>
      </c>
      <c r="J15045" s="1" t="str">
        <f>"48/74"</f>
        <v>48/74</v>
      </c>
      <c r="K15045" s="1" t="str">
        <f>"2026-07-29 13:18:01"</f>
        <v>2026-07-29 13:18:01</v>
      </c>
      <c r="L15045" s="1" t="str">
        <f>"2014-11-18 15:23:50"</f>
        <v>2014-11-18 15:23:50</v>
      </c>
      <c r="M15045" s="1" t="s">
        <v>45</v>
      </c>
      <c r="N15045" s="1" t="s">
        <v>38</v>
      </c>
      <c r="O15045" s="1" t="s">
        <v>46</v>
      </c>
    </row>
    <row r="15046" spans="2:15" x14ac:dyDescent="0.3">
      <c r="B15046" s="1" t="s">
        <v>19</v>
      </c>
      <c r="C15046" s="1" t="str">
        <f>"6차"</f>
        <v>6차</v>
      </c>
      <c r="D15046" s="1" t="str">
        <f>"0128R4616M"</f>
        <v>0128R4616M</v>
      </c>
      <c r="E15046" s="1" t="s">
        <v>10</v>
      </c>
      <c r="F15046" s="1" t="str">
        <f>"fde1:103:4:c7cf:0:0:0:2"</f>
        <v>fde1:103:4:c7cf:0:0:0:2</v>
      </c>
      <c r="G15046" s="1" t="str">
        <f>"0128R461"</f>
        <v>0128R461</v>
      </c>
      <c r="H15046" s="1" t="str">
        <f>"동미간 48R11R3"</f>
        <v>동미간 48R11R3</v>
      </c>
      <c r="I15046" s="1" t="s">
        <v>15</v>
      </c>
      <c r="J15046" s="1" t="str">
        <f>"58/58"</f>
        <v>58/58</v>
      </c>
      <c r="K15046" s="1" t="str">
        <f>"2026-07-29 14:20:09"</f>
        <v>2026-07-29 14:20:09</v>
      </c>
      <c r="L15046" s="1" t="str">
        <f>"2024-12-02 13:45:10"</f>
        <v>2024-12-02 13:45:10</v>
      </c>
      <c r="M15046" s="1" t="s">
        <v>4</v>
      </c>
      <c r="N15046" s="1" t="s">
        <v>38</v>
      </c>
      <c r="O15046" s="1" t="s">
        <v>46</v>
      </c>
    </row>
    <row r="15047" spans="2:15" x14ac:dyDescent="0.3">
      <c r="B15047" s="1" t="s">
        <v>19</v>
      </c>
      <c r="C15047" s="1" t="str">
        <f>"4차"</f>
        <v>4차</v>
      </c>
      <c r="D15047" s="1" t="str">
        <f>"0128R50144"</f>
        <v>0128R50144</v>
      </c>
      <c r="E15047" s="1" t="s">
        <v>10</v>
      </c>
      <c r="F15047" s="1" t="str">
        <f>"10.107.10.4"</f>
        <v>10.107.10.4</v>
      </c>
      <c r="G15047" s="1" t="str">
        <f>"0128R501"</f>
        <v>0128R501</v>
      </c>
      <c r="H15047" s="1" t="str">
        <f>"동미간 35R5L11"</f>
        <v>동미간 35R5L11</v>
      </c>
      <c r="I15047" s="1" t="s">
        <v>8</v>
      </c>
      <c r="J15047" s="1" t="str">
        <f>"80/86"</f>
        <v>80/86</v>
      </c>
      <c r="K15047" s="1" t="str">
        <f>"2026-07-29 13:18:01"</f>
        <v>2026-07-29 13:18:01</v>
      </c>
      <c r="L15047" s="1" t="str">
        <f>"2019-10-17 18:33:04"</f>
        <v>2019-10-17 18:33:04</v>
      </c>
      <c r="M15047" s="1" t="s">
        <v>45</v>
      </c>
      <c r="N15047" s="1" t="s">
        <v>38</v>
      </c>
      <c r="O15047" s="1" t="s">
        <v>46</v>
      </c>
    </row>
    <row r="15048" spans="2:15" x14ac:dyDescent="0.3">
      <c r="B15048" s="1" t="s">
        <v>19</v>
      </c>
      <c r="C15048" s="1" t="str">
        <f>"4차"</f>
        <v>4차</v>
      </c>
      <c r="D15048" s="1" t="str">
        <f>"0128R59344"</f>
        <v>0128R59344</v>
      </c>
      <c r="E15048" s="1" t="s">
        <v>10</v>
      </c>
      <c r="F15048" s="1" t="str">
        <f>"10.107.121.138"</f>
        <v>10.107.121.138</v>
      </c>
      <c r="G15048" s="1" t="str">
        <f>"0128R593"</f>
        <v>0128R593</v>
      </c>
      <c r="H15048" s="1" t="str">
        <f>"북악간 8L5R2L6"</f>
        <v>북악간 8L5R2L6</v>
      </c>
      <c r="I15048" s="1" t="s">
        <v>8</v>
      </c>
      <c r="J15048" s="1" t="str">
        <f>"18/18"</f>
        <v>18/18</v>
      </c>
      <c r="K15048" s="1" t="str">
        <f>"2026-07-29 13:18:01"</f>
        <v>2026-07-29 13:18:01</v>
      </c>
      <c r="L15048" s="1" t="str">
        <f>"2019-10-18 17:47:09"</f>
        <v>2019-10-18 17:47:09</v>
      </c>
      <c r="M15048" s="1" t="s">
        <v>45</v>
      </c>
      <c r="N15048" s="1" t="s">
        <v>38</v>
      </c>
      <c r="O15048" s="1" t="s">
        <v>46</v>
      </c>
    </row>
    <row r="15049" spans="2:15" x14ac:dyDescent="0.3">
      <c r="B15049" s="1" t="s">
        <v>19</v>
      </c>
      <c r="C15049" s="1" t="str">
        <f>"1차"</f>
        <v>1차</v>
      </c>
      <c r="D15049" s="1" t="str">
        <f>"0128R65400"</f>
        <v>0128R65400</v>
      </c>
      <c r="E15049" s="1" t="s">
        <v>10</v>
      </c>
      <c r="F15049" s="1" t="str">
        <f>"10.107.5.19"</f>
        <v>10.107.5.19</v>
      </c>
      <c r="G15049" s="1" t="str">
        <f>"0128R654"</f>
        <v>0128R654</v>
      </c>
      <c r="H15049" s="1" t="str">
        <f>"동미간 48R11R7"</f>
        <v>동미간 48R11R7</v>
      </c>
      <c r="I15049" s="1" t="s">
        <v>8</v>
      </c>
      <c r="J15049" s="1" t="str">
        <f>"22/22"</f>
        <v>22/22</v>
      </c>
      <c r="K15049" s="1" t="str">
        <f>"2026-07-29 13:18:02"</f>
        <v>2026-07-29 13:18:02</v>
      </c>
      <c r="L15049" s="1" t="str">
        <f>"2014-11-19 14:43:30"</f>
        <v>2014-11-19 14:43:30</v>
      </c>
      <c r="M15049" s="1" t="s">
        <v>45</v>
      </c>
      <c r="N15049" s="1" t="s">
        <v>38</v>
      </c>
      <c r="O15049" s="1" t="s">
        <v>46</v>
      </c>
    </row>
    <row r="15050" spans="2:15" x14ac:dyDescent="0.3">
      <c r="B15050" s="1" t="s">
        <v>19</v>
      </c>
      <c r="C15050" s="1" t="str">
        <f>"4차"</f>
        <v>4차</v>
      </c>
      <c r="D15050" s="1" t="str">
        <f>"0128R69244"</f>
        <v>0128R69244</v>
      </c>
      <c r="E15050" s="1" t="s">
        <v>10</v>
      </c>
      <c r="F15050" s="1" t="str">
        <f>"10.107.121.139"</f>
        <v>10.107.121.139</v>
      </c>
      <c r="G15050" s="1" t="str">
        <f>"0128R692"</f>
        <v>0128R692</v>
      </c>
      <c r="H15050" s="1" t="str">
        <f>"북악간 8L5R2L3"</f>
        <v>북악간 8L5R2L3</v>
      </c>
      <c r="I15050" s="1" t="s">
        <v>8</v>
      </c>
      <c r="J15050" s="1" t="str">
        <f>"55/56"</f>
        <v>55/56</v>
      </c>
      <c r="K15050" s="1" t="str">
        <f>"2026-07-29 13:18:01"</f>
        <v>2026-07-29 13:18:01</v>
      </c>
      <c r="L15050" s="1" t="str">
        <f>"2019-10-18 17:46:23"</f>
        <v>2019-10-18 17:46:23</v>
      </c>
      <c r="M15050" s="1" t="s">
        <v>45</v>
      </c>
      <c r="N15050" s="1" t="s">
        <v>38</v>
      </c>
      <c r="O15050" s="1" t="s">
        <v>46</v>
      </c>
    </row>
    <row r="15051" spans="2:15" x14ac:dyDescent="0.3">
      <c r="B15051" s="1" t="s">
        <v>19</v>
      </c>
      <c r="C15051" s="1" t="str">
        <f>"5-1차"</f>
        <v>5-1차</v>
      </c>
      <c r="D15051" s="1" t="str">
        <f>"0128R7015M"</f>
        <v>0128R7015M</v>
      </c>
      <c r="E15051" s="1" t="s">
        <v>10</v>
      </c>
      <c r="F15051" s="1" t="str">
        <f>"fde2:104:0:3b:0:0:0:2"</f>
        <v>fde2:104:0:3b:0:0:0:2</v>
      </c>
      <c r="G15051" s="1" t="str">
        <f>"0128R701"</f>
        <v>0128R701</v>
      </c>
      <c r="H15051" s="1" t="str">
        <f>"동미간 35R5L12R6"</f>
        <v>동미간 35R5L12R6</v>
      </c>
      <c r="I15051" s="1" t="s">
        <v>15</v>
      </c>
      <c r="J15051" s="1" t="str">
        <f>"40/41"</f>
        <v>40/41</v>
      </c>
      <c r="K15051" s="1" t="str">
        <f>"2026-07-28 20:03:45"</f>
        <v>2026-07-28 20:03:45</v>
      </c>
      <c r="L15051" s="1" t="str">
        <f>"2022-09-08 07:36:32"</f>
        <v>2022-09-08 07:36:32</v>
      </c>
      <c r="M15051" s="1" t="s">
        <v>42</v>
      </c>
      <c r="N15051" s="1" t="s">
        <v>38</v>
      </c>
      <c r="O15051" s="1" t="s">
        <v>46</v>
      </c>
    </row>
    <row r="15052" spans="2:15" x14ac:dyDescent="0.3">
      <c r="B15052" s="1" t="s">
        <v>19</v>
      </c>
      <c r="C15052" s="1" t="str">
        <f>"4차"</f>
        <v>4차</v>
      </c>
      <c r="D15052" s="1" t="str">
        <f>"0128R71244"</f>
        <v>0128R71244</v>
      </c>
      <c r="E15052" s="1" t="s">
        <v>10</v>
      </c>
      <c r="F15052" s="1" t="str">
        <f>"10.107.3.128"</f>
        <v>10.107.3.128</v>
      </c>
      <c r="G15052" s="1" t="str">
        <f>"0128R712"</f>
        <v>0128R712</v>
      </c>
      <c r="H15052" s="1" t="str">
        <f>"동미간 35R5L12R5"</f>
        <v>동미간 35R5L12R5</v>
      </c>
      <c r="I15052" s="1" t="s">
        <v>8</v>
      </c>
      <c r="J15052" s="1" t="str">
        <f>"19/19"</f>
        <v>19/19</v>
      </c>
      <c r="K15052" s="1" t="str">
        <f>"2026-07-29 13:18:02"</f>
        <v>2026-07-29 13:18:02</v>
      </c>
      <c r="L15052" s="1" t="str">
        <f>"2023-08-31 17:57:21"</f>
        <v>2023-08-31 17:57:21</v>
      </c>
      <c r="M15052" s="1" t="s">
        <v>45</v>
      </c>
      <c r="N15052" s="1" t="s">
        <v>38</v>
      </c>
      <c r="O15052" s="1" t="s">
        <v>46</v>
      </c>
    </row>
    <row r="15053" spans="2:15" x14ac:dyDescent="0.3">
      <c r="B15053" s="1" t="s">
        <v>19</v>
      </c>
      <c r="C15053" s="1" t="str">
        <f>"1차"</f>
        <v>1차</v>
      </c>
      <c r="D15053" s="1" t="str">
        <f>"0128R72101"</f>
        <v>0128R72101</v>
      </c>
      <c r="E15053" s="1" t="s">
        <v>10</v>
      </c>
      <c r="F15053" s="1" t="str">
        <f>"10.14.1.57"</f>
        <v>10.14.1.57</v>
      </c>
      <c r="G15053" s="1" t="str">
        <f>"0128R721"</f>
        <v>0128R721</v>
      </c>
      <c r="H15053" s="1" t="str">
        <f>"동미간 35R5L12R4"</f>
        <v>동미간 35R5L12R4</v>
      </c>
      <c r="I15053" s="1" t="s">
        <v>8</v>
      </c>
      <c r="J15053" s="1" t="str">
        <f>"32/32"</f>
        <v>32/32</v>
      </c>
      <c r="K15053" s="1" t="str">
        <f>"2026-07-29 13:18:03"</f>
        <v>2026-07-29 13:18:03</v>
      </c>
      <c r="L15053" s="1" t="str">
        <f>"2014-11-18 15:31:30"</f>
        <v>2014-11-18 15:31:30</v>
      </c>
      <c r="M15053" s="1" t="s">
        <v>3</v>
      </c>
      <c r="N15053" s="1" t="s">
        <v>38</v>
      </c>
      <c r="O15053" s="1" t="s">
        <v>46</v>
      </c>
    </row>
    <row r="15054" spans="2:15" x14ac:dyDescent="0.3">
      <c r="B15054" s="1" t="s">
        <v>19</v>
      </c>
      <c r="C15054" s="1" t="str">
        <f t="shared" ref="C15054:C15062" si="764">"4차"</f>
        <v>4차</v>
      </c>
      <c r="D15054" s="1" t="str">
        <f>"0128R98244"</f>
        <v>0128R98244</v>
      </c>
      <c r="E15054" s="1" t="s">
        <v>10</v>
      </c>
      <c r="F15054" s="1" t="str">
        <f>"10.107.12.23"</f>
        <v>10.107.12.23</v>
      </c>
      <c r="G15054" s="1" t="str">
        <f>"0128R982"</f>
        <v>0128R982</v>
      </c>
      <c r="H15054" s="1" t="str">
        <f>"북악간 8L17R2R8R1"</f>
        <v>북악간 8L17R2R8R1</v>
      </c>
      <c r="I15054" s="1" t="s">
        <v>8</v>
      </c>
      <c r="J15054" s="1" t="str">
        <f>"38/38"</f>
        <v>38/38</v>
      </c>
      <c r="K15054" s="1" t="str">
        <f>"2026-07-29 13:18:01"</f>
        <v>2026-07-29 13:18:01</v>
      </c>
      <c r="L15054" s="1" t="str">
        <f>"2019-10-18 18:01:39"</f>
        <v>2019-10-18 18:01:39</v>
      </c>
      <c r="M15054" s="1" t="s">
        <v>45</v>
      </c>
      <c r="N15054" s="1" t="s">
        <v>38</v>
      </c>
      <c r="O15054" s="1" t="s">
        <v>46</v>
      </c>
    </row>
    <row r="15055" spans="2:15" x14ac:dyDescent="0.3">
      <c r="B15055" s="1" t="s">
        <v>19</v>
      </c>
      <c r="C15055" s="1" t="str">
        <f t="shared" si="764"/>
        <v>4차</v>
      </c>
      <c r="D15055" s="1" t="str">
        <f>"0128R99244"</f>
        <v>0128R99244</v>
      </c>
      <c r="E15055" s="1" t="s">
        <v>10</v>
      </c>
      <c r="F15055" s="1" t="str">
        <f>"10.107.121.144"</f>
        <v>10.107.121.144</v>
      </c>
      <c r="G15055" s="1" t="str">
        <f>"0128R992"</f>
        <v>0128R992</v>
      </c>
      <c r="H15055" s="1" t="str">
        <f>"북악간 8L10"</f>
        <v>북악간 8L10</v>
      </c>
      <c r="I15055" s="1" t="s">
        <v>8</v>
      </c>
      <c r="J15055" s="1" t="str">
        <f>"8/8"</f>
        <v>8/8</v>
      </c>
      <c r="K15055" s="1" t="str">
        <f>"2026-07-29 13:18:01"</f>
        <v>2026-07-29 13:18:01</v>
      </c>
      <c r="L15055" s="1" t="str">
        <f>"2019-10-18 17:33:05"</f>
        <v>2019-10-18 17:33:05</v>
      </c>
      <c r="M15055" s="1" t="s">
        <v>45</v>
      </c>
      <c r="N15055" s="1" t="s">
        <v>38</v>
      </c>
      <c r="O15055" s="1" t="s">
        <v>46</v>
      </c>
    </row>
    <row r="15056" spans="2:15" x14ac:dyDescent="0.3">
      <c r="B15056" s="1" t="s">
        <v>19</v>
      </c>
      <c r="C15056" s="1" t="str">
        <f t="shared" si="764"/>
        <v>4차</v>
      </c>
      <c r="D15056" s="1" t="str">
        <f>"0128R99344"</f>
        <v>0128R99344</v>
      </c>
      <c r="E15056" s="1" t="s">
        <v>10</v>
      </c>
      <c r="F15056" s="1" t="str">
        <f>"10.107.121.145"</f>
        <v>10.107.121.145</v>
      </c>
      <c r="G15056" s="1" t="str">
        <f>"0128R993"</f>
        <v>0128R993</v>
      </c>
      <c r="H15056" s="1" t="str">
        <f>"북악간 8L10L1"</f>
        <v>북악간 8L10L1</v>
      </c>
      <c r="I15056" s="1" t="s">
        <v>8</v>
      </c>
      <c r="J15056" s="1" t="str">
        <f>"26/26"</f>
        <v>26/26</v>
      </c>
      <c r="K15056" s="1" t="str">
        <f>"2026-07-29 13:18:01"</f>
        <v>2026-07-29 13:18:01</v>
      </c>
      <c r="L15056" s="1" t="str">
        <f>"2019-10-18 17:33:05"</f>
        <v>2019-10-18 17:33:05</v>
      </c>
      <c r="M15056" s="1" t="s">
        <v>45</v>
      </c>
      <c r="N15056" s="1" t="s">
        <v>38</v>
      </c>
      <c r="O15056" s="1" t="s">
        <v>46</v>
      </c>
    </row>
    <row r="15057" spans="2:15" x14ac:dyDescent="0.3">
      <c r="B15057" s="1" t="s">
        <v>19</v>
      </c>
      <c r="C15057" s="1" t="str">
        <f t="shared" si="764"/>
        <v>4차</v>
      </c>
      <c r="D15057" s="1" t="str">
        <f>"0128R99444"</f>
        <v>0128R99444</v>
      </c>
      <c r="E15057" s="1" t="s">
        <v>10</v>
      </c>
      <c r="F15057" s="1" t="str">
        <f>"10.107.121.146"</f>
        <v>10.107.121.146</v>
      </c>
      <c r="G15057" s="1" t="str">
        <f>"0128R994"</f>
        <v>0128R994</v>
      </c>
      <c r="H15057" s="1" t="str">
        <f>"북악간 8L9"</f>
        <v>북악간 8L9</v>
      </c>
      <c r="I15057" s="1" t="s">
        <v>8</v>
      </c>
      <c r="J15057" s="1" t="str">
        <f>"20/20"</f>
        <v>20/20</v>
      </c>
      <c r="K15057" s="1" t="str">
        <f>"2026-07-29 13:18:01"</f>
        <v>2026-07-29 13:18:01</v>
      </c>
      <c r="L15057" s="1" t="str">
        <f>"2019-11-14 11:40:13"</f>
        <v>2019-11-14 11:40:13</v>
      </c>
      <c r="M15057" s="1" t="s">
        <v>45</v>
      </c>
      <c r="N15057" s="1" t="s">
        <v>38</v>
      </c>
      <c r="O15057" s="1" t="s">
        <v>46</v>
      </c>
    </row>
    <row r="15058" spans="2:15" x14ac:dyDescent="0.3">
      <c r="B15058" s="1" t="s">
        <v>19</v>
      </c>
      <c r="C15058" s="1" t="str">
        <f t="shared" si="764"/>
        <v>4차</v>
      </c>
      <c r="D15058" s="1" t="str">
        <f>"0128S08144"</f>
        <v>0128S08144</v>
      </c>
      <c r="E15058" s="1" t="s">
        <v>10</v>
      </c>
      <c r="F15058" s="1" t="str">
        <f>"10.107.12.19"</f>
        <v>10.107.12.19</v>
      </c>
      <c r="G15058" s="1" t="str">
        <f>"0128S081"</f>
        <v>0128S081</v>
      </c>
      <c r="H15058" s="1" t="str">
        <f>"북악간 8L17R2R10"</f>
        <v>북악간 8L17R2R10</v>
      </c>
      <c r="I15058" s="1" t="s">
        <v>8</v>
      </c>
      <c r="J15058" s="1" t="str">
        <f>"66/66"</f>
        <v>66/66</v>
      </c>
      <c r="K15058" s="1" t="str">
        <f>"2026-07-29 13:18:01"</f>
        <v>2026-07-29 13:18:01</v>
      </c>
      <c r="L15058" s="1" t="str">
        <f>"2019-10-18 17:44:07"</f>
        <v>2019-10-18 17:44:07</v>
      </c>
      <c r="M15058" s="1" t="s">
        <v>45</v>
      </c>
      <c r="N15058" s="1" t="s">
        <v>38</v>
      </c>
      <c r="O15058" s="1" t="s">
        <v>46</v>
      </c>
    </row>
    <row r="15059" spans="2:15" x14ac:dyDescent="0.3">
      <c r="B15059" s="1" t="s">
        <v>19</v>
      </c>
      <c r="C15059" s="1" t="str">
        <f t="shared" si="764"/>
        <v>4차</v>
      </c>
      <c r="D15059" s="1" t="str">
        <f>"0128S09144"</f>
        <v>0128S09144</v>
      </c>
      <c r="E15059" s="1" t="s">
        <v>10</v>
      </c>
      <c r="F15059" s="1" t="str">
        <f>"10.107.121.147"</f>
        <v>10.107.121.147</v>
      </c>
      <c r="G15059" s="1" t="str">
        <f>"0128S091"</f>
        <v>0128S091</v>
      </c>
      <c r="H15059" s="1" t="str">
        <f>"북악간 8L11"</f>
        <v>북악간 8L11</v>
      </c>
      <c r="I15059" s="1" t="s">
        <v>8</v>
      </c>
      <c r="J15059" s="1" t="str">
        <f>"24/24"</f>
        <v>24/24</v>
      </c>
      <c r="K15059" s="1" t="str">
        <f>"2026-07-29 13:18:02"</f>
        <v>2026-07-29 13:18:02</v>
      </c>
      <c r="L15059" s="1" t="str">
        <f>"2019-10-18 17:18:37"</f>
        <v>2019-10-18 17:18:37</v>
      </c>
      <c r="M15059" s="1" t="s">
        <v>45</v>
      </c>
      <c r="N15059" s="1" t="s">
        <v>38</v>
      </c>
      <c r="O15059" s="1" t="s">
        <v>46</v>
      </c>
    </row>
    <row r="15060" spans="2:15" x14ac:dyDescent="0.3">
      <c r="B15060" s="1" t="s">
        <v>19</v>
      </c>
      <c r="C15060" s="1" t="str">
        <f t="shared" si="764"/>
        <v>4차</v>
      </c>
      <c r="D15060" s="1" t="str">
        <f>"0128S17144"</f>
        <v>0128S17144</v>
      </c>
      <c r="E15060" s="1" t="s">
        <v>10</v>
      </c>
      <c r="F15060" s="1" t="str">
        <f>"10.12.138.59"</f>
        <v>10.12.138.59</v>
      </c>
      <c r="G15060" s="1" t="str">
        <f>"0128S171"</f>
        <v>0128S171</v>
      </c>
      <c r="H15060" s="1" t="str">
        <f>"북악간 8L17R8"</f>
        <v>북악간 8L17R8</v>
      </c>
      <c r="I15060" s="1" t="s">
        <v>8</v>
      </c>
      <c r="J15060" s="1" t="str">
        <f>"33/33"</f>
        <v>33/33</v>
      </c>
      <c r="K15060" s="1" t="str">
        <f>"2026-07-29 13:18:01"</f>
        <v>2026-07-29 13:18:01</v>
      </c>
      <c r="L15060" s="1" t="str">
        <f>"2019-11-11 19:48:33"</f>
        <v>2019-11-11 19:48:33</v>
      </c>
      <c r="M15060" s="1" t="s">
        <v>0</v>
      </c>
      <c r="N15060" s="1" t="s">
        <v>38</v>
      </c>
      <c r="O15060" s="1" t="s">
        <v>46</v>
      </c>
    </row>
    <row r="15061" spans="2:15" x14ac:dyDescent="0.3">
      <c r="B15061" s="1" t="s">
        <v>19</v>
      </c>
      <c r="C15061" s="1" t="str">
        <f t="shared" si="764"/>
        <v>4차</v>
      </c>
      <c r="D15061" s="1" t="str">
        <f>"0128S18344"</f>
        <v>0128S18344</v>
      </c>
      <c r="E15061" s="1" t="s">
        <v>10</v>
      </c>
      <c r="F15061" s="1" t="str">
        <f>"10.107.12.24"</f>
        <v>10.107.12.24</v>
      </c>
      <c r="G15061" s="1" t="str">
        <f>"0128S183"</f>
        <v>0128S183</v>
      </c>
      <c r="H15061" s="1" t="str">
        <f>"북악간 8L17R7"</f>
        <v>북악간 8L17R7</v>
      </c>
      <c r="I15061" s="1" t="s">
        <v>8</v>
      </c>
      <c r="J15061" s="1" t="str">
        <f>"34/34"</f>
        <v>34/34</v>
      </c>
      <c r="K15061" s="1" t="str">
        <f>"2026-07-29 13:18:02"</f>
        <v>2026-07-29 13:18:02</v>
      </c>
      <c r="L15061" s="1" t="str">
        <f>"2023-08-02 18:14:37"</f>
        <v>2023-08-02 18:14:37</v>
      </c>
      <c r="M15061" s="1" t="s">
        <v>45</v>
      </c>
      <c r="N15061" s="1" t="s">
        <v>38</v>
      </c>
      <c r="O15061" s="1" t="s">
        <v>46</v>
      </c>
    </row>
    <row r="15062" spans="2:15" x14ac:dyDescent="0.3">
      <c r="B15062" s="1" t="s">
        <v>19</v>
      </c>
      <c r="C15062" s="1" t="str">
        <f t="shared" si="764"/>
        <v>4차</v>
      </c>
      <c r="D15062" s="1" t="str">
        <f>"0128S18444"</f>
        <v>0128S18444</v>
      </c>
      <c r="E15062" s="1" t="s">
        <v>10</v>
      </c>
      <c r="F15062" s="1" t="str">
        <f>"10.107.12.22"</f>
        <v>10.107.12.22</v>
      </c>
      <c r="G15062" s="1" t="str">
        <f>"0128S184"</f>
        <v>0128S184</v>
      </c>
      <c r="H15062" s="1" t="str">
        <f>"북악간 8L17R2R7"</f>
        <v>북악간 8L17R2R7</v>
      </c>
      <c r="I15062" s="1" t="s">
        <v>8</v>
      </c>
      <c r="J15062" s="1" t="str">
        <f>"44/44"</f>
        <v>44/44</v>
      </c>
      <c r="K15062" s="1" t="str">
        <f>"2026-07-29 13:18:02"</f>
        <v>2026-07-29 13:18:02</v>
      </c>
      <c r="L15062" s="1" t="str">
        <f>"2023-08-09 17:30:53"</f>
        <v>2023-08-09 17:30:53</v>
      </c>
      <c r="M15062" s="1" t="s">
        <v>45</v>
      </c>
      <c r="N15062" s="1" t="s">
        <v>38</v>
      </c>
      <c r="O15062" s="1" t="s">
        <v>46</v>
      </c>
    </row>
    <row r="15063" spans="2:15" x14ac:dyDescent="0.3">
      <c r="B15063" s="1" t="s">
        <v>19</v>
      </c>
      <c r="C15063" s="1" t="str">
        <f>"3차"</f>
        <v>3차</v>
      </c>
      <c r="D15063" s="1" t="str">
        <f>"0128S19139"</f>
        <v>0128S19139</v>
      </c>
      <c r="E15063" s="1" t="s">
        <v>10</v>
      </c>
      <c r="F15063" s="1" t="str">
        <f>"10.11.140.26"</f>
        <v>10.11.140.26</v>
      </c>
      <c r="G15063" s="1" t="str">
        <f>"0128S191"</f>
        <v>0128S191</v>
      </c>
      <c r="H15063" s="1" t="str">
        <f>"북악간 8L12"</f>
        <v>북악간 8L12</v>
      </c>
      <c r="I15063" s="1" t="s">
        <v>8</v>
      </c>
      <c r="J15063" s="1" t="str">
        <f>"27/27"</f>
        <v>27/27</v>
      </c>
      <c r="K15063" s="1" t="str">
        <f>"2026-07-29 13:18:01"</f>
        <v>2026-07-29 13:18:01</v>
      </c>
      <c r="L15063" s="1" t="str">
        <f>"2018-06-07 08:28:26"</f>
        <v>2018-06-07 08:28:26</v>
      </c>
      <c r="M15063" s="1" t="s">
        <v>2</v>
      </c>
      <c r="N15063" s="1" t="s">
        <v>38</v>
      </c>
      <c r="O15063" s="1" t="s">
        <v>46</v>
      </c>
    </row>
    <row r="15064" spans="2:15" x14ac:dyDescent="0.3">
      <c r="B15064" s="1" t="s">
        <v>19</v>
      </c>
      <c r="C15064" s="1" t="str">
        <f>"4차"</f>
        <v>4차</v>
      </c>
      <c r="D15064" s="1" t="str">
        <f>"0128S27139"</f>
        <v>0128S27139</v>
      </c>
      <c r="E15064" s="1" t="s">
        <v>10</v>
      </c>
      <c r="F15064" s="1" t="str">
        <f>"10.12.136.183"</f>
        <v>10.12.136.183</v>
      </c>
      <c r="G15064" s="1" t="str">
        <f>"0128S271"</f>
        <v>0128S271</v>
      </c>
      <c r="H15064" s="1" t="str">
        <f>"북악간 8L17R5"</f>
        <v>북악간 8L17R5</v>
      </c>
      <c r="I15064" s="1" t="s">
        <v>8</v>
      </c>
      <c r="J15064" s="1" t="str">
        <f>"85/85"</f>
        <v>85/85</v>
      </c>
      <c r="K15064" s="1" t="str">
        <f>"2026-07-29 13:18:04"</f>
        <v>2026-07-29 13:18:04</v>
      </c>
      <c r="L15064" s="1" t="str">
        <f>"2018-09-13 15:29:58"</f>
        <v>2018-09-13 15:29:58</v>
      </c>
      <c r="M15064" s="1" t="s">
        <v>0</v>
      </c>
      <c r="N15064" s="1" t="s">
        <v>38</v>
      </c>
      <c r="O15064" s="1" t="s">
        <v>46</v>
      </c>
    </row>
    <row r="15065" spans="2:15" x14ac:dyDescent="0.3">
      <c r="B15065" s="1" t="s">
        <v>19</v>
      </c>
      <c r="C15065" s="1" t="str">
        <f>"4차"</f>
        <v>4차</v>
      </c>
      <c r="D15065" s="1" t="str">
        <f>"0128S28144"</f>
        <v>0128S28144</v>
      </c>
      <c r="E15065" s="1" t="s">
        <v>10</v>
      </c>
      <c r="F15065" s="1" t="str">
        <f>"10.107.12.20"</f>
        <v>10.107.12.20</v>
      </c>
      <c r="G15065" s="1" t="str">
        <f>"0128S281"</f>
        <v>0128S281</v>
      </c>
      <c r="H15065" s="1" t="str">
        <f>"북악간 8L17R2R3"</f>
        <v>북악간 8L17R2R3</v>
      </c>
      <c r="I15065" s="1" t="s">
        <v>8</v>
      </c>
      <c r="J15065" s="1" t="str">
        <f>"33/33"</f>
        <v>33/33</v>
      </c>
      <c r="K15065" s="1" t="str">
        <f>"2026-07-29 13:18:02"</f>
        <v>2026-07-29 13:18:02</v>
      </c>
      <c r="L15065" s="1" t="str">
        <f>"2019-10-18 18:03:03"</f>
        <v>2019-10-18 18:03:03</v>
      </c>
      <c r="M15065" s="1" t="s">
        <v>45</v>
      </c>
      <c r="N15065" s="1" t="s">
        <v>38</v>
      </c>
      <c r="O15065" s="1" t="s">
        <v>46</v>
      </c>
    </row>
    <row r="15066" spans="2:15" x14ac:dyDescent="0.3">
      <c r="B15066" s="1" t="s">
        <v>19</v>
      </c>
      <c r="C15066" s="1" t="str">
        <f>"4차"</f>
        <v>4차</v>
      </c>
      <c r="D15066" s="1" t="str">
        <f>"0128S28244"</f>
        <v>0128S28244</v>
      </c>
      <c r="E15066" s="1" t="s">
        <v>10</v>
      </c>
      <c r="F15066" s="1" t="str">
        <f>"10.107.12.21"</f>
        <v>10.107.12.21</v>
      </c>
      <c r="G15066" s="1" t="str">
        <f>"0128S282"</f>
        <v>0128S282</v>
      </c>
      <c r="H15066" s="1" t="str">
        <f>"북악간 8L17R2R4"</f>
        <v>북악간 8L17R2R4</v>
      </c>
      <c r="I15066" s="1" t="s">
        <v>8</v>
      </c>
      <c r="J15066" s="1" t="str">
        <f>"39/39"</f>
        <v>39/39</v>
      </c>
      <c r="K15066" s="1" t="str">
        <f>"2026-07-29 13:18:02"</f>
        <v>2026-07-29 13:18:02</v>
      </c>
      <c r="L15066" s="1" t="str">
        <f>"2019-10-18 17:44:52"</f>
        <v>2019-10-18 17:44:52</v>
      </c>
      <c r="M15066" s="1" t="s">
        <v>45</v>
      </c>
      <c r="N15066" s="1" t="s">
        <v>38</v>
      </c>
      <c r="O15066" s="1" t="s">
        <v>46</v>
      </c>
    </row>
    <row r="15067" spans="2:15" x14ac:dyDescent="0.3">
      <c r="B15067" s="1" t="s">
        <v>19</v>
      </c>
      <c r="C15067" s="1" t="str">
        <f>"4차"</f>
        <v>4차</v>
      </c>
      <c r="D15067" s="1" t="str">
        <f>"0128S29144"</f>
        <v>0128S29144</v>
      </c>
      <c r="E15067" s="1" t="s">
        <v>10</v>
      </c>
      <c r="F15067" s="1" t="str">
        <f>"10.107.121.148"</f>
        <v>10.107.121.148</v>
      </c>
      <c r="G15067" s="1" t="str">
        <f>"0128S291"</f>
        <v>0128S291</v>
      </c>
      <c r="H15067" s="1" t="str">
        <f>"북악간 8L14"</f>
        <v>북악간 8L14</v>
      </c>
      <c r="I15067" s="1" t="s">
        <v>8</v>
      </c>
      <c r="J15067" s="1" t="str">
        <f>"35/36"</f>
        <v>35/36</v>
      </c>
      <c r="K15067" s="1" t="str">
        <f>"2026-07-29 13:18:02"</f>
        <v>2026-07-29 13:18:02</v>
      </c>
      <c r="L15067" s="1" t="str">
        <f>"2019-10-18 17:33:08"</f>
        <v>2019-10-18 17:33:08</v>
      </c>
      <c r="M15067" s="1" t="s">
        <v>45</v>
      </c>
      <c r="N15067" s="1" t="s">
        <v>38</v>
      </c>
      <c r="O15067" s="1" t="s">
        <v>46</v>
      </c>
    </row>
    <row r="15068" spans="2:15" x14ac:dyDescent="0.3">
      <c r="B15068" s="1" t="s">
        <v>19</v>
      </c>
      <c r="C15068" s="1" t="str">
        <f>"5-1차"</f>
        <v>5-1차</v>
      </c>
      <c r="D15068" s="1" t="str">
        <f>"0128S3425S"</f>
        <v>0128S3425S</v>
      </c>
      <c r="E15068" s="1" t="s">
        <v>10</v>
      </c>
      <c r="F15068" s="1" t="str">
        <f>"fde2:104:0:27:0:0:0:2"</f>
        <v>fde2:104:0:27:0:0:0:2</v>
      </c>
      <c r="G15068" s="1" t="str">
        <f>"0128S342"</f>
        <v>0128S342</v>
      </c>
      <c r="H15068" s="1" t="str">
        <f>"고명지 4R4"</f>
        <v>고명지 4R4</v>
      </c>
      <c r="I15068" s="1" t="s">
        <v>15</v>
      </c>
      <c r="J15068" s="1" t="str">
        <f>"44/47"</f>
        <v>44/47</v>
      </c>
      <c r="K15068" s="1" t="str">
        <f>"2026-07-29 14:20:03"</f>
        <v>2026-07-29 14:20:03</v>
      </c>
      <c r="L15068" s="1" t="str">
        <f>"2022-08-31 08:11:00"</f>
        <v>2022-08-31 08:11:00</v>
      </c>
      <c r="M15068" s="1" t="s">
        <v>42</v>
      </c>
      <c r="N15068" s="1" t="s">
        <v>38</v>
      </c>
      <c r="O15068" s="1" t="s">
        <v>46</v>
      </c>
    </row>
    <row r="15069" spans="2:15" x14ac:dyDescent="0.3">
      <c r="B15069" s="1" t="s">
        <v>19</v>
      </c>
      <c r="C15069" s="1" t="str">
        <f>"3차"</f>
        <v>3차</v>
      </c>
      <c r="D15069" s="1" t="str">
        <f>"0128S38139"</f>
        <v>0128S38139</v>
      </c>
      <c r="E15069" s="1" t="s">
        <v>10</v>
      </c>
      <c r="F15069" s="1" t="str">
        <f>"10.12.135.199"</f>
        <v>10.12.135.199</v>
      </c>
      <c r="G15069" s="1" t="str">
        <f>"0128S381"</f>
        <v>0128S381</v>
      </c>
      <c r="H15069" s="1" t="str">
        <f>"북악간 8L17R2R2"</f>
        <v>북악간 8L17R2R2</v>
      </c>
      <c r="I15069" s="1" t="s">
        <v>8</v>
      </c>
      <c r="J15069" s="1" t="str">
        <f>"36/36"</f>
        <v>36/36</v>
      </c>
      <c r="K15069" s="1" t="str">
        <f>"2026-07-29 13:18:03"</f>
        <v>2026-07-29 13:18:03</v>
      </c>
      <c r="L15069" s="1" t="str">
        <f>"2018-04-25 11:16:56"</f>
        <v>2018-04-25 11:16:56</v>
      </c>
      <c r="M15069" s="1" t="s">
        <v>0</v>
      </c>
      <c r="N15069" s="1" t="s">
        <v>38</v>
      </c>
      <c r="O15069" s="1" t="s">
        <v>46</v>
      </c>
    </row>
    <row r="15070" spans="2:15" x14ac:dyDescent="0.3">
      <c r="B15070" s="1" t="s">
        <v>19</v>
      </c>
      <c r="C15070" s="1" t="str">
        <f>"1차"</f>
        <v>1차</v>
      </c>
      <c r="D15070" s="1" t="str">
        <f>"0128S39100"</f>
        <v>0128S39100</v>
      </c>
      <c r="E15070" s="1" t="s">
        <v>10</v>
      </c>
      <c r="F15070" s="1" t="str">
        <f>"10.107.121.149"</f>
        <v>10.107.121.149</v>
      </c>
      <c r="G15070" s="1" t="str">
        <f>"0128S391"</f>
        <v>0128S391</v>
      </c>
      <c r="H15070" s="1" t="str">
        <f>"북악간 8L17L4"</f>
        <v>북악간 8L17L4</v>
      </c>
      <c r="I15070" s="1" t="s">
        <v>8</v>
      </c>
      <c r="J15070" s="1" t="str">
        <f>"12/12"</f>
        <v>12/12</v>
      </c>
      <c r="K15070" s="1" t="str">
        <f>"2026-07-29 13:18:01"</f>
        <v>2026-07-29 13:18:01</v>
      </c>
      <c r="L15070" s="1" t="str">
        <f>"2014-11-19 14:45:31"</f>
        <v>2014-11-19 14:45:31</v>
      </c>
      <c r="M15070" s="1" t="s">
        <v>45</v>
      </c>
      <c r="N15070" s="1" t="s">
        <v>38</v>
      </c>
      <c r="O15070" s="1" t="s">
        <v>46</v>
      </c>
    </row>
    <row r="15071" spans="2:15" x14ac:dyDescent="0.3">
      <c r="B15071" s="1" t="s">
        <v>19</v>
      </c>
      <c r="C15071" s="1" t="str">
        <f>"4차"</f>
        <v>4차</v>
      </c>
      <c r="D15071" s="1" t="str">
        <f>"0128S39244"</f>
        <v>0128S39244</v>
      </c>
      <c r="E15071" s="1" t="s">
        <v>10</v>
      </c>
      <c r="F15071" s="1" t="str">
        <f>"10.107.121.150"</f>
        <v>10.107.121.150</v>
      </c>
      <c r="G15071" s="1" t="str">
        <f>"0128S392"</f>
        <v>0128S392</v>
      </c>
      <c r="H15071" s="1" t="str">
        <f>"북악간 8L15"</f>
        <v>북악간 8L15</v>
      </c>
      <c r="I15071" s="1" t="s">
        <v>8</v>
      </c>
      <c r="J15071" s="1" t="str">
        <f>"17/17"</f>
        <v>17/17</v>
      </c>
      <c r="K15071" s="1" t="str">
        <f>"2026-07-29 13:18:01"</f>
        <v>2026-07-29 13:18:01</v>
      </c>
      <c r="L15071" s="1" t="str">
        <f>"2019-10-18 17:43:05"</f>
        <v>2019-10-18 17:43:05</v>
      </c>
      <c r="M15071" s="1" t="s">
        <v>45</v>
      </c>
      <c r="N15071" s="1" t="s">
        <v>38</v>
      </c>
      <c r="O15071" s="1" t="s">
        <v>46</v>
      </c>
    </row>
    <row r="15072" spans="2:15" x14ac:dyDescent="0.3">
      <c r="B15072" s="1" t="s">
        <v>19</v>
      </c>
      <c r="C15072" s="1" t="str">
        <f>"4차"</f>
        <v>4차</v>
      </c>
      <c r="D15072" s="1" t="str">
        <f>"0128S47444"</f>
        <v>0128S47444</v>
      </c>
      <c r="E15072" s="1" t="s">
        <v>10</v>
      </c>
      <c r="F15072" s="1" t="str">
        <f>"10.107.12.18"</f>
        <v>10.107.12.18</v>
      </c>
      <c r="G15072" s="1" t="str">
        <f>"0128S474"</f>
        <v>0128S474</v>
      </c>
      <c r="H15072" s="1" t="str">
        <f>"북악간 8L17R2"</f>
        <v>북악간 8L17R2</v>
      </c>
      <c r="I15072" s="1" t="s">
        <v>8</v>
      </c>
      <c r="J15072" s="1" t="str">
        <f>"4/4"</f>
        <v>4/4</v>
      </c>
      <c r="K15072" s="1" t="str">
        <f>"2026-07-29 13:18:01"</f>
        <v>2026-07-29 13:18:01</v>
      </c>
      <c r="L15072" s="1" t="str">
        <f>"2019-10-18 18:03:03"</f>
        <v>2019-10-18 18:03:03</v>
      </c>
      <c r="M15072" s="1" t="s">
        <v>45</v>
      </c>
      <c r="N15072" s="1" t="s">
        <v>38</v>
      </c>
      <c r="O15072" s="1" t="s">
        <v>46</v>
      </c>
    </row>
    <row r="15073" spans="2:15" x14ac:dyDescent="0.3">
      <c r="B15073" s="1" t="s">
        <v>19</v>
      </c>
      <c r="C15073" s="1" t="str">
        <f>"1차"</f>
        <v>1차</v>
      </c>
      <c r="D15073" s="1" t="str">
        <f>"0128S48301"</f>
        <v>0128S48301</v>
      </c>
      <c r="E15073" s="1" t="s">
        <v>10</v>
      </c>
      <c r="F15073" s="1" t="str">
        <f>"10.12.131.148"</f>
        <v>10.12.131.148</v>
      </c>
      <c r="G15073" s="1" t="str">
        <f>"0128S483"</f>
        <v>0128S483</v>
      </c>
      <c r="H15073" s="1" t="str">
        <f>"북악간 8L16"</f>
        <v>북악간 8L16</v>
      </c>
      <c r="I15073" s="1" t="s">
        <v>8</v>
      </c>
      <c r="J15073" s="1" t="str">
        <f>"35/37"</f>
        <v>35/37</v>
      </c>
      <c r="K15073" s="1" t="str">
        <f>"2026-07-29 13:18:02"</f>
        <v>2026-07-29 13:18:02</v>
      </c>
      <c r="L15073" s="1" t="str">
        <f>"2014-11-18 15:37:24"</f>
        <v>2014-11-18 15:37:24</v>
      </c>
      <c r="M15073" s="1" t="s">
        <v>0</v>
      </c>
      <c r="N15073" s="1" t="s">
        <v>38</v>
      </c>
      <c r="O15073" s="1" t="s">
        <v>46</v>
      </c>
    </row>
    <row r="15074" spans="2:15" x14ac:dyDescent="0.3">
      <c r="B15074" s="1" t="s">
        <v>19</v>
      </c>
      <c r="C15074" s="1" t="str">
        <f>"4차"</f>
        <v>4차</v>
      </c>
      <c r="D15074" s="1" t="str">
        <f>"0128S49144"</f>
        <v>0128S49144</v>
      </c>
      <c r="E15074" s="1" t="s">
        <v>10</v>
      </c>
      <c r="F15074" s="1" t="str">
        <f>"10.107.121.151"</f>
        <v>10.107.121.151</v>
      </c>
      <c r="G15074" s="1" t="str">
        <f>"0128S491"</f>
        <v>0128S491</v>
      </c>
      <c r="H15074" s="1" t="str">
        <f>"북악간 8L17L3"</f>
        <v>북악간 8L17L3</v>
      </c>
      <c r="I15074" s="1" t="s">
        <v>8</v>
      </c>
      <c r="J15074" s="1" t="str">
        <f>"45/45"</f>
        <v>45/45</v>
      </c>
      <c r="K15074" s="1" t="str">
        <f>"2026-07-29 13:18:02"</f>
        <v>2026-07-29 13:18:02</v>
      </c>
      <c r="L15074" s="1" t="str">
        <f>"2023-07-17 18:03:01"</f>
        <v>2023-07-17 18:03:01</v>
      </c>
      <c r="M15074" s="1" t="s">
        <v>45</v>
      </c>
      <c r="N15074" s="1" t="s">
        <v>38</v>
      </c>
      <c r="O15074" s="1" t="s">
        <v>46</v>
      </c>
    </row>
    <row r="15075" spans="2:15" x14ac:dyDescent="0.3">
      <c r="B15075" s="1" t="s">
        <v>19</v>
      </c>
      <c r="C15075" s="1" t="str">
        <f>"4차"</f>
        <v>4차</v>
      </c>
      <c r="D15075" s="1" t="str">
        <f>"0128S58144"</f>
        <v>0128S58144</v>
      </c>
      <c r="E15075" s="1" t="s">
        <v>10</v>
      </c>
      <c r="F15075" s="1" t="str">
        <f>"10.107.3.130"</f>
        <v>10.107.3.130</v>
      </c>
      <c r="G15075" s="1" t="str">
        <f>"0128S581"</f>
        <v>0128S581</v>
      </c>
      <c r="H15075" s="1" t="str">
        <f>"북악간 8L17"</f>
        <v>북악간 8L17</v>
      </c>
      <c r="I15075" s="1" t="s">
        <v>8</v>
      </c>
      <c r="J15075" s="1" t="str">
        <f>"11/11"</f>
        <v>11/11</v>
      </c>
      <c r="K15075" s="1" t="str">
        <f>"2026-07-29 13:18:01"</f>
        <v>2026-07-29 13:18:01</v>
      </c>
      <c r="L15075" s="1" t="str">
        <f>"2023-11-02 18:03:31"</f>
        <v>2023-11-02 18:03:31</v>
      </c>
      <c r="M15075" s="1" t="s">
        <v>45</v>
      </c>
      <c r="N15075" s="1" t="s">
        <v>38</v>
      </c>
      <c r="O15075" s="1" t="s">
        <v>46</v>
      </c>
    </row>
    <row r="15076" spans="2:15" x14ac:dyDescent="0.3">
      <c r="B15076" s="1" t="s">
        <v>19</v>
      </c>
      <c r="C15076" s="1" t="str">
        <f>"1차"</f>
        <v>1차</v>
      </c>
      <c r="D15076" s="1" t="str">
        <f>"0128S59100"</f>
        <v>0128S59100</v>
      </c>
      <c r="E15076" s="1" t="s">
        <v>10</v>
      </c>
      <c r="F15076" s="1" t="str">
        <f>"10.107.121.152"</f>
        <v>10.107.121.152</v>
      </c>
      <c r="G15076" s="1" t="str">
        <f>"0128S591"</f>
        <v>0128S591</v>
      </c>
      <c r="H15076" s="1" t="str">
        <f>"북악간 3"</f>
        <v>북악간 3</v>
      </c>
      <c r="I15076" s="1" t="s">
        <v>8</v>
      </c>
      <c r="J15076" s="1" t="str">
        <f>"39/39"</f>
        <v>39/39</v>
      </c>
      <c r="K15076" s="1" t="str">
        <f>"2026-07-29 13:18:02"</f>
        <v>2026-07-29 13:18:02</v>
      </c>
      <c r="L15076" s="1" t="str">
        <f>"2014-11-18 15:16:12"</f>
        <v>2014-11-18 15:16:12</v>
      </c>
      <c r="M15076" s="1" t="s">
        <v>45</v>
      </c>
      <c r="N15076" s="1" t="s">
        <v>38</v>
      </c>
      <c r="O15076" s="1" t="s">
        <v>46</v>
      </c>
    </row>
    <row r="15077" spans="2:15" x14ac:dyDescent="0.3">
      <c r="B15077" s="1" t="s">
        <v>19</v>
      </c>
      <c r="C15077" s="1" t="str">
        <f>"4차"</f>
        <v>4차</v>
      </c>
      <c r="D15077" s="1" t="str">
        <f>"0128S59342"</f>
        <v>0128S59342</v>
      </c>
      <c r="E15077" s="1" t="s">
        <v>10</v>
      </c>
      <c r="F15077" s="1" t="str">
        <f>"10.107.121.153"</f>
        <v>10.107.121.153</v>
      </c>
      <c r="G15077" s="1" t="str">
        <f>"0128S593"</f>
        <v>0128S593</v>
      </c>
      <c r="H15077" s="1" t="str">
        <f>"북악간 8L17L2"</f>
        <v>북악간 8L17L2</v>
      </c>
      <c r="I15077" s="1" t="s">
        <v>8</v>
      </c>
      <c r="J15077" s="1" t="str">
        <f>"19/20"</f>
        <v>19/20</v>
      </c>
      <c r="K15077" s="1" t="str">
        <f>"2026-07-29 13:18:02"</f>
        <v>2026-07-29 13:18:02</v>
      </c>
      <c r="L15077" s="1" t="str">
        <f>"2024-12-20 10:35:21"</f>
        <v>2024-12-20 10:35:21</v>
      </c>
      <c r="M15077" s="1" t="s">
        <v>45</v>
      </c>
      <c r="N15077" s="1" t="s">
        <v>38</v>
      </c>
      <c r="O15077" s="1" t="s">
        <v>46</v>
      </c>
    </row>
    <row r="15078" spans="2:15" x14ac:dyDescent="0.3">
      <c r="B15078" s="1" t="s">
        <v>19</v>
      </c>
      <c r="C15078" s="1" t="str">
        <f>"3차"</f>
        <v>3차</v>
      </c>
      <c r="D15078" s="1" t="str">
        <f>"0128S65139"</f>
        <v>0128S65139</v>
      </c>
      <c r="E15078" s="1" t="s">
        <v>10</v>
      </c>
      <c r="F15078" s="1" t="str">
        <f>"10.12.137.108"</f>
        <v>10.12.137.108</v>
      </c>
      <c r="G15078" s="1" t="str">
        <f>"0128S651"</f>
        <v>0128S651</v>
      </c>
      <c r="H15078" s="1" t="str">
        <f>"북악간 8L22"</f>
        <v>북악간 8L22</v>
      </c>
      <c r="I15078" s="1" t="s">
        <v>8</v>
      </c>
      <c r="J15078" s="1" t="str">
        <f>"48/48"</f>
        <v>48/48</v>
      </c>
      <c r="K15078" s="1" t="str">
        <f>"2026-07-29 13:18:02"</f>
        <v>2026-07-29 13:18:02</v>
      </c>
      <c r="L15078" s="1" t="str">
        <f>"2018-04-25 08:23:55"</f>
        <v>2018-04-25 08:23:55</v>
      </c>
      <c r="M15078" s="1" t="s">
        <v>0</v>
      </c>
      <c r="N15078" s="1" t="s">
        <v>38</v>
      </c>
      <c r="O15078" s="1" t="s">
        <v>46</v>
      </c>
    </row>
    <row r="15079" spans="2:15" x14ac:dyDescent="0.3">
      <c r="B15079" s="1" t="s">
        <v>19</v>
      </c>
      <c r="C15079" s="1" t="str">
        <f>"3차"</f>
        <v>3차</v>
      </c>
      <c r="D15079" s="1" t="str">
        <f>"0128S66239"</f>
        <v>0128S66239</v>
      </c>
      <c r="E15079" s="1" t="s">
        <v>10</v>
      </c>
      <c r="F15079" s="1" t="str">
        <f>"10.12.128.143"</f>
        <v>10.12.128.143</v>
      </c>
      <c r="G15079" s="1" t="str">
        <f>"0128S662"</f>
        <v>0128S662</v>
      </c>
      <c r="H15079" s="1" t="str">
        <f>"북악간 8L21"</f>
        <v>북악간 8L21</v>
      </c>
      <c r="I15079" s="1" t="s">
        <v>8</v>
      </c>
      <c r="J15079" s="1" t="str">
        <f>"16/16"</f>
        <v>16/16</v>
      </c>
      <c r="K15079" s="1" t="str">
        <f>"2026-07-29 13:18:02"</f>
        <v>2026-07-29 13:18:02</v>
      </c>
      <c r="L15079" s="1" t="str">
        <f>"2018-04-25 08:45:42"</f>
        <v>2018-04-25 08:45:42</v>
      </c>
      <c r="M15079" s="1" t="s">
        <v>0</v>
      </c>
      <c r="N15079" s="1" t="s">
        <v>38</v>
      </c>
      <c r="O15079" s="1" t="s">
        <v>46</v>
      </c>
    </row>
    <row r="15080" spans="2:15" x14ac:dyDescent="0.3">
      <c r="B15080" s="1" t="s">
        <v>19</v>
      </c>
      <c r="C15080" s="1" t="str">
        <f>"4차"</f>
        <v>4차</v>
      </c>
      <c r="D15080" s="1" t="str">
        <f>"0128S68142"</f>
        <v>0128S68142</v>
      </c>
      <c r="E15080" s="1" t="s">
        <v>10</v>
      </c>
      <c r="F15080" s="1" t="str">
        <f>"10.12.129.89"</f>
        <v>10.12.129.89</v>
      </c>
      <c r="G15080" s="1" t="str">
        <f>"0128S681"</f>
        <v>0128S681</v>
      </c>
      <c r="H15080" s="1" t="str">
        <f>"북악간 8L18"</f>
        <v>북악간 8L18</v>
      </c>
      <c r="I15080" s="1" t="s">
        <v>8</v>
      </c>
      <c r="J15080" s="1" t="str">
        <f>"57/57"</f>
        <v>57/57</v>
      </c>
      <c r="K15080" s="1" t="str">
        <f>"2026-07-29 13:18:01"</f>
        <v>2026-07-29 13:18:01</v>
      </c>
      <c r="L15080" s="1" t="str">
        <f>"2024-12-23 10:13:15"</f>
        <v>2024-12-23 10:13:15</v>
      </c>
      <c r="M15080" s="1" t="s">
        <v>0</v>
      </c>
      <c r="N15080" s="1" t="s">
        <v>38</v>
      </c>
      <c r="O15080" s="1" t="s">
        <v>46</v>
      </c>
    </row>
    <row r="15081" spans="2:15" x14ac:dyDescent="0.3">
      <c r="B15081" s="1" t="s">
        <v>19</v>
      </c>
      <c r="C15081" s="1" t="str">
        <f>"4차"</f>
        <v>4차</v>
      </c>
      <c r="D15081" s="1" t="str">
        <f>"0128W20341"</f>
        <v>0128W20341</v>
      </c>
      <c r="E15081" s="1" t="s">
        <v>10</v>
      </c>
      <c r="F15081" s="1" t="str">
        <f>"10.14.5.28"</f>
        <v>10.14.5.28</v>
      </c>
      <c r="G15081" s="1" t="str">
        <f>"0128W203"</f>
        <v>0128W203</v>
      </c>
      <c r="H15081" s="1" t="str">
        <f>"종이간 59"</f>
        <v>종이간 59</v>
      </c>
      <c r="I15081" s="1" t="s">
        <v>17</v>
      </c>
      <c r="J15081" s="1" t="str">
        <f>"1/1"</f>
        <v>1/1</v>
      </c>
      <c r="K15081" s="1" t="str">
        <f>"2026-07-29 13:18:02"</f>
        <v>2026-07-29 13:18:02</v>
      </c>
      <c r="L15081" s="1" t="str">
        <f>"2021-06-17 11:33:03"</f>
        <v>2021-06-17 11:33:03</v>
      </c>
      <c r="M15081" s="1" t="s">
        <v>3</v>
      </c>
      <c r="N15081" s="1" t="s">
        <v>38</v>
      </c>
      <c r="O15081" s="1" t="s">
        <v>46</v>
      </c>
    </row>
    <row r="15082" spans="2:15" x14ac:dyDescent="0.3">
      <c r="B15082" s="1" t="s">
        <v>19</v>
      </c>
      <c r="C15082" s="1" t="str">
        <f>"6차"</f>
        <v>6차</v>
      </c>
      <c r="D15082" s="1" t="str">
        <f>"0128W2586S"</f>
        <v>0128W2586S</v>
      </c>
      <c r="E15082" s="1" t="s">
        <v>10</v>
      </c>
      <c r="F15082" s="1" t="str">
        <f>"fde1:103:4:9280:0:0:0:2"</f>
        <v>fde1:103:4:9280:0:0:0:2</v>
      </c>
      <c r="G15082" s="1" t="str">
        <f>"0128W258"</f>
        <v>0128W258</v>
      </c>
      <c r="H15082" s="1" t="str">
        <f>"삼원간 135"</f>
        <v>삼원간 135</v>
      </c>
      <c r="I15082" s="1" t="s">
        <v>15</v>
      </c>
      <c r="J15082" s="1" t="str">
        <f>"20/24"</f>
        <v>20/24</v>
      </c>
      <c r="K15082" s="1" t="str">
        <f>"2026-07-29 14:20:03"</f>
        <v>2026-07-29 14:20:03</v>
      </c>
      <c r="L15082" s="1" t="str">
        <f>"2024-11-13 15:19:48"</f>
        <v>2024-11-13 15:19:48</v>
      </c>
      <c r="M15082" s="1" t="s">
        <v>4</v>
      </c>
      <c r="N15082" s="1" t="s">
        <v>38</v>
      </c>
      <c r="O15082" s="1" t="s">
        <v>46</v>
      </c>
    </row>
    <row r="15083" spans="2:15" x14ac:dyDescent="0.3">
      <c r="B15083" s="1" t="s">
        <v>19</v>
      </c>
      <c r="C15083" s="1" t="str">
        <f>"6차"</f>
        <v>6차</v>
      </c>
      <c r="D15083" s="1" t="str">
        <f>"0128W2916M"</f>
        <v>0128W2916M</v>
      </c>
      <c r="E15083" s="1" t="s">
        <v>10</v>
      </c>
      <c r="F15083" s="1" t="str">
        <f>"fde1:103:4:c805:0:0:0:2"</f>
        <v>fde1:103:4:c805:0:0:0:2</v>
      </c>
      <c r="G15083" s="1" t="str">
        <f>"0128W291"</f>
        <v>0128W291</v>
      </c>
      <c r="H15083" s="1" t="str">
        <f>"길삼간 12R3"</f>
        <v>길삼간 12R3</v>
      </c>
      <c r="I15083" s="1" t="s">
        <v>15</v>
      </c>
      <c r="J15083" s="1" t="str">
        <f>"23/27"</f>
        <v>23/27</v>
      </c>
      <c r="K15083" s="1" t="str">
        <f>"2026-07-29 14:20:02"</f>
        <v>2026-07-29 14:20:02</v>
      </c>
      <c r="L15083" s="1" t="str">
        <f>"2024-12-03 11:24:25"</f>
        <v>2024-12-03 11:24:25</v>
      </c>
      <c r="M15083" s="1" t="s">
        <v>4</v>
      </c>
      <c r="N15083" s="1" t="s">
        <v>38</v>
      </c>
      <c r="O15083" s="1" t="s">
        <v>46</v>
      </c>
    </row>
    <row r="15084" spans="2:15" x14ac:dyDescent="0.3">
      <c r="B15084" s="1" t="s">
        <v>19</v>
      </c>
      <c r="C15084" s="1" t="str">
        <f>"4차"</f>
        <v>4차</v>
      </c>
      <c r="D15084" s="1" t="str">
        <f>"0128W35139"</f>
        <v>0128W35139</v>
      </c>
      <c r="E15084" s="1" t="s">
        <v>10</v>
      </c>
      <c r="F15084" s="1" t="str">
        <f>"10.12.137.52"</f>
        <v>10.12.137.52</v>
      </c>
      <c r="G15084" s="1" t="str">
        <f>"0128W351"</f>
        <v>0128W351</v>
      </c>
      <c r="H15084" s="1" t="str">
        <f>"미아 13"</f>
        <v>미아 13</v>
      </c>
      <c r="I15084" s="1" t="s">
        <v>17</v>
      </c>
      <c r="J15084" s="1" t="str">
        <f>"5/5"</f>
        <v>5/5</v>
      </c>
      <c r="K15084" s="1" t="str">
        <f>"2026-07-29 13:18:02"</f>
        <v>2026-07-29 13:18:02</v>
      </c>
      <c r="L15084" s="1" t="str">
        <f>"2018-05-29 12:27:44"</f>
        <v>2018-05-29 12:27:44</v>
      </c>
      <c r="M15084" s="1" t="s">
        <v>0</v>
      </c>
      <c r="N15084" s="1" t="s">
        <v>38</v>
      </c>
      <c r="O15084" s="1" t="s">
        <v>46</v>
      </c>
    </row>
    <row r="15085" spans="2:15" x14ac:dyDescent="0.3">
      <c r="B15085" s="1" t="s">
        <v>19</v>
      </c>
      <c r="C15085" s="1" t="str">
        <f>"4차"</f>
        <v>4차</v>
      </c>
      <c r="D15085" s="1" t="str">
        <f>"0128W69139"</f>
        <v>0128W69139</v>
      </c>
      <c r="E15085" s="1" t="s">
        <v>10</v>
      </c>
      <c r="F15085" s="1" t="str">
        <f>"10.12.136.122"</f>
        <v>10.12.136.122</v>
      </c>
      <c r="G15085" s="1" t="str">
        <f>"0128W691"</f>
        <v>0128W691</v>
      </c>
      <c r="H15085" s="1" t="str">
        <f>"미아 9"</f>
        <v>미아 9</v>
      </c>
      <c r="I15085" s="1" t="s">
        <v>17</v>
      </c>
      <c r="J15085" s="1" t="str">
        <f>"15/15"</f>
        <v>15/15</v>
      </c>
      <c r="K15085" s="1" t="str">
        <f>"2026-07-29 13:18:02"</f>
        <v>2026-07-29 13:18:02</v>
      </c>
      <c r="L15085" s="1" t="str">
        <f>"2018-05-29 11:49:42"</f>
        <v>2018-05-29 11:49:42</v>
      </c>
      <c r="M15085" s="1" t="s">
        <v>0</v>
      </c>
      <c r="N15085" s="1" t="s">
        <v>38</v>
      </c>
      <c r="O15085" s="1" t="s">
        <v>46</v>
      </c>
    </row>
    <row r="15086" spans="2:15" x14ac:dyDescent="0.3">
      <c r="B15086" s="1" t="s">
        <v>19</v>
      </c>
      <c r="C15086" s="1" t="str">
        <f>"4차"</f>
        <v>4차</v>
      </c>
      <c r="D15086" s="1" t="str">
        <f>"0128W71141"</f>
        <v>0128W71141</v>
      </c>
      <c r="E15086" s="1" t="s">
        <v>10</v>
      </c>
      <c r="F15086" s="1" t="str">
        <f>"10.12.131.60"</f>
        <v>10.12.131.60</v>
      </c>
      <c r="G15086" s="1" t="str">
        <f>"0128W711"</f>
        <v>0128W711</v>
      </c>
      <c r="H15086" s="1" t="str">
        <f>"종이간 54L5"</f>
        <v>종이간 54L5</v>
      </c>
      <c r="I15086" s="1" t="s">
        <v>17</v>
      </c>
      <c r="J15086" s="1" t="str">
        <f>"7/14"</f>
        <v>7/14</v>
      </c>
      <c r="K15086" s="1" t="str">
        <f>"2026-07-29 13:18:03"</f>
        <v>2026-07-29 13:18:03</v>
      </c>
      <c r="L15086" s="1" t="str">
        <f>"2021-06-17 11:39:59"</f>
        <v>2021-06-17 11:39:59</v>
      </c>
      <c r="M15086" s="1" t="s">
        <v>0</v>
      </c>
      <c r="N15086" s="1" t="s">
        <v>38</v>
      </c>
      <c r="O15086" s="1" t="s">
        <v>46</v>
      </c>
    </row>
    <row r="15087" spans="2:15" x14ac:dyDescent="0.3">
      <c r="B15087" s="1" t="s">
        <v>19</v>
      </c>
      <c r="C15087" s="1" t="str">
        <f>"5-2차"</f>
        <v>5-2차</v>
      </c>
      <c r="D15087" s="1" t="str">
        <f>"0128W9115M"</f>
        <v>0128W9115M</v>
      </c>
      <c r="E15087" s="1" t="s">
        <v>10</v>
      </c>
      <c r="F15087" s="1" t="str">
        <f>"fde3:102:1410:8200:0:0:0:5"</f>
        <v>fde3:102:1410:8200:0:0:0:5</v>
      </c>
      <c r="G15087" s="1" t="str">
        <f>"0128W911"</f>
        <v>0128W911</v>
      </c>
      <c r="H15087" s="1" t="str">
        <f>"종암지 2R7"</f>
        <v>종암지 2R7</v>
      </c>
      <c r="I15087" s="1" t="s">
        <v>15</v>
      </c>
      <c r="J15087" s="1" t="str">
        <f>"59/59"</f>
        <v>59/59</v>
      </c>
      <c r="K15087" s="1" t="str">
        <f>"2026-07-29 14:20:03"</f>
        <v>2026-07-29 14:20:03</v>
      </c>
      <c r="L15087" s="1" t="str">
        <f>"2023-06-19 18:27:54"</f>
        <v>2023-06-19 18:27:54</v>
      </c>
      <c r="M15087" s="1" t="s">
        <v>45</v>
      </c>
      <c r="N15087" s="1" t="s">
        <v>38</v>
      </c>
      <c r="O15087" s="1" t="s">
        <v>46</v>
      </c>
    </row>
    <row r="15088" spans="2:15" x14ac:dyDescent="0.3">
      <c r="B15088" s="1" t="s">
        <v>19</v>
      </c>
      <c r="C15088" s="1" t="str">
        <f>"5-2차"</f>
        <v>5-2차</v>
      </c>
      <c r="D15088" s="1" t="str">
        <f>"0128W9125M"</f>
        <v>0128W9125M</v>
      </c>
      <c r="E15088" s="1" t="s">
        <v>10</v>
      </c>
      <c r="F15088" s="1" t="str">
        <f>"fde3:102:1410:8200:0:0:0:4"</f>
        <v>fde3:102:1410:8200:0:0:0:4</v>
      </c>
      <c r="G15088" s="1" t="str">
        <f>"0128W912"</f>
        <v>0128W912</v>
      </c>
      <c r="H15088" s="1" t="str">
        <f>"종암지 2R8"</f>
        <v>종암지 2R8</v>
      </c>
      <c r="I15088" s="1" t="s">
        <v>15</v>
      </c>
      <c r="J15088" s="1" t="str">
        <f>"47/47"</f>
        <v>47/47</v>
      </c>
      <c r="K15088" s="1" t="str">
        <f>"2026-07-29 14:20:45"</f>
        <v>2026-07-29 14:20:45</v>
      </c>
      <c r="L15088" s="1" t="str">
        <f>"2023-06-19 18:26:37"</f>
        <v>2023-06-19 18:26:37</v>
      </c>
      <c r="M15088" s="1" t="s">
        <v>45</v>
      </c>
      <c r="N15088" s="1" t="s">
        <v>38</v>
      </c>
      <c r="O15088" s="1" t="s">
        <v>46</v>
      </c>
    </row>
    <row r="15089" spans="2:15" x14ac:dyDescent="0.3">
      <c r="B15089" s="1" t="s">
        <v>19</v>
      </c>
      <c r="C15089" s="1" t="str">
        <f>"4차"</f>
        <v>4차</v>
      </c>
      <c r="D15089" s="1" t="str">
        <f>"0128W92541"</f>
        <v>0128W92541</v>
      </c>
      <c r="E15089" s="1" t="s">
        <v>10</v>
      </c>
      <c r="F15089" s="1" t="str">
        <f>"10.14.13.26"</f>
        <v>10.14.13.26</v>
      </c>
      <c r="G15089" s="1" t="str">
        <f>"0128W925"</f>
        <v>0128W925</v>
      </c>
      <c r="H15089" s="1" t="str">
        <f>"종암지 2R4"</f>
        <v>종암지 2R4</v>
      </c>
      <c r="I15089" s="1" t="s">
        <v>17</v>
      </c>
      <c r="J15089" s="1" t="str">
        <f>"33/41"</f>
        <v>33/41</v>
      </c>
      <c r="K15089" s="1" t="str">
        <f>"2026-07-29 13:18:03"</f>
        <v>2026-07-29 13:18:03</v>
      </c>
      <c r="L15089" s="1" t="str">
        <f>"2021-10-12 09:16:16"</f>
        <v>2021-10-12 09:16:16</v>
      </c>
      <c r="M15089" s="1" t="s">
        <v>3</v>
      </c>
      <c r="N15089" s="1" t="s">
        <v>38</v>
      </c>
      <c r="O15089" s="1" t="s">
        <v>46</v>
      </c>
    </row>
    <row r="15090" spans="2:15" x14ac:dyDescent="0.3">
      <c r="B15090" s="1" t="s">
        <v>19</v>
      </c>
      <c r="C15090" s="1" t="str">
        <f>"5-2차"</f>
        <v>5-2차</v>
      </c>
      <c r="D15090" s="1" t="str">
        <f>"0128X0325M"</f>
        <v>0128X0325M</v>
      </c>
      <c r="E15090" s="1" t="s">
        <v>10</v>
      </c>
      <c r="F15090" s="1" t="str">
        <f>"fde3:102:1410:8200:0:0:0:6"</f>
        <v>fde3:102:1410:8200:0:0:0:6</v>
      </c>
      <c r="G15090" s="1" t="str">
        <f>"0128X032"</f>
        <v>0128X032</v>
      </c>
      <c r="H15090" s="1" t="str">
        <f>"종암지 2R2"</f>
        <v>종암지 2R2</v>
      </c>
      <c r="I15090" s="1" t="s">
        <v>15</v>
      </c>
      <c r="J15090" s="1" t="str">
        <f>"48/49"</f>
        <v>48/49</v>
      </c>
      <c r="K15090" s="1" t="str">
        <f>"2026-07-29 14:20:04"</f>
        <v>2026-07-29 14:20:04</v>
      </c>
      <c r="L15090" s="1" t="str">
        <f>"2023-06-19 18:25:51"</f>
        <v>2023-06-19 18:25:51</v>
      </c>
      <c r="M15090" s="1" t="s">
        <v>45</v>
      </c>
      <c r="N15090" s="1" t="s">
        <v>38</v>
      </c>
      <c r="O15090" s="1" t="s">
        <v>46</v>
      </c>
    </row>
    <row r="15091" spans="2:15" x14ac:dyDescent="0.3">
      <c r="B15091" s="1" t="s">
        <v>19</v>
      </c>
      <c r="C15091" s="1" t="str">
        <f>"3차"</f>
        <v>3차</v>
      </c>
      <c r="D15091" s="1" t="str">
        <f>"0128X23339"</f>
        <v>0128X23339</v>
      </c>
      <c r="E15091" s="1" t="s">
        <v>10</v>
      </c>
      <c r="F15091" s="1" t="str">
        <f>"10.12.136.177"</f>
        <v>10.12.136.177</v>
      </c>
      <c r="G15091" s="1" t="str">
        <f>"0128X233"</f>
        <v>0128X233</v>
      </c>
      <c r="H15091" s="1" t="str">
        <f>"종암지 3L2"</f>
        <v>종암지 3L2</v>
      </c>
      <c r="I15091" s="1" t="s">
        <v>8</v>
      </c>
      <c r="J15091" s="1" t="str">
        <f>"22/22"</f>
        <v>22/22</v>
      </c>
      <c r="K15091" s="1" t="str">
        <f>"2026-07-29 13:18:02"</f>
        <v>2026-07-29 13:18:02</v>
      </c>
      <c r="L15091" s="1" t="str">
        <f>"2018-04-25 11:51:41"</f>
        <v>2018-04-25 11:51:41</v>
      </c>
      <c r="M15091" s="1" t="s">
        <v>0</v>
      </c>
      <c r="N15091" s="1" t="s">
        <v>38</v>
      </c>
      <c r="O15091" s="1" t="s">
        <v>46</v>
      </c>
    </row>
    <row r="15092" spans="2:15" x14ac:dyDescent="0.3">
      <c r="B15092" s="1" t="s">
        <v>19</v>
      </c>
      <c r="C15092" s="1" t="str">
        <f>"4차"</f>
        <v>4차</v>
      </c>
      <c r="D15092" s="1" t="str">
        <f>"0128X24141"</f>
        <v>0128X24141</v>
      </c>
      <c r="E15092" s="1" t="s">
        <v>10</v>
      </c>
      <c r="F15092" s="1" t="str">
        <f>"10.12.132.177"</f>
        <v>10.12.132.177</v>
      </c>
      <c r="G15092" s="1" t="str">
        <f>"0128X241"</f>
        <v>0128X241</v>
      </c>
      <c r="H15092" s="1" t="str">
        <f>"종암지 3"</f>
        <v>종암지 3</v>
      </c>
      <c r="I15092" s="1" t="s">
        <v>17</v>
      </c>
      <c r="J15092" s="1" t="str">
        <f>"31/34"</f>
        <v>31/34</v>
      </c>
      <c r="K15092" s="1" t="str">
        <f>"2026-07-29 13:18:01"</f>
        <v>2026-07-29 13:18:01</v>
      </c>
      <c r="L15092" s="1" t="str">
        <f>"2021-10-12 09:59:38"</f>
        <v>2021-10-12 09:59:38</v>
      </c>
      <c r="M15092" s="1" t="s">
        <v>0</v>
      </c>
      <c r="N15092" s="1" t="s">
        <v>38</v>
      </c>
      <c r="O15092" s="1" t="s">
        <v>46</v>
      </c>
    </row>
    <row r="15093" spans="2:15" x14ac:dyDescent="0.3">
      <c r="B15093" s="1" t="s">
        <v>19</v>
      </c>
      <c r="C15093" s="1" t="str">
        <f>"4차"</f>
        <v>4차</v>
      </c>
      <c r="D15093" s="1" t="str">
        <f>"0128X32644"</f>
        <v>0128X32644</v>
      </c>
      <c r="E15093" s="1" t="s">
        <v>10</v>
      </c>
      <c r="F15093" s="1" t="str">
        <f>"10.107.124.51"</f>
        <v>10.107.124.51</v>
      </c>
      <c r="G15093" s="1" t="str">
        <f>"0128X326"</f>
        <v>0128X326</v>
      </c>
      <c r="H15093" s="1" t="str">
        <f>"종암지 7R1"</f>
        <v>종암지 7R1</v>
      </c>
      <c r="I15093" s="1" t="s">
        <v>8</v>
      </c>
      <c r="J15093" s="1" t="str">
        <f>"47/57"</f>
        <v>47/57</v>
      </c>
      <c r="K15093" s="1" t="str">
        <f>"2026-07-29 13:18:02"</f>
        <v>2026-07-29 13:18:02</v>
      </c>
      <c r="L15093" s="1" t="str">
        <f>"2020-01-07 10:22:41"</f>
        <v>2020-01-07 10:22:41</v>
      </c>
      <c r="M15093" s="1" t="s">
        <v>45</v>
      </c>
      <c r="N15093" s="1" t="s">
        <v>38</v>
      </c>
      <c r="O15093" s="1" t="s">
        <v>46</v>
      </c>
    </row>
    <row r="15094" spans="2:15" x14ac:dyDescent="0.3">
      <c r="B15094" s="1" t="s">
        <v>19</v>
      </c>
      <c r="C15094" s="1" t="str">
        <f>"1차"</f>
        <v>1차</v>
      </c>
      <c r="D15094" s="1" t="str">
        <f>"0128X40201"</f>
        <v>0128X40201</v>
      </c>
      <c r="E15094" s="1" t="s">
        <v>10</v>
      </c>
      <c r="F15094" s="1" t="str">
        <f>"10.12.135.77"</f>
        <v>10.12.135.77</v>
      </c>
      <c r="G15094" s="1" t="str">
        <f>"0128X402"</f>
        <v>0128X402</v>
      </c>
      <c r="H15094" s="1" t="str">
        <f>"종암지 10"</f>
        <v>종암지 10</v>
      </c>
      <c r="I15094" s="1" t="s">
        <v>8</v>
      </c>
      <c r="J15094" s="1" t="str">
        <f>"31/32"</f>
        <v>31/32</v>
      </c>
      <c r="K15094" s="1" t="str">
        <f>"2026-07-29 13:18:01"</f>
        <v>2026-07-29 13:18:01</v>
      </c>
      <c r="L15094" s="1" t="str">
        <f>"2014-11-18 16:27:02"</f>
        <v>2014-11-18 16:27:02</v>
      </c>
      <c r="M15094" s="1" t="s">
        <v>0</v>
      </c>
      <c r="N15094" s="1" t="s">
        <v>38</v>
      </c>
      <c r="O15094" s="1" t="s">
        <v>46</v>
      </c>
    </row>
    <row r="15095" spans="2:15" x14ac:dyDescent="0.3">
      <c r="B15095" s="1" t="s">
        <v>19</v>
      </c>
      <c r="C15095" s="1" t="str">
        <f>"4차"</f>
        <v>4차</v>
      </c>
      <c r="D15095" s="1" t="str">
        <f>"0128X43344"</f>
        <v>0128X43344</v>
      </c>
      <c r="E15095" s="1" t="s">
        <v>10</v>
      </c>
      <c r="F15095" s="1" t="str">
        <f>"10.107.124.54"</f>
        <v>10.107.124.54</v>
      </c>
      <c r="G15095" s="1" t="str">
        <f>"0128X433"</f>
        <v>0128X433</v>
      </c>
      <c r="H15095" s="1" t="str">
        <f>"종이간 39"</f>
        <v>종이간 39</v>
      </c>
      <c r="I15095" s="1" t="s">
        <v>8</v>
      </c>
      <c r="J15095" s="1" t="str">
        <f>"6/7"</f>
        <v>6/7</v>
      </c>
      <c r="K15095" s="1" t="str">
        <f>"2026-07-29 13:18:02"</f>
        <v>2026-07-29 13:18:02</v>
      </c>
      <c r="L15095" s="1" t="str">
        <f>"2020-01-07 10:15:08"</f>
        <v>2020-01-07 10:15:08</v>
      </c>
      <c r="M15095" s="1" t="s">
        <v>45</v>
      </c>
      <c r="N15095" s="1" t="s">
        <v>38</v>
      </c>
      <c r="O15095" s="1" t="s">
        <v>46</v>
      </c>
    </row>
    <row r="15096" spans="2:15" x14ac:dyDescent="0.3">
      <c r="B15096" s="1" t="s">
        <v>19</v>
      </c>
      <c r="C15096" s="1" t="str">
        <f>"3차"</f>
        <v>3차</v>
      </c>
      <c r="D15096" s="1" t="str">
        <f>"0128X47239"</f>
        <v>0128X47239</v>
      </c>
      <c r="E15096" s="1" t="s">
        <v>10</v>
      </c>
      <c r="F15096" s="1" t="str">
        <f>"10.11.140.50"</f>
        <v>10.11.140.50</v>
      </c>
      <c r="G15096" s="1" t="str">
        <f>"0128X472"</f>
        <v>0128X472</v>
      </c>
      <c r="H15096" s="1" t="str">
        <f>"성가지 13"</f>
        <v>성가지 13</v>
      </c>
      <c r="I15096" s="1" t="s">
        <v>8</v>
      </c>
      <c r="J15096" s="1" t="str">
        <f>"8/8"</f>
        <v>8/8</v>
      </c>
      <c r="K15096" s="1" t="str">
        <f>"2026-07-29 13:18:01"</f>
        <v>2026-07-29 13:18:01</v>
      </c>
      <c r="L15096" s="1" t="str">
        <f>"2018-04-25 14:16:57"</f>
        <v>2018-04-25 14:16:57</v>
      </c>
      <c r="M15096" s="1" t="s">
        <v>2</v>
      </c>
      <c r="N15096" s="1" t="s">
        <v>38</v>
      </c>
      <c r="O15096" s="1" t="s">
        <v>46</v>
      </c>
    </row>
    <row r="15097" spans="2:15" x14ac:dyDescent="0.3">
      <c r="B15097" s="1" t="s">
        <v>19</v>
      </c>
      <c r="C15097" s="1" t="str">
        <f>"4차"</f>
        <v>4차</v>
      </c>
      <c r="D15097" s="1" t="str">
        <f>"0128X58144"</f>
        <v>0128X58144</v>
      </c>
      <c r="E15097" s="1" t="s">
        <v>10</v>
      </c>
      <c r="F15097" s="1" t="str">
        <f>"10.107.119.245"</f>
        <v>10.107.119.245</v>
      </c>
      <c r="G15097" s="1" t="str">
        <f>"0128X581"</f>
        <v>0128X581</v>
      </c>
      <c r="H15097" s="1" t="str">
        <f>"성가지 12L1"</f>
        <v>성가지 12L1</v>
      </c>
      <c r="I15097" s="1" t="s">
        <v>8</v>
      </c>
      <c r="J15097" s="1" t="str">
        <f>"49/49"</f>
        <v>49/49</v>
      </c>
      <c r="K15097" s="1" t="str">
        <f>"2026-07-29 13:18:01"</f>
        <v>2026-07-29 13:18:01</v>
      </c>
      <c r="L15097" s="1" t="str">
        <f>"2019-10-31 08:49:11"</f>
        <v>2019-10-31 08:49:11</v>
      </c>
      <c r="M15097" s="1" t="s">
        <v>45</v>
      </c>
      <c r="N15097" s="1" t="s">
        <v>38</v>
      </c>
      <c r="O15097" s="1" t="s">
        <v>46</v>
      </c>
    </row>
    <row r="15098" spans="2:15" x14ac:dyDescent="0.3">
      <c r="B15098" s="1" t="s">
        <v>19</v>
      </c>
      <c r="C15098" s="1" t="str">
        <f>"4차"</f>
        <v>4차</v>
      </c>
      <c r="D15098" s="1" t="str">
        <f>"0128X58244"</f>
        <v>0128X58244</v>
      </c>
      <c r="E15098" s="1" t="s">
        <v>10</v>
      </c>
      <c r="F15098" s="1" t="str">
        <f>"10.107.119.246"</f>
        <v>10.107.119.246</v>
      </c>
      <c r="G15098" s="1" t="str">
        <f>"0128X582"</f>
        <v>0128X582</v>
      </c>
      <c r="H15098" s="1" t="str">
        <f>"성가지 12L2"</f>
        <v>성가지 12L2</v>
      </c>
      <c r="I15098" s="1" t="s">
        <v>8</v>
      </c>
      <c r="J15098" s="1" t="str">
        <f>"58/59"</f>
        <v>58/59</v>
      </c>
      <c r="K15098" s="1" t="str">
        <f>"2026-07-29 13:18:02"</f>
        <v>2026-07-29 13:18:02</v>
      </c>
      <c r="L15098" s="1" t="str">
        <f>"2019-10-31 08:50:11"</f>
        <v>2019-10-31 08:50:11</v>
      </c>
      <c r="M15098" s="1" t="s">
        <v>45</v>
      </c>
      <c r="N15098" s="1" t="s">
        <v>38</v>
      </c>
      <c r="O15098" s="1" t="s">
        <v>46</v>
      </c>
    </row>
    <row r="15099" spans="2:15" x14ac:dyDescent="0.3">
      <c r="B15099" s="1" t="s">
        <v>19</v>
      </c>
      <c r="C15099" s="1" t="str">
        <f>"5-2차"</f>
        <v>5-2차</v>
      </c>
      <c r="D15099" s="1" t="str">
        <f>"0128X6325M"</f>
        <v>0128X6325M</v>
      </c>
      <c r="E15099" s="1" t="s">
        <v>10</v>
      </c>
      <c r="F15099" s="1" t="str">
        <f>"fde1:103:4:55fb:0:0:0:2"</f>
        <v>fde1:103:4:55fb:0:0:0:2</v>
      </c>
      <c r="G15099" s="1" t="str">
        <f>"0128X632"</f>
        <v>0128X632</v>
      </c>
      <c r="H15099" s="1" t="str">
        <f>"성가지 25R2"</f>
        <v>성가지 25R2</v>
      </c>
      <c r="I15099" s="1" t="s">
        <v>15</v>
      </c>
      <c r="J15099" s="1" t="str">
        <f>"39/39"</f>
        <v>39/39</v>
      </c>
      <c r="K15099" s="1" t="str">
        <f>"2026-07-29 14:20:05"</f>
        <v>2026-07-29 14:20:05</v>
      </c>
      <c r="L15099" s="1" t="str">
        <f>"2025-04-23 14:10:31"</f>
        <v>2025-04-23 14:10:31</v>
      </c>
      <c r="M15099" s="1" t="s">
        <v>4</v>
      </c>
      <c r="N15099" s="1" t="s">
        <v>38</v>
      </c>
      <c r="O15099" s="1" t="s">
        <v>46</v>
      </c>
    </row>
    <row r="15100" spans="2:15" x14ac:dyDescent="0.3">
      <c r="B15100" s="1" t="s">
        <v>19</v>
      </c>
      <c r="C15100" s="1" t="str">
        <f>"4차"</f>
        <v>4차</v>
      </c>
      <c r="D15100" s="1" t="str">
        <f>"0128X67144"</f>
        <v>0128X67144</v>
      </c>
      <c r="E15100" s="1" t="s">
        <v>10</v>
      </c>
      <c r="F15100" s="1" t="str">
        <f>"10.107.119.247"</f>
        <v>10.107.119.247</v>
      </c>
      <c r="G15100" s="1" t="str">
        <f>"0128X671"</f>
        <v>0128X671</v>
      </c>
      <c r="H15100" s="1" t="str">
        <f>"성가지 12L3R2"</f>
        <v>성가지 12L3R2</v>
      </c>
      <c r="I15100" s="1" t="s">
        <v>8</v>
      </c>
      <c r="J15100" s="1" t="str">
        <f>"68/68"</f>
        <v>68/68</v>
      </c>
      <c r="K15100" s="1" t="str">
        <f>"2026-07-29 13:18:01"</f>
        <v>2026-07-29 13:18:01</v>
      </c>
      <c r="L15100" s="1" t="str">
        <f>"2019-10-31 09:03:43"</f>
        <v>2019-10-31 09:03:43</v>
      </c>
      <c r="M15100" s="1" t="s">
        <v>45</v>
      </c>
      <c r="N15100" s="1" t="s">
        <v>38</v>
      </c>
      <c r="O15100" s="1" t="s">
        <v>46</v>
      </c>
    </row>
    <row r="15101" spans="2:15" x14ac:dyDescent="0.3">
      <c r="B15101" s="1" t="s">
        <v>19</v>
      </c>
      <c r="C15101" s="1" t="str">
        <f>"1차"</f>
        <v>1차</v>
      </c>
      <c r="D15101" s="1" t="str">
        <f>"0128X68101"</f>
        <v>0128X68101</v>
      </c>
      <c r="E15101" s="1" t="s">
        <v>10</v>
      </c>
      <c r="F15101" s="1" t="str">
        <f>"10.107.119.250"</f>
        <v>10.107.119.250</v>
      </c>
      <c r="G15101" s="1" t="str">
        <f>"0128X681"</f>
        <v>0128X681</v>
      </c>
      <c r="H15101" s="1" t="str">
        <f>"성가지 12L3"</f>
        <v>성가지 12L3</v>
      </c>
      <c r="I15101" s="1" t="s">
        <v>8</v>
      </c>
      <c r="J15101" s="1" t="str">
        <f>"29/29"</f>
        <v>29/29</v>
      </c>
      <c r="K15101" s="1" t="str">
        <f>"2026-07-29 13:18:02"</f>
        <v>2026-07-29 13:18:02</v>
      </c>
      <c r="L15101" s="1" t="str">
        <f>"2014-11-18 16:43:16"</f>
        <v>2014-11-18 16:43:16</v>
      </c>
      <c r="M15101" s="1" t="s">
        <v>45</v>
      </c>
      <c r="N15101" s="1" t="s">
        <v>38</v>
      </c>
      <c r="O15101" s="1" t="s">
        <v>46</v>
      </c>
    </row>
    <row r="15102" spans="2:15" x14ac:dyDescent="0.3">
      <c r="B15102" s="1" t="s">
        <v>19</v>
      </c>
      <c r="C15102" s="1" t="str">
        <f>"4차"</f>
        <v>4차</v>
      </c>
      <c r="D15102" s="1" t="str">
        <f>"0128X68544"</f>
        <v>0128X68544</v>
      </c>
      <c r="E15102" s="1" t="s">
        <v>10</v>
      </c>
      <c r="F15102" s="1" t="str">
        <f>"10.107.119.248"</f>
        <v>10.107.119.248</v>
      </c>
      <c r="G15102" s="1" t="str">
        <f>"0128X685"</f>
        <v>0128X685</v>
      </c>
      <c r="H15102" s="1" t="str">
        <f>"성가지 12L3R1"</f>
        <v>성가지 12L3R1</v>
      </c>
      <c r="I15102" s="1" t="s">
        <v>8</v>
      </c>
      <c r="J15102" s="1" t="str">
        <f>"58/59"</f>
        <v>58/59</v>
      </c>
      <c r="K15102" s="1" t="str">
        <f>"2026-07-29 13:18:02"</f>
        <v>2026-07-29 13:18:02</v>
      </c>
      <c r="L15102" s="1" t="str">
        <f>"2019-10-31 09:02:29"</f>
        <v>2019-10-31 09:02:29</v>
      </c>
      <c r="M15102" s="1" t="s">
        <v>45</v>
      </c>
      <c r="N15102" s="1" t="s">
        <v>38</v>
      </c>
      <c r="O15102" s="1" t="s">
        <v>46</v>
      </c>
    </row>
    <row r="15103" spans="2:15" x14ac:dyDescent="0.3">
      <c r="B15103" s="1" t="s">
        <v>19</v>
      </c>
      <c r="C15103" s="1" t="str">
        <f>"4차"</f>
        <v>4차</v>
      </c>
      <c r="D15103" s="1" t="str">
        <f>"0128X75344"</f>
        <v>0128X75344</v>
      </c>
      <c r="E15103" s="1" t="s">
        <v>10</v>
      </c>
      <c r="F15103" s="1" t="str">
        <f>"10.107.118.2"</f>
        <v>10.107.118.2</v>
      </c>
      <c r="G15103" s="1" t="str">
        <f>"0128X753"</f>
        <v>0128X753</v>
      </c>
      <c r="H15103" s="1" t="str">
        <f>"성가지 22"</f>
        <v>성가지 22</v>
      </c>
      <c r="I15103" s="1" t="s">
        <v>8</v>
      </c>
      <c r="J15103" s="1" t="str">
        <f>"40/40"</f>
        <v>40/40</v>
      </c>
      <c r="K15103" s="1" t="str">
        <f>"2026-07-29 13:18:02"</f>
        <v>2026-07-29 13:18:02</v>
      </c>
      <c r="L15103" s="1" t="str">
        <f>"2019-10-31 09:13:05"</f>
        <v>2019-10-31 09:13:05</v>
      </c>
      <c r="M15103" s="1" t="s">
        <v>45</v>
      </c>
      <c r="N15103" s="1" t="s">
        <v>38</v>
      </c>
      <c r="O15103" s="1" t="s">
        <v>46</v>
      </c>
    </row>
    <row r="15104" spans="2:15" x14ac:dyDescent="0.3">
      <c r="B15104" s="1" t="s">
        <v>19</v>
      </c>
      <c r="C15104" s="1" t="str">
        <f>"4차"</f>
        <v>4차</v>
      </c>
      <c r="D15104" s="1" t="str">
        <f>"0128X76444"</f>
        <v>0128X76444</v>
      </c>
      <c r="E15104" s="1" t="s">
        <v>10</v>
      </c>
      <c r="F15104" s="1" t="str">
        <f>"10.107.118.3"</f>
        <v>10.107.118.3</v>
      </c>
      <c r="G15104" s="1" t="str">
        <f>"0128X764"</f>
        <v>0128X764</v>
      </c>
      <c r="H15104" s="1" t="str">
        <f>"성가지 22L1L1"</f>
        <v>성가지 22L1L1</v>
      </c>
      <c r="I15104" s="1" t="s">
        <v>8</v>
      </c>
      <c r="J15104" s="1" t="str">
        <f>"18/18"</f>
        <v>18/18</v>
      </c>
      <c r="K15104" s="1" t="str">
        <f>"2026-07-29 13:18:02"</f>
        <v>2026-07-29 13:18:02</v>
      </c>
      <c r="L15104" s="1" t="str">
        <f>"2019-11-01 16:03:05"</f>
        <v>2019-11-01 16:03:05</v>
      </c>
      <c r="M15104" s="1" t="s">
        <v>45</v>
      </c>
      <c r="N15104" s="1" t="s">
        <v>38</v>
      </c>
      <c r="O15104" s="1" t="s">
        <v>46</v>
      </c>
    </row>
    <row r="15105" spans="2:15" x14ac:dyDescent="0.3">
      <c r="B15105" s="1" t="s">
        <v>19</v>
      </c>
      <c r="C15105" s="1" t="str">
        <f>"1차"</f>
        <v>1차</v>
      </c>
      <c r="D15105" s="1" t="str">
        <f>"0128X78100"</f>
        <v>0128X78100</v>
      </c>
      <c r="E15105" s="1" t="s">
        <v>10</v>
      </c>
      <c r="F15105" s="1" t="str">
        <f>"10.107.119.249"</f>
        <v>10.107.119.249</v>
      </c>
      <c r="G15105" s="1" t="str">
        <f>"0128X781"</f>
        <v>0128X781</v>
      </c>
      <c r="H15105" s="1" t="str">
        <f>"성가지 12L4"</f>
        <v>성가지 12L4</v>
      </c>
      <c r="I15105" s="1" t="s">
        <v>8</v>
      </c>
      <c r="J15105" s="1" t="str">
        <f>"114/114"</f>
        <v>114/114</v>
      </c>
      <c r="K15105" s="1" t="str">
        <f>"2026-07-29 13:18:02"</f>
        <v>2026-07-29 13:18:02</v>
      </c>
      <c r="L15105" s="1" t="str">
        <f>"2014-11-18 16:42:20"</f>
        <v>2014-11-18 16:42:20</v>
      </c>
      <c r="M15105" s="1" t="s">
        <v>45</v>
      </c>
      <c r="N15105" s="1" t="s">
        <v>38</v>
      </c>
      <c r="O15105" s="1" t="s">
        <v>46</v>
      </c>
    </row>
    <row r="15106" spans="2:15" x14ac:dyDescent="0.3">
      <c r="B15106" s="1" t="s">
        <v>19</v>
      </c>
      <c r="C15106" s="1" t="str">
        <f t="shared" ref="C15106:C15116" si="765">"4차"</f>
        <v>4차</v>
      </c>
      <c r="D15106" s="1" t="str">
        <f>"0128X80439"</f>
        <v>0128X80439</v>
      </c>
      <c r="E15106" s="1" t="s">
        <v>10</v>
      </c>
      <c r="F15106" s="1" t="str">
        <f>"10.12.136.89"</f>
        <v>10.12.136.89</v>
      </c>
      <c r="G15106" s="1" t="str">
        <f>"0128X804"</f>
        <v>0128X804</v>
      </c>
      <c r="H15106" s="1" t="str">
        <f>"종암 1"</f>
        <v>종암 1</v>
      </c>
      <c r="I15106" s="1" t="s">
        <v>17</v>
      </c>
      <c r="J15106" s="1" t="str">
        <f>"9/9"</f>
        <v>9/9</v>
      </c>
      <c r="K15106" s="1" t="str">
        <f>"2026-07-29 13:18:03"</f>
        <v>2026-07-29 13:18:03</v>
      </c>
      <c r="L15106" s="1" t="str">
        <f>"2018-05-30 09:59:41"</f>
        <v>2018-05-30 09:59:41</v>
      </c>
      <c r="M15106" s="1" t="s">
        <v>0</v>
      </c>
      <c r="N15106" s="1" t="s">
        <v>38</v>
      </c>
      <c r="O15106" s="1" t="s">
        <v>46</v>
      </c>
    </row>
    <row r="15107" spans="2:15" x14ac:dyDescent="0.3">
      <c r="B15107" s="1" t="s">
        <v>19</v>
      </c>
      <c r="C15107" s="1" t="str">
        <f t="shared" si="765"/>
        <v>4차</v>
      </c>
      <c r="D15107" s="1" t="str">
        <f>"0128X84344"</f>
        <v>0128X84344</v>
      </c>
      <c r="E15107" s="1" t="s">
        <v>10</v>
      </c>
      <c r="F15107" s="1" t="str">
        <f>"10.11.140.58"</f>
        <v>10.11.140.58</v>
      </c>
      <c r="G15107" s="1" t="str">
        <f>"0128X843"</f>
        <v>0128X843</v>
      </c>
      <c r="H15107" s="1" t="str">
        <f>"성가지 24L1"</f>
        <v>성가지 24L1</v>
      </c>
      <c r="I15107" s="1" t="s">
        <v>8</v>
      </c>
      <c r="J15107" s="1" t="str">
        <f>"8/20"</f>
        <v>8/20</v>
      </c>
      <c r="K15107" s="1" t="str">
        <f>"2026-07-29 13:18:01"</f>
        <v>2026-07-29 13:18:01</v>
      </c>
      <c r="L15107" s="1" t="str">
        <f>"2019-11-11 19:47:22"</f>
        <v>2019-11-11 19:47:22</v>
      </c>
      <c r="M15107" s="1" t="s">
        <v>2</v>
      </c>
      <c r="N15107" s="1" t="s">
        <v>38</v>
      </c>
      <c r="O15107" s="1" t="s">
        <v>46</v>
      </c>
    </row>
    <row r="15108" spans="2:15" x14ac:dyDescent="0.3">
      <c r="B15108" s="1" t="s">
        <v>19</v>
      </c>
      <c r="C15108" s="1" t="str">
        <f t="shared" si="765"/>
        <v>4차</v>
      </c>
      <c r="D15108" s="1" t="str">
        <f>"0128X86344"</f>
        <v>0128X86344</v>
      </c>
      <c r="E15108" s="1" t="s">
        <v>10</v>
      </c>
      <c r="F15108" s="1" t="str">
        <f>"10.107.118.4"</f>
        <v>10.107.118.4</v>
      </c>
      <c r="G15108" s="1" t="str">
        <f>"0128X863"</f>
        <v>0128X863</v>
      </c>
      <c r="H15108" s="1" t="str">
        <f>"성가지 22L3"</f>
        <v>성가지 22L3</v>
      </c>
      <c r="I15108" s="1" t="s">
        <v>8</v>
      </c>
      <c r="J15108" s="1" t="str">
        <f>"166/166"</f>
        <v>166/166</v>
      </c>
      <c r="K15108" s="1" t="str">
        <f t="shared" ref="K15108:K15116" si="766">"2026-07-29 13:18:02"</f>
        <v>2026-07-29 13:18:02</v>
      </c>
      <c r="L15108" s="1" t="str">
        <f>"2019-10-31 09:17:57"</f>
        <v>2019-10-31 09:17:57</v>
      </c>
      <c r="M15108" s="1" t="s">
        <v>45</v>
      </c>
      <c r="N15108" s="1" t="s">
        <v>38</v>
      </c>
      <c r="O15108" s="1" t="s">
        <v>46</v>
      </c>
    </row>
    <row r="15109" spans="2:15" x14ac:dyDescent="0.3">
      <c r="B15109" s="1" t="s">
        <v>19</v>
      </c>
      <c r="C15109" s="1" t="str">
        <f t="shared" si="765"/>
        <v>4차</v>
      </c>
      <c r="D15109" s="1" t="str">
        <f>"0128X88144"</f>
        <v>0128X88144</v>
      </c>
      <c r="E15109" s="1" t="s">
        <v>10</v>
      </c>
      <c r="F15109" s="1" t="str">
        <f>"10.107.119.251"</f>
        <v>10.107.119.251</v>
      </c>
      <c r="G15109" s="1" t="str">
        <f>"0128X881"</f>
        <v>0128X881</v>
      </c>
      <c r="H15109" s="1" t="str">
        <f>"성가지 12L4R2"</f>
        <v>성가지 12L4R2</v>
      </c>
      <c r="I15109" s="1" t="s">
        <v>8</v>
      </c>
      <c r="J15109" s="1" t="str">
        <f>"51/51"</f>
        <v>51/51</v>
      </c>
      <c r="K15109" s="1" t="str">
        <f t="shared" si="766"/>
        <v>2026-07-29 13:18:02</v>
      </c>
      <c r="L15109" s="1" t="str">
        <f>"2019-10-31 09:01:43"</f>
        <v>2019-10-31 09:01:43</v>
      </c>
      <c r="M15109" s="1" t="s">
        <v>45</v>
      </c>
      <c r="N15109" s="1" t="s">
        <v>38</v>
      </c>
      <c r="O15109" s="1" t="s">
        <v>46</v>
      </c>
    </row>
    <row r="15110" spans="2:15" x14ac:dyDescent="0.3">
      <c r="B15110" s="1" t="s">
        <v>19</v>
      </c>
      <c r="C15110" s="1" t="str">
        <f t="shared" si="765"/>
        <v>4차</v>
      </c>
      <c r="D15110" s="1" t="str">
        <f>"0128X89144"</f>
        <v>0128X89144</v>
      </c>
      <c r="E15110" s="1" t="s">
        <v>10</v>
      </c>
      <c r="F15110" s="1" t="str">
        <f>"10.107.119.252"</f>
        <v>10.107.119.252</v>
      </c>
      <c r="G15110" s="1" t="str">
        <f>"0128X891"</f>
        <v>0128X891</v>
      </c>
      <c r="H15110" s="1" t="str">
        <f>"성가지 12L5"</f>
        <v>성가지 12L5</v>
      </c>
      <c r="I15110" s="1" t="s">
        <v>8</v>
      </c>
      <c r="J15110" s="1" t="str">
        <f>"19/19"</f>
        <v>19/19</v>
      </c>
      <c r="K15110" s="1" t="str">
        <f t="shared" si="766"/>
        <v>2026-07-29 13:18:02</v>
      </c>
      <c r="L15110" s="1" t="str">
        <f>"2019-10-31 09:03:06"</f>
        <v>2019-10-31 09:03:06</v>
      </c>
      <c r="M15110" s="1" t="s">
        <v>45</v>
      </c>
      <c r="N15110" s="1" t="s">
        <v>38</v>
      </c>
      <c r="O15110" s="1" t="s">
        <v>46</v>
      </c>
    </row>
    <row r="15111" spans="2:15" x14ac:dyDescent="0.3">
      <c r="B15111" s="1" t="s">
        <v>19</v>
      </c>
      <c r="C15111" s="1" t="str">
        <f t="shared" si="765"/>
        <v>4차</v>
      </c>
      <c r="D15111" s="1" t="str">
        <f>"0128X93144"</f>
        <v>0128X93144</v>
      </c>
      <c r="E15111" s="1" t="s">
        <v>10</v>
      </c>
      <c r="F15111" s="1" t="str">
        <f>"10.107.118.5"</f>
        <v>10.107.118.5</v>
      </c>
      <c r="G15111" s="1" t="str">
        <f>"0128X931"</f>
        <v>0128X931</v>
      </c>
      <c r="H15111" s="1" t="str">
        <f>"성가지 26L2"</f>
        <v>성가지 26L2</v>
      </c>
      <c r="I15111" s="1" t="s">
        <v>8</v>
      </c>
      <c r="J15111" s="1" t="str">
        <f>"21/21"</f>
        <v>21/21</v>
      </c>
      <c r="K15111" s="1" t="str">
        <f t="shared" si="766"/>
        <v>2026-07-29 13:18:02</v>
      </c>
      <c r="L15111" s="1" t="str">
        <f>"2019-11-01 16:33:05"</f>
        <v>2019-11-01 16:33:05</v>
      </c>
      <c r="M15111" s="1" t="s">
        <v>45</v>
      </c>
      <c r="N15111" s="1" t="s">
        <v>38</v>
      </c>
      <c r="O15111" s="1" t="s">
        <v>46</v>
      </c>
    </row>
    <row r="15112" spans="2:15" x14ac:dyDescent="0.3">
      <c r="B15112" s="1" t="s">
        <v>19</v>
      </c>
      <c r="C15112" s="1" t="str">
        <f t="shared" si="765"/>
        <v>4차</v>
      </c>
      <c r="D15112" s="1" t="str">
        <f>"0128X94444"</f>
        <v>0128X94444</v>
      </c>
      <c r="E15112" s="1" t="s">
        <v>10</v>
      </c>
      <c r="F15112" s="1" t="str">
        <f>"10.107.118.6"</f>
        <v>10.107.118.6</v>
      </c>
      <c r="G15112" s="1" t="str">
        <f>"0128X944"</f>
        <v>0128X944</v>
      </c>
      <c r="H15112" s="1" t="str">
        <f>"성가지 24L3"</f>
        <v>성가지 24L3</v>
      </c>
      <c r="I15112" s="1" t="s">
        <v>8</v>
      </c>
      <c r="J15112" s="1" t="str">
        <f>"28/40"</f>
        <v>28/40</v>
      </c>
      <c r="K15112" s="1" t="str">
        <f t="shared" si="766"/>
        <v>2026-07-29 13:18:02</v>
      </c>
      <c r="L15112" s="1" t="str">
        <f>"2019-11-01 16:01:29"</f>
        <v>2019-11-01 16:01:29</v>
      </c>
      <c r="M15112" s="1" t="s">
        <v>45</v>
      </c>
      <c r="N15112" s="1" t="s">
        <v>38</v>
      </c>
      <c r="O15112" s="1" t="s">
        <v>46</v>
      </c>
    </row>
    <row r="15113" spans="2:15" x14ac:dyDescent="0.3">
      <c r="B15113" s="1" t="s">
        <v>19</v>
      </c>
      <c r="C15113" s="1" t="str">
        <f t="shared" si="765"/>
        <v>4차</v>
      </c>
      <c r="D15113" s="1" t="str">
        <f>"0128X96144"</f>
        <v>0128X96144</v>
      </c>
      <c r="E15113" s="1" t="s">
        <v>10</v>
      </c>
      <c r="F15113" s="1" t="str">
        <f>"10.107.118.7"</f>
        <v>10.107.118.7</v>
      </c>
      <c r="G15113" s="1" t="str">
        <f>"0128X961"</f>
        <v>0128X961</v>
      </c>
      <c r="H15113" s="1" t="str">
        <f>"성가지 22L5"</f>
        <v>성가지 22L5</v>
      </c>
      <c r="I15113" s="1" t="s">
        <v>8</v>
      </c>
      <c r="J15113" s="1" t="str">
        <f>"66/67"</f>
        <v>66/67</v>
      </c>
      <c r="K15113" s="1" t="str">
        <f t="shared" si="766"/>
        <v>2026-07-29 13:18:02</v>
      </c>
      <c r="L15113" s="1" t="str">
        <f>"2019-10-31 09:33:04"</f>
        <v>2019-10-31 09:33:04</v>
      </c>
      <c r="M15113" s="1" t="s">
        <v>45</v>
      </c>
      <c r="N15113" s="1" t="s">
        <v>38</v>
      </c>
      <c r="O15113" s="1" t="s">
        <v>46</v>
      </c>
    </row>
    <row r="15114" spans="2:15" x14ac:dyDescent="0.3">
      <c r="B15114" s="1" t="s">
        <v>19</v>
      </c>
      <c r="C15114" s="1" t="str">
        <f t="shared" si="765"/>
        <v>4차</v>
      </c>
      <c r="D15114" s="1" t="str">
        <f>"0128X96344"</f>
        <v>0128X96344</v>
      </c>
      <c r="E15114" s="1" t="s">
        <v>10</v>
      </c>
      <c r="F15114" s="1" t="str">
        <f>"10.107.118.8"</f>
        <v>10.107.118.8</v>
      </c>
      <c r="G15114" s="1" t="str">
        <f>"0128X963"</f>
        <v>0128X963</v>
      </c>
      <c r="H15114" s="1" t="str">
        <f>"성가지 22L6"</f>
        <v>성가지 22L6</v>
      </c>
      <c r="I15114" s="1" t="s">
        <v>8</v>
      </c>
      <c r="J15114" s="1" t="str">
        <f>"52/56"</f>
        <v>52/56</v>
      </c>
      <c r="K15114" s="1" t="str">
        <f t="shared" si="766"/>
        <v>2026-07-29 13:18:02</v>
      </c>
      <c r="L15114" s="1" t="str">
        <f>"2019-10-31 09:31:42"</f>
        <v>2019-10-31 09:31:42</v>
      </c>
      <c r="M15114" s="1" t="s">
        <v>45</v>
      </c>
      <c r="N15114" s="1" t="s">
        <v>38</v>
      </c>
      <c r="O15114" s="1" t="s">
        <v>46</v>
      </c>
    </row>
    <row r="15115" spans="2:15" x14ac:dyDescent="0.3">
      <c r="B15115" s="1" t="s">
        <v>19</v>
      </c>
      <c r="C15115" s="1" t="str">
        <f t="shared" si="765"/>
        <v>4차</v>
      </c>
      <c r="D15115" s="1" t="str">
        <f>"0128Y64144"</f>
        <v>0128Y64144</v>
      </c>
      <c r="E15115" s="1" t="s">
        <v>10</v>
      </c>
      <c r="F15115" s="1" t="str">
        <f>"10.107.118.130"</f>
        <v>10.107.118.130</v>
      </c>
      <c r="G15115" s="1" t="str">
        <f>"0128Y641"</f>
        <v>0128Y641</v>
      </c>
      <c r="H15115" s="1" t="str">
        <f>"종암지 56"</f>
        <v>종암지 56</v>
      </c>
      <c r="I15115" s="1" t="s">
        <v>8</v>
      </c>
      <c r="J15115" s="1" t="str">
        <f>"88/88"</f>
        <v>88/88</v>
      </c>
      <c r="K15115" s="1" t="str">
        <f t="shared" si="766"/>
        <v>2026-07-29 13:18:02</v>
      </c>
      <c r="L15115" s="1" t="str">
        <f>"2019-12-13 09:10:21"</f>
        <v>2019-12-13 09:10:21</v>
      </c>
      <c r="M15115" s="1" t="s">
        <v>45</v>
      </c>
      <c r="N15115" s="1" t="s">
        <v>38</v>
      </c>
      <c r="O15115" s="1" t="s">
        <v>46</v>
      </c>
    </row>
    <row r="15116" spans="2:15" x14ac:dyDescent="0.3">
      <c r="B15116" s="1" t="s">
        <v>19</v>
      </c>
      <c r="C15116" s="1" t="str">
        <f t="shared" si="765"/>
        <v>4차</v>
      </c>
      <c r="D15116" s="1" t="str">
        <f>"0128Y71144"</f>
        <v>0128Y71144</v>
      </c>
      <c r="E15116" s="1" t="s">
        <v>10</v>
      </c>
      <c r="F15116" s="1" t="str">
        <f>"10.107.118.131"</f>
        <v>10.107.118.131</v>
      </c>
      <c r="G15116" s="1" t="str">
        <f>"0128Y711"</f>
        <v>0128Y711</v>
      </c>
      <c r="H15116" s="1" t="str">
        <f>"종암지 52L2"</f>
        <v>종암지 52L2</v>
      </c>
      <c r="I15116" s="1" t="s">
        <v>8</v>
      </c>
      <c r="J15116" s="1" t="str">
        <f>"31/33"</f>
        <v>31/33</v>
      </c>
      <c r="K15116" s="1" t="str">
        <f t="shared" si="766"/>
        <v>2026-07-29 13:18:02</v>
      </c>
      <c r="L15116" s="1" t="str">
        <f>"2019-12-13 09:18:11"</f>
        <v>2019-12-13 09:18:11</v>
      </c>
      <c r="M15116" s="1" t="s">
        <v>45</v>
      </c>
      <c r="N15116" s="1" t="s">
        <v>38</v>
      </c>
      <c r="O15116" s="1" t="s">
        <v>46</v>
      </c>
    </row>
    <row r="15117" spans="2:15" x14ac:dyDescent="0.3">
      <c r="B15117" s="1" t="s">
        <v>19</v>
      </c>
      <c r="C15117" s="1" t="str">
        <f>"3차"</f>
        <v>3차</v>
      </c>
      <c r="D15117" s="1" t="str">
        <f>"0128Y72139"</f>
        <v>0128Y72139</v>
      </c>
      <c r="E15117" s="1" t="s">
        <v>10</v>
      </c>
      <c r="F15117" s="1" t="str">
        <f>"10.12.135.208"</f>
        <v>10.12.135.208</v>
      </c>
      <c r="G15117" s="1" t="str">
        <f>"0128Y721"</f>
        <v>0128Y721</v>
      </c>
      <c r="H15117" s="1" t="str">
        <f>"종암지 51"</f>
        <v>종암지 51</v>
      </c>
      <c r="I15117" s="1" t="s">
        <v>8</v>
      </c>
      <c r="J15117" s="1" t="str">
        <f>"51/51"</f>
        <v>51/51</v>
      </c>
      <c r="K15117" s="1" t="str">
        <f>"2026-07-29 13:18:03"</f>
        <v>2026-07-29 13:18:03</v>
      </c>
      <c r="L15117" s="1" t="str">
        <f>"2018-04-25 12:58:12"</f>
        <v>2018-04-25 12:58:12</v>
      </c>
      <c r="M15117" s="1" t="s">
        <v>0</v>
      </c>
      <c r="N15117" s="1" t="s">
        <v>38</v>
      </c>
      <c r="O15117" s="1" t="s">
        <v>46</v>
      </c>
    </row>
    <row r="15118" spans="2:15" x14ac:dyDescent="0.3">
      <c r="B15118" s="1" t="s">
        <v>19</v>
      </c>
      <c r="C15118" s="1" t="str">
        <f t="shared" ref="C15118:C15128" si="767">"4차"</f>
        <v>4차</v>
      </c>
      <c r="D15118" s="1" t="str">
        <f>"0128Y72244"</f>
        <v>0128Y72244</v>
      </c>
      <c r="E15118" s="1" t="s">
        <v>10</v>
      </c>
      <c r="F15118" s="1" t="str">
        <f>"10.107.118.132"</f>
        <v>10.107.118.132</v>
      </c>
      <c r="G15118" s="1" t="str">
        <f>"0128Y722"</f>
        <v>0128Y722</v>
      </c>
      <c r="H15118" s="1" t="str">
        <f>"종암지 52L1"</f>
        <v>종암지 52L1</v>
      </c>
      <c r="I15118" s="1" t="s">
        <v>8</v>
      </c>
      <c r="J15118" s="1" t="str">
        <f>"14/14"</f>
        <v>14/14</v>
      </c>
      <c r="K15118" s="1" t="str">
        <f>"2026-07-29 13:18:02"</f>
        <v>2026-07-29 13:18:02</v>
      </c>
      <c r="L15118" s="1" t="str">
        <f>"2019-12-13 12:09:18"</f>
        <v>2019-12-13 12:09:18</v>
      </c>
      <c r="M15118" s="1" t="s">
        <v>45</v>
      </c>
      <c r="N15118" s="1" t="s">
        <v>38</v>
      </c>
      <c r="O15118" s="1" t="s">
        <v>46</v>
      </c>
    </row>
    <row r="15119" spans="2:15" x14ac:dyDescent="0.3">
      <c r="B15119" s="1" t="s">
        <v>19</v>
      </c>
      <c r="C15119" s="1" t="str">
        <f t="shared" si="767"/>
        <v>4차</v>
      </c>
      <c r="D15119" s="1" t="str">
        <f>"0128Y73144"</f>
        <v>0128Y73144</v>
      </c>
      <c r="E15119" s="1" t="s">
        <v>10</v>
      </c>
      <c r="F15119" s="1" t="str">
        <f>"10.107.118.133"</f>
        <v>10.107.118.133</v>
      </c>
      <c r="G15119" s="1" t="str">
        <f>"0128Y731"</f>
        <v>0128Y731</v>
      </c>
      <c r="H15119" s="1" t="str">
        <f>"종암지 50"</f>
        <v>종암지 50</v>
      </c>
      <c r="I15119" s="1" t="s">
        <v>8</v>
      </c>
      <c r="J15119" s="1" t="str">
        <f>"61/64"</f>
        <v>61/64</v>
      </c>
      <c r="K15119" s="1" t="str">
        <f>"2026-07-29 13:18:02"</f>
        <v>2026-07-29 13:18:02</v>
      </c>
      <c r="L15119" s="1" t="str">
        <f>"2019-12-13 12:09:19"</f>
        <v>2019-12-13 12:09:19</v>
      </c>
      <c r="M15119" s="1" t="s">
        <v>45</v>
      </c>
      <c r="N15119" s="1" t="s">
        <v>38</v>
      </c>
      <c r="O15119" s="1" t="s">
        <v>46</v>
      </c>
    </row>
    <row r="15120" spans="2:15" x14ac:dyDescent="0.3">
      <c r="B15120" s="1" t="s">
        <v>19</v>
      </c>
      <c r="C15120" s="1" t="str">
        <f t="shared" si="767"/>
        <v>4차</v>
      </c>
      <c r="D15120" s="1" t="str">
        <f>"0128Y74139"</f>
        <v>0128Y74139</v>
      </c>
      <c r="E15120" s="1" t="s">
        <v>10</v>
      </c>
      <c r="F15120" s="1" t="str">
        <f>"10.12.132.175"</f>
        <v>10.12.132.175</v>
      </c>
      <c r="G15120" s="1" t="str">
        <f>"0128Y741"</f>
        <v>0128Y741</v>
      </c>
      <c r="H15120" s="1" t="str">
        <f>"종암지 49R5"</f>
        <v>종암지 49R5</v>
      </c>
      <c r="I15120" s="1" t="s">
        <v>8</v>
      </c>
      <c r="J15120" s="1" t="str">
        <f>"88/88"</f>
        <v>88/88</v>
      </c>
      <c r="K15120" s="1" t="str">
        <f>"2026-07-29 13:18:03"</f>
        <v>2026-07-29 13:18:03</v>
      </c>
      <c r="L15120" s="1" t="str">
        <f>"2018-09-12 11:39:55"</f>
        <v>2018-09-12 11:39:55</v>
      </c>
      <c r="M15120" s="1" t="s">
        <v>0</v>
      </c>
      <c r="N15120" s="1" t="s">
        <v>38</v>
      </c>
      <c r="O15120" s="1" t="s">
        <v>46</v>
      </c>
    </row>
    <row r="15121" spans="2:15" x14ac:dyDescent="0.3">
      <c r="B15121" s="1" t="s">
        <v>19</v>
      </c>
      <c r="C15121" s="1" t="str">
        <f t="shared" si="767"/>
        <v>4차</v>
      </c>
      <c r="D15121" s="1" t="str">
        <f>"0128Y82144"</f>
        <v>0128Y82144</v>
      </c>
      <c r="E15121" s="1" t="s">
        <v>10</v>
      </c>
      <c r="F15121" s="1" t="str">
        <f>"10.107.118.134"</f>
        <v>10.107.118.134</v>
      </c>
      <c r="G15121" s="1" t="str">
        <f>"0128Y821"</f>
        <v>0128Y821</v>
      </c>
      <c r="H15121" s="1" t="str">
        <f>"종암지 51L1"</f>
        <v>종암지 51L1</v>
      </c>
      <c r="I15121" s="1" t="s">
        <v>8</v>
      </c>
      <c r="J15121" s="1" t="str">
        <f>"72/72"</f>
        <v>72/72</v>
      </c>
      <c r="K15121" s="1" t="str">
        <f>"2026-07-29 13:18:02"</f>
        <v>2026-07-29 13:18:02</v>
      </c>
      <c r="L15121" s="1" t="str">
        <f>"2019-12-13 12:09:18"</f>
        <v>2019-12-13 12:09:18</v>
      </c>
      <c r="M15121" s="1" t="s">
        <v>45</v>
      </c>
      <c r="N15121" s="1" t="s">
        <v>38</v>
      </c>
      <c r="O15121" s="1" t="s">
        <v>46</v>
      </c>
    </row>
    <row r="15122" spans="2:15" x14ac:dyDescent="0.3">
      <c r="B15122" s="1" t="s">
        <v>19</v>
      </c>
      <c r="C15122" s="1" t="str">
        <f t="shared" si="767"/>
        <v>4차</v>
      </c>
      <c r="D15122" s="1" t="str">
        <f>"0128Y84139"</f>
        <v>0128Y84139</v>
      </c>
      <c r="E15122" s="1" t="s">
        <v>10</v>
      </c>
      <c r="F15122" s="1" t="str">
        <f>"10.12.132.169"</f>
        <v>10.12.132.169</v>
      </c>
      <c r="G15122" s="1" t="str">
        <f>"0128Y841"</f>
        <v>0128Y841</v>
      </c>
      <c r="H15122" s="1" t="str">
        <f>"종암지 49"</f>
        <v>종암지 49</v>
      </c>
      <c r="I15122" s="1" t="s">
        <v>8</v>
      </c>
      <c r="J15122" s="1" t="str">
        <f>"111/122"</f>
        <v>111/122</v>
      </c>
      <c r="K15122" s="1" t="str">
        <f>"2026-07-29 13:18:03"</f>
        <v>2026-07-29 13:18:03</v>
      </c>
      <c r="L15122" s="1" t="str">
        <f>"2018-09-12 10:11:54"</f>
        <v>2018-09-12 10:11:54</v>
      </c>
      <c r="M15122" s="1" t="s">
        <v>0</v>
      </c>
      <c r="N15122" s="1" t="s">
        <v>38</v>
      </c>
      <c r="O15122" s="1" t="s">
        <v>46</v>
      </c>
    </row>
    <row r="15123" spans="2:15" x14ac:dyDescent="0.3">
      <c r="B15123" s="1" t="s">
        <v>19</v>
      </c>
      <c r="C15123" s="1" t="str">
        <f t="shared" si="767"/>
        <v>4차</v>
      </c>
      <c r="D15123" s="1" t="str">
        <f>"0128Y94144"</f>
        <v>0128Y94144</v>
      </c>
      <c r="E15123" s="1" t="s">
        <v>10</v>
      </c>
      <c r="F15123" s="1" t="str">
        <f>"10.107.118.135"</f>
        <v>10.107.118.135</v>
      </c>
      <c r="G15123" s="1" t="str">
        <f>"0128Y941"</f>
        <v>0128Y941</v>
      </c>
      <c r="H15123" s="1" t="str">
        <f>"종암지 48"</f>
        <v>종암지 48</v>
      </c>
      <c r="I15123" s="1" t="s">
        <v>8</v>
      </c>
      <c r="J15123" s="1" t="str">
        <f>"43/43"</f>
        <v>43/43</v>
      </c>
      <c r="K15123" s="1" t="str">
        <f>"2026-07-29 13:18:02"</f>
        <v>2026-07-29 13:18:02</v>
      </c>
      <c r="L15123" s="1" t="str">
        <f>"2019-12-13 12:09:19"</f>
        <v>2019-12-13 12:09:19</v>
      </c>
      <c r="M15123" s="1" t="s">
        <v>45</v>
      </c>
      <c r="N15123" s="1" t="s">
        <v>38</v>
      </c>
      <c r="O15123" s="1" t="s">
        <v>46</v>
      </c>
    </row>
    <row r="15124" spans="2:15" x14ac:dyDescent="0.3">
      <c r="B15124" s="1" t="s">
        <v>19</v>
      </c>
      <c r="C15124" s="1" t="str">
        <f t="shared" si="767"/>
        <v>4차</v>
      </c>
      <c r="D15124" s="1" t="str">
        <f>"0128Y94244"</f>
        <v>0128Y94244</v>
      </c>
      <c r="E15124" s="1" t="s">
        <v>10</v>
      </c>
      <c r="F15124" s="1" t="str">
        <f>"10.107.118.136"</f>
        <v>10.107.118.136</v>
      </c>
      <c r="G15124" s="1" t="str">
        <f>"0128Y942"</f>
        <v>0128Y942</v>
      </c>
      <c r="H15124" s="1" t="str">
        <f>"종암지 46L1"</f>
        <v>종암지 46L1</v>
      </c>
      <c r="I15124" s="1" t="s">
        <v>8</v>
      </c>
      <c r="J15124" s="1" t="str">
        <f>"16/19"</f>
        <v>16/19</v>
      </c>
      <c r="K15124" s="1" t="str">
        <f>"2026-07-29 13:18:02"</f>
        <v>2026-07-29 13:18:02</v>
      </c>
      <c r="L15124" s="1" t="str">
        <f>"2019-12-13 09:19:15"</f>
        <v>2019-12-13 09:19:15</v>
      </c>
      <c r="M15124" s="1" t="s">
        <v>45</v>
      </c>
      <c r="N15124" s="1" t="s">
        <v>38</v>
      </c>
      <c r="O15124" s="1" t="s">
        <v>46</v>
      </c>
    </row>
    <row r="15125" spans="2:15" x14ac:dyDescent="0.3">
      <c r="B15125" s="1" t="s">
        <v>19</v>
      </c>
      <c r="C15125" s="1" t="str">
        <f t="shared" si="767"/>
        <v>4차</v>
      </c>
      <c r="D15125" s="1" t="str">
        <f>"0128Z00344"</f>
        <v>0128Z00344</v>
      </c>
      <c r="E15125" s="1" t="s">
        <v>10</v>
      </c>
      <c r="F15125" s="1" t="str">
        <f>"10.107.118.137"</f>
        <v>10.107.118.137</v>
      </c>
      <c r="G15125" s="1" t="str">
        <f>"0128Z003"</f>
        <v>0128Z003</v>
      </c>
      <c r="H15125" s="1" t="str">
        <f>"종암지 41L2"</f>
        <v>종암지 41L2</v>
      </c>
      <c r="I15125" s="1" t="s">
        <v>8</v>
      </c>
      <c r="J15125" s="1" t="str">
        <f>"24/24"</f>
        <v>24/24</v>
      </c>
      <c r="K15125" s="1" t="str">
        <f>"2026-07-29 13:18:02"</f>
        <v>2026-07-29 13:18:02</v>
      </c>
      <c r="L15125" s="1" t="str">
        <f>"2019-12-13 09:05:07"</f>
        <v>2019-12-13 09:05:07</v>
      </c>
      <c r="M15125" s="1" t="s">
        <v>45</v>
      </c>
      <c r="N15125" s="1" t="s">
        <v>38</v>
      </c>
      <c r="O15125" s="1" t="s">
        <v>46</v>
      </c>
    </row>
    <row r="15126" spans="2:15" x14ac:dyDescent="0.3">
      <c r="B15126" s="1" t="s">
        <v>19</v>
      </c>
      <c r="C15126" s="1" t="str">
        <f t="shared" si="767"/>
        <v>4차</v>
      </c>
      <c r="D15126" s="1" t="str">
        <f>"0128Z02444"</f>
        <v>0128Z02444</v>
      </c>
      <c r="E15126" s="1" t="s">
        <v>10</v>
      </c>
      <c r="F15126" s="1" t="str">
        <f>"10.107.118.138"</f>
        <v>10.107.118.138</v>
      </c>
      <c r="G15126" s="1" t="str">
        <f>"0128Z024"</f>
        <v>0128Z024</v>
      </c>
      <c r="H15126" s="1" t="str">
        <f>"종암지 43"</f>
        <v>종암지 43</v>
      </c>
      <c r="I15126" s="1" t="s">
        <v>8</v>
      </c>
      <c r="J15126" s="1" t="str">
        <f>"94/94"</f>
        <v>94/94</v>
      </c>
      <c r="K15126" s="1" t="str">
        <f>"2026-07-29 13:18:02"</f>
        <v>2026-07-29 13:18:02</v>
      </c>
      <c r="L15126" s="1" t="str">
        <f>"2019-12-13 12:09:19"</f>
        <v>2019-12-13 12:09:19</v>
      </c>
      <c r="M15126" s="1" t="s">
        <v>45</v>
      </c>
      <c r="N15126" s="1" t="s">
        <v>38</v>
      </c>
      <c r="O15126" s="1" t="s">
        <v>46</v>
      </c>
    </row>
    <row r="15127" spans="2:15" x14ac:dyDescent="0.3">
      <c r="B15127" s="1" t="s">
        <v>19</v>
      </c>
      <c r="C15127" s="1" t="str">
        <f t="shared" si="767"/>
        <v>4차</v>
      </c>
      <c r="D15127" s="1" t="str">
        <f>"0128Z03444"</f>
        <v>0128Z03444</v>
      </c>
      <c r="E15127" s="1" t="s">
        <v>10</v>
      </c>
      <c r="F15127" s="1" t="str">
        <f>"10.107.118.139"</f>
        <v>10.107.118.139</v>
      </c>
      <c r="G15127" s="1" t="str">
        <f>"0128Z034"</f>
        <v>0128Z034</v>
      </c>
      <c r="H15127" s="1" t="str">
        <f>"종암지 45"</f>
        <v>종암지 45</v>
      </c>
      <c r="I15127" s="1" t="s">
        <v>8</v>
      </c>
      <c r="J15127" s="1" t="str">
        <f>"55/55"</f>
        <v>55/55</v>
      </c>
      <c r="K15127" s="1" t="str">
        <f>"2026-07-29 13:18:02"</f>
        <v>2026-07-29 13:18:02</v>
      </c>
      <c r="L15127" s="1" t="str">
        <f>"2019-12-13 09:00:54"</f>
        <v>2019-12-13 09:00:54</v>
      </c>
      <c r="M15127" s="1" t="s">
        <v>45</v>
      </c>
      <c r="N15127" s="1" t="s">
        <v>38</v>
      </c>
      <c r="O15127" s="1" t="s">
        <v>46</v>
      </c>
    </row>
    <row r="15128" spans="2:15" x14ac:dyDescent="0.3">
      <c r="B15128" s="1" t="s">
        <v>19</v>
      </c>
      <c r="C15128" s="1" t="str">
        <f t="shared" si="767"/>
        <v>4차</v>
      </c>
      <c r="D15128" s="1" t="str">
        <f>"0128Z11344"</f>
        <v>0128Z11344</v>
      </c>
      <c r="E15128" s="1" t="s">
        <v>10</v>
      </c>
      <c r="F15128" s="1" t="str">
        <f>"10.107.118.140"</f>
        <v>10.107.118.140</v>
      </c>
      <c r="G15128" s="1" t="str">
        <f>"0128Z113"</f>
        <v>0128Z113</v>
      </c>
      <c r="H15128" s="1" t="str">
        <f>"종암지 40"</f>
        <v>종암지 40</v>
      </c>
      <c r="I15128" s="1" t="s">
        <v>8</v>
      </c>
      <c r="J15128" s="1" t="str">
        <f>"25/25"</f>
        <v>25/25</v>
      </c>
      <c r="K15128" s="1" t="str">
        <f>"2026-07-29 13:18:01"</f>
        <v>2026-07-29 13:18:01</v>
      </c>
      <c r="L15128" s="1" t="str">
        <f>"2019-12-13 09:10:38"</f>
        <v>2019-12-13 09:10:38</v>
      </c>
      <c r="M15128" s="1" t="s">
        <v>45</v>
      </c>
      <c r="N15128" s="1" t="s">
        <v>38</v>
      </c>
      <c r="O15128" s="1" t="s">
        <v>46</v>
      </c>
    </row>
    <row r="15129" spans="2:15" x14ac:dyDescent="0.3">
      <c r="B15129" s="1" t="s">
        <v>19</v>
      </c>
      <c r="C15129" s="1" t="str">
        <f>"3차"</f>
        <v>3차</v>
      </c>
      <c r="D15129" s="1" t="str">
        <f>"0128Z21239"</f>
        <v>0128Z21239</v>
      </c>
      <c r="E15129" s="1" t="s">
        <v>10</v>
      </c>
      <c r="F15129" s="1" t="str">
        <f>"10.107.118.141"</f>
        <v>10.107.118.141</v>
      </c>
      <c r="G15129" s="1" t="str">
        <f>"0128Z212"</f>
        <v>0128Z212</v>
      </c>
      <c r="H15129" s="1" t="str">
        <f>"종암지 36"</f>
        <v>종암지 36</v>
      </c>
      <c r="I15129" s="1" t="s">
        <v>8</v>
      </c>
      <c r="J15129" s="1" t="str">
        <f>"56/56"</f>
        <v>56/56</v>
      </c>
      <c r="K15129" s="1" t="str">
        <f>"2026-07-29 13:18:01"</f>
        <v>2026-07-29 13:18:01</v>
      </c>
      <c r="L15129" s="1" t="str">
        <f>"2018-03-26 15:30:56"</f>
        <v>2018-03-26 15:30:56</v>
      </c>
      <c r="M15129" s="1" t="s">
        <v>45</v>
      </c>
      <c r="N15129" s="1" t="s">
        <v>38</v>
      </c>
      <c r="O15129" s="1" t="s">
        <v>46</v>
      </c>
    </row>
    <row r="15130" spans="2:15" x14ac:dyDescent="0.3">
      <c r="B15130" s="1" t="s">
        <v>19</v>
      </c>
      <c r="C15130" s="1" t="str">
        <f>"4차"</f>
        <v>4차</v>
      </c>
      <c r="D15130" s="1" t="str">
        <f>"0128Z22344"</f>
        <v>0128Z22344</v>
      </c>
      <c r="E15130" s="1" t="s">
        <v>10</v>
      </c>
      <c r="F15130" s="1" t="str">
        <f>"10.11.140.130"</f>
        <v>10.11.140.130</v>
      </c>
      <c r="G15130" s="1" t="str">
        <f>"0128Z223"</f>
        <v>0128Z223</v>
      </c>
      <c r="H15130" s="1" t="str">
        <f>"종암지 33R2L2"</f>
        <v>종암지 33R2L2</v>
      </c>
      <c r="I15130" s="1" t="s">
        <v>8</v>
      </c>
      <c r="J15130" s="1" t="str">
        <f>"6/12"</f>
        <v>6/12</v>
      </c>
      <c r="K15130" s="1" t="str">
        <f t="shared" ref="K15130:K15136" si="768">"2026-07-29 13:18:02"</f>
        <v>2026-07-29 13:18:02</v>
      </c>
      <c r="L15130" s="1" t="str">
        <f>"2019-11-11 19:50:13"</f>
        <v>2019-11-11 19:50:13</v>
      </c>
      <c r="M15130" s="1" t="s">
        <v>2</v>
      </c>
      <c r="N15130" s="1" t="s">
        <v>38</v>
      </c>
      <c r="O15130" s="1" t="s">
        <v>46</v>
      </c>
    </row>
    <row r="15131" spans="2:15" x14ac:dyDescent="0.3">
      <c r="B15131" s="1" t="s">
        <v>19</v>
      </c>
      <c r="C15131" s="1" t="str">
        <f>"3차"</f>
        <v>3차</v>
      </c>
      <c r="D15131" s="1" t="str">
        <f>"0128Z31139"</f>
        <v>0128Z31139</v>
      </c>
      <c r="E15131" s="1" t="s">
        <v>10</v>
      </c>
      <c r="F15131" s="1" t="str">
        <f>"10.107.124.55"</f>
        <v>10.107.124.55</v>
      </c>
      <c r="G15131" s="1" t="str">
        <f>"0128Z311"</f>
        <v>0128Z311</v>
      </c>
      <c r="H15131" s="1" t="str">
        <f>"종암지 33"</f>
        <v>종암지 33</v>
      </c>
      <c r="I15131" s="1" t="s">
        <v>8</v>
      </c>
      <c r="J15131" s="1" t="str">
        <f>"36/36"</f>
        <v>36/36</v>
      </c>
      <c r="K15131" s="1" t="str">
        <f t="shared" si="768"/>
        <v>2026-07-29 13:18:02</v>
      </c>
      <c r="L15131" s="1" t="str">
        <f>"2018-03-26 16:06:48"</f>
        <v>2018-03-26 16:06:48</v>
      </c>
      <c r="M15131" s="1" t="s">
        <v>45</v>
      </c>
      <c r="N15131" s="1" t="s">
        <v>38</v>
      </c>
      <c r="O15131" s="1" t="s">
        <v>46</v>
      </c>
    </row>
    <row r="15132" spans="2:15" x14ac:dyDescent="0.3">
      <c r="B15132" s="1" t="s">
        <v>19</v>
      </c>
      <c r="C15132" s="1" t="str">
        <f>"4차"</f>
        <v>4차</v>
      </c>
      <c r="D15132" s="1" t="str">
        <f>"0128Z40139"</f>
        <v>0128Z40139</v>
      </c>
      <c r="E15132" s="1" t="s">
        <v>10</v>
      </c>
      <c r="F15132" s="1" t="str">
        <f>"10.107.124.62"</f>
        <v>10.107.124.62</v>
      </c>
      <c r="G15132" s="1" t="str">
        <f>"0128Z401"</f>
        <v>0128Z401</v>
      </c>
      <c r="H15132" s="1" t="str">
        <f>"종암지 31L1"</f>
        <v>종암지 31L1</v>
      </c>
      <c r="I15132" s="1" t="s">
        <v>8</v>
      </c>
      <c r="J15132" s="1" t="str">
        <f>"40/40"</f>
        <v>40/40</v>
      </c>
      <c r="K15132" s="1" t="str">
        <f t="shared" si="768"/>
        <v>2026-07-29 13:18:02</v>
      </c>
      <c r="L15132" s="1" t="str">
        <f>"2018-06-05 09:25:10"</f>
        <v>2018-06-05 09:25:10</v>
      </c>
      <c r="M15132" s="1" t="s">
        <v>45</v>
      </c>
      <c r="N15132" s="1" t="s">
        <v>38</v>
      </c>
      <c r="O15132" s="1" t="s">
        <v>46</v>
      </c>
    </row>
    <row r="15133" spans="2:15" x14ac:dyDescent="0.3">
      <c r="B15133" s="1" t="s">
        <v>19</v>
      </c>
      <c r="C15133" s="1" t="str">
        <f>"3차"</f>
        <v>3차</v>
      </c>
      <c r="D15133" s="1" t="str">
        <f>"0128Z41339"</f>
        <v>0128Z41339</v>
      </c>
      <c r="E15133" s="1" t="s">
        <v>10</v>
      </c>
      <c r="F15133" s="1" t="str">
        <f>"10.107.124.16"</f>
        <v>10.107.124.16</v>
      </c>
      <c r="G15133" s="1" t="str">
        <f>"0128Z413"</f>
        <v>0128Z413</v>
      </c>
      <c r="H15133" s="1" t="str">
        <f>"종암지 32"</f>
        <v>종암지 32</v>
      </c>
      <c r="I15133" s="1" t="s">
        <v>8</v>
      </c>
      <c r="J15133" s="1" t="str">
        <f>"5/5"</f>
        <v>5/5</v>
      </c>
      <c r="K15133" s="1" t="str">
        <f t="shared" si="768"/>
        <v>2026-07-29 13:18:02</v>
      </c>
      <c r="L15133" s="1" t="str">
        <f>"2018-06-05 08:41:56"</f>
        <v>2018-06-05 08:41:56</v>
      </c>
      <c r="M15133" s="1" t="s">
        <v>45</v>
      </c>
      <c r="N15133" s="1" t="s">
        <v>38</v>
      </c>
      <c r="O15133" s="1" t="s">
        <v>46</v>
      </c>
    </row>
    <row r="15134" spans="2:15" x14ac:dyDescent="0.3">
      <c r="B15134" s="1" t="s">
        <v>19</v>
      </c>
      <c r="C15134" s="1" t="str">
        <f>"4차"</f>
        <v>4차</v>
      </c>
      <c r="D15134" s="1" t="str">
        <f>"0128Z42339"</f>
        <v>0128Z42339</v>
      </c>
      <c r="E15134" s="1" t="s">
        <v>10</v>
      </c>
      <c r="F15134" s="1" t="str">
        <f>"10.107.118.142"</f>
        <v>10.107.118.142</v>
      </c>
      <c r="G15134" s="1" t="str">
        <f>"0128Z423"</f>
        <v>0128Z423</v>
      </c>
      <c r="H15134" s="1" t="str">
        <f>"종암지 33R3"</f>
        <v>종암지 33R3</v>
      </c>
      <c r="I15134" s="1" t="s">
        <v>8</v>
      </c>
      <c r="J15134" s="1" t="str">
        <f>"63/64"</f>
        <v>63/64</v>
      </c>
      <c r="K15134" s="1" t="str">
        <f t="shared" si="768"/>
        <v>2026-07-29 13:18:02</v>
      </c>
      <c r="L15134" s="1" t="str">
        <f>"2018-06-05 14:49:37"</f>
        <v>2018-06-05 14:49:37</v>
      </c>
      <c r="M15134" s="1" t="s">
        <v>45</v>
      </c>
      <c r="N15134" s="1" t="s">
        <v>38</v>
      </c>
      <c r="O15134" s="1" t="s">
        <v>46</v>
      </c>
    </row>
    <row r="15135" spans="2:15" x14ac:dyDescent="0.3">
      <c r="B15135" s="1" t="s">
        <v>19</v>
      </c>
      <c r="C15135" s="1" t="str">
        <f>"1차"</f>
        <v>1차</v>
      </c>
      <c r="D15135" s="1" t="str">
        <f>"0128Z49100"</f>
        <v>0128Z49100</v>
      </c>
      <c r="E15135" s="1" t="s">
        <v>10</v>
      </c>
      <c r="F15135" s="1" t="str">
        <f>"10.107.124.37"</f>
        <v>10.107.124.37</v>
      </c>
      <c r="G15135" s="1" t="str">
        <f>"0128Z491"</f>
        <v>0128Z491</v>
      </c>
      <c r="H15135" s="1" t="str">
        <f>"종암지 10R1"</f>
        <v>종암지 10R1</v>
      </c>
      <c r="I15135" s="1" t="s">
        <v>8</v>
      </c>
      <c r="J15135" s="1" t="str">
        <f>"9/9"</f>
        <v>9/9</v>
      </c>
      <c r="K15135" s="1" t="str">
        <f t="shared" si="768"/>
        <v>2026-07-29 13:18:02</v>
      </c>
      <c r="L15135" s="1" t="str">
        <f>"2014-11-19 11:50:25"</f>
        <v>2014-11-19 11:50:25</v>
      </c>
      <c r="M15135" s="1" t="s">
        <v>45</v>
      </c>
      <c r="N15135" s="1" t="s">
        <v>38</v>
      </c>
      <c r="O15135" s="1" t="s">
        <v>46</v>
      </c>
    </row>
    <row r="15136" spans="2:15" x14ac:dyDescent="0.3">
      <c r="B15136" s="1" t="s">
        <v>19</v>
      </c>
      <c r="C15136" s="1" t="str">
        <f>"1차"</f>
        <v>1차</v>
      </c>
      <c r="D15136" s="1" t="str">
        <f>"0128Z49201"</f>
        <v>0128Z49201</v>
      </c>
      <c r="E15136" s="1" t="s">
        <v>10</v>
      </c>
      <c r="F15136" s="1" t="str">
        <f>"10.107.124.39"</f>
        <v>10.107.124.39</v>
      </c>
      <c r="G15136" s="1" t="str">
        <f>"0128Z492"</f>
        <v>0128Z492</v>
      </c>
      <c r="H15136" s="1" t="str">
        <f>"종암지 10R2"</f>
        <v>종암지 10R2</v>
      </c>
      <c r="I15136" s="1" t="s">
        <v>8</v>
      </c>
      <c r="J15136" s="1" t="str">
        <f>"7/17"</f>
        <v>7/17</v>
      </c>
      <c r="K15136" s="1" t="str">
        <f t="shared" si="768"/>
        <v>2026-07-29 13:18:02</v>
      </c>
      <c r="L15136" s="1" t="str">
        <f>"2014-11-18 16:22:44"</f>
        <v>2014-11-18 16:22:44</v>
      </c>
      <c r="M15136" s="1" t="s">
        <v>45</v>
      </c>
      <c r="N15136" s="1" t="s">
        <v>38</v>
      </c>
      <c r="O15136" s="1" t="s">
        <v>46</v>
      </c>
    </row>
    <row r="15137" spans="2:15" x14ac:dyDescent="0.3">
      <c r="B15137" s="1" t="s">
        <v>19</v>
      </c>
      <c r="C15137" s="1" t="str">
        <f>"1차"</f>
        <v>1차</v>
      </c>
      <c r="D15137" s="1" t="str">
        <f>"0128Z49401"</f>
        <v>0128Z49401</v>
      </c>
      <c r="E15137" s="1" t="str">
        <f>"검침실패(3시간 이상)"</f>
        <v>검침실패(3시간 이상)</v>
      </c>
      <c r="F15137" s="1" t="str">
        <f>"10.107.124.38"</f>
        <v>10.107.124.38</v>
      </c>
      <c r="G15137" s="1" t="str">
        <f>"0128Z494"</f>
        <v>0128Z494</v>
      </c>
      <c r="H15137" s="1" t="str">
        <f>"종암지 10R1R1"</f>
        <v>종암지 10R1R1</v>
      </c>
      <c r="I15137" s="1" t="s">
        <v>8</v>
      </c>
      <c r="J15137" s="1" t="str">
        <f>"0/1"</f>
        <v>0/1</v>
      </c>
      <c r="K15137" s="1" t="str">
        <f>"2026-07-29 13:18:01"</f>
        <v>2026-07-29 13:18:01</v>
      </c>
      <c r="L15137" s="1" t="str">
        <f>"2014-11-18 16:24:36"</f>
        <v>2014-11-18 16:24:36</v>
      </c>
      <c r="M15137" s="1" t="s">
        <v>45</v>
      </c>
      <c r="N15137" s="1" t="s">
        <v>38</v>
      </c>
      <c r="O15137" s="1" t="s">
        <v>46</v>
      </c>
    </row>
    <row r="15138" spans="2:15" x14ac:dyDescent="0.3">
      <c r="B15138" s="1" t="s">
        <v>19</v>
      </c>
      <c r="C15138" s="1" t="str">
        <f>"4차"</f>
        <v>4차</v>
      </c>
      <c r="D15138" s="1" t="str">
        <f>"0128Z51139"</f>
        <v>0128Z51139</v>
      </c>
      <c r="E15138" s="1" t="s">
        <v>10</v>
      </c>
      <c r="F15138" s="1" t="str">
        <f>"10.107.124.30"</f>
        <v>10.107.124.30</v>
      </c>
      <c r="G15138" s="1" t="str">
        <f>"0128Z511"</f>
        <v>0128Z511</v>
      </c>
      <c r="H15138" s="1" t="str">
        <f>"종암지 30"</f>
        <v>종암지 30</v>
      </c>
      <c r="I15138" s="1" t="s">
        <v>8</v>
      </c>
      <c r="J15138" s="1" t="str">
        <f>"53/53"</f>
        <v>53/53</v>
      </c>
      <c r="K15138" s="1" t="str">
        <f>"2026-07-29 13:18:02"</f>
        <v>2026-07-29 13:18:02</v>
      </c>
      <c r="L15138" s="1" t="str">
        <f>"2018-03-26 16:57:26"</f>
        <v>2018-03-26 16:57:26</v>
      </c>
      <c r="M15138" s="1" t="s">
        <v>45</v>
      </c>
      <c r="N15138" s="1" t="s">
        <v>38</v>
      </c>
      <c r="O15138" s="1" t="s">
        <v>46</v>
      </c>
    </row>
    <row r="15139" spans="2:15" x14ac:dyDescent="0.3">
      <c r="B15139" s="1" t="s">
        <v>19</v>
      </c>
      <c r="C15139" s="1" t="str">
        <f>"3차"</f>
        <v>3차</v>
      </c>
      <c r="D15139" s="1" t="str">
        <f>"0128Z51339"</f>
        <v>0128Z51339</v>
      </c>
      <c r="E15139" s="1" t="s">
        <v>10</v>
      </c>
      <c r="F15139" s="1" t="str">
        <f>"10.107.124.29"</f>
        <v>10.107.124.29</v>
      </c>
      <c r="G15139" s="1" t="str">
        <f>"0128Z513"</f>
        <v>0128Z513</v>
      </c>
      <c r="H15139" s="1" t="str">
        <f>"종암지 29"</f>
        <v>종암지 29</v>
      </c>
      <c r="I15139" s="1" t="s">
        <v>8</v>
      </c>
      <c r="J15139" s="1" t="str">
        <f>"29/29"</f>
        <v>29/29</v>
      </c>
      <c r="K15139" s="1" t="str">
        <f>"2026-07-29 13:18:02"</f>
        <v>2026-07-29 13:18:02</v>
      </c>
      <c r="L15139" s="1" t="str">
        <f>"2018-03-26 18:27:27"</f>
        <v>2018-03-26 18:27:27</v>
      </c>
      <c r="M15139" s="1" t="s">
        <v>45</v>
      </c>
      <c r="N15139" s="1" t="s">
        <v>38</v>
      </c>
      <c r="O15139" s="1" t="s">
        <v>46</v>
      </c>
    </row>
    <row r="15140" spans="2:15" x14ac:dyDescent="0.3">
      <c r="B15140" s="1" t="s">
        <v>19</v>
      </c>
      <c r="C15140" s="1" t="str">
        <f>"3차"</f>
        <v>3차</v>
      </c>
      <c r="D15140" s="1" t="str">
        <f>"0128Z52539"</f>
        <v>0128Z52539</v>
      </c>
      <c r="E15140" s="1" t="s">
        <v>10</v>
      </c>
      <c r="F15140" s="1" t="str">
        <f>"10.107.118.143"</f>
        <v>10.107.118.143</v>
      </c>
      <c r="G15140" s="1" t="str">
        <f>"0128Z525"</f>
        <v>0128Z525</v>
      </c>
      <c r="H15140" s="1" t="str">
        <f>"종암지 33R6"</f>
        <v>종암지 33R6</v>
      </c>
      <c r="I15140" s="1" t="s">
        <v>8</v>
      </c>
      <c r="J15140" s="1" t="str">
        <f>"33/33"</f>
        <v>33/33</v>
      </c>
      <c r="K15140" s="1" t="str">
        <f>"2026-07-29 13:18:02"</f>
        <v>2026-07-29 13:18:02</v>
      </c>
      <c r="L15140" s="1" t="str">
        <f>"2018-06-05 14:33:00"</f>
        <v>2018-06-05 14:33:00</v>
      </c>
      <c r="M15140" s="1" t="s">
        <v>45</v>
      </c>
      <c r="N15140" s="1" t="s">
        <v>38</v>
      </c>
      <c r="O15140" s="1" t="s">
        <v>46</v>
      </c>
    </row>
    <row r="15141" spans="2:15" x14ac:dyDescent="0.3">
      <c r="B15141" s="1" t="s">
        <v>19</v>
      </c>
      <c r="C15141" s="1" t="str">
        <f>"3차"</f>
        <v>3차</v>
      </c>
      <c r="D15141" s="1" t="str">
        <f>"0128Z55339"</f>
        <v>0128Z55339</v>
      </c>
      <c r="E15141" s="1" t="s">
        <v>14</v>
      </c>
      <c r="F15141" s="1" t="str">
        <f>"10.12.135.75"</f>
        <v>10.12.135.75</v>
      </c>
      <c r="G15141" s="1" t="str">
        <f>"0128Z553"</f>
        <v>0128Z553</v>
      </c>
      <c r="H15141" s="1" t="str">
        <f>"종암지 17R4"</f>
        <v>종암지 17R4</v>
      </c>
      <c r="I15141" s="1" t="s">
        <v>8</v>
      </c>
      <c r="J15141" s="1" t="str">
        <f>"0/0"</f>
        <v>0/0</v>
      </c>
      <c r="K15141" s="1" t="str">
        <f>"2026-06-10 07:18:03"</f>
        <v>2026-06-10 07:18:03</v>
      </c>
      <c r="L15141" s="1" t="str">
        <f>"2018-06-05 08:27:55"</f>
        <v>2018-06-05 08:27:55</v>
      </c>
      <c r="M15141" s="1" t="s">
        <v>0</v>
      </c>
      <c r="N15141" s="1" t="s">
        <v>39</v>
      </c>
      <c r="O15141" s="1" t="s">
        <v>46</v>
      </c>
    </row>
    <row r="15142" spans="2:15" x14ac:dyDescent="0.3">
      <c r="B15142" s="1" t="s">
        <v>19</v>
      </c>
      <c r="C15142" s="1" t="str">
        <f>"1차"</f>
        <v>1차</v>
      </c>
      <c r="D15142" s="1" t="str">
        <f>"0128Z59100"</f>
        <v>0128Z59100</v>
      </c>
      <c r="E15142" s="1" t="s">
        <v>14</v>
      </c>
      <c r="F15142" s="1" t="str">
        <f>"10.107.124.34"</f>
        <v>10.107.124.34</v>
      </c>
      <c r="G15142" s="1" t="str">
        <f>"0128Z591"</f>
        <v>0128Z591</v>
      </c>
      <c r="H15142" s="1" t="str">
        <f>"종암지 11"</f>
        <v>종암지 11</v>
      </c>
      <c r="I15142" s="1" t="s">
        <v>8</v>
      </c>
      <c r="J15142" s="1" t="str">
        <f>"0/0"</f>
        <v>0/0</v>
      </c>
      <c r="K15142" s="1" t="str">
        <f>"2026-07-29 13:18:02"</f>
        <v>2026-07-29 13:18:02</v>
      </c>
      <c r="L15142" s="1" t="str">
        <f>"2014-11-18 16:25:43"</f>
        <v>2014-11-18 16:25:43</v>
      </c>
      <c r="M15142" s="1" t="s">
        <v>45</v>
      </c>
      <c r="N15142" s="1" t="s">
        <v>38</v>
      </c>
      <c r="O15142" s="1" t="s">
        <v>44</v>
      </c>
    </row>
    <row r="15143" spans="2:15" x14ac:dyDescent="0.3">
      <c r="B15143" s="1" t="s">
        <v>19</v>
      </c>
      <c r="C15143" s="1" t="str">
        <f>"3차"</f>
        <v>3차</v>
      </c>
      <c r="D15143" s="1" t="str">
        <f>"0128Z60239"</f>
        <v>0128Z60239</v>
      </c>
      <c r="E15143" s="1" t="s">
        <v>10</v>
      </c>
      <c r="F15143" s="1" t="str">
        <f>"10.107.124.58"</f>
        <v>10.107.124.58</v>
      </c>
      <c r="G15143" s="1" t="str">
        <f>"0128Z602"</f>
        <v>0128Z602</v>
      </c>
      <c r="H15143" s="1" t="str">
        <f>"종암지 26L2"</f>
        <v>종암지 26L2</v>
      </c>
      <c r="I15143" s="1" t="s">
        <v>8</v>
      </c>
      <c r="J15143" s="1" t="str">
        <f>"59/59"</f>
        <v>59/59</v>
      </c>
      <c r="K15143" s="1" t="str">
        <f>"2026-07-29 13:18:02"</f>
        <v>2026-07-29 13:18:02</v>
      </c>
      <c r="L15143" s="1" t="str">
        <f>"2018-05-31 17:04:56"</f>
        <v>2018-05-31 17:04:56</v>
      </c>
      <c r="M15143" s="1" t="s">
        <v>45</v>
      </c>
      <c r="N15143" s="1" t="s">
        <v>38</v>
      </c>
      <c r="O15143" s="1" t="s">
        <v>46</v>
      </c>
    </row>
    <row r="15144" spans="2:15" x14ac:dyDescent="0.3">
      <c r="B15144" s="1" t="s">
        <v>19</v>
      </c>
      <c r="C15144" s="1" t="str">
        <f>"3차"</f>
        <v>3차</v>
      </c>
      <c r="D15144" s="1" t="str">
        <f>"0128Z60330"</f>
        <v>0128Z60330</v>
      </c>
      <c r="E15144" s="1" t="s">
        <v>10</v>
      </c>
      <c r="F15144" s="1" t="str">
        <f>"10.107.124.60"</f>
        <v>10.107.124.60</v>
      </c>
      <c r="G15144" s="1" t="str">
        <f>"0128Z603"</f>
        <v>0128Z603</v>
      </c>
      <c r="H15144" s="1" t="str">
        <f>"종암지 26L4"</f>
        <v>종암지 26L4</v>
      </c>
      <c r="I15144" s="1" t="s">
        <v>8</v>
      </c>
      <c r="J15144" s="1" t="str">
        <f>"72/72"</f>
        <v>72/72</v>
      </c>
      <c r="K15144" s="1" t="str">
        <f>"2026-07-29 13:18:02"</f>
        <v>2026-07-29 13:18:02</v>
      </c>
      <c r="L15144" s="1" t="str">
        <f>"2018-04-03 14:48:55"</f>
        <v>2018-04-03 14:48:55</v>
      </c>
      <c r="M15144" s="1" t="s">
        <v>45</v>
      </c>
      <c r="N15144" s="1" t="s">
        <v>38</v>
      </c>
      <c r="O15144" s="1" t="s">
        <v>46</v>
      </c>
    </row>
    <row r="15145" spans="2:15" x14ac:dyDescent="0.3">
      <c r="B15145" s="1" t="s">
        <v>19</v>
      </c>
      <c r="C15145" s="1" t="str">
        <f>"4차"</f>
        <v>4차</v>
      </c>
      <c r="D15145" s="1" t="str">
        <f>"0128Z61639"</f>
        <v>0128Z61639</v>
      </c>
      <c r="E15145" s="1" t="s">
        <v>10</v>
      </c>
      <c r="F15145" s="1" t="str">
        <f>"10.107.124.59"</f>
        <v>10.107.124.59</v>
      </c>
      <c r="G15145" s="1" t="str">
        <f>"0128Z616"</f>
        <v>0128Z616</v>
      </c>
      <c r="H15145" s="1" t="str">
        <f>"종암지 26L1"</f>
        <v>종암지 26L1</v>
      </c>
      <c r="I15145" s="1" t="s">
        <v>8</v>
      </c>
      <c r="J15145" s="1" t="str">
        <f>"127/127"</f>
        <v>127/127</v>
      </c>
      <c r="K15145" s="1" t="str">
        <f>"2026-07-29 13:18:02"</f>
        <v>2026-07-29 13:18:02</v>
      </c>
      <c r="L15145" s="1" t="str">
        <f>"2018-05-31 16:40:55"</f>
        <v>2018-05-31 16:40:55</v>
      </c>
      <c r="M15145" s="1" t="s">
        <v>45</v>
      </c>
      <c r="N15145" s="1" t="s">
        <v>38</v>
      </c>
      <c r="O15145" s="1" t="s">
        <v>46</v>
      </c>
    </row>
    <row r="15146" spans="2:15" x14ac:dyDescent="0.3">
      <c r="B15146" s="1" t="s">
        <v>19</v>
      </c>
      <c r="C15146" s="1" t="str">
        <f>"4차"</f>
        <v>4차</v>
      </c>
      <c r="D15146" s="1" t="str">
        <f>"0128Z63239"</f>
        <v>0128Z63239</v>
      </c>
      <c r="E15146" s="1" t="s">
        <v>10</v>
      </c>
      <c r="F15146" s="1" t="str">
        <f>"10.107.124.19"</f>
        <v>10.107.124.19</v>
      </c>
      <c r="G15146" s="1" t="str">
        <f>"0128Z632"</f>
        <v>0128Z632</v>
      </c>
      <c r="H15146" s="1" t="str">
        <f>"종암지 21R3"</f>
        <v>종암지 21R3</v>
      </c>
      <c r="I15146" s="1" t="s">
        <v>8</v>
      </c>
      <c r="J15146" s="1" t="str">
        <f>"17/17"</f>
        <v>17/17</v>
      </c>
      <c r="K15146" s="1" t="str">
        <f>"2026-07-29 13:18:02"</f>
        <v>2026-07-29 13:18:02</v>
      </c>
      <c r="L15146" s="1" t="str">
        <f>"2018-04-03 11:33:01"</f>
        <v>2018-04-03 11:33:01</v>
      </c>
      <c r="M15146" s="1" t="s">
        <v>45</v>
      </c>
      <c r="N15146" s="1" t="s">
        <v>38</v>
      </c>
      <c r="O15146" s="1" t="s">
        <v>46</v>
      </c>
    </row>
    <row r="15147" spans="2:15" x14ac:dyDescent="0.3">
      <c r="B15147" s="1" t="s">
        <v>19</v>
      </c>
      <c r="C15147" s="1" t="str">
        <f>"4차"</f>
        <v>4차</v>
      </c>
      <c r="D15147" s="1" t="str">
        <f>"0128Z64139"</f>
        <v>0128Z64139</v>
      </c>
      <c r="E15147" s="1" t="s">
        <v>10</v>
      </c>
      <c r="F15147" s="1" t="str">
        <f>"10.107.124.45"</f>
        <v>10.107.124.45</v>
      </c>
      <c r="G15147" s="1" t="str">
        <f>"0128Z641"</f>
        <v>0128Z641</v>
      </c>
      <c r="H15147" s="1" t="str">
        <f>"종암지 19R3"</f>
        <v>종암지 19R3</v>
      </c>
      <c r="I15147" s="1" t="s">
        <v>8</v>
      </c>
      <c r="J15147" s="1" t="str">
        <f>"47/47"</f>
        <v>47/47</v>
      </c>
      <c r="K15147" s="1" t="str">
        <f>"2026-07-28 20:03:17"</f>
        <v>2026-07-28 20:03:17</v>
      </c>
      <c r="L15147" s="1" t="str">
        <f>"2018-04-10 17:51:29"</f>
        <v>2018-04-10 17:51:29</v>
      </c>
      <c r="M15147" s="1" t="s">
        <v>45</v>
      </c>
      <c r="N15147" s="1" t="s">
        <v>38</v>
      </c>
      <c r="O15147" s="1" t="s">
        <v>46</v>
      </c>
    </row>
    <row r="15148" spans="2:15" x14ac:dyDescent="0.3">
      <c r="B15148" s="1" t="s">
        <v>19</v>
      </c>
      <c r="C15148" s="1" t="str">
        <f>"4차"</f>
        <v>4차</v>
      </c>
      <c r="D15148" s="1" t="str">
        <f>"0128Z65339"</f>
        <v>0128Z65339</v>
      </c>
      <c r="E15148" s="1" t="s">
        <v>10</v>
      </c>
      <c r="F15148" s="1" t="str">
        <f>"10.12.135.76"</f>
        <v>10.12.135.76</v>
      </c>
      <c r="G15148" s="1" t="str">
        <f>"0128Z653"</f>
        <v>0128Z653</v>
      </c>
      <c r="H15148" s="1" t="str">
        <f>"종암지 17R2"</f>
        <v>종암지 17R2</v>
      </c>
      <c r="I15148" s="1" t="s">
        <v>8</v>
      </c>
      <c r="J15148" s="1" t="str">
        <f>"7/27"</f>
        <v>7/27</v>
      </c>
      <c r="K15148" s="1" t="str">
        <f>"2026-07-29 13:18:02"</f>
        <v>2026-07-29 13:18:02</v>
      </c>
      <c r="L15148" s="1" t="str">
        <f>"2018-06-05 08:18:40"</f>
        <v>2018-06-05 08:18:40</v>
      </c>
      <c r="M15148" s="1" t="s">
        <v>0</v>
      </c>
      <c r="N15148" s="1" t="s">
        <v>38</v>
      </c>
      <c r="O15148" s="1" t="s">
        <v>46</v>
      </c>
    </row>
    <row r="15149" spans="2:15" x14ac:dyDescent="0.3">
      <c r="B15149" s="1" t="s">
        <v>19</v>
      </c>
      <c r="C15149" s="1" t="str">
        <f>"6차"</f>
        <v>6차</v>
      </c>
      <c r="D15149" s="1" t="str">
        <f>"0128Z6836M"</f>
        <v>0128Z6836M</v>
      </c>
      <c r="E15149" s="1" t="s">
        <v>10</v>
      </c>
      <c r="F15149" s="1" t="str">
        <f>"fde1:103:4:c843:0:0:0:2"</f>
        <v>fde1:103:4:c843:0:0:0:2</v>
      </c>
      <c r="G15149" s="1" t="str">
        <f>"0128Z683"</f>
        <v>0128Z683</v>
      </c>
      <c r="H15149" s="1" t="str">
        <f>"종암지 13"</f>
        <v>종암지 13</v>
      </c>
      <c r="I15149" s="1" t="s">
        <v>15</v>
      </c>
      <c r="J15149" s="1" t="str">
        <f>"73/73"</f>
        <v>73/73</v>
      </c>
      <c r="K15149" s="1" t="str">
        <f>"2026-07-29 14:20:03"</f>
        <v>2026-07-29 14:20:03</v>
      </c>
      <c r="L15149" s="1" t="str">
        <f>"2024-12-05 11:48:45"</f>
        <v>2024-12-05 11:48:45</v>
      </c>
      <c r="M15149" s="1" t="s">
        <v>4</v>
      </c>
      <c r="N15149" s="1" t="s">
        <v>38</v>
      </c>
      <c r="O15149" s="1" t="s">
        <v>46</v>
      </c>
    </row>
    <row r="15150" spans="2:15" x14ac:dyDescent="0.3">
      <c r="B15150" s="1" t="s">
        <v>19</v>
      </c>
      <c r="C15150" s="1" t="str">
        <f>"3차"</f>
        <v>3차</v>
      </c>
      <c r="D15150" s="1" t="str">
        <f>"0128Z70131"</f>
        <v>0128Z70131</v>
      </c>
      <c r="E15150" s="1" t="s">
        <v>10</v>
      </c>
      <c r="F15150" s="1" t="str">
        <f>"10.107.124.25"</f>
        <v>10.107.124.25</v>
      </c>
      <c r="G15150" s="1" t="str">
        <f>"0128Z701"</f>
        <v>0128Z701</v>
      </c>
      <c r="H15150" s="1" t="str">
        <f>"종암SW 16L10R3L3"</f>
        <v>종암SW 16L10R3L3</v>
      </c>
      <c r="I15150" s="1" t="s">
        <v>8</v>
      </c>
      <c r="J15150" s="1" t="str">
        <f>"16/16"</f>
        <v>16/16</v>
      </c>
      <c r="K15150" s="1" t="str">
        <f>"2026-07-29 13:18:02"</f>
        <v>2026-07-29 13:18:02</v>
      </c>
      <c r="L15150" s="1" t="str">
        <f>"2018-03-26 16:01:45"</f>
        <v>2018-03-26 16:01:45</v>
      </c>
      <c r="M15150" s="1" t="s">
        <v>45</v>
      </c>
      <c r="N15150" s="1" t="s">
        <v>38</v>
      </c>
      <c r="O15150" s="1" t="s">
        <v>46</v>
      </c>
    </row>
    <row r="15151" spans="2:15" x14ac:dyDescent="0.3">
      <c r="B15151" s="1" t="s">
        <v>19</v>
      </c>
      <c r="C15151" s="1" t="str">
        <f>"4차"</f>
        <v>4차</v>
      </c>
      <c r="D15151" s="1" t="str">
        <f>"0128Z71139"</f>
        <v>0128Z71139</v>
      </c>
      <c r="E15151" s="1" t="s">
        <v>10</v>
      </c>
      <c r="F15151" s="1" t="str">
        <f>"10.107.253.242"</f>
        <v>10.107.253.242</v>
      </c>
      <c r="G15151" s="1" t="str">
        <f>"0128Z711"</f>
        <v>0128Z711</v>
      </c>
      <c r="H15151" s="1" t="str">
        <f>"종암지 25"</f>
        <v>종암지 25</v>
      </c>
      <c r="I15151" s="1" t="s">
        <v>8</v>
      </c>
      <c r="J15151" s="1" t="str">
        <f>"59/63"</f>
        <v>59/63</v>
      </c>
      <c r="K15151" s="1" t="str">
        <f>"2026-07-29 13:18:02"</f>
        <v>2026-07-29 13:18:02</v>
      </c>
      <c r="L15151" s="1" t="str">
        <f>"2018-04-19 11:37:00"</f>
        <v>2018-04-19 11:37:00</v>
      </c>
      <c r="M15151" s="1" t="s">
        <v>45</v>
      </c>
      <c r="N15151" s="1" t="s">
        <v>38</v>
      </c>
      <c r="O15151" s="1" t="s">
        <v>46</v>
      </c>
    </row>
    <row r="15152" spans="2:15" x14ac:dyDescent="0.3">
      <c r="B15152" s="1" t="s">
        <v>19</v>
      </c>
      <c r="C15152" s="1" t="str">
        <f>"4차"</f>
        <v>4차</v>
      </c>
      <c r="D15152" s="1" t="str">
        <f>"0128Z73139"</f>
        <v>0128Z73139</v>
      </c>
      <c r="E15152" s="1" t="s">
        <v>10</v>
      </c>
      <c r="F15152" s="1" t="str">
        <f>"10.107.124.57"</f>
        <v>10.107.124.57</v>
      </c>
      <c r="G15152" s="1" t="str">
        <f>"0128Z731"</f>
        <v>0128Z731</v>
      </c>
      <c r="H15152" s="1" t="str">
        <f>"종암지 21R2"</f>
        <v>종암지 21R2</v>
      </c>
      <c r="I15152" s="1" t="s">
        <v>8</v>
      </c>
      <c r="J15152" s="1" t="str">
        <f>"43/46"</f>
        <v>43/46</v>
      </c>
      <c r="K15152" s="1" t="str">
        <f>"2026-07-29 13:18:02"</f>
        <v>2026-07-29 13:18:02</v>
      </c>
      <c r="L15152" s="1" t="str">
        <f>"2018-05-31 16:20:40"</f>
        <v>2018-05-31 16:20:40</v>
      </c>
      <c r="M15152" s="1" t="s">
        <v>45</v>
      </c>
      <c r="N15152" s="1" t="s">
        <v>38</v>
      </c>
      <c r="O15152" s="1" t="s">
        <v>46</v>
      </c>
    </row>
    <row r="15153" spans="2:15" x14ac:dyDescent="0.3">
      <c r="B15153" s="1" t="s">
        <v>19</v>
      </c>
      <c r="C15153" s="1" t="str">
        <f>"3차"</f>
        <v>3차</v>
      </c>
      <c r="D15153" s="1" t="str">
        <f>"0128Z74139"</f>
        <v>0128Z74139</v>
      </c>
      <c r="E15153" s="1" t="s">
        <v>10</v>
      </c>
      <c r="F15153" s="1" t="str">
        <f>"10.107.124.44"</f>
        <v>10.107.124.44</v>
      </c>
      <c r="G15153" s="1" t="str">
        <f>"0128Z741"</f>
        <v>0128Z741</v>
      </c>
      <c r="H15153" s="1" t="str">
        <f>"종암지 19R1"</f>
        <v>종암지 19R1</v>
      </c>
      <c r="I15153" s="1" t="s">
        <v>8</v>
      </c>
      <c r="J15153" s="1" t="str">
        <f>"12/12"</f>
        <v>12/12</v>
      </c>
      <c r="K15153" s="1" t="str">
        <f>"2026-07-29 13:18:02"</f>
        <v>2026-07-29 13:18:02</v>
      </c>
      <c r="L15153" s="1" t="str">
        <f>"2018-05-31 15:47:36"</f>
        <v>2018-05-31 15:47:36</v>
      </c>
      <c r="M15153" s="1" t="s">
        <v>45</v>
      </c>
      <c r="N15153" s="1" t="s">
        <v>38</v>
      </c>
      <c r="O15153" s="1" t="s">
        <v>46</v>
      </c>
    </row>
    <row r="15154" spans="2:15" x14ac:dyDescent="0.3">
      <c r="B15154" s="1" t="s">
        <v>19</v>
      </c>
      <c r="C15154" s="1" t="str">
        <f>"4차"</f>
        <v>4차</v>
      </c>
      <c r="D15154" s="1" t="str">
        <f>"0128Z76239"</f>
        <v>0128Z76239</v>
      </c>
      <c r="E15154" s="1" t="s">
        <v>10</v>
      </c>
      <c r="F15154" s="1" t="str">
        <f>"10.107.124.43"</f>
        <v>10.107.124.43</v>
      </c>
      <c r="G15154" s="1" t="str">
        <f>"0128Z762"</f>
        <v>0128Z762</v>
      </c>
      <c r="H15154" s="1" t="str">
        <f>"종암지 17"</f>
        <v>종암지 17</v>
      </c>
      <c r="I15154" s="1" t="s">
        <v>8</v>
      </c>
      <c r="J15154" s="1" t="str">
        <f>"39/39"</f>
        <v>39/39</v>
      </c>
      <c r="K15154" s="1" t="str">
        <f>"2026-07-28 20:03:17"</f>
        <v>2026-07-28 20:03:17</v>
      </c>
      <c r="L15154" s="1" t="str">
        <f>"2018-03-23 14:04:56"</f>
        <v>2018-03-23 14:04:56</v>
      </c>
      <c r="M15154" s="1" t="s">
        <v>45</v>
      </c>
      <c r="N15154" s="1" t="s">
        <v>38</v>
      </c>
      <c r="O15154" s="1" t="s">
        <v>46</v>
      </c>
    </row>
    <row r="15155" spans="2:15" x14ac:dyDescent="0.3">
      <c r="B15155" s="1" t="s">
        <v>19</v>
      </c>
      <c r="C15155" s="1" t="str">
        <f>"4차"</f>
        <v>4차</v>
      </c>
      <c r="D15155" s="1" t="str">
        <f>"0128Z78145"</f>
        <v>0128Z78145</v>
      </c>
      <c r="E15155" s="1" t="s">
        <v>10</v>
      </c>
      <c r="F15155" s="1" t="str">
        <f>"10.14.4.57"</f>
        <v>10.14.4.57</v>
      </c>
      <c r="G15155" s="1" t="str">
        <f>"0128Z781"</f>
        <v>0128Z781</v>
      </c>
      <c r="H15155" s="1" t="str">
        <f>"종암 4"</f>
        <v>종암 4</v>
      </c>
      <c r="I15155" s="1" t="s">
        <v>17</v>
      </c>
      <c r="J15155" s="1" t="str">
        <f>"22/22"</f>
        <v>22/22</v>
      </c>
      <c r="K15155" s="1" t="str">
        <f>"2026-07-29 13:18:03"</f>
        <v>2026-07-29 13:18:03</v>
      </c>
      <c r="L15155" s="1" t="str">
        <f>"2021-06-24 10:05:13"</f>
        <v>2021-06-24 10:05:13</v>
      </c>
      <c r="M15155" s="1" t="s">
        <v>3</v>
      </c>
      <c r="N15155" s="1" t="s">
        <v>38</v>
      </c>
      <c r="O15155" s="1" t="s">
        <v>46</v>
      </c>
    </row>
    <row r="15156" spans="2:15" x14ac:dyDescent="0.3">
      <c r="B15156" s="1" t="s">
        <v>19</v>
      </c>
      <c r="C15156" s="1" t="str">
        <f>"3차"</f>
        <v>3차</v>
      </c>
      <c r="D15156" s="1" t="str">
        <f>"0128Z80239"</f>
        <v>0128Z80239</v>
      </c>
      <c r="E15156" s="1" t="s">
        <v>12</v>
      </c>
      <c r="F15156" s="1" t="str">
        <f>"10.107.124.26"</f>
        <v>10.107.124.26</v>
      </c>
      <c r="G15156" s="1" t="str">
        <f>"0128Z802"</f>
        <v>0128Z802</v>
      </c>
      <c r="H15156" s="1" t="str">
        <f>"종암SW 17L5"</f>
        <v>종암SW 17L5</v>
      </c>
      <c r="I15156" s="1" t="s">
        <v>8</v>
      </c>
      <c r="J15156" s="1" t="str">
        <f>"0/18"</f>
        <v>0/18</v>
      </c>
      <c r="K15156" s="1" t="str">
        <f>"2026-07-22 13:18:02"</f>
        <v>2026-07-22 13:18:02</v>
      </c>
      <c r="L15156" s="1" t="str">
        <f>"2018-03-26 16:07:26"</f>
        <v>2018-03-26 16:07:26</v>
      </c>
      <c r="M15156" s="1" t="s">
        <v>45</v>
      </c>
      <c r="N15156" s="1" t="s">
        <v>38</v>
      </c>
      <c r="O15156" s="1" t="s">
        <v>46</v>
      </c>
    </row>
    <row r="15157" spans="2:15" x14ac:dyDescent="0.3">
      <c r="B15157" s="1" t="s">
        <v>19</v>
      </c>
      <c r="C15157" s="1" t="str">
        <f>"4차"</f>
        <v>4차</v>
      </c>
      <c r="D15157" s="1" t="str">
        <f>"0128Z82239"</f>
        <v>0128Z82239</v>
      </c>
      <c r="E15157" s="1" t="s">
        <v>10</v>
      </c>
      <c r="F15157" s="1" t="str">
        <f>"10.107.124.28"</f>
        <v>10.107.124.28</v>
      </c>
      <c r="G15157" s="1" t="str">
        <f>"0128Z822"</f>
        <v>0128Z822</v>
      </c>
      <c r="H15157" s="1" t="str">
        <f>"종암지 23"</f>
        <v>종암지 23</v>
      </c>
      <c r="I15157" s="1" t="s">
        <v>8</v>
      </c>
      <c r="J15157" s="1" t="str">
        <f>"16/18"</f>
        <v>16/18</v>
      </c>
      <c r="K15157" s="1" t="str">
        <f>"2026-07-29 13:18:01"</f>
        <v>2026-07-29 13:18:01</v>
      </c>
      <c r="L15157" s="1" t="str">
        <f>"2018-03-26 15:53:25"</f>
        <v>2018-03-26 15:53:25</v>
      </c>
      <c r="M15157" s="1" t="s">
        <v>45</v>
      </c>
      <c r="N15157" s="1" t="s">
        <v>38</v>
      </c>
      <c r="O15157" s="1" t="s">
        <v>46</v>
      </c>
    </row>
    <row r="15158" spans="2:15" x14ac:dyDescent="0.3">
      <c r="B15158" s="1" t="s">
        <v>19</v>
      </c>
      <c r="C15158" s="1" t="str">
        <f>"3차"</f>
        <v>3차</v>
      </c>
      <c r="D15158" s="1" t="str">
        <f>"0128Z83339"</f>
        <v>0128Z83339</v>
      </c>
      <c r="E15158" s="1" t="s">
        <v>10</v>
      </c>
      <c r="F15158" s="1" t="str">
        <f>"10.107.124.56"</f>
        <v>10.107.124.56</v>
      </c>
      <c r="G15158" s="1" t="str">
        <f>"0128Z833"</f>
        <v>0128Z833</v>
      </c>
      <c r="H15158" s="1" t="str">
        <f>"종암지 21R1"</f>
        <v>종암지 21R1</v>
      </c>
      <c r="I15158" s="1" t="s">
        <v>8</v>
      </c>
      <c r="J15158" s="1" t="str">
        <f>"29/29"</f>
        <v>29/29</v>
      </c>
      <c r="K15158" s="1" t="str">
        <f>"2026-07-29 13:18:02"</f>
        <v>2026-07-29 13:18:02</v>
      </c>
      <c r="L15158" s="1" t="str">
        <f>"2018-04-03 13:16:57"</f>
        <v>2018-04-03 13:16:57</v>
      </c>
      <c r="M15158" s="1" t="s">
        <v>45</v>
      </c>
      <c r="N15158" s="1" t="s">
        <v>38</v>
      </c>
      <c r="O15158" s="1" t="s">
        <v>46</v>
      </c>
    </row>
    <row r="15159" spans="2:15" x14ac:dyDescent="0.3">
      <c r="B15159" s="1" t="s">
        <v>19</v>
      </c>
      <c r="C15159" s="1" t="str">
        <f>"3차"</f>
        <v>3차</v>
      </c>
      <c r="D15159" s="1" t="str">
        <f>"0128Z84239"</f>
        <v>0128Z84239</v>
      </c>
      <c r="E15159" s="1" t="s">
        <v>10</v>
      </c>
      <c r="F15159" s="1" t="str">
        <f>"10.107.124.23"</f>
        <v>10.107.124.23</v>
      </c>
      <c r="G15159" s="1" t="str">
        <f>"0128Z842"</f>
        <v>0128Z842</v>
      </c>
      <c r="H15159" s="1" t="str">
        <f>"종암지 19"</f>
        <v>종암지 19</v>
      </c>
      <c r="I15159" s="1" t="s">
        <v>8</v>
      </c>
      <c r="J15159" s="1" t="str">
        <f>"10/10"</f>
        <v>10/10</v>
      </c>
      <c r="K15159" s="1" t="str">
        <f>"2026-07-29 13:18:01"</f>
        <v>2026-07-29 13:18:01</v>
      </c>
      <c r="L15159" s="1" t="str">
        <f>"2018-04-05 10:38:42"</f>
        <v>2018-04-05 10:38:42</v>
      </c>
      <c r="M15159" s="1" t="s">
        <v>45</v>
      </c>
      <c r="N15159" s="1" t="s">
        <v>38</v>
      </c>
      <c r="O15159" s="1" t="s">
        <v>46</v>
      </c>
    </row>
    <row r="15160" spans="2:15" x14ac:dyDescent="0.3">
      <c r="B15160" s="1" t="s">
        <v>19</v>
      </c>
      <c r="C15160" s="1" t="str">
        <f>"4차"</f>
        <v>4차</v>
      </c>
      <c r="D15160" s="1" t="str">
        <f>"0128Z85239"</f>
        <v>0128Z85239</v>
      </c>
      <c r="E15160" s="1" t="s">
        <v>10</v>
      </c>
      <c r="F15160" s="1" t="str">
        <f>"10.12.137.156"</f>
        <v>10.12.137.156</v>
      </c>
      <c r="G15160" s="1" t="str">
        <f>"0128Z852"</f>
        <v>0128Z852</v>
      </c>
      <c r="H15160" s="1" t="str">
        <f>"종암 26"</f>
        <v>종암 26</v>
      </c>
      <c r="I15160" s="1" t="s">
        <v>17</v>
      </c>
      <c r="J15160" s="1" t="str">
        <f>"4/5"</f>
        <v>4/5</v>
      </c>
      <c r="K15160" s="1" t="str">
        <f>"2026-07-29 13:18:03"</f>
        <v>2026-07-29 13:18:03</v>
      </c>
      <c r="L15160" s="1" t="str">
        <f>"2018-07-04 09:24:52"</f>
        <v>2018-07-04 09:24:52</v>
      </c>
      <c r="M15160" s="1" t="s">
        <v>0</v>
      </c>
      <c r="N15160" s="1" t="s">
        <v>38</v>
      </c>
      <c r="O15160" s="1" t="s">
        <v>46</v>
      </c>
    </row>
    <row r="15161" spans="2:15" x14ac:dyDescent="0.3">
      <c r="B15161" s="1" t="s">
        <v>19</v>
      </c>
      <c r="C15161" s="1" t="str">
        <f>"4차"</f>
        <v>4차</v>
      </c>
      <c r="D15161" s="1" t="str">
        <f>"0128Z85339"</f>
        <v>0128Z85339</v>
      </c>
      <c r="E15161" s="1" t="s">
        <v>10</v>
      </c>
      <c r="F15161" s="1" t="str">
        <f>"10.12.137.159"</f>
        <v>10.12.137.159</v>
      </c>
      <c r="G15161" s="1" t="str">
        <f>"0128Z853"</f>
        <v>0128Z853</v>
      </c>
      <c r="H15161" s="1" t="str">
        <f>"종암 25"</f>
        <v>종암 25</v>
      </c>
      <c r="I15161" s="1" t="s">
        <v>17</v>
      </c>
      <c r="J15161" s="1" t="str">
        <f>"2/2"</f>
        <v>2/2</v>
      </c>
      <c r="K15161" s="1" t="str">
        <f>"2026-07-29 13:18:01"</f>
        <v>2026-07-29 13:18:01</v>
      </c>
      <c r="L15161" s="1" t="str">
        <f>"2018-07-04 09:32:50"</f>
        <v>2018-07-04 09:32:50</v>
      </c>
      <c r="M15161" s="1" t="s">
        <v>0</v>
      </c>
      <c r="N15161" s="1" t="s">
        <v>38</v>
      </c>
      <c r="O15161" s="1" t="s">
        <v>46</v>
      </c>
    </row>
    <row r="15162" spans="2:15" x14ac:dyDescent="0.3">
      <c r="B15162" s="1" t="s">
        <v>19</v>
      </c>
      <c r="C15162" s="1" t="str">
        <f>"4차"</f>
        <v>4차</v>
      </c>
      <c r="D15162" s="1" t="str">
        <f>"0128Z85639"</f>
        <v>0128Z85639</v>
      </c>
      <c r="E15162" s="1" t="s">
        <v>10</v>
      </c>
      <c r="F15162" s="1" t="str">
        <f>"10.14.15.188"</f>
        <v>10.14.15.188</v>
      </c>
      <c r="G15162" s="1" t="str">
        <f>"0128Z856"</f>
        <v>0128Z856</v>
      </c>
      <c r="H15162" s="1" t="str">
        <f>"종암 27"</f>
        <v>종암 27</v>
      </c>
      <c r="I15162" s="1" t="s">
        <v>17</v>
      </c>
      <c r="J15162" s="1" t="str">
        <f>"1/1"</f>
        <v>1/1</v>
      </c>
      <c r="K15162" s="1" t="str">
        <f>"2026-07-29 13:18:01"</f>
        <v>2026-07-29 13:18:01</v>
      </c>
      <c r="L15162" s="1" t="str">
        <f>"2018-07-27 10:30:48"</f>
        <v>2018-07-27 10:30:48</v>
      </c>
      <c r="M15162" s="1" t="s">
        <v>3</v>
      </c>
      <c r="N15162" s="1" t="s">
        <v>38</v>
      </c>
      <c r="O15162" s="1" t="s">
        <v>46</v>
      </c>
    </row>
    <row r="15163" spans="2:15" x14ac:dyDescent="0.3">
      <c r="B15163" s="1" t="s">
        <v>19</v>
      </c>
      <c r="C15163" s="1" t="str">
        <f>"4차"</f>
        <v>4차</v>
      </c>
      <c r="D15163" s="1" t="str">
        <f>"0128Z86139"</f>
        <v>0128Z86139</v>
      </c>
      <c r="E15163" s="1" t="s">
        <v>10</v>
      </c>
      <c r="F15163" s="1" t="str">
        <f>"10.12.134.144"</f>
        <v>10.12.134.144</v>
      </c>
      <c r="G15163" s="1" t="str">
        <f>"0128Z861"</f>
        <v>0128Z861</v>
      </c>
      <c r="H15163" s="1" t="str">
        <f>"종암 6"</f>
        <v>종암 6</v>
      </c>
      <c r="I15163" s="1" t="s">
        <v>17</v>
      </c>
      <c r="J15163" s="1" t="str">
        <f>"10/10"</f>
        <v>10/10</v>
      </c>
      <c r="K15163" s="1" t="str">
        <f>"2026-07-29 13:18:01"</f>
        <v>2026-07-29 13:18:01</v>
      </c>
      <c r="L15163" s="1" t="str">
        <f>"2018-05-30 09:39:41"</f>
        <v>2018-05-30 09:39:41</v>
      </c>
      <c r="M15163" s="1" t="s">
        <v>0</v>
      </c>
      <c r="N15163" s="1" t="s">
        <v>38</v>
      </c>
      <c r="O15163" s="1" t="s">
        <v>46</v>
      </c>
    </row>
    <row r="15164" spans="2:15" x14ac:dyDescent="0.3">
      <c r="B15164" s="1" t="s">
        <v>19</v>
      </c>
      <c r="C15164" s="1" t="str">
        <f>"3차"</f>
        <v>3차</v>
      </c>
      <c r="D15164" s="1" t="str">
        <f>"0128Z90239"</f>
        <v>0128Z90239</v>
      </c>
      <c r="E15164" s="1" t="s">
        <v>10</v>
      </c>
      <c r="F15164" s="1" t="str">
        <f>"10.107.124.27"</f>
        <v>10.107.124.27</v>
      </c>
      <c r="G15164" s="1" t="str">
        <f>"0128Z902"</f>
        <v>0128Z902</v>
      </c>
      <c r="H15164" s="1" t="str">
        <f>"종암SW 17L6"</f>
        <v>종암SW 17L6</v>
      </c>
      <c r="I15164" s="1" t="s">
        <v>8</v>
      </c>
      <c r="J15164" s="1" t="str">
        <f>"74/74"</f>
        <v>74/74</v>
      </c>
      <c r="K15164" s="1" t="str">
        <f>"2026-07-29 13:18:02"</f>
        <v>2026-07-29 13:18:02</v>
      </c>
      <c r="L15164" s="1" t="str">
        <f>"2018-03-26 16:35:13"</f>
        <v>2018-03-26 16:35:13</v>
      </c>
      <c r="M15164" s="1" t="s">
        <v>45</v>
      </c>
      <c r="N15164" s="1" t="s">
        <v>38</v>
      </c>
      <c r="O15164" s="1" t="s">
        <v>46</v>
      </c>
    </row>
    <row r="15165" spans="2:15" x14ac:dyDescent="0.3">
      <c r="B15165" s="1" t="s">
        <v>19</v>
      </c>
      <c r="C15165" s="1" t="str">
        <f>"4차"</f>
        <v>4차</v>
      </c>
      <c r="D15165" s="1" t="str">
        <f>"0128Z92139"</f>
        <v>0128Z92139</v>
      </c>
      <c r="E15165" s="1" t="s">
        <v>10</v>
      </c>
      <c r="F15165" s="1" t="str">
        <f>"10.12.129.180"</f>
        <v>10.12.129.180</v>
      </c>
      <c r="G15165" s="1" t="str">
        <f>"0128Z921"</f>
        <v>0128Z921</v>
      </c>
      <c r="H15165" s="1" t="str">
        <f>"종암 24"</f>
        <v>종암 24</v>
      </c>
      <c r="I15165" s="1" t="s">
        <v>17</v>
      </c>
      <c r="J15165" s="1" t="str">
        <f>"1/1"</f>
        <v>1/1</v>
      </c>
      <c r="K15165" s="1" t="str">
        <f>"2026-07-29 13:18:02"</f>
        <v>2026-07-29 13:18:02</v>
      </c>
      <c r="L15165" s="1" t="str">
        <f>"2018-07-04 10:34:36"</f>
        <v>2018-07-04 10:34:36</v>
      </c>
      <c r="M15165" s="1" t="s">
        <v>0</v>
      </c>
      <c r="N15165" s="1" t="s">
        <v>38</v>
      </c>
      <c r="O15165" s="1" t="s">
        <v>46</v>
      </c>
    </row>
    <row r="15166" spans="2:15" x14ac:dyDescent="0.3">
      <c r="B15166" s="1" t="s">
        <v>19</v>
      </c>
      <c r="C15166" s="1" t="str">
        <f>"4차"</f>
        <v>4차</v>
      </c>
      <c r="D15166" s="1" t="str">
        <f>"0128Z95139"</f>
        <v>0128Z95139</v>
      </c>
      <c r="E15166" s="1" t="str">
        <f>"검침실패(3시간 이상)"</f>
        <v>검침실패(3시간 이상)</v>
      </c>
      <c r="F15166" s="1" t="str">
        <f>"10.12.137.154"</f>
        <v>10.12.137.154</v>
      </c>
      <c r="G15166" s="1" t="str">
        <f>"0128Z951"</f>
        <v>0128Z951</v>
      </c>
      <c r="H15166" s="1" t="str">
        <f>"종암 7"</f>
        <v>종암 7</v>
      </c>
      <c r="I15166" s="1" t="s">
        <v>17</v>
      </c>
      <c r="J15166" s="1" t="str">
        <f>"0/3"</f>
        <v>0/3</v>
      </c>
      <c r="K15166" s="1" t="str">
        <f>"2026-05-17 18:23:00"</f>
        <v>2026-05-17 18:23:00</v>
      </c>
      <c r="L15166" s="1" t="str">
        <f>"2018-07-04 09:50:35"</f>
        <v>2018-07-04 09:50:35</v>
      </c>
      <c r="M15166" s="1" t="s">
        <v>0</v>
      </c>
      <c r="N15166" s="1" t="s">
        <v>38</v>
      </c>
      <c r="O15166" s="1" t="s">
        <v>46</v>
      </c>
    </row>
    <row r="15167" spans="2:15" x14ac:dyDescent="0.3">
      <c r="B15167" s="1" t="s">
        <v>19</v>
      </c>
      <c r="C15167" s="1" t="str">
        <f>"5-2차"</f>
        <v>5-2차</v>
      </c>
      <c r="D15167" s="1" t="str">
        <f>"0128Z9615M"</f>
        <v>0128Z9615M</v>
      </c>
      <c r="E15167" s="1" t="s">
        <v>10</v>
      </c>
      <c r="F15167" s="1" t="str">
        <f>"fde1:103:4:6e7d:0:0:0:2"</f>
        <v>fde1:103:4:6e7d:0:0:0:2</v>
      </c>
      <c r="G15167" s="1" t="str">
        <f>"0128Z961"</f>
        <v>0128Z961</v>
      </c>
      <c r="H15167" s="1" t="str">
        <f>"종암SW 4L3R1"</f>
        <v>종암SW 4L3R1</v>
      </c>
      <c r="I15167" s="1" t="s">
        <v>15</v>
      </c>
      <c r="J15167" s="1" t="str">
        <f>"39/39"</f>
        <v>39/39</v>
      </c>
      <c r="K15167" s="1" t="str">
        <f>"2026-07-29 14:20:03"</f>
        <v>2026-07-29 14:20:03</v>
      </c>
      <c r="L15167" s="1" t="str">
        <f>"2023-11-15 11:22:55"</f>
        <v>2023-11-15 11:22:55</v>
      </c>
      <c r="M15167" s="1" t="s">
        <v>4</v>
      </c>
      <c r="N15167" s="1" t="s">
        <v>38</v>
      </c>
      <c r="O15167" s="1" t="s">
        <v>46</v>
      </c>
    </row>
    <row r="15168" spans="2:15" x14ac:dyDescent="0.3">
      <c r="B15168" s="1" t="s">
        <v>19</v>
      </c>
      <c r="C15168" s="1" t="str">
        <f>"1차"</f>
        <v>1차</v>
      </c>
      <c r="D15168" s="1" t="str">
        <f>"0128Z97101"</f>
        <v>0128Z97101</v>
      </c>
      <c r="E15168" s="1" t="s">
        <v>10</v>
      </c>
      <c r="F15168" s="1" t="str">
        <f>"10.107.118.83"</f>
        <v>10.107.118.83</v>
      </c>
      <c r="G15168" s="1" t="str">
        <f>"0128Z971"</f>
        <v>0128Z971</v>
      </c>
      <c r="H15168" s="1" t="str">
        <f>"종암SW 4L3"</f>
        <v>종암SW 4L3</v>
      </c>
      <c r="I15168" s="1" t="s">
        <v>8</v>
      </c>
      <c r="J15168" s="1" t="str">
        <f>"6/6"</f>
        <v>6/6</v>
      </c>
      <c r="K15168" s="1" t="str">
        <f>"2026-07-29 13:18:01"</f>
        <v>2026-07-29 13:18:01</v>
      </c>
      <c r="L15168" s="1" t="str">
        <f>"2014-11-18 17:04:41"</f>
        <v>2014-11-18 17:04:41</v>
      </c>
      <c r="M15168" s="1" t="s">
        <v>45</v>
      </c>
      <c r="N15168" s="1" t="s">
        <v>38</v>
      </c>
      <c r="O15168" s="1" t="s">
        <v>46</v>
      </c>
    </row>
    <row r="15169" spans="2:15" x14ac:dyDescent="0.3">
      <c r="B15169" s="1" t="s">
        <v>19</v>
      </c>
      <c r="C15169" s="1" t="str">
        <f>"5-2차"</f>
        <v>5-2차</v>
      </c>
      <c r="D15169" s="1" t="str">
        <f>"0129A0715M"</f>
        <v>0129A0715M</v>
      </c>
      <c r="E15169" s="1" t="s">
        <v>10</v>
      </c>
      <c r="F15169" s="1" t="str">
        <f>"fde3:102:1410:4700:0:0:0:7"</f>
        <v>fde3:102:1410:4700:0:0:0:7</v>
      </c>
      <c r="G15169" s="1" t="str">
        <f>"0129A071"</f>
        <v>0129A071</v>
      </c>
      <c r="H15169" s="1" t="str">
        <f>"화계지 57R3L4"</f>
        <v>화계지 57R3L4</v>
      </c>
      <c r="I15169" s="1" t="s">
        <v>15</v>
      </c>
      <c r="J15169" s="1" t="str">
        <f>"55/55"</f>
        <v>55/55</v>
      </c>
      <c r="K15169" s="1" t="str">
        <f>"2026-07-29 08:20:12"</f>
        <v>2026-07-29 08:20:12</v>
      </c>
      <c r="L15169" s="1" t="str">
        <f>"2023-08-23 21:29:11"</f>
        <v>2023-08-23 21:29:11</v>
      </c>
      <c r="M15169" s="1" t="s">
        <v>45</v>
      </c>
      <c r="N15169" s="1" t="s">
        <v>38</v>
      </c>
      <c r="O15169" s="1" t="s">
        <v>46</v>
      </c>
    </row>
    <row r="15170" spans="2:15" x14ac:dyDescent="0.3">
      <c r="B15170" s="1" t="s">
        <v>19</v>
      </c>
      <c r="C15170" s="1" t="str">
        <f>"4차"</f>
        <v>4차</v>
      </c>
      <c r="D15170" s="1" t="str">
        <f>"0129A09144"</f>
        <v>0129A09144</v>
      </c>
      <c r="E15170" s="1" t="s">
        <v>10</v>
      </c>
      <c r="F15170" s="1" t="str">
        <f>"10.107.120.215"</f>
        <v>10.107.120.215</v>
      </c>
      <c r="G15170" s="1" t="str">
        <f>"0129A091"</f>
        <v>0129A091</v>
      </c>
      <c r="H15170" s="1" t="str">
        <f>"화계지 57R3L1"</f>
        <v>화계지 57R3L1</v>
      </c>
      <c r="I15170" s="1" t="s">
        <v>8</v>
      </c>
      <c r="J15170" s="1" t="str">
        <f>"32/32"</f>
        <v>32/32</v>
      </c>
      <c r="K15170" s="1" t="str">
        <f>"2026-07-29 13:18:02"</f>
        <v>2026-07-29 13:18:02</v>
      </c>
      <c r="L15170" s="1" t="str">
        <f>"2019-12-13 09:05:45"</f>
        <v>2019-12-13 09:05:45</v>
      </c>
      <c r="M15170" s="1" t="s">
        <v>45</v>
      </c>
      <c r="N15170" s="1" t="s">
        <v>38</v>
      </c>
      <c r="O15170" s="1" t="s">
        <v>46</v>
      </c>
    </row>
    <row r="15171" spans="2:15" x14ac:dyDescent="0.3">
      <c r="B15171" s="1" t="s">
        <v>19</v>
      </c>
      <c r="C15171" s="1" t="str">
        <f>"5-2차"</f>
        <v>5-2차</v>
      </c>
      <c r="D15171" s="1" t="str">
        <f>"0129A1145S"</f>
        <v>0129A1145S</v>
      </c>
      <c r="E15171" s="1" t="s">
        <v>10</v>
      </c>
      <c r="F15171" s="1" t="str">
        <f>"fde3:102:1410:1600:0:0:0:3"</f>
        <v>fde3:102:1410:1600:0:0:0:3</v>
      </c>
      <c r="G15171" s="1" t="str">
        <f>"0129A114"</f>
        <v>0129A114</v>
      </c>
      <c r="H15171" s="1" t="str">
        <f>"삼원간 51R14"</f>
        <v>삼원간 51R14</v>
      </c>
      <c r="I15171" s="1" t="s">
        <v>15</v>
      </c>
      <c r="J15171" s="1" t="str">
        <f>"40/40"</f>
        <v>40/40</v>
      </c>
      <c r="K15171" s="1" t="str">
        <f>"2026-07-29 14:20:21"</f>
        <v>2026-07-29 14:20:21</v>
      </c>
      <c r="L15171" s="1" t="str">
        <f>"2023-08-07 16:45:56"</f>
        <v>2023-08-07 16:45:56</v>
      </c>
      <c r="M15171" s="1" t="s">
        <v>45</v>
      </c>
      <c r="N15171" s="1" t="s">
        <v>38</v>
      </c>
      <c r="O15171" s="1" t="s">
        <v>46</v>
      </c>
    </row>
    <row r="15172" spans="2:15" x14ac:dyDescent="0.3">
      <c r="B15172" s="1" t="s">
        <v>19</v>
      </c>
      <c r="C15172" s="1" t="str">
        <f>"5-2차"</f>
        <v>5-2차</v>
      </c>
      <c r="D15172" s="1" t="str">
        <f>"0129A1235S"</f>
        <v>0129A1235S</v>
      </c>
      <c r="E15172" s="1" t="s">
        <v>10</v>
      </c>
      <c r="F15172" s="1" t="str">
        <f>"fde3:102:1410:1600:0:0:0:2"</f>
        <v>fde3:102:1410:1600:0:0:0:2</v>
      </c>
      <c r="G15172" s="1" t="str">
        <f>"0129A123"</f>
        <v>0129A123</v>
      </c>
      <c r="H15172" s="1" t="str">
        <f>"삼원간 51R13R1L3"</f>
        <v>삼원간 51R13R1L3</v>
      </c>
      <c r="I15172" s="1" t="s">
        <v>15</v>
      </c>
      <c r="J15172" s="1" t="str">
        <f>"62/62"</f>
        <v>62/62</v>
      </c>
      <c r="K15172" s="1" t="str">
        <f>"2026-07-29 08:20:19"</f>
        <v>2026-07-29 08:20:19</v>
      </c>
      <c r="L15172" s="1" t="str">
        <f>"2023-08-07 16:38:56"</f>
        <v>2023-08-07 16:38:56</v>
      </c>
      <c r="M15172" s="1" t="s">
        <v>45</v>
      </c>
      <c r="N15172" s="1" t="s">
        <v>38</v>
      </c>
      <c r="O15172" s="1" t="s">
        <v>46</v>
      </c>
    </row>
    <row r="15173" spans="2:15" x14ac:dyDescent="0.3">
      <c r="B15173" s="1" t="s">
        <v>19</v>
      </c>
      <c r="C15173" s="1" t="str">
        <f>"5-2차"</f>
        <v>5-2차</v>
      </c>
      <c r="D15173" s="1" t="str">
        <f>"0129A1515S"</f>
        <v>0129A1515S</v>
      </c>
      <c r="E15173" s="1" t="s">
        <v>10</v>
      </c>
      <c r="F15173" s="1" t="str">
        <f>"fde3:102:1410:4700:0:0:0:5"</f>
        <v>fde3:102:1410:4700:0:0:0:5</v>
      </c>
      <c r="G15173" s="1" t="str">
        <f>"0129A151"</f>
        <v>0129A151</v>
      </c>
      <c r="H15173" s="1" t="str">
        <f>"화계지 65R2"</f>
        <v>화계지 65R2</v>
      </c>
      <c r="I15173" s="1" t="s">
        <v>15</v>
      </c>
      <c r="J15173" s="1" t="str">
        <f>"49/49"</f>
        <v>49/49</v>
      </c>
      <c r="K15173" s="1" t="str">
        <f>"2026-07-29 02:20:13"</f>
        <v>2026-07-29 02:20:13</v>
      </c>
      <c r="L15173" s="1" t="str">
        <f>"2023-08-07 16:32:18"</f>
        <v>2023-08-07 16:32:18</v>
      </c>
      <c r="M15173" s="1" t="s">
        <v>45</v>
      </c>
      <c r="N15173" s="1" t="s">
        <v>38</v>
      </c>
      <c r="O15173" s="1" t="s">
        <v>46</v>
      </c>
    </row>
    <row r="15174" spans="2:15" x14ac:dyDescent="0.3">
      <c r="B15174" s="1" t="s">
        <v>19</v>
      </c>
      <c r="C15174" s="1" t="str">
        <f>"5-2차"</f>
        <v>5-2차</v>
      </c>
      <c r="D15174" s="1" t="str">
        <f>"0129A1715S"</f>
        <v>0129A1715S</v>
      </c>
      <c r="E15174" s="1" t="s">
        <v>10</v>
      </c>
      <c r="F15174" s="1" t="str">
        <f>"fde3:102:1410:4700:0:0:0:8"</f>
        <v>fde3:102:1410:4700:0:0:0:8</v>
      </c>
      <c r="G15174" s="1" t="str">
        <f>"0129A171"</f>
        <v>0129A171</v>
      </c>
      <c r="H15174" s="1" t="str">
        <f>"화계지 57R3L4L1"</f>
        <v>화계지 57R3L4L1</v>
      </c>
      <c r="I15174" s="1" t="s">
        <v>15</v>
      </c>
      <c r="J15174" s="1" t="str">
        <f>"32/32"</f>
        <v>32/32</v>
      </c>
      <c r="K15174" s="1" t="str">
        <f>"2026-07-29 14:20:21"</f>
        <v>2026-07-29 14:20:21</v>
      </c>
      <c r="L15174" s="1" t="str">
        <f>"2023-08-07 16:25:01"</f>
        <v>2023-08-07 16:25:01</v>
      </c>
      <c r="M15174" s="1" t="s">
        <v>45</v>
      </c>
      <c r="N15174" s="1" t="s">
        <v>38</v>
      </c>
      <c r="O15174" s="1" t="s">
        <v>46</v>
      </c>
    </row>
    <row r="15175" spans="2:15" x14ac:dyDescent="0.3">
      <c r="B15175" s="1" t="s">
        <v>19</v>
      </c>
      <c r="C15175" s="1" t="str">
        <f>"5-2차"</f>
        <v>5-2차</v>
      </c>
      <c r="D15175" s="1" t="str">
        <f>"0129A2025M"</f>
        <v>0129A2025M</v>
      </c>
      <c r="E15175" s="1" t="s">
        <v>10</v>
      </c>
      <c r="F15175" s="1" t="str">
        <f>"fde3:102:1410:1600:0:0:0:5"</f>
        <v>fde3:102:1410:1600:0:0:0:5</v>
      </c>
      <c r="G15175" s="1" t="str">
        <f>"0129A202"</f>
        <v>0129A202</v>
      </c>
      <c r="H15175" s="1" t="str">
        <f>"삼원간 51R12L1"</f>
        <v>삼원간 51R12L1</v>
      </c>
      <c r="I15175" s="1" t="s">
        <v>15</v>
      </c>
      <c r="J15175" s="1" t="str">
        <f>"54/54"</f>
        <v>54/54</v>
      </c>
      <c r="K15175" s="1" t="str">
        <f>"2026-07-29 14:20:21"</f>
        <v>2026-07-29 14:20:21</v>
      </c>
      <c r="L15175" s="1" t="str">
        <f>"2023-11-06 18:05:00"</f>
        <v>2023-11-06 18:05:00</v>
      </c>
      <c r="M15175" s="1" t="s">
        <v>45</v>
      </c>
      <c r="N15175" s="1" t="s">
        <v>38</v>
      </c>
      <c r="O15175" s="1" t="s">
        <v>46</v>
      </c>
    </row>
    <row r="15176" spans="2:15" x14ac:dyDescent="0.3">
      <c r="B15176" s="1" t="s">
        <v>19</v>
      </c>
      <c r="C15176" s="1" t="str">
        <f>"4차"</f>
        <v>4차</v>
      </c>
      <c r="D15176" s="1" t="str">
        <f>"0129A21139"</f>
        <v>0129A21139</v>
      </c>
      <c r="E15176" s="1" t="s">
        <v>10</v>
      </c>
      <c r="F15176" s="1" t="str">
        <f>"10.107.123.196"</f>
        <v>10.107.123.196</v>
      </c>
      <c r="G15176" s="1" t="str">
        <f>"0129A211"</f>
        <v>0129A211</v>
      </c>
      <c r="H15176" s="1" t="str">
        <f>"삼원간 51R11"</f>
        <v>삼원간 51R11</v>
      </c>
      <c r="I15176" s="1" t="s">
        <v>8</v>
      </c>
      <c r="J15176" s="1" t="str">
        <f>"93/93"</f>
        <v>93/93</v>
      </c>
      <c r="K15176" s="1" t="str">
        <f>"2026-07-29 13:18:01"</f>
        <v>2026-07-29 13:18:01</v>
      </c>
      <c r="L15176" s="1" t="str">
        <f>"2018-04-17 18:20:37"</f>
        <v>2018-04-17 18:20:37</v>
      </c>
      <c r="M15176" s="1" t="s">
        <v>45</v>
      </c>
      <c r="N15176" s="1" t="s">
        <v>38</v>
      </c>
      <c r="O15176" s="1" t="s">
        <v>46</v>
      </c>
    </row>
    <row r="15177" spans="2:15" x14ac:dyDescent="0.3">
      <c r="B15177" s="1" t="s">
        <v>19</v>
      </c>
      <c r="C15177" s="1" t="str">
        <f>"3차"</f>
        <v>3차</v>
      </c>
      <c r="D15177" s="1" t="str">
        <f>"0129A21339"</f>
        <v>0129A21339</v>
      </c>
      <c r="E15177" s="1" t="s">
        <v>10</v>
      </c>
      <c r="F15177" s="1" t="str">
        <f>"10.107.123.227"</f>
        <v>10.107.123.227</v>
      </c>
      <c r="G15177" s="1" t="str">
        <f>"0129A213"</f>
        <v>0129A213</v>
      </c>
      <c r="H15177" s="1" t="str">
        <f>"삼원간 51R12"</f>
        <v>삼원간 51R12</v>
      </c>
      <c r="I15177" s="1" t="s">
        <v>8</v>
      </c>
      <c r="J15177" s="1" t="str">
        <f>"51/51"</f>
        <v>51/51</v>
      </c>
      <c r="K15177" s="1" t="str">
        <f>"2026-07-29 13:18:01"</f>
        <v>2026-07-29 13:18:01</v>
      </c>
      <c r="L15177" s="1" t="str">
        <f>"2018-04-04 19:25:34"</f>
        <v>2018-04-04 19:25:34</v>
      </c>
      <c r="M15177" s="1" t="s">
        <v>45</v>
      </c>
      <c r="N15177" s="1" t="s">
        <v>38</v>
      </c>
      <c r="O15177" s="1" t="s">
        <v>46</v>
      </c>
    </row>
    <row r="15178" spans="2:15" x14ac:dyDescent="0.3">
      <c r="B15178" s="1" t="s">
        <v>19</v>
      </c>
      <c r="C15178" s="1" t="str">
        <f>"4차"</f>
        <v>4차</v>
      </c>
      <c r="D15178" s="1" t="str">
        <f>"0129A22139"</f>
        <v>0129A22139</v>
      </c>
      <c r="E15178" s="1" t="s">
        <v>10</v>
      </c>
      <c r="F15178" s="1" t="str">
        <f>"10.107.123.228"</f>
        <v>10.107.123.228</v>
      </c>
      <c r="G15178" s="1" t="str">
        <f>"0129A221"</f>
        <v>0129A221</v>
      </c>
      <c r="H15178" s="1" t="str">
        <f>"삼원간 51R12R1"</f>
        <v>삼원간 51R12R1</v>
      </c>
      <c r="I15178" s="1" t="s">
        <v>8</v>
      </c>
      <c r="J15178" s="1" t="str">
        <f>"35/35"</f>
        <v>35/35</v>
      </c>
      <c r="K15178" s="1" t="str">
        <f>"2026-07-29 13:18:02"</f>
        <v>2026-07-29 13:18:02</v>
      </c>
      <c r="L15178" s="1" t="str">
        <f>"2018-04-04 19:23:32"</f>
        <v>2018-04-04 19:23:32</v>
      </c>
      <c r="M15178" s="1" t="s">
        <v>45</v>
      </c>
      <c r="N15178" s="1" t="s">
        <v>38</v>
      </c>
      <c r="O15178" s="1" t="s">
        <v>46</v>
      </c>
    </row>
    <row r="15179" spans="2:15" x14ac:dyDescent="0.3">
      <c r="B15179" s="1" t="s">
        <v>19</v>
      </c>
      <c r="C15179" s="1" t="str">
        <f>"3차"</f>
        <v>3차</v>
      </c>
      <c r="D15179" s="1" t="str">
        <f>"0129A22339"</f>
        <v>0129A22339</v>
      </c>
      <c r="E15179" s="1" t="s">
        <v>10</v>
      </c>
      <c r="F15179" s="1" t="str">
        <f>"10.107.123.206"</f>
        <v>10.107.123.206</v>
      </c>
      <c r="G15179" s="1" t="str">
        <f>"0129A223"</f>
        <v>0129A223</v>
      </c>
      <c r="H15179" s="1" t="str">
        <f>"화계지 56C13"</f>
        <v>화계지 56C13</v>
      </c>
      <c r="I15179" s="1" t="s">
        <v>8</v>
      </c>
      <c r="J15179" s="1" t="str">
        <f>"23/23"</f>
        <v>23/23</v>
      </c>
      <c r="K15179" s="1" t="str">
        <f>"2026-07-29 13:18:02"</f>
        <v>2026-07-29 13:18:02</v>
      </c>
      <c r="L15179" s="1" t="str">
        <f>"2018-07-09 11:05:40"</f>
        <v>2018-07-09 11:05:40</v>
      </c>
      <c r="M15179" s="1" t="s">
        <v>45</v>
      </c>
      <c r="N15179" s="1" t="s">
        <v>38</v>
      </c>
      <c r="O15179" s="1" t="s">
        <v>46</v>
      </c>
    </row>
    <row r="15180" spans="2:15" x14ac:dyDescent="0.3">
      <c r="B15180" s="1" t="s">
        <v>19</v>
      </c>
      <c r="C15180" s="1" t="str">
        <f>"5-2차"</f>
        <v>5-2차</v>
      </c>
      <c r="D15180" s="1" t="str">
        <f>"0129A2335S"</f>
        <v>0129A2335S</v>
      </c>
      <c r="E15180" s="1" t="s">
        <v>10</v>
      </c>
      <c r="F15180" s="1" t="str">
        <f>"fde1:103:4:6e84:0:0:0:2"</f>
        <v>fde1:103:4:6e84:0:0:0:2</v>
      </c>
      <c r="G15180" s="1" t="str">
        <f>"0129A233"</f>
        <v>0129A233</v>
      </c>
      <c r="H15180" s="1" t="str">
        <f>"삼원간 51R13R2"</f>
        <v>삼원간 51R13R2</v>
      </c>
      <c r="I15180" s="1" t="s">
        <v>15</v>
      </c>
      <c r="J15180" s="1" t="str">
        <f>"40/40"</f>
        <v>40/40</v>
      </c>
      <c r="K15180" s="1" t="str">
        <f>"2026-07-29 14:20:03"</f>
        <v>2026-07-29 14:20:03</v>
      </c>
      <c r="L15180" s="1" t="str">
        <f>"2023-11-10 16:02:41"</f>
        <v>2023-11-10 16:02:41</v>
      </c>
      <c r="M15180" s="1" t="s">
        <v>4</v>
      </c>
      <c r="N15180" s="1" t="s">
        <v>38</v>
      </c>
      <c r="O15180" s="1" t="s">
        <v>46</v>
      </c>
    </row>
    <row r="15181" spans="2:15" x14ac:dyDescent="0.3">
      <c r="B15181" s="1" t="s">
        <v>19</v>
      </c>
      <c r="C15181" s="1" t="str">
        <f>"3차"</f>
        <v>3차</v>
      </c>
      <c r="D15181" s="1" t="str">
        <f>"0129A23439"</f>
        <v>0129A23439</v>
      </c>
      <c r="E15181" s="1" t="s">
        <v>10</v>
      </c>
      <c r="F15181" s="1" t="str">
        <f>"10.107.123.207"</f>
        <v>10.107.123.207</v>
      </c>
      <c r="G15181" s="1" t="str">
        <f>"0129A234"</f>
        <v>0129A234</v>
      </c>
      <c r="H15181" s="1" t="str">
        <f>"화계지 56C12"</f>
        <v>화계지 56C12</v>
      </c>
      <c r="I15181" s="1" t="s">
        <v>8</v>
      </c>
      <c r="J15181" s="1" t="str">
        <f>"19/19"</f>
        <v>19/19</v>
      </c>
      <c r="K15181" s="1" t="str">
        <f>"2026-07-29 13:18:02"</f>
        <v>2026-07-29 13:18:02</v>
      </c>
      <c r="L15181" s="1" t="str">
        <f>"2018-06-15 12:39:43"</f>
        <v>2018-06-15 12:39:43</v>
      </c>
      <c r="M15181" s="1" t="s">
        <v>45</v>
      </c>
      <c r="N15181" s="1" t="s">
        <v>38</v>
      </c>
      <c r="O15181" s="1" t="s">
        <v>46</v>
      </c>
    </row>
    <row r="15182" spans="2:15" x14ac:dyDescent="0.3">
      <c r="B15182" s="1" t="s">
        <v>19</v>
      </c>
      <c r="C15182" s="1" t="str">
        <f>"4차"</f>
        <v>4차</v>
      </c>
      <c r="D15182" s="1" t="str">
        <f>"0129A28339"</f>
        <v>0129A28339</v>
      </c>
      <c r="E15182" s="1" t="s">
        <v>10</v>
      </c>
      <c r="F15182" s="1" t="str">
        <f>"10.107.120.194"</f>
        <v>10.107.120.194</v>
      </c>
      <c r="G15182" s="1" t="str">
        <f>"0129A283"</f>
        <v>0129A283</v>
      </c>
      <c r="H15182" s="1" t="str">
        <f>"화계지 56C4"</f>
        <v>화계지 56C4</v>
      </c>
      <c r="I15182" s="1" t="s">
        <v>8</v>
      </c>
      <c r="J15182" s="1" t="str">
        <f>"34/34"</f>
        <v>34/34</v>
      </c>
      <c r="K15182" s="1" t="str">
        <f>"2026-07-29 13:18:02"</f>
        <v>2026-07-29 13:18:02</v>
      </c>
      <c r="L15182" s="1" t="str">
        <f>"2018-06-16 09:12:46"</f>
        <v>2018-06-16 09:12:46</v>
      </c>
      <c r="M15182" s="1" t="s">
        <v>45</v>
      </c>
      <c r="N15182" s="1" t="s">
        <v>38</v>
      </c>
      <c r="O15182" s="1" t="s">
        <v>46</v>
      </c>
    </row>
    <row r="15183" spans="2:15" x14ac:dyDescent="0.3">
      <c r="B15183" s="1" t="s">
        <v>19</v>
      </c>
      <c r="C15183" s="1" t="str">
        <f>"5-2차"</f>
        <v>5-2차</v>
      </c>
      <c r="D15183" s="1" t="str">
        <f>"0129A2925M"</f>
        <v>0129A2925M</v>
      </c>
      <c r="E15183" s="1" t="s">
        <v>10</v>
      </c>
      <c r="F15183" s="1" t="str">
        <f>"fde3:102:1410:4700:0:0:0:4"</f>
        <v>fde3:102:1410:4700:0:0:0:4</v>
      </c>
      <c r="G15183" s="1" t="str">
        <f>"0129A292"</f>
        <v>0129A292</v>
      </c>
      <c r="H15183" s="1" t="str">
        <f>"화계지 60"</f>
        <v>화계지 60</v>
      </c>
      <c r="I15183" s="1" t="s">
        <v>15</v>
      </c>
      <c r="J15183" s="1" t="str">
        <f>"65/65"</f>
        <v>65/65</v>
      </c>
      <c r="K15183" s="1" t="str">
        <f>"2026-07-29 14:20:04"</f>
        <v>2026-07-29 14:20:04</v>
      </c>
      <c r="L15183" s="1" t="str">
        <f>"2023-08-07 16:18:08"</f>
        <v>2023-08-07 16:18:08</v>
      </c>
      <c r="M15183" s="1" t="s">
        <v>45</v>
      </c>
      <c r="N15183" s="1" t="s">
        <v>38</v>
      </c>
      <c r="O15183" s="1" t="s">
        <v>46</v>
      </c>
    </row>
    <row r="15184" spans="2:15" x14ac:dyDescent="0.3">
      <c r="B15184" s="1" t="s">
        <v>19</v>
      </c>
      <c r="C15184" s="1" t="str">
        <f>"3차"</f>
        <v>3차</v>
      </c>
      <c r="D15184" s="1" t="str">
        <f>"0129A29439"</f>
        <v>0129A29439</v>
      </c>
      <c r="E15184" s="1" t="s">
        <v>10</v>
      </c>
      <c r="F15184" s="1" t="str">
        <f>"10.107.120.195"</f>
        <v>10.107.120.195</v>
      </c>
      <c r="G15184" s="1" t="str">
        <f>"0129A294"</f>
        <v>0129A294</v>
      </c>
      <c r="H15184" s="1" t="str">
        <f>"화계지 56C2"</f>
        <v>화계지 56C2</v>
      </c>
      <c r="I15184" s="1" t="s">
        <v>8</v>
      </c>
      <c r="J15184" s="1" t="str">
        <f>"5/5"</f>
        <v>5/5</v>
      </c>
      <c r="K15184" s="1" t="str">
        <f>"2026-07-29 13:18:02"</f>
        <v>2026-07-29 13:18:02</v>
      </c>
      <c r="L15184" s="1" t="str">
        <f>"2018-06-16 09:15:18"</f>
        <v>2018-06-16 09:15:18</v>
      </c>
      <c r="M15184" s="1" t="s">
        <v>45</v>
      </c>
      <c r="N15184" s="1" t="s">
        <v>38</v>
      </c>
      <c r="O15184" s="1" t="s">
        <v>46</v>
      </c>
    </row>
    <row r="15185" spans="2:15" x14ac:dyDescent="0.3">
      <c r="B15185" s="1" t="s">
        <v>19</v>
      </c>
      <c r="C15185" s="1" t="str">
        <f>"3차"</f>
        <v>3차</v>
      </c>
      <c r="D15185" s="1" t="str">
        <f>"0129A29539"</f>
        <v>0129A29539</v>
      </c>
      <c r="E15185" s="1" t="s">
        <v>10</v>
      </c>
      <c r="F15185" s="1" t="str">
        <f>"10.107.120.196"</f>
        <v>10.107.120.196</v>
      </c>
      <c r="G15185" s="1" t="str">
        <f>"0129A295"</f>
        <v>0129A295</v>
      </c>
      <c r="H15185" s="1" t="str">
        <f>"화계지 56C3"</f>
        <v>화계지 56C3</v>
      </c>
      <c r="I15185" s="1" t="s">
        <v>8</v>
      </c>
      <c r="J15185" s="1" t="str">
        <f>"13/13"</f>
        <v>13/13</v>
      </c>
      <c r="K15185" s="1" t="str">
        <f>"2026-07-29 13:18:02"</f>
        <v>2026-07-29 13:18:02</v>
      </c>
      <c r="L15185" s="1" t="str">
        <f>"2018-06-16 09:10:12"</f>
        <v>2018-06-16 09:10:12</v>
      </c>
      <c r="M15185" s="1" t="s">
        <v>45</v>
      </c>
      <c r="N15185" s="1" t="s">
        <v>38</v>
      </c>
      <c r="O15185" s="1" t="s">
        <v>46</v>
      </c>
    </row>
    <row r="15186" spans="2:15" x14ac:dyDescent="0.3">
      <c r="B15186" s="1" t="s">
        <v>19</v>
      </c>
      <c r="C15186" s="1" t="str">
        <f>"4차"</f>
        <v>4차</v>
      </c>
      <c r="D15186" s="1" t="str">
        <f>"0129A33339"</f>
        <v>0129A33339</v>
      </c>
      <c r="E15186" s="1" t="s">
        <v>10</v>
      </c>
      <c r="F15186" s="1" t="str">
        <f>"10.107.123.208"</f>
        <v>10.107.123.208</v>
      </c>
      <c r="G15186" s="1" t="str">
        <f>"0129A333"</f>
        <v>0129A333</v>
      </c>
      <c r="H15186" s="1" t="str">
        <f>"화계지 56C14"</f>
        <v>화계지 56C14</v>
      </c>
      <c r="I15186" s="1" t="s">
        <v>8</v>
      </c>
      <c r="J15186" s="1" t="str">
        <f>"68/68"</f>
        <v>68/68</v>
      </c>
      <c r="K15186" s="1" t="str">
        <f>"2026-07-29 13:18:02"</f>
        <v>2026-07-29 13:18:02</v>
      </c>
      <c r="L15186" s="1" t="str">
        <f>"2018-06-15 14:17:30"</f>
        <v>2018-06-15 14:17:30</v>
      </c>
      <c r="M15186" s="1" t="s">
        <v>45</v>
      </c>
      <c r="N15186" s="1" t="s">
        <v>38</v>
      </c>
      <c r="O15186" s="1" t="s">
        <v>46</v>
      </c>
    </row>
    <row r="15187" spans="2:15" x14ac:dyDescent="0.3">
      <c r="B15187" s="1" t="s">
        <v>19</v>
      </c>
      <c r="C15187" s="1" t="str">
        <f t="shared" ref="C15187:C15192" si="769">"3차"</f>
        <v>3차</v>
      </c>
      <c r="D15187" s="1" t="str">
        <f>"0129A34139"</f>
        <v>0129A34139</v>
      </c>
      <c r="E15187" s="1" t="s">
        <v>10</v>
      </c>
      <c r="F15187" s="1" t="str">
        <f>"10.107.123.209"</f>
        <v>10.107.123.209</v>
      </c>
      <c r="G15187" s="1" t="str">
        <f>"0129A341"</f>
        <v>0129A341</v>
      </c>
      <c r="H15187" s="1" t="str">
        <f>"화계지 56C11"</f>
        <v>화계지 56C11</v>
      </c>
      <c r="I15187" s="1" t="s">
        <v>8</v>
      </c>
      <c r="J15187" s="1" t="str">
        <f>"27/27"</f>
        <v>27/27</v>
      </c>
      <c r="K15187" s="1" t="str">
        <f>"2026-07-29 13:18:02"</f>
        <v>2026-07-29 13:18:02</v>
      </c>
      <c r="L15187" s="1" t="str">
        <f>"2018-06-15 12:30:58"</f>
        <v>2018-06-15 12:30:58</v>
      </c>
      <c r="M15187" s="1" t="s">
        <v>45</v>
      </c>
      <c r="N15187" s="1" t="s">
        <v>38</v>
      </c>
      <c r="O15187" s="1" t="s">
        <v>46</v>
      </c>
    </row>
    <row r="15188" spans="2:15" x14ac:dyDescent="0.3">
      <c r="B15188" s="1" t="s">
        <v>19</v>
      </c>
      <c r="C15188" s="1" t="str">
        <f t="shared" si="769"/>
        <v>3차</v>
      </c>
      <c r="D15188" s="1" t="str">
        <f>"0129A34239"</f>
        <v>0129A34239</v>
      </c>
      <c r="E15188" s="1" t="s">
        <v>10</v>
      </c>
      <c r="F15188" s="1" t="str">
        <f>"10.107.123.210"</f>
        <v>10.107.123.210</v>
      </c>
      <c r="G15188" s="1" t="str">
        <f>"0129A342"</f>
        <v>0129A342</v>
      </c>
      <c r="H15188" s="1" t="str">
        <f>"화계지 56C11L1"</f>
        <v>화계지 56C11L1</v>
      </c>
      <c r="I15188" s="1" t="s">
        <v>8</v>
      </c>
      <c r="J15188" s="1" t="str">
        <f>"53/53"</f>
        <v>53/53</v>
      </c>
      <c r="K15188" s="1" t="str">
        <f>"2026-07-29 13:18:01"</f>
        <v>2026-07-29 13:18:01</v>
      </c>
      <c r="L15188" s="1" t="str">
        <f>"2018-06-15 12:27:59"</f>
        <v>2018-06-15 12:27:59</v>
      </c>
      <c r="M15188" s="1" t="s">
        <v>45</v>
      </c>
      <c r="N15188" s="1" t="s">
        <v>38</v>
      </c>
      <c r="O15188" s="1" t="s">
        <v>46</v>
      </c>
    </row>
    <row r="15189" spans="2:15" x14ac:dyDescent="0.3">
      <c r="B15189" s="1" t="s">
        <v>19</v>
      </c>
      <c r="C15189" s="1" t="str">
        <f t="shared" si="769"/>
        <v>3차</v>
      </c>
      <c r="D15189" s="1" t="str">
        <f>"0129A35239"</f>
        <v>0129A35239</v>
      </c>
      <c r="E15189" s="1" t="s">
        <v>10</v>
      </c>
      <c r="F15189" s="1" t="str">
        <f>"10.107.120.197"</f>
        <v>10.107.120.197</v>
      </c>
      <c r="G15189" s="1" t="str">
        <f>"0129A352"</f>
        <v>0129A352</v>
      </c>
      <c r="H15189" s="1" t="str">
        <f>"화계지 56C9"</f>
        <v>화계지 56C9</v>
      </c>
      <c r="I15189" s="1" t="s">
        <v>8</v>
      </c>
      <c r="J15189" s="1" t="str">
        <f>"58/58"</f>
        <v>58/58</v>
      </c>
      <c r="K15189" s="1" t="str">
        <f>"2026-07-29 13:18:01"</f>
        <v>2026-07-29 13:18:01</v>
      </c>
      <c r="L15189" s="1" t="str">
        <f>"2018-06-15 14:52:23"</f>
        <v>2018-06-15 14:52:23</v>
      </c>
      <c r="M15189" s="1" t="s">
        <v>45</v>
      </c>
      <c r="N15189" s="1" t="s">
        <v>38</v>
      </c>
      <c r="O15189" s="1" t="s">
        <v>46</v>
      </c>
    </row>
    <row r="15190" spans="2:15" x14ac:dyDescent="0.3">
      <c r="B15190" s="1" t="s">
        <v>19</v>
      </c>
      <c r="C15190" s="1" t="str">
        <f t="shared" si="769"/>
        <v>3차</v>
      </c>
      <c r="D15190" s="1" t="str">
        <f>"0129A36131"</f>
        <v>0129A36131</v>
      </c>
      <c r="E15190" s="1" t="s">
        <v>10</v>
      </c>
      <c r="F15190" s="1" t="str">
        <f>"10.12.135.31"</f>
        <v>10.12.135.31</v>
      </c>
      <c r="G15190" s="1" t="str">
        <f>"0129A361"</f>
        <v>0129A361</v>
      </c>
      <c r="H15190" s="1" t="str">
        <f>"화계지 56C5L11R1"</f>
        <v>화계지 56C5L11R1</v>
      </c>
      <c r="I15190" s="1" t="s">
        <v>8</v>
      </c>
      <c r="J15190" s="1" t="str">
        <f>"14/14"</f>
        <v>14/14</v>
      </c>
      <c r="K15190" s="1" t="str">
        <f>"2026-07-29 13:18:02"</f>
        <v>2026-07-29 13:18:02</v>
      </c>
      <c r="L15190" s="1" t="str">
        <f>"2018-04-19 10:03:09"</f>
        <v>2018-04-19 10:03:09</v>
      </c>
      <c r="M15190" s="1" t="s">
        <v>0</v>
      </c>
      <c r="N15190" s="1" t="s">
        <v>38</v>
      </c>
      <c r="O15190" s="1" t="s">
        <v>46</v>
      </c>
    </row>
    <row r="15191" spans="2:15" x14ac:dyDescent="0.3">
      <c r="B15191" s="1" t="s">
        <v>19</v>
      </c>
      <c r="C15191" s="1" t="str">
        <f t="shared" si="769"/>
        <v>3차</v>
      </c>
      <c r="D15191" s="1" t="str">
        <f>"0129A37139"</f>
        <v>0129A37139</v>
      </c>
      <c r="E15191" s="1" t="s">
        <v>10</v>
      </c>
      <c r="F15191" s="1" t="str">
        <f>"10.107.120.198"</f>
        <v>10.107.120.198</v>
      </c>
      <c r="G15191" s="1" t="str">
        <f>"0129A371"</f>
        <v>0129A371</v>
      </c>
      <c r="H15191" s="1" t="str">
        <f>"화계지 56C5L2"</f>
        <v>화계지 56C5L2</v>
      </c>
      <c r="I15191" s="1" t="s">
        <v>8</v>
      </c>
      <c r="J15191" s="1" t="str">
        <f>"52/57"</f>
        <v>52/57</v>
      </c>
      <c r="K15191" s="1" t="str">
        <f>"2026-07-29 13:18:01"</f>
        <v>2026-07-29 13:18:01</v>
      </c>
      <c r="L15191" s="1" t="str">
        <f>"2018-06-15 15:40:12"</f>
        <v>2018-06-15 15:40:12</v>
      </c>
      <c r="M15191" s="1" t="s">
        <v>45</v>
      </c>
      <c r="N15191" s="1" t="s">
        <v>38</v>
      </c>
      <c r="O15191" s="1" t="s">
        <v>46</v>
      </c>
    </row>
    <row r="15192" spans="2:15" x14ac:dyDescent="0.3">
      <c r="B15192" s="1" t="s">
        <v>19</v>
      </c>
      <c r="C15192" s="1" t="str">
        <f t="shared" si="769"/>
        <v>3차</v>
      </c>
      <c r="D15192" s="1" t="str">
        <f>"0129A39139"</f>
        <v>0129A39139</v>
      </c>
      <c r="E15192" s="1" t="s">
        <v>10</v>
      </c>
      <c r="F15192" s="1" t="str">
        <f>"10.107.120.199"</f>
        <v>10.107.120.199</v>
      </c>
      <c r="G15192" s="1" t="str">
        <f>"0129A391"</f>
        <v>0129A391</v>
      </c>
      <c r="H15192" s="1" t="str">
        <f>"화계지 56C3L2"</f>
        <v>화계지 56C3L2</v>
      </c>
      <c r="I15192" s="1" t="s">
        <v>8</v>
      </c>
      <c r="J15192" s="1" t="str">
        <f>"53/53"</f>
        <v>53/53</v>
      </c>
      <c r="K15192" s="1" t="str">
        <f>"2026-07-29 13:18:01"</f>
        <v>2026-07-29 13:18:01</v>
      </c>
      <c r="L15192" s="1" t="str">
        <f>"2018-06-16 09:33:12"</f>
        <v>2018-06-16 09:33:12</v>
      </c>
      <c r="M15192" s="1" t="s">
        <v>45</v>
      </c>
      <c r="N15192" s="1" t="s">
        <v>38</v>
      </c>
      <c r="O15192" s="1" t="s">
        <v>46</v>
      </c>
    </row>
    <row r="15193" spans="2:15" x14ac:dyDescent="0.3">
      <c r="B15193" s="1" t="s">
        <v>19</v>
      </c>
      <c r="C15193" s="1" t="str">
        <f>"6차"</f>
        <v>6차</v>
      </c>
      <c r="D15193" s="1" t="str">
        <f>"0129A4046S"</f>
        <v>0129A4046S</v>
      </c>
      <c r="E15193" s="1" t="s">
        <v>10</v>
      </c>
      <c r="F15193" s="1" t="str">
        <f>"fde3:102:1410:1500:0:0:0:f"</f>
        <v>fde3:102:1410:1500:0:0:0:f</v>
      </c>
      <c r="G15193" s="1" t="str">
        <f>"0129A404"</f>
        <v>0129A404</v>
      </c>
      <c r="H15193" s="1" t="str">
        <f>"삼원간 51R8"</f>
        <v>삼원간 51R8</v>
      </c>
      <c r="I15193" s="1" t="s">
        <v>15</v>
      </c>
      <c r="J15193" s="1" t="str">
        <f>"89/89"</f>
        <v>89/89</v>
      </c>
      <c r="K15193" s="1" t="str">
        <f>"2026-07-26 02:20:19"</f>
        <v>2026-07-26 02:20:19</v>
      </c>
      <c r="L15193" s="1" t="str">
        <f>"2024-10-17 14:18:06"</f>
        <v>2024-10-17 14:18:06</v>
      </c>
      <c r="M15193" s="1" t="s">
        <v>45</v>
      </c>
      <c r="N15193" s="1" t="s">
        <v>38</v>
      </c>
      <c r="O15193" s="1" t="s">
        <v>46</v>
      </c>
    </row>
    <row r="15194" spans="2:15" x14ac:dyDescent="0.3">
      <c r="B15194" s="1" t="s">
        <v>19</v>
      </c>
      <c r="C15194" s="1" t="str">
        <f>"1차"</f>
        <v>1차</v>
      </c>
      <c r="D15194" s="1" t="str">
        <f>"0129A41500"</f>
        <v>0129A41500</v>
      </c>
      <c r="E15194" s="1" t="s">
        <v>10</v>
      </c>
      <c r="F15194" s="1" t="str">
        <f>"10.107.123.195"</f>
        <v>10.107.123.195</v>
      </c>
      <c r="G15194" s="1" t="str">
        <f>"0129A415"</f>
        <v>0129A415</v>
      </c>
      <c r="H15194" s="1" t="str">
        <f>"삼원간 51R6R3"</f>
        <v>삼원간 51R6R3</v>
      </c>
      <c r="I15194" s="1" t="s">
        <v>8</v>
      </c>
      <c r="J15194" s="1" t="str">
        <f>"45/45"</f>
        <v>45/45</v>
      </c>
      <c r="K15194" s="1" t="str">
        <f t="shared" ref="K15194:K15201" si="770">"2026-07-29 13:18:02"</f>
        <v>2026-07-29 13:18:02</v>
      </c>
      <c r="L15194" s="1" t="str">
        <f>"2014-10-06 09:42:40"</f>
        <v>2014-10-06 09:42:40</v>
      </c>
      <c r="M15194" s="1" t="s">
        <v>45</v>
      </c>
      <c r="N15194" s="1" t="s">
        <v>38</v>
      </c>
      <c r="O15194" s="1" t="s">
        <v>46</v>
      </c>
    </row>
    <row r="15195" spans="2:15" x14ac:dyDescent="0.3">
      <c r="B15195" s="1" t="s">
        <v>19</v>
      </c>
      <c r="C15195" s="1" t="str">
        <f>"3차"</f>
        <v>3차</v>
      </c>
      <c r="D15195" s="1" t="str">
        <f>"0129A42139"</f>
        <v>0129A42139</v>
      </c>
      <c r="E15195" s="1" t="s">
        <v>10</v>
      </c>
      <c r="F15195" s="1" t="str">
        <f>"10.107.123.211"</f>
        <v>10.107.123.211</v>
      </c>
      <c r="G15195" s="1" t="str">
        <f>"0129A421"</f>
        <v>0129A421</v>
      </c>
      <c r="H15195" s="1" t="str">
        <f>"화계지 56C15R1"</f>
        <v>화계지 56C15R1</v>
      </c>
      <c r="I15195" s="1" t="s">
        <v>8</v>
      </c>
      <c r="J15195" s="1" t="str">
        <f>"52/52"</f>
        <v>52/52</v>
      </c>
      <c r="K15195" s="1" t="str">
        <f t="shared" si="770"/>
        <v>2026-07-29 13:18:02</v>
      </c>
      <c r="L15195" s="1" t="str">
        <f>"2018-06-15 14:29:42"</f>
        <v>2018-06-15 14:29:42</v>
      </c>
      <c r="M15195" s="1" t="s">
        <v>45</v>
      </c>
      <c r="N15195" s="1" t="s">
        <v>38</v>
      </c>
      <c r="O15195" s="1" t="s">
        <v>46</v>
      </c>
    </row>
    <row r="15196" spans="2:15" x14ac:dyDescent="0.3">
      <c r="B15196" s="1" t="s">
        <v>19</v>
      </c>
      <c r="C15196" s="1" t="str">
        <f>"3차"</f>
        <v>3차</v>
      </c>
      <c r="D15196" s="1" t="str">
        <f>"0129A43339"</f>
        <v>0129A43339</v>
      </c>
      <c r="E15196" s="1" t="s">
        <v>10</v>
      </c>
      <c r="F15196" s="1" t="str">
        <f>"10.107.123.212"</f>
        <v>10.107.123.212</v>
      </c>
      <c r="G15196" s="1" t="str">
        <f>"0129A433"</f>
        <v>0129A433</v>
      </c>
      <c r="H15196" s="1" t="str">
        <f>"화계지 56C12L2"</f>
        <v>화계지 56C12L2</v>
      </c>
      <c r="I15196" s="1" t="s">
        <v>8</v>
      </c>
      <c r="J15196" s="1" t="str">
        <f>"77/77"</f>
        <v>77/77</v>
      </c>
      <c r="K15196" s="1" t="str">
        <f t="shared" si="770"/>
        <v>2026-07-29 13:18:02</v>
      </c>
      <c r="L15196" s="1" t="str">
        <f>"2018-06-15 12:16:11"</f>
        <v>2018-06-15 12:16:11</v>
      </c>
      <c r="M15196" s="1" t="s">
        <v>45</v>
      </c>
      <c r="N15196" s="1" t="s">
        <v>38</v>
      </c>
      <c r="O15196" s="1" t="s">
        <v>46</v>
      </c>
    </row>
    <row r="15197" spans="2:15" x14ac:dyDescent="0.3">
      <c r="B15197" s="1" t="s">
        <v>19</v>
      </c>
      <c r="C15197" s="1" t="str">
        <f>"4차"</f>
        <v>4차</v>
      </c>
      <c r="D15197" s="1" t="str">
        <f>"0129A44139"</f>
        <v>0129A44139</v>
      </c>
      <c r="E15197" s="1" t="s">
        <v>10</v>
      </c>
      <c r="F15197" s="1" t="str">
        <f>"10.107.123.213"</f>
        <v>10.107.123.213</v>
      </c>
      <c r="G15197" s="1" t="str">
        <f>"0129A441"</f>
        <v>0129A441</v>
      </c>
      <c r="H15197" s="1" t="str">
        <f>"화계지 56C11L2"</f>
        <v>화계지 56C11L2</v>
      </c>
      <c r="I15197" s="1" t="s">
        <v>8</v>
      </c>
      <c r="J15197" s="1" t="str">
        <f>"154/155"</f>
        <v>154/155</v>
      </c>
      <c r="K15197" s="1" t="str">
        <f t="shared" si="770"/>
        <v>2026-07-29 13:18:02</v>
      </c>
      <c r="L15197" s="1" t="str">
        <f>"2018-06-15 12:25:34"</f>
        <v>2018-06-15 12:25:34</v>
      </c>
      <c r="M15197" s="1" t="s">
        <v>45</v>
      </c>
      <c r="N15197" s="1" t="s">
        <v>38</v>
      </c>
      <c r="O15197" s="1" t="s">
        <v>46</v>
      </c>
    </row>
    <row r="15198" spans="2:15" x14ac:dyDescent="0.3">
      <c r="B15198" s="1" t="s">
        <v>19</v>
      </c>
      <c r="C15198" s="1" t="str">
        <f>"4차"</f>
        <v>4차</v>
      </c>
      <c r="D15198" s="1" t="str">
        <f>"0129A45139"</f>
        <v>0129A45139</v>
      </c>
      <c r="E15198" s="1" t="s">
        <v>10</v>
      </c>
      <c r="F15198" s="1" t="str">
        <f>"10.107.120.200"</f>
        <v>10.107.120.200</v>
      </c>
      <c r="G15198" s="1" t="str">
        <f>"0129A451"</f>
        <v>0129A451</v>
      </c>
      <c r="H15198" s="1" t="str">
        <f>"화계지 56C5L12"</f>
        <v>화계지 56C5L12</v>
      </c>
      <c r="I15198" s="1" t="s">
        <v>8</v>
      </c>
      <c r="J15198" s="1" t="str">
        <f>"27/27"</f>
        <v>27/27</v>
      </c>
      <c r="K15198" s="1" t="str">
        <f t="shared" si="770"/>
        <v>2026-07-29 13:18:02</v>
      </c>
      <c r="L15198" s="1" t="str">
        <f>"2018-06-27 11:58:02"</f>
        <v>2018-06-27 11:58:02</v>
      </c>
      <c r="M15198" s="1" t="s">
        <v>45</v>
      </c>
      <c r="N15198" s="1" t="s">
        <v>38</v>
      </c>
      <c r="O15198" s="1" t="s">
        <v>46</v>
      </c>
    </row>
    <row r="15199" spans="2:15" x14ac:dyDescent="0.3">
      <c r="B15199" s="1" t="s">
        <v>19</v>
      </c>
      <c r="C15199" s="1" t="str">
        <f>"4차"</f>
        <v>4차</v>
      </c>
      <c r="D15199" s="1" t="str">
        <f>"0129A46230"</f>
        <v>0129A46230</v>
      </c>
      <c r="E15199" s="1" t="s">
        <v>10</v>
      </c>
      <c r="F15199" s="1" t="str">
        <f>"10.107.253.227"</f>
        <v>10.107.253.227</v>
      </c>
      <c r="G15199" s="1" t="str">
        <f>"0129A462"</f>
        <v>0129A462</v>
      </c>
      <c r="H15199" s="1" t="str">
        <f>"화계지 56C5L11"</f>
        <v>화계지 56C5L11</v>
      </c>
      <c r="I15199" s="1" t="s">
        <v>8</v>
      </c>
      <c r="J15199" s="1" t="str">
        <f>"57/57"</f>
        <v>57/57</v>
      </c>
      <c r="K15199" s="1" t="str">
        <f t="shared" si="770"/>
        <v>2026-07-29 13:18:02</v>
      </c>
      <c r="L15199" s="1" t="str">
        <f>"2018-06-04 17:14:38"</f>
        <v>2018-06-04 17:14:38</v>
      </c>
      <c r="M15199" s="1" t="s">
        <v>45</v>
      </c>
      <c r="N15199" s="1" t="s">
        <v>38</v>
      </c>
      <c r="O15199" s="1" t="s">
        <v>46</v>
      </c>
    </row>
    <row r="15200" spans="2:15" x14ac:dyDescent="0.3">
      <c r="B15200" s="1" t="s">
        <v>19</v>
      </c>
      <c r="C15200" s="1" t="str">
        <f>"3차"</f>
        <v>3차</v>
      </c>
      <c r="D15200" s="1" t="str">
        <f>"0129A47130"</f>
        <v>0129A47130</v>
      </c>
      <c r="E15200" s="1" t="s">
        <v>10</v>
      </c>
      <c r="F15200" s="1" t="str">
        <f>"10.107.120.201"</f>
        <v>10.107.120.201</v>
      </c>
      <c r="G15200" s="1" t="str">
        <f>"0129A471"</f>
        <v>0129A471</v>
      </c>
      <c r="H15200" s="1" t="str">
        <f>"화계지 56C5L4"</f>
        <v>화계지 56C5L4</v>
      </c>
      <c r="I15200" s="1" t="s">
        <v>8</v>
      </c>
      <c r="J15200" s="1" t="str">
        <f>"20/20"</f>
        <v>20/20</v>
      </c>
      <c r="K15200" s="1" t="str">
        <f t="shared" si="770"/>
        <v>2026-07-29 13:18:02</v>
      </c>
      <c r="L15200" s="1" t="str">
        <f>"2018-06-15 15:04:48"</f>
        <v>2018-06-15 15:04:48</v>
      </c>
      <c r="M15200" s="1" t="s">
        <v>45</v>
      </c>
      <c r="N15200" s="1" t="s">
        <v>38</v>
      </c>
      <c r="O15200" s="1" t="s">
        <v>46</v>
      </c>
    </row>
    <row r="15201" spans="2:15" x14ac:dyDescent="0.3">
      <c r="B15201" s="1" t="s">
        <v>19</v>
      </c>
      <c r="C15201" s="1" t="str">
        <f>"4차"</f>
        <v>4차</v>
      </c>
      <c r="D15201" s="1" t="str">
        <f>"0129A47239"</f>
        <v>0129A47239</v>
      </c>
      <c r="E15201" s="1" t="s">
        <v>10</v>
      </c>
      <c r="F15201" s="1" t="str">
        <f>"10.107.120.203"</f>
        <v>10.107.120.203</v>
      </c>
      <c r="G15201" s="1" t="str">
        <f>"0129A472"</f>
        <v>0129A472</v>
      </c>
      <c r="H15201" s="1" t="str">
        <f>"화계지 56C7L2"</f>
        <v>화계지 56C7L2</v>
      </c>
      <c r="I15201" s="1" t="s">
        <v>8</v>
      </c>
      <c r="J15201" s="1" t="str">
        <f>"34/35"</f>
        <v>34/35</v>
      </c>
      <c r="K15201" s="1" t="str">
        <f t="shared" si="770"/>
        <v>2026-07-29 13:18:02</v>
      </c>
      <c r="L15201" s="1" t="str">
        <f>"2018-06-16 08:57:46"</f>
        <v>2018-06-16 08:57:46</v>
      </c>
      <c r="M15201" s="1" t="s">
        <v>45</v>
      </c>
      <c r="N15201" s="1" t="s">
        <v>38</v>
      </c>
      <c r="O15201" s="1" t="s">
        <v>46</v>
      </c>
    </row>
    <row r="15202" spans="2:15" x14ac:dyDescent="0.3">
      <c r="B15202" s="1" t="s">
        <v>19</v>
      </c>
      <c r="C15202" s="1" t="str">
        <f>"3차"</f>
        <v>3차</v>
      </c>
      <c r="D15202" s="1" t="str">
        <f>"0129A48239"</f>
        <v>0129A48239</v>
      </c>
      <c r="E15202" s="1" t="s">
        <v>10</v>
      </c>
      <c r="F15202" s="1" t="str">
        <f>"10.107.120.204"</f>
        <v>10.107.120.204</v>
      </c>
      <c r="G15202" s="1" t="str">
        <f>"0129A482"</f>
        <v>0129A482</v>
      </c>
      <c r="H15202" s="1" t="str">
        <f>"화계지 56C5L3L1"</f>
        <v>화계지 56C5L3L1</v>
      </c>
      <c r="I15202" s="1" t="s">
        <v>8</v>
      </c>
      <c r="J15202" s="1" t="str">
        <f>"22/22"</f>
        <v>22/22</v>
      </c>
      <c r="K15202" s="1" t="str">
        <f>"2026-07-29 13:18:01"</f>
        <v>2026-07-29 13:18:01</v>
      </c>
      <c r="L15202" s="1" t="str">
        <f>"2018-06-15 15:16:18"</f>
        <v>2018-06-15 15:16:18</v>
      </c>
      <c r="M15202" s="1" t="s">
        <v>45</v>
      </c>
      <c r="N15202" s="1" t="s">
        <v>38</v>
      </c>
      <c r="O15202" s="1" t="s">
        <v>46</v>
      </c>
    </row>
    <row r="15203" spans="2:15" x14ac:dyDescent="0.3">
      <c r="B15203" s="1" t="s">
        <v>19</v>
      </c>
      <c r="C15203" s="1" t="str">
        <f>"4차"</f>
        <v>4차</v>
      </c>
      <c r="D15203" s="1" t="str">
        <f>"0129A48339"</f>
        <v>0129A48339</v>
      </c>
      <c r="E15203" s="1" t="s">
        <v>10</v>
      </c>
      <c r="F15203" s="1" t="str">
        <f>"10.107.120.205"</f>
        <v>10.107.120.205</v>
      </c>
      <c r="G15203" s="1" t="str">
        <f>"0129A483"</f>
        <v>0129A483</v>
      </c>
      <c r="H15203" s="1" t="str">
        <f>"화계지 56C5L3L2"</f>
        <v>화계지 56C5L3L2</v>
      </c>
      <c r="I15203" s="1" t="s">
        <v>8</v>
      </c>
      <c r="J15203" s="1" t="str">
        <f>"81/81"</f>
        <v>81/81</v>
      </c>
      <c r="K15203" s="1" t="str">
        <f>"2026-07-29 13:18:02"</f>
        <v>2026-07-29 13:18:02</v>
      </c>
      <c r="L15203" s="1" t="str">
        <f>"2018-06-15 15:22:45"</f>
        <v>2018-06-15 15:22:45</v>
      </c>
      <c r="M15203" s="1" t="s">
        <v>45</v>
      </c>
      <c r="N15203" s="1" t="s">
        <v>38</v>
      </c>
      <c r="O15203" s="1" t="s">
        <v>46</v>
      </c>
    </row>
    <row r="15204" spans="2:15" x14ac:dyDescent="0.3">
      <c r="B15204" s="1" t="s">
        <v>19</v>
      </c>
      <c r="C15204" s="1" t="str">
        <f>"3차"</f>
        <v>3차</v>
      </c>
      <c r="D15204" s="1" t="str">
        <f>"0129A49239"</f>
        <v>0129A49239</v>
      </c>
      <c r="E15204" s="1" t="s">
        <v>12</v>
      </c>
      <c r="F15204" s="1" t="str">
        <f>"10.107.120.206"</f>
        <v>10.107.120.206</v>
      </c>
      <c r="G15204" s="1" t="str">
        <f>"0129A492"</f>
        <v>0129A492</v>
      </c>
      <c r="H15204" s="1" t="str">
        <f>"화계지 56C3L3"</f>
        <v>화계지 56C3L3</v>
      </c>
      <c r="I15204" s="1" t="s">
        <v>8</v>
      </c>
      <c r="J15204" s="1" t="str">
        <f>"0/64"</f>
        <v>0/64</v>
      </c>
      <c r="K15204" s="1" t="str">
        <f>"2026-07-22 01:18:02"</f>
        <v>2026-07-22 01:18:02</v>
      </c>
      <c r="L15204" s="1" t="str">
        <f>"2018-06-16 09:18:33"</f>
        <v>2018-06-16 09:18:33</v>
      </c>
      <c r="M15204" s="1" t="s">
        <v>45</v>
      </c>
      <c r="N15204" s="1" t="s">
        <v>38</v>
      </c>
      <c r="O15204" s="1" t="s">
        <v>46</v>
      </c>
    </row>
    <row r="15205" spans="2:15" x14ac:dyDescent="0.3">
      <c r="B15205" s="1" t="s">
        <v>19</v>
      </c>
      <c r="C15205" s="1" t="str">
        <f>"3차"</f>
        <v>3차</v>
      </c>
      <c r="D15205" s="1" t="str">
        <f>"0129A50231"</f>
        <v>0129A50231</v>
      </c>
      <c r="E15205" s="1" t="s">
        <v>10</v>
      </c>
      <c r="F15205" s="1" t="str">
        <f>"10.12.134.111"</f>
        <v>10.12.134.111</v>
      </c>
      <c r="G15205" s="1" t="str">
        <f>"0129A502"</f>
        <v>0129A502</v>
      </c>
      <c r="H15205" s="1" t="str">
        <f>"삼원간 51R6R1"</f>
        <v>삼원간 51R6R1</v>
      </c>
      <c r="I15205" s="1" t="s">
        <v>8</v>
      </c>
      <c r="J15205" s="1" t="str">
        <f>"31/31"</f>
        <v>31/31</v>
      </c>
      <c r="K15205" s="1" t="str">
        <f>"2026-07-29 07:18:01"</f>
        <v>2026-07-29 07:18:01</v>
      </c>
      <c r="L15205" s="1" t="str">
        <f>"2018-06-20 17:24:13"</f>
        <v>2018-06-20 17:24:13</v>
      </c>
      <c r="M15205" s="1" t="s">
        <v>0</v>
      </c>
      <c r="N15205" s="1" t="s">
        <v>38</v>
      </c>
      <c r="O15205" s="1" t="s">
        <v>46</v>
      </c>
    </row>
    <row r="15206" spans="2:15" x14ac:dyDescent="0.3">
      <c r="B15206" s="1" t="s">
        <v>19</v>
      </c>
      <c r="C15206" s="1" t="str">
        <f>"3차"</f>
        <v>3차</v>
      </c>
      <c r="D15206" s="1" t="str">
        <f>"0129A50430"</f>
        <v>0129A50430</v>
      </c>
      <c r="E15206" s="1" t="s">
        <v>10</v>
      </c>
      <c r="F15206" s="1" t="str">
        <f>"10.107.123.203"</f>
        <v>10.107.123.203</v>
      </c>
      <c r="G15206" s="1" t="str">
        <f>"0129A504"</f>
        <v>0129A504</v>
      </c>
      <c r="H15206" s="1" t="str">
        <f>"삼원간 51R6"</f>
        <v>삼원간 51R6</v>
      </c>
      <c r="I15206" s="1" t="s">
        <v>8</v>
      </c>
      <c r="J15206" s="1" t="str">
        <f>"7/7"</f>
        <v>7/7</v>
      </c>
      <c r="K15206" s="1" t="str">
        <f>"2026-07-29 13:18:01"</f>
        <v>2026-07-29 13:18:01</v>
      </c>
      <c r="L15206" s="1" t="str">
        <f>"2018-02-13 14:35:45"</f>
        <v>2018-02-13 14:35:45</v>
      </c>
      <c r="M15206" s="1" t="s">
        <v>45</v>
      </c>
      <c r="N15206" s="1" t="s">
        <v>38</v>
      </c>
      <c r="O15206" s="1" t="s">
        <v>46</v>
      </c>
    </row>
    <row r="15207" spans="2:15" x14ac:dyDescent="0.3">
      <c r="B15207" s="1" t="s">
        <v>19</v>
      </c>
      <c r="C15207" s="1" t="str">
        <f>"3차"</f>
        <v>3차</v>
      </c>
      <c r="D15207" s="1" t="str">
        <f>"0129A51239"</f>
        <v>0129A51239</v>
      </c>
      <c r="E15207" s="1" t="s">
        <v>10</v>
      </c>
      <c r="F15207" s="1" t="str">
        <f>"10.107.123.201"</f>
        <v>10.107.123.201</v>
      </c>
      <c r="G15207" s="1" t="str">
        <f>"0129A512"</f>
        <v>0129A512</v>
      </c>
      <c r="H15207" s="1" t="str">
        <f>"삼원간 51R6R1R1"</f>
        <v>삼원간 51R6R1R1</v>
      </c>
      <c r="I15207" s="1" t="s">
        <v>8</v>
      </c>
      <c r="J15207" s="1" t="str">
        <f>"19/19"</f>
        <v>19/19</v>
      </c>
      <c r="K15207" s="1" t="str">
        <f>"2026-07-29 13:18:01"</f>
        <v>2026-07-29 13:18:01</v>
      </c>
      <c r="L15207" s="1" t="str">
        <f>"2018-06-22 11:17:18"</f>
        <v>2018-06-22 11:17:18</v>
      </c>
      <c r="M15207" s="1" t="s">
        <v>45</v>
      </c>
      <c r="N15207" s="1" t="s">
        <v>38</v>
      </c>
      <c r="O15207" s="1" t="s">
        <v>46</v>
      </c>
    </row>
    <row r="15208" spans="2:15" x14ac:dyDescent="0.3">
      <c r="B15208" s="1" t="s">
        <v>19</v>
      </c>
      <c r="C15208" s="1" t="str">
        <f>"4차"</f>
        <v>4차</v>
      </c>
      <c r="D15208" s="1" t="str">
        <f>"0129A51339"</f>
        <v>0129A51339</v>
      </c>
      <c r="E15208" s="1" t="s">
        <v>10</v>
      </c>
      <c r="F15208" s="1" t="str">
        <f>"10.107.123.202"</f>
        <v>10.107.123.202</v>
      </c>
      <c r="G15208" s="1" t="str">
        <f>"0129A513"</f>
        <v>0129A513</v>
      </c>
      <c r="H15208" s="1" t="str">
        <f>"삼원간 51R6R1R2"</f>
        <v>삼원간 51R6R1R2</v>
      </c>
      <c r="I15208" s="1" t="s">
        <v>8</v>
      </c>
      <c r="J15208" s="1" t="str">
        <f>"34/34"</f>
        <v>34/34</v>
      </c>
      <c r="K15208" s="1" t="str">
        <f>"2026-07-29 13:18:01"</f>
        <v>2026-07-29 13:18:01</v>
      </c>
      <c r="L15208" s="1" t="str">
        <f>"2018-02-13 14:11:57"</f>
        <v>2018-02-13 14:11:57</v>
      </c>
      <c r="M15208" s="1" t="s">
        <v>45</v>
      </c>
      <c r="N15208" s="1" t="s">
        <v>38</v>
      </c>
      <c r="O15208" s="1" t="s">
        <v>46</v>
      </c>
    </row>
    <row r="15209" spans="2:15" x14ac:dyDescent="0.3">
      <c r="B15209" s="1" t="s">
        <v>19</v>
      </c>
      <c r="C15209" s="1" t="str">
        <f t="shared" ref="C15209:C15221" si="771">"3차"</f>
        <v>3차</v>
      </c>
      <c r="D15209" s="1" t="str">
        <f>"0129A53239"</f>
        <v>0129A53239</v>
      </c>
      <c r="E15209" s="1" t="s">
        <v>10</v>
      </c>
      <c r="F15209" s="1" t="str">
        <f>"10.107.123.214"</f>
        <v>10.107.123.214</v>
      </c>
      <c r="G15209" s="1" t="str">
        <f>"0129A532"</f>
        <v>0129A532</v>
      </c>
      <c r="H15209" s="1" t="str">
        <f>"화계지 56C12L3"</f>
        <v>화계지 56C12L3</v>
      </c>
      <c r="I15209" s="1" t="s">
        <v>8</v>
      </c>
      <c r="J15209" s="1" t="str">
        <f>"79/79"</f>
        <v>79/79</v>
      </c>
      <c r="K15209" s="1" t="str">
        <f>"2026-07-29 13:18:01"</f>
        <v>2026-07-29 13:18:01</v>
      </c>
      <c r="L15209" s="1" t="str">
        <f>"2018-06-15 12:22:11"</f>
        <v>2018-06-15 12:22:11</v>
      </c>
      <c r="M15209" s="1" t="s">
        <v>45</v>
      </c>
      <c r="N15209" s="1" t="s">
        <v>38</v>
      </c>
      <c r="O15209" s="1" t="s">
        <v>46</v>
      </c>
    </row>
    <row r="15210" spans="2:15" x14ac:dyDescent="0.3">
      <c r="B15210" s="1" t="s">
        <v>19</v>
      </c>
      <c r="C15210" s="1" t="str">
        <f t="shared" si="771"/>
        <v>3차</v>
      </c>
      <c r="D15210" s="1" t="str">
        <f>"0129A53339"</f>
        <v>0129A53339</v>
      </c>
      <c r="E15210" s="1" t="s">
        <v>10</v>
      </c>
      <c r="F15210" s="1" t="str">
        <f>"10.107.123.215"</f>
        <v>10.107.123.215</v>
      </c>
      <c r="G15210" s="1" t="str">
        <f>"0129A533"</f>
        <v>0129A533</v>
      </c>
      <c r="H15210" s="1" t="str">
        <f>"화계지 56C16"</f>
        <v>화계지 56C16</v>
      </c>
      <c r="I15210" s="1" t="s">
        <v>8</v>
      </c>
      <c r="J15210" s="1" t="str">
        <f>"57/57"</f>
        <v>57/57</v>
      </c>
      <c r="K15210" s="1" t="str">
        <f>"2026-07-29 13:18:01"</f>
        <v>2026-07-29 13:18:01</v>
      </c>
      <c r="L15210" s="1" t="str">
        <f>"2018-06-15 14:21:59"</f>
        <v>2018-06-15 14:21:59</v>
      </c>
      <c r="M15210" s="1" t="s">
        <v>45</v>
      </c>
      <c r="N15210" s="1" t="s">
        <v>38</v>
      </c>
      <c r="O15210" s="1" t="s">
        <v>46</v>
      </c>
    </row>
    <row r="15211" spans="2:15" x14ac:dyDescent="0.3">
      <c r="B15211" s="1" t="s">
        <v>19</v>
      </c>
      <c r="C15211" s="1" t="str">
        <f t="shared" si="771"/>
        <v>3차</v>
      </c>
      <c r="D15211" s="1" t="str">
        <f>"0129A56139"</f>
        <v>0129A56139</v>
      </c>
      <c r="E15211" s="1" t="s">
        <v>10</v>
      </c>
      <c r="F15211" s="1" t="str">
        <f>"10.107.120.207"</f>
        <v>10.107.120.207</v>
      </c>
      <c r="G15211" s="1" t="str">
        <f>"0129A561"</f>
        <v>0129A561</v>
      </c>
      <c r="H15211" s="1" t="str">
        <f>"화계지 56C5L9"</f>
        <v>화계지 56C5L9</v>
      </c>
      <c r="I15211" s="1" t="s">
        <v>8</v>
      </c>
      <c r="J15211" s="1" t="str">
        <f>"45/45"</f>
        <v>45/45</v>
      </c>
      <c r="K15211" s="1" t="str">
        <f>"2026-07-29 13:18:02"</f>
        <v>2026-07-29 13:18:02</v>
      </c>
      <c r="L15211" s="1" t="str">
        <f>"2018-06-16 08:35:11"</f>
        <v>2018-06-16 08:35:11</v>
      </c>
      <c r="M15211" s="1" t="s">
        <v>45</v>
      </c>
      <c r="N15211" s="1" t="s">
        <v>38</v>
      </c>
      <c r="O15211" s="1" t="s">
        <v>46</v>
      </c>
    </row>
    <row r="15212" spans="2:15" x14ac:dyDescent="0.3">
      <c r="B15212" s="1" t="s">
        <v>19</v>
      </c>
      <c r="C15212" s="1" t="str">
        <f t="shared" si="771"/>
        <v>3차</v>
      </c>
      <c r="D15212" s="1" t="str">
        <f>"0129A57131"</f>
        <v>0129A57131</v>
      </c>
      <c r="E15212" s="1" t="s">
        <v>10</v>
      </c>
      <c r="F15212" s="1" t="str">
        <f>"10.107.120.202"</f>
        <v>10.107.120.202</v>
      </c>
      <c r="G15212" s="1" t="str">
        <f>"0129A571"</f>
        <v>0129A571</v>
      </c>
      <c r="H15212" s="1" t="str">
        <f>"화계지 56C5L5"</f>
        <v>화계지 56C5L5</v>
      </c>
      <c r="I15212" s="1" t="s">
        <v>8</v>
      </c>
      <c r="J15212" s="1" t="str">
        <f>"41/43"</f>
        <v>41/43</v>
      </c>
      <c r="K15212" s="1" t="str">
        <f>"2026-07-29 13:18:02"</f>
        <v>2026-07-29 13:18:02</v>
      </c>
      <c r="L15212" s="1" t="str">
        <f>"2018-06-15 15:31:45"</f>
        <v>2018-06-15 15:31:45</v>
      </c>
      <c r="M15212" s="1" t="s">
        <v>45</v>
      </c>
      <c r="N15212" s="1" t="s">
        <v>38</v>
      </c>
      <c r="O15212" s="1" t="s">
        <v>46</v>
      </c>
    </row>
    <row r="15213" spans="2:15" x14ac:dyDescent="0.3">
      <c r="B15213" s="1" t="s">
        <v>19</v>
      </c>
      <c r="C15213" s="1" t="str">
        <f t="shared" si="771"/>
        <v>3차</v>
      </c>
      <c r="D15213" s="1" t="str">
        <f>"0129A59139"</f>
        <v>0129A59139</v>
      </c>
      <c r="E15213" s="1" t="s">
        <v>10</v>
      </c>
      <c r="F15213" s="1" t="str">
        <f>"10.107.120.208"</f>
        <v>10.107.120.208</v>
      </c>
      <c r="G15213" s="1" t="str">
        <f>"0129A591"</f>
        <v>0129A591</v>
      </c>
      <c r="H15213" s="1" t="str">
        <f>"화계지 56C3L5"</f>
        <v>화계지 56C3L5</v>
      </c>
      <c r="I15213" s="1" t="s">
        <v>8</v>
      </c>
      <c r="J15213" s="1" t="str">
        <f>"54/56"</f>
        <v>54/56</v>
      </c>
      <c r="K15213" s="1" t="str">
        <f>"2026-07-29 13:18:02"</f>
        <v>2026-07-29 13:18:02</v>
      </c>
      <c r="L15213" s="1" t="str">
        <f>"2018-06-16 09:21:24"</f>
        <v>2018-06-16 09:21:24</v>
      </c>
      <c r="M15213" s="1" t="s">
        <v>45</v>
      </c>
      <c r="N15213" s="1" t="s">
        <v>38</v>
      </c>
      <c r="O15213" s="1" t="s">
        <v>46</v>
      </c>
    </row>
    <row r="15214" spans="2:15" x14ac:dyDescent="0.3">
      <c r="B15214" s="1" t="s">
        <v>19</v>
      </c>
      <c r="C15214" s="1" t="str">
        <f t="shared" si="771"/>
        <v>3차</v>
      </c>
      <c r="D15214" s="1" t="str">
        <f>"0129A60239"</f>
        <v>0129A60239</v>
      </c>
      <c r="E15214" s="1" t="s">
        <v>10</v>
      </c>
      <c r="F15214" s="1" t="str">
        <f>"10.107.123.199"</f>
        <v>10.107.123.199</v>
      </c>
      <c r="G15214" s="1" t="str">
        <f>"0129A602"</f>
        <v>0129A602</v>
      </c>
      <c r="H15214" s="1" t="str">
        <f>"삼원간 51R6B1"</f>
        <v>삼원간 51R6B1</v>
      </c>
      <c r="I15214" s="1" t="s">
        <v>8</v>
      </c>
      <c r="J15214" s="1" t="str">
        <f>"56/56"</f>
        <v>56/56</v>
      </c>
      <c r="K15214" s="1" t="str">
        <f>"2026-07-29 13:18:02"</f>
        <v>2026-07-29 13:18:02</v>
      </c>
      <c r="L15214" s="1" t="str">
        <f>"2018-02-13 14:06:34"</f>
        <v>2018-02-13 14:06:34</v>
      </c>
      <c r="M15214" s="1" t="s">
        <v>45</v>
      </c>
      <c r="N15214" s="1" t="s">
        <v>38</v>
      </c>
      <c r="O15214" s="1" t="s">
        <v>46</v>
      </c>
    </row>
    <row r="15215" spans="2:15" x14ac:dyDescent="0.3">
      <c r="B15215" s="1" t="s">
        <v>19</v>
      </c>
      <c r="C15215" s="1" t="str">
        <f t="shared" si="771"/>
        <v>3차</v>
      </c>
      <c r="D15215" s="1" t="str">
        <f>"0129A60439"</f>
        <v>0129A60439</v>
      </c>
      <c r="E15215" s="1" t="s">
        <v>10</v>
      </c>
      <c r="F15215" s="1" t="str">
        <f>"10.107.123.198"</f>
        <v>10.107.123.198</v>
      </c>
      <c r="G15215" s="1" t="str">
        <f>"0129A604"</f>
        <v>0129A604</v>
      </c>
      <c r="H15215" s="1" t="str">
        <f>"삼원간 51R5"</f>
        <v>삼원간 51R5</v>
      </c>
      <c r="I15215" s="1" t="s">
        <v>8</v>
      </c>
      <c r="J15215" s="1" t="str">
        <f>"15/15"</f>
        <v>15/15</v>
      </c>
      <c r="K15215" s="1" t="str">
        <f t="shared" ref="K15215:K15230" si="772">"2026-07-29 13:18:01"</f>
        <v>2026-07-29 13:18:01</v>
      </c>
      <c r="L15215" s="1" t="str">
        <f>"2021-07-21 13:43:09"</f>
        <v>2021-07-21 13:43:09</v>
      </c>
      <c r="M15215" s="1" t="s">
        <v>45</v>
      </c>
      <c r="N15215" s="1" t="s">
        <v>38</v>
      </c>
      <c r="O15215" s="1" t="s">
        <v>46</v>
      </c>
    </row>
    <row r="15216" spans="2:15" x14ac:dyDescent="0.3">
      <c r="B15216" s="1" t="s">
        <v>19</v>
      </c>
      <c r="C15216" s="1" t="str">
        <f t="shared" si="771"/>
        <v>3차</v>
      </c>
      <c r="D15216" s="1" t="str">
        <f>"0129A61239"</f>
        <v>0129A61239</v>
      </c>
      <c r="E15216" s="1" t="s">
        <v>10</v>
      </c>
      <c r="F15216" s="1" t="str">
        <f>"10.107.123.200"</f>
        <v>10.107.123.200</v>
      </c>
      <c r="G15216" s="1" t="str">
        <f>"0129A612"</f>
        <v>0129A612</v>
      </c>
      <c r="H15216" s="1" t="str">
        <f>"삼원간 51R6B2"</f>
        <v>삼원간 51R6B2</v>
      </c>
      <c r="I15216" s="1" t="s">
        <v>8</v>
      </c>
      <c r="J15216" s="1" t="str">
        <f>"61/66"</f>
        <v>61/66</v>
      </c>
      <c r="K15216" s="1" t="str">
        <f t="shared" si="772"/>
        <v>2026-07-29 13:18:01</v>
      </c>
      <c r="L15216" s="1" t="str">
        <f>"2018-02-13 14:51:48"</f>
        <v>2018-02-13 14:51:48</v>
      </c>
      <c r="M15216" s="1" t="s">
        <v>45</v>
      </c>
      <c r="N15216" s="1" t="s">
        <v>38</v>
      </c>
      <c r="O15216" s="1" t="s">
        <v>46</v>
      </c>
    </row>
    <row r="15217" spans="2:15" x14ac:dyDescent="0.3">
      <c r="B15217" s="1" t="s">
        <v>19</v>
      </c>
      <c r="C15217" s="1" t="str">
        <f t="shared" si="771"/>
        <v>3차</v>
      </c>
      <c r="D15217" s="1" t="str">
        <f>"0129A62239"</f>
        <v>0129A62239</v>
      </c>
      <c r="E15217" s="1" t="s">
        <v>10</v>
      </c>
      <c r="F15217" s="1" t="str">
        <f>"10.107.123.216"</f>
        <v>10.107.123.216</v>
      </c>
      <c r="G15217" s="1" t="str">
        <f>"0129A622"</f>
        <v>0129A622</v>
      </c>
      <c r="H15217" s="1" t="str">
        <f>"화계지 56C17"</f>
        <v>화계지 56C17</v>
      </c>
      <c r="I15217" s="1" t="s">
        <v>8</v>
      </c>
      <c r="J15217" s="1" t="str">
        <f>"38/38"</f>
        <v>38/38</v>
      </c>
      <c r="K15217" s="1" t="str">
        <f t="shared" si="772"/>
        <v>2026-07-29 13:18:01</v>
      </c>
      <c r="L15217" s="1" t="str">
        <f>"2018-06-15 14:41:27"</f>
        <v>2018-06-15 14:41:27</v>
      </c>
      <c r="M15217" s="1" t="s">
        <v>45</v>
      </c>
      <c r="N15217" s="1" t="s">
        <v>38</v>
      </c>
      <c r="O15217" s="1" t="s">
        <v>46</v>
      </c>
    </row>
    <row r="15218" spans="2:15" x14ac:dyDescent="0.3">
      <c r="B15218" s="1" t="s">
        <v>19</v>
      </c>
      <c r="C15218" s="1" t="str">
        <f t="shared" si="771"/>
        <v>3차</v>
      </c>
      <c r="D15218" s="1" t="str">
        <f>"0129A64139"</f>
        <v>0129A64139</v>
      </c>
      <c r="E15218" s="1" t="s">
        <v>10</v>
      </c>
      <c r="F15218" s="1" t="str">
        <f>"10.107.123.217"</f>
        <v>10.107.123.217</v>
      </c>
      <c r="G15218" s="1" t="str">
        <f>"0129A641"</f>
        <v>0129A641</v>
      </c>
      <c r="H15218" s="1" t="str">
        <f>"삼원간 49R5"</f>
        <v>삼원간 49R5</v>
      </c>
      <c r="I15218" s="1" t="s">
        <v>8</v>
      </c>
      <c r="J15218" s="1" t="str">
        <f>"53/53"</f>
        <v>53/53</v>
      </c>
      <c r="K15218" s="1" t="str">
        <f t="shared" si="772"/>
        <v>2026-07-29 13:18:01</v>
      </c>
      <c r="L15218" s="1" t="str">
        <f>"2018-06-11 15:11:36"</f>
        <v>2018-06-11 15:11:36</v>
      </c>
      <c r="M15218" s="1" t="s">
        <v>45</v>
      </c>
      <c r="N15218" s="1" t="s">
        <v>38</v>
      </c>
      <c r="O15218" s="1" t="s">
        <v>46</v>
      </c>
    </row>
    <row r="15219" spans="2:15" x14ac:dyDescent="0.3">
      <c r="B15219" s="1" t="s">
        <v>19</v>
      </c>
      <c r="C15219" s="1" t="str">
        <f t="shared" si="771"/>
        <v>3차</v>
      </c>
      <c r="D15219" s="1" t="str">
        <f>"0129A64239"</f>
        <v>0129A64239</v>
      </c>
      <c r="E15219" s="1" t="s">
        <v>10</v>
      </c>
      <c r="F15219" s="1" t="str">
        <f>"10.107.123.218"</f>
        <v>10.107.123.218</v>
      </c>
      <c r="G15219" s="1" t="str">
        <f>"0129A642"</f>
        <v>0129A642</v>
      </c>
      <c r="H15219" s="1" t="str">
        <f>"삼원간 50R6"</f>
        <v>삼원간 50R6</v>
      </c>
      <c r="I15219" s="1" t="s">
        <v>8</v>
      </c>
      <c r="J15219" s="1" t="str">
        <f>"34/34"</f>
        <v>34/34</v>
      </c>
      <c r="K15219" s="1" t="str">
        <f t="shared" si="772"/>
        <v>2026-07-29 13:18:01</v>
      </c>
      <c r="L15219" s="1" t="str">
        <f>"2018-06-16 12:56:44"</f>
        <v>2018-06-16 12:56:44</v>
      </c>
      <c r="M15219" s="1" t="s">
        <v>45</v>
      </c>
      <c r="N15219" s="1" t="s">
        <v>38</v>
      </c>
      <c r="O15219" s="1" t="s">
        <v>46</v>
      </c>
    </row>
    <row r="15220" spans="2:15" x14ac:dyDescent="0.3">
      <c r="B15220" s="1" t="s">
        <v>19</v>
      </c>
      <c r="C15220" s="1" t="str">
        <f t="shared" si="771"/>
        <v>3차</v>
      </c>
      <c r="D15220" s="1" t="str">
        <f>"0129A66239"</f>
        <v>0129A66239</v>
      </c>
      <c r="E15220" s="1" t="s">
        <v>10</v>
      </c>
      <c r="F15220" s="1" t="str">
        <f>"10.107.120.209"</f>
        <v>10.107.120.209</v>
      </c>
      <c r="G15220" s="1" t="str">
        <f>"0129A662"</f>
        <v>0129A662</v>
      </c>
      <c r="H15220" s="1" t="str">
        <f>"화계지 56C5L8"</f>
        <v>화계지 56C5L8</v>
      </c>
      <c r="I15220" s="1" t="s">
        <v>8</v>
      </c>
      <c r="J15220" s="1" t="str">
        <f>"67/68"</f>
        <v>67/68</v>
      </c>
      <c r="K15220" s="1" t="str">
        <f t="shared" si="772"/>
        <v>2026-07-29 13:18:01</v>
      </c>
      <c r="L15220" s="1" t="str">
        <f>"2018-06-16 08:26:27"</f>
        <v>2018-06-16 08:26:27</v>
      </c>
      <c r="M15220" s="1" t="s">
        <v>45</v>
      </c>
      <c r="N15220" s="1" t="s">
        <v>38</v>
      </c>
      <c r="O15220" s="1" t="s">
        <v>46</v>
      </c>
    </row>
    <row r="15221" spans="2:15" x14ac:dyDescent="0.3">
      <c r="B15221" s="1" t="s">
        <v>19</v>
      </c>
      <c r="C15221" s="1" t="str">
        <f t="shared" si="771"/>
        <v>3차</v>
      </c>
      <c r="D15221" s="1" t="str">
        <f>"0129A66539"</f>
        <v>0129A66539</v>
      </c>
      <c r="E15221" s="1" t="s">
        <v>10</v>
      </c>
      <c r="F15221" s="1" t="str">
        <f>"10.107.120.210"</f>
        <v>10.107.120.210</v>
      </c>
      <c r="G15221" s="1" t="str">
        <f>"0129A665"</f>
        <v>0129A665</v>
      </c>
      <c r="H15221" s="1" t="str">
        <f>"화계지 56C5L7"</f>
        <v>화계지 56C5L7</v>
      </c>
      <c r="I15221" s="1" t="s">
        <v>8</v>
      </c>
      <c r="J15221" s="1" t="str">
        <f>"71/71"</f>
        <v>71/71</v>
      </c>
      <c r="K15221" s="1" t="str">
        <f t="shared" si="772"/>
        <v>2026-07-29 13:18:01</v>
      </c>
      <c r="L15221" s="1" t="str">
        <f>"2018-06-16 08:28:36"</f>
        <v>2018-06-16 08:28:36</v>
      </c>
      <c r="M15221" s="1" t="s">
        <v>45</v>
      </c>
      <c r="N15221" s="1" t="s">
        <v>38</v>
      </c>
      <c r="O15221" s="1" t="s">
        <v>46</v>
      </c>
    </row>
    <row r="15222" spans="2:15" x14ac:dyDescent="0.3">
      <c r="B15222" s="1" t="s">
        <v>19</v>
      </c>
      <c r="C15222" s="1" t="str">
        <f>"4차"</f>
        <v>4차</v>
      </c>
      <c r="D15222" s="1" t="str">
        <f>"0129A68239"</f>
        <v>0129A68239</v>
      </c>
      <c r="E15222" s="1" t="s">
        <v>10</v>
      </c>
      <c r="F15222" s="1" t="str">
        <f>"10.107.120.216"</f>
        <v>10.107.120.216</v>
      </c>
      <c r="G15222" s="1" t="str">
        <f>"0129A682"</f>
        <v>0129A682</v>
      </c>
      <c r="H15222" s="1" t="str">
        <f>"화계지 56L7R6"</f>
        <v>화계지 56L7R6</v>
      </c>
      <c r="I15222" s="1" t="s">
        <v>8</v>
      </c>
      <c r="J15222" s="1" t="str">
        <f>"110/110"</f>
        <v>110/110</v>
      </c>
      <c r="K15222" s="1" t="str">
        <f t="shared" si="772"/>
        <v>2026-07-29 13:18:01</v>
      </c>
      <c r="L15222" s="1" t="str">
        <f>"2018-06-16 08:08:56"</f>
        <v>2018-06-16 08:08:56</v>
      </c>
      <c r="M15222" s="1" t="s">
        <v>45</v>
      </c>
      <c r="N15222" s="1" t="s">
        <v>38</v>
      </c>
      <c r="O15222" s="1" t="s">
        <v>46</v>
      </c>
    </row>
    <row r="15223" spans="2:15" x14ac:dyDescent="0.3">
      <c r="B15223" s="1" t="s">
        <v>19</v>
      </c>
      <c r="C15223" s="1" t="str">
        <f>"3차"</f>
        <v>3차</v>
      </c>
      <c r="D15223" s="1" t="str">
        <f>"0129A69131"</f>
        <v>0129A69131</v>
      </c>
      <c r="E15223" s="1" t="s">
        <v>10</v>
      </c>
      <c r="F15223" s="1" t="str">
        <f>"10.107.120.221"</f>
        <v>10.107.120.221</v>
      </c>
      <c r="G15223" s="1" t="str">
        <f>"0129A691"</f>
        <v>0129A691</v>
      </c>
      <c r="H15223" s="1" t="str">
        <f>"화계지 56L5R3"</f>
        <v>화계지 56L5R3</v>
      </c>
      <c r="I15223" s="1" t="s">
        <v>8</v>
      </c>
      <c r="J15223" s="1" t="str">
        <f>"97/97"</f>
        <v>97/97</v>
      </c>
      <c r="K15223" s="1" t="str">
        <f t="shared" si="772"/>
        <v>2026-07-29 13:18:01</v>
      </c>
      <c r="L15223" s="1" t="str">
        <f>"2018-06-16 10:11:12"</f>
        <v>2018-06-16 10:11:12</v>
      </c>
      <c r="M15223" s="1" t="s">
        <v>45</v>
      </c>
      <c r="N15223" s="1" t="s">
        <v>38</v>
      </c>
      <c r="O15223" s="1" t="s">
        <v>46</v>
      </c>
    </row>
    <row r="15224" spans="2:15" x14ac:dyDescent="0.3">
      <c r="B15224" s="1" t="s">
        <v>19</v>
      </c>
      <c r="C15224" s="1" t="str">
        <f>"4차"</f>
        <v>4차</v>
      </c>
      <c r="D15224" s="1" t="str">
        <f>"0129A71239"</f>
        <v>0129A71239</v>
      </c>
      <c r="E15224" s="1" t="s">
        <v>10</v>
      </c>
      <c r="F15224" s="1" t="str">
        <f>"10.107.123.197"</f>
        <v>10.107.123.197</v>
      </c>
      <c r="G15224" s="1" t="str">
        <f>"0129A712"</f>
        <v>0129A712</v>
      </c>
      <c r="H15224" s="1" t="str">
        <f>"삼원간 51R4"</f>
        <v>삼원간 51R4</v>
      </c>
      <c r="I15224" s="1" t="s">
        <v>8</v>
      </c>
      <c r="J15224" s="1" t="str">
        <f>"89/90"</f>
        <v>89/90</v>
      </c>
      <c r="K15224" s="1" t="str">
        <f t="shared" si="772"/>
        <v>2026-07-29 13:18:01</v>
      </c>
      <c r="L15224" s="1" t="str">
        <f>"2021-07-21 14:27:39"</f>
        <v>2021-07-21 14:27:39</v>
      </c>
      <c r="M15224" s="1" t="s">
        <v>45</v>
      </c>
      <c r="N15224" s="1" t="s">
        <v>38</v>
      </c>
      <c r="O15224" s="1" t="s">
        <v>46</v>
      </c>
    </row>
    <row r="15225" spans="2:15" x14ac:dyDescent="0.3">
      <c r="B15225" s="1" t="s">
        <v>19</v>
      </c>
      <c r="C15225" s="1" t="str">
        <f>"3차"</f>
        <v>3차</v>
      </c>
      <c r="D15225" s="1" t="str">
        <f>"0129A72139"</f>
        <v>0129A72139</v>
      </c>
      <c r="E15225" s="1" t="s">
        <v>10</v>
      </c>
      <c r="F15225" s="1" t="str">
        <f>"10.107.123.83"</f>
        <v>10.107.123.83</v>
      </c>
      <c r="G15225" s="1" t="str">
        <f>"0129A721"</f>
        <v>0129A721</v>
      </c>
      <c r="H15225" s="1" t="str">
        <f>"삼원간 51R2R1"</f>
        <v>삼원간 51R2R1</v>
      </c>
      <c r="I15225" s="1" t="s">
        <v>8</v>
      </c>
      <c r="J15225" s="1" t="str">
        <f>"36/37"</f>
        <v>36/37</v>
      </c>
      <c r="K15225" s="1" t="str">
        <f t="shared" si="772"/>
        <v>2026-07-29 13:18:01</v>
      </c>
      <c r="L15225" s="1" t="str">
        <f>"2018-02-13 14:08:12"</f>
        <v>2018-02-13 14:08:12</v>
      </c>
      <c r="M15225" s="1" t="s">
        <v>45</v>
      </c>
      <c r="N15225" s="1" t="s">
        <v>38</v>
      </c>
      <c r="O15225" s="1" t="s">
        <v>46</v>
      </c>
    </row>
    <row r="15226" spans="2:15" x14ac:dyDescent="0.3">
      <c r="B15226" s="1" t="s">
        <v>19</v>
      </c>
      <c r="C15226" s="1" t="str">
        <f>"3차"</f>
        <v>3차</v>
      </c>
      <c r="D15226" s="1" t="str">
        <f>"0129A74139"</f>
        <v>0129A74139</v>
      </c>
      <c r="E15226" s="1" t="s">
        <v>10</v>
      </c>
      <c r="F15226" s="1" t="str">
        <f>"10.107.123.219"</f>
        <v>10.107.123.219</v>
      </c>
      <c r="G15226" s="1" t="str">
        <f>"0129A741"</f>
        <v>0129A741</v>
      </c>
      <c r="H15226" s="1" t="str">
        <f>"삼원간 50R5"</f>
        <v>삼원간 50R5</v>
      </c>
      <c r="I15226" s="1" t="s">
        <v>8</v>
      </c>
      <c r="J15226" s="1" t="str">
        <f>"19/19"</f>
        <v>19/19</v>
      </c>
      <c r="K15226" s="1" t="str">
        <f t="shared" si="772"/>
        <v>2026-07-29 13:18:01</v>
      </c>
      <c r="L15226" s="1" t="str">
        <f>"2018-06-16 12:48:10"</f>
        <v>2018-06-16 12:48:10</v>
      </c>
      <c r="M15226" s="1" t="s">
        <v>45</v>
      </c>
      <c r="N15226" s="1" t="s">
        <v>38</v>
      </c>
      <c r="O15226" s="1" t="s">
        <v>46</v>
      </c>
    </row>
    <row r="15227" spans="2:15" x14ac:dyDescent="0.3">
      <c r="B15227" s="1" t="s">
        <v>19</v>
      </c>
      <c r="C15227" s="1" t="str">
        <f>"3차"</f>
        <v>3차</v>
      </c>
      <c r="D15227" s="1" t="str">
        <f>"0129A74239"</f>
        <v>0129A74239</v>
      </c>
      <c r="E15227" s="1" t="s">
        <v>10</v>
      </c>
      <c r="F15227" s="1" t="str">
        <f>"10.107.123.220"</f>
        <v>10.107.123.220</v>
      </c>
      <c r="G15227" s="1" t="str">
        <f>"0129A742"</f>
        <v>0129A742</v>
      </c>
      <c r="H15227" s="1" t="str">
        <f>"삼원간 50R4"</f>
        <v>삼원간 50R4</v>
      </c>
      <c r="I15227" s="1" t="s">
        <v>8</v>
      </c>
      <c r="J15227" s="1" t="str">
        <f>"50/51"</f>
        <v>50/51</v>
      </c>
      <c r="K15227" s="1" t="str">
        <f t="shared" si="772"/>
        <v>2026-07-29 13:18:01</v>
      </c>
      <c r="L15227" s="1" t="str">
        <f>"2018-06-16 12:42:28"</f>
        <v>2018-06-16 12:42:28</v>
      </c>
      <c r="M15227" s="1" t="s">
        <v>45</v>
      </c>
      <c r="N15227" s="1" t="s">
        <v>38</v>
      </c>
      <c r="O15227" s="1" t="s">
        <v>46</v>
      </c>
    </row>
    <row r="15228" spans="2:15" x14ac:dyDescent="0.3">
      <c r="B15228" s="1" t="s">
        <v>19</v>
      </c>
      <c r="C15228" s="1" t="str">
        <f>"4차"</f>
        <v>4차</v>
      </c>
      <c r="D15228" s="1" t="str">
        <f>"0129A75239"</f>
        <v>0129A75239</v>
      </c>
      <c r="E15228" s="1" t="s">
        <v>10</v>
      </c>
      <c r="F15228" s="1" t="str">
        <f>"10.107.123.221"</f>
        <v>10.107.123.221</v>
      </c>
      <c r="G15228" s="1" t="str">
        <f>"0129A752"</f>
        <v>0129A752</v>
      </c>
      <c r="H15228" s="1" t="str">
        <f>"삼원간 49R3"</f>
        <v>삼원간 49R3</v>
      </c>
      <c r="I15228" s="1" t="s">
        <v>8</v>
      </c>
      <c r="J15228" s="1" t="str">
        <f>"80/84"</f>
        <v>80/84</v>
      </c>
      <c r="K15228" s="1" t="str">
        <f t="shared" si="772"/>
        <v>2026-07-29 13:18:01</v>
      </c>
      <c r="L15228" s="1" t="str">
        <f>"2018-06-11 15:04:14"</f>
        <v>2018-06-11 15:04:14</v>
      </c>
      <c r="M15228" s="1" t="s">
        <v>45</v>
      </c>
      <c r="N15228" s="1" t="s">
        <v>38</v>
      </c>
      <c r="O15228" s="1" t="s">
        <v>46</v>
      </c>
    </row>
    <row r="15229" spans="2:15" x14ac:dyDescent="0.3">
      <c r="B15229" s="1" t="s">
        <v>19</v>
      </c>
      <c r="C15229" s="1" t="str">
        <f>"3차"</f>
        <v>3차</v>
      </c>
      <c r="D15229" s="1" t="str">
        <f>"0129A77139"</f>
        <v>0129A77139</v>
      </c>
      <c r="E15229" s="1" t="s">
        <v>10</v>
      </c>
      <c r="F15229" s="1" t="str">
        <f>"10.107.120.217"</f>
        <v>10.107.120.217</v>
      </c>
      <c r="G15229" s="1" t="str">
        <f>"0129A771"</f>
        <v>0129A771</v>
      </c>
      <c r="H15229" s="1" t="str">
        <f>"화계지 56L7R7"</f>
        <v>화계지 56L7R7</v>
      </c>
      <c r="I15229" s="1" t="s">
        <v>8</v>
      </c>
      <c r="J15229" s="1" t="str">
        <f>"48/79"</f>
        <v>48/79</v>
      </c>
      <c r="K15229" s="1" t="str">
        <f t="shared" si="772"/>
        <v>2026-07-29 13:18:01</v>
      </c>
      <c r="L15229" s="1" t="str">
        <f>"2018-06-16 08:19:56"</f>
        <v>2018-06-16 08:19:56</v>
      </c>
      <c r="M15229" s="1" t="s">
        <v>45</v>
      </c>
      <c r="N15229" s="1" t="s">
        <v>38</v>
      </c>
      <c r="O15229" s="1" t="s">
        <v>46</v>
      </c>
    </row>
    <row r="15230" spans="2:15" x14ac:dyDescent="0.3">
      <c r="B15230" s="1" t="s">
        <v>19</v>
      </c>
      <c r="C15230" s="1" t="str">
        <f>"4차"</f>
        <v>4차</v>
      </c>
      <c r="D15230" s="1" t="str">
        <f>"0129A79139"</f>
        <v>0129A79139</v>
      </c>
      <c r="E15230" s="1" t="s">
        <v>10</v>
      </c>
      <c r="F15230" s="1" t="str">
        <f>"10.107.120.218"</f>
        <v>10.107.120.218</v>
      </c>
      <c r="G15230" s="1" t="str">
        <f>"0129A791"</f>
        <v>0129A791</v>
      </c>
      <c r="H15230" s="1" t="str">
        <f>"화계지 56L7R4"</f>
        <v>화계지 56L7R4</v>
      </c>
      <c r="I15230" s="1" t="s">
        <v>8</v>
      </c>
      <c r="J15230" s="1" t="str">
        <f>"86/99"</f>
        <v>86/99</v>
      </c>
      <c r="K15230" s="1" t="str">
        <f t="shared" si="772"/>
        <v>2026-07-29 13:18:01</v>
      </c>
      <c r="L15230" s="1" t="str">
        <f>"2018-06-16 08:05:59"</f>
        <v>2018-06-16 08:05:59</v>
      </c>
      <c r="M15230" s="1" t="s">
        <v>45</v>
      </c>
      <c r="N15230" s="1" t="s">
        <v>38</v>
      </c>
      <c r="O15230" s="1" t="s">
        <v>46</v>
      </c>
    </row>
    <row r="15231" spans="2:15" x14ac:dyDescent="0.3">
      <c r="B15231" s="1" t="s">
        <v>19</v>
      </c>
      <c r="C15231" s="1" t="str">
        <f>"6차"</f>
        <v>6차</v>
      </c>
      <c r="D15231" s="1" t="str">
        <f>"0129A8026S"</f>
        <v>0129A8026S</v>
      </c>
      <c r="E15231" s="1" t="s">
        <v>10</v>
      </c>
      <c r="F15231" s="1" t="str">
        <f>"fde3:102:1410:1300:0:0:0:1a"</f>
        <v>fde3:102:1410:1300:0:0:0:1a</v>
      </c>
      <c r="G15231" s="1" t="str">
        <f>"0129A802"</f>
        <v>0129A802</v>
      </c>
      <c r="H15231" s="1" t="str">
        <f>"삼원간 51R31L6L11"</f>
        <v>삼원간 51R31L6L11</v>
      </c>
      <c r="I15231" s="1" t="s">
        <v>15</v>
      </c>
      <c r="J15231" s="1" t="str">
        <f>"36/38"</f>
        <v>36/38</v>
      </c>
      <c r="K15231" s="1" t="str">
        <f>"2026-07-29 14:20:04"</f>
        <v>2026-07-29 14:20:04</v>
      </c>
      <c r="L15231" s="1" t="str">
        <f>"2024-10-17 13:59:45"</f>
        <v>2024-10-17 13:59:45</v>
      </c>
      <c r="M15231" s="1" t="s">
        <v>45</v>
      </c>
      <c r="N15231" s="1" t="s">
        <v>38</v>
      </c>
      <c r="O15231" s="1" t="s">
        <v>46</v>
      </c>
    </row>
    <row r="15232" spans="2:15" x14ac:dyDescent="0.3">
      <c r="B15232" s="1" t="s">
        <v>19</v>
      </c>
      <c r="C15232" s="1" t="str">
        <f>"1차"</f>
        <v>1차</v>
      </c>
      <c r="D15232" s="1" t="str">
        <f>"0129A80300"</f>
        <v>0129A80300</v>
      </c>
      <c r="E15232" s="1" t="s">
        <v>10</v>
      </c>
      <c r="F15232" s="1" t="str">
        <f>"10.107.123.79"</f>
        <v>10.107.123.79</v>
      </c>
      <c r="G15232" s="1" t="str">
        <f>"0129A803"</f>
        <v>0129A803</v>
      </c>
      <c r="H15232" s="1" t="str">
        <f>"삼원간 52R2H1A3"</f>
        <v>삼원간 52R2H1A3</v>
      </c>
      <c r="I15232" s="1" t="s">
        <v>8</v>
      </c>
      <c r="J15232" s="1" t="str">
        <f>"50/50"</f>
        <v>50/50</v>
      </c>
      <c r="K15232" s="1" t="str">
        <f>"2026-07-29 13:18:01"</f>
        <v>2026-07-29 13:18:01</v>
      </c>
      <c r="L15232" s="1" t="str">
        <f>"2014-10-10 08:12:30"</f>
        <v>2014-10-10 08:12:30</v>
      </c>
      <c r="M15232" s="1" t="s">
        <v>45</v>
      </c>
      <c r="N15232" s="1" t="s">
        <v>38</v>
      </c>
      <c r="O15232" s="1" t="s">
        <v>46</v>
      </c>
    </row>
    <row r="15233" spans="2:15" x14ac:dyDescent="0.3">
      <c r="B15233" s="1" t="s">
        <v>19</v>
      </c>
      <c r="C15233" s="1" t="str">
        <f>"4차"</f>
        <v>4차</v>
      </c>
      <c r="D15233" s="1" t="str">
        <f>"0129A82239"</f>
        <v>0129A82239</v>
      </c>
      <c r="E15233" s="1" t="s">
        <v>10</v>
      </c>
      <c r="F15233" s="1" t="str">
        <f>"10.107.123.81"</f>
        <v>10.107.123.81</v>
      </c>
      <c r="G15233" s="1" t="str">
        <f>"0129A822"</f>
        <v>0129A822</v>
      </c>
      <c r="H15233" s="1" t="str">
        <f>"삼원간 51R2"</f>
        <v>삼원간 51R2</v>
      </c>
      <c r="I15233" s="1" t="s">
        <v>8</v>
      </c>
      <c r="J15233" s="1" t="str">
        <f>"54/54"</f>
        <v>54/54</v>
      </c>
      <c r="K15233" s="1" t="str">
        <f>"2026-07-29 13:18:01"</f>
        <v>2026-07-29 13:18:01</v>
      </c>
      <c r="L15233" s="1" t="str">
        <f>"2018-03-03 15:55:03"</f>
        <v>2018-03-03 15:55:03</v>
      </c>
      <c r="M15233" s="1" t="s">
        <v>45</v>
      </c>
      <c r="N15233" s="1" t="s">
        <v>38</v>
      </c>
      <c r="O15233" s="1" t="s">
        <v>46</v>
      </c>
    </row>
    <row r="15234" spans="2:15" x14ac:dyDescent="0.3">
      <c r="B15234" s="1" t="s">
        <v>19</v>
      </c>
      <c r="C15234" s="1" t="str">
        <f>"3차"</f>
        <v>3차</v>
      </c>
      <c r="D15234" s="1" t="str">
        <f>"0129A84239"</f>
        <v>0129A84239</v>
      </c>
      <c r="E15234" s="1" t="s">
        <v>10</v>
      </c>
      <c r="F15234" s="1" t="str">
        <f>"10.107.123.222"</f>
        <v>10.107.123.222</v>
      </c>
      <c r="G15234" s="1" t="str">
        <f>"0129A842"</f>
        <v>0129A842</v>
      </c>
      <c r="H15234" s="1" t="str">
        <f>"삼원간 50R3"</f>
        <v>삼원간 50R3</v>
      </c>
      <c r="I15234" s="1" t="s">
        <v>8</v>
      </c>
      <c r="J15234" s="1" t="str">
        <f>"11/11"</f>
        <v>11/11</v>
      </c>
      <c r="K15234" s="1" t="str">
        <f>"2026-07-29 13:18:02"</f>
        <v>2026-07-29 13:18:02</v>
      </c>
      <c r="L15234" s="1" t="str">
        <f>"2018-06-16 12:37:16"</f>
        <v>2018-06-16 12:37:16</v>
      </c>
      <c r="M15234" s="1" t="s">
        <v>45</v>
      </c>
      <c r="N15234" s="1" t="s">
        <v>38</v>
      </c>
      <c r="O15234" s="1" t="s">
        <v>46</v>
      </c>
    </row>
    <row r="15235" spans="2:15" x14ac:dyDescent="0.3">
      <c r="B15235" s="1" t="s">
        <v>19</v>
      </c>
      <c r="C15235" s="1" t="str">
        <f>"3차"</f>
        <v>3차</v>
      </c>
      <c r="D15235" s="1" t="str">
        <f>"0129A85239"</f>
        <v>0129A85239</v>
      </c>
      <c r="E15235" s="1" t="s">
        <v>10</v>
      </c>
      <c r="F15235" s="1" t="str">
        <f>"10.107.122.163"</f>
        <v>10.107.122.163</v>
      </c>
      <c r="G15235" s="1" t="str">
        <f>"0129A852"</f>
        <v>0129A852</v>
      </c>
      <c r="H15235" s="1" t="str">
        <f>"삼원간 49R2"</f>
        <v>삼원간 49R2</v>
      </c>
      <c r="I15235" s="1" t="s">
        <v>8</v>
      </c>
      <c r="J15235" s="1" t="str">
        <f>"70/70"</f>
        <v>70/70</v>
      </c>
      <c r="K15235" s="1" t="str">
        <f>"2026-07-29 13:18:01"</f>
        <v>2026-07-29 13:18:01</v>
      </c>
      <c r="L15235" s="1" t="str">
        <f>"2018-06-11 14:57:55"</f>
        <v>2018-06-11 14:57:55</v>
      </c>
      <c r="M15235" s="1" t="s">
        <v>45</v>
      </c>
      <c r="N15235" s="1" t="s">
        <v>38</v>
      </c>
      <c r="O15235" s="1" t="s">
        <v>46</v>
      </c>
    </row>
    <row r="15236" spans="2:15" x14ac:dyDescent="0.3">
      <c r="B15236" s="1" t="s">
        <v>19</v>
      </c>
      <c r="C15236" s="1" t="str">
        <f>"3차"</f>
        <v>3차</v>
      </c>
      <c r="D15236" s="1" t="str">
        <f>"0129A87139"</f>
        <v>0129A87139</v>
      </c>
      <c r="E15236" s="1" t="s">
        <v>10</v>
      </c>
      <c r="F15236" s="1" t="str">
        <f>"10.107.253.226"</f>
        <v>10.107.253.226</v>
      </c>
      <c r="G15236" s="1" t="str">
        <f>"0129A871"</f>
        <v>0129A871</v>
      </c>
      <c r="H15236" s="1" t="str">
        <f>"삼원간 46R2"</f>
        <v>삼원간 46R2</v>
      </c>
      <c r="I15236" s="1" t="s">
        <v>8</v>
      </c>
      <c r="J15236" s="1" t="str">
        <f>"55/58"</f>
        <v>55/58</v>
      </c>
      <c r="K15236" s="1" t="str">
        <f>"2026-07-29 13:18:01"</f>
        <v>2026-07-29 13:18:01</v>
      </c>
      <c r="L15236" s="1" t="str">
        <f>"2018-04-10 11:14:30"</f>
        <v>2018-04-10 11:14:30</v>
      </c>
      <c r="M15236" s="1" t="s">
        <v>45</v>
      </c>
      <c r="N15236" s="1" t="s">
        <v>38</v>
      </c>
      <c r="O15236" s="1" t="s">
        <v>46</v>
      </c>
    </row>
    <row r="15237" spans="2:15" x14ac:dyDescent="0.3">
      <c r="B15237" s="1" t="s">
        <v>19</v>
      </c>
      <c r="C15237" s="1" t="str">
        <f>"6차"</f>
        <v>6차</v>
      </c>
      <c r="D15237" s="1" t="str">
        <f>"0129A9046M"</f>
        <v>0129A9046M</v>
      </c>
      <c r="E15237" s="1" t="s">
        <v>10</v>
      </c>
      <c r="F15237" s="1" t="str">
        <f>"fde1:103:4:c7d7:0:0:0:2"</f>
        <v>fde1:103:4:c7d7:0:0:0:2</v>
      </c>
      <c r="G15237" s="1" t="str">
        <f>"0129A904"</f>
        <v>0129A904</v>
      </c>
      <c r="H15237" s="1" t="str">
        <f>"삼원간 55R3"</f>
        <v>삼원간 55R3</v>
      </c>
      <c r="I15237" s="1" t="s">
        <v>15</v>
      </c>
      <c r="J15237" s="1" t="str">
        <f>"28/28"</f>
        <v>28/28</v>
      </c>
      <c r="K15237" s="1" t="str">
        <f>"2026-07-29 14:20:03"</f>
        <v>2026-07-29 14:20:03</v>
      </c>
      <c r="L15237" s="1" t="str">
        <f>"2024-12-03 11:24:55"</f>
        <v>2024-12-03 11:24:55</v>
      </c>
      <c r="M15237" s="1" t="s">
        <v>4</v>
      </c>
      <c r="N15237" s="1" t="s">
        <v>38</v>
      </c>
      <c r="O15237" s="1" t="s">
        <v>46</v>
      </c>
    </row>
    <row r="15238" spans="2:15" x14ac:dyDescent="0.3">
      <c r="B15238" s="1" t="s">
        <v>19</v>
      </c>
      <c r="C15238" s="1" t="str">
        <f>"3차"</f>
        <v>3차</v>
      </c>
      <c r="D15238" s="1" t="str">
        <f>"0129A93439"</f>
        <v>0129A93439</v>
      </c>
      <c r="E15238" s="1" t="s">
        <v>10</v>
      </c>
      <c r="F15238" s="1" t="str">
        <f>"10.107.123.82"</f>
        <v>10.107.123.82</v>
      </c>
      <c r="G15238" s="1" t="str">
        <f>"0129A934"</f>
        <v>0129A934</v>
      </c>
      <c r="H15238" s="1" t="str">
        <f>"삼원간 51R1H1"</f>
        <v>삼원간 51R1H1</v>
      </c>
      <c r="I15238" s="1" t="s">
        <v>8</v>
      </c>
      <c r="J15238" s="1" t="str">
        <f>"23/23"</f>
        <v>23/23</v>
      </c>
      <c r="K15238" s="1" t="str">
        <f t="shared" ref="K15238:K15243" si="773">"2026-07-29 13:18:02"</f>
        <v>2026-07-29 13:18:02</v>
      </c>
      <c r="L15238" s="1" t="str">
        <f>"2021-02-19 16:23:55"</f>
        <v>2021-02-19 16:23:55</v>
      </c>
      <c r="M15238" s="1" t="s">
        <v>45</v>
      </c>
      <c r="N15238" s="1" t="s">
        <v>38</v>
      </c>
      <c r="O15238" s="1" t="s">
        <v>46</v>
      </c>
    </row>
    <row r="15239" spans="2:15" x14ac:dyDescent="0.3">
      <c r="B15239" s="1" t="s">
        <v>19</v>
      </c>
      <c r="C15239" s="1" t="str">
        <f>"3차"</f>
        <v>3차</v>
      </c>
      <c r="D15239" s="1" t="str">
        <f>"0129A94239"</f>
        <v>0129A94239</v>
      </c>
      <c r="E15239" s="1" t="s">
        <v>10</v>
      </c>
      <c r="F15239" s="1" t="str">
        <f>"10.107.122.164"</f>
        <v>10.107.122.164</v>
      </c>
      <c r="G15239" s="1" t="str">
        <f>"0129A942"</f>
        <v>0129A942</v>
      </c>
      <c r="H15239" s="1" t="str">
        <f>"삼원간 49"</f>
        <v>삼원간 49</v>
      </c>
      <c r="I15239" s="1" t="s">
        <v>8</v>
      </c>
      <c r="J15239" s="1" t="str">
        <f>"36/36"</f>
        <v>36/36</v>
      </c>
      <c r="K15239" s="1" t="str">
        <f t="shared" si="773"/>
        <v>2026-07-29 13:18:02</v>
      </c>
      <c r="L15239" s="1" t="str">
        <f>"2018-06-16 12:07:13"</f>
        <v>2018-06-16 12:07:13</v>
      </c>
      <c r="M15239" s="1" t="s">
        <v>45</v>
      </c>
      <c r="N15239" s="1" t="s">
        <v>38</v>
      </c>
      <c r="O15239" s="1" t="s">
        <v>46</v>
      </c>
    </row>
    <row r="15240" spans="2:15" x14ac:dyDescent="0.3">
      <c r="B15240" s="1" t="s">
        <v>19</v>
      </c>
      <c r="C15240" s="1" t="str">
        <f>"3차"</f>
        <v>3차</v>
      </c>
      <c r="D15240" s="1" t="str">
        <f>"0129A94539"</f>
        <v>0129A94539</v>
      </c>
      <c r="E15240" s="1" t="s">
        <v>10</v>
      </c>
      <c r="F15240" s="1" t="str">
        <f>"10.107.122.166"</f>
        <v>10.107.122.166</v>
      </c>
      <c r="G15240" s="1" t="str">
        <f>"0129A945"</f>
        <v>0129A945</v>
      </c>
      <c r="H15240" s="1" t="str">
        <f>"삼원간 50R1"</f>
        <v>삼원간 50R1</v>
      </c>
      <c r="I15240" s="1" t="s">
        <v>8</v>
      </c>
      <c r="J15240" s="1" t="str">
        <f>"7/7"</f>
        <v>7/7</v>
      </c>
      <c r="K15240" s="1" t="str">
        <f t="shared" si="773"/>
        <v>2026-07-29 13:18:02</v>
      </c>
      <c r="L15240" s="1" t="str">
        <f>"2018-06-16 12:27:55"</f>
        <v>2018-06-16 12:27:55</v>
      </c>
      <c r="M15240" s="1" t="s">
        <v>45</v>
      </c>
      <c r="N15240" s="1" t="s">
        <v>38</v>
      </c>
      <c r="O15240" s="1" t="s">
        <v>46</v>
      </c>
    </row>
    <row r="15241" spans="2:15" x14ac:dyDescent="0.3">
      <c r="B15241" s="1" t="s">
        <v>19</v>
      </c>
      <c r="C15241" s="1" t="str">
        <f>"3차"</f>
        <v>3차</v>
      </c>
      <c r="D15241" s="1" t="str">
        <f>"0129A95139"</f>
        <v>0129A95139</v>
      </c>
      <c r="E15241" s="1" t="s">
        <v>10</v>
      </c>
      <c r="F15241" s="1" t="str">
        <f>"10.107.122.167"</f>
        <v>10.107.122.167</v>
      </c>
      <c r="G15241" s="1" t="str">
        <f>"0129A951"</f>
        <v>0129A951</v>
      </c>
      <c r="H15241" s="1" t="str">
        <f>"삼원간 48"</f>
        <v>삼원간 48</v>
      </c>
      <c r="I15241" s="1" t="s">
        <v>8</v>
      </c>
      <c r="J15241" s="1" t="str">
        <f>"8/8"</f>
        <v>8/8</v>
      </c>
      <c r="K15241" s="1" t="str">
        <f t="shared" si="773"/>
        <v>2026-07-29 13:18:02</v>
      </c>
      <c r="L15241" s="1" t="str">
        <f>"2018-07-26 10:30:57"</f>
        <v>2018-07-26 10:30:57</v>
      </c>
      <c r="M15241" s="1" t="s">
        <v>45</v>
      </c>
      <c r="N15241" s="1" t="s">
        <v>38</v>
      </c>
      <c r="O15241" s="1" t="s">
        <v>46</v>
      </c>
    </row>
    <row r="15242" spans="2:15" x14ac:dyDescent="0.3">
      <c r="B15242" s="1" t="s">
        <v>19</v>
      </c>
      <c r="C15242" s="1" t="str">
        <f>"4차"</f>
        <v>4차</v>
      </c>
      <c r="D15242" s="1" t="str">
        <f>"0129A96139"</f>
        <v>0129A96139</v>
      </c>
      <c r="E15242" s="1" t="s">
        <v>10</v>
      </c>
      <c r="F15242" s="1" t="str">
        <f>"10.12.137.104"</f>
        <v>10.12.137.104</v>
      </c>
      <c r="G15242" s="1" t="str">
        <f>"0129A961"</f>
        <v>0129A961</v>
      </c>
      <c r="H15242" s="1" t="str">
        <f>"삼원간 47"</f>
        <v>삼원간 47</v>
      </c>
      <c r="I15242" s="1" t="s">
        <v>8</v>
      </c>
      <c r="J15242" s="1" t="str">
        <f>"42/42"</f>
        <v>42/42</v>
      </c>
      <c r="K15242" s="1" t="str">
        <f t="shared" si="773"/>
        <v>2026-07-29 13:18:02</v>
      </c>
      <c r="L15242" s="1" t="str">
        <f>"2018-04-24 08:14:56"</f>
        <v>2018-04-24 08:14:56</v>
      </c>
      <c r="M15242" s="1" t="s">
        <v>0</v>
      </c>
      <c r="N15242" s="1" t="s">
        <v>38</v>
      </c>
      <c r="O15242" s="1" t="s">
        <v>46</v>
      </c>
    </row>
    <row r="15243" spans="2:15" x14ac:dyDescent="0.3">
      <c r="B15243" s="1" t="s">
        <v>19</v>
      </c>
      <c r="C15243" s="1" t="str">
        <f>"3차"</f>
        <v>3차</v>
      </c>
      <c r="D15243" s="1" t="str">
        <f>"0129A97339"</f>
        <v>0129A97339</v>
      </c>
      <c r="E15243" s="1" t="s">
        <v>10</v>
      </c>
      <c r="F15243" s="1" t="str">
        <f>"10.107.122.168"</f>
        <v>10.107.122.168</v>
      </c>
      <c r="G15243" s="1" t="str">
        <f>"0129A973"</f>
        <v>0129A973</v>
      </c>
      <c r="H15243" s="1" t="str">
        <f>"삼원간 46"</f>
        <v>삼원간 46</v>
      </c>
      <c r="I15243" s="1" t="s">
        <v>8</v>
      </c>
      <c r="J15243" s="1" t="str">
        <f>"50/50"</f>
        <v>50/50</v>
      </c>
      <c r="K15243" s="1" t="str">
        <f t="shared" si="773"/>
        <v>2026-07-29 13:18:02</v>
      </c>
      <c r="L15243" s="1" t="str">
        <f>"2018-06-16 12:02:43"</f>
        <v>2018-06-16 12:02:43</v>
      </c>
      <c r="M15243" s="1" t="s">
        <v>45</v>
      </c>
      <c r="N15243" s="1" t="s">
        <v>38</v>
      </c>
      <c r="O15243" s="1" t="s">
        <v>46</v>
      </c>
    </row>
    <row r="15244" spans="2:15" x14ac:dyDescent="0.3">
      <c r="B15244" s="1" t="s">
        <v>19</v>
      </c>
      <c r="C15244" s="1" t="str">
        <f>"4차"</f>
        <v>4차</v>
      </c>
      <c r="D15244" s="1" t="str">
        <f>"0129A98139"</f>
        <v>0129A98139</v>
      </c>
      <c r="E15244" s="1" t="s">
        <v>10</v>
      </c>
      <c r="F15244" s="1" t="str">
        <f>"10.107.6.84"</f>
        <v>10.107.6.84</v>
      </c>
      <c r="G15244" s="1" t="str">
        <f>"0129A981"</f>
        <v>0129A981</v>
      </c>
      <c r="H15244" s="1" t="str">
        <f>"수미간 18"</f>
        <v>수미간 18</v>
      </c>
      <c r="I15244" s="1" t="s">
        <v>8</v>
      </c>
      <c r="J15244" s="1" t="str">
        <f>"13/15"</f>
        <v>13/15</v>
      </c>
      <c r="K15244" s="1" t="str">
        <f>"2026-07-29 13:18:01"</f>
        <v>2026-07-29 13:18:01</v>
      </c>
      <c r="L15244" s="1" t="str">
        <f>"2018-03-23 14:17:11"</f>
        <v>2018-03-23 14:17:11</v>
      </c>
      <c r="M15244" s="1" t="s">
        <v>45</v>
      </c>
      <c r="N15244" s="1" t="s">
        <v>38</v>
      </c>
      <c r="O15244" s="1" t="s">
        <v>46</v>
      </c>
    </row>
    <row r="15245" spans="2:15" x14ac:dyDescent="0.3">
      <c r="B15245" s="1" t="s">
        <v>19</v>
      </c>
      <c r="C15245" s="1" t="str">
        <f>"3차"</f>
        <v>3차</v>
      </c>
      <c r="D15245" s="1" t="str">
        <f>"0129A99339"</f>
        <v>0129A99339</v>
      </c>
      <c r="E15245" s="1" t="s">
        <v>10</v>
      </c>
      <c r="F15245" s="1" t="str">
        <f>"10.107.6.83"</f>
        <v>10.107.6.83</v>
      </c>
      <c r="G15245" s="1" t="str">
        <f>"0129A993"</f>
        <v>0129A993</v>
      </c>
      <c r="H15245" s="1" t="str">
        <f>"수미간 17"</f>
        <v>수미간 17</v>
      </c>
      <c r="I15245" s="1" t="s">
        <v>8</v>
      </c>
      <c r="J15245" s="1" t="str">
        <f>"14/14"</f>
        <v>14/14</v>
      </c>
      <c r="K15245" s="1" t="str">
        <f>"2026-07-29 13:18:01"</f>
        <v>2026-07-29 13:18:01</v>
      </c>
      <c r="L15245" s="1" t="str">
        <f>"2018-03-23 14:13:29"</f>
        <v>2018-03-23 14:13:29</v>
      </c>
      <c r="M15245" s="1" t="s">
        <v>45</v>
      </c>
      <c r="N15245" s="1" t="s">
        <v>38</v>
      </c>
      <c r="O15245" s="1" t="s">
        <v>46</v>
      </c>
    </row>
    <row r="15246" spans="2:15" x14ac:dyDescent="0.3">
      <c r="B15246" s="1" t="s">
        <v>19</v>
      </c>
      <c r="C15246" s="1" t="str">
        <f>"3차"</f>
        <v>3차</v>
      </c>
      <c r="D15246" s="1" t="str">
        <f>"0129B01131"</f>
        <v>0129B01131</v>
      </c>
      <c r="E15246" s="1" t="s">
        <v>10</v>
      </c>
      <c r="F15246" s="1" t="str">
        <f>"10.107.122.185"</f>
        <v>10.107.122.185</v>
      </c>
      <c r="G15246" s="1" t="str">
        <f>"0129B011"</f>
        <v>0129B011</v>
      </c>
      <c r="H15246" s="1" t="str">
        <f>"수미간 27L2"</f>
        <v>수미간 27L2</v>
      </c>
      <c r="I15246" s="1" t="s">
        <v>8</v>
      </c>
      <c r="J15246" s="1" t="str">
        <f>"9/9"</f>
        <v>9/9</v>
      </c>
      <c r="K15246" s="1" t="str">
        <f>"2026-07-29 13:18:01"</f>
        <v>2026-07-29 13:18:01</v>
      </c>
      <c r="L15246" s="1" t="str">
        <f>"2018-03-23 14:07:17"</f>
        <v>2018-03-23 14:07:17</v>
      </c>
      <c r="M15246" s="1" t="s">
        <v>45</v>
      </c>
      <c r="N15246" s="1" t="s">
        <v>38</v>
      </c>
      <c r="O15246" s="1" t="s">
        <v>46</v>
      </c>
    </row>
    <row r="15247" spans="2:15" x14ac:dyDescent="0.3">
      <c r="B15247" s="1" t="s">
        <v>19</v>
      </c>
      <c r="C15247" s="1" t="str">
        <f>"1차"</f>
        <v>1차</v>
      </c>
      <c r="D15247" s="1" t="str">
        <f>"0129B01300"</f>
        <v>0129B01300</v>
      </c>
      <c r="E15247" s="1" t="s">
        <v>10</v>
      </c>
      <c r="F15247" s="1" t="str">
        <f>"10.107.123.71"</f>
        <v>10.107.123.71</v>
      </c>
      <c r="G15247" s="1" t="str">
        <f>"0129B013"</f>
        <v>0129B013</v>
      </c>
      <c r="H15247" s="1" t="str">
        <f>"삼원간 54"</f>
        <v>삼원간 54</v>
      </c>
      <c r="I15247" s="1" t="s">
        <v>8</v>
      </c>
      <c r="J15247" s="1" t="str">
        <f>"21/22"</f>
        <v>21/22</v>
      </c>
      <c r="K15247" s="1" t="str">
        <f>"2026-07-29 13:18:02"</f>
        <v>2026-07-29 13:18:02</v>
      </c>
      <c r="L15247" s="1" t="str">
        <f>"2014-10-07 00:13:40"</f>
        <v>2014-10-07 00:13:40</v>
      </c>
      <c r="M15247" s="1" t="s">
        <v>45</v>
      </c>
      <c r="N15247" s="1" t="s">
        <v>38</v>
      </c>
      <c r="O15247" s="1" t="s">
        <v>46</v>
      </c>
    </row>
    <row r="15248" spans="2:15" x14ac:dyDescent="0.3">
      <c r="B15248" s="1" t="s">
        <v>19</v>
      </c>
      <c r="C15248" s="1" t="str">
        <f>"3차"</f>
        <v>3차</v>
      </c>
      <c r="D15248" s="1" t="str">
        <f>"0129B02139"</f>
        <v>0129B02139</v>
      </c>
      <c r="E15248" s="1" t="s">
        <v>10</v>
      </c>
      <c r="F15248" s="1" t="str">
        <f>"10.107.250.9"</f>
        <v>10.107.250.9</v>
      </c>
      <c r="G15248" s="1" t="str">
        <f>"0129B021"</f>
        <v>0129B021</v>
      </c>
      <c r="H15248" s="1" t="str">
        <f>"수미간 25"</f>
        <v>수미간 25</v>
      </c>
      <c r="I15248" s="1" t="s">
        <v>8</v>
      </c>
      <c r="J15248" s="1" t="str">
        <f>"7/11"</f>
        <v>7/11</v>
      </c>
      <c r="K15248" s="1" t="str">
        <f>"2026-07-29 13:18:02"</f>
        <v>2026-07-29 13:18:02</v>
      </c>
      <c r="L15248" s="1" t="str">
        <f>"2018-03-23 14:02:41"</f>
        <v>2018-03-23 14:02:41</v>
      </c>
      <c r="M15248" s="1" t="s">
        <v>45</v>
      </c>
      <c r="N15248" s="1" t="s">
        <v>38</v>
      </c>
      <c r="O15248" s="1" t="s">
        <v>46</v>
      </c>
    </row>
    <row r="15249" spans="2:15" x14ac:dyDescent="0.3">
      <c r="B15249" s="1" t="s">
        <v>19</v>
      </c>
      <c r="C15249" s="1" t="str">
        <f>"4차"</f>
        <v>4차</v>
      </c>
      <c r="D15249" s="1" t="str">
        <f>"0129B03244"</f>
        <v>0129B03244</v>
      </c>
      <c r="E15249" s="1" t="s">
        <v>10</v>
      </c>
      <c r="F15249" s="1" t="str">
        <f>"10.107.122.177"</f>
        <v>10.107.122.177</v>
      </c>
      <c r="G15249" s="1" t="str">
        <f>"0129B032"</f>
        <v>0129B032</v>
      </c>
      <c r="H15249" s="1" t="str">
        <f>"수미간 24"</f>
        <v>수미간 24</v>
      </c>
      <c r="I15249" s="1" t="s">
        <v>8</v>
      </c>
      <c r="J15249" s="1" t="str">
        <f>"21/21"</f>
        <v>21/21</v>
      </c>
      <c r="K15249" s="1" t="str">
        <f>"2026-07-29 13:18:02"</f>
        <v>2026-07-29 13:18:02</v>
      </c>
      <c r="L15249" s="1" t="str">
        <f>"2023-10-23 17:21:08"</f>
        <v>2023-10-23 17:21:08</v>
      </c>
      <c r="M15249" s="1" t="s">
        <v>45</v>
      </c>
      <c r="N15249" s="1" t="s">
        <v>38</v>
      </c>
      <c r="O15249" s="1" t="s">
        <v>46</v>
      </c>
    </row>
    <row r="15250" spans="2:15" x14ac:dyDescent="0.3">
      <c r="B15250" s="1" t="s">
        <v>19</v>
      </c>
      <c r="C15250" s="1" t="str">
        <f>"4차"</f>
        <v>4차</v>
      </c>
      <c r="D15250" s="1" t="str">
        <f>"0129B04544"</f>
        <v>0129B04544</v>
      </c>
      <c r="E15250" s="1" t="s">
        <v>10</v>
      </c>
      <c r="F15250" s="1" t="str">
        <f>"10.107.122.178"</f>
        <v>10.107.122.178</v>
      </c>
      <c r="G15250" s="1" t="str">
        <f>"0129B045"</f>
        <v>0129B045</v>
      </c>
      <c r="H15250" s="1" t="str">
        <f>"수미간 18L16R2"</f>
        <v>수미간 18L16R2</v>
      </c>
      <c r="I15250" s="1" t="s">
        <v>8</v>
      </c>
      <c r="J15250" s="1" t="str">
        <f>"48/49"</f>
        <v>48/49</v>
      </c>
      <c r="K15250" s="1" t="str">
        <f>"2026-07-29 13:18:02"</f>
        <v>2026-07-29 13:18:02</v>
      </c>
      <c r="L15250" s="1" t="str">
        <f>"2023-08-01 09:19:09"</f>
        <v>2023-08-01 09:19:09</v>
      </c>
      <c r="M15250" s="1" t="s">
        <v>45</v>
      </c>
      <c r="N15250" s="1" t="s">
        <v>38</v>
      </c>
      <c r="O15250" s="1" t="s">
        <v>46</v>
      </c>
    </row>
    <row r="15251" spans="2:15" x14ac:dyDescent="0.3">
      <c r="B15251" s="1" t="s">
        <v>19</v>
      </c>
      <c r="C15251" s="1" t="str">
        <f>"1차"</f>
        <v>1차</v>
      </c>
      <c r="D15251" s="1" t="str">
        <f>"0129B05200"</f>
        <v>0129B05200</v>
      </c>
      <c r="E15251" s="1" t="s">
        <v>10</v>
      </c>
      <c r="F15251" s="1" t="str">
        <f>"10.107.122.173"</f>
        <v>10.107.122.173</v>
      </c>
      <c r="G15251" s="1" t="str">
        <f>"0129B052"</f>
        <v>0129B052</v>
      </c>
      <c r="H15251" s="1" t="str">
        <f>"수미간 22L1"</f>
        <v>수미간 22L1</v>
      </c>
      <c r="I15251" s="1" t="s">
        <v>8</v>
      </c>
      <c r="J15251" s="1" t="str">
        <f>"1/1"</f>
        <v>1/1</v>
      </c>
      <c r="K15251" s="1" t="str">
        <f>"2026-07-29 13:18:01"</f>
        <v>2026-07-29 13:18:01</v>
      </c>
      <c r="L15251" s="1" t="str">
        <f>"2014-10-10 00:13:33"</f>
        <v>2014-10-10 00:13:33</v>
      </c>
      <c r="M15251" s="1" t="s">
        <v>45</v>
      </c>
      <c r="N15251" s="1" t="s">
        <v>38</v>
      </c>
      <c r="O15251" s="1" t="s">
        <v>46</v>
      </c>
    </row>
    <row r="15252" spans="2:15" x14ac:dyDescent="0.3">
      <c r="B15252" s="1" t="s">
        <v>19</v>
      </c>
      <c r="C15252" s="1" t="str">
        <f>"4차"</f>
        <v>4차</v>
      </c>
      <c r="D15252" s="1" t="str">
        <f>"0129B06339"</f>
        <v>0129B06339</v>
      </c>
      <c r="E15252" s="1" t="s">
        <v>10</v>
      </c>
      <c r="F15252" s="1" t="str">
        <f>"10.107.7.44"</f>
        <v>10.107.7.44</v>
      </c>
      <c r="G15252" s="1" t="str">
        <f>"0129B063"</f>
        <v>0129B063</v>
      </c>
      <c r="H15252" s="1" t="str">
        <f>"수미간 18L2R2"</f>
        <v>수미간 18L2R2</v>
      </c>
      <c r="I15252" s="1" t="s">
        <v>8</v>
      </c>
      <c r="J15252" s="1" t="str">
        <f>"12/12"</f>
        <v>12/12</v>
      </c>
      <c r="K15252" s="1" t="str">
        <f>"2026-07-29 13:18:01"</f>
        <v>2026-07-29 13:18:01</v>
      </c>
      <c r="L15252" s="1" t="str">
        <f>"2018-04-09 11:45:55"</f>
        <v>2018-04-09 11:45:55</v>
      </c>
      <c r="M15252" s="1" t="s">
        <v>45</v>
      </c>
      <c r="N15252" s="1" t="s">
        <v>38</v>
      </c>
      <c r="O15252" s="1" t="s">
        <v>46</v>
      </c>
    </row>
    <row r="15253" spans="2:15" x14ac:dyDescent="0.3">
      <c r="B15253" s="1" t="s">
        <v>19</v>
      </c>
      <c r="C15253" s="1" t="str">
        <f>"3차"</f>
        <v>3차</v>
      </c>
      <c r="D15253" s="1" t="str">
        <f>"0129B09239"</f>
        <v>0129B09239</v>
      </c>
      <c r="E15253" s="1" t="s">
        <v>10</v>
      </c>
      <c r="F15253" s="1" t="str">
        <f>"10.107.6.94"</f>
        <v>10.107.6.94</v>
      </c>
      <c r="G15253" s="1" t="str">
        <f>"0129B092"</f>
        <v>0129B092</v>
      </c>
      <c r="H15253" s="1" t="str">
        <f>"수미간 18L3L1"</f>
        <v>수미간 18L3L1</v>
      </c>
      <c r="I15253" s="1" t="s">
        <v>8</v>
      </c>
      <c r="J15253" s="1" t="str">
        <f>"66/66"</f>
        <v>66/66</v>
      </c>
      <c r="K15253" s="1" t="str">
        <f>"2026-07-29 13:18:01"</f>
        <v>2026-07-29 13:18:01</v>
      </c>
      <c r="L15253" s="1" t="str">
        <f>"2018-03-23 14:16:17"</f>
        <v>2018-03-23 14:16:17</v>
      </c>
      <c r="M15253" s="1" t="s">
        <v>45</v>
      </c>
      <c r="N15253" s="1" t="s">
        <v>38</v>
      </c>
      <c r="O15253" s="1" t="s">
        <v>46</v>
      </c>
    </row>
    <row r="15254" spans="2:15" x14ac:dyDescent="0.3">
      <c r="B15254" s="1" t="s">
        <v>19</v>
      </c>
      <c r="C15254" s="1" t="str">
        <f>"3차"</f>
        <v>3차</v>
      </c>
      <c r="D15254" s="1" t="str">
        <f>"0129B12239"</f>
        <v>0129B12239</v>
      </c>
      <c r="E15254" s="1" t="s">
        <v>10</v>
      </c>
      <c r="F15254" s="1" t="str">
        <f>"10.107.122.182"</f>
        <v>10.107.122.182</v>
      </c>
      <c r="G15254" s="1" t="str">
        <f>"0129B122"</f>
        <v>0129B122</v>
      </c>
      <c r="H15254" s="1" t="str">
        <f>"수미간 18L19R2"</f>
        <v>수미간 18L19R2</v>
      </c>
      <c r="I15254" s="1" t="s">
        <v>8</v>
      </c>
      <c r="J15254" s="1" t="str">
        <f>"39/39"</f>
        <v>39/39</v>
      </c>
      <c r="K15254" s="1" t="str">
        <f>"2026-07-29 13:18:01"</f>
        <v>2026-07-29 13:18:01</v>
      </c>
      <c r="L15254" s="1" t="str">
        <f>"2018-03-23 14:05:32"</f>
        <v>2018-03-23 14:05:32</v>
      </c>
      <c r="M15254" s="1" t="s">
        <v>45</v>
      </c>
      <c r="N15254" s="1" t="s">
        <v>38</v>
      </c>
      <c r="O15254" s="1" t="s">
        <v>46</v>
      </c>
    </row>
    <row r="15255" spans="2:15" x14ac:dyDescent="0.3">
      <c r="B15255" s="1" t="s">
        <v>19</v>
      </c>
      <c r="C15255" s="1" t="str">
        <f>"4차"</f>
        <v>4차</v>
      </c>
      <c r="D15255" s="1" t="str">
        <f>"0129B13142"</f>
        <v>0129B13142</v>
      </c>
      <c r="E15255" s="1" t="s">
        <v>10</v>
      </c>
      <c r="F15255" s="1" t="str">
        <f>"10.12.131.131"</f>
        <v>10.12.131.131</v>
      </c>
      <c r="G15255" s="1" t="str">
        <f>"0129B131"</f>
        <v>0129B131</v>
      </c>
      <c r="H15255" s="1" t="str">
        <f>"수미간 18L19R2R1"</f>
        <v>수미간 18L19R2R1</v>
      </c>
      <c r="I15255" s="1" t="s">
        <v>8</v>
      </c>
      <c r="J15255" s="1" t="str">
        <f>"38/38"</f>
        <v>38/38</v>
      </c>
      <c r="K15255" s="1" t="str">
        <f>"2026-07-29 13:18:03"</f>
        <v>2026-07-29 13:18:03</v>
      </c>
      <c r="L15255" s="1" t="str">
        <f>"2024-12-19 08:53:25"</f>
        <v>2024-12-19 08:53:25</v>
      </c>
      <c r="M15255" s="1" t="s">
        <v>0</v>
      </c>
      <c r="N15255" s="1" t="s">
        <v>38</v>
      </c>
      <c r="O15255" s="1" t="s">
        <v>46</v>
      </c>
    </row>
    <row r="15256" spans="2:15" x14ac:dyDescent="0.3">
      <c r="B15256" s="1" t="s">
        <v>19</v>
      </c>
      <c r="C15256" s="1" t="str">
        <f>"4차"</f>
        <v>4차</v>
      </c>
      <c r="D15256" s="1" t="str">
        <f>"0129B14239"</f>
        <v>0129B14239</v>
      </c>
      <c r="E15256" s="1" t="s">
        <v>10</v>
      </c>
      <c r="F15256" s="1" t="str">
        <f>"10.107.122.179"</f>
        <v>10.107.122.179</v>
      </c>
      <c r="G15256" s="1" t="str">
        <f>"0129B142"</f>
        <v>0129B142</v>
      </c>
      <c r="H15256" s="1" t="str">
        <f>"수미간 18L16R1"</f>
        <v>수미간 18L16R1</v>
      </c>
      <c r="I15256" s="1" t="s">
        <v>8</v>
      </c>
      <c r="J15256" s="1" t="str">
        <f>"45/45"</f>
        <v>45/45</v>
      </c>
      <c r="K15256" s="1" t="str">
        <f>"2026-07-29 13:18:01"</f>
        <v>2026-07-29 13:18:01</v>
      </c>
      <c r="L15256" s="1" t="str">
        <f>"2018-04-04 15:08:24"</f>
        <v>2018-04-04 15:08:24</v>
      </c>
      <c r="M15256" s="1" t="s">
        <v>45</v>
      </c>
      <c r="N15256" s="1" t="s">
        <v>38</v>
      </c>
      <c r="O15256" s="1" t="s">
        <v>46</v>
      </c>
    </row>
    <row r="15257" spans="2:15" x14ac:dyDescent="0.3">
      <c r="B15257" s="1" t="s">
        <v>19</v>
      </c>
      <c r="C15257" s="1" t="str">
        <f>"1차"</f>
        <v>1차</v>
      </c>
      <c r="D15257" s="1" t="str">
        <f>"0129B15101"</f>
        <v>0129B15101</v>
      </c>
      <c r="E15257" s="1" t="s">
        <v>10</v>
      </c>
      <c r="F15257" s="1" t="str">
        <f>"10.12.136.129"</f>
        <v>10.12.136.129</v>
      </c>
      <c r="G15257" s="1" t="str">
        <f>"0129B151"</f>
        <v>0129B151</v>
      </c>
      <c r="H15257" s="1" t="str">
        <f>"수미간 18L8R6"</f>
        <v>수미간 18L8R6</v>
      </c>
      <c r="I15257" s="1" t="s">
        <v>8</v>
      </c>
      <c r="J15257" s="1" t="str">
        <f>"17/17"</f>
        <v>17/17</v>
      </c>
      <c r="K15257" s="1" t="str">
        <f>"2026-07-29 13:18:02"</f>
        <v>2026-07-29 13:18:02</v>
      </c>
      <c r="L15257" s="1" t="str">
        <f>"2014-10-18 00:14:00"</f>
        <v>2014-10-18 00:14:00</v>
      </c>
      <c r="M15257" s="1" t="s">
        <v>0</v>
      </c>
      <c r="N15257" s="1" t="s">
        <v>38</v>
      </c>
      <c r="O15257" s="1" t="s">
        <v>46</v>
      </c>
    </row>
    <row r="15258" spans="2:15" x14ac:dyDescent="0.3">
      <c r="B15258" s="1" t="s">
        <v>19</v>
      </c>
      <c r="C15258" s="1" t="str">
        <f>"1차"</f>
        <v>1차</v>
      </c>
      <c r="D15258" s="1" t="str">
        <f>"0129B15200"</f>
        <v>0129B15200</v>
      </c>
      <c r="E15258" s="1" t="s">
        <v>10</v>
      </c>
      <c r="F15258" s="1" t="str">
        <f>"10.107.122.171"</f>
        <v>10.107.122.171</v>
      </c>
      <c r="G15258" s="1" t="str">
        <f>"0129B152"</f>
        <v>0129B152</v>
      </c>
      <c r="H15258" s="1" t="str">
        <f>"수미간 18L8R5"</f>
        <v>수미간 18L8R5</v>
      </c>
      <c r="I15258" s="1" t="s">
        <v>8</v>
      </c>
      <c r="J15258" s="1" t="str">
        <f>"39/39"</f>
        <v>39/39</v>
      </c>
      <c r="K15258" s="1" t="str">
        <f>"2026-07-29 13:18:01"</f>
        <v>2026-07-29 13:18:01</v>
      </c>
      <c r="L15258" s="1" t="str">
        <f>"2014-10-10 00:13:41"</f>
        <v>2014-10-10 00:13:41</v>
      </c>
      <c r="M15258" s="1" t="s">
        <v>45</v>
      </c>
      <c r="N15258" s="1" t="s">
        <v>38</v>
      </c>
      <c r="O15258" s="1" t="s">
        <v>46</v>
      </c>
    </row>
    <row r="15259" spans="2:15" x14ac:dyDescent="0.3">
      <c r="B15259" s="1" t="s">
        <v>19</v>
      </c>
      <c r="C15259" s="1" t="str">
        <f>"1차"</f>
        <v>1차</v>
      </c>
      <c r="D15259" s="1" t="str">
        <f>"0129B17101"</f>
        <v>0129B17101</v>
      </c>
      <c r="E15259" s="1" t="s">
        <v>10</v>
      </c>
      <c r="F15259" s="1" t="str">
        <f>"10.14.15.116"</f>
        <v>10.14.15.116</v>
      </c>
      <c r="G15259" s="1" t="str">
        <f>"0129B171"</f>
        <v>0129B171</v>
      </c>
      <c r="H15259" s="1" t="str">
        <f>"수미간 22L4"</f>
        <v>수미간 22L4</v>
      </c>
      <c r="I15259" s="1" t="s">
        <v>8</v>
      </c>
      <c r="J15259" s="1" t="str">
        <f>"22/22"</f>
        <v>22/22</v>
      </c>
      <c r="K15259" s="1" t="str">
        <f>"2026-07-29 13:18:03"</f>
        <v>2026-07-29 13:18:03</v>
      </c>
      <c r="L15259" s="1" t="str">
        <f>"2014-10-24 00:14:16"</f>
        <v>2014-10-24 00:14:16</v>
      </c>
      <c r="M15259" s="1" t="s">
        <v>3</v>
      </c>
      <c r="N15259" s="1" t="s">
        <v>38</v>
      </c>
      <c r="O15259" s="1" t="s">
        <v>46</v>
      </c>
    </row>
    <row r="15260" spans="2:15" x14ac:dyDescent="0.3">
      <c r="B15260" s="1" t="s">
        <v>19</v>
      </c>
      <c r="C15260" s="1" t="str">
        <f>"4차"</f>
        <v>4차</v>
      </c>
      <c r="D15260" s="1" t="str">
        <f>"0129B18139"</f>
        <v>0129B18139</v>
      </c>
      <c r="E15260" s="1" t="s">
        <v>10</v>
      </c>
      <c r="F15260" s="1" t="str">
        <f>"10.107.6.93"</f>
        <v>10.107.6.93</v>
      </c>
      <c r="G15260" s="1" t="str">
        <f>"0129B181"</f>
        <v>0129B181</v>
      </c>
      <c r="H15260" s="1" t="str">
        <f>"수미간 18L2"</f>
        <v>수미간 18L2</v>
      </c>
      <c r="I15260" s="1" t="s">
        <v>8</v>
      </c>
      <c r="J15260" s="1" t="str">
        <f>"74/74"</f>
        <v>74/74</v>
      </c>
      <c r="K15260" s="1" t="str">
        <f t="shared" ref="K15260:K15265" si="774">"2026-07-29 13:18:01"</f>
        <v>2026-07-29 13:18:01</v>
      </c>
      <c r="L15260" s="1" t="str">
        <f>"2018-03-23 15:33:34"</f>
        <v>2018-03-23 15:33:34</v>
      </c>
      <c r="M15260" s="1" t="s">
        <v>45</v>
      </c>
      <c r="N15260" s="1" t="s">
        <v>38</v>
      </c>
      <c r="O15260" s="1" t="s">
        <v>46</v>
      </c>
    </row>
    <row r="15261" spans="2:15" x14ac:dyDescent="0.3">
      <c r="B15261" s="1" t="s">
        <v>19</v>
      </c>
      <c r="C15261" s="1" t="str">
        <f>"1차"</f>
        <v>1차</v>
      </c>
      <c r="D15261" s="1" t="str">
        <f>"0129B18200"</f>
        <v>0129B18200</v>
      </c>
      <c r="E15261" s="1" t="s">
        <v>10</v>
      </c>
      <c r="F15261" s="1" t="str">
        <f>"10.107.0.5"</f>
        <v>10.107.0.5</v>
      </c>
      <c r="G15261" s="1" t="str">
        <f>"0129B182"</f>
        <v>0129B182</v>
      </c>
      <c r="H15261" s="1" t="str">
        <f>"수미간 22L5"</f>
        <v>수미간 22L5</v>
      </c>
      <c r="I15261" s="1" t="s">
        <v>8</v>
      </c>
      <c r="J15261" s="1" t="str">
        <f>"17/17"</f>
        <v>17/17</v>
      </c>
      <c r="K15261" s="1" t="str">
        <f t="shared" si="774"/>
        <v>2026-07-29 13:18:01</v>
      </c>
      <c r="L15261" s="1" t="str">
        <f>"2014-10-23 00:13:56"</f>
        <v>2014-10-23 00:13:56</v>
      </c>
      <c r="M15261" s="1" t="s">
        <v>45</v>
      </c>
      <c r="N15261" s="1" t="s">
        <v>38</v>
      </c>
      <c r="O15261" s="1" t="s">
        <v>46</v>
      </c>
    </row>
    <row r="15262" spans="2:15" x14ac:dyDescent="0.3">
      <c r="B15262" s="1" t="s">
        <v>19</v>
      </c>
      <c r="C15262" s="1" t="str">
        <f>"3차"</f>
        <v>3차</v>
      </c>
      <c r="D15262" s="1" t="str">
        <f>"0129B19139"</f>
        <v>0129B19139</v>
      </c>
      <c r="E15262" s="1" t="s">
        <v>10</v>
      </c>
      <c r="F15262" s="1" t="str">
        <f>"10.107.6.96"</f>
        <v>10.107.6.96</v>
      </c>
      <c r="G15262" s="1" t="str">
        <f>"0129B191"</f>
        <v>0129B191</v>
      </c>
      <c r="H15262" s="1" t="str">
        <f>"수미간 18L4L1"</f>
        <v>수미간 18L4L1</v>
      </c>
      <c r="I15262" s="1" t="s">
        <v>8</v>
      </c>
      <c r="J15262" s="1" t="str">
        <f>"68/72"</f>
        <v>68/72</v>
      </c>
      <c r="K15262" s="1" t="str">
        <f t="shared" si="774"/>
        <v>2026-07-29 13:18:01</v>
      </c>
      <c r="L15262" s="1" t="str">
        <f>"2018-03-23 15:35:15"</f>
        <v>2018-03-23 15:35:15</v>
      </c>
      <c r="M15262" s="1" t="s">
        <v>45</v>
      </c>
      <c r="N15262" s="1" t="s">
        <v>38</v>
      </c>
      <c r="O15262" s="1" t="s">
        <v>46</v>
      </c>
    </row>
    <row r="15263" spans="2:15" x14ac:dyDescent="0.3">
      <c r="B15263" s="1" t="s">
        <v>19</v>
      </c>
      <c r="C15263" s="1" t="str">
        <f>"3차"</f>
        <v>3차</v>
      </c>
      <c r="D15263" s="1" t="str">
        <f>"0129B19239"</f>
        <v>0129B19239</v>
      </c>
      <c r="E15263" s="1" t="s">
        <v>10</v>
      </c>
      <c r="F15263" s="1" t="str">
        <f>"10.107.6.95"</f>
        <v>10.107.6.95</v>
      </c>
      <c r="G15263" s="1" t="str">
        <f>"0129B192"</f>
        <v>0129B192</v>
      </c>
      <c r="H15263" s="1" t="str">
        <f>"수미간 18L4"</f>
        <v>수미간 18L4</v>
      </c>
      <c r="I15263" s="1" t="s">
        <v>8</v>
      </c>
      <c r="J15263" s="1" t="str">
        <f>"23/23"</f>
        <v>23/23</v>
      </c>
      <c r="K15263" s="1" t="str">
        <f t="shared" si="774"/>
        <v>2026-07-29 13:18:01</v>
      </c>
      <c r="L15263" s="1" t="str">
        <f>"2018-03-23 14:00:11"</f>
        <v>2018-03-23 14:00:11</v>
      </c>
      <c r="M15263" s="1" t="s">
        <v>45</v>
      </c>
      <c r="N15263" s="1" t="s">
        <v>38</v>
      </c>
      <c r="O15263" s="1" t="s">
        <v>46</v>
      </c>
    </row>
    <row r="15264" spans="2:15" x14ac:dyDescent="0.3">
      <c r="B15264" s="1" t="s">
        <v>19</v>
      </c>
      <c r="C15264" s="1" t="str">
        <f>"3차"</f>
        <v>3차</v>
      </c>
      <c r="D15264" s="1" t="str">
        <f>"0129B21130"</f>
        <v>0129B21130</v>
      </c>
      <c r="E15264" s="1" t="s">
        <v>10</v>
      </c>
      <c r="F15264" s="1" t="str">
        <f>"10.107.122.184"</f>
        <v>10.107.122.184</v>
      </c>
      <c r="G15264" s="1" t="str">
        <f>"0129B211"</f>
        <v>0129B211</v>
      </c>
      <c r="H15264" s="1" t="str">
        <f>"수미간 27L4"</f>
        <v>수미간 27L4</v>
      </c>
      <c r="I15264" s="1" t="s">
        <v>8</v>
      </c>
      <c r="J15264" s="1" t="str">
        <f>"17/19"</f>
        <v>17/19</v>
      </c>
      <c r="K15264" s="1" t="str">
        <f t="shared" si="774"/>
        <v>2026-07-29 13:18:01</v>
      </c>
      <c r="L15264" s="1" t="str">
        <f>"2018-03-23 14:17:08"</f>
        <v>2018-03-23 14:17:08</v>
      </c>
      <c r="M15264" s="1" t="s">
        <v>45</v>
      </c>
      <c r="N15264" s="1" t="s">
        <v>38</v>
      </c>
      <c r="O15264" s="1" t="s">
        <v>46</v>
      </c>
    </row>
    <row r="15265" spans="2:15" x14ac:dyDescent="0.3">
      <c r="B15265" s="1" t="s">
        <v>19</v>
      </c>
      <c r="C15265" s="1" t="str">
        <f>"4차"</f>
        <v>4차</v>
      </c>
      <c r="D15265" s="1" t="str">
        <f>"0129B22239"</f>
        <v>0129B22239</v>
      </c>
      <c r="E15265" s="1" t="s">
        <v>10</v>
      </c>
      <c r="F15265" s="1" t="str">
        <f>"10.107.122.181"</f>
        <v>10.107.122.181</v>
      </c>
      <c r="G15265" s="1" t="str">
        <f>"0129B222"</f>
        <v>0129B222</v>
      </c>
      <c r="H15265" s="1" t="str">
        <f>"수미간 18L19R1"</f>
        <v>수미간 18L19R1</v>
      </c>
      <c r="I15265" s="1" t="s">
        <v>8</v>
      </c>
      <c r="J15265" s="1" t="str">
        <f>"36/37"</f>
        <v>36/37</v>
      </c>
      <c r="K15265" s="1" t="str">
        <f t="shared" si="774"/>
        <v>2026-07-29 13:18:01</v>
      </c>
      <c r="L15265" s="1" t="str">
        <f>"2018-03-23 14:48:41"</f>
        <v>2018-03-23 14:48:41</v>
      </c>
      <c r="M15265" s="1" t="s">
        <v>45</v>
      </c>
      <c r="N15265" s="1" t="s">
        <v>38</v>
      </c>
      <c r="O15265" s="1" t="s">
        <v>46</v>
      </c>
    </row>
    <row r="15266" spans="2:15" x14ac:dyDescent="0.3">
      <c r="B15266" s="1" t="s">
        <v>19</v>
      </c>
      <c r="C15266" s="1" t="str">
        <f>"5-2차"</f>
        <v>5-2차</v>
      </c>
      <c r="D15266" s="1" t="str">
        <f>"0129B2425M"</f>
        <v>0129B2425M</v>
      </c>
      <c r="E15266" s="1" t="s">
        <v>10</v>
      </c>
      <c r="F15266" s="1" t="str">
        <f>"fde3:102:1410:1500:0:0:0:a"</f>
        <v>fde3:102:1410:1500:0:0:0:a</v>
      </c>
      <c r="G15266" s="1" t="str">
        <f>"0129B242"</f>
        <v>0129B242</v>
      </c>
      <c r="H15266" s="1" t="str">
        <f>"수미간 18L17"</f>
        <v>수미간 18L17</v>
      </c>
      <c r="I15266" s="1" t="s">
        <v>15</v>
      </c>
      <c r="J15266" s="1" t="str">
        <f>"61/66"</f>
        <v>61/66</v>
      </c>
      <c r="K15266" s="1" t="str">
        <f>"2026-07-29 02:20:20"</f>
        <v>2026-07-29 02:20:20</v>
      </c>
      <c r="L15266" s="1" t="str">
        <f>"2023-10-20 11:38:37"</f>
        <v>2023-10-20 11:38:37</v>
      </c>
      <c r="M15266" s="1" t="s">
        <v>45</v>
      </c>
      <c r="N15266" s="1" t="s">
        <v>38</v>
      </c>
      <c r="O15266" s="1" t="s">
        <v>46</v>
      </c>
    </row>
    <row r="15267" spans="2:15" x14ac:dyDescent="0.3">
      <c r="B15267" s="1" t="s">
        <v>19</v>
      </c>
      <c r="C15267" s="1" t="str">
        <f>"1차"</f>
        <v>1차</v>
      </c>
      <c r="D15267" s="1" t="str">
        <f>"0129B26100"</f>
        <v>0129B26100</v>
      </c>
      <c r="E15267" s="1" t="s">
        <v>10</v>
      </c>
      <c r="F15267" s="1" t="str">
        <f>"10.107.122.174"</f>
        <v>10.107.122.174</v>
      </c>
      <c r="G15267" s="1" t="str">
        <f>"0129B261"</f>
        <v>0129B261</v>
      </c>
      <c r="H15267" s="1" t="str">
        <f>"수미간 18L14R1"</f>
        <v>수미간 18L14R1</v>
      </c>
      <c r="I15267" s="1" t="s">
        <v>8</v>
      </c>
      <c r="J15267" s="1" t="str">
        <f>"13/13"</f>
        <v>13/13</v>
      </c>
      <c r="K15267" s="1" t="str">
        <f>"2026-07-29 13:18:01"</f>
        <v>2026-07-29 13:18:01</v>
      </c>
      <c r="L15267" s="1" t="str">
        <f>"2014-10-19 00:13:44"</f>
        <v>2014-10-19 00:13:44</v>
      </c>
      <c r="M15267" s="1" t="s">
        <v>45</v>
      </c>
      <c r="N15267" s="1" t="s">
        <v>38</v>
      </c>
      <c r="O15267" s="1" t="s">
        <v>46</v>
      </c>
    </row>
    <row r="15268" spans="2:15" x14ac:dyDescent="0.3">
      <c r="B15268" s="1" t="s">
        <v>19</v>
      </c>
      <c r="C15268" s="1" t="str">
        <f>"1차"</f>
        <v>1차</v>
      </c>
      <c r="D15268" s="1" t="str">
        <f>"0129B28100"</f>
        <v>0129B28100</v>
      </c>
      <c r="E15268" s="1" t="s">
        <v>10</v>
      </c>
      <c r="F15268" s="1" t="str">
        <f>"10.107.0.8"</f>
        <v>10.107.0.8</v>
      </c>
      <c r="G15268" s="1" t="str">
        <f>"0129B281"</f>
        <v>0129B281</v>
      </c>
      <c r="H15268" s="1" t="str">
        <f>"수미간 18L8R1"</f>
        <v>수미간 18L8R1</v>
      </c>
      <c r="I15268" s="1" t="s">
        <v>8</v>
      </c>
      <c r="J15268" s="1" t="str">
        <f>"26/28"</f>
        <v>26/28</v>
      </c>
      <c r="K15268" s="1" t="str">
        <f>"2026-07-29 13:18:01"</f>
        <v>2026-07-29 13:18:01</v>
      </c>
      <c r="L15268" s="1" t="str">
        <f>"2014-10-09 08:12:10"</f>
        <v>2014-10-09 08:12:10</v>
      </c>
      <c r="M15268" s="1" t="s">
        <v>45</v>
      </c>
      <c r="N15268" s="1" t="s">
        <v>38</v>
      </c>
      <c r="O15268" s="1" t="s">
        <v>46</v>
      </c>
    </row>
    <row r="15269" spans="2:15" x14ac:dyDescent="0.3">
      <c r="B15269" s="1" t="s">
        <v>19</v>
      </c>
      <c r="C15269" s="1" t="str">
        <f>"1차"</f>
        <v>1차</v>
      </c>
      <c r="D15269" s="1" t="str">
        <f>"0129B28201"</f>
        <v>0129B28201</v>
      </c>
      <c r="E15269" s="1" t="s">
        <v>10</v>
      </c>
      <c r="F15269" s="1" t="str">
        <f>"10.107.0.9"</f>
        <v>10.107.0.9</v>
      </c>
      <c r="G15269" s="1" t="str">
        <f>"0129B282"</f>
        <v>0129B282</v>
      </c>
      <c r="H15269" s="1" t="str">
        <f>"수미간 18L8R2"</f>
        <v>수미간 18L8R2</v>
      </c>
      <c r="I15269" s="1" t="s">
        <v>8</v>
      </c>
      <c r="J15269" s="1" t="str">
        <f>"8/9"</f>
        <v>8/9</v>
      </c>
      <c r="K15269" s="1" t="str">
        <f>"2026-07-29 13:18:02"</f>
        <v>2026-07-29 13:18:02</v>
      </c>
      <c r="L15269" s="1" t="str">
        <f>"2014-10-22 00:14:10"</f>
        <v>2014-10-22 00:14:10</v>
      </c>
      <c r="M15269" s="1" t="s">
        <v>45</v>
      </c>
      <c r="N15269" s="1" t="s">
        <v>38</v>
      </c>
      <c r="O15269" s="1" t="s">
        <v>46</v>
      </c>
    </row>
    <row r="15270" spans="2:15" x14ac:dyDescent="0.3">
      <c r="B15270" s="1" t="s">
        <v>19</v>
      </c>
      <c r="C15270" s="1" t="str">
        <f>"1차"</f>
        <v>1차</v>
      </c>
      <c r="D15270" s="1" t="str">
        <f>"0129B29201"</f>
        <v>0129B29201</v>
      </c>
      <c r="E15270" s="1" t="s">
        <v>10</v>
      </c>
      <c r="F15270" s="1" t="str">
        <f>"10.12.130.188"</f>
        <v>10.12.130.188</v>
      </c>
      <c r="G15270" s="1" t="str">
        <f>"0129B292"</f>
        <v>0129B292</v>
      </c>
      <c r="H15270" s="1" t="str">
        <f>"수미간 22L7"</f>
        <v>수미간 22L7</v>
      </c>
      <c r="I15270" s="1" t="s">
        <v>8</v>
      </c>
      <c r="J15270" s="1" t="str">
        <f>"25/25"</f>
        <v>25/25</v>
      </c>
      <c r="K15270" s="1" t="str">
        <f>"2026-07-29 13:18:02"</f>
        <v>2026-07-29 13:18:02</v>
      </c>
      <c r="L15270" s="1" t="str">
        <f>"2014-10-25 00:13:56"</f>
        <v>2014-10-25 00:13:56</v>
      </c>
      <c r="M15270" s="1" t="s">
        <v>0</v>
      </c>
      <c r="N15270" s="1" t="s">
        <v>38</v>
      </c>
      <c r="O15270" s="1" t="s">
        <v>46</v>
      </c>
    </row>
    <row r="15271" spans="2:15" x14ac:dyDescent="0.3">
      <c r="B15271" s="1" t="s">
        <v>19</v>
      </c>
      <c r="C15271" s="1" t="str">
        <f>"4차"</f>
        <v>4차</v>
      </c>
      <c r="D15271" s="1" t="str">
        <f>"0129B31539"</f>
        <v>0129B31539</v>
      </c>
      <c r="E15271" s="1" t="s">
        <v>10</v>
      </c>
      <c r="F15271" s="1" t="str">
        <f>"10.107.122.186"</f>
        <v>10.107.122.186</v>
      </c>
      <c r="G15271" s="1" t="str">
        <f>"0129B315"</f>
        <v>0129B315</v>
      </c>
      <c r="H15271" s="1" t="str">
        <f>"수미간 27L5"</f>
        <v>수미간 27L5</v>
      </c>
      <c r="I15271" s="1" t="s">
        <v>8</v>
      </c>
      <c r="J15271" s="1" t="str">
        <f>"19/19"</f>
        <v>19/19</v>
      </c>
      <c r="K15271" s="1" t="str">
        <f>"2026-07-29 13:18:01"</f>
        <v>2026-07-29 13:18:01</v>
      </c>
      <c r="L15271" s="1" t="str">
        <f>"2018-03-23 14:17:59"</f>
        <v>2018-03-23 14:17:59</v>
      </c>
      <c r="M15271" s="1" t="s">
        <v>45</v>
      </c>
      <c r="N15271" s="1" t="s">
        <v>38</v>
      </c>
      <c r="O15271" s="1" t="s">
        <v>46</v>
      </c>
    </row>
    <row r="15272" spans="2:15" x14ac:dyDescent="0.3">
      <c r="B15272" s="1" t="s">
        <v>19</v>
      </c>
      <c r="C15272" s="1" t="str">
        <f>"5-2차"</f>
        <v>5-2차</v>
      </c>
      <c r="D15272" s="1" t="str">
        <f>"0129B3335S"</f>
        <v>0129B3335S</v>
      </c>
      <c r="E15272" s="1" t="s">
        <v>10</v>
      </c>
      <c r="F15272" s="1" t="str">
        <f>"fde3:102:1410:1500:0:0:0:b"</f>
        <v>fde3:102:1410:1500:0:0:0:b</v>
      </c>
      <c r="G15272" s="1" t="str">
        <f>"0129B333"</f>
        <v>0129B333</v>
      </c>
      <c r="H15272" s="1" t="str">
        <f>"수미간 18L18"</f>
        <v>수미간 18L18</v>
      </c>
      <c r="I15272" s="1" t="s">
        <v>15</v>
      </c>
      <c r="J15272" s="1" t="str">
        <f>"52/52"</f>
        <v>52/52</v>
      </c>
      <c r="K15272" s="1" t="str">
        <f>"2026-07-29 14:20:17"</f>
        <v>2026-07-29 14:20:17</v>
      </c>
      <c r="L15272" s="1" t="str">
        <f>"2023-08-07 09:40:09"</f>
        <v>2023-08-07 09:40:09</v>
      </c>
      <c r="M15272" s="1" t="s">
        <v>45</v>
      </c>
      <c r="N15272" s="1" t="s">
        <v>38</v>
      </c>
      <c r="O15272" s="1" t="s">
        <v>46</v>
      </c>
    </row>
    <row r="15273" spans="2:15" x14ac:dyDescent="0.3">
      <c r="B15273" s="1" t="s">
        <v>19</v>
      </c>
      <c r="C15273" s="1" t="str">
        <f>"1차"</f>
        <v>1차</v>
      </c>
      <c r="D15273" s="1" t="str">
        <f>"0129B36101"</f>
        <v>0129B36101</v>
      </c>
      <c r="E15273" s="1" t="s">
        <v>10</v>
      </c>
      <c r="F15273" s="1" t="str">
        <f>"10.107.122.176"</f>
        <v>10.107.122.176</v>
      </c>
      <c r="G15273" s="1" t="str">
        <f>"0129B361"</f>
        <v>0129B361</v>
      </c>
      <c r="H15273" s="1" t="str">
        <f>"수미간 18L14"</f>
        <v>수미간 18L14</v>
      </c>
      <c r="I15273" s="1" t="s">
        <v>8</v>
      </c>
      <c r="J15273" s="1" t="str">
        <f>"59/59"</f>
        <v>59/59</v>
      </c>
      <c r="K15273" s="1" t="str">
        <f>"2026-07-29 13:18:01"</f>
        <v>2026-07-29 13:18:01</v>
      </c>
      <c r="L15273" s="1" t="str">
        <f>"2014-10-19 00:14:17"</f>
        <v>2014-10-19 00:14:17</v>
      </c>
      <c r="M15273" s="1" t="s">
        <v>45</v>
      </c>
      <c r="N15273" s="1" t="s">
        <v>38</v>
      </c>
      <c r="O15273" s="1" t="s">
        <v>46</v>
      </c>
    </row>
    <row r="15274" spans="2:15" x14ac:dyDescent="0.3">
      <c r="B15274" s="1" t="s">
        <v>19</v>
      </c>
      <c r="C15274" s="1" t="str">
        <f>"5-2차"</f>
        <v>5-2차</v>
      </c>
      <c r="D15274" s="1" t="str">
        <f>"0129B3625M"</f>
        <v>0129B3625M</v>
      </c>
      <c r="E15274" s="1" t="s">
        <v>10</v>
      </c>
      <c r="F15274" s="1" t="str">
        <f>"fde3:102:1410:1100:0:0:0:c"</f>
        <v>fde3:102:1410:1100:0:0:0:c</v>
      </c>
      <c r="G15274" s="1" t="str">
        <f>"0129B362"</f>
        <v>0129B362</v>
      </c>
      <c r="H15274" s="1" t="str">
        <f>"수미간 18L14L1"</f>
        <v>수미간 18L14L1</v>
      </c>
      <c r="I15274" s="1" t="s">
        <v>15</v>
      </c>
      <c r="J15274" s="1" t="str">
        <f>"44/44"</f>
        <v>44/44</v>
      </c>
      <c r="K15274" s="1" t="str">
        <f>"2026-07-29 14:20:56"</f>
        <v>2026-07-29 14:20:56</v>
      </c>
      <c r="L15274" s="1" t="str">
        <f>"2023-08-07 10:08:56"</f>
        <v>2023-08-07 10:08:56</v>
      </c>
      <c r="M15274" s="1" t="s">
        <v>45</v>
      </c>
      <c r="N15274" s="1" t="s">
        <v>38</v>
      </c>
      <c r="O15274" s="1" t="s">
        <v>46</v>
      </c>
    </row>
    <row r="15275" spans="2:15" x14ac:dyDescent="0.3">
      <c r="B15275" s="1" t="s">
        <v>19</v>
      </c>
      <c r="C15275" s="1" t="str">
        <f>"1차"</f>
        <v>1차</v>
      </c>
      <c r="D15275" s="1" t="str">
        <f>"0129B37100"</f>
        <v>0129B37100</v>
      </c>
      <c r="E15275" s="1" t="s">
        <v>10</v>
      </c>
      <c r="F15275" s="1" t="str">
        <f>"10.107.0.25"</f>
        <v>10.107.0.25</v>
      </c>
      <c r="G15275" s="1" t="str">
        <f>"0129B371"</f>
        <v>0129B371</v>
      </c>
      <c r="H15275" s="1" t="str">
        <f>"수미간 18L12"</f>
        <v>수미간 18L12</v>
      </c>
      <c r="I15275" s="1" t="s">
        <v>8</v>
      </c>
      <c r="J15275" s="1" t="str">
        <f>"38/39"</f>
        <v>38/39</v>
      </c>
      <c r="K15275" s="1" t="str">
        <f>"2026-07-29 13:18:01"</f>
        <v>2026-07-29 13:18:01</v>
      </c>
      <c r="L15275" s="1" t="str">
        <f>"2014-10-21 00:14:03"</f>
        <v>2014-10-21 00:14:03</v>
      </c>
      <c r="M15275" s="1" t="s">
        <v>45</v>
      </c>
      <c r="N15275" s="1" t="s">
        <v>38</v>
      </c>
      <c r="O15275" s="1" t="s">
        <v>46</v>
      </c>
    </row>
    <row r="15276" spans="2:15" x14ac:dyDescent="0.3">
      <c r="B15276" s="1" t="s">
        <v>19</v>
      </c>
      <c r="C15276" s="1" t="str">
        <f>"5-2차"</f>
        <v>5-2차</v>
      </c>
      <c r="D15276" s="1" t="str">
        <f>"0129B4615S"</f>
        <v>0129B4615S</v>
      </c>
      <c r="E15276" s="1" t="s">
        <v>10</v>
      </c>
      <c r="F15276" s="1" t="str">
        <f>"fde3:102:1410:1100:0:0:0:a"</f>
        <v>fde3:102:1410:1100:0:0:0:a</v>
      </c>
      <c r="G15276" s="1" t="str">
        <f>"0129B461"</f>
        <v>0129B461</v>
      </c>
      <c r="H15276" s="1" t="str">
        <f>"수미간 18L14L2"</f>
        <v>수미간 18L14L2</v>
      </c>
      <c r="I15276" s="1" t="s">
        <v>15</v>
      </c>
      <c r="J15276" s="1" t="str">
        <f>"63/64"</f>
        <v>63/64</v>
      </c>
      <c r="K15276" s="1" t="str">
        <f>"2026-07-29 14:20:39"</f>
        <v>2026-07-29 14:20:39</v>
      </c>
      <c r="L15276" s="1" t="str">
        <f>"2023-10-30 18:34:48"</f>
        <v>2023-10-30 18:34:48</v>
      </c>
      <c r="M15276" s="1" t="s">
        <v>45</v>
      </c>
      <c r="N15276" s="1" t="s">
        <v>38</v>
      </c>
      <c r="O15276" s="1" t="s">
        <v>46</v>
      </c>
    </row>
    <row r="15277" spans="2:15" x14ac:dyDescent="0.3">
      <c r="B15277" s="1" t="s">
        <v>19</v>
      </c>
      <c r="C15277" s="1" t="str">
        <f>"5-2차"</f>
        <v>5-2차</v>
      </c>
      <c r="D15277" s="1" t="str">
        <f>"0129B4715S"</f>
        <v>0129B4715S</v>
      </c>
      <c r="E15277" s="1" t="s">
        <v>10</v>
      </c>
      <c r="F15277" s="1" t="str">
        <f>"fde1:103:4:6e81:0:0:0:2"</f>
        <v>fde1:103:4:6e81:0:0:0:2</v>
      </c>
      <c r="G15277" s="1" t="str">
        <f>"0129B471"</f>
        <v>0129B471</v>
      </c>
      <c r="H15277" s="1" t="str">
        <f>"수미간 18L14L3"</f>
        <v>수미간 18L14L3</v>
      </c>
      <c r="I15277" s="1" t="s">
        <v>15</v>
      </c>
      <c r="J15277" s="1" t="str">
        <f>"66/67"</f>
        <v>66/67</v>
      </c>
      <c r="K15277" s="1" t="str">
        <f>"2026-07-29 14:20:46"</f>
        <v>2026-07-29 14:20:46</v>
      </c>
      <c r="L15277" s="1" t="str">
        <f>"2023-11-10 15:46:04"</f>
        <v>2023-11-10 15:46:04</v>
      </c>
      <c r="M15277" s="1" t="s">
        <v>4</v>
      </c>
      <c r="N15277" s="1" t="s">
        <v>38</v>
      </c>
      <c r="O15277" s="1" t="s">
        <v>46</v>
      </c>
    </row>
    <row r="15278" spans="2:15" x14ac:dyDescent="0.3">
      <c r="B15278" s="1" t="s">
        <v>19</v>
      </c>
      <c r="C15278" s="1" t="s">
        <v>16</v>
      </c>
      <c r="D15278" s="1" t="str">
        <f>"0129B48341"</f>
        <v>0129B48341</v>
      </c>
      <c r="E15278" s="1" t="s">
        <v>10</v>
      </c>
      <c r="F15278" s="1" t="str">
        <f>"10.12.129.83"</f>
        <v>10.12.129.83</v>
      </c>
      <c r="G15278" s="1" t="str">
        <f>"0129B483"</f>
        <v>0129B483</v>
      </c>
      <c r="H15278" s="1" t="str">
        <f>"수미간 18L11C1"</f>
        <v>수미간 18L11C1</v>
      </c>
      <c r="I15278" s="1" t="s">
        <v>17</v>
      </c>
      <c r="J15278" s="1" t="str">
        <f>"23/35"</f>
        <v>23/35</v>
      </c>
      <c r="K15278" s="1" t="str">
        <f>"2026-07-29 13:18:01"</f>
        <v>2026-07-29 13:18:01</v>
      </c>
      <c r="L15278" s="1" t="str">
        <f>"2022-11-28 17:08:43"</f>
        <v>2022-11-28 17:08:43</v>
      </c>
      <c r="M15278" s="1" t="s">
        <v>0</v>
      </c>
      <c r="N15278" s="1" t="s">
        <v>38</v>
      </c>
      <c r="O15278" s="1" t="s">
        <v>46</v>
      </c>
    </row>
    <row r="15279" spans="2:15" x14ac:dyDescent="0.3">
      <c r="B15279" s="1" t="s">
        <v>19</v>
      </c>
      <c r="C15279" s="1" t="str">
        <f>"3차"</f>
        <v>3차</v>
      </c>
      <c r="D15279" s="1" t="str">
        <f>"0129B50139"</f>
        <v>0129B50139</v>
      </c>
      <c r="E15279" s="1" t="s">
        <v>10</v>
      </c>
      <c r="F15279" s="1" t="str">
        <f>"10.107.123.61"</f>
        <v>10.107.123.61</v>
      </c>
      <c r="G15279" s="1" t="str">
        <f>"0129B501"</f>
        <v>0129B501</v>
      </c>
      <c r="H15279" s="1" t="str">
        <f>"수미간 30L9"</f>
        <v>수미간 30L9</v>
      </c>
      <c r="I15279" s="1" t="s">
        <v>8</v>
      </c>
      <c r="J15279" s="1" t="str">
        <f>"28/30"</f>
        <v>28/30</v>
      </c>
      <c r="K15279" s="1" t="str">
        <f>"2026-07-29 13:18:01"</f>
        <v>2026-07-29 13:18:01</v>
      </c>
      <c r="L15279" s="1" t="str">
        <f>"2018-04-09 11:50:10"</f>
        <v>2018-04-09 11:50:10</v>
      </c>
      <c r="M15279" s="1" t="s">
        <v>45</v>
      </c>
      <c r="N15279" s="1" t="s">
        <v>38</v>
      </c>
      <c r="O15279" s="1" t="s">
        <v>46</v>
      </c>
    </row>
    <row r="15280" spans="2:15" x14ac:dyDescent="0.3">
      <c r="B15280" s="1" t="s">
        <v>19</v>
      </c>
      <c r="C15280" s="1" t="str">
        <f>"5-2차"</f>
        <v>5-2차</v>
      </c>
      <c r="D15280" s="1" t="str">
        <f>"0129B5025M"</f>
        <v>0129B5025M</v>
      </c>
      <c r="E15280" s="1" t="s">
        <v>10</v>
      </c>
      <c r="F15280" s="1" t="str">
        <f>"fde3:102:1410:1400:0:0:0:14"</f>
        <v>fde3:102:1410:1400:0:0:0:14</v>
      </c>
      <c r="G15280" s="1" t="str">
        <f>"0129B502"</f>
        <v>0129B502</v>
      </c>
      <c r="H15280" s="1" t="str">
        <f>"수미간 30L10"</f>
        <v>수미간 30L10</v>
      </c>
      <c r="I15280" s="1" t="s">
        <v>15</v>
      </c>
      <c r="J15280" s="1" t="str">
        <f>"42/42"</f>
        <v>42/42</v>
      </c>
      <c r="K15280" s="1" t="str">
        <f>"2026-07-29 14:20:21"</f>
        <v>2026-07-29 14:20:21</v>
      </c>
      <c r="L15280" s="1" t="str">
        <f>"2023-08-04 16:57:24"</f>
        <v>2023-08-04 16:57:24</v>
      </c>
      <c r="M15280" s="1" t="s">
        <v>45</v>
      </c>
      <c r="N15280" s="1" t="s">
        <v>38</v>
      </c>
      <c r="O15280" s="1" t="s">
        <v>46</v>
      </c>
    </row>
    <row r="15281" spans="2:15" x14ac:dyDescent="0.3">
      <c r="B15281" s="1" t="s">
        <v>19</v>
      </c>
      <c r="C15281" s="1" t="str">
        <f>"5-1차"</f>
        <v>5-1차</v>
      </c>
      <c r="D15281" s="1" t="str">
        <f>"0129B5535M"</f>
        <v>0129B5535M</v>
      </c>
      <c r="E15281" s="1" t="s">
        <v>10</v>
      </c>
      <c r="F15281" s="1" t="str">
        <f>"fde2:104:0:2c:0:0:0:2"</f>
        <v>fde2:104:0:2c:0:0:0:2</v>
      </c>
      <c r="G15281" s="1" t="str">
        <f>"0129B553"</f>
        <v>0129B553</v>
      </c>
      <c r="H15281" s="1" t="str">
        <f>"수미간 30L17L7L1"</f>
        <v>수미간 30L17L7L1</v>
      </c>
      <c r="I15281" s="1" t="s">
        <v>15</v>
      </c>
      <c r="J15281" s="1" t="str">
        <f>"25/25"</f>
        <v>25/25</v>
      </c>
      <c r="K15281" s="1" t="str">
        <f>"2026-07-29 14:20:02"</f>
        <v>2026-07-29 14:20:02</v>
      </c>
      <c r="L15281" s="1" t="str">
        <f>"2022-08-22 08:32:27"</f>
        <v>2022-08-22 08:32:27</v>
      </c>
      <c r="M15281" s="1" t="s">
        <v>42</v>
      </c>
      <c r="N15281" s="1" t="s">
        <v>38</v>
      </c>
      <c r="O15281" s="1" t="s">
        <v>46</v>
      </c>
    </row>
    <row r="15282" spans="2:15" x14ac:dyDescent="0.3">
      <c r="B15282" s="1" t="s">
        <v>19</v>
      </c>
      <c r="C15282" s="1" t="str">
        <f>"5-2차"</f>
        <v>5-2차</v>
      </c>
      <c r="D15282" s="1" t="str">
        <f>"0129B5615M"</f>
        <v>0129B5615M</v>
      </c>
      <c r="E15282" s="1" t="s">
        <v>10</v>
      </c>
      <c r="F15282" s="1" t="str">
        <f>"fde3:102:1410:1100:0:0:0:9"</f>
        <v>fde3:102:1410:1100:0:0:0:9</v>
      </c>
      <c r="G15282" s="1" t="str">
        <f>"0129B561"</f>
        <v>0129B561</v>
      </c>
      <c r="H15282" s="1" t="str">
        <f>"솔샘간 4R3L5R2"</f>
        <v>솔샘간 4R3L5R2</v>
      </c>
      <c r="I15282" s="1" t="s">
        <v>15</v>
      </c>
      <c r="J15282" s="1" t="str">
        <f>"62/62"</f>
        <v>62/62</v>
      </c>
      <c r="K15282" s="1" t="str">
        <f>"2026-07-29 08:20:16"</f>
        <v>2026-07-29 08:20:16</v>
      </c>
      <c r="L15282" s="1" t="str">
        <f>"2023-08-07 11:08:05"</f>
        <v>2023-08-07 11:08:05</v>
      </c>
      <c r="M15282" s="1" t="s">
        <v>45</v>
      </c>
      <c r="N15282" s="1" t="s">
        <v>38</v>
      </c>
      <c r="O15282" s="1" t="s">
        <v>46</v>
      </c>
    </row>
    <row r="15283" spans="2:15" x14ac:dyDescent="0.3">
      <c r="B15283" s="1" t="s">
        <v>19</v>
      </c>
      <c r="C15283" s="1" t="str">
        <f>"5-1차"</f>
        <v>5-1차</v>
      </c>
      <c r="D15283" s="1" t="str">
        <f>"0129B5715S"</f>
        <v>0129B5715S</v>
      </c>
      <c r="E15283" s="1" t="s">
        <v>10</v>
      </c>
      <c r="F15283" s="1" t="str">
        <f>"fde3:102:1410:1100:0:0:0:3"</f>
        <v>fde3:102:1410:1100:0:0:0:3</v>
      </c>
      <c r="G15283" s="1" t="str">
        <f>"0129B571"</f>
        <v>0129B571</v>
      </c>
      <c r="H15283" s="1" t="str">
        <f>"수미간 18L14L2R1"</f>
        <v>수미간 18L14L2R1</v>
      </c>
      <c r="I15283" s="1" t="s">
        <v>15</v>
      </c>
      <c r="J15283" s="1" t="str">
        <f>"58/58"</f>
        <v>58/58</v>
      </c>
      <c r="K15283" s="1" t="str">
        <f>"2026-07-29 14:20:46"</f>
        <v>2026-07-29 14:20:46</v>
      </c>
      <c r="L15283" s="1" t="str">
        <f>"2022-10-06 13:01:57"</f>
        <v>2022-10-06 13:01:57</v>
      </c>
      <c r="M15283" s="1" t="s">
        <v>45</v>
      </c>
      <c r="N15283" s="1" t="s">
        <v>38</v>
      </c>
      <c r="O15283" s="1" t="s">
        <v>46</v>
      </c>
    </row>
    <row r="15284" spans="2:15" x14ac:dyDescent="0.3">
      <c r="B15284" s="1" t="s">
        <v>19</v>
      </c>
      <c r="C15284" s="1" t="str">
        <f>"4차"</f>
        <v>4차</v>
      </c>
      <c r="D15284" s="1" t="str">
        <f>"0129B60131"</f>
        <v>0129B60131</v>
      </c>
      <c r="E15284" s="1" t="s">
        <v>10</v>
      </c>
      <c r="F15284" s="1" t="str">
        <f>"10.107.123.55"</f>
        <v>10.107.123.55</v>
      </c>
      <c r="G15284" s="1" t="str">
        <f>"0129B601"</f>
        <v>0129B601</v>
      </c>
      <c r="H15284" s="1" t="str">
        <f>"수미간 30L12R1R1"</f>
        <v>수미간 30L12R1R1</v>
      </c>
      <c r="I15284" s="1" t="s">
        <v>8</v>
      </c>
      <c r="J15284" s="1" t="str">
        <f>"97/97"</f>
        <v>97/97</v>
      </c>
      <c r="K15284" s="1" t="str">
        <f>"2026-07-29 13:18:05"</f>
        <v>2026-07-29 13:18:05</v>
      </c>
      <c r="L15284" s="1" t="str">
        <f>"2018-04-17 18:22:43"</f>
        <v>2018-04-17 18:22:43</v>
      </c>
      <c r="M15284" s="1" t="s">
        <v>45</v>
      </c>
      <c r="N15284" s="1" t="s">
        <v>38</v>
      </c>
      <c r="O15284" s="1" t="s">
        <v>46</v>
      </c>
    </row>
    <row r="15285" spans="2:15" x14ac:dyDescent="0.3">
      <c r="B15285" s="1" t="s">
        <v>19</v>
      </c>
      <c r="C15285" s="1" t="str">
        <f>"4차"</f>
        <v>4차</v>
      </c>
      <c r="D15285" s="1" t="str">
        <f>"0129B61231"</f>
        <v>0129B61231</v>
      </c>
      <c r="E15285" s="1" t="s">
        <v>10</v>
      </c>
      <c r="F15285" s="1" t="str">
        <f>"10.12.132.190"</f>
        <v>10.12.132.190</v>
      </c>
      <c r="G15285" s="1" t="str">
        <f>"0129B612"</f>
        <v>0129B612</v>
      </c>
      <c r="H15285" s="1" t="str">
        <f>"수미간 30L12"</f>
        <v>수미간 30L12</v>
      </c>
      <c r="I15285" s="1" t="s">
        <v>8</v>
      </c>
      <c r="J15285" s="1" t="str">
        <f>"22/22"</f>
        <v>22/22</v>
      </c>
      <c r="K15285" s="1" t="str">
        <f>"2026-07-29 13:18:02"</f>
        <v>2026-07-29 13:18:02</v>
      </c>
      <c r="L15285" s="1" t="str">
        <f>"2025-12-18 10:33:09"</f>
        <v>2025-12-18 10:33:09</v>
      </c>
      <c r="M15285" s="1" t="s">
        <v>0</v>
      </c>
      <c r="N15285" s="1" t="s">
        <v>38</v>
      </c>
      <c r="O15285" s="1" t="s">
        <v>46</v>
      </c>
    </row>
    <row r="15286" spans="2:15" x14ac:dyDescent="0.3">
      <c r="B15286" s="1" t="s">
        <v>19</v>
      </c>
      <c r="C15286" s="1" t="str">
        <f>"5-2차"</f>
        <v>5-2차</v>
      </c>
      <c r="D15286" s="1" t="str">
        <f>"0129B6515M"</f>
        <v>0129B6515M</v>
      </c>
      <c r="E15286" s="1" t="s">
        <v>10</v>
      </c>
      <c r="F15286" s="1" t="str">
        <f>"fde3:102:1410:1500:0:0:0:e"</f>
        <v>fde3:102:1410:1500:0:0:0:e</v>
      </c>
      <c r="G15286" s="1" t="str">
        <f>"0129B651"</f>
        <v>0129B651</v>
      </c>
      <c r="H15286" s="1" t="str">
        <f>"수미간 30L17L9"</f>
        <v>수미간 30L17L9</v>
      </c>
      <c r="I15286" s="1" t="s">
        <v>15</v>
      </c>
      <c r="J15286" s="1" t="str">
        <f>"58/60"</f>
        <v>58/60</v>
      </c>
      <c r="K15286" s="1" t="str">
        <f>"2026-07-29 14:20:00"</f>
        <v>2026-07-29 14:20:00</v>
      </c>
      <c r="L15286" s="1" t="str">
        <f>"2023-08-07 11:36:46"</f>
        <v>2023-08-07 11:36:46</v>
      </c>
      <c r="M15286" s="1" t="s">
        <v>45</v>
      </c>
      <c r="N15286" s="1" t="s">
        <v>38</v>
      </c>
      <c r="O15286" s="1" t="s">
        <v>46</v>
      </c>
    </row>
    <row r="15287" spans="2:15" x14ac:dyDescent="0.3">
      <c r="B15287" s="1" t="s">
        <v>19</v>
      </c>
      <c r="C15287" s="1" t="str">
        <f>"5-2차"</f>
        <v>5-2차</v>
      </c>
      <c r="D15287" s="1" t="str">
        <f>"0129B6525M"</f>
        <v>0129B6525M</v>
      </c>
      <c r="E15287" s="1" t="s">
        <v>10</v>
      </c>
      <c r="F15287" s="1" t="str">
        <f>"fde3:102:1410:1500:0:0:0:d"</f>
        <v>fde3:102:1410:1500:0:0:0:d</v>
      </c>
      <c r="G15287" s="1" t="str">
        <f>"0129B652"</f>
        <v>0129B652</v>
      </c>
      <c r="H15287" s="1" t="str">
        <f>"수미간 30L17L8"</f>
        <v>수미간 30L17L8</v>
      </c>
      <c r="I15287" s="1" t="s">
        <v>15</v>
      </c>
      <c r="J15287" s="1" t="str">
        <f>"41/41"</f>
        <v>41/41</v>
      </c>
      <c r="K15287" s="1" t="str">
        <f>"2026-07-29 14:20:04"</f>
        <v>2026-07-29 14:20:04</v>
      </c>
      <c r="L15287" s="1" t="str">
        <f>"2023-08-07 11:24:04"</f>
        <v>2023-08-07 11:24:04</v>
      </c>
      <c r="M15287" s="1" t="s">
        <v>45</v>
      </c>
      <c r="N15287" s="1" t="s">
        <v>38</v>
      </c>
      <c r="O15287" s="1" t="s">
        <v>46</v>
      </c>
    </row>
    <row r="15288" spans="2:15" x14ac:dyDescent="0.3">
      <c r="B15288" s="1" t="s">
        <v>19</v>
      </c>
      <c r="C15288" s="1" t="str">
        <f>"5-2차"</f>
        <v>5-2차</v>
      </c>
      <c r="D15288" s="1" t="str">
        <f>"0129B6715M"</f>
        <v>0129B6715M</v>
      </c>
      <c r="E15288" s="1" t="s">
        <v>10</v>
      </c>
      <c r="F15288" s="1" t="str">
        <f>"fde3:102:1410:1100:0:0:0:b"</f>
        <v>fde3:102:1410:1100:0:0:0:b</v>
      </c>
      <c r="G15288" s="1" t="str">
        <f>"0129B671"</f>
        <v>0129B671</v>
      </c>
      <c r="H15288" s="1" t="str">
        <f>"수미간 18L14L2R2"</f>
        <v>수미간 18L14L2R2</v>
      </c>
      <c r="I15288" s="1" t="s">
        <v>15</v>
      </c>
      <c r="J15288" s="1" t="str">
        <f>"42/42"</f>
        <v>42/42</v>
      </c>
      <c r="K15288" s="1" t="str">
        <f>"2026-07-29 08:20:17"</f>
        <v>2026-07-29 08:20:17</v>
      </c>
      <c r="L15288" s="1" t="str">
        <f>"2023-08-07 10:39:22"</f>
        <v>2023-08-07 10:39:22</v>
      </c>
      <c r="M15288" s="1" t="s">
        <v>45</v>
      </c>
      <c r="N15288" s="1" t="s">
        <v>38</v>
      </c>
      <c r="O15288" s="1" t="s">
        <v>46</v>
      </c>
    </row>
    <row r="15289" spans="2:15" x14ac:dyDescent="0.3">
      <c r="B15289" s="1" t="s">
        <v>19</v>
      </c>
      <c r="C15289" s="1" t="str">
        <f>"5-2차"</f>
        <v>5-2차</v>
      </c>
      <c r="D15289" s="1" t="str">
        <f>"0129B6845M"</f>
        <v>0129B6845M</v>
      </c>
      <c r="E15289" s="1" t="s">
        <v>10</v>
      </c>
      <c r="F15289" s="1" t="str">
        <f>"fde1:103:4:6e82:0:0:0:2"</f>
        <v>fde1:103:4:6e82:0:0:0:2</v>
      </c>
      <c r="G15289" s="1" t="str">
        <f>"0129B684"</f>
        <v>0129B684</v>
      </c>
      <c r="H15289" s="1" t="str">
        <f>"솔샘간 4R3L3"</f>
        <v>솔샘간 4R3L3</v>
      </c>
      <c r="I15289" s="1" t="s">
        <v>15</v>
      </c>
      <c r="J15289" s="1" t="str">
        <f>"140/140"</f>
        <v>140/140</v>
      </c>
      <c r="K15289" s="1" t="str">
        <f>"2026-07-29 14:20:46"</f>
        <v>2026-07-29 14:20:46</v>
      </c>
      <c r="L15289" s="1" t="str">
        <f>"2023-11-15 09:57:29"</f>
        <v>2023-11-15 09:57:29</v>
      </c>
      <c r="M15289" s="1" t="s">
        <v>4</v>
      </c>
      <c r="N15289" s="1" t="s">
        <v>38</v>
      </c>
      <c r="O15289" s="1" t="s">
        <v>46</v>
      </c>
    </row>
    <row r="15290" spans="2:15" x14ac:dyDescent="0.3">
      <c r="B15290" s="1" t="s">
        <v>19</v>
      </c>
      <c r="C15290" s="1" t="str">
        <f>"5-2차"</f>
        <v>5-2차</v>
      </c>
      <c r="D15290" s="1" t="str">
        <f>"0129B6915M"</f>
        <v>0129B6915M</v>
      </c>
      <c r="E15290" s="1" t="s">
        <v>10</v>
      </c>
      <c r="F15290" s="1" t="str">
        <f>"fde3:102:1410:1100:0:0:0:11"</f>
        <v>fde3:102:1410:1100:0:0:0:11</v>
      </c>
      <c r="G15290" s="1" t="str">
        <f>"0129B691"</f>
        <v>0129B691</v>
      </c>
      <c r="H15290" s="1" t="str">
        <f>"솔샘간 4R3L2"</f>
        <v>솔샘간 4R3L2</v>
      </c>
      <c r="I15290" s="1" t="s">
        <v>15</v>
      </c>
      <c r="J15290" s="1" t="str">
        <f>"43/43"</f>
        <v>43/43</v>
      </c>
      <c r="K15290" s="1" t="str">
        <f>"2026-07-29 14:20:15"</f>
        <v>2026-07-29 14:20:15</v>
      </c>
      <c r="L15290" s="1" t="str">
        <f>"2023-11-03 11:05:08"</f>
        <v>2023-11-03 11:05:08</v>
      </c>
      <c r="M15290" s="1" t="s">
        <v>45</v>
      </c>
      <c r="N15290" s="1" t="s">
        <v>38</v>
      </c>
      <c r="O15290" s="1" t="s">
        <v>46</v>
      </c>
    </row>
    <row r="15291" spans="2:15" x14ac:dyDescent="0.3">
      <c r="B15291" s="1" t="s">
        <v>19</v>
      </c>
      <c r="C15291" s="1" t="str">
        <f>"3차"</f>
        <v>3차</v>
      </c>
      <c r="D15291" s="1" t="str">
        <f>"0129B70130"</f>
        <v>0129B70130</v>
      </c>
      <c r="E15291" s="1" t="s">
        <v>10</v>
      </c>
      <c r="F15291" s="1" t="str">
        <f>"10.107.123.51"</f>
        <v>10.107.123.51</v>
      </c>
      <c r="G15291" s="1" t="str">
        <f>"0129B701"</f>
        <v>0129B701</v>
      </c>
      <c r="H15291" s="1" t="str">
        <f>"수미간 30L12R1"</f>
        <v>수미간 30L12R1</v>
      </c>
      <c r="I15291" s="1" t="s">
        <v>8</v>
      </c>
      <c r="J15291" s="1" t="str">
        <f>"69/71"</f>
        <v>69/71</v>
      </c>
      <c r="K15291" s="1" t="str">
        <f>"2026-07-29 13:18:01"</f>
        <v>2026-07-29 13:18:01</v>
      </c>
      <c r="L15291" s="1" t="str">
        <f>"2018-04-04 19:21:39"</f>
        <v>2018-04-04 19:21:39</v>
      </c>
      <c r="M15291" s="1" t="s">
        <v>45</v>
      </c>
      <c r="N15291" s="1" t="s">
        <v>38</v>
      </c>
      <c r="O15291" s="1" t="s">
        <v>46</v>
      </c>
    </row>
    <row r="15292" spans="2:15" x14ac:dyDescent="0.3">
      <c r="B15292" s="1" t="s">
        <v>19</v>
      </c>
      <c r="C15292" s="1" t="str">
        <f>"4차"</f>
        <v>4차</v>
      </c>
      <c r="D15292" s="1" t="str">
        <f>"0129B71244"</f>
        <v>0129B71244</v>
      </c>
      <c r="E15292" s="1" t="s">
        <v>10</v>
      </c>
      <c r="F15292" s="1" t="str">
        <f>"10.107.123.53"</f>
        <v>10.107.123.53</v>
      </c>
      <c r="G15292" s="1" t="str">
        <f>"0129B712"</f>
        <v>0129B712</v>
      </c>
      <c r="H15292" s="1" t="str">
        <f>"수미간 30L12R1L1"</f>
        <v>수미간 30L12R1L1</v>
      </c>
      <c r="I15292" s="1" t="s">
        <v>8</v>
      </c>
      <c r="J15292" s="1" t="str">
        <f>"139/140"</f>
        <v>139/140</v>
      </c>
      <c r="K15292" s="1" t="str">
        <f>"2026-07-29 13:18:01"</f>
        <v>2026-07-29 13:18:01</v>
      </c>
      <c r="L15292" s="1" t="str">
        <f>"2023-07-27 18:18:47"</f>
        <v>2023-07-27 18:18:47</v>
      </c>
      <c r="M15292" s="1" t="s">
        <v>45</v>
      </c>
      <c r="N15292" s="1" t="s">
        <v>38</v>
      </c>
      <c r="O15292" s="1" t="s">
        <v>46</v>
      </c>
    </row>
    <row r="15293" spans="2:15" x14ac:dyDescent="0.3">
      <c r="B15293" s="1" t="s">
        <v>19</v>
      </c>
      <c r="C15293" s="1" t="str">
        <f>"3차"</f>
        <v>3차</v>
      </c>
      <c r="D15293" s="1" t="str">
        <f>"0129B72131"</f>
        <v>0129B72131</v>
      </c>
      <c r="E15293" s="1" t="s">
        <v>10</v>
      </c>
      <c r="F15293" s="1" t="str">
        <f>"10.107.123.58"</f>
        <v>10.107.123.58</v>
      </c>
      <c r="G15293" s="1" t="str">
        <f>"0129B721"</f>
        <v>0129B721</v>
      </c>
      <c r="H15293" s="1" t="str">
        <f>"수미간 30L14"</f>
        <v>수미간 30L14</v>
      </c>
      <c r="I15293" s="1" t="s">
        <v>8</v>
      </c>
      <c r="J15293" s="1" t="str">
        <f>"7/7"</f>
        <v>7/7</v>
      </c>
      <c r="K15293" s="1" t="str">
        <f>"2026-07-29 13:18:01"</f>
        <v>2026-07-29 13:18:01</v>
      </c>
      <c r="L15293" s="1" t="str">
        <f>"2018-04-04 18:28:45"</f>
        <v>2018-04-04 18:28:45</v>
      </c>
      <c r="M15293" s="1" t="s">
        <v>45</v>
      </c>
      <c r="N15293" s="1" t="s">
        <v>38</v>
      </c>
      <c r="O15293" s="1" t="s">
        <v>46</v>
      </c>
    </row>
    <row r="15294" spans="2:15" x14ac:dyDescent="0.3">
      <c r="B15294" s="1" t="s">
        <v>19</v>
      </c>
      <c r="C15294" s="1" t="str">
        <f>"3차"</f>
        <v>3차</v>
      </c>
      <c r="D15294" s="1" t="str">
        <f>"0129B72230"</f>
        <v>0129B72230</v>
      </c>
      <c r="E15294" s="1" t="s">
        <v>10</v>
      </c>
      <c r="F15294" s="1" t="str">
        <f>"10.107.123.57"</f>
        <v>10.107.123.57</v>
      </c>
      <c r="G15294" s="1" t="str">
        <f>"0129B722"</f>
        <v>0129B722</v>
      </c>
      <c r="H15294" s="1" t="str">
        <f>"수미간 30L15"</f>
        <v>수미간 30L15</v>
      </c>
      <c r="I15294" s="1" t="s">
        <v>8</v>
      </c>
      <c r="J15294" s="1" t="str">
        <f>"21/21"</f>
        <v>21/21</v>
      </c>
      <c r="K15294" s="1" t="str">
        <f>"2026-07-29 13:18:01"</f>
        <v>2026-07-29 13:18:01</v>
      </c>
      <c r="L15294" s="1" t="str">
        <f>"2018-04-04 18:29:58"</f>
        <v>2018-04-04 18:29:58</v>
      </c>
      <c r="M15294" s="1" t="s">
        <v>45</v>
      </c>
      <c r="N15294" s="1" t="s">
        <v>38</v>
      </c>
      <c r="O15294" s="1" t="s">
        <v>46</v>
      </c>
    </row>
    <row r="15295" spans="2:15" x14ac:dyDescent="0.3">
      <c r="B15295" s="1" t="s">
        <v>19</v>
      </c>
      <c r="C15295" s="1" t="str">
        <f t="shared" ref="C15295:C15301" si="775">"5-2차"</f>
        <v>5-2차</v>
      </c>
      <c r="D15295" s="1" t="str">
        <f>"0129B7325M"</f>
        <v>0129B7325M</v>
      </c>
      <c r="E15295" s="1" t="s">
        <v>10</v>
      </c>
      <c r="F15295" s="1" t="str">
        <f>"fde3:102:1410:1500:0:0:0:9"</f>
        <v>fde3:102:1410:1500:0:0:0:9</v>
      </c>
      <c r="G15295" s="1" t="str">
        <f>"0129B732"</f>
        <v>0129B732</v>
      </c>
      <c r="H15295" s="1" t="str">
        <f>"수미간 30L17L3"</f>
        <v>수미간 30L17L3</v>
      </c>
      <c r="I15295" s="1" t="s">
        <v>15</v>
      </c>
      <c r="J15295" s="1" t="str">
        <f>"75/75"</f>
        <v>75/75</v>
      </c>
      <c r="K15295" s="1" t="str">
        <f>"2026-07-29 14:20:00"</f>
        <v>2026-07-29 14:20:00</v>
      </c>
      <c r="L15295" s="1" t="str">
        <f>"2023-08-07 12:05:58"</f>
        <v>2023-08-07 12:05:58</v>
      </c>
      <c r="M15295" s="1" t="s">
        <v>45</v>
      </c>
      <c r="N15295" s="1" t="s">
        <v>38</v>
      </c>
      <c r="O15295" s="1" t="s">
        <v>46</v>
      </c>
    </row>
    <row r="15296" spans="2:15" x14ac:dyDescent="0.3">
      <c r="B15296" s="1" t="s">
        <v>19</v>
      </c>
      <c r="C15296" s="1" t="str">
        <f t="shared" si="775"/>
        <v>5-2차</v>
      </c>
      <c r="D15296" s="1" t="str">
        <f>"0129B7425M"</f>
        <v>0129B7425M</v>
      </c>
      <c r="E15296" s="1" t="s">
        <v>10</v>
      </c>
      <c r="F15296" s="1" t="str">
        <f>"fde3:102:1410:1500:0:0:0:c"</f>
        <v>fde3:102:1410:1500:0:0:0:c</v>
      </c>
      <c r="G15296" s="1" t="str">
        <f>"0129B742"</f>
        <v>0129B742</v>
      </c>
      <c r="H15296" s="1" t="str">
        <f>"수미간 30L17L6R3"</f>
        <v>수미간 30L17L6R3</v>
      </c>
      <c r="I15296" s="1" t="s">
        <v>15</v>
      </c>
      <c r="J15296" s="1" t="str">
        <f>"32/32"</f>
        <v>32/32</v>
      </c>
      <c r="K15296" s="1" t="str">
        <f>"2026-07-29 14:20:55"</f>
        <v>2026-07-29 14:20:55</v>
      </c>
      <c r="L15296" s="1" t="str">
        <f>"2023-08-07 11:50:41"</f>
        <v>2023-08-07 11:50:41</v>
      </c>
      <c r="M15296" s="1" t="s">
        <v>45</v>
      </c>
      <c r="N15296" s="1" t="s">
        <v>38</v>
      </c>
      <c r="O15296" s="1" t="s">
        <v>46</v>
      </c>
    </row>
    <row r="15297" spans="2:15" x14ac:dyDescent="0.3">
      <c r="B15297" s="1" t="s">
        <v>19</v>
      </c>
      <c r="C15297" s="1" t="str">
        <f t="shared" si="775"/>
        <v>5-2차</v>
      </c>
      <c r="D15297" s="1" t="str">
        <f>"0129B7615M"</f>
        <v>0129B7615M</v>
      </c>
      <c r="E15297" s="1" t="s">
        <v>10</v>
      </c>
      <c r="F15297" s="1" t="str">
        <f>"fde3:102:1410:1100:0:0:0:8"</f>
        <v>fde3:102:1410:1100:0:0:0:8</v>
      </c>
      <c r="G15297" s="1" t="str">
        <f>"0129B761"</f>
        <v>0129B761</v>
      </c>
      <c r="H15297" s="1" t="str">
        <f>"솔샘간 4R3L5"</f>
        <v>솔샘간 4R3L5</v>
      </c>
      <c r="I15297" s="1" t="s">
        <v>15</v>
      </c>
      <c r="J15297" s="1" t="str">
        <f>"39/40"</f>
        <v>39/40</v>
      </c>
      <c r="K15297" s="1" t="str">
        <f>"2026-07-29 14:20:04"</f>
        <v>2026-07-29 14:20:04</v>
      </c>
      <c r="L15297" s="1" t="str">
        <f>"2023-08-07 10:58:12"</f>
        <v>2023-08-07 10:58:12</v>
      </c>
      <c r="M15297" s="1" t="s">
        <v>45</v>
      </c>
      <c r="N15297" s="1" t="s">
        <v>38</v>
      </c>
      <c r="O15297" s="1" t="s">
        <v>46</v>
      </c>
    </row>
    <row r="15298" spans="2:15" x14ac:dyDescent="0.3">
      <c r="B15298" s="1" t="s">
        <v>19</v>
      </c>
      <c r="C15298" s="1" t="str">
        <f t="shared" si="775"/>
        <v>5-2차</v>
      </c>
      <c r="D15298" s="1" t="str">
        <f>"0129B7715M"</f>
        <v>0129B7715M</v>
      </c>
      <c r="E15298" s="1" t="s">
        <v>10</v>
      </c>
      <c r="F15298" s="1" t="str">
        <f>"fde1:103:4:6e86:0:0:0:2"</f>
        <v>fde1:103:4:6e86:0:0:0:2</v>
      </c>
      <c r="G15298" s="1" t="str">
        <f>"0129B771"</f>
        <v>0129B771</v>
      </c>
      <c r="H15298" s="1" t="str">
        <f>"솔샘간 4R3L4"</f>
        <v>솔샘간 4R3L4</v>
      </c>
      <c r="I15298" s="1" t="s">
        <v>15</v>
      </c>
      <c r="J15298" s="1" t="str">
        <f>"35/35"</f>
        <v>35/35</v>
      </c>
      <c r="K15298" s="1" t="str">
        <f>"2026-07-29 14:20:00"</f>
        <v>2026-07-29 14:20:00</v>
      </c>
      <c r="L15298" s="1" t="str">
        <f>"2023-11-15 09:50:51"</f>
        <v>2023-11-15 09:50:51</v>
      </c>
      <c r="M15298" s="1" t="s">
        <v>4</v>
      </c>
      <c r="N15298" s="1" t="s">
        <v>38</v>
      </c>
      <c r="O15298" s="1" t="s">
        <v>46</v>
      </c>
    </row>
    <row r="15299" spans="2:15" x14ac:dyDescent="0.3">
      <c r="B15299" s="1" t="s">
        <v>19</v>
      </c>
      <c r="C15299" s="1" t="str">
        <f t="shared" si="775"/>
        <v>5-2차</v>
      </c>
      <c r="D15299" s="1" t="str">
        <f>"0129B7735M"</f>
        <v>0129B7735M</v>
      </c>
      <c r="E15299" s="1" t="s">
        <v>10</v>
      </c>
      <c r="F15299" s="1" t="str">
        <f>"fde3:102:1410:1100:0:0:0:12"</f>
        <v>fde3:102:1410:1100:0:0:0:12</v>
      </c>
      <c r="G15299" s="1" t="str">
        <f>"0129B773"</f>
        <v>0129B773</v>
      </c>
      <c r="H15299" s="1" t="str">
        <f>"솔샘간 4R3A4"</f>
        <v>솔샘간 4R3A4</v>
      </c>
      <c r="I15299" s="1" t="s">
        <v>15</v>
      </c>
      <c r="J15299" s="1" t="str">
        <f>"60/60"</f>
        <v>60/60</v>
      </c>
      <c r="K15299" s="1" t="str">
        <f>"2026-07-29 08:20:12"</f>
        <v>2026-07-29 08:20:12</v>
      </c>
      <c r="L15299" s="1" t="str">
        <f>"2023-08-07 14:46:15"</f>
        <v>2023-08-07 14:46:15</v>
      </c>
      <c r="M15299" s="1" t="s">
        <v>45</v>
      </c>
      <c r="N15299" s="1" t="s">
        <v>38</v>
      </c>
      <c r="O15299" s="1" t="s">
        <v>46</v>
      </c>
    </row>
    <row r="15300" spans="2:15" x14ac:dyDescent="0.3">
      <c r="B15300" s="1" t="s">
        <v>19</v>
      </c>
      <c r="C15300" s="1" t="str">
        <f t="shared" si="775"/>
        <v>5-2차</v>
      </c>
      <c r="D15300" s="1" t="str">
        <f>"0129B7815M"</f>
        <v>0129B7815M</v>
      </c>
      <c r="E15300" s="1" t="s">
        <v>10</v>
      </c>
      <c r="F15300" s="1" t="str">
        <f>"fde3:102:1410:1100:0:0:0:10"</f>
        <v>fde3:102:1410:1100:0:0:0:10</v>
      </c>
      <c r="G15300" s="1" t="str">
        <f>"0129B781"</f>
        <v>0129B781</v>
      </c>
      <c r="H15300" s="1" t="str">
        <f>"솔샘간 4R3A3"</f>
        <v>솔샘간 4R3A3</v>
      </c>
      <c r="I15300" s="1" t="s">
        <v>15</v>
      </c>
      <c r="J15300" s="1" t="str">
        <f>"154/154"</f>
        <v>154/154</v>
      </c>
      <c r="K15300" s="1" t="str">
        <f>"2026-07-29 14:20:46"</f>
        <v>2026-07-29 14:20:46</v>
      </c>
      <c r="L15300" s="1" t="str">
        <f>"2023-08-07 14:33:25"</f>
        <v>2023-08-07 14:33:25</v>
      </c>
      <c r="M15300" s="1" t="s">
        <v>45</v>
      </c>
      <c r="N15300" s="1" t="s">
        <v>38</v>
      </c>
      <c r="O15300" s="1" t="s">
        <v>46</v>
      </c>
    </row>
    <row r="15301" spans="2:15" x14ac:dyDescent="0.3">
      <c r="B15301" s="1" t="s">
        <v>19</v>
      </c>
      <c r="C15301" s="1" t="str">
        <f t="shared" si="775"/>
        <v>5-2차</v>
      </c>
      <c r="D15301" s="1" t="str">
        <f>"0129B7925M"</f>
        <v>0129B7925M</v>
      </c>
      <c r="E15301" s="1" t="s">
        <v>10</v>
      </c>
      <c r="F15301" s="1" t="str">
        <f>"fde1:103:4:6e85:0:0:0:2"</f>
        <v>fde1:103:4:6e85:0:0:0:2</v>
      </c>
      <c r="G15301" s="1" t="str">
        <f>"0129B792"</f>
        <v>0129B792</v>
      </c>
      <c r="H15301" s="1" t="str">
        <f>"솔샘간 4R3A2"</f>
        <v>솔샘간 4R3A2</v>
      </c>
      <c r="I15301" s="1" t="s">
        <v>15</v>
      </c>
      <c r="J15301" s="1" t="str">
        <f>"69/69"</f>
        <v>69/69</v>
      </c>
      <c r="K15301" s="1" t="str">
        <f>"2026-07-29 14:20:01"</f>
        <v>2026-07-29 14:20:01</v>
      </c>
      <c r="L15301" s="1" t="str">
        <f>"2023-11-10 15:06:00"</f>
        <v>2023-11-10 15:06:00</v>
      </c>
      <c r="M15301" s="1" t="s">
        <v>4</v>
      </c>
      <c r="N15301" s="1" t="s">
        <v>38</v>
      </c>
      <c r="O15301" s="1" t="s">
        <v>46</v>
      </c>
    </row>
    <row r="15302" spans="2:15" x14ac:dyDescent="0.3">
      <c r="B15302" s="1" t="s">
        <v>19</v>
      </c>
      <c r="C15302" s="1" t="str">
        <f>"3차"</f>
        <v>3차</v>
      </c>
      <c r="D15302" s="1" t="str">
        <f>"0129B80139"</f>
        <v>0129B80139</v>
      </c>
      <c r="E15302" s="1" t="s">
        <v>10</v>
      </c>
      <c r="F15302" s="1" t="str">
        <f>"10.107.123.56"</f>
        <v>10.107.123.56</v>
      </c>
      <c r="G15302" s="1" t="str">
        <f>"0129B801"</f>
        <v>0129B801</v>
      </c>
      <c r="H15302" s="1" t="str">
        <f>"수미간 30L12R2A1"</f>
        <v>수미간 30L12R2A1</v>
      </c>
      <c r="I15302" s="1" t="s">
        <v>8</v>
      </c>
      <c r="J15302" s="1" t="str">
        <f>"56/56"</f>
        <v>56/56</v>
      </c>
      <c r="K15302" s="1" t="str">
        <f>"2026-07-29 13:18:01"</f>
        <v>2026-07-29 13:18:01</v>
      </c>
      <c r="L15302" s="1" t="str">
        <f>"2018-04-04 19:30:00"</f>
        <v>2018-04-04 19:30:00</v>
      </c>
      <c r="M15302" s="1" t="s">
        <v>45</v>
      </c>
      <c r="N15302" s="1" t="s">
        <v>38</v>
      </c>
      <c r="O15302" s="1" t="s">
        <v>46</v>
      </c>
    </row>
    <row r="15303" spans="2:15" x14ac:dyDescent="0.3">
      <c r="B15303" s="1" t="s">
        <v>19</v>
      </c>
      <c r="C15303" s="1" t="str">
        <f>"4차"</f>
        <v>4차</v>
      </c>
      <c r="D15303" s="1" t="str">
        <f>"0129B82239"</f>
        <v>0129B82239</v>
      </c>
      <c r="E15303" s="1" t="s">
        <v>10</v>
      </c>
      <c r="F15303" s="1" t="str">
        <f>"10.107.250.90"</f>
        <v>10.107.250.90</v>
      </c>
      <c r="G15303" s="1" t="str">
        <f>"0129B822"</f>
        <v>0129B822</v>
      </c>
      <c r="H15303" s="1" t="str">
        <f>"수미간 30HL17R2"</f>
        <v>수미간 30HL17R2</v>
      </c>
      <c r="I15303" s="1" t="s">
        <v>8</v>
      </c>
      <c r="J15303" s="1" t="str">
        <f>"27/27"</f>
        <v>27/27</v>
      </c>
      <c r="K15303" s="1" t="str">
        <f>"2026-07-29 13:18:01"</f>
        <v>2026-07-29 13:18:01</v>
      </c>
      <c r="L15303" s="1" t="str">
        <f>"2018-04-09 11:47:02"</f>
        <v>2018-04-09 11:47:02</v>
      </c>
      <c r="M15303" s="1" t="s">
        <v>45</v>
      </c>
      <c r="N15303" s="1" t="s">
        <v>38</v>
      </c>
      <c r="O15303" s="1" t="s">
        <v>46</v>
      </c>
    </row>
    <row r="15304" spans="2:15" x14ac:dyDescent="0.3">
      <c r="B15304" s="1" t="s">
        <v>19</v>
      </c>
      <c r="C15304" s="1" t="str">
        <f>"3차"</f>
        <v>3차</v>
      </c>
      <c r="D15304" s="1" t="str">
        <f>"0129B82432"</f>
        <v>0129B82432</v>
      </c>
      <c r="E15304" s="1" t="s">
        <v>10</v>
      </c>
      <c r="F15304" s="1" t="str">
        <f>"10.107.123.59"</f>
        <v>10.107.123.59</v>
      </c>
      <c r="G15304" s="1" t="str">
        <f>"0129B824"</f>
        <v>0129B824</v>
      </c>
      <c r="H15304" s="1" t="str">
        <f>"수미간 30L16"</f>
        <v>수미간 30L16</v>
      </c>
      <c r="I15304" s="1" t="s">
        <v>8</v>
      </c>
      <c r="J15304" s="1" t="str">
        <f>"21/21"</f>
        <v>21/21</v>
      </c>
      <c r="K15304" s="1" t="str">
        <f>"2026-07-29 13:18:01"</f>
        <v>2026-07-29 13:18:01</v>
      </c>
      <c r="L15304" s="1" t="str">
        <f>"2018-04-04 18:29:29"</f>
        <v>2018-04-04 18:29:29</v>
      </c>
      <c r="M15304" s="1" t="s">
        <v>45</v>
      </c>
      <c r="N15304" s="1" t="s">
        <v>38</v>
      </c>
      <c r="O15304" s="1" t="s">
        <v>46</v>
      </c>
    </row>
    <row r="15305" spans="2:15" x14ac:dyDescent="0.3">
      <c r="B15305" s="1" t="s">
        <v>19</v>
      </c>
      <c r="C15305" s="1" t="str">
        <f>"6차"</f>
        <v>6차</v>
      </c>
      <c r="D15305" s="1" t="str">
        <f>"0129B8346S"</f>
        <v>0129B8346S</v>
      </c>
      <c r="E15305" s="1" t="s">
        <v>10</v>
      </c>
      <c r="F15305" s="1" t="str">
        <f>"fde3:102:1410:1200:0:0:0:11"</f>
        <v>fde3:102:1410:1200:0:0:0:11</v>
      </c>
      <c r="G15305" s="1" t="str">
        <f>"0129B834"</f>
        <v>0129B834</v>
      </c>
      <c r="H15305" s="1" t="str">
        <f>"수미간 30HL17"</f>
        <v>수미간 30HL17</v>
      </c>
      <c r="I15305" s="1" t="s">
        <v>15</v>
      </c>
      <c r="J15305" s="1" t="str">
        <f>"19/19"</f>
        <v>19/19</v>
      </c>
      <c r="K15305" s="1" t="str">
        <f>"2026-07-29 08:20:00"</f>
        <v>2026-07-29 08:20:00</v>
      </c>
      <c r="L15305" s="1" t="str">
        <f>"2024-10-17 11:48:09"</f>
        <v>2024-10-17 11:48:09</v>
      </c>
      <c r="M15305" s="1" t="s">
        <v>45</v>
      </c>
      <c r="N15305" s="1" t="s">
        <v>38</v>
      </c>
      <c r="O15305" s="1" t="s">
        <v>46</v>
      </c>
    </row>
    <row r="15306" spans="2:15" x14ac:dyDescent="0.3">
      <c r="B15306" s="1" t="s">
        <v>19</v>
      </c>
      <c r="C15306" s="1" t="str">
        <f>"4차"</f>
        <v>4차</v>
      </c>
      <c r="D15306" s="1" t="str">
        <f>"0129B90339"</f>
        <v>0129B90339</v>
      </c>
      <c r="E15306" s="1" t="s">
        <v>10</v>
      </c>
      <c r="F15306" s="1" t="str">
        <f>"10.107.123.18"</f>
        <v>10.107.123.18</v>
      </c>
      <c r="G15306" s="1" t="str">
        <f>"0129B903"</f>
        <v>0129B903</v>
      </c>
      <c r="H15306" s="1" t="str">
        <f>"솔샘간 17R4L1L1"</f>
        <v>솔샘간 17R4L1L1</v>
      </c>
      <c r="I15306" s="1" t="s">
        <v>8</v>
      </c>
      <c r="J15306" s="1" t="str">
        <f>"67/67"</f>
        <v>67/67</v>
      </c>
      <c r="K15306" s="1" t="str">
        <f>"2026-07-29 13:18:01"</f>
        <v>2026-07-29 13:18:01</v>
      </c>
      <c r="L15306" s="1" t="str">
        <f>"2018-03-23 14:08:15"</f>
        <v>2018-03-23 14:08:15</v>
      </c>
      <c r="M15306" s="1" t="s">
        <v>45</v>
      </c>
      <c r="N15306" s="1" t="s">
        <v>38</v>
      </c>
      <c r="O15306" s="1" t="s">
        <v>46</v>
      </c>
    </row>
    <row r="15307" spans="2:15" x14ac:dyDescent="0.3">
      <c r="B15307" s="1" t="s">
        <v>19</v>
      </c>
      <c r="C15307" s="1" t="str">
        <f>"3차"</f>
        <v>3차</v>
      </c>
      <c r="D15307" s="1" t="str">
        <f>"0129B91130"</f>
        <v>0129B91130</v>
      </c>
      <c r="E15307" s="1" t="s">
        <v>10</v>
      </c>
      <c r="F15307" s="1" t="str">
        <f>"10.107.123.3"</f>
        <v>10.107.123.3</v>
      </c>
      <c r="G15307" s="1" t="str">
        <f>"0129B911"</f>
        <v>0129B911</v>
      </c>
      <c r="H15307" s="1" t="str">
        <f>"수미간 30L12R1L2"</f>
        <v>수미간 30L12R1L2</v>
      </c>
      <c r="I15307" s="1" t="s">
        <v>8</v>
      </c>
      <c r="J15307" s="1" t="str">
        <f>"45/45"</f>
        <v>45/45</v>
      </c>
      <c r="K15307" s="1" t="str">
        <f>"2026-07-29 13:18:01"</f>
        <v>2026-07-29 13:18:01</v>
      </c>
      <c r="L15307" s="1" t="str">
        <f>"2018-04-04 18:59:14"</f>
        <v>2018-04-04 18:59:14</v>
      </c>
      <c r="M15307" s="1" t="s">
        <v>45</v>
      </c>
      <c r="N15307" s="1" t="s">
        <v>38</v>
      </c>
      <c r="O15307" s="1" t="s">
        <v>46</v>
      </c>
    </row>
    <row r="15308" spans="2:15" x14ac:dyDescent="0.3">
      <c r="B15308" s="1" t="s">
        <v>19</v>
      </c>
      <c r="C15308" s="1" t="str">
        <f>"4차"</f>
        <v>4차</v>
      </c>
      <c r="D15308" s="1" t="str">
        <f>"0129B92139"</f>
        <v>0129B92139</v>
      </c>
      <c r="E15308" s="1" t="s">
        <v>10</v>
      </c>
      <c r="F15308" s="1" t="str">
        <f>"10.107.123.14"</f>
        <v>10.107.123.14</v>
      </c>
      <c r="G15308" s="1" t="str">
        <f>"0129B921"</f>
        <v>0129B921</v>
      </c>
      <c r="H15308" s="1" t="str">
        <f>"솔샘간 17R2R7L1"</f>
        <v>솔샘간 17R2R7L1</v>
      </c>
      <c r="I15308" s="1" t="s">
        <v>8</v>
      </c>
      <c r="J15308" s="1" t="str">
        <f>"80/80"</f>
        <v>80/80</v>
      </c>
      <c r="K15308" s="1" t="str">
        <f>"2026-07-29 13:18:01"</f>
        <v>2026-07-29 13:18:01</v>
      </c>
      <c r="L15308" s="1" t="str">
        <f>"2018-03-23 14:20:50"</f>
        <v>2018-03-23 14:20:50</v>
      </c>
      <c r="M15308" s="1" t="s">
        <v>45</v>
      </c>
      <c r="N15308" s="1" t="s">
        <v>38</v>
      </c>
      <c r="O15308" s="1" t="s">
        <v>46</v>
      </c>
    </row>
    <row r="15309" spans="2:15" x14ac:dyDescent="0.3">
      <c r="B15309" s="1" t="s">
        <v>19</v>
      </c>
      <c r="C15309" s="1" t="str">
        <f>"5-2차"</f>
        <v>5-2차</v>
      </c>
      <c r="D15309" s="1" t="str">
        <f>"0129B9715M"</f>
        <v>0129B9715M</v>
      </c>
      <c r="E15309" s="1" t="s">
        <v>10</v>
      </c>
      <c r="F15309" s="1" t="str">
        <f>"fde1:103:4:6e83:0:0:0:2"</f>
        <v>fde1:103:4:6e83:0:0:0:2</v>
      </c>
      <c r="G15309" s="1" t="str">
        <f>"0129B971"</f>
        <v>0129B971</v>
      </c>
      <c r="H15309" s="1" t="str">
        <f>"솔샘간 4R2L5"</f>
        <v>솔샘간 4R2L5</v>
      </c>
      <c r="I15309" s="1" t="s">
        <v>15</v>
      </c>
      <c r="J15309" s="1" t="str">
        <f>"9/9"</f>
        <v>9/9</v>
      </c>
      <c r="K15309" s="1" t="str">
        <f>"2026-07-29 14:20:00"</f>
        <v>2026-07-29 14:20:00</v>
      </c>
      <c r="L15309" s="1" t="str">
        <f>"2023-11-10 14:56:27"</f>
        <v>2023-11-10 14:56:27</v>
      </c>
      <c r="M15309" s="1" t="s">
        <v>4</v>
      </c>
      <c r="N15309" s="1" t="s">
        <v>38</v>
      </c>
      <c r="O15309" s="1" t="s">
        <v>46</v>
      </c>
    </row>
    <row r="15310" spans="2:15" x14ac:dyDescent="0.3">
      <c r="B15310" s="1" t="s">
        <v>19</v>
      </c>
      <c r="C15310" s="1" t="str">
        <f>"6차"</f>
        <v>6차</v>
      </c>
      <c r="D15310" s="1" t="str">
        <f>"0129B9746S"</f>
        <v>0129B9746S</v>
      </c>
      <c r="E15310" s="1" t="s">
        <v>10</v>
      </c>
      <c r="F15310" s="1" t="str">
        <f>"fde1:103:4:927c:0:0:0:2"</f>
        <v>fde1:103:4:927c:0:0:0:2</v>
      </c>
      <c r="G15310" s="1" t="str">
        <f>"0129B974"</f>
        <v>0129B974</v>
      </c>
      <c r="H15310" s="1" t="str">
        <f>"솔샘간 4R2L7"</f>
        <v>솔샘간 4R2L7</v>
      </c>
      <c r="I15310" s="1" t="s">
        <v>15</v>
      </c>
      <c r="J15310" s="1" t="str">
        <f>"24/24"</f>
        <v>24/24</v>
      </c>
      <c r="K15310" s="1" t="str">
        <f>"2026-07-29 14:20:41"</f>
        <v>2026-07-29 14:20:41</v>
      </c>
      <c r="L15310" s="1" t="str">
        <f>"2024-10-07 11:18:13"</f>
        <v>2024-10-07 11:18:13</v>
      </c>
      <c r="M15310" s="1" t="s">
        <v>4</v>
      </c>
      <c r="N15310" s="1" t="s">
        <v>38</v>
      </c>
      <c r="O15310" s="1" t="s">
        <v>46</v>
      </c>
    </row>
    <row r="15311" spans="2:15" x14ac:dyDescent="0.3">
      <c r="B15311" s="1" t="s">
        <v>19</v>
      </c>
      <c r="C15311" s="1" t="str">
        <f>"3차"</f>
        <v>3차</v>
      </c>
      <c r="D15311" s="1" t="str">
        <f>"0129C00131"</f>
        <v>0129C00131</v>
      </c>
      <c r="E15311" s="1" t="s">
        <v>10</v>
      </c>
      <c r="F15311" s="1" t="str">
        <f>"10.107.123.70"</f>
        <v>10.107.123.70</v>
      </c>
      <c r="G15311" s="1" t="str">
        <f>"0129C001"</f>
        <v>0129C001</v>
      </c>
      <c r="H15311" s="1" t="str">
        <f>"시장지 19"</f>
        <v>시장지 19</v>
      </c>
      <c r="I15311" s="1" t="s">
        <v>8</v>
      </c>
      <c r="J15311" s="1" t="str">
        <f>"7/7"</f>
        <v>7/7</v>
      </c>
      <c r="K15311" s="1" t="str">
        <f>"2026-07-29 13:18:01"</f>
        <v>2026-07-29 13:18:01</v>
      </c>
      <c r="L15311" s="1" t="str">
        <f>"2018-06-15 11:58:10"</f>
        <v>2018-06-15 11:58:10</v>
      </c>
      <c r="M15311" s="1" t="s">
        <v>45</v>
      </c>
      <c r="N15311" s="1" t="s">
        <v>38</v>
      </c>
      <c r="O15311" s="1" t="s">
        <v>46</v>
      </c>
    </row>
    <row r="15312" spans="2:15" x14ac:dyDescent="0.3">
      <c r="B15312" s="1" t="s">
        <v>19</v>
      </c>
      <c r="C15312" s="1" t="str">
        <f>"3차"</f>
        <v>3차</v>
      </c>
      <c r="D15312" s="1" t="str">
        <f>"0129C00230"</f>
        <v>0129C00230</v>
      </c>
      <c r="E15312" s="1" t="s">
        <v>10</v>
      </c>
      <c r="F15312" s="1" t="str">
        <f>"10.107.123.67"</f>
        <v>10.107.123.67</v>
      </c>
      <c r="G15312" s="1" t="str">
        <f>"0129C002"</f>
        <v>0129C002</v>
      </c>
      <c r="H15312" s="1" t="str">
        <f>"시장지 18"</f>
        <v>시장지 18</v>
      </c>
      <c r="I15312" s="1" t="s">
        <v>8</v>
      </c>
      <c r="J15312" s="1" t="str">
        <f>"14/14"</f>
        <v>14/14</v>
      </c>
      <c r="K15312" s="1" t="str">
        <f>"2026-07-29 13:18:01"</f>
        <v>2026-07-29 13:18:01</v>
      </c>
      <c r="L15312" s="1" t="str">
        <f>"2018-06-15 11:53:28"</f>
        <v>2018-06-15 11:53:28</v>
      </c>
      <c r="M15312" s="1" t="s">
        <v>45</v>
      </c>
      <c r="N15312" s="1" t="s">
        <v>38</v>
      </c>
      <c r="O15312" s="1" t="s">
        <v>46</v>
      </c>
    </row>
    <row r="15313" spans="2:15" x14ac:dyDescent="0.3">
      <c r="B15313" s="1" t="s">
        <v>19</v>
      </c>
      <c r="C15313" s="1" t="str">
        <f>"5-2차"</f>
        <v>5-2차</v>
      </c>
      <c r="D15313" s="1" t="str">
        <f>"0129C0135M"</f>
        <v>0129C0135M</v>
      </c>
      <c r="E15313" s="1" t="s">
        <v>10</v>
      </c>
      <c r="F15313" s="1" t="str">
        <f>"fde3:102:1410:1300:0:0:0:8"</f>
        <v>fde3:102:1410:1300:0:0:0:8</v>
      </c>
      <c r="G15313" s="1" t="str">
        <f>"0129C013"</f>
        <v>0129C013</v>
      </c>
      <c r="H15313" s="1" t="str">
        <f>"시장지 16"</f>
        <v>시장지 16</v>
      </c>
      <c r="I15313" s="1" t="s">
        <v>15</v>
      </c>
      <c r="J15313" s="1" t="str">
        <f>"41/41"</f>
        <v>41/41</v>
      </c>
      <c r="K15313" s="1" t="str">
        <f>"2026-07-29 14:20:10"</f>
        <v>2026-07-29 14:20:10</v>
      </c>
      <c r="L15313" s="1" t="str">
        <f>"2023-08-07 14:23:44"</f>
        <v>2023-08-07 14:23:44</v>
      </c>
      <c r="M15313" s="1" t="s">
        <v>45</v>
      </c>
      <c r="N15313" s="1" t="s">
        <v>38</v>
      </c>
      <c r="O15313" s="1" t="s">
        <v>46</v>
      </c>
    </row>
    <row r="15314" spans="2:15" x14ac:dyDescent="0.3">
      <c r="B15314" s="1" t="s">
        <v>19</v>
      </c>
      <c r="C15314" s="1" t="str">
        <f>"5-2차"</f>
        <v>5-2차</v>
      </c>
      <c r="D15314" s="1" t="str">
        <f>"0129C0215M"</f>
        <v>0129C0215M</v>
      </c>
      <c r="E15314" s="1" t="s">
        <v>10</v>
      </c>
      <c r="F15314" s="1" t="str">
        <f>"fde3:102:1410:1300:0:0:0:7"</f>
        <v>fde3:102:1410:1300:0:0:0:7</v>
      </c>
      <c r="G15314" s="1" t="str">
        <f>"0129C021"</f>
        <v>0129C021</v>
      </c>
      <c r="H15314" s="1" t="str">
        <f>"시장지 16R1"</f>
        <v>시장지 16R1</v>
      </c>
      <c r="I15314" s="1" t="s">
        <v>15</v>
      </c>
      <c r="J15314" s="1" t="str">
        <f>"55/56"</f>
        <v>55/56</v>
      </c>
      <c r="K15314" s="1" t="str">
        <f>"2026-07-29 14:20:00"</f>
        <v>2026-07-29 14:20:00</v>
      </c>
      <c r="L15314" s="1" t="str">
        <f>"2023-08-07 14:31:27"</f>
        <v>2023-08-07 14:31:27</v>
      </c>
      <c r="M15314" s="1" t="s">
        <v>45</v>
      </c>
      <c r="N15314" s="1" t="s">
        <v>38</v>
      </c>
      <c r="O15314" s="1" t="s">
        <v>46</v>
      </c>
    </row>
    <row r="15315" spans="2:15" x14ac:dyDescent="0.3">
      <c r="B15315" s="1" t="s">
        <v>19</v>
      </c>
      <c r="C15315" s="1" t="str">
        <f>"5-2차"</f>
        <v>5-2차</v>
      </c>
      <c r="D15315" s="1" t="str">
        <f>"0129C0345S"</f>
        <v>0129C0345S</v>
      </c>
      <c r="E15315" s="1" t="s">
        <v>10</v>
      </c>
      <c r="F15315" s="1" t="str">
        <f>"fde3:102:1410:1300:0:0:0:9"</f>
        <v>fde3:102:1410:1300:0:0:0:9</v>
      </c>
      <c r="G15315" s="1" t="str">
        <f>"0129C034"</f>
        <v>0129C034</v>
      </c>
      <c r="H15315" s="1" t="str">
        <f>"시장지 16R2L2"</f>
        <v>시장지 16R2L2</v>
      </c>
      <c r="I15315" s="1" t="s">
        <v>15</v>
      </c>
      <c r="J15315" s="1" t="str">
        <f>"43/43"</f>
        <v>43/43</v>
      </c>
      <c r="K15315" s="1" t="str">
        <f>"2026-07-29 14:20:17"</f>
        <v>2026-07-29 14:20:17</v>
      </c>
      <c r="L15315" s="1" t="str">
        <f>"2023-08-08 09:40:28"</f>
        <v>2023-08-08 09:40:28</v>
      </c>
      <c r="M15315" s="1" t="s">
        <v>45</v>
      </c>
      <c r="N15315" s="1" t="s">
        <v>38</v>
      </c>
      <c r="O15315" s="1" t="s">
        <v>46</v>
      </c>
    </row>
    <row r="15316" spans="2:15" x14ac:dyDescent="0.3">
      <c r="B15316" s="1" t="s">
        <v>19</v>
      </c>
      <c r="C15316" s="1" t="str">
        <f>"5-1차"</f>
        <v>5-1차</v>
      </c>
      <c r="D15316" s="1" t="str">
        <f>"0129C0435M"</f>
        <v>0129C0435M</v>
      </c>
      <c r="E15316" s="1" t="s">
        <v>10</v>
      </c>
      <c r="F15316" s="1" t="str">
        <f>"fde3:102:1410:1300:0:0:0:3"</f>
        <v>fde3:102:1410:1300:0:0:0:3</v>
      </c>
      <c r="G15316" s="1" t="str">
        <f>"0129C043"</f>
        <v>0129C043</v>
      </c>
      <c r="H15316" s="1" t="str">
        <f>"삼원간 51R31"</f>
        <v>삼원간 51R31</v>
      </c>
      <c r="I15316" s="1" t="s">
        <v>15</v>
      </c>
      <c r="J15316" s="1" t="str">
        <f>"36/38"</f>
        <v>36/38</v>
      </c>
      <c r="K15316" s="1" t="str">
        <f>"2026-07-29 14:20:18"</f>
        <v>2026-07-29 14:20:18</v>
      </c>
      <c r="L15316" s="1" t="str">
        <f>"2022-09-26 14:31:32"</f>
        <v>2022-09-26 14:31:32</v>
      </c>
      <c r="M15316" s="1" t="s">
        <v>45</v>
      </c>
      <c r="N15316" s="1" t="s">
        <v>38</v>
      </c>
      <c r="O15316" s="1" t="s">
        <v>46</v>
      </c>
    </row>
    <row r="15317" spans="2:15" x14ac:dyDescent="0.3">
      <c r="B15317" s="1" t="s">
        <v>19</v>
      </c>
      <c r="C15317" s="1" t="str">
        <f t="shared" ref="C15317:C15322" si="776">"5-2차"</f>
        <v>5-2차</v>
      </c>
      <c r="D15317" s="1" t="str">
        <f>"0129C0515S"</f>
        <v>0129C0515S</v>
      </c>
      <c r="E15317" s="1" t="s">
        <v>10</v>
      </c>
      <c r="F15317" s="1" t="str">
        <f>"fde3:102:1410:1300:0:0:0:6"</f>
        <v>fde3:102:1410:1300:0:0:0:6</v>
      </c>
      <c r="G15317" s="1" t="str">
        <f>"0129C051"</f>
        <v>0129C051</v>
      </c>
      <c r="H15317" s="1" t="str">
        <f>"삼원간 51R30"</f>
        <v>삼원간 51R30</v>
      </c>
      <c r="I15317" s="1" t="s">
        <v>15</v>
      </c>
      <c r="J15317" s="1" t="str">
        <f>"53/53"</f>
        <v>53/53</v>
      </c>
      <c r="K15317" s="1" t="str">
        <f>"2026-07-29 14:20:47"</f>
        <v>2026-07-29 14:20:47</v>
      </c>
      <c r="L15317" s="1" t="str">
        <f>"2023-08-07 16:38:30"</f>
        <v>2023-08-07 16:38:30</v>
      </c>
      <c r="M15317" s="1" t="s">
        <v>45</v>
      </c>
      <c r="N15317" s="1" t="s">
        <v>38</v>
      </c>
      <c r="O15317" s="1" t="s">
        <v>46</v>
      </c>
    </row>
    <row r="15318" spans="2:15" x14ac:dyDescent="0.3">
      <c r="B15318" s="1" t="s">
        <v>19</v>
      </c>
      <c r="C15318" s="1" t="str">
        <f t="shared" si="776"/>
        <v>5-2차</v>
      </c>
      <c r="D15318" s="1" t="str">
        <f>"0129C0915M"</f>
        <v>0129C0915M</v>
      </c>
      <c r="E15318" s="1" t="s">
        <v>10</v>
      </c>
      <c r="F15318" s="1" t="str">
        <f>"fde3:102:1410:1600:0:0:0:4"</f>
        <v>fde3:102:1410:1600:0:0:0:4</v>
      </c>
      <c r="G15318" s="1" t="str">
        <f>"0129C091"</f>
        <v>0129C091</v>
      </c>
      <c r="H15318" s="1" t="str">
        <f>"삼원간 51R18"</f>
        <v>삼원간 51R18</v>
      </c>
      <c r="I15318" s="1" t="s">
        <v>15</v>
      </c>
      <c r="J15318" s="1" t="str">
        <f>"51/51"</f>
        <v>51/51</v>
      </c>
      <c r="K15318" s="1" t="str">
        <f>"2026-07-29 02:20:14"</f>
        <v>2026-07-29 02:20:14</v>
      </c>
      <c r="L15318" s="1" t="str">
        <f>"2023-08-07 16:51:54"</f>
        <v>2023-08-07 16:51:54</v>
      </c>
      <c r="M15318" s="1" t="s">
        <v>45</v>
      </c>
      <c r="N15318" s="1" t="s">
        <v>38</v>
      </c>
      <c r="O15318" s="1" t="s">
        <v>46</v>
      </c>
    </row>
    <row r="15319" spans="2:15" x14ac:dyDescent="0.3">
      <c r="B15319" s="1" t="s">
        <v>19</v>
      </c>
      <c r="C15319" s="1" t="str">
        <f t="shared" si="776"/>
        <v>5-2차</v>
      </c>
      <c r="D15319" s="1" t="str">
        <f>"0129C1135M"</f>
        <v>0129C1135M</v>
      </c>
      <c r="E15319" s="1" t="s">
        <v>10</v>
      </c>
      <c r="F15319" s="1" t="str">
        <f>"fde3:102:1410:1300:0:0:0:a"</f>
        <v>fde3:102:1410:1300:0:0:0:a</v>
      </c>
      <c r="G15319" s="1" t="str">
        <f>"0129C113"</f>
        <v>0129C113</v>
      </c>
      <c r="H15319" s="1" t="str">
        <f>"시장지 14"</f>
        <v>시장지 14</v>
      </c>
      <c r="I15319" s="1" t="s">
        <v>15</v>
      </c>
      <c r="J15319" s="1" t="str">
        <f>"55/55"</f>
        <v>55/55</v>
      </c>
      <c r="K15319" s="1" t="str">
        <f>"2026-07-29 02:20:13"</f>
        <v>2026-07-29 02:20:13</v>
      </c>
      <c r="L15319" s="1" t="str">
        <f>"2023-08-07 15:23:07"</f>
        <v>2023-08-07 15:23:07</v>
      </c>
      <c r="M15319" s="1" t="s">
        <v>45</v>
      </c>
      <c r="N15319" s="1" t="s">
        <v>38</v>
      </c>
      <c r="O15319" s="1" t="s">
        <v>46</v>
      </c>
    </row>
    <row r="15320" spans="2:15" x14ac:dyDescent="0.3">
      <c r="B15320" s="1" t="s">
        <v>19</v>
      </c>
      <c r="C15320" s="1" t="str">
        <f t="shared" si="776"/>
        <v>5-2차</v>
      </c>
      <c r="D15320" s="1" t="str">
        <f>"0129C1315S"</f>
        <v>0129C1315S</v>
      </c>
      <c r="E15320" s="1" t="s">
        <v>10</v>
      </c>
      <c r="F15320" s="1" t="str">
        <f>"fde3:102:1410:1300:0:0:0:f"</f>
        <v>fde3:102:1410:1300:0:0:0:f</v>
      </c>
      <c r="G15320" s="1" t="str">
        <f>"0129C131"</f>
        <v>0129C131</v>
      </c>
      <c r="H15320" s="1" t="str">
        <f>"시장지 12R4"</f>
        <v>시장지 12R4</v>
      </c>
      <c r="I15320" s="1" t="s">
        <v>15</v>
      </c>
      <c r="J15320" s="1" t="str">
        <f>"71/71"</f>
        <v>71/71</v>
      </c>
      <c r="K15320" s="1" t="str">
        <f>"2026-07-29 14:20:18"</f>
        <v>2026-07-29 14:20:18</v>
      </c>
      <c r="L15320" s="1" t="str">
        <f>"2023-08-07 14:46:55"</f>
        <v>2023-08-07 14:46:55</v>
      </c>
      <c r="M15320" s="1" t="s">
        <v>45</v>
      </c>
      <c r="N15320" s="1" t="s">
        <v>38</v>
      </c>
      <c r="O15320" s="1" t="s">
        <v>46</v>
      </c>
    </row>
    <row r="15321" spans="2:15" x14ac:dyDescent="0.3">
      <c r="B15321" s="1" t="s">
        <v>19</v>
      </c>
      <c r="C15321" s="1" t="str">
        <f t="shared" si="776"/>
        <v>5-2차</v>
      </c>
      <c r="D15321" s="1" t="str">
        <f>"0129C1425S"</f>
        <v>0129C1425S</v>
      </c>
      <c r="E15321" s="1" t="s">
        <v>10</v>
      </c>
      <c r="F15321" s="1" t="str">
        <f>"fde3:102:1410:1300:0:0:0:10"</f>
        <v>fde3:102:1410:1300:0:0:0:10</v>
      </c>
      <c r="G15321" s="1" t="str">
        <f>"0129C142"</f>
        <v>0129C142</v>
      </c>
      <c r="H15321" s="1" t="str">
        <f>"시장지 12R6"</f>
        <v>시장지 12R6</v>
      </c>
      <c r="I15321" s="1" t="s">
        <v>15</v>
      </c>
      <c r="J15321" s="1" t="str">
        <f>"44/44"</f>
        <v>44/44</v>
      </c>
      <c r="K15321" s="1" t="str">
        <f>"2026-07-29 08:20:15"</f>
        <v>2026-07-29 08:20:15</v>
      </c>
      <c r="L15321" s="1" t="str">
        <f>"2023-08-07 14:40:07"</f>
        <v>2023-08-07 14:40:07</v>
      </c>
      <c r="M15321" s="1" t="s">
        <v>45</v>
      </c>
      <c r="N15321" s="1" t="s">
        <v>38</v>
      </c>
      <c r="O15321" s="1" t="s">
        <v>46</v>
      </c>
    </row>
    <row r="15322" spans="2:15" x14ac:dyDescent="0.3">
      <c r="B15322" s="1" t="s">
        <v>19</v>
      </c>
      <c r="C15322" s="1" t="str">
        <f t="shared" si="776"/>
        <v>5-2차</v>
      </c>
      <c r="D15322" s="1" t="str">
        <f>"0129C2115S"</f>
        <v>0129C2115S</v>
      </c>
      <c r="E15322" s="1" t="s">
        <v>10</v>
      </c>
      <c r="F15322" s="1" t="str">
        <f>"fde3:102:1410:1300:0:0:0:b"</f>
        <v>fde3:102:1410:1300:0:0:0:b</v>
      </c>
      <c r="G15322" s="1" t="str">
        <f>"0129C211"</f>
        <v>0129C211</v>
      </c>
      <c r="H15322" s="1" t="str">
        <f>"시장지 13"</f>
        <v>시장지 13</v>
      </c>
      <c r="I15322" s="1" t="s">
        <v>15</v>
      </c>
      <c r="J15322" s="1" t="str">
        <f>"30/30"</f>
        <v>30/30</v>
      </c>
      <c r="K15322" s="1" t="str">
        <f>"2026-07-29 14:20:00"</f>
        <v>2026-07-29 14:20:00</v>
      </c>
      <c r="L15322" s="1" t="str">
        <f>"2023-08-07 15:15:06"</f>
        <v>2023-08-07 15:15:06</v>
      </c>
      <c r="M15322" s="1" t="s">
        <v>45</v>
      </c>
      <c r="N15322" s="1" t="s">
        <v>38</v>
      </c>
      <c r="O15322" s="1" t="s">
        <v>46</v>
      </c>
    </row>
    <row r="15323" spans="2:15" x14ac:dyDescent="0.3">
      <c r="B15323" s="1" t="s">
        <v>19</v>
      </c>
      <c r="C15323" s="1" t="str">
        <f>"5-1차"</f>
        <v>5-1차</v>
      </c>
      <c r="D15323" s="1" t="str">
        <f>"0129C2515M"</f>
        <v>0129C2515M</v>
      </c>
      <c r="E15323" s="1" t="s">
        <v>10</v>
      </c>
      <c r="F15323" s="1" t="str">
        <f>"fde3:102:1410:1300:0:0:0:5"</f>
        <v>fde3:102:1410:1300:0:0:0:5</v>
      </c>
      <c r="G15323" s="1" t="str">
        <f>"0129C251"</f>
        <v>0129C251</v>
      </c>
      <c r="H15323" s="1" t="str">
        <f>"삼원간 51R31L5"</f>
        <v>삼원간 51R31L5</v>
      </c>
      <c r="I15323" s="1" t="s">
        <v>15</v>
      </c>
      <c r="J15323" s="1" t="str">
        <f>"88/88"</f>
        <v>88/88</v>
      </c>
      <c r="K15323" s="1" t="str">
        <f>"2026-07-29 14:20:41"</f>
        <v>2026-07-29 14:20:41</v>
      </c>
      <c r="L15323" s="1" t="str">
        <f>"2022-09-26 15:40:26"</f>
        <v>2022-09-26 15:40:26</v>
      </c>
      <c r="M15323" s="1" t="s">
        <v>45</v>
      </c>
      <c r="N15323" s="1" t="s">
        <v>38</v>
      </c>
      <c r="O15323" s="1" t="s">
        <v>46</v>
      </c>
    </row>
    <row r="15324" spans="2:15" x14ac:dyDescent="0.3">
      <c r="B15324" s="1" t="s">
        <v>19</v>
      </c>
      <c r="C15324" s="1" t="str">
        <f>"5-2차"</f>
        <v>5-2차</v>
      </c>
      <c r="D15324" s="1" t="str">
        <f>"0129C2875M"</f>
        <v>0129C2875M</v>
      </c>
      <c r="E15324" s="1" t="s">
        <v>10</v>
      </c>
      <c r="F15324" s="1" t="str">
        <f>"fde3:102:1410:1500:0:0:0:3"</f>
        <v>fde3:102:1410:1500:0:0:0:3</v>
      </c>
      <c r="G15324" s="1" t="str">
        <f>"0129C287"</f>
        <v>0129C287</v>
      </c>
      <c r="H15324" s="1" t="str">
        <f>"삼원간 51R7L5"</f>
        <v>삼원간 51R7L5</v>
      </c>
      <c r="I15324" s="1" t="s">
        <v>15</v>
      </c>
      <c r="J15324" s="1" t="str">
        <f>"87/87"</f>
        <v>87/87</v>
      </c>
      <c r="K15324" s="1" t="str">
        <f>"2026-07-29 08:20:17"</f>
        <v>2026-07-29 08:20:17</v>
      </c>
      <c r="L15324" s="1" t="str">
        <f>"2023-08-07 17:10:26"</f>
        <v>2023-08-07 17:10:26</v>
      </c>
      <c r="M15324" s="1" t="s">
        <v>45</v>
      </c>
      <c r="N15324" s="1" t="s">
        <v>38</v>
      </c>
      <c r="O15324" s="1" t="s">
        <v>46</v>
      </c>
    </row>
    <row r="15325" spans="2:15" x14ac:dyDescent="0.3">
      <c r="B15325" s="1" t="s">
        <v>19</v>
      </c>
      <c r="C15325" s="1" t="str">
        <f>"5-2차"</f>
        <v>5-2차</v>
      </c>
      <c r="D15325" s="1" t="str">
        <f>"0129C3025S"</f>
        <v>0129C3025S</v>
      </c>
      <c r="E15325" s="1" t="s">
        <v>10</v>
      </c>
      <c r="F15325" s="1" t="str">
        <f>"fde1:103:4:6e87:0:0:0:2"</f>
        <v>fde1:103:4:6e87:0:0:0:2</v>
      </c>
      <c r="G15325" s="1" t="str">
        <f>"0129C302"</f>
        <v>0129C302</v>
      </c>
      <c r="H15325" s="1" t="str">
        <f>"시장지 10L3"</f>
        <v>시장지 10L3</v>
      </c>
      <c r="I15325" s="1" t="s">
        <v>15</v>
      </c>
      <c r="J15325" s="1" t="str">
        <f>"46/46"</f>
        <v>46/46</v>
      </c>
      <c r="K15325" s="1" t="str">
        <f>"2026-07-29 14:20:20"</f>
        <v>2026-07-29 14:20:20</v>
      </c>
      <c r="L15325" s="1" t="str">
        <f>"2023-11-15 10:18:35"</f>
        <v>2023-11-15 10:18:35</v>
      </c>
      <c r="M15325" s="1" t="s">
        <v>4</v>
      </c>
      <c r="N15325" s="1" t="s">
        <v>38</v>
      </c>
      <c r="O15325" s="1" t="s">
        <v>46</v>
      </c>
    </row>
    <row r="15326" spans="2:15" x14ac:dyDescent="0.3">
      <c r="B15326" s="1" t="s">
        <v>19</v>
      </c>
      <c r="C15326" s="1" t="str">
        <f>"5-2차"</f>
        <v>5-2차</v>
      </c>
      <c r="D15326" s="1" t="str">
        <f>"0129C3115S"</f>
        <v>0129C3115S</v>
      </c>
      <c r="E15326" s="1" t="s">
        <v>10</v>
      </c>
      <c r="F15326" s="1" t="str">
        <f>"fde3:102:1410:1300:0:0:0:c"</f>
        <v>fde3:102:1410:1300:0:0:0:c</v>
      </c>
      <c r="G15326" s="1" t="str">
        <f>"0129C311"</f>
        <v>0129C311</v>
      </c>
      <c r="H15326" s="1" t="str">
        <f>"시장지 11"</f>
        <v>시장지 11</v>
      </c>
      <c r="I15326" s="1" t="s">
        <v>15</v>
      </c>
      <c r="J15326" s="1" t="str">
        <f>"47/47"</f>
        <v>47/47</v>
      </c>
      <c r="K15326" s="1" t="str">
        <f>"2026-07-29 14:20:20"</f>
        <v>2026-07-29 14:20:20</v>
      </c>
      <c r="L15326" s="1" t="str">
        <f>"2023-08-07 15:09:13"</f>
        <v>2023-08-07 15:09:13</v>
      </c>
      <c r="M15326" s="1" t="s">
        <v>45</v>
      </c>
      <c r="N15326" s="1" t="s">
        <v>38</v>
      </c>
      <c r="O15326" s="1" t="s">
        <v>46</v>
      </c>
    </row>
    <row r="15327" spans="2:15" x14ac:dyDescent="0.3">
      <c r="B15327" s="1" t="s">
        <v>19</v>
      </c>
      <c r="C15327" s="1" t="str">
        <f>"5-2차"</f>
        <v>5-2차</v>
      </c>
      <c r="D15327" s="1" t="str">
        <f>"0129C3325M"</f>
        <v>0129C3325M</v>
      </c>
      <c r="E15327" s="1" t="s">
        <v>10</v>
      </c>
      <c r="F15327" s="1" t="str">
        <f>"fde3:102:1410:1300:0:0:0:d"</f>
        <v>fde3:102:1410:1300:0:0:0:d</v>
      </c>
      <c r="G15327" s="1" t="str">
        <f>"0129C332"</f>
        <v>0129C332</v>
      </c>
      <c r="H15327" s="1" t="str">
        <f>"시장지 12R2"</f>
        <v>시장지 12R2</v>
      </c>
      <c r="I15327" s="1" t="s">
        <v>15</v>
      </c>
      <c r="J15327" s="1" t="str">
        <f>"48/48"</f>
        <v>48/48</v>
      </c>
      <c r="K15327" s="1" t="str">
        <f>"2026-07-29 14:20:18"</f>
        <v>2026-07-29 14:20:18</v>
      </c>
      <c r="L15327" s="1" t="str">
        <f>"2023-08-07 14:53:25"</f>
        <v>2023-08-07 14:53:25</v>
      </c>
      <c r="M15327" s="1" t="s">
        <v>45</v>
      </c>
      <c r="N15327" s="1" t="s">
        <v>38</v>
      </c>
      <c r="O15327" s="1" t="s">
        <v>46</v>
      </c>
    </row>
    <row r="15328" spans="2:15" x14ac:dyDescent="0.3">
      <c r="B15328" s="1" t="s">
        <v>19</v>
      </c>
      <c r="C15328" s="1" t="str">
        <f>"4차"</f>
        <v>4차</v>
      </c>
      <c r="D15328" s="1" t="str">
        <f>"0129C38344"</f>
        <v>0129C38344</v>
      </c>
      <c r="E15328" s="1" t="s">
        <v>10</v>
      </c>
      <c r="F15328" s="1" t="str">
        <f>"10.12.130.83"</f>
        <v>10.12.130.83</v>
      </c>
      <c r="G15328" s="1" t="str">
        <f>"0129C383"</f>
        <v>0129C383</v>
      </c>
      <c r="H15328" s="1" t="str">
        <f>"삼원간 51R31L6L8L6"</f>
        <v>삼원간 51R31L6L8L6</v>
      </c>
      <c r="I15328" s="1" t="s">
        <v>8</v>
      </c>
      <c r="J15328" s="1" t="str">
        <f>"55/56"</f>
        <v>55/56</v>
      </c>
      <c r="K15328" s="1" t="str">
        <f>"2026-07-29 13:18:01"</f>
        <v>2026-07-29 13:18:01</v>
      </c>
      <c r="L15328" s="1" t="str">
        <f>"2023-12-01 17:25:39"</f>
        <v>2023-12-01 17:25:39</v>
      </c>
      <c r="M15328" s="1" t="s">
        <v>0</v>
      </c>
      <c r="N15328" s="1" t="s">
        <v>38</v>
      </c>
      <c r="O15328" s="1" t="s">
        <v>46</v>
      </c>
    </row>
    <row r="15329" spans="2:15" x14ac:dyDescent="0.3">
      <c r="B15329" s="1" t="s">
        <v>19</v>
      </c>
      <c r="C15329" s="1" t="str">
        <f>"3차"</f>
        <v>3차</v>
      </c>
      <c r="D15329" s="1" t="str">
        <f>"0129C39139"</f>
        <v>0129C39139</v>
      </c>
      <c r="E15329" s="1" t="s">
        <v>10</v>
      </c>
      <c r="F15329" s="1" t="str">
        <f>"10.107.123.204"</f>
        <v>10.107.123.204</v>
      </c>
      <c r="G15329" s="1" t="str">
        <f>"0129C391"</f>
        <v>0129C391</v>
      </c>
      <c r="H15329" s="1" t="str">
        <f>"삼원간 51R7L4R1"</f>
        <v>삼원간 51R7L4R1</v>
      </c>
      <c r="I15329" s="1" t="s">
        <v>8</v>
      </c>
      <c r="J15329" s="1" t="str">
        <f>"80/81"</f>
        <v>80/81</v>
      </c>
      <c r="K15329" s="1" t="str">
        <f>"2026-07-29 13:18:01"</f>
        <v>2026-07-29 13:18:01</v>
      </c>
      <c r="L15329" s="1" t="str">
        <f>"2018-02-13 15:21:16"</f>
        <v>2018-02-13 15:21:16</v>
      </c>
      <c r="M15329" s="1" t="s">
        <v>45</v>
      </c>
      <c r="N15329" s="1" t="s">
        <v>38</v>
      </c>
      <c r="O15329" s="1" t="s">
        <v>46</v>
      </c>
    </row>
    <row r="15330" spans="2:15" x14ac:dyDescent="0.3">
      <c r="B15330" s="1" t="s">
        <v>19</v>
      </c>
      <c r="C15330" s="1" t="str">
        <f>"5-2차"</f>
        <v>5-2차</v>
      </c>
      <c r="D15330" s="1" t="str">
        <f>"0129C4455M"</f>
        <v>0129C4455M</v>
      </c>
      <c r="E15330" s="1" t="s">
        <v>10</v>
      </c>
      <c r="F15330" s="1" t="str">
        <f>"fde1:103:4:6e80:0:0:0:2"</f>
        <v>fde1:103:4:6e80:0:0:0:2</v>
      </c>
      <c r="G15330" s="1" t="str">
        <f>"0129C445"</f>
        <v>0129C445</v>
      </c>
      <c r="H15330" s="1" t="str">
        <f>"삼원간 51R31L7R2"</f>
        <v>삼원간 51R31L7R2</v>
      </c>
      <c r="I15330" s="1" t="s">
        <v>15</v>
      </c>
      <c r="J15330" s="1" t="str">
        <f>"72/72"</f>
        <v>72/72</v>
      </c>
      <c r="K15330" s="1" t="str">
        <f>"2026-07-29 14:20:18"</f>
        <v>2026-07-29 14:20:18</v>
      </c>
      <c r="L15330" s="1" t="str">
        <f>"2023-11-10 15:21:26"</f>
        <v>2023-11-10 15:21:26</v>
      </c>
      <c r="M15330" s="1" t="s">
        <v>4</v>
      </c>
      <c r="N15330" s="1" t="s">
        <v>38</v>
      </c>
      <c r="O15330" s="1" t="s">
        <v>46</v>
      </c>
    </row>
    <row r="15331" spans="2:15" x14ac:dyDescent="0.3">
      <c r="B15331" s="1" t="s">
        <v>19</v>
      </c>
      <c r="C15331" s="1" t="str">
        <f>"5-2차"</f>
        <v>5-2차</v>
      </c>
      <c r="D15331" s="1" t="str">
        <f>"0129C4645M"</f>
        <v>0129C4645M</v>
      </c>
      <c r="E15331" s="1" t="s">
        <v>10</v>
      </c>
      <c r="F15331" s="1" t="str">
        <f>"fde3:102:1410:1300:0:0:0:11"</f>
        <v>fde3:102:1410:1300:0:0:0:11</v>
      </c>
      <c r="G15331" s="1" t="str">
        <f>"0129C464"</f>
        <v>0129C464</v>
      </c>
      <c r="H15331" s="1" t="str">
        <f>"삼원간 51R31L6L3"</f>
        <v>삼원간 51R31L6L3</v>
      </c>
      <c r="I15331" s="1" t="s">
        <v>15</v>
      </c>
      <c r="J15331" s="1" t="str">
        <f>"79/79"</f>
        <v>79/79</v>
      </c>
      <c r="K15331" s="1" t="str">
        <f>"2026-07-29 14:20:40"</f>
        <v>2026-07-29 14:20:40</v>
      </c>
      <c r="L15331" s="1" t="str">
        <f>"2023-08-07 16:54:01"</f>
        <v>2023-08-07 16:54:01</v>
      </c>
      <c r="M15331" s="1" t="s">
        <v>45</v>
      </c>
      <c r="N15331" s="1" t="s">
        <v>38</v>
      </c>
      <c r="O15331" s="1" t="s">
        <v>46</v>
      </c>
    </row>
    <row r="15332" spans="2:15" x14ac:dyDescent="0.3">
      <c r="B15332" s="1" t="s">
        <v>19</v>
      </c>
      <c r="C15332" s="1" t="str">
        <f>"4차"</f>
        <v>4차</v>
      </c>
      <c r="D15332" s="1" t="str">
        <f>"0129C48144"</f>
        <v>0129C48144</v>
      </c>
      <c r="E15332" s="1" t="s">
        <v>10</v>
      </c>
      <c r="F15332" s="1" t="str">
        <f>"10.107.123.73"</f>
        <v>10.107.123.73</v>
      </c>
      <c r="G15332" s="1" t="str">
        <f>"0129C481"</f>
        <v>0129C481</v>
      </c>
      <c r="H15332" s="1" t="str">
        <f>"삼원간 51R31L6L8L4"</f>
        <v>삼원간 51R31L6L8L4</v>
      </c>
      <c r="I15332" s="1" t="s">
        <v>8</v>
      </c>
      <c r="J15332" s="1" t="str">
        <f>"22/22"</f>
        <v>22/22</v>
      </c>
      <c r="K15332" s="1" t="str">
        <f>"2026-07-29 13:18:01"</f>
        <v>2026-07-29 13:18:01</v>
      </c>
      <c r="L15332" s="1" t="str">
        <f>"2023-10-05 17:49:35"</f>
        <v>2023-10-05 17:49:35</v>
      </c>
      <c r="M15332" s="1" t="s">
        <v>45</v>
      </c>
      <c r="N15332" s="1" t="s">
        <v>38</v>
      </c>
      <c r="O15332" s="1" t="s">
        <v>46</v>
      </c>
    </row>
    <row r="15333" spans="2:15" x14ac:dyDescent="0.3">
      <c r="B15333" s="1" t="s">
        <v>19</v>
      </c>
      <c r="C15333" s="1" t="str">
        <f>"5-2차"</f>
        <v>5-2차</v>
      </c>
      <c r="D15333" s="1" t="str">
        <f>"0129C5025S"</f>
        <v>0129C5025S</v>
      </c>
      <c r="E15333" s="1" t="s">
        <v>10</v>
      </c>
      <c r="F15333" s="1" t="str">
        <f>"fde1:103:4:6e90:0:0:0:2"</f>
        <v>fde1:103:4:6e90:0:0:0:2</v>
      </c>
      <c r="G15333" s="1" t="str">
        <f>"0129C502"</f>
        <v>0129C502</v>
      </c>
      <c r="H15333" s="1" t="str">
        <f>"시장지 27L3L2R2"</f>
        <v>시장지 27L3L2R2</v>
      </c>
      <c r="I15333" s="1" t="s">
        <v>15</v>
      </c>
      <c r="J15333" s="1" t="str">
        <f>"41/41"</f>
        <v>41/41</v>
      </c>
      <c r="K15333" s="1" t="str">
        <f>"2026-07-29 14:20:00"</f>
        <v>2026-07-29 14:20:00</v>
      </c>
      <c r="L15333" s="1" t="str">
        <f>"2023-11-10 14:56:18"</f>
        <v>2023-11-10 14:56:18</v>
      </c>
      <c r="M15333" s="1" t="s">
        <v>4</v>
      </c>
      <c r="N15333" s="1" t="s">
        <v>38</v>
      </c>
      <c r="O15333" s="1" t="s">
        <v>46</v>
      </c>
    </row>
    <row r="15334" spans="2:15" x14ac:dyDescent="0.3">
      <c r="B15334" s="1" t="s">
        <v>19</v>
      </c>
      <c r="C15334" s="1" t="str">
        <f>"5-2차"</f>
        <v>5-2차</v>
      </c>
      <c r="D15334" s="1" t="str">
        <f>"0129C5215M"</f>
        <v>0129C5215M</v>
      </c>
      <c r="E15334" s="1" t="s">
        <v>10</v>
      </c>
      <c r="F15334" s="1" t="str">
        <f>"fde1:103:4:6e8f:0:0:0:2"</f>
        <v>fde1:103:4:6e8f:0:0:0:2</v>
      </c>
      <c r="G15334" s="1" t="str">
        <f>"0129C521"</f>
        <v>0129C521</v>
      </c>
      <c r="H15334" s="1" t="str">
        <f>"시장지 9"</f>
        <v>시장지 9</v>
      </c>
      <c r="I15334" s="1" t="s">
        <v>15</v>
      </c>
      <c r="J15334" s="1" t="str">
        <f>"52/54"</f>
        <v>52/54</v>
      </c>
      <c r="K15334" s="1" t="str">
        <f>"2026-07-29 14:20:18"</f>
        <v>2026-07-29 14:20:18</v>
      </c>
      <c r="L15334" s="1" t="str">
        <f>"2023-11-15 10:11:13"</f>
        <v>2023-11-15 10:11:13</v>
      </c>
      <c r="M15334" s="1" t="s">
        <v>4</v>
      </c>
      <c r="N15334" s="1" t="s">
        <v>38</v>
      </c>
      <c r="O15334" s="1" t="s">
        <v>46</v>
      </c>
    </row>
    <row r="15335" spans="2:15" x14ac:dyDescent="0.3">
      <c r="B15335" s="1" t="s">
        <v>19</v>
      </c>
      <c r="C15335" s="1" t="str">
        <f>"5-2차"</f>
        <v>5-2차</v>
      </c>
      <c r="D15335" s="1" t="str">
        <f>"0129C5245S"</f>
        <v>0129C5245S</v>
      </c>
      <c r="E15335" s="1" t="s">
        <v>10</v>
      </c>
      <c r="F15335" s="1" t="str">
        <f>"fde3:102:1410:1300:0:0:0:e"</f>
        <v>fde3:102:1410:1300:0:0:0:e</v>
      </c>
      <c r="G15335" s="1" t="str">
        <f>"0129C524"</f>
        <v>0129C524</v>
      </c>
      <c r="H15335" s="1" t="str">
        <f>"시장지 6R1L4"</f>
        <v>시장지 6R1L4</v>
      </c>
      <c r="I15335" s="1" t="s">
        <v>15</v>
      </c>
      <c r="J15335" s="1" t="str">
        <f>"47/47"</f>
        <v>47/47</v>
      </c>
      <c r="K15335" s="1" t="str">
        <f>"2026-07-29 14:20:21"</f>
        <v>2026-07-29 14:20:21</v>
      </c>
      <c r="L15335" s="1" t="str">
        <f>"2023-10-26 17:11:14"</f>
        <v>2023-10-26 17:11:14</v>
      </c>
      <c r="M15335" s="1" t="s">
        <v>45</v>
      </c>
      <c r="N15335" s="1" t="s">
        <v>38</v>
      </c>
      <c r="O15335" s="1" t="s">
        <v>46</v>
      </c>
    </row>
    <row r="15336" spans="2:15" x14ac:dyDescent="0.3">
      <c r="B15336" s="1" t="s">
        <v>19</v>
      </c>
      <c r="C15336" s="1" t="str">
        <f>"5-1차"</f>
        <v>5-1차</v>
      </c>
      <c r="D15336" s="1" t="str">
        <f>"0129C5515M"</f>
        <v>0129C5515M</v>
      </c>
      <c r="E15336" s="1" t="s">
        <v>10</v>
      </c>
      <c r="F15336" s="1" t="str">
        <f>"fde2:104:0:2b:0:0:0:2"</f>
        <v>fde2:104:0:2b:0:0:0:2</v>
      </c>
      <c r="G15336" s="1" t="str">
        <f>"0129C551"</f>
        <v>0129C551</v>
      </c>
      <c r="H15336" s="1" t="str">
        <f>"삼원간 51R31L8"</f>
        <v>삼원간 51R31L8</v>
      </c>
      <c r="I15336" s="1" t="s">
        <v>15</v>
      </c>
      <c r="J15336" s="1" t="str">
        <f>"41/41"</f>
        <v>41/41</v>
      </c>
      <c r="K15336" s="1" t="str">
        <f>"2026-07-29 14:20:19"</f>
        <v>2026-07-29 14:20:19</v>
      </c>
      <c r="L15336" s="1" t="str">
        <f>"2022-08-31 08:11:48"</f>
        <v>2022-08-31 08:11:48</v>
      </c>
      <c r="M15336" s="1" t="s">
        <v>42</v>
      </c>
      <c r="N15336" s="1" t="s">
        <v>38</v>
      </c>
      <c r="O15336" s="1" t="s">
        <v>46</v>
      </c>
    </row>
    <row r="15337" spans="2:15" x14ac:dyDescent="0.3">
      <c r="B15337" s="1" t="s">
        <v>19</v>
      </c>
      <c r="C15337" s="1" t="str">
        <f>"6차"</f>
        <v>6차</v>
      </c>
      <c r="D15337" s="1" t="str">
        <f>"0129C5716M"</f>
        <v>0129C5716M</v>
      </c>
      <c r="E15337" s="1" t="s">
        <v>10</v>
      </c>
      <c r="F15337" s="1" t="str">
        <f>"fde1:103:4:c7a8:0:0:0:2"</f>
        <v>fde1:103:4:c7a8:0:0:0:2</v>
      </c>
      <c r="G15337" s="1" t="str">
        <f>"0129C571"</f>
        <v>0129C571</v>
      </c>
      <c r="H15337" s="1" t="str">
        <f>"삼원간 51R31L6L6"</f>
        <v>삼원간 51R31L6L6</v>
      </c>
      <c r="I15337" s="1" t="s">
        <v>15</v>
      </c>
      <c r="J15337" s="1" t="str">
        <f>"48/48"</f>
        <v>48/48</v>
      </c>
      <c r="K15337" s="1" t="str">
        <f>"2026-07-29 14:20:22"</f>
        <v>2026-07-29 14:20:22</v>
      </c>
      <c r="L15337" s="1" t="str">
        <f>"2024-12-03 11:25:13"</f>
        <v>2024-12-03 11:25:13</v>
      </c>
      <c r="M15337" s="1" t="s">
        <v>4</v>
      </c>
      <c r="N15337" s="1" t="s">
        <v>38</v>
      </c>
      <c r="O15337" s="1" t="s">
        <v>46</v>
      </c>
    </row>
    <row r="15338" spans="2:15" x14ac:dyDescent="0.3">
      <c r="B15338" s="1" t="s">
        <v>19</v>
      </c>
      <c r="C15338" s="1" t="str">
        <f>"6차"</f>
        <v>6차</v>
      </c>
      <c r="D15338" s="1" t="str">
        <f>"0129C5826M"</f>
        <v>0129C5826M</v>
      </c>
      <c r="E15338" s="1" t="s">
        <v>10</v>
      </c>
      <c r="F15338" s="1" t="str">
        <f>"fde1:103:4:c7aa:0:0:0:2"</f>
        <v>fde1:103:4:c7aa:0:0:0:2</v>
      </c>
      <c r="G15338" s="1" t="str">
        <f>"0129C582"</f>
        <v>0129C582</v>
      </c>
      <c r="H15338" s="1" t="str">
        <f>"삼원간 51R31L6L8"</f>
        <v>삼원간 51R31L6L8</v>
      </c>
      <c r="I15338" s="1" t="s">
        <v>15</v>
      </c>
      <c r="J15338" s="1" t="str">
        <f>"34/34"</f>
        <v>34/34</v>
      </c>
      <c r="K15338" s="1" t="str">
        <f>"2026-07-29 14:20:22"</f>
        <v>2026-07-29 14:20:22</v>
      </c>
      <c r="L15338" s="1" t="str">
        <f>"2024-12-03 11:25:34"</f>
        <v>2024-12-03 11:25:34</v>
      </c>
      <c r="M15338" s="1" t="s">
        <v>4</v>
      </c>
      <c r="N15338" s="1" t="s">
        <v>38</v>
      </c>
      <c r="O15338" s="1" t="s">
        <v>46</v>
      </c>
    </row>
    <row r="15339" spans="2:15" x14ac:dyDescent="0.3">
      <c r="B15339" s="1" t="s">
        <v>19</v>
      </c>
      <c r="C15339" s="1" t="str">
        <f>"5-2차"</f>
        <v>5-2차</v>
      </c>
      <c r="D15339" s="1" t="str">
        <f>"0129C5915M"</f>
        <v>0129C5915M</v>
      </c>
      <c r="E15339" s="1" t="s">
        <v>10</v>
      </c>
      <c r="F15339" s="1" t="str">
        <f>"fde3:102:1410:1300:0:0:0:12"</f>
        <v>fde3:102:1410:1300:0:0:0:12</v>
      </c>
      <c r="G15339" s="1" t="str">
        <f>"0129C591"</f>
        <v>0129C591</v>
      </c>
      <c r="H15339" s="1" t="str">
        <f>"삼원간 51R31L6L8L2"</f>
        <v>삼원간 51R31L6L8L2</v>
      </c>
      <c r="I15339" s="1" t="s">
        <v>15</v>
      </c>
      <c r="J15339" s="1" t="str">
        <f>"43/43"</f>
        <v>43/43</v>
      </c>
      <c r="K15339" s="1" t="str">
        <f>"2026-07-29 14:20:20"</f>
        <v>2026-07-29 14:20:20</v>
      </c>
      <c r="L15339" s="1" t="str">
        <f>"2023-08-07 17:06:00"</f>
        <v>2023-08-07 17:06:00</v>
      </c>
      <c r="M15339" s="1" t="s">
        <v>45</v>
      </c>
      <c r="N15339" s="1" t="s">
        <v>38</v>
      </c>
      <c r="O15339" s="1" t="s">
        <v>46</v>
      </c>
    </row>
    <row r="15340" spans="2:15" x14ac:dyDescent="0.3">
      <c r="B15340" s="1" t="s">
        <v>19</v>
      </c>
      <c r="C15340" s="1" t="str">
        <f>"1차"</f>
        <v>1차</v>
      </c>
      <c r="D15340" s="1" t="str">
        <f>"0129C61201"</f>
        <v>0129C61201</v>
      </c>
      <c r="E15340" s="1" t="s">
        <v>10</v>
      </c>
      <c r="F15340" s="1" t="str">
        <f>"10.107.0.135"</f>
        <v>10.107.0.135</v>
      </c>
      <c r="G15340" s="1" t="str">
        <f>"0129C612"</f>
        <v>0129C612</v>
      </c>
      <c r="H15340" s="1" t="str">
        <f>"시장지 3L3R3"</f>
        <v>시장지 3L3R3</v>
      </c>
      <c r="I15340" s="1" t="s">
        <v>8</v>
      </c>
      <c r="J15340" s="1" t="str">
        <f>"38/39"</f>
        <v>38/39</v>
      </c>
      <c r="K15340" s="1" t="str">
        <f>"2026-07-29 13:18:02"</f>
        <v>2026-07-29 13:18:02</v>
      </c>
      <c r="L15340" s="1" t="str">
        <f>"2014-11-27 16:51:42"</f>
        <v>2014-11-27 16:51:42</v>
      </c>
      <c r="M15340" s="1" t="s">
        <v>45</v>
      </c>
      <c r="N15340" s="1" t="s">
        <v>38</v>
      </c>
      <c r="O15340" s="1" t="s">
        <v>46</v>
      </c>
    </row>
    <row r="15341" spans="2:15" x14ac:dyDescent="0.3">
      <c r="B15341" s="1" t="s">
        <v>19</v>
      </c>
      <c r="C15341" s="1" t="str">
        <f>"5-2차"</f>
        <v>5-2차</v>
      </c>
      <c r="D15341" s="1" t="str">
        <f>"0129C6335M"</f>
        <v>0129C6335M</v>
      </c>
      <c r="E15341" s="1" t="s">
        <v>10</v>
      </c>
      <c r="F15341" s="1" t="str">
        <f>"fde1:103:4:6e8b:0:0:0:2"</f>
        <v>fde1:103:4:6e8b:0:0:0:2</v>
      </c>
      <c r="G15341" s="1" t="str">
        <f>"0129C633"</f>
        <v>0129C633</v>
      </c>
      <c r="H15341" s="1" t="str">
        <f>"시장지 6R1L2"</f>
        <v>시장지 6R1L2</v>
      </c>
      <c r="I15341" s="1" t="s">
        <v>15</v>
      </c>
      <c r="J15341" s="1" t="str">
        <f>"29/29"</f>
        <v>29/29</v>
      </c>
      <c r="K15341" s="1" t="str">
        <f>"2026-07-29 14:20:48"</f>
        <v>2026-07-29 14:20:48</v>
      </c>
      <c r="L15341" s="1" t="str">
        <f>"2023-11-10 15:45:53"</f>
        <v>2023-11-10 15:45:53</v>
      </c>
      <c r="M15341" s="1" t="s">
        <v>4</v>
      </c>
      <c r="N15341" s="1" t="s">
        <v>38</v>
      </c>
      <c r="O15341" s="1" t="s">
        <v>46</v>
      </c>
    </row>
    <row r="15342" spans="2:15" x14ac:dyDescent="0.3">
      <c r="B15342" s="1" t="s">
        <v>19</v>
      </c>
      <c r="C15342" s="1" t="str">
        <f>"5-2차"</f>
        <v>5-2차</v>
      </c>
      <c r="D15342" s="1" t="str">
        <f>"0129C6415S"</f>
        <v>0129C6415S</v>
      </c>
      <c r="E15342" s="1" t="s">
        <v>10</v>
      </c>
      <c r="F15342" s="1" t="str">
        <f>"fde1:103:4:6e8c:0:0:0:2"</f>
        <v>fde1:103:4:6e8c:0:0:0:2</v>
      </c>
      <c r="G15342" s="1" t="str">
        <f>"0129C641"</f>
        <v>0129C641</v>
      </c>
      <c r="H15342" s="1" t="str">
        <f>"삼원간 51R31L7R5"</f>
        <v>삼원간 51R31L7R5</v>
      </c>
      <c r="I15342" s="1" t="s">
        <v>15</v>
      </c>
      <c r="J15342" s="1" t="str">
        <f>"57/58"</f>
        <v>57/58</v>
      </c>
      <c r="K15342" s="1" t="str">
        <f>"2026-07-29 14:20:20"</f>
        <v>2026-07-29 14:20:20</v>
      </c>
      <c r="L15342" s="1" t="str">
        <f>"2023-11-10 15:21:30"</f>
        <v>2023-11-10 15:21:30</v>
      </c>
      <c r="M15342" s="1" t="s">
        <v>4</v>
      </c>
      <c r="N15342" s="1" t="s">
        <v>38</v>
      </c>
      <c r="O15342" s="1" t="s">
        <v>46</v>
      </c>
    </row>
    <row r="15343" spans="2:15" x14ac:dyDescent="0.3">
      <c r="B15343" s="1" t="s">
        <v>19</v>
      </c>
      <c r="C15343" s="1" t="str">
        <f>"1차"</f>
        <v>1차</v>
      </c>
      <c r="D15343" s="1" t="str">
        <f>"0129C65101"</f>
        <v>0129C65101</v>
      </c>
      <c r="E15343" s="1" t="s">
        <v>10</v>
      </c>
      <c r="F15343" s="1" t="str">
        <f>"10.107.121.200"</f>
        <v>10.107.121.200</v>
      </c>
      <c r="G15343" s="1" t="str">
        <f>"0129C651"</f>
        <v>0129C651</v>
      </c>
      <c r="H15343" s="1" t="str">
        <f>"삼원간 51R31L10"</f>
        <v>삼원간 51R31L10</v>
      </c>
      <c r="I15343" s="1" t="s">
        <v>8</v>
      </c>
      <c r="J15343" s="1" t="str">
        <f>"57/58"</f>
        <v>57/58</v>
      </c>
      <c r="K15343" s="1" t="str">
        <f>"2026-07-29 13:18:01"</f>
        <v>2026-07-29 13:18:01</v>
      </c>
      <c r="L15343" s="1" t="str">
        <f>"2014-11-13 17:45:11"</f>
        <v>2014-11-13 17:45:11</v>
      </c>
      <c r="M15343" s="1" t="s">
        <v>45</v>
      </c>
      <c r="N15343" s="1" t="s">
        <v>38</v>
      </c>
      <c r="O15343" s="1" t="s">
        <v>46</v>
      </c>
    </row>
    <row r="15344" spans="2:15" x14ac:dyDescent="0.3">
      <c r="B15344" s="1" t="s">
        <v>19</v>
      </c>
      <c r="C15344" s="1" t="str">
        <f>"1차"</f>
        <v>1차</v>
      </c>
      <c r="D15344" s="1" t="str">
        <f>"0129C66400"</f>
        <v>0129C66400</v>
      </c>
      <c r="E15344" s="1" t="s">
        <v>10</v>
      </c>
      <c r="F15344" s="1" t="str">
        <f>"10.107.121.199"</f>
        <v>10.107.121.199</v>
      </c>
      <c r="G15344" s="1" t="str">
        <f>"0129C664"</f>
        <v>0129C664</v>
      </c>
      <c r="H15344" s="1" t="str">
        <f>"삼원간 51R31L11"</f>
        <v>삼원간 51R31L11</v>
      </c>
      <c r="I15344" s="1" t="s">
        <v>8</v>
      </c>
      <c r="J15344" s="1" t="str">
        <f>"41/41"</f>
        <v>41/41</v>
      </c>
      <c r="K15344" s="1" t="str">
        <f>"2026-07-29 13:18:01"</f>
        <v>2026-07-29 13:18:01</v>
      </c>
      <c r="L15344" s="1" t="str">
        <f>"2021-07-26 16:55:07"</f>
        <v>2021-07-26 16:55:07</v>
      </c>
      <c r="M15344" s="1" t="s">
        <v>45</v>
      </c>
      <c r="N15344" s="1" t="s">
        <v>38</v>
      </c>
      <c r="O15344" s="1" t="s">
        <v>46</v>
      </c>
    </row>
    <row r="15345" spans="2:15" x14ac:dyDescent="0.3">
      <c r="B15345" s="1" t="s">
        <v>19</v>
      </c>
      <c r="C15345" s="1" t="str">
        <f>"1차"</f>
        <v>1차</v>
      </c>
      <c r="D15345" s="1" t="str">
        <f>"0129C71401"</f>
        <v>0129C71401</v>
      </c>
      <c r="E15345" s="1" t="s">
        <v>10</v>
      </c>
      <c r="F15345" s="1" t="str">
        <f>"10.107.0.136"</f>
        <v>10.107.0.136</v>
      </c>
      <c r="G15345" s="1" t="str">
        <f>"0129C714"</f>
        <v>0129C714</v>
      </c>
      <c r="H15345" s="1" t="str">
        <f>"시장지 3L3"</f>
        <v>시장지 3L3</v>
      </c>
      <c r="I15345" s="1" t="s">
        <v>8</v>
      </c>
      <c r="J15345" s="1" t="str">
        <f>"1/2"</f>
        <v>1/2</v>
      </c>
      <c r="K15345" s="1" t="str">
        <f>"2026-07-28 13:18:01"</f>
        <v>2026-07-28 13:18:01</v>
      </c>
      <c r="L15345" s="1" t="str">
        <f>"2014-11-27 14:17:00"</f>
        <v>2014-11-27 14:17:00</v>
      </c>
      <c r="M15345" s="1" t="s">
        <v>45</v>
      </c>
      <c r="N15345" s="1" t="s">
        <v>38</v>
      </c>
      <c r="O15345" s="1" t="s">
        <v>46</v>
      </c>
    </row>
    <row r="15346" spans="2:15" x14ac:dyDescent="0.3">
      <c r="B15346" s="1" t="s">
        <v>19</v>
      </c>
      <c r="C15346" s="1" t="str">
        <f>"6차"</f>
        <v>6차</v>
      </c>
      <c r="D15346" s="1" t="str">
        <f>"0129C7246M"</f>
        <v>0129C7246M</v>
      </c>
      <c r="E15346" s="1" t="s">
        <v>10</v>
      </c>
      <c r="F15346" s="1" t="str">
        <f>"fde1:103:4:c781:0:0:0:2"</f>
        <v>fde1:103:4:c781:0:0:0:2</v>
      </c>
      <c r="G15346" s="1" t="str">
        <f>"0129C724"</f>
        <v>0129C724</v>
      </c>
      <c r="H15346" s="1" t="str">
        <f>"시장지 6"</f>
        <v>시장지 6</v>
      </c>
      <c r="I15346" s="1" t="s">
        <v>15</v>
      </c>
      <c r="J15346" s="1" t="str">
        <f>"66/67"</f>
        <v>66/67</v>
      </c>
      <c r="K15346" s="1" t="str">
        <f>"2026-07-29 14:20:00"</f>
        <v>2026-07-29 14:20:00</v>
      </c>
      <c r="L15346" s="1" t="str">
        <f>"2024-12-04 15:38:42"</f>
        <v>2024-12-04 15:38:42</v>
      </c>
      <c r="M15346" s="1" t="s">
        <v>4</v>
      </c>
      <c r="N15346" s="1" t="s">
        <v>38</v>
      </c>
      <c r="O15346" s="1" t="s">
        <v>46</v>
      </c>
    </row>
    <row r="15347" spans="2:15" x14ac:dyDescent="0.3">
      <c r="B15347" s="1" t="s">
        <v>19</v>
      </c>
      <c r="C15347" s="1" t="str">
        <f>"5-2차"</f>
        <v>5-2차</v>
      </c>
      <c r="D15347" s="1" t="str">
        <f>"0129C7255S"</f>
        <v>0129C7255S</v>
      </c>
      <c r="E15347" s="1" t="s">
        <v>10</v>
      </c>
      <c r="F15347" s="1" t="str">
        <f>"fde1:103:4:6e93:0:0:0:2"</f>
        <v>fde1:103:4:6e93:0:0:0:2</v>
      </c>
      <c r="G15347" s="1" t="str">
        <f>"0129C725"</f>
        <v>0129C725</v>
      </c>
      <c r="H15347" s="1" t="str">
        <f>"시장지 6R1"</f>
        <v>시장지 6R1</v>
      </c>
      <c r="I15347" s="1" t="s">
        <v>15</v>
      </c>
      <c r="J15347" s="1" t="str">
        <f>"44/44"</f>
        <v>44/44</v>
      </c>
      <c r="K15347" s="1" t="str">
        <f>"2026-07-29 14:20:22"</f>
        <v>2026-07-29 14:20:22</v>
      </c>
      <c r="L15347" s="1" t="str">
        <f>"2023-11-10 15:21:22"</f>
        <v>2023-11-10 15:21:22</v>
      </c>
      <c r="M15347" s="1" t="s">
        <v>4</v>
      </c>
      <c r="N15347" s="1" t="s">
        <v>38</v>
      </c>
      <c r="O15347" s="1" t="s">
        <v>46</v>
      </c>
    </row>
    <row r="15348" spans="2:15" x14ac:dyDescent="0.3">
      <c r="B15348" s="1" t="s">
        <v>19</v>
      </c>
      <c r="C15348" s="1" t="str">
        <f>"6차"</f>
        <v>6차</v>
      </c>
      <c r="D15348" s="1" t="str">
        <f>"0129C7656M"</f>
        <v>0129C7656M</v>
      </c>
      <c r="E15348" s="1" t="s">
        <v>10</v>
      </c>
      <c r="F15348" s="1" t="str">
        <f>"fde1:103:4:c7d4:0:0:0:2"</f>
        <v>fde1:103:4:c7d4:0:0:0:2</v>
      </c>
      <c r="G15348" s="1" t="str">
        <f>"0129C765"</f>
        <v>0129C765</v>
      </c>
      <c r="H15348" s="1" t="str">
        <f>"삼원간 51R31L12"</f>
        <v>삼원간 51R31L12</v>
      </c>
      <c r="I15348" s="1" t="s">
        <v>15</v>
      </c>
      <c r="J15348" s="1" t="str">
        <f>"25/26"</f>
        <v>25/26</v>
      </c>
      <c r="K15348" s="1" t="str">
        <f>"2026-07-29 14:21:02"</f>
        <v>2026-07-29 14:21:02</v>
      </c>
      <c r="L15348" s="1" t="str">
        <f>"2024-12-03 11:25:50"</f>
        <v>2024-12-03 11:25:50</v>
      </c>
      <c r="M15348" s="1" t="s">
        <v>4</v>
      </c>
      <c r="N15348" s="1" t="s">
        <v>38</v>
      </c>
      <c r="O15348" s="1" t="s">
        <v>46</v>
      </c>
    </row>
    <row r="15349" spans="2:15" x14ac:dyDescent="0.3">
      <c r="B15349" s="1" t="s">
        <v>19</v>
      </c>
      <c r="C15349" s="1" t="str">
        <f>"4차"</f>
        <v>4차</v>
      </c>
      <c r="D15349" s="1" t="str">
        <f>"0129C77144"</f>
        <v>0129C77144</v>
      </c>
      <c r="E15349" s="1" t="s">
        <v>10</v>
      </c>
      <c r="F15349" s="1" t="str">
        <f>"10.107.121.201"</f>
        <v>10.107.121.201</v>
      </c>
      <c r="G15349" s="1" t="str">
        <f>"0129C771"</f>
        <v>0129C771</v>
      </c>
      <c r="H15349" s="1" t="str">
        <f>"삼원간 59R5"</f>
        <v>삼원간 59R5</v>
      </c>
      <c r="I15349" s="1" t="s">
        <v>8</v>
      </c>
      <c r="J15349" s="1" t="str">
        <f>"39/39"</f>
        <v>39/39</v>
      </c>
      <c r="K15349" s="1" t="str">
        <f>"2026-07-29 13:18:01"</f>
        <v>2026-07-29 13:18:01</v>
      </c>
      <c r="L15349" s="1" t="str">
        <f>"2019-12-13 09:17:04"</f>
        <v>2019-12-13 09:17:04</v>
      </c>
      <c r="M15349" s="1" t="s">
        <v>45</v>
      </c>
      <c r="N15349" s="1" t="s">
        <v>38</v>
      </c>
      <c r="O15349" s="1" t="s">
        <v>46</v>
      </c>
    </row>
    <row r="15350" spans="2:15" x14ac:dyDescent="0.3">
      <c r="B15350" s="1" t="s">
        <v>19</v>
      </c>
      <c r="C15350" s="1" t="str">
        <f>"5-2차"</f>
        <v>5-2차</v>
      </c>
      <c r="D15350" s="1" t="str">
        <f>"0129C8035M"</f>
        <v>0129C8035M</v>
      </c>
      <c r="E15350" s="1" t="s">
        <v>10</v>
      </c>
      <c r="F15350" s="1" t="str">
        <f>"fde1:103:4:6e8a:0:0:0:2"</f>
        <v>fde1:103:4:6e8a:0:0:0:2</v>
      </c>
      <c r="G15350" s="1" t="str">
        <f>"0129C803"</f>
        <v>0129C803</v>
      </c>
      <c r="H15350" s="1" t="str">
        <f>"삼원간 69R4R1"</f>
        <v>삼원간 69R4R1</v>
      </c>
      <c r="I15350" s="1" t="s">
        <v>15</v>
      </c>
      <c r="J15350" s="1" t="str">
        <f>"46/47"</f>
        <v>46/47</v>
      </c>
      <c r="K15350" s="1" t="str">
        <f>"2026-07-29 08:20:41"</f>
        <v>2026-07-29 08:20:41</v>
      </c>
      <c r="L15350" s="1" t="str">
        <f>"2023-11-10 13:55:37"</f>
        <v>2023-11-10 13:55:37</v>
      </c>
      <c r="M15350" s="1" t="s">
        <v>4</v>
      </c>
      <c r="N15350" s="1" t="s">
        <v>38</v>
      </c>
      <c r="O15350" s="1" t="s">
        <v>46</v>
      </c>
    </row>
    <row r="15351" spans="2:15" x14ac:dyDescent="0.3">
      <c r="B15351" s="1" t="s">
        <v>19</v>
      </c>
      <c r="C15351" s="1" t="str">
        <f>"4차"</f>
        <v>4차</v>
      </c>
      <c r="D15351" s="1" t="str">
        <f>"0129C81444"</f>
        <v>0129C81444</v>
      </c>
      <c r="E15351" s="1" t="s">
        <v>10</v>
      </c>
      <c r="F15351" s="1" t="str">
        <f>"10.107.2.27"</f>
        <v>10.107.2.27</v>
      </c>
      <c r="G15351" s="1" t="str">
        <f>"0129C814"</f>
        <v>0129C814</v>
      </c>
      <c r="H15351" s="1" t="str">
        <f>"시장지 3L2"</f>
        <v>시장지 3L2</v>
      </c>
      <c r="I15351" s="1" t="s">
        <v>8</v>
      </c>
      <c r="J15351" s="1" t="str">
        <f>"20/21"</f>
        <v>20/21</v>
      </c>
      <c r="K15351" s="1" t="str">
        <f>"2026-07-29 13:18:01"</f>
        <v>2026-07-29 13:18:01</v>
      </c>
      <c r="L15351" s="1" t="str">
        <f>"2023-07-17 18:18:55"</f>
        <v>2023-07-17 18:18:55</v>
      </c>
      <c r="M15351" s="1" t="s">
        <v>45</v>
      </c>
      <c r="N15351" s="1" t="s">
        <v>38</v>
      </c>
      <c r="O15351" s="1" t="s">
        <v>46</v>
      </c>
    </row>
    <row r="15352" spans="2:15" x14ac:dyDescent="0.3">
      <c r="B15352" s="1" t="s">
        <v>19</v>
      </c>
      <c r="C15352" s="1" t="str">
        <f>"1차"</f>
        <v>1차</v>
      </c>
      <c r="D15352" s="1" t="str">
        <f>"0129C82100"</f>
        <v>0129C82100</v>
      </c>
      <c r="E15352" s="1" t="s">
        <v>10</v>
      </c>
      <c r="F15352" s="1" t="str">
        <f>"10.107.0.140"</f>
        <v>10.107.0.140</v>
      </c>
      <c r="G15352" s="1" t="str">
        <f>"0129C821"</f>
        <v>0129C821</v>
      </c>
      <c r="H15352" s="1" t="str">
        <f>"시장지 5"</f>
        <v>시장지 5</v>
      </c>
      <c r="I15352" s="1" t="s">
        <v>8</v>
      </c>
      <c r="J15352" s="1" t="str">
        <f>"14/14"</f>
        <v>14/14</v>
      </c>
      <c r="K15352" s="1" t="str">
        <f>"2026-07-29 13:18:01"</f>
        <v>2026-07-29 13:18:01</v>
      </c>
      <c r="L15352" s="1" t="str">
        <f>"2014-10-10 08:12:16"</f>
        <v>2014-10-10 08:12:16</v>
      </c>
      <c r="M15352" s="1" t="s">
        <v>45</v>
      </c>
      <c r="N15352" s="1" t="s">
        <v>38</v>
      </c>
      <c r="O15352" s="1" t="s">
        <v>46</v>
      </c>
    </row>
    <row r="15353" spans="2:15" x14ac:dyDescent="0.3">
      <c r="B15353" s="1" t="s">
        <v>19</v>
      </c>
      <c r="C15353" s="1" t="str">
        <f>"1차"</f>
        <v>1차</v>
      </c>
      <c r="D15353" s="1" t="str">
        <f>"0129C84200"</f>
        <v>0129C84200</v>
      </c>
      <c r="E15353" s="1" t="s">
        <v>10</v>
      </c>
      <c r="F15353" s="1" t="str">
        <f>"10.107.121.202"</f>
        <v>10.107.121.202</v>
      </c>
      <c r="G15353" s="1" t="str">
        <f>"0129C842"</f>
        <v>0129C842</v>
      </c>
      <c r="H15353" s="1" t="str">
        <f>"삼원간 62R3"</f>
        <v>삼원간 62R3</v>
      </c>
      <c r="I15353" s="1" t="s">
        <v>8</v>
      </c>
      <c r="J15353" s="1" t="str">
        <f>"30/30"</f>
        <v>30/30</v>
      </c>
      <c r="K15353" s="1" t="str">
        <f>"2026-07-29 13:18:01"</f>
        <v>2026-07-29 13:18:01</v>
      </c>
      <c r="L15353" s="1" t="str">
        <f>"2014-10-20 00:13:49"</f>
        <v>2014-10-20 00:13:49</v>
      </c>
      <c r="M15353" s="1" t="s">
        <v>45</v>
      </c>
      <c r="N15353" s="1" t="s">
        <v>38</v>
      </c>
      <c r="O15353" s="1" t="s">
        <v>46</v>
      </c>
    </row>
    <row r="15354" spans="2:15" x14ac:dyDescent="0.3">
      <c r="B15354" s="1" t="s">
        <v>19</v>
      </c>
      <c r="C15354" s="1" t="str">
        <f>"1차"</f>
        <v>1차</v>
      </c>
      <c r="D15354" s="1" t="str">
        <f>"0129C86300"</f>
        <v>0129C86300</v>
      </c>
      <c r="E15354" s="1" t="s">
        <v>10</v>
      </c>
      <c r="F15354" s="1" t="str">
        <f>"10.107.121.203"</f>
        <v>10.107.121.203</v>
      </c>
      <c r="G15354" s="1" t="str">
        <f>"0129C863"</f>
        <v>0129C863</v>
      </c>
      <c r="H15354" s="1" t="str">
        <f>"삼원간 59R3"</f>
        <v>삼원간 59R3</v>
      </c>
      <c r="I15354" s="1" t="s">
        <v>8</v>
      </c>
      <c r="J15354" s="1" t="str">
        <f>"58/58"</f>
        <v>58/58</v>
      </c>
      <c r="K15354" s="1" t="str">
        <f>"2026-07-29 13:18:01"</f>
        <v>2026-07-29 13:18:01</v>
      </c>
      <c r="L15354" s="1" t="str">
        <f>"2014-10-20 00:13:33"</f>
        <v>2014-10-20 00:13:33</v>
      </c>
      <c r="M15354" s="1" t="s">
        <v>45</v>
      </c>
      <c r="N15354" s="1" t="s">
        <v>38</v>
      </c>
      <c r="O15354" s="1" t="s">
        <v>46</v>
      </c>
    </row>
    <row r="15355" spans="2:15" x14ac:dyDescent="0.3">
      <c r="B15355" s="1" t="s">
        <v>19</v>
      </c>
      <c r="C15355" s="1" t="str">
        <f>"6차"</f>
        <v>6차</v>
      </c>
      <c r="D15355" s="1" t="str">
        <f>"0129C9736S"</f>
        <v>0129C9736S</v>
      </c>
      <c r="E15355" s="1" t="s">
        <v>10</v>
      </c>
      <c r="F15355" s="1" t="str">
        <f>"fde1:103:4:92db:0:0:0:2"</f>
        <v>fde1:103:4:92db:0:0:0:2</v>
      </c>
      <c r="G15355" s="1" t="str">
        <f>"0129C973"</f>
        <v>0129C973</v>
      </c>
      <c r="H15355" s="1" t="str">
        <f>"삼원간 57R2L1"</f>
        <v>삼원간 57R2L1</v>
      </c>
      <c r="I15355" s="1" t="s">
        <v>15</v>
      </c>
      <c r="J15355" s="1" t="str">
        <f>"54/55"</f>
        <v>54/55</v>
      </c>
      <c r="K15355" s="1" t="str">
        <f>"2026-07-29 02:20:11"</f>
        <v>2026-07-29 02:20:11</v>
      </c>
      <c r="L15355" s="1" t="str">
        <f>"2025-02-24 13:15:28"</f>
        <v>2025-02-24 13:15:28</v>
      </c>
      <c r="M15355" s="1" t="s">
        <v>4</v>
      </c>
      <c r="N15355" s="1" t="s">
        <v>38</v>
      </c>
      <c r="O15355" s="1" t="s">
        <v>46</v>
      </c>
    </row>
    <row r="15356" spans="2:15" x14ac:dyDescent="0.3">
      <c r="B15356" s="1" t="s">
        <v>19</v>
      </c>
      <c r="C15356" s="1" t="str">
        <f>"6차"</f>
        <v>6차</v>
      </c>
      <c r="D15356" s="1" t="str">
        <f>"0129C9746M"</f>
        <v>0129C9746M</v>
      </c>
      <c r="E15356" s="1" t="s">
        <v>10</v>
      </c>
      <c r="F15356" s="1" t="str">
        <f>"fde1:103:4:c80a:0:0:0:2"</f>
        <v>fde1:103:4:c80a:0:0:0:2</v>
      </c>
      <c r="G15356" s="1" t="str">
        <f>"0129C974"</f>
        <v>0129C974</v>
      </c>
      <c r="H15356" s="1" t="str">
        <f>"삼원간 59R1"</f>
        <v>삼원간 59R1</v>
      </c>
      <c r="I15356" s="1" t="s">
        <v>15</v>
      </c>
      <c r="J15356" s="1" t="str">
        <f>"31/32"</f>
        <v>31/32</v>
      </c>
      <c r="K15356" s="1" t="str">
        <f>"2026-07-29 14:20:20"</f>
        <v>2026-07-29 14:20:20</v>
      </c>
      <c r="L15356" s="1" t="str">
        <f>"2024-12-03 11:26:12"</f>
        <v>2024-12-03 11:26:12</v>
      </c>
      <c r="M15356" s="1" t="s">
        <v>4</v>
      </c>
      <c r="N15356" s="1" t="s">
        <v>38</v>
      </c>
      <c r="O15356" s="1" t="s">
        <v>46</v>
      </c>
    </row>
    <row r="15357" spans="2:15" x14ac:dyDescent="0.3">
      <c r="B15357" s="1" t="s">
        <v>19</v>
      </c>
      <c r="C15357" s="1" t="str">
        <f>"1차"</f>
        <v>1차</v>
      </c>
      <c r="D15357" s="1" t="str">
        <f>"0129C98100"</f>
        <v>0129C98100</v>
      </c>
      <c r="E15357" s="1" t="s">
        <v>10</v>
      </c>
      <c r="F15357" s="1" t="str">
        <f>"10.107.123.77"</f>
        <v>10.107.123.77</v>
      </c>
      <c r="G15357" s="1" t="str">
        <f>"0129C981"</f>
        <v>0129C981</v>
      </c>
      <c r="H15357" s="1" t="str">
        <f>"삼원간 57R1"</f>
        <v>삼원간 57R1</v>
      </c>
      <c r="I15357" s="1" t="s">
        <v>8</v>
      </c>
      <c r="J15357" s="1" t="str">
        <f>"69/69"</f>
        <v>69/69</v>
      </c>
      <c r="K15357" s="1" t="str">
        <f>"2026-07-29 13:18:01"</f>
        <v>2026-07-29 13:18:01</v>
      </c>
      <c r="L15357" s="1" t="str">
        <f>"2014-10-10 00:14:04"</f>
        <v>2014-10-10 00:14:04</v>
      </c>
      <c r="M15357" s="1" t="s">
        <v>45</v>
      </c>
      <c r="N15357" s="1" t="s">
        <v>38</v>
      </c>
      <c r="O15357" s="1" t="s">
        <v>46</v>
      </c>
    </row>
    <row r="15358" spans="2:15" x14ac:dyDescent="0.3">
      <c r="B15358" s="1" t="s">
        <v>19</v>
      </c>
      <c r="C15358" s="1" t="str">
        <f>"5-2차"</f>
        <v>5-2차</v>
      </c>
      <c r="D15358" s="1" t="str">
        <f>"0129D0465M"</f>
        <v>0129D0465M</v>
      </c>
      <c r="E15358" s="1" t="s">
        <v>10</v>
      </c>
      <c r="F15358" s="1" t="str">
        <f>"fde1:103:4:6e91:0:0:0:2"</f>
        <v>fde1:103:4:6e91:0:0:0:2</v>
      </c>
      <c r="G15358" s="1" t="str">
        <f>"0129D046"</f>
        <v>0129D046</v>
      </c>
      <c r="H15358" s="1" t="str">
        <f>"삼원간 62"</f>
        <v>삼원간 62</v>
      </c>
      <c r="I15358" s="1" t="s">
        <v>15</v>
      </c>
      <c r="J15358" s="1" t="str">
        <f>"25/25"</f>
        <v>25/25</v>
      </c>
      <c r="K15358" s="1" t="str">
        <f>"2026-07-29 14:20:20"</f>
        <v>2026-07-29 14:20:20</v>
      </c>
      <c r="L15358" s="1" t="str">
        <f>"2023-11-10 13:55:35"</f>
        <v>2023-11-10 13:55:35</v>
      </c>
      <c r="M15358" s="1" t="s">
        <v>4</v>
      </c>
      <c r="N15358" s="1" t="s">
        <v>38</v>
      </c>
      <c r="O15358" s="1" t="s">
        <v>46</v>
      </c>
    </row>
    <row r="15359" spans="2:15" x14ac:dyDescent="0.3">
      <c r="B15359" s="1" t="s">
        <v>19</v>
      </c>
      <c r="C15359" s="1" t="str">
        <f>"1차"</f>
        <v>1차</v>
      </c>
      <c r="D15359" s="1" t="str">
        <f>"0129D05301"</f>
        <v>0129D05301</v>
      </c>
      <c r="E15359" s="1" t="s">
        <v>10</v>
      </c>
      <c r="F15359" s="1" t="str">
        <f>"10.107.121.205"</f>
        <v>10.107.121.205</v>
      </c>
      <c r="G15359" s="1" t="str">
        <f>"0129D053"</f>
        <v>0129D053</v>
      </c>
      <c r="H15359" s="1" t="str">
        <f>"삼원간 62R1R2"</f>
        <v>삼원간 62R1R2</v>
      </c>
      <c r="I15359" s="1" t="s">
        <v>8</v>
      </c>
      <c r="J15359" s="1" t="str">
        <f>"38/38"</f>
        <v>38/38</v>
      </c>
      <c r="K15359" s="1" t="str">
        <f>"2026-07-29 13:18:01"</f>
        <v>2026-07-29 13:18:01</v>
      </c>
      <c r="L15359" s="1" t="str">
        <f>"2014-11-04 00:41:16"</f>
        <v>2014-11-04 00:41:16</v>
      </c>
      <c r="M15359" s="1" t="s">
        <v>45</v>
      </c>
      <c r="N15359" s="1" t="s">
        <v>38</v>
      </c>
      <c r="O15359" s="1" t="s">
        <v>46</v>
      </c>
    </row>
    <row r="15360" spans="2:15" x14ac:dyDescent="0.3">
      <c r="B15360" s="1" t="s">
        <v>19</v>
      </c>
      <c r="C15360" s="1" t="str">
        <f>"1차"</f>
        <v>1차</v>
      </c>
      <c r="D15360" s="1" t="str">
        <f>"0129D06200"</f>
        <v>0129D06200</v>
      </c>
      <c r="E15360" s="1" t="s">
        <v>10</v>
      </c>
      <c r="F15360" s="1" t="str">
        <f>"10.107.121.204"</f>
        <v>10.107.121.204</v>
      </c>
      <c r="G15360" s="1" t="str">
        <f>"0129D062"</f>
        <v>0129D062</v>
      </c>
      <c r="H15360" s="1" t="str">
        <f>"삼원간 60"</f>
        <v>삼원간 60</v>
      </c>
      <c r="I15360" s="1" t="s">
        <v>8</v>
      </c>
      <c r="J15360" s="1" t="str">
        <f>"9/9"</f>
        <v>9/9</v>
      </c>
      <c r="K15360" s="1" t="str">
        <f>"2026-07-29 13:18:01"</f>
        <v>2026-07-29 13:18:01</v>
      </c>
      <c r="L15360" s="1" t="str">
        <f>"2014-11-04 00:26:01"</f>
        <v>2014-11-04 00:26:01</v>
      </c>
      <c r="M15360" s="1" t="s">
        <v>45</v>
      </c>
      <c r="N15360" s="1" t="s">
        <v>38</v>
      </c>
      <c r="O15360" s="1" t="s">
        <v>46</v>
      </c>
    </row>
    <row r="15361" spans="2:15" x14ac:dyDescent="0.3">
      <c r="B15361" s="1" t="s">
        <v>19</v>
      </c>
      <c r="C15361" s="1" t="str">
        <f>"5-2차"</f>
        <v>5-2차</v>
      </c>
      <c r="D15361" s="1" t="str">
        <f>"0129D2835S"</f>
        <v>0129D2835S</v>
      </c>
      <c r="E15361" s="1" t="s">
        <v>10</v>
      </c>
      <c r="F15361" s="1" t="str">
        <f>"fde3:102:1410:1700:0:0:0:2"</f>
        <v>fde3:102:1410:1700:0:0:0:2</v>
      </c>
      <c r="G15361" s="1" t="str">
        <f>"0129D283"</f>
        <v>0129D283</v>
      </c>
      <c r="H15361" s="1" t="str">
        <f>"수미간 30L3R1"</f>
        <v>수미간 30L3R1</v>
      </c>
      <c r="I15361" s="1" t="s">
        <v>15</v>
      </c>
      <c r="J15361" s="1" t="str">
        <f>"41/42"</f>
        <v>41/42</v>
      </c>
      <c r="K15361" s="1" t="str">
        <f>"2026-07-29 14:20:40"</f>
        <v>2026-07-29 14:20:40</v>
      </c>
      <c r="L15361" s="1" t="str">
        <f>"2023-08-04 17:20:06"</f>
        <v>2023-08-04 17:20:06</v>
      </c>
      <c r="M15361" s="1" t="s">
        <v>45</v>
      </c>
      <c r="N15361" s="1" t="s">
        <v>38</v>
      </c>
      <c r="O15361" s="1" t="s">
        <v>46</v>
      </c>
    </row>
    <row r="15362" spans="2:15" x14ac:dyDescent="0.3">
      <c r="B15362" s="1" t="s">
        <v>19</v>
      </c>
      <c r="C15362" s="1" t="str">
        <f>"5-2차"</f>
        <v>5-2차</v>
      </c>
      <c r="D15362" s="1" t="str">
        <f>"0129D3025M"</f>
        <v>0129D3025M</v>
      </c>
      <c r="E15362" s="1" t="s">
        <v>10</v>
      </c>
      <c r="F15362" s="1" t="str">
        <f>"fde3:102:1410:1500:0:0:0:8"</f>
        <v>fde3:102:1410:1500:0:0:0:8</v>
      </c>
      <c r="G15362" s="1" t="str">
        <f>"0129D302"</f>
        <v>0129D302</v>
      </c>
      <c r="H15362" s="1" t="str">
        <f>"성암지 32R2"</f>
        <v>성암지 32R2</v>
      </c>
      <c r="I15362" s="1" t="s">
        <v>15</v>
      </c>
      <c r="J15362" s="1" t="str">
        <f>"69/69"</f>
        <v>69/69</v>
      </c>
      <c r="K15362" s="1" t="str">
        <f>"2026-07-29 14:20:00"</f>
        <v>2026-07-29 14:20:00</v>
      </c>
      <c r="L15362" s="1" t="str">
        <f>"2023-08-16 16:34:51"</f>
        <v>2023-08-16 16:34:51</v>
      </c>
      <c r="M15362" s="1" t="s">
        <v>45</v>
      </c>
      <c r="N15362" s="1" t="s">
        <v>38</v>
      </c>
      <c r="O15362" s="1" t="s">
        <v>46</v>
      </c>
    </row>
    <row r="15363" spans="2:15" x14ac:dyDescent="0.3">
      <c r="B15363" s="1" t="s">
        <v>19</v>
      </c>
      <c r="C15363" s="1" t="str">
        <f>"5-2차"</f>
        <v>5-2차</v>
      </c>
      <c r="D15363" s="1" t="str">
        <f>"0129D3915S"</f>
        <v>0129D3915S</v>
      </c>
      <c r="E15363" s="1" t="s">
        <v>10</v>
      </c>
      <c r="F15363" s="1" t="str">
        <f>"fde3:102:1410:1700:0:0:0:3"</f>
        <v>fde3:102:1410:1700:0:0:0:3</v>
      </c>
      <c r="G15363" s="1" t="str">
        <f>"0129D391"</f>
        <v>0129D391</v>
      </c>
      <c r="H15363" s="1" t="str">
        <f>"수미간 30L6"</f>
        <v>수미간 30L6</v>
      </c>
      <c r="I15363" s="1" t="s">
        <v>15</v>
      </c>
      <c r="J15363" s="1" t="str">
        <f>"44/44"</f>
        <v>44/44</v>
      </c>
      <c r="K15363" s="1" t="str">
        <f>"2026-07-29 14:20:49"</f>
        <v>2026-07-29 14:20:49</v>
      </c>
      <c r="L15363" s="1" t="str">
        <f>"2023-08-04 17:08:12"</f>
        <v>2023-08-04 17:08:12</v>
      </c>
      <c r="M15363" s="1" t="s">
        <v>45</v>
      </c>
      <c r="N15363" s="1" t="s">
        <v>38</v>
      </c>
      <c r="O15363" s="1" t="s">
        <v>46</v>
      </c>
    </row>
    <row r="15364" spans="2:15" x14ac:dyDescent="0.3">
      <c r="B15364" s="1" t="s">
        <v>19</v>
      </c>
      <c r="C15364" s="1" t="str">
        <f>"5-1차"</f>
        <v>5-1차</v>
      </c>
      <c r="D15364" s="1" t="str">
        <f>"0129D5015M"</f>
        <v>0129D5015M</v>
      </c>
      <c r="E15364" s="1" t="s">
        <v>10</v>
      </c>
      <c r="F15364" s="1" t="str">
        <f>"fde2:104:0:29:0:0:0:2"</f>
        <v>fde2:104:0:29:0:0:0:2</v>
      </c>
      <c r="G15364" s="1" t="str">
        <f>"0129D501"</f>
        <v>0129D501</v>
      </c>
      <c r="H15364" s="1" t="str">
        <f>"수미간 40L5R1"</f>
        <v>수미간 40L5R1</v>
      </c>
      <c r="I15364" s="1" t="s">
        <v>15</v>
      </c>
      <c r="J15364" s="1" t="str">
        <f>"105/107"</f>
        <v>105/107</v>
      </c>
      <c r="K15364" s="1" t="str">
        <f>"2026-07-29 14:20:21"</f>
        <v>2026-07-29 14:20:21</v>
      </c>
      <c r="L15364" s="1" t="str">
        <f>"2022-08-22 15:21:03"</f>
        <v>2022-08-22 15:21:03</v>
      </c>
      <c r="M15364" s="1" t="s">
        <v>42</v>
      </c>
      <c r="N15364" s="1" t="s">
        <v>38</v>
      </c>
      <c r="O15364" s="1" t="s">
        <v>46</v>
      </c>
    </row>
    <row r="15365" spans="2:15" x14ac:dyDescent="0.3">
      <c r="B15365" s="1" t="s">
        <v>19</v>
      </c>
      <c r="C15365" s="1" t="str">
        <f>"5-2차"</f>
        <v>5-2차</v>
      </c>
      <c r="D15365" s="1" t="str">
        <f>"0129D5125M"</f>
        <v>0129D5125M</v>
      </c>
      <c r="E15365" s="1" t="s">
        <v>10</v>
      </c>
      <c r="F15365" s="1" t="str">
        <f>"fde1:103:4:6e8e:0:0:0:2"</f>
        <v>fde1:103:4:6e8e:0:0:0:2</v>
      </c>
      <c r="G15365" s="1" t="str">
        <f>"0129D512"</f>
        <v>0129D512</v>
      </c>
      <c r="H15365" s="1" t="str">
        <f>"수미간 40L6"</f>
        <v>수미간 40L6</v>
      </c>
      <c r="I15365" s="1" t="s">
        <v>15</v>
      </c>
      <c r="J15365" s="1" t="str">
        <f>"47/47"</f>
        <v>47/47</v>
      </c>
      <c r="K15365" s="1" t="str">
        <f>"2026-07-29 14:20:22"</f>
        <v>2026-07-29 14:20:22</v>
      </c>
      <c r="L15365" s="1" t="str">
        <f>"2023-11-10 16:02:36"</f>
        <v>2023-11-10 16:02:36</v>
      </c>
      <c r="M15365" s="1" t="s">
        <v>4</v>
      </c>
      <c r="N15365" s="1" t="s">
        <v>38</v>
      </c>
      <c r="O15365" s="1" t="s">
        <v>46</v>
      </c>
    </row>
    <row r="15366" spans="2:15" x14ac:dyDescent="0.3">
      <c r="B15366" s="1" t="s">
        <v>19</v>
      </c>
      <c r="C15366" s="1" t="str">
        <f>"3차"</f>
        <v>3차</v>
      </c>
      <c r="D15366" s="1" t="str">
        <f>"0129D58139"</f>
        <v>0129D58139</v>
      </c>
      <c r="E15366" s="1" t="s">
        <v>10</v>
      </c>
      <c r="F15366" s="1" t="str">
        <f>"10.107.123.62"</f>
        <v>10.107.123.62</v>
      </c>
      <c r="G15366" s="1" t="str">
        <f>"0129D581"</f>
        <v>0129D581</v>
      </c>
      <c r="H15366" s="1" t="str">
        <f>"솔샘간 17R9R2"</f>
        <v>솔샘간 17R9R2</v>
      </c>
      <c r="I15366" s="1" t="s">
        <v>8</v>
      </c>
      <c r="J15366" s="1" t="str">
        <f>"16/16"</f>
        <v>16/16</v>
      </c>
      <c r="K15366" s="1" t="str">
        <f>"2026-07-29 13:18:01"</f>
        <v>2026-07-29 13:18:01</v>
      </c>
      <c r="L15366" s="1" t="str">
        <f>"2018-06-05 14:34:15"</f>
        <v>2018-06-05 14:34:15</v>
      </c>
      <c r="M15366" s="1" t="s">
        <v>45</v>
      </c>
      <c r="N15366" s="1" t="s">
        <v>38</v>
      </c>
      <c r="O15366" s="1" t="s">
        <v>46</v>
      </c>
    </row>
    <row r="15367" spans="2:15" x14ac:dyDescent="0.3">
      <c r="B15367" s="1" t="s">
        <v>19</v>
      </c>
      <c r="C15367" s="1" t="str">
        <f>"6차"</f>
        <v>6차</v>
      </c>
      <c r="D15367" s="1" t="str">
        <f>"0129D6166M"</f>
        <v>0129D6166M</v>
      </c>
      <c r="E15367" s="1" t="s">
        <v>10</v>
      </c>
      <c r="F15367" s="1" t="str">
        <f>"fde1:103:4:c7ac:0:0:0:2"</f>
        <v>fde1:103:4:c7ac:0:0:0:2</v>
      </c>
      <c r="G15367" s="1" t="str">
        <f>"0129D616"</f>
        <v>0129D616</v>
      </c>
      <c r="H15367" s="1" t="str">
        <f>"수미간 40L8"</f>
        <v>수미간 40L8</v>
      </c>
      <c r="I15367" s="1" t="s">
        <v>15</v>
      </c>
      <c r="J15367" s="1" t="str">
        <f>"35/37"</f>
        <v>35/37</v>
      </c>
      <c r="K15367" s="1" t="str">
        <f>"2026-07-29 14:20:01"</f>
        <v>2026-07-29 14:20:01</v>
      </c>
      <c r="L15367" s="1" t="str">
        <f>"2024-12-04 15:38:57"</f>
        <v>2024-12-04 15:38:57</v>
      </c>
      <c r="M15367" s="1" t="s">
        <v>4</v>
      </c>
      <c r="N15367" s="1" t="s">
        <v>38</v>
      </c>
      <c r="O15367" s="1" t="s">
        <v>46</v>
      </c>
    </row>
    <row r="15368" spans="2:15" x14ac:dyDescent="0.3">
      <c r="B15368" s="1" t="s">
        <v>19</v>
      </c>
      <c r="C15368" s="1" t="str">
        <f>"5-2차"</f>
        <v>5-2차</v>
      </c>
      <c r="D15368" s="1" t="str">
        <f>"0129D6625S"</f>
        <v>0129D6625S</v>
      </c>
      <c r="E15368" s="1" t="s">
        <v>10</v>
      </c>
      <c r="F15368" s="1" t="str">
        <f>"fde3:102:1410:1400:0:0:0:11"</f>
        <v>fde3:102:1410:1400:0:0:0:11</v>
      </c>
      <c r="G15368" s="1" t="str">
        <f>"0129D662"</f>
        <v>0129D662</v>
      </c>
      <c r="H15368" s="1" t="str">
        <f>"솔샘간 17R11"</f>
        <v>솔샘간 17R11</v>
      </c>
      <c r="I15368" s="1" t="s">
        <v>15</v>
      </c>
      <c r="J15368" s="1" t="str">
        <f>"54/54"</f>
        <v>54/54</v>
      </c>
      <c r="K15368" s="1" t="str">
        <f>"2026-07-29 14:20:22"</f>
        <v>2026-07-29 14:20:22</v>
      </c>
      <c r="L15368" s="1" t="str">
        <f>"2023-08-04 16:02:44"</f>
        <v>2023-08-04 16:02:44</v>
      </c>
      <c r="M15368" s="1" t="s">
        <v>45</v>
      </c>
      <c r="N15368" s="1" t="s">
        <v>38</v>
      </c>
      <c r="O15368" s="1" t="s">
        <v>46</v>
      </c>
    </row>
    <row r="15369" spans="2:15" x14ac:dyDescent="0.3">
      <c r="B15369" s="1" t="s">
        <v>19</v>
      </c>
      <c r="C15369" s="1" t="str">
        <f>"3차"</f>
        <v>3차</v>
      </c>
      <c r="D15369" s="1" t="str">
        <f>"0129D68239"</f>
        <v>0129D68239</v>
      </c>
      <c r="E15369" s="1" t="s">
        <v>10</v>
      </c>
      <c r="F15369" s="1" t="str">
        <f>"10.107.123.50"</f>
        <v>10.107.123.50</v>
      </c>
      <c r="G15369" s="1" t="str">
        <f>"0129D682"</f>
        <v>0129D682</v>
      </c>
      <c r="H15369" s="1" t="str">
        <f>"솔샘간 17R8"</f>
        <v>솔샘간 17R8</v>
      </c>
      <c r="I15369" s="1" t="s">
        <v>8</v>
      </c>
      <c r="J15369" s="1" t="str">
        <f>"28/28"</f>
        <v>28/28</v>
      </c>
      <c r="K15369" s="1" t="str">
        <f>"2026-07-29 13:18:02"</f>
        <v>2026-07-29 13:18:02</v>
      </c>
      <c r="L15369" s="1" t="str">
        <f>"2018-04-04 18:52:28"</f>
        <v>2018-04-04 18:52:28</v>
      </c>
      <c r="M15369" s="1" t="s">
        <v>45</v>
      </c>
      <c r="N15369" s="1" t="s">
        <v>38</v>
      </c>
      <c r="O15369" s="1" t="s">
        <v>46</v>
      </c>
    </row>
    <row r="15370" spans="2:15" x14ac:dyDescent="0.3">
      <c r="B15370" s="1" t="s">
        <v>19</v>
      </c>
      <c r="C15370" s="1" t="str">
        <f>"5-2차"</f>
        <v>5-2차</v>
      </c>
      <c r="D15370" s="1" t="str">
        <f>"0129D6835S"</f>
        <v>0129D6835S</v>
      </c>
      <c r="E15370" s="1" t="s">
        <v>10</v>
      </c>
      <c r="F15370" s="1" t="str">
        <f>"fde3:102:1410:1400:0:0:0:10"</f>
        <v>fde3:102:1410:1400:0:0:0:10</v>
      </c>
      <c r="G15370" s="1" t="str">
        <f>"0129D683"</f>
        <v>0129D683</v>
      </c>
      <c r="H15370" s="1" t="str">
        <f>"솔샘간 17R9"</f>
        <v>솔샘간 17R9</v>
      </c>
      <c r="I15370" s="1" t="s">
        <v>15</v>
      </c>
      <c r="J15370" s="1" t="str">
        <f>"39/39"</f>
        <v>39/39</v>
      </c>
      <c r="K15370" s="1" t="str">
        <f>"2026-07-29 14:20:40"</f>
        <v>2026-07-29 14:20:40</v>
      </c>
      <c r="L15370" s="1" t="str">
        <f>"2023-08-04 16:42:59"</f>
        <v>2023-08-04 16:42:59</v>
      </c>
      <c r="M15370" s="1" t="s">
        <v>45</v>
      </c>
      <c r="N15370" s="1" t="s">
        <v>38</v>
      </c>
      <c r="O15370" s="1" t="s">
        <v>46</v>
      </c>
    </row>
    <row r="15371" spans="2:15" x14ac:dyDescent="0.3">
      <c r="B15371" s="1" t="s">
        <v>19</v>
      </c>
      <c r="C15371" s="1" t="str">
        <f>"4차"</f>
        <v>4차</v>
      </c>
      <c r="D15371" s="1" t="str">
        <f>"0129D69339"</f>
        <v>0129D69339</v>
      </c>
      <c r="E15371" s="1" t="s">
        <v>10</v>
      </c>
      <c r="F15371" s="1" t="str">
        <f>"10.107.123.60"</f>
        <v>10.107.123.60</v>
      </c>
      <c r="G15371" s="1" t="str">
        <f>"0129D693"</f>
        <v>0129D693</v>
      </c>
      <c r="H15371" s="1" t="str">
        <f>"수미간 30L12R4"</f>
        <v>수미간 30L12R4</v>
      </c>
      <c r="I15371" s="1" t="s">
        <v>8</v>
      </c>
      <c r="J15371" s="1" t="str">
        <f>"102/102"</f>
        <v>102/102</v>
      </c>
      <c r="K15371" s="1" t="str">
        <f>"2026-07-29 13:18:01"</f>
        <v>2026-07-29 13:18:01</v>
      </c>
      <c r="L15371" s="1" t="str">
        <f>"2018-04-09 11:47:54"</f>
        <v>2018-04-09 11:47:54</v>
      </c>
      <c r="M15371" s="1" t="s">
        <v>45</v>
      </c>
      <c r="N15371" s="1" t="s">
        <v>38</v>
      </c>
      <c r="O15371" s="1" t="s">
        <v>46</v>
      </c>
    </row>
    <row r="15372" spans="2:15" x14ac:dyDescent="0.3">
      <c r="B15372" s="1" t="s">
        <v>19</v>
      </c>
      <c r="C15372" s="1" t="str">
        <f>"1차"</f>
        <v>1차</v>
      </c>
      <c r="D15372" s="1" t="str">
        <f>"0129D70100"</f>
        <v>0129D70100</v>
      </c>
      <c r="E15372" s="1" t="s">
        <v>10</v>
      </c>
      <c r="F15372" s="1" t="str">
        <f>"10.107.121.243"</f>
        <v>10.107.121.243</v>
      </c>
      <c r="G15372" s="1" t="str">
        <f>"0129D701"</f>
        <v>0129D701</v>
      </c>
      <c r="H15372" s="1" t="str">
        <f>"수미간 40L8R1"</f>
        <v>수미간 40L8R1</v>
      </c>
      <c r="I15372" s="1" t="s">
        <v>8</v>
      </c>
      <c r="J15372" s="1" t="str">
        <f>"12/12"</f>
        <v>12/12</v>
      </c>
      <c r="K15372" s="1" t="str">
        <f>"2026-07-29 13:18:02"</f>
        <v>2026-07-29 13:18:02</v>
      </c>
      <c r="L15372" s="1" t="str">
        <f>"2015-01-05 17:52:11"</f>
        <v>2015-01-05 17:52:11</v>
      </c>
      <c r="M15372" s="1" t="s">
        <v>45</v>
      </c>
      <c r="N15372" s="1" t="s">
        <v>38</v>
      </c>
      <c r="O15372" s="1" t="s">
        <v>46</v>
      </c>
    </row>
    <row r="15373" spans="2:15" x14ac:dyDescent="0.3">
      <c r="B15373" s="1" t="s">
        <v>19</v>
      </c>
      <c r="C15373" s="1" t="str">
        <f>"6차"</f>
        <v>6차</v>
      </c>
      <c r="D15373" s="1" t="str">
        <f>"0129D7026M"</f>
        <v>0129D7026M</v>
      </c>
      <c r="E15373" s="1" t="s">
        <v>10</v>
      </c>
      <c r="F15373" s="1" t="str">
        <f>"fde1:103:4:c80f:0:0:0:2"</f>
        <v>fde1:103:4:c80f:0:0:0:2</v>
      </c>
      <c r="G15373" s="1" t="str">
        <f>"0129D702"</f>
        <v>0129D702</v>
      </c>
      <c r="H15373" s="1" t="str">
        <f>"성암지 26R6"</f>
        <v>성암지 26R6</v>
      </c>
      <c r="I15373" s="1" t="s">
        <v>15</v>
      </c>
      <c r="J15373" s="1" t="str">
        <f>"20/21"</f>
        <v>20/21</v>
      </c>
      <c r="K15373" s="1" t="str">
        <f>"2026-07-29 14:20:40"</f>
        <v>2026-07-29 14:20:40</v>
      </c>
      <c r="L15373" s="1" t="str">
        <f>"2024-12-04 15:39:17"</f>
        <v>2024-12-04 15:39:17</v>
      </c>
      <c r="M15373" s="1" t="s">
        <v>4</v>
      </c>
      <c r="N15373" s="1" t="s">
        <v>38</v>
      </c>
      <c r="O15373" s="1" t="s">
        <v>46</v>
      </c>
    </row>
    <row r="15374" spans="2:15" x14ac:dyDescent="0.3">
      <c r="B15374" s="1" t="s">
        <v>19</v>
      </c>
      <c r="C15374" s="1" t="str">
        <f>"5-1차"</f>
        <v>5-1차</v>
      </c>
      <c r="D15374" s="1" t="str">
        <f>"0129D7515M"</f>
        <v>0129D7515M</v>
      </c>
      <c r="E15374" s="1" t="s">
        <v>10</v>
      </c>
      <c r="F15374" s="1" t="str">
        <f>"fde3:102:1410:1400:0:0:0:3"</f>
        <v>fde3:102:1410:1400:0:0:0:3</v>
      </c>
      <c r="G15374" s="1" t="str">
        <f>"0129D751"</f>
        <v>0129D751</v>
      </c>
      <c r="H15374" s="1" t="str">
        <f>"솔샘간 17R15"</f>
        <v>솔샘간 17R15</v>
      </c>
      <c r="I15374" s="1" t="s">
        <v>15</v>
      </c>
      <c r="J15374" s="1" t="str">
        <f>"51/54"</f>
        <v>51/54</v>
      </c>
      <c r="K15374" s="1" t="str">
        <f>"2026-07-29 14:20:22"</f>
        <v>2026-07-29 14:20:22</v>
      </c>
      <c r="L15374" s="1" t="str">
        <f>"2022-09-26 11:09:16"</f>
        <v>2022-09-26 11:09:16</v>
      </c>
      <c r="M15374" s="1" t="s">
        <v>45</v>
      </c>
      <c r="N15374" s="1" t="s">
        <v>38</v>
      </c>
      <c r="O15374" s="1" t="s">
        <v>46</v>
      </c>
    </row>
    <row r="15375" spans="2:15" x14ac:dyDescent="0.3">
      <c r="B15375" s="1" t="s">
        <v>19</v>
      </c>
      <c r="C15375" s="1" t="str">
        <f>"5-2차"</f>
        <v>5-2차</v>
      </c>
      <c r="D15375" s="1" t="str">
        <f>"0129D7615S"</f>
        <v>0129D7615S</v>
      </c>
      <c r="E15375" s="1" t="s">
        <v>10</v>
      </c>
      <c r="F15375" s="1" t="str">
        <f>"fde3:102:1410:1400:0:0:0:12"</f>
        <v>fde3:102:1410:1400:0:0:0:12</v>
      </c>
      <c r="G15375" s="1" t="str">
        <f>"0129D761"</f>
        <v>0129D761</v>
      </c>
      <c r="H15375" s="1" t="str">
        <f>"솔샘간 17R11L1"</f>
        <v>솔샘간 17R11L1</v>
      </c>
      <c r="I15375" s="1" t="s">
        <v>15</v>
      </c>
      <c r="J15375" s="1" t="str">
        <f>"35/35"</f>
        <v>35/35</v>
      </c>
      <c r="K15375" s="1" t="str">
        <f>"2026-07-29 14:20:40"</f>
        <v>2026-07-29 14:20:40</v>
      </c>
      <c r="L15375" s="1" t="str">
        <f>"2023-08-04 15:49:56"</f>
        <v>2023-08-04 15:49:56</v>
      </c>
      <c r="M15375" s="1" t="s">
        <v>45</v>
      </c>
      <c r="N15375" s="1" t="s">
        <v>38</v>
      </c>
      <c r="O15375" s="1" t="s">
        <v>46</v>
      </c>
    </row>
    <row r="15376" spans="2:15" x14ac:dyDescent="0.3">
      <c r="B15376" s="1" t="s">
        <v>19</v>
      </c>
      <c r="C15376" s="1" t="str">
        <f>"5-2차"</f>
        <v>5-2차</v>
      </c>
      <c r="D15376" s="1" t="str">
        <f>"0129D7715S"</f>
        <v>0129D7715S</v>
      </c>
      <c r="E15376" s="1" t="s">
        <v>10</v>
      </c>
      <c r="F15376" s="1" t="str">
        <f>"fde3:102:1410:1400:0:0:0:e"</f>
        <v>fde3:102:1410:1400:0:0:0:e</v>
      </c>
      <c r="G15376" s="1" t="str">
        <f>"0129D771"</f>
        <v>0129D771</v>
      </c>
      <c r="H15376" s="1" t="str">
        <f>"솔샘간 17R4L2R5"</f>
        <v>솔샘간 17R4L2R5</v>
      </c>
      <c r="I15376" s="1" t="s">
        <v>15</v>
      </c>
      <c r="J15376" s="1" t="str">
        <f>"46/46"</f>
        <v>46/46</v>
      </c>
      <c r="K15376" s="1" t="str">
        <f>"2026-07-29 14:20:21"</f>
        <v>2026-07-29 14:20:21</v>
      </c>
      <c r="L15376" s="1" t="str">
        <f>"2023-08-04 16:15:24"</f>
        <v>2023-08-04 16:15:24</v>
      </c>
      <c r="M15376" s="1" t="s">
        <v>45</v>
      </c>
      <c r="N15376" s="1" t="s">
        <v>38</v>
      </c>
      <c r="O15376" s="1" t="s">
        <v>46</v>
      </c>
    </row>
    <row r="15377" spans="2:15" x14ac:dyDescent="0.3">
      <c r="B15377" s="1" t="s">
        <v>19</v>
      </c>
      <c r="C15377" s="1" t="str">
        <f>"3차"</f>
        <v>3차</v>
      </c>
      <c r="D15377" s="1" t="str">
        <f>"0129D78139"</f>
        <v>0129D78139</v>
      </c>
      <c r="E15377" s="1" t="s">
        <v>10</v>
      </c>
      <c r="F15377" s="1" t="str">
        <f>"10.107.123.49"</f>
        <v>10.107.123.49</v>
      </c>
      <c r="G15377" s="1" t="str">
        <f>"0129D781"</f>
        <v>0129D781</v>
      </c>
      <c r="H15377" s="1" t="str">
        <f>"솔샘간 17R7"</f>
        <v>솔샘간 17R7</v>
      </c>
      <c r="I15377" s="1" t="s">
        <v>8</v>
      </c>
      <c r="J15377" s="1" t="str">
        <f>"29/29"</f>
        <v>29/29</v>
      </c>
      <c r="K15377" s="1" t="str">
        <f>"2026-07-29 13:18:02"</f>
        <v>2026-07-29 13:18:02</v>
      </c>
      <c r="L15377" s="1" t="str">
        <f>"2018-04-06 12:09:40"</f>
        <v>2018-04-06 12:09:40</v>
      </c>
      <c r="M15377" s="1" t="s">
        <v>45</v>
      </c>
      <c r="N15377" s="1" t="s">
        <v>38</v>
      </c>
      <c r="O15377" s="1" t="s">
        <v>46</v>
      </c>
    </row>
    <row r="15378" spans="2:15" x14ac:dyDescent="0.3">
      <c r="B15378" s="1" t="s">
        <v>19</v>
      </c>
      <c r="C15378" s="1" t="str">
        <f>"4차"</f>
        <v>4차</v>
      </c>
      <c r="D15378" s="1" t="str">
        <f>"0129D79130"</f>
        <v>0129D79130</v>
      </c>
      <c r="E15378" s="1" t="s">
        <v>10</v>
      </c>
      <c r="F15378" s="1" t="str">
        <f>"10.107.123.54"</f>
        <v>10.107.123.54</v>
      </c>
      <c r="G15378" s="1" t="str">
        <f>"0129D791"</f>
        <v>0129D791</v>
      </c>
      <c r="H15378" s="1" t="str">
        <f>"수미간 30L12R2"</f>
        <v>수미간 30L12R2</v>
      </c>
      <c r="I15378" s="1" t="s">
        <v>8</v>
      </c>
      <c r="J15378" s="1" t="str">
        <f>"99/107"</f>
        <v>99/107</v>
      </c>
      <c r="K15378" s="1" t="str">
        <f>"2026-07-29 13:18:02"</f>
        <v>2026-07-29 13:18:02</v>
      </c>
      <c r="L15378" s="1" t="str">
        <f>"2018-04-06 12:45:16"</f>
        <v>2018-04-06 12:45:16</v>
      </c>
      <c r="M15378" s="1" t="s">
        <v>45</v>
      </c>
      <c r="N15378" s="1" t="s">
        <v>38</v>
      </c>
      <c r="O15378" s="1" t="s">
        <v>46</v>
      </c>
    </row>
    <row r="15379" spans="2:15" x14ac:dyDescent="0.3">
      <c r="B15379" s="1" t="s">
        <v>19</v>
      </c>
      <c r="C15379" s="1" t="str">
        <f>"1차"</f>
        <v>1차</v>
      </c>
      <c r="D15379" s="1" t="str">
        <f>"0129D80200"</f>
        <v>0129D80200</v>
      </c>
      <c r="E15379" s="1" t="s">
        <v>10</v>
      </c>
      <c r="F15379" s="1" t="str">
        <f>"10.107.0.157"</f>
        <v>10.107.0.157</v>
      </c>
      <c r="G15379" s="1" t="str">
        <f>"0129D802"</f>
        <v>0129D802</v>
      </c>
      <c r="H15379" s="1" t="str">
        <f>"성암지 26R7"</f>
        <v>성암지 26R7</v>
      </c>
      <c r="I15379" s="1" t="s">
        <v>8</v>
      </c>
      <c r="J15379" s="1" t="str">
        <f>"40/40"</f>
        <v>40/40</v>
      </c>
      <c r="K15379" s="1" t="str">
        <f>"2026-07-29 13:18:01"</f>
        <v>2026-07-29 13:18:01</v>
      </c>
      <c r="L15379" s="1" t="str">
        <f>"2014-10-30 16:44:56"</f>
        <v>2014-10-30 16:44:56</v>
      </c>
      <c r="M15379" s="1" t="s">
        <v>45</v>
      </c>
      <c r="N15379" s="1" t="s">
        <v>38</v>
      </c>
      <c r="O15379" s="1" t="s">
        <v>46</v>
      </c>
    </row>
    <row r="15380" spans="2:15" x14ac:dyDescent="0.3">
      <c r="B15380" s="1" t="s">
        <v>19</v>
      </c>
      <c r="C15380" s="1" t="str">
        <f>"6차"</f>
        <v>6차</v>
      </c>
      <c r="D15380" s="1" t="str">
        <f>"0129D8126M"</f>
        <v>0129D8126M</v>
      </c>
      <c r="E15380" s="1" t="s">
        <v>10</v>
      </c>
      <c r="F15380" s="1" t="str">
        <f>"fde1:103:4:c7d0:0:0:0:2"</f>
        <v>fde1:103:4:c7d0:0:0:0:2</v>
      </c>
      <c r="G15380" s="1" t="str">
        <f>"0129D812"</f>
        <v>0129D812</v>
      </c>
      <c r="H15380" s="1" t="str">
        <f>"수미간 40L10"</f>
        <v>수미간 40L10</v>
      </c>
      <c r="I15380" s="1" t="s">
        <v>15</v>
      </c>
      <c r="J15380" s="1" t="str">
        <f>"26/27"</f>
        <v>26/27</v>
      </c>
      <c r="K15380" s="1" t="str">
        <f>"2026-07-29 14:20:00"</f>
        <v>2026-07-29 14:20:00</v>
      </c>
      <c r="L15380" s="1" t="str">
        <f>"2024-12-04 15:39:34"</f>
        <v>2024-12-04 15:39:34</v>
      </c>
      <c r="M15380" s="1" t="s">
        <v>4</v>
      </c>
      <c r="N15380" s="1" t="s">
        <v>38</v>
      </c>
      <c r="O15380" s="1" t="s">
        <v>46</v>
      </c>
    </row>
    <row r="15381" spans="2:15" x14ac:dyDescent="0.3">
      <c r="B15381" s="1" t="s">
        <v>19</v>
      </c>
      <c r="C15381" s="1" t="str">
        <f>"1차"</f>
        <v>1차</v>
      </c>
      <c r="D15381" s="1" t="str">
        <f>"0129D82400"</f>
        <v>0129D82400</v>
      </c>
      <c r="E15381" s="1" t="s">
        <v>10</v>
      </c>
      <c r="F15381" s="1" t="str">
        <f>"10.107.0.160"</f>
        <v>10.107.0.160</v>
      </c>
      <c r="G15381" s="1" t="str">
        <f>"0129D824"</f>
        <v>0129D824</v>
      </c>
      <c r="H15381" s="1" t="str">
        <f>"수미간 40L11"</f>
        <v>수미간 40L11</v>
      </c>
      <c r="I15381" s="1" t="s">
        <v>8</v>
      </c>
      <c r="J15381" s="1" t="str">
        <f>"13/15"</f>
        <v>13/15</v>
      </c>
      <c r="K15381" s="1" t="str">
        <f>"2026-07-29 13:18:01"</f>
        <v>2026-07-29 13:18:01</v>
      </c>
      <c r="L15381" s="1" t="str">
        <f>"2014-11-05 16:10:38"</f>
        <v>2014-11-05 16:10:38</v>
      </c>
      <c r="M15381" s="1" t="s">
        <v>45</v>
      </c>
      <c r="N15381" s="1" t="s">
        <v>38</v>
      </c>
      <c r="O15381" s="1" t="s">
        <v>46</v>
      </c>
    </row>
    <row r="15382" spans="2:15" x14ac:dyDescent="0.3">
      <c r="B15382" s="1" t="s">
        <v>19</v>
      </c>
      <c r="C15382" s="1" t="str">
        <f>"1차"</f>
        <v>1차</v>
      </c>
      <c r="D15382" s="1" t="str">
        <f>"0129D83101"</f>
        <v>0129D83101</v>
      </c>
      <c r="E15382" s="1" t="s">
        <v>10</v>
      </c>
      <c r="F15382" s="1" t="str">
        <f>"10.14.5.128"</f>
        <v>10.14.5.128</v>
      </c>
      <c r="G15382" s="1" t="str">
        <f>"0129D831"</f>
        <v>0129D831</v>
      </c>
      <c r="H15382" s="1" t="str">
        <f>"수미간 40L9L4R2"</f>
        <v>수미간 40L9L4R2</v>
      </c>
      <c r="I15382" s="1" t="s">
        <v>8</v>
      </c>
      <c r="J15382" s="1" t="str">
        <f>"34/39"</f>
        <v>34/39</v>
      </c>
      <c r="K15382" s="1" t="str">
        <f>"2026-07-29 13:18:00"</f>
        <v>2026-07-29 13:18:00</v>
      </c>
      <c r="L15382" s="1" t="str">
        <f>"2014-11-04 00:26:13"</f>
        <v>2014-11-04 00:26:13</v>
      </c>
      <c r="M15382" s="1" t="s">
        <v>3</v>
      </c>
      <c r="N15382" s="1" t="s">
        <v>38</v>
      </c>
      <c r="O15382" s="1" t="s">
        <v>46</v>
      </c>
    </row>
    <row r="15383" spans="2:15" x14ac:dyDescent="0.3">
      <c r="B15383" s="1" t="s">
        <v>19</v>
      </c>
      <c r="C15383" s="1" t="str">
        <f>"6차"</f>
        <v>6차</v>
      </c>
      <c r="D15383" s="1" t="str">
        <f>"0129D8416M"</f>
        <v>0129D8416M</v>
      </c>
      <c r="E15383" s="1" t="s">
        <v>10</v>
      </c>
      <c r="F15383" s="1" t="str">
        <f>"fde1:103:4:c7ce:0:0:0:2"</f>
        <v>fde1:103:4:c7ce:0:0:0:2</v>
      </c>
      <c r="G15383" s="1" t="str">
        <f>"0129D841"</f>
        <v>0129D841</v>
      </c>
      <c r="H15383" s="1" t="str">
        <f>"수미간 40L9L4R1"</f>
        <v>수미간 40L9L4R1</v>
      </c>
      <c r="I15383" s="1" t="s">
        <v>15</v>
      </c>
      <c r="J15383" s="1" t="str">
        <f>"83/83"</f>
        <v>83/83</v>
      </c>
      <c r="K15383" s="1" t="str">
        <f>"2026-07-29 14:20:41"</f>
        <v>2026-07-29 14:20:41</v>
      </c>
      <c r="L15383" s="1" t="str">
        <f>"2024-12-04 15:39:49"</f>
        <v>2024-12-04 15:39:49</v>
      </c>
      <c r="M15383" s="1" t="s">
        <v>4</v>
      </c>
      <c r="N15383" s="1" t="s">
        <v>38</v>
      </c>
      <c r="O15383" s="1" t="s">
        <v>46</v>
      </c>
    </row>
    <row r="15384" spans="2:15" x14ac:dyDescent="0.3">
      <c r="B15384" s="1" t="s">
        <v>19</v>
      </c>
      <c r="C15384" s="1" t="str">
        <f>"5-2차"</f>
        <v>5-2차</v>
      </c>
      <c r="D15384" s="1" t="str">
        <f>"0129D8525S"</f>
        <v>0129D8525S</v>
      </c>
      <c r="E15384" s="1" t="s">
        <v>10</v>
      </c>
      <c r="F15384" s="1" t="str">
        <f>"fde3:102:1410:1400:0:0:0:13"</f>
        <v>fde3:102:1410:1400:0:0:0:13</v>
      </c>
      <c r="G15384" s="1" t="str">
        <f>"0129D852"</f>
        <v>0129D852</v>
      </c>
      <c r="H15384" s="1" t="str">
        <f>"솔샘간 17R16"</f>
        <v>솔샘간 17R16</v>
      </c>
      <c r="I15384" s="1" t="s">
        <v>15</v>
      </c>
      <c r="J15384" s="1" t="str">
        <f>"42/42"</f>
        <v>42/42</v>
      </c>
      <c r="K15384" s="1" t="str">
        <f>"2026-07-29 14:20:40"</f>
        <v>2026-07-29 14:20:40</v>
      </c>
      <c r="L15384" s="1" t="str">
        <f>"2023-08-04 15:36:38"</f>
        <v>2023-08-04 15:36:38</v>
      </c>
      <c r="M15384" s="1" t="s">
        <v>45</v>
      </c>
      <c r="N15384" s="1" t="s">
        <v>38</v>
      </c>
      <c r="O15384" s="1" t="s">
        <v>46</v>
      </c>
    </row>
    <row r="15385" spans="2:15" x14ac:dyDescent="0.3">
      <c r="B15385" s="1" t="s">
        <v>19</v>
      </c>
      <c r="C15385" s="1" t="str">
        <f>"5-1차"</f>
        <v>5-1차</v>
      </c>
      <c r="D15385" s="1" t="str">
        <f>"0129D8615S"</f>
        <v>0129D8615S</v>
      </c>
      <c r="E15385" s="1" t="s">
        <v>10</v>
      </c>
      <c r="F15385" s="1" t="str">
        <f>"fde3:102:1410:1400:0:0:0:6"</f>
        <v>fde3:102:1410:1400:0:0:0:6</v>
      </c>
      <c r="G15385" s="1" t="str">
        <f>"0129D861"</f>
        <v>0129D861</v>
      </c>
      <c r="H15385" s="1" t="str">
        <f>"솔샘간 17R11L2"</f>
        <v>솔샘간 17R11L2</v>
      </c>
      <c r="I15385" s="1" t="s">
        <v>15</v>
      </c>
      <c r="J15385" s="1" t="str">
        <f>"36/37"</f>
        <v>36/37</v>
      </c>
      <c r="K15385" s="1" t="str">
        <f>"2026-07-29 14:20:22"</f>
        <v>2026-07-29 14:20:22</v>
      </c>
      <c r="L15385" s="1" t="str">
        <f>"2022-09-28 09:38:59"</f>
        <v>2022-09-28 09:38:59</v>
      </c>
      <c r="M15385" s="1" t="s">
        <v>45</v>
      </c>
      <c r="N15385" s="1" t="s">
        <v>38</v>
      </c>
      <c r="O15385" s="1" t="s">
        <v>46</v>
      </c>
    </row>
    <row r="15386" spans="2:15" x14ac:dyDescent="0.3">
      <c r="B15386" s="1" t="s">
        <v>19</v>
      </c>
      <c r="C15386" s="1" t="str">
        <f>"5-1차"</f>
        <v>5-1차</v>
      </c>
      <c r="D15386" s="1" t="str">
        <f>"0129D8625S"</f>
        <v>0129D8625S</v>
      </c>
      <c r="E15386" s="1" t="s">
        <v>10</v>
      </c>
      <c r="F15386" s="1" t="str">
        <f>"fde3:102:1410:1400:0:0:0:4"</f>
        <v>fde3:102:1410:1400:0:0:0:4</v>
      </c>
      <c r="G15386" s="1" t="str">
        <f>"0129D862"</f>
        <v>0129D862</v>
      </c>
      <c r="H15386" s="1" t="str">
        <f>"솔샘간 17R17"</f>
        <v>솔샘간 17R17</v>
      </c>
      <c r="I15386" s="1" t="s">
        <v>15</v>
      </c>
      <c r="J15386" s="1" t="str">
        <f>"52/53"</f>
        <v>52/53</v>
      </c>
      <c r="K15386" s="1" t="str">
        <f>"2026-07-29 14:20:23"</f>
        <v>2026-07-29 14:20:23</v>
      </c>
      <c r="L15386" s="1" t="str">
        <f>"2022-09-28 09:25:51"</f>
        <v>2022-09-28 09:25:51</v>
      </c>
      <c r="M15386" s="1" t="s">
        <v>45</v>
      </c>
      <c r="N15386" s="1" t="s">
        <v>38</v>
      </c>
      <c r="O15386" s="1" t="s">
        <v>46</v>
      </c>
    </row>
    <row r="15387" spans="2:15" x14ac:dyDescent="0.3">
      <c r="B15387" s="1" t="s">
        <v>19</v>
      </c>
      <c r="C15387" s="1" t="str">
        <f>"5-2차"</f>
        <v>5-2차</v>
      </c>
      <c r="D15387" s="1" t="str">
        <f>"0129D8815S"</f>
        <v>0129D8815S</v>
      </c>
      <c r="E15387" s="1" t="s">
        <v>10</v>
      </c>
      <c r="F15387" s="1" t="str">
        <f>"fde3:102:1410:1400:0:0:0:d"</f>
        <v>fde3:102:1410:1400:0:0:0:d</v>
      </c>
      <c r="G15387" s="1" t="str">
        <f>"0129D881"</f>
        <v>0129D881</v>
      </c>
      <c r="H15387" s="1" t="str">
        <f>"솔샘간 17R6"</f>
        <v>솔샘간 17R6</v>
      </c>
      <c r="I15387" s="1" t="s">
        <v>15</v>
      </c>
      <c r="J15387" s="1" t="str">
        <f>"35/35"</f>
        <v>35/35</v>
      </c>
      <c r="K15387" s="1" t="str">
        <f>"2026-07-29 14:20:00"</f>
        <v>2026-07-29 14:20:00</v>
      </c>
      <c r="L15387" s="1" t="str">
        <f>"2023-08-04 16:28:48"</f>
        <v>2023-08-04 16:28:48</v>
      </c>
      <c r="M15387" s="1" t="s">
        <v>45</v>
      </c>
      <c r="N15387" s="1" t="s">
        <v>38</v>
      </c>
      <c r="O15387" s="1" t="s">
        <v>46</v>
      </c>
    </row>
    <row r="15388" spans="2:15" x14ac:dyDescent="0.3">
      <c r="B15388" s="1" t="s">
        <v>19</v>
      </c>
      <c r="C15388" s="1" t="str">
        <f>"1차"</f>
        <v>1차</v>
      </c>
      <c r="D15388" s="1" t="str">
        <f>"0129D91101"</f>
        <v>0129D91101</v>
      </c>
      <c r="E15388" s="1" t="s">
        <v>10</v>
      </c>
      <c r="F15388" s="1" t="str">
        <f>"10.107.0.164"</f>
        <v>10.107.0.164</v>
      </c>
      <c r="G15388" s="1" t="str">
        <f>"0129D911"</f>
        <v>0129D911</v>
      </c>
      <c r="H15388" s="1" t="str">
        <f>"수미간 40L13R1"</f>
        <v>수미간 40L13R1</v>
      </c>
      <c r="I15388" s="1" t="s">
        <v>8</v>
      </c>
      <c r="J15388" s="1" t="str">
        <f>"28/28"</f>
        <v>28/28</v>
      </c>
      <c r="K15388" s="1" t="str">
        <f>"2026-07-29 13:18:02"</f>
        <v>2026-07-29 13:18:02</v>
      </c>
      <c r="L15388" s="1" t="str">
        <f>"2014-11-04 00:11:37"</f>
        <v>2014-11-04 00:11:37</v>
      </c>
      <c r="M15388" s="1" t="s">
        <v>45</v>
      </c>
      <c r="N15388" s="1" t="s">
        <v>38</v>
      </c>
      <c r="O15388" s="1" t="s">
        <v>46</v>
      </c>
    </row>
    <row r="15389" spans="2:15" x14ac:dyDescent="0.3">
      <c r="B15389" s="1" t="s">
        <v>19</v>
      </c>
      <c r="C15389" s="1" t="str">
        <f>"1차"</f>
        <v>1차</v>
      </c>
      <c r="D15389" s="1" t="str">
        <f>"0129D91201"</f>
        <v>0129D91201</v>
      </c>
      <c r="E15389" s="1" t="s">
        <v>10</v>
      </c>
      <c r="F15389" s="1" t="str">
        <f>"10.107.0.159"</f>
        <v>10.107.0.159</v>
      </c>
      <c r="G15389" s="1" t="str">
        <f>"0129D912"</f>
        <v>0129D912</v>
      </c>
      <c r="H15389" s="1" t="str">
        <f>"성암지 26R9"</f>
        <v>성암지 26R9</v>
      </c>
      <c r="I15389" s="1" t="s">
        <v>8</v>
      </c>
      <c r="J15389" s="1" t="str">
        <f>"42/42"</f>
        <v>42/42</v>
      </c>
      <c r="K15389" s="1" t="str">
        <f>"2026-07-29 13:18:03"</f>
        <v>2026-07-29 13:18:03</v>
      </c>
      <c r="L15389" s="1" t="str">
        <f>"2014-11-04 00:12:12"</f>
        <v>2014-11-04 00:12:12</v>
      </c>
      <c r="M15389" s="1" t="s">
        <v>45</v>
      </c>
      <c r="N15389" s="1" t="s">
        <v>38</v>
      </c>
      <c r="O15389" s="1" t="s">
        <v>46</v>
      </c>
    </row>
    <row r="15390" spans="2:15" x14ac:dyDescent="0.3">
      <c r="B15390" s="1" t="s">
        <v>19</v>
      </c>
      <c r="C15390" s="1" t="str">
        <f>"1차"</f>
        <v>1차</v>
      </c>
      <c r="D15390" s="1" t="str">
        <f>"0129D92100"</f>
        <v>0129D92100</v>
      </c>
      <c r="E15390" s="1" t="s">
        <v>10</v>
      </c>
      <c r="F15390" s="1" t="str">
        <f>"10.107.0.163"</f>
        <v>10.107.0.163</v>
      </c>
      <c r="G15390" s="1" t="str">
        <f>"0129D921"</f>
        <v>0129D921</v>
      </c>
      <c r="H15390" s="1" t="str">
        <f>"수미간 40L13"</f>
        <v>수미간 40L13</v>
      </c>
      <c r="I15390" s="1" t="s">
        <v>8</v>
      </c>
      <c r="J15390" s="1" t="str">
        <f>"20/20"</f>
        <v>20/20</v>
      </c>
      <c r="K15390" s="1" t="str">
        <f>"2026-07-29 13:18:01"</f>
        <v>2026-07-29 13:18:01</v>
      </c>
      <c r="L15390" s="1" t="str">
        <f>"2014-10-30 16:50:21"</f>
        <v>2014-10-30 16:50:21</v>
      </c>
      <c r="M15390" s="1" t="s">
        <v>45</v>
      </c>
      <c r="N15390" s="1" t="s">
        <v>38</v>
      </c>
      <c r="O15390" s="1" t="s">
        <v>46</v>
      </c>
    </row>
    <row r="15391" spans="2:15" x14ac:dyDescent="0.3">
      <c r="B15391" s="1" t="s">
        <v>19</v>
      </c>
      <c r="C15391" s="1" t="str">
        <f>"6차"</f>
        <v>6차</v>
      </c>
      <c r="D15391" s="1" t="str">
        <f>"0129D9236M"</f>
        <v>0129D9236M</v>
      </c>
      <c r="E15391" s="1" t="s">
        <v>10</v>
      </c>
      <c r="F15391" s="1" t="str">
        <f>"fde1:103:4:c809:0:0:0:2"</f>
        <v>fde1:103:4:c809:0:0:0:2</v>
      </c>
      <c r="G15391" s="1" t="str">
        <f>"0129D923"</f>
        <v>0129D923</v>
      </c>
      <c r="H15391" s="1" t="str">
        <f>"수미간 40L12"</f>
        <v>수미간 40L12</v>
      </c>
      <c r="I15391" s="1" t="s">
        <v>15</v>
      </c>
      <c r="J15391" s="1" t="str">
        <f>"20/20"</f>
        <v>20/20</v>
      </c>
      <c r="K15391" s="1" t="str">
        <f>"2026-07-29 14:20:23"</f>
        <v>2026-07-29 14:20:23</v>
      </c>
      <c r="L15391" s="1" t="str">
        <f>"2024-12-05 11:38:57"</f>
        <v>2024-12-05 11:38:57</v>
      </c>
      <c r="M15391" s="1" t="s">
        <v>4</v>
      </c>
      <c r="N15391" s="1" t="s">
        <v>38</v>
      </c>
      <c r="O15391" s="1" t="s">
        <v>46</v>
      </c>
    </row>
    <row r="15392" spans="2:15" x14ac:dyDescent="0.3">
      <c r="B15392" s="1" t="s">
        <v>19</v>
      </c>
      <c r="C15392" s="1" t="str">
        <f>"5-1차"</f>
        <v>5-1차</v>
      </c>
      <c r="D15392" s="1" t="str">
        <f>"0129D9315S"</f>
        <v>0129D9315S</v>
      </c>
      <c r="E15392" s="1" t="s">
        <v>10</v>
      </c>
      <c r="F15392" s="1" t="str">
        <f>"fde2:104:0:2d:0:0:0:2"</f>
        <v>fde2:104:0:2d:0:0:0:2</v>
      </c>
      <c r="G15392" s="1" t="str">
        <f>"0129D931"</f>
        <v>0129D931</v>
      </c>
      <c r="H15392" s="1" t="str">
        <f>"수미간 40L13L1"</f>
        <v>수미간 40L13L1</v>
      </c>
      <c r="I15392" s="1" t="s">
        <v>15</v>
      </c>
      <c r="J15392" s="1" t="str">
        <f>"34/34"</f>
        <v>34/34</v>
      </c>
      <c r="K15392" s="1" t="str">
        <f>"2026-07-29 14:20:22"</f>
        <v>2026-07-29 14:20:22</v>
      </c>
      <c r="L15392" s="1" t="str">
        <f>"2022-08-23 10:03:02"</f>
        <v>2022-08-23 10:03:02</v>
      </c>
      <c r="M15392" s="1" t="s">
        <v>42</v>
      </c>
      <c r="N15392" s="1" t="s">
        <v>38</v>
      </c>
      <c r="O15392" s="1" t="s">
        <v>46</v>
      </c>
    </row>
    <row r="15393" spans="2:15" x14ac:dyDescent="0.3">
      <c r="B15393" s="1" t="s">
        <v>19</v>
      </c>
      <c r="C15393" s="1" t="str">
        <f>"5-2차"</f>
        <v>5-2차</v>
      </c>
      <c r="D15393" s="1" t="str">
        <f>"0129D9415M"</f>
        <v>0129D9415M</v>
      </c>
      <c r="E15393" s="1" t="s">
        <v>10</v>
      </c>
      <c r="F15393" s="1" t="str">
        <f>"fde1:103:4:6e92:0:0:0:2"</f>
        <v>fde1:103:4:6e92:0:0:0:2</v>
      </c>
      <c r="G15393" s="1" t="str">
        <f>"0129D941"</f>
        <v>0129D941</v>
      </c>
      <c r="H15393" s="1" t="str">
        <f>"수미간 40L13L2"</f>
        <v>수미간 40L13L2</v>
      </c>
      <c r="I15393" s="1" t="s">
        <v>15</v>
      </c>
      <c r="J15393" s="1" t="str">
        <f>"55/55"</f>
        <v>55/55</v>
      </c>
      <c r="K15393" s="1" t="str">
        <f>"2026-07-29 14:20:21"</f>
        <v>2026-07-29 14:20:21</v>
      </c>
      <c r="L15393" s="1" t="str">
        <f>"2023-11-10 15:21:38"</f>
        <v>2023-11-10 15:21:38</v>
      </c>
      <c r="M15393" s="1" t="s">
        <v>4</v>
      </c>
      <c r="N15393" s="1" t="s">
        <v>38</v>
      </c>
      <c r="O15393" s="1" t="s">
        <v>46</v>
      </c>
    </row>
    <row r="15394" spans="2:15" x14ac:dyDescent="0.3">
      <c r="B15394" s="1" t="s">
        <v>19</v>
      </c>
      <c r="C15394" s="1" t="str">
        <f>"5-1차"</f>
        <v>5-1차</v>
      </c>
      <c r="D15394" s="1" t="str">
        <f>"0129D9515M"</f>
        <v>0129D9515M</v>
      </c>
      <c r="E15394" s="1" t="s">
        <v>10</v>
      </c>
      <c r="F15394" s="1" t="str">
        <f>"fde2:104:0:2f:0:0:0:2"</f>
        <v>fde2:104:0:2f:0:0:0:2</v>
      </c>
      <c r="G15394" s="1" t="str">
        <f>"0129D951"</f>
        <v>0129D951</v>
      </c>
      <c r="H15394" s="1" t="str">
        <f>"수미간 40L14L3"</f>
        <v>수미간 40L14L3</v>
      </c>
      <c r="I15394" s="1" t="s">
        <v>15</v>
      </c>
      <c r="J15394" s="1" t="str">
        <f>"52/52"</f>
        <v>52/52</v>
      </c>
      <c r="K15394" s="1" t="str">
        <f>"2026-07-29 14:20:24"</f>
        <v>2026-07-29 14:20:24</v>
      </c>
      <c r="L15394" s="1" t="str">
        <f>"2022-08-31 08:12:45"</f>
        <v>2022-08-31 08:12:45</v>
      </c>
      <c r="M15394" s="1" t="s">
        <v>42</v>
      </c>
      <c r="N15394" s="1" t="s">
        <v>38</v>
      </c>
      <c r="O15394" s="1" t="s">
        <v>46</v>
      </c>
    </row>
    <row r="15395" spans="2:15" x14ac:dyDescent="0.3">
      <c r="B15395" s="1" t="s">
        <v>19</v>
      </c>
      <c r="C15395" s="1" t="str">
        <f>"5-2차"</f>
        <v>5-2차</v>
      </c>
      <c r="D15395" s="1" t="str">
        <f>"0129D9655S"</f>
        <v>0129D9655S</v>
      </c>
      <c r="E15395" s="1" t="s">
        <v>12</v>
      </c>
      <c r="F15395" s="1" t="str">
        <f>"fde1:103:4:6e9d:0:0:0:2"</f>
        <v>fde1:103:4:6e9d:0:0:0:2</v>
      </c>
      <c r="G15395" s="1" t="str">
        <f>"0129D965"</f>
        <v>0129D965</v>
      </c>
      <c r="H15395" s="1" t="str">
        <f>"솔샘간 17R18"</f>
        <v>솔샘간 17R18</v>
      </c>
      <c r="I15395" s="1" t="s">
        <v>15</v>
      </c>
      <c r="J15395" s="1" t="str">
        <f>"0/30"</f>
        <v>0/30</v>
      </c>
      <c r="K15395" s="1" t="str">
        <f>"2026-07-07 08:20:00"</f>
        <v>2026-07-07 08:20:00</v>
      </c>
      <c r="L15395" s="1" t="str">
        <f>"2023-11-10 13:55:50"</f>
        <v>2023-11-10 13:55:50</v>
      </c>
      <c r="M15395" s="1" t="s">
        <v>4</v>
      </c>
      <c r="N15395" s="1" t="s">
        <v>38</v>
      </c>
      <c r="O15395" s="1" t="s">
        <v>46</v>
      </c>
    </row>
    <row r="15396" spans="2:15" x14ac:dyDescent="0.3">
      <c r="B15396" s="1" t="s">
        <v>19</v>
      </c>
      <c r="C15396" s="1" t="str">
        <f>"1차"</f>
        <v>1차</v>
      </c>
      <c r="D15396" s="1" t="str">
        <f>"0129D97200"</f>
        <v>0129D97200</v>
      </c>
      <c r="E15396" s="1" t="s">
        <v>10</v>
      </c>
      <c r="F15396" s="1" t="str">
        <f>"10.107.123.2"</f>
        <v>10.107.123.2</v>
      </c>
      <c r="G15396" s="1" t="str">
        <f>"0129D972"</f>
        <v>0129D972</v>
      </c>
      <c r="H15396" s="1" t="str">
        <f>"솔샘간 17R4L2R1"</f>
        <v>솔샘간 17R4L2R1</v>
      </c>
      <c r="I15396" s="1" t="s">
        <v>8</v>
      </c>
      <c r="J15396" s="1" t="str">
        <f>"65/65"</f>
        <v>65/65</v>
      </c>
      <c r="K15396" s="1" t="str">
        <f>"2026-07-29 13:18:01"</f>
        <v>2026-07-29 13:18:01</v>
      </c>
      <c r="L15396" s="1" t="str">
        <f>"2014-10-30 16:50:00"</f>
        <v>2014-10-30 16:50:00</v>
      </c>
      <c r="M15396" s="1" t="s">
        <v>45</v>
      </c>
      <c r="N15396" s="1" t="s">
        <v>38</v>
      </c>
      <c r="O15396" s="1" t="s">
        <v>46</v>
      </c>
    </row>
    <row r="15397" spans="2:15" x14ac:dyDescent="0.3">
      <c r="B15397" s="1" t="s">
        <v>19</v>
      </c>
      <c r="C15397" s="1" t="str">
        <f>"3차"</f>
        <v>3차</v>
      </c>
      <c r="D15397" s="1" t="str">
        <f>"0129D99139"</f>
        <v>0129D99139</v>
      </c>
      <c r="E15397" s="1" t="s">
        <v>10</v>
      </c>
      <c r="F15397" s="1" t="str">
        <f>"10.107.123.17"</f>
        <v>10.107.123.17</v>
      </c>
      <c r="G15397" s="1" t="str">
        <f>"0129D991"</f>
        <v>0129D991</v>
      </c>
      <c r="H15397" s="1" t="str">
        <f>"솔샘간 17R4"</f>
        <v>솔샘간 17R4</v>
      </c>
      <c r="I15397" s="1" t="s">
        <v>8</v>
      </c>
      <c r="J15397" s="1" t="str">
        <f>"46/46"</f>
        <v>46/46</v>
      </c>
      <c r="K15397" s="1" t="str">
        <f>"2026-07-29 13:18:02"</f>
        <v>2026-07-29 13:18:02</v>
      </c>
      <c r="L15397" s="1" t="str">
        <f>"2018-03-23 14:07:56"</f>
        <v>2018-03-23 14:07:56</v>
      </c>
      <c r="M15397" s="1" t="s">
        <v>45</v>
      </c>
      <c r="N15397" s="1" t="s">
        <v>38</v>
      </c>
      <c r="O15397" s="1" t="s">
        <v>46</v>
      </c>
    </row>
    <row r="15398" spans="2:15" x14ac:dyDescent="0.3">
      <c r="B15398" s="1" t="s">
        <v>19</v>
      </c>
      <c r="C15398" s="1" t="str">
        <f>"5-1차"</f>
        <v>5-1차</v>
      </c>
      <c r="D15398" s="1" t="str">
        <f>"0129D9935S"</f>
        <v>0129D9935S</v>
      </c>
      <c r="E15398" s="1" t="s">
        <v>10</v>
      </c>
      <c r="F15398" s="1" t="str">
        <f>"fde3:102:1410:1400:0:0:0:5"</f>
        <v>fde3:102:1410:1400:0:0:0:5</v>
      </c>
      <c r="G15398" s="1" t="str">
        <f>"0129D993"</f>
        <v>0129D993</v>
      </c>
      <c r="H15398" s="1" t="str">
        <f>"솔샘간 17R5"</f>
        <v>솔샘간 17R5</v>
      </c>
      <c r="I15398" s="1" t="s">
        <v>15</v>
      </c>
      <c r="J15398" s="1" t="str">
        <f>"27/27"</f>
        <v>27/27</v>
      </c>
      <c r="K15398" s="1" t="str">
        <f>"2026-07-29 14:20:42"</f>
        <v>2026-07-29 14:20:42</v>
      </c>
      <c r="L15398" s="1" t="str">
        <f>"2022-09-26 11:13:20"</f>
        <v>2022-09-26 11:13:20</v>
      </c>
      <c r="M15398" s="1" t="s">
        <v>45</v>
      </c>
      <c r="N15398" s="1" t="s">
        <v>38</v>
      </c>
      <c r="O15398" s="1" t="s">
        <v>46</v>
      </c>
    </row>
    <row r="15399" spans="2:15" x14ac:dyDescent="0.3">
      <c r="B15399" s="1" t="s">
        <v>19</v>
      </c>
      <c r="C15399" s="1" t="str">
        <f>"4차"</f>
        <v>4차</v>
      </c>
      <c r="D15399" s="1" t="str">
        <f>"0129E00139"</f>
        <v>0129E00139</v>
      </c>
      <c r="E15399" s="1" t="s">
        <v>10</v>
      </c>
      <c r="F15399" s="1" t="str">
        <f>"10.107.123.7"</f>
        <v>10.107.123.7</v>
      </c>
      <c r="G15399" s="1" t="str">
        <f>"0129E001"</f>
        <v>0129E001</v>
      </c>
      <c r="H15399" s="1" t="str">
        <f>"솔샘간 17R2R3L2"</f>
        <v>솔샘간 17R2R3L2</v>
      </c>
      <c r="I15399" s="1" t="s">
        <v>8</v>
      </c>
      <c r="J15399" s="1" t="str">
        <f>"21/21"</f>
        <v>21/21</v>
      </c>
      <c r="K15399" s="1" t="str">
        <f>"2026-07-29 13:18:01"</f>
        <v>2026-07-29 13:18:01</v>
      </c>
      <c r="L15399" s="1" t="str">
        <f>"2018-06-19 15:12:23"</f>
        <v>2018-06-19 15:12:23</v>
      </c>
      <c r="M15399" s="1" t="s">
        <v>45</v>
      </c>
      <c r="N15399" s="1" t="s">
        <v>38</v>
      </c>
      <c r="O15399" s="1" t="s">
        <v>46</v>
      </c>
    </row>
    <row r="15400" spans="2:15" x14ac:dyDescent="0.3">
      <c r="B15400" s="1" t="s">
        <v>19</v>
      </c>
      <c r="C15400" s="1" t="str">
        <f>"3차"</f>
        <v>3차</v>
      </c>
      <c r="D15400" s="1" t="str">
        <f>"0129E00239"</f>
        <v>0129E00239</v>
      </c>
      <c r="E15400" s="1" t="s">
        <v>10</v>
      </c>
      <c r="F15400" s="1" t="str">
        <f>"10.107.123.9"</f>
        <v>10.107.123.9</v>
      </c>
      <c r="G15400" s="1" t="str">
        <f>"0129E002"</f>
        <v>0129E002</v>
      </c>
      <c r="H15400" s="1" t="str">
        <f>"솔샘간 17R2R3L3"</f>
        <v>솔샘간 17R2R3L3</v>
      </c>
      <c r="I15400" s="1" t="s">
        <v>8</v>
      </c>
      <c r="J15400" s="1" t="str">
        <f>"53/53"</f>
        <v>53/53</v>
      </c>
      <c r="K15400" s="1" t="str">
        <f>"2026-07-29 13:18:01"</f>
        <v>2026-07-29 13:18:01</v>
      </c>
      <c r="L15400" s="1" t="str">
        <f>"2018-03-23 15:11:29"</f>
        <v>2018-03-23 15:11:29</v>
      </c>
      <c r="M15400" s="1" t="s">
        <v>45</v>
      </c>
      <c r="N15400" s="1" t="s">
        <v>38</v>
      </c>
      <c r="O15400" s="1" t="s">
        <v>46</v>
      </c>
    </row>
    <row r="15401" spans="2:15" x14ac:dyDescent="0.3">
      <c r="B15401" s="1" t="s">
        <v>19</v>
      </c>
      <c r="C15401" s="1" t="str">
        <f>"3차"</f>
        <v>3차</v>
      </c>
      <c r="D15401" s="1" t="str">
        <f>"0129E01131"</f>
        <v>0129E01131</v>
      </c>
      <c r="E15401" s="1" t="s">
        <v>10</v>
      </c>
      <c r="F15401" s="1" t="str">
        <f>"10.107.123.4"</f>
        <v>10.107.123.4</v>
      </c>
      <c r="G15401" s="1" t="str">
        <f>"0129E011"</f>
        <v>0129E011</v>
      </c>
      <c r="H15401" s="1" t="str">
        <f>"수미간 30L12R1L3"</f>
        <v>수미간 30L12R1L3</v>
      </c>
      <c r="I15401" s="1" t="s">
        <v>8</v>
      </c>
      <c r="J15401" s="1" t="str">
        <f>"46/51"</f>
        <v>46/51</v>
      </c>
      <c r="K15401" s="1" t="str">
        <f>"2026-07-29 13:18:02"</f>
        <v>2026-07-29 13:18:02</v>
      </c>
      <c r="L15401" s="1" t="str">
        <f>"2018-06-19 13:53:19"</f>
        <v>2018-06-19 13:53:19</v>
      </c>
      <c r="M15401" s="1" t="s">
        <v>45</v>
      </c>
      <c r="N15401" s="1" t="s">
        <v>38</v>
      </c>
      <c r="O15401" s="1" t="s">
        <v>46</v>
      </c>
    </row>
    <row r="15402" spans="2:15" x14ac:dyDescent="0.3">
      <c r="B15402" s="1" t="s">
        <v>19</v>
      </c>
      <c r="C15402" s="1" t="str">
        <f>"3차"</f>
        <v>3차</v>
      </c>
      <c r="D15402" s="1" t="str">
        <f>"0129E02131"</f>
        <v>0129E02131</v>
      </c>
      <c r="E15402" s="1" t="s">
        <v>10</v>
      </c>
      <c r="F15402" s="1" t="str">
        <f>"10.107.123.12"</f>
        <v>10.107.123.12</v>
      </c>
      <c r="G15402" s="1" t="str">
        <f>"0129E021"</f>
        <v>0129E021</v>
      </c>
      <c r="H15402" s="1" t="str">
        <f>"솔샘간 17R2R6"</f>
        <v>솔샘간 17R2R6</v>
      </c>
      <c r="I15402" s="1" t="s">
        <v>8</v>
      </c>
      <c r="J15402" s="1" t="str">
        <f>"15/15"</f>
        <v>15/15</v>
      </c>
      <c r="K15402" s="1" t="str">
        <f>"2026-07-29 13:18:02"</f>
        <v>2026-07-29 13:18:02</v>
      </c>
      <c r="L15402" s="1" t="str">
        <f>"2018-03-23 15:14:56"</f>
        <v>2018-03-23 15:14:56</v>
      </c>
      <c r="M15402" s="1" t="s">
        <v>45</v>
      </c>
      <c r="N15402" s="1" t="s">
        <v>38</v>
      </c>
      <c r="O15402" s="1" t="s">
        <v>46</v>
      </c>
    </row>
    <row r="15403" spans="2:15" x14ac:dyDescent="0.3">
      <c r="B15403" s="1" t="s">
        <v>19</v>
      </c>
      <c r="C15403" s="1" t="str">
        <f>"3차"</f>
        <v>3차</v>
      </c>
      <c r="D15403" s="1" t="str">
        <f>"0129E02230"</f>
        <v>0129E02230</v>
      </c>
      <c r="E15403" s="1" t="s">
        <v>10</v>
      </c>
      <c r="F15403" s="1" t="str">
        <f>"10.107.123.11"</f>
        <v>10.107.123.11</v>
      </c>
      <c r="G15403" s="1" t="str">
        <f>"0129E022"</f>
        <v>0129E022</v>
      </c>
      <c r="H15403" s="1" t="str">
        <f>"솔샘간 17R2R5"</f>
        <v>솔샘간 17R2R5</v>
      </c>
      <c r="I15403" s="1" t="s">
        <v>8</v>
      </c>
      <c r="J15403" s="1" t="str">
        <f>"7/7"</f>
        <v>7/7</v>
      </c>
      <c r="K15403" s="1" t="str">
        <f>"2026-07-29 13:18:01"</f>
        <v>2026-07-29 13:18:01</v>
      </c>
      <c r="L15403" s="1" t="str">
        <f>"2018-03-23 14:06:56"</f>
        <v>2018-03-23 14:06:56</v>
      </c>
      <c r="M15403" s="1" t="s">
        <v>45</v>
      </c>
      <c r="N15403" s="1" t="s">
        <v>38</v>
      </c>
      <c r="O15403" s="1" t="s">
        <v>46</v>
      </c>
    </row>
    <row r="15404" spans="2:15" x14ac:dyDescent="0.3">
      <c r="B15404" s="1" t="s">
        <v>19</v>
      </c>
      <c r="C15404" s="1" t="str">
        <f>"3차"</f>
        <v>3차</v>
      </c>
      <c r="D15404" s="1" t="str">
        <f>"0129E03139"</f>
        <v>0129E03139</v>
      </c>
      <c r="E15404" s="1" t="s">
        <v>14</v>
      </c>
      <c r="F15404" s="1" t="str">
        <f>"10.107.123.13"</f>
        <v>10.107.123.13</v>
      </c>
      <c r="G15404" s="1" t="str">
        <f>"0129E031"</f>
        <v>0129E031</v>
      </c>
      <c r="H15404" s="1" t="str">
        <f>"솔샘간 17R2R7"</f>
        <v>솔샘간 17R2R7</v>
      </c>
      <c r="I15404" s="1" t="s">
        <v>8</v>
      </c>
      <c r="J15404" s="1" t="str">
        <f>"0/0"</f>
        <v>0/0</v>
      </c>
      <c r="K15404" s="1" t="str">
        <f>"2026-07-29 13:18:01"</f>
        <v>2026-07-29 13:18:01</v>
      </c>
      <c r="L15404" s="1" t="str">
        <f>"2018-03-23 14:26:47"</f>
        <v>2018-03-23 14:26:47</v>
      </c>
      <c r="M15404" s="1" t="s">
        <v>45</v>
      </c>
      <c r="N15404" s="1" t="s">
        <v>38</v>
      </c>
      <c r="O15404" s="1" t="s">
        <v>44</v>
      </c>
    </row>
    <row r="15405" spans="2:15" x14ac:dyDescent="0.3">
      <c r="B15405" s="1" t="s">
        <v>19</v>
      </c>
      <c r="C15405" s="1" t="str">
        <f>"4차"</f>
        <v>4차</v>
      </c>
      <c r="D15405" s="1" t="str">
        <f>"0129E03231"</f>
        <v>0129E03231</v>
      </c>
      <c r="E15405" s="1" t="s">
        <v>10</v>
      </c>
      <c r="F15405" s="1" t="str">
        <f>"10.107.123.16"</f>
        <v>10.107.123.16</v>
      </c>
      <c r="G15405" s="1" t="str">
        <f>"0129E032"</f>
        <v>0129E032</v>
      </c>
      <c r="H15405" s="1" t="str">
        <f>"솔샘간 17R2R9"</f>
        <v>솔샘간 17R2R9</v>
      </c>
      <c r="I15405" s="1" t="s">
        <v>8</v>
      </c>
      <c r="J15405" s="1" t="str">
        <f>"42/42"</f>
        <v>42/42</v>
      </c>
      <c r="K15405" s="1" t="str">
        <f>"2026-07-29 13:18:01"</f>
        <v>2026-07-29 13:18:01</v>
      </c>
      <c r="L15405" s="1" t="str">
        <f>"2018-03-23 14:48:25"</f>
        <v>2018-03-23 14:48:25</v>
      </c>
      <c r="M15405" s="1" t="s">
        <v>45</v>
      </c>
      <c r="N15405" s="1" t="s">
        <v>38</v>
      </c>
      <c r="O15405" s="1" t="s">
        <v>46</v>
      </c>
    </row>
    <row r="15406" spans="2:15" x14ac:dyDescent="0.3">
      <c r="B15406" s="1" t="s">
        <v>19</v>
      </c>
      <c r="C15406" s="1" t="str">
        <f>"3차"</f>
        <v>3차</v>
      </c>
      <c r="D15406" s="1" t="str">
        <f>"0129E03330"</f>
        <v>0129E03330</v>
      </c>
      <c r="E15406" s="1" t="s">
        <v>10</v>
      </c>
      <c r="F15406" s="1" t="str">
        <f>"10.107.123.15"</f>
        <v>10.107.123.15</v>
      </c>
      <c r="G15406" s="1" t="str">
        <f>"0129E033"</f>
        <v>0129E033</v>
      </c>
      <c r="H15406" s="1" t="str">
        <f>"솔샘간 17R2R8"</f>
        <v>솔샘간 17R2R8</v>
      </c>
      <c r="I15406" s="1" t="s">
        <v>8</v>
      </c>
      <c r="J15406" s="1" t="str">
        <f>"1/1"</f>
        <v>1/1</v>
      </c>
      <c r="K15406" s="1" t="str">
        <f>"2026-07-29 13:18:02"</f>
        <v>2026-07-29 13:18:02</v>
      </c>
      <c r="L15406" s="1" t="str">
        <f>"2018-03-23 14:01:11"</f>
        <v>2018-03-23 14:01:11</v>
      </c>
      <c r="M15406" s="1" t="s">
        <v>45</v>
      </c>
      <c r="N15406" s="1" t="s">
        <v>38</v>
      </c>
      <c r="O15406" s="1" t="s">
        <v>46</v>
      </c>
    </row>
    <row r="15407" spans="2:15" x14ac:dyDescent="0.3">
      <c r="B15407" s="1" t="s">
        <v>19</v>
      </c>
      <c r="C15407" s="1" t="str">
        <f>"6차"</f>
        <v>6차</v>
      </c>
      <c r="D15407" s="1" t="str">
        <f>"0129E0526S"</f>
        <v>0129E0526S</v>
      </c>
      <c r="E15407" s="1" t="s">
        <v>10</v>
      </c>
      <c r="F15407" s="1" t="str">
        <f>"fde1:103:4:912a:0:0:0:2"</f>
        <v>fde1:103:4:912a:0:0:0:2</v>
      </c>
      <c r="G15407" s="1" t="str">
        <f>"0129E052"</f>
        <v>0129E052</v>
      </c>
      <c r="H15407" s="1" t="str">
        <f>"솔샘간 11H1"</f>
        <v>솔샘간 11H1</v>
      </c>
      <c r="I15407" s="1" t="s">
        <v>15</v>
      </c>
      <c r="J15407" s="1" t="str">
        <f>"18/28"</f>
        <v>18/28</v>
      </c>
      <c r="K15407" s="1" t="str">
        <f>"2026-07-29 14:20:50"</f>
        <v>2026-07-29 14:20:50</v>
      </c>
      <c r="L15407" s="1" t="str">
        <f>"2024-10-07 11:18:21"</f>
        <v>2024-10-07 11:18:21</v>
      </c>
      <c r="M15407" s="1" t="s">
        <v>4</v>
      </c>
      <c r="N15407" s="1" t="s">
        <v>38</v>
      </c>
      <c r="O15407" s="1" t="s">
        <v>46</v>
      </c>
    </row>
    <row r="15408" spans="2:15" x14ac:dyDescent="0.3">
      <c r="B15408" s="1" t="s">
        <v>19</v>
      </c>
      <c r="C15408" s="1" t="str">
        <f>"4차"</f>
        <v>4차</v>
      </c>
      <c r="D15408" s="1" t="str">
        <f>"0129E11131"</f>
        <v>0129E11131</v>
      </c>
      <c r="E15408" s="1" t="s">
        <v>10</v>
      </c>
      <c r="F15408" s="1" t="str">
        <f>"10.107.123.8"</f>
        <v>10.107.123.8</v>
      </c>
      <c r="G15408" s="1" t="str">
        <f>"0129E111"</f>
        <v>0129E111</v>
      </c>
      <c r="H15408" s="1" t="str">
        <f>"솔샘간 17R2R3"</f>
        <v>솔샘간 17R2R3</v>
      </c>
      <c r="I15408" s="1" t="s">
        <v>8</v>
      </c>
      <c r="J15408" s="1" t="str">
        <f>"32/32"</f>
        <v>32/32</v>
      </c>
      <c r="K15408" s="1" t="str">
        <f>"2026-07-29 13:18:01"</f>
        <v>2026-07-29 13:18:01</v>
      </c>
      <c r="L15408" s="1" t="str">
        <f>"2018-06-19 16:14:20"</f>
        <v>2018-06-19 16:14:20</v>
      </c>
      <c r="M15408" s="1" t="s">
        <v>45</v>
      </c>
      <c r="N15408" s="1" t="s">
        <v>38</v>
      </c>
      <c r="O15408" s="1" t="s">
        <v>46</v>
      </c>
    </row>
    <row r="15409" spans="2:15" x14ac:dyDescent="0.3">
      <c r="B15409" s="1" t="s">
        <v>19</v>
      </c>
      <c r="C15409" s="1" t="str">
        <f>"4차"</f>
        <v>4차</v>
      </c>
      <c r="D15409" s="1" t="str">
        <f>"0129E11230"</f>
        <v>0129E11230</v>
      </c>
      <c r="E15409" s="1" t="s">
        <v>10</v>
      </c>
      <c r="F15409" s="1" t="str">
        <f>"10.107.123.10"</f>
        <v>10.107.123.10</v>
      </c>
      <c r="G15409" s="1" t="str">
        <f>"0129E112"</f>
        <v>0129E112</v>
      </c>
      <c r="H15409" s="1" t="str">
        <f>"솔샘간 17R2R4"</f>
        <v>솔샘간 17R2R4</v>
      </c>
      <c r="I15409" s="1" t="s">
        <v>8</v>
      </c>
      <c r="J15409" s="1" t="str">
        <f>"40/41"</f>
        <v>40/41</v>
      </c>
      <c r="K15409" s="1" t="str">
        <f>"2026-07-29 13:18:01"</f>
        <v>2026-07-29 13:18:01</v>
      </c>
      <c r="L15409" s="1" t="str">
        <f>"2018-06-19 15:33:04"</f>
        <v>2018-06-19 15:33:04</v>
      </c>
      <c r="M15409" s="1" t="s">
        <v>45</v>
      </c>
      <c r="N15409" s="1" t="s">
        <v>38</v>
      </c>
      <c r="O15409" s="1" t="s">
        <v>46</v>
      </c>
    </row>
    <row r="15410" spans="2:15" x14ac:dyDescent="0.3">
      <c r="B15410" s="1" t="s">
        <v>19</v>
      </c>
      <c r="C15410" s="1" t="str">
        <f>"3차"</f>
        <v>3차</v>
      </c>
      <c r="D15410" s="1" t="str">
        <f>"0129E12239"</f>
        <v>0129E12239</v>
      </c>
      <c r="E15410" s="1" t="s">
        <v>10</v>
      </c>
      <c r="F15410" s="1" t="str">
        <f>"10.107.123.6"</f>
        <v>10.107.123.6</v>
      </c>
      <c r="G15410" s="1" t="str">
        <f>"0129E122"</f>
        <v>0129E122</v>
      </c>
      <c r="H15410" s="1" t="str">
        <f>"솔샘간 15"</f>
        <v>솔샘간 15</v>
      </c>
      <c r="I15410" s="1" t="s">
        <v>8</v>
      </c>
      <c r="J15410" s="1" t="str">
        <f>"10/10"</f>
        <v>10/10</v>
      </c>
      <c r="K15410" s="1" t="str">
        <f>"2026-07-29 13:18:02"</f>
        <v>2026-07-29 13:18:02</v>
      </c>
      <c r="L15410" s="1" t="str">
        <f>"2018-03-23 14:01:56"</f>
        <v>2018-03-23 14:01:56</v>
      </c>
      <c r="M15410" s="1" t="s">
        <v>45</v>
      </c>
      <c r="N15410" s="1" t="s">
        <v>38</v>
      </c>
      <c r="O15410" s="1" t="s">
        <v>46</v>
      </c>
    </row>
    <row r="15411" spans="2:15" x14ac:dyDescent="0.3">
      <c r="B15411" s="1" t="s">
        <v>19</v>
      </c>
      <c r="C15411" s="1" t="str">
        <f>"3차"</f>
        <v>3차</v>
      </c>
      <c r="D15411" s="1" t="str">
        <f>"0129E13239"</f>
        <v>0129E13239</v>
      </c>
      <c r="E15411" s="1" t="s">
        <v>10</v>
      </c>
      <c r="F15411" s="1" t="str">
        <f>"10.107.123.5"</f>
        <v>10.107.123.5</v>
      </c>
      <c r="G15411" s="1" t="str">
        <f>"0129E132"</f>
        <v>0129E132</v>
      </c>
      <c r="H15411" s="1" t="str">
        <f>"솔샘간 14"</f>
        <v>솔샘간 14</v>
      </c>
      <c r="I15411" s="1" t="s">
        <v>8</v>
      </c>
      <c r="J15411" s="1" t="str">
        <f>"4/4"</f>
        <v>4/4</v>
      </c>
      <c r="K15411" s="1" t="str">
        <f>"2026-07-29 13:18:02"</f>
        <v>2026-07-29 13:18:02</v>
      </c>
      <c r="L15411" s="1" t="str">
        <f>"2018-03-23 14:05:59"</f>
        <v>2018-03-23 14:05:59</v>
      </c>
      <c r="M15411" s="1" t="s">
        <v>45</v>
      </c>
      <c r="N15411" s="1" t="s">
        <v>38</v>
      </c>
      <c r="O15411" s="1" t="s">
        <v>46</v>
      </c>
    </row>
    <row r="15412" spans="2:15" x14ac:dyDescent="0.3">
      <c r="B15412" s="1" t="s">
        <v>19</v>
      </c>
      <c r="C15412" s="1" t="str">
        <f>"3차"</f>
        <v>3차</v>
      </c>
      <c r="D15412" s="1" t="str">
        <f>"0129E14739"</f>
        <v>0129E14739</v>
      </c>
      <c r="E15412" s="1" t="s">
        <v>10</v>
      </c>
      <c r="F15412" s="1" t="str">
        <f>"10.107.129.192"</f>
        <v>10.107.129.192</v>
      </c>
      <c r="G15412" s="1" t="str">
        <f>"0129E147"</f>
        <v>0129E147</v>
      </c>
      <c r="H15412" s="1" t="str">
        <f>"솔샘간 13"</f>
        <v>솔샘간 13</v>
      </c>
      <c r="I15412" s="1" t="s">
        <v>8</v>
      </c>
      <c r="J15412" s="1" t="str">
        <f>"6/6"</f>
        <v>6/6</v>
      </c>
      <c r="K15412" s="1" t="str">
        <f>"2026-07-29 13:18:03"</f>
        <v>2026-07-29 13:18:03</v>
      </c>
      <c r="L15412" s="1" t="str">
        <f>"2018-06-15 11:18:31"</f>
        <v>2018-06-15 11:18:31</v>
      </c>
      <c r="M15412" s="1" t="s">
        <v>45</v>
      </c>
      <c r="N15412" s="1" t="s">
        <v>38</v>
      </c>
      <c r="O15412" s="1" t="s">
        <v>46</v>
      </c>
    </row>
    <row r="15413" spans="2:15" x14ac:dyDescent="0.3">
      <c r="B15413" s="1" t="s">
        <v>19</v>
      </c>
      <c r="C15413" s="1" t="str">
        <f>"4차"</f>
        <v>4차</v>
      </c>
      <c r="D15413" s="1" t="str">
        <f>"0129E15644"</f>
        <v>0129E15644</v>
      </c>
      <c r="E15413" s="1" t="s">
        <v>10</v>
      </c>
      <c r="F15413" s="1" t="str">
        <f>"10.107.15.35"</f>
        <v>10.107.15.35</v>
      </c>
      <c r="G15413" s="1" t="str">
        <f>"0129E156"</f>
        <v>0129E156</v>
      </c>
      <c r="H15413" s="1" t="str">
        <f>"솔샘간 11"</f>
        <v>솔샘간 11</v>
      </c>
      <c r="I15413" s="1" t="s">
        <v>8</v>
      </c>
      <c r="J15413" s="1" t="str">
        <f>"18/18"</f>
        <v>18/18</v>
      </c>
      <c r="K15413" s="1" t="str">
        <f>"2026-07-29 13:18:03"</f>
        <v>2026-07-29 13:18:03</v>
      </c>
      <c r="L15413" s="1" t="str">
        <f>"2019-11-06 18:33:04"</f>
        <v>2019-11-06 18:33:04</v>
      </c>
      <c r="M15413" s="1" t="s">
        <v>45</v>
      </c>
      <c r="N15413" s="1" t="s">
        <v>38</v>
      </c>
      <c r="O15413" s="1" t="s">
        <v>46</v>
      </c>
    </row>
    <row r="15414" spans="2:15" x14ac:dyDescent="0.3">
      <c r="B15414" s="1" t="s">
        <v>19</v>
      </c>
      <c r="C15414" s="1" t="str">
        <f>"4차"</f>
        <v>4차</v>
      </c>
      <c r="D15414" s="1" t="str">
        <f>"0129E18244"</f>
        <v>0129E18244</v>
      </c>
      <c r="E15414" s="1" t="s">
        <v>10</v>
      </c>
      <c r="F15414" s="1" t="str">
        <f>"10.107.250.89"</f>
        <v>10.107.250.89</v>
      </c>
      <c r="G15414" s="1" t="str">
        <f>"0129E182"</f>
        <v>0129E182</v>
      </c>
      <c r="H15414" s="1" t="str">
        <f>"신일간 11L5"</f>
        <v>신일간 11L5</v>
      </c>
      <c r="I15414" s="1" t="s">
        <v>8</v>
      </c>
      <c r="J15414" s="1" t="str">
        <f>"20/20"</f>
        <v>20/20</v>
      </c>
      <c r="K15414" s="1" t="str">
        <f>"2026-07-29 13:18:03"</f>
        <v>2026-07-29 13:18:03</v>
      </c>
      <c r="L15414" s="1" t="str">
        <f>"2019-11-12 20:13:29"</f>
        <v>2019-11-12 20:13:29</v>
      </c>
      <c r="M15414" s="1" t="s">
        <v>45</v>
      </c>
      <c r="N15414" s="1" t="s">
        <v>38</v>
      </c>
      <c r="O15414" s="1" t="s">
        <v>46</v>
      </c>
    </row>
    <row r="15415" spans="2:15" x14ac:dyDescent="0.3">
      <c r="B15415" s="1" t="s">
        <v>19</v>
      </c>
      <c r="C15415" s="1" t="str">
        <f>"4차"</f>
        <v>4차</v>
      </c>
      <c r="D15415" s="1" t="str">
        <f>"0129E19139"</f>
        <v>0129E19139</v>
      </c>
      <c r="E15415" s="1" t="s">
        <v>10</v>
      </c>
      <c r="F15415" s="1" t="str">
        <f>"10.12.135.218"</f>
        <v>10.12.135.218</v>
      </c>
      <c r="G15415" s="1" t="str">
        <f>"0129E191"</f>
        <v>0129E191</v>
      </c>
      <c r="H15415" s="1" t="str">
        <f>"신일간 11L6"</f>
        <v>신일간 11L6</v>
      </c>
      <c r="I15415" s="1" t="s">
        <v>8</v>
      </c>
      <c r="J15415" s="1" t="str">
        <f>"42/42"</f>
        <v>42/42</v>
      </c>
      <c r="K15415" s="1" t="str">
        <f>"2026-07-29 13:18:02"</f>
        <v>2026-07-29 13:18:02</v>
      </c>
      <c r="L15415" s="1" t="str">
        <f>"2018-04-26 15:13:45"</f>
        <v>2018-04-26 15:13:45</v>
      </c>
      <c r="M15415" s="1" t="s">
        <v>0</v>
      </c>
      <c r="N15415" s="1" t="s">
        <v>38</v>
      </c>
      <c r="O15415" s="1" t="s">
        <v>46</v>
      </c>
    </row>
    <row r="15416" spans="2:15" x14ac:dyDescent="0.3">
      <c r="B15416" s="1" t="s">
        <v>19</v>
      </c>
      <c r="C15416" s="1" t="str">
        <f>"5-1차"</f>
        <v>5-1차</v>
      </c>
      <c r="D15416" s="1" t="str">
        <f>"0129E2035M"</f>
        <v>0129E2035M</v>
      </c>
      <c r="E15416" s="1" t="s">
        <v>10</v>
      </c>
      <c r="F15416" s="1" t="str">
        <f>"fde3:102:1410:1400:0:0:0:2"</f>
        <v>fde3:102:1410:1400:0:0:0:2</v>
      </c>
      <c r="G15416" s="1" t="str">
        <f>"0129E203"</f>
        <v>0129E203</v>
      </c>
      <c r="H15416" s="1" t="str">
        <f>"솔샘간 17R1"</f>
        <v>솔샘간 17R1</v>
      </c>
      <c r="I15416" s="1" t="s">
        <v>15</v>
      </c>
      <c r="J15416" s="1" t="str">
        <f>"28/28"</f>
        <v>28/28</v>
      </c>
      <c r="K15416" s="1" t="str">
        <f>"2026-07-29 14:20:22"</f>
        <v>2026-07-29 14:20:22</v>
      </c>
      <c r="L15416" s="1" t="str">
        <f>"2024-02-16 17:31:13"</f>
        <v>2024-02-16 17:31:13</v>
      </c>
      <c r="M15416" s="1" t="s">
        <v>45</v>
      </c>
      <c r="N15416" s="1" t="s">
        <v>38</v>
      </c>
      <c r="O15416" s="1" t="s">
        <v>46</v>
      </c>
    </row>
    <row r="15417" spans="2:15" x14ac:dyDescent="0.3">
      <c r="B15417" s="1" t="s">
        <v>19</v>
      </c>
      <c r="C15417" s="1" t="str">
        <f>"4차"</f>
        <v>4차</v>
      </c>
      <c r="D15417" s="1" t="str">
        <f>"0129E24439"</f>
        <v>0129E24439</v>
      </c>
      <c r="E15417" s="1" t="s">
        <v>10</v>
      </c>
      <c r="F15417" s="1" t="str">
        <f>"10.12.137.172"</f>
        <v>10.12.137.172</v>
      </c>
      <c r="G15417" s="1" t="str">
        <f>"0129E244"</f>
        <v>0129E244</v>
      </c>
      <c r="H15417" s="1" t="str">
        <f>"신일 7T1"</f>
        <v>신일 7T1</v>
      </c>
      <c r="I15417" s="1" t="s">
        <v>17</v>
      </c>
      <c r="J15417" s="1" t="str">
        <f>"96/98"</f>
        <v>96/98</v>
      </c>
      <c r="K15417" s="1" t="str">
        <f>"2026-07-29 13:18:01"</f>
        <v>2026-07-29 13:18:01</v>
      </c>
      <c r="L15417" s="1" t="str">
        <f>"2018-05-29 12:18:28"</f>
        <v>2018-05-29 12:18:28</v>
      </c>
      <c r="M15417" s="1" t="s">
        <v>0</v>
      </c>
      <c r="N15417" s="1" t="s">
        <v>38</v>
      </c>
      <c r="O15417" s="1" t="s">
        <v>46</v>
      </c>
    </row>
    <row r="15418" spans="2:15" x14ac:dyDescent="0.3">
      <c r="B15418" s="1" t="s">
        <v>19</v>
      </c>
      <c r="C15418" s="1" t="str">
        <f>"5-1차"</f>
        <v>5-1차</v>
      </c>
      <c r="D15418" s="1" t="str">
        <f>"0129E3415M"</f>
        <v>0129E3415M</v>
      </c>
      <c r="E15418" s="1" t="s">
        <v>10</v>
      </c>
      <c r="F15418" s="1" t="str">
        <f>"10.14.15.186"</f>
        <v>10.14.15.186</v>
      </c>
      <c r="G15418" s="1" t="str">
        <f>"0129E341"</f>
        <v>0129E341</v>
      </c>
      <c r="H15418" s="1" t="str">
        <f>"신일간 3L7R13"</f>
        <v>신일간 3L7R13</v>
      </c>
      <c r="I15418" s="1" t="s">
        <v>15</v>
      </c>
      <c r="J15418" s="1" t="str">
        <f>"39/39"</f>
        <v>39/39</v>
      </c>
      <c r="K15418" s="1" t="str">
        <f>"2026-07-29 14:20:22"</f>
        <v>2026-07-29 14:20:22</v>
      </c>
      <c r="L15418" s="1" t="str">
        <f>"2022-01-25 11:14:57"</f>
        <v>2022-01-25 11:14:57</v>
      </c>
      <c r="M15418" s="1" t="s">
        <v>3</v>
      </c>
      <c r="N15418" s="1" t="s">
        <v>38</v>
      </c>
      <c r="O15418" s="1" t="s">
        <v>46</v>
      </c>
    </row>
    <row r="15419" spans="2:15" x14ac:dyDescent="0.3">
      <c r="B15419" s="1" t="s">
        <v>19</v>
      </c>
      <c r="C15419" s="1" t="str">
        <f>"3차"</f>
        <v>3차</v>
      </c>
      <c r="D15419" s="1" t="str">
        <f>"0129E36139"</f>
        <v>0129E36139</v>
      </c>
      <c r="E15419" s="1" t="s">
        <v>10</v>
      </c>
      <c r="F15419" s="1" t="str">
        <f>"10.12.137.41"</f>
        <v>10.12.137.41</v>
      </c>
      <c r="G15419" s="1" t="str">
        <f>"0129E361"</f>
        <v>0129E361</v>
      </c>
      <c r="H15419" s="1" t="str">
        <f>"신일간 3L7R12R2"</f>
        <v>신일간 3L7R12R2</v>
      </c>
      <c r="I15419" s="1" t="s">
        <v>8</v>
      </c>
      <c r="J15419" s="1" t="str">
        <f>"87/87"</f>
        <v>87/87</v>
      </c>
      <c r="K15419" s="1" t="str">
        <f>"2026-07-29 13:18:01"</f>
        <v>2026-07-29 13:18:01</v>
      </c>
      <c r="L15419" s="1" t="str">
        <f>"2018-09-13 10:56:54"</f>
        <v>2018-09-13 10:56:54</v>
      </c>
      <c r="M15419" s="1" t="s">
        <v>0</v>
      </c>
      <c r="N15419" s="1" t="s">
        <v>38</v>
      </c>
      <c r="O15419" s="1" t="s">
        <v>46</v>
      </c>
    </row>
    <row r="15420" spans="2:15" x14ac:dyDescent="0.3">
      <c r="B15420" s="1" t="s">
        <v>19</v>
      </c>
      <c r="C15420" s="1" t="str">
        <f>"4차"</f>
        <v>4차</v>
      </c>
      <c r="D15420" s="1" t="str">
        <f>"0129E37139"</f>
        <v>0129E37139</v>
      </c>
      <c r="E15420" s="1" t="s">
        <v>10</v>
      </c>
      <c r="F15420" s="1" t="str">
        <f>"10.12.128.62"</f>
        <v>10.12.128.62</v>
      </c>
      <c r="G15420" s="1" t="str">
        <f>"0129E371"</f>
        <v>0129E371</v>
      </c>
      <c r="H15420" s="1" t="str">
        <f>"신일간 3L7R12R4"</f>
        <v>신일간 3L7R12R4</v>
      </c>
      <c r="I15420" s="1" t="s">
        <v>8</v>
      </c>
      <c r="J15420" s="1" t="str">
        <f>"43/49"</f>
        <v>43/49</v>
      </c>
      <c r="K15420" s="1" t="str">
        <f>"2026-07-29 13:18:03"</f>
        <v>2026-07-29 13:18:03</v>
      </c>
      <c r="L15420" s="1" t="str">
        <f>"2018-04-26 11:12:28"</f>
        <v>2018-04-26 11:12:28</v>
      </c>
      <c r="M15420" s="1" t="s">
        <v>0</v>
      </c>
      <c r="N15420" s="1" t="s">
        <v>38</v>
      </c>
      <c r="O15420" s="1" t="s">
        <v>46</v>
      </c>
    </row>
    <row r="15421" spans="2:15" x14ac:dyDescent="0.3">
      <c r="B15421" s="1" t="s">
        <v>19</v>
      </c>
      <c r="C15421" s="1" t="str">
        <f>"4차"</f>
        <v>4차</v>
      </c>
      <c r="D15421" s="1" t="str">
        <f>"0129E37239"</f>
        <v>0129E37239</v>
      </c>
      <c r="E15421" s="1" t="s">
        <v>10</v>
      </c>
      <c r="F15421" s="1" t="str">
        <f>"10.12.136.172"</f>
        <v>10.12.136.172</v>
      </c>
      <c r="G15421" s="1" t="str">
        <f>"0129E372"</f>
        <v>0129E372</v>
      </c>
      <c r="H15421" s="1" t="str">
        <f>"신일간 3L7R12R3"</f>
        <v>신일간 3L7R12R3</v>
      </c>
      <c r="I15421" s="1" t="s">
        <v>8</v>
      </c>
      <c r="J15421" s="1" t="str">
        <f>"47/61"</f>
        <v>47/61</v>
      </c>
      <c r="K15421" s="1" t="str">
        <f>"2026-07-29 13:18:01"</f>
        <v>2026-07-29 13:18:01</v>
      </c>
      <c r="L15421" s="1" t="str">
        <f>"2018-09-13 10:26:09"</f>
        <v>2018-09-13 10:26:09</v>
      </c>
      <c r="M15421" s="1" t="s">
        <v>0</v>
      </c>
      <c r="N15421" s="1" t="s">
        <v>38</v>
      </c>
      <c r="O15421" s="1" t="s">
        <v>46</v>
      </c>
    </row>
    <row r="15422" spans="2:15" x14ac:dyDescent="0.3">
      <c r="B15422" s="1" t="s">
        <v>19</v>
      </c>
      <c r="C15422" s="1" t="str">
        <f>"5-2차"</f>
        <v>5-2차</v>
      </c>
      <c r="D15422" s="1" t="str">
        <f>"0129E3815S"</f>
        <v>0129E3815S</v>
      </c>
      <c r="E15422" s="1" t="s">
        <v>10</v>
      </c>
      <c r="F15422" s="1" t="str">
        <f>"fde1:103:4:6e96:0:0:0:2"</f>
        <v>fde1:103:4:6e96:0:0:0:2</v>
      </c>
      <c r="G15422" s="1" t="str">
        <f>"0129E381"</f>
        <v>0129E381</v>
      </c>
      <c r="H15422" s="1" t="str">
        <f>"신일간 3L5R3"</f>
        <v>신일간 3L5R3</v>
      </c>
      <c r="I15422" s="1" t="s">
        <v>15</v>
      </c>
      <c r="J15422" s="1" t="str">
        <f>"45/45"</f>
        <v>45/45</v>
      </c>
      <c r="K15422" s="1" t="str">
        <f>"2026-07-29 14:20:22"</f>
        <v>2026-07-29 14:20:22</v>
      </c>
      <c r="L15422" s="1" t="str">
        <f>"2023-11-10 15:45:51"</f>
        <v>2023-11-10 15:45:51</v>
      </c>
      <c r="M15422" s="1" t="s">
        <v>4</v>
      </c>
      <c r="N15422" s="1" t="s">
        <v>38</v>
      </c>
      <c r="O15422" s="1" t="s">
        <v>46</v>
      </c>
    </row>
    <row r="15423" spans="2:15" x14ac:dyDescent="0.3">
      <c r="B15423" s="1" t="s">
        <v>19</v>
      </c>
      <c r="C15423" s="1" t="str">
        <f>"4차"</f>
        <v>4차</v>
      </c>
      <c r="D15423" s="1" t="str">
        <f>"0129E39244"</f>
        <v>0129E39244</v>
      </c>
      <c r="E15423" s="1" t="s">
        <v>10</v>
      </c>
      <c r="F15423" s="1" t="str">
        <f>"10.107.121.197"</f>
        <v>10.107.121.197</v>
      </c>
      <c r="G15423" s="1" t="str">
        <f>"0129E392"</f>
        <v>0129E392</v>
      </c>
      <c r="H15423" s="1" t="str">
        <f>"신일간 3L5R2"</f>
        <v>신일간 3L5R2</v>
      </c>
      <c r="I15423" s="1" t="s">
        <v>8</v>
      </c>
      <c r="J15423" s="1" t="str">
        <f>"36/36"</f>
        <v>36/36</v>
      </c>
      <c r="K15423" s="1" t="str">
        <f>"2026-07-29 13:18:03"</f>
        <v>2026-07-29 13:18:03</v>
      </c>
      <c r="L15423" s="1" t="str">
        <f>"2019-11-12 20:15:24"</f>
        <v>2019-11-12 20:15:24</v>
      </c>
      <c r="M15423" s="1" t="s">
        <v>45</v>
      </c>
      <c r="N15423" s="1" t="s">
        <v>38</v>
      </c>
      <c r="O15423" s="1" t="s">
        <v>46</v>
      </c>
    </row>
    <row r="15424" spans="2:15" x14ac:dyDescent="0.3">
      <c r="B15424" s="1" t="s">
        <v>19</v>
      </c>
      <c r="C15424" s="1" t="str">
        <f>"4차"</f>
        <v>4차</v>
      </c>
      <c r="D15424" s="1" t="str">
        <f>"0129E45144"</f>
        <v>0129E45144</v>
      </c>
      <c r="E15424" s="1" t="s">
        <v>10</v>
      </c>
      <c r="F15424" s="1" t="str">
        <f>"10.107.121.196"</f>
        <v>10.107.121.196</v>
      </c>
      <c r="G15424" s="1" t="str">
        <f>"0129E451"</f>
        <v>0129E451</v>
      </c>
      <c r="H15424" s="1" t="str">
        <f>"신일간 3L7R10"</f>
        <v>신일간 3L7R10</v>
      </c>
      <c r="I15424" s="1" t="s">
        <v>8</v>
      </c>
      <c r="J15424" s="1" t="str">
        <f>"56/56"</f>
        <v>56/56</v>
      </c>
      <c r="K15424" s="1" t="str">
        <f>"2026-07-29 13:18:03"</f>
        <v>2026-07-29 13:18:03</v>
      </c>
      <c r="L15424" s="1" t="str">
        <f>"2019-11-14 11:15:21"</f>
        <v>2019-11-14 11:15:21</v>
      </c>
      <c r="M15424" s="1" t="s">
        <v>45</v>
      </c>
      <c r="N15424" s="1" t="s">
        <v>38</v>
      </c>
      <c r="O15424" s="1" t="s">
        <v>46</v>
      </c>
    </row>
    <row r="15425" spans="2:15" x14ac:dyDescent="0.3">
      <c r="B15425" s="1" t="s">
        <v>19</v>
      </c>
      <c r="C15425" s="1" t="str">
        <f>"5-1차"</f>
        <v>5-1차</v>
      </c>
      <c r="D15425" s="1" t="str">
        <f>"0129E4525M"</f>
        <v>0129E4525M</v>
      </c>
      <c r="E15425" s="1" t="s">
        <v>10</v>
      </c>
      <c r="F15425" s="1" t="str">
        <f>"fde2:104:0:2e:0:0:0:2"</f>
        <v>fde2:104:0:2e:0:0:0:2</v>
      </c>
      <c r="G15425" s="1" t="str">
        <f>"0129E452"</f>
        <v>0129E452</v>
      </c>
      <c r="H15425" s="1" t="str">
        <f>"신일간 3L7R11"</f>
        <v>신일간 3L7R11</v>
      </c>
      <c r="I15425" s="1" t="s">
        <v>15</v>
      </c>
      <c r="J15425" s="1" t="str">
        <f>"26/26"</f>
        <v>26/26</v>
      </c>
      <c r="K15425" s="1" t="str">
        <f>"2026-07-29 14:20:23"</f>
        <v>2026-07-29 14:20:23</v>
      </c>
      <c r="L15425" s="1" t="str">
        <f>"2022-08-23 15:19:12"</f>
        <v>2022-08-23 15:19:12</v>
      </c>
      <c r="M15425" s="1" t="s">
        <v>42</v>
      </c>
      <c r="N15425" s="1" t="s">
        <v>38</v>
      </c>
      <c r="O15425" s="1" t="s">
        <v>46</v>
      </c>
    </row>
    <row r="15426" spans="2:15" x14ac:dyDescent="0.3">
      <c r="B15426" s="1" t="s">
        <v>19</v>
      </c>
      <c r="C15426" s="1" t="str">
        <f>"4차"</f>
        <v>4차</v>
      </c>
      <c r="D15426" s="1" t="str">
        <f>"0129E46344"</f>
        <v>0129E46344</v>
      </c>
      <c r="E15426" s="1" t="s">
        <v>10</v>
      </c>
      <c r="F15426" s="1" t="str">
        <f>"10.107.121.195"</f>
        <v>10.107.121.195</v>
      </c>
      <c r="G15426" s="1" t="str">
        <f>"0129E463"</f>
        <v>0129E463</v>
      </c>
      <c r="H15426" s="1" t="str">
        <f>"신일간 3L5R7"</f>
        <v>신일간 3L5R7</v>
      </c>
      <c r="I15426" s="1" t="s">
        <v>8</v>
      </c>
      <c r="J15426" s="1" t="str">
        <f>"37/37"</f>
        <v>37/37</v>
      </c>
      <c r="K15426" s="1" t="str">
        <f>"2026-07-29 13:18:03"</f>
        <v>2026-07-29 13:18:03</v>
      </c>
      <c r="L15426" s="1" t="str">
        <f>"2019-11-14 11:19:20"</f>
        <v>2019-11-14 11:19:20</v>
      </c>
      <c r="M15426" s="1" t="s">
        <v>45</v>
      </c>
      <c r="N15426" s="1" t="s">
        <v>38</v>
      </c>
      <c r="O15426" s="1" t="s">
        <v>46</v>
      </c>
    </row>
    <row r="15427" spans="2:15" x14ac:dyDescent="0.3">
      <c r="B15427" s="1" t="s">
        <v>19</v>
      </c>
      <c r="C15427" s="1" t="str">
        <f>"4차"</f>
        <v>4차</v>
      </c>
      <c r="D15427" s="1" t="str">
        <f>"0129E47144"</f>
        <v>0129E47144</v>
      </c>
      <c r="E15427" s="1" t="s">
        <v>10</v>
      </c>
      <c r="F15427" s="1" t="str">
        <f>"10.107.121.194"</f>
        <v>10.107.121.194</v>
      </c>
      <c r="G15427" s="1" t="str">
        <f>"0129E471"</f>
        <v>0129E471</v>
      </c>
      <c r="H15427" s="1" t="str">
        <f>"신일간 3L5R5"</f>
        <v>신일간 3L5R5</v>
      </c>
      <c r="I15427" s="1" t="s">
        <v>8</v>
      </c>
      <c r="J15427" s="1" t="str">
        <f>"2/2"</f>
        <v>2/2</v>
      </c>
      <c r="K15427" s="1" t="str">
        <f>"2026-07-29 13:18:01"</f>
        <v>2026-07-29 13:18:01</v>
      </c>
      <c r="L15427" s="1" t="str">
        <f>"2019-11-14 11:31:36"</f>
        <v>2019-11-14 11:31:36</v>
      </c>
      <c r="M15427" s="1" t="s">
        <v>45</v>
      </c>
      <c r="N15427" s="1" t="s">
        <v>38</v>
      </c>
      <c r="O15427" s="1" t="s">
        <v>46</v>
      </c>
    </row>
    <row r="15428" spans="2:15" x14ac:dyDescent="0.3">
      <c r="B15428" s="1" t="s">
        <v>19</v>
      </c>
      <c r="C15428" s="1" t="str">
        <f>"4차"</f>
        <v>4차</v>
      </c>
      <c r="D15428" s="1" t="str">
        <f>"0129E49144"</f>
        <v>0129E49144</v>
      </c>
      <c r="E15428" s="1" t="s">
        <v>10</v>
      </c>
      <c r="F15428" s="1" t="str">
        <f>"10.107.121.198"</f>
        <v>10.107.121.198</v>
      </c>
      <c r="G15428" s="1" t="str">
        <f>"0129E491"</f>
        <v>0129E491</v>
      </c>
      <c r="H15428" s="1" t="str">
        <f>"신일간 3L7R2R1"</f>
        <v>신일간 3L7R2R1</v>
      </c>
      <c r="I15428" s="1" t="s">
        <v>8</v>
      </c>
      <c r="J15428" s="1" t="str">
        <f>"45/51"</f>
        <v>45/51</v>
      </c>
      <c r="K15428" s="1" t="str">
        <f>"2026-07-29 13:18:01"</f>
        <v>2026-07-29 13:18:01</v>
      </c>
      <c r="L15428" s="1" t="str">
        <f>"2019-11-12 20:16:16"</f>
        <v>2019-11-12 20:16:16</v>
      </c>
      <c r="M15428" s="1" t="s">
        <v>45</v>
      </c>
      <c r="N15428" s="1" t="s">
        <v>38</v>
      </c>
      <c r="O15428" s="1" t="s">
        <v>46</v>
      </c>
    </row>
    <row r="15429" spans="2:15" x14ac:dyDescent="0.3">
      <c r="B15429" s="1" t="s">
        <v>19</v>
      </c>
      <c r="C15429" s="1" t="str">
        <f>"4차"</f>
        <v>4차</v>
      </c>
      <c r="D15429" s="1" t="str">
        <f>"0129E49339"</f>
        <v>0129E49339</v>
      </c>
      <c r="E15429" s="1" t="s">
        <v>10</v>
      </c>
      <c r="F15429" s="1" t="str">
        <f>"10.12.135.205"</f>
        <v>10.12.135.205</v>
      </c>
      <c r="G15429" s="1" t="str">
        <f>"0129E493"</f>
        <v>0129E493</v>
      </c>
      <c r="H15429" s="1" t="str">
        <f>"신일간 3L7R3"</f>
        <v>신일간 3L7R3</v>
      </c>
      <c r="I15429" s="1" t="s">
        <v>8</v>
      </c>
      <c r="J15429" s="1" t="str">
        <f>"14/14"</f>
        <v>14/14</v>
      </c>
      <c r="K15429" s="1" t="str">
        <f>"2026-07-29 13:18:02"</f>
        <v>2026-07-29 13:18:02</v>
      </c>
      <c r="L15429" s="1" t="str">
        <f>"2018-04-26 14:27:43"</f>
        <v>2018-04-26 14:27:43</v>
      </c>
      <c r="M15429" s="1" t="s">
        <v>0</v>
      </c>
      <c r="N15429" s="1" t="s">
        <v>38</v>
      </c>
      <c r="O15429" s="1" t="s">
        <v>46</v>
      </c>
    </row>
    <row r="15430" spans="2:15" x14ac:dyDescent="0.3">
      <c r="B15430" s="1" t="s">
        <v>19</v>
      </c>
      <c r="C15430" s="1" t="str">
        <f>"4차"</f>
        <v>4차</v>
      </c>
      <c r="D15430" s="1" t="str">
        <f>"0129E57845"</f>
        <v>0129E57845</v>
      </c>
      <c r="E15430" s="1" t="str">
        <f>"검침실패(3시간 이상)"</f>
        <v>검침실패(3시간 이상)</v>
      </c>
      <c r="F15430" s="1" t="str">
        <f>"10.14.10.59"</f>
        <v>10.14.10.59</v>
      </c>
      <c r="G15430" s="1" t="str">
        <f>"0129E578"</f>
        <v>0129E578</v>
      </c>
      <c r="H15430" s="1" t="str">
        <f>"신일 2"</f>
        <v>신일 2</v>
      </c>
      <c r="I15430" s="1" t="s">
        <v>17</v>
      </c>
      <c r="J15430" s="1" t="str">
        <f>"0/3"</f>
        <v>0/3</v>
      </c>
      <c r="K15430" s="1" t="str">
        <f>"2026-07-29 13:18:03"</f>
        <v>2026-07-29 13:18:03</v>
      </c>
      <c r="L15430" s="1" t="str">
        <f>"2021-06-28 15:31:17"</f>
        <v>2021-06-28 15:31:17</v>
      </c>
      <c r="M15430" s="1" t="s">
        <v>3</v>
      </c>
      <c r="N15430" s="1" t="s">
        <v>38</v>
      </c>
      <c r="O15430" s="1" t="s">
        <v>46</v>
      </c>
    </row>
    <row r="15431" spans="2:15" x14ac:dyDescent="0.3">
      <c r="B15431" s="1" t="s">
        <v>19</v>
      </c>
      <c r="C15431" s="1" t="str">
        <f>"5-2차"</f>
        <v>5-2차</v>
      </c>
      <c r="D15431" s="1" t="str">
        <f>"0129F3045S"</f>
        <v>0129F3045S</v>
      </c>
      <c r="E15431" s="1" t="s">
        <v>10</v>
      </c>
      <c r="F15431" s="1" t="str">
        <f>"fde3:102:1410:9300:0:0:0:5"</f>
        <v>fde3:102:1410:9300:0:0:0:5</v>
      </c>
      <c r="G15431" s="1" t="str">
        <f>"0129F304"</f>
        <v>0129F304</v>
      </c>
      <c r="H15431" s="1" t="str">
        <f>"신일간 99L11"</f>
        <v>신일간 99L11</v>
      </c>
      <c r="I15431" s="1" t="s">
        <v>15</v>
      </c>
      <c r="J15431" s="1" t="str">
        <f>"37/37"</f>
        <v>37/37</v>
      </c>
      <c r="K15431" s="1" t="str">
        <f>"2026-07-29 14:20:22"</f>
        <v>2026-07-29 14:20:22</v>
      </c>
      <c r="L15431" s="1" t="str">
        <f>"2023-08-09 11:10:32"</f>
        <v>2023-08-09 11:10:32</v>
      </c>
      <c r="M15431" s="1" t="s">
        <v>45</v>
      </c>
      <c r="N15431" s="1" t="s">
        <v>38</v>
      </c>
      <c r="O15431" s="1" t="s">
        <v>46</v>
      </c>
    </row>
    <row r="15432" spans="2:15" x14ac:dyDescent="0.3">
      <c r="B15432" s="1" t="s">
        <v>19</v>
      </c>
      <c r="C15432" s="1" t="str">
        <f>"5-2차"</f>
        <v>5-2차</v>
      </c>
      <c r="D15432" s="1" t="str">
        <f>"0129F4815M"</f>
        <v>0129F4815M</v>
      </c>
      <c r="E15432" s="1" t="s">
        <v>10</v>
      </c>
      <c r="F15432" s="1" t="str">
        <f>"fde1:103:4:6e94:0:0:0:2"</f>
        <v>fde1:103:4:6e94:0:0:0:2</v>
      </c>
      <c r="G15432" s="1" t="str">
        <f>"0129F481"</f>
        <v>0129F481</v>
      </c>
      <c r="H15432" s="1" t="str">
        <f>"번동간 89"</f>
        <v>번동간 89</v>
      </c>
      <c r="I15432" s="1" t="s">
        <v>15</v>
      </c>
      <c r="J15432" s="1" t="str">
        <f>"80/80"</f>
        <v>80/80</v>
      </c>
      <c r="K15432" s="1" t="str">
        <f>"2026-07-29 08:20:23"</f>
        <v>2026-07-29 08:20:23</v>
      </c>
      <c r="L15432" s="1" t="str">
        <f>"2023-11-10 15:21:28"</f>
        <v>2023-11-10 15:21:28</v>
      </c>
      <c r="M15432" s="1" t="s">
        <v>4</v>
      </c>
      <c r="N15432" s="1" t="s">
        <v>38</v>
      </c>
      <c r="O15432" s="1" t="s">
        <v>46</v>
      </c>
    </row>
    <row r="15433" spans="2:15" x14ac:dyDescent="0.3">
      <c r="B15433" s="1" t="s">
        <v>19</v>
      </c>
      <c r="C15433" s="1" t="str">
        <f>"5-2차"</f>
        <v>5-2차</v>
      </c>
      <c r="D15433" s="1" t="str">
        <f>"0129F8815S"</f>
        <v>0129F8815S</v>
      </c>
      <c r="E15433" s="1" t="s">
        <v>10</v>
      </c>
      <c r="F15433" s="1" t="str">
        <f>"fde1:103:4:6e9c:0:0:0:2"</f>
        <v>fde1:103:4:6e9c:0:0:0:2</v>
      </c>
      <c r="G15433" s="1" t="str">
        <f>"0129F881"</f>
        <v>0129F881</v>
      </c>
      <c r="H15433" s="1" t="str">
        <f>"동방지 12R25"</f>
        <v>동방지 12R25</v>
      </c>
      <c r="I15433" s="1" t="s">
        <v>15</v>
      </c>
      <c r="J15433" s="1" t="str">
        <f>"43/43"</f>
        <v>43/43</v>
      </c>
      <c r="K15433" s="1" t="str">
        <f>"2026-07-29 14:20:22"</f>
        <v>2026-07-29 14:20:22</v>
      </c>
      <c r="L15433" s="1" t="str">
        <f>"2023-11-10 13:56:07"</f>
        <v>2023-11-10 13:56:07</v>
      </c>
      <c r="M15433" s="1" t="s">
        <v>4</v>
      </c>
      <c r="N15433" s="1" t="s">
        <v>38</v>
      </c>
      <c r="O15433" s="1" t="s">
        <v>46</v>
      </c>
    </row>
    <row r="15434" spans="2:15" x14ac:dyDescent="0.3">
      <c r="B15434" s="1" t="s">
        <v>19</v>
      </c>
      <c r="C15434" s="1" t="str">
        <f>"5-2차"</f>
        <v>5-2차</v>
      </c>
      <c r="D15434" s="1" t="str">
        <f>"0129F9715S"</f>
        <v>0129F9715S</v>
      </c>
      <c r="E15434" s="1" t="s">
        <v>10</v>
      </c>
      <c r="F15434" s="1" t="str">
        <f>"fde1:103:4:6e9a:0:0:0:2"</f>
        <v>fde1:103:4:6e9a:0:0:0:2</v>
      </c>
      <c r="G15434" s="1" t="str">
        <f>"0129F971"</f>
        <v>0129F971</v>
      </c>
      <c r="H15434" s="1" t="str">
        <f>"동방지 12R19L3"</f>
        <v>동방지 12R19L3</v>
      </c>
      <c r="I15434" s="1" t="s">
        <v>15</v>
      </c>
      <c r="J15434" s="1" t="str">
        <f>"51/51"</f>
        <v>51/51</v>
      </c>
      <c r="K15434" s="1" t="str">
        <f>"2026-07-29 14:20:23"</f>
        <v>2026-07-29 14:20:23</v>
      </c>
      <c r="L15434" s="1" t="str">
        <f>"2023-11-10 14:56:07"</f>
        <v>2023-11-10 14:56:07</v>
      </c>
      <c r="M15434" s="1" t="s">
        <v>4</v>
      </c>
      <c r="N15434" s="1" t="s">
        <v>38</v>
      </c>
      <c r="O15434" s="1" t="s">
        <v>46</v>
      </c>
    </row>
    <row r="15435" spans="2:15" x14ac:dyDescent="0.3">
      <c r="B15435" s="1" t="s">
        <v>19</v>
      </c>
      <c r="C15435" s="1" t="str">
        <f>"6차"</f>
        <v>6차</v>
      </c>
      <c r="D15435" s="1" t="str">
        <f>"0129G0116S"</f>
        <v>0129G0116S</v>
      </c>
      <c r="E15435" s="1" t="s">
        <v>10</v>
      </c>
      <c r="F15435" s="1" t="str">
        <f>"fde1:103:4:93e9:0:0:0:2"</f>
        <v>fde1:103:4:93e9:0:0:0:2</v>
      </c>
      <c r="G15435" s="1" t="str">
        <f>"0129G011"</f>
        <v>0129G011</v>
      </c>
      <c r="H15435" s="1" t="str">
        <f>"수미간 40L13R1L1"</f>
        <v>수미간 40L13R1L1</v>
      </c>
      <c r="I15435" s="1" t="s">
        <v>15</v>
      </c>
      <c r="J15435" s="1" t="str">
        <f>"38/38"</f>
        <v>38/38</v>
      </c>
      <c r="K15435" s="1" t="str">
        <f>"2026-07-29 14:20:22"</f>
        <v>2026-07-29 14:20:22</v>
      </c>
      <c r="L15435" s="1" t="str">
        <f>"2025-02-18 16:08:30"</f>
        <v>2025-02-18 16:08:30</v>
      </c>
      <c r="M15435" s="1" t="s">
        <v>4</v>
      </c>
      <c r="N15435" s="1" t="s">
        <v>38</v>
      </c>
      <c r="O15435" s="1" t="s">
        <v>46</v>
      </c>
    </row>
    <row r="15436" spans="2:15" x14ac:dyDescent="0.3">
      <c r="B15436" s="1" t="s">
        <v>19</v>
      </c>
      <c r="C15436" s="1" t="str">
        <f>"4차"</f>
        <v>4차</v>
      </c>
      <c r="D15436" s="1" t="str">
        <f>"0129G02121"</f>
        <v>0129G02121</v>
      </c>
      <c r="E15436" s="1" t="s">
        <v>10</v>
      </c>
      <c r="F15436" s="1" t="str">
        <f>"10.26.192.51"</f>
        <v>10.26.192.51</v>
      </c>
      <c r="G15436" s="1" t="str">
        <f>"0129G021"</f>
        <v>0129G021</v>
      </c>
      <c r="H15436" s="1" t="str">
        <f>"수미간 40L14"</f>
        <v>수미간 40L14</v>
      </c>
      <c r="I15436" s="1" t="s">
        <v>8</v>
      </c>
      <c r="J15436" s="1" t="str">
        <f>"12/12"</f>
        <v>12/12</v>
      </c>
      <c r="K15436" s="1" t="str">
        <f>"2026-07-29 13:18:02"</f>
        <v>2026-07-29 13:18:02</v>
      </c>
      <c r="L15436" s="1" t="str">
        <f>"2017-07-04 11:44:24"</f>
        <v>2017-07-04 11:44:24</v>
      </c>
      <c r="M15436" s="1" t="s">
        <v>45</v>
      </c>
      <c r="N15436" s="1" t="s">
        <v>38</v>
      </c>
      <c r="O15436" s="1" t="s">
        <v>46</v>
      </c>
    </row>
    <row r="15437" spans="2:15" x14ac:dyDescent="0.3">
      <c r="B15437" s="1" t="s">
        <v>19</v>
      </c>
      <c r="C15437" s="1" t="str">
        <f>"4차"</f>
        <v>4차</v>
      </c>
      <c r="D15437" s="1" t="str">
        <f>"0129G03120"</f>
        <v>0129G03120</v>
      </c>
      <c r="E15437" s="1" t="s">
        <v>10</v>
      </c>
      <c r="F15437" s="1" t="str">
        <f>"10.26.192.50"</f>
        <v>10.26.192.50</v>
      </c>
      <c r="G15437" s="1" t="str">
        <f>"0129G031"</f>
        <v>0129G031</v>
      </c>
      <c r="H15437" s="1" t="str">
        <f>"수미간 40L14L1"</f>
        <v>수미간 40L14L1</v>
      </c>
      <c r="I15437" s="1" t="s">
        <v>8</v>
      </c>
      <c r="J15437" s="1" t="str">
        <f>"63/63"</f>
        <v>63/63</v>
      </c>
      <c r="K15437" s="1" t="str">
        <f>"2026-07-29 13:18:01"</f>
        <v>2026-07-29 13:18:01</v>
      </c>
      <c r="L15437" s="1" t="str">
        <f>"2017-07-04 11:42:38"</f>
        <v>2017-07-04 11:42:38</v>
      </c>
      <c r="M15437" s="1" t="s">
        <v>45</v>
      </c>
      <c r="N15437" s="1" t="s">
        <v>38</v>
      </c>
      <c r="O15437" s="1" t="s">
        <v>46</v>
      </c>
    </row>
    <row r="15438" spans="2:15" x14ac:dyDescent="0.3">
      <c r="B15438" s="1" t="s">
        <v>19</v>
      </c>
      <c r="C15438" s="1" t="str">
        <f>"4차"</f>
        <v>4차</v>
      </c>
      <c r="D15438" s="1" t="str">
        <f>"0129G04122"</f>
        <v>0129G04122</v>
      </c>
      <c r="E15438" s="1" t="s">
        <v>10</v>
      </c>
      <c r="F15438" s="1" t="str">
        <f>"10.26.192.52"</f>
        <v>10.26.192.52</v>
      </c>
      <c r="G15438" s="1" t="str">
        <f>"0129G041"</f>
        <v>0129G041</v>
      </c>
      <c r="H15438" s="1" t="str">
        <f>"수미간 40L14L2"</f>
        <v>수미간 40L14L2</v>
      </c>
      <c r="I15438" s="1" t="s">
        <v>8</v>
      </c>
      <c r="J15438" s="1" t="str">
        <f>"29/29"</f>
        <v>29/29</v>
      </c>
      <c r="K15438" s="1" t="str">
        <f>"2026-07-29 13:18:02"</f>
        <v>2026-07-29 13:18:02</v>
      </c>
      <c r="L15438" s="1" t="str">
        <f>"2017-07-04 13:28:11"</f>
        <v>2017-07-04 13:28:11</v>
      </c>
      <c r="M15438" s="1" t="s">
        <v>45</v>
      </c>
      <c r="N15438" s="1" t="s">
        <v>38</v>
      </c>
      <c r="O15438" s="1" t="s">
        <v>46</v>
      </c>
    </row>
    <row r="15439" spans="2:15" x14ac:dyDescent="0.3">
      <c r="B15439" s="1" t="s">
        <v>19</v>
      </c>
      <c r="C15439" s="1" t="str">
        <f>"6차"</f>
        <v>6차</v>
      </c>
      <c r="D15439" s="1" t="str">
        <f>"0129G0616S"</f>
        <v>0129G0616S</v>
      </c>
      <c r="E15439" s="1" t="s">
        <v>10</v>
      </c>
      <c r="F15439" s="1" t="str">
        <f>"fde1:103:4:c79c:0:0:0:2"</f>
        <v>fde1:103:4:c79c:0:0:0:2</v>
      </c>
      <c r="G15439" s="1" t="str">
        <f>"0129G061"</f>
        <v>0129G061</v>
      </c>
      <c r="H15439" s="1" t="str">
        <f>"솔샘간 17R4L4"</f>
        <v>솔샘간 17R4L4</v>
      </c>
      <c r="I15439" s="1" t="s">
        <v>15</v>
      </c>
      <c r="J15439" s="1" t="str">
        <f>"53/53"</f>
        <v>53/53</v>
      </c>
      <c r="K15439" s="1" t="str">
        <f>"2026-07-29 14:20:01"</f>
        <v>2026-07-29 14:20:01</v>
      </c>
      <c r="L15439" s="1" t="str">
        <f>"2024-12-11 17:03:12"</f>
        <v>2024-12-11 17:03:12</v>
      </c>
      <c r="M15439" s="1" t="s">
        <v>4</v>
      </c>
      <c r="N15439" s="1" t="s">
        <v>38</v>
      </c>
      <c r="O15439" s="1" t="s">
        <v>46</v>
      </c>
    </row>
    <row r="15440" spans="2:15" x14ac:dyDescent="0.3">
      <c r="B15440" s="1" t="s">
        <v>19</v>
      </c>
      <c r="C15440" s="1" t="str">
        <f>"6차"</f>
        <v>6차</v>
      </c>
      <c r="D15440" s="1" t="str">
        <f>"0129G0716S"</f>
        <v>0129G0716S</v>
      </c>
      <c r="E15440" s="1" t="s">
        <v>10</v>
      </c>
      <c r="F15440" s="1" t="str">
        <f>"fde1:103:4:c5ed:0:0:0:2"</f>
        <v>fde1:103:4:c5ed:0:0:0:2</v>
      </c>
      <c r="G15440" s="1" t="str">
        <f>"0129G071"</f>
        <v>0129G071</v>
      </c>
      <c r="H15440" s="1" t="str">
        <f>"솔샘간 17R4L3"</f>
        <v>솔샘간 17R4L3</v>
      </c>
      <c r="I15440" s="1" t="s">
        <v>15</v>
      </c>
      <c r="J15440" s="1" t="str">
        <f>"55/55"</f>
        <v>55/55</v>
      </c>
      <c r="K15440" s="1" t="str">
        <f>"2026-07-29 14:20:50"</f>
        <v>2026-07-29 14:20:50</v>
      </c>
      <c r="L15440" s="1" t="str">
        <f>"2024-11-12 15:04:39"</f>
        <v>2024-11-12 15:04:39</v>
      </c>
      <c r="M15440" s="1" t="s">
        <v>4</v>
      </c>
      <c r="N15440" s="1" t="s">
        <v>38</v>
      </c>
      <c r="O15440" s="1" t="s">
        <v>46</v>
      </c>
    </row>
    <row r="15441" spans="2:15" x14ac:dyDescent="0.3">
      <c r="B15441" s="1" t="s">
        <v>19</v>
      </c>
      <c r="C15441" s="1" t="str">
        <f>"6차"</f>
        <v>6차</v>
      </c>
      <c r="D15441" s="1" t="str">
        <f>"0129G0916S"</f>
        <v>0129G0916S</v>
      </c>
      <c r="E15441" s="1" t="s">
        <v>10</v>
      </c>
      <c r="F15441" s="1" t="str">
        <f>"fde1:103:4:c5df:0:0:0:2"</f>
        <v>fde1:103:4:c5df:0:0:0:2</v>
      </c>
      <c r="G15441" s="1" t="str">
        <f>"0129G091"</f>
        <v>0129G091</v>
      </c>
      <c r="H15441" s="1" t="str">
        <f>"솔샘간 17R3"</f>
        <v>솔샘간 17R3</v>
      </c>
      <c r="I15441" s="1" t="s">
        <v>15</v>
      </c>
      <c r="J15441" s="1" t="str">
        <f>"24/27"</f>
        <v>24/27</v>
      </c>
      <c r="K15441" s="1" t="str">
        <f>"2026-07-29 14:20:23"</f>
        <v>2026-07-29 14:20:23</v>
      </c>
      <c r="L15441" s="1" t="str">
        <f>"2024-11-12 15:04:00"</f>
        <v>2024-11-12 15:04:00</v>
      </c>
      <c r="M15441" s="1" t="s">
        <v>4</v>
      </c>
      <c r="N15441" s="1" t="s">
        <v>38</v>
      </c>
      <c r="O15441" s="1" t="s">
        <v>46</v>
      </c>
    </row>
    <row r="15442" spans="2:15" x14ac:dyDescent="0.3">
      <c r="B15442" s="1" t="s">
        <v>19</v>
      </c>
      <c r="C15442" s="1" t="str">
        <f>"6차"</f>
        <v>6차</v>
      </c>
      <c r="D15442" s="1" t="str">
        <f>"0129G1016S"</f>
        <v>0129G1016S</v>
      </c>
      <c r="E15442" s="1" t="s">
        <v>10</v>
      </c>
      <c r="F15442" s="1" t="str">
        <f>"fde1:103:4:c648:0:0:0:2"</f>
        <v>fde1:103:4:c648:0:0:0:2</v>
      </c>
      <c r="G15442" s="1" t="str">
        <f>"0129G101"</f>
        <v>0129G101</v>
      </c>
      <c r="H15442" s="1" t="str">
        <f>"솔샘간 29R5B1"</f>
        <v>솔샘간 29R5B1</v>
      </c>
      <c r="I15442" s="1" t="s">
        <v>15</v>
      </c>
      <c r="J15442" s="1" t="str">
        <f>"86/86"</f>
        <v>86/86</v>
      </c>
      <c r="K15442" s="1" t="str">
        <f>"2026-07-29 14:20:28"</f>
        <v>2026-07-29 14:20:28</v>
      </c>
      <c r="L15442" s="1" t="str">
        <f>"2024-11-13 15:15:06"</f>
        <v>2024-11-13 15:15:06</v>
      </c>
      <c r="M15442" s="1" t="s">
        <v>4</v>
      </c>
      <c r="N15442" s="1" t="s">
        <v>38</v>
      </c>
      <c r="O15442" s="1" t="s">
        <v>46</v>
      </c>
    </row>
    <row r="15443" spans="2:15" x14ac:dyDescent="0.3">
      <c r="B15443" s="1" t="s">
        <v>19</v>
      </c>
      <c r="C15443" s="1" t="str">
        <f>"6차"</f>
        <v>6차</v>
      </c>
      <c r="D15443" s="1" t="str">
        <f>"0129G1236S"</f>
        <v>0129G1236S</v>
      </c>
      <c r="E15443" s="1" t="s">
        <v>10</v>
      </c>
      <c r="F15443" s="1" t="str">
        <f>"fde1:103:4:c71b:0:0:0:2"</f>
        <v>fde1:103:4:c71b:0:0:0:2</v>
      </c>
      <c r="G15443" s="1" t="str">
        <f>"0129G123"</f>
        <v>0129G123</v>
      </c>
      <c r="H15443" s="1" t="str">
        <f>"수미간 40L13R1L2"</f>
        <v>수미간 40L13R1L2</v>
      </c>
      <c r="I15443" s="1" t="s">
        <v>15</v>
      </c>
      <c r="J15443" s="1" t="str">
        <f>"66/67"</f>
        <v>66/67</v>
      </c>
      <c r="K15443" s="1" t="str">
        <f>"2026-07-29 14:20:24"</f>
        <v>2026-07-29 14:20:24</v>
      </c>
      <c r="L15443" s="1" t="str">
        <f>"2024-12-11 15:53:22"</f>
        <v>2024-12-11 15:53:22</v>
      </c>
      <c r="M15443" s="1" t="s">
        <v>4</v>
      </c>
      <c r="N15443" s="1" t="s">
        <v>38</v>
      </c>
      <c r="O15443" s="1" t="s">
        <v>46</v>
      </c>
    </row>
    <row r="15444" spans="2:15" x14ac:dyDescent="0.3">
      <c r="B15444" s="1" t="s">
        <v>19</v>
      </c>
      <c r="C15444" s="1" t="str">
        <f>"5-2차"</f>
        <v>5-2차</v>
      </c>
      <c r="D15444" s="1" t="str">
        <f>"0129G1315M"</f>
        <v>0129G1315M</v>
      </c>
      <c r="E15444" s="1" t="s">
        <v>10</v>
      </c>
      <c r="F15444" s="1" t="str">
        <f>"fde1:103:4:6e9b:0:0:0:2"</f>
        <v>fde1:103:4:6e9b:0:0:0:2</v>
      </c>
      <c r="G15444" s="1" t="str">
        <f>"0129G131"</f>
        <v>0129G131</v>
      </c>
      <c r="H15444" s="1" t="str">
        <f>"수미간 40L15"</f>
        <v>수미간 40L15</v>
      </c>
      <c r="I15444" s="1" t="s">
        <v>15</v>
      </c>
      <c r="J15444" s="1" t="str">
        <f>"31/31"</f>
        <v>31/31</v>
      </c>
      <c r="K15444" s="1" t="str">
        <f>"2026-07-29 14:20:23"</f>
        <v>2026-07-29 14:20:23</v>
      </c>
      <c r="L15444" s="1" t="str">
        <f>"2023-11-10 14:00:22"</f>
        <v>2023-11-10 14:00:22</v>
      </c>
      <c r="M15444" s="1" t="s">
        <v>4</v>
      </c>
      <c r="N15444" s="1" t="s">
        <v>38</v>
      </c>
      <c r="O15444" s="1" t="s">
        <v>46</v>
      </c>
    </row>
    <row r="15445" spans="2:15" x14ac:dyDescent="0.3">
      <c r="B15445" s="1" t="s">
        <v>19</v>
      </c>
      <c r="C15445" s="1" t="str">
        <f>"5-2차"</f>
        <v>5-2차</v>
      </c>
      <c r="D15445" s="1" t="str">
        <f>"0129G1435M"</f>
        <v>0129G1435M</v>
      </c>
      <c r="E15445" s="1" t="s">
        <v>10</v>
      </c>
      <c r="F15445" s="1" t="str">
        <f>"fde3:102:1410:1400:0:0:0:f"</f>
        <v>fde3:102:1410:1400:0:0:0:f</v>
      </c>
      <c r="G15445" s="1" t="str">
        <f>"0129G143"</f>
        <v>0129G143</v>
      </c>
      <c r="H15445" s="1" t="str">
        <f>"수미간 40L15L1"</f>
        <v>수미간 40L15L1</v>
      </c>
      <c r="I15445" s="1" t="s">
        <v>15</v>
      </c>
      <c r="J15445" s="1" t="str">
        <f>"30/31"</f>
        <v>30/31</v>
      </c>
      <c r="K15445" s="1" t="str">
        <f>"2026-07-29 14:20:33"</f>
        <v>2026-07-29 14:20:33</v>
      </c>
      <c r="L15445" s="1" t="str">
        <f>"2023-08-04 11:52:13"</f>
        <v>2023-08-04 11:52:13</v>
      </c>
      <c r="M15445" s="1" t="s">
        <v>45</v>
      </c>
      <c r="N15445" s="1" t="s">
        <v>38</v>
      </c>
      <c r="O15445" s="1" t="s">
        <v>46</v>
      </c>
    </row>
    <row r="15446" spans="2:15" x14ac:dyDescent="0.3">
      <c r="B15446" s="1" t="s">
        <v>19</v>
      </c>
      <c r="C15446" s="1" t="str">
        <f>"6차"</f>
        <v>6차</v>
      </c>
      <c r="D15446" s="1" t="str">
        <f>"0129G1616S"</f>
        <v>0129G1616S</v>
      </c>
      <c r="E15446" s="1" t="s">
        <v>10</v>
      </c>
      <c r="F15446" s="1" t="str">
        <f>"fde1:103:4:91b6:0:0:0:2"</f>
        <v>fde1:103:4:91b6:0:0:0:2</v>
      </c>
      <c r="G15446" s="1" t="str">
        <f>"0129G161"</f>
        <v>0129G161</v>
      </c>
      <c r="H15446" s="1" t="str">
        <f>"솔샘간 17R4L5"</f>
        <v>솔샘간 17R4L5</v>
      </c>
      <c r="I15446" s="1" t="s">
        <v>15</v>
      </c>
      <c r="J15446" s="1" t="str">
        <f>"81/81"</f>
        <v>81/81</v>
      </c>
      <c r="K15446" s="1" t="str">
        <f>"2026-07-29 14:20:22"</f>
        <v>2026-07-29 14:20:22</v>
      </c>
      <c r="L15446" s="1" t="str">
        <f>"2024-11-21 13:57:56"</f>
        <v>2024-11-21 13:57:56</v>
      </c>
      <c r="M15446" s="1" t="s">
        <v>4</v>
      </c>
      <c r="N15446" s="1" t="s">
        <v>38</v>
      </c>
      <c r="O15446" s="1" t="s">
        <v>46</v>
      </c>
    </row>
    <row r="15447" spans="2:15" x14ac:dyDescent="0.3">
      <c r="B15447" s="1" t="s">
        <v>19</v>
      </c>
      <c r="C15447" s="1" t="str">
        <f>"6차"</f>
        <v>6차</v>
      </c>
      <c r="D15447" s="1" t="str">
        <f>"0129G1636S"</f>
        <v>0129G1636S</v>
      </c>
      <c r="E15447" s="1" t="s">
        <v>10</v>
      </c>
      <c r="F15447" s="1" t="str">
        <f>"fde1:103:4:c6ea:0:0:0:2"</f>
        <v>fde1:103:4:c6ea:0:0:0:2</v>
      </c>
      <c r="G15447" s="1" t="str">
        <f>"0129G163"</f>
        <v>0129G163</v>
      </c>
      <c r="H15447" s="1" t="str">
        <f>"솔샘간 17R4L6"</f>
        <v>솔샘간 17R4L6</v>
      </c>
      <c r="I15447" s="1" t="s">
        <v>15</v>
      </c>
      <c r="J15447" s="1" t="str">
        <f>"58/58"</f>
        <v>58/58</v>
      </c>
      <c r="K15447" s="1" t="str">
        <f>"2026-07-29 14:20:24"</f>
        <v>2026-07-29 14:20:24</v>
      </c>
      <c r="L15447" s="1" t="str">
        <f>"2024-11-21 14:26:24"</f>
        <v>2024-11-21 14:26:24</v>
      </c>
      <c r="M15447" s="1" t="s">
        <v>4</v>
      </c>
      <c r="N15447" s="1" t="s">
        <v>38</v>
      </c>
      <c r="O15447" s="1" t="s">
        <v>46</v>
      </c>
    </row>
    <row r="15448" spans="2:15" x14ac:dyDescent="0.3">
      <c r="B15448" s="1" t="s">
        <v>19</v>
      </c>
      <c r="C15448" s="1" t="str">
        <f>"6차"</f>
        <v>6차</v>
      </c>
      <c r="D15448" s="1" t="str">
        <f>"0129G1716S"</f>
        <v>0129G1716S</v>
      </c>
      <c r="E15448" s="1" t="s">
        <v>10</v>
      </c>
      <c r="F15448" s="1" t="str">
        <f>"fde1:103:4:c5fa:0:0:0:2"</f>
        <v>fde1:103:4:c5fa:0:0:0:2</v>
      </c>
      <c r="G15448" s="1" t="str">
        <f>"0129G171"</f>
        <v>0129G171</v>
      </c>
      <c r="H15448" s="1" t="str">
        <f>"솔샘간 17R4L3L1"</f>
        <v>솔샘간 17R4L3L1</v>
      </c>
      <c r="I15448" s="1" t="s">
        <v>15</v>
      </c>
      <c r="J15448" s="1" t="str">
        <f>"47/47"</f>
        <v>47/47</v>
      </c>
      <c r="K15448" s="1" t="str">
        <f>"2026-07-29 14:20:24"</f>
        <v>2026-07-29 14:20:24</v>
      </c>
      <c r="L15448" s="1" t="str">
        <f>"2024-11-12 15:04:37"</f>
        <v>2024-11-12 15:04:37</v>
      </c>
      <c r="M15448" s="1" t="s">
        <v>4</v>
      </c>
      <c r="N15448" s="1" t="s">
        <v>38</v>
      </c>
      <c r="O15448" s="1" t="s">
        <v>46</v>
      </c>
    </row>
    <row r="15449" spans="2:15" x14ac:dyDescent="0.3">
      <c r="B15449" s="1" t="s">
        <v>19</v>
      </c>
      <c r="C15449" s="1" t="str">
        <f>"6차"</f>
        <v>6차</v>
      </c>
      <c r="D15449" s="1" t="str">
        <f>"0129G2016S"</f>
        <v>0129G2016S</v>
      </c>
      <c r="E15449" s="1" t="s">
        <v>10</v>
      </c>
      <c r="F15449" s="1" t="str">
        <f>"fde1:103:4:c5ba:0:0:0:2"</f>
        <v>fde1:103:4:c5ba:0:0:0:2</v>
      </c>
      <c r="G15449" s="1" t="str">
        <f>"0129G201"</f>
        <v>0129G201</v>
      </c>
      <c r="H15449" s="1" t="str">
        <f>"솔샘간 29R6"</f>
        <v>솔샘간 29R6</v>
      </c>
      <c r="I15449" s="1" t="s">
        <v>15</v>
      </c>
      <c r="J15449" s="1" t="str">
        <f>"71/71"</f>
        <v>71/71</v>
      </c>
      <c r="K15449" s="1" t="str">
        <f>"2026-07-29 14:20:24"</f>
        <v>2026-07-29 14:20:24</v>
      </c>
      <c r="L15449" s="1" t="str">
        <f>"2024-12-11 15:53:11"</f>
        <v>2024-12-11 15:53:11</v>
      </c>
      <c r="M15449" s="1" t="s">
        <v>4</v>
      </c>
      <c r="N15449" s="1" t="s">
        <v>38</v>
      </c>
      <c r="O15449" s="1" t="s">
        <v>46</v>
      </c>
    </row>
    <row r="15450" spans="2:15" x14ac:dyDescent="0.3">
      <c r="B15450" s="1" t="s">
        <v>19</v>
      </c>
      <c r="C15450" s="1" t="str">
        <f>"5-2차"</f>
        <v>5-2차</v>
      </c>
      <c r="D15450" s="1" t="str">
        <f>"0129G2125M"</f>
        <v>0129G2125M</v>
      </c>
      <c r="E15450" s="1" t="s">
        <v>10</v>
      </c>
      <c r="F15450" s="1" t="str">
        <f>"fde1:103:4:6e97:0:0:0:2"</f>
        <v>fde1:103:4:6e97:0:0:0:2</v>
      </c>
      <c r="G15450" s="1" t="str">
        <f>"0129G212"</f>
        <v>0129G212</v>
      </c>
      <c r="H15450" s="1" t="str">
        <f>"솔샘간 29R4"</f>
        <v>솔샘간 29R4</v>
      </c>
      <c r="I15450" s="1" t="s">
        <v>15</v>
      </c>
      <c r="J15450" s="1" t="str">
        <f>"75/75"</f>
        <v>75/75</v>
      </c>
      <c r="K15450" s="1" t="str">
        <f>"2026-07-29 14:20:24"</f>
        <v>2026-07-29 14:20:24</v>
      </c>
      <c r="L15450" s="1" t="str">
        <f>"2023-11-10 15:45:55"</f>
        <v>2023-11-10 15:45:55</v>
      </c>
      <c r="M15450" s="1" t="s">
        <v>4</v>
      </c>
      <c r="N15450" s="1" t="s">
        <v>38</v>
      </c>
      <c r="O15450" s="1" t="s">
        <v>46</v>
      </c>
    </row>
    <row r="15451" spans="2:15" x14ac:dyDescent="0.3">
      <c r="B15451" s="1" t="s">
        <v>19</v>
      </c>
      <c r="C15451" s="1" t="str">
        <f>"6차"</f>
        <v>6차</v>
      </c>
      <c r="D15451" s="1" t="str">
        <f>"0129G2616S"</f>
        <v>0129G2616S</v>
      </c>
      <c r="E15451" s="1" t="s">
        <v>10</v>
      </c>
      <c r="F15451" s="1" t="str">
        <f>"fde1:103:4:c686:0:0:0:2"</f>
        <v>fde1:103:4:c686:0:0:0:2</v>
      </c>
      <c r="G15451" s="1" t="str">
        <f>"0129G261"</f>
        <v>0129G261</v>
      </c>
      <c r="H15451" s="1" t="str">
        <f>"솔샘간 17R4L7"</f>
        <v>솔샘간 17R4L7</v>
      </c>
      <c r="I15451" s="1" t="s">
        <v>15</v>
      </c>
      <c r="J15451" s="1" t="str">
        <f>"51/51"</f>
        <v>51/51</v>
      </c>
      <c r="K15451" s="1" t="str">
        <f>"2026-07-29 14:20:24"</f>
        <v>2026-07-29 14:20:24</v>
      </c>
      <c r="L15451" s="1" t="str">
        <f>"2024-11-12 15:12:57"</f>
        <v>2024-11-12 15:12:57</v>
      </c>
      <c r="M15451" s="1" t="s">
        <v>4</v>
      </c>
      <c r="N15451" s="1" t="s">
        <v>38</v>
      </c>
      <c r="O15451" s="1" t="s">
        <v>46</v>
      </c>
    </row>
    <row r="15452" spans="2:15" x14ac:dyDescent="0.3">
      <c r="B15452" s="1" t="s">
        <v>19</v>
      </c>
      <c r="C15452" s="1" t="str">
        <f>"6차"</f>
        <v>6차</v>
      </c>
      <c r="D15452" s="1" t="str">
        <f>"0129G2726S"</f>
        <v>0129G2726S</v>
      </c>
      <c r="E15452" s="1" t="s">
        <v>10</v>
      </c>
      <c r="F15452" s="1" t="str">
        <f>"fde1:103:4:9423:0:0:0:2"</f>
        <v>fde1:103:4:9423:0:0:0:2</v>
      </c>
      <c r="G15452" s="1" t="str">
        <f>"0129G272"</f>
        <v>0129G272</v>
      </c>
      <c r="H15452" s="1" t="str">
        <f>"솔샘간 21R1"</f>
        <v>솔샘간 21R1</v>
      </c>
      <c r="I15452" s="1" t="s">
        <v>15</v>
      </c>
      <c r="J15452" s="1" t="str">
        <f>"29/30"</f>
        <v>29/30</v>
      </c>
      <c r="K15452" s="1" t="str">
        <f>"2026-07-29 14:20:25"</f>
        <v>2026-07-29 14:20:25</v>
      </c>
      <c r="L15452" s="1" t="str">
        <f>"2025-02-18 15:53:18"</f>
        <v>2025-02-18 15:53:18</v>
      </c>
      <c r="M15452" s="1" t="s">
        <v>4</v>
      </c>
      <c r="N15452" s="1" t="s">
        <v>38</v>
      </c>
      <c r="O15452" s="1" t="s">
        <v>46</v>
      </c>
    </row>
    <row r="15453" spans="2:15" x14ac:dyDescent="0.3">
      <c r="B15453" s="1" t="s">
        <v>19</v>
      </c>
      <c r="C15453" s="1" t="str">
        <f>"6차"</f>
        <v>6차</v>
      </c>
      <c r="D15453" s="1" t="str">
        <f>"0129G2816S"</f>
        <v>0129G2816S</v>
      </c>
      <c r="E15453" s="1" t="s">
        <v>10</v>
      </c>
      <c r="F15453" s="1" t="str">
        <f>"fde1:103:4:c6aa:0:0:0:2"</f>
        <v>fde1:103:4:c6aa:0:0:0:2</v>
      </c>
      <c r="G15453" s="1" t="str">
        <f>"0129G281"</f>
        <v>0129G281</v>
      </c>
      <c r="H15453" s="1" t="str">
        <f>"솔샘간 17R2R1L1"</f>
        <v>솔샘간 17R2R1L1</v>
      </c>
      <c r="I15453" s="1" t="s">
        <v>15</v>
      </c>
      <c r="J15453" s="1" t="str">
        <f>"40/43"</f>
        <v>40/43</v>
      </c>
      <c r="K15453" s="1" t="str">
        <f>"2026-07-29 08:20:41"</f>
        <v>2026-07-29 08:20:41</v>
      </c>
      <c r="L15453" s="1" t="str">
        <f>"2024-11-13 15:15:08"</f>
        <v>2024-11-13 15:15:08</v>
      </c>
      <c r="M15453" s="1" t="s">
        <v>4</v>
      </c>
      <c r="N15453" s="1" t="s">
        <v>38</v>
      </c>
      <c r="O15453" s="1" t="s">
        <v>46</v>
      </c>
    </row>
    <row r="15454" spans="2:15" x14ac:dyDescent="0.3">
      <c r="B15454" s="1" t="s">
        <v>19</v>
      </c>
      <c r="C15454" s="1" t="str">
        <f>"2차"</f>
        <v>2차</v>
      </c>
      <c r="D15454" s="1" t="str">
        <f>"0129G29129"</f>
        <v>0129G29129</v>
      </c>
      <c r="E15454" s="1" t="s">
        <v>10</v>
      </c>
      <c r="F15454" s="1" t="str">
        <f>"10.107.123.28"</f>
        <v>10.107.123.28</v>
      </c>
      <c r="G15454" s="1" t="str">
        <f>"0129G291"</f>
        <v>0129G291</v>
      </c>
      <c r="H15454" s="1" t="str">
        <f>"솔샘간 18"</f>
        <v>솔샘간 18</v>
      </c>
      <c r="I15454" s="1" t="s">
        <v>8</v>
      </c>
      <c r="J15454" s="1" t="str">
        <f>"2/2"</f>
        <v>2/2</v>
      </c>
      <c r="K15454" s="1" t="str">
        <f>"2026-07-29 13:18:02"</f>
        <v>2026-07-29 13:18:02</v>
      </c>
      <c r="L15454" s="1" t="str">
        <f>"2017-07-04 11:51:37"</f>
        <v>2017-07-04 11:51:37</v>
      </c>
      <c r="M15454" s="1" t="s">
        <v>45</v>
      </c>
      <c r="N15454" s="1" t="s">
        <v>38</v>
      </c>
      <c r="O15454" s="1" t="s">
        <v>46</v>
      </c>
    </row>
    <row r="15455" spans="2:15" x14ac:dyDescent="0.3">
      <c r="B15455" s="1" t="s">
        <v>19</v>
      </c>
      <c r="C15455" s="1" t="str">
        <f>"6차"</f>
        <v>6차</v>
      </c>
      <c r="D15455" s="1" t="str">
        <f>"0129G3116S"</f>
        <v>0129G3116S</v>
      </c>
      <c r="E15455" s="1" t="s">
        <v>10</v>
      </c>
      <c r="F15455" s="1" t="str">
        <f>"fde1:103:4:c6b2:0:0:0:2"</f>
        <v>fde1:103:4:c6b2:0:0:0:2</v>
      </c>
      <c r="G15455" s="1" t="str">
        <f>"0129G311"</f>
        <v>0129G311</v>
      </c>
      <c r="H15455" s="1" t="str">
        <f>"솔샘간 29R3"</f>
        <v>솔샘간 29R3</v>
      </c>
      <c r="I15455" s="1" t="s">
        <v>15</v>
      </c>
      <c r="J15455" s="1" t="str">
        <f>"61/61"</f>
        <v>61/61</v>
      </c>
      <c r="K15455" s="1" t="str">
        <f>"2026-07-29 14:20:00"</f>
        <v>2026-07-29 14:20:00</v>
      </c>
      <c r="L15455" s="1" t="str">
        <f>"2024-11-13 15:15:14"</f>
        <v>2024-11-13 15:15:14</v>
      </c>
      <c r="M15455" s="1" t="s">
        <v>4</v>
      </c>
      <c r="N15455" s="1" t="s">
        <v>38</v>
      </c>
      <c r="O15455" s="1" t="s">
        <v>46</v>
      </c>
    </row>
    <row r="15456" spans="2:15" x14ac:dyDescent="0.3">
      <c r="B15456" s="1" t="s">
        <v>19</v>
      </c>
      <c r="C15456" s="1" t="str">
        <f>"6차"</f>
        <v>6차</v>
      </c>
      <c r="D15456" s="1" t="str">
        <f>"0129G3226S"</f>
        <v>0129G3226S</v>
      </c>
      <c r="E15456" s="1" t="s">
        <v>10</v>
      </c>
      <c r="F15456" s="1" t="str">
        <f>"fde1:103:4:c6bd:0:0:0:2"</f>
        <v>fde1:103:4:c6bd:0:0:0:2</v>
      </c>
      <c r="G15456" s="1" t="str">
        <f>"0129G322"</f>
        <v>0129G322</v>
      </c>
      <c r="H15456" s="1" t="str">
        <f>"솔샘간 29R2R1L1"</f>
        <v>솔샘간 29R2R1L1</v>
      </c>
      <c r="I15456" s="1" t="s">
        <v>15</v>
      </c>
      <c r="J15456" s="1" t="str">
        <f>"79/79"</f>
        <v>79/79</v>
      </c>
      <c r="K15456" s="1" t="str">
        <f>"2026-07-29 14:20:24"</f>
        <v>2026-07-29 14:20:24</v>
      </c>
      <c r="L15456" s="1" t="str">
        <f>"2024-11-13 15:15:14"</f>
        <v>2024-11-13 15:15:14</v>
      </c>
      <c r="M15456" s="1" t="s">
        <v>4</v>
      </c>
      <c r="N15456" s="1" t="s">
        <v>38</v>
      </c>
      <c r="O15456" s="1" t="s">
        <v>46</v>
      </c>
    </row>
    <row r="15457" spans="2:15" x14ac:dyDescent="0.3">
      <c r="B15457" s="1" t="s">
        <v>19</v>
      </c>
      <c r="C15457" s="1" t="str">
        <f>"5-2차"</f>
        <v>5-2차</v>
      </c>
      <c r="D15457" s="1" t="str">
        <f>"0129G3415M"</f>
        <v>0129G3415M</v>
      </c>
      <c r="E15457" s="1" t="s">
        <v>10</v>
      </c>
      <c r="F15457" s="1" t="str">
        <f>"fde1:103:4:6ede:0:0:0:2"</f>
        <v>fde1:103:4:6ede:0:0:0:2</v>
      </c>
      <c r="G15457" s="1" t="str">
        <f>"0129G341"</f>
        <v>0129G341</v>
      </c>
      <c r="H15457" s="1" t="str">
        <f>"수미간 40L17L1"</f>
        <v>수미간 40L17L1</v>
      </c>
      <c r="I15457" s="1" t="s">
        <v>15</v>
      </c>
      <c r="J15457" s="1" t="str">
        <f>"51/51"</f>
        <v>51/51</v>
      </c>
      <c r="K15457" s="1" t="str">
        <f>"2026-07-29 14:20:24"</f>
        <v>2026-07-29 14:20:24</v>
      </c>
      <c r="L15457" s="1" t="str">
        <f>"2023-11-15 11:01:17"</f>
        <v>2023-11-15 11:01:17</v>
      </c>
      <c r="M15457" s="1" t="s">
        <v>4</v>
      </c>
      <c r="N15457" s="1" t="s">
        <v>38</v>
      </c>
      <c r="O15457" s="1" t="s">
        <v>46</v>
      </c>
    </row>
    <row r="15458" spans="2:15" x14ac:dyDescent="0.3">
      <c r="B15458" s="1" t="s">
        <v>19</v>
      </c>
      <c r="C15458" s="1" t="str">
        <f>"6차"</f>
        <v>6차</v>
      </c>
      <c r="D15458" s="1" t="str">
        <f>"0129G3516S"</f>
        <v>0129G3516S</v>
      </c>
      <c r="E15458" s="1" t="s">
        <v>10</v>
      </c>
      <c r="F15458" s="1" t="str">
        <f>"fde1:103:4:c6d8:0:0:0:2"</f>
        <v>fde1:103:4:c6d8:0:0:0:2</v>
      </c>
      <c r="G15458" s="1" t="str">
        <f>"0129G351"</f>
        <v>0129G351</v>
      </c>
      <c r="H15458" s="1" t="str">
        <f>"솔샘간 23R2"</f>
        <v>솔샘간 23R2</v>
      </c>
      <c r="I15458" s="1" t="s">
        <v>15</v>
      </c>
      <c r="J15458" s="1" t="str">
        <f>"74/75"</f>
        <v>74/75</v>
      </c>
      <c r="K15458" s="1" t="str">
        <f>"2026-07-29 14:20:51"</f>
        <v>2026-07-29 14:20:51</v>
      </c>
      <c r="L15458" s="1" t="str">
        <f>"2024-11-13 15:14:05"</f>
        <v>2024-11-13 15:14:05</v>
      </c>
      <c r="M15458" s="1" t="s">
        <v>4</v>
      </c>
      <c r="N15458" s="1" t="s">
        <v>38</v>
      </c>
      <c r="O15458" s="1" t="s">
        <v>46</v>
      </c>
    </row>
    <row r="15459" spans="2:15" x14ac:dyDescent="0.3">
      <c r="B15459" s="1" t="s">
        <v>19</v>
      </c>
      <c r="C15459" s="1" t="str">
        <f>"6차"</f>
        <v>6차</v>
      </c>
      <c r="D15459" s="1" t="str">
        <f>"0129G4116S"</f>
        <v>0129G4116S</v>
      </c>
      <c r="E15459" s="1" t="s">
        <v>10</v>
      </c>
      <c r="F15459" s="1" t="str">
        <f>"fde1:103:4:c713:0:0:0:2"</f>
        <v>fde1:103:4:c713:0:0:0:2</v>
      </c>
      <c r="G15459" s="1" t="str">
        <f>"0129G411"</f>
        <v>0129G411</v>
      </c>
      <c r="H15459" s="1" t="str">
        <f>"솔샘간 29R1"</f>
        <v>솔샘간 29R1</v>
      </c>
      <c r="I15459" s="1" t="s">
        <v>15</v>
      </c>
      <c r="J15459" s="1" t="str">
        <f>"41/41"</f>
        <v>41/41</v>
      </c>
      <c r="K15459" s="1" t="str">
        <f>"2026-07-29 14:20:29"</f>
        <v>2026-07-29 14:20:29</v>
      </c>
      <c r="L15459" s="1" t="str">
        <f>"2024-12-11 15:53:38"</f>
        <v>2024-12-11 15:53:38</v>
      </c>
      <c r="M15459" s="1" t="s">
        <v>4</v>
      </c>
      <c r="N15459" s="1" t="s">
        <v>38</v>
      </c>
      <c r="O15459" s="1" t="s">
        <v>46</v>
      </c>
    </row>
    <row r="15460" spans="2:15" x14ac:dyDescent="0.3">
      <c r="B15460" s="1" t="s">
        <v>19</v>
      </c>
      <c r="C15460" s="1" t="str">
        <f>"6차"</f>
        <v>6차</v>
      </c>
      <c r="D15460" s="1" t="str">
        <f>"0129G6226S"</f>
        <v>0129G6226S</v>
      </c>
      <c r="E15460" s="1" t="s">
        <v>10</v>
      </c>
      <c r="F15460" s="1" t="str">
        <f>"fde1:103:4:c75b:0:0:0:2"</f>
        <v>fde1:103:4:c75b:0:0:0:2</v>
      </c>
      <c r="G15460" s="1" t="str">
        <f>"0129G622"</f>
        <v>0129G622</v>
      </c>
      <c r="H15460" s="1" t="str">
        <f>"신일간 36L2L1"</f>
        <v>신일간 36L2L1</v>
      </c>
      <c r="I15460" s="1" t="s">
        <v>15</v>
      </c>
      <c r="J15460" s="1" t="str">
        <f>"46/48"</f>
        <v>46/48</v>
      </c>
      <c r="K15460" s="1" t="str">
        <f>"2026-07-29 08:20:26"</f>
        <v>2026-07-29 08:20:26</v>
      </c>
      <c r="L15460" s="1" t="str">
        <f>"2024-12-11 15:53:45"</f>
        <v>2024-12-11 15:53:45</v>
      </c>
      <c r="M15460" s="1" t="s">
        <v>4</v>
      </c>
      <c r="N15460" s="1" t="s">
        <v>38</v>
      </c>
      <c r="O15460" s="1" t="s">
        <v>46</v>
      </c>
    </row>
    <row r="15461" spans="2:15" x14ac:dyDescent="0.3">
      <c r="B15461" s="1" t="s">
        <v>19</v>
      </c>
      <c r="C15461" s="1" t="str">
        <f>"6차"</f>
        <v>6차</v>
      </c>
      <c r="D15461" s="1" t="str">
        <f>"0129G6316S"</f>
        <v>0129G6316S</v>
      </c>
      <c r="E15461" s="1" t="s">
        <v>10</v>
      </c>
      <c r="F15461" s="1" t="str">
        <f>"fde1:103:4:c739:0:0:0:2"</f>
        <v>fde1:103:4:c739:0:0:0:2</v>
      </c>
      <c r="G15461" s="1" t="str">
        <f>"0129G631"</f>
        <v>0129G631</v>
      </c>
      <c r="H15461" s="1" t="str">
        <f>"신일간 36L2L2"</f>
        <v>신일간 36L2L2</v>
      </c>
      <c r="I15461" s="1" t="s">
        <v>15</v>
      </c>
      <c r="J15461" s="1" t="str">
        <f>"55/57"</f>
        <v>55/57</v>
      </c>
      <c r="K15461" s="1" t="str">
        <f>"2026-07-29 14:20:51"</f>
        <v>2026-07-29 14:20:51</v>
      </c>
      <c r="L15461" s="1" t="str">
        <f>"2024-12-11 16:03:10"</f>
        <v>2024-12-11 16:03:10</v>
      </c>
      <c r="M15461" s="1" t="s">
        <v>4</v>
      </c>
      <c r="N15461" s="1" t="s">
        <v>38</v>
      </c>
      <c r="O15461" s="1" t="s">
        <v>46</v>
      </c>
    </row>
    <row r="15462" spans="2:15" x14ac:dyDescent="0.3">
      <c r="B15462" s="1" t="s">
        <v>19</v>
      </c>
      <c r="C15462" s="1" t="str">
        <f>"5-2차"</f>
        <v>5-2차</v>
      </c>
      <c r="D15462" s="1" t="str">
        <f>"0129G6615M"</f>
        <v>0129G6615M</v>
      </c>
      <c r="E15462" s="1" t="s">
        <v>10</v>
      </c>
      <c r="F15462" s="1" t="str">
        <f>"fde1:103:4:6ee0:0:0:0:2"</f>
        <v>fde1:103:4:6ee0:0:0:0:2</v>
      </c>
      <c r="G15462" s="1" t="str">
        <f>"0129G661"</f>
        <v>0129G661</v>
      </c>
      <c r="H15462" s="1" t="str">
        <f>"신일간 31L4"</f>
        <v>신일간 31L4</v>
      </c>
      <c r="I15462" s="1" t="s">
        <v>15</v>
      </c>
      <c r="J15462" s="1" t="str">
        <f>"37/37"</f>
        <v>37/37</v>
      </c>
      <c r="K15462" s="1" t="str">
        <f>"2026-07-29 14:20:24"</f>
        <v>2026-07-29 14:20:24</v>
      </c>
      <c r="L15462" s="1" t="str">
        <f>"2023-11-15 11:01:17"</f>
        <v>2023-11-15 11:01:17</v>
      </c>
      <c r="M15462" s="1" t="s">
        <v>4</v>
      </c>
      <c r="N15462" s="1" t="s">
        <v>38</v>
      </c>
      <c r="O15462" s="1" t="s">
        <v>46</v>
      </c>
    </row>
    <row r="15463" spans="2:15" x14ac:dyDescent="0.3">
      <c r="B15463" s="1" t="s">
        <v>19</v>
      </c>
      <c r="C15463" s="1" t="str">
        <f>"6차"</f>
        <v>6차</v>
      </c>
      <c r="D15463" s="1" t="str">
        <f>"0129G7226S"</f>
        <v>0129G7226S</v>
      </c>
      <c r="E15463" s="1" t="s">
        <v>10</v>
      </c>
      <c r="F15463" s="1" t="str">
        <f>"fde1:103:4:c6e2:0:0:0:2"</f>
        <v>fde1:103:4:c6e2:0:0:0:2</v>
      </c>
      <c r="G15463" s="1" t="str">
        <f>"0129G722"</f>
        <v>0129G722</v>
      </c>
      <c r="H15463" s="1" t="str">
        <f>"신일간 36L4"</f>
        <v>신일간 36L4</v>
      </c>
      <c r="I15463" s="1" t="s">
        <v>15</v>
      </c>
      <c r="J15463" s="1" t="str">
        <f>"38/38"</f>
        <v>38/38</v>
      </c>
      <c r="K15463" s="1" t="str">
        <f>"2026-07-29 14:20:23"</f>
        <v>2026-07-29 14:20:23</v>
      </c>
      <c r="L15463" s="1" t="str">
        <f>"2024-11-13 15:14:52"</f>
        <v>2024-11-13 15:14:52</v>
      </c>
      <c r="M15463" s="1" t="s">
        <v>4</v>
      </c>
      <c r="N15463" s="1" t="s">
        <v>38</v>
      </c>
      <c r="O15463" s="1" t="s">
        <v>46</v>
      </c>
    </row>
    <row r="15464" spans="2:15" x14ac:dyDescent="0.3">
      <c r="B15464" s="1" t="s">
        <v>19</v>
      </c>
      <c r="C15464" s="1" t="str">
        <f>"6차"</f>
        <v>6차</v>
      </c>
      <c r="D15464" s="1" t="str">
        <f>"0129G7316S"</f>
        <v>0129G7316S</v>
      </c>
      <c r="E15464" s="1" t="s">
        <v>12</v>
      </c>
      <c r="F15464" s="1" t="str">
        <f>"fde1:103:4:c7a2:0:0:0:2"</f>
        <v>fde1:103:4:c7a2:0:0:0:2</v>
      </c>
      <c r="G15464" s="1" t="str">
        <f>"0129G731"</f>
        <v>0129G731</v>
      </c>
      <c r="H15464" s="1" t="str">
        <f>"신일간 33L5"</f>
        <v>신일간 33L5</v>
      </c>
      <c r="I15464" s="1" t="s">
        <v>15</v>
      </c>
      <c r="J15464" s="1" t="str">
        <f>"0/182"</f>
        <v>0/182</v>
      </c>
      <c r="K15464" s="1" t="str">
        <f>"2026-02-27 08:20:21"</f>
        <v>2026-02-27 08:20:21</v>
      </c>
      <c r="L15464" s="1" t="str">
        <f>"2024-12-10 10:40:00"</f>
        <v>2024-12-10 10:40:00</v>
      </c>
      <c r="M15464" s="1" t="s">
        <v>4</v>
      </c>
      <c r="N15464" s="1" t="s">
        <v>38</v>
      </c>
      <c r="O15464" s="1" t="s">
        <v>46</v>
      </c>
    </row>
    <row r="15465" spans="2:15" x14ac:dyDescent="0.3">
      <c r="B15465" s="1" t="s">
        <v>19</v>
      </c>
      <c r="C15465" s="1" t="str">
        <f>"6차"</f>
        <v>6차</v>
      </c>
      <c r="D15465" s="1" t="str">
        <f>"0129G7536S"</f>
        <v>0129G7536S</v>
      </c>
      <c r="E15465" s="1" t="s">
        <v>10</v>
      </c>
      <c r="F15465" s="1" t="str">
        <f>"fde1:103:4:c83d:0:0:0:2"</f>
        <v>fde1:103:4:c83d:0:0:0:2</v>
      </c>
      <c r="G15465" s="1" t="str">
        <f>"0129G753"</f>
        <v>0129G753</v>
      </c>
      <c r="H15465" s="1" t="str">
        <f>"신일간 33L3"</f>
        <v>신일간 33L3</v>
      </c>
      <c r="I15465" s="1" t="s">
        <v>15</v>
      </c>
      <c r="J15465" s="1" t="str">
        <f>"48/48"</f>
        <v>48/48</v>
      </c>
      <c r="K15465" s="1" t="str">
        <f>"2026-07-29 14:20:34"</f>
        <v>2026-07-29 14:20:34</v>
      </c>
      <c r="L15465" s="1" t="str">
        <f>"2024-12-11 15:53:08"</f>
        <v>2024-12-11 15:53:08</v>
      </c>
      <c r="M15465" s="1" t="s">
        <v>4</v>
      </c>
      <c r="N15465" s="1" t="s">
        <v>38</v>
      </c>
      <c r="O15465" s="1" t="s">
        <v>46</v>
      </c>
    </row>
    <row r="15466" spans="2:15" x14ac:dyDescent="0.3">
      <c r="B15466" s="1" t="s">
        <v>19</v>
      </c>
      <c r="C15466" s="1" t="str">
        <f>"5-2차"</f>
        <v>5-2차</v>
      </c>
      <c r="D15466" s="1" t="str">
        <f>"0129G7715S"</f>
        <v>0129G7715S</v>
      </c>
      <c r="E15466" s="1" t="s">
        <v>10</v>
      </c>
      <c r="F15466" s="1" t="str">
        <f>"fde1:103:4:6ee4:0:0:0:2"</f>
        <v>fde1:103:4:6ee4:0:0:0:2</v>
      </c>
      <c r="G15466" s="1" t="str">
        <f>"0129G771"</f>
        <v>0129G771</v>
      </c>
      <c r="H15466" s="1" t="str">
        <f>"신일간 31L6"</f>
        <v>신일간 31L6</v>
      </c>
      <c r="I15466" s="1" t="s">
        <v>15</v>
      </c>
      <c r="J15466" s="1" t="str">
        <f>"40/40"</f>
        <v>40/40</v>
      </c>
      <c r="K15466" s="1" t="str">
        <f>"2026-07-29 14:20:22"</f>
        <v>2026-07-29 14:20:22</v>
      </c>
      <c r="L15466" s="1" t="str">
        <f>"2023-11-15 11:03:07"</f>
        <v>2023-11-15 11:03:07</v>
      </c>
      <c r="M15466" s="1" t="s">
        <v>4</v>
      </c>
      <c r="N15466" s="1" t="s">
        <v>38</v>
      </c>
      <c r="O15466" s="1" t="s">
        <v>46</v>
      </c>
    </row>
    <row r="15467" spans="2:15" x14ac:dyDescent="0.3">
      <c r="B15467" s="1" t="s">
        <v>19</v>
      </c>
      <c r="C15467" s="1" t="str">
        <f>"6차"</f>
        <v>6차</v>
      </c>
      <c r="D15467" s="1" t="str">
        <f>"0129G8516S"</f>
        <v>0129G8516S</v>
      </c>
      <c r="E15467" s="1" t="s">
        <v>10</v>
      </c>
      <c r="F15467" s="1" t="str">
        <f>"fde1:103:4:c6c7:0:0:0:2"</f>
        <v>fde1:103:4:c6c7:0:0:0:2</v>
      </c>
      <c r="G15467" s="1" t="str">
        <f>"0129G851"</f>
        <v>0129G851</v>
      </c>
      <c r="H15467" s="1" t="str">
        <f>"신일간 36L6L4"</f>
        <v>신일간 36L6L4</v>
      </c>
      <c r="I15467" s="1" t="s">
        <v>15</v>
      </c>
      <c r="J15467" s="1" t="str">
        <f>"42/42"</f>
        <v>42/42</v>
      </c>
      <c r="K15467" s="1" t="str">
        <f>"2026-07-29 14:20:25"</f>
        <v>2026-07-29 14:20:25</v>
      </c>
      <c r="L15467" s="1" t="str">
        <f>"2024-12-10 14:18:22"</f>
        <v>2024-12-10 14:18:22</v>
      </c>
      <c r="M15467" s="1" t="s">
        <v>4</v>
      </c>
      <c r="N15467" s="1" t="s">
        <v>38</v>
      </c>
      <c r="O15467" s="1" t="s">
        <v>46</v>
      </c>
    </row>
    <row r="15468" spans="2:15" x14ac:dyDescent="0.3">
      <c r="B15468" s="1" t="s">
        <v>19</v>
      </c>
      <c r="C15468" s="1" t="str">
        <f>"5-2차"</f>
        <v>5-2차</v>
      </c>
      <c r="D15468" s="1" t="str">
        <f>"0129G8615S"</f>
        <v>0129G8615S</v>
      </c>
      <c r="E15468" s="1" t="s">
        <v>10</v>
      </c>
      <c r="F15468" s="1" t="str">
        <f>"fde3:102:1410:1300:0:0:0:13"</f>
        <v>fde3:102:1410:1300:0:0:0:13</v>
      </c>
      <c r="G15468" s="1" t="str">
        <f>"0129G861"</f>
        <v>0129G861</v>
      </c>
      <c r="H15468" s="1" t="str">
        <f>"신일간 36L6L4L1"</f>
        <v>신일간 36L6L4L1</v>
      </c>
      <c r="I15468" s="1" t="s">
        <v>15</v>
      </c>
      <c r="J15468" s="1" t="str">
        <f>"42/42"</f>
        <v>42/42</v>
      </c>
      <c r="K15468" s="1" t="str">
        <f>"2026-07-29 14:20:24"</f>
        <v>2026-07-29 14:20:24</v>
      </c>
      <c r="L15468" s="1" t="str">
        <f>"2023-08-04 15:14:31"</f>
        <v>2023-08-04 15:14:31</v>
      </c>
      <c r="M15468" s="1" t="s">
        <v>45</v>
      </c>
      <c r="N15468" s="1" t="s">
        <v>38</v>
      </c>
      <c r="O15468" s="1" t="s">
        <v>46</v>
      </c>
    </row>
    <row r="15469" spans="2:15" x14ac:dyDescent="0.3">
      <c r="B15469" s="1" t="s">
        <v>19</v>
      </c>
      <c r="C15469" s="1" t="str">
        <f>"6차"</f>
        <v>6차</v>
      </c>
      <c r="D15469" s="1" t="str">
        <f>"0129G9216S"</f>
        <v>0129G9216S</v>
      </c>
      <c r="E15469" s="1" t="s">
        <v>10</v>
      </c>
      <c r="F15469" s="1" t="str">
        <f>"fde1:103:4:91d2:0:0:0:2"</f>
        <v>fde1:103:4:91d2:0:0:0:2</v>
      </c>
      <c r="G15469" s="1" t="str">
        <f>"0129G921"</f>
        <v>0129G921</v>
      </c>
      <c r="H15469" s="1" t="str">
        <f>"신일간 36L6R1"</f>
        <v>신일간 36L6R1</v>
      </c>
      <c r="I15469" s="1" t="s">
        <v>15</v>
      </c>
      <c r="J15469" s="1" t="str">
        <f>"34/37"</f>
        <v>34/37</v>
      </c>
      <c r="K15469" s="1" t="str">
        <f>"2026-07-29 14:20:01"</f>
        <v>2026-07-29 14:20:01</v>
      </c>
      <c r="L15469" s="1" t="str">
        <f>"2024-11-13 15:16:40"</f>
        <v>2024-11-13 15:16:40</v>
      </c>
      <c r="M15469" s="1" t="s">
        <v>4</v>
      </c>
      <c r="N15469" s="1" t="s">
        <v>38</v>
      </c>
      <c r="O15469" s="1" t="s">
        <v>46</v>
      </c>
    </row>
    <row r="15470" spans="2:15" x14ac:dyDescent="0.3">
      <c r="B15470" s="1" t="s">
        <v>19</v>
      </c>
      <c r="C15470" s="1" t="str">
        <f>"6차"</f>
        <v>6차</v>
      </c>
      <c r="D15470" s="1" t="str">
        <f>"0129G9316S"</f>
        <v>0129G9316S</v>
      </c>
      <c r="E15470" s="1" t="s">
        <v>12</v>
      </c>
      <c r="F15470" s="1" t="str">
        <f>"fde1:103:4:9130:0:0:0:2"</f>
        <v>fde1:103:4:9130:0:0:0:2</v>
      </c>
      <c r="G15470" s="1" t="str">
        <f>"0129G931"</f>
        <v>0129G931</v>
      </c>
      <c r="H15470" s="1" t="str">
        <f>"신일간 36L6"</f>
        <v>신일간 36L6</v>
      </c>
      <c r="I15470" s="1" t="s">
        <v>15</v>
      </c>
      <c r="J15470" s="1" t="str">
        <f>"0/110"</f>
        <v>0/110</v>
      </c>
      <c r="K15470" s="1" t="str">
        <f>"2026-03-19 08:20:01"</f>
        <v>2026-03-19 08:20:01</v>
      </c>
      <c r="L15470" s="1" t="str">
        <f>"2024-11-13 15:15:08"</f>
        <v>2024-11-13 15:15:08</v>
      </c>
      <c r="M15470" s="1" t="s">
        <v>4</v>
      </c>
      <c r="N15470" s="1" t="s">
        <v>38</v>
      </c>
      <c r="O15470" s="1" t="s">
        <v>46</v>
      </c>
    </row>
    <row r="15471" spans="2:15" x14ac:dyDescent="0.3">
      <c r="B15471" s="1" t="s">
        <v>19</v>
      </c>
      <c r="C15471" s="1" t="str">
        <f>"5-1차"</f>
        <v>5-1차</v>
      </c>
      <c r="D15471" s="1" t="str">
        <f>"0129G9425M"</f>
        <v>0129G9425M</v>
      </c>
      <c r="E15471" s="1" t="s">
        <v>14</v>
      </c>
      <c r="F15471" s="1" t="str">
        <f>"fde3:102:1410:1300:0:0:0:2"</f>
        <v>fde3:102:1410:1300:0:0:0:2</v>
      </c>
      <c r="G15471" s="1" t="str">
        <f>"0129G942"</f>
        <v>0129G942</v>
      </c>
      <c r="H15471" s="1" t="str">
        <f>"신일간 36L6HL1"</f>
        <v>신일간 36L6HL1</v>
      </c>
      <c r="I15471" s="1" t="s">
        <v>15</v>
      </c>
      <c r="J15471" s="1" t="str">
        <f>"0/0"</f>
        <v>0/0</v>
      </c>
      <c r="K15471" s="1" t="str">
        <f>"2026-07-29 14:20:20"</f>
        <v>2026-07-29 14:20:20</v>
      </c>
      <c r="L15471" s="1" t="str">
        <f>"2022-09-28 09:27:04"</f>
        <v>2022-09-28 09:27:04</v>
      </c>
      <c r="M15471" s="1" t="s">
        <v>45</v>
      </c>
      <c r="N15471" s="1" t="s">
        <v>38</v>
      </c>
      <c r="O15471" s="1" t="s">
        <v>44</v>
      </c>
    </row>
    <row r="15472" spans="2:15" x14ac:dyDescent="0.3">
      <c r="B15472" s="1" t="s">
        <v>19</v>
      </c>
      <c r="C15472" s="1" t="str">
        <f>"2차"</f>
        <v>2차</v>
      </c>
      <c r="D15472" s="1" t="str">
        <f>"0129H00221"</f>
        <v>0129H00221</v>
      </c>
      <c r="E15472" s="1" t="s">
        <v>10</v>
      </c>
      <c r="F15472" s="1" t="str">
        <f>"10.107.250.86"</f>
        <v>10.107.250.86</v>
      </c>
      <c r="G15472" s="1" t="str">
        <f>"0129H002"</f>
        <v>0129H002</v>
      </c>
      <c r="H15472" s="1" t="str">
        <f>"동방지 30L1"</f>
        <v>동방지 30L1</v>
      </c>
      <c r="I15472" s="1" t="s">
        <v>8</v>
      </c>
      <c r="J15472" s="1" t="str">
        <f>"83/83"</f>
        <v>83/83</v>
      </c>
      <c r="K15472" s="1" t="str">
        <f>"2026-07-29 13:18:02"</f>
        <v>2026-07-29 13:18:02</v>
      </c>
      <c r="L15472" s="1" t="str">
        <f>"2017-07-04 10:57:52"</f>
        <v>2017-07-04 10:57:52</v>
      </c>
      <c r="M15472" s="1" t="s">
        <v>45</v>
      </c>
      <c r="N15472" s="1" t="s">
        <v>38</v>
      </c>
      <c r="O15472" s="1" t="s">
        <v>46</v>
      </c>
    </row>
    <row r="15473" spans="2:15" x14ac:dyDescent="0.3">
      <c r="B15473" s="1" t="s">
        <v>19</v>
      </c>
      <c r="C15473" s="1" t="str">
        <f>"6차"</f>
        <v>6차</v>
      </c>
      <c r="D15473" s="1" t="str">
        <f>"0129H0336S"</f>
        <v>0129H0336S</v>
      </c>
      <c r="E15473" s="1" t="s">
        <v>10</v>
      </c>
      <c r="F15473" s="1" t="str">
        <f>"fde1:103:4:928c:0:0:0:2"</f>
        <v>fde1:103:4:928c:0:0:0:2</v>
      </c>
      <c r="G15473" s="1" t="str">
        <f>"0129H033"</f>
        <v>0129H033</v>
      </c>
      <c r="H15473" s="1" t="str">
        <f>"신일간 36L9"</f>
        <v>신일간 36L9</v>
      </c>
      <c r="I15473" s="1" t="s">
        <v>15</v>
      </c>
      <c r="J15473" s="1" t="str">
        <f>"24/24"</f>
        <v>24/24</v>
      </c>
      <c r="K15473" s="1" t="str">
        <f>"2026-07-29 14:20:19"</f>
        <v>2026-07-29 14:20:19</v>
      </c>
      <c r="L15473" s="1" t="str">
        <f>"2024-11-13 15:15:14"</f>
        <v>2024-11-13 15:15:14</v>
      </c>
      <c r="M15473" s="1" t="s">
        <v>4</v>
      </c>
      <c r="N15473" s="1" t="s">
        <v>38</v>
      </c>
      <c r="O15473" s="1" t="s">
        <v>46</v>
      </c>
    </row>
    <row r="15474" spans="2:15" x14ac:dyDescent="0.3">
      <c r="B15474" s="1" t="s">
        <v>19</v>
      </c>
      <c r="C15474" s="1" t="str">
        <f>"6차"</f>
        <v>6차</v>
      </c>
      <c r="D15474" s="1" t="str">
        <f>"0129H1216S"</f>
        <v>0129H1216S</v>
      </c>
      <c r="E15474" s="1" t="s">
        <v>10</v>
      </c>
      <c r="F15474" s="1" t="str">
        <f>"fde1:103:4:9278:0:0:0:2"</f>
        <v>fde1:103:4:9278:0:0:0:2</v>
      </c>
      <c r="G15474" s="1" t="str">
        <f>"0129H121"</f>
        <v>0129H121</v>
      </c>
      <c r="H15474" s="1" t="str">
        <f>"신일간 36L10"</f>
        <v>신일간 36L10</v>
      </c>
      <c r="I15474" s="1" t="s">
        <v>15</v>
      </c>
      <c r="J15474" s="1" t="str">
        <f>"62/62"</f>
        <v>62/62</v>
      </c>
      <c r="K15474" s="1" t="str">
        <f>"2026-07-29 08:20:01"</f>
        <v>2026-07-29 08:20:01</v>
      </c>
      <c r="L15474" s="1" t="str">
        <f>"2024-11-13 15:15:20"</f>
        <v>2024-11-13 15:15:20</v>
      </c>
      <c r="M15474" s="1" t="s">
        <v>4</v>
      </c>
      <c r="N15474" s="1" t="s">
        <v>38</v>
      </c>
      <c r="O15474" s="1" t="s">
        <v>46</v>
      </c>
    </row>
    <row r="15475" spans="2:15" x14ac:dyDescent="0.3">
      <c r="B15475" s="1" t="s">
        <v>19</v>
      </c>
      <c r="C15475" s="1" t="str">
        <f>"6차"</f>
        <v>6차</v>
      </c>
      <c r="D15475" s="1" t="str">
        <f>"0129H1316S"</f>
        <v>0129H1316S</v>
      </c>
      <c r="E15475" s="1" t="s">
        <v>10</v>
      </c>
      <c r="F15475" s="1" t="str">
        <f>"fde1:103:4:9314:0:0:0:2"</f>
        <v>fde1:103:4:9314:0:0:0:2</v>
      </c>
      <c r="G15475" s="1" t="str">
        <f>"0129H131"</f>
        <v>0129H131</v>
      </c>
      <c r="H15475" s="1" t="str">
        <f>"신일간 36L9L1"</f>
        <v>신일간 36L9L1</v>
      </c>
      <c r="I15475" s="1" t="s">
        <v>15</v>
      </c>
      <c r="J15475" s="1" t="str">
        <f>"70/70"</f>
        <v>70/70</v>
      </c>
      <c r="K15475" s="1" t="str">
        <f>"2026-07-29 14:20:51"</f>
        <v>2026-07-29 14:20:51</v>
      </c>
      <c r="L15475" s="1" t="str">
        <f>"2025-02-11 18:20:37"</f>
        <v>2025-02-11 18:20:37</v>
      </c>
      <c r="M15475" s="1" t="s">
        <v>4</v>
      </c>
      <c r="N15475" s="1" t="s">
        <v>38</v>
      </c>
      <c r="O15475" s="1" t="s">
        <v>46</v>
      </c>
    </row>
    <row r="15476" spans="2:15" x14ac:dyDescent="0.3">
      <c r="B15476" s="1" t="s">
        <v>19</v>
      </c>
      <c r="C15476" s="1" t="str">
        <f>"2차"</f>
        <v>2차</v>
      </c>
      <c r="D15476" s="1" t="str">
        <f>"0129H18121"</f>
        <v>0129H18121</v>
      </c>
      <c r="E15476" s="1" t="s">
        <v>10</v>
      </c>
      <c r="F15476" s="1" t="str">
        <f>"10.107.123.101"</f>
        <v>10.107.123.101</v>
      </c>
      <c r="G15476" s="1" t="str">
        <f>"0129H181"</f>
        <v>0129H181</v>
      </c>
      <c r="H15476" s="1" t="str">
        <f>"신일간 99L8L2R3"</f>
        <v>신일간 99L8L2R3</v>
      </c>
      <c r="I15476" s="1" t="s">
        <v>8</v>
      </c>
      <c r="J15476" s="1" t="str">
        <f>"112/112"</f>
        <v>112/112</v>
      </c>
      <c r="K15476" s="1" t="str">
        <f>"2026-07-29 13:18:01"</f>
        <v>2026-07-29 13:18:01</v>
      </c>
      <c r="L15476" s="1" t="str">
        <f>"2017-07-04 13:34:53"</f>
        <v>2017-07-04 13:34:53</v>
      </c>
      <c r="M15476" s="1" t="s">
        <v>45</v>
      </c>
      <c r="N15476" s="1" t="s">
        <v>38</v>
      </c>
      <c r="O15476" s="1" t="s">
        <v>46</v>
      </c>
    </row>
    <row r="15477" spans="2:15" x14ac:dyDescent="0.3">
      <c r="B15477" s="1" t="s">
        <v>19</v>
      </c>
      <c r="C15477" s="1" t="str">
        <f>"2차"</f>
        <v>2차</v>
      </c>
      <c r="D15477" s="1" t="str">
        <f>"0129H21120"</f>
        <v>0129H21120</v>
      </c>
      <c r="E15477" s="1" t="s">
        <v>10</v>
      </c>
      <c r="F15477" s="1" t="str">
        <f>"10.107.123.102"</f>
        <v>10.107.123.102</v>
      </c>
      <c r="G15477" s="1" t="str">
        <f>"0129H211"</f>
        <v>0129H211</v>
      </c>
      <c r="H15477" s="1" t="str">
        <f>"신일간 95L3"</f>
        <v>신일간 95L3</v>
      </c>
      <c r="I15477" s="1" t="s">
        <v>8</v>
      </c>
      <c r="J15477" s="1" t="str">
        <f>"55/56"</f>
        <v>55/56</v>
      </c>
      <c r="K15477" s="1" t="str">
        <f>"2026-07-29 13:18:02"</f>
        <v>2026-07-29 13:18:02</v>
      </c>
      <c r="L15477" s="1" t="str">
        <f>"2017-06-26 11:47:40"</f>
        <v>2017-06-26 11:47:40</v>
      </c>
      <c r="M15477" s="1" t="s">
        <v>45</v>
      </c>
      <c r="N15477" s="1" t="s">
        <v>38</v>
      </c>
      <c r="O15477" s="1" t="s">
        <v>46</v>
      </c>
    </row>
    <row r="15478" spans="2:15" x14ac:dyDescent="0.3">
      <c r="B15478" s="1" t="s">
        <v>19</v>
      </c>
      <c r="C15478" s="1" t="str">
        <f>"6차"</f>
        <v>6차</v>
      </c>
      <c r="D15478" s="1" t="str">
        <f>"0129H2216S"</f>
        <v>0129H2216S</v>
      </c>
      <c r="E15478" s="1" t="s">
        <v>10</v>
      </c>
      <c r="F15478" s="1" t="str">
        <f>"fde1:103:4:931e:0:0:0:2"</f>
        <v>fde1:103:4:931e:0:0:0:2</v>
      </c>
      <c r="G15478" s="1" t="str">
        <f>"0129H221"</f>
        <v>0129H221</v>
      </c>
      <c r="H15478" s="1" t="str">
        <f>"신일간 36L9L1R1"</f>
        <v>신일간 36L9L1R1</v>
      </c>
      <c r="I15478" s="1" t="s">
        <v>15</v>
      </c>
      <c r="J15478" s="1" t="str">
        <f>"45/45"</f>
        <v>45/45</v>
      </c>
      <c r="K15478" s="1" t="str">
        <f>"2026-07-29 14:20:14"</f>
        <v>2026-07-29 14:20:14</v>
      </c>
      <c r="L15478" s="1" t="str">
        <f>"2025-02-11 18:08:48"</f>
        <v>2025-02-11 18:08:48</v>
      </c>
      <c r="M15478" s="1" t="s">
        <v>4</v>
      </c>
      <c r="N15478" s="1" t="s">
        <v>38</v>
      </c>
      <c r="O15478" s="1" t="s">
        <v>46</v>
      </c>
    </row>
    <row r="15479" spans="2:15" x14ac:dyDescent="0.3">
      <c r="B15479" s="1" t="s">
        <v>19</v>
      </c>
      <c r="C15479" s="1" t="str">
        <f>"6차"</f>
        <v>6차</v>
      </c>
      <c r="D15479" s="1" t="str">
        <f>"0129H2326S"</f>
        <v>0129H2326S</v>
      </c>
      <c r="E15479" s="1" t="s">
        <v>10</v>
      </c>
      <c r="F15479" s="1" t="str">
        <f>"fde1:103:4:9324:0:0:0:2"</f>
        <v>fde1:103:4:9324:0:0:0:2</v>
      </c>
      <c r="G15479" s="1" t="str">
        <f>"0129H232"</f>
        <v>0129H232</v>
      </c>
      <c r="H15479" s="1" t="str">
        <f>"신일간 36L9L2R1"</f>
        <v>신일간 36L9L2R1</v>
      </c>
      <c r="I15479" s="1" t="s">
        <v>15</v>
      </c>
      <c r="J15479" s="1" t="str">
        <f>"67/67"</f>
        <v>67/67</v>
      </c>
      <c r="K15479" s="1" t="str">
        <f>"2026-07-29 14:20:22"</f>
        <v>2026-07-29 14:20:22</v>
      </c>
      <c r="L15479" s="1" t="str">
        <f>"2025-02-11 18:21:24"</f>
        <v>2025-02-11 18:21:24</v>
      </c>
      <c r="M15479" s="1" t="s">
        <v>4</v>
      </c>
      <c r="N15479" s="1" t="s">
        <v>38</v>
      </c>
      <c r="O15479" s="1" t="s">
        <v>46</v>
      </c>
    </row>
    <row r="15480" spans="2:15" x14ac:dyDescent="0.3">
      <c r="B15480" s="1" t="s">
        <v>19</v>
      </c>
      <c r="C15480" s="1" t="str">
        <f>"5-2차"</f>
        <v>5-2차</v>
      </c>
      <c r="D15480" s="1" t="str">
        <f>"0129H2715S"</f>
        <v>0129H2715S</v>
      </c>
      <c r="E15480" s="1" t="s">
        <v>10</v>
      </c>
      <c r="F15480" s="1" t="str">
        <f>"fde3:102:1410:9300:0:0:0:9"</f>
        <v>fde3:102:1410:9300:0:0:0:9</v>
      </c>
      <c r="G15480" s="1" t="str">
        <f>"0129H271"</f>
        <v>0129H271</v>
      </c>
      <c r="H15480" s="1" t="str">
        <f>"신일간 99L8L3"</f>
        <v>신일간 99L8L3</v>
      </c>
      <c r="I15480" s="1" t="s">
        <v>15</v>
      </c>
      <c r="J15480" s="1" t="str">
        <f>"66/66"</f>
        <v>66/66</v>
      </c>
      <c r="K15480" s="1" t="str">
        <f>"2026-07-29 14:20:51"</f>
        <v>2026-07-29 14:20:51</v>
      </c>
      <c r="L15480" s="1" t="str">
        <f>"2023-08-09 11:11:22"</f>
        <v>2023-08-09 11:11:22</v>
      </c>
      <c r="M15480" s="1" t="s">
        <v>45</v>
      </c>
      <c r="N15480" s="1" t="s">
        <v>38</v>
      </c>
      <c r="O15480" s="1" t="s">
        <v>46</v>
      </c>
    </row>
    <row r="15481" spans="2:15" x14ac:dyDescent="0.3">
      <c r="B15481" s="1" t="s">
        <v>19</v>
      </c>
      <c r="C15481" s="1" t="str">
        <f>"5-2차"</f>
        <v>5-2차</v>
      </c>
      <c r="D15481" s="1" t="str">
        <f>"0129H2815S"</f>
        <v>0129H2815S</v>
      </c>
      <c r="E15481" s="1" t="s">
        <v>10</v>
      </c>
      <c r="F15481" s="1" t="str">
        <f>"fde3:102:1410:9300:0:0:0:7"</f>
        <v>fde3:102:1410:9300:0:0:0:7</v>
      </c>
      <c r="G15481" s="1" t="str">
        <f>"0129H281"</f>
        <v>0129H281</v>
      </c>
      <c r="H15481" s="1" t="str">
        <f>"신일간 99L8L2R1"</f>
        <v>신일간 99L8L2R1</v>
      </c>
      <c r="I15481" s="1" t="s">
        <v>15</v>
      </c>
      <c r="J15481" s="1" t="str">
        <f>"40/40"</f>
        <v>40/40</v>
      </c>
      <c r="K15481" s="1" t="str">
        <f>"2026-07-29 14:20:51"</f>
        <v>2026-07-29 14:20:51</v>
      </c>
      <c r="L15481" s="1" t="str">
        <f>"2023-08-09 11:16:10"</f>
        <v>2023-08-09 11:16:10</v>
      </c>
      <c r="M15481" s="1" t="s">
        <v>45</v>
      </c>
      <c r="N15481" s="1" t="s">
        <v>38</v>
      </c>
      <c r="O15481" s="1" t="s">
        <v>46</v>
      </c>
    </row>
    <row r="15482" spans="2:15" x14ac:dyDescent="0.3">
      <c r="B15482" s="1" t="s">
        <v>19</v>
      </c>
      <c r="C15482" s="1" t="str">
        <f>"2차"</f>
        <v>2차</v>
      </c>
      <c r="D15482" s="1" t="str">
        <f>"0129H28220"</f>
        <v>0129H28220</v>
      </c>
      <c r="E15482" s="1" t="s">
        <v>10</v>
      </c>
      <c r="F15482" s="1" t="str">
        <f>"10.107.123.100"</f>
        <v>10.107.123.100</v>
      </c>
      <c r="G15482" s="1" t="str">
        <f>"0129H282"</f>
        <v>0129H282</v>
      </c>
      <c r="H15482" s="1" t="str">
        <f>"신일간 99L8L2R2"</f>
        <v>신일간 99L8L2R2</v>
      </c>
      <c r="I15482" s="1" t="s">
        <v>8</v>
      </c>
      <c r="J15482" s="1" t="str">
        <f>"48/48"</f>
        <v>48/48</v>
      </c>
      <c r="K15482" s="1" t="str">
        <f>"2026-07-29 13:18:01"</f>
        <v>2026-07-29 13:18:01</v>
      </c>
      <c r="L15482" s="1" t="str">
        <f>"2017-07-04 13:40:08"</f>
        <v>2017-07-04 13:40:08</v>
      </c>
      <c r="M15482" s="1" t="s">
        <v>45</v>
      </c>
      <c r="N15482" s="1" t="s">
        <v>38</v>
      </c>
      <c r="O15482" s="1" t="s">
        <v>46</v>
      </c>
    </row>
    <row r="15483" spans="2:15" x14ac:dyDescent="0.3">
      <c r="B15483" s="1" t="s">
        <v>19</v>
      </c>
      <c r="C15483" s="1" t="str">
        <f>"1차"</f>
        <v>1차</v>
      </c>
      <c r="D15483" s="1" t="str">
        <f>"0129H28400"</f>
        <v>0129H28400</v>
      </c>
      <c r="E15483" s="1" t="s">
        <v>10</v>
      </c>
      <c r="F15483" s="1" t="str">
        <f>"10.107.123.98"</f>
        <v>10.107.123.98</v>
      </c>
      <c r="G15483" s="1" t="str">
        <f>"0129H284"</f>
        <v>0129H284</v>
      </c>
      <c r="H15483" s="1" t="str">
        <f>"신일간 99L8L1R2"</f>
        <v>신일간 99L8L1R2</v>
      </c>
      <c r="I15483" s="1" t="s">
        <v>8</v>
      </c>
      <c r="J15483" s="1" t="str">
        <f>"42/42"</f>
        <v>42/42</v>
      </c>
      <c r="K15483" s="1" t="str">
        <f>"2026-07-29 13:18:01"</f>
        <v>2026-07-29 13:18:01</v>
      </c>
      <c r="L15483" s="1" t="str">
        <f>"2015-08-12 08:45:02"</f>
        <v>2015-08-12 08:45:02</v>
      </c>
      <c r="M15483" s="1" t="s">
        <v>45</v>
      </c>
      <c r="N15483" s="1" t="s">
        <v>38</v>
      </c>
      <c r="O15483" s="1" t="s">
        <v>46</v>
      </c>
    </row>
    <row r="15484" spans="2:15" x14ac:dyDescent="0.3">
      <c r="B15484" s="1" t="s">
        <v>19</v>
      </c>
      <c r="C15484" s="1" t="str">
        <f>"5-2차"</f>
        <v>5-2차</v>
      </c>
      <c r="D15484" s="1" t="str">
        <f>"0129H2915S"</f>
        <v>0129H2915S</v>
      </c>
      <c r="E15484" s="1" t="s">
        <v>10</v>
      </c>
      <c r="F15484" s="1" t="str">
        <f>"fde3:102:1410:9300:0:0:0:8"</f>
        <v>fde3:102:1410:9300:0:0:0:8</v>
      </c>
      <c r="G15484" s="1" t="str">
        <f>"0129H291"</f>
        <v>0129H291</v>
      </c>
      <c r="H15484" s="1" t="str">
        <f>"신일간 99L8L1R3"</f>
        <v>신일간 99L8L1R3</v>
      </c>
      <c r="I15484" s="1" t="s">
        <v>15</v>
      </c>
      <c r="J15484" s="1" t="str">
        <f>"42/42"</f>
        <v>42/42</v>
      </c>
      <c r="K15484" s="1" t="str">
        <f>"2026-07-29 14:20:24"</f>
        <v>2026-07-29 14:20:24</v>
      </c>
      <c r="L15484" s="1" t="str">
        <f>"2023-08-09 11:12:16"</f>
        <v>2023-08-09 11:12:16</v>
      </c>
      <c r="M15484" s="1" t="s">
        <v>45</v>
      </c>
      <c r="N15484" s="1" t="s">
        <v>38</v>
      </c>
      <c r="O15484" s="1" t="s">
        <v>46</v>
      </c>
    </row>
    <row r="15485" spans="2:15" x14ac:dyDescent="0.3">
      <c r="B15485" s="1" t="s">
        <v>19</v>
      </c>
      <c r="C15485" s="1" t="str">
        <f>"2차"</f>
        <v>2차</v>
      </c>
      <c r="D15485" s="1" t="str">
        <f>"0129H31121"</f>
        <v>0129H31121</v>
      </c>
      <c r="E15485" s="1" t="s">
        <v>10</v>
      </c>
      <c r="F15485" s="1" t="str">
        <f>"10.107.123.103"</f>
        <v>10.107.123.103</v>
      </c>
      <c r="G15485" s="1" t="str">
        <f>"0129H311"</f>
        <v>0129H311</v>
      </c>
      <c r="H15485" s="1" t="str">
        <f>"신일간 95L2"</f>
        <v>신일간 95L2</v>
      </c>
      <c r="I15485" s="1" t="s">
        <v>8</v>
      </c>
      <c r="J15485" s="1" t="str">
        <f>"30/30"</f>
        <v>30/30</v>
      </c>
      <c r="K15485" s="1" t="str">
        <f>"2026-07-29 13:18:02"</f>
        <v>2026-07-29 13:18:02</v>
      </c>
      <c r="L15485" s="1" t="str">
        <f>"2017-07-12 16:38:10"</f>
        <v>2017-07-12 16:38:10</v>
      </c>
      <c r="M15485" s="1" t="s">
        <v>45</v>
      </c>
      <c r="N15485" s="1" t="s">
        <v>38</v>
      </c>
      <c r="O15485" s="1" t="s">
        <v>46</v>
      </c>
    </row>
    <row r="15486" spans="2:15" x14ac:dyDescent="0.3">
      <c r="B15486" s="1" t="s">
        <v>19</v>
      </c>
      <c r="C15486" s="1" t="str">
        <f>"5-2차"</f>
        <v>5-2차</v>
      </c>
      <c r="D15486" s="1" t="str">
        <f>"0129H3425S"</f>
        <v>0129H3425S</v>
      </c>
      <c r="E15486" s="1" t="s">
        <v>10</v>
      </c>
      <c r="F15486" s="1" t="str">
        <f>"fde1:103:4:6eec:0:0:0:2"</f>
        <v>fde1:103:4:6eec:0:0:0:2</v>
      </c>
      <c r="G15486" s="1" t="str">
        <f>"0129H342"</f>
        <v>0129H342</v>
      </c>
      <c r="H15486" s="1" t="str">
        <f>"신일간 36L9L4"</f>
        <v>신일간 36L9L4</v>
      </c>
      <c r="I15486" s="1" t="s">
        <v>15</v>
      </c>
      <c r="J15486" s="1" t="str">
        <f>"30/30"</f>
        <v>30/30</v>
      </c>
      <c r="K15486" s="1" t="str">
        <f>"2026-07-29 14:20:14"</f>
        <v>2026-07-29 14:20:14</v>
      </c>
      <c r="L15486" s="1" t="str">
        <f>"2023-11-15 11:17:14"</f>
        <v>2023-11-15 11:17:14</v>
      </c>
      <c r="M15486" s="1" t="s">
        <v>4</v>
      </c>
      <c r="N15486" s="1" t="s">
        <v>38</v>
      </c>
      <c r="O15486" s="1" t="s">
        <v>46</v>
      </c>
    </row>
    <row r="15487" spans="2:15" x14ac:dyDescent="0.3">
      <c r="B15487" s="1" t="s">
        <v>19</v>
      </c>
      <c r="C15487" s="1" t="str">
        <f>"5-2차"</f>
        <v>5-2차</v>
      </c>
      <c r="D15487" s="1" t="str">
        <f>"0129H3725S"</f>
        <v>0129H3725S</v>
      </c>
      <c r="E15487" s="1" t="s">
        <v>10</v>
      </c>
      <c r="F15487" s="1" t="str">
        <f>"fde3:102:1410:9300:0:0:0:6"</f>
        <v>fde3:102:1410:9300:0:0:0:6</v>
      </c>
      <c r="G15487" s="1" t="str">
        <f>"0129H372"</f>
        <v>0129H372</v>
      </c>
      <c r="H15487" s="1" t="str">
        <f>"신일간 99L8L2"</f>
        <v>신일간 99L8L2</v>
      </c>
      <c r="I15487" s="1" t="s">
        <v>15</v>
      </c>
      <c r="J15487" s="1" t="str">
        <f>"50/50"</f>
        <v>50/50</v>
      </c>
      <c r="K15487" s="1" t="str">
        <f>"2026-07-29 14:20:24"</f>
        <v>2026-07-29 14:20:24</v>
      </c>
      <c r="L15487" s="1" t="str">
        <f>"2023-08-09 11:10:08"</f>
        <v>2023-08-09 11:10:08</v>
      </c>
      <c r="M15487" s="1" t="s">
        <v>45</v>
      </c>
      <c r="N15487" s="1" t="s">
        <v>38</v>
      </c>
      <c r="O15487" s="1" t="s">
        <v>46</v>
      </c>
    </row>
    <row r="15488" spans="2:15" x14ac:dyDescent="0.3">
      <c r="B15488" s="1" t="s">
        <v>19</v>
      </c>
      <c r="C15488" s="1" t="str">
        <f>"5-2차"</f>
        <v>5-2차</v>
      </c>
      <c r="D15488" s="1" t="str">
        <f>"0129H3825M"</f>
        <v>0129H3825M</v>
      </c>
      <c r="E15488" s="1" t="s">
        <v>10</v>
      </c>
      <c r="F15488" s="1" t="str">
        <f>"fde3:102:1410:9300:0:0:0:4"</f>
        <v>fde3:102:1410:9300:0:0:0:4</v>
      </c>
      <c r="G15488" s="1" t="str">
        <f>"0129H382"</f>
        <v>0129H382</v>
      </c>
      <c r="H15488" s="1" t="str">
        <f>"신일간 99L9"</f>
        <v>신일간 99L9</v>
      </c>
      <c r="I15488" s="1" t="s">
        <v>15</v>
      </c>
      <c r="J15488" s="1" t="str">
        <f>"36/36"</f>
        <v>36/36</v>
      </c>
      <c r="K15488" s="1" t="str">
        <f>"2026-07-29 14:20:15"</f>
        <v>2026-07-29 14:20:15</v>
      </c>
      <c r="L15488" s="1" t="str">
        <f>"2023-08-09 11:15:43"</f>
        <v>2023-08-09 11:15:43</v>
      </c>
      <c r="M15488" s="1" t="s">
        <v>45</v>
      </c>
      <c r="N15488" s="1" t="s">
        <v>38</v>
      </c>
      <c r="O15488" s="1" t="s">
        <v>46</v>
      </c>
    </row>
    <row r="15489" spans="2:15" x14ac:dyDescent="0.3">
      <c r="B15489" s="1" t="s">
        <v>19</v>
      </c>
      <c r="C15489" s="1" t="str">
        <f>"6차"</f>
        <v>6차</v>
      </c>
      <c r="D15489" s="1" t="str">
        <f>"0129H4016S"</f>
        <v>0129H4016S</v>
      </c>
      <c r="E15489" s="1" t="s">
        <v>10</v>
      </c>
      <c r="F15489" s="1" t="str">
        <f>"fde1:103:4:935e:0:0:0:2"</f>
        <v>fde1:103:4:935e:0:0:0:2</v>
      </c>
      <c r="G15489" s="1" t="str">
        <f>"0129H401"</f>
        <v>0129H401</v>
      </c>
      <c r="H15489" s="1" t="str">
        <f>"신일간 95"</f>
        <v>신일간 95</v>
      </c>
      <c r="I15489" s="1" t="s">
        <v>15</v>
      </c>
      <c r="J15489" s="1" t="str">
        <f>"71/71"</f>
        <v>71/71</v>
      </c>
      <c r="K15489" s="1" t="str">
        <f>"2026-07-29 08:20:17"</f>
        <v>2026-07-29 08:20:17</v>
      </c>
      <c r="L15489" s="1" t="str">
        <f>"2025-02-18 15:53:54"</f>
        <v>2025-02-18 15:53:54</v>
      </c>
      <c r="M15489" s="1" t="s">
        <v>4</v>
      </c>
      <c r="N15489" s="1" t="s">
        <v>38</v>
      </c>
      <c r="O15489" s="1" t="s">
        <v>46</v>
      </c>
    </row>
    <row r="15490" spans="2:15" x14ac:dyDescent="0.3">
      <c r="B15490" s="1" t="s">
        <v>19</v>
      </c>
      <c r="C15490" s="1" t="str">
        <f>"1차"</f>
        <v>1차</v>
      </c>
      <c r="D15490" s="1" t="str">
        <f>"0129H41100"</f>
        <v>0129H41100</v>
      </c>
      <c r="E15490" s="1" t="s">
        <v>10</v>
      </c>
      <c r="F15490" s="1" t="str">
        <f>"10.107.123.99"</f>
        <v>10.107.123.99</v>
      </c>
      <c r="G15490" s="1" t="str">
        <f>"0129H411"</f>
        <v>0129H411</v>
      </c>
      <c r="H15490" s="1" t="str">
        <f>"신일간 96"</f>
        <v>신일간 96</v>
      </c>
      <c r="I15490" s="1" t="s">
        <v>8</v>
      </c>
      <c r="J15490" s="1" t="str">
        <f>"43/43"</f>
        <v>43/43</v>
      </c>
      <c r="K15490" s="1" t="str">
        <f>"2026-07-29 13:18:01"</f>
        <v>2026-07-29 13:18:01</v>
      </c>
      <c r="L15490" s="1" t="str">
        <f>"2015-08-12 09:00:16"</f>
        <v>2015-08-12 09:00:16</v>
      </c>
      <c r="M15490" s="1" t="s">
        <v>45</v>
      </c>
      <c r="N15490" s="1" t="s">
        <v>38</v>
      </c>
      <c r="O15490" s="1" t="s">
        <v>46</v>
      </c>
    </row>
    <row r="15491" spans="2:15" x14ac:dyDescent="0.3">
      <c r="B15491" s="1" t="s">
        <v>19</v>
      </c>
      <c r="C15491" s="1" t="str">
        <f>"6차"</f>
        <v>6차</v>
      </c>
      <c r="D15491" s="1" t="str">
        <f>"0129H4126S"</f>
        <v>0129H4126S</v>
      </c>
      <c r="E15491" s="1" t="s">
        <v>10</v>
      </c>
      <c r="F15491" s="1" t="str">
        <f>"fde1:103:4:93a9:0:0:0:2"</f>
        <v>fde1:103:4:93a9:0:0:0:2</v>
      </c>
      <c r="G15491" s="1" t="str">
        <f>"0129H412"</f>
        <v>0129H412</v>
      </c>
      <c r="H15491" s="1" t="str">
        <f>"신일간 96L1"</f>
        <v>신일간 96L1</v>
      </c>
      <c r="I15491" s="1" t="s">
        <v>15</v>
      </c>
      <c r="J15491" s="1" t="str">
        <f>"67/67"</f>
        <v>67/67</v>
      </c>
      <c r="K15491" s="1" t="str">
        <f>"2026-07-29 14:20:14"</f>
        <v>2026-07-29 14:20:14</v>
      </c>
      <c r="L15491" s="1" t="str">
        <f>"2025-02-11 18:09:56"</f>
        <v>2025-02-11 18:09:56</v>
      </c>
      <c r="M15491" s="1" t="s">
        <v>4</v>
      </c>
      <c r="N15491" s="1" t="s">
        <v>38</v>
      </c>
      <c r="O15491" s="1" t="s">
        <v>46</v>
      </c>
    </row>
    <row r="15492" spans="2:15" x14ac:dyDescent="0.3">
      <c r="B15492" s="1" t="s">
        <v>19</v>
      </c>
      <c r="C15492" s="1" t="str">
        <f>"5-2차"</f>
        <v>5-2차</v>
      </c>
      <c r="D15492" s="1" t="str">
        <f>"0129H4215S"</f>
        <v>0129H4215S</v>
      </c>
      <c r="E15492" s="1" t="s">
        <v>10</v>
      </c>
      <c r="F15492" s="1" t="str">
        <f>"fde3:102:1410:9300:0:0:0:2"</f>
        <v>fde3:102:1410:9300:0:0:0:2</v>
      </c>
      <c r="G15492" s="1" t="str">
        <f>"0129H421"</f>
        <v>0129H421</v>
      </c>
      <c r="H15492" s="1" t="str">
        <f>"신일간 98"</f>
        <v>신일간 98</v>
      </c>
      <c r="I15492" s="1" t="s">
        <v>15</v>
      </c>
      <c r="J15492" s="1" t="str">
        <f>"44/44"</f>
        <v>44/44</v>
      </c>
      <c r="K15492" s="1" t="str">
        <f>"2026-07-29 14:20:16"</f>
        <v>2026-07-29 14:20:16</v>
      </c>
      <c r="L15492" s="1" t="str">
        <f>"2023-08-09 11:17:33"</f>
        <v>2023-08-09 11:17:33</v>
      </c>
      <c r="M15492" s="1" t="s">
        <v>45</v>
      </c>
      <c r="N15492" s="1" t="s">
        <v>38</v>
      </c>
      <c r="O15492" s="1" t="s">
        <v>46</v>
      </c>
    </row>
    <row r="15493" spans="2:15" x14ac:dyDescent="0.3">
      <c r="B15493" s="1" t="s">
        <v>19</v>
      </c>
      <c r="C15493" s="1" t="str">
        <f>"5-2차"</f>
        <v>5-2차</v>
      </c>
      <c r="D15493" s="1" t="str">
        <f>"0129H5045S"</f>
        <v>0129H5045S</v>
      </c>
      <c r="E15493" s="1" t="s">
        <v>10</v>
      </c>
      <c r="F15493" s="1" t="str">
        <f>"fde3:102:1410:9300:0:0:0:c"</f>
        <v>fde3:102:1410:9300:0:0:0:c</v>
      </c>
      <c r="G15493" s="1" t="str">
        <f>"0129H504"</f>
        <v>0129H504</v>
      </c>
      <c r="H15493" s="1" t="str">
        <f>"대지간 131L4"</f>
        <v>대지간 131L4</v>
      </c>
      <c r="I15493" s="1" t="s">
        <v>15</v>
      </c>
      <c r="J15493" s="1" t="str">
        <f>"36/36"</f>
        <v>36/36</v>
      </c>
      <c r="K15493" s="1" t="str">
        <f>"2026-07-29 14:20:23"</f>
        <v>2026-07-29 14:20:23</v>
      </c>
      <c r="L15493" s="1" t="str">
        <f>"2023-08-09 11:15:30"</f>
        <v>2023-08-09 11:15:30</v>
      </c>
      <c r="M15493" s="1" t="s">
        <v>45</v>
      </c>
      <c r="N15493" s="1" t="s">
        <v>38</v>
      </c>
      <c r="O15493" s="1" t="s">
        <v>46</v>
      </c>
    </row>
    <row r="15494" spans="2:15" x14ac:dyDescent="0.3">
      <c r="B15494" s="1" t="s">
        <v>19</v>
      </c>
      <c r="C15494" s="1" t="str">
        <f>"6차"</f>
        <v>6차</v>
      </c>
      <c r="D15494" s="1" t="str">
        <f>"0129H5326S"</f>
        <v>0129H5326S</v>
      </c>
      <c r="E15494" s="1" t="s">
        <v>10</v>
      </c>
      <c r="F15494" s="1" t="str">
        <f>"fde1:103:4:93ba:0:0:0:2"</f>
        <v>fde1:103:4:93ba:0:0:0:2</v>
      </c>
      <c r="G15494" s="1" t="str">
        <f>"0129H532"</f>
        <v>0129H532</v>
      </c>
      <c r="H15494" s="1" t="str">
        <f>"신일간 99L1"</f>
        <v>신일간 99L1</v>
      </c>
      <c r="I15494" s="1" t="s">
        <v>15</v>
      </c>
      <c r="J15494" s="1" t="str">
        <f>"53/53"</f>
        <v>53/53</v>
      </c>
      <c r="K15494" s="1" t="str">
        <f>"2026-07-29 14:20:15"</f>
        <v>2026-07-29 14:20:15</v>
      </c>
      <c r="L15494" s="1" t="str">
        <f>"2025-02-11 18:09:06"</f>
        <v>2025-02-11 18:09:06</v>
      </c>
      <c r="M15494" s="1" t="s">
        <v>4</v>
      </c>
      <c r="N15494" s="1" t="s">
        <v>38</v>
      </c>
      <c r="O15494" s="1" t="s">
        <v>46</v>
      </c>
    </row>
    <row r="15495" spans="2:15" x14ac:dyDescent="0.3">
      <c r="B15495" s="1" t="s">
        <v>19</v>
      </c>
      <c r="C15495" s="1" t="str">
        <f>"5-2차"</f>
        <v>5-2차</v>
      </c>
      <c r="D15495" s="1" t="str">
        <f>"0129H6015S"</f>
        <v>0129H6015S</v>
      </c>
      <c r="E15495" s="1" t="s">
        <v>10</v>
      </c>
      <c r="F15495" s="1" t="str">
        <f>"fde3:102:1410:9300:0:0:0:b"</f>
        <v>fde3:102:1410:9300:0:0:0:b</v>
      </c>
      <c r="G15495" s="1" t="str">
        <f>"0129H601"</f>
        <v>0129H601</v>
      </c>
      <c r="H15495" s="1" t="str">
        <f>"대지간 137"</f>
        <v>대지간 137</v>
      </c>
      <c r="I15495" s="1" t="s">
        <v>15</v>
      </c>
      <c r="J15495" s="1" t="str">
        <f>"50/50"</f>
        <v>50/50</v>
      </c>
      <c r="K15495" s="1" t="str">
        <f>"2026-07-29 14:20:17"</f>
        <v>2026-07-29 14:20:17</v>
      </c>
      <c r="L15495" s="1" t="str">
        <f>"2023-08-09 11:13:22"</f>
        <v>2023-08-09 11:13:22</v>
      </c>
      <c r="M15495" s="1" t="s">
        <v>45</v>
      </c>
      <c r="N15495" s="1" t="s">
        <v>38</v>
      </c>
      <c r="O15495" s="1" t="s">
        <v>46</v>
      </c>
    </row>
    <row r="15496" spans="2:15" x14ac:dyDescent="0.3">
      <c r="B15496" s="1" t="s">
        <v>19</v>
      </c>
      <c r="C15496" s="1" t="str">
        <f>"5-2차"</f>
        <v>5-2차</v>
      </c>
      <c r="D15496" s="1" t="str">
        <f>"0129H6515M"</f>
        <v>0129H6515M</v>
      </c>
      <c r="E15496" s="1" t="s">
        <v>10</v>
      </c>
      <c r="F15496" s="1" t="str">
        <f>"fde3:102:1410:1100:0:0:0:d"</f>
        <v>fde3:102:1410:1100:0:0:0:d</v>
      </c>
      <c r="G15496" s="1" t="str">
        <f>"0129H651"</f>
        <v>0129H651</v>
      </c>
      <c r="H15496" s="1" t="str">
        <f>"동방지 32R3"</f>
        <v>동방지 32R3</v>
      </c>
      <c r="I15496" s="1" t="s">
        <v>15</v>
      </c>
      <c r="J15496" s="1" t="str">
        <f>"55/55"</f>
        <v>55/55</v>
      </c>
      <c r="K15496" s="1" t="str">
        <f>"2026-07-29 14:20:02"</f>
        <v>2026-07-29 14:20:02</v>
      </c>
      <c r="L15496" s="1" t="str">
        <f>"2023-08-07 12:06:04"</f>
        <v>2023-08-07 12:06:04</v>
      </c>
      <c r="M15496" s="1" t="s">
        <v>45</v>
      </c>
      <c r="N15496" s="1" t="s">
        <v>38</v>
      </c>
      <c r="O15496" s="1" t="s">
        <v>46</v>
      </c>
    </row>
    <row r="15497" spans="2:15" x14ac:dyDescent="0.3">
      <c r="B15497" s="1" t="s">
        <v>19</v>
      </c>
      <c r="C15497" s="1" t="str">
        <f>"4차"</f>
        <v>4차</v>
      </c>
      <c r="D15497" s="1" t="str">
        <f>"0129H66220"</f>
        <v>0129H66220</v>
      </c>
      <c r="E15497" s="1" t="s">
        <v>10</v>
      </c>
      <c r="F15497" s="1" t="str">
        <f>"10.107.250.7"</f>
        <v>10.107.250.7</v>
      </c>
      <c r="G15497" s="1" t="str">
        <f>"0129H662"</f>
        <v>0129H662</v>
      </c>
      <c r="H15497" s="1" t="str">
        <f>"동방지 32R4"</f>
        <v>동방지 32R4</v>
      </c>
      <c r="I15497" s="1" t="s">
        <v>8</v>
      </c>
      <c r="J15497" s="1" t="str">
        <f>"52/52"</f>
        <v>52/52</v>
      </c>
      <c r="K15497" s="1" t="str">
        <f>"2026-07-29 13:18:01"</f>
        <v>2026-07-29 13:18:01</v>
      </c>
      <c r="L15497" s="1" t="str">
        <f>"2017-07-12 15:17:39"</f>
        <v>2017-07-12 15:17:39</v>
      </c>
      <c r="M15497" s="1" t="s">
        <v>45</v>
      </c>
      <c r="N15497" s="1" t="s">
        <v>38</v>
      </c>
      <c r="O15497" s="1" t="s">
        <v>46</v>
      </c>
    </row>
    <row r="15498" spans="2:15" x14ac:dyDescent="0.3">
      <c r="B15498" s="1" t="s">
        <v>19</v>
      </c>
      <c r="C15498" s="1" t="str">
        <f>"5-2차"</f>
        <v>5-2차</v>
      </c>
      <c r="D15498" s="1" t="str">
        <f>"0129H7315S"</f>
        <v>0129H7315S</v>
      </c>
      <c r="E15498" s="1" t="s">
        <v>10</v>
      </c>
      <c r="F15498" s="1" t="str">
        <f>"fde1:103:4:6ee6:0:0:0:2"</f>
        <v>fde1:103:4:6ee6:0:0:0:2</v>
      </c>
      <c r="G15498" s="1" t="str">
        <f>"0129H731"</f>
        <v>0129H731</v>
      </c>
      <c r="H15498" s="1" t="str">
        <f>"동방지 33"</f>
        <v>동방지 33</v>
      </c>
      <c r="I15498" s="1" t="s">
        <v>15</v>
      </c>
      <c r="J15498" s="1" t="str">
        <f>"42/42"</f>
        <v>42/42</v>
      </c>
      <c r="K15498" s="1" t="str">
        <f>"2026-07-29 14:21:03"</f>
        <v>2026-07-29 14:21:03</v>
      </c>
      <c r="L15498" s="1" t="str">
        <f>"2023-11-15 11:17:16"</f>
        <v>2023-11-15 11:17:16</v>
      </c>
      <c r="M15498" s="1" t="s">
        <v>4</v>
      </c>
      <c r="N15498" s="1" t="s">
        <v>38</v>
      </c>
      <c r="O15498" s="1" t="s">
        <v>46</v>
      </c>
    </row>
    <row r="15499" spans="2:15" x14ac:dyDescent="0.3">
      <c r="B15499" s="1" t="s">
        <v>19</v>
      </c>
      <c r="C15499" s="1" t="str">
        <f>"6차"</f>
        <v>6차</v>
      </c>
      <c r="D15499" s="1" t="str">
        <f>"0129H7416S"</f>
        <v>0129H7416S</v>
      </c>
      <c r="E15499" s="1" t="s">
        <v>10</v>
      </c>
      <c r="F15499" s="1" t="str">
        <f>"fde1:103:4:93ca:0:0:0:2"</f>
        <v>fde1:103:4:93ca:0:0:0:2</v>
      </c>
      <c r="G15499" s="1" t="str">
        <f>"0129H741"</f>
        <v>0129H741</v>
      </c>
      <c r="H15499" s="1" t="str">
        <f>"동방지 32R1"</f>
        <v>동방지 32R1</v>
      </c>
      <c r="I15499" s="1" t="s">
        <v>15</v>
      </c>
      <c r="J15499" s="1" t="str">
        <f>"86/90"</f>
        <v>86/90</v>
      </c>
      <c r="K15499" s="1" t="str">
        <f>"2026-07-29 14:20:00"</f>
        <v>2026-07-29 14:20:00</v>
      </c>
      <c r="L15499" s="1" t="str">
        <f>"2025-02-18 15:51:34"</f>
        <v>2025-02-18 15:51:34</v>
      </c>
      <c r="M15499" s="1" t="s">
        <v>4</v>
      </c>
      <c r="N15499" s="1" t="s">
        <v>38</v>
      </c>
      <c r="O15499" s="1" t="s">
        <v>46</v>
      </c>
    </row>
    <row r="15500" spans="2:15" x14ac:dyDescent="0.3">
      <c r="B15500" s="1" t="s">
        <v>19</v>
      </c>
      <c r="C15500" s="1" t="str">
        <f>"5-2차"</f>
        <v>5-2차</v>
      </c>
      <c r="D15500" s="1" t="str">
        <f>"0129H7425S"</f>
        <v>0129H7425S</v>
      </c>
      <c r="E15500" s="1" t="s">
        <v>10</v>
      </c>
      <c r="F15500" s="1" t="str">
        <f>"fde1:103:4:5811:0:0:0:2"</f>
        <v>fde1:103:4:5811:0:0:0:2</v>
      </c>
      <c r="G15500" s="1" t="str">
        <f>"0129H742"</f>
        <v>0129H742</v>
      </c>
      <c r="H15500" s="1" t="str">
        <f>"동방지 32R2"</f>
        <v>동방지 32R2</v>
      </c>
      <c r="I15500" s="1" t="s">
        <v>15</v>
      </c>
      <c r="J15500" s="1" t="str">
        <f>"105/105"</f>
        <v>105/105</v>
      </c>
      <c r="K15500" s="1" t="str">
        <f>"2026-07-29 14:20:15"</f>
        <v>2026-07-29 14:20:15</v>
      </c>
      <c r="L15500" s="1" t="str">
        <f>"2024-02-28 16:19:03"</f>
        <v>2024-02-28 16:19:03</v>
      </c>
      <c r="M15500" s="1" t="s">
        <v>4</v>
      </c>
      <c r="N15500" s="1" t="s">
        <v>38</v>
      </c>
      <c r="O15500" s="1" t="s">
        <v>46</v>
      </c>
    </row>
    <row r="15501" spans="2:15" x14ac:dyDescent="0.3">
      <c r="B15501" s="1" t="s">
        <v>19</v>
      </c>
      <c r="C15501" s="1" t="str">
        <f>"5-2차"</f>
        <v>5-2차</v>
      </c>
      <c r="D15501" s="1" t="str">
        <f>"0129H7615S"</f>
        <v>0129H7615S</v>
      </c>
      <c r="E15501" s="1" t="s">
        <v>10</v>
      </c>
      <c r="F15501" s="1" t="str">
        <f>"fde3:102:1410:1100:0:0:0:e"</f>
        <v>fde3:102:1410:1100:0:0:0:e</v>
      </c>
      <c r="G15501" s="1" t="str">
        <f>"0129H761"</f>
        <v>0129H761</v>
      </c>
      <c r="H15501" s="1" t="str">
        <f>"동방지 32R3R1"</f>
        <v>동방지 32R3R1</v>
      </c>
      <c r="I15501" s="1" t="s">
        <v>15</v>
      </c>
      <c r="J15501" s="1" t="str">
        <f>"45/45"</f>
        <v>45/45</v>
      </c>
      <c r="K15501" s="1" t="str">
        <f>"2026-07-29 14:20:52"</f>
        <v>2026-07-29 14:20:52</v>
      </c>
      <c r="L15501" s="1" t="str">
        <f>"2023-08-07 12:21:25"</f>
        <v>2023-08-07 12:21:25</v>
      </c>
      <c r="M15501" s="1" t="s">
        <v>45</v>
      </c>
      <c r="N15501" s="1" t="s">
        <v>38</v>
      </c>
      <c r="O15501" s="1" t="s">
        <v>46</v>
      </c>
    </row>
    <row r="15502" spans="2:15" x14ac:dyDescent="0.3">
      <c r="B15502" s="1" t="s">
        <v>19</v>
      </c>
      <c r="C15502" s="1" t="str">
        <f>"2차"</f>
        <v>2차</v>
      </c>
      <c r="D15502" s="1" t="str">
        <f>"0129H76221"</f>
        <v>0129H76221</v>
      </c>
      <c r="E15502" s="1" t="s">
        <v>10</v>
      </c>
      <c r="F15502" s="1" t="str">
        <f>"10.107.250.8"</f>
        <v>10.107.250.8</v>
      </c>
      <c r="G15502" s="1" t="str">
        <f>"0129H762"</f>
        <v>0129H762</v>
      </c>
      <c r="H15502" s="1" t="str">
        <f>"동방지 32R5"</f>
        <v>동방지 32R5</v>
      </c>
      <c r="I15502" s="1" t="s">
        <v>8</v>
      </c>
      <c r="J15502" s="1" t="str">
        <f>"43/44"</f>
        <v>43/44</v>
      </c>
      <c r="K15502" s="1" t="str">
        <f>"2026-07-29 13:18:02"</f>
        <v>2026-07-29 13:18:02</v>
      </c>
      <c r="L15502" s="1" t="str">
        <f>"2017-07-04 11:02:37"</f>
        <v>2017-07-04 11:02:37</v>
      </c>
      <c r="M15502" s="1" t="s">
        <v>45</v>
      </c>
      <c r="N15502" s="1" t="s">
        <v>38</v>
      </c>
      <c r="O15502" s="1" t="s">
        <v>46</v>
      </c>
    </row>
    <row r="15503" spans="2:15" x14ac:dyDescent="0.3">
      <c r="B15503" s="1" t="s">
        <v>19</v>
      </c>
      <c r="C15503" s="1" t="str">
        <f>"5-1차"</f>
        <v>5-1차</v>
      </c>
      <c r="D15503" s="1" t="str">
        <f>"0129H8215S"</f>
        <v>0129H8215S</v>
      </c>
      <c r="E15503" s="1" t="s">
        <v>10</v>
      </c>
      <c r="F15503" s="1" t="str">
        <f>"fde3:102:1410:1200:0:0:0:4"</f>
        <v>fde3:102:1410:1200:0:0:0:4</v>
      </c>
      <c r="G15503" s="1" t="str">
        <f>"0129H821"</f>
        <v>0129H821</v>
      </c>
      <c r="H15503" s="1" t="str">
        <f>"동방지 32L3"</f>
        <v>동방지 32L3</v>
      </c>
      <c r="I15503" s="1" t="s">
        <v>15</v>
      </c>
      <c r="J15503" s="1" t="str">
        <f>"43/43"</f>
        <v>43/43</v>
      </c>
      <c r="K15503" s="1" t="str">
        <f>"2026-07-29 14:20:24"</f>
        <v>2026-07-29 14:20:24</v>
      </c>
      <c r="L15503" s="1" t="str">
        <f>"2022-09-28 09:29:44"</f>
        <v>2022-09-28 09:29:44</v>
      </c>
      <c r="M15503" s="1" t="s">
        <v>45</v>
      </c>
      <c r="N15503" s="1" t="s">
        <v>38</v>
      </c>
      <c r="O15503" s="1" t="s">
        <v>46</v>
      </c>
    </row>
    <row r="15504" spans="2:15" x14ac:dyDescent="0.3">
      <c r="B15504" s="1" t="s">
        <v>19</v>
      </c>
      <c r="C15504" s="1" t="str">
        <f>"6차"</f>
        <v>6차</v>
      </c>
      <c r="D15504" s="1" t="str">
        <f>"0129H8336S"</f>
        <v>0129H8336S</v>
      </c>
      <c r="E15504" s="1" t="s">
        <v>10</v>
      </c>
      <c r="F15504" s="1" t="str">
        <f>"fde1:103:4:c6d3:0:0:0:2"</f>
        <v>fde1:103:4:c6d3:0:0:0:2</v>
      </c>
      <c r="G15504" s="1" t="str">
        <f>"0129H833"</f>
        <v>0129H833</v>
      </c>
      <c r="H15504" s="1" t="str">
        <f>"동방지 32"</f>
        <v>동방지 32</v>
      </c>
      <c r="I15504" s="1" t="s">
        <v>15</v>
      </c>
      <c r="J15504" s="1" t="str">
        <f>"30/30"</f>
        <v>30/30</v>
      </c>
      <c r="K15504" s="1" t="str">
        <f>"2026-07-29 14:20:25"</f>
        <v>2026-07-29 14:20:25</v>
      </c>
      <c r="L15504" s="1" t="str">
        <f>"2024-11-12 15:04:29"</f>
        <v>2024-11-12 15:04:29</v>
      </c>
      <c r="M15504" s="1" t="s">
        <v>4</v>
      </c>
      <c r="N15504" s="1" t="s">
        <v>38</v>
      </c>
      <c r="O15504" s="1" t="s">
        <v>46</v>
      </c>
    </row>
    <row r="15505" spans="2:15" x14ac:dyDescent="0.3">
      <c r="B15505" s="1" t="s">
        <v>19</v>
      </c>
      <c r="C15505" s="1" t="str">
        <f>"2차"</f>
        <v>2차</v>
      </c>
      <c r="D15505" s="1" t="str">
        <f>"0129H83429"</f>
        <v>0129H83429</v>
      </c>
      <c r="E15505" s="1" t="s">
        <v>10</v>
      </c>
      <c r="F15505" s="1" t="str">
        <f>"10.107.250.83"</f>
        <v>10.107.250.83</v>
      </c>
      <c r="G15505" s="1" t="str">
        <f>"0129H834"</f>
        <v>0129H834</v>
      </c>
      <c r="H15505" s="1" t="str">
        <f>"동방지 32L1L1"</f>
        <v>동방지 32L1L1</v>
      </c>
      <c r="I15505" s="1" t="s">
        <v>8</v>
      </c>
      <c r="J15505" s="1" t="str">
        <f>"65/65"</f>
        <v>65/65</v>
      </c>
      <c r="K15505" s="1" t="str">
        <f>"2026-07-29 13:18:02"</f>
        <v>2026-07-29 13:18:02</v>
      </c>
      <c r="L15505" s="1" t="str">
        <f>"2017-07-04 11:11:22"</f>
        <v>2017-07-04 11:11:22</v>
      </c>
      <c r="M15505" s="1" t="s">
        <v>45</v>
      </c>
      <c r="N15505" s="1" t="s">
        <v>38</v>
      </c>
      <c r="O15505" s="1" t="s">
        <v>46</v>
      </c>
    </row>
    <row r="15506" spans="2:15" x14ac:dyDescent="0.3">
      <c r="B15506" s="1" t="s">
        <v>19</v>
      </c>
      <c r="C15506" s="1" t="str">
        <f>"2차"</f>
        <v>2차</v>
      </c>
      <c r="D15506" s="1" t="str">
        <f>"0129H84122"</f>
        <v>0129H84122</v>
      </c>
      <c r="E15506" s="1" t="s">
        <v>10</v>
      </c>
      <c r="F15506" s="1" t="str">
        <f>"10.107.250.85"</f>
        <v>10.107.250.85</v>
      </c>
      <c r="G15506" s="1" t="str">
        <f>"0129H841"</f>
        <v>0129H841</v>
      </c>
      <c r="H15506" s="1" t="str">
        <f>"동방지 31"</f>
        <v>동방지 31</v>
      </c>
      <c r="I15506" s="1" t="s">
        <v>8</v>
      </c>
      <c r="J15506" s="1" t="str">
        <f>"53/53"</f>
        <v>53/53</v>
      </c>
      <c r="K15506" s="1" t="str">
        <f>"2026-07-29 13:18:02"</f>
        <v>2026-07-29 13:18:02</v>
      </c>
      <c r="L15506" s="1" t="str">
        <f>"2017-07-04 10:55:52"</f>
        <v>2017-07-04 10:55:52</v>
      </c>
      <c r="M15506" s="1" t="s">
        <v>45</v>
      </c>
      <c r="N15506" s="1" t="s">
        <v>38</v>
      </c>
      <c r="O15506" s="1" t="s">
        <v>46</v>
      </c>
    </row>
    <row r="15507" spans="2:15" x14ac:dyDescent="0.3">
      <c r="B15507" s="1" t="s">
        <v>19</v>
      </c>
      <c r="C15507" s="1" t="str">
        <f>"2차"</f>
        <v>2차</v>
      </c>
      <c r="D15507" s="1" t="str">
        <f>"0129H85320"</f>
        <v>0129H85320</v>
      </c>
      <c r="E15507" s="1" t="s">
        <v>10</v>
      </c>
      <c r="F15507" s="1" t="str">
        <f>"10.107.253.231"</f>
        <v>10.107.253.231</v>
      </c>
      <c r="G15507" s="1" t="str">
        <f>"0129H853"</f>
        <v>0129H853</v>
      </c>
      <c r="H15507" s="1" t="str">
        <f>"동방지 30R2"</f>
        <v>동방지 30R2</v>
      </c>
      <c r="I15507" s="1" t="s">
        <v>8</v>
      </c>
      <c r="J15507" s="1" t="str">
        <f>"50/50"</f>
        <v>50/50</v>
      </c>
      <c r="K15507" s="1" t="str">
        <f>"2026-07-29 13:18:02"</f>
        <v>2026-07-29 13:18:02</v>
      </c>
      <c r="L15507" s="1" t="str">
        <f>"2017-07-04 11:00:22"</f>
        <v>2017-07-04 11:00:22</v>
      </c>
      <c r="M15507" s="1" t="s">
        <v>45</v>
      </c>
      <c r="N15507" s="1" t="s">
        <v>38</v>
      </c>
      <c r="O15507" s="1" t="s">
        <v>46</v>
      </c>
    </row>
    <row r="15508" spans="2:15" x14ac:dyDescent="0.3">
      <c r="B15508" s="1" t="s">
        <v>19</v>
      </c>
      <c r="C15508" s="1" t="str">
        <f>"2차"</f>
        <v>2차</v>
      </c>
      <c r="D15508" s="1" t="str">
        <f>"0129H86121"</f>
        <v>0129H86121</v>
      </c>
      <c r="E15508" s="1" t="s">
        <v>10</v>
      </c>
      <c r="F15508" s="1" t="str">
        <f>"10.12.133.219"</f>
        <v>10.12.133.219</v>
      </c>
      <c r="G15508" s="1" t="str">
        <f>"0129H861"</f>
        <v>0129H861</v>
      </c>
      <c r="H15508" s="1" t="str">
        <f>"동방지 30R3"</f>
        <v>동방지 30R3</v>
      </c>
      <c r="I15508" s="1" t="s">
        <v>8</v>
      </c>
      <c r="J15508" s="1" t="str">
        <f>"84/84"</f>
        <v>84/84</v>
      </c>
      <c r="K15508" s="1" t="str">
        <f>"2026-07-29 13:18:03"</f>
        <v>2026-07-29 13:18:03</v>
      </c>
      <c r="L15508" s="1" t="str">
        <f>"2017-07-04 11:01:52"</f>
        <v>2017-07-04 11:01:52</v>
      </c>
      <c r="M15508" s="1" t="s">
        <v>0</v>
      </c>
      <c r="N15508" s="1" t="s">
        <v>38</v>
      </c>
      <c r="O15508" s="1" t="s">
        <v>46</v>
      </c>
    </row>
    <row r="15509" spans="2:15" x14ac:dyDescent="0.3">
      <c r="B15509" s="1" t="s">
        <v>19</v>
      </c>
      <c r="C15509" s="1" t="str">
        <f>"6차"</f>
        <v>6차</v>
      </c>
      <c r="D15509" s="1" t="str">
        <f>"0129H9316S"</f>
        <v>0129H9316S</v>
      </c>
      <c r="E15509" s="1" t="s">
        <v>10</v>
      </c>
      <c r="F15509" s="1" t="str">
        <f>"fde1:103:4:93de:0:0:0:2"</f>
        <v>fde1:103:4:93de:0:0:0:2</v>
      </c>
      <c r="G15509" s="1" t="str">
        <f>"0129H931"</f>
        <v>0129H931</v>
      </c>
      <c r="H15509" s="1" t="str">
        <f>"동방지 32L2L1"</f>
        <v>동방지 32L2L1</v>
      </c>
      <c r="I15509" s="1" t="s">
        <v>15</v>
      </c>
      <c r="J15509" s="1" t="str">
        <f>"61/62"</f>
        <v>61/62</v>
      </c>
      <c r="K15509" s="1" t="str">
        <f>"2026-07-29 14:20:22"</f>
        <v>2026-07-29 14:20:22</v>
      </c>
      <c r="L15509" s="1" t="str">
        <f>"2025-02-18 16:06:29"</f>
        <v>2025-02-18 16:06:29</v>
      </c>
      <c r="M15509" s="1" t="s">
        <v>4</v>
      </c>
      <c r="N15509" s="1" t="s">
        <v>38</v>
      </c>
      <c r="O15509" s="1" t="s">
        <v>46</v>
      </c>
    </row>
    <row r="15510" spans="2:15" x14ac:dyDescent="0.3">
      <c r="B15510" s="1" t="s">
        <v>19</v>
      </c>
      <c r="C15510" s="1" t="str">
        <f>"2차"</f>
        <v>2차</v>
      </c>
      <c r="D15510" s="1" t="str">
        <f>"0129H94120"</f>
        <v>0129H94120</v>
      </c>
      <c r="E15510" s="1" t="s">
        <v>10</v>
      </c>
      <c r="F15510" s="1" t="str">
        <f>"10.107.250.84"</f>
        <v>10.107.250.84</v>
      </c>
      <c r="G15510" s="1" t="str">
        <f>"0129H941"</f>
        <v>0129H941</v>
      </c>
      <c r="H15510" s="1" t="str">
        <f>"동방지 30"</f>
        <v>동방지 30</v>
      </c>
      <c r="I15510" s="1" t="s">
        <v>8</v>
      </c>
      <c r="J15510" s="1" t="str">
        <f>"41/42"</f>
        <v>41/42</v>
      </c>
      <c r="K15510" s="1" t="str">
        <f>"2026-07-29 13:18:02"</f>
        <v>2026-07-29 13:18:02</v>
      </c>
      <c r="L15510" s="1" t="str">
        <f>"2017-07-04 10:53:22"</f>
        <v>2017-07-04 10:53:22</v>
      </c>
      <c r="M15510" s="1" t="s">
        <v>45</v>
      </c>
      <c r="N15510" s="1" t="s">
        <v>38</v>
      </c>
      <c r="O15510" s="1" t="s">
        <v>46</v>
      </c>
    </row>
    <row r="15511" spans="2:15" x14ac:dyDescent="0.3">
      <c r="B15511" s="1" t="s">
        <v>19</v>
      </c>
      <c r="C15511" s="1" t="str">
        <f>"2차"</f>
        <v>2차</v>
      </c>
      <c r="D15511" s="1" t="str">
        <f>"0129H95122"</f>
        <v>0129H95122</v>
      </c>
      <c r="E15511" s="1" t="s">
        <v>10</v>
      </c>
      <c r="F15511" s="1" t="str">
        <f>"10.107.253.232"</f>
        <v>10.107.253.232</v>
      </c>
      <c r="G15511" s="1" t="str">
        <f>"0129H951"</f>
        <v>0129H951</v>
      </c>
      <c r="H15511" s="1" t="str">
        <f>"동방지 30R1"</f>
        <v>동방지 30R1</v>
      </c>
      <c r="I15511" s="1" t="s">
        <v>8</v>
      </c>
      <c r="J15511" s="1" t="str">
        <f>"73/73"</f>
        <v>73/73</v>
      </c>
      <c r="K15511" s="1" t="str">
        <f>"2026-07-29 13:18:02"</f>
        <v>2026-07-29 13:18:02</v>
      </c>
      <c r="L15511" s="1" t="str">
        <f>"2017-07-04 11:04:37"</f>
        <v>2017-07-04 11:04:37</v>
      </c>
      <c r="M15511" s="1" t="s">
        <v>45</v>
      </c>
      <c r="N15511" s="1" t="s">
        <v>38</v>
      </c>
      <c r="O15511" s="1" t="s">
        <v>46</v>
      </c>
    </row>
    <row r="15512" spans="2:15" x14ac:dyDescent="0.3">
      <c r="B15512" s="1" t="s">
        <v>19</v>
      </c>
      <c r="C15512" s="1" t="str">
        <f>"5-2차"</f>
        <v>5-2차</v>
      </c>
      <c r="D15512" s="1" t="str">
        <f>"0129H9715S"</f>
        <v>0129H9715S</v>
      </c>
      <c r="E15512" s="1" t="s">
        <v>10</v>
      </c>
      <c r="F15512" s="1" t="str">
        <f>"fde3:102:1410:1200:0:0:0:7"</f>
        <v>fde3:102:1410:1200:0:0:0:7</v>
      </c>
      <c r="G15512" s="1" t="str">
        <f>"0129H971"</f>
        <v>0129H971</v>
      </c>
      <c r="H15512" s="1" t="str">
        <f>"동방지 28R3"</f>
        <v>동방지 28R3</v>
      </c>
      <c r="I15512" s="1" t="s">
        <v>15</v>
      </c>
      <c r="J15512" s="1" t="str">
        <f>"59/59"</f>
        <v>59/59</v>
      </c>
      <c r="K15512" s="1" t="str">
        <f>"2026-07-29 14:20:00"</f>
        <v>2026-07-29 14:20:00</v>
      </c>
      <c r="L15512" s="1" t="str">
        <f>"2023-08-07 12:40:24"</f>
        <v>2023-08-07 12:40:24</v>
      </c>
      <c r="M15512" s="1" t="s">
        <v>45</v>
      </c>
      <c r="N15512" s="1" t="s">
        <v>38</v>
      </c>
      <c r="O15512" s="1" t="s">
        <v>46</v>
      </c>
    </row>
    <row r="15513" spans="2:15" x14ac:dyDescent="0.3">
      <c r="B15513" s="1" t="s">
        <v>19</v>
      </c>
      <c r="C15513" s="1" t="str">
        <f>"6차"</f>
        <v>6차</v>
      </c>
      <c r="D15513" s="1" t="str">
        <f>"0129P0926S"</f>
        <v>0129P0926S</v>
      </c>
      <c r="E15513" s="1" t="s">
        <v>10</v>
      </c>
      <c r="F15513" s="1" t="str">
        <f>"fde1:103:4:91d1:0:0:0:2"</f>
        <v>fde1:103:4:91d1:0:0:0:2</v>
      </c>
      <c r="G15513" s="1" t="str">
        <f>"0129P092"</f>
        <v>0129P092</v>
      </c>
      <c r="H15513" s="1" t="str">
        <f>"시장지 20L1"</f>
        <v>시장지 20L1</v>
      </c>
      <c r="I15513" s="1" t="s">
        <v>15</v>
      </c>
      <c r="J15513" s="1" t="str">
        <f>"26/27"</f>
        <v>26/27</v>
      </c>
      <c r="K15513" s="1" t="str">
        <f>"2026-07-29 08:20:18"</f>
        <v>2026-07-29 08:20:18</v>
      </c>
      <c r="L15513" s="1" t="str">
        <f>"2024-11-19 16:45:42"</f>
        <v>2024-11-19 16:45:42</v>
      </c>
      <c r="M15513" s="1" t="s">
        <v>4</v>
      </c>
      <c r="N15513" s="1" t="s">
        <v>38</v>
      </c>
      <c r="O15513" s="1" t="s">
        <v>46</v>
      </c>
    </row>
    <row r="15514" spans="2:15" x14ac:dyDescent="0.3">
      <c r="B15514" s="1" t="s">
        <v>19</v>
      </c>
      <c r="C15514" s="1" t="str">
        <f>"6차"</f>
        <v>6차</v>
      </c>
      <c r="D15514" s="1" t="str">
        <f>"0129P1876S"</f>
        <v>0129P1876S</v>
      </c>
      <c r="E15514" s="1" t="s">
        <v>10</v>
      </c>
      <c r="F15514" s="1" t="str">
        <f>"fde1:103:4:913f:0:0:0:2"</f>
        <v>fde1:103:4:913f:0:0:0:2</v>
      </c>
      <c r="G15514" s="1" t="str">
        <f>"0129P187"</f>
        <v>0129P187</v>
      </c>
      <c r="H15514" s="1" t="str">
        <f>"시장지 24"</f>
        <v>시장지 24</v>
      </c>
      <c r="I15514" s="1" t="s">
        <v>15</v>
      </c>
      <c r="J15514" s="1" t="str">
        <f>"32/32"</f>
        <v>32/32</v>
      </c>
      <c r="K15514" s="1" t="str">
        <f>"2026-07-29 14:20:16"</f>
        <v>2026-07-29 14:20:16</v>
      </c>
      <c r="L15514" s="1" t="str">
        <f>"2025-02-28 17:32:38"</f>
        <v>2025-02-28 17:32:38</v>
      </c>
      <c r="M15514" s="1" t="s">
        <v>4</v>
      </c>
      <c r="N15514" s="1" t="s">
        <v>38</v>
      </c>
      <c r="O15514" s="1" t="s">
        <v>46</v>
      </c>
    </row>
    <row r="15515" spans="2:15" x14ac:dyDescent="0.3">
      <c r="B15515" s="1" t="s">
        <v>19</v>
      </c>
      <c r="C15515" s="1" t="str">
        <f>"6차"</f>
        <v>6차</v>
      </c>
      <c r="D15515" s="1" t="str">
        <f>"0129P2626S"</f>
        <v>0129P2626S</v>
      </c>
      <c r="E15515" s="1" t="s">
        <v>10</v>
      </c>
      <c r="F15515" s="1" t="str">
        <f>"fde1:103:4:9370:0:0:0:2"</f>
        <v>fde1:103:4:9370:0:0:0:2</v>
      </c>
      <c r="G15515" s="1" t="str">
        <f>"0129P262"</f>
        <v>0129P262</v>
      </c>
      <c r="H15515" s="1" t="str">
        <f>"시장지 31R4"</f>
        <v>시장지 31R4</v>
      </c>
      <c r="I15515" s="1" t="s">
        <v>15</v>
      </c>
      <c r="J15515" s="1" t="str">
        <f>"97/121"</f>
        <v>97/121</v>
      </c>
      <c r="K15515" s="1" t="str">
        <f>"2026-07-29 14:20:16"</f>
        <v>2026-07-29 14:20:16</v>
      </c>
      <c r="L15515" s="1" t="str">
        <f>"2024-11-19 11:28:37"</f>
        <v>2024-11-19 11:28:37</v>
      </c>
      <c r="M15515" s="1" t="s">
        <v>4</v>
      </c>
      <c r="N15515" s="1" t="s">
        <v>38</v>
      </c>
      <c r="O15515" s="1" t="s">
        <v>46</v>
      </c>
    </row>
    <row r="15516" spans="2:15" x14ac:dyDescent="0.3">
      <c r="B15516" s="1" t="s">
        <v>19</v>
      </c>
      <c r="C15516" s="1" t="str">
        <f>"6차"</f>
        <v>6차</v>
      </c>
      <c r="D15516" s="1" t="str">
        <f>"0129P2816S"</f>
        <v>0129P2816S</v>
      </c>
      <c r="E15516" s="1" t="s">
        <v>10</v>
      </c>
      <c r="F15516" s="1" t="str">
        <f>"fde1:103:4:941d:0:0:0:2"</f>
        <v>fde1:103:4:941d:0:0:0:2</v>
      </c>
      <c r="G15516" s="1" t="str">
        <f>"0129P281"</f>
        <v>0129P281</v>
      </c>
      <c r="H15516" s="1" t="str">
        <f>"시장지 26"</f>
        <v>시장지 26</v>
      </c>
      <c r="I15516" s="1" t="s">
        <v>15</v>
      </c>
      <c r="J15516" s="1" t="str">
        <f>"37/41"</f>
        <v>37/41</v>
      </c>
      <c r="K15516" s="1" t="str">
        <f>"2026-07-29 14:20:22"</f>
        <v>2026-07-29 14:20:22</v>
      </c>
      <c r="L15516" s="1" t="str">
        <f>"2024-11-19 16:45:50"</f>
        <v>2024-11-19 16:45:50</v>
      </c>
      <c r="M15516" s="1" t="s">
        <v>4</v>
      </c>
      <c r="N15516" s="1" t="s">
        <v>38</v>
      </c>
      <c r="O15516" s="1" t="s">
        <v>46</v>
      </c>
    </row>
    <row r="15517" spans="2:15" x14ac:dyDescent="0.3">
      <c r="B15517" s="1" t="s">
        <v>19</v>
      </c>
      <c r="C15517" s="1" t="str">
        <f>"5-2차"</f>
        <v>5-2차</v>
      </c>
      <c r="D15517" s="1" t="str">
        <f>"0129P2915M"</f>
        <v>0129P2915M</v>
      </c>
      <c r="E15517" s="1" t="s">
        <v>10</v>
      </c>
      <c r="F15517" s="1" t="str">
        <f>"fde1:103:4:6eed:0:0:0:2"</f>
        <v>fde1:103:4:6eed:0:0:0:2</v>
      </c>
      <c r="G15517" s="1" t="str">
        <f>"0129P291"</f>
        <v>0129P291</v>
      </c>
      <c r="H15517" s="1" t="str">
        <f>"시장지 20L3"</f>
        <v>시장지 20L3</v>
      </c>
      <c r="I15517" s="1" t="s">
        <v>15</v>
      </c>
      <c r="J15517" s="1" t="str">
        <f>"48/48"</f>
        <v>48/48</v>
      </c>
      <c r="K15517" s="1" t="str">
        <f>"2026-07-29 14:20:26"</f>
        <v>2026-07-29 14:20:26</v>
      </c>
      <c r="L15517" s="1" t="str">
        <f>"2023-11-15 11:35:26"</f>
        <v>2023-11-15 11:35:26</v>
      </c>
      <c r="M15517" s="1" t="s">
        <v>4</v>
      </c>
      <c r="N15517" s="1" t="s">
        <v>38</v>
      </c>
      <c r="O15517" s="1" t="s">
        <v>46</v>
      </c>
    </row>
    <row r="15518" spans="2:15" x14ac:dyDescent="0.3">
      <c r="B15518" s="1" t="s">
        <v>19</v>
      </c>
      <c r="C15518" s="1" t="str">
        <f t="shared" ref="C15518:C15523" si="777">"6차"</f>
        <v>6차</v>
      </c>
      <c r="D15518" s="1" t="str">
        <f>"0129P2946S"</f>
        <v>0129P2946S</v>
      </c>
      <c r="E15518" s="1" t="s">
        <v>10</v>
      </c>
      <c r="F15518" s="1" t="str">
        <f>"fde1:103:4:9318:0:0:0:2"</f>
        <v>fde1:103:4:9318:0:0:0:2</v>
      </c>
      <c r="G15518" s="1" t="str">
        <f>"0129P294"</f>
        <v>0129P294</v>
      </c>
      <c r="H15518" s="1" t="str">
        <f>"시장지 20L4"</f>
        <v>시장지 20L4</v>
      </c>
      <c r="I15518" s="1" t="s">
        <v>15</v>
      </c>
      <c r="J15518" s="1" t="str">
        <f>"56/59"</f>
        <v>56/59</v>
      </c>
      <c r="K15518" s="1" t="str">
        <f>"2026-07-28 14:20:38"</f>
        <v>2026-07-28 14:20:38</v>
      </c>
      <c r="L15518" s="1" t="str">
        <f>"2024-11-19 17:21:35"</f>
        <v>2024-11-19 17:21:35</v>
      </c>
      <c r="M15518" s="1" t="s">
        <v>4</v>
      </c>
      <c r="N15518" s="1" t="s">
        <v>38</v>
      </c>
      <c r="O15518" s="1" t="s">
        <v>46</v>
      </c>
    </row>
    <row r="15519" spans="2:15" x14ac:dyDescent="0.3">
      <c r="B15519" s="1" t="s">
        <v>19</v>
      </c>
      <c r="C15519" s="1" t="str">
        <f t="shared" si="777"/>
        <v>6차</v>
      </c>
      <c r="D15519" s="1" t="str">
        <f>"0129P2956S"</f>
        <v>0129P2956S</v>
      </c>
      <c r="E15519" s="1" t="s">
        <v>10</v>
      </c>
      <c r="F15519" s="1" t="str">
        <f>"fde1:103:4:c5b4:0:0:0:2"</f>
        <v>fde1:103:4:c5b4:0:0:0:2</v>
      </c>
      <c r="G15519" s="1" t="str">
        <f>"0129P295"</f>
        <v>0129P295</v>
      </c>
      <c r="H15519" s="1" t="str">
        <f>"시장지 23L3"</f>
        <v>시장지 23L3</v>
      </c>
      <c r="I15519" s="1" t="s">
        <v>15</v>
      </c>
      <c r="J15519" s="1" t="str">
        <f>"34/34"</f>
        <v>34/34</v>
      </c>
      <c r="K15519" s="1" t="str">
        <f>"2026-07-29 14:20:22"</f>
        <v>2026-07-29 14:20:22</v>
      </c>
      <c r="L15519" s="1" t="str">
        <f>"2024-11-19 16:45:29"</f>
        <v>2024-11-19 16:45:29</v>
      </c>
      <c r="M15519" s="1" t="s">
        <v>4</v>
      </c>
      <c r="N15519" s="1" t="s">
        <v>38</v>
      </c>
      <c r="O15519" s="1" t="s">
        <v>46</v>
      </c>
    </row>
    <row r="15520" spans="2:15" x14ac:dyDescent="0.3">
      <c r="B15520" s="1" t="s">
        <v>19</v>
      </c>
      <c r="C15520" s="1" t="str">
        <f t="shared" si="777"/>
        <v>6차</v>
      </c>
      <c r="D15520" s="1" t="str">
        <f>"0129P3416S"</f>
        <v>0129P3416S</v>
      </c>
      <c r="E15520" s="1" t="s">
        <v>10</v>
      </c>
      <c r="F15520" s="1" t="str">
        <f>"fde1:103:4:c5da:0:0:0:2"</f>
        <v>fde1:103:4:c5da:0:0:0:2</v>
      </c>
      <c r="G15520" s="1" t="str">
        <f>"0129P341"</f>
        <v>0129P341</v>
      </c>
      <c r="H15520" s="1" t="str">
        <f>"시장지 35R2"</f>
        <v>시장지 35R2</v>
      </c>
      <c r="I15520" s="1" t="s">
        <v>15</v>
      </c>
      <c r="J15520" s="1" t="str">
        <f>"30/34"</f>
        <v>30/34</v>
      </c>
      <c r="K15520" s="1" t="str">
        <f>"2026-07-29 14:20:30"</f>
        <v>2026-07-29 14:20:30</v>
      </c>
      <c r="L15520" s="1" t="str">
        <f>"2024-11-12 15:04:23"</f>
        <v>2024-11-12 15:04:23</v>
      </c>
      <c r="M15520" s="1" t="s">
        <v>4</v>
      </c>
      <c r="N15520" s="1" t="s">
        <v>38</v>
      </c>
      <c r="O15520" s="1" t="s">
        <v>46</v>
      </c>
    </row>
    <row r="15521" spans="2:15" x14ac:dyDescent="0.3">
      <c r="B15521" s="1" t="s">
        <v>19</v>
      </c>
      <c r="C15521" s="1" t="str">
        <f t="shared" si="777"/>
        <v>6차</v>
      </c>
      <c r="D15521" s="1" t="str">
        <f>"0129P3516S"</f>
        <v>0129P3516S</v>
      </c>
      <c r="E15521" s="1" t="s">
        <v>10</v>
      </c>
      <c r="F15521" s="1" t="str">
        <f>"fde1:103:4:c5e8:0:0:0:2"</f>
        <v>fde1:103:4:c5e8:0:0:0:2</v>
      </c>
      <c r="G15521" s="1" t="str">
        <f>"0129P351"</f>
        <v>0129P351</v>
      </c>
      <c r="H15521" s="1" t="str">
        <f>"시장지 34"</f>
        <v>시장지 34</v>
      </c>
      <c r="I15521" s="1" t="s">
        <v>15</v>
      </c>
      <c r="J15521" s="1" t="str">
        <f>"37/44"</f>
        <v>37/44</v>
      </c>
      <c r="K15521" s="1" t="str">
        <f>"2026-07-29 14:20:53"</f>
        <v>2026-07-29 14:20:53</v>
      </c>
      <c r="L15521" s="1" t="str">
        <f>"2024-12-11 15:58:45"</f>
        <v>2024-12-11 15:58:45</v>
      </c>
      <c r="M15521" s="1" t="s">
        <v>4</v>
      </c>
      <c r="N15521" s="1" t="s">
        <v>38</v>
      </c>
      <c r="O15521" s="1" t="s">
        <v>46</v>
      </c>
    </row>
    <row r="15522" spans="2:15" x14ac:dyDescent="0.3">
      <c r="B15522" s="1" t="s">
        <v>19</v>
      </c>
      <c r="C15522" s="1" t="str">
        <f t="shared" si="777"/>
        <v>6차</v>
      </c>
      <c r="D15522" s="1" t="str">
        <f>"0129P3816S"</f>
        <v>0129P3816S</v>
      </c>
      <c r="E15522" s="1" t="s">
        <v>10</v>
      </c>
      <c r="F15522" s="1" t="str">
        <f>"fde1:103:4:c6fc:0:0:0:2"</f>
        <v>fde1:103:4:c6fc:0:0:0:2</v>
      </c>
      <c r="G15522" s="1" t="str">
        <f>"0129P381"</f>
        <v>0129P381</v>
      </c>
      <c r="H15522" s="1" t="str">
        <f>"시장지 27"</f>
        <v>시장지 27</v>
      </c>
      <c r="I15522" s="1" t="s">
        <v>15</v>
      </c>
      <c r="J15522" s="1" t="str">
        <f>"36/38"</f>
        <v>36/38</v>
      </c>
      <c r="K15522" s="1" t="str">
        <f>"2026-07-29 14:20:53"</f>
        <v>2026-07-29 14:20:53</v>
      </c>
      <c r="L15522" s="1" t="str">
        <f>"2024-11-19 16:45:58"</f>
        <v>2024-11-19 16:45:58</v>
      </c>
      <c r="M15522" s="1" t="s">
        <v>4</v>
      </c>
      <c r="N15522" s="1" t="s">
        <v>38</v>
      </c>
      <c r="O15522" s="1" t="s">
        <v>46</v>
      </c>
    </row>
    <row r="15523" spans="2:15" x14ac:dyDescent="0.3">
      <c r="B15523" s="1" t="s">
        <v>19</v>
      </c>
      <c r="C15523" s="1" t="str">
        <f t="shared" si="777"/>
        <v>6차</v>
      </c>
      <c r="D15523" s="1" t="str">
        <f>"0129P4216S"</f>
        <v>0129P4216S</v>
      </c>
      <c r="E15523" s="1" t="s">
        <v>10</v>
      </c>
      <c r="F15523" s="1" t="str">
        <f>"fde1:103:4:93fe:0:0:0:2"</f>
        <v>fde1:103:4:93fe:0:0:0:2</v>
      </c>
      <c r="G15523" s="1" t="str">
        <f>"0129P421"</f>
        <v>0129P421</v>
      </c>
      <c r="H15523" s="1" t="str">
        <f>"삼원간 78R22"</f>
        <v>삼원간 78R22</v>
      </c>
      <c r="I15523" s="1" t="s">
        <v>15</v>
      </c>
      <c r="J15523" s="1" t="str">
        <f>"82/82"</f>
        <v>82/82</v>
      </c>
      <c r="K15523" s="1" t="str">
        <f>"2026-07-29 14:20:16"</f>
        <v>2026-07-29 14:20:16</v>
      </c>
      <c r="L15523" s="1" t="str">
        <f>"2025-02-24 13:16:57"</f>
        <v>2025-02-24 13:16:57</v>
      </c>
      <c r="M15523" s="1" t="s">
        <v>4</v>
      </c>
      <c r="N15523" s="1" t="s">
        <v>38</v>
      </c>
      <c r="O15523" s="1" t="s">
        <v>46</v>
      </c>
    </row>
    <row r="15524" spans="2:15" x14ac:dyDescent="0.3">
      <c r="B15524" s="1" t="s">
        <v>19</v>
      </c>
      <c r="C15524" s="1" t="str">
        <f>"5-2차"</f>
        <v>5-2차</v>
      </c>
      <c r="D15524" s="1" t="str">
        <f>"0129P4635M"</f>
        <v>0129P4635M</v>
      </c>
      <c r="E15524" s="1" t="s">
        <v>10</v>
      </c>
      <c r="F15524" s="1" t="str">
        <f>"fde1:103:4:6ee8:0:0:0:2"</f>
        <v>fde1:103:4:6ee8:0:0:0:2</v>
      </c>
      <c r="G15524" s="1" t="str">
        <f>"0129P463"</f>
        <v>0129P463</v>
      </c>
      <c r="H15524" s="1" t="str">
        <f>"시장지 30"</f>
        <v>시장지 30</v>
      </c>
      <c r="I15524" s="1" t="s">
        <v>15</v>
      </c>
      <c r="J15524" s="1" t="str">
        <f>"32/32"</f>
        <v>32/32</v>
      </c>
      <c r="K15524" s="1" t="str">
        <f>"2026-07-29 14:20:24"</f>
        <v>2026-07-29 14:20:24</v>
      </c>
      <c r="L15524" s="1" t="str">
        <f>"2023-11-15 11:35:35"</f>
        <v>2023-11-15 11:35:35</v>
      </c>
      <c r="M15524" s="1" t="s">
        <v>4</v>
      </c>
      <c r="N15524" s="1" t="s">
        <v>38</v>
      </c>
      <c r="O15524" s="1" t="s">
        <v>46</v>
      </c>
    </row>
    <row r="15525" spans="2:15" x14ac:dyDescent="0.3">
      <c r="B15525" s="1" t="s">
        <v>19</v>
      </c>
      <c r="C15525" s="1" t="str">
        <f>"1차"</f>
        <v>1차</v>
      </c>
      <c r="D15525" s="1" t="str">
        <f>"0129P48100"</f>
        <v>0129P48100</v>
      </c>
      <c r="E15525" s="1" t="s">
        <v>10</v>
      </c>
      <c r="F15525" s="1" t="str">
        <f>"10.107.2.88"</f>
        <v>10.107.2.88</v>
      </c>
      <c r="G15525" s="1" t="str">
        <f>"0129P481"</f>
        <v>0129P481</v>
      </c>
      <c r="H15525" s="1" t="str">
        <f>"삼원간 73R13"</f>
        <v>삼원간 73R13</v>
      </c>
      <c r="I15525" s="1" t="s">
        <v>8</v>
      </c>
      <c r="J15525" s="1" t="str">
        <f>"8/8"</f>
        <v>8/8</v>
      </c>
      <c r="K15525" s="1" t="str">
        <f>"2026-07-29 13:18:02"</f>
        <v>2026-07-29 13:18:02</v>
      </c>
      <c r="L15525" s="1" t="str">
        <f>"2015-08-12 09:40:39"</f>
        <v>2015-08-12 09:40:39</v>
      </c>
      <c r="M15525" s="1" t="s">
        <v>45</v>
      </c>
      <c r="N15525" s="1" t="s">
        <v>38</v>
      </c>
      <c r="O15525" s="1" t="s">
        <v>46</v>
      </c>
    </row>
    <row r="15526" spans="2:15" x14ac:dyDescent="0.3">
      <c r="B15526" s="1" t="s">
        <v>19</v>
      </c>
      <c r="C15526" s="1" t="str">
        <f>"5-2차"</f>
        <v>5-2차</v>
      </c>
      <c r="D15526" s="1" t="str">
        <f>"0129P4825S"</f>
        <v>0129P4825S</v>
      </c>
      <c r="E15526" s="1" t="s">
        <v>10</v>
      </c>
      <c r="F15526" s="1" t="str">
        <f>"fde1:103:4:6eeb:0:0:0:2"</f>
        <v>fde1:103:4:6eeb:0:0:0:2</v>
      </c>
      <c r="G15526" s="1" t="str">
        <f>"0129P482"</f>
        <v>0129P482</v>
      </c>
      <c r="H15526" s="1" t="str">
        <f>"시장지 27L2"</f>
        <v>시장지 27L2</v>
      </c>
      <c r="I15526" s="1" t="s">
        <v>15</v>
      </c>
      <c r="J15526" s="1" t="str">
        <f>"50/50"</f>
        <v>50/50</v>
      </c>
      <c r="K15526" s="1" t="str">
        <f>"2026-07-29 14:20:35"</f>
        <v>2026-07-29 14:20:35</v>
      </c>
      <c r="L15526" s="1" t="str">
        <f>"2023-11-15 11:17:16"</f>
        <v>2023-11-15 11:17:16</v>
      </c>
      <c r="M15526" s="1" t="s">
        <v>4</v>
      </c>
      <c r="N15526" s="1" t="s">
        <v>38</v>
      </c>
      <c r="O15526" s="1" t="s">
        <v>46</v>
      </c>
    </row>
    <row r="15527" spans="2:15" x14ac:dyDescent="0.3">
      <c r="B15527" s="1" t="s">
        <v>19</v>
      </c>
      <c r="C15527" s="1" t="str">
        <f>"6차"</f>
        <v>6차</v>
      </c>
      <c r="D15527" s="1" t="str">
        <f>"0129P4916S"</f>
        <v>0129P4916S</v>
      </c>
      <c r="E15527" s="1" t="s">
        <v>10</v>
      </c>
      <c r="F15527" s="1" t="str">
        <f>"fde1:103:4:92fc:0:0:0:2"</f>
        <v>fde1:103:4:92fc:0:0:0:2</v>
      </c>
      <c r="G15527" s="1" t="str">
        <f>"0129P491"</f>
        <v>0129P491</v>
      </c>
      <c r="H15527" s="1" t="str">
        <f>"시장지 27L3"</f>
        <v>시장지 27L3</v>
      </c>
      <c r="I15527" s="1" t="s">
        <v>15</v>
      </c>
      <c r="J15527" s="1" t="str">
        <f>"36/36"</f>
        <v>36/36</v>
      </c>
      <c r="K15527" s="1" t="str">
        <f>"2026-07-29 14:20:17"</f>
        <v>2026-07-29 14:20:17</v>
      </c>
      <c r="L15527" s="1" t="str">
        <f>"2025-02-24 13:17:01"</f>
        <v>2025-02-24 13:17:01</v>
      </c>
      <c r="M15527" s="1" t="s">
        <v>4</v>
      </c>
      <c r="N15527" s="1" t="s">
        <v>38</v>
      </c>
      <c r="O15527" s="1" t="s">
        <v>46</v>
      </c>
    </row>
    <row r="15528" spans="2:15" x14ac:dyDescent="0.3">
      <c r="B15528" s="1" t="s">
        <v>19</v>
      </c>
      <c r="C15528" s="1" t="str">
        <f>"6차"</f>
        <v>6차</v>
      </c>
      <c r="D15528" s="1" t="str">
        <f>"0129P5216S"</f>
        <v>0129P5216S</v>
      </c>
      <c r="E15528" s="1" t="s">
        <v>10</v>
      </c>
      <c r="F15528" s="1" t="str">
        <f>"fde1:103:4:c5c7:0:0:0:2"</f>
        <v>fde1:103:4:c5c7:0:0:0:2</v>
      </c>
      <c r="G15528" s="1" t="str">
        <f>"0129P521"</f>
        <v>0129P521</v>
      </c>
      <c r="H15528" s="1" t="str">
        <f>"삼원간 78R20"</f>
        <v>삼원간 78R20</v>
      </c>
      <c r="I15528" s="1" t="s">
        <v>15</v>
      </c>
      <c r="J15528" s="1" t="str">
        <f>"105/108"</f>
        <v>105/108</v>
      </c>
      <c r="K15528" s="1" t="str">
        <f>"2026-07-28 20:03:47"</f>
        <v>2026-07-28 20:03:47</v>
      </c>
      <c r="L15528" s="1" t="str">
        <f>"2024-11-19 16:45:40"</f>
        <v>2024-11-19 16:45:40</v>
      </c>
      <c r="M15528" s="1" t="s">
        <v>4</v>
      </c>
      <c r="N15528" s="1" t="s">
        <v>38</v>
      </c>
      <c r="O15528" s="1" t="s">
        <v>46</v>
      </c>
    </row>
    <row r="15529" spans="2:15" x14ac:dyDescent="0.3">
      <c r="B15529" s="1" t="s">
        <v>19</v>
      </c>
      <c r="C15529" s="1" t="str">
        <f>"6차"</f>
        <v>6차</v>
      </c>
      <c r="D15529" s="1" t="str">
        <f>"0129P5226S"</f>
        <v>0129P5226S</v>
      </c>
      <c r="E15529" s="1" t="s">
        <v>10</v>
      </c>
      <c r="F15529" s="1" t="str">
        <f>"fde1:103:4:930c:0:0:0:2"</f>
        <v>fde1:103:4:930c:0:0:0:2</v>
      </c>
      <c r="G15529" s="1" t="str">
        <f>"0129P522"</f>
        <v>0129P522</v>
      </c>
      <c r="H15529" s="1" t="str">
        <f>"삼원간 78R21"</f>
        <v>삼원간 78R21</v>
      </c>
      <c r="I15529" s="1" t="s">
        <v>15</v>
      </c>
      <c r="J15529" s="1" t="str">
        <f>"29/29"</f>
        <v>29/29</v>
      </c>
      <c r="K15529" s="1" t="str">
        <f>"2026-07-29 14:20:17"</f>
        <v>2026-07-29 14:20:17</v>
      </c>
      <c r="L15529" s="1" t="str">
        <f>"2025-02-12 18:01:47"</f>
        <v>2025-02-12 18:01:47</v>
      </c>
      <c r="M15529" s="1" t="s">
        <v>4</v>
      </c>
      <c r="N15529" s="1" t="s">
        <v>38</v>
      </c>
      <c r="O15529" s="1" t="s">
        <v>46</v>
      </c>
    </row>
    <row r="15530" spans="2:15" x14ac:dyDescent="0.3">
      <c r="B15530" s="1" t="s">
        <v>19</v>
      </c>
      <c r="C15530" s="1" t="str">
        <f>"6차"</f>
        <v>6차</v>
      </c>
      <c r="D15530" s="1" t="str">
        <f>"0129P5426S"</f>
        <v>0129P5426S</v>
      </c>
      <c r="E15530" s="1" t="s">
        <v>10</v>
      </c>
      <c r="F15530" s="1" t="str">
        <f>"fde1:103:4:c5ff:0:0:0:2"</f>
        <v>fde1:103:4:c5ff:0:0:0:2</v>
      </c>
      <c r="G15530" s="1" t="str">
        <f>"0129P542"</f>
        <v>0129P542</v>
      </c>
      <c r="H15530" s="1" t="str">
        <f>"시장지 36"</f>
        <v>시장지 36</v>
      </c>
      <c r="I15530" s="1" t="s">
        <v>15</v>
      </c>
      <c r="J15530" s="1" t="str">
        <f>"124/125"</f>
        <v>124/125</v>
      </c>
      <c r="K15530" s="1" t="str">
        <f>"2026-07-29 14:20:01"</f>
        <v>2026-07-29 14:20:01</v>
      </c>
      <c r="L15530" s="1" t="str">
        <f>"2024-11-19 16:46:29"</f>
        <v>2024-11-19 16:46:29</v>
      </c>
      <c r="M15530" s="1" t="s">
        <v>4</v>
      </c>
      <c r="N15530" s="1" t="s">
        <v>38</v>
      </c>
      <c r="O15530" s="1" t="s">
        <v>46</v>
      </c>
    </row>
    <row r="15531" spans="2:15" x14ac:dyDescent="0.3">
      <c r="B15531" s="1" t="s">
        <v>19</v>
      </c>
      <c r="C15531" s="1" t="str">
        <f>"5-2차"</f>
        <v>5-2차</v>
      </c>
      <c r="D15531" s="1" t="str">
        <f>"0129P5745M"</f>
        <v>0129P5745M</v>
      </c>
      <c r="E15531" s="1" t="s">
        <v>10</v>
      </c>
      <c r="F15531" s="1" t="str">
        <f>"fde1:103:4:6ee5:0:0:0:2"</f>
        <v>fde1:103:4:6ee5:0:0:0:2</v>
      </c>
      <c r="G15531" s="1" t="str">
        <f>"0129P574"</f>
        <v>0129P574</v>
      </c>
      <c r="H15531" s="1" t="str">
        <f>"삼원간 73HR12"</f>
        <v>삼원간 73HR12</v>
      </c>
      <c r="I15531" s="1" t="s">
        <v>15</v>
      </c>
      <c r="J15531" s="1" t="str">
        <f>"39/39"</f>
        <v>39/39</v>
      </c>
      <c r="K15531" s="1" t="str">
        <f>"2026-07-29 14:20:17"</f>
        <v>2026-07-29 14:20:17</v>
      </c>
      <c r="L15531" s="1" t="str">
        <f>"2023-11-15 11:17:15"</f>
        <v>2023-11-15 11:17:15</v>
      </c>
      <c r="M15531" s="1" t="s">
        <v>4</v>
      </c>
      <c r="N15531" s="1" t="s">
        <v>38</v>
      </c>
      <c r="O15531" s="1" t="s">
        <v>46</v>
      </c>
    </row>
    <row r="15532" spans="2:15" x14ac:dyDescent="0.3">
      <c r="B15532" s="1" t="s">
        <v>19</v>
      </c>
      <c r="C15532" s="1" t="str">
        <f>"1차"</f>
        <v>1차</v>
      </c>
      <c r="D15532" s="1" t="str">
        <f>"0129P60100"</f>
        <v>0129P60100</v>
      </c>
      <c r="E15532" s="1" t="s">
        <v>10</v>
      </c>
      <c r="F15532" s="1" t="str">
        <f>"10.107.2.32"</f>
        <v>10.107.2.32</v>
      </c>
      <c r="G15532" s="1" t="str">
        <f>"0129P601"</f>
        <v>0129P601</v>
      </c>
      <c r="H15532" s="1" t="str">
        <f>"삼양지 17"</f>
        <v>삼양지 17</v>
      </c>
      <c r="I15532" s="1" t="s">
        <v>8</v>
      </c>
      <c r="J15532" s="1" t="str">
        <f>"11/11"</f>
        <v>11/11</v>
      </c>
      <c r="K15532" s="1" t="str">
        <f>"2026-07-29 13:18:02"</f>
        <v>2026-07-29 13:18:02</v>
      </c>
      <c r="L15532" s="1" t="str">
        <f>"2014-10-30 16:43:49"</f>
        <v>2014-10-30 16:43:49</v>
      </c>
      <c r="M15532" s="1" t="s">
        <v>45</v>
      </c>
      <c r="N15532" s="1" t="s">
        <v>38</v>
      </c>
      <c r="O15532" s="1" t="s">
        <v>46</v>
      </c>
    </row>
    <row r="15533" spans="2:15" x14ac:dyDescent="0.3">
      <c r="B15533" s="1" t="s">
        <v>19</v>
      </c>
      <c r="C15533" s="1" t="str">
        <f>"6차"</f>
        <v>6차</v>
      </c>
      <c r="D15533" s="1" t="str">
        <f>"0129P6216S"</f>
        <v>0129P6216S</v>
      </c>
      <c r="E15533" s="1" t="s">
        <v>10</v>
      </c>
      <c r="F15533" s="1" t="str">
        <f>"fde1:103:4:9310:0:0:0:2"</f>
        <v>fde1:103:4:9310:0:0:0:2</v>
      </c>
      <c r="G15533" s="1" t="str">
        <f>"0129P621"</f>
        <v>0129P621</v>
      </c>
      <c r="H15533" s="1" t="str">
        <f>"삼원간 78R19"</f>
        <v>삼원간 78R19</v>
      </c>
      <c r="I15533" s="1" t="s">
        <v>15</v>
      </c>
      <c r="J15533" s="1" t="str">
        <f>"141/145"</f>
        <v>141/145</v>
      </c>
      <c r="K15533" s="1" t="str">
        <f>"2026-07-29 14:21:01"</f>
        <v>2026-07-29 14:21:01</v>
      </c>
      <c r="L15533" s="1" t="str">
        <f>"2025-02-12 18:00:05"</f>
        <v>2025-02-12 18:00:05</v>
      </c>
      <c r="M15533" s="1" t="s">
        <v>4</v>
      </c>
      <c r="N15533" s="1" t="s">
        <v>38</v>
      </c>
      <c r="O15533" s="1" t="s">
        <v>46</v>
      </c>
    </row>
    <row r="15534" spans="2:15" x14ac:dyDescent="0.3">
      <c r="B15534" s="1" t="s">
        <v>19</v>
      </c>
      <c r="C15534" s="1" t="str">
        <f>"6차"</f>
        <v>6차</v>
      </c>
      <c r="D15534" s="1" t="str">
        <f>"0129P6416S"</f>
        <v>0129P6416S</v>
      </c>
      <c r="E15534" s="1" t="s">
        <v>10</v>
      </c>
      <c r="F15534" s="1" t="str">
        <f>"fde1:103:4:c636:0:0:0:2"</f>
        <v>fde1:103:4:c636:0:0:0:2</v>
      </c>
      <c r="G15534" s="1" t="str">
        <f>"0129P641"</f>
        <v>0129P641</v>
      </c>
      <c r="H15534" s="1" t="str">
        <f>"시장지 38"</f>
        <v>시장지 38</v>
      </c>
      <c r="I15534" s="1" t="s">
        <v>15</v>
      </c>
      <c r="J15534" s="1" t="str">
        <f>"40/40"</f>
        <v>40/40</v>
      </c>
      <c r="K15534" s="1" t="str">
        <f>"2026-07-29 14:20:22"</f>
        <v>2026-07-29 14:20:22</v>
      </c>
      <c r="L15534" s="1" t="str">
        <f>"2024-11-12 15:05:27"</f>
        <v>2024-11-12 15:05:27</v>
      </c>
      <c r="M15534" s="1" t="s">
        <v>4</v>
      </c>
      <c r="N15534" s="1" t="s">
        <v>38</v>
      </c>
      <c r="O15534" s="1" t="s">
        <v>46</v>
      </c>
    </row>
    <row r="15535" spans="2:15" x14ac:dyDescent="0.3">
      <c r="B15535" s="1" t="s">
        <v>19</v>
      </c>
      <c r="C15535" s="1" t="str">
        <f>"5-2차"</f>
        <v>5-2차</v>
      </c>
      <c r="D15535" s="1" t="str">
        <f>"0129P6715M"</f>
        <v>0129P6715M</v>
      </c>
      <c r="E15535" s="1" t="s">
        <v>10</v>
      </c>
      <c r="F15535" s="1" t="str">
        <f>"fde1:103:4:6ee7:0:0:0:2"</f>
        <v>fde1:103:4:6ee7:0:0:0:2</v>
      </c>
      <c r="G15535" s="1" t="str">
        <f>"0129P671"</f>
        <v>0129P671</v>
      </c>
      <c r="H15535" s="1" t="str">
        <f>"삼원간 73R10"</f>
        <v>삼원간 73R10</v>
      </c>
      <c r="I15535" s="1" t="s">
        <v>15</v>
      </c>
      <c r="J15535" s="1" t="str">
        <f>"54/55"</f>
        <v>54/55</v>
      </c>
      <c r="K15535" s="1" t="str">
        <f>"2026-07-29 14:20:17"</f>
        <v>2026-07-29 14:20:17</v>
      </c>
      <c r="L15535" s="1" t="str">
        <f>"2023-11-15 11:35:34"</f>
        <v>2023-11-15 11:35:34</v>
      </c>
      <c r="M15535" s="1" t="s">
        <v>4</v>
      </c>
      <c r="N15535" s="1" t="s">
        <v>38</v>
      </c>
      <c r="O15535" s="1" t="s">
        <v>46</v>
      </c>
    </row>
    <row r="15536" spans="2:15" x14ac:dyDescent="0.3">
      <c r="B15536" s="1" t="s">
        <v>19</v>
      </c>
      <c r="C15536" s="1" t="str">
        <f>"6차"</f>
        <v>6차</v>
      </c>
      <c r="D15536" s="1" t="str">
        <f>"0129P7336S"</f>
        <v>0129P7336S</v>
      </c>
      <c r="E15536" s="1" t="s">
        <v>10</v>
      </c>
      <c r="F15536" s="1" t="str">
        <f>"fde1:103:4:c5b8:0:0:0:2"</f>
        <v>fde1:103:4:c5b8:0:0:0:2</v>
      </c>
      <c r="G15536" s="1" t="str">
        <f>"0129P733"</f>
        <v>0129P733</v>
      </c>
      <c r="H15536" s="1" t="str">
        <f>"시장지 41R2"</f>
        <v>시장지 41R2</v>
      </c>
      <c r="I15536" s="1" t="s">
        <v>15</v>
      </c>
      <c r="J15536" s="1" t="str">
        <f>"29/34"</f>
        <v>29/34</v>
      </c>
      <c r="K15536" s="1" t="str">
        <f>"2026-07-29 14:20:54"</f>
        <v>2026-07-29 14:20:54</v>
      </c>
      <c r="L15536" s="1" t="str">
        <f>"2024-11-19 16:45:18"</f>
        <v>2024-11-19 16:45:18</v>
      </c>
      <c r="M15536" s="1" t="s">
        <v>4</v>
      </c>
      <c r="N15536" s="1" t="s">
        <v>38</v>
      </c>
      <c r="O15536" s="1" t="s">
        <v>46</v>
      </c>
    </row>
    <row r="15537" spans="2:15" x14ac:dyDescent="0.3">
      <c r="B15537" s="1" t="s">
        <v>19</v>
      </c>
      <c r="C15537" s="1" t="str">
        <f>"1차"</f>
        <v>1차</v>
      </c>
      <c r="D15537" s="1" t="str">
        <f>"0129P76200"</f>
        <v>0129P76200</v>
      </c>
      <c r="E15537" s="1" t="s">
        <v>10</v>
      </c>
      <c r="F15537" s="1" t="str">
        <f>"10.107.0.165"</f>
        <v>10.107.0.165</v>
      </c>
      <c r="G15537" s="1" t="str">
        <f>"0129P762"</f>
        <v>0129P762</v>
      </c>
      <c r="H15537" s="1" t="str">
        <f>"삼원간 73R8"</f>
        <v>삼원간 73R8</v>
      </c>
      <c r="I15537" s="1" t="s">
        <v>8</v>
      </c>
      <c r="J15537" s="1" t="str">
        <f>"8/8"</f>
        <v>8/8</v>
      </c>
      <c r="K15537" s="1" t="str">
        <f>"2026-07-29 13:18:02"</f>
        <v>2026-07-29 13:18:02</v>
      </c>
      <c r="L15537" s="1" t="str">
        <f>"2014-10-30 16:44:38"</f>
        <v>2014-10-30 16:44:38</v>
      </c>
      <c r="M15537" s="1" t="s">
        <v>45</v>
      </c>
      <c r="N15537" s="1" t="s">
        <v>38</v>
      </c>
      <c r="O15537" s="1" t="s">
        <v>46</v>
      </c>
    </row>
    <row r="15538" spans="2:15" x14ac:dyDescent="0.3">
      <c r="B15538" s="1" t="s">
        <v>19</v>
      </c>
      <c r="C15538" s="1" t="str">
        <f>"5-2차"</f>
        <v>5-2차</v>
      </c>
      <c r="D15538" s="1" t="str">
        <f>"0129P7635S"</f>
        <v>0129P7635S</v>
      </c>
      <c r="E15538" s="1" t="s">
        <v>10</v>
      </c>
      <c r="F15538" s="1" t="str">
        <f>"fde1:103:4:6ef3:0:0:0:2"</f>
        <v>fde1:103:4:6ef3:0:0:0:2</v>
      </c>
      <c r="G15538" s="1" t="str">
        <f>"0129P763"</f>
        <v>0129P763</v>
      </c>
      <c r="H15538" s="1" t="str">
        <f>"삼원간 73R9L1"</f>
        <v>삼원간 73R9L1</v>
      </c>
      <c r="I15538" s="1" t="s">
        <v>15</v>
      </c>
      <c r="J15538" s="1" t="str">
        <f>"115/116"</f>
        <v>115/116</v>
      </c>
      <c r="K15538" s="1" t="str">
        <f>"2026-07-29 14:20:55"</f>
        <v>2026-07-29 14:20:55</v>
      </c>
      <c r="L15538" s="1" t="str">
        <f>"2023-11-15 11:35:24"</f>
        <v>2023-11-15 11:35:24</v>
      </c>
      <c r="M15538" s="1" t="s">
        <v>4</v>
      </c>
      <c r="N15538" s="1" t="s">
        <v>38</v>
      </c>
      <c r="O15538" s="1" t="s">
        <v>46</v>
      </c>
    </row>
    <row r="15539" spans="2:15" x14ac:dyDescent="0.3">
      <c r="B15539" s="1" t="s">
        <v>19</v>
      </c>
      <c r="C15539" s="1" t="str">
        <f>"1차"</f>
        <v>1차</v>
      </c>
      <c r="D15539" s="1" t="str">
        <f>"0129P80200"</f>
        <v>0129P80200</v>
      </c>
      <c r="E15539" s="1" t="s">
        <v>10</v>
      </c>
      <c r="F15539" s="1" t="str">
        <f>"10.107.0.167"</f>
        <v>10.107.0.167</v>
      </c>
      <c r="G15539" s="1" t="str">
        <f>"0129P802"</f>
        <v>0129P802</v>
      </c>
      <c r="H15539" s="1" t="str">
        <f>"삼양지 8R6"</f>
        <v>삼양지 8R6</v>
      </c>
      <c r="I15539" s="1" t="s">
        <v>8</v>
      </c>
      <c r="J15539" s="1" t="str">
        <f>"15/15"</f>
        <v>15/15</v>
      </c>
      <c r="K15539" s="1" t="str">
        <f>"2026-07-29 13:18:02"</f>
        <v>2026-07-29 13:18:02</v>
      </c>
      <c r="L15539" s="1" t="str">
        <f>"2014-10-30 16:44:06"</f>
        <v>2014-10-30 16:44:06</v>
      </c>
      <c r="M15539" s="1" t="s">
        <v>45</v>
      </c>
      <c r="N15539" s="1" t="s">
        <v>38</v>
      </c>
      <c r="O15539" s="1" t="s">
        <v>46</v>
      </c>
    </row>
    <row r="15540" spans="2:15" x14ac:dyDescent="0.3">
      <c r="B15540" s="1" t="s">
        <v>19</v>
      </c>
      <c r="C15540" s="1" t="str">
        <f>"4차"</f>
        <v>4차</v>
      </c>
      <c r="D15540" s="1" t="str">
        <f>"0129P81142"</f>
        <v>0129P81142</v>
      </c>
      <c r="E15540" s="1" t="s">
        <v>10</v>
      </c>
      <c r="F15540" s="1" t="str">
        <f>"10.12.135.195"</f>
        <v>10.12.135.195</v>
      </c>
      <c r="G15540" s="1" t="str">
        <f>"0129P811"</f>
        <v>0129P811</v>
      </c>
      <c r="H15540" s="1" t="str">
        <f>"삼원간 78R17"</f>
        <v>삼원간 78R17</v>
      </c>
      <c r="I15540" s="1" t="s">
        <v>8</v>
      </c>
      <c r="J15540" s="1" t="str">
        <f>"67/67"</f>
        <v>67/67</v>
      </c>
      <c r="K15540" s="1" t="str">
        <f>"2026-07-29 13:18:01"</f>
        <v>2026-07-29 13:18:01</v>
      </c>
      <c r="L15540" s="1" t="str">
        <f>"2024-12-19 10:33:41"</f>
        <v>2024-12-19 10:33:41</v>
      </c>
      <c r="M15540" s="1" t="s">
        <v>0</v>
      </c>
      <c r="N15540" s="1" t="s">
        <v>38</v>
      </c>
      <c r="O15540" s="1" t="s">
        <v>46</v>
      </c>
    </row>
    <row r="15541" spans="2:15" x14ac:dyDescent="0.3">
      <c r="B15541" s="1" t="s">
        <v>19</v>
      </c>
      <c r="C15541" s="1" t="str">
        <f>"1차"</f>
        <v>1차</v>
      </c>
      <c r="D15541" s="1" t="str">
        <f>"0129P81200"</f>
        <v>0129P81200</v>
      </c>
      <c r="E15541" s="1" t="s">
        <v>10</v>
      </c>
      <c r="F15541" s="1" t="str">
        <f>"10.107.0.169"</f>
        <v>10.107.0.169</v>
      </c>
      <c r="G15541" s="1" t="str">
        <f>"0129P812"</f>
        <v>0129P812</v>
      </c>
      <c r="H15541" s="1" t="str">
        <f>"삼원간 78R16"</f>
        <v>삼원간 78R16</v>
      </c>
      <c r="I15541" s="1" t="s">
        <v>8</v>
      </c>
      <c r="J15541" s="1" t="str">
        <f>"53/53"</f>
        <v>53/53</v>
      </c>
      <c r="K15541" s="1" t="str">
        <f>"2026-07-29 13:18:02"</f>
        <v>2026-07-29 13:18:02</v>
      </c>
      <c r="L15541" s="1" t="str">
        <f>"2014-11-05 00:11:37"</f>
        <v>2014-11-05 00:11:37</v>
      </c>
      <c r="M15541" s="1" t="s">
        <v>45</v>
      </c>
      <c r="N15541" s="1" t="s">
        <v>38</v>
      </c>
      <c r="O15541" s="1" t="s">
        <v>46</v>
      </c>
    </row>
    <row r="15542" spans="2:15" x14ac:dyDescent="0.3">
      <c r="B15542" s="1" t="s">
        <v>19</v>
      </c>
      <c r="C15542" s="1" t="str">
        <f>"1차"</f>
        <v>1차</v>
      </c>
      <c r="D15542" s="1" t="str">
        <f>"0129P86101"</f>
        <v>0129P86101</v>
      </c>
      <c r="E15542" s="1" t="s">
        <v>10</v>
      </c>
      <c r="F15542" s="1" t="str">
        <f>"10.12.135.151"</f>
        <v>10.12.135.151</v>
      </c>
      <c r="G15542" s="1" t="str">
        <f>"0129P861"</f>
        <v>0129P861</v>
      </c>
      <c r="H15542" s="1" t="str">
        <f>"삼원간 73R6"</f>
        <v>삼원간 73R6</v>
      </c>
      <c r="I15542" s="1" t="s">
        <v>8</v>
      </c>
      <c r="J15542" s="1" t="str">
        <f>"12/13"</f>
        <v>12/13</v>
      </c>
      <c r="K15542" s="1" t="str">
        <f>"2026-07-29 13:18:03"</f>
        <v>2026-07-29 13:18:03</v>
      </c>
      <c r="L15542" s="1" t="str">
        <f>"2014-11-04 00:12:30"</f>
        <v>2014-11-04 00:12:30</v>
      </c>
      <c r="M15542" s="1" t="s">
        <v>0</v>
      </c>
      <c r="N15542" s="1" t="s">
        <v>38</v>
      </c>
      <c r="O15542" s="1" t="s">
        <v>46</v>
      </c>
    </row>
    <row r="15543" spans="2:15" x14ac:dyDescent="0.3">
      <c r="B15543" s="1" t="s">
        <v>19</v>
      </c>
      <c r="C15543" s="1" t="str">
        <f>"6차"</f>
        <v>6차</v>
      </c>
      <c r="D15543" s="1" t="str">
        <f>"0129P8626M"</f>
        <v>0129P8626M</v>
      </c>
      <c r="E15543" s="1" t="s">
        <v>10</v>
      </c>
      <c r="F15543" s="1" t="str">
        <f>"fde1:103:4:c83c:0:0:0:2"</f>
        <v>fde1:103:4:c83c:0:0:0:2</v>
      </c>
      <c r="G15543" s="1" t="str">
        <f>"0129P862"</f>
        <v>0129P862</v>
      </c>
      <c r="H15543" s="1" t="str">
        <f>"삼원간 73R7"</f>
        <v>삼원간 73R7</v>
      </c>
      <c r="I15543" s="1" t="s">
        <v>15</v>
      </c>
      <c r="J15543" s="1" t="str">
        <f>"25/25"</f>
        <v>25/25</v>
      </c>
      <c r="K15543" s="1" t="str">
        <f>"2026-07-29 14:20:23"</f>
        <v>2026-07-29 14:20:23</v>
      </c>
      <c r="L15543" s="1" t="str">
        <f>"2024-12-03 11:26:30"</f>
        <v>2024-12-03 11:26:30</v>
      </c>
      <c r="M15543" s="1" t="s">
        <v>4</v>
      </c>
      <c r="N15543" s="1" t="s">
        <v>38</v>
      </c>
      <c r="O15543" s="1" t="s">
        <v>46</v>
      </c>
    </row>
    <row r="15544" spans="2:15" x14ac:dyDescent="0.3">
      <c r="B15544" s="1" t="s">
        <v>19</v>
      </c>
      <c r="C15544" s="1" t="str">
        <f>"1차"</f>
        <v>1차</v>
      </c>
      <c r="D15544" s="1" t="str">
        <f>"0129P91101"</f>
        <v>0129P91101</v>
      </c>
      <c r="E15544" s="1" t="s">
        <v>10</v>
      </c>
      <c r="F15544" s="1" t="str">
        <f>"10.107.0.171"</f>
        <v>10.107.0.171</v>
      </c>
      <c r="G15544" s="1" t="str">
        <f>"0129P911"</f>
        <v>0129P911</v>
      </c>
      <c r="H15544" s="1" t="str">
        <f>"삼원간 78R15"</f>
        <v>삼원간 78R15</v>
      </c>
      <c r="I15544" s="1" t="s">
        <v>8</v>
      </c>
      <c r="J15544" s="1" t="str">
        <f>"61/61"</f>
        <v>61/61</v>
      </c>
      <c r="K15544" s="1" t="str">
        <f>"2026-07-29 13:18:02"</f>
        <v>2026-07-29 13:18:02</v>
      </c>
      <c r="L15544" s="1" t="str">
        <f>"2014-11-04 00:13:26"</f>
        <v>2014-11-04 00:13:26</v>
      </c>
      <c r="M15544" s="1" t="s">
        <v>45</v>
      </c>
      <c r="N15544" s="1" t="s">
        <v>38</v>
      </c>
      <c r="O15544" s="1" t="s">
        <v>46</v>
      </c>
    </row>
    <row r="15545" spans="2:15" x14ac:dyDescent="0.3">
      <c r="B15545" s="1" t="s">
        <v>19</v>
      </c>
      <c r="C15545" s="1" t="str">
        <f>"5-2차"</f>
        <v>5-2차</v>
      </c>
      <c r="D15545" s="1" t="str">
        <f>"0129P9325M"</f>
        <v>0129P9325M</v>
      </c>
      <c r="E15545" s="1" t="s">
        <v>10</v>
      </c>
      <c r="F15545" s="1" t="str">
        <f>"fde3:102:1410:1400:0:0:0:c"</f>
        <v>fde3:102:1410:1400:0:0:0:c</v>
      </c>
      <c r="G15545" s="1" t="str">
        <f>"0129P932"</f>
        <v>0129P932</v>
      </c>
      <c r="H15545" s="1" t="str">
        <f>"시장지 43"</f>
        <v>시장지 43</v>
      </c>
      <c r="I15545" s="1" t="s">
        <v>15</v>
      </c>
      <c r="J15545" s="1" t="str">
        <f>"40/40"</f>
        <v>40/40</v>
      </c>
      <c r="K15545" s="1" t="str">
        <f>"2026-07-29 14:20:54"</f>
        <v>2026-07-29 14:20:54</v>
      </c>
      <c r="L15545" s="1" t="str">
        <f>"2023-08-16 12:38:22"</f>
        <v>2023-08-16 12:38:22</v>
      </c>
      <c r="M15545" s="1" t="s">
        <v>45</v>
      </c>
      <c r="N15545" s="1" t="s">
        <v>38</v>
      </c>
      <c r="O15545" s="1" t="s">
        <v>46</v>
      </c>
    </row>
    <row r="15546" spans="2:15" x14ac:dyDescent="0.3">
      <c r="B15546" s="1" t="s">
        <v>19</v>
      </c>
      <c r="C15546" s="1" t="str">
        <f>"1차"</f>
        <v>1차</v>
      </c>
      <c r="D15546" s="1" t="str">
        <f>"0129P96101"</f>
        <v>0129P96101</v>
      </c>
      <c r="E15546" s="1" t="s">
        <v>10</v>
      </c>
      <c r="F15546" s="1" t="str">
        <f>"10.14.15.191"</f>
        <v>10.14.15.191</v>
      </c>
      <c r="G15546" s="1" t="str">
        <f>"0129P961"</f>
        <v>0129P961</v>
      </c>
      <c r="H15546" s="1" t="str">
        <f>"삼원간 73R3"</f>
        <v>삼원간 73R3</v>
      </c>
      <c r="I15546" s="1" t="s">
        <v>8</v>
      </c>
      <c r="J15546" s="1" t="str">
        <f>"29/30"</f>
        <v>29/30</v>
      </c>
      <c r="K15546" s="1" t="str">
        <f>"2026-07-29 13:18:03"</f>
        <v>2026-07-29 13:18:03</v>
      </c>
      <c r="L15546" s="1" t="str">
        <f>"2014-11-04 00:13:39"</f>
        <v>2014-11-04 00:13:39</v>
      </c>
      <c r="M15546" s="1" t="s">
        <v>3</v>
      </c>
      <c r="N15546" s="1" t="s">
        <v>38</v>
      </c>
      <c r="O15546" s="1" t="s">
        <v>46</v>
      </c>
    </row>
    <row r="15547" spans="2:15" x14ac:dyDescent="0.3">
      <c r="B15547" s="1" t="s">
        <v>19</v>
      </c>
      <c r="C15547" s="1" t="str">
        <f>"1차"</f>
        <v>1차</v>
      </c>
      <c r="D15547" s="1" t="str">
        <f>"0129P96300"</f>
        <v>0129P96300</v>
      </c>
      <c r="E15547" s="1" t="s">
        <v>10</v>
      </c>
      <c r="F15547" s="1" t="str">
        <f>"10.107.0.172"</f>
        <v>10.107.0.172</v>
      </c>
      <c r="G15547" s="1" t="str">
        <f>"0129P963"</f>
        <v>0129P963</v>
      </c>
      <c r="H15547" s="1" t="str">
        <f>"삼원간 73R5"</f>
        <v>삼원간 73R5</v>
      </c>
      <c r="I15547" s="1" t="s">
        <v>8</v>
      </c>
      <c r="J15547" s="1" t="str">
        <f>"8/8"</f>
        <v>8/8</v>
      </c>
      <c r="K15547" s="1" t="str">
        <f>"2026-07-29 13:18:02"</f>
        <v>2026-07-29 13:18:02</v>
      </c>
      <c r="L15547" s="1" t="str">
        <f>"2014-10-30 16:44:21"</f>
        <v>2014-10-30 16:44:21</v>
      </c>
      <c r="M15547" s="1" t="s">
        <v>45</v>
      </c>
      <c r="N15547" s="1" t="s">
        <v>38</v>
      </c>
      <c r="O15547" s="1" t="s">
        <v>46</v>
      </c>
    </row>
    <row r="15548" spans="2:15" x14ac:dyDescent="0.3">
      <c r="B15548" s="1" t="s">
        <v>19</v>
      </c>
      <c r="C15548" s="1" t="str">
        <f>"5-2차"</f>
        <v>5-2차</v>
      </c>
      <c r="D15548" s="1" t="str">
        <f>"0129Q0215M"</f>
        <v>0129Q0215M</v>
      </c>
      <c r="E15548" s="1" t="s">
        <v>10</v>
      </c>
      <c r="F15548" s="1" t="str">
        <f>"fde1:103:4:6ef7:0:0:0:2"</f>
        <v>fde1:103:4:6ef7:0:0:0:2</v>
      </c>
      <c r="G15548" s="1" t="str">
        <f>"0129Q021"</f>
        <v>0129Q021</v>
      </c>
      <c r="H15548" s="1" t="str">
        <f>"삼원간 78R12"</f>
        <v>삼원간 78R12</v>
      </c>
      <c r="I15548" s="1" t="s">
        <v>15</v>
      </c>
      <c r="J15548" s="1" t="str">
        <f>"53/53"</f>
        <v>53/53</v>
      </c>
      <c r="K15548" s="1" t="str">
        <f>"2026-07-29 14:20:55"</f>
        <v>2026-07-29 14:20:55</v>
      </c>
      <c r="L15548" s="1" t="str">
        <f>"2023-11-15 12:28:46"</f>
        <v>2023-11-15 12:28:46</v>
      </c>
      <c r="M15548" s="1" t="s">
        <v>4</v>
      </c>
      <c r="N15548" s="1" t="s">
        <v>38</v>
      </c>
      <c r="O15548" s="1" t="s">
        <v>46</v>
      </c>
    </row>
    <row r="15549" spans="2:15" x14ac:dyDescent="0.3">
      <c r="B15549" s="1" t="s">
        <v>19</v>
      </c>
      <c r="C15549" s="1" t="str">
        <f>"5-2차"</f>
        <v>5-2차</v>
      </c>
      <c r="D15549" s="1" t="str">
        <f>"0129Q0335M"</f>
        <v>0129Q0335M</v>
      </c>
      <c r="E15549" s="1" t="s">
        <v>10</v>
      </c>
      <c r="F15549" s="1" t="str">
        <f>"fde1:103:4:6ef4:0:0:0:2"</f>
        <v>fde1:103:4:6ef4:0:0:0:2</v>
      </c>
      <c r="G15549" s="1" t="str">
        <f>"0129Q033"</f>
        <v>0129Q033</v>
      </c>
      <c r="H15549" s="1" t="str">
        <f>"삼원간 78R10"</f>
        <v>삼원간 78R10</v>
      </c>
      <c r="I15549" s="1" t="s">
        <v>15</v>
      </c>
      <c r="J15549" s="1" t="str">
        <f>"57/58"</f>
        <v>57/58</v>
      </c>
      <c r="K15549" s="1" t="str">
        <f>"2026-07-29 14:20:11"</f>
        <v>2026-07-29 14:20:11</v>
      </c>
      <c r="L15549" s="1" t="str">
        <f>"2023-11-15 12:28:51"</f>
        <v>2023-11-15 12:28:51</v>
      </c>
      <c r="M15549" s="1" t="s">
        <v>4</v>
      </c>
      <c r="N15549" s="1" t="s">
        <v>38</v>
      </c>
      <c r="O15549" s="1" t="s">
        <v>46</v>
      </c>
    </row>
    <row r="15550" spans="2:15" x14ac:dyDescent="0.3">
      <c r="B15550" s="1" t="s">
        <v>19</v>
      </c>
      <c r="C15550" s="1" t="str">
        <f>"5-2차"</f>
        <v>5-2차</v>
      </c>
      <c r="D15550" s="1" t="str">
        <f>"0129Q0425M"</f>
        <v>0129Q0425M</v>
      </c>
      <c r="E15550" s="1" t="s">
        <v>10</v>
      </c>
      <c r="F15550" s="1" t="str">
        <f>"fde3:102:1410:1400:0:0:0:b"</f>
        <v>fde3:102:1410:1400:0:0:0:b</v>
      </c>
      <c r="G15550" s="1" t="str">
        <f>"0129Q042"</f>
        <v>0129Q042</v>
      </c>
      <c r="H15550" s="1" t="str">
        <f>"삼원간 78R6"</f>
        <v>삼원간 78R6</v>
      </c>
      <c r="I15550" s="1" t="s">
        <v>15</v>
      </c>
      <c r="J15550" s="1" t="str">
        <f>"35/35"</f>
        <v>35/35</v>
      </c>
      <c r="K15550" s="1" t="str">
        <f>"2026-07-29 14:20:18"</f>
        <v>2026-07-29 14:20:18</v>
      </c>
      <c r="L15550" s="1" t="str">
        <f>"2023-08-16 11:55:03"</f>
        <v>2023-08-16 11:55:03</v>
      </c>
      <c r="M15550" s="1" t="s">
        <v>45</v>
      </c>
      <c r="N15550" s="1" t="s">
        <v>38</v>
      </c>
      <c r="O15550" s="1" t="s">
        <v>46</v>
      </c>
    </row>
    <row r="15551" spans="2:15" x14ac:dyDescent="0.3">
      <c r="B15551" s="1" t="s">
        <v>19</v>
      </c>
      <c r="C15551" s="1" t="str">
        <f>"5-2차"</f>
        <v>5-2차</v>
      </c>
      <c r="D15551" s="1" t="str">
        <f>"0129Q0515S"</f>
        <v>0129Q0515S</v>
      </c>
      <c r="E15551" s="1" t="s">
        <v>10</v>
      </c>
      <c r="F15551" s="1" t="str">
        <f>"fde3:102:1410:1400:0:0:0:9"</f>
        <v>fde3:102:1410:1400:0:0:0:9</v>
      </c>
      <c r="G15551" s="1" t="str">
        <f>"0129Q051"</f>
        <v>0129Q051</v>
      </c>
      <c r="H15551" s="1" t="str">
        <f>"삼원간 77R4"</f>
        <v>삼원간 77R4</v>
      </c>
      <c r="I15551" s="1" t="s">
        <v>15</v>
      </c>
      <c r="J15551" s="1" t="str">
        <f>"43/43"</f>
        <v>43/43</v>
      </c>
      <c r="K15551" s="1" t="str">
        <f>"2026-07-29 14:20:22"</f>
        <v>2026-07-29 14:20:22</v>
      </c>
      <c r="L15551" s="1" t="str">
        <f>"2023-08-16 11:42:36"</f>
        <v>2023-08-16 11:42:36</v>
      </c>
      <c r="M15551" s="1" t="s">
        <v>45</v>
      </c>
      <c r="N15551" s="1" t="s">
        <v>38</v>
      </c>
      <c r="O15551" s="1" t="s">
        <v>46</v>
      </c>
    </row>
    <row r="15552" spans="2:15" x14ac:dyDescent="0.3">
      <c r="B15552" s="1" t="s">
        <v>19</v>
      </c>
      <c r="C15552" s="1" t="str">
        <f>"1차"</f>
        <v>1차</v>
      </c>
      <c r="D15552" s="1" t="str">
        <f>"0129Q07100"</f>
        <v>0129Q07100</v>
      </c>
      <c r="E15552" s="1" t="s">
        <v>10</v>
      </c>
      <c r="F15552" s="1" t="str">
        <f>"10.107.2.33"</f>
        <v>10.107.2.33</v>
      </c>
      <c r="G15552" s="1" t="str">
        <f>"0129Q071"</f>
        <v>0129Q071</v>
      </c>
      <c r="H15552" s="1" t="str">
        <f>"삼원간 72R2"</f>
        <v>삼원간 72R2</v>
      </c>
      <c r="I15552" s="1" t="s">
        <v>8</v>
      </c>
      <c r="J15552" s="1" t="str">
        <f>"31/32"</f>
        <v>31/32</v>
      </c>
      <c r="K15552" s="1" t="str">
        <f>"2026-07-29 13:18:02"</f>
        <v>2026-07-29 13:18:02</v>
      </c>
      <c r="L15552" s="1" t="str">
        <f>"2014-11-04 00:13:25"</f>
        <v>2014-11-04 00:13:25</v>
      </c>
      <c r="M15552" s="1" t="s">
        <v>45</v>
      </c>
      <c r="N15552" s="1" t="s">
        <v>38</v>
      </c>
      <c r="O15552" s="1" t="s">
        <v>46</v>
      </c>
    </row>
    <row r="15553" spans="2:15" x14ac:dyDescent="0.3">
      <c r="B15553" s="1" t="s">
        <v>19</v>
      </c>
      <c r="C15553" s="1" t="str">
        <f>"5-2차"</f>
        <v>5-2차</v>
      </c>
      <c r="D15553" s="1" t="str">
        <f>"0129Q1255M"</f>
        <v>0129Q1255M</v>
      </c>
      <c r="E15553" s="1" t="s">
        <v>10</v>
      </c>
      <c r="F15553" s="1" t="str">
        <f>"fde1:103:4:6eee:0:0:0:2"</f>
        <v>fde1:103:4:6eee:0:0:0:2</v>
      </c>
      <c r="G15553" s="1" t="str">
        <f>"0129Q125"</f>
        <v>0129Q125</v>
      </c>
      <c r="H15553" s="1" t="str">
        <f>"삼원간 78R13L2"</f>
        <v>삼원간 78R13L2</v>
      </c>
      <c r="I15553" s="1" t="s">
        <v>15</v>
      </c>
      <c r="J15553" s="1" t="str">
        <f>"43/44"</f>
        <v>43/44</v>
      </c>
      <c r="K15553" s="1" t="str">
        <f>"2026-07-29 14:20:41"</f>
        <v>2026-07-29 14:20:41</v>
      </c>
      <c r="L15553" s="1" t="str">
        <f>"2023-11-15 12:29:17"</f>
        <v>2023-11-15 12:29:17</v>
      </c>
      <c r="M15553" s="1" t="s">
        <v>4</v>
      </c>
      <c r="N15553" s="1" t="s">
        <v>38</v>
      </c>
      <c r="O15553" s="1" t="s">
        <v>46</v>
      </c>
    </row>
    <row r="15554" spans="2:15" x14ac:dyDescent="0.3">
      <c r="B15554" s="1" t="s">
        <v>19</v>
      </c>
      <c r="C15554" s="1" t="str">
        <f>"5-2차"</f>
        <v>5-2차</v>
      </c>
      <c r="D15554" s="1" t="str">
        <f>"0129Q1325S"</f>
        <v>0129Q1325S</v>
      </c>
      <c r="E15554" s="1" t="s">
        <v>10</v>
      </c>
      <c r="F15554" s="1" t="str">
        <f>"fde1:103:4:6ef0:0:0:0:2"</f>
        <v>fde1:103:4:6ef0:0:0:0:2</v>
      </c>
      <c r="G15554" s="1" t="str">
        <f>"0129Q132"</f>
        <v>0129Q132</v>
      </c>
      <c r="H15554" s="1" t="str">
        <f>"삼원간 78R8L3"</f>
        <v>삼원간 78R8L3</v>
      </c>
      <c r="I15554" s="1" t="s">
        <v>15</v>
      </c>
      <c r="J15554" s="1" t="str">
        <f>"40/40"</f>
        <v>40/40</v>
      </c>
      <c r="K15554" s="1" t="str">
        <f>"2026-07-29 14:20:55"</f>
        <v>2026-07-29 14:20:55</v>
      </c>
      <c r="L15554" s="1" t="str">
        <f>"2023-11-15 12:29:24"</f>
        <v>2023-11-15 12:29:24</v>
      </c>
      <c r="M15554" s="1" t="s">
        <v>4</v>
      </c>
      <c r="N15554" s="1" t="s">
        <v>38</v>
      </c>
      <c r="O15554" s="1" t="s">
        <v>46</v>
      </c>
    </row>
    <row r="15555" spans="2:15" x14ac:dyDescent="0.3">
      <c r="B15555" s="1" t="s">
        <v>19</v>
      </c>
      <c r="C15555" s="1" t="str">
        <f>"5-2차"</f>
        <v>5-2차</v>
      </c>
      <c r="D15555" s="1" t="str">
        <f>"0129Q1515M"</f>
        <v>0129Q1515M</v>
      </c>
      <c r="E15555" s="1" t="s">
        <v>10</v>
      </c>
      <c r="F15555" s="1" t="str">
        <f>"fde3:102:1410:1400:0:0:0:8"</f>
        <v>fde3:102:1410:1400:0:0:0:8</v>
      </c>
      <c r="G15555" s="1" t="str">
        <f>"0129Q151"</f>
        <v>0129Q151</v>
      </c>
      <c r="H15555" s="1" t="str">
        <f>"삼원간 77R3"</f>
        <v>삼원간 77R3</v>
      </c>
      <c r="I15555" s="1" t="s">
        <v>15</v>
      </c>
      <c r="J15555" s="1" t="str">
        <f>"40/43"</f>
        <v>40/43</v>
      </c>
      <c r="K15555" s="1" t="str">
        <f>"2026-07-29 14:20:19"</f>
        <v>2026-07-29 14:20:19</v>
      </c>
      <c r="L15555" s="1" t="str">
        <f>"2023-08-16 11:31:33"</f>
        <v>2023-08-16 11:31:33</v>
      </c>
      <c r="M15555" s="1" t="s">
        <v>45</v>
      </c>
      <c r="N15555" s="1" t="s">
        <v>38</v>
      </c>
      <c r="O15555" s="1" t="s">
        <v>46</v>
      </c>
    </row>
    <row r="15556" spans="2:15" x14ac:dyDescent="0.3">
      <c r="B15556" s="1" t="s">
        <v>19</v>
      </c>
      <c r="C15556" s="1" t="str">
        <f>"1차"</f>
        <v>1차</v>
      </c>
      <c r="D15556" s="1" t="str">
        <f>"0129Q17200"</f>
        <v>0129Q17200</v>
      </c>
      <c r="E15556" s="1" t="s">
        <v>10</v>
      </c>
      <c r="F15556" s="1" t="str">
        <f>"10.107.2.34"</f>
        <v>10.107.2.34</v>
      </c>
      <c r="G15556" s="1" t="str">
        <f>"0129Q172"</f>
        <v>0129Q172</v>
      </c>
      <c r="H15556" s="1" t="str">
        <f>"삼원간 73R1"</f>
        <v>삼원간 73R1</v>
      </c>
      <c r="I15556" s="1" t="s">
        <v>8</v>
      </c>
      <c r="J15556" s="1" t="str">
        <f>"6/8"</f>
        <v>6/8</v>
      </c>
      <c r="K15556" s="1" t="str">
        <f>"2026-07-29 13:18:02"</f>
        <v>2026-07-29 13:18:02</v>
      </c>
      <c r="L15556" s="1" t="str">
        <f>"2014-11-04 00:13:01"</f>
        <v>2014-11-04 00:13:01</v>
      </c>
      <c r="M15556" s="1" t="s">
        <v>45</v>
      </c>
      <c r="N15556" s="1" t="s">
        <v>38</v>
      </c>
      <c r="O15556" s="1" t="s">
        <v>46</v>
      </c>
    </row>
    <row r="15557" spans="2:15" x14ac:dyDescent="0.3">
      <c r="B15557" s="1" t="s">
        <v>19</v>
      </c>
      <c r="C15557" s="1" t="str">
        <f>"5-2차"</f>
        <v>5-2차</v>
      </c>
      <c r="D15557" s="1" t="str">
        <f>"0129Q1955M"</f>
        <v>0129Q1955M</v>
      </c>
      <c r="E15557" s="1" t="s">
        <v>10</v>
      </c>
      <c r="F15557" s="1" t="str">
        <f>"fde1:103:4:6eea:0:0:0:2"</f>
        <v>fde1:103:4:6eea:0:0:0:2</v>
      </c>
      <c r="G15557" s="1" t="str">
        <f>"0129Q195"</f>
        <v>0129Q195</v>
      </c>
      <c r="H15557" s="1" t="str">
        <f>"삼원간 70"</f>
        <v>삼원간 70</v>
      </c>
      <c r="I15557" s="1" t="s">
        <v>15</v>
      </c>
      <c r="J15557" s="1" t="str">
        <f>"26/26"</f>
        <v>26/26</v>
      </c>
      <c r="K15557" s="1" t="str">
        <f>"2026-07-29 14:20:13"</f>
        <v>2026-07-29 14:20:13</v>
      </c>
      <c r="L15557" s="1" t="str">
        <f>"2023-11-15 12:43:09"</f>
        <v>2023-11-15 12:43:09</v>
      </c>
      <c r="M15557" s="1" t="s">
        <v>4</v>
      </c>
      <c r="N15557" s="1" t="s">
        <v>38</v>
      </c>
      <c r="O15557" s="1" t="s">
        <v>46</v>
      </c>
    </row>
    <row r="15558" spans="2:15" x14ac:dyDescent="0.3">
      <c r="B15558" s="1" t="s">
        <v>19</v>
      </c>
      <c r="C15558" s="1" t="str">
        <f>"6차"</f>
        <v>6차</v>
      </c>
      <c r="D15558" s="1" t="str">
        <f>"0129Q2216M"</f>
        <v>0129Q2216M</v>
      </c>
      <c r="E15558" s="1" t="s">
        <v>10</v>
      </c>
      <c r="F15558" s="1" t="str">
        <f>"fde1:103:4:c704:0:0:0:2"</f>
        <v>fde1:103:4:c704:0:0:0:2</v>
      </c>
      <c r="G15558" s="1" t="str">
        <f>"0129Q221"</f>
        <v>0129Q221</v>
      </c>
      <c r="H15558" s="1" t="str">
        <f>"삼원간 78R8L7"</f>
        <v>삼원간 78R8L7</v>
      </c>
      <c r="I15558" s="1" t="s">
        <v>15</v>
      </c>
      <c r="J15558" s="1" t="str">
        <f>"27/27"</f>
        <v>27/27</v>
      </c>
      <c r="K15558" s="1" t="str">
        <f>"2026-07-29 14:20:23"</f>
        <v>2026-07-29 14:20:23</v>
      </c>
      <c r="L15558" s="1" t="str">
        <f>"2024-12-03 11:26:46"</f>
        <v>2024-12-03 11:26:46</v>
      </c>
      <c r="M15558" s="1" t="s">
        <v>4</v>
      </c>
      <c r="N15558" s="1" t="s">
        <v>38</v>
      </c>
      <c r="O15558" s="1" t="s">
        <v>46</v>
      </c>
    </row>
    <row r="15559" spans="2:15" x14ac:dyDescent="0.3">
      <c r="B15559" s="1" t="s">
        <v>19</v>
      </c>
      <c r="C15559" s="1" t="str">
        <f>"5-1차"</f>
        <v>5-1차</v>
      </c>
      <c r="D15559" s="1" t="str">
        <f>"0129Q2945M"</f>
        <v>0129Q2945M</v>
      </c>
      <c r="E15559" s="1" t="s">
        <v>10</v>
      </c>
      <c r="F15559" s="1" t="str">
        <f>"fde2:104:0:31:0:0:0:2"</f>
        <v>fde2:104:0:31:0:0:0:2</v>
      </c>
      <c r="G15559" s="1" t="str">
        <f>"0129Q294"</f>
        <v>0129Q294</v>
      </c>
      <c r="H15559" s="1" t="str">
        <f>"성암지 34"</f>
        <v>성암지 34</v>
      </c>
      <c r="I15559" s="1" t="s">
        <v>15</v>
      </c>
      <c r="J15559" s="1" t="str">
        <f>"29/29"</f>
        <v>29/29</v>
      </c>
      <c r="K15559" s="1" t="str">
        <f>"2026-07-29 14:20:24"</f>
        <v>2026-07-29 14:20:24</v>
      </c>
      <c r="L15559" s="1" t="str">
        <f>"2022-08-31 09:53:16"</f>
        <v>2022-08-31 09:53:16</v>
      </c>
      <c r="M15559" s="1" t="s">
        <v>42</v>
      </c>
      <c r="N15559" s="1" t="s">
        <v>38</v>
      </c>
      <c r="O15559" s="1" t="s">
        <v>46</v>
      </c>
    </row>
    <row r="15560" spans="2:15" x14ac:dyDescent="0.3">
      <c r="B15560" s="1" t="s">
        <v>19</v>
      </c>
      <c r="C15560" s="1" t="str">
        <f>"1차"</f>
        <v>1차</v>
      </c>
      <c r="D15560" s="1" t="str">
        <f>"0129Q32200"</f>
        <v>0129Q32200</v>
      </c>
      <c r="E15560" s="1" t="s">
        <v>10</v>
      </c>
      <c r="F15560" s="1" t="str">
        <f>"10.107.123.36"</f>
        <v>10.107.123.36</v>
      </c>
      <c r="G15560" s="1" t="str">
        <f>"0129Q322"</f>
        <v>0129Q322</v>
      </c>
      <c r="H15560" s="1" t="str">
        <f>"삼원간 78R8L8"</f>
        <v>삼원간 78R8L8</v>
      </c>
      <c r="I15560" s="1" t="s">
        <v>8</v>
      </c>
      <c r="J15560" s="1" t="str">
        <f>"45/45"</f>
        <v>45/45</v>
      </c>
      <c r="K15560" s="1" t="str">
        <f>"2026-07-29 13:18:02"</f>
        <v>2026-07-29 13:18:02</v>
      </c>
      <c r="L15560" s="1" t="str">
        <f>"2014-11-04 12:57:23"</f>
        <v>2014-11-04 12:57:23</v>
      </c>
      <c r="M15560" s="1" t="s">
        <v>45</v>
      </c>
      <c r="N15560" s="1" t="s">
        <v>38</v>
      </c>
      <c r="O15560" s="1" t="s">
        <v>46</v>
      </c>
    </row>
    <row r="15561" spans="2:15" x14ac:dyDescent="0.3">
      <c r="B15561" s="1" t="s">
        <v>19</v>
      </c>
      <c r="C15561" s="1" t="str">
        <f t="shared" ref="C15561:C15566" si="778">"5-2차"</f>
        <v>5-2차</v>
      </c>
      <c r="D15561" s="1" t="str">
        <f>"0129Q3425M"</f>
        <v>0129Q3425M</v>
      </c>
      <c r="E15561" s="1" t="s">
        <v>10</v>
      </c>
      <c r="F15561" s="1" t="str">
        <f>"fde3:102:1410:1400:0:0:0:a"</f>
        <v>fde3:102:1410:1400:0:0:0:a</v>
      </c>
      <c r="G15561" s="1" t="str">
        <f>"0129Q342"</f>
        <v>0129Q342</v>
      </c>
      <c r="H15561" s="1" t="str">
        <f>"삼원간 78R1"</f>
        <v>삼원간 78R1</v>
      </c>
      <c r="I15561" s="1" t="s">
        <v>15</v>
      </c>
      <c r="J15561" s="1" t="str">
        <f>"46/46"</f>
        <v>46/46</v>
      </c>
      <c r="K15561" s="1" t="str">
        <f>"2026-07-29 14:20:18"</f>
        <v>2026-07-29 14:20:18</v>
      </c>
      <c r="L15561" s="1" t="str">
        <f>"2023-08-16 12:06:16"</f>
        <v>2023-08-16 12:06:16</v>
      </c>
      <c r="M15561" s="1" t="s">
        <v>45</v>
      </c>
      <c r="N15561" s="1" t="s">
        <v>38</v>
      </c>
      <c r="O15561" s="1" t="s">
        <v>46</v>
      </c>
    </row>
    <row r="15562" spans="2:15" x14ac:dyDescent="0.3">
      <c r="B15562" s="1" t="s">
        <v>19</v>
      </c>
      <c r="C15562" s="1" t="str">
        <f t="shared" si="778"/>
        <v>5-2차</v>
      </c>
      <c r="D15562" s="1" t="str">
        <f>"0129Q3515M"</f>
        <v>0129Q3515M</v>
      </c>
      <c r="E15562" s="1" t="s">
        <v>10</v>
      </c>
      <c r="F15562" s="1" t="str">
        <f>"fde1:103:4:6ee9:0:0:0:2"</f>
        <v>fde1:103:4:6ee9:0:0:0:2</v>
      </c>
      <c r="G15562" s="1" t="str">
        <f>"0129Q351"</f>
        <v>0129Q351</v>
      </c>
      <c r="H15562" s="1" t="str">
        <f>"수미간 50"</f>
        <v>수미간 50</v>
      </c>
      <c r="I15562" s="1" t="s">
        <v>15</v>
      </c>
      <c r="J15562" s="1" t="str">
        <f>"48/48"</f>
        <v>48/48</v>
      </c>
      <c r="K15562" s="1" t="str">
        <f>"2026-07-29 14:20:18"</f>
        <v>2026-07-29 14:20:18</v>
      </c>
      <c r="L15562" s="1" t="str">
        <f>"2023-11-15 12:43:16"</f>
        <v>2023-11-15 12:43:16</v>
      </c>
      <c r="M15562" s="1" t="s">
        <v>4</v>
      </c>
      <c r="N15562" s="1" t="s">
        <v>38</v>
      </c>
      <c r="O15562" s="1" t="s">
        <v>46</v>
      </c>
    </row>
    <row r="15563" spans="2:15" x14ac:dyDescent="0.3">
      <c r="B15563" s="1" t="s">
        <v>19</v>
      </c>
      <c r="C15563" s="1" t="str">
        <f t="shared" si="778"/>
        <v>5-2차</v>
      </c>
      <c r="D15563" s="1" t="str">
        <f>"0129Q4045M"</f>
        <v>0129Q4045M</v>
      </c>
      <c r="E15563" s="1" t="s">
        <v>10</v>
      </c>
      <c r="F15563" s="1" t="str">
        <f>"fde1:103:4:6ef2:0:0:0:2"</f>
        <v>fde1:103:4:6ef2:0:0:0:2</v>
      </c>
      <c r="G15563" s="1" t="str">
        <f>"0129Q404"</f>
        <v>0129Q404</v>
      </c>
      <c r="H15563" s="1" t="str">
        <f>"삼양지 3R3"</f>
        <v>삼양지 3R3</v>
      </c>
      <c r="I15563" s="1" t="s">
        <v>15</v>
      </c>
      <c r="J15563" s="1" t="str">
        <f>"21/21"</f>
        <v>21/21</v>
      </c>
      <c r="K15563" s="1" t="str">
        <f>"2026-07-29 14:20:27"</f>
        <v>2026-07-29 14:20:27</v>
      </c>
      <c r="L15563" s="1" t="str">
        <f>"2023-11-15 12:43:36"</f>
        <v>2023-11-15 12:43:36</v>
      </c>
      <c r="M15563" s="1" t="s">
        <v>4</v>
      </c>
      <c r="N15563" s="1" t="s">
        <v>38</v>
      </c>
      <c r="O15563" s="1" t="s">
        <v>46</v>
      </c>
    </row>
    <row r="15564" spans="2:15" x14ac:dyDescent="0.3">
      <c r="B15564" s="1" t="s">
        <v>19</v>
      </c>
      <c r="C15564" s="1" t="str">
        <f t="shared" si="778"/>
        <v>5-2차</v>
      </c>
      <c r="D15564" s="1" t="str">
        <f>"0129Q4615M"</f>
        <v>0129Q4615M</v>
      </c>
      <c r="E15564" s="1" t="s">
        <v>10</v>
      </c>
      <c r="F15564" s="1" t="str">
        <f>"fde1:103:4:6eef:0:0:0:2"</f>
        <v>fde1:103:4:6eef:0:0:0:2</v>
      </c>
      <c r="G15564" s="1" t="str">
        <f>"0129Q461"</f>
        <v>0129Q461</v>
      </c>
      <c r="H15564" s="1" t="str">
        <f>"수미간 50L2"</f>
        <v>수미간 50L2</v>
      </c>
      <c r="I15564" s="1" t="s">
        <v>15</v>
      </c>
      <c r="J15564" s="1" t="str">
        <f>"76/80"</f>
        <v>76/80</v>
      </c>
      <c r="K15564" s="1" t="str">
        <f>"2026-07-29 14:20:18"</f>
        <v>2026-07-29 14:20:18</v>
      </c>
      <c r="L15564" s="1" t="str">
        <f>"2023-11-15 13:56:36"</f>
        <v>2023-11-15 13:56:36</v>
      </c>
      <c r="M15564" s="1" t="s">
        <v>4</v>
      </c>
      <c r="N15564" s="1" t="s">
        <v>38</v>
      </c>
      <c r="O15564" s="1" t="s">
        <v>46</v>
      </c>
    </row>
    <row r="15565" spans="2:15" x14ac:dyDescent="0.3">
      <c r="B15565" s="1" t="s">
        <v>19</v>
      </c>
      <c r="C15565" s="1" t="str">
        <f t="shared" si="778"/>
        <v>5-2차</v>
      </c>
      <c r="D15565" s="1" t="str">
        <f>"0129Q4825M"</f>
        <v>0129Q4825M</v>
      </c>
      <c r="E15565" s="1" t="s">
        <v>10</v>
      </c>
      <c r="F15565" s="1" t="str">
        <f>"fde3:102:1410:1500:0:0:0:7"</f>
        <v>fde3:102:1410:1500:0:0:0:7</v>
      </c>
      <c r="G15565" s="1" t="str">
        <f>"0129Q482"</f>
        <v>0129Q482</v>
      </c>
      <c r="H15565" s="1" t="str">
        <f>"성암지 30"</f>
        <v>성암지 30</v>
      </c>
      <c r="I15565" s="1" t="s">
        <v>15</v>
      </c>
      <c r="J15565" s="1" t="str">
        <f>"47/50"</f>
        <v>47/50</v>
      </c>
      <c r="K15565" s="1" t="str">
        <f>"2026-07-29 14:20:32"</f>
        <v>2026-07-29 14:20:32</v>
      </c>
      <c r="L15565" s="1" t="str">
        <f>"2023-08-16 14:21:31"</f>
        <v>2023-08-16 14:21:31</v>
      </c>
      <c r="M15565" s="1" t="s">
        <v>45</v>
      </c>
      <c r="N15565" s="1" t="s">
        <v>38</v>
      </c>
      <c r="O15565" s="1" t="s">
        <v>46</v>
      </c>
    </row>
    <row r="15566" spans="2:15" x14ac:dyDescent="0.3">
      <c r="B15566" s="1" t="s">
        <v>19</v>
      </c>
      <c r="C15566" s="1" t="str">
        <f t="shared" si="778"/>
        <v>5-2차</v>
      </c>
      <c r="D15566" s="1" t="str">
        <f>"0129Q5135M"</f>
        <v>0129Q5135M</v>
      </c>
      <c r="E15566" s="1" t="s">
        <v>10</v>
      </c>
      <c r="F15566" s="1" t="str">
        <f>"fde3:102:1410:1400:0:0:0:7"</f>
        <v>fde3:102:1410:1400:0:0:0:7</v>
      </c>
      <c r="G15566" s="1" t="str">
        <f>"0129Q513"</f>
        <v>0129Q513</v>
      </c>
      <c r="H15566" s="1" t="str">
        <f>"삼원간 84"</f>
        <v>삼원간 84</v>
      </c>
      <c r="I15566" s="1" t="s">
        <v>15</v>
      </c>
      <c r="J15566" s="1" t="str">
        <f>"33/34"</f>
        <v>33/34</v>
      </c>
      <c r="K15566" s="1" t="str">
        <f>"2026-07-29 08:20:12"</f>
        <v>2026-07-29 08:20:12</v>
      </c>
      <c r="L15566" s="1" t="str">
        <f>"2023-08-16 12:23:26"</f>
        <v>2023-08-16 12:23:26</v>
      </c>
      <c r="M15566" s="1" t="s">
        <v>45</v>
      </c>
      <c r="N15566" s="1" t="s">
        <v>38</v>
      </c>
      <c r="O15566" s="1" t="s">
        <v>46</v>
      </c>
    </row>
    <row r="15567" spans="2:15" x14ac:dyDescent="0.3">
      <c r="B15567" s="1" t="s">
        <v>19</v>
      </c>
      <c r="C15567" s="1" t="str">
        <f>"1차"</f>
        <v>1차</v>
      </c>
      <c r="D15567" s="1" t="str">
        <f>"0129Q55100"</f>
        <v>0129Q55100</v>
      </c>
      <c r="E15567" s="1" t="s">
        <v>10</v>
      </c>
      <c r="F15567" s="1" t="str">
        <f>"10.107.2.35"</f>
        <v>10.107.2.35</v>
      </c>
      <c r="G15567" s="1" t="str">
        <f>"0129Q551"</f>
        <v>0129Q551</v>
      </c>
      <c r="H15567" s="1" t="str">
        <f>"수미간 51L2"</f>
        <v>수미간 51L2</v>
      </c>
      <c r="I15567" s="1" t="s">
        <v>8</v>
      </c>
      <c r="J15567" s="1" t="str">
        <f>"75/79"</f>
        <v>75/79</v>
      </c>
      <c r="K15567" s="1" t="str">
        <f>"2026-07-29 13:18:02"</f>
        <v>2026-07-29 13:18:02</v>
      </c>
      <c r="L15567" s="1" t="str">
        <f>"2014-12-03 13:58:31"</f>
        <v>2014-12-03 13:58:31</v>
      </c>
      <c r="M15567" s="1" t="s">
        <v>45</v>
      </c>
      <c r="N15567" s="1" t="s">
        <v>38</v>
      </c>
      <c r="O15567" s="1" t="s">
        <v>46</v>
      </c>
    </row>
    <row r="15568" spans="2:15" x14ac:dyDescent="0.3">
      <c r="B15568" s="1" t="s">
        <v>19</v>
      </c>
      <c r="C15568" s="1" t="str">
        <f>"5-1차"</f>
        <v>5-1차</v>
      </c>
      <c r="D15568" s="1" t="str">
        <f>"0129Q5525S"</f>
        <v>0129Q5525S</v>
      </c>
      <c r="E15568" s="1" t="s">
        <v>10</v>
      </c>
      <c r="F15568" s="1" t="str">
        <f>"fde2:104:0:3a:0:0:0:2"</f>
        <v>fde2:104:0:3a:0:0:0:2</v>
      </c>
      <c r="G15568" s="1" t="str">
        <f>"0129Q552"</f>
        <v>0129Q552</v>
      </c>
      <c r="H15568" s="1" t="str">
        <f>"수미간 51L2L1"</f>
        <v>수미간 51L2L1</v>
      </c>
      <c r="I15568" s="1" t="s">
        <v>15</v>
      </c>
      <c r="J15568" s="1" t="str">
        <f>"30/33"</f>
        <v>30/33</v>
      </c>
      <c r="K15568" s="1" t="str">
        <f>"2026-07-29 14:20:07"</f>
        <v>2026-07-29 14:20:07</v>
      </c>
      <c r="L15568" s="1" t="str">
        <f>"2022-08-31 08:13:36"</f>
        <v>2022-08-31 08:13:36</v>
      </c>
      <c r="M15568" s="1" t="s">
        <v>42</v>
      </c>
      <c r="N15568" s="1" t="s">
        <v>38</v>
      </c>
      <c r="O15568" s="1" t="s">
        <v>46</v>
      </c>
    </row>
    <row r="15569" spans="2:15" x14ac:dyDescent="0.3">
      <c r="B15569" s="1" t="s">
        <v>19</v>
      </c>
      <c r="C15569" s="1" t="str">
        <f>"5-2차"</f>
        <v>5-2차</v>
      </c>
      <c r="D15569" s="1" t="str">
        <f>"0129Q5635M"</f>
        <v>0129Q5635M</v>
      </c>
      <c r="E15569" s="1" t="s">
        <v>10</v>
      </c>
      <c r="F15569" s="1" t="str">
        <f>"fde1:103:4:6ef5:0:0:0:2"</f>
        <v>fde1:103:4:6ef5:0:0:0:2</v>
      </c>
      <c r="G15569" s="1" t="str">
        <f>"0129Q563"</f>
        <v>0129Q563</v>
      </c>
      <c r="H15569" s="1" t="str">
        <f>"수미간 50L3"</f>
        <v>수미간 50L3</v>
      </c>
      <c r="I15569" s="1" t="s">
        <v>15</v>
      </c>
      <c r="J15569" s="1" t="str">
        <f>"55/55"</f>
        <v>55/55</v>
      </c>
      <c r="K15569" s="1" t="str">
        <f>"2026-07-29 14:20:25"</f>
        <v>2026-07-29 14:20:25</v>
      </c>
      <c r="L15569" s="1" t="str">
        <f>"2023-11-15 14:01:06"</f>
        <v>2023-11-15 14:01:06</v>
      </c>
      <c r="M15569" s="1" t="s">
        <v>4</v>
      </c>
      <c r="N15569" s="1" t="s">
        <v>38</v>
      </c>
      <c r="O15569" s="1" t="s">
        <v>46</v>
      </c>
    </row>
    <row r="15570" spans="2:15" x14ac:dyDescent="0.3">
      <c r="B15570" s="1" t="s">
        <v>19</v>
      </c>
      <c r="C15570" s="1" t="str">
        <f>"5-1차"</f>
        <v>5-1차</v>
      </c>
      <c r="D15570" s="1" t="str">
        <f>"0129Q5655S"</f>
        <v>0129Q5655S</v>
      </c>
      <c r="E15570" s="1" t="s">
        <v>10</v>
      </c>
      <c r="F15570" s="1" t="str">
        <f>"fde2:104:0:3d:0:0:0:2"</f>
        <v>fde2:104:0:3d:0:0:0:2</v>
      </c>
      <c r="G15570" s="1" t="str">
        <f>"0129Q565"</f>
        <v>0129Q565</v>
      </c>
      <c r="H15570" s="1" t="str">
        <f>"수미간 50L4"</f>
        <v>수미간 50L4</v>
      </c>
      <c r="I15570" s="1" t="s">
        <v>15</v>
      </c>
      <c r="J15570" s="1" t="str">
        <f>"38/38"</f>
        <v>38/38</v>
      </c>
      <c r="K15570" s="1" t="str">
        <f>"2026-07-29 14:20:19"</f>
        <v>2026-07-29 14:20:19</v>
      </c>
      <c r="L15570" s="1" t="str">
        <f>"2022-08-31 08:14:50"</f>
        <v>2022-08-31 08:14:50</v>
      </c>
      <c r="M15570" s="1" t="s">
        <v>42</v>
      </c>
      <c r="N15570" s="1" t="s">
        <v>38</v>
      </c>
      <c r="O15570" s="1" t="s">
        <v>46</v>
      </c>
    </row>
    <row r="15571" spans="2:15" x14ac:dyDescent="0.3">
      <c r="B15571" s="1" t="s">
        <v>19</v>
      </c>
      <c r="C15571" s="1" t="str">
        <f>"1차"</f>
        <v>1차</v>
      </c>
      <c r="D15571" s="1" t="str">
        <f>"0129Q63100"</f>
        <v>0129Q63100</v>
      </c>
      <c r="E15571" s="1" t="s">
        <v>10</v>
      </c>
      <c r="F15571" s="1" t="str">
        <f>"10.107.0.178"</f>
        <v>10.107.0.178</v>
      </c>
      <c r="G15571" s="1" t="str">
        <f>"0129Q631"</f>
        <v>0129Q631</v>
      </c>
      <c r="H15571" s="1" t="str">
        <f>"수미간 51L4"</f>
        <v>수미간 51L4</v>
      </c>
      <c r="I15571" s="1" t="s">
        <v>8</v>
      </c>
      <c r="J15571" s="1" t="str">
        <f>"40/42"</f>
        <v>40/42</v>
      </c>
      <c r="K15571" s="1" t="str">
        <f>"2026-07-29 13:18:02"</f>
        <v>2026-07-29 13:18:02</v>
      </c>
      <c r="L15571" s="1" t="str">
        <f>"2015-02-05 17:00:03"</f>
        <v>2015-02-05 17:00:03</v>
      </c>
      <c r="M15571" s="1" t="s">
        <v>45</v>
      </c>
      <c r="N15571" s="1" t="s">
        <v>38</v>
      </c>
      <c r="O15571" s="1" t="s">
        <v>46</v>
      </c>
    </row>
    <row r="15572" spans="2:15" x14ac:dyDescent="0.3">
      <c r="B15572" s="1" t="s">
        <v>19</v>
      </c>
      <c r="C15572" s="1" t="str">
        <f>"1차"</f>
        <v>1차</v>
      </c>
      <c r="D15572" s="1" t="str">
        <f>"0129Q63201"</f>
        <v>0129Q63201</v>
      </c>
      <c r="E15572" s="1" t="s">
        <v>10</v>
      </c>
      <c r="F15572" s="1" t="str">
        <f>"10.12.134.48"</f>
        <v>10.12.134.48</v>
      </c>
      <c r="G15572" s="1" t="str">
        <f>"0129Q632"</f>
        <v>0129Q632</v>
      </c>
      <c r="H15572" s="1" t="str">
        <f>"수미간 51L5"</f>
        <v>수미간 51L5</v>
      </c>
      <c r="I15572" s="1" t="s">
        <v>8</v>
      </c>
      <c r="J15572" s="1" t="str">
        <f>"17/18"</f>
        <v>17/18</v>
      </c>
      <c r="K15572" s="1" t="str">
        <f>"2026-07-29 13:18:01"</f>
        <v>2026-07-29 13:18:01</v>
      </c>
      <c r="L15572" s="1" t="str">
        <f>"2015-02-05 16:51:57"</f>
        <v>2015-02-05 16:51:57</v>
      </c>
      <c r="M15572" s="1" t="s">
        <v>0</v>
      </c>
      <c r="N15572" s="1" t="s">
        <v>38</v>
      </c>
      <c r="O15572" s="1" t="s">
        <v>46</v>
      </c>
    </row>
    <row r="15573" spans="2:15" x14ac:dyDescent="0.3">
      <c r="B15573" s="1" t="s">
        <v>19</v>
      </c>
      <c r="C15573" s="1" t="str">
        <f>"5-2차"</f>
        <v>5-2차</v>
      </c>
      <c r="D15573" s="1" t="str">
        <f>"0129Q6625M"</f>
        <v>0129Q6625M</v>
      </c>
      <c r="E15573" s="1" t="s">
        <v>10</v>
      </c>
      <c r="F15573" s="1" t="str">
        <f>"fde1:103:4:6ef6:0:0:0:2"</f>
        <v>fde1:103:4:6ef6:0:0:0:2</v>
      </c>
      <c r="G15573" s="1" t="str">
        <f>"0129Q662"</f>
        <v>0129Q662</v>
      </c>
      <c r="H15573" s="1" t="str">
        <f>"수미간 50L6"</f>
        <v>수미간 50L6</v>
      </c>
      <c r="I15573" s="1" t="s">
        <v>15</v>
      </c>
      <c r="J15573" s="1" t="str">
        <f>"61/61"</f>
        <v>61/61</v>
      </c>
      <c r="K15573" s="1" t="str">
        <f>"2026-07-29 14:21:08"</f>
        <v>2026-07-29 14:21:08</v>
      </c>
      <c r="L15573" s="1" t="str">
        <f>"2023-11-15 14:01:25"</f>
        <v>2023-11-15 14:01:25</v>
      </c>
      <c r="M15573" s="1" t="s">
        <v>4</v>
      </c>
      <c r="N15573" s="1" t="s">
        <v>38</v>
      </c>
      <c r="O15573" s="1" t="s">
        <v>46</v>
      </c>
    </row>
    <row r="15574" spans="2:15" x14ac:dyDescent="0.3">
      <c r="B15574" s="1" t="s">
        <v>19</v>
      </c>
      <c r="C15574" s="1" t="str">
        <f>"5-2차"</f>
        <v>5-2차</v>
      </c>
      <c r="D15574" s="1" t="str">
        <f>"0129Q6825M"</f>
        <v>0129Q6825M</v>
      </c>
      <c r="E15574" s="1" t="s">
        <v>10</v>
      </c>
      <c r="F15574" s="1" t="str">
        <f>"fde1:103:4:6ef1:0:0:0:2"</f>
        <v>fde1:103:4:6ef1:0:0:0:2</v>
      </c>
      <c r="G15574" s="1" t="str">
        <f>"0129Q682"</f>
        <v>0129Q682</v>
      </c>
      <c r="H15574" s="1" t="str">
        <f>"성암지 29R3"</f>
        <v>성암지 29R3</v>
      </c>
      <c r="I15574" s="1" t="s">
        <v>15</v>
      </c>
      <c r="J15574" s="1" t="str">
        <f>"124/125"</f>
        <v>124/125</v>
      </c>
      <c r="K15574" s="1" t="str">
        <f>"2026-07-29 14:20:01"</f>
        <v>2026-07-29 14:20:01</v>
      </c>
      <c r="L15574" s="1" t="str">
        <f>"2023-11-15 14:01:33"</f>
        <v>2023-11-15 14:01:33</v>
      </c>
      <c r="M15574" s="1" t="s">
        <v>4</v>
      </c>
      <c r="N15574" s="1" t="s">
        <v>38</v>
      </c>
      <c r="O15574" s="1" t="s">
        <v>46</v>
      </c>
    </row>
    <row r="15575" spans="2:15" x14ac:dyDescent="0.3">
      <c r="B15575" s="1" t="s">
        <v>19</v>
      </c>
      <c r="C15575" s="1" t="str">
        <f>"5-2차"</f>
        <v>5-2차</v>
      </c>
      <c r="D15575" s="1" t="str">
        <f>"0129Q7125M"</f>
        <v>0129Q7125M</v>
      </c>
      <c r="E15575" s="1" t="s">
        <v>10</v>
      </c>
      <c r="F15575" s="1" t="str">
        <f>"fde3:102:1410:1600:0:0:0:e"</f>
        <v>fde3:102:1410:1600:0:0:0:e</v>
      </c>
      <c r="G15575" s="1" t="str">
        <f>"0129Q712"</f>
        <v>0129Q712</v>
      </c>
      <c r="H15575" s="1" t="str">
        <f>"수미간 58L4L2"</f>
        <v>수미간 58L4L2</v>
      </c>
      <c r="I15575" s="1" t="s">
        <v>15</v>
      </c>
      <c r="J15575" s="1" t="str">
        <f>"6/6"</f>
        <v>6/6</v>
      </c>
      <c r="K15575" s="1" t="str">
        <f>"2026-07-29 14:20:24"</f>
        <v>2026-07-29 14:20:24</v>
      </c>
      <c r="L15575" s="1" t="str">
        <f>"2023-08-17 10:05:27"</f>
        <v>2023-08-17 10:05:27</v>
      </c>
      <c r="M15575" s="1" t="s">
        <v>45</v>
      </c>
      <c r="N15575" s="1" t="s">
        <v>38</v>
      </c>
      <c r="O15575" s="1" t="s">
        <v>46</v>
      </c>
    </row>
    <row r="15576" spans="2:15" x14ac:dyDescent="0.3">
      <c r="B15576" s="1" t="s">
        <v>19</v>
      </c>
      <c r="C15576" s="1" t="str">
        <f>"4차"</f>
        <v>4차</v>
      </c>
      <c r="D15576" s="1" t="str">
        <f>"0129Q72144"</f>
        <v>0129Q72144</v>
      </c>
      <c r="E15576" s="1" t="s">
        <v>10</v>
      </c>
      <c r="F15576" s="1" t="str">
        <f>"10.107.127.124"</f>
        <v>10.107.127.124</v>
      </c>
      <c r="G15576" s="1" t="str">
        <f>"0129Q721"</f>
        <v>0129Q721</v>
      </c>
      <c r="H15576" s="1" t="str">
        <f>"성암지 16L2"</f>
        <v>성암지 16L2</v>
      </c>
      <c r="I15576" s="1" t="s">
        <v>8</v>
      </c>
      <c r="J15576" s="1" t="str">
        <f>"102/103"</f>
        <v>102/103</v>
      </c>
      <c r="K15576" s="1" t="str">
        <f>"2026-07-29 13:18:02"</f>
        <v>2026-07-29 13:18:02</v>
      </c>
      <c r="L15576" s="1" t="str">
        <f>"2024-04-30 18:10:33"</f>
        <v>2024-04-30 18:10:33</v>
      </c>
      <c r="M15576" s="1" t="s">
        <v>45</v>
      </c>
      <c r="N15576" s="1" t="s">
        <v>38</v>
      </c>
      <c r="O15576" s="1" t="s">
        <v>46</v>
      </c>
    </row>
    <row r="15577" spans="2:15" x14ac:dyDescent="0.3">
      <c r="B15577" s="1" t="s">
        <v>19</v>
      </c>
      <c r="C15577" s="1" t="str">
        <f>"4차"</f>
        <v>4차</v>
      </c>
      <c r="D15577" s="1" t="str">
        <f>"0129Q73142"</f>
        <v>0129Q73142</v>
      </c>
      <c r="E15577" s="1" t="s">
        <v>10</v>
      </c>
      <c r="F15577" s="1" t="str">
        <f>"10.12.130.179"</f>
        <v>10.12.130.179</v>
      </c>
      <c r="G15577" s="1" t="str">
        <f>"0129Q731"</f>
        <v>0129Q731</v>
      </c>
      <c r="H15577" s="1" t="str">
        <f>"성암지 16L1"</f>
        <v>성암지 16L1</v>
      </c>
      <c r="I15577" s="1" t="s">
        <v>8</v>
      </c>
      <c r="J15577" s="1" t="str">
        <f>"29/29"</f>
        <v>29/29</v>
      </c>
      <c r="K15577" s="1" t="str">
        <f>"2026-07-29 13:18:02"</f>
        <v>2026-07-29 13:18:02</v>
      </c>
      <c r="L15577" s="1" t="str">
        <f>"2024-12-19 08:54:12"</f>
        <v>2024-12-19 08:54:12</v>
      </c>
      <c r="M15577" s="1" t="s">
        <v>0</v>
      </c>
      <c r="N15577" s="1" t="s">
        <v>38</v>
      </c>
      <c r="O15577" s="1" t="s">
        <v>46</v>
      </c>
    </row>
    <row r="15578" spans="2:15" x14ac:dyDescent="0.3">
      <c r="B15578" s="1" t="s">
        <v>19</v>
      </c>
      <c r="C15578" s="1" t="str">
        <f>"1차"</f>
        <v>1차</v>
      </c>
      <c r="D15578" s="1" t="str">
        <f>"0129Q74100"</f>
        <v>0129Q74100</v>
      </c>
      <c r="E15578" s="1" t="s">
        <v>10</v>
      </c>
      <c r="F15578" s="1" t="str">
        <f>"10.107.127.114"</f>
        <v>10.107.127.114</v>
      </c>
      <c r="G15578" s="1" t="str">
        <f>"0129Q741"</f>
        <v>0129Q741</v>
      </c>
      <c r="H15578" s="1" t="str">
        <f>"성암지 21L7"</f>
        <v>성암지 21L7</v>
      </c>
      <c r="I15578" s="1" t="s">
        <v>8</v>
      </c>
      <c r="J15578" s="1" t="str">
        <f>"26/27"</f>
        <v>26/27</v>
      </c>
      <c r="K15578" s="1" t="str">
        <f>"2026-07-29 13:18:02"</f>
        <v>2026-07-29 13:18:02</v>
      </c>
      <c r="L15578" s="1" t="str">
        <f>"2014-12-05 15:36:20"</f>
        <v>2014-12-05 15:36:20</v>
      </c>
      <c r="M15578" s="1" t="s">
        <v>45</v>
      </c>
      <c r="N15578" s="1" t="s">
        <v>38</v>
      </c>
      <c r="O15578" s="1" t="s">
        <v>46</v>
      </c>
    </row>
    <row r="15579" spans="2:15" x14ac:dyDescent="0.3">
      <c r="B15579" s="1" t="s">
        <v>19</v>
      </c>
      <c r="C15579" s="1" t="str">
        <f>"6차"</f>
        <v>6차</v>
      </c>
      <c r="D15579" s="1" t="str">
        <f>"0129Q7516M"</f>
        <v>0129Q7516M</v>
      </c>
      <c r="E15579" s="1" t="s">
        <v>10</v>
      </c>
      <c r="F15579" s="1" t="str">
        <f>"fde1:103:4:c724:0:0:0:2"</f>
        <v>fde1:103:4:c724:0:0:0:2</v>
      </c>
      <c r="G15579" s="1" t="str">
        <f>"0129Q751"</f>
        <v>0129Q751</v>
      </c>
      <c r="H15579" s="1" t="str">
        <f>"성암지 21L5"</f>
        <v>성암지 21L5</v>
      </c>
      <c r="I15579" s="1" t="s">
        <v>15</v>
      </c>
      <c r="J15579" s="1" t="str">
        <f>"23/24"</f>
        <v>23/24</v>
      </c>
      <c r="K15579" s="1" t="str">
        <f>"2026-07-29 14:20:22"</f>
        <v>2026-07-29 14:20:22</v>
      </c>
      <c r="L15579" s="1" t="str">
        <f>"2024-12-10 16:16:34"</f>
        <v>2024-12-10 16:16:34</v>
      </c>
      <c r="M15579" s="1" t="s">
        <v>4</v>
      </c>
      <c r="N15579" s="1" t="s">
        <v>38</v>
      </c>
      <c r="O15579" s="1" t="s">
        <v>46</v>
      </c>
    </row>
    <row r="15580" spans="2:15" x14ac:dyDescent="0.3">
      <c r="B15580" s="1" t="s">
        <v>19</v>
      </c>
      <c r="C15580" s="1" t="str">
        <f>"5-2차"</f>
        <v>5-2차</v>
      </c>
      <c r="D15580" s="1" t="str">
        <f>"0129Q7635M"</f>
        <v>0129Q7635M</v>
      </c>
      <c r="E15580" s="1" t="s">
        <v>10</v>
      </c>
      <c r="F15580" s="1" t="str">
        <f>"fde1:103:4:6efa:0:0:0:2"</f>
        <v>fde1:103:4:6efa:0:0:0:2</v>
      </c>
      <c r="G15580" s="1" t="str">
        <f>"0129Q763"</f>
        <v>0129Q763</v>
      </c>
      <c r="H15580" s="1" t="str">
        <f>"성암지 25L1"</f>
        <v>성암지 25L1</v>
      </c>
      <c r="I15580" s="1" t="s">
        <v>15</v>
      </c>
      <c r="J15580" s="1" t="str">
        <f>"56/56"</f>
        <v>56/56</v>
      </c>
      <c r="K15580" s="1" t="str">
        <f>"2026-07-29 14:20:23"</f>
        <v>2026-07-29 14:20:23</v>
      </c>
      <c r="L15580" s="1" t="str">
        <f>"2023-11-15 14:01:44"</f>
        <v>2023-11-15 14:01:44</v>
      </c>
      <c r="M15580" s="1" t="s">
        <v>4</v>
      </c>
      <c r="N15580" s="1" t="s">
        <v>38</v>
      </c>
      <c r="O15580" s="1" t="s">
        <v>46</v>
      </c>
    </row>
    <row r="15581" spans="2:15" x14ac:dyDescent="0.3">
      <c r="B15581" s="1" t="s">
        <v>19</v>
      </c>
      <c r="C15581" s="1" t="str">
        <f>"5-2차"</f>
        <v>5-2차</v>
      </c>
      <c r="D15581" s="1" t="str">
        <f>"0129Q7735M"</f>
        <v>0129Q7735M</v>
      </c>
      <c r="E15581" s="1" t="s">
        <v>10</v>
      </c>
      <c r="F15581" s="1" t="str">
        <f>"fde3:102:1410:1500:0:0:0:4"</f>
        <v>fde3:102:1410:1500:0:0:0:4</v>
      </c>
      <c r="G15581" s="1" t="str">
        <f>"0129Q773"</f>
        <v>0129Q773</v>
      </c>
      <c r="H15581" s="1" t="str">
        <f>"성암지 26"</f>
        <v>성암지 26</v>
      </c>
      <c r="I15581" s="1" t="s">
        <v>15</v>
      </c>
      <c r="J15581" s="1" t="str">
        <f>"45/45"</f>
        <v>45/45</v>
      </c>
      <c r="K15581" s="1" t="str">
        <f>"2026-07-29 14:20:22"</f>
        <v>2026-07-29 14:20:22</v>
      </c>
      <c r="L15581" s="1" t="str">
        <f>"2023-08-16 14:11:29"</f>
        <v>2023-08-16 14:11:29</v>
      </c>
      <c r="M15581" s="1" t="s">
        <v>45</v>
      </c>
      <c r="N15581" s="1" t="s">
        <v>38</v>
      </c>
      <c r="O15581" s="1" t="s">
        <v>46</v>
      </c>
    </row>
    <row r="15582" spans="2:15" x14ac:dyDescent="0.3">
      <c r="B15582" s="1" t="s">
        <v>19</v>
      </c>
      <c r="C15582" s="1" t="str">
        <f>"1차"</f>
        <v>1차</v>
      </c>
      <c r="D15582" s="1" t="str">
        <f>"0129Q79201"</f>
        <v>0129Q79201</v>
      </c>
      <c r="E15582" s="1" t="s">
        <v>10</v>
      </c>
      <c r="F15582" s="1" t="str">
        <f>"10.107.121.246"</f>
        <v>10.107.121.246</v>
      </c>
      <c r="G15582" s="1" t="str">
        <f>"0129Q792"</f>
        <v>0129Q792</v>
      </c>
      <c r="H15582" s="1" t="str">
        <f>"성암지 26R4L2"</f>
        <v>성암지 26R4L2</v>
      </c>
      <c r="I15582" s="1" t="s">
        <v>8</v>
      </c>
      <c r="J15582" s="1" t="str">
        <f>"45/45"</f>
        <v>45/45</v>
      </c>
      <c r="K15582" s="1" t="str">
        <f>"2026-07-29 13:18:02"</f>
        <v>2026-07-29 13:18:02</v>
      </c>
      <c r="L15582" s="1" t="str">
        <f>"2014-12-11 18:17:12"</f>
        <v>2014-12-11 18:17:12</v>
      </c>
      <c r="M15582" s="1" t="s">
        <v>45</v>
      </c>
      <c r="N15582" s="1" t="s">
        <v>38</v>
      </c>
      <c r="O15582" s="1" t="s">
        <v>46</v>
      </c>
    </row>
    <row r="15583" spans="2:15" x14ac:dyDescent="0.3">
      <c r="B15583" s="1" t="s">
        <v>19</v>
      </c>
      <c r="C15583" s="1" t="str">
        <f>"3차"</f>
        <v>3차</v>
      </c>
      <c r="D15583" s="1" t="str">
        <f>"0129Q81139"</f>
        <v>0129Q81139</v>
      </c>
      <c r="E15583" s="1" t="s">
        <v>10</v>
      </c>
      <c r="F15583" s="1" t="str">
        <f>"10.107.123.229"</f>
        <v>10.107.123.229</v>
      </c>
      <c r="G15583" s="1" t="str">
        <f>"0129Q811"</f>
        <v>0129Q811</v>
      </c>
      <c r="H15583" s="1" t="str">
        <f>"성암지 13"</f>
        <v>성암지 13</v>
      </c>
      <c r="I15583" s="1" t="s">
        <v>8</v>
      </c>
      <c r="J15583" s="1" t="str">
        <f>"34/34"</f>
        <v>34/34</v>
      </c>
      <c r="K15583" s="1" t="str">
        <f>"2026-07-29 13:18:02"</f>
        <v>2026-07-29 13:18:02</v>
      </c>
      <c r="L15583" s="1" t="str">
        <f>"2018-04-04 19:01:44"</f>
        <v>2018-04-04 19:01:44</v>
      </c>
      <c r="M15583" s="1" t="s">
        <v>45</v>
      </c>
      <c r="N15583" s="1" t="s">
        <v>38</v>
      </c>
      <c r="O15583" s="1" t="s">
        <v>46</v>
      </c>
    </row>
    <row r="15584" spans="2:15" x14ac:dyDescent="0.3">
      <c r="B15584" s="1" t="s">
        <v>19</v>
      </c>
      <c r="C15584" s="1" t="str">
        <f>"5-2차"</f>
        <v>5-2차</v>
      </c>
      <c r="D15584" s="1" t="str">
        <f>"0129Q8225M"</f>
        <v>0129Q8225M</v>
      </c>
      <c r="E15584" s="1" t="s">
        <v>10</v>
      </c>
      <c r="F15584" s="1" t="str">
        <f>"fde3:102:1410:1200:0:0:0:5"</f>
        <v>fde3:102:1410:1200:0:0:0:5</v>
      </c>
      <c r="G15584" s="1" t="str">
        <f>"0129Q822"</f>
        <v>0129Q822</v>
      </c>
      <c r="H15584" s="1" t="str">
        <f>"성암지 15"</f>
        <v>성암지 15</v>
      </c>
      <c r="I15584" s="1" t="s">
        <v>15</v>
      </c>
      <c r="J15584" s="1" t="str">
        <f>"78/81"</f>
        <v>78/81</v>
      </c>
      <c r="K15584" s="1" t="str">
        <f>"2026-07-29 14:20:41"</f>
        <v>2026-07-29 14:20:41</v>
      </c>
      <c r="L15584" s="1" t="str">
        <f>"2023-08-17 09:37:38"</f>
        <v>2023-08-17 09:37:38</v>
      </c>
      <c r="M15584" s="1" t="s">
        <v>45</v>
      </c>
      <c r="N15584" s="1" t="s">
        <v>38</v>
      </c>
      <c r="O15584" s="1" t="s">
        <v>46</v>
      </c>
    </row>
    <row r="15585" spans="2:15" x14ac:dyDescent="0.3">
      <c r="B15585" s="1" t="s">
        <v>19</v>
      </c>
      <c r="C15585" s="1" t="str">
        <f>"1차"</f>
        <v>1차</v>
      </c>
      <c r="D15585" s="1" t="str">
        <f>"0129Q83100"</f>
        <v>0129Q83100</v>
      </c>
      <c r="E15585" s="1" t="s">
        <v>10</v>
      </c>
      <c r="F15585" s="1" t="str">
        <f>"10.107.127.106"</f>
        <v>10.107.127.106</v>
      </c>
      <c r="G15585" s="1" t="str">
        <f>"0129Q831"</f>
        <v>0129Q831</v>
      </c>
      <c r="H15585" s="1" t="str">
        <f>"성암지 16"</f>
        <v>성암지 16</v>
      </c>
      <c r="I15585" s="1" t="s">
        <v>8</v>
      </c>
      <c r="J15585" s="1" t="str">
        <f>"14/14"</f>
        <v>14/14</v>
      </c>
      <c r="K15585" s="1" t="str">
        <f>"2026-07-29 13:18:02"</f>
        <v>2026-07-29 13:18:02</v>
      </c>
      <c r="L15585" s="1" t="str">
        <f>"2014-12-05 15:37:52"</f>
        <v>2014-12-05 15:37:52</v>
      </c>
      <c r="M15585" s="1" t="s">
        <v>45</v>
      </c>
      <c r="N15585" s="1" t="s">
        <v>38</v>
      </c>
      <c r="O15585" s="1" t="s">
        <v>46</v>
      </c>
    </row>
    <row r="15586" spans="2:15" x14ac:dyDescent="0.3">
      <c r="B15586" s="1" t="s">
        <v>19</v>
      </c>
      <c r="C15586" s="1" t="str">
        <f>"5-1차"</f>
        <v>5-1차</v>
      </c>
      <c r="D15586" s="1" t="str">
        <f>"0129Q8425S"</f>
        <v>0129Q8425S</v>
      </c>
      <c r="E15586" s="1" t="s">
        <v>10</v>
      </c>
      <c r="F15586" s="1" t="str">
        <f>"fde3:102:1410:1200:0:0:0:2"</f>
        <v>fde3:102:1410:1200:0:0:0:2</v>
      </c>
      <c r="G15586" s="1" t="str">
        <f>"0129Q842"</f>
        <v>0129Q842</v>
      </c>
      <c r="H15586" s="1" t="str">
        <f>"성암지 17L3"</f>
        <v>성암지 17L3</v>
      </c>
      <c r="I15586" s="1" t="s">
        <v>15</v>
      </c>
      <c r="J15586" s="1" t="str">
        <f>"24/24"</f>
        <v>24/24</v>
      </c>
      <c r="K15586" s="1" t="str">
        <f>"2026-07-29 14:20:20"</f>
        <v>2026-07-29 14:20:20</v>
      </c>
      <c r="L15586" s="1" t="str">
        <f>"2022-09-28 09:28:56"</f>
        <v>2022-09-28 09:28:56</v>
      </c>
      <c r="M15586" s="1" t="s">
        <v>45</v>
      </c>
      <c r="N15586" s="1" t="s">
        <v>38</v>
      </c>
      <c r="O15586" s="1" t="s">
        <v>46</v>
      </c>
    </row>
    <row r="15587" spans="2:15" x14ac:dyDescent="0.3">
      <c r="B15587" s="1" t="s">
        <v>19</v>
      </c>
      <c r="C15587" s="1" t="str">
        <f>"5-2차"</f>
        <v>5-2차</v>
      </c>
      <c r="D15587" s="1" t="str">
        <f>"0129Q8525S"</f>
        <v>0129Q8525S</v>
      </c>
      <c r="E15587" s="1" t="s">
        <v>10</v>
      </c>
      <c r="F15587" s="1" t="str">
        <f>"fde3:102:1410:1200:0:0:0:e"</f>
        <v>fde3:102:1410:1200:0:0:0:e</v>
      </c>
      <c r="G15587" s="1" t="str">
        <f>"0129Q852"</f>
        <v>0129Q852</v>
      </c>
      <c r="H15587" s="1" t="str">
        <f>"성암지 21L3"</f>
        <v>성암지 21L3</v>
      </c>
      <c r="I15587" s="1" t="s">
        <v>15</v>
      </c>
      <c r="J15587" s="1" t="str">
        <f>"62/62"</f>
        <v>62/62</v>
      </c>
      <c r="K15587" s="1" t="str">
        <f>"2026-07-29 14:20:34"</f>
        <v>2026-07-29 14:20:34</v>
      </c>
      <c r="L15587" s="1" t="str">
        <f>"2023-08-17 09:20:30"</f>
        <v>2023-08-17 09:20:30</v>
      </c>
      <c r="M15587" s="1" t="s">
        <v>45</v>
      </c>
      <c r="N15587" s="1" t="s">
        <v>38</v>
      </c>
      <c r="O15587" s="1" t="s">
        <v>46</v>
      </c>
    </row>
    <row r="15588" spans="2:15" x14ac:dyDescent="0.3">
      <c r="B15588" s="1" t="s">
        <v>19</v>
      </c>
      <c r="C15588" s="1" t="str">
        <f>"3차"</f>
        <v>3차</v>
      </c>
      <c r="D15588" s="1" t="str">
        <f>"0129Q86131"</f>
        <v>0129Q86131</v>
      </c>
      <c r="E15588" s="1" t="s">
        <v>10</v>
      </c>
      <c r="F15588" s="1" t="str">
        <f>"10.12.128.174"</f>
        <v>10.12.128.174</v>
      </c>
      <c r="G15588" s="1" t="str">
        <f>"0129Q861"</f>
        <v>0129Q861</v>
      </c>
      <c r="H15588" s="1" t="str">
        <f>"성암지 22"</f>
        <v>성암지 22</v>
      </c>
      <c r="I15588" s="1" t="s">
        <v>8</v>
      </c>
      <c r="J15588" s="1" t="str">
        <f>"36/36"</f>
        <v>36/36</v>
      </c>
      <c r="K15588" s="1" t="str">
        <f>"2026-07-29 13:18:03"</f>
        <v>2026-07-29 13:18:03</v>
      </c>
      <c r="L15588" s="1" t="str">
        <f>"2018-06-05 13:49:13"</f>
        <v>2018-06-05 13:49:13</v>
      </c>
      <c r="M15588" s="1" t="s">
        <v>0</v>
      </c>
      <c r="N15588" s="1" t="s">
        <v>38</v>
      </c>
      <c r="O15588" s="1" t="s">
        <v>46</v>
      </c>
    </row>
    <row r="15589" spans="2:15" x14ac:dyDescent="0.3">
      <c r="B15589" s="1" t="s">
        <v>19</v>
      </c>
      <c r="C15589" s="1" t="str">
        <f>"3차"</f>
        <v>3차</v>
      </c>
      <c r="D15589" s="1" t="str">
        <f>"0129Q86239"</f>
        <v>0129Q86239</v>
      </c>
      <c r="E15589" s="1" t="s">
        <v>10</v>
      </c>
      <c r="F15589" s="1" t="str">
        <f>"10.107.123.194"</f>
        <v>10.107.123.194</v>
      </c>
      <c r="G15589" s="1" t="str">
        <f>"0129Q862"</f>
        <v>0129Q862</v>
      </c>
      <c r="H15589" s="1" t="str">
        <f>"성암지 24"</f>
        <v>성암지 24</v>
      </c>
      <c r="I15589" s="1" t="s">
        <v>8</v>
      </c>
      <c r="J15589" s="1" t="str">
        <f>"31/31"</f>
        <v>31/31</v>
      </c>
      <c r="K15589" s="1" t="str">
        <f>"2026-07-29 13:18:02"</f>
        <v>2026-07-29 13:18:02</v>
      </c>
      <c r="L15589" s="1" t="str">
        <f>"2018-04-26 08:03:55"</f>
        <v>2018-04-26 08:03:55</v>
      </c>
      <c r="M15589" s="1" t="s">
        <v>45</v>
      </c>
      <c r="N15589" s="1" t="s">
        <v>38</v>
      </c>
      <c r="O15589" s="1" t="s">
        <v>46</v>
      </c>
    </row>
    <row r="15590" spans="2:15" x14ac:dyDescent="0.3">
      <c r="B15590" s="1" t="s">
        <v>19</v>
      </c>
      <c r="C15590" s="1" t="str">
        <f>"5-1차"</f>
        <v>5-1차</v>
      </c>
      <c r="D15590" s="1" t="str">
        <f>"0129Q8815M"</f>
        <v>0129Q8815M</v>
      </c>
      <c r="E15590" s="1" t="s">
        <v>10</v>
      </c>
      <c r="F15590" s="1" t="str">
        <f>"fde2:104:0:3e:0:0:0:2"</f>
        <v>fde2:104:0:3e:0:0:0:2</v>
      </c>
      <c r="G15590" s="1" t="str">
        <f>"0129Q881"</f>
        <v>0129Q881</v>
      </c>
      <c r="H15590" s="1" t="str">
        <f>"성암지 26R3"</f>
        <v>성암지 26R3</v>
      </c>
      <c r="I15590" s="1" t="s">
        <v>15</v>
      </c>
      <c r="J15590" s="1" t="str">
        <f>"49/50"</f>
        <v>49/50</v>
      </c>
      <c r="K15590" s="1" t="str">
        <f>"2026-07-29 14:20:04"</f>
        <v>2026-07-29 14:20:04</v>
      </c>
      <c r="L15590" s="1" t="str">
        <f>"2022-08-31 08:15:54"</f>
        <v>2022-08-31 08:15:54</v>
      </c>
      <c r="M15590" s="1" t="s">
        <v>42</v>
      </c>
      <c r="N15590" s="1" t="s">
        <v>38</v>
      </c>
      <c r="O15590" s="1" t="s">
        <v>46</v>
      </c>
    </row>
    <row r="15591" spans="2:15" x14ac:dyDescent="0.3">
      <c r="B15591" s="1" t="s">
        <v>19</v>
      </c>
      <c r="C15591" s="1" t="str">
        <f>"4차"</f>
        <v>4차</v>
      </c>
      <c r="D15591" s="1" t="str">
        <f>"0129Q88244"</f>
        <v>0129Q88244</v>
      </c>
      <c r="E15591" s="1" t="s">
        <v>10</v>
      </c>
      <c r="F15591" s="1" t="str">
        <f>"10.107.121.244"</f>
        <v>10.107.121.244</v>
      </c>
      <c r="G15591" s="1" t="str">
        <f>"0129Q882"</f>
        <v>0129Q882</v>
      </c>
      <c r="H15591" s="1" t="str">
        <f>"성암지 26R2"</f>
        <v>성암지 26R2</v>
      </c>
      <c r="I15591" s="1" t="s">
        <v>8</v>
      </c>
      <c r="J15591" s="1" t="str">
        <f>"88/88"</f>
        <v>88/88</v>
      </c>
      <c r="K15591" s="1" t="str">
        <f>"2026-07-29 13:18:02"</f>
        <v>2026-07-29 13:18:02</v>
      </c>
      <c r="L15591" s="1" t="str">
        <f>"2019-10-24 17:19:15"</f>
        <v>2019-10-24 17:19:15</v>
      </c>
      <c r="M15591" s="1" t="s">
        <v>45</v>
      </c>
      <c r="N15591" s="1" t="s">
        <v>38</v>
      </c>
      <c r="O15591" s="1" t="s">
        <v>46</v>
      </c>
    </row>
    <row r="15592" spans="2:15" x14ac:dyDescent="0.3">
      <c r="B15592" s="1" t="s">
        <v>19</v>
      </c>
      <c r="C15592" s="1" t="str">
        <f>"1차"</f>
        <v>1차</v>
      </c>
      <c r="D15592" s="1" t="str">
        <f>"0129Q89100"</f>
        <v>0129Q89100</v>
      </c>
      <c r="E15592" s="1" t="s">
        <v>10</v>
      </c>
      <c r="F15592" s="1" t="str">
        <f>"10.107.121.245"</f>
        <v>10.107.121.245</v>
      </c>
      <c r="G15592" s="1" t="str">
        <f>"0129Q891"</f>
        <v>0129Q891</v>
      </c>
      <c r="H15592" s="1" t="str">
        <f>"성암지 26R4"</f>
        <v>성암지 26R4</v>
      </c>
      <c r="I15592" s="1" t="s">
        <v>8</v>
      </c>
      <c r="J15592" s="1" t="str">
        <f>"20/20"</f>
        <v>20/20</v>
      </c>
      <c r="K15592" s="1" t="str">
        <f>"2026-07-29 13:18:02"</f>
        <v>2026-07-29 13:18:02</v>
      </c>
      <c r="L15592" s="1" t="str">
        <f>"2014-12-05 15:00:21"</f>
        <v>2014-12-05 15:00:21</v>
      </c>
      <c r="M15592" s="1" t="s">
        <v>45</v>
      </c>
      <c r="N15592" s="1" t="s">
        <v>38</v>
      </c>
      <c r="O15592" s="1" t="s">
        <v>46</v>
      </c>
    </row>
    <row r="15593" spans="2:15" x14ac:dyDescent="0.3">
      <c r="B15593" s="1" t="s">
        <v>19</v>
      </c>
      <c r="C15593" s="1" t="str">
        <f>"5-1차"</f>
        <v>5-1차</v>
      </c>
      <c r="D15593" s="1" t="str">
        <f>"0129Q8925S"</f>
        <v>0129Q8925S</v>
      </c>
      <c r="E15593" s="1" t="s">
        <v>10</v>
      </c>
      <c r="F15593" s="1" t="str">
        <f>"fde3:102:1410:1500:0:0:0:2"</f>
        <v>fde3:102:1410:1500:0:0:0:2</v>
      </c>
      <c r="G15593" s="1" t="str">
        <f>"0129Q892"</f>
        <v>0129Q892</v>
      </c>
      <c r="H15593" s="1" t="str">
        <f>"성암지 26R4R1"</f>
        <v>성암지 26R4R1</v>
      </c>
      <c r="I15593" s="1" t="s">
        <v>15</v>
      </c>
      <c r="J15593" s="1" t="str">
        <f>"16/16"</f>
        <v>16/16</v>
      </c>
      <c r="K15593" s="1" t="str">
        <f>"2026-07-29 14:20:01"</f>
        <v>2026-07-29 14:20:01</v>
      </c>
      <c r="L15593" s="1" t="str">
        <f>"2022-09-28 09:28:12"</f>
        <v>2022-09-28 09:28:12</v>
      </c>
      <c r="M15593" s="1" t="s">
        <v>45</v>
      </c>
      <c r="N15593" s="1" t="s">
        <v>38</v>
      </c>
      <c r="O15593" s="1" t="s">
        <v>46</v>
      </c>
    </row>
    <row r="15594" spans="2:15" x14ac:dyDescent="0.3">
      <c r="B15594" s="1" t="s">
        <v>19</v>
      </c>
      <c r="C15594" s="1" t="str">
        <f>"4차"</f>
        <v>4차</v>
      </c>
      <c r="D15594" s="1" t="str">
        <f>"0129Q91139"</f>
        <v>0129Q91139</v>
      </c>
      <c r="E15594" s="1" t="s">
        <v>10</v>
      </c>
      <c r="F15594" s="1" t="str">
        <f>"10.107.123.230"</f>
        <v>10.107.123.230</v>
      </c>
      <c r="G15594" s="1" t="str">
        <f>"0129Q911"</f>
        <v>0129Q911</v>
      </c>
      <c r="H15594" s="1" t="str">
        <f>"성암지 12"</f>
        <v>성암지 12</v>
      </c>
      <c r="I15594" s="1" t="s">
        <v>8</v>
      </c>
      <c r="J15594" s="1" t="str">
        <f>"126/126"</f>
        <v>126/126</v>
      </c>
      <c r="K15594" s="1" t="str">
        <f>"2026-07-29 13:18:02"</f>
        <v>2026-07-29 13:18:02</v>
      </c>
      <c r="L15594" s="1" t="str">
        <f>"2018-04-04 19:04:45"</f>
        <v>2018-04-04 19:04:45</v>
      </c>
      <c r="M15594" s="1" t="s">
        <v>45</v>
      </c>
      <c r="N15594" s="1" t="s">
        <v>38</v>
      </c>
      <c r="O15594" s="1" t="s">
        <v>46</v>
      </c>
    </row>
    <row r="15595" spans="2:15" x14ac:dyDescent="0.3">
      <c r="B15595" s="1" t="s">
        <v>19</v>
      </c>
      <c r="C15595" s="1" t="str">
        <f>"5-2차"</f>
        <v>5-2차</v>
      </c>
      <c r="D15595" s="1" t="str">
        <f>"0129Q9335M"</f>
        <v>0129Q9335M</v>
      </c>
      <c r="E15595" s="1" t="s">
        <v>10</v>
      </c>
      <c r="F15595" s="1" t="str">
        <f>"fde1:103:4:6ef8:0:0:0:2"</f>
        <v>fde1:103:4:6ef8:0:0:0:2</v>
      </c>
      <c r="G15595" s="1" t="str">
        <f>"0129Q933"</f>
        <v>0129Q933</v>
      </c>
      <c r="H15595" s="1" t="str">
        <f>"성암지 17"</f>
        <v>성암지 17</v>
      </c>
      <c r="I15595" s="1" t="s">
        <v>15</v>
      </c>
      <c r="J15595" s="1" t="str">
        <f>"34/34"</f>
        <v>34/34</v>
      </c>
      <c r="K15595" s="1" t="str">
        <f>"2026-07-29 14:20:01"</f>
        <v>2026-07-29 14:20:01</v>
      </c>
      <c r="L15595" s="1" t="str">
        <f>"2023-11-15 14:24:07"</f>
        <v>2023-11-15 14:24:07</v>
      </c>
      <c r="M15595" s="1" t="s">
        <v>4</v>
      </c>
      <c r="N15595" s="1" t="s">
        <v>38</v>
      </c>
      <c r="O15595" s="1" t="s">
        <v>46</v>
      </c>
    </row>
    <row r="15596" spans="2:15" x14ac:dyDescent="0.3">
      <c r="B15596" s="1" t="s">
        <v>19</v>
      </c>
      <c r="C15596" s="1" t="str">
        <f>"4차"</f>
        <v>4차</v>
      </c>
      <c r="D15596" s="1" t="str">
        <f>"0129Q94139"</f>
        <v>0129Q94139</v>
      </c>
      <c r="E15596" s="1" t="s">
        <v>10</v>
      </c>
      <c r="F15596" s="1" t="str">
        <f>"10.107.253.148"</f>
        <v>10.107.253.148</v>
      </c>
      <c r="G15596" s="1" t="str">
        <f>"0129Q941"</f>
        <v>0129Q941</v>
      </c>
      <c r="H15596" s="1" t="str">
        <f>"성암지 19"</f>
        <v>성암지 19</v>
      </c>
      <c r="I15596" s="1" t="s">
        <v>8</v>
      </c>
      <c r="J15596" s="1" t="str">
        <f>"78/78"</f>
        <v>78/78</v>
      </c>
      <c r="K15596" s="1" t="str">
        <f>"2026-07-29 13:18:02"</f>
        <v>2026-07-29 13:18:02</v>
      </c>
      <c r="L15596" s="1" t="str">
        <f>"2018-04-10 11:17:40"</f>
        <v>2018-04-10 11:17:40</v>
      </c>
      <c r="M15596" s="1" t="s">
        <v>45</v>
      </c>
      <c r="N15596" s="1" t="s">
        <v>38</v>
      </c>
      <c r="O15596" s="1" t="s">
        <v>46</v>
      </c>
    </row>
    <row r="15597" spans="2:15" x14ac:dyDescent="0.3">
      <c r="B15597" s="1" t="s">
        <v>19</v>
      </c>
      <c r="C15597" s="1" t="str">
        <f>"3차"</f>
        <v>3차</v>
      </c>
      <c r="D15597" s="1" t="str">
        <f>"0129Q95139"</f>
        <v>0129Q95139</v>
      </c>
      <c r="E15597" s="1" t="s">
        <v>10</v>
      </c>
      <c r="F15597" s="1" t="str">
        <f>"10.107.253.146"</f>
        <v>10.107.253.146</v>
      </c>
      <c r="G15597" s="1" t="str">
        <f>"0129Q951"</f>
        <v>0129Q951</v>
      </c>
      <c r="H15597" s="1" t="str">
        <f>"성암지 20"</f>
        <v>성암지 20</v>
      </c>
      <c r="I15597" s="1" t="s">
        <v>8</v>
      </c>
      <c r="J15597" s="1" t="str">
        <f>"17/17"</f>
        <v>17/17</v>
      </c>
      <c r="K15597" s="1" t="str">
        <f>"2026-07-29 13:18:02"</f>
        <v>2026-07-29 13:18:02</v>
      </c>
      <c r="L15597" s="1" t="str">
        <f>"2018-06-19 17:41:20"</f>
        <v>2018-06-19 17:41:20</v>
      </c>
      <c r="M15597" s="1" t="s">
        <v>45</v>
      </c>
      <c r="N15597" s="1" t="s">
        <v>38</v>
      </c>
      <c r="O15597" s="1" t="s">
        <v>46</v>
      </c>
    </row>
    <row r="15598" spans="2:15" x14ac:dyDescent="0.3">
      <c r="B15598" s="1" t="s">
        <v>19</v>
      </c>
      <c r="C15598" s="1" t="str">
        <f>"4차"</f>
        <v>4차</v>
      </c>
      <c r="D15598" s="1" t="str">
        <f>"0129Q95444"</f>
        <v>0129Q95444</v>
      </c>
      <c r="E15598" s="1" t="s">
        <v>10</v>
      </c>
      <c r="F15598" s="1" t="str">
        <f>"10.107.253.150"</f>
        <v>10.107.253.150</v>
      </c>
      <c r="G15598" s="1" t="str">
        <f>"0129Q954"</f>
        <v>0129Q954</v>
      </c>
      <c r="H15598" s="1" t="str">
        <f>"성암지 21L1"</f>
        <v>성암지 21L1</v>
      </c>
      <c r="I15598" s="1" t="s">
        <v>8</v>
      </c>
      <c r="J15598" s="1" t="str">
        <f>"36/36"</f>
        <v>36/36</v>
      </c>
      <c r="K15598" s="1" t="str">
        <f>"2026-07-29 13:18:02"</f>
        <v>2026-07-29 13:18:02</v>
      </c>
      <c r="L15598" s="1" t="str">
        <f>"2019-11-05 12:48:12"</f>
        <v>2019-11-05 12:48:12</v>
      </c>
      <c r="M15598" s="1" t="s">
        <v>45</v>
      </c>
      <c r="N15598" s="1" t="s">
        <v>38</v>
      </c>
      <c r="O15598" s="1" t="s">
        <v>46</v>
      </c>
    </row>
    <row r="15599" spans="2:15" x14ac:dyDescent="0.3">
      <c r="B15599" s="1" t="s">
        <v>19</v>
      </c>
      <c r="C15599" s="1" t="str">
        <f>"3차"</f>
        <v>3차</v>
      </c>
      <c r="D15599" s="1" t="str">
        <f>"0129Q97130"</f>
        <v>0129Q97130</v>
      </c>
      <c r="E15599" s="1" t="s">
        <v>10</v>
      </c>
      <c r="F15599" s="1" t="str">
        <f>"10.107.121.247"</f>
        <v>10.107.121.247</v>
      </c>
      <c r="G15599" s="1" t="str">
        <f>"0129Q971"</f>
        <v>0129Q971</v>
      </c>
      <c r="H15599" s="1" t="str">
        <f>"성암지 23R1"</f>
        <v>성암지 23R1</v>
      </c>
      <c r="I15599" s="1" t="s">
        <v>8</v>
      </c>
      <c r="J15599" s="1" t="str">
        <f>"60/60"</f>
        <v>60/60</v>
      </c>
      <c r="K15599" s="1" t="str">
        <f>"2026-07-29 13:18:02"</f>
        <v>2026-07-29 13:18:02</v>
      </c>
      <c r="L15599" s="1" t="str">
        <f>"2018-06-19 17:25:20"</f>
        <v>2018-06-19 17:25:20</v>
      </c>
      <c r="M15599" s="1" t="s">
        <v>45</v>
      </c>
      <c r="N15599" s="1" t="s">
        <v>38</v>
      </c>
      <c r="O15599" s="1" t="s">
        <v>46</v>
      </c>
    </row>
    <row r="15600" spans="2:15" x14ac:dyDescent="0.3">
      <c r="B15600" s="1" t="s">
        <v>19</v>
      </c>
      <c r="C15600" s="1" t="str">
        <f>"4차"</f>
        <v>4차</v>
      </c>
      <c r="D15600" s="1" t="str">
        <f>"0129Q98144"</f>
        <v>0129Q98144</v>
      </c>
      <c r="E15600" s="1" t="s">
        <v>10</v>
      </c>
      <c r="F15600" s="1" t="str">
        <f>"10.107.121.248"</f>
        <v>10.107.121.248</v>
      </c>
      <c r="G15600" s="1" t="str">
        <f>"0129Q981"</f>
        <v>0129Q981</v>
      </c>
      <c r="H15600" s="1" t="str">
        <f>"성암지 26R2R1"</f>
        <v>성암지 26R2R1</v>
      </c>
      <c r="I15600" s="1" t="s">
        <v>8</v>
      </c>
      <c r="J15600" s="1" t="str">
        <f>"37/37"</f>
        <v>37/37</v>
      </c>
      <c r="K15600" s="1" t="str">
        <f>"2026-07-29 13:18:02"</f>
        <v>2026-07-29 13:18:02</v>
      </c>
      <c r="L15600" s="1" t="str">
        <f>"2022-09-22 09:05:00"</f>
        <v>2022-09-22 09:05:00</v>
      </c>
      <c r="M15600" s="1" t="s">
        <v>45</v>
      </c>
      <c r="N15600" s="1" t="s">
        <v>38</v>
      </c>
      <c r="O15600" s="1" t="s">
        <v>46</v>
      </c>
    </row>
    <row r="15601" spans="2:15" x14ac:dyDescent="0.3">
      <c r="B15601" s="1" t="s">
        <v>19</v>
      </c>
      <c r="C15601" s="1" t="str">
        <f>"5-1차"</f>
        <v>5-1차</v>
      </c>
      <c r="D15601" s="1" t="str">
        <f>"0129Q9915M"</f>
        <v>0129Q9915M</v>
      </c>
      <c r="E15601" s="1" t="s">
        <v>10</v>
      </c>
      <c r="F15601" s="1" t="str">
        <f>"fde2:104:0:3f:0:0:0:2"</f>
        <v>fde2:104:0:3f:0:0:0:2</v>
      </c>
      <c r="G15601" s="1" t="str">
        <f>"0129Q991"</f>
        <v>0129Q991</v>
      </c>
      <c r="H15601" s="1" t="str">
        <f>"성암지 26R3R1"</f>
        <v>성암지 26R3R1</v>
      </c>
      <c r="I15601" s="1" t="s">
        <v>15</v>
      </c>
      <c r="J15601" s="1" t="str">
        <f>"17/19"</f>
        <v>17/19</v>
      </c>
      <c r="K15601" s="1" t="str">
        <f>"2026-07-29 14:20:20"</f>
        <v>2026-07-29 14:20:20</v>
      </c>
      <c r="L15601" s="1" t="str">
        <f>"2022-08-31 09:55:09"</f>
        <v>2022-08-31 09:55:09</v>
      </c>
      <c r="M15601" s="1" t="s">
        <v>42</v>
      </c>
      <c r="N15601" s="1" t="s">
        <v>38</v>
      </c>
      <c r="O15601" s="1" t="s">
        <v>46</v>
      </c>
    </row>
    <row r="15602" spans="2:15" x14ac:dyDescent="0.3">
      <c r="B15602" s="1" t="s">
        <v>19</v>
      </c>
      <c r="C15602" s="1" t="str">
        <f>"5-2차"</f>
        <v>5-2차</v>
      </c>
      <c r="D15602" s="1" t="str">
        <f>"0129Q9925S"</f>
        <v>0129Q9925S</v>
      </c>
      <c r="E15602" s="1" t="s">
        <v>10</v>
      </c>
      <c r="F15602" s="1" t="str">
        <f>"fde3:102:1410:1500:0:0:0:5"</f>
        <v>fde3:102:1410:1500:0:0:0:5</v>
      </c>
      <c r="G15602" s="1" t="str">
        <f>"0129Q992"</f>
        <v>0129Q992</v>
      </c>
      <c r="H15602" s="1" t="str">
        <f>"성암지 26R3R2"</f>
        <v>성암지 26R3R2</v>
      </c>
      <c r="I15602" s="1" t="s">
        <v>15</v>
      </c>
      <c r="J15602" s="1" t="str">
        <f>"38/38"</f>
        <v>38/38</v>
      </c>
      <c r="K15602" s="1" t="str">
        <f>"2026-07-29 14:20:28"</f>
        <v>2026-07-29 14:20:28</v>
      </c>
      <c r="L15602" s="1" t="str">
        <f>"2023-08-16 13:59:48"</f>
        <v>2023-08-16 13:59:48</v>
      </c>
      <c r="M15602" s="1" t="s">
        <v>45</v>
      </c>
      <c r="N15602" s="1" t="s">
        <v>38</v>
      </c>
      <c r="O15602" s="1" t="s">
        <v>46</v>
      </c>
    </row>
    <row r="15603" spans="2:15" x14ac:dyDescent="0.3">
      <c r="B15603" s="1" t="s">
        <v>19</v>
      </c>
      <c r="C15603" s="1" t="str">
        <f>"4차"</f>
        <v>4차</v>
      </c>
      <c r="D15603" s="1" t="str">
        <f>"0129R89639"</f>
        <v>0129R89639</v>
      </c>
      <c r="E15603" s="1" t="s">
        <v>10</v>
      </c>
      <c r="F15603" s="1" t="str">
        <f>"10.12.134.236"</f>
        <v>10.12.134.236</v>
      </c>
      <c r="G15603" s="1" t="str">
        <f>"0129R896"</f>
        <v>0129R896</v>
      </c>
      <c r="H15603" s="1" t="str">
        <f>"삼양 8"</f>
        <v>삼양 8</v>
      </c>
      <c r="I15603" s="1" t="s">
        <v>17</v>
      </c>
      <c r="J15603" s="1" t="str">
        <f>"8/9"</f>
        <v>8/9</v>
      </c>
      <c r="K15603" s="1" t="str">
        <f>"2026-07-29 13:18:03"</f>
        <v>2026-07-29 13:18:03</v>
      </c>
      <c r="L15603" s="1" t="str">
        <f>"2018-10-15 13:09:57"</f>
        <v>2018-10-15 13:09:57</v>
      </c>
      <c r="M15603" s="1" t="s">
        <v>0</v>
      </c>
      <c r="N15603" s="1" t="s">
        <v>38</v>
      </c>
      <c r="O15603" s="1" t="s">
        <v>46</v>
      </c>
    </row>
    <row r="15604" spans="2:15" x14ac:dyDescent="0.3">
      <c r="B15604" s="1" t="s">
        <v>19</v>
      </c>
      <c r="C15604" s="1" t="str">
        <f>"1차"</f>
        <v>1차</v>
      </c>
      <c r="D15604" s="1" t="str">
        <f>"0129S72301"</f>
        <v>0129S72301</v>
      </c>
      <c r="E15604" s="1" t="s">
        <v>10</v>
      </c>
      <c r="F15604" s="1" t="str">
        <f>"10.12.132.145"</f>
        <v>10.12.132.145</v>
      </c>
      <c r="G15604" s="1" t="str">
        <f>"0129S723"</f>
        <v>0129S723</v>
      </c>
      <c r="H15604" s="1" t="str">
        <f>"송천간 35"</f>
        <v>송천간 35</v>
      </c>
      <c r="I15604" s="1" t="s">
        <v>8</v>
      </c>
      <c r="J15604" s="1" t="str">
        <f>"29/29"</f>
        <v>29/29</v>
      </c>
      <c r="K15604" s="1" t="str">
        <f>"2026-07-29 13:18:01"</f>
        <v>2026-07-29 13:18:01</v>
      </c>
      <c r="L15604" s="1" t="str">
        <f>"2015-02-13 10:59:19"</f>
        <v>2015-02-13 10:59:19</v>
      </c>
      <c r="M15604" s="1" t="s">
        <v>0</v>
      </c>
      <c r="N15604" s="1" t="s">
        <v>38</v>
      </c>
      <c r="O15604" s="1" t="s">
        <v>46</v>
      </c>
    </row>
    <row r="15605" spans="2:15" x14ac:dyDescent="0.3">
      <c r="B15605" s="1" t="s">
        <v>19</v>
      </c>
      <c r="C15605" s="1" t="str">
        <f>"1차"</f>
        <v>1차</v>
      </c>
      <c r="D15605" s="1" t="str">
        <f>"0129S81200"</f>
        <v>0129S81200</v>
      </c>
      <c r="E15605" s="1" t="s">
        <v>10</v>
      </c>
      <c r="F15605" s="1" t="str">
        <f>"10.107.120.171"</f>
        <v>10.107.120.171</v>
      </c>
      <c r="G15605" s="1" t="str">
        <f>"0129S812"</f>
        <v>0129S812</v>
      </c>
      <c r="H15605" s="1" t="str">
        <f>"송천간 49L7L6"</f>
        <v>송천간 49L7L6</v>
      </c>
      <c r="I15605" s="1" t="s">
        <v>8</v>
      </c>
      <c r="J15605" s="1" t="str">
        <f>"23/23"</f>
        <v>23/23</v>
      </c>
      <c r="K15605" s="1" t="str">
        <f>"2026-07-29 13:18:02"</f>
        <v>2026-07-29 13:18:02</v>
      </c>
      <c r="L15605" s="1" t="str">
        <f>"2015-02-11 17:23:18"</f>
        <v>2015-02-11 17:23:18</v>
      </c>
      <c r="M15605" s="1" t="s">
        <v>45</v>
      </c>
      <c r="N15605" s="1" t="s">
        <v>38</v>
      </c>
      <c r="O15605" s="1" t="s">
        <v>46</v>
      </c>
    </row>
    <row r="15606" spans="2:15" x14ac:dyDescent="0.3">
      <c r="B15606" s="1" t="s">
        <v>19</v>
      </c>
      <c r="C15606" s="1" t="str">
        <f>"3차"</f>
        <v>3차</v>
      </c>
      <c r="D15606" s="1" t="str">
        <f>"0129W00131"</f>
        <v>0129W00131</v>
      </c>
      <c r="E15606" s="1" t="s">
        <v>10</v>
      </c>
      <c r="F15606" s="1" t="str">
        <f>"10.107.123.232"</f>
        <v>10.107.123.232</v>
      </c>
      <c r="G15606" s="1" t="str">
        <f>"0129W001"</f>
        <v>0129W001</v>
      </c>
      <c r="H15606" s="1" t="str">
        <f>"성암지 11L1"</f>
        <v>성암지 11L1</v>
      </c>
      <c r="I15606" s="1" t="s">
        <v>8</v>
      </c>
      <c r="J15606" s="1" t="str">
        <f>"23/23"</f>
        <v>23/23</v>
      </c>
      <c r="K15606" s="1" t="str">
        <f>"2026-07-29 13:18:01"</f>
        <v>2026-07-29 13:18:01</v>
      </c>
      <c r="L15606" s="1" t="str">
        <f>"2018-04-04 19:33:44"</f>
        <v>2018-04-04 19:33:44</v>
      </c>
      <c r="M15606" s="1" t="s">
        <v>45</v>
      </c>
      <c r="N15606" s="1" t="s">
        <v>38</v>
      </c>
      <c r="O15606" s="1" t="s">
        <v>46</v>
      </c>
    </row>
    <row r="15607" spans="2:15" x14ac:dyDescent="0.3">
      <c r="B15607" s="1" t="s">
        <v>19</v>
      </c>
      <c r="C15607" s="1" t="str">
        <f>"4차"</f>
        <v>4차</v>
      </c>
      <c r="D15607" s="1" t="str">
        <f>"0129W03244"</f>
        <v>0129W03244</v>
      </c>
      <c r="E15607" s="1" t="s">
        <v>10</v>
      </c>
      <c r="F15607" s="1" t="str">
        <f>"10.107.253.149"</f>
        <v>10.107.253.149</v>
      </c>
      <c r="G15607" s="1" t="str">
        <f>"0129W032"</f>
        <v>0129W032</v>
      </c>
      <c r="H15607" s="1" t="str">
        <f>"성암지 18R1"</f>
        <v>성암지 18R1</v>
      </c>
      <c r="I15607" s="1" t="s">
        <v>8</v>
      </c>
      <c r="J15607" s="1" t="str">
        <f>"28/28"</f>
        <v>28/28</v>
      </c>
      <c r="K15607" s="1" t="str">
        <f>"2026-07-29 13:18:02"</f>
        <v>2026-07-29 13:18:02</v>
      </c>
      <c r="L15607" s="1" t="str">
        <f>"2019-11-05 13:03:05"</f>
        <v>2019-11-05 13:03:05</v>
      </c>
      <c r="M15607" s="1" t="s">
        <v>45</v>
      </c>
      <c r="N15607" s="1" t="s">
        <v>38</v>
      </c>
      <c r="O15607" s="1" t="s">
        <v>46</v>
      </c>
    </row>
    <row r="15608" spans="2:15" x14ac:dyDescent="0.3">
      <c r="B15608" s="1" t="s">
        <v>19</v>
      </c>
      <c r="C15608" s="1" t="str">
        <f>"3차"</f>
        <v>3차</v>
      </c>
      <c r="D15608" s="1" t="str">
        <f>"0129W05139"</f>
        <v>0129W05139</v>
      </c>
      <c r="E15608" s="1" t="s">
        <v>10</v>
      </c>
      <c r="F15608" s="1" t="str">
        <f>"10.107.253.101"</f>
        <v>10.107.253.101</v>
      </c>
      <c r="G15608" s="1" t="str">
        <f>"0129W051"</f>
        <v>0129W051</v>
      </c>
      <c r="H15608" s="1" t="str">
        <f>"성암지 21R2"</f>
        <v>성암지 21R2</v>
      </c>
      <c r="I15608" s="1" t="s">
        <v>8</v>
      </c>
      <c r="J15608" s="1" t="str">
        <f>"71/77"</f>
        <v>71/77</v>
      </c>
      <c r="K15608" s="1" t="str">
        <f>"2026-07-29 13:18:02"</f>
        <v>2026-07-29 13:18:02</v>
      </c>
      <c r="L15608" s="1" t="str">
        <f>"2018-06-22 11:36:36"</f>
        <v>2018-06-22 11:36:36</v>
      </c>
      <c r="M15608" s="1" t="s">
        <v>45</v>
      </c>
      <c r="N15608" s="1" t="s">
        <v>38</v>
      </c>
      <c r="O15608" s="1" t="s">
        <v>46</v>
      </c>
    </row>
    <row r="15609" spans="2:15" x14ac:dyDescent="0.3">
      <c r="B15609" s="1" t="s">
        <v>19</v>
      </c>
      <c r="C15609" s="1" t="str">
        <f>"3차"</f>
        <v>3차</v>
      </c>
      <c r="D15609" s="1" t="str">
        <f>"0129W07139"</f>
        <v>0129W07139</v>
      </c>
      <c r="E15609" s="1" t="s">
        <v>10</v>
      </c>
      <c r="F15609" s="1" t="str">
        <f>"10.107.121.249"</f>
        <v>10.107.121.249</v>
      </c>
      <c r="G15609" s="1" t="str">
        <f>"0129W071"</f>
        <v>0129W071</v>
      </c>
      <c r="H15609" s="1" t="str">
        <f>"성암지 23R2"</f>
        <v>성암지 23R2</v>
      </c>
      <c r="I15609" s="1" t="s">
        <v>8</v>
      </c>
      <c r="J15609" s="1" t="str">
        <f>"42/42"</f>
        <v>42/42</v>
      </c>
      <c r="K15609" s="1" t="str">
        <f>"2026-07-29 13:18:01"</f>
        <v>2026-07-29 13:18:01</v>
      </c>
      <c r="L15609" s="1" t="str">
        <f>"2018-03-23 14:08:11"</f>
        <v>2018-03-23 14:08:11</v>
      </c>
      <c r="M15609" s="1" t="s">
        <v>45</v>
      </c>
      <c r="N15609" s="1" t="s">
        <v>38</v>
      </c>
      <c r="O15609" s="1" t="s">
        <v>46</v>
      </c>
    </row>
    <row r="15610" spans="2:15" x14ac:dyDescent="0.3">
      <c r="B15610" s="1" t="s">
        <v>19</v>
      </c>
      <c r="C15610" s="1" t="str">
        <f>"4차"</f>
        <v>4차</v>
      </c>
      <c r="D15610" s="1" t="str">
        <f>"0129W08144"</f>
        <v>0129W08144</v>
      </c>
      <c r="E15610" s="1" t="s">
        <v>10</v>
      </c>
      <c r="F15610" s="1" t="str">
        <f>"10.107.121.250"</f>
        <v>10.107.121.250</v>
      </c>
      <c r="G15610" s="1" t="str">
        <f>"0129W081"</f>
        <v>0129W081</v>
      </c>
      <c r="H15610" s="1" t="str">
        <f>"성암지 26R2R2"</f>
        <v>성암지 26R2R2</v>
      </c>
      <c r="I15610" s="1" t="s">
        <v>8</v>
      </c>
      <c r="J15610" s="1" t="str">
        <f>"43/45"</f>
        <v>43/45</v>
      </c>
      <c r="K15610" s="1" t="str">
        <f>"2026-07-29 13:18:01"</f>
        <v>2026-07-29 13:18:01</v>
      </c>
      <c r="L15610" s="1" t="str">
        <f>"2019-12-30 11:27:53"</f>
        <v>2019-12-30 11:27:53</v>
      </c>
      <c r="M15610" s="1" t="s">
        <v>45</v>
      </c>
      <c r="N15610" s="1" t="s">
        <v>38</v>
      </c>
      <c r="O15610" s="1" t="s">
        <v>46</v>
      </c>
    </row>
    <row r="15611" spans="2:15" x14ac:dyDescent="0.3">
      <c r="B15611" s="1" t="s">
        <v>19</v>
      </c>
      <c r="C15611" s="1" t="str">
        <f>"5-1차"</f>
        <v>5-1차</v>
      </c>
      <c r="D15611" s="1" t="str">
        <f>"0129W0925S"</f>
        <v>0129W0925S</v>
      </c>
      <c r="E15611" s="1" t="s">
        <v>10</v>
      </c>
      <c r="F15611" s="1" t="str">
        <f>"fde2:104:0:41:0:0:0:2"</f>
        <v>fde2:104:0:41:0:0:0:2</v>
      </c>
      <c r="G15611" s="1" t="str">
        <f>"0129W092"</f>
        <v>0129W092</v>
      </c>
      <c r="H15611" s="1" t="str">
        <f>"성암지 26R3R3"</f>
        <v>성암지 26R3R3</v>
      </c>
      <c r="I15611" s="1" t="s">
        <v>15</v>
      </c>
      <c r="J15611" s="1" t="str">
        <f>"17/17"</f>
        <v>17/17</v>
      </c>
      <c r="K15611" s="1" t="str">
        <f>"2026-07-29 14:20:28"</f>
        <v>2026-07-29 14:20:28</v>
      </c>
      <c r="L15611" s="1" t="str">
        <f>"2022-08-31 08:16:41"</f>
        <v>2022-08-31 08:16:41</v>
      </c>
      <c r="M15611" s="1" t="s">
        <v>42</v>
      </c>
      <c r="N15611" s="1" t="s">
        <v>38</v>
      </c>
      <c r="O15611" s="1" t="s">
        <v>46</v>
      </c>
    </row>
    <row r="15612" spans="2:15" x14ac:dyDescent="0.3">
      <c r="B15612" s="1" t="s">
        <v>19</v>
      </c>
      <c r="C15612" s="1" t="str">
        <f>"3차"</f>
        <v>3차</v>
      </c>
      <c r="D15612" s="1" t="str">
        <f>"0129W10330"</f>
        <v>0129W10330</v>
      </c>
      <c r="E15612" s="1" t="s">
        <v>10</v>
      </c>
      <c r="F15612" s="1" t="str">
        <f>"10.107.123.231"</f>
        <v>10.107.123.231</v>
      </c>
      <c r="G15612" s="1" t="str">
        <f>"0129W103"</f>
        <v>0129W103</v>
      </c>
      <c r="H15612" s="1" t="str">
        <f>"성암지 10"</f>
        <v>성암지 10</v>
      </c>
      <c r="I15612" s="1" t="s">
        <v>8</v>
      </c>
      <c r="J15612" s="1" t="str">
        <f>"31/31"</f>
        <v>31/31</v>
      </c>
      <c r="K15612" s="1" t="str">
        <f t="shared" ref="K15612:K15617" si="779">"2026-07-29 13:18:01"</f>
        <v>2026-07-29 13:18:01</v>
      </c>
      <c r="L15612" s="1" t="str">
        <f>"2018-04-04 19:19:18"</f>
        <v>2018-04-04 19:19:18</v>
      </c>
      <c r="M15612" s="1" t="s">
        <v>45</v>
      </c>
      <c r="N15612" s="1" t="s">
        <v>38</v>
      </c>
      <c r="O15612" s="1" t="s">
        <v>46</v>
      </c>
    </row>
    <row r="15613" spans="2:15" x14ac:dyDescent="0.3">
      <c r="B15613" s="1" t="s">
        <v>19</v>
      </c>
      <c r="C15613" s="1" t="str">
        <f>"4차"</f>
        <v>4차</v>
      </c>
      <c r="D15613" s="1" t="str">
        <f>"0129W15130"</f>
        <v>0129W15130</v>
      </c>
      <c r="E15613" s="1" t="s">
        <v>10</v>
      </c>
      <c r="F15613" s="1" t="str">
        <f>"10.107.252.2"</f>
        <v>10.107.252.2</v>
      </c>
      <c r="G15613" s="1" t="str">
        <f>"0129W151"</f>
        <v>0129W151</v>
      </c>
      <c r="H15613" s="1" t="str">
        <f>"성암지 19R3"</f>
        <v>성암지 19R3</v>
      </c>
      <c r="I15613" s="1" t="s">
        <v>8</v>
      </c>
      <c r="J15613" s="1" t="str">
        <f>"65/65"</f>
        <v>65/65</v>
      </c>
      <c r="K15613" s="1" t="str">
        <f t="shared" si="779"/>
        <v>2026-07-29 13:18:01</v>
      </c>
      <c r="L15613" s="1" t="str">
        <f>"2018-04-10 11:21:14"</f>
        <v>2018-04-10 11:21:14</v>
      </c>
      <c r="M15613" s="1" t="s">
        <v>45</v>
      </c>
      <c r="N15613" s="1" t="s">
        <v>38</v>
      </c>
      <c r="O15613" s="1" t="s">
        <v>46</v>
      </c>
    </row>
    <row r="15614" spans="2:15" x14ac:dyDescent="0.3">
      <c r="B15614" s="1" t="s">
        <v>19</v>
      </c>
      <c r="C15614" s="1" t="str">
        <f>"3차"</f>
        <v>3차</v>
      </c>
      <c r="D15614" s="1" t="str">
        <f>"0129W15231"</f>
        <v>0129W15231</v>
      </c>
      <c r="E15614" s="1" t="s">
        <v>10</v>
      </c>
      <c r="F15614" s="1" t="str">
        <f>"10.14.10.119"</f>
        <v>10.14.10.119</v>
      </c>
      <c r="G15614" s="1" t="str">
        <f>"0129W152"</f>
        <v>0129W152</v>
      </c>
      <c r="H15614" s="1" t="str">
        <f>"성암지 19R2"</f>
        <v>성암지 19R2</v>
      </c>
      <c r="I15614" s="1" t="s">
        <v>8</v>
      </c>
      <c r="J15614" s="1" t="str">
        <f>"102/108"</f>
        <v>102/108</v>
      </c>
      <c r="K15614" s="1" t="str">
        <f t="shared" si="779"/>
        <v>2026-07-29 13:18:01</v>
      </c>
      <c r="L15614" s="1" t="str">
        <f>"2018-06-08 16:55:13"</f>
        <v>2018-06-08 16:55:13</v>
      </c>
      <c r="M15614" s="1" t="s">
        <v>3</v>
      </c>
      <c r="N15614" s="1" t="s">
        <v>38</v>
      </c>
      <c r="O15614" s="1" t="s">
        <v>46</v>
      </c>
    </row>
    <row r="15615" spans="2:15" x14ac:dyDescent="0.3">
      <c r="B15615" s="1" t="s">
        <v>19</v>
      </c>
      <c r="C15615" s="1" t="str">
        <f>"3차"</f>
        <v>3차</v>
      </c>
      <c r="D15615" s="1" t="str">
        <f>"0129W16130"</f>
        <v>0129W16130</v>
      </c>
      <c r="E15615" s="1" t="s">
        <v>10</v>
      </c>
      <c r="F15615" s="1" t="str">
        <f>"10.107.253.99"</f>
        <v>10.107.253.99</v>
      </c>
      <c r="G15615" s="1" t="str">
        <f>"0129W161"</f>
        <v>0129W161</v>
      </c>
      <c r="H15615" s="1" t="str">
        <f>"성암지 21R5"</f>
        <v>성암지 21R5</v>
      </c>
      <c r="I15615" s="1" t="s">
        <v>8</v>
      </c>
      <c r="J15615" s="1" t="str">
        <f>"59/59"</f>
        <v>59/59</v>
      </c>
      <c r="K15615" s="1" t="str">
        <f t="shared" si="779"/>
        <v>2026-07-29 13:18:01</v>
      </c>
      <c r="L15615" s="1" t="str">
        <f>"2018-06-22 11:37:12"</f>
        <v>2018-06-22 11:37:12</v>
      </c>
      <c r="M15615" s="1" t="s">
        <v>45</v>
      </c>
      <c r="N15615" s="1" t="s">
        <v>38</v>
      </c>
      <c r="O15615" s="1" t="s">
        <v>46</v>
      </c>
    </row>
    <row r="15616" spans="2:15" x14ac:dyDescent="0.3">
      <c r="B15616" s="1" t="s">
        <v>19</v>
      </c>
      <c r="C15616" s="1" t="str">
        <f>"3차"</f>
        <v>3차</v>
      </c>
      <c r="D15616" s="1" t="str">
        <f>"0129W16331"</f>
        <v>0129W16331</v>
      </c>
      <c r="E15616" s="1" t="s">
        <v>10</v>
      </c>
      <c r="F15616" s="1" t="str">
        <f>"10.107.253.102"</f>
        <v>10.107.253.102</v>
      </c>
      <c r="G15616" s="1" t="str">
        <f>"0129W163"</f>
        <v>0129W163</v>
      </c>
      <c r="H15616" s="1" t="str">
        <f>"성암지 21R4"</f>
        <v>성암지 21R4</v>
      </c>
      <c r="I15616" s="1" t="s">
        <v>8</v>
      </c>
      <c r="J15616" s="1" t="str">
        <f>"51/51"</f>
        <v>51/51</v>
      </c>
      <c r="K15616" s="1" t="str">
        <f t="shared" si="779"/>
        <v>2026-07-29 13:18:01</v>
      </c>
      <c r="L15616" s="1" t="str">
        <f>"2018-06-04 17:17:20"</f>
        <v>2018-06-04 17:17:20</v>
      </c>
      <c r="M15616" s="1" t="s">
        <v>45</v>
      </c>
      <c r="N15616" s="1" t="s">
        <v>38</v>
      </c>
      <c r="O15616" s="1" t="s">
        <v>46</v>
      </c>
    </row>
    <row r="15617" spans="2:15" x14ac:dyDescent="0.3">
      <c r="B15617" s="1" t="s">
        <v>19</v>
      </c>
      <c r="C15617" s="1" t="str">
        <f>"3차"</f>
        <v>3차</v>
      </c>
      <c r="D15617" s="1" t="str">
        <f>"0129W17139"</f>
        <v>0129W17139</v>
      </c>
      <c r="E15617" s="1" t="s">
        <v>10</v>
      </c>
      <c r="F15617" s="1" t="str">
        <f>"10.107.121.251"</f>
        <v>10.107.121.251</v>
      </c>
      <c r="G15617" s="1" t="str">
        <f>"0129W171"</f>
        <v>0129W171</v>
      </c>
      <c r="H15617" s="1" t="str">
        <f>"성암지 23R3"</f>
        <v>성암지 23R3</v>
      </c>
      <c r="I15617" s="1" t="s">
        <v>8</v>
      </c>
      <c r="J15617" s="1" t="str">
        <f>"71/71"</f>
        <v>71/71</v>
      </c>
      <c r="K15617" s="1" t="str">
        <f t="shared" si="779"/>
        <v>2026-07-29 13:18:01</v>
      </c>
      <c r="L15617" s="1" t="str">
        <f>"2018-03-23 14:00:11"</f>
        <v>2018-03-23 14:00:11</v>
      </c>
      <c r="M15617" s="1" t="s">
        <v>45</v>
      </c>
      <c r="N15617" s="1" t="s">
        <v>38</v>
      </c>
      <c r="O15617" s="1" t="s">
        <v>46</v>
      </c>
    </row>
    <row r="15618" spans="2:15" x14ac:dyDescent="0.3">
      <c r="B15618" s="1" t="s">
        <v>19</v>
      </c>
      <c r="C15618" s="1" t="str">
        <f>"4차"</f>
        <v>4차</v>
      </c>
      <c r="D15618" s="1" t="str">
        <f>"0129W18144"</f>
        <v>0129W18144</v>
      </c>
      <c r="E15618" s="1" t="s">
        <v>10</v>
      </c>
      <c r="F15618" s="1" t="str">
        <f>"10.107.15.33"</f>
        <v>10.107.15.33</v>
      </c>
      <c r="G15618" s="1" t="str">
        <f>"0129W181"</f>
        <v>0129W181</v>
      </c>
      <c r="H15618" s="1" t="str">
        <f>"성암지 26R2R5"</f>
        <v>성암지 26R2R5</v>
      </c>
      <c r="I15618" s="1" t="s">
        <v>8</v>
      </c>
      <c r="J15618" s="1" t="str">
        <f>"85/85"</f>
        <v>85/85</v>
      </c>
      <c r="K15618" s="1" t="str">
        <f>"2026-07-29 13:18:02"</f>
        <v>2026-07-29 13:18:02</v>
      </c>
      <c r="L15618" s="1" t="str">
        <f>"2019-10-24 17:26:46"</f>
        <v>2019-10-24 17:26:46</v>
      </c>
      <c r="M15618" s="1" t="s">
        <v>45</v>
      </c>
      <c r="N15618" s="1" t="s">
        <v>38</v>
      </c>
      <c r="O15618" s="1" t="s">
        <v>46</v>
      </c>
    </row>
    <row r="15619" spans="2:15" x14ac:dyDescent="0.3">
      <c r="B15619" s="1" t="s">
        <v>19</v>
      </c>
      <c r="C15619" s="1" t="str">
        <f>"4차"</f>
        <v>4차</v>
      </c>
      <c r="D15619" s="1" t="str">
        <f>"0129W18244"</f>
        <v>0129W18244</v>
      </c>
      <c r="E15619" s="1" t="s">
        <v>10</v>
      </c>
      <c r="F15619" s="1" t="str">
        <f>"10.107.15.32"</f>
        <v>10.107.15.32</v>
      </c>
      <c r="G15619" s="1" t="str">
        <f>"0129W182"</f>
        <v>0129W182</v>
      </c>
      <c r="H15619" s="1" t="str">
        <f>"성암지 26R2R4"</f>
        <v>성암지 26R2R4</v>
      </c>
      <c r="I15619" s="1" t="s">
        <v>8</v>
      </c>
      <c r="J15619" s="1" t="str">
        <f>"54/54"</f>
        <v>54/54</v>
      </c>
      <c r="K15619" s="1" t="str">
        <f>"2026-07-29 13:18:01"</f>
        <v>2026-07-29 13:18:01</v>
      </c>
      <c r="L15619" s="1" t="str">
        <f>"2019-10-24 17:31:30"</f>
        <v>2019-10-24 17:31:30</v>
      </c>
      <c r="M15619" s="1" t="s">
        <v>45</v>
      </c>
      <c r="N15619" s="1" t="s">
        <v>38</v>
      </c>
      <c r="O15619" s="1" t="s">
        <v>46</v>
      </c>
    </row>
    <row r="15620" spans="2:15" x14ac:dyDescent="0.3">
      <c r="B15620" s="1" t="s">
        <v>19</v>
      </c>
      <c r="C15620" s="1" t="str">
        <f>"5-2차"</f>
        <v>5-2차</v>
      </c>
      <c r="D15620" s="1" t="str">
        <f>"0129W1925M"</f>
        <v>0129W1925M</v>
      </c>
      <c r="E15620" s="1" t="s">
        <v>10</v>
      </c>
      <c r="F15620" s="1" t="str">
        <f>"fde3:102:1410:1500:0:0:0:6"</f>
        <v>fde3:102:1410:1500:0:0:0:6</v>
      </c>
      <c r="G15620" s="1" t="str">
        <f>"0129W192"</f>
        <v>0129W192</v>
      </c>
      <c r="H15620" s="1" t="str">
        <f>"성암지 26R3R4"</f>
        <v>성암지 26R3R4</v>
      </c>
      <c r="I15620" s="1" t="s">
        <v>15</v>
      </c>
      <c r="J15620" s="1" t="str">
        <f>"59/59"</f>
        <v>59/59</v>
      </c>
      <c r="K15620" s="1" t="str">
        <f>"2026-07-29 14:20:19"</f>
        <v>2026-07-29 14:20:19</v>
      </c>
      <c r="L15620" s="1" t="str">
        <f>"2023-08-16 13:48:08"</f>
        <v>2023-08-16 13:48:08</v>
      </c>
      <c r="M15620" s="1" t="s">
        <v>45</v>
      </c>
      <c r="N15620" s="1" t="s">
        <v>38</v>
      </c>
      <c r="O15620" s="1" t="s">
        <v>46</v>
      </c>
    </row>
    <row r="15621" spans="2:15" x14ac:dyDescent="0.3">
      <c r="B15621" s="1" t="s">
        <v>19</v>
      </c>
      <c r="C15621" s="1" t="str">
        <f>"4차"</f>
        <v>4차</v>
      </c>
      <c r="D15621" s="1" t="str">
        <f>"0129W20144"</f>
        <v>0129W20144</v>
      </c>
      <c r="E15621" s="1" t="s">
        <v>10</v>
      </c>
      <c r="F15621" s="1" t="str">
        <f>"10.107.123.233"</f>
        <v>10.107.123.233</v>
      </c>
      <c r="G15621" s="1" t="str">
        <f>"0129W201"</f>
        <v>0129W201</v>
      </c>
      <c r="H15621" s="1" t="str">
        <f>"성암지 7"</f>
        <v>성암지 7</v>
      </c>
      <c r="I15621" s="1" t="s">
        <v>8</v>
      </c>
      <c r="J15621" s="1" t="str">
        <f>"44/44"</f>
        <v>44/44</v>
      </c>
      <c r="K15621" s="1" t="str">
        <f>"2026-07-29 13:18:01"</f>
        <v>2026-07-29 13:18:01</v>
      </c>
      <c r="L15621" s="1" t="str">
        <f>"2019-12-13 08:57:46"</f>
        <v>2019-12-13 08:57:46</v>
      </c>
      <c r="M15621" s="1" t="s">
        <v>45</v>
      </c>
      <c r="N15621" s="1" t="s">
        <v>38</v>
      </c>
      <c r="O15621" s="1" t="s">
        <v>46</v>
      </c>
    </row>
    <row r="15622" spans="2:15" x14ac:dyDescent="0.3">
      <c r="B15622" s="1" t="s">
        <v>19</v>
      </c>
      <c r="C15622" s="1" t="str">
        <f>"4차"</f>
        <v>4차</v>
      </c>
      <c r="D15622" s="1" t="str">
        <f>"0129W24144"</f>
        <v>0129W24144</v>
      </c>
      <c r="E15622" s="1" t="s">
        <v>10</v>
      </c>
      <c r="F15622" s="1" t="str">
        <f>"10.107.252.11"</f>
        <v>10.107.252.11</v>
      </c>
      <c r="G15622" s="1" t="str">
        <f>"0129W241"</f>
        <v>0129W241</v>
      </c>
      <c r="H15622" s="1" t="str">
        <f>"성암지 18R3"</f>
        <v>성암지 18R3</v>
      </c>
      <c r="I15622" s="1" t="s">
        <v>8</v>
      </c>
      <c r="J15622" s="1" t="str">
        <f>"44/44"</f>
        <v>44/44</v>
      </c>
      <c r="K15622" s="1" t="str">
        <f>"2026-07-29 13:18:01"</f>
        <v>2026-07-29 13:18:01</v>
      </c>
      <c r="L15622" s="1" t="str">
        <f>"2019-11-05 13:04:28"</f>
        <v>2019-11-05 13:04:28</v>
      </c>
      <c r="M15622" s="1" t="s">
        <v>45</v>
      </c>
      <c r="N15622" s="1" t="s">
        <v>38</v>
      </c>
      <c r="O15622" s="1" t="s">
        <v>46</v>
      </c>
    </row>
    <row r="15623" spans="2:15" x14ac:dyDescent="0.3">
      <c r="B15623" s="1" t="s">
        <v>19</v>
      </c>
      <c r="C15623" s="1" t="str">
        <f>"4차"</f>
        <v>4차</v>
      </c>
      <c r="D15623" s="1" t="str">
        <f>"0129W25132"</f>
        <v>0129W25132</v>
      </c>
      <c r="E15623" s="1" t="s">
        <v>10</v>
      </c>
      <c r="F15623" s="1" t="str">
        <f>"10.107.252.4"</f>
        <v>10.107.252.4</v>
      </c>
      <c r="G15623" s="1" t="str">
        <f>"0129W251"</f>
        <v>0129W251</v>
      </c>
      <c r="H15623" s="1" t="str">
        <f>"성암지 19R4"</f>
        <v>성암지 19R4</v>
      </c>
      <c r="I15623" s="1" t="s">
        <v>8</v>
      </c>
      <c r="J15623" s="1" t="str">
        <f>"71/71"</f>
        <v>71/71</v>
      </c>
      <c r="K15623" s="1" t="str">
        <f>"2026-07-29 13:18:02"</f>
        <v>2026-07-29 13:18:02</v>
      </c>
      <c r="L15623" s="1" t="str">
        <f>"2018-06-08 16:51:19"</f>
        <v>2018-06-08 16:51:19</v>
      </c>
      <c r="M15623" s="1" t="s">
        <v>45</v>
      </c>
      <c r="N15623" s="1" t="s">
        <v>38</v>
      </c>
      <c r="O15623" s="1" t="s">
        <v>46</v>
      </c>
    </row>
    <row r="15624" spans="2:15" x14ac:dyDescent="0.3">
      <c r="B15624" s="1" t="s">
        <v>19</v>
      </c>
      <c r="C15624" s="1" t="str">
        <f>"4차"</f>
        <v>4차</v>
      </c>
      <c r="D15624" s="1" t="str">
        <f>"0129W26139"</f>
        <v>0129W26139</v>
      </c>
      <c r="E15624" s="1" t="s">
        <v>10</v>
      </c>
      <c r="F15624" s="1" t="str">
        <f>"10.107.253.100"</f>
        <v>10.107.253.100</v>
      </c>
      <c r="G15624" s="1" t="str">
        <f>"0129W261"</f>
        <v>0129W261</v>
      </c>
      <c r="H15624" s="1" t="str">
        <f>"성암지 21R6"</f>
        <v>성암지 21R6</v>
      </c>
      <c r="I15624" s="1" t="s">
        <v>8</v>
      </c>
      <c r="J15624" s="1" t="str">
        <f>"50/50"</f>
        <v>50/50</v>
      </c>
      <c r="K15624" s="1" t="str">
        <f>"2026-07-29 13:18:01"</f>
        <v>2026-07-29 13:18:01</v>
      </c>
      <c r="L15624" s="1" t="str">
        <f>"2018-04-10 11:13:01"</f>
        <v>2018-04-10 11:13:01</v>
      </c>
      <c r="M15624" s="1" t="s">
        <v>45</v>
      </c>
      <c r="N15624" s="1" t="s">
        <v>38</v>
      </c>
      <c r="O15624" s="1" t="s">
        <v>46</v>
      </c>
    </row>
    <row r="15625" spans="2:15" x14ac:dyDescent="0.3">
      <c r="B15625" s="1" t="s">
        <v>19</v>
      </c>
      <c r="C15625" s="1" t="str">
        <f>"4차"</f>
        <v>4차</v>
      </c>
      <c r="D15625" s="1" t="str">
        <f>"0129W28144"</f>
        <v>0129W28144</v>
      </c>
      <c r="E15625" s="1" t="s">
        <v>10</v>
      </c>
      <c r="F15625" s="1" t="str">
        <f>"10.107.15.39"</f>
        <v>10.107.15.39</v>
      </c>
      <c r="G15625" s="1" t="str">
        <f>"0129W281"</f>
        <v>0129W281</v>
      </c>
      <c r="H15625" s="1" t="str">
        <f>"솔샘간 29R7R1"</f>
        <v>솔샘간 29R7R1</v>
      </c>
      <c r="I15625" s="1" t="s">
        <v>8</v>
      </c>
      <c r="J15625" s="1" t="str">
        <f>"33/33"</f>
        <v>33/33</v>
      </c>
      <c r="K15625" s="1" t="str">
        <f t="shared" ref="K15625:K15635" si="780">"2026-07-29 13:18:02"</f>
        <v>2026-07-29 13:18:02</v>
      </c>
      <c r="L15625" s="1" t="str">
        <f>"2019-10-24 17:03:03"</f>
        <v>2019-10-24 17:03:03</v>
      </c>
      <c r="M15625" s="1" t="s">
        <v>45</v>
      </c>
      <c r="N15625" s="1" t="s">
        <v>38</v>
      </c>
      <c r="O15625" s="1" t="s">
        <v>46</v>
      </c>
    </row>
    <row r="15626" spans="2:15" x14ac:dyDescent="0.3">
      <c r="B15626" s="1" t="s">
        <v>19</v>
      </c>
      <c r="C15626" s="1" t="str">
        <f>"3차"</f>
        <v>3차</v>
      </c>
      <c r="D15626" s="1" t="str">
        <f>"0129W30430"</f>
        <v>0129W30430</v>
      </c>
      <c r="E15626" s="1" t="s">
        <v>10</v>
      </c>
      <c r="F15626" s="1" t="str">
        <f>"10.107.253.121"</f>
        <v>10.107.253.121</v>
      </c>
      <c r="G15626" s="1" t="str">
        <f>"0129W304"</f>
        <v>0129W304</v>
      </c>
      <c r="H15626" s="1" t="str">
        <f>"성암지 6R1"</f>
        <v>성암지 6R1</v>
      </c>
      <c r="I15626" s="1" t="s">
        <v>8</v>
      </c>
      <c r="J15626" s="1" t="str">
        <f>"17/18"</f>
        <v>17/18</v>
      </c>
      <c r="K15626" s="1" t="str">
        <f t="shared" si="780"/>
        <v>2026-07-29 13:18:02</v>
      </c>
      <c r="L15626" s="1" t="str">
        <f>"2018-04-10 11:21:15"</f>
        <v>2018-04-10 11:21:15</v>
      </c>
      <c r="M15626" s="1" t="s">
        <v>45</v>
      </c>
      <c r="N15626" s="1" t="s">
        <v>38</v>
      </c>
      <c r="O15626" s="1" t="s">
        <v>46</v>
      </c>
    </row>
    <row r="15627" spans="2:15" x14ac:dyDescent="0.3">
      <c r="B15627" s="1" t="s">
        <v>19</v>
      </c>
      <c r="C15627" s="1" t="str">
        <f>"4차"</f>
        <v>4차</v>
      </c>
      <c r="D15627" s="1" t="str">
        <f>"0129W32144"</f>
        <v>0129W32144</v>
      </c>
      <c r="E15627" s="1" t="s">
        <v>10</v>
      </c>
      <c r="F15627" s="1" t="str">
        <f>"10.107.252.12"</f>
        <v>10.107.252.12</v>
      </c>
      <c r="G15627" s="1" t="str">
        <f>"0129W321"</f>
        <v>0129W321</v>
      </c>
      <c r="H15627" s="1" t="str">
        <f>"성암지 18R7"</f>
        <v>성암지 18R7</v>
      </c>
      <c r="I15627" s="1" t="s">
        <v>8</v>
      </c>
      <c r="J15627" s="1" t="str">
        <f>"50/50"</f>
        <v>50/50</v>
      </c>
      <c r="K15627" s="1" t="str">
        <f t="shared" si="780"/>
        <v>2026-07-29 13:18:02</v>
      </c>
      <c r="L15627" s="1" t="str">
        <f>"2019-11-05 13:19:42"</f>
        <v>2019-11-05 13:19:42</v>
      </c>
      <c r="M15627" s="1" t="s">
        <v>45</v>
      </c>
      <c r="N15627" s="1" t="s">
        <v>38</v>
      </c>
      <c r="O15627" s="1" t="s">
        <v>46</v>
      </c>
    </row>
    <row r="15628" spans="2:15" x14ac:dyDescent="0.3">
      <c r="B15628" s="1" t="s">
        <v>19</v>
      </c>
      <c r="C15628" s="1" t="str">
        <f>"3차"</f>
        <v>3차</v>
      </c>
      <c r="D15628" s="1" t="str">
        <f>"0129W33139"</f>
        <v>0129W33139</v>
      </c>
      <c r="E15628" s="1" t="s">
        <v>10</v>
      </c>
      <c r="F15628" s="1" t="str">
        <f>"10.107.253.104"</f>
        <v>10.107.253.104</v>
      </c>
      <c r="G15628" s="1" t="str">
        <f>"0129W331"</f>
        <v>0129W331</v>
      </c>
      <c r="H15628" s="1" t="str">
        <f>"성암지 18R17L1"</f>
        <v>성암지 18R17L1</v>
      </c>
      <c r="I15628" s="1" t="s">
        <v>8</v>
      </c>
      <c r="J15628" s="1" t="str">
        <f>"45/45"</f>
        <v>45/45</v>
      </c>
      <c r="K15628" s="1" t="str">
        <f t="shared" si="780"/>
        <v>2026-07-29 13:18:02</v>
      </c>
      <c r="L15628" s="1" t="str">
        <f>"2018-04-10 11:20:17"</f>
        <v>2018-04-10 11:20:17</v>
      </c>
      <c r="M15628" s="1" t="s">
        <v>45</v>
      </c>
      <c r="N15628" s="1" t="s">
        <v>38</v>
      </c>
      <c r="O15628" s="1" t="s">
        <v>46</v>
      </c>
    </row>
    <row r="15629" spans="2:15" x14ac:dyDescent="0.3">
      <c r="B15629" s="1" t="s">
        <v>19</v>
      </c>
      <c r="C15629" s="1" t="str">
        <f>"3차"</f>
        <v>3차</v>
      </c>
      <c r="D15629" s="1" t="str">
        <f>"0129W34130"</f>
        <v>0129W34130</v>
      </c>
      <c r="E15629" s="1" t="s">
        <v>10</v>
      </c>
      <c r="F15629" s="1" t="str">
        <f>"10.107.253.107"</f>
        <v>10.107.253.107</v>
      </c>
      <c r="G15629" s="1" t="str">
        <f>"0129W341"</f>
        <v>0129W341</v>
      </c>
      <c r="H15629" s="1" t="str">
        <f>"성암지 18R3L1"</f>
        <v>성암지 18R3L1</v>
      </c>
      <c r="I15629" s="1" t="s">
        <v>8</v>
      </c>
      <c r="J15629" s="1" t="str">
        <f>"63/63"</f>
        <v>63/63</v>
      </c>
      <c r="K15629" s="1" t="str">
        <f t="shared" si="780"/>
        <v>2026-07-29 13:18:02</v>
      </c>
      <c r="L15629" s="1" t="str">
        <f>"2018-04-10 11:20:42"</f>
        <v>2018-04-10 11:20:42</v>
      </c>
      <c r="M15629" s="1" t="s">
        <v>45</v>
      </c>
      <c r="N15629" s="1" t="s">
        <v>38</v>
      </c>
      <c r="O15629" s="1" t="s">
        <v>46</v>
      </c>
    </row>
    <row r="15630" spans="2:15" x14ac:dyDescent="0.3">
      <c r="B15630" s="1" t="s">
        <v>19</v>
      </c>
      <c r="C15630" s="1" t="str">
        <f>"3차"</f>
        <v>3차</v>
      </c>
      <c r="D15630" s="1" t="str">
        <f>"0129W35130"</f>
        <v>0129W35130</v>
      </c>
      <c r="E15630" s="1" t="s">
        <v>10</v>
      </c>
      <c r="F15630" s="1" t="str">
        <f>"10.107.253.109"</f>
        <v>10.107.253.109</v>
      </c>
      <c r="G15630" s="1" t="str">
        <f>"0129W351"</f>
        <v>0129W351</v>
      </c>
      <c r="H15630" s="1" t="str">
        <f>"성암지 19R5"</f>
        <v>성암지 19R5</v>
      </c>
      <c r="I15630" s="1" t="s">
        <v>8</v>
      </c>
      <c r="J15630" s="1" t="str">
        <f>"38/38"</f>
        <v>38/38</v>
      </c>
      <c r="K15630" s="1" t="str">
        <f t="shared" si="780"/>
        <v>2026-07-29 13:18:02</v>
      </c>
      <c r="L15630" s="1" t="str">
        <f>"2018-04-10 11:21:24"</f>
        <v>2018-04-10 11:21:24</v>
      </c>
      <c r="M15630" s="1" t="s">
        <v>45</v>
      </c>
      <c r="N15630" s="1" t="s">
        <v>38</v>
      </c>
      <c r="O15630" s="1" t="s">
        <v>46</v>
      </c>
    </row>
    <row r="15631" spans="2:15" x14ac:dyDescent="0.3">
      <c r="B15631" s="1" t="s">
        <v>19</v>
      </c>
      <c r="C15631" s="1" t="str">
        <f>"4차"</f>
        <v>4차</v>
      </c>
      <c r="D15631" s="1" t="str">
        <f>"0129W36139"</f>
        <v>0129W36139</v>
      </c>
      <c r="E15631" s="1" t="s">
        <v>10</v>
      </c>
      <c r="F15631" s="1" t="str">
        <f>"10.107.253.98"</f>
        <v>10.107.253.98</v>
      </c>
      <c r="G15631" s="1" t="str">
        <f>"0129W361"</f>
        <v>0129W361</v>
      </c>
      <c r="H15631" s="1" t="str">
        <f>"성암지 21R7"</f>
        <v>성암지 21R7</v>
      </c>
      <c r="I15631" s="1" t="s">
        <v>8</v>
      </c>
      <c r="J15631" s="1" t="str">
        <f>"21/21"</f>
        <v>21/21</v>
      </c>
      <c r="K15631" s="1" t="str">
        <f t="shared" si="780"/>
        <v>2026-07-29 13:18:02</v>
      </c>
      <c r="L15631" s="1" t="str">
        <f>"2018-04-10 11:18:11"</f>
        <v>2018-04-10 11:18:11</v>
      </c>
      <c r="M15631" s="1" t="s">
        <v>45</v>
      </c>
      <c r="N15631" s="1" t="s">
        <v>38</v>
      </c>
      <c r="O15631" s="1" t="s">
        <v>46</v>
      </c>
    </row>
    <row r="15632" spans="2:15" x14ac:dyDescent="0.3">
      <c r="B15632" s="1" t="s">
        <v>19</v>
      </c>
      <c r="C15632" s="1" t="str">
        <f>"3차"</f>
        <v>3차</v>
      </c>
      <c r="D15632" s="1" t="str">
        <f>"0129W38130"</f>
        <v>0129W38130</v>
      </c>
      <c r="E15632" s="1" t="s">
        <v>10</v>
      </c>
      <c r="F15632" s="1" t="str">
        <f>"10.107.121.252"</f>
        <v>10.107.121.252</v>
      </c>
      <c r="G15632" s="1" t="str">
        <f>"0129W381"</f>
        <v>0129W381</v>
      </c>
      <c r="H15632" s="1" t="str">
        <f>"성암지 23R6"</f>
        <v>성암지 23R6</v>
      </c>
      <c r="I15632" s="1" t="s">
        <v>8</v>
      </c>
      <c r="J15632" s="1" t="str">
        <f>"33/33"</f>
        <v>33/33</v>
      </c>
      <c r="K15632" s="1" t="str">
        <f t="shared" si="780"/>
        <v>2026-07-29 13:18:02</v>
      </c>
      <c r="L15632" s="1" t="str">
        <f>"2018-03-23 14:01:41"</f>
        <v>2018-03-23 14:01:41</v>
      </c>
      <c r="M15632" s="1" t="s">
        <v>45</v>
      </c>
      <c r="N15632" s="1" t="s">
        <v>38</v>
      </c>
      <c r="O15632" s="1" t="s">
        <v>46</v>
      </c>
    </row>
    <row r="15633" spans="2:15" x14ac:dyDescent="0.3">
      <c r="B15633" s="1" t="s">
        <v>19</v>
      </c>
      <c r="C15633" s="1" t="str">
        <f>"3차"</f>
        <v>3차</v>
      </c>
      <c r="D15633" s="1" t="str">
        <f>"0129W38239"</f>
        <v>0129W38239</v>
      </c>
      <c r="E15633" s="1" t="s">
        <v>10</v>
      </c>
      <c r="F15633" s="1" t="str">
        <f>"10.107.121.253"</f>
        <v>10.107.121.253</v>
      </c>
      <c r="G15633" s="1" t="str">
        <f>"0129W382"</f>
        <v>0129W382</v>
      </c>
      <c r="H15633" s="1" t="str">
        <f>"성암지 23R5"</f>
        <v>성암지 23R5</v>
      </c>
      <c r="I15633" s="1" t="s">
        <v>8</v>
      </c>
      <c r="J15633" s="1" t="str">
        <f>"32/36"</f>
        <v>32/36</v>
      </c>
      <c r="K15633" s="1" t="str">
        <f t="shared" si="780"/>
        <v>2026-07-29 13:18:02</v>
      </c>
      <c r="L15633" s="1" t="str">
        <f>"2018-03-23 15:08:02"</f>
        <v>2018-03-23 15:08:02</v>
      </c>
      <c r="M15633" s="1" t="s">
        <v>45</v>
      </c>
      <c r="N15633" s="1" t="s">
        <v>38</v>
      </c>
      <c r="O15633" s="1" t="s">
        <v>46</v>
      </c>
    </row>
    <row r="15634" spans="2:15" x14ac:dyDescent="0.3">
      <c r="B15634" s="1" t="s">
        <v>19</v>
      </c>
      <c r="C15634" s="1" t="str">
        <f>"4차"</f>
        <v>4차</v>
      </c>
      <c r="D15634" s="1" t="str">
        <f>"0129W39144"</f>
        <v>0129W39144</v>
      </c>
      <c r="E15634" s="1" t="s">
        <v>10</v>
      </c>
      <c r="F15634" s="1" t="str">
        <f>"10.107.15.40"</f>
        <v>10.107.15.40</v>
      </c>
      <c r="G15634" s="1" t="str">
        <f>"0129W391"</f>
        <v>0129W391</v>
      </c>
      <c r="H15634" s="1" t="str">
        <f>"솔샘간 29R8"</f>
        <v>솔샘간 29R8</v>
      </c>
      <c r="I15634" s="1" t="s">
        <v>8</v>
      </c>
      <c r="J15634" s="1" t="str">
        <f>"28/28"</f>
        <v>28/28</v>
      </c>
      <c r="K15634" s="1" t="str">
        <f t="shared" si="780"/>
        <v>2026-07-29 13:18:02</v>
      </c>
      <c r="L15634" s="1" t="str">
        <f>"2019-10-24 16:48:44"</f>
        <v>2019-10-24 16:48:44</v>
      </c>
      <c r="M15634" s="1" t="s">
        <v>45</v>
      </c>
      <c r="N15634" s="1" t="s">
        <v>38</v>
      </c>
      <c r="O15634" s="1" t="s">
        <v>46</v>
      </c>
    </row>
    <row r="15635" spans="2:15" x14ac:dyDescent="0.3">
      <c r="B15635" s="1" t="s">
        <v>19</v>
      </c>
      <c r="C15635" s="1" t="str">
        <f>"4차"</f>
        <v>4차</v>
      </c>
      <c r="D15635" s="1" t="str">
        <f>"0129W39244"</f>
        <v>0129W39244</v>
      </c>
      <c r="E15635" s="1" t="s">
        <v>14</v>
      </c>
      <c r="F15635" s="1" t="str">
        <f>"10.107.15.41"</f>
        <v>10.107.15.41</v>
      </c>
      <c r="G15635" s="1" t="str">
        <f>"0129W392"</f>
        <v>0129W392</v>
      </c>
      <c r="H15635" s="1" t="str">
        <f>"솔샘간 29R9"</f>
        <v>솔샘간 29R9</v>
      </c>
      <c r="I15635" s="1" t="s">
        <v>8</v>
      </c>
      <c r="J15635" s="1" t="str">
        <f>"0/0"</f>
        <v>0/0</v>
      </c>
      <c r="K15635" s="1" t="str">
        <f t="shared" si="780"/>
        <v>2026-07-29 13:18:02</v>
      </c>
      <c r="L15635" s="1" t="str">
        <f>"2019-10-24 17:03:03"</f>
        <v>2019-10-24 17:03:03</v>
      </c>
      <c r="M15635" s="1" t="s">
        <v>45</v>
      </c>
      <c r="N15635" s="1" t="s">
        <v>38</v>
      </c>
      <c r="O15635" s="1" t="s">
        <v>44</v>
      </c>
    </row>
    <row r="15636" spans="2:15" x14ac:dyDescent="0.3">
      <c r="B15636" s="1" t="s">
        <v>19</v>
      </c>
      <c r="C15636" s="1" t="str">
        <f>"3차"</f>
        <v>3차</v>
      </c>
      <c r="D15636" s="1" t="str">
        <f>"0129W40131"</f>
        <v>0129W40131</v>
      </c>
      <c r="E15636" s="1" t="s">
        <v>10</v>
      </c>
      <c r="F15636" s="1" t="str">
        <f>"10.107.253.122"</f>
        <v>10.107.253.122</v>
      </c>
      <c r="G15636" s="1" t="str">
        <f>"0129W401"</f>
        <v>0129W401</v>
      </c>
      <c r="H15636" s="1" t="str">
        <f>"성암지 6R2"</f>
        <v>성암지 6R2</v>
      </c>
      <c r="I15636" s="1" t="s">
        <v>8</v>
      </c>
      <c r="J15636" s="1" t="str">
        <f>"43/46"</f>
        <v>43/46</v>
      </c>
      <c r="K15636" s="1" t="str">
        <f>"2026-07-29 13:18:01"</f>
        <v>2026-07-29 13:18:01</v>
      </c>
      <c r="L15636" s="1" t="str">
        <f>"2018-07-02 16:52:07"</f>
        <v>2018-07-02 16:52:07</v>
      </c>
      <c r="M15636" s="1" t="s">
        <v>45</v>
      </c>
      <c r="N15636" s="1" t="s">
        <v>38</v>
      </c>
      <c r="O15636" s="1" t="s">
        <v>46</v>
      </c>
    </row>
    <row r="15637" spans="2:15" x14ac:dyDescent="0.3">
      <c r="B15637" s="1" t="s">
        <v>19</v>
      </c>
      <c r="C15637" s="1" t="str">
        <f>"3차"</f>
        <v>3차</v>
      </c>
      <c r="D15637" s="1" t="str">
        <f>"0129W42132"</f>
        <v>0129W42132</v>
      </c>
      <c r="E15637" s="1" t="s">
        <v>10</v>
      </c>
      <c r="F15637" s="1" t="str">
        <f>"10.107.253.112"</f>
        <v>10.107.253.112</v>
      </c>
      <c r="G15637" s="1" t="str">
        <f>"0129W421"</f>
        <v>0129W421</v>
      </c>
      <c r="H15637" s="1" t="str">
        <f>"성암지 18R13"</f>
        <v>성암지 18R13</v>
      </c>
      <c r="I15637" s="1" t="s">
        <v>8</v>
      </c>
      <c r="J15637" s="1" t="str">
        <f>"24/24"</f>
        <v>24/24</v>
      </c>
      <c r="K15637" s="1" t="str">
        <f>"2026-07-29 13:18:01"</f>
        <v>2026-07-29 13:18:01</v>
      </c>
      <c r="L15637" s="1" t="str">
        <f>"2018-07-26 10:37:56"</f>
        <v>2018-07-26 10:37:56</v>
      </c>
      <c r="M15637" s="1" t="s">
        <v>45</v>
      </c>
      <c r="N15637" s="1" t="s">
        <v>38</v>
      </c>
      <c r="O15637" s="1" t="s">
        <v>46</v>
      </c>
    </row>
    <row r="15638" spans="2:15" x14ac:dyDescent="0.3">
      <c r="B15638" s="1" t="s">
        <v>19</v>
      </c>
      <c r="C15638" s="1" t="str">
        <f>"3차"</f>
        <v>3차</v>
      </c>
      <c r="D15638" s="1" t="str">
        <f>"0129W42230"</f>
        <v>0129W42230</v>
      </c>
      <c r="E15638" s="1" t="s">
        <v>10</v>
      </c>
      <c r="F15638" s="1" t="str">
        <f>"10.107.253.119"</f>
        <v>10.107.253.119</v>
      </c>
      <c r="G15638" s="1" t="str">
        <f>"0129W422"</f>
        <v>0129W422</v>
      </c>
      <c r="H15638" s="1" t="str">
        <f>"성암지 18R11"</f>
        <v>성암지 18R11</v>
      </c>
      <c r="I15638" s="1" t="s">
        <v>8</v>
      </c>
      <c r="J15638" s="1" t="str">
        <f>"33/33"</f>
        <v>33/33</v>
      </c>
      <c r="K15638" s="1" t="str">
        <f>"2026-07-29 13:18:01"</f>
        <v>2026-07-29 13:18:01</v>
      </c>
      <c r="L15638" s="1" t="str">
        <f>"2018-04-10 11:15:42"</f>
        <v>2018-04-10 11:15:42</v>
      </c>
      <c r="M15638" s="1" t="s">
        <v>45</v>
      </c>
      <c r="N15638" s="1" t="s">
        <v>38</v>
      </c>
      <c r="O15638" s="1" t="s">
        <v>46</v>
      </c>
    </row>
    <row r="15639" spans="2:15" x14ac:dyDescent="0.3">
      <c r="B15639" s="1" t="s">
        <v>19</v>
      </c>
      <c r="C15639" s="1" t="str">
        <f>"4차"</f>
        <v>4차</v>
      </c>
      <c r="D15639" s="1" t="str">
        <f>"0129W43244"</f>
        <v>0129W43244</v>
      </c>
      <c r="E15639" s="1" t="s">
        <v>10</v>
      </c>
      <c r="F15639" s="1" t="str">
        <f>"10.107.252.10"</f>
        <v>10.107.252.10</v>
      </c>
      <c r="G15639" s="1" t="str">
        <f>"0129W432"</f>
        <v>0129W432</v>
      </c>
      <c r="H15639" s="1" t="str">
        <f>"성암지 18R14"</f>
        <v>성암지 18R14</v>
      </c>
      <c r="I15639" s="1" t="s">
        <v>8</v>
      </c>
      <c r="J15639" s="1" t="str">
        <f>"49/49"</f>
        <v>49/49</v>
      </c>
      <c r="K15639" s="1" t="str">
        <f>"2026-07-29 13:18:01"</f>
        <v>2026-07-29 13:18:01</v>
      </c>
      <c r="L15639" s="1" t="str">
        <f>"2019-11-05 13:13:05"</f>
        <v>2019-11-05 13:13:05</v>
      </c>
      <c r="M15639" s="1" t="s">
        <v>45</v>
      </c>
      <c r="N15639" s="1" t="s">
        <v>38</v>
      </c>
      <c r="O15639" s="1" t="s">
        <v>46</v>
      </c>
    </row>
    <row r="15640" spans="2:15" x14ac:dyDescent="0.3">
      <c r="B15640" s="1" t="s">
        <v>19</v>
      </c>
      <c r="C15640" s="1" t="str">
        <f>"3차"</f>
        <v>3차</v>
      </c>
      <c r="D15640" s="1" t="str">
        <f>"0129W44139"</f>
        <v>0129W44139</v>
      </c>
      <c r="E15640" s="1" t="s">
        <v>10</v>
      </c>
      <c r="F15640" s="1" t="str">
        <f>"10.107.253.103"</f>
        <v>10.107.253.103</v>
      </c>
      <c r="G15640" s="1" t="str">
        <f>"0129W441"</f>
        <v>0129W441</v>
      </c>
      <c r="H15640" s="1" t="str">
        <f>"성암지 18R17"</f>
        <v>성암지 18R17</v>
      </c>
      <c r="I15640" s="1" t="s">
        <v>8</v>
      </c>
      <c r="J15640" s="1" t="str">
        <f>"28/28"</f>
        <v>28/28</v>
      </c>
      <c r="K15640" s="1" t="str">
        <f>"2026-07-29 13:18:01"</f>
        <v>2026-07-29 13:18:01</v>
      </c>
      <c r="L15640" s="1" t="str">
        <f>"2018-04-10 11:16:43"</f>
        <v>2018-04-10 11:16:43</v>
      </c>
      <c r="M15640" s="1" t="s">
        <v>45</v>
      </c>
      <c r="N15640" s="1" t="s">
        <v>38</v>
      </c>
      <c r="O15640" s="1" t="s">
        <v>46</v>
      </c>
    </row>
    <row r="15641" spans="2:15" x14ac:dyDescent="0.3">
      <c r="B15641" s="1" t="s">
        <v>19</v>
      </c>
      <c r="C15641" s="1" t="str">
        <f>"4차"</f>
        <v>4차</v>
      </c>
      <c r="D15641" s="1" t="str">
        <f>"0129W45131"</f>
        <v>0129W45131</v>
      </c>
      <c r="E15641" s="1" t="s">
        <v>10</v>
      </c>
      <c r="F15641" s="1" t="str">
        <f>"10.107.253.108"</f>
        <v>10.107.253.108</v>
      </c>
      <c r="G15641" s="1" t="str">
        <f>"0129W451"</f>
        <v>0129W451</v>
      </c>
      <c r="H15641" s="1" t="str">
        <f>"성암지 18R3L2"</f>
        <v>성암지 18R3L2</v>
      </c>
      <c r="I15641" s="1" t="s">
        <v>8</v>
      </c>
      <c r="J15641" s="1" t="str">
        <f>"85/85"</f>
        <v>85/85</v>
      </c>
      <c r="K15641" s="1" t="str">
        <f>"2026-07-29 13:18:02"</f>
        <v>2026-07-29 13:18:02</v>
      </c>
      <c r="L15641" s="1" t="str">
        <f>"2018-06-08 16:40:28"</f>
        <v>2018-06-08 16:40:28</v>
      </c>
      <c r="M15641" s="1" t="s">
        <v>45</v>
      </c>
      <c r="N15641" s="1" t="s">
        <v>38</v>
      </c>
      <c r="O15641" s="1" t="s">
        <v>46</v>
      </c>
    </row>
    <row r="15642" spans="2:15" x14ac:dyDescent="0.3">
      <c r="B15642" s="1" t="s">
        <v>19</v>
      </c>
      <c r="C15642" s="1" t="str">
        <f>"3차"</f>
        <v>3차</v>
      </c>
      <c r="D15642" s="1" t="str">
        <f>"0129W46131"</f>
        <v>0129W46131</v>
      </c>
      <c r="E15642" s="1" t="s">
        <v>10</v>
      </c>
      <c r="F15642" s="1" t="str">
        <f>"10.12.133.119"</f>
        <v>10.12.133.119</v>
      </c>
      <c r="G15642" s="1" t="str">
        <f>"0129W461"</f>
        <v>0129W461</v>
      </c>
      <c r="H15642" s="1" t="str">
        <f>"성암지 19R6"</f>
        <v>성암지 19R6</v>
      </c>
      <c r="I15642" s="1" t="s">
        <v>8</v>
      </c>
      <c r="J15642" s="1" t="str">
        <f>"41/41"</f>
        <v>41/41</v>
      </c>
      <c r="K15642" s="1" t="str">
        <f>"2026-07-29 13:18:03"</f>
        <v>2026-07-29 13:18:03</v>
      </c>
      <c r="L15642" s="1" t="str">
        <f>"2018-04-19 11:27:54"</f>
        <v>2018-04-19 11:27:54</v>
      </c>
      <c r="M15642" s="1" t="s">
        <v>0</v>
      </c>
      <c r="N15642" s="1" t="s">
        <v>38</v>
      </c>
      <c r="O15642" s="1" t="s">
        <v>46</v>
      </c>
    </row>
    <row r="15643" spans="2:15" x14ac:dyDescent="0.3">
      <c r="B15643" s="1" t="s">
        <v>19</v>
      </c>
      <c r="C15643" s="1" t="str">
        <f>"3차"</f>
        <v>3차</v>
      </c>
      <c r="D15643" s="1" t="str">
        <f>"0129W47130"</f>
        <v>0129W47130</v>
      </c>
      <c r="E15643" s="1" t="s">
        <v>10</v>
      </c>
      <c r="F15643" s="1" t="str">
        <f>"10.107.252.5"</f>
        <v>10.107.252.5</v>
      </c>
      <c r="G15643" s="1" t="str">
        <f>"0129W471"</f>
        <v>0129W471</v>
      </c>
      <c r="H15643" s="1" t="str">
        <f>"성암지 21R8"</f>
        <v>성암지 21R8</v>
      </c>
      <c r="I15643" s="1" t="s">
        <v>8</v>
      </c>
      <c r="J15643" s="1" t="str">
        <f>"54/57"</f>
        <v>54/57</v>
      </c>
      <c r="K15643" s="1" t="str">
        <f>"2026-07-29 13:18:01"</f>
        <v>2026-07-29 13:18:01</v>
      </c>
      <c r="L15643" s="1" t="str">
        <f>"2018-04-10 11:13:33"</f>
        <v>2018-04-10 11:13:33</v>
      </c>
      <c r="M15643" s="1" t="s">
        <v>45</v>
      </c>
      <c r="N15643" s="1" t="s">
        <v>38</v>
      </c>
      <c r="O15643" s="1" t="s">
        <v>46</v>
      </c>
    </row>
    <row r="15644" spans="2:15" x14ac:dyDescent="0.3">
      <c r="B15644" s="1" t="s">
        <v>19</v>
      </c>
      <c r="C15644" s="1" t="str">
        <f>"3차"</f>
        <v>3차</v>
      </c>
      <c r="D15644" s="1" t="str">
        <f>"0129W47231"</f>
        <v>0129W47231</v>
      </c>
      <c r="E15644" s="1" t="s">
        <v>10</v>
      </c>
      <c r="F15644" s="1" t="str">
        <f>"10.107.252.6"</f>
        <v>10.107.252.6</v>
      </c>
      <c r="G15644" s="1" t="str">
        <f>"0129W472"</f>
        <v>0129W472</v>
      </c>
      <c r="H15644" s="1" t="str">
        <f>"성암지 21R9"</f>
        <v>성암지 21R9</v>
      </c>
      <c r="I15644" s="1" t="s">
        <v>8</v>
      </c>
      <c r="J15644" s="1" t="str">
        <f>"16/16"</f>
        <v>16/16</v>
      </c>
      <c r="K15644" s="1" t="str">
        <f>"2026-07-29 13:18:01"</f>
        <v>2026-07-29 13:18:01</v>
      </c>
      <c r="L15644" s="1" t="str">
        <f>"2018-06-08 17:08:22"</f>
        <v>2018-06-08 17:08:22</v>
      </c>
      <c r="M15644" s="1" t="s">
        <v>45</v>
      </c>
      <c r="N15644" s="1" t="s">
        <v>38</v>
      </c>
      <c r="O15644" s="1" t="s">
        <v>46</v>
      </c>
    </row>
    <row r="15645" spans="2:15" x14ac:dyDescent="0.3">
      <c r="B15645" s="1" t="s">
        <v>19</v>
      </c>
      <c r="C15645" s="1" t="str">
        <f>"4차"</f>
        <v>4차</v>
      </c>
      <c r="D15645" s="1" t="str">
        <f>"0129W49144"</f>
        <v>0129W49144</v>
      </c>
      <c r="E15645" s="1" t="s">
        <v>10</v>
      </c>
      <c r="F15645" s="1" t="str">
        <f>"10.107.15.37"</f>
        <v>10.107.15.37</v>
      </c>
      <c r="G15645" s="1" t="str">
        <f>"0129W491"</f>
        <v>0129W491</v>
      </c>
      <c r="H15645" s="1" t="str">
        <f>"솔샘간 29R2L4"</f>
        <v>솔샘간 29R2L4</v>
      </c>
      <c r="I15645" s="1" t="s">
        <v>8</v>
      </c>
      <c r="J15645" s="1" t="str">
        <f>"62/62"</f>
        <v>62/62</v>
      </c>
      <c r="K15645" s="1" t="str">
        <f t="shared" ref="K15645:K15650" si="781">"2026-07-29 13:18:02"</f>
        <v>2026-07-29 13:18:02</v>
      </c>
      <c r="L15645" s="1" t="str">
        <f>"2019-10-24 16:54:15"</f>
        <v>2019-10-24 16:54:15</v>
      </c>
      <c r="M15645" s="1" t="s">
        <v>45</v>
      </c>
      <c r="N15645" s="1" t="s">
        <v>38</v>
      </c>
      <c r="O15645" s="1" t="s">
        <v>46</v>
      </c>
    </row>
    <row r="15646" spans="2:15" x14ac:dyDescent="0.3">
      <c r="B15646" s="1" t="s">
        <v>19</v>
      </c>
      <c r="C15646" s="1" t="str">
        <f>"4차"</f>
        <v>4차</v>
      </c>
      <c r="D15646" s="1" t="str">
        <f>"0129W49244"</f>
        <v>0129W49244</v>
      </c>
      <c r="E15646" s="1" t="s">
        <v>10</v>
      </c>
      <c r="F15646" s="1" t="str">
        <f>"10.107.15.44"</f>
        <v>10.107.15.44</v>
      </c>
      <c r="G15646" s="1" t="str">
        <f>"0129W492"</f>
        <v>0129W492</v>
      </c>
      <c r="H15646" s="1" t="str">
        <f>"솔샘간 36R9"</f>
        <v>솔샘간 36R9</v>
      </c>
      <c r="I15646" s="1" t="s">
        <v>8</v>
      </c>
      <c r="J15646" s="1" t="str">
        <f>"20/20"</f>
        <v>20/20</v>
      </c>
      <c r="K15646" s="1" t="str">
        <f t="shared" si="781"/>
        <v>2026-07-29 13:18:02</v>
      </c>
      <c r="L15646" s="1" t="str">
        <f>"2019-10-24 16:43:06"</f>
        <v>2019-10-24 16:43:06</v>
      </c>
      <c r="M15646" s="1" t="s">
        <v>45</v>
      </c>
      <c r="N15646" s="1" t="s">
        <v>38</v>
      </c>
      <c r="O15646" s="1" t="s">
        <v>46</v>
      </c>
    </row>
    <row r="15647" spans="2:15" x14ac:dyDescent="0.3">
      <c r="B15647" s="1" t="s">
        <v>19</v>
      </c>
      <c r="C15647" s="1" t="str">
        <f>"3차"</f>
        <v>3차</v>
      </c>
      <c r="D15647" s="1" t="str">
        <f>"0129W50139"</f>
        <v>0129W50139</v>
      </c>
      <c r="E15647" s="1" t="s">
        <v>10</v>
      </c>
      <c r="F15647" s="1" t="str">
        <f>"10.107.253.117"</f>
        <v>10.107.253.117</v>
      </c>
      <c r="G15647" s="1" t="str">
        <f>"0129W501"</f>
        <v>0129W501</v>
      </c>
      <c r="H15647" s="1" t="str">
        <f>"성암지 18R12B2"</f>
        <v>성암지 18R12B2</v>
      </c>
      <c r="I15647" s="1" t="s">
        <v>8</v>
      </c>
      <c r="J15647" s="1" t="str">
        <f>"28/28"</f>
        <v>28/28</v>
      </c>
      <c r="K15647" s="1" t="str">
        <f t="shared" si="781"/>
        <v>2026-07-29 13:18:02</v>
      </c>
      <c r="L15647" s="1" t="str">
        <f>"2018-08-31 14:32:54"</f>
        <v>2018-08-31 14:32:54</v>
      </c>
      <c r="M15647" s="1" t="s">
        <v>45</v>
      </c>
      <c r="N15647" s="1" t="s">
        <v>38</v>
      </c>
      <c r="O15647" s="1" t="s">
        <v>46</v>
      </c>
    </row>
    <row r="15648" spans="2:15" x14ac:dyDescent="0.3">
      <c r="B15648" s="1" t="s">
        <v>19</v>
      </c>
      <c r="C15648" s="1" t="str">
        <f>"3차"</f>
        <v>3차</v>
      </c>
      <c r="D15648" s="1" t="str">
        <f>"0129W51139"</f>
        <v>0129W51139</v>
      </c>
      <c r="E15648" s="1" t="s">
        <v>10</v>
      </c>
      <c r="F15648" s="1" t="str">
        <f>"10.107.253.118"</f>
        <v>10.107.253.118</v>
      </c>
      <c r="G15648" s="1" t="str">
        <f>"0129W511"</f>
        <v>0129W511</v>
      </c>
      <c r="H15648" s="1" t="str">
        <f>"성암지 18R12B1"</f>
        <v>성암지 18R12B1</v>
      </c>
      <c r="I15648" s="1" t="s">
        <v>8</v>
      </c>
      <c r="J15648" s="1" t="str">
        <f>"21/21"</f>
        <v>21/21</v>
      </c>
      <c r="K15648" s="1" t="str">
        <f t="shared" si="781"/>
        <v>2026-07-29 13:18:02</v>
      </c>
      <c r="L15648" s="1" t="str">
        <f>"2018-04-10 11:12:19"</f>
        <v>2018-04-10 11:12:19</v>
      </c>
      <c r="M15648" s="1" t="s">
        <v>45</v>
      </c>
      <c r="N15648" s="1" t="s">
        <v>38</v>
      </c>
      <c r="O15648" s="1" t="s">
        <v>46</v>
      </c>
    </row>
    <row r="15649" spans="2:15" x14ac:dyDescent="0.3">
      <c r="B15649" s="1" t="s">
        <v>19</v>
      </c>
      <c r="C15649" s="1" t="str">
        <f>"3차"</f>
        <v>3차</v>
      </c>
      <c r="D15649" s="1" t="str">
        <f>"0129W52139"</f>
        <v>0129W52139</v>
      </c>
      <c r="E15649" s="1" t="s">
        <v>10</v>
      </c>
      <c r="F15649" s="1" t="str">
        <f>"10.107.253.111"</f>
        <v>10.107.253.111</v>
      </c>
      <c r="G15649" s="1" t="str">
        <f>"0129W521"</f>
        <v>0129W521</v>
      </c>
      <c r="H15649" s="1" t="str">
        <f>"성암지 18R12R1"</f>
        <v>성암지 18R12R1</v>
      </c>
      <c r="I15649" s="1" t="s">
        <v>8</v>
      </c>
      <c r="J15649" s="1" t="str">
        <f>"44/44"</f>
        <v>44/44</v>
      </c>
      <c r="K15649" s="1" t="str">
        <f t="shared" si="781"/>
        <v>2026-07-29 13:18:02</v>
      </c>
      <c r="L15649" s="1" t="str">
        <f>"2018-06-19 12:39:04"</f>
        <v>2018-06-19 12:39:04</v>
      </c>
      <c r="M15649" s="1" t="s">
        <v>45</v>
      </c>
      <c r="N15649" s="1" t="s">
        <v>38</v>
      </c>
      <c r="O15649" s="1" t="s">
        <v>46</v>
      </c>
    </row>
    <row r="15650" spans="2:15" x14ac:dyDescent="0.3">
      <c r="B15650" s="1" t="s">
        <v>19</v>
      </c>
      <c r="C15650" s="1" t="str">
        <f>"3차"</f>
        <v>3차</v>
      </c>
      <c r="D15650" s="1" t="str">
        <f>"0129W52239"</f>
        <v>0129W52239</v>
      </c>
      <c r="E15650" s="1" t="s">
        <v>10</v>
      </c>
      <c r="F15650" s="1" t="str">
        <f>"10.107.253.123"</f>
        <v>10.107.253.123</v>
      </c>
      <c r="G15650" s="1" t="str">
        <f>"0129W522"</f>
        <v>0129W522</v>
      </c>
      <c r="H15650" s="1" t="str">
        <f>"성암지 18R12R2"</f>
        <v>성암지 18R12R2</v>
      </c>
      <c r="I15650" s="1" t="s">
        <v>8</v>
      </c>
      <c r="J15650" s="1" t="str">
        <f>"9/9"</f>
        <v>9/9</v>
      </c>
      <c r="K15650" s="1" t="str">
        <f t="shared" si="781"/>
        <v>2026-07-29 13:18:02</v>
      </c>
      <c r="L15650" s="1" t="str">
        <f>"2019-03-26 14:50:18"</f>
        <v>2019-03-26 14:50:18</v>
      </c>
      <c r="M15650" s="1" t="s">
        <v>45</v>
      </c>
      <c r="N15650" s="1" t="s">
        <v>38</v>
      </c>
      <c r="O15650" s="1" t="s">
        <v>46</v>
      </c>
    </row>
    <row r="15651" spans="2:15" x14ac:dyDescent="0.3">
      <c r="B15651" s="1" t="s">
        <v>19</v>
      </c>
      <c r="C15651" s="1" t="str">
        <f>"4차"</f>
        <v>4차</v>
      </c>
      <c r="D15651" s="1" t="str">
        <f>"0129W52331"</f>
        <v>0129W52331</v>
      </c>
      <c r="E15651" s="1" t="s">
        <v>10</v>
      </c>
      <c r="F15651" s="1" t="str">
        <f>"10.12.129.98"</f>
        <v>10.12.129.98</v>
      </c>
      <c r="G15651" s="1" t="str">
        <f>"0129W523"</f>
        <v>0129W523</v>
      </c>
      <c r="H15651" s="1" t="str">
        <f>"성암지 18R12"</f>
        <v>성암지 18R12</v>
      </c>
      <c r="I15651" s="1" t="s">
        <v>8</v>
      </c>
      <c r="J15651" s="1" t="str">
        <f>"16/16"</f>
        <v>16/16</v>
      </c>
      <c r="K15651" s="1" t="str">
        <f>"2026-07-29 13:18:01"</f>
        <v>2026-07-29 13:18:01</v>
      </c>
      <c r="L15651" s="1" t="str">
        <f>"2018-06-08 16:19:12"</f>
        <v>2018-06-08 16:19:12</v>
      </c>
      <c r="M15651" s="1" t="s">
        <v>0</v>
      </c>
      <c r="N15651" s="1" t="s">
        <v>38</v>
      </c>
      <c r="O15651" s="1" t="s">
        <v>46</v>
      </c>
    </row>
    <row r="15652" spans="2:15" x14ac:dyDescent="0.3">
      <c r="B15652" s="1" t="s">
        <v>19</v>
      </c>
      <c r="C15652" s="1" t="str">
        <f>"3차"</f>
        <v>3차</v>
      </c>
      <c r="D15652" s="1" t="str">
        <f>"0129W54139"</f>
        <v>0129W54139</v>
      </c>
      <c r="E15652" s="1" t="s">
        <v>10</v>
      </c>
      <c r="F15652" s="1" t="str">
        <f>"10.107.253.124"</f>
        <v>10.107.253.124</v>
      </c>
      <c r="G15652" s="1" t="str">
        <f>"0129W541"</f>
        <v>0129W541</v>
      </c>
      <c r="H15652" s="1" t="str">
        <f>"성암지 18R19"</f>
        <v>성암지 18R19</v>
      </c>
      <c r="I15652" s="1" t="s">
        <v>8</v>
      </c>
      <c r="J15652" s="1" t="str">
        <f>"14/14"</f>
        <v>14/14</v>
      </c>
      <c r="K15652" s="1" t="str">
        <f>"2026-07-29 13:18:02"</f>
        <v>2026-07-29 13:18:02</v>
      </c>
      <c r="L15652" s="1" t="str">
        <f>"2018-04-10 11:20:29"</f>
        <v>2018-04-10 11:20:29</v>
      </c>
      <c r="M15652" s="1" t="s">
        <v>45</v>
      </c>
      <c r="N15652" s="1" t="s">
        <v>38</v>
      </c>
      <c r="O15652" s="1" t="s">
        <v>46</v>
      </c>
    </row>
    <row r="15653" spans="2:15" x14ac:dyDescent="0.3">
      <c r="B15653" s="1" t="s">
        <v>19</v>
      </c>
      <c r="C15653" s="1" t="str">
        <f>"3차"</f>
        <v>3차</v>
      </c>
      <c r="D15653" s="1" t="str">
        <f>"0129W54330"</f>
        <v>0129W54330</v>
      </c>
      <c r="E15653" s="1" t="s">
        <v>10</v>
      </c>
      <c r="F15653" s="1" t="str">
        <f>"10.107.252.7"</f>
        <v>10.107.252.7</v>
      </c>
      <c r="G15653" s="1" t="str">
        <f>"0129W543"</f>
        <v>0129W543</v>
      </c>
      <c r="H15653" s="1" t="str">
        <f>"솔샘간 36R3L1"</f>
        <v>솔샘간 36R3L1</v>
      </c>
      <c r="I15653" s="1" t="s">
        <v>8</v>
      </c>
      <c r="J15653" s="1" t="str">
        <f>"12/12"</f>
        <v>12/12</v>
      </c>
      <c r="K15653" s="1" t="str">
        <f>"2026-07-29 13:18:02"</f>
        <v>2026-07-29 13:18:02</v>
      </c>
      <c r="L15653" s="1" t="str">
        <f>"2018-04-10 11:12:11"</f>
        <v>2018-04-10 11:12:11</v>
      </c>
      <c r="M15653" s="1" t="s">
        <v>45</v>
      </c>
      <c r="N15653" s="1" t="s">
        <v>38</v>
      </c>
      <c r="O15653" s="1" t="s">
        <v>46</v>
      </c>
    </row>
    <row r="15654" spans="2:15" x14ac:dyDescent="0.3">
      <c r="B15654" s="1" t="s">
        <v>19</v>
      </c>
      <c r="C15654" s="1" t="str">
        <f>"4차"</f>
        <v>4차</v>
      </c>
      <c r="D15654" s="1" t="str">
        <f>"0129W55131"</f>
        <v>0129W55131</v>
      </c>
      <c r="E15654" s="1" t="s">
        <v>10</v>
      </c>
      <c r="F15654" s="1" t="str">
        <f>"10.12.131.238"</f>
        <v>10.12.131.238</v>
      </c>
      <c r="G15654" s="1" t="str">
        <f>"0129W551"</f>
        <v>0129W551</v>
      </c>
      <c r="H15654" s="1" t="str">
        <f>"솔샘간 36R3"</f>
        <v>솔샘간 36R3</v>
      </c>
      <c r="I15654" s="1" t="s">
        <v>8</v>
      </c>
      <c r="J15654" s="1" t="str">
        <f>"13/13"</f>
        <v>13/13</v>
      </c>
      <c r="K15654" s="1" t="str">
        <f>"2026-07-28 20:03:27"</f>
        <v>2026-07-28 20:03:27</v>
      </c>
      <c r="L15654" s="1" t="str">
        <f>"2023-08-24 16:15:47"</f>
        <v>2023-08-24 16:15:47</v>
      </c>
      <c r="M15654" s="1" t="s">
        <v>0</v>
      </c>
      <c r="N15654" s="1" t="s">
        <v>38</v>
      </c>
      <c r="O15654" s="1" t="s">
        <v>46</v>
      </c>
    </row>
    <row r="15655" spans="2:15" x14ac:dyDescent="0.3">
      <c r="B15655" s="1" t="s">
        <v>19</v>
      </c>
      <c r="C15655" s="1" t="str">
        <f>"3차"</f>
        <v>3차</v>
      </c>
      <c r="D15655" s="1" t="str">
        <f>"0129W56139"</f>
        <v>0129W56139</v>
      </c>
      <c r="E15655" s="1" t="s">
        <v>10</v>
      </c>
      <c r="F15655" s="1" t="str">
        <f>"10.107.253.105"</f>
        <v>10.107.253.105</v>
      </c>
      <c r="G15655" s="1" t="str">
        <f>"0129W561"</f>
        <v>0129W561</v>
      </c>
      <c r="H15655" s="1" t="str">
        <f>"솔샘간 36R4"</f>
        <v>솔샘간 36R4</v>
      </c>
      <c r="I15655" s="1" t="s">
        <v>8</v>
      </c>
      <c r="J15655" s="1" t="str">
        <f>"69/71"</f>
        <v>69/71</v>
      </c>
      <c r="K15655" s="1" t="str">
        <f t="shared" ref="K15655:K15661" si="782">"2026-07-29 13:18:02"</f>
        <v>2026-07-29 13:18:02</v>
      </c>
      <c r="L15655" s="1" t="str">
        <f>"2018-04-10 17:52:44"</f>
        <v>2018-04-10 17:52:44</v>
      </c>
      <c r="M15655" s="1" t="s">
        <v>45</v>
      </c>
      <c r="N15655" s="1" t="s">
        <v>38</v>
      </c>
      <c r="O15655" s="1" t="s">
        <v>46</v>
      </c>
    </row>
    <row r="15656" spans="2:15" x14ac:dyDescent="0.3">
      <c r="B15656" s="1" t="s">
        <v>19</v>
      </c>
      <c r="C15656" s="1" t="str">
        <f>"4차"</f>
        <v>4차</v>
      </c>
      <c r="D15656" s="1" t="str">
        <f>"0129W57244"</f>
        <v>0129W57244</v>
      </c>
      <c r="E15656" s="1" t="s">
        <v>10</v>
      </c>
      <c r="F15656" s="1" t="str">
        <f>"10.107.15.42"</f>
        <v>10.107.15.42</v>
      </c>
      <c r="G15656" s="1" t="str">
        <f>"0129W572"</f>
        <v>0129W572</v>
      </c>
      <c r="H15656" s="1" t="str">
        <f>"솔샘간 34R3"</f>
        <v>솔샘간 34R3</v>
      </c>
      <c r="I15656" s="1" t="s">
        <v>8</v>
      </c>
      <c r="J15656" s="1" t="str">
        <f>"29/29"</f>
        <v>29/29</v>
      </c>
      <c r="K15656" s="1" t="str">
        <f t="shared" si="782"/>
        <v>2026-07-29 13:18:02</v>
      </c>
      <c r="L15656" s="1" t="str">
        <f>"2019-11-06 18:28:44"</f>
        <v>2019-11-06 18:28:44</v>
      </c>
      <c r="M15656" s="1" t="s">
        <v>45</v>
      </c>
      <c r="N15656" s="1" t="s">
        <v>38</v>
      </c>
      <c r="O15656" s="1" t="s">
        <v>46</v>
      </c>
    </row>
    <row r="15657" spans="2:15" x14ac:dyDescent="0.3">
      <c r="B15657" s="1" t="s">
        <v>19</v>
      </c>
      <c r="C15657" s="1" t="str">
        <f>"4차"</f>
        <v>4차</v>
      </c>
      <c r="D15657" s="1" t="str">
        <f>"0129W58344"</f>
        <v>0129W58344</v>
      </c>
      <c r="E15657" s="1" t="s">
        <v>10</v>
      </c>
      <c r="F15657" s="1" t="str">
        <f>"10.107.121.254"</f>
        <v>10.107.121.254</v>
      </c>
      <c r="G15657" s="1" t="str">
        <f>"0129W583"</f>
        <v>0129W583</v>
      </c>
      <c r="H15657" s="1" t="str">
        <f>"솔샘간 36R7"</f>
        <v>솔샘간 36R7</v>
      </c>
      <c r="I15657" s="1" t="s">
        <v>8</v>
      </c>
      <c r="J15657" s="1" t="str">
        <f>"36/36"</f>
        <v>36/36</v>
      </c>
      <c r="K15657" s="1" t="str">
        <f t="shared" si="782"/>
        <v>2026-07-29 13:18:02</v>
      </c>
      <c r="L15657" s="1" t="str">
        <f>"2019-11-06 18:29:59"</f>
        <v>2019-11-06 18:29:59</v>
      </c>
      <c r="M15657" s="1" t="s">
        <v>45</v>
      </c>
      <c r="N15657" s="1" t="s">
        <v>38</v>
      </c>
      <c r="O15657" s="1" t="s">
        <v>46</v>
      </c>
    </row>
    <row r="15658" spans="2:15" x14ac:dyDescent="0.3">
      <c r="B15658" s="1" t="s">
        <v>19</v>
      </c>
      <c r="C15658" s="1" t="str">
        <f>"4차"</f>
        <v>4차</v>
      </c>
      <c r="D15658" s="1" t="str">
        <f>"0129W60139"</f>
        <v>0129W60139</v>
      </c>
      <c r="E15658" s="1" t="s">
        <v>10</v>
      </c>
      <c r="F15658" s="1" t="str">
        <f>"10.107.123.239"</f>
        <v>10.107.123.239</v>
      </c>
      <c r="G15658" s="1" t="str">
        <f>"0129W601"</f>
        <v>0129W601</v>
      </c>
      <c r="H15658" s="1" t="str">
        <f>"성암지 4R5"</f>
        <v>성암지 4R5</v>
      </c>
      <c r="I15658" s="1" t="s">
        <v>8</v>
      </c>
      <c r="J15658" s="1" t="str">
        <f>"41/41"</f>
        <v>41/41</v>
      </c>
      <c r="K15658" s="1" t="str">
        <f t="shared" si="782"/>
        <v>2026-07-29 13:18:02</v>
      </c>
      <c r="L15658" s="1" t="str">
        <f>"2018-03-23 15:17:27"</f>
        <v>2018-03-23 15:17:27</v>
      </c>
      <c r="M15658" s="1" t="s">
        <v>45</v>
      </c>
      <c r="N15658" s="1" t="s">
        <v>38</v>
      </c>
      <c r="O15658" s="1" t="s">
        <v>46</v>
      </c>
    </row>
    <row r="15659" spans="2:15" x14ac:dyDescent="0.3">
      <c r="B15659" s="1" t="s">
        <v>19</v>
      </c>
      <c r="C15659" s="1" t="str">
        <f t="shared" ref="C15659:C15667" si="783">"3차"</f>
        <v>3차</v>
      </c>
      <c r="D15659" s="1" t="str">
        <f>"0129W60239"</f>
        <v>0129W60239</v>
      </c>
      <c r="E15659" s="1" t="s">
        <v>10</v>
      </c>
      <c r="F15659" s="1" t="str">
        <f>"10.107.123.240"</f>
        <v>10.107.123.240</v>
      </c>
      <c r="G15659" s="1" t="str">
        <f>"0129W602"</f>
        <v>0129W602</v>
      </c>
      <c r="H15659" s="1" t="str">
        <f>"성암지 4R4"</f>
        <v>성암지 4R4</v>
      </c>
      <c r="I15659" s="1" t="s">
        <v>8</v>
      </c>
      <c r="J15659" s="1" t="str">
        <f>"47/47"</f>
        <v>47/47</v>
      </c>
      <c r="K15659" s="1" t="str">
        <f t="shared" si="782"/>
        <v>2026-07-29 13:18:02</v>
      </c>
      <c r="L15659" s="1" t="str">
        <f>"2018-03-23 14:08:32"</f>
        <v>2018-03-23 14:08:32</v>
      </c>
      <c r="M15659" s="1" t="s">
        <v>45</v>
      </c>
      <c r="N15659" s="1" t="s">
        <v>38</v>
      </c>
      <c r="O15659" s="1" t="s">
        <v>46</v>
      </c>
    </row>
    <row r="15660" spans="2:15" x14ac:dyDescent="0.3">
      <c r="B15660" s="1" t="s">
        <v>19</v>
      </c>
      <c r="C15660" s="1" t="str">
        <f t="shared" si="783"/>
        <v>3차</v>
      </c>
      <c r="D15660" s="1" t="str">
        <f>"0129W61139"</f>
        <v>0129W61139</v>
      </c>
      <c r="E15660" s="1" t="s">
        <v>10</v>
      </c>
      <c r="F15660" s="1" t="str">
        <f>"10.107.253.115"</f>
        <v>10.107.253.115</v>
      </c>
      <c r="G15660" s="1" t="str">
        <f>"0129W611"</f>
        <v>0129W611</v>
      </c>
      <c r="H15660" s="1" t="str">
        <f>"솔샘간 36R3L6R2"</f>
        <v>솔샘간 36R3L6R2</v>
      </c>
      <c r="I15660" s="1" t="s">
        <v>8</v>
      </c>
      <c r="J15660" s="1" t="str">
        <f>"15/15"</f>
        <v>15/15</v>
      </c>
      <c r="K15660" s="1" t="str">
        <f t="shared" si="782"/>
        <v>2026-07-29 13:18:02</v>
      </c>
      <c r="L15660" s="1" t="str">
        <f>"2018-04-10 11:18:58"</f>
        <v>2018-04-10 11:18:58</v>
      </c>
      <c r="M15660" s="1" t="s">
        <v>45</v>
      </c>
      <c r="N15660" s="1" t="s">
        <v>38</v>
      </c>
      <c r="O15660" s="1" t="s">
        <v>46</v>
      </c>
    </row>
    <row r="15661" spans="2:15" x14ac:dyDescent="0.3">
      <c r="B15661" s="1" t="s">
        <v>19</v>
      </c>
      <c r="C15661" s="1" t="str">
        <f t="shared" si="783"/>
        <v>3차</v>
      </c>
      <c r="D15661" s="1" t="str">
        <f>"0129W61639"</f>
        <v>0129W61639</v>
      </c>
      <c r="E15661" s="1" t="s">
        <v>10</v>
      </c>
      <c r="F15661" s="1" t="str">
        <f>"10.107.253.114"</f>
        <v>10.107.253.114</v>
      </c>
      <c r="G15661" s="1" t="str">
        <f>"0129W616"</f>
        <v>0129W616</v>
      </c>
      <c r="H15661" s="1" t="str">
        <f>"솔샘간 36R3L6R3"</f>
        <v>솔샘간 36R3L6R3</v>
      </c>
      <c r="I15661" s="1" t="s">
        <v>8</v>
      </c>
      <c r="J15661" s="1" t="str">
        <f>"21/21"</f>
        <v>21/21</v>
      </c>
      <c r="K15661" s="1" t="str">
        <f t="shared" si="782"/>
        <v>2026-07-29 13:18:02</v>
      </c>
      <c r="L15661" s="1" t="str">
        <f>"2018-04-10 11:14:13"</f>
        <v>2018-04-10 11:14:13</v>
      </c>
      <c r="M15661" s="1" t="s">
        <v>45</v>
      </c>
      <c r="N15661" s="1" t="s">
        <v>38</v>
      </c>
      <c r="O15661" s="1" t="s">
        <v>46</v>
      </c>
    </row>
    <row r="15662" spans="2:15" x14ac:dyDescent="0.3">
      <c r="B15662" s="1" t="s">
        <v>19</v>
      </c>
      <c r="C15662" s="1" t="str">
        <f t="shared" si="783"/>
        <v>3차</v>
      </c>
      <c r="D15662" s="1" t="str">
        <f>"0129W62139"</f>
        <v>0129W62139</v>
      </c>
      <c r="E15662" s="1" t="s">
        <v>10</v>
      </c>
      <c r="F15662" s="1" t="str">
        <f>"10.107.253.113"</f>
        <v>10.107.253.113</v>
      </c>
      <c r="G15662" s="1" t="str">
        <f>"0129W621"</f>
        <v>0129W621</v>
      </c>
      <c r="H15662" s="1" t="str">
        <f>"솔샘간 36R3L4"</f>
        <v>솔샘간 36R3L4</v>
      </c>
      <c r="I15662" s="1" t="s">
        <v>8</v>
      </c>
      <c r="J15662" s="1" t="str">
        <f>"5/5"</f>
        <v>5/5</v>
      </c>
      <c r="K15662" s="1" t="str">
        <f>"2026-07-29 13:18:01"</f>
        <v>2026-07-29 13:18:01</v>
      </c>
      <c r="L15662" s="1" t="str">
        <f>"2018-04-10 11:17:57"</f>
        <v>2018-04-10 11:17:57</v>
      </c>
      <c r="M15662" s="1" t="s">
        <v>45</v>
      </c>
      <c r="N15662" s="1" t="s">
        <v>38</v>
      </c>
      <c r="O15662" s="1" t="s">
        <v>46</v>
      </c>
    </row>
    <row r="15663" spans="2:15" x14ac:dyDescent="0.3">
      <c r="B15663" s="1" t="s">
        <v>19</v>
      </c>
      <c r="C15663" s="1" t="str">
        <f t="shared" si="783"/>
        <v>3차</v>
      </c>
      <c r="D15663" s="1" t="str">
        <f>"0129W64132"</f>
        <v>0129W64132</v>
      </c>
      <c r="E15663" s="1" t="s">
        <v>10</v>
      </c>
      <c r="F15663" s="1" t="str">
        <f>"10.107.252.9"</f>
        <v>10.107.252.9</v>
      </c>
      <c r="G15663" s="1" t="str">
        <f>"0129W641"</f>
        <v>0129W641</v>
      </c>
      <c r="H15663" s="1" t="str">
        <f>"솔샘간 36R3L2"</f>
        <v>솔샘간 36R3L2</v>
      </c>
      <c r="I15663" s="1" t="s">
        <v>8</v>
      </c>
      <c r="J15663" s="1" t="str">
        <f>"5/5"</f>
        <v>5/5</v>
      </c>
      <c r="K15663" s="1" t="str">
        <f>"2026-07-29 13:18:02"</f>
        <v>2026-07-29 13:18:02</v>
      </c>
      <c r="L15663" s="1" t="str">
        <f>"2018-06-08 16:56:16"</f>
        <v>2018-06-08 16:56:16</v>
      </c>
      <c r="M15663" s="1" t="s">
        <v>45</v>
      </c>
      <c r="N15663" s="1" t="s">
        <v>38</v>
      </c>
      <c r="O15663" s="1" t="s">
        <v>46</v>
      </c>
    </row>
    <row r="15664" spans="2:15" x14ac:dyDescent="0.3">
      <c r="B15664" s="1" t="s">
        <v>19</v>
      </c>
      <c r="C15664" s="1" t="str">
        <f t="shared" si="783"/>
        <v>3차</v>
      </c>
      <c r="D15664" s="1" t="str">
        <f>"0129W70339"</f>
        <v>0129W70339</v>
      </c>
      <c r="E15664" s="1" t="s">
        <v>14</v>
      </c>
      <c r="F15664" s="1" t="str">
        <f>"10.107.6.82"</f>
        <v>10.107.6.82</v>
      </c>
      <c r="G15664" s="1" t="str">
        <f>"0129W703"</f>
        <v>0129W703</v>
      </c>
      <c r="H15664" s="1" t="str">
        <f>"솔샘간 36R3L9"</f>
        <v>솔샘간 36R3L9</v>
      </c>
      <c r="I15664" s="1" t="s">
        <v>8</v>
      </c>
      <c r="J15664" s="1" t="str">
        <f>"0/0"</f>
        <v>0/0</v>
      </c>
      <c r="K15664" s="1" t="str">
        <f>"2021-08-28 21:20:10"</f>
        <v>2021-08-28 21:20:10</v>
      </c>
      <c r="L15664" s="1" t="str">
        <f>"2018-03-23 14:03:29"</f>
        <v>2018-03-23 14:03:29</v>
      </c>
      <c r="M15664" s="1" t="s">
        <v>45</v>
      </c>
      <c r="N15664" s="1" t="s">
        <v>44</v>
      </c>
      <c r="O15664" s="1" t="s">
        <v>44</v>
      </c>
    </row>
    <row r="15665" spans="2:15" x14ac:dyDescent="0.3">
      <c r="B15665" s="1" t="s">
        <v>19</v>
      </c>
      <c r="C15665" s="1" t="str">
        <f t="shared" si="783"/>
        <v>3차</v>
      </c>
      <c r="D15665" s="1" t="str">
        <f>"0129W71139"</f>
        <v>0129W71139</v>
      </c>
      <c r="E15665" s="1" t="s">
        <v>10</v>
      </c>
      <c r="F15665" s="1" t="str">
        <f>"10.107.120.186"</f>
        <v>10.107.120.186</v>
      </c>
      <c r="G15665" s="1" t="str">
        <f>"0129W711"</f>
        <v>0129W711</v>
      </c>
      <c r="H15665" s="1" t="str">
        <f>"솔샘간 36R3L7"</f>
        <v>솔샘간 36R3L7</v>
      </c>
      <c r="I15665" s="1" t="s">
        <v>8</v>
      </c>
      <c r="J15665" s="1" t="str">
        <f>"17/17"</f>
        <v>17/17</v>
      </c>
      <c r="K15665" s="1" t="str">
        <f t="shared" ref="K15665:K15677" si="784">"2026-07-29 13:18:02"</f>
        <v>2026-07-29 13:18:02</v>
      </c>
      <c r="L15665" s="1" t="str">
        <f>"2021-03-12 10:54:48"</f>
        <v>2021-03-12 10:54:48</v>
      </c>
      <c r="M15665" s="1" t="s">
        <v>45</v>
      </c>
      <c r="N15665" s="1" t="s">
        <v>38</v>
      </c>
      <c r="O15665" s="1" t="s">
        <v>46</v>
      </c>
    </row>
    <row r="15666" spans="2:15" x14ac:dyDescent="0.3">
      <c r="B15666" s="1" t="s">
        <v>19</v>
      </c>
      <c r="C15666" s="1" t="str">
        <f t="shared" si="783"/>
        <v>3차</v>
      </c>
      <c r="D15666" s="1" t="str">
        <f>"0129W72139"</f>
        <v>0129W72139</v>
      </c>
      <c r="E15666" s="1" t="s">
        <v>10</v>
      </c>
      <c r="F15666" s="1" t="str">
        <f>"10.107.253.116"</f>
        <v>10.107.253.116</v>
      </c>
      <c r="G15666" s="1" t="str">
        <f>"0129W721"</f>
        <v>0129W721</v>
      </c>
      <c r="H15666" s="1" t="str">
        <f>"솔샘간 36R3L5"</f>
        <v>솔샘간 36R3L5</v>
      </c>
      <c r="I15666" s="1" t="s">
        <v>8</v>
      </c>
      <c r="J15666" s="1" t="str">
        <f>"16/16"</f>
        <v>16/16</v>
      </c>
      <c r="K15666" s="1" t="str">
        <f t="shared" si="784"/>
        <v>2026-07-29 13:18:02</v>
      </c>
      <c r="L15666" s="1" t="str">
        <f>"2018-04-10 11:34:56"</f>
        <v>2018-04-10 11:34:56</v>
      </c>
      <c r="M15666" s="1" t="s">
        <v>45</v>
      </c>
      <c r="N15666" s="1" t="s">
        <v>38</v>
      </c>
      <c r="O15666" s="1" t="s">
        <v>46</v>
      </c>
    </row>
    <row r="15667" spans="2:15" x14ac:dyDescent="0.3">
      <c r="B15667" s="1" t="s">
        <v>19</v>
      </c>
      <c r="C15667" s="1" t="str">
        <f t="shared" si="783"/>
        <v>3차</v>
      </c>
      <c r="D15667" s="1" t="str">
        <f>"0129W74139"</f>
        <v>0129W74139</v>
      </c>
      <c r="E15667" s="1" t="s">
        <v>10</v>
      </c>
      <c r="F15667" s="1" t="str">
        <f>"10.107.120.184"</f>
        <v>10.107.120.184</v>
      </c>
      <c r="G15667" s="1" t="str">
        <f>"0129W741"</f>
        <v>0129W741</v>
      </c>
      <c r="H15667" s="1" t="str">
        <f>"솔샘간 38"</f>
        <v>솔샘간 38</v>
      </c>
      <c r="I15667" s="1" t="s">
        <v>8</v>
      </c>
      <c r="J15667" s="1" t="str">
        <f>"15/15"</f>
        <v>15/15</v>
      </c>
      <c r="K15667" s="1" t="str">
        <f t="shared" si="784"/>
        <v>2026-07-29 13:18:02</v>
      </c>
      <c r="L15667" s="1" t="str">
        <f>"2018-03-23 14:06:11"</f>
        <v>2018-03-23 14:06:11</v>
      </c>
      <c r="M15667" s="1" t="s">
        <v>45</v>
      </c>
      <c r="N15667" s="1" t="s">
        <v>38</v>
      </c>
      <c r="O15667" s="1" t="s">
        <v>46</v>
      </c>
    </row>
    <row r="15668" spans="2:15" x14ac:dyDescent="0.3">
      <c r="B15668" s="1" t="s">
        <v>19</v>
      </c>
      <c r="C15668" s="1" t="str">
        <f>"4차"</f>
        <v>4차</v>
      </c>
      <c r="D15668" s="1" t="str">
        <f>"0129W78144"</f>
        <v>0129W78144</v>
      </c>
      <c r="E15668" s="1" t="s">
        <v>10</v>
      </c>
      <c r="F15668" s="1" t="str">
        <f>"10.107.121.226"</f>
        <v>10.107.121.226</v>
      </c>
      <c r="G15668" s="1" t="str">
        <f>"0129W781"</f>
        <v>0129W781</v>
      </c>
      <c r="H15668" s="1" t="str">
        <f>"신일간 43L2"</f>
        <v>신일간 43L2</v>
      </c>
      <c r="I15668" s="1" t="s">
        <v>8</v>
      </c>
      <c r="J15668" s="1" t="str">
        <f>"39/39"</f>
        <v>39/39</v>
      </c>
      <c r="K15668" s="1" t="str">
        <f t="shared" si="784"/>
        <v>2026-07-29 13:18:02</v>
      </c>
      <c r="L15668" s="1" t="str">
        <f>"2019-11-12 14:13:04"</f>
        <v>2019-11-12 14:13:04</v>
      </c>
      <c r="M15668" s="1" t="s">
        <v>45</v>
      </c>
      <c r="N15668" s="1" t="s">
        <v>38</v>
      </c>
      <c r="O15668" s="1" t="s">
        <v>46</v>
      </c>
    </row>
    <row r="15669" spans="2:15" x14ac:dyDescent="0.3">
      <c r="B15669" s="1" t="s">
        <v>19</v>
      </c>
      <c r="C15669" s="1" t="str">
        <f>"3차"</f>
        <v>3차</v>
      </c>
      <c r="D15669" s="1" t="str">
        <f>"0129W80239"</f>
        <v>0129W80239</v>
      </c>
      <c r="E15669" s="1" t="s">
        <v>10</v>
      </c>
      <c r="F15669" s="1" t="str">
        <f>"10.107.120.185"</f>
        <v>10.107.120.185</v>
      </c>
      <c r="G15669" s="1" t="str">
        <f>"0129W802"</f>
        <v>0129W802</v>
      </c>
      <c r="H15669" s="1" t="str">
        <f>"솔샘간 36R3L8L3"</f>
        <v>솔샘간 36R3L8L3</v>
      </c>
      <c r="I15669" s="1" t="s">
        <v>8</v>
      </c>
      <c r="J15669" s="1" t="str">
        <f>"5/5"</f>
        <v>5/5</v>
      </c>
      <c r="K15669" s="1" t="str">
        <f t="shared" si="784"/>
        <v>2026-07-29 13:18:02</v>
      </c>
      <c r="L15669" s="1" t="str">
        <f>"2018-03-23 14:26:11"</f>
        <v>2018-03-23 14:26:11</v>
      </c>
      <c r="M15669" s="1" t="s">
        <v>45</v>
      </c>
      <c r="N15669" s="1" t="s">
        <v>38</v>
      </c>
      <c r="O15669" s="1" t="s">
        <v>46</v>
      </c>
    </row>
    <row r="15670" spans="2:15" x14ac:dyDescent="0.3">
      <c r="B15670" s="1" t="s">
        <v>19</v>
      </c>
      <c r="C15670" s="1" t="str">
        <f>"4차"</f>
        <v>4차</v>
      </c>
      <c r="D15670" s="1" t="str">
        <f>"0129W85144"</f>
        <v>0129W85144</v>
      </c>
      <c r="E15670" s="1" t="s">
        <v>10</v>
      </c>
      <c r="F15670" s="1" t="str">
        <f>"10.107.121.227"</f>
        <v>10.107.121.227</v>
      </c>
      <c r="G15670" s="1" t="str">
        <f>"0129W851"</f>
        <v>0129W851</v>
      </c>
      <c r="H15670" s="1" t="str">
        <f>"신일간 43L6R1"</f>
        <v>신일간 43L6R1</v>
      </c>
      <c r="I15670" s="1" t="s">
        <v>8</v>
      </c>
      <c r="J15670" s="1" t="str">
        <f>"18/18"</f>
        <v>18/18</v>
      </c>
      <c r="K15670" s="1" t="str">
        <f t="shared" si="784"/>
        <v>2026-07-29 13:18:02</v>
      </c>
      <c r="L15670" s="1" t="str">
        <f>"2019-11-12 14:17:19"</f>
        <v>2019-11-12 14:17:19</v>
      </c>
      <c r="M15670" s="1" t="s">
        <v>45</v>
      </c>
      <c r="N15670" s="1" t="s">
        <v>38</v>
      </c>
      <c r="O15670" s="1" t="s">
        <v>46</v>
      </c>
    </row>
    <row r="15671" spans="2:15" x14ac:dyDescent="0.3">
      <c r="B15671" s="1" t="s">
        <v>19</v>
      </c>
      <c r="C15671" s="1" t="str">
        <f>"3차"</f>
        <v>3차</v>
      </c>
      <c r="D15671" s="1" t="str">
        <f>"0129W85239"</f>
        <v>0129W85239</v>
      </c>
      <c r="E15671" s="1" t="s">
        <v>10</v>
      </c>
      <c r="F15671" s="1" t="str">
        <f>"10.12.135.215"</f>
        <v>10.12.135.215</v>
      </c>
      <c r="G15671" s="1" t="str">
        <f>"0129W852"</f>
        <v>0129W852</v>
      </c>
      <c r="H15671" s="1" t="str">
        <f>"신일간 43L6HR1"</f>
        <v>신일간 43L6HR1</v>
      </c>
      <c r="I15671" s="1" t="s">
        <v>8</v>
      </c>
      <c r="J15671" s="1" t="str">
        <f>"32/32"</f>
        <v>32/32</v>
      </c>
      <c r="K15671" s="1" t="str">
        <f t="shared" si="784"/>
        <v>2026-07-29 13:18:02</v>
      </c>
      <c r="L15671" s="1" t="str">
        <f>"2018-06-05 16:38:45"</f>
        <v>2018-06-05 16:38:45</v>
      </c>
      <c r="M15671" s="1" t="s">
        <v>0</v>
      </c>
      <c r="N15671" s="1" t="s">
        <v>38</v>
      </c>
      <c r="O15671" s="1" t="s">
        <v>46</v>
      </c>
    </row>
    <row r="15672" spans="2:15" x14ac:dyDescent="0.3">
      <c r="B15672" s="1" t="s">
        <v>19</v>
      </c>
      <c r="C15672" s="1" t="str">
        <f>"4차"</f>
        <v>4차</v>
      </c>
      <c r="D15672" s="1" t="str">
        <f>"0129W87344"</f>
        <v>0129W87344</v>
      </c>
      <c r="E15672" s="1" t="s">
        <v>10</v>
      </c>
      <c r="F15672" s="1" t="str">
        <f>"10.107.121.228"</f>
        <v>10.107.121.228</v>
      </c>
      <c r="G15672" s="1" t="str">
        <f>"0129W873"</f>
        <v>0129W873</v>
      </c>
      <c r="H15672" s="1" t="str">
        <f>"신일간 43L5"</f>
        <v>신일간 43L5</v>
      </c>
      <c r="I15672" s="1" t="s">
        <v>8</v>
      </c>
      <c r="J15672" s="1" t="str">
        <f>"40/40"</f>
        <v>40/40</v>
      </c>
      <c r="K15672" s="1" t="str">
        <f t="shared" si="784"/>
        <v>2026-07-29 13:18:02</v>
      </c>
      <c r="L15672" s="1" t="str">
        <f>"2019-11-12 14:09:47"</f>
        <v>2019-11-12 14:09:47</v>
      </c>
      <c r="M15672" s="1" t="s">
        <v>45</v>
      </c>
      <c r="N15672" s="1" t="s">
        <v>38</v>
      </c>
      <c r="O15672" s="1" t="s">
        <v>46</v>
      </c>
    </row>
    <row r="15673" spans="2:15" x14ac:dyDescent="0.3">
      <c r="B15673" s="1" t="s">
        <v>19</v>
      </c>
      <c r="C15673" s="1" t="str">
        <f>"4차"</f>
        <v>4차</v>
      </c>
      <c r="D15673" s="1" t="str">
        <f>"0129W95144"</f>
        <v>0129W95144</v>
      </c>
      <c r="E15673" s="1" t="s">
        <v>10</v>
      </c>
      <c r="F15673" s="1" t="str">
        <f>"10.107.121.229"</f>
        <v>10.107.121.229</v>
      </c>
      <c r="G15673" s="1" t="str">
        <f>"0129W951"</f>
        <v>0129W951</v>
      </c>
      <c r="H15673" s="1" t="str">
        <f>"신일간 43L6R1L2"</f>
        <v>신일간 43L6R1L2</v>
      </c>
      <c r="I15673" s="1" t="s">
        <v>8</v>
      </c>
      <c r="J15673" s="1" t="str">
        <f>"40/40"</f>
        <v>40/40</v>
      </c>
      <c r="K15673" s="1" t="str">
        <f t="shared" si="784"/>
        <v>2026-07-29 13:18:02</v>
      </c>
      <c r="L15673" s="1" t="str">
        <f>"2019-11-12 14:31:48"</f>
        <v>2019-11-12 14:31:48</v>
      </c>
      <c r="M15673" s="1" t="s">
        <v>45</v>
      </c>
      <c r="N15673" s="1" t="s">
        <v>38</v>
      </c>
      <c r="O15673" s="1" t="s">
        <v>46</v>
      </c>
    </row>
    <row r="15674" spans="2:15" x14ac:dyDescent="0.3">
      <c r="B15674" s="1" t="s">
        <v>19</v>
      </c>
      <c r="C15674" s="1" t="str">
        <f>"4차"</f>
        <v>4차</v>
      </c>
      <c r="D15674" s="1" t="str">
        <f>"0129W96144"</f>
        <v>0129W96144</v>
      </c>
      <c r="E15674" s="1" t="s">
        <v>10</v>
      </c>
      <c r="F15674" s="1" t="str">
        <f>"10.107.121.230"</f>
        <v>10.107.121.230</v>
      </c>
      <c r="G15674" s="1" t="str">
        <f>"0129W961"</f>
        <v>0129W961</v>
      </c>
      <c r="H15674" s="1" t="str">
        <f>"신일간 43L7"</f>
        <v>신일간 43L7</v>
      </c>
      <c r="I15674" s="1" t="s">
        <v>8</v>
      </c>
      <c r="J15674" s="1" t="str">
        <f>"43/43"</f>
        <v>43/43</v>
      </c>
      <c r="K15674" s="1" t="str">
        <f t="shared" si="784"/>
        <v>2026-07-29 13:18:02</v>
      </c>
      <c r="L15674" s="1" t="str">
        <f>"2019-11-12 14:17:34"</f>
        <v>2019-11-12 14:17:34</v>
      </c>
      <c r="M15674" s="1" t="s">
        <v>45</v>
      </c>
      <c r="N15674" s="1" t="s">
        <v>38</v>
      </c>
      <c r="O15674" s="1" t="s">
        <v>46</v>
      </c>
    </row>
    <row r="15675" spans="2:15" x14ac:dyDescent="0.3">
      <c r="B15675" s="1" t="s">
        <v>19</v>
      </c>
      <c r="C15675" s="1" t="str">
        <f>"3차"</f>
        <v>3차</v>
      </c>
      <c r="D15675" s="1" t="str">
        <f>"0129W96239"</f>
        <v>0129W96239</v>
      </c>
      <c r="E15675" s="1" t="s">
        <v>10</v>
      </c>
      <c r="F15675" s="1" t="str">
        <f>"10.12.135.217"</f>
        <v>10.12.135.217</v>
      </c>
      <c r="G15675" s="1" t="str">
        <f>"0129W962"</f>
        <v>0129W962</v>
      </c>
      <c r="H15675" s="1" t="str">
        <f>"신일간 43L8"</f>
        <v>신일간 43L8</v>
      </c>
      <c r="I15675" s="1" t="s">
        <v>8</v>
      </c>
      <c r="J15675" s="1" t="str">
        <f>"28/28"</f>
        <v>28/28</v>
      </c>
      <c r="K15675" s="1" t="str">
        <f t="shared" si="784"/>
        <v>2026-07-29 13:18:02</v>
      </c>
      <c r="L15675" s="1" t="str">
        <f>"2018-04-26 09:04:27"</f>
        <v>2018-04-26 09:04:27</v>
      </c>
      <c r="M15675" s="1" t="s">
        <v>0</v>
      </c>
      <c r="N15675" s="1" t="s">
        <v>38</v>
      </c>
      <c r="O15675" s="1" t="s">
        <v>46</v>
      </c>
    </row>
    <row r="15676" spans="2:15" x14ac:dyDescent="0.3">
      <c r="B15676" s="1" t="s">
        <v>19</v>
      </c>
      <c r="C15676" s="1" t="str">
        <f>"1차"</f>
        <v>1차</v>
      </c>
      <c r="D15676" s="1" t="str">
        <f>"0129X01200"</f>
        <v>0129X01200</v>
      </c>
      <c r="E15676" s="1" t="s">
        <v>10</v>
      </c>
      <c r="F15676" s="1" t="str">
        <f>"10.107.121.231"</f>
        <v>10.107.121.231</v>
      </c>
      <c r="G15676" s="1" t="str">
        <f>"0129X012"</f>
        <v>0129X012</v>
      </c>
      <c r="H15676" s="1" t="str">
        <f>"신일간 54L3"</f>
        <v>신일간 54L3</v>
      </c>
      <c r="I15676" s="1" t="s">
        <v>8</v>
      </c>
      <c r="J15676" s="1" t="str">
        <f>"7/7"</f>
        <v>7/7</v>
      </c>
      <c r="K15676" s="1" t="str">
        <f t="shared" si="784"/>
        <v>2026-07-29 13:18:02</v>
      </c>
      <c r="L15676" s="1" t="str">
        <f>"2014-12-10 15:12:50"</f>
        <v>2014-12-10 15:12:50</v>
      </c>
      <c r="M15676" s="1" t="s">
        <v>45</v>
      </c>
      <c r="N15676" s="1" t="s">
        <v>38</v>
      </c>
      <c r="O15676" s="1" t="s">
        <v>46</v>
      </c>
    </row>
    <row r="15677" spans="2:15" x14ac:dyDescent="0.3">
      <c r="B15677" s="1" t="s">
        <v>19</v>
      </c>
      <c r="C15677" s="1" t="str">
        <f>"1차"</f>
        <v>1차</v>
      </c>
      <c r="D15677" s="1" t="str">
        <f>"0129X02201"</f>
        <v>0129X02201</v>
      </c>
      <c r="E15677" s="1" t="s">
        <v>10</v>
      </c>
      <c r="F15677" s="1" t="str">
        <f>"10.107.121.238"</f>
        <v>10.107.121.238</v>
      </c>
      <c r="G15677" s="1" t="str">
        <f>"0129X022"</f>
        <v>0129X022</v>
      </c>
      <c r="H15677" s="1" t="str">
        <f>"신일간 54L9L4"</f>
        <v>신일간 54L9L4</v>
      </c>
      <c r="I15677" s="1" t="s">
        <v>8</v>
      </c>
      <c r="J15677" s="1" t="str">
        <f>"64/64"</f>
        <v>64/64</v>
      </c>
      <c r="K15677" s="1" t="str">
        <f t="shared" si="784"/>
        <v>2026-07-29 13:18:02</v>
      </c>
      <c r="L15677" s="1" t="str">
        <f>"2014-12-10 07:58:11"</f>
        <v>2014-12-10 07:58:11</v>
      </c>
      <c r="M15677" s="1" t="s">
        <v>45</v>
      </c>
      <c r="N15677" s="1" t="s">
        <v>38</v>
      </c>
      <c r="O15677" s="1" t="s">
        <v>46</v>
      </c>
    </row>
    <row r="15678" spans="2:15" x14ac:dyDescent="0.3">
      <c r="B15678" s="1" t="s">
        <v>19</v>
      </c>
      <c r="C15678" s="1" t="str">
        <f>"1차"</f>
        <v>1차</v>
      </c>
      <c r="D15678" s="1" t="str">
        <f>"0129X02401"</f>
        <v>0129X02401</v>
      </c>
      <c r="E15678" s="1" t="s">
        <v>10</v>
      </c>
      <c r="F15678" s="1" t="str">
        <f>"10.12.130.232"</f>
        <v>10.12.130.232</v>
      </c>
      <c r="G15678" s="1" t="str">
        <f>"0129X024"</f>
        <v>0129X024</v>
      </c>
      <c r="H15678" s="1" t="str">
        <f>"신일간 54L2L1"</f>
        <v>신일간 54L2L1</v>
      </c>
      <c r="I15678" s="1" t="s">
        <v>8</v>
      </c>
      <c r="J15678" s="1" t="str">
        <f>"11/11"</f>
        <v>11/11</v>
      </c>
      <c r="K15678" s="1" t="str">
        <f>"2026-07-29 13:18:01"</f>
        <v>2026-07-29 13:18:01</v>
      </c>
      <c r="L15678" s="1" t="str">
        <f>"2014-12-11 00:27:48"</f>
        <v>2014-12-11 00:27:48</v>
      </c>
      <c r="M15678" s="1" t="s">
        <v>0</v>
      </c>
      <c r="N15678" s="1" t="s">
        <v>38</v>
      </c>
      <c r="O15678" s="1" t="s">
        <v>46</v>
      </c>
    </row>
    <row r="15679" spans="2:15" x14ac:dyDescent="0.3">
      <c r="B15679" s="1" t="s">
        <v>19</v>
      </c>
      <c r="C15679" s="1" t="str">
        <f>"4차"</f>
        <v>4차</v>
      </c>
      <c r="D15679" s="1" t="str">
        <f>"0129X04144"</f>
        <v>0129X04144</v>
      </c>
      <c r="E15679" s="1" t="s">
        <v>10</v>
      </c>
      <c r="F15679" s="1" t="str">
        <f>"10.107.121.232"</f>
        <v>10.107.121.232</v>
      </c>
      <c r="G15679" s="1" t="str">
        <f>"0129X041"</f>
        <v>0129X041</v>
      </c>
      <c r="H15679" s="1" t="str">
        <f>"신일간 43L6R3R2"</f>
        <v>신일간 43L6R3R2</v>
      </c>
      <c r="I15679" s="1" t="s">
        <v>8</v>
      </c>
      <c r="J15679" s="1" t="str">
        <f>"14/14"</f>
        <v>14/14</v>
      </c>
      <c r="K15679" s="1" t="str">
        <f t="shared" ref="K15679:K15686" si="785">"2026-07-29 13:18:02"</f>
        <v>2026-07-29 13:18:02</v>
      </c>
      <c r="L15679" s="1" t="str">
        <f>"2019-11-12 20:16:39"</f>
        <v>2019-11-12 20:16:39</v>
      </c>
      <c r="M15679" s="1" t="s">
        <v>45</v>
      </c>
      <c r="N15679" s="1" t="s">
        <v>38</v>
      </c>
      <c r="O15679" s="1" t="s">
        <v>46</v>
      </c>
    </row>
    <row r="15680" spans="2:15" x14ac:dyDescent="0.3">
      <c r="B15680" s="1" t="s">
        <v>19</v>
      </c>
      <c r="C15680" s="1" t="str">
        <f>"4차"</f>
        <v>4차</v>
      </c>
      <c r="D15680" s="1" t="str">
        <f>"0129X05244"</f>
        <v>0129X05244</v>
      </c>
      <c r="E15680" s="1" t="s">
        <v>10</v>
      </c>
      <c r="F15680" s="1" t="str">
        <f>"10.107.121.234"</f>
        <v>10.107.121.234</v>
      </c>
      <c r="G15680" s="1" t="str">
        <f>"0129X052"</f>
        <v>0129X052</v>
      </c>
      <c r="H15680" s="1" t="str">
        <f>"신일간 43L6R1L3"</f>
        <v>신일간 43L6R1L3</v>
      </c>
      <c r="I15680" s="1" t="s">
        <v>8</v>
      </c>
      <c r="J15680" s="1" t="str">
        <f>"62/62"</f>
        <v>62/62</v>
      </c>
      <c r="K15680" s="1" t="str">
        <f t="shared" si="785"/>
        <v>2026-07-29 13:18:02</v>
      </c>
      <c r="L15680" s="1" t="str">
        <f>"2019-11-12 14:17:34"</f>
        <v>2019-11-12 14:17:34</v>
      </c>
      <c r="M15680" s="1" t="s">
        <v>45</v>
      </c>
      <c r="N15680" s="1" t="s">
        <v>38</v>
      </c>
      <c r="O15680" s="1" t="s">
        <v>46</v>
      </c>
    </row>
    <row r="15681" spans="2:15" x14ac:dyDescent="0.3">
      <c r="B15681" s="1" t="s">
        <v>19</v>
      </c>
      <c r="C15681" s="1" t="str">
        <f>"4차"</f>
        <v>4차</v>
      </c>
      <c r="D15681" s="1" t="str">
        <f>"0129X07144"</f>
        <v>0129X07144</v>
      </c>
      <c r="E15681" s="1" t="s">
        <v>10</v>
      </c>
      <c r="F15681" s="1" t="str">
        <f>"10.107.121.235"</f>
        <v>10.107.121.235</v>
      </c>
      <c r="G15681" s="1" t="str">
        <f>"0129X071"</f>
        <v>0129X071</v>
      </c>
      <c r="H15681" s="1" t="str">
        <f>"신일간 43L9"</f>
        <v>신일간 43L9</v>
      </c>
      <c r="I15681" s="1" t="s">
        <v>8</v>
      </c>
      <c r="J15681" s="1" t="str">
        <f>"30/30"</f>
        <v>30/30</v>
      </c>
      <c r="K15681" s="1" t="str">
        <f t="shared" si="785"/>
        <v>2026-07-29 13:18:02</v>
      </c>
      <c r="L15681" s="1" t="str">
        <f>"2019-11-12 14:17:48"</f>
        <v>2019-11-12 14:17:48</v>
      </c>
      <c r="M15681" s="1" t="s">
        <v>45</v>
      </c>
      <c r="N15681" s="1" t="s">
        <v>38</v>
      </c>
      <c r="O15681" s="1" t="s">
        <v>46</v>
      </c>
    </row>
    <row r="15682" spans="2:15" x14ac:dyDescent="0.3">
      <c r="B15682" s="1" t="s">
        <v>19</v>
      </c>
      <c r="C15682" s="1" t="str">
        <f>"4차"</f>
        <v>4차</v>
      </c>
      <c r="D15682" s="1" t="str">
        <f>"0129X07344"</f>
        <v>0129X07344</v>
      </c>
      <c r="E15682" s="1" t="s">
        <v>10</v>
      </c>
      <c r="F15682" s="1" t="str">
        <f>"10.107.121.236"</f>
        <v>10.107.121.236</v>
      </c>
      <c r="G15682" s="1" t="str">
        <f>"0129X073"</f>
        <v>0129X073</v>
      </c>
      <c r="H15682" s="1" t="str">
        <f>"신일간 43L5L2"</f>
        <v>신일간 43L5L2</v>
      </c>
      <c r="I15682" s="1" t="s">
        <v>8</v>
      </c>
      <c r="J15682" s="1" t="str">
        <f>"52/52"</f>
        <v>52/52</v>
      </c>
      <c r="K15682" s="1" t="str">
        <f t="shared" si="785"/>
        <v>2026-07-29 13:18:02</v>
      </c>
      <c r="L15682" s="1" t="str">
        <f>"2019-11-12 14:17:34"</f>
        <v>2019-11-12 14:17:34</v>
      </c>
      <c r="M15682" s="1" t="s">
        <v>45</v>
      </c>
      <c r="N15682" s="1" t="s">
        <v>38</v>
      </c>
      <c r="O15682" s="1" t="s">
        <v>46</v>
      </c>
    </row>
    <row r="15683" spans="2:15" x14ac:dyDescent="0.3">
      <c r="B15683" s="1" t="s">
        <v>19</v>
      </c>
      <c r="C15683" s="1" t="str">
        <f>"1차"</f>
        <v>1차</v>
      </c>
      <c r="D15683" s="1" t="str">
        <f>"0129X13101"</f>
        <v>0129X13101</v>
      </c>
      <c r="E15683" s="1" t="s">
        <v>10</v>
      </c>
      <c r="F15683" s="1" t="str">
        <f>"10.107.121.239"</f>
        <v>10.107.121.239</v>
      </c>
      <c r="G15683" s="1" t="str">
        <f>"0129X131"</f>
        <v>0129X131</v>
      </c>
      <c r="H15683" s="1" t="str">
        <f>"신일간 54L9L2"</f>
        <v>신일간 54L9L2</v>
      </c>
      <c r="I15683" s="1" t="s">
        <v>8</v>
      </c>
      <c r="J15683" s="1" t="str">
        <f>"11/13"</f>
        <v>11/13</v>
      </c>
      <c r="K15683" s="1" t="str">
        <f t="shared" si="785"/>
        <v>2026-07-29 13:18:02</v>
      </c>
      <c r="L15683" s="1" t="str">
        <f>"2014-12-10 07:57:59"</f>
        <v>2014-12-10 07:57:59</v>
      </c>
      <c r="M15683" s="1" t="s">
        <v>45</v>
      </c>
      <c r="N15683" s="1" t="s">
        <v>38</v>
      </c>
      <c r="O15683" s="1" t="s">
        <v>46</v>
      </c>
    </row>
    <row r="15684" spans="2:15" x14ac:dyDescent="0.3">
      <c r="B15684" s="1" t="s">
        <v>19</v>
      </c>
      <c r="C15684" s="1" t="str">
        <f>"1차"</f>
        <v>1차</v>
      </c>
      <c r="D15684" s="1" t="str">
        <f>"0129X13200"</f>
        <v>0129X13200</v>
      </c>
      <c r="E15684" s="1" t="s">
        <v>10</v>
      </c>
      <c r="F15684" s="1" t="str">
        <f>"10.107.121.237"</f>
        <v>10.107.121.237</v>
      </c>
      <c r="G15684" s="1" t="str">
        <f>"0129X132"</f>
        <v>0129X132</v>
      </c>
      <c r="H15684" s="1" t="str">
        <f>"신일간 54L9L3"</f>
        <v>신일간 54L9L3</v>
      </c>
      <c r="I15684" s="1" t="s">
        <v>8</v>
      </c>
      <c r="J15684" s="1" t="str">
        <f>"16/16"</f>
        <v>16/16</v>
      </c>
      <c r="K15684" s="1" t="str">
        <f t="shared" si="785"/>
        <v>2026-07-29 13:18:02</v>
      </c>
      <c r="L15684" s="1" t="str">
        <f>"2014-12-08 13:12:37"</f>
        <v>2014-12-08 13:12:37</v>
      </c>
      <c r="M15684" s="1" t="s">
        <v>45</v>
      </c>
      <c r="N15684" s="1" t="s">
        <v>38</v>
      </c>
      <c r="O15684" s="1" t="s">
        <v>46</v>
      </c>
    </row>
    <row r="15685" spans="2:15" x14ac:dyDescent="0.3">
      <c r="B15685" s="1" t="s">
        <v>19</v>
      </c>
      <c r="C15685" s="1" t="str">
        <f>"4차"</f>
        <v>4차</v>
      </c>
      <c r="D15685" s="1" t="str">
        <f>"0129X16244"</f>
        <v>0129X16244</v>
      </c>
      <c r="E15685" s="1" t="s">
        <v>10</v>
      </c>
      <c r="F15685" s="1" t="str">
        <f>"10.107.252.210"</f>
        <v>10.107.252.210</v>
      </c>
      <c r="G15685" s="1" t="str">
        <f>"0129X162"</f>
        <v>0129X162</v>
      </c>
      <c r="H15685" s="1" t="str">
        <f>"신일간 43L10R1"</f>
        <v>신일간 43L10R1</v>
      </c>
      <c r="I15685" s="1" t="s">
        <v>8</v>
      </c>
      <c r="J15685" s="1" t="str">
        <f>"103/103"</f>
        <v>103/103</v>
      </c>
      <c r="K15685" s="1" t="str">
        <f t="shared" si="785"/>
        <v>2026-07-29 13:18:02</v>
      </c>
      <c r="L15685" s="1" t="str">
        <f>"2021-07-08 10:11:27"</f>
        <v>2021-07-08 10:11:27</v>
      </c>
      <c r="M15685" s="1" t="s">
        <v>45</v>
      </c>
      <c r="N15685" s="1" t="s">
        <v>38</v>
      </c>
      <c r="O15685" s="1" t="s">
        <v>46</v>
      </c>
    </row>
    <row r="15686" spans="2:15" x14ac:dyDescent="0.3">
      <c r="B15686" s="1" t="s">
        <v>19</v>
      </c>
      <c r="C15686" s="1" t="str">
        <f>"4차"</f>
        <v>4차</v>
      </c>
      <c r="D15686" s="1" t="str">
        <f>"0129X18344"</f>
        <v>0129X18344</v>
      </c>
      <c r="E15686" s="1" t="s">
        <v>10</v>
      </c>
      <c r="F15686" s="1" t="str">
        <f>"10.107.121.240"</f>
        <v>10.107.121.240</v>
      </c>
      <c r="G15686" s="1" t="str">
        <f>"0129X183"</f>
        <v>0129X183</v>
      </c>
      <c r="H15686" s="1" t="str">
        <f>"신일간 43L5L4"</f>
        <v>신일간 43L5L4</v>
      </c>
      <c r="I15686" s="1" t="s">
        <v>8</v>
      </c>
      <c r="J15686" s="1" t="str">
        <f>"33/33"</f>
        <v>33/33</v>
      </c>
      <c r="K15686" s="1" t="str">
        <f t="shared" si="785"/>
        <v>2026-07-29 13:18:02</v>
      </c>
      <c r="L15686" s="1" t="str">
        <f>"2019-11-12 14:10:17"</f>
        <v>2019-11-12 14:10:17</v>
      </c>
      <c r="M15686" s="1" t="s">
        <v>45</v>
      </c>
      <c r="N15686" s="1" t="s">
        <v>38</v>
      </c>
      <c r="O15686" s="1" t="s">
        <v>46</v>
      </c>
    </row>
    <row r="15687" spans="2:15" x14ac:dyDescent="0.3">
      <c r="B15687" s="1" t="s">
        <v>19</v>
      </c>
      <c r="C15687" s="1" t="str">
        <f>"1차"</f>
        <v>1차</v>
      </c>
      <c r="D15687" s="1" t="str">
        <f>"0129X19200"</f>
        <v>0129X19200</v>
      </c>
      <c r="E15687" s="1" t="s">
        <v>10</v>
      </c>
      <c r="F15687" s="1" t="str">
        <f>"10.107.121.241"</f>
        <v>10.107.121.241</v>
      </c>
      <c r="G15687" s="1" t="str">
        <f>"0129X192"</f>
        <v>0129X192</v>
      </c>
      <c r="H15687" s="1" t="str">
        <f>"신일간 43L5L5"</f>
        <v>신일간 43L5L5</v>
      </c>
      <c r="I15687" s="1" t="s">
        <v>8</v>
      </c>
      <c r="J15687" s="1" t="str">
        <f>"33/33"</f>
        <v>33/33</v>
      </c>
      <c r="K15687" s="1" t="str">
        <f>"2026-07-29 13:18:01"</f>
        <v>2026-07-29 13:18:01</v>
      </c>
      <c r="L15687" s="1" t="str">
        <f>"2021-07-21 15:04:51"</f>
        <v>2021-07-21 15:04:51</v>
      </c>
      <c r="M15687" s="1" t="s">
        <v>45</v>
      </c>
      <c r="N15687" s="1" t="s">
        <v>38</v>
      </c>
      <c r="O15687" s="1" t="s">
        <v>46</v>
      </c>
    </row>
    <row r="15688" spans="2:15" x14ac:dyDescent="0.3">
      <c r="B15688" s="1" t="s">
        <v>19</v>
      </c>
      <c r="C15688" s="1" t="str">
        <f>"5-1차"</f>
        <v>5-1차</v>
      </c>
      <c r="D15688" s="1" t="str">
        <f>"0129X2225M"</f>
        <v>0129X2225M</v>
      </c>
      <c r="E15688" s="1" t="s">
        <v>10</v>
      </c>
      <c r="F15688" s="1" t="str">
        <f>"fde2:104:0:42:0:0:0:2"</f>
        <v>fde2:104:0:42:0:0:0:2</v>
      </c>
      <c r="G15688" s="1" t="str">
        <f>"0129X222"</f>
        <v>0129X222</v>
      </c>
      <c r="H15688" s="1" t="str">
        <f>"신일간 54L6"</f>
        <v>신일간 54L6</v>
      </c>
      <c r="I15688" s="1" t="s">
        <v>15</v>
      </c>
      <c r="J15688" s="1" t="str">
        <f>"44/44"</f>
        <v>44/44</v>
      </c>
      <c r="K15688" s="1" t="str">
        <f>"2026-07-29 14:20:25"</f>
        <v>2026-07-29 14:20:25</v>
      </c>
      <c r="L15688" s="1" t="str">
        <f>"2022-08-31 09:57:20"</f>
        <v>2022-08-31 09:57:20</v>
      </c>
      <c r="M15688" s="1" t="s">
        <v>42</v>
      </c>
      <c r="N15688" s="1" t="s">
        <v>38</v>
      </c>
      <c r="O15688" s="1" t="s">
        <v>46</v>
      </c>
    </row>
    <row r="15689" spans="2:15" x14ac:dyDescent="0.3">
      <c r="B15689" s="1" t="s">
        <v>19</v>
      </c>
      <c r="C15689" s="1" t="str">
        <f>"5-2차"</f>
        <v>5-2차</v>
      </c>
      <c r="D15689" s="1" t="str">
        <f>"0129X2325M"</f>
        <v>0129X2325M</v>
      </c>
      <c r="E15689" s="1" t="s">
        <v>10</v>
      </c>
      <c r="F15689" s="1" t="str">
        <f>"fde1:103:4:6efe:0:0:0:2"</f>
        <v>fde1:103:4:6efe:0:0:0:2</v>
      </c>
      <c r="G15689" s="1" t="str">
        <f>"0129X232"</f>
        <v>0129X232</v>
      </c>
      <c r="H15689" s="1" t="str">
        <f>"신일간 54L10"</f>
        <v>신일간 54L10</v>
      </c>
      <c r="I15689" s="1" t="s">
        <v>15</v>
      </c>
      <c r="J15689" s="1" t="str">
        <f>"26/26"</f>
        <v>26/26</v>
      </c>
      <c r="K15689" s="1" t="str">
        <f>"2026-07-29 14:20:02"</f>
        <v>2026-07-29 14:20:02</v>
      </c>
      <c r="L15689" s="1" t="str">
        <f>"2023-11-15 14:24:03"</f>
        <v>2023-11-15 14:24:03</v>
      </c>
      <c r="M15689" s="1" t="s">
        <v>4</v>
      </c>
      <c r="N15689" s="1" t="s">
        <v>38</v>
      </c>
      <c r="O15689" s="1" t="s">
        <v>46</v>
      </c>
    </row>
    <row r="15690" spans="2:15" x14ac:dyDescent="0.3">
      <c r="B15690" s="1" t="s">
        <v>19</v>
      </c>
      <c r="C15690" s="1" t="str">
        <f>"1차"</f>
        <v>1차</v>
      </c>
      <c r="D15690" s="1" t="str">
        <f>"0129X23600"</f>
        <v>0129X23600</v>
      </c>
      <c r="E15690" s="1" t="s">
        <v>10</v>
      </c>
      <c r="F15690" s="1" t="str">
        <f>"10.107.121.242"</f>
        <v>10.107.121.242</v>
      </c>
      <c r="G15690" s="1" t="str">
        <f>"0129X236"</f>
        <v>0129X236</v>
      </c>
      <c r="H15690" s="1" t="str">
        <f>"신일간 54L9C1"</f>
        <v>신일간 54L9C1</v>
      </c>
      <c r="I15690" s="1" t="s">
        <v>8</v>
      </c>
      <c r="J15690" s="1" t="str">
        <f>"40/47"</f>
        <v>40/47</v>
      </c>
      <c r="K15690" s="1" t="str">
        <f>"2026-07-29 13:18:02"</f>
        <v>2026-07-29 13:18:02</v>
      </c>
      <c r="L15690" s="1" t="str">
        <f>"2014-12-09 00:13:36"</f>
        <v>2014-12-09 00:13:36</v>
      </c>
      <c r="M15690" s="1" t="s">
        <v>45</v>
      </c>
      <c r="N15690" s="1" t="s">
        <v>38</v>
      </c>
      <c r="O15690" s="1" t="s">
        <v>46</v>
      </c>
    </row>
    <row r="15691" spans="2:15" x14ac:dyDescent="0.3">
      <c r="B15691" s="1" t="s">
        <v>19</v>
      </c>
      <c r="C15691" s="1" t="str">
        <f>"4차"</f>
        <v>4차</v>
      </c>
      <c r="D15691" s="1" t="str">
        <f>"0129X25144"</f>
        <v>0129X25144</v>
      </c>
      <c r="E15691" s="1" t="s">
        <v>10</v>
      </c>
      <c r="F15691" s="1" t="str">
        <f>"10.107.252.213"</f>
        <v>10.107.252.213</v>
      </c>
      <c r="G15691" s="1" t="str">
        <f>"0129X251"</f>
        <v>0129X251</v>
      </c>
      <c r="H15691" s="1" t="str">
        <f>"신일간 43L14"</f>
        <v>신일간 43L14</v>
      </c>
      <c r="I15691" s="1" t="s">
        <v>8</v>
      </c>
      <c r="J15691" s="1" t="str">
        <f>"87/87"</f>
        <v>87/87</v>
      </c>
      <c r="K15691" s="1" t="str">
        <f>"2026-07-29 13:18:02"</f>
        <v>2026-07-29 13:18:02</v>
      </c>
      <c r="L15691" s="1" t="str">
        <f>"2019-12-13 12:10:18"</f>
        <v>2019-12-13 12:10:18</v>
      </c>
      <c r="M15691" s="1" t="s">
        <v>45</v>
      </c>
      <c r="N15691" s="1" t="s">
        <v>38</v>
      </c>
      <c r="O15691" s="1" t="s">
        <v>46</v>
      </c>
    </row>
    <row r="15692" spans="2:15" x14ac:dyDescent="0.3">
      <c r="B15692" s="1" t="s">
        <v>19</v>
      </c>
      <c r="C15692" s="1" t="str">
        <f>"4차"</f>
        <v>4차</v>
      </c>
      <c r="D15692" s="1" t="str">
        <f>"0129X26244"</f>
        <v>0129X26244</v>
      </c>
      <c r="E15692" s="1" t="s">
        <v>10</v>
      </c>
      <c r="F15692" s="1" t="str">
        <f>"10.107.252.212"</f>
        <v>10.107.252.212</v>
      </c>
      <c r="G15692" s="1" t="str">
        <f>"0129X262"</f>
        <v>0129X262</v>
      </c>
      <c r="H15692" s="1" t="str">
        <f>"신일간 43L12"</f>
        <v>신일간 43L12</v>
      </c>
      <c r="I15692" s="1" t="s">
        <v>8</v>
      </c>
      <c r="J15692" s="1" t="str">
        <f>"55/56"</f>
        <v>55/56</v>
      </c>
      <c r="K15692" s="1" t="str">
        <f>"2026-07-29 13:18:01"</f>
        <v>2026-07-29 13:18:01</v>
      </c>
      <c r="L15692" s="1" t="str">
        <f>"2019-11-20 21:42:12"</f>
        <v>2019-11-20 21:42:12</v>
      </c>
      <c r="M15692" s="1" t="s">
        <v>45</v>
      </c>
      <c r="N15692" s="1" t="s">
        <v>38</v>
      </c>
      <c r="O15692" s="1" t="s">
        <v>46</v>
      </c>
    </row>
    <row r="15693" spans="2:15" x14ac:dyDescent="0.3">
      <c r="B15693" s="1" t="s">
        <v>19</v>
      </c>
      <c r="C15693" s="1" t="str">
        <f>"3차"</f>
        <v>3차</v>
      </c>
      <c r="D15693" s="1" t="str">
        <f>"0129X27139"</f>
        <v>0129X27139</v>
      </c>
      <c r="E15693" s="1" t="s">
        <v>10</v>
      </c>
      <c r="F15693" s="1" t="str">
        <f>"10.12.135.211"</f>
        <v>10.12.135.211</v>
      </c>
      <c r="G15693" s="1" t="str">
        <f>"0129X271"</f>
        <v>0129X271</v>
      </c>
      <c r="H15693" s="1" t="str">
        <f>"신일간 43L11"</f>
        <v>신일간 43L11</v>
      </c>
      <c r="I15693" s="1" t="s">
        <v>8</v>
      </c>
      <c r="J15693" s="1" t="str">
        <f>"40/40"</f>
        <v>40/40</v>
      </c>
      <c r="K15693" s="1" t="str">
        <f>"2026-07-29 13:18:02"</f>
        <v>2026-07-29 13:18:02</v>
      </c>
      <c r="L15693" s="1" t="str">
        <f>"2018-04-26 09:32:11"</f>
        <v>2018-04-26 09:32:11</v>
      </c>
      <c r="M15693" s="1" t="s">
        <v>0</v>
      </c>
      <c r="N15693" s="1" t="s">
        <v>38</v>
      </c>
      <c r="O15693" s="1" t="s">
        <v>46</v>
      </c>
    </row>
    <row r="15694" spans="2:15" x14ac:dyDescent="0.3">
      <c r="B15694" s="1" t="s">
        <v>19</v>
      </c>
      <c r="C15694" s="1" t="str">
        <f>"4차"</f>
        <v>4차</v>
      </c>
      <c r="D15694" s="1" t="str">
        <f>"0129X28144"</f>
        <v>0129X28144</v>
      </c>
      <c r="E15694" s="1" t="s">
        <v>10</v>
      </c>
      <c r="F15694" s="1" t="str">
        <f>"10.107.252.211"</f>
        <v>10.107.252.211</v>
      </c>
      <c r="G15694" s="1" t="str">
        <f>"0129X281"</f>
        <v>0129X281</v>
      </c>
      <c r="H15694" s="1" t="str">
        <f>"신일간 43L11L1"</f>
        <v>신일간 43L11L1</v>
      </c>
      <c r="I15694" s="1" t="s">
        <v>8</v>
      </c>
      <c r="J15694" s="1" t="str">
        <f>"77/77"</f>
        <v>77/77</v>
      </c>
      <c r="K15694" s="1" t="str">
        <f>"2026-07-29 13:18:01"</f>
        <v>2026-07-29 13:18:01</v>
      </c>
      <c r="L15694" s="1" t="str">
        <f>"2019-11-20 21:28:32"</f>
        <v>2019-11-20 21:28:32</v>
      </c>
      <c r="M15694" s="1" t="s">
        <v>45</v>
      </c>
      <c r="N15694" s="1" t="s">
        <v>38</v>
      </c>
      <c r="O15694" s="1" t="s">
        <v>46</v>
      </c>
    </row>
    <row r="15695" spans="2:15" x14ac:dyDescent="0.3">
      <c r="B15695" s="1" t="s">
        <v>19</v>
      </c>
      <c r="C15695" s="1" t="str">
        <f>"5-1차"</f>
        <v>5-1차</v>
      </c>
      <c r="D15695" s="1" t="str">
        <f>"0129X3025S"</f>
        <v>0129X3025S</v>
      </c>
      <c r="E15695" s="1" t="s">
        <v>10</v>
      </c>
      <c r="F15695" s="1" t="str">
        <f>"fde2:104:0:1c:0:0:0:2"</f>
        <v>fde2:104:0:1c:0:0:0:2</v>
      </c>
      <c r="G15695" s="1" t="str">
        <f>"0129X302"</f>
        <v>0129X302</v>
      </c>
      <c r="H15695" s="1" t="str">
        <f>"신일간 61L12"</f>
        <v>신일간 61L12</v>
      </c>
      <c r="I15695" s="1" t="s">
        <v>15</v>
      </c>
      <c r="J15695" s="1" t="str">
        <f>"35/35"</f>
        <v>35/35</v>
      </c>
      <c r="K15695" s="1" t="str">
        <f>"2026-07-29 14:20:20"</f>
        <v>2026-07-29 14:20:20</v>
      </c>
      <c r="L15695" s="1" t="str">
        <f>"2022-10-13 11:12:24"</f>
        <v>2022-10-13 11:12:24</v>
      </c>
      <c r="M15695" s="1" t="s">
        <v>42</v>
      </c>
      <c r="N15695" s="1" t="s">
        <v>38</v>
      </c>
      <c r="O15695" s="1" t="s">
        <v>46</v>
      </c>
    </row>
    <row r="15696" spans="2:15" x14ac:dyDescent="0.3">
      <c r="B15696" s="1" t="s">
        <v>19</v>
      </c>
      <c r="C15696" s="1" t="str">
        <f>"4차"</f>
        <v>4차</v>
      </c>
      <c r="D15696" s="1" t="str">
        <f>"0129X35144"</f>
        <v>0129X35144</v>
      </c>
      <c r="E15696" s="1" t="s">
        <v>10</v>
      </c>
      <c r="F15696" s="1" t="str">
        <f>"10.107.252.214"</f>
        <v>10.107.252.214</v>
      </c>
      <c r="G15696" s="1" t="str">
        <f>"0129X351"</f>
        <v>0129X351</v>
      </c>
      <c r="H15696" s="1" t="str">
        <f>"신일간 86"</f>
        <v>신일간 86</v>
      </c>
      <c r="I15696" s="1" t="s">
        <v>8</v>
      </c>
      <c r="J15696" s="1" t="str">
        <f>"19/19"</f>
        <v>19/19</v>
      </c>
      <c r="K15696" s="1" t="str">
        <f>"2026-07-29 13:18:01"</f>
        <v>2026-07-29 13:18:01</v>
      </c>
      <c r="L15696" s="1" t="str">
        <f>"2019-11-20 21:16:30"</f>
        <v>2019-11-20 21:16:30</v>
      </c>
      <c r="M15696" s="1" t="s">
        <v>45</v>
      </c>
      <c r="N15696" s="1" t="s">
        <v>38</v>
      </c>
      <c r="O15696" s="1" t="s">
        <v>46</v>
      </c>
    </row>
    <row r="15697" spans="2:15" x14ac:dyDescent="0.3">
      <c r="B15697" s="1" t="s">
        <v>19</v>
      </c>
      <c r="C15697" s="1" t="str">
        <f>"4차"</f>
        <v>4차</v>
      </c>
      <c r="D15697" s="1" t="str">
        <f>"0129X37244"</f>
        <v>0129X37244</v>
      </c>
      <c r="E15697" s="1" t="s">
        <v>10</v>
      </c>
      <c r="F15697" s="1" t="str">
        <f>"10.107.252.217"</f>
        <v>10.107.252.217</v>
      </c>
      <c r="G15697" s="1" t="str">
        <f>"0129X372"</f>
        <v>0129X372</v>
      </c>
      <c r="H15697" s="1" t="str">
        <f>"신일간 88L2"</f>
        <v>신일간 88L2</v>
      </c>
      <c r="I15697" s="1" t="s">
        <v>8</v>
      </c>
      <c r="J15697" s="1" t="str">
        <f>"56/56"</f>
        <v>56/56</v>
      </c>
      <c r="K15697" s="1" t="str">
        <f>"2026-07-29 13:18:01"</f>
        <v>2026-07-29 13:18:01</v>
      </c>
      <c r="L15697" s="1" t="str">
        <f>"2019-11-20 22:18:13"</f>
        <v>2019-11-20 22:18:13</v>
      </c>
      <c r="M15697" s="1" t="s">
        <v>45</v>
      </c>
      <c r="N15697" s="1" t="s">
        <v>38</v>
      </c>
      <c r="O15697" s="1" t="s">
        <v>46</v>
      </c>
    </row>
    <row r="15698" spans="2:15" x14ac:dyDescent="0.3">
      <c r="B15698" s="1" t="s">
        <v>19</v>
      </c>
      <c r="C15698" s="1" t="str">
        <f>"4차"</f>
        <v>4차</v>
      </c>
      <c r="D15698" s="1" t="str">
        <f>"0129X37344"</f>
        <v>0129X37344</v>
      </c>
      <c r="E15698" s="1" t="s">
        <v>10</v>
      </c>
      <c r="F15698" s="1" t="str">
        <f>"10.107.252.215"</f>
        <v>10.107.252.215</v>
      </c>
      <c r="G15698" s="1" t="str">
        <f>"0129X373"</f>
        <v>0129X373</v>
      </c>
      <c r="H15698" s="1" t="str">
        <f>"신일간 87L2"</f>
        <v>신일간 87L2</v>
      </c>
      <c r="I15698" s="1" t="s">
        <v>8</v>
      </c>
      <c r="J15698" s="1" t="str">
        <f>"46/46"</f>
        <v>46/46</v>
      </c>
      <c r="K15698" s="1" t="str">
        <f>"2026-07-29 13:18:01"</f>
        <v>2026-07-29 13:18:01</v>
      </c>
      <c r="L15698" s="1" t="str">
        <f>"2019-11-20 21:33:58"</f>
        <v>2019-11-20 21:33:58</v>
      </c>
      <c r="M15698" s="1" t="s">
        <v>45</v>
      </c>
      <c r="N15698" s="1" t="s">
        <v>38</v>
      </c>
      <c r="O15698" s="1" t="s">
        <v>46</v>
      </c>
    </row>
    <row r="15699" spans="2:15" x14ac:dyDescent="0.3">
      <c r="B15699" s="1" t="s">
        <v>19</v>
      </c>
      <c r="C15699" s="1" t="str">
        <f>"4차"</f>
        <v>4차</v>
      </c>
      <c r="D15699" s="1" t="str">
        <f>"0129X39144"</f>
        <v>0129X39144</v>
      </c>
      <c r="E15699" s="1" t="s">
        <v>10</v>
      </c>
      <c r="F15699" s="1" t="str">
        <f>"10.107.123.66"</f>
        <v>10.107.123.66</v>
      </c>
      <c r="G15699" s="1" t="str">
        <f>"0129X391"</f>
        <v>0129X391</v>
      </c>
      <c r="H15699" s="1" t="str">
        <f>"신일간 36L15"</f>
        <v>신일간 36L15</v>
      </c>
      <c r="I15699" s="1" t="s">
        <v>8</v>
      </c>
      <c r="J15699" s="1" t="str">
        <f>"6/10"</f>
        <v>6/10</v>
      </c>
      <c r="K15699" s="1" t="str">
        <f>"2026-07-29 13:18:02"</f>
        <v>2026-07-29 13:18:02</v>
      </c>
      <c r="L15699" s="1" t="str">
        <f>"2021-06-04 16:32:14"</f>
        <v>2021-06-04 16:32:14</v>
      </c>
      <c r="M15699" s="1" t="s">
        <v>45</v>
      </c>
      <c r="N15699" s="1" t="s">
        <v>38</v>
      </c>
      <c r="O15699" s="1" t="s">
        <v>46</v>
      </c>
    </row>
    <row r="15700" spans="2:15" x14ac:dyDescent="0.3">
      <c r="B15700" s="1" t="s">
        <v>19</v>
      </c>
      <c r="C15700" s="1" t="str">
        <f>"5-2차"</f>
        <v>5-2차</v>
      </c>
      <c r="D15700" s="1" t="str">
        <f>"0129X4315M"</f>
        <v>0129X4315M</v>
      </c>
      <c r="E15700" s="1" t="s">
        <v>10</v>
      </c>
      <c r="F15700" s="1" t="str">
        <f>"fde1:103:4:6eff:0:0:0:2"</f>
        <v>fde1:103:4:6eff:0:0:0:2</v>
      </c>
      <c r="G15700" s="1" t="str">
        <f>"0129X431"</f>
        <v>0129X431</v>
      </c>
      <c r="H15700" s="1" t="str">
        <f>"신일간 84"</f>
        <v>신일간 84</v>
      </c>
      <c r="I15700" s="1" t="s">
        <v>15</v>
      </c>
      <c r="J15700" s="1" t="str">
        <f>"44/44"</f>
        <v>44/44</v>
      </c>
      <c r="K15700" s="1" t="str">
        <f>"2026-07-29 14:20:28"</f>
        <v>2026-07-29 14:20:28</v>
      </c>
      <c r="L15700" s="1" t="str">
        <f>"2023-11-15 14:24:19"</f>
        <v>2023-11-15 14:24:19</v>
      </c>
      <c r="M15700" s="1" t="s">
        <v>4</v>
      </c>
      <c r="N15700" s="1" t="s">
        <v>38</v>
      </c>
      <c r="O15700" s="1" t="s">
        <v>46</v>
      </c>
    </row>
    <row r="15701" spans="2:15" x14ac:dyDescent="0.3">
      <c r="B15701" s="1" t="s">
        <v>19</v>
      </c>
      <c r="C15701" s="1" t="str">
        <f>"3차"</f>
        <v>3차</v>
      </c>
      <c r="D15701" s="1" t="str">
        <f>"0129X44139"</f>
        <v>0129X44139</v>
      </c>
      <c r="E15701" s="1" t="s">
        <v>10</v>
      </c>
      <c r="F15701" s="1" t="str">
        <f>"10.12.135.207"</f>
        <v>10.12.135.207</v>
      </c>
      <c r="G15701" s="1" t="str">
        <f>"0129X441"</f>
        <v>0129X441</v>
      </c>
      <c r="H15701" s="1" t="str">
        <f>"신일간 85"</f>
        <v>신일간 85</v>
      </c>
      <c r="I15701" s="1" t="s">
        <v>8</v>
      </c>
      <c r="J15701" s="1" t="str">
        <f>"43/43"</f>
        <v>43/43</v>
      </c>
      <c r="K15701" s="1" t="str">
        <f>"2026-07-29 13:18:02"</f>
        <v>2026-07-29 13:18:02</v>
      </c>
      <c r="L15701" s="1" t="str">
        <f>"2018-04-26 09:54:42"</f>
        <v>2018-04-26 09:54:42</v>
      </c>
      <c r="M15701" s="1" t="s">
        <v>0</v>
      </c>
      <c r="N15701" s="1" t="s">
        <v>38</v>
      </c>
      <c r="O15701" s="1" t="s">
        <v>46</v>
      </c>
    </row>
    <row r="15702" spans="2:15" x14ac:dyDescent="0.3">
      <c r="B15702" s="1" t="s">
        <v>19</v>
      </c>
      <c r="C15702" s="1" t="str">
        <f>"4차"</f>
        <v>4차</v>
      </c>
      <c r="D15702" s="1" t="str">
        <f>"0129X45144"</f>
        <v>0129X45144</v>
      </c>
      <c r="E15702" s="1" t="s">
        <v>10</v>
      </c>
      <c r="F15702" s="1" t="str">
        <f>"10.107.123.119"</f>
        <v>10.107.123.119</v>
      </c>
      <c r="G15702" s="1" t="str">
        <f>"0129X451"</f>
        <v>0129X451</v>
      </c>
      <c r="H15702" s="1" t="str">
        <f>"신일간 89R1"</f>
        <v>신일간 89R1</v>
      </c>
      <c r="I15702" s="1" t="s">
        <v>8</v>
      </c>
      <c r="J15702" s="1" t="str">
        <f>"47/47"</f>
        <v>47/47</v>
      </c>
      <c r="K15702" s="1" t="str">
        <f>"2026-07-29 13:18:02"</f>
        <v>2026-07-29 13:18:02</v>
      </c>
      <c r="L15702" s="1" t="str">
        <f>"2019-11-12 14:17:32"</f>
        <v>2019-11-12 14:17:32</v>
      </c>
      <c r="M15702" s="1" t="s">
        <v>45</v>
      </c>
      <c r="N15702" s="1" t="s">
        <v>38</v>
      </c>
      <c r="O15702" s="1" t="s">
        <v>46</v>
      </c>
    </row>
    <row r="15703" spans="2:15" x14ac:dyDescent="0.3">
      <c r="B15703" s="1" t="s">
        <v>19</v>
      </c>
      <c r="C15703" s="1" t="str">
        <f>"4차"</f>
        <v>4차</v>
      </c>
      <c r="D15703" s="1" t="str">
        <f>"0129X46144"</f>
        <v>0129X46144</v>
      </c>
      <c r="E15703" s="1" t="s">
        <v>10</v>
      </c>
      <c r="F15703" s="1" t="str">
        <f>"10.107.252.216"</f>
        <v>10.107.252.216</v>
      </c>
      <c r="G15703" s="1" t="str">
        <f>"0129X461"</f>
        <v>0129X461</v>
      </c>
      <c r="H15703" s="1" t="str">
        <f>"신일간 88"</f>
        <v>신일간 88</v>
      </c>
      <c r="I15703" s="1" t="s">
        <v>8</v>
      </c>
      <c r="J15703" s="1" t="str">
        <f>"34/34"</f>
        <v>34/34</v>
      </c>
      <c r="K15703" s="1" t="str">
        <f>"2026-07-29 13:18:02"</f>
        <v>2026-07-29 13:18:02</v>
      </c>
      <c r="L15703" s="1" t="str">
        <f>"2019-11-20 22:10:04"</f>
        <v>2019-11-20 22:10:04</v>
      </c>
      <c r="M15703" s="1" t="s">
        <v>45</v>
      </c>
      <c r="N15703" s="1" t="s">
        <v>38</v>
      </c>
      <c r="O15703" s="1" t="s">
        <v>46</v>
      </c>
    </row>
    <row r="15704" spans="2:15" x14ac:dyDescent="0.3">
      <c r="B15704" s="1" t="s">
        <v>19</v>
      </c>
      <c r="C15704" s="1" t="str">
        <f>"5-2차"</f>
        <v>5-2차</v>
      </c>
      <c r="D15704" s="1" t="str">
        <f>"0129X5315M"</f>
        <v>0129X5315M</v>
      </c>
      <c r="E15704" s="1" t="s">
        <v>10</v>
      </c>
      <c r="F15704" s="1" t="str">
        <f>"fde3:102:1410:9300:0:0:0:d"</f>
        <v>fde3:102:1410:9300:0:0:0:d</v>
      </c>
      <c r="G15704" s="1" t="str">
        <f>"0129X531"</f>
        <v>0129X531</v>
      </c>
      <c r="H15704" s="1" t="str">
        <f>"신일간 89R5"</f>
        <v>신일간 89R5</v>
      </c>
      <c r="I15704" s="1" t="s">
        <v>15</v>
      </c>
      <c r="J15704" s="1" t="str">
        <f>"50/50"</f>
        <v>50/50</v>
      </c>
      <c r="K15704" s="1" t="str">
        <f>"2026-07-29 14:20:21"</f>
        <v>2026-07-29 14:20:21</v>
      </c>
      <c r="L15704" s="1" t="str">
        <f>"2023-08-09 11:17:39"</f>
        <v>2023-08-09 11:17:39</v>
      </c>
      <c r="M15704" s="1" t="s">
        <v>45</v>
      </c>
      <c r="N15704" s="1" t="s">
        <v>38</v>
      </c>
      <c r="O15704" s="1" t="s">
        <v>46</v>
      </c>
    </row>
    <row r="15705" spans="2:15" x14ac:dyDescent="0.3">
      <c r="B15705" s="1" t="s">
        <v>19</v>
      </c>
      <c r="C15705" s="1" t="str">
        <f>"4차"</f>
        <v>4차</v>
      </c>
      <c r="D15705" s="1" t="str">
        <f>"0129X54344"</f>
        <v>0129X54344</v>
      </c>
      <c r="E15705" s="1" t="s">
        <v>10</v>
      </c>
      <c r="F15705" s="1" t="str">
        <f>"10.12.138.69"</f>
        <v>10.12.138.69</v>
      </c>
      <c r="G15705" s="1" t="str">
        <f>"0129X543"</f>
        <v>0129X543</v>
      </c>
      <c r="H15705" s="1" t="str">
        <f>"신일간 89R2L2"</f>
        <v>신일간 89R2L2</v>
      </c>
      <c r="I15705" s="1" t="s">
        <v>8</v>
      </c>
      <c r="J15705" s="1" t="str">
        <f>"49/55"</f>
        <v>49/55</v>
      </c>
      <c r="K15705" s="1" t="str">
        <f>"2026-07-29 13:18:01"</f>
        <v>2026-07-29 13:18:01</v>
      </c>
      <c r="L15705" s="1" t="str">
        <f>"2019-11-11 19:47:04"</f>
        <v>2019-11-11 19:47:04</v>
      </c>
      <c r="M15705" s="1" t="s">
        <v>0</v>
      </c>
      <c r="N15705" s="1" t="s">
        <v>38</v>
      </c>
      <c r="O15705" s="1" t="s">
        <v>46</v>
      </c>
    </row>
    <row r="15706" spans="2:15" x14ac:dyDescent="0.3">
      <c r="B15706" s="1" t="s">
        <v>19</v>
      </c>
      <c r="C15706" s="1" t="str">
        <f>"3차"</f>
        <v>3차</v>
      </c>
      <c r="D15706" s="1" t="str">
        <f>"0129X57139"</f>
        <v>0129X57139</v>
      </c>
      <c r="E15706" s="1" t="s">
        <v>10</v>
      </c>
      <c r="F15706" s="1" t="str">
        <f>"10.12.132.173"</f>
        <v>10.12.132.173</v>
      </c>
      <c r="G15706" s="1" t="str">
        <f>"0129X571"</f>
        <v>0129X571</v>
      </c>
      <c r="H15706" s="1" t="str">
        <f>"대지간 129"</f>
        <v>대지간 129</v>
      </c>
      <c r="I15706" s="1" t="s">
        <v>8</v>
      </c>
      <c r="J15706" s="1" t="str">
        <f>"88/89"</f>
        <v>88/89</v>
      </c>
      <c r="K15706" s="1" t="str">
        <f>"2026-07-29 13:18:01"</f>
        <v>2026-07-29 13:18:01</v>
      </c>
      <c r="L15706" s="1" t="str">
        <f>"2018-09-14 14:47:42"</f>
        <v>2018-09-14 14:47:42</v>
      </c>
      <c r="M15706" s="1" t="s">
        <v>0</v>
      </c>
      <c r="N15706" s="1" t="s">
        <v>38</v>
      </c>
      <c r="O15706" s="1" t="s">
        <v>46</v>
      </c>
    </row>
    <row r="15707" spans="2:15" x14ac:dyDescent="0.3">
      <c r="B15707" s="1" t="s">
        <v>19</v>
      </c>
      <c r="C15707" s="1" t="str">
        <f>"4차"</f>
        <v>4차</v>
      </c>
      <c r="D15707" s="1" t="str">
        <f>"0129X58244"</f>
        <v>0129X58244</v>
      </c>
      <c r="E15707" s="1" t="s">
        <v>10</v>
      </c>
      <c r="F15707" s="1" t="str">
        <f>"10.107.123.109"</f>
        <v>10.107.123.109</v>
      </c>
      <c r="G15707" s="1" t="str">
        <f>"0129X582"</f>
        <v>0129X582</v>
      </c>
      <c r="H15707" s="1" t="str">
        <f>"대지간 129L1"</f>
        <v>대지간 129L1</v>
      </c>
      <c r="I15707" s="1" t="s">
        <v>8</v>
      </c>
      <c r="J15707" s="1" t="str">
        <f>"48/48"</f>
        <v>48/48</v>
      </c>
      <c r="K15707" s="1" t="str">
        <f>"2026-07-29 13:18:02"</f>
        <v>2026-07-29 13:18:02</v>
      </c>
      <c r="L15707" s="1" t="str">
        <f>"2019-10-21 10:43:04"</f>
        <v>2019-10-21 10:43:04</v>
      </c>
      <c r="M15707" s="1" t="s">
        <v>45</v>
      </c>
      <c r="N15707" s="1" t="s">
        <v>38</v>
      </c>
      <c r="O15707" s="1" t="s">
        <v>46</v>
      </c>
    </row>
    <row r="15708" spans="2:15" x14ac:dyDescent="0.3">
      <c r="B15708" s="1" t="s">
        <v>19</v>
      </c>
      <c r="C15708" s="1" t="str">
        <f>"3차"</f>
        <v>3차</v>
      </c>
      <c r="D15708" s="1" t="str">
        <f>"0129X58439"</f>
        <v>0129X58439</v>
      </c>
      <c r="E15708" s="1" t="s">
        <v>10</v>
      </c>
      <c r="F15708" s="1" t="str">
        <f>"10.12.137.142"</f>
        <v>10.12.137.142</v>
      </c>
      <c r="G15708" s="1" t="str">
        <f>"0129X584"</f>
        <v>0129X584</v>
      </c>
      <c r="H15708" s="1" t="str">
        <f>"신일간 91"</f>
        <v>신일간 91</v>
      </c>
      <c r="I15708" s="1" t="s">
        <v>8</v>
      </c>
      <c r="J15708" s="1" t="str">
        <f>"42/42"</f>
        <v>42/42</v>
      </c>
      <c r="K15708" s="1" t="str">
        <f>"2026-07-29 13:18:01"</f>
        <v>2026-07-29 13:18:01</v>
      </c>
      <c r="L15708" s="1" t="str">
        <f>"2018-04-26 10:22:13"</f>
        <v>2018-04-26 10:22:13</v>
      </c>
      <c r="M15708" s="1" t="s">
        <v>0</v>
      </c>
      <c r="N15708" s="1" t="s">
        <v>38</v>
      </c>
      <c r="O15708" s="1" t="s">
        <v>46</v>
      </c>
    </row>
    <row r="15709" spans="2:15" x14ac:dyDescent="0.3">
      <c r="B15709" s="1" t="s">
        <v>19</v>
      </c>
      <c r="C15709" s="1" t="str">
        <f t="shared" ref="C15709:C15720" si="786">"4차"</f>
        <v>4차</v>
      </c>
      <c r="D15709" s="1" t="str">
        <f>"0129X59144"</f>
        <v>0129X59144</v>
      </c>
      <c r="E15709" s="1" t="s">
        <v>10</v>
      </c>
      <c r="F15709" s="1" t="str">
        <f>"10.107.123.120"</f>
        <v>10.107.123.120</v>
      </c>
      <c r="G15709" s="1" t="str">
        <f>"0129X591"</f>
        <v>0129X591</v>
      </c>
      <c r="H15709" s="1" t="str">
        <f>"신일간 92"</f>
        <v>신일간 92</v>
      </c>
      <c r="I15709" s="1" t="s">
        <v>8</v>
      </c>
      <c r="J15709" s="1" t="str">
        <f>"46/47"</f>
        <v>46/47</v>
      </c>
      <c r="K15709" s="1" t="str">
        <f>"2026-07-29 13:18:02"</f>
        <v>2026-07-29 13:18:02</v>
      </c>
      <c r="L15709" s="1" t="str">
        <f>"2019-12-13 12:09:19"</f>
        <v>2019-12-13 12:09:19</v>
      </c>
      <c r="M15709" s="1" t="s">
        <v>45</v>
      </c>
      <c r="N15709" s="1" t="s">
        <v>38</v>
      </c>
      <c r="O15709" s="1" t="s">
        <v>46</v>
      </c>
    </row>
    <row r="15710" spans="2:15" x14ac:dyDescent="0.3">
      <c r="B15710" s="1" t="s">
        <v>19</v>
      </c>
      <c r="C15710" s="1" t="str">
        <f t="shared" si="786"/>
        <v>4차</v>
      </c>
      <c r="D15710" s="1" t="str">
        <f>"0129X62244"</f>
        <v>0129X62244</v>
      </c>
      <c r="E15710" s="1" t="s">
        <v>10</v>
      </c>
      <c r="F15710" s="1" t="str">
        <f>"10.107.135.2"</f>
        <v>10.107.135.2</v>
      </c>
      <c r="G15710" s="1" t="str">
        <f>"0129X622"</f>
        <v>0129X622</v>
      </c>
      <c r="H15710" s="1" t="str">
        <f>"대지간 124"</f>
        <v>대지간 124</v>
      </c>
      <c r="I15710" s="1" t="s">
        <v>8</v>
      </c>
      <c r="J15710" s="1" t="str">
        <f>"30/30"</f>
        <v>30/30</v>
      </c>
      <c r="K15710" s="1" t="str">
        <f>"2026-07-29 13:18:01"</f>
        <v>2026-07-29 13:18:01</v>
      </c>
      <c r="L15710" s="1" t="str">
        <f>"2019-10-21 10:12:02"</f>
        <v>2019-10-21 10:12:02</v>
      </c>
      <c r="M15710" s="1" t="s">
        <v>45</v>
      </c>
      <c r="N15710" s="1" t="s">
        <v>38</v>
      </c>
      <c r="O15710" s="1" t="s">
        <v>46</v>
      </c>
    </row>
    <row r="15711" spans="2:15" x14ac:dyDescent="0.3">
      <c r="B15711" s="1" t="s">
        <v>19</v>
      </c>
      <c r="C15711" s="1" t="str">
        <f t="shared" si="786"/>
        <v>4차</v>
      </c>
      <c r="D15711" s="1" t="str">
        <f>"0129X63144"</f>
        <v>0129X63144</v>
      </c>
      <c r="E15711" s="1" t="s">
        <v>10</v>
      </c>
      <c r="F15711" s="1" t="str">
        <f>"10.107.123.107"</f>
        <v>10.107.123.107</v>
      </c>
      <c r="G15711" s="1" t="str">
        <f>"0129X631"</f>
        <v>0129X631</v>
      </c>
      <c r="H15711" s="1" t="str">
        <f>"대지간 125"</f>
        <v>대지간 125</v>
      </c>
      <c r="I15711" s="1" t="s">
        <v>8</v>
      </c>
      <c r="J15711" s="1" t="str">
        <f>"32/38"</f>
        <v>32/38</v>
      </c>
      <c r="K15711" s="1" t="str">
        <f>"2026-07-29 13:18:01"</f>
        <v>2026-07-29 13:18:01</v>
      </c>
      <c r="L15711" s="1" t="str">
        <f>"2019-11-13 13:43:04"</f>
        <v>2019-11-13 13:43:04</v>
      </c>
      <c r="M15711" s="1" t="s">
        <v>45</v>
      </c>
      <c r="N15711" s="1" t="s">
        <v>38</v>
      </c>
      <c r="O15711" s="1" t="s">
        <v>46</v>
      </c>
    </row>
    <row r="15712" spans="2:15" x14ac:dyDescent="0.3">
      <c r="B15712" s="1" t="s">
        <v>19</v>
      </c>
      <c r="C15712" s="1" t="str">
        <f t="shared" si="786"/>
        <v>4차</v>
      </c>
      <c r="D15712" s="1" t="str">
        <f>"0129X64144"</f>
        <v>0129X64144</v>
      </c>
      <c r="E15712" s="1" t="s">
        <v>10</v>
      </c>
      <c r="F15712" s="1" t="str">
        <f>"10.107.123.108"</f>
        <v>10.107.123.108</v>
      </c>
      <c r="G15712" s="1" t="str">
        <f>"0129X641"</f>
        <v>0129X641</v>
      </c>
      <c r="H15712" s="1" t="str">
        <f>"대지간 126"</f>
        <v>대지간 126</v>
      </c>
      <c r="I15712" s="1" t="s">
        <v>8</v>
      </c>
      <c r="J15712" s="1" t="str">
        <f>"73/73"</f>
        <v>73/73</v>
      </c>
      <c r="K15712" s="1" t="str">
        <f>"2026-07-29 13:18:02"</f>
        <v>2026-07-29 13:18:02</v>
      </c>
      <c r="L15712" s="1" t="str">
        <f>"2019-10-21 10:12:34"</f>
        <v>2019-10-21 10:12:34</v>
      </c>
      <c r="M15712" s="1" t="s">
        <v>45</v>
      </c>
      <c r="N15712" s="1" t="s">
        <v>38</v>
      </c>
      <c r="O15712" s="1" t="s">
        <v>46</v>
      </c>
    </row>
    <row r="15713" spans="2:15" x14ac:dyDescent="0.3">
      <c r="B15713" s="1" t="s">
        <v>19</v>
      </c>
      <c r="C15713" s="1" t="str">
        <f t="shared" si="786"/>
        <v>4차</v>
      </c>
      <c r="D15713" s="1" t="str">
        <f>"0129X67144"</f>
        <v>0129X67144</v>
      </c>
      <c r="E15713" s="1" t="s">
        <v>10</v>
      </c>
      <c r="F15713" s="1" t="str">
        <f>"10.107.123.110"</f>
        <v>10.107.123.110</v>
      </c>
      <c r="G15713" s="1" t="str">
        <f>"0129X671"</f>
        <v>0129X671</v>
      </c>
      <c r="H15713" s="1" t="str">
        <f>"대지간 130"</f>
        <v>대지간 130</v>
      </c>
      <c r="I15713" s="1" t="s">
        <v>8</v>
      </c>
      <c r="J15713" s="1" t="str">
        <f>"30/30"</f>
        <v>30/30</v>
      </c>
      <c r="K15713" s="1" t="str">
        <f t="shared" ref="K15713:K15719" si="787">"2026-07-29 13:18:01"</f>
        <v>2026-07-29 13:18:01</v>
      </c>
      <c r="L15713" s="1" t="str">
        <f>"2019-10-21 10:33:04"</f>
        <v>2019-10-21 10:33:04</v>
      </c>
      <c r="M15713" s="1" t="s">
        <v>45</v>
      </c>
      <c r="N15713" s="1" t="s">
        <v>38</v>
      </c>
      <c r="O15713" s="1" t="s">
        <v>46</v>
      </c>
    </row>
    <row r="15714" spans="2:15" x14ac:dyDescent="0.3">
      <c r="B15714" s="1" t="s">
        <v>19</v>
      </c>
      <c r="C15714" s="1" t="str">
        <f t="shared" si="786"/>
        <v>4차</v>
      </c>
      <c r="D15714" s="1" t="str">
        <f>"0129X67344"</f>
        <v>0129X67344</v>
      </c>
      <c r="E15714" s="1" t="s">
        <v>10</v>
      </c>
      <c r="F15714" s="1" t="str">
        <f>"10.107.123.111"</f>
        <v>10.107.123.111</v>
      </c>
      <c r="G15714" s="1" t="str">
        <f>"0129X673"</f>
        <v>0129X673</v>
      </c>
      <c r="H15714" s="1" t="str">
        <f>"대지간 131L1"</f>
        <v>대지간 131L1</v>
      </c>
      <c r="I15714" s="1" t="s">
        <v>8</v>
      </c>
      <c r="J15714" s="1" t="str">
        <f>"54/54"</f>
        <v>54/54</v>
      </c>
      <c r="K15714" s="1" t="str">
        <f t="shared" si="787"/>
        <v>2026-07-29 13:18:01</v>
      </c>
      <c r="L15714" s="1" t="str">
        <f>"2019-10-18 19:49:10"</f>
        <v>2019-10-18 19:49:10</v>
      </c>
      <c r="M15714" s="1" t="s">
        <v>45</v>
      </c>
      <c r="N15714" s="1" t="s">
        <v>38</v>
      </c>
      <c r="O15714" s="1" t="s">
        <v>46</v>
      </c>
    </row>
    <row r="15715" spans="2:15" x14ac:dyDescent="0.3">
      <c r="B15715" s="1" t="s">
        <v>19</v>
      </c>
      <c r="C15715" s="1" t="str">
        <f t="shared" si="786"/>
        <v>4차</v>
      </c>
      <c r="D15715" s="1" t="str">
        <f>"0129X69244"</f>
        <v>0129X69244</v>
      </c>
      <c r="E15715" s="1" t="s">
        <v>10</v>
      </c>
      <c r="F15715" s="1" t="str">
        <f>"10.107.123.117"</f>
        <v>10.107.123.117</v>
      </c>
      <c r="G15715" s="1" t="str">
        <f>"0129X692"</f>
        <v>0129X692</v>
      </c>
      <c r="H15715" s="1" t="str">
        <f>"대지간 136"</f>
        <v>대지간 136</v>
      </c>
      <c r="I15715" s="1" t="s">
        <v>8</v>
      </c>
      <c r="J15715" s="1" t="str">
        <f>"31/31"</f>
        <v>31/31</v>
      </c>
      <c r="K15715" s="1" t="str">
        <f t="shared" si="787"/>
        <v>2026-07-29 13:18:01</v>
      </c>
      <c r="L15715" s="1" t="str">
        <f>"2019-10-21 10:31:50"</f>
        <v>2019-10-21 10:31:50</v>
      </c>
      <c r="M15715" s="1" t="s">
        <v>45</v>
      </c>
      <c r="N15715" s="1" t="s">
        <v>38</v>
      </c>
      <c r="O15715" s="1" t="s">
        <v>46</v>
      </c>
    </row>
    <row r="15716" spans="2:15" x14ac:dyDescent="0.3">
      <c r="B15716" s="1" t="s">
        <v>19</v>
      </c>
      <c r="C15716" s="1" t="str">
        <f t="shared" si="786"/>
        <v>4차</v>
      </c>
      <c r="D15716" s="1" t="str">
        <f>"0129X69344"</f>
        <v>0129X69344</v>
      </c>
      <c r="E15716" s="1" t="s">
        <v>10</v>
      </c>
      <c r="F15716" s="1" t="str">
        <f>"10.107.123.112"</f>
        <v>10.107.123.112</v>
      </c>
      <c r="G15716" s="1" t="str">
        <f>"0129X693"</f>
        <v>0129X693</v>
      </c>
      <c r="H15716" s="1" t="str">
        <f>"대지간 131L3"</f>
        <v>대지간 131L3</v>
      </c>
      <c r="I15716" s="1" t="s">
        <v>8</v>
      </c>
      <c r="J15716" s="1" t="str">
        <f>"35/35"</f>
        <v>35/35</v>
      </c>
      <c r="K15716" s="1" t="str">
        <f t="shared" si="787"/>
        <v>2026-07-29 13:18:01</v>
      </c>
      <c r="L15716" s="1" t="str">
        <f>"2019-10-21 10:31:48"</f>
        <v>2019-10-21 10:31:48</v>
      </c>
      <c r="M15716" s="1" t="s">
        <v>45</v>
      </c>
      <c r="N15716" s="1" t="s">
        <v>38</v>
      </c>
      <c r="O15716" s="1" t="s">
        <v>46</v>
      </c>
    </row>
    <row r="15717" spans="2:15" x14ac:dyDescent="0.3">
      <c r="B15717" s="1" t="s">
        <v>19</v>
      </c>
      <c r="C15717" s="1" t="str">
        <f t="shared" si="786"/>
        <v>4차</v>
      </c>
      <c r="D15717" s="1" t="str">
        <f>"0129X74144"</f>
        <v>0129X74144</v>
      </c>
      <c r="E15717" s="1" t="s">
        <v>10</v>
      </c>
      <c r="F15717" s="1" t="str">
        <f>"10.107.123.116"</f>
        <v>10.107.123.116</v>
      </c>
      <c r="G15717" s="1" t="str">
        <f>"0129X741"</f>
        <v>0129X741</v>
      </c>
      <c r="H15717" s="1" t="str">
        <f>"대지간 132R4"</f>
        <v>대지간 132R4</v>
      </c>
      <c r="I15717" s="1" t="s">
        <v>8</v>
      </c>
      <c r="J15717" s="1" t="str">
        <f>"19/21"</f>
        <v>19/21</v>
      </c>
      <c r="K15717" s="1" t="str">
        <f t="shared" si="787"/>
        <v>2026-07-29 13:18:01</v>
      </c>
      <c r="L15717" s="1" t="str">
        <f>"2019-10-21 10:43:04"</f>
        <v>2019-10-21 10:43:04</v>
      </c>
      <c r="M15717" s="1" t="s">
        <v>45</v>
      </c>
      <c r="N15717" s="1" t="s">
        <v>38</v>
      </c>
      <c r="O15717" s="1" t="s">
        <v>46</v>
      </c>
    </row>
    <row r="15718" spans="2:15" x14ac:dyDescent="0.3">
      <c r="B15718" s="1" t="s">
        <v>19</v>
      </c>
      <c r="C15718" s="1" t="str">
        <f t="shared" si="786"/>
        <v>4차</v>
      </c>
      <c r="D15718" s="1" t="str">
        <f>"0129X74244"</f>
        <v>0129X74244</v>
      </c>
      <c r="E15718" s="1" t="s">
        <v>10</v>
      </c>
      <c r="F15718" s="1" t="str">
        <f>"10.107.123.114"</f>
        <v>10.107.123.114</v>
      </c>
      <c r="G15718" s="1" t="str">
        <f>"0129X742"</f>
        <v>0129X742</v>
      </c>
      <c r="H15718" s="1" t="str">
        <f>"대지간 132R1R3"</f>
        <v>대지간 132R1R3</v>
      </c>
      <c r="I15718" s="1" t="s">
        <v>8</v>
      </c>
      <c r="J15718" s="1" t="str">
        <f>"36/36"</f>
        <v>36/36</v>
      </c>
      <c r="K15718" s="1" t="str">
        <f t="shared" si="787"/>
        <v>2026-07-29 13:18:01</v>
      </c>
      <c r="L15718" s="1" t="str">
        <f>"2019-10-21 10:31:30"</f>
        <v>2019-10-21 10:31:30</v>
      </c>
      <c r="M15718" s="1" t="s">
        <v>45</v>
      </c>
      <c r="N15718" s="1" t="s">
        <v>38</v>
      </c>
      <c r="O15718" s="1" t="s">
        <v>46</v>
      </c>
    </row>
    <row r="15719" spans="2:15" x14ac:dyDescent="0.3">
      <c r="B15719" s="1" t="s">
        <v>19</v>
      </c>
      <c r="C15719" s="1" t="str">
        <f t="shared" si="786"/>
        <v>4차</v>
      </c>
      <c r="D15719" s="1" t="str">
        <f>"0129X75244"</f>
        <v>0129X75244</v>
      </c>
      <c r="E15719" s="1" t="s">
        <v>10</v>
      </c>
      <c r="F15719" s="1" t="str">
        <f>"10.107.123.115"</f>
        <v>10.107.123.115</v>
      </c>
      <c r="G15719" s="1" t="str">
        <f>"0129X752"</f>
        <v>0129X752</v>
      </c>
      <c r="H15719" s="1" t="str">
        <f>"대지간 132R2"</f>
        <v>대지간 132R2</v>
      </c>
      <c r="I15719" s="1" t="s">
        <v>8</v>
      </c>
      <c r="J15719" s="1" t="str">
        <f>"25/27"</f>
        <v>25/27</v>
      </c>
      <c r="K15719" s="1" t="str">
        <f t="shared" si="787"/>
        <v>2026-07-29 13:18:01</v>
      </c>
      <c r="L15719" s="1" t="str">
        <f>"2019-10-21 10:43:04"</f>
        <v>2019-10-21 10:43:04</v>
      </c>
      <c r="M15719" s="1" t="s">
        <v>45</v>
      </c>
      <c r="N15719" s="1" t="s">
        <v>38</v>
      </c>
      <c r="O15719" s="1" t="s">
        <v>46</v>
      </c>
    </row>
    <row r="15720" spans="2:15" x14ac:dyDescent="0.3">
      <c r="B15720" s="1" t="s">
        <v>19</v>
      </c>
      <c r="C15720" s="1" t="str">
        <f t="shared" si="786"/>
        <v>4차</v>
      </c>
      <c r="D15720" s="1" t="str">
        <f>"0129X75344"</f>
        <v>0129X75344</v>
      </c>
      <c r="E15720" s="1" t="s">
        <v>10</v>
      </c>
      <c r="F15720" s="1" t="str">
        <f>"10.107.123.113"</f>
        <v>10.107.123.113</v>
      </c>
      <c r="G15720" s="1" t="str">
        <f>"0129X753"</f>
        <v>0129X753</v>
      </c>
      <c r="H15720" s="1" t="str">
        <f>"대지간 132R1R1"</f>
        <v>대지간 132R1R1</v>
      </c>
      <c r="I15720" s="1" t="s">
        <v>8</v>
      </c>
      <c r="J15720" s="1" t="str">
        <f>"52/52"</f>
        <v>52/52</v>
      </c>
      <c r="K15720" s="1" t="str">
        <f>"2026-07-29 13:18:02"</f>
        <v>2026-07-29 13:18:02</v>
      </c>
      <c r="L15720" s="1" t="str">
        <f>"2019-10-21 10:33:35"</f>
        <v>2019-10-21 10:33:35</v>
      </c>
      <c r="M15720" s="1" t="s">
        <v>45</v>
      </c>
      <c r="N15720" s="1" t="s">
        <v>38</v>
      </c>
      <c r="O15720" s="1" t="s">
        <v>46</v>
      </c>
    </row>
    <row r="15721" spans="2:15" x14ac:dyDescent="0.3">
      <c r="B15721" s="1" t="s">
        <v>19</v>
      </c>
      <c r="C15721" s="1" t="str">
        <f>"3차"</f>
        <v>3차</v>
      </c>
      <c r="D15721" s="1" t="str">
        <f>"0129X78139"</f>
        <v>0129X78139</v>
      </c>
      <c r="E15721" s="1" t="s">
        <v>10</v>
      </c>
      <c r="F15721" s="1" t="str">
        <f>"10.12.137.143"</f>
        <v>10.12.137.143</v>
      </c>
      <c r="G15721" s="1" t="str">
        <f>"0129X781"</f>
        <v>0129X781</v>
      </c>
      <c r="H15721" s="1" t="str">
        <f>"대지간 133"</f>
        <v>대지간 133</v>
      </c>
      <c r="I15721" s="1" t="s">
        <v>8</v>
      </c>
      <c r="J15721" s="1" t="str">
        <f>"43/43"</f>
        <v>43/43</v>
      </c>
      <c r="K15721" s="1" t="str">
        <f>"2026-07-29 13:18:03"</f>
        <v>2026-07-29 13:18:03</v>
      </c>
      <c r="L15721" s="1" t="str">
        <f>"2018-04-26 10:43:13"</f>
        <v>2018-04-26 10:43:13</v>
      </c>
      <c r="M15721" s="1" t="s">
        <v>0</v>
      </c>
      <c r="N15721" s="1" t="s">
        <v>38</v>
      </c>
      <c r="O15721" s="1" t="s">
        <v>46</v>
      </c>
    </row>
    <row r="15722" spans="2:15" x14ac:dyDescent="0.3">
      <c r="B15722" s="1" t="s">
        <v>19</v>
      </c>
      <c r="C15722" s="1" t="str">
        <f>"3차"</f>
        <v>3차</v>
      </c>
      <c r="D15722" s="1" t="str">
        <f>"0129Y08239"</f>
        <v>0129Y08239</v>
      </c>
      <c r="E15722" s="1" t="s">
        <v>10</v>
      </c>
      <c r="F15722" s="1" t="str">
        <f>"10.107.123.235"</f>
        <v>10.107.123.235</v>
      </c>
      <c r="G15722" s="1" t="str">
        <f>"0129Y082"</f>
        <v>0129Y082</v>
      </c>
      <c r="H15722" s="1" t="str">
        <f>"수미간 60L5L2L1"</f>
        <v>수미간 60L5L2L1</v>
      </c>
      <c r="I15722" s="1" t="s">
        <v>8</v>
      </c>
      <c r="J15722" s="1" t="str">
        <f>"11/11"</f>
        <v>11/11</v>
      </c>
      <c r="K15722" s="1" t="str">
        <f>"2026-07-29 13:18:02"</f>
        <v>2026-07-29 13:18:02</v>
      </c>
      <c r="L15722" s="1" t="str">
        <f>"2018-04-06 11:56:12"</f>
        <v>2018-04-06 11:56:12</v>
      </c>
      <c r="M15722" s="1" t="s">
        <v>45</v>
      </c>
      <c r="N15722" s="1" t="s">
        <v>38</v>
      </c>
      <c r="O15722" s="1" t="s">
        <v>46</v>
      </c>
    </row>
    <row r="15723" spans="2:15" x14ac:dyDescent="0.3">
      <c r="B15723" s="1" t="s">
        <v>19</v>
      </c>
      <c r="C15723" s="1" t="str">
        <f>"4차"</f>
        <v>4차</v>
      </c>
      <c r="D15723" s="1" t="str">
        <f>"0129Y08339"</f>
        <v>0129Y08339</v>
      </c>
      <c r="E15723" s="1" t="s">
        <v>10</v>
      </c>
      <c r="F15723" s="1" t="str">
        <f>"10.107.123.226"</f>
        <v>10.107.123.226</v>
      </c>
      <c r="G15723" s="1" t="str">
        <f>"0129Y083"</f>
        <v>0129Y083</v>
      </c>
      <c r="H15723" s="1" t="str">
        <f>"수미간 60L5L3"</f>
        <v>수미간 60L5L3</v>
      </c>
      <c r="I15723" s="1" t="s">
        <v>8</v>
      </c>
      <c r="J15723" s="1" t="str">
        <f>"143/144"</f>
        <v>143/144</v>
      </c>
      <c r="K15723" s="1" t="str">
        <f>"2026-07-29 13:18:02"</f>
        <v>2026-07-29 13:18:02</v>
      </c>
      <c r="L15723" s="1" t="str">
        <f>"2018-07-27 19:24:09"</f>
        <v>2018-07-27 19:24:09</v>
      </c>
      <c r="M15723" s="1" t="s">
        <v>45</v>
      </c>
      <c r="N15723" s="1" t="s">
        <v>38</v>
      </c>
      <c r="O15723" s="1" t="s">
        <v>46</v>
      </c>
    </row>
    <row r="15724" spans="2:15" x14ac:dyDescent="0.3">
      <c r="B15724" s="1" t="s">
        <v>19</v>
      </c>
      <c r="C15724" s="1" t="str">
        <f>"3차"</f>
        <v>3차</v>
      </c>
      <c r="D15724" s="1" t="str">
        <f>"0129Y16239"</f>
        <v>0129Y16239</v>
      </c>
      <c r="E15724" s="1" t="s">
        <v>10</v>
      </c>
      <c r="F15724" s="1" t="str">
        <f>"10.107.123.236"</f>
        <v>10.107.123.236</v>
      </c>
      <c r="G15724" s="1" t="str">
        <f>"0129Y162"</f>
        <v>0129Y162</v>
      </c>
      <c r="H15724" s="1" t="str">
        <f>"수미간 60L8"</f>
        <v>수미간 60L8</v>
      </c>
      <c r="I15724" s="1" t="s">
        <v>8</v>
      </c>
      <c r="J15724" s="1" t="str">
        <f>"19/19"</f>
        <v>19/19</v>
      </c>
      <c r="K15724" s="1" t="str">
        <f t="shared" ref="K15724:K15729" si="788">"2026-07-29 13:18:01"</f>
        <v>2026-07-29 13:18:01</v>
      </c>
      <c r="L15724" s="1" t="str">
        <f>"2018-06-04 16:56:08"</f>
        <v>2018-06-04 16:56:08</v>
      </c>
      <c r="M15724" s="1" t="s">
        <v>45</v>
      </c>
      <c r="N15724" s="1" t="s">
        <v>38</v>
      </c>
      <c r="O15724" s="1" t="s">
        <v>46</v>
      </c>
    </row>
    <row r="15725" spans="2:15" x14ac:dyDescent="0.3">
      <c r="B15725" s="1" t="s">
        <v>19</v>
      </c>
      <c r="C15725" s="1" t="str">
        <f>"4차"</f>
        <v>4차</v>
      </c>
      <c r="D15725" s="1" t="str">
        <f>"0129Y17139"</f>
        <v>0129Y17139</v>
      </c>
      <c r="E15725" s="1" t="s">
        <v>10</v>
      </c>
      <c r="F15725" s="1" t="str">
        <f>"10.107.123.237"</f>
        <v>10.107.123.237</v>
      </c>
      <c r="G15725" s="1" t="str">
        <f>"0129Y171"</f>
        <v>0129Y171</v>
      </c>
      <c r="H15725" s="1" t="str">
        <f>"수미간 60L7"</f>
        <v>수미간 60L7</v>
      </c>
      <c r="I15725" s="1" t="s">
        <v>8</v>
      </c>
      <c r="J15725" s="1" t="str">
        <f>"60/60"</f>
        <v>60/60</v>
      </c>
      <c r="K15725" s="1" t="str">
        <f t="shared" si="788"/>
        <v>2026-07-29 13:18:01</v>
      </c>
      <c r="L15725" s="1" t="str">
        <f>"2018-04-04 19:25:29"</f>
        <v>2018-04-04 19:25:29</v>
      </c>
      <c r="M15725" s="1" t="s">
        <v>45</v>
      </c>
      <c r="N15725" s="1" t="s">
        <v>38</v>
      </c>
      <c r="O15725" s="1" t="s">
        <v>46</v>
      </c>
    </row>
    <row r="15726" spans="2:15" x14ac:dyDescent="0.3">
      <c r="B15726" s="1" t="s">
        <v>19</v>
      </c>
      <c r="C15726" s="1" t="str">
        <f>"4차"</f>
        <v>4차</v>
      </c>
      <c r="D15726" s="1" t="str">
        <f>"0129Y18139"</f>
        <v>0129Y18139</v>
      </c>
      <c r="E15726" s="1" t="s">
        <v>10</v>
      </c>
      <c r="F15726" s="1" t="str">
        <f>"10.107.123.241"</f>
        <v>10.107.123.241</v>
      </c>
      <c r="G15726" s="1" t="str">
        <f>"0129Y181"</f>
        <v>0129Y181</v>
      </c>
      <c r="H15726" s="1" t="str">
        <f>"성암지 4L3"</f>
        <v>성암지 4L3</v>
      </c>
      <c r="I15726" s="1" t="s">
        <v>8</v>
      </c>
      <c r="J15726" s="1" t="str">
        <f>"88/88"</f>
        <v>88/88</v>
      </c>
      <c r="K15726" s="1" t="str">
        <f t="shared" si="788"/>
        <v>2026-07-29 13:18:01</v>
      </c>
      <c r="L15726" s="1" t="str">
        <f>"2018-03-23 14:34:11"</f>
        <v>2018-03-23 14:34:11</v>
      </c>
      <c r="M15726" s="1" t="s">
        <v>45</v>
      </c>
      <c r="N15726" s="1" t="s">
        <v>38</v>
      </c>
      <c r="O15726" s="1" t="s">
        <v>46</v>
      </c>
    </row>
    <row r="15727" spans="2:15" x14ac:dyDescent="0.3">
      <c r="B15727" s="1" t="s">
        <v>19</v>
      </c>
      <c r="C15727" s="1" t="str">
        <f>"3차"</f>
        <v>3차</v>
      </c>
      <c r="D15727" s="1" t="str">
        <f>"0129Y26339"</f>
        <v>0129Y26339</v>
      </c>
      <c r="E15727" s="1" t="s">
        <v>10</v>
      </c>
      <c r="F15727" s="1" t="str">
        <f>"10.107.123.238"</f>
        <v>10.107.123.238</v>
      </c>
      <c r="G15727" s="1" t="str">
        <f>"0129Y263"</f>
        <v>0129Y263</v>
      </c>
      <c r="H15727" s="1" t="str">
        <f>"수미간 60L10"</f>
        <v>수미간 60L10</v>
      </c>
      <c r="I15727" s="1" t="s">
        <v>8</v>
      </c>
      <c r="J15727" s="1" t="str">
        <f>"24/24"</f>
        <v>24/24</v>
      </c>
      <c r="K15727" s="1" t="str">
        <f t="shared" si="788"/>
        <v>2026-07-29 13:18:01</v>
      </c>
      <c r="L15727" s="1" t="str">
        <f>"2018-04-17 18:19:29"</f>
        <v>2018-04-17 18:19:29</v>
      </c>
      <c r="M15727" s="1" t="s">
        <v>45</v>
      </c>
      <c r="N15727" s="1" t="s">
        <v>38</v>
      </c>
      <c r="O15727" s="1" t="s">
        <v>46</v>
      </c>
    </row>
    <row r="15728" spans="2:15" x14ac:dyDescent="0.3">
      <c r="B15728" s="1" t="s">
        <v>19</v>
      </c>
      <c r="C15728" s="1" t="str">
        <f>"3차"</f>
        <v>3차</v>
      </c>
      <c r="D15728" s="1" t="str">
        <f>"0129Y28239"</f>
        <v>0129Y28239</v>
      </c>
      <c r="E15728" s="1" t="s">
        <v>10</v>
      </c>
      <c r="F15728" s="1" t="str">
        <f>"10.107.123.242"</f>
        <v>10.107.123.242</v>
      </c>
      <c r="G15728" s="1" t="str">
        <f>"0129Y282"</f>
        <v>0129Y282</v>
      </c>
      <c r="H15728" s="1" t="str">
        <f>"성암지 4L2"</f>
        <v>성암지 4L2</v>
      </c>
      <c r="I15728" s="1" t="s">
        <v>8</v>
      </c>
      <c r="J15728" s="1" t="str">
        <f>"18/18"</f>
        <v>18/18</v>
      </c>
      <c r="K15728" s="1" t="str">
        <f t="shared" si="788"/>
        <v>2026-07-29 13:18:01</v>
      </c>
      <c r="L15728" s="1" t="str">
        <f>"2018-03-23 14:19:29"</f>
        <v>2018-03-23 14:19:29</v>
      </c>
      <c r="M15728" s="1" t="s">
        <v>45</v>
      </c>
      <c r="N15728" s="1" t="s">
        <v>38</v>
      </c>
      <c r="O15728" s="1" t="s">
        <v>46</v>
      </c>
    </row>
    <row r="15729" spans="2:15" x14ac:dyDescent="0.3">
      <c r="B15729" s="1" t="s">
        <v>19</v>
      </c>
      <c r="C15729" s="1" t="str">
        <f>"3차"</f>
        <v>3차</v>
      </c>
      <c r="D15729" s="1" t="str">
        <f>"0129Y29130"</f>
        <v>0129Y29130</v>
      </c>
      <c r="E15729" s="1" t="s">
        <v>10</v>
      </c>
      <c r="F15729" s="1" t="str">
        <f>"10.107.123.243"</f>
        <v>10.107.123.243</v>
      </c>
      <c r="G15729" s="1" t="str">
        <f>"0129Y291"</f>
        <v>0129Y291</v>
      </c>
      <c r="H15729" s="1" t="str">
        <f>"성암지 4L1"</f>
        <v>성암지 4L1</v>
      </c>
      <c r="I15729" s="1" t="s">
        <v>8</v>
      </c>
      <c r="J15729" s="1" t="str">
        <f>"74/74"</f>
        <v>74/74</v>
      </c>
      <c r="K15729" s="1" t="str">
        <f t="shared" si="788"/>
        <v>2026-07-29 13:18:01</v>
      </c>
      <c r="L15729" s="1" t="str">
        <f>"2018-06-19 16:32:47"</f>
        <v>2018-06-19 16:32:47</v>
      </c>
      <c r="M15729" s="1" t="s">
        <v>45</v>
      </c>
      <c r="N15729" s="1" t="s">
        <v>38</v>
      </c>
      <c r="O15729" s="1" t="s">
        <v>46</v>
      </c>
    </row>
    <row r="15730" spans="2:15" x14ac:dyDescent="0.3">
      <c r="B15730" s="1" t="s">
        <v>19</v>
      </c>
      <c r="C15730" s="1" t="str">
        <f>"6차"</f>
        <v>6차</v>
      </c>
      <c r="D15730" s="1" t="str">
        <f>"0129Y3556M"</f>
        <v>0129Y3556M</v>
      </c>
      <c r="E15730" s="1" t="s">
        <v>10</v>
      </c>
      <c r="F15730" s="1" t="str">
        <f>"fde1:103:4:c7ab:0:0:0:2"</f>
        <v>fde1:103:4:c7ab:0:0:0:2</v>
      </c>
      <c r="G15730" s="1" t="str">
        <f>"0129Y355"</f>
        <v>0129Y355</v>
      </c>
      <c r="H15730" s="1" t="str">
        <f>"송천간 19"</f>
        <v>송천간 19</v>
      </c>
      <c r="I15730" s="1" t="s">
        <v>15</v>
      </c>
      <c r="J15730" s="1" t="str">
        <f>"21/22"</f>
        <v>21/22</v>
      </c>
      <c r="K15730" s="1" t="str">
        <f>"2026-07-29 14:20:01"</f>
        <v>2026-07-29 14:20:01</v>
      </c>
      <c r="L15730" s="1" t="str">
        <f>"2024-12-04 15:40:11"</f>
        <v>2024-12-04 15:40:11</v>
      </c>
      <c r="M15730" s="1" t="s">
        <v>4</v>
      </c>
      <c r="N15730" s="1" t="s">
        <v>38</v>
      </c>
      <c r="O15730" s="1" t="s">
        <v>46</v>
      </c>
    </row>
    <row r="15731" spans="2:15" x14ac:dyDescent="0.3">
      <c r="B15731" s="1" t="s">
        <v>19</v>
      </c>
      <c r="C15731" s="1" t="str">
        <f>"4차"</f>
        <v>4차</v>
      </c>
      <c r="D15731" s="1" t="str">
        <f>"0129Y37239"</f>
        <v>0129Y37239</v>
      </c>
      <c r="E15731" s="1" t="s">
        <v>10</v>
      </c>
      <c r="F15731" s="1" t="str">
        <f>"10.107.123.244"</f>
        <v>10.107.123.244</v>
      </c>
      <c r="G15731" s="1" t="str">
        <f>"0129Y372"</f>
        <v>0129Y372</v>
      </c>
      <c r="H15731" s="1" t="str">
        <f>"수미간 60L10L1"</f>
        <v>수미간 60L10L1</v>
      </c>
      <c r="I15731" s="1" t="s">
        <v>8</v>
      </c>
      <c r="J15731" s="1" t="str">
        <f>"57/62"</f>
        <v>57/62</v>
      </c>
      <c r="K15731" s="1" t="str">
        <f>"2026-07-29 13:18:01"</f>
        <v>2026-07-29 13:18:01</v>
      </c>
      <c r="L15731" s="1" t="str">
        <f>"2018-03-23 14:09:03"</f>
        <v>2018-03-23 14:09:03</v>
      </c>
      <c r="M15731" s="1" t="s">
        <v>45</v>
      </c>
      <c r="N15731" s="1" t="s">
        <v>38</v>
      </c>
      <c r="O15731" s="1" t="s">
        <v>46</v>
      </c>
    </row>
    <row r="15732" spans="2:15" x14ac:dyDescent="0.3">
      <c r="B15732" s="1" t="s">
        <v>19</v>
      </c>
      <c r="C15732" s="1" t="str">
        <f>"3차"</f>
        <v>3차</v>
      </c>
      <c r="D15732" s="1" t="str">
        <f>"0129Y37439"</f>
        <v>0129Y37439</v>
      </c>
      <c r="E15732" s="1" t="s">
        <v>10</v>
      </c>
      <c r="F15732" s="1" t="str">
        <f>"10.107.123.245"</f>
        <v>10.107.123.245</v>
      </c>
      <c r="G15732" s="1" t="str">
        <f>"0129Y374"</f>
        <v>0129Y374</v>
      </c>
      <c r="H15732" s="1" t="str">
        <f>"성암지 3L1"</f>
        <v>성암지 3L1</v>
      </c>
      <c r="I15732" s="1" t="s">
        <v>8</v>
      </c>
      <c r="J15732" s="1" t="str">
        <f>"46/46"</f>
        <v>46/46</v>
      </c>
      <c r="K15732" s="1" t="str">
        <f>"2026-07-29 13:18:01"</f>
        <v>2026-07-29 13:18:01</v>
      </c>
      <c r="L15732" s="1" t="str">
        <f>"2018-06-19 16:57:26"</f>
        <v>2018-06-19 16:57:26</v>
      </c>
      <c r="M15732" s="1" t="s">
        <v>45</v>
      </c>
      <c r="N15732" s="1" t="s">
        <v>38</v>
      </c>
      <c r="O15732" s="1" t="s">
        <v>46</v>
      </c>
    </row>
    <row r="15733" spans="2:15" x14ac:dyDescent="0.3">
      <c r="B15733" s="1" t="s">
        <v>19</v>
      </c>
      <c r="C15733" s="1" t="str">
        <f>"4차"</f>
        <v>4차</v>
      </c>
      <c r="D15733" s="1" t="str">
        <f>"0129Y38130"</f>
        <v>0129Y38130</v>
      </c>
      <c r="E15733" s="1" t="s">
        <v>10</v>
      </c>
      <c r="F15733" s="1" t="str">
        <f>"10.107.123.247"</f>
        <v>10.107.123.247</v>
      </c>
      <c r="G15733" s="1" t="str">
        <f>"0129Y381"</f>
        <v>0129Y381</v>
      </c>
      <c r="H15733" s="1" t="str">
        <f>"성암지 3"</f>
        <v>성암지 3</v>
      </c>
      <c r="I15733" s="1" t="s">
        <v>8</v>
      </c>
      <c r="J15733" s="1" t="str">
        <f>"51/51"</f>
        <v>51/51</v>
      </c>
      <c r="K15733" s="1" t="str">
        <f>"2026-07-29 13:18:01"</f>
        <v>2026-07-29 13:18:01</v>
      </c>
      <c r="L15733" s="1" t="str">
        <f>"2018-03-23 14:08:12"</f>
        <v>2018-03-23 14:08:12</v>
      </c>
      <c r="M15733" s="1" t="s">
        <v>45</v>
      </c>
      <c r="N15733" s="1" t="s">
        <v>38</v>
      </c>
      <c r="O15733" s="1" t="s">
        <v>46</v>
      </c>
    </row>
    <row r="15734" spans="2:15" x14ac:dyDescent="0.3">
      <c r="B15734" s="1" t="s">
        <v>19</v>
      </c>
      <c r="C15734" s="1" t="str">
        <f>"3차"</f>
        <v>3차</v>
      </c>
      <c r="D15734" s="1" t="str">
        <f>"0129Y39131"</f>
        <v>0129Y39131</v>
      </c>
      <c r="E15734" s="1" t="s">
        <v>10</v>
      </c>
      <c r="F15734" s="1" t="str">
        <f>"10.107.123.249"</f>
        <v>10.107.123.249</v>
      </c>
      <c r="G15734" s="1" t="str">
        <f>"0129Y391"</f>
        <v>0129Y391</v>
      </c>
      <c r="H15734" s="1" t="str">
        <f>"성암지 4"</f>
        <v>성암지 4</v>
      </c>
      <c r="I15734" s="1" t="s">
        <v>8</v>
      </c>
      <c r="J15734" s="1" t="str">
        <f>"30/30"</f>
        <v>30/30</v>
      </c>
      <c r="K15734" s="1" t="str">
        <f>"2026-07-29 13:18:01"</f>
        <v>2026-07-29 13:18:01</v>
      </c>
      <c r="L15734" s="1" t="str">
        <f>"2018-06-19 18:08:24"</f>
        <v>2018-06-19 18:08:24</v>
      </c>
      <c r="M15734" s="1" t="s">
        <v>45</v>
      </c>
      <c r="N15734" s="1" t="s">
        <v>38</v>
      </c>
      <c r="O15734" s="1" t="s">
        <v>46</v>
      </c>
    </row>
    <row r="15735" spans="2:15" x14ac:dyDescent="0.3">
      <c r="B15735" s="1" t="s">
        <v>19</v>
      </c>
      <c r="C15735" s="1" t="str">
        <f>"5-1차"</f>
        <v>5-1차</v>
      </c>
      <c r="D15735" s="1" t="str">
        <f>"0129Y4225S"</f>
        <v>0129Y4225S</v>
      </c>
      <c r="E15735" s="1" t="s">
        <v>10</v>
      </c>
      <c r="F15735" s="1" t="str">
        <f>"fde2:104:0:47:0:0:0:2"</f>
        <v>fde2:104:0:47:0:0:0:2</v>
      </c>
      <c r="G15735" s="1" t="str">
        <f>"0129Y422"</f>
        <v>0129Y422</v>
      </c>
      <c r="H15735" s="1" t="str">
        <f>"송천간 49L13"</f>
        <v>송천간 49L13</v>
      </c>
      <c r="I15735" s="1" t="s">
        <v>15</v>
      </c>
      <c r="J15735" s="1" t="str">
        <f>"48/48"</f>
        <v>48/48</v>
      </c>
      <c r="K15735" s="1" t="str">
        <f>"2026-07-29 14:20:24"</f>
        <v>2026-07-29 14:20:24</v>
      </c>
      <c r="L15735" s="1" t="str">
        <f>"2022-08-31 08:17:35"</f>
        <v>2022-08-31 08:17:35</v>
      </c>
      <c r="M15735" s="1" t="s">
        <v>42</v>
      </c>
      <c r="N15735" s="1" t="s">
        <v>38</v>
      </c>
      <c r="O15735" s="1" t="s">
        <v>46</v>
      </c>
    </row>
    <row r="15736" spans="2:15" x14ac:dyDescent="0.3">
      <c r="B15736" s="1" t="s">
        <v>19</v>
      </c>
      <c r="C15736" s="1" t="str">
        <f>"4차"</f>
        <v>4차</v>
      </c>
      <c r="D15736" s="1" t="str">
        <f>"0129Y43142"</f>
        <v>0129Y43142</v>
      </c>
      <c r="E15736" s="1" t="s">
        <v>10</v>
      </c>
      <c r="F15736" s="1" t="str">
        <f>"10.107.0.191"</f>
        <v>10.107.0.191</v>
      </c>
      <c r="G15736" s="1" t="str">
        <f>"0129Y431"</f>
        <v>0129Y431</v>
      </c>
      <c r="H15736" s="1" t="str">
        <f>"송천간 49L13L2"</f>
        <v>송천간 49L13L2</v>
      </c>
      <c r="I15736" s="1" t="s">
        <v>8</v>
      </c>
      <c r="J15736" s="1" t="str">
        <f>"69/70"</f>
        <v>69/70</v>
      </c>
      <c r="K15736" s="1" t="str">
        <f>"2026-07-29 13:18:02"</f>
        <v>2026-07-29 13:18:02</v>
      </c>
      <c r="L15736" s="1" t="str">
        <f>"2024-05-22 09:11:21"</f>
        <v>2024-05-22 09:11:21</v>
      </c>
      <c r="M15736" s="1" t="s">
        <v>45</v>
      </c>
      <c r="N15736" s="1" t="s">
        <v>38</v>
      </c>
      <c r="O15736" s="1" t="s">
        <v>46</v>
      </c>
    </row>
    <row r="15737" spans="2:15" x14ac:dyDescent="0.3">
      <c r="B15737" s="1" t="s">
        <v>19</v>
      </c>
      <c r="C15737" s="1" t="str">
        <f>"3차"</f>
        <v>3차</v>
      </c>
      <c r="D15737" s="1" t="str">
        <f>"0129Y47131"</f>
        <v>0129Y47131</v>
      </c>
      <c r="E15737" s="1" t="s">
        <v>10</v>
      </c>
      <c r="F15737" s="1" t="str">
        <f>"10.12.129.125"</f>
        <v>10.12.129.125</v>
      </c>
      <c r="G15737" s="1" t="str">
        <f>"0129Y471"</f>
        <v>0129Y471</v>
      </c>
      <c r="H15737" s="1" t="str">
        <f>"성암지 2"</f>
        <v>성암지 2</v>
      </c>
      <c r="I15737" s="1" t="s">
        <v>8</v>
      </c>
      <c r="J15737" s="1" t="str">
        <f>"33/33"</f>
        <v>33/33</v>
      </c>
      <c r="K15737" s="1" t="str">
        <f>"2026-07-29 13:18:03"</f>
        <v>2026-07-29 13:18:03</v>
      </c>
      <c r="L15737" s="1" t="str">
        <f>"2018-03-23 14:31:27"</f>
        <v>2018-03-23 14:31:27</v>
      </c>
      <c r="M15737" s="1" t="s">
        <v>0</v>
      </c>
      <c r="N15737" s="1" t="s">
        <v>38</v>
      </c>
      <c r="O15737" s="1" t="s">
        <v>46</v>
      </c>
    </row>
    <row r="15738" spans="2:15" x14ac:dyDescent="0.3">
      <c r="B15738" s="1" t="s">
        <v>19</v>
      </c>
      <c r="C15738" s="1" t="str">
        <f>"3차"</f>
        <v>3차</v>
      </c>
      <c r="D15738" s="1" t="str">
        <f>"0129Y48132"</f>
        <v>0129Y48132</v>
      </c>
      <c r="E15738" s="1" t="s">
        <v>10</v>
      </c>
      <c r="F15738" s="1" t="str">
        <f>"10.107.123.246"</f>
        <v>10.107.123.246</v>
      </c>
      <c r="G15738" s="1" t="str">
        <f>"0129Y481"</f>
        <v>0129Y481</v>
      </c>
      <c r="H15738" s="1" t="str">
        <f>"성암지 3R1"</f>
        <v>성암지 3R1</v>
      </c>
      <c r="I15738" s="1" t="s">
        <v>8</v>
      </c>
      <c r="J15738" s="1" t="str">
        <f>"46/46"</f>
        <v>46/46</v>
      </c>
      <c r="K15738" s="1" t="str">
        <f t="shared" ref="K15738:K15743" si="789">"2026-07-29 13:18:01"</f>
        <v>2026-07-29 13:18:01</v>
      </c>
      <c r="L15738" s="1" t="str">
        <f>"2018-06-19 17:01:09"</f>
        <v>2018-06-19 17:01:09</v>
      </c>
      <c r="M15738" s="1" t="s">
        <v>45</v>
      </c>
      <c r="N15738" s="1" t="s">
        <v>38</v>
      </c>
      <c r="O15738" s="1" t="s">
        <v>46</v>
      </c>
    </row>
    <row r="15739" spans="2:15" x14ac:dyDescent="0.3">
      <c r="B15739" s="1" t="s">
        <v>19</v>
      </c>
      <c r="C15739" s="1" t="str">
        <f>"3차"</f>
        <v>3차</v>
      </c>
      <c r="D15739" s="1" t="str">
        <f>"0129Y49131"</f>
        <v>0129Y49131</v>
      </c>
      <c r="E15739" s="1" t="s">
        <v>10</v>
      </c>
      <c r="F15739" s="1" t="str">
        <f>"10.107.123.251"</f>
        <v>10.107.123.251</v>
      </c>
      <c r="G15739" s="1" t="str">
        <f>"0129Y491"</f>
        <v>0129Y491</v>
      </c>
      <c r="H15739" s="1" t="str">
        <f>"성암지 4R2"</f>
        <v>성암지 4R2</v>
      </c>
      <c r="I15739" s="1" t="s">
        <v>8</v>
      </c>
      <c r="J15739" s="1" t="str">
        <f>"41/41"</f>
        <v>41/41</v>
      </c>
      <c r="K15739" s="1" t="str">
        <f t="shared" si="789"/>
        <v>2026-07-29 13:18:01</v>
      </c>
      <c r="L15739" s="1" t="str">
        <f>"2018-03-23 14:02:27"</f>
        <v>2018-03-23 14:02:27</v>
      </c>
      <c r="M15739" s="1" t="s">
        <v>45</v>
      </c>
      <c r="N15739" s="1" t="s">
        <v>38</v>
      </c>
      <c r="O15739" s="1" t="s">
        <v>46</v>
      </c>
    </row>
    <row r="15740" spans="2:15" x14ac:dyDescent="0.3">
      <c r="B15740" s="1" t="s">
        <v>19</v>
      </c>
      <c r="C15740" s="1" t="str">
        <f>"3차"</f>
        <v>3차</v>
      </c>
      <c r="D15740" s="1" t="str">
        <f>"0129Y49230"</f>
        <v>0129Y49230</v>
      </c>
      <c r="E15740" s="1" t="s">
        <v>10</v>
      </c>
      <c r="F15740" s="1" t="str">
        <f>"10.107.123.250"</f>
        <v>10.107.123.250</v>
      </c>
      <c r="G15740" s="1" t="str">
        <f>"0129Y492"</f>
        <v>0129Y492</v>
      </c>
      <c r="H15740" s="1" t="str">
        <f>"성암지 4R1"</f>
        <v>성암지 4R1</v>
      </c>
      <c r="I15740" s="1" t="s">
        <v>8</v>
      </c>
      <c r="J15740" s="1" t="str">
        <f>"25/25"</f>
        <v>25/25</v>
      </c>
      <c r="K15740" s="1" t="str">
        <f t="shared" si="789"/>
        <v>2026-07-29 13:18:01</v>
      </c>
      <c r="L15740" s="1" t="str">
        <f>"2018-03-23 14:48:25"</f>
        <v>2018-03-23 14:48:25</v>
      </c>
      <c r="M15740" s="1" t="s">
        <v>45</v>
      </c>
      <c r="N15740" s="1" t="s">
        <v>38</v>
      </c>
      <c r="O15740" s="1" t="s">
        <v>46</v>
      </c>
    </row>
    <row r="15741" spans="2:15" x14ac:dyDescent="0.3">
      <c r="B15741" s="1" t="s">
        <v>19</v>
      </c>
      <c r="C15741" s="1" t="str">
        <f>"1차"</f>
        <v>1차</v>
      </c>
      <c r="D15741" s="1" t="str">
        <f>"0129Y57101"</f>
        <v>0129Y57101</v>
      </c>
      <c r="E15741" s="1" t="s">
        <v>10</v>
      </c>
      <c r="F15741" s="1" t="str">
        <f>"10.107.120.163"</f>
        <v>10.107.120.163</v>
      </c>
      <c r="G15741" s="1" t="str">
        <f>"0129Y571"</f>
        <v>0129Y571</v>
      </c>
      <c r="H15741" s="1" t="str">
        <f>"솔샘간 36R3L12R4"</f>
        <v>솔샘간 36R3L12R4</v>
      </c>
      <c r="I15741" s="1" t="s">
        <v>8</v>
      </c>
      <c r="J15741" s="1" t="str">
        <f>"51/51"</f>
        <v>51/51</v>
      </c>
      <c r="K15741" s="1" t="str">
        <f t="shared" si="789"/>
        <v>2026-07-29 13:18:01</v>
      </c>
      <c r="L15741" s="1" t="str">
        <f>"2014-12-30 19:09:46"</f>
        <v>2014-12-30 19:09:46</v>
      </c>
      <c r="M15741" s="1" t="s">
        <v>45</v>
      </c>
      <c r="N15741" s="1" t="s">
        <v>38</v>
      </c>
      <c r="O15741" s="1" t="s">
        <v>46</v>
      </c>
    </row>
    <row r="15742" spans="2:15" x14ac:dyDescent="0.3">
      <c r="B15742" s="1" t="s">
        <v>19</v>
      </c>
      <c r="C15742" s="1" t="str">
        <f>"4차"</f>
        <v>4차</v>
      </c>
      <c r="D15742" s="1" t="str">
        <f>"0129Y59144"</f>
        <v>0129Y59144</v>
      </c>
      <c r="E15742" s="1" t="s">
        <v>10</v>
      </c>
      <c r="F15742" s="1" t="str">
        <f>"10.107.123.252"</f>
        <v>10.107.123.252</v>
      </c>
      <c r="G15742" s="1" t="str">
        <f>"0129Y591"</f>
        <v>0129Y591</v>
      </c>
      <c r="H15742" s="1" t="str">
        <f>"성암지 4R3"</f>
        <v>성암지 4R3</v>
      </c>
      <c r="I15742" s="1" t="s">
        <v>8</v>
      </c>
      <c r="J15742" s="1" t="str">
        <f>"61/63"</f>
        <v>61/63</v>
      </c>
      <c r="K15742" s="1" t="str">
        <f t="shared" si="789"/>
        <v>2026-07-29 13:18:01</v>
      </c>
      <c r="L15742" s="1" t="str">
        <f>"2019-12-13 12:09:18"</f>
        <v>2019-12-13 12:09:18</v>
      </c>
      <c r="M15742" s="1" t="s">
        <v>45</v>
      </c>
      <c r="N15742" s="1" t="s">
        <v>38</v>
      </c>
      <c r="O15742" s="1" t="s">
        <v>46</v>
      </c>
    </row>
    <row r="15743" spans="2:15" x14ac:dyDescent="0.3">
      <c r="B15743" s="1" t="s">
        <v>19</v>
      </c>
      <c r="C15743" s="1" t="str">
        <f>"1차"</f>
        <v>1차</v>
      </c>
      <c r="D15743" s="1" t="str">
        <f>"0129Y63100"</f>
        <v>0129Y63100</v>
      </c>
      <c r="E15743" s="1" t="s">
        <v>10</v>
      </c>
      <c r="F15743" s="1" t="str">
        <f>"10.107.127.90"</f>
        <v>10.107.127.90</v>
      </c>
      <c r="G15743" s="1" t="str">
        <f>"0129Y631"</f>
        <v>0129Y631</v>
      </c>
      <c r="H15743" s="1" t="str">
        <f>"송천간 49L20"</f>
        <v>송천간 49L20</v>
      </c>
      <c r="I15743" s="1" t="s">
        <v>8</v>
      </c>
      <c r="J15743" s="1" t="str">
        <f>"7/7"</f>
        <v>7/7</v>
      </c>
      <c r="K15743" s="1" t="str">
        <f t="shared" si="789"/>
        <v>2026-07-29 13:18:01</v>
      </c>
      <c r="L15743" s="1" t="str">
        <f>"2015-02-10 15:38:21"</f>
        <v>2015-02-10 15:38:21</v>
      </c>
      <c r="M15743" s="1" t="s">
        <v>45</v>
      </c>
      <c r="N15743" s="1" t="s">
        <v>38</v>
      </c>
      <c r="O15743" s="1" t="s">
        <v>46</v>
      </c>
    </row>
    <row r="15744" spans="2:15" x14ac:dyDescent="0.3">
      <c r="B15744" s="1" t="s">
        <v>19</v>
      </c>
      <c r="C15744" s="1" t="str">
        <f>"1차"</f>
        <v>1차</v>
      </c>
      <c r="D15744" s="1" t="str">
        <f>"0129Y63201"</f>
        <v>0129Y63201</v>
      </c>
      <c r="E15744" s="1" t="s">
        <v>10</v>
      </c>
      <c r="F15744" s="1" t="str">
        <f>"10.107.127.91"</f>
        <v>10.107.127.91</v>
      </c>
      <c r="G15744" s="1" t="str">
        <f>"0129Y632"</f>
        <v>0129Y632</v>
      </c>
      <c r="H15744" s="1" t="str">
        <f>"송천간 49L21"</f>
        <v>송천간 49L21</v>
      </c>
      <c r="I15744" s="1" t="s">
        <v>8</v>
      </c>
      <c r="J15744" s="1" t="str">
        <f>"14/15"</f>
        <v>14/15</v>
      </c>
      <c r="K15744" s="1" t="str">
        <f>"2026-07-29 01:18:01"</f>
        <v>2026-07-29 01:18:01</v>
      </c>
      <c r="L15744" s="1" t="str">
        <f>"2015-02-10 15:48:27"</f>
        <v>2015-02-10 15:48:27</v>
      </c>
      <c r="M15744" s="1" t="s">
        <v>45</v>
      </c>
      <c r="N15744" s="1" t="s">
        <v>38</v>
      </c>
      <c r="O15744" s="1" t="s">
        <v>46</v>
      </c>
    </row>
    <row r="15745" spans="2:15" x14ac:dyDescent="0.3">
      <c r="B15745" s="1" t="s">
        <v>19</v>
      </c>
      <c r="C15745" s="1" t="str">
        <f>"1차"</f>
        <v>1차</v>
      </c>
      <c r="D15745" s="1" t="str">
        <f>"0129Y63301"</f>
        <v>0129Y63301</v>
      </c>
      <c r="E15745" s="1" t="s">
        <v>10</v>
      </c>
      <c r="F15745" s="1" t="str">
        <f>"10.107.127.92"</f>
        <v>10.107.127.92</v>
      </c>
      <c r="G15745" s="1" t="str">
        <f>"0129Y633"</f>
        <v>0129Y633</v>
      </c>
      <c r="H15745" s="1" t="str">
        <f>"송천간 49L19L1"</f>
        <v>송천간 49L19L1</v>
      </c>
      <c r="I15745" s="1" t="s">
        <v>8</v>
      </c>
      <c r="J15745" s="1" t="str">
        <f>"32/32"</f>
        <v>32/32</v>
      </c>
      <c r="K15745" s="1" t="str">
        <f>"2026-07-29 13:18:03"</f>
        <v>2026-07-29 13:18:03</v>
      </c>
      <c r="L15745" s="1" t="str">
        <f>"2015-02-10 15:52:27"</f>
        <v>2015-02-10 15:52:27</v>
      </c>
      <c r="M15745" s="1" t="s">
        <v>45</v>
      </c>
      <c r="N15745" s="1" t="s">
        <v>38</v>
      </c>
      <c r="O15745" s="1" t="s">
        <v>46</v>
      </c>
    </row>
    <row r="15746" spans="2:15" x14ac:dyDescent="0.3">
      <c r="B15746" s="1" t="s">
        <v>19</v>
      </c>
      <c r="C15746" s="1" t="str">
        <f>"1차"</f>
        <v>1차</v>
      </c>
      <c r="D15746" s="1" t="str">
        <f>"0129Y65100"</f>
        <v>0129Y65100</v>
      </c>
      <c r="E15746" s="1" t="s">
        <v>10</v>
      </c>
      <c r="F15746" s="1" t="str">
        <f>"10.107.120.179"</f>
        <v>10.107.120.179</v>
      </c>
      <c r="G15746" s="1" t="str">
        <f>"0129Y651"</f>
        <v>0129Y651</v>
      </c>
      <c r="H15746" s="1" t="str">
        <f>"성암지 2R4"</f>
        <v>성암지 2R4</v>
      </c>
      <c r="I15746" s="1" t="s">
        <v>8</v>
      </c>
      <c r="J15746" s="1" t="str">
        <f>"25/26"</f>
        <v>25/26</v>
      </c>
      <c r="K15746" s="1" t="str">
        <f>"2026-07-29 13:18:01"</f>
        <v>2026-07-29 13:18:01</v>
      </c>
      <c r="L15746" s="1" t="str">
        <f>"2014-12-30 19:10:48"</f>
        <v>2014-12-30 19:10:48</v>
      </c>
      <c r="M15746" s="1" t="s">
        <v>45</v>
      </c>
      <c r="N15746" s="1" t="s">
        <v>38</v>
      </c>
      <c r="O15746" s="1" t="s">
        <v>46</v>
      </c>
    </row>
    <row r="15747" spans="2:15" x14ac:dyDescent="0.3">
      <c r="B15747" s="1" t="s">
        <v>19</v>
      </c>
      <c r="C15747" s="1" t="str">
        <f>"1차"</f>
        <v>1차</v>
      </c>
      <c r="D15747" s="1" t="str">
        <f>"0129Y67100"</f>
        <v>0129Y67100</v>
      </c>
      <c r="E15747" s="1" t="s">
        <v>10</v>
      </c>
      <c r="F15747" s="1" t="str">
        <f>"10.107.120.162"</f>
        <v>10.107.120.162</v>
      </c>
      <c r="G15747" s="1" t="str">
        <f>"0129Y671"</f>
        <v>0129Y671</v>
      </c>
      <c r="H15747" s="1" t="str">
        <f>"솔샘간 36R3L12R3"</f>
        <v>솔샘간 36R3L12R3</v>
      </c>
      <c r="I15747" s="1" t="s">
        <v>8</v>
      </c>
      <c r="J15747" s="1" t="str">
        <f>"13/13"</f>
        <v>13/13</v>
      </c>
      <c r="K15747" s="1" t="str">
        <f>"2026-07-29 13:18:01"</f>
        <v>2026-07-29 13:18:01</v>
      </c>
      <c r="L15747" s="1" t="str">
        <f>"2014-12-30 19:08:37"</f>
        <v>2014-12-30 19:08:37</v>
      </c>
      <c r="M15747" s="1" t="s">
        <v>45</v>
      </c>
      <c r="N15747" s="1" t="s">
        <v>38</v>
      </c>
      <c r="O15747" s="1" t="s">
        <v>46</v>
      </c>
    </row>
    <row r="15748" spans="2:15" x14ac:dyDescent="0.3">
      <c r="B15748" s="1" t="s">
        <v>19</v>
      </c>
      <c r="C15748" s="1" t="str">
        <f>"3차"</f>
        <v>3차</v>
      </c>
      <c r="D15748" s="1" t="str">
        <f>"0129Y68239"</f>
        <v>0129Y68239</v>
      </c>
      <c r="E15748" s="1" t="s">
        <v>10</v>
      </c>
      <c r="F15748" s="1" t="str">
        <f>"10.107.120.165"</f>
        <v>10.107.120.165</v>
      </c>
      <c r="G15748" s="1" t="str">
        <f>"0129Y682"</f>
        <v>0129Y682</v>
      </c>
      <c r="H15748" s="1" t="str">
        <f>"성암지 3R3"</f>
        <v>성암지 3R3</v>
      </c>
      <c r="I15748" s="1" t="s">
        <v>8</v>
      </c>
      <c r="J15748" s="1" t="str">
        <f>"86/86"</f>
        <v>86/86</v>
      </c>
      <c r="K15748" s="1" t="str">
        <f>"2026-07-29 13:18:01"</f>
        <v>2026-07-29 13:18:01</v>
      </c>
      <c r="L15748" s="1" t="str">
        <f>"2018-04-17 18:18:58"</f>
        <v>2018-04-17 18:18:58</v>
      </c>
      <c r="M15748" s="1" t="s">
        <v>45</v>
      </c>
      <c r="N15748" s="1" t="s">
        <v>38</v>
      </c>
      <c r="O15748" s="1" t="s">
        <v>46</v>
      </c>
    </row>
    <row r="15749" spans="2:15" x14ac:dyDescent="0.3">
      <c r="B15749" s="1" t="s">
        <v>19</v>
      </c>
      <c r="C15749" s="1" t="str">
        <f>"3차"</f>
        <v>3차</v>
      </c>
      <c r="D15749" s="1" t="str">
        <f>"0129Y69139"</f>
        <v>0129Y69139</v>
      </c>
      <c r="E15749" s="1" t="s">
        <v>10</v>
      </c>
      <c r="F15749" s="1" t="str">
        <f>"10.107.120.183"</f>
        <v>10.107.120.183</v>
      </c>
      <c r="G15749" s="1" t="str">
        <f>"0129Y691"</f>
        <v>0129Y691</v>
      </c>
      <c r="H15749" s="1" t="str">
        <f>"성암지 3R4"</f>
        <v>성암지 3R4</v>
      </c>
      <c r="I15749" s="1" t="s">
        <v>8</v>
      </c>
      <c r="J15749" s="1" t="str">
        <f>"82/88"</f>
        <v>82/88</v>
      </c>
      <c r="K15749" s="1" t="str">
        <f>"2026-07-29 13:18:01"</f>
        <v>2026-07-29 13:18:01</v>
      </c>
      <c r="L15749" s="1" t="str">
        <f>"2018-03-23 14:09:41"</f>
        <v>2018-03-23 14:09:41</v>
      </c>
      <c r="M15749" s="1" t="s">
        <v>45</v>
      </c>
      <c r="N15749" s="1" t="s">
        <v>38</v>
      </c>
      <c r="O15749" s="1" t="s">
        <v>46</v>
      </c>
    </row>
    <row r="15750" spans="2:15" x14ac:dyDescent="0.3">
      <c r="B15750" s="1" t="s">
        <v>19</v>
      </c>
      <c r="C15750" s="1" t="str">
        <f>"5-1차"</f>
        <v>5-1차</v>
      </c>
      <c r="D15750" s="1" t="str">
        <f>"0129Y7215M"</f>
        <v>0129Y7215M</v>
      </c>
      <c r="E15750" s="1" t="s">
        <v>10</v>
      </c>
      <c r="F15750" s="1" t="str">
        <f>"fde3:102:1410:1300:0:0:0:4"</f>
        <v>fde3:102:1410:1300:0:0:0:4</v>
      </c>
      <c r="G15750" s="1" t="str">
        <f>"0129Y721"</f>
        <v>0129Y721</v>
      </c>
      <c r="H15750" s="1" t="str">
        <f>"송천간 49L17"</f>
        <v>송천간 49L17</v>
      </c>
      <c r="I15750" s="1" t="s">
        <v>15</v>
      </c>
      <c r="J15750" s="1" t="str">
        <f>"22/29"</f>
        <v>22/29</v>
      </c>
      <c r="K15750" s="1" t="str">
        <f>"2026-07-29 14:20:23"</f>
        <v>2026-07-29 14:20:23</v>
      </c>
      <c r="L15750" s="1" t="str">
        <f>"2022-09-28 09:25:48"</f>
        <v>2022-09-28 09:25:48</v>
      </c>
      <c r="M15750" s="1" t="s">
        <v>45</v>
      </c>
      <c r="N15750" s="1" t="s">
        <v>38</v>
      </c>
      <c r="O15750" s="1" t="s">
        <v>46</v>
      </c>
    </row>
    <row r="15751" spans="2:15" x14ac:dyDescent="0.3">
      <c r="B15751" s="1" t="s">
        <v>19</v>
      </c>
      <c r="C15751" s="1" t="str">
        <f>"1차"</f>
        <v>1차</v>
      </c>
      <c r="D15751" s="1" t="str">
        <f>"0129Y75201"</f>
        <v>0129Y75201</v>
      </c>
      <c r="E15751" s="1" t="s">
        <v>10</v>
      </c>
      <c r="F15751" s="1" t="str">
        <f>"10.107.120.180"</f>
        <v>10.107.120.180</v>
      </c>
      <c r="G15751" s="1" t="str">
        <f>"0129Y752"</f>
        <v>0129Y752</v>
      </c>
      <c r="H15751" s="1" t="str">
        <f>"성암지 2R6"</f>
        <v>성암지 2R6</v>
      </c>
      <c r="I15751" s="1" t="s">
        <v>8</v>
      </c>
      <c r="J15751" s="1" t="str">
        <f>"47/50"</f>
        <v>47/50</v>
      </c>
      <c r="K15751" s="1" t="str">
        <f>"2026-07-29 13:18:01"</f>
        <v>2026-07-29 13:18:01</v>
      </c>
      <c r="L15751" s="1" t="str">
        <f>"2014-12-30 19:11:30"</f>
        <v>2014-12-30 19:11:30</v>
      </c>
      <c r="M15751" s="1" t="s">
        <v>45</v>
      </c>
      <c r="N15751" s="1" t="s">
        <v>38</v>
      </c>
      <c r="O15751" s="1" t="s">
        <v>46</v>
      </c>
    </row>
    <row r="15752" spans="2:15" x14ac:dyDescent="0.3">
      <c r="B15752" s="1" t="s">
        <v>19</v>
      </c>
      <c r="C15752" s="1" t="str">
        <f>"6차"</f>
        <v>6차</v>
      </c>
      <c r="D15752" s="1" t="str">
        <f>"0129Y7616M"</f>
        <v>0129Y7616M</v>
      </c>
      <c r="E15752" s="1" t="s">
        <v>10</v>
      </c>
      <c r="F15752" s="1" t="str">
        <f>"fde1:103:4:c770:0:0:0:2"</f>
        <v>fde1:103:4:c770:0:0:0:2</v>
      </c>
      <c r="G15752" s="1" t="str">
        <f>"0129Y761"</f>
        <v>0129Y761</v>
      </c>
      <c r="H15752" s="1" t="str">
        <f>"솔샘간 36R3L16"</f>
        <v>솔샘간 36R3L16</v>
      </c>
      <c r="I15752" s="1" t="s">
        <v>15</v>
      </c>
      <c r="J15752" s="1" t="str">
        <f>"32/32"</f>
        <v>32/32</v>
      </c>
      <c r="K15752" s="1" t="str">
        <f>"2026-07-29 14:20:21"</f>
        <v>2026-07-29 14:20:21</v>
      </c>
      <c r="L15752" s="1" t="str">
        <f>"2024-12-04 15:40:37"</f>
        <v>2024-12-04 15:40:37</v>
      </c>
      <c r="M15752" s="1" t="s">
        <v>4</v>
      </c>
      <c r="N15752" s="1" t="s">
        <v>38</v>
      </c>
      <c r="O15752" s="1" t="s">
        <v>46</v>
      </c>
    </row>
    <row r="15753" spans="2:15" x14ac:dyDescent="0.3">
      <c r="B15753" s="1" t="s">
        <v>19</v>
      </c>
      <c r="C15753" s="1" t="str">
        <f>"1차"</f>
        <v>1차</v>
      </c>
      <c r="D15753" s="1" t="str">
        <f>"0129Y77101"</f>
        <v>0129Y77101</v>
      </c>
      <c r="E15753" s="1" t="s">
        <v>10</v>
      </c>
      <c r="F15753" s="1" t="str">
        <f>"10.107.120.164"</f>
        <v>10.107.120.164</v>
      </c>
      <c r="G15753" s="1" t="str">
        <f>"0129Y771"</f>
        <v>0129Y771</v>
      </c>
      <c r="H15753" s="1" t="str">
        <f>"솔샘간 36R3L12R2"</f>
        <v>솔샘간 36R3L12R2</v>
      </c>
      <c r="I15753" s="1" t="s">
        <v>8</v>
      </c>
      <c r="J15753" s="1" t="str">
        <f>"18/18"</f>
        <v>18/18</v>
      </c>
      <c r="K15753" s="1" t="str">
        <f>"2026-07-29 13:18:02"</f>
        <v>2026-07-29 13:18:02</v>
      </c>
      <c r="L15753" s="1" t="str">
        <f>"2014-12-30 19:09:21"</f>
        <v>2014-12-30 19:09:21</v>
      </c>
      <c r="M15753" s="1" t="s">
        <v>45</v>
      </c>
      <c r="N15753" s="1" t="s">
        <v>38</v>
      </c>
      <c r="O15753" s="1" t="s">
        <v>46</v>
      </c>
    </row>
    <row r="15754" spans="2:15" x14ac:dyDescent="0.3">
      <c r="B15754" s="1" t="s">
        <v>19</v>
      </c>
      <c r="C15754" s="1" t="str">
        <f>"4차"</f>
        <v>4차</v>
      </c>
      <c r="D15754" s="1" t="str">
        <f>"0129Y78144"</f>
        <v>0129Y78144</v>
      </c>
      <c r="E15754" s="1" t="s">
        <v>10</v>
      </c>
      <c r="F15754" s="1" t="str">
        <f>"10.107.120.166"</f>
        <v>10.107.120.166</v>
      </c>
      <c r="G15754" s="1" t="str">
        <f>"0129Y781"</f>
        <v>0129Y781</v>
      </c>
      <c r="H15754" s="1" t="str">
        <f>"솔샘간 36R3L12R1"</f>
        <v>솔샘간 36R3L12R1</v>
      </c>
      <c r="I15754" s="1" t="s">
        <v>8</v>
      </c>
      <c r="J15754" s="1" t="str">
        <f>"29/29"</f>
        <v>29/29</v>
      </c>
      <c r="K15754" s="1" t="str">
        <f>"2026-07-29 13:18:01"</f>
        <v>2026-07-29 13:18:01</v>
      </c>
      <c r="L15754" s="1" t="str">
        <f>"2019-11-06 18:33:04"</f>
        <v>2019-11-06 18:33:04</v>
      </c>
      <c r="M15754" s="1" t="s">
        <v>45</v>
      </c>
      <c r="N15754" s="1" t="s">
        <v>38</v>
      </c>
      <c r="O15754" s="1" t="s">
        <v>46</v>
      </c>
    </row>
    <row r="15755" spans="2:15" x14ac:dyDescent="0.3">
      <c r="B15755" s="1" t="s">
        <v>19</v>
      </c>
      <c r="C15755" s="1" t="str">
        <f>"1차"</f>
        <v>1차</v>
      </c>
      <c r="D15755" s="1" t="str">
        <f>"0129Y78200"</f>
        <v>0129Y78200</v>
      </c>
      <c r="E15755" s="1" t="s">
        <v>10</v>
      </c>
      <c r="F15755" s="1" t="str">
        <f>"10.107.120.182"</f>
        <v>10.107.120.182</v>
      </c>
      <c r="G15755" s="1" t="str">
        <f>"0129Y782"</f>
        <v>0129Y782</v>
      </c>
      <c r="H15755" s="1" t="str">
        <f>"솔샘간 36R3L12"</f>
        <v>솔샘간 36R3L12</v>
      </c>
      <c r="I15755" s="1" t="s">
        <v>8</v>
      </c>
      <c r="J15755" s="1" t="str">
        <f>"12/13"</f>
        <v>12/13</v>
      </c>
      <c r="K15755" s="1" t="str">
        <f>"2026-07-29 13:18:01"</f>
        <v>2026-07-29 13:18:01</v>
      </c>
      <c r="L15755" s="1" t="str">
        <f>"2014-12-30 19:55:21"</f>
        <v>2014-12-30 19:55:21</v>
      </c>
      <c r="M15755" s="1" t="s">
        <v>45</v>
      </c>
      <c r="N15755" s="1" t="s">
        <v>38</v>
      </c>
      <c r="O15755" s="1" t="s">
        <v>46</v>
      </c>
    </row>
    <row r="15756" spans="2:15" x14ac:dyDescent="0.3">
      <c r="B15756" s="1" t="s">
        <v>19</v>
      </c>
      <c r="C15756" s="1" t="str">
        <f>"5-2차"</f>
        <v>5-2차</v>
      </c>
      <c r="D15756" s="1" t="str">
        <f>"0129Y8515S"</f>
        <v>0129Y8515S</v>
      </c>
      <c r="E15756" s="1" t="s">
        <v>10</v>
      </c>
      <c r="F15756" s="1" t="str">
        <f>"fde3:102:1410:1600:0:0:0:d"</f>
        <v>fde3:102:1410:1600:0:0:0:d</v>
      </c>
      <c r="G15756" s="1" t="str">
        <f>"0129Y851"</f>
        <v>0129Y851</v>
      </c>
      <c r="H15756" s="1" t="str">
        <f>"수미간 60L18L3"</f>
        <v>수미간 60L18L3</v>
      </c>
      <c r="I15756" s="1" t="s">
        <v>15</v>
      </c>
      <c r="J15756" s="1" t="str">
        <f>"40/41"</f>
        <v>40/41</v>
      </c>
      <c r="K15756" s="1" t="str">
        <f>"2026-07-29 14:20:21"</f>
        <v>2026-07-29 14:20:21</v>
      </c>
      <c r="L15756" s="1" t="str">
        <f>"2023-08-04 10:29:29"</f>
        <v>2023-08-04 10:29:29</v>
      </c>
      <c r="M15756" s="1" t="s">
        <v>45</v>
      </c>
      <c r="N15756" s="1" t="s">
        <v>38</v>
      </c>
      <c r="O15756" s="1" t="s">
        <v>46</v>
      </c>
    </row>
    <row r="15757" spans="2:15" x14ac:dyDescent="0.3">
      <c r="B15757" s="1" t="s">
        <v>19</v>
      </c>
      <c r="C15757" s="1" t="str">
        <f>"1차"</f>
        <v>1차</v>
      </c>
      <c r="D15757" s="1" t="str">
        <f>"0129Y87100"</f>
        <v>0129Y87100</v>
      </c>
      <c r="E15757" s="1" t="s">
        <v>10</v>
      </c>
      <c r="F15757" s="1" t="str">
        <f>"10.107.120.181"</f>
        <v>10.107.120.181</v>
      </c>
      <c r="G15757" s="1" t="str">
        <f>"0129Y871"</f>
        <v>0129Y871</v>
      </c>
      <c r="H15757" s="1" t="str">
        <f>"솔샘간 36R3L14"</f>
        <v>솔샘간 36R3L14</v>
      </c>
      <c r="I15757" s="1" t="s">
        <v>8</v>
      </c>
      <c r="J15757" s="1" t="str">
        <f>"3/3"</f>
        <v>3/3</v>
      </c>
      <c r="K15757" s="1" t="str">
        <f>"2026-07-29 13:18:01"</f>
        <v>2026-07-29 13:18:01</v>
      </c>
      <c r="L15757" s="1" t="str">
        <f>"2014-12-05 15:33:30"</f>
        <v>2014-12-05 15:33:30</v>
      </c>
      <c r="M15757" s="1" t="s">
        <v>45</v>
      </c>
      <c r="N15757" s="1" t="s">
        <v>38</v>
      </c>
      <c r="O15757" s="1" t="s">
        <v>46</v>
      </c>
    </row>
    <row r="15758" spans="2:15" x14ac:dyDescent="0.3">
      <c r="B15758" s="1" t="s">
        <v>19</v>
      </c>
      <c r="C15758" s="1" t="str">
        <f>"1차"</f>
        <v>1차</v>
      </c>
      <c r="D15758" s="1" t="str">
        <f>"0129Y96100"</f>
        <v>0129Y96100</v>
      </c>
      <c r="E15758" s="1" t="s">
        <v>10</v>
      </c>
      <c r="F15758" s="1" t="str">
        <f>"10.107.121.217"</f>
        <v>10.107.121.217</v>
      </c>
      <c r="G15758" s="1" t="str">
        <f>"0129Y961"</f>
        <v>0129Y961</v>
      </c>
      <c r="H15758" s="1" t="str">
        <f>"솔샘간 47R1"</f>
        <v>솔샘간 47R1</v>
      </c>
      <c r="I15758" s="1" t="s">
        <v>8</v>
      </c>
      <c r="J15758" s="1" t="str">
        <f>"10/10"</f>
        <v>10/10</v>
      </c>
      <c r="K15758" s="1" t="str">
        <f>"2026-07-29 13:18:02"</f>
        <v>2026-07-29 13:18:02</v>
      </c>
      <c r="L15758" s="1" t="str">
        <f>"2015-02-06 11:34:20"</f>
        <v>2015-02-06 11:34:20</v>
      </c>
      <c r="M15758" s="1" t="s">
        <v>45</v>
      </c>
      <c r="N15758" s="1" t="s">
        <v>38</v>
      </c>
      <c r="O15758" s="1" t="s">
        <v>46</v>
      </c>
    </row>
    <row r="15759" spans="2:15" x14ac:dyDescent="0.3">
      <c r="B15759" s="1" t="s">
        <v>19</v>
      </c>
      <c r="C15759" s="1" t="str">
        <f>"5-2차"</f>
        <v>5-2차</v>
      </c>
      <c r="D15759" s="1" t="str">
        <f>"0129Z1425M"</f>
        <v>0129Z1425M</v>
      </c>
      <c r="E15759" s="1" t="s">
        <v>10</v>
      </c>
      <c r="F15759" s="1" t="str">
        <f>"fde1:103:4:6efc:0:0:0:2"</f>
        <v>fde1:103:4:6efc:0:0:0:2</v>
      </c>
      <c r="G15759" s="1" t="str">
        <f>"0129Z142"</f>
        <v>0129Z142</v>
      </c>
      <c r="H15759" s="1" t="str">
        <f>"신일간 65"</f>
        <v>신일간 65</v>
      </c>
      <c r="I15759" s="1" t="s">
        <v>15</v>
      </c>
      <c r="J15759" s="1" t="str">
        <f>"42/43"</f>
        <v>42/43</v>
      </c>
      <c r="K15759" s="1" t="str">
        <f>"2026-07-29 14:20:22"</f>
        <v>2026-07-29 14:20:22</v>
      </c>
      <c r="L15759" s="1" t="str">
        <f>"2023-11-15 14:24:23"</f>
        <v>2023-11-15 14:24:23</v>
      </c>
      <c r="M15759" s="1" t="s">
        <v>4</v>
      </c>
      <c r="N15759" s="1" t="s">
        <v>38</v>
      </c>
      <c r="O15759" s="1" t="s">
        <v>46</v>
      </c>
    </row>
    <row r="15760" spans="2:15" x14ac:dyDescent="0.3">
      <c r="B15760" s="1" t="s">
        <v>19</v>
      </c>
      <c r="C15760" s="1" t="str">
        <f>"1차"</f>
        <v>1차</v>
      </c>
      <c r="D15760" s="1" t="str">
        <f>"0129Z18101"</f>
        <v>0129Z18101</v>
      </c>
      <c r="E15760" s="1" t="s">
        <v>10</v>
      </c>
      <c r="F15760" s="1" t="str">
        <f>"10.14.5.25"</f>
        <v>10.14.5.25</v>
      </c>
      <c r="G15760" s="1" t="str">
        <f>"0129Z181"</f>
        <v>0129Z181</v>
      </c>
      <c r="H15760" s="1" t="str">
        <f>"신일간 61L3"</f>
        <v>신일간 61L3</v>
      </c>
      <c r="I15760" s="1" t="s">
        <v>8</v>
      </c>
      <c r="J15760" s="1" t="str">
        <f>"41/41"</f>
        <v>41/41</v>
      </c>
      <c r="K15760" s="1" t="str">
        <f>"2026-07-29 13:18:02"</f>
        <v>2026-07-29 13:18:02</v>
      </c>
      <c r="L15760" s="1" t="str">
        <f>"2014-12-10 15:13:19"</f>
        <v>2014-12-10 15:13:19</v>
      </c>
      <c r="M15760" s="1" t="s">
        <v>3</v>
      </c>
      <c r="N15760" s="1" t="s">
        <v>38</v>
      </c>
      <c r="O15760" s="1" t="s">
        <v>46</v>
      </c>
    </row>
    <row r="15761" spans="2:15" x14ac:dyDescent="0.3">
      <c r="B15761" s="1" t="s">
        <v>19</v>
      </c>
      <c r="C15761" s="1" t="str">
        <f>"5-2차"</f>
        <v>5-2차</v>
      </c>
      <c r="D15761" s="1" t="str">
        <f>"0129Z1915M"</f>
        <v>0129Z1915M</v>
      </c>
      <c r="E15761" s="1" t="s">
        <v>10</v>
      </c>
      <c r="F15761" s="1" t="str">
        <f>"fde1:103:4:6efb:0:0:0:2"</f>
        <v>fde1:103:4:6efb:0:0:0:2</v>
      </c>
      <c r="G15761" s="1" t="str">
        <f>"0129Z191"</f>
        <v>0129Z191</v>
      </c>
      <c r="H15761" s="1" t="str">
        <f>"신일간 61L5"</f>
        <v>신일간 61L5</v>
      </c>
      <c r="I15761" s="1" t="s">
        <v>15</v>
      </c>
      <c r="J15761" s="1" t="str">
        <f>"40/40"</f>
        <v>40/40</v>
      </c>
      <c r="K15761" s="1" t="str">
        <f>"2026-07-29 14:20:04"</f>
        <v>2026-07-29 14:20:04</v>
      </c>
      <c r="L15761" s="1" t="str">
        <f>"2023-11-15 14:36:36"</f>
        <v>2023-11-15 14:36:36</v>
      </c>
      <c r="M15761" s="1" t="s">
        <v>4</v>
      </c>
      <c r="N15761" s="1" t="s">
        <v>38</v>
      </c>
      <c r="O15761" s="1" t="s">
        <v>46</v>
      </c>
    </row>
    <row r="15762" spans="2:15" x14ac:dyDescent="0.3">
      <c r="B15762" s="1" t="s">
        <v>19</v>
      </c>
      <c r="C15762" s="1" t="str">
        <f>"1차"</f>
        <v>1차</v>
      </c>
      <c r="D15762" s="1" t="str">
        <f>"0129Z28100"</f>
        <v>0129Z28100</v>
      </c>
      <c r="E15762" s="1" t="s">
        <v>10</v>
      </c>
      <c r="F15762" s="1" t="str">
        <f>"10.107.1.5"</f>
        <v>10.107.1.5</v>
      </c>
      <c r="G15762" s="1" t="str">
        <f>"0129Z281"</f>
        <v>0129Z281</v>
      </c>
      <c r="H15762" s="1" t="str">
        <f>"신일간 61L3R1"</f>
        <v>신일간 61L3R1</v>
      </c>
      <c r="I15762" s="1" t="s">
        <v>8</v>
      </c>
      <c r="J15762" s="1" t="str">
        <f>"8/9"</f>
        <v>8/9</v>
      </c>
      <c r="K15762" s="1" t="str">
        <f>"2026-07-29 13:18:02"</f>
        <v>2026-07-29 13:18:02</v>
      </c>
      <c r="L15762" s="1" t="str">
        <f>"2014-12-10 15:12:34"</f>
        <v>2014-12-10 15:12:34</v>
      </c>
      <c r="M15762" s="1" t="s">
        <v>45</v>
      </c>
      <c r="N15762" s="1" t="s">
        <v>38</v>
      </c>
      <c r="O15762" s="1" t="s">
        <v>46</v>
      </c>
    </row>
    <row r="15763" spans="2:15" x14ac:dyDescent="0.3">
      <c r="B15763" s="1" t="s">
        <v>19</v>
      </c>
      <c r="C15763" s="1" t="str">
        <f>"4차"</f>
        <v>4차</v>
      </c>
      <c r="D15763" s="1" t="str">
        <f>"0129Z29142"</f>
        <v>0129Z29142</v>
      </c>
      <c r="E15763" s="1" t="s">
        <v>10</v>
      </c>
      <c r="F15763" s="1" t="str">
        <f>"10.107.2.44"</f>
        <v>10.107.2.44</v>
      </c>
      <c r="G15763" s="1" t="str">
        <f>"0129Z291"</f>
        <v>0129Z291</v>
      </c>
      <c r="H15763" s="1" t="str">
        <f>"신일간 61L5R2"</f>
        <v>신일간 61L5R2</v>
      </c>
      <c r="I15763" s="1" t="s">
        <v>8</v>
      </c>
      <c r="J15763" s="1" t="str">
        <f>"35/36"</f>
        <v>35/36</v>
      </c>
      <c r="K15763" s="1" t="str">
        <f>"2026-07-29 13:18:02"</f>
        <v>2026-07-29 13:18:02</v>
      </c>
      <c r="L15763" s="1" t="str">
        <f>"2024-12-24 10:40:55"</f>
        <v>2024-12-24 10:40:55</v>
      </c>
      <c r="M15763" s="1" t="s">
        <v>45</v>
      </c>
      <c r="N15763" s="1" t="s">
        <v>38</v>
      </c>
      <c r="O15763" s="1" t="s">
        <v>46</v>
      </c>
    </row>
    <row r="15764" spans="2:15" x14ac:dyDescent="0.3">
      <c r="B15764" s="1" t="s">
        <v>19</v>
      </c>
      <c r="C15764" s="1" t="str">
        <f>"6차"</f>
        <v>6차</v>
      </c>
      <c r="D15764" s="1" t="str">
        <f>"0129Z3026M"</f>
        <v>0129Z3026M</v>
      </c>
      <c r="E15764" s="1" t="s">
        <v>10</v>
      </c>
      <c r="F15764" s="1" t="str">
        <f>"fde1:103:4:c769:0:0:0:2"</f>
        <v>fde1:103:4:c769:0:0:0:2</v>
      </c>
      <c r="G15764" s="1" t="str">
        <f>"0129Z302"</f>
        <v>0129Z302</v>
      </c>
      <c r="H15764" s="1" t="str">
        <f>"대지간 76R37"</f>
        <v>대지간 76R37</v>
      </c>
      <c r="I15764" s="1" t="s">
        <v>15</v>
      </c>
      <c r="J15764" s="1" t="str">
        <f>"51/55"</f>
        <v>51/55</v>
      </c>
      <c r="K15764" s="1" t="str">
        <f>"2026-07-29 14:20:22"</f>
        <v>2026-07-29 14:20:22</v>
      </c>
      <c r="L15764" s="1" t="str">
        <f>"2024-12-04 15:41:01"</f>
        <v>2024-12-04 15:41:01</v>
      </c>
      <c r="M15764" s="1" t="s">
        <v>4</v>
      </c>
      <c r="N15764" s="1" t="s">
        <v>38</v>
      </c>
      <c r="O15764" s="1" t="s">
        <v>46</v>
      </c>
    </row>
    <row r="15765" spans="2:15" x14ac:dyDescent="0.3">
      <c r="B15765" s="1" t="s">
        <v>19</v>
      </c>
      <c r="C15765" s="1" t="str">
        <f>"4차"</f>
        <v>4차</v>
      </c>
      <c r="D15765" s="1" t="str">
        <f>"0129Z32442"</f>
        <v>0129Z32442</v>
      </c>
      <c r="E15765" s="1" t="s">
        <v>10</v>
      </c>
      <c r="F15765" s="1" t="str">
        <f>"10.107.121.212"</f>
        <v>10.107.121.212</v>
      </c>
      <c r="G15765" s="1" t="str">
        <f>"0129Z324"</f>
        <v>0129Z324</v>
      </c>
      <c r="H15765" s="1" t="str">
        <f>"대지간 103R2"</f>
        <v>대지간 103R2</v>
      </c>
      <c r="I15765" s="1" t="s">
        <v>8</v>
      </c>
      <c r="J15765" s="1" t="str">
        <f>"51/51"</f>
        <v>51/51</v>
      </c>
      <c r="K15765" s="1" t="str">
        <f>"2026-07-29 13:18:02"</f>
        <v>2026-07-29 13:18:02</v>
      </c>
      <c r="L15765" s="1" t="str">
        <f>"2025-09-29 16:12:32"</f>
        <v>2025-09-29 16:12:32</v>
      </c>
      <c r="M15765" s="1" t="s">
        <v>45</v>
      </c>
      <c r="N15765" s="1" t="s">
        <v>38</v>
      </c>
      <c r="O15765" s="1" t="s">
        <v>46</v>
      </c>
    </row>
    <row r="15766" spans="2:15" x14ac:dyDescent="0.3">
      <c r="B15766" s="1" t="s">
        <v>19</v>
      </c>
      <c r="C15766" s="1" t="str">
        <f>"1차"</f>
        <v>1차</v>
      </c>
      <c r="D15766" s="1" t="str">
        <f>"0129Z38101"</f>
        <v>0129Z38101</v>
      </c>
      <c r="E15766" s="1" t="str">
        <f>"검침실패(3시간 이상)"</f>
        <v>검침실패(3시간 이상)</v>
      </c>
      <c r="F15766" s="1" t="str">
        <f>"10.14.4.4"</f>
        <v>10.14.4.4</v>
      </c>
      <c r="G15766" s="1" t="str">
        <f>"0129Z381"</f>
        <v>0129Z381</v>
      </c>
      <c r="H15766" s="1" t="str">
        <f>"신일간 61L3R2"</f>
        <v>신일간 61L3R2</v>
      </c>
      <c r="I15766" s="1" t="s">
        <v>8</v>
      </c>
      <c r="J15766" s="1" t="str">
        <f>"0/17"</f>
        <v>0/17</v>
      </c>
      <c r="K15766" s="1" t="str">
        <f>"2026-07-29 13:18:04"</f>
        <v>2026-07-29 13:18:04</v>
      </c>
      <c r="L15766" s="1" t="str">
        <f>"2014-12-10 15:12:34"</f>
        <v>2014-12-10 15:12:34</v>
      </c>
      <c r="M15766" s="1" t="s">
        <v>3</v>
      </c>
      <c r="N15766" s="1" t="s">
        <v>38</v>
      </c>
      <c r="O15766" s="1" t="s">
        <v>46</v>
      </c>
    </row>
    <row r="15767" spans="2:15" x14ac:dyDescent="0.3">
      <c r="B15767" s="1" t="s">
        <v>19</v>
      </c>
      <c r="C15767" s="1" t="str">
        <f>"3차"</f>
        <v>3차</v>
      </c>
      <c r="D15767" s="1" t="str">
        <f>"0129Z40439"</f>
        <v>0129Z40439</v>
      </c>
      <c r="E15767" s="1" t="s">
        <v>10</v>
      </c>
      <c r="F15767" s="1" t="str">
        <f>"10.107.121.213"</f>
        <v>10.107.121.213</v>
      </c>
      <c r="G15767" s="1" t="str">
        <f>"0129Z404"</f>
        <v>0129Z404</v>
      </c>
      <c r="H15767" s="1" t="str">
        <f>"대지간 76R35"</f>
        <v>대지간 76R35</v>
      </c>
      <c r="I15767" s="1" t="s">
        <v>8</v>
      </c>
      <c r="J15767" s="1" t="str">
        <f>"60/61"</f>
        <v>60/61</v>
      </c>
      <c r="K15767" s="1" t="str">
        <f>"2026-07-29 13:18:02"</f>
        <v>2026-07-29 13:18:02</v>
      </c>
      <c r="L15767" s="1" t="str">
        <f>"2018-04-09 11:53:15"</f>
        <v>2018-04-09 11:53:15</v>
      </c>
      <c r="M15767" s="1" t="s">
        <v>45</v>
      </c>
      <c r="N15767" s="1" t="s">
        <v>38</v>
      </c>
      <c r="O15767" s="1" t="s">
        <v>46</v>
      </c>
    </row>
    <row r="15768" spans="2:15" x14ac:dyDescent="0.3">
      <c r="B15768" s="1" t="s">
        <v>19</v>
      </c>
      <c r="C15768" s="1" t="str">
        <f>"1차"</f>
        <v>1차</v>
      </c>
      <c r="D15768" s="1" t="str">
        <f>"0129Z41101"</f>
        <v>0129Z41101</v>
      </c>
      <c r="E15768" s="1" t="s">
        <v>10</v>
      </c>
      <c r="F15768" s="1" t="str">
        <f>"10.12.128.206"</f>
        <v>10.12.128.206</v>
      </c>
      <c r="G15768" s="1" t="str">
        <f>"0129Z411"</f>
        <v>0129Z411</v>
      </c>
      <c r="H15768" s="1" t="str">
        <f>"대지간 76R37R2"</f>
        <v>대지간 76R37R2</v>
      </c>
      <c r="I15768" s="1" t="s">
        <v>8</v>
      </c>
      <c r="J15768" s="1" t="str">
        <f>"14/14"</f>
        <v>14/14</v>
      </c>
      <c r="K15768" s="1" t="str">
        <f>"2026-07-29 13:18:03"</f>
        <v>2026-07-29 13:18:03</v>
      </c>
      <c r="L15768" s="1" t="str">
        <f>"2014-11-04 00:12:40"</f>
        <v>2014-11-04 00:12:40</v>
      </c>
      <c r="M15768" s="1" t="s">
        <v>0</v>
      </c>
      <c r="N15768" s="1" t="s">
        <v>38</v>
      </c>
      <c r="O15768" s="1" t="s">
        <v>46</v>
      </c>
    </row>
    <row r="15769" spans="2:15" x14ac:dyDescent="0.3">
      <c r="B15769" s="1" t="s">
        <v>19</v>
      </c>
      <c r="C15769" s="1" t="str">
        <f>"3차"</f>
        <v>3차</v>
      </c>
      <c r="D15769" s="1" t="str">
        <f>"0129Z42239"</f>
        <v>0129Z42239</v>
      </c>
      <c r="E15769" s="1" t="s">
        <v>10</v>
      </c>
      <c r="F15769" s="1" t="str">
        <f>"10.107.121.214"</f>
        <v>10.107.121.214</v>
      </c>
      <c r="G15769" s="1" t="str">
        <f>"0129Z422"</f>
        <v>0129Z422</v>
      </c>
      <c r="H15769" s="1" t="str">
        <f>"대지간 103R4"</f>
        <v>대지간 103R4</v>
      </c>
      <c r="I15769" s="1" t="s">
        <v>8</v>
      </c>
      <c r="J15769" s="1" t="str">
        <f>"59/63"</f>
        <v>59/63</v>
      </c>
      <c r="K15769" s="1" t="str">
        <f>"2026-07-29 13:18:02"</f>
        <v>2026-07-29 13:18:02</v>
      </c>
      <c r="L15769" s="1" t="str">
        <f>"2018-04-17 18:15:40"</f>
        <v>2018-04-17 18:15:40</v>
      </c>
      <c r="M15769" s="1" t="s">
        <v>45</v>
      </c>
      <c r="N15769" s="1" t="s">
        <v>38</v>
      </c>
      <c r="O15769" s="1" t="s">
        <v>46</v>
      </c>
    </row>
    <row r="15770" spans="2:15" x14ac:dyDescent="0.3">
      <c r="B15770" s="1" t="s">
        <v>19</v>
      </c>
      <c r="C15770" s="1" t="str">
        <f>"5-2차"</f>
        <v>5-2차</v>
      </c>
      <c r="D15770" s="1" t="str">
        <f>"0129Z4425S"</f>
        <v>0129Z4425S</v>
      </c>
      <c r="E15770" s="1" t="s">
        <v>10</v>
      </c>
      <c r="F15770" s="1" t="str">
        <f>"fde1:103:4:6f00:0:0:0:2"</f>
        <v>fde1:103:4:6f00:0:0:0:2</v>
      </c>
      <c r="G15770" s="1" t="str">
        <f>"0129Z442"</f>
        <v>0129Z442</v>
      </c>
      <c r="H15770" s="1" t="str">
        <f>"대지간 102L1R3"</f>
        <v>대지간 102L1R3</v>
      </c>
      <c r="I15770" s="1" t="s">
        <v>15</v>
      </c>
      <c r="J15770" s="1" t="str">
        <f>"47/47"</f>
        <v>47/47</v>
      </c>
      <c r="K15770" s="1" t="str">
        <f>"2026-07-29 14:20:28"</f>
        <v>2026-07-29 14:20:28</v>
      </c>
      <c r="L15770" s="1" t="str">
        <f>"2023-11-15 14:36:42"</f>
        <v>2023-11-15 14:36:42</v>
      </c>
      <c r="M15770" s="1" t="s">
        <v>4</v>
      </c>
      <c r="N15770" s="1" t="s">
        <v>38</v>
      </c>
      <c r="O15770" s="1" t="s">
        <v>46</v>
      </c>
    </row>
    <row r="15771" spans="2:15" x14ac:dyDescent="0.3">
      <c r="B15771" s="1" t="s">
        <v>19</v>
      </c>
      <c r="C15771" s="1" t="str">
        <f t="shared" ref="C15771:C15776" si="790">"3차"</f>
        <v>3차</v>
      </c>
      <c r="D15771" s="1" t="str">
        <f>"0129Z50239"</f>
        <v>0129Z50239</v>
      </c>
      <c r="E15771" s="1" t="s">
        <v>10</v>
      </c>
      <c r="F15771" s="1" t="str">
        <f>"10.107.120.176"</f>
        <v>10.107.120.176</v>
      </c>
      <c r="G15771" s="1" t="str">
        <f>"0129Z502"</f>
        <v>0129Z502</v>
      </c>
      <c r="H15771" s="1" t="str">
        <f>"대지간 103R5R5"</f>
        <v>대지간 103R5R5</v>
      </c>
      <c r="I15771" s="1" t="s">
        <v>8</v>
      </c>
      <c r="J15771" s="1" t="str">
        <f>"48/49"</f>
        <v>48/49</v>
      </c>
      <c r="K15771" s="1" t="str">
        <f>"2026-07-29 13:18:02"</f>
        <v>2026-07-29 13:18:02</v>
      </c>
      <c r="L15771" s="1" t="str">
        <f>"2018-02-21 17:35:30"</f>
        <v>2018-02-21 17:35:30</v>
      </c>
      <c r="M15771" s="1" t="s">
        <v>45</v>
      </c>
      <c r="N15771" s="1" t="s">
        <v>38</v>
      </c>
      <c r="O15771" s="1" t="s">
        <v>46</v>
      </c>
    </row>
    <row r="15772" spans="2:15" x14ac:dyDescent="0.3">
      <c r="B15772" s="1" t="s">
        <v>19</v>
      </c>
      <c r="C15772" s="1" t="str">
        <f t="shared" si="790"/>
        <v>3차</v>
      </c>
      <c r="D15772" s="1" t="str">
        <f>"0129Z50339"</f>
        <v>0129Z50339</v>
      </c>
      <c r="E15772" s="1" t="s">
        <v>10</v>
      </c>
      <c r="F15772" s="1" t="str">
        <f>"10.107.120.177"</f>
        <v>10.107.120.177</v>
      </c>
      <c r="G15772" s="1" t="str">
        <f>"0129Z503"</f>
        <v>0129Z503</v>
      </c>
      <c r="H15772" s="1" t="str">
        <f>"대지간 103R5R3"</f>
        <v>대지간 103R5R3</v>
      </c>
      <c r="I15772" s="1" t="s">
        <v>8</v>
      </c>
      <c r="J15772" s="1" t="str">
        <f>"19/19"</f>
        <v>19/19</v>
      </c>
      <c r="K15772" s="1" t="str">
        <f>"2026-07-29 13:18:02"</f>
        <v>2026-07-29 13:18:02</v>
      </c>
      <c r="L15772" s="1" t="str">
        <f>"2018-02-21 18:36:30"</f>
        <v>2018-02-21 18:36:30</v>
      </c>
      <c r="M15772" s="1" t="s">
        <v>45</v>
      </c>
      <c r="N15772" s="1" t="s">
        <v>38</v>
      </c>
      <c r="O15772" s="1" t="s">
        <v>46</v>
      </c>
    </row>
    <row r="15773" spans="2:15" x14ac:dyDescent="0.3">
      <c r="B15773" s="1" t="s">
        <v>19</v>
      </c>
      <c r="C15773" s="1" t="str">
        <f t="shared" si="790"/>
        <v>3차</v>
      </c>
      <c r="D15773" s="1" t="str">
        <f>"0129Z52639"</f>
        <v>0129Z52639</v>
      </c>
      <c r="E15773" s="1" t="s">
        <v>10</v>
      </c>
      <c r="F15773" s="1" t="str">
        <f>"10.107.120.178"</f>
        <v>10.107.120.178</v>
      </c>
      <c r="G15773" s="1" t="str">
        <f>"0129Z526"</f>
        <v>0129Z526</v>
      </c>
      <c r="H15773" s="1" t="str">
        <f>"대지간 103R5R1"</f>
        <v>대지간 103R5R1</v>
      </c>
      <c r="I15773" s="1" t="s">
        <v>8</v>
      </c>
      <c r="J15773" s="1" t="str">
        <f>"68/68"</f>
        <v>68/68</v>
      </c>
      <c r="K15773" s="1" t="str">
        <f>"2026-07-29 13:18:01"</f>
        <v>2026-07-29 13:18:01</v>
      </c>
      <c r="L15773" s="1" t="str">
        <f>"2018-02-25 19:20:36"</f>
        <v>2018-02-25 19:20:36</v>
      </c>
      <c r="M15773" s="1" t="s">
        <v>45</v>
      </c>
      <c r="N15773" s="1" t="s">
        <v>38</v>
      </c>
      <c r="O15773" s="1" t="s">
        <v>46</v>
      </c>
    </row>
    <row r="15774" spans="2:15" x14ac:dyDescent="0.3">
      <c r="B15774" s="1" t="s">
        <v>19</v>
      </c>
      <c r="C15774" s="1" t="str">
        <f t="shared" si="790"/>
        <v>3차</v>
      </c>
      <c r="D15774" s="1" t="str">
        <f>"0129Z61130"</f>
        <v>0129Z61130</v>
      </c>
      <c r="E15774" s="1" t="s">
        <v>10</v>
      </c>
      <c r="F15774" s="1" t="str">
        <f>"10.107.121.215"</f>
        <v>10.107.121.215</v>
      </c>
      <c r="G15774" s="1" t="str">
        <f>"0129Z611"</f>
        <v>0129Z611</v>
      </c>
      <c r="H15774" s="1" t="str">
        <f>"대지간 103R6R2"</f>
        <v>대지간 103R6R2</v>
      </c>
      <c r="I15774" s="1" t="s">
        <v>8</v>
      </c>
      <c r="J15774" s="1" t="str">
        <f>"67/67"</f>
        <v>67/67</v>
      </c>
      <c r="K15774" s="1" t="str">
        <f>"2026-07-29 13:18:01"</f>
        <v>2026-07-29 13:18:01</v>
      </c>
      <c r="L15774" s="1" t="str">
        <f>"2018-02-21 18:20:30"</f>
        <v>2018-02-21 18:20:30</v>
      </c>
      <c r="M15774" s="1" t="s">
        <v>45</v>
      </c>
      <c r="N15774" s="1" t="s">
        <v>38</v>
      </c>
      <c r="O15774" s="1" t="s">
        <v>46</v>
      </c>
    </row>
    <row r="15775" spans="2:15" x14ac:dyDescent="0.3">
      <c r="B15775" s="1" t="s">
        <v>19</v>
      </c>
      <c r="C15775" s="1" t="str">
        <f t="shared" si="790"/>
        <v>3차</v>
      </c>
      <c r="D15775" s="1" t="str">
        <f>"0129Z61231"</f>
        <v>0129Z61231</v>
      </c>
      <c r="E15775" s="1" t="s">
        <v>10</v>
      </c>
      <c r="F15775" s="1" t="str">
        <f>"10.12.138.104"</f>
        <v>10.12.138.104</v>
      </c>
      <c r="G15775" s="1" t="str">
        <f>"0129Z612"</f>
        <v>0129Z612</v>
      </c>
      <c r="H15775" s="1" t="str">
        <f>"대지간 103R6R3"</f>
        <v>대지간 103R6R3</v>
      </c>
      <c r="I15775" s="1" t="s">
        <v>8</v>
      </c>
      <c r="J15775" s="1" t="str">
        <f>"71/71"</f>
        <v>71/71</v>
      </c>
      <c r="K15775" s="1" t="str">
        <f>"2026-07-29 13:18:01"</f>
        <v>2026-07-29 13:18:01</v>
      </c>
      <c r="L15775" s="1" t="str">
        <f>"2018-06-19 12:24:15"</f>
        <v>2018-06-19 12:24:15</v>
      </c>
      <c r="M15775" s="1" t="s">
        <v>0</v>
      </c>
      <c r="N15775" s="1" t="s">
        <v>38</v>
      </c>
      <c r="O15775" s="1" t="s">
        <v>46</v>
      </c>
    </row>
    <row r="15776" spans="2:15" x14ac:dyDescent="0.3">
      <c r="B15776" s="1" t="s">
        <v>19</v>
      </c>
      <c r="C15776" s="1" t="str">
        <f t="shared" si="790"/>
        <v>3차</v>
      </c>
      <c r="D15776" s="1" t="str">
        <f>"0129Z62539"</f>
        <v>0129Z62539</v>
      </c>
      <c r="E15776" s="1" t="s">
        <v>10</v>
      </c>
      <c r="F15776" s="1" t="str">
        <f>"10.107.121.216"</f>
        <v>10.107.121.216</v>
      </c>
      <c r="G15776" s="1" t="str">
        <f>"0129Z625"</f>
        <v>0129Z625</v>
      </c>
      <c r="H15776" s="1" t="str">
        <f>"대지간 103HR7"</f>
        <v>대지간 103HR7</v>
      </c>
      <c r="I15776" s="1" t="s">
        <v>8</v>
      </c>
      <c r="J15776" s="1" t="str">
        <f>"24/27"</f>
        <v>24/27</v>
      </c>
      <c r="K15776" s="1" t="str">
        <f>"2026-07-29 13:18:01"</f>
        <v>2026-07-29 13:18:01</v>
      </c>
      <c r="L15776" s="1" t="str">
        <f>"2024-08-20 15:26:29"</f>
        <v>2024-08-20 15:26:29</v>
      </c>
      <c r="M15776" s="1" t="s">
        <v>45</v>
      </c>
      <c r="N15776" s="1" t="s">
        <v>38</v>
      </c>
      <c r="O15776" s="1" t="s">
        <v>46</v>
      </c>
    </row>
    <row r="15777" spans="2:15" x14ac:dyDescent="0.3">
      <c r="B15777" s="1" t="s">
        <v>19</v>
      </c>
      <c r="C15777" s="1" t="str">
        <f>"1차"</f>
        <v>1차</v>
      </c>
      <c r="D15777" s="1" t="str">
        <f>"0129Z71200"</f>
        <v>0129Z71200</v>
      </c>
      <c r="E15777" s="1" t="s">
        <v>10</v>
      </c>
      <c r="F15777" s="1" t="str">
        <f>"10.107.2.45"</f>
        <v>10.107.2.45</v>
      </c>
      <c r="G15777" s="1" t="str">
        <f>"0129Z712"</f>
        <v>0129Z712</v>
      </c>
      <c r="H15777" s="1" t="str">
        <f>"대지간 64R7L11"</f>
        <v>대지간 64R7L11</v>
      </c>
      <c r="I15777" s="1" t="s">
        <v>8</v>
      </c>
      <c r="J15777" s="1" t="str">
        <f>"49/53"</f>
        <v>49/53</v>
      </c>
      <c r="K15777" s="1" t="str">
        <f>"2026-07-29 13:18:02"</f>
        <v>2026-07-29 13:18:02</v>
      </c>
      <c r="L15777" s="1" t="str">
        <f>"2014-10-30 16:31:29"</f>
        <v>2014-10-30 16:31:29</v>
      </c>
      <c r="M15777" s="1" t="s">
        <v>45</v>
      </c>
      <c r="N15777" s="1" t="s">
        <v>38</v>
      </c>
      <c r="O15777" s="1" t="s">
        <v>46</v>
      </c>
    </row>
    <row r="15778" spans="2:15" x14ac:dyDescent="0.3">
      <c r="B15778" s="1" t="s">
        <v>19</v>
      </c>
      <c r="C15778" s="1" t="str">
        <f>"5-2차"</f>
        <v>5-2차</v>
      </c>
      <c r="D15778" s="1" t="str">
        <f>"0129Z7235M"</f>
        <v>0129Z7235M</v>
      </c>
      <c r="E15778" s="1" t="s">
        <v>10</v>
      </c>
      <c r="F15778" s="1" t="str">
        <f>"fde3:102:1410:7100:0:0:0:9"</f>
        <v>fde3:102:1410:7100:0:0:0:9</v>
      </c>
      <c r="G15778" s="1" t="str">
        <f>"0129Z723"</f>
        <v>0129Z723</v>
      </c>
      <c r="H15778" s="1" t="str">
        <f>"대지간 110H1"</f>
        <v>대지간 110H1</v>
      </c>
      <c r="I15778" s="1" t="s">
        <v>15</v>
      </c>
      <c r="J15778" s="1" t="str">
        <f>"62/62"</f>
        <v>62/62</v>
      </c>
      <c r="K15778" s="1" t="str">
        <f>"2026-07-29 14:20:23"</f>
        <v>2026-07-29 14:20:23</v>
      </c>
      <c r="L15778" s="1" t="str">
        <f>"2023-08-04 10:14:36"</f>
        <v>2023-08-04 10:14:36</v>
      </c>
      <c r="M15778" s="1" t="s">
        <v>45</v>
      </c>
      <c r="N15778" s="1" t="s">
        <v>38</v>
      </c>
      <c r="O15778" s="1" t="s">
        <v>46</v>
      </c>
    </row>
    <row r="15779" spans="2:15" x14ac:dyDescent="0.3">
      <c r="B15779" s="1" t="s">
        <v>19</v>
      </c>
      <c r="C15779" s="1" t="str">
        <f>"5-1차"</f>
        <v>5-1차</v>
      </c>
      <c r="D15779" s="1" t="str">
        <f>"0129Z7325S"</f>
        <v>0129Z7325S</v>
      </c>
      <c r="E15779" s="1" t="s">
        <v>10</v>
      </c>
      <c r="F15779" s="1" t="str">
        <f>"fde3:102:1410:7100:0:0:0:2"</f>
        <v>fde3:102:1410:7100:0:0:0:2</v>
      </c>
      <c r="G15779" s="1" t="str">
        <f>"0129Z732"</f>
        <v>0129Z732</v>
      </c>
      <c r="H15779" s="1" t="str">
        <f>"대지간 110L2"</f>
        <v>대지간 110L2</v>
      </c>
      <c r="I15779" s="1" t="s">
        <v>15</v>
      </c>
      <c r="J15779" s="1" t="str">
        <f>"32/32"</f>
        <v>32/32</v>
      </c>
      <c r="K15779" s="1" t="str">
        <f>"2026-07-29 14:20:24"</f>
        <v>2026-07-29 14:20:24</v>
      </c>
      <c r="L15779" s="1" t="str">
        <f>"2022-09-30 18:42:23"</f>
        <v>2022-09-30 18:42:23</v>
      </c>
      <c r="M15779" s="1" t="s">
        <v>45</v>
      </c>
      <c r="N15779" s="1" t="s">
        <v>38</v>
      </c>
      <c r="O15779" s="1" t="s">
        <v>46</v>
      </c>
    </row>
    <row r="15780" spans="2:15" x14ac:dyDescent="0.3">
      <c r="B15780" s="1" t="s">
        <v>19</v>
      </c>
      <c r="C15780" s="1" t="str">
        <f>"1차"</f>
        <v>1차</v>
      </c>
      <c r="D15780" s="1" t="str">
        <f>"0129Z80100"</f>
        <v>0129Z80100</v>
      </c>
      <c r="E15780" s="1" t="s">
        <v>10</v>
      </c>
      <c r="F15780" s="1" t="str">
        <f>"10.107.0.116"</f>
        <v>10.107.0.116</v>
      </c>
      <c r="G15780" s="1" t="str">
        <f>"0129Z801"</f>
        <v>0129Z801</v>
      </c>
      <c r="H15780" s="1" t="str">
        <f>"대지간 64R7L8R2"</f>
        <v>대지간 64R7L8R2</v>
      </c>
      <c r="I15780" s="1" t="s">
        <v>8</v>
      </c>
      <c r="J15780" s="1" t="str">
        <f>"70/70"</f>
        <v>70/70</v>
      </c>
      <c r="K15780" s="1" t="str">
        <f>"2026-07-29 13:18:02"</f>
        <v>2026-07-29 13:18:02</v>
      </c>
      <c r="L15780" s="1" t="str">
        <f>"2014-10-30 16:31:47"</f>
        <v>2014-10-30 16:31:47</v>
      </c>
      <c r="M15780" s="1" t="s">
        <v>45</v>
      </c>
      <c r="N15780" s="1" t="s">
        <v>38</v>
      </c>
      <c r="O15780" s="1" t="s">
        <v>46</v>
      </c>
    </row>
    <row r="15781" spans="2:15" x14ac:dyDescent="0.3">
      <c r="B15781" s="1" t="s">
        <v>19</v>
      </c>
      <c r="C15781" s="1" t="str">
        <f>"1차"</f>
        <v>1차</v>
      </c>
      <c r="D15781" s="1" t="str">
        <f>"0129Z81100"</f>
        <v>0129Z81100</v>
      </c>
      <c r="E15781" s="1" t="s">
        <v>10</v>
      </c>
      <c r="F15781" s="1" t="str">
        <f>"10.107.1.10"</f>
        <v>10.107.1.10</v>
      </c>
      <c r="G15781" s="1" t="str">
        <f>"0129Z811"</f>
        <v>0129Z811</v>
      </c>
      <c r="H15781" s="1" t="str">
        <f>"대지간 103R9R1"</f>
        <v>대지간 103R9R1</v>
      </c>
      <c r="I15781" s="1" t="s">
        <v>8</v>
      </c>
      <c r="J15781" s="1" t="str">
        <f>"4/4"</f>
        <v>4/4</v>
      </c>
      <c r="K15781" s="1" t="str">
        <f>"2026-07-29 13:18:02"</f>
        <v>2026-07-29 13:18:02</v>
      </c>
      <c r="L15781" s="1" t="str">
        <f>"2014-10-30 16:29:52"</f>
        <v>2014-10-30 16:29:52</v>
      </c>
      <c r="M15781" s="1" t="s">
        <v>45</v>
      </c>
      <c r="N15781" s="1" t="s">
        <v>38</v>
      </c>
      <c r="O15781" s="1" t="s">
        <v>46</v>
      </c>
    </row>
    <row r="15782" spans="2:15" x14ac:dyDescent="0.3">
      <c r="B15782" s="1" t="s">
        <v>19</v>
      </c>
      <c r="C15782" s="1" t="str">
        <f>"1차"</f>
        <v>1차</v>
      </c>
      <c r="D15782" s="1" t="str">
        <f>"0129Z81201"</f>
        <v>0129Z81201</v>
      </c>
      <c r="E15782" s="1" t="s">
        <v>10</v>
      </c>
      <c r="F15782" s="1" t="str">
        <f>"10.107.1.11"</f>
        <v>10.107.1.11</v>
      </c>
      <c r="G15782" s="1" t="str">
        <f>"0129Z812"</f>
        <v>0129Z812</v>
      </c>
      <c r="H15782" s="1" t="str">
        <f>"대지간 103R9R2"</f>
        <v>대지간 103R9R2</v>
      </c>
      <c r="I15782" s="1" t="s">
        <v>8</v>
      </c>
      <c r="J15782" s="1" t="str">
        <f>"4/4"</f>
        <v>4/4</v>
      </c>
      <c r="K15782" s="1" t="str">
        <f>"2026-07-29 13:18:01"</f>
        <v>2026-07-29 13:18:01</v>
      </c>
      <c r="L15782" s="1" t="str">
        <f>"2014-11-04 00:27:20"</f>
        <v>2014-11-04 00:27:20</v>
      </c>
      <c r="M15782" s="1" t="s">
        <v>45</v>
      </c>
      <c r="N15782" s="1" t="s">
        <v>38</v>
      </c>
      <c r="O15782" s="1" t="s">
        <v>46</v>
      </c>
    </row>
    <row r="15783" spans="2:15" x14ac:dyDescent="0.3">
      <c r="B15783" s="1" t="s">
        <v>19</v>
      </c>
      <c r="C15783" s="1" t="str">
        <f>"1차"</f>
        <v>1차</v>
      </c>
      <c r="D15783" s="1" t="str">
        <f>"0129Z82401"</f>
        <v>0129Z82401</v>
      </c>
      <c r="E15783" s="1" t="s">
        <v>10</v>
      </c>
      <c r="F15783" s="1" t="str">
        <f>"10.107.1.12"</f>
        <v>10.107.1.12</v>
      </c>
      <c r="G15783" s="1" t="str">
        <f>"0129Z824"</f>
        <v>0129Z824</v>
      </c>
      <c r="H15783" s="1" t="str">
        <f>"대지간 103R8"</f>
        <v>대지간 103R8</v>
      </c>
      <c r="I15783" s="1" t="s">
        <v>8</v>
      </c>
      <c r="J15783" s="1" t="str">
        <f>"13/13"</f>
        <v>13/13</v>
      </c>
      <c r="K15783" s="1" t="str">
        <f>"2026-07-29 13:18:01"</f>
        <v>2026-07-29 13:18:01</v>
      </c>
      <c r="L15783" s="1" t="str">
        <f>"2014-11-04 00:27:23"</f>
        <v>2014-11-04 00:27:23</v>
      </c>
      <c r="M15783" s="1" t="s">
        <v>45</v>
      </c>
      <c r="N15783" s="1" t="s">
        <v>38</v>
      </c>
      <c r="O15783" s="1" t="s">
        <v>46</v>
      </c>
    </row>
    <row r="15784" spans="2:15" x14ac:dyDescent="0.3">
      <c r="B15784" s="1" t="s">
        <v>19</v>
      </c>
      <c r="C15784" s="1" t="str">
        <f>"5-2차"</f>
        <v>5-2차</v>
      </c>
      <c r="D15784" s="1" t="str">
        <f>"0129Z8315S"</f>
        <v>0129Z8315S</v>
      </c>
      <c r="E15784" s="1" t="s">
        <v>10</v>
      </c>
      <c r="F15784" s="1" t="str">
        <f>"fde1:103:4:6efd:0:0:0:2"</f>
        <v>fde1:103:4:6efd:0:0:0:2</v>
      </c>
      <c r="G15784" s="1" t="str">
        <f>"0129Z831"</f>
        <v>0129Z831</v>
      </c>
      <c r="H15784" s="1" t="str">
        <f>"대지간 113"</f>
        <v>대지간 113</v>
      </c>
      <c r="I15784" s="1" t="s">
        <v>15</v>
      </c>
      <c r="J15784" s="1" t="str">
        <f>"39/39"</f>
        <v>39/39</v>
      </c>
      <c r="K15784" s="1" t="str">
        <f>"2026-07-29 14:20:28"</f>
        <v>2026-07-29 14:20:28</v>
      </c>
      <c r="L15784" s="1" t="str">
        <f>"2023-11-15 14:36:57"</f>
        <v>2023-11-15 14:36:57</v>
      </c>
      <c r="M15784" s="1" t="s">
        <v>4</v>
      </c>
      <c r="N15784" s="1" t="s">
        <v>38</v>
      </c>
      <c r="O15784" s="1" t="s">
        <v>46</v>
      </c>
    </row>
    <row r="15785" spans="2:15" x14ac:dyDescent="0.3">
      <c r="B15785" s="1" t="s">
        <v>19</v>
      </c>
      <c r="C15785" s="1" t="str">
        <f>"5-2차"</f>
        <v>5-2차</v>
      </c>
      <c r="D15785" s="1" t="str">
        <f>"0129Z8615M"</f>
        <v>0129Z8615M</v>
      </c>
      <c r="E15785" s="1" t="s">
        <v>10</v>
      </c>
      <c r="F15785" s="1" t="str">
        <f>"fde1:103:4:6ef9:0:0:0:2"</f>
        <v>fde1:103:4:6ef9:0:0:0:2</v>
      </c>
      <c r="G15785" s="1" t="str">
        <f>"0129Z861"</f>
        <v>0129Z861</v>
      </c>
      <c r="H15785" s="1" t="str">
        <f>"대지간 115"</f>
        <v>대지간 115</v>
      </c>
      <c r="I15785" s="1" t="s">
        <v>15</v>
      </c>
      <c r="J15785" s="1" t="str">
        <f>"47/48"</f>
        <v>47/48</v>
      </c>
      <c r="K15785" s="1" t="str">
        <f>"2026-07-29 14:20:07"</f>
        <v>2026-07-29 14:20:07</v>
      </c>
      <c r="L15785" s="1" t="str">
        <f>"2023-11-15 11:03:08"</f>
        <v>2023-11-15 11:03:08</v>
      </c>
      <c r="M15785" s="1" t="s">
        <v>4</v>
      </c>
      <c r="N15785" s="1" t="s">
        <v>38</v>
      </c>
      <c r="O15785" s="1" t="s">
        <v>46</v>
      </c>
    </row>
    <row r="15786" spans="2:15" x14ac:dyDescent="0.3">
      <c r="B15786" s="1" t="s">
        <v>19</v>
      </c>
      <c r="C15786" s="1" t="str">
        <f>"1차"</f>
        <v>1차</v>
      </c>
      <c r="D15786" s="1" t="str">
        <f>"0129Z90200"</f>
        <v>0129Z90200</v>
      </c>
      <c r="E15786" s="1" t="s">
        <v>10</v>
      </c>
      <c r="F15786" s="1" t="str">
        <f>"10.107.0.126"</f>
        <v>10.107.0.126</v>
      </c>
      <c r="G15786" s="1" t="str">
        <f>"0129Z902"</f>
        <v>0129Z902</v>
      </c>
      <c r="H15786" s="1" t="str">
        <f>"대지간 64R7L8R3"</f>
        <v>대지간 64R7L8R3</v>
      </c>
      <c r="I15786" s="1" t="s">
        <v>8</v>
      </c>
      <c r="J15786" s="1" t="str">
        <f>"69/69"</f>
        <v>69/69</v>
      </c>
      <c r="K15786" s="1" t="str">
        <f>"2026-07-29 13:18:01"</f>
        <v>2026-07-29 13:18:01</v>
      </c>
      <c r="L15786" s="1" t="str">
        <f>"2014-10-30 16:32:08"</f>
        <v>2014-10-30 16:32:08</v>
      </c>
      <c r="M15786" s="1" t="s">
        <v>45</v>
      </c>
      <c r="N15786" s="1" t="s">
        <v>38</v>
      </c>
      <c r="O15786" s="1" t="s">
        <v>46</v>
      </c>
    </row>
    <row r="15787" spans="2:15" x14ac:dyDescent="0.3">
      <c r="B15787" s="1" t="s">
        <v>19</v>
      </c>
      <c r="C15787" s="1" t="str">
        <f>"3차"</f>
        <v>3차</v>
      </c>
      <c r="D15787" s="1" t="str">
        <f>"0129Z92339"</f>
        <v>0129Z92339</v>
      </c>
      <c r="E15787" s="1" t="s">
        <v>10</v>
      </c>
      <c r="F15787" s="1" t="str">
        <f>"10.107.7.34"</f>
        <v>10.107.7.34</v>
      </c>
      <c r="G15787" s="1" t="str">
        <f>"0129Z923"</f>
        <v>0129Z923</v>
      </c>
      <c r="H15787" s="1" t="str">
        <f>"대지간 64R16L1"</f>
        <v>대지간 64R16L1</v>
      </c>
      <c r="I15787" s="1" t="s">
        <v>8</v>
      </c>
      <c r="J15787" s="1" t="str">
        <f>"82/90"</f>
        <v>82/90</v>
      </c>
      <c r="K15787" s="1" t="str">
        <f>"2026-07-29 13:18:01"</f>
        <v>2026-07-29 13:18:01</v>
      </c>
      <c r="L15787" s="1" t="str">
        <f>"2018-06-05 14:48:22"</f>
        <v>2018-06-05 14:48:22</v>
      </c>
      <c r="M15787" s="1" t="s">
        <v>45</v>
      </c>
      <c r="N15787" s="1" t="s">
        <v>38</v>
      </c>
      <c r="O15787" s="1" t="s">
        <v>46</v>
      </c>
    </row>
    <row r="15788" spans="2:15" x14ac:dyDescent="0.3">
      <c r="B15788" s="1" t="s">
        <v>19</v>
      </c>
      <c r="C15788" s="1" t="str">
        <f>"3차"</f>
        <v>3차</v>
      </c>
      <c r="D15788" s="1" t="str">
        <f>"0129Z92439"</f>
        <v>0129Z92439</v>
      </c>
      <c r="E15788" s="1" t="s">
        <v>10</v>
      </c>
      <c r="F15788" s="1" t="str">
        <f>"10.107.7.33"</f>
        <v>10.107.7.33</v>
      </c>
      <c r="G15788" s="1" t="str">
        <f>"0129Z924"</f>
        <v>0129Z924</v>
      </c>
      <c r="H15788" s="1" t="str">
        <f>"대지간 103R10"</f>
        <v>대지간 103R10</v>
      </c>
      <c r="I15788" s="1" t="s">
        <v>8</v>
      </c>
      <c r="J15788" s="1" t="str">
        <f>"24/28"</f>
        <v>24/28</v>
      </c>
      <c r="K15788" s="1" t="str">
        <f>"2026-07-29 13:18:01"</f>
        <v>2026-07-29 13:18:01</v>
      </c>
      <c r="L15788" s="1" t="str">
        <f>"2018-06-04 17:19:09"</f>
        <v>2018-06-04 17:19:09</v>
      </c>
      <c r="M15788" s="1" t="s">
        <v>45</v>
      </c>
      <c r="N15788" s="1" t="s">
        <v>38</v>
      </c>
      <c r="O15788" s="1" t="s">
        <v>46</v>
      </c>
    </row>
    <row r="15789" spans="2:15" x14ac:dyDescent="0.3">
      <c r="B15789" s="1" t="s">
        <v>19</v>
      </c>
      <c r="C15789" s="1" t="str">
        <f>"4차"</f>
        <v>4차</v>
      </c>
      <c r="D15789" s="1" t="str">
        <f>"0130A01244"</f>
        <v>0130A01244</v>
      </c>
      <c r="E15789" s="1" t="s">
        <v>10</v>
      </c>
      <c r="F15789" s="1" t="str">
        <f>"10.107.122.146"</f>
        <v>10.107.122.146</v>
      </c>
      <c r="G15789" s="1" t="str">
        <f>"0130A012"</f>
        <v>0130A012</v>
      </c>
      <c r="H15789" s="1" t="str">
        <f>"화계지 6"</f>
        <v>화계지 6</v>
      </c>
      <c r="I15789" s="1" t="s">
        <v>8</v>
      </c>
      <c r="J15789" s="1" t="str">
        <f>"25/25"</f>
        <v>25/25</v>
      </c>
      <c r="K15789" s="1" t="str">
        <f>"2026-07-29 13:18:02"</f>
        <v>2026-07-29 13:18:02</v>
      </c>
      <c r="L15789" s="1" t="str">
        <f>"2023-08-21 14:22:50"</f>
        <v>2023-08-21 14:22:50</v>
      </c>
      <c r="M15789" s="1" t="s">
        <v>45</v>
      </c>
      <c r="N15789" s="1" t="s">
        <v>38</v>
      </c>
      <c r="O15789" s="1" t="s">
        <v>46</v>
      </c>
    </row>
    <row r="15790" spans="2:15" x14ac:dyDescent="0.3">
      <c r="B15790" s="1" t="s">
        <v>19</v>
      </c>
      <c r="C15790" s="1" t="str">
        <f>"1차"</f>
        <v>1차</v>
      </c>
      <c r="D15790" s="1" t="str">
        <f>"0130A02100"</f>
        <v>0130A02100</v>
      </c>
      <c r="E15790" s="1" t="s">
        <v>10</v>
      </c>
      <c r="F15790" s="1" t="str">
        <f>"10.107.122.137"</f>
        <v>10.107.122.137</v>
      </c>
      <c r="G15790" s="1" t="str">
        <f>"0130A021"</f>
        <v>0130A021</v>
      </c>
      <c r="H15790" s="1" t="str">
        <f>"화계지 5"</f>
        <v>화계지 5</v>
      </c>
      <c r="I15790" s="1" t="s">
        <v>8</v>
      </c>
      <c r="J15790" s="1" t="str">
        <f>"31/31"</f>
        <v>31/31</v>
      </c>
      <c r="K15790" s="1" t="str">
        <f>"2026-07-29 13:18:01"</f>
        <v>2026-07-29 13:18:01</v>
      </c>
      <c r="L15790" s="1" t="str">
        <f>"2015-02-11 19:55:19"</f>
        <v>2015-02-11 19:55:19</v>
      </c>
      <c r="M15790" s="1" t="s">
        <v>45</v>
      </c>
      <c r="N15790" s="1" t="s">
        <v>38</v>
      </c>
      <c r="O15790" s="1" t="s">
        <v>46</v>
      </c>
    </row>
    <row r="15791" spans="2:15" x14ac:dyDescent="0.3">
      <c r="B15791" s="1" t="s">
        <v>19</v>
      </c>
      <c r="C15791" s="1" t="str">
        <f>"5-2차"</f>
        <v>5-2차</v>
      </c>
      <c r="D15791" s="1" t="str">
        <f>"0130A0725M"</f>
        <v>0130A0725M</v>
      </c>
      <c r="E15791" s="1" t="s">
        <v>10</v>
      </c>
      <c r="F15791" s="1" t="str">
        <f>"fde1:103:4:6f01:0:0:0:2"</f>
        <v>fde1:103:4:6f01:0:0:0:2</v>
      </c>
      <c r="G15791" s="1" t="str">
        <f>"0130A072"</f>
        <v>0130A072</v>
      </c>
      <c r="H15791" s="1" t="str">
        <f>"우이간 48L3"</f>
        <v>우이간 48L3</v>
      </c>
      <c r="I15791" s="1" t="s">
        <v>15</v>
      </c>
      <c r="J15791" s="1" t="str">
        <f>"86/87"</f>
        <v>86/87</v>
      </c>
      <c r="K15791" s="1" t="str">
        <f>"2026-07-29 14:20:02"</f>
        <v>2026-07-29 14:20:02</v>
      </c>
      <c r="L15791" s="1" t="str">
        <f>"2023-11-15 14:36:52"</f>
        <v>2023-11-15 14:36:52</v>
      </c>
      <c r="M15791" s="1" t="s">
        <v>4</v>
      </c>
      <c r="N15791" s="1" t="s">
        <v>38</v>
      </c>
      <c r="O15791" s="1" t="s">
        <v>46</v>
      </c>
    </row>
    <row r="15792" spans="2:15" x14ac:dyDescent="0.3">
      <c r="B15792" s="1" t="s">
        <v>19</v>
      </c>
      <c r="C15792" s="1" t="str">
        <f>"1차"</f>
        <v>1차</v>
      </c>
      <c r="D15792" s="1" t="str">
        <f>"0130A09100"</f>
        <v>0130A09100</v>
      </c>
      <c r="E15792" s="1" t="s">
        <v>10</v>
      </c>
      <c r="F15792" s="1" t="str">
        <f>"10.107.122.38"</f>
        <v>10.107.122.38</v>
      </c>
      <c r="G15792" s="1" t="str">
        <f>"0130A091"</f>
        <v>0130A091</v>
      </c>
      <c r="H15792" s="1" t="str">
        <f>"우이간 48L2R2"</f>
        <v>우이간 48L2R2</v>
      </c>
      <c r="I15792" s="1" t="s">
        <v>8</v>
      </c>
      <c r="J15792" s="1" t="str">
        <f>"22/22"</f>
        <v>22/22</v>
      </c>
      <c r="K15792" s="1" t="str">
        <f>"2026-07-29 13:18:01"</f>
        <v>2026-07-29 13:18:01</v>
      </c>
      <c r="L15792" s="1" t="str">
        <f>"2014-12-30 19:55:43"</f>
        <v>2014-12-30 19:55:43</v>
      </c>
      <c r="M15792" s="1" t="s">
        <v>45</v>
      </c>
      <c r="N15792" s="1" t="s">
        <v>38</v>
      </c>
      <c r="O15792" s="1" t="s">
        <v>46</v>
      </c>
    </row>
    <row r="15793" spans="2:15" x14ac:dyDescent="0.3">
      <c r="B15793" s="1" t="s">
        <v>19</v>
      </c>
      <c r="C15793" s="1" t="str">
        <f>"1차"</f>
        <v>1차</v>
      </c>
      <c r="D15793" s="1" t="str">
        <f>"0130A10400"</f>
        <v>0130A10400</v>
      </c>
      <c r="E15793" s="1" t="s">
        <v>10</v>
      </c>
      <c r="F15793" s="1" t="str">
        <f>"10.107.122.149"</f>
        <v>10.107.122.149</v>
      </c>
      <c r="G15793" s="1" t="str">
        <f>"0130A104"</f>
        <v>0130A104</v>
      </c>
      <c r="H15793" s="1" t="str">
        <f>"삼원간 2R3"</f>
        <v>삼원간 2R3</v>
      </c>
      <c r="I15793" s="1" t="s">
        <v>8</v>
      </c>
      <c r="J15793" s="1" t="str">
        <f>"195/195"</f>
        <v>195/195</v>
      </c>
      <c r="K15793" s="1" t="str">
        <f>"2026-07-29 13:18:01"</f>
        <v>2026-07-29 13:18:01</v>
      </c>
      <c r="L15793" s="1" t="str">
        <f>"2014-11-04 00:13:22"</f>
        <v>2014-11-04 00:13:22</v>
      </c>
      <c r="M15793" s="1" t="s">
        <v>45</v>
      </c>
      <c r="N15793" s="1" t="s">
        <v>38</v>
      </c>
      <c r="O15793" s="1" t="s">
        <v>46</v>
      </c>
    </row>
    <row r="15794" spans="2:15" x14ac:dyDescent="0.3">
      <c r="B15794" s="1" t="s">
        <v>19</v>
      </c>
      <c r="C15794" s="1" t="str">
        <f>"5-2차"</f>
        <v>5-2차</v>
      </c>
      <c r="D15794" s="1" t="str">
        <f>"0130A1265M"</f>
        <v>0130A1265M</v>
      </c>
      <c r="E15794" s="1" t="s">
        <v>10</v>
      </c>
      <c r="F15794" s="1" t="str">
        <f>"fde3:102:1410:3100:0:0:0:f"</f>
        <v>fde3:102:1410:3100:0:0:0:f</v>
      </c>
      <c r="G15794" s="1" t="str">
        <f>"0130A126"</f>
        <v>0130A126</v>
      </c>
      <c r="H15794" s="1" t="str">
        <f>"한신지 5R1"</f>
        <v>한신지 5R1</v>
      </c>
      <c r="I15794" s="1" t="s">
        <v>15</v>
      </c>
      <c r="J15794" s="1" t="str">
        <f>"70/70"</f>
        <v>70/70</v>
      </c>
      <c r="K15794" s="1" t="str">
        <f>"2026-07-29 14:21:03"</f>
        <v>2026-07-29 14:21:03</v>
      </c>
      <c r="L15794" s="1" t="str">
        <f>"2023-09-11 16:24:13"</f>
        <v>2023-09-11 16:24:13</v>
      </c>
      <c r="M15794" s="1" t="s">
        <v>45</v>
      </c>
      <c r="N15794" s="1" t="s">
        <v>38</v>
      </c>
      <c r="O15794" s="1" t="s">
        <v>46</v>
      </c>
    </row>
    <row r="15795" spans="2:15" x14ac:dyDescent="0.3">
      <c r="B15795" s="1" t="s">
        <v>19</v>
      </c>
      <c r="C15795" s="1" t="str">
        <f>"6차"</f>
        <v>6차</v>
      </c>
      <c r="D15795" s="1" t="str">
        <f>"0130A1526S"</f>
        <v>0130A1526S</v>
      </c>
      <c r="E15795" s="1" t="s">
        <v>10</v>
      </c>
      <c r="F15795" s="1" t="str">
        <f>"fde3:102:1410:3200:0:0:0:f"</f>
        <v>fde3:102:1410:3200:0:0:0:f</v>
      </c>
      <c r="G15795" s="1" t="str">
        <f>"0130A152"</f>
        <v>0130A152</v>
      </c>
      <c r="H15795" s="1" t="str">
        <f>"우이간 46L2"</f>
        <v>우이간 46L2</v>
      </c>
      <c r="I15795" s="1" t="s">
        <v>15</v>
      </c>
      <c r="J15795" s="1" t="str">
        <f>"72/72"</f>
        <v>72/72</v>
      </c>
      <c r="K15795" s="1" t="str">
        <f>"2026-07-29 14:20:02"</f>
        <v>2026-07-29 14:20:02</v>
      </c>
      <c r="L15795" s="1" t="str">
        <f>"2025-11-05 13:17:51"</f>
        <v>2025-11-05 13:17:51</v>
      </c>
      <c r="M15795" s="1" t="s">
        <v>45</v>
      </c>
      <c r="N15795" s="1" t="s">
        <v>38</v>
      </c>
      <c r="O15795" s="1" t="s">
        <v>46</v>
      </c>
    </row>
    <row r="15796" spans="2:15" x14ac:dyDescent="0.3">
      <c r="B15796" s="1" t="s">
        <v>19</v>
      </c>
      <c r="C15796" s="1" t="str">
        <f>"5-2차"</f>
        <v>5-2차</v>
      </c>
      <c r="D15796" s="1" t="str">
        <f>"0130A2115M"</f>
        <v>0130A2115M</v>
      </c>
      <c r="E15796" s="1" t="s">
        <v>10</v>
      </c>
      <c r="F15796" s="1" t="str">
        <f>"fde3:102:1410:3100:0:0:0:c"</f>
        <v>fde3:102:1410:3100:0:0:0:c</v>
      </c>
      <c r="G15796" s="1" t="str">
        <f>"0130A211"</f>
        <v>0130A211</v>
      </c>
      <c r="H15796" s="1" t="str">
        <f>"삼원간 2R2"</f>
        <v>삼원간 2R2</v>
      </c>
      <c r="I15796" s="1" t="s">
        <v>15</v>
      </c>
      <c r="J15796" s="1" t="str">
        <f>"51/51"</f>
        <v>51/51</v>
      </c>
      <c r="K15796" s="1" t="str">
        <f>"2026-07-29 14:20:24"</f>
        <v>2026-07-29 14:20:24</v>
      </c>
      <c r="L15796" s="1" t="str">
        <f>"2023-08-17 12:54:01"</f>
        <v>2023-08-17 12:54:01</v>
      </c>
      <c r="M15796" s="1" t="s">
        <v>45</v>
      </c>
      <c r="N15796" s="1" t="s">
        <v>38</v>
      </c>
      <c r="O15796" s="1" t="s">
        <v>46</v>
      </c>
    </row>
    <row r="15797" spans="2:15" x14ac:dyDescent="0.3">
      <c r="B15797" s="1" t="s">
        <v>19</v>
      </c>
      <c r="C15797" s="1" t="str">
        <f>"5-2차"</f>
        <v>5-2차</v>
      </c>
      <c r="D15797" s="1" t="str">
        <f>"0130A2225M"</f>
        <v>0130A2225M</v>
      </c>
      <c r="E15797" s="1" t="s">
        <v>10</v>
      </c>
      <c r="F15797" s="1" t="str">
        <f>"fde1:103:4:937f:0:0:0:2"</f>
        <v>fde1:103:4:937f:0:0:0:2</v>
      </c>
      <c r="G15797" s="1" t="str">
        <f>"0130A222"</f>
        <v>0130A222</v>
      </c>
      <c r="H15797" s="1" t="str">
        <f>"한신지 2"</f>
        <v>한신지 2</v>
      </c>
      <c r="I15797" s="1" t="s">
        <v>15</v>
      </c>
      <c r="J15797" s="1" t="str">
        <f>"36/36"</f>
        <v>36/36</v>
      </c>
      <c r="K15797" s="1" t="str">
        <f>"2026-07-29 14:20:42"</f>
        <v>2026-07-29 14:20:42</v>
      </c>
      <c r="L15797" s="1" t="str">
        <f>"2023-12-15 15:42:22"</f>
        <v>2023-12-15 15:42:22</v>
      </c>
      <c r="M15797" s="1" t="s">
        <v>4</v>
      </c>
      <c r="N15797" s="1" t="s">
        <v>38</v>
      </c>
      <c r="O15797" s="1" t="s">
        <v>46</v>
      </c>
    </row>
    <row r="15798" spans="2:15" x14ac:dyDescent="0.3">
      <c r="B15798" s="1" t="s">
        <v>19</v>
      </c>
      <c r="C15798" s="1" t="str">
        <f>"5-2차"</f>
        <v>5-2차</v>
      </c>
      <c r="D15798" s="1" t="str">
        <f>"0130A2415M"</f>
        <v>0130A2415M</v>
      </c>
      <c r="E15798" s="1" t="s">
        <v>10</v>
      </c>
      <c r="F15798" s="1" t="str">
        <f>"fde1:103:4:9355:0:0:0:2"</f>
        <v>fde1:103:4:9355:0:0:0:2</v>
      </c>
      <c r="G15798" s="1" t="str">
        <f>"0130A241"</f>
        <v>0130A241</v>
      </c>
      <c r="H15798" s="1" t="str">
        <f>"우이간 45"</f>
        <v>우이간 45</v>
      </c>
      <c r="I15798" s="1" t="s">
        <v>15</v>
      </c>
      <c r="J15798" s="1" t="str">
        <f>"35/35"</f>
        <v>35/35</v>
      </c>
      <c r="K15798" s="1" t="str">
        <f>"2026-07-29 14:20:25"</f>
        <v>2026-07-29 14:20:25</v>
      </c>
      <c r="L15798" s="1" t="str">
        <f>"2023-12-15 15:44:18"</f>
        <v>2023-12-15 15:44:18</v>
      </c>
      <c r="M15798" s="1" t="s">
        <v>4</v>
      </c>
      <c r="N15798" s="1" t="s">
        <v>38</v>
      </c>
      <c r="O15798" s="1" t="s">
        <v>46</v>
      </c>
    </row>
    <row r="15799" spans="2:15" x14ac:dyDescent="0.3">
      <c r="B15799" s="1" t="s">
        <v>19</v>
      </c>
      <c r="C15799" s="1" t="str">
        <f>"5-1차"</f>
        <v>5-1차</v>
      </c>
      <c r="D15799" s="1" t="str">
        <f>"0130A3135M"</f>
        <v>0130A3135M</v>
      </c>
      <c r="E15799" s="1" t="s">
        <v>10</v>
      </c>
      <c r="F15799" s="1" t="str">
        <f>"fde3:102:1410:3100:0:0:0:4"</f>
        <v>fde3:102:1410:3100:0:0:0:4</v>
      </c>
      <c r="G15799" s="1" t="str">
        <f>"0130A313"</f>
        <v>0130A313</v>
      </c>
      <c r="H15799" s="1" t="str">
        <f>"삼원간 2R1C1"</f>
        <v>삼원간 2R1C1</v>
      </c>
      <c r="I15799" s="1" t="s">
        <v>15</v>
      </c>
      <c r="J15799" s="1" t="str">
        <f>"34/34"</f>
        <v>34/34</v>
      </c>
      <c r="K15799" s="1" t="str">
        <f>"2026-07-29 14:20:26"</f>
        <v>2026-07-29 14:20:26</v>
      </c>
      <c r="L15799" s="1" t="str">
        <f>"2022-09-26 16:02:34"</f>
        <v>2022-09-26 16:02:34</v>
      </c>
      <c r="M15799" s="1" t="s">
        <v>45</v>
      </c>
      <c r="N15799" s="1" t="s">
        <v>38</v>
      </c>
      <c r="O15799" s="1" t="s">
        <v>46</v>
      </c>
    </row>
    <row r="15800" spans="2:15" x14ac:dyDescent="0.3">
      <c r="B15800" s="1" t="s">
        <v>19</v>
      </c>
      <c r="C15800" s="1" t="str">
        <f>"6차"</f>
        <v>6차</v>
      </c>
      <c r="D15800" s="1" t="str">
        <f>"0130A3316S"</f>
        <v>0130A3316S</v>
      </c>
      <c r="E15800" s="1" t="s">
        <v>10</v>
      </c>
      <c r="F15800" s="1" t="str">
        <f>"fde3:102:1410:3300:0:0:0:7"</f>
        <v>fde3:102:1410:3300:0:0:0:7</v>
      </c>
      <c r="G15800" s="1" t="str">
        <f>"0130A331"</f>
        <v>0130A331</v>
      </c>
      <c r="H15800" s="1" t="str">
        <f>"우이간 41"</f>
        <v>우이간 41</v>
      </c>
      <c r="I15800" s="1" t="s">
        <v>15</v>
      </c>
      <c r="J15800" s="1" t="str">
        <f>"37/37"</f>
        <v>37/37</v>
      </c>
      <c r="K15800" s="1" t="str">
        <f>"2026-07-29 14:20:15"</f>
        <v>2026-07-29 14:20:15</v>
      </c>
      <c r="L15800" s="1" t="str">
        <f>"2024-10-15 08:56:18"</f>
        <v>2024-10-15 08:56:18</v>
      </c>
      <c r="M15800" s="1" t="s">
        <v>45</v>
      </c>
      <c r="N15800" s="1" t="s">
        <v>38</v>
      </c>
      <c r="O15800" s="1" t="s">
        <v>46</v>
      </c>
    </row>
    <row r="15801" spans="2:15" x14ac:dyDescent="0.3">
      <c r="B15801" s="1" t="s">
        <v>19</v>
      </c>
      <c r="C15801" s="1" t="str">
        <f>"5-1차"</f>
        <v>5-1차</v>
      </c>
      <c r="D15801" s="1" t="str">
        <f>"0130A3425M"</f>
        <v>0130A3425M</v>
      </c>
      <c r="E15801" s="1" t="s">
        <v>10</v>
      </c>
      <c r="F15801" s="1" t="str">
        <f>"fde3:102:1410:3100:0:0:0:9"</f>
        <v>fde3:102:1410:3100:0:0:0:9</v>
      </c>
      <c r="G15801" s="1" t="str">
        <f>"0130A342"</f>
        <v>0130A342</v>
      </c>
      <c r="H15801" s="1" t="str">
        <f>"우이간 42R2"</f>
        <v>우이간 42R2</v>
      </c>
      <c r="I15801" s="1" t="s">
        <v>15</v>
      </c>
      <c r="J15801" s="1" t="str">
        <f>"46/46"</f>
        <v>46/46</v>
      </c>
      <c r="K15801" s="1" t="str">
        <f>"2026-07-29 14:20:57"</f>
        <v>2026-07-29 14:20:57</v>
      </c>
      <c r="L15801" s="1" t="str">
        <f>"2023-01-02 11:14:10"</f>
        <v>2023-01-02 11:14:10</v>
      </c>
      <c r="M15801" s="1" t="s">
        <v>45</v>
      </c>
      <c r="N15801" s="1" t="s">
        <v>38</v>
      </c>
      <c r="O15801" s="1" t="s">
        <v>46</v>
      </c>
    </row>
    <row r="15802" spans="2:15" x14ac:dyDescent="0.3">
      <c r="B15802" s="1" t="s">
        <v>19</v>
      </c>
      <c r="C15802" s="1" t="str">
        <f>"5-2차"</f>
        <v>5-2차</v>
      </c>
      <c r="D15802" s="1" t="str">
        <f>"0130A3615S"</f>
        <v>0130A3615S</v>
      </c>
      <c r="E15802" s="1" t="s">
        <v>10</v>
      </c>
      <c r="F15802" s="1" t="str">
        <f>"fde3:102:1410:3300:0:0:0:4"</f>
        <v>fde3:102:1410:3300:0:0:0:4</v>
      </c>
      <c r="G15802" s="1" t="str">
        <f>"0130A361"</f>
        <v>0130A361</v>
      </c>
      <c r="H15802" s="1" t="str">
        <f>"우이간 42R8R1R1"</f>
        <v>우이간 42R8R1R1</v>
      </c>
      <c r="I15802" s="1" t="s">
        <v>15</v>
      </c>
      <c r="J15802" s="1" t="str">
        <f>"72/72"</f>
        <v>72/72</v>
      </c>
      <c r="K15802" s="1" t="str">
        <f>"2026-07-29 14:20:02"</f>
        <v>2026-07-29 14:20:02</v>
      </c>
      <c r="L15802" s="1" t="str">
        <f>"2024-01-08 10:46:28"</f>
        <v>2024-01-08 10:46:28</v>
      </c>
      <c r="M15802" s="1" t="s">
        <v>45</v>
      </c>
      <c r="N15802" s="1" t="s">
        <v>38</v>
      </c>
      <c r="O15802" s="1" t="s">
        <v>46</v>
      </c>
    </row>
    <row r="15803" spans="2:15" x14ac:dyDescent="0.3">
      <c r="B15803" s="1" t="s">
        <v>19</v>
      </c>
      <c r="C15803" s="1" t="str">
        <f>"5-2차"</f>
        <v>5-2차</v>
      </c>
      <c r="D15803" s="1" t="str">
        <f>"0130A3735M"</f>
        <v>0130A3735M</v>
      </c>
      <c r="E15803" s="1" t="s">
        <v>10</v>
      </c>
      <c r="F15803" s="1" t="str">
        <f>"fde3:102:1410:3300:0:0:0:3"</f>
        <v>fde3:102:1410:3300:0:0:0:3</v>
      </c>
      <c r="G15803" s="1" t="str">
        <f>"0130A373"</f>
        <v>0130A373</v>
      </c>
      <c r="H15803" s="1" t="str">
        <f>"우이간 42R8R1"</f>
        <v>우이간 42R8R1</v>
      </c>
      <c r="I15803" s="1" t="s">
        <v>15</v>
      </c>
      <c r="J15803" s="1" t="str">
        <f>"84/84"</f>
        <v>84/84</v>
      </c>
      <c r="K15803" s="1" t="str">
        <f>"2026-07-29 14:20:22"</f>
        <v>2026-07-29 14:20:22</v>
      </c>
      <c r="L15803" s="1" t="str">
        <f>"2024-01-08 10:44:44"</f>
        <v>2024-01-08 10:44:44</v>
      </c>
      <c r="M15803" s="1" t="s">
        <v>45</v>
      </c>
      <c r="N15803" s="1" t="s">
        <v>38</v>
      </c>
      <c r="O15803" s="1" t="s">
        <v>46</v>
      </c>
    </row>
    <row r="15804" spans="2:15" x14ac:dyDescent="0.3">
      <c r="B15804" s="1" t="s">
        <v>19</v>
      </c>
      <c r="C15804" s="1" t="str">
        <f>"1차"</f>
        <v>1차</v>
      </c>
      <c r="D15804" s="1" t="str">
        <f>"0130A40101"</f>
        <v>0130A40101</v>
      </c>
      <c r="E15804" s="1" t="s">
        <v>10</v>
      </c>
      <c r="F15804" s="1" t="str">
        <f>"10.12.128.34"</f>
        <v>10.12.128.34</v>
      </c>
      <c r="G15804" s="1" t="str">
        <f>"0130A401"</f>
        <v>0130A401</v>
      </c>
      <c r="H15804" s="1" t="str">
        <f>"수유간 31"</f>
        <v>수유간 31</v>
      </c>
      <c r="I15804" s="1" t="s">
        <v>8</v>
      </c>
      <c r="J15804" s="1" t="str">
        <f>"74/74"</f>
        <v>74/74</v>
      </c>
      <c r="K15804" s="1" t="str">
        <f>"2026-07-29 13:18:02"</f>
        <v>2026-07-29 13:18:02</v>
      </c>
      <c r="L15804" s="1" t="str">
        <f>"2015-01-12 04:27:02"</f>
        <v>2015-01-12 04:27:02</v>
      </c>
      <c r="M15804" s="1" t="s">
        <v>0</v>
      </c>
      <c r="N15804" s="1" t="s">
        <v>38</v>
      </c>
      <c r="O15804" s="1" t="s">
        <v>46</v>
      </c>
    </row>
    <row r="15805" spans="2:15" x14ac:dyDescent="0.3">
      <c r="B15805" s="1" t="s">
        <v>19</v>
      </c>
      <c r="C15805" s="1" t="str">
        <f>"5-1차"</f>
        <v>5-1차</v>
      </c>
      <c r="D15805" s="1" t="str">
        <f>"0130A4355M"</f>
        <v>0130A4355M</v>
      </c>
      <c r="E15805" s="1" t="s">
        <v>10</v>
      </c>
      <c r="F15805" s="1" t="str">
        <f>"fde2:104:0:49:0:0:0:2"</f>
        <v>fde2:104:0:49:0:0:0:2</v>
      </c>
      <c r="G15805" s="1" t="str">
        <f>"0130A435"</f>
        <v>0130A435</v>
      </c>
      <c r="H15805" s="1" t="str">
        <f>"우이간 42R1R2"</f>
        <v>우이간 42R1R2</v>
      </c>
      <c r="I15805" s="1" t="s">
        <v>15</v>
      </c>
      <c r="J15805" s="1" t="str">
        <f>"30/30"</f>
        <v>30/30</v>
      </c>
      <c r="K15805" s="1" t="str">
        <f>"2026-07-29 14:20:27"</f>
        <v>2026-07-29 14:20:27</v>
      </c>
      <c r="L15805" s="1" t="str">
        <f>"2022-08-26 14:16:04"</f>
        <v>2022-08-26 14:16:04</v>
      </c>
      <c r="M15805" s="1" t="s">
        <v>42</v>
      </c>
      <c r="N15805" s="1" t="s">
        <v>38</v>
      </c>
      <c r="O15805" s="1" t="s">
        <v>46</v>
      </c>
    </row>
    <row r="15806" spans="2:15" x14ac:dyDescent="0.3">
      <c r="B15806" s="1" t="s">
        <v>19</v>
      </c>
      <c r="C15806" s="1" t="str">
        <f>"5-1차"</f>
        <v>5-1차</v>
      </c>
      <c r="D15806" s="1" t="str">
        <f>"0130A4425M"</f>
        <v>0130A4425M</v>
      </c>
      <c r="E15806" s="1" t="s">
        <v>10</v>
      </c>
      <c r="F15806" s="1" t="str">
        <f>"fde2:104:0:4b:0:0:0:2"</f>
        <v>fde2:104:0:4b:0:0:0:2</v>
      </c>
      <c r="G15806" s="1" t="str">
        <f>"0130A442"</f>
        <v>0130A442</v>
      </c>
      <c r="H15806" s="1" t="str">
        <f>"우이간 42R1R1"</f>
        <v>우이간 42R1R1</v>
      </c>
      <c r="I15806" s="1" t="s">
        <v>15</v>
      </c>
      <c r="J15806" s="1" t="str">
        <f>"39/39"</f>
        <v>39/39</v>
      </c>
      <c r="K15806" s="1" t="str">
        <f>"2026-07-29 14:20:28"</f>
        <v>2026-07-29 14:20:28</v>
      </c>
      <c r="L15806" s="1" t="str">
        <f>"2022-08-26 15:23:05"</f>
        <v>2022-08-26 15:23:05</v>
      </c>
      <c r="M15806" s="1" t="s">
        <v>42</v>
      </c>
      <c r="N15806" s="1" t="s">
        <v>38</v>
      </c>
      <c r="O15806" s="1" t="s">
        <v>46</v>
      </c>
    </row>
    <row r="15807" spans="2:15" x14ac:dyDescent="0.3">
      <c r="B15807" s="1" t="s">
        <v>19</v>
      </c>
      <c r="C15807" s="1" t="str">
        <f>"4차"</f>
        <v>4차</v>
      </c>
      <c r="D15807" s="1" t="str">
        <f>"0130A52645"</f>
        <v>0130A52645</v>
      </c>
      <c r="E15807" s="1" t="s">
        <v>10</v>
      </c>
      <c r="F15807" s="1" t="str">
        <f>"10.14.11.56"</f>
        <v>10.14.11.56</v>
      </c>
      <c r="G15807" s="1" t="str">
        <f>"0130A526"</f>
        <v>0130A526</v>
      </c>
      <c r="H15807" s="1" t="str">
        <f>"사일구 43"</f>
        <v>사일구 43</v>
      </c>
      <c r="I15807" s="1" t="s">
        <v>17</v>
      </c>
      <c r="J15807" s="1" t="str">
        <f>"7/9"</f>
        <v>7/9</v>
      </c>
      <c r="K15807" s="1" t="str">
        <f>"2026-07-29 13:18:03"</f>
        <v>2026-07-29 13:18:03</v>
      </c>
      <c r="L15807" s="1" t="str">
        <f>"2021-06-28 14:21:14"</f>
        <v>2021-06-28 14:21:14</v>
      </c>
      <c r="M15807" s="1" t="s">
        <v>3</v>
      </c>
      <c r="N15807" s="1" t="s">
        <v>38</v>
      </c>
      <c r="O15807" s="1" t="s">
        <v>46</v>
      </c>
    </row>
    <row r="15808" spans="2:15" x14ac:dyDescent="0.3">
      <c r="B15808" s="1" t="s">
        <v>19</v>
      </c>
      <c r="C15808" s="1" t="str">
        <f>"5-1차"</f>
        <v>5-1차</v>
      </c>
      <c r="D15808" s="1" t="str">
        <f>"0130A5425M"</f>
        <v>0130A5425M</v>
      </c>
      <c r="E15808" s="1" t="s">
        <v>10</v>
      </c>
      <c r="F15808" s="1" t="str">
        <f>"fde2:104:0:4a:0:0:0:2"</f>
        <v>fde2:104:0:4a:0:0:0:2</v>
      </c>
      <c r="G15808" s="1" t="str">
        <f>"0130A542"</f>
        <v>0130A542</v>
      </c>
      <c r="H15808" s="1" t="str">
        <f>"우이간 42R4R4"</f>
        <v>우이간 42R4R4</v>
      </c>
      <c r="I15808" s="1" t="s">
        <v>15</v>
      </c>
      <c r="J15808" s="1" t="str">
        <f>"104/104"</f>
        <v>104/104</v>
      </c>
      <c r="K15808" s="1" t="str">
        <f>"2026-07-29 14:20:01"</f>
        <v>2026-07-29 14:20:01</v>
      </c>
      <c r="L15808" s="1" t="str">
        <f>"2022-09-01 13:13:21"</f>
        <v>2022-09-01 13:13:21</v>
      </c>
      <c r="M15808" s="1" t="s">
        <v>42</v>
      </c>
      <c r="N15808" s="1" t="s">
        <v>38</v>
      </c>
      <c r="O15808" s="1" t="s">
        <v>46</v>
      </c>
    </row>
    <row r="15809" spans="2:15" x14ac:dyDescent="0.3">
      <c r="B15809" s="1" t="s">
        <v>19</v>
      </c>
      <c r="C15809" s="1" t="str">
        <f>"6차"</f>
        <v>6차</v>
      </c>
      <c r="D15809" s="1" t="str">
        <f>"0130A6016M"</f>
        <v>0130A6016M</v>
      </c>
      <c r="E15809" s="1" t="s">
        <v>10</v>
      </c>
      <c r="F15809" s="1" t="str">
        <f>"fde1:103:4:c837:0:0:0:2"</f>
        <v>fde1:103:4:c837:0:0:0:2</v>
      </c>
      <c r="G15809" s="1" t="str">
        <f>"0130A601"</f>
        <v>0130A601</v>
      </c>
      <c r="H15809" s="1" t="str">
        <f>"수유간 29L5"</f>
        <v>수유간 29L5</v>
      </c>
      <c r="I15809" s="1" t="s">
        <v>15</v>
      </c>
      <c r="J15809" s="1" t="str">
        <f>"73/73"</f>
        <v>73/73</v>
      </c>
      <c r="K15809" s="1" t="str">
        <f>"2026-07-29 14:20:23"</f>
        <v>2026-07-29 14:20:23</v>
      </c>
      <c r="L15809" s="1" t="str">
        <f>"2024-12-04 15:41:11"</f>
        <v>2024-12-04 15:41:11</v>
      </c>
      <c r="M15809" s="1" t="s">
        <v>4</v>
      </c>
      <c r="N15809" s="1" t="s">
        <v>38</v>
      </c>
      <c r="O15809" s="1" t="s">
        <v>46</v>
      </c>
    </row>
    <row r="15810" spans="2:15" x14ac:dyDescent="0.3">
      <c r="B15810" s="1" t="s">
        <v>19</v>
      </c>
      <c r="C15810" s="1" t="str">
        <f>"4차"</f>
        <v>4차</v>
      </c>
      <c r="D15810" s="1" t="str">
        <f>"0130A62B39"</f>
        <v>0130A62B39</v>
      </c>
      <c r="E15810" s="1" t="s">
        <v>10</v>
      </c>
      <c r="F15810" s="1" t="str">
        <f>"10.12.136.55"</f>
        <v>10.12.136.55</v>
      </c>
      <c r="G15810" s="1" t="str">
        <f>"0130A62B"</f>
        <v>0130A62B</v>
      </c>
      <c r="H15810" s="1" t="str">
        <f>"사일구 14"</f>
        <v>사일구 14</v>
      </c>
      <c r="I15810" s="1" t="s">
        <v>17</v>
      </c>
      <c r="J15810" s="1" t="str">
        <f>"106/107"</f>
        <v>106/107</v>
      </c>
      <c r="K15810" s="1" t="str">
        <f>"2026-07-29 13:18:03"</f>
        <v>2026-07-29 13:18:03</v>
      </c>
      <c r="L15810" s="1" t="str">
        <f>"2018-10-08 11:52:26"</f>
        <v>2018-10-08 11:52:26</v>
      </c>
      <c r="M15810" s="1" t="s">
        <v>0</v>
      </c>
      <c r="N15810" s="1" t="s">
        <v>38</v>
      </c>
      <c r="O15810" s="1" t="s">
        <v>46</v>
      </c>
    </row>
    <row r="15811" spans="2:15" x14ac:dyDescent="0.3">
      <c r="B15811" s="1" t="s">
        <v>19</v>
      </c>
      <c r="C15811" s="1" t="str">
        <f>"4차"</f>
        <v>4차</v>
      </c>
      <c r="D15811" s="1" t="str">
        <f>"0130A71839"</f>
        <v>0130A71839</v>
      </c>
      <c r="E15811" s="1" t="str">
        <f>"검침실패(3시간 이상)"</f>
        <v>검침실패(3시간 이상)</v>
      </c>
      <c r="F15811" s="1" t="str">
        <f>"10.12.134.247"</f>
        <v>10.12.134.247</v>
      </c>
      <c r="G15811" s="1" t="str">
        <f>"0130A718"</f>
        <v>0130A718</v>
      </c>
      <c r="H15811" s="1" t="str">
        <f>"사일구 42"</f>
        <v>사일구 42</v>
      </c>
      <c r="I15811" s="1" t="s">
        <v>17</v>
      </c>
      <c r="J15811" s="1" t="str">
        <f>"0/3"</f>
        <v>0/3</v>
      </c>
      <c r="K15811" s="1" t="str">
        <f>"2026-07-06 07:18:01"</f>
        <v>2026-07-06 07:18:01</v>
      </c>
      <c r="L15811" s="1" t="str">
        <f>"2018-12-14 08:14:55"</f>
        <v>2018-12-14 08:14:55</v>
      </c>
      <c r="M15811" s="1" t="s">
        <v>0</v>
      </c>
      <c r="N15811" s="1" t="s">
        <v>38</v>
      </c>
      <c r="O15811" s="1" t="s">
        <v>46</v>
      </c>
    </row>
    <row r="15812" spans="2:15" x14ac:dyDescent="0.3">
      <c r="B15812" s="1" t="s">
        <v>19</v>
      </c>
      <c r="C15812" s="1" t="str">
        <f>"5-2차"</f>
        <v>5-2차</v>
      </c>
      <c r="D15812" s="1" t="str">
        <f>"0130A7215M"</f>
        <v>0130A7215M</v>
      </c>
      <c r="E15812" s="1" t="s">
        <v>10</v>
      </c>
      <c r="F15812" s="1" t="str">
        <f>"fde3:102:1410:4500:0:0:0:1a"</f>
        <v>fde3:102:1410:4500:0:0:0:1a</v>
      </c>
      <c r="G15812" s="1" t="str">
        <f>"0130A721"</f>
        <v>0130A721</v>
      </c>
      <c r="H15812" s="1" t="str">
        <f>"우이간 36R2"</f>
        <v>우이간 36R2</v>
      </c>
      <c r="I15812" s="1" t="s">
        <v>15</v>
      </c>
      <c r="J15812" s="1" t="str">
        <f>"66/66"</f>
        <v>66/66</v>
      </c>
      <c r="K15812" s="1" t="str">
        <f>"2026-07-29 14:20:29"</f>
        <v>2026-07-29 14:20:29</v>
      </c>
      <c r="L15812" s="1" t="str">
        <f>"2023-08-04 15:57:47"</f>
        <v>2023-08-04 15:57:47</v>
      </c>
      <c r="M15812" s="1" t="s">
        <v>45</v>
      </c>
      <c r="N15812" s="1" t="s">
        <v>38</v>
      </c>
      <c r="O15812" s="1" t="s">
        <v>46</v>
      </c>
    </row>
    <row r="15813" spans="2:15" x14ac:dyDescent="0.3">
      <c r="B15813" s="1" t="s">
        <v>19</v>
      </c>
      <c r="C15813" s="1" t="str">
        <f>"6차"</f>
        <v>6차</v>
      </c>
      <c r="D15813" s="1" t="str">
        <f>"0130A8126S"</f>
        <v>0130A8126S</v>
      </c>
      <c r="E15813" s="1" t="s">
        <v>10</v>
      </c>
      <c r="F15813" s="1" t="str">
        <f>"fde1:103:4:92e9:0:0:0:2"</f>
        <v>fde1:103:4:92e9:0:0:0:2</v>
      </c>
      <c r="G15813" s="1" t="str">
        <f>"0130A812"</f>
        <v>0130A812</v>
      </c>
      <c r="H15813" s="1" t="str">
        <f>"우이간 36R5"</f>
        <v>우이간 36R5</v>
      </c>
      <c r="I15813" s="1" t="s">
        <v>15</v>
      </c>
      <c r="J15813" s="1" t="str">
        <f>"43/43"</f>
        <v>43/43</v>
      </c>
      <c r="K15813" s="1" t="str">
        <f>"2026-07-29 14:20:27"</f>
        <v>2026-07-29 14:20:27</v>
      </c>
      <c r="L15813" s="1" t="str">
        <f>"2025-02-11 18:10:59"</f>
        <v>2025-02-11 18:10:59</v>
      </c>
      <c r="M15813" s="1" t="s">
        <v>4</v>
      </c>
      <c r="N15813" s="1" t="s">
        <v>38</v>
      </c>
      <c r="O15813" s="1" t="s">
        <v>46</v>
      </c>
    </row>
    <row r="15814" spans="2:15" x14ac:dyDescent="0.3">
      <c r="B15814" s="1" t="s">
        <v>19</v>
      </c>
      <c r="C15814" s="1" t="str">
        <f>"5-1차"</f>
        <v>5-1차</v>
      </c>
      <c r="D15814" s="1" t="str">
        <f>"0130A8315M"</f>
        <v>0130A8315M</v>
      </c>
      <c r="E15814" s="1" t="s">
        <v>10</v>
      </c>
      <c r="F15814" s="1" t="str">
        <f>"fde3:102:1410:4500:0:0:0:4"</f>
        <v>fde3:102:1410:4500:0:0:0:4</v>
      </c>
      <c r="G15814" s="1" t="str">
        <f>"0130A831"</f>
        <v>0130A831</v>
      </c>
      <c r="H15814" s="1" t="str">
        <f>"우이간 36R14L3"</f>
        <v>우이간 36R14L3</v>
      </c>
      <c r="I15814" s="1" t="s">
        <v>15</v>
      </c>
      <c r="J15814" s="1" t="str">
        <f>"134/140"</f>
        <v>134/140</v>
      </c>
      <c r="K15814" s="1" t="str">
        <f>"2026-07-29 14:20:27"</f>
        <v>2026-07-29 14:20:27</v>
      </c>
      <c r="L15814" s="1" t="str">
        <f>"2022-09-26 15:43:53"</f>
        <v>2022-09-26 15:43:53</v>
      </c>
      <c r="M15814" s="1" t="s">
        <v>45</v>
      </c>
      <c r="N15814" s="1" t="s">
        <v>38</v>
      </c>
      <c r="O15814" s="1" t="s">
        <v>46</v>
      </c>
    </row>
    <row r="15815" spans="2:15" x14ac:dyDescent="0.3">
      <c r="B15815" s="1" t="s">
        <v>19</v>
      </c>
      <c r="C15815" s="1" t="str">
        <f>"1차"</f>
        <v>1차</v>
      </c>
      <c r="D15815" s="1" t="str">
        <f>"0130A90200"</f>
        <v>0130A90200</v>
      </c>
      <c r="E15815" s="1" t="s">
        <v>10</v>
      </c>
      <c r="F15815" s="1" t="str">
        <f>"10.107.124.99"</f>
        <v>10.107.124.99</v>
      </c>
      <c r="G15815" s="1" t="str">
        <f>"0130A902"</f>
        <v>0130A902</v>
      </c>
      <c r="H15815" s="1" t="str">
        <f>"우이간 36R7"</f>
        <v>우이간 36R7</v>
      </c>
      <c r="I15815" s="1" t="s">
        <v>8</v>
      </c>
      <c r="J15815" s="1" t="str">
        <f>"44/45"</f>
        <v>44/45</v>
      </c>
      <c r="K15815" s="1" t="str">
        <f>"2026-07-29 13:18:01"</f>
        <v>2026-07-29 13:18:01</v>
      </c>
      <c r="L15815" s="1" t="str">
        <f>"2014-12-08 10:12:35"</f>
        <v>2014-12-08 10:12:35</v>
      </c>
      <c r="M15815" s="1" t="s">
        <v>45</v>
      </c>
      <c r="N15815" s="1" t="s">
        <v>38</v>
      </c>
      <c r="O15815" s="1" t="s">
        <v>46</v>
      </c>
    </row>
    <row r="15816" spans="2:15" x14ac:dyDescent="0.3">
      <c r="B15816" s="1" t="s">
        <v>19</v>
      </c>
      <c r="C15816" s="1" t="str">
        <f>"5-2차"</f>
        <v>5-2차</v>
      </c>
      <c r="D15816" s="1" t="str">
        <f>"0130A9225M"</f>
        <v>0130A9225M</v>
      </c>
      <c r="E15816" s="1" t="s">
        <v>10</v>
      </c>
      <c r="F15816" s="1" t="str">
        <f>"fde3:102:1410:4500:0:0:0:19"</f>
        <v>fde3:102:1410:4500:0:0:0:19</v>
      </c>
      <c r="G15816" s="1" t="str">
        <f>"0130A922"</f>
        <v>0130A922</v>
      </c>
      <c r="H15816" s="1" t="str">
        <f>"우이간 36R3L2"</f>
        <v>우이간 36R3L2</v>
      </c>
      <c r="I15816" s="1" t="s">
        <v>15</v>
      </c>
      <c r="J15816" s="1" t="str">
        <f>"32/32"</f>
        <v>32/32</v>
      </c>
      <c r="K15816" s="1" t="str">
        <f>"2026-07-29 08:20:11"</f>
        <v>2026-07-29 08:20:11</v>
      </c>
      <c r="L15816" s="1" t="str">
        <f>"2023-08-04 16:30:06"</f>
        <v>2023-08-04 16:30:06</v>
      </c>
      <c r="M15816" s="1" t="s">
        <v>45</v>
      </c>
      <c r="N15816" s="1" t="s">
        <v>38</v>
      </c>
      <c r="O15816" s="1" t="s">
        <v>46</v>
      </c>
    </row>
    <row r="15817" spans="2:15" x14ac:dyDescent="0.3">
      <c r="B15817" s="1" t="s">
        <v>19</v>
      </c>
      <c r="C15817" s="1" t="str">
        <f>"1차"</f>
        <v>1차</v>
      </c>
      <c r="D15817" s="1" t="str">
        <f>"0130B00201"</f>
        <v>0130B00201</v>
      </c>
      <c r="E15817" s="1" t="s">
        <v>12</v>
      </c>
      <c r="F15817" s="1" t="str">
        <f>"10.107.124.101"</f>
        <v>10.107.124.101</v>
      </c>
      <c r="G15817" s="1" t="str">
        <f>"0130B002"</f>
        <v>0130B002</v>
      </c>
      <c r="H15817" s="1" t="str">
        <f>"우이간 36R8"</f>
        <v>우이간 36R8</v>
      </c>
      <c r="I15817" s="1" t="s">
        <v>8</v>
      </c>
      <c r="J15817" s="1" t="str">
        <f>"0/36"</f>
        <v>0/36</v>
      </c>
      <c r="K15817" s="1" t="str">
        <f>"2026-07-18 01:18:01"</f>
        <v>2026-07-18 01:18:01</v>
      </c>
      <c r="L15817" s="1" t="str">
        <f>"2014-12-08 10:12:56"</f>
        <v>2014-12-08 10:12:56</v>
      </c>
      <c r="M15817" s="1" t="s">
        <v>45</v>
      </c>
      <c r="N15817" s="1" t="s">
        <v>38</v>
      </c>
      <c r="O15817" s="1" t="s">
        <v>46</v>
      </c>
    </row>
    <row r="15818" spans="2:15" x14ac:dyDescent="0.3">
      <c r="B15818" s="1" t="s">
        <v>19</v>
      </c>
      <c r="C15818" s="1" t="str">
        <f>"1차"</f>
        <v>1차</v>
      </c>
      <c r="D15818" s="1" t="str">
        <f>"0130B01101"</f>
        <v>0130B01101</v>
      </c>
      <c r="E15818" s="1" t="s">
        <v>10</v>
      </c>
      <c r="F15818" s="1" t="str">
        <f>"10.12.137.251"</f>
        <v>10.12.137.251</v>
      </c>
      <c r="G15818" s="1" t="str">
        <f>"0130B011"</f>
        <v>0130B011</v>
      </c>
      <c r="H15818" s="1" t="str">
        <f>"우이간 36R9"</f>
        <v>우이간 36R9</v>
      </c>
      <c r="I15818" s="1" t="s">
        <v>8</v>
      </c>
      <c r="J15818" s="1" t="str">
        <f>"16/16"</f>
        <v>16/16</v>
      </c>
      <c r="K15818" s="1" t="str">
        <f>"2026-07-29 13:18:02"</f>
        <v>2026-07-29 13:18:02</v>
      </c>
      <c r="L15818" s="1" t="str">
        <f>"2015-01-15 14:42:15"</f>
        <v>2015-01-15 14:42:15</v>
      </c>
      <c r="M15818" s="1" t="s">
        <v>0</v>
      </c>
      <c r="N15818" s="1" t="s">
        <v>38</v>
      </c>
      <c r="O15818" s="1" t="s">
        <v>46</v>
      </c>
    </row>
    <row r="15819" spans="2:15" x14ac:dyDescent="0.3">
      <c r="B15819" s="1" t="s">
        <v>19</v>
      </c>
      <c r="C15819" s="1" t="str">
        <f>"1차"</f>
        <v>1차</v>
      </c>
      <c r="D15819" s="1" t="str">
        <f>"0130B02100"</f>
        <v>0130B02100</v>
      </c>
      <c r="E15819" s="1" t="s">
        <v>10</v>
      </c>
      <c r="F15819" s="1" t="str">
        <f>"10.107.124.102"</f>
        <v>10.107.124.102</v>
      </c>
      <c r="G15819" s="1" t="str">
        <f>"0130B021"</f>
        <v>0130B021</v>
      </c>
      <c r="H15819" s="1" t="str">
        <f>"우이간 36R12L1"</f>
        <v>우이간 36R12L1</v>
      </c>
      <c r="I15819" s="1" t="s">
        <v>8</v>
      </c>
      <c r="J15819" s="1" t="str">
        <f>"60/60"</f>
        <v>60/60</v>
      </c>
      <c r="K15819" s="1" t="str">
        <f>"2026-07-29 13:18:01"</f>
        <v>2026-07-29 13:18:01</v>
      </c>
      <c r="L15819" s="1" t="str">
        <f>"2014-12-08 09:58:11"</f>
        <v>2014-12-08 09:58:11</v>
      </c>
      <c r="M15819" s="1" t="s">
        <v>45</v>
      </c>
      <c r="N15819" s="1" t="s">
        <v>38</v>
      </c>
      <c r="O15819" s="1" t="s">
        <v>46</v>
      </c>
    </row>
    <row r="15820" spans="2:15" x14ac:dyDescent="0.3">
      <c r="B15820" s="1" t="s">
        <v>19</v>
      </c>
      <c r="C15820" s="1" t="str">
        <f>"5-2차"</f>
        <v>5-2차</v>
      </c>
      <c r="D15820" s="1" t="str">
        <f>"0130B1015M"</f>
        <v>0130B1015M</v>
      </c>
      <c r="E15820" s="1" t="s">
        <v>10</v>
      </c>
      <c r="F15820" s="1" t="str">
        <f>"fde3:102:1410:4500:0:0:0:14"</f>
        <v>fde3:102:1410:4500:0:0:0:14</v>
      </c>
      <c r="G15820" s="1" t="str">
        <f>"0130B101"</f>
        <v>0130B101</v>
      </c>
      <c r="H15820" s="1" t="str">
        <f>"우이간 36R8R1"</f>
        <v>우이간 36R8R1</v>
      </c>
      <c r="I15820" s="1" t="s">
        <v>15</v>
      </c>
      <c r="J15820" s="1" t="str">
        <f>"29/29"</f>
        <v>29/29</v>
      </c>
      <c r="K15820" s="1" t="str">
        <f>"2026-07-29 14:20:28"</f>
        <v>2026-07-29 14:20:28</v>
      </c>
      <c r="L15820" s="1" t="str">
        <f>"2023-08-04 16:03:31"</f>
        <v>2023-08-04 16:03:31</v>
      </c>
      <c r="M15820" s="1" t="s">
        <v>45</v>
      </c>
      <c r="N15820" s="1" t="s">
        <v>38</v>
      </c>
      <c r="O15820" s="1" t="s">
        <v>46</v>
      </c>
    </row>
    <row r="15821" spans="2:15" x14ac:dyDescent="0.3">
      <c r="B15821" s="1" t="s">
        <v>19</v>
      </c>
      <c r="C15821" s="1" t="str">
        <f>"1차"</f>
        <v>1차</v>
      </c>
      <c r="D15821" s="1" t="str">
        <f>"0130B11100"</f>
        <v>0130B11100</v>
      </c>
      <c r="E15821" s="1" t="s">
        <v>10</v>
      </c>
      <c r="F15821" s="1" t="str">
        <f>"10.107.124.103"</f>
        <v>10.107.124.103</v>
      </c>
      <c r="G15821" s="1" t="str">
        <f>"0130B111"</f>
        <v>0130B111</v>
      </c>
      <c r="H15821" s="1" t="str">
        <f>"우이간 36R10"</f>
        <v>우이간 36R10</v>
      </c>
      <c r="I15821" s="1" t="s">
        <v>8</v>
      </c>
      <c r="J15821" s="1" t="str">
        <f>"13/13"</f>
        <v>13/13</v>
      </c>
      <c r="K15821" s="1" t="str">
        <f>"2026-07-29 13:18:01"</f>
        <v>2026-07-29 13:18:01</v>
      </c>
      <c r="L15821" s="1" t="str">
        <f>"2014-12-08 09:58:00"</f>
        <v>2014-12-08 09:58:00</v>
      </c>
      <c r="M15821" s="1" t="s">
        <v>45</v>
      </c>
      <c r="N15821" s="1" t="s">
        <v>38</v>
      </c>
      <c r="O15821" s="1" t="s">
        <v>46</v>
      </c>
    </row>
    <row r="15822" spans="2:15" x14ac:dyDescent="0.3">
      <c r="B15822" s="1" t="s">
        <v>19</v>
      </c>
      <c r="C15822" s="1" t="str">
        <f>"5-2차"</f>
        <v>5-2차</v>
      </c>
      <c r="D15822" s="1" t="str">
        <f>"0130B1235M"</f>
        <v>0130B1235M</v>
      </c>
      <c r="E15822" s="1" t="s">
        <v>10</v>
      </c>
      <c r="F15822" s="1" t="str">
        <f>"fde3:102:1410:4500:0:0:0:18"</f>
        <v>fde3:102:1410:4500:0:0:0:18</v>
      </c>
      <c r="G15822" s="1" t="str">
        <f>"0130B123"</f>
        <v>0130B123</v>
      </c>
      <c r="H15822" s="1" t="str">
        <f>"우이간 36R12"</f>
        <v>우이간 36R12</v>
      </c>
      <c r="I15822" s="1" t="s">
        <v>15</v>
      </c>
      <c r="J15822" s="1" t="str">
        <f>"86/86"</f>
        <v>86/86</v>
      </c>
      <c r="K15822" s="1" t="str">
        <f>"2026-07-29 14:20:27"</f>
        <v>2026-07-29 14:20:27</v>
      </c>
      <c r="L15822" s="1" t="str">
        <f>"2023-08-04 15:46:25"</f>
        <v>2023-08-04 15:46:25</v>
      </c>
      <c r="M15822" s="1" t="s">
        <v>45</v>
      </c>
      <c r="N15822" s="1" t="s">
        <v>38</v>
      </c>
      <c r="O15822" s="1" t="s">
        <v>46</v>
      </c>
    </row>
    <row r="15823" spans="2:15" x14ac:dyDescent="0.3">
      <c r="B15823" s="1" t="s">
        <v>19</v>
      </c>
      <c r="C15823" s="1" t="str">
        <f>"5-2차"</f>
        <v>5-2차</v>
      </c>
      <c r="D15823" s="1" t="str">
        <f>"0130B2025M"</f>
        <v>0130B2025M</v>
      </c>
      <c r="E15823" s="1" t="s">
        <v>10</v>
      </c>
      <c r="F15823" s="1" t="str">
        <f>"fde3:102:1410:4500:0:0:0:15"</f>
        <v>fde3:102:1410:4500:0:0:0:15</v>
      </c>
      <c r="G15823" s="1" t="str">
        <f>"0130B202"</f>
        <v>0130B202</v>
      </c>
      <c r="H15823" s="1" t="str">
        <f>"우이간 36R10R3"</f>
        <v>우이간 36R10R3</v>
      </c>
      <c r="I15823" s="1" t="s">
        <v>15</v>
      </c>
      <c r="J15823" s="1" t="str">
        <f>"148/148"</f>
        <v>148/148</v>
      </c>
      <c r="K15823" s="1" t="str">
        <f>"2026-07-29 14:20:25"</f>
        <v>2026-07-29 14:20:25</v>
      </c>
      <c r="L15823" s="1" t="str">
        <f>"2023-08-04 16:16:04"</f>
        <v>2023-08-04 16:16:04</v>
      </c>
      <c r="M15823" s="1" t="s">
        <v>45</v>
      </c>
      <c r="N15823" s="1" t="s">
        <v>38</v>
      </c>
      <c r="O15823" s="1" t="s">
        <v>46</v>
      </c>
    </row>
    <row r="15824" spans="2:15" x14ac:dyDescent="0.3">
      <c r="B15824" s="1" t="s">
        <v>19</v>
      </c>
      <c r="C15824" s="1" t="str">
        <f>"5-2차"</f>
        <v>5-2차</v>
      </c>
      <c r="D15824" s="1" t="str">
        <f>"0130B2035S"</f>
        <v>0130B2035S</v>
      </c>
      <c r="E15824" s="1" t="s">
        <v>10</v>
      </c>
      <c r="F15824" s="1" t="str">
        <f>"fde3:102:1410:4500:0:0:0:16"</f>
        <v>fde3:102:1410:4500:0:0:0:16</v>
      </c>
      <c r="G15824" s="1" t="str">
        <f>"0130B203"</f>
        <v>0130B203</v>
      </c>
      <c r="H15824" s="1" t="str">
        <f>"우이간 36R10R3R1"</f>
        <v>우이간 36R10R3R1</v>
      </c>
      <c r="I15824" s="1" t="s">
        <v>15</v>
      </c>
      <c r="J15824" s="1" t="str">
        <f>"54/54"</f>
        <v>54/54</v>
      </c>
      <c r="K15824" s="1" t="str">
        <f>"2026-07-29 14:20:28"</f>
        <v>2026-07-29 14:20:28</v>
      </c>
      <c r="L15824" s="1" t="str">
        <f>"2023-08-04 16:10:11"</f>
        <v>2023-08-04 16:10:11</v>
      </c>
      <c r="M15824" s="1" t="s">
        <v>45</v>
      </c>
      <c r="N15824" s="1" t="s">
        <v>38</v>
      </c>
      <c r="O15824" s="1" t="s">
        <v>46</v>
      </c>
    </row>
    <row r="15825" spans="2:15" x14ac:dyDescent="0.3">
      <c r="B15825" s="1" t="s">
        <v>19</v>
      </c>
      <c r="C15825" s="1" t="str">
        <f>"5-1차"</f>
        <v>5-1차</v>
      </c>
      <c r="D15825" s="1" t="str">
        <f>"0130B2235M"</f>
        <v>0130B2235M</v>
      </c>
      <c r="E15825" s="1" t="s">
        <v>10</v>
      </c>
      <c r="F15825" s="1" t="str">
        <f>"fde2:104:0:4c:0:0:0:2"</f>
        <v>fde2:104:0:4c:0:0:0:2</v>
      </c>
      <c r="G15825" s="1" t="str">
        <f>"0130B223"</f>
        <v>0130B223</v>
      </c>
      <c r="H15825" s="1" t="str">
        <f>"우이간 36R12R3"</f>
        <v>우이간 36R12R3</v>
      </c>
      <c r="I15825" s="1" t="s">
        <v>15</v>
      </c>
      <c r="J15825" s="1" t="str">
        <f>"49/49"</f>
        <v>49/49</v>
      </c>
      <c r="K15825" s="1" t="str">
        <f>"2026-07-29 14:20:30"</f>
        <v>2026-07-29 14:20:30</v>
      </c>
      <c r="L15825" s="1" t="str">
        <f>"2022-08-31 08:18:13"</f>
        <v>2022-08-31 08:18:13</v>
      </c>
      <c r="M15825" s="1" t="s">
        <v>42</v>
      </c>
      <c r="N15825" s="1" t="s">
        <v>38</v>
      </c>
      <c r="O15825" s="1" t="s">
        <v>46</v>
      </c>
    </row>
    <row r="15826" spans="2:15" x14ac:dyDescent="0.3">
      <c r="B15826" s="1" t="s">
        <v>19</v>
      </c>
      <c r="C15826" s="1" t="str">
        <f>"5-1차"</f>
        <v>5-1차</v>
      </c>
      <c r="D15826" s="1" t="str">
        <f>"0130B2415M"</f>
        <v>0130B2415M</v>
      </c>
      <c r="E15826" s="1" t="s">
        <v>10</v>
      </c>
      <c r="F15826" s="1" t="str">
        <f>"fde3:102:1410:4500:0:0:0:5"</f>
        <v>fde3:102:1410:4500:0:0:0:5</v>
      </c>
      <c r="G15826" s="1" t="str">
        <f>"0130B241"</f>
        <v>0130B241</v>
      </c>
      <c r="H15826" s="1" t="str">
        <f>"우이간 36R16"</f>
        <v>우이간 36R16</v>
      </c>
      <c r="I15826" s="1" t="s">
        <v>15</v>
      </c>
      <c r="J15826" s="1" t="str">
        <f>"54/54"</f>
        <v>54/54</v>
      </c>
      <c r="K15826" s="1" t="str">
        <f>"2026-07-29 14:20:29"</f>
        <v>2026-07-29 14:20:29</v>
      </c>
      <c r="L15826" s="1" t="str">
        <f>"2022-09-26 15:43:36"</f>
        <v>2022-09-26 15:43:36</v>
      </c>
      <c r="M15826" s="1" t="s">
        <v>45</v>
      </c>
      <c r="N15826" s="1" t="s">
        <v>38</v>
      </c>
      <c r="O15826" s="1" t="s">
        <v>46</v>
      </c>
    </row>
    <row r="15827" spans="2:15" x14ac:dyDescent="0.3">
      <c r="B15827" s="1" t="s">
        <v>19</v>
      </c>
      <c r="C15827" s="1" t="str">
        <f t="shared" ref="C15827:C15833" si="791">"5-2차"</f>
        <v>5-2차</v>
      </c>
      <c r="D15827" s="1" t="str">
        <f>"0130B3015M"</f>
        <v>0130B3015M</v>
      </c>
      <c r="E15827" s="1" t="s">
        <v>10</v>
      </c>
      <c r="F15827" s="1" t="str">
        <f>"fde3:102:1410:4500:0:0:0:17"</f>
        <v>fde3:102:1410:4500:0:0:0:17</v>
      </c>
      <c r="G15827" s="1" t="str">
        <f>"0130B301"</f>
        <v>0130B301</v>
      </c>
      <c r="H15827" s="1" t="str">
        <f>"우이간 36R10R5"</f>
        <v>우이간 36R10R5</v>
      </c>
      <c r="I15827" s="1" t="s">
        <v>15</v>
      </c>
      <c r="J15827" s="1" t="str">
        <f>"43/44"</f>
        <v>43/44</v>
      </c>
      <c r="K15827" s="1" t="str">
        <f>"2026-07-29 14:20:28"</f>
        <v>2026-07-29 14:20:28</v>
      </c>
      <c r="L15827" s="1" t="str">
        <f>"2023-08-04 16:21:41"</f>
        <v>2023-08-04 16:21:41</v>
      </c>
      <c r="M15827" s="1" t="s">
        <v>45</v>
      </c>
      <c r="N15827" s="1" t="s">
        <v>38</v>
      </c>
      <c r="O15827" s="1" t="s">
        <v>46</v>
      </c>
    </row>
    <row r="15828" spans="2:15" x14ac:dyDescent="0.3">
      <c r="B15828" s="1" t="s">
        <v>19</v>
      </c>
      <c r="C15828" s="1" t="str">
        <f t="shared" si="791"/>
        <v>5-2차</v>
      </c>
      <c r="D15828" s="1" t="str">
        <f>"0130B4115M"</f>
        <v>0130B4115M</v>
      </c>
      <c r="E15828" s="1" t="s">
        <v>10</v>
      </c>
      <c r="F15828" s="1" t="str">
        <f>"fde3:102:1410:4500:0:0:0:1e"</f>
        <v>fde3:102:1410:4500:0:0:0:1e</v>
      </c>
      <c r="G15828" s="1" t="str">
        <f>"0130B411"</f>
        <v>0130B411</v>
      </c>
      <c r="H15828" s="1" t="str">
        <f>"우이간 4R7L4"</f>
        <v>우이간 4R7L4</v>
      </c>
      <c r="I15828" s="1" t="s">
        <v>15</v>
      </c>
      <c r="J15828" s="1" t="str">
        <f>"19/19"</f>
        <v>19/19</v>
      </c>
      <c r="K15828" s="1" t="str">
        <f>"2026-07-29 14:20:07"</f>
        <v>2026-07-29 14:20:07</v>
      </c>
      <c r="L15828" s="1" t="str">
        <f>"2023-08-04 15:36:44"</f>
        <v>2023-08-04 15:36:44</v>
      </c>
      <c r="M15828" s="1" t="s">
        <v>45</v>
      </c>
      <c r="N15828" s="1" t="s">
        <v>38</v>
      </c>
      <c r="O15828" s="1" t="s">
        <v>46</v>
      </c>
    </row>
    <row r="15829" spans="2:15" x14ac:dyDescent="0.3">
      <c r="B15829" s="1" t="s">
        <v>19</v>
      </c>
      <c r="C15829" s="1" t="str">
        <f t="shared" si="791"/>
        <v>5-2차</v>
      </c>
      <c r="D15829" s="1" t="str">
        <f>"0130B4125M"</f>
        <v>0130B4125M</v>
      </c>
      <c r="E15829" s="1" t="s">
        <v>10</v>
      </c>
      <c r="F15829" s="1" t="str">
        <f>"fde3:102:1410:4500:0:0:0:1f"</f>
        <v>fde3:102:1410:4500:0:0:0:1f</v>
      </c>
      <c r="G15829" s="1" t="str">
        <f>"0130B412"</f>
        <v>0130B412</v>
      </c>
      <c r="H15829" s="1" t="str">
        <f>"우이간 4R7L5"</f>
        <v>우이간 4R7L5</v>
      </c>
      <c r="I15829" s="1" t="s">
        <v>15</v>
      </c>
      <c r="J15829" s="1" t="str">
        <f>"77/77"</f>
        <v>77/77</v>
      </c>
      <c r="K15829" s="1" t="str">
        <f>"2026-07-29 14:20:28"</f>
        <v>2026-07-29 14:20:28</v>
      </c>
      <c r="L15829" s="1" t="str">
        <f>"2023-08-04 15:40:33"</f>
        <v>2023-08-04 15:40:33</v>
      </c>
      <c r="M15829" s="1" t="s">
        <v>45</v>
      </c>
      <c r="N15829" s="1" t="s">
        <v>38</v>
      </c>
      <c r="O15829" s="1" t="s">
        <v>46</v>
      </c>
    </row>
    <row r="15830" spans="2:15" x14ac:dyDescent="0.3">
      <c r="B15830" s="1" t="s">
        <v>19</v>
      </c>
      <c r="C15830" s="1" t="str">
        <f t="shared" si="791"/>
        <v>5-2차</v>
      </c>
      <c r="D15830" s="1" t="str">
        <f>"0130B4215M"</f>
        <v>0130B4215M</v>
      </c>
      <c r="E15830" s="1" t="s">
        <v>10</v>
      </c>
      <c r="F15830" s="1" t="str">
        <f>"fde3:102:1410:4500:0:0:0:1c"</f>
        <v>fde3:102:1410:4500:0:0:0:1c</v>
      </c>
      <c r="G15830" s="1" t="str">
        <f>"0130B421"</f>
        <v>0130B421</v>
      </c>
      <c r="H15830" s="1" t="str">
        <f>"우이간 4R7L3R4"</f>
        <v>우이간 4R7L3R4</v>
      </c>
      <c r="I15830" s="1" t="s">
        <v>15</v>
      </c>
      <c r="J15830" s="1" t="str">
        <f>"142/142"</f>
        <v>142/142</v>
      </c>
      <c r="K15830" s="1" t="str">
        <f>"2026-07-29 14:20:28"</f>
        <v>2026-07-29 14:20:28</v>
      </c>
      <c r="L15830" s="1" t="str">
        <f>"2023-08-04 15:24:31"</f>
        <v>2023-08-04 15:24:31</v>
      </c>
      <c r="M15830" s="1" t="s">
        <v>45</v>
      </c>
      <c r="N15830" s="1" t="s">
        <v>38</v>
      </c>
      <c r="O15830" s="1" t="s">
        <v>46</v>
      </c>
    </row>
    <row r="15831" spans="2:15" x14ac:dyDescent="0.3">
      <c r="B15831" s="1" t="s">
        <v>19</v>
      </c>
      <c r="C15831" s="1" t="str">
        <f t="shared" si="791"/>
        <v>5-2차</v>
      </c>
      <c r="D15831" s="1" t="str">
        <f>"0130B4435S"</f>
        <v>0130B4435S</v>
      </c>
      <c r="E15831" s="1" t="s">
        <v>10</v>
      </c>
      <c r="F15831" s="1" t="str">
        <f>"fde3:102:1410:4500:0:0:0:1b"</f>
        <v>fde3:102:1410:4500:0:0:0:1b</v>
      </c>
      <c r="G15831" s="1" t="str">
        <f>"0130B443"</f>
        <v>0130B443</v>
      </c>
      <c r="H15831" s="1" t="str">
        <f>"우이간 36R20"</f>
        <v>우이간 36R20</v>
      </c>
      <c r="I15831" s="1" t="s">
        <v>15</v>
      </c>
      <c r="J15831" s="1" t="str">
        <f>"39/39"</f>
        <v>39/39</v>
      </c>
      <c r="K15831" s="1" t="str">
        <f>"2026-07-29 14:20:28"</f>
        <v>2026-07-29 14:20:28</v>
      </c>
      <c r="L15831" s="1" t="str">
        <f>"2023-08-04 16:29:26"</f>
        <v>2023-08-04 16:29:26</v>
      </c>
      <c r="M15831" s="1" t="s">
        <v>45</v>
      </c>
      <c r="N15831" s="1" t="s">
        <v>38</v>
      </c>
      <c r="O15831" s="1" t="s">
        <v>46</v>
      </c>
    </row>
    <row r="15832" spans="2:15" x14ac:dyDescent="0.3">
      <c r="B15832" s="1" t="s">
        <v>19</v>
      </c>
      <c r="C15832" s="1" t="str">
        <f t="shared" si="791"/>
        <v>5-2차</v>
      </c>
      <c r="D15832" s="1" t="str">
        <f>"0130B5015M"</f>
        <v>0130B5015M</v>
      </c>
      <c r="E15832" s="1" t="s">
        <v>12</v>
      </c>
      <c r="F15832" s="1" t="str">
        <f>"fde3:102:1410:4500:0:0:0:2b"</f>
        <v>fde3:102:1410:4500:0:0:0:2b</v>
      </c>
      <c r="G15832" s="1" t="str">
        <f>"0130B501"</f>
        <v>0130B501</v>
      </c>
      <c r="H15832" s="1" t="str">
        <f>"우이간 4R7L3"</f>
        <v>우이간 4R7L3</v>
      </c>
      <c r="I15832" s="1" t="s">
        <v>15</v>
      </c>
      <c r="J15832" s="1" t="str">
        <f>"0/49"</f>
        <v>0/49</v>
      </c>
      <c r="K15832" s="1" t="str">
        <f>"2026-07-13 20:20:14"</f>
        <v>2026-07-13 20:20:14</v>
      </c>
      <c r="L15832" s="1" t="str">
        <f>"2023-12-12 11:45:04"</f>
        <v>2023-12-12 11:45:04</v>
      </c>
      <c r="M15832" s="1" t="s">
        <v>45</v>
      </c>
      <c r="N15832" s="1" t="s">
        <v>38</v>
      </c>
      <c r="O15832" s="1" t="s">
        <v>46</v>
      </c>
    </row>
    <row r="15833" spans="2:15" x14ac:dyDescent="0.3">
      <c r="B15833" s="1" t="s">
        <v>19</v>
      </c>
      <c r="C15833" s="1" t="str">
        <f t="shared" si="791"/>
        <v>5-2차</v>
      </c>
      <c r="D15833" s="1" t="str">
        <f>"0130B5215M"</f>
        <v>0130B5215M</v>
      </c>
      <c r="E15833" s="1" t="s">
        <v>10</v>
      </c>
      <c r="F15833" s="1" t="str">
        <f>"fde3:102:1410:4500:0:0:0:1d"</f>
        <v>fde3:102:1410:4500:0:0:0:1d</v>
      </c>
      <c r="G15833" s="1" t="str">
        <f>"0130B521"</f>
        <v>0130B521</v>
      </c>
      <c r="H15833" s="1" t="str">
        <f>"우이간 4R7L3R6"</f>
        <v>우이간 4R7L3R6</v>
      </c>
      <c r="I15833" s="1" t="s">
        <v>15</v>
      </c>
      <c r="J15833" s="1" t="str">
        <f>"119/119"</f>
        <v>119/119</v>
      </c>
      <c r="K15833" s="1" t="str">
        <f>"2026-07-29 14:20:30"</f>
        <v>2026-07-29 14:20:30</v>
      </c>
      <c r="L15833" s="1" t="str">
        <f>"2023-08-04 15:29:31"</f>
        <v>2023-08-04 15:29:31</v>
      </c>
      <c r="M15833" s="1" t="s">
        <v>45</v>
      </c>
      <c r="N15833" s="1" t="s">
        <v>38</v>
      </c>
      <c r="O15833" s="1" t="s">
        <v>46</v>
      </c>
    </row>
    <row r="15834" spans="2:15" x14ac:dyDescent="0.3">
      <c r="B15834" s="1" t="s">
        <v>19</v>
      </c>
      <c r="C15834" s="1" t="str">
        <f>"5-1차"</f>
        <v>5-1차</v>
      </c>
      <c r="D15834" s="1" t="str">
        <f>"0130B5335M"</f>
        <v>0130B5335M</v>
      </c>
      <c r="E15834" s="1" t="s">
        <v>10</v>
      </c>
      <c r="F15834" s="1" t="str">
        <f>"fde3:102:1410:4500:0:0:0:6"</f>
        <v>fde3:102:1410:4500:0:0:0:6</v>
      </c>
      <c r="G15834" s="1" t="str">
        <f>"0130B533"</f>
        <v>0130B533</v>
      </c>
      <c r="H15834" s="1" t="str">
        <f>"우이간 4R7L3R5"</f>
        <v>우이간 4R7L3R5</v>
      </c>
      <c r="I15834" s="1" t="s">
        <v>15</v>
      </c>
      <c r="J15834" s="1" t="str">
        <f>"43/43"</f>
        <v>43/43</v>
      </c>
      <c r="K15834" s="1" t="str">
        <f>"2026-07-29 14:20:30"</f>
        <v>2026-07-29 14:20:30</v>
      </c>
      <c r="L15834" s="1" t="str">
        <f>"2022-09-26 15:53:13"</f>
        <v>2022-09-26 15:53:13</v>
      </c>
      <c r="M15834" s="1" t="s">
        <v>45</v>
      </c>
      <c r="N15834" s="1" t="s">
        <v>38</v>
      </c>
      <c r="O15834" s="1" t="s">
        <v>46</v>
      </c>
    </row>
    <row r="15835" spans="2:15" x14ac:dyDescent="0.3">
      <c r="B15835" s="1" t="s">
        <v>19</v>
      </c>
      <c r="C15835" s="1" t="str">
        <f>"4차"</f>
        <v>4차</v>
      </c>
      <c r="D15835" s="1" t="str">
        <f>"0130B60144"</f>
        <v>0130B60144</v>
      </c>
      <c r="E15835" s="1" t="s">
        <v>10</v>
      </c>
      <c r="F15835" s="1" t="str">
        <f>"10.107.124.124"</f>
        <v>10.107.124.124</v>
      </c>
      <c r="G15835" s="1" t="str">
        <f>"0130B601"</f>
        <v>0130B601</v>
      </c>
      <c r="H15835" s="1" t="str">
        <f>"우이간 4R7L2"</f>
        <v>우이간 4R7L2</v>
      </c>
      <c r="I15835" s="1" t="s">
        <v>8</v>
      </c>
      <c r="J15835" s="1" t="str">
        <f>"36/42"</f>
        <v>36/42</v>
      </c>
      <c r="K15835" s="1" t="str">
        <f>"2026-07-29 13:18:01"</f>
        <v>2026-07-29 13:18:01</v>
      </c>
      <c r="L15835" s="1" t="str">
        <f>"2019-12-13 09:16:25"</f>
        <v>2019-12-13 09:16:25</v>
      </c>
      <c r="M15835" s="1" t="s">
        <v>45</v>
      </c>
      <c r="N15835" s="1" t="s">
        <v>38</v>
      </c>
      <c r="O15835" s="1" t="s">
        <v>46</v>
      </c>
    </row>
    <row r="15836" spans="2:15" x14ac:dyDescent="0.3">
      <c r="B15836" s="1" t="s">
        <v>19</v>
      </c>
      <c r="C15836" s="1" t="str">
        <f>"4차"</f>
        <v>4차</v>
      </c>
      <c r="D15836" s="1" t="str">
        <f>"0130B60244"</f>
        <v>0130B60244</v>
      </c>
      <c r="E15836" s="1" t="s">
        <v>10</v>
      </c>
      <c r="F15836" s="1" t="str">
        <f>"10.107.124.123"</f>
        <v>10.107.124.123</v>
      </c>
      <c r="G15836" s="1" t="str">
        <f>"0130B602"</f>
        <v>0130B602</v>
      </c>
      <c r="H15836" s="1" t="str">
        <f>"우이간 4R7L1"</f>
        <v>우이간 4R7L1</v>
      </c>
      <c r="I15836" s="1" t="s">
        <v>8</v>
      </c>
      <c r="J15836" s="1" t="str">
        <f>"39/39"</f>
        <v>39/39</v>
      </c>
      <c r="K15836" s="1" t="str">
        <f>"2026-07-29 13:18:01"</f>
        <v>2026-07-29 13:18:01</v>
      </c>
      <c r="L15836" s="1" t="str">
        <f>"2019-12-13 09:00:00"</f>
        <v>2019-12-13 09:00:00</v>
      </c>
      <c r="M15836" s="1" t="s">
        <v>45</v>
      </c>
      <c r="N15836" s="1" t="s">
        <v>38</v>
      </c>
      <c r="O15836" s="1" t="s">
        <v>46</v>
      </c>
    </row>
    <row r="15837" spans="2:15" x14ac:dyDescent="0.3">
      <c r="B15837" s="1" t="s">
        <v>19</v>
      </c>
      <c r="C15837" s="1" t="str">
        <f>"5-1차"</f>
        <v>5-1차</v>
      </c>
      <c r="D15837" s="1" t="str">
        <f>"0130B7255M"</f>
        <v>0130B7255M</v>
      </c>
      <c r="E15837" s="1" t="s">
        <v>10</v>
      </c>
      <c r="F15837" s="1" t="str">
        <f>"fde3:102:1410:4400:0:0:0:7"</f>
        <v>fde3:102:1410:4400:0:0:0:7</v>
      </c>
      <c r="G15837" s="1" t="str">
        <f>"0130B725"</f>
        <v>0130B725</v>
      </c>
      <c r="H15837" s="1" t="str">
        <f>"우이간 4R11L1"</f>
        <v>우이간 4R11L1</v>
      </c>
      <c r="I15837" s="1" t="s">
        <v>15</v>
      </c>
      <c r="J15837" s="1" t="str">
        <f>"70/70"</f>
        <v>70/70</v>
      </c>
      <c r="K15837" s="1" t="str">
        <f>"2026-07-29 14:20:02"</f>
        <v>2026-07-29 14:20:02</v>
      </c>
      <c r="L15837" s="1" t="str">
        <f>"2022-09-27 14:36:36"</f>
        <v>2022-09-27 14:36:36</v>
      </c>
      <c r="M15837" s="1" t="s">
        <v>45</v>
      </c>
      <c r="N15837" s="1" t="s">
        <v>38</v>
      </c>
      <c r="O15837" s="1" t="s">
        <v>46</v>
      </c>
    </row>
    <row r="15838" spans="2:15" x14ac:dyDescent="0.3">
      <c r="B15838" s="1" t="s">
        <v>19</v>
      </c>
      <c r="C15838" s="1" t="str">
        <f>"5-1차"</f>
        <v>5-1차</v>
      </c>
      <c r="D15838" s="1" t="str">
        <f>"0130B7315M"</f>
        <v>0130B7315M</v>
      </c>
      <c r="E15838" s="1" t="s">
        <v>10</v>
      </c>
      <c r="F15838" s="1" t="str">
        <f>"fde3:102:1410:4400:0:0:0:6"</f>
        <v>fde3:102:1410:4400:0:0:0:6</v>
      </c>
      <c r="G15838" s="1" t="str">
        <f>"0130B731"</f>
        <v>0130B731</v>
      </c>
      <c r="H15838" s="1" t="str">
        <f>"우이간 4R11L3"</f>
        <v>우이간 4R11L3</v>
      </c>
      <c r="I15838" s="1" t="s">
        <v>15</v>
      </c>
      <c r="J15838" s="1" t="str">
        <f>"45/45"</f>
        <v>45/45</v>
      </c>
      <c r="K15838" s="1" t="str">
        <f>"2026-07-29 14:20:30"</f>
        <v>2026-07-29 14:20:30</v>
      </c>
      <c r="L15838" s="1" t="str">
        <f>"2022-09-26 15:40:28"</f>
        <v>2022-09-26 15:40:28</v>
      </c>
      <c r="M15838" s="1" t="s">
        <v>45</v>
      </c>
      <c r="N15838" s="1" t="s">
        <v>38</v>
      </c>
      <c r="O15838" s="1" t="s">
        <v>46</v>
      </c>
    </row>
    <row r="15839" spans="2:15" x14ac:dyDescent="0.3">
      <c r="B15839" s="1" t="s">
        <v>19</v>
      </c>
      <c r="C15839" s="1" t="str">
        <f>"6차"</f>
        <v>6차</v>
      </c>
      <c r="D15839" s="1" t="str">
        <f>"0130B8126S"</f>
        <v>0130B8126S</v>
      </c>
      <c r="E15839" s="1" t="s">
        <v>10</v>
      </c>
      <c r="F15839" s="1" t="str">
        <f>"fde3:102:1410:4400:0:0:0:15"</f>
        <v>fde3:102:1410:4400:0:0:0:15</v>
      </c>
      <c r="G15839" s="1" t="str">
        <f>"0130B812"</f>
        <v>0130B812</v>
      </c>
      <c r="H15839" s="1" t="str">
        <f>"우이간 4R9"</f>
        <v>우이간 4R9</v>
      </c>
      <c r="I15839" s="1" t="s">
        <v>15</v>
      </c>
      <c r="J15839" s="1" t="str">
        <f>"59/59"</f>
        <v>59/59</v>
      </c>
      <c r="K15839" s="1" t="str">
        <f>"2026-07-29 14:20:56"</f>
        <v>2026-07-29 14:20:56</v>
      </c>
      <c r="L15839" s="1" t="str">
        <f>"2024-10-11 14:36:24"</f>
        <v>2024-10-11 14:36:24</v>
      </c>
      <c r="M15839" s="1" t="s">
        <v>45</v>
      </c>
      <c r="N15839" s="1" t="s">
        <v>38</v>
      </c>
      <c r="O15839" s="1" t="s">
        <v>46</v>
      </c>
    </row>
    <row r="15840" spans="2:15" x14ac:dyDescent="0.3">
      <c r="B15840" s="1" t="s">
        <v>19</v>
      </c>
      <c r="C15840" s="1" t="str">
        <f>"6차"</f>
        <v>6차</v>
      </c>
      <c r="D15840" s="1" t="str">
        <f>"0130B8136S"</f>
        <v>0130B8136S</v>
      </c>
      <c r="E15840" s="1" t="s">
        <v>10</v>
      </c>
      <c r="F15840" s="1" t="str">
        <f>"fde3:102:1410:4400:0:0:0:14"</f>
        <v>fde3:102:1410:4400:0:0:0:14</v>
      </c>
      <c r="G15840" s="1" t="str">
        <f>"0130B813"</f>
        <v>0130B813</v>
      </c>
      <c r="H15840" s="1" t="str">
        <f>"우이간 4R10R1"</f>
        <v>우이간 4R10R1</v>
      </c>
      <c r="I15840" s="1" t="s">
        <v>15</v>
      </c>
      <c r="J15840" s="1" t="str">
        <f>"69/70"</f>
        <v>69/70</v>
      </c>
      <c r="K15840" s="1" t="str">
        <f>"2026-07-29 02:20:22"</f>
        <v>2026-07-29 02:20:22</v>
      </c>
      <c r="L15840" s="1" t="str">
        <f>"2024-10-11 14:56:09"</f>
        <v>2024-10-11 14:56:09</v>
      </c>
      <c r="M15840" s="1" t="s">
        <v>45</v>
      </c>
      <c r="N15840" s="1" t="s">
        <v>38</v>
      </c>
      <c r="O15840" s="1" t="s">
        <v>46</v>
      </c>
    </row>
    <row r="15841" spans="2:15" x14ac:dyDescent="0.3">
      <c r="B15841" s="1" t="s">
        <v>19</v>
      </c>
      <c r="C15841" s="1" t="str">
        <f>"4차"</f>
        <v>4차</v>
      </c>
      <c r="D15841" s="1" t="str">
        <f>"0130B90344"</f>
        <v>0130B90344</v>
      </c>
      <c r="E15841" s="1" t="s">
        <v>10</v>
      </c>
      <c r="F15841" s="1" t="str">
        <f>"10.107.124.77"</f>
        <v>10.107.124.77</v>
      </c>
      <c r="G15841" s="1" t="str">
        <f>"0130B903"</f>
        <v>0130B903</v>
      </c>
      <c r="H15841" s="1" t="str">
        <f>"우이간 4R10R4"</f>
        <v>우이간 4R10R4</v>
      </c>
      <c r="I15841" s="1" t="s">
        <v>8</v>
      </c>
      <c r="J15841" s="1" t="str">
        <f>"40/40"</f>
        <v>40/40</v>
      </c>
      <c r="K15841" s="1" t="str">
        <f>"2026-07-29 13:18:01"</f>
        <v>2026-07-29 13:18:01</v>
      </c>
      <c r="L15841" s="1" t="str">
        <f>"2021-05-27 09:08:56"</f>
        <v>2021-05-27 09:08:56</v>
      </c>
      <c r="M15841" s="1" t="s">
        <v>45</v>
      </c>
      <c r="N15841" s="1" t="s">
        <v>38</v>
      </c>
      <c r="O15841" s="1" t="s">
        <v>46</v>
      </c>
    </row>
    <row r="15842" spans="2:15" x14ac:dyDescent="0.3">
      <c r="B15842" s="1" t="s">
        <v>19</v>
      </c>
      <c r="C15842" s="1" t="str">
        <f>"4차"</f>
        <v>4차</v>
      </c>
      <c r="D15842" s="1" t="str">
        <f>"0130C00144"</f>
        <v>0130C00144</v>
      </c>
      <c r="E15842" s="1" t="s">
        <v>10</v>
      </c>
      <c r="F15842" s="1" t="str">
        <f>"10.107.124.253"</f>
        <v>10.107.124.253</v>
      </c>
      <c r="G15842" s="1" t="str">
        <f>"0130C001"</f>
        <v>0130C001</v>
      </c>
      <c r="H15842" s="1" t="str">
        <f>"삼원간 14R9L5L5"</f>
        <v>삼원간 14R9L5L5</v>
      </c>
      <c r="I15842" s="1" t="s">
        <v>8</v>
      </c>
      <c r="J15842" s="1" t="str">
        <f>"22/22"</f>
        <v>22/22</v>
      </c>
      <c r="K15842" s="1" t="str">
        <f>"2026-07-29 13:18:01"</f>
        <v>2026-07-29 13:18:01</v>
      </c>
      <c r="L15842" s="1" t="str">
        <f>"2019-10-17 19:19:07"</f>
        <v>2019-10-17 19:19:07</v>
      </c>
      <c r="M15842" s="1" t="s">
        <v>45</v>
      </c>
      <c r="N15842" s="1" t="s">
        <v>38</v>
      </c>
      <c r="O15842" s="1" t="s">
        <v>46</v>
      </c>
    </row>
    <row r="15843" spans="2:15" x14ac:dyDescent="0.3">
      <c r="B15843" s="1" t="s">
        <v>19</v>
      </c>
      <c r="C15843" s="1" t="str">
        <f>"4차"</f>
        <v>4차</v>
      </c>
      <c r="D15843" s="1" t="str">
        <f>"0130C00244"</f>
        <v>0130C00244</v>
      </c>
      <c r="E15843" s="1" t="s">
        <v>10</v>
      </c>
      <c r="F15843" s="1" t="str">
        <f>"10.107.124.254"</f>
        <v>10.107.124.254</v>
      </c>
      <c r="G15843" s="1" t="str">
        <f>"0130C002"</f>
        <v>0130C002</v>
      </c>
      <c r="H15843" s="1" t="str">
        <f>"삼원간 14R9L5L6"</f>
        <v>삼원간 14R9L5L6</v>
      </c>
      <c r="I15843" s="1" t="s">
        <v>8</v>
      </c>
      <c r="J15843" s="1" t="str">
        <f>"52/54"</f>
        <v>52/54</v>
      </c>
      <c r="K15843" s="1" t="str">
        <f>"2026-07-29 13:18:01"</f>
        <v>2026-07-29 13:18:01</v>
      </c>
      <c r="L15843" s="1" t="str">
        <f>"2019-10-17 19:02:53"</f>
        <v>2019-10-17 19:02:53</v>
      </c>
      <c r="M15843" s="1" t="s">
        <v>45</v>
      </c>
      <c r="N15843" s="1" t="s">
        <v>38</v>
      </c>
      <c r="O15843" s="1" t="s">
        <v>46</v>
      </c>
    </row>
    <row r="15844" spans="2:15" x14ac:dyDescent="0.3">
      <c r="B15844" s="1" t="s">
        <v>19</v>
      </c>
      <c r="C15844" s="1" t="str">
        <f>"4차"</f>
        <v>4차</v>
      </c>
      <c r="D15844" s="1" t="str">
        <f>"0130C01144"</f>
        <v>0130C01144</v>
      </c>
      <c r="E15844" s="1" t="s">
        <v>10</v>
      </c>
      <c r="F15844" s="1" t="str">
        <f>"10.107.122.151"</f>
        <v>10.107.122.151</v>
      </c>
      <c r="G15844" s="1" t="str">
        <f>"0130C011"</f>
        <v>0130C011</v>
      </c>
      <c r="H15844" s="1" t="str">
        <f>"삼원간 14R9L3L2"</f>
        <v>삼원간 14R9L3L2</v>
      </c>
      <c r="I15844" s="1" t="s">
        <v>8</v>
      </c>
      <c r="J15844" s="1" t="str">
        <f>"58/59"</f>
        <v>58/59</v>
      </c>
      <c r="K15844" s="1" t="str">
        <f>"2026-07-29 13:18:01"</f>
        <v>2026-07-29 13:18:01</v>
      </c>
      <c r="L15844" s="1" t="str">
        <f>"2019-10-17 18:57:51"</f>
        <v>2019-10-17 18:57:51</v>
      </c>
      <c r="M15844" s="1" t="s">
        <v>45</v>
      </c>
      <c r="N15844" s="1" t="s">
        <v>38</v>
      </c>
      <c r="O15844" s="1" t="s">
        <v>46</v>
      </c>
    </row>
    <row r="15845" spans="2:15" x14ac:dyDescent="0.3">
      <c r="B15845" s="1" t="s">
        <v>19</v>
      </c>
      <c r="C15845" s="1" t="str">
        <f>"5-2차"</f>
        <v>5-2차</v>
      </c>
      <c r="D15845" s="1" t="str">
        <f>"0130C0515S"</f>
        <v>0130C0515S</v>
      </c>
      <c r="E15845" s="1" t="s">
        <v>10</v>
      </c>
      <c r="F15845" s="1" t="str">
        <f>"fde3:102:1410:3100:0:0:0:11"</f>
        <v>fde3:102:1410:3100:0:0:0:11</v>
      </c>
      <c r="G15845" s="1" t="str">
        <f>"0130C051"</f>
        <v>0130C051</v>
      </c>
      <c r="H15845" s="1" t="str">
        <f>"삼원간 14R14"</f>
        <v>삼원간 14R14</v>
      </c>
      <c r="I15845" s="1" t="s">
        <v>15</v>
      </c>
      <c r="J15845" s="1" t="str">
        <f>"53/53"</f>
        <v>53/53</v>
      </c>
      <c r="K15845" s="1" t="str">
        <f>"2026-07-29 14:20:30"</f>
        <v>2026-07-29 14:20:30</v>
      </c>
      <c r="L15845" s="1" t="str">
        <f>"2023-08-17 11:43:19"</f>
        <v>2023-08-17 11:43:19</v>
      </c>
      <c r="M15845" s="1" t="s">
        <v>45</v>
      </c>
      <c r="N15845" s="1" t="s">
        <v>38</v>
      </c>
      <c r="O15845" s="1" t="s">
        <v>46</v>
      </c>
    </row>
    <row r="15846" spans="2:15" x14ac:dyDescent="0.3">
      <c r="B15846" s="1" t="s">
        <v>19</v>
      </c>
      <c r="C15846" s="1" t="str">
        <f>"4차"</f>
        <v>4차</v>
      </c>
      <c r="D15846" s="1" t="str">
        <f>"0130C07244"</f>
        <v>0130C07244</v>
      </c>
      <c r="E15846" s="1" t="s">
        <v>10</v>
      </c>
      <c r="F15846" s="1" t="str">
        <f>"10.107.122.152"</f>
        <v>10.107.122.152</v>
      </c>
      <c r="G15846" s="1" t="str">
        <f>"0130C072"</f>
        <v>0130C072</v>
      </c>
      <c r="H15846" s="1" t="str">
        <f>"삼원간 14R16"</f>
        <v>삼원간 14R16</v>
      </c>
      <c r="I15846" s="1" t="s">
        <v>8</v>
      </c>
      <c r="J15846" s="1" t="str">
        <f>"35/35"</f>
        <v>35/35</v>
      </c>
      <c r="K15846" s="1" t="str">
        <f>"2026-07-29 13:18:01"</f>
        <v>2026-07-29 13:18:01</v>
      </c>
      <c r="L15846" s="1" t="str">
        <f>"2019-10-17 18:56:07"</f>
        <v>2019-10-17 18:56:07</v>
      </c>
      <c r="M15846" s="1" t="s">
        <v>45</v>
      </c>
      <c r="N15846" s="1" t="s">
        <v>38</v>
      </c>
      <c r="O15846" s="1" t="s">
        <v>46</v>
      </c>
    </row>
    <row r="15847" spans="2:15" x14ac:dyDescent="0.3">
      <c r="B15847" s="1" t="s">
        <v>19</v>
      </c>
      <c r="C15847" s="1" t="str">
        <f>"4차"</f>
        <v>4차</v>
      </c>
      <c r="D15847" s="1" t="str">
        <f>"0130C09144"</f>
        <v>0130C09144</v>
      </c>
      <c r="E15847" s="1" t="s">
        <v>10</v>
      </c>
      <c r="F15847" s="1" t="str">
        <f>"10.107.122.144"</f>
        <v>10.107.122.144</v>
      </c>
      <c r="G15847" s="1" t="str">
        <f>"0130C091"</f>
        <v>0130C091</v>
      </c>
      <c r="H15847" s="1" t="str">
        <f>"화계지 13L5"</f>
        <v>화계지 13L5</v>
      </c>
      <c r="I15847" s="1" t="s">
        <v>8</v>
      </c>
      <c r="J15847" s="1" t="str">
        <f>"49/49"</f>
        <v>49/49</v>
      </c>
      <c r="K15847" s="1" t="str">
        <f>"2026-07-29 13:18:01"</f>
        <v>2026-07-29 13:18:01</v>
      </c>
      <c r="L15847" s="1" t="str">
        <f>"2019-12-13 09:11:27"</f>
        <v>2019-12-13 09:11:27</v>
      </c>
      <c r="M15847" s="1" t="s">
        <v>45</v>
      </c>
      <c r="N15847" s="1" t="s">
        <v>38</v>
      </c>
      <c r="O15847" s="1" t="s">
        <v>46</v>
      </c>
    </row>
    <row r="15848" spans="2:15" x14ac:dyDescent="0.3">
      <c r="B15848" s="1" t="s">
        <v>19</v>
      </c>
      <c r="C15848" s="1" t="str">
        <f>"5-2차"</f>
        <v>5-2차</v>
      </c>
      <c r="D15848" s="1" t="str">
        <f>"0130C1215M"</f>
        <v>0130C1215M</v>
      </c>
      <c r="E15848" s="1" t="s">
        <v>10</v>
      </c>
      <c r="F15848" s="1" t="str">
        <f>"fde3:102:1410:3100:0:0:0:13"</f>
        <v>fde3:102:1410:3100:0:0:0:13</v>
      </c>
      <c r="G15848" s="1" t="str">
        <f>"0130C121"</f>
        <v>0130C121</v>
      </c>
      <c r="H15848" s="1" t="str">
        <f>"삼원간 14R9L1L2"</f>
        <v>삼원간 14R9L1L2</v>
      </c>
      <c r="I15848" s="1" t="s">
        <v>15</v>
      </c>
      <c r="J15848" s="1" t="str">
        <f>"96/96"</f>
        <v>96/96</v>
      </c>
      <c r="K15848" s="1" t="str">
        <f>"2026-07-29 14:20:41"</f>
        <v>2026-07-29 14:20:41</v>
      </c>
      <c r="L15848" s="1" t="str">
        <f>"2023-08-17 11:55:10"</f>
        <v>2023-08-17 11:55:10</v>
      </c>
      <c r="M15848" s="1" t="s">
        <v>45</v>
      </c>
      <c r="N15848" s="1" t="s">
        <v>38</v>
      </c>
      <c r="O15848" s="1" t="s">
        <v>46</v>
      </c>
    </row>
    <row r="15849" spans="2:15" x14ac:dyDescent="0.3">
      <c r="B15849" s="1" t="s">
        <v>19</v>
      </c>
      <c r="C15849" s="1" t="str">
        <f>"5-2차"</f>
        <v>5-2차</v>
      </c>
      <c r="D15849" s="1" t="str">
        <f>"0130C1415M"</f>
        <v>0130C1415M</v>
      </c>
      <c r="E15849" s="1" t="s">
        <v>10</v>
      </c>
      <c r="F15849" s="1" t="str">
        <f>"fde3:102:1410:3100:0:0:0:12"</f>
        <v>fde3:102:1410:3100:0:0:0:12</v>
      </c>
      <c r="G15849" s="1" t="str">
        <f>"0130C141"</f>
        <v>0130C141</v>
      </c>
      <c r="H15849" s="1" t="str">
        <f>"삼원간 14R9"</f>
        <v>삼원간 14R9</v>
      </c>
      <c r="I15849" s="1" t="s">
        <v>15</v>
      </c>
      <c r="J15849" s="1" t="str">
        <f>"43/45"</f>
        <v>43/45</v>
      </c>
      <c r="K15849" s="1" t="str">
        <f>"2026-07-29 14:20:25"</f>
        <v>2026-07-29 14:20:25</v>
      </c>
      <c r="L15849" s="1" t="str">
        <f>"2023-08-17 14:02:25"</f>
        <v>2023-08-17 14:02:25</v>
      </c>
      <c r="M15849" s="1" t="s">
        <v>45</v>
      </c>
      <c r="N15849" s="1" t="s">
        <v>38</v>
      </c>
      <c r="O15849" s="1" t="s">
        <v>46</v>
      </c>
    </row>
    <row r="15850" spans="2:15" x14ac:dyDescent="0.3">
      <c r="B15850" s="1" t="s">
        <v>19</v>
      </c>
      <c r="C15850" s="1" t="str">
        <f>"5-1차"</f>
        <v>5-1차</v>
      </c>
      <c r="D15850" s="1" t="str">
        <f>"0130C1835M"</f>
        <v>0130C1835M</v>
      </c>
      <c r="E15850" s="1" t="s">
        <v>10</v>
      </c>
      <c r="F15850" s="1" t="str">
        <f>"fde3:102:1410:3100:0:0:0:3"</f>
        <v>fde3:102:1410:3100:0:0:0:3</v>
      </c>
      <c r="G15850" s="1" t="str">
        <f>"0130C183"</f>
        <v>0130C183</v>
      </c>
      <c r="H15850" s="1" t="str">
        <f>"삼원간 2R4L5"</f>
        <v>삼원간 2R4L5</v>
      </c>
      <c r="I15850" s="1" t="s">
        <v>15</v>
      </c>
      <c r="J15850" s="1" t="str">
        <f>"99/99"</f>
        <v>99/99</v>
      </c>
      <c r="K15850" s="1" t="str">
        <f>"2026-07-29 14:20:30"</f>
        <v>2026-07-29 14:20:30</v>
      </c>
      <c r="L15850" s="1" t="str">
        <f>"2022-09-26 16:02:32"</f>
        <v>2022-09-26 16:02:32</v>
      </c>
      <c r="M15850" s="1" t="s">
        <v>45</v>
      </c>
      <c r="N15850" s="1" t="s">
        <v>38</v>
      </c>
      <c r="O15850" s="1" t="s">
        <v>46</v>
      </c>
    </row>
    <row r="15851" spans="2:15" x14ac:dyDescent="0.3">
      <c r="B15851" s="1" t="s">
        <v>19</v>
      </c>
      <c r="C15851" s="1" t="str">
        <f>"4차"</f>
        <v>4차</v>
      </c>
      <c r="D15851" s="1" t="str">
        <f>"0130C19144"</f>
        <v>0130C19144</v>
      </c>
      <c r="E15851" s="1" t="s">
        <v>10</v>
      </c>
      <c r="F15851" s="1" t="str">
        <f>"10.107.122.145"</f>
        <v>10.107.122.145</v>
      </c>
      <c r="G15851" s="1" t="str">
        <f>"0130C191"</f>
        <v>0130C191</v>
      </c>
      <c r="H15851" s="1" t="str">
        <f>"삼원간 2R4L3"</f>
        <v>삼원간 2R4L3</v>
      </c>
      <c r="I15851" s="1" t="s">
        <v>8</v>
      </c>
      <c r="J15851" s="1" t="str">
        <f>"87/87"</f>
        <v>87/87</v>
      </c>
      <c r="K15851" s="1" t="str">
        <f>"2026-07-29 13:18:01"</f>
        <v>2026-07-29 13:18:01</v>
      </c>
      <c r="L15851" s="1" t="str">
        <f>"2019-10-18 19:01:25"</f>
        <v>2019-10-18 19:01:25</v>
      </c>
      <c r="M15851" s="1" t="s">
        <v>45</v>
      </c>
      <c r="N15851" s="1" t="s">
        <v>38</v>
      </c>
      <c r="O15851" s="1" t="s">
        <v>46</v>
      </c>
    </row>
    <row r="15852" spans="2:15" x14ac:dyDescent="0.3">
      <c r="B15852" s="1" t="s">
        <v>19</v>
      </c>
      <c r="C15852" s="1" t="str">
        <f>"5-2차"</f>
        <v>5-2차</v>
      </c>
      <c r="D15852" s="1" t="str">
        <f>"0130C2325M"</f>
        <v>0130C2325M</v>
      </c>
      <c r="E15852" s="1" t="s">
        <v>10</v>
      </c>
      <c r="F15852" s="1" t="str">
        <f>"fde3:102:1410:4100:0:0:0:5"</f>
        <v>fde3:102:1410:4100:0:0:0:5</v>
      </c>
      <c r="G15852" s="1" t="str">
        <f>"0130C232"</f>
        <v>0130C232</v>
      </c>
      <c r="H15852" s="1" t="str">
        <f>"삼원간 14R7"</f>
        <v>삼원간 14R7</v>
      </c>
      <c r="I15852" s="1" t="s">
        <v>15</v>
      </c>
      <c r="J15852" s="1" t="str">
        <f>"57/57"</f>
        <v>57/57</v>
      </c>
      <c r="K15852" s="1" t="str">
        <f>"2026-07-29 14:20:42"</f>
        <v>2026-07-29 14:20:42</v>
      </c>
      <c r="L15852" s="1" t="str">
        <f>"2023-10-20 10:42:25"</f>
        <v>2023-10-20 10:42:25</v>
      </c>
      <c r="M15852" s="1" t="s">
        <v>45</v>
      </c>
      <c r="N15852" s="1" t="s">
        <v>38</v>
      </c>
      <c r="O15852" s="1" t="s">
        <v>46</v>
      </c>
    </row>
    <row r="15853" spans="2:15" x14ac:dyDescent="0.3">
      <c r="B15853" s="1" t="s">
        <v>19</v>
      </c>
      <c r="C15853" s="1" t="str">
        <f>"5-2차"</f>
        <v>5-2차</v>
      </c>
      <c r="D15853" s="1" t="str">
        <f>"0130C2365S"</f>
        <v>0130C2365S</v>
      </c>
      <c r="E15853" s="1" t="s">
        <v>10</v>
      </c>
      <c r="F15853" s="1" t="str">
        <f>"fde3:102:1410:4100:0:0:0:6"</f>
        <v>fde3:102:1410:4100:0:0:0:6</v>
      </c>
      <c r="G15853" s="1" t="str">
        <f>"0130C236"</f>
        <v>0130C236</v>
      </c>
      <c r="H15853" s="1" t="str">
        <f>"삼원간 14R8"</f>
        <v>삼원간 14R8</v>
      </c>
      <c r="I15853" s="1" t="s">
        <v>15</v>
      </c>
      <c r="J15853" s="1" t="str">
        <f>"42/42"</f>
        <v>42/42</v>
      </c>
      <c r="K15853" s="1" t="str">
        <f>"2026-07-29 14:20:29"</f>
        <v>2026-07-29 14:20:29</v>
      </c>
      <c r="L15853" s="1" t="str">
        <f>"2023-08-17 13:54:44"</f>
        <v>2023-08-17 13:54:44</v>
      </c>
      <c r="M15853" s="1" t="s">
        <v>45</v>
      </c>
      <c r="N15853" s="1" t="s">
        <v>38</v>
      </c>
      <c r="O15853" s="1" t="s">
        <v>46</v>
      </c>
    </row>
    <row r="15854" spans="2:15" x14ac:dyDescent="0.3">
      <c r="B15854" s="1" t="s">
        <v>19</v>
      </c>
      <c r="C15854" s="1" t="str">
        <f>"5-2차"</f>
        <v>5-2차</v>
      </c>
      <c r="D15854" s="1" t="str">
        <f>"0130C2515M"</f>
        <v>0130C2515M</v>
      </c>
      <c r="E15854" s="1" t="s">
        <v>10</v>
      </c>
      <c r="F15854" s="1" t="str">
        <f>"fde3:102:1410:3100:0:0:0:a"</f>
        <v>fde3:102:1410:3100:0:0:0:a</v>
      </c>
      <c r="G15854" s="1" t="str">
        <f>"0130C251"</f>
        <v>0130C251</v>
      </c>
      <c r="H15854" s="1" t="str">
        <f>"삼원간 14R9R2"</f>
        <v>삼원간 14R9R2</v>
      </c>
      <c r="I15854" s="1" t="s">
        <v>15</v>
      </c>
      <c r="J15854" s="1" t="str">
        <f>"38/38"</f>
        <v>38/38</v>
      </c>
      <c r="K15854" s="1" t="str">
        <f>"2026-07-29 14:20:30"</f>
        <v>2026-07-29 14:20:30</v>
      </c>
      <c r="L15854" s="1" t="str">
        <f>"2023-08-17 13:40:11"</f>
        <v>2023-08-17 13:40:11</v>
      </c>
      <c r="M15854" s="1" t="s">
        <v>45</v>
      </c>
      <c r="N15854" s="1" t="s">
        <v>38</v>
      </c>
      <c r="O15854" s="1" t="s">
        <v>46</v>
      </c>
    </row>
    <row r="15855" spans="2:15" x14ac:dyDescent="0.3">
      <c r="B15855" s="1" t="s">
        <v>19</v>
      </c>
      <c r="C15855" s="1" t="str">
        <f>"5-2차"</f>
        <v>5-2차</v>
      </c>
      <c r="D15855" s="1" t="str">
        <f>"0130C2615M"</f>
        <v>0130C2615M</v>
      </c>
      <c r="E15855" s="1" t="s">
        <v>10</v>
      </c>
      <c r="F15855" s="1" t="str">
        <f>"fde1:103:4:9380:0:0:0:2"</f>
        <v>fde1:103:4:9380:0:0:0:2</v>
      </c>
      <c r="G15855" s="1" t="str">
        <f>"0130C261"</f>
        <v>0130C261</v>
      </c>
      <c r="H15855" s="1" t="str">
        <f>"삼원간 14R9R2L3L1"</f>
        <v>삼원간 14R9R2L3L1</v>
      </c>
      <c r="I15855" s="1" t="s">
        <v>15</v>
      </c>
      <c r="J15855" s="1" t="str">
        <f>"102/103"</f>
        <v>102/103</v>
      </c>
      <c r="K15855" s="1" t="str">
        <f>"2026-07-29 14:20:05"</f>
        <v>2026-07-29 14:20:05</v>
      </c>
      <c r="L15855" s="1" t="str">
        <f>"2023-12-15 15:44:46"</f>
        <v>2023-12-15 15:44:46</v>
      </c>
      <c r="M15855" s="1" t="s">
        <v>4</v>
      </c>
      <c r="N15855" s="1" t="s">
        <v>38</v>
      </c>
      <c r="O15855" s="1" t="s">
        <v>46</v>
      </c>
    </row>
    <row r="15856" spans="2:15" x14ac:dyDescent="0.3">
      <c r="B15856" s="1" t="s">
        <v>19</v>
      </c>
      <c r="C15856" s="1" t="str">
        <f>"5-1차"</f>
        <v>5-1차</v>
      </c>
      <c r="D15856" s="1" t="str">
        <f>"0130C2625M"</f>
        <v>0130C2625M</v>
      </c>
      <c r="E15856" s="1" t="s">
        <v>10</v>
      </c>
      <c r="F15856" s="1" t="str">
        <f>"fde3:102:1410:3100:0:0:0:2"</f>
        <v>fde3:102:1410:3100:0:0:0:2</v>
      </c>
      <c r="G15856" s="1" t="str">
        <f>"0130C262"</f>
        <v>0130C262</v>
      </c>
      <c r="H15856" s="1" t="str">
        <f>"삼원간 14R9R2L3"</f>
        <v>삼원간 14R9R2L3</v>
      </c>
      <c r="I15856" s="1" t="s">
        <v>15</v>
      </c>
      <c r="J15856" s="1" t="str">
        <f>"65/65"</f>
        <v>65/65</v>
      </c>
      <c r="K15856" s="1" t="str">
        <f>"2026-07-29 14:20:07"</f>
        <v>2026-07-29 14:20:07</v>
      </c>
      <c r="L15856" s="1" t="str">
        <f>"2022-09-26 16:03:01"</f>
        <v>2022-09-26 16:03:01</v>
      </c>
      <c r="M15856" s="1" t="s">
        <v>45</v>
      </c>
      <c r="N15856" s="1" t="s">
        <v>38</v>
      </c>
      <c r="O15856" s="1" t="s">
        <v>46</v>
      </c>
    </row>
    <row r="15857" spans="2:15" x14ac:dyDescent="0.3">
      <c r="B15857" s="1" t="s">
        <v>19</v>
      </c>
      <c r="C15857" s="1" t="str">
        <f>"5-1차"</f>
        <v>5-1차</v>
      </c>
      <c r="D15857" s="1" t="str">
        <f>"0130C2725M"</f>
        <v>0130C2725M</v>
      </c>
      <c r="E15857" s="1" t="s">
        <v>10</v>
      </c>
      <c r="F15857" s="1" t="str">
        <f>"fde3:102:1410:3100:0:0:0:6"</f>
        <v>fde3:102:1410:3100:0:0:0:6</v>
      </c>
      <c r="G15857" s="1" t="str">
        <f>"0130C272"</f>
        <v>0130C272</v>
      </c>
      <c r="H15857" s="1" t="str">
        <f>"삼원간 14R9R2L5"</f>
        <v>삼원간 14R9R2L5</v>
      </c>
      <c r="I15857" s="1" t="s">
        <v>15</v>
      </c>
      <c r="J15857" s="1" t="str">
        <f>"29/29"</f>
        <v>29/29</v>
      </c>
      <c r="K15857" s="1" t="str">
        <f>"2026-07-29 08:20:13"</f>
        <v>2026-07-29 08:20:13</v>
      </c>
      <c r="L15857" s="1" t="str">
        <f>"2022-09-27 14:39:29"</f>
        <v>2022-09-27 14:39:29</v>
      </c>
      <c r="M15857" s="1" t="s">
        <v>45</v>
      </c>
      <c r="N15857" s="1" t="s">
        <v>38</v>
      </c>
      <c r="O15857" s="1" t="s">
        <v>46</v>
      </c>
    </row>
    <row r="15858" spans="2:15" x14ac:dyDescent="0.3">
      <c r="B15858" s="1" t="s">
        <v>19</v>
      </c>
      <c r="C15858" s="1" t="str">
        <f>"5-2차"</f>
        <v>5-2차</v>
      </c>
      <c r="D15858" s="1" t="str">
        <f>"0130C3115S"</f>
        <v>0130C3115S</v>
      </c>
      <c r="E15858" s="1" t="s">
        <v>10</v>
      </c>
      <c r="F15858" s="1" t="str">
        <f>"fde3:102:1410:4100:0:0:0:8"</f>
        <v>fde3:102:1410:4100:0:0:0:8</v>
      </c>
      <c r="G15858" s="1" t="str">
        <f>"0130C311"</f>
        <v>0130C311</v>
      </c>
      <c r="H15858" s="1" t="str">
        <f>"삼원간 14R3C3"</f>
        <v>삼원간 14R3C3</v>
      </c>
      <c r="I15858" s="1" t="s">
        <v>15</v>
      </c>
      <c r="J15858" s="1" t="str">
        <f>"50/50"</f>
        <v>50/50</v>
      </c>
      <c r="K15858" s="1" t="str">
        <f>"2026-07-29 14:20:30"</f>
        <v>2026-07-29 14:20:30</v>
      </c>
      <c r="L15858" s="1" t="str">
        <f>"2023-08-17 12:08:29"</f>
        <v>2023-08-17 12:08:29</v>
      </c>
      <c r="M15858" s="1" t="s">
        <v>45</v>
      </c>
      <c r="N15858" s="1" t="s">
        <v>38</v>
      </c>
      <c r="O15858" s="1" t="s">
        <v>46</v>
      </c>
    </row>
    <row r="15859" spans="2:15" x14ac:dyDescent="0.3">
      <c r="B15859" s="1" t="s">
        <v>19</v>
      </c>
      <c r="C15859" s="1" t="str">
        <f>"5-2차"</f>
        <v>5-2차</v>
      </c>
      <c r="D15859" s="1" t="str">
        <f>"0130C3325M"</f>
        <v>0130C3325M</v>
      </c>
      <c r="E15859" s="1" t="s">
        <v>10</v>
      </c>
      <c r="F15859" s="1" t="str">
        <f>"fde3:102:1410:4100:0:0:0:4"</f>
        <v>fde3:102:1410:4100:0:0:0:4</v>
      </c>
      <c r="G15859" s="1" t="str">
        <f>"0130C332"</f>
        <v>0130C332</v>
      </c>
      <c r="H15859" s="1" t="str">
        <f>"삼원간 14R6"</f>
        <v>삼원간 14R6</v>
      </c>
      <c r="I15859" s="1" t="s">
        <v>15</v>
      </c>
      <c r="J15859" s="1" t="str">
        <f>"71/71"</f>
        <v>71/71</v>
      </c>
      <c r="K15859" s="1" t="str">
        <f>"2026-07-29 08:20:07"</f>
        <v>2026-07-29 08:20:07</v>
      </c>
      <c r="L15859" s="1" t="str">
        <f>"2023-08-17 13:43:18"</f>
        <v>2023-08-17 13:43:18</v>
      </c>
      <c r="M15859" s="1" t="s">
        <v>45</v>
      </c>
      <c r="N15859" s="1" t="s">
        <v>38</v>
      </c>
      <c r="O15859" s="1" t="s">
        <v>46</v>
      </c>
    </row>
    <row r="15860" spans="2:15" x14ac:dyDescent="0.3">
      <c r="B15860" s="1" t="s">
        <v>19</v>
      </c>
      <c r="C15860" s="1" t="str">
        <f>"5-2차"</f>
        <v>5-2차</v>
      </c>
      <c r="D15860" s="1" t="str">
        <f>"0130C3515M"</f>
        <v>0130C3515M</v>
      </c>
      <c r="E15860" s="1" t="s">
        <v>10</v>
      </c>
      <c r="F15860" s="1" t="str">
        <f>"fde1:103:4:93e8:0:0:0:2"</f>
        <v>fde1:103:4:93e8:0:0:0:2</v>
      </c>
      <c r="G15860" s="1" t="str">
        <f>"0130C351"</f>
        <v>0130C351</v>
      </c>
      <c r="H15860" s="1" t="str">
        <f>"삼원간 14R9R3"</f>
        <v>삼원간 14R9R3</v>
      </c>
      <c r="I15860" s="1" t="s">
        <v>15</v>
      </c>
      <c r="J15860" s="1" t="str">
        <f>"86/86"</f>
        <v>86/86</v>
      </c>
      <c r="K15860" s="1" t="str">
        <f>"2026-07-29 14:20:06"</f>
        <v>2026-07-29 14:20:06</v>
      </c>
      <c r="L15860" s="1" t="str">
        <f>"2023-12-15 15:45:43"</f>
        <v>2023-12-15 15:45:43</v>
      </c>
      <c r="M15860" s="1" t="s">
        <v>4</v>
      </c>
      <c r="N15860" s="1" t="s">
        <v>38</v>
      </c>
      <c r="O15860" s="1" t="s">
        <v>46</v>
      </c>
    </row>
    <row r="15861" spans="2:15" x14ac:dyDescent="0.3">
      <c r="B15861" s="1" t="s">
        <v>19</v>
      </c>
      <c r="C15861" s="1" t="str">
        <f>"1차"</f>
        <v>1차</v>
      </c>
      <c r="D15861" s="1" t="str">
        <f>"0130C38200"</f>
        <v>0130C38200</v>
      </c>
      <c r="E15861" s="1" t="s">
        <v>10</v>
      </c>
      <c r="F15861" s="1" t="str">
        <f>"10.107.122.150"</f>
        <v>10.107.122.150</v>
      </c>
      <c r="G15861" s="1" t="str">
        <f>"0130C382"</f>
        <v>0130C382</v>
      </c>
      <c r="H15861" s="1" t="str">
        <f>"삼원간 5R3"</f>
        <v>삼원간 5R3</v>
      </c>
      <c r="I15861" s="1" t="s">
        <v>8</v>
      </c>
      <c r="J15861" s="1" t="str">
        <f>"107/107"</f>
        <v>107/107</v>
      </c>
      <c r="K15861" s="1" t="str">
        <f>"2026-07-29 13:18:01"</f>
        <v>2026-07-29 13:18:01</v>
      </c>
      <c r="L15861" s="1" t="str">
        <f>"2014-11-04 00:12:30"</f>
        <v>2014-11-04 00:12:30</v>
      </c>
      <c r="M15861" s="1" t="s">
        <v>45</v>
      </c>
      <c r="N15861" s="1" t="s">
        <v>38</v>
      </c>
      <c r="O15861" s="1" t="s">
        <v>46</v>
      </c>
    </row>
    <row r="15862" spans="2:15" x14ac:dyDescent="0.3">
      <c r="B15862" s="1" t="s">
        <v>19</v>
      </c>
      <c r="C15862" s="1" t="str">
        <f>"5-2차"</f>
        <v>5-2차</v>
      </c>
      <c r="D15862" s="1" t="str">
        <f>"0130C3915M"</f>
        <v>0130C3915M</v>
      </c>
      <c r="E15862" s="1" t="s">
        <v>10</v>
      </c>
      <c r="F15862" s="1" t="str">
        <f>"fde3:102:1410:3100:0:0:0:d"</f>
        <v>fde3:102:1410:3100:0:0:0:d</v>
      </c>
      <c r="G15862" s="1" t="str">
        <f>"0130C391"</f>
        <v>0130C391</v>
      </c>
      <c r="H15862" s="1" t="str">
        <f>"삼원간 2R1L4"</f>
        <v>삼원간 2R1L4</v>
      </c>
      <c r="I15862" s="1" t="s">
        <v>15</v>
      </c>
      <c r="J15862" s="1" t="str">
        <f>"60/60"</f>
        <v>60/60</v>
      </c>
      <c r="K15862" s="1" t="str">
        <f>"2026-07-29 14:20:07"</f>
        <v>2026-07-29 14:20:07</v>
      </c>
      <c r="L15862" s="1" t="str">
        <f>"2023-08-17 13:06:26"</f>
        <v>2023-08-17 13:06:26</v>
      </c>
      <c r="M15862" s="1" t="s">
        <v>45</v>
      </c>
      <c r="N15862" s="1" t="s">
        <v>38</v>
      </c>
      <c r="O15862" s="1" t="s">
        <v>46</v>
      </c>
    </row>
    <row r="15863" spans="2:15" x14ac:dyDescent="0.3">
      <c r="B15863" s="1" t="s">
        <v>19</v>
      </c>
      <c r="C15863" s="1" t="str">
        <f>"4차"</f>
        <v>4차</v>
      </c>
      <c r="D15863" s="1" t="str">
        <f>"0130C40144"</f>
        <v>0130C40144</v>
      </c>
      <c r="E15863" s="1" t="s">
        <v>10</v>
      </c>
      <c r="F15863" s="1" t="str">
        <f>"10.107.122.41"</f>
        <v>10.107.122.41</v>
      </c>
      <c r="G15863" s="1" t="str">
        <f>"0130C401"</f>
        <v>0130C401</v>
      </c>
      <c r="H15863" s="1" t="str">
        <f>"삼원간 17R10R6"</f>
        <v>삼원간 17R10R6</v>
      </c>
      <c r="I15863" s="1" t="s">
        <v>8</v>
      </c>
      <c r="J15863" s="1" t="str">
        <f>"83/84"</f>
        <v>83/84</v>
      </c>
      <c r="K15863" s="1" t="str">
        <f>"2026-07-29 13:18:01"</f>
        <v>2026-07-29 13:18:01</v>
      </c>
      <c r="L15863" s="1" t="str">
        <f>"2019-12-30 11:23:00"</f>
        <v>2019-12-30 11:23:00</v>
      </c>
      <c r="M15863" s="1" t="s">
        <v>45</v>
      </c>
      <c r="N15863" s="1" t="s">
        <v>38</v>
      </c>
      <c r="O15863" s="1" t="s">
        <v>46</v>
      </c>
    </row>
    <row r="15864" spans="2:15" x14ac:dyDescent="0.3">
      <c r="B15864" s="1" t="s">
        <v>19</v>
      </c>
      <c r="C15864" s="1" t="str">
        <f>"5-2차"</f>
        <v>5-2차</v>
      </c>
      <c r="D15864" s="1" t="str">
        <f>"0130C4315M"</f>
        <v>0130C4315M</v>
      </c>
      <c r="E15864" s="1" t="s">
        <v>10</v>
      </c>
      <c r="F15864" s="1" t="str">
        <f>"fde3:102:1410:4100:0:0:0:7"</f>
        <v>fde3:102:1410:4100:0:0:0:7</v>
      </c>
      <c r="G15864" s="1" t="str">
        <f>"0130C431"</f>
        <v>0130C431</v>
      </c>
      <c r="H15864" s="1" t="str">
        <f>"삼원간 14R4"</f>
        <v>삼원간 14R4</v>
      </c>
      <c r="I15864" s="1" t="s">
        <v>15</v>
      </c>
      <c r="J15864" s="1" t="str">
        <f>"116/116"</f>
        <v>116/116</v>
      </c>
      <c r="K15864" s="1" t="str">
        <f>"2026-07-29 14:20:16"</f>
        <v>2026-07-29 14:20:16</v>
      </c>
      <c r="L15864" s="1" t="str">
        <f>"2023-08-17 13:37:44"</f>
        <v>2023-08-17 13:37:44</v>
      </c>
      <c r="M15864" s="1" t="s">
        <v>45</v>
      </c>
      <c r="N15864" s="1" t="s">
        <v>38</v>
      </c>
      <c r="O15864" s="1" t="s">
        <v>46</v>
      </c>
    </row>
    <row r="15865" spans="2:15" x14ac:dyDescent="0.3">
      <c r="B15865" s="1" t="s">
        <v>19</v>
      </c>
      <c r="C15865" s="1" t="str">
        <f>"5-2차"</f>
        <v>5-2차</v>
      </c>
      <c r="D15865" s="1" t="str">
        <f>"0130C4515M"</f>
        <v>0130C4515M</v>
      </c>
      <c r="E15865" s="1" t="s">
        <v>10</v>
      </c>
      <c r="F15865" s="1" t="str">
        <f>"fde1:103:4:9385:0:0:0:2"</f>
        <v>fde1:103:4:9385:0:0:0:2</v>
      </c>
      <c r="G15865" s="1" t="str">
        <f>"0130C451"</f>
        <v>0130C451</v>
      </c>
      <c r="H15865" s="1" t="str">
        <f>"삼원간 14R9R4"</f>
        <v>삼원간 14R9R4</v>
      </c>
      <c r="I15865" s="1" t="s">
        <v>15</v>
      </c>
      <c r="J15865" s="1" t="str">
        <f>"65/65"</f>
        <v>65/65</v>
      </c>
      <c r="K15865" s="1" t="str">
        <f>"2026-07-29 14:20:15"</f>
        <v>2026-07-29 14:20:15</v>
      </c>
      <c r="L15865" s="1" t="str">
        <f>"2023-12-15 15:45:58"</f>
        <v>2023-12-15 15:45:58</v>
      </c>
      <c r="M15865" s="1" t="s">
        <v>4</v>
      </c>
      <c r="N15865" s="1" t="s">
        <v>38</v>
      </c>
      <c r="O15865" s="1" t="s">
        <v>46</v>
      </c>
    </row>
    <row r="15866" spans="2:15" x14ac:dyDescent="0.3">
      <c r="B15866" s="1" t="s">
        <v>19</v>
      </c>
      <c r="C15866" s="1" t="str">
        <f>"5-1차"</f>
        <v>5-1차</v>
      </c>
      <c r="D15866" s="1" t="str">
        <f>"0130C4615M"</f>
        <v>0130C4615M</v>
      </c>
      <c r="E15866" s="1" t="s">
        <v>10</v>
      </c>
      <c r="F15866" s="1" t="str">
        <f>"fde3:102:1410:3100:0:0:0:5"</f>
        <v>fde3:102:1410:3100:0:0:0:5</v>
      </c>
      <c r="G15866" s="1" t="str">
        <f>"0130C461"</f>
        <v>0130C461</v>
      </c>
      <c r="H15866" s="1" t="str">
        <f>"삼원간 10R2R2"</f>
        <v>삼원간 10R2R2</v>
      </c>
      <c r="I15866" s="1" t="s">
        <v>15</v>
      </c>
      <c r="J15866" s="1" t="str">
        <f>"25/25"</f>
        <v>25/25</v>
      </c>
      <c r="K15866" s="1" t="str">
        <f>"2026-07-29 14:20:42"</f>
        <v>2026-07-29 14:20:42</v>
      </c>
      <c r="L15866" s="1" t="str">
        <f>"2022-09-30 18:37:44"</f>
        <v>2022-09-30 18:37:44</v>
      </c>
      <c r="M15866" s="1" t="s">
        <v>45</v>
      </c>
      <c r="N15866" s="1" t="s">
        <v>38</v>
      </c>
      <c r="O15866" s="1" t="s">
        <v>46</v>
      </c>
    </row>
    <row r="15867" spans="2:15" x14ac:dyDescent="0.3">
      <c r="B15867" s="1" t="s">
        <v>19</v>
      </c>
      <c r="C15867" s="1" t="str">
        <f>"5-2차"</f>
        <v>5-2차</v>
      </c>
      <c r="D15867" s="1" t="str">
        <f>"0130C4815M"</f>
        <v>0130C4815M</v>
      </c>
      <c r="E15867" s="1" t="s">
        <v>10</v>
      </c>
      <c r="F15867" s="1" t="str">
        <f>"fde3:102:1410:3100:0:0:0:b"</f>
        <v>fde3:102:1410:3100:0:0:0:b</v>
      </c>
      <c r="G15867" s="1" t="str">
        <f>"0130C481"</f>
        <v>0130C481</v>
      </c>
      <c r="H15867" s="1" t="str">
        <f>"삼원간 10R2R4"</f>
        <v>삼원간 10R2R4</v>
      </c>
      <c r="I15867" s="1" t="s">
        <v>15</v>
      </c>
      <c r="J15867" s="1" t="str">
        <f>"55/55"</f>
        <v>55/55</v>
      </c>
      <c r="K15867" s="1" t="str">
        <f>"2026-07-29 14:20:12"</f>
        <v>2026-07-29 14:20:12</v>
      </c>
      <c r="L15867" s="1" t="str">
        <f>"2023-11-03 13:25:55"</f>
        <v>2023-11-03 13:25:55</v>
      </c>
      <c r="M15867" s="1" t="s">
        <v>45</v>
      </c>
      <c r="N15867" s="1" t="s">
        <v>38</v>
      </c>
      <c r="O15867" s="1" t="s">
        <v>46</v>
      </c>
    </row>
    <row r="15868" spans="2:15" x14ac:dyDescent="0.3">
      <c r="B15868" s="1" t="s">
        <v>19</v>
      </c>
      <c r="C15868" s="1" t="str">
        <f>"4차"</f>
        <v>4차</v>
      </c>
      <c r="D15868" s="1" t="str">
        <f>"0130C50241"</f>
        <v>0130C50241</v>
      </c>
      <c r="E15868" s="1" t="s">
        <v>10</v>
      </c>
      <c r="F15868" s="1" t="str">
        <f>"10.12.133.184"</f>
        <v>10.12.133.184</v>
      </c>
      <c r="G15868" s="1" t="str">
        <f>"0130C502"</f>
        <v>0130C502</v>
      </c>
      <c r="H15868" s="1" t="str">
        <f>"삼원간 14R3L5"</f>
        <v>삼원간 14R3L5</v>
      </c>
      <c r="I15868" s="1" t="s">
        <v>17</v>
      </c>
      <c r="J15868" s="1" t="str">
        <f>"23/23"</f>
        <v>23/23</v>
      </c>
      <c r="K15868" s="1" t="str">
        <f>"2026-07-29 13:18:03"</f>
        <v>2026-07-29 13:18:03</v>
      </c>
      <c r="L15868" s="1" t="str">
        <f>"2021-08-11 14:17:54"</f>
        <v>2021-08-11 14:17:54</v>
      </c>
      <c r="M15868" s="1" t="s">
        <v>0</v>
      </c>
      <c r="N15868" s="1" t="s">
        <v>38</v>
      </c>
      <c r="O15868" s="1" t="s">
        <v>46</v>
      </c>
    </row>
    <row r="15869" spans="2:15" x14ac:dyDescent="0.3">
      <c r="B15869" s="1" t="s">
        <v>19</v>
      </c>
      <c r="C15869" s="1" t="str">
        <f>"5-1차"</f>
        <v>5-1차</v>
      </c>
      <c r="D15869" s="1" t="str">
        <f>"0130C5215S"</f>
        <v>0130C5215S</v>
      </c>
      <c r="E15869" s="1" t="s">
        <v>10</v>
      </c>
      <c r="F15869" s="1" t="str">
        <f>"fde3:102:1410:4100:0:0:0:2"</f>
        <v>fde3:102:1410:4100:0:0:0:2</v>
      </c>
      <c r="G15869" s="1" t="str">
        <f>"0130C521"</f>
        <v>0130C521</v>
      </c>
      <c r="H15869" s="1" t="str">
        <f>"삼원간 14R3L2"</f>
        <v>삼원간 14R3L2</v>
      </c>
      <c r="I15869" s="1" t="s">
        <v>15</v>
      </c>
      <c r="J15869" s="1" t="str">
        <f>"107/107"</f>
        <v>107/107</v>
      </c>
      <c r="K15869" s="1" t="str">
        <f>"2026-07-29 14:20:17"</f>
        <v>2026-07-29 14:20:17</v>
      </c>
      <c r="L15869" s="1" t="str">
        <f>"2022-09-27 14:45:32"</f>
        <v>2022-09-27 14:45:32</v>
      </c>
      <c r="M15869" s="1" t="s">
        <v>45</v>
      </c>
      <c r="N15869" s="1" t="s">
        <v>38</v>
      </c>
      <c r="O15869" s="1" t="s">
        <v>46</v>
      </c>
    </row>
    <row r="15870" spans="2:15" x14ac:dyDescent="0.3">
      <c r="B15870" s="1" t="s">
        <v>19</v>
      </c>
      <c r="C15870" s="1" t="str">
        <f>"4차"</f>
        <v>4차</v>
      </c>
      <c r="D15870" s="1" t="str">
        <f>"0130C53144"</f>
        <v>0130C53144</v>
      </c>
      <c r="E15870" s="1" t="s">
        <v>10</v>
      </c>
      <c r="F15870" s="1" t="str">
        <f>"10.107.252.163"</f>
        <v>10.107.252.163</v>
      </c>
      <c r="G15870" s="1" t="str">
        <f>"0130C531"</f>
        <v>0130C531</v>
      </c>
      <c r="H15870" s="1" t="str">
        <f>"삼원간 14R3"</f>
        <v>삼원간 14R3</v>
      </c>
      <c r="I15870" s="1" t="s">
        <v>8</v>
      </c>
      <c r="J15870" s="1" t="str">
        <f>"60/60"</f>
        <v>60/60</v>
      </c>
      <c r="K15870" s="1" t="str">
        <f>"2026-07-29 13:18:01"</f>
        <v>2026-07-29 13:18:01</v>
      </c>
      <c r="L15870" s="1" t="str">
        <f>"2019-10-31 17:03:03"</f>
        <v>2019-10-31 17:03:03</v>
      </c>
      <c r="M15870" s="1" t="s">
        <v>45</v>
      </c>
      <c r="N15870" s="1" t="s">
        <v>38</v>
      </c>
      <c r="O15870" s="1" t="s">
        <v>46</v>
      </c>
    </row>
    <row r="15871" spans="2:15" x14ac:dyDescent="0.3">
      <c r="B15871" s="1" t="s">
        <v>19</v>
      </c>
      <c r="C15871" s="1" t="str">
        <f>"4차"</f>
        <v>4차</v>
      </c>
      <c r="D15871" s="1" t="str">
        <f>"0130C54144"</f>
        <v>0130C54144</v>
      </c>
      <c r="E15871" s="1" t="s">
        <v>10</v>
      </c>
      <c r="F15871" s="1" t="str">
        <f>"10.107.252.162"</f>
        <v>10.107.252.162</v>
      </c>
      <c r="G15871" s="1" t="str">
        <f>"0130C541"</f>
        <v>0130C541</v>
      </c>
      <c r="H15871" s="1" t="str">
        <f>"삼원간 12R2"</f>
        <v>삼원간 12R2</v>
      </c>
      <c r="I15871" s="1" t="s">
        <v>8</v>
      </c>
      <c r="J15871" s="1" t="str">
        <f>"34/38"</f>
        <v>34/38</v>
      </c>
      <c r="K15871" s="1" t="str">
        <f>"2026-07-29 13:18:01"</f>
        <v>2026-07-29 13:18:01</v>
      </c>
      <c r="L15871" s="1" t="str">
        <f>"2025-09-09 18:01:23"</f>
        <v>2025-09-09 18:01:23</v>
      </c>
      <c r="M15871" s="1" t="s">
        <v>45</v>
      </c>
      <c r="N15871" s="1" t="s">
        <v>38</v>
      </c>
      <c r="O15871" s="1" t="s">
        <v>46</v>
      </c>
    </row>
    <row r="15872" spans="2:15" x14ac:dyDescent="0.3">
      <c r="B15872" s="1" t="s">
        <v>19</v>
      </c>
      <c r="C15872" s="1" t="s">
        <v>16</v>
      </c>
      <c r="D15872" s="1" t="str">
        <f>"0130C55441"</f>
        <v>0130C55441</v>
      </c>
      <c r="E15872" s="1" t="s">
        <v>10</v>
      </c>
      <c r="F15872" s="1" t="str">
        <f>"10.14.2.131"</f>
        <v>10.14.2.131</v>
      </c>
      <c r="G15872" s="1" t="str">
        <f>"0130C554"</f>
        <v>0130C554</v>
      </c>
      <c r="H15872" s="1" t="str">
        <f>"삼원간 10R1"</f>
        <v>삼원간 10R1</v>
      </c>
      <c r="I15872" s="1" t="s">
        <v>17</v>
      </c>
      <c r="J15872" s="1" t="str">
        <f>"12/23"</f>
        <v>12/23</v>
      </c>
      <c r="K15872" s="1" t="str">
        <f>"2026-07-29 13:18:02"</f>
        <v>2026-07-29 13:18:02</v>
      </c>
      <c r="L15872" s="1" t="str">
        <f>"2022-11-10 11:20:11"</f>
        <v>2022-11-10 11:20:11</v>
      </c>
      <c r="M15872" s="1" t="s">
        <v>3</v>
      </c>
      <c r="N15872" s="1" t="s">
        <v>38</v>
      </c>
      <c r="O15872" s="1" t="s">
        <v>46</v>
      </c>
    </row>
    <row r="15873" spans="2:15" x14ac:dyDescent="0.3">
      <c r="B15873" s="1" t="s">
        <v>19</v>
      </c>
      <c r="C15873" s="1" t="str">
        <f>"1차"</f>
        <v>1차</v>
      </c>
      <c r="D15873" s="1" t="str">
        <f>"0130C58101"</f>
        <v>0130C58101</v>
      </c>
      <c r="E15873" s="1" t="s">
        <v>10</v>
      </c>
      <c r="F15873" s="1" t="str">
        <f>"10.12.130.224"</f>
        <v>10.12.130.224</v>
      </c>
      <c r="G15873" s="1" t="str">
        <f>"0130C581"</f>
        <v>0130C581</v>
      </c>
      <c r="H15873" s="1" t="str">
        <f>"수유간 34"</f>
        <v>수유간 34</v>
      </c>
      <c r="I15873" s="1" t="s">
        <v>8</v>
      </c>
      <c r="J15873" s="1" t="str">
        <f>"17/17"</f>
        <v>17/17</v>
      </c>
      <c r="K15873" s="1" t="str">
        <f>"2026-07-29 13:18:03"</f>
        <v>2026-07-29 13:18:03</v>
      </c>
      <c r="L15873" s="1" t="str">
        <f>"2014-12-10 00:13:54"</f>
        <v>2014-12-10 00:13:54</v>
      </c>
      <c r="M15873" s="1" t="s">
        <v>0</v>
      </c>
      <c r="N15873" s="1" t="s">
        <v>38</v>
      </c>
      <c r="O15873" s="1" t="s">
        <v>46</v>
      </c>
    </row>
    <row r="15874" spans="2:15" x14ac:dyDescent="0.3">
      <c r="B15874" s="1" t="s">
        <v>19</v>
      </c>
      <c r="C15874" s="1" t="str">
        <f>"5-2차"</f>
        <v>5-2차</v>
      </c>
      <c r="D15874" s="1" t="str">
        <f>"0130C5825M"</f>
        <v>0130C5825M</v>
      </c>
      <c r="E15874" s="1" t="s">
        <v>10</v>
      </c>
      <c r="F15874" s="1" t="str">
        <f>"fde1:103:4:93ab:0:0:0:2"</f>
        <v>fde1:103:4:93ab:0:0:0:2</v>
      </c>
      <c r="G15874" s="1" t="str">
        <f>"0130C582"</f>
        <v>0130C582</v>
      </c>
      <c r="H15874" s="1" t="str">
        <f>"삼원간 6"</f>
        <v>삼원간 6</v>
      </c>
      <c r="I15874" s="1" t="s">
        <v>15</v>
      </c>
      <c r="J15874" s="1" t="str">
        <f>"93/93"</f>
        <v>93/93</v>
      </c>
      <c r="K15874" s="1" t="str">
        <f>"2026-07-29 14:20:24"</f>
        <v>2026-07-29 14:20:24</v>
      </c>
      <c r="L15874" s="1" t="str">
        <f>"2023-12-18 09:25:16"</f>
        <v>2023-12-18 09:25:16</v>
      </c>
      <c r="M15874" s="1" t="s">
        <v>4</v>
      </c>
      <c r="N15874" s="1" t="s">
        <v>38</v>
      </c>
      <c r="O15874" s="1" t="s">
        <v>46</v>
      </c>
    </row>
    <row r="15875" spans="2:15" x14ac:dyDescent="0.3">
      <c r="B15875" s="1" t="s">
        <v>19</v>
      </c>
      <c r="C15875" s="1" t="str">
        <f>"1차"</f>
        <v>1차</v>
      </c>
      <c r="D15875" s="1" t="str">
        <f>"0130C59200"</f>
        <v>0130C59200</v>
      </c>
      <c r="E15875" s="1" t="s">
        <v>10</v>
      </c>
      <c r="F15875" s="1" t="str">
        <f>"10.107.252.23"</f>
        <v>10.107.252.23</v>
      </c>
      <c r="G15875" s="1" t="str">
        <f>"0130C592"</f>
        <v>0130C592</v>
      </c>
      <c r="H15875" s="1" t="str">
        <f>"수유간 32"</f>
        <v>수유간 32</v>
      </c>
      <c r="I15875" s="1" t="s">
        <v>8</v>
      </c>
      <c r="J15875" s="1" t="str">
        <f>"11/11"</f>
        <v>11/11</v>
      </c>
      <c r="K15875" s="1" t="str">
        <f t="shared" ref="K15875:K15880" si="792">"2026-07-29 13:18:01"</f>
        <v>2026-07-29 13:18:01</v>
      </c>
      <c r="L15875" s="1" t="str">
        <f>"2014-12-10 00:12:56"</f>
        <v>2014-12-10 00:12:56</v>
      </c>
      <c r="M15875" s="1" t="s">
        <v>45</v>
      </c>
      <c r="N15875" s="1" t="s">
        <v>38</v>
      </c>
      <c r="O15875" s="1" t="s">
        <v>46</v>
      </c>
    </row>
    <row r="15876" spans="2:15" x14ac:dyDescent="0.3">
      <c r="B15876" s="1" t="s">
        <v>19</v>
      </c>
      <c r="C15876" s="1" t="str">
        <f>"4차"</f>
        <v>4차</v>
      </c>
      <c r="D15876" s="1" t="str">
        <f>"0130C62244"</f>
        <v>0130C62244</v>
      </c>
      <c r="E15876" s="1" t="s">
        <v>10</v>
      </c>
      <c r="F15876" s="1" t="str">
        <f>"10.107.251.98"</f>
        <v>10.107.251.98</v>
      </c>
      <c r="G15876" s="1" t="str">
        <f>"0130C622"</f>
        <v>0130C622</v>
      </c>
      <c r="H15876" s="1" t="str">
        <f>"삼원간 14R2"</f>
        <v>삼원간 14R2</v>
      </c>
      <c r="I15876" s="1" t="s">
        <v>8</v>
      </c>
      <c r="J15876" s="1" t="str">
        <f>"19/19"</f>
        <v>19/19</v>
      </c>
      <c r="K15876" s="1" t="str">
        <f t="shared" si="792"/>
        <v>2026-07-29 13:18:01</v>
      </c>
      <c r="L15876" s="1" t="str">
        <f>"2020-01-21 18:58:33"</f>
        <v>2020-01-21 18:58:33</v>
      </c>
      <c r="M15876" s="1" t="s">
        <v>45</v>
      </c>
      <c r="N15876" s="1" t="s">
        <v>38</v>
      </c>
      <c r="O15876" s="1" t="s">
        <v>46</v>
      </c>
    </row>
    <row r="15877" spans="2:15" x14ac:dyDescent="0.3">
      <c r="B15877" s="1" t="s">
        <v>19</v>
      </c>
      <c r="C15877" s="1" t="str">
        <f>"4차"</f>
        <v>4차</v>
      </c>
      <c r="D15877" s="1" t="str">
        <f>"0130C62444"</f>
        <v>0130C62444</v>
      </c>
      <c r="E15877" s="1" t="s">
        <v>10</v>
      </c>
      <c r="F15877" s="1" t="str">
        <f>"10.107.252.164"</f>
        <v>10.107.252.164</v>
      </c>
      <c r="G15877" s="1" t="str">
        <f>"0130C624"</f>
        <v>0130C624</v>
      </c>
      <c r="H15877" s="1" t="str">
        <f>"삼원간 14R3H1L1"</f>
        <v>삼원간 14R3H1L1</v>
      </c>
      <c r="I15877" s="1" t="s">
        <v>8</v>
      </c>
      <c r="J15877" s="1" t="str">
        <f>"58/58"</f>
        <v>58/58</v>
      </c>
      <c r="K15877" s="1" t="str">
        <f t="shared" si="792"/>
        <v>2026-07-29 13:18:01</v>
      </c>
      <c r="L15877" s="1" t="str">
        <f>"2019-10-31 17:03:03"</f>
        <v>2019-10-31 17:03:03</v>
      </c>
      <c r="M15877" s="1" t="s">
        <v>45</v>
      </c>
      <c r="N15877" s="1" t="s">
        <v>38</v>
      </c>
      <c r="O15877" s="1" t="s">
        <v>46</v>
      </c>
    </row>
    <row r="15878" spans="2:15" x14ac:dyDescent="0.3">
      <c r="B15878" s="1" t="s">
        <v>19</v>
      </c>
      <c r="C15878" s="1" t="str">
        <f>"4차"</f>
        <v>4차</v>
      </c>
      <c r="D15878" s="1" t="str">
        <f>"0130C64344"</f>
        <v>0130C64344</v>
      </c>
      <c r="E15878" s="1" t="s">
        <v>10</v>
      </c>
      <c r="F15878" s="1" t="str">
        <f>"10.107.251.105"</f>
        <v>10.107.251.105</v>
      </c>
      <c r="G15878" s="1" t="str">
        <f>"0130C643"</f>
        <v>0130C643</v>
      </c>
      <c r="H15878" s="1" t="str">
        <f>"수유간 38"</f>
        <v>수유간 38</v>
      </c>
      <c r="I15878" s="1" t="s">
        <v>8</v>
      </c>
      <c r="J15878" s="1" t="str">
        <f>"12/12"</f>
        <v>12/12</v>
      </c>
      <c r="K15878" s="1" t="str">
        <f t="shared" si="792"/>
        <v>2026-07-29 13:18:01</v>
      </c>
      <c r="L15878" s="1" t="str">
        <f>"2019-11-11 20:05:23"</f>
        <v>2019-11-11 20:05:23</v>
      </c>
      <c r="M15878" s="1" t="s">
        <v>45</v>
      </c>
      <c r="N15878" s="1" t="s">
        <v>38</v>
      </c>
      <c r="O15878" s="1" t="s">
        <v>46</v>
      </c>
    </row>
    <row r="15879" spans="2:15" x14ac:dyDescent="0.3">
      <c r="B15879" s="1" t="s">
        <v>19</v>
      </c>
      <c r="C15879" s="1" t="str">
        <f>"1차"</f>
        <v>1차</v>
      </c>
      <c r="D15879" s="1" t="str">
        <f>"0130C66100"</f>
        <v>0130C66100</v>
      </c>
      <c r="E15879" s="1" t="s">
        <v>10</v>
      </c>
      <c r="F15879" s="1" t="str">
        <f>"10.107.120.140"</f>
        <v>10.107.120.140</v>
      </c>
      <c r="G15879" s="1" t="str">
        <f>"0130C661"</f>
        <v>0130C661</v>
      </c>
      <c r="H15879" s="1" t="str">
        <f>"수유간 36"</f>
        <v>수유간 36</v>
      </c>
      <c r="I15879" s="1" t="s">
        <v>8</v>
      </c>
      <c r="J15879" s="1" t="str">
        <f>"10/10"</f>
        <v>10/10</v>
      </c>
      <c r="K15879" s="1" t="str">
        <f t="shared" si="792"/>
        <v>2026-07-29 13:18:01</v>
      </c>
      <c r="L15879" s="1" t="str">
        <f>"2014-12-05 15:43:06"</f>
        <v>2014-12-05 15:43:06</v>
      </c>
      <c r="M15879" s="1" t="s">
        <v>45</v>
      </c>
      <c r="N15879" s="1" t="s">
        <v>38</v>
      </c>
      <c r="O15879" s="1" t="s">
        <v>46</v>
      </c>
    </row>
    <row r="15880" spans="2:15" x14ac:dyDescent="0.3">
      <c r="B15880" s="1" t="s">
        <v>19</v>
      </c>
      <c r="C15880" s="1" t="str">
        <f>"1차"</f>
        <v>1차</v>
      </c>
      <c r="D15880" s="1" t="str">
        <f>"0130C69200"</f>
        <v>0130C69200</v>
      </c>
      <c r="E15880" s="1" t="s">
        <v>10</v>
      </c>
      <c r="F15880" s="1" t="str">
        <f>"10.107.120.141"</f>
        <v>10.107.120.141</v>
      </c>
      <c r="G15880" s="1" t="str">
        <f>"0130C692"</f>
        <v>0130C692</v>
      </c>
      <c r="H15880" s="1" t="str">
        <f>"수유간 29L6"</f>
        <v>수유간 29L6</v>
      </c>
      <c r="I15880" s="1" t="s">
        <v>8</v>
      </c>
      <c r="J15880" s="1" t="str">
        <f>"100/100"</f>
        <v>100/100</v>
      </c>
      <c r="K15880" s="1" t="str">
        <f t="shared" si="792"/>
        <v>2026-07-29 13:18:01</v>
      </c>
      <c r="L15880" s="1" t="str">
        <f>"2014-12-05 18:04:24"</f>
        <v>2014-12-05 18:04:24</v>
      </c>
      <c r="M15880" s="1" t="s">
        <v>45</v>
      </c>
      <c r="N15880" s="1" t="s">
        <v>38</v>
      </c>
      <c r="O15880" s="1" t="s">
        <v>46</v>
      </c>
    </row>
    <row r="15881" spans="2:15" x14ac:dyDescent="0.3">
      <c r="B15881" s="1" t="s">
        <v>19</v>
      </c>
      <c r="C15881" s="1" t="str">
        <f>"6차"</f>
        <v>6차</v>
      </c>
      <c r="D15881" s="1" t="str">
        <f>"0130C7216M"</f>
        <v>0130C7216M</v>
      </c>
      <c r="E15881" s="1" t="s">
        <v>10</v>
      </c>
      <c r="F15881" s="1" t="str">
        <f>"fde1:103:4:c83b:0:0:0:2"</f>
        <v>fde1:103:4:c83b:0:0:0:2</v>
      </c>
      <c r="G15881" s="1" t="str">
        <f>"0130C721"</f>
        <v>0130C721</v>
      </c>
      <c r="H15881" s="1" t="str">
        <f>"수유간 42"</f>
        <v>수유간 42</v>
      </c>
      <c r="I15881" s="1" t="s">
        <v>15</v>
      </c>
      <c r="J15881" s="1" t="str">
        <f>"22/23"</f>
        <v>22/23</v>
      </c>
      <c r="K15881" s="1" t="str">
        <f>"2026-07-29 14:20:58"</f>
        <v>2026-07-29 14:20:58</v>
      </c>
      <c r="L15881" s="1" t="str">
        <f>"2024-12-04 15:41:27"</f>
        <v>2024-12-04 15:41:27</v>
      </c>
      <c r="M15881" s="1" t="s">
        <v>4</v>
      </c>
      <c r="N15881" s="1" t="s">
        <v>38</v>
      </c>
      <c r="O15881" s="1" t="s">
        <v>46</v>
      </c>
    </row>
    <row r="15882" spans="2:15" x14ac:dyDescent="0.3">
      <c r="B15882" s="1" t="s">
        <v>19</v>
      </c>
      <c r="C15882" s="1" t="str">
        <f>"1차"</f>
        <v>1차</v>
      </c>
      <c r="D15882" s="1" t="str">
        <f>"0130C73300"</f>
        <v>0130C73300</v>
      </c>
      <c r="E15882" s="1" t="s">
        <v>10</v>
      </c>
      <c r="F15882" s="1" t="str">
        <f>"10.107.120.142"</f>
        <v>10.107.120.142</v>
      </c>
      <c r="G15882" s="1" t="str">
        <f>"0130C733"</f>
        <v>0130C733</v>
      </c>
      <c r="H15882" s="1" t="str">
        <f>"수유간 40L1"</f>
        <v>수유간 40L1</v>
      </c>
      <c r="I15882" s="1" t="s">
        <v>8</v>
      </c>
      <c r="J15882" s="1" t="str">
        <f>"15/15"</f>
        <v>15/15</v>
      </c>
      <c r="K15882" s="1" t="str">
        <f>"2026-07-29 13:18:01"</f>
        <v>2026-07-29 13:18:01</v>
      </c>
      <c r="L15882" s="1" t="str">
        <f>"2014-12-18 11:12:18"</f>
        <v>2014-12-18 11:12:18</v>
      </c>
      <c r="M15882" s="1" t="s">
        <v>45</v>
      </c>
      <c r="N15882" s="1" t="s">
        <v>38</v>
      </c>
      <c r="O15882" s="1" t="s">
        <v>46</v>
      </c>
    </row>
    <row r="15883" spans="2:15" x14ac:dyDescent="0.3">
      <c r="B15883" s="1" t="s">
        <v>19</v>
      </c>
      <c r="C15883" s="1" t="str">
        <f>"4차"</f>
        <v>4차</v>
      </c>
      <c r="D15883" s="1" t="str">
        <f>"0130C74144"</f>
        <v>0130C74144</v>
      </c>
      <c r="E15883" s="1" t="s">
        <v>10</v>
      </c>
      <c r="F15883" s="1" t="str">
        <f>"10.107.252.168"</f>
        <v>10.107.252.168</v>
      </c>
      <c r="G15883" s="1" t="str">
        <f>"0130C741"</f>
        <v>0130C741</v>
      </c>
      <c r="H15883" s="1" t="str">
        <f>"수유간 40L2L2"</f>
        <v>수유간 40L2L2</v>
      </c>
      <c r="I15883" s="1" t="s">
        <v>8</v>
      </c>
      <c r="J15883" s="1" t="str">
        <f>"29/29"</f>
        <v>29/29</v>
      </c>
      <c r="K15883" s="1" t="str">
        <f>"2026-07-29 13:18:01"</f>
        <v>2026-07-29 13:18:01</v>
      </c>
      <c r="L15883" s="1" t="str">
        <f>"2019-11-01 14:31:28"</f>
        <v>2019-11-01 14:31:28</v>
      </c>
      <c r="M15883" s="1" t="s">
        <v>45</v>
      </c>
      <c r="N15883" s="1" t="s">
        <v>38</v>
      </c>
      <c r="O15883" s="1" t="s">
        <v>46</v>
      </c>
    </row>
    <row r="15884" spans="2:15" x14ac:dyDescent="0.3">
      <c r="B15884" s="1" t="s">
        <v>19</v>
      </c>
      <c r="C15884" s="1" t="str">
        <f>"4차"</f>
        <v>4차</v>
      </c>
      <c r="D15884" s="1" t="str">
        <f>"0130C75244"</f>
        <v>0130C75244</v>
      </c>
      <c r="E15884" s="1" t="s">
        <v>10</v>
      </c>
      <c r="F15884" s="1" t="str">
        <f>"10.107.252.169"</f>
        <v>10.107.252.169</v>
      </c>
      <c r="G15884" s="1" t="str">
        <f>"0130C752"</f>
        <v>0130C752</v>
      </c>
      <c r="H15884" s="1" t="str">
        <f>"수유간 40L2L3"</f>
        <v>수유간 40L2L3</v>
      </c>
      <c r="I15884" s="1" t="s">
        <v>8</v>
      </c>
      <c r="J15884" s="1" t="str">
        <f>"44/44"</f>
        <v>44/44</v>
      </c>
      <c r="K15884" s="1" t="str">
        <f>"2026-07-29 13:18:01"</f>
        <v>2026-07-29 13:18:01</v>
      </c>
      <c r="L15884" s="1" t="str">
        <f>"2019-12-13 09:14:54"</f>
        <v>2019-12-13 09:14:54</v>
      </c>
      <c r="M15884" s="1" t="s">
        <v>45</v>
      </c>
      <c r="N15884" s="1" t="s">
        <v>38</v>
      </c>
      <c r="O15884" s="1" t="s">
        <v>46</v>
      </c>
    </row>
    <row r="15885" spans="2:15" x14ac:dyDescent="0.3">
      <c r="B15885" s="1" t="s">
        <v>19</v>
      </c>
      <c r="C15885" s="1" t="str">
        <f>"1차"</f>
        <v>1차</v>
      </c>
      <c r="D15885" s="1" t="str">
        <f>"0130C77101"</f>
        <v>0130C77101</v>
      </c>
      <c r="E15885" s="1" t="s">
        <v>10</v>
      </c>
      <c r="F15885" s="1" t="str">
        <f>"10.107.120.143"</f>
        <v>10.107.120.143</v>
      </c>
      <c r="G15885" s="1" t="str">
        <f>"0130C771"</f>
        <v>0130C771</v>
      </c>
      <c r="H15885" s="1" t="str">
        <f>"수유간 40L2L6"</f>
        <v>수유간 40L2L6</v>
      </c>
      <c r="I15885" s="1" t="s">
        <v>8</v>
      </c>
      <c r="J15885" s="1" t="str">
        <f>"85/86"</f>
        <v>85/86</v>
      </c>
      <c r="K15885" s="1" t="str">
        <f>"2026-07-29 13:18:01"</f>
        <v>2026-07-29 13:18:01</v>
      </c>
      <c r="L15885" s="1" t="str">
        <f>"2015-02-05 15:12:05"</f>
        <v>2015-02-05 15:12:05</v>
      </c>
      <c r="M15885" s="1" t="s">
        <v>45</v>
      </c>
      <c r="N15885" s="1" t="s">
        <v>38</v>
      </c>
      <c r="O15885" s="1" t="s">
        <v>46</v>
      </c>
    </row>
    <row r="15886" spans="2:15" x14ac:dyDescent="0.3">
      <c r="B15886" s="1" t="s">
        <v>19</v>
      </c>
      <c r="C15886" s="1" t="str">
        <f>"6차"</f>
        <v>6차</v>
      </c>
      <c r="D15886" s="1" t="str">
        <f>"0130C7926M"</f>
        <v>0130C7926M</v>
      </c>
      <c r="E15886" s="1" t="s">
        <v>10</v>
      </c>
      <c r="F15886" s="1" t="str">
        <f>"fde1:103:4:c778:0:0:0:2"</f>
        <v>fde1:103:4:c778:0:0:0:2</v>
      </c>
      <c r="G15886" s="1" t="str">
        <f>"0130C792"</f>
        <v>0130C792</v>
      </c>
      <c r="H15886" s="1" t="str">
        <f>"사일구SW 43L2R4"</f>
        <v>사일구SW 43L2R4</v>
      </c>
      <c r="I15886" s="1" t="s">
        <v>15</v>
      </c>
      <c r="J15886" s="1" t="str">
        <f>"44/44"</f>
        <v>44/44</v>
      </c>
      <c r="K15886" s="1" t="str">
        <f>"2026-07-29 14:20:25"</f>
        <v>2026-07-29 14:20:25</v>
      </c>
      <c r="L15886" s="1" t="str">
        <f>"2024-12-02 13:45:32"</f>
        <v>2024-12-02 13:45:32</v>
      </c>
      <c r="M15886" s="1" t="s">
        <v>4</v>
      </c>
      <c r="N15886" s="1" t="s">
        <v>38</v>
      </c>
      <c r="O15886" s="1" t="s">
        <v>46</v>
      </c>
    </row>
    <row r="15887" spans="2:15" x14ac:dyDescent="0.3">
      <c r="B15887" s="1" t="s">
        <v>19</v>
      </c>
      <c r="C15887" s="1" t="str">
        <f>"5-2차"</f>
        <v>5-2차</v>
      </c>
      <c r="D15887" s="1" t="str">
        <f>"0130C8015M"</f>
        <v>0130C8015M</v>
      </c>
      <c r="E15887" s="1" t="s">
        <v>10</v>
      </c>
      <c r="F15887" s="1" t="str">
        <f>"fde3:102:1410:4100:0:0:0:9"</f>
        <v>fde3:102:1410:4100:0:0:0:9</v>
      </c>
      <c r="G15887" s="1" t="str">
        <f>"0130C801"</f>
        <v>0130C801</v>
      </c>
      <c r="H15887" s="1" t="str">
        <f>"수유간 45L1"</f>
        <v>수유간 45L1</v>
      </c>
      <c r="I15887" s="1" t="s">
        <v>15</v>
      </c>
      <c r="J15887" s="1" t="str">
        <f>"42/42"</f>
        <v>42/42</v>
      </c>
      <c r="K15887" s="1" t="str">
        <f>"2026-07-29 14:20:42"</f>
        <v>2026-07-29 14:20:42</v>
      </c>
      <c r="L15887" s="1" t="str">
        <f>"2023-08-17 10:26:36"</f>
        <v>2023-08-17 10:26:36</v>
      </c>
      <c r="M15887" s="1" t="s">
        <v>45</v>
      </c>
      <c r="N15887" s="1" t="s">
        <v>38</v>
      </c>
      <c r="O15887" s="1" t="s">
        <v>46</v>
      </c>
    </row>
    <row r="15888" spans="2:15" x14ac:dyDescent="0.3">
      <c r="B15888" s="1" t="s">
        <v>19</v>
      </c>
      <c r="C15888" s="1" t="str">
        <f>"4차"</f>
        <v>4차</v>
      </c>
      <c r="D15888" s="1" t="str">
        <f>"0130C83144"</f>
        <v>0130C83144</v>
      </c>
      <c r="E15888" s="1" t="s">
        <v>10</v>
      </c>
      <c r="F15888" s="1" t="str">
        <f>"10.107.252.170"</f>
        <v>10.107.252.170</v>
      </c>
      <c r="G15888" s="1" t="str">
        <f>"0130C831"</f>
        <v>0130C831</v>
      </c>
      <c r="H15888" s="1" t="str">
        <f>"수유간 40L3"</f>
        <v>수유간 40L3</v>
      </c>
      <c r="I15888" s="1" t="s">
        <v>8</v>
      </c>
      <c r="J15888" s="1" t="str">
        <f>"104/104"</f>
        <v>104/104</v>
      </c>
      <c r="K15888" s="1" t="str">
        <f>"2026-07-29 13:18:01"</f>
        <v>2026-07-29 13:18:01</v>
      </c>
      <c r="L15888" s="1" t="str">
        <f>"2019-11-01 14:33:04"</f>
        <v>2019-11-01 14:33:04</v>
      </c>
      <c r="M15888" s="1" t="s">
        <v>45</v>
      </c>
      <c r="N15888" s="1" t="s">
        <v>38</v>
      </c>
      <c r="O15888" s="1" t="s">
        <v>46</v>
      </c>
    </row>
    <row r="15889" spans="2:15" x14ac:dyDescent="0.3">
      <c r="B15889" s="1" t="s">
        <v>19</v>
      </c>
      <c r="C15889" s="1" t="str">
        <f>"1차"</f>
        <v>1차</v>
      </c>
      <c r="D15889" s="1" t="str">
        <f>"0130C86100"</f>
        <v>0130C86100</v>
      </c>
      <c r="E15889" s="1" t="s">
        <v>10</v>
      </c>
      <c r="F15889" s="1" t="str">
        <f>"10.107.120.144"</f>
        <v>10.107.120.144</v>
      </c>
      <c r="G15889" s="1" t="str">
        <f>"0130C861"</f>
        <v>0130C861</v>
      </c>
      <c r="H15889" s="1" t="str">
        <f>"사일구SW 43L5"</f>
        <v>사일구SW 43L5</v>
      </c>
      <c r="I15889" s="1" t="s">
        <v>8</v>
      </c>
      <c r="J15889" s="1" t="str">
        <f>"38/51"</f>
        <v>38/51</v>
      </c>
      <c r="K15889" s="1" t="str">
        <f>"2026-07-29 13:18:01"</f>
        <v>2026-07-29 13:18:01</v>
      </c>
      <c r="L15889" s="1" t="str">
        <f>"2014-12-05 17:28:14"</f>
        <v>2014-12-05 17:28:14</v>
      </c>
      <c r="M15889" s="1" t="s">
        <v>45</v>
      </c>
      <c r="N15889" s="1" t="s">
        <v>38</v>
      </c>
      <c r="O15889" s="1" t="s">
        <v>46</v>
      </c>
    </row>
    <row r="15890" spans="2:15" x14ac:dyDescent="0.3">
      <c r="B15890" s="1" t="s">
        <v>19</v>
      </c>
      <c r="C15890" s="1" t="str">
        <f>"4차"</f>
        <v>4차</v>
      </c>
      <c r="D15890" s="1" t="str">
        <f>"0130C87144"</f>
        <v>0130C87144</v>
      </c>
      <c r="E15890" s="1" t="s">
        <v>10</v>
      </c>
      <c r="F15890" s="1" t="str">
        <f>"10.107.120.145"</f>
        <v>10.107.120.145</v>
      </c>
      <c r="G15890" s="1" t="str">
        <f>"0130C871"</f>
        <v>0130C871</v>
      </c>
      <c r="H15890" s="1" t="str">
        <f>"사일구SW 43L4"</f>
        <v>사일구SW 43L4</v>
      </c>
      <c r="I15890" s="1" t="s">
        <v>8</v>
      </c>
      <c r="J15890" s="1" t="str">
        <f>"74/74"</f>
        <v>74/74</v>
      </c>
      <c r="K15890" s="1" t="str">
        <f>"2026-07-29 13:18:01"</f>
        <v>2026-07-29 13:18:01</v>
      </c>
      <c r="L15890" s="1" t="str">
        <f>"2019-10-17 19:02:39"</f>
        <v>2019-10-17 19:02:39</v>
      </c>
      <c r="M15890" s="1" t="s">
        <v>45</v>
      </c>
      <c r="N15890" s="1" t="s">
        <v>38</v>
      </c>
      <c r="O15890" s="1" t="s">
        <v>46</v>
      </c>
    </row>
    <row r="15891" spans="2:15" x14ac:dyDescent="0.3">
      <c r="B15891" s="1" t="s">
        <v>19</v>
      </c>
      <c r="C15891" s="1" t="str">
        <f>"4차"</f>
        <v>4차</v>
      </c>
      <c r="D15891" s="1" t="str">
        <f>"0130C88144"</f>
        <v>0130C88144</v>
      </c>
      <c r="E15891" s="1" t="s">
        <v>10</v>
      </c>
      <c r="F15891" s="1" t="str">
        <f>"10.107.120.146"</f>
        <v>10.107.120.146</v>
      </c>
      <c r="G15891" s="1" t="str">
        <f>"0130C881"</f>
        <v>0130C881</v>
      </c>
      <c r="H15891" s="1" t="str">
        <f>"사일구SW 43L2R1"</f>
        <v>사일구SW 43L2R1</v>
      </c>
      <c r="I15891" s="1" t="s">
        <v>8</v>
      </c>
      <c r="J15891" s="1" t="str">
        <f>"59/65"</f>
        <v>59/65</v>
      </c>
      <c r="K15891" s="1" t="str">
        <f>"2026-07-29 13:18:01"</f>
        <v>2026-07-29 13:18:01</v>
      </c>
      <c r="L15891" s="1" t="str">
        <f>"2019-10-17 19:03:04"</f>
        <v>2019-10-17 19:03:04</v>
      </c>
      <c r="M15891" s="1" t="s">
        <v>45</v>
      </c>
      <c r="N15891" s="1" t="s">
        <v>38</v>
      </c>
      <c r="O15891" s="1" t="s">
        <v>46</v>
      </c>
    </row>
    <row r="15892" spans="2:15" x14ac:dyDescent="0.3">
      <c r="B15892" s="1" t="s">
        <v>19</v>
      </c>
      <c r="C15892" s="1" t="str">
        <f>"6차"</f>
        <v>6차</v>
      </c>
      <c r="D15892" s="1" t="str">
        <f>"0130C8926M"</f>
        <v>0130C8926M</v>
      </c>
      <c r="E15892" s="1" t="s">
        <v>10</v>
      </c>
      <c r="F15892" s="1" t="str">
        <f>"fde1:103:4:c776:0:0:0:2"</f>
        <v>fde1:103:4:c776:0:0:0:2</v>
      </c>
      <c r="G15892" s="1" t="str">
        <f>"0130C892"</f>
        <v>0130C892</v>
      </c>
      <c r="H15892" s="1" t="str">
        <f>"사일구SW 43L2R2"</f>
        <v>사일구SW 43L2R2</v>
      </c>
      <c r="I15892" s="1" t="s">
        <v>15</v>
      </c>
      <c r="J15892" s="1" t="str">
        <f>"44/44"</f>
        <v>44/44</v>
      </c>
      <c r="K15892" s="1" t="str">
        <f>"2026-07-29 14:20:13"</f>
        <v>2026-07-29 14:20:13</v>
      </c>
      <c r="L15892" s="1" t="str">
        <f>"2024-12-02 13:56:01"</f>
        <v>2024-12-02 13:56:01</v>
      </c>
      <c r="M15892" s="1" t="s">
        <v>4</v>
      </c>
      <c r="N15892" s="1" t="s">
        <v>38</v>
      </c>
      <c r="O15892" s="1" t="s">
        <v>46</v>
      </c>
    </row>
    <row r="15893" spans="2:15" x14ac:dyDescent="0.3">
      <c r="B15893" s="1" t="s">
        <v>19</v>
      </c>
      <c r="C15893" s="1" t="str">
        <f>"1차"</f>
        <v>1차</v>
      </c>
      <c r="D15893" s="1" t="str">
        <f>"0130C92100"</f>
        <v>0130C92100</v>
      </c>
      <c r="E15893" s="1" t="s">
        <v>10</v>
      </c>
      <c r="F15893" s="1" t="str">
        <f>"10.107.2.85"</f>
        <v>10.107.2.85</v>
      </c>
      <c r="G15893" s="1" t="str">
        <f>"0130C921"</f>
        <v>0130C921</v>
      </c>
      <c r="H15893" s="1" t="str">
        <f>"수유간 42L3"</f>
        <v>수유간 42L3</v>
      </c>
      <c r="I15893" s="1" t="s">
        <v>8</v>
      </c>
      <c r="J15893" s="1" t="str">
        <f>"24/33"</f>
        <v>24/33</v>
      </c>
      <c r="K15893" s="1" t="str">
        <f>"2026-07-29 13:18:02"</f>
        <v>2026-07-29 13:18:02</v>
      </c>
      <c r="L15893" s="1" t="str">
        <f>"2014-12-09 16:43:08"</f>
        <v>2014-12-09 16:43:08</v>
      </c>
      <c r="M15893" s="1" t="s">
        <v>45</v>
      </c>
      <c r="N15893" s="1" t="s">
        <v>38</v>
      </c>
      <c r="O15893" s="1" t="s">
        <v>46</v>
      </c>
    </row>
    <row r="15894" spans="2:15" x14ac:dyDescent="0.3">
      <c r="B15894" s="1" t="s">
        <v>19</v>
      </c>
      <c r="C15894" s="1" t="str">
        <f>"5-2차"</f>
        <v>5-2차</v>
      </c>
      <c r="D15894" s="1" t="str">
        <f>"0130C9225M"</f>
        <v>0130C9225M</v>
      </c>
      <c r="E15894" s="1" t="s">
        <v>10</v>
      </c>
      <c r="F15894" s="1" t="str">
        <f>"fde1:103:4:940e:0:0:0:2"</f>
        <v>fde1:103:4:940e:0:0:0:2</v>
      </c>
      <c r="G15894" s="1" t="str">
        <f>"0130C922"</f>
        <v>0130C922</v>
      </c>
      <c r="H15894" s="1" t="str">
        <f>"수유간 42L4"</f>
        <v>수유간 42L4</v>
      </c>
      <c r="I15894" s="1" t="s">
        <v>15</v>
      </c>
      <c r="J15894" s="1" t="str">
        <f>"43/43"</f>
        <v>43/43</v>
      </c>
      <c r="K15894" s="1" t="str">
        <f>"2026-07-29 14:20:14"</f>
        <v>2026-07-29 14:20:14</v>
      </c>
      <c r="L15894" s="1" t="str">
        <f>"2023-12-18 09:19:00"</f>
        <v>2023-12-18 09:19:00</v>
      </c>
      <c r="M15894" s="1" t="s">
        <v>4</v>
      </c>
      <c r="N15894" s="1" t="s">
        <v>38</v>
      </c>
      <c r="O15894" s="1" t="s">
        <v>46</v>
      </c>
    </row>
    <row r="15895" spans="2:15" x14ac:dyDescent="0.3">
      <c r="B15895" s="1" t="s">
        <v>19</v>
      </c>
      <c r="C15895" s="1" t="str">
        <f>"4차"</f>
        <v>4차</v>
      </c>
      <c r="D15895" s="1" t="str">
        <f>"0130C98344"</f>
        <v>0130C98344</v>
      </c>
      <c r="E15895" s="1" t="s">
        <v>10</v>
      </c>
      <c r="F15895" s="1" t="str">
        <f>"10.107.120.147"</f>
        <v>10.107.120.147</v>
      </c>
      <c r="G15895" s="1" t="str">
        <f>"0130C983"</f>
        <v>0130C983</v>
      </c>
      <c r="H15895" s="1" t="str">
        <f>"사일구SW 43L2"</f>
        <v>사일구SW 43L2</v>
      </c>
      <c r="I15895" s="1" t="s">
        <v>8</v>
      </c>
      <c r="J15895" s="1" t="str">
        <f>"60/60"</f>
        <v>60/60</v>
      </c>
      <c r="K15895" s="1" t="str">
        <f>"2026-07-29 13:18:01"</f>
        <v>2026-07-29 13:18:01</v>
      </c>
      <c r="L15895" s="1" t="str">
        <f>"2019-10-17 18:33:53"</f>
        <v>2019-10-17 18:33:53</v>
      </c>
      <c r="M15895" s="1" t="s">
        <v>45</v>
      </c>
      <c r="N15895" s="1" t="s">
        <v>38</v>
      </c>
      <c r="O15895" s="1" t="s">
        <v>46</v>
      </c>
    </row>
    <row r="15896" spans="2:15" x14ac:dyDescent="0.3">
      <c r="B15896" s="1" t="s">
        <v>19</v>
      </c>
      <c r="C15896" s="1" t="str">
        <f>"4차"</f>
        <v>4차</v>
      </c>
      <c r="D15896" s="1" t="str">
        <f>"0130C99A39"</f>
        <v>0130C99A39</v>
      </c>
      <c r="E15896" s="1" t="str">
        <f>"검침실패(3시간 이상)"</f>
        <v>검침실패(3시간 이상)</v>
      </c>
      <c r="F15896" s="1" t="str">
        <f>"10.12.134.240"</f>
        <v>10.12.134.240</v>
      </c>
      <c r="G15896" s="1" t="str">
        <f>"0130C99A"</f>
        <v>0130C99A</v>
      </c>
      <c r="H15896" s="1" t="str">
        <f>"사일구 13"</f>
        <v>사일구 13</v>
      </c>
      <c r="I15896" s="1" t="s">
        <v>17</v>
      </c>
      <c r="J15896" s="1" t="str">
        <f>"0/5"</f>
        <v>0/5</v>
      </c>
      <c r="K15896" s="1" t="str">
        <f>"2026-05-25 20:03:48"</f>
        <v>2026-05-25 20:03:48</v>
      </c>
      <c r="L15896" s="1" t="str">
        <f>"2018-10-15 16:33:14"</f>
        <v>2018-10-15 16:33:14</v>
      </c>
      <c r="M15896" s="1" t="s">
        <v>0</v>
      </c>
      <c r="N15896" s="1" t="s">
        <v>38</v>
      </c>
      <c r="O15896" s="1" t="s">
        <v>46</v>
      </c>
    </row>
    <row r="15897" spans="2:15" x14ac:dyDescent="0.3">
      <c r="B15897" s="1" t="s">
        <v>19</v>
      </c>
      <c r="C15897" s="1" t="str">
        <f>"5-2차"</f>
        <v>5-2차</v>
      </c>
      <c r="D15897" s="1" t="str">
        <f>"0130D0315M"</f>
        <v>0130D0315M</v>
      </c>
      <c r="E15897" s="1" t="s">
        <v>10</v>
      </c>
      <c r="F15897" s="1" t="str">
        <f>"fde1:103:4:9405:0:0:0:2"</f>
        <v>fde1:103:4:9405:0:0:0:2</v>
      </c>
      <c r="G15897" s="1" t="str">
        <f>"0130D031"</f>
        <v>0130D031</v>
      </c>
      <c r="H15897" s="1" t="str">
        <f>"수유간 42L5"</f>
        <v>수유간 42L5</v>
      </c>
      <c r="I15897" s="1" t="s">
        <v>15</v>
      </c>
      <c r="J15897" s="1" t="str">
        <f>"21/21"</f>
        <v>21/21</v>
      </c>
      <c r="K15897" s="1" t="str">
        <f>"2026-07-29 14:20:14"</f>
        <v>2026-07-29 14:20:14</v>
      </c>
      <c r="L15897" s="1" t="str">
        <f>"2023-12-18 09:19:26"</f>
        <v>2023-12-18 09:19:26</v>
      </c>
      <c r="M15897" s="1" t="s">
        <v>4</v>
      </c>
      <c r="N15897" s="1" t="s">
        <v>38</v>
      </c>
      <c r="O15897" s="1" t="s">
        <v>46</v>
      </c>
    </row>
    <row r="15898" spans="2:15" x14ac:dyDescent="0.3">
      <c r="B15898" s="1" t="s">
        <v>19</v>
      </c>
      <c r="C15898" s="1" t="str">
        <f>"4차"</f>
        <v>4차</v>
      </c>
      <c r="D15898" s="1" t="str">
        <f>"0130D06244"</f>
        <v>0130D06244</v>
      </c>
      <c r="E15898" s="1" t="s">
        <v>10</v>
      </c>
      <c r="F15898" s="1" t="str">
        <f>"10.107.120.148"</f>
        <v>10.107.120.148</v>
      </c>
      <c r="G15898" s="1" t="str">
        <f>"0130D062"</f>
        <v>0130D062</v>
      </c>
      <c r="H15898" s="1" t="str">
        <f>"사일구SW 43L2L3"</f>
        <v>사일구SW 43L2L3</v>
      </c>
      <c r="I15898" s="1" t="s">
        <v>8</v>
      </c>
      <c r="J15898" s="1" t="str">
        <f>"20/20"</f>
        <v>20/20</v>
      </c>
      <c r="K15898" s="1" t="str">
        <f>"2026-07-29 13:18:02"</f>
        <v>2026-07-29 13:18:02</v>
      </c>
      <c r="L15898" s="1" t="str">
        <f>"2019-10-17 19:13:04"</f>
        <v>2019-10-17 19:13:04</v>
      </c>
      <c r="M15898" s="1" t="s">
        <v>45</v>
      </c>
      <c r="N15898" s="1" t="s">
        <v>38</v>
      </c>
      <c r="O15898" s="1" t="s">
        <v>46</v>
      </c>
    </row>
    <row r="15899" spans="2:15" x14ac:dyDescent="0.3">
      <c r="B15899" s="1" t="s">
        <v>19</v>
      </c>
      <c r="C15899" s="1" t="str">
        <f>"4차"</f>
        <v>4차</v>
      </c>
      <c r="D15899" s="1" t="str">
        <f>"0130D08339"</f>
        <v>0130D08339</v>
      </c>
      <c r="E15899" s="1" t="s">
        <v>10</v>
      </c>
      <c r="F15899" s="1" t="str">
        <f>"10.12.134.246"</f>
        <v>10.12.134.246</v>
      </c>
      <c r="G15899" s="1" t="str">
        <f>"0130D083"</f>
        <v>0130D083</v>
      </c>
      <c r="H15899" s="1" t="str">
        <f>"사일구 40"</f>
        <v>사일구 40</v>
      </c>
      <c r="I15899" s="1" t="s">
        <v>17</v>
      </c>
      <c r="J15899" s="1" t="str">
        <f>"11/11"</f>
        <v>11/11</v>
      </c>
      <c r="K15899" s="1" t="str">
        <f>"2026-07-29 13:18:02"</f>
        <v>2026-07-29 13:18:02</v>
      </c>
      <c r="L15899" s="1" t="str">
        <f>"2018-10-15 15:52:27"</f>
        <v>2018-10-15 15:52:27</v>
      </c>
      <c r="M15899" s="1" t="s">
        <v>0</v>
      </c>
      <c r="N15899" s="1" t="s">
        <v>38</v>
      </c>
      <c r="O15899" s="1" t="s">
        <v>46</v>
      </c>
    </row>
    <row r="15900" spans="2:15" x14ac:dyDescent="0.3">
      <c r="B15900" s="1" t="s">
        <v>19</v>
      </c>
      <c r="C15900" s="1" t="str">
        <f>"4차"</f>
        <v>4차</v>
      </c>
      <c r="D15900" s="1" t="str">
        <f>"0130D09144"</f>
        <v>0130D09144</v>
      </c>
      <c r="E15900" s="1" t="s">
        <v>10</v>
      </c>
      <c r="F15900" s="1" t="str">
        <f>"10.107.124.122"</f>
        <v>10.107.124.122</v>
      </c>
      <c r="G15900" s="1" t="str">
        <f>"0130D091"</f>
        <v>0130D091</v>
      </c>
      <c r="H15900" s="1" t="str">
        <f>"우이간 36R8B2"</f>
        <v>우이간 36R8B2</v>
      </c>
      <c r="I15900" s="1" t="s">
        <v>8</v>
      </c>
      <c r="J15900" s="1" t="str">
        <f>"35/35"</f>
        <v>35/35</v>
      </c>
      <c r="K15900" s="1" t="str">
        <f>"2026-07-29 13:18:02"</f>
        <v>2026-07-29 13:18:02</v>
      </c>
      <c r="L15900" s="1" t="str">
        <f>"2019-11-21 21:26:53"</f>
        <v>2019-11-21 21:26:53</v>
      </c>
      <c r="M15900" s="1" t="s">
        <v>45</v>
      </c>
      <c r="N15900" s="1" t="s">
        <v>38</v>
      </c>
      <c r="O15900" s="1" t="s">
        <v>46</v>
      </c>
    </row>
    <row r="15901" spans="2:15" x14ac:dyDescent="0.3">
      <c r="B15901" s="1" t="s">
        <v>19</v>
      </c>
      <c r="C15901" s="1" t="str">
        <f>"4차"</f>
        <v>4차</v>
      </c>
      <c r="D15901" s="1" t="str">
        <f>"0130D19144"</f>
        <v>0130D19144</v>
      </c>
      <c r="E15901" s="1" t="s">
        <v>10</v>
      </c>
      <c r="F15901" s="1" t="str">
        <f>"10.107.124.120"</f>
        <v>10.107.124.120</v>
      </c>
      <c r="G15901" s="1" t="str">
        <f>"0130D191"</f>
        <v>0130D191</v>
      </c>
      <c r="H15901" s="1" t="str">
        <f>"우이간 36R8R2"</f>
        <v>우이간 36R8R2</v>
      </c>
      <c r="I15901" s="1" t="s">
        <v>8</v>
      </c>
      <c r="J15901" s="1" t="str">
        <f>"17/17"</f>
        <v>17/17</v>
      </c>
      <c r="K15901" s="1" t="str">
        <f>"2026-07-29 13:18:02"</f>
        <v>2026-07-29 13:18:02</v>
      </c>
      <c r="L15901" s="1" t="str">
        <f>"2019-12-13 09:16:17"</f>
        <v>2019-12-13 09:16:17</v>
      </c>
      <c r="M15901" s="1" t="s">
        <v>45</v>
      </c>
      <c r="N15901" s="1" t="s">
        <v>38</v>
      </c>
      <c r="O15901" s="1" t="s">
        <v>46</v>
      </c>
    </row>
    <row r="15902" spans="2:15" x14ac:dyDescent="0.3">
      <c r="B15902" s="1" t="s">
        <v>19</v>
      </c>
      <c r="C15902" s="1" t="str">
        <f>"5-2차"</f>
        <v>5-2차</v>
      </c>
      <c r="D15902" s="1" t="str">
        <f>"0130D2345M"</f>
        <v>0130D2345M</v>
      </c>
      <c r="E15902" s="1" t="s">
        <v>10</v>
      </c>
      <c r="F15902" s="1" t="str">
        <f>"fde1:103:4:931b:0:0:0:2"</f>
        <v>fde1:103:4:931b:0:0:0:2</v>
      </c>
      <c r="G15902" s="1" t="str">
        <f>"0130D234"</f>
        <v>0130D234</v>
      </c>
      <c r="H15902" s="1" t="str">
        <f>"수유간 42L7"</f>
        <v>수유간 42L7</v>
      </c>
      <c r="I15902" s="1" t="s">
        <v>15</v>
      </c>
      <c r="J15902" s="1" t="str">
        <f>"38/38"</f>
        <v>38/38</v>
      </c>
      <c r="K15902" s="1" t="str">
        <f>"2026-07-29 14:20:17"</f>
        <v>2026-07-29 14:20:17</v>
      </c>
      <c r="L15902" s="1" t="str">
        <f>"2023-12-18 09:19:57"</f>
        <v>2023-12-18 09:19:57</v>
      </c>
      <c r="M15902" s="1" t="s">
        <v>4</v>
      </c>
      <c r="N15902" s="1" t="s">
        <v>38</v>
      </c>
      <c r="O15902" s="1" t="s">
        <v>46</v>
      </c>
    </row>
    <row r="15903" spans="2:15" x14ac:dyDescent="0.3">
      <c r="B15903" s="1" t="s">
        <v>19</v>
      </c>
      <c r="C15903" s="1" t="str">
        <f>"4차"</f>
        <v>4차</v>
      </c>
      <c r="D15903" s="1" t="str">
        <f>"0130D28144"</f>
        <v>0130D28144</v>
      </c>
      <c r="E15903" s="1" t="s">
        <v>10</v>
      </c>
      <c r="F15903" s="1" t="str">
        <f>"10.107.124.121"</f>
        <v>10.107.124.121</v>
      </c>
      <c r="G15903" s="1" t="str">
        <f>"0130D281"</f>
        <v>0130D281</v>
      </c>
      <c r="H15903" s="1" t="str">
        <f>"우이간 36R8R3"</f>
        <v>우이간 36R8R3</v>
      </c>
      <c r="I15903" s="1" t="s">
        <v>8</v>
      </c>
      <c r="J15903" s="1" t="str">
        <f>"71/71"</f>
        <v>71/71</v>
      </c>
      <c r="K15903" s="1" t="str">
        <f>"2026-07-29 13:18:02"</f>
        <v>2026-07-29 13:18:02</v>
      </c>
      <c r="L15903" s="1" t="str">
        <f>"2019-12-13 12:09:18"</f>
        <v>2019-12-13 12:09:18</v>
      </c>
      <c r="M15903" s="1" t="s">
        <v>45</v>
      </c>
      <c r="N15903" s="1" t="s">
        <v>38</v>
      </c>
      <c r="O15903" s="1" t="s">
        <v>46</v>
      </c>
    </row>
    <row r="15904" spans="2:15" x14ac:dyDescent="0.3">
      <c r="B15904" s="1" t="s">
        <v>19</v>
      </c>
      <c r="C15904" s="1" t="str">
        <f>"4차"</f>
        <v>4차</v>
      </c>
      <c r="D15904" s="1" t="str">
        <f>"0130D33144"</f>
        <v>0130D33144</v>
      </c>
      <c r="E15904" s="1" t="s">
        <v>10</v>
      </c>
      <c r="F15904" s="1" t="str">
        <f>"10.107.135.4"</f>
        <v>10.107.135.4</v>
      </c>
      <c r="G15904" s="1" t="str">
        <f>"0130D331"</f>
        <v>0130D331</v>
      </c>
      <c r="H15904" s="1" t="str">
        <f>"사일구SW 37L5"</f>
        <v>사일구SW 37L5</v>
      </c>
      <c r="I15904" s="1" t="s">
        <v>8</v>
      </c>
      <c r="J15904" s="1" t="str">
        <f>"50/50"</f>
        <v>50/50</v>
      </c>
      <c r="K15904" s="1" t="str">
        <f>"2026-07-29 13:18:01"</f>
        <v>2026-07-29 13:18:01</v>
      </c>
      <c r="L15904" s="1" t="str">
        <f>"2019-10-17 18:20:39"</f>
        <v>2019-10-17 18:20:39</v>
      </c>
      <c r="M15904" s="1" t="s">
        <v>45</v>
      </c>
      <c r="N15904" s="1" t="s">
        <v>38</v>
      </c>
      <c r="O15904" s="1" t="s">
        <v>46</v>
      </c>
    </row>
    <row r="15905" spans="2:15" x14ac:dyDescent="0.3">
      <c r="B15905" s="1" t="s">
        <v>19</v>
      </c>
      <c r="C15905" s="1" t="str">
        <f>"6차"</f>
        <v>6차</v>
      </c>
      <c r="D15905" s="1" t="str">
        <f>"0130D3716M"</f>
        <v>0130D3716M</v>
      </c>
      <c r="E15905" s="1" t="s">
        <v>10</v>
      </c>
      <c r="F15905" s="1" t="str">
        <f>"fde1:103:4:c782:0:0:0:2"</f>
        <v>fde1:103:4:c782:0:0:0:2</v>
      </c>
      <c r="G15905" s="1" t="str">
        <f>"0130D371"</f>
        <v>0130D371</v>
      </c>
      <c r="H15905" s="1" t="str">
        <f>"우이간 36R8R5"</f>
        <v>우이간 36R8R5</v>
      </c>
      <c r="I15905" s="1" t="s">
        <v>15</v>
      </c>
      <c r="J15905" s="1" t="str">
        <f>"57/60"</f>
        <v>57/60</v>
      </c>
      <c r="K15905" s="1" t="str">
        <f>"2026-07-29 14:20:15"</f>
        <v>2026-07-29 14:20:15</v>
      </c>
      <c r="L15905" s="1" t="str">
        <f>"2024-12-04 15:41:45"</f>
        <v>2024-12-04 15:41:45</v>
      </c>
      <c r="M15905" s="1" t="s">
        <v>4</v>
      </c>
      <c r="N15905" s="1" t="s">
        <v>38</v>
      </c>
      <c r="O15905" s="1" t="s">
        <v>46</v>
      </c>
    </row>
    <row r="15906" spans="2:15" x14ac:dyDescent="0.3">
      <c r="B15906" s="1" t="s">
        <v>19</v>
      </c>
      <c r="C15906" s="1" t="str">
        <f>"4차"</f>
        <v>4차</v>
      </c>
      <c r="D15906" s="1" t="str">
        <f>"0130D38144"</f>
        <v>0130D38144</v>
      </c>
      <c r="E15906" s="1" t="s">
        <v>10</v>
      </c>
      <c r="F15906" s="1" t="str">
        <f>"10.107.252.232"</f>
        <v>10.107.252.232</v>
      </c>
      <c r="G15906" s="1" t="str">
        <f>"0130D381"</f>
        <v>0130D381</v>
      </c>
      <c r="H15906" s="1" t="str">
        <f>"우이간 36R8R4"</f>
        <v>우이간 36R8R4</v>
      </c>
      <c r="I15906" s="1" t="s">
        <v>8</v>
      </c>
      <c r="J15906" s="1" t="str">
        <f>"19/19"</f>
        <v>19/19</v>
      </c>
      <c r="K15906" s="1" t="str">
        <f>"2026-07-29 13:18:01"</f>
        <v>2026-07-29 13:18:01</v>
      </c>
      <c r="L15906" s="1" t="str">
        <f>"2019-11-20 12:43:45"</f>
        <v>2019-11-20 12:43:45</v>
      </c>
      <c r="M15906" s="1" t="s">
        <v>45</v>
      </c>
      <c r="N15906" s="1" t="s">
        <v>38</v>
      </c>
      <c r="O15906" s="1" t="s">
        <v>46</v>
      </c>
    </row>
    <row r="15907" spans="2:15" x14ac:dyDescent="0.3">
      <c r="B15907" s="1" t="s">
        <v>19</v>
      </c>
      <c r="C15907" s="1" t="str">
        <f>"4차"</f>
        <v>4차</v>
      </c>
      <c r="D15907" s="1" t="str">
        <f>"0130D40244"</f>
        <v>0130D40244</v>
      </c>
      <c r="E15907" s="1" t="s">
        <v>10</v>
      </c>
      <c r="F15907" s="1" t="str">
        <f>"10.107.251.102"</f>
        <v>10.107.251.102</v>
      </c>
      <c r="G15907" s="1" t="str">
        <f>"0130D402"</f>
        <v>0130D402</v>
      </c>
      <c r="H15907" s="1" t="str">
        <f>"수유간 112R1"</f>
        <v>수유간 112R1</v>
      </c>
      <c r="I15907" s="1" t="s">
        <v>8</v>
      </c>
      <c r="J15907" s="1" t="str">
        <f>"26/26"</f>
        <v>26/26</v>
      </c>
      <c r="K15907" s="1" t="str">
        <f>"2026-07-29 13:18:01"</f>
        <v>2026-07-29 13:18:01</v>
      </c>
      <c r="L15907" s="1" t="str">
        <f>"2020-01-21 18:58:20"</f>
        <v>2020-01-21 18:58:20</v>
      </c>
      <c r="M15907" s="1" t="s">
        <v>45</v>
      </c>
      <c r="N15907" s="1" t="s">
        <v>38</v>
      </c>
      <c r="O15907" s="1" t="s">
        <v>46</v>
      </c>
    </row>
    <row r="15908" spans="2:15" x14ac:dyDescent="0.3">
      <c r="B15908" s="1" t="s">
        <v>19</v>
      </c>
      <c r="C15908" s="1" t="str">
        <f>"4차"</f>
        <v>4차</v>
      </c>
      <c r="D15908" s="1" t="str">
        <f>"0130D42344"</f>
        <v>0130D42344</v>
      </c>
      <c r="E15908" s="1" t="s">
        <v>10</v>
      </c>
      <c r="F15908" s="1" t="str">
        <f>"10.107.135.3"</f>
        <v>10.107.135.3</v>
      </c>
      <c r="G15908" s="1" t="str">
        <f>"0130D423"</f>
        <v>0130D423</v>
      </c>
      <c r="H15908" s="1" t="str">
        <f>"사일구SW 37L3"</f>
        <v>사일구SW 37L3</v>
      </c>
      <c r="I15908" s="1" t="s">
        <v>8</v>
      </c>
      <c r="J15908" s="1" t="str">
        <f>"46/46"</f>
        <v>46/46</v>
      </c>
      <c r="K15908" s="1" t="str">
        <f>"2026-07-29 13:18:02"</f>
        <v>2026-07-29 13:18:02</v>
      </c>
      <c r="L15908" s="1" t="str">
        <f>"2019-10-17 18:15:05"</f>
        <v>2019-10-17 18:15:05</v>
      </c>
      <c r="M15908" s="1" t="s">
        <v>45</v>
      </c>
      <c r="N15908" s="1" t="s">
        <v>38</v>
      </c>
      <c r="O15908" s="1" t="s">
        <v>46</v>
      </c>
    </row>
    <row r="15909" spans="2:15" x14ac:dyDescent="0.3">
      <c r="B15909" s="1" t="s">
        <v>19</v>
      </c>
      <c r="C15909" s="1" t="str">
        <f>"3차"</f>
        <v>3차</v>
      </c>
      <c r="D15909" s="1" t="str">
        <f>"0130D45939"</f>
        <v>0130D45939</v>
      </c>
      <c r="E15909" s="1" t="s">
        <v>10</v>
      </c>
      <c r="F15909" s="1" t="str">
        <f>"10.12.137.84"</f>
        <v>10.12.137.84</v>
      </c>
      <c r="G15909" s="1" t="str">
        <f>"0130D459"</f>
        <v>0130D459</v>
      </c>
      <c r="H15909" s="1" t="str">
        <f>"사일구 39"</f>
        <v>사일구 39</v>
      </c>
      <c r="I15909" s="1" t="s">
        <v>17</v>
      </c>
      <c r="J15909" s="1" t="str">
        <f>"11/18"</f>
        <v>11/18</v>
      </c>
      <c r="K15909" s="1" t="str">
        <f>"2026-07-29 13:18:01"</f>
        <v>2026-07-29 13:18:01</v>
      </c>
      <c r="L15909" s="1" t="str">
        <f>"2018-10-08 12:48:41"</f>
        <v>2018-10-08 12:48:41</v>
      </c>
      <c r="M15909" s="1" t="s">
        <v>0</v>
      </c>
      <c r="N15909" s="1" t="s">
        <v>38</v>
      </c>
      <c r="O15909" s="1" t="s">
        <v>46</v>
      </c>
    </row>
    <row r="15910" spans="2:15" x14ac:dyDescent="0.3">
      <c r="B15910" s="1" t="s">
        <v>19</v>
      </c>
      <c r="C15910" s="1" t="str">
        <f>"1차"</f>
        <v>1차</v>
      </c>
      <c r="D15910" s="1" t="str">
        <f>"0130D48101"</f>
        <v>0130D48101</v>
      </c>
      <c r="E15910" s="1" t="s">
        <v>10</v>
      </c>
      <c r="F15910" s="1" t="str">
        <f>"10.12.128.121"</f>
        <v>10.12.128.121</v>
      </c>
      <c r="G15910" s="1" t="str">
        <f>"0130D481"</f>
        <v>0130D481</v>
      </c>
      <c r="H15910" s="1" t="str">
        <f>"우이간 36R10R10"</f>
        <v>우이간 36R10R10</v>
      </c>
      <c r="I15910" s="1" t="s">
        <v>8</v>
      </c>
      <c r="J15910" s="1" t="str">
        <f>"26/26"</f>
        <v>26/26</v>
      </c>
      <c r="K15910" s="1" t="str">
        <f>"2026-07-29 13:18:03"</f>
        <v>2026-07-29 13:18:03</v>
      </c>
      <c r="L15910" s="1" t="str">
        <f>"2014-12-08 16:43:11"</f>
        <v>2014-12-08 16:43:11</v>
      </c>
      <c r="M15910" s="1" t="s">
        <v>0</v>
      </c>
      <c r="N15910" s="1" t="s">
        <v>38</v>
      </c>
      <c r="O15910" s="1" t="s">
        <v>46</v>
      </c>
    </row>
    <row r="15911" spans="2:15" x14ac:dyDescent="0.3">
      <c r="B15911" s="1" t="s">
        <v>19</v>
      </c>
      <c r="C15911" s="1" t="str">
        <f>"1차"</f>
        <v>1차</v>
      </c>
      <c r="D15911" s="1" t="str">
        <f>"0130D49100"</f>
        <v>0130D49100</v>
      </c>
      <c r="E15911" s="1" t="s">
        <v>10</v>
      </c>
      <c r="F15911" s="1" t="str">
        <f>"10.107.124.107"</f>
        <v>10.107.124.107</v>
      </c>
      <c r="G15911" s="1" t="str">
        <f>"0130D491"</f>
        <v>0130D491</v>
      </c>
      <c r="H15911" s="1" t="str">
        <f>"우이간 36R10R7"</f>
        <v>우이간 36R10R7</v>
      </c>
      <c r="I15911" s="1" t="s">
        <v>8</v>
      </c>
      <c r="J15911" s="1" t="str">
        <f>"37/40"</f>
        <v>37/40</v>
      </c>
      <c r="K15911" s="1" t="str">
        <f t="shared" ref="K15911:K15918" si="793">"2026-07-29 13:18:02"</f>
        <v>2026-07-29 13:18:02</v>
      </c>
      <c r="L15911" s="1" t="str">
        <f>"2014-12-09 10:57:50"</f>
        <v>2014-12-09 10:57:50</v>
      </c>
      <c r="M15911" s="1" t="s">
        <v>45</v>
      </c>
      <c r="N15911" s="1" t="s">
        <v>38</v>
      </c>
      <c r="O15911" s="1" t="s">
        <v>46</v>
      </c>
    </row>
    <row r="15912" spans="2:15" x14ac:dyDescent="0.3">
      <c r="B15912" s="1" t="s">
        <v>19</v>
      </c>
      <c r="C15912" s="1" t="str">
        <f>"1차"</f>
        <v>1차</v>
      </c>
      <c r="D15912" s="1" t="str">
        <f>"0130D49201"</f>
        <v>0130D49201</v>
      </c>
      <c r="E15912" s="1" t="s">
        <v>10</v>
      </c>
      <c r="F15912" s="1" t="str">
        <f>"10.12.132.41"</f>
        <v>10.12.132.41</v>
      </c>
      <c r="G15912" s="1" t="str">
        <f>"0130D492"</f>
        <v>0130D492</v>
      </c>
      <c r="H15912" s="1" t="str">
        <f>"우이간 36R10R8"</f>
        <v>우이간 36R10R8</v>
      </c>
      <c r="I15912" s="1" t="s">
        <v>8</v>
      </c>
      <c r="J15912" s="1" t="str">
        <f>"26/26"</f>
        <v>26/26</v>
      </c>
      <c r="K15912" s="1" t="str">
        <f t="shared" si="793"/>
        <v>2026-07-29 13:18:02</v>
      </c>
      <c r="L15912" s="1" t="str">
        <f>"2014-12-08 17:00:14"</f>
        <v>2014-12-08 17:00:14</v>
      </c>
      <c r="M15912" s="1" t="s">
        <v>0</v>
      </c>
      <c r="N15912" s="1" t="s">
        <v>38</v>
      </c>
      <c r="O15912" s="1" t="s">
        <v>46</v>
      </c>
    </row>
    <row r="15913" spans="2:15" x14ac:dyDescent="0.3">
      <c r="B15913" s="1" t="s">
        <v>19</v>
      </c>
      <c r="C15913" s="1" t="str">
        <f>"4차"</f>
        <v>4차</v>
      </c>
      <c r="D15913" s="1" t="str">
        <f>"0130D50144"</f>
        <v>0130D50144</v>
      </c>
      <c r="E15913" s="1" t="s">
        <v>10</v>
      </c>
      <c r="F15913" s="1" t="str">
        <f>"10.107.252.167"</f>
        <v>10.107.252.167</v>
      </c>
      <c r="G15913" s="1" t="str">
        <f>"0130D501"</f>
        <v>0130D501</v>
      </c>
      <c r="H15913" s="1" t="str">
        <f>"수유간 111"</f>
        <v>수유간 111</v>
      </c>
      <c r="I15913" s="1" t="s">
        <v>8</v>
      </c>
      <c r="J15913" s="1" t="str">
        <f>"32/32"</f>
        <v>32/32</v>
      </c>
      <c r="K15913" s="1" t="str">
        <f t="shared" si="793"/>
        <v>2026-07-29 13:18:02</v>
      </c>
      <c r="L15913" s="1" t="str">
        <f>"2019-11-01 15:03:04"</f>
        <v>2019-11-01 15:03:04</v>
      </c>
      <c r="M15913" s="1" t="s">
        <v>45</v>
      </c>
      <c r="N15913" s="1" t="s">
        <v>38</v>
      </c>
      <c r="O15913" s="1" t="s">
        <v>46</v>
      </c>
    </row>
    <row r="15914" spans="2:15" x14ac:dyDescent="0.3">
      <c r="B15914" s="1" t="s">
        <v>19</v>
      </c>
      <c r="C15914" s="1" t="str">
        <f>"4차"</f>
        <v>4차</v>
      </c>
      <c r="D15914" s="1" t="str">
        <f>"0130D51639"</f>
        <v>0130D51639</v>
      </c>
      <c r="E15914" s="1" t="s">
        <v>10</v>
      </c>
      <c r="F15914" s="1" t="str">
        <f>"10.12.136.174"</f>
        <v>10.12.136.174</v>
      </c>
      <c r="G15914" s="1" t="str">
        <f>"0130D516"</f>
        <v>0130D516</v>
      </c>
      <c r="H15914" s="1" t="str">
        <f>"사일구SW 37L2L1"</f>
        <v>사일구SW 37L2L1</v>
      </c>
      <c r="I15914" s="1" t="s">
        <v>8</v>
      </c>
      <c r="J15914" s="1" t="str">
        <f>"133/136"</f>
        <v>133/136</v>
      </c>
      <c r="K15914" s="1" t="str">
        <f t="shared" si="793"/>
        <v>2026-07-29 13:18:02</v>
      </c>
      <c r="L15914" s="1" t="str">
        <f>"2018-09-13 18:03:58"</f>
        <v>2018-09-13 18:03:58</v>
      </c>
      <c r="M15914" s="1" t="s">
        <v>0</v>
      </c>
      <c r="N15914" s="1" t="s">
        <v>38</v>
      </c>
      <c r="O15914" s="1" t="s">
        <v>46</v>
      </c>
    </row>
    <row r="15915" spans="2:15" x14ac:dyDescent="0.3">
      <c r="B15915" s="1" t="s">
        <v>19</v>
      </c>
      <c r="C15915" s="1" t="str">
        <f>"4차"</f>
        <v>4차</v>
      </c>
      <c r="D15915" s="1" t="str">
        <f>"0130D55144"</f>
        <v>0130D55144</v>
      </c>
      <c r="E15915" s="1" t="s">
        <v>10</v>
      </c>
      <c r="F15915" s="1" t="str">
        <f>"10.107.252.231"</f>
        <v>10.107.252.231</v>
      </c>
      <c r="G15915" s="1" t="str">
        <f>"0130D551"</f>
        <v>0130D551</v>
      </c>
      <c r="H15915" s="1" t="str">
        <f>"우이간 12R6"</f>
        <v>우이간 12R6</v>
      </c>
      <c r="I15915" s="1" t="s">
        <v>8</v>
      </c>
      <c r="J15915" s="1" t="str">
        <f>"48/48"</f>
        <v>48/48</v>
      </c>
      <c r="K15915" s="1" t="str">
        <f t="shared" si="793"/>
        <v>2026-07-29 13:18:02</v>
      </c>
      <c r="L15915" s="1" t="str">
        <f>"2019-11-20 12:33:16"</f>
        <v>2019-11-20 12:33:16</v>
      </c>
      <c r="M15915" s="1" t="s">
        <v>45</v>
      </c>
      <c r="N15915" s="1" t="s">
        <v>38</v>
      </c>
      <c r="O15915" s="1" t="s">
        <v>46</v>
      </c>
    </row>
    <row r="15916" spans="2:15" x14ac:dyDescent="0.3">
      <c r="B15916" s="1" t="s">
        <v>19</v>
      </c>
      <c r="C15916" s="1" t="str">
        <f>"4차"</f>
        <v>4차</v>
      </c>
      <c r="D15916" s="1" t="str">
        <f>"0130D56144"</f>
        <v>0130D56144</v>
      </c>
      <c r="E15916" s="1" t="s">
        <v>10</v>
      </c>
      <c r="F15916" s="1" t="str">
        <f>"10.107.252.233"</f>
        <v>10.107.252.233</v>
      </c>
      <c r="G15916" s="1" t="str">
        <f>"0130D561"</f>
        <v>0130D561</v>
      </c>
      <c r="H15916" s="1" t="str">
        <f>"우이간 36R8R7"</f>
        <v>우이간 36R8R7</v>
      </c>
      <c r="I15916" s="1" t="s">
        <v>8</v>
      </c>
      <c r="J15916" s="1" t="str">
        <f>"60/60"</f>
        <v>60/60</v>
      </c>
      <c r="K15916" s="1" t="str">
        <f t="shared" si="793"/>
        <v>2026-07-29 13:18:02</v>
      </c>
      <c r="L15916" s="1" t="str">
        <f>"2019-11-20 12:49:39"</f>
        <v>2019-11-20 12:49:39</v>
      </c>
      <c r="M15916" s="1" t="s">
        <v>45</v>
      </c>
      <c r="N15916" s="1" t="s">
        <v>38</v>
      </c>
      <c r="O15916" s="1" t="s">
        <v>46</v>
      </c>
    </row>
    <row r="15917" spans="2:15" x14ac:dyDescent="0.3">
      <c r="B15917" s="1" t="s">
        <v>19</v>
      </c>
      <c r="C15917" s="1" t="str">
        <f>"4차"</f>
        <v>4차</v>
      </c>
      <c r="D15917" s="1" t="str">
        <f>"0130D57144"</f>
        <v>0130D57144</v>
      </c>
      <c r="E15917" s="1" t="s">
        <v>10</v>
      </c>
      <c r="F15917" s="1" t="str">
        <f>"10.107.252.234"</f>
        <v>10.107.252.234</v>
      </c>
      <c r="G15917" s="1" t="str">
        <f>"0130D571"</f>
        <v>0130D571</v>
      </c>
      <c r="H15917" s="1" t="str">
        <f>"우이간 36R8R8"</f>
        <v>우이간 36R8R8</v>
      </c>
      <c r="I15917" s="1" t="s">
        <v>8</v>
      </c>
      <c r="J15917" s="1" t="str">
        <f>"59/59"</f>
        <v>59/59</v>
      </c>
      <c r="K15917" s="1" t="str">
        <f t="shared" si="793"/>
        <v>2026-07-29 13:18:02</v>
      </c>
      <c r="L15917" s="1" t="str">
        <f>"2019-11-20 13:04:21"</f>
        <v>2019-11-20 13:04:21</v>
      </c>
      <c r="M15917" s="1" t="s">
        <v>45</v>
      </c>
      <c r="N15917" s="1" t="s">
        <v>38</v>
      </c>
      <c r="O15917" s="1" t="s">
        <v>46</v>
      </c>
    </row>
    <row r="15918" spans="2:15" x14ac:dyDescent="0.3">
      <c r="B15918" s="1" t="s">
        <v>19</v>
      </c>
      <c r="C15918" s="1" t="str">
        <f>"1차"</f>
        <v>1차</v>
      </c>
      <c r="D15918" s="1" t="str">
        <f>"0130D58301"</f>
        <v>0130D58301</v>
      </c>
      <c r="E15918" s="1" t="s">
        <v>10</v>
      </c>
      <c r="F15918" s="1" t="str">
        <f>"10.12.131.110"</f>
        <v>10.12.131.110</v>
      </c>
      <c r="G15918" s="1" t="str">
        <f>"0130D583"</f>
        <v>0130D583</v>
      </c>
      <c r="H15918" s="1" t="str">
        <f>"우이간 36R8R9L2"</f>
        <v>우이간 36R8R9L2</v>
      </c>
      <c r="I15918" s="1" t="s">
        <v>8</v>
      </c>
      <c r="J15918" s="1" t="str">
        <f>"30/30"</f>
        <v>30/30</v>
      </c>
      <c r="K15918" s="1" t="str">
        <f t="shared" si="793"/>
        <v>2026-07-29 13:18:02</v>
      </c>
      <c r="L15918" s="1" t="str">
        <f>"2014-12-09 10:58:21"</f>
        <v>2014-12-09 10:58:21</v>
      </c>
      <c r="M15918" s="1" t="s">
        <v>0</v>
      </c>
      <c r="N15918" s="1" t="s">
        <v>38</v>
      </c>
      <c r="O15918" s="1" t="s">
        <v>46</v>
      </c>
    </row>
    <row r="15919" spans="2:15" x14ac:dyDescent="0.3">
      <c r="B15919" s="1" t="s">
        <v>19</v>
      </c>
      <c r="C15919" s="1" t="str">
        <f>"1차"</f>
        <v>1차</v>
      </c>
      <c r="D15919" s="1" t="str">
        <f>"0130D59101"</f>
        <v>0130D59101</v>
      </c>
      <c r="E15919" s="1" t="s">
        <v>10</v>
      </c>
      <c r="F15919" s="1" t="str">
        <f>"10.107.124.108"</f>
        <v>10.107.124.108</v>
      </c>
      <c r="G15919" s="1" t="str">
        <f>"0130D591"</f>
        <v>0130D591</v>
      </c>
      <c r="H15919" s="1" t="str">
        <f>"우이간 36R10R7L1"</f>
        <v>우이간 36R10R7L1</v>
      </c>
      <c r="I15919" s="1" t="s">
        <v>8</v>
      </c>
      <c r="J15919" s="1" t="str">
        <f>"14/14"</f>
        <v>14/14</v>
      </c>
      <c r="K15919" s="1" t="str">
        <f>"2026-07-29 13:18:01"</f>
        <v>2026-07-29 13:18:01</v>
      </c>
      <c r="L15919" s="1" t="str">
        <f>"2014-12-09 10:58:24"</f>
        <v>2014-12-09 10:58:24</v>
      </c>
      <c r="M15919" s="1" t="s">
        <v>45</v>
      </c>
      <c r="N15919" s="1" t="s">
        <v>38</v>
      </c>
      <c r="O15919" s="1" t="s">
        <v>46</v>
      </c>
    </row>
    <row r="15920" spans="2:15" x14ac:dyDescent="0.3">
      <c r="B15920" s="1" t="s">
        <v>19</v>
      </c>
      <c r="C15920" s="1" t="str">
        <f>"4차"</f>
        <v>4차</v>
      </c>
      <c r="D15920" s="1" t="str">
        <f>"0130D60244"</f>
        <v>0130D60244</v>
      </c>
      <c r="E15920" s="1" t="s">
        <v>10</v>
      </c>
      <c r="F15920" s="1" t="str">
        <f>"10.107.252.166"</f>
        <v>10.107.252.166</v>
      </c>
      <c r="G15920" s="1" t="str">
        <f>"0130D602"</f>
        <v>0130D602</v>
      </c>
      <c r="H15920" s="1" t="str">
        <f>"수유간 110H1"</f>
        <v>수유간 110H1</v>
      </c>
      <c r="I15920" s="1" t="s">
        <v>8</v>
      </c>
      <c r="J15920" s="1" t="str">
        <f>"57/57"</f>
        <v>57/57</v>
      </c>
      <c r="K15920" s="1" t="str">
        <f>"2026-07-29 13:18:02"</f>
        <v>2026-07-29 13:18:02</v>
      </c>
      <c r="L15920" s="1" t="str">
        <f>"2019-11-01 15:03:04"</f>
        <v>2019-11-01 15:03:04</v>
      </c>
      <c r="M15920" s="1" t="s">
        <v>45</v>
      </c>
      <c r="N15920" s="1" t="s">
        <v>38</v>
      </c>
      <c r="O15920" s="1" t="s">
        <v>46</v>
      </c>
    </row>
    <row r="15921" spans="2:15" x14ac:dyDescent="0.3">
      <c r="B15921" s="1" t="s">
        <v>19</v>
      </c>
      <c r="C15921" s="1" t="str">
        <f>"4차"</f>
        <v>4차</v>
      </c>
      <c r="D15921" s="1" t="str">
        <f>"0130D63345"</f>
        <v>0130D63345</v>
      </c>
      <c r="E15921" s="1" t="s">
        <v>10</v>
      </c>
      <c r="F15921" s="1" t="str">
        <f>"10.14.5.53"</f>
        <v>10.14.5.53</v>
      </c>
      <c r="G15921" s="1" t="str">
        <f>"0130D633"</f>
        <v>0130D633</v>
      </c>
      <c r="H15921" s="1" t="str">
        <f>"사일구 11"</f>
        <v>사일구 11</v>
      </c>
      <c r="I15921" s="1" t="s">
        <v>17</v>
      </c>
      <c r="J15921" s="1" t="str">
        <f>"25/25"</f>
        <v>25/25</v>
      </c>
      <c r="K15921" s="1" t="str">
        <f>"2026-07-29 13:18:02"</f>
        <v>2026-07-29 13:18:02</v>
      </c>
      <c r="L15921" s="1" t="str">
        <f>"2021-06-28 14:01:38"</f>
        <v>2021-06-28 14:01:38</v>
      </c>
      <c r="M15921" s="1" t="s">
        <v>3</v>
      </c>
      <c r="N15921" s="1" t="s">
        <v>38</v>
      </c>
      <c r="O15921" s="1" t="s">
        <v>46</v>
      </c>
    </row>
    <row r="15922" spans="2:15" x14ac:dyDescent="0.3">
      <c r="B15922" s="1" t="s">
        <v>19</v>
      </c>
      <c r="C15922" s="1" t="str">
        <f>"4차"</f>
        <v>4차</v>
      </c>
      <c r="D15922" s="1" t="str">
        <f>"0130D64344"</f>
        <v>0130D64344</v>
      </c>
      <c r="E15922" s="1" t="s">
        <v>10</v>
      </c>
      <c r="F15922" s="1" t="str">
        <f>"10.107.252.172"</f>
        <v>10.107.252.172</v>
      </c>
      <c r="G15922" s="1" t="str">
        <f>"0130D643"</f>
        <v>0130D643</v>
      </c>
      <c r="H15922" s="1" t="str">
        <f>"우이간 12R4L2"</f>
        <v>우이간 12R4L2</v>
      </c>
      <c r="I15922" s="1" t="s">
        <v>8</v>
      </c>
      <c r="J15922" s="1" t="str">
        <f>"31/31"</f>
        <v>31/31</v>
      </c>
      <c r="K15922" s="1" t="str">
        <f>"2026-07-29 13:18:02"</f>
        <v>2026-07-29 13:18:02</v>
      </c>
      <c r="L15922" s="1" t="str">
        <f>"2019-11-20 12:29:22"</f>
        <v>2019-11-20 12:29:22</v>
      </c>
      <c r="M15922" s="1" t="s">
        <v>45</v>
      </c>
      <c r="N15922" s="1" t="s">
        <v>38</v>
      </c>
      <c r="O15922" s="1" t="s">
        <v>46</v>
      </c>
    </row>
    <row r="15923" spans="2:15" x14ac:dyDescent="0.3">
      <c r="B15923" s="1" t="s">
        <v>19</v>
      </c>
      <c r="C15923" s="1" t="str">
        <f>"4차"</f>
        <v>4차</v>
      </c>
      <c r="D15923" s="1" t="str">
        <f>"0130D65144"</f>
        <v>0130D65144</v>
      </c>
      <c r="E15923" s="1" t="s">
        <v>10</v>
      </c>
      <c r="F15923" s="1" t="str">
        <f>"10.107.252.230"</f>
        <v>10.107.252.230</v>
      </c>
      <c r="G15923" s="1" t="str">
        <f>"0130D651"</f>
        <v>0130D651</v>
      </c>
      <c r="H15923" s="1" t="str">
        <f>"우이간 12R5"</f>
        <v>우이간 12R5</v>
      </c>
      <c r="I15923" s="1" t="s">
        <v>8</v>
      </c>
      <c r="J15923" s="1" t="str">
        <f>"45/45"</f>
        <v>45/45</v>
      </c>
      <c r="K15923" s="1" t="str">
        <f>"2026-07-29 13:18:02"</f>
        <v>2026-07-29 13:18:02</v>
      </c>
      <c r="L15923" s="1" t="str">
        <f>"2019-11-20 12:29:06"</f>
        <v>2019-11-20 12:29:06</v>
      </c>
      <c r="M15923" s="1" t="s">
        <v>45</v>
      </c>
      <c r="N15923" s="1" t="s">
        <v>38</v>
      </c>
      <c r="O15923" s="1" t="s">
        <v>46</v>
      </c>
    </row>
    <row r="15924" spans="2:15" x14ac:dyDescent="0.3">
      <c r="B15924" s="1" t="s">
        <v>19</v>
      </c>
      <c r="C15924" s="1" t="str">
        <f>"6차"</f>
        <v>6차</v>
      </c>
      <c r="D15924" s="1" t="str">
        <f>"0130D6716M"</f>
        <v>0130D6716M</v>
      </c>
      <c r="E15924" s="1" t="s">
        <v>10</v>
      </c>
      <c r="F15924" s="1" t="str">
        <f>"fde1:103:4:c79f:0:0:0:2"</f>
        <v>fde1:103:4:c79f:0:0:0:2</v>
      </c>
      <c r="G15924" s="1" t="str">
        <f>"0130D671"</f>
        <v>0130D671</v>
      </c>
      <c r="H15924" s="1" t="str">
        <f>"우이간 36R8R9"</f>
        <v>우이간 36R8R9</v>
      </c>
      <c r="I15924" s="1" t="s">
        <v>15</v>
      </c>
      <c r="J15924" s="1" t="str">
        <f>"77/77"</f>
        <v>77/77</v>
      </c>
      <c r="K15924" s="1" t="str">
        <f>"2026-07-29 14:20:15"</f>
        <v>2026-07-29 14:20:15</v>
      </c>
      <c r="L15924" s="1" t="str">
        <f>"2024-12-04 15:42:02"</f>
        <v>2024-12-04 15:42:02</v>
      </c>
      <c r="M15924" s="1" t="s">
        <v>4</v>
      </c>
      <c r="N15924" s="1" t="s">
        <v>38</v>
      </c>
      <c r="O15924" s="1" t="s">
        <v>46</v>
      </c>
    </row>
    <row r="15925" spans="2:15" x14ac:dyDescent="0.3">
      <c r="B15925" s="1" t="s">
        <v>19</v>
      </c>
      <c r="C15925" s="1" t="str">
        <f>"4차"</f>
        <v>4차</v>
      </c>
      <c r="D15925" s="1" t="str">
        <f>"0130D68144"</f>
        <v>0130D68144</v>
      </c>
      <c r="E15925" s="1" t="s">
        <v>10</v>
      </c>
      <c r="F15925" s="1" t="str">
        <f>"10.107.252.229"</f>
        <v>10.107.252.229</v>
      </c>
      <c r="G15925" s="1" t="str">
        <f>"0130D681"</f>
        <v>0130D681</v>
      </c>
      <c r="H15925" s="1" t="str">
        <f>"우이간 12R4R7"</f>
        <v>우이간 12R4R7</v>
      </c>
      <c r="I15925" s="1" t="s">
        <v>8</v>
      </c>
      <c r="J15925" s="1" t="str">
        <f>"69/69"</f>
        <v>69/69</v>
      </c>
      <c r="K15925" s="1" t="str">
        <f>"2026-07-29 13:18:01"</f>
        <v>2026-07-29 13:18:01</v>
      </c>
      <c r="L15925" s="1" t="str">
        <f>"2019-12-13 09:18:03"</f>
        <v>2019-12-13 09:18:03</v>
      </c>
      <c r="M15925" s="1" t="s">
        <v>45</v>
      </c>
      <c r="N15925" s="1" t="s">
        <v>38</v>
      </c>
      <c r="O15925" s="1" t="s">
        <v>46</v>
      </c>
    </row>
    <row r="15926" spans="2:15" x14ac:dyDescent="0.3">
      <c r="B15926" s="1" t="s">
        <v>19</v>
      </c>
      <c r="C15926" s="1" t="str">
        <f>"3차"</f>
        <v>3차</v>
      </c>
      <c r="D15926" s="1" t="str">
        <f>"0130D74239"</f>
        <v>0130D74239</v>
      </c>
      <c r="E15926" s="1" t="s">
        <v>10</v>
      </c>
      <c r="F15926" s="1" t="str">
        <f>"10.12.137.132"</f>
        <v>10.12.137.132</v>
      </c>
      <c r="G15926" s="1" t="str">
        <f>"0130D742"</f>
        <v>0130D742</v>
      </c>
      <c r="H15926" s="1" t="str">
        <f>"우이간 12R4"</f>
        <v>우이간 12R4</v>
      </c>
      <c r="I15926" s="1" t="s">
        <v>8</v>
      </c>
      <c r="J15926" s="1" t="str">
        <f>"40/40"</f>
        <v>40/40</v>
      </c>
      <c r="K15926" s="1" t="str">
        <f>"2026-07-29 13:18:03"</f>
        <v>2026-07-29 13:18:03</v>
      </c>
      <c r="L15926" s="1" t="str">
        <f>"2018-04-21 10:54:28"</f>
        <v>2018-04-21 10:54:28</v>
      </c>
      <c r="M15926" s="1" t="s">
        <v>0</v>
      </c>
      <c r="N15926" s="1" t="s">
        <v>38</v>
      </c>
      <c r="O15926" s="1" t="s">
        <v>46</v>
      </c>
    </row>
    <row r="15927" spans="2:15" x14ac:dyDescent="0.3">
      <c r="B15927" s="1" t="s">
        <v>19</v>
      </c>
      <c r="C15927" s="1" t="str">
        <f>"4차"</f>
        <v>4차</v>
      </c>
      <c r="D15927" s="1" t="str">
        <f>"0130D75144"</f>
        <v>0130D75144</v>
      </c>
      <c r="E15927" s="1" t="s">
        <v>10</v>
      </c>
      <c r="F15927" s="1" t="str">
        <f>"10.107.252.173"</f>
        <v>10.107.252.173</v>
      </c>
      <c r="G15927" s="1" t="str">
        <f>"0130D751"</f>
        <v>0130D751</v>
      </c>
      <c r="H15927" s="1" t="str">
        <f>"우이간 12R4R1"</f>
        <v>우이간 12R4R1</v>
      </c>
      <c r="I15927" s="1" t="s">
        <v>8</v>
      </c>
      <c r="J15927" s="1" t="str">
        <f>"79/79"</f>
        <v>79/79</v>
      </c>
      <c r="K15927" s="1" t="str">
        <f>"2026-07-29 13:18:01"</f>
        <v>2026-07-29 13:18:01</v>
      </c>
      <c r="L15927" s="1" t="str">
        <f>"2019-11-20 14:19:43"</f>
        <v>2019-11-20 14:19:43</v>
      </c>
      <c r="M15927" s="1" t="s">
        <v>45</v>
      </c>
      <c r="N15927" s="1" t="s">
        <v>38</v>
      </c>
      <c r="O15927" s="1" t="s">
        <v>46</v>
      </c>
    </row>
    <row r="15928" spans="2:15" x14ac:dyDescent="0.3">
      <c r="B15928" s="1" t="s">
        <v>19</v>
      </c>
      <c r="C15928" s="1" t="str">
        <f>"3차"</f>
        <v>3차</v>
      </c>
      <c r="D15928" s="1" t="str">
        <f>"0130D76239"</f>
        <v>0130D76239</v>
      </c>
      <c r="E15928" s="1" t="s">
        <v>10</v>
      </c>
      <c r="F15928" s="1" t="str">
        <f>"10.12.137.141"</f>
        <v>10.12.137.141</v>
      </c>
      <c r="G15928" s="1" t="str">
        <f>"0130D762"</f>
        <v>0130D762</v>
      </c>
      <c r="H15928" s="1" t="str">
        <f>"우이간 12R4R2L1"</f>
        <v>우이간 12R4R2L1</v>
      </c>
      <c r="I15928" s="1" t="s">
        <v>8</v>
      </c>
      <c r="J15928" s="1" t="str">
        <f>"43/43"</f>
        <v>43/43</v>
      </c>
      <c r="K15928" s="1" t="str">
        <f>"2026-07-29 13:18:01"</f>
        <v>2026-07-29 13:18:01</v>
      </c>
      <c r="L15928" s="1" t="str">
        <f>"2018-04-21 10:22:12"</f>
        <v>2018-04-21 10:22:12</v>
      </c>
      <c r="M15928" s="1" t="s">
        <v>0</v>
      </c>
      <c r="N15928" s="1" t="s">
        <v>38</v>
      </c>
      <c r="O15928" s="1" t="s">
        <v>46</v>
      </c>
    </row>
    <row r="15929" spans="2:15" x14ac:dyDescent="0.3">
      <c r="B15929" s="1" t="s">
        <v>19</v>
      </c>
      <c r="C15929" s="1" t="str">
        <f>"5-2차"</f>
        <v>5-2차</v>
      </c>
      <c r="D15929" s="1" t="str">
        <f>"0130D7715M"</f>
        <v>0130D7715M</v>
      </c>
      <c r="E15929" s="1" t="s">
        <v>10</v>
      </c>
      <c r="F15929" s="1" t="str">
        <f>"fde3:102:1410:4100:0:0:0:a"</f>
        <v>fde3:102:1410:4100:0:0:0:a</v>
      </c>
      <c r="G15929" s="1" t="str">
        <f>"0130D771"</f>
        <v>0130D771</v>
      </c>
      <c r="H15929" s="1" t="str">
        <f>"우이간 12R4R4"</f>
        <v>우이간 12R4R4</v>
      </c>
      <c r="I15929" s="1" t="s">
        <v>15</v>
      </c>
      <c r="J15929" s="1" t="str">
        <f>"50/50"</f>
        <v>50/50</v>
      </c>
      <c r="K15929" s="1" t="str">
        <f>"2026-07-29 14:20:18"</f>
        <v>2026-07-29 14:20:18</v>
      </c>
      <c r="L15929" s="1" t="str">
        <f>"2023-08-04 15:09:04"</f>
        <v>2023-08-04 15:09:04</v>
      </c>
      <c r="M15929" s="1" t="s">
        <v>45</v>
      </c>
      <c r="N15929" s="1" t="s">
        <v>38</v>
      </c>
      <c r="O15929" s="1" t="s">
        <v>46</v>
      </c>
    </row>
    <row r="15930" spans="2:15" x14ac:dyDescent="0.3">
      <c r="B15930" s="1" t="s">
        <v>19</v>
      </c>
      <c r="C15930" s="1" t="str">
        <f>"4차"</f>
        <v>4차</v>
      </c>
      <c r="D15930" s="1" t="str">
        <f>"0130D77344"</f>
        <v>0130D77344</v>
      </c>
      <c r="E15930" s="1" t="s">
        <v>10</v>
      </c>
      <c r="F15930" s="1" t="str">
        <f>"10.107.252.228"</f>
        <v>10.107.252.228</v>
      </c>
      <c r="G15930" s="1" t="str">
        <f>"0130D773"</f>
        <v>0130D773</v>
      </c>
      <c r="H15930" s="1" t="str">
        <f>"우이간 12R4R6"</f>
        <v>우이간 12R4R6</v>
      </c>
      <c r="I15930" s="1" t="s">
        <v>8</v>
      </c>
      <c r="J15930" s="1" t="str">
        <f>"43/43"</f>
        <v>43/43</v>
      </c>
      <c r="K15930" s="1" t="str">
        <f>"2026-07-29 13:18:01"</f>
        <v>2026-07-29 13:18:01</v>
      </c>
      <c r="L15930" s="1" t="str">
        <f>"2019-11-20 17:33:27"</f>
        <v>2019-11-20 17:33:27</v>
      </c>
      <c r="M15930" s="1" t="s">
        <v>45</v>
      </c>
      <c r="N15930" s="1" t="s">
        <v>38</v>
      </c>
      <c r="O15930" s="1" t="s">
        <v>46</v>
      </c>
    </row>
    <row r="15931" spans="2:15" x14ac:dyDescent="0.3">
      <c r="B15931" s="1" t="s">
        <v>19</v>
      </c>
      <c r="C15931" s="1" t="str">
        <f>"5-2차"</f>
        <v>5-2차</v>
      </c>
      <c r="D15931" s="1" t="str">
        <f>"0130D7815S"</f>
        <v>0130D7815S</v>
      </c>
      <c r="E15931" s="1" t="s">
        <v>10</v>
      </c>
      <c r="F15931" s="1" t="str">
        <f>"fde3:102:1410:4400:0:0:0:a"</f>
        <v>fde3:102:1410:4400:0:0:0:a</v>
      </c>
      <c r="G15931" s="1" t="str">
        <f>"0130D781"</f>
        <v>0130D781</v>
      </c>
      <c r="H15931" s="1" t="str">
        <f>"우이간 4R5L3"</f>
        <v>우이간 4R5L3</v>
      </c>
      <c r="I15931" s="1" t="s">
        <v>15</v>
      </c>
      <c r="J15931" s="1" t="str">
        <f>"42/42"</f>
        <v>42/42</v>
      </c>
      <c r="K15931" s="1" t="str">
        <f>"2026-07-29 14:20:17"</f>
        <v>2026-07-29 14:20:17</v>
      </c>
      <c r="L15931" s="1" t="str">
        <f>"2023-08-04 15:16:02"</f>
        <v>2023-08-04 15:16:02</v>
      </c>
      <c r="M15931" s="1" t="s">
        <v>45</v>
      </c>
      <c r="N15931" s="1" t="s">
        <v>38</v>
      </c>
      <c r="O15931" s="1" t="s">
        <v>46</v>
      </c>
    </row>
    <row r="15932" spans="2:15" x14ac:dyDescent="0.3">
      <c r="B15932" s="1" t="s">
        <v>19</v>
      </c>
      <c r="C15932" s="1" t="str">
        <f t="shared" ref="C15932:C15941" si="794">"4차"</f>
        <v>4차</v>
      </c>
      <c r="D15932" s="1" t="str">
        <f>"0130D79244"</f>
        <v>0130D79244</v>
      </c>
      <c r="E15932" s="1" t="s">
        <v>10</v>
      </c>
      <c r="F15932" s="1" t="str">
        <f>"10.107.124.82"</f>
        <v>10.107.124.82</v>
      </c>
      <c r="G15932" s="1" t="str">
        <f>"0130D792"</f>
        <v>0130D792</v>
      </c>
      <c r="H15932" s="1" t="str">
        <f>"우이간 4R6"</f>
        <v>우이간 4R6</v>
      </c>
      <c r="I15932" s="1" t="s">
        <v>8</v>
      </c>
      <c r="J15932" s="1" t="str">
        <f>"56/57"</f>
        <v>56/57</v>
      </c>
      <c r="K15932" s="1" t="str">
        <f>"2026-07-29 13:18:01"</f>
        <v>2026-07-29 13:18:01</v>
      </c>
      <c r="L15932" s="1" t="str">
        <f>"2019-12-13 12:05:20"</f>
        <v>2019-12-13 12:05:20</v>
      </c>
      <c r="M15932" s="1" t="s">
        <v>45</v>
      </c>
      <c r="N15932" s="1" t="s">
        <v>38</v>
      </c>
      <c r="O15932" s="1" t="s">
        <v>46</v>
      </c>
    </row>
    <row r="15933" spans="2:15" x14ac:dyDescent="0.3">
      <c r="B15933" s="1" t="s">
        <v>19</v>
      </c>
      <c r="C15933" s="1" t="str">
        <f t="shared" si="794"/>
        <v>4차</v>
      </c>
      <c r="D15933" s="1" t="str">
        <f>"0130D84144"</f>
        <v>0130D84144</v>
      </c>
      <c r="E15933" s="1" t="s">
        <v>10</v>
      </c>
      <c r="F15933" s="1" t="str">
        <f>"10.107.252.171"</f>
        <v>10.107.252.171</v>
      </c>
      <c r="G15933" s="1" t="str">
        <f>"0130D841"</f>
        <v>0130D841</v>
      </c>
      <c r="H15933" s="1" t="str">
        <f>"우이간 12R2"</f>
        <v>우이간 12R2</v>
      </c>
      <c r="I15933" s="1" t="s">
        <v>8</v>
      </c>
      <c r="J15933" s="1" t="str">
        <f>"69/69"</f>
        <v>69/69</v>
      </c>
      <c r="K15933" s="1" t="str">
        <f>"2026-07-29 13:18:01"</f>
        <v>2026-07-29 13:18:01</v>
      </c>
      <c r="L15933" s="1" t="str">
        <f>"2019-11-20 12:19:22"</f>
        <v>2019-11-20 12:19:22</v>
      </c>
      <c r="M15933" s="1" t="s">
        <v>45</v>
      </c>
      <c r="N15933" s="1" t="s">
        <v>38</v>
      </c>
      <c r="O15933" s="1" t="s">
        <v>46</v>
      </c>
    </row>
    <row r="15934" spans="2:15" x14ac:dyDescent="0.3">
      <c r="B15934" s="1" t="s">
        <v>19</v>
      </c>
      <c r="C15934" s="1" t="str">
        <f t="shared" si="794"/>
        <v>4차</v>
      </c>
      <c r="D15934" s="1" t="str">
        <f>"0130D85144"</f>
        <v>0130D85144</v>
      </c>
      <c r="E15934" s="1" t="s">
        <v>10</v>
      </c>
      <c r="F15934" s="1" t="str">
        <f>"10.107.252.174"</f>
        <v>10.107.252.174</v>
      </c>
      <c r="G15934" s="1" t="str">
        <f>"0130D851"</f>
        <v>0130D851</v>
      </c>
      <c r="H15934" s="1" t="str">
        <f>"우이간 12R4R2R1"</f>
        <v>우이간 12R4R2R1</v>
      </c>
      <c r="I15934" s="1" t="s">
        <v>8</v>
      </c>
      <c r="J15934" s="1" t="str">
        <f>"54/54"</f>
        <v>54/54</v>
      </c>
      <c r="K15934" s="1" t="str">
        <f>"2026-07-29 13:18:02"</f>
        <v>2026-07-29 13:18:02</v>
      </c>
      <c r="L15934" s="1" t="str">
        <f>"2019-11-20 13:46:21"</f>
        <v>2019-11-20 13:46:21</v>
      </c>
      <c r="M15934" s="1" t="s">
        <v>45</v>
      </c>
      <c r="N15934" s="1" t="s">
        <v>38</v>
      </c>
      <c r="O15934" s="1" t="s">
        <v>46</v>
      </c>
    </row>
    <row r="15935" spans="2:15" x14ac:dyDescent="0.3">
      <c r="B15935" s="1" t="s">
        <v>19</v>
      </c>
      <c r="C15935" s="1" t="str">
        <f t="shared" si="794"/>
        <v>4차</v>
      </c>
      <c r="D15935" s="1" t="str">
        <f>"0130D86344"</f>
        <v>0130D86344</v>
      </c>
      <c r="E15935" s="1" t="s">
        <v>10</v>
      </c>
      <c r="F15935" s="1" t="str">
        <f>"10.107.252.226"</f>
        <v>10.107.252.226</v>
      </c>
      <c r="G15935" s="1" t="str">
        <f>"0130D863"</f>
        <v>0130D863</v>
      </c>
      <c r="H15935" s="1" t="str">
        <f>"우이간 12R4R3"</f>
        <v>우이간 12R4R3</v>
      </c>
      <c r="I15935" s="1" t="s">
        <v>8</v>
      </c>
      <c r="J15935" s="1" t="str">
        <f>"47/47"</f>
        <v>47/47</v>
      </c>
      <c r="K15935" s="1" t="str">
        <f>"2026-07-29 13:18:02"</f>
        <v>2026-07-29 13:18:02</v>
      </c>
      <c r="L15935" s="1" t="str">
        <f>"2019-11-20 15:03:09"</f>
        <v>2019-11-20 15:03:09</v>
      </c>
      <c r="M15935" s="1" t="s">
        <v>45</v>
      </c>
      <c r="N15935" s="1" t="s">
        <v>38</v>
      </c>
      <c r="O15935" s="1" t="s">
        <v>46</v>
      </c>
    </row>
    <row r="15936" spans="2:15" x14ac:dyDescent="0.3">
      <c r="B15936" s="1" t="s">
        <v>19</v>
      </c>
      <c r="C15936" s="1" t="str">
        <f t="shared" si="794"/>
        <v>4차</v>
      </c>
      <c r="D15936" s="1" t="str">
        <f>"0130D88144"</f>
        <v>0130D88144</v>
      </c>
      <c r="E15936" s="1" t="str">
        <f>"검침실패(3시간 이상)"</f>
        <v>검침실패(3시간 이상)</v>
      </c>
      <c r="F15936" s="1" t="str">
        <f>"10.107.124.80"</f>
        <v>10.107.124.80</v>
      </c>
      <c r="G15936" s="1" t="str">
        <f>"0130D881"</f>
        <v>0130D881</v>
      </c>
      <c r="H15936" s="1" t="str">
        <f>"우이간 4R5L2"</f>
        <v>우이간 4R5L2</v>
      </c>
      <c r="I15936" s="1" t="s">
        <v>8</v>
      </c>
      <c r="J15936" s="1" t="str">
        <f>"0/42"</f>
        <v>0/42</v>
      </c>
      <c r="K15936" s="1" t="str">
        <f>"2026-07-27 07:18:02"</f>
        <v>2026-07-27 07:18:02</v>
      </c>
      <c r="L15936" s="1" t="str">
        <f>"2019-12-13 12:09:19"</f>
        <v>2019-12-13 12:09:19</v>
      </c>
      <c r="M15936" s="1" t="s">
        <v>45</v>
      </c>
      <c r="N15936" s="1" t="s">
        <v>38</v>
      </c>
      <c r="O15936" s="1" t="s">
        <v>46</v>
      </c>
    </row>
    <row r="15937" spans="2:15" x14ac:dyDescent="0.3">
      <c r="B15937" s="1" t="s">
        <v>19</v>
      </c>
      <c r="C15937" s="1" t="str">
        <f t="shared" si="794"/>
        <v>4차</v>
      </c>
      <c r="D15937" s="1" t="str">
        <f>"0130D88244"</f>
        <v>0130D88244</v>
      </c>
      <c r="E15937" s="1" t="s">
        <v>10</v>
      </c>
      <c r="F15937" s="1" t="str">
        <f>"10.107.124.81"</f>
        <v>10.107.124.81</v>
      </c>
      <c r="G15937" s="1" t="str">
        <f>"0130D882"</f>
        <v>0130D882</v>
      </c>
      <c r="H15937" s="1" t="str">
        <f>"우이간 4R5L2L1"</f>
        <v>우이간 4R5L2L1</v>
      </c>
      <c r="I15937" s="1" t="s">
        <v>8</v>
      </c>
      <c r="J15937" s="1" t="str">
        <f>"17/18"</f>
        <v>17/18</v>
      </c>
      <c r="K15937" s="1" t="str">
        <f>"2026-07-29 13:18:01"</f>
        <v>2026-07-29 13:18:01</v>
      </c>
      <c r="L15937" s="1" t="str">
        <f>"2019-12-13 12:09:18"</f>
        <v>2019-12-13 12:09:18</v>
      </c>
      <c r="M15937" s="1" t="s">
        <v>45</v>
      </c>
      <c r="N15937" s="1" t="s">
        <v>38</v>
      </c>
      <c r="O15937" s="1" t="s">
        <v>46</v>
      </c>
    </row>
    <row r="15938" spans="2:15" x14ac:dyDescent="0.3">
      <c r="B15938" s="1" t="s">
        <v>19</v>
      </c>
      <c r="C15938" s="1" t="str">
        <f t="shared" si="794"/>
        <v>4차</v>
      </c>
      <c r="D15938" s="1" t="str">
        <f>"0130D89144"</f>
        <v>0130D89144</v>
      </c>
      <c r="E15938" s="1" t="s">
        <v>10</v>
      </c>
      <c r="F15938" s="1" t="str">
        <f>"10.107.124.79"</f>
        <v>10.107.124.79</v>
      </c>
      <c r="G15938" s="1" t="str">
        <f>"0130D891"</f>
        <v>0130D891</v>
      </c>
      <c r="H15938" s="1" t="str">
        <f>"우이간 4R5"</f>
        <v>우이간 4R5</v>
      </c>
      <c r="I15938" s="1" t="s">
        <v>8</v>
      </c>
      <c r="J15938" s="1" t="str">
        <f>"45/46"</f>
        <v>45/46</v>
      </c>
      <c r="K15938" s="1" t="str">
        <f>"2026-07-29 13:18:01"</f>
        <v>2026-07-29 13:18:01</v>
      </c>
      <c r="L15938" s="1" t="str">
        <f>"2019-12-13 09:15:53"</f>
        <v>2019-12-13 09:15:53</v>
      </c>
      <c r="M15938" s="1" t="s">
        <v>45</v>
      </c>
      <c r="N15938" s="1" t="s">
        <v>38</v>
      </c>
      <c r="O15938" s="1" t="s">
        <v>46</v>
      </c>
    </row>
    <row r="15939" spans="2:15" x14ac:dyDescent="0.3">
      <c r="B15939" s="1" t="s">
        <v>19</v>
      </c>
      <c r="C15939" s="1" t="str">
        <f t="shared" si="794"/>
        <v>4차</v>
      </c>
      <c r="D15939" s="1" t="str">
        <f>"0130D90539"</f>
        <v>0130D90539</v>
      </c>
      <c r="E15939" s="1" t="s">
        <v>10</v>
      </c>
      <c r="F15939" s="1" t="str">
        <f>"10.12.135.33"</f>
        <v>10.12.135.33</v>
      </c>
      <c r="G15939" s="1" t="str">
        <f>"0130D905"</f>
        <v>0130D905</v>
      </c>
      <c r="H15939" s="1" t="str">
        <f>"사일구 8"</f>
        <v>사일구 8</v>
      </c>
      <c r="I15939" s="1" t="s">
        <v>17</v>
      </c>
      <c r="J15939" s="1" t="str">
        <f>"1/1"</f>
        <v>1/1</v>
      </c>
      <c r="K15939" s="1" t="str">
        <f>"2026-07-29 13:18:03"</f>
        <v>2026-07-29 13:18:03</v>
      </c>
      <c r="L15939" s="1" t="str">
        <f>"2018-05-28 11:16:41"</f>
        <v>2018-05-28 11:16:41</v>
      </c>
      <c r="M15939" s="1" t="s">
        <v>0</v>
      </c>
      <c r="N15939" s="1" t="s">
        <v>38</v>
      </c>
      <c r="O15939" s="1" t="s">
        <v>46</v>
      </c>
    </row>
    <row r="15940" spans="2:15" x14ac:dyDescent="0.3">
      <c r="B15940" s="1" t="s">
        <v>19</v>
      </c>
      <c r="C15940" s="1" t="str">
        <f t="shared" si="794"/>
        <v>4차</v>
      </c>
      <c r="D15940" s="1" t="str">
        <f>"0130D96144"</f>
        <v>0130D96144</v>
      </c>
      <c r="E15940" s="1" t="s">
        <v>10</v>
      </c>
      <c r="F15940" s="1" t="str">
        <f>"10.107.252.227"</f>
        <v>10.107.252.227</v>
      </c>
      <c r="G15940" s="1" t="str">
        <f>"0130D961"</f>
        <v>0130D961</v>
      </c>
      <c r="H15940" s="1" t="str">
        <f>"우이간 12R4R3R1"</f>
        <v>우이간 12R4R3R1</v>
      </c>
      <c r="I15940" s="1" t="s">
        <v>8</v>
      </c>
      <c r="J15940" s="1" t="str">
        <f>"76/76"</f>
        <v>76/76</v>
      </c>
      <c r="K15940" s="1" t="str">
        <f>"2026-07-29 13:18:01"</f>
        <v>2026-07-29 13:18:01</v>
      </c>
      <c r="L15940" s="1" t="str">
        <f>"2019-11-20 14:30:55"</f>
        <v>2019-11-20 14:30:55</v>
      </c>
      <c r="M15940" s="1" t="s">
        <v>45</v>
      </c>
      <c r="N15940" s="1" t="s">
        <v>38</v>
      </c>
      <c r="O15940" s="1" t="s">
        <v>46</v>
      </c>
    </row>
    <row r="15941" spans="2:15" x14ac:dyDescent="0.3">
      <c r="B15941" s="1" t="s">
        <v>19</v>
      </c>
      <c r="C15941" s="1" t="str">
        <f t="shared" si="794"/>
        <v>4차</v>
      </c>
      <c r="D15941" s="1" t="str">
        <f>"0130D97142"</f>
        <v>0130D97142</v>
      </c>
      <c r="E15941" s="1" t="s">
        <v>10</v>
      </c>
      <c r="F15941" s="1" t="str">
        <f>"10.12.130.168"</f>
        <v>10.12.130.168</v>
      </c>
      <c r="G15941" s="1" t="str">
        <f>"0130D971"</f>
        <v>0130D971</v>
      </c>
      <c r="H15941" s="1" t="str">
        <f>"우이간 7R3"</f>
        <v>우이간 7R3</v>
      </c>
      <c r="I15941" s="1" t="s">
        <v>8</v>
      </c>
      <c r="J15941" s="1" t="str">
        <f>"31/31"</f>
        <v>31/31</v>
      </c>
      <c r="K15941" s="1" t="str">
        <f>"2026-07-29 13:18:01"</f>
        <v>2026-07-29 13:18:01</v>
      </c>
      <c r="L15941" s="1" t="str">
        <f>"2024-12-23 10:15:38"</f>
        <v>2024-12-23 10:15:38</v>
      </c>
      <c r="M15941" s="1" t="s">
        <v>0</v>
      </c>
      <c r="N15941" s="1" t="s">
        <v>38</v>
      </c>
      <c r="O15941" s="1" t="s">
        <v>46</v>
      </c>
    </row>
    <row r="15942" spans="2:15" x14ac:dyDescent="0.3">
      <c r="B15942" s="1" t="s">
        <v>19</v>
      </c>
      <c r="C15942" s="1" t="str">
        <f>"6차"</f>
        <v>6차</v>
      </c>
      <c r="D15942" s="1" t="str">
        <f>"0130D9826S"</f>
        <v>0130D9826S</v>
      </c>
      <c r="E15942" s="1" t="s">
        <v>10</v>
      </c>
      <c r="F15942" s="1" t="str">
        <f>"fde1:103:4:92ec:0:0:0:2"</f>
        <v>fde1:103:4:92ec:0:0:0:2</v>
      </c>
      <c r="G15942" s="1" t="str">
        <f>"0130D982"</f>
        <v>0130D982</v>
      </c>
      <c r="H15942" s="1" t="str">
        <f>"우이간 4R3"</f>
        <v>우이간 4R3</v>
      </c>
      <c r="I15942" s="1" t="s">
        <v>15</v>
      </c>
      <c r="J15942" s="1" t="str">
        <f>"88/89"</f>
        <v>88/89</v>
      </c>
      <c r="K15942" s="1" t="str">
        <f>"2026-07-29 14:20:16"</f>
        <v>2026-07-29 14:20:16</v>
      </c>
      <c r="L15942" s="1" t="str">
        <f>"2025-02-11 18:11:11"</f>
        <v>2025-02-11 18:11:11</v>
      </c>
      <c r="M15942" s="1" t="s">
        <v>4</v>
      </c>
      <c r="N15942" s="1" t="s">
        <v>38</v>
      </c>
      <c r="O15942" s="1" t="s">
        <v>46</v>
      </c>
    </row>
    <row r="15943" spans="2:15" x14ac:dyDescent="0.3">
      <c r="B15943" s="1" t="s">
        <v>19</v>
      </c>
      <c r="C15943" s="1" t="str">
        <f>"3차"</f>
        <v>3차</v>
      </c>
      <c r="D15943" s="1" t="str">
        <f>"0130E11239"</f>
        <v>0130E11239</v>
      </c>
      <c r="E15943" s="1" t="s">
        <v>10</v>
      </c>
      <c r="F15943" s="1" t="str">
        <f>"10.12.137.124"</f>
        <v>10.12.137.124</v>
      </c>
      <c r="G15943" s="1" t="str">
        <f>"0130E112"</f>
        <v>0130E112</v>
      </c>
      <c r="H15943" s="1" t="str">
        <f>"우이간 4R11R4"</f>
        <v>우이간 4R11R4</v>
      </c>
      <c r="I15943" s="1" t="s">
        <v>8</v>
      </c>
      <c r="J15943" s="1" t="str">
        <f>"16/16"</f>
        <v>16/16</v>
      </c>
      <c r="K15943" s="1" t="str">
        <f>"2026-07-29 13:18:02"</f>
        <v>2026-07-29 13:18:02</v>
      </c>
      <c r="L15943" s="1" t="str">
        <f>"2018-04-21 09:54:55"</f>
        <v>2018-04-21 09:54:55</v>
      </c>
      <c r="M15943" s="1" t="s">
        <v>0</v>
      </c>
      <c r="N15943" s="1" t="s">
        <v>38</v>
      </c>
      <c r="O15943" s="1" t="s">
        <v>46</v>
      </c>
    </row>
    <row r="15944" spans="2:15" x14ac:dyDescent="0.3">
      <c r="B15944" s="1" t="s">
        <v>19</v>
      </c>
      <c r="C15944" s="1" t="str">
        <f>"1차"</f>
        <v>1차</v>
      </c>
      <c r="D15944" s="1" t="str">
        <f>"0130G00100"</f>
        <v>0130G00100</v>
      </c>
      <c r="E15944" s="1" t="s">
        <v>10</v>
      </c>
      <c r="F15944" s="1" t="str">
        <f>"10.107.121.11"</f>
        <v>10.107.121.11</v>
      </c>
      <c r="G15944" s="1" t="str">
        <f>"0130G001"</f>
        <v>0130G001</v>
      </c>
      <c r="H15944" s="1" t="str">
        <f>"구청지 26L3L1L1"</f>
        <v>구청지 26L3L1L1</v>
      </c>
      <c r="I15944" s="1" t="s">
        <v>8</v>
      </c>
      <c r="J15944" s="1" t="str">
        <f>"33/33"</f>
        <v>33/33</v>
      </c>
      <c r="K15944" s="1" t="str">
        <f>"2026-07-29 13:18:02"</f>
        <v>2026-07-29 13:18:02</v>
      </c>
      <c r="L15944" s="1" t="str">
        <f>"2014-11-04 00:13:21"</f>
        <v>2014-11-04 00:13:21</v>
      </c>
      <c r="M15944" s="1" t="s">
        <v>45</v>
      </c>
      <c r="N15944" s="1" t="s">
        <v>38</v>
      </c>
      <c r="O15944" s="1" t="s">
        <v>46</v>
      </c>
    </row>
    <row r="15945" spans="2:15" x14ac:dyDescent="0.3">
      <c r="B15945" s="1" t="s">
        <v>19</v>
      </c>
      <c r="C15945" s="1" t="str">
        <f>"6차"</f>
        <v>6차</v>
      </c>
      <c r="D15945" s="1" t="str">
        <f>"0130G0116M"</f>
        <v>0130G0116M</v>
      </c>
      <c r="E15945" s="1" t="s">
        <v>10</v>
      </c>
      <c r="F15945" s="1" t="str">
        <f>"fde1:103:4:c7d1:0:0:0:2"</f>
        <v>fde1:103:4:c7d1:0:0:0:2</v>
      </c>
      <c r="G15945" s="1" t="str">
        <f>"0130G011"</f>
        <v>0130G011</v>
      </c>
      <c r="H15945" s="1" t="str">
        <f>"구청지 26L3L2L1"</f>
        <v>구청지 26L3L2L1</v>
      </c>
      <c r="I15945" s="1" t="s">
        <v>15</v>
      </c>
      <c r="J15945" s="1" t="str">
        <f>"67/67"</f>
        <v>67/67</v>
      </c>
      <c r="K15945" s="1" t="str">
        <f>"2026-07-29 14:20:59"</f>
        <v>2026-07-29 14:20:59</v>
      </c>
      <c r="L15945" s="1" t="str">
        <f>"2024-12-02 13:46:16"</f>
        <v>2024-12-02 13:46:16</v>
      </c>
      <c r="M15945" s="1" t="s">
        <v>4</v>
      </c>
      <c r="N15945" s="1" t="s">
        <v>38</v>
      </c>
      <c r="O15945" s="1" t="s">
        <v>46</v>
      </c>
    </row>
    <row r="15946" spans="2:15" x14ac:dyDescent="0.3">
      <c r="B15946" s="1" t="s">
        <v>19</v>
      </c>
      <c r="C15946" s="1" t="str">
        <f>"4차"</f>
        <v>4차</v>
      </c>
      <c r="D15946" s="1" t="str">
        <f>"0130G01539"</f>
        <v>0130G01539</v>
      </c>
      <c r="E15946" s="1" t="s">
        <v>10</v>
      </c>
      <c r="F15946" s="1" t="str">
        <f>"10.12.129.221"</f>
        <v>10.12.129.221</v>
      </c>
      <c r="G15946" s="1" t="str">
        <f>"0130G015"</f>
        <v>0130G015</v>
      </c>
      <c r="H15946" s="1" t="str">
        <f>"구청지 26L3L1L2"</f>
        <v>구청지 26L3L1L2</v>
      </c>
      <c r="I15946" s="1" t="s">
        <v>8</v>
      </c>
      <c r="J15946" s="1" t="str">
        <f>"43/43"</f>
        <v>43/43</v>
      </c>
      <c r="K15946" s="1" t="str">
        <f>"2026-07-29 13:18:03"</f>
        <v>2026-07-29 13:18:03</v>
      </c>
      <c r="L15946" s="1" t="str">
        <f>"2023-07-20 10:05:03"</f>
        <v>2023-07-20 10:05:03</v>
      </c>
      <c r="M15946" s="1" t="s">
        <v>0</v>
      </c>
      <c r="N15946" s="1" t="s">
        <v>38</v>
      </c>
      <c r="O15946" s="1" t="s">
        <v>46</v>
      </c>
    </row>
    <row r="15947" spans="2:15" x14ac:dyDescent="0.3">
      <c r="B15947" s="1" t="s">
        <v>19</v>
      </c>
      <c r="C15947" s="1" t="str">
        <f>"1차"</f>
        <v>1차</v>
      </c>
      <c r="D15947" s="1" t="str">
        <f>"0130G02100"</f>
        <v>0130G02100</v>
      </c>
      <c r="E15947" s="1" t="s">
        <v>10</v>
      </c>
      <c r="F15947" s="1" t="str">
        <f>"10.107.122.13"</f>
        <v>10.107.122.13</v>
      </c>
      <c r="G15947" s="1" t="str">
        <f>"0130G021"</f>
        <v>0130G021</v>
      </c>
      <c r="H15947" s="1" t="str">
        <f>"구청지 19"</f>
        <v>구청지 19</v>
      </c>
      <c r="I15947" s="1" t="s">
        <v>8</v>
      </c>
      <c r="J15947" s="1" t="str">
        <f>"9/9"</f>
        <v>9/9</v>
      </c>
      <c r="K15947" s="1" t="str">
        <f>"2026-07-29 13:18:01"</f>
        <v>2026-07-29 13:18:01</v>
      </c>
      <c r="L15947" s="1" t="str">
        <f>"2014-11-13 17:45:21"</f>
        <v>2014-11-13 17:45:21</v>
      </c>
      <c r="M15947" s="1" t="s">
        <v>45</v>
      </c>
      <c r="N15947" s="1" t="s">
        <v>38</v>
      </c>
      <c r="O15947" s="1" t="s">
        <v>46</v>
      </c>
    </row>
    <row r="15948" spans="2:15" x14ac:dyDescent="0.3">
      <c r="B15948" s="1" t="s">
        <v>19</v>
      </c>
      <c r="C15948" s="1" t="str">
        <f>"4차"</f>
        <v>4차</v>
      </c>
      <c r="D15948" s="1" t="str">
        <f>"0130G02239"</f>
        <v>0130G02239</v>
      </c>
      <c r="E15948" s="1" t="s">
        <v>10</v>
      </c>
      <c r="F15948" s="1" t="str">
        <f>"10.12.129.27"</f>
        <v>10.12.129.27</v>
      </c>
      <c r="G15948" s="1" t="str">
        <f>"0130G022"</f>
        <v>0130G022</v>
      </c>
      <c r="H15948" s="1" t="str">
        <f>"구청지 20"</f>
        <v>구청지 20</v>
      </c>
      <c r="I15948" s="1" t="s">
        <v>8</v>
      </c>
      <c r="J15948" s="1" t="str">
        <f>"48/48"</f>
        <v>48/48</v>
      </c>
      <c r="K15948" s="1" t="str">
        <f>"2026-07-29 13:18:03"</f>
        <v>2026-07-29 13:18:03</v>
      </c>
      <c r="L15948" s="1" t="str">
        <f>"2024-03-08 16:05:31"</f>
        <v>2024-03-08 16:05:31</v>
      </c>
      <c r="M15948" s="1" t="s">
        <v>0</v>
      </c>
      <c r="N15948" s="1" t="s">
        <v>38</v>
      </c>
      <c r="O15948" s="1" t="s">
        <v>46</v>
      </c>
    </row>
    <row r="15949" spans="2:15" x14ac:dyDescent="0.3">
      <c r="B15949" s="1" t="s">
        <v>19</v>
      </c>
      <c r="C15949" s="1" t="str">
        <f>"4차"</f>
        <v>4차</v>
      </c>
      <c r="D15949" s="1" t="str">
        <f>"0130G04144"</f>
        <v>0130G04144</v>
      </c>
      <c r="E15949" s="1" t="s">
        <v>10</v>
      </c>
      <c r="F15949" s="1" t="str">
        <f>"10.107.122.16"</f>
        <v>10.107.122.16</v>
      </c>
      <c r="G15949" s="1" t="str">
        <f>"0130G041"</f>
        <v>0130G041</v>
      </c>
      <c r="H15949" s="1" t="str">
        <f>"구청지 17R3"</f>
        <v>구청지 17R3</v>
      </c>
      <c r="I15949" s="1" t="s">
        <v>8</v>
      </c>
      <c r="J15949" s="1" t="str">
        <f>"181/188"</f>
        <v>181/188</v>
      </c>
      <c r="K15949" s="1" t="str">
        <f>"2026-07-29 13:18:02"</f>
        <v>2026-07-29 13:18:02</v>
      </c>
      <c r="L15949" s="1" t="str">
        <f>"2023-09-22 17:14:57"</f>
        <v>2023-09-22 17:14:57</v>
      </c>
      <c r="M15949" s="1" t="s">
        <v>45</v>
      </c>
      <c r="N15949" s="1" t="s">
        <v>38</v>
      </c>
      <c r="O15949" s="1" t="s">
        <v>46</v>
      </c>
    </row>
    <row r="15950" spans="2:15" x14ac:dyDescent="0.3">
      <c r="B15950" s="1" t="s">
        <v>19</v>
      </c>
      <c r="C15950" s="1" t="str">
        <f>"4차"</f>
        <v>4차</v>
      </c>
      <c r="D15950" s="1" t="str">
        <f>"0130G05244"</f>
        <v>0130G05244</v>
      </c>
      <c r="E15950" s="1" t="s">
        <v>10</v>
      </c>
      <c r="F15950" s="1" t="str">
        <f>"10.107.122.17"</f>
        <v>10.107.122.17</v>
      </c>
      <c r="G15950" s="1" t="str">
        <f>"0130G052"</f>
        <v>0130G052</v>
      </c>
      <c r="H15950" s="1" t="str">
        <f>"구청지 23R4"</f>
        <v>구청지 23R4</v>
      </c>
      <c r="I15950" s="1" t="s">
        <v>8</v>
      </c>
      <c r="J15950" s="1" t="str">
        <f>"16/16"</f>
        <v>16/16</v>
      </c>
      <c r="K15950" s="1" t="str">
        <f>"2026-07-29 13:18:02"</f>
        <v>2026-07-29 13:18:02</v>
      </c>
      <c r="L15950" s="1" t="str">
        <f>"2019-10-18 19:19:07"</f>
        <v>2019-10-18 19:19:07</v>
      </c>
      <c r="M15950" s="1" t="s">
        <v>45</v>
      </c>
      <c r="N15950" s="1" t="s">
        <v>38</v>
      </c>
      <c r="O15950" s="1" t="s">
        <v>46</v>
      </c>
    </row>
    <row r="15951" spans="2:15" x14ac:dyDescent="0.3">
      <c r="B15951" s="1" t="s">
        <v>19</v>
      </c>
      <c r="C15951" s="1" t="str">
        <f>"4차"</f>
        <v>4차</v>
      </c>
      <c r="D15951" s="1" t="str">
        <f>"0130G06242"</f>
        <v>0130G06242</v>
      </c>
      <c r="E15951" s="1" t="s">
        <v>10</v>
      </c>
      <c r="F15951" s="1" t="str">
        <f>"10.107.124.66"</f>
        <v>10.107.124.66</v>
      </c>
      <c r="G15951" s="1" t="str">
        <f>"0130G062"</f>
        <v>0130G062</v>
      </c>
      <c r="H15951" s="1" t="str">
        <f>"우이간 7R1"</f>
        <v>우이간 7R1</v>
      </c>
      <c r="I15951" s="1" t="s">
        <v>8</v>
      </c>
      <c r="J15951" s="1" t="str">
        <f>"41/41"</f>
        <v>41/41</v>
      </c>
      <c r="K15951" s="1" t="str">
        <f>"2026-07-29 13:18:02"</f>
        <v>2026-07-29 13:18:02</v>
      </c>
      <c r="L15951" s="1" t="str">
        <f>"2024-12-31 17:01:01"</f>
        <v>2024-12-31 17:01:01</v>
      </c>
      <c r="M15951" s="1" t="s">
        <v>45</v>
      </c>
      <c r="N15951" s="1" t="s">
        <v>38</v>
      </c>
      <c r="O15951" s="1" t="s">
        <v>46</v>
      </c>
    </row>
    <row r="15952" spans="2:15" x14ac:dyDescent="0.3">
      <c r="B15952" s="1" t="s">
        <v>19</v>
      </c>
      <c r="C15952" s="1" t="str">
        <f>"6차"</f>
        <v>6차</v>
      </c>
      <c r="D15952" s="1" t="str">
        <f>"0130G0846S"</f>
        <v>0130G0846S</v>
      </c>
      <c r="E15952" s="1" t="s">
        <v>10</v>
      </c>
      <c r="F15952" s="1" t="str">
        <f>"fde1:103:4:92ed:0:0:0:2"</f>
        <v>fde1:103:4:92ed:0:0:0:2</v>
      </c>
      <c r="G15952" s="1" t="str">
        <f>"0130G084"</f>
        <v>0130G084</v>
      </c>
      <c r="H15952" s="1" t="str">
        <f>"우이간 4R1"</f>
        <v>우이간 4R1</v>
      </c>
      <c r="I15952" s="1" t="s">
        <v>15</v>
      </c>
      <c r="J15952" s="1" t="str">
        <f>"29/29"</f>
        <v>29/29</v>
      </c>
      <c r="K15952" s="1" t="str">
        <f>"2026-07-29 14:21:04"</f>
        <v>2026-07-29 14:21:04</v>
      </c>
      <c r="L15952" s="1" t="str">
        <f>"2025-02-11 18:11:09"</f>
        <v>2025-02-11 18:11:09</v>
      </c>
      <c r="M15952" s="1" t="s">
        <v>4</v>
      </c>
      <c r="N15952" s="1" t="s">
        <v>38</v>
      </c>
      <c r="O15952" s="1" t="s">
        <v>46</v>
      </c>
    </row>
    <row r="15953" spans="2:15" x14ac:dyDescent="0.3">
      <c r="B15953" s="1" t="s">
        <v>19</v>
      </c>
      <c r="C15953" s="1" t="str">
        <f>"4차"</f>
        <v>4차</v>
      </c>
      <c r="D15953" s="1" t="str">
        <f>"0130G09344"</f>
        <v>0130G09344</v>
      </c>
      <c r="E15953" s="1" t="s">
        <v>10</v>
      </c>
      <c r="F15953" s="1" t="str">
        <f>"10.107.124.78"</f>
        <v>10.107.124.78</v>
      </c>
      <c r="G15953" s="1" t="str">
        <f>"0130G093"</f>
        <v>0130G093</v>
      </c>
      <c r="H15953" s="1" t="str">
        <f>"우이간 4R1R2"</f>
        <v>우이간 4R1R2</v>
      </c>
      <c r="I15953" s="1" t="s">
        <v>8</v>
      </c>
      <c r="J15953" s="1" t="str">
        <f>"75/75"</f>
        <v>75/75</v>
      </c>
      <c r="K15953" s="1" t="str">
        <f>"2026-07-29 13:18:02"</f>
        <v>2026-07-29 13:18:02</v>
      </c>
      <c r="L15953" s="1" t="str">
        <f>"2019-12-13 09:00:08"</f>
        <v>2019-12-13 09:00:08</v>
      </c>
      <c r="M15953" s="1" t="s">
        <v>45</v>
      </c>
      <c r="N15953" s="1" t="s">
        <v>38</v>
      </c>
      <c r="O15953" s="1" t="s">
        <v>46</v>
      </c>
    </row>
    <row r="15954" spans="2:15" x14ac:dyDescent="0.3">
      <c r="B15954" s="1" t="s">
        <v>19</v>
      </c>
      <c r="C15954" s="1" t="str">
        <f>"4차"</f>
        <v>4차</v>
      </c>
      <c r="D15954" s="1" t="str">
        <f>"0130G12244"</f>
        <v>0130G12244</v>
      </c>
      <c r="E15954" s="1" t="s">
        <v>10</v>
      </c>
      <c r="F15954" s="1" t="str">
        <f>"10.12.138.177"</f>
        <v>10.12.138.177</v>
      </c>
      <c r="G15954" s="1" t="str">
        <f>"0130G122"</f>
        <v>0130G122</v>
      </c>
      <c r="H15954" s="1" t="str">
        <f>"구청지 18"</f>
        <v>구청지 18</v>
      </c>
      <c r="I15954" s="1" t="s">
        <v>8</v>
      </c>
      <c r="J15954" s="1" t="str">
        <f>"44/44"</f>
        <v>44/44</v>
      </c>
      <c r="K15954" s="1" t="str">
        <f>"2026-07-29 13:18:03"</f>
        <v>2026-07-29 13:18:03</v>
      </c>
      <c r="L15954" s="1" t="str">
        <f>"2023-11-02 17:41:02"</f>
        <v>2023-11-02 17:41:02</v>
      </c>
      <c r="M15954" s="1" t="s">
        <v>0</v>
      </c>
      <c r="N15954" s="1" t="s">
        <v>38</v>
      </c>
      <c r="O15954" s="1" t="s">
        <v>46</v>
      </c>
    </row>
    <row r="15955" spans="2:15" x14ac:dyDescent="0.3">
      <c r="B15955" s="1" t="s">
        <v>19</v>
      </c>
      <c r="C15955" s="1" t="str">
        <f>"1차"</f>
        <v>1차</v>
      </c>
      <c r="D15955" s="1" t="str">
        <f>"0130G12300"</f>
        <v>0130G12300</v>
      </c>
      <c r="E15955" s="1" t="s">
        <v>10</v>
      </c>
      <c r="F15955" s="1" t="str">
        <f>"10.107.122.18"</f>
        <v>10.107.122.18</v>
      </c>
      <c r="G15955" s="1" t="str">
        <f>"0130G123"</f>
        <v>0130G123</v>
      </c>
      <c r="H15955" s="1" t="str">
        <f>"구청지 17"</f>
        <v>구청지 17</v>
      </c>
      <c r="I15955" s="1" t="s">
        <v>8</v>
      </c>
      <c r="J15955" s="1" t="str">
        <f>"26/26"</f>
        <v>26/26</v>
      </c>
      <c r="K15955" s="1" t="str">
        <f>"2026-07-29 13:18:02"</f>
        <v>2026-07-29 13:18:02</v>
      </c>
      <c r="L15955" s="1" t="str">
        <f>"2014-10-30 16:16:42"</f>
        <v>2014-10-30 16:16:42</v>
      </c>
      <c r="M15955" s="1" t="s">
        <v>45</v>
      </c>
      <c r="N15955" s="1" t="s">
        <v>38</v>
      </c>
      <c r="O15955" s="1" t="s">
        <v>46</v>
      </c>
    </row>
    <row r="15956" spans="2:15" x14ac:dyDescent="0.3">
      <c r="B15956" s="1" t="s">
        <v>19</v>
      </c>
      <c r="C15956" s="1" t="str">
        <f>"4차"</f>
        <v>4차</v>
      </c>
      <c r="D15956" s="1" t="str">
        <f>"0130G16444"</f>
        <v>0130G16444</v>
      </c>
      <c r="E15956" s="1" t="s">
        <v>10</v>
      </c>
      <c r="F15956" s="1" t="str">
        <f>"10.107.122.20"</f>
        <v>10.107.122.20</v>
      </c>
      <c r="G15956" s="1" t="str">
        <f>"0130G164"</f>
        <v>0130G164</v>
      </c>
      <c r="H15956" s="1" t="str">
        <f>"구청지 14R3L2"</f>
        <v>구청지 14R3L2</v>
      </c>
      <c r="I15956" s="1" t="s">
        <v>8</v>
      </c>
      <c r="J15956" s="1" t="str">
        <f>"53/53"</f>
        <v>53/53</v>
      </c>
      <c r="K15956" s="1" t="str">
        <f>"2026-07-29 13:18:02"</f>
        <v>2026-07-29 13:18:02</v>
      </c>
      <c r="L15956" s="1" t="str">
        <f>"2019-10-18 19:31:39"</f>
        <v>2019-10-18 19:31:39</v>
      </c>
      <c r="M15956" s="1" t="s">
        <v>45</v>
      </c>
      <c r="N15956" s="1" t="s">
        <v>38</v>
      </c>
      <c r="O15956" s="1" t="s">
        <v>46</v>
      </c>
    </row>
    <row r="15957" spans="2:15" x14ac:dyDescent="0.3">
      <c r="B15957" s="1" t="s">
        <v>19</v>
      </c>
      <c r="C15957" s="1" t="str">
        <f>"1차"</f>
        <v>1차</v>
      </c>
      <c r="D15957" s="1" t="str">
        <f>"0130G17200"</f>
        <v>0130G17200</v>
      </c>
      <c r="E15957" s="1" t="s">
        <v>10</v>
      </c>
      <c r="F15957" s="1" t="str">
        <f>"10.107.124.69"</f>
        <v>10.107.124.69</v>
      </c>
      <c r="G15957" s="1" t="str">
        <f>"0130G172"</f>
        <v>0130G172</v>
      </c>
      <c r="H15957" s="1" t="str">
        <f>"우이간 5"</f>
        <v>우이간 5</v>
      </c>
      <c r="I15957" s="1" t="s">
        <v>8</v>
      </c>
      <c r="J15957" s="1" t="str">
        <f>"46/47"</f>
        <v>46/47</v>
      </c>
      <c r="K15957" s="1" t="str">
        <f>"2026-07-29 13:18:02"</f>
        <v>2026-07-29 13:18:02</v>
      </c>
      <c r="L15957" s="1" t="str">
        <f>"2014-12-30 19:55:08"</f>
        <v>2014-12-30 19:55:08</v>
      </c>
      <c r="M15957" s="1" t="s">
        <v>45</v>
      </c>
      <c r="N15957" s="1" t="s">
        <v>38</v>
      </c>
      <c r="O15957" s="1" t="s">
        <v>46</v>
      </c>
    </row>
    <row r="15958" spans="2:15" x14ac:dyDescent="0.3">
      <c r="B15958" s="1" t="s">
        <v>19</v>
      </c>
      <c r="C15958" s="1" t="str">
        <f>"3차"</f>
        <v>3차</v>
      </c>
      <c r="D15958" s="1" t="str">
        <f>"0130G20139"</f>
        <v>0130G20139</v>
      </c>
      <c r="E15958" s="1" t="s">
        <v>10</v>
      </c>
      <c r="F15958" s="1" t="str">
        <f>"10.107.121.15"</f>
        <v>10.107.121.15</v>
      </c>
      <c r="G15958" s="1" t="str">
        <f>"0130G201"</f>
        <v>0130G201</v>
      </c>
      <c r="H15958" s="1" t="str">
        <f>"구청지 26L5L2L2"</f>
        <v>구청지 26L5L2L2</v>
      </c>
      <c r="I15958" s="1" t="s">
        <v>8</v>
      </c>
      <c r="J15958" s="1" t="str">
        <f>"34/34"</f>
        <v>34/34</v>
      </c>
      <c r="K15958" s="1" t="str">
        <f>"2026-07-29 13:18:02"</f>
        <v>2026-07-29 13:18:02</v>
      </c>
      <c r="L15958" s="1" t="str">
        <f>"2018-02-21 18:54:15"</f>
        <v>2018-02-21 18:54:15</v>
      </c>
      <c r="M15958" s="1" t="s">
        <v>45</v>
      </c>
      <c r="N15958" s="1" t="s">
        <v>38</v>
      </c>
      <c r="O15958" s="1" t="s">
        <v>46</v>
      </c>
    </row>
    <row r="15959" spans="2:15" x14ac:dyDescent="0.3">
      <c r="B15959" s="1" t="s">
        <v>19</v>
      </c>
      <c r="C15959" s="1" t="str">
        <f>"3차"</f>
        <v>3차</v>
      </c>
      <c r="D15959" s="1" t="str">
        <f>"0130G20339"</f>
        <v>0130G20339</v>
      </c>
      <c r="E15959" s="1" t="s">
        <v>10</v>
      </c>
      <c r="F15959" s="1" t="str">
        <f>"10.107.121.14"</f>
        <v>10.107.121.14</v>
      </c>
      <c r="G15959" s="1" t="str">
        <f>"0130G203"</f>
        <v>0130G203</v>
      </c>
      <c r="H15959" s="1" t="str">
        <f>"구청지 26L3L3R2"</f>
        <v>구청지 26L3L3R2</v>
      </c>
      <c r="I15959" s="1" t="s">
        <v>8</v>
      </c>
      <c r="J15959" s="1" t="str">
        <f>"118/119"</f>
        <v>118/119</v>
      </c>
      <c r="K15959" s="1" t="str">
        <f>"2026-07-29 13:18:01"</f>
        <v>2026-07-29 13:18:01</v>
      </c>
      <c r="L15959" s="1" t="str">
        <f>"2018-03-02 15:16:51"</f>
        <v>2018-03-02 15:16:51</v>
      </c>
      <c r="M15959" s="1" t="s">
        <v>45</v>
      </c>
      <c r="N15959" s="1" t="s">
        <v>38</v>
      </c>
      <c r="O15959" s="1" t="s">
        <v>46</v>
      </c>
    </row>
    <row r="15960" spans="2:15" x14ac:dyDescent="0.3">
      <c r="B15960" s="1" t="s">
        <v>19</v>
      </c>
      <c r="C15960" s="1" t="str">
        <f>"6차"</f>
        <v>6차</v>
      </c>
      <c r="D15960" s="1" t="str">
        <f>"0130G2216S"</f>
        <v>0130G2216S</v>
      </c>
      <c r="E15960" s="1" t="s">
        <v>10</v>
      </c>
      <c r="F15960" s="1" t="str">
        <f>"fde1:103:4:92ad:0:0:0:2"</f>
        <v>fde1:103:4:92ad:0:0:0:2</v>
      </c>
      <c r="G15960" s="1" t="str">
        <f>"0130G221"</f>
        <v>0130G221</v>
      </c>
      <c r="H15960" s="1" t="str">
        <f>"구청지 26L3L5"</f>
        <v>구청지 26L3L5</v>
      </c>
      <c r="I15960" s="1" t="s">
        <v>15</v>
      </c>
      <c r="J15960" s="1" t="str">
        <f>"17/17"</f>
        <v>17/17</v>
      </c>
      <c r="K15960" s="1" t="str">
        <f>"2026-07-29 14:20:19"</f>
        <v>2026-07-29 14:20:19</v>
      </c>
      <c r="L15960" s="1" t="str">
        <f>"2025-02-18 15:52:07"</f>
        <v>2025-02-18 15:52:07</v>
      </c>
      <c r="M15960" s="1" t="s">
        <v>4</v>
      </c>
      <c r="N15960" s="1" t="s">
        <v>38</v>
      </c>
      <c r="O15960" s="1" t="s">
        <v>46</v>
      </c>
    </row>
    <row r="15961" spans="2:15" x14ac:dyDescent="0.3">
      <c r="B15961" s="1" t="s">
        <v>19</v>
      </c>
      <c r="C15961" s="1" t="str">
        <f>"1차"</f>
        <v>1차</v>
      </c>
      <c r="D15961" s="1" t="str">
        <f>"0130G23101"</f>
        <v>0130G23101</v>
      </c>
      <c r="E15961" s="1" t="s">
        <v>10</v>
      </c>
      <c r="F15961" s="1" t="str">
        <f>"10.107.122.19"</f>
        <v>10.107.122.19</v>
      </c>
      <c r="G15961" s="1" t="str">
        <f>"0130G231"</f>
        <v>0130G231</v>
      </c>
      <c r="H15961" s="1" t="str">
        <f>"구청지 17R1R1"</f>
        <v>구청지 17R1R1</v>
      </c>
      <c r="I15961" s="1" t="s">
        <v>8</v>
      </c>
      <c r="J15961" s="1" t="str">
        <f>"55/55"</f>
        <v>55/55</v>
      </c>
      <c r="K15961" s="1" t="str">
        <f>"2026-07-29 13:18:02"</f>
        <v>2026-07-29 13:18:02</v>
      </c>
      <c r="L15961" s="1" t="str">
        <f>"2014-11-27 14:22:31"</f>
        <v>2014-11-27 14:22:31</v>
      </c>
      <c r="M15961" s="1" t="s">
        <v>45</v>
      </c>
      <c r="N15961" s="1" t="s">
        <v>38</v>
      </c>
      <c r="O15961" s="1" t="s">
        <v>46</v>
      </c>
    </row>
    <row r="15962" spans="2:15" x14ac:dyDescent="0.3">
      <c r="B15962" s="1" t="s">
        <v>19</v>
      </c>
      <c r="C15962" s="1" t="str">
        <f>"6차"</f>
        <v>6차</v>
      </c>
      <c r="D15962" s="1" t="str">
        <f>"0130G2516M"</f>
        <v>0130G2516M</v>
      </c>
      <c r="E15962" s="1" t="s">
        <v>10</v>
      </c>
      <c r="F15962" s="1" t="str">
        <f>"fde1:103:4:c77e:0:0:0:2"</f>
        <v>fde1:103:4:c77e:0:0:0:2</v>
      </c>
      <c r="G15962" s="1" t="str">
        <f>"0130G251"</f>
        <v>0130G251</v>
      </c>
      <c r="H15962" s="1" t="str">
        <f>"구청지 14R3"</f>
        <v>구청지 14R3</v>
      </c>
      <c r="I15962" s="1" t="s">
        <v>15</v>
      </c>
      <c r="J15962" s="1" t="str">
        <f>"63/65"</f>
        <v>63/65</v>
      </c>
      <c r="K15962" s="1" t="str">
        <f>"2026-07-29 14:21:00"</f>
        <v>2026-07-29 14:21:00</v>
      </c>
      <c r="L15962" s="1" t="str">
        <f>"2024-12-02 13:46:34"</f>
        <v>2024-12-02 13:46:34</v>
      </c>
      <c r="M15962" s="1" t="s">
        <v>4</v>
      </c>
      <c r="N15962" s="1" t="s">
        <v>38</v>
      </c>
      <c r="O15962" s="1" t="s">
        <v>46</v>
      </c>
    </row>
    <row r="15963" spans="2:15" x14ac:dyDescent="0.3">
      <c r="B15963" s="1" t="s">
        <v>19</v>
      </c>
      <c r="C15963" s="1" t="str">
        <f>"4차"</f>
        <v>4차</v>
      </c>
      <c r="D15963" s="1" t="str">
        <f>"0130G25239"</f>
        <v>0130G25239</v>
      </c>
      <c r="E15963" s="1" t="s">
        <v>10</v>
      </c>
      <c r="F15963" s="1" t="str">
        <f>"10.12.137.133"</f>
        <v>10.12.137.133</v>
      </c>
      <c r="G15963" s="1" t="str">
        <f>"0130G252"</f>
        <v>0130G252</v>
      </c>
      <c r="H15963" s="1" t="str">
        <f>"구청지 14R3L1"</f>
        <v>구청지 14R3L1</v>
      </c>
      <c r="I15963" s="1" t="s">
        <v>8</v>
      </c>
      <c r="J15963" s="1" t="str">
        <f>"40/40"</f>
        <v>40/40</v>
      </c>
      <c r="K15963" s="1" t="str">
        <f>"2026-07-29 13:18:03"</f>
        <v>2026-07-29 13:18:03</v>
      </c>
      <c r="L15963" s="1" t="str">
        <f>"2018-04-21 08:59:55"</f>
        <v>2018-04-21 08:59:55</v>
      </c>
      <c r="M15963" s="1" t="s">
        <v>0</v>
      </c>
      <c r="N15963" s="1" t="s">
        <v>38</v>
      </c>
      <c r="O15963" s="1" t="s">
        <v>46</v>
      </c>
    </row>
    <row r="15964" spans="2:15" x14ac:dyDescent="0.3">
      <c r="B15964" s="1" t="s">
        <v>19</v>
      </c>
      <c r="C15964" s="1" t="str">
        <f>"4차"</f>
        <v>4차</v>
      </c>
      <c r="D15964" s="1" t="str">
        <f>"0130G25344"</f>
        <v>0130G25344</v>
      </c>
      <c r="E15964" s="1" t="s">
        <v>10</v>
      </c>
      <c r="F15964" s="1" t="str">
        <f>"10.107.122.12"</f>
        <v>10.107.122.12</v>
      </c>
      <c r="G15964" s="1" t="str">
        <f>"0130G253"</f>
        <v>0130G253</v>
      </c>
      <c r="H15964" s="1" t="str">
        <f>"구청지 14R3A1"</f>
        <v>구청지 14R3A1</v>
      </c>
      <c r="I15964" s="1" t="s">
        <v>8</v>
      </c>
      <c r="J15964" s="1" t="str">
        <f>"57/67"</f>
        <v>57/67</v>
      </c>
      <c r="K15964" s="1" t="str">
        <f>"2026-07-29 13:18:02"</f>
        <v>2026-07-29 13:18:02</v>
      </c>
      <c r="L15964" s="1" t="str">
        <f>"2023-08-21 10:27:58"</f>
        <v>2023-08-21 10:27:58</v>
      </c>
      <c r="M15964" s="1" t="s">
        <v>45</v>
      </c>
      <c r="N15964" s="1" t="s">
        <v>38</v>
      </c>
      <c r="O15964" s="1" t="s">
        <v>46</v>
      </c>
    </row>
    <row r="15965" spans="2:15" x14ac:dyDescent="0.3">
      <c r="B15965" s="1" t="s">
        <v>19</v>
      </c>
      <c r="C15965" s="1" t="str">
        <f>"4차"</f>
        <v>4차</v>
      </c>
      <c r="D15965" s="1" t="str">
        <f>"0130G26244"</f>
        <v>0130G26244</v>
      </c>
      <c r="E15965" s="1" t="s">
        <v>10</v>
      </c>
      <c r="F15965" s="1" t="str">
        <f>"10.107.122.22"</f>
        <v>10.107.122.22</v>
      </c>
      <c r="G15965" s="1" t="str">
        <f>"0130G262"</f>
        <v>0130G262</v>
      </c>
      <c r="H15965" s="1" t="str">
        <f>"구청지 14R7"</f>
        <v>구청지 14R7</v>
      </c>
      <c r="I15965" s="1" t="s">
        <v>8</v>
      </c>
      <c r="J15965" s="1" t="str">
        <f>"28/28"</f>
        <v>28/28</v>
      </c>
      <c r="K15965" s="1" t="str">
        <f>"2026-07-29 13:18:01"</f>
        <v>2026-07-29 13:18:01</v>
      </c>
      <c r="L15965" s="1" t="str">
        <f>"2019-10-18 19:15:07"</f>
        <v>2019-10-18 19:15:07</v>
      </c>
      <c r="M15965" s="1" t="s">
        <v>45</v>
      </c>
      <c r="N15965" s="1" t="s">
        <v>38</v>
      </c>
      <c r="O15965" s="1" t="s">
        <v>46</v>
      </c>
    </row>
    <row r="15966" spans="2:15" x14ac:dyDescent="0.3">
      <c r="B15966" s="1" t="s">
        <v>19</v>
      </c>
      <c r="C15966" s="1" t="str">
        <f>"4차"</f>
        <v>4차</v>
      </c>
      <c r="D15966" s="1" t="str">
        <f>"0130G26444"</f>
        <v>0130G26444</v>
      </c>
      <c r="E15966" s="1" t="s">
        <v>10</v>
      </c>
      <c r="F15966" s="1" t="str">
        <f>"10.107.122.23"</f>
        <v>10.107.122.23</v>
      </c>
      <c r="G15966" s="1" t="str">
        <f>"0130G264"</f>
        <v>0130G264</v>
      </c>
      <c r="H15966" s="1" t="str">
        <f>"구청지 14R6"</f>
        <v>구청지 14R6</v>
      </c>
      <c r="I15966" s="1" t="s">
        <v>8</v>
      </c>
      <c r="J15966" s="1" t="str">
        <f>"68/68"</f>
        <v>68/68</v>
      </c>
      <c r="K15966" s="1" t="str">
        <f>"2026-07-29 13:18:02"</f>
        <v>2026-07-29 13:18:02</v>
      </c>
      <c r="L15966" s="1" t="str">
        <f>"2019-12-24 17:36:01"</f>
        <v>2019-12-24 17:36:01</v>
      </c>
      <c r="M15966" s="1" t="s">
        <v>45</v>
      </c>
      <c r="N15966" s="1" t="s">
        <v>38</v>
      </c>
      <c r="O15966" s="1" t="s">
        <v>46</v>
      </c>
    </row>
    <row r="15967" spans="2:15" x14ac:dyDescent="0.3">
      <c r="B15967" s="1" t="s">
        <v>19</v>
      </c>
      <c r="C15967" s="1" t="str">
        <f>"3차"</f>
        <v>3차</v>
      </c>
      <c r="D15967" s="1" t="str">
        <f>"0130G28539"</f>
        <v>0130G28539</v>
      </c>
      <c r="E15967" s="1" t="s">
        <v>10</v>
      </c>
      <c r="F15967" s="1" t="str">
        <f>"10.12.137.131"</f>
        <v>10.12.137.131</v>
      </c>
      <c r="G15967" s="1" t="str">
        <f>"0130G285"</f>
        <v>0130G285</v>
      </c>
      <c r="H15967" s="1" t="str">
        <f>"구청지 23R9"</f>
        <v>구청지 23R9</v>
      </c>
      <c r="I15967" s="1" t="s">
        <v>8</v>
      </c>
      <c r="J15967" s="1" t="str">
        <f>"27/27"</f>
        <v>27/27</v>
      </c>
      <c r="K15967" s="1" t="str">
        <f>"2026-07-29 07:18:01"</f>
        <v>2026-07-29 07:18:01</v>
      </c>
      <c r="L15967" s="1" t="str">
        <f>"2018-04-21 09:24:55"</f>
        <v>2018-04-21 09:24:55</v>
      </c>
      <c r="M15967" s="1" t="s">
        <v>0</v>
      </c>
      <c r="N15967" s="1" t="s">
        <v>38</v>
      </c>
      <c r="O15967" s="1" t="s">
        <v>46</v>
      </c>
    </row>
    <row r="15968" spans="2:15" x14ac:dyDescent="0.3">
      <c r="B15968" s="1" t="s">
        <v>19</v>
      </c>
      <c r="C15968" s="1" t="str">
        <f>"4차"</f>
        <v>4차</v>
      </c>
      <c r="D15968" s="1" t="str">
        <f>"0130G31144"</f>
        <v>0130G31144</v>
      </c>
      <c r="E15968" s="1" t="s">
        <v>10</v>
      </c>
      <c r="F15968" s="1" t="str">
        <f>"10.107.121.17"</f>
        <v>10.107.121.17</v>
      </c>
      <c r="G15968" s="1" t="str">
        <f>"0130G311"</f>
        <v>0130G311</v>
      </c>
      <c r="H15968" s="1" t="str">
        <f>"구청지 26L3L7"</f>
        <v>구청지 26L3L7</v>
      </c>
      <c r="I15968" s="1" t="s">
        <v>8</v>
      </c>
      <c r="J15968" s="1" t="str">
        <f>"23/24"</f>
        <v>23/24</v>
      </c>
      <c r="K15968" s="1" t="str">
        <f>"2026-07-29 13:18:02"</f>
        <v>2026-07-29 13:18:02</v>
      </c>
      <c r="L15968" s="1" t="str">
        <f>"2019-10-18 16:33:05"</f>
        <v>2019-10-18 16:33:05</v>
      </c>
      <c r="M15968" s="1" t="s">
        <v>45</v>
      </c>
      <c r="N15968" s="1" t="s">
        <v>38</v>
      </c>
      <c r="O15968" s="1" t="s">
        <v>46</v>
      </c>
    </row>
    <row r="15969" spans="2:15" x14ac:dyDescent="0.3">
      <c r="B15969" s="1" t="s">
        <v>19</v>
      </c>
      <c r="C15969" s="1" t="str">
        <f>"4차"</f>
        <v>4차</v>
      </c>
      <c r="D15969" s="1" t="str">
        <f>"0130G32244"</f>
        <v>0130G32244</v>
      </c>
      <c r="E15969" s="1" t="s">
        <v>10</v>
      </c>
      <c r="F15969" s="1" t="str">
        <f>"10.107.122.11"</f>
        <v>10.107.122.11</v>
      </c>
      <c r="G15969" s="1" t="str">
        <f>"0130G322"</f>
        <v>0130G322</v>
      </c>
      <c r="H15969" s="1" t="str">
        <f>"구청지 15L1"</f>
        <v>구청지 15L1</v>
      </c>
      <c r="I15969" s="1" t="s">
        <v>8</v>
      </c>
      <c r="J15969" s="1" t="str">
        <f>"37/67"</f>
        <v>37/67</v>
      </c>
      <c r="K15969" s="1" t="str">
        <f>"2026-07-29 13:18:01"</f>
        <v>2026-07-29 13:18:01</v>
      </c>
      <c r="L15969" s="1" t="str">
        <f>"2023-09-22 17:23:47"</f>
        <v>2023-09-22 17:23:47</v>
      </c>
      <c r="M15969" s="1" t="s">
        <v>45</v>
      </c>
      <c r="N15969" s="1" t="s">
        <v>38</v>
      </c>
      <c r="O15969" s="1" t="s">
        <v>46</v>
      </c>
    </row>
    <row r="15970" spans="2:15" x14ac:dyDescent="0.3">
      <c r="B15970" s="1" t="s">
        <v>19</v>
      </c>
      <c r="C15970" s="1" t="str">
        <f>"5-2차"</f>
        <v>5-2차</v>
      </c>
      <c r="D15970" s="1" t="str">
        <f>"0130G3315M"</f>
        <v>0130G3315M</v>
      </c>
      <c r="E15970" s="1" t="s">
        <v>10</v>
      </c>
      <c r="F15970" s="1" t="str">
        <f>"fde1:103:4:9329:0:0:0:2"</f>
        <v>fde1:103:4:9329:0:0:0:2</v>
      </c>
      <c r="G15970" s="1" t="str">
        <f>"0130G331"</f>
        <v>0130G331</v>
      </c>
      <c r="H15970" s="1" t="str">
        <f>"구청지 14"</f>
        <v>구청지 14</v>
      </c>
      <c r="I15970" s="1" t="s">
        <v>15</v>
      </c>
      <c r="J15970" s="1" t="str">
        <f>"87/87"</f>
        <v>87/87</v>
      </c>
      <c r="K15970" s="1" t="str">
        <f>"2026-07-29 14:20:26"</f>
        <v>2026-07-29 14:20:26</v>
      </c>
      <c r="L15970" s="1" t="str">
        <f>"2023-12-18 09:22:47"</f>
        <v>2023-12-18 09:22:47</v>
      </c>
      <c r="M15970" s="1" t="s">
        <v>4</v>
      </c>
      <c r="N15970" s="1" t="s">
        <v>38</v>
      </c>
      <c r="O15970" s="1" t="s">
        <v>46</v>
      </c>
    </row>
    <row r="15971" spans="2:15" x14ac:dyDescent="0.3">
      <c r="B15971" s="1" t="s">
        <v>19</v>
      </c>
      <c r="C15971" s="1" t="str">
        <f>"4차"</f>
        <v>4차</v>
      </c>
      <c r="D15971" s="1" t="str">
        <f>"0130G37144"</f>
        <v>0130G37144</v>
      </c>
      <c r="E15971" s="1" t="s">
        <v>10</v>
      </c>
      <c r="F15971" s="1" t="str">
        <f>"10.107.122.24"</f>
        <v>10.107.122.24</v>
      </c>
      <c r="G15971" s="1" t="str">
        <f>"0130G371"</f>
        <v>0130G371</v>
      </c>
      <c r="H15971" s="1" t="str">
        <f>"구청지 3"</f>
        <v>구청지 3</v>
      </c>
      <c r="I15971" s="1" t="s">
        <v>8</v>
      </c>
      <c r="J15971" s="1" t="str">
        <f>"15/16"</f>
        <v>15/16</v>
      </c>
      <c r="K15971" s="1" t="str">
        <f>"2026-07-29 13:18:01"</f>
        <v>2026-07-29 13:18:01</v>
      </c>
      <c r="L15971" s="1" t="str">
        <f>"2019-10-18 19:16:54"</f>
        <v>2019-10-18 19:16:54</v>
      </c>
      <c r="M15971" s="1" t="s">
        <v>45</v>
      </c>
      <c r="N15971" s="1" t="s">
        <v>38</v>
      </c>
      <c r="O15971" s="1" t="s">
        <v>46</v>
      </c>
    </row>
    <row r="15972" spans="2:15" x14ac:dyDescent="0.3">
      <c r="B15972" s="1" t="s">
        <v>19</v>
      </c>
      <c r="C15972" s="1" t="str">
        <f>"1차"</f>
        <v>1차</v>
      </c>
      <c r="D15972" s="1" t="str">
        <f>"0130G51101"</f>
        <v>0130G51101</v>
      </c>
      <c r="E15972" s="1" t="s">
        <v>10</v>
      </c>
      <c r="F15972" s="1" t="str">
        <f>"10.14.14.190"</f>
        <v>10.14.14.190</v>
      </c>
      <c r="G15972" s="1" t="str">
        <f>"0130G511"</f>
        <v>0130G511</v>
      </c>
      <c r="H15972" s="1" t="str">
        <f>"구청지 15L3"</f>
        <v>구청지 15L3</v>
      </c>
      <c r="I15972" s="1" t="s">
        <v>8</v>
      </c>
      <c r="J15972" s="1" t="str">
        <f>"39/39"</f>
        <v>39/39</v>
      </c>
      <c r="K15972" s="1" t="str">
        <f>"2026-07-29 13:18:01"</f>
        <v>2026-07-29 13:18:01</v>
      </c>
      <c r="L15972" s="1" t="str">
        <f>"2014-11-07 00:13:40"</f>
        <v>2014-11-07 00:13:40</v>
      </c>
      <c r="M15972" s="1" t="s">
        <v>3</v>
      </c>
      <c r="N15972" s="1" t="s">
        <v>38</v>
      </c>
      <c r="O15972" s="1" t="s">
        <v>46</v>
      </c>
    </row>
    <row r="15973" spans="2:15" x14ac:dyDescent="0.3">
      <c r="B15973" s="1" t="s">
        <v>19</v>
      </c>
      <c r="C15973" s="1" t="str">
        <f>"4차"</f>
        <v>4차</v>
      </c>
      <c r="D15973" s="1" t="str">
        <f>"0130G53144"</f>
        <v>0130G53144</v>
      </c>
      <c r="E15973" s="1" t="s">
        <v>10</v>
      </c>
      <c r="F15973" s="1" t="str">
        <f>"10.107.122.25"</f>
        <v>10.107.122.25</v>
      </c>
      <c r="G15973" s="1" t="str">
        <f>"0130G531"</f>
        <v>0130G531</v>
      </c>
      <c r="H15973" s="1" t="str">
        <f>"구청지 15L6L9"</f>
        <v>구청지 15L6L9</v>
      </c>
      <c r="I15973" s="1" t="s">
        <v>8</v>
      </c>
      <c r="J15973" s="1" t="str">
        <f>"50/50"</f>
        <v>50/50</v>
      </c>
      <c r="K15973" s="1" t="str">
        <f>"2026-07-29 13:18:02"</f>
        <v>2026-07-29 13:18:02</v>
      </c>
      <c r="L15973" s="1" t="str">
        <f>"2019-12-30 11:26:17"</f>
        <v>2019-12-30 11:26:17</v>
      </c>
      <c r="M15973" s="1" t="s">
        <v>45</v>
      </c>
      <c r="N15973" s="1" t="s">
        <v>38</v>
      </c>
      <c r="O15973" s="1" t="s">
        <v>46</v>
      </c>
    </row>
    <row r="15974" spans="2:15" x14ac:dyDescent="0.3">
      <c r="B15974" s="1" t="s">
        <v>19</v>
      </c>
      <c r="C15974" s="1" t="str">
        <f>"4차"</f>
        <v>4차</v>
      </c>
      <c r="D15974" s="1" t="str">
        <f>"0130G53244"</f>
        <v>0130G53244</v>
      </c>
      <c r="E15974" s="1" t="s">
        <v>10</v>
      </c>
      <c r="F15974" s="1" t="str">
        <f>"10.107.122.26"</f>
        <v>10.107.122.26</v>
      </c>
      <c r="G15974" s="1" t="str">
        <f>"0130G532"</f>
        <v>0130G532</v>
      </c>
      <c r="H15974" s="1" t="str">
        <f>"구청지 15L6L8"</f>
        <v>구청지 15L6L8</v>
      </c>
      <c r="I15974" s="1" t="s">
        <v>8</v>
      </c>
      <c r="J15974" s="1" t="str">
        <f>"32/32"</f>
        <v>32/32</v>
      </c>
      <c r="K15974" s="1" t="str">
        <f>"2026-07-29 13:18:01"</f>
        <v>2026-07-29 13:18:01</v>
      </c>
      <c r="L15974" s="1" t="str">
        <f>"2019-12-30 11:23:05"</f>
        <v>2019-12-30 11:23:05</v>
      </c>
      <c r="M15974" s="1" t="s">
        <v>45</v>
      </c>
      <c r="N15974" s="1" t="s">
        <v>38</v>
      </c>
      <c r="O15974" s="1" t="s">
        <v>46</v>
      </c>
    </row>
    <row r="15975" spans="2:15" x14ac:dyDescent="0.3">
      <c r="B15975" s="1" t="s">
        <v>19</v>
      </c>
      <c r="C15975" s="1" t="str">
        <f>"4차"</f>
        <v>4차</v>
      </c>
      <c r="D15975" s="1" t="str">
        <f>"0130G54144"</f>
        <v>0130G54144</v>
      </c>
      <c r="E15975" s="1" t="s">
        <v>10</v>
      </c>
      <c r="F15975" s="1" t="str">
        <f>"10.107.122.27"</f>
        <v>10.107.122.27</v>
      </c>
      <c r="G15975" s="1" t="str">
        <f>"0130G541"</f>
        <v>0130G541</v>
      </c>
      <c r="H15975" s="1" t="str">
        <f>"구청지 10"</f>
        <v>구청지 10</v>
      </c>
      <c r="I15975" s="1" t="s">
        <v>8</v>
      </c>
      <c r="J15975" s="1" t="str">
        <f>"89/89"</f>
        <v>89/89</v>
      </c>
      <c r="K15975" s="1" t="str">
        <f>"2026-07-29 13:18:01"</f>
        <v>2026-07-29 13:18:01</v>
      </c>
      <c r="L15975" s="1" t="str">
        <f>"2019-12-30 11:28:18"</f>
        <v>2019-12-30 11:28:18</v>
      </c>
      <c r="M15975" s="1" t="s">
        <v>45</v>
      </c>
      <c r="N15975" s="1" t="s">
        <v>38</v>
      </c>
      <c r="O15975" s="1" t="s">
        <v>46</v>
      </c>
    </row>
    <row r="15976" spans="2:15" x14ac:dyDescent="0.3">
      <c r="B15976" s="1" t="s">
        <v>19</v>
      </c>
      <c r="C15976" s="1" t="str">
        <f>"1차"</f>
        <v>1차</v>
      </c>
      <c r="D15976" s="1" t="str">
        <f>"0130G61100"</f>
        <v>0130G61100</v>
      </c>
      <c r="E15976" s="1" t="s">
        <v>10</v>
      </c>
      <c r="F15976" s="1" t="str">
        <f>"10.107.122.3"</f>
        <v>10.107.122.3</v>
      </c>
      <c r="G15976" s="1" t="str">
        <f>"0130G611"</f>
        <v>0130G611</v>
      </c>
      <c r="H15976" s="1" t="str">
        <f>"구청지 15L4"</f>
        <v>구청지 15L4</v>
      </c>
      <c r="I15976" s="1" t="s">
        <v>8</v>
      </c>
      <c r="J15976" s="1" t="str">
        <f>"26/31"</f>
        <v>26/31</v>
      </c>
      <c r="K15976" s="1" t="str">
        <f>"2026-07-29 13:18:01"</f>
        <v>2026-07-29 13:18:01</v>
      </c>
      <c r="L15976" s="1" t="str">
        <f>"2014-11-04 00:13:19"</f>
        <v>2014-11-04 00:13:19</v>
      </c>
      <c r="M15976" s="1" t="s">
        <v>45</v>
      </c>
      <c r="N15976" s="1" t="s">
        <v>38</v>
      </c>
      <c r="O15976" s="1" t="s">
        <v>46</v>
      </c>
    </row>
    <row r="15977" spans="2:15" x14ac:dyDescent="0.3">
      <c r="B15977" s="1" t="s">
        <v>19</v>
      </c>
      <c r="C15977" s="1" t="str">
        <f>"6차"</f>
        <v>6차</v>
      </c>
      <c r="D15977" s="1" t="str">
        <f>"0130G6126M"</f>
        <v>0130G6126M</v>
      </c>
      <c r="E15977" s="1" t="s">
        <v>10</v>
      </c>
      <c r="F15977" s="1" t="str">
        <f>"fde1:103:4:c79e:0:0:0:2"</f>
        <v>fde1:103:4:c79e:0:0:0:2</v>
      </c>
      <c r="G15977" s="1" t="str">
        <f>"0130G612"</f>
        <v>0130G612</v>
      </c>
      <c r="H15977" s="1" t="str">
        <f>"구청지 15L6L5L1"</f>
        <v>구청지 15L6L5L1</v>
      </c>
      <c r="I15977" s="1" t="s">
        <v>15</v>
      </c>
      <c r="J15977" s="1" t="str">
        <f>"61/62"</f>
        <v>61/62</v>
      </c>
      <c r="K15977" s="1" t="str">
        <f>"2026-07-29 14:21:09"</f>
        <v>2026-07-29 14:21:09</v>
      </c>
      <c r="L15977" s="1" t="str">
        <f>"2024-12-02 13:46:53"</f>
        <v>2024-12-02 13:46:53</v>
      </c>
      <c r="M15977" s="1" t="s">
        <v>4</v>
      </c>
      <c r="N15977" s="1" t="s">
        <v>38</v>
      </c>
      <c r="O15977" s="1" t="s">
        <v>46</v>
      </c>
    </row>
    <row r="15978" spans="2:15" x14ac:dyDescent="0.3">
      <c r="B15978" s="1" t="s">
        <v>19</v>
      </c>
      <c r="C15978" s="1" t="str">
        <f>"4차"</f>
        <v>4차</v>
      </c>
      <c r="D15978" s="1" t="str">
        <f>"0130G62344"</f>
        <v>0130G62344</v>
      </c>
      <c r="E15978" s="1" t="s">
        <v>10</v>
      </c>
      <c r="F15978" s="1" t="str">
        <f>"10.107.122.28"</f>
        <v>10.107.122.28</v>
      </c>
      <c r="G15978" s="1" t="str">
        <f>"0130G623"</f>
        <v>0130G623</v>
      </c>
      <c r="H15978" s="1" t="str">
        <f>"구청지 15L6L6"</f>
        <v>구청지 15L6L6</v>
      </c>
      <c r="I15978" s="1" t="s">
        <v>8</v>
      </c>
      <c r="J15978" s="1" t="str">
        <f>"41/41"</f>
        <v>41/41</v>
      </c>
      <c r="K15978" s="1" t="str">
        <f>"2026-07-29 13:18:01"</f>
        <v>2026-07-29 13:18:01</v>
      </c>
      <c r="L15978" s="1" t="str">
        <f>"2019-12-30 11:22:33"</f>
        <v>2019-12-30 11:22:33</v>
      </c>
      <c r="M15978" s="1" t="s">
        <v>45</v>
      </c>
      <c r="N15978" s="1" t="s">
        <v>38</v>
      </c>
      <c r="O15978" s="1" t="s">
        <v>46</v>
      </c>
    </row>
    <row r="15979" spans="2:15" x14ac:dyDescent="0.3">
      <c r="B15979" s="1" t="s">
        <v>19</v>
      </c>
      <c r="C15979" s="1" t="str">
        <f>"4차"</f>
        <v>4차</v>
      </c>
      <c r="D15979" s="1" t="str">
        <f>"0130G63144"</f>
        <v>0130G63144</v>
      </c>
      <c r="E15979" s="1" t="s">
        <v>10</v>
      </c>
      <c r="F15979" s="1" t="str">
        <f>"10.107.122.29"</f>
        <v>10.107.122.29</v>
      </c>
      <c r="G15979" s="1" t="str">
        <f>"0130G631"</f>
        <v>0130G631</v>
      </c>
      <c r="H15979" s="1" t="str">
        <f>"구청지 15L6L7"</f>
        <v>구청지 15L6L7</v>
      </c>
      <c r="I15979" s="1" t="s">
        <v>8</v>
      </c>
      <c r="J15979" s="1" t="str">
        <f>"54/54"</f>
        <v>54/54</v>
      </c>
      <c r="K15979" s="1" t="str">
        <f>"2026-07-29 13:18:01"</f>
        <v>2026-07-29 13:18:01</v>
      </c>
      <c r="L15979" s="1" t="str">
        <f>"2020-01-21 16:11:10"</f>
        <v>2020-01-21 16:11:10</v>
      </c>
      <c r="M15979" s="1" t="s">
        <v>45</v>
      </c>
      <c r="N15979" s="1" t="s">
        <v>38</v>
      </c>
      <c r="O15979" s="1" t="s">
        <v>46</v>
      </c>
    </row>
    <row r="15980" spans="2:15" x14ac:dyDescent="0.3">
      <c r="B15980" s="1" t="s">
        <v>19</v>
      </c>
      <c r="C15980" s="1" t="str">
        <f>"1차"</f>
        <v>1차</v>
      </c>
      <c r="D15980" s="1" t="str">
        <f>"0130G70201"</f>
        <v>0130G70201</v>
      </c>
      <c r="E15980" s="1" t="s">
        <v>10</v>
      </c>
      <c r="F15980" s="1" t="str">
        <f>"10.12.131.94"</f>
        <v>10.12.131.94</v>
      </c>
      <c r="G15980" s="1" t="str">
        <f>"0130G702"</f>
        <v>0130G702</v>
      </c>
      <c r="H15980" s="1" t="str">
        <f>"구청지 15L5"</f>
        <v>구청지 15L5</v>
      </c>
      <c r="I15980" s="1" t="s">
        <v>8</v>
      </c>
      <c r="J15980" s="1" t="str">
        <f>"39/40"</f>
        <v>39/40</v>
      </c>
      <c r="K15980" s="1" t="str">
        <f>"2026-07-29 13:18:03"</f>
        <v>2026-07-29 13:18:03</v>
      </c>
      <c r="L15980" s="1" t="str">
        <f>"2014-11-07 00:12:47"</f>
        <v>2014-11-07 00:12:47</v>
      </c>
      <c r="M15980" s="1" t="s">
        <v>0</v>
      </c>
      <c r="N15980" s="1" t="s">
        <v>38</v>
      </c>
      <c r="O15980" s="1" t="s">
        <v>46</v>
      </c>
    </row>
    <row r="15981" spans="2:15" x14ac:dyDescent="0.3">
      <c r="B15981" s="1" t="s">
        <v>19</v>
      </c>
      <c r="C15981" s="1" t="str">
        <f>"1차"</f>
        <v>1차</v>
      </c>
      <c r="D15981" s="1" t="str">
        <f>"0130G72100"</f>
        <v>0130G72100</v>
      </c>
      <c r="E15981" s="1" t="s">
        <v>14</v>
      </c>
      <c r="F15981" s="1" t="str">
        <f>"10.107.122.6"</f>
        <v>10.107.122.6</v>
      </c>
      <c r="G15981" s="1" t="str">
        <f>"0130G721"</f>
        <v>0130G721</v>
      </c>
      <c r="H15981" s="1" t="str">
        <f>"구청지 15L6L5"</f>
        <v>구청지 15L6L5</v>
      </c>
      <c r="I15981" s="1" t="s">
        <v>8</v>
      </c>
      <c r="J15981" s="1" t="str">
        <f>"0/0"</f>
        <v>0/0</v>
      </c>
      <c r="K15981" s="1" t="str">
        <f>"2024-07-31 09:21:00"</f>
        <v>2024-07-31 09:21:00</v>
      </c>
      <c r="L15981" s="1" t="str">
        <f>"2014-10-30 16:16:07"</f>
        <v>2014-10-30 16:16:07</v>
      </c>
      <c r="M15981" s="1" t="s">
        <v>45</v>
      </c>
      <c r="N15981" s="1" t="s">
        <v>44</v>
      </c>
      <c r="O15981" s="1" t="s">
        <v>44</v>
      </c>
    </row>
    <row r="15982" spans="2:15" x14ac:dyDescent="0.3">
      <c r="B15982" s="1" t="s">
        <v>19</v>
      </c>
      <c r="C15982" s="1" t="str">
        <f>"4차"</f>
        <v>4차</v>
      </c>
      <c r="D15982" s="1" t="str">
        <f>"0130G73144"</f>
        <v>0130G73144</v>
      </c>
      <c r="E15982" s="1" t="s">
        <v>10</v>
      </c>
      <c r="F15982" s="1" t="str">
        <f>"10.107.15.2"</f>
        <v>10.107.15.2</v>
      </c>
      <c r="G15982" s="1" t="str">
        <f>"0130G731"</f>
        <v>0130G731</v>
      </c>
      <c r="H15982" s="1" t="str">
        <f>"구청지 10L3"</f>
        <v>구청지 10L3</v>
      </c>
      <c r="I15982" s="1" t="s">
        <v>8</v>
      </c>
      <c r="J15982" s="1" t="str">
        <f>"45/45"</f>
        <v>45/45</v>
      </c>
      <c r="K15982" s="1" t="str">
        <f>"2026-07-29 13:18:01"</f>
        <v>2026-07-29 13:18:01</v>
      </c>
      <c r="L15982" s="1" t="str">
        <f>"2019-10-18 16:13:04"</f>
        <v>2019-10-18 16:13:04</v>
      </c>
      <c r="M15982" s="1" t="s">
        <v>45</v>
      </c>
      <c r="N15982" s="1" t="s">
        <v>38</v>
      </c>
      <c r="O15982" s="1" t="s">
        <v>46</v>
      </c>
    </row>
    <row r="15983" spans="2:15" x14ac:dyDescent="0.3">
      <c r="B15983" s="1" t="s">
        <v>19</v>
      </c>
      <c r="C15983" s="1" t="str">
        <f>"4차"</f>
        <v>4차</v>
      </c>
      <c r="D15983" s="1" t="str">
        <f>"0130G75144"</f>
        <v>0130G75144</v>
      </c>
      <c r="E15983" s="1" t="s">
        <v>10</v>
      </c>
      <c r="F15983" s="1" t="str">
        <f>"10.107.122.30"</f>
        <v>10.107.122.30</v>
      </c>
      <c r="G15983" s="1" t="str">
        <f>"0130G751"</f>
        <v>0130G751</v>
      </c>
      <c r="H15983" s="1" t="str">
        <f>"구청지 8L1"</f>
        <v>구청지 8L1</v>
      </c>
      <c r="I15983" s="1" t="s">
        <v>8</v>
      </c>
      <c r="J15983" s="1" t="str">
        <f>"77/77"</f>
        <v>77/77</v>
      </c>
      <c r="K15983" s="1" t="str">
        <f>"2026-07-29 13:18:01"</f>
        <v>2026-07-29 13:18:01</v>
      </c>
      <c r="L15983" s="1" t="str">
        <f>"2019-12-30 11:29:07"</f>
        <v>2019-12-30 11:29:07</v>
      </c>
      <c r="M15983" s="1" t="s">
        <v>45</v>
      </c>
      <c r="N15983" s="1" t="s">
        <v>38</v>
      </c>
      <c r="O15983" s="1" t="s">
        <v>46</v>
      </c>
    </row>
    <row r="15984" spans="2:15" x14ac:dyDescent="0.3">
      <c r="B15984" s="1" t="s">
        <v>19</v>
      </c>
      <c r="C15984" s="1" t="str">
        <f>"1차"</f>
        <v>1차</v>
      </c>
      <c r="D15984" s="1" t="str">
        <f>"0130G80101"</f>
        <v>0130G80101</v>
      </c>
      <c r="E15984" s="1" t="s">
        <v>10</v>
      </c>
      <c r="F15984" s="1" t="str">
        <f>"10.12.131.111"</f>
        <v>10.12.131.111</v>
      </c>
      <c r="G15984" s="1" t="str">
        <f>"0130G801"</f>
        <v>0130G801</v>
      </c>
      <c r="H15984" s="1" t="str">
        <f>"구청지 15L6L1"</f>
        <v>구청지 15L6L1</v>
      </c>
      <c r="I15984" s="1" t="s">
        <v>8</v>
      </c>
      <c r="J15984" s="1" t="str">
        <f>"11/12"</f>
        <v>11/12</v>
      </c>
      <c r="K15984" s="1" t="str">
        <f>"2026-07-29 13:18:02"</f>
        <v>2026-07-29 13:18:02</v>
      </c>
      <c r="L15984" s="1" t="str">
        <f>"2014-11-19 11:07:56"</f>
        <v>2014-11-19 11:07:56</v>
      </c>
      <c r="M15984" s="1" t="s">
        <v>0</v>
      </c>
      <c r="N15984" s="1" t="s">
        <v>38</v>
      </c>
      <c r="O15984" s="1" t="s">
        <v>46</v>
      </c>
    </row>
    <row r="15985" spans="2:15" x14ac:dyDescent="0.3">
      <c r="B15985" s="1" t="s">
        <v>19</v>
      </c>
      <c r="C15985" s="1" t="str">
        <f>"1차"</f>
        <v>1차</v>
      </c>
      <c r="D15985" s="1" t="str">
        <f>"0130G81101"</f>
        <v>0130G81101</v>
      </c>
      <c r="E15985" s="1" t="s">
        <v>10</v>
      </c>
      <c r="F15985" s="1" t="str">
        <f>"10.12.130.233"</f>
        <v>10.12.130.233</v>
      </c>
      <c r="G15985" s="1" t="str">
        <f>"0130G811"</f>
        <v>0130G811</v>
      </c>
      <c r="H15985" s="1" t="str">
        <f>"구청지 15L6L3"</f>
        <v>구청지 15L6L3</v>
      </c>
      <c r="I15985" s="1" t="s">
        <v>8</v>
      </c>
      <c r="J15985" s="1" t="str">
        <f>"33/33"</f>
        <v>33/33</v>
      </c>
      <c r="K15985" s="1" t="str">
        <f>"2026-07-29 13:18:03"</f>
        <v>2026-07-29 13:18:03</v>
      </c>
      <c r="L15985" s="1" t="str">
        <f>"2014-11-28 00:10:41"</f>
        <v>2014-11-28 00:10:41</v>
      </c>
      <c r="M15985" s="1" t="s">
        <v>0</v>
      </c>
      <c r="N15985" s="1" t="s">
        <v>38</v>
      </c>
      <c r="O15985" s="1" t="s">
        <v>46</v>
      </c>
    </row>
    <row r="15986" spans="2:15" x14ac:dyDescent="0.3">
      <c r="B15986" s="1" t="s">
        <v>19</v>
      </c>
      <c r="C15986" s="1" t="str">
        <f>"3차"</f>
        <v>3차</v>
      </c>
      <c r="D15986" s="1" t="str">
        <f>"0130G83139"</f>
        <v>0130G83139</v>
      </c>
      <c r="E15986" s="1" t="s">
        <v>18</v>
      </c>
      <c r="F15986" s="1" t="str">
        <f>"10.107.122.2"</f>
        <v>10.107.122.2</v>
      </c>
      <c r="G15986" s="1" t="str">
        <f>"0130G831"</f>
        <v>0130G831</v>
      </c>
      <c r="H15986" s="1" t="str">
        <f>"구청지 8L4"</f>
        <v>구청지 8L4</v>
      </c>
      <c r="I15986" s="1" t="s">
        <v>8</v>
      </c>
      <c r="J15986" s="1" t="str">
        <f>"0/92"</f>
        <v>0/92</v>
      </c>
      <c r="K15986" s="1" t="str">
        <f>"2026-07-15 07:18:02"</f>
        <v>2026-07-15 07:18:02</v>
      </c>
      <c r="L15986" s="1" t="str">
        <f>"2018-09-14 16:28:12"</f>
        <v>2018-09-14 16:28:12</v>
      </c>
      <c r="M15986" s="1" t="s">
        <v>45</v>
      </c>
      <c r="N15986" s="1" t="s">
        <v>38</v>
      </c>
      <c r="O15986" s="1" t="s">
        <v>46</v>
      </c>
    </row>
    <row r="15987" spans="2:15" x14ac:dyDescent="0.3">
      <c r="B15987" s="1" t="s">
        <v>19</v>
      </c>
      <c r="C15987" s="1" t="str">
        <f>"4차"</f>
        <v>4차</v>
      </c>
      <c r="D15987" s="1" t="str">
        <f>"0130G83444"</f>
        <v>0130G83444</v>
      </c>
      <c r="E15987" s="1" t="s">
        <v>10</v>
      </c>
      <c r="F15987" s="1" t="str">
        <f>"10.107.15.154"</f>
        <v>10.107.15.154</v>
      </c>
      <c r="G15987" s="1" t="str">
        <f>"0130G834"</f>
        <v>0130G834</v>
      </c>
      <c r="H15987" s="1" t="str">
        <f>"구청지 8L4H1"</f>
        <v>구청지 8L4H1</v>
      </c>
      <c r="I15987" s="1" t="s">
        <v>8</v>
      </c>
      <c r="J15987" s="1" t="str">
        <f>"35/35"</f>
        <v>35/35</v>
      </c>
      <c r="K15987" s="1" t="str">
        <f>"2026-07-29 13:18:02"</f>
        <v>2026-07-29 13:18:02</v>
      </c>
      <c r="L15987" s="1" t="str">
        <f>"2019-12-30 11:28:27"</f>
        <v>2019-12-30 11:28:27</v>
      </c>
      <c r="M15987" s="1" t="s">
        <v>45</v>
      </c>
      <c r="N15987" s="1" t="s">
        <v>38</v>
      </c>
      <c r="O15987" s="1" t="s">
        <v>46</v>
      </c>
    </row>
    <row r="15988" spans="2:15" x14ac:dyDescent="0.3">
      <c r="B15988" s="1" t="s">
        <v>19</v>
      </c>
      <c r="C15988" s="1" t="str">
        <f>"4차"</f>
        <v>4차</v>
      </c>
      <c r="D15988" s="1" t="str">
        <f>"0130G90139"</f>
        <v>0130G90139</v>
      </c>
      <c r="E15988" s="1" t="s">
        <v>10</v>
      </c>
      <c r="F15988" s="1" t="str">
        <f>"10.107.122.7"</f>
        <v>10.107.122.7</v>
      </c>
      <c r="G15988" s="1" t="str">
        <f>"0130G901"</f>
        <v>0130G901</v>
      </c>
      <c r="H15988" s="1" t="str">
        <f>"구청지 15L6L2"</f>
        <v>구청지 15L6L2</v>
      </c>
      <c r="I15988" s="1" t="s">
        <v>8</v>
      </c>
      <c r="J15988" s="1" t="str">
        <f>"72/74"</f>
        <v>72/74</v>
      </c>
      <c r="K15988" s="1" t="str">
        <f>"2026-07-29 13:18:01"</f>
        <v>2026-07-29 13:18:01</v>
      </c>
      <c r="L15988" s="1" t="str">
        <f>"2024-03-04 18:10:54"</f>
        <v>2024-03-04 18:10:54</v>
      </c>
      <c r="M15988" s="1" t="s">
        <v>45</v>
      </c>
      <c r="N15988" s="1" t="s">
        <v>38</v>
      </c>
      <c r="O15988" s="1" t="s">
        <v>46</v>
      </c>
    </row>
    <row r="15989" spans="2:15" x14ac:dyDescent="0.3">
      <c r="B15989" s="1" t="s">
        <v>19</v>
      </c>
      <c r="C15989" s="1" t="str">
        <f>"4차"</f>
        <v>4차</v>
      </c>
      <c r="D15989" s="1" t="str">
        <f>"0130G92144"</f>
        <v>0130G92144</v>
      </c>
      <c r="E15989" s="1" t="s">
        <v>10</v>
      </c>
      <c r="F15989" s="1" t="str">
        <f>"10.107.15.6"</f>
        <v>10.107.15.6</v>
      </c>
      <c r="G15989" s="1" t="str">
        <f>"0130G921"</f>
        <v>0130G921</v>
      </c>
      <c r="H15989" s="1" t="str">
        <f>"구청지 8L6"</f>
        <v>구청지 8L6</v>
      </c>
      <c r="I15989" s="1" t="s">
        <v>8</v>
      </c>
      <c r="J15989" s="1" t="str">
        <f>"62/62"</f>
        <v>62/62</v>
      </c>
      <c r="K15989" s="1" t="str">
        <f t="shared" ref="K15989:K16006" si="795">"2026-07-29 13:18:02"</f>
        <v>2026-07-29 13:18:02</v>
      </c>
      <c r="L15989" s="1" t="str">
        <f>"2019-10-18 16:55:08"</f>
        <v>2019-10-18 16:55:08</v>
      </c>
      <c r="M15989" s="1" t="s">
        <v>45</v>
      </c>
      <c r="N15989" s="1" t="s">
        <v>38</v>
      </c>
      <c r="O15989" s="1" t="s">
        <v>46</v>
      </c>
    </row>
    <row r="15990" spans="2:15" x14ac:dyDescent="0.3">
      <c r="B15990" s="1" t="s">
        <v>19</v>
      </c>
      <c r="C15990" s="1" t="str">
        <f>"4차"</f>
        <v>4차</v>
      </c>
      <c r="D15990" s="1" t="str">
        <f>"0130G93144"</f>
        <v>0130G93144</v>
      </c>
      <c r="E15990" s="1" t="s">
        <v>10</v>
      </c>
      <c r="F15990" s="1" t="str">
        <f>"10.107.15.5"</f>
        <v>10.107.15.5</v>
      </c>
      <c r="G15990" s="1" t="str">
        <f>"0130G931"</f>
        <v>0130G931</v>
      </c>
      <c r="H15990" s="1" t="str">
        <f>"구청지 8L5"</f>
        <v>구청지 8L5</v>
      </c>
      <c r="I15990" s="1" t="s">
        <v>8</v>
      </c>
      <c r="J15990" s="1" t="str">
        <f>"111/116"</f>
        <v>111/116</v>
      </c>
      <c r="K15990" s="1" t="str">
        <f t="shared" si="795"/>
        <v>2026-07-29 13:18:02</v>
      </c>
      <c r="L15990" s="1" t="str">
        <f>"2019-10-18 17:13:05"</f>
        <v>2019-10-18 17:13:05</v>
      </c>
      <c r="M15990" s="1" t="s">
        <v>45</v>
      </c>
      <c r="N15990" s="1" t="s">
        <v>38</v>
      </c>
      <c r="O15990" s="1" t="s">
        <v>46</v>
      </c>
    </row>
    <row r="15991" spans="2:15" x14ac:dyDescent="0.3">
      <c r="B15991" s="1" t="s">
        <v>19</v>
      </c>
      <c r="C15991" s="1" t="str">
        <f>"1차"</f>
        <v>1차</v>
      </c>
      <c r="D15991" s="1" t="str">
        <f>"0130H00101"</f>
        <v>0130H00101</v>
      </c>
      <c r="E15991" s="1" t="s">
        <v>10</v>
      </c>
      <c r="F15991" s="1" t="str">
        <f>"10.14.14.123"</f>
        <v>10.14.14.123</v>
      </c>
      <c r="G15991" s="1" t="str">
        <f>"0130H001"</f>
        <v>0130H001</v>
      </c>
      <c r="H15991" s="1" t="str">
        <f>"구청지 15L8L2"</f>
        <v>구청지 15L8L2</v>
      </c>
      <c r="I15991" s="1" t="s">
        <v>8</v>
      </c>
      <c r="J15991" s="1" t="str">
        <f>"38/38"</f>
        <v>38/38</v>
      </c>
      <c r="K15991" s="1" t="str">
        <f t="shared" si="795"/>
        <v>2026-07-29 13:18:02</v>
      </c>
      <c r="L15991" s="1" t="str">
        <f>"2014-11-06 16:57:12"</f>
        <v>2014-11-06 16:57:12</v>
      </c>
      <c r="M15991" s="1" t="s">
        <v>3</v>
      </c>
      <c r="N15991" s="1" t="s">
        <v>38</v>
      </c>
      <c r="O15991" s="1" t="s">
        <v>46</v>
      </c>
    </row>
    <row r="15992" spans="2:15" x14ac:dyDescent="0.3">
      <c r="B15992" s="1" t="s">
        <v>19</v>
      </c>
      <c r="C15992" s="1" t="str">
        <f>"4차"</f>
        <v>4차</v>
      </c>
      <c r="D15992" s="1" t="str">
        <f>"0130H02139"</f>
        <v>0130H02139</v>
      </c>
      <c r="E15992" s="1" t="s">
        <v>10</v>
      </c>
      <c r="F15992" s="1" t="str">
        <f>"10.107.15.156"</f>
        <v>10.107.15.156</v>
      </c>
      <c r="G15992" s="1" t="str">
        <f>"0130H021"</f>
        <v>0130H021</v>
      </c>
      <c r="H15992" s="1" t="str">
        <f>"구청지 8L8"</f>
        <v>구청지 8L8</v>
      </c>
      <c r="I15992" s="1" t="s">
        <v>8</v>
      </c>
      <c r="J15992" s="1" t="str">
        <f>"84/84"</f>
        <v>84/84</v>
      </c>
      <c r="K15992" s="1" t="str">
        <f t="shared" si="795"/>
        <v>2026-07-29 13:18:02</v>
      </c>
      <c r="L15992" s="1" t="str">
        <f>"2018-09-14 15:43:27"</f>
        <v>2018-09-14 15:43:27</v>
      </c>
      <c r="M15992" s="1" t="s">
        <v>45</v>
      </c>
      <c r="N15992" s="1" t="s">
        <v>38</v>
      </c>
      <c r="O15992" s="1" t="s">
        <v>46</v>
      </c>
    </row>
    <row r="15993" spans="2:15" x14ac:dyDescent="0.3">
      <c r="B15993" s="1" t="s">
        <v>19</v>
      </c>
      <c r="C15993" s="1" t="str">
        <f>"4차"</f>
        <v>4차</v>
      </c>
      <c r="D15993" s="1" t="str">
        <f>"0130H11144"</f>
        <v>0130H11144</v>
      </c>
      <c r="E15993" s="1" t="s">
        <v>10</v>
      </c>
      <c r="F15993" s="1" t="str">
        <f>"10.107.15.4"</f>
        <v>10.107.15.4</v>
      </c>
      <c r="G15993" s="1" t="str">
        <f>"0130H111"</f>
        <v>0130H111</v>
      </c>
      <c r="H15993" s="1" t="str">
        <f>"구청지 8L10"</f>
        <v>구청지 8L10</v>
      </c>
      <c r="I15993" s="1" t="s">
        <v>8</v>
      </c>
      <c r="J15993" s="1" t="str">
        <f>"71/71"</f>
        <v>71/71</v>
      </c>
      <c r="K15993" s="1" t="str">
        <f t="shared" si="795"/>
        <v>2026-07-29 13:18:02</v>
      </c>
      <c r="L15993" s="1" t="str">
        <f>"2019-10-18 16:49:08"</f>
        <v>2019-10-18 16:49:08</v>
      </c>
      <c r="M15993" s="1" t="s">
        <v>45</v>
      </c>
      <c r="N15993" s="1" t="s">
        <v>38</v>
      </c>
      <c r="O15993" s="1" t="s">
        <v>46</v>
      </c>
    </row>
    <row r="15994" spans="2:15" x14ac:dyDescent="0.3">
      <c r="B15994" s="1" t="s">
        <v>19</v>
      </c>
      <c r="C15994" s="1" t="str">
        <f>"1차"</f>
        <v>1차</v>
      </c>
      <c r="D15994" s="1" t="str">
        <f>"0130H30100"</f>
        <v>0130H30100</v>
      </c>
      <c r="E15994" s="1" t="s">
        <v>10</v>
      </c>
      <c r="F15994" s="1" t="str">
        <f>"10.107.127.50"</f>
        <v>10.107.127.50</v>
      </c>
      <c r="G15994" s="1" t="str">
        <f>"0130H301"</f>
        <v>0130H301</v>
      </c>
      <c r="H15994" s="1" t="str">
        <f>"구청지 8L14"</f>
        <v>구청지 8L14</v>
      </c>
      <c r="I15994" s="1" t="s">
        <v>8</v>
      </c>
      <c r="J15994" s="1" t="str">
        <f>"38/38"</f>
        <v>38/38</v>
      </c>
      <c r="K15994" s="1" t="str">
        <f t="shared" si="795"/>
        <v>2026-07-29 13:18:02</v>
      </c>
      <c r="L15994" s="1" t="str">
        <f>"2014-11-27 14:28:37"</f>
        <v>2014-11-27 14:28:37</v>
      </c>
      <c r="M15994" s="1" t="s">
        <v>45</v>
      </c>
      <c r="N15994" s="1" t="s">
        <v>38</v>
      </c>
      <c r="O15994" s="1" t="s">
        <v>46</v>
      </c>
    </row>
    <row r="15995" spans="2:15" x14ac:dyDescent="0.3">
      <c r="B15995" s="1" t="s">
        <v>19</v>
      </c>
      <c r="C15995" s="1" t="str">
        <f t="shared" ref="C15995:C16007" si="796">"4차"</f>
        <v>4차</v>
      </c>
      <c r="D15995" s="1" t="str">
        <f>"0130P00144"</f>
        <v>0130P00144</v>
      </c>
      <c r="E15995" s="1" t="s">
        <v>10</v>
      </c>
      <c r="F15995" s="1" t="str">
        <f>"10.107.120.151"</f>
        <v>10.107.120.151</v>
      </c>
      <c r="G15995" s="1" t="str">
        <f>"0130P001"</f>
        <v>0130P001</v>
      </c>
      <c r="H15995" s="1" t="str">
        <f>"한신지 45R3"</f>
        <v>한신지 45R3</v>
      </c>
      <c r="I15995" s="1" t="s">
        <v>8</v>
      </c>
      <c r="J15995" s="1" t="str">
        <f>"125/127"</f>
        <v>125/127</v>
      </c>
      <c r="K15995" s="1" t="str">
        <f t="shared" si="795"/>
        <v>2026-07-29 13:18:02</v>
      </c>
      <c r="L15995" s="1" t="str">
        <f>"2019-12-13 09:18:37"</f>
        <v>2019-12-13 09:18:37</v>
      </c>
      <c r="M15995" s="1" t="s">
        <v>45</v>
      </c>
      <c r="N15995" s="1" t="s">
        <v>38</v>
      </c>
      <c r="O15995" s="1" t="s">
        <v>46</v>
      </c>
    </row>
    <row r="15996" spans="2:15" x14ac:dyDescent="0.3">
      <c r="B15996" s="1" t="s">
        <v>19</v>
      </c>
      <c r="C15996" s="1" t="str">
        <f t="shared" si="796"/>
        <v>4차</v>
      </c>
      <c r="D15996" s="1" t="str">
        <f>"0130P00344"</f>
        <v>0130P00344</v>
      </c>
      <c r="E15996" s="1" t="s">
        <v>10</v>
      </c>
      <c r="F15996" s="1" t="str">
        <f>"10.107.120.152"</f>
        <v>10.107.120.152</v>
      </c>
      <c r="G15996" s="1" t="str">
        <f>"0130P003"</f>
        <v>0130P003</v>
      </c>
      <c r="H15996" s="1" t="str">
        <f>"한신지 45R4"</f>
        <v>한신지 45R4</v>
      </c>
      <c r="I15996" s="1" t="s">
        <v>8</v>
      </c>
      <c r="J15996" s="1" t="str">
        <f>"41/41"</f>
        <v>41/41</v>
      </c>
      <c r="K15996" s="1" t="str">
        <f t="shared" si="795"/>
        <v>2026-07-29 13:18:02</v>
      </c>
      <c r="L15996" s="1" t="str">
        <f>"2019-12-13 09:10:42"</f>
        <v>2019-12-13 09:10:42</v>
      </c>
      <c r="M15996" s="1" t="s">
        <v>45</v>
      </c>
      <c r="N15996" s="1" t="s">
        <v>38</v>
      </c>
      <c r="O15996" s="1" t="s">
        <v>46</v>
      </c>
    </row>
    <row r="15997" spans="2:15" x14ac:dyDescent="0.3">
      <c r="B15997" s="1" t="s">
        <v>19</v>
      </c>
      <c r="C15997" s="1" t="str">
        <f t="shared" si="796"/>
        <v>4차</v>
      </c>
      <c r="D15997" s="1" t="str">
        <f>"0130P06344"</f>
        <v>0130P06344</v>
      </c>
      <c r="E15997" s="1" t="s">
        <v>10</v>
      </c>
      <c r="F15997" s="1" t="str">
        <f>"10.107.122.42"</f>
        <v>10.107.122.42</v>
      </c>
      <c r="G15997" s="1" t="str">
        <f>"0130P063"</f>
        <v>0130P063</v>
      </c>
      <c r="H15997" s="1" t="str">
        <f>"삼원간 17R15"</f>
        <v>삼원간 17R15</v>
      </c>
      <c r="I15997" s="1" t="s">
        <v>8</v>
      </c>
      <c r="J15997" s="1" t="str">
        <f>"20/20"</f>
        <v>20/20</v>
      </c>
      <c r="K15997" s="1" t="str">
        <f t="shared" si="795"/>
        <v>2026-07-29 13:18:02</v>
      </c>
      <c r="L15997" s="1" t="str">
        <f>"2019-10-18 18:39:53"</f>
        <v>2019-10-18 18:39:53</v>
      </c>
      <c r="M15997" s="1" t="s">
        <v>45</v>
      </c>
      <c r="N15997" s="1" t="s">
        <v>38</v>
      </c>
      <c r="O15997" s="1" t="s">
        <v>46</v>
      </c>
    </row>
    <row r="15998" spans="2:15" x14ac:dyDescent="0.3">
      <c r="B15998" s="1" t="s">
        <v>19</v>
      </c>
      <c r="C15998" s="1" t="str">
        <f t="shared" si="796"/>
        <v>4차</v>
      </c>
      <c r="D15998" s="1" t="str">
        <f>"0130P06644"</f>
        <v>0130P06644</v>
      </c>
      <c r="E15998" s="1" t="s">
        <v>10</v>
      </c>
      <c r="F15998" s="1" t="str">
        <f>"10.107.122.43"</f>
        <v>10.107.122.43</v>
      </c>
      <c r="G15998" s="1" t="str">
        <f>"0130P066"</f>
        <v>0130P066</v>
      </c>
      <c r="H15998" s="1" t="str">
        <f>"삼원간 17R16"</f>
        <v>삼원간 17R16</v>
      </c>
      <c r="I15998" s="1" t="s">
        <v>8</v>
      </c>
      <c r="J15998" s="1" t="str">
        <f>"56/56"</f>
        <v>56/56</v>
      </c>
      <c r="K15998" s="1" t="str">
        <f t="shared" si="795"/>
        <v>2026-07-29 13:18:02</v>
      </c>
      <c r="L15998" s="1" t="str">
        <f>"2019-10-18 18:48:09"</f>
        <v>2019-10-18 18:48:09</v>
      </c>
      <c r="M15998" s="1" t="s">
        <v>45</v>
      </c>
      <c r="N15998" s="1" t="s">
        <v>38</v>
      </c>
      <c r="O15998" s="1" t="s">
        <v>46</v>
      </c>
    </row>
    <row r="15999" spans="2:15" x14ac:dyDescent="0.3">
      <c r="B15999" s="1" t="s">
        <v>19</v>
      </c>
      <c r="C15999" s="1" t="str">
        <f t="shared" si="796"/>
        <v>4차</v>
      </c>
      <c r="D15999" s="1" t="str">
        <f>"0130P06744"</f>
        <v>0130P06744</v>
      </c>
      <c r="E15999" s="1" t="s">
        <v>10</v>
      </c>
      <c r="F15999" s="1" t="str">
        <f>"10.107.122.44"</f>
        <v>10.107.122.44</v>
      </c>
      <c r="G15999" s="1" t="str">
        <f>"0130P067"</f>
        <v>0130P067</v>
      </c>
      <c r="H15999" s="1" t="str">
        <f>"삼원간 17R17"</f>
        <v>삼원간 17R17</v>
      </c>
      <c r="I15999" s="1" t="s">
        <v>8</v>
      </c>
      <c r="J15999" s="1" t="str">
        <f>"19/19"</f>
        <v>19/19</v>
      </c>
      <c r="K15999" s="1" t="str">
        <f t="shared" si="795"/>
        <v>2026-07-29 13:18:02</v>
      </c>
      <c r="L15999" s="1" t="str">
        <f>"2019-12-30 11:22:33"</f>
        <v>2019-12-30 11:22:33</v>
      </c>
      <c r="M15999" s="1" t="s">
        <v>45</v>
      </c>
      <c r="N15999" s="1" t="s">
        <v>38</v>
      </c>
      <c r="O15999" s="1" t="s">
        <v>46</v>
      </c>
    </row>
    <row r="16000" spans="2:15" x14ac:dyDescent="0.3">
      <c r="B16000" s="1" t="s">
        <v>19</v>
      </c>
      <c r="C16000" s="1" t="str">
        <f t="shared" si="796"/>
        <v>4차</v>
      </c>
      <c r="D16000" s="1" t="str">
        <f>"0130P11144"</f>
        <v>0130P11144</v>
      </c>
      <c r="E16000" s="1" t="s">
        <v>10</v>
      </c>
      <c r="F16000" s="1" t="str">
        <f>"10.107.120.153"</f>
        <v>10.107.120.153</v>
      </c>
      <c r="G16000" s="1" t="str">
        <f>"0130P111"</f>
        <v>0130P111</v>
      </c>
      <c r="H16000" s="1" t="str">
        <f>"한신지 45R1"</f>
        <v>한신지 45R1</v>
      </c>
      <c r="I16000" s="1" t="s">
        <v>8</v>
      </c>
      <c r="J16000" s="1" t="str">
        <f>"62/62"</f>
        <v>62/62</v>
      </c>
      <c r="K16000" s="1" t="str">
        <f t="shared" si="795"/>
        <v>2026-07-29 13:18:02</v>
      </c>
      <c r="L16000" s="1" t="str">
        <f>"2020-02-10 18:39:07"</f>
        <v>2020-02-10 18:39:07</v>
      </c>
      <c r="M16000" s="1" t="s">
        <v>45</v>
      </c>
      <c r="N16000" s="1" t="s">
        <v>38</v>
      </c>
      <c r="O16000" s="1" t="s">
        <v>46</v>
      </c>
    </row>
    <row r="16001" spans="2:15" x14ac:dyDescent="0.3">
      <c r="B16001" s="1" t="s">
        <v>19</v>
      </c>
      <c r="C16001" s="1" t="str">
        <f t="shared" si="796"/>
        <v>4차</v>
      </c>
      <c r="D16001" s="1" t="str">
        <f>"0130P11244"</f>
        <v>0130P11244</v>
      </c>
      <c r="E16001" s="1" t="s">
        <v>10</v>
      </c>
      <c r="F16001" s="1" t="str">
        <f>"10.107.120.154"</f>
        <v>10.107.120.154</v>
      </c>
      <c r="G16001" s="1" t="str">
        <f>"0130P112"</f>
        <v>0130P112</v>
      </c>
      <c r="H16001" s="1" t="str">
        <f>"한신지 45R2"</f>
        <v>한신지 45R2</v>
      </c>
      <c r="I16001" s="1" t="s">
        <v>8</v>
      </c>
      <c r="J16001" s="1" t="str">
        <f>"81/81"</f>
        <v>81/81</v>
      </c>
      <c r="K16001" s="1" t="str">
        <f t="shared" si="795"/>
        <v>2026-07-29 13:18:02</v>
      </c>
      <c r="L16001" s="1" t="str">
        <f>"2019-12-13 09:10:46"</f>
        <v>2019-12-13 09:10:46</v>
      </c>
      <c r="M16001" s="1" t="s">
        <v>45</v>
      </c>
      <c r="N16001" s="1" t="s">
        <v>38</v>
      </c>
      <c r="O16001" s="1" t="s">
        <v>46</v>
      </c>
    </row>
    <row r="16002" spans="2:15" x14ac:dyDescent="0.3">
      <c r="B16002" s="1" t="s">
        <v>19</v>
      </c>
      <c r="C16002" s="1" t="str">
        <f t="shared" si="796"/>
        <v>4차</v>
      </c>
      <c r="D16002" s="1" t="str">
        <f>"0130P13144"</f>
        <v>0130P13144</v>
      </c>
      <c r="E16002" s="1" t="s">
        <v>10</v>
      </c>
      <c r="F16002" s="1" t="str">
        <f>"10.107.119.138"</f>
        <v>10.107.119.138</v>
      </c>
      <c r="G16002" s="1" t="str">
        <f>"0130P131"</f>
        <v>0130P131</v>
      </c>
      <c r="H16002" s="1" t="str">
        <f>"화계지 38"</f>
        <v>화계지 38</v>
      </c>
      <c r="I16002" s="1" t="s">
        <v>8</v>
      </c>
      <c r="J16002" s="1" t="str">
        <f>"84/91"</f>
        <v>84/91</v>
      </c>
      <c r="K16002" s="1" t="str">
        <f t="shared" si="795"/>
        <v>2026-07-29 13:18:02</v>
      </c>
      <c r="L16002" s="1" t="str">
        <f>"2019-12-13 09:19:27"</f>
        <v>2019-12-13 09:19:27</v>
      </c>
      <c r="M16002" s="1" t="s">
        <v>45</v>
      </c>
      <c r="N16002" s="1" t="s">
        <v>38</v>
      </c>
      <c r="O16002" s="1" t="s">
        <v>46</v>
      </c>
    </row>
    <row r="16003" spans="2:15" x14ac:dyDescent="0.3">
      <c r="B16003" s="1" t="s">
        <v>19</v>
      </c>
      <c r="C16003" s="1" t="str">
        <f t="shared" si="796"/>
        <v>4차</v>
      </c>
      <c r="D16003" s="1" t="str">
        <f>"0130P13344"</f>
        <v>0130P13344</v>
      </c>
      <c r="E16003" s="1" t="s">
        <v>10</v>
      </c>
      <c r="F16003" s="1" t="str">
        <f>"10.107.119.139"</f>
        <v>10.107.119.139</v>
      </c>
      <c r="G16003" s="1" t="str">
        <f>"0130P133"</f>
        <v>0130P133</v>
      </c>
      <c r="H16003" s="1" t="str">
        <f>"한신지 42"</f>
        <v>한신지 42</v>
      </c>
      <c r="I16003" s="1" t="s">
        <v>8</v>
      </c>
      <c r="J16003" s="1" t="str">
        <f>"23/23"</f>
        <v>23/23</v>
      </c>
      <c r="K16003" s="1" t="str">
        <f t="shared" si="795"/>
        <v>2026-07-29 13:18:02</v>
      </c>
      <c r="L16003" s="1" t="str">
        <f>"2019-12-13 09:16:06"</f>
        <v>2019-12-13 09:16:06</v>
      </c>
      <c r="M16003" s="1" t="s">
        <v>45</v>
      </c>
      <c r="N16003" s="1" t="s">
        <v>38</v>
      </c>
      <c r="O16003" s="1" t="s">
        <v>46</v>
      </c>
    </row>
    <row r="16004" spans="2:15" x14ac:dyDescent="0.3">
      <c r="B16004" s="1" t="s">
        <v>19</v>
      </c>
      <c r="C16004" s="1" t="str">
        <f t="shared" si="796"/>
        <v>4차</v>
      </c>
      <c r="D16004" s="1" t="str">
        <f>"0130P18144"</f>
        <v>0130P18144</v>
      </c>
      <c r="E16004" s="1" t="s">
        <v>10</v>
      </c>
      <c r="F16004" s="1" t="str">
        <f>"10.107.122.45"</f>
        <v>10.107.122.45</v>
      </c>
      <c r="G16004" s="1" t="str">
        <f>"0130P181"</f>
        <v>0130P181</v>
      </c>
      <c r="H16004" s="1" t="str">
        <f>"삼원간 17R14R1"</f>
        <v>삼원간 17R14R1</v>
      </c>
      <c r="I16004" s="1" t="s">
        <v>8</v>
      </c>
      <c r="J16004" s="1" t="str">
        <f>"46/46"</f>
        <v>46/46</v>
      </c>
      <c r="K16004" s="1" t="str">
        <f t="shared" si="795"/>
        <v>2026-07-29 13:18:02</v>
      </c>
      <c r="L16004" s="1" t="str">
        <f>"2019-10-18 18:46:23"</f>
        <v>2019-10-18 18:46:23</v>
      </c>
      <c r="M16004" s="1" t="s">
        <v>45</v>
      </c>
      <c r="N16004" s="1" t="s">
        <v>38</v>
      </c>
      <c r="O16004" s="1" t="s">
        <v>46</v>
      </c>
    </row>
    <row r="16005" spans="2:15" x14ac:dyDescent="0.3">
      <c r="B16005" s="1" t="s">
        <v>19</v>
      </c>
      <c r="C16005" s="1" t="str">
        <f t="shared" si="796"/>
        <v>4차</v>
      </c>
      <c r="D16005" s="1" t="str">
        <f>"0130P20344"</f>
        <v>0130P20344</v>
      </c>
      <c r="E16005" s="1" t="s">
        <v>10</v>
      </c>
      <c r="F16005" s="1" t="str">
        <f>"10.107.120.155"</f>
        <v>10.107.120.155</v>
      </c>
      <c r="G16005" s="1" t="str">
        <f>"0130P203"</f>
        <v>0130P203</v>
      </c>
      <c r="H16005" s="1" t="str">
        <f>"한신지 48"</f>
        <v>한신지 48</v>
      </c>
      <c r="I16005" s="1" t="s">
        <v>8</v>
      </c>
      <c r="J16005" s="1" t="str">
        <f>"24/24"</f>
        <v>24/24</v>
      </c>
      <c r="K16005" s="1" t="str">
        <f t="shared" si="795"/>
        <v>2026-07-29 13:18:02</v>
      </c>
      <c r="L16005" s="1" t="str">
        <f>"2019-12-13 12:10:19"</f>
        <v>2019-12-13 12:10:19</v>
      </c>
      <c r="M16005" s="1" t="s">
        <v>45</v>
      </c>
      <c r="N16005" s="1" t="s">
        <v>38</v>
      </c>
      <c r="O16005" s="1" t="s">
        <v>46</v>
      </c>
    </row>
    <row r="16006" spans="2:15" x14ac:dyDescent="0.3">
      <c r="B16006" s="1" t="s">
        <v>19</v>
      </c>
      <c r="C16006" s="1" t="str">
        <f t="shared" si="796"/>
        <v>4차</v>
      </c>
      <c r="D16006" s="1" t="str">
        <f>"0130P22144"</f>
        <v>0130P22144</v>
      </c>
      <c r="E16006" s="1" t="s">
        <v>10</v>
      </c>
      <c r="F16006" s="1" t="str">
        <f>"10.107.119.140"</f>
        <v>10.107.119.140</v>
      </c>
      <c r="G16006" s="1" t="str">
        <f>"0130P221"</f>
        <v>0130P221</v>
      </c>
      <c r="H16006" s="1" t="str">
        <f>"화계지 40"</f>
        <v>화계지 40</v>
      </c>
      <c r="I16006" s="1" t="s">
        <v>8</v>
      </c>
      <c r="J16006" s="1" t="str">
        <f>"31/33"</f>
        <v>31/33</v>
      </c>
      <c r="K16006" s="1" t="str">
        <f t="shared" si="795"/>
        <v>2026-07-29 13:18:02</v>
      </c>
      <c r="L16006" s="1" t="str">
        <f>"2019-12-13 09:13:02"</f>
        <v>2019-12-13 09:13:02</v>
      </c>
      <c r="M16006" s="1" t="s">
        <v>45</v>
      </c>
      <c r="N16006" s="1" t="s">
        <v>38</v>
      </c>
      <c r="O16006" s="1" t="s">
        <v>46</v>
      </c>
    </row>
    <row r="16007" spans="2:15" x14ac:dyDescent="0.3">
      <c r="B16007" s="1" t="s">
        <v>19</v>
      </c>
      <c r="C16007" s="1" t="str">
        <f t="shared" si="796"/>
        <v>4차</v>
      </c>
      <c r="D16007" s="1" t="str">
        <f>"0130P22444"</f>
        <v>0130P22444</v>
      </c>
      <c r="E16007" s="1" t="s">
        <v>10</v>
      </c>
      <c r="F16007" s="1" t="str">
        <f>"10.107.119.141"</f>
        <v>10.107.119.141</v>
      </c>
      <c r="G16007" s="1" t="str">
        <f>"0130P224"</f>
        <v>0130P224</v>
      </c>
      <c r="H16007" s="1" t="str">
        <f>"한신지 44"</f>
        <v>한신지 44</v>
      </c>
      <c r="I16007" s="1" t="s">
        <v>8</v>
      </c>
      <c r="J16007" s="1" t="str">
        <f>"24/26"</f>
        <v>24/26</v>
      </c>
      <c r="K16007" s="1" t="str">
        <f>"2026-07-29 13:18:01"</f>
        <v>2026-07-29 13:18:01</v>
      </c>
      <c r="L16007" s="1" t="str">
        <f>"2019-12-13 09:16:15"</f>
        <v>2019-12-13 09:16:15</v>
      </c>
      <c r="M16007" s="1" t="s">
        <v>45</v>
      </c>
      <c r="N16007" s="1" t="s">
        <v>38</v>
      </c>
      <c r="O16007" s="1" t="s">
        <v>46</v>
      </c>
    </row>
    <row r="16008" spans="2:15" x14ac:dyDescent="0.3">
      <c r="B16008" s="1" t="s">
        <v>19</v>
      </c>
      <c r="C16008" s="1" t="str">
        <f>"5-2차"</f>
        <v>5-2차</v>
      </c>
      <c r="D16008" s="1" t="str">
        <f>"0130P2525M"</f>
        <v>0130P2525M</v>
      </c>
      <c r="E16008" s="1" t="s">
        <v>10</v>
      </c>
      <c r="F16008" s="1" t="str">
        <f>"fde3:102:1410:4600:0:0:0:8"</f>
        <v>fde3:102:1410:4600:0:0:0:8</v>
      </c>
      <c r="G16008" s="1" t="str">
        <f>"0130P252"</f>
        <v>0130P252</v>
      </c>
      <c r="H16008" s="1" t="str">
        <f>"화계지 36L4"</f>
        <v>화계지 36L4</v>
      </c>
      <c r="I16008" s="1" t="s">
        <v>15</v>
      </c>
      <c r="J16008" s="1" t="str">
        <f>"19/19"</f>
        <v>19/19</v>
      </c>
      <c r="K16008" s="1" t="str">
        <f>"2026-07-29 08:20:04"</f>
        <v>2026-07-29 08:20:04</v>
      </c>
      <c r="L16008" s="1" t="str">
        <f>"2023-08-17 11:02:09"</f>
        <v>2023-08-17 11:02:09</v>
      </c>
      <c r="M16008" s="1" t="s">
        <v>45</v>
      </c>
      <c r="N16008" s="1" t="s">
        <v>38</v>
      </c>
      <c r="O16008" s="1" t="s">
        <v>46</v>
      </c>
    </row>
    <row r="16009" spans="2:15" x14ac:dyDescent="0.3">
      <c r="B16009" s="1" t="s">
        <v>19</v>
      </c>
      <c r="C16009" s="1" t="str">
        <f>"4차"</f>
        <v>4차</v>
      </c>
      <c r="D16009" s="1" t="str">
        <f>"0130P27244"</f>
        <v>0130P27244</v>
      </c>
      <c r="E16009" s="1" t="s">
        <v>10</v>
      </c>
      <c r="F16009" s="1" t="str">
        <f>"10.107.122.46"</f>
        <v>10.107.122.46</v>
      </c>
      <c r="G16009" s="1" t="str">
        <f>"0130P272"</f>
        <v>0130P272</v>
      </c>
      <c r="H16009" s="1" t="str">
        <f>"삼원간 17R12"</f>
        <v>삼원간 17R12</v>
      </c>
      <c r="I16009" s="1" t="s">
        <v>8</v>
      </c>
      <c r="J16009" s="1" t="str">
        <f>"47/47"</f>
        <v>47/47</v>
      </c>
      <c r="K16009" s="1" t="str">
        <f>"2026-07-29 13:18:01"</f>
        <v>2026-07-29 13:18:01</v>
      </c>
      <c r="L16009" s="1" t="str">
        <f>"2019-10-18 19:03:04"</f>
        <v>2019-10-18 19:03:04</v>
      </c>
      <c r="M16009" s="1" t="s">
        <v>45</v>
      </c>
      <c r="N16009" s="1" t="s">
        <v>38</v>
      </c>
      <c r="O16009" s="1" t="s">
        <v>46</v>
      </c>
    </row>
    <row r="16010" spans="2:15" x14ac:dyDescent="0.3">
      <c r="B16010" s="1" t="s">
        <v>19</v>
      </c>
      <c r="C16010" s="1" t="str">
        <f>"4차"</f>
        <v>4차</v>
      </c>
      <c r="D16010" s="1" t="str">
        <f>"0130P29244"</f>
        <v>0130P29244</v>
      </c>
      <c r="E16010" s="1" t="s">
        <v>10</v>
      </c>
      <c r="F16010" s="1" t="str">
        <f>"10.107.122.47"</f>
        <v>10.107.122.47</v>
      </c>
      <c r="G16010" s="1" t="str">
        <f>"0130P292"</f>
        <v>0130P292</v>
      </c>
      <c r="H16010" s="1" t="str">
        <f>"삼원간 17R12R2"</f>
        <v>삼원간 17R12R2</v>
      </c>
      <c r="I16010" s="1" t="s">
        <v>8</v>
      </c>
      <c r="J16010" s="1" t="str">
        <f>"10/10"</f>
        <v>10/10</v>
      </c>
      <c r="K16010" s="1" t="str">
        <f>"2026-07-29 13:18:01"</f>
        <v>2026-07-29 13:18:01</v>
      </c>
      <c r="L16010" s="1" t="str">
        <f>"2019-10-18 19:03:04"</f>
        <v>2019-10-18 19:03:04</v>
      </c>
      <c r="M16010" s="1" t="s">
        <v>45</v>
      </c>
      <c r="N16010" s="1" t="s">
        <v>38</v>
      </c>
      <c r="O16010" s="1" t="s">
        <v>46</v>
      </c>
    </row>
    <row r="16011" spans="2:15" x14ac:dyDescent="0.3">
      <c r="B16011" s="1" t="s">
        <v>19</v>
      </c>
      <c r="C16011" s="1" t="str">
        <f>"4차"</f>
        <v>4차</v>
      </c>
      <c r="D16011" s="1" t="str">
        <f>"0130P32244"</f>
        <v>0130P32244</v>
      </c>
      <c r="E16011" s="1" t="s">
        <v>10</v>
      </c>
      <c r="F16011" s="1" t="str">
        <f>"10.107.119.142"</f>
        <v>10.107.119.142</v>
      </c>
      <c r="G16011" s="1" t="str">
        <f>"0130P322"</f>
        <v>0130P322</v>
      </c>
      <c r="H16011" s="1" t="str">
        <f>"화계지 41H1L2"</f>
        <v>화계지 41H1L2</v>
      </c>
      <c r="I16011" s="1" t="s">
        <v>8</v>
      </c>
      <c r="J16011" s="1" t="str">
        <f>"45/45"</f>
        <v>45/45</v>
      </c>
      <c r="K16011" s="1" t="str">
        <f>"2026-07-29 13:18:02"</f>
        <v>2026-07-29 13:18:02</v>
      </c>
      <c r="L16011" s="1" t="str">
        <f>"2019-12-13 09:03:36"</f>
        <v>2019-12-13 09:03:36</v>
      </c>
      <c r="M16011" s="1" t="s">
        <v>45</v>
      </c>
      <c r="N16011" s="1" t="s">
        <v>38</v>
      </c>
      <c r="O16011" s="1" t="s">
        <v>46</v>
      </c>
    </row>
    <row r="16012" spans="2:15" x14ac:dyDescent="0.3">
      <c r="B16012" s="1" t="s">
        <v>19</v>
      </c>
      <c r="C16012" s="1" t="str">
        <f>"4차"</f>
        <v>4차</v>
      </c>
      <c r="D16012" s="1" t="str">
        <f>"0130P34144"</f>
        <v>0130P34144</v>
      </c>
      <c r="E16012" s="1" t="s">
        <v>10</v>
      </c>
      <c r="F16012" s="1" t="str">
        <f>"10.107.121.34"</f>
        <v>10.107.121.34</v>
      </c>
      <c r="G16012" s="1" t="str">
        <f>"0130P341"</f>
        <v>0130P341</v>
      </c>
      <c r="H16012" s="1" t="str">
        <f>"삼원간 25R12"</f>
        <v>삼원간 25R12</v>
      </c>
      <c r="I16012" s="1" t="s">
        <v>8</v>
      </c>
      <c r="J16012" s="1" t="str">
        <f>"83/83"</f>
        <v>83/83</v>
      </c>
      <c r="K16012" s="1" t="str">
        <f>"2026-07-29 13:18:01"</f>
        <v>2026-07-29 13:18:01</v>
      </c>
      <c r="L16012" s="1" t="str">
        <f>"2019-10-17 19:33:04"</f>
        <v>2019-10-17 19:33:04</v>
      </c>
      <c r="M16012" s="1" t="s">
        <v>45</v>
      </c>
      <c r="N16012" s="1" t="s">
        <v>38</v>
      </c>
      <c r="O16012" s="1" t="s">
        <v>46</v>
      </c>
    </row>
    <row r="16013" spans="2:15" x14ac:dyDescent="0.3">
      <c r="B16013" s="1" t="s">
        <v>19</v>
      </c>
      <c r="C16013" s="1" t="str">
        <f>"5-2차"</f>
        <v>5-2차</v>
      </c>
      <c r="D16013" s="1" t="str">
        <f>"0130P3525M"</f>
        <v>0130P3525M</v>
      </c>
      <c r="E16013" s="1" t="s">
        <v>10</v>
      </c>
      <c r="F16013" s="1" t="str">
        <f>"fde3:102:1410:4600:0:0:0:7"</f>
        <v>fde3:102:1410:4600:0:0:0:7</v>
      </c>
      <c r="G16013" s="1" t="str">
        <f>"0130P352"</f>
        <v>0130P352</v>
      </c>
      <c r="H16013" s="1" t="str">
        <f>"화계지 36L5"</f>
        <v>화계지 36L5</v>
      </c>
      <c r="I16013" s="1" t="s">
        <v>15</v>
      </c>
      <c r="J16013" s="1" t="str">
        <f>"11/21"</f>
        <v>11/21</v>
      </c>
      <c r="K16013" s="1" t="str">
        <f>"2026-07-29 14:20:20"</f>
        <v>2026-07-29 14:20:20</v>
      </c>
      <c r="L16013" s="1" t="str">
        <f>"2023-08-17 11:11:51"</f>
        <v>2023-08-17 11:11:51</v>
      </c>
      <c r="M16013" s="1" t="s">
        <v>45</v>
      </c>
      <c r="N16013" s="1" t="s">
        <v>38</v>
      </c>
      <c r="O16013" s="1" t="s">
        <v>46</v>
      </c>
    </row>
    <row r="16014" spans="2:15" x14ac:dyDescent="0.3">
      <c r="B16014" s="1" t="s">
        <v>19</v>
      </c>
      <c r="C16014" s="1" t="str">
        <f>"4차"</f>
        <v>4차</v>
      </c>
      <c r="D16014" s="1" t="str">
        <f>"0130P37144"</f>
        <v>0130P37144</v>
      </c>
      <c r="E16014" s="1" t="s">
        <v>10</v>
      </c>
      <c r="F16014" s="1" t="str">
        <f>"10.107.122.48"</f>
        <v>10.107.122.48</v>
      </c>
      <c r="G16014" s="1" t="str">
        <f>"0130P371"</f>
        <v>0130P371</v>
      </c>
      <c r="H16014" s="1" t="str">
        <f>"삼원간 17R10"</f>
        <v>삼원간 17R10</v>
      </c>
      <c r="I16014" s="1" t="s">
        <v>8</v>
      </c>
      <c r="J16014" s="1" t="str">
        <f>"41/41"</f>
        <v>41/41</v>
      </c>
      <c r="K16014" s="1" t="str">
        <f>"2026-07-29 13:18:01"</f>
        <v>2026-07-29 13:18:01</v>
      </c>
      <c r="L16014" s="1" t="str">
        <f>"2019-10-17 19:33:05"</f>
        <v>2019-10-17 19:33:05</v>
      </c>
      <c r="M16014" s="1" t="s">
        <v>45</v>
      </c>
      <c r="N16014" s="1" t="s">
        <v>38</v>
      </c>
      <c r="O16014" s="1" t="s">
        <v>46</v>
      </c>
    </row>
    <row r="16015" spans="2:15" x14ac:dyDescent="0.3">
      <c r="B16015" s="1" t="s">
        <v>19</v>
      </c>
      <c r="C16015" s="1" t="str">
        <f>"4차"</f>
        <v>4차</v>
      </c>
      <c r="D16015" s="1" t="str">
        <f>"0130P37244"</f>
        <v>0130P37244</v>
      </c>
      <c r="E16015" s="1" t="s">
        <v>10</v>
      </c>
      <c r="F16015" s="1" t="str">
        <f>"10.107.122.49"</f>
        <v>10.107.122.49</v>
      </c>
      <c r="G16015" s="1" t="str">
        <f>"0130P372"</f>
        <v>0130P372</v>
      </c>
      <c r="H16015" s="1" t="str">
        <f>"삼원간 17R11"</f>
        <v>삼원간 17R11</v>
      </c>
      <c r="I16015" s="1" t="s">
        <v>8</v>
      </c>
      <c r="J16015" s="1" t="str">
        <f>"34/34"</f>
        <v>34/34</v>
      </c>
      <c r="K16015" s="1" t="str">
        <f>"2026-07-29 13:18:01"</f>
        <v>2026-07-29 13:18:01</v>
      </c>
      <c r="L16015" s="1" t="str">
        <f>"2019-10-18 18:13:04"</f>
        <v>2019-10-18 18:13:04</v>
      </c>
      <c r="M16015" s="1" t="s">
        <v>45</v>
      </c>
      <c r="N16015" s="1" t="s">
        <v>38</v>
      </c>
      <c r="O16015" s="1" t="s">
        <v>46</v>
      </c>
    </row>
    <row r="16016" spans="2:15" x14ac:dyDescent="0.3">
      <c r="B16016" s="1" t="s">
        <v>19</v>
      </c>
      <c r="C16016" s="1" t="str">
        <f>"6차"</f>
        <v>6차</v>
      </c>
      <c r="D16016" s="1" t="str">
        <f>"0130P3926S"</f>
        <v>0130P3926S</v>
      </c>
      <c r="E16016" s="1" t="s">
        <v>10</v>
      </c>
      <c r="F16016" s="1" t="str">
        <f>"fde1:103:4:c709:0:0:0:2"</f>
        <v>fde1:103:4:c709:0:0:0:2</v>
      </c>
      <c r="G16016" s="1" t="str">
        <f>"0130P392"</f>
        <v>0130P392</v>
      </c>
      <c r="H16016" s="1" t="str">
        <f>"삼원간 17R10R2"</f>
        <v>삼원간 17R10R2</v>
      </c>
      <c r="I16016" s="1" t="s">
        <v>15</v>
      </c>
      <c r="J16016" s="1" t="str">
        <f>"64/68"</f>
        <v>64/68</v>
      </c>
      <c r="K16016" s="1" t="str">
        <f>"2026-07-29 08:21:00"</f>
        <v>2026-07-29 08:21:00</v>
      </c>
      <c r="L16016" s="1" t="str">
        <f>"2024-12-10 15:53:31"</f>
        <v>2024-12-10 15:53:31</v>
      </c>
      <c r="M16016" s="1" t="s">
        <v>4</v>
      </c>
      <c r="N16016" s="1" t="s">
        <v>38</v>
      </c>
      <c r="O16016" s="1" t="s">
        <v>46</v>
      </c>
    </row>
    <row r="16017" spans="2:15" x14ac:dyDescent="0.3">
      <c r="B16017" s="1" t="s">
        <v>19</v>
      </c>
      <c r="C16017" s="1" t="str">
        <f>"4차"</f>
        <v>4차</v>
      </c>
      <c r="D16017" s="1" t="str">
        <f>"0130P39344"</f>
        <v>0130P39344</v>
      </c>
      <c r="E16017" s="1" t="s">
        <v>10</v>
      </c>
      <c r="F16017" s="1" t="str">
        <f>"10.107.122.50"</f>
        <v>10.107.122.50</v>
      </c>
      <c r="G16017" s="1" t="str">
        <f>"0130P393"</f>
        <v>0130P393</v>
      </c>
      <c r="H16017" s="1" t="str">
        <f>"삼원간 17R10R3"</f>
        <v>삼원간 17R10R3</v>
      </c>
      <c r="I16017" s="1" t="s">
        <v>8</v>
      </c>
      <c r="J16017" s="1" t="str">
        <f>"53/53"</f>
        <v>53/53</v>
      </c>
      <c r="K16017" s="1" t="str">
        <f>"2026-07-29 13:18:00"</f>
        <v>2026-07-29 13:18:00</v>
      </c>
      <c r="L16017" s="1" t="str">
        <f>"2019-10-18 18:33:04"</f>
        <v>2019-10-18 18:33:04</v>
      </c>
      <c r="M16017" s="1" t="s">
        <v>45</v>
      </c>
      <c r="N16017" s="1" t="s">
        <v>38</v>
      </c>
      <c r="O16017" s="1" t="s">
        <v>46</v>
      </c>
    </row>
    <row r="16018" spans="2:15" x14ac:dyDescent="0.3">
      <c r="B16018" s="1" t="s">
        <v>19</v>
      </c>
      <c r="C16018" s="1" t="str">
        <f>"4차"</f>
        <v>4차</v>
      </c>
      <c r="D16018" s="1" t="str">
        <f>"0130P43144"</f>
        <v>0130P43144</v>
      </c>
      <c r="E16018" s="1" t="s">
        <v>10</v>
      </c>
      <c r="F16018" s="1" t="str">
        <f>"10.107.121.35"</f>
        <v>10.107.121.35</v>
      </c>
      <c r="G16018" s="1" t="str">
        <f>"0130P431"</f>
        <v>0130P431</v>
      </c>
      <c r="H16018" s="1" t="str">
        <f>"삼원간 25R8L2"</f>
        <v>삼원간 25R8L2</v>
      </c>
      <c r="I16018" s="1" t="s">
        <v>8</v>
      </c>
      <c r="J16018" s="1" t="str">
        <f>"30/30"</f>
        <v>30/30</v>
      </c>
      <c r="K16018" s="1" t="str">
        <f>"2026-07-29 13:18:01"</f>
        <v>2026-07-29 13:18:01</v>
      </c>
      <c r="L16018" s="1" t="str">
        <f>"2019-10-23 10:26:47"</f>
        <v>2019-10-23 10:26:47</v>
      </c>
      <c r="M16018" s="1" t="s">
        <v>45</v>
      </c>
      <c r="N16018" s="1" t="s">
        <v>38</v>
      </c>
      <c r="O16018" s="1" t="s">
        <v>46</v>
      </c>
    </row>
    <row r="16019" spans="2:15" x14ac:dyDescent="0.3">
      <c r="B16019" s="1" t="s">
        <v>19</v>
      </c>
      <c r="C16019" s="1" t="str">
        <f>"4차"</f>
        <v>4차</v>
      </c>
      <c r="D16019" s="1" t="str">
        <f>"0130P43344"</f>
        <v>0130P43344</v>
      </c>
      <c r="E16019" s="1" t="s">
        <v>10</v>
      </c>
      <c r="F16019" s="1" t="str">
        <f>"10.107.121.36"</f>
        <v>10.107.121.36</v>
      </c>
      <c r="G16019" s="1" t="str">
        <f>"0130P433"</f>
        <v>0130P433</v>
      </c>
      <c r="H16019" s="1" t="str">
        <f>"삼원간 25R7L3"</f>
        <v>삼원간 25R7L3</v>
      </c>
      <c r="I16019" s="1" t="s">
        <v>8</v>
      </c>
      <c r="J16019" s="1" t="str">
        <f>"74/74"</f>
        <v>74/74</v>
      </c>
      <c r="K16019" s="1" t="str">
        <f>"2026-07-29 13:18:01"</f>
        <v>2026-07-29 13:18:01</v>
      </c>
      <c r="L16019" s="1" t="str">
        <f>"2019-10-18 12:19:20"</f>
        <v>2019-10-18 12:19:20</v>
      </c>
      <c r="M16019" s="1" t="s">
        <v>45</v>
      </c>
      <c r="N16019" s="1" t="s">
        <v>38</v>
      </c>
      <c r="O16019" s="1" t="s">
        <v>46</v>
      </c>
    </row>
    <row r="16020" spans="2:15" x14ac:dyDescent="0.3">
      <c r="B16020" s="1" t="s">
        <v>19</v>
      </c>
      <c r="C16020" s="1" t="str">
        <f>"4차"</f>
        <v>4차</v>
      </c>
      <c r="D16020" s="1" t="str">
        <f>"0130P44144"</f>
        <v>0130P44144</v>
      </c>
      <c r="E16020" s="1" t="s">
        <v>10</v>
      </c>
      <c r="F16020" s="1" t="str">
        <f>"10.107.121.37"</f>
        <v>10.107.121.37</v>
      </c>
      <c r="G16020" s="1" t="str">
        <f>"0130P441"</f>
        <v>0130P441</v>
      </c>
      <c r="H16020" s="1" t="str">
        <f>"삼원간 25R11"</f>
        <v>삼원간 25R11</v>
      </c>
      <c r="I16020" s="1" t="s">
        <v>8</v>
      </c>
      <c r="J16020" s="1" t="str">
        <f>"49/49"</f>
        <v>49/49</v>
      </c>
      <c r="K16020" s="1" t="str">
        <f>"2026-07-29 13:18:01"</f>
        <v>2026-07-29 13:18:01</v>
      </c>
      <c r="L16020" s="1" t="str">
        <f>"2019-10-17 19:33:05"</f>
        <v>2019-10-17 19:33:05</v>
      </c>
      <c r="M16020" s="1" t="s">
        <v>45</v>
      </c>
      <c r="N16020" s="1" t="s">
        <v>38</v>
      </c>
      <c r="O16020" s="1" t="s">
        <v>46</v>
      </c>
    </row>
    <row r="16021" spans="2:15" x14ac:dyDescent="0.3">
      <c r="B16021" s="1" t="s">
        <v>19</v>
      </c>
      <c r="C16021" s="1" t="str">
        <f>"5-2차"</f>
        <v>5-2차</v>
      </c>
      <c r="D16021" s="1" t="str">
        <f>"0130P4715S"</f>
        <v>0130P4715S</v>
      </c>
      <c r="E16021" s="1" t="s">
        <v>10</v>
      </c>
      <c r="F16021" s="1" t="str">
        <f>"fde3:102:1410:3200:0:0:0:d"</f>
        <v>fde3:102:1410:3200:0:0:0:d</v>
      </c>
      <c r="G16021" s="1" t="str">
        <f>"0130P471"</f>
        <v>0130P471</v>
      </c>
      <c r="H16021" s="1" t="str">
        <f>"삼원간 17R9"</f>
        <v>삼원간 17R9</v>
      </c>
      <c r="I16021" s="1" t="s">
        <v>15</v>
      </c>
      <c r="J16021" s="1" t="str">
        <f>"40/40"</f>
        <v>40/40</v>
      </c>
      <c r="K16021" s="1" t="str">
        <f>"2026-07-29 14:20:48"</f>
        <v>2026-07-29 14:20:48</v>
      </c>
      <c r="L16021" s="1" t="str">
        <f>"2023-08-17 10:39:40"</f>
        <v>2023-08-17 10:39:40</v>
      </c>
      <c r="M16021" s="1" t="s">
        <v>45</v>
      </c>
      <c r="N16021" s="1" t="s">
        <v>38</v>
      </c>
      <c r="O16021" s="1" t="s">
        <v>46</v>
      </c>
    </row>
    <row r="16022" spans="2:15" x14ac:dyDescent="0.3">
      <c r="B16022" s="1" t="s">
        <v>19</v>
      </c>
      <c r="C16022" s="1" t="str">
        <f>"4차"</f>
        <v>4차</v>
      </c>
      <c r="D16022" s="1" t="str">
        <f>"0130P47344"</f>
        <v>0130P47344</v>
      </c>
      <c r="E16022" s="1" t="s">
        <v>10</v>
      </c>
      <c r="F16022" s="1" t="str">
        <f>"10.107.122.54"</f>
        <v>10.107.122.54</v>
      </c>
      <c r="G16022" s="1" t="str">
        <f>"0130P473"</f>
        <v>0130P473</v>
      </c>
      <c r="H16022" s="1" t="str">
        <f>"화계지 36L6L3"</f>
        <v>화계지 36L6L3</v>
      </c>
      <c r="I16022" s="1" t="s">
        <v>8</v>
      </c>
      <c r="J16022" s="1" t="str">
        <f>"22/22"</f>
        <v>22/22</v>
      </c>
      <c r="K16022" s="1" t="str">
        <f>"2026-07-29 13:18:01"</f>
        <v>2026-07-29 13:18:01</v>
      </c>
      <c r="L16022" s="1" t="str">
        <f>"2019-12-13 09:19:17"</f>
        <v>2019-12-13 09:19:17</v>
      </c>
      <c r="M16022" s="1" t="s">
        <v>45</v>
      </c>
      <c r="N16022" s="1" t="s">
        <v>38</v>
      </c>
      <c r="O16022" s="1" t="s">
        <v>46</v>
      </c>
    </row>
    <row r="16023" spans="2:15" x14ac:dyDescent="0.3">
      <c r="B16023" s="1" t="s">
        <v>19</v>
      </c>
      <c r="C16023" s="1" t="str">
        <f>"4차"</f>
        <v>4차</v>
      </c>
      <c r="D16023" s="1" t="str">
        <f>"0130P49244"</f>
        <v>0130P49244</v>
      </c>
      <c r="E16023" s="1" t="s">
        <v>10</v>
      </c>
      <c r="F16023" s="1" t="str">
        <f>"10.107.122.51"</f>
        <v>10.107.122.51</v>
      </c>
      <c r="G16023" s="1" t="str">
        <f>"0130P492"</f>
        <v>0130P492</v>
      </c>
      <c r="H16023" s="1" t="str">
        <f>"삼원간 17R10R4"</f>
        <v>삼원간 17R10R4</v>
      </c>
      <c r="I16023" s="1" t="s">
        <v>8</v>
      </c>
      <c r="J16023" s="1" t="str">
        <f>"73/73"</f>
        <v>73/73</v>
      </c>
      <c r="K16023" s="1" t="str">
        <f>"2026-07-29 13:18:01"</f>
        <v>2026-07-29 13:18:01</v>
      </c>
      <c r="L16023" s="1" t="str">
        <f>"2019-10-18 18:16:52"</f>
        <v>2019-10-18 18:16:52</v>
      </c>
      <c r="M16023" s="1" t="s">
        <v>45</v>
      </c>
      <c r="N16023" s="1" t="s">
        <v>38</v>
      </c>
      <c r="O16023" s="1" t="s">
        <v>46</v>
      </c>
    </row>
    <row r="16024" spans="2:15" x14ac:dyDescent="0.3">
      <c r="B16024" s="1" t="s">
        <v>19</v>
      </c>
      <c r="C16024" s="1" t="str">
        <f>"4차"</f>
        <v>4차</v>
      </c>
      <c r="D16024" s="1" t="str">
        <f>"0130P54244"</f>
        <v>0130P54244</v>
      </c>
      <c r="E16024" s="1" t="s">
        <v>10</v>
      </c>
      <c r="F16024" s="1" t="str">
        <f>"10.107.121.38"</f>
        <v>10.107.121.38</v>
      </c>
      <c r="G16024" s="1" t="str">
        <f>"0130P542"</f>
        <v>0130P542</v>
      </c>
      <c r="H16024" s="1" t="str">
        <f>"삼원간 25R9"</f>
        <v>삼원간 25R9</v>
      </c>
      <c r="I16024" s="1" t="s">
        <v>8</v>
      </c>
      <c r="J16024" s="1" t="str">
        <f>"59/59"</f>
        <v>59/59</v>
      </c>
      <c r="K16024" s="1" t="str">
        <f>"2026-07-29 13:18:01"</f>
        <v>2026-07-29 13:18:01</v>
      </c>
      <c r="L16024" s="1" t="str">
        <f>"2019-10-21 12:16:33"</f>
        <v>2019-10-21 12:16:33</v>
      </c>
      <c r="M16024" s="1" t="s">
        <v>45</v>
      </c>
      <c r="N16024" s="1" t="s">
        <v>38</v>
      </c>
      <c r="O16024" s="1" t="s">
        <v>46</v>
      </c>
    </row>
    <row r="16025" spans="2:15" x14ac:dyDescent="0.3">
      <c r="B16025" s="1" t="s">
        <v>19</v>
      </c>
      <c r="C16025" s="1" t="str">
        <f>"1차"</f>
        <v>1차</v>
      </c>
      <c r="D16025" s="1" t="str">
        <f>"0130P56500"</f>
        <v>0130P56500</v>
      </c>
      <c r="E16025" s="1" t="s">
        <v>10</v>
      </c>
      <c r="F16025" s="1" t="str">
        <f>"10.107.121.39"</f>
        <v>10.107.121.39</v>
      </c>
      <c r="G16025" s="1" t="str">
        <f>"0130P565"</f>
        <v>0130P565</v>
      </c>
      <c r="H16025" s="1" t="str">
        <f>"화계지 36L5R3"</f>
        <v>화계지 36L5R3</v>
      </c>
      <c r="I16025" s="1" t="s">
        <v>8</v>
      </c>
      <c r="J16025" s="1" t="str">
        <f>"24/30"</f>
        <v>24/30</v>
      </c>
      <c r="K16025" s="1" t="str">
        <f>"2026-07-29 13:18:02"</f>
        <v>2026-07-29 13:18:02</v>
      </c>
      <c r="L16025" s="1" t="str">
        <f>"2014-12-30 19:56:04"</f>
        <v>2014-12-30 19:56:04</v>
      </c>
      <c r="M16025" s="1" t="s">
        <v>45</v>
      </c>
      <c r="N16025" s="1" t="s">
        <v>38</v>
      </c>
      <c r="O16025" s="1" t="s">
        <v>46</v>
      </c>
    </row>
    <row r="16026" spans="2:15" x14ac:dyDescent="0.3">
      <c r="B16026" s="1" t="s">
        <v>19</v>
      </c>
      <c r="C16026" s="1" t="str">
        <f>"4차"</f>
        <v>4차</v>
      </c>
      <c r="D16026" s="1" t="str">
        <f>"0130P59144"</f>
        <v>0130P59144</v>
      </c>
      <c r="E16026" s="1" t="s">
        <v>10</v>
      </c>
      <c r="F16026" s="1" t="str">
        <f>"10.107.122.52"</f>
        <v>10.107.122.52</v>
      </c>
      <c r="G16026" s="1" t="str">
        <f>"0130P591"</f>
        <v>0130P591</v>
      </c>
      <c r="H16026" s="1" t="str">
        <f>"삼원간 17R3R1"</f>
        <v>삼원간 17R3R1</v>
      </c>
      <c r="I16026" s="1" t="s">
        <v>8</v>
      </c>
      <c r="J16026" s="1" t="str">
        <f>"13/13"</f>
        <v>13/13</v>
      </c>
      <c r="K16026" s="1" t="str">
        <f>"2026-07-29 13:18:01"</f>
        <v>2026-07-29 13:18:01</v>
      </c>
      <c r="L16026" s="1" t="str">
        <f>"2019-10-17 18:59:25"</f>
        <v>2019-10-17 18:59:25</v>
      </c>
      <c r="M16026" s="1" t="s">
        <v>45</v>
      </c>
      <c r="N16026" s="1" t="s">
        <v>38</v>
      </c>
      <c r="O16026" s="1" t="s">
        <v>46</v>
      </c>
    </row>
    <row r="16027" spans="2:15" x14ac:dyDescent="0.3">
      <c r="B16027" s="1" t="s">
        <v>19</v>
      </c>
      <c r="C16027" s="1" t="str">
        <f>"4차"</f>
        <v>4차</v>
      </c>
      <c r="D16027" s="1" t="str">
        <f>"0130P63344"</f>
        <v>0130P63344</v>
      </c>
      <c r="E16027" s="1" t="s">
        <v>10</v>
      </c>
      <c r="F16027" s="1" t="str">
        <f>"10.107.121.40"</f>
        <v>10.107.121.40</v>
      </c>
      <c r="G16027" s="1" t="str">
        <f>"0130P633"</f>
        <v>0130P633</v>
      </c>
      <c r="H16027" s="1" t="str">
        <f>"삼원간 25R7"</f>
        <v>삼원간 25R7</v>
      </c>
      <c r="I16027" s="1" t="s">
        <v>8</v>
      </c>
      <c r="J16027" s="1" t="str">
        <f>"27/27"</f>
        <v>27/27</v>
      </c>
      <c r="K16027" s="1" t="str">
        <f>"2026-07-29 13:18:02"</f>
        <v>2026-07-29 13:18:02</v>
      </c>
      <c r="L16027" s="1" t="str">
        <f>"2019-10-17 20:43:03"</f>
        <v>2019-10-17 20:43:03</v>
      </c>
      <c r="M16027" s="1" t="s">
        <v>45</v>
      </c>
      <c r="N16027" s="1" t="s">
        <v>38</v>
      </c>
      <c r="O16027" s="1" t="s">
        <v>46</v>
      </c>
    </row>
    <row r="16028" spans="2:15" x14ac:dyDescent="0.3">
      <c r="B16028" s="1" t="s">
        <v>19</v>
      </c>
      <c r="C16028" s="1" t="str">
        <f>"6차"</f>
        <v>6차</v>
      </c>
      <c r="D16028" s="1" t="str">
        <f>"0130P6416M"</f>
        <v>0130P6416M</v>
      </c>
      <c r="E16028" s="1" t="s">
        <v>10</v>
      </c>
      <c r="F16028" s="1" t="str">
        <f>"fde1:103:4:c7a7:0:0:0:2"</f>
        <v>fde1:103:4:c7a7:0:0:0:2</v>
      </c>
      <c r="G16028" s="1" t="str">
        <f>"0130P641"</f>
        <v>0130P641</v>
      </c>
      <c r="H16028" s="1" t="str">
        <f>"삼원간 25R6R2"</f>
        <v>삼원간 25R6R2</v>
      </c>
      <c r="I16028" s="1" t="s">
        <v>15</v>
      </c>
      <c r="J16028" s="1" t="str">
        <f>"22/30"</f>
        <v>22/30</v>
      </c>
      <c r="K16028" s="1" t="str">
        <f>"2026-07-29 14:20:20"</f>
        <v>2026-07-29 14:20:20</v>
      </c>
      <c r="L16028" s="1" t="str">
        <f>"2024-12-02 13:47:11"</f>
        <v>2024-12-02 13:47:11</v>
      </c>
      <c r="M16028" s="1" t="s">
        <v>4</v>
      </c>
      <c r="N16028" s="1" t="s">
        <v>38</v>
      </c>
      <c r="O16028" s="1" t="s">
        <v>46</v>
      </c>
    </row>
    <row r="16029" spans="2:15" x14ac:dyDescent="0.3">
      <c r="B16029" s="1" t="s">
        <v>19</v>
      </c>
      <c r="C16029" s="1" t="str">
        <f>"4차"</f>
        <v>4차</v>
      </c>
      <c r="D16029" s="1" t="str">
        <f>"0130P67244"</f>
        <v>0130P67244</v>
      </c>
      <c r="E16029" s="1" t="s">
        <v>10</v>
      </c>
      <c r="F16029" s="1" t="str">
        <f>"10.107.122.53"</f>
        <v>10.107.122.53</v>
      </c>
      <c r="G16029" s="1" t="str">
        <f>"0130P672"</f>
        <v>0130P672</v>
      </c>
      <c r="H16029" s="1" t="str">
        <f>"삼원간 17R6L1"</f>
        <v>삼원간 17R6L1</v>
      </c>
      <c r="I16029" s="1" t="s">
        <v>8</v>
      </c>
      <c r="J16029" s="1" t="str">
        <f>"38/39"</f>
        <v>38/39</v>
      </c>
      <c r="K16029" s="1" t="str">
        <f>"2026-07-29 13:18:02"</f>
        <v>2026-07-29 13:18:02</v>
      </c>
      <c r="L16029" s="1" t="str">
        <f>"2019-12-13 08:59:29"</f>
        <v>2019-12-13 08:59:29</v>
      </c>
      <c r="M16029" s="1" t="s">
        <v>45</v>
      </c>
      <c r="N16029" s="1" t="s">
        <v>38</v>
      </c>
      <c r="O16029" s="1" t="s">
        <v>46</v>
      </c>
    </row>
    <row r="16030" spans="2:15" x14ac:dyDescent="0.3">
      <c r="B16030" s="1" t="s">
        <v>19</v>
      </c>
      <c r="C16030" s="1" t="str">
        <f>"3차"</f>
        <v>3차</v>
      </c>
      <c r="D16030" s="1" t="str">
        <f>"0130P69239"</f>
        <v>0130P69239</v>
      </c>
      <c r="E16030" s="1" t="s">
        <v>10</v>
      </c>
      <c r="F16030" s="1" t="str">
        <f>"10.12.137.140"</f>
        <v>10.12.137.140</v>
      </c>
      <c r="G16030" s="1" t="str">
        <f>"0130P692"</f>
        <v>0130P692</v>
      </c>
      <c r="H16030" s="1" t="str">
        <f>"삼원간 17R4"</f>
        <v>삼원간 17R4</v>
      </c>
      <c r="I16030" s="1" t="s">
        <v>8</v>
      </c>
      <c r="J16030" s="1" t="str">
        <f>"46/51"</f>
        <v>46/51</v>
      </c>
      <c r="K16030" s="1" t="str">
        <f>"2026-07-29 13:18:03"</f>
        <v>2026-07-29 13:18:03</v>
      </c>
      <c r="L16030" s="1" t="str">
        <f>"2018-04-24 11:02:28"</f>
        <v>2018-04-24 11:02:28</v>
      </c>
      <c r="M16030" s="1" t="s">
        <v>0</v>
      </c>
      <c r="N16030" s="1" t="s">
        <v>38</v>
      </c>
      <c r="O16030" s="1" t="s">
        <v>46</v>
      </c>
    </row>
    <row r="16031" spans="2:15" x14ac:dyDescent="0.3">
      <c r="B16031" s="1" t="s">
        <v>19</v>
      </c>
      <c r="C16031" s="1" t="str">
        <f>"6차"</f>
        <v>6차</v>
      </c>
      <c r="D16031" s="1" t="str">
        <f>"0130P7226S"</f>
        <v>0130P7226S</v>
      </c>
      <c r="E16031" s="1" t="s">
        <v>10</v>
      </c>
      <c r="F16031" s="1" t="str">
        <f>"fde1:103:4:931a:0:0:0:2"</f>
        <v>fde1:103:4:931a:0:0:0:2</v>
      </c>
      <c r="G16031" s="1" t="str">
        <f>"0130P722"</f>
        <v>0130P722</v>
      </c>
      <c r="H16031" s="1" t="str">
        <f>"삼원간 25R3"</f>
        <v>삼원간 25R3</v>
      </c>
      <c r="I16031" s="1" t="s">
        <v>15</v>
      </c>
      <c r="J16031" s="1" t="str">
        <f>"29/29"</f>
        <v>29/29</v>
      </c>
      <c r="K16031" s="1" t="str">
        <f>"2026-07-29 14:20:20"</f>
        <v>2026-07-29 14:20:20</v>
      </c>
      <c r="L16031" s="1" t="str">
        <f>"2025-02-11 18:10:37"</f>
        <v>2025-02-11 18:10:37</v>
      </c>
      <c r="M16031" s="1" t="s">
        <v>4</v>
      </c>
      <c r="N16031" s="1" t="s">
        <v>38</v>
      </c>
      <c r="O16031" s="1" t="s">
        <v>46</v>
      </c>
    </row>
    <row r="16032" spans="2:15" x14ac:dyDescent="0.3">
      <c r="B16032" s="1" t="s">
        <v>19</v>
      </c>
      <c r="C16032" s="1" t="str">
        <f>"1차"</f>
        <v>1차</v>
      </c>
      <c r="D16032" s="1" t="str">
        <f>"0130P72400"</f>
        <v>0130P72400</v>
      </c>
      <c r="E16032" s="1" t="str">
        <f>"검침실패(3시간 이상)"</f>
        <v>검침실패(3시간 이상)</v>
      </c>
      <c r="F16032" s="1" t="str">
        <f>"10.107.121.41"</f>
        <v>10.107.121.41</v>
      </c>
      <c r="G16032" s="1" t="str">
        <f>"0130P724"</f>
        <v>0130P724</v>
      </c>
      <c r="H16032" s="1" t="str">
        <f>"삼원간 25R5"</f>
        <v>삼원간 25R5</v>
      </c>
      <c r="I16032" s="1" t="s">
        <v>8</v>
      </c>
      <c r="J16032" s="1" t="str">
        <f>"0/34"</f>
        <v>0/34</v>
      </c>
      <c r="K16032" s="1" t="str">
        <f t="shared" ref="K16032:K16040" si="797">"2026-07-29 13:18:02"</f>
        <v>2026-07-29 13:18:02</v>
      </c>
      <c r="L16032" s="1" t="str">
        <f>"2014-11-04 00:12:48"</f>
        <v>2014-11-04 00:12:48</v>
      </c>
      <c r="M16032" s="1" t="s">
        <v>45</v>
      </c>
      <c r="N16032" s="1" t="s">
        <v>38</v>
      </c>
      <c r="O16032" s="1" t="s">
        <v>46</v>
      </c>
    </row>
    <row r="16033" spans="2:15" x14ac:dyDescent="0.3">
      <c r="B16033" s="1" t="s">
        <v>19</v>
      </c>
      <c r="C16033" s="1" t="str">
        <f>"4차"</f>
        <v>4차</v>
      </c>
      <c r="D16033" s="1" t="str">
        <f>"0130P79341"</f>
        <v>0130P79341</v>
      </c>
      <c r="E16033" s="1" t="s">
        <v>10</v>
      </c>
      <c r="F16033" s="1" t="str">
        <f>"10.12.129.192"</f>
        <v>10.12.129.192</v>
      </c>
      <c r="G16033" s="1" t="str">
        <f>"0130P793"</f>
        <v>0130P793</v>
      </c>
      <c r="H16033" s="1" t="str">
        <f>"삼원간 18"</f>
        <v>삼원간 18</v>
      </c>
      <c r="I16033" s="1" t="s">
        <v>17</v>
      </c>
      <c r="J16033" s="1" t="str">
        <f>"27/30"</f>
        <v>27/30</v>
      </c>
      <c r="K16033" s="1" t="str">
        <f t="shared" si="797"/>
        <v>2026-07-29 13:18:02</v>
      </c>
      <c r="L16033" s="1" t="str">
        <f>"2021-08-11 13:41:44"</f>
        <v>2021-08-11 13:41:44</v>
      </c>
      <c r="M16033" s="1" t="s">
        <v>0</v>
      </c>
      <c r="N16033" s="1" t="s">
        <v>38</v>
      </c>
      <c r="O16033" s="1" t="s">
        <v>46</v>
      </c>
    </row>
    <row r="16034" spans="2:15" x14ac:dyDescent="0.3">
      <c r="B16034" s="1" t="s">
        <v>19</v>
      </c>
      <c r="C16034" s="1" t="str">
        <f>"4차"</f>
        <v>4차</v>
      </c>
      <c r="D16034" s="1" t="str">
        <f>"0130P80144"</f>
        <v>0130P80144</v>
      </c>
      <c r="E16034" s="1" t="s">
        <v>10</v>
      </c>
      <c r="F16034" s="1" t="str">
        <f>"10.107.121.42"</f>
        <v>10.107.121.42</v>
      </c>
      <c r="G16034" s="1" t="str">
        <f>"0130P801"</f>
        <v>0130P801</v>
      </c>
      <c r="H16034" s="1" t="str">
        <f>"삼원간 28"</f>
        <v>삼원간 28</v>
      </c>
      <c r="I16034" s="1" t="s">
        <v>8</v>
      </c>
      <c r="J16034" s="1" t="str">
        <f>"32/32"</f>
        <v>32/32</v>
      </c>
      <c r="K16034" s="1" t="str">
        <f t="shared" si="797"/>
        <v>2026-07-29 13:18:02</v>
      </c>
      <c r="L16034" s="1" t="str">
        <f>"2019-10-23 10:40:48"</f>
        <v>2019-10-23 10:40:48</v>
      </c>
      <c r="M16034" s="1" t="s">
        <v>45</v>
      </c>
      <c r="N16034" s="1" t="s">
        <v>38</v>
      </c>
      <c r="O16034" s="1" t="s">
        <v>46</v>
      </c>
    </row>
    <row r="16035" spans="2:15" x14ac:dyDescent="0.3">
      <c r="B16035" s="1" t="s">
        <v>19</v>
      </c>
      <c r="C16035" s="1" t="str">
        <f>"4차"</f>
        <v>4차</v>
      </c>
      <c r="D16035" s="1" t="str">
        <f>"0130P81144"</f>
        <v>0130P81144</v>
      </c>
      <c r="E16035" s="1" t="s">
        <v>10</v>
      </c>
      <c r="F16035" s="1" t="str">
        <f>"10.107.121.43"</f>
        <v>10.107.121.43</v>
      </c>
      <c r="G16035" s="1" t="str">
        <f>"0130P811"</f>
        <v>0130P811</v>
      </c>
      <c r="H16035" s="1" t="str">
        <f>"삼원간 27"</f>
        <v>삼원간 27</v>
      </c>
      <c r="I16035" s="1" t="s">
        <v>8</v>
      </c>
      <c r="J16035" s="1" t="str">
        <f>"9/11"</f>
        <v>9/11</v>
      </c>
      <c r="K16035" s="1" t="str">
        <f t="shared" si="797"/>
        <v>2026-07-29 13:18:02</v>
      </c>
      <c r="L16035" s="1" t="str">
        <f>"2019-10-23 10:33:05"</f>
        <v>2019-10-23 10:33:05</v>
      </c>
      <c r="M16035" s="1" t="s">
        <v>45</v>
      </c>
      <c r="N16035" s="1" t="s">
        <v>38</v>
      </c>
      <c r="O16035" s="1" t="s">
        <v>46</v>
      </c>
    </row>
    <row r="16036" spans="2:15" x14ac:dyDescent="0.3">
      <c r="B16036" s="1" t="s">
        <v>19</v>
      </c>
      <c r="C16036" s="1" t="str">
        <f>"3차"</f>
        <v>3차</v>
      </c>
      <c r="D16036" s="1" t="str">
        <f>"0130P81239"</f>
        <v>0130P81239</v>
      </c>
      <c r="E16036" s="1" t="s">
        <v>10</v>
      </c>
      <c r="F16036" s="1" t="str">
        <f>"10.12.137.129"</f>
        <v>10.12.137.129</v>
      </c>
      <c r="G16036" s="1" t="str">
        <f>"0130P812"</f>
        <v>0130P812</v>
      </c>
      <c r="H16036" s="1" t="str">
        <f>"수유간 57"</f>
        <v>수유간 57</v>
      </c>
      <c r="I16036" s="1" t="s">
        <v>8</v>
      </c>
      <c r="J16036" s="1" t="str">
        <f>"32/32"</f>
        <v>32/32</v>
      </c>
      <c r="K16036" s="1" t="str">
        <f t="shared" si="797"/>
        <v>2026-07-29 13:18:02</v>
      </c>
      <c r="L16036" s="1" t="str">
        <f>"2018-04-24 09:37:41"</f>
        <v>2018-04-24 09:37:41</v>
      </c>
      <c r="M16036" s="1" t="s">
        <v>0</v>
      </c>
      <c r="N16036" s="1" t="s">
        <v>38</v>
      </c>
      <c r="O16036" s="1" t="s">
        <v>46</v>
      </c>
    </row>
    <row r="16037" spans="2:15" x14ac:dyDescent="0.3">
      <c r="B16037" s="1" t="s">
        <v>19</v>
      </c>
      <c r="C16037" s="1" t="str">
        <f>"3차"</f>
        <v>3차</v>
      </c>
      <c r="D16037" s="1" t="str">
        <f>"0130P83139"</f>
        <v>0130P83139</v>
      </c>
      <c r="E16037" s="1" t="s">
        <v>10</v>
      </c>
      <c r="F16037" s="1" t="str">
        <f>"10.107.251.7"</f>
        <v>10.107.251.7</v>
      </c>
      <c r="G16037" s="1" t="str">
        <f>"0130P831"</f>
        <v>0130P831</v>
      </c>
      <c r="H16037" s="1" t="str">
        <f>"수유간 55"</f>
        <v>수유간 55</v>
      </c>
      <c r="I16037" s="1" t="s">
        <v>8</v>
      </c>
      <c r="J16037" s="1" t="str">
        <f>"29/29"</f>
        <v>29/29</v>
      </c>
      <c r="K16037" s="1" t="str">
        <f t="shared" si="797"/>
        <v>2026-07-29 13:18:02</v>
      </c>
      <c r="L16037" s="1" t="str">
        <f>"2018-04-24 09:51:25"</f>
        <v>2018-04-24 09:51:25</v>
      </c>
      <c r="M16037" s="1" t="s">
        <v>45</v>
      </c>
      <c r="N16037" s="1" t="s">
        <v>38</v>
      </c>
      <c r="O16037" s="1" t="s">
        <v>46</v>
      </c>
    </row>
    <row r="16038" spans="2:15" x14ac:dyDescent="0.3">
      <c r="B16038" s="1" t="s">
        <v>19</v>
      </c>
      <c r="C16038" s="1" t="str">
        <f>"1차"</f>
        <v>1차</v>
      </c>
      <c r="D16038" s="1" t="str">
        <f>"0130P85400"</f>
        <v>0130P85400</v>
      </c>
      <c r="E16038" s="1" t="s">
        <v>10</v>
      </c>
      <c r="F16038" s="1" t="str">
        <f>"10.107.121.46"</f>
        <v>10.107.121.46</v>
      </c>
      <c r="G16038" s="1" t="str">
        <f>"0130P854"</f>
        <v>0130P854</v>
      </c>
      <c r="H16038" s="1" t="str">
        <f>"삼원간 23"</f>
        <v>삼원간 23</v>
      </c>
      <c r="I16038" s="1" t="s">
        <v>8</v>
      </c>
      <c r="J16038" s="1" t="str">
        <f>"63/71"</f>
        <v>63/71</v>
      </c>
      <c r="K16038" s="1" t="str">
        <f t="shared" si="797"/>
        <v>2026-07-29 13:18:02</v>
      </c>
      <c r="L16038" s="1" t="str">
        <f>"2014-11-04 00:13:28"</f>
        <v>2014-11-04 00:13:28</v>
      </c>
      <c r="M16038" s="1" t="s">
        <v>45</v>
      </c>
      <c r="N16038" s="1" t="s">
        <v>38</v>
      </c>
      <c r="O16038" s="1" t="s">
        <v>46</v>
      </c>
    </row>
    <row r="16039" spans="2:15" x14ac:dyDescent="0.3">
      <c r="B16039" s="1" t="s">
        <v>19</v>
      </c>
      <c r="C16039" s="1" t="str">
        <f t="shared" ref="C16039:C16060" si="798">"4차"</f>
        <v>4차</v>
      </c>
      <c r="D16039" s="1" t="str">
        <f>"0130P90239"</f>
        <v>0130P90239</v>
      </c>
      <c r="E16039" s="1" t="s">
        <v>10</v>
      </c>
      <c r="F16039" s="1" t="str">
        <f>"10.12.136.182"</f>
        <v>10.12.136.182</v>
      </c>
      <c r="G16039" s="1" t="str">
        <f>"0130P902"</f>
        <v>0130P902</v>
      </c>
      <c r="H16039" s="1" t="str">
        <f>"수유간 55L1R5"</f>
        <v>수유간 55L1R5</v>
      </c>
      <c r="I16039" s="1" t="s">
        <v>8</v>
      </c>
      <c r="J16039" s="1" t="str">
        <f>"65/70"</f>
        <v>65/70</v>
      </c>
      <c r="K16039" s="1" t="str">
        <f t="shared" si="797"/>
        <v>2026-07-29 13:18:02</v>
      </c>
      <c r="L16039" s="1" t="str">
        <f>"2018-09-13 13:42:55"</f>
        <v>2018-09-13 13:42:55</v>
      </c>
      <c r="M16039" s="1" t="s">
        <v>0</v>
      </c>
      <c r="N16039" s="1" t="s">
        <v>38</v>
      </c>
      <c r="O16039" s="1" t="s">
        <v>46</v>
      </c>
    </row>
    <row r="16040" spans="2:15" x14ac:dyDescent="0.3">
      <c r="B16040" s="1" t="s">
        <v>19</v>
      </c>
      <c r="C16040" s="1" t="str">
        <f t="shared" si="798"/>
        <v>4차</v>
      </c>
      <c r="D16040" s="1" t="str">
        <f>"0130P90444"</f>
        <v>0130P90444</v>
      </c>
      <c r="E16040" s="1" t="s">
        <v>10</v>
      </c>
      <c r="F16040" s="1" t="str">
        <f>"10.107.251.130"</f>
        <v>10.107.251.130</v>
      </c>
      <c r="G16040" s="1" t="str">
        <f>"0130P904"</f>
        <v>0130P904</v>
      </c>
      <c r="H16040" s="1" t="str">
        <f>"수유간 55L1R6"</f>
        <v>수유간 55L1R6</v>
      </c>
      <c r="I16040" s="1" t="s">
        <v>8</v>
      </c>
      <c r="J16040" s="1" t="str">
        <f>"64/64"</f>
        <v>64/64</v>
      </c>
      <c r="K16040" s="1" t="str">
        <f t="shared" si="797"/>
        <v>2026-07-29 13:18:02</v>
      </c>
      <c r="L16040" s="1" t="str">
        <f>"2019-11-20 14:11:46"</f>
        <v>2019-11-20 14:11:46</v>
      </c>
      <c r="M16040" s="1" t="s">
        <v>45</v>
      </c>
      <c r="N16040" s="1" t="s">
        <v>38</v>
      </c>
      <c r="O16040" s="1" t="s">
        <v>46</v>
      </c>
    </row>
    <row r="16041" spans="2:15" x14ac:dyDescent="0.3">
      <c r="B16041" s="1" t="s">
        <v>19</v>
      </c>
      <c r="C16041" s="1" t="str">
        <f t="shared" si="798"/>
        <v>4차</v>
      </c>
      <c r="D16041" s="1" t="str">
        <f>"0130P91441"</f>
        <v>0130P91441</v>
      </c>
      <c r="E16041" s="1" t="s">
        <v>10</v>
      </c>
      <c r="F16041" s="1" t="str">
        <f>"10.12.134.138"</f>
        <v>10.12.134.138</v>
      </c>
      <c r="G16041" s="1" t="str">
        <f>"0130P914"</f>
        <v>0130P914</v>
      </c>
      <c r="H16041" s="1" t="str">
        <f>"수유간 55L1R4"</f>
        <v>수유간 55L1R4</v>
      </c>
      <c r="I16041" s="1" t="s">
        <v>17</v>
      </c>
      <c r="J16041" s="1" t="str">
        <f>"15/24"</f>
        <v>15/24</v>
      </c>
      <c r="K16041" s="1" t="str">
        <f>"2026-07-29 13:18:03"</f>
        <v>2026-07-29 13:18:03</v>
      </c>
      <c r="L16041" s="1" t="str">
        <f>"2021-08-12 07:24:43"</f>
        <v>2021-08-12 07:24:43</v>
      </c>
      <c r="M16041" s="1" t="s">
        <v>0</v>
      </c>
      <c r="N16041" s="1" t="s">
        <v>38</v>
      </c>
      <c r="O16041" s="1" t="s">
        <v>46</v>
      </c>
    </row>
    <row r="16042" spans="2:15" x14ac:dyDescent="0.3">
      <c r="B16042" s="1" t="s">
        <v>19</v>
      </c>
      <c r="C16042" s="1" t="str">
        <f t="shared" si="798"/>
        <v>4차</v>
      </c>
      <c r="D16042" s="1" t="str">
        <f>"0130P92244"</f>
        <v>0130P92244</v>
      </c>
      <c r="E16042" s="1" t="s">
        <v>10</v>
      </c>
      <c r="F16042" s="1" t="str">
        <f>"10.107.251.131"</f>
        <v>10.107.251.131</v>
      </c>
      <c r="G16042" s="1" t="str">
        <f>"0130P922"</f>
        <v>0130P922</v>
      </c>
      <c r="H16042" s="1" t="str">
        <f>"수유간 55L1R2"</f>
        <v>수유간 55L1R2</v>
      </c>
      <c r="I16042" s="1" t="s">
        <v>8</v>
      </c>
      <c r="J16042" s="1" t="str">
        <f>"38/38"</f>
        <v>38/38</v>
      </c>
      <c r="K16042" s="1" t="str">
        <f>"2026-07-29 13:18:01"</f>
        <v>2026-07-29 13:18:01</v>
      </c>
      <c r="L16042" s="1" t="str">
        <f>"2019-11-20 14:04:12"</f>
        <v>2019-11-20 14:04:12</v>
      </c>
      <c r="M16042" s="1" t="s">
        <v>45</v>
      </c>
      <c r="N16042" s="1" t="s">
        <v>38</v>
      </c>
      <c r="O16042" s="1" t="s">
        <v>46</v>
      </c>
    </row>
    <row r="16043" spans="2:15" x14ac:dyDescent="0.3">
      <c r="B16043" s="1" t="s">
        <v>19</v>
      </c>
      <c r="C16043" s="1" t="str">
        <f t="shared" si="798"/>
        <v>4차</v>
      </c>
      <c r="D16043" s="1" t="str">
        <f>"0130P92344"</f>
        <v>0130P92344</v>
      </c>
      <c r="E16043" s="1" t="s">
        <v>10</v>
      </c>
      <c r="F16043" s="1" t="str">
        <f>"10.107.251.133"</f>
        <v>10.107.251.133</v>
      </c>
      <c r="G16043" s="1" t="str">
        <f>"0130P923"</f>
        <v>0130P923</v>
      </c>
      <c r="H16043" s="1" t="str">
        <f>"수유간 55L1R1"</f>
        <v>수유간 55L1R1</v>
      </c>
      <c r="I16043" s="1" t="s">
        <v>8</v>
      </c>
      <c r="J16043" s="1" t="str">
        <f>"81/84"</f>
        <v>81/84</v>
      </c>
      <c r="K16043" s="1" t="str">
        <f>"2026-07-29 13:18:01"</f>
        <v>2026-07-29 13:18:01</v>
      </c>
      <c r="L16043" s="1" t="str">
        <f>"2019-11-20 13:49:07"</f>
        <v>2019-11-20 13:49:07</v>
      </c>
      <c r="M16043" s="1" t="s">
        <v>45</v>
      </c>
      <c r="N16043" s="1" t="s">
        <v>38</v>
      </c>
      <c r="O16043" s="1" t="s">
        <v>46</v>
      </c>
    </row>
    <row r="16044" spans="2:15" x14ac:dyDescent="0.3">
      <c r="B16044" s="1" t="s">
        <v>19</v>
      </c>
      <c r="C16044" s="1" t="str">
        <f t="shared" si="798"/>
        <v>4차</v>
      </c>
      <c r="D16044" s="1" t="str">
        <f>"0130P93244"</f>
        <v>0130P93244</v>
      </c>
      <c r="E16044" s="1" t="s">
        <v>10</v>
      </c>
      <c r="F16044" s="1" t="str">
        <f>"10.107.135.85"</f>
        <v>10.107.135.85</v>
      </c>
      <c r="G16044" s="1" t="str">
        <f>"0130P932"</f>
        <v>0130P932</v>
      </c>
      <c r="H16044" s="1" t="str">
        <f>"수유간 55L1L1"</f>
        <v>수유간 55L1L1</v>
      </c>
      <c r="I16044" s="1" t="s">
        <v>8</v>
      </c>
      <c r="J16044" s="1" t="str">
        <f>"27/27"</f>
        <v>27/27</v>
      </c>
      <c r="K16044" s="1" t="str">
        <f>"2026-07-29 13:18:02"</f>
        <v>2026-07-29 13:18:02</v>
      </c>
      <c r="L16044" s="1" t="str">
        <f>"2020-01-21 14:39:58"</f>
        <v>2020-01-21 14:39:58</v>
      </c>
      <c r="M16044" s="1" t="s">
        <v>45</v>
      </c>
      <c r="N16044" s="1" t="s">
        <v>38</v>
      </c>
      <c r="O16044" s="1" t="s">
        <v>46</v>
      </c>
    </row>
    <row r="16045" spans="2:15" x14ac:dyDescent="0.3">
      <c r="B16045" s="1" t="s">
        <v>19</v>
      </c>
      <c r="C16045" s="1" t="str">
        <f t="shared" si="798"/>
        <v>4차</v>
      </c>
      <c r="D16045" s="1" t="str">
        <f>"0130P96144"</f>
        <v>0130P96144</v>
      </c>
      <c r="E16045" s="1" t="s">
        <v>10</v>
      </c>
      <c r="F16045" s="1" t="str">
        <f>"10.107.135.28"</f>
        <v>10.107.135.28</v>
      </c>
      <c r="G16045" s="1" t="str">
        <f>"0130P961"</f>
        <v>0130P961</v>
      </c>
      <c r="H16045" s="1" t="str">
        <f>"수유간 51L1"</f>
        <v>수유간 51L1</v>
      </c>
      <c r="I16045" s="1" t="s">
        <v>8</v>
      </c>
      <c r="J16045" s="1" t="str">
        <f>"39/50"</f>
        <v>39/50</v>
      </c>
      <c r="K16045" s="1" t="str">
        <f>"2026-07-29 13:18:02"</f>
        <v>2026-07-29 13:18:02</v>
      </c>
      <c r="L16045" s="1" t="str">
        <f>"2019-11-06 18:28:45"</f>
        <v>2019-11-06 18:28:45</v>
      </c>
      <c r="M16045" s="1" t="s">
        <v>45</v>
      </c>
      <c r="N16045" s="1" t="s">
        <v>38</v>
      </c>
      <c r="O16045" s="1" t="s">
        <v>46</v>
      </c>
    </row>
    <row r="16046" spans="2:15" x14ac:dyDescent="0.3">
      <c r="B16046" s="1" t="s">
        <v>19</v>
      </c>
      <c r="C16046" s="1" t="str">
        <f t="shared" si="798"/>
        <v>4차</v>
      </c>
      <c r="D16046" s="1" t="str">
        <f>"0130P96241"</f>
        <v>0130P96241</v>
      </c>
      <c r="E16046" s="1" t="s">
        <v>10</v>
      </c>
      <c r="F16046" s="1" t="str">
        <f>"10.12.129.82"</f>
        <v>10.12.129.82</v>
      </c>
      <c r="G16046" s="1" t="str">
        <f>"0130P962"</f>
        <v>0130P962</v>
      </c>
      <c r="H16046" s="1" t="str">
        <f>"수유간 51H1L1"</f>
        <v>수유간 51H1L1</v>
      </c>
      <c r="I16046" s="1" t="s">
        <v>17</v>
      </c>
      <c r="J16046" s="1" t="str">
        <f>"17/18"</f>
        <v>17/18</v>
      </c>
      <c r="K16046" s="1" t="str">
        <f>"2026-07-29 13:18:03"</f>
        <v>2026-07-29 13:18:03</v>
      </c>
      <c r="L16046" s="1" t="str">
        <f>"2021-08-11 11:55:37"</f>
        <v>2021-08-11 11:55:37</v>
      </c>
      <c r="M16046" s="1" t="s">
        <v>0</v>
      </c>
      <c r="N16046" s="1" t="s">
        <v>38</v>
      </c>
      <c r="O16046" s="1" t="s">
        <v>46</v>
      </c>
    </row>
    <row r="16047" spans="2:15" x14ac:dyDescent="0.3">
      <c r="B16047" s="1" t="s">
        <v>19</v>
      </c>
      <c r="C16047" s="1" t="str">
        <f t="shared" si="798"/>
        <v>4차</v>
      </c>
      <c r="D16047" s="1" t="str">
        <f>"0130Q01144"</f>
        <v>0130Q01144</v>
      </c>
      <c r="E16047" s="1" t="s">
        <v>10</v>
      </c>
      <c r="F16047" s="1" t="str">
        <f>"10.107.251.135"</f>
        <v>10.107.251.135</v>
      </c>
      <c r="G16047" s="1" t="str">
        <f>"0130Q011"</f>
        <v>0130Q011</v>
      </c>
      <c r="H16047" s="1" t="str">
        <f>"수유간 55L7R2R5"</f>
        <v>수유간 55L7R2R5</v>
      </c>
      <c r="I16047" s="1" t="s">
        <v>8</v>
      </c>
      <c r="J16047" s="1" t="str">
        <f>"48/48"</f>
        <v>48/48</v>
      </c>
      <c r="K16047" s="1" t="str">
        <f>"2026-07-29 13:18:01"</f>
        <v>2026-07-29 13:18:01</v>
      </c>
      <c r="L16047" s="1" t="str">
        <f>"2019-11-20 20:43:26"</f>
        <v>2019-11-20 20:43:26</v>
      </c>
      <c r="M16047" s="1" t="s">
        <v>45</v>
      </c>
      <c r="N16047" s="1" t="s">
        <v>38</v>
      </c>
      <c r="O16047" s="1" t="s">
        <v>46</v>
      </c>
    </row>
    <row r="16048" spans="2:15" x14ac:dyDescent="0.3">
      <c r="B16048" s="1" t="s">
        <v>19</v>
      </c>
      <c r="C16048" s="1" t="str">
        <f t="shared" si="798"/>
        <v>4차</v>
      </c>
      <c r="D16048" s="1" t="str">
        <f>"0130Q03141"</f>
        <v>0130Q03141</v>
      </c>
      <c r="E16048" s="1" t="s">
        <v>10</v>
      </c>
      <c r="F16048" s="1" t="str">
        <f>"10.14.8.10"</f>
        <v>10.14.8.10</v>
      </c>
      <c r="G16048" s="1" t="str">
        <f>"0130Q031"</f>
        <v>0130Q031</v>
      </c>
      <c r="H16048" s="1" t="str">
        <f>"수유간 55L2"</f>
        <v>수유간 55L2</v>
      </c>
      <c r="I16048" s="1" t="s">
        <v>17</v>
      </c>
      <c r="J16048" s="1" t="str">
        <f>"22/22"</f>
        <v>22/22</v>
      </c>
      <c r="K16048" s="1" t="str">
        <f>"2026-07-29 13:18:03"</f>
        <v>2026-07-29 13:18:03</v>
      </c>
      <c r="L16048" s="1" t="str">
        <f>"2021-08-12 08:10:54"</f>
        <v>2021-08-12 08:10:54</v>
      </c>
      <c r="M16048" s="1" t="s">
        <v>3</v>
      </c>
      <c r="N16048" s="1" t="s">
        <v>38</v>
      </c>
      <c r="O16048" s="1" t="s">
        <v>46</v>
      </c>
    </row>
    <row r="16049" spans="2:15" x14ac:dyDescent="0.3">
      <c r="B16049" s="1" t="s">
        <v>19</v>
      </c>
      <c r="C16049" s="1" t="str">
        <f t="shared" si="798"/>
        <v>4차</v>
      </c>
      <c r="D16049" s="1" t="str">
        <f>"0130Q04244"</f>
        <v>0130Q04244</v>
      </c>
      <c r="E16049" s="1" t="s">
        <v>10</v>
      </c>
      <c r="F16049" s="1" t="str">
        <f>"10.107.135.31"</f>
        <v>10.107.135.31</v>
      </c>
      <c r="G16049" s="1" t="str">
        <f>"0130Q042"</f>
        <v>0130Q042</v>
      </c>
      <c r="H16049" s="1" t="str">
        <f>"수유간 55L4L2R1L2"</f>
        <v>수유간 55L4L2R1L2</v>
      </c>
      <c r="I16049" s="1" t="s">
        <v>8</v>
      </c>
      <c r="J16049" s="1" t="str">
        <f>"66/66"</f>
        <v>66/66</v>
      </c>
      <c r="K16049" s="1" t="str">
        <f>"2026-07-29 13:18:01"</f>
        <v>2026-07-29 13:18:01</v>
      </c>
      <c r="L16049" s="1" t="str">
        <f>"2019-12-13 12:09:18"</f>
        <v>2019-12-13 12:09:18</v>
      </c>
      <c r="M16049" s="1" t="s">
        <v>45</v>
      </c>
      <c r="N16049" s="1" t="s">
        <v>38</v>
      </c>
      <c r="O16049" s="1" t="s">
        <v>46</v>
      </c>
    </row>
    <row r="16050" spans="2:15" x14ac:dyDescent="0.3">
      <c r="B16050" s="1" t="s">
        <v>19</v>
      </c>
      <c r="C16050" s="1" t="str">
        <f t="shared" si="798"/>
        <v>4차</v>
      </c>
      <c r="D16050" s="1" t="str">
        <f>"0130Q05144"</f>
        <v>0130Q05144</v>
      </c>
      <c r="E16050" s="1" t="s">
        <v>10</v>
      </c>
      <c r="F16050" s="1" t="str">
        <f>"10.107.135.34"</f>
        <v>10.107.135.34</v>
      </c>
      <c r="G16050" s="1" t="str">
        <f>"0130Q051"</f>
        <v>0130Q051</v>
      </c>
      <c r="H16050" s="1" t="str">
        <f>"수유간 55L4L3L1"</f>
        <v>수유간 55L4L3L1</v>
      </c>
      <c r="I16050" s="1" t="s">
        <v>8</v>
      </c>
      <c r="J16050" s="1" t="str">
        <f>"45/45"</f>
        <v>45/45</v>
      </c>
      <c r="K16050" s="1" t="str">
        <f>"2026-07-29 13:18:01"</f>
        <v>2026-07-29 13:18:01</v>
      </c>
      <c r="L16050" s="1" t="str">
        <f>"2019-11-06 18:47:00"</f>
        <v>2019-11-06 18:47:00</v>
      </c>
      <c r="M16050" s="1" t="s">
        <v>45</v>
      </c>
      <c r="N16050" s="1" t="s">
        <v>38</v>
      </c>
      <c r="O16050" s="1" t="s">
        <v>46</v>
      </c>
    </row>
    <row r="16051" spans="2:15" x14ac:dyDescent="0.3">
      <c r="B16051" s="1" t="s">
        <v>19</v>
      </c>
      <c r="C16051" s="1" t="str">
        <f t="shared" si="798"/>
        <v>4차</v>
      </c>
      <c r="D16051" s="1" t="str">
        <f>"0130Q06241"</f>
        <v>0130Q06241</v>
      </c>
      <c r="E16051" s="1" t="s">
        <v>10</v>
      </c>
      <c r="F16051" s="1" t="str">
        <f>"10.12.130.192"</f>
        <v>10.12.130.192</v>
      </c>
      <c r="G16051" s="1" t="str">
        <f>"0130Q062"</f>
        <v>0130Q062</v>
      </c>
      <c r="H16051" s="1" t="str">
        <f>"수유간 51H1L2"</f>
        <v>수유간 51H1L2</v>
      </c>
      <c r="I16051" s="1" t="s">
        <v>17</v>
      </c>
      <c r="J16051" s="1" t="str">
        <f>"16/17"</f>
        <v>16/17</v>
      </c>
      <c r="K16051" s="1" t="str">
        <f>"2026-07-29 13:18:02"</f>
        <v>2026-07-29 13:18:02</v>
      </c>
      <c r="L16051" s="1" t="str">
        <f>"2021-08-11 11:05:55"</f>
        <v>2021-08-11 11:05:55</v>
      </c>
      <c r="M16051" s="1" t="s">
        <v>0</v>
      </c>
      <c r="N16051" s="1" t="s">
        <v>38</v>
      </c>
      <c r="O16051" s="1" t="s">
        <v>46</v>
      </c>
    </row>
    <row r="16052" spans="2:15" x14ac:dyDescent="0.3">
      <c r="B16052" s="1" t="s">
        <v>19</v>
      </c>
      <c r="C16052" s="1" t="str">
        <f t="shared" si="798"/>
        <v>4차</v>
      </c>
      <c r="D16052" s="1" t="str">
        <f>"0130Q13344"</f>
        <v>0130Q13344</v>
      </c>
      <c r="E16052" s="1" t="s">
        <v>10</v>
      </c>
      <c r="F16052" s="1" t="str">
        <f>"10.107.135.29"</f>
        <v>10.107.135.29</v>
      </c>
      <c r="G16052" s="1" t="str">
        <f>"0130Q133"</f>
        <v>0130Q133</v>
      </c>
      <c r="H16052" s="1" t="str">
        <f>"수유간 55L4"</f>
        <v>수유간 55L4</v>
      </c>
      <c r="I16052" s="1" t="s">
        <v>8</v>
      </c>
      <c r="J16052" s="1" t="str">
        <f>"103/110"</f>
        <v>103/110</v>
      </c>
      <c r="K16052" s="1" t="str">
        <f>"2026-07-29 13:18:01"</f>
        <v>2026-07-29 13:18:01</v>
      </c>
      <c r="L16052" s="1" t="str">
        <f>"2019-12-13 12:09:19"</f>
        <v>2019-12-13 12:09:19</v>
      </c>
      <c r="M16052" s="1" t="s">
        <v>45</v>
      </c>
      <c r="N16052" s="1" t="s">
        <v>38</v>
      </c>
      <c r="O16052" s="1" t="s">
        <v>46</v>
      </c>
    </row>
    <row r="16053" spans="2:15" x14ac:dyDescent="0.3">
      <c r="B16053" s="1" t="s">
        <v>19</v>
      </c>
      <c r="C16053" s="1" t="str">
        <f t="shared" si="798"/>
        <v>4차</v>
      </c>
      <c r="D16053" s="1" t="str">
        <f>"0130Q14244"</f>
        <v>0130Q14244</v>
      </c>
      <c r="E16053" s="1" t="s">
        <v>10</v>
      </c>
      <c r="F16053" s="1" t="str">
        <f>"10.107.135.30"</f>
        <v>10.107.135.30</v>
      </c>
      <c r="G16053" s="1" t="str">
        <f>"0130Q142"</f>
        <v>0130Q142</v>
      </c>
      <c r="H16053" s="1" t="str">
        <f>"수유간 55L4L2"</f>
        <v>수유간 55L4L2</v>
      </c>
      <c r="I16053" s="1" t="s">
        <v>8</v>
      </c>
      <c r="J16053" s="1" t="str">
        <f>"109/109"</f>
        <v>109/109</v>
      </c>
      <c r="K16053" s="1" t="str">
        <f>"2026-07-29 13:18:01"</f>
        <v>2026-07-29 13:18:01</v>
      </c>
      <c r="L16053" s="1" t="str">
        <f>"2019-12-13 12:09:19"</f>
        <v>2019-12-13 12:09:19</v>
      </c>
      <c r="M16053" s="1" t="s">
        <v>45</v>
      </c>
      <c r="N16053" s="1" t="s">
        <v>38</v>
      </c>
      <c r="O16053" s="1" t="s">
        <v>46</v>
      </c>
    </row>
    <row r="16054" spans="2:15" x14ac:dyDescent="0.3">
      <c r="B16054" s="1" t="s">
        <v>19</v>
      </c>
      <c r="C16054" s="1" t="str">
        <f t="shared" si="798"/>
        <v>4차</v>
      </c>
      <c r="D16054" s="1" t="str">
        <f>"0130Q15144"</f>
        <v>0130Q15144</v>
      </c>
      <c r="E16054" s="1" t="s">
        <v>10</v>
      </c>
      <c r="F16054" s="1" t="str">
        <f>"10.107.135.33"</f>
        <v>10.107.135.33</v>
      </c>
      <c r="G16054" s="1" t="str">
        <f>"0130Q151"</f>
        <v>0130Q151</v>
      </c>
      <c r="H16054" s="1" t="str">
        <f>"수유간 55L4L3"</f>
        <v>수유간 55L4L3</v>
      </c>
      <c r="I16054" s="1" t="s">
        <v>8</v>
      </c>
      <c r="J16054" s="1" t="str">
        <f>"57/57"</f>
        <v>57/57</v>
      </c>
      <c r="K16054" s="1" t="str">
        <f>"2026-07-29 13:18:01"</f>
        <v>2026-07-29 13:18:01</v>
      </c>
      <c r="L16054" s="1" t="str">
        <f>"2019-11-06 19:02:30"</f>
        <v>2019-11-06 19:02:30</v>
      </c>
      <c r="M16054" s="1" t="s">
        <v>45</v>
      </c>
      <c r="N16054" s="1" t="s">
        <v>38</v>
      </c>
      <c r="O16054" s="1" t="s">
        <v>46</v>
      </c>
    </row>
    <row r="16055" spans="2:15" x14ac:dyDescent="0.3">
      <c r="B16055" s="1" t="s">
        <v>19</v>
      </c>
      <c r="C16055" s="1" t="str">
        <f t="shared" si="798"/>
        <v>4차</v>
      </c>
      <c r="D16055" s="1" t="str">
        <f>"0130Q16141"</f>
        <v>0130Q16141</v>
      </c>
      <c r="E16055" s="1" t="s">
        <v>10</v>
      </c>
      <c r="F16055" s="1" t="str">
        <f>"10.14.5.29"</f>
        <v>10.14.5.29</v>
      </c>
      <c r="G16055" s="1" t="str">
        <f>"0130Q161"</f>
        <v>0130Q161</v>
      </c>
      <c r="H16055" s="1" t="str">
        <f>"수유간 51L3"</f>
        <v>수유간 51L3</v>
      </c>
      <c r="I16055" s="1" t="s">
        <v>17</v>
      </c>
      <c r="J16055" s="1" t="str">
        <f>"14/16"</f>
        <v>14/16</v>
      </c>
      <c r="K16055" s="1" t="str">
        <f>"2026-07-29 13:18:01"</f>
        <v>2026-07-29 13:18:01</v>
      </c>
      <c r="L16055" s="1" t="str">
        <f>"2021-08-11 10:28:04"</f>
        <v>2021-08-11 10:28:04</v>
      </c>
      <c r="M16055" s="1" t="s">
        <v>3</v>
      </c>
      <c r="N16055" s="1" t="s">
        <v>38</v>
      </c>
      <c r="O16055" s="1" t="s">
        <v>46</v>
      </c>
    </row>
    <row r="16056" spans="2:15" x14ac:dyDescent="0.3">
      <c r="B16056" s="1" t="s">
        <v>19</v>
      </c>
      <c r="C16056" s="1" t="str">
        <f t="shared" si="798"/>
        <v>4차</v>
      </c>
      <c r="D16056" s="1" t="str">
        <f>"0130Q20241"</f>
        <v>0130Q20241</v>
      </c>
      <c r="E16056" s="1" t="s">
        <v>10</v>
      </c>
      <c r="F16056" s="1" t="str">
        <f>"10.14.3.12"</f>
        <v>10.14.3.12</v>
      </c>
      <c r="G16056" s="1" t="str">
        <f>"0130Q202"</f>
        <v>0130Q202</v>
      </c>
      <c r="H16056" s="1" t="str">
        <f>"수유간 60L3L7L4"</f>
        <v>수유간 60L3L7L4</v>
      </c>
      <c r="I16056" s="1" t="s">
        <v>17</v>
      </c>
      <c r="J16056" s="1" t="str">
        <f>"33/40"</f>
        <v>33/40</v>
      </c>
      <c r="K16056" s="1" t="str">
        <f>"2026-07-29 13:18:02"</f>
        <v>2026-07-29 13:18:02</v>
      </c>
      <c r="L16056" s="1" t="str">
        <f>"2021-08-12 09:31:59"</f>
        <v>2021-08-12 09:31:59</v>
      </c>
      <c r="M16056" s="1" t="s">
        <v>3</v>
      </c>
      <c r="N16056" s="1" t="s">
        <v>38</v>
      </c>
      <c r="O16056" s="1" t="s">
        <v>46</v>
      </c>
    </row>
    <row r="16057" spans="2:15" x14ac:dyDescent="0.3">
      <c r="B16057" s="1" t="s">
        <v>19</v>
      </c>
      <c r="C16057" s="1" t="str">
        <f t="shared" si="798"/>
        <v>4차</v>
      </c>
      <c r="D16057" s="1" t="str">
        <f>"0130Q20444"</f>
        <v>0130Q20444</v>
      </c>
      <c r="E16057" s="1" t="s">
        <v>10</v>
      </c>
      <c r="F16057" s="1" t="str">
        <f>"10.107.251.136"</f>
        <v>10.107.251.136</v>
      </c>
      <c r="G16057" s="1" t="str">
        <f>"0130Q204"</f>
        <v>0130Q204</v>
      </c>
      <c r="H16057" s="1" t="str">
        <f>"수유간 60L3L7L5"</f>
        <v>수유간 60L3L7L5</v>
      </c>
      <c r="I16057" s="1" t="s">
        <v>8</v>
      </c>
      <c r="J16057" s="1" t="str">
        <f>"62/62"</f>
        <v>62/62</v>
      </c>
      <c r="K16057" s="1" t="str">
        <f>"2026-07-29 13:18:01"</f>
        <v>2026-07-29 13:18:01</v>
      </c>
      <c r="L16057" s="1" t="str">
        <f>"2019-11-20 22:27:36"</f>
        <v>2019-11-20 22:27:36</v>
      </c>
      <c r="M16057" s="1" t="s">
        <v>45</v>
      </c>
      <c r="N16057" s="1" t="s">
        <v>38</v>
      </c>
      <c r="O16057" s="1" t="s">
        <v>46</v>
      </c>
    </row>
    <row r="16058" spans="2:15" x14ac:dyDescent="0.3">
      <c r="B16058" s="1" t="s">
        <v>19</v>
      </c>
      <c r="C16058" s="1" t="str">
        <f t="shared" si="798"/>
        <v>4차</v>
      </c>
      <c r="D16058" s="1" t="str">
        <f>"0130Q21244"</f>
        <v>0130Q21244</v>
      </c>
      <c r="E16058" s="1" t="s">
        <v>10</v>
      </c>
      <c r="F16058" s="1" t="str">
        <f>"10.107.251.137"</f>
        <v>10.107.251.137</v>
      </c>
      <c r="G16058" s="1" t="str">
        <f>"0130Q212"</f>
        <v>0130Q212</v>
      </c>
      <c r="H16058" s="1" t="str">
        <f>"수유간 55L7R2R3"</f>
        <v>수유간 55L7R2R3</v>
      </c>
      <c r="I16058" s="1" t="s">
        <v>8</v>
      </c>
      <c r="J16058" s="1" t="str">
        <f>"54/54"</f>
        <v>54/54</v>
      </c>
      <c r="K16058" s="1" t="str">
        <f>"2026-07-29 13:18:01"</f>
        <v>2026-07-29 13:18:01</v>
      </c>
      <c r="L16058" s="1" t="str">
        <f>"2019-11-20 20:30:43"</f>
        <v>2019-11-20 20:30:43</v>
      </c>
      <c r="M16058" s="1" t="s">
        <v>45</v>
      </c>
      <c r="N16058" s="1" t="s">
        <v>38</v>
      </c>
      <c r="O16058" s="1" t="s">
        <v>46</v>
      </c>
    </row>
    <row r="16059" spans="2:15" x14ac:dyDescent="0.3">
      <c r="B16059" s="1" t="s">
        <v>19</v>
      </c>
      <c r="C16059" s="1" t="str">
        <f t="shared" si="798"/>
        <v>4차</v>
      </c>
      <c r="D16059" s="1" t="str">
        <f>"0130Q23144"</f>
        <v>0130Q23144</v>
      </c>
      <c r="E16059" s="1" t="s">
        <v>10</v>
      </c>
      <c r="F16059" s="1" t="str">
        <f>"10.107.135.35"</f>
        <v>10.107.135.35</v>
      </c>
      <c r="G16059" s="1" t="str">
        <f>"0130Q231"</f>
        <v>0130Q231</v>
      </c>
      <c r="H16059" s="1" t="str">
        <f>"수유간 55L5"</f>
        <v>수유간 55L5</v>
      </c>
      <c r="I16059" s="1" t="s">
        <v>8</v>
      </c>
      <c r="J16059" s="1" t="str">
        <f>"76/76"</f>
        <v>76/76</v>
      </c>
      <c r="K16059" s="1" t="str">
        <f>"2026-07-29 13:18:02"</f>
        <v>2026-07-29 13:18:02</v>
      </c>
      <c r="L16059" s="1" t="str">
        <f>"2019-12-13 08:59:38"</f>
        <v>2019-12-13 08:59:38</v>
      </c>
      <c r="M16059" s="1" t="s">
        <v>45</v>
      </c>
      <c r="N16059" s="1" t="s">
        <v>38</v>
      </c>
      <c r="O16059" s="1" t="s">
        <v>46</v>
      </c>
    </row>
    <row r="16060" spans="2:15" x14ac:dyDescent="0.3">
      <c r="B16060" s="1" t="s">
        <v>19</v>
      </c>
      <c r="C16060" s="1" t="str">
        <f t="shared" si="798"/>
        <v>4차</v>
      </c>
      <c r="D16060" s="1" t="str">
        <f>"0130Q24144"</f>
        <v>0130Q24144</v>
      </c>
      <c r="E16060" s="1" t="s">
        <v>10</v>
      </c>
      <c r="F16060" s="1" t="str">
        <f>"10.107.135.32"</f>
        <v>10.107.135.32</v>
      </c>
      <c r="G16060" s="1" t="str">
        <f>"0130Q241"</f>
        <v>0130Q241</v>
      </c>
      <c r="H16060" s="1" t="str">
        <f>"수유간 55L4L2R2"</f>
        <v>수유간 55L4L2R2</v>
      </c>
      <c r="I16060" s="1" t="s">
        <v>8</v>
      </c>
      <c r="J16060" s="1" t="str">
        <f>"80/80"</f>
        <v>80/80</v>
      </c>
      <c r="K16060" s="1" t="str">
        <f>"2026-07-29 13:18:02"</f>
        <v>2026-07-29 13:18:02</v>
      </c>
      <c r="L16060" s="1" t="str">
        <f>"2019-11-06 18:48:16"</f>
        <v>2019-11-06 18:48:16</v>
      </c>
      <c r="M16060" s="1" t="s">
        <v>45</v>
      </c>
      <c r="N16060" s="1" t="s">
        <v>38</v>
      </c>
      <c r="O16060" s="1" t="s">
        <v>46</v>
      </c>
    </row>
    <row r="16061" spans="2:15" x14ac:dyDescent="0.3">
      <c r="B16061" s="1" t="s">
        <v>19</v>
      </c>
      <c r="C16061" s="1" t="str">
        <f>"3차"</f>
        <v>3차</v>
      </c>
      <c r="D16061" s="1" t="str">
        <f>"0130Q25139"</f>
        <v>0130Q25139</v>
      </c>
      <c r="E16061" s="1" t="s">
        <v>10</v>
      </c>
      <c r="F16061" s="1" t="str">
        <f>"10.107.135.90"</f>
        <v>10.107.135.90</v>
      </c>
      <c r="G16061" s="1" t="str">
        <f>"0130Q251"</f>
        <v>0130Q251</v>
      </c>
      <c r="H16061" s="1" t="str">
        <f>"수유간 55L4L5"</f>
        <v>수유간 55L4L5</v>
      </c>
      <c r="I16061" s="1" t="s">
        <v>8</v>
      </c>
      <c r="J16061" s="1" t="str">
        <f>"105/110"</f>
        <v>105/110</v>
      </c>
      <c r="K16061" s="1" t="str">
        <f>"2026-07-29 13:18:02"</f>
        <v>2026-07-29 13:18:02</v>
      </c>
      <c r="L16061" s="1" t="str">
        <f>"2018-09-13 12:25:26"</f>
        <v>2018-09-13 12:25:26</v>
      </c>
      <c r="M16061" s="1" t="s">
        <v>45</v>
      </c>
      <c r="N16061" s="1" t="s">
        <v>38</v>
      </c>
      <c r="O16061" s="1" t="s">
        <v>46</v>
      </c>
    </row>
    <row r="16062" spans="2:15" x14ac:dyDescent="0.3">
      <c r="B16062" s="1" t="s">
        <v>19</v>
      </c>
      <c r="C16062" s="1" t="str">
        <f t="shared" ref="C16062:C16079" si="799">"4차"</f>
        <v>4차</v>
      </c>
      <c r="D16062" s="1" t="str">
        <f>"0130Q32339"</f>
        <v>0130Q32339</v>
      </c>
      <c r="E16062" s="1" t="s">
        <v>10</v>
      </c>
      <c r="F16062" s="1" t="str">
        <f>"10.14.11.52"</f>
        <v>10.14.11.52</v>
      </c>
      <c r="G16062" s="1" t="str">
        <f>"0130Q323"</f>
        <v>0130Q323</v>
      </c>
      <c r="H16062" s="1" t="str">
        <f>"수유간 55L7R2R1"</f>
        <v>수유간 55L7R2R1</v>
      </c>
      <c r="I16062" s="1" t="s">
        <v>8</v>
      </c>
      <c r="J16062" s="1" t="str">
        <f>"40/42"</f>
        <v>40/42</v>
      </c>
      <c r="K16062" s="1" t="str">
        <f>"2026-07-29 13:18:02"</f>
        <v>2026-07-29 13:18:02</v>
      </c>
      <c r="L16062" s="1" t="str">
        <f>"2018-04-24 09:29:12"</f>
        <v>2018-04-24 09:29:12</v>
      </c>
      <c r="M16062" s="1" t="s">
        <v>3</v>
      </c>
      <c r="N16062" s="1" t="s">
        <v>38</v>
      </c>
      <c r="O16062" s="1" t="s">
        <v>46</v>
      </c>
    </row>
    <row r="16063" spans="2:15" x14ac:dyDescent="0.3">
      <c r="B16063" s="1" t="s">
        <v>19</v>
      </c>
      <c r="C16063" s="1" t="str">
        <f t="shared" si="799"/>
        <v>4차</v>
      </c>
      <c r="D16063" s="1" t="str">
        <f>"0130Q32441"</f>
        <v>0130Q32441</v>
      </c>
      <c r="E16063" s="1" t="s">
        <v>10</v>
      </c>
      <c r="F16063" s="1" t="str">
        <f>"10.12.137.42"</f>
        <v>10.12.137.42</v>
      </c>
      <c r="G16063" s="1" t="str">
        <f>"0130Q324"</f>
        <v>0130Q324</v>
      </c>
      <c r="H16063" s="1" t="str">
        <f>"수유간 55L7R2"</f>
        <v>수유간 55L7R2</v>
      </c>
      <c r="I16063" s="1" t="s">
        <v>17</v>
      </c>
      <c r="J16063" s="1" t="str">
        <f>"14/14"</f>
        <v>14/14</v>
      </c>
      <c r="K16063" s="1" t="str">
        <f>"2026-07-29 13:18:03"</f>
        <v>2026-07-29 13:18:03</v>
      </c>
      <c r="L16063" s="1" t="str">
        <f>"2021-08-12 08:47:58"</f>
        <v>2021-08-12 08:47:58</v>
      </c>
      <c r="M16063" s="1" t="s">
        <v>0</v>
      </c>
      <c r="N16063" s="1" t="s">
        <v>38</v>
      </c>
      <c r="O16063" s="1" t="s">
        <v>46</v>
      </c>
    </row>
    <row r="16064" spans="2:15" x14ac:dyDescent="0.3">
      <c r="B16064" s="1" t="s">
        <v>19</v>
      </c>
      <c r="C16064" s="1" t="str">
        <f t="shared" si="799"/>
        <v>4차</v>
      </c>
      <c r="D16064" s="1" t="str">
        <f>"0130Q32544"</f>
        <v>0130Q32544</v>
      </c>
      <c r="E16064" s="1" t="s">
        <v>10</v>
      </c>
      <c r="F16064" s="1" t="str">
        <f>"10.107.251.138"</f>
        <v>10.107.251.138</v>
      </c>
      <c r="G16064" s="1" t="str">
        <f>"0130Q325"</f>
        <v>0130Q325</v>
      </c>
      <c r="H16064" s="1" t="str">
        <f>"수유간 55L7R2R2"</f>
        <v>수유간 55L7R2R2</v>
      </c>
      <c r="I16064" s="1" t="s">
        <v>8</v>
      </c>
      <c r="J16064" s="1" t="str">
        <f>"49/49"</f>
        <v>49/49</v>
      </c>
      <c r="K16064" s="1" t="str">
        <f t="shared" ref="K16064:K16072" si="800">"2026-07-29 13:18:02"</f>
        <v>2026-07-29 13:18:02</v>
      </c>
      <c r="L16064" s="1" t="str">
        <f>"2019-11-20 20:35:11"</f>
        <v>2019-11-20 20:35:11</v>
      </c>
      <c r="M16064" s="1" t="s">
        <v>45</v>
      </c>
      <c r="N16064" s="1" t="s">
        <v>38</v>
      </c>
      <c r="O16064" s="1" t="s">
        <v>46</v>
      </c>
    </row>
    <row r="16065" spans="2:15" x14ac:dyDescent="0.3">
      <c r="B16065" s="1" t="s">
        <v>19</v>
      </c>
      <c r="C16065" s="1" t="str">
        <f t="shared" si="799"/>
        <v>4차</v>
      </c>
      <c r="D16065" s="1" t="str">
        <f>"0130Q33344"</f>
        <v>0130Q33344</v>
      </c>
      <c r="E16065" s="1" t="s">
        <v>10</v>
      </c>
      <c r="F16065" s="1" t="str">
        <f>"10.107.135.36"</f>
        <v>10.107.135.36</v>
      </c>
      <c r="G16065" s="1" t="str">
        <f>"0130Q333"</f>
        <v>0130Q333</v>
      </c>
      <c r="H16065" s="1" t="str">
        <f>"수유간 55L7"</f>
        <v>수유간 55L7</v>
      </c>
      <c r="I16065" s="1" t="s">
        <v>8</v>
      </c>
      <c r="J16065" s="1" t="str">
        <f>"81/81"</f>
        <v>81/81</v>
      </c>
      <c r="K16065" s="1" t="str">
        <f t="shared" si="800"/>
        <v>2026-07-29 13:18:02</v>
      </c>
      <c r="L16065" s="1" t="str">
        <f>"2019-12-13 09:16:23"</f>
        <v>2019-12-13 09:16:23</v>
      </c>
      <c r="M16065" s="1" t="s">
        <v>45</v>
      </c>
      <c r="N16065" s="1" t="s">
        <v>38</v>
      </c>
      <c r="O16065" s="1" t="s">
        <v>46</v>
      </c>
    </row>
    <row r="16066" spans="2:15" x14ac:dyDescent="0.3">
      <c r="B16066" s="1" t="s">
        <v>19</v>
      </c>
      <c r="C16066" s="1" t="str">
        <f t="shared" si="799"/>
        <v>4차</v>
      </c>
      <c r="D16066" s="1" t="str">
        <f>"0130Q34144"</f>
        <v>0130Q34144</v>
      </c>
      <c r="E16066" s="1" t="s">
        <v>10</v>
      </c>
      <c r="F16066" s="1" t="str">
        <f>"10.107.135.37"</f>
        <v>10.107.135.37</v>
      </c>
      <c r="G16066" s="1" t="str">
        <f>"0130Q341"</f>
        <v>0130Q341</v>
      </c>
      <c r="H16066" s="1" t="str">
        <f>"수유간 55L7L1"</f>
        <v>수유간 55L7L1</v>
      </c>
      <c r="I16066" s="1" t="s">
        <v>8</v>
      </c>
      <c r="J16066" s="1" t="str">
        <f>"41/41"</f>
        <v>41/41</v>
      </c>
      <c r="K16066" s="1" t="str">
        <f t="shared" si="800"/>
        <v>2026-07-29 13:18:02</v>
      </c>
      <c r="L16066" s="1" t="str">
        <f>"2019-12-13 12:09:19"</f>
        <v>2019-12-13 12:09:19</v>
      </c>
      <c r="M16066" s="1" t="s">
        <v>45</v>
      </c>
      <c r="N16066" s="1" t="s">
        <v>38</v>
      </c>
      <c r="O16066" s="1" t="s">
        <v>46</v>
      </c>
    </row>
    <row r="16067" spans="2:15" x14ac:dyDescent="0.3">
      <c r="B16067" s="1" t="s">
        <v>19</v>
      </c>
      <c r="C16067" s="1" t="str">
        <f t="shared" si="799"/>
        <v>4차</v>
      </c>
      <c r="D16067" s="1" t="str">
        <f>"0130Q35144"</f>
        <v>0130Q35144</v>
      </c>
      <c r="E16067" s="1" t="s">
        <v>10</v>
      </c>
      <c r="F16067" s="1" t="str">
        <f>"10.107.135.41"</f>
        <v>10.107.135.41</v>
      </c>
      <c r="G16067" s="1" t="str">
        <f>"0130Q351"</f>
        <v>0130Q351</v>
      </c>
      <c r="H16067" s="1" t="str">
        <f>"수유간 55L7L2"</f>
        <v>수유간 55L7L2</v>
      </c>
      <c r="I16067" s="1" t="s">
        <v>8</v>
      </c>
      <c r="J16067" s="1" t="str">
        <f>"73/80"</f>
        <v>73/80</v>
      </c>
      <c r="K16067" s="1" t="str">
        <f t="shared" si="800"/>
        <v>2026-07-29 13:18:02</v>
      </c>
      <c r="L16067" s="1" t="str">
        <f>"2019-11-06 19:04:14"</f>
        <v>2019-11-06 19:04:14</v>
      </c>
      <c r="M16067" s="1" t="s">
        <v>45</v>
      </c>
      <c r="N16067" s="1" t="s">
        <v>38</v>
      </c>
      <c r="O16067" s="1" t="s">
        <v>46</v>
      </c>
    </row>
    <row r="16068" spans="2:15" x14ac:dyDescent="0.3">
      <c r="B16068" s="1" t="s">
        <v>19</v>
      </c>
      <c r="C16068" s="1" t="str">
        <f t="shared" si="799"/>
        <v>4차</v>
      </c>
      <c r="D16068" s="1" t="str">
        <f>"0130Q36144"</f>
        <v>0130Q36144</v>
      </c>
      <c r="E16068" s="1" t="s">
        <v>10</v>
      </c>
      <c r="F16068" s="1" t="str">
        <f>"10.107.15.46"</f>
        <v>10.107.15.46</v>
      </c>
      <c r="G16068" s="1" t="str">
        <f>"0130Q361"</f>
        <v>0130Q361</v>
      </c>
      <c r="H16068" s="1" t="str">
        <f>"수유간 51L5"</f>
        <v>수유간 51L5</v>
      </c>
      <c r="I16068" s="1" t="s">
        <v>8</v>
      </c>
      <c r="J16068" s="1" t="str">
        <f>"22/22"</f>
        <v>22/22</v>
      </c>
      <c r="K16068" s="1" t="str">
        <f t="shared" si="800"/>
        <v>2026-07-29 13:18:02</v>
      </c>
      <c r="L16068" s="1" t="str">
        <f>"2019-11-06 18:33:04"</f>
        <v>2019-11-06 18:33:04</v>
      </c>
      <c r="M16068" s="1" t="s">
        <v>45</v>
      </c>
      <c r="N16068" s="1" t="s">
        <v>38</v>
      </c>
      <c r="O16068" s="1" t="s">
        <v>46</v>
      </c>
    </row>
    <row r="16069" spans="2:15" x14ac:dyDescent="0.3">
      <c r="B16069" s="1" t="s">
        <v>19</v>
      </c>
      <c r="C16069" s="1" t="str">
        <f t="shared" si="799"/>
        <v>4차</v>
      </c>
      <c r="D16069" s="1" t="str">
        <f>"0130Q40244"</f>
        <v>0130Q40244</v>
      </c>
      <c r="E16069" s="1" t="s">
        <v>10</v>
      </c>
      <c r="F16069" s="1" t="str">
        <f>"10.107.251.139"</f>
        <v>10.107.251.139</v>
      </c>
      <c r="G16069" s="1" t="str">
        <f>"0130Q402"</f>
        <v>0130Q402</v>
      </c>
      <c r="H16069" s="1" t="str">
        <f>"수유간 60L3L7C2"</f>
        <v>수유간 60L3L7C2</v>
      </c>
      <c r="I16069" s="1" t="s">
        <v>8</v>
      </c>
      <c r="J16069" s="1" t="str">
        <f>"79/79"</f>
        <v>79/79</v>
      </c>
      <c r="K16069" s="1" t="str">
        <f t="shared" si="800"/>
        <v>2026-07-29 13:18:02</v>
      </c>
      <c r="L16069" s="1" t="str">
        <f>"2019-11-20 22:20:05"</f>
        <v>2019-11-20 22:20:05</v>
      </c>
      <c r="M16069" s="1" t="s">
        <v>45</v>
      </c>
      <c r="N16069" s="1" t="s">
        <v>38</v>
      </c>
      <c r="O16069" s="1" t="s">
        <v>46</v>
      </c>
    </row>
    <row r="16070" spans="2:15" x14ac:dyDescent="0.3">
      <c r="B16070" s="1" t="s">
        <v>19</v>
      </c>
      <c r="C16070" s="1" t="str">
        <f t="shared" si="799"/>
        <v>4차</v>
      </c>
      <c r="D16070" s="1" t="str">
        <f>"0130Q42244"</f>
        <v>0130Q42244</v>
      </c>
      <c r="E16070" s="1" t="s">
        <v>10</v>
      </c>
      <c r="F16070" s="1" t="str">
        <f>"10.107.251.140"</f>
        <v>10.107.251.140</v>
      </c>
      <c r="G16070" s="1" t="str">
        <f>"0130Q422"</f>
        <v>0130Q422</v>
      </c>
      <c r="H16070" s="1" t="str">
        <f>"수유간 55L7R3"</f>
        <v>수유간 55L7R3</v>
      </c>
      <c r="I16070" s="1" t="s">
        <v>8</v>
      </c>
      <c r="J16070" s="1" t="str">
        <f>"53/56"</f>
        <v>53/56</v>
      </c>
      <c r="K16070" s="1" t="str">
        <f t="shared" si="800"/>
        <v>2026-07-29 13:18:02</v>
      </c>
      <c r="L16070" s="1" t="str">
        <f>"2019-11-20 21:26:06"</f>
        <v>2019-11-20 21:26:06</v>
      </c>
      <c r="M16070" s="1" t="s">
        <v>45</v>
      </c>
      <c r="N16070" s="1" t="s">
        <v>38</v>
      </c>
      <c r="O16070" s="1" t="s">
        <v>46</v>
      </c>
    </row>
    <row r="16071" spans="2:15" x14ac:dyDescent="0.3">
      <c r="B16071" s="1" t="s">
        <v>19</v>
      </c>
      <c r="C16071" s="1" t="str">
        <f t="shared" si="799"/>
        <v>4차</v>
      </c>
      <c r="D16071" s="1" t="str">
        <f>"0130Q43339"</f>
        <v>0130Q43339</v>
      </c>
      <c r="E16071" s="1" t="s">
        <v>10</v>
      </c>
      <c r="F16071" s="1" t="str">
        <f>"10.14.15.29"</f>
        <v>10.14.15.29</v>
      </c>
      <c r="G16071" s="1" t="str">
        <f>"0130Q433"</f>
        <v>0130Q433</v>
      </c>
      <c r="H16071" s="1" t="str">
        <f>"수유간 55L8"</f>
        <v>수유간 55L8</v>
      </c>
      <c r="I16071" s="1" t="s">
        <v>17</v>
      </c>
      <c r="J16071" s="1" t="str">
        <f>"126/140"</f>
        <v>126/140</v>
      </c>
      <c r="K16071" s="1" t="str">
        <f t="shared" si="800"/>
        <v>2026-07-29 13:18:02</v>
      </c>
      <c r="L16071" s="1" t="str">
        <f>"2018-09-13 13:19:40"</f>
        <v>2018-09-13 13:19:40</v>
      </c>
      <c r="M16071" s="1" t="s">
        <v>3</v>
      </c>
      <c r="N16071" s="1" t="s">
        <v>38</v>
      </c>
      <c r="O16071" s="1" t="s">
        <v>46</v>
      </c>
    </row>
    <row r="16072" spans="2:15" x14ac:dyDescent="0.3">
      <c r="B16072" s="1" t="s">
        <v>19</v>
      </c>
      <c r="C16072" s="1" t="str">
        <f t="shared" si="799"/>
        <v>4차</v>
      </c>
      <c r="D16072" s="1" t="str">
        <f>"0130Q44144"</f>
        <v>0130Q44144</v>
      </c>
      <c r="E16072" s="1" t="s">
        <v>10</v>
      </c>
      <c r="F16072" s="1" t="str">
        <f>"10.107.135.38"</f>
        <v>10.107.135.38</v>
      </c>
      <c r="G16072" s="1" t="str">
        <f>"0130Q441"</f>
        <v>0130Q441</v>
      </c>
      <c r="H16072" s="1" t="str">
        <f>"수유간 55L7L1R2"</f>
        <v>수유간 55L7L1R2</v>
      </c>
      <c r="I16072" s="1" t="s">
        <v>8</v>
      </c>
      <c r="J16072" s="1" t="str">
        <f>"47/47"</f>
        <v>47/47</v>
      </c>
      <c r="K16072" s="1" t="str">
        <f t="shared" si="800"/>
        <v>2026-07-29 13:18:02</v>
      </c>
      <c r="L16072" s="1" t="str">
        <f>"2019-11-06 19:03:05"</f>
        <v>2019-11-06 19:03:05</v>
      </c>
      <c r="M16072" s="1" t="s">
        <v>45</v>
      </c>
      <c r="N16072" s="1" t="s">
        <v>38</v>
      </c>
      <c r="O16072" s="1" t="s">
        <v>46</v>
      </c>
    </row>
    <row r="16073" spans="2:15" x14ac:dyDescent="0.3">
      <c r="B16073" s="1" t="s">
        <v>19</v>
      </c>
      <c r="C16073" s="1" t="str">
        <f t="shared" si="799"/>
        <v>4차</v>
      </c>
      <c r="D16073" s="1" t="str">
        <f>"0130Q45241"</f>
        <v>0130Q45241</v>
      </c>
      <c r="E16073" s="1" t="s">
        <v>10</v>
      </c>
      <c r="F16073" s="1" t="str">
        <f>"10.12.132.242"</f>
        <v>10.12.132.242</v>
      </c>
      <c r="G16073" s="1" t="str">
        <f>"0130Q452"</f>
        <v>0130Q452</v>
      </c>
      <c r="H16073" s="1" t="str">
        <f>"수유간 51L9R3R1"</f>
        <v>수유간 51L9R3R1</v>
      </c>
      <c r="I16073" s="1" t="s">
        <v>17</v>
      </c>
      <c r="J16073" s="1" t="str">
        <f>"40/40"</f>
        <v>40/40</v>
      </c>
      <c r="K16073" s="1" t="str">
        <f>"2026-07-29 13:18:03"</f>
        <v>2026-07-29 13:18:03</v>
      </c>
      <c r="L16073" s="1" t="str">
        <f>"2021-08-13 07:06:56"</f>
        <v>2021-08-13 07:06:56</v>
      </c>
      <c r="M16073" s="1" t="s">
        <v>0</v>
      </c>
      <c r="N16073" s="1" t="s">
        <v>38</v>
      </c>
      <c r="O16073" s="1" t="s">
        <v>46</v>
      </c>
    </row>
    <row r="16074" spans="2:15" x14ac:dyDescent="0.3">
      <c r="B16074" s="1" t="s">
        <v>19</v>
      </c>
      <c r="C16074" s="1" t="str">
        <f t="shared" si="799"/>
        <v>4차</v>
      </c>
      <c r="D16074" s="1" t="str">
        <f>"0130Q47144"</f>
        <v>0130Q47144</v>
      </c>
      <c r="E16074" s="1" t="s">
        <v>10</v>
      </c>
      <c r="F16074" s="1" t="str">
        <f>"10.107.15.47"</f>
        <v>10.107.15.47</v>
      </c>
      <c r="G16074" s="1" t="str">
        <f>"0130Q471"</f>
        <v>0130Q471</v>
      </c>
      <c r="H16074" s="1" t="str">
        <f>"수유간 51L7"</f>
        <v>수유간 51L7</v>
      </c>
      <c r="I16074" s="1" t="s">
        <v>8</v>
      </c>
      <c r="J16074" s="1" t="str">
        <f>"24/24"</f>
        <v>24/24</v>
      </c>
      <c r="K16074" s="1" t="str">
        <f t="shared" ref="K16074:K16080" si="801">"2026-07-29 13:18:02"</f>
        <v>2026-07-29 13:18:02</v>
      </c>
      <c r="L16074" s="1" t="str">
        <f>"2019-11-06 18:43:05"</f>
        <v>2019-11-06 18:43:05</v>
      </c>
      <c r="M16074" s="1" t="s">
        <v>45</v>
      </c>
      <c r="N16074" s="1" t="s">
        <v>38</v>
      </c>
      <c r="O16074" s="1" t="s">
        <v>46</v>
      </c>
    </row>
    <row r="16075" spans="2:15" x14ac:dyDescent="0.3">
      <c r="B16075" s="1" t="s">
        <v>19</v>
      </c>
      <c r="C16075" s="1" t="str">
        <f t="shared" si="799"/>
        <v>4차</v>
      </c>
      <c r="D16075" s="1" t="str">
        <f>"0130Q52144"</f>
        <v>0130Q52144</v>
      </c>
      <c r="E16075" s="1" t="s">
        <v>10</v>
      </c>
      <c r="F16075" s="1" t="str">
        <f>"10.107.251.141"</f>
        <v>10.107.251.141</v>
      </c>
      <c r="G16075" s="1" t="str">
        <f>"0130Q521"</f>
        <v>0130Q521</v>
      </c>
      <c r="H16075" s="1" t="str">
        <f>"수유간 55L7R4"</f>
        <v>수유간 55L7R4</v>
      </c>
      <c r="I16075" s="1" t="s">
        <v>8</v>
      </c>
      <c r="J16075" s="1" t="str">
        <f>"80/80"</f>
        <v>80/80</v>
      </c>
      <c r="K16075" s="1" t="str">
        <f t="shared" si="801"/>
        <v>2026-07-29 13:18:02</v>
      </c>
      <c r="L16075" s="1" t="str">
        <f>"2019-11-20 21:17:06"</f>
        <v>2019-11-20 21:17:06</v>
      </c>
      <c r="M16075" s="1" t="s">
        <v>45</v>
      </c>
      <c r="N16075" s="1" t="s">
        <v>38</v>
      </c>
      <c r="O16075" s="1" t="s">
        <v>46</v>
      </c>
    </row>
    <row r="16076" spans="2:15" x14ac:dyDescent="0.3">
      <c r="B16076" s="1" t="s">
        <v>19</v>
      </c>
      <c r="C16076" s="1" t="str">
        <f t="shared" si="799"/>
        <v>4차</v>
      </c>
      <c r="D16076" s="1" t="str">
        <f>"0130Q52244"</f>
        <v>0130Q52244</v>
      </c>
      <c r="E16076" s="1" t="s">
        <v>10</v>
      </c>
      <c r="F16076" s="1" t="str">
        <f>"10.107.251.142"</f>
        <v>10.107.251.142</v>
      </c>
      <c r="G16076" s="1" t="str">
        <f>"0130Q522"</f>
        <v>0130Q522</v>
      </c>
      <c r="H16076" s="1" t="str">
        <f>"수유간 55L7R5"</f>
        <v>수유간 55L7R5</v>
      </c>
      <c r="I16076" s="1" t="s">
        <v>8</v>
      </c>
      <c r="J16076" s="1" t="str">
        <f>"33/33"</f>
        <v>33/33</v>
      </c>
      <c r="K16076" s="1" t="str">
        <f t="shared" si="801"/>
        <v>2026-07-29 13:18:02</v>
      </c>
      <c r="L16076" s="1" t="str">
        <f>"2024-11-29 14:39:25"</f>
        <v>2024-11-29 14:39:25</v>
      </c>
      <c r="M16076" s="1" t="s">
        <v>45</v>
      </c>
      <c r="N16076" s="1" t="s">
        <v>38</v>
      </c>
      <c r="O16076" s="1" t="s">
        <v>46</v>
      </c>
    </row>
    <row r="16077" spans="2:15" x14ac:dyDescent="0.3">
      <c r="B16077" s="1" t="s">
        <v>19</v>
      </c>
      <c r="C16077" s="1" t="str">
        <f t="shared" si="799"/>
        <v>4차</v>
      </c>
      <c r="D16077" s="1" t="str">
        <f>"0130Q53644"</f>
        <v>0130Q53644</v>
      </c>
      <c r="E16077" s="1" t="s">
        <v>10</v>
      </c>
      <c r="F16077" s="1" t="str">
        <f>"10.107.135.42"</f>
        <v>10.107.135.42</v>
      </c>
      <c r="G16077" s="1" t="str">
        <f>"0130Q536"</f>
        <v>0130Q536</v>
      </c>
      <c r="H16077" s="1" t="str">
        <f>"수유간 55L9"</f>
        <v>수유간 55L9</v>
      </c>
      <c r="I16077" s="1" t="s">
        <v>8</v>
      </c>
      <c r="J16077" s="1" t="str">
        <f>"16/16"</f>
        <v>16/16</v>
      </c>
      <c r="K16077" s="1" t="str">
        <f t="shared" si="801"/>
        <v>2026-07-29 13:18:02</v>
      </c>
      <c r="L16077" s="1" t="str">
        <f>"2020-02-10 18:41:30"</f>
        <v>2020-02-10 18:41:30</v>
      </c>
      <c r="M16077" s="1" t="s">
        <v>45</v>
      </c>
      <c r="N16077" s="1" t="s">
        <v>38</v>
      </c>
      <c r="O16077" s="1" t="s">
        <v>46</v>
      </c>
    </row>
    <row r="16078" spans="2:15" x14ac:dyDescent="0.3">
      <c r="B16078" s="1" t="s">
        <v>19</v>
      </c>
      <c r="C16078" s="1" t="str">
        <f t="shared" si="799"/>
        <v>4차</v>
      </c>
      <c r="D16078" s="1" t="str">
        <f>"0130Q54144"</f>
        <v>0130Q54144</v>
      </c>
      <c r="E16078" s="1" t="s">
        <v>10</v>
      </c>
      <c r="F16078" s="1" t="str">
        <f>"10.107.135.39"</f>
        <v>10.107.135.39</v>
      </c>
      <c r="G16078" s="1" t="str">
        <f>"0130Q541"</f>
        <v>0130Q541</v>
      </c>
      <c r="H16078" s="1" t="str">
        <f>"수유간 55L7L1R3"</f>
        <v>수유간 55L7L1R3</v>
      </c>
      <c r="I16078" s="1" t="s">
        <v>8</v>
      </c>
      <c r="J16078" s="1" t="str">
        <f>"62/69"</f>
        <v>62/69</v>
      </c>
      <c r="K16078" s="1" t="str">
        <f t="shared" si="801"/>
        <v>2026-07-29 13:18:02</v>
      </c>
      <c r="L16078" s="1" t="str">
        <f>"2019-11-14 14:59:35"</f>
        <v>2019-11-14 14:59:35</v>
      </c>
      <c r="M16078" s="1" t="s">
        <v>45</v>
      </c>
      <c r="N16078" s="1" t="s">
        <v>38</v>
      </c>
      <c r="O16078" s="1" t="s">
        <v>46</v>
      </c>
    </row>
    <row r="16079" spans="2:15" x14ac:dyDescent="0.3">
      <c r="B16079" s="1" t="s">
        <v>19</v>
      </c>
      <c r="C16079" s="1" t="str">
        <f t="shared" si="799"/>
        <v>4차</v>
      </c>
      <c r="D16079" s="1" t="str">
        <f>"0130Q56144"</f>
        <v>0130Q56144</v>
      </c>
      <c r="E16079" s="1" t="s">
        <v>10</v>
      </c>
      <c r="F16079" s="1" t="str">
        <f>"10.107.15.48"</f>
        <v>10.107.15.48</v>
      </c>
      <c r="G16079" s="1" t="str">
        <f>"0130Q561"</f>
        <v>0130Q561</v>
      </c>
      <c r="H16079" s="1" t="str">
        <f>"수유간 51L9R3"</f>
        <v>수유간 51L9R3</v>
      </c>
      <c r="I16079" s="1" t="s">
        <v>8</v>
      </c>
      <c r="J16079" s="1" t="str">
        <f>"26/26"</f>
        <v>26/26</v>
      </c>
      <c r="K16079" s="1" t="str">
        <f t="shared" si="801"/>
        <v>2026-07-29 13:18:02</v>
      </c>
      <c r="L16079" s="1" t="str">
        <f>"2019-11-06 19:03:05"</f>
        <v>2019-11-06 19:03:05</v>
      </c>
      <c r="M16079" s="1" t="s">
        <v>45</v>
      </c>
      <c r="N16079" s="1" t="s">
        <v>38</v>
      </c>
      <c r="O16079" s="1" t="s">
        <v>46</v>
      </c>
    </row>
    <row r="16080" spans="2:15" x14ac:dyDescent="0.3">
      <c r="B16080" s="1" t="s">
        <v>19</v>
      </c>
      <c r="C16080" s="1" t="str">
        <f>"1차"</f>
        <v>1차</v>
      </c>
      <c r="D16080" s="1" t="str">
        <f>"0130Q56200"</f>
        <v>0130Q56200</v>
      </c>
      <c r="E16080" s="1" t="s">
        <v>10</v>
      </c>
      <c r="F16080" s="1" t="str">
        <f>"10.107.1.78"</f>
        <v>10.107.1.78</v>
      </c>
      <c r="G16080" s="1" t="str">
        <f>"0130Q562"</f>
        <v>0130Q562</v>
      </c>
      <c r="H16080" s="1" t="str">
        <f>"수유간 51L9R2"</f>
        <v>수유간 51L9R2</v>
      </c>
      <c r="I16080" s="1" t="s">
        <v>8</v>
      </c>
      <c r="J16080" s="1" t="str">
        <f>"20/20"</f>
        <v>20/20</v>
      </c>
      <c r="K16080" s="1" t="str">
        <f t="shared" si="801"/>
        <v>2026-07-29 13:18:02</v>
      </c>
      <c r="L16080" s="1" t="str">
        <f>"2014-12-08 12:13:17"</f>
        <v>2014-12-08 12:13:17</v>
      </c>
      <c r="M16080" s="1" t="s">
        <v>45</v>
      </c>
      <c r="N16080" s="1" t="s">
        <v>38</v>
      </c>
      <c r="O16080" s="1" t="s">
        <v>46</v>
      </c>
    </row>
    <row r="16081" spans="2:15" x14ac:dyDescent="0.3">
      <c r="B16081" s="1" t="s">
        <v>19</v>
      </c>
      <c r="C16081" s="1" t="str">
        <f>"1차"</f>
        <v>1차</v>
      </c>
      <c r="D16081" s="1" t="str">
        <f>"0130Q57101"</f>
        <v>0130Q57101</v>
      </c>
      <c r="E16081" s="1" t="s">
        <v>10</v>
      </c>
      <c r="F16081" s="1" t="str">
        <f>"10.12.129.152"</f>
        <v>10.12.129.152</v>
      </c>
      <c r="G16081" s="1" t="str">
        <f>"0130Q571"</f>
        <v>0130Q571</v>
      </c>
      <c r="H16081" s="1" t="str">
        <f>"수유간 51L9R1"</f>
        <v>수유간 51L9R1</v>
      </c>
      <c r="I16081" s="1" t="s">
        <v>8</v>
      </c>
      <c r="J16081" s="1" t="str">
        <f>"41/41"</f>
        <v>41/41</v>
      </c>
      <c r="K16081" s="1" t="str">
        <f>"2026-07-29 07:18:02"</f>
        <v>2026-07-29 07:18:02</v>
      </c>
      <c r="L16081" s="1" t="str">
        <f>"2015-02-11 13:18:17"</f>
        <v>2015-02-11 13:18:17</v>
      </c>
      <c r="M16081" s="1" t="s">
        <v>0</v>
      </c>
      <c r="N16081" s="1" t="s">
        <v>38</v>
      </c>
      <c r="O16081" s="1" t="s">
        <v>46</v>
      </c>
    </row>
    <row r="16082" spans="2:15" x14ac:dyDescent="0.3">
      <c r="B16082" s="1" t="s">
        <v>19</v>
      </c>
      <c r="C16082" s="1" t="str">
        <f>"4차"</f>
        <v>4차</v>
      </c>
      <c r="D16082" s="1" t="str">
        <f>"0130Q57244"</f>
        <v>0130Q57244</v>
      </c>
      <c r="E16082" s="1" t="s">
        <v>10</v>
      </c>
      <c r="F16082" s="1" t="str">
        <f>"10.107.252.165"</f>
        <v>10.107.252.165</v>
      </c>
      <c r="G16082" s="1" t="str">
        <f>"0130Q572"</f>
        <v>0130Q572</v>
      </c>
      <c r="H16082" s="1" t="str">
        <f>"수유간 107L5"</f>
        <v>수유간 107L5</v>
      </c>
      <c r="I16082" s="1" t="s">
        <v>8</v>
      </c>
      <c r="J16082" s="1" t="str">
        <f>"26/26"</f>
        <v>26/26</v>
      </c>
      <c r="K16082" s="1" t="str">
        <f>"2026-07-29 13:18:02"</f>
        <v>2026-07-29 13:18:02</v>
      </c>
      <c r="L16082" s="1" t="str">
        <f>"2019-11-01 15:28:44"</f>
        <v>2019-11-01 15:28:44</v>
      </c>
      <c r="M16082" s="1" t="s">
        <v>45</v>
      </c>
      <c r="N16082" s="1" t="s">
        <v>38</v>
      </c>
      <c r="O16082" s="1" t="s">
        <v>46</v>
      </c>
    </row>
    <row r="16083" spans="2:15" x14ac:dyDescent="0.3">
      <c r="B16083" s="1" t="s">
        <v>19</v>
      </c>
      <c r="C16083" s="1" t="str">
        <f>"4차"</f>
        <v>4차</v>
      </c>
      <c r="D16083" s="1" t="str">
        <f>"0130Q58244"</f>
        <v>0130Q58244</v>
      </c>
      <c r="E16083" s="1" t="s">
        <v>10</v>
      </c>
      <c r="F16083" s="1" t="str">
        <f>"10.107.251.100"</f>
        <v>10.107.251.100</v>
      </c>
      <c r="G16083" s="1" t="str">
        <f>"0130Q582"</f>
        <v>0130Q582</v>
      </c>
      <c r="H16083" s="1" t="str">
        <f>"수유간 107L4R1H1"</f>
        <v>수유간 107L4R1H1</v>
      </c>
      <c r="I16083" s="1" t="s">
        <v>8</v>
      </c>
      <c r="J16083" s="1" t="str">
        <f>"30/36"</f>
        <v>30/36</v>
      </c>
      <c r="K16083" s="1" t="str">
        <f>"2026-07-29 13:18:02"</f>
        <v>2026-07-29 13:18:02</v>
      </c>
      <c r="L16083" s="1" t="str">
        <f>"2019-11-08 10:59:11"</f>
        <v>2019-11-08 10:59:11</v>
      </c>
      <c r="M16083" s="1" t="s">
        <v>45</v>
      </c>
      <c r="N16083" s="1" t="s">
        <v>38</v>
      </c>
      <c r="O16083" s="1" t="s">
        <v>46</v>
      </c>
    </row>
    <row r="16084" spans="2:15" x14ac:dyDescent="0.3">
      <c r="B16084" s="1" t="s">
        <v>19</v>
      </c>
      <c r="C16084" s="1" t="str">
        <f>"3차"</f>
        <v>3차</v>
      </c>
      <c r="D16084" s="1" t="str">
        <f>"0130Q59239"</f>
        <v>0130Q59239</v>
      </c>
      <c r="E16084" s="1" t="s">
        <v>10</v>
      </c>
      <c r="F16084" s="1" t="str">
        <f>"10.12.137.138"</f>
        <v>10.12.137.138</v>
      </c>
      <c r="G16084" s="1" t="str">
        <f>"0130Q592"</f>
        <v>0130Q592</v>
      </c>
      <c r="H16084" s="1" t="str">
        <f>"수유간 107L4R1"</f>
        <v>수유간 107L4R1</v>
      </c>
      <c r="I16084" s="1" t="s">
        <v>8</v>
      </c>
      <c r="J16084" s="1" t="str">
        <f>"43/43"</f>
        <v>43/43</v>
      </c>
      <c r="K16084" s="1" t="str">
        <f>"2026-07-29 13:18:03"</f>
        <v>2026-07-29 13:18:03</v>
      </c>
      <c r="L16084" s="1" t="str">
        <f>"2018-04-24 10:25:56"</f>
        <v>2018-04-24 10:25:56</v>
      </c>
      <c r="M16084" s="1" t="s">
        <v>0</v>
      </c>
      <c r="N16084" s="1" t="s">
        <v>38</v>
      </c>
      <c r="O16084" s="1" t="s">
        <v>46</v>
      </c>
    </row>
    <row r="16085" spans="2:15" x14ac:dyDescent="0.3">
      <c r="B16085" s="1" t="s">
        <v>19</v>
      </c>
      <c r="C16085" s="1" t="str">
        <f>"4차"</f>
        <v>4차</v>
      </c>
      <c r="D16085" s="1" t="str">
        <f>"0130Q59344"</f>
        <v>0130Q59344</v>
      </c>
      <c r="E16085" s="1" t="s">
        <v>10</v>
      </c>
      <c r="F16085" s="1" t="str">
        <f>"10.107.251.101"</f>
        <v>10.107.251.101</v>
      </c>
      <c r="G16085" s="1" t="str">
        <f>"0130Q593"</f>
        <v>0130Q593</v>
      </c>
      <c r="H16085" s="1" t="str">
        <f>"수유간 112"</f>
        <v>수유간 112</v>
      </c>
      <c r="I16085" s="1" t="s">
        <v>8</v>
      </c>
      <c r="J16085" s="1" t="str">
        <f>"20/20"</f>
        <v>20/20</v>
      </c>
      <c r="K16085" s="1" t="str">
        <f>"2026-07-29 13:18:02"</f>
        <v>2026-07-29 13:18:02</v>
      </c>
      <c r="L16085" s="1" t="str">
        <f>"2019-11-01 15:33:05"</f>
        <v>2019-11-01 15:33:05</v>
      </c>
      <c r="M16085" s="1" t="s">
        <v>45</v>
      </c>
      <c r="N16085" s="1" t="s">
        <v>38</v>
      </c>
      <c r="O16085" s="1" t="s">
        <v>46</v>
      </c>
    </row>
    <row r="16086" spans="2:15" x14ac:dyDescent="0.3">
      <c r="B16086" s="1" t="s">
        <v>19</v>
      </c>
      <c r="C16086" s="1" t="str">
        <f>"4차"</f>
        <v>4차</v>
      </c>
      <c r="D16086" s="1" t="str">
        <f>"0130Q62144"</f>
        <v>0130Q62144</v>
      </c>
      <c r="E16086" s="1" t="s">
        <v>10</v>
      </c>
      <c r="F16086" s="1" t="str">
        <f>"10.107.251.143"</f>
        <v>10.107.251.143</v>
      </c>
      <c r="G16086" s="1" t="str">
        <f>"0130Q621"</f>
        <v>0130Q621</v>
      </c>
      <c r="H16086" s="1" t="str">
        <f>"수유간 55L7R6"</f>
        <v>수유간 55L7R6</v>
      </c>
      <c r="I16086" s="1" t="s">
        <v>8</v>
      </c>
      <c r="J16086" s="1" t="str">
        <f>"102/102"</f>
        <v>102/102</v>
      </c>
      <c r="K16086" s="1" t="str">
        <f>"2026-07-29 13:18:02"</f>
        <v>2026-07-29 13:18:02</v>
      </c>
      <c r="L16086" s="1" t="str">
        <f>"2019-11-20 21:45:10"</f>
        <v>2019-11-20 21:45:10</v>
      </c>
      <c r="M16086" s="1" t="s">
        <v>45</v>
      </c>
      <c r="N16086" s="1" t="s">
        <v>38</v>
      </c>
      <c r="O16086" s="1" t="s">
        <v>46</v>
      </c>
    </row>
    <row r="16087" spans="2:15" x14ac:dyDescent="0.3">
      <c r="B16087" s="1" t="s">
        <v>19</v>
      </c>
      <c r="C16087" s="1" t="str">
        <f>"4차"</f>
        <v>4차</v>
      </c>
      <c r="D16087" s="1" t="str">
        <f>"0130Q62244"</f>
        <v>0130Q62244</v>
      </c>
      <c r="E16087" s="1" t="s">
        <v>10</v>
      </c>
      <c r="F16087" s="1" t="str">
        <f>"10.107.251.144"</f>
        <v>10.107.251.144</v>
      </c>
      <c r="G16087" s="1" t="str">
        <f>"0130Q622"</f>
        <v>0130Q622</v>
      </c>
      <c r="H16087" s="1" t="str">
        <f>"수유간 55L7R7"</f>
        <v>수유간 55L7R7</v>
      </c>
      <c r="I16087" s="1" t="s">
        <v>8</v>
      </c>
      <c r="J16087" s="1" t="str">
        <f>"36/36"</f>
        <v>36/36</v>
      </c>
      <c r="K16087" s="1" t="str">
        <f>"2026-07-29 13:18:02"</f>
        <v>2026-07-29 13:18:02</v>
      </c>
      <c r="L16087" s="1" t="str">
        <f>"2019-11-20 21:45:42"</f>
        <v>2019-11-20 21:45:42</v>
      </c>
      <c r="M16087" s="1" t="s">
        <v>45</v>
      </c>
      <c r="N16087" s="1" t="s">
        <v>38</v>
      </c>
      <c r="O16087" s="1" t="s">
        <v>46</v>
      </c>
    </row>
    <row r="16088" spans="2:15" x14ac:dyDescent="0.3">
      <c r="B16088" s="1" t="s">
        <v>19</v>
      </c>
      <c r="C16088" s="1" t="str">
        <f>"4차"</f>
        <v>4차</v>
      </c>
      <c r="D16088" s="1" t="str">
        <f>"0130Q64344"</f>
        <v>0130Q64344</v>
      </c>
      <c r="E16088" s="1" t="s">
        <v>10</v>
      </c>
      <c r="F16088" s="1" t="str">
        <f>"10.107.135.40"</f>
        <v>10.107.135.40</v>
      </c>
      <c r="G16088" s="1" t="str">
        <f>"0130Q643"</f>
        <v>0130Q643</v>
      </c>
      <c r="H16088" s="1" t="str">
        <f>"수유간 55L7L1R4"</f>
        <v>수유간 55L7L1R4</v>
      </c>
      <c r="I16088" s="1" t="s">
        <v>8</v>
      </c>
      <c r="J16088" s="1" t="str">
        <f>"37/37"</f>
        <v>37/37</v>
      </c>
      <c r="K16088" s="1" t="str">
        <f>"2026-07-29 13:18:02"</f>
        <v>2026-07-29 13:18:02</v>
      </c>
      <c r="L16088" s="1" t="str">
        <f>"2019-12-13 09:16:42"</f>
        <v>2019-12-13 09:16:42</v>
      </c>
      <c r="M16088" s="1" t="s">
        <v>45</v>
      </c>
      <c r="N16088" s="1" t="s">
        <v>38</v>
      </c>
      <c r="O16088" s="1" t="s">
        <v>46</v>
      </c>
    </row>
    <row r="16089" spans="2:15" x14ac:dyDescent="0.3">
      <c r="B16089" s="1" t="s">
        <v>19</v>
      </c>
      <c r="C16089" s="1" t="str">
        <f>"1차"</f>
        <v>1차</v>
      </c>
      <c r="D16089" s="1" t="str">
        <f>"0130Q67100"</f>
        <v>0130Q67100</v>
      </c>
      <c r="E16089" s="1" t="s">
        <v>10</v>
      </c>
      <c r="F16089" s="1" t="str">
        <f>"10.107.1.81"</f>
        <v>10.107.1.81</v>
      </c>
      <c r="G16089" s="1" t="str">
        <f>"0130Q671"</f>
        <v>0130Q671</v>
      </c>
      <c r="H16089" s="1" t="str">
        <f>"수유간 104L2"</f>
        <v>수유간 104L2</v>
      </c>
      <c r="I16089" s="1" t="s">
        <v>8</v>
      </c>
      <c r="J16089" s="1" t="str">
        <f>"69/69"</f>
        <v>69/69</v>
      </c>
      <c r="K16089" s="1" t="str">
        <f>"2026-07-29 13:18:02"</f>
        <v>2026-07-29 13:18:02</v>
      </c>
      <c r="L16089" s="1" t="str">
        <f>"2014-12-05 14:58:17"</f>
        <v>2014-12-05 14:58:17</v>
      </c>
      <c r="M16089" s="1" t="s">
        <v>45</v>
      </c>
      <c r="N16089" s="1" t="s">
        <v>38</v>
      </c>
      <c r="O16089" s="1" t="s">
        <v>46</v>
      </c>
    </row>
    <row r="16090" spans="2:15" x14ac:dyDescent="0.3">
      <c r="B16090" s="1" t="s">
        <v>19</v>
      </c>
      <c r="C16090" s="1" t="str">
        <f>"1차"</f>
        <v>1차</v>
      </c>
      <c r="D16090" s="1" t="str">
        <f>"0130Q67301"</f>
        <v>0130Q67301</v>
      </c>
      <c r="E16090" s="1" t="s">
        <v>10</v>
      </c>
      <c r="F16090" s="1" t="str">
        <f>"10.107.1.82"</f>
        <v>10.107.1.82</v>
      </c>
      <c r="G16090" s="1" t="str">
        <f>"0130Q673"</f>
        <v>0130Q673</v>
      </c>
      <c r="H16090" s="1" t="str">
        <f>"수유간 104L2L1"</f>
        <v>수유간 104L2L1</v>
      </c>
      <c r="I16090" s="1" t="s">
        <v>8</v>
      </c>
      <c r="J16090" s="1" t="str">
        <f>"9/10"</f>
        <v>9/10</v>
      </c>
      <c r="K16090" s="1" t="str">
        <f>"2026-07-29 13:18:01"</f>
        <v>2026-07-29 13:18:01</v>
      </c>
      <c r="L16090" s="1" t="str">
        <f>"2014-12-06 10:43:16"</f>
        <v>2014-12-06 10:43:16</v>
      </c>
      <c r="M16090" s="1" t="s">
        <v>45</v>
      </c>
      <c r="N16090" s="1" t="s">
        <v>38</v>
      </c>
      <c r="O16090" s="1" t="s">
        <v>46</v>
      </c>
    </row>
    <row r="16091" spans="2:15" x14ac:dyDescent="0.3">
      <c r="B16091" s="1" t="s">
        <v>19</v>
      </c>
      <c r="C16091" s="1" t="str">
        <f>"4차"</f>
        <v>4차</v>
      </c>
      <c r="D16091" s="1" t="str">
        <f>"0130Q69144"</f>
        <v>0130Q69144</v>
      </c>
      <c r="E16091" s="1" t="s">
        <v>10</v>
      </c>
      <c r="F16091" s="1" t="str">
        <f>"10.107.251.99"</f>
        <v>10.107.251.99</v>
      </c>
      <c r="G16091" s="1" t="str">
        <f>"0130Q691"</f>
        <v>0130Q691</v>
      </c>
      <c r="H16091" s="1" t="str">
        <f>"수유간 107L3"</f>
        <v>수유간 107L3</v>
      </c>
      <c r="I16091" s="1" t="s">
        <v>8</v>
      </c>
      <c r="J16091" s="1" t="str">
        <f>"19/19"</f>
        <v>19/19</v>
      </c>
      <c r="K16091" s="1" t="str">
        <f>"2026-07-29 13:18:02"</f>
        <v>2026-07-29 13:18:02</v>
      </c>
      <c r="L16091" s="1" t="str">
        <f>"2019-11-01 15:02:27"</f>
        <v>2019-11-01 15:02:27</v>
      </c>
      <c r="M16091" s="1" t="s">
        <v>45</v>
      </c>
      <c r="N16091" s="1" t="s">
        <v>38</v>
      </c>
      <c r="O16091" s="1" t="s">
        <v>46</v>
      </c>
    </row>
    <row r="16092" spans="2:15" x14ac:dyDescent="0.3">
      <c r="B16092" s="1" t="s">
        <v>19</v>
      </c>
      <c r="C16092" s="1" t="str">
        <f>"6차"</f>
        <v>6차</v>
      </c>
      <c r="D16092" s="1" t="str">
        <f>"0130Q7116M"</f>
        <v>0130Q7116M</v>
      </c>
      <c r="E16092" s="1" t="s">
        <v>10</v>
      </c>
      <c r="F16092" s="1" t="str">
        <f>"fde1:103:4:c77a:0:0:0:2"</f>
        <v>fde1:103:4:c77a:0:0:0:2</v>
      </c>
      <c r="G16092" s="1" t="str">
        <f>"0130Q711"</f>
        <v>0130Q711</v>
      </c>
      <c r="H16092" s="1" t="str">
        <f>"수유간 55L13"</f>
        <v>수유간 55L13</v>
      </c>
      <c r="I16092" s="1" t="s">
        <v>15</v>
      </c>
      <c r="J16092" s="1" t="str">
        <f>"18/18"</f>
        <v>18/18</v>
      </c>
      <c r="K16092" s="1" t="str">
        <f>"2026-07-29 14:20:21"</f>
        <v>2026-07-29 14:20:21</v>
      </c>
      <c r="L16092" s="1" t="str">
        <f>"2024-12-04 15:42:21"</f>
        <v>2024-12-04 15:42:21</v>
      </c>
      <c r="M16092" s="1" t="s">
        <v>4</v>
      </c>
      <c r="N16092" s="1" t="s">
        <v>38</v>
      </c>
      <c r="O16092" s="1" t="s">
        <v>46</v>
      </c>
    </row>
    <row r="16093" spans="2:15" x14ac:dyDescent="0.3">
      <c r="B16093" s="1" t="s">
        <v>19</v>
      </c>
      <c r="C16093" s="1" t="str">
        <f>"4차"</f>
        <v>4차</v>
      </c>
      <c r="D16093" s="1" t="str">
        <f>"0130Q72144"</f>
        <v>0130Q72144</v>
      </c>
      <c r="E16093" s="1" t="s">
        <v>10</v>
      </c>
      <c r="F16093" s="1" t="str">
        <f>"10.107.251.155"</f>
        <v>10.107.251.155</v>
      </c>
      <c r="G16093" s="1" t="str">
        <f>"0130Q721"</f>
        <v>0130Q721</v>
      </c>
      <c r="H16093" s="1" t="str">
        <f>"수유간 55L11"</f>
        <v>수유간 55L11</v>
      </c>
      <c r="I16093" s="1" t="s">
        <v>8</v>
      </c>
      <c r="J16093" s="1" t="str">
        <f>"30/30"</f>
        <v>30/30</v>
      </c>
      <c r="K16093" s="1" t="str">
        <f>"2026-07-29 13:18:02"</f>
        <v>2026-07-29 13:18:02</v>
      </c>
      <c r="L16093" s="1" t="str">
        <f>"2020-01-21 15:26:23"</f>
        <v>2020-01-21 15:26:23</v>
      </c>
      <c r="M16093" s="1" t="s">
        <v>45</v>
      </c>
      <c r="N16093" s="1" t="s">
        <v>38</v>
      </c>
      <c r="O16093" s="1" t="s">
        <v>46</v>
      </c>
    </row>
    <row r="16094" spans="2:15" x14ac:dyDescent="0.3">
      <c r="B16094" s="1" t="s">
        <v>19</v>
      </c>
      <c r="C16094" s="1" t="str">
        <f>"4차"</f>
        <v>4차</v>
      </c>
      <c r="D16094" s="1" t="str">
        <f>"0130Q73144"</f>
        <v>0130Q73144</v>
      </c>
      <c r="E16094" s="1" t="s">
        <v>10</v>
      </c>
      <c r="F16094" s="1" t="str">
        <f>"10.107.135.87"</f>
        <v>10.107.135.87</v>
      </c>
      <c r="G16094" s="1" t="str">
        <f>"0130Q731"</f>
        <v>0130Q731</v>
      </c>
      <c r="H16094" s="1" t="str">
        <f>"수유간 55L10"</f>
        <v>수유간 55L10</v>
      </c>
      <c r="I16094" s="1" t="s">
        <v>8</v>
      </c>
      <c r="J16094" s="1" t="str">
        <f>"77/77"</f>
        <v>77/77</v>
      </c>
      <c r="K16094" s="1" t="str">
        <f>"2026-07-29 13:18:02"</f>
        <v>2026-07-29 13:18:02</v>
      </c>
      <c r="L16094" s="1" t="str">
        <f>"2020-01-21 15:11:43"</f>
        <v>2020-01-21 15:11:43</v>
      </c>
      <c r="M16094" s="1" t="s">
        <v>45</v>
      </c>
      <c r="N16094" s="1" t="s">
        <v>38</v>
      </c>
      <c r="O16094" s="1" t="s">
        <v>46</v>
      </c>
    </row>
    <row r="16095" spans="2:15" x14ac:dyDescent="0.3">
      <c r="B16095" s="1" t="s">
        <v>19</v>
      </c>
      <c r="C16095" s="1" t="str">
        <f>"4차"</f>
        <v>4차</v>
      </c>
      <c r="D16095" s="1" t="str">
        <f>"0130Q73344"</f>
        <v>0130Q73344</v>
      </c>
      <c r="E16095" s="1" t="s">
        <v>10</v>
      </c>
      <c r="F16095" s="1" t="str">
        <f>"10.107.15.50"</f>
        <v>10.107.15.50</v>
      </c>
      <c r="G16095" s="1" t="str">
        <f>"0130Q733"</f>
        <v>0130Q733</v>
      </c>
      <c r="H16095" s="1" t="str">
        <f>"수유간 55L10L1"</f>
        <v>수유간 55L10L1</v>
      </c>
      <c r="I16095" s="1" t="s">
        <v>8</v>
      </c>
      <c r="J16095" s="1" t="str">
        <f>"50/50"</f>
        <v>50/50</v>
      </c>
      <c r="K16095" s="1" t="str">
        <f>"2026-07-29 13:18:02"</f>
        <v>2026-07-29 13:18:02</v>
      </c>
      <c r="L16095" s="1" t="str">
        <f>"2019-11-06 18:52:49"</f>
        <v>2019-11-06 18:52:49</v>
      </c>
      <c r="M16095" s="1" t="s">
        <v>45</v>
      </c>
      <c r="N16095" s="1" t="s">
        <v>38</v>
      </c>
      <c r="O16095" s="1" t="s">
        <v>46</v>
      </c>
    </row>
    <row r="16096" spans="2:15" x14ac:dyDescent="0.3">
      <c r="B16096" s="1" t="s">
        <v>19</v>
      </c>
      <c r="C16096" s="1" t="str">
        <f>"4차"</f>
        <v>4차</v>
      </c>
      <c r="D16096" s="1" t="str">
        <f>"0130Q74444"</f>
        <v>0130Q74444</v>
      </c>
      <c r="E16096" s="1" t="s">
        <v>10</v>
      </c>
      <c r="F16096" s="1" t="str">
        <f>"10.107.15.51"</f>
        <v>10.107.15.51</v>
      </c>
      <c r="G16096" s="1" t="str">
        <f>"0130Q744"</f>
        <v>0130Q744</v>
      </c>
      <c r="H16096" s="1" t="str">
        <f>"수유간 55L10L2"</f>
        <v>수유간 55L10L2</v>
      </c>
      <c r="I16096" s="1" t="s">
        <v>8</v>
      </c>
      <c r="J16096" s="1" t="str">
        <f>"49/51"</f>
        <v>49/51</v>
      </c>
      <c r="K16096" s="1" t="str">
        <f>"2026-07-29 13:18:02"</f>
        <v>2026-07-29 13:18:02</v>
      </c>
      <c r="L16096" s="1" t="str">
        <f>"2019-11-06 18:43:05"</f>
        <v>2019-11-06 18:43:05</v>
      </c>
      <c r="M16096" s="1" t="s">
        <v>45</v>
      </c>
      <c r="N16096" s="1" t="s">
        <v>38</v>
      </c>
      <c r="O16096" s="1" t="s">
        <v>46</v>
      </c>
    </row>
    <row r="16097" spans="2:15" x14ac:dyDescent="0.3">
      <c r="B16097" s="1" t="s">
        <v>19</v>
      </c>
      <c r="C16097" s="1" t="str">
        <f>"6차"</f>
        <v>6차</v>
      </c>
      <c r="D16097" s="1" t="str">
        <f>"0130Q7616M"</f>
        <v>0130Q7616M</v>
      </c>
      <c r="E16097" s="1" t="s">
        <v>10</v>
      </c>
      <c r="F16097" s="1" t="str">
        <f>"fde1:103:4:c83e:0:0:0:2"</f>
        <v>fde1:103:4:c83e:0:0:0:2</v>
      </c>
      <c r="G16097" s="1" t="str">
        <f>"0130Q761"</f>
        <v>0130Q761</v>
      </c>
      <c r="H16097" s="1" t="str">
        <f>"수유간 51L9R5"</f>
        <v>수유간 51L9R5</v>
      </c>
      <c r="I16097" s="1" t="s">
        <v>15</v>
      </c>
      <c r="J16097" s="1" t="str">
        <f>"52/52"</f>
        <v>52/52</v>
      </c>
      <c r="K16097" s="1" t="str">
        <f>"2026-07-28 20:03:40"</f>
        <v>2026-07-28 20:03:40</v>
      </c>
      <c r="L16097" s="1" t="str">
        <f>"2024-12-04 15:42:38"</f>
        <v>2024-12-04 15:42:38</v>
      </c>
      <c r="M16097" s="1" t="s">
        <v>4</v>
      </c>
      <c r="N16097" s="1" t="s">
        <v>38</v>
      </c>
      <c r="O16097" s="1" t="s">
        <v>46</v>
      </c>
    </row>
    <row r="16098" spans="2:15" x14ac:dyDescent="0.3">
      <c r="B16098" s="1" t="s">
        <v>19</v>
      </c>
      <c r="C16098" s="1" t="str">
        <f>"1차"</f>
        <v>1차</v>
      </c>
      <c r="D16098" s="1" t="str">
        <f>"0130Q77101"</f>
        <v>0130Q77101</v>
      </c>
      <c r="E16098" s="1" t="str">
        <f>"검침실패(3시간 이상)"</f>
        <v>검침실패(3시간 이상)</v>
      </c>
      <c r="F16098" s="1" t="str">
        <f>"10.107.1.83"</f>
        <v>10.107.1.83</v>
      </c>
      <c r="G16098" s="1" t="str">
        <f>"0130Q771"</f>
        <v>0130Q771</v>
      </c>
      <c r="H16098" s="1" t="str">
        <f>"수유간 104L1"</f>
        <v>수유간 104L1</v>
      </c>
      <c r="I16098" s="1" t="s">
        <v>8</v>
      </c>
      <c r="J16098" s="1" t="str">
        <f>"0/44"</f>
        <v>0/44</v>
      </c>
      <c r="K16098" s="1" t="str">
        <f>"2026-07-29 13:18:01"</f>
        <v>2026-07-29 13:18:01</v>
      </c>
      <c r="L16098" s="1" t="str">
        <f>"2014-12-06 10:27:48"</f>
        <v>2014-12-06 10:27:48</v>
      </c>
      <c r="M16098" s="1" t="s">
        <v>45</v>
      </c>
      <c r="N16098" s="1" t="s">
        <v>38</v>
      </c>
      <c r="O16098" s="1" t="s">
        <v>46</v>
      </c>
    </row>
    <row r="16099" spans="2:15" x14ac:dyDescent="0.3">
      <c r="B16099" s="1" t="s">
        <v>19</v>
      </c>
      <c r="C16099" s="1" t="str">
        <f>"1차"</f>
        <v>1차</v>
      </c>
      <c r="D16099" s="1" t="str">
        <f>"0130Q81100"</f>
        <v>0130Q81100</v>
      </c>
      <c r="E16099" s="1" t="s">
        <v>10</v>
      </c>
      <c r="F16099" s="1" t="str">
        <f>"10.107.251.154"</f>
        <v>10.107.251.154</v>
      </c>
      <c r="G16099" s="1" t="str">
        <f>"0130Q811"</f>
        <v>0130Q811</v>
      </c>
      <c r="H16099" s="1" t="str">
        <f>"수유간 93"</f>
        <v>수유간 93</v>
      </c>
      <c r="I16099" s="1" t="s">
        <v>8</v>
      </c>
      <c r="J16099" s="1" t="str">
        <f>"21/27"</f>
        <v>21/27</v>
      </c>
      <c r="K16099" s="1" t="str">
        <f>"2026-07-29 13:18:02"</f>
        <v>2026-07-29 13:18:02</v>
      </c>
      <c r="L16099" s="1" t="str">
        <f>"2014-12-08 10:57:35"</f>
        <v>2014-12-08 10:57:35</v>
      </c>
      <c r="M16099" s="1" t="s">
        <v>45</v>
      </c>
      <c r="N16099" s="1" t="s">
        <v>38</v>
      </c>
      <c r="O16099" s="1" t="s">
        <v>46</v>
      </c>
    </row>
    <row r="16100" spans="2:15" x14ac:dyDescent="0.3">
      <c r="B16100" s="1" t="s">
        <v>19</v>
      </c>
      <c r="C16100" s="1" t="str">
        <f>"1차"</f>
        <v>1차</v>
      </c>
      <c r="D16100" s="1" t="str">
        <f>"0130Q82200"</f>
        <v>0130Q82200</v>
      </c>
      <c r="E16100" s="1" t="s">
        <v>10</v>
      </c>
      <c r="F16100" s="1" t="str">
        <f>"10.107.2.62"</f>
        <v>10.107.2.62</v>
      </c>
      <c r="G16100" s="1" t="str">
        <f>"0130Q822"</f>
        <v>0130Q822</v>
      </c>
      <c r="H16100" s="1" t="str">
        <f>"수유간 95"</f>
        <v>수유간 95</v>
      </c>
      <c r="I16100" s="1" t="s">
        <v>8</v>
      </c>
      <c r="J16100" s="1" t="str">
        <f>"53/57"</f>
        <v>53/57</v>
      </c>
      <c r="K16100" s="1" t="str">
        <f>"2026-07-29 13:18:02"</f>
        <v>2026-07-29 13:18:02</v>
      </c>
      <c r="L16100" s="1" t="str">
        <f>"2022-05-31 17:29:26"</f>
        <v>2022-05-31 17:29:26</v>
      </c>
      <c r="M16100" s="1" t="s">
        <v>45</v>
      </c>
      <c r="N16100" s="1" t="s">
        <v>38</v>
      </c>
      <c r="O16100" s="1" t="s">
        <v>46</v>
      </c>
    </row>
    <row r="16101" spans="2:15" x14ac:dyDescent="0.3">
      <c r="B16101" s="1" t="s">
        <v>19</v>
      </c>
      <c r="C16101" s="1" t="str">
        <f>"3차"</f>
        <v>3차</v>
      </c>
      <c r="D16101" s="1" t="str">
        <f>"0130Q84139"</f>
        <v>0130Q84139</v>
      </c>
      <c r="E16101" s="1" t="s">
        <v>10</v>
      </c>
      <c r="F16101" s="1" t="str">
        <f>"10.107.122.198"</f>
        <v>10.107.122.198</v>
      </c>
      <c r="G16101" s="1" t="str">
        <f>"0130Q841"</f>
        <v>0130Q841</v>
      </c>
      <c r="H16101" s="1" t="str">
        <f>"수유간 86R10L2"</f>
        <v>수유간 86R10L2</v>
      </c>
      <c r="I16101" s="1" t="s">
        <v>8</v>
      </c>
      <c r="J16101" s="1" t="str">
        <f>"35/35"</f>
        <v>35/35</v>
      </c>
      <c r="K16101" s="1" t="str">
        <f>"2026-07-29 13:18:02"</f>
        <v>2026-07-29 13:18:02</v>
      </c>
      <c r="L16101" s="1" t="str">
        <f>"2018-04-09 11:54:09"</f>
        <v>2018-04-09 11:54:09</v>
      </c>
      <c r="M16101" s="1" t="s">
        <v>45</v>
      </c>
      <c r="N16101" s="1" t="s">
        <v>38</v>
      </c>
      <c r="O16101" s="1" t="s">
        <v>46</v>
      </c>
    </row>
    <row r="16102" spans="2:15" x14ac:dyDescent="0.3">
      <c r="B16102" s="1" t="s">
        <v>19</v>
      </c>
      <c r="C16102" s="1" t="str">
        <f>"5-2차"</f>
        <v>5-2차</v>
      </c>
      <c r="D16102" s="1" t="str">
        <f>"0130Q8545M"</f>
        <v>0130Q8545M</v>
      </c>
      <c r="E16102" s="1" t="s">
        <v>10</v>
      </c>
      <c r="F16102" s="1" t="str">
        <f>"fde1:103:4:93d3:0:0:0:2"</f>
        <v>fde1:103:4:93d3:0:0:0:2</v>
      </c>
      <c r="G16102" s="1" t="str">
        <f>"0130Q854"</f>
        <v>0130Q854</v>
      </c>
      <c r="H16102" s="1" t="str">
        <f>"수유간 99H1"</f>
        <v>수유간 99H1</v>
      </c>
      <c r="I16102" s="1" t="s">
        <v>15</v>
      </c>
      <c r="J16102" s="1" t="str">
        <f>"38/38"</f>
        <v>38/38</v>
      </c>
      <c r="K16102" s="1" t="str">
        <f>"2026-07-29 14:21:02"</f>
        <v>2026-07-29 14:21:02</v>
      </c>
      <c r="L16102" s="1" t="str">
        <f>"2023-12-18 09:46:30"</f>
        <v>2023-12-18 09:46:30</v>
      </c>
      <c r="M16102" s="1" t="s">
        <v>4</v>
      </c>
      <c r="N16102" s="1" t="s">
        <v>38</v>
      </c>
      <c r="O16102" s="1" t="s">
        <v>46</v>
      </c>
    </row>
    <row r="16103" spans="2:15" x14ac:dyDescent="0.3">
      <c r="B16103" s="1" t="s">
        <v>19</v>
      </c>
      <c r="C16103" s="1" t="str">
        <f>"4차"</f>
        <v>4차</v>
      </c>
      <c r="D16103" s="1" t="str">
        <f>"0130Q86442"</f>
        <v>0130Q86442</v>
      </c>
      <c r="E16103" s="1" t="s">
        <v>10</v>
      </c>
      <c r="F16103" s="1" t="str">
        <f>"10.107.122.74"</f>
        <v>10.107.122.74</v>
      </c>
      <c r="G16103" s="1" t="str">
        <f>"0130Q864"</f>
        <v>0130Q864</v>
      </c>
      <c r="H16103" s="1" t="str">
        <f>"수유간 86R10L5"</f>
        <v>수유간 86R10L5</v>
      </c>
      <c r="I16103" s="1" t="s">
        <v>8</v>
      </c>
      <c r="J16103" s="1" t="str">
        <f>"2/2"</f>
        <v>2/2</v>
      </c>
      <c r="K16103" s="1" t="str">
        <f>"2026-07-29 13:18:02"</f>
        <v>2026-07-29 13:18:02</v>
      </c>
      <c r="L16103" s="1" t="str">
        <f>"2025-06-27 16:08:40"</f>
        <v>2025-06-27 16:08:40</v>
      </c>
      <c r="M16103" s="1" t="s">
        <v>45</v>
      </c>
      <c r="N16103" s="1" t="s">
        <v>38</v>
      </c>
      <c r="O16103" s="1" t="s">
        <v>46</v>
      </c>
    </row>
    <row r="16104" spans="2:15" x14ac:dyDescent="0.3">
      <c r="B16104" s="1" t="s">
        <v>19</v>
      </c>
      <c r="C16104" s="1" t="str">
        <f>"4차"</f>
        <v>4차</v>
      </c>
      <c r="D16104" s="1" t="str">
        <f>"0130Q88341"</f>
        <v>0130Q88341</v>
      </c>
      <c r="E16104" s="1" t="s">
        <v>10</v>
      </c>
      <c r="F16104" s="1" t="str">
        <f>"10.12.131.14"</f>
        <v>10.12.131.14</v>
      </c>
      <c r="G16104" s="1" t="str">
        <f>"0130Q883"</f>
        <v>0130Q883</v>
      </c>
      <c r="H16104" s="1" t="str">
        <f>"수유간 105H1"</f>
        <v>수유간 105H1</v>
      </c>
      <c r="I16104" s="1" t="s">
        <v>17</v>
      </c>
      <c r="J16104" s="1" t="str">
        <f>"30/30"</f>
        <v>30/30</v>
      </c>
      <c r="K16104" s="1" t="str">
        <f>"2026-07-29 13:18:02"</f>
        <v>2026-07-29 13:18:02</v>
      </c>
      <c r="L16104" s="1" t="str">
        <f>"2021-08-12 10:57:42"</f>
        <v>2021-08-12 10:57:42</v>
      </c>
      <c r="M16104" s="1" t="s">
        <v>0</v>
      </c>
      <c r="N16104" s="1" t="s">
        <v>38</v>
      </c>
      <c r="O16104" s="1" t="s">
        <v>46</v>
      </c>
    </row>
    <row r="16105" spans="2:15" x14ac:dyDescent="0.3">
      <c r="B16105" s="1" t="s">
        <v>19</v>
      </c>
      <c r="C16105" s="1" t="str">
        <f>"4차"</f>
        <v>4차</v>
      </c>
      <c r="D16105" s="1" t="str">
        <f>"0130Q89141"</f>
        <v>0130Q89141</v>
      </c>
      <c r="E16105" s="1" t="s">
        <v>10</v>
      </c>
      <c r="F16105" s="1" t="str">
        <f>"10.14.6.29"</f>
        <v>10.14.6.29</v>
      </c>
      <c r="G16105" s="1" t="str">
        <f>"0130Q891"</f>
        <v>0130Q891</v>
      </c>
      <c r="H16105" s="1" t="str">
        <f>"수유간 86R10L10"</f>
        <v>수유간 86R10L10</v>
      </c>
      <c r="I16105" s="1" t="s">
        <v>17</v>
      </c>
      <c r="J16105" s="1" t="str">
        <f>"17/17"</f>
        <v>17/17</v>
      </c>
      <c r="K16105" s="1" t="str">
        <f>"2026-07-29 13:18:02"</f>
        <v>2026-07-29 13:18:02</v>
      </c>
      <c r="L16105" s="1" t="str">
        <f>"2021-08-12 11:36:00"</f>
        <v>2021-08-12 11:36:00</v>
      </c>
      <c r="M16105" s="1" t="s">
        <v>3</v>
      </c>
      <c r="N16105" s="1" t="s">
        <v>38</v>
      </c>
      <c r="O16105" s="1" t="s">
        <v>46</v>
      </c>
    </row>
    <row r="16106" spans="2:15" x14ac:dyDescent="0.3">
      <c r="B16106" s="1" t="s">
        <v>19</v>
      </c>
      <c r="C16106" s="1" t="str">
        <f>"1차"</f>
        <v>1차</v>
      </c>
      <c r="D16106" s="1" t="str">
        <f>"0130Q90100"</f>
        <v>0130Q90100</v>
      </c>
      <c r="E16106" s="1" t="s">
        <v>10</v>
      </c>
      <c r="F16106" s="1" t="str">
        <f>"10.107.122.197"</f>
        <v>10.107.122.197</v>
      </c>
      <c r="G16106" s="1" t="str">
        <f>"0130Q901"</f>
        <v>0130Q901</v>
      </c>
      <c r="H16106" s="1" t="str">
        <f>"수유간 86R7"</f>
        <v>수유간 86R7</v>
      </c>
      <c r="I16106" s="1" t="s">
        <v>8</v>
      </c>
      <c r="J16106" s="1" t="str">
        <f>"102/102"</f>
        <v>102/102</v>
      </c>
      <c r="K16106" s="1" t="str">
        <f>"2026-07-29 13:18:02"</f>
        <v>2026-07-29 13:18:02</v>
      </c>
      <c r="L16106" s="1" t="str">
        <f>"2014-12-08 10:58:34"</f>
        <v>2014-12-08 10:58:34</v>
      </c>
      <c r="M16106" s="1" t="s">
        <v>45</v>
      </c>
      <c r="N16106" s="1" t="s">
        <v>38</v>
      </c>
      <c r="O16106" s="1" t="s">
        <v>46</v>
      </c>
    </row>
    <row r="16107" spans="2:15" x14ac:dyDescent="0.3">
      <c r="B16107" s="1" t="s">
        <v>19</v>
      </c>
      <c r="C16107" s="1" t="str">
        <f>"5-1차"</f>
        <v>5-1차</v>
      </c>
      <c r="D16107" s="1" t="str">
        <f>"0130Q9215M"</f>
        <v>0130Q9215M</v>
      </c>
      <c r="E16107" s="1" t="s">
        <v>10</v>
      </c>
      <c r="F16107" s="1" t="str">
        <f>"fde3:102:1410:4400:0:0:0:4"</f>
        <v>fde3:102:1410:4400:0:0:0:4</v>
      </c>
      <c r="G16107" s="1" t="str">
        <f>"0130Q921"</f>
        <v>0130Q921</v>
      </c>
      <c r="H16107" s="1" t="str">
        <f>"수유간 86R12"</f>
        <v>수유간 86R12</v>
      </c>
      <c r="I16107" s="1" t="s">
        <v>15</v>
      </c>
      <c r="J16107" s="1" t="str">
        <f>"40/40"</f>
        <v>40/40</v>
      </c>
      <c r="K16107" s="1" t="str">
        <f>"2026-07-29 14:20:21"</f>
        <v>2026-07-29 14:20:21</v>
      </c>
      <c r="L16107" s="1" t="str">
        <f>"2022-09-26 15:41:47"</f>
        <v>2022-09-26 15:41:47</v>
      </c>
      <c r="M16107" s="1" t="s">
        <v>45</v>
      </c>
      <c r="N16107" s="1" t="s">
        <v>38</v>
      </c>
      <c r="O16107" s="1" t="s">
        <v>46</v>
      </c>
    </row>
    <row r="16108" spans="2:15" x14ac:dyDescent="0.3">
      <c r="B16108" s="1" t="s">
        <v>19</v>
      </c>
      <c r="C16108" s="1" t="str">
        <f>"4차"</f>
        <v>4차</v>
      </c>
      <c r="D16108" s="1" t="str">
        <f>"0130Q95144"</f>
        <v>0130Q95144</v>
      </c>
      <c r="E16108" s="1" t="s">
        <v>10</v>
      </c>
      <c r="F16108" s="1" t="str">
        <f>"10.107.122.75"</f>
        <v>10.107.122.75</v>
      </c>
      <c r="G16108" s="1" t="str">
        <f>"0130Q951"</f>
        <v>0130Q951</v>
      </c>
      <c r="H16108" s="1" t="str">
        <f>"구청지 40R8L4"</f>
        <v>구청지 40R8L4</v>
      </c>
      <c r="I16108" s="1" t="s">
        <v>8</v>
      </c>
      <c r="J16108" s="1" t="str">
        <f>"30/30"</f>
        <v>30/30</v>
      </c>
      <c r="K16108" s="1" t="str">
        <f>"2026-07-29 13:18:02"</f>
        <v>2026-07-29 13:18:02</v>
      </c>
      <c r="L16108" s="1" t="str">
        <f>"2023-09-22 17:36:17"</f>
        <v>2023-09-22 17:36:17</v>
      </c>
      <c r="M16108" s="1" t="s">
        <v>45</v>
      </c>
      <c r="N16108" s="1" t="s">
        <v>38</v>
      </c>
      <c r="O16108" s="1" t="s">
        <v>46</v>
      </c>
    </row>
    <row r="16109" spans="2:15" x14ac:dyDescent="0.3">
      <c r="B16109" s="1" t="s">
        <v>19</v>
      </c>
      <c r="C16109" s="1" t="str">
        <f>"3차"</f>
        <v>3차</v>
      </c>
      <c r="D16109" s="1" t="str">
        <f>"0130Q95330"</f>
        <v>0130Q95330</v>
      </c>
      <c r="E16109" s="1" t="s">
        <v>10</v>
      </c>
      <c r="F16109" s="1" t="str">
        <f>"10.107.122.82"</f>
        <v>10.107.122.82</v>
      </c>
      <c r="G16109" s="1" t="str">
        <f>"0130Q953"</f>
        <v>0130Q953</v>
      </c>
      <c r="H16109" s="1" t="str">
        <f>"구청지 40R8L3L2"</f>
        <v>구청지 40R8L3L2</v>
      </c>
      <c r="I16109" s="1" t="s">
        <v>8</v>
      </c>
      <c r="J16109" s="1" t="str">
        <f>"17/17"</f>
        <v>17/17</v>
      </c>
      <c r="K16109" s="1" t="str">
        <f>"2026-07-29 13:18:02"</f>
        <v>2026-07-29 13:18:02</v>
      </c>
      <c r="L16109" s="1" t="str">
        <f>"2018-02-13 15:09:47"</f>
        <v>2018-02-13 15:09:47</v>
      </c>
      <c r="M16109" s="1" t="s">
        <v>45</v>
      </c>
      <c r="N16109" s="1" t="s">
        <v>38</v>
      </c>
      <c r="O16109" s="1" t="s">
        <v>46</v>
      </c>
    </row>
    <row r="16110" spans="2:15" x14ac:dyDescent="0.3">
      <c r="B16110" s="1" t="s">
        <v>19</v>
      </c>
      <c r="C16110" s="1" t="str">
        <f>"1차"</f>
        <v>1차</v>
      </c>
      <c r="D16110" s="1" t="str">
        <f>"0130Q96100"</f>
        <v>0130Q96100</v>
      </c>
      <c r="E16110" s="1" t="s">
        <v>10</v>
      </c>
      <c r="F16110" s="1" t="str">
        <f>"10.107.122.69"</f>
        <v>10.107.122.69</v>
      </c>
      <c r="G16110" s="1" t="str">
        <f>"0130Q961"</f>
        <v>0130Q961</v>
      </c>
      <c r="H16110" s="1" t="str">
        <f>"구청지 40R8L3"</f>
        <v>구청지 40R8L3</v>
      </c>
      <c r="I16110" s="1" t="s">
        <v>8</v>
      </c>
      <c r="J16110" s="1" t="str">
        <f>"19/19"</f>
        <v>19/19</v>
      </c>
      <c r="K16110" s="1" t="str">
        <f>"2026-07-29 13:18:02"</f>
        <v>2026-07-29 13:18:02</v>
      </c>
      <c r="L16110" s="1" t="str">
        <f>"2014-10-30 16:25:33"</f>
        <v>2014-10-30 16:25:33</v>
      </c>
      <c r="M16110" s="1" t="s">
        <v>45</v>
      </c>
      <c r="N16110" s="1" t="s">
        <v>38</v>
      </c>
      <c r="O16110" s="1" t="s">
        <v>46</v>
      </c>
    </row>
    <row r="16111" spans="2:15" x14ac:dyDescent="0.3">
      <c r="B16111" s="1" t="s">
        <v>19</v>
      </c>
      <c r="C16111" s="1" t="str">
        <f>"6차"</f>
        <v>6차</v>
      </c>
      <c r="D16111" s="1" t="str">
        <f>"0130Q9636M"</f>
        <v>0130Q9636M</v>
      </c>
      <c r="E16111" s="1" t="s">
        <v>10</v>
      </c>
      <c r="F16111" s="1" t="str">
        <f>"fde1:103:4:c7e0:0:0:0:2"</f>
        <v>fde1:103:4:c7e0:0:0:0:2</v>
      </c>
      <c r="G16111" s="1" t="str">
        <f>"0130Q963"</f>
        <v>0130Q963</v>
      </c>
      <c r="H16111" s="1" t="str">
        <f>"구청지 40R8L6"</f>
        <v>구청지 40R8L6</v>
      </c>
      <c r="I16111" s="1" t="s">
        <v>15</v>
      </c>
      <c r="J16111" s="1" t="str">
        <f>"108/108"</f>
        <v>108/108</v>
      </c>
      <c r="K16111" s="1" t="str">
        <f>"2026-07-29 14:21:02"</f>
        <v>2026-07-29 14:21:02</v>
      </c>
      <c r="L16111" s="1" t="str">
        <f>"2024-12-02 13:47:29"</f>
        <v>2024-12-02 13:47:29</v>
      </c>
      <c r="M16111" s="1" t="s">
        <v>4</v>
      </c>
      <c r="N16111" s="1" t="s">
        <v>38</v>
      </c>
      <c r="O16111" s="1" t="s">
        <v>46</v>
      </c>
    </row>
    <row r="16112" spans="2:15" x14ac:dyDescent="0.3">
      <c r="B16112" s="1" t="s">
        <v>19</v>
      </c>
      <c r="C16112" s="1" t="str">
        <f>"4차"</f>
        <v>4차</v>
      </c>
      <c r="D16112" s="1" t="str">
        <f>"0130Q98139"</f>
        <v>0130Q98139</v>
      </c>
      <c r="E16112" s="1" t="s">
        <v>12</v>
      </c>
      <c r="F16112" s="1" t="str">
        <f>"10.12.137.121"</f>
        <v>10.12.137.121</v>
      </c>
      <c r="G16112" s="1" t="str">
        <f>"0130Q981"</f>
        <v>0130Q981</v>
      </c>
      <c r="H16112" s="1" t="str">
        <f>"구청지 40R11"</f>
        <v>구청지 40R11</v>
      </c>
      <c r="I16112" s="1" t="s">
        <v>8</v>
      </c>
      <c r="J16112" s="1" t="str">
        <f>"0/81"</f>
        <v>0/81</v>
      </c>
      <c r="K16112" s="1" t="str">
        <f>"2026-06-22 13:18:02"</f>
        <v>2026-06-22 13:18:02</v>
      </c>
      <c r="L16112" s="1" t="str">
        <f>"2024-03-06 09:30:04"</f>
        <v>2024-03-06 09:30:04</v>
      </c>
      <c r="M16112" s="1" t="s">
        <v>0</v>
      </c>
      <c r="N16112" s="1" t="s">
        <v>38</v>
      </c>
      <c r="O16112" s="1" t="s">
        <v>46</v>
      </c>
    </row>
    <row r="16113" spans="2:15" x14ac:dyDescent="0.3">
      <c r="B16113" s="1" t="s">
        <v>19</v>
      </c>
      <c r="C16113" s="1" t="str">
        <f>"4차"</f>
        <v>4차</v>
      </c>
      <c r="D16113" s="1" t="str">
        <f>"0130Q99339"</f>
        <v>0130Q99339</v>
      </c>
      <c r="E16113" s="1" t="s">
        <v>14</v>
      </c>
      <c r="F16113" s="1" t="str">
        <f>"10.12.136.108"</f>
        <v>10.12.136.108</v>
      </c>
      <c r="G16113" s="1" t="str">
        <f>"0130Q993"</f>
        <v>0130Q993</v>
      </c>
      <c r="H16113" s="1" t="str">
        <f>"사일구 37"</f>
        <v>사일구 37</v>
      </c>
      <c r="I16113" s="1" t="s">
        <v>17</v>
      </c>
      <c r="J16113" s="1" t="str">
        <f>"0/0"</f>
        <v>0/0</v>
      </c>
      <c r="K16113" s="1" t="str">
        <f>"2026-06-10 07:18:03"</f>
        <v>2026-06-10 07:18:03</v>
      </c>
      <c r="L16113" s="1" t="str">
        <f>"2018-05-28 13:07:26"</f>
        <v>2018-05-28 13:07:26</v>
      </c>
      <c r="M16113" s="1" t="s">
        <v>0</v>
      </c>
      <c r="N16113" s="1" t="s">
        <v>39</v>
      </c>
      <c r="O16113" s="1" t="s">
        <v>46</v>
      </c>
    </row>
    <row r="16114" spans="2:15" x14ac:dyDescent="0.3">
      <c r="B16114" s="1" t="s">
        <v>19</v>
      </c>
      <c r="C16114" s="1" t="str">
        <f>"5-2차"</f>
        <v>5-2차</v>
      </c>
      <c r="D16114" s="1" t="str">
        <f>"0130R0035M"</f>
        <v>0130R0035M</v>
      </c>
      <c r="E16114" s="1" t="s">
        <v>10</v>
      </c>
      <c r="F16114" s="1" t="str">
        <f>"fde3:102:1410:4700:0:0:0:6"</f>
        <v>fde3:102:1410:4700:0:0:0:6</v>
      </c>
      <c r="G16114" s="1" t="str">
        <f>"0130R003"</f>
        <v>0130R003</v>
      </c>
      <c r="H16114" s="1" t="str">
        <f>"화계지 57R2"</f>
        <v>화계지 57R2</v>
      </c>
      <c r="I16114" s="1" t="s">
        <v>15</v>
      </c>
      <c r="J16114" s="1" t="str">
        <f>"27/27"</f>
        <v>27/27</v>
      </c>
      <c r="K16114" s="1" t="str">
        <f>"2026-07-29 14:21:01"</f>
        <v>2026-07-29 14:21:01</v>
      </c>
      <c r="L16114" s="1" t="str">
        <f>"2023-08-07 16:11:20"</f>
        <v>2023-08-07 16:11:20</v>
      </c>
      <c r="M16114" s="1" t="s">
        <v>45</v>
      </c>
      <c r="N16114" s="1" t="s">
        <v>38</v>
      </c>
      <c r="O16114" s="1" t="s">
        <v>46</v>
      </c>
    </row>
    <row r="16115" spans="2:15" x14ac:dyDescent="0.3">
      <c r="B16115" s="1" t="s">
        <v>19</v>
      </c>
      <c r="C16115" s="1" t="str">
        <f t="shared" ref="C16115:C16129" si="802">"4차"</f>
        <v>4차</v>
      </c>
      <c r="D16115" s="1" t="str">
        <f>"0130R05144"</f>
        <v>0130R05144</v>
      </c>
      <c r="E16115" s="1" t="s">
        <v>10</v>
      </c>
      <c r="F16115" s="1" t="str">
        <f>"10.107.15.126"</f>
        <v>10.107.15.126</v>
      </c>
      <c r="G16115" s="1" t="str">
        <f>"0130R051"</f>
        <v>0130R051</v>
      </c>
      <c r="H16115" s="1" t="str">
        <f>"한신지 52R2L2L1"</f>
        <v>한신지 52R2L2L1</v>
      </c>
      <c r="I16115" s="1" t="s">
        <v>8</v>
      </c>
      <c r="J16115" s="1" t="str">
        <f>"52/52"</f>
        <v>52/52</v>
      </c>
      <c r="K16115" s="1" t="str">
        <f t="shared" ref="K16115:K16142" si="803">"2026-07-29 13:18:02"</f>
        <v>2026-07-29 13:18:02</v>
      </c>
      <c r="L16115" s="1" t="str">
        <f>"2019-12-13 09:18:15"</f>
        <v>2019-12-13 09:18:15</v>
      </c>
      <c r="M16115" s="1" t="s">
        <v>45</v>
      </c>
      <c r="N16115" s="1" t="s">
        <v>38</v>
      </c>
      <c r="O16115" s="1" t="s">
        <v>46</v>
      </c>
    </row>
    <row r="16116" spans="2:15" x14ac:dyDescent="0.3">
      <c r="B16116" s="1" t="s">
        <v>19</v>
      </c>
      <c r="C16116" s="1" t="str">
        <f t="shared" si="802"/>
        <v>4차</v>
      </c>
      <c r="D16116" s="1" t="str">
        <f>"0130R05244"</f>
        <v>0130R05244</v>
      </c>
      <c r="E16116" s="1" t="s">
        <v>10</v>
      </c>
      <c r="F16116" s="1" t="str">
        <f>"10.107.15.127"</f>
        <v>10.107.15.127</v>
      </c>
      <c r="G16116" s="1" t="str">
        <f>"0130R052"</f>
        <v>0130R052</v>
      </c>
      <c r="H16116" s="1" t="str">
        <f>"한신지 52R2L2L2"</f>
        <v>한신지 52R2L2L2</v>
      </c>
      <c r="I16116" s="1" t="s">
        <v>8</v>
      </c>
      <c r="J16116" s="1" t="str">
        <f>"38/38"</f>
        <v>38/38</v>
      </c>
      <c r="K16116" s="1" t="str">
        <f t="shared" si="803"/>
        <v>2026-07-29 13:18:02</v>
      </c>
      <c r="L16116" s="1" t="str">
        <f>"2019-12-13 09:16:02"</f>
        <v>2019-12-13 09:16:02</v>
      </c>
      <c r="M16116" s="1" t="s">
        <v>45</v>
      </c>
      <c r="N16116" s="1" t="s">
        <v>38</v>
      </c>
      <c r="O16116" s="1" t="s">
        <v>46</v>
      </c>
    </row>
    <row r="16117" spans="2:15" x14ac:dyDescent="0.3">
      <c r="B16117" s="1" t="s">
        <v>19</v>
      </c>
      <c r="C16117" s="1" t="str">
        <f t="shared" si="802"/>
        <v>4차</v>
      </c>
      <c r="D16117" s="1" t="str">
        <f>"0130R09144"</f>
        <v>0130R09144</v>
      </c>
      <c r="E16117" s="1" t="s">
        <v>10</v>
      </c>
      <c r="F16117" s="1" t="str">
        <f>"10.107.120.156"</f>
        <v>10.107.120.156</v>
      </c>
      <c r="G16117" s="1" t="str">
        <f>"0130R091"</f>
        <v>0130R091</v>
      </c>
      <c r="H16117" s="1" t="str">
        <f>"한신지 45R4L1"</f>
        <v>한신지 45R4L1</v>
      </c>
      <c r="I16117" s="1" t="s">
        <v>8</v>
      </c>
      <c r="J16117" s="1" t="str">
        <f>"38/38"</f>
        <v>38/38</v>
      </c>
      <c r="K16117" s="1" t="str">
        <f t="shared" si="803"/>
        <v>2026-07-29 13:18:02</v>
      </c>
      <c r="L16117" s="1" t="str">
        <f>"2021-07-15 17:18:31"</f>
        <v>2021-07-15 17:18:31</v>
      </c>
      <c r="M16117" s="1" t="s">
        <v>45</v>
      </c>
      <c r="N16117" s="1" t="s">
        <v>38</v>
      </c>
      <c r="O16117" s="1" t="s">
        <v>46</v>
      </c>
    </row>
    <row r="16118" spans="2:15" x14ac:dyDescent="0.3">
      <c r="B16118" s="1" t="s">
        <v>19</v>
      </c>
      <c r="C16118" s="1" t="str">
        <f t="shared" si="802"/>
        <v>4차</v>
      </c>
      <c r="D16118" s="1" t="str">
        <f>"0130R14344"</f>
        <v>0130R14344</v>
      </c>
      <c r="E16118" s="1" t="s">
        <v>10</v>
      </c>
      <c r="F16118" s="1" t="str">
        <f>"10.107.124.177"</f>
        <v>10.107.124.177</v>
      </c>
      <c r="G16118" s="1" t="str">
        <f>"0130R143"</f>
        <v>0130R143</v>
      </c>
      <c r="H16118" s="1" t="str">
        <f>"한신지 56"</f>
        <v>한신지 56</v>
      </c>
      <c r="I16118" s="1" t="s">
        <v>8</v>
      </c>
      <c r="J16118" s="1" t="str">
        <f>"57/58"</f>
        <v>57/58</v>
      </c>
      <c r="K16118" s="1" t="str">
        <f t="shared" si="803"/>
        <v>2026-07-29 13:18:02</v>
      </c>
      <c r="L16118" s="1" t="str">
        <f>"2019-12-13 12:09:18"</f>
        <v>2019-12-13 12:09:18</v>
      </c>
      <c r="M16118" s="1" t="s">
        <v>45</v>
      </c>
      <c r="N16118" s="1" t="s">
        <v>38</v>
      </c>
      <c r="O16118" s="1" t="s">
        <v>46</v>
      </c>
    </row>
    <row r="16119" spans="2:15" x14ac:dyDescent="0.3">
      <c r="B16119" s="1" t="s">
        <v>19</v>
      </c>
      <c r="C16119" s="1" t="str">
        <f t="shared" si="802"/>
        <v>4차</v>
      </c>
      <c r="D16119" s="1" t="str">
        <f>"0130R16341"</f>
        <v>0130R16341</v>
      </c>
      <c r="E16119" s="1" t="s">
        <v>10</v>
      </c>
      <c r="F16119" s="1" t="str">
        <f>"10.12.129.249"</f>
        <v>10.12.129.249</v>
      </c>
      <c r="G16119" s="1" t="str">
        <f>"0130R163"</f>
        <v>0130R163</v>
      </c>
      <c r="H16119" s="1" t="str">
        <f>"화계지 49"</f>
        <v>화계지 49</v>
      </c>
      <c r="I16119" s="1" t="s">
        <v>17</v>
      </c>
      <c r="J16119" s="1" t="str">
        <f>"22/25"</f>
        <v>22/25</v>
      </c>
      <c r="K16119" s="1" t="str">
        <f t="shared" si="803"/>
        <v>2026-07-29 13:18:02</v>
      </c>
      <c r="L16119" s="1" t="str">
        <f>"2021-08-11 06:47:08"</f>
        <v>2021-08-11 06:47:08</v>
      </c>
      <c r="M16119" s="1" t="s">
        <v>0</v>
      </c>
      <c r="N16119" s="1" t="s">
        <v>38</v>
      </c>
      <c r="O16119" s="1" t="s">
        <v>46</v>
      </c>
    </row>
    <row r="16120" spans="2:15" x14ac:dyDescent="0.3">
      <c r="B16120" s="1" t="s">
        <v>19</v>
      </c>
      <c r="C16120" s="1" t="str">
        <f t="shared" si="802"/>
        <v>4차</v>
      </c>
      <c r="D16120" s="1" t="str">
        <f>"0130R16544"</f>
        <v>0130R16544</v>
      </c>
      <c r="E16120" s="1" t="s">
        <v>10</v>
      </c>
      <c r="F16120" s="1" t="str">
        <f>"10.107.124.163"</f>
        <v>10.107.124.163</v>
      </c>
      <c r="G16120" s="1" t="str">
        <f>"0130R165"</f>
        <v>0130R165</v>
      </c>
      <c r="H16120" s="1" t="str">
        <f>"한신지 53"</f>
        <v>한신지 53</v>
      </c>
      <c r="I16120" s="1" t="s">
        <v>8</v>
      </c>
      <c r="J16120" s="1" t="str">
        <f>"42/42"</f>
        <v>42/42</v>
      </c>
      <c r="K16120" s="1" t="str">
        <f t="shared" si="803"/>
        <v>2026-07-29 13:18:02</v>
      </c>
      <c r="L16120" s="1" t="str">
        <f>"2019-12-13 09:16:57"</f>
        <v>2019-12-13 09:16:57</v>
      </c>
      <c r="M16120" s="1" t="s">
        <v>45</v>
      </c>
      <c r="N16120" s="1" t="s">
        <v>38</v>
      </c>
      <c r="O16120" s="1" t="s">
        <v>46</v>
      </c>
    </row>
    <row r="16121" spans="2:15" x14ac:dyDescent="0.3">
      <c r="B16121" s="1" t="s">
        <v>19</v>
      </c>
      <c r="C16121" s="1" t="str">
        <f t="shared" si="802"/>
        <v>4차</v>
      </c>
      <c r="D16121" s="1" t="str">
        <f>"0130R18244"</f>
        <v>0130R18244</v>
      </c>
      <c r="E16121" s="1" t="s">
        <v>10</v>
      </c>
      <c r="F16121" s="1" t="str">
        <f>"10.107.120.157"</f>
        <v>10.107.120.157</v>
      </c>
      <c r="G16121" s="1" t="str">
        <f>"0130R182"</f>
        <v>0130R182</v>
      </c>
      <c r="H16121" s="1" t="str">
        <f>"한신지 51R1"</f>
        <v>한신지 51R1</v>
      </c>
      <c r="I16121" s="1" t="s">
        <v>8</v>
      </c>
      <c r="J16121" s="1" t="str">
        <f>"42/42"</f>
        <v>42/42</v>
      </c>
      <c r="K16121" s="1" t="str">
        <f t="shared" si="803"/>
        <v>2026-07-29 13:18:02</v>
      </c>
      <c r="L16121" s="1" t="str">
        <f>"2019-12-24 17:40:38"</f>
        <v>2019-12-24 17:40:38</v>
      </c>
      <c r="M16121" s="1" t="s">
        <v>45</v>
      </c>
      <c r="N16121" s="1" t="s">
        <v>38</v>
      </c>
      <c r="O16121" s="1" t="s">
        <v>46</v>
      </c>
    </row>
    <row r="16122" spans="2:15" x14ac:dyDescent="0.3">
      <c r="B16122" s="1" t="s">
        <v>19</v>
      </c>
      <c r="C16122" s="1" t="str">
        <f t="shared" si="802"/>
        <v>4차</v>
      </c>
      <c r="D16122" s="1" t="str">
        <f>"0130R19144"</f>
        <v>0130R19144</v>
      </c>
      <c r="E16122" s="1" t="s">
        <v>10</v>
      </c>
      <c r="F16122" s="1" t="str">
        <f>"10.107.120.158"</f>
        <v>10.107.120.158</v>
      </c>
      <c r="G16122" s="1" t="str">
        <f>"0130R191"</f>
        <v>0130R191</v>
      </c>
      <c r="H16122" s="1" t="str">
        <f>"한신지 49"</f>
        <v>한신지 49</v>
      </c>
      <c r="I16122" s="1" t="s">
        <v>8</v>
      </c>
      <c r="J16122" s="1" t="str">
        <f>"53/53"</f>
        <v>53/53</v>
      </c>
      <c r="K16122" s="1" t="str">
        <f t="shared" si="803"/>
        <v>2026-07-29 13:18:02</v>
      </c>
      <c r="L16122" s="1" t="str">
        <f>"2019-12-13 09:17:12"</f>
        <v>2019-12-13 09:17:12</v>
      </c>
      <c r="M16122" s="1" t="s">
        <v>45</v>
      </c>
      <c r="N16122" s="1" t="s">
        <v>38</v>
      </c>
      <c r="O16122" s="1" t="s">
        <v>46</v>
      </c>
    </row>
    <row r="16123" spans="2:15" x14ac:dyDescent="0.3">
      <c r="B16123" s="1" t="s">
        <v>19</v>
      </c>
      <c r="C16123" s="1" t="str">
        <f t="shared" si="802"/>
        <v>4차</v>
      </c>
      <c r="D16123" s="1" t="str">
        <f>"0130R21544"</f>
        <v>0130R21544</v>
      </c>
      <c r="E16123" s="1" t="s">
        <v>10</v>
      </c>
      <c r="F16123" s="1" t="str">
        <f>"10.107.124.176"</f>
        <v>10.107.124.176</v>
      </c>
      <c r="G16123" s="1" t="str">
        <f>"0130R215"</f>
        <v>0130R215</v>
      </c>
      <c r="H16123" s="1" t="str">
        <f>"화계지 56H1"</f>
        <v>화계지 56H1</v>
      </c>
      <c r="I16123" s="1" t="s">
        <v>8</v>
      </c>
      <c r="J16123" s="1" t="str">
        <f>"42/42"</f>
        <v>42/42</v>
      </c>
      <c r="K16123" s="1" t="str">
        <f t="shared" si="803"/>
        <v>2026-07-29 13:18:02</v>
      </c>
      <c r="L16123" s="1" t="str">
        <f>"2019-12-13 12:09:19"</f>
        <v>2019-12-13 12:09:19</v>
      </c>
      <c r="M16123" s="1" t="s">
        <v>45</v>
      </c>
      <c r="N16123" s="1" t="s">
        <v>38</v>
      </c>
      <c r="O16123" s="1" t="s">
        <v>46</v>
      </c>
    </row>
    <row r="16124" spans="2:15" x14ac:dyDescent="0.3">
      <c r="B16124" s="1" t="s">
        <v>19</v>
      </c>
      <c r="C16124" s="1" t="str">
        <f t="shared" si="802"/>
        <v>4차</v>
      </c>
      <c r="D16124" s="1" t="str">
        <f>"0130R23344"</f>
        <v>0130R23344</v>
      </c>
      <c r="E16124" s="1" t="s">
        <v>10</v>
      </c>
      <c r="F16124" s="1" t="str">
        <f>"10.107.124.165"</f>
        <v>10.107.124.165</v>
      </c>
      <c r="G16124" s="1" t="str">
        <f>"0130R233"</f>
        <v>0130R233</v>
      </c>
      <c r="H16124" s="1" t="str">
        <f>"화계지 53"</f>
        <v>화계지 53</v>
      </c>
      <c r="I16124" s="1" t="s">
        <v>8</v>
      </c>
      <c r="J16124" s="1" t="str">
        <f>"134/134"</f>
        <v>134/134</v>
      </c>
      <c r="K16124" s="1" t="str">
        <f t="shared" si="803"/>
        <v>2026-07-29 13:18:02</v>
      </c>
      <c r="L16124" s="1" t="str">
        <f>"2019-12-13 09:09:44"</f>
        <v>2019-12-13 09:09:44</v>
      </c>
      <c r="M16124" s="1" t="s">
        <v>45</v>
      </c>
      <c r="N16124" s="1" t="s">
        <v>38</v>
      </c>
      <c r="O16124" s="1" t="s">
        <v>46</v>
      </c>
    </row>
    <row r="16125" spans="2:15" x14ac:dyDescent="0.3">
      <c r="B16125" s="1" t="s">
        <v>19</v>
      </c>
      <c r="C16125" s="1" t="str">
        <f t="shared" si="802"/>
        <v>4차</v>
      </c>
      <c r="D16125" s="1" t="str">
        <f>"0130R24144"</f>
        <v>0130R24144</v>
      </c>
      <c r="E16125" s="1" t="s">
        <v>10</v>
      </c>
      <c r="F16125" s="1" t="str">
        <f>"10.107.124.169"</f>
        <v>10.107.124.169</v>
      </c>
      <c r="G16125" s="1" t="str">
        <f>"0130R241"</f>
        <v>0130R241</v>
      </c>
      <c r="H16125" s="1" t="str">
        <f>"화계지 52"</f>
        <v>화계지 52</v>
      </c>
      <c r="I16125" s="1" t="s">
        <v>8</v>
      </c>
      <c r="J16125" s="1" t="str">
        <f>"32/32"</f>
        <v>32/32</v>
      </c>
      <c r="K16125" s="1" t="str">
        <f t="shared" si="803"/>
        <v>2026-07-29 13:18:02</v>
      </c>
      <c r="L16125" s="1" t="str">
        <f>"2019-12-13 09:13:37"</f>
        <v>2019-12-13 09:13:37</v>
      </c>
      <c r="M16125" s="1" t="s">
        <v>45</v>
      </c>
      <c r="N16125" s="1" t="s">
        <v>38</v>
      </c>
      <c r="O16125" s="1" t="s">
        <v>46</v>
      </c>
    </row>
    <row r="16126" spans="2:15" x14ac:dyDescent="0.3">
      <c r="B16126" s="1" t="s">
        <v>19</v>
      </c>
      <c r="C16126" s="1" t="str">
        <f t="shared" si="802"/>
        <v>4차</v>
      </c>
      <c r="D16126" s="1" t="str">
        <f>"0130R24344"</f>
        <v>0130R24344</v>
      </c>
      <c r="E16126" s="1" t="s">
        <v>10</v>
      </c>
      <c r="F16126" s="1" t="str">
        <f>"10.107.124.173"</f>
        <v>10.107.124.173</v>
      </c>
      <c r="G16126" s="1" t="str">
        <f>"0130R243"</f>
        <v>0130R243</v>
      </c>
      <c r="H16126" s="1" t="str">
        <f>"화계지 51H1L1"</f>
        <v>화계지 51H1L1</v>
      </c>
      <c r="I16126" s="1" t="s">
        <v>8</v>
      </c>
      <c r="J16126" s="1" t="str">
        <f>"47/47"</f>
        <v>47/47</v>
      </c>
      <c r="K16126" s="1" t="str">
        <f t="shared" si="803"/>
        <v>2026-07-29 13:18:02</v>
      </c>
      <c r="L16126" s="1" t="str">
        <f>"2019-12-13 09:15:47"</f>
        <v>2019-12-13 09:15:47</v>
      </c>
      <c r="M16126" s="1" t="s">
        <v>45</v>
      </c>
      <c r="N16126" s="1" t="s">
        <v>38</v>
      </c>
      <c r="O16126" s="1" t="s">
        <v>46</v>
      </c>
    </row>
    <row r="16127" spans="2:15" x14ac:dyDescent="0.3">
      <c r="B16127" s="1" t="s">
        <v>19</v>
      </c>
      <c r="C16127" s="1" t="str">
        <f t="shared" si="802"/>
        <v>4차</v>
      </c>
      <c r="D16127" s="1" t="str">
        <f>"0130R27144"</f>
        <v>0130R27144</v>
      </c>
      <c r="E16127" s="1" t="s">
        <v>10</v>
      </c>
      <c r="F16127" s="1" t="str">
        <f>"10.107.124.168"</f>
        <v>10.107.124.168</v>
      </c>
      <c r="G16127" s="1" t="str">
        <f>"0130R271"</f>
        <v>0130R271</v>
      </c>
      <c r="H16127" s="1" t="str">
        <f>"화계지 47L1"</f>
        <v>화계지 47L1</v>
      </c>
      <c r="I16127" s="1" t="s">
        <v>8</v>
      </c>
      <c r="J16127" s="1" t="str">
        <f>"53/53"</f>
        <v>53/53</v>
      </c>
      <c r="K16127" s="1" t="str">
        <f t="shared" si="803"/>
        <v>2026-07-29 13:18:02</v>
      </c>
      <c r="L16127" s="1" t="str">
        <f>"2019-12-13 09:05:18"</f>
        <v>2019-12-13 09:05:18</v>
      </c>
      <c r="M16127" s="1" t="s">
        <v>45</v>
      </c>
      <c r="N16127" s="1" t="s">
        <v>38</v>
      </c>
      <c r="O16127" s="1" t="s">
        <v>46</v>
      </c>
    </row>
    <row r="16128" spans="2:15" x14ac:dyDescent="0.3">
      <c r="B16128" s="1" t="s">
        <v>19</v>
      </c>
      <c r="C16128" s="1" t="str">
        <f t="shared" si="802"/>
        <v>4차</v>
      </c>
      <c r="D16128" s="1" t="str">
        <f>"0130R29144"</f>
        <v>0130R29144</v>
      </c>
      <c r="E16128" s="1" t="s">
        <v>10</v>
      </c>
      <c r="F16128" s="1" t="str">
        <f>"10.107.119.143"</f>
        <v>10.107.119.143</v>
      </c>
      <c r="G16128" s="1" t="str">
        <f>"0130R291"</f>
        <v>0130R291</v>
      </c>
      <c r="H16128" s="1" t="str">
        <f>"화계지 44"</f>
        <v>화계지 44</v>
      </c>
      <c r="I16128" s="1" t="s">
        <v>8</v>
      </c>
      <c r="J16128" s="1" t="str">
        <f>"36/36"</f>
        <v>36/36</v>
      </c>
      <c r="K16128" s="1" t="str">
        <f t="shared" si="803"/>
        <v>2026-07-29 13:18:02</v>
      </c>
      <c r="L16128" s="1" t="str">
        <f>"2019-12-13 09:12:27"</f>
        <v>2019-12-13 09:12:27</v>
      </c>
      <c r="M16128" s="1" t="s">
        <v>45</v>
      </c>
      <c r="N16128" s="1" t="s">
        <v>38</v>
      </c>
      <c r="O16128" s="1" t="s">
        <v>46</v>
      </c>
    </row>
    <row r="16129" spans="2:15" x14ac:dyDescent="0.3">
      <c r="B16129" s="1" t="s">
        <v>19</v>
      </c>
      <c r="C16129" s="1" t="str">
        <f t="shared" si="802"/>
        <v>4차</v>
      </c>
      <c r="D16129" s="1" t="str">
        <f>"0130R29244"</f>
        <v>0130R29244</v>
      </c>
      <c r="E16129" s="1" t="s">
        <v>10</v>
      </c>
      <c r="F16129" s="1" t="str">
        <f>"10.107.119.144"</f>
        <v>10.107.119.144</v>
      </c>
      <c r="G16129" s="1" t="str">
        <f>"0130R292"</f>
        <v>0130R292</v>
      </c>
      <c r="H16129" s="1" t="str">
        <f>"삼원간 30R9"</f>
        <v>삼원간 30R9</v>
      </c>
      <c r="I16129" s="1" t="s">
        <v>8</v>
      </c>
      <c r="J16129" s="1" t="str">
        <f>"29/29"</f>
        <v>29/29</v>
      </c>
      <c r="K16129" s="1" t="str">
        <f t="shared" si="803"/>
        <v>2026-07-29 13:18:02</v>
      </c>
      <c r="L16129" s="1" t="str">
        <f>"2019-12-13 09:05:08"</f>
        <v>2019-12-13 09:05:08</v>
      </c>
      <c r="M16129" s="1" t="s">
        <v>45</v>
      </c>
      <c r="N16129" s="1" t="s">
        <v>38</v>
      </c>
      <c r="O16129" s="1" t="s">
        <v>46</v>
      </c>
    </row>
    <row r="16130" spans="2:15" x14ac:dyDescent="0.3">
      <c r="B16130" s="1" t="s">
        <v>19</v>
      </c>
      <c r="C16130" s="1" t="str">
        <f>"3차"</f>
        <v>3차</v>
      </c>
      <c r="D16130" s="1" t="str">
        <f>"0130R30139"</f>
        <v>0130R30139</v>
      </c>
      <c r="E16130" s="1" t="s">
        <v>10</v>
      </c>
      <c r="F16130" s="1" t="str">
        <f>"10.107.124.164"</f>
        <v>10.107.124.164</v>
      </c>
      <c r="G16130" s="1" t="str">
        <f>"0130R301"</f>
        <v>0130R301</v>
      </c>
      <c r="H16130" s="1" t="str">
        <f>"화계지 56L1"</f>
        <v>화계지 56L1</v>
      </c>
      <c r="I16130" s="1" t="s">
        <v>8</v>
      </c>
      <c r="J16130" s="1" t="str">
        <f>"34/34"</f>
        <v>34/34</v>
      </c>
      <c r="K16130" s="1" t="str">
        <f t="shared" si="803"/>
        <v>2026-07-29 13:18:02</v>
      </c>
      <c r="L16130" s="1" t="str">
        <f>"2018-06-16 10:23:30"</f>
        <v>2018-06-16 10:23:30</v>
      </c>
      <c r="M16130" s="1" t="s">
        <v>45</v>
      </c>
      <c r="N16130" s="1" t="s">
        <v>38</v>
      </c>
      <c r="O16130" s="1" t="s">
        <v>46</v>
      </c>
    </row>
    <row r="16131" spans="2:15" x14ac:dyDescent="0.3">
      <c r="B16131" s="1" t="s">
        <v>19</v>
      </c>
      <c r="C16131" s="1" t="str">
        <f t="shared" ref="C16131:C16136" si="804">"4차"</f>
        <v>4차</v>
      </c>
      <c r="D16131" s="1" t="str">
        <f>"0130R31344"</f>
        <v>0130R31344</v>
      </c>
      <c r="E16131" s="1" t="s">
        <v>10</v>
      </c>
      <c r="F16131" s="1" t="str">
        <f>"10.107.124.170"</f>
        <v>10.107.124.170</v>
      </c>
      <c r="G16131" s="1" t="str">
        <f>"0130R313"</f>
        <v>0130R313</v>
      </c>
      <c r="H16131" s="1" t="str">
        <f>"화계지 56H1L2"</f>
        <v>화계지 56H1L2</v>
      </c>
      <c r="I16131" s="1" t="s">
        <v>8</v>
      </c>
      <c r="J16131" s="1" t="str">
        <f>"46/46"</f>
        <v>46/46</v>
      </c>
      <c r="K16131" s="1" t="str">
        <f t="shared" si="803"/>
        <v>2026-07-29 13:18:02</v>
      </c>
      <c r="L16131" s="1" t="str">
        <f>"2019-12-13 09:11:13"</f>
        <v>2019-12-13 09:11:13</v>
      </c>
      <c r="M16131" s="1" t="s">
        <v>45</v>
      </c>
      <c r="N16131" s="1" t="s">
        <v>38</v>
      </c>
      <c r="O16131" s="1" t="s">
        <v>46</v>
      </c>
    </row>
    <row r="16132" spans="2:15" x14ac:dyDescent="0.3">
      <c r="B16132" s="1" t="s">
        <v>19</v>
      </c>
      <c r="C16132" s="1" t="str">
        <f t="shared" si="804"/>
        <v>4차</v>
      </c>
      <c r="D16132" s="1" t="str">
        <f>"0130R34144"</f>
        <v>0130R34144</v>
      </c>
      <c r="E16132" s="1" t="s">
        <v>10</v>
      </c>
      <c r="F16132" s="1" t="str">
        <f>"10.107.124.172"</f>
        <v>10.107.124.172</v>
      </c>
      <c r="G16132" s="1" t="str">
        <f>"0130R341"</f>
        <v>0130R341</v>
      </c>
      <c r="H16132" s="1" t="str">
        <f>"화계지 51H1L2"</f>
        <v>화계지 51H1L2</v>
      </c>
      <c r="I16132" s="1" t="s">
        <v>8</v>
      </c>
      <c r="J16132" s="1" t="str">
        <f>"57/57"</f>
        <v>57/57</v>
      </c>
      <c r="K16132" s="1" t="str">
        <f t="shared" si="803"/>
        <v>2026-07-29 13:18:02</v>
      </c>
      <c r="L16132" s="1" t="str">
        <f>"2019-12-13 09:13:14"</f>
        <v>2019-12-13 09:13:14</v>
      </c>
      <c r="M16132" s="1" t="s">
        <v>45</v>
      </c>
      <c r="N16132" s="1" t="s">
        <v>38</v>
      </c>
      <c r="O16132" s="1" t="s">
        <v>46</v>
      </c>
    </row>
    <row r="16133" spans="2:15" x14ac:dyDescent="0.3">
      <c r="B16133" s="1" t="s">
        <v>19</v>
      </c>
      <c r="C16133" s="1" t="str">
        <f t="shared" si="804"/>
        <v>4차</v>
      </c>
      <c r="D16133" s="1" t="str">
        <f>"0130R34244"</f>
        <v>0130R34244</v>
      </c>
      <c r="E16133" s="1" t="s">
        <v>10</v>
      </c>
      <c r="F16133" s="1" t="str">
        <f>"10.107.124.178"</f>
        <v>10.107.124.178</v>
      </c>
      <c r="G16133" s="1" t="str">
        <f>"0130R342"</f>
        <v>0130R342</v>
      </c>
      <c r="H16133" s="1" t="str">
        <f>"화계지 51H1L3"</f>
        <v>화계지 51H1L3</v>
      </c>
      <c r="I16133" s="1" t="s">
        <v>8</v>
      </c>
      <c r="J16133" s="1" t="str">
        <f>"26/26"</f>
        <v>26/26</v>
      </c>
      <c r="K16133" s="1" t="str">
        <f t="shared" si="803"/>
        <v>2026-07-29 13:18:02</v>
      </c>
      <c r="L16133" s="1" t="str">
        <f>"2019-12-24 17:35:40"</f>
        <v>2019-12-24 17:35:40</v>
      </c>
      <c r="M16133" s="1" t="s">
        <v>45</v>
      </c>
      <c r="N16133" s="1" t="s">
        <v>38</v>
      </c>
      <c r="O16133" s="1" t="s">
        <v>46</v>
      </c>
    </row>
    <row r="16134" spans="2:15" x14ac:dyDescent="0.3">
      <c r="B16134" s="1" t="s">
        <v>19</v>
      </c>
      <c r="C16134" s="1" t="str">
        <f t="shared" si="804"/>
        <v>4차</v>
      </c>
      <c r="D16134" s="1" t="str">
        <f>"0130R36144"</f>
        <v>0130R36144</v>
      </c>
      <c r="E16134" s="1" t="s">
        <v>10</v>
      </c>
      <c r="F16134" s="1" t="str">
        <f>"10.107.124.166"</f>
        <v>10.107.124.166</v>
      </c>
      <c r="G16134" s="1" t="str">
        <f>"0130R361"</f>
        <v>0130R361</v>
      </c>
      <c r="H16134" s="1" t="str">
        <f>"화계지 47L3"</f>
        <v>화계지 47L3</v>
      </c>
      <c r="I16134" s="1" t="s">
        <v>8</v>
      </c>
      <c r="J16134" s="1" t="str">
        <f>"78/80"</f>
        <v>78/80</v>
      </c>
      <c r="K16134" s="1" t="str">
        <f t="shared" si="803"/>
        <v>2026-07-29 13:18:02</v>
      </c>
      <c r="L16134" s="1" t="str">
        <f>"2019-12-13 09:18:13"</f>
        <v>2019-12-13 09:18:13</v>
      </c>
      <c r="M16134" s="1" t="s">
        <v>45</v>
      </c>
      <c r="N16134" s="1" t="s">
        <v>38</v>
      </c>
      <c r="O16134" s="1" t="s">
        <v>46</v>
      </c>
    </row>
    <row r="16135" spans="2:15" x14ac:dyDescent="0.3">
      <c r="B16135" s="1" t="s">
        <v>19</v>
      </c>
      <c r="C16135" s="1" t="str">
        <f t="shared" si="804"/>
        <v>4차</v>
      </c>
      <c r="D16135" s="1" t="str">
        <f>"0130R37144"</f>
        <v>0130R37144</v>
      </c>
      <c r="E16135" s="1" t="s">
        <v>10</v>
      </c>
      <c r="F16135" s="1" t="str">
        <f>"10.107.124.167"</f>
        <v>10.107.124.167</v>
      </c>
      <c r="G16135" s="1" t="str">
        <f>"0130R371"</f>
        <v>0130R371</v>
      </c>
      <c r="H16135" s="1" t="str">
        <f>"화계지 47L2"</f>
        <v>화계지 47L2</v>
      </c>
      <c r="I16135" s="1" t="s">
        <v>8</v>
      </c>
      <c r="J16135" s="1" t="str">
        <f>"113/118"</f>
        <v>113/118</v>
      </c>
      <c r="K16135" s="1" t="str">
        <f t="shared" si="803"/>
        <v>2026-07-29 13:18:02</v>
      </c>
      <c r="L16135" s="1" t="str">
        <f>"2019-12-13 09:16:31"</f>
        <v>2019-12-13 09:16:31</v>
      </c>
      <c r="M16135" s="1" t="s">
        <v>45</v>
      </c>
      <c r="N16135" s="1" t="s">
        <v>38</v>
      </c>
      <c r="O16135" s="1" t="s">
        <v>46</v>
      </c>
    </row>
    <row r="16136" spans="2:15" x14ac:dyDescent="0.3">
      <c r="B16136" s="1" t="s">
        <v>19</v>
      </c>
      <c r="C16136" s="1" t="str">
        <f t="shared" si="804"/>
        <v>4차</v>
      </c>
      <c r="D16136" s="1" t="str">
        <f>"0130R39244"</f>
        <v>0130R39244</v>
      </c>
      <c r="E16136" s="1" t="s">
        <v>10</v>
      </c>
      <c r="F16136" s="1" t="str">
        <f>"10.107.119.145"</f>
        <v>10.107.119.145</v>
      </c>
      <c r="G16136" s="1" t="str">
        <f>"0130R392"</f>
        <v>0130R392</v>
      </c>
      <c r="H16136" s="1" t="str">
        <f>"삼원간 30R8"</f>
        <v>삼원간 30R8</v>
      </c>
      <c r="I16136" s="1" t="s">
        <v>8</v>
      </c>
      <c r="J16136" s="1" t="str">
        <f>"55/55"</f>
        <v>55/55</v>
      </c>
      <c r="K16136" s="1" t="str">
        <f t="shared" si="803"/>
        <v>2026-07-29 13:18:02</v>
      </c>
      <c r="L16136" s="1" t="str">
        <f>"2019-10-23 11:03:05"</f>
        <v>2019-10-23 11:03:05</v>
      </c>
      <c r="M16136" s="1" t="s">
        <v>45</v>
      </c>
      <c r="N16136" s="1" t="s">
        <v>38</v>
      </c>
      <c r="O16136" s="1" t="s">
        <v>46</v>
      </c>
    </row>
    <row r="16137" spans="2:15" x14ac:dyDescent="0.3">
      <c r="B16137" s="1" t="s">
        <v>19</v>
      </c>
      <c r="C16137" s="1" t="str">
        <f>"3차"</f>
        <v>3차</v>
      </c>
      <c r="D16137" s="1" t="str">
        <f>"0130R41139"</f>
        <v>0130R41139</v>
      </c>
      <c r="E16137" s="1" t="s">
        <v>10</v>
      </c>
      <c r="F16137" s="1" t="str">
        <f>"10.107.120.219"</f>
        <v>10.107.120.219</v>
      </c>
      <c r="G16137" s="1" t="str">
        <f>"0130R411"</f>
        <v>0130R411</v>
      </c>
      <c r="H16137" s="1" t="str">
        <f>"화계지 56L3"</f>
        <v>화계지 56L3</v>
      </c>
      <c r="I16137" s="1" t="s">
        <v>8</v>
      </c>
      <c r="J16137" s="1" t="str">
        <f>"40/40"</f>
        <v>40/40</v>
      </c>
      <c r="K16137" s="1" t="str">
        <f t="shared" si="803"/>
        <v>2026-07-29 13:18:02</v>
      </c>
      <c r="L16137" s="1" t="str">
        <f>"2018-06-16 10:17:00"</f>
        <v>2018-06-16 10:17:00</v>
      </c>
      <c r="M16137" s="1" t="s">
        <v>45</v>
      </c>
      <c r="N16137" s="1" t="s">
        <v>38</v>
      </c>
      <c r="O16137" s="1" t="s">
        <v>46</v>
      </c>
    </row>
    <row r="16138" spans="2:15" x14ac:dyDescent="0.3">
      <c r="B16138" s="1" t="s">
        <v>19</v>
      </c>
      <c r="C16138" s="1" t="str">
        <f>"4차"</f>
        <v>4차</v>
      </c>
      <c r="D16138" s="1" t="str">
        <f>"0130R41544"</f>
        <v>0130R41544</v>
      </c>
      <c r="E16138" s="1" t="s">
        <v>10</v>
      </c>
      <c r="F16138" s="1" t="str">
        <f>"10.107.124.190"</f>
        <v>10.107.124.190</v>
      </c>
      <c r="G16138" s="1" t="str">
        <f>"0130R415"</f>
        <v>0130R415</v>
      </c>
      <c r="H16138" s="1" t="str">
        <f>"삼원간 39R7"</f>
        <v>삼원간 39R7</v>
      </c>
      <c r="I16138" s="1" t="s">
        <v>8</v>
      </c>
      <c r="J16138" s="1" t="str">
        <f>"64/64"</f>
        <v>64/64</v>
      </c>
      <c r="K16138" s="1" t="str">
        <f t="shared" si="803"/>
        <v>2026-07-29 13:18:02</v>
      </c>
      <c r="L16138" s="1" t="str">
        <f>"2019-10-18 14:35:52"</f>
        <v>2019-10-18 14:35:52</v>
      </c>
      <c r="M16138" s="1" t="s">
        <v>45</v>
      </c>
      <c r="N16138" s="1" t="s">
        <v>38</v>
      </c>
      <c r="O16138" s="1" t="s">
        <v>46</v>
      </c>
    </row>
    <row r="16139" spans="2:15" x14ac:dyDescent="0.3">
      <c r="B16139" s="1" t="s">
        <v>19</v>
      </c>
      <c r="C16139" s="1" t="str">
        <f>"4차"</f>
        <v>4차</v>
      </c>
      <c r="D16139" s="1" t="str">
        <f>"0130R44244"</f>
        <v>0130R44244</v>
      </c>
      <c r="E16139" s="1" t="s">
        <v>10</v>
      </c>
      <c r="F16139" s="1" t="str">
        <f>"10.107.124.179"</f>
        <v>10.107.124.179</v>
      </c>
      <c r="G16139" s="1" t="str">
        <f>"0130R442"</f>
        <v>0130R442</v>
      </c>
      <c r="H16139" s="1" t="str">
        <f>"화계지 51H1L4"</f>
        <v>화계지 51H1L4</v>
      </c>
      <c r="I16139" s="1" t="s">
        <v>8</v>
      </c>
      <c r="J16139" s="1" t="str">
        <f>"49/49"</f>
        <v>49/49</v>
      </c>
      <c r="K16139" s="1" t="str">
        <f t="shared" si="803"/>
        <v>2026-07-29 13:18:02</v>
      </c>
      <c r="L16139" s="1" t="str">
        <f>"2019-12-13 12:09:20"</f>
        <v>2019-12-13 12:09:20</v>
      </c>
      <c r="M16139" s="1" t="s">
        <v>45</v>
      </c>
      <c r="N16139" s="1" t="s">
        <v>38</v>
      </c>
      <c r="O16139" s="1" t="s">
        <v>46</v>
      </c>
    </row>
    <row r="16140" spans="2:15" x14ac:dyDescent="0.3">
      <c r="B16140" s="1" t="s">
        <v>19</v>
      </c>
      <c r="C16140" s="1" t="str">
        <f>"4차"</f>
        <v>4차</v>
      </c>
      <c r="D16140" s="1" t="str">
        <f>"0130R45144"</f>
        <v>0130R45144</v>
      </c>
      <c r="E16140" s="1" t="s">
        <v>10</v>
      </c>
      <c r="F16140" s="1" t="str">
        <f>"10.107.251.3"</f>
        <v>10.107.251.3</v>
      </c>
      <c r="G16140" s="1" t="str">
        <f>"0130R451"</f>
        <v>0130R451</v>
      </c>
      <c r="H16140" s="1" t="str">
        <f>"삼원간 37R4L4"</f>
        <v>삼원간 37R4L4</v>
      </c>
      <c r="I16140" s="1" t="s">
        <v>8</v>
      </c>
      <c r="J16140" s="1" t="str">
        <f>"14/14"</f>
        <v>14/14</v>
      </c>
      <c r="K16140" s="1" t="str">
        <f t="shared" si="803"/>
        <v>2026-07-29 13:18:02</v>
      </c>
      <c r="L16140" s="1" t="str">
        <f>"2019-10-31 16:43:03"</f>
        <v>2019-10-31 16:43:03</v>
      </c>
      <c r="M16140" s="1" t="s">
        <v>45</v>
      </c>
      <c r="N16140" s="1" t="s">
        <v>38</v>
      </c>
      <c r="O16140" s="1" t="s">
        <v>46</v>
      </c>
    </row>
    <row r="16141" spans="2:15" x14ac:dyDescent="0.3">
      <c r="B16141" s="1" t="s">
        <v>19</v>
      </c>
      <c r="C16141" s="1" t="str">
        <f>"4차"</f>
        <v>4차</v>
      </c>
      <c r="D16141" s="1" t="str">
        <f>"0130R48144"</f>
        <v>0130R48144</v>
      </c>
      <c r="E16141" s="1" t="s">
        <v>10</v>
      </c>
      <c r="F16141" s="1" t="str">
        <f>"10.107.252.201"</f>
        <v>10.107.252.201</v>
      </c>
      <c r="G16141" s="1" t="str">
        <f>"0130R481"</f>
        <v>0130R481</v>
      </c>
      <c r="H16141" s="1" t="str">
        <f>"삼원간 30R5L2R2"</f>
        <v>삼원간 30R5L2R2</v>
      </c>
      <c r="I16141" s="1" t="s">
        <v>8</v>
      </c>
      <c r="J16141" s="1" t="str">
        <f>"37/42"</f>
        <v>37/42</v>
      </c>
      <c r="K16141" s="1" t="str">
        <f t="shared" si="803"/>
        <v>2026-07-29 13:18:02</v>
      </c>
      <c r="L16141" s="1" t="str">
        <f>"2019-12-13 12:09:19"</f>
        <v>2019-12-13 12:09:19</v>
      </c>
      <c r="M16141" s="1" t="s">
        <v>45</v>
      </c>
      <c r="N16141" s="1" t="s">
        <v>38</v>
      </c>
      <c r="O16141" s="1" t="s">
        <v>46</v>
      </c>
    </row>
    <row r="16142" spans="2:15" x14ac:dyDescent="0.3">
      <c r="B16142" s="1" t="s">
        <v>19</v>
      </c>
      <c r="C16142" s="1" t="str">
        <f>"4차"</f>
        <v>4차</v>
      </c>
      <c r="D16142" s="1" t="str">
        <f>"0130R48244"</f>
        <v>0130R48244</v>
      </c>
      <c r="E16142" s="1" t="s">
        <v>10</v>
      </c>
      <c r="F16142" s="1" t="str">
        <f>"10.107.252.200"</f>
        <v>10.107.252.200</v>
      </c>
      <c r="G16142" s="1" t="str">
        <f>"0130R482"</f>
        <v>0130R482</v>
      </c>
      <c r="H16142" s="1" t="str">
        <f>"삼원간 30R5L2R1"</f>
        <v>삼원간 30R5L2R1</v>
      </c>
      <c r="I16142" s="1" t="s">
        <v>8</v>
      </c>
      <c r="J16142" s="1" t="str">
        <f>"34/34"</f>
        <v>34/34</v>
      </c>
      <c r="K16142" s="1" t="str">
        <f t="shared" si="803"/>
        <v>2026-07-29 13:18:02</v>
      </c>
      <c r="L16142" s="1" t="str">
        <f>"2020-01-21 19:08:37"</f>
        <v>2020-01-21 19:08:37</v>
      </c>
      <c r="M16142" s="1" t="s">
        <v>45</v>
      </c>
      <c r="N16142" s="1" t="s">
        <v>38</v>
      </c>
      <c r="O16142" s="1" t="s">
        <v>46</v>
      </c>
    </row>
    <row r="16143" spans="2:15" x14ac:dyDescent="0.3">
      <c r="B16143" s="1" t="s">
        <v>19</v>
      </c>
      <c r="C16143" s="1" t="str">
        <f>"5-2차"</f>
        <v>5-2차</v>
      </c>
      <c r="D16143" s="1" t="str">
        <f>"0130R4915S"</f>
        <v>0130R4915S</v>
      </c>
      <c r="E16143" s="1" t="s">
        <v>10</v>
      </c>
      <c r="F16143" s="1" t="str">
        <f>"fde3:102:1410:3200:0:0:0:5"</f>
        <v>fde3:102:1410:3200:0:0:0:5</v>
      </c>
      <c r="G16143" s="1" t="str">
        <f>"0130R491"</f>
        <v>0130R491</v>
      </c>
      <c r="H16143" s="1" t="str">
        <f>"삼원간 30R7"</f>
        <v>삼원간 30R7</v>
      </c>
      <c r="I16143" s="1" t="s">
        <v>15</v>
      </c>
      <c r="J16143" s="1" t="str">
        <f>"49/49"</f>
        <v>49/49</v>
      </c>
      <c r="K16143" s="1" t="str">
        <f>"2026-07-29 14:20:11"</f>
        <v>2026-07-29 14:20:11</v>
      </c>
      <c r="L16143" s="1" t="str">
        <f>"2023-08-17 11:23:56"</f>
        <v>2023-08-17 11:23:56</v>
      </c>
      <c r="M16143" s="1" t="s">
        <v>45</v>
      </c>
      <c r="N16143" s="1" t="s">
        <v>38</v>
      </c>
      <c r="O16143" s="1" t="s">
        <v>46</v>
      </c>
    </row>
    <row r="16144" spans="2:15" x14ac:dyDescent="0.3">
      <c r="B16144" s="1" t="s">
        <v>19</v>
      </c>
      <c r="C16144" s="1" t="str">
        <f t="shared" ref="C16144:C16152" si="805">"4차"</f>
        <v>4차</v>
      </c>
      <c r="D16144" s="1" t="str">
        <f>"0130R49344"</f>
        <v>0130R49344</v>
      </c>
      <c r="E16144" s="1" t="s">
        <v>10</v>
      </c>
      <c r="F16144" s="1" t="str">
        <f>"10.107.119.146"</f>
        <v>10.107.119.146</v>
      </c>
      <c r="G16144" s="1" t="str">
        <f>"0130R493"</f>
        <v>0130R493</v>
      </c>
      <c r="H16144" s="1" t="str">
        <f>"삼원간 30R6"</f>
        <v>삼원간 30R6</v>
      </c>
      <c r="I16144" s="1" t="s">
        <v>8</v>
      </c>
      <c r="J16144" s="1" t="str">
        <f>"39/39"</f>
        <v>39/39</v>
      </c>
      <c r="K16144" s="1" t="str">
        <f>"2026-07-29 13:18:01"</f>
        <v>2026-07-29 13:18:01</v>
      </c>
      <c r="L16144" s="1" t="str">
        <f>"2019-10-23 11:02:04"</f>
        <v>2019-10-23 11:02:04</v>
      </c>
      <c r="M16144" s="1" t="s">
        <v>45</v>
      </c>
      <c r="N16144" s="1" t="s">
        <v>38</v>
      </c>
      <c r="O16144" s="1" t="s">
        <v>46</v>
      </c>
    </row>
    <row r="16145" spans="2:15" x14ac:dyDescent="0.3">
      <c r="B16145" s="1" t="s">
        <v>19</v>
      </c>
      <c r="C16145" s="1" t="str">
        <f t="shared" si="805"/>
        <v>4차</v>
      </c>
      <c r="D16145" s="1" t="str">
        <f>"0130R52244"</f>
        <v>0130R52244</v>
      </c>
      <c r="E16145" s="1" t="s">
        <v>10</v>
      </c>
      <c r="F16145" s="1" t="str">
        <f>"10.107.124.188"</f>
        <v>10.107.124.188</v>
      </c>
      <c r="G16145" s="1" t="str">
        <f>"0130R522"</f>
        <v>0130R522</v>
      </c>
      <c r="H16145" s="1" t="str">
        <f>"삼원간 39R6R2"</f>
        <v>삼원간 39R6R2</v>
      </c>
      <c r="I16145" s="1" t="s">
        <v>8</v>
      </c>
      <c r="J16145" s="1" t="str">
        <f>"91/98"</f>
        <v>91/98</v>
      </c>
      <c r="K16145" s="1" t="str">
        <f>"2026-07-29 13:18:01"</f>
        <v>2026-07-29 13:18:01</v>
      </c>
      <c r="L16145" s="1" t="str">
        <f>"2019-10-18 14:03:50"</f>
        <v>2019-10-18 14:03:50</v>
      </c>
      <c r="M16145" s="1" t="s">
        <v>45</v>
      </c>
      <c r="N16145" s="1" t="s">
        <v>38</v>
      </c>
      <c r="O16145" s="1" t="s">
        <v>46</v>
      </c>
    </row>
    <row r="16146" spans="2:15" x14ac:dyDescent="0.3">
      <c r="B16146" s="1" t="s">
        <v>19</v>
      </c>
      <c r="C16146" s="1" t="str">
        <f t="shared" si="805"/>
        <v>4차</v>
      </c>
      <c r="D16146" s="1" t="str">
        <f>"0130R53144"</f>
        <v>0130R53144</v>
      </c>
      <c r="E16146" s="1" t="s">
        <v>10</v>
      </c>
      <c r="F16146" s="1" t="str">
        <f>"10.107.124.189"</f>
        <v>10.107.124.189</v>
      </c>
      <c r="G16146" s="1" t="str">
        <f>"0130R531"</f>
        <v>0130R531</v>
      </c>
      <c r="H16146" s="1" t="str">
        <f>"삼원간 39R6R3"</f>
        <v>삼원간 39R6R3</v>
      </c>
      <c r="I16146" s="1" t="s">
        <v>8</v>
      </c>
      <c r="J16146" s="1" t="str">
        <f>"64/65"</f>
        <v>64/65</v>
      </c>
      <c r="K16146" s="1" t="str">
        <f>"2026-07-29 13:18:01"</f>
        <v>2026-07-29 13:18:01</v>
      </c>
      <c r="L16146" s="1" t="str">
        <f>"2019-10-18 14:43:06"</f>
        <v>2019-10-18 14:43:06</v>
      </c>
      <c r="M16146" s="1" t="s">
        <v>45</v>
      </c>
      <c r="N16146" s="1" t="s">
        <v>38</v>
      </c>
      <c r="O16146" s="1" t="s">
        <v>46</v>
      </c>
    </row>
    <row r="16147" spans="2:15" x14ac:dyDescent="0.3">
      <c r="B16147" s="1" t="s">
        <v>19</v>
      </c>
      <c r="C16147" s="1" t="str">
        <f t="shared" si="805"/>
        <v>4차</v>
      </c>
      <c r="D16147" s="1" t="str">
        <f>"0130R54544"</f>
        <v>0130R54544</v>
      </c>
      <c r="E16147" s="1" t="s">
        <v>10</v>
      </c>
      <c r="F16147" s="1" t="str">
        <f>"10.107.124.171"</f>
        <v>10.107.124.171</v>
      </c>
      <c r="G16147" s="1" t="str">
        <f>"0130R545"</f>
        <v>0130R545</v>
      </c>
      <c r="H16147" s="1" t="str">
        <f>"화계지 51H1L5"</f>
        <v>화계지 51H1L5</v>
      </c>
      <c r="I16147" s="1" t="s">
        <v>8</v>
      </c>
      <c r="J16147" s="1" t="str">
        <f>"16/16"</f>
        <v>16/16</v>
      </c>
      <c r="K16147" s="1" t="str">
        <f>"2026-07-29 13:18:01"</f>
        <v>2026-07-29 13:18:01</v>
      </c>
      <c r="L16147" s="1" t="str">
        <f>"2019-12-13 09:03:42"</f>
        <v>2019-12-13 09:03:42</v>
      </c>
      <c r="M16147" s="1" t="s">
        <v>45</v>
      </c>
      <c r="N16147" s="1" t="s">
        <v>38</v>
      </c>
      <c r="O16147" s="1" t="s">
        <v>46</v>
      </c>
    </row>
    <row r="16148" spans="2:15" x14ac:dyDescent="0.3">
      <c r="B16148" s="1" t="s">
        <v>19</v>
      </c>
      <c r="C16148" s="1" t="str">
        <f t="shared" si="805"/>
        <v>4차</v>
      </c>
      <c r="D16148" s="1" t="str">
        <f>"0130R54644"</f>
        <v>0130R54644</v>
      </c>
      <c r="E16148" s="1" t="s">
        <v>10</v>
      </c>
      <c r="F16148" s="1" t="str">
        <f>"10.107.124.175"</f>
        <v>10.107.124.175</v>
      </c>
      <c r="G16148" s="1" t="str">
        <f>"0130R546"</f>
        <v>0130R546</v>
      </c>
      <c r="H16148" s="1" t="str">
        <f>"화계지 51H1L6"</f>
        <v>화계지 51H1L6</v>
      </c>
      <c r="I16148" s="1" t="s">
        <v>8</v>
      </c>
      <c r="J16148" s="1" t="str">
        <f>"47/61"</f>
        <v>47/61</v>
      </c>
      <c r="K16148" s="1" t="str">
        <f>"2026-07-29 13:18:01"</f>
        <v>2026-07-29 13:18:01</v>
      </c>
      <c r="L16148" s="1" t="str">
        <f>"2020-02-10 18:41:36"</f>
        <v>2020-02-10 18:41:36</v>
      </c>
      <c r="M16148" s="1" t="s">
        <v>45</v>
      </c>
      <c r="N16148" s="1" t="s">
        <v>38</v>
      </c>
      <c r="O16148" s="1" t="s">
        <v>46</v>
      </c>
    </row>
    <row r="16149" spans="2:15" x14ac:dyDescent="0.3">
      <c r="B16149" s="1" t="s">
        <v>19</v>
      </c>
      <c r="C16149" s="1" t="str">
        <f t="shared" si="805"/>
        <v>4차</v>
      </c>
      <c r="D16149" s="1" t="str">
        <f>"0130R56244"</f>
        <v>0130R56244</v>
      </c>
      <c r="E16149" s="1" t="s">
        <v>10</v>
      </c>
      <c r="F16149" s="1" t="str">
        <f>"10.107.252.203"</f>
        <v>10.107.252.203</v>
      </c>
      <c r="G16149" s="1" t="str">
        <f>"0130R562"</f>
        <v>0130R562</v>
      </c>
      <c r="H16149" s="1" t="str">
        <f>"삼원간 37R4L2"</f>
        <v>삼원간 37R4L2</v>
      </c>
      <c r="I16149" s="1" t="s">
        <v>8</v>
      </c>
      <c r="J16149" s="1" t="str">
        <f>"129/131"</f>
        <v>129/131</v>
      </c>
      <c r="K16149" s="1" t="str">
        <f t="shared" ref="K16149:K16161" si="806">"2026-07-29 13:18:02"</f>
        <v>2026-07-29 13:18:02</v>
      </c>
      <c r="L16149" s="1" t="str">
        <f>"2019-12-13 12:09:19"</f>
        <v>2019-12-13 12:09:19</v>
      </c>
      <c r="M16149" s="1" t="s">
        <v>45</v>
      </c>
      <c r="N16149" s="1" t="s">
        <v>38</v>
      </c>
      <c r="O16149" s="1" t="s">
        <v>46</v>
      </c>
    </row>
    <row r="16150" spans="2:15" x14ac:dyDescent="0.3">
      <c r="B16150" s="1" t="s">
        <v>19</v>
      </c>
      <c r="C16150" s="1" t="str">
        <f t="shared" si="805"/>
        <v>4차</v>
      </c>
      <c r="D16150" s="1" t="str">
        <f>"0130R57144"</f>
        <v>0130R57144</v>
      </c>
      <c r="E16150" s="1" t="s">
        <v>10</v>
      </c>
      <c r="F16150" s="1" t="str">
        <f>"10.107.252.202"</f>
        <v>10.107.252.202</v>
      </c>
      <c r="G16150" s="1" t="str">
        <f>"0130R571"</f>
        <v>0130R571</v>
      </c>
      <c r="H16150" s="1" t="str">
        <f>"삼원간 30R5L3"</f>
        <v>삼원간 30R5L3</v>
      </c>
      <c r="I16150" s="1" t="s">
        <v>8</v>
      </c>
      <c r="J16150" s="1" t="str">
        <f>"59/59"</f>
        <v>59/59</v>
      </c>
      <c r="K16150" s="1" t="str">
        <f t="shared" si="806"/>
        <v>2026-07-29 13:18:02</v>
      </c>
      <c r="L16150" s="1" t="str">
        <f>"2019-12-13 12:09:19"</f>
        <v>2019-12-13 12:09:19</v>
      </c>
      <c r="M16150" s="1" t="s">
        <v>45</v>
      </c>
      <c r="N16150" s="1" t="s">
        <v>38</v>
      </c>
      <c r="O16150" s="1" t="s">
        <v>46</v>
      </c>
    </row>
    <row r="16151" spans="2:15" x14ac:dyDescent="0.3">
      <c r="B16151" s="1" t="s">
        <v>19</v>
      </c>
      <c r="C16151" s="1" t="str">
        <f t="shared" si="805"/>
        <v>4차</v>
      </c>
      <c r="D16151" s="1" t="str">
        <f>"0130R58144"</f>
        <v>0130R58144</v>
      </c>
      <c r="E16151" s="1" t="s">
        <v>10</v>
      </c>
      <c r="F16151" s="1" t="str">
        <f>"10.107.252.198"</f>
        <v>10.107.252.198</v>
      </c>
      <c r="G16151" s="1" t="str">
        <f>"0130R581"</f>
        <v>0130R581</v>
      </c>
      <c r="H16151" s="1" t="str">
        <f>"삼원간 30R5L2"</f>
        <v>삼원간 30R5L2</v>
      </c>
      <c r="I16151" s="1" t="s">
        <v>8</v>
      </c>
      <c r="J16151" s="1" t="str">
        <f>"36/36"</f>
        <v>36/36</v>
      </c>
      <c r="K16151" s="1" t="str">
        <f t="shared" si="806"/>
        <v>2026-07-29 13:18:02</v>
      </c>
      <c r="L16151" s="1" t="str">
        <f>"2020-01-16 10:48:00"</f>
        <v>2020-01-16 10:48:00</v>
      </c>
      <c r="M16151" s="1" t="s">
        <v>45</v>
      </c>
      <c r="N16151" s="1" t="s">
        <v>38</v>
      </c>
      <c r="O16151" s="1" t="s">
        <v>46</v>
      </c>
    </row>
    <row r="16152" spans="2:15" x14ac:dyDescent="0.3">
      <c r="B16152" s="1" t="s">
        <v>19</v>
      </c>
      <c r="C16152" s="1" t="str">
        <f t="shared" si="805"/>
        <v>4차</v>
      </c>
      <c r="D16152" s="1" t="str">
        <f>"0130R59344"</f>
        <v>0130R59344</v>
      </c>
      <c r="E16152" s="1" t="s">
        <v>10</v>
      </c>
      <c r="F16152" s="1" t="str">
        <f>"10.107.251.2"</f>
        <v>10.107.251.2</v>
      </c>
      <c r="G16152" s="1" t="str">
        <f>"0130R593"</f>
        <v>0130R593</v>
      </c>
      <c r="H16152" s="1" t="str">
        <f>"삼원간 30R5L1"</f>
        <v>삼원간 30R5L1</v>
      </c>
      <c r="I16152" s="1" t="s">
        <v>8</v>
      </c>
      <c r="J16152" s="1" t="str">
        <f>"35/35"</f>
        <v>35/35</v>
      </c>
      <c r="K16152" s="1" t="str">
        <f t="shared" si="806"/>
        <v>2026-07-29 13:18:02</v>
      </c>
      <c r="L16152" s="1" t="str">
        <f>"2019-12-13 09:00:10"</f>
        <v>2019-12-13 09:00:10</v>
      </c>
      <c r="M16152" s="1" t="s">
        <v>45</v>
      </c>
      <c r="N16152" s="1" t="s">
        <v>38</v>
      </c>
      <c r="O16152" s="1" t="s">
        <v>46</v>
      </c>
    </row>
    <row r="16153" spans="2:15" x14ac:dyDescent="0.3">
      <c r="B16153" s="1" t="s">
        <v>19</v>
      </c>
      <c r="C16153" s="1" t="str">
        <f>"3차"</f>
        <v>3차</v>
      </c>
      <c r="D16153" s="1" t="str">
        <f>"0130R60130"</f>
        <v>0130R60130</v>
      </c>
      <c r="E16153" s="1" t="s">
        <v>10</v>
      </c>
      <c r="F16153" s="1" t="str">
        <f>"10.107.120.220"</f>
        <v>10.107.120.220</v>
      </c>
      <c r="G16153" s="1" t="str">
        <f>"0130R601"</f>
        <v>0130R601</v>
      </c>
      <c r="H16153" s="1" t="str">
        <f>"화계지 56L5R1"</f>
        <v>화계지 56L5R1</v>
      </c>
      <c r="I16153" s="1" t="s">
        <v>8</v>
      </c>
      <c r="J16153" s="1" t="str">
        <f>"40/43"</f>
        <v>40/43</v>
      </c>
      <c r="K16153" s="1" t="str">
        <f t="shared" si="806"/>
        <v>2026-07-29 13:18:02</v>
      </c>
      <c r="L16153" s="1" t="str">
        <f>"2018-06-16 09:59:30"</f>
        <v>2018-06-16 09:59:30</v>
      </c>
      <c r="M16153" s="1" t="s">
        <v>45</v>
      </c>
      <c r="N16153" s="1" t="s">
        <v>38</v>
      </c>
      <c r="O16153" s="1" t="s">
        <v>46</v>
      </c>
    </row>
    <row r="16154" spans="2:15" x14ac:dyDescent="0.3">
      <c r="B16154" s="1" t="s">
        <v>19</v>
      </c>
      <c r="C16154" s="1" t="str">
        <f>"4차"</f>
        <v>4차</v>
      </c>
      <c r="D16154" s="1" t="str">
        <f>"0130R61244"</f>
        <v>0130R61244</v>
      </c>
      <c r="E16154" s="1" t="s">
        <v>10</v>
      </c>
      <c r="F16154" s="1" t="str">
        <f>"10.107.124.186"</f>
        <v>10.107.124.186</v>
      </c>
      <c r="G16154" s="1" t="str">
        <f>"0130R612"</f>
        <v>0130R612</v>
      </c>
      <c r="H16154" s="1" t="str">
        <f>"삼원간 39R4"</f>
        <v>삼원간 39R4</v>
      </c>
      <c r="I16154" s="1" t="s">
        <v>8</v>
      </c>
      <c r="J16154" s="1" t="str">
        <f>"70/73"</f>
        <v>70/73</v>
      </c>
      <c r="K16154" s="1" t="str">
        <f t="shared" si="806"/>
        <v>2026-07-29 13:18:02</v>
      </c>
      <c r="L16154" s="1" t="str">
        <f>"2019-12-13 09:00:16"</f>
        <v>2019-12-13 09:00:16</v>
      </c>
      <c r="M16154" s="1" t="s">
        <v>45</v>
      </c>
      <c r="N16154" s="1" t="s">
        <v>38</v>
      </c>
      <c r="O16154" s="1" t="s">
        <v>46</v>
      </c>
    </row>
    <row r="16155" spans="2:15" x14ac:dyDescent="0.3">
      <c r="B16155" s="1" t="s">
        <v>19</v>
      </c>
      <c r="C16155" s="1" t="str">
        <f>"3차"</f>
        <v>3차</v>
      </c>
      <c r="D16155" s="1" t="str">
        <f>"0130R61339"</f>
        <v>0130R61339</v>
      </c>
      <c r="E16155" s="1" t="s">
        <v>10</v>
      </c>
      <c r="F16155" s="1" t="str">
        <f>"10.107.120.222"</f>
        <v>10.107.120.222</v>
      </c>
      <c r="G16155" s="1" t="str">
        <f>"0130R613"</f>
        <v>0130R613</v>
      </c>
      <c r="H16155" s="1" t="str">
        <f>"화계지 56L5"</f>
        <v>화계지 56L5</v>
      </c>
      <c r="I16155" s="1" t="s">
        <v>8</v>
      </c>
      <c r="J16155" s="1" t="str">
        <f>"29/30"</f>
        <v>29/30</v>
      </c>
      <c r="K16155" s="1" t="str">
        <f t="shared" si="806"/>
        <v>2026-07-29 13:18:02</v>
      </c>
      <c r="L16155" s="1" t="str">
        <f>"2018-07-05 11:25:45"</f>
        <v>2018-07-05 11:25:45</v>
      </c>
      <c r="M16155" s="1" t="s">
        <v>45</v>
      </c>
      <c r="N16155" s="1" t="s">
        <v>38</v>
      </c>
      <c r="O16155" s="1" t="s">
        <v>46</v>
      </c>
    </row>
    <row r="16156" spans="2:15" x14ac:dyDescent="0.3">
      <c r="B16156" s="1" t="s">
        <v>19</v>
      </c>
      <c r="C16156" s="1" t="str">
        <f>"4차"</f>
        <v>4차</v>
      </c>
      <c r="D16156" s="1" t="str">
        <f>"0130R61444"</f>
        <v>0130R61444</v>
      </c>
      <c r="E16156" s="1" t="s">
        <v>10</v>
      </c>
      <c r="F16156" s="1" t="str">
        <f>"10.107.124.187"</f>
        <v>10.107.124.187</v>
      </c>
      <c r="G16156" s="1" t="str">
        <f>"0130R614"</f>
        <v>0130R614</v>
      </c>
      <c r="H16156" s="1" t="str">
        <f>"삼원간 39R5"</f>
        <v>삼원간 39R5</v>
      </c>
      <c r="I16156" s="1" t="s">
        <v>8</v>
      </c>
      <c r="J16156" s="1" t="str">
        <f>"45/45"</f>
        <v>45/45</v>
      </c>
      <c r="K16156" s="1" t="str">
        <f t="shared" si="806"/>
        <v>2026-07-29 13:18:02</v>
      </c>
      <c r="L16156" s="1" t="str">
        <f>"2019-10-18 14:03:05"</f>
        <v>2019-10-18 14:03:05</v>
      </c>
      <c r="M16156" s="1" t="s">
        <v>45</v>
      </c>
      <c r="N16156" s="1" t="s">
        <v>38</v>
      </c>
      <c r="O16156" s="1" t="s">
        <v>46</v>
      </c>
    </row>
    <row r="16157" spans="2:15" x14ac:dyDescent="0.3">
      <c r="B16157" s="1" t="s">
        <v>19</v>
      </c>
      <c r="C16157" s="1" t="str">
        <f>"4차"</f>
        <v>4차</v>
      </c>
      <c r="D16157" s="1" t="str">
        <f>"0130R64644"</f>
        <v>0130R64644</v>
      </c>
      <c r="E16157" s="1" t="s">
        <v>10</v>
      </c>
      <c r="F16157" s="1" t="str">
        <f>"10.107.124.174"</f>
        <v>10.107.124.174</v>
      </c>
      <c r="G16157" s="1" t="str">
        <f>"0130R646"</f>
        <v>0130R646</v>
      </c>
      <c r="H16157" s="1" t="str">
        <f>"화계지 51H1L7"</f>
        <v>화계지 51H1L7</v>
      </c>
      <c r="I16157" s="1" t="s">
        <v>8</v>
      </c>
      <c r="J16157" s="1" t="str">
        <f>"67/67"</f>
        <v>67/67</v>
      </c>
      <c r="K16157" s="1" t="str">
        <f t="shared" si="806"/>
        <v>2026-07-29 13:18:02</v>
      </c>
      <c r="L16157" s="1" t="str">
        <f>"2019-12-13 09:10:24"</f>
        <v>2019-12-13 09:10:24</v>
      </c>
      <c r="M16157" s="1" t="s">
        <v>45</v>
      </c>
      <c r="N16157" s="1" t="s">
        <v>38</v>
      </c>
      <c r="O16157" s="1" t="s">
        <v>46</v>
      </c>
    </row>
    <row r="16158" spans="2:15" x14ac:dyDescent="0.3">
      <c r="B16158" s="1" t="s">
        <v>19</v>
      </c>
      <c r="C16158" s="1" t="str">
        <f>"3차"</f>
        <v>3차</v>
      </c>
      <c r="D16158" s="1" t="str">
        <f>"0130R65339"</f>
        <v>0130R65339</v>
      </c>
      <c r="E16158" s="1" t="s">
        <v>10</v>
      </c>
      <c r="F16158" s="1" t="str">
        <f>"10.107.124.162"</f>
        <v>10.107.124.162</v>
      </c>
      <c r="G16158" s="1" t="str">
        <f>"0130R653"</f>
        <v>0130R653</v>
      </c>
      <c r="H16158" s="1" t="str">
        <f>"삼원간 37R3L2"</f>
        <v>삼원간 37R3L2</v>
      </c>
      <c r="I16158" s="1" t="s">
        <v>8</v>
      </c>
      <c r="J16158" s="1" t="str">
        <f>"34/34"</f>
        <v>34/34</v>
      </c>
      <c r="K16158" s="1" t="str">
        <f t="shared" si="806"/>
        <v>2026-07-29 13:18:02</v>
      </c>
      <c r="L16158" s="1" t="str">
        <f>"2018-04-24 12:05:57"</f>
        <v>2018-04-24 12:05:57</v>
      </c>
      <c r="M16158" s="1" t="s">
        <v>45</v>
      </c>
      <c r="N16158" s="1" t="s">
        <v>38</v>
      </c>
      <c r="O16158" s="1" t="s">
        <v>46</v>
      </c>
    </row>
    <row r="16159" spans="2:15" x14ac:dyDescent="0.3">
      <c r="B16159" s="1" t="s">
        <v>19</v>
      </c>
      <c r="C16159" s="1" t="str">
        <f>"4차"</f>
        <v>4차</v>
      </c>
      <c r="D16159" s="1" t="str">
        <f>"0130R65444"</f>
        <v>0130R65444</v>
      </c>
      <c r="E16159" s="1" t="s">
        <v>10</v>
      </c>
      <c r="F16159" s="1" t="str">
        <f>"10.107.124.185"</f>
        <v>10.107.124.185</v>
      </c>
      <c r="G16159" s="1" t="str">
        <f>"0130R654"</f>
        <v>0130R654</v>
      </c>
      <c r="H16159" s="1" t="str">
        <f>"삼원간 37R4"</f>
        <v>삼원간 37R4</v>
      </c>
      <c r="I16159" s="1" t="s">
        <v>8</v>
      </c>
      <c r="J16159" s="1" t="str">
        <f>"35/36"</f>
        <v>35/36</v>
      </c>
      <c r="K16159" s="1" t="str">
        <f t="shared" si="806"/>
        <v>2026-07-29 13:18:02</v>
      </c>
      <c r="L16159" s="1" t="str">
        <f>"2019-10-18 12:46:35"</f>
        <v>2019-10-18 12:46:35</v>
      </c>
      <c r="M16159" s="1" t="s">
        <v>45</v>
      </c>
      <c r="N16159" s="1" t="s">
        <v>38</v>
      </c>
      <c r="O16159" s="1" t="s">
        <v>46</v>
      </c>
    </row>
    <row r="16160" spans="2:15" x14ac:dyDescent="0.3">
      <c r="B16160" s="1" t="s">
        <v>19</v>
      </c>
      <c r="C16160" s="1" t="str">
        <f>"4차"</f>
        <v>4차</v>
      </c>
      <c r="D16160" s="1" t="str">
        <f>"0130R67144"</f>
        <v>0130R67144</v>
      </c>
      <c r="E16160" s="1" t="s">
        <v>10</v>
      </c>
      <c r="F16160" s="1" t="str">
        <f>"10.107.252.199"</f>
        <v>10.107.252.199</v>
      </c>
      <c r="G16160" s="1" t="str">
        <f>"0130R671"</f>
        <v>0130R671</v>
      </c>
      <c r="H16160" s="1" t="str">
        <f>"삼원간 30R5L2L1"</f>
        <v>삼원간 30R5L2L1</v>
      </c>
      <c r="I16160" s="1" t="s">
        <v>8</v>
      </c>
      <c r="J16160" s="1" t="str">
        <f>"52/52"</f>
        <v>52/52</v>
      </c>
      <c r="K16160" s="1" t="str">
        <f t="shared" si="806"/>
        <v>2026-07-29 13:18:02</v>
      </c>
      <c r="L16160" s="1" t="str">
        <f>"2019-12-13 08:58:46"</f>
        <v>2019-12-13 08:58:46</v>
      </c>
      <c r="M16160" s="1" t="s">
        <v>45</v>
      </c>
      <c r="N16160" s="1" t="s">
        <v>38</v>
      </c>
      <c r="O16160" s="1" t="s">
        <v>46</v>
      </c>
    </row>
    <row r="16161" spans="2:15" x14ac:dyDescent="0.3">
      <c r="B16161" s="1" t="s">
        <v>19</v>
      </c>
      <c r="C16161" s="1" t="str">
        <f>"4차"</f>
        <v>4차</v>
      </c>
      <c r="D16161" s="1" t="str">
        <f>"0130R69144"</f>
        <v>0130R69144</v>
      </c>
      <c r="E16161" s="1" t="s">
        <v>10</v>
      </c>
      <c r="F16161" s="1" t="str">
        <f>"10.107.252.197"</f>
        <v>10.107.252.197</v>
      </c>
      <c r="G16161" s="1" t="str">
        <f>"0130R691"</f>
        <v>0130R691</v>
      </c>
      <c r="H16161" s="1" t="str">
        <f>"삼원간 30R4"</f>
        <v>삼원간 30R4</v>
      </c>
      <c r="I16161" s="1" t="s">
        <v>8</v>
      </c>
      <c r="J16161" s="1" t="str">
        <f>"35/35"</f>
        <v>35/35</v>
      </c>
      <c r="K16161" s="1" t="str">
        <f t="shared" si="806"/>
        <v>2026-07-29 13:18:02</v>
      </c>
      <c r="L16161" s="1" t="str">
        <f>"2019-12-13 12:10:09"</f>
        <v>2019-12-13 12:10:09</v>
      </c>
      <c r="M16161" s="1" t="s">
        <v>45</v>
      </c>
      <c r="N16161" s="1" t="s">
        <v>38</v>
      </c>
      <c r="O16161" s="1" t="s">
        <v>46</v>
      </c>
    </row>
    <row r="16162" spans="2:15" x14ac:dyDescent="0.3">
      <c r="B16162" s="1" t="s">
        <v>19</v>
      </c>
      <c r="C16162" s="1" t="str">
        <f>"3차"</f>
        <v>3차</v>
      </c>
      <c r="D16162" s="1" t="str">
        <f>"0130R71339"</f>
        <v>0130R71339</v>
      </c>
      <c r="E16162" s="1" t="s">
        <v>10</v>
      </c>
      <c r="F16162" s="1" t="str">
        <f>"10.12.137.139"</f>
        <v>10.12.137.139</v>
      </c>
      <c r="G16162" s="1" t="str">
        <f>"0130R713"</f>
        <v>0130R713</v>
      </c>
      <c r="H16162" s="1" t="str">
        <f>"삼원간 39R3"</f>
        <v>삼원간 39R3</v>
      </c>
      <c r="I16162" s="1" t="s">
        <v>8</v>
      </c>
      <c r="J16162" s="1" t="str">
        <f>"36/36"</f>
        <v>36/36</v>
      </c>
      <c r="K16162" s="1" t="str">
        <f>"2026-07-29 13:18:03"</f>
        <v>2026-07-29 13:18:03</v>
      </c>
      <c r="L16162" s="1" t="str">
        <f>"2018-04-24 08:41:57"</f>
        <v>2018-04-24 08:41:57</v>
      </c>
      <c r="M16162" s="1" t="s">
        <v>0</v>
      </c>
      <c r="N16162" s="1" t="s">
        <v>38</v>
      </c>
      <c r="O16162" s="1" t="s">
        <v>46</v>
      </c>
    </row>
    <row r="16163" spans="2:15" x14ac:dyDescent="0.3">
      <c r="B16163" s="1" t="s">
        <v>19</v>
      </c>
      <c r="C16163" s="1" t="str">
        <f>"4차"</f>
        <v>4차</v>
      </c>
      <c r="D16163" s="1" t="str">
        <f>"0130R74144"</f>
        <v>0130R74144</v>
      </c>
      <c r="E16163" s="1" t="s">
        <v>10</v>
      </c>
      <c r="F16163" s="1" t="str">
        <f>"10.107.124.183"</f>
        <v>10.107.124.183</v>
      </c>
      <c r="G16163" s="1" t="str">
        <f>"0130R741"</f>
        <v>0130R741</v>
      </c>
      <c r="H16163" s="1" t="str">
        <f>"삼원간 37R2"</f>
        <v>삼원간 37R2</v>
      </c>
      <c r="I16163" s="1" t="s">
        <v>8</v>
      </c>
      <c r="J16163" s="1" t="str">
        <f>"58/63"</f>
        <v>58/63</v>
      </c>
      <c r="K16163" s="1" t="str">
        <f t="shared" ref="K16163:K16171" si="807">"2026-07-29 13:18:02"</f>
        <v>2026-07-29 13:18:02</v>
      </c>
      <c r="L16163" s="1" t="str">
        <f>"2019-12-30 11:27:59"</f>
        <v>2019-12-30 11:27:59</v>
      </c>
      <c r="M16163" s="1" t="s">
        <v>45</v>
      </c>
      <c r="N16163" s="1" t="s">
        <v>38</v>
      </c>
      <c r="O16163" s="1" t="s">
        <v>46</v>
      </c>
    </row>
    <row r="16164" spans="2:15" x14ac:dyDescent="0.3">
      <c r="B16164" s="1" t="s">
        <v>19</v>
      </c>
      <c r="C16164" s="1" t="str">
        <f>"4차"</f>
        <v>4차</v>
      </c>
      <c r="D16164" s="1" t="str">
        <f>"0130R75144"</f>
        <v>0130R75144</v>
      </c>
      <c r="E16164" s="1" t="s">
        <v>10</v>
      </c>
      <c r="F16164" s="1" t="str">
        <f>"10.107.124.184"</f>
        <v>10.107.124.184</v>
      </c>
      <c r="G16164" s="1" t="str">
        <f>"0130R751"</f>
        <v>0130R751</v>
      </c>
      <c r="H16164" s="1" t="str">
        <f>"삼원간 37R3"</f>
        <v>삼원간 37R3</v>
      </c>
      <c r="I16164" s="1" t="s">
        <v>8</v>
      </c>
      <c r="J16164" s="1" t="str">
        <f>"39/39"</f>
        <v>39/39</v>
      </c>
      <c r="K16164" s="1" t="str">
        <f t="shared" si="807"/>
        <v>2026-07-29 13:18:02</v>
      </c>
      <c r="L16164" s="1" t="str">
        <f>"2019-10-18 12:18:19"</f>
        <v>2019-10-18 12:18:19</v>
      </c>
      <c r="M16164" s="1" t="s">
        <v>45</v>
      </c>
      <c r="N16164" s="1" t="s">
        <v>38</v>
      </c>
      <c r="O16164" s="1" t="s">
        <v>46</v>
      </c>
    </row>
    <row r="16165" spans="2:15" x14ac:dyDescent="0.3">
      <c r="B16165" s="1" t="s">
        <v>19</v>
      </c>
      <c r="C16165" s="1" t="str">
        <f>"4차"</f>
        <v>4차</v>
      </c>
      <c r="D16165" s="1" t="str">
        <f>"0130R77144"</f>
        <v>0130R77144</v>
      </c>
      <c r="E16165" s="1" t="s">
        <v>10</v>
      </c>
      <c r="F16165" s="1" t="str">
        <f>"10.107.252.195"</f>
        <v>10.107.252.195</v>
      </c>
      <c r="G16165" s="1" t="str">
        <f>"0130R771"</f>
        <v>0130R771</v>
      </c>
      <c r="H16165" s="1" t="str">
        <f>"삼원간 30R1L2"</f>
        <v>삼원간 30R1L2</v>
      </c>
      <c r="I16165" s="1" t="s">
        <v>8</v>
      </c>
      <c r="J16165" s="1" t="str">
        <f>"98/98"</f>
        <v>98/98</v>
      </c>
      <c r="K16165" s="1" t="str">
        <f t="shared" si="807"/>
        <v>2026-07-29 13:18:02</v>
      </c>
      <c r="L16165" s="1" t="str">
        <f>"2019-12-13 08:58:56"</f>
        <v>2019-12-13 08:58:56</v>
      </c>
      <c r="M16165" s="1" t="s">
        <v>45</v>
      </c>
      <c r="N16165" s="1" t="s">
        <v>38</v>
      </c>
      <c r="O16165" s="1" t="s">
        <v>46</v>
      </c>
    </row>
    <row r="16166" spans="2:15" x14ac:dyDescent="0.3">
      <c r="B16166" s="1" t="s">
        <v>19</v>
      </c>
      <c r="C16166" s="1" t="str">
        <f>"4차"</f>
        <v>4차</v>
      </c>
      <c r="D16166" s="1" t="str">
        <f>"0130R79344"</f>
        <v>0130R79344</v>
      </c>
      <c r="E16166" s="1" t="s">
        <v>10</v>
      </c>
      <c r="F16166" s="1" t="str">
        <f>"10.107.252.196"</f>
        <v>10.107.252.196</v>
      </c>
      <c r="G16166" s="1" t="str">
        <f>"0130R793"</f>
        <v>0130R793</v>
      </c>
      <c r="H16166" s="1" t="str">
        <f>"삼원간 30R3"</f>
        <v>삼원간 30R3</v>
      </c>
      <c r="I16166" s="1" t="s">
        <v>8</v>
      </c>
      <c r="J16166" s="1" t="str">
        <f>"66/71"</f>
        <v>66/71</v>
      </c>
      <c r="K16166" s="1" t="str">
        <f t="shared" si="807"/>
        <v>2026-07-29 13:18:02</v>
      </c>
      <c r="L16166" s="1" t="str">
        <f>"2019-12-13 08:57:05"</f>
        <v>2019-12-13 08:57:05</v>
      </c>
      <c r="M16166" s="1" t="s">
        <v>45</v>
      </c>
      <c r="N16166" s="1" t="s">
        <v>38</v>
      </c>
      <c r="O16166" s="1" t="s">
        <v>46</v>
      </c>
    </row>
    <row r="16167" spans="2:15" x14ac:dyDescent="0.3">
      <c r="B16167" s="1" t="s">
        <v>19</v>
      </c>
      <c r="C16167" s="1" t="str">
        <f>"3차"</f>
        <v>3차</v>
      </c>
      <c r="D16167" s="1" t="str">
        <f>"0130R81339"</f>
        <v>0130R81339</v>
      </c>
      <c r="E16167" s="1" t="s">
        <v>10</v>
      </c>
      <c r="F16167" s="1" t="str">
        <f>"10.107.122.5"</f>
        <v>10.107.122.5</v>
      </c>
      <c r="G16167" s="1" t="str">
        <f>"0130R813"</f>
        <v>0130R813</v>
      </c>
      <c r="H16167" s="1" t="str">
        <f>"화계지 56L8"</f>
        <v>화계지 56L8</v>
      </c>
      <c r="I16167" s="1" t="s">
        <v>8</v>
      </c>
      <c r="J16167" s="1" t="str">
        <f>"47/47"</f>
        <v>47/47</v>
      </c>
      <c r="K16167" s="1" t="str">
        <f t="shared" si="807"/>
        <v>2026-07-29 13:18:02</v>
      </c>
      <c r="L16167" s="1" t="str">
        <f>"2021-07-26 17:51:57"</f>
        <v>2021-07-26 17:51:57</v>
      </c>
      <c r="M16167" s="1" t="s">
        <v>45</v>
      </c>
      <c r="N16167" s="1" t="s">
        <v>38</v>
      </c>
      <c r="O16167" s="1" t="s">
        <v>46</v>
      </c>
    </row>
    <row r="16168" spans="2:15" x14ac:dyDescent="0.3">
      <c r="B16168" s="1" t="s">
        <v>19</v>
      </c>
      <c r="C16168" s="1" t="str">
        <f>"4차"</f>
        <v>4차</v>
      </c>
      <c r="D16168" s="1" t="str">
        <f>"0130R83144"</f>
        <v>0130R83144</v>
      </c>
      <c r="E16168" s="1" t="s">
        <v>10</v>
      </c>
      <c r="F16168" s="1" t="str">
        <f>"10.107.124.182"</f>
        <v>10.107.124.182</v>
      </c>
      <c r="G16168" s="1" t="str">
        <f>"0130R831"</f>
        <v>0130R831</v>
      </c>
      <c r="H16168" s="1" t="str">
        <f>"삼원간 37R1"</f>
        <v>삼원간 37R1</v>
      </c>
      <c r="I16168" s="1" t="s">
        <v>8</v>
      </c>
      <c r="J16168" s="1" t="str">
        <f>"47/47"</f>
        <v>47/47</v>
      </c>
      <c r="K16168" s="1" t="str">
        <f t="shared" si="807"/>
        <v>2026-07-29 13:18:02</v>
      </c>
      <c r="L16168" s="1" t="str">
        <f>"2019-10-18 12:16:36"</f>
        <v>2019-10-18 12:16:36</v>
      </c>
      <c r="M16168" s="1" t="s">
        <v>45</v>
      </c>
      <c r="N16168" s="1" t="s">
        <v>38</v>
      </c>
      <c r="O16168" s="1" t="s">
        <v>46</v>
      </c>
    </row>
    <row r="16169" spans="2:15" x14ac:dyDescent="0.3">
      <c r="B16169" s="1" t="s">
        <v>19</v>
      </c>
      <c r="C16169" s="1" t="str">
        <f>"4차"</f>
        <v>4차</v>
      </c>
      <c r="D16169" s="1" t="str">
        <f>"0130R86444"</f>
        <v>0130R86444</v>
      </c>
      <c r="E16169" s="1" t="s">
        <v>10</v>
      </c>
      <c r="F16169" s="1" t="str">
        <f>"10.107.124.181"</f>
        <v>10.107.124.181</v>
      </c>
      <c r="G16169" s="1" t="str">
        <f>"0130R864"</f>
        <v>0130R864</v>
      </c>
      <c r="H16169" s="1" t="str">
        <f>"삼원간 32"</f>
        <v>삼원간 32</v>
      </c>
      <c r="I16169" s="1" t="s">
        <v>8</v>
      </c>
      <c r="J16169" s="1" t="str">
        <f>"41/41"</f>
        <v>41/41</v>
      </c>
      <c r="K16169" s="1" t="str">
        <f t="shared" si="807"/>
        <v>2026-07-29 13:18:02</v>
      </c>
      <c r="L16169" s="1" t="str">
        <f>"2019-10-23 10:58:47"</f>
        <v>2019-10-23 10:58:47</v>
      </c>
      <c r="M16169" s="1" t="s">
        <v>45</v>
      </c>
      <c r="N16169" s="1" t="s">
        <v>38</v>
      </c>
      <c r="O16169" s="1" t="s">
        <v>46</v>
      </c>
    </row>
    <row r="16170" spans="2:15" x14ac:dyDescent="0.3">
      <c r="B16170" s="1" t="s">
        <v>19</v>
      </c>
      <c r="C16170" s="1" t="str">
        <f>"4차"</f>
        <v>4차</v>
      </c>
      <c r="D16170" s="1" t="str">
        <f>"0130R89144"</f>
        <v>0130R89144</v>
      </c>
      <c r="E16170" s="1" t="s">
        <v>10</v>
      </c>
      <c r="F16170" s="1" t="str">
        <f>"10.107.252.194"</f>
        <v>10.107.252.194</v>
      </c>
      <c r="G16170" s="1" t="str">
        <f>"0130R891"</f>
        <v>0130R891</v>
      </c>
      <c r="H16170" s="1" t="str">
        <f>"삼원간 30R1H1"</f>
        <v>삼원간 30R1H1</v>
      </c>
      <c r="I16170" s="1" t="s">
        <v>8</v>
      </c>
      <c r="J16170" s="1" t="str">
        <f>"30/30"</f>
        <v>30/30</v>
      </c>
      <c r="K16170" s="1" t="str">
        <f t="shared" si="807"/>
        <v>2026-07-29 13:18:02</v>
      </c>
      <c r="L16170" s="1" t="str">
        <f>"2019-12-13 12:09:19"</f>
        <v>2019-12-13 12:09:19</v>
      </c>
      <c r="M16170" s="1" t="s">
        <v>45</v>
      </c>
      <c r="N16170" s="1" t="s">
        <v>38</v>
      </c>
      <c r="O16170" s="1" t="s">
        <v>46</v>
      </c>
    </row>
    <row r="16171" spans="2:15" x14ac:dyDescent="0.3">
      <c r="B16171" s="1" t="s">
        <v>19</v>
      </c>
      <c r="C16171" s="1" t="str">
        <f>"4차"</f>
        <v>4차</v>
      </c>
      <c r="D16171" s="1" t="str">
        <f>"0130R90239"</f>
        <v>0130R90239</v>
      </c>
      <c r="E16171" s="1" t="s">
        <v>14</v>
      </c>
      <c r="F16171" s="1" t="str">
        <f>"10.107.122.169"</f>
        <v>10.107.122.169</v>
      </c>
      <c r="G16171" s="1" t="str">
        <f>"0130R902"</f>
        <v>0130R902</v>
      </c>
      <c r="H16171" s="1" t="str">
        <f>"삼원간 42"</f>
        <v>삼원간 42</v>
      </c>
      <c r="I16171" s="1" t="s">
        <v>8</v>
      </c>
      <c r="J16171" s="1" t="str">
        <f>"0/0"</f>
        <v>0/0</v>
      </c>
      <c r="K16171" s="1" t="str">
        <f t="shared" si="807"/>
        <v>2026-07-29 13:18:02</v>
      </c>
      <c r="L16171" s="1" t="str">
        <f>"2018-06-16 11:47:56"</f>
        <v>2018-06-16 11:47:56</v>
      </c>
      <c r="M16171" s="1" t="s">
        <v>45</v>
      </c>
      <c r="N16171" s="1" t="s">
        <v>38</v>
      </c>
      <c r="O16171" s="1" t="s">
        <v>44</v>
      </c>
    </row>
    <row r="16172" spans="2:15" x14ac:dyDescent="0.3">
      <c r="B16172" s="1" t="s">
        <v>19</v>
      </c>
      <c r="C16172" s="1" t="str">
        <f>"3차"</f>
        <v>3차</v>
      </c>
      <c r="D16172" s="1" t="str">
        <f>"0130R90430"</f>
        <v>0130R90430</v>
      </c>
      <c r="E16172" s="1" t="s">
        <v>10</v>
      </c>
      <c r="F16172" s="1" t="str">
        <f>"10.107.6.121"</f>
        <v>10.107.6.121</v>
      </c>
      <c r="G16172" s="1" t="str">
        <f>"0130R904"</f>
        <v>0130R904</v>
      </c>
      <c r="H16172" s="1" t="str">
        <f>"수미간 14"</f>
        <v>수미간 14</v>
      </c>
      <c r="I16172" s="1" t="s">
        <v>8</v>
      </c>
      <c r="J16172" s="1" t="str">
        <f>"2/51"</f>
        <v>2/51</v>
      </c>
      <c r="K16172" s="1" t="str">
        <f>"2026-07-29 13:18:01"</f>
        <v>2026-07-29 13:18:01</v>
      </c>
      <c r="L16172" s="1" t="str">
        <f>"2018-04-04 10:27:42"</f>
        <v>2018-04-04 10:27:42</v>
      </c>
      <c r="M16172" s="1" t="s">
        <v>45</v>
      </c>
      <c r="N16172" s="1" t="s">
        <v>38</v>
      </c>
      <c r="O16172" s="1" t="s">
        <v>46</v>
      </c>
    </row>
    <row r="16173" spans="2:15" x14ac:dyDescent="0.3">
      <c r="B16173" s="1" t="s">
        <v>19</v>
      </c>
      <c r="C16173" s="1" t="str">
        <f>"4차"</f>
        <v>4차</v>
      </c>
      <c r="D16173" s="1" t="str">
        <f>"0130R97144"</f>
        <v>0130R97144</v>
      </c>
      <c r="E16173" s="1" t="s">
        <v>10</v>
      </c>
      <c r="F16173" s="1" t="str">
        <f>"10.107.251.145"</f>
        <v>10.107.251.145</v>
      </c>
      <c r="G16173" s="1" t="str">
        <f>"0130R971"</f>
        <v>0130R971</v>
      </c>
      <c r="H16173" s="1" t="str">
        <f>"수유간 62"</f>
        <v>수유간 62</v>
      </c>
      <c r="I16173" s="1" t="s">
        <v>8</v>
      </c>
      <c r="J16173" s="1" t="str">
        <f>"36/36"</f>
        <v>36/36</v>
      </c>
      <c r="K16173" s="1" t="str">
        <f>"2026-07-29 13:18:02"</f>
        <v>2026-07-29 13:18:02</v>
      </c>
      <c r="L16173" s="1" t="str">
        <f>"2019-11-20 23:03:28"</f>
        <v>2019-11-20 23:03:28</v>
      </c>
      <c r="M16173" s="1" t="s">
        <v>45</v>
      </c>
      <c r="N16173" s="1" t="s">
        <v>38</v>
      </c>
      <c r="O16173" s="1" t="s">
        <v>46</v>
      </c>
    </row>
    <row r="16174" spans="2:15" x14ac:dyDescent="0.3">
      <c r="B16174" s="1" t="s">
        <v>19</v>
      </c>
      <c r="C16174" s="1" t="str">
        <f>"5-2차"</f>
        <v>5-2차</v>
      </c>
      <c r="D16174" s="1" t="str">
        <f>"0130R9835M"</f>
        <v>0130R9835M</v>
      </c>
      <c r="E16174" s="1" t="s">
        <v>10</v>
      </c>
      <c r="F16174" s="1" t="str">
        <f>"fde3:102:1410:4300:0:0:0:7"</f>
        <v>fde3:102:1410:4300:0:0:0:7</v>
      </c>
      <c r="G16174" s="1" t="str">
        <f>"0130R983"</f>
        <v>0130R983</v>
      </c>
      <c r="H16174" s="1" t="str">
        <f>"수유간 60L1"</f>
        <v>수유간 60L1</v>
      </c>
      <c r="I16174" s="1" t="s">
        <v>15</v>
      </c>
      <c r="J16174" s="1" t="str">
        <f>"42/42"</f>
        <v>42/42</v>
      </c>
      <c r="K16174" s="1" t="str">
        <f>"2026-07-29 14:20:18"</f>
        <v>2026-07-29 14:20:18</v>
      </c>
      <c r="L16174" s="1" t="str">
        <f>"2023-08-04 12:34:53"</f>
        <v>2023-08-04 12:34:53</v>
      </c>
      <c r="M16174" s="1" t="s">
        <v>45</v>
      </c>
      <c r="N16174" s="1" t="s">
        <v>38</v>
      </c>
      <c r="O16174" s="1" t="s">
        <v>46</v>
      </c>
    </row>
    <row r="16175" spans="2:15" x14ac:dyDescent="0.3">
      <c r="B16175" s="1" t="s">
        <v>19</v>
      </c>
      <c r="C16175" s="1" t="str">
        <f>"3차"</f>
        <v>3차</v>
      </c>
      <c r="D16175" s="1" t="str">
        <f>"0130S01139"</f>
        <v>0130S01139</v>
      </c>
      <c r="E16175" s="1" t="s">
        <v>10</v>
      </c>
      <c r="F16175" s="1" t="str">
        <f>"10.107.129.232"</f>
        <v>10.107.129.232</v>
      </c>
      <c r="G16175" s="1" t="str">
        <f>"0130S011"</f>
        <v>0130S011</v>
      </c>
      <c r="H16175" s="1" t="str">
        <f>"수미간 11"</f>
        <v>수미간 11</v>
      </c>
      <c r="I16175" s="1" t="s">
        <v>8</v>
      </c>
      <c r="J16175" s="1" t="str">
        <f>"14/14"</f>
        <v>14/14</v>
      </c>
      <c r="K16175" s="1" t="str">
        <f>"2026-07-29 13:18:01"</f>
        <v>2026-07-29 13:18:01</v>
      </c>
      <c r="L16175" s="1" t="str">
        <f>"2018-07-06 18:43:37"</f>
        <v>2018-07-06 18:43:37</v>
      </c>
      <c r="M16175" s="1" t="s">
        <v>45</v>
      </c>
      <c r="N16175" s="1" t="s">
        <v>38</v>
      </c>
      <c r="O16175" s="1" t="s">
        <v>46</v>
      </c>
    </row>
    <row r="16176" spans="2:15" x14ac:dyDescent="0.3">
      <c r="B16176" s="1" t="s">
        <v>19</v>
      </c>
      <c r="C16176" s="1" t="str">
        <f>"4차"</f>
        <v>4차</v>
      </c>
      <c r="D16176" s="1" t="str">
        <f>"0130S02244"</f>
        <v>0130S02244</v>
      </c>
      <c r="E16176" s="1" t="s">
        <v>10</v>
      </c>
      <c r="F16176" s="1" t="str">
        <f>"10.107.15.53"</f>
        <v>10.107.15.53</v>
      </c>
      <c r="G16176" s="1" t="str">
        <f>"0130S022"</f>
        <v>0130S022</v>
      </c>
      <c r="H16176" s="1" t="str">
        <f>"수유간 71L2"</f>
        <v>수유간 71L2</v>
      </c>
      <c r="I16176" s="1" t="s">
        <v>8</v>
      </c>
      <c r="J16176" s="1" t="str">
        <f>"59/59"</f>
        <v>59/59</v>
      </c>
      <c r="K16176" s="1" t="str">
        <f>"2026-07-29 13:18:01"</f>
        <v>2026-07-29 13:18:01</v>
      </c>
      <c r="L16176" s="1" t="str">
        <f>"2019-12-13 12:09:18"</f>
        <v>2019-12-13 12:09:18</v>
      </c>
      <c r="M16176" s="1" t="s">
        <v>45</v>
      </c>
      <c r="N16176" s="1" t="s">
        <v>38</v>
      </c>
      <c r="O16176" s="1" t="s">
        <v>46</v>
      </c>
    </row>
    <row r="16177" spans="2:15" x14ac:dyDescent="0.3">
      <c r="B16177" s="1" t="s">
        <v>19</v>
      </c>
      <c r="C16177" s="1" t="str">
        <f>"4차"</f>
        <v>4차</v>
      </c>
      <c r="D16177" s="1" t="str">
        <f>"0130S04244"</f>
        <v>0130S04244</v>
      </c>
      <c r="E16177" s="1" t="s">
        <v>10</v>
      </c>
      <c r="F16177" s="1" t="str">
        <f>"10.107.251.146"</f>
        <v>10.107.251.146</v>
      </c>
      <c r="G16177" s="1" t="str">
        <f>"0130S042"</f>
        <v>0130S042</v>
      </c>
      <c r="H16177" s="1" t="str">
        <f>"수유간 86L12R1"</f>
        <v>수유간 86L12R1</v>
      </c>
      <c r="I16177" s="1" t="s">
        <v>8</v>
      </c>
      <c r="J16177" s="1" t="str">
        <f>"52/52"</f>
        <v>52/52</v>
      </c>
      <c r="K16177" s="1" t="str">
        <f>"2026-07-29 13:18:01"</f>
        <v>2026-07-29 13:18:01</v>
      </c>
      <c r="L16177" s="1" t="str">
        <f>"2019-12-13 12:09:18"</f>
        <v>2019-12-13 12:09:18</v>
      </c>
      <c r="M16177" s="1" t="s">
        <v>45</v>
      </c>
      <c r="N16177" s="1" t="s">
        <v>38</v>
      </c>
      <c r="O16177" s="1" t="s">
        <v>46</v>
      </c>
    </row>
    <row r="16178" spans="2:15" x14ac:dyDescent="0.3">
      <c r="B16178" s="1" t="s">
        <v>19</v>
      </c>
      <c r="C16178" s="1" t="str">
        <f>"5-2차"</f>
        <v>5-2차</v>
      </c>
      <c r="D16178" s="1" t="str">
        <f>"0130S0515M"</f>
        <v>0130S0515M</v>
      </c>
      <c r="E16178" s="1" t="s">
        <v>10</v>
      </c>
      <c r="F16178" s="1" t="str">
        <f>"fde3:102:1410:4300:0:0:0:6"</f>
        <v>fde3:102:1410:4300:0:0:0:6</v>
      </c>
      <c r="G16178" s="1" t="str">
        <f>"0130S051"</f>
        <v>0130S051</v>
      </c>
      <c r="H16178" s="1" t="str">
        <f>"수유간 86L12R3"</f>
        <v>수유간 86L12R3</v>
      </c>
      <c r="I16178" s="1" t="s">
        <v>15</v>
      </c>
      <c r="J16178" s="1" t="str">
        <f>"52/52"</f>
        <v>52/52</v>
      </c>
      <c r="K16178" s="1" t="str">
        <f>"2026-07-29 14:20:26"</f>
        <v>2026-07-29 14:20:26</v>
      </c>
      <c r="L16178" s="1" t="str">
        <f>"2023-08-04 12:14:00"</f>
        <v>2023-08-04 12:14:00</v>
      </c>
      <c r="M16178" s="1" t="s">
        <v>45</v>
      </c>
      <c r="N16178" s="1" t="s">
        <v>38</v>
      </c>
      <c r="O16178" s="1" t="s">
        <v>46</v>
      </c>
    </row>
    <row r="16179" spans="2:15" x14ac:dyDescent="0.3">
      <c r="B16179" s="1" t="s">
        <v>19</v>
      </c>
      <c r="C16179" s="1" t="str">
        <f>"5-1차"</f>
        <v>5-1차</v>
      </c>
      <c r="D16179" s="1" t="str">
        <f>"0130S0615S"</f>
        <v>0130S0615S</v>
      </c>
      <c r="E16179" s="1" t="s">
        <v>10</v>
      </c>
      <c r="F16179" s="1" t="str">
        <f>"fde3:102:1410:4300:0:0:0:2"</f>
        <v>fde3:102:1410:4300:0:0:0:2</v>
      </c>
      <c r="G16179" s="1" t="str">
        <f>"0130S061"</f>
        <v>0130S061</v>
      </c>
      <c r="H16179" s="1" t="str">
        <f>"수유간 86L12R5"</f>
        <v>수유간 86L12R5</v>
      </c>
      <c r="I16179" s="1" t="s">
        <v>15</v>
      </c>
      <c r="J16179" s="1" t="str">
        <f>"53/53"</f>
        <v>53/53</v>
      </c>
      <c r="K16179" s="1" t="str">
        <f>"2026-07-29 14:21:02"</f>
        <v>2026-07-29 14:21:02</v>
      </c>
      <c r="L16179" s="1" t="str">
        <f>"2022-09-26 15:47:24"</f>
        <v>2022-09-26 15:47:24</v>
      </c>
      <c r="M16179" s="1" t="s">
        <v>45</v>
      </c>
      <c r="N16179" s="1" t="s">
        <v>38</v>
      </c>
      <c r="O16179" s="1" t="s">
        <v>46</v>
      </c>
    </row>
    <row r="16180" spans="2:15" x14ac:dyDescent="0.3">
      <c r="B16180" s="1" t="s">
        <v>19</v>
      </c>
      <c r="C16180" s="1" t="str">
        <f>"5-2차"</f>
        <v>5-2차</v>
      </c>
      <c r="D16180" s="1" t="str">
        <f>"0130S1225M"</f>
        <v>0130S1225M</v>
      </c>
      <c r="E16180" s="1" t="s">
        <v>10</v>
      </c>
      <c r="F16180" s="1" t="str">
        <f>"fde3:102:1410:4300:0:0:0:19"</f>
        <v>fde3:102:1410:4300:0:0:0:19</v>
      </c>
      <c r="G16180" s="1" t="str">
        <f>"0130S122"</f>
        <v>0130S122</v>
      </c>
      <c r="H16180" s="1" t="str">
        <f>"수유간 71"</f>
        <v>수유간 71</v>
      </c>
      <c r="I16180" s="1" t="s">
        <v>15</v>
      </c>
      <c r="J16180" s="1" t="str">
        <f>"52/53"</f>
        <v>52/53</v>
      </c>
      <c r="K16180" s="1" t="str">
        <f>"2026-07-29 14:20:20"</f>
        <v>2026-07-29 14:20:20</v>
      </c>
      <c r="L16180" s="1" t="str">
        <f>"2023-12-08 15:49:14"</f>
        <v>2023-12-08 15:49:14</v>
      </c>
      <c r="M16180" s="1" t="s">
        <v>45</v>
      </c>
      <c r="N16180" s="1" t="s">
        <v>38</v>
      </c>
      <c r="O16180" s="1" t="s">
        <v>46</v>
      </c>
    </row>
    <row r="16181" spans="2:15" x14ac:dyDescent="0.3">
      <c r="B16181" s="1" t="s">
        <v>19</v>
      </c>
      <c r="C16181" s="1" t="str">
        <f>"4차"</f>
        <v>4차</v>
      </c>
      <c r="D16181" s="1" t="str">
        <f>"0130S13144"</f>
        <v>0130S13144</v>
      </c>
      <c r="E16181" s="1" t="s">
        <v>10</v>
      </c>
      <c r="F16181" s="1" t="str">
        <f>"10.107.251.103"</f>
        <v>10.107.251.103</v>
      </c>
      <c r="G16181" s="1" t="str">
        <f>"0130S131"</f>
        <v>0130S131</v>
      </c>
      <c r="H16181" s="1" t="str">
        <f>"수유간 86L11"</f>
        <v>수유간 86L11</v>
      </c>
      <c r="I16181" s="1" t="s">
        <v>8</v>
      </c>
      <c r="J16181" s="1" t="str">
        <f>"3/5"</f>
        <v>3/5</v>
      </c>
      <c r="K16181" s="1" t="str">
        <f>"2026-07-29 13:18:01"</f>
        <v>2026-07-29 13:18:01</v>
      </c>
      <c r="L16181" s="1" t="str">
        <f>"2020-01-16 11:40:31"</f>
        <v>2020-01-16 11:40:31</v>
      </c>
      <c r="M16181" s="1" t="s">
        <v>45</v>
      </c>
      <c r="N16181" s="1" t="s">
        <v>38</v>
      </c>
      <c r="O16181" s="1" t="s">
        <v>46</v>
      </c>
    </row>
    <row r="16182" spans="2:15" x14ac:dyDescent="0.3">
      <c r="B16182" s="1" t="s">
        <v>19</v>
      </c>
      <c r="C16182" s="1" t="str">
        <f>"5-2차"</f>
        <v>5-2차</v>
      </c>
      <c r="D16182" s="1" t="str">
        <f>"0130S1435M"</f>
        <v>0130S1435M</v>
      </c>
      <c r="E16182" s="1" t="s">
        <v>10</v>
      </c>
      <c r="F16182" s="1" t="str">
        <f>"fde3:102:1410:4100:0:0:0:10"</f>
        <v>fde3:102:1410:4100:0:0:0:10</v>
      </c>
      <c r="G16182" s="1" t="str">
        <f>"0130S143"</f>
        <v>0130S143</v>
      </c>
      <c r="H16182" s="1" t="str">
        <f>"수유간 86L10"</f>
        <v>수유간 86L10</v>
      </c>
      <c r="I16182" s="1" t="s">
        <v>15</v>
      </c>
      <c r="J16182" s="1" t="str">
        <f>"48/48"</f>
        <v>48/48</v>
      </c>
      <c r="K16182" s="1" t="str">
        <f>"2026-07-29 14:20:20"</f>
        <v>2026-07-29 14:20:20</v>
      </c>
      <c r="L16182" s="1" t="str">
        <f>"2023-12-13 14:28:41"</f>
        <v>2023-12-13 14:28:41</v>
      </c>
      <c r="M16182" s="1" t="s">
        <v>45</v>
      </c>
      <c r="N16182" s="1" t="s">
        <v>38</v>
      </c>
      <c r="O16182" s="1" t="s">
        <v>46</v>
      </c>
    </row>
    <row r="16183" spans="2:15" x14ac:dyDescent="0.3">
      <c r="B16183" s="1" t="s">
        <v>19</v>
      </c>
      <c r="C16183" s="1" t="str">
        <f>"5-2차"</f>
        <v>5-2차</v>
      </c>
      <c r="D16183" s="1" t="str">
        <f>"0130S1615M"</f>
        <v>0130S1615M</v>
      </c>
      <c r="E16183" s="1" t="s">
        <v>10</v>
      </c>
      <c r="F16183" s="1" t="str">
        <f>"fde3:102:1410:4300:0:0:0:9"</f>
        <v>fde3:102:1410:4300:0:0:0:9</v>
      </c>
      <c r="G16183" s="1" t="str">
        <f>"0130S161"</f>
        <v>0130S161</v>
      </c>
      <c r="H16183" s="1" t="str">
        <f>"수유간 60L4"</f>
        <v>수유간 60L4</v>
      </c>
      <c r="I16183" s="1" t="s">
        <v>15</v>
      </c>
      <c r="J16183" s="1" t="str">
        <f>"26/26"</f>
        <v>26/26</v>
      </c>
      <c r="K16183" s="1" t="str">
        <f>"2026-07-29 14:21:01"</f>
        <v>2026-07-29 14:21:01</v>
      </c>
      <c r="L16183" s="1" t="str">
        <f>"2023-08-04 12:20:55"</f>
        <v>2023-08-04 12:20:55</v>
      </c>
      <c r="M16183" s="1" t="s">
        <v>45</v>
      </c>
      <c r="N16183" s="1" t="s">
        <v>38</v>
      </c>
      <c r="O16183" s="1" t="s">
        <v>46</v>
      </c>
    </row>
    <row r="16184" spans="2:15" x14ac:dyDescent="0.3">
      <c r="B16184" s="1" t="s">
        <v>19</v>
      </c>
      <c r="C16184" s="1" t="str">
        <f>"5-2차"</f>
        <v>5-2차</v>
      </c>
      <c r="D16184" s="1" t="str">
        <f>"0130S1645M"</f>
        <v>0130S1645M</v>
      </c>
      <c r="E16184" s="1" t="s">
        <v>10</v>
      </c>
      <c r="F16184" s="1" t="str">
        <f>"fde3:102:1410:4300:0:0:0:8"</f>
        <v>fde3:102:1410:4300:0:0:0:8</v>
      </c>
      <c r="G16184" s="1" t="str">
        <f>"0130S164"</f>
        <v>0130S164</v>
      </c>
      <c r="H16184" s="1" t="str">
        <f>"수유간 60L3"</f>
        <v>수유간 60L3</v>
      </c>
      <c r="I16184" s="1" t="s">
        <v>15</v>
      </c>
      <c r="J16184" s="1" t="str">
        <f>"44/44"</f>
        <v>44/44</v>
      </c>
      <c r="K16184" s="1" t="str">
        <f>"2026-07-29 14:20:28"</f>
        <v>2026-07-29 14:20:28</v>
      </c>
      <c r="L16184" s="1" t="str">
        <f>"2023-08-04 12:27:50"</f>
        <v>2023-08-04 12:27:50</v>
      </c>
      <c r="M16184" s="1" t="s">
        <v>45</v>
      </c>
      <c r="N16184" s="1" t="s">
        <v>38</v>
      </c>
      <c r="O16184" s="1" t="s">
        <v>46</v>
      </c>
    </row>
    <row r="16185" spans="2:15" x14ac:dyDescent="0.3">
      <c r="B16185" s="1" t="s">
        <v>19</v>
      </c>
      <c r="C16185" s="1" t="str">
        <f>"5-2차"</f>
        <v>5-2차</v>
      </c>
      <c r="D16185" s="1" t="str">
        <f>"0130S1815S"</f>
        <v>0130S1815S</v>
      </c>
      <c r="E16185" s="1" t="s">
        <v>10</v>
      </c>
      <c r="F16185" s="1" t="str">
        <f>"fde3:102:1410:4300:0:0:0:a"</f>
        <v>fde3:102:1410:4300:0:0:0:a</v>
      </c>
      <c r="G16185" s="1" t="str">
        <f>"0130S181"</f>
        <v>0130S181</v>
      </c>
      <c r="H16185" s="1" t="str">
        <f>"수유간 60L3L2L1"</f>
        <v>수유간 60L3L2L1</v>
      </c>
      <c r="I16185" s="1" t="s">
        <v>15</v>
      </c>
      <c r="J16185" s="1" t="str">
        <f>"41/41"</f>
        <v>41/41</v>
      </c>
      <c r="K16185" s="1" t="str">
        <f>"2026-07-29 14:20:21"</f>
        <v>2026-07-29 14:20:21</v>
      </c>
      <c r="L16185" s="1" t="str">
        <f>"2023-08-04 12:45:02"</f>
        <v>2023-08-04 12:45:02</v>
      </c>
      <c r="M16185" s="1" t="s">
        <v>45</v>
      </c>
      <c r="N16185" s="1" t="s">
        <v>38</v>
      </c>
      <c r="O16185" s="1" t="s">
        <v>46</v>
      </c>
    </row>
    <row r="16186" spans="2:15" x14ac:dyDescent="0.3">
      <c r="B16186" s="1" t="s">
        <v>19</v>
      </c>
      <c r="C16186" s="1" t="str">
        <f>"6차"</f>
        <v>6차</v>
      </c>
      <c r="D16186" s="1" t="str">
        <f>"0130S1826S"</f>
        <v>0130S1826S</v>
      </c>
      <c r="E16186" s="1" t="s">
        <v>10</v>
      </c>
      <c r="F16186" s="1" t="str">
        <f>"fde3:102:1410:4300:0:0:0:1a"</f>
        <v>fde3:102:1410:4300:0:0:0:1a</v>
      </c>
      <c r="G16186" s="1" t="str">
        <f>"0130S182"</f>
        <v>0130S182</v>
      </c>
      <c r="H16186" s="1" t="str">
        <f>"수유간 60L3L2L2"</f>
        <v>수유간 60L3L2L2</v>
      </c>
      <c r="I16186" s="1" t="s">
        <v>15</v>
      </c>
      <c r="J16186" s="1" t="str">
        <f>"189/191"</f>
        <v>189/191</v>
      </c>
      <c r="K16186" s="1" t="str">
        <f>"2026-07-29 14:21:01"</f>
        <v>2026-07-29 14:21:01</v>
      </c>
      <c r="L16186" s="1" t="str">
        <f>"2024-10-11 10:47:02"</f>
        <v>2024-10-11 10:47:02</v>
      </c>
      <c r="M16186" s="1" t="s">
        <v>45</v>
      </c>
      <c r="N16186" s="1" t="s">
        <v>38</v>
      </c>
      <c r="O16186" s="1" t="s">
        <v>46</v>
      </c>
    </row>
    <row r="16187" spans="2:15" x14ac:dyDescent="0.3">
      <c r="B16187" s="1" t="s">
        <v>19</v>
      </c>
      <c r="C16187" s="1" t="str">
        <f>"4차"</f>
        <v>4차</v>
      </c>
      <c r="D16187" s="1" t="str">
        <f>"0130S19144"</f>
        <v>0130S19144</v>
      </c>
      <c r="E16187" s="1" t="s">
        <v>10</v>
      </c>
      <c r="F16187" s="1" t="str">
        <f>"10.107.251.148"</f>
        <v>10.107.251.148</v>
      </c>
      <c r="G16187" s="1" t="str">
        <f>"0130S191"</f>
        <v>0130S191</v>
      </c>
      <c r="H16187" s="1" t="str">
        <f>"수유간 60L3L2L3"</f>
        <v>수유간 60L3L2L3</v>
      </c>
      <c r="I16187" s="1" t="s">
        <v>8</v>
      </c>
      <c r="J16187" s="1" t="str">
        <f>"108/108"</f>
        <v>108/108</v>
      </c>
      <c r="K16187" s="1" t="str">
        <f>"2026-07-29 13:18:01"</f>
        <v>2026-07-29 13:18:01</v>
      </c>
      <c r="L16187" s="1" t="str">
        <f>"2023-05-04 17:47:11"</f>
        <v>2023-05-04 17:47:11</v>
      </c>
      <c r="M16187" s="1" t="s">
        <v>45</v>
      </c>
      <c r="N16187" s="1" t="s">
        <v>38</v>
      </c>
      <c r="O16187" s="1" t="s">
        <v>46</v>
      </c>
    </row>
    <row r="16188" spans="2:15" x14ac:dyDescent="0.3">
      <c r="B16188" s="1" t="s">
        <v>19</v>
      </c>
      <c r="C16188" s="1" t="str">
        <f>"3차"</f>
        <v>3차</v>
      </c>
      <c r="D16188" s="1" t="str">
        <f>"0130S20139"</f>
        <v>0130S20139</v>
      </c>
      <c r="E16188" s="1" t="s">
        <v>10</v>
      </c>
      <c r="F16188" s="1" t="str">
        <f>"10.107.6.97"</f>
        <v>10.107.6.97</v>
      </c>
      <c r="G16188" s="1" t="str">
        <f>"0130S201"</f>
        <v>0130S201</v>
      </c>
      <c r="H16188" s="1" t="str">
        <f>"수미간 18L5L1"</f>
        <v>수미간 18L5L1</v>
      </c>
      <c r="I16188" s="1" t="s">
        <v>8</v>
      </c>
      <c r="J16188" s="1" t="str">
        <f>"41/41"</f>
        <v>41/41</v>
      </c>
      <c r="K16188" s="1" t="str">
        <f>"2026-07-29 13:18:01"</f>
        <v>2026-07-29 13:18:01</v>
      </c>
      <c r="L16188" s="1" t="str">
        <f>"2018-03-23 14:32:50"</f>
        <v>2018-03-23 14:32:50</v>
      </c>
      <c r="M16188" s="1" t="s">
        <v>45</v>
      </c>
      <c r="N16188" s="1" t="s">
        <v>38</v>
      </c>
      <c r="O16188" s="1" t="s">
        <v>46</v>
      </c>
    </row>
    <row r="16189" spans="2:15" x14ac:dyDescent="0.3">
      <c r="B16189" s="1" t="s">
        <v>19</v>
      </c>
      <c r="C16189" s="1" t="str">
        <f t="shared" ref="C16189:C16201" si="808">"5-2차"</f>
        <v>5-2차</v>
      </c>
      <c r="D16189" s="1" t="str">
        <f>"0130S2325M"</f>
        <v>0130S2325M</v>
      </c>
      <c r="E16189" s="1" t="s">
        <v>10</v>
      </c>
      <c r="F16189" s="1" t="str">
        <f>"fde3:102:1410:4100:0:0:0:b"</f>
        <v>fde3:102:1410:4100:0:0:0:b</v>
      </c>
      <c r="G16189" s="1" t="str">
        <f>"0130S232"</f>
        <v>0130S232</v>
      </c>
      <c r="H16189" s="1" t="str">
        <f>"수유간 86L9L3"</f>
        <v>수유간 86L9L3</v>
      </c>
      <c r="I16189" s="1" t="s">
        <v>15</v>
      </c>
      <c r="J16189" s="1" t="str">
        <f>"32/32"</f>
        <v>32/32</v>
      </c>
      <c r="K16189" s="1" t="str">
        <f>"2026-07-29 14:21:12"</f>
        <v>2026-07-29 14:21:12</v>
      </c>
      <c r="L16189" s="1" t="str">
        <f>"2023-08-04 12:05:34"</f>
        <v>2023-08-04 12:05:34</v>
      </c>
      <c r="M16189" s="1" t="s">
        <v>45</v>
      </c>
      <c r="N16189" s="1" t="s">
        <v>38</v>
      </c>
      <c r="O16189" s="1" t="s">
        <v>46</v>
      </c>
    </row>
    <row r="16190" spans="2:15" x14ac:dyDescent="0.3">
      <c r="B16190" s="1" t="s">
        <v>19</v>
      </c>
      <c r="C16190" s="1" t="str">
        <f t="shared" si="808"/>
        <v>5-2차</v>
      </c>
      <c r="D16190" s="1" t="str">
        <f>"0130S3015M"</f>
        <v>0130S3015M</v>
      </c>
      <c r="E16190" s="1" t="s">
        <v>10</v>
      </c>
      <c r="F16190" s="1" t="str">
        <f>"fde1:103:4:9150:0:0:0:2"</f>
        <v>fde1:103:4:9150:0:0:0:2</v>
      </c>
      <c r="G16190" s="1" t="str">
        <f>"0130S301"</f>
        <v>0130S301</v>
      </c>
      <c r="H16190" s="1" t="str">
        <f>"수미간 18L8L1"</f>
        <v>수미간 18L8L1</v>
      </c>
      <c r="I16190" s="1" t="s">
        <v>15</v>
      </c>
      <c r="J16190" s="1" t="str">
        <f>"57/61"</f>
        <v>57/61</v>
      </c>
      <c r="K16190" s="1" t="str">
        <f>"2026-07-29 14:20:08"</f>
        <v>2026-07-29 14:20:08</v>
      </c>
      <c r="L16190" s="1" t="str">
        <f>"2024-01-12 09:48:56"</f>
        <v>2024-01-12 09:48:56</v>
      </c>
      <c r="M16190" s="1" t="s">
        <v>4</v>
      </c>
      <c r="N16190" s="1" t="s">
        <v>38</v>
      </c>
      <c r="O16190" s="1" t="s">
        <v>46</v>
      </c>
    </row>
    <row r="16191" spans="2:15" x14ac:dyDescent="0.3">
      <c r="B16191" s="1" t="s">
        <v>19</v>
      </c>
      <c r="C16191" s="1" t="str">
        <f t="shared" si="808"/>
        <v>5-2차</v>
      </c>
      <c r="D16191" s="1" t="str">
        <f>"0130S3425M"</f>
        <v>0130S3425M</v>
      </c>
      <c r="E16191" s="1" t="s">
        <v>10</v>
      </c>
      <c r="F16191" s="1" t="str">
        <f>"fde1:103:4:930b:0:0:0:2"</f>
        <v>fde1:103:4:930b:0:0:0:2</v>
      </c>
      <c r="G16191" s="1" t="str">
        <f>"0130S342"</f>
        <v>0130S342</v>
      </c>
      <c r="H16191" s="1" t="str">
        <f>"수유간 75L5L3L2"</f>
        <v>수유간 75L5L3L2</v>
      </c>
      <c r="I16191" s="1" t="s">
        <v>15</v>
      </c>
      <c r="J16191" s="1" t="str">
        <f>"20/20"</f>
        <v>20/20</v>
      </c>
      <c r="K16191" s="1" t="str">
        <f>"2026-07-29 14:21:03"</f>
        <v>2026-07-29 14:21:03</v>
      </c>
      <c r="L16191" s="1" t="str">
        <f>"2023-12-18 09:46:56"</f>
        <v>2023-12-18 09:46:56</v>
      </c>
      <c r="M16191" s="1" t="s">
        <v>4</v>
      </c>
      <c r="N16191" s="1" t="s">
        <v>38</v>
      </c>
      <c r="O16191" s="1" t="s">
        <v>46</v>
      </c>
    </row>
    <row r="16192" spans="2:15" x14ac:dyDescent="0.3">
      <c r="B16192" s="1" t="s">
        <v>19</v>
      </c>
      <c r="C16192" s="1" t="str">
        <f t="shared" si="808"/>
        <v>5-2차</v>
      </c>
      <c r="D16192" s="1" t="str">
        <f>"0130S3515S"</f>
        <v>0130S3515S</v>
      </c>
      <c r="E16192" s="1" t="s">
        <v>10</v>
      </c>
      <c r="F16192" s="1" t="str">
        <f>"fde3:102:1410:4300:0:0:0:f"</f>
        <v>fde3:102:1410:4300:0:0:0:f</v>
      </c>
      <c r="G16192" s="1" t="str">
        <f>"0130S351"</f>
        <v>0130S351</v>
      </c>
      <c r="H16192" s="1" t="str">
        <f>"수유간 60L3L4R4"</f>
        <v>수유간 60L3L4R4</v>
      </c>
      <c r="I16192" s="1" t="s">
        <v>15</v>
      </c>
      <c r="J16192" s="1" t="str">
        <f>"54/54"</f>
        <v>54/54</v>
      </c>
      <c r="K16192" s="1" t="str">
        <f>"2026-07-29 14:21:02"</f>
        <v>2026-07-29 14:21:02</v>
      </c>
      <c r="L16192" s="1" t="str">
        <f>"2023-08-04 13:05:56"</f>
        <v>2023-08-04 13:05:56</v>
      </c>
      <c r="M16192" s="1" t="s">
        <v>45</v>
      </c>
      <c r="N16192" s="1" t="s">
        <v>38</v>
      </c>
      <c r="O16192" s="1" t="s">
        <v>46</v>
      </c>
    </row>
    <row r="16193" spans="2:15" x14ac:dyDescent="0.3">
      <c r="B16193" s="1" t="s">
        <v>19</v>
      </c>
      <c r="C16193" s="1" t="str">
        <f t="shared" si="808"/>
        <v>5-2차</v>
      </c>
      <c r="D16193" s="1" t="str">
        <f>"0130S3635S"</f>
        <v>0130S3635S</v>
      </c>
      <c r="E16193" s="1" t="s">
        <v>10</v>
      </c>
      <c r="F16193" s="1" t="str">
        <f>"fde3:102:1410:4300:0:0:0:e"</f>
        <v>fde3:102:1410:4300:0:0:0:e</v>
      </c>
      <c r="G16193" s="1" t="str">
        <f>"0130S363"</f>
        <v>0130S363</v>
      </c>
      <c r="H16193" s="1" t="str">
        <f>"수유간 60L3L4R3"</f>
        <v>수유간 60L3L4R3</v>
      </c>
      <c r="I16193" s="1" t="s">
        <v>15</v>
      </c>
      <c r="J16193" s="1" t="str">
        <f>"61/61"</f>
        <v>61/61</v>
      </c>
      <c r="K16193" s="1" t="str">
        <f>"2026-07-29 14:21:02"</f>
        <v>2026-07-29 14:21:02</v>
      </c>
      <c r="L16193" s="1" t="str">
        <f>"2023-08-04 12:59:50"</f>
        <v>2023-08-04 12:59:50</v>
      </c>
      <c r="M16193" s="1" t="s">
        <v>45</v>
      </c>
      <c r="N16193" s="1" t="s">
        <v>38</v>
      </c>
      <c r="O16193" s="1" t="s">
        <v>46</v>
      </c>
    </row>
    <row r="16194" spans="2:15" x14ac:dyDescent="0.3">
      <c r="B16194" s="1" t="s">
        <v>19</v>
      </c>
      <c r="C16194" s="1" t="str">
        <f t="shared" si="808"/>
        <v>5-2차</v>
      </c>
      <c r="D16194" s="1" t="str">
        <f>"0130S3735S"</f>
        <v>0130S3735S</v>
      </c>
      <c r="E16194" s="1" t="s">
        <v>10</v>
      </c>
      <c r="F16194" s="1" t="str">
        <f>"fde3:102:1410:4300:0:0:0:d"</f>
        <v>fde3:102:1410:4300:0:0:0:d</v>
      </c>
      <c r="G16194" s="1" t="str">
        <f>"0130S373"</f>
        <v>0130S373</v>
      </c>
      <c r="H16194" s="1" t="str">
        <f>"수유간 60L3L4R1"</f>
        <v>수유간 60L3L4R1</v>
      </c>
      <c r="I16194" s="1" t="s">
        <v>15</v>
      </c>
      <c r="J16194" s="1" t="str">
        <f>"52/52"</f>
        <v>52/52</v>
      </c>
      <c r="K16194" s="1" t="str">
        <f>"2026-07-29 08:20:08"</f>
        <v>2026-07-29 08:20:08</v>
      </c>
      <c r="L16194" s="1" t="str">
        <f>"2023-08-04 12:50:44"</f>
        <v>2023-08-04 12:50:44</v>
      </c>
      <c r="M16194" s="1" t="s">
        <v>45</v>
      </c>
      <c r="N16194" s="1" t="s">
        <v>38</v>
      </c>
      <c r="O16194" s="1" t="s">
        <v>46</v>
      </c>
    </row>
    <row r="16195" spans="2:15" x14ac:dyDescent="0.3">
      <c r="B16195" s="1" t="s">
        <v>19</v>
      </c>
      <c r="C16195" s="1" t="str">
        <f t="shared" si="808"/>
        <v>5-2차</v>
      </c>
      <c r="D16195" s="1" t="str">
        <f>"0130S3765M"</f>
        <v>0130S3765M</v>
      </c>
      <c r="E16195" s="1" t="s">
        <v>10</v>
      </c>
      <c r="F16195" s="1" t="str">
        <f>"fde3:102:1410:4300:0:0:0:11"</f>
        <v>fde3:102:1410:4300:0:0:0:11</v>
      </c>
      <c r="G16195" s="1" t="str">
        <f>"0130S376"</f>
        <v>0130S376</v>
      </c>
      <c r="H16195" s="1" t="str">
        <f>"수유간 60L3L5"</f>
        <v>수유간 60L3L5</v>
      </c>
      <c r="I16195" s="1" t="s">
        <v>15</v>
      </c>
      <c r="J16195" s="1" t="str">
        <f>"96/96"</f>
        <v>96/96</v>
      </c>
      <c r="K16195" s="1" t="str">
        <f>"2026-07-29 14:20:33"</f>
        <v>2026-07-29 14:20:33</v>
      </c>
      <c r="L16195" s="1" t="str">
        <f>"2023-08-04 13:21:43"</f>
        <v>2023-08-04 13:21:43</v>
      </c>
      <c r="M16195" s="1" t="s">
        <v>45</v>
      </c>
      <c r="N16195" s="1" t="s">
        <v>38</v>
      </c>
      <c r="O16195" s="1" t="s">
        <v>46</v>
      </c>
    </row>
    <row r="16196" spans="2:15" x14ac:dyDescent="0.3">
      <c r="B16196" s="1" t="s">
        <v>19</v>
      </c>
      <c r="C16196" s="1" t="str">
        <f t="shared" si="808"/>
        <v>5-2차</v>
      </c>
      <c r="D16196" s="1" t="str">
        <f>"0130S3815M"</f>
        <v>0130S3815M</v>
      </c>
      <c r="E16196" s="1" t="s">
        <v>10</v>
      </c>
      <c r="F16196" s="1" t="str">
        <f>"fde3:102:1410:4300:0:0:0:12"</f>
        <v>fde3:102:1410:4300:0:0:0:12</v>
      </c>
      <c r="G16196" s="1" t="str">
        <f>"0130S381"</f>
        <v>0130S381</v>
      </c>
      <c r="H16196" s="1" t="str">
        <f>"수유간 60L3L6"</f>
        <v>수유간 60L3L6</v>
      </c>
      <c r="I16196" s="1" t="s">
        <v>15</v>
      </c>
      <c r="J16196" s="1" t="str">
        <f>"58/58"</f>
        <v>58/58</v>
      </c>
      <c r="K16196" s="1" t="str">
        <f>"2026-07-29 14:20:45"</f>
        <v>2026-07-29 14:20:45</v>
      </c>
      <c r="L16196" s="1" t="str">
        <f>"2023-08-04 13:27:43"</f>
        <v>2023-08-04 13:27:43</v>
      </c>
      <c r="M16196" s="1" t="s">
        <v>45</v>
      </c>
      <c r="N16196" s="1" t="s">
        <v>38</v>
      </c>
      <c r="O16196" s="1" t="s">
        <v>46</v>
      </c>
    </row>
    <row r="16197" spans="2:15" x14ac:dyDescent="0.3">
      <c r="B16197" s="1" t="s">
        <v>19</v>
      </c>
      <c r="C16197" s="1" t="str">
        <f t="shared" si="808"/>
        <v>5-2차</v>
      </c>
      <c r="D16197" s="1" t="str">
        <f>"0130S4015M"</f>
        <v>0130S4015M</v>
      </c>
      <c r="E16197" s="1" t="s">
        <v>10</v>
      </c>
      <c r="F16197" s="1" t="str">
        <f>"fde1:103:4:9128:0:0:0:2"</f>
        <v>fde1:103:4:9128:0:0:0:2</v>
      </c>
      <c r="G16197" s="1" t="str">
        <f>"0130S401"</f>
        <v>0130S401</v>
      </c>
      <c r="H16197" s="1" t="str">
        <f>"수미간 18L11L4"</f>
        <v>수미간 18L11L4</v>
      </c>
      <c r="I16197" s="1" t="s">
        <v>15</v>
      </c>
      <c r="J16197" s="1" t="str">
        <f>"52/56"</f>
        <v>52/56</v>
      </c>
      <c r="K16197" s="1" t="str">
        <f>"2026-07-29 14:21:03"</f>
        <v>2026-07-29 14:21:03</v>
      </c>
      <c r="L16197" s="1" t="str">
        <f>"2024-01-12 09:49:39"</f>
        <v>2024-01-12 09:49:39</v>
      </c>
      <c r="M16197" s="1" t="s">
        <v>4</v>
      </c>
      <c r="N16197" s="1" t="s">
        <v>38</v>
      </c>
      <c r="O16197" s="1" t="s">
        <v>46</v>
      </c>
    </row>
    <row r="16198" spans="2:15" x14ac:dyDescent="0.3">
      <c r="B16198" s="1" t="s">
        <v>19</v>
      </c>
      <c r="C16198" s="1" t="str">
        <f t="shared" si="808"/>
        <v>5-2차</v>
      </c>
      <c r="D16198" s="1" t="str">
        <f>"0130S4115M"</f>
        <v>0130S4115M</v>
      </c>
      <c r="E16198" s="1" t="s">
        <v>10</v>
      </c>
      <c r="F16198" s="1" t="str">
        <f>"fde1:103:4:9412:0:0:0:2"</f>
        <v>fde1:103:4:9412:0:0:0:2</v>
      </c>
      <c r="G16198" s="1" t="str">
        <f>"0130S411"</f>
        <v>0130S411</v>
      </c>
      <c r="H16198" s="1" t="str">
        <f>"수미간 18L8L2"</f>
        <v>수미간 18L8L2</v>
      </c>
      <c r="I16198" s="1" t="s">
        <v>15</v>
      </c>
      <c r="J16198" s="1" t="str">
        <f>"57/57"</f>
        <v>57/57</v>
      </c>
      <c r="K16198" s="1" t="str">
        <f>"2026-07-29 14:20:05"</f>
        <v>2026-07-29 14:20:05</v>
      </c>
      <c r="L16198" s="1" t="str">
        <f>"2023-12-18 09:47:23"</f>
        <v>2023-12-18 09:47:23</v>
      </c>
      <c r="M16198" s="1" t="s">
        <v>4</v>
      </c>
      <c r="N16198" s="1" t="s">
        <v>38</v>
      </c>
      <c r="O16198" s="1" t="s">
        <v>46</v>
      </c>
    </row>
    <row r="16199" spans="2:15" x14ac:dyDescent="0.3">
      <c r="B16199" s="1" t="s">
        <v>19</v>
      </c>
      <c r="C16199" s="1" t="str">
        <f t="shared" si="808"/>
        <v>5-2차</v>
      </c>
      <c r="D16199" s="1" t="str">
        <f>"0130S4325M"</f>
        <v>0130S4325M</v>
      </c>
      <c r="E16199" s="1" t="s">
        <v>10</v>
      </c>
      <c r="F16199" s="1" t="str">
        <f>"fde3:102:1410:1700:0:0:0:5"</f>
        <v>fde3:102:1410:1700:0:0:0:5</v>
      </c>
      <c r="G16199" s="1" t="str">
        <f>"0130S432"</f>
        <v>0130S432</v>
      </c>
      <c r="H16199" s="1" t="str">
        <f>"수유간 75L2"</f>
        <v>수유간 75L2</v>
      </c>
      <c r="I16199" s="1" t="s">
        <v>15</v>
      </c>
      <c r="J16199" s="1" t="str">
        <f>"39/39"</f>
        <v>39/39</v>
      </c>
      <c r="K16199" s="1" t="str">
        <f>"2026-07-29 14:21:04"</f>
        <v>2026-07-29 14:21:04</v>
      </c>
      <c r="L16199" s="1" t="str">
        <f>"2023-12-08 13:54:00"</f>
        <v>2023-12-08 13:54:00</v>
      </c>
      <c r="M16199" s="1" t="s">
        <v>45</v>
      </c>
      <c r="N16199" s="1" t="s">
        <v>38</v>
      </c>
      <c r="O16199" s="1" t="s">
        <v>46</v>
      </c>
    </row>
    <row r="16200" spans="2:15" x14ac:dyDescent="0.3">
      <c r="B16200" s="1" t="s">
        <v>19</v>
      </c>
      <c r="C16200" s="1" t="str">
        <f t="shared" si="808"/>
        <v>5-2차</v>
      </c>
      <c r="D16200" s="1" t="str">
        <f>"0130S4415M"</f>
        <v>0130S4415M</v>
      </c>
      <c r="E16200" s="1" t="s">
        <v>10</v>
      </c>
      <c r="F16200" s="1" t="str">
        <f>"fde1:103:4:9157:0:0:0:2"</f>
        <v>fde1:103:4:9157:0:0:0:2</v>
      </c>
      <c r="G16200" s="1" t="str">
        <f>"0130S441"</f>
        <v>0130S441</v>
      </c>
      <c r="H16200" s="1" t="str">
        <f>"수유간 75L5L3L1"</f>
        <v>수유간 75L5L3L1</v>
      </c>
      <c r="I16200" s="1" t="s">
        <v>15</v>
      </c>
      <c r="J16200" s="1" t="str">
        <f>"15/15"</f>
        <v>15/15</v>
      </c>
      <c r="K16200" s="1" t="str">
        <f>"2026-07-29 14:20:26"</f>
        <v>2026-07-29 14:20:26</v>
      </c>
      <c r="L16200" s="1" t="str">
        <f>"2024-01-18 08:42:06"</f>
        <v>2024-01-18 08:42:06</v>
      </c>
      <c r="M16200" s="1" t="s">
        <v>4</v>
      </c>
      <c r="N16200" s="1" t="s">
        <v>38</v>
      </c>
      <c r="O16200" s="1" t="s">
        <v>46</v>
      </c>
    </row>
    <row r="16201" spans="2:15" x14ac:dyDescent="0.3">
      <c r="B16201" s="1" t="s">
        <v>19</v>
      </c>
      <c r="C16201" s="1" t="str">
        <f t="shared" si="808"/>
        <v>5-2차</v>
      </c>
      <c r="D16201" s="1" t="str">
        <f>"0130S4725S"</f>
        <v>0130S4725S</v>
      </c>
      <c r="E16201" s="1" t="s">
        <v>10</v>
      </c>
      <c r="F16201" s="1" t="str">
        <f>"fde3:102:1410:4300:0:0:0:16"</f>
        <v>fde3:102:1410:4300:0:0:0:16</v>
      </c>
      <c r="G16201" s="1" t="str">
        <f>"0130S472"</f>
        <v>0130S472</v>
      </c>
      <c r="H16201" s="1" t="str">
        <f>"수유간 55L23"</f>
        <v>수유간 55L23</v>
      </c>
      <c r="I16201" s="1" t="s">
        <v>15</v>
      </c>
      <c r="J16201" s="1" t="str">
        <f>"78/78"</f>
        <v>78/78</v>
      </c>
      <c r="K16201" s="1" t="str">
        <f>"2026-07-29 14:21:03"</f>
        <v>2026-07-29 14:21:03</v>
      </c>
      <c r="L16201" s="1" t="str">
        <f>"2023-08-04 14:06:42"</f>
        <v>2023-08-04 14:06:42</v>
      </c>
      <c r="M16201" s="1" t="s">
        <v>45</v>
      </c>
      <c r="N16201" s="1" t="s">
        <v>38</v>
      </c>
      <c r="O16201" s="1" t="s">
        <v>46</v>
      </c>
    </row>
    <row r="16202" spans="2:15" x14ac:dyDescent="0.3">
      <c r="B16202" s="1" t="s">
        <v>19</v>
      </c>
      <c r="C16202" s="1" t="str">
        <f>"5-1차"</f>
        <v>5-1차</v>
      </c>
      <c r="D16202" s="1" t="str">
        <f>"0130S4735S"</f>
        <v>0130S4735S</v>
      </c>
      <c r="E16202" s="1" t="s">
        <v>10</v>
      </c>
      <c r="F16202" s="1" t="str">
        <f>"fde3:102:1410:4300:0:0:0:3"</f>
        <v>fde3:102:1410:4300:0:0:0:3</v>
      </c>
      <c r="G16202" s="1" t="str">
        <f>"0130S473"</f>
        <v>0130S473</v>
      </c>
      <c r="H16202" s="1" t="str">
        <f>"수유간 60L3L5R1"</f>
        <v>수유간 60L3L5R1</v>
      </c>
      <c r="I16202" s="1" t="s">
        <v>15</v>
      </c>
      <c r="J16202" s="1" t="str">
        <f>"42/42"</f>
        <v>42/42</v>
      </c>
      <c r="K16202" s="1" t="str">
        <f>"2026-07-29 08:20:11"</f>
        <v>2026-07-29 08:20:11</v>
      </c>
      <c r="L16202" s="1" t="str">
        <f>"2022-09-26 15:44:33"</f>
        <v>2022-09-26 15:44:33</v>
      </c>
      <c r="M16202" s="1" t="s">
        <v>45</v>
      </c>
      <c r="N16202" s="1" t="s">
        <v>38</v>
      </c>
      <c r="O16202" s="1" t="s">
        <v>46</v>
      </c>
    </row>
    <row r="16203" spans="2:15" x14ac:dyDescent="0.3">
      <c r="B16203" s="1" t="s">
        <v>19</v>
      </c>
      <c r="C16203" s="1" t="str">
        <f>"4차"</f>
        <v>4차</v>
      </c>
      <c r="D16203" s="1" t="str">
        <f>"0130S49144"</f>
        <v>0130S49144</v>
      </c>
      <c r="E16203" s="1" t="s">
        <v>10</v>
      </c>
      <c r="F16203" s="1" t="str">
        <f>"10.107.251.149"</f>
        <v>10.107.251.149</v>
      </c>
      <c r="G16203" s="1" t="str">
        <f>"0130S491"</f>
        <v>0130S491</v>
      </c>
      <c r="H16203" s="1" t="str">
        <f>"수유간 60L3L7"</f>
        <v>수유간 60L3L7</v>
      </c>
      <c r="I16203" s="1" t="s">
        <v>8</v>
      </c>
      <c r="J16203" s="1" t="str">
        <f>"168/168"</f>
        <v>168/168</v>
      </c>
      <c r="K16203" s="1" t="str">
        <f>"2026-07-29 13:18:01"</f>
        <v>2026-07-29 13:18:01</v>
      </c>
      <c r="L16203" s="1" t="str">
        <f>"2019-11-20 22:16:13"</f>
        <v>2019-11-20 22:16:13</v>
      </c>
      <c r="M16203" s="1" t="s">
        <v>45</v>
      </c>
      <c r="N16203" s="1" t="s">
        <v>38</v>
      </c>
      <c r="O16203" s="1" t="s">
        <v>46</v>
      </c>
    </row>
    <row r="16204" spans="2:15" x14ac:dyDescent="0.3">
      <c r="B16204" s="1" t="s">
        <v>19</v>
      </c>
      <c r="C16204" s="1" t="str">
        <f>"5-2차"</f>
        <v>5-2차</v>
      </c>
      <c r="D16204" s="1" t="str">
        <f>"0130S5035M"</f>
        <v>0130S5035M</v>
      </c>
      <c r="E16204" s="1" t="s">
        <v>10</v>
      </c>
      <c r="F16204" s="1" t="str">
        <f>"fde3:102:1410:1100:0:0:0:6"</f>
        <v>fde3:102:1410:1100:0:0:0:6</v>
      </c>
      <c r="G16204" s="1" t="str">
        <f>"0130S503"</f>
        <v>0130S503</v>
      </c>
      <c r="H16204" s="1" t="str">
        <f>"솔샘간 4R3L2R1"</f>
        <v>솔샘간 4R3L2R1</v>
      </c>
      <c r="I16204" s="1" t="s">
        <v>15</v>
      </c>
      <c r="J16204" s="1" t="str">
        <f>"124/124"</f>
        <v>124/124</v>
      </c>
      <c r="K16204" s="1" t="str">
        <f>"2026-07-29 14:20:45"</f>
        <v>2026-07-29 14:20:45</v>
      </c>
      <c r="L16204" s="1" t="str">
        <f>"2023-08-07 14:02:54"</f>
        <v>2023-08-07 14:02:54</v>
      </c>
      <c r="M16204" s="1" t="s">
        <v>45</v>
      </c>
      <c r="N16204" s="1" t="s">
        <v>38</v>
      </c>
      <c r="O16204" s="1" t="s">
        <v>46</v>
      </c>
    </row>
    <row r="16205" spans="2:15" x14ac:dyDescent="0.3">
      <c r="B16205" s="1" t="s">
        <v>19</v>
      </c>
      <c r="C16205" s="1" t="str">
        <f>"5-2차"</f>
        <v>5-2차</v>
      </c>
      <c r="D16205" s="1" t="str">
        <f>"0130S5135M"</f>
        <v>0130S5135M</v>
      </c>
      <c r="E16205" s="1" t="s">
        <v>10</v>
      </c>
      <c r="F16205" s="1" t="str">
        <f>"fde1:103:4:92eb:0:0:0:2"</f>
        <v>fde1:103:4:92eb:0:0:0:2</v>
      </c>
      <c r="G16205" s="1" t="str">
        <f>"0130S513"</f>
        <v>0130S513</v>
      </c>
      <c r="H16205" s="1" t="str">
        <f>"수미간 18L11L5"</f>
        <v>수미간 18L11L5</v>
      </c>
      <c r="I16205" s="1" t="s">
        <v>15</v>
      </c>
      <c r="J16205" s="1" t="str">
        <f>"42/42"</f>
        <v>42/42</v>
      </c>
      <c r="K16205" s="1" t="str">
        <f>"2026-07-29 14:20:45"</f>
        <v>2026-07-29 14:20:45</v>
      </c>
      <c r="L16205" s="1" t="str">
        <f>"2023-12-18 09:48:30"</f>
        <v>2023-12-18 09:48:30</v>
      </c>
      <c r="M16205" s="1" t="s">
        <v>4</v>
      </c>
      <c r="N16205" s="1" t="s">
        <v>38</v>
      </c>
      <c r="O16205" s="1" t="s">
        <v>46</v>
      </c>
    </row>
    <row r="16206" spans="2:15" x14ac:dyDescent="0.3">
      <c r="B16206" s="1" t="s">
        <v>19</v>
      </c>
      <c r="C16206" s="1" t="str">
        <f>"5-1차"</f>
        <v>5-1차</v>
      </c>
      <c r="D16206" s="1" t="str">
        <f>"0130S5315M"</f>
        <v>0130S5315M</v>
      </c>
      <c r="E16206" s="1" t="s">
        <v>10</v>
      </c>
      <c r="F16206" s="1" t="str">
        <f>"fde2:104:0:55:0:0:0:2"</f>
        <v>fde2:104:0:55:0:0:0:2</v>
      </c>
      <c r="G16206" s="1" t="str">
        <f>"0130S531"</f>
        <v>0130S531</v>
      </c>
      <c r="H16206" s="1" t="str">
        <f>"수유간 75L4"</f>
        <v>수유간 75L4</v>
      </c>
      <c r="I16206" s="1" t="s">
        <v>15</v>
      </c>
      <c r="J16206" s="1" t="str">
        <f>"50/50"</f>
        <v>50/50</v>
      </c>
      <c r="K16206" s="1" t="str">
        <f>"2026-07-29 14:20:28"</f>
        <v>2026-07-29 14:20:28</v>
      </c>
      <c r="L16206" s="1" t="str">
        <f>"2022-09-01 09:11:54"</f>
        <v>2022-09-01 09:11:54</v>
      </c>
      <c r="M16206" s="1" t="s">
        <v>42</v>
      </c>
      <c r="N16206" s="1" t="s">
        <v>38</v>
      </c>
      <c r="O16206" s="1" t="s">
        <v>46</v>
      </c>
    </row>
    <row r="16207" spans="2:15" x14ac:dyDescent="0.3">
      <c r="B16207" s="1" t="s">
        <v>19</v>
      </c>
      <c r="C16207" s="1" t="str">
        <f>"5-1차"</f>
        <v>5-1차</v>
      </c>
      <c r="D16207" s="1" t="str">
        <f>"0130S5415S"</f>
        <v>0130S5415S</v>
      </c>
      <c r="E16207" s="1" t="s">
        <v>10</v>
      </c>
      <c r="F16207" s="1" t="str">
        <f>"fde2:104:0:50:0:0:0:2"</f>
        <v>fde2:104:0:50:0:0:0:2</v>
      </c>
      <c r="G16207" s="1" t="str">
        <f>"0130S541"</f>
        <v>0130S541</v>
      </c>
      <c r="H16207" s="1" t="str">
        <f>"수유간 75L3L1"</f>
        <v>수유간 75L3L1</v>
      </c>
      <c r="I16207" s="1" t="s">
        <v>15</v>
      </c>
      <c r="J16207" s="1" t="str">
        <f>"33/33"</f>
        <v>33/33</v>
      </c>
      <c r="K16207" s="1" t="str">
        <f>"2026-07-29 14:20:30"</f>
        <v>2026-07-29 14:20:30</v>
      </c>
      <c r="L16207" s="1" t="str">
        <f>"2022-09-27 17:23:29"</f>
        <v>2022-09-27 17:23:29</v>
      </c>
      <c r="M16207" s="1" t="s">
        <v>42</v>
      </c>
      <c r="N16207" s="1" t="s">
        <v>38</v>
      </c>
      <c r="O16207" s="1" t="s">
        <v>46</v>
      </c>
    </row>
    <row r="16208" spans="2:15" x14ac:dyDescent="0.3">
      <c r="B16208" s="1" t="s">
        <v>19</v>
      </c>
      <c r="C16208" s="1" t="str">
        <f t="shared" ref="C16208:C16214" si="809">"5-2차"</f>
        <v>5-2차</v>
      </c>
      <c r="D16208" s="1" t="str">
        <f>"0130S5515M"</f>
        <v>0130S5515M</v>
      </c>
      <c r="E16208" s="1" t="s">
        <v>10</v>
      </c>
      <c r="F16208" s="1" t="str">
        <f>"fde1:103:4:92e6:0:0:0:2"</f>
        <v>fde1:103:4:92e6:0:0:0:2</v>
      </c>
      <c r="G16208" s="1" t="str">
        <f>"0130S551"</f>
        <v>0130S551</v>
      </c>
      <c r="H16208" s="1" t="str">
        <f>"수유간 75L5L3"</f>
        <v>수유간 75L5L3</v>
      </c>
      <c r="I16208" s="1" t="s">
        <v>15</v>
      </c>
      <c r="J16208" s="1" t="str">
        <f>"78/78"</f>
        <v>78/78</v>
      </c>
      <c r="K16208" s="1" t="str">
        <f>"2026-07-29 14:21:11"</f>
        <v>2026-07-29 14:21:11</v>
      </c>
      <c r="L16208" s="1" t="str">
        <f>"2023-12-18 10:08:33"</f>
        <v>2023-12-18 10:08:33</v>
      </c>
      <c r="M16208" s="1" t="s">
        <v>4</v>
      </c>
      <c r="N16208" s="1" t="s">
        <v>38</v>
      </c>
      <c r="O16208" s="1" t="s">
        <v>46</v>
      </c>
    </row>
    <row r="16209" spans="2:15" x14ac:dyDescent="0.3">
      <c r="B16209" s="1" t="s">
        <v>19</v>
      </c>
      <c r="C16209" s="1" t="str">
        <f t="shared" si="809"/>
        <v>5-2차</v>
      </c>
      <c r="D16209" s="1" t="str">
        <f>"0130S5615M"</f>
        <v>0130S5615M</v>
      </c>
      <c r="E16209" s="1" t="s">
        <v>10</v>
      </c>
      <c r="F16209" s="1" t="str">
        <f>"fde1:103:4:941b:0:0:0:2"</f>
        <v>fde1:103:4:941b:0:0:0:2</v>
      </c>
      <c r="G16209" s="1" t="str">
        <f>"0130S561"</f>
        <v>0130S561</v>
      </c>
      <c r="H16209" s="1" t="str">
        <f>"수유간 86L5"</f>
        <v>수유간 86L5</v>
      </c>
      <c r="I16209" s="1" t="s">
        <v>15</v>
      </c>
      <c r="J16209" s="1" t="str">
        <f>"67/67"</f>
        <v>67/67</v>
      </c>
      <c r="K16209" s="1" t="str">
        <f>"2026-07-29 14:20:27"</f>
        <v>2026-07-29 14:20:27</v>
      </c>
      <c r="L16209" s="1" t="str">
        <f>"2023-12-18 10:09:01"</f>
        <v>2023-12-18 10:09:01</v>
      </c>
      <c r="M16209" s="1" t="s">
        <v>4</v>
      </c>
      <c r="N16209" s="1" t="s">
        <v>38</v>
      </c>
      <c r="O16209" s="1" t="s">
        <v>46</v>
      </c>
    </row>
    <row r="16210" spans="2:15" x14ac:dyDescent="0.3">
      <c r="B16210" s="1" t="s">
        <v>19</v>
      </c>
      <c r="C16210" s="1" t="str">
        <f t="shared" si="809"/>
        <v>5-2차</v>
      </c>
      <c r="D16210" s="1" t="str">
        <f>"0130S5735S"</f>
        <v>0130S5735S</v>
      </c>
      <c r="E16210" s="1" t="s">
        <v>10</v>
      </c>
      <c r="F16210" s="1" t="str">
        <f>"fde3:102:1410:4300:0:0:0:10"</f>
        <v>fde3:102:1410:4300:0:0:0:10</v>
      </c>
      <c r="G16210" s="1" t="str">
        <f>"0130S573"</f>
        <v>0130S573</v>
      </c>
      <c r="H16210" s="1" t="str">
        <f>"수유간 60L3L5R4"</f>
        <v>수유간 60L3L5R4</v>
      </c>
      <c r="I16210" s="1" t="s">
        <v>15</v>
      </c>
      <c r="J16210" s="1" t="str">
        <f>"69/69"</f>
        <v>69/69</v>
      </c>
      <c r="K16210" s="1" t="str">
        <f>"2026-07-29 14:20:45"</f>
        <v>2026-07-29 14:20:45</v>
      </c>
      <c r="L16210" s="1" t="str">
        <f>"2023-08-04 13:12:17"</f>
        <v>2023-08-04 13:12:17</v>
      </c>
      <c r="M16210" s="1" t="s">
        <v>45</v>
      </c>
      <c r="N16210" s="1" t="s">
        <v>38</v>
      </c>
      <c r="O16210" s="1" t="s">
        <v>46</v>
      </c>
    </row>
    <row r="16211" spans="2:15" x14ac:dyDescent="0.3">
      <c r="B16211" s="1" t="s">
        <v>19</v>
      </c>
      <c r="C16211" s="1" t="str">
        <f t="shared" si="809"/>
        <v>5-2차</v>
      </c>
      <c r="D16211" s="1" t="str">
        <f>"0130S5825S"</f>
        <v>0130S5825S</v>
      </c>
      <c r="E16211" s="1" t="s">
        <v>10</v>
      </c>
      <c r="F16211" s="1" t="str">
        <f>"fde3:102:1410:4300:0:0:0:18"</f>
        <v>fde3:102:1410:4300:0:0:0:18</v>
      </c>
      <c r="G16211" s="1" t="str">
        <f>"0130S582"</f>
        <v>0130S582</v>
      </c>
      <c r="H16211" s="1" t="str">
        <f>"수유간 55L21"</f>
        <v>수유간 55L21</v>
      </c>
      <c r="I16211" s="1" t="s">
        <v>15</v>
      </c>
      <c r="J16211" s="1" t="str">
        <f>"65/68"</f>
        <v>65/68</v>
      </c>
      <c r="K16211" s="1" t="str">
        <f>"2026-07-29 08:20:08"</f>
        <v>2026-07-29 08:20:08</v>
      </c>
      <c r="L16211" s="1" t="str">
        <f>"2023-12-12 10:33:58"</f>
        <v>2023-12-12 10:33:58</v>
      </c>
      <c r="M16211" s="1" t="s">
        <v>45</v>
      </c>
      <c r="N16211" s="1" t="s">
        <v>38</v>
      </c>
      <c r="O16211" s="1" t="s">
        <v>46</v>
      </c>
    </row>
    <row r="16212" spans="2:15" x14ac:dyDescent="0.3">
      <c r="B16212" s="1" t="s">
        <v>19</v>
      </c>
      <c r="C16212" s="1" t="str">
        <f t="shared" si="809"/>
        <v>5-2차</v>
      </c>
      <c r="D16212" s="1" t="str">
        <f>"0130S5915S"</f>
        <v>0130S5915S</v>
      </c>
      <c r="E16212" s="1" t="s">
        <v>10</v>
      </c>
      <c r="F16212" s="1" t="str">
        <f>"fde3:102:1410:4300:0:0:0:15"</f>
        <v>fde3:102:1410:4300:0:0:0:15</v>
      </c>
      <c r="G16212" s="1" t="str">
        <f>"0130S591"</f>
        <v>0130S591</v>
      </c>
      <c r="H16212" s="1" t="str">
        <f>"수유간 60L3L8"</f>
        <v>수유간 60L3L8</v>
      </c>
      <c r="I16212" s="1" t="s">
        <v>15</v>
      </c>
      <c r="J16212" s="1" t="str">
        <f>"83/83"</f>
        <v>83/83</v>
      </c>
      <c r="K16212" s="1" t="str">
        <f>"2026-07-29 14:20:21"</f>
        <v>2026-07-29 14:20:21</v>
      </c>
      <c r="L16212" s="1" t="str">
        <f>"2023-10-26 15:36:23"</f>
        <v>2023-10-26 15:36:23</v>
      </c>
      <c r="M16212" s="1" t="s">
        <v>45</v>
      </c>
      <c r="N16212" s="1" t="s">
        <v>38</v>
      </c>
      <c r="O16212" s="1" t="s">
        <v>46</v>
      </c>
    </row>
    <row r="16213" spans="2:15" x14ac:dyDescent="0.3">
      <c r="B16213" s="1" t="s">
        <v>19</v>
      </c>
      <c r="C16213" s="1" t="str">
        <f t="shared" si="809"/>
        <v>5-2차</v>
      </c>
      <c r="D16213" s="1" t="str">
        <f>"0130S5935M"</f>
        <v>0130S5935M</v>
      </c>
      <c r="E16213" s="1" t="s">
        <v>10</v>
      </c>
      <c r="F16213" s="1" t="str">
        <f>"fde3:102:1410:4300:0:0:0:c"</f>
        <v>fde3:102:1410:4300:0:0:0:c</v>
      </c>
      <c r="G16213" s="1" t="str">
        <f>"0130S593"</f>
        <v>0130S593</v>
      </c>
      <c r="H16213" s="1" t="str">
        <f>"수유간 60L3L9"</f>
        <v>수유간 60L3L9</v>
      </c>
      <c r="I16213" s="1" t="s">
        <v>15</v>
      </c>
      <c r="J16213" s="1" t="str">
        <f>"76/76"</f>
        <v>76/76</v>
      </c>
      <c r="K16213" s="1" t="str">
        <f>"2026-07-29 14:20:16"</f>
        <v>2026-07-29 14:20:16</v>
      </c>
      <c r="L16213" s="1" t="str">
        <f>"2023-08-04 13:54:02"</f>
        <v>2023-08-04 13:54:02</v>
      </c>
      <c r="M16213" s="1" t="s">
        <v>45</v>
      </c>
      <c r="N16213" s="1" t="s">
        <v>38</v>
      </c>
      <c r="O16213" s="1" t="s">
        <v>46</v>
      </c>
    </row>
    <row r="16214" spans="2:15" x14ac:dyDescent="0.3">
      <c r="B16214" s="1" t="s">
        <v>19</v>
      </c>
      <c r="C16214" s="1" t="str">
        <f t="shared" si="809"/>
        <v>5-2차</v>
      </c>
      <c r="D16214" s="1" t="str">
        <f>"0130S6035M"</f>
        <v>0130S6035M</v>
      </c>
      <c r="E16214" s="1" t="s">
        <v>10</v>
      </c>
      <c r="F16214" s="1" t="str">
        <f>"fde3:102:1410:1100:0:0:0:7"</f>
        <v>fde3:102:1410:1100:0:0:0:7</v>
      </c>
      <c r="G16214" s="1" t="str">
        <f>"0130S603"</f>
        <v>0130S603</v>
      </c>
      <c r="H16214" s="1" t="str">
        <f>"솔샘간 4R3L2R1R1"</f>
        <v>솔샘간 4R3L2R1R1</v>
      </c>
      <c r="I16214" s="1" t="s">
        <v>15</v>
      </c>
      <c r="J16214" s="1" t="str">
        <f>"115/115"</f>
        <v>115/115</v>
      </c>
      <c r="K16214" s="1" t="str">
        <f>"2026-07-29 14:20:45"</f>
        <v>2026-07-29 14:20:45</v>
      </c>
      <c r="L16214" s="1" t="str">
        <f>"2023-08-07 13:53:38"</f>
        <v>2023-08-07 13:53:38</v>
      </c>
      <c r="M16214" s="1" t="s">
        <v>45</v>
      </c>
      <c r="N16214" s="1" t="s">
        <v>38</v>
      </c>
      <c r="O16214" s="1" t="s">
        <v>46</v>
      </c>
    </row>
    <row r="16215" spans="2:15" x14ac:dyDescent="0.3">
      <c r="B16215" s="1" t="s">
        <v>19</v>
      </c>
      <c r="C16215" s="1" t="str">
        <f>"6차"</f>
        <v>6차</v>
      </c>
      <c r="D16215" s="1" t="str">
        <f>"0130S6336S"</f>
        <v>0130S6336S</v>
      </c>
      <c r="E16215" s="1" t="s">
        <v>10</v>
      </c>
      <c r="F16215" s="1" t="str">
        <f>"fde1:103:4:910c:0:0:0:2"</f>
        <v>fde1:103:4:910c:0:0:0:2</v>
      </c>
      <c r="G16215" s="1" t="str">
        <f>"0130S633"</f>
        <v>0130S633</v>
      </c>
      <c r="H16215" s="1" t="str">
        <f>"수유간 75L7"</f>
        <v>수유간 75L7</v>
      </c>
      <c r="I16215" s="1" t="s">
        <v>15</v>
      </c>
      <c r="J16215" s="1" t="str">
        <f>"57/58"</f>
        <v>57/58</v>
      </c>
      <c r="K16215" s="1" t="str">
        <f>"2026-07-29 14:20:27"</f>
        <v>2026-07-29 14:20:27</v>
      </c>
      <c r="L16215" s="1" t="str">
        <f>"2024-10-07 11:17:52"</f>
        <v>2024-10-07 11:17:52</v>
      </c>
      <c r="M16215" s="1" t="s">
        <v>4</v>
      </c>
      <c r="N16215" s="1" t="s">
        <v>38</v>
      </c>
      <c r="O16215" s="1" t="s">
        <v>46</v>
      </c>
    </row>
    <row r="16216" spans="2:15" x14ac:dyDescent="0.3">
      <c r="B16216" s="1" t="s">
        <v>19</v>
      </c>
      <c r="C16216" s="1" t="str">
        <f>"1차"</f>
        <v>1차</v>
      </c>
      <c r="D16216" s="1" t="str">
        <f>"0130S66300"</f>
        <v>0130S66300</v>
      </c>
      <c r="E16216" s="1" t="s">
        <v>10</v>
      </c>
      <c r="F16216" s="1" t="str">
        <f>"10.107.251.152"</f>
        <v>10.107.251.152</v>
      </c>
      <c r="G16216" s="1" t="str">
        <f>"0130S663"</f>
        <v>0130S663</v>
      </c>
      <c r="H16216" s="1" t="str">
        <f>"수유간 86L3"</f>
        <v>수유간 86L3</v>
      </c>
      <c r="I16216" s="1" t="s">
        <v>8</v>
      </c>
      <c r="J16216" s="1" t="str">
        <f>"75/75"</f>
        <v>75/75</v>
      </c>
      <c r="K16216" s="1" t="str">
        <f>"2026-07-29 13:18:01"</f>
        <v>2026-07-29 13:18:01</v>
      </c>
      <c r="L16216" s="1" t="str">
        <f>"2014-12-08 09:43:24"</f>
        <v>2014-12-08 09:43:24</v>
      </c>
      <c r="M16216" s="1" t="s">
        <v>45</v>
      </c>
      <c r="N16216" s="1" t="s">
        <v>38</v>
      </c>
      <c r="O16216" s="1" t="s">
        <v>46</v>
      </c>
    </row>
    <row r="16217" spans="2:15" x14ac:dyDescent="0.3">
      <c r="B16217" s="1" t="s">
        <v>19</v>
      </c>
      <c r="C16217" s="1" t="str">
        <f>"4차"</f>
        <v>4차</v>
      </c>
      <c r="D16217" s="1" t="str">
        <f>"0130S68242"</f>
        <v>0130S68242</v>
      </c>
      <c r="E16217" s="1" t="s">
        <v>10</v>
      </c>
      <c r="F16217" s="1" t="str">
        <f>"10.107.251.151"</f>
        <v>10.107.251.151</v>
      </c>
      <c r="G16217" s="1" t="str">
        <f>"0130S682"</f>
        <v>0130S682</v>
      </c>
      <c r="H16217" s="1" t="str">
        <f>"수유간 55L19"</f>
        <v>수유간 55L19</v>
      </c>
      <c r="I16217" s="1" t="s">
        <v>8</v>
      </c>
      <c r="J16217" s="1" t="str">
        <f>"43/43"</f>
        <v>43/43</v>
      </c>
      <c r="K16217" s="1" t="str">
        <f>"2026-07-29 13:18:01"</f>
        <v>2026-07-29 13:18:01</v>
      </c>
      <c r="L16217" s="1" t="str">
        <f>"2024-12-20 11:21:31"</f>
        <v>2024-12-20 11:21:31</v>
      </c>
      <c r="M16217" s="1" t="s">
        <v>45</v>
      </c>
      <c r="N16217" s="1" t="s">
        <v>38</v>
      </c>
      <c r="O16217" s="1" t="s">
        <v>46</v>
      </c>
    </row>
    <row r="16218" spans="2:15" x14ac:dyDescent="0.3">
      <c r="B16218" s="1" t="s">
        <v>19</v>
      </c>
      <c r="C16218" s="1" t="str">
        <f>"5-2차"</f>
        <v>5-2차</v>
      </c>
      <c r="D16218" s="1" t="str">
        <f>"0130S6925M"</f>
        <v>0130S6925M</v>
      </c>
      <c r="E16218" s="1" t="s">
        <v>10</v>
      </c>
      <c r="F16218" s="1" t="str">
        <f>"fde3:102:1410:4300:0:0:0:13"</f>
        <v>fde3:102:1410:4300:0:0:0:13</v>
      </c>
      <c r="G16218" s="1" t="str">
        <f>"0130S692"</f>
        <v>0130S692</v>
      </c>
      <c r="H16218" s="1" t="str">
        <f>"수유간 60L3L12"</f>
        <v>수유간 60L3L12</v>
      </c>
      <c r="I16218" s="1" t="s">
        <v>15</v>
      </c>
      <c r="J16218" s="1" t="str">
        <f>"71/71"</f>
        <v>71/71</v>
      </c>
      <c r="K16218" s="1" t="str">
        <f>"2026-07-29 14:20:46"</f>
        <v>2026-07-29 14:20:46</v>
      </c>
      <c r="L16218" s="1" t="str">
        <f>"2023-08-04 13:59:50"</f>
        <v>2023-08-04 13:59:50</v>
      </c>
      <c r="M16218" s="1" t="s">
        <v>45</v>
      </c>
      <c r="N16218" s="1" t="s">
        <v>38</v>
      </c>
      <c r="O16218" s="1" t="s">
        <v>46</v>
      </c>
    </row>
    <row r="16219" spans="2:15" x14ac:dyDescent="0.3">
      <c r="B16219" s="1" t="s">
        <v>19</v>
      </c>
      <c r="C16219" s="1" t="str">
        <f>"5-2차"</f>
        <v>5-2차</v>
      </c>
      <c r="D16219" s="1" t="str">
        <f>"0130S6965M"</f>
        <v>0130S6965M</v>
      </c>
      <c r="E16219" s="1" t="s">
        <v>10</v>
      </c>
      <c r="F16219" s="1" t="str">
        <f>"fde3:102:1410:4300:0:0:0:14"</f>
        <v>fde3:102:1410:4300:0:0:0:14</v>
      </c>
      <c r="G16219" s="1" t="str">
        <f>"0130S696"</f>
        <v>0130S696</v>
      </c>
      <c r="H16219" s="1" t="str">
        <f>"수유간 60L3L10"</f>
        <v>수유간 60L3L10</v>
      </c>
      <c r="I16219" s="1" t="s">
        <v>15</v>
      </c>
      <c r="J16219" s="1" t="str">
        <f>"97/97"</f>
        <v>97/97</v>
      </c>
      <c r="K16219" s="1" t="str">
        <f>"2026-07-29 14:21:04"</f>
        <v>2026-07-29 14:21:04</v>
      </c>
      <c r="L16219" s="1" t="str">
        <f>"2023-08-04 13:45:27"</f>
        <v>2023-08-04 13:45:27</v>
      </c>
      <c r="M16219" s="1" t="s">
        <v>45</v>
      </c>
      <c r="N16219" s="1" t="s">
        <v>38</v>
      </c>
      <c r="O16219" s="1" t="s">
        <v>46</v>
      </c>
    </row>
    <row r="16220" spans="2:15" x14ac:dyDescent="0.3">
      <c r="B16220" s="1" t="s">
        <v>19</v>
      </c>
      <c r="C16220" s="1" t="str">
        <f>"5-2차"</f>
        <v>5-2차</v>
      </c>
      <c r="D16220" s="1" t="str">
        <f>"0130S7015M"</f>
        <v>0130S7015M</v>
      </c>
      <c r="E16220" s="1" t="s">
        <v>10</v>
      </c>
      <c r="F16220" s="1" t="str">
        <f>"fde3:102:1410:1100:0:0:0:f"</f>
        <v>fde3:102:1410:1100:0:0:0:f</v>
      </c>
      <c r="G16220" s="1" t="str">
        <f>"0130S701"</f>
        <v>0130S701</v>
      </c>
      <c r="H16220" s="1" t="str">
        <f>"솔샘간 4R3R1"</f>
        <v>솔샘간 4R3R1</v>
      </c>
      <c r="I16220" s="1" t="s">
        <v>15</v>
      </c>
      <c r="J16220" s="1" t="str">
        <f>"33/33"</f>
        <v>33/33</v>
      </c>
      <c r="K16220" s="1" t="str">
        <f>"2026-07-29 14:20:46"</f>
        <v>2026-07-29 14:20:46</v>
      </c>
      <c r="L16220" s="1" t="str">
        <f>"2023-10-20 11:06:17"</f>
        <v>2023-10-20 11:06:17</v>
      </c>
      <c r="M16220" s="1" t="s">
        <v>45</v>
      </c>
      <c r="N16220" s="1" t="s">
        <v>38</v>
      </c>
      <c r="O16220" s="1" t="s">
        <v>46</v>
      </c>
    </row>
    <row r="16221" spans="2:15" x14ac:dyDescent="0.3">
      <c r="B16221" s="1" t="s">
        <v>19</v>
      </c>
      <c r="C16221" s="1" t="str">
        <f>"5-2차"</f>
        <v>5-2차</v>
      </c>
      <c r="D16221" s="1" t="str">
        <f>"0130S7415M"</f>
        <v>0130S7415M</v>
      </c>
      <c r="E16221" s="1" t="s">
        <v>10</v>
      </c>
      <c r="F16221" s="1" t="str">
        <f>"fde1:103:4:92e5:0:0:0:2"</f>
        <v>fde1:103:4:92e5:0:0:0:2</v>
      </c>
      <c r="G16221" s="1" t="str">
        <f>"0130S741"</f>
        <v>0130S741</v>
      </c>
      <c r="H16221" s="1" t="str">
        <f>"수유간 75L5L7"</f>
        <v>수유간 75L5L7</v>
      </c>
      <c r="I16221" s="1" t="s">
        <v>15</v>
      </c>
      <c r="J16221" s="1" t="str">
        <f>"70/70"</f>
        <v>70/70</v>
      </c>
      <c r="K16221" s="1" t="str">
        <f>"2026-07-29 14:20:04"</f>
        <v>2026-07-29 14:20:04</v>
      </c>
      <c r="L16221" s="1" t="str">
        <f>"2023-12-18 10:09:57"</f>
        <v>2023-12-18 10:09:57</v>
      </c>
      <c r="M16221" s="1" t="s">
        <v>4</v>
      </c>
      <c r="N16221" s="1" t="s">
        <v>38</v>
      </c>
      <c r="O16221" s="1" t="s">
        <v>46</v>
      </c>
    </row>
    <row r="16222" spans="2:15" x14ac:dyDescent="0.3">
      <c r="B16222" s="1" t="s">
        <v>19</v>
      </c>
      <c r="C16222" s="1" t="str">
        <f>"5-2차"</f>
        <v>5-2차</v>
      </c>
      <c r="D16222" s="1" t="str">
        <f>"0130S7515M"</f>
        <v>0130S7515M</v>
      </c>
      <c r="E16222" s="1" t="s">
        <v>10</v>
      </c>
      <c r="F16222" s="1" t="str">
        <f>"fde1:103:4:943c:0:0:0:2"</f>
        <v>fde1:103:4:943c:0:0:0:2</v>
      </c>
      <c r="G16222" s="1" t="str">
        <f>"0130S751"</f>
        <v>0130S751</v>
      </c>
      <c r="H16222" s="1" t="str">
        <f>"수유간 75L5L5"</f>
        <v>수유간 75L5L5</v>
      </c>
      <c r="I16222" s="1" t="s">
        <v>15</v>
      </c>
      <c r="J16222" s="1" t="str">
        <f>"37/37"</f>
        <v>37/37</v>
      </c>
      <c r="K16222" s="1" t="str">
        <f>"2026-07-29 14:20:22"</f>
        <v>2026-07-29 14:20:22</v>
      </c>
      <c r="L16222" s="1" t="str">
        <f>"2023-12-18 10:10:51"</f>
        <v>2023-12-18 10:10:51</v>
      </c>
      <c r="M16222" s="1" t="s">
        <v>4</v>
      </c>
      <c r="N16222" s="1" t="s">
        <v>38</v>
      </c>
      <c r="O16222" s="1" t="s">
        <v>46</v>
      </c>
    </row>
    <row r="16223" spans="2:15" x14ac:dyDescent="0.3">
      <c r="B16223" s="1" t="s">
        <v>19</v>
      </c>
      <c r="C16223" s="1" t="str">
        <f>"5-1차"</f>
        <v>5-1차</v>
      </c>
      <c r="D16223" s="1" t="str">
        <f>"0130S8715M"</f>
        <v>0130S8715M</v>
      </c>
      <c r="E16223" s="1" t="s">
        <v>10</v>
      </c>
      <c r="F16223" s="1" t="str">
        <f>"fde3:102:1410:4300:0:0:0:4"</f>
        <v>fde3:102:1410:4300:0:0:0:4</v>
      </c>
      <c r="G16223" s="1" t="str">
        <f>"0130S871"</f>
        <v>0130S871</v>
      </c>
      <c r="H16223" s="1" t="str">
        <f>"수유간 55L17L2"</f>
        <v>수유간 55L17L2</v>
      </c>
      <c r="I16223" s="1" t="s">
        <v>15</v>
      </c>
      <c r="J16223" s="1" t="str">
        <f>"26/26"</f>
        <v>26/26</v>
      </c>
      <c r="K16223" s="1" t="str">
        <f>"2026-07-29 14:20:22"</f>
        <v>2026-07-29 14:20:22</v>
      </c>
      <c r="L16223" s="1" t="str">
        <f>"2022-09-26 15:39:10"</f>
        <v>2022-09-26 15:39:10</v>
      </c>
      <c r="M16223" s="1" t="s">
        <v>45</v>
      </c>
      <c r="N16223" s="1" t="s">
        <v>38</v>
      </c>
      <c r="O16223" s="1" t="s">
        <v>46</v>
      </c>
    </row>
    <row r="16224" spans="2:15" x14ac:dyDescent="0.3">
      <c r="B16224" s="1" t="s">
        <v>19</v>
      </c>
      <c r="C16224" s="1" t="str">
        <f>"3차"</f>
        <v>3차</v>
      </c>
      <c r="D16224" s="1" t="str">
        <f>"0130S98139"</f>
        <v>0130S98139</v>
      </c>
      <c r="E16224" s="1" t="s">
        <v>10</v>
      </c>
      <c r="F16224" s="1" t="str">
        <f>"10.107.122.93"</f>
        <v>10.107.122.93</v>
      </c>
      <c r="G16224" s="1" t="str">
        <f>"0130S981"</f>
        <v>0130S981</v>
      </c>
      <c r="H16224" s="1" t="str">
        <f>"수유간 86R4"</f>
        <v>수유간 86R4</v>
      </c>
      <c r="I16224" s="1" t="s">
        <v>8</v>
      </c>
      <c r="J16224" s="1" t="str">
        <f>"5/5"</f>
        <v>5/5</v>
      </c>
      <c r="K16224" s="1" t="str">
        <f>"2026-07-29 13:18:01"</f>
        <v>2026-07-29 13:18:01</v>
      </c>
      <c r="L16224" s="1" t="str">
        <f>"2018-03-23 14:14:14"</f>
        <v>2018-03-23 14:14:14</v>
      </c>
      <c r="M16224" s="1" t="s">
        <v>45</v>
      </c>
      <c r="N16224" s="1" t="s">
        <v>38</v>
      </c>
      <c r="O16224" s="1" t="s">
        <v>46</v>
      </c>
    </row>
    <row r="16225" spans="2:15" x14ac:dyDescent="0.3">
      <c r="B16225" s="1" t="s">
        <v>19</v>
      </c>
      <c r="C16225" s="1" t="str">
        <f>"3차"</f>
        <v>3차</v>
      </c>
      <c r="D16225" s="1" t="str">
        <f>"0130S99139"</f>
        <v>0130S99139</v>
      </c>
      <c r="E16225" s="1" t="s">
        <v>10</v>
      </c>
      <c r="F16225" s="1" t="str">
        <f>"10.107.122.196"</f>
        <v>10.107.122.196</v>
      </c>
      <c r="G16225" s="1" t="str">
        <f>"0130S991"</f>
        <v>0130S991</v>
      </c>
      <c r="H16225" s="1" t="str">
        <f>"수유간 86R6R1"</f>
        <v>수유간 86R6R1</v>
      </c>
      <c r="I16225" s="1" t="s">
        <v>8</v>
      </c>
      <c r="J16225" s="1" t="str">
        <f>"5/6"</f>
        <v>5/6</v>
      </c>
      <c r="K16225" s="1" t="str">
        <f>"2026-07-29 13:18:01"</f>
        <v>2026-07-29 13:18:01</v>
      </c>
      <c r="L16225" s="1" t="str">
        <f>"2018-04-09 11:56:16"</f>
        <v>2018-04-09 11:56:16</v>
      </c>
      <c r="M16225" s="1" t="s">
        <v>45</v>
      </c>
      <c r="N16225" s="1" t="s">
        <v>38</v>
      </c>
      <c r="O16225" s="1" t="s">
        <v>46</v>
      </c>
    </row>
    <row r="16226" spans="2:15" x14ac:dyDescent="0.3">
      <c r="B16226" s="1" t="s">
        <v>19</v>
      </c>
      <c r="C16226" s="1" t="str">
        <f>"1차"</f>
        <v>1차</v>
      </c>
      <c r="D16226" s="1" t="str">
        <f>"0130W01100"</f>
        <v>0130W01100</v>
      </c>
      <c r="E16226" s="1" t="s">
        <v>10</v>
      </c>
      <c r="F16226" s="1" t="str">
        <f>"10.107.122.77"</f>
        <v>10.107.122.77</v>
      </c>
      <c r="G16226" s="1" t="str">
        <f>"0130W011"</f>
        <v>0130W011</v>
      </c>
      <c r="H16226" s="1" t="str">
        <f>"수유간 86R6R2L3"</f>
        <v>수유간 86R6R2L3</v>
      </c>
      <c r="I16226" s="1" t="s">
        <v>8</v>
      </c>
      <c r="J16226" s="1" t="str">
        <f>"70/70"</f>
        <v>70/70</v>
      </c>
      <c r="K16226" s="1" t="str">
        <f>"2026-07-29 13:18:01"</f>
        <v>2026-07-29 13:18:01</v>
      </c>
      <c r="L16226" s="1" t="str">
        <f>"2014-12-08 10:57:46"</f>
        <v>2014-12-08 10:57:46</v>
      </c>
      <c r="M16226" s="1" t="s">
        <v>45</v>
      </c>
      <c r="N16226" s="1" t="s">
        <v>38</v>
      </c>
      <c r="O16226" s="1" t="s">
        <v>46</v>
      </c>
    </row>
    <row r="16227" spans="2:15" x14ac:dyDescent="0.3">
      <c r="B16227" s="1" t="s">
        <v>19</v>
      </c>
      <c r="C16227" s="1" t="str">
        <f>"3차"</f>
        <v>3차</v>
      </c>
      <c r="D16227" s="1" t="str">
        <f>"0130W02239"</f>
        <v>0130W02239</v>
      </c>
      <c r="E16227" s="1" t="s">
        <v>10</v>
      </c>
      <c r="F16227" s="1" t="str">
        <f>"10.12.131.163"</f>
        <v>10.12.131.163</v>
      </c>
      <c r="G16227" s="1" t="str">
        <f>"0130W022"</f>
        <v>0130W022</v>
      </c>
      <c r="H16227" s="1" t="str">
        <f>"수유간 86R6R2L4"</f>
        <v>수유간 86R6R2L4</v>
      </c>
      <c r="I16227" s="1" t="s">
        <v>8</v>
      </c>
      <c r="J16227" s="1" t="str">
        <f>"59/59"</f>
        <v>59/59</v>
      </c>
      <c r="K16227" s="1" t="str">
        <f>"2026-07-29 13:18:03"</f>
        <v>2026-07-29 13:18:03</v>
      </c>
      <c r="L16227" s="1" t="str">
        <f>"2023-07-20 10:01:32"</f>
        <v>2023-07-20 10:01:32</v>
      </c>
      <c r="M16227" s="1" t="s">
        <v>0</v>
      </c>
      <c r="N16227" s="1" t="s">
        <v>38</v>
      </c>
      <c r="O16227" s="1" t="s">
        <v>46</v>
      </c>
    </row>
    <row r="16228" spans="2:15" x14ac:dyDescent="0.3">
      <c r="B16228" s="1" t="s">
        <v>19</v>
      </c>
      <c r="C16228" s="1" t="str">
        <f>"3차"</f>
        <v>3차</v>
      </c>
      <c r="D16228" s="1" t="str">
        <f>"0130W03131"</f>
        <v>0130W03131</v>
      </c>
      <c r="E16228" s="1" t="s">
        <v>10</v>
      </c>
      <c r="F16228" s="1" t="str">
        <f>"10.12.138.81"</f>
        <v>10.12.138.81</v>
      </c>
      <c r="G16228" s="1" t="str">
        <f>"0130W031"</f>
        <v>0130W031</v>
      </c>
      <c r="H16228" s="1" t="str">
        <f>"구청지 40R8L3L4"</f>
        <v>구청지 40R8L3L4</v>
      </c>
      <c r="I16228" s="1" t="s">
        <v>8</v>
      </c>
      <c r="J16228" s="1" t="str">
        <f>"20/20"</f>
        <v>20/20</v>
      </c>
      <c r="K16228" s="1" t="str">
        <f>"2026-07-29 13:18:02"</f>
        <v>2026-07-29 13:18:02</v>
      </c>
      <c r="L16228" s="1" t="str">
        <f>"2018-02-13 15:15:43"</f>
        <v>2018-02-13 15:15:43</v>
      </c>
      <c r="M16228" s="1" t="s">
        <v>0</v>
      </c>
      <c r="N16228" s="1" t="s">
        <v>38</v>
      </c>
      <c r="O16228" s="1" t="s">
        <v>46</v>
      </c>
    </row>
    <row r="16229" spans="2:15" x14ac:dyDescent="0.3">
      <c r="B16229" s="1" t="s">
        <v>19</v>
      </c>
      <c r="C16229" s="1" t="str">
        <f>"5-2차"</f>
        <v>5-2차</v>
      </c>
      <c r="D16229" s="1" t="str">
        <f>"0130W0415M"</f>
        <v>0130W0415M</v>
      </c>
      <c r="E16229" s="1" t="s">
        <v>10</v>
      </c>
      <c r="F16229" s="1" t="str">
        <f>"fde3:102:1410:4400:0:0:0:d"</f>
        <v>fde3:102:1410:4400:0:0:0:d</v>
      </c>
      <c r="G16229" s="1" t="str">
        <f>"0130W041"</f>
        <v>0130W041</v>
      </c>
      <c r="H16229" s="1" t="str">
        <f>"구청지 40R8L3L3"</f>
        <v>구청지 40R8L3L3</v>
      </c>
      <c r="I16229" s="1" t="s">
        <v>15</v>
      </c>
      <c r="J16229" s="1" t="str">
        <f>"52/54"</f>
        <v>52/54</v>
      </c>
      <c r="K16229" s="1" t="str">
        <f>"2026-07-29 14:20:46"</f>
        <v>2026-07-29 14:20:46</v>
      </c>
      <c r="L16229" s="1" t="str">
        <f>"2023-08-18 10:59:54"</f>
        <v>2023-08-18 10:59:54</v>
      </c>
      <c r="M16229" s="1" t="s">
        <v>45</v>
      </c>
      <c r="N16229" s="1" t="s">
        <v>38</v>
      </c>
      <c r="O16229" s="1" t="s">
        <v>46</v>
      </c>
    </row>
    <row r="16230" spans="2:15" x14ac:dyDescent="0.3">
      <c r="B16230" s="1" t="s">
        <v>19</v>
      </c>
      <c r="C16230" s="1" t="str">
        <f>"4차"</f>
        <v>4차</v>
      </c>
      <c r="D16230" s="1" t="str">
        <f>"0130W05331"</f>
        <v>0130W05331</v>
      </c>
      <c r="E16230" s="1" t="s">
        <v>10</v>
      </c>
      <c r="F16230" s="1" t="str">
        <f>"10.107.122.84"</f>
        <v>10.107.122.84</v>
      </c>
      <c r="G16230" s="1" t="str">
        <f>"0130W053"</f>
        <v>0130W053</v>
      </c>
      <c r="H16230" s="1" t="str">
        <f>"구청지 40R8L1L3"</f>
        <v>구청지 40R8L1L3</v>
      </c>
      <c r="I16230" s="1" t="s">
        <v>8</v>
      </c>
      <c r="J16230" s="1" t="str">
        <f>"38/54"</f>
        <v>38/54</v>
      </c>
      <c r="K16230" s="1" t="str">
        <f>"2026-07-29 13:18:02"</f>
        <v>2026-07-29 13:18:02</v>
      </c>
      <c r="L16230" s="1" t="str">
        <f>"2018-02-13 17:07:09"</f>
        <v>2018-02-13 17:07:09</v>
      </c>
      <c r="M16230" s="1" t="s">
        <v>45</v>
      </c>
      <c r="N16230" s="1" t="s">
        <v>38</v>
      </c>
      <c r="O16230" s="1" t="s">
        <v>46</v>
      </c>
    </row>
    <row r="16231" spans="2:15" x14ac:dyDescent="0.3">
      <c r="B16231" s="1" t="s">
        <v>19</v>
      </c>
      <c r="C16231" s="1" t="str">
        <f>"1차"</f>
        <v>1차</v>
      </c>
      <c r="D16231" s="1" t="str">
        <f>"0130W07100"</f>
        <v>0130W07100</v>
      </c>
      <c r="E16231" s="1" t="s">
        <v>10</v>
      </c>
      <c r="F16231" s="1" t="str">
        <f>"10.107.122.72"</f>
        <v>10.107.122.72</v>
      </c>
      <c r="G16231" s="1" t="str">
        <f>"0130W071"</f>
        <v>0130W071</v>
      </c>
      <c r="H16231" s="1" t="str">
        <f>"구청지 40R10"</f>
        <v>구청지 40R10</v>
      </c>
      <c r="I16231" s="1" t="s">
        <v>8</v>
      </c>
      <c r="J16231" s="1" t="str">
        <f>"43/43"</f>
        <v>43/43</v>
      </c>
      <c r="K16231" s="1" t="str">
        <f>"2026-07-29 13:18:01"</f>
        <v>2026-07-29 13:18:01</v>
      </c>
      <c r="L16231" s="1" t="str">
        <f>"2014-10-30 16:22:50"</f>
        <v>2014-10-30 16:22:50</v>
      </c>
      <c r="M16231" s="1" t="s">
        <v>45</v>
      </c>
      <c r="N16231" s="1" t="s">
        <v>38</v>
      </c>
      <c r="O16231" s="1" t="s">
        <v>46</v>
      </c>
    </row>
    <row r="16232" spans="2:15" x14ac:dyDescent="0.3">
      <c r="B16232" s="1" t="s">
        <v>19</v>
      </c>
      <c r="C16232" s="1" t="str">
        <f>"1차"</f>
        <v>1차</v>
      </c>
      <c r="D16232" s="1" t="str">
        <f>"0130W07201"</f>
        <v>0130W07201</v>
      </c>
      <c r="E16232" s="1" t="s">
        <v>10</v>
      </c>
      <c r="F16232" s="1" t="str">
        <f>"10.107.122.73"</f>
        <v>10.107.122.73</v>
      </c>
      <c r="G16232" s="1" t="str">
        <f>"0130W072"</f>
        <v>0130W072</v>
      </c>
      <c r="H16232" s="1" t="str">
        <f>"구청지 40R10L1"</f>
        <v>구청지 40R10L1</v>
      </c>
      <c r="I16232" s="1" t="s">
        <v>8</v>
      </c>
      <c r="J16232" s="1" t="str">
        <f>"37/37"</f>
        <v>37/37</v>
      </c>
      <c r="K16232" s="1" t="str">
        <f>"2026-07-29 13:18:02"</f>
        <v>2026-07-29 13:18:02</v>
      </c>
      <c r="L16232" s="1" t="str">
        <f>"2014-11-19 11:42:06"</f>
        <v>2014-11-19 11:42:06</v>
      </c>
      <c r="M16232" s="1" t="s">
        <v>45</v>
      </c>
      <c r="N16232" s="1" t="s">
        <v>38</v>
      </c>
      <c r="O16232" s="1" t="s">
        <v>46</v>
      </c>
    </row>
    <row r="16233" spans="2:15" x14ac:dyDescent="0.3">
      <c r="B16233" s="1" t="s">
        <v>19</v>
      </c>
      <c r="C16233" s="1" t="str">
        <f>"4차"</f>
        <v>4차</v>
      </c>
      <c r="D16233" s="1" t="str">
        <f>"0130W09639"</f>
        <v>0130W09639</v>
      </c>
      <c r="E16233" s="1" t="s">
        <v>10</v>
      </c>
      <c r="F16233" s="1" t="str">
        <f>"10.12.136.48"</f>
        <v>10.12.136.48</v>
      </c>
      <c r="G16233" s="1" t="str">
        <f>"0130W096"</f>
        <v>0130W096</v>
      </c>
      <c r="H16233" s="1" t="str">
        <f>"사일구 35"</f>
        <v>사일구 35</v>
      </c>
      <c r="I16233" s="1" t="s">
        <v>17</v>
      </c>
      <c r="J16233" s="1" t="str">
        <f>"1/1"</f>
        <v>1/1</v>
      </c>
      <c r="K16233" s="1" t="str">
        <f>"2026-07-29 13:18:03"</f>
        <v>2026-07-29 13:18:03</v>
      </c>
      <c r="L16233" s="1" t="str">
        <f>"2018-05-28 13:28:28"</f>
        <v>2018-05-28 13:28:28</v>
      </c>
      <c r="M16233" s="1" t="s">
        <v>0</v>
      </c>
      <c r="N16233" s="1" t="s">
        <v>38</v>
      </c>
      <c r="O16233" s="1" t="s">
        <v>46</v>
      </c>
    </row>
    <row r="16234" spans="2:15" x14ac:dyDescent="0.3">
      <c r="B16234" s="1" t="s">
        <v>19</v>
      </c>
      <c r="C16234" s="1" t="str">
        <f>"4차"</f>
        <v>4차</v>
      </c>
      <c r="D16234" s="1" t="str">
        <f>"0130W09939"</f>
        <v>0130W09939</v>
      </c>
      <c r="E16234" s="1" t="s">
        <v>10</v>
      </c>
      <c r="F16234" s="1" t="str">
        <f>"10.12.136.116"</f>
        <v>10.12.136.116</v>
      </c>
      <c r="G16234" s="1" t="str">
        <f>"0130W099"</f>
        <v>0130W099</v>
      </c>
      <c r="H16234" s="1" t="str">
        <f>"사일구 36"</f>
        <v>사일구 36</v>
      </c>
      <c r="I16234" s="1" t="s">
        <v>17</v>
      </c>
      <c r="J16234" s="1" t="str">
        <f>"52/58"</f>
        <v>52/58</v>
      </c>
      <c r="K16234" s="1" t="str">
        <f>"2026-07-29 07:18:03"</f>
        <v>2026-07-29 07:18:03</v>
      </c>
      <c r="L16234" s="1" t="str">
        <f>"2018-05-28 13:20:27"</f>
        <v>2018-05-28 13:20:27</v>
      </c>
      <c r="M16234" s="1" t="s">
        <v>0</v>
      </c>
      <c r="N16234" s="1" t="s">
        <v>38</v>
      </c>
      <c r="O16234" s="1" t="s">
        <v>46</v>
      </c>
    </row>
    <row r="16235" spans="2:15" x14ac:dyDescent="0.3">
      <c r="B16235" s="1" t="s">
        <v>19</v>
      </c>
      <c r="C16235" s="1" t="str">
        <f>"3차"</f>
        <v>3차</v>
      </c>
      <c r="D16235" s="1" t="str">
        <f>"0130W11139"</f>
        <v>0130W11139</v>
      </c>
      <c r="E16235" s="1" t="s">
        <v>10</v>
      </c>
      <c r="F16235" s="1" t="str">
        <f>"10.107.122.90"</f>
        <v>10.107.122.90</v>
      </c>
      <c r="G16235" s="1" t="str">
        <f>"0130W111"</f>
        <v>0130W111</v>
      </c>
      <c r="H16235" s="1" t="str">
        <f>"수유간 86R15R2"</f>
        <v>수유간 86R15R2</v>
      </c>
      <c r="I16235" s="1" t="s">
        <v>8</v>
      </c>
      <c r="J16235" s="1" t="str">
        <f>"1/1"</f>
        <v>1/1</v>
      </c>
      <c r="K16235" s="1" t="str">
        <f>"2026-07-29 13:18:01"</f>
        <v>2026-07-29 13:18:01</v>
      </c>
      <c r="L16235" s="1" t="str">
        <f>"2018-03-23 14:01:14"</f>
        <v>2018-03-23 14:01:14</v>
      </c>
      <c r="M16235" s="1" t="s">
        <v>45</v>
      </c>
      <c r="N16235" s="1" t="s">
        <v>38</v>
      </c>
      <c r="O16235" s="1" t="s">
        <v>46</v>
      </c>
    </row>
    <row r="16236" spans="2:15" x14ac:dyDescent="0.3">
      <c r="B16236" s="1" t="s">
        <v>19</v>
      </c>
      <c r="C16236" s="1" t="str">
        <f>"6차"</f>
        <v>6차</v>
      </c>
      <c r="D16236" s="1" t="str">
        <f>"0130W1216M"</f>
        <v>0130W1216M</v>
      </c>
      <c r="E16236" s="1" t="s">
        <v>10</v>
      </c>
      <c r="F16236" s="1" t="str">
        <f>"fde1:103:4:c77b:0:0:0:2"</f>
        <v>fde1:103:4:c77b:0:0:0:2</v>
      </c>
      <c r="G16236" s="1" t="str">
        <f>"0130W121"</f>
        <v>0130W121</v>
      </c>
      <c r="H16236" s="1" t="str">
        <f>"수유간 86R14"</f>
        <v>수유간 86R14</v>
      </c>
      <c r="I16236" s="1" t="s">
        <v>15</v>
      </c>
      <c r="J16236" s="1" t="str">
        <f>"39/40"</f>
        <v>39/40</v>
      </c>
      <c r="K16236" s="1" t="str">
        <f>"2026-07-29 14:20:12"</f>
        <v>2026-07-29 14:20:12</v>
      </c>
      <c r="L16236" s="1" t="str">
        <f>"2024-12-04 15:42:55"</f>
        <v>2024-12-04 15:42:55</v>
      </c>
      <c r="M16236" s="1" t="s">
        <v>4</v>
      </c>
      <c r="N16236" s="1" t="s">
        <v>38</v>
      </c>
      <c r="O16236" s="1" t="s">
        <v>46</v>
      </c>
    </row>
    <row r="16237" spans="2:15" x14ac:dyDescent="0.3">
      <c r="B16237" s="1" t="s">
        <v>19</v>
      </c>
      <c r="C16237" s="1" t="str">
        <f>"5-1차"</f>
        <v>5-1차</v>
      </c>
      <c r="D16237" s="1" t="str">
        <f>"0130W1315M"</f>
        <v>0130W1315M</v>
      </c>
      <c r="E16237" s="1" t="s">
        <v>10</v>
      </c>
      <c r="F16237" s="1" t="str">
        <f>"fde3:102:1410:4400:0:0:0:5"</f>
        <v>fde3:102:1410:4400:0:0:0:5</v>
      </c>
      <c r="G16237" s="1" t="str">
        <f>"0130W131"</f>
        <v>0130W131</v>
      </c>
      <c r="H16237" s="1" t="str">
        <f>"수유간 86R13L1"</f>
        <v>수유간 86R13L1</v>
      </c>
      <c r="I16237" s="1" t="s">
        <v>15</v>
      </c>
      <c r="J16237" s="1" t="str">
        <f>"43/45"</f>
        <v>43/45</v>
      </c>
      <c r="K16237" s="1" t="str">
        <f>"2026-07-29 14:20:22"</f>
        <v>2026-07-29 14:20:22</v>
      </c>
      <c r="L16237" s="1" t="str">
        <f>"2022-09-26 15:42:09"</f>
        <v>2022-09-26 15:42:09</v>
      </c>
      <c r="M16237" s="1" t="s">
        <v>45</v>
      </c>
      <c r="N16237" s="1" t="s">
        <v>38</v>
      </c>
      <c r="O16237" s="1" t="s">
        <v>46</v>
      </c>
    </row>
    <row r="16238" spans="2:15" x14ac:dyDescent="0.3">
      <c r="B16238" s="1" t="s">
        <v>19</v>
      </c>
      <c r="C16238" s="1" t="str">
        <f>"4차"</f>
        <v>4차</v>
      </c>
      <c r="D16238" s="1" t="str">
        <f>"0130W14131"</f>
        <v>0130W14131</v>
      </c>
      <c r="E16238" s="1" t="s">
        <v>10</v>
      </c>
      <c r="F16238" s="1" t="str">
        <f>"10.14.4.123"</f>
        <v>10.14.4.123</v>
      </c>
      <c r="G16238" s="1" t="str">
        <f>"0130W141"</f>
        <v>0130W141</v>
      </c>
      <c r="H16238" s="1" t="str">
        <f>"수유간 86R13L2"</f>
        <v>수유간 86R13L2</v>
      </c>
      <c r="I16238" s="1" t="s">
        <v>8</v>
      </c>
      <c r="J16238" s="1" t="str">
        <f>"43/43"</f>
        <v>43/43</v>
      </c>
      <c r="K16238" s="1" t="str">
        <f>"2026-07-29 13:18:02"</f>
        <v>2026-07-29 13:18:02</v>
      </c>
      <c r="L16238" s="1" t="str">
        <f>"2025-07-11 14:34:31"</f>
        <v>2025-07-11 14:34:31</v>
      </c>
      <c r="M16238" s="1" t="s">
        <v>3</v>
      </c>
      <c r="N16238" s="1" t="s">
        <v>38</v>
      </c>
      <c r="O16238" s="1" t="s">
        <v>46</v>
      </c>
    </row>
    <row r="16239" spans="2:15" x14ac:dyDescent="0.3">
      <c r="B16239" s="1" t="s">
        <v>19</v>
      </c>
      <c r="C16239" s="1" t="str">
        <f>"4차"</f>
        <v>4차</v>
      </c>
      <c r="D16239" s="1" t="str">
        <f>"0130W15130"</f>
        <v>0130W15130</v>
      </c>
      <c r="E16239" s="1" t="s">
        <v>10</v>
      </c>
      <c r="F16239" s="1" t="str">
        <f>"10.107.122.83"</f>
        <v>10.107.122.83</v>
      </c>
      <c r="G16239" s="1" t="str">
        <f>"0130W151"</f>
        <v>0130W151</v>
      </c>
      <c r="H16239" s="1" t="str">
        <f>"구청지 40R8L1L2"</f>
        <v>구청지 40R8L1L2</v>
      </c>
      <c r="I16239" s="1" t="s">
        <v>8</v>
      </c>
      <c r="J16239" s="1" t="str">
        <f>"57/58"</f>
        <v>57/58</v>
      </c>
      <c r="K16239" s="1" t="str">
        <f>"2026-07-29 13:18:01"</f>
        <v>2026-07-29 13:18:01</v>
      </c>
      <c r="L16239" s="1" t="str">
        <f>"2018-03-19 12:44:25"</f>
        <v>2018-03-19 12:44:25</v>
      </c>
      <c r="M16239" s="1" t="s">
        <v>45</v>
      </c>
      <c r="N16239" s="1" t="s">
        <v>38</v>
      </c>
      <c r="O16239" s="1" t="s">
        <v>46</v>
      </c>
    </row>
    <row r="16240" spans="2:15" x14ac:dyDescent="0.3">
      <c r="B16240" s="1" t="s">
        <v>19</v>
      </c>
      <c r="C16240" s="1" t="str">
        <f>"5-2차"</f>
        <v>5-2차</v>
      </c>
      <c r="D16240" s="1" t="str">
        <f>"0130W1615M"</f>
        <v>0130W1615M</v>
      </c>
      <c r="E16240" s="1" t="s">
        <v>10</v>
      </c>
      <c r="F16240" s="1" t="str">
        <f>"fde3:102:1410:4400:0:0:0:b"</f>
        <v>fde3:102:1410:4400:0:0:0:b</v>
      </c>
      <c r="G16240" s="1" t="str">
        <f>"0130W161"</f>
        <v>0130W161</v>
      </c>
      <c r="H16240" s="1" t="str">
        <f>"구청지 40R9"</f>
        <v>구청지 40R9</v>
      </c>
      <c r="I16240" s="1" t="s">
        <v>15</v>
      </c>
      <c r="J16240" s="1" t="str">
        <f>"44/44"</f>
        <v>44/44</v>
      </c>
      <c r="K16240" s="1" t="str">
        <f>"2026-07-29 14:20:22"</f>
        <v>2026-07-29 14:20:22</v>
      </c>
      <c r="L16240" s="1" t="str">
        <f>"2023-08-18 10:45:08"</f>
        <v>2023-08-18 10:45:08</v>
      </c>
      <c r="M16240" s="1" t="s">
        <v>45</v>
      </c>
      <c r="N16240" s="1" t="s">
        <v>38</v>
      </c>
      <c r="O16240" s="1" t="s">
        <v>46</v>
      </c>
    </row>
    <row r="16241" spans="2:15" x14ac:dyDescent="0.3">
      <c r="B16241" s="1" t="s">
        <v>19</v>
      </c>
      <c r="C16241" s="1" t="str">
        <f>"5-2차"</f>
        <v>5-2차</v>
      </c>
      <c r="D16241" s="1" t="str">
        <f>"0130W1635M"</f>
        <v>0130W1635M</v>
      </c>
      <c r="E16241" s="1" t="s">
        <v>10</v>
      </c>
      <c r="F16241" s="1" t="str">
        <f>"fde3:102:1410:4400:0:0:0:11"</f>
        <v>fde3:102:1410:4400:0:0:0:11</v>
      </c>
      <c r="G16241" s="1" t="str">
        <f>"0130W163"</f>
        <v>0130W163</v>
      </c>
      <c r="H16241" s="1" t="str">
        <f>"구청지 40R8L1"</f>
        <v>구청지 40R8L1</v>
      </c>
      <c r="I16241" s="1" t="s">
        <v>15</v>
      </c>
      <c r="J16241" s="1" t="str">
        <f>"73/73"</f>
        <v>73/73</v>
      </c>
      <c r="K16241" s="1" t="str">
        <f>"2026-07-29 14:20:46"</f>
        <v>2026-07-29 14:20:46</v>
      </c>
      <c r="L16241" s="1" t="str">
        <f>"2023-12-12 11:06:28"</f>
        <v>2023-12-12 11:06:28</v>
      </c>
      <c r="M16241" s="1" t="s">
        <v>45</v>
      </c>
      <c r="N16241" s="1" t="s">
        <v>38</v>
      </c>
      <c r="O16241" s="1" t="s">
        <v>46</v>
      </c>
    </row>
    <row r="16242" spans="2:15" x14ac:dyDescent="0.3">
      <c r="B16242" s="1" t="s">
        <v>19</v>
      </c>
      <c r="C16242" s="1" t="str">
        <f>"4차"</f>
        <v>4차</v>
      </c>
      <c r="D16242" s="1" t="str">
        <f>"0130W19439"</f>
        <v>0130W19439</v>
      </c>
      <c r="E16242" s="1" t="s">
        <v>10</v>
      </c>
      <c r="F16242" s="1" t="str">
        <f>"10.12.131.21"</f>
        <v>10.12.131.21</v>
      </c>
      <c r="G16242" s="1" t="str">
        <f>"0130W194"</f>
        <v>0130W194</v>
      </c>
      <c r="H16242" s="1" t="str">
        <f>"사일구 7"</f>
        <v>사일구 7</v>
      </c>
      <c r="I16242" s="1" t="s">
        <v>17</v>
      </c>
      <c r="J16242" s="1" t="str">
        <f>"3/3"</f>
        <v>3/3</v>
      </c>
      <c r="K16242" s="1" t="str">
        <f>"2026-07-29 13:18:02"</f>
        <v>2026-07-29 13:18:02</v>
      </c>
      <c r="L16242" s="1" t="str">
        <f>"2018-05-28 11:02:41"</f>
        <v>2018-05-28 11:02:41</v>
      </c>
      <c r="M16242" s="1" t="s">
        <v>0</v>
      </c>
      <c r="N16242" s="1" t="s">
        <v>38</v>
      </c>
      <c r="O16242" s="1" t="s">
        <v>46</v>
      </c>
    </row>
    <row r="16243" spans="2:15" x14ac:dyDescent="0.3">
      <c r="B16243" s="1" t="s">
        <v>19</v>
      </c>
      <c r="C16243" s="1" t="str">
        <f>"3차"</f>
        <v>3차</v>
      </c>
      <c r="D16243" s="1" t="str">
        <f>"0130W21230"</f>
        <v>0130W21230</v>
      </c>
      <c r="E16243" s="1" t="s">
        <v>10</v>
      </c>
      <c r="F16243" s="1" t="str">
        <f>"10.107.122.85"</f>
        <v>10.107.122.85</v>
      </c>
      <c r="G16243" s="1" t="str">
        <f>"0130W212"</f>
        <v>0130W212</v>
      </c>
      <c r="H16243" s="1" t="str">
        <f>"수유간 86R15"</f>
        <v>수유간 86R15</v>
      </c>
      <c r="I16243" s="1" t="s">
        <v>8</v>
      </c>
      <c r="J16243" s="1" t="str">
        <f>"1/1"</f>
        <v>1/1</v>
      </c>
      <c r="K16243" s="1" t="str">
        <f>"2026-07-29 13:18:01"</f>
        <v>2026-07-29 13:18:01</v>
      </c>
      <c r="L16243" s="1" t="str">
        <f>"2018-03-23 14:00:11"</f>
        <v>2018-03-23 14:00:11</v>
      </c>
      <c r="M16243" s="1" t="s">
        <v>45</v>
      </c>
      <c r="N16243" s="1" t="s">
        <v>38</v>
      </c>
      <c r="O16243" s="1" t="s">
        <v>46</v>
      </c>
    </row>
    <row r="16244" spans="2:15" x14ac:dyDescent="0.3">
      <c r="B16244" s="1" t="s">
        <v>19</v>
      </c>
      <c r="C16244" s="1" t="str">
        <f>"3차"</f>
        <v>3차</v>
      </c>
      <c r="D16244" s="1" t="str">
        <f>"0130W21431"</f>
        <v>0130W21431</v>
      </c>
      <c r="E16244" s="1" t="s">
        <v>10</v>
      </c>
      <c r="F16244" s="1" t="str">
        <f>"10.107.122.86"</f>
        <v>10.107.122.86</v>
      </c>
      <c r="G16244" s="1" t="str">
        <f>"0130W214"</f>
        <v>0130W214</v>
      </c>
      <c r="H16244" s="1" t="str">
        <f>"수유간 86R15L1"</f>
        <v>수유간 86R15L1</v>
      </c>
      <c r="I16244" s="1" t="s">
        <v>8</v>
      </c>
      <c r="J16244" s="1" t="str">
        <f>"2/2"</f>
        <v>2/2</v>
      </c>
      <c r="K16244" s="1" t="str">
        <f>"2026-07-29 13:18:01"</f>
        <v>2026-07-29 13:18:01</v>
      </c>
      <c r="L16244" s="1" t="str">
        <f>"2018-04-04 15:02:20"</f>
        <v>2018-04-04 15:02:20</v>
      </c>
      <c r="M16244" s="1" t="s">
        <v>45</v>
      </c>
      <c r="N16244" s="1" t="s">
        <v>38</v>
      </c>
      <c r="O16244" s="1" t="s">
        <v>46</v>
      </c>
    </row>
    <row r="16245" spans="2:15" x14ac:dyDescent="0.3">
      <c r="B16245" s="1" t="s">
        <v>19</v>
      </c>
      <c r="C16245" s="1" t="str">
        <f>"4차"</f>
        <v>4차</v>
      </c>
      <c r="D16245" s="1" t="str">
        <f>"0130W23130"</f>
        <v>0130W23130</v>
      </c>
      <c r="E16245" s="1" t="s">
        <v>10</v>
      </c>
      <c r="F16245" s="1" t="str">
        <f>"10.107.122.94"</f>
        <v>10.107.122.94</v>
      </c>
      <c r="G16245" s="1" t="str">
        <f>"0130W231"</f>
        <v>0130W231</v>
      </c>
      <c r="H16245" s="1" t="str">
        <f>"수유간 86R13L3"</f>
        <v>수유간 86R13L3</v>
      </c>
      <c r="I16245" s="1" t="s">
        <v>8</v>
      </c>
      <c r="J16245" s="1" t="str">
        <f>"61/61"</f>
        <v>61/61</v>
      </c>
      <c r="K16245" s="1" t="str">
        <f>"2026-07-29 13:18:01"</f>
        <v>2026-07-29 13:18:01</v>
      </c>
      <c r="L16245" s="1" t="str">
        <f>"2018-04-04 09:02:39"</f>
        <v>2018-04-04 09:02:39</v>
      </c>
      <c r="M16245" s="1" t="s">
        <v>45</v>
      </c>
      <c r="N16245" s="1" t="s">
        <v>38</v>
      </c>
      <c r="O16245" s="1" t="s">
        <v>46</v>
      </c>
    </row>
    <row r="16246" spans="2:15" x14ac:dyDescent="0.3">
      <c r="B16246" s="1" t="s">
        <v>19</v>
      </c>
      <c r="C16246" s="1" t="str">
        <f>"5-2차"</f>
        <v>5-2차</v>
      </c>
      <c r="D16246" s="1" t="str">
        <f>"0130W2515M"</f>
        <v>0130W2515M</v>
      </c>
      <c r="E16246" s="1" t="s">
        <v>10</v>
      </c>
      <c r="F16246" s="1" t="str">
        <f>"fde3:102:1410:4400:0:0:0:f"</f>
        <v>fde3:102:1410:4400:0:0:0:f</v>
      </c>
      <c r="G16246" s="1" t="str">
        <f>"0130W251"</f>
        <v>0130W251</v>
      </c>
      <c r="H16246" s="1" t="str">
        <f>"구청지 40R7"</f>
        <v>구청지 40R7</v>
      </c>
      <c r="I16246" s="1" t="s">
        <v>15</v>
      </c>
      <c r="J16246" s="1" t="str">
        <f>"64/65"</f>
        <v>64/65</v>
      </c>
      <c r="K16246" s="1" t="str">
        <f>"2026-07-29 14:21:03"</f>
        <v>2026-07-29 14:21:03</v>
      </c>
      <c r="L16246" s="1" t="str">
        <f>"2023-08-18 10:25:18"</f>
        <v>2023-08-18 10:25:18</v>
      </c>
      <c r="M16246" s="1" t="s">
        <v>45</v>
      </c>
      <c r="N16246" s="1" t="s">
        <v>38</v>
      </c>
      <c r="O16246" s="1" t="s">
        <v>46</v>
      </c>
    </row>
    <row r="16247" spans="2:15" x14ac:dyDescent="0.3">
      <c r="B16247" s="1" t="s">
        <v>19</v>
      </c>
      <c r="C16247" s="1" t="str">
        <f>"3차"</f>
        <v>3차</v>
      </c>
      <c r="D16247" s="1" t="str">
        <f>"0130W25431"</f>
        <v>0130W25431</v>
      </c>
      <c r="E16247" s="1" t="s">
        <v>10</v>
      </c>
      <c r="F16247" s="1" t="str">
        <f>"10.107.122.81"</f>
        <v>10.107.122.81</v>
      </c>
      <c r="G16247" s="1" t="str">
        <f>"0130W254"</f>
        <v>0130W254</v>
      </c>
      <c r="H16247" s="1" t="str">
        <f>"구청지 40R6"</f>
        <v>구청지 40R6</v>
      </c>
      <c r="I16247" s="1" t="s">
        <v>8</v>
      </c>
      <c r="J16247" s="1" t="str">
        <f>"68/69"</f>
        <v>68/69</v>
      </c>
      <c r="K16247" s="1" t="str">
        <f>"2026-07-29 13:18:02"</f>
        <v>2026-07-29 13:18:02</v>
      </c>
      <c r="L16247" s="1" t="str">
        <f>"2018-02-13 17:01:32"</f>
        <v>2018-02-13 17:01:32</v>
      </c>
      <c r="M16247" s="1" t="s">
        <v>45</v>
      </c>
      <c r="N16247" s="1" t="s">
        <v>38</v>
      </c>
      <c r="O16247" s="1" t="s">
        <v>46</v>
      </c>
    </row>
    <row r="16248" spans="2:15" x14ac:dyDescent="0.3">
      <c r="B16248" s="1" t="s">
        <v>19</v>
      </c>
      <c r="C16248" s="1" t="str">
        <f>"5-2차"</f>
        <v>5-2차</v>
      </c>
      <c r="D16248" s="1" t="str">
        <f>"0130W2625M"</f>
        <v>0130W2625M</v>
      </c>
      <c r="E16248" s="1" t="s">
        <v>10</v>
      </c>
      <c r="F16248" s="1" t="str">
        <f>"fde3:102:1410:4400:0:0:0:c"</f>
        <v>fde3:102:1410:4400:0:0:0:c</v>
      </c>
      <c r="G16248" s="1" t="str">
        <f>"0130W262"</f>
        <v>0130W262</v>
      </c>
      <c r="H16248" s="1" t="str">
        <f>"구청지 40R8R1"</f>
        <v>구청지 40R8R1</v>
      </c>
      <c r="I16248" s="1" t="s">
        <v>15</v>
      </c>
      <c r="J16248" s="1" t="str">
        <f>"42/42"</f>
        <v>42/42</v>
      </c>
      <c r="K16248" s="1" t="str">
        <f>"2026-07-29 14:20:46"</f>
        <v>2026-07-29 14:20:46</v>
      </c>
      <c r="L16248" s="1" t="str">
        <f>"2023-08-18 10:31:42"</f>
        <v>2023-08-18 10:31:42</v>
      </c>
      <c r="M16248" s="1" t="s">
        <v>45</v>
      </c>
      <c r="N16248" s="1" t="s">
        <v>38</v>
      </c>
      <c r="O16248" s="1" t="s">
        <v>46</v>
      </c>
    </row>
    <row r="16249" spans="2:15" x14ac:dyDescent="0.3">
      <c r="B16249" s="1" t="s">
        <v>19</v>
      </c>
      <c r="C16249" s="1" t="str">
        <f>"4차"</f>
        <v>4차</v>
      </c>
      <c r="D16249" s="1" t="str">
        <f>"0130W27639"</f>
        <v>0130W27639</v>
      </c>
      <c r="E16249" s="1" t="s">
        <v>10</v>
      </c>
      <c r="F16249" s="1" t="str">
        <f>"10.12.137.57"</f>
        <v>10.12.137.57</v>
      </c>
      <c r="G16249" s="1" t="str">
        <f>"0130W276"</f>
        <v>0130W276</v>
      </c>
      <c r="H16249" s="1" t="str">
        <f>"사일구 34"</f>
        <v>사일구 34</v>
      </c>
      <c r="I16249" s="1" t="s">
        <v>17</v>
      </c>
      <c r="J16249" s="1" t="str">
        <f>"2/2"</f>
        <v>2/2</v>
      </c>
      <c r="K16249" s="1" t="str">
        <f>"2026-07-29 13:18:02"</f>
        <v>2026-07-29 13:18:02</v>
      </c>
      <c r="L16249" s="1" t="str">
        <f>"2018-05-29 11:14:41"</f>
        <v>2018-05-29 11:14:41</v>
      </c>
      <c r="M16249" s="1" t="s">
        <v>0</v>
      </c>
      <c r="N16249" s="1" t="s">
        <v>38</v>
      </c>
      <c r="O16249" s="1" t="s">
        <v>46</v>
      </c>
    </row>
    <row r="16250" spans="2:15" x14ac:dyDescent="0.3">
      <c r="B16250" s="1" t="s">
        <v>19</v>
      </c>
      <c r="C16250" s="1" t="str">
        <f>"4차"</f>
        <v>4차</v>
      </c>
      <c r="D16250" s="1" t="str">
        <f>"0130W28239"</f>
        <v>0130W28239</v>
      </c>
      <c r="E16250" s="1" t="s">
        <v>10</v>
      </c>
      <c r="F16250" s="1" t="str">
        <f>"10.12.136.115"</f>
        <v>10.12.136.115</v>
      </c>
      <c r="G16250" s="1" t="str">
        <f>"0130W282"</f>
        <v>0130W282</v>
      </c>
      <c r="H16250" s="1" t="str">
        <f>"사일구 6"</f>
        <v>사일구 6</v>
      </c>
      <c r="I16250" s="1" t="s">
        <v>17</v>
      </c>
      <c r="J16250" s="1" t="str">
        <f>"12/12"</f>
        <v>12/12</v>
      </c>
      <c r="K16250" s="1" t="str">
        <f>"2026-07-29 13:18:02"</f>
        <v>2026-07-29 13:18:02</v>
      </c>
      <c r="L16250" s="1" t="str">
        <f>"2018-05-28 10:52:42"</f>
        <v>2018-05-28 10:52:42</v>
      </c>
      <c r="M16250" s="1" t="s">
        <v>0</v>
      </c>
      <c r="N16250" s="1" t="s">
        <v>38</v>
      </c>
      <c r="O16250" s="1" t="s">
        <v>46</v>
      </c>
    </row>
    <row r="16251" spans="2:15" x14ac:dyDescent="0.3">
      <c r="B16251" s="1" t="s">
        <v>19</v>
      </c>
      <c r="C16251" s="1" t="str">
        <f>"4차"</f>
        <v>4차</v>
      </c>
      <c r="D16251" s="1" t="str">
        <f>"0130W28439"</f>
        <v>0130W28439</v>
      </c>
      <c r="E16251" s="1" t="s">
        <v>10</v>
      </c>
      <c r="F16251" s="1" t="str">
        <f>"10.12.136.107"</f>
        <v>10.12.136.107</v>
      </c>
      <c r="G16251" s="1" t="str">
        <f>"0130W284"</f>
        <v>0130W284</v>
      </c>
      <c r="H16251" s="1" t="str">
        <f>"사일구 5"</f>
        <v>사일구 5</v>
      </c>
      <c r="I16251" s="1" t="s">
        <v>17</v>
      </c>
      <c r="J16251" s="1" t="str">
        <f>"3/3"</f>
        <v>3/3</v>
      </c>
      <c r="K16251" s="1" t="str">
        <f>"2026-07-29 13:18:03"</f>
        <v>2026-07-29 13:18:03</v>
      </c>
      <c r="L16251" s="1" t="str">
        <f>"2018-05-28 10:43:41"</f>
        <v>2018-05-28 10:43:41</v>
      </c>
      <c r="M16251" s="1" t="s">
        <v>0</v>
      </c>
      <c r="N16251" s="1" t="s">
        <v>38</v>
      </c>
      <c r="O16251" s="1" t="s">
        <v>46</v>
      </c>
    </row>
    <row r="16252" spans="2:15" x14ac:dyDescent="0.3">
      <c r="B16252" s="1" t="s">
        <v>19</v>
      </c>
      <c r="C16252" s="1" t="str">
        <f>"4차"</f>
        <v>4차</v>
      </c>
      <c r="D16252" s="1" t="str">
        <f>"0130W30139"</f>
        <v>0130W30139</v>
      </c>
      <c r="E16252" s="1" t="s">
        <v>10</v>
      </c>
      <c r="F16252" s="1" t="str">
        <f>"10.14.9.122"</f>
        <v>10.14.9.122</v>
      </c>
      <c r="G16252" s="1" t="str">
        <f>"0130W301"</f>
        <v>0130W301</v>
      </c>
      <c r="H16252" s="1" t="str">
        <f>"강북 15"</f>
        <v>강북 15</v>
      </c>
      <c r="I16252" s="1" t="s">
        <v>17</v>
      </c>
      <c r="J16252" s="1" t="str">
        <f>"1/1"</f>
        <v>1/1</v>
      </c>
      <c r="K16252" s="1" t="str">
        <f>"2026-07-29 13:18:02"</f>
        <v>2026-07-29 13:18:02</v>
      </c>
      <c r="L16252" s="1" t="str">
        <f>"2018-06-20 13:21:27"</f>
        <v>2018-06-20 13:21:27</v>
      </c>
      <c r="M16252" s="1" t="s">
        <v>3</v>
      </c>
      <c r="N16252" s="1" t="s">
        <v>38</v>
      </c>
      <c r="O16252" s="1" t="s">
        <v>46</v>
      </c>
    </row>
    <row r="16253" spans="2:15" x14ac:dyDescent="0.3">
      <c r="B16253" s="1" t="s">
        <v>19</v>
      </c>
      <c r="C16253" s="1" t="str">
        <f>"3차"</f>
        <v>3차</v>
      </c>
      <c r="D16253" s="1" t="str">
        <f>"0130W30239"</f>
        <v>0130W30239</v>
      </c>
      <c r="E16253" s="1" t="s">
        <v>10</v>
      </c>
      <c r="F16253" s="1" t="str">
        <f>"10.107.122.91"</f>
        <v>10.107.122.91</v>
      </c>
      <c r="G16253" s="1" t="str">
        <f>"0130W302"</f>
        <v>0130W302</v>
      </c>
      <c r="H16253" s="1" t="str">
        <f>"수유간 86R16"</f>
        <v>수유간 86R16</v>
      </c>
      <c r="I16253" s="1" t="s">
        <v>8</v>
      </c>
      <c r="J16253" s="1" t="str">
        <f>"2/2"</f>
        <v>2/2</v>
      </c>
      <c r="K16253" s="1" t="str">
        <f>"2026-07-29 13:18:02"</f>
        <v>2026-07-29 13:18:02</v>
      </c>
      <c r="L16253" s="1" t="str">
        <f>"2018-03-23 14:20:26"</f>
        <v>2018-03-23 14:20:26</v>
      </c>
      <c r="M16253" s="1" t="s">
        <v>45</v>
      </c>
      <c r="N16253" s="1" t="s">
        <v>38</v>
      </c>
      <c r="O16253" s="1" t="s">
        <v>46</v>
      </c>
    </row>
    <row r="16254" spans="2:15" x14ac:dyDescent="0.3">
      <c r="B16254" s="1" t="s">
        <v>19</v>
      </c>
      <c r="C16254" s="1" t="str">
        <f>"3차"</f>
        <v>3차</v>
      </c>
      <c r="D16254" s="1" t="str">
        <f>"0130W31139"</f>
        <v>0130W31139</v>
      </c>
      <c r="E16254" s="1" t="s">
        <v>10</v>
      </c>
      <c r="F16254" s="1" t="str">
        <f>"10.107.122.92"</f>
        <v>10.107.122.92</v>
      </c>
      <c r="G16254" s="1" t="str">
        <f>"0130W311"</f>
        <v>0130W311</v>
      </c>
      <c r="H16254" s="1" t="str">
        <f>"수유간 86R16L1"</f>
        <v>수유간 86R16L1</v>
      </c>
      <c r="I16254" s="1" t="s">
        <v>8</v>
      </c>
      <c r="J16254" s="1" t="str">
        <f>"45/45"</f>
        <v>45/45</v>
      </c>
      <c r="K16254" s="1" t="str">
        <f>"2026-07-29 13:18:02"</f>
        <v>2026-07-29 13:18:02</v>
      </c>
      <c r="L16254" s="1" t="str">
        <f>"2018-03-23 15:30:27"</f>
        <v>2018-03-23 15:30:27</v>
      </c>
      <c r="M16254" s="1" t="s">
        <v>45</v>
      </c>
      <c r="N16254" s="1" t="s">
        <v>38</v>
      </c>
      <c r="O16254" s="1" t="s">
        <v>46</v>
      </c>
    </row>
    <row r="16255" spans="2:15" x14ac:dyDescent="0.3">
      <c r="B16255" s="1" t="s">
        <v>19</v>
      </c>
      <c r="C16255" s="1" t="str">
        <f>"3차"</f>
        <v>3차</v>
      </c>
      <c r="D16255" s="1" t="str">
        <f>"0130W33232"</f>
        <v>0130W33232</v>
      </c>
      <c r="E16255" s="1" t="s">
        <v>10</v>
      </c>
      <c r="F16255" s="1" t="str">
        <f>"10.107.122.194"</f>
        <v>10.107.122.194</v>
      </c>
      <c r="G16255" s="1" t="str">
        <f>"0130W332"</f>
        <v>0130W332</v>
      </c>
      <c r="H16255" s="1" t="str">
        <f>"수유간 86R13L4"</f>
        <v>수유간 86R13L4</v>
      </c>
      <c r="I16255" s="1" t="s">
        <v>8</v>
      </c>
      <c r="J16255" s="1" t="str">
        <f>"41/41"</f>
        <v>41/41</v>
      </c>
      <c r="K16255" s="1" t="str">
        <f>"2026-07-29 13:18:02"</f>
        <v>2026-07-29 13:18:02</v>
      </c>
      <c r="L16255" s="1" t="str">
        <f>"2018-04-04 09:03:46"</f>
        <v>2018-04-04 09:03:46</v>
      </c>
      <c r="M16255" s="1" t="s">
        <v>45</v>
      </c>
      <c r="N16255" s="1" t="s">
        <v>38</v>
      </c>
      <c r="O16255" s="1" t="s">
        <v>46</v>
      </c>
    </row>
    <row r="16256" spans="2:15" x14ac:dyDescent="0.3">
      <c r="B16256" s="1" t="s">
        <v>19</v>
      </c>
      <c r="C16256" s="1" t="str">
        <f>"3차"</f>
        <v>3차</v>
      </c>
      <c r="D16256" s="1" t="str">
        <f>"0130W35230"</f>
        <v>0130W35230</v>
      </c>
      <c r="E16256" s="1" t="s">
        <v>10</v>
      </c>
      <c r="F16256" s="1" t="str">
        <f>"10.107.122.80"</f>
        <v>10.107.122.80</v>
      </c>
      <c r="G16256" s="1" t="str">
        <f>"0130W352"</f>
        <v>0130W352</v>
      </c>
      <c r="H16256" s="1" t="str">
        <f>"구청지 40R5"</f>
        <v>구청지 40R5</v>
      </c>
      <c r="I16256" s="1" t="s">
        <v>8</v>
      </c>
      <c r="J16256" s="1" t="str">
        <f>"51/56"</f>
        <v>51/56</v>
      </c>
      <c r="K16256" s="1" t="str">
        <f>"2026-07-29 13:18:02"</f>
        <v>2026-07-29 13:18:02</v>
      </c>
      <c r="L16256" s="1" t="str">
        <f>"2018-02-13 17:05:56"</f>
        <v>2018-02-13 17:05:56</v>
      </c>
      <c r="M16256" s="1" t="s">
        <v>45</v>
      </c>
      <c r="N16256" s="1" t="s">
        <v>38</v>
      </c>
      <c r="O16256" s="1" t="s">
        <v>46</v>
      </c>
    </row>
    <row r="16257" spans="2:15" x14ac:dyDescent="0.3">
      <c r="B16257" s="1" t="s">
        <v>19</v>
      </c>
      <c r="C16257" s="1" t="str">
        <f t="shared" ref="C16257:C16262" si="810">"4차"</f>
        <v>4차</v>
      </c>
      <c r="D16257" s="1" t="str">
        <f>"0130W36439"</f>
        <v>0130W36439</v>
      </c>
      <c r="E16257" s="1" t="s">
        <v>10</v>
      </c>
      <c r="F16257" s="1" t="str">
        <f>"10.12.136.47"</f>
        <v>10.12.136.47</v>
      </c>
      <c r="G16257" s="1" t="str">
        <f>"0130W364"</f>
        <v>0130W364</v>
      </c>
      <c r="H16257" s="1" t="str">
        <f>"사일구 33"</f>
        <v>사일구 33</v>
      </c>
      <c r="I16257" s="1" t="s">
        <v>17</v>
      </c>
      <c r="J16257" s="1" t="str">
        <f>"2/2"</f>
        <v>2/2</v>
      </c>
      <c r="K16257" s="1" t="str">
        <f>"2026-07-29 07:18:03"</f>
        <v>2026-07-29 07:18:03</v>
      </c>
      <c r="L16257" s="1" t="str">
        <f>"2018-05-29 11:26:56"</f>
        <v>2018-05-29 11:26:56</v>
      </c>
      <c r="M16257" s="1" t="s">
        <v>0</v>
      </c>
      <c r="N16257" s="1" t="s">
        <v>38</v>
      </c>
      <c r="O16257" s="1" t="s">
        <v>46</v>
      </c>
    </row>
    <row r="16258" spans="2:15" x14ac:dyDescent="0.3">
      <c r="B16258" s="1" t="s">
        <v>19</v>
      </c>
      <c r="C16258" s="1" t="str">
        <f t="shared" si="810"/>
        <v>4차</v>
      </c>
      <c r="D16258" s="1" t="str">
        <f>"0130W37439"</f>
        <v>0130W37439</v>
      </c>
      <c r="E16258" s="1" t="s">
        <v>10</v>
      </c>
      <c r="F16258" s="1" t="str">
        <f>"10.12.136.46"</f>
        <v>10.12.136.46</v>
      </c>
      <c r="G16258" s="1" t="str">
        <f>"0130W374"</f>
        <v>0130W374</v>
      </c>
      <c r="H16258" s="1" t="str">
        <f>"사일구 4"</f>
        <v>사일구 4</v>
      </c>
      <c r="I16258" s="1" t="s">
        <v>17</v>
      </c>
      <c r="J16258" s="1" t="str">
        <f>"3/3"</f>
        <v>3/3</v>
      </c>
      <c r="K16258" s="1" t="str">
        <f>"2026-07-29 13:18:03"</f>
        <v>2026-07-29 13:18:03</v>
      </c>
      <c r="L16258" s="1" t="str">
        <f>"2018-05-28 10:32:55"</f>
        <v>2018-05-28 10:32:55</v>
      </c>
      <c r="M16258" s="1" t="s">
        <v>0</v>
      </c>
      <c r="N16258" s="1" t="s">
        <v>38</v>
      </c>
      <c r="O16258" s="1" t="s">
        <v>46</v>
      </c>
    </row>
    <row r="16259" spans="2:15" x14ac:dyDescent="0.3">
      <c r="B16259" s="1" t="s">
        <v>19</v>
      </c>
      <c r="C16259" s="1" t="str">
        <f t="shared" si="810"/>
        <v>4차</v>
      </c>
      <c r="D16259" s="1" t="str">
        <f>"0130W39139"</f>
        <v>0130W39139</v>
      </c>
      <c r="E16259" s="1" t="s">
        <v>10</v>
      </c>
      <c r="F16259" s="1" t="str">
        <f>"10.107.121.16"</f>
        <v>10.107.121.16</v>
      </c>
      <c r="G16259" s="1" t="str">
        <f>"0130W391"</f>
        <v>0130W391</v>
      </c>
      <c r="H16259" s="1" t="str">
        <f>"구청지 26L5L3"</f>
        <v>구청지 26L5L3</v>
      </c>
      <c r="I16259" s="1" t="s">
        <v>8</v>
      </c>
      <c r="J16259" s="1" t="str">
        <f>"41/41"</f>
        <v>41/41</v>
      </c>
      <c r="K16259" s="1" t="str">
        <f>"2026-07-29 13:18:02"</f>
        <v>2026-07-29 13:18:02</v>
      </c>
      <c r="L16259" s="1" t="str">
        <f>"2018-02-21 17:08:42"</f>
        <v>2018-02-21 17:08:42</v>
      </c>
      <c r="M16259" s="1" t="s">
        <v>45</v>
      </c>
      <c r="N16259" s="1" t="s">
        <v>38</v>
      </c>
      <c r="O16259" s="1" t="s">
        <v>46</v>
      </c>
    </row>
    <row r="16260" spans="2:15" x14ac:dyDescent="0.3">
      <c r="B16260" s="1" t="s">
        <v>19</v>
      </c>
      <c r="C16260" s="1" t="str">
        <f t="shared" si="810"/>
        <v>4차</v>
      </c>
      <c r="D16260" s="1" t="str">
        <f>"0130W41139"</f>
        <v>0130W41139</v>
      </c>
      <c r="E16260" s="1" t="s">
        <v>10</v>
      </c>
      <c r="F16260" s="1" t="str">
        <f>"10.12.136.119"</f>
        <v>10.12.136.119</v>
      </c>
      <c r="G16260" s="1" t="str">
        <f>"0130W411"</f>
        <v>0130W411</v>
      </c>
      <c r="H16260" s="1" t="str">
        <f>"강북 13"</f>
        <v>강북 13</v>
      </c>
      <c r="I16260" s="1" t="s">
        <v>17</v>
      </c>
      <c r="J16260" s="1" t="str">
        <f>"4/4"</f>
        <v>4/4</v>
      </c>
      <c r="K16260" s="1" t="str">
        <f>"2026-07-29 13:18:02"</f>
        <v>2026-07-29 13:18:02</v>
      </c>
      <c r="L16260" s="1" t="str">
        <f>"2018-05-29 14:00:43"</f>
        <v>2018-05-29 14:00:43</v>
      </c>
      <c r="M16260" s="1" t="s">
        <v>0</v>
      </c>
      <c r="N16260" s="1" t="s">
        <v>38</v>
      </c>
      <c r="O16260" s="1" t="s">
        <v>46</v>
      </c>
    </row>
    <row r="16261" spans="2:15" x14ac:dyDescent="0.3">
      <c r="B16261" s="1" t="s">
        <v>19</v>
      </c>
      <c r="C16261" s="1" t="str">
        <f t="shared" si="810"/>
        <v>4차</v>
      </c>
      <c r="D16261" s="1" t="str">
        <f>"0130W41239"</f>
        <v>0130W41239</v>
      </c>
      <c r="E16261" s="1" t="s">
        <v>10</v>
      </c>
      <c r="F16261" s="1" t="str">
        <f>"10.12.136.64"</f>
        <v>10.12.136.64</v>
      </c>
      <c r="G16261" s="1" t="str">
        <f>"0130W412"</f>
        <v>0130W412</v>
      </c>
      <c r="H16261" s="1" t="str">
        <f>"강북 14"</f>
        <v>강북 14</v>
      </c>
      <c r="I16261" s="1" t="s">
        <v>17</v>
      </c>
      <c r="J16261" s="1" t="str">
        <f>"2/3"</f>
        <v>2/3</v>
      </c>
      <c r="K16261" s="1" t="str">
        <f>"2026-07-29 13:18:03"</f>
        <v>2026-07-29 13:18:03</v>
      </c>
      <c r="L16261" s="1" t="str">
        <f>"2018-05-29 14:12:59"</f>
        <v>2018-05-29 14:12:59</v>
      </c>
      <c r="M16261" s="1" t="s">
        <v>0</v>
      </c>
      <c r="N16261" s="1" t="s">
        <v>38</v>
      </c>
      <c r="O16261" s="1" t="s">
        <v>46</v>
      </c>
    </row>
    <row r="16262" spans="2:15" x14ac:dyDescent="0.3">
      <c r="B16262" s="1" t="s">
        <v>19</v>
      </c>
      <c r="C16262" s="1" t="str">
        <f t="shared" si="810"/>
        <v>4차</v>
      </c>
      <c r="D16262" s="1" t="str">
        <f>"0130W42639"</f>
        <v>0130W42639</v>
      </c>
      <c r="E16262" s="1" t="s">
        <v>10</v>
      </c>
      <c r="F16262" s="1" t="str">
        <f>"10.12.136.120"</f>
        <v>10.12.136.120</v>
      </c>
      <c r="G16262" s="1" t="str">
        <f>"0130W426"</f>
        <v>0130W426</v>
      </c>
      <c r="H16262" s="1" t="str">
        <f>"강북 12"</f>
        <v>강북 12</v>
      </c>
      <c r="I16262" s="1" t="s">
        <v>17</v>
      </c>
      <c r="J16262" s="1" t="str">
        <f>"9/9"</f>
        <v>9/9</v>
      </c>
      <c r="K16262" s="1" t="str">
        <f>"2026-07-29 13:18:02"</f>
        <v>2026-07-29 13:18:02</v>
      </c>
      <c r="L16262" s="1" t="str">
        <f>"2018-05-29 13:44:29"</f>
        <v>2018-05-29 13:44:29</v>
      </c>
      <c r="M16262" s="1" t="s">
        <v>0</v>
      </c>
      <c r="N16262" s="1" t="s">
        <v>38</v>
      </c>
      <c r="O16262" s="1" t="s">
        <v>46</v>
      </c>
    </row>
    <row r="16263" spans="2:15" x14ac:dyDescent="0.3">
      <c r="B16263" s="1" t="s">
        <v>19</v>
      </c>
      <c r="C16263" s="1" t="str">
        <f>"3차"</f>
        <v>3차</v>
      </c>
      <c r="D16263" s="1" t="str">
        <f>"0130W43139"</f>
        <v>0130W43139</v>
      </c>
      <c r="E16263" s="1" t="s">
        <v>14</v>
      </c>
      <c r="F16263" s="1" t="str">
        <f>"10.107.122.195"</f>
        <v>10.107.122.195</v>
      </c>
      <c r="G16263" s="1" t="str">
        <f>"0130W431"</f>
        <v>0130W431</v>
      </c>
      <c r="H16263" s="1" t="str">
        <f>"구청지 40R2"</f>
        <v>구청지 40R2</v>
      </c>
      <c r="I16263" s="1" t="s">
        <v>8</v>
      </c>
      <c r="J16263" s="1" t="str">
        <f>"0/0"</f>
        <v>0/0</v>
      </c>
      <c r="K16263" s="1" t="str">
        <f>"2026-07-28 07:18:01"</f>
        <v>2026-07-28 07:18:01</v>
      </c>
      <c r="L16263" s="1" t="str">
        <f>"2018-04-09 11:59:56"</f>
        <v>2018-04-09 11:59:56</v>
      </c>
      <c r="M16263" s="1" t="s">
        <v>45</v>
      </c>
      <c r="N16263" s="1" t="s">
        <v>38</v>
      </c>
      <c r="O16263" s="1" t="s">
        <v>44</v>
      </c>
    </row>
    <row r="16264" spans="2:15" x14ac:dyDescent="0.3">
      <c r="B16264" s="1" t="s">
        <v>19</v>
      </c>
      <c r="C16264" s="1" t="str">
        <f>"4차"</f>
        <v>4차</v>
      </c>
      <c r="D16264" s="1" t="str">
        <f>"0130W45239"</f>
        <v>0130W45239</v>
      </c>
      <c r="E16264" s="1" t="s">
        <v>14</v>
      </c>
      <c r="F16264" s="1" t="str">
        <f>"10.12.136.117"</f>
        <v>10.12.136.117</v>
      </c>
      <c r="G16264" s="1" t="str">
        <f>"0130W452"</f>
        <v>0130W452</v>
      </c>
      <c r="H16264" s="1" t="str">
        <f>"사일구 31"</f>
        <v>사일구 31</v>
      </c>
      <c r="I16264" s="1" t="s">
        <v>17</v>
      </c>
      <c r="J16264" s="1" t="str">
        <f>"0/0"</f>
        <v>0/0</v>
      </c>
      <c r="K16264" s="1" t="str">
        <f>"2026-04-09 07:18:02"</f>
        <v>2026-04-09 07:18:02</v>
      </c>
      <c r="L16264" s="1" t="str">
        <f>"2018-05-29 11:49:57"</f>
        <v>2018-05-29 11:49:57</v>
      </c>
      <c r="M16264" s="1" t="s">
        <v>0</v>
      </c>
      <c r="N16264" s="1" t="s">
        <v>39</v>
      </c>
      <c r="O16264" s="1" t="s">
        <v>46</v>
      </c>
    </row>
    <row r="16265" spans="2:15" x14ac:dyDescent="0.3">
      <c r="B16265" s="1" t="s">
        <v>19</v>
      </c>
      <c r="C16265" s="1" t="str">
        <f>"4차"</f>
        <v>4차</v>
      </c>
      <c r="D16265" s="1" t="str">
        <f>"0130W46339"</f>
        <v>0130W46339</v>
      </c>
      <c r="E16265" s="1" t="s">
        <v>10</v>
      </c>
      <c r="F16265" s="1" t="str">
        <f>"10.12.136.109"</f>
        <v>10.12.136.109</v>
      </c>
      <c r="G16265" s="1" t="str">
        <f>"0130W463"</f>
        <v>0130W463</v>
      </c>
      <c r="H16265" s="1" t="str">
        <f>"사일구 32"</f>
        <v>사일구 32</v>
      </c>
      <c r="I16265" s="1" t="s">
        <v>17</v>
      </c>
      <c r="J16265" s="1" t="str">
        <f>"3/3"</f>
        <v>3/3</v>
      </c>
      <c r="K16265" s="1" t="str">
        <f>"2026-07-29 13:18:03"</f>
        <v>2026-07-29 13:18:03</v>
      </c>
      <c r="L16265" s="1" t="str">
        <f>"2018-05-29 11:38:41"</f>
        <v>2018-05-29 11:38:41</v>
      </c>
      <c r="M16265" s="1" t="s">
        <v>0</v>
      </c>
      <c r="N16265" s="1" t="s">
        <v>38</v>
      </c>
      <c r="O16265" s="1" t="s">
        <v>46</v>
      </c>
    </row>
    <row r="16266" spans="2:15" x14ac:dyDescent="0.3">
      <c r="B16266" s="1" t="s">
        <v>19</v>
      </c>
      <c r="C16266" s="1" t="str">
        <f>"4차"</f>
        <v>4차</v>
      </c>
      <c r="D16266" s="1" t="str">
        <f>"0130W46439"</f>
        <v>0130W46439</v>
      </c>
      <c r="E16266" s="1" t="s">
        <v>10</v>
      </c>
      <c r="F16266" s="1" t="str">
        <f>"10.12.137.51"</f>
        <v>10.12.137.51</v>
      </c>
      <c r="G16266" s="1" t="str">
        <f>"0130W464"</f>
        <v>0130W464</v>
      </c>
      <c r="H16266" s="1" t="str">
        <f>"사일구 3"</f>
        <v>사일구 3</v>
      </c>
      <c r="I16266" s="1" t="s">
        <v>17</v>
      </c>
      <c r="J16266" s="1" t="str">
        <f>"1/1"</f>
        <v>1/1</v>
      </c>
      <c r="K16266" s="1" t="str">
        <f>"2026-07-29 13:18:03"</f>
        <v>2026-07-29 13:18:03</v>
      </c>
      <c r="L16266" s="1" t="str">
        <f>"2018-05-28 09:55:40"</f>
        <v>2018-05-28 09:55:40</v>
      </c>
      <c r="M16266" s="1" t="s">
        <v>0</v>
      </c>
      <c r="N16266" s="1" t="s">
        <v>38</v>
      </c>
      <c r="O16266" s="1" t="s">
        <v>46</v>
      </c>
    </row>
    <row r="16267" spans="2:15" x14ac:dyDescent="0.3">
      <c r="B16267" s="1" t="s">
        <v>19</v>
      </c>
      <c r="C16267" s="1" t="str">
        <f>"3차"</f>
        <v>3차</v>
      </c>
      <c r="D16267" s="1" t="str">
        <f>"0130W47139"</f>
        <v>0130W47139</v>
      </c>
      <c r="E16267" s="1" t="s">
        <v>10</v>
      </c>
      <c r="F16267" s="1" t="str">
        <f>"10.107.121.13"</f>
        <v>10.107.121.13</v>
      </c>
      <c r="G16267" s="1" t="str">
        <f>"0130W471"</f>
        <v>0130W471</v>
      </c>
      <c r="H16267" s="1" t="str">
        <f>"구청지 26L14L3"</f>
        <v>구청지 26L14L3</v>
      </c>
      <c r="I16267" s="1" t="s">
        <v>8</v>
      </c>
      <c r="J16267" s="1" t="str">
        <f>"37/37"</f>
        <v>37/37</v>
      </c>
      <c r="K16267" s="1" t="str">
        <f>"2026-07-29 13:18:02"</f>
        <v>2026-07-29 13:18:02</v>
      </c>
      <c r="L16267" s="1" t="str">
        <f>"2018-02-21 17:48:45"</f>
        <v>2018-02-21 17:48:45</v>
      </c>
      <c r="M16267" s="1" t="s">
        <v>45</v>
      </c>
      <c r="N16267" s="1" t="s">
        <v>38</v>
      </c>
      <c r="O16267" s="1" t="s">
        <v>46</v>
      </c>
    </row>
    <row r="16268" spans="2:15" x14ac:dyDescent="0.3">
      <c r="B16268" s="1" t="s">
        <v>19</v>
      </c>
      <c r="C16268" s="1" t="str">
        <f>"4차"</f>
        <v>4차</v>
      </c>
      <c r="D16268" s="1" t="str">
        <f>"0130W55439"</f>
        <v>0130W55439</v>
      </c>
      <c r="E16268" s="1" t="s">
        <v>14</v>
      </c>
      <c r="F16268" s="1" t="str">
        <f>"10.12.137.61"</f>
        <v>10.12.137.61</v>
      </c>
      <c r="G16268" s="1" t="str">
        <f>"0130W554"</f>
        <v>0130W554</v>
      </c>
      <c r="H16268" s="1" t="str">
        <f>"사일구 2"</f>
        <v>사일구 2</v>
      </c>
      <c r="I16268" s="1" t="s">
        <v>17</v>
      </c>
      <c r="J16268" s="1" t="str">
        <f>"0/0"</f>
        <v>0/0</v>
      </c>
      <c r="K16268" s="1" t="str">
        <f>"2026-07-28 13:18:04"</f>
        <v>2026-07-28 13:18:04</v>
      </c>
      <c r="L16268" s="1" t="str">
        <f>"2018-05-28 09:46:10"</f>
        <v>2018-05-28 09:46:10</v>
      </c>
      <c r="M16268" s="1" t="s">
        <v>0</v>
      </c>
      <c r="N16268" s="1" t="s">
        <v>39</v>
      </c>
      <c r="O16268" s="1" t="s">
        <v>46</v>
      </c>
    </row>
    <row r="16269" spans="2:15" x14ac:dyDescent="0.3">
      <c r="B16269" s="1" t="s">
        <v>19</v>
      </c>
      <c r="C16269" s="1" t="str">
        <f>"1차"</f>
        <v>1차</v>
      </c>
      <c r="D16269" s="1" t="str">
        <f>"0130W57101"</f>
        <v>0130W57101</v>
      </c>
      <c r="E16269" s="1" t="s">
        <v>10</v>
      </c>
      <c r="F16269" s="1" t="str">
        <f>"10.12.134.136"</f>
        <v>10.12.134.136</v>
      </c>
      <c r="G16269" s="1" t="str">
        <f>"0130W571"</f>
        <v>0130W571</v>
      </c>
      <c r="H16269" s="1" t="str">
        <f>"구청지 26L14L2"</f>
        <v>구청지 26L14L2</v>
      </c>
      <c r="I16269" s="1" t="s">
        <v>8</v>
      </c>
      <c r="J16269" s="1" t="str">
        <f>"100/104"</f>
        <v>100/104</v>
      </c>
      <c r="K16269" s="1" t="str">
        <f>"2026-07-29 13:18:02"</f>
        <v>2026-07-29 13:18:02</v>
      </c>
      <c r="L16269" s="1" t="str">
        <f>"2014-11-14 00:13:44"</f>
        <v>2014-11-14 00:13:44</v>
      </c>
      <c r="M16269" s="1" t="s">
        <v>0</v>
      </c>
      <c r="N16269" s="1" t="s">
        <v>38</v>
      </c>
      <c r="O16269" s="1" t="s">
        <v>46</v>
      </c>
    </row>
    <row r="16270" spans="2:15" x14ac:dyDescent="0.3">
      <c r="B16270" s="1" t="s">
        <v>19</v>
      </c>
      <c r="C16270" s="1" t="s">
        <v>16</v>
      </c>
      <c r="D16270" s="1" t="str">
        <f>"0130W60141"</f>
        <v>0130W60141</v>
      </c>
      <c r="E16270" s="1" t="s">
        <v>10</v>
      </c>
      <c r="F16270" s="1" t="str">
        <f>"10.14.9.202"</f>
        <v>10.14.9.202</v>
      </c>
      <c r="G16270" s="1" t="str">
        <f>"0130W601"</f>
        <v>0130W601</v>
      </c>
      <c r="H16270" s="1" t="str">
        <f>"번동간 15"</f>
        <v>번동간 15</v>
      </c>
      <c r="I16270" s="1" t="s">
        <v>17</v>
      </c>
      <c r="J16270" s="1" t="str">
        <f>"31/31"</f>
        <v>31/31</v>
      </c>
      <c r="K16270" s="1" t="str">
        <f>"2026-07-29 13:18:03"</f>
        <v>2026-07-29 13:18:03</v>
      </c>
      <c r="L16270" s="1" t="str">
        <f>"2022-11-07 15:33:31"</f>
        <v>2022-11-07 15:33:31</v>
      </c>
      <c r="M16270" s="1" t="s">
        <v>3</v>
      </c>
      <c r="N16270" s="1" t="s">
        <v>38</v>
      </c>
      <c r="O16270" s="1" t="s">
        <v>46</v>
      </c>
    </row>
    <row r="16271" spans="2:15" x14ac:dyDescent="0.3">
      <c r="B16271" s="1" t="s">
        <v>19</v>
      </c>
      <c r="C16271" s="1" t="str">
        <f>"4차"</f>
        <v>4차</v>
      </c>
      <c r="D16271" s="1" t="str">
        <f>"0130W60339"</f>
        <v>0130W60339</v>
      </c>
      <c r="E16271" s="1" t="s">
        <v>10</v>
      </c>
      <c r="F16271" s="1" t="str">
        <f>"10.107.253.83"</f>
        <v>10.107.253.83</v>
      </c>
      <c r="G16271" s="1" t="str">
        <f>"0130W603"</f>
        <v>0130W603</v>
      </c>
      <c r="H16271" s="1" t="str">
        <f>"번동간 17R1R2"</f>
        <v>번동간 17R1R2</v>
      </c>
      <c r="I16271" s="1" t="s">
        <v>8</v>
      </c>
      <c r="J16271" s="1" t="str">
        <f>"3/3"</f>
        <v>3/3</v>
      </c>
      <c r="K16271" s="1" t="str">
        <f>"2026-07-28 20:03:17"</f>
        <v>2026-07-28 20:03:17</v>
      </c>
      <c r="L16271" s="1" t="str">
        <f>"2024-08-07 15:16:52"</f>
        <v>2024-08-07 15:16:52</v>
      </c>
      <c r="M16271" s="1" t="s">
        <v>45</v>
      </c>
      <c r="N16271" s="1" t="s">
        <v>38</v>
      </c>
      <c r="O16271" s="1" t="s">
        <v>46</v>
      </c>
    </row>
    <row r="16272" spans="2:15" x14ac:dyDescent="0.3">
      <c r="B16272" s="1" t="s">
        <v>19</v>
      </c>
      <c r="C16272" s="1" t="str">
        <f>"4차"</f>
        <v>4차</v>
      </c>
      <c r="D16272" s="1" t="str">
        <f>"0130W63139"</f>
        <v>0130W63139</v>
      </c>
      <c r="E16272" s="1" t="s">
        <v>10</v>
      </c>
      <c r="F16272" s="1" t="str">
        <f>"10.12.134.248"</f>
        <v>10.12.134.248</v>
      </c>
      <c r="G16272" s="1" t="str">
        <f>"0130W631"</f>
        <v>0130W631</v>
      </c>
      <c r="H16272" s="1" t="str">
        <f>"강북 9"</f>
        <v>강북 9</v>
      </c>
      <c r="I16272" s="1" t="s">
        <v>17</v>
      </c>
      <c r="J16272" s="1" t="str">
        <f>"1/1"</f>
        <v>1/1</v>
      </c>
      <c r="K16272" s="1" t="str">
        <f>"2026-07-29 13:18:02"</f>
        <v>2026-07-29 13:18:02</v>
      </c>
      <c r="L16272" s="1" t="str">
        <f>"2018-12-14 08:55:40"</f>
        <v>2018-12-14 08:55:40</v>
      </c>
      <c r="M16272" s="1" t="s">
        <v>0</v>
      </c>
      <c r="N16272" s="1" t="s">
        <v>38</v>
      </c>
      <c r="O16272" s="1" t="s">
        <v>46</v>
      </c>
    </row>
    <row r="16273" spans="2:15" x14ac:dyDescent="0.3">
      <c r="B16273" s="1" t="s">
        <v>19</v>
      </c>
      <c r="C16273" s="1" t="str">
        <f>"3차"</f>
        <v>3차</v>
      </c>
      <c r="D16273" s="1" t="str">
        <f>"0130W66239"</f>
        <v>0130W66239</v>
      </c>
      <c r="E16273" s="1" t="s">
        <v>10</v>
      </c>
      <c r="F16273" s="1" t="str">
        <f>"10.107.121.12"</f>
        <v>10.107.121.12</v>
      </c>
      <c r="G16273" s="1" t="str">
        <f>"0130W662"</f>
        <v>0130W662</v>
      </c>
      <c r="H16273" s="1" t="str">
        <f>"구청지 26L14L1"</f>
        <v>구청지 26L14L1</v>
      </c>
      <c r="I16273" s="1" t="s">
        <v>8</v>
      </c>
      <c r="J16273" s="1" t="str">
        <f>"34/34"</f>
        <v>34/34</v>
      </c>
      <c r="K16273" s="1" t="str">
        <f>"2026-07-29 13:18:02"</f>
        <v>2026-07-29 13:18:02</v>
      </c>
      <c r="L16273" s="1" t="str">
        <f>"2018-02-21 17:08:26"</f>
        <v>2018-02-21 17:08:26</v>
      </c>
      <c r="M16273" s="1" t="s">
        <v>45</v>
      </c>
      <c r="N16273" s="1" t="s">
        <v>38</v>
      </c>
      <c r="O16273" s="1" t="s">
        <v>46</v>
      </c>
    </row>
    <row r="16274" spans="2:15" x14ac:dyDescent="0.3">
      <c r="B16274" s="1" t="s">
        <v>19</v>
      </c>
      <c r="C16274" s="1" t="str">
        <f>"6차"</f>
        <v>6차</v>
      </c>
      <c r="D16274" s="1" t="str">
        <f>"0130W6716S"</f>
        <v>0130W6716S</v>
      </c>
      <c r="E16274" s="1" t="s">
        <v>10</v>
      </c>
      <c r="F16274" s="1" t="str">
        <f>"fde1:103:4:9330:0:0:0:2"</f>
        <v>fde1:103:4:9330:0:0:0:2</v>
      </c>
      <c r="G16274" s="1" t="str">
        <f>"0130W671"</f>
        <v>0130W671</v>
      </c>
      <c r="H16274" s="1" t="str">
        <f>"구청지 26L16"</f>
        <v>구청지 26L16</v>
      </c>
      <c r="I16274" s="1" t="s">
        <v>15</v>
      </c>
      <c r="J16274" s="1" t="str">
        <f>"36/36"</f>
        <v>36/36</v>
      </c>
      <c r="K16274" s="1" t="str">
        <f>"2026-07-29 14:20:23"</f>
        <v>2026-07-29 14:20:23</v>
      </c>
      <c r="L16274" s="1" t="str">
        <f>"2025-02-11 18:11:44"</f>
        <v>2025-02-11 18:11:44</v>
      </c>
      <c r="M16274" s="1" t="s">
        <v>4</v>
      </c>
      <c r="N16274" s="1" t="s">
        <v>38</v>
      </c>
      <c r="O16274" s="1" t="s">
        <v>46</v>
      </c>
    </row>
    <row r="16275" spans="2:15" x14ac:dyDescent="0.3">
      <c r="B16275" s="1" t="s">
        <v>19</v>
      </c>
      <c r="C16275" s="1" t="str">
        <f>"4차"</f>
        <v>4차</v>
      </c>
      <c r="D16275" s="1" t="str">
        <f>"0130W68142"</f>
        <v>0130W68142</v>
      </c>
      <c r="E16275" s="1" t="s">
        <v>10</v>
      </c>
      <c r="F16275" s="1" t="str">
        <f>"10.107.124.180"</f>
        <v>10.107.124.180</v>
      </c>
      <c r="G16275" s="1" t="str">
        <f>"0130W681"</f>
        <v>0130W681</v>
      </c>
      <c r="H16275" s="1" t="str">
        <f>"구청지 26L17"</f>
        <v>구청지 26L17</v>
      </c>
      <c r="I16275" s="1" t="s">
        <v>8</v>
      </c>
      <c r="J16275" s="1" t="str">
        <f>"59/60"</f>
        <v>59/60</v>
      </c>
      <c r="K16275" s="1" t="str">
        <f>"2026-07-29 13:18:02"</f>
        <v>2026-07-29 13:18:02</v>
      </c>
      <c r="L16275" s="1" t="str">
        <f>"2025-08-08 16:19:55"</f>
        <v>2025-08-08 16:19:55</v>
      </c>
      <c r="M16275" s="1" t="s">
        <v>45</v>
      </c>
      <c r="N16275" s="1" t="s">
        <v>38</v>
      </c>
      <c r="O16275" s="1" t="s">
        <v>46</v>
      </c>
    </row>
    <row r="16276" spans="2:15" x14ac:dyDescent="0.3">
      <c r="B16276" s="1" t="s">
        <v>19</v>
      </c>
      <c r="C16276" s="1" t="str">
        <f>"4차"</f>
        <v>4차</v>
      </c>
      <c r="D16276" s="1" t="str">
        <f>"0130W70139"</f>
        <v>0130W70139</v>
      </c>
      <c r="E16276" s="1" t="s">
        <v>10</v>
      </c>
      <c r="F16276" s="1" t="str">
        <f>"10.107.253.84"</f>
        <v>10.107.253.84</v>
      </c>
      <c r="G16276" s="1" t="str">
        <f>"0130W701"</f>
        <v>0130W701</v>
      </c>
      <c r="H16276" s="1" t="str">
        <f>"번동간 17R2"</f>
        <v>번동간 17R2</v>
      </c>
      <c r="I16276" s="1" t="s">
        <v>8</v>
      </c>
      <c r="J16276" s="1" t="str">
        <f>"136/136"</f>
        <v>136/136</v>
      </c>
      <c r="K16276" s="1" t="str">
        <f>"2026-07-29 13:18:02"</f>
        <v>2026-07-29 13:18:02</v>
      </c>
      <c r="L16276" s="1" t="str">
        <f>"2018-04-09 11:44:24"</f>
        <v>2018-04-09 11:44:24</v>
      </c>
      <c r="M16276" s="1" t="s">
        <v>45</v>
      </c>
      <c r="N16276" s="1" t="s">
        <v>38</v>
      </c>
      <c r="O16276" s="1" t="s">
        <v>46</v>
      </c>
    </row>
    <row r="16277" spans="2:15" x14ac:dyDescent="0.3">
      <c r="B16277" s="1" t="s">
        <v>19</v>
      </c>
      <c r="C16277" s="1" t="str">
        <f>"4차"</f>
        <v>4차</v>
      </c>
      <c r="D16277" s="1" t="str">
        <f>"0130W71239"</f>
        <v>0130W71239</v>
      </c>
      <c r="E16277" s="1" t="s">
        <v>10</v>
      </c>
      <c r="F16277" s="1" t="str">
        <f>"10.107.253.82"</f>
        <v>10.107.253.82</v>
      </c>
      <c r="G16277" s="1" t="str">
        <f>"0130W712"</f>
        <v>0130W712</v>
      </c>
      <c r="H16277" s="1" t="str">
        <f>"번동간 17R1"</f>
        <v>번동간 17R1</v>
      </c>
      <c r="I16277" s="1" t="s">
        <v>8</v>
      </c>
      <c r="J16277" s="1" t="str">
        <f>"23/24"</f>
        <v>23/24</v>
      </c>
      <c r="K16277" s="1" t="str">
        <f>"2026-07-29 13:18:02"</f>
        <v>2026-07-29 13:18:02</v>
      </c>
      <c r="L16277" s="1" t="str">
        <f>"2018-06-11 10:31:16"</f>
        <v>2018-06-11 10:31:16</v>
      </c>
      <c r="M16277" s="1" t="s">
        <v>45</v>
      </c>
      <c r="N16277" s="1" t="s">
        <v>38</v>
      </c>
      <c r="O16277" s="1" t="s">
        <v>46</v>
      </c>
    </row>
    <row r="16278" spans="2:15" x14ac:dyDescent="0.3">
      <c r="B16278" s="1" t="s">
        <v>19</v>
      </c>
      <c r="C16278" s="1" t="str">
        <f>"5-2차"</f>
        <v>5-2차</v>
      </c>
      <c r="D16278" s="1" t="str">
        <f>"0130W7225M"</f>
        <v>0130W7225M</v>
      </c>
      <c r="E16278" s="1" t="s">
        <v>10</v>
      </c>
      <c r="F16278" s="1" t="str">
        <f>"fde1:103:4:92e1:0:0:0:2"</f>
        <v>fde1:103:4:92e1:0:0:0:2</v>
      </c>
      <c r="G16278" s="1" t="str">
        <f>"0130W722"</f>
        <v>0130W722</v>
      </c>
      <c r="H16278" s="1" t="str">
        <f>"번동간 18"</f>
        <v>번동간 18</v>
      </c>
      <c r="I16278" s="1" t="s">
        <v>15</v>
      </c>
      <c r="J16278" s="1" t="str">
        <f>"41/41"</f>
        <v>41/41</v>
      </c>
      <c r="K16278" s="1" t="str">
        <f>"2026-07-29 14:20:04"</f>
        <v>2026-07-29 14:20:04</v>
      </c>
      <c r="L16278" s="1" t="str">
        <f>"2023-12-18 10:20:21"</f>
        <v>2023-12-18 10:20:21</v>
      </c>
      <c r="M16278" s="1" t="s">
        <v>4</v>
      </c>
      <c r="N16278" s="1" t="s">
        <v>38</v>
      </c>
      <c r="O16278" s="1" t="s">
        <v>46</v>
      </c>
    </row>
    <row r="16279" spans="2:15" x14ac:dyDescent="0.3">
      <c r="B16279" s="1" t="s">
        <v>19</v>
      </c>
      <c r="C16279" s="1" t="str">
        <f>"1차"</f>
        <v>1차</v>
      </c>
      <c r="D16279" s="1" t="str">
        <f>"0130W76100"</f>
        <v>0130W76100</v>
      </c>
      <c r="E16279" s="1" t="s">
        <v>10</v>
      </c>
      <c r="F16279" s="1" t="str">
        <f>"10.107.121.7"</f>
        <v>10.107.121.7</v>
      </c>
      <c r="G16279" s="1" t="str">
        <f>"0130W761"</f>
        <v>0130W761</v>
      </c>
      <c r="H16279" s="1" t="str">
        <f>"구청지 26L15"</f>
        <v>구청지 26L15</v>
      </c>
      <c r="I16279" s="1" t="s">
        <v>8</v>
      </c>
      <c r="J16279" s="1" t="str">
        <f>"43/49"</f>
        <v>43/49</v>
      </c>
      <c r="K16279" s="1" t="str">
        <f>"2026-07-29 13:18:02"</f>
        <v>2026-07-29 13:18:02</v>
      </c>
      <c r="L16279" s="1" t="str">
        <f>"2014-11-04 00:12:35"</f>
        <v>2014-11-04 00:12:35</v>
      </c>
      <c r="M16279" s="1" t="s">
        <v>45</v>
      </c>
      <c r="N16279" s="1" t="s">
        <v>38</v>
      </c>
      <c r="O16279" s="1" t="s">
        <v>46</v>
      </c>
    </row>
    <row r="16280" spans="2:15" x14ac:dyDescent="0.3">
      <c r="B16280" s="1" t="s">
        <v>19</v>
      </c>
      <c r="C16280" s="1" t="str">
        <f>"5-2차"</f>
        <v>5-2차</v>
      </c>
      <c r="D16280" s="1" t="str">
        <f>"0130W7815M"</f>
        <v>0130W7815M</v>
      </c>
      <c r="E16280" s="1" t="s">
        <v>10</v>
      </c>
      <c r="F16280" s="1" t="str">
        <f>"fde1:103:4:92d9:0:0:0:2"</f>
        <v>fde1:103:4:92d9:0:0:0:2</v>
      </c>
      <c r="G16280" s="1" t="str">
        <f>"0130W781"</f>
        <v>0130W781</v>
      </c>
      <c r="H16280" s="1" t="str">
        <f>"구청지 15L12"</f>
        <v>구청지 15L12</v>
      </c>
      <c r="I16280" s="1" t="s">
        <v>15</v>
      </c>
      <c r="J16280" s="1" t="str">
        <f>"39/39"</f>
        <v>39/39</v>
      </c>
      <c r="K16280" s="1" t="str">
        <f>"2026-07-29 14:20:05"</f>
        <v>2026-07-29 14:20:05</v>
      </c>
      <c r="L16280" s="1" t="str">
        <f>"2023-12-18 10:45:32"</f>
        <v>2023-12-18 10:45:32</v>
      </c>
      <c r="M16280" s="1" t="s">
        <v>4</v>
      </c>
      <c r="N16280" s="1" t="s">
        <v>38</v>
      </c>
      <c r="O16280" s="1" t="s">
        <v>46</v>
      </c>
    </row>
    <row r="16281" spans="2:15" x14ac:dyDescent="0.3">
      <c r="B16281" s="1" t="s">
        <v>19</v>
      </c>
      <c r="C16281" s="1" t="str">
        <f>"5-2차"</f>
        <v>5-2차</v>
      </c>
      <c r="D16281" s="1" t="str">
        <f>"0130W7825S"</f>
        <v>0130W7825S</v>
      </c>
      <c r="E16281" s="1" t="s">
        <v>10</v>
      </c>
      <c r="F16281" s="1" t="str">
        <f>"fde3:102:1410:4700:0:0:0:b"</f>
        <v>fde3:102:1410:4700:0:0:0:b</v>
      </c>
      <c r="G16281" s="1" t="str">
        <f>"0130W782"</f>
        <v>0130W782</v>
      </c>
      <c r="H16281" s="1" t="str">
        <f>"구청지 15L13"</f>
        <v>구청지 15L13</v>
      </c>
      <c r="I16281" s="1" t="s">
        <v>15</v>
      </c>
      <c r="J16281" s="1" t="str">
        <f>"73/75"</f>
        <v>73/75</v>
      </c>
      <c r="K16281" s="1" t="str">
        <f>"2026-07-29 08:20:18"</f>
        <v>2026-07-29 08:20:18</v>
      </c>
      <c r="L16281" s="1" t="str">
        <f>"2023-08-18 11:29:45"</f>
        <v>2023-08-18 11:29:45</v>
      </c>
      <c r="M16281" s="1" t="s">
        <v>45</v>
      </c>
      <c r="N16281" s="1" t="s">
        <v>38</v>
      </c>
      <c r="O16281" s="1" t="s">
        <v>46</v>
      </c>
    </row>
    <row r="16282" spans="2:15" x14ac:dyDescent="0.3">
      <c r="B16282" s="1" t="s">
        <v>19</v>
      </c>
      <c r="C16282" s="1" t="str">
        <f>"4차"</f>
        <v>4차</v>
      </c>
      <c r="D16282" s="1" t="str">
        <f>"0130W80139"</f>
        <v>0130W80139</v>
      </c>
      <c r="E16282" s="1" t="s">
        <v>10</v>
      </c>
      <c r="F16282" s="1" t="str">
        <f>"10.107.253.85"</f>
        <v>10.107.253.85</v>
      </c>
      <c r="G16282" s="1" t="str">
        <f>"0130W801"</f>
        <v>0130W801</v>
      </c>
      <c r="H16282" s="1" t="str">
        <f>"번동간 17R3"</f>
        <v>번동간 17R3</v>
      </c>
      <c r="I16282" s="1" t="s">
        <v>8</v>
      </c>
      <c r="J16282" s="1" t="str">
        <f>"82/94"</f>
        <v>82/94</v>
      </c>
      <c r="K16282" s="1" t="str">
        <f>"2026-07-29 13:18:01"</f>
        <v>2026-07-29 13:18:01</v>
      </c>
      <c r="L16282" s="1" t="str">
        <f>"2018-04-04 14:28:41"</f>
        <v>2018-04-04 14:28:41</v>
      </c>
      <c r="M16282" s="1" t="s">
        <v>45</v>
      </c>
      <c r="N16282" s="1" t="s">
        <v>38</v>
      </c>
      <c r="O16282" s="1" t="s">
        <v>46</v>
      </c>
    </row>
    <row r="16283" spans="2:15" x14ac:dyDescent="0.3">
      <c r="B16283" s="1" t="s">
        <v>19</v>
      </c>
      <c r="C16283" s="1" t="str">
        <f>"3차"</f>
        <v>3차</v>
      </c>
      <c r="D16283" s="1" t="str">
        <f>"0130W82439"</f>
        <v>0130W82439</v>
      </c>
      <c r="E16283" s="1" t="s">
        <v>10</v>
      </c>
      <c r="F16283" s="1" t="str">
        <f>"10.107.253.204"</f>
        <v>10.107.253.204</v>
      </c>
      <c r="G16283" s="1" t="str">
        <f>"0130W824"</f>
        <v>0130W824</v>
      </c>
      <c r="H16283" s="1" t="str">
        <f>"장수간 50L11"</f>
        <v>장수간 50L11</v>
      </c>
      <c r="I16283" s="1" t="s">
        <v>8</v>
      </c>
      <c r="J16283" s="1" t="str">
        <f>"8/8"</f>
        <v>8/8</v>
      </c>
      <c r="K16283" s="1" t="str">
        <f>"2026-07-29 13:18:02"</f>
        <v>2026-07-29 13:18:02</v>
      </c>
      <c r="L16283" s="1" t="str">
        <f>"2018-03-27 17:12:47"</f>
        <v>2018-03-27 17:12:47</v>
      </c>
      <c r="M16283" s="1" t="s">
        <v>45</v>
      </c>
      <c r="N16283" s="1" t="s">
        <v>38</v>
      </c>
      <c r="O16283" s="1" t="s">
        <v>46</v>
      </c>
    </row>
    <row r="16284" spans="2:15" x14ac:dyDescent="0.3">
      <c r="B16284" s="1" t="s">
        <v>19</v>
      </c>
      <c r="C16284" s="1" t="str">
        <f>"3차"</f>
        <v>3차</v>
      </c>
      <c r="D16284" s="1" t="str">
        <f>"0130W82639"</f>
        <v>0130W82639</v>
      </c>
      <c r="E16284" s="1" t="s">
        <v>10</v>
      </c>
      <c r="F16284" s="1" t="str">
        <f>"10.107.253.205"</f>
        <v>10.107.253.205</v>
      </c>
      <c r="G16284" s="1" t="str">
        <f>"0130W826"</f>
        <v>0130W826</v>
      </c>
      <c r="H16284" s="1" t="str">
        <f>"장수간 50L12"</f>
        <v>장수간 50L12</v>
      </c>
      <c r="I16284" s="1" t="s">
        <v>8</v>
      </c>
      <c r="J16284" s="1" t="str">
        <f>"13/13"</f>
        <v>13/13</v>
      </c>
      <c r="K16284" s="1" t="str">
        <f>"2026-07-29 13:18:02"</f>
        <v>2026-07-29 13:18:02</v>
      </c>
      <c r="L16284" s="1" t="str">
        <f>"2018-04-09 15:57:30"</f>
        <v>2018-04-09 15:57:30</v>
      </c>
      <c r="M16284" s="1" t="s">
        <v>45</v>
      </c>
      <c r="N16284" s="1" t="s">
        <v>38</v>
      </c>
      <c r="O16284" s="1" t="s">
        <v>46</v>
      </c>
    </row>
    <row r="16285" spans="2:15" x14ac:dyDescent="0.3">
      <c r="B16285" s="1" t="s">
        <v>19</v>
      </c>
      <c r="C16285" s="1" t="str">
        <f>"5-2차"</f>
        <v>5-2차</v>
      </c>
      <c r="D16285" s="1" t="str">
        <f>"0130W8425M"</f>
        <v>0130W8425M</v>
      </c>
      <c r="E16285" s="1" t="s">
        <v>10</v>
      </c>
      <c r="F16285" s="1" t="str">
        <f>"fde3:102:1410:4100:0:0:0:d"</f>
        <v>fde3:102:1410:4100:0:0:0:d</v>
      </c>
      <c r="G16285" s="1" t="str">
        <f>"0130W842"</f>
        <v>0130W842</v>
      </c>
      <c r="H16285" s="1" t="str">
        <f>"장수간 50L14"</f>
        <v>장수간 50L14</v>
      </c>
      <c r="I16285" s="1" t="s">
        <v>15</v>
      </c>
      <c r="J16285" s="1" t="str">
        <f>"58/58"</f>
        <v>58/58</v>
      </c>
      <c r="K16285" s="1" t="str">
        <f>"2026-07-29 14:20:22"</f>
        <v>2026-07-29 14:20:22</v>
      </c>
      <c r="L16285" s="1" t="str">
        <f>"2023-12-04 08:26:44"</f>
        <v>2023-12-04 08:26:44</v>
      </c>
      <c r="M16285" s="1" t="s">
        <v>45</v>
      </c>
      <c r="N16285" s="1" t="s">
        <v>38</v>
      </c>
      <c r="O16285" s="1" t="s">
        <v>46</v>
      </c>
    </row>
    <row r="16286" spans="2:15" x14ac:dyDescent="0.3">
      <c r="B16286" s="1" t="s">
        <v>19</v>
      </c>
      <c r="C16286" s="1" t="str">
        <f>"5-2차"</f>
        <v>5-2차</v>
      </c>
      <c r="D16286" s="1" t="str">
        <f>"0130W8715M"</f>
        <v>0130W8715M</v>
      </c>
      <c r="E16286" s="1" t="s">
        <v>10</v>
      </c>
      <c r="F16286" s="1" t="str">
        <f>"fde3:102:1410:4700:0:0:0:9"</f>
        <v>fde3:102:1410:4700:0:0:0:9</v>
      </c>
      <c r="G16286" s="1" t="str">
        <f>"0130W871"</f>
        <v>0130W871</v>
      </c>
      <c r="H16286" s="1" t="str">
        <f>"구청지 15L10"</f>
        <v>구청지 15L10</v>
      </c>
      <c r="I16286" s="1" t="s">
        <v>15</v>
      </c>
      <c r="J16286" s="1" t="str">
        <f>"33/33"</f>
        <v>33/33</v>
      </c>
      <c r="K16286" s="1" t="str">
        <f>"2026-07-29 14:20:22"</f>
        <v>2026-07-29 14:20:22</v>
      </c>
      <c r="L16286" s="1" t="str">
        <f>"2023-08-18 11:18:00"</f>
        <v>2023-08-18 11:18:00</v>
      </c>
      <c r="M16286" s="1" t="s">
        <v>45</v>
      </c>
      <c r="N16286" s="1" t="s">
        <v>38</v>
      </c>
      <c r="O16286" s="1" t="s">
        <v>46</v>
      </c>
    </row>
    <row r="16287" spans="2:15" x14ac:dyDescent="0.3">
      <c r="B16287" s="1" t="s">
        <v>19</v>
      </c>
      <c r="C16287" s="1" t="str">
        <f>"5-2차"</f>
        <v>5-2차</v>
      </c>
      <c r="D16287" s="1" t="str">
        <f>"0130W8725M"</f>
        <v>0130W8725M</v>
      </c>
      <c r="E16287" s="1" t="s">
        <v>10</v>
      </c>
      <c r="F16287" s="1" t="str">
        <f>"fde3:102:1410:4600:0:0:0:6"</f>
        <v>fde3:102:1410:4600:0:0:0:6</v>
      </c>
      <c r="G16287" s="1" t="str">
        <f>"0130W872"</f>
        <v>0130W872</v>
      </c>
      <c r="H16287" s="1" t="str">
        <f>"구청지 26L15R2"</f>
        <v>구청지 26L15R2</v>
      </c>
      <c r="I16287" s="1" t="s">
        <v>15</v>
      </c>
      <c r="J16287" s="1" t="str">
        <f>"38/38"</f>
        <v>38/38</v>
      </c>
      <c r="K16287" s="1" t="str">
        <f>"2026-07-29 14:21:03"</f>
        <v>2026-07-29 14:21:03</v>
      </c>
      <c r="L16287" s="1" t="str">
        <f>"2023-08-18 11:06:36"</f>
        <v>2023-08-18 11:06:36</v>
      </c>
      <c r="M16287" s="1" t="s">
        <v>45</v>
      </c>
      <c r="N16287" s="1" t="s">
        <v>38</v>
      </c>
      <c r="O16287" s="1" t="s">
        <v>46</v>
      </c>
    </row>
    <row r="16288" spans="2:15" x14ac:dyDescent="0.3">
      <c r="B16288" s="1" t="s">
        <v>19</v>
      </c>
      <c r="C16288" s="1" t="str">
        <f>"5-2차"</f>
        <v>5-2차</v>
      </c>
      <c r="D16288" s="1" t="str">
        <f>"0130W8835M"</f>
        <v>0130W8835M</v>
      </c>
      <c r="E16288" s="1" t="s">
        <v>10</v>
      </c>
      <c r="F16288" s="1" t="str">
        <f>"fde3:102:1410:4700:0:0:0:a"</f>
        <v>fde3:102:1410:4700:0:0:0:a</v>
      </c>
      <c r="G16288" s="1" t="str">
        <f>"0130W883"</f>
        <v>0130W883</v>
      </c>
      <c r="H16288" s="1" t="str">
        <f>"구청지 15L11R1"</f>
        <v>구청지 15L11R1</v>
      </c>
      <c r="I16288" s="1" t="s">
        <v>15</v>
      </c>
      <c r="J16288" s="1" t="str">
        <f>"44/44"</f>
        <v>44/44</v>
      </c>
      <c r="K16288" s="1" t="str">
        <f>"2026-07-29 14:20:46"</f>
        <v>2026-07-29 14:20:46</v>
      </c>
      <c r="L16288" s="1" t="str">
        <f>"2023-08-18 11:41:47"</f>
        <v>2023-08-18 11:41:47</v>
      </c>
      <c r="M16288" s="1" t="s">
        <v>45</v>
      </c>
      <c r="N16288" s="1" t="s">
        <v>38</v>
      </c>
      <c r="O16288" s="1" t="s">
        <v>46</v>
      </c>
    </row>
    <row r="16289" spans="2:15" x14ac:dyDescent="0.3">
      <c r="B16289" s="1" t="s">
        <v>19</v>
      </c>
      <c r="C16289" s="1" t="str">
        <f>"1차"</f>
        <v>1차</v>
      </c>
      <c r="D16289" s="1" t="str">
        <f>"0130W91100"</f>
        <v>0130W91100</v>
      </c>
      <c r="E16289" s="1" t="s">
        <v>10</v>
      </c>
      <c r="F16289" s="1" t="str">
        <f>"10.107.127.2"</f>
        <v>10.107.127.2</v>
      </c>
      <c r="G16289" s="1" t="str">
        <f>"0130W911"</f>
        <v>0130W911</v>
      </c>
      <c r="H16289" s="1" t="str">
        <f>"장수간 50L9"</f>
        <v>장수간 50L9</v>
      </c>
      <c r="I16289" s="1" t="s">
        <v>8</v>
      </c>
      <c r="J16289" s="1" t="str">
        <f>"21/21"</f>
        <v>21/21</v>
      </c>
      <c r="K16289" s="1" t="str">
        <f>"2026-07-29 13:18:01"</f>
        <v>2026-07-29 13:18:01</v>
      </c>
      <c r="L16289" s="1" t="str">
        <f>"2014-12-11 11:13:19"</f>
        <v>2014-12-11 11:13:19</v>
      </c>
      <c r="M16289" s="1" t="s">
        <v>45</v>
      </c>
      <c r="N16289" s="1" t="s">
        <v>38</v>
      </c>
      <c r="O16289" s="1" t="s">
        <v>46</v>
      </c>
    </row>
    <row r="16290" spans="2:15" x14ac:dyDescent="0.3">
      <c r="B16290" s="1" t="s">
        <v>19</v>
      </c>
      <c r="C16290" s="1" t="str">
        <f>"4차"</f>
        <v>4차</v>
      </c>
      <c r="D16290" s="1" t="str">
        <f>"0130W91239"</f>
        <v>0130W91239</v>
      </c>
      <c r="E16290" s="1" t="s">
        <v>10</v>
      </c>
      <c r="F16290" s="1" t="str">
        <f>"10.107.119.42"</f>
        <v>10.107.119.42</v>
      </c>
      <c r="G16290" s="1" t="str">
        <f>"0130W912"</f>
        <v>0130W912</v>
      </c>
      <c r="H16290" s="1" t="str">
        <f>"번동간 22"</f>
        <v>번동간 22</v>
      </c>
      <c r="I16290" s="1" t="s">
        <v>8</v>
      </c>
      <c r="J16290" s="1" t="str">
        <f>"10/10"</f>
        <v>10/10</v>
      </c>
      <c r="K16290" s="1" t="str">
        <f>"2026-07-29 13:18:01"</f>
        <v>2026-07-29 13:18:01</v>
      </c>
      <c r="L16290" s="1" t="str">
        <f>"2018-04-17 18:25:16"</f>
        <v>2018-04-17 18:25:16</v>
      </c>
      <c r="M16290" s="1" t="s">
        <v>45</v>
      </c>
      <c r="N16290" s="1" t="s">
        <v>38</v>
      </c>
      <c r="O16290" s="1" t="s">
        <v>46</v>
      </c>
    </row>
    <row r="16291" spans="2:15" x14ac:dyDescent="0.3">
      <c r="B16291" s="1" t="s">
        <v>19</v>
      </c>
      <c r="C16291" s="1" t="str">
        <f>"1차"</f>
        <v>1차</v>
      </c>
      <c r="D16291" s="1" t="str">
        <f>"0130W92201"</f>
        <v>0130W92201</v>
      </c>
      <c r="E16291" s="1" t="str">
        <f>"검침실패(3시간 이상)"</f>
        <v>검침실패(3시간 이상)</v>
      </c>
      <c r="F16291" s="1" t="str">
        <f>"10.12.131.237"</f>
        <v>10.12.131.237</v>
      </c>
      <c r="G16291" s="1" t="str">
        <f>"0130W922"</f>
        <v>0130W922</v>
      </c>
      <c r="H16291" s="1" t="str">
        <f>"장수간 50L12R2"</f>
        <v>장수간 50L12R2</v>
      </c>
      <c r="I16291" s="1" t="s">
        <v>8</v>
      </c>
      <c r="J16291" s="1" t="str">
        <f>"0/17"</f>
        <v>0/17</v>
      </c>
      <c r="K16291" s="1" t="str">
        <f>"2026-07-29 13:18:02"</f>
        <v>2026-07-29 13:18:02</v>
      </c>
      <c r="L16291" s="1" t="str">
        <f>"2014-12-27 00:26:57"</f>
        <v>2014-12-27 00:26:57</v>
      </c>
      <c r="M16291" s="1" t="s">
        <v>0</v>
      </c>
      <c r="N16291" s="1" t="s">
        <v>38</v>
      </c>
      <c r="O16291" s="1" t="s">
        <v>46</v>
      </c>
    </row>
    <row r="16292" spans="2:15" x14ac:dyDescent="0.3">
      <c r="B16292" s="1" t="s">
        <v>19</v>
      </c>
      <c r="C16292" s="1" t="str">
        <f>"3차"</f>
        <v>3차</v>
      </c>
      <c r="D16292" s="1" t="str">
        <f>"0130W93139"</f>
        <v>0130W93139</v>
      </c>
      <c r="E16292" s="1" t="s">
        <v>10</v>
      </c>
      <c r="F16292" s="1" t="str">
        <f>"10.107.127.10"</f>
        <v>10.107.127.10</v>
      </c>
      <c r="G16292" s="1" t="str">
        <f>"0130W931"</f>
        <v>0130W931</v>
      </c>
      <c r="H16292" s="1" t="str">
        <f>"장수간 50L12R1"</f>
        <v>장수간 50L12R1</v>
      </c>
      <c r="I16292" s="1" t="s">
        <v>8</v>
      </c>
      <c r="J16292" s="1" t="str">
        <f>"54/56"</f>
        <v>54/56</v>
      </c>
      <c r="K16292" s="1" t="str">
        <f>"2026-07-29 13:18:02"</f>
        <v>2026-07-29 13:18:02</v>
      </c>
      <c r="L16292" s="1" t="str">
        <f>"2024-03-08 15:46:04"</f>
        <v>2024-03-08 15:46:04</v>
      </c>
      <c r="M16292" s="1" t="s">
        <v>45</v>
      </c>
      <c r="N16292" s="1" t="s">
        <v>38</v>
      </c>
      <c r="O16292" s="1" t="s">
        <v>46</v>
      </c>
    </row>
    <row r="16293" spans="2:15" x14ac:dyDescent="0.3">
      <c r="B16293" s="1" t="s">
        <v>19</v>
      </c>
      <c r="C16293" s="1" t="str">
        <f>"6차"</f>
        <v>6차</v>
      </c>
      <c r="D16293" s="1" t="str">
        <f>"0130W9326M"</f>
        <v>0130W9326M</v>
      </c>
      <c r="E16293" s="1" t="s">
        <v>10</v>
      </c>
      <c r="F16293" s="1" t="str">
        <f>"fde1:103:4:c806:0:0:0:2"</f>
        <v>fde1:103:4:c806:0:0:0:2</v>
      </c>
      <c r="G16293" s="1" t="str">
        <f>"0130W932"</f>
        <v>0130W932</v>
      </c>
      <c r="H16293" s="1" t="str">
        <f>"장수간 50L12R1L1"</f>
        <v>장수간 50L12R1L1</v>
      </c>
      <c r="I16293" s="1" t="s">
        <v>15</v>
      </c>
      <c r="J16293" s="1" t="str">
        <f>"28/30"</f>
        <v>28/30</v>
      </c>
      <c r="K16293" s="1" t="str">
        <f>"2026-07-29 14:20:06"</f>
        <v>2026-07-29 14:20:06</v>
      </c>
      <c r="L16293" s="1" t="str">
        <f>"2024-12-03 11:27:14"</f>
        <v>2024-12-03 11:27:14</v>
      </c>
      <c r="M16293" s="1" t="s">
        <v>4</v>
      </c>
      <c r="N16293" s="1" t="s">
        <v>38</v>
      </c>
      <c r="O16293" s="1" t="s">
        <v>46</v>
      </c>
    </row>
    <row r="16294" spans="2:15" x14ac:dyDescent="0.3">
      <c r="B16294" s="1" t="s">
        <v>19</v>
      </c>
      <c r="C16294" s="1" t="str">
        <f>"5-2차"</f>
        <v>5-2차</v>
      </c>
      <c r="D16294" s="1" t="str">
        <f>"0130W9425M"</f>
        <v>0130W9425M</v>
      </c>
      <c r="E16294" s="1" t="s">
        <v>10</v>
      </c>
      <c r="F16294" s="1" t="str">
        <f>"fde1:103:4:92bf:0:0:0:2"</f>
        <v>fde1:103:4:92bf:0:0:0:2</v>
      </c>
      <c r="G16294" s="1" t="str">
        <f>"0130W942"</f>
        <v>0130W942</v>
      </c>
      <c r="H16294" s="1" t="str">
        <f>"장수간 50L14L1"</f>
        <v>장수간 50L14L1</v>
      </c>
      <c r="I16294" s="1" t="s">
        <v>15</v>
      </c>
      <c r="J16294" s="1" t="str">
        <f>"69/69"</f>
        <v>69/69</v>
      </c>
      <c r="K16294" s="1" t="str">
        <f>"2026-07-29 14:20:19"</f>
        <v>2026-07-29 14:20:19</v>
      </c>
      <c r="L16294" s="1" t="str">
        <f>"2023-12-27 10:12:04"</f>
        <v>2023-12-27 10:12:04</v>
      </c>
      <c r="M16294" s="1" t="s">
        <v>4</v>
      </c>
      <c r="N16294" s="1" t="s">
        <v>38</v>
      </c>
      <c r="O16294" s="1" t="s">
        <v>46</v>
      </c>
    </row>
    <row r="16295" spans="2:15" x14ac:dyDescent="0.3">
      <c r="B16295" s="1" t="s">
        <v>19</v>
      </c>
      <c r="C16295" s="1" t="str">
        <f>"4차"</f>
        <v>4차</v>
      </c>
      <c r="D16295" s="1" t="str">
        <f>"0130W96339"</f>
        <v>0130W96339</v>
      </c>
      <c r="E16295" s="1" t="s">
        <v>10</v>
      </c>
      <c r="F16295" s="1" t="str">
        <f>"10.12.134.245"</f>
        <v>10.12.134.245</v>
      </c>
      <c r="G16295" s="1" t="str">
        <f>"0130W963"</f>
        <v>0130W963</v>
      </c>
      <c r="H16295" s="1" t="str">
        <f>"강북 24"</f>
        <v>강북 24</v>
      </c>
      <c r="I16295" s="1" t="s">
        <v>17</v>
      </c>
      <c r="J16295" s="1" t="str">
        <f>"2/2"</f>
        <v>2/2</v>
      </c>
      <c r="K16295" s="1" t="str">
        <f>"2026-07-29 13:18:02"</f>
        <v>2026-07-29 13:18:02</v>
      </c>
      <c r="L16295" s="1" t="str">
        <f>"2018-10-15 17:00:29"</f>
        <v>2018-10-15 17:00:29</v>
      </c>
      <c r="M16295" s="1" t="s">
        <v>0</v>
      </c>
      <c r="N16295" s="1" t="s">
        <v>38</v>
      </c>
      <c r="O16295" s="1" t="s">
        <v>46</v>
      </c>
    </row>
    <row r="16296" spans="2:15" x14ac:dyDescent="0.3">
      <c r="B16296" s="1" t="s">
        <v>19</v>
      </c>
      <c r="C16296" s="1" t="str">
        <f>"4차"</f>
        <v>4차</v>
      </c>
      <c r="D16296" s="1" t="str">
        <f>"0130X00239"</f>
        <v>0130X00239</v>
      </c>
      <c r="E16296" s="1" t="s">
        <v>10</v>
      </c>
      <c r="F16296" s="1" t="str">
        <f>"10.107.119.43"</f>
        <v>10.107.119.43</v>
      </c>
      <c r="G16296" s="1" t="str">
        <f>"0130X002"</f>
        <v>0130X002</v>
      </c>
      <c r="H16296" s="1" t="str">
        <f>"번동간 24"</f>
        <v>번동간 24</v>
      </c>
      <c r="I16296" s="1" t="s">
        <v>8</v>
      </c>
      <c r="J16296" s="1" t="str">
        <f>"40/40"</f>
        <v>40/40</v>
      </c>
      <c r="K16296" s="1" t="str">
        <f>"2026-07-29 13:18:01"</f>
        <v>2026-07-29 13:18:01</v>
      </c>
      <c r="L16296" s="1" t="str">
        <f>"2018-04-04 08:30:11"</f>
        <v>2018-04-04 08:30:11</v>
      </c>
      <c r="M16296" s="1" t="s">
        <v>45</v>
      </c>
      <c r="N16296" s="1" t="s">
        <v>38</v>
      </c>
      <c r="O16296" s="1" t="s">
        <v>46</v>
      </c>
    </row>
    <row r="16297" spans="2:15" x14ac:dyDescent="0.3">
      <c r="B16297" s="1" t="s">
        <v>19</v>
      </c>
      <c r="C16297" s="1" t="str">
        <f>"4차"</f>
        <v>4차</v>
      </c>
      <c r="D16297" s="1" t="str">
        <f>"0130X02244"</f>
        <v>0130X02244</v>
      </c>
      <c r="E16297" s="1" t="s">
        <v>10</v>
      </c>
      <c r="F16297" s="1" t="str">
        <f>"10.107.127.18"</f>
        <v>10.107.127.18</v>
      </c>
      <c r="G16297" s="1" t="str">
        <f>"0130X022"</f>
        <v>0130X022</v>
      </c>
      <c r="H16297" s="1" t="str">
        <f>"장수간 50L12R4"</f>
        <v>장수간 50L12R4</v>
      </c>
      <c r="I16297" s="1" t="s">
        <v>8</v>
      </c>
      <c r="J16297" s="1" t="str">
        <f>"73/77"</f>
        <v>73/77</v>
      </c>
      <c r="K16297" s="1" t="str">
        <f>"2026-07-29 13:18:02"</f>
        <v>2026-07-29 13:18:02</v>
      </c>
      <c r="L16297" s="1" t="str">
        <f>"2023-07-19 17:27:10"</f>
        <v>2023-07-19 17:27:10</v>
      </c>
      <c r="M16297" s="1" t="s">
        <v>45</v>
      </c>
      <c r="N16297" s="1" t="s">
        <v>38</v>
      </c>
      <c r="O16297" s="1" t="s">
        <v>46</v>
      </c>
    </row>
    <row r="16298" spans="2:15" x14ac:dyDescent="0.3">
      <c r="B16298" s="1" t="s">
        <v>19</v>
      </c>
      <c r="C16298" s="1" t="str">
        <f>"4차"</f>
        <v>4차</v>
      </c>
      <c r="D16298" s="1" t="str">
        <f>"0130X03244"</f>
        <v>0130X03244</v>
      </c>
      <c r="E16298" s="1" t="s">
        <v>10</v>
      </c>
      <c r="F16298" s="1" t="str">
        <f>"10.14.6.124"</f>
        <v>10.14.6.124</v>
      </c>
      <c r="G16298" s="1" t="str">
        <f>"0130X032"</f>
        <v>0130X032</v>
      </c>
      <c r="H16298" s="1" t="str">
        <f>"장수간 54L11"</f>
        <v>장수간 54L11</v>
      </c>
      <c r="I16298" s="1" t="s">
        <v>8</v>
      </c>
      <c r="J16298" s="1" t="str">
        <f>"26/26"</f>
        <v>26/26</v>
      </c>
      <c r="K16298" s="1" t="str">
        <f>"2026-07-29 13:18:02"</f>
        <v>2026-07-29 13:18:02</v>
      </c>
      <c r="L16298" s="1" t="str">
        <f>"2023-08-10 09:46:10"</f>
        <v>2023-08-10 09:46:10</v>
      </c>
      <c r="M16298" s="1" t="s">
        <v>3</v>
      </c>
      <c r="N16298" s="1" t="s">
        <v>38</v>
      </c>
      <c r="O16298" s="1" t="s">
        <v>46</v>
      </c>
    </row>
    <row r="16299" spans="2:15" x14ac:dyDescent="0.3">
      <c r="B16299" s="1" t="s">
        <v>19</v>
      </c>
      <c r="C16299" s="1" t="str">
        <f>"3차"</f>
        <v>3차</v>
      </c>
      <c r="D16299" s="1" t="str">
        <f>"0130X04139"</f>
        <v>0130X04139</v>
      </c>
      <c r="E16299" s="1" t="s">
        <v>10</v>
      </c>
      <c r="F16299" s="1" t="str">
        <f>"10.107.253.185"</f>
        <v>10.107.253.185</v>
      </c>
      <c r="G16299" s="1" t="str">
        <f>"0130X041"</f>
        <v>0130X041</v>
      </c>
      <c r="H16299" s="1" t="str">
        <f>"장수간 64L1R6"</f>
        <v>장수간 64L1R6</v>
      </c>
      <c r="I16299" s="1" t="s">
        <v>8</v>
      </c>
      <c r="J16299" s="1" t="str">
        <f>"44/44"</f>
        <v>44/44</v>
      </c>
      <c r="K16299" s="1" t="str">
        <f>"2026-07-29 13:18:01"</f>
        <v>2026-07-29 13:18:01</v>
      </c>
      <c r="L16299" s="1" t="str">
        <f>"2018-06-05 14:37:19"</f>
        <v>2018-06-05 14:37:19</v>
      </c>
      <c r="M16299" s="1" t="s">
        <v>45</v>
      </c>
      <c r="N16299" s="1" t="s">
        <v>38</v>
      </c>
      <c r="O16299" s="1" t="s">
        <v>46</v>
      </c>
    </row>
    <row r="16300" spans="2:15" x14ac:dyDescent="0.3">
      <c r="B16300" s="1" t="s">
        <v>19</v>
      </c>
      <c r="C16300" s="1" t="str">
        <f>"5-2차"</f>
        <v>5-2차</v>
      </c>
      <c r="D16300" s="1" t="str">
        <f>"0130X0615M"</f>
        <v>0130X0615M</v>
      </c>
      <c r="E16300" s="1" t="s">
        <v>10</v>
      </c>
      <c r="F16300" s="1" t="str">
        <f>"fde3:102:1410:4100:0:0:0:c"</f>
        <v>fde3:102:1410:4100:0:0:0:c</v>
      </c>
      <c r="G16300" s="1" t="str">
        <f>"0130X061"</f>
        <v>0130X061</v>
      </c>
      <c r="H16300" s="1" t="str">
        <f>"장수간 65L5"</f>
        <v>장수간 65L5</v>
      </c>
      <c r="I16300" s="1" t="s">
        <v>15</v>
      </c>
      <c r="J16300" s="1" t="str">
        <f>"44/44"</f>
        <v>44/44</v>
      </c>
      <c r="K16300" s="1" t="str">
        <f>"2026-07-29 14:20:27"</f>
        <v>2026-07-29 14:20:27</v>
      </c>
      <c r="L16300" s="1" t="str">
        <f>"2023-08-04 16:50:57"</f>
        <v>2023-08-04 16:50:57</v>
      </c>
      <c r="M16300" s="1" t="s">
        <v>45</v>
      </c>
      <c r="N16300" s="1" t="s">
        <v>38</v>
      </c>
      <c r="O16300" s="1" t="s">
        <v>46</v>
      </c>
    </row>
    <row r="16301" spans="2:15" x14ac:dyDescent="0.3">
      <c r="B16301" s="1" t="s">
        <v>19</v>
      </c>
      <c r="C16301" s="1" t="str">
        <f>"4차"</f>
        <v>4차</v>
      </c>
      <c r="D16301" s="1" t="str">
        <f>"0130X08739"</f>
        <v>0130X08739</v>
      </c>
      <c r="E16301" s="1" t="s">
        <v>14</v>
      </c>
      <c r="F16301" s="1" t="str">
        <f>"10.12.134.249"</f>
        <v>10.12.134.249</v>
      </c>
      <c r="G16301" s="1" t="str">
        <f>"0130X087"</f>
        <v>0130X087</v>
      </c>
      <c r="H16301" s="1" t="str">
        <f>"강북 4"</f>
        <v>강북 4</v>
      </c>
      <c r="I16301" s="1" t="s">
        <v>17</v>
      </c>
      <c r="J16301" s="1" t="str">
        <f>"0/0"</f>
        <v>0/0</v>
      </c>
      <c r="K16301" s="1" t="str">
        <f>"2026-06-10 07:18:01"</f>
        <v>2026-06-10 07:18:01</v>
      </c>
      <c r="L16301" s="1" t="str">
        <f>"2018-10-15 14:25:42"</f>
        <v>2018-10-15 14:25:42</v>
      </c>
      <c r="M16301" s="1" t="s">
        <v>0</v>
      </c>
      <c r="N16301" s="1" t="s">
        <v>39</v>
      </c>
      <c r="O16301" s="1" t="s">
        <v>46</v>
      </c>
    </row>
    <row r="16302" spans="2:15" x14ac:dyDescent="0.3">
      <c r="B16302" s="1" t="s">
        <v>19</v>
      </c>
      <c r="C16302" s="1" t="str">
        <f>"3차"</f>
        <v>3차</v>
      </c>
      <c r="D16302" s="1" t="str">
        <f>"0130X10139"</f>
        <v>0130X10139</v>
      </c>
      <c r="E16302" s="1" t="str">
        <f>"검침실패(3시간 이상)"</f>
        <v>검침실패(3시간 이상)</v>
      </c>
      <c r="F16302" s="1" t="str">
        <f>"10.107.253.218"</f>
        <v>10.107.253.218</v>
      </c>
      <c r="G16302" s="1" t="str">
        <f>"0130X101"</f>
        <v>0130X101</v>
      </c>
      <c r="H16302" s="1" t="str">
        <f>"장수간 50L7"</f>
        <v>장수간 50L7</v>
      </c>
      <c r="I16302" s="1" t="s">
        <v>8</v>
      </c>
      <c r="J16302" s="1" t="str">
        <f>"0/6"</f>
        <v>0/6</v>
      </c>
      <c r="K16302" s="1" t="str">
        <f>"2026-07-29 13:18:01"</f>
        <v>2026-07-29 13:18:01</v>
      </c>
      <c r="L16302" s="1" t="str">
        <f>"2018-07-12 17:59:57"</f>
        <v>2018-07-12 17:59:57</v>
      </c>
      <c r="M16302" s="1" t="s">
        <v>45</v>
      </c>
      <c r="N16302" s="1" t="s">
        <v>38</v>
      </c>
      <c r="O16302" s="1" t="s">
        <v>46</v>
      </c>
    </row>
    <row r="16303" spans="2:15" x14ac:dyDescent="0.3">
      <c r="B16303" s="1" t="s">
        <v>19</v>
      </c>
      <c r="C16303" s="1" t="str">
        <f>"3차"</f>
        <v>3차</v>
      </c>
      <c r="D16303" s="1" t="str">
        <f>"0130X10239"</f>
        <v>0130X10239</v>
      </c>
      <c r="E16303" s="1" t="str">
        <f>"검침실패(3시간 이상)"</f>
        <v>검침실패(3시간 이상)</v>
      </c>
      <c r="F16303" s="1" t="str">
        <f>"10.107.253.203"</f>
        <v>10.107.253.203</v>
      </c>
      <c r="G16303" s="1" t="str">
        <f>"0130X102"</f>
        <v>0130X102</v>
      </c>
      <c r="H16303" s="1" t="str">
        <f>"장수간 50L6"</f>
        <v>장수간 50L6</v>
      </c>
      <c r="I16303" s="1" t="s">
        <v>8</v>
      </c>
      <c r="J16303" s="1" t="str">
        <f>"0/3"</f>
        <v>0/3</v>
      </c>
      <c r="K16303" s="1" t="str">
        <f>"2026-07-29 13:18:02"</f>
        <v>2026-07-29 13:18:02</v>
      </c>
      <c r="L16303" s="1" t="str">
        <f>"2018-04-04 15:20:56"</f>
        <v>2018-04-04 15:20:56</v>
      </c>
      <c r="M16303" s="1" t="s">
        <v>45</v>
      </c>
      <c r="N16303" s="1" t="s">
        <v>38</v>
      </c>
      <c r="O16303" s="1" t="s">
        <v>46</v>
      </c>
    </row>
    <row r="16304" spans="2:15" x14ac:dyDescent="0.3">
      <c r="B16304" s="1" t="s">
        <v>19</v>
      </c>
      <c r="C16304" s="1" t="str">
        <f>"3차"</f>
        <v>3차</v>
      </c>
      <c r="D16304" s="1" t="str">
        <f>"0130X12239"</f>
        <v>0130X12239</v>
      </c>
      <c r="E16304" s="1" t="s">
        <v>10</v>
      </c>
      <c r="F16304" s="1" t="str">
        <f>"10.107.253.171"</f>
        <v>10.107.253.171</v>
      </c>
      <c r="G16304" s="1" t="str">
        <f>"0130X122"</f>
        <v>0130X122</v>
      </c>
      <c r="H16304" s="1" t="str">
        <f>"장수간 54L8"</f>
        <v>장수간 54L8</v>
      </c>
      <c r="I16304" s="1" t="s">
        <v>8</v>
      </c>
      <c r="J16304" s="1" t="str">
        <f>"44/44"</f>
        <v>44/44</v>
      </c>
      <c r="K16304" s="1" t="str">
        <f>"2026-07-29 13:18:02"</f>
        <v>2026-07-29 13:18:02</v>
      </c>
      <c r="L16304" s="1" t="str">
        <f>"2018-03-27 17:07:44"</f>
        <v>2018-03-27 17:07:44</v>
      </c>
      <c r="M16304" s="1" t="s">
        <v>45</v>
      </c>
      <c r="N16304" s="1" t="s">
        <v>38</v>
      </c>
      <c r="O16304" s="1" t="s">
        <v>46</v>
      </c>
    </row>
    <row r="16305" spans="2:15" x14ac:dyDescent="0.3">
      <c r="B16305" s="1" t="s">
        <v>19</v>
      </c>
      <c r="C16305" s="1" t="str">
        <f>"6차"</f>
        <v>6차</v>
      </c>
      <c r="D16305" s="1" t="str">
        <f>"0130X1236M"</f>
        <v>0130X1236M</v>
      </c>
      <c r="E16305" s="1" t="s">
        <v>10</v>
      </c>
      <c r="F16305" s="1" t="str">
        <f>"fde1:103:4:c831:0:0:0:2"</f>
        <v>fde1:103:4:c831:0:0:0:2</v>
      </c>
      <c r="G16305" s="1" t="str">
        <f>"0130X123"</f>
        <v>0130X123</v>
      </c>
      <c r="H16305" s="1" t="str">
        <f>"장수간 54L9"</f>
        <v>장수간 54L9</v>
      </c>
      <c r="I16305" s="1" t="s">
        <v>15</v>
      </c>
      <c r="J16305" s="1" t="str">
        <f>"46/47"</f>
        <v>46/47</v>
      </c>
      <c r="K16305" s="1" t="str">
        <f>"2026-07-29 14:20:31"</f>
        <v>2026-07-29 14:20:31</v>
      </c>
      <c r="L16305" s="1" t="str">
        <f>"2024-12-03 11:27:31"</f>
        <v>2024-12-03 11:27:31</v>
      </c>
      <c r="M16305" s="1" t="s">
        <v>4</v>
      </c>
      <c r="N16305" s="1" t="s">
        <v>38</v>
      </c>
      <c r="O16305" s="1" t="s">
        <v>46</v>
      </c>
    </row>
    <row r="16306" spans="2:15" x14ac:dyDescent="0.3">
      <c r="B16306" s="1" t="s">
        <v>19</v>
      </c>
      <c r="C16306" s="1" t="str">
        <f t="shared" ref="C16306:C16311" si="811">"3차"</f>
        <v>3차</v>
      </c>
      <c r="D16306" s="1" t="str">
        <f>"0130X13131"</f>
        <v>0130X13131</v>
      </c>
      <c r="E16306" s="1" t="s">
        <v>10</v>
      </c>
      <c r="F16306" s="1" t="str">
        <f>"10.107.253.189"</f>
        <v>10.107.253.189</v>
      </c>
      <c r="G16306" s="1" t="str">
        <f>"0130X131"</f>
        <v>0130X131</v>
      </c>
      <c r="H16306" s="1" t="str">
        <f>"장수간 64L1R3"</f>
        <v>장수간 64L1R3</v>
      </c>
      <c r="I16306" s="1" t="s">
        <v>8</v>
      </c>
      <c r="J16306" s="1" t="str">
        <f>"51/51"</f>
        <v>51/51</v>
      </c>
      <c r="K16306" s="1" t="str">
        <f t="shared" ref="K16306:K16312" si="812">"2026-07-29 13:18:02"</f>
        <v>2026-07-29 13:18:02</v>
      </c>
      <c r="L16306" s="1" t="str">
        <f>"2018-06-08 17:32:46"</f>
        <v>2018-06-08 17:32:46</v>
      </c>
      <c r="M16306" s="1" t="s">
        <v>45</v>
      </c>
      <c r="N16306" s="1" t="s">
        <v>38</v>
      </c>
      <c r="O16306" s="1" t="s">
        <v>46</v>
      </c>
    </row>
    <row r="16307" spans="2:15" x14ac:dyDescent="0.3">
      <c r="B16307" s="1" t="s">
        <v>19</v>
      </c>
      <c r="C16307" s="1" t="str">
        <f t="shared" si="811"/>
        <v>3차</v>
      </c>
      <c r="D16307" s="1" t="str">
        <f>"0130X15131"</f>
        <v>0130X15131</v>
      </c>
      <c r="E16307" s="1" t="s">
        <v>10</v>
      </c>
      <c r="F16307" s="1" t="str">
        <f>"10.107.253.187"</f>
        <v>10.107.253.187</v>
      </c>
      <c r="G16307" s="1" t="str">
        <f>"0130X151"</f>
        <v>0130X151</v>
      </c>
      <c r="H16307" s="1" t="str">
        <f>"장수간 65L3"</f>
        <v>장수간 65L3</v>
      </c>
      <c r="I16307" s="1" t="s">
        <v>8</v>
      </c>
      <c r="J16307" s="1" t="str">
        <f>"49/49"</f>
        <v>49/49</v>
      </c>
      <c r="K16307" s="1" t="str">
        <f t="shared" si="812"/>
        <v>2026-07-29 13:18:02</v>
      </c>
      <c r="L16307" s="1" t="str">
        <f>"2018-06-08 17:50:43"</f>
        <v>2018-06-08 17:50:43</v>
      </c>
      <c r="M16307" s="1" t="s">
        <v>45</v>
      </c>
      <c r="N16307" s="1" t="s">
        <v>38</v>
      </c>
      <c r="O16307" s="1" t="s">
        <v>46</v>
      </c>
    </row>
    <row r="16308" spans="2:15" x14ac:dyDescent="0.3">
      <c r="B16308" s="1" t="s">
        <v>19</v>
      </c>
      <c r="C16308" s="1" t="str">
        <f t="shared" si="811"/>
        <v>3차</v>
      </c>
      <c r="D16308" s="1" t="str">
        <f>"0130X15230"</f>
        <v>0130X15230</v>
      </c>
      <c r="E16308" s="1" t="s">
        <v>10</v>
      </c>
      <c r="F16308" s="1" t="str">
        <f>"10.107.253.186"</f>
        <v>10.107.253.186</v>
      </c>
      <c r="G16308" s="1" t="str">
        <f>"0130X152"</f>
        <v>0130X152</v>
      </c>
      <c r="H16308" s="1" t="str">
        <f>"장수간 65L2"</f>
        <v>장수간 65L2</v>
      </c>
      <c r="I16308" s="1" t="s">
        <v>8</v>
      </c>
      <c r="J16308" s="1" t="str">
        <f>"5/5"</f>
        <v>5/5</v>
      </c>
      <c r="K16308" s="1" t="str">
        <f t="shared" si="812"/>
        <v>2026-07-29 13:18:02</v>
      </c>
      <c r="L16308" s="1" t="str">
        <f>"2018-04-17 18:21:59"</f>
        <v>2018-04-17 18:21:59</v>
      </c>
      <c r="M16308" s="1" t="s">
        <v>45</v>
      </c>
      <c r="N16308" s="1" t="s">
        <v>38</v>
      </c>
      <c r="O16308" s="1" t="s">
        <v>46</v>
      </c>
    </row>
    <row r="16309" spans="2:15" x14ac:dyDescent="0.3">
      <c r="B16309" s="1" t="s">
        <v>19</v>
      </c>
      <c r="C16309" s="1" t="str">
        <f t="shared" si="811"/>
        <v>3차</v>
      </c>
      <c r="D16309" s="1" t="str">
        <f>"0130X16139"</f>
        <v>0130X16139</v>
      </c>
      <c r="E16309" s="1" t="s">
        <v>10</v>
      </c>
      <c r="F16309" s="1" t="str">
        <f>"10.107.253.164"</f>
        <v>10.107.253.164</v>
      </c>
      <c r="G16309" s="1" t="str">
        <f>"0130X161"</f>
        <v>0130X161</v>
      </c>
      <c r="H16309" s="1" t="str">
        <f>"장수간 71L4L2"</f>
        <v>장수간 71L4L2</v>
      </c>
      <c r="I16309" s="1" t="s">
        <v>8</v>
      </c>
      <c r="J16309" s="1" t="str">
        <f>"38/38"</f>
        <v>38/38</v>
      </c>
      <c r="K16309" s="1" t="str">
        <f t="shared" si="812"/>
        <v>2026-07-29 13:18:02</v>
      </c>
      <c r="L16309" s="1" t="str">
        <f>"2018-03-27 17:14:29"</f>
        <v>2018-03-27 17:14:29</v>
      </c>
      <c r="M16309" s="1" t="s">
        <v>45</v>
      </c>
      <c r="N16309" s="1" t="s">
        <v>38</v>
      </c>
      <c r="O16309" s="1" t="s">
        <v>46</v>
      </c>
    </row>
    <row r="16310" spans="2:15" x14ac:dyDescent="0.3">
      <c r="B16310" s="1" t="s">
        <v>19</v>
      </c>
      <c r="C16310" s="1" t="str">
        <f t="shared" si="811"/>
        <v>3차</v>
      </c>
      <c r="D16310" s="1" t="str">
        <f>"0130X17239"</f>
        <v>0130X17239</v>
      </c>
      <c r="E16310" s="1" t="s">
        <v>10</v>
      </c>
      <c r="F16310" s="1" t="str">
        <f>"10.107.253.169"</f>
        <v>10.107.253.169</v>
      </c>
      <c r="G16310" s="1" t="str">
        <f>"0130X172"</f>
        <v>0130X172</v>
      </c>
      <c r="H16310" s="1" t="str">
        <f>"장수간 71L4L1"</f>
        <v>장수간 71L4L1</v>
      </c>
      <c r="I16310" s="1" t="s">
        <v>8</v>
      </c>
      <c r="J16310" s="1" t="str">
        <f>"30/30"</f>
        <v>30/30</v>
      </c>
      <c r="K16310" s="1" t="str">
        <f t="shared" si="812"/>
        <v>2026-07-29 13:18:02</v>
      </c>
      <c r="L16310" s="1" t="str">
        <f>"2018-04-04 15:37:58"</f>
        <v>2018-04-04 15:37:58</v>
      </c>
      <c r="M16310" s="1" t="s">
        <v>45</v>
      </c>
      <c r="N16310" s="1" t="s">
        <v>38</v>
      </c>
      <c r="O16310" s="1" t="s">
        <v>46</v>
      </c>
    </row>
    <row r="16311" spans="2:15" x14ac:dyDescent="0.3">
      <c r="B16311" s="1" t="s">
        <v>19</v>
      </c>
      <c r="C16311" s="1" t="str">
        <f t="shared" si="811"/>
        <v>3차</v>
      </c>
      <c r="D16311" s="1" t="str">
        <f>"0130X17639"</f>
        <v>0130X17639</v>
      </c>
      <c r="E16311" s="1" t="s">
        <v>10</v>
      </c>
      <c r="F16311" s="1" t="str">
        <f>"10.107.253.190"</f>
        <v>10.107.253.190</v>
      </c>
      <c r="G16311" s="1" t="str">
        <f>"0130X176"</f>
        <v>0130X176</v>
      </c>
      <c r="H16311" s="1" t="str">
        <f>"장수간 71L3"</f>
        <v>장수간 71L3</v>
      </c>
      <c r="I16311" s="1" t="s">
        <v>8</v>
      </c>
      <c r="J16311" s="1" t="str">
        <f>"13/13"</f>
        <v>13/13</v>
      </c>
      <c r="K16311" s="1" t="str">
        <f t="shared" si="812"/>
        <v>2026-07-29 13:18:02</v>
      </c>
      <c r="L16311" s="1" t="str">
        <f>"2018-04-04 16:09:58"</f>
        <v>2018-04-04 16:09:58</v>
      </c>
      <c r="M16311" s="1" t="s">
        <v>45</v>
      </c>
      <c r="N16311" s="1" t="s">
        <v>38</v>
      </c>
      <c r="O16311" s="1" t="s">
        <v>46</v>
      </c>
    </row>
    <row r="16312" spans="2:15" x14ac:dyDescent="0.3">
      <c r="B16312" s="1" t="s">
        <v>19</v>
      </c>
      <c r="C16312" s="1" t="str">
        <f>"4차"</f>
        <v>4차</v>
      </c>
      <c r="D16312" s="1" t="str">
        <f>"0130X18339"</f>
        <v>0130X18339</v>
      </c>
      <c r="E16312" s="1" t="s">
        <v>10</v>
      </c>
      <c r="F16312" s="1" t="str">
        <f>"10.12.137.1"</f>
        <v>10.12.137.1</v>
      </c>
      <c r="G16312" s="1" t="str">
        <f>"0130X183"</f>
        <v>0130X183</v>
      </c>
      <c r="H16312" s="1" t="str">
        <f>"강북 14T1"</f>
        <v>강북 14T1</v>
      </c>
      <c r="I16312" s="1" t="s">
        <v>17</v>
      </c>
      <c r="J16312" s="1" t="str">
        <f>"2/2"</f>
        <v>2/2</v>
      </c>
      <c r="K16312" s="1" t="str">
        <f t="shared" si="812"/>
        <v>2026-07-29 13:18:02</v>
      </c>
      <c r="L16312" s="1" t="str">
        <f>"2018-10-15 17:23:15"</f>
        <v>2018-10-15 17:23:15</v>
      </c>
      <c r="M16312" s="1" t="s">
        <v>0</v>
      </c>
      <c r="N16312" s="1" t="s">
        <v>38</v>
      </c>
      <c r="O16312" s="1" t="s">
        <v>46</v>
      </c>
    </row>
    <row r="16313" spans="2:15" x14ac:dyDescent="0.3">
      <c r="B16313" s="1" t="s">
        <v>19</v>
      </c>
      <c r="C16313" s="1" t="str">
        <f>"1차"</f>
        <v>1차</v>
      </c>
      <c r="D16313" s="1" t="str">
        <f>"0130X20101"</f>
        <v>0130X20101</v>
      </c>
      <c r="E16313" s="1" t="s">
        <v>14</v>
      </c>
      <c r="F16313" s="1" t="str">
        <f>"10.12.135.70"</f>
        <v>10.12.135.70</v>
      </c>
      <c r="G16313" s="1" t="str">
        <f>"0130X201"</f>
        <v>0130X201</v>
      </c>
      <c r="H16313" s="1" t="str">
        <f>"장수간 50L12R7"</f>
        <v>장수간 50L12R7</v>
      </c>
      <c r="I16313" s="1" t="s">
        <v>8</v>
      </c>
      <c r="J16313" s="1" t="str">
        <f>"0/0"</f>
        <v>0/0</v>
      </c>
      <c r="K16313" s="1" t="str">
        <f>"2026-02-11 07:21:06"</f>
        <v>2026-02-11 07:21:06</v>
      </c>
      <c r="L16313" s="1" t="str">
        <f>"2015-01-08 12:12:23"</f>
        <v>2015-01-08 12:12:23</v>
      </c>
      <c r="M16313" s="1" t="s">
        <v>0</v>
      </c>
      <c r="N16313" s="1" t="s">
        <v>39</v>
      </c>
      <c r="O16313" s="1" t="s">
        <v>46</v>
      </c>
    </row>
    <row r="16314" spans="2:15" x14ac:dyDescent="0.3">
      <c r="B16314" s="1" t="s">
        <v>19</v>
      </c>
      <c r="C16314" s="1" t="str">
        <f>"4차"</f>
        <v>4차</v>
      </c>
      <c r="D16314" s="1" t="str">
        <f>"0130X21131"</f>
        <v>0130X21131</v>
      </c>
      <c r="E16314" s="1" t="s">
        <v>10</v>
      </c>
      <c r="F16314" s="1" t="str">
        <f>"10.107.253.211"</f>
        <v>10.107.253.211</v>
      </c>
      <c r="G16314" s="1" t="str">
        <f>"0130X211"</f>
        <v>0130X211</v>
      </c>
      <c r="H16314" s="1" t="str">
        <f>"장수간 54L6"</f>
        <v>장수간 54L6</v>
      </c>
      <c r="I16314" s="1" t="s">
        <v>8</v>
      </c>
      <c r="J16314" s="1" t="str">
        <f>"74/74"</f>
        <v>74/74</v>
      </c>
      <c r="K16314" s="1" t="str">
        <f>"2026-07-29 13:18:01"</f>
        <v>2026-07-29 13:18:01</v>
      </c>
      <c r="L16314" s="1" t="str">
        <f>"2024-06-18 11:08:16"</f>
        <v>2024-06-18 11:08:16</v>
      </c>
      <c r="M16314" s="1" t="s">
        <v>45</v>
      </c>
      <c r="N16314" s="1" t="s">
        <v>38</v>
      </c>
      <c r="O16314" s="1" t="s">
        <v>46</v>
      </c>
    </row>
    <row r="16315" spans="2:15" x14ac:dyDescent="0.3">
      <c r="B16315" s="1" t="s">
        <v>19</v>
      </c>
      <c r="C16315" s="1" t="str">
        <f>"4차"</f>
        <v>4차</v>
      </c>
      <c r="D16315" s="1" t="str">
        <f>"0130X21230"</f>
        <v>0130X21230</v>
      </c>
      <c r="E16315" s="1" t="s">
        <v>10</v>
      </c>
      <c r="F16315" s="1" t="str">
        <f>"10.107.253.210"</f>
        <v>10.107.253.210</v>
      </c>
      <c r="G16315" s="1" t="str">
        <f>"0130X212"</f>
        <v>0130X212</v>
      </c>
      <c r="H16315" s="1" t="str">
        <f>"장수간 54L5"</f>
        <v>장수간 54L5</v>
      </c>
      <c r="I16315" s="1" t="s">
        <v>8</v>
      </c>
      <c r="J16315" s="1" t="str">
        <f>"67/67"</f>
        <v>67/67</v>
      </c>
      <c r="K16315" s="1" t="str">
        <f t="shared" ref="K16315:K16320" si="813">"2026-07-29 13:18:02"</f>
        <v>2026-07-29 13:18:02</v>
      </c>
      <c r="L16315" s="1" t="str">
        <f>"2018-06-18 10:47:36"</f>
        <v>2018-06-18 10:47:36</v>
      </c>
      <c r="M16315" s="1" t="s">
        <v>45</v>
      </c>
      <c r="N16315" s="1" t="s">
        <v>38</v>
      </c>
      <c r="O16315" s="1" t="s">
        <v>46</v>
      </c>
    </row>
    <row r="16316" spans="2:15" x14ac:dyDescent="0.3">
      <c r="B16316" s="1" t="s">
        <v>19</v>
      </c>
      <c r="C16316" s="1" t="str">
        <f>"3차"</f>
        <v>3차</v>
      </c>
      <c r="D16316" s="1" t="str">
        <f>"0130X22139"</f>
        <v>0130X22139</v>
      </c>
      <c r="E16316" s="1" t="s">
        <v>10</v>
      </c>
      <c r="F16316" s="1" t="str">
        <f>"10.107.253.177"</f>
        <v>10.107.253.177</v>
      </c>
      <c r="G16316" s="1" t="str">
        <f>"0130X221"</f>
        <v>0130X221</v>
      </c>
      <c r="H16316" s="1" t="str">
        <f>"장수간 54L7"</f>
        <v>장수간 54L7</v>
      </c>
      <c r="I16316" s="1" t="s">
        <v>8</v>
      </c>
      <c r="J16316" s="1" t="str">
        <f>"38/38"</f>
        <v>38/38</v>
      </c>
      <c r="K16316" s="1" t="str">
        <f t="shared" si="813"/>
        <v>2026-07-29 13:18:02</v>
      </c>
      <c r="L16316" s="1" t="str">
        <f>"2018-03-27 17:06:35"</f>
        <v>2018-03-27 17:06:35</v>
      </c>
      <c r="M16316" s="1" t="s">
        <v>45</v>
      </c>
      <c r="N16316" s="1" t="s">
        <v>38</v>
      </c>
      <c r="O16316" s="1" t="s">
        <v>46</v>
      </c>
    </row>
    <row r="16317" spans="2:15" x14ac:dyDescent="0.3">
      <c r="B16317" s="1" t="s">
        <v>19</v>
      </c>
      <c r="C16317" s="1" t="str">
        <f>"4차"</f>
        <v>4차</v>
      </c>
      <c r="D16317" s="1" t="str">
        <f>"0130X22230"</f>
        <v>0130X22230</v>
      </c>
      <c r="E16317" s="1" t="s">
        <v>10</v>
      </c>
      <c r="F16317" s="1" t="str">
        <f>"10.107.253.188"</f>
        <v>10.107.253.188</v>
      </c>
      <c r="G16317" s="1" t="str">
        <f>"0130X222"</f>
        <v>0130X222</v>
      </c>
      <c r="H16317" s="1" t="str">
        <f>"장수간 64L1R1"</f>
        <v>장수간 64L1R1</v>
      </c>
      <c r="I16317" s="1" t="s">
        <v>8</v>
      </c>
      <c r="J16317" s="1" t="str">
        <f>"133/133"</f>
        <v>133/133</v>
      </c>
      <c r="K16317" s="1" t="str">
        <f t="shared" si="813"/>
        <v>2026-07-29 13:18:02</v>
      </c>
      <c r="L16317" s="1" t="str">
        <f>"2018-03-27 17:07:46"</f>
        <v>2018-03-27 17:07:46</v>
      </c>
      <c r="M16317" s="1" t="s">
        <v>45</v>
      </c>
      <c r="N16317" s="1" t="s">
        <v>38</v>
      </c>
      <c r="O16317" s="1" t="s">
        <v>46</v>
      </c>
    </row>
    <row r="16318" spans="2:15" x14ac:dyDescent="0.3">
      <c r="B16318" s="1" t="s">
        <v>19</v>
      </c>
      <c r="C16318" s="1" t="str">
        <f>"4차"</f>
        <v>4차</v>
      </c>
      <c r="D16318" s="1" t="str">
        <f>"0130X24139"</f>
        <v>0130X24139</v>
      </c>
      <c r="E16318" s="1" t="s">
        <v>10</v>
      </c>
      <c r="F16318" s="1" t="str">
        <f>"10.107.251.106"</f>
        <v>10.107.251.106</v>
      </c>
      <c r="G16318" s="1" t="str">
        <f>"0130X241"</f>
        <v>0130X241</v>
      </c>
      <c r="H16318" s="1" t="str">
        <f>"장수간 65L1"</f>
        <v>장수간 65L1</v>
      </c>
      <c r="I16318" s="1" t="s">
        <v>17</v>
      </c>
      <c r="J16318" s="1" t="str">
        <f>"57/57"</f>
        <v>57/57</v>
      </c>
      <c r="K16318" s="1" t="str">
        <f t="shared" si="813"/>
        <v>2026-07-29 13:18:02</v>
      </c>
      <c r="L16318" s="1" t="str">
        <f>"2018-09-20 12:25:45"</f>
        <v>2018-09-20 12:25:45</v>
      </c>
      <c r="M16318" s="1" t="s">
        <v>45</v>
      </c>
      <c r="N16318" s="1" t="s">
        <v>38</v>
      </c>
      <c r="O16318" s="1" t="s">
        <v>46</v>
      </c>
    </row>
    <row r="16319" spans="2:15" x14ac:dyDescent="0.3">
      <c r="B16319" s="1" t="s">
        <v>19</v>
      </c>
      <c r="C16319" s="1" t="str">
        <f>"4차"</f>
        <v>4차</v>
      </c>
      <c r="D16319" s="1" t="str">
        <f>"0130X26139"</f>
        <v>0130X26139</v>
      </c>
      <c r="E16319" s="1" t="s">
        <v>10</v>
      </c>
      <c r="F16319" s="1" t="str">
        <f>"10.107.253.184"</f>
        <v>10.107.253.184</v>
      </c>
      <c r="G16319" s="1" t="str">
        <f>"0130X261"</f>
        <v>0130X261</v>
      </c>
      <c r="H16319" s="1" t="str">
        <f>"장수간 68L1"</f>
        <v>장수간 68L1</v>
      </c>
      <c r="I16319" s="1" t="s">
        <v>8</v>
      </c>
      <c r="J16319" s="1" t="str">
        <f>"83/83"</f>
        <v>83/83</v>
      </c>
      <c r="K16319" s="1" t="str">
        <f t="shared" si="813"/>
        <v>2026-07-29 13:18:02</v>
      </c>
      <c r="L16319" s="1" t="str">
        <f>"2018-03-27 17:13:47"</f>
        <v>2018-03-27 17:13:47</v>
      </c>
      <c r="M16319" s="1" t="s">
        <v>45</v>
      </c>
      <c r="N16319" s="1" t="s">
        <v>38</v>
      </c>
      <c r="O16319" s="1" t="s">
        <v>46</v>
      </c>
    </row>
    <row r="16320" spans="2:15" x14ac:dyDescent="0.3">
      <c r="B16320" s="1" t="s">
        <v>19</v>
      </c>
      <c r="C16320" s="1" t="str">
        <f>"3차"</f>
        <v>3차</v>
      </c>
      <c r="D16320" s="1" t="str">
        <f>"0130X26239"</f>
        <v>0130X26239</v>
      </c>
      <c r="E16320" s="1" t="s">
        <v>10</v>
      </c>
      <c r="F16320" s="1" t="str">
        <f>"10.107.253.178"</f>
        <v>10.107.253.178</v>
      </c>
      <c r="G16320" s="1" t="str">
        <f>"0130X262"</f>
        <v>0130X262</v>
      </c>
      <c r="H16320" s="1" t="str">
        <f>"장수간 68L2"</f>
        <v>장수간 68L2</v>
      </c>
      <c r="I16320" s="1" t="s">
        <v>8</v>
      </c>
      <c r="J16320" s="1" t="str">
        <f>"118/118"</f>
        <v>118/118</v>
      </c>
      <c r="K16320" s="1" t="str">
        <f t="shared" si="813"/>
        <v>2026-07-29 13:18:02</v>
      </c>
      <c r="L16320" s="1" t="str">
        <f>"2018-03-27 17:06:26"</f>
        <v>2018-03-27 17:06:26</v>
      </c>
      <c r="M16320" s="1" t="s">
        <v>45</v>
      </c>
      <c r="N16320" s="1" t="s">
        <v>38</v>
      </c>
      <c r="O16320" s="1" t="s">
        <v>46</v>
      </c>
    </row>
    <row r="16321" spans="2:15" x14ac:dyDescent="0.3">
      <c r="B16321" s="1" t="s">
        <v>19</v>
      </c>
      <c r="C16321" s="1" t="str">
        <f>"1차"</f>
        <v>1차</v>
      </c>
      <c r="D16321" s="1" t="str">
        <f>"0130X27100"</f>
        <v>0130X27100</v>
      </c>
      <c r="E16321" s="1" t="s">
        <v>10</v>
      </c>
      <c r="F16321" s="1" t="str">
        <f>"10.107.127.34"</f>
        <v>10.107.127.34</v>
      </c>
      <c r="G16321" s="1" t="str">
        <f>"0130X271"</f>
        <v>0130X271</v>
      </c>
      <c r="H16321" s="1" t="str">
        <f>"장수간 71L2"</f>
        <v>장수간 71L2</v>
      </c>
      <c r="I16321" s="1" t="s">
        <v>8</v>
      </c>
      <c r="J16321" s="1" t="str">
        <f>"53/68"</f>
        <v>53/68</v>
      </c>
      <c r="K16321" s="1" t="str">
        <f>"2026-07-29 13:18:01"</f>
        <v>2026-07-29 13:18:01</v>
      </c>
      <c r="L16321" s="1" t="str">
        <f>"2014-12-12 14:42:46"</f>
        <v>2014-12-12 14:42:46</v>
      </c>
      <c r="M16321" s="1" t="s">
        <v>45</v>
      </c>
      <c r="N16321" s="1" t="s">
        <v>38</v>
      </c>
      <c r="O16321" s="1" t="s">
        <v>46</v>
      </c>
    </row>
    <row r="16322" spans="2:15" x14ac:dyDescent="0.3">
      <c r="B16322" s="1" t="s">
        <v>19</v>
      </c>
      <c r="C16322" s="1" t="str">
        <f>"4차"</f>
        <v>4차</v>
      </c>
      <c r="D16322" s="1" t="str">
        <f>"0130X28142"</f>
        <v>0130X28142</v>
      </c>
      <c r="E16322" s="1" t="s">
        <v>10</v>
      </c>
      <c r="F16322" s="1" t="str">
        <f>"10.12.135.186"</f>
        <v>10.12.135.186</v>
      </c>
      <c r="G16322" s="1" t="str">
        <f>"0130X281"</f>
        <v>0130X281</v>
      </c>
      <c r="H16322" s="1" t="str">
        <f>"장수간 71L4R1"</f>
        <v>장수간 71L4R1</v>
      </c>
      <c r="I16322" s="1" t="s">
        <v>8</v>
      </c>
      <c r="J16322" s="1" t="str">
        <f>"119/119"</f>
        <v>119/119</v>
      </c>
      <c r="K16322" s="1" t="str">
        <f>"2026-07-29 13:18:03"</f>
        <v>2026-07-29 13:18:03</v>
      </c>
      <c r="L16322" s="1" t="str">
        <f>"2024-05-21 09:20:47"</f>
        <v>2024-05-21 09:20:47</v>
      </c>
      <c r="M16322" s="1" t="s">
        <v>0</v>
      </c>
      <c r="N16322" s="1" t="s">
        <v>38</v>
      </c>
      <c r="O16322" s="1" t="s">
        <v>46</v>
      </c>
    </row>
    <row r="16323" spans="2:15" x14ac:dyDescent="0.3">
      <c r="B16323" s="1" t="s">
        <v>19</v>
      </c>
      <c r="C16323" s="1" t="str">
        <f>"3차"</f>
        <v>3차</v>
      </c>
      <c r="D16323" s="1" t="str">
        <f>"0130X30139"</f>
        <v>0130X30139</v>
      </c>
      <c r="E16323" s="1" t="s">
        <v>10</v>
      </c>
      <c r="F16323" s="1" t="str">
        <f>"10.107.253.194"</f>
        <v>10.107.253.194</v>
      </c>
      <c r="G16323" s="1" t="str">
        <f>"0130X301"</f>
        <v>0130X301</v>
      </c>
      <c r="H16323" s="1" t="str">
        <f>"장수간 54L4"</f>
        <v>장수간 54L4</v>
      </c>
      <c r="I16323" s="1" t="s">
        <v>8</v>
      </c>
      <c r="J16323" s="1" t="str">
        <f>"62/62"</f>
        <v>62/62</v>
      </c>
      <c r="K16323" s="1" t="str">
        <f t="shared" ref="K16323:K16328" si="814">"2026-07-29 13:18:02"</f>
        <v>2026-07-29 13:18:02</v>
      </c>
      <c r="L16323" s="1" t="str">
        <f>"2018-03-27 17:06:14"</f>
        <v>2018-03-27 17:06:14</v>
      </c>
      <c r="M16323" s="1" t="s">
        <v>45</v>
      </c>
      <c r="N16323" s="1" t="s">
        <v>38</v>
      </c>
      <c r="O16323" s="1" t="s">
        <v>46</v>
      </c>
    </row>
    <row r="16324" spans="2:15" x14ac:dyDescent="0.3">
      <c r="B16324" s="1" t="s">
        <v>19</v>
      </c>
      <c r="C16324" s="1" t="str">
        <f>"4차"</f>
        <v>4차</v>
      </c>
      <c r="D16324" s="1" t="str">
        <f>"0130X32130"</f>
        <v>0130X32130</v>
      </c>
      <c r="E16324" s="1" t="s">
        <v>10</v>
      </c>
      <c r="F16324" s="1" t="str">
        <f>"10.107.253.213"</f>
        <v>10.107.253.213</v>
      </c>
      <c r="G16324" s="1" t="str">
        <f>"0130X321"</f>
        <v>0130X321</v>
      </c>
      <c r="H16324" s="1" t="str">
        <f>"장수간 64L1"</f>
        <v>장수간 64L1</v>
      </c>
      <c r="I16324" s="1" t="s">
        <v>8</v>
      </c>
      <c r="J16324" s="1" t="str">
        <f>"148/148"</f>
        <v>148/148</v>
      </c>
      <c r="K16324" s="1" t="str">
        <f t="shared" si="814"/>
        <v>2026-07-29 13:18:02</v>
      </c>
      <c r="L16324" s="1" t="str">
        <f>"2018-06-20 15:54:32"</f>
        <v>2018-06-20 15:54:32</v>
      </c>
      <c r="M16324" s="1" t="s">
        <v>45</v>
      </c>
      <c r="N16324" s="1" t="s">
        <v>38</v>
      </c>
      <c r="O16324" s="1" t="s">
        <v>46</v>
      </c>
    </row>
    <row r="16325" spans="2:15" x14ac:dyDescent="0.3">
      <c r="B16325" s="1" t="s">
        <v>19</v>
      </c>
      <c r="C16325" s="1" t="str">
        <f>"4차"</f>
        <v>4차</v>
      </c>
      <c r="D16325" s="1" t="str">
        <f>"0130X33339"</f>
        <v>0130X33339</v>
      </c>
      <c r="E16325" s="1" t="s">
        <v>10</v>
      </c>
      <c r="F16325" s="1" t="str">
        <f>"10.107.253.162"</f>
        <v>10.107.253.162</v>
      </c>
      <c r="G16325" s="1" t="str">
        <f>"0130X333"</f>
        <v>0130X333</v>
      </c>
      <c r="H16325" s="1" t="str">
        <f>"장수간 66"</f>
        <v>장수간 66</v>
      </c>
      <c r="I16325" s="1" t="s">
        <v>8</v>
      </c>
      <c r="J16325" s="1" t="str">
        <f>"80/83"</f>
        <v>80/83</v>
      </c>
      <c r="K16325" s="1" t="str">
        <f t="shared" si="814"/>
        <v>2026-07-29 13:18:02</v>
      </c>
      <c r="L16325" s="1" t="str">
        <f>"2021-07-26 17:53:10"</f>
        <v>2021-07-26 17:53:10</v>
      </c>
      <c r="M16325" s="1" t="s">
        <v>45</v>
      </c>
      <c r="N16325" s="1" t="s">
        <v>38</v>
      </c>
      <c r="O16325" s="1" t="s">
        <v>46</v>
      </c>
    </row>
    <row r="16326" spans="2:15" x14ac:dyDescent="0.3">
      <c r="B16326" s="1" t="s">
        <v>19</v>
      </c>
      <c r="C16326" s="1" t="str">
        <f>"3차"</f>
        <v>3차</v>
      </c>
      <c r="D16326" s="1" t="str">
        <f>"0130X34139"</f>
        <v>0130X34139</v>
      </c>
      <c r="E16326" s="1" t="s">
        <v>10</v>
      </c>
      <c r="F16326" s="1" t="str">
        <f>"10.107.253.163"</f>
        <v>10.107.253.163</v>
      </c>
      <c r="G16326" s="1" t="str">
        <f>"0130X341"</f>
        <v>0130X341</v>
      </c>
      <c r="H16326" s="1" t="str">
        <f>"장수간 67"</f>
        <v>장수간 67</v>
      </c>
      <c r="I16326" s="1" t="s">
        <v>8</v>
      </c>
      <c r="J16326" s="1" t="str">
        <f>"66/66"</f>
        <v>66/66</v>
      </c>
      <c r="K16326" s="1" t="str">
        <f t="shared" si="814"/>
        <v>2026-07-29 13:18:02</v>
      </c>
      <c r="L16326" s="1" t="str">
        <f>"2018-04-06 14:03:41"</f>
        <v>2018-04-06 14:03:41</v>
      </c>
      <c r="M16326" s="1" t="s">
        <v>45</v>
      </c>
      <c r="N16326" s="1" t="s">
        <v>38</v>
      </c>
      <c r="O16326" s="1" t="s">
        <v>46</v>
      </c>
    </row>
    <row r="16327" spans="2:15" x14ac:dyDescent="0.3">
      <c r="B16327" s="1" t="s">
        <v>19</v>
      </c>
      <c r="C16327" s="1" t="str">
        <f>"3차"</f>
        <v>3차</v>
      </c>
      <c r="D16327" s="1" t="str">
        <f>"0130X36139"</f>
        <v>0130X36139</v>
      </c>
      <c r="E16327" s="1" t="s">
        <v>10</v>
      </c>
      <c r="F16327" s="1" t="str">
        <f>"10.107.253.207"</f>
        <v>10.107.253.207</v>
      </c>
      <c r="G16327" s="1" t="str">
        <f>"0130X361"</f>
        <v>0130X361</v>
      </c>
      <c r="H16327" s="1" t="str">
        <f>"장수간 70"</f>
        <v>장수간 70</v>
      </c>
      <c r="I16327" s="1" t="s">
        <v>8</v>
      </c>
      <c r="J16327" s="1" t="str">
        <f>"101/101"</f>
        <v>101/101</v>
      </c>
      <c r="K16327" s="1" t="str">
        <f t="shared" si="814"/>
        <v>2026-07-29 13:18:02</v>
      </c>
      <c r="L16327" s="1" t="str">
        <f>"2018-06-16 17:13:46"</f>
        <v>2018-06-16 17:13:46</v>
      </c>
      <c r="M16327" s="1" t="s">
        <v>45</v>
      </c>
      <c r="N16327" s="1" t="s">
        <v>38</v>
      </c>
      <c r="O16327" s="1" t="s">
        <v>46</v>
      </c>
    </row>
    <row r="16328" spans="2:15" x14ac:dyDescent="0.3">
      <c r="B16328" s="1" t="s">
        <v>19</v>
      </c>
      <c r="C16328" s="1" t="str">
        <f>"1차"</f>
        <v>1차</v>
      </c>
      <c r="D16328" s="1" t="str">
        <f>"0130X37201"</f>
        <v>0130X37201</v>
      </c>
      <c r="E16328" s="1" t="s">
        <v>10</v>
      </c>
      <c r="F16328" s="1" t="str">
        <f>"10.107.127.36"</f>
        <v>10.107.127.36</v>
      </c>
      <c r="G16328" s="1" t="str">
        <f>"0130X372"</f>
        <v>0130X372</v>
      </c>
      <c r="H16328" s="1" t="str">
        <f>"장수간 71C1"</f>
        <v>장수간 71C1</v>
      </c>
      <c r="I16328" s="1" t="s">
        <v>8</v>
      </c>
      <c r="J16328" s="1" t="str">
        <f>"99/111"</f>
        <v>99/111</v>
      </c>
      <c r="K16328" s="1" t="str">
        <f t="shared" si="814"/>
        <v>2026-07-29 13:18:02</v>
      </c>
      <c r="L16328" s="1" t="str">
        <f>"2014-12-12 14:43:18"</f>
        <v>2014-12-12 14:43:18</v>
      </c>
      <c r="M16328" s="1" t="s">
        <v>45</v>
      </c>
      <c r="N16328" s="1" t="s">
        <v>38</v>
      </c>
      <c r="O16328" s="1" t="s">
        <v>46</v>
      </c>
    </row>
    <row r="16329" spans="2:15" x14ac:dyDescent="0.3">
      <c r="B16329" s="1" t="s">
        <v>19</v>
      </c>
      <c r="C16329" s="1" t="str">
        <f>"5-1차"</f>
        <v>5-1차</v>
      </c>
      <c r="D16329" s="1" t="str">
        <f>"0130X3745S"</f>
        <v>0130X3745S</v>
      </c>
      <c r="E16329" s="1" t="s">
        <v>10</v>
      </c>
      <c r="F16329" s="1" t="str">
        <f>"fde2:104:0:54:0:0:0:2"</f>
        <v>fde2:104:0:54:0:0:0:2</v>
      </c>
      <c r="G16329" s="1" t="str">
        <f>"0130X374"</f>
        <v>0130X374</v>
      </c>
      <c r="H16329" s="1" t="str">
        <f>"장수간 71L1"</f>
        <v>장수간 71L1</v>
      </c>
      <c r="I16329" s="1" t="s">
        <v>15</v>
      </c>
      <c r="J16329" s="1" t="str">
        <f>"33/33"</f>
        <v>33/33</v>
      </c>
      <c r="K16329" s="1" t="str">
        <f>"2026-07-29 14:20:25"</f>
        <v>2026-07-29 14:20:25</v>
      </c>
      <c r="L16329" s="1" t="str">
        <f>"2022-09-01 13:50:58"</f>
        <v>2022-09-01 13:50:58</v>
      </c>
      <c r="M16329" s="1" t="s">
        <v>42</v>
      </c>
      <c r="N16329" s="1" t="s">
        <v>38</v>
      </c>
      <c r="O16329" s="1" t="s">
        <v>46</v>
      </c>
    </row>
    <row r="16330" spans="2:15" x14ac:dyDescent="0.3">
      <c r="B16330" s="1" t="s">
        <v>19</v>
      </c>
      <c r="C16330" s="1" t="str">
        <f>"4차"</f>
        <v>4차</v>
      </c>
      <c r="D16330" s="1" t="str">
        <f>"0130X40142"</f>
        <v>0130X40142</v>
      </c>
      <c r="E16330" s="1" t="s">
        <v>10</v>
      </c>
      <c r="F16330" s="1" t="str">
        <f>"10.107.127.42"</f>
        <v>10.107.127.42</v>
      </c>
      <c r="G16330" s="1" t="str">
        <f>"0130X401"</f>
        <v>0130X401</v>
      </c>
      <c r="H16330" s="1" t="str">
        <f>"장수간 54L3"</f>
        <v>장수간 54L3</v>
      </c>
      <c r="I16330" s="1" t="s">
        <v>8</v>
      </c>
      <c r="J16330" s="1" t="str">
        <f>"65/66"</f>
        <v>65/66</v>
      </c>
      <c r="K16330" s="1" t="str">
        <f t="shared" ref="K16330:K16337" si="815">"2026-07-29 13:18:02"</f>
        <v>2026-07-29 13:18:02</v>
      </c>
      <c r="L16330" s="1" t="str">
        <f>"2025-09-29 16:33:25"</f>
        <v>2025-09-29 16:33:25</v>
      </c>
      <c r="M16330" s="1" t="s">
        <v>45</v>
      </c>
      <c r="N16330" s="1" t="s">
        <v>38</v>
      </c>
      <c r="O16330" s="1" t="s">
        <v>46</v>
      </c>
    </row>
    <row r="16331" spans="2:15" x14ac:dyDescent="0.3">
      <c r="B16331" s="1" t="s">
        <v>19</v>
      </c>
      <c r="C16331" s="1" t="str">
        <f>"3차"</f>
        <v>3차</v>
      </c>
      <c r="D16331" s="1" t="str">
        <f>"0130X42239"</f>
        <v>0130X42239</v>
      </c>
      <c r="E16331" s="1" t="s">
        <v>10</v>
      </c>
      <c r="F16331" s="1" t="str">
        <f>"10.107.253.179"</f>
        <v>10.107.253.179</v>
      </c>
      <c r="G16331" s="1" t="str">
        <f>"0130X422"</f>
        <v>0130X422</v>
      </c>
      <c r="H16331" s="1" t="str">
        <f>"장수간 63"</f>
        <v>장수간 63</v>
      </c>
      <c r="I16331" s="1" t="s">
        <v>8</v>
      </c>
      <c r="J16331" s="1" t="str">
        <f>"158/164"</f>
        <v>158/164</v>
      </c>
      <c r="K16331" s="1" t="str">
        <f t="shared" si="815"/>
        <v>2026-07-29 13:18:02</v>
      </c>
      <c r="L16331" s="1" t="str">
        <f>"2018-04-09 12:03:47"</f>
        <v>2018-04-09 12:03:47</v>
      </c>
      <c r="M16331" s="1" t="s">
        <v>45</v>
      </c>
      <c r="N16331" s="1" t="s">
        <v>38</v>
      </c>
      <c r="O16331" s="1" t="s">
        <v>46</v>
      </c>
    </row>
    <row r="16332" spans="2:15" x14ac:dyDescent="0.3">
      <c r="B16332" s="1" t="s">
        <v>19</v>
      </c>
      <c r="C16332" s="1" t="str">
        <f>"3차"</f>
        <v>3차</v>
      </c>
      <c r="D16332" s="1" t="str">
        <f>"0130X43239"</f>
        <v>0130X43239</v>
      </c>
      <c r="E16332" s="1" t="s">
        <v>10</v>
      </c>
      <c r="F16332" s="1" t="str">
        <f>"10.107.253.172"</f>
        <v>10.107.253.172</v>
      </c>
      <c r="G16332" s="1" t="str">
        <f>"0130X432"</f>
        <v>0130X432</v>
      </c>
      <c r="H16332" s="1" t="str">
        <f>"장수간 64R2"</f>
        <v>장수간 64R2</v>
      </c>
      <c r="I16332" s="1" t="s">
        <v>8</v>
      </c>
      <c r="J16332" s="1" t="str">
        <f>"107/111"</f>
        <v>107/111</v>
      </c>
      <c r="K16332" s="1" t="str">
        <f t="shared" si="815"/>
        <v>2026-07-29 13:18:02</v>
      </c>
      <c r="L16332" s="1" t="str">
        <f>"2018-03-27 17:14:02"</f>
        <v>2018-03-27 17:14:02</v>
      </c>
      <c r="M16332" s="1" t="s">
        <v>45</v>
      </c>
      <c r="N16332" s="1" t="s">
        <v>38</v>
      </c>
      <c r="O16332" s="1" t="s">
        <v>46</v>
      </c>
    </row>
    <row r="16333" spans="2:15" x14ac:dyDescent="0.3">
      <c r="B16333" s="1" t="s">
        <v>19</v>
      </c>
      <c r="C16333" s="1" t="str">
        <f>"3차"</f>
        <v>3차</v>
      </c>
      <c r="D16333" s="1" t="str">
        <f>"0130X43339"</f>
        <v>0130X43339</v>
      </c>
      <c r="E16333" s="1" t="s">
        <v>10</v>
      </c>
      <c r="F16333" s="1" t="str">
        <f>"10.107.253.206"</f>
        <v>10.107.253.206</v>
      </c>
      <c r="G16333" s="1" t="str">
        <f>"0130X433"</f>
        <v>0130X433</v>
      </c>
      <c r="H16333" s="1" t="str">
        <f>"장수간 64R1"</f>
        <v>장수간 64R1</v>
      </c>
      <c r="I16333" s="1" t="s">
        <v>8</v>
      </c>
      <c r="J16333" s="1" t="str">
        <f>"10/10"</f>
        <v>10/10</v>
      </c>
      <c r="K16333" s="1" t="str">
        <f t="shared" si="815"/>
        <v>2026-07-29 13:18:02</v>
      </c>
      <c r="L16333" s="1" t="str">
        <f>"2018-03-27 17:19:07"</f>
        <v>2018-03-27 17:19:07</v>
      </c>
      <c r="M16333" s="1" t="s">
        <v>45</v>
      </c>
      <c r="N16333" s="1" t="s">
        <v>38</v>
      </c>
      <c r="O16333" s="1" t="s">
        <v>46</v>
      </c>
    </row>
    <row r="16334" spans="2:15" x14ac:dyDescent="0.3">
      <c r="B16334" s="1" t="s">
        <v>19</v>
      </c>
      <c r="C16334" s="1" t="str">
        <f>"3차"</f>
        <v>3차</v>
      </c>
      <c r="D16334" s="1" t="str">
        <f>"0130X45139"</f>
        <v>0130X45139</v>
      </c>
      <c r="E16334" s="1" t="s">
        <v>10</v>
      </c>
      <c r="F16334" s="1" t="str">
        <f>"10.107.253.216"</f>
        <v>10.107.253.216</v>
      </c>
      <c r="G16334" s="1" t="str">
        <f>"0130X451"</f>
        <v>0130X451</v>
      </c>
      <c r="H16334" s="1" t="str">
        <f>"장수간 64R5"</f>
        <v>장수간 64R5</v>
      </c>
      <c r="I16334" s="1" t="s">
        <v>8</v>
      </c>
      <c r="J16334" s="1" t="str">
        <f>"65/66"</f>
        <v>65/66</v>
      </c>
      <c r="K16334" s="1" t="str">
        <f t="shared" si="815"/>
        <v>2026-07-29 13:18:02</v>
      </c>
      <c r="L16334" s="1" t="str">
        <f>"2018-06-16 14:42:17"</f>
        <v>2018-06-16 14:42:17</v>
      </c>
      <c r="M16334" s="1" t="s">
        <v>45</v>
      </c>
      <c r="N16334" s="1" t="s">
        <v>38</v>
      </c>
      <c r="O16334" s="1" t="s">
        <v>46</v>
      </c>
    </row>
    <row r="16335" spans="2:15" x14ac:dyDescent="0.3">
      <c r="B16335" s="1" t="s">
        <v>19</v>
      </c>
      <c r="C16335" s="1" t="str">
        <f>"4차"</f>
        <v>4차</v>
      </c>
      <c r="D16335" s="1" t="str">
        <f>"0130X45239"</f>
        <v>0130X45239</v>
      </c>
      <c r="E16335" s="1" t="s">
        <v>10</v>
      </c>
      <c r="F16335" s="1" t="str">
        <f>"10.107.253.167"</f>
        <v>10.107.253.167</v>
      </c>
      <c r="G16335" s="1" t="str">
        <f>"0130X452"</f>
        <v>0130X452</v>
      </c>
      <c r="H16335" s="1" t="str">
        <f>"장수간 64R6"</f>
        <v>장수간 64R6</v>
      </c>
      <c r="I16335" s="1" t="s">
        <v>8</v>
      </c>
      <c r="J16335" s="1" t="str">
        <f>"42/43"</f>
        <v>42/43</v>
      </c>
      <c r="K16335" s="1" t="str">
        <f t="shared" si="815"/>
        <v>2026-07-29 13:18:02</v>
      </c>
      <c r="L16335" s="1" t="str">
        <f>"2018-03-27 17:13:29"</f>
        <v>2018-03-27 17:13:29</v>
      </c>
      <c r="M16335" s="1" t="s">
        <v>45</v>
      </c>
      <c r="N16335" s="1" t="s">
        <v>38</v>
      </c>
      <c r="O16335" s="1" t="s">
        <v>46</v>
      </c>
    </row>
    <row r="16336" spans="2:15" x14ac:dyDescent="0.3">
      <c r="B16336" s="1" t="s">
        <v>19</v>
      </c>
      <c r="C16336" s="1" t="str">
        <f>"3차"</f>
        <v>3차</v>
      </c>
      <c r="D16336" s="1" t="str">
        <f>"0130X47139"</f>
        <v>0130X47139</v>
      </c>
      <c r="E16336" s="1" t="s">
        <v>10</v>
      </c>
      <c r="F16336" s="1" t="str">
        <f>"10.107.253.183"</f>
        <v>10.107.253.183</v>
      </c>
      <c r="G16336" s="1" t="str">
        <f>"0130X471"</f>
        <v>0130X471</v>
      </c>
      <c r="H16336" s="1" t="str">
        <f>"장수간 72"</f>
        <v>장수간 72</v>
      </c>
      <c r="I16336" s="1" t="s">
        <v>8</v>
      </c>
      <c r="J16336" s="1" t="str">
        <f>"33/33"</f>
        <v>33/33</v>
      </c>
      <c r="K16336" s="1" t="str">
        <f t="shared" si="815"/>
        <v>2026-07-29 13:18:02</v>
      </c>
      <c r="L16336" s="1" t="str">
        <f>"2018-03-27 17:08:35"</f>
        <v>2018-03-27 17:08:35</v>
      </c>
      <c r="M16336" s="1" t="s">
        <v>45</v>
      </c>
      <c r="N16336" s="1" t="s">
        <v>38</v>
      </c>
      <c r="O16336" s="1" t="s">
        <v>46</v>
      </c>
    </row>
    <row r="16337" spans="2:15" x14ac:dyDescent="0.3">
      <c r="B16337" s="1" t="s">
        <v>19</v>
      </c>
      <c r="C16337" s="1" t="str">
        <f>"4차"</f>
        <v>4차</v>
      </c>
      <c r="D16337" s="1" t="str">
        <f>"0130X50144"</f>
        <v>0130X50144</v>
      </c>
      <c r="E16337" s="1" t="s">
        <v>10</v>
      </c>
      <c r="F16337" s="1" t="str">
        <f>"10.107.253.198"</f>
        <v>10.107.253.198</v>
      </c>
      <c r="G16337" s="1" t="str">
        <f>"0130X501"</f>
        <v>0130X501</v>
      </c>
      <c r="H16337" s="1" t="str">
        <f>"장수간 64L1L3"</f>
        <v>장수간 64L1L3</v>
      </c>
      <c r="I16337" s="1" t="s">
        <v>8</v>
      </c>
      <c r="J16337" s="1" t="str">
        <f>"23/23"</f>
        <v>23/23</v>
      </c>
      <c r="K16337" s="1" t="str">
        <f t="shared" si="815"/>
        <v>2026-07-29 13:18:02</v>
      </c>
      <c r="L16337" s="1" t="str">
        <f>"2019-12-13 09:16:50"</f>
        <v>2019-12-13 09:16:50</v>
      </c>
      <c r="M16337" s="1" t="s">
        <v>45</v>
      </c>
      <c r="N16337" s="1" t="s">
        <v>38</v>
      </c>
      <c r="O16337" s="1" t="s">
        <v>46</v>
      </c>
    </row>
    <row r="16338" spans="2:15" x14ac:dyDescent="0.3">
      <c r="B16338" s="1" t="s">
        <v>19</v>
      </c>
      <c r="C16338" s="1" t="str">
        <f>"3차"</f>
        <v>3차</v>
      </c>
      <c r="D16338" s="1" t="str">
        <f>"0130X50239"</f>
        <v>0130X50239</v>
      </c>
      <c r="E16338" s="1" t="s">
        <v>10</v>
      </c>
      <c r="F16338" s="1" t="str">
        <f>"10.12.137.127"</f>
        <v>10.12.137.127</v>
      </c>
      <c r="G16338" s="1" t="str">
        <f>"0130X502"</f>
        <v>0130X502</v>
      </c>
      <c r="H16338" s="1" t="str">
        <f>"장수간 64L1L4"</f>
        <v>장수간 64L1L4</v>
      </c>
      <c r="I16338" s="1" t="s">
        <v>8</v>
      </c>
      <c r="J16338" s="1" t="str">
        <f>"41/41"</f>
        <v>41/41</v>
      </c>
      <c r="K16338" s="1" t="str">
        <f>"2026-07-29 07:18:01"</f>
        <v>2026-07-29 07:18:01</v>
      </c>
      <c r="L16338" s="1" t="str">
        <f>"2018-04-27 09:35:12"</f>
        <v>2018-04-27 09:35:12</v>
      </c>
      <c r="M16338" s="1" t="s">
        <v>0</v>
      </c>
      <c r="N16338" s="1" t="s">
        <v>38</v>
      </c>
      <c r="O16338" s="1" t="s">
        <v>46</v>
      </c>
    </row>
    <row r="16339" spans="2:15" x14ac:dyDescent="0.3">
      <c r="B16339" s="1" t="s">
        <v>19</v>
      </c>
      <c r="C16339" s="1" t="str">
        <f>"4차"</f>
        <v>4차</v>
      </c>
      <c r="D16339" s="1" t="str">
        <f>"0130X51144"</f>
        <v>0130X51144</v>
      </c>
      <c r="E16339" s="1" t="s">
        <v>10</v>
      </c>
      <c r="F16339" s="1" t="str">
        <f>"10.107.252.21"</f>
        <v>10.107.252.21</v>
      </c>
      <c r="G16339" s="1" t="str">
        <f>"0130X511"</f>
        <v>0130X511</v>
      </c>
      <c r="H16339" s="1" t="str">
        <f>"장수간 61"</f>
        <v>장수간 61</v>
      </c>
      <c r="I16339" s="1" t="s">
        <v>8</v>
      </c>
      <c r="J16339" s="1" t="str">
        <f>"53/53"</f>
        <v>53/53</v>
      </c>
      <c r="K16339" s="1" t="str">
        <f>"2026-07-29 13:18:02"</f>
        <v>2026-07-29 13:18:02</v>
      </c>
      <c r="L16339" s="1" t="str">
        <f>"2020-01-30 15:51:22"</f>
        <v>2020-01-30 15:51:22</v>
      </c>
      <c r="M16339" s="1" t="s">
        <v>45</v>
      </c>
      <c r="N16339" s="1" t="s">
        <v>38</v>
      </c>
      <c r="O16339" s="1" t="s">
        <v>46</v>
      </c>
    </row>
    <row r="16340" spans="2:15" x14ac:dyDescent="0.3">
      <c r="B16340" s="1" t="s">
        <v>19</v>
      </c>
      <c r="C16340" s="1" t="str">
        <f>"3차"</f>
        <v>3차</v>
      </c>
      <c r="D16340" s="1" t="str">
        <f>"0130X51239"</f>
        <v>0130X51239</v>
      </c>
      <c r="E16340" s="1" t="s">
        <v>10</v>
      </c>
      <c r="F16340" s="1" t="str">
        <f>"10.12.137.134"</f>
        <v>10.12.137.134</v>
      </c>
      <c r="G16340" s="1" t="str">
        <f>"0130X512"</f>
        <v>0130X512</v>
      </c>
      <c r="H16340" s="1" t="str">
        <f>"장수간 60"</f>
        <v>장수간 60</v>
      </c>
      <c r="I16340" s="1" t="s">
        <v>8</v>
      </c>
      <c r="J16340" s="1" t="str">
        <f>"34/34"</f>
        <v>34/34</v>
      </c>
      <c r="K16340" s="1" t="str">
        <f>"2026-07-29 13:18:01"</f>
        <v>2026-07-29 13:18:01</v>
      </c>
      <c r="L16340" s="1" t="str">
        <f>"2018-04-27 09:09:56"</f>
        <v>2018-04-27 09:09:56</v>
      </c>
      <c r="M16340" s="1" t="s">
        <v>0</v>
      </c>
      <c r="N16340" s="1" t="s">
        <v>38</v>
      </c>
      <c r="O16340" s="1" t="s">
        <v>46</v>
      </c>
    </row>
    <row r="16341" spans="2:15" x14ac:dyDescent="0.3">
      <c r="B16341" s="1" t="s">
        <v>19</v>
      </c>
      <c r="C16341" s="1" t="str">
        <f>"4차"</f>
        <v>4차</v>
      </c>
      <c r="D16341" s="1" t="str">
        <f>"0130X54139"</f>
        <v>0130X54139</v>
      </c>
      <c r="E16341" s="1" t="s">
        <v>10</v>
      </c>
      <c r="F16341" s="1" t="str">
        <f>"10.107.253.215"</f>
        <v>10.107.253.215</v>
      </c>
      <c r="G16341" s="1" t="str">
        <f>"0130X541"</f>
        <v>0130X541</v>
      </c>
      <c r="H16341" s="1" t="str">
        <f>"장수간 64R3"</f>
        <v>장수간 64R3</v>
      </c>
      <c r="I16341" s="1" t="s">
        <v>8</v>
      </c>
      <c r="J16341" s="1" t="str">
        <f>"70/77"</f>
        <v>70/77</v>
      </c>
      <c r="K16341" s="1" t="str">
        <f>"2026-07-29 13:18:02"</f>
        <v>2026-07-29 13:18:02</v>
      </c>
      <c r="L16341" s="1" t="str">
        <f>"2018-06-16 14:17:56"</f>
        <v>2018-06-16 14:17:56</v>
      </c>
      <c r="M16341" s="1" t="s">
        <v>45</v>
      </c>
      <c r="N16341" s="1" t="s">
        <v>38</v>
      </c>
      <c r="O16341" s="1" t="s">
        <v>46</v>
      </c>
    </row>
    <row r="16342" spans="2:15" x14ac:dyDescent="0.3">
      <c r="B16342" s="1" t="s">
        <v>19</v>
      </c>
      <c r="C16342" s="1" t="str">
        <f>"4차"</f>
        <v>4차</v>
      </c>
      <c r="D16342" s="1" t="str">
        <f>"0130X55139"</f>
        <v>0130X55139</v>
      </c>
      <c r="E16342" s="1" t="s">
        <v>10</v>
      </c>
      <c r="F16342" s="1" t="str">
        <f>"10.12.132.48"</f>
        <v>10.12.132.48</v>
      </c>
      <c r="G16342" s="1" t="str">
        <f>"0130X551"</f>
        <v>0130X551</v>
      </c>
      <c r="H16342" s="1" t="str">
        <f>"장수간 64R4"</f>
        <v>장수간 64R4</v>
      </c>
      <c r="I16342" s="1" t="s">
        <v>8</v>
      </c>
      <c r="J16342" s="1" t="str">
        <f>"112/119"</f>
        <v>112/119</v>
      </c>
      <c r="K16342" s="1" t="str">
        <f>"2026-07-29 13:18:03"</f>
        <v>2026-07-29 13:18:03</v>
      </c>
      <c r="L16342" s="1" t="str">
        <f>"2018-07-13 16:09:02"</f>
        <v>2018-07-13 16:09:02</v>
      </c>
      <c r="M16342" s="1" t="s">
        <v>0</v>
      </c>
      <c r="N16342" s="1" t="s">
        <v>38</v>
      </c>
      <c r="O16342" s="1" t="s">
        <v>46</v>
      </c>
    </row>
    <row r="16343" spans="2:15" x14ac:dyDescent="0.3">
      <c r="B16343" s="1" t="s">
        <v>19</v>
      </c>
      <c r="C16343" s="1" t="str">
        <f>"5-2차"</f>
        <v>5-2차</v>
      </c>
      <c r="D16343" s="1" t="str">
        <f>"0130X5725M"</f>
        <v>0130X5725M</v>
      </c>
      <c r="E16343" s="1" t="s">
        <v>10</v>
      </c>
      <c r="F16343" s="1" t="str">
        <f>"fde1:103:4:9435:0:0:0:2"</f>
        <v>fde1:103:4:9435:0:0:0:2</v>
      </c>
      <c r="G16343" s="1" t="str">
        <f>"0130X572"</f>
        <v>0130X572</v>
      </c>
      <c r="H16343" s="1" t="str">
        <f>"장수간 73L1"</f>
        <v>장수간 73L1</v>
      </c>
      <c r="I16343" s="1" t="s">
        <v>15</v>
      </c>
      <c r="J16343" s="1" t="str">
        <f>"93/93"</f>
        <v>93/93</v>
      </c>
      <c r="K16343" s="1" t="str">
        <f>"2026-07-29 14:20:37"</f>
        <v>2026-07-29 14:20:37</v>
      </c>
      <c r="L16343" s="1" t="str">
        <f>"2023-12-18 10:45:56"</f>
        <v>2023-12-18 10:45:56</v>
      </c>
      <c r="M16343" s="1" t="s">
        <v>4</v>
      </c>
      <c r="N16343" s="1" t="s">
        <v>38</v>
      </c>
      <c r="O16343" s="1" t="s">
        <v>46</v>
      </c>
    </row>
    <row r="16344" spans="2:15" x14ac:dyDescent="0.3">
      <c r="B16344" s="1" t="s">
        <v>19</v>
      </c>
      <c r="C16344" s="1" t="str">
        <f>"4차"</f>
        <v>4차</v>
      </c>
      <c r="D16344" s="1" t="str">
        <f>"0130X60144"</f>
        <v>0130X60144</v>
      </c>
      <c r="E16344" s="1" t="s">
        <v>10</v>
      </c>
      <c r="F16344" s="1" t="str">
        <f>"10.107.253.222"</f>
        <v>10.107.253.222</v>
      </c>
      <c r="G16344" s="1" t="str">
        <f>"0130X601"</f>
        <v>0130X601</v>
      </c>
      <c r="H16344" s="1" t="str">
        <f>"장수간 59"</f>
        <v>장수간 59</v>
      </c>
      <c r="I16344" s="1" t="s">
        <v>8</v>
      </c>
      <c r="J16344" s="1" t="str">
        <f>"44/44"</f>
        <v>44/44</v>
      </c>
      <c r="K16344" s="1" t="str">
        <f>"2026-07-29 13:18:02"</f>
        <v>2026-07-29 13:18:02</v>
      </c>
      <c r="L16344" s="1" t="str">
        <f>"2019-12-13 12:09:18"</f>
        <v>2019-12-13 12:09:18</v>
      </c>
      <c r="M16344" s="1" t="s">
        <v>45</v>
      </c>
      <c r="N16344" s="1" t="s">
        <v>38</v>
      </c>
      <c r="O16344" s="1" t="s">
        <v>46</v>
      </c>
    </row>
    <row r="16345" spans="2:15" x14ac:dyDescent="0.3">
      <c r="B16345" s="1" t="s">
        <v>19</v>
      </c>
      <c r="C16345" s="1" t="str">
        <f>"3차"</f>
        <v>3차</v>
      </c>
      <c r="D16345" s="1" t="str">
        <f>"0130X62139"</f>
        <v>0130X62139</v>
      </c>
      <c r="E16345" s="1" t="s">
        <v>10</v>
      </c>
      <c r="F16345" s="1" t="str">
        <f>"10.12.132.50"</f>
        <v>10.12.132.50</v>
      </c>
      <c r="G16345" s="1" t="str">
        <f>"0130X621"</f>
        <v>0130X621</v>
      </c>
      <c r="H16345" s="1" t="str">
        <f>"장수간 61R1"</f>
        <v>장수간 61R1</v>
      </c>
      <c r="I16345" s="1" t="s">
        <v>8</v>
      </c>
      <c r="J16345" s="1" t="str">
        <f>"24/24"</f>
        <v>24/24</v>
      </c>
      <c r="K16345" s="1" t="str">
        <f>"2026-07-29 13:18:01"</f>
        <v>2026-07-29 13:18:01</v>
      </c>
      <c r="L16345" s="1" t="str">
        <f>"2018-07-13 16:21:46"</f>
        <v>2018-07-13 16:21:46</v>
      </c>
      <c r="M16345" s="1" t="s">
        <v>0</v>
      </c>
      <c r="N16345" s="1" t="s">
        <v>38</v>
      </c>
      <c r="O16345" s="1" t="s">
        <v>46</v>
      </c>
    </row>
    <row r="16346" spans="2:15" x14ac:dyDescent="0.3">
      <c r="B16346" s="1" t="s">
        <v>19</v>
      </c>
      <c r="C16346" s="1" t="str">
        <f>"3차"</f>
        <v>3차</v>
      </c>
      <c r="D16346" s="1" t="str">
        <f>"0130X62239"</f>
        <v>0130X62239</v>
      </c>
      <c r="E16346" s="1" t="s">
        <v>10</v>
      </c>
      <c r="F16346" s="1" t="str">
        <f>"10.107.253.174"</f>
        <v>10.107.253.174</v>
      </c>
      <c r="G16346" s="1" t="str">
        <f>"0130X622"</f>
        <v>0130X622</v>
      </c>
      <c r="H16346" s="1" t="str">
        <f>"장수간 61R2"</f>
        <v>장수간 61R2</v>
      </c>
      <c r="I16346" s="1" t="s">
        <v>8</v>
      </c>
      <c r="J16346" s="1" t="str">
        <f>"48/48"</f>
        <v>48/48</v>
      </c>
      <c r="K16346" s="1" t="str">
        <f>"2026-07-29 13:18:02"</f>
        <v>2026-07-29 13:18:02</v>
      </c>
      <c r="L16346" s="1" t="str">
        <f>"2018-04-04 15:33:28"</f>
        <v>2018-04-04 15:33:28</v>
      </c>
      <c r="M16346" s="1" t="s">
        <v>45</v>
      </c>
      <c r="N16346" s="1" t="s">
        <v>38</v>
      </c>
      <c r="O16346" s="1" t="s">
        <v>46</v>
      </c>
    </row>
    <row r="16347" spans="2:15" x14ac:dyDescent="0.3">
      <c r="B16347" s="1" t="s">
        <v>19</v>
      </c>
      <c r="C16347" s="1" t="str">
        <f>"4차"</f>
        <v>4차</v>
      </c>
      <c r="D16347" s="1" t="str">
        <f>"0130X63139"</f>
        <v>0130X63139</v>
      </c>
      <c r="E16347" s="1" t="s">
        <v>10</v>
      </c>
      <c r="F16347" s="1" t="str">
        <f>"10.107.253.175"</f>
        <v>10.107.253.175</v>
      </c>
      <c r="G16347" s="1" t="str">
        <f>"0130X631"</f>
        <v>0130X631</v>
      </c>
      <c r="H16347" s="1" t="str">
        <f>"장수간 61R3"</f>
        <v>장수간 61R3</v>
      </c>
      <c r="I16347" s="1" t="s">
        <v>8</v>
      </c>
      <c r="J16347" s="1" t="str">
        <f>"76/76"</f>
        <v>76/76</v>
      </c>
      <c r="K16347" s="1" t="str">
        <f>"2026-07-29 13:18:02"</f>
        <v>2026-07-29 13:18:02</v>
      </c>
      <c r="L16347" s="1" t="str">
        <f>"2018-04-04 15:26:59"</f>
        <v>2018-04-04 15:26:59</v>
      </c>
      <c r="M16347" s="1" t="s">
        <v>45</v>
      </c>
      <c r="N16347" s="1" t="s">
        <v>38</v>
      </c>
      <c r="O16347" s="1" t="s">
        <v>46</v>
      </c>
    </row>
    <row r="16348" spans="2:15" x14ac:dyDescent="0.3">
      <c r="B16348" s="1" t="s">
        <v>19</v>
      </c>
      <c r="C16348" s="1" t="str">
        <f>"4차"</f>
        <v>4차</v>
      </c>
      <c r="D16348" s="1" t="str">
        <f>"0130X66444"</f>
        <v>0130X66444</v>
      </c>
      <c r="E16348" s="1" t="s">
        <v>10</v>
      </c>
      <c r="F16348" s="1" t="str">
        <f>"10.107.252.19"</f>
        <v>10.107.252.19</v>
      </c>
      <c r="G16348" s="1" t="str">
        <f>"0130X664"</f>
        <v>0130X664</v>
      </c>
      <c r="H16348" s="1" t="str">
        <f>"장수간 75"</f>
        <v>장수간 75</v>
      </c>
      <c r="I16348" s="1" t="s">
        <v>8</v>
      </c>
      <c r="J16348" s="1" t="str">
        <f>"23/23"</f>
        <v>23/23</v>
      </c>
      <c r="K16348" s="1" t="str">
        <f>"2026-07-29 13:18:02"</f>
        <v>2026-07-29 13:18:02</v>
      </c>
      <c r="L16348" s="1" t="str">
        <f>"2020-02-11 10:29:45"</f>
        <v>2020-02-11 10:29:45</v>
      </c>
      <c r="M16348" s="1" t="s">
        <v>45</v>
      </c>
      <c r="N16348" s="1" t="s">
        <v>38</v>
      </c>
      <c r="O16348" s="1" t="s">
        <v>46</v>
      </c>
    </row>
    <row r="16349" spans="2:15" x14ac:dyDescent="0.3">
      <c r="B16349" s="1" t="s">
        <v>19</v>
      </c>
      <c r="C16349" s="1" t="str">
        <f>"4차"</f>
        <v>4차</v>
      </c>
      <c r="D16349" s="1" t="str">
        <f>"0130X71144"</f>
        <v>0130X71144</v>
      </c>
      <c r="E16349" s="1" t="s">
        <v>10</v>
      </c>
      <c r="F16349" s="1" t="str">
        <f>"10.107.252.67"</f>
        <v>10.107.252.67</v>
      </c>
      <c r="G16349" s="1" t="str">
        <f>"0130X711"</f>
        <v>0130X711</v>
      </c>
      <c r="H16349" s="1" t="str">
        <f>"장수간 59R1"</f>
        <v>장수간 59R1</v>
      </c>
      <c r="I16349" s="1" t="s">
        <v>8</v>
      </c>
      <c r="J16349" s="1" t="str">
        <f>"74/74"</f>
        <v>74/74</v>
      </c>
      <c r="K16349" s="1" t="str">
        <f>"2026-07-29 13:18:02"</f>
        <v>2026-07-29 13:18:02</v>
      </c>
      <c r="L16349" s="1" t="str">
        <f>"2020-01-21 16:45:53"</f>
        <v>2020-01-21 16:45:53</v>
      </c>
      <c r="M16349" s="1" t="s">
        <v>45</v>
      </c>
      <c r="N16349" s="1" t="s">
        <v>38</v>
      </c>
      <c r="O16349" s="1" t="s">
        <v>46</v>
      </c>
    </row>
    <row r="16350" spans="2:15" x14ac:dyDescent="0.3">
      <c r="B16350" s="1" t="s">
        <v>19</v>
      </c>
      <c r="C16350" s="1" t="str">
        <f>"3차"</f>
        <v>3차</v>
      </c>
      <c r="D16350" s="1" t="str">
        <f>"0130X71239"</f>
        <v>0130X71239</v>
      </c>
      <c r="E16350" s="1" t="s">
        <v>10</v>
      </c>
      <c r="F16350" s="1" t="str">
        <f>"10.12.137.137"</f>
        <v>10.12.137.137</v>
      </c>
      <c r="G16350" s="1" t="str">
        <f>"0130X712"</f>
        <v>0130X712</v>
      </c>
      <c r="H16350" s="1" t="str">
        <f>"장수간 59R2"</f>
        <v>장수간 59R2</v>
      </c>
      <c r="I16350" s="1" t="s">
        <v>8</v>
      </c>
      <c r="J16350" s="1" t="str">
        <f>"25/25"</f>
        <v>25/25</v>
      </c>
      <c r="K16350" s="1" t="str">
        <f>"2026-07-29 13:18:02"</f>
        <v>2026-07-29 13:18:02</v>
      </c>
      <c r="L16350" s="1" t="str">
        <f>"2018-04-27 08:44:26"</f>
        <v>2018-04-27 08:44:26</v>
      </c>
      <c r="M16350" s="1" t="s">
        <v>0</v>
      </c>
      <c r="N16350" s="1" t="s">
        <v>38</v>
      </c>
      <c r="O16350" s="1" t="s">
        <v>46</v>
      </c>
    </row>
    <row r="16351" spans="2:15" x14ac:dyDescent="0.3">
      <c r="B16351" s="1" t="s">
        <v>19</v>
      </c>
      <c r="C16351" s="1" t="str">
        <f>"5-2차"</f>
        <v>5-2차</v>
      </c>
      <c r="D16351" s="1" t="str">
        <f>"0130X7315M"</f>
        <v>0130X7315M</v>
      </c>
      <c r="E16351" s="1" t="s">
        <v>10</v>
      </c>
      <c r="F16351" s="1" t="str">
        <f>"fde3:102:1410:4100:0:0:0:e"</f>
        <v>fde3:102:1410:4100:0:0:0:e</v>
      </c>
      <c r="G16351" s="1" t="str">
        <f>"0130X731"</f>
        <v>0130X731</v>
      </c>
      <c r="H16351" s="1" t="str">
        <f>"장수간 79R1"</f>
        <v>장수간 79R1</v>
      </c>
      <c r="I16351" s="1" t="s">
        <v>15</v>
      </c>
      <c r="J16351" s="1" t="str">
        <f>"44/44"</f>
        <v>44/44</v>
      </c>
      <c r="K16351" s="1" t="str">
        <f>"2026-07-29 14:20:46"</f>
        <v>2026-07-29 14:20:46</v>
      </c>
      <c r="L16351" s="1" t="str">
        <f>"2023-08-04 17:17:53"</f>
        <v>2023-08-04 17:17:53</v>
      </c>
      <c r="M16351" s="1" t="s">
        <v>45</v>
      </c>
      <c r="N16351" s="1" t="s">
        <v>38</v>
      </c>
      <c r="O16351" s="1" t="s">
        <v>46</v>
      </c>
    </row>
    <row r="16352" spans="2:15" x14ac:dyDescent="0.3">
      <c r="B16352" s="1" t="s">
        <v>19</v>
      </c>
      <c r="C16352" s="1" t="str">
        <f>"5-2차"</f>
        <v>5-2차</v>
      </c>
      <c r="D16352" s="1" t="str">
        <f>"0130X7345M"</f>
        <v>0130X7345M</v>
      </c>
      <c r="E16352" s="1" t="s">
        <v>10</v>
      </c>
      <c r="F16352" s="1" t="str">
        <f>"fde3:102:1410:2100:0:0:0:3"</f>
        <v>fde3:102:1410:2100:0:0:0:3</v>
      </c>
      <c r="G16352" s="1" t="str">
        <f>"0130X734"</f>
        <v>0130X734</v>
      </c>
      <c r="H16352" s="1" t="str">
        <f>"장수간 79"</f>
        <v>장수간 79</v>
      </c>
      <c r="I16352" s="1" t="s">
        <v>15</v>
      </c>
      <c r="J16352" s="1" t="str">
        <f>"72/72"</f>
        <v>72/72</v>
      </c>
      <c r="K16352" s="1" t="str">
        <f>"2026-07-29 14:20:23"</f>
        <v>2026-07-29 14:20:23</v>
      </c>
      <c r="L16352" s="1" t="str">
        <f>"2023-11-03 11:03:31"</f>
        <v>2023-11-03 11:03:31</v>
      </c>
      <c r="M16352" s="1" t="s">
        <v>45</v>
      </c>
      <c r="N16352" s="1" t="s">
        <v>38</v>
      </c>
      <c r="O16352" s="1" t="s">
        <v>46</v>
      </c>
    </row>
    <row r="16353" spans="2:15" x14ac:dyDescent="0.3">
      <c r="B16353" s="1" t="s">
        <v>19</v>
      </c>
      <c r="C16353" s="1" t="str">
        <f>"4차"</f>
        <v>4차</v>
      </c>
      <c r="D16353" s="1" t="str">
        <f>"0130X75144"</f>
        <v>0130X75144</v>
      </c>
      <c r="E16353" s="1" t="s">
        <v>10</v>
      </c>
      <c r="F16353" s="1" t="str">
        <f>"10.107.252.20"</f>
        <v>10.107.252.20</v>
      </c>
      <c r="G16353" s="1" t="str">
        <f>"0130X751"</f>
        <v>0130X751</v>
      </c>
      <c r="H16353" s="1" t="str">
        <f>"장수간 76"</f>
        <v>장수간 76</v>
      </c>
      <c r="I16353" s="1" t="s">
        <v>8</v>
      </c>
      <c r="J16353" s="1" t="str">
        <f>"34/36"</f>
        <v>34/36</v>
      </c>
      <c r="K16353" s="1" t="str">
        <f t="shared" ref="K16353:K16358" si="816">"2026-07-29 13:18:02"</f>
        <v>2026-07-29 13:18:02</v>
      </c>
      <c r="L16353" s="1" t="str">
        <f>"2019-12-13 12:09:19"</f>
        <v>2019-12-13 12:09:19</v>
      </c>
      <c r="M16353" s="1" t="s">
        <v>45</v>
      </c>
      <c r="N16353" s="1" t="s">
        <v>38</v>
      </c>
      <c r="O16353" s="1" t="s">
        <v>46</v>
      </c>
    </row>
    <row r="16354" spans="2:15" x14ac:dyDescent="0.3">
      <c r="B16354" s="1" t="s">
        <v>19</v>
      </c>
      <c r="C16354" s="1" t="str">
        <f>"1차"</f>
        <v>1차</v>
      </c>
      <c r="D16354" s="1" t="str">
        <f>"0130Y09100"</f>
        <v>0130Y09100</v>
      </c>
      <c r="E16354" s="1" t="s">
        <v>10</v>
      </c>
      <c r="F16354" s="1" t="str">
        <f>"10.107.122.78"</f>
        <v>10.107.122.78</v>
      </c>
      <c r="G16354" s="1" t="str">
        <f>"0130Y091"</f>
        <v>0130Y091</v>
      </c>
      <c r="H16354" s="1" t="str">
        <f>"수유간 86R6R2"</f>
        <v>수유간 86R6R2</v>
      </c>
      <c r="I16354" s="1" t="s">
        <v>8</v>
      </c>
      <c r="J16354" s="1" t="str">
        <f>"18/18"</f>
        <v>18/18</v>
      </c>
      <c r="K16354" s="1" t="str">
        <f t="shared" si="816"/>
        <v>2026-07-29 13:18:02</v>
      </c>
      <c r="L16354" s="1" t="str">
        <f>"2014-12-08 11:13:02"</f>
        <v>2014-12-08 11:13:02</v>
      </c>
      <c r="M16354" s="1" t="s">
        <v>45</v>
      </c>
      <c r="N16354" s="1" t="s">
        <v>38</v>
      </c>
      <c r="O16354" s="1" t="s">
        <v>46</v>
      </c>
    </row>
    <row r="16355" spans="2:15" x14ac:dyDescent="0.3">
      <c r="B16355" s="1" t="s">
        <v>19</v>
      </c>
      <c r="C16355" s="1" t="str">
        <f>"4차"</f>
        <v>4차</v>
      </c>
      <c r="D16355" s="1" t="str">
        <f>"0130Y11144"</f>
        <v>0130Y11144</v>
      </c>
      <c r="E16355" s="1" t="s">
        <v>10</v>
      </c>
      <c r="F16355" s="1" t="str">
        <f>"10.107.123.84"</f>
        <v>10.107.123.84</v>
      </c>
      <c r="G16355" s="1" t="str">
        <f>"0130Y111"</f>
        <v>0130Y111</v>
      </c>
      <c r="H16355" s="1" t="str">
        <f>"신일간 3L5L2L3"</f>
        <v>신일간 3L5L2L3</v>
      </c>
      <c r="I16355" s="1" t="s">
        <v>8</v>
      </c>
      <c r="J16355" s="1" t="str">
        <f>"43/43"</f>
        <v>43/43</v>
      </c>
      <c r="K16355" s="1" t="str">
        <f t="shared" si="816"/>
        <v>2026-07-29 13:18:02</v>
      </c>
      <c r="L16355" s="1" t="str">
        <f>"2019-12-13 12:09:18"</f>
        <v>2019-12-13 12:09:18</v>
      </c>
      <c r="M16355" s="1" t="s">
        <v>45</v>
      </c>
      <c r="N16355" s="1" t="s">
        <v>38</v>
      </c>
      <c r="O16355" s="1" t="s">
        <v>46</v>
      </c>
    </row>
    <row r="16356" spans="2:15" x14ac:dyDescent="0.3">
      <c r="B16356" s="1" t="s">
        <v>19</v>
      </c>
      <c r="C16356" s="1" t="str">
        <f>"3차"</f>
        <v>3차</v>
      </c>
      <c r="D16356" s="1" t="str">
        <f>"0130Y14139"</f>
        <v>0130Y14139</v>
      </c>
      <c r="E16356" s="1" t="s">
        <v>10</v>
      </c>
      <c r="F16356" s="1" t="str">
        <f>"10.12.137.135"</f>
        <v>10.12.137.135</v>
      </c>
      <c r="G16356" s="1" t="str">
        <f>"0130Y141"</f>
        <v>0130Y141</v>
      </c>
      <c r="H16356" s="1" t="str">
        <f>"번동간 4R1"</f>
        <v>번동간 4R1</v>
      </c>
      <c r="I16356" s="1" t="s">
        <v>8</v>
      </c>
      <c r="J16356" s="1" t="str">
        <f>"26/26"</f>
        <v>26/26</v>
      </c>
      <c r="K16356" s="1" t="str">
        <f t="shared" si="816"/>
        <v>2026-07-29 13:18:02</v>
      </c>
      <c r="L16356" s="1" t="str">
        <f>"2018-04-27 07:46:25"</f>
        <v>2018-04-27 07:46:25</v>
      </c>
      <c r="M16356" s="1" t="s">
        <v>0</v>
      </c>
      <c r="N16356" s="1" t="s">
        <v>38</v>
      </c>
      <c r="O16356" s="1" t="s">
        <v>46</v>
      </c>
    </row>
    <row r="16357" spans="2:15" x14ac:dyDescent="0.3">
      <c r="B16357" s="1" t="s">
        <v>19</v>
      </c>
      <c r="C16357" s="1" t="str">
        <f t="shared" ref="C16357:C16365" si="817">"4차"</f>
        <v>4차</v>
      </c>
      <c r="D16357" s="1" t="str">
        <f>"0130Y20144"</f>
        <v>0130Y20144</v>
      </c>
      <c r="E16357" s="1" t="s">
        <v>10</v>
      </c>
      <c r="F16357" s="1" t="str">
        <f>"10.107.123.85"</f>
        <v>10.107.123.85</v>
      </c>
      <c r="G16357" s="1" t="str">
        <f>"0130Y201"</f>
        <v>0130Y201</v>
      </c>
      <c r="H16357" s="1" t="str">
        <f>"신일간 3L3"</f>
        <v>신일간 3L3</v>
      </c>
      <c r="I16357" s="1" t="s">
        <v>8</v>
      </c>
      <c r="J16357" s="1" t="str">
        <f>"22/22"</f>
        <v>22/22</v>
      </c>
      <c r="K16357" s="1" t="str">
        <f t="shared" si="816"/>
        <v>2026-07-29 13:18:02</v>
      </c>
      <c r="L16357" s="1" t="str">
        <f>"2019-11-12 20:12:55"</f>
        <v>2019-11-12 20:12:55</v>
      </c>
      <c r="M16357" s="1" t="s">
        <v>45</v>
      </c>
      <c r="N16357" s="1" t="s">
        <v>38</v>
      </c>
      <c r="O16357" s="1" t="s">
        <v>46</v>
      </c>
    </row>
    <row r="16358" spans="2:15" x14ac:dyDescent="0.3">
      <c r="B16358" s="1" t="s">
        <v>19</v>
      </c>
      <c r="C16358" s="1" t="str">
        <f t="shared" si="817"/>
        <v>4차</v>
      </c>
      <c r="D16358" s="1" t="str">
        <f>"0130Y20244"</f>
        <v>0130Y20244</v>
      </c>
      <c r="E16358" s="1" t="s">
        <v>10</v>
      </c>
      <c r="F16358" s="1" t="str">
        <f>"10.107.123.86"</f>
        <v>10.107.123.86</v>
      </c>
      <c r="G16358" s="1" t="str">
        <f>"0130Y202"</f>
        <v>0130Y202</v>
      </c>
      <c r="H16358" s="1" t="str">
        <f>"신일간 3L4"</f>
        <v>신일간 3L4</v>
      </c>
      <c r="I16358" s="1" t="s">
        <v>8</v>
      </c>
      <c r="J16358" s="1" t="str">
        <f>"65/65"</f>
        <v>65/65</v>
      </c>
      <c r="K16358" s="1" t="str">
        <f t="shared" si="816"/>
        <v>2026-07-29 13:18:02</v>
      </c>
      <c r="L16358" s="1" t="str">
        <f>"2019-11-12 20:14:46"</f>
        <v>2019-11-12 20:14:46</v>
      </c>
      <c r="M16358" s="1" t="s">
        <v>45</v>
      </c>
      <c r="N16358" s="1" t="s">
        <v>38</v>
      </c>
      <c r="O16358" s="1" t="s">
        <v>46</v>
      </c>
    </row>
    <row r="16359" spans="2:15" x14ac:dyDescent="0.3">
      <c r="B16359" s="1" t="s">
        <v>19</v>
      </c>
      <c r="C16359" s="1" t="str">
        <f t="shared" si="817"/>
        <v>4차</v>
      </c>
      <c r="D16359" s="1" t="str">
        <f>"0130Y21144"</f>
        <v>0130Y21144</v>
      </c>
      <c r="E16359" s="1" t="s">
        <v>10</v>
      </c>
      <c r="F16359" s="1" t="str">
        <f>"10.107.123.87"</f>
        <v>10.107.123.87</v>
      </c>
      <c r="G16359" s="1" t="str">
        <f>"0130Y211"</f>
        <v>0130Y211</v>
      </c>
      <c r="H16359" s="1" t="str">
        <f>"신일간 3L5L2L1"</f>
        <v>신일간 3L5L2L1</v>
      </c>
      <c r="I16359" s="1" t="s">
        <v>8</v>
      </c>
      <c r="J16359" s="1" t="str">
        <f>"70/70"</f>
        <v>70/70</v>
      </c>
      <c r="K16359" s="1" t="str">
        <f>"2026-07-29 13:18:01"</f>
        <v>2026-07-29 13:18:01</v>
      </c>
      <c r="L16359" s="1" t="str">
        <f>"2019-11-12 20:13:56"</f>
        <v>2019-11-12 20:13:56</v>
      </c>
      <c r="M16359" s="1" t="s">
        <v>45</v>
      </c>
      <c r="N16359" s="1" t="s">
        <v>38</v>
      </c>
      <c r="O16359" s="1" t="s">
        <v>46</v>
      </c>
    </row>
    <row r="16360" spans="2:15" x14ac:dyDescent="0.3">
      <c r="B16360" s="1" t="s">
        <v>19</v>
      </c>
      <c r="C16360" s="1" t="str">
        <f t="shared" si="817"/>
        <v>4차</v>
      </c>
      <c r="D16360" s="1" t="str">
        <f>"0130Y22244"</f>
        <v>0130Y22244</v>
      </c>
      <c r="E16360" s="1" t="s">
        <v>10</v>
      </c>
      <c r="F16360" s="1" t="str">
        <f>"10.107.125.136"</f>
        <v>10.107.125.136</v>
      </c>
      <c r="G16360" s="1" t="str">
        <f>"0130Y222"</f>
        <v>0130Y222</v>
      </c>
      <c r="H16360" s="1" t="str">
        <f>"번동간 64"</f>
        <v>번동간 64</v>
      </c>
      <c r="I16360" s="1" t="s">
        <v>8</v>
      </c>
      <c r="J16360" s="1" t="str">
        <f>"22/22"</f>
        <v>22/22</v>
      </c>
      <c r="K16360" s="1" t="str">
        <f>"2026-07-29 13:18:01"</f>
        <v>2026-07-29 13:18:01</v>
      </c>
      <c r="L16360" s="1" t="str">
        <f>"2019-10-21 11:43:04"</f>
        <v>2019-10-21 11:43:04</v>
      </c>
      <c r="M16360" s="1" t="s">
        <v>45</v>
      </c>
      <c r="N16360" s="1" t="s">
        <v>38</v>
      </c>
      <c r="O16360" s="1" t="s">
        <v>46</v>
      </c>
    </row>
    <row r="16361" spans="2:15" x14ac:dyDescent="0.3">
      <c r="B16361" s="1" t="s">
        <v>19</v>
      </c>
      <c r="C16361" s="1" t="str">
        <f t="shared" si="817"/>
        <v>4차</v>
      </c>
      <c r="D16361" s="1" t="str">
        <f>"0130Y23244"</f>
        <v>0130Y23244</v>
      </c>
      <c r="E16361" s="1" t="s">
        <v>10</v>
      </c>
      <c r="F16361" s="1" t="str">
        <f>"10.107.17.2"</f>
        <v>10.107.17.2</v>
      </c>
      <c r="G16361" s="1" t="str">
        <f>"0130Y232"</f>
        <v>0130Y232</v>
      </c>
      <c r="H16361" s="1" t="str">
        <f>"번동간 4R1L2"</f>
        <v>번동간 4R1L2</v>
      </c>
      <c r="I16361" s="1" t="s">
        <v>8</v>
      </c>
      <c r="J16361" s="1" t="str">
        <f>"43/43"</f>
        <v>43/43</v>
      </c>
      <c r="K16361" s="1" t="str">
        <f>"2026-07-29 13:18:01"</f>
        <v>2026-07-29 13:18:01</v>
      </c>
      <c r="L16361" s="1" t="str">
        <f>"2019-11-12 03:03:05"</f>
        <v>2019-11-12 03:03:05</v>
      </c>
      <c r="M16361" s="1" t="s">
        <v>45</v>
      </c>
      <c r="N16361" s="1" t="s">
        <v>38</v>
      </c>
      <c r="O16361" s="1" t="s">
        <v>46</v>
      </c>
    </row>
    <row r="16362" spans="2:15" x14ac:dyDescent="0.3">
      <c r="B16362" s="1" t="s">
        <v>19</v>
      </c>
      <c r="C16362" s="1" t="str">
        <f t="shared" si="817"/>
        <v>4차</v>
      </c>
      <c r="D16362" s="1" t="str">
        <f>"0130Y24244"</f>
        <v>0130Y24244</v>
      </c>
      <c r="E16362" s="1" t="s">
        <v>10</v>
      </c>
      <c r="F16362" s="1" t="str">
        <f>"10.107.121.29"</f>
        <v>10.107.121.29</v>
      </c>
      <c r="G16362" s="1" t="str">
        <f>"0130Y242"</f>
        <v>0130Y242</v>
      </c>
      <c r="H16362" s="1" t="str">
        <f>"번동간 56R2"</f>
        <v>번동간 56R2</v>
      </c>
      <c r="I16362" s="1" t="s">
        <v>8</v>
      </c>
      <c r="J16362" s="1" t="str">
        <f>"22/22"</f>
        <v>22/22</v>
      </c>
      <c r="K16362" s="1" t="str">
        <f>"2026-07-29 13:18:01"</f>
        <v>2026-07-29 13:18:01</v>
      </c>
      <c r="L16362" s="1" t="str">
        <f>"2019-12-13 09:00:27"</f>
        <v>2019-12-13 09:00:27</v>
      </c>
      <c r="M16362" s="1" t="s">
        <v>45</v>
      </c>
      <c r="N16362" s="1" t="s">
        <v>38</v>
      </c>
      <c r="O16362" s="1" t="s">
        <v>46</v>
      </c>
    </row>
    <row r="16363" spans="2:15" x14ac:dyDescent="0.3">
      <c r="B16363" s="1" t="s">
        <v>19</v>
      </c>
      <c r="C16363" s="1" t="str">
        <f t="shared" si="817"/>
        <v>4차</v>
      </c>
      <c r="D16363" s="1" t="str">
        <f>"0130Y28139"</f>
        <v>0130Y28139</v>
      </c>
      <c r="E16363" s="1" t="s">
        <v>10</v>
      </c>
      <c r="F16363" s="1" t="str">
        <f>"10.12.136.73"</f>
        <v>10.12.136.73</v>
      </c>
      <c r="G16363" s="1" t="str">
        <f>"0130Y281"</f>
        <v>0130Y281</v>
      </c>
      <c r="H16363" s="1" t="str">
        <f>"강북 17"</f>
        <v>강북 17</v>
      </c>
      <c r="I16363" s="1" t="s">
        <v>17</v>
      </c>
      <c r="J16363" s="1" t="str">
        <f>"5/5"</f>
        <v>5/5</v>
      </c>
      <c r="K16363" s="1" t="str">
        <f>"2026-07-29 13:18:02"</f>
        <v>2026-07-29 13:18:02</v>
      </c>
      <c r="L16363" s="1" t="str">
        <f>"2018-05-28 08:02:39"</f>
        <v>2018-05-28 08:02:39</v>
      </c>
      <c r="M16363" s="1" t="s">
        <v>0</v>
      </c>
      <c r="N16363" s="1" t="s">
        <v>38</v>
      </c>
      <c r="O16363" s="1" t="s">
        <v>46</v>
      </c>
    </row>
    <row r="16364" spans="2:15" x14ac:dyDescent="0.3">
      <c r="B16364" s="1" t="s">
        <v>19</v>
      </c>
      <c r="C16364" s="1" t="str">
        <f t="shared" si="817"/>
        <v>4차</v>
      </c>
      <c r="D16364" s="1" t="str">
        <f>"0130Y30244"</f>
        <v>0130Y30244</v>
      </c>
      <c r="E16364" s="1" t="s">
        <v>10</v>
      </c>
      <c r="F16364" s="1" t="str">
        <f>"10.107.123.88"</f>
        <v>10.107.123.88</v>
      </c>
      <c r="G16364" s="1" t="str">
        <f>"0130Y302"</f>
        <v>0130Y302</v>
      </c>
      <c r="H16364" s="1" t="str">
        <f>"신일간 3L5R1"</f>
        <v>신일간 3L5R1</v>
      </c>
      <c r="I16364" s="1" t="s">
        <v>8</v>
      </c>
      <c r="J16364" s="1" t="str">
        <f>"48/48"</f>
        <v>48/48</v>
      </c>
      <c r="K16364" s="1" t="str">
        <f>"2026-07-29 13:18:01"</f>
        <v>2026-07-29 13:18:01</v>
      </c>
      <c r="L16364" s="1" t="str">
        <f>"2019-11-12 20:16:34"</f>
        <v>2019-11-12 20:16:34</v>
      </c>
      <c r="M16364" s="1" t="s">
        <v>45</v>
      </c>
      <c r="N16364" s="1" t="s">
        <v>38</v>
      </c>
      <c r="O16364" s="1" t="s">
        <v>46</v>
      </c>
    </row>
    <row r="16365" spans="2:15" x14ac:dyDescent="0.3">
      <c r="B16365" s="1" t="s">
        <v>19</v>
      </c>
      <c r="C16365" s="1" t="str">
        <f t="shared" si="817"/>
        <v>4차</v>
      </c>
      <c r="D16365" s="1" t="str">
        <f>"0130Y31244"</f>
        <v>0130Y31244</v>
      </c>
      <c r="E16365" s="1" t="s">
        <v>10</v>
      </c>
      <c r="F16365" s="1" t="str">
        <f>"10.107.123.89"</f>
        <v>10.107.123.89</v>
      </c>
      <c r="G16365" s="1" t="str">
        <f>"0130Y312"</f>
        <v>0130Y312</v>
      </c>
      <c r="H16365" s="1" t="str">
        <f>"신일간 3L5L1"</f>
        <v>신일간 3L5L1</v>
      </c>
      <c r="I16365" s="1" t="s">
        <v>8</v>
      </c>
      <c r="J16365" s="1" t="str">
        <f>"48/48"</f>
        <v>48/48</v>
      </c>
      <c r="K16365" s="1" t="str">
        <f>"2026-07-29 13:18:01"</f>
        <v>2026-07-29 13:18:01</v>
      </c>
      <c r="L16365" s="1" t="str">
        <f>"2019-11-12 20:14:17"</f>
        <v>2019-11-12 20:14:17</v>
      </c>
      <c r="M16365" s="1" t="s">
        <v>45</v>
      </c>
      <c r="N16365" s="1" t="s">
        <v>38</v>
      </c>
      <c r="O16365" s="1" t="s">
        <v>46</v>
      </c>
    </row>
    <row r="16366" spans="2:15" x14ac:dyDescent="0.3">
      <c r="B16366" s="1" t="s">
        <v>19</v>
      </c>
      <c r="C16366" s="1" t="str">
        <f>"5-2차"</f>
        <v>5-2차</v>
      </c>
      <c r="D16366" s="1" t="str">
        <f>"0130Y3215M"</f>
        <v>0130Y3215M</v>
      </c>
      <c r="E16366" s="1" t="s">
        <v>10</v>
      </c>
      <c r="F16366" s="1" t="str">
        <f>"fde3:102:1410:1300:0:0:0:17"</f>
        <v>fde3:102:1410:1300:0:0:0:17</v>
      </c>
      <c r="G16366" s="1" t="str">
        <f>"0130Y321"</f>
        <v>0130Y321</v>
      </c>
      <c r="H16366" s="1" t="str">
        <f>"신일간 3L5L2C1"</f>
        <v>신일간 3L5L2C1</v>
      </c>
      <c r="I16366" s="1" t="s">
        <v>15</v>
      </c>
      <c r="J16366" s="1" t="str">
        <f>"37/37"</f>
        <v>37/37</v>
      </c>
      <c r="K16366" s="1" t="str">
        <f>"2026-07-29 14:20:24"</f>
        <v>2026-07-29 14:20:24</v>
      </c>
      <c r="L16366" s="1" t="str">
        <f>"2023-08-04 14:54:17"</f>
        <v>2023-08-04 14:54:17</v>
      </c>
      <c r="M16366" s="1" t="s">
        <v>45</v>
      </c>
      <c r="N16366" s="1" t="s">
        <v>38</v>
      </c>
      <c r="O16366" s="1" t="s">
        <v>46</v>
      </c>
    </row>
    <row r="16367" spans="2:15" x14ac:dyDescent="0.3">
      <c r="B16367" s="1" t="s">
        <v>19</v>
      </c>
      <c r="C16367" s="1" t="str">
        <f>"5-2차"</f>
        <v>5-2차</v>
      </c>
      <c r="D16367" s="1" t="str">
        <f>"0130Y3515M"</f>
        <v>0130Y3515M</v>
      </c>
      <c r="E16367" s="1" t="s">
        <v>10</v>
      </c>
      <c r="F16367" s="1" t="str">
        <f>"fde3:102:1410:4600:0:0:0:3"</f>
        <v>fde3:102:1410:4600:0:0:0:3</v>
      </c>
      <c r="G16367" s="1" t="str">
        <f>"0130Y351"</f>
        <v>0130Y351</v>
      </c>
      <c r="H16367" s="1" t="str">
        <f>"번동간 49R4L7"</f>
        <v>번동간 49R4L7</v>
      </c>
      <c r="I16367" s="1" t="s">
        <v>15</v>
      </c>
      <c r="J16367" s="1" t="str">
        <f>"91/91"</f>
        <v>91/91</v>
      </c>
      <c r="K16367" s="1" t="str">
        <f>"2026-07-29 14:20:46"</f>
        <v>2026-07-29 14:20:46</v>
      </c>
      <c r="L16367" s="1" t="str">
        <f>"2023-08-07 12:24:13"</f>
        <v>2023-08-07 12:24:13</v>
      </c>
      <c r="M16367" s="1" t="s">
        <v>45</v>
      </c>
      <c r="N16367" s="1" t="s">
        <v>38</v>
      </c>
      <c r="O16367" s="1" t="s">
        <v>46</v>
      </c>
    </row>
    <row r="16368" spans="2:15" x14ac:dyDescent="0.3">
      <c r="B16368" s="1" t="s">
        <v>19</v>
      </c>
      <c r="C16368" s="1" t="str">
        <f>"5-2차"</f>
        <v>5-2차</v>
      </c>
      <c r="D16368" s="1" t="str">
        <f>"0130Y3615M"</f>
        <v>0130Y3615M</v>
      </c>
      <c r="E16368" s="1" t="s">
        <v>10</v>
      </c>
      <c r="F16368" s="1" t="str">
        <f>"fde1:103:4:9411:0:0:0:2"</f>
        <v>fde1:103:4:9411:0:0:0:2</v>
      </c>
      <c r="G16368" s="1" t="str">
        <f>"0130Y361"</f>
        <v>0130Y361</v>
      </c>
      <c r="H16368" s="1" t="str">
        <f>"번동간 7"</f>
        <v>번동간 7</v>
      </c>
      <c r="I16368" s="1" t="s">
        <v>15</v>
      </c>
      <c r="J16368" s="1" t="str">
        <f>"60/60"</f>
        <v>60/60</v>
      </c>
      <c r="K16368" s="1" t="str">
        <f>"2026-07-29 14:20:07"</f>
        <v>2026-07-29 14:20:07</v>
      </c>
      <c r="L16368" s="1" t="str">
        <f>"2023-12-18 10:46:22"</f>
        <v>2023-12-18 10:46:22</v>
      </c>
      <c r="M16368" s="1" t="s">
        <v>4</v>
      </c>
      <c r="N16368" s="1" t="s">
        <v>38</v>
      </c>
      <c r="O16368" s="1" t="s">
        <v>46</v>
      </c>
    </row>
    <row r="16369" spans="2:15" x14ac:dyDescent="0.3">
      <c r="B16369" s="1" t="s">
        <v>19</v>
      </c>
      <c r="C16369" s="1" t="str">
        <f>"5-2차"</f>
        <v>5-2차</v>
      </c>
      <c r="D16369" s="1" t="str">
        <f>"0130Y4115M"</f>
        <v>0130Y4115M</v>
      </c>
      <c r="E16369" s="1" t="s">
        <v>10</v>
      </c>
      <c r="F16369" s="1" t="str">
        <f>"fde3:102:1410:1300:0:0:0:16"</f>
        <v>fde3:102:1410:1300:0:0:0:16</v>
      </c>
      <c r="G16369" s="1" t="str">
        <f>"0130Y411"</f>
        <v>0130Y411</v>
      </c>
      <c r="H16369" s="1" t="str">
        <f>"신일간 3L6"</f>
        <v>신일간 3L6</v>
      </c>
      <c r="I16369" s="1" t="s">
        <v>15</v>
      </c>
      <c r="J16369" s="1" t="str">
        <f>"49/49"</f>
        <v>49/49</v>
      </c>
      <c r="K16369" s="1" t="str">
        <f>"2026-07-29 14:20:24"</f>
        <v>2026-07-29 14:20:24</v>
      </c>
      <c r="L16369" s="1" t="str">
        <f>"2023-08-04 14:17:03"</f>
        <v>2023-08-04 14:17:03</v>
      </c>
      <c r="M16369" s="1" t="s">
        <v>45</v>
      </c>
      <c r="N16369" s="1" t="s">
        <v>38</v>
      </c>
      <c r="O16369" s="1" t="s">
        <v>46</v>
      </c>
    </row>
    <row r="16370" spans="2:15" x14ac:dyDescent="0.3">
      <c r="B16370" s="1" t="s">
        <v>19</v>
      </c>
      <c r="C16370" s="1" t="str">
        <f>"5-2차"</f>
        <v>5-2차</v>
      </c>
      <c r="D16370" s="1" t="str">
        <f>"0130Y4215M"</f>
        <v>0130Y4215M</v>
      </c>
      <c r="E16370" s="1" t="s">
        <v>10</v>
      </c>
      <c r="F16370" s="1" t="str">
        <f>"fde3:102:1410:1300:0:0:0:18"</f>
        <v>fde3:102:1410:1300:0:0:0:18</v>
      </c>
      <c r="G16370" s="1" t="str">
        <f>"0130Y421"</f>
        <v>0130Y421</v>
      </c>
      <c r="H16370" s="1" t="str">
        <f>"신일간 3L5L3"</f>
        <v>신일간 3L5L3</v>
      </c>
      <c r="I16370" s="1" t="s">
        <v>15</v>
      </c>
      <c r="J16370" s="1" t="str">
        <f>"37/37"</f>
        <v>37/37</v>
      </c>
      <c r="K16370" s="1" t="str">
        <f>"2026-07-29 14:20:27"</f>
        <v>2026-07-29 14:20:27</v>
      </c>
      <c r="L16370" s="1" t="str">
        <f>"2023-08-04 14:41:13"</f>
        <v>2023-08-04 14:41:13</v>
      </c>
      <c r="M16370" s="1" t="s">
        <v>45</v>
      </c>
      <c r="N16370" s="1" t="s">
        <v>38</v>
      </c>
      <c r="O16370" s="1" t="s">
        <v>46</v>
      </c>
    </row>
    <row r="16371" spans="2:15" x14ac:dyDescent="0.3">
      <c r="B16371" s="1" t="s">
        <v>19</v>
      </c>
      <c r="C16371" s="1" t="str">
        <f>"5-1차"</f>
        <v>5-1차</v>
      </c>
      <c r="D16371" s="1" t="str">
        <f>"0130Y4515M"</f>
        <v>0130Y4515M</v>
      </c>
      <c r="E16371" s="1" t="s">
        <v>10</v>
      </c>
      <c r="F16371" s="1" t="str">
        <f>"fde3:102:1410:4600:0:0:0:2"</f>
        <v>fde3:102:1410:4600:0:0:0:2</v>
      </c>
      <c r="G16371" s="1" t="str">
        <f>"0130Y451"</f>
        <v>0130Y451</v>
      </c>
      <c r="H16371" s="1" t="str">
        <f>"번동간 49R4L6"</f>
        <v>번동간 49R4L6</v>
      </c>
      <c r="I16371" s="1" t="s">
        <v>15</v>
      </c>
      <c r="J16371" s="1" t="str">
        <f>"148/149"</f>
        <v>148/149</v>
      </c>
      <c r="K16371" s="1" t="str">
        <f>"2026-07-29 14:20:26"</f>
        <v>2026-07-29 14:20:26</v>
      </c>
      <c r="L16371" s="1" t="str">
        <f>"2022-09-27 14:48:20"</f>
        <v>2022-09-27 14:48:20</v>
      </c>
      <c r="M16371" s="1" t="s">
        <v>45</v>
      </c>
      <c r="N16371" s="1" t="s">
        <v>38</v>
      </c>
      <c r="O16371" s="1" t="s">
        <v>46</v>
      </c>
    </row>
    <row r="16372" spans="2:15" x14ac:dyDescent="0.3">
      <c r="B16372" s="1" t="s">
        <v>19</v>
      </c>
      <c r="C16372" s="1" t="str">
        <f>"4차"</f>
        <v>4차</v>
      </c>
      <c r="D16372" s="1" t="str">
        <f>"0130Y47242"</f>
        <v>0130Y47242</v>
      </c>
      <c r="E16372" s="1" t="s">
        <v>10</v>
      </c>
      <c r="F16372" s="1" t="str">
        <f>"10.12.132.155"</f>
        <v>10.12.132.155</v>
      </c>
      <c r="G16372" s="1" t="str">
        <f>"0130Y472"</f>
        <v>0130Y472</v>
      </c>
      <c r="H16372" s="1" t="str">
        <f>"번동간 9R1"</f>
        <v>번동간 9R1</v>
      </c>
      <c r="I16372" s="1" t="s">
        <v>8</v>
      </c>
      <c r="J16372" s="1" t="str">
        <f>"83/87"</f>
        <v>83/87</v>
      </c>
      <c r="K16372" s="1" t="str">
        <f>"2026-07-29 13:18:01"</f>
        <v>2026-07-29 13:18:01</v>
      </c>
      <c r="L16372" s="1" t="str">
        <f>"2024-12-19 08:53:12"</f>
        <v>2024-12-19 08:53:12</v>
      </c>
      <c r="M16372" s="1" t="s">
        <v>0</v>
      </c>
      <c r="N16372" s="1" t="s">
        <v>38</v>
      </c>
      <c r="O16372" s="1" t="s">
        <v>46</v>
      </c>
    </row>
    <row r="16373" spans="2:15" x14ac:dyDescent="0.3">
      <c r="B16373" s="1" t="s">
        <v>19</v>
      </c>
      <c r="C16373" s="1" t="str">
        <f>"1차"</f>
        <v>1차</v>
      </c>
      <c r="D16373" s="1" t="str">
        <f>"0130Y48101"</f>
        <v>0130Y48101</v>
      </c>
      <c r="E16373" s="1" t="s">
        <v>10</v>
      </c>
      <c r="F16373" s="1" t="str">
        <f>"10.12.133.229"</f>
        <v>10.12.133.229</v>
      </c>
      <c r="G16373" s="1" t="str">
        <f>"0130Y481"</f>
        <v>0130Y481</v>
      </c>
      <c r="H16373" s="1" t="str">
        <f>"번동간 10"</f>
        <v>번동간 10</v>
      </c>
      <c r="I16373" s="1" t="s">
        <v>8</v>
      </c>
      <c r="J16373" s="1" t="str">
        <f>"50/54"</f>
        <v>50/54</v>
      </c>
      <c r="K16373" s="1" t="str">
        <f>"2026-07-29 13:18:02"</f>
        <v>2026-07-29 13:18:02</v>
      </c>
      <c r="L16373" s="1" t="str">
        <f>"2014-11-15 00:14:27"</f>
        <v>2014-11-15 00:14:27</v>
      </c>
      <c r="M16373" s="1" t="s">
        <v>0</v>
      </c>
      <c r="N16373" s="1" t="s">
        <v>38</v>
      </c>
      <c r="O16373" s="1" t="s">
        <v>46</v>
      </c>
    </row>
    <row r="16374" spans="2:15" x14ac:dyDescent="0.3">
      <c r="B16374" s="1" t="s">
        <v>19</v>
      </c>
      <c r="C16374" s="1" t="str">
        <f>"4차"</f>
        <v>4차</v>
      </c>
      <c r="D16374" s="1" t="str">
        <f>"0130Y51241"</f>
        <v>0130Y51241</v>
      </c>
      <c r="E16374" s="1" t="s">
        <v>10</v>
      </c>
      <c r="F16374" s="1" t="str">
        <f>"10.14.6.31"</f>
        <v>10.14.6.31</v>
      </c>
      <c r="G16374" s="1" t="str">
        <f>"0130Y512"</f>
        <v>0130Y512</v>
      </c>
      <c r="H16374" s="1" t="str">
        <f>"신일간 3L9"</f>
        <v>신일간 3L9</v>
      </c>
      <c r="I16374" s="1" t="s">
        <v>17</v>
      </c>
      <c r="J16374" s="1" t="str">
        <f>"46/50"</f>
        <v>46/50</v>
      </c>
      <c r="K16374" s="1" t="str">
        <f>"2026-07-29 13:18:03"</f>
        <v>2026-07-29 13:18:03</v>
      </c>
      <c r="L16374" s="1" t="str">
        <f>"2021-08-12 14:39:12"</f>
        <v>2021-08-12 14:39:12</v>
      </c>
      <c r="M16374" s="1" t="s">
        <v>3</v>
      </c>
      <c r="N16374" s="1" t="s">
        <v>38</v>
      </c>
      <c r="O16374" s="1" t="s">
        <v>46</v>
      </c>
    </row>
    <row r="16375" spans="2:15" x14ac:dyDescent="0.3">
      <c r="B16375" s="1" t="s">
        <v>19</v>
      </c>
      <c r="C16375" s="1" t="str">
        <f>"4차"</f>
        <v>4차</v>
      </c>
      <c r="D16375" s="1" t="str">
        <f>"0130Y51341"</f>
        <v>0130Y51341</v>
      </c>
      <c r="E16375" s="1" t="s">
        <v>10</v>
      </c>
      <c r="F16375" s="1" t="str">
        <f>"10.12.134.142"</f>
        <v>10.12.134.142</v>
      </c>
      <c r="G16375" s="1" t="str">
        <f>"0130Y513"</f>
        <v>0130Y513</v>
      </c>
      <c r="H16375" s="1" t="str">
        <f>"신일간 3L8"</f>
        <v>신일간 3L8</v>
      </c>
      <c r="I16375" s="1" t="s">
        <v>17</v>
      </c>
      <c r="J16375" s="1" t="str">
        <f>"44/49"</f>
        <v>44/49</v>
      </c>
      <c r="K16375" s="1" t="str">
        <f>"2026-07-29 13:18:01"</f>
        <v>2026-07-29 13:18:01</v>
      </c>
      <c r="L16375" s="1" t="str">
        <f>"2021-08-12 14:00:24"</f>
        <v>2021-08-12 14:00:24</v>
      </c>
      <c r="M16375" s="1" t="s">
        <v>0</v>
      </c>
      <c r="N16375" s="1" t="s">
        <v>38</v>
      </c>
      <c r="O16375" s="1" t="s">
        <v>46</v>
      </c>
    </row>
    <row r="16376" spans="2:15" x14ac:dyDescent="0.3">
      <c r="B16376" s="1" t="s">
        <v>19</v>
      </c>
      <c r="C16376" s="1" t="str">
        <f>"5-2차"</f>
        <v>5-2차</v>
      </c>
      <c r="D16376" s="1" t="str">
        <f>"0130Y5225S"</f>
        <v>0130Y5225S</v>
      </c>
      <c r="E16376" s="1" t="s">
        <v>10</v>
      </c>
      <c r="F16376" s="1" t="str">
        <f>"fde3:102:1410:1300:0:0:0:19"</f>
        <v>fde3:102:1410:1300:0:0:0:19</v>
      </c>
      <c r="G16376" s="1" t="str">
        <f>"0130Y522"</f>
        <v>0130Y522</v>
      </c>
      <c r="H16376" s="1" t="str">
        <f>"신일간 3L5L6"</f>
        <v>신일간 3L5L6</v>
      </c>
      <c r="I16376" s="1" t="s">
        <v>15</v>
      </c>
      <c r="J16376" s="1" t="str">
        <f>"57/57"</f>
        <v>57/57</v>
      </c>
      <c r="K16376" s="1" t="str">
        <f>"2026-07-29 14:20:46"</f>
        <v>2026-07-29 14:20:46</v>
      </c>
      <c r="L16376" s="1" t="str">
        <f>"2023-08-04 14:32:51"</f>
        <v>2023-08-04 14:32:51</v>
      </c>
      <c r="M16376" s="1" t="s">
        <v>45</v>
      </c>
      <c r="N16376" s="1" t="s">
        <v>38</v>
      </c>
      <c r="O16376" s="1" t="s">
        <v>46</v>
      </c>
    </row>
    <row r="16377" spans="2:15" x14ac:dyDescent="0.3">
      <c r="B16377" s="1" t="s">
        <v>19</v>
      </c>
      <c r="C16377" s="1" t="str">
        <f>"4차"</f>
        <v>4차</v>
      </c>
      <c r="D16377" s="1" t="str">
        <f>"0130Y53141"</f>
        <v>0130Y53141</v>
      </c>
      <c r="E16377" s="1" t="s">
        <v>10</v>
      </c>
      <c r="F16377" s="1" t="str">
        <f>"10.14.3.28"</f>
        <v>10.14.3.28</v>
      </c>
      <c r="G16377" s="1" t="str">
        <f>"0130Y531"</f>
        <v>0130Y531</v>
      </c>
      <c r="H16377" s="1" t="str">
        <f>"번동간 68"</f>
        <v>번동간 68</v>
      </c>
      <c r="I16377" s="1" t="s">
        <v>17</v>
      </c>
      <c r="J16377" s="1" t="str">
        <f>"11/11"</f>
        <v>11/11</v>
      </c>
      <c r="K16377" s="1" t="str">
        <f>"2026-07-29 13:18:02"</f>
        <v>2026-07-29 13:18:02</v>
      </c>
      <c r="L16377" s="1" t="str">
        <f>"2021-08-13 07:55:57"</f>
        <v>2021-08-13 07:55:57</v>
      </c>
      <c r="M16377" s="1" t="s">
        <v>3</v>
      </c>
      <c r="N16377" s="1" t="s">
        <v>38</v>
      </c>
      <c r="O16377" s="1" t="s">
        <v>46</v>
      </c>
    </row>
    <row r="16378" spans="2:15" x14ac:dyDescent="0.3">
      <c r="B16378" s="1" t="s">
        <v>19</v>
      </c>
      <c r="C16378" s="1" t="str">
        <f>"5-2차"</f>
        <v>5-2차</v>
      </c>
      <c r="D16378" s="1" t="str">
        <f>"0130Y5325M"</f>
        <v>0130Y5325M</v>
      </c>
      <c r="E16378" s="1" t="s">
        <v>10</v>
      </c>
      <c r="F16378" s="1" t="str">
        <f>"fde1:103:4:92ee:0:0:0:2"</f>
        <v>fde1:103:4:92ee:0:0:0:2</v>
      </c>
      <c r="G16378" s="1" t="str">
        <f>"0130Y532"</f>
        <v>0130Y532</v>
      </c>
      <c r="H16378" s="1" t="str">
        <f>"번동간 54"</f>
        <v>번동간 54</v>
      </c>
      <c r="I16378" s="1" t="s">
        <v>15</v>
      </c>
      <c r="J16378" s="1" t="str">
        <f>"22/22"</f>
        <v>22/22</v>
      </c>
      <c r="K16378" s="1" t="str">
        <f>"2026-07-29 14:20:25"</f>
        <v>2026-07-29 14:20:25</v>
      </c>
      <c r="L16378" s="1" t="str">
        <f>"2023-12-18 10:46:51"</f>
        <v>2023-12-18 10:46:51</v>
      </c>
      <c r="M16378" s="1" t="s">
        <v>4</v>
      </c>
      <c r="N16378" s="1" t="s">
        <v>38</v>
      </c>
      <c r="O16378" s="1" t="s">
        <v>46</v>
      </c>
    </row>
    <row r="16379" spans="2:15" x14ac:dyDescent="0.3">
      <c r="B16379" s="1" t="s">
        <v>19</v>
      </c>
      <c r="C16379" s="1" t="str">
        <f>"1차"</f>
        <v>1차</v>
      </c>
      <c r="D16379" s="1" t="str">
        <f>"0130Y56300"</f>
        <v>0130Y56300</v>
      </c>
      <c r="E16379" s="1" t="s">
        <v>10</v>
      </c>
      <c r="F16379" s="1" t="str">
        <f>"10.107.1.116"</f>
        <v>10.107.1.116</v>
      </c>
      <c r="G16379" s="1" t="str">
        <f>"0130Y563"</f>
        <v>0130Y563</v>
      </c>
      <c r="H16379" s="1" t="str">
        <f>"번동간 9R3"</f>
        <v>번동간 9R3</v>
      </c>
      <c r="I16379" s="1" t="s">
        <v>8</v>
      </c>
      <c r="J16379" s="1" t="str">
        <f>"62/62"</f>
        <v>62/62</v>
      </c>
      <c r="K16379" s="1" t="str">
        <f>"2026-07-29 13:18:01"</f>
        <v>2026-07-29 13:18:01</v>
      </c>
      <c r="L16379" s="1" t="str">
        <f>"2014-11-04 00:12:51"</f>
        <v>2014-11-04 00:12:51</v>
      </c>
      <c r="M16379" s="1" t="s">
        <v>45</v>
      </c>
      <c r="N16379" s="1" t="s">
        <v>38</v>
      </c>
      <c r="O16379" s="1" t="s">
        <v>46</v>
      </c>
    </row>
    <row r="16380" spans="2:15" x14ac:dyDescent="0.3">
      <c r="B16380" s="1" t="s">
        <v>19</v>
      </c>
      <c r="C16380" s="1" t="str">
        <f>"1차"</f>
        <v>1차</v>
      </c>
      <c r="D16380" s="1" t="str">
        <f>"0130Y56401"</f>
        <v>0130Y56401</v>
      </c>
      <c r="E16380" s="1" t="s">
        <v>10</v>
      </c>
      <c r="F16380" s="1" t="str">
        <f>"10.107.1.118"</f>
        <v>10.107.1.118</v>
      </c>
      <c r="G16380" s="1" t="str">
        <f>"0130Y564"</f>
        <v>0130Y564</v>
      </c>
      <c r="H16380" s="1" t="str">
        <f>"번동간 9R4"</f>
        <v>번동간 9R4</v>
      </c>
      <c r="I16380" s="1" t="s">
        <v>8</v>
      </c>
      <c r="J16380" s="1" t="str">
        <f>"30/31"</f>
        <v>30/31</v>
      </c>
      <c r="K16380" s="1" t="str">
        <f>"2026-07-29 13:18:02"</f>
        <v>2026-07-29 13:18:02</v>
      </c>
      <c r="L16380" s="1" t="str">
        <f>"2014-11-04 00:13:52"</f>
        <v>2014-11-04 00:13:52</v>
      </c>
      <c r="M16380" s="1" t="s">
        <v>45</v>
      </c>
      <c r="N16380" s="1" t="s">
        <v>38</v>
      </c>
      <c r="O16380" s="1" t="s">
        <v>46</v>
      </c>
    </row>
    <row r="16381" spans="2:15" x14ac:dyDescent="0.3">
      <c r="B16381" s="1" t="s">
        <v>19</v>
      </c>
      <c r="C16381" s="1" t="str">
        <f>"1차"</f>
        <v>1차</v>
      </c>
      <c r="D16381" s="1" t="str">
        <f>"0130Y58400"</f>
        <v>0130Y58400</v>
      </c>
      <c r="E16381" s="1" t="s">
        <v>10</v>
      </c>
      <c r="F16381" s="1" t="str">
        <f>"10.107.1.119"</f>
        <v>10.107.1.119</v>
      </c>
      <c r="G16381" s="1" t="str">
        <f>"0130Y584"</f>
        <v>0130Y584</v>
      </c>
      <c r="H16381" s="1" t="str">
        <f>"번동간 11R1"</f>
        <v>번동간 11R1</v>
      </c>
      <c r="I16381" s="1" t="s">
        <v>8</v>
      </c>
      <c r="J16381" s="1" t="str">
        <f>"35/35"</f>
        <v>35/35</v>
      </c>
      <c r="K16381" s="1" t="str">
        <f>"2026-07-29 13:18:01"</f>
        <v>2026-07-29 13:18:01</v>
      </c>
      <c r="L16381" s="1" t="str">
        <f>"2014-10-30 16:42:43"</f>
        <v>2014-10-30 16:42:43</v>
      </c>
      <c r="M16381" s="1" t="s">
        <v>45</v>
      </c>
      <c r="N16381" s="1" t="s">
        <v>38</v>
      </c>
      <c r="O16381" s="1" t="s">
        <v>46</v>
      </c>
    </row>
    <row r="16382" spans="2:15" x14ac:dyDescent="0.3">
      <c r="B16382" s="1" t="s">
        <v>19</v>
      </c>
      <c r="C16382" s="1" t="str">
        <f>"4차"</f>
        <v>4차</v>
      </c>
      <c r="D16382" s="1" t="str">
        <f>"0130Y59241"</f>
        <v>0130Y59241</v>
      </c>
      <c r="E16382" s="1" t="s">
        <v>10</v>
      </c>
      <c r="F16382" s="1" t="str">
        <f>"10.12.136.62"</f>
        <v>10.12.136.62</v>
      </c>
      <c r="G16382" s="1" t="str">
        <f>"0130Y592"</f>
        <v>0130Y592</v>
      </c>
      <c r="H16382" s="1" t="str">
        <f>"번동간 13"</f>
        <v>번동간 13</v>
      </c>
      <c r="I16382" s="1" t="s">
        <v>17</v>
      </c>
      <c r="J16382" s="1" t="str">
        <f>"7/7"</f>
        <v>7/7</v>
      </c>
      <c r="K16382" s="1" t="str">
        <f>"2026-07-29 13:18:03"</f>
        <v>2026-07-29 13:18:03</v>
      </c>
      <c r="L16382" s="1" t="str">
        <f>"2021-06-15 13:16:19"</f>
        <v>2021-06-15 13:16:19</v>
      </c>
      <c r="M16382" s="1" t="s">
        <v>0</v>
      </c>
      <c r="N16382" s="1" t="s">
        <v>38</v>
      </c>
      <c r="O16382" s="1" t="s">
        <v>46</v>
      </c>
    </row>
    <row r="16383" spans="2:15" x14ac:dyDescent="0.3">
      <c r="B16383" s="1" t="s">
        <v>19</v>
      </c>
      <c r="C16383" s="1" t="str">
        <f>"4차"</f>
        <v>4차</v>
      </c>
      <c r="D16383" s="1" t="str">
        <f>"0130Y61141"</f>
        <v>0130Y61141</v>
      </c>
      <c r="E16383" s="1" t="s">
        <v>10</v>
      </c>
      <c r="F16383" s="1" t="str">
        <f>"10.14.8.24"</f>
        <v>10.14.8.24</v>
      </c>
      <c r="G16383" s="1" t="str">
        <f>"0130Y611"</f>
        <v>0130Y611</v>
      </c>
      <c r="H16383" s="1" t="str">
        <f>"신일간 3L10"</f>
        <v>신일간 3L10</v>
      </c>
      <c r="I16383" s="1" t="s">
        <v>17</v>
      </c>
      <c r="J16383" s="1" t="str">
        <f>"15/15"</f>
        <v>15/15</v>
      </c>
      <c r="K16383" s="1" t="str">
        <f>"2026-07-29 13:18:02"</f>
        <v>2026-07-29 13:18:02</v>
      </c>
      <c r="L16383" s="1" t="str">
        <f>"2021-08-12 15:16:02"</f>
        <v>2021-08-12 15:16:02</v>
      </c>
      <c r="M16383" s="1" t="s">
        <v>3</v>
      </c>
      <c r="N16383" s="1" t="s">
        <v>38</v>
      </c>
      <c r="O16383" s="1" t="s">
        <v>46</v>
      </c>
    </row>
    <row r="16384" spans="2:15" x14ac:dyDescent="0.3">
      <c r="B16384" s="1" t="s">
        <v>19</v>
      </c>
      <c r="C16384" s="1" t="str">
        <f>"4차"</f>
        <v>4차</v>
      </c>
      <c r="D16384" s="1" t="str">
        <f>"0130Y62244"</f>
        <v>0130Y62244</v>
      </c>
      <c r="E16384" s="1" t="s">
        <v>10</v>
      </c>
      <c r="F16384" s="1" t="str">
        <f>"10.107.125.137"</f>
        <v>10.107.125.137</v>
      </c>
      <c r="G16384" s="1" t="str">
        <f>"0130Y622"</f>
        <v>0130Y622</v>
      </c>
      <c r="H16384" s="1" t="str">
        <f>"번동간 70R2"</f>
        <v>번동간 70R2</v>
      </c>
      <c r="I16384" s="1" t="s">
        <v>8</v>
      </c>
      <c r="J16384" s="1" t="str">
        <f>"28/28"</f>
        <v>28/28</v>
      </c>
      <c r="K16384" s="1" t="str">
        <f>"2026-07-29 13:18:01"</f>
        <v>2026-07-29 13:18:01</v>
      </c>
      <c r="L16384" s="1" t="str">
        <f>"2019-12-13 12:09:18"</f>
        <v>2019-12-13 12:09:18</v>
      </c>
      <c r="M16384" s="1" t="s">
        <v>45</v>
      </c>
      <c r="N16384" s="1" t="s">
        <v>38</v>
      </c>
      <c r="O16384" s="1" t="s">
        <v>46</v>
      </c>
    </row>
    <row r="16385" spans="2:15" x14ac:dyDescent="0.3">
      <c r="B16385" s="1" t="s">
        <v>19</v>
      </c>
      <c r="C16385" s="1" t="str">
        <f>"4차"</f>
        <v>4차</v>
      </c>
      <c r="D16385" s="1" t="str">
        <f>"0130Y63444"</f>
        <v>0130Y63444</v>
      </c>
      <c r="E16385" s="1" t="s">
        <v>10</v>
      </c>
      <c r="F16385" s="1" t="str">
        <f>"10.107.121.28"</f>
        <v>10.107.121.28</v>
      </c>
      <c r="G16385" s="1" t="str">
        <f>"0130Y634"</f>
        <v>0130Y634</v>
      </c>
      <c r="H16385" s="1" t="str">
        <f>"번동간 52"</f>
        <v>번동간 52</v>
      </c>
      <c r="I16385" s="1" t="s">
        <v>8</v>
      </c>
      <c r="J16385" s="1" t="str">
        <f>"22/22"</f>
        <v>22/22</v>
      </c>
      <c r="K16385" s="1" t="str">
        <f>"2026-07-29 13:18:01"</f>
        <v>2026-07-29 13:18:01</v>
      </c>
      <c r="L16385" s="1" t="str">
        <f>"2019-11-12 05:29:47"</f>
        <v>2019-11-12 05:29:47</v>
      </c>
      <c r="M16385" s="1" t="s">
        <v>45</v>
      </c>
      <c r="N16385" s="1" t="s">
        <v>38</v>
      </c>
      <c r="O16385" s="1" t="s">
        <v>46</v>
      </c>
    </row>
    <row r="16386" spans="2:15" x14ac:dyDescent="0.3">
      <c r="B16386" s="1" t="s">
        <v>19</v>
      </c>
      <c r="C16386" s="1" t="str">
        <f>"5-2차"</f>
        <v>5-2차</v>
      </c>
      <c r="D16386" s="1" t="str">
        <f>"0130Y6525M"</f>
        <v>0130Y6525M</v>
      </c>
      <c r="E16386" s="1" t="s">
        <v>10</v>
      </c>
      <c r="F16386" s="1" t="str">
        <f>"fde1:103:4:58aa:0:0:0:2"</f>
        <v>fde1:103:4:58aa:0:0:0:2</v>
      </c>
      <c r="G16386" s="1" t="str">
        <f>"0130Y652"</f>
        <v>0130Y652</v>
      </c>
      <c r="H16386" s="1" t="str">
        <f>"번동간 49R4L4"</f>
        <v>번동간 49R4L4</v>
      </c>
      <c r="I16386" s="1" t="s">
        <v>15</v>
      </c>
      <c r="J16386" s="1" t="str">
        <f>"152/152"</f>
        <v>152/152</v>
      </c>
      <c r="K16386" s="1" t="str">
        <f>"2026-07-29 14:20:28"</f>
        <v>2026-07-29 14:20:28</v>
      </c>
      <c r="L16386" s="1" t="str">
        <f>"2024-02-28 16:18:48"</f>
        <v>2024-02-28 16:18:48</v>
      </c>
      <c r="M16386" s="1" t="s">
        <v>4</v>
      </c>
      <c r="N16386" s="1" t="s">
        <v>38</v>
      </c>
      <c r="O16386" s="1" t="s">
        <v>46</v>
      </c>
    </row>
    <row r="16387" spans="2:15" x14ac:dyDescent="0.3">
      <c r="B16387" s="1" t="s">
        <v>19</v>
      </c>
      <c r="C16387" s="1" t="str">
        <f>"1차"</f>
        <v>1차</v>
      </c>
      <c r="D16387" s="1" t="str">
        <f>"0130Y67101"</f>
        <v>0130Y67101</v>
      </c>
      <c r="E16387" s="1" t="s">
        <v>10</v>
      </c>
      <c r="F16387" s="1" t="str">
        <f>"10.12.131.70"</f>
        <v>10.12.131.70</v>
      </c>
      <c r="G16387" s="1" t="str">
        <f>"0130Y671"</f>
        <v>0130Y671</v>
      </c>
      <c r="H16387" s="1" t="str">
        <f>"번동간 11R4"</f>
        <v>번동간 11R4</v>
      </c>
      <c r="I16387" s="1" t="s">
        <v>8</v>
      </c>
      <c r="J16387" s="1" t="str">
        <f>"14/14"</f>
        <v>14/14</v>
      </c>
      <c r="K16387" s="1" t="str">
        <f>"2026-07-29 13:18:03"</f>
        <v>2026-07-29 13:18:03</v>
      </c>
      <c r="L16387" s="1" t="str">
        <f>"2014-11-04 00:13:20"</f>
        <v>2014-11-04 00:13:20</v>
      </c>
      <c r="M16387" s="1" t="s">
        <v>0</v>
      </c>
      <c r="N16387" s="1" t="s">
        <v>38</v>
      </c>
      <c r="O16387" s="1" t="s">
        <v>46</v>
      </c>
    </row>
    <row r="16388" spans="2:15" x14ac:dyDescent="0.3">
      <c r="B16388" s="1" t="s">
        <v>19</v>
      </c>
      <c r="C16388" s="1" t="str">
        <f>"1차"</f>
        <v>1차</v>
      </c>
      <c r="D16388" s="1" t="str">
        <f>"0130Y67201"</f>
        <v>0130Y67201</v>
      </c>
      <c r="E16388" s="1" t="s">
        <v>10</v>
      </c>
      <c r="F16388" s="1" t="str">
        <f>"10.12.129.117"</f>
        <v>10.12.129.117</v>
      </c>
      <c r="G16388" s="1" t="str">
        <f>"0130Y672"</f>
        <v>0130Y672</v>
      </c>
      <c r="H16388" s="1" t="str">
        <f>"번동간 11R3"</f>
        <v>번동간 11R3</v>
      </c>
      <c r="I16388" s="1" t="s">
        <v>8</v>
      </c>
      <c r="J16388" s="1" t="str">
        <f>"8/8"</f>
        <v>8/8</v>
      </c>
      <c r="K16388" s="1" t="str">
        <f>"2026-07-29 13:18:01"</f>
        <v>2026-07-29 13:18:01</v>
      </c>
      <c r="L16388" s="1" t="str">
        <f>"2014-11-04 00:13:19"</f>
        <v>2014-11-04 00:13:19</v>
      </c>
      <c r="M16388" s="1" t="s">
        <v>0</v>
      </c>
      <c r="N16388" s="1" t="s">
        <v>38</v>
      </c>
      <c r="O16388" s="1" t="s">
        <v>46</v>
      </c>
    </row>
    <row r="16389" spans="2:15" x14ac:dyDescent="0.3">
      <c r="B16389" s="1" t="s">
        <v>19</v>
      </c>
      <c r="C16389" s="1" t="str">
        <f>"4차"</f>
        <v>4차</v>
      </c>
      <c r="D16389" s="1" t="str">
        <f>"0130Y69131"</f>
        <v>0130Y69131</v>
      </c>
      <c r="E16389" s="1" t="s">
        <v>10</v>
      </c>
      <c r="F16389" s="1" t="str">
        <f>"10.107.119.41"</f>
        <v>10.107.119.41</v>
      </c>
      <c r="G16389" s="1" t="str">
        <f>"0130Y691"</f>
        <v>0130Y691</v>
      </c>
      <c r="H16389" s="1" t="str">
        <f>"번동간 49R18"</f>
        <v>번동간 49R18</v>
      </c>
      <c r="I16389" s="1" t="s">
        <v>8</v>
      </c>
      <c r="J16389" s="1" t="str">
        <f>"143/143"</f>
        <v>143/143</v>
      </c>
      <c r="K16389" s="1" t="str">
        <f>"2026-07-29 13:18:01"</f>
        <v>2026-07-29 13:18:01</v>
      </c>
      <c r="L16389" s="1" t="str">
        <f>"2018-03-19 12:58:26"</f>
        <v>2018-03-19 12:58:26</v>
      </c>
      <c r="M16389" s="1" t="s">
        <v>45</v>
      </c>
      <c r="N16389" s="1" t="s">
        <v>38</v>
      </c>
      <c r="O16389" s="1" t="s">
        <v>46</v>
      </c>
    </row>
    <row r="16390" spans="2:15" x14ac:dyDescent="0.3">
      <c r="B16390" s="1" t="s">
        <v>19</v>
      </c>
      <c r="C16390" s="1" t="str">
        <f>"5-2차"</f>
        <v>5-2차</v>
      </c>
      <c r="D16390" s="1" t="str">
        <f>"0130Y7115S"</f>
        <v>0130Y7115S</v>
      </c>
      <c r="E16390" s="1" t="s">
        <v>10</v>
      </c>
      <c r="F16390" s="1" t="str">
        <f>"fde3:102:1410:1300:0:0:0:14"</f>
        <v>fde3:102:1410:1300:0:0:0:14</v>
      </c>
      <c r="G16390" s="1" t="str">
        <f>"0130Y711"</f>
        <v>0130Y711</v>
      </c>
      <c r="H16390" s="1" t="str">
        <f>"신일간 3L12"</f>
        <v>신일간 3L12</v>
      </c>
      <c r="I16390" s="1" t="s">
        <v>15</v>
      </c>
      <c r="J16390" s="1" t="str">
        <f>"69/69"</f>
        <v>69/69</v>
      </c>
      <c r="K16390" s="1" t="str">
        <f>"2026-07-29 14:20:46"</f>
        <v>2026-07-29 14:20:46</v>
      </c>
      <c r="L16390" s="1" t="str">
        <f>"2023-08-07 13:55:57"</f>
        <v>2023-08-07 13:55:57</v>
      </c>
      <c r="M16390" s="1" t="s">
        <v>45</v>
      </c>
      <c r="N16390" s="1" t="s">
        <v>38</v>
      </c>
      <c r="O16390" s="1" t="s">
        <v>46</v>
      </c>
    </row>
    <row r="16391" spans="2:15" x14ac:dyDescent="0.3">
      <c r="B16391" s="1" t="s">
        <v>19</v>
      </c>
      <c r="C16391" s="1" t="str">
        <f>"1차"</f>
        <v>1차</v>
      </c>
      <c r="D16391" s="1" t="str">
        <f>"0130Y73100"</f>
        <v>0130Y73100</v>
      </c>
      <c r="E16391" s="1" t="s">
        <v>10</v>
      </c>
      <c r="F16391" s="1" t="str">
        <f>"10.107.121.18"</f>
        <v>10.107.121.18</v>
      </c>
      <c r="G16391" s="1" t="str">
        <f>"0130Y731"</f>
        <v>0130Y731</v>
      </c>
      <c r="H16391" s="1" t="str">
        <f>"번동간 51"</f>
        <v>번동간 51</v>
      </c>
      <c r="I16391" s="1" t="s">
        <v>8</v>
      </c>
      <c r="J16391" s="1" t="str">
        <f>"46/49"</f>
        <v>46/49</v>
      </c>
      <c r="K16391" s="1" t="str">
        <f>"2026-07-29 13:18:01"</f>
        <v>2026-07-29 13:18:01</v>
      </c>
      <c r="L16391" s="1" t="str">
        <f>"2014-11-04 00:12:49"</f>
        <v>2014-11-04 00:12:49</v>
      </c>
      <c r="M16391" s="1" t="s">
        <v>45</v>
      </c>
      <c r="N16391" s="1" t="s">
        <v>38</v>
      </c>
      <c r="O16391" s="1" t="s">
        <v>46</v>
      </c>
    </row>
    <row r="16392" spans="2:15" x14ac:dyDescent="0.3">
      <c r="B16392" s="1" t="s">
        <v>19</v>
      </c>
      <c r="C16392" s="1" t="str">
        <f>"6차"</f>
        <v>6차</v>
      </c>
      <c r="D16392" s="1" t="str">
        <f>"0130Y7346S"</f>
        <v>0130Y7346S</v>
      </c>
      <c r="E16392" s="1" t="s">
        <v>10</v>
      </c>
      <c r="F16392" s="1" t="str">
        <f>"fde1:103:4:933f:0:0:0:2"</f>
        <v>fde1:103:4:933f:0:0:0:2</v>
      </c>
      <c r="G16392" s="1" t="str">
        <f>"0130Y734"</f>
        <v>0130Y734</v>
      </c>
      <c r="H16392" s="1" t="str">
        <f>"번동간 50"</f>
        <v>번동간 50</v>
      </c>
      <c r="I16392" s="1" t="s">
        <v>15</v>
      </c>
      <c r="J16392" s="1" t="str">
        <f>"31/31"</f>
        <v>31/31</v>
      </c>
      <c r="K16392" s="1" t="str">
        <f>"2026-07-29 14:20:25"</f>
        <v>2026-07-29 14:20:25</v>
      </c>
      <c r="L16392" s="1" t="str">
        <f>"2025-02-24 13:21:42"</f>
        <v>2025-02-24 13:21:42</v>
      </c>
      <c r="M16392" s="1" t="s">
        <v>4</v>
      </c>
      <c r="N16392" s="1" t="s">
        <v>38</v>
      </c>
      <c r="O16392" s="1" t="s">
        <v>46</v>
      </c>
    </row>
    <row r="16393" spans="2:15" x14ac:dyDescent="0.3">
      <c r="B16393" s="1" t="s">
        <v>19</v>
      </c>
      <c r="C16393" s="1" t="str">
        <f>"1차"</f>
        <v>1차</v>
      </c>
      <c r="D16393" s="1" t="str">
        <f>"0130Y75100"</f>
        <v>0130Y75100</v>
      </c>
      <c r="E16393" s="1" t="s">
        <v>10</v>
      </c>
      <c r="F16393" s="1" t="str">
        <f>"10.12.131.137"</f>
        <v>10.12.131.137</v>
      </c>
      <c r="G16393" s="1" t="str">
        <f>"0130Y751"</f>
        <v>0130Y751</v>
      </c>
      <c r="H16393" s="1" t="str">
        <f>"번동간 49R4L2"</f>
        <v>번동간 49R4L2</v>
      </c>
      <c r="I16393" s="1" t="s">
        <v>8</v>
      </c>
      <c r="J16393" s="1" t="str">
        <f>"106/106"</f>
        <v>106/106</v>
      </c>
      <c r="K16393" s="1" t="str">
        <f>"2026-07-29 13:18:03"</f>
        <v>2026-07-29 13:18:03</v>
      </c>
      <c r="L16393" s="1" t="str">
        <f>"2014-11-04 00:12:26"</f>
        <v>2014-11-04 00:12:26</v>
      </c>
      <c r="M16393" s="1" t="s">
        <v>0</v>
      </c>
      <c r="N16393" s="1" t="s">
        <v>38</v>
      </c>
      <c r="O16393" s="1" t="s">
        <v>46</v>
      </c>
    </row>
    <row r="16394" spans="2:15" x14ac:dyDescent="0.3">
      <c r="B16394" s="1" t="s">
        <v>19</v>
      </c>
      <c r="C16394" s="1" t="str">
        <f>"3차"</f>
        <v>3차</v>
      </c>
      <c r="D16394" s="1" t="str">
        <f>"0130Y77139"</f>
        <v>0130Y77139</v>
      </c>
      <c r="E16394" s="1" t="s">
        <v>10</v>
      </c>
      <c r="F16394" s="1" t="str">
        <f>"10.107.121.27"</f>
        <v>10.107.121.27</v>
      </c>
      <c r="G16394" s="1" t="str">
        <f>"0130Y771"</f>
        <v>0130Y771</v>
      </c>
      <c r="H16394" s="1" t="str">
        <f>"번동간 49R4C4"</f>
        <v>번동간 49R4C4</v>
      </c>
      <c r="I16394" s="1" t="s">
        <v>8</v>
      </c>
      <c r="J16394" s="1" t="str">
        <f>"9/9"</f>
        <v>9/9</v>
      </c>
      <c r="K16394" s="1" t="str">
        <f>"2026-07-29 13:18:01"</f>
        <v>2026-07-29 13:18:01</v>
      </c>
      <c r="L16394" s="1" t="str">
        <f>"2018-03-19 12:59:10"</f>
        <v>2018-03-19 12:59:10</v>
      </c>
      <c r="M16394" s="1" t="s">
        <v>45</v>
      </c>
      <c r="N16394" s="1" t="s">
        <v>38</v>
      </c>
      <c r="O16394" s="1" t="s">
        <v>46</v>
      </c>
    </row>
    <row r="16395" spans="2:15" x14ac:dyDescent="0.3">
      <c r="B16395" s="1" t="s">
        <v>19</v>
      </c>
      <c r="C16395" s="1" t="str">
        <f>"3차"</f>
        <v>3차</v>
      </c>
      <c r="D16395" s="1" t="str">
        <f>"0130Y77230"</f>
        <v>0130Y77230</v>
      </c>
      <c r="E16395" s="1" t="s">
        <v>10</v>
      </c>
      <c r="F16395" s="1" t="str">
        <f>"10.107.121.25"</f>
        <v>10.107.121.25</v>
      </c>
      <c r="G16395" s="1" t="str">
        <f>"0130Y772"</f>
        <v>0130Y772</v>
      </c>
      <c r="H16395" s="1" t="str">
        <f>"번동간 49R4C3"</f>
        <v>번동간 49R4C3</v>
      </c>
      <c r="I16395" s="1" t="s">
        <v>8</v>
      </c>
      <c r="J16395" s="1" t="str">
        <f>"3/3"</f>
        <v>3/3</v>
      </c>
      <c r="K16395" s="1" t="str">
        <f>"2026-07-29 13:18:01"</f>
        <v>2026-07-29 13:18:01</v>
      </c>
      <c r="L16395" s="1" t="str">
        <f>"2018-03-12 13:24:00"</f>
        <v>2018-03-12 13:24:00</v>
      </c>
      <c r="M16395" s="1" t="s">
        <v>45</v>
      </c>
      <c r="N16395" s="1" t="s">
        <v>38</v>
      </c>
      <c r="O16395" s="1" t="s">
        <v>46</v>
      </c>
    </row>
    <row r="16396" spans="2:15" x14ac:dyDescent="0.3">
      <c r="B16396" s="1" t="s">
        <v>19</v>
      </c>
      <c r="C16396" s="1" t="str">
        <f>"4차"</f>
        <v>4차</v>
      </c>
      <c r="D16396" s="1" t="str">
        <f>"0130Y79130"</f>
        <v>0130Y79130</v>
      </c>
      <c r="E16396" s="1" t="s">
        <v>10</v>
      </c>
      <c r="F16396" s="1" t="str">
        <f>"10.107.119.40"</f>
        <v>10.107.119.40</v>
      </c>
      <c r="G16396" s="1" t="str">
        <f>"0130Y791"</f>
        <v>0130Y791</v>
      </c>
      <c r="H16396" s="1" t="str">
        <f>"번동간 49R17"</f>
        <v>번동간 49R17</v>
      </c>
      <c r="I16396" s="1" t="s">
        <v>8</v>
      </c>
      <c r="J16396" s="1" t="str">
        <f>"46/46"</f>
        <v>46/46</v>
      </c>
      <c r="K16396" s="1" t="str">
        <f>"2026-07-29 13:18:01"</f>
        <v>2026-07-29 13:18:01</v>
      </c>
      <c r="L16396" s="1" t="str">
        <f>"2018-02-17 06:59:10"</f>
        <v>2018-02-17 06:59:10</v>
      </c>
      <c r="M16396" s="1" t="s">
        <v>45</v>
      </c>
      <c r="N16396" s="1" t="s">
        <v>38</v>
      </c>
      <c r="O16396" s="1" t="s">
        <v>46</v>
      </c>
    </row>
    <row r="16397" spans="2:15" x14ac:dyDescent="0.3">
      <c r="B16397" s="1" t="s">
        <v>19</v>
      </c>
      <c r="C16397" s="1" t="str">
        <f>"5-2차"</f>
        <v>5-2차</v>
      </c>
      <c r="D16397" s="1" t="str">
        <f>"0130Y8125M"</f>
        <v>0130Y8125M</v>
      </c>
      <c r="E16397" s="1" t="s">
        <v>10</v>
      </c>
      <c r="F16397" s="1" t="str">
        <f>"fde3:102:1410:1300:0:0:0:15"</f>
        <v>fde3:102:1410:1300:0:0:0:15</v>
      </c>
      <c r="G16397" s="1" t="str">
        <f>"0130Y812"</f>
        <v>0130Y812</v>
      </c>
      <c r="H16397" s="1" t="str">
        <f>"신일간 3L13"</f>
        <v>신일간 3L13</v>
      </c>
      <c r="I16397" s="1" t="s">
        <v>15</v>
      </c>
      <c r="J16397" s="1" t="str">
        <f>"83/83"</f>
        <v>83/83</v>
      </c>
      <c r="K16397" s="1" t="str">
        <f>"2026-07-29 14:20:46"</f>
        <v>2026-07-29 14:20:46</v>
      </c>
      <c r="L16397" s="1" t="str">
        <f>"2023-08-07 13:49:29"</f>
        <v>2023-08-07 13:49:29</v>
      </c>
      <c r="M16397" s="1" t="s">
        <v>45</v>
      </c>
      <c r="N16397" s="1" t="s">
        <v>38</v>
      </c>
      <c r="O16397" s="1" t="s">
        <v>46</v>
      </c>
    </row>
    <row r="16398" spans="2:15" x14ac:dyDescent="0.3">
      <c r="B16398" s="1" t="s">
        <v>19</v>
      </c>
      <c r="C16398" s="1" t="str">
        <f>"5-2차"</f>
        <v>5-2차</v>
      </c>
      <c r="D16398" s="1" t="str">
        <f>"0130Y8615S"</f>
        <v>0130Y8615S</v>
      </c>
      <c r="E16398" s="1" t="s">
        <v>10</v>
      </c>
      <c r="F16398" s="1" t="str">
        <f>"fde3:102:1410:4600:0:0:0:9"</f>
        <v>fde3:102:1410:4600:0:0:0:9</v>
      </c>
      <c r="G16398" s="1" t="str">
        <f>"0130Y861"</f>
        <v>0130Y861</v>
      </c>
      <c r="H16398" s="1" t="str">
        <f>"번동간 49R4C1"</f>
        <v>번동간 49R4C1</v>
      </c>
      <c r="I16398" s="1" t="s">
        <v>15</v>
      </c>
      <c r="J16398" s="1" t="str">
        <f>"41/41"</f>
        <v>41/41</v>
      </c>
      <c r="K16398" s="1" t="str">
        <f>"2026-07-29 14:20:47"</f>
        <v>2026-07-29 14:20:47</v>
      </c>
      <c r="L16398" s="1" t="str">
        <f>"2023-12-12 09:53:11"</f>
        <v>2023-12-12 09:53:11</v>
      </c>
      <c r="M16398" s="1" t="s">
        <v>45</v>
      </c>
      <c r="N16398" s="1" t="s">
        <v>38</v>
      </c>
      <c r="O16398" s="1" t="s">
        <v>46</v>
      </c>
    </row>
    <row r="16399" spans="2:15" x14ac:dyDescent="0.3">
      <c r="B16399" s="1" t="s">
        <v>19</v>
      </c>
      <c r="C16399" s="1" t="str">
        <f>"3차"</f>
        <v>3차</v>
      </c>
      <c r="D16399" s="1" t="str">
        <f>"0130Y86231"</f>
        <v>0130Y86231</v>
      </c>
      <c r="E16399" s="1" t="s">
        <v>10</v>
      </c>
      <c r="F16399" s="1" t="str">
        <f>"10.107.121.26"</f>
        <v>10.107.121.26</v>
      </c>
      <c r="G16399" s="1" t="str">
        <f>"0130Y862"</f>
        <v>0130Y862</v>
      </c>
      <c r="H16399" s="1" t="str">
        <f>"번동간 49R4C2"</f>
        <v>번동간 49R4C2</v>
      </c>
      <c r="I16399" s="1" t="s">
        <v>8</v>
      </c>
      <c r="J16399" s="1" t="str">
        <f>"26/26"</f>
        <v>26/26</v>
      </c>
      <c r="K16399" s="1" t="str">
        <f>"2026-07-29 13:18:01"</f>
        <v>2026-07-29 13:18:01</v>
      </c>
      <c r="L16399" s="1" t="str">
        <f>"2018-06-19 15:47:08"</f>
        <v>2018-06-19 15:47:08</v>
      </c>
      <c r="M16399" s="1" t="s">
        <v>45</v>
      </c>
      <c r="N16399" s="1" t="s">
        <v>38</v>
      </c>
      <c r="O16399" s="1" t="s">
        <v>46</v>
      </c>
    </row>
    <row r="16400" spans="2:15" x14ac:dyDescent="0.3">
      <c r="B16400" s="1" t="s">
        <v>19</v>
      </c>
      <c r="C16400" s="1" t="str">
        <f>"4차"</f>
        <v>4차</v>
      </c>
      <c r="D16400" s="1" t="str">
        <f>"0130Y88139"</f>
        <v>0130Y88139</v>
      </c>
      <c r="E16400" s="1" t="s">
        <v>10</v>
      </c>
      <c r="F16400" s="1" t="str">
        <f>"10.107.119.39"</f>
        <v>10.107.119.39</v>
      </c>
      <c r="G16400" s="1" t="str">
        <f>"0130Y881"</f>
        <v>0130Y881</v>
      </c>
      <c r="H16400" s="1" t="str">
        <f>"번동간 49R14"</f>
        <v>번동간 49R14</v>
      </c>
      <c r="I16400" s="1" t="s">
        <v>8</v>
      </c>
      <c r="J16400" s="1" t="str">
        <f>"125/126"</f>
        <v>125/126</v>
      </c>
      <c r="K16400" s="1" t="str">
        <f>"2026-07-29 13:18:01"</f>
        <v>2026-07-29 13:18:01</v>
      </c>
      <c r="L16400" s="1" t="str">
        <f>"2018-03-19 12:57:55"</f>
        <v>2018-03-19 12:57:55</v>
      </c>
      <c r="M16400" s="1" t="s">
        <v>45</v>
      </c>
      <c r="N16400" s="1" t="s">
        <v>38</v>
      </c>
      <c r="O16400" s="1" t="s">
        <v>46</v>
      </c>
    </row>
    <row r="16401" spans="2:15" x14ac:dyDescent="0.3">
      <c r="B16401" s="1" t="s">
        <v>19</v>
      </c>
      <c r="C16401" s="1" t="str">
        <f>"3차"</f>
        <v>3차</v>
      </c>
      <c r="D16401" s="1" t="str">
        <f>"0130Y88239"</f>
        <v>0130Y88239</v>
      </c>
      <c r="E16401" s="1" t="s">
        <v>10</v>
      </c>
      <c r="F16401" s="1" t="str">
        <f>"10.107.119.38"</f>
        <v>10.107.119.38</v>
      </c>
      <c r="G16401" s="1" t="str">
        <f>"0130Y882"</f>
        <v>0130Y882</v>
      </c>
      <c r="H16401" s="1" t="str">
        <f>"번동간 49R13"</f>
        <v>번동간 49R13</v>
      </c>
      <c r="I16401" s="1" t="s">
        <v>8</v>
      </c>
      <c r="J16401" s="1" t="str">
        <f>"97/99"</f>
        <v>97/99</v>
      </c>
      <c r="K16401" s="1" t="str">
        <f>"2026-07-29 13:18:01"</f>
        <v>2026-07-29 13:18:01</v>
      </c>
      <c r="L16401" s="1" t="str">
        <f>"2018-03-19 12:57:01"</f>
        <v>2018-03-19 12:57:01</v>
      </c>
      <c r="M16401" s="1" t="s">
        <v>45</v>
      </c>
      <c r="N16401" s="1" t="s">
        <v>38</v>
      </c>
      <c r="O16401" s="1" t="s">
        <v>46</v>
      </c>
    </row>
    <row r="16402" spans="2:15" x14ac:dyDescent="0.3">
      <c r="B16402" s="1" t="s">
        <v>19</v>
      </c>
      <c r="C16402" s="1" t="str">
        <f>"5-1차"</f>
        <v>5-1차</v>
      </c>
      <c r="D16402" s="1" t="str">
        <f>"0130Y9115S"</f>
        <v>0130Y9115S</v>
      </c>
      <c r="E16402" s="1" t="s">
        <v>10</v>
      </c>
      <c r="F16402" s="1" t="str">
        <f>"fde3:102:1410:2200:0:0:0:2"</f>
        <v>fde3:102:1410:2200:0:0:0:2</v>
      </c>
      <c r="G16402" s="1" t="str">
        <f>"0130Y911"</f>
        <v>0130Y911</v>
      </c>
      <c r="H16402" s="1" t="str">
        <f>"번동간 84R8"</f>
        <v>번동간 84R8</v>
      </c>
      <c r="I16402" s="1" t="s">
        <v>15</v>
      </c>
      <c r="J16402" s="1" t="str">
        <f>"67/67"</f>
        <v>67/67</v>
      </c>
      <c r="K16402" s="1" t="str">
        <f>"2026-07-29 14:20:47"</f>
        <v>2026-07-29 14:20:47</v>
      </c>
      <c r="L16402" s="1" t="str">
        <f>"2022-09-27 14:59:39"</f>
        <v>2022-09-27 14:59:39</v>
      </c>
      <c r="M16402" s="1" t="s">
        <v>45</v>
      </c>
      <c r="N16402" s="1" t="s">
        <v>38</v>
      </c>
      <c r="O16402" s="1" t="s">
        <v>46</v>
      </c>
    </row>
    <row r="16403" spans="2:15" x14ac:dyDescent="0.3">
      <c r="B16403" s="1" t="s">
        <v>19</v>
      </c>
      <c r="C16403" s="1" t="str">
        <f>"1차"</f>
        <v>1차</v>
      </c>
      <c r="D16403" s="1" t="str">
        <f>"0130Y92300"</f>
        <v>0130Y92300</v>
      </c>
      <c r="E16403" s="1" t="s">
        <v>10</v>
      </c>
      <c r="F16403" s="1" t="str">
        <f>"10.107.121.172"</f>
        <v>10.107.121.172</v>
      </c>
      <c r="G16403" s="1" t="str">
        <f>"0130Y923"</f>
        <v>0130Y923</v>
      </c>
      <c r="H16403" s="1" t="str">
        <f>"신일간 3L14L2"</f>
        <v>신일간 3L14L2</v>
      </c>
      <c r="I16403" s="1" t="s">
        <v>8</v>
      </c>
      <c r="J16403" s="1" t="str">
        <f>"55/55"</f>
        <v>55/55</v>
      </c>
      <c r="K16403" s="1" t="str">
        <f>"2026-07-29 13:18:01"</f>
        <v>2026-07-29 13:18:01</v>
      </c>
      <c r="L16403" s="1" t="str">
        <f>"2014-12-10 16:27:34"</f>
        <v>2014-12-10 16:27:34</v>
      </c>
      <c r="M16403" s="1" t="s">
        <v>45</v>
      </c>
      <c r="N16403" s="1" t="s">
        <v>38</v>
      </c>
      <c r="O16403" s="1" t="s">
        <v>46</v>
      </c>
    </row>
    <row r="16404" spans="2:15" x14ac:dyDescent="0.3">
      <c r="B16404" s="1" t="s">
        <v>19</v>
      </c>
      <c r="C16404" s="1" t="str">
        <f>"4차"</f>
        <v>4차</v>
      </c>
      <c r="D16404" s="1" t="str">
        <f>"0130Y95144"</f>
        <v>0130Y95144</v>
      </c>
      <c r="E16404" s="1" t="s">
        <v>10</v>
      </c>
      <c r="F16404" s="1" t="str">
        <f>"10.107.121.3"</f>
        <v>10.107.121.3</v>
      </c>
      <c r="G16404" s="1" t="str">
        <f>"0130Y951"</f>
        <v>0130Y951</v>
      </c>
      <c r="H16404" s="1" t="str">
        <f>"번동간 49R5"</f>
        <v>번동간 49R5</v>
      </c>
      <c r="I16404" s="1" t="s">
        <v>8</v>
      </c>
      <c r="J16404" s="1" t="str">
        <f>"29/29"</f>
        <v>29/29</v>
      </c>
      <c r="K16404" s="1" t="str">
        <f>"2026-07-29 13:18:01"</f>
        <v>2026-07-29 13:18:01</v>
      </c>
      <c r="L16404" s="1" t="str">
        <f>"2023-08-24 17:57:07"</f>
        <v>2023-08-24 17:57:07</v>
      </c>
      <c r="M16404" s="1" t="s">
        <v>45</v>
      </c>
      <c r="N16404" s="1" t="s">
        <v>38</v>
      </c>
      <c r="O16404" s="1" t="s">
        <v>46</v>
      </c>
    </row>
    <row r="16405" spans="2:15" x14ac:dyDescent="0.3">
      <c r="B16405" s="1" t="s">
        <v>19</v>
      </c>
      <c r="C16405" s="1" t="str">
        <f>"5-2차"</f>
        <v>5-2차</v>
      </c>
      <c r="D16405" s="1" t="str">
        <f>"0130Y9715S"</f>
        <v>0130Y9715S</v>
      </c>
      <c r="E16405" s="1" t="s">
        <v>10</v>
      </c>
      <c r="F16405" s="1" t="str">
        <f>"fde3:102:1410:4100:0:0:0:f"</f>
        <v>fde3:102:1410:4100:0:0:0:f</v>
      </c>
      <c r="G16405" s="1" t="str">
        <f>"0130Y971"</f>
        <v>0130Y971</v>
      </c>
      <c r="H16405" s="1" t="str">
        <f>"번동간 17R7R1"</f>
        <v>번동간 17R7R1</v>
      </c>
      <c r="I16405" s="1" t="s">
        <v>15</v>
      </c>
      <c r="J16405" s="1" t="str">
        <f>"42/42"</f>
        <v>42/42</v>
      </c>
      <c r="K16405" s="1" t="str">
        <f>"2026-07-29 14:20:47"</f>
        <v>2026-07-29 14:20:47</v>
      </c>
      <c r="L16405" s="1" t="str">
        <f>"2023-09-13 17:10:19"</f>
        <v>2023-09-13 17:10:19</v>
      </c>
      <c r="M16405" s="1" t="s">
        <v>45</v>
      </c>
      <c r="N16405" s="1" t="s">
        <v>38</v>
      </c>
      <c r="O16405" s="1" t="s">
        <v>46</v>
      </c>
    </row>
    <row r="16406" spans="2:15" x14ac:dyDescent="0.3">
      <c r="B16406" s="1" t="s">
        <v>19</v>
      </c>
      <c r="C16406" s="1" t="str">
        <f>"1차"</f>
        <v>1차</v>
      </c>
      <c r="D16406" s="1" t="str">
        <f>"0130Y97201"</f>
        <v>0130Y97201</v>
      </c>
      <c r="E16406" s="1" t="s">
        <v>10</v>
      </c>
      <c r="F16406" s="1" t="str">
        <f>"10.107.119.37"</f>
        <v>10.107.119.37</v>
      </c>
      <c r="G16406" s="1" t="str">
        <f>"0130Y972"</f>
        <v>0130Y972</v>
      </c>
      <c r="H16406" s="1" t="str">
        <f>"번동간 17R7R2"</f>
        <v>번동간 17R7R2</v>
      </c>
      <c r="I16406" s="1" t="s">
        <v>8</v>
      </c>
      <c r="J16406" s="1" t="str">
        <f>"37/37"</f>
        <v>37/37</v>
      </c>
      <c r="K16406" s="1" t="str">
        <f t="shared" ref="K16406:K16411" si="818">"2026-07-29 13:18:01"</f>
        <v>2026-07-29 13:18:01</v>
      </c>
      <c r="L16406" s="1" t="str">
        <f>"2014-11-04 00:12:52"</f>
        <v>2014-11-04 00:12:52</v>
      </c>
      <c r="M16406" s="1" t="s">
        <v>45</v>
      </c>
      <c r="N16406" s="1" t="s">
        <v>38</v>
      </c>
      <c r="O16406" s="1" t="s">
        <v>46</v>
      </c>
    </row>
    <row r="16407" spans="2:15" x14ac:dyDescent="0.3">
      <c r="B16407" s="1" t="s">
        <v>19</v>
      </c>
      <c r="C16407" s="1" t="str">
        <f>"1차"</f>
        <v>1차</v>
      </c>
      <c r="D16407" s="1" t="str">
        <f>"0130Y97301"</f>
        <v>0130Y97301</v>
      </c>
      <c r="E16407" s="1" t="s">
        <v>10</v>
      </c>
      <c r="F16407" s="1" t="str">
        <f>"10.107.119.35"</f>
        <v>10.107.119.35</v>
      </c>
      <c r="G16407" s="1" t="str">
        <f>"0130Y973"</f>
        <v>0130Y973</v>
      </c>
      <c r="H16407" s="1" t="str">
        <f>"번동간 49R12"</f>
        <v>번동간 49R12</v>
      </c>
      <c r="I16407" s="1" t="s">
        <v>8</v>
      </c>
      <c r="J16407" s="1" t="str">
        <f>"44/45"</f>
        <v>44/45</v>
      </c>
      <c r="K16407" s="1" t="str">
        <f t="shared" si="818"/>
        <v>2026-07-29 13:18:01</v>
      </c>
      <c r="L16407" s="1" t="str">
        <f>"2014-11-19 11:00:07"</f>
        <v>2014-11-19 11:00:07</v>
      </c>
      <c r="M16407" s="1" t="s">
        <v>45</v>
      </c>
      <c r="N16407" s="1" t="s">
        <v>38</v>
      </c>
      <c r="O16407" s="1" t="s">
        <v>46</v>
      </c>
    </row>
    <row r="16408" spans="2:15" x14ac:dyDescent="0.3">
      <c r="B16408" s="1" t="s">
        <v>19</v>
      </c>
      <c r="C16408" s="1" t="str">
        <f>"1차"</f>
        <v>1차</v>
      </c>
      <c r="D16408" s="1" t="str">
        <f>"0130Y97400"</f>
        <v>0130Y97400</v>
      </c>
      <c r="E16408" s="1" t="str">
        <f>"검침실패(3시간 이상)"</f>
        <v>검침실패(3시간 이상)</v>
      </c>
      <c r="F16408" s="1" t="str">
        <f>"10.107.119.34"</f>
        <v>10.107.119.34</v>
      </c>
      <c r="G16408" s="1" t="str">
        <f>"0130Y974"</f>
        <v>0130Y974</v>
      </c>
      <c r="H16408" s="1" t="str">
        <f>"번동간 49R11"</f>
        <v>번동간 49R11</v>
      </c>
      <c r="I16408" s="1" t="s">
        <v>8</v>
      </c>
      <c r="J16408" s="1" t="str">
        <f>"0/98"</f>
        <v>0/98</v>
      </c>
      <c r="K16408" s="1" t="str">
        <f t="shared" si="818"/>
        <v>2026-07-29 13:18:01</v>
      </c>
      <c r="L16408" s="1" t="str">
        <f>"2014-11-19 10:57:47"</f>
        <v>2014-11-19 10:57:47</v>
      </c>
      <c r="M16408" s="1" t="s">
        <v>45</v>
      </c>
      <c r="N16408" s="1" t="s">
        <v>38</v>
      </c>
      <c r="O16408" s="1" t="s">
        <v>46</v>
      </c>
    </row>
    <row r="16409" spans="2:15" x14ac:dyDescent="0.3">
      <c r="B16409" s="1" t="s">
        <v>19</v>
      </c>
      <c r="C16409" s="1" t="str">
        <f>"3차"</f>
        <v>3차</v>
      </c>
      <c r="D16409" s="1" t="str">
        <f>"0130Y99139"</f>
        <v>0130Y99139</v>
      </c>
      <c r="E16409" s="1" t="s">
        <v>10</v>
      </c>
      <c r="F16409" s="1" t="str">
        <f>"10.107.253.87"</f>
        <v>10.107.253.87</v>
      </c>
      <c r="G16409" s="1" t="str">
        <f>"0130Y991"</f>
        <v>0130Y991</v>
      </c>
      <c r="H16409" s="1" t="str">
        <f>"번동간 17R5"</f>
        <v>번동간 17R5</v>
      </c>
      <c r="I16409" s="1" t="s">
        <v>8</v>
      </c>
      <c r="J16409" s="1" t="str">
        <f>"70/70"</f>
        <v>70/70</v>
      </c>
      <c r="K16409" s="1" t="str">
        <f t="shared" si="818"/>
        <v>2026-07-29 13:18:01</v>
      </c>
      <c r="L16409" s="1" t="str">
        <f>"2018-04-04 14:31:44"</f>
        <v>2018-04-04 14:31:44</v>
      </c>
      <c r="M16409" s="1" t="s">
        <v>45</v>
      </c>
      <c r="N16409" s="1" t="s">
        <v>38</v>
      </c>
      <c r="O16409" s="1" t="s">
        <v>46</v>
      </c>
    </row>
    <row r="16410" spans="2:15" x14ac:dyDescent="0.3">
      <c r="B16410" s="1" t="s">
        <v>19</v>
      </c>
      <c r="C16410" s="1" t="str">
        <f>"3차"</f>
        <v>3차</v>
      </c>
      <c r="D16410" s="1" t="str">
        <f>"0130Y99539"</f>
        <v>0130Y99539</v>
      </c>
      <c r="E16410" s="1" t="s">
        <v>10</v>
      </c>
      <c r="F16410" s="1" t="str">
        <f>"10.107.253.86"</f>
        <v>10.107.253.86</v>
      </c>
      <c r="G16410" s="1" t="str">
        <f>"0130Y995"</f>
        <v>0130Y995</v>
      </c>
      <c r="H16410" s="1" t="str">
        <f>"번동간 17R4"</f>
        <v>번동간 17R4</v>
      </c>
      <c r="I16410" s="1" t="s">
        <v>8</v>
      </c>
      <c r="J16410" s="1" t="str">
        <f>"41/41"</f>
        <v>41/41</v>
      </c>
      <c r="K16410" s="1" t="str">
        <f t="shared" si="818"/>
        <v>2026-07-29 13:18:01</v>
      </c>
      <c r="L16410" s="1" t="str">
        <f>"2021-07-21 15:52:11"</f>
        <v>2021-07-21 15:52:11</v>
      </c>
      <c r="M16410" s="1" t="s">
        <v>45</v>
      </c>
      <c r="N16410" s="1" t="s">
        <v>38</v>
      </c>
      <c r="O16410" s="1" t="s">
        <v>46</v>
      </c>
    </row>
    <row r="16411" spans="2:15" x14ac:dyDescent="0.3">
      <c r="B16411" s="1" t="s">
        <v>19</v>
      </c>
      <c r="C16411" s="1" t="str">
        <f>"4차"</f>
        <v>4차</v>
      </c>
      <c r="D16411" s="1" t="str">
        <f>"0130Z02142"</f>
        <v>0130Z02142</v>
      </c>
      <c r="E16411" s="1" t="s">
        <v>10</v>
      </c>
      <c r="F16411" s="1" t="str">
        <f>"10.12.131.245"</f>
        <v>10.12.131.245</v>
      </c>
      <c r="G16411" s="1" t="str">
        <f>"0130Z021"</f>
        <v>0130Z021</v>
      </c>
      <c r="H16411" s="1" t="str">
        <f>"신일간 3L14L5"</f>
        <v>신일간 3L14L5</v>
      </c>
      <c r="I16411" s="1" t="s">
        <v>8</v>
      </c>
      <c r="J16411" s="1" t="str">
        <f>"107/108"</f>
        <v>107/108</v>
      </c>
      <c r="K16411" s="1" t="str">
        <f t="shared" si="818"/>
        <v>2026-07-29 13:18:01</v>
      </c>
      <c r="L16411" s="1" t="str">
        <f>"2024-05-21 18:12:18"</f>
        <v>2024-05-21 18:12:18</v>
      </c>
      <c r="M16411" s="1" t="s">
        <v>0</v>
      </c>
      <c r="N16411" s="1" t="s">
        <v>38</v>
      </c>
      <c r="O16411" s="1" t="s">
        <v>46</v>
      </c>
    </row>
    <row r="16412" spans="2:15" x14ac:dyDescent="0.3">
      <c r="B16412" s="1" t="s">
        <v>19</v>
      </c>
      <c r="C16412" s="1" t="str">
        <f>"1차"</f>
        <v>1차</v>
      </c>
      <c r="D16412" s="1" t="str">
        <f>"0130Z02300"</f>
        <v>0130Z02300</v>
      </c>
      <c r="E16412" s="1" t="s">
        <v>10</v>
      </c>
      <c r="F16412" s="1" t="str">
        <f>"10.107.121.171"</f>
        <v>10.107.121.171</v>
      </c>
      <c r="G16412" s="1" t="str">
        <f>"0130Z023"</f>
        <v>0130Z023</v>
      </c>
      <c r="H16412" s="1" t="str">
        <f>"신일간 3L14L4"</f>
        <v>신일간 3L14L4</v>
      </c>
      <c r="I16412" s="1" t="s">
        <v>8</v>
      </c>
      <c r="J16412" s="1" t="str">
        <f>"26/26"</f>
        <v>26/26</v>
      </c>
      <c r="K16412" s="1" t="str">
        <f>"2026-07-29 13:18:02"</f>
        <v>2026-07-29 13:18:02</v>
      </c>
      <c r="L16412" s="1" t="str">
        <f>"2014-12-10 15:57:45"</f>
        <v>2014-12-10 15:57:45</v>
      </c>
      <c r="M16412" s="1" t="s">
        <v>45</v>
      </c>
      <c r="N16412" s="1" t="s">
        <v>38</v>
      </c>
      <c r="O16412" s="1" t="s">
        <v>46</v>
      </c>
    </row>
    <row r="16413" spans="2:15" x14ac:dyDescent="0.3">
      <c r="B16413" s="1" t="s">
        <v>19</v>
      </c>
      <c r="C16413" s="1" t="str">
        <f>"1차"</f>
        <v>1차</v>
      </c>
      <c r="D16413" s="1" t="str">
        <f>"0130Z03100"</f>
        <v>0130Z03100</v>
      </c>
      <c r="E16413" s="1" t="s">
        <v>10</v>
      </c>
      <c r="F16413" s="1" t="str">
        <f>"10.107.1.129"</f>
        <v>10.107.1.129</v>
      </c>
      <c r="G16413" s="1" t="str">
        <f>"0130Z031"</f>
        <v>0130Z031</v>
      </c>
      <c r="H16413" s="1" t="str">
        <f>"번동간 77"</f>
        <v>번동간 77</v>
      </c>
      <c r="I16413" s="1" t="s">
        <v>8</v>
      </c>
      <c r="J16413" s="1" t="str">
        <f>"10/10"</f>
        <v>10/10</v>
      </c>
      <c r="K16413" s="1" t="str">
        <f>"2026-07-29 13:18:01"</f>
        <v>2026-07-29 13:18:01</v>
      </c>
      <c r="L16413" s="1" t="str">
        <f>"2014-11-05 11:43:19"</f>
        <v>2014-11-05 11:43:19</v>
      </c>
      <c r="M16413" s="1" t="s">
        <v>45</v>
      </c>
      <c r="N16413" s="1" t="s">
        <v>38</v>
      </c>
      <c r="O16413" s="1" t="s">
        <v>46</v>
      </c>
    </row>
    <row r="16414" spans="2:15" x14ac:dyDescent="0.3">
      <c r="B16414" s="1" t="s">
        <v>19</v>
      </c>
      <c r="C16414" s="1" t="str">
        <f>"5-2차"</f>
        <v>5-2차</v>
      </c>
      <c r="D16414" s="1" t="str">
        <f>"0130Z0415S"</f>
        <v>0130Z0415S</v>
      </c>
      <c r="E16414" s="1" t="s">
        <v>10</v>
      </c>
      <c r="F16414" s="1" t="str">
        <f>"fde3:102:1410:4600:0:0:0:5"</f>
        <v>fde3:102:1410:4600:0:0:0:5</v>
      </c>
      <c r="G16414" s="1" t="str">
        <f>"0130Z041"</f>
        <v>0130Z041</v>
      </c>
      <c r="H16414" s="1" t="str">
        <f>"번동간 46"</f>
        <v>번동간 46</v>
      </c>
      <c r="I16414" s="1" t="s">
        <v>15</v>
      </c>
      <c r="J16414" s="1" t="str">
        <f>"63/68"</f>
        <v>63/68</v>
      </c>
      <c r="K16414" s="1" t="str">
        <f>"2026-07-29 14:20:47"</f>
        <v>2026-07-29 14:20:47</v>
      </c>
      <c r="L16414" s="1" t="str">
        <f>"2023-08-07 12:15:23"</f>
        <v>2023-08-07 12:15:23</v>
      </c>
      <c r="M16414" s="1" t="s">
        <v>45</v>
      </c>
      <c r="N16414" s="1" t="s">
        <v>38</v>
      </c>
      <c r="O16414" s="1" t="s">
        <v>46</v>
      </c>
    </row>
    <row r="16415" spans="2:15" x14ac:dyDescent="0.3">
      <c r="B16415" s="1" t="s">
        <v>19</v>
      </c>
      <c r="C16415" s="1" t="str">
        <f>"1차"</f>
        <v>1차</v>
      </c>
      <c r="D16415" s="1" t="str">
        <f>"0130Z05100"</f>
        <v>0130Z05100</v>
      </c>
      <c r="E16415" s="1" t="s">
        <v>10</v>
      </c>
      <c r="F16415" s="1" t="str">
        <f>"10.107.121.22"</f>
        <v>10.107.121.22</v>
      </c>
      <c r="G16415" s="1" t="str">
        <f>"0130Z051"</f>
        <v>0130Z051</v>
      </c>
      <c r="H16415" s="1" t="str">
        <f>"번동간 49R6"</f>
        <v>번동간 49R6</v>
      </c>
      <c r="I16415" s="1" t="s">
        <v>8</v>
      </c>
      <c r="J16415" s="1" t="str">
        <f>"57/58"</f>
        <v>57/58</v>
      </c>
      <c r="K16415" s="1" t="str">
        <f>"2026-07-29 13:18:01"</f>
        <v>2026-07-29 13:18:01</v>
      </c>
      <c r="L16415" s="1" t="str">
        <f>"2014-11-04 00:13:08"</f>
        <v>2014-11-04 00:13:08</v>
      </c>
      <c r="M16415" s="1" t="s">
        <v>45</v>
      </c>
      <c r="N16415" s="1" t="s">
        <v>38</v>
      </c>
      <c r="O16415" s="1" t="s">
        <v>46</v>
      </c>
    </row>
    <row r="16416" spans="2:15" x14ac:dyDescent="0.3">
      <c r="B16416" s="1" t="s">
        <v>19</v>
      </c>
      <c r="C16416" s="1" t="str">
        <f>"1차"</f>
        <v>1차</v>
      </c>
      <c r="D16416" s="1" t="str">
        <f>"0130Z05201"</f>
        <v>0130Z05201</v>
      </c>
      <c r="E16416" s="1" t="s">
        <v>10</v>
      </c>
      <c r="F16416" s="1" t="str">
        <f>"10.107.121.23"</f>
        <v>10.107.121.23</v>
      </c>
      <c r="G16416" s="1" t="str">
        <f>"0130Z052"</f>
        <v>0130Z052</v>
      </c>
      <c r="H16416" s="1" t="str">
        <f>"번동간 49R7"</f>
        <v>번동간 49R7</v>
      </c>
      <c r="I16416" s="1" t="s">
        <v>8</v>
      </c>
      <c r="J16416" s="1" t="str">
        <f>"25/25"</f>
        <v>25/25</v>
      </c>
      <c r="K16416" s="1" t="str">
        <f>"2026-07-29 13:18:02"</f>
        <v>2026-07-29 13:18:02</v>
      </c>
      <c r="L16416" s="1" t="str">
        <f>"2014-11-04 00:12:53"</f>
        <v>2014-11-04 00:12:53</v>
      </c>
      <c r="M16416" s="1" t="s">
        <v>45</v>
      </c>
      <c r="N16416" s="1" t="s">
        <v>38</v>
      </c>
      <c r="O16416" s="1" t="s">
        <v>46</v>
      </c>
    </row>
    <row r="16417" spans="2:15" x14ac:dyDescent="0.3">
      <c r="B16417" s="1" t="s">
        <v>19</v>
      </c>
      <c r="C16417" s="1" t="str">
        <f>"4차"</f>
        <v>4차</v>
      </c>
      <c r="D16417" s="1" t="str">
        <f>"0130Z06139"</f>
        <v>0130Z06139</v>
      </c>
      <c r="E16417" s="1" t="s">
        <v>10</v>
      </c>
      <c r="F16417" s="1" t="str">
        <f>"10.107.121.24"</f>
        <v>10.107.121.24</v>
      </c>
      <c r="G16417" s="1" t="str">
        <f>"0130Z061"</f>
        <v>0130Z061</v>
      </c>
      <c r="H16417" s="1" t="str">
        <f>"번동간 49R9"</f>
        <v>번동간 49R9</v>
      </c>
      <c r="I16417" s="1" t="s">
        <v>8</v>
      </c>
      <c r="J16417" s="1" t="str">
        <f>"21/21"</f>
        <v>21/21</v>
      </c>
      <c r="K16417" s="1" t="str">
        <f>"2026-07-29 13:18:01"</f>
        <v>2026-07-29 13:18:01</v>
      </c>
      <c r="L16417" s="1" t="str">
        <f>"2018-02-21 17:47:15"</f>
        <v>2018-02-21 17:47:15</v>
      </c>
      <c r="M16417" s="1" t="s">
        <v>45</v>
      </c>
      <c r="N16417" s="1" t="s">
        <v>38</v>
      </c>
      <c r="O16417" s="1" t="s">
        <v>46</v>
      </c>
    </row>
    <row r="16418" spans="2:15" x14ac:dyDescent="0.3">
      <c r="B16418" s="1" t="s">
        <v>19</v>
      </c>
      <c r="C16418" s="1" t="str">
        <f>"6차"</f>
        <v>6차</v>
      </c>
      <c r="D16418" s="1" t="str">
        <f>"0130Z0826M"</f>
        <v>0130Z0826M</v>
      </c>
      <c r="E16418" s="1" t="s">
        <v>10</v>
      </c>
      <c r="F16418" s="1" t="str">
        <f>"fde1:103:4:c818:0:0:0:2"</f>
        <v>fde1:103:4:c818:0:0:0:2</v>
      </c>
      <c r="G16418" s="1" t="str">
        <f>"0130Z082"</f>
        <v>0130Z082</v>
      </c>
      <c r="H16418" s="1" t="str">
        <f>"번동간 17R7"</f>
        <v>번동간 17R7</v>
      </c>
      <c r="I16418" s="1" t="s">
        <v>15</v>
      </c>
      <c r="J16418" s="1" t="str">
        <f>"35/35"</f>
        <v>35/35</v>
      </c>
      <c r="K16418" s="1" t="str">
        <f>"2026-07-29 14:20:48"</f>
        <v>2026-07-29 14:20:48</v>
      </c>
      <c r="L16418" s="1" t="str">
        <f>"2024-12-02 13:47:45"</f>
        <v>2024-12-02 13:47:45</v>
      </c>
      <c r="M16418" s="1" t="s">
        <v>4</v>
      </c>
      <c r="N16418" s="1" t="s">
        <v>38</v>
      </c>
      <c r="O16418" s="1" t="s">
        <v>46</v>
      </c>
    </row>
    <row r="16419" spans="2:15" x14ac:dyDescent="0.3">
      <c r="B16419" s="1" t="s">
        <v>19</v>
      </c>
      <c r="C16419" s="1" t="str">
        <f>"4차"</f>
        <v>4차</v>
      </c>
      <c r="D16419" s="1" t="str">
        <f>"0130Z08339"</f>
        <v>0130Z08339</v>
      </c>
      <c r="E16419" s="1" t="s">
        <v>10</v>
      </c>
      <c r="F16419" s="1" t="str">
        <f>"10.107.253.88"</f>
        <v>10.107.253.88</v>
      </c>
      <c r="G16419" s="1" t="str">
        <f>"0130Z083"</f>
        <v>0130Z083</v>
      </c>
      <c r="H16419" s="1" t="str">
        <f>"번동간 17R6"</f>
        <v>번동간 17R6</v>
      </c>
      <c r="I16419" s="1" t="s">
        <v>8</v>
      </c>
      <c r="J16419" s="1" t="str">
        <f>"37/37"</f>
        <v>37/37</v>
      </c>
      <c r="K16419" s="1" t="str">
        <f>"2026-07-29 13:18:01"</f>
        <v>2026-07-29 13:18:01</v>
      </c>
      <c r="L16419" s="1" t="str">
        <f>"2018-03-27 17:09:17"</f>
        <v>2018-03-27 17:09:17</v>
      </c>
      <c r="M16419" s="1" t="s">
        <v>45</v>
      </c>
      <c r="N16419" s="1" t="s">
        <v>38</v>
      </c>
      <c r="O16419" s="1" t="s">
        <v>46</v>
      </c>
    </row>
    <row r="16420" spans="2:15" x14ac:dyDescent="0.3">
      <c r="B16420" s="1" t="s">
        <v>19</v>
      </c>
      <c r="C16420" s="1" t="str">
        <f>"1차"</f>
        <v>1차</v>
      </c>
      <c r="D16420" s="1" t="str">
        <f>"0130Z09100"</f>
        <v>0130Z09100</v>
      </c>
      <c r="E16420" s="1" t="s">
        <v>10</v>
      </c>
      <c r="F16420" s="1" t="str">
        <f>"10.107.251.107"</f>
        <v>10.107.251.107</v>
      </c>
      <c r="G16420" s="1" t="str">
        <f>"0130Z091"</f>
        <v>0130Z091</v>
      </c>
      <c r="H16420" s="1" t="str">
        <f>"번동간 26R1"</f>
        <v>번동간 26R1</v>
      </c>
      <c r="I16420" s="1" t="s">
        <v>8</v>
      </c>
      <c r="J16420" s="1" t="str">
        <f>"33/33"</f>
        <v>33/33</v>
      </c>
      <c r="K16420" s="1" t="str">
        <f>"2026-07-29 13:18:01"</f>
        <v>2026-07-29 13:18:01</v>
      </c>
      <c r="L16420" s="1" t="str">
        <f>"2014-11-04 00:13:16"</f>
        <v>2014-11-04 00:13:16</v>
      </c>
      <c r="M16420" s="1" t="s">
        <v>45</v>
      </c>
      <c r="N16420" s="1" t="s">
        <v>38</v>
      </c>
      <c r="O16420" s="1" t="s">
        <v>46</v>
      </c>
    </row>
    <row r="16421" spans="2:15" x14ac:dyDescent="0.3">
      <c r="B16421" s="1" t="s">
        <v>19</v>
      </c>
      <c r="C16421" s="1" t="str">
        <f>"1차"</f>
        <v>1차</v>
      </c>
      <c r="D16421" s="1" t="str">
        <f>"0130Z13101"</f>
        <v>0130Z13101</v>
      </c>
      <c r="E16421" s="1" t="s">
        <v>10</v>
      </c>
      <c r="F16421" s="1" t="str">
        <f>"10.107.1.131"</f>
        <v>10.107.1.131</v>
      </c>
      <c r="G16421" s="1" t="str">
        <f>"0130Z131"</f>
        <v>0130Z131</v>
      </c>
      <c r="H16421" s="1" t="str">
        <f>"번동간 78"</f>
        <v>번동간 78</v>
      </c>
      <c r="I16421" s="1" t="s">
        <v>8</v>
      </c>
      <c r="J16421" s="1" t="str">
        <f>"18/18"</f>
        <v>18/18</v>
      </c>
      <c r="K16421" s="1" t="str">
        <f>"2026-07-29 13:18:02"</f>
        <v>2026-07-29 13:18:02</v>
      </c>
      <c r="L16421" s="1" t="str">
        <f>"2014-11-05 11:42:54"</f>
        <v>2014-11-05 11:42:54</v>
      </c>
      <c r="M16421" s="1" t="s">
        <v>45</v>
      </c>
      <c r="N16421" s="1" t="s">
        <v>38</v>
      </c>
      <c r="O16421" s="1" t="s">
        <v>46</v>
      </c>
    </row>
    <row r="16422" spans="2:15" x14ac:dyDescent="0.3">
      <c r="B16422" s="1" t="s">
        <v>19</v>
      </c>
      <c r="C16422" s="1" t="str">
        <f>"3차"</f>
        <v>3차</v>
      </c>
      <c r="D16422" s="1" t="str">
        <f>"0130Z17139"</f>
        <v>0130Z17139</v>
      </c>
      <c r="E16422" s="1" t="s">
        <v>10</v>
      </c>
      <c r="F16422" s="1" t="str">
        <f>"10.107.253.89"</f>
        <v>10.107.253.89</v>
      </c>
      <c r="G16422" s="1" t="str">
        <f>"0130Z171"</f>
        <v>0130Z171</v>
      </c>
      <c r="H16422" s="1" t="str">
        <f>"번동간 17R10"</f>
        <v>번동간 17R10</v>
      </c>
      <c r="I16422" s="1" t="s">
        <v>8</v>
      </c>
      <c r="J16422" s="1" t="str">
        <f>"80/80"</f>
        <v>80/80</v>
      </c>
      <c r="K16422" s="1" t="str">
        <f>"2026-07-29 13:18:01"</f>
        <v>2026-07-29 13:18:01</v>
      </c>
      <c r="L16422" s="1" t="str">
        <f>"2018-04-02 11:37:29"</f>
        <v>2018-04-02 11:37:29</v>
      </c>
      <c r="M16422" s="1" t="s">
        <v>45</v>
      </c>
      <c r="N16422" s="1" t="s">
        <v>38</v>
      </c>
      <c r="O16422" s="1" t="s">
        <v>46</v>
      </c>
    </row>
    <row r="16423" spans="2:15" x14ac:dyDescent="0.3">
      <c r="B16423" s="1" t="s">
        <v>19</v>
      </c>
      <c r="C16423" s="1" t="str">
        <f>"4차"</f>
        <v>4차</v>
      </c>
      <c r="D16423" s="1" t="str">
        <f>"0130Z18144"</f>
        <v>0130Z18144</v>
      </c>
      <c r="E16423" s="1" t="s">
        <v>10</v>
      </c>
      <c r="F16423" s="1" t="str">
        <f>"10.107.253.90"</f>
        <v>10.107.253.90</v>
      </c>
      <c r="G16423" s="1" t="str">
        <f>"0130Z181"</f>
        <v>0130Z181</v>
      </c>
      <c r="H16423" s="1" t="str">
        <f>"번동간 17R8"</f>
        <v>번동간 17R8</v>
      </c>
      <c r="I16423" s="1" t="s">
        <v>8</v>
      </c>
      <c r="J16423" s="1" t="str">
        <f>"36/36"</f>
        <v>36/36</v>
      </c>
      <c r="K16423" s="1" t="str">
        <f>"2026-07-29 13:18:01"</f>
        <v>2026-07-29 13:18:01</v>
      </c>
      <c r="L16423" s="1" t="str">
        <f>"2019-11-05 14:04:13"</f>
        <v>2019-11-05 14:04:13</v>
      </c>
      <c r="M16423" s="1" t="s">
        <v>45</v>
      </c>
      <c r="N16423" s="1" t="s">
        <v>38</v>
      </c>
      <c r="O16423" s="1" t="s">
        <v>46</v>
      </c>
    </row>
    <row r="16424" spans="2:15" x14ac:dyDescent="0.3">
      <c r="B16424" s="1" t="s">
        <v>19</v>
      </c>
      <c r="C16424" s="1" t="str">
        <f>"4차"</f>
        <v>4차</v>
      </c>
      <c r="D16424" s="1" t="str">
        <f>"0130Z21344"</f>
        <v>0130Z21344</v>
      </c>
      <c r="E16424" s="1" t="s">
        <v>10</v>
      </c>
      <c r="F16424" s="1" t="str">
        <f>"10.107.252.38"</f>
        <v>10.107.252.38</v>
      </c>
      <c r="G16424" s="1" t="str">
        <f>"0130Z213"</f>
        <v>0130Z213</v>
      </c>
      <c r="H16424" s="1" t="str">
        <f>"번동간 86L6"</f>
        <v>번동간 86L6</v>
      </c>
      <c r="I16424" s="1" t="s">
        <v>8</v>
      </c>
      <c r="J16424" s="1" t="str">
        <f>"61/66"</f>
        <v>61/66</v>
      </c>
      <c r="K16424" s="1" t="str">
        <f>"2026-07-29 13:18:01"</f>
        <v>2026-07-29 13:18:01</v>
      </c>
      <c r="L16424" s="1" t="str">
        <f>"2019-11-05 14:03:03"</f>
        <v>2019-11-05 14:03:03</v>
      </c>
      <c r="M16424" s="1" t="s">
        <v>45</v>
      </c>
      <c r="N16424" s="1" t="s">
        <v>38</v>
      </c>
      <c r="O16424" s="1" t="s">
        <v>46</v>
      </c>
    </row>
    <row r="16425" spans="2:15" x14ac:dyDescent="0.3">
      <c r="B16425" s="1" t="s">
        <v>19</v>
      </c>
      <c r="C16425" s="1" t="str">
        <f>"6차"</f>
        <v>6차</v>
      </c>
      <c r="D16425" s="1" t="str">
        <f>"0130Z2236M"</f>
        <v>0130Z2236M</v>
      </c>
      <c r="E16425" s="1" t="s">
        <v>10</v>
      </c>
      <c r="F16425" s="1" t="str">
        <f>"fde1:103:4:c854:0:0:0:2"</f>
        <v>fde1:103:4:c854:0:0:0:2</v>
      </c>
      <c r="G16425" s="1" t="str">
        <f>"0130Z223"</f>
        <v>0130Z223</v>
      </c>
      <c r="H16425" s="1" t="str">
        <f>"번동간 84R4R1"</f>
        <v>번동간 84R4R1</v>
      </c>
      <c r="I16425" s="1" t="s">
        <v>15</v>
      </c>
      <c r="J16425" s="1" t="str">
        <f>"44/44"</f>
        <v>44/44</v>
      </c>
      <c r="K16425" s="1" t="str">
        <f>"2026-07-29 14:20:29"</f>
        <v>2026-07-29 14:20:29</v>
      </c>
      <c r="L16425" s="1" t="str">
        <f>"2024-12-02 13:48:06"</f>
        <v>2024-12-02 13:48:06</v>
      </c>
      <c r="M16425" s="1" t="s">
        <v>4</v>
      </c>
      <c r="N16425" s="1" t="s">
        <v>38</v>
      </c>
      <c r="O16425" s="1" t="s">
        <v>46</v>
      </c>
    </row>
    <row r="16426" spans="2:15" x14ac:dyDescent="0.3">
      <c r="B16426" s="1" t="s">
        <v>19</v>
      </c>
      <c r="C16426" s="1" t="str">
        <f>"4차"</f>
        <v>4차</v>
      </c>
      <c r="D16426" s="1" t="str">
        <f>"0130Z22544"</f>
        <v>0130Z22544</v>
      </c>
      <c r="E16426" s="1" t="s">
        <v>10</v>
      </c>
      <c r="F16426" s="1" t="str">
        <f>"10.107.121.173"</f>
        <v>10.107.121.173</v>
      </c>
      <c r="G16426" s="1" t="str">
        <f>"0130Z225"</f>
        <v>0130Z225</v>
      </c>
      <c r="H16426" s="1" t="str">
        <f>"번동간 86L5"</f>
        <v>번동간 86L5</v>
      </c>
      <c r="I16426" s="1" t="s">
        <v>8</v>
      </c>
      <c r="J16426" s="1" t="str">
        <f>"34/42"</f>
        <v>34/42</v>
      </c>
      <c r="K16426" s="1" t="str">
        <f>"2026-07-29 13:18:01"</f>
        <v>2026-07-29 13:18:01</v>
      </c>
      <c r="L16426" s="1" t="str">
        <f>"2019-12-30 11:27:34"</f>
        <v>2019-12-30 11:27:34</v>
      </c>
      <c r="M16426" s="1" t="s">
        <v>45</v>
      </c>
      <c r="N16426" s="1" t="s">
        <v>38</v>
      </c>
      <c r="O16426" s="1" t="s">
        <v>46</v>
      </c>
    </row>
    <row r="16427" spans="2:15" x14ac:dyDescent="0.3">
      <c r="B16427" s="1" t="s">
        <v>19</v>
      </c>
      <c r="C16427" s="1" t="str">
        <f>"5-2차"</f>
        <v>5-2차</v>
      </c>
      <c r="D16427" s="1" t="str">
        <f>"0130Z2415M"</f>
        <v>0130Z2415M</v>
      </c>
      <c r="E16427" s="1" t="s">
        <v>10</v>
      </c>
      <c r="F16427" s="1" t="str">
        <f>"fde3:102:1410:4600:0:0:0:4"</f>
        <v>fde3:102:1410:4600:0:0:0:4</v>
      </c>
      <c r="G16427" s="1" t="str">
        <f>"0130Z241"</f>
        <v>0130Z241</v>
      </c>
      <c r="H16427" s="1" t="str">
        <f>"번동간 44"</f>
        <v>번동간 44</v>
      </c>
      <c r="I16427" s="1" t="s">
        <v>15</v>
      </c>
      <c r="J16427" s="1" t="str">
        <f>"44/47"</f>
        <v>44/47</v>
      </c>
      <c r="K16427" s="1" t="str">
        <f>"2026-07-29 14:20:27"</f>
        <v>2026-07-29 14:20:27</v>
      </c>
      <c r="L16427" s="1" t="str">
        <f>"2023-08-07 12:09:22"</f>
        <v>2023-08-07 12:09:22</v>
      </c>
      <c r="M16427" s="1" t="s">
        <v>45</v>
      </c>
      <c r="N16427" s="1" t="s">
        <v>38</v>
      </c>
      <c r="O16427" s="1" t="s">
        <v>46</v>
      </c>
    </row>
    <row r="16428" spans="2:15" x14ac:dyDescent="0.3">
      <c r="B16428" s="1" t="s">
        <v>19</v>
      </c>
      <c r="C16428" s="1" t="str">
        <f>"1차"</f>
        <v>1차</v>
      </c>
      <c r="D16428" s="1" t="str">
        <f>"0130Z27100"</f>
        <v>0130Z27100</v>
      </c>
      <c r="E16428" s="1" t="str">
        <f>"검침실패(3시간 이상)"</f>
        <v>검침실패(3시간 이상)</v>
      </c>
      <c r="F16428" s="1" t="str">
        <f>"10.107.251.156"</f>
        <v>10.107.251.156</v>
      </c>
      <c r="G16428" s="1" t="str">
        <f>"0130Z271"</f>
        <v>0130Z271</v>
      </c>
      <c r="H16428" s="1" t="str">
        <f>"번동간 17R11"</f>
        <v>번동간 17R11</v>
      </c>
      <c r="I16428" s="1" t="s">
        <v>8</v>
      </c>
      <c r="J16428" s="1" t="str">
        <f>"0/70"</f>
        <v>0/70</v>
      </c>
      <c r="K16428" s="1" t="str">
        <f t="shared" ref="K16428:K16435" si="819">"2026-07-29 13:18:01"</f>
        <v>2026-07-29 13:18:01</v>
      </c>
      <c r="L16428" s="1" t="str">
        <f>"2014-10-30 16:43:08"</f>
        <v>2014-10-30 16:43:08</v>
      </c>
      <c r="M16428" s="1" t="s">
        <v>45</v>
      </c>
      <c r="N16428" s="1" t="s">
        <v>38</v>
      </c>
      <c r="O16428" s="1" t="s">
        <v>46</v>
      </c>
    </row>
    <row r="16429" spans="2:15" x14ac:dyDescent="0.3">
      <c r="B16429" s="1" t="s">
        <v>19</v>
      </c>
      <c r="C16429" s="1" t="str">
        <f>"4차"</f>
        <v>4차</v>
      </c>
      <c r="D16429" s="1" t="str">
        <f>"0130Z28139"</f>
        <v>0130Z28139</v>
      </c>
      <c r="E16429" s="1" t="s">
        <v>10</v>
      </c>
      <c r="F16429" s="1" t="str">
        <f>"10.107.119.44"</f>
        <v>10.107.119.44</v>
      </c>
      <c r="G16429" s="1" t="str">
        <f>"0130Z281"</f>
        <v>0130Z281</v>
      </c>
      <c r="H16429" s="1" t="str">
        <f>"번동간 28"</f>
        <v>번동간 28</v>
      </c>
      <c r="I16429" s="1" t="s">
        <v>8</v>
      </c>
      <c r="J16429" s="1" t="str">
        <f>"30/31"</f>
        <v>30/31</v>
      </c>
      <c r="K16429" s="1" t="str">
        <f t="shared" si="819"/>
        <v>2026-07-29 13:18:01</v>
      </c>
      <c r="L16429" s="1" t="str">
        <f>"2018-04-09 11:57:55"</f>
        <v>2018-04-09 11:57:55</v>
      </c>
      <c r="M16429" s="1" t="s">
        <v>45</v>
      </c>
      <c r="N16429" s="1" t="s">
        <v>38</v>
      </c>
      <c r="O16429" s="1" t="s">
        <v>46</v>
      </c>
    </row>
    <row r="16430" spans="2:15" x14ac:dyDescent="0.3">
      <c r="B16430" s="1" t="s">
        <v>19</v>
      </c>
      <c r="C16430" s="1" t="str">
        <f>"3차"</f>
        <v>3차</v>
      </c>
      <c r="D16430" s="1" t="str">
        <f>"0130Z29139"</f>
        <v>0130Z29139</v>
      </c>
      <c r="E16430" s="1" t="s">
        <v>10</v>
      </c>
      <c r="F16430" s="1" t="str">
        <f>"10.107.253.202"</f>
        <v>10.107.253.202</v>
      </c>
      <c r="G16430" s="1" t="str">
        <f>"0130Z291"</f>
        <v>0130Z291</v>
      </c>
      <c r="H16430" s="1" t="str">
        <f>"장수간 50L5"</f>
        <v>장수간 50L5</v>
      </c>
      <c r="I16430" s="1" t="s">
        <v>8</v>
      </c>
      <c r="J16430" s="1" t="str">
        <f>"12/12"</f>
        <v>12/12</v>
      </c>
      <c r="K16430" s="1" t="str">
        <f t="shared" si="819"/>
        <v>2026-07-29 13:18:01</v>
      </c>
      <c r="L16430" s="1" t="str">
        <f>"2018-03-27 17:19:48"</f>
        <v>2018-03-27 17:19:48</v>
      </c>
      <c r="M16430" s="1" t="s">
        <v>45</v>
      </c>
      <c r="N16430" s="1" t="s">
        <v>38</v>
      </c>
      <c r="O16430" s="1" t="s">
        <v>46</v>
      </c>
    </row>
    <row r="16431" spans="2:15" x14ac:dyDescent="0.3">
      <c r="B16431" s="1" t="s">
        <v>19</v>
      </c>
      <c r="C16431" s="1" t="str">
        <f>"4차"</f>
        <v>4차</v>
      </c>
      <c r="D16431" s="1" t="str">
        <f>"0130Z29330"</f>
        <v>0130Z29330</v>
      </c>
      <c r="E16431" s="1" t="s">
        <v>10</v>
      </c>
      <c r="F16431" s="1" t="str">
        <f>"10.107.253.208"</f>
        <v>10.107.253.208</v>
      </c>
      <c r="G16431" s="1" t="str">
        <f>"0130Z293"</f>
        <v>0130Z293</v>
      </c>
      <c r="H16431" s="1" t="str">
        <f>"장수간 50L4"</f>
        <v>장수간 50L4</v>
      </c>
      <c r="I16431" s="1" t="s">
        <v>8</v>
      </c>
      <c r="J16431" s="1" t="str">
        <f>"53/53"</f>
        <v>53/53</v>
      </c>
      <c r="K16431" s="1" t="str">
        <f t="shared" si="819"/>
        <v>2026-07-29 13:18:01</v>
      </c>
      <c r="L16431" s="1" t="str">
        <f>"2018-06-20 14:40:11"</f>
        <v>2018-06-20 14:40:11</v>
      </c>
      <c r="M16431" s="1" t="s">
        <v>45</v>
      </c>
      <c r="N16431" s="1" t="s">
        <v>38</v>
      </c>
      <c r="O16431" s="1" t="s">
        <v>46</v>
      </c>
    </row>
    <row r="16432" spans="2:15" x14ac:dyDescent="0.3">
      <c r="B16432" s="1" t="s">
        <v>19</v>
      </c>
      <c r="C16432" s="1" t="str">
        <f>"4차"</f>
        <v>4차</v>
      </c>
      <c r="D16432" s="1" t="str">
        <f>"0130Z30344"</f>
        <v>0130Z30344</v>
      </c>
      <c r="E16432" s="1" t="s">
        <v>10</v>
      </c>
      <c r="F16432" s="1" t="str">
        <f>"10.107.137.16"</f>
        <v>10.107.137.16</v>
      </c>
      <c r="G16432" s="1" t="str">
        <f>"0130Z303"</f>
        <v>0130Z303</v>
      </c>
      <c r="H16432" s="1" t="str">
        <f>"번동간 87R2"</f>
        <v>번동간 87R2</v>
      </c>
      <c r="I16432" s="1" t="s">
        <v>8</v>
      </c>
      <c r="J16432" s="1" t="str">
        <f>"56/56"</f>
        <v>56/56</v>
      </c>
      <c r="K16432" s="1" t="str">
        <f t="shared" si="819"/>
        <v>2026-07-29 13:18:01</v>
      </c>
      <c r="L16432" s="1" t="str">
        <f>"2019-10-23 10:33:05"</f>
        <v>2019-10-23 10:33:05</v>
      </c>
      <c r="M16432" s="1" t="s">
        <v>45</v>
      </c>
      <c r="N16432" s="1" t="s">
        <v>38</v>
      </c>
      <c r="O16432" s="1" t="s">
        <v>46</v>
      </c>
    </row>
    <row r="16433" spans="2:15" x14ac:dyDescent="0.3">
      <c r="B16433" s="1" t="s">
        <v>19</v>
      </c>
      <c r="C16433" s="1" t="str">
        <f>"4차"</f>
        <v>4차</v>
      </c>
      <c r="D16433" s="1" t="str">
        <f>"0130Z31244"</f>
        <v>0130Z31244</v>
      </c>
      <c r="E16433" s="1" t="s">
        <v>10</v>
      </c>
      <c r="F16433" s="1" t="str">
        <f>"10.107.252.36"</f>
        <v>10.107.252.36</v>
      </c>
      <c r="G16433" s="1" t="str">
        <f>"0130Z312"</f>
        <v>0130Z312</v>
      </c>
      <c r="H16433" s="1" t="str">
        <f>"번동간 86L3"</f>
        <v>번동간 86L3</v>
      </c>
      <c r="I16433" s="1" t="s">
        <v>8</v>
      </c>
      <c r="J16433" s="1" t="str">
        <f>"12/13"</f>
        <v>12/13</v>
      </c>
      <c r="K16433" s="1" t="str">
        <f t="shared" si="819"/>
        <v>2026-07-29 13:18:01</v>
      </c>
      <c r="L16433" s="1" t="str">
        <f>"2019-11-05 13:47:13"</f>
        <v>2019-11-05 13:47:13</v>
      </c>
      <c r="M16433" s="1" t="s">
        <v>45</v>
      </c>
      <c r="N16433" s="1" t="s">
        <v>38</v>
      </c>
      <c r="O16433" s="1" t="s">
        <v>46</v>
      </c>
    </row>
    <row r="16434" spans="2:15" x14ac:dyDescent="0.3">
      <c r="B16434" s="1" t="s">
        <v>19</v>
      </c>
      <c r="C16434" s="1" t="str">
        <f>"4차"</f>
        <v>4차</v>
      </c>
      <c r="D16434" s="1" t="str">
        <f>"0130Z32144"</f>
        <v>0130Z32144</v>
      </c>
      <c r="E16434" s="1" t="s">
        <v>10</v>
      </c>
      <c r="F16434" s="1" t="str">
        <f>"10.107.252.35"</f>
        <v>10.107.252.35</v>
      </c>
      <c r="G16434" s="1" t="str">
        <f>"0130Z321"</f>
        <v>0130Z321</v>
      </c>
      <c r="H16434" s="1" t="str">
        <f>"번동간 84R2"</f>
        <v>번동간 84R2</v>
      </c>
      <c r="I16434" s="1" t="s">
        <v>8</v>
      </c>
      <c r="J16434" s="1" t="str">
        <f>"80/80"</f>
        <v>80/80</v>
      </c>
      <c r="K16434" s="1" t="str">
        <f t="shared" si="819"/>
        <v>2026-07-29 13:18:01</v>
      </c>
      <c r="L16434" s="1" t="str">
        <f>"2019-11-05 13:34:43"</f>
        <v>2019-11-05 13:34:43</v>
      </c>
      <c r="M16434" s="1" t="s">
        <v>45</v>
      </c>
      <c r="N16434" s="1" t="s">
        <v>38</v>
      </c>
      <c r="O16434" s="1" t="s">
        <v>46</v>
      </c>
    </row>
    <row r="16435" spans="2:15" x14ac:dyDescent="0.3">
      <c r="B16435" s="1" t="s">
        <v>19</v>
      </c>
      <c r="C16435" s="1" t="str">
        <f>"1차"</f>
        <v>1차</v>
      </c>
      <c r="D16435" s="1" t="str">
        <f>"0130Z38100"</f>
        <v>0130Z38100</v>
      </c>
      <c r="E16435" s="1" t="s">
        <v>10</v>
      </c>
      <c r="F16435" s="1" t="str">
        <f>"10.107.127.58"</f>
        <v>10.107.127.58</v>
      </c>
      <c r="G16435" s="1" t="str">
        <f>"0130Z381"</f>
        <v>0130Z381</v>
      </c>
      <c r="H16435" s="1" t="str">
        <f>"장수간 50L2"</f>
        <v>장수간 50L2</v>
      </c>
      <c r="I16435" s="1" t="s">
        <v>8</v>
      </c>
      <c r="J16435" s="1" t="str">
        <f>"49/49"</f>
        <v>49/49</v>
      </c>
      <c r="K16435" s="1" t="str">
        <f t="shared" si="819"/>
        <v>2026-07-29 13:18:01</v>
      </c>
      <c r="L16435" s="1" t="str">
        <f>"2014-12-10 17:12:43"</f>
        <v>2014-12-10 17:12:43</v>
      </c>
      <c r="M16435" s="1" t="s">
        <v>45</v>
      </c>
      <c r="N16435" s="1" t="s">
        <v>38</v>
      </c>
      <c r="O16435" s="1" t="s">
        <v>46</v>
      </c>
    </row>
    <row r="16436" spans="2:15" x14ac:dyDescent="0.3">
      <c r="B16436" s="1" t="s">
        <v>19</v>
      </c>
      <c r="C16436" s="1" t="str">
        <f>"4차"</f>
        <v>4차</v>
      </c>
      <c r="D16436" s="1" t="str">
        <f>"0130Z39131"</f>
        <v>0130Z39131</v>
      </c>
      <c r="E16436" s="1" t="s">
        <v>10</v>
      </c>
      <c r="F16436" s="1" t="str">
        <f>"10.107.253.209"</f>
        <v>10.107.253.209</v>
      </c>
      <c r="G16436" s="1" t="str">
        <f>"0130Z391"</f>
        <v>0130Z391</v>
      </c>
      <c r="H16436" s="1" t="str">
        <f>"장수간 50L3"</f>
        <v>장수간 50L3</v>
      </c>
      <c r="I16436" s="1" t="s">
        <v>8</v>
      </c>
      <c r="J16436" s="1" t="str">
        <f>"55/57"</f>
        <v>55/57</v>
      </c>
      <c r="K16436" s="1" t="str">
        <f>"2026-07-29 13:18:03"</f>
        <v>2026-07-29 13:18:03</v>
      </c>
      <c r="L16436" s="1" t="str">
        <f>"2018-06-16 16:42:30"</f>
        <v>2018-06-16 16:42:30</v>
      </c>
      <c r="M16436" s="1" t="s">
        <v>45</v>
      </c>
      <c r="N16436" s="1" t="s">
        <v>38</v>
      </c>
      <c r="O16436" s="1" t="s">
        <v>46</v>
      </c>
    </row>
    <row r="16437" spans="2:15" x14ac:dyDescent="0.3">
      <c r="B16437" s="1" t="s">
        <v>19</v>
      </c>
      <c r="C16437" s="1" t="str">
        <f>"4차"</f>
        <v>4차</v>
      </c>
      <c r="D16437" s="1" t="str">
        <f>"0130Z40544"</f>
        <v>0130Z40544</v>
      </c>
      <c r="E16437" s="1" t="s">
        <v>10</v>
      </c>
      <c r="F16437" s="1" t="str">
        <f>"10.107.137.15"</f>
        <v>10.107.137.15</v>
      </c>
      <c r="G16437" s="1" t="str">
        <f>"0130Z405"</f>
        <v>0130Z405</v>
      </c>
      <c r="H16437" s="1" t="str">
        <f>"번동간 87"</f>
        <v>번동간 87</v>
      </c>
      <c r="I16437" s="1" t="s">
        <v>8</v>
      </c>
      <c r="J16437" s="1" t="str">
        <f>"55/55"</f>
        <v>55/55</v>
      </c>
      <c r="K16437" s="1" t="str">
        <f>"2026-07-29 13:18:03"</f>
        <v>2026-07-29 13:18:03</v>
      </c>
      <c r="L16437" s="1" t="str">
        <f>"2019-10-21 13:13:05"</f>
        <v>2019-10-21 13:13:05</v>
      </c>
      <c r="M16437" s="1" t="s">
        <v>45</v>
      </c>
      <c r="N16437" s="1" t="s">
        <v>38</v>
      </c>
      <c r="O16437" s="1" t="s">
        <v>46</v>
      </c>
    </row>
    <row r="16438" spans="2:15" x14ac:dyDescent="0.3">
      <c r="B16438" s="1" t="s">
        <v>19</v>
      </c>
      <c r="C16438" s="1" t="str">
        <f>"1차"</f>
        <v>1차</v>
      </c>
      <c r="D16438" s="1" t="str">
        <f>"0130Z41100"</f>
        <v>0130Z41100</v>
      </c>
      <c r="E16438" s="1" t="s">
        <v>10</v>
      </c>
      <c r="F16438" s="1" t="str">
        <f>"10.107.1.140"</f>
        <v>10.107.1.140</v>
      </c>
      <c r="G16438" s="1" t="str">
        <f>"0130Z411"</f>
        <v>0130Z411</v>
      </c>
      <c r="H16438" s="1" t="str">
        <f>"번동간 85"</f>
        <v>번동간 85</v>
      </c>
      <c r="I16438" s="1" t="s">
        <v>8</v>
      </c>
      <c r="J16438" s="1" t="str">
        <f>"21/21"</f>
        <v>21/21</v>
      </c>
      <c r="K16438" s="1" t="str">
        <f>"2026-07-29 13:18:03"</f>
        <v>2026-07-29 13:18:03</v>
      </c>
      <c r="L16438" s="1" t="str">
        <f>"2014-11-04 00:13:06"</f>
        <v>2014-11-04 00:13:06</v>
      </c>
      <c r="M16438" s="1" t="s">
        <v>45</v>
      </c>
      <c r="N16438" s="1" t="s">
        <v>38</v>
      </c>
      <c r="O16438" s="1" t="s">
        <v>46</v>
      </c>
    </row>
    <row r="16439" spans="2:15" x14ac:dyDescent="0.3">
      <c r="B16439" s="1" t="s">
        <v>19</v>
      </c>
      <c r="C16439" s="1" t="str">
        <f>"4차"</f>
        <v>4차</v>
      </c>
      <c r="D16439" s="1" t="str">
        <f>"0130Z41544"</f>
        <v>0130Z41544</v>
      </c>
      <c r="E16439" s="1" t="s">
        <v>10</v>
      </c>
      <c r="F16439" s="1" t="str">
        <f>"10.107.137.14"</f>
        <v>10.107.137.14</v>
      </c>
      <c r="G16439" s="1" t="str">
        <f>"0130Z415"</f>
        <v>0130Z415</v>
      </c>
      <c r="H16439" s="1" t="str">
        <f>"번동간 86"</f>
        <v>번동간 86</v>
      </c>
      <c r="I16439" s="1" t="s">
        <v>8</v>
      </c>
      <c r="J16439" s="1" t="str">
        <f>"12/12"</f>
        <v>12/12</v>
      </c>
      <c r="K16439" s="1" t="str">
        <f>"2026-07-29 13:18:01"</f>
        <v>2026-07-29 13:18:01</v>
      </c>
      <c r="L16439" s="1" t="str">
        <f>"2019-10-21 12:00:06"</f>
        <v>2019-10-21 12:00:06</v>
      </c>
      <c r="M16439" s="1" t="s">
        <v>45</v>
      </c>
      <c r="N16439" s="1" t="s">
        <v>38</v>
      </c>
      <c r="O16439" s="1" t="s">
        <v>46</v>
      </c>
    </row>
    <row r="16440" spans="2:15" x14ac:dyDescent="0.3">
      <c r="B16440" s="1" t="s">
        <v>19</v>
      </c>
      <c r="C16440" s="1" t="str">
        <f>"1차"</f>
        <v>1차</v>
      </c>
      <c r="D16440" s="1" t="str">
        <f>"0130Z42101"</f>
        <v>0130Z42101</v>
      </c>
      <c r="E16440" s="1" t="str">
        <f>"검침실패(3시간 이상)"</f>
        <v>검침실패(3시간 이상)</v>
      </c>
      <c r="F16440" s="1" t="str">
        <f>"10.12.130.18"</f>
        <v>10.12.130.18</v>
      </c>
      <c r="G16440" s="1" t="str">
        <f>"0130Z421"</f>
        <v>0130Z421</v>
      </c>
      <c r="H16440" s="1" t="str">
        <f>"번동간 84"</f>
        <v>번동간 84</v>
      </c>
      <c r="I16440" s="1" t="s">
        <v>8</v>
      </c>
      <c r="J16440" s="1" t="str">
        <f>"0/28"</f>
        <v>0/28</v>
      </c>
      <c r="K16440" s="1" t="str">
        <f>"2026-07-29 13:18:03"</f>
        <v>2026-07-29 13:18:03</v>
      </c>
      <c r="L16440" s="1" t="str">
        <f>"2014-11-04 11:12:07"</f>
        <v>2014-11-04 11:12:07</v>
      </c>
      <c r="M16440" s="1" t="s">
        <v>0</v>
      </c>
      <c r="N16440" s="1" t="s">
        <v>38</v>
      </c>
      <c r="O16440" s="1" t="s">
        <v>46</v>
      </c>
    </row>
    <row r="16441" spans="2:15" x14ac:dyDescent="0.3">
      <c r="B16441" s="1" t="s">
        <v>19</v>
      </c>
      <c r="C16441" s="1" t="str">
        <f>"4차"</f>
        <v>4차</v>
      </c>
      <c r="D16441" s="1" t="str">
        <f>"0130Z42244"</f>
        <v>0130Z42244</v>
      </c>
      <c r="E16441" s="1" t="s">
        <v>10</v>
      </c>
      <c r="F16441" s="1" t="str">
        <f>"10.107.252.34"</f>
        <v>10.107.252.34</v>
      </c>
      <c r="G16441" s="1" t="str">
        <f>"0130Z422"</f>
        <v>0130Z422</v>
      </c>
      <c r="H16441" s="1" t="str">
        <f>"번동간 84R1"</f>
        <v>번동간 84R1</v>
      </c>
      <c r="I16441" s="1" t="s">
        <v>8</v>
      </c>
      <c r="J16441" s="1" t="str">
        <f>"23/32"</f>
        <v>23/32</v>
      </c>
      <c r="K16441" s="1" t="str">
        <f>"2026-07-29 13:18:01"</f>
        <v>2026-07-29 13:18:01</v>
      </c>
      <c r="L16441" s="1" t="str">
        <f>"2019-11-05 13:33:05"</f>
        <v>2019-11-05 13:33:05</v>
      </c>
      <c r="M16441" s="1" t="s">
        <v>45</v>
      </c>
      <c r="N16441" s="1" t="s">
        <v>38</v>
      </c>
      <c r="O16441" s="1" t="s">
        <v>46</v>
      </c>
    </row>
    <row r="16442" spans="2:15" x14ac:dyDescent="0.3">
      <c r="B16442" s="1" t="s">
        <v>19</v>
      </c>
      <c r="C16442" s="1" t="str">
        <f>"1차"</f>
        <v>1차</v>
      </c>
      <c r="D16442" s="1" t="str">
        <f>"0130Z47501"</f>
        <v>0130Z47501</v>
      </c>
      <c r="E16442" s="1" t="s">
        <v>10</v>
      </c>
      <c r="F16442" s="1" t="str">
        <f>"10.12.138.53"</f>
        <v>10.12.138.53</v>
      </c>
      <c r="G16442" s="1" t="str">
        <f>"0130Z475"</f>
        <v>0130Z475</v>
      </c>
      <c r="H16442" s="1" t="str">
        <f>"번동간 31"</f>
        <v>번동간 31</v>
      </c>
      <c r="I16442" s="1" t="s">
        <v>8</v>
      </c>
      <c r="J16442" s="1" t="str">
        <f>"46/48"</f>
        <v>46/48</v>
      </c>
      <c r="K16442" s="1" t="str">
        <f>"2026-07-29 13:18:01"</f>
        <v>2026-07-29 13:18:01</v>
      </c>
      <c r="L16442" s="1" t="str">
        <f>"2017-10-10 17:43:58"</f>
        <v>2017-10-10 17:43:58</v>
      </c>
      <c r="M16442" s="1" t="s">
        <v>0</v>
      </c>
      <c r="N16442" s="1" t="s">
        <v>38</v>
      </c>
      <c r="O16442" s="1" t="s">
        <v>46</v>
      </c>
    </row>
    <row r="16443" spans="2:15" x14ac:dyDescent="0.3">
      <c r="B16443" s="1" t="s">
        <v>19</v>
      </c>
      <c r="C16443" s="1" t="str">
        <f>"6차"</f>
        <v>6차</v>
      </c>
      <c r="D16443" s="1" t="str">
        <f>"0130Z5116M"</f>
        <v>0130Z5116M</v>
      </c>
      <c r="E16443" s="1" t="s">
        <v>10</v>
      </c>
      <c r="F16443" s="1" t="str">
        <f>"fde1:103:4:c775:0:0:0:2"</f>
        <v>fde1:103:4:c775:0:0:0:2</v>
      </c>
      <c r="G16443" s="1" t="str">
        <f>"0130Z511"</f>
        <v>0130Z511</v>
      </c>
      <c r="H16443" s="1" t="str">
        <f>"번동간 86L1R1"</f>
        <v>번동간 86L1R1</v>
      </c>
      <c r="I16443" s="1" t="s">
        <v>15</v>
      </c>
      <c r="J16443" s="1" t="str">
        <f>"40/42"</f>
        <v>40/42</v>
      </c>
      <c r="K16443" s="1" t="str">
        <f>"2026-07-29 14:20:28"</f>
        <v>2026-07-29 14:20:28</v>
      </c>
      <c r="L16443" s="1" t="str">
        <f>"2024-12-02 13:48:28"</f>
        <v>2024-12-02 13:48:28</v>
      </c>
      <c r="M16443" s="1" t="s">
        <v>4</v>
      </c>
      <c r="N16443" s="1" t="s">
        <v>38</v>
      </c>
      <c r="O16443" s="1" t="s">
        <v>46</v>
      </c>
    </row>
    <row r="16444" spans="2:15" x14ac:dyDescent="0.3">
      <c r="B16444" s="1" t="s">
        <v>19</v>
      </c>
      <c r="C16444" s="1" t="str">
        <f>"1차"</f>
        <v>1차</v>
      </c>
      <c r="D16444" s="1" t="str">
        <f>"0130Z51201"</f>
        <v>0130Z51201</v>
      </c>
      <c r="E16444" s="1" t="s">
        <v>10</v>
      </c>
      <c r="F16444" s="1" t="str">
        <f>"10.12.136.241"</f>
        <v>10.12.136.241</v>
      </c>
      <c r="G16444" s="1" t="str">
        <f>"0130Z512"</f>
        <v>0130Z512</v>
      </c>
      <c r="H16444" s="1" t="str">
        <f>"번동간 85L2"</f>
        <v>번동간 85L2</v>
      </c>
      <c r="I16444" s="1" t="s">
        <v>8</v>
      </c>
      <c r="J16444" s="1" t="str">
        <f>"74/78"</f>
        <v>74/78</v>
      </c>
      <c r="K16444" s="1" t="str">
        <f>"2026-07-29 13:18:03"</f>
        <v>2026-07-29 13:18:03</v>
      </c>
      <c r="L16444" s="1" t="str">
        <f>"2014-11-06 00:13:59"</f>
        <v>2014-11-06 00:13:59</v>
      </c>
      <c r="M16444" s="1" t="s">
        <v>0</v>
      </c>
      <c r="N16444" s="1" t="s">
        <v>38</v>
      </c>
      <c r="O16444" s="1" t="s">
        <v>46</v>
      </c>
    </row>
    <row r="16445" spans="2:15" x14ac:dyDescent="0.3">
      <c r="B16445" s="1" t="s">
        <v>19</v>
      </c>
      <c r="C16445" s="1" t="str">
        <f>"3차"</f>
        <v>3차</v>
      </c>
      <c r="D16445" s="1" t="str">
        <f>"0130Z54239"</f>
        <v>0130Z54239</v>
      </c>
      <c r="E16445" s="1" t="s">
        <v>10</v>
      </c>
      <c r="F16445" s="1" t="str">
        <f>"10.107.2.153"</f>
        <v>10.107.2.153</v>
      </c>
      <c r="G16445" s="1" t="str">
        <f>"0130Z542"</f>
        <v>0130Z542</v>
      </c>
      <c r="H16445" s="1" t="str">
        <f>"번동간 82L1"</f>
        <v>번동간 82L1</v>
      </c>
      <c r="I16445" s="1" t="s">
        <v>8</v>
      </c>
      <c r="J16445" s="1" t="str">
        <f>"27/27"</f>
        <v>27/27</v>
      </c>
      <c r="K16445" s="1" t="str">
        <f>"2026-07-29 13:18:03"</f>
        <v>2026-07-29 13:18:03</v>
      </c>
      <c r="L16445" s="1" t="str">
        <f>"2018-03-12 15:38:54"</f>
        <v>2018-03-12 15:38:54</v>
      </c>
      <c r="M16445" s="1" t="s">
        <v>45</v>
      </c>
      <c r="N16445" s="1" t="s">
        <v>38</v>
      </c>
      <c r="O16445" s="1" t="s">
        <v>46</v>
      </c>
    </row>
    <row r="16446" spans="2:15" x14ac:dyDescent="0.3">
      <c r="B16446" s="1" t="s">
        <v>19</v>
      </c>
      <c r="C16446" s="1" t="str">
        <f>"1차"</f>
        <v>1차</v>
      </c>
      <c r="D16446" s="1" t="str">
        <f>"0130Z58400"</f>
        <v>0130Z58400</v>
      </c>
      <c r="E16446" s="1" t="s">
        <v>10</v>
      </c>
      <c r="F16446" s="1" t="str">
        <f>"10.107.127.66"</f>
        <v>10.107.127.66</v>
      </c>
      <c r="G16446" s="1" t="str">
        <f>"0130Z584"</f>
        <v>0130Z584</v>
      </c>
      <c r="H16446" s="1" t="str">
        <f>"장수간 52"</f>
        <v>장수간 52</v>
      </c>
      <c r="I16446" s="1" t="s">
        <v>8</v>
      </c>
      <c r="J16446" s="1" t="str">
        <f>"57/57"</f>
        <v>57/57</v>
      </c>
      <c r="K16446" s="1" t="str">
        <f>"2026-07-29 13:18:03"</f>
        <v>2026-07-29 13:18:03</v>
      </c>
      <c r="L16446" s="1" t="str">
        <f>"2014-12-10 16:57:31"</f>
        <v>2014-12-10 16:57:31</v>
      </c>
      <c r="M16446" s="1" t="s">
        <v>45</v>
      </c>
      <c r="N16446" s="1" t="s">
        <v>38</v>
      </c>
      <c r="O16446" s="1" t="s">
        <v>46</v>
      </c>
    </row>
    <row r="16447" spans="2:15" x14ac:dyDescent="0.3">
      <c r="B16447" s="1" t="s">
        <v>19</v>
      </c>
      <c r="C16447" s="1" t="str">
        <f>"1차"</f>
        <v>1차</v>
      </c>
      <c r="D16447" s="1" t="str">
        <f>"0130Z59101"</f>
        <v>0130Z59101</v>
      </c>
      <c r="E16447" s="1" t="s">
        <v>10</v>
      </c>
      <c r="F16447" s="1" t="str">
        <f>"10.12.133.7"</f>
        <v>10.12.133.7</v>
      </c>
      <c r="G16447" s="1" t="str">
        <f>"0130Z591"</f>
        <v>0130Z591</v>
      </c>
      <c r="H16447" s="1" t="str">
        <f>"장수간 54L2"</f>
        <v>장수간 54L2</v>
      </c>
      <c r="I16447" s="1" t="s">
        <v>8</v>
      </c>
      <c r="J16447" s="1" t="str">
        <f>"31/34"</f>
        <v>31/34</v>
      </c>
      <c r="K16447" s="1" t="str">
        <f>"2026-07-29 13:18:02"</f>
        <v>2026-07-29 13:18:02</v>
      </c>
      <c r="L16447" s="1" t="str">
        <f>"2015-01-08 12:12:19"</f>
        <v>2015-01-08 12:12:19</v>
      </c>
      <c r="M16447" s="1" t="s">
        <v>0</v>
      </c>
      <c r="N16447" s="1" t="s">
        <v>38</v>
      </c>
      <c r="O16447" s="1" t="s">
        <v>46</v>
      </c>
    </row>
    <row r="16448" spans="2:15" x14ac:dyDescent="0.3">
      <c r="B16448" s="1" t="s">
        <v>19</v>
      </c>
      <c r="C16448" s="1" t="str">
        <f>"1차"</f>
        <v>1차</v>
      </c>
      <c r="D16448" s="1" t="str">
        <f>"0130Z62101"</f>
        <v>0130Z62101</v>
      </c>
      <c r="E16448" s="1" t="s">
        <v>10</v>
      </c>
      <c r="F16448" s="1" t="str">
        <f>"10.12.130.15"</f>
        <v>10.12.130.15</v>
      </c>
      <c r="G16448" s="1" t="str">
        <f>"0130Z621"</f>
        <v>0130Z621</v>
      </c>
      <c r="H16448" s="1" t="str">
        <f>"번동간 84L2"</f>
        <v>번동간 84L2</v>
      </c>
      <c r="I16448" s="1" t="s">
        <v>8</v>
      </c>
      <c r="J16448" s="1" t="str">
        <f>"12/12"</f>
        <v>12/12</v>
      </c>
      <c r="K16448" s="1" t="str">
        <f>"2026-07-29 13:18:02"</f>
        <v>2026-07-29 13:18:02</v>
      </c>
      <c r="L16448" s="1" t="str">
        <f>"2014-11-04 11:27:32"</f>
        <v>2014-11-04 11:27:32</v>
      </c>
      <c r="M16448" s="1" t="s">
        <v>0</v>
      </c>
      <c r="N16448" s="1" t="s">
        <v>38</v>
      </c>
      <c r="O16448" s="1" t="s">
        <v>46</v>
      </c>
    </row>
    <row r="16449" spans="2:15" x14ac:dyDescent="0.3">
      <c r="B16449" s="1" t="s">
        <v>19</v>
      </c>
      <c r="C16449" s="1" t="str">
        <f>"4차"</f>
        <v>4차</v>
      </c>
      <c r="D16449" s="1" t="str">
        <f>"0130Z64139"</f>
        <v>0130Z64139</v>
      </c>
      <c r="E16449" s="1" t="s">
        <v>10</v>
      </c>
      <c r="F16449" s="1" t="str">
        <f>"10.107.2.154"</f>
        <v>10.107.2.154</v>
      </c>
      <c r="G16449" s="1" t="str">
        <f>"0130Z641"</f>
        <v>0130Z641</v>
      </c>
      <c r="H16449" s="1" t="str">
        <f>"번동간 82L2"</f>
        <v>번동간 82L2</v>
      </c>
      <c r="I16449" s="1" t="s">
        <v>8</v>
      </c>
      <c r="J16449" s="1" t="str">
        <f>"57/58"</f>
        <v>57/58</v>
      </c>
      <c r="K16449" s="1" t="str">
        <f>"2026-07-29 13:18:02"</f>
        <v>2026-07-29 13:18:02</v>
      </c>
      <c r="L16449" s="1" t="str">
        <f>"2018-06-22 13:08:58"</f>
        <v>2018-06-22 13:08:58</v>
      </c>
      <c r="M16449" s="1" t="s">
        <v>45</v>
      </c>
      <c r="N16449" s="1" t="s">
        <v>38</v>
      </c>
      <c r="O16449" s="1" t="s">
        <v>46</v>
      </c>
    </row>
    <row r="16450" spans="2:15" x14ac:dyDescent="0.3">
      <c r="B16450" s="1" t="s">
        <v>19</v>
      </c>
      <c r="C16450" s="1" t="str">
        <f>"5-2차"</f>
        <v>5-2차</v>
      </c>
      <c r="D16450" s="1" t="str">
        <f>"0130Z6915M"</f>
        <v>0130Z6915M</v>
      </c>
      <c r="E16450" s="1" t="s">
        <v>10</v>
      </c>
      <c r="F16450" s="1" t="str">
        <f>"fde3:102:1410:4200:0:0:0:2"</f>
        <v>fde3:102:1410:4200:0:0:0:2</v>
      </c>
      <c r="G16450" s="1" t="str">
        <f>"0130Z691"</f>
        <v>0130Z691</v>
      </c>
      <c r="H16450" s="1" t="str">
        <f>"장수간 56"</f>
        <v>장수간 56</v>
      </c>
      <c r="I16450" s="1" t="s">
        <v>15</v>
      </c>
      <c r="J16450" s="1" t="str">
        <f>"29/29"</f>
        <v>29/29</v>
      </c>
      <c r="K16450" s="1" t="str">
        <f>"2026-07-29 14:20:47"</f>
        <v>2026-07-29 14:20:47</v>
      </c>
      <c r="L16450" s="1" t="str">
        <f>"2023-08-09 10:33:56"</f>
        <v>2023-08-09 10:33:56</v>
      </c>
      <c r="M16450" s="1" t="s">
        <v>45</v>
      </c>
      <c r="N16450" s="1" t="s">
        <v>38</v>
      </c>
      <c r="O16450" s="1" t="s">
        <v>46</v>
      </c>
    </row>
    <row r="16451" spans="2:15" x14ac:dyDescent="0.3">
      <c r="B16451" s="1" t="s">
        <v>19</v>
      </c>
      <c r="C16451" s="1" t="str">
        <f>"3차"</f>
        <v>3차</v>
      </c>
      <c r="D16451" s="1" t="str">
        <f>"0130Z72139"</f>
        <v>0130Z72139</v>
      </c>
      <c r="E16451" s="1" t="s">
        <v>10</v>
      </c>
      <c r="F16451" s="1" t="str">
        <f>"10.107.2.155"</f>
        <v>10.107.2.155</v>
      </c>
      <c r="G16451" s="1" t="str">
        <f>"0130Z721"</f>
        <v>0130Z721</v>
      </c>
      <c r="H16451" s="1" t="str">
        <f>"번동간 84L4"</f>
        <v>번동간 84L4</v>
      </c>
      <c r="I16451" s="1" t="s">
        <v>8</v>
      </c>
      <c r="J16451" s="1" t="str">
        <f>"6/6"</f>
        <v>6/6</v>
      </c>
      <c r="K16451" s="1" t="str">
        <f>"2026-07-29 13:18:03"</f>
        <v>2026-07-29 13:18:03</v>
      </c>
      <c r="L16451" s="1" t="str">
        <f>"2018-07-12 17:59:55"</f>
        <v>2018-07-12 17:59:55</v>
      </c>
      <c r="M16451" s="1" t="s">
        <v>45</v>
      </c>
      <c r="N16451" s="1" t="s">
        <v>38</v>
      </c>
      <c r="O16451" s="1" t="s">
        <v>46</v>
      </c>
    </row>
    <row r="16452" spans="2:15" x14ac:dyDescent="0.3">
      <c r="B16452" s="1" t="s">
        <v>19</v>
      </c>
      <c r="C16452" s="1" t="str">
        <f>"3차"</f>
        <v>3차</v>
      </c>
      <c r="D16452" s="1" t="str">
        <f>"0130Z85239"</f>
        <v>0130Z85239</v>
      </c>
      <c r="E16452" s="1" t="s">
        <v>10</v>
      </c>
      <c r="F16452" s="1" t="str">
        <f>"10.107.253.200"</f>
        <v>10.107.253.200</v>
      </c>
      <c r="G16452" s="1" t="str">
        <f>"0130Z852"</f>
        <v>0130Z852</v>
      </c>
      <c r="H16452" s="1" t="str">
        <f>"장수간 44"</f>
        <v>장수간 44</v>
      </c>
      <c r="I16452" s="1" t="s">
        <v>8</v>
      </c>
      <c r="J16452" s="1" t="str">
        <f>"5/5"</f>
        <v>5/5</v>
      </c>
      <c r="K16452" s="1" t="str">
        <f>"2026-07-29 13:18:01"</f>
        <v>2026-07-29 13:18:01</v>
      </c>
      <c r="L16452" s="1" t="str">
        <f>"2018-04-09 12:14:41"</f>
        <v>2018-04-09 12:14:41</v>
      </c>
      <c r="M16452" s="1" t="s">
        <v>45</v>
      </c>
      <c r="N16452" s="1" t="s">
        <v>38</v>
      </c>
      <c r="O16452" s="1" t="s">
        <v>46</v>
      </c>
    </row>
    <row r="16453" spans="2:15" x14ac:dyDescent="0.3">
      <c r="B16453" s="1" t="s">
        <v>19</v>
      </c>
      <c r="C16453" s="1" t="str">
        <f>"4차"</f>
        <v>4차</v>
      </c>
      <c r="D16453" s="1" t="str">
        <f>"0130Z86344"</f>
        <v>0130Z86344</v>
      </c>
      <c r="E16453" s="1" t="s">
        <v>10</v>
      </c>
      <c r="F16453" s="1" t="str">
        <f>"10.107.253.219"</f>
        <v>10.107.253.219</v>
      </c>
      <c r="G16453" s="1" t="str">
        <f>"0130Z863"</f>
        <v>0130Z863</v>
      </c>
      <c r="H16453" s="1" t="str">
        <f>"장수간 45R3"</f>
        <v>장수간 45R3</v>
      </c>
      <c r="I16453" s="1" t="s">
        <v>8</v>
      </c>
      <c r="J16453" s="1" t="str">
        <f>"81/81"</f>
        <v>81/81</v>
      </c>
      <c r="K16453" s="1" t="str">
        <f>"2026-07-29 13:18:01"</f>
        <v>2026-07-29 13:18:01</v>
      </c>
      <c r="L16453" s="1" t="str">
        <f>"2019-12-13 09:19:18"</f>
        <v>2019-12-13 09:19:18</v>
      </c>
      <c r="M16453" s="1" t="s">
        <v>45</v>
      </c>
      <c r="N16453" s="1" t="s">
        <v>38</v>
      </c>
      <c r="O16453" s="1" t="s">
        <v>46</v>
      </c>
    </row>
    <row r="16454" spans="2:15" x14ac:dyDescent="0.3">
      <c r="B16454" s="1" t="s">
        <v>19</v>
      </c>
      <c r="C16454" s="1" t="str">
        <f>"4차"</f>
        <v>4차</v>
      </c>
      <c r="D16454" s="1" t="str">
        <f>"0130Z89144"</f>
        <v>0130Z89144</v>
      </c>
      <c r="E16454" s="1" t="s">
        <v>10</v>
      </c>
      <c r="F16454" s="1" t="str">
        <f>"10.107.253.221"</f>
        <v>10.107.253.221</v>
      </c>
      <c r="G16454" s="1" t="str">
        <f>"0130Z891"</f>
        <v>0130Z891</v>
      </c>
      <c r="H16454" s="1" t="str">
        <f>"장수간 58R2"</f>
        <v>장수간 58R2</v>
      </c>
      <c r="I16454" s="1" t="s">
        <v>8</v>
      </c>
      <c r="J16454" s="1" t="str">
        <f>"46/46"</f>
        <v>46/46</v>
      </c>
      <c r="K16454" s="1" t="str">
        <f>"2026-07-29 13:18:03"</f>
        <v>2026-07-29 13:18:03</v>
      </c>
      <c r="L16454" s="1" t="str">
        <f>"2019-12-13 12:09:18"</f>
        <v>2019-12-13 12:09:18</v>
      </c>
      <c r="M16454" s="1" t="s">
        <v>45</v>
      </c>
      <c r="N16454" s="1" t="s">
        <v>38</v>
      </c>
      <c r="O16454" s="1" t="s">
        <v>46</v>
      </c>
    </row>
    <row r="16455" spans="2:15" x14ac:dyDescent="0.3">
      <c r="B16455" s="1" t="s">
        <v>19</v>
      </c>
      <c r="C16455" s="1" t="str">
        <f>"4차"</f>
        <v>4차</v>
      </c>
      <c r="D16455" s="1" t="str">
        <f>"0130Z97344"</f>
        <v>0130Z97344</v>
      </c>
      <c r="E16455" s="1" t="s">
        <v>10</v>
      </c>
      <c r="F16455" s="1" t="str">
        <f>"10.107.253.220"</f>
        <v>10.107.253.220</v>
      </c>
      <c r="G16455" s="1" t="str">
        <f>"0130Z973"</f>
        <v>0130Z973</v>
      </c>
      <c r="H16455" s="1" t="str">
        <f>"장수간 45R4"</f>
        <v>장수간 45R4</v>
      </c>
      <c r="I16455" s="1" t="s">
        <v>8</v>
      </c>
      <c r="J16455" s="1" t="str">
        <f>"23/33"</f>
        <v>23/33</v>
      </c>
      <c r="K16455" s="1" t="str">
        <f>"2026-07-29 13:18:03"</f>
        <v>2026-07-29 13:18:03</v>
      </c>
      <c r="L16455" s="1" t="str">
        <f>"2019-12-13 12:09:20"</f>
        <v>2019-12-13 12:09:20</v>
      </c>
      <c r="M16455" s="1" t="s">
        <v>45</v>
      </c>
      <c r="N16455" s="1" t="s">
        <v>38</v>
      </c>
      <c r="O16455" s="1" t="s">
        <v>46</v>
      </c>
    </row>
    <row r="16456" spans="2:15" x14ac:dyDescent="0.3">
      <c r="B16456" s="1" t="s">
        <v>19</v>
      </c>
      <c r="C16456" s="1" t="str">
        <f>"4차"</f>
        <v>4차</v>
      </c>
      <c r="D16456" s="1" t="str">
        <f>"0130Z99344"</f>
        <v>0130Z99344</v>
      </c>
      <c r="E16456" s="1" t="s">
        <v>10</v>
      </c>
      <c r="F16456" s="1" t="str">
        <f>"10.107.253.201"</f>
        <v>10.107.253.201</v>
      </c>
      <c r="G16456" s="1" t="str">
        <f>"0130Z993"</f>
        <v>0130Z993</v>
      </c>
      <c r="H16456" s="1" t="str">
        <f>"장수간 84"</f>
        <v>장수간 84</v>
      </c>
      <c r="I16456" s="1" t="s">
        <v>8</v>
      </c>
      <c r="J16456" s="1" t="str">
        <f>"33/33"</f>
        <v>33/33</v>
      </c>
      <c r="K16456" s="1" t="str">
        <f>"2026-07-29 13:18:02"</f>
        <v>2026-07-29 13:18:02</v>
      </c>
      <c r="L16456" s="1" t="str">
        <f>"2019-12-13 09:17:55"</f>
        <v>2019-12-13 09:17:55</v>
      </c>
      <c r="M16456" s="1" t="s">
        <v>45</v>
      </c>
      <c r="N16456" s="1" t="s">
        <v>38</v>
      </c>
      <c r="O16456" s="1" t="s">
        <v>46</v>
      </c>
    </row>
    <row r="16457" spans="2:15" x14ac:dyDescent="0.3">
      <c r="B16457" s="1" t="s">
        <v>19</v>
      </c>
      <c r="C16457" s="1" t="str">
        <f>"5-1차"</f>
        <v>5-1차</v>
      </c>
      <c r="D16457" s="1" t="str">
        <f>"0131C0015S"</f>
        <v>0131C0015S</v>
      </c>
      <c r="E16457" s="1" t="s">
        <v>10</v>
      </c>
      <c r="F16457" s="1" t="str">
        <f>"fde3:102:1410:4400:0:0:0:9"</f>
        <v>fde3:102:1410:4400:0:0:0:9</v>
      </c>
      <c r="G16457" s="1" t="str">
        <f>"0131C001"</f>
        <v>0131C001</v>
      </c>
      <c r="H16457" s="1" t="str">
        <f>"우이간 78L5L3"</f>
        <v>우이간 78L5L3</v>
      </c>
      <c r="I16457" s="1" t="s">
        <v>15</v>
      </c>
      <c r="J16457" s="1" t="str">
        <f>"37/37"</f>
        <v>37/37</v>
      </c>
      <c r="K16457" s="1" t="str">
        <f>"2026-07-29 14:20:48"</f>
        <v>2026-07-29 14:20:48</v>
      </c>
      <c r="L16457" s="1" t="str">
        <f>"2022-09-27 15:02:16"</f>
        <v>2022-09-27 15:02:16</v>
      </c>
      <c r="M16457" s="1" t="s">
        <v>45</v>
      </c>
      <c r="N16457" s="1" t="s">
        <v>38</v>
      </c>
      <c r="O16457" s="1" t="s">
        <v>46</v>
      </c>
    </row>
    <row r="16458" spans="2:15" x14ac:dyDescent="0.3">
      <c r="B16458" s="1" t="s">
        <v>19</v>
      </c>
      <c r="C16458" s="1" t="str">
        <f>"4차"</f>
        <v>4차</v>
      </c>
      <c r="D16458" s="1" t="str">
        <f>"0131C11141"</f>
        <v>0131C11141</v>
      </c>
      <c r="E16458" s="1" t="s">
        <v>10</v>
      </c>
      <c r="F16458" s="1" t="str">
        <f>"10.14.11.31"</f>
        <v>10.14.11.31</v>
      </c>
      <c r="G16458" s="1" t="str">
        <f>"0131C111"</f>
        <v>0131C111</v>
      </c>
      <c r="H16458" s="1" t="str">
        <f>"우이간 78L1"</f>
        <v>우이간 78L1</v>
      </c>
      <c r="I16458" s="1" t="s">
        <v>17</v>
      </c>
      <c r="J16458" s="1" t="str">
        <f>"8/15"</f>
        <v>8/15</v>
      </c>
      <c r="K16458" s="1" t="str">
        <f>"2026-07-29 13:18:03"</f>
        <v>2026-07-29 13:18:03</v>
      </c>
      <c r="L16458" s="1" t="str">
        <f>"2021-08-09 08:20:38"</f>
        <v>2021-08-09 08:20:38</v>
      </c>
      <c r="M16458" s="1" t="s">
        <v>3</v>
      </c>
      <c r="N16458" s="1" t="s">
        <v>38</v>
      </c>
      <c r="O16458" s="1" t="s">
        <v>46</v>
      </c>
    </row>
    <row r="16459" spans="2:15" x14ac:dyDescent="0.3">
      <c r="B16459" s="1" t="s">
        <v>19</v>
      </c>
      <c r="C16459" s="1" t="str">
        <f>"4차"</f>
        <v>4차</v>
      </c>
      <c r="D16459" s="1" t="str">
        <f>"0131C11244"</f>
        <v>0131C11244</v>
      </c>
      <c r="E16459" s="1" t="s">
        <v>10</v>
      </c>
      <c r="F16459" s="1" t="str">
        <f>"10.107.124.218"</f>
        <v>10.107.124.218</v>
      </c>
      <c r="G16459" s="1" t="str">
        <f>"0131C112"</f>
        <v>0131C112</v>
      </c>
      <c r="H16459" s="1" t="str">
        <f>"우이간 78L2"</f>
        <v>우이간 78L2</v>
      </c>
      <c r="I16459" s="1" t="s">
        <v>8</v>
      </c>
      <c r="J16459" s="1" t="str">
        <f>"55/56"</f>
        <v>55/56</v>
      </c>
      <c r="K16459" s="1" t="str">
        <f>"2026-07-29 13:18:03"</f>
        <v>2026-07-29 13:18:03</v>
      </c>
      <c r="L16459" s="1" t="str">
        <f>"2019-11-21 21:26:22"</f>
        <v>2019-11-21 21:26:22</v>
      </c>
      <c r="M16459" s="1" t="s">
        <v>45</v>
      </c>
      <c r="N16459" s="1" t="s">
        <v>38</v>
      </c>
      <c r="O16459" s="1" t="s">
        <v>46</v>
      </c>
    </row>
    <row r="16460" spans="2:15" x14ac:dyDescent="0.3">
      <c r="B16460" s="1" t="s">
        <v>19</v>
      </c>
      <c r="C16460" s="1" t="str">
        <f>"3차"</f>
        <v>3차</v>
      </c>
      <c r="D16460" s="1" t="str">
        <f>"0131C20239"</f>
        <v>0131C20239</v>
      </c>
      <c r="E16460" s="1" t="s">
        <v>10</v>
      </c>
      <c r="F16460" s="1" t="str">
        <f>"10.107.122.34"</f>
        <v>10.107.122.34</v>
      </c>
      <c r="G16460" s="1" t="str">
        <f>"0131C202"</f>
        <v>0131C202</v>
      </c>
      <c r="H16460" s="1" t="str">
        <f>"우이간 77"</f>
        <v>우이간 77</v>
      </c>
      <c r="I16460" s="1" t="s">
        <v>8</v>
      </c>
      <c r="J16460" s="1" t="str">
        <f>"25/25"</f>
        <v>25/25</v>
      </c>
      <c r="K16460" s="1" t="str">
        <f>"2026-07-29 13:18:03"</f>
        <v>2026-07-29 13:18:03</v>
      </c>
      <c r="L16460" s="1" t="str">
        <f>"2018-04-27 10:58:13"</f>
        <v>2018-04-27 10:58:13</v>
      </c>
      <c r="M16460" s="1" t="s">
        <v>45</v>
      </c>
      <c r="N16460" s="1" t="s">
        <v>38</v>
      </c>
      <c r="O16460" s="1" t="s">
        <v>46</v>
      </c>
    </row>
    <row r="16461" spans="2:15" x14ac:dyDescent="0.3">
      <c r="B16461" s="1" t="s">
        <v>19</v>
      </c>
      <c r="C16461" s="1" t="str">
        <f>"4차"</f>
        <v>4차</v>
      </c>
      <c r="D16461" s="1" t="str">
        <f>"0131C31141"</f>
        <v>0131C31141</v>
      </c>
      <c r="E16461" s="1" t="s">
        <v>10</v>
      </c>
      <c r="F16461" s="1" t="str">
        <f>"10.12.133.51"</f>
        <v>10.12.133.51</v>
      </c>
      <c r="G16461" s="1" t="str">
        <f>"0131C311"</f>
        <v>0131C311</v>
      </c>
      <c r="H16461" s="1" t="str">
        <f>"우이간 88R6R7L1"</f>
        <v>우이간 88R6R7L1</v>
      </c>
      <c r="I16461" s="1" t="s">
        <v>17</v>
      </c>
      <c r="J16461" s="1" t="str">
        <f>"40/41"</f>
        <v>40/41</v>
      </c>
      <c r="K16461" s="1" t="str">
        <f>"2026-07-29 13:18:02"</f>
        <v>2026-07-29 13:18:02</v>
      </c>
      <c r="L16461" s="1" t="str">
        <f>"2021-08-09 07:33:35"</f>
        <v>2021-08-09 07:33:35</v>
      </c>
      <c r="M16461" s="1" t="s">
        <v>0</v>
      </c>
      <c r="N16461" s="1" t="s">
        <v>38</v>
      </c>
      <c r="O16461" s="1" t="s">
        <v>46</v>
      </c>
    </row>
    <row r="16462" spans="2:15" x14ac:dyDescent="0.3">
      <c r="B16462" s="1" t="s">
        <v>19</v>
      </c>
      <c r="C16462" s="1" t="str">
        <f>"1차"</f>
        <v>1차</v>
      </c>
      <c r="D16462" s="1" t="str">
        <f>"0131P00100"</f>
        <v>0131P00100</v>
      </c>
      <c r="E16462" s="1" t="s">
        <v>10</v>
      </c>
      <c r="F16462" s="1" t="str">
        <f>"10.107.124.229"</f>
        <v>10.107.124.229</v>
      </c>
      <c r="G16462" s="1" t="str">
        <f>"0131P001"</f>
        <v>0131P001</v>
      </c>
      <c r="H16462" s="1" t="str">
        <f>"우이간 64L1"</f>
        <v>우이간 64L1</v>
      </c>
      <c r="I16462" s="1" t="s">
        <v>8</v>
      </c>
      <c r="J16462" s="1" t="str">
        <f>"44/44"</f>
        <v>44/44</v>
      </c>
      <c r="K16462" s="1" t="str">
        <f>"2026-07-29 13:18:02"</f>
        <v>2026-07-29 13:18:02</v>
      </c>
      <c r="L16462" s="1" t="str">
        <f>"2014-12-30 19:48:35"</f>
        <v>2014-12-30 19:48:35</v>
      </c>
      <c r="M16462" s="1" t="s">
        <v>45</v>
      </c>
      <c r="N16462" s="1" t="s">
        <v>38</v>
      </c>
      <c r="O16462" s="1" t="s">
        <v>46</v>
      </c>
    </row>
    <row r="16463" spans="2:15" x14ac:dyDescent="0.3">
      <c r="B16463" s="1" t="s">
        <v>19</v>
      </c>
      <c r="C16463" s="1" t="str">
        <f>"1차"</f>
        <v>1차</v>
      </c>
      <c r="D16463" s="1" t="str">
        <f>"0131P00301"</f>
        <v>0131P00301</v>
      </c>
      <c r="E16463" s="1" t="s">
        <v>10</v>
      </c>
      <c r="F16463" s="1" t="str">
        <f>"10.107.124.230"</f>
        <v>10.107.124.230</v>
      </c>
      <c r="G16463" s="1" t="str">
        <f>"0131P003"</f>
        <v>0131P003</v>
      </c>
      <c r="H16463" s="1" t="str">
        <f>"우이간 64L2"</f>
        <v>우이간 64L2</v>
      </c>
      <c r="I16463" s="1" t="s">
        <v>8</v>
      </c>
      <c r="J16463" s="1" t="str">
        <f>"1/1"</f>
        <v>1/1</v>
      </c>
      <c r="K16463" s="1" t="str">
        <f>"2026-07-29 13:18:02"</f>
        <v>2026-07-29 13:18:02</v>
      </c>
      <c r="L16463" s="1" t="str">
        <f>"2014-12-30 19:49:07"</f>
        <v>2014-12-30 19:49:07</v>
      </c>
      <c r="M16463" s="1" t="s">
        <v>45</v>
      </c>
      <c r="N16463" s="1" t="s">
        <v>38</v>
      </c>
      <c r="O16463" s="1" t="s">
        <v>46</v>
      </c>
    </row>
    <row r="16464" spans="2:15" x14ac:dyDescent="0.3">
      <c r="B16464" s="1" t="s">
        <v>19</v>
      </c>
      <c r="C16464" s="1" t="str">
        <f>"4차"</f>
        <v>4차</v>
      </c>
      <c r="D16464" s="1" t="str">
        <f>"0131P01144"</f>
        <v>0131P01144</v>
      </c>
      <c r="E16464" s="1" t="s">
        <v>10</v>
      </c>
      <c r="F16464" s="1" t="str">
        <f>"10.107.124.236"</f>
        <v>10.107.124.236</v>
      </c>
      <c r="G16464" s="1" t="str">
        <f>"0131P011"</f>
        <v>0131P011</v>
      </c>
      <c r="H16464" s="1" t="str">
        <f>"우이간 64L3"</f>
        <v>우이간 64L3</v>
      </c>
      <c r="I16464" s="1" t="s">
        <v>8</v>
      </c>
      <c r="J16464" s="1" t="str">
        <f>"72/72"</f>
        <v>72/72</v>
      </c>
      <c r="K16464" s="1" t="str">
        <f>"2026-07-29 13:18:02"</f>
        <v>2026-07-29 13:18:02</v>
      </c>
      <c r="L16464" s="1" t="str">
        <f>"2019-11-21 21:03:03"</f>
        <v>2019-11-21 21:03:03</v>
      </c>
      <c r="M16464" s="1" t="s">
        <v>45</v>
      </c>
      <c r="N16464" s="1" t="s">
        <v>38</v>
      </c>
      <c r="O16464" s="1" t="s">
        <v>46</v>
      </c>
    </row>
    <row r="16465" spans="2:15" x14ac:dyDescent="0.3">
      <c r="B16465" s="1" t="s">
        <v>19</v>
      </c>
      <c r="C16465" s="1" t="str">
        <f>"3차"</f>
        <v>3차</v>
      </c>
      <c r="D16465" s="1" t="str">
        <f>"0131P03139"</f>
        <v>0131P03139</v>
      </c>
      <c r="E16465" s="1" t="s">
        <v>10</v>
      </c>
      <c r="F16465" s="1" t="str">
        <f>"10.107.124.246"</f>
        <v>10.107.124.246</v>
      </c>
      <c r="G16465" s="1" t="str">
        <f>"0131P031"</f>
        <v>0131P031</v>
      </c>
      <c r="H16465" s="1" t="str">
        <f>"우이간 64L3R4"</f>
        <v>우이간 64L3R4</v>
      </c>
      <c r="I16465" s="1" t="s">
        <v>8</v>
      </c>
      <c r="J16465" s="1" t="str">
        <f>"27/27"</f>
        <v>27/27</v>
      </c>
      <c r="K16465" s="1" t="str">
        <f>"2026-07-29 13:18:03"</f>
        <v>2026-07-29 13:18:03</v>
      </c>
      <c r="L16465" s="1" t="str">
        <f>"2018-04-27 10:08:25"</f>
        <v>2018-04-27 10:08:25</v>
      </c>
      <c r="M16465" s="1" t="s">
        <v>45</v>
      </c>
      <c r="N16465" s="1" t="s">
        <v>38</v>
      </c>
      <c r="O16465" s="1" t="s">
        <v>46</v>
      </c>
    </row>
    <row r="16466" spans="2:15" x14ac:dyDescent="0.3">
      <c r="B16466" s="1" t="s">
        <v>19</v>
      </c>
      <c r="C16466" s="1" t="str">
        <f>"4차"</f>
        <v>4차</v>
      </c>
      <c r="D16466" s="1" t="str">
        <f>"0131P06144"</f>
        <v>0131P06144</v>
      </c>
      <c r="E16466" s="1" t="s">
        <v>10</v>
      </c>
      <c r="F16466" s="1" t="str">
        <f>"10.107.124.209"</f>
        <v>10.107.124.209</v>
      </c>
      <c r="G16466" s="1" t="str">
        <f>"0131P061"</f>
        <v>0131P061</v>
      </c>
      <c r="H16466" s="1" t="str">
        <f>"우이간 71L3"</f>
        <v>우이간 71L3</v>
      </c>
      <c r="I16466" s="1" t="s">
        <v>8</v>
      </c>
      <c r="J16466" s="1" t="str">
        <f>"44/44"</f>
        <v>44/44</v>
      </c>
      <c r="K16466" s="1" t="str">
        <f>"2026-07-29 13:18:03"</f>
        <v>2026-07-29 13:18:03</v>
      </c>
      <c r="L16466" s="1" t="str">
        <f>"2019-11-21 21:18:10"</f>
        <v>2019-11-21 21:18:10</v>
      </c>
      <c r="M16466" s="1" t="s">
        <v>45</v>
      </c>
      <c r="N16466" s="1" t="s">
        <v>38</v>
      </c>
      <c r="O16466" s="1" t="s">
        <v>46</v>
      </c>
    </row>
    <row r="16467" spans="2:15" x14ac:dyDescent="0.3">
      <c r="B16467" s="1" t="s">
        <v>19</v>
      </c>
      <c r="C16467" s="1" t="str">
        <f>"4차"</f>
        <v>4차</v>
      </c>
      <c r="D16467" s="1" t="str">
        <f>"0131P09144"</f>
        <v>0131P09144</v>
      </c>
      <c r="E16467" s="1" t="s">
        <v>10</v>
      </c>
      <c r="F16467" s="1" t="str">
        <f>"10.107.122.66"</f>
        <v>10.107.122.66</v>
      </c>
      <c r="G16467" s="1" t="str">
        <f>"0131P091"</f>
        <v>0131P091</v>
      </c>
      <c r="H16467" s="1" t="str">
        <f>"우이간 71L1R7"</f>
        <v>우이간 71L1R7</v>
      </c>
      <c r="I16467" s="1" t="s">
        <v>8</v>
      </c>
      <c r="J16467" s="1" t="str">
        <f>"50/50"</f>
        <v>50/50</v>
      </c>
      <c r="K16467" s="1" t="str">
        <f>"2026-07-29 13:18:03"</f>
        <v>2026-07-29 13:18:03</v>
      </c>
      <c r="L16467" s="1" t="str">
        <f>"2019-12-13 09:16:15"</f>
        <v>2019-12-13 09:16:15</v>
      </c>
      <c r="M16467" s="1" t="s">
        <v>45</v>
      </c>
      <c r="N16467" s="1" t="s">
        <v>38</v>
      </c>
      <c r="O16467" s="1" t="s">
        <v>46</v>
      </c>
    </row>
    <row r="16468" spans="2:15" x14ac:dyDescent="0.3">
      <c r="B16468" s="1" t="s">
        <v>19</v>
      </c>
      <c r="C16468" s="1" t="str">
        <f>"1차"</f>
        <v>1차</v>
      </c>
      <c r="D16468" s="1" t="str">
        <f>"0131P10601"</f>
        <v>0131P10601</v>
      </c>
      <c r="E16468" s="1" t="s">
        <v>10</v>
      </c>
      <c r="F16468" s="1" t="str">
        <f>"10.107.124.231"</f>
        <v>10.107.124.231</v>
      </c>
      <c r="G16468" s="1" t="str">
        <f>"0131P106"</f>
        <v>0131P106</v>
      </c>
      <c r="H16468" s="1" t="str">
        <f>"우이간 64"</f>
        <v>우이간 64</v>
      </c>
      <c r="I16468" s="1" t="s">
        <v>8</v>
      </c>
      <c r="J16468" s="1" t="str">
        <f>"16/16"</f>
        <v>16/16</v>
      </c>
      <c r="K16468" s="1" t="str">
        <f>"2026-07-29 13:18:02"</f>
        <v>2026-07-29 13:18:02</v>
      </c>
      <c r="L16468" s="1" t="str">
        <f>"2021-07-21 16:10:13"</f>
        <v>2021-07-21 16:10:13</v>
      </c>
      <c r="M16468" s="1" t="s">
        <v>45</v>
      </c>
      <c r="N16468" s="1" t="s">
        <v>38</v>
      </c>
      <c r="O16468" s="1" t="s">
        <v>46</v>
      </c>
    </row>
    <row r="16469" spans="2:15" x14ac:dyDescent="0.3">
      <c r="B16469" s="1" t="s">
        <v>19</v>
      </c>
      <c r="C16469" s="1" t="str">
        <f>"4차"</f>
        <v>4차</v>
      </c>
      <c r="D16469" s="1" t="str">
        <f>"0131P11144"</f>
        <v>0131P11144</v>
      </c>
      <c r="E16469" s="1" t="s">
        <v>10</v>
      </c>
      <c r="F16469" s="1" t="str">
        <f>"10.107.124.237"</f>
        <v>10.107.124.237</v>
      </c>
      <c r="G16469" s="1" t="str">
        <f>"0131P111"</f>
        <v>0131P111</v>
      </c>
      <c r="H16469" s="1" t="str">
        <f>"우이간 64L3R1R2"</f>
        <v>우이간 64L3R1R2</v>
      </c>
      <c r="I16469" s="1" t="s">
        <v>8</v>
      </c>
      <c r="J16469" s="1" t="str">
        <f>"56/60"</f>
        <v>56/60</v>
      </c>
      <c r="K16469" s="1" t="str">
        <f>"2026-07-29 13:18:02"</f>
        <v>2026-07-29 13:18:02</v>
      </c>
      <c r="L16469" s="1" t="str">
        <f>"2019-11-21 21:18:04"</f>
        <v>2019-11-21 21:18:04</v>
      </c>
      <c r="M16469" s="1" t="s">
        <v>45</v>
      </c>
      <c r="N16469" s="1" t="s">
        <v>38</v>
      </c>
      <c r="O16469" s="1" t="s">
        <v>46</v>
      </c>
    </row>
    <row r="16470" spans="2:15" x14ac:dyDescent="0.3">
      <c r="B16470" s="1" t="s">
        <v>19</v>
      </c>
      <c r="C16470" s="1" t="str">
        <f>"3차"</f>
        <v>3차</v>
      </c>
      <c r="D16470" s="1" t="str">
        <f>"0131P13239"</f>
        <v>0131P13239</v>
      </c>
      <c r="E16470" s="1" t="s">
        <v>10</v>
      </c>
      <c r="F16470" s="1" t="str">
        <f>"10.12.137.116"</f>
        <v>10.12.137.116</v>
      </c>
      <c r="G16470" s="1" t="str">
        <f>"0131P132"</f>
        <v>0131P132</v>
      </c>
      <c r="H16470" s="1" t="str">
        <f>"우이간 67L1"</f>
        <v>우이간 67L1</v>
      </c>
      <c r="I16470" s="1" t="s">
        <v>8</v>
      </c>
      <c r="J16470" s="1" t="str">
        <f>"42/42"</f>
        <v>42/42</v>
      </c>
      <c r="K16470" s="1" t="str">
        <f>"2026-07-29 13:18:03"</f>
        <v>2026-07-29 13:18:03</v>
      </c>
      <c r="L16470" s="1" t="str">
        <f>"2018-04-27 10:32:40"</f>
        <v>2018-04-27 10:32:40</v>
      </c>
      <c r="M16470" s="1" t="s">
        <v>0</v>
      </c>
      <c r="N16470" s="1" t="s">
        <v>38</v>
      </c>
      <c r="O16470" s="1" t="s">
        <v>46</v>
      </c>
    </row>
    <row r="16471" spans="2:15" x14ac:dyDescent="0.3">
      <c r="B16471" s="1" t="s">
        <v>19</v>
      </c>
      <c r="C16471" s="1" t="str">
        <f>"4차"</f>
        <v>4차</v>
      </c>
      <c r="D16471" s="1" t="str">
        <f>"0131P15144"</f>
        <v>0131P15144</v>
      </c>
      <c r="E16471" s="1" t="s">
        <v>10</v>
      </c>
      <c r="F16471" s="1" t="str">
        <f>"10.107.124.211"</f>
        <v>10.107.124.211</v>
      </c>
      <c r="G16471" s="1" t="str">
        <f>"0131P151"</f>
        <v>0131P151</v>
      </c>
      <c r="H16471" s="1" t="str">
        <f>"우이간 71L3L1L2"</f>
        <v>우이간 71L3L1L2</v>
      </c>
      <c r="I16471" s="1" t="s">
        <v>8</v>
      </c>
      <c r="J16471" s="1" t="str">
        <f>"47/58"</f>
        <v>47/58</v>
      </c>
      <c r="K16471" s="1" t="str">
        <f>"2026-07-29 13:18:02"</f>
        <v>2026-07-29 13:18:02</v>
      </c>
      <c r="L16471" s="1" t="str">
        <f>"2021-08-05 09:23:34"</f>
        <v>2021-08-05 09:23:34</v>
      </c>
      <c r="M16471" s="1" t="s">
        <v>45</v>
      </c>
      <c r="N16471" s="1" t="s">
        <v>38</v>
      </c>
      <c r="O16471" s="1" t="s">
        <v>46</v>
      </c>
    </row>
    <row r="16472" spans="2:15" x14ac:dyDescent="0.3">
      <c r="B16472" s="1" t="s">
        <v>19</v>
      </c>
      <c r="C16472" s="1" t="str">
        <f>"4차"</f>
        <v>4차</v>
      </c>
      <c r="D16472" s="1" t="str">
        <f>"0131P16144"</f>
        <v>0131P16144</v>
      </c>
      <c r="E16472" s="1" t="s">
        <v>10</v>
      </c>
      <c r="F16472" s="1" t="str">
        <f>"10.107.124.208"</f>
        <v>10.107.124.208</v>
      </c>
      <c r="G16472" s="1" t="str">
        <f>"0131P161"</f>
        <v>0131P161</v>
      </c>
      <c r="H16472" s="1" t="str">
        <f>"우이간 71L2"</f>
        <v>우이간 71L2</v>
      </c>
      <c r="I16472" s="1" t="s">
        <v>8</v>
      </c>
      <c r="J16472" s="1" t="str">
        <f>"16/16"</f>
        <v>16/16</v>
      </c>
      <c r="K16472" s="1" t="str">
        <f>"2026-07-29 13:18:02"</f>
        <v>2026-07-29 13:18:02</v>
      </c>
      <c r="L16472" s="1" t="str">
        <f>"2019-11-21 21:20:23"</f>
        <v>2019-11-21 21:20:23</v>
      </c>
      <c r="M16472" s="1" t="s">
        <v>45</v>
      </c>
      <c r="N16472" s="1" t="s">
        <v>38</v>
      </c>
      <c r="O16472" s="1" t="s">
        <v>46</v>
      </c>
    </row>
    <row r="16473" spans="2:15" x14ac:dyDescent="0.3">
      <c r="B16473" s="1" t="s">
        <v>19</v>
      </c>
      <c r="C16473" s="1" t="str">
        <f>"4차"</f>
        <v>4차</v>
      </c>
      <c r="D16473" s="1" t="str">
        <f>"0131P16444"</f>
        <v>0131P16444</v>
      </c>
      <c r="E16473" s="1" t="s">
        <v>10</v>
      </c>
      <c r="F16473" s="1" t="str">
        <f>"10.107.124.207"</f>
        <v>10.107.124.207</v>
      </c>
      <c r="G16473" s="1" t="str">
        <f>"0131P164"</f>
        <v>0131P164</v>
      </c>
      <c r="H16473" s="1" t="str">
        <f>"우이간 71L1R1"</f>
        <v>우이간 71L1R1</v>
      </c>
      <c r="I16473" s="1" t="s">
        <v>8</v>
      </c>
      <c r="J16473" s="1" t="str">
        <f>"20/20"</f>
        <v>20/20</v>
      </c>
      <c r="K16473" s="1" t="str">
        <f>"2026-07-29 13:18:01"</f>
        <v>2026-07-29 13:18:01</v>
      </c>
      <c r="L16473" s="1" t="str">
        <f>"2019-11-21 21:15:51"</f>
        <v>2019-11-21 21:15:51</v>
      </c>
      <c r="M16473" s="1" t="s">
        <v>45</v>
      </c>
      <c r="N16473" s="1" t="s">
        <v>38</v>
      </c>
      <c r="O16473" s="1" t="s">
        <v>46</v>
      </c>
    </row>
    <row r="16474" spans="2:15" x14ac:dyDescent="0.3">
      <c r="B16474" s="1" t="s">
        <v>19</v>
      </c>
      <c r="C16474" s="1" t="str">
        <f>"5-1차"</f>
        <v>5-1차</v>
      </c>
      <c r="D16474" s="1" t="str">
        <f>"0131P1715M"</f>
        <v>0131P1715M</v>
      </c>
      <c r="E16474" s="1" t="s">
        <v>10</v>
      </c>
      <c r="F16474" s="1" t="str">
        <f>"fde3:102:1410:3200:0:0:0:4"</f>
        <v>fde3:102:1410:3200:0:0:0:4</v>
      </c>
      <c r="G16474" s="1" t="str">
        <f>"0131P171"</f>
        <v>0131P171</v>
      </c>
      <c r="H16474" s="1" t="str">
        <f>"우이간 71L1R2"</f>
        <v>우이간 71L1R2</v>
      </c>
      <c r="I16474" s="1" t="s">
        <v>15</v>
      </c>
      <c r="J16474" s="1" t="str">
        <f>"15/17"</f>
        <v>15/17</v>
      </c>
      <c r="K16474" s="1" t="str">
        <f>"2026-07-29 14:20:32"</f>
        <v>2026-07-29 14:20:32</v>
      </c>
      <c r="L16474" s="1" t="str">
        <f>"2022-09-26 16:04:55"</f>
        <v>2022-09-26 16:04:55</v>
      </c>
      <c r="M16474" s="1" t="s">
        <v>45</v>
      </c>
      <c r="N16474" s="1" t="s">
        <v>38</v>
      </c>
      <c r="O16474" s="1" t="s">
        <v>46</v>
      </c>
    </row>
    <row r="16475" spans="2:15" x14ac:dyDescent="0.3">
      <c r="B16475" s="1" t="s">
        <v>19</v>
      </c>
      <c r="C16475" s="1" t="str">
        <f t="shared" ref="C16475:C16481" si="820">"4차"</f>
        <v>4차</v>
      </c>
      <c r="D16475" s="1" t="str">
        <f>"0131P18144"</f>
        <v>0131P18144</v>
      </c>
      <c r="E16475" s="1" t="s">
        <v>10</v>
      </c>
      <c r="F16475" s="1" t="str">
        <f>"10.107.124.221"</f>
        <v>10.107.124.221</v>
      </c>
      <c r="G16475" s="1" t="str">
        <f>"0131P181"</f>
        <v>0131P181</v>
      </c>
      <c r="H16475" s="1" t="str">
        <f>"우이간 71L1R4"</f>
        <v>우이간 71L1R4</v>
      </c>
      <c r="I16475" s="1" t="s">
        <v>8</v>
      </c>
      <c r="J16475" s="1" t="str">
        <f>"45/45"</f>
        <v>45/45</v>
      </c>
      <c r="K16475" s="1" t="str">
        <f>"2026-07-29 13:18:02"</f>
        <v>2026-07-29 13:18:02</v>
      </c>
      <c r="L16475" s="1" t="str">
        <f>"2019-11-21 21:18:04"</f>
        <v>2019-11-21 21:18:04</v>
      </c>
      <c r="M16475" s="1" t="s">
        <v>45</v>
      </c>
      <c r="N16475" s="1" t="s">
        <v>38</v>
      </c>
      <c r="O16475" s="1" t="s">
        <v>46</v>
      </c>
    </row>
    <row r="16476" spans="2:15" x14ac:dyDescent="0.3">
      <c r="B16476" s="1" t="s">
        <v>19</v>
      </c>
      <c r="C16476" s="1" t="str">
        <f t="shared" si="820"/>
        <v>4차</v>
      </c>
      <c r="D16476" s="1" t="str">
        <f>"0131P19244"</f>
        <v>0131P19244</v>
      </c>
      <c r="E16476" s="1" t="s">
        <v>10</v>
      </c>
      <c r="F16476" s="1" t="str">
        <f>"10.107.124.94"</f>
        <v>10.107.124.94</v>
      </c>
      <c r="G16476" s="1" t="str">
        <f>"0131P192"</f>
        <v>0131P192</v>
      </c>
      <c r="H16476" s="1" t="str">
        <f>"우이간 71L1R6"</f>
        <v>우이간 71L1R6</v>
      </c>
      <c r="I16476" s="1" t="s">
        <v>8</v>
      </c>
      <c r="J16476" s="1" t="str">
        <f>"34/34"</f>
        <v>34/34</v>
      </c>
      <c r="K16476" s="1" t="str">
        <f>"2026-07-29 13:18:01"</f>
        <v>2026-07-29 13:18:01</v>
      </c>
      <c r="L16476" s="1" t="str">
        <f>"2019-12-13 12:09:19"</f>
        <v>2019-12-13 12:09:19</v>
      </c>
      <c r="M16476" s="1" t="s">
        <v>45</v>
      </c>
      <c r="N16476" s="1" t="s">
        <v>38</v>
      </c>
      <c r="O16476" s="1" t="s">
        <v>46</v>
      </c>
    </row>
    <row r="16477" spans="2:15" x14ac:dyDescent="0.3">
      <c r="B16477" s="1" t="s">
        <v>19</v>
      </c>
      <c r="C16477" s="1" t="str">
        <f t="shared" si="820"/>
        <v>4차</v>
      </c>
      <c r="D16477" s="1" t="str">
        <f>"0131P24344"</f>
        <v>0131P24344</v>
      </c>
      <c r="E16477" s="1" t="s">
        <v>10</v>
      </c>
      <c r="F16477" s="1" t="str">
        <f>"10.107.124.203"</f>
        <v>10.107.124.203</v>
      </c>
      <c r="G16477" s="1" t="str">
        <f>"0131P243"</f>
        <v>0131P243</v>
      </c>
      <c r="H16477" s="1" t="str">
        <f>"우이간 70"</f>
        <v>우이간 70</v>
      </c>
      <c r="I16477" s="1" t="s">
        <v>8</v>
      </c>
      <c r="J16477" s="1" t="str">
        <f>"18/18"</f>
        <v>18/18</v>
      </c>
      <c r="K16477" s="1" t="str">
        <f>"2026-07-29 13:18:01"</f>
        <v>2026-07-29 13:18:01</v>
      </c>
      <c r="L16477" s="1" t="str">
        <f>"2019-11-21 20:58:23"</f>
        <v>2019-11-21 20:58:23</v>
      </c>
      <c r="M16477" s="1" t="s">
        <v>45</v>
      </c>
      <c r="N16477" s="1" t="s">
        <v>38</v>
      </c>
      <c r="O16477" s="1" t="s">
        <v>46</v>
      </c>
    </row>
    <row r="16478" spans="2:15" x14ac:dyDescent="0.3">
      <c r="B16478" s="1" t="s">
        <v>19</v>
      </c>
      <c r="C16478" s="1" t="str">
        <f t="shared" si="820"/>
        <v>4차</v>
      </c>
      <c r="D16478" s="1" t="str">
        <f>"0131P26144"</f>
        <v>0131P26144</v>
      </c>
      <c r="E16478" s="1" t="s">
        <v>10</v>
      </c>
      <c r="F16478" s="1" t="str">
        <f>"10.107.124.204"</f>
        <v>10.107.124.204</v>
      </c>
      <c r="G16478" s="1" t="str">
        <f>"0131P261"</f>
        <v>0131P261</v>
      </c>
      <c r="H16478" s="1" t="str">
        <f>"우이간 71L1"</f>
        <v>우이간 71L1</v>
      </c>
      <c r="I16478" s="1" t="s">
        <v>8</v>
      </c>
      <c r="J16478" s="1" t="str">
        <f>"17/17"</f>
        <v>17/17</v>
      </c>
      <c r="K16478" s="1" t="str">
        <f>"2026-07-29 13:18:02"</f>
        <v>2026-07-29 13:18:02</v>
      </c>
      <c r="L16478" s="1" t="str">
        <f>"2019-11-21 21:18:12"</f>
        <v>2019-11-21 21:18:12</v>
      </c>
      <c r="M16478" s="1" t="s">
        <v>45</v>
      </c>
      <c r="N16478" s="1" t="s">
        <v>38</v>
      </c>
      <c r="O16478" s="1" t="s">
        <v>46</v>
      </c>
    </row>
    <row r="16479" spans="2:15" x14ac:dyDescent="0.3">
      <c r="B16479" s="1" t="s">
        <v>19</v>
      </c>
      <c r="C16479" s="1" t="str">
        <f t="shared" si="820"/>
        <v>4차</v>
      </c>
      <c r="D16479" s="1" t="str">
        <f>"0131P26244"</f>
        <v>0131P26244</v>
      </c>
      <c r="E16479" s="1" t="s">
        <v>10</v>
      </c>
      <c r="F16479" s="1" t="str">
        <f>"10.107.124.216"</f>
        <v>10.107.124.216</v>
      </c>
      <c r="G16479" s="1" t="str">
        <f>"0131P262"</f>
        <v>0131P262</v>
      </c>
      <c r="H16479" s="1" t="str">
        <f>"우이간 72"</f>
        <v>우이간 72</v>
      </c>
      <c r="I16479" s="1" t="s">
        <v>8</v>
      </c>
      <c r="J16479" s="1" t="str">
        <f>"1/1"</f>
        <v>1/1</v>
      </c>
      <c r="K16479" s="1" t="str">
        <f>"2026-07-29 13:18:02"</f>
        <v>2026-07-29 13:18:02</v>
      </c>
      <c r="L16479" s="1" t="str">
        <f>"2019-11-21 21:25:52"</f>
        <v>2019-11-21 21:25:52</v>
      </c>
      <c r="M16479" s="1" t="s">
        <v>45</v>
      </c>
      <c r="N16479" s="1" t="s">
        <v>38</v>
      </c>
      <c r="O16479" s="1" t="s">
        <v>46</v>
      </c>
    </row>
    <row r="16480" spans="2:15" x14ac:dyDescent="0.3">
      <c r="B16480" s="1" t="s">
        <v>19</v>
      </c>
      <c r="C16480" s="1" t="str">
        <f t="shared" si="820"/>
        <v>4차</v>
      </c>
      <c r="D16480" s="1" t="str">
        <f>"0131P28444"</f>
        <v>0131P28444</v>
      </c>
      <c r="E16480" s="1" t="s">
        <v>10</v>
      </c>
      <c r="F16480" s="1" t="str">
        <f>"10.107.124.217"</f>
        <v>10.107.124.217</v>
      </c>
      <c r="G16480" s="1" t="str">
        <f>"0131P284"</f>
        <v>0131P284</v>
      </c>
      <c r="H16480" s="1" t="str">
        <f>"우이간 74"</f>
        <v>우이간 74</v>
      </c>
      <c r="I16480" s="1" t="s">
        <v>8</v>
      </c>
      <c r="J16480" s="1" t="str">
        <f>"35/39"</f>
        <v>35/39</v>
      </c>
      <c r="K16480" s="1" t="str">
        <f>"2026-07-29 13:18:02"</f>
        <v>2026-07-29 13:18:02</v>
      </c>
      <c r="L16480" s="1" t="str">
        <f>"2019-11-21 21:29:34"</f>
        <v>2019-11-21 21:29:34</v>
      </c>
      <c r="M16480" s="1" t="s">
        <v>45</v>
      </c>
      <c r="N16480" s="1" t="s">
        <v>38</v>
      </c>
      <c r="O16480" s="1" t="s">
        <v>46</v>
      </c>
    </row>
    <row r="16481" spans="2:15" x14ac:dyDescent="0.3">
      <c r="B16481" s="1" t="s">
        <v>19</v>
      </c>
      <c r="C16481" s="1" t="str">
        <f t="shared" si="820"/>
        <v>4차</v>
      </c>
      <c r="D16481" s="1" t="str">
        <f>"0131P39141"</f>
        <v>0131P39141</v>
      </c>
      <c r="E16481" s="1" t="s">
        <v>10</v>
      </c>
      <c r="F16481" s="1" t="str">
        <f>"10.12.132.201"</f>
        <v>10.12.132.201</v>
      </c>
      <c r="G16481" s="1" t="str">
        <f>"0131P391"</f>
        <v>0131P391</v>
      </c>
      <c r="H16481" s="1" t="str">
        <f>"우이간 88R6R10"</f>
        <v>우이간 88R6R10</v>
      </c>
      <c r="I16481" s="1" t="s">
        <v>17</v>
      </c>
      <c r="J16481" s="1" t="str">
        <f>"42/42"</f>
        <v>42/42</v>
      </c>
      <c r="K16481" s="1" t="str">
        <f>"2026-07-29 13:18:03"</f>
        <v>2026-07-29 13:18:03</v>
      </c>
      <c r="L16481" s="1" t="str">
        <f>"2021-08-09 06:57:38"</f>
        <v>2021-08-09 06:57:38</v>
      </c>
      <c r="M16481" s="1" t="s">
        <v>0</v>
      </c>
      <c r="N16481" s="1" t="s">
        <v>38</v>
      </c>
      <c r="O16481" s="1" t="s">
        <v>46</v>
      </c>
    </row>
    <row r="16482" spans="2:15" x14ac:dyDescent="0.3">
      <c r="B16482" s="1" t="s">
        <v>19</v>
      </c>
      <c r="C16482" s="1" t="str">
        <f>"1차"</f>
        <v>1차</v>
      </c>
      <c r="D16482" s="1" t="str">
        <f>"0131R00100"</f>
        <v>0131R00100</v>
      </c>
      <c r="E16482" s="1" t="s">
        <v>10</v>
      </c>
      <c r="F16482" s="1" t="str">
        <f>"10.107.122.40"</f>
        <v>10.107.122.40</v>
      </c>
      <c r="G16482" s="1" t="str">
        <f>"0131R001"</f>
        <v>0131R001</v>
      </c>
      <c r="H16482" s="1" t="str">
        <f>"우이간 51"</f>
        <v>우이간 51</v>
      </c>
      <c r="I16482" s="1" t="s">
        <v>8</v>
      </c>
      <c r="J16482" s="1" t="str">
        <f>"16/16"</f>
        <v>16/16</v>
      </c>
      <c r="K16482" s="1" t="str">
        <f>"2026-07-29 13:18:02"</f>
        <v>2026-07-29 13:18:02</v>
      </c>
      <c r="L16482" s="1" t="str">
        <f>"2014-12-30 19:56:17"</f>
        <v>2014-12-30 19:56:17</v>
      </c>
      <c r="M16482" s="1" t="s">
        <v>45</v>
      </c>
      <c r="N16482" s="1" t="s">
        <v>38</v>
      </c>
      <c r="O16482" s="1" t="s">
        <v>46</v>
      </c>
    </row>
    <row r="16483" spans="2:15" x14ac:dyDescent="0.3">
      <c r="B16483" s="1" t="s">
        <v>19</v>
      </c>
      <c r="C16483" s="1" t="str">
        <f>"4차"</f>
        <v>4차</v>
      </c>
      <c r="D16483" s="1" t="str">
        <f>"0131R05144"</f>
        <v>0131R05144</v>
      </c>
      <c r="E16483" s="1" t="s">
        <v>10</v>
      </c>
      <c r="F16483" s="1" t="str">
        <f>"10.107.124.243"</f>
        <v>10.107.124.243</v>
      </c>
      <c r="G16483" s="1" t="str">
        <f>"0131R051"</f>
        <v>0131R051</v>
      </c>
      <c r="H16483" s="1" t="str">
        <f>"우이간 57L2H2"</f>
        <v>우이간 57L2H2</v>
      </c>
      <c r="I16483" s="1" t="s">
        <v>8</v>
      </c>
      <c r="J16483" s="1" t="str">
        <f>"1/1"</f>
        <v>1/1</v>
      </c>
      <c r="K16483" s="1" t="str">
        <f>"2026-07-29 13:18:02"</f>
        <v>2026-07-29 13:18:02</v>
      </c>
      <c r="L16483" s="1" t="str">
        <f>"2019-12-13 09:16:38"</f>
        <v>2019-12-13 09:16:38</v>
      </c>
      <c r="M16483" s="1" t="s">
        <v>45</v>
      </c>
      <c r="N16483" s="1" t="s">
        <v>38</v>
      </c>
      <c r="O16483" s="1" t="s">
        <v>46</v>
      </c>
    </row>
    <row r="16484" spans="2:15" x14ac:dyDescent="0.3">
      <c r="B16484" s="1" t="s">
        <v>19</v>
      </c>
      <c r="C16484" s="1" t="str">
        <f>"4차"</f>
        <v>4차</v>
      </c>
      <c r="D16484" s="1" t="str">
        <f>"0131R06144"</f>
        <v>0131R06144</v>
      </c>
      <c r="E16484" s="1" t="s">
        <v>10</v>
      </c>
      <c r="F16484" s="1" t="str">
        <f>"10.107.124.235"</f>
        <v>10.107.124.235</v>
      </c>
      <c r="G16484" s="1" t="str">
        <f>"0131R061"</f>
        <v>0131R061</v>
      </c>
      <c r="H16484" s="1" t="str">
        <f>"우이간 57L2H2R2"</f>
        <v>우이간 57L2H2R2</v>
      </c>
      <c r="I16484" s="1" t="s">
        <v>8</v>
      </c>
      <c r="J16484" s="1" t="str">
        <f>"32/32"</f>
        <v>32/32</v>
      </c>
      <c r="K16484" s="1" t="str">
        <f>"2026-07-29 13:18:02"</f>
        <v>2026-07-29 13:18:02</v>
      </c>
      <c r="L16484" s="1" t="str">
        <f>"2019-11-21 21:14:37"</f>
        <v>2019-11-21 21:14:37</v>
      </c>
      <c r="M16484" s="1" t="s">
        <v>45</v>
      </c>
      <c r="N16484" s="1" t="s">
        <v>38</v>
      </c>
      <c r="O16484" s="1" t="s">
        <v>46</v>
      </c>
    </row>
    <row r="16485" spans="2:15" x14ac:dyDescent="0.3">
      <c r="B16485" s="1" t="s">
        <v>19</v>
      </c>
      <c r="C16485" s="1" t="str">
        <f>"1차"</f>
        <v>1차</v>
      </c>
      <c r="D16485" s="1" t="str">
        <f>"0131R07100"</f>
        <v>0131R07100</v>
      </c>
      <c r="E16485" s="1" t="s">
        <v>10</v>
      </c>
      <c r="F16485" s="1" t="str">
        <f>"10.107.124.241"</f>
        <v>10.107.124.241</v>
      </c>
      <c r="G16485" s="1" t="str">
        <f>"0131R071"</f>
        <v>0131R071</v>
      </c>
      <c r="H16485" s="1" t="str">
        <f>"우이간 57L2H2R3"</f>
        <v>우이간 57L2H2R3</v>
      </c>
      <c r="I16485" s="1" t="s">
        <v>8</v>
      </c>
      <c r="J16485" s="1" t="str">
        <f>"30/31"</f>
        <v>30/31</v>
      </c>
      <c r="K16485" s="1" t="str">
        <f>"2026-07-29 13:18:02"</f>
        <v>2026-07-29 13:18:02</v>
      </c>
      <c r="L16485" s="1" t="str">
        <f>"2014-12-30 19:56:27"</f>
        <v>2014-12-30 19:56:27</v>
      </c>
      <c r="M16485" s="1" t="s">
        <v>45</v>
      </c>
      <c r="N16485" s="1" t="s">
        <v>38</v>
      </c>
      <c r="O16485" s="1" t="s">
        <v>46</v>
      </c>
    </row>
    <row r="16486" spans="2:15" x14ac:dyDescent="0.3">
      <c r="B16486" s="1" t="s">
        <v>19</v>
      </c>
      <c r="C16486" s="1" t="str">
        <f>"1차"</f>
        <v>1차</v>
      </c>
      <c r="D16486" s="1" t="str">
        <f>"0131R08100"</f>
        <v>0131R08100</v>
      </c>
      <c r="E16486" s="1" t="s">
        <v>10</v>
      </c>
      <c r="F16486" s="1" t="str">
        <f>"10.107.124.226"</f>
        <v>10.107.124.226</v>
      </c>
      <c r="G16486" s="1" t="str">
        <f>"0131R081"</f>
        <v>0131R081</v>
      </c>
      <c r="H16486" s="1" t="str">
        <f>"우이간 57L2R3"</f>
        <v>우이간 57L2R3</v>
      </c>
      <c r="I16486" s="1" t="s">
        <v>8</v>
      </c>
      <c r="J16486" s="1" t="str">
        <f>"5/5"</f>
        <v>5/5</v>
      </c>
      <c r="K16486" s="1" t="str">
        <f>"2026-07-29 13:18:02"</f>
        <v>2026-07-29 13:18:02</v>
      </c>
      <c r="L16486" s="1" t="str">
        <f>"2014-12-30 18:45:16"</f>
        <v>2014-12-30 18:45:16</v>
      </c>
      <c r="M16486" s="1" t="s">
        <v>45</v>
      </c>
      <c r="N16486" s="1" t="s">
        <v>38</v>
      </c>
      <c r="O16486" s="1" t="s">
        <v>46</v>
      </c>
    </row>
    <row r="16487" spans="2:15" x14ac:dyDescent="0.3">
      <c r="B16487" s="1" t="s">
        <v>19</v>
      </c>
      <c r="C16487" s="1" t="str">
        <f>"6차"</f>
        <v>6차</v>
      </c>
      <c r="D16487" s="1" t="str">
        <f>"0131R0826M"</f>
        <v>0131R0826M</v>
      </c>
      <c r="E16487" s="1" t="s">
        <v>10</v>
      </c>
      <c r="F16487" s="1" t="str">
        <f>"fde1:103:4:c7c5:0:0:0:2"</f>
        <v>fde1:103:4:c7c5:0:0:0:2</v>
      </c>
      <c r="G16487" s="1" t="str">
        <f>"0131R082"</f>
        <v>0131R082</v>
      </c>
      <c r="H16487" s="1" t="str">
        <f>"우이간 57L2R4"</f>
        <v>우이간 57L2R4</v>
      </c>
      <c r="I16487" s="1" t="s">
        <v>15</v>
      </c>
      <c r="J16487" s="1" t="str">
        <f>"24/24"</f>
        <v>24/24</v>
      </c>
      <c r="K16487" s="1" t="str">
        <f>"2026-07-29 14:20:32"</f>
        <v>2026-07-29 14:20:32</v>
      </c>
      <c r="L16487" s="1" t="str">
        <f>"2024-12-04 15:43:54"</f>
        <v>2024-12-04 15:43:54</v>
      </c>
      <c r="M16487" s="1" t="s">
        <v>4</v>
      </c>
      <c r="N16487" s="1" t="s">
        <v>38</v>
      </c>
      <c r="O16487" s="1" t="s">
        <v>46</v>
      </c>
    </row>
    <row r="16488" spans="2:15" x14ac:dyDescent="0.3">
      <c r="B16488" s="1" t="s">
        <v>19</v>
      </c>
      <c r="C16488" s="1" t="str">
        <f>"1차"</f>
        <v>1차</v>
      </c>
      <c r="D16488" s="1" t="str">
        <f>"0131R17401"</f>
        <v>0131R17401</v>
      </c>
      <c r="E16488" s="1" t="s">
        <v>10</v>
      </c>
      <c r="F16488" s="1" t="str">
        <f>"10.12.132.34"</f>
        <v>10.12.132.34</v>
      </c>
      <c r="G16488" s="1" t="str">
        <f>"0131R174"</f>
        <v>0131R174</v>
      </c>
      <c r="H16488" s="1" t="str">
        <f>"우이간 59"</f>
        <v>우이간 59</v>
      </c>
      <c r="I16488" s="1" t="s">
        <v>8</v>
      </c>
      <c r="J16488" s="1" t="str">
        <f>"4/13"</f>
        <v>4/13</v>
      </c>
      <c r="K16488" s="1" t="str">
        <f>"2026-07-29 13:18:02"</f>
        <v>2026-07-29 13:18:02</v>
      </c>
      <c r="L16488" s="1" t="str">
        <f>"2015-01-01 00:26:51"</f>
        <v>2015-01-01 00:26:51</v>
      </c>
      <c r="M16488" s="1" t="s">
        <v>0</v>
      </c>
      <c r="N16488" s="1" t="s">
        <v>38</v>
      </c>
      <c r="O16488" s="1" t="s">
        <v>46</v>
      </c>
    </row>
    <row r="16489" spans="2:15" x14ac:dyDescent="0.3">
      <c r="B16489" s="1" t="s">
        <v>19</v>
      </c>
      <c r="C16489" s="1" t="str">
        <f>"1차"</f>
        <v>1차</v>
      </c>
      <c r="D16489" s="1" t="str">
        <f>"0131R18200"</f>
        <v>0131R18200</v>
      </c>
      <c r="E16489" s="1" t="s">
        <v>10</v>
      </c>
      <c r="F16489" s="1" t="str">
        <f>"10.107.124.232"</f>
        <v>10.107.124.232</v>
      </c>
      <c r="G16489" s="1" t="str">
        <f>"0131R182"</f>
        <v>0131R182</v>
      </c>
      <c r="H16489" s="1" t="str">
        <f>"우이간 60"</f>
        <v>우이간 60</v>
      </c>
      <c r="I16489" s="1" t="s">
        <v>8</v>
      </c>
      <c r="J16489" s="1" t="str">
        <f>"8/8"</f>
        <v>8/8</v>
      </c>
      <c r="K16489" s="1" t="str">
        <f>"2026-07-29 13:18:02"</f>
        <v>2026-07-29 13:18:02</v>
      </c>
      <c r="L16489" s="1" t="str">
        <f>"2014-12-30 19:49:21"</f>
        <v>2014-12-30 19:49:21</v>
      </c>
      <c r="M16489" s="1" t="s">
        <v>45</v>
      </c>
      <c r="N16489" s="1" t="s">
        <v>38</v>
      </c>
      <c r="O16489" s="1" t="s">
        <v>46</v>
      </c>
    </row>
    <row r="16490" spans="2:15" x14ac:dyDescent="0.3">
      <c r="B16490" s="1" t="s">
        <v>19</v>
      </c>
      <c r="C16490" s="1" t="str">
        <f>"4차"</f>
        <v>4차</v>
      </c>
      <c r="D16490" s="1" t="str">
        <f>"0227A00141"</f>
        <v>0227A00141</v>
      </c>
      <c r="E16490" s="1" t="s">
        <v>10</v>
      </c>
      <c r="F16490" s="1" t="str">
        <f>"10.12.130.174"</f>
        <v>10.12.130.174</v>
      </c>
      <c r="G16490" s="1" t="str">
        <f>"0227A001"</f>
        <v>0227A001</v>
      </c>
      <c r="H16490" s="1" t="str">
        <f>"종암SW 14L3"</f>
        <v>종암SW 14L3</v>
      </c>
      <c r="I16490" s="1" t="s">
        <v>17</v>
      </c>
      <c r="J16490" s="1" t="str">
        <f>"116/133"</f>
        <v>116/133</v>
      </c>
      <c r="K16490" s="1" t="str">
        <f>"2026-07-29 13:18:02"</f>
        <v>2026-07-29 13:18:02</v>
      </c>
      <c r="L16490" s="1" t="str">
        <f>"2021-08-26 10:36:23"</f>
        <v>2021-08-26 10:36:23</v>
      </c>
      <c r="M16490" s="1" t="s">
        <v>0</v>
      </c>
      <c r="N16490" s="1" t="s">
        <v>38</v>
      </c>
      <c r="O16490" s="1" t="s">
        <v>46</v>
      </c>
    </row>
    <row r="16491" spans="2:15" x14ac:dyDescent="0.3">
      <c r="B16491" s="1" t="s">
        <v>19</v>
      </c>
      <c r="C16491" s="1" t="str">
        <f>"5-1차"</f>
        <v>5-1차</v>
      </c>
      <c r="D16491" s="1" t="str">
        <f>"0227A0125M"</f>
        <v>0227A0125M</v>
      </c>
      <c r="E16491" s="1" t="s">
        <v>10</v>
      </c>
      <c r="F16491" s="1" t="str">
        <f>"fde3:102:1410:8100:0:0:0:2"</f>
        <v>fde3:102:1410:8100:0:0:0:2</v>
      </c>
      <c r="G16491" s="1" t="str">
        <f>"0227A012"</f>
        <v>0227A012</v>
      </c>
      <c r="H16491" s="1" t="str">
        <f>"종암SW 14L2"</f>
        <v>종암SW 14L2</v>
      </c>
      <c r="I16491" s="1" t="s">
        <v>15</v>
      </c>
      <c r="J16491" s="1" t="str">
        <f>"100/100"</f>
        <v>100/100</v>
      </c>
      <c r="K16491" s="1" t="str">
        <f>"2026-07-29 14:20:51"</f>
        <v>2026-07-29 14:20:51</v>
      </c>
      <c r="L16491" s="1" t="str">
        <f>"2022-11-16 12:40:41"</f>
        <v>2022-11-16 12:40:41</v>
      </c>
      <c r="M16491" s="1" t="s">
        <v>45</v>
      </c>
      <c r="N16491" s="1" t="s">
        <v>38</v>
      </c>
      <c r="O16491" s="1" t="s">
        <v>46</v>
      </c>
    </row>
    <row r="16492" spans="2:15" x14ac:dyDescent="0.3">
      <c r="B16492" s="1" t="s">
        <v>19</v>
      </c>
      <c r="C16492" s="1" t="str">
        <f>"4차"</f>
        <v>4차</v>
      </c>
      <c r="D16492" s="1" t="str">
        <f>"0227A02141"</f>
        <v>0227A02141</v>
      </c>
      <c r="E16492" s="1" t="s">
        <v>10</v>
      </c>
      <c r="F16492" s="1" t="str">
        <f>"10.14.3.2"</f>
        <v>10.14.3.2</v>
      </c>
      <c r="G16492" s="1" t="str">
        <f>"0227A021"</f>
        <v>0227A021</v>
      </c>
      <c r="H16492" s="1" t="str">
        <f>"종암SW 14L2R2"</f>
        <v>종암SW 14L2R2</v>
      </c>
      <c r="I16492" s="1" t="s">
        <v>17</v>
      </c>
      <c r="J16492" s="1" t="str">
        <f>"79/100"</f>
        <v>79/100</v>
      </c>
      <c r="K16492" s="1" t="str">
        <f>"2026-07-29 13:18:03"</f>
        <v>2026-07-29 13:18:03</v>
      </c>
      <c r="L16492" s="1" t="str">
        <f>"2021-08-26 08:15:40"</f>
        <v>2021-08-26 08:15:40</v>
      </c>
      <c r="M16492" s="1" t="s">
        <v>3</v>
      </c>
      <c r="N16492" s="1" t="s">
        <v>38</v>
      </c>
      <c r="O16492" s="1" t="s">
        <v>46</v>
      </c>
    </row>
    <row r="16493" spans="2:15" x14ac:dyDescent="0.3">
      <c r="B16493" s="1" t="s">
        <v>19</v>
      </c>
      <c r="C16493" s="1" t="str">
        <f>"4차"</f>
        <v>4차</v>
      </c>
      <c r="D16493" s="1" t="str">
        <f>"0227A03139"</f>
        <v>0227A03139</v>
      </c>
      <c r="E16493" s="1" t="s">
        <v>10</v>
      </c>
      <c r="F16493" s="1" t="str">
        <f>"10.14.11.7"</f>
        <v>10.14.11.7</v>
      </c>
      <c r="G16493" s="1" t="str">
        <f>"0227A031"</f>
        <v>0227A031</v>
      </c>
      <c r="H16493" s="1" t="str">
        <f>"종암SW 14L2R4R1"</f>
        <v>종암SW 14L2R4R1</v>
      </c>
      <c r="I16493" s="1" t="s">
        <v>8</v>
      </c>
      <c r="J16493" s="1" t="str">
        <f>"111/113"</f>
        <v>111/113</v>
      </c>
      <c r="K16493" s="1" t="str">
        <f>"2026-07-29 13:18:04"</f>
        <v>2026-07-29 13:18:04</v>
      </c>
      <c r="L16493" s="1" t="str">
        <f>"2018-09-12 16:34:31"</f>
        <v>2018-09-12 16:34:31</v>
      </c>
      <c r="M16493" s="1" t="s">
        <v>3</v>
      </c>
      <c r="N16493" s="1" t="s">
        <v>38</v>
      </c>
      <c r="O16493" s="1" t="s">
        <v>46</v>
      </c>
    </row>
    <row r="16494" spans="2:15" x14ac:dyDescent="0.3">
      <c r="B16494" s="1" t="s">
        <v>19</v>
      </c>
      <c r="C16494" s="1" t="str">
        <f>"3차"</f>
        <v>3차</v>
      </c>
      <c r="D16494" s="1" t="str">
        <f>"0227A08339"</f>
        <v>0227A08339</v>
      </c>
      <c r="E16494" s="1" t="s">
        <v>10</v>
      </c>
      <c r="F16494" s="1" t="str">
        <f>"10.107.8.174"</f>
        <v>10.107.8.174</v>
      </c>
      <c r="G16494" s="1" t="str">
        <f>"0227A083"</f>
        <v>0227A083</v>
      </c>
      <c r="H16494" s="1" t="str">
        <f>"종암SW 16L10R6"</f>
        <v>종암SW 16L10R6</v>
      </c>
      <c r="I16494" s="1" t="s">
        <v>8</v>
      </c>
      <c r="J16494" s="1" t="str">
        <f>"19/25"</f>
        <v>19/25</v>
      </c>
      <c r="K16494" s="1" t="str">
        <f>"2026-07-29 13:18:01"</f>
        <v>2026-07-29 13:18:01</v>
      </c>
      <c r="L16494" s="1" t="str">
        <f>"2018-03-26 15:43:13"</f>
        <v>2018-03-26 15:43:13</v>
      </c>
      <c r="M16494" s="1" t="s">
        <v>45</v>
      </c>
      <c r="N16494" s="1" t="s">
        <v>38</v>
      </c>
      <c r="O16494" s="1" t="s">
        <v>46</v>
      </c>
    </row>
    <row r="16495" spans="2:15" x14ac:dyDescent="0.3">
      <c r="B16495" s="1" t="s">
        <v>19</v>
      </c>
      <c r="C16495" s="1" t="str">
        <f t="shared" ref="C16495:C16500" si="821">"4차"</f>
        <v>4차</v>
      </c>
      <c r="D16495" s="1" t="str">
        <f>"0227A09139"</f>
        <v>0227A09139</v>
      </c>
      <c r="E16495" s="1" t="s">
        <v>10</v>
      </c>
      <c r="F16495" s="1" t="str">
        <f>"10.12.136.87"</f>
        <v>10.12.136.87</v>
      </c>
      <c r="G16495" s="1" t="str">
        <f>"0227A091"</f>
        <v>0227A091</v>
      </c>
      <c r="H16495" s="1" t="str">
        <f>"종암 21"</f>
        <v>종암 21</v>
      </c>
      <c r="I16495" s="1" t="s">
        <v>17</v>
      </c>
      <c r="J16495" s="1" t="str">
        <f>"17/17"</f>
        <v>17/17</v>
      </c>
      <c r="K16495" s="1" t="str">
        <f>"2026-07-29 13:18:03"</f>
        <v>2026-07-29 13:18:03</v>
      </c>
      <c r="L16495" s="1" t="str">
        <f>"2018-05-30 08:01:40"</f>
        <v>2018-05-30 08:01:40</v>
      </c>
      <c r="M16495" s="1" t="s">
        <v>0</v>
      </c>
      <c r="N16495" s="1" t="s">
        <v>38</v>
      </c>
      <c r="O16495" s="1" t="s">
        <v>46</v>
      </c>
    </row>
    <row r="16496" spans="2:15" x14ac:dyDescent="0.3">
      <c r="B16496" s="1" t="s">
        <v>19</v>
      </c>
      <c r="C16496" s="1" t="str">
        <f t="shared" si="821"/>
        <v>4차</v>
      </c>
      <c r="D16496" s="1" t="str">
        <f>"0227A10139"</f>
        <v>0227A10139</v>
      </c>
      <c r="E16496" s="1" t="s">
        <v>10</v>
      </c>
      <c r="F16496" s="1" t="str">
        <f>"10.12.130.57"</f>
        <v>10.12.130.57</v>
      </c>
      <c r="G16496" s="1" t="str">
        <f>"0227A101"</f>
        <v>0227A101</v>
      </c>
      <c r="H16496" s="1" t="str">
        <f>"종암SW 14L2L1"</f>
        <v>종암SW 14L2L1</v>
      </c>
      <c r="I16496" s="1" t="s">
        <v>17</v>
      </c>
      <c r="J16496" s="1" t="str">
        <f>"102/102"</f>
        <v>102/102</v>
      </c>
      <c r="K16496" s="1" t="str">
        <f>"2026-07-29 13:18:04"</f>
        <v>2026-07-29 13:18:04</v>
      </c>
      <c r="L16496" s="1" t="str">
        <f>"2018-12-17 17:37:59"</f>
        <v>2018-12-17 17:37:59</v>
      </c>
      <c r="M16496" s="1" t="s">
        <v>0</v>
      </c>
      <c r="N16496" s="1" t="s">
        <v>38</v>
      </c>
      <c r="O16496" s="1" t="s">
        <v>46</v>
      </c>
    </row>
    <row r="16497" spans="2:15" x14ac:dyDescent="0.3">
      <c r="B16497" s="1" t="s">
        <v>19</v>
      </c>
      <c r="C16497" s="1" t="str">
        <f t="shared" si="821"/>
        <v>4차</v>
      </c>
      <c r="D16497" s="1" t="str">
        <f>"0227A17139"</f>
        <v>0227A17139</v>
      </c>
      <c r="E16497" s="1" t="s">
        <v>14</v>
      </c>
      <c r="F16497" s="1" t="str">
        <f>"10.12.136.100"</f>
        <v>10.12.136.100</v>
      </c>
      <c r="G16497" s="1" t="str">
        <f>"0227A171"</f>
        <v>0227A171</v>
      </c>
      <c r="H16497" s="1" t="str">
        <f>"종암 13"</f>
        <v>종암 13</v>
      </c>
      <c r="I16497" s="1" t="s">
        <v>17</v>
      </c>
      <c r="J16497" s="1" t="str">
        <f>"0/0"</f>
        <v>0/0</v>
      </c>
      <c r="K16497" s="1" t="str">
        <f>"2026-06-10 07:18:03"</f>
        <v>2026-06-10 07:18:03</v>
      </c>
      <c r="L16497" s="1" t="str">
        <f>"2018-05-30 10:25:12"</f>
        <v>2018-05-30 10:25:12</v>
      </c>
      <c r="M16497" s="1" t="s">
        <v>0</v>
      </c>
      <c r="N16497" s="1" t="s">
        <v>39</v>
      </c>
      <c r="O16497" s="1" t="s">
        <v>46</v>
      </c>
    </row>
    <row r="16498" spans="2:15" x14ac:dyDescent="0.3">
      <c r="B16498" s="1" t="s">
        <v>19</v>
      </c>
      <c r="C16498" s="1" t="str">
        <f t="shared" si="821"/>
        <v>4차</v>
      </c>
      <c r="D16498" s="1" t="str">
        <f>"0227A20145"</f>
        <v>0227A20145</v>
      </c>
      <c r="E16498" s="1" t="s">
        <v>10</v>
      </c>
      <c r="F16498" s="1" t="str">
        <f>"10.14.12.54"</f>
        <v>10.14.12.54</v>
      </c>
      <c r="G16498" s="1" t="str">
        <f>"0227A201"</f>
        <v>0227A201</v>
      </c>
      <c r="H16498" s="1" t="str">
        <f>"종암 17"</f>
        <v>종암 17</v>
      </c>
      <c r="I16498" s="1" t="s">
        <v>17</v>
      </c>
      <c r="J16498" s="1" t="str">
        <f>"6/6"</f>
        <v>6/6</v>
      </c>
      <c r="K16498" s="1" t="str">
        <f>"2026-07-29 13:18:04"</f>
        <v>2026-07-29 13:18:04</v>
      </c>
      <c r="L16498" s="1" t="str">
        <f>"2021-06-24 08:55:01"</f>
        <v>2021-06-24 08:55:01</v>
      </c>
      <c r="M16498" s="1" t="s">
        <v>3</v>
      </c>
      <c r="N16498" s="1" t="s">
        <v>38</v>
      </c>
      <c r="O16498" s="1" t="s">
        <v>46</v>
      </c>
    </row>
    <row r="16499" spans="2:15" x14ac:dyDescent="0.3">
      <c r="B16499" s="1" t="s">
        <v>19</v>
      </c>
      <c r="C16499" s="1" t="str">
        <f t="shared" si="821"/>
        <v>4차</v>
      </c>
      <c r="D16499" s="1" t="str">
        <f>"0227A21145"</f>
        <v>0227A21145</v>
      </c>
      <c r="E16499" s="1" t="s">
        <v>10</v>
      </c>
      <c r="F16499" s="1" t="str">
        <f>"10.14.4.56"</f>
        <v>10.14.4.56</v>
      </c>
      <c r="G16499" s="1" t="str">
        <f>"0227A211"</f>
        <v>0227A211</v>
      </c>
      <c r="H16499" s="1" t="str">
        <f>"종암 18"</f>
        <v>종암 18</v>
      </c>
      <c r="I16499" s="1" t="s">
        <v>17</v>
      </c>
      <c r="J16499" s="1" t="str">
        <f>"22/22"</f>
        <v>22/22</v>
      </c>
      <c r="K16499" s="1" t="str">
        <f>"2026-07-29 13:18:02"</f>
        <v>2026-07-29 13:18:02</v>
      </c>
      <c r="L16499" s="1" t="str">
        <f>"2021-06-24 08:33:25"</f>
        <v>2021-06-24 08:33:25</v>
      </c>
      <c r="M16499" s="1" t="s">
        <v>3</v>
      </c>
      <c r="N16499" s="1" t="s">
        <v>38</v>
      </c>
      <c r="O16499" s="1" t="s">
        <v>46</v>
      </c>
    </row>
    <row r="16500" spans="2:15" x14ac:dyDescent="0.3">
      <c r="B16500" s="1" t="s">
        <v>19</v>
      </c>
      <c r="C16500" s="1" t="str">
        <f t="shared" si="821"/>
        <v>4차</v>
      </c>
      <c r="D16500" s="1" t="str">
        <f>"0227A25345"</f>
        <v>0227A25345</v>
      </c>
      <c r="E16500" s="1" t="s">
        <v>10</v>
      </c>
      <c r="F16500" s="1" t="str">
        <f>"10.14.5.52"</f>
        <v>10.14.5.52</v>
      </c>
      <c r="G16500" s="1" t="str">
        <f>"0227A253"</f>
        <v>0227A253</v>
      </c>
      <c r="H16500" s="1" t="str">
        <f>"종암 14"</f>
        <v>종암 14</v>
      </c>
      <c r="I16500" s="1" t="s">
        <v>17</v>
      </c>
      <c r="J16500" s="1" t="str">
        <f>"20/20"</f>
        <v>20/20</v>
      </c>
      <c r="K16500" s="1" t="str">
        <f>"2026-07-29 13:18:04"</f>
        <v>2026-07-29 13:18:04</v>
      </c>
      <c r="L16500" s="1" t="str">
        <f>"2021-06-24 09:22:18"</f>
        <v>2021-06-24 09:22:18</v>
      </c>
      <c r="M16500" s="1" t="s">
        <v>3</v>
      </c>
      <c r="N16500" s="1" t="s">
        <v>38</v>
      </c>
      <c r="O16500" s="1" t="s">
        <v>46</v>
      </c>
    </row>
    <row r="16501" spans="2:15" x14ac:dyDescent="0.3">
      <c r="B16501" s="1" t="s">
        <v>19</v>
      </c>
      <c r="C16501" s="1" t="str">
        <f>"5-2차"</f>
        <v>5-2차</v>
      </c>
      <c r="D16501" s="1" t="str">
        <f>"0227A2615M"</f>
        <v>0227A2615M</v>
      </c>
      <c r="E16501" s="1" t="s">
        <v>10</v>
      </c>
      <c r="F16501" s="1" t="str">
        <f>"fde1:103:4:92e7:0:0:0:2"</f>
        <v>fde1:103:4:92e7:0:0:0:2</v>
      </c>
      <c r="G16501" s="1" t="str">
        <f>"0227A261"</f>
        <v>0227A261</v>
      </c>
      <c r="H16501" s="1" t="str">
        <f>"고려지 41L12C1"</f>
        <v>고려지 41L12C1</v>
      </c>
      <c r="I16501" s="1" t="s">
        <v>15</v>
      </c>
      <c r="J16501" s="1" t="str">
        <f>"61/61"</f>
        <v>61/61</v>
      </c>
      <c r="K16501" s="1" t="str">
        <f>"2026-07-29 14:20:37"</f>
        <v>2026-07-29 14:20:37</v>
      </c>
      <c r="L16501" s="1" t="str">
        <f>"2023-12-18 10:47:16"</f>
        <v>2023-12-18 10:47:16</v>
      </c>
      <c r="M16501" s="1" t="s">
        <v>4</v>
      </c>
      <c r="N16501" s="1" t="s">
        <v>38</v>
      </c>
      <c r="O16501" s="1" t="s">
        <v>46</v>
      </c>
    </row>
    <row r="16502" spans="2:15" x14ac:dyDescent="0.3">
      <c r="B16502" s="1" t="s">
        <v>19</v>
      </c>
      <c r="C16502" s="1" t="str">
        <f>"4차"</f>
        <v>4차</v>
      </c>
      <c r="D16502" s="1" t="str">
        <f>"0227A34144"</f>
        <v>0227A34144</v>
      </c>
      <c r="E16502" s="1" t="s">
        <v>10</v>
      </c>
      <c r="F16502" s="1" t="str">
        <f>"10.107.12.5"</f>
        <v>10.107.12.5</v>
      </c>
      <c r="G16502" s="1" t="str">
        <f>"0227A341"</f>
        <v>0227A341</v>
      </c>
      <c r="H16502" s="1" t="str">
        <f>"고려지 41L14C2"</f>
        <v>고려지 41L14C2</v>
      </c>
      <c r="I16502" s="1" t="s">
        <v>8</v>
      </c>
      <c r="J16502" s="1" t="str">
        <f>"12/14"</f>
        <v>12/14</v>
      </c>
      <c r="K16502" s="1" t="str">
        <f>"2026-07-29 13:18:02"</f>
        <v>2026-07-29 13:18:02</v>
      </c>
      <c r="L16502" s="1" t="str">
        <f>"2019-10-17 14:43:03"</f>
        <v>2019-10-17 14:43:03</v>
      </c>
      <c r="M16502" s="1" t="s">
        <v>45</v>
      </c>
      <c r="N16502" s="1" t="s">
        <v>38</v>
      </c>
      <c r="O16502" s="1" t="s">
        <v>46</v>
      </c>
    </row>
    <row r="16503" spans="2:15" x14ac:dyDescent="0.3">
      <c r="B16503" s="1" t="s">
        <v>19</v>
      </c>
      <c r="C16503" s="1" t="str">
        <f>"5-2차"</f>
        <v>5-2차</v>
      </c>
      <c r="D16503" s="1" t="str">
        <f>"0227A3715M"</f>
        <v>0227A3715M</v>
      </c>
      <c r="E16503" s="1" t="s">
        <v>10</v>
      </c>
      <c r="F16503" s="1" t="str">
        <f>"fde1:103:4:93c4:0:0:0:2"</f>
        <v>fde1:103:4:93c4:0:0:0:2</v>
      </c>
      <c r="G16503" s="1" t="str">
        <f>"0227A371"</f>
        <v>0227A371</v>
      </c>
      <c r="H16503" s="1" t="str">
        <f>"고려지 41L12"</f>
        <v>고려지 41L12</v>
      </c>
      <c r="I16503" s="1" t="s">
        <v>15</v>
      </c>
      <c r="J16503" s="1" t="str">
        <f>"48/48"</f>
        <v>48/48</v>
      </c>
      <c r="K16503" s="1" t="str">
        <f>"2026-07-29 14:20:32"</f>
        <v>2026-07-29 14:20:32</v>
      </c>
      <c r="L16503" s="1" t="str">
        <f>"2023-12-18 11:07:56"</f>
        <v>2023-12-18 11:07:56</v>
      </c>
      <c r="M16503" s="1" t="s">
        <v>4</v>
      </c>
      <c r="N16503" s="1" t="s">
        <v>38</v>
      </c>
      <c r="O16503" s="1" t="s">
        <v>46</v>
      </c>
    </row>
    <row r="16504" spans="2:15" x14ac:dyDescent="0.3">
      <c r="B16504" s="1" t="s">
        <v>19</v>
      </c>
      <c r="C16504" s="1" t="str">
        <f>"6차"</f>
        <v>6차</v>
      </c>
      <c r="D16504" s="1" t="str">
        <f>"0227A3746S"</f>
        <v>0227A3746S</v>
      </c>
      <c r="E16504" s="1" t="s">
        <v>10</v>
      </c>
      <c r="F16504" s="1" t="str">
        <f>"fde1:103:4:9282:0:0:0:2"</f>
        <v>fde1:103:4:9282:0:0:0:2</v>
      </c>
      <c r="G16504" s="1" t="str">
        <f>"0227A374"</f>
        <v>0227A374</v>
      </c>
      <c r="H16504" s="1" t="str">
        <f>"고려지 41L11"</f>
        <v>고려지 41L11</v>
      </c>
      <c r="I16504" s="1" t="s">
        <v>15</v>
      </c>
      <c r="J16504" s="1" t="str">
        <f>"30/30"</f>
        <v>30/30</v>
      </c>
      <c r="K16504" s="1" t="str">
        <f>"2026-07-29 14:21:00"</f>
        <v>2026-07-29 14:21:00</v>
      </c>
      <c r="L16504" s="1" t="str">
        <f>"2024-10-28 15:47:44"</f>
        <v>2024-10-28 15:47:44</v>
      </c>
      <c r="M16504" s="1" t="s">
        <v>4</v>
      </c>
      <c r="N16504" s="1" t="s">
        <v>38</v>
      </c>
      <c r="O16504" s="1" t="s">
        <v>46</v>
      </c>
    </row>
    <row r="16505" spans="2:15" x14ac:dyDescent="0.3">
      <c r="B16505" s="1" t="s">
        <v>19</v>
      </c>
      <c r="C16505" s="1" t="str">
        <f>"4차"</f>
        <v>4차</v>
      </c>
      <c r="D16505" s="1" t="str">
        <f>"0227A44244"</f>
        <v>0227A44244</v>
      </c>
      <c r="E16505" s="1" t="s">
        <v>10</v>
      </c>
      <c r="F16505" s="1" t="str">
        <f>"10.107.12.6"</f>
        <v>10.107.12.6</v>
      </c>
      <c r="G16505" s="1" t="str">
        <f>"0227A442"</f>
        <v>0227A442</v>
      </c>
      <c r="H16505" s="1" t="str">
        <f>"고려지 41L14C4"</f>
        <v>고려지 41L14C4</v>
      </c>
      <c r="I16505" s="1" t="s">
        <v>8</v>
      </c>
      <c r="J16505" s="1" t="str">
        <f>"16/16"</f>
        <v>16/16</v>
      </c>
      <c r="K16505" s="1" t="str">
        <f>"2026-07-29 13:18:01"</f>
        <v>2026-07-29 13:18:01</v>
      </c>
      <c r="L16505" s="1" t="str">
        <f>"2019-10-17 18:13:03"</f>
        <v>2019-10-17 18:13:03</v>
      </c>
      <c r="M16505" s="1" t="s">
        <v>45</v>
      </c>
      <c r="N16505" s="1" t="s">
        <v>38</v>
      </c>
      <c r="O16505" s="1" t="s">
        <v>46</v>
      </c>
    </row>
    <row r="16506" spans="2:15" x14ac:dyDescent="0.3">
      <c r="B16506" s="1" t="s">
        <v>19</v>
      </c>
      <c r="C16506" s="1" t="str">
        <f>"5-2차"</f>
        <v>5-2차</v>
      </c>
      <c r="D16506" s="1" t="str">
        <f>"0227A4525M"</f>
        <v>0227A4525M</v>
      </c>
      <c r="E16506" s="1" t="s">
        <v>10</v>
      </c>
      <c r="F16506" s="1" t="str">
        <f>"fde1:103:4:92ef:0:0:0:2"</f>
        <v>fde1:103:4:92ef:0:0:0:2</v>
      </c>
      <c r="G16506" s="1" t="str">
        <f>"0227A452"</f>
        <v>0227A452</v>
      </c>
      <c r="H16506" s="1" t="str">
        <f>"고려지 41L14L1"</f>
        <v>고려지 41L14L1</v>
      </c>
      <c r="I16506" s="1" t="s">
        <v>15</v>
      </c>
      <c r="J16506" s="1" t="str">
        <f>"42/42"</f>
        <v>42/42</v>
      </c>
      <c r="K16506" s="1" t="str">
        <f>"2026-07-29 14:20:25"</f>
        <v>2026-07-29 14:20:25</v>
      </c>
      <c r="L16506" s="1" t="str">
        <f>"2023-12-18 11:10:26"</f>
        <v>2023-12-18 11:10:26</v>
      </c>
      <c r="M16506" s="1" t="s">
        <v>4</v>
      </c>
      <c r="N16506" s="1" t="s">
        <v>38</v>
      </c>
      <c r="O16506" s="1" t="s">
        <v>46</v>
      </c>
    </row>
    <row r="16507" spans="2:15" x14ac:dyDescent="0.3">
      <c r="B16507" s="1" t="s">
        <v>19</v>
      </c>
      <c r="C16507" s="1" t="str">
        <f>"5-2차"</f>
        <v>5-2차</v>
      </c>
      <c r="D16507" s="1" t="str">
        <f>"0227A4635M"</f>
        <v>0227A4635M</v>
      </c>
      <c r="E16507" s="1" t="s">
        <v>10</v>
      </c>
      <c r="F16507" s="1" t="str">
        <f>"fde1:103:4:92d8:0:0:0:2"</f>
        <v>fde1:103:4:92d8:0:0:0:2</v>
      </c>
      <c r="G16507" s="1" t="str">
        <f>"0227A463"</f>
        <v>0227A463</v>
      </c>
      <c r="H16507" s="1" t="str">
        <f>"고려지 41L14L2"</f>
        <v>고려지 41L14L2</v>
      </c>
      <c r="I16507" s="1" t="s">
        <v>15</v>
      </c>
      <c r="J16507" s="1" t="str">
        <f>"124/125"</f>
        <v>124/125</v>
      </c>
      <c r="K16507" s="1" t="str">
        <f>"2026-07-29 14:20:24"</f>
        <v>2026-07-29 14:20:24</v>
      </c>
      <c r="L16507" s="1" t="str">
        <f>"2023-12-18 11:09:00"</f>
        <v>2023-12-18 11:09:00</v>
      </c>
      <c r="M16507" s="1" t="s">
        <v>4</v>
      </c>
      <c r="N16507" s="1" t="s">
        <v>38</v>
      </c>
      <c r="O16507" s="1" t="s">
        <v>46</v>
      </c>
    </row>
    <row r="16508" spans="2:15" x14ac:dyDescent="0.3">
      <c r="B16508" s="1" t="s">
        <v>19</v>
      </c>
      <c r="C16508" s="1" t="str">
        <f>"5-2차"</f>
        <v>5-2차</v>
      </c>
      <c r="D16508" s="1" t="str">
        <f>"0227A4725M"</f>
        <v>0227A4725M</v>
      </c>
      <c r="E16508" s="1" t="s">
        <v>10</v>
      </c>
      <c r="F16508" s="1" t="str">
        <f>"fde1:103:4:9391:0:0:0:2"</f>
        <v>fde1:103:4:9391:0:0:0:2</v>
      </c>
      <c r="G16508" s="1" t="str">
        <f>"0227A472"</f>
        <v>0227A472</v>
      </c>
      <c r="H16508" s="1" t="str">
        <f>"고려지 41L9L1"</f>
        <v>고려지 41L9L1</v>
      </c>
      <c r="I16508" s="1" t="s">
        <v>15</v>
      </c>
      <c r="J16508" s="1" t="str">
        <f>"64/64"</f>
        <v>64/64</v>
      </c>
      <c r="K16508" s="1" t="str">
        <f>"2026-07-29 14:20:04"</f>
        <v>2026-07-29 14:20:04</v>
      </c>
      <c r="L16508" s="1" t="str">
        <f>"2023-12-18 11:09:26"</f>
        <v>2023-12-18 11:09:26</v>
      </c>
      <c r="M16508" s="1" t="s">
        <v>4</v>
      </c>
      <c r="N16508" s="1" t="s">
        <v>38</v>
      </c>
      <c r="O16508" s="1" t="s">
        <v>46</v>
      </c>
    </row>
    <row r="16509" spans="2:15" x14ac:dyDescent="0.3">
      <c r="B16509" s="1" t="s">
        <v>19</v>
      </c>
      <c r="C16509" s="1" t="str">
        <f>"4차"</f>
        <v>4차</v>
      </c>
      <c r="D16509" s="1" t="str">
        <f>"0227A54144"</f>
        <v>0227A54144</v>
      </c>
      <c r="E16509" s="1" t="s">
        <v>10</v>
      </c>
      <c r="F16509" s="1" t="str">
        <f>"10.107.12.2"</f>
        <v>10.107.12.2</v>
      </c>
      <c r="G16509" s="1" t="str">
        <f>"0227A541"</f>
        <v>0227A541</v>
      </c>
      <c r="H16509" s="1" t="str">
        <f>"고려지 32"</f>
        <v>고려지 32</v>
      </c>
      <c r="I16509" s="1" t="s">
        <v>8</v>
      </c>
      <c r="J16509" s="1" t="str">
        <f>"58/58"</f>
        <v>58/58</v>
      </c>
      <c r="K16509" s="1" t="str">
        <f>"2026-07-29 13:18:02"</f>
        <v>2026-07-29 13:18:02</v>
      </c>
      <c r="L16509" s="1" t="str">
        <f>"2020-01-21 16:58:09"</f>
        <v>2020-01-21 16:58:09</v>
      </c>
      <c r="M16509" s="1" t="s">
        <v>45</v>
      </c>
      <c r="N16509" s="1" t="s">
        <v>38</v>
      </c>
      <c r="O16509" s="1" t="s">
        <v>46</v>
      </c>
    </row>
    <row r="16510" spans="2:15" x14ac:dyDescent="0.3">
      <c r="B16510" s="1" t="s">
        <v>19</v>
      </c>
      <c r="C16510" s="1" t="str">
        <f>"5-2차"</f>
        <v>5-2차</v>
      </c>
      <c r="D16510" s="1" t="str">
        <f>"0227A6735M"</f>
        <v>0227A6735M</v>
      </c>
      <c r="E16510" s="1" t="s">
        <v>10</v>
      </c>
      <c r="F16510" s="1" t="str">
        <f>"fde3:102:1410:8100:0:0:0:7"</f>
        <v>fde3:102:1410:8100:0:0:0:7</v>
      </c>
      <c r="G16510" s="1" t="str">
        <f>"0227A673"</f>
        <v>0227A673</v>
      </c>
      <c r="H16510" s="1" t="str">
        <f>"고려지 38L1"</f>
        <v>고려지 38L1</v>
      </c>
      <c r="I16510" s="1" t="s">
        <v>15</v>
      </c>
      <c r="J16510" s="1" t="str">
        <f>"78/78"</f>
        <v>78/78</v>
      </c>
      <c r="K16510" s="1" t="str">
        <f>"2026-07-29 14:20:50"</f>
        <v>2026-07-29 14:20:50</v>
      </c>
      <c r="L16510" s="1" t="str">
        <f>"2023-12-13 14:25:32"</f>
        <v>2023-12-13 14:25:32</v>
      </c>
      <c r="M16510" s="1" t="s">
        <v>45</v>
      </c>
      <c r="N16510" s="1" t="s">
        <v>38</v>
      </c>
      <c r="O16510" s="1" t="s">
        <v>46</v>
      </c>
    </row>
    <row r="16511" spans="2:15" x14ac:dyDescent="0.3">
      <c r="B16511" s="1" t="s">
        <v>19</v>
      </c>
      <c r="C16511" s="1" t="str">
        <f>"4차"</f>
        <v>4차</v>
      </c>
      <c r="D16511" s="1" t="str">
        <f>"0227A69144"</f>
        <v>0227A69144</v>
      </c>
      <c r="E16511" s="1" t="s">
        <v>10</v>
      </c>
      <c r="F16511" s="1" t="str">
        <f>"10.107.252.146"</f>
        <v>10.107.252.146</v>
      </c>
      <c r="G16511" s="1" t="str">
        <f>"0227A691"</f>
        <v>0227A691</v>
      </c>
      <c r="H16511" s="1" t="str">
        <f>"고려지 41L1"</f>
        <v>고려지 41L1</v>
      </c>
      <c r="I16511" s="1" t="s">
        <v>8</v>
      </c>
      <c r="J16511" s="1" t="str">
        <f>"61/61"</f>
        <v>61/61</v>
      </c>
      <c r="K16511" s="1" t="str">
        <f>"2026-07-29 13:18:01"</f>
        <v>2026-07-29 13:18:01</v>
      </c>
      <c r="L16511" s="1" t="str">
        <f>"2019-10-24 15:56:14"</f>
        <v>2019-10-24 15:56:14</v>
      </c>
      <c r="M16511" s="1" t="s">
        <v>45</v>
      </c>
      <c r="N16511" s="1" t="s">
        <v>38</v>
      </c>
      <c r="O16511" s="1" t="s">
        <v>46</v>
      </c>
    </row>
    <row r="16512" spans="2:15" x14ac:dyDescent="0.3">
      <c r="B16512" s="1" t="s">
        <v>19</v>
      </c>
      <c r="C16512" s="1" t="str">
        <f>"5-2차"</f>
        <v>5-2차</v>
      </c>
      <c r="D16512" s="1" t="str">
        <f>"0227A8715M"</f>
        <v>0227A8715M</v>
      </c>
      <c r="E16512" s="1" t="s">
        <v>10</v>
      </c>
      <c r="F16512" s="1" t="str">
        <f>"fde3:102:1410:8100:0:0:0:8"</f>
        <v>fde3:102:1410:8100:0:0:0:8</v>
      </c>
      <c r="G16512" s="1" t="str">
        <f>"0227A871"</f>
        <v>0227A871</v>
      </c>
      <c r="H16512" s="1" t="str">
        <f>"고려지 40B2"</f>
        <v>고려지 40B2</v>
      </c>
      <c r="I16512" s="1" t="s">
        <v>15</v>
      </c>
      <c r="J16512" s="1" t="str">
        <f>"41/41"</f>
        <v>41/41</v>
      </c>
      <c r="K16512" s="1" t="str">
        <f>"2026-07-29 14:20:04"</f>
        <v>2026-07-29 14:20:04</v>
      </c>
      <c r="L16512" s="1" t="str">
        <f>"2023-12-11 11:24:45"</f>
        <v>2023-12-11 11:24:45</v>
      </c>
      <c r="M16512" s="1" t="s">
        <v>45</v>
      </c>
      <c r="N16512" s="1" t="s">
        <v>38</v>
      </c>
      <c r="O16512" s="1" t="s">
        <v>46</v>
      </c>
    </row>
    <row r="16513" spans="2:15" x14ac:dyDescent="0.3">
      <c r="B16513" s="1" t="s">
        <v>19</v>
      </c>
      <c r="C16513" s="1" t="str">
        <f>"4차"</f>
        <v>4차</v>
      </c>
      <c r="D16513" s="1" t="str">
        <f>"0227A88244"</f>
        <v>0227A88244</v>
      </c>
      <c r="E16513" s="1" t="s">
        <v>10</v>
      </c>
      <c r="F16513" s="1" t="str">
        <f>"10.107.252.154"</f>
        <v>10.107.252.154</v>
      </c>
      <c r="G16513" s="1" t="str">
        <f>"0227A882"</f>
        <v>0227A882</v>
      </c>
      <c r="H16513" s="1" t="str">
        <f>"고려지 40R2R2"</f>
        <v>고려지 40R2R2</v>
      </c>
      <c r="I16513" s="1" t="s">
        <v>8</v>
      </c>
      <c r="J16513" s="1" t="str">
        <f>"59/59"</f>
        <v>59/59</v>
      </c>
      <c r="K16513" s="1" t="str">
        <f>"2026-07-29 13:18:01"</f>
        <v>2026-07-29 13:18:01</v>
      </c>
      <c r="L16513" s="1" t="str">
        <f>"2019-10-17 14:26:50"</f>
        <v>2019-10-17 14:26:50</v>
      </c>
      <c r="M16513" s="1" t="s">
        <v>45</v>
      </c>
      <c r="N16513" s="1" t="s">
        <v>38</v>
      </c>
      <c r="O16513" s="1" t="s">
        <v>46</v>
      </c>
    </row>
    <row r="16514" spans="2:15" x14ac:dyDescent="0.3">
      <c r="B16514" s="1" t="s">
        <v>19</v>
      </c>
      <c r="C16514" s="1" t="str">
        <f>"4차"</f>
        <v>4차</v>
      </c>
      <c r="D16514" s="1" t="str">
        <f>"0227A89344"</f>
        <v>0227A89344</v>
      </c>
      <c r="E16514" s="1" t="s">
        <v>10</v>
      </c>
      <c r="F16514" s="1" t="str">
        <f>"10.107.252.153"</f>
        <v>10.107.252.153</v>
      </c>
      <c r="G16514" s="1" t="str">
        <f>"0227A893"</f>
        <v>0227A893</v>
      </c>
      <c r="H16514" s="1" t="str">
        <f>"고려지 40R2R1L1"</f>
        <v>고려지 40R2R1L1</v>
      </c>
      <c r="I16514" s="1" t="s">
        <v>8</v>
      </c>
      <c r="J16514" s="1" t="str">
        <f>"68/68"</f>
        <v>68/68</v>
      </c>
      <c r="K16514" s="1" t="str">
        <f>"2026-07-29 13:18:01"</f>
        <v>2026-07-29 13:18:01</v>
      </c>
      <c r="L16514" s="1" t="str">
        <f>"2019-10-17 12:26:34"</f>
        <v>2019-10-17 12:26:34</v>
      </c>
      <c r="M16514" s="1" t="s">
        <v>45</v>
      </c>
      <c r="N16514" s="1" t="s">
        <v>38</v>
      </c>
      <c r="O16514" s="1" t="s">
        <v>46</v>
      </c>
    </row>
    <row r="16515" spans="2:15" x14ac:dyDescent="0.3">
      <c r="B16515" s="1" t="s">
        <v>19</v>
      </c>
      <c r="C16515" s="1" t="str">
        <f>"4차"</f>
        <v>4차</v>
      </c>
      <c r="D16515" s="1" t="str">
        <f>"0227C19241"</f>
        <v>0227C19241</v>
      </c>
      <c r="E16515" s="1" t="s">
        <v>10</v>
      </c>
      <c r="F16515" s="1" t="str">
        <f>"10.14.5.61"</f>
        <v>10.14.5.61</v>
      </c>
      <c r="G16515" s="1" t="str">
        <f>"0227C192"</f>
        <v>0227C192</v>
      </c>
      <c r="H16515" s="1" t="str">
        <f>"개운간 48"</f>
        <v>개운간 48</v>
      </c>
      <c r="I16515" s="1" t="s">
        <v>17</v>
      </c>
      <c r="J16515" s="1" t="str">
        <f>"74/74"</f>
        <v>74/74</v>
      </c>
      <c r="K16515" s="1" t="str">
        <f>"2026-07-29 13:18:03"</f>
        <v>2026-07-29 13:18:03</v>
      </c>
      <c r="L16515" s="1" t="str">
        <f>"2021-08-30 12:44:17"</f>
        <v>2021-08-30 12:44:17</v>
      </c>
      <c r="M16515" s="1" t="s">
        <v>3</v>
      </c>
      <c r="N16515" s="1" t="s">
        <v>38</v>
      </c>
      <c r="O16515" s="1" t="s">
        <v>46</v>
      </c>
    </row>
    <row r="16516" spans="2:15" x14ac:dyDescent="0.3">
      <c r="B16516" s="1" t="s">
        <v>19</v>
      </c>
      <c r="C16516" s="1" t="str">
        <f>"4차"</f>
        <v>4차</v>
      </c>
      <c r="D16516" s="1" t="str">
        <f>"0227C36341"</f>
        <v>0227C36341</v>
      </c>
      <c r="E16516" s="1" t="s">
        <v>10</v>
      </c>
      <c r="F16516" s="1" t="str">
        <f>"10.14.14.8"</f>
        <v>10.14.14.8</v>
      </c>
      <c r="G16516" s="1" t="str">
        <f>"0227C363"</f>
        <v>0227C363</v>
      </c>
      <c r="H16516" s="1" t="str">
        <f>"고려지 18L2"</f>
        <v>고려지 18L2</v>
      </c>
      <c r="I16516" s="1" t="s">
        <v>17</v>
      </c>
      <c r="J16516" s="1" t="str">
        <f>"11/18"</f>
        <v>11/18</v>
      </c>
      <c r="K16516" s="1" t="str">
        <f>"2026-07-29 13:18:03"</f>
        <v>2026-07-29 13:18:03</v>
      </c>
      <c r="L16516" s="1" t="str">
        <f>"2021-08-30 11:53:28"</f>
        <v>2021-08-30 11:53:28</v>
      </c>
      <c r="M16516" s="1" t="s">
        <v>3</v>
      </c>
      <c r="N16516" s="1" t="s">
        <v>38</v>
      </c>
      <c r="O16516" s="1" t="s">
        <v>46</v>
      </c>
    </row>
    <row r="16517" spans="2:15" x14ac:dyDescent="0.3">
      <c r="B16517" s="1" t="s">
        <v>19</v>
      </c>
      <c r="C16517" s="1" t="str">
        <f>"4차"</f>
        <v>4차</v>
      </c>
      <c r="D16517" s="1" t="str">
        <f>"0227C48141"</f>
        <v>0227C48141</v>
      </c>
      <c r="E16517" s="1" t="s">
        <v>10</v>
      </c>
      <c r="F16517" s="1" t="str">
        <f>"10.14.11.27"</f>
        <v>10.14.11.27</v>
      </c>
      <c r="G16517" s="1" t="str">
        <f>"0227C481"</f>
        <v>0227C481</v>
      </c>
      <c r="H16517" s="1" t="str">
        <f>"고려지 21"</f>
        <v>고려지 21</v>
      </c>
      <c r="I16517" s="1" t="s">
        <v>17</v>
      </c>
      <c r="J16517" s="1" t="str">
        <f>"45/53"</f>
        <v>45/53</v>
      </c>
      <c r="K16517" s="1" t="str">
        <f>"2026-07-29 13:18:03"</f>
        <v>2026-07-29 13:18:03</v>
      </c>
      <c r="L16517" s="1" t="str">
        <f>"2021-08-30 11:20:25"</f>
        <v>2021-08-30 11:20:25</v>
      </c>
      <c r="M16517" s="1" t="s">
        <v>3</v>
      </c>
      <c r="N16517" s="1" t="s">
        <v>38</v>
      </c>
      <c r="O16517" s="1" t="s">
        <v>46</v>
      </c>
    </row>
    <row r="16518" spans="2:15" x14ac:dyDescent="0.3">
      <c r="B16518" s="1" t="s">
        <v>19</v>
      </c>
      <c r="C16518" s="1" t="str">
        <f>"5-2차"</f>
        <v>5-2차</v>
      </c>
      <c r="D16518" s="1" t="str">
        <f>"0227C4855M"</f>
        <v>0227C4855M</v>
      </c>
      <c r="E16518" s="1" t="s">
        <v>10</v>
      </c>
      <c r="F16518" s="1" t="str">
        <f>"fde1:103:4:9419:0:0:0:2"</f>
        <v>fde1:103:4:9419:0:0:0:2</v>
      </c>
      <c r="G16518" s="1" t="str">
        <f>"0227C485"</f>
        <v>0227C485</v>
      </c>
      <c r="H16518" s="1" t="str">
        <f>"고려지 23"</f>
        <v>고려지 23</v>
      </c>
      <c r="I16518" s="1" t="s">
        <v>15</v>
      </c>
      <c r="J16518" s="1" t="str">
        <f>"54/54"</f>
        <v>54/54</v>
      </c>
      <c r="K16518" s="1" t="str">
        <f>"2026-07-29 14:20:48"</f>
        <v>2026-07-29 14:20:48</v>
      </c>
      <c r="L16518" s="1" t="str">
        <f>"2023-12-18 11:09:53"</f>
        <v>2023-12-18 11:09:53</v>
      </c>
      <c r="M16518" s="1" t="s">
        <v>4</v>
      </c>
      <c r="N16518" s="1" t="s">
        <v>38</v>
      </c>
      <c r="O16518" s="1" t="s">
        <v>46</v>
      </c>
    </row>
    <row r="16519" spans="2:15" x14ac:dyDescent="0.3">
      <c r="B16519" s="1" t="s">
        <v>19</v>
      </c>
      <c r="C16519" s="1" t="str">
        <f>"5-2차"</f>
        <v>5-2차</v>
      </c>
      <c r="D16519" s="1" t="str">
        <f>"0227C5715M"</f>
        <v>0227C5715M</v>
      </c>
      <c r="E16519" s="1" t="s">
        <v>10</v>
      </c>
      <c r="F16519" s="1" t="str">
        <f>"fde1:103:4:92c2:0:0:0:2"</f>
        <v>fde1:103:4:92c2:0:0:0:2</v>
      </c>
      <c r="G16519" s="1" t="str">
        <f>"0227C571"</f>
        <v>0227C571</v>
      </c>
      <c r="H16519" s="1" t="str">
        <f>"고려지 21R1"</f>
        <v>고려지 21R1</v>
      </c>
      <c r="I16519" s="1" t="s">
        <v>15</v>
      </c>
      <c r="J16519" s="1" t="str">
        <f>"77/77"</f>
        <v>77/77</v>
      </c>
      <c r="K16519" s="1" t="str">
        <f>"2026-07-29 14:20:13"</f>
        <v>2026-07-29 14:20:13</v>
      </c>
      <c r="L16519" s="1" t="str">
        <f>"2023-12-27 10:12:30"</f>
        <v>2023-12-27 10:12:30</v>
      </c>
      <c r="M16519" s="1" t="s">
        <v>4</v>
      </c>
      <c r="N16519" s="1" t="s">
        <v>38</v>
      </c>
      <c r="O16519" s="1" t="s">
        <v>46</v>
      </c>
    </row>
    <row r="16520" spans="2:15" x14ac:dyDescent="0.3">
      <c r="B16520" s="1" t="s">
        <v>19</v>
      </c>
      <c r="C16520" s="1" t="str">
        <f>"5-2차"</f>
        <v>5-2차</v>
      </c>
      <c r="D16520" s="1" t="str">
        <f>"0227C6735M"</f>
        <v>0227C6735M</v>
      </c>
      <c r="E16520" s="1" t="s">
        <v>10</v>
      </c>
      <c r="F16520" s="1" t="str">
        <f>"fde1:103:4:9250:0:0:0:2"</f>
        <v>fde1:103:4:9250:0:0:0:2</v>
      </c>
      <c r="G16520" s="1" t="str">
        <f>"0227C673"</f>
        <v>0227C673</v>
      </c>
      <c r="H16520" s="1" t="str">
        <f>"고려지 21R2"</f>
        <v>고려지 21R2</v>
      </c>
      <c r="I16520" s="1" t="s">
        <v>15</v>
      </c>
      <c r="J16520" s="1" t="str">
        <f>"102/102"</f>
        <v>102/102</v>
      </c>
      <c r="K16520" s="1" t="str">
        <f>"2026-07-29 14:20:28"</f>
        <v>2026-07-29 14:20:28</v>
      </c>
      <c r="L16520" s="1" t="str">
        <f>"2023-12-21 08:59:13"</f>
        <v>2023-12-21 08:59:13</v>
      </c>
      <c r="M16520" s="1" t="s">
        <v>4</v>
      </c>
      <c r="N16520" s="1" t="s">
        <v>38</v>
      </c>
      <c r="O16520" s="1" t="s">
        <v>46</v>
      </c>
    </row>
    <row r="16521" spans="2:15" x14ac:dyDescent="0.3">
      <c r="B16521" s="1" t="s">
        <v>19</v>
      </c>
      <c r="C16521" s="1" t="str">
        <f>"5-2차"</f>
        <v>5-2차</v>
      </c>
      <c r="D16521" s="1" t="str">
        <f>"0227C6815M"</f>
        <v>0227C6815M</v>
      </c>
      <c r="E16521" s="1" t="s">
        <v>10</v>
      </c>
      <c r="F16521" s="1" t="str">
        <f>"fde1:103:4:92c0:0:0:0:2"</f>
        <v>fde1:103:4:92c0:0:0:0:2</v>
      </c>
      <c r="G16521" s="1" t="str">
        <f>"0227C681"</f>
        <v>0227C681</v>
      </c>
      <c r="H16521" s="1" t="str">
        <f>"고려지 25R2"</f>
        <v>고려지 25R2</v>
      </c>
      <c r="I16521" s="1" t="s">
        <v>15</v>
      </c>
      <c r="J16521" s="1" t="str">
        <f>"105/107"</f>
        <v>105/107</v>
      </c>
      <c r="K16521" s="1" t="str">
        <f>"2026-07-29 14:20:25"</f>
        <v>2026-07-29 14:20:25</v>
      </c>
      <c r="L16521" s="1" t="str">
        <f>"2024-01-08 10:44:58"</f>
        <v>2024-01-08 10:44:58</v>
      </c>
      <c r="M16521" s="1" t="s">
        <v>4</v>
      </c>
      <c r="N16521" s="1" t="s">
        <v>38</v>
      </c>
      <c r="O16521" s="1" t="s">
        <v>46</v>
      </c>
    </row>
    <row r="16522" spans="2:15" x14ac:dyDescent="0.3">
      <c r="B16522" s="1" t="s">
        <v>19</v>
      </c>
      <c r="C16522" s="1" t="str">
        <f>"4차"</f>
        <v>4차</v>
      </c>
      <c r="D16522" s="1" t="str">
        <f>"0228A01839"</f>
        <v>0228A01839</v>
      </c>
      <c r="E16522" s="1" t="s">
        <v>10</v>
      </c>
      <c r="F16522" s="1" t="str">
        <f>"10.12.136.98"</f>
        <v>10.12.136.98</v>
      </c>
      <c r="G16522" s="1" t="str">
        <f>"0228A018"</f>
        <v>0228A018</v>
      </c>
      <c r="H16522" s="1" t="str">
        <f>"하월곡 8"</f>
        <v>하월곡 8</v>
      </c>
      <c r="I16522" s="1" t="s">
        <v>17</v>
      </c>
      <c r="J16522" s="1" t="str">
        <f>"14/14"</f>
        <v>14/14</v>
      </c>
      <c r="K16522" s="1" t="str">
        <f>"2026-07-29 13:18:03"</f>
        <v>2026-07-29 13:18:03</v>
      </c>
      <c r="L16522" s="1" t="str">
        <f>"2018-05-29 11:17:57"</f>
        <v>2018-05-29 11:17:57</v>
      </c>
      <c r="M16522" s="1" t="s">
        <v>0</v>
      </c>
      <c r="N16522" s="1" t="s">
        <v>38</v>
      </c>
      <c r="O16522" s="1" t="s">
        <v>46</v>
      </c>
    </row>
    <row r="16523" spans="2:15" x14ac:dyDescent="0.3">
      <c r="B16523" s="1" t="s">
        <v>19</v>
      </c>
      <c r="C16523" s="1" t="str">
        <f>"4차"</f>
        <v>4차</v>
      </c>
      <c r="D16523" s="1" t="str">
        <f>"0228A02239"</f>
        <v>0228A02239</v>
      </c>
      <c r="E16523" s="1" t="s">
        <v>10</v>
      </c>
      <c r="F16523" s="1" t="str">
        <f>"10.12.136.92"</f>
        <v>10.12.136.92</v>
      </c>
      <c r="G16523" s="1" t="str">
        <f>"0228A022"</f>
        <v>0228A022</v>
      </c>
      <c r="H16523" s="1" t="str">
        <f>"하월곡 36"</f>
        <v>하월곡 36</v>
      </c>
      <c r="I16523" s="1" t="s">
        <v>17</v>
      </c>
      <c r="J16523" s="1" t="str">
        <f>"3/3"</f>
        <v>3/3</v>
      </c>
      <c r="K16523" s="1" t="str">
        <f>"2026-07-29 13:18:01"</f>
        <v>2026-07-29 13:18:01</v>
      </c>
      <c r="L16523" s="1" t="str">
        <f>"2018-05-28 11:42:57"</f>
        <v>2018-05-28 11:42:57</v>
      </c>
      <c r="M16523" s="1" t="s">
        <v>0</v>
      </c>
      <c r="N16523" s="1" t="s">
        <v>38</v>
      </c>
      <c r="O16523" s="1" t="s">
        <v>46</v>
      </c>
    </row>
    <row r="16524" spans="2:15" x14ac:dyDescent="0.3">
      <c r="B16524" s="1" t="s">
        <v>19</v>
      </c>
      <c r="C16524" s="1" t="str">
        <f>"3차"</f>
        <v>3차</v>
      </c>
      <c r="D16524" s="1" t="str">
        <f>"0228A03231"</f>
        <v>0228A03231</v>
      </c>
      <c r="E16524" s="1" t="s">
        <v>10</v>
      </c>
      <c r="F16524" s="1" t="str">
        <f>"10.107.2.142"</f>
        <v>10.107.2.142</v>
      </c>
      <c r="G16524" s="1" t="str">
        <f>"0228A032"</f>
        <v>0228A032</v>
      </c>
      <c r="H16524" s="1" t="str">
        <f>"대지간 64R2"</f>
        <v>대지간 64R2</v>
      </c>
      <c r="I16524" s="1" t="s">
        <v>8</v>
      </c>
      <c r="J16524" s="1" t="str">
        <f>"67/73"</f>
        <v>67/73</v>
      </c>
      <c r="K16524" s="1" t="str">
        <f>"2026-07-29 13:18:01"</f>
        <v>2026-07-29 13:18:01</v>
      </c>
      <c r="L16524" s="1" t="str">
        <f>"2018-06-19 18:22:00"</f>
        <v>2018-06-19 18:22:00</v>
      </c>
      <c r="M16524" s="1" t="s">
        <v>45</v>
      </c>
      <c r="N16524" s="1" t="s">
        <v>38</v>
      </c>
      <c r="O16524" s="1" t="s">
        <v>46</v>
      </c>
    </row>
    <row r="16525" spans="2:15" x14ac:dyDescent="0.3">
      <c r="B16525" s="1" t="s">
        <v>19</v>
      </c>
      <c r="C16525" s="1" t="str">
        <f>"1차"</f>
        <v>1차</v>
      </c>
      <c r="D16525" s="1" t="str">
        <f>"0228A04201"</f>
        <v>0228A04201</v>
      </c>
      <c r="E16525" s="1" t="s">
        <v>10</v>
      </c>
      <c r="F16525" s="1" t="str">
        <f>"10.12.136.138"</f>
        <v>10.12.136.138</v>
      </c>
      <c r="G16525" s="1" t="str">
        <f>"0228A042"</f>
        <v>0228A042</v>
      </c>
      <c r="H16525" s="1" t="str">
        <f>"대지간 64R6R2R1"</f>
        <v>대지간 64R6R2R1</v>
      </c>
      <c r="I16525" s="1" t="s">
        <v>8</v>
      </c>
      <c r="J16525" s="1" t="str">
        <f>"14/14"</f>
        <v>14/14</v>
      </c>
      <c r="K16525" s="1" t="str">
        <f>"2026-07-29 13:18:03"</f>
        <v>2026-07-29 13:18:03</v>
      </c>
      <c r="L16525" s="1" t="str">
        <f>"2014-11-14 00:14:24"</f>
        <v>2014-11-14 00:14:24</v>
      </c>
      <c r="M16525" s="1" t="s">
        <v>0</v>
      </c>
      <c r="N16525" s="1" t="s">
        <v>38</v>
      </c>
      <c r="O16525" s="1" t="s">
        <v>46</v>
      </c>
    </row>
    <row r="16526" spans="2:15" x14ac:dyDescent="0.3">
      <c r="B16526" s="1" t="s">
        <v>19</v>
      </c>
      <c r="C16526" s="1" t="str">
        <f>"4차"</f>
        <v>4차</v>
      </c>
      <c r="D16526" s="1" t="str">
        <f>"0228A05344"</f>
        <v>0228A05344</v>
      </c>
      <c r="E16526" s="1" t="s">
        <v>10</v>
      </c>
      <c r="F16526" s="1" t="str">
        <f>"10.107.1.155"</f>
        <v>10.107.1.155</v>
      </c>
      <c r="G16526" s="1" t="str">
        <f>"0228A053"</f>
        <v>0228A053</v>
      </c>
      <c r="H16526" s="1" t="str">
        <f>"대지간 64R6R2"</f>
        <v>대지간 64R6R2</v>
      </c>
      <c r="I16526" s="1" t="s">
        <v>8</v>
      </c>
      <c r="J16526" s="1" t="str">
        <f>"47/49"</f>
        <v>47/49</v>
      </c>
      <c r="K16526" s="1" t="str">
        <f>"2026-07-29 13:18:00"</f>
        <v>2026-07-29 13:18:00</v>
      </c>
      <c r="L16526" s="1" t="str">
        <f>"2023-10-05 17:53:23"</f>
        <v>2023-10-05 17:53:23</v>
      </c>
      <c r="M16526" s="1" t="s">
        <v>45</v>
      </c>
      <c r="N16526" s="1" t="s">
        <v>38</v>
      </c>
      <c r="O16526" s="1" t="s">
        <v>46</v>
      </c>
    </row>
    <row r="16527" spans="2:15" x14ac:dyDescent="0.3">
      <c r="B16527" s="1" t="s">
        <v>19</v>
      </c>
      <c r="C16527" s="1" t="str">
        <f>"1차"</f>
        <v>1차</v>
      </c>
      <c r="D16527" s="1" t="str">
        <f>"0228A06300"</f>
        <v>0228A06300</v>
      </c>
      <c r="E16527" s="1" t="s">
        <v>10</v>
      </c>
      <c r="F16527" s="1" t="str">
        <f>"10.107.0.123"</f>
        <v>10.107.0.123</v>
      </c>
      <c r="G16527" s="1" t="str">
        <f>"0228A063"</f>
        <v>0228A063</v>
      </c>
      <c r="H16527" s="1" t="str">
        <f>"대지간 64HR10"</f>
        <v>대지간 64HR10</v>
      </c>
      <c r="I16527" s="1" t="s">
        <v>8</v>
      </c>
      <c r="J16527" s="1" t="str">
        <f>"10/23"</f>
        <v>10/23</v>
      </c>
      <c r="K16527" s="1" t="str">
        <f>"2026-07-29 13:18:02"</f>
        <v>2026-07-29 13:18:02</v>
      </c>
      <c r="L16527" s="1" t="str">
        <f>"2014-10-30 16:30:09"</f>
        <v>2014-10-30 16:30:09</v>
      </c>
      <c r="M16527" s="1" t="s">
        <v>45</v>
      </c>
      <c r="N16527" s="1" t="s">
        <v>38</v>
      </c>
      <c r="O16527" s="1" t="s">
        <v>46</v>
      </c>
    </row>
    <row r="16528" spans="2:15" x14ac:dyDescent="0.3">
      <c r="B16528" s="1" t="s">
        <v>19</v>
      </c>
      <c r="C16528" s="1" t="str">
        <f>"1차"</f>
        <v>1차</v>
      </c>
      <c r="D16528" s="1" t="str">
        <f>"0228A08301"</f>
        <v>0228A08301</v>
      </c>
      <c r="E16528" s="1" t="s">
        <v>10</v>
      </c>
      <c r="F16528" s="1" t="str">
        <f>"10.107.1.158"</f>
        <v>10.107.1.158</v>
      </c>
      <c r="G16528" s="1" t="str">
        <f>"0228A083"</f>
        <v>0228A083</v>
      </c>
      <c r="H16528" s="1" t="str">
        <f>"대지간 64R11"</f>
        <v>대지간 64R11</v>
      </c>
      <c r="I16528" s="1" t="s">
        <v>8</v>
      </c>
      <c r="J16528" s="1" t="str">
        <f>"11/11"</f>
        <v>11/11</v>
      </c>
      <c r="K16528" s="1" t="str">
        <f>"2026-07-29 13:18:01"</f>
        <v>2026-07-29 13:18:01</v>
      </c>
      <c r="L16528" s="1" t="str">
        <f>"2014-11-27 14:23:39"</f>
        <v>2014-11-27 14:23:39</v>
      </c>
      <c r="M16528" s="1" t="s">
        <v>45</v>
      </c>
      <c r="N16528" s="1" t="s">
        <v>38</v>
      </c>
      <c r="O16528" s="1" t="s">
        <v>46</v>
      </c>
    </row>
    <row r="16529" spans="2:15" x14ac:dyDescent="0.3">
      <c r="B16529" s="1" t="s">
        <v>19</v>
      </c>
      <c r="C16529" s="1" t="str">
        <f>"1차"</f>
        <v>1차</v>
      </c>
      <c r="D16529" s="1" t="str">
        <f>"0228A08500"</f>
        <v>0228A08500</v>
      </c>
      <c r="E16529" s="1" t="s">
        <v>10</v>
      </c>
      <c r="F16529" s="1" t="str">
        <f>"10.107.1.157"</f>
        <v>10.107.1.157</v>
      </c>
      <c r="G16529" s="1" t="str">
        <f>"0228A085"</f>
        <v>0228A085</v>
      </c>
      <c r="H16529" s="1" t="str">
        <f>"대지간 64R12"</f>
        <v>대지간 64R12</v>
      </c>
      <c r="I16529" s="1" t="s">
        <v>8</v>
      </c>
      <c r="J16529" s="1" t="str">
        <f>"88/88"</f>
        <v>88/88</v>
      </c>
      <c r="K16529" s="1" t="str">
        <f>"2026-07-29 13:18:02"</f>
        <v>2026-07-29 13:18:02</v>
      </c>
      <c r="L16529" s="1" t="str">
        <f>"2014-10-30 16:30:28"</f>
        <v>2014-10-30 16:30:28</v>
      </c>
      <c r="M16529" s="1" t="s">
        <v>45</v>
      </c>
      <c r="N16529" s="1" t="s">
        <v>38</v>
      </c>
      <c r="O16529" s="1" t="s">
        <v>46</v>
      </c>
    </row>
    <row r="16530" spans="2:15" x14ac:dyDescent="0.3">
      <c r="B16530" s="1" t="s">
        <v>19</v>
      </c>
      <c r="C16530" s="1" t="str">
        <f>"4차"</f>
        <v>4차</v>
      </c>
      <c r="D16530" s="1" t="str">
        <f>"0228A09442"</f>
        <v>0228A09442</v>
      </c>
      <c r="E16530" s="1" t="s">
        <v>10</v>
      </c>
      <c r="F16530" s="1" t="str">
        <f>"10.12.129.209"</f>
        <v>10.12.129.209</v>
      </c>
      <c r="G16530" s="1" t="str">
        <f>"0228A094"</f>
        <v>0228A094</v>
      </c>
      <c r="H16530" s="1" t="str">
        <f>"대지간 64R14H1"</f>
        <v>대지간 64R14H1</v>
      </c>
      <c r="I16530" s="1" t="s">
        <v>8</v>
      </c>
      <c r="J16530" s="1" t="str">
        <f>"84/94"</f>
        <v>84/94</v>
      </c>
      <c r="K16530" s="1" t="str">
        <f>"2026-07-29 13:18:03"</f>
        <v>2026-07-29 13:18:03</v>
      </c>
      <c r="L16530" s="1" t="str">
        <f>"2024-05-29 13:43:32"</f>
        <v>2024-05-29 13:43:32</v>
      </c>
      <c r="M16530" s="1" t="s">
        <v>0</v>
      </c>
      <c r="N16530" s="1" t="s">
        <v>38</v>
      </c>
      <c r="O16530" s="1" t="s">
        <v>46</v>
      </c>
    </row>
    <row r="16531" spans="2:15" x14ac:dyDescent="0.3">
      <c r="B16531" s="1" t="s">
        <v>19</v>
      </c>
      <c r="C16531" s="1" t="str">
        <f>"3차"</f>
        <v>3차</v>
      </c>
      <c r="D16531" s="1" t="str">
        <f>"0228A10131"</f>
        <v>0228A10131</v>
      </c>
      <c r="E16531" s="1" t="s">
        <v>10</v>
      </c>
      <c r="F16531" s="1" t="str">
        <f>"10.107.119.228"</f>
        <v>10.107.119.228</v>
      </c>
      <c r="G16531" s="1" t="str">
        <f>"0228A101"</f>
        <v>0228A101</v>
      </c>
      <c r="H16531" s="1" t="str">
        <f>"하월곡SW 13R3"</f>
        <v>하월곡SW 13R3</v>
      </c>
      <c r="I16531" s="1" t="s">
        <v>8</v>
      </c>
      <c r="J16531" s="1" t="str">
        <f>"11/11"</f>
        <v>11/11</v>
      </c>
      <c r="K16531" s="1" t="str">
        <f>"2026-07-29 13:18:02"</f>
        <v>2026-07-29 13:18:02</v>
      </c>
      <c r="L16531" s="1" t="str">
        <f>"2018-05-31 14:42:10"</f>
        <v>2018-05-31 14:42:10</v>
      </c>
      <c r="M16531" s="1" t="s">
        <v>45</v>
      </c>
      <c r="N16531" s="1" t="s">
        <v>38</v>
      </c>
      <c r="O16531" s="1" t="s">
        <v>46</v>
      </c>
    </row>
    <row r="16532" spans="2:15" x14ac:dyDescent="0.3">
      <c r="B16532" s="1" t="s">
        <v>19</v>
      </c>
      <c r="C16532" s="1" t="str">
        <f>"3차"</f>
        <v>3차</v>
      </c>
      <c r="D16532" s="1" t="str">
        <f>"0228A11330"</f>
        <v>0228A11330</v>
      </c>
      <c r="E16532" s="1" t="s">
        <v>10</v>
      </c>
      <c r="F16532" s="1" t="str">
        <f>"10.107.119.227"</f>
        <v>10.107.119.227</v>
      </c>
      <c r="G16532" s="1" t="str">
        <f>"0228A113"</f>
        <v>0228A113</v>
      </c>
      <c r="H16532" s="1" t="str">
        <f>"하월곡SW 13R2"</f>
        <v>하월곡SW 13R2</v>
      </c>
      <c r="I16532" s="1" t="s">
        <v>8</v>
      </c>
      <c r="J16532" s="1" t="str">
        <f>"7/8"</f>
        <v>7/8</v>
      </c>
      <c r="K16532" s="1" t="str">
        <f>"2026-07-29 13:18:02"</f>
        <v>2026-07-29 13:18:02</v>
      </c>
      <c r="L16532" s="1" t="str">
        <f>"2018-05-31 14:32:56"</f>
        <v>2018-05-31 14:32:56</v>
      </c>
      <c r="M16532" s="1" t="s">
        <v>45</v>
      </c>
      <c r="N16532" s="1" t="s">
        <v>38</v>
      </c>
      <c r="O16532" s="1" t="s">
        <v>46</v>
      </c>
    </row>
    <row r="16533" spans="2:15" x14ac:dyDescent="0.3">
      <c r="B16533" s="1" t="s">
        <v>19</v>
      </c>
      <c r="C16533" s="1" t="str">
        <f>"4차"</f>
        <v>4차</v>
      </c>
      <c r="D16533" s="1" t="str">
        <f>"0228A12539"</f>
        <v>0228A12539</v>
      </c>
      <c r="E16533" s="1" t="s">
        <v>10</v>
      </c>
      <c r="F16533" s="1" t="str">
        <f>"10.12.137.157"</f>
        <v>10.12.137.157</v>
      </c>
      <c r="G16533" s="1" t="str">
        <f>"0228A125"</f>
        <v>0228A125</v>
      </c>
      <c r="H16533" s="1" t="str">
        <f>"하월곡 37"</f>
        <v>하월곡 37</v>
      </c>
      <c r="I16533" s="1" t="s">
        <v>17</v>
      </c>
      <c r="J16533" s="1" t="str">
        <f>"15/15"</f>
        <v>15/15</v>
      </c>
      <c r="K16533" s="1" t="str">
        <f>"2026-07-29 13:18:03"</f>
        <v>2026-07-29 13:18:03</v>
      </c>
      <c r="L16533" s="1" t="str">
        <f>"2023-05-08 09:41:12"</f>
        <v>2023-05-08 09:41:12</v>
      </c>
      <c r="M16533" s="1" t="s">
        <v>0</v>
      </c>
      <c r="N16533" s="1" t="s">
        <v>38</v>
      </c>
      <c r="O16533" s="1" t="s">
        <v>46</v>
      </c>
    </row>
    <row r="16534" spans="2:15" x14ac:dyDescent="0.3">
      <c r="B16534" s="1" t="s">
        <v>19</v>
      </c>
      <c r="C16534" s="1" t="str">
        <f>"4차"</f>
        <v>4차</v>
      </c>
      <c r="D16534" s="1" t="str">
        <f>"0228A43139"</f>
        <v>0228A43139</v>
      </c>
      <c r="E16534" s="1" t="s">
        <v>10</v>
      </c>
      <c r="F16534" s="1" t="str">
        <f>"10.12.136.85"</f>
        <v>10.12.136.85</v>
      </c>
      <c r="G16534" s="1" t="str">
        <f>"0228A431"</f>
        <v>0228A431</v>
      </c>
      <c r="H16534" s="1" t="str">
        <f>"하월곡 10"</f>
        <v>하월곡 10</v>
      </c>
      <c r="I16534" s="1" t="s">
        <v>17</v>
      </c>
      <c r="J16534" s="1" t="str">
        <f>"5/6"</f>
        <v>5/6</v>
      </c>
      <c r="K16534" s="1" t="str">
        <f>"2026-07-29 13:18:01"</f>
        <v>2026-07-29 13:18:01</v>
      </c>
      <c r="L16534" s="1" t="str">
        <f>"2018-05-28 11:22:56"</f>
        <v>2018-05-28 11:22:56</v>
      </c>
      <c r="M16534" s="1" t="s">
        <v>0</v>
      </c>
      <c r="N16534" s="1" t="s">
        <v>38</v>
      </c>
      <c r="O16534" s="1" t="s">
        <v>46</v>
      </c>
    </row>
    <row r="16535" spans="2:15" x14ac:dyDescent="0.3">
      <c r="B16535" s="1" t="s">
        <v>19</v>
      </c>
      <c r="C16535" s="1" t="str">
        <f>"4차"</f>
        <v>4차</v>
      </c>
      <c r="D16535" s="1" t="str">
        <f>"0228A44C39"</f>
        <v>0228A44C39</v>
      </c>
      <c r="E16535" s="1" t="s">
        <v>10</v>
      </c>
      <c r="F16535" s="1" t="str">
        <f>"10.14.10.22"</f>
        <v>10.14.10.22</v>
      </c>
      <c r="G16535" s="1" t="str">
        <f>"0228A44C"</f>
        <v>0228A44C</v>
      </c>
      <c r="H16535" s="1" t="str">
        <f>"하월곡 39"</f>
        <v>하월곡 39</v>
      </c>
      <c r="I16535" s="1" t="s">
        <v>17</v>
      </c>
      <c r="J16535" s="1" t="str">
        <f>"9/9"</f>
        <v>9/9</v>
      </c>
      <c r="K16535" s="1" t="str">
        <f>"2026-07-29 13:18:01"</f>
        <v>2026-07-29 13:18:01</v>
      </c>
      <c r="L16535" s="1" t="str">
        <f>"2018-05-28 10:26:10"</f>
        <v>2018-05-28 10:26:10</v>
      </c>
      <c r="M16535" s="1" t="s">
        <v>3</v>
      </c>
      <c r="N16535" s="1" t="s">
        <v>38</v>
      </c>
      <c r="O16535" s="1" t="s">
        <v>46</v>
      </c>
    </row>
    <row r="16536" spans="2:15" x14ac:dyDescent="0.3">
      <c r="B16536" s="1" t="s">
        <v>19</v>
      </c>
      <c r="C16536" s="1" t="str">
        <f>"4차"</f>
        <v>4차</v>
      </c>
      <c r="D16536" s="1" t="str">
        <f>"0228A74141"</f>
        <v>0228A74141</v>
      </c>
      <c r="E16536" s="1" t="s">
        <v>10</v>
      </c>
      <c r="F16536" s="1" t="str">
        <f>"10.14.9.12"</f>
        <v>10.14.9.12</v>
      </c>
      <c r="G16536" s="1" t="str">
        <f>"0228A741"</f>
        <v>0228A741</v>
      </c>
      <c r="H16536" s="1" t="str">
        <f>"장위간 2R3"</f>
        <v>장위간 2R3</v>
      </c>
      <c r="I16536" s="1" t="s">
        <v>17</v>
      </c>
      <c r="J16536" s="1" t="str">
        <f>"48/48"</f>
        <v>48/48</v>
      </c>
      <c r="K16536" s="1" t="str">
        <f>"2026-07-29 13:18:03"</f>
        <v>2026-07-29 13:18:03</v>
      </c>
      <c r="L16536" s="1" t="str">
        <f>"2021-10-12 14:50:47"</f>
        <v>2021-10-12 14:50:47</v>
      </c>
      <c r="M16536" s="1" t="s">
        <v>3</v>
      </c>
      <c r="N16536" s="1" t="s">
        <v>38</v>
      </c>
      <c r="O16536" s="1" t="s">
        <v>46</v>
      </c>
    </row>
    <row r="16537" spans="2:15" x14ac:dyDescent="0.3">
      <c r="B16537" s="1" t="s">
        <v>19</v>
      </c>
      <c r="C16537" s="1" t="str">
        <f>"5-2차"</f>
        <v>5-2차</v>
      </c>
      <c r="D16537" s="1" t="str">
        <f>"0228A7845M"</f>
        <v>0228A7845M</v>
      </c>
      <c r="E16537" s="1" t="s">
        <v>10</v>
      </c>
      <c r="F16537" s="1" t="str">
        <f>"fde3:102:1410:9500:0:0:0:7"</f>
        <v>fde3:102:1410:9500:0:0:0:7</v>
      </c>
      <c r="G16537" s="1" t="str">
        <f>"0228A784"</f>
        <v>0228A784</v>
      </c>
      <c r="H16537" s="1" t="str">
        <f>"공주간 36H1"</f>
        <v>공주간 36H1</v>
      </c>
      <c r="I16537" s="1" t="s">
        <v>15</v>
      </c>
      <c r="J16537" s="1" t="str">
        <f>"32/32"</f>
        <v>32/32</v>
      </c>
      <c r="K16537" s="1" t="str">
        <f>"2026-07-29 14:20:30"</f>
        <v>2026-07-29 14:20:30</v>
      </c>
      <c r="L16537" s="1" t="str">
        <f>"2024-01-08 15:18:20"</f>
        <v>2024-01-08 15:18:20</v>
      </c>
      <c r="M16537" s="1" t="s">
        <v>45</v>
      </c>
      <c r="N16537" s="1" t="s">
        <v>38</v>
      </c>
      <c r="O16537" s="1" t="s">
        <v>46</v>
      </c>
    </row>
    <row r="16538" spans="2:15" x14ac:dyDescent="0.3">
      <c r="B16538" s="1" t="s">
        <v>19</v>
      </c>
      <c r="C16538" s="1" t="str">
        <f>"5-1차"</f>
        <v>5-1차</v>
      </c>
      <c r="D16538" s="1" t="str">
        <f>"0228A9725M"</f>
        <v>0228A9725M</v>
      </c>
      <c r="E16538" s="1" t="s">
        <v>10</v>
      </c>
      <c r="F16538" s="1" t="str">
        <f>"fde2:104:0:4f:0:0:0:2"</f>
        <v>fde2:104:0:4f:0:0:0:2</v>
      </c>
      <c r="G16538" s="1" t="str">
        <f>"0228A972"</f>
        <v>0228A972</v>
      </c>
      <c r="H16538" s="1" t="str">
        <f>"장위간 8"</f>
        <v>장위간 8</v>
      </c>
      <c r="I16538" s="1" t="s">
        <v>15</v>
      </c>
      <c r="J16538" s="1" t="str">
        <f>"34/34"</f>
        <v>34/34</v>
      </c>
      <c r="K16538" s="1" t="str">
        <f>"2026-07-29 14:20:43"</f>
        <v>2026-07-29 14:20:43</v>
      </c>
      <c r="L16538" s="1" t="str">
        <f>"2022-09-01 13:14:14"</f>
        <v>2022-09-01 13:14:14</v>
      </c>
      <c r="M16538" s="1" t="s">
        <v>42</v>
      </c>
      <c r="N16538" s="1" t="s">
        <v>38</v>
      </c>
      <c r="O16538" s="1" t="s">
        <v>46</v>
      </c>
    </row>
    <row r="16539" spans="2:15" x14ac:dyDescent="0.3">
      <c r="B16539" s="1" t="s">
        <v>19</v>
      </c>
      <c r="C16539" s="1" t="str">
        <f>"5-1차"</f>
        <v>5-1차</v>
      </c>
      <c r="D16539" s="1" t="str">
        <f>"0228B0715M"</f>
        <v>0228B0715M</v>
      </c>
      <c r="E16539" s="1" t="s">
        <v>10</v>
      </c>
      <c r="F16539" s="1" t="str">
        <f>"fde2:104:0:53:0:0:0:2"</f>
        <v>fde2:104:0:53:0:0:0:2</v>
      </c>
      <c r="G16539" s="1" t="str">
        <f>"0228B071"</f>
        <v>0228B071</v>
      </c>
      <c r="H16539" s="1" t="str">
        <f>"장위간 9"</f>
        <v>장위간 9</v>
      </c>
      <c r="I16539" s="1" t="s">
        <v>15</v>
      </c>
      <c r="J16539" s="1" t="str">
        <f>"48/48"</f>
        <v>48/48</v>
      </c>
      <c r="K16539" s="1" t="str">
        <f>"2026-07-29 14:21:00"</f>
        <v>2026-07-29 14:21:00</v>
      </c>
      <c r="L16539" s="1" t="str">
        <f>"2022-08-29 15:06:57"</f>
        <v>2022-08-29 15:06:57</v>
      </c>
      <c r="M16539" s="1" t="s">
        <v>42</v>
      </c>
      <c r="N16539" s="1" t="s">
        <v>38</v>
      </c>
      <c r="O16539" s="1" t="s">
        <v>46</v>
      </c>
    </row>
    <row r="16540" spans="2:15" x14ac:dyDescent="0.3">
      <c r="B16540" s="1" t="s">
        <v>19</v>
      </c>
      <c r="C16540" s="1" t="str">
        <f>"5-1차"</f>
        <v>5-1차</v>
      </c>
      <c r="D16540" s="1" t="str">
        <f>"0228B0815M"</f>
        <v>0228B0815M</v>
      </c>
      <c r="E16540" s="1" t="s">
        <v>10</v>
      </c>
      <c r="F16540" s="1" t="str">
        <f>"fde2:104:0:4e:0:0:0:2"</f>
        <v>fde2:104:0:4e:0:0:0:2</v>
      </c>
      <c r="G16540" s="1" t="str">
        <f>"0228B081"</f>
        <v>0228B081</v>
      </c>
      <c r="H16540" s="1" t="str">
        <f>"장위간 8L1"</f>
        <v>장위간 8L1</v>
      </c>
      <c r="I16540" s="1" t="s">
        <v>15</v>
      </c>
      <c r="J16540" s="1" t="str">
        <f>"102/102"</f>
        <v>102/102</v>
      </c>
      <c r="K16540" s="1" t="str">
        <f>"2026-07-29 14:20:43"</f>
        <v>2026-07-29 14:20:43</v>
      </c>
      <c r="L16540" s="1" t="str">
        <f>"2022-08-31 08:04:42"</f>
        <v>2022-08-31 08:04:42</v>
      </c>
      <c r="M16540" s="1" t="s">
        <v>42</v>
      </c>
      <c r="N16540" s="1" t="s">
        <v>38</v>
      </c>
      <c r="O16540" s="1" t="s">
        <v>46</v>
      </c>
    </row>
    <row r="16541" spans="2:15" x14ac:dyDescent="0.3">
      <c r="B16541" s="1" t="s">
        <v>19</v>
      </c>
      <c r="C16541" s="1" t="str">
        <f>"5-1차"</f>
        <v>5-1차</v>
      </c>
      <c r="D16541" s="1" t="str">
        <f>"0228B1645S"</f>
        <v>0228B1645S</v>
      </c>
      <c r="E16541" s="1" t="s">
        <v>10</v>
      </c>
      <c r="F16541" s="1" t="str">
        <f>"fde2:104:0:1e:0:0:0:2"</f>
        <v>fde2:104:0:1e:0:0:0:2</v>
      </c>
      <c r="G16541" s="1" t="str">
        <f>"0228B164"</f>
        <v>0228B164</v>
      </c>
      <c r="H16541" s="1" t="str">
        <f>"장위간 17R3R5R2"</f>
        <v>장위간 17R3R5R2</v>
      </c>
      <c r="I16541" s="1" t="s">
        <v>15</v>
      </c>
      <c r="J16541" s="1" t="str">
        <f>"34/34"</f>
        <v>34/34</v>
      </c>
      <c r="K16541" s="1" t="str">
        <f>"2026-07-29 14:20:43"</f>
        <v>2026-07-29 14:20:43</v>
      </c>
      <c r="L16541" s="1" t="str">
        <f>"2022-08-31 10:31:32"</f>
        <v>2022-08-31 10:31:32</v>
      </c>
      <c r="M16541" s="1" t="s">
        <v>42</v>
      </c>
      <c r="N16541" s="1" t="s">
        <v>38</v>
      </c>
      <c r="O16541" s="1" t="s">
        <v>46</v>
      </c>
    </row>
    <row r="16542" spans="2:15" x14ac:dyDescent="0.3">
      <c r="B16542" s="1" t="s">
        <v>19</v>
      </c>
      <c r="C16542" s="1" t="s">
        <v>16</v>
      </c>
      <c r="D16542" s="1" t="str">
        <f>"0228B27241"</f>
        <v>0228B27241</v>
      </c>
      <c r="E16542" s="1" t="s">
        <v>10</v>
      </c>
      <c r="F16542" s="1" t="str">
        <f>"10.14.7.201"</f>
        <v>10.14.7.201</v>
      </c>
      <c r="G16542" s="1" t="str">
        <f>"0228B272"</f>
        <v>0228B272</v>
      </c>
      <c r="H16542" s="1" t="str">
        <f>"장위간 13"</f>
        <v>장위간 13</v>
      </c>
      <c r="I16542" s="1" t="s">
        <v>17</v>
      </c>
      <c r="J16542" s="1" t="str">
        <f>"11/30"</f>
        <v>11/30</v>
      </c>
      <c r="K16542" s="1" t="str">
        <f>"2026-07-29 13:18:03"</f>
        <v>2026-07-29 13:18:03</v>
      </c>
      <c r="L16542" s="1" t="str">
        <f>"2022-11-09 15:51:17"</f>
        <v>2022-11-09 15:51:17</v>
      </c>
      <c r="M16542" s="1" t="s">
        <v>3</v>
      </c>
      <c r="N16542" s="1" t="s">
        <v>38</v>
      </c>
      <c r="O16542" s="1" t="s">
        <v>46</v>
      </c>
    </row>
    <row r="16543" spans="2:15" x14ac:dyDescent="0.3">
      <c r="B16543" s="1" t="s">
        <v>19</v>
      </c>
      <c r="C16543" s="1" t="str">
        <f t="shared" ref="C16543:C16549" si="822">"5-1차"</f>
        <v>5-1차</v>
      </c>
      <c r="D16543" s="1" t="str">
        <f>"0228B2935M"</f>
        <v>0228B2935M</v>
      </c>
      <c r="E16543" s="1" t="s">
        <v>10</v>
      </c>
      <c r="F16543" s="1" t="str">
        <f>"fde2:104:0:20:0:0:0:2"</f>
        <v>fde2:104:0:20:0:0:0:2</v>
      </c>
      <c r="G16543" s="1" t="str">
        <f>"0228B293"</f>
        <v>0228B293</v>
      </c>
      <c r="H16543" s="1" t="str">
        <f>"장위간 11L4"</f>
        <v>장위간 11L4</v>
      </c>
      <c r="I16543" s="1" t="s">
        <v>15</v>
      </c>
      <c r="J16543" s="1" t="str">
        <f>"58/58"</f>
        <v>58/58</v>
      </c>
      <c r="K16543" s="1" t="str">
        <f>"2026-07-29 14:20:52"</f>
        <v>2026-07-29 14:20:52</v>
      </c>
      <c r="L16543" s="1" t="str">
        <f>"2022-08-31 10:23:14"</f>
        <v>2022-08-31 10:23:14</v>
      </c>
      <c r="M16543" s="1" t="s">
        <v>42</v>
      </c>
      <c r="N16543" s="1" t="s">
        <v>38</v>
      </c>
      <c r="O16543" s="1" t="s">
        <v>46</v>
      </c>
    </row>
    <row r="16544" spans="2:15" x14ac:dyDescent="0.3">
      <c r="B16544" s="1" t="s">
        <v>19</v>
      </c>
      <c r="C16544" s="1" t="str">
        <f t="shared" si="822"/>
        <v>5-1차</v>
      </c>
      <c r="D16544" s="1" t="str">
        <f>"0228B2945M"</f>
        <v>0228B2945M</v>
      </c>
      <c r="E16544" s="1" t="s">
        <v>10</v>
      </c>
      <c r="F16544" s="1" t="str">
        <f>"fde2:104:0:1f:0:0:0:2"</f>
        <v>fde2:104:0:1f:0:0:0:2</v>
      </c>
      <c r="G16544" s="1" t="str">
        <f>"0228B294"</f>
        <v>0228B294</v>
      </c>
      <c r="H16544" s="1" t="str">
        <f>"장위간 11L3R1"</f>
        <v>장위간 11L3R1</v>
      </c>
      <c r="I16544" s="1" t="s">
        <v>15</v>
      </c>
      <c r="J16544" s="1" t="str">
        <f>"67/67"</f>
        <v>67/67</v>
      </c>
      <c r="K16544" s="1" t="str">
        <f>"2026-07-29 14:20:39"</f>
        <v>2026-07-29 14:20:39</v>
      </c>
      <c r="L16544" s="1" t="str">
        <f>"2022-08-29 13:10:36"</f>
        <v>2022-08-29 13:10:36</v>
      </c>
      <c r="M16544" s="1" t="s">
        <v>42</v>
      </c>
      <c r="N16544" s="1" t="s">
        <v>38</v>
      </c>
      <c r="O16544" s="1" t="s">
        <v>46</v>
      </c>
    </row>
    <row r="16545" spans="2:15" x14ac:dyDescent="0.3">
      <c r="B16545" s="1" t="s">
        <v>19</v>
      </c>
      <c r="C16545" s="1" t="str">
        <f t="shared" si="822"/>
        <v>5-1차</v>
      </c>
      <c r="D16545" s="1" t="str">
        <f>"0228B3925S"</f>
        <v>0228B3925S</v>
      </c>
      <c r="E16545" s="1" t="s">
        <v>10</v>
      </c>
      <c r="F16545" s="1" t="str">
        <f>"fde2:104:0:30:0:0:0:2"</f>
        <v>fde2:104:0:30:0:0:0:2</v>
      </c>
      <c r="G16545" s="1" t="str">
        <f>"0228B392"</f>
        <v>0228B392</v>
      </c>
      <c r="H16545" s="1" t="str">
        <f>"장위간 11L3R3"</f>
        <v>장위간 11L3R3</v>
      </c>
      <c r="I16545" s="1" t="s">
        <v>15</v>
      </c>
      <c r="J16545" s="1" t="str">
        <f>"36/36"</f>
        <v>36/36</v>
      </c>
      <c r="K16545" s="1" t="str">
        <f>"2026-07-29 14:20:43"</f>
        <v>2026-07-29 14:20:43</v>
      </c>
      <c r="L16545" s="1" t="str">
        <f>"2022-08-29 12:36:22"</f>
        <v>2022-08-29 12:36:22</v>
      </c>
      <c r="M16545" s="1" t="s">
        <v>42</v>
      </c>
      <c r="N16545" s="1" t="s">
        <v>38</v>
      </c>
      <c r="O16545" s="1" t="s">
        <v>46</v>
      </c>
    </row>
    <row r="16546" spans="2:15" x14ac:dyDescent="0.3">
      <c r="B16546" s="1" t="s">
        <v>19</v>
      </c>
      <c r="C16546" s="1" t="str">
        <f t="shared" si="822"/>
        <v>5-1차</v>
      </c>
      <c r="D16546" s="1" t="str">
        <f>"0228B4735M"</f>
        <v>0228B4735M</v>
      </c>
      <c r="E16546" s="1" t="s">
        <v>10</v>
      </c>
      <c r="F16546" s="1" t="str">
        <f>"fde2:104:0:32:0:0:0:2"</f>
        <v>fde2:104:0:32:0:0:0:2</v>
      </c>
      <c r="G16546" s="1" t="str">
        <f>"0228B473"</f>
        <v>0228B473</v>
      </c>
      <c r="H16546" s="1" t="str">
        <f>"장위간 16L1"</f>
        <v>장위간 16L1</v>
      </c>
      <c r="I16546" s="1" t="s">
        <v>15</v>
      </c>
      <c r="J16546" s="1" t="str">
        <f>"48/48"</f>
        <v>48/48</v>
      </c>
      <c r="K16546" s="1" t="str">
        <f>"2026-07-29 14:20:26"</f>
        <v>2026-07-29 14:20:26</v>
      </c>
      <c r="L16546" s="1" t="str">
        <f>"2022-08-31 08:18:54"</f>
        <v>2022-08-31 08:18:54</v>
      </c>
      <c r="M16546" s="1" t="s">
        <v>42</v>
      </c>
      <c r="N16546" s="1" t="s">
        <v>38</v>
      </c>
      <c r="O16546" s="1" t="s">
        <v>46</v>
      </c>
    </row>
    <row r="16547" spans="2:15" x14ac:dyDescent="0.3">
      <c r="B16547" s="1" t="s">
        <v>19</v>
      </c>
      <c r="C16547" s="1" t="str">
        <f t="shared" si="822"/>
        <v>5-1차</v>
      </c>
      <c r="D16547" s="1" t="str">
        <f>"0228B4815M"</f>
        <v>0228B4815M</v>
      </c>
      <c r="E16547" s="1" t="s">
        <v>10</v>
      </c>
      <c r="F16547" s="1" t="str">
        <f>"fde2:104:0:38:0:0:0:2"</f>
        <v>fde2:104:0:38:0:0:0:2</v>
      </c>
      <c r="G16547" s="1" t="str">
        <f>"0228B481"</f>
        <v>0228B481</v>
      </c>
      <c r="H16547" s="1" t="str">
        <f>"장위간 16L2"</f>
        <v>장위간 16L2</v>
      </c>
      <c r="I16547" s="1" t="s">
        <v>15</v>
      </c>
      <c r="J16547" s="1" t="str">
        <f>"60/60"</f>
        <v>60/60</v>
      </c>
      <c r="K16547" s="1" t="str">
        <f>"2026-07-29 14:20:51"</f>
        <v>2026-07-29 14:20:51</v>
      </c>
      <c r="L16547" s="1" t="str">
        <f>"2022-09-01 13:15:23"</f>
        <v>2022-09-01 13:15:23</v>
      </c>
      <c r="M16547" s="1" t="s">
        <v>42</v>
      </c>
      <c r="N16547" s="1" t="s">
        <v>38</v>
      </c>
      <c r="O16547" s="1" t="s">
        <v>46</v>
      </c>
    </row>
    <row r="16548" spans="2:15" x14ac:dyDescent="0.3">
      <c r="B16548" s="1" t="s">
        <v>19</v>
      </c>
      <c r="C16548" s="1" t="str">
        <f t="shared" si="822"/>
        <v>5-1차</v>
      </c>
      <c r="D16548" s="1" t="str">
        <f>"0228B6815M"</f>
        <v>0228B6815M</v>
      </c>
      <c r="E16548" s="1" t="s">
        <v>10</v>
      </c>
      <c r="F16548" s="1" t="str">
        <f>"fde3:102:1410:9100:0:0:0:5"</f>
        <v>fde3:102:1410:9100:0:0:0:5</v>
      </c>
      <c r="G16548" s="1" t="str">
        <f>"0228B681"</f>
        <v>0228B681</v>
      </c>
      <c r="H16548" s="1" t="str">
        <f>"장위간 70"</f>
        <v>장위간 70</v>
      </c>
      <c r="I16548" s="1" t="s">
        <v>15</v>
      </c>
      <c r="J16548" s="1" t="str">
        <f>"36/36"</f>
        <v>36/36</v>
      </c>
      <c r="K16548" s="1" t="str">
        <f>"2026-07-29 14:20:30"</f>
        <v>2026-07-29 14:20:30</v>
      </c>
      <c r="L16548" s="1" t="str">
        <f>"2022-09-27 15:10:18"</f>
        <v>2022-09-27 15:10:18</v>
      </c>
      <c r="M16548" s="1" t="s">
        <v>45</v>
      </c>
      <c r="N16548" s="1" t="s">
        <v>38</v>
      </c>
      <c r="O16548" s="1" t="s">
        <v>46</v>
      </c>
    </row>
    <row r="16549" spans="2:15" x14ac:dyDescent="0.3">
      <c r="B16549" s="1" t="s">
        <v>19</v>
      </c>
      <c r="C16549" s="1" t="str">
        <f t="shared" si="822"/>
        <v>5-1차</v>
      </c>
      <c r="D16549" s="1" t="str">
        <f>"0228B7825M"</f>
        <v>0228B7825M</v>
      </c>
      <c r="E16549" s="1" t="s">
        <v>10</v>
      </c>
      <c r="F16549" s="1" t="str">
        <f>"fde2:104:0:43:0:0:0:2"</f>
        <v>fde2:104:0:43:0:0:0:2</v>
      </c>
      <c r="G16549" s="1" t="str">
        <f>"0228B782"</f>
        <v>0228B782</v>
      </c>
      <c r="H16549" s="1" t="str">
        <f>"장위간 68"</f>
        <v>장위간 68</v>
      </c>
      <c r="I16549" s="1" t="s">
        <v>15</v>
      </c>
      <c r="J16549" s="1" t="str">
        <f>"40/40"</f>
        <v>40/40</v>
      </c>
      <c r="K16549" s="1" t="str">
        <f>"2026-07-29 14:20:48"</f>
        <v>2026-07-29 14:20:48</v>
      </c>
      <c r="L16549" s="1" t="str">
        <f>"2022-08-31 12:01:15"</f>
        <v>2022-08-31 12:01:15</v>
      </c>
      <c r="M16549" s="1" t="s">
        <v>42</v>
      </c>
      <c r="N16549" s="1" t="s">
        <v>38</v>
      </c>
      <c r="O16549" s="1" t="s">
        <v>46</v>
      </c>
    </row>
    <row r="16550" spans="2:15" x14ac:dyDescent="0.3">
      <c r="B16550" s="1" t="s">
        <v>19</v>
      </c>
      <c r="C16550" s="1" t="str">
        <f>"5-2차"</f>
        <v>5-2차</v>
      </c>
      <c r="D16550" s="1" t="str">
        <f>"0228B8115M"</f>
        <v>0228B8115M</v>
      </c>
      <c r="E16550" s="1" t="s">
        <v>10</v>
      </c>
      <c r="F16550" s="1" t="str">
        <f>"fde1:103:4:9254:0:0:0:2"</f>
        <v>fde1:103:4:9254:0:0:0:2</v>
      </c>
      <c r="G16550" s="1" t="str">
        <f>"0228B811"</f>
        <v>0228B811</v>
      </c>
      <c r="H16550" s="1" t="str">
        <f>"장위간 17R15"</f>
        <v>장위간 17R15</v>
      </c>
      <c r="I16550" s="1" t="s">
        <v>15</v>
      </c>
      <c r="J16550" s="1" t="str">
        <f>"51/51"</f>
        <v>51/51</v>
      </c>
      <c r="K16550" s="1" t="str">
        <f>"2026-07-29 14:20:44"</f>
        <v>2026-07-29 14:20:44</v>
      </c>
      <c r="L16550" s="1" t="str">
        <f>"2023-12-21 08:59:58"</f>
        <v>2023-12-21 08:59:58</v>
      </c>
      <c r="M16550" s="1" t="s">
        <v>4</v>
      </c>
      <c r="N16550" s="1" t="s">
        <v>38</v>
      </c>
      <c r="O16550" s="1" t="s">
        <v>46</v>
      </c>
    </row>
    <row r="16551" spans="2:15" x14ac:dyDescent="0.3">
      <c r="B16551" s="1" t="s">
        <v>19</v>
      </c>
      <c r="C16551" s="1" t="str">
        <f>"5-1차"</f>
        <v>5-1차</v>
      </c>
      <c r="D16551" s="1" t="str">
        <f>"0228B8325S"</f>
        <v>0228B8325S</v>
      </c>
      <c r="E16551" s="1" t="s">
        <v>10</v>
      </c>
      <c r="F16551" s="1" t="str">
        <f>"fde2:104:0:37:0:0:0:2"</f>
        <v>fde2:104:0:37:0:0:0:2</v>
      </c>
      <c r="G16551" s="1" t="str">
        <f>"0228B832"</f>
        <v>0228B832</v>
      </c>
      <c r="H16551" s="1" t="str">
        <f>"장위간 20R6"</f>
        <v>장위간 20R6</v>
      </c>
      <c r="I16551" s="1" t="s">
        <v>15</v>
      </c>
      <c r="J16551" s="1" t="str">
        <f>"33/33"</f>
        <v>33/33</v>
      </c>
      <c r="K16551" s="1" t="str">
        <f>"2026-07-29 14:20:46"</f>
        <v>2026-07-29 14:20:46</v>
      </c>
      <c r="L16551" s="1" t="str">
        <f>"2022-08-31 09:19:19"</f>
        <v>2022-08-31 09:19:19</v>
      </c>
      <c r="M16551" s="1" t="s">
        <v>42</v>
      </c>
      <c r="N16551" s="1" t="s">
        <v>38</v>
      </c>
      <c r="O16551" s="1" t="s">
        <v>46</v>
      </c>
    </row>
    <row r="16552" spans="2:15" x14ac:dyDescent="0.3">
      <c r="B16552" s="1" t="s">
        <v>19</v>
      </c>
      <c r="C16552" s="1" t="str">
        <f>"4차"</f>
        <v>4차</v>
      </c>
      <c r="D16552" s="1" t="str">
        <f>"0228B88241"</f>
        <v>0228B88241</v>
      </c>
      <c r="E16552" s="1" t="s">
        <v>10</v>
      </c>
      <c r="F16552" s="1" t="str">
        <f>"10.14.3.25"</f>
        <v>10.14.3.25</v>
      </c>
      <c r="G16552" s="1" t="str">
        <f>"0228B882"</f>
        <v>0228B882</v>
      </c>
      <c r="H16552" s="1" t="str">
        <f>"장위간 64"</f>
        <v>장위간 64</v>
      </c>
      <c r="I16552" s="1" t="s">
        <v>17</v>
      </c>
      <c r="J16552" s="1" t="str">
        <f>"42/42"</f>
        <v>42/42</v>
      </c>
      <c r="K16552" s="1" t="str">
        <f>"2026-07-29 13:18:02"</f>
        <v>2026-07-29 13:18:02</v>
      </c>
      <c r="L16552" s="1" t="str">
        <f>"2021-08-13 11:58:09"</f>
        <v>2021-08-13 11:58:09</v>
      </c>
      <c r="M16552" s="1" t="s">
        <v>3</v>
      </c>
      <c r="N16552" s="1" t="s">
        <v>38</v>
      </c>
      <c r="O16552" s="1" t="s">
        <v>46</v>
      </c>
    </row>
    <row r="16553" spans="2:15" x14ac:dyDescent="0.3">
      <c r="B16553" s="1" t="s">
        <v>19</v>
      </c>
      <c r="C16553" s="1" t="str">
        <f>"5-2차"</f>
        <v>5-2차</v>
      </c>
      <c r="D16553" s="1" t="str">
        <f>"0228B9335M"</f>
        <v>0228B9335M</v>
      </c>
      <c r="E16553" s="1" t="s">
        <v>10</v>
      </c>
      <c r="F16553" s="1" t="str">
        <f>"fde1:103:4:92a0:0:0:0:2"</f>
        <v>fde1:103:4:92a0:0:0:0:2</v>
      </c>
      <c r="G16553" s="1" t="str">
        <f>"0228B933"</f>
        <v>0228B933</v>
      </c>
      <c r="H16553" s="1" t="str">
        <f>"장위간 20R8"</f>
        <v>장위간 20R8</v>
      </c>
      <c r="I16553" s="1" t="s">
        <v>15</v>
      </c>
      <c r="J16553" s="1" t="str">
        <f>"52/57"</f>
        <v>52/57</v>
      </c>
      <c r="K16553" s="1" t="str">
        <f>"2026-07-29 14:20:00"</f>
        <v>2026-07-29 14:20:00</v>
      </c>
      <c r="L16553" s="1" t="str">
        <f>"2024-01-08 10:44:23"</f>
        <v>2024-01-08 10:44:23</v>
      </c>
      <c r="M16553" s="1" t="s">
        <v>4</v>
      </c>
      <c r="N16553" s="1" t="s">
        <v>38</v>
      </c>
      <c r="O16553" s="1" t="s">
        <v>46</v>
      </c>
    </row>
    <row r="16554" spans="2:15" x14ac:dyDescent="0.3">
      <c r="B16554" s="1" t="s">
        <v>19</v>
      </c>
      <c r="C16554" s="1" t="str">
        <f>"4차"</f>
        <v>4차</v>
      </c>
      <c r="D16554" s="1" t="str">
        <f>"0228B97144"</f>
        <v>0228B97144</v>
      </c>
      <c r="E16554" s="1" t="s">
        <v>10</v>
      </c>
      <c r="F16554" s="1" t="str">
        <f>"10.107.3.156"</f>
        <v>10.107.3.156</v>
      </c>
      <c r="G16554" s="1" t="str">
        <f>"0228B971"</f>
        <v>0228B971</v>
      </c>
      <c r="H16554" s="1" t="str">
        <f>"장위간 22L2"</f>
        <v>장위간 22L2</v>
      </c>
      <c r="I16554" s="1" t="s">
        <v>8</v>
      </c>
      <c r="J16554" s="1" t="str">
        <f>"101/102"</f>
        <v>101/102</v>
      </c>
      <c r="K16554" s="1" t="str">
        <f>"2026-07-29 13:18:02"</f>
        <v>2026-07-29 13:18:02</v>
      </c>
      <c r="L16554" s="1" t="str">
        <f>"2023-08-24 17:58:44"</f>
        <v>2023-08-24 17:58:44</v>
      </c>
      <c r="M16554" s="1" t="s">
        <v>45</v>
      </c>
      <c r="N16554" s="1" t="s">
        <v>38</v>
      </c>
      <c r="O16554" s="1" t="s">
        <v>46</v>
      </c>
    </row>
    <row r="16555" spans="2:15" x14ac:dyDescent="0.3">
      <c r="B16555" s="1" t="s">
        <v>19</v>
      </c>
      <c r="C16555" s="1" t="str">
        <f>"4차"</f>
        <v>4차</v>
      </c>
      <c r="D16555" s="1" t="str">
        <f>"0228B98344"</f>
        <v>0228B98344</v>
      </c>
      <c r="E16555" s="1" t="s">
        <v>10</v>
      </c>
      <c r="F16555" s="1" t="str">
        <f>"10.107.3.157"</f>
        <v>10.107.3.157</v>
      </c>
      <c r="G16555" s="1" t="str">
        <f>"0228B983"</f>
        <v>0228B983</v>
      </c>
      <c r="H16555" s="1" t="str">
        <f>"장위간 22L5"</f>
        <v>장위간 22L5</v>
      </c>
      <c r="I16555" s="1" t="s">
        <v>8</v>
      </c>
      <c r="J16555" s="1" t="str">
        <f>"20/20"</f>
        <v>20/20</v>
      </c>
      <c r="K16555" s="1" t="str">
        <f>"2026-07-29 13:18:03"</f>
        <v>2026-07-29 13:18:03</v>
      </c>
      <c r="L16555" s="1" t="str">
        <f>"2023-08-24 18:02:55"</f>
        <v>2023-08-24 18:02:55</v>
      </c>
      <c r="M16555" s="1" t="s">
        <v>45</v>
      </c>
      <c r="N16555" s="1" t="s">
        <v>38</v>
      </c>
      <c r="O16555" s="1" t="s">
        <v>46</v>
      </c>
    </row>
    <row r="16556" spans="2:15" x14ac:dyDescent="0.3">
      <c r="B16556" s="1" t="s">
        <v>19</v>
      </c>
      <c r="C16556" s="1" t="str">
        <f>"5-1차"</f>
        <v>5-1차</v>
      </c>
      <c r="D16556" s="1" t="str">
        <f>"0228B9915M"</f>
        <v>0228B9915M</v>
      </c>
      <c r="E16556" s="1" t="s">
        <v>10</v>
      </c>
      <c r="F16556" s="1" t="str">
        <f>"fde2:104:0:44:0:0:0:2"</f>
        <v>fde2:104:0:44:0:0:0:2</v>
      </c>
      <c r="G16556" s="1" t="str">
        <f>"0228B991"</f>
        <v>0228B991</v>
      </c>
      <c r="H16556" s="1" t="str">
        <f>"장위간 63"</f>
        <v>장위간 63</v>
      </c>
      <c r="I16556" s="1" t="s">
        <v>15</v>
      </c>
      <c r="J16556" s="1" t="str">
        <f>"86/86"</f>
        <v>86/86</v>
      </c>
      <c r="K16556" s="1" t="str">
        <f>"2026-07-29 14:20:53"</f>
        <v>2026-07-29 14:20:53</v>
      </c>
      <c r="L16556" s="1" t="str">
        <f>"2022-09-01 13:16:18"</f>
        <v>2022-09-01 13:16:18</v>
      </c>
      <c r="M16556" s="1" t="s">
        <v>42</v>
      </c>
      <c r="N16556" s="1" t="s">
        <v>38</v>
      </c>
      <c r="O16556" s="1" t="s">
        <v>46</v>
      </c>
    </row>
    <row r="16557" spans="2:15" x14ac:dyDescent="0.3">
      <c r="B16557" s="1" t="s">
        <v>19</v>
      </c>
      <c r="C16557" s="1" t="str">
        <f>"3차"</f>
        <v>3차</v>
      </c>
      <c r="D16557" s="1" t="str">
        <f>"0228C00139"</f>
        <v>0228C00139</v>
      </c>
      <c r="E16557" s="1" t="s">
        <v>10</v>
      </c>
      <c r="F16557" s="1" t="str">
        <f>"10.107.123.152"</f>
        <v>10.107.123.152</v>
      </c>
      <c r="G16557" s="1" t="str">
        <f>"0228C001"</f>
        <v>0228C001</v>
      </c>
      <c r="H16557" s="1" t="str">
        <f>"성가지 50L2"</f>
        <v>성가지 50L2</v>
      </c>
      <c r="I16557" s="1" t="s">
        <v>8</v>
      </c>
      <c r="J16557" s="1" t="str">
        <f>"8/8"</f>
        <v>8/8</v>
      </c>
      <c r="K16557" s="1" t="str">
        <f>"2026-07-29 13:18:01"</f>
        <v>2026-07-29 13:18:01</v>
      </c>
      <c r="L16557" s="1" t="str">
        <f>"2018-04-04 15:42:57"</f>
        <v>2018-04-04 15:42:57</v>
      </c>
      <c r="M16557" s="1" t="s">
        <v>45</v>
      </c>
      <c r="N16557" s="1" t="s">
        <v>38</v>
      </c>
      <c r="O16557" s="1" t="s">
        <v>46</v>
      </c>
    </row>
    <row r="16558" spans="2:15" x14ac:dyDescent="0.3">
      <c r="B16558" s="1" t="s">
        <v>19</v>
      </c>
      <c r="C16558" s="1" t="str">
        <f>"4차"</f>
        <v>4차</v>
      </c>
      <c r="D16558" s="1" t="str">
        <f>"0228C01132"</f>
        <v>0228C01132</v>
      </c>
      <c r="E16558" s="1" t="s">
        <v>10</v>
      </c>
      <c r="F16558" s="1" t="str">
        <f>"10.12.129.103"</f>
        <v>10.12.129.103</v>
      </c>
      <c r="G16558" s="1" t="str">
        <f>"0228C011"</f>
        <v>0228C011</v>
      </c>
      <c r="H16558" s="1" t="str">
        <f>"성가지 50L3R2"</f>
        <v>성가지 50L3R2</v>
      </c>
      <c r="I16558" s="1" t="s">
        <v>8</v>
      </c>
      <c r="J16558" s="1" t="str">
        <f>"33/33"</f>
        <v>33/33</v>
      </c>
      <c r="K16558" s="1" t="str">
        <f>"2026-07-29 13:18:03"</f>
        <v>2026-07-29 13:18:03</v>
      </c>
      <c r="L16558" s="1" t="str">
        <f>"2018-07-26 10:36:09"</f>
        <v>2018-07-26 10:36:09</v>
      </c>
      <c r="M16558" s="1" t="s">
        <v>0</v>
      </c>
      <c r="N16558" s="1" t="s">
        <v>38</v>
      </c>
      <c r="O16558" s="1" t="s">
        <v>46</v>
      </c>
    </row>
    <row r="16559" spans="2:15" x14ac:dyDescent="0.3">
      <c r="B16559" s="1" t="s">
        <v>19</v>
      </c>
      <c r="C16559" s="1" t="str">
        <f>"3차"</f>
        <v>3차</v>
      </c>
      <c r="D16559" s="1" t="str">
        <f>"0228C01430"</f>
        <v>0228C01430</v>
      </c>
      <c r="E16559" s="1" t="s">
        <v>10</v>
      </c>
      <c r="F16559" s="1" t="str">
        <f>"10.107.119.229"</f>
        <v>10.107.119.229</v>
      </c>
      <c r="G16559" s="1" t="str">
        <f>"0228C014"</f>
        <v>0228C014</v>
      </c>
      <c r="H16559" s="1" t="str">
        <f>"성가지 50L3R3L1"</f>
        <v>성가지 50L3R3L1</v>
      </c>
      <c r="I16559" s="1" t="s">
        <v>8</v>
      </c>
      <c r="J16559" s="1" t="str">
        <f>"8/11"</f>
        <v>8/11</v>
      </c>
      <c r="K16559" s="1" t="str">
        <f>"2026-07-29 13:18:01"</f>
        <v>2026-07-29 13:18:01</v>
      </c>
      <c r="L16559" s="1" t="str">
        <f>"2018-05-04 09:05:41"</f>
        <v>2018-05-04 09:05:41</v>
      </c>
      <c r="M16559" s="1" t="s">
        <v>45</v>
      </c>
      <c r="N16559" s="1" t="s">
        <v>38</v>
      </c>
      <c r="O16559" s="1" t="s">
        <v>46</v>
      </c>
    </row>
    <row r="16560" spans="2:15" x14ac:dyDescent="0.3">
      <c r="B16560" s="1" t="s">
        <v>19</v>
      </c>
      <c r="C16560" s="1" t="str">
        <f>"3차"</f>
        <v>3차</v>
      </c>
      <c r="D16560" s="1" t="str">
        <f>"0228C03139"</f>
        <v>0228C03139</v>
      </c>
      <c r="E16560" s="1" t="s">
        <v>10</v>
      </c>
      <c r="F16560" s="1" t="str">
        <f>"10.107.121.158"</f>
        <v>10.107.121.158</v>
      </c>
      <c r="G16560" s="1" t="str">
        <f>"0228C031"</f>
        <v>0228C031</v>
      </c>
      <c r="H16560" s="1" t="str">
        <f>"성가지 50L3R5L3"</f>
        <v>성가지 50L3R5L3</v>
      </c>
      <c r="I16560" s="1" t="s">
        <v>8</v>
      </c>
      <c r="J16560" s="1" t="str">
        <f>"36/39"</f>
        <v>36/39</v>
      </c>
      <c r="K16560" s="1" t="str">
        <f>"2026-07-29 13:18:02"</f>
        <v>2026-07-29 13:18:02</v>
      </c>
      <c r="L16560" s="1" t="str">
        <f>"2018-03-23 15:18:57"</f>
        <v>2018-03-23 15:18:57</v>
      </c>
      <c r="M16560" s="1" t="s">
        <v>45</v>
      </c>
      <c r="N16560" s="1" t="s">
        <v>38</v>
      </c>
      <c r="O16560" s="1" t="s">
        <v>46</v>
      </c>
    </row>
    <row r="16561" spans="2:15" x14ac:dyDescent="0.3">
      <c r="B16561" s="1" t="s">
        <v>19</v>
      </c>
      <c r="C16561" s="1" t="str">
        <f>"4차"</f>
        <v>4차</v>
      </c>
      <c r="D16561" s="1" t="str">
        <f>"0228C04144"</f>
        <v>0228C04144</v>
      </c>
      <c r="E16561" s="1" t="s">
        <v>10</v>
      </c>
      <c r="F16561" s="1" t="str">
        <f>"10.107.119.226"</f>
        <v>10.107.119.226</v>
      </c>
      <c r="G16561" s="1" t="str">
        <f>"0228C041"</f>
        <v>0228C041</v>
      </c>
      <c r="H16561" s="1" t="str">
        <f>"성가지 50L3R5L4"</f>
        <v>성가지 50L3R5L4</v>
      </c>
      <c r="I16561" s="1" t="s">
        <v>8</v>
      </c>
      <c r="J16561" s="1" t="str">
        <f>"36/36"</f>
        <v>36/36</v>
      </c>
      <c r="K16561" s="1" t="str">
        <f>"2026-07-29 13:18:01"</f>
        <v>2026-07-29 13:18:01</v>
      </c>
      <c r="L16561" s="1" t="str">
        <f>"2019-11-01 16:26:13"</f>
        <v>2019-11-01 16:26:13</v>
      </c>
      <c r="M16561" s="1" t="s">
        <v>45</v>
      </c>
      <c r="N16561" s="1" t="s">
        <v>38</v>
      </c>
      <c r="O16561" s="1" t="s">
        <v>46</v>
      </c>
    </row>
    <row r="16562" spans="2:15" x14ac:dyDescent="0.3">
      <c r="B16562" s="1" t="s">
        <v>19</v>
      </c>
      <c r="C16562" s="1" t="str">
        <f>"4차"</f>
        <v>4차</v>
      </c>
      <c r="D16562" s="1" t="str">
        <f>"0228C05244"</f>
        <v>0228C05244</v>
      </c>
      <c r="E16562" s="1" t="s">
        <v>10</v>
      </c>
      <c r="F16562" s="1" t="str">
        <f>"10.12.129.244"</f>
        <v>10.12.129.244</v>
      </c>
      <c r="G16562" s="1" t="str">
        <f>"0228C052"</f>
        <v>0228C052</v>
      </c>
      <c r="H16562" s="1" t="str">
        <f>"공주간 49L3R7"</f>
        <v>공주간 49L3R7</v>
      </c>
      <c r="I16562" s="1" t="s">
        <v>8</v>
      </c>
      <c r="J16562" s="1" t="str">
        <f>"73/97"</f>
        <v>73/97</v>
      </c>
      <c r="K16562" s="1" t="str">
        <f>"2026-07-29 15:10:22"</f>
        <v>2026-07-29 15:10:22</v>
      </c>
      <c r="L16562" s="1" t="str">
        <f>"2023-10-19 17:55:16"</f>
        <v>2023-10-19 17:55:16</v>
      </c>
      <c r="M16562" s="1" t="s">
        <v>0</v>
      </c>
      <c r="N16562" s="1" t="s">
        <v>38</v>
      </c>
      <c r="O16562" s="1" t="s">
        <v>46</v>
      </c>
    </row>
    <row r="16563" spans="2:15" x14ac:dyDescent="0.3">
      <c r="B16563" s="1" t="s">
        <v>19</v>
      </c>
      <c r="C16563" s="1" t="str">
        <f>"6차"</f>
        <v>6차</v>
      </c>
      <c r="D16563" s="1" t="str">
        <f>"0228C0816M"</f>
        <v>0228C0816M</v>
      </c>
      <c r="E16563" s="1" t="s">
        <v>10</v>
      </c>
      <c r="F16563" s="1" t="str">
        <f>"fde1:103:4:c779:0:0:0:2"</f>
        <v>fde1:103:4:c779:0:0:0:2</v>
      </c>
      <c r="G16563" s="1" t="str">
        <f>"0228C081"</f>
        <v>0228C081</v>
      </c>
      <c r="H16563" s="1" t="str">
        <f>"공주간 49L3R3"</f>
        <v>공주간 49L3R3</v>
      </c>
      <c r="I16563" s="1" t="s">
        <v>15</v>
      </c>
      <c r="J16563" s="1" t="str">
        <f>"62/62"</f>
        <v>62/62</v>
      </c>
      <c r="K16563" s="1" t="str">
        <f>"2026-07-29 14:20:45"</f>
        <v>2026-07-29 14:20:45</v>
      </c>
      <c r="L16563" s="1" t="str">
        <f>"2024-12-04 15:44:13"</f>
        <v>2024-12-04 15:44:13</v>
      </c>
      <c r="M16563" s="1" t="s">
        <v>4</v>
      </c>
      <c r="N16563" s="1" t="s">
        <v>38</v>
      </c>
      <c r="O16563" s="1" t="s">
        <v>46</v>
      </c>
    </row>
    <row r="16564" spans="2:15" x14ac:dyDescent="0.3">
      <c r="B16564" s="1" t="s">
        <v>19</v>
      </c>
      <c r="C16564" s="1" t="str">
        <f>"3차"</f>
        <v>3차</v>
      </c>
      <c r="D16564" s="1" t="str">
        <f>"0228C11239"</f>
        <v>0228C11239</v>
      </c>
      <c r="E16564" s="1" t="s">
        <v>10</v>
      </c>
      <c r="F16564" s="1" t="str">
        <f>"10.107.119.231"</f>
        <v>10.107.119.231</v>
      </c>
      <c r="G16564" s="1" t="str">
        <f>"0228C112"</f>
        <v>0228C112</v>
      </c>
      <c r="H16564" s="1" t="str">
        <f>"성가지 50L3R5R1"</f>
        <v>성가지 50L3R5R1</v>
      </c>
      <c r="I16564" s="1" t="s">
        <v>8</v>
      </c>
      <c r="J16564" s="1" t="str">
        <f>"20/20"</f>
        <v>20/20</v>
      </c>
      <c r="K16564" s="1" t="str">
        <f>"2026-07-29 13:18:02"</f>
        <v>2026-07-29 13:18:02</v>
      </c>
      <c r="L16564" s="1" t="str">
        <f>"2018-03-23 14:27:32"</f>
        <v>2018-03-23 14:27:32</v>
      </c>
      <c r="M16564" s="1" t="s">
        <v>45</v>
      </c>
      <c r="N16564" s="1" t="s">
        <v>38</v>
      </c>
      <c r="O16564" s="1" t="s">
        <v>46</v>
      </c>
    </row>
    <row r="16565" spans="2:15" x14ac:dyDescent="0.3">
      <c r="B16565" s="1" t="s">
        <v>19</v>
      </c>
      <c r="C16565" s="1" t="str">
        <f>"4차"</f>
        <v>4차</v>
      </c>
      <c r="D16565" s="1" t="str">
        <f>"0228C11331"</f>
        <v>0228C11331</v>
      </c>
      <c r="E16565" s="1" t="s">
        <v>10</v>
      </c>
      <c r="F16565" s="1" t="str">
        <f>"10.107.119.230"</f>
        <v>10.107.119.230</v>
      </c>
      <c r="G16565" s="1" t="str">
        <f>"0228C113"</f>
        <v>0228C113</v>
      </c>
      <c r="H16565" s="1" t="str">
        <f>"성가지 50L3R4"</f>
        <v>성가지 50L3R4</v>
      </c>
      <c r="I16565" s="1" t="s">
        <v>8</v>
      </c>
      <c r="J16565" s="1" t="str">
        <f>"38/38"</f>
        <v>38/38</v>
      </c>
      <c r="K16565" s="1" t="str">
        <f>"2026-07-29 13:18:03"</f>
        <v>2026-07-29 13:18:03</v>
      </c>
      <c r="L16565" s="1" t="str">
        <f>"2018-05-08 09:24:54"</f>
        <v>2018-05-08 09:24:54</v>
      </c>
      <c r="M16565" s="1" t="s">
        <v>45</v>
      </c>
      <c r="N16565" s="1" t="s">
        <v>38</v>
      </c>
      <c r="O16565" s="1" t="s">
        <v>46</v>
      </c>
    </row>
    <row r="16566" spans="2:15" x14ac:dyDescent="0.3">
      <c r="B16566" s="1" t="s">
        <v>19</v>
      </c>
      <c r="C16566" s="1" t="str">
        <f>"3차"</f>
        <v>3차</v>
      </c>
      <c r="D16566" s="1" t="str">
        <f>"0228C11630"</f>
        <v>0228C11630</v>
      </c>
      <c r="E16566" s="1" t="s">
        <v>10</v>
      </c>
      <c r="F16566" s="1" t="str">
        <f>"10.107.119.232"</f>
        <v>10.107.119.232</v>
      </c>
      <c r="G16566" s="1" t="str">
        <f>"0228C116"</f>
        <v>0228C116</v>
      </c>
      <c r="H16566" s="1" t="str">
        <f>"성가지 50L3R6L1"</f>
        <v>성가지 50L3R6L1</v>
      </c>
      <c r="I16566" s="1" t="s">
        <v>8</v>
      </c>
      <c r="J16566" s="1" t="str">
        <f>"41/41"</f>
        <v>41/41</v>
      </c>
      <c r="K16566" s="1" t="str">
        <f>"2026-07-29 13:18:02"</f>
        <v>2026-07-29 13:18:02</v>
      </c>
      <c r="L16566" s="1" t="str">
        <f>"2018-03-23 14:25:41"</f>
        <v>2018-03-23 14:25:41</v>
      </c>
      <c r="M16566" s="1" t="s">
        <v>45</v>
      </c>
      <c r="N16566" s="1" t="s">
        <v>38</v>
      </c>
      <c r="O16566" s="1" t="s">
        <v>46</v>
      </c>
    </row>
    <row r="16567" spans="2:15" x14ac:dyDescent="0.3">
      <c r="B16567" s="1" t="s">
        <v>19</v>
      </c>
      <c r="C16567" s="1" t="str">
        <f>"4차"</f>
        <v>4차</v>
      </c>
      <c r="D16567" s="1" t="str">
        <f>"0228C11731"</f>
        <v>0228C11731</v>
      </c>
      <c r="E16567" s="1" t="s">
        <v>10</v>
      </c>
      <c r="F16567" s="1" t="str">
        <f>"10.107.119.233"</f>
        <v>10.107.119.233</v>
      </c>
      <c r="G16567" s="1" t="str">
        <f>"0228C117"</f>
        <v>0228C117</v>
      </c>
      <c r="H16567" s="1" t="str">
        <f>"성가지 50L3R7"</f>
        <v>성가지 50L3R7</v>
      </c>
      <c r="I16567" s="1" t="s">
        <v>8</v>
      </c>
      <c r="J16567" s="1" t="str">
        <f>"35/35"</f>
        <v>35/35</v>
      </c>
      <c r="K16567" s="1" t="str">
        <f>"2026-07-29 13:18:02"</f>
        <v>2026-07-29 13:18:02</v>
      </c>
      <c r="L16567" s="1" t="str">
        <f>"2018-03-23 14:06:41"</f>
        <v>2018-03-23 14:06:41</v>
      </c>
      <c r="M16567" s="1" t="s">
        <v>45</v>
      </c>
      <c r="N16567" s="1" t="s">
        <v>38</v>
      </c>
      <c r="O16567" s="1" t="s">
        <v>46</v>
      </c>
    </row>
    <row r="16568" spans="2:15" x14ac:dyDescent="0.3">
      <c r="B16568" s="1" t="s">
        <v>19</v>
      </c>
      <c r="C16568" s="1" t="str">
        <f>"3차"</f>
        <v>3차</v>
      </c>
      <c r="D16568" s="1" t="str">
        <f>"0228C12139"</f>
        <v>0228C12139</v>
      </c>
      <c r="E16568" s="1" t="s">
        <v>10</v>
      </c>
      <c r="F16568" s="1" t="str">
        <f>"10.107.119.234"</f>
        <v>10.107.119.234</v>
      </c>
      <c r="G16568" s="1" t="str">
        <f>"0228C121"</f>
        <v>0228C121</v>
      </c>
      <c r="H16568" s="1" t="str">
        <f>"성가지 50L3R5L1"</f>
        <v>성가지 50L3R5L1</v>
      </c>
      <c r="I16568" s="1" t="s">
        <v>8</v>
      </c>
      <c r="J16568" s="1" t="str">
        <f>"46/46"</f>
        <v>46/46</v>
      </c>
      <c r="K16568" s="1" t="str">
        <f>"2026-07-29 13:18:02"</f>
        <v>2026-07-29 13:18:02</v>
      </c>
      <c r="L16568" s="1" t="str">
        <f>"2018-03-23 14:24:56"</f>
        <v>2018-03-23 14:24:56</v>
      </c>
      <c r="M16568" s="1" t="s">
        <v>45</v>
      </c>
      <c r="N16568" s="1" t="s">
        <v>38</v>
      </c>
      <c r="O16568" s="1" t="s">
        <v>46</v>
      </c>
    </row>
    <row r="16569" spans="2:15" x14ac:dyDescent="0.3">
      <c r="B16569" s="1" t="s">
        <v>19</v>
      </c>
      <c r="C16569" s="1" t="str">
        <f>"3차"</f>
        <v>3차</v>
      </c>
      <c r="D16569" s="1" t="str">
        <f>"0228C14339"</f>
        <v>0228C14339</v>
      </c>
      <c r="E16569" s="1" t="s">
        <v>10</v>
      </c>
      <c r="F16569" s="1" t="str">
        <f>"10.107.119.235"</f>
        <v>10.107.119.235</v>
      </c>
      <c r="G16569" s="1" t="str">
        <f>"0228C143"</f>
        <v>0228C143</v>
      </c>
      <c r="H16569" s="1" t="str">
        <f>"공주간 49L3R10"</f>
        <v>공주간 49L3R10</v>
      </c>
      <c r="I16569" s="1" t="s">
        <v>8</v>
      </c>
      <c r="J16569" s="1" t="str">
        <f>"71/71"</f>
        <v>71/71</v>
      </c>
      <c r="K16569" s="1" t="str">
        <f>"2026-07-29 13:18:02"</f>
        <v>2026-07-29 13:18:02</v>
      </c>
      <c r="L16569" s="1" t="str">
        <f>"2018-04-04 15:38:58"</f>
        <v>2018-04-04 15:38:58</v>
      </c>
      <c r="M16569" s="1" t="s">
        <v>45</v>
      </c>
      <c r="N16569" s="1" t="s">
        <v>38</v>
      </c>
      <c r="O16569" s="1" t="s">
        <v>46</v>
      </c>
    </row>
    <row r="16570" spans="2:15" x14ac:dyDescent="0.3">
      <c r="B16570" s="1" t="s">
        <v>19</v>
      </c>
      <c r="C16570" s="1" t="str">
        <f>"3차"</f>
        <v>3차</v>
      </c>
      <c r="D16570" s="1" t="str">
        <f>"0228C14439"</f>
        <v>0228C14439</v>
      </c>
      <c r="E16570" s="1" t="s">
        <v>10</v>
      </c>
      <c r="F16570" s="1" t="str">
        <f>"10.107.119.236"</f>
        <v>10.107.119.236</v>
      </c>
      <c r="G16570" s="1" t="str">
        <f>"0228C144"</f>
        <v>0228C144</v>
      </c>
      <c r="H16570" s="1" t="str">
        <f>"율곡지 12R22L10"</f>
        <v>율곡지 12R22L10</v>
      </c>
      <c r="I16570" s="1" t="s">
        <v>8</v>
      </c>
      <c r="J16570" s="1" t="str">
        <f>"13/19"</f>
        <v>13/19</v>
      </c>
      <c r="K16570" s="1" t="str">
        <f>"2026-07-29 13:18:03"</f>
        <v>2026-07-29 13:18:03</v>
      </c>
      <c r="L16570" s="1" t="str">
        <f>"2018-03-23 13:57:14"</f>
        <v>2018-03-23 13:57:14</v>
      </c>
      <c r="M16570" s="1" t="s">
        <v>45</v>
      </c>
      <c r="N16570" s="1" t="s">
        <v>38</v>
      </c>
      <c r="O16570" s="1" t="s">
        <v>46</v>
      </c>
    </row>
    <row r="16571" spans="2:15" x14ac:dyDescent="0.3">
      <c r="B16571" s="1" t="s">
        <v>19</v>
      </c>
      <c r="C16571" s="1" t="str">
        <f>"1차"</f>
        <v>1차</v>
      </c>
      <c r="D16571" s="1" t="str">
        <f>"0228C16100"</f>
        <v>0228C16100</v>
      </c>
      <c r="E16571" s="1" t="s">
        <v>12</v>
      </c>
      <c r="F16571" s="1" t="str">
        <f>"10.107.119.238"</f>
        <v>10.107.119.238</v>
      </c>
      <c r="G16571" s="1" t="str">
        <f>"0228C161"</f>
        <v>0228C161</v>
      </c>
      <c r="H16571" s="1" t="str">
        <f>"공주간 49L8"</f>
        <v>공주간 49L8</v>
      </c>
      <c r="I16571" s="1" t="s">
        <v>8</v>
      </c>
      <c r="J16571" s="1" t="str">
        <f>"0/45"</f>
        <v>0/45</v>
      </c>
      <c r="K16571" s="1" t="str">
        <f>"2026-07-29 01:18:01"</f>
        <v>2026-07-29 01:18:01</v>
      </c>
      <c r="L16571" s="1" t="str">
        <f>"2014-12-18 16:43:07"</f>
        <v>2014-12-18 16:43:07</v>
      </c>
      <c r="M16571" s="1" t="s">
        <v>45</v>
      </c>
      <c r="N16571" s="1" t="s">
        <v>38</v>
      </c>
      <c r="O16571" s="1" t="s">
        <v>46</v>
      </c>
    </row>
    <row r="16572" spans="2:15" x14ac:dyDescent="0.3">
      <c r="B16572" s="1" t="s">
        <v>19</v>
      </c>
      <c r="C16572" s="1" t="str">
        <f>"3차"</f>
        <v>3차</v>
      </c>
      <c r="D16572" s="1" t="str">
        <f>"0228C20139"</f>
        <v>0228C20139</v>
      </c>
      <c r="E16572" s="1" t="s">
        <v>10</v>
      </c>
      <c r="F16572" s="1" t="str">
        <f>"10.107.119.239"</f>
        <v>10.107.119.239</v>
      </c>
      <c r="G16572" s="1" t="str">
        <f>"0228C201"</f>
        <v>0228C201</v>
      </c>
      <c r="H16572" s="1" t="str">
        <f>"성가지 50L3R5R3"</f>
        <v>성가지 50L3R5R3</v>
      </c>
      <c r="I16572" s="1" t="s">
        <v>8</v>
      </c>
      <c r="J16572" s="1" t="str">
        <f>"28/28"</f>
        <v>28/28</v>
      </c>
      <c r="K16572" s="1" t="str">
        <f>"2026-07-29 13:18:03"</f>
        <v>2026-07-29 13:18:03</v>
      </c>
      <c r="L16572" s="1" t="str">
        <f>"2018-05-31 13:12:34"</f>
        <v>2018-05-31 13:12:34</v>
      </c>
      <c r="M16572" s="1" t="s">
        <v>45</v>
      </c>
      <c r="N16572" s="1" t="s">
        <v>38</v>
      </c>
      <c r="O16572" s="1" t="s">
        <v>46</v>
      </c>
    </row>
    <row r="16573" spans="2:15" x14ac:dyDescent="0.3">
      <c r="B16573" s="1" t="s">
        <v>19</v>
      </c>
      <c r="C16573" s="1" t="str">
        <f>"3차"</f>
        <v>3차</v>
      </c>
      <c r="D16573" s="1" t="str">
        <f>"0228C22139"</f>
        <v>0228C22139</v>
      </c>
      <c r="E16573" s="1" t="s">
        <v>10</v>
      </c>
      <c r="F16573" s="1" t="str">
        <f>"10.107.119.19"</f>
        <v>10.107.119.19</v>
      </c>
      <c r="G16573" s="1" t="str">
        <f>"0228C221"</f>
        <v>0228C221</v>
      </c>
      <c r="H16573" s="1" t="str">
        <f>"성가지 42R17"</f>
        <v>성가지 42R17</v>
      </c>
      <c r="I16573" s="1" t="s">
        <v>8</v>
      </c>
      <c r="J16573" s="1" t="str">
        <f>"22/22"</f>
        <v>22/22</v>
      </c>
      <c r="K16573" s="1" t="str">
        <f>"2026-07-29 13:18:03"</f>
        <v>2026-07-29 13:18:03</v>
      </c>
      <c r="L16573" s="1" t="str">
        <f>"2018-06-07 17:05:18"</f>
        <v>2018-06-07 17:05:18</v>
      </c>
      <c r="M16573" s="1" t="s">
        <v>45</v>
      </c>
      <c r="N16573" s="1" t="s">
        <v>38</v>
      </c>
      <c r="O16573" s="1" t="s">
        <v>46</v>
      </c>
    </row>
    <row r="16574" spans="2:15" x14ac:dyDescent="0.3">
      <c r="B16574" s="1" t="s">
        <v>19</v>
      </c>
      <c r="C16574" s="1" t="str">
        <f>"4차"</f>
        <v>4차</v>
      </c>
      <c r="D16574" s="1" t="str">
        <f>"0228C22439"</f>
        <v>0228C22439</v>
      </c>
      <c r="E16574" s="1" t="s">
        <v>10</v>
      </c>
      <c r="F16574" s="1" t="str">
        <f>"10.107.119.20"</f>
        <v>10.107.119.20</v>
      </c>
      <c r="G16574" s="1" t="str">
        <f>"0228C224"</f>
        <v>0228C224</v>
      </c>
      <c r="H16574" s="1" t="str">
        <f>"성가지 42R18"</f>
        <v>성가지 42R18</v>
      </c>
      <c r="I16574" s="1" t="s">
        <v>8</v>
      </c>
      <c r="J16574" s="1" t="str">
        <f>"33/34"</f>
        <v>33/34</v>
      </c>
      <c r="K16574" s="1" t="str">
        <f>"2026-07-29 13:18:01"</f>
        <v>2026-07-29 13:18:01</v>
      </c>
      <c r="L16574" s="1" t="str">
        <f>"2018-03-23 13:57:56"</f>
        <v>2018-03-23 13:57:56</v>
      </c>
      <c r="M16574" s="1" t="s">
        <v>45</v>
      </c>
      <c r="N16574" s="1" t="s">
        <v>38</v>
      </c>
      <c r="O16574" s="1" t="s">
        <v>46</v>
      </c>
    </row>
    <row r="16575" spans="2:15" x14ac:dyDescent="0.3">
      <c r="B16575" s="1" t="s">
        <v>19</v>
      </c>
      <c r="C16575" s="1" t="str">
        <f>"3차"</f>
        <v>3차</v>
      </c>
      <c r="D16575" s="1" t="str">
        <f>"0228C24439"</f>
        <v>0228C24439</v>
      </c>
      <c r="E16575" s="1" t="s">
        <v>10</v>
      </c>
      <c r="F16575" s="1" t="str">
        <f>"10.107.119.240"</f>
        <v>10.107.119.240</v>
      </c>
      <c r="G16575" s="1" t="str">
        <f>"0228C244"</f>
        <v>0228C244</v>
      </c>
      <c r="H16575" s="1" t="str">
        <f>"율곡지 12R22L9"</f>
        <v>율곡지 12R22L9</v>
      </c>
      <c r="I16575" s="1" t="s">
        <v>8</v>
      </c>
      <c r="J16575" s="1" t="str">
        <f>"15/15"</f>
        <v>15/15</v>
      </c>
      <c r="K16575" s="1" t="str">
        <f>"2026-07-29 13:18:00"</f>
        <v>2026-07-29 13:18:00</v>
      </c>
      <c r="L16575" s="1" t="str">
        <f>"2018-03-23 13:58:02"</f>
        <v>2018-03-23 13:58:02</v>
      </c>
      <c r="M16575" s="1" t="s">
        <v>45</v>
      </c>
      <c r="N16575" s="1" t="s">
        <v>38</v>
      </c>
      <c r="O16575" s="1" t="s">
        <v>46</v>
      </c>
    </row>
    <row r="16576" spans="2:15" x14ac:dyDescent="0.3">
      <c r="B16576" s="1" t="s">
        <v>19</v>
      </c>
      <c r="C16576" s="1" t="str">
        <f>"3차"</f>
        <v>3차</v>
      </c>
      <c r="D16576" s="1" t="str">
        <f>"0228C30539"</f>
        <v>0228C30539</v>
      </c>
      <c r="E16576" s="1" t="s">
        <v>10</v>
      </c>
      <c r="F16576" s="1" t="str">
        <f>"10.107.119.22"</f>
        <v>10.107.119.22</v>
      </c>
      <c r="G16576" s="1" t="str">
        <f>"0228C305"</f>
        <v>0228C305</v>
      </c>
      <c r="H16576" s="1" t="str">
        <f>"성가지 42R14"</f>
        <v>성가지 42R14</v>
      </c>
      <c r="I16576" s="1" t="s">
        <v>8</v>
      </c>
      <c r="J16576" s="1" t="str">
        <f>"42/50"</f>
        <v>42/50</v>
      </c>
      <c r="K16576" s="1" t="str">
        <f>"2026-07-29 13:18:02"</f>
        <v>2026-07-29 13:18:02</v>
      </c>
      <c r="L16576" s="1" t="str">
        <f>"2018-03-23 15:45:31"</f>
        <v>2018-03-23 15:45:31</v>
      </c>
      <c r="M16576" s="1" t="s">
        <v>45</v>
      </c>
      <c r="N16576" s="1" t="s">
        <v>38</v>
      </c>
      <c r="O16576" s="1" t="s">
        <v>46</v>
      </c>
    </row>
    <row r="16577" spans="2:15" x14ac:dyDescent="0.3">
      <c r="B16577" s="1" t="s">
        <v>19</v>
      </c>
      <c r="C16577" s="1" t="str">
        <f>"4차"</f>
        <v>4차</v>
      </c>
      <c r="D16577" s="1" t="str">
        <f>"0228D00544"</f>
        <v>0228D00544</v>
      </c>
      <c r="E16577" s="1" t="s">
        <v>10</v>
      </c>
      <c r="F16577" s="1" t="str">
        <f>"10.107.12.88"</f>
        <v>10.107.12.88</v>
      </c>
      <c r="G16577" s="1" t="str">
        <f>"0228D005"</f>
        <v>0228D005</v>
      </c>
      <c r="H16577" s="1" t="str">
        <f>"율곡지 12R10"</f>
        <v>율곡지 12R10</v>
      </c>
      <c r="I16577" s="1" t="s">
        <v>8</v>
      </c>
      <c r="J16577" s="1" t="str">
        <f>"47/48"</f>
        <v>47/48</v>
      </c>
      <c r="K16577" s="1" t="str">
        <f>"2026-07-29 13:18:00"</f>
        <v>2026-07-29 13:18:00</v>
      </c>
      <c r="L16577" s="1" t="str">
        <f>"2019-12-13 12:09:19"</f>
        <v>2019-12-13 12:09:19</v>
      </c>
      <c r="M16577" s="1" t="s">
        <v>45</v>
      </c>
      <c r="N16577" s="1" t="s">
        <v>38</v>
      </c>
      <c r="O16577" s="1" t="s">
        <v>46</v>
      </c>
    </row>
    <row r="16578" spans="2:15" x14ac:dyDescent="0.3">
      <c r="B16578" s="1" t="s">
        <v>19</v>
      </c>
      <c r="C16578" s="1" t="str">
        <f>"4차"</f>
        <v>4차</v>
      </c>
      <c r="D16578" s="1" t="str">
        <f>"0228D02139"</f>
        <v>0228D02139</v>
      </c>
      <c r="E16578" s="1" t="s">
        <v>10</v>
      </c>
      <c r="F16578" s="1" t="str">
        <f>"10.12.133.105"</f>
        <v>10.12.133.105</v>
      </c>
      <c r="G16578" s="1" t="str">
        <f>"0228D021"</f>
        <v>0228D021</v>
      </c>
      <c r="H16578" s="1" t="str">
        <f>"율곡지 12R13"</f>
        <v>율곡지 12R13</v>
      </c>
      <c r="I16578" s="1" t="s">
        <v>17</v>
      </c>
      <c r="J16578" s="1" t="str">
        <f>"55/56"</f>
        <v>55/56</v>
      </c>
      <c r="K16578" s="1" t="str">
        <f>"2026-07-29 13:18:02"</f>
        <v>2026-07-29 13:18:02</v>
      </c>
      <c r="L16578" s="1" t="str">
        <f>"2018-09-20 20:52:31"</f>
        <v>2018-09-20 20:52:31</v>
      </c>
      <c r="M16578" s="1" t="s">
        <v>0</v>
      </c>
      <c r="N16578" s="1" t="s">
        <v>38</v>
      </c>
      <c r="O16578" s="1" t="s">
        <v>46</v>
      </c>
    </row>
    <row r="16579" spans="2:15" x14ac:dyDescent="0.3">
      <c r="B16579" s="1" t="s">
        <v>19</v>
      </c>
      <c r="C16579" s="1" t="str">
        <f>"4차"</f>
        <v>4차</v>
      </c>
      <c r="D16579" s="1" t="str">
        <f>"0228D12541"</f>
        <v>0228D12541</v>
      </c>
      <c r="E16579" s="1" t="s">
        <v>10</v>
      </c>
      <c r="F16579" s="1" t="str">
        <f>"10.12.133.56"</f>
        <v>10.12.133.56</v>
      </c>
      <c r="G16579" s="1" t="str">
        <f>"0228D125"</f>
        <v>0228D125</v>
      </c>
      <c r="H16579" s="1" t="str">
        <f>"율곡지 12R14"</f>
        <v>율곡지 12R14</v>
      </c>
      <c r="I16579" s="1" t="s">
        <v>17</v>
      </c>
      <c r="J16579" s="1" t="str">
        <f>"44/44"</f>
        <v>44/44</v>
      </c>
      <c r="K16579" s="1" t="str">
        <f>"2026-07-29 13:18:03"</f>
        <v>2026-07-29 13:18:03</v>
      </c>
      <c r="L16579" s="1" t="str">
        <f>"2021-10-12 13:55:24"</f>
        <v>2021-10-12 13:55:24</v>
      </c>
      <c r="M16579" s="1" t="s">
        <v>0</v>
      </c>
      <c r="N16579" s="1" t="s">
        <v>38</v>
      </c>
      <c r="O16579" s="1" t="s">
        <v>46</v>
      </c>
    </row>
    <row r="16580" spans="2:15" x14ac:dyDescent="0.3">
      <c r="B16580" s="1" t="s">
        <v>19</v>
      </c>
      <c r="C16580" s="1" t="str">
        <f>"4차"</f>
        <v>4차</v>
      </c>
      <c r="D16580" s="1" t="str">
        <f>"0228D91144"</f>
        <v>0228D91144</v>
      </c>
      <c r="E16580" s="1" t="s">
        <v>10</v>
      </c>
      <c r="F16580" s="1" t="str">
        <f>"10.107.122.108"</f>
        <v>10.107.122.108</v>
      </c>
      <c r="G16580" s="1" t="str">
        <f>"0228D911"</f>
        <v>0228D911</v>
      </c>
      <c r="H16580" s="1" t="str">
        <f>"율곡지 4R13"</f>
        <v>율곡지 4R13</v>
      </c>
      <c r="I16580" s="1" t="s">
        <v>8</v>
      </c>
      <c r="J16580" s="1" t="str">
        <f>"39/39"</f>
        <v>39/39</v>
      </c>
      <c r="K16580" s="1" t="str">
        <f>"2026-07-29 13:18:02"</f>
        <v>2026-07-29 13:18:02</v>
      </c>
      <c r="L16580" s="1" t="str">
        <f>"2019-11-12 15:03:04"</f>
        <v>2019-11-12 15:03:04</v>
      </c>
      <c r="M16580" s="1" t="s">
        <v>45</v>
      </c>
      <c r="N16580" s="1" t="s">
        <v>38</v>
      </c>
      <c r="O16580" s="1" t="s">
        <v>46</v>
      </c>
    </row>
    <row r="16581" spans="2:15" x14ac:dyDescent="0.3">
      <c r="B16581" s="1" t="s">
        <v>19</v>
      </c>
      <c r="C16581" s="1" t="str">
        <f>"5-2차"</f>
        <v>5-2차</v>
      </c>
      <c r="D16581" s="1" t="str">
        <f>"0228E0025M"</f>
        <v>0228E0025M</v>
      </c>
      <c r="E16581" s="1" t="s">
        <v>10</v>
      </c>
      <c r="F16581" s="1" t="str">
        <f>"fde1:103:4:912e:0:0:0:2"</f>
        <v>fde1:103:4:912e:0:0:0:2</v>
      </c>
      <c r="G16581" s="1" t="str">
        <f>"0228E002"</f>
        <v>0228E002</v>
      </c>
      <c r="H16581" s="1" t="str">
        <f>"장위간 17R20"</f>
        <v>장위간 17R20</v>
      </c>
      <c r="I16581" s="1" t="s">
        <v>15</v>
      </c>
      <c r="J16581" s="1" t="str">
        <f>"22/25"</f>
        <v>22/25</v>
      </c>
      <c r="K16581" s="1" t="str">
        <f>"2026-07-29 14:20:30"</f>
        <v>2026-07-29 14:20:30</v>
      </c>
      <c r="L16581" s="1" t="str">
        <f>"2023-12-21 09:00:40"</f>
        <v>2023-12-21 09:00:40</v>
      </c>
      <c r="M16581" s="1" t="s">
        <v>4</v>
      </c>
      <c r="N16581" s="1" t="s">
        <v>38</v>
      </c>
      <c r="O16581" s="1" t="s">
        <v>46</v>
      </c>
    </row>
    <row r="16582" spans="2:15" x14ac:dyDescent="0.3">
      <c r="B16582" s="1" t="s">
        <v>19</v>
      </c>
      <c r="C16582" s="1" t="str">
        <f>"5-1차"</f>
        <v>5-1차</v>
      </c>
      <c r="D16582" s="1" t="str">
        <f>"0228E0335S"</f>
        <v>0228E0335S</v>
      </c>
      <c r="E16582" s="1" t="s">
        <v>10</v>
      </c>
      <c r="F16582" s="1" t="str">
        <f>"fde2:104:0:1a8:0:0:0:2"</f>
        <v>fde2:104:0:1a8:0:0:0:2</v>
      </c>
      <c r="G16582" s="1" t="str">
        <f>"0228E033"</f>
        <v>0228E033</v>
      </c>
      <c r="H16582" s="1" t="str">
        <f>"장위간 20R10"</f>
        <v>장위간 20R10</v>
      </c>
      <c r="I16582" s="1" t="s">
        <v>15</v>
      </c>
      <c r="J16582" s="1" t="str">
        <f>"57/57"</f>
        <v>57/57</v>
      </c>
      <c r="K16582" s="1" t="str">
        <f>"2026-07-29 14:20:02"</f>
        <v>2026-07-29 14:20:02</v>
      </c>
      <c r="L16582" s="1" t="str">
        <f>"2022-11-29 14:20:50"</f>
        <v>2022-11-29 14:20:50</v>
      </c>
      <c r="M16582" s="1" t="s">
        <v>42</v>
      </c>
      <c r="N16582" s="1" t="s">
        <v>38</v>
      </c>
      <c r="O16582" s="1" t="s">
        <v>46</v>
      </c>
    </row>
    <row r="16583" spans="2:15" x14ac:dyDescent="0.3">
      <c r="B16583" s="1" t="s">
        <v>19</v>
      </c>
      <c r="C16583" s="1" t="str">
        <f>"1차"</f>
        <v>1차</v>
      </c>
      <c r="D16583" s="1" t="str">
        <f>"0228E06101"</f>
        <v>0228E06101</v>
      </c>
      <c r="E16583" s="1" t="s">
        <v>10</v>
      </c>
      <c r="F16583" s="1" t="str">
        <f>"10.107.121.67"</f>
        <v>10.107.121.67</v>
      </c>
      <c r="G16583" s="1" t="str">
        <f>"0228E061"</f>
        <v>0228E061</v>
      </c>
      <c r="H16583" s="1" t="str">
        <f>"장위간 24"</f>
        <v>장위간 24</v>
      </c>
      <c r="I16583" s="1" t="s">
        <v>8</v>
      </c>
      <c r="J16583" s="1" t="str">
        <f>"23/28"</f>
        <v>23/28</v>
      </c>
      <c r="K16583" s="1" t="str">
        <f>"2026-07-29 13:18:02"</f>
        <v>2026-07-29 13:18:02</v>
      </c>
      <c r="L16583" s="1" t="str">
        <f>"2014-12-18 15:42:26"</f>
        <v>2014-12-18 15:42:26</v>
      </c>
      <c r="M16583" s="1" t="s">
        <v>45</v>
      </c>
      <c r="N16583" s="1" t="s">
        <v>38</v>
      </c>
      <c r="O16583" s="1" t="s">
        <v>46</v>
      </c>
    </row>
    <row r="16584" spans="2:15" x14ac:dyDescent="0.3">
      <c r="B16584" s="1" t="s">
        <v>19</v>
      </c>
      <c r="C16584" s="1" t="str">
        <f>"5-2차"</f>
        <v>5-2차</v>
      </c>
      <c r="D16584" s="1" t="str">
        <f>"0228E0915M"</f>
        <v>0228E0915M</v>
      </c>
      <c r="E16584" s="1" t="s">
        <v>10</v>
      </c>
      <c r="F16584" s="1" t="str">
        <f>"fde3:102:1410:9200:0:0:0:e"</f>
        <v>fde3:102:1410:9200:0:0:0:e</v>
      </c>
      <c r="G16584" s="1" t="str">
        <f>"0228E091"</f>
        <v>0228E091</v>
      </c>
      <c r="H16584" s="1" t="str">
        <f>"장위간 49L9"</f>
        <v>장위간 49L9</v>
      </c>
      <c r="I16584" s="1" t="s">
        <v>15</v>
      </c>
      <c r="J16584" s="1" t="str">
        <f>"41/41"</f>
        <v>41/41</v>
      </c>
      <c r="K16584" s="1" t="str">
        <f>"2026-07-29 14:20:49"</f>
        <v>2026-07-29 14:20:49</v>
      </c>
      <c r="L16584" s="1" t="str">
        <f>"2023-12-09 12:32:27"</f>
        <v>2023-12-09 12:32:27</v>
      </c>
      <c r="M16584" s="1" t="s">
        <v>45</v>
      </c>
      <c r="N16584" s="1" t="s">
        <v>38</v>
      </c>
      <c r="O16584" s="1" t="s">
        <v>46</v>
      </c>
    </row>
    <row r="16585" spans="2:15" x14ac:dyDescent="0.3">
      <c r="B16585" s="1" t="s">
        <v>19</v>
      </c>
      <c r="C16585" s="1" t="str">
        <f>"5-2차"</f>
        <v>5-2차</v>
      </c>
      <c r="D16585" s="1" t="str">
        <f>"0228E1015M"</f>
        <v>0228E1015M</v>
      </c>
      <c r="E16585" s="1" t="s">
        <v>10</v>
      </c>
      <c r="F16585" s="1" t="str">
        <f>"fde1:103:4:9100:0:0:0:2"</f>
        <v>fde1:103:4:9100:0:0:0:2</v>
      </c>
      <c r="G16585" s="1" t="str">
        <f>"0228E101"</f>
        <v>0228E101</v>
      </c>
      <c r="H16585" s="1" t="str">
        <f>"상운지 35L3L2"</f>
        <v>상운지 35L3L2</v>
      </c>
      <c r="I16585" s="1" t="s">
        <v>15</v>
      </c>
      <c r="J16585" s="1" t="str">
        <f>"52/52"</f>
        <v>52/52</v>
      </c>
      <c r="K16585" s="1" t="str">
        <f>"2026-07-29 14:20:33"</f>
        <v>2026-07-29 14:20:33</v>
      </c>
      <c r="L16585" s="1" t="str">
        <f>"2024-01-05 14:45:25"</f>
        <v>2024-01-05 14:45:25</v>
      </c>
      <c r="M16585" s="1" t="s">
        <v>4</v>
      </c>
      <c r="N16585" s="1" t="s">
        <v>38</v>
      </c>
      <c r="O16585" s="1" t="s">
        <v>46</v>
      </c>
    </row>
    <row r="16586" spans="2:15" x14ac:dyDescent="0.3">
      <c r="B16586" s="1" t="s">
        <v>19</v>
      </c>
      <c r="C16586" s="1" t="str">
        <f>"4차"</f>
        <v>4차</v>
      </c>
      <c r="D16586" s="1" t="str">
        <f>"0228E11141"</f>
        <v>0228E11141</v>
      </c>
      <c r="E16586" s="1" t="s">
        <v>10</v>
      </c>
      <c r="F16586" s="1" t="str">
        <f>"10.14.1.14"</f>
        <v>10.14.1.14</v>
      </c>
      <c r="G16586" s="1" t="str">
        <f>"0228E111"</f>
        <v>0228E111</v>
      </c>
      <c r="H16586" s="1" t="str">
        <f>"상운지 35L4"</f>
        <v>상운지 35L4</v>
      </c>
      <c r="I16586" s="1" t="s">
        <v>17</v>
      </c>
      <c r="J16586" s="1" t="str">
        <f>"25/25"</f>
        <v>25/25</v>
      </c>
      <c r="K16586" s="1" t="str">
        <f>"2026-07-29 13:18:01"</f>
        <v>2026-07-29 13:18:01</v>
      </c>
      <c r="L16586" s="1" t="str">
        <f>"2021-08-13 14:42:16"</f>
        <v>2021-08-13 14:42:16</v>
      </c>
      <c r="M16586" s="1" t="s">
        <v>3</v>
      </c>
      <c r="N16586" s="1" t="s">
        <v>38</v>
      </c>
      <c r="O16586" s="1" t="s">
        <v>46</v>
      </c>
    </row>
    <row r="16587" spans="2:15" x14ac:dyDescent="0.3">
      <c r="B16587" s="1" t="s">
        <v>19</v>
      </c>
      <c r="C16587" s="1" t="str">
        <f>"5-2차"</f>
        <v>5-2차</v>
      </c>
      <c r="D16587" s="1" t="str">
        <f>"0228E1515M"</f>
        <v>0228E1515M</v>
      </c>
      <c r="E16587" s="1" t="s">
        <v>10</v>
      </c>
      <c r="F16587" s="1" t="str">
        <f>"fde3:102:1410:9400:0:0:0:4"</f>
        <v>fde3:102:1410:9400:0:0:0:4</v>
      </c>
      <c r="G16587" s="1" t="str">
        <f>"0228E151"</f>
        <v>0228E151</v>
      </c>
      <c r="H16587" s="1" t="str">
        <f>"장위간 24R2"</f>
        <v>장위간 24R2</v>
      </c>
      <c r="I16587" s="1" t="s">
        <v>15</v>
      </c>
      <c r="J16587" s="1" t="str">
        <f>"32/32"</f>
        <v>32/32</v>
      </c>
      <c r="K16587" s="1" t="str">
        <f>"2026-07-29 14:20:30"</f>
        <v>2026-07-29 14:20:30</v>
      </c>
      <c r="L16587" s="1" t="str">
        <f>"2024-01-08 09:57:11"</f>
        <v>2024-01-08 09:57:11</v>
      </c>
      <c r="M16587" s="1" t="s">
        <v>45</v>
      </c>
      <c r="N16587" s="1" t="s">
        <v>38</v>
      </c>
      <c r="O16587" s="1" t="s">
        <v>46</v>
      </c>
    </row>
    <row r="16588" spans="2:15" x14ac:dyDescent="0.3">
      <c r="B16588" s="1" t="s">
        <v>19</v>
      </c>
      <c r="C16588" s="1" t="str">
        <f>"5-2차"</f>
        <v>5-2차</v>
      </c>
      <c r="D16588" s="1" t="str">
        <f>"0228E1525M"</f>
        <v>0228E1525M</v>
      </c>
      <c r="E16588" s="1" t="s">
        <v>10</v>
      </c>
      <c r="F16588" s="1" t="str">
        <f>"fde1:103:4:9112:0:0:0:2"</f>
        <v>fde1:103:4:9112:0:0:0:2</v>
      </c>
      <c r="G16588" s="1" t="str">
        <f>"0228E152"</f>
        <v>0228E152</v>
      </c>
      <c r="H16588" s="1" t="str">
        <f>"장위간 25R1"</f>
        <v>장위간 25R1</v>
      </c>
      <c r="I16588" s="1" t="s">
        <v>15</v>
      </c>
      <c r="J16588" s="1" t="str">
        <f>"42/42"</f>
        <v>42/42</v>
      </c>
      <c r="K16588" s="1" t="str">
        <f>"2026-07-29 14:20:00"</f>
        <v>2026-07-29 14:20:00</v>
      </c>
      <c r="L16588" s="1" t="str">
        <f>"2024-01-08 10:43:14"</f>
        <v>2024-01-08 10:43:14</v>
      </c>
      <c r="M16588" s="1" t="s">
        <v>4</v>
      </c>
      <c r="N16588" s="1" t="s">
        <v>38</v>
      </c>
      <c r="O16588" s="1" t="s">
        <v>46</v>
      </c>
    </row>
    <row r="16589" spans="2:15" x14ac:dyDescent="0.3">
      <c r="B16589" s="1" t="s">
        <v>19</v>
      </c>
      <c r="C16589" s="1" t="str">
        <f>"6차"</f>
        <v>6차</v>
      </c>
      <c r="D16589" s="1" t="str">
        <f>"0228E1616M"</f>
        <v>0228E1616M</v>
      </c>
      <c r="E16589" s="1" t="s">
        <v>10</v>
      </c>
      <c r="F16589" s="1" t="str">
        <f>"fde1:103:4:c634:0:0:0:2"</f>
        <v>fde1:103:4:c634:0:0:0:2</v>
      </c>
      <c r="G16589" s="1" t="str">
        <f>"0228E161"</f>
        <v>0228E161</v>
      </c>
      <c r="H16589" s="1" t="str">
        <f>"장위간 25"</f>
        <v>장위간 25</v>
      </c>
      <c r="I16589" s="1" t="s">
        <v>15</v>
      </c>
      <c r="J16589" s="1" t="str">
        <f>"32/32"</f>
        <v>32/32</v>
      </c>
      <c r="K16589" s="1" t="str">
        <f>"2026-07-29 14:20:45"</f>
        <v>2026-07-29 14:20:45</v>
      </c>
      <c r="L16589" s="1" t="str">
        <f>"2024-12-10 16:16:56"</f>
        <v>2024-12-10 16:16:56</v>
      </c>
      <c r="M16589" s="1" t="s">
        <v>4</v>
      </c>
      <c r="N16589" s="1" t="s">
        <v>38</v>
      </c>
      <c r="O16589" s="1" t="s">
        <v>46</v>
      </c>
    </row>
    <row r="16590" spans="2:15" x14ac:dyDescent="0.3">
      <c r="B16590" s="1" t="s">
        <v>19</v>
      </c>
      <c r="C16590" s="1" t="str">
        <f>"1차"</f>
        <v>1차</v>
      </c>
      <c r="D16590" s="1" t="str">
        <f>"0228E19100"</f>
        <v>0228E19100</v>
      </c>
      <c r="E16590" s="1" t="s">
        <v>10</v>
      </c>
      <c r="F16590" s="1" t="str">
        <f>"10.107.120.34"</f>
        <v>10.107.120.34</v>
      </c>
      <c r="G16590" s="1" t="str">
        <f>"0228E191"</f>
        <v>0228E191</v>
      </c>
      <c r="H16590" s="1" t="str">
        <f>"장위간 49L3L10"</f>
        <v>장위간 49L3L10</v>
      </c>
      <c r="I16590" s="1" t="s">
        <v>8</v>
      </c>
      <c r="J16590" s="1" t="str">
        <f>"46/46"</f>
        <v>46/46</v>
      </c>
      <c r="K16590" s="1" t="str">
        <f>"2026-07-29 13:18:00"</f>
        <v>2026-07-29 13:18:00</v>
      </c>
      <c r="L16590" s="1" t="str">
        <f>"2014-12-10 16:42:51"</f>
        <v>2014-12-10 16:42:51</v>
      </c>
      <c r="M16590" s="1" t="s">
        <v>45</v>
      </c>
      <c r="N16590" s="1" t="s">
        <v>38</v>
      </c>
      <c r="O16590" s="1" t="s">
        <v>46</v>
      </c>
    </row>
    <row r="16591" spans="2:15" x14ac:dyDescent="0.3">
      <c r="B16591" s="1" t="s">
        <v>19</v>
      </c>
      <c r="C16591" s="1" t="str">
        <f>"5-2차"</f>
        <v>5-2차</v>
      </c>
      <c r="D16591" s="1" t="str">
        <f>"0228E2115M"</f>
        <v>0228E2115M</v>
      </c>
      <c r="E16591" s="1" t="s">
        <v>10</v>
      </c>
      <c r="F16591" s="1" t="str">
        <f>"fde1:103:4:921f:0:0:0:2"</f>
        <v>fde1:103:4:921f:0:0:0:2</v>
      </c>
      <c r="G16591" s="1" t="str">
        <f>"0228E211"</f>
        <v>0228E211</v>
      </c>
      <c r="H16591" s="1" t="str">
        <f>"상운지 35L2"</f>
        <v>상운지 35L2</v>
      </c>
      <c r="I16591" s="1" t="s">
        <v>15</v>
      </c>
      <c r="J16591" s="1" t="str">
        <f>"61/61"</f>
        <v>61/61</v>
      </c>
      <c r="K16591" s="1" t="str">
        <f>"2026-07-29 14:20:45"</f>
        <v>2026-07-29 14:20:45</v>
      </c>
      <c r="L16591" s="1" t="str">
        <f>"2023-12-21 09:01:07"</f>
        <v>2023-12-21 09:01:07</v>
      </c>
      <c r="M16591" s="1" t="s">
        <v>4</v>
      </c>
      <c r="N16591" s="1" t="s">
        <v>38</v>
      </c>
      <c r="O16591" s="1" t="s">
        <v>46</v>
      </c>
    </row>
    <row r="16592" spans="2:15" x14ac:dyDescent="0.3">
      <c r="B16592" s="1" t="s">
        <v>19</v>
      </c>
      <c r="C16592" s="1" t="str">
        <f>"5-2차"</f>
        <v>5-2차</v>
      </c>
      <c r="D16592" s="1" t="str">
        <f>"0228E2125M"</f>
        <v>0228E2125M</v>
      </c>
      <c r="E16592" s="1" t="s">
        <v>10</v>
      </c>
      <c r="F16592" s="1" t="str">
        <f>"fde1:103:4:9222:0:0:0:2"</f>
        <v>fde1:103:4:9222:0:0:0:2</v>
      </c>
      <c r="G16592" s="1" t="str">
        <f>"0228E212"</f>
        <v>0228E212</v>
      </c>
      <c r="H16592" s="1" t="str">
        <f>"상운지 35L3"</f>
        <v>상운지 35L3</v>
      </c>
      <c r="I16592" s="1" t="s">
        <v>15</v>
      </c>
      <c r="J16592" s="1" t="str">
        <f>"47/47"</f>
        <v>47/47</v>
      </c>
      <c r="K16592" s="1" t="str">
        <f>"2026-07-29 14:20:30"</f>
        <v>2026-07-29 14:20:30</v>
      </c>
      <c r="L16592" s="1" t="str">
        <f>"2023-12-21 09:01:44"</f>
        <v>2023-12-21 09:01:44</v>
      </c>
      <c r="M16592" s="1" t="s">
        <v>4</v>
      </c>
      <c r="N16592" s="1" t="s">
        <v>38</v>
      </c>
      <c r="O16592" s="1" t="s">
        <v>46</v>
      </c>
    </row>
    <row r="16593" spans="2:15" x14ac:dyDescent="0.3">
      <c r="B16593" s="1" t="s">
        <v>19</v>
      </c>
      <c r="C16593" s="1" t="str">
        <f>"5-2차"</f>
        <v>5-2차</v>
      </c>
      <c r="D16593" s="1" t="str">
        <f>"0228E2245M"</f>
        <v>0228E2245M</v>
      </c>
      <c r="E16593" s="1" t="s">
        <v>10</v>
      </c>
      <c r="F16593" s="1" t="str">
        <f>"fde3:102:1410:9400:0:0:0:3"</f>
        <v>fde3:102:1410:9400:0:0:0:3</v>
      </c>
      <c r="G16593" s="1" t="str">
        <f>"0228E224"</f>
        <v>0228E224</v>
      </c>
      <c r="H16593" s="1" t="str">
        <f>"장위간 24R5R1"</f>
        <v>장위간 24R5R1</v>
      </c>
      <c r="I16593" s="1" t="s">
        <v>15</v>
      </c>
      <c r="J16593" s="1" t="str">
        <f>"29/30"</f>
        <v>29/30</v>
      </c>
      <c r="K16593" s="1" t="str">
        <f>"2026-07-29 14:20:30"</f>
        <v>2026-07-29 14:20:30</v>
      </c>
      <c r="L16593" s="1" t="str">
        <f>"2024-01-08 09:59:03"</f>
        <v>2024-01-08 09:59:03</v>
      </c>
      <c r="M16593" s="1" t="s">
        <v>45</v>
      </c>
      <c r="N16593" s="1" t="s">
        <v>38</v>
      </c>
      <c r="O16593" s="1" t="s">
        <v>46</v>
      </c>
    </row>
    <row r="16594" spans="2:15" x14ac:dyDescent="0.3">
      <c r="B16594" s="1" t="s">
        <v>19</v>
      </c>
      <c r="C16594" s="1" t="str">
        <f>"5-2차"</f>
        <v>5-2차</v>
      </c>
      <c r="D16594" s="1" t="str">
        <f>"0228E2415S"</f>
        <v>0228E2415S</v>
      </c>
      <c r="E16594" s="1" t="s">
        <v>10</v>
      </c>
      <c r="F16594" s="1" t="str">
        <f>"fde3:102:1410:9400:0:0:0:2"</f>
        <v>fde3:102:1410:9400:0:0:0:2</v>
      </c>
      <c r="G16594" s="1" t="str">
        <f>"0228E241"</f>
        <v>0228E241</v>
      </c>
      <c r="H16594" s="1" t="str">
        <f>"장위간 25R2"</f>
        <v>장위간 25R2</v>
      </c>
      <c r="I16594" s="1" t="s">
        <v>15</v>
      </c>
      <c r="J16594" s="1" t="str">
        <f>"47/47"</f>
        <v>47/47</v>
      </c>
      <c r="K16594" s="1" t="str">
        <f>"2026-07-29 14:20:45"</f>
        <v>2026-07-29 14:20:45</v>
      </c>
      <c r="L16594" s="1" t="str">
        <f>"2024-01-08 09:57:44"</f>
        <v>2024-01-08 09:57:44</v>
      </c>
      <c r="M16594" s="1" t="s">
        <v>45</v>
      </c>
      <c r="N16594" s="1" t="s">
        <v>38</v>
      </c>
      <c r="O16594" s="1" t="s">
        <v>46</v>
      </c>
    </row>
    <row r="16595" spans="2:15" x14ac:dyDescent="0.3">
      <c r="B16595" s="1" t="s">
        <v>19</v>
      </c>
      <c r="C16595" s="1" t="str">
        <f>"1차"</f>
        <v>1차</v>
      </c>
      <c r="D16595" s="1" t="str">
        <f>"0228E26100"</f>
        <v>0228E26100</v>
      </c>
      <c r="E16595" s="1" t="s">
        <v>10</v>
      </c>
      <c r="F16595" s="1" t="str">
        <f>"10.107.121.66"</f>
        <v>10.107.121.66</v>
      </c>
      <c r="G16595" s="1" t="str">
        <f>"0228E261"</f>
        <v>0228E261</v>
      </c>
      <c r="H16595" s="1" t="str">
        <f>"장위간 26"</f>
        <v>장위간 26</v>
      </c>
      <c r="I16595" s="1" t="s">
        <v>8</v>
      </c>
      <c r="J16595" s="1" t="str">
        <f>"53/53"</f>
        <v>53/53</v>
      </c>
      <c r="K16595" s="1" t="str">
        <f>"2026-07-29 13:18:02"</f>
        <v>2026-07-29 13:18:02</v>
      </c>
      <c r="L16595" s="1" t="str">
        <f>"2021-09-29 17:33:42"</f>
        <v>2021-09-29 17:33:42</v>
      </c>
      <c r="M16595" s="1" t="s">
        <v>45</v>
      </c>
      <c r="N16595" s="1" t="s">
        <v>38</v>
      </c>
      <c r="O16595" s="1" t="s">
        <v>46</v>
      </c>
    </row>
    <row r="16596" spans="2:15" x14ac:dyDescent="0.3">
      <c r="B16596" s="1" t="s">
        <v>19</v>
      </c>
      <c r="C16596" s="1" t="str">
        <f>"1차"</f>
        <v>1차</v>
      </c>
      <c r="D16596" s="1" t="str">
        <f>"0228E28301"</f>
        <v>0228E28301</v>
      </c>
      <c r="E16596" s="1" t="s">
        <v>10</v>
      </c>
      <c r="F16596" s="1" t="str">
        <f>"10.107.121.68"</f>
        <v>10.107.121.68</v>
      </c>
      <c r="G16596" s="1" t="str">
        <f>"0228E283"</f>
        <v>0228E283</v>
      </c>
      <c r="H16596" s="1" t="str">
        <f>"장위간 26L3"</f>
        <v>장위간 26L3</v>
      </c>
      <c r="I16596" s="1" t="s">
        <v>8</v>
      </c>
      <c r="J16596" s="1" t="str">
        <f>"54/56"</f>
        <v>54/56</v>
      </c>
      <c r="K16596" s="1" t="str">
        <f>"2026-07-29 13:18:02"</f>
        <v>2026-07-29 13:18:02</v>
      </c>
      <c r="L16596" s="1" t="str">
        <f>"2014-12-18 15:43:00"</f>
        <v>2014-12-18 15:43:00</v>
      </c>
      <c r="M16596" s="1" t="s">
        <v>45</v>
      </c>
      <c r="N16596" s="1" t="s">
        <v>38</v>
      </c>
      <c r="O16596" s="1" t="s">
        <v>46</v>
      </c>
    </row>
    <row r="16597" spans="2:15" x14ac:dyDescent="0.3">
      <c r="B16597" s="1" t="s">
        <v>19</v>
      </c>
      <c r="C16597" s="1" t="str">
        <f>"5-1차"</f>
        <v>5-1차</v>
      </c>
      <c r="D16597" s="1" t="str">
        <f>"0228E2925S"</f>
        <v>0228E2925S</v>
      </c>
      <c r="E16597" s="1" t="s">
        <v>10</v>
      </c>
      <c r="F16597" s="1" t="str">
        <f>"fde3:102:1410:9200:0:0:0:6"</f>
        <v>fde3:102:1410:9200:0:0:0:6</v>
      </c>
      <c r="G16597" s="1" t="str">
        <f>"0228E292"</f>
        <v>0228E292</v>
      </c>
      <c r="H16597" s="1" t="str">
        <f>"장위간 49L3L8"</f>
        <v>장위간 49L3L8</v>
      </c>
      <c r="I16597" s="1" t="s">
        <v>15</v>
      </c>
      <c r="J16597" s="1" t="str">
        <f>"36/36"</f>
        <v>36/36</v>
      </c>
      <c r="K16597" s="1" t="str">
        <f>"2026-07-29 14:20:31"</f>
        <v>2026-07-29 14:20:31</v>
      </c>
      <c r="L16597" s="1" t="str">
        <f>"2022-09-28 09:25:28"</f>
        <v>2022-09-28 09:25:28</v>
      </c>
      <c r="M16597" s="1" t="s">
        <v>45</v>
      </c>
      <c r="N16597" s="1" t="s">
        <v>38</v>
      </c>
      <c r="O16597" s="1" t="s">
        <v>46</v>
      </c>
    </row>
    <row r="16598" spans="2:15" x14ac:dyDescent="0.3">
      <c r="B16598" s="1" t="s">
        <v>19</v>
      </c>
      <c r="C16598" s="1" t="str">
        <f>"5-1차"</f>
        <v>5-1차</v>
      </c>
      <c r="D16598" s="1" t="str">
        <f>"0228E3015S"</f>
        <v>0228E3015S</v>
      </c>
      <c r="E16598" s="1" t="s">
        <v>10</v>
      </c>
      <c r="F16598" s="1" t="str">
        <f>"fde2:104:0:1af:0:0:0:2"</f>
        <v>fde2:104:0:1af:0:0:0:2</v>
      </c>
      <c r="G16598" s="1" t="str">
        <f>"0228E301"</f>
        <v>0228E301</v>
      </c>
      <c r="H16598" s="1" t="str">
        <f>"상운지 35"</f>
        <v>상운지 35</v>
      </c>
      <c r="I16598" s="1" t="s">
        <v>15</v>
      </c>
      <c r="J16598" s="1" t="str">
        <f>"80/80"</f>
        <v>80/80</v>
      </c>
      <c r="K16598" s="1" t="str">
        <f>"2026-07-29 14:20:31"</f>
        <v>2026-07-29 14:20:31</v>
      </c>
      <c r="L16598" s="1" t="str">
        <f>"2022-11-29 15:21:28"</f>
        <v>2022-11-29 15:21:28</v>
      </c>
      <c r="M16598" s="1" t="s">
        <v>42</v>
      </c>
      <c r="N16598" s="1" t="s">
        <v>38</v>
      </c>
      <c r="O16598" s="1" t="s">
        <v>46</v>
      </c>
    </row>
    <row r="16599" spans="2:15" x14ac:dyDescent="0.3">
      <c r="B16599" s="1" t="s">
        <v>19</v>
      </c>
      <c r="C16599" s="1" t="str">
        <f>"6차"</f>
        <v>6차</v>
      </c>
      <c r="D16599" s="1" t="str">
        <f>"0228E3726S"</f>
        <v>0228E3726S</v>
      </c>
      <c r="E16599" s="1" t="s">
        <v>10</v>
      </c>
      <c r="F16599" s="1" t="str">
        <f>"fde1:103:4:9169:0:0:0:2"</f>
        <v>fde1:103:4:9169:0:0:0:2</v>
      </c>
      <c r="G16599" s="1" t="str">
        <f>"0228E372"</f>
        <v>0228E372</v>
      </c>
      <c r="H16599" s="1" t="str">
        <f>"장위간 31L1"</f>
        <v>장위간 31L1</v>
      </c>
      <c r="I16599" s="1" t="s">
        <v>15</v>
      </c>
      <c r="J16599" s="1" t="str">
        <f>"27/28"</f>
        <v>27/28</v>
      </c>
      <c r="K16599" s="1" t="str">
        <f>"2026-07-29 14:20:26"</f>
        <v>2026-07-29 14:20:26</v>
      </c>
      <c r="L16599" s="1" t="str">
        <f>"2025-02-18 15:53:09"</f>
        <v>2025-02-18 15:53:09</v>
      </c>
      <c r="M16599" s="1" t="s">
        <v>4</v>
      </c>
      <c r="N16599" s="1" t="s">
        <v>38</v>
      </c>
      <c r="O16599" s="1" t="s">
        <v>46</v>
      </c>
    </row>
    <row r="16600" spans="2:15" x14ac:dyDescent="0.3">
      <c r="B16600" s="1" t="s">
        <v>19</v>
      </c>
      <c r="C16600" s="1" t="str">
        <f>"4차"</f>
        <v>4차</v>
      </c>
      <c r="D16600" s="1" t="str">
        <f>"0228E42141"</f>
        <v>0228E42141</v>
      </c>
      <c r="E16600" s="1" t="s">
        <v>10</v>
      </c>
      <c r="F16600" s="1" t="str">
        <f>"10.14.14.20"</f>
        <v>10.14.14.20</v>
      </c>
      <c r="G16600" s="1" t="str">
        <f>"0228E421"</f>
        <v>0228E421</v>
      </c>
      <c r="H16600" s="1" t="str">
        <f>"상운지 38"</f>
        <v>상운지 38</v>
      </c>
      <c r="I16600" s="1" t="s">
        <v>17</v>
      </c>
      <c r="J16600" s="1" t="str">
        <f>"44/44"</f>
        <v>44/44</v>
      </c>
      <c r="K16600" s="1" t="str">
        <f>"2026-07-29 13:18:01"</f>
        <v>2026-07-29 13:18:01</v>
      </c>
      <c r="L16600" s="1" t="str">
        <f>"2021-08-13 13:36:06"</f>
        <v>2021-08-13 13:36:06</v>
      </c>
      <c r="M16600" s="1" t="s">
        <v>3</v>
      </c>
      <c r="N16600" s="1" t="s">
        <v>38</v>
      </c>
      <c r="O16600" s="1" t="s">
        <v>46</v>
      </c>
    </row>
    <row r="16601" spans="2:15" x14ac:dyDescent="0.3">
      <c r="B16601" s="1" t="s">
        <v>19</v>
      </c>
      <c r="C16601" s="1" t="str">
        <f>"1차"</f>
        <v>1차</v>
      </c>
      <c r="D16601" s="1" t="str">
        <f>"0228E49100"</f>
        <v>0228E49100</v>
      </c>
      <c r="E16601" s="1" t="s">
        <v>10</v>
      </c>
      <c r="F16601" s="1" t="str">
        <f>"10.107.120.35"</f>
        <v>10.107.120.35</v>
      </c>
      <c r="G16601" s="1" t="str">
        <f>"0228E491"</f>
        <v>0228E491</v>
      </c>
      <c r="H16601" s="1" t="str">
        <f>"장위간 34"</f>
        <v>장위간 34</v>
      </c>
      <c r="I16601" s="1" t="s">
        <v>8</v>
      </c>
      <c r="J16601" s="1" t="str">
        <f>"43/44"</f>
        <v>43/44</v>
      </c>
      <c r="K16601" s="1" t="str">
        <f>"2026-07-29 13:18:02"</f>
        <v>2026-07-29 13:18:02</v>
      </c>
      <c r="L16601" s="1" t="str">
        <f>"2014-12-15 09:57:51"</f>
        <v>2014-12-15 09:57:51</v>
      </c>
      <c r="M16601" s="1" t="s">
        <v>45</v>
      </c>
      <c r="N16601" s="1" t="s">
        <v>38</v>
      </c>
      <c r="O16601" s="1" t="s">
        <v>46</v>
      </c>
    </row>
    <row r="16602" spans="2:15" x14ac:dyDescent="0.3">
      <c r="B16602" s="1" t="s">
        <v>19</v>
      </c>
      <c r="C16602" s="1" t="str">
        <f>"1차"</f>
        <v>1차</v>
      </c>
      <c r="D16602" s="1" t="str">
        <f>"0228E49301"</f>
        <v>0228E49301</v>
      </c>
      <c r="E16602" s="1" t="s">
        <v>10</v>
      </c>
      <c r="F16602" s="1" t="str">
        <f>"10.107.120.36"</f>
        <v>10.107.120.36</v>
      </c>
      <c r="G16602" s="1" t="str">
        <f>"0228E493"</f>
        <v>0228E493</v>
      </c>
      <c r="H16602" s="1" t="str">
        <f>"장위간 36"</f>
        <v>장위간 36</v>
      </c>
      <c r="I16602" s="1" t="s">
        <v>8</v>
      </c>
      <c r="J16602" s="1" t="str">
        <f>"37/38"</f>
        <v>37/38</v>
      </c>
      <c r="K16602" s="1" t="str">
        <f>"2026-07-29 13:18:02"</f>
        <v>2026-07-29 13:18:02</v>
      </c>
      <c r="L16602" s="1" t="str">
        <f>"2014-12-18 11:42:56"</f>
        <v>2014-12-18 11:42:56</v>
      </c>
      <c r="M16602" s="1" t="s">
        <v>45</v>
      </c>
      <c r="N16602" s="1" t="s">
        <v>38</v>
      </c>
      <c r="O16602" s="1" t="s">
        <v>46</v>
      </c>
    </row>
    <row r="16603" spans="2:15" x14ac:dyDescent="0.3">
      <c r="B16603" s="1" t="s">
        <v>19</v>
      </c>
      <c r="C16603" s="1" t="str">
        <f>"1차"</f>
        <v>1차</v>
      </c>
      <c r="D16603" s="1" t="str">
        <f>"0228E51101"</f>
        <v>0228E51101</v>
      </c>
      <c r="E16603" s="1" t="s">
        <v>10</v>
      </c>
      <c r="F16603" s="1" t="str">
        <f>"10.12.138.106"</f>
        <v>10.12.138.106</v>
      </c>
      <c r="G16603" s="1" t="str">
        <f>"0228E511"</f>
        <v>0228E511</v>
      </c>
      <c r="H16603" s="1" t="str">
        <f>"상운지 17R6R4L1"</f>
        <v>상운지 17R6R4L1</v>
      </c>
      <c r="I16603" s="1" t="s">
        <v>8</v>
      </c>
      <c r="J16603" s="1" t="str">
        <f>"9/11"</f>
        <v>9/11</v>
      </c>
      <c r="K16603" s="1" t="str">
        <f>"2026-07-29 13:18:01"</f>
        <v>2026-07-29 13:18:01</v>
      </c>
      <c r="L16603" s="1" t="str">
        <f>"2014-11-19 16:42:02"</f>
        <v>2014-11-19 16:42:02</v>
      </c>
      <c r="M16603" s="1" t="s">
        <v>0</v>
      </c>
      <c r="N16603" s="1" t="s">
        <v>38</v>
      </c>
      <c r="O16603" s="1" t="s">
        <v>46</v>
      </c>
    </row>
    <row r="16604" spans="2:15" x14ac:dyDescent="0.3">
      <c r="B16604" s="1" t="s">
        <v>19</v>
      </c>
      <c r="C16604" s="1" t="str">
        <f>"1차"</f>
        <v>1차</v>
      </c>
      <c r="D16604" s="1" t="str">
        <f>"0228E56100"</f>
        <v>0228E56100</v>
      </c>
      <c r="E16604" s="1" t="s">
        <v>10</v>
      </c>
      <c r="F16604" s="1" t="str">
        <f>"10.107.121.70"</f>
        <v>10.107.121.70</v>
      </c>
      <c r="G16604" s="1" t="str">
        <f>"0228E561"</f>
        <v>0228E561</v>
      </c>
      <c r="H16604" s="1" t="str">
        <f>"장위간 30"</f>
        <v>장위간 30</v>
      </c>
      <c r="I16604" s="1" t="s">
        <v>8</v>
      </c>
      <c r="J16604" s="1" t="str">
        <f>"13/13"</f>
        <v>13/13</v>
      </c>
      <c r="K16604" s="1" t="str">
        <f>"2026-07-29 13:18:00"</f>
        <v>2026-07-29 13:18:00</v>
      </c>
      <c r="L16604" s="1" t="str">
        <f>"2014-12-18 15:57:36"</f>
        <v>2014-12-18 15:57:36</v>
      </c>
      <c r="M16604" s="1" t="s">
        <v>45</v>
      </c>
      <c r="N16604" s="1" t="s">
        <v>38</v>
      </c>
      <c r="O16604" s="1" t="s">
        <v>46</v>
      </c>
    </row>
    <row r="16605" spans="2:15" x14ac:dyDescent="0.3">
      <c r="B16605" s="1" t="s">
        <v>19</v>
      </c>
      <c r="C16605" s="1" t="str">
        <f>"3차"</f>
        <v>3차</v>
      </c>
      <c r="D16605" s="1" t="str">
        <f>"0228E97139"</f>
        <v>0228E97139</v>
      </c>
      <c r="E16605" s="1" t="s">
        <v>10</v>
      </c>
      <c r="F16605" s="1" t="str">
        <f>"10.14.11.118"</f>
        <v>10.14.11.118</v>
      </c>
      <c r="G16605" s="1" t="str">
        <f>"0228E971"</f>
        <v>0228E971</v>
      </c>
      <c r="H16605" s="1" t="str">
        <f>"장위간 45R7R1L4"</f>
        <v>장위간 45R7R1L4</v>
      </c>
      <c r="I16605" s="1" t="s">
        <v>8</v>
      </c>
      <c r="J16605" s="1" t="str">
        <f>"13/13"</f>
        <v>13/13</v>
      </c>
      <c r="K16605" s="1" t="str">
        <f>"2026-07-29 13:18:01"</f>
        <v>2026-07-29 13:18:01</v>
      </c>
      <c r="L16605" s="1" t="str">
        <f>"2018-04-25 12:12:41"</f>
        <v>2018-04-25 12:12:41</v>
      </c>
      <c r="M16605" s="1" t="s">
        <v>3</v>
      </c>
      <c r="N16605" s="1" t="s">
        <v>38</v>
      </c>
      <c r="O16605" s="1" t="s">
        <v>46</v>
      </c>
    </row>
    <row r="16606" spans="2:15" x14ac:dyDescent="0.3">
      <c r="B16606" s="1" t="s">
        <v>19</v>
      </c>
      <c r="C16606" s="1" t="str">
        <f>"1차"</f>
        <v>1차</v>
      </c>
      <c r="D16606" s="1" t="str">
        <f>"0228F18300"</f>
        <v>0228F18300</v>
      </c>
      <c r="E16606" s="1" t="s">
        <v>10</v>
      </c>
      <c r="F16606" s="1" t="str">
        <f>"10.14.2.184"</f>
        <v>10.14.2.184</v>
      </c>
      <c r="G16606" s="1" t="str">
        <f>"0228F183"</f>
        <v>0228F183</v>
      </c>
      <c r="H16606" s="1" t="str">
        <f>"광운간 31R3"</f>
        <v>광운간 31R3</v>
      </c>
      <c r="I16606" s="1" t="s">
        <v>8</v>
      </c>
      <c r="J16606" s="1" t="str">
        <f>"3/3"</f>
        <v>3/3</v>
      </c>
      <c r="K16606" s="1" t="str">
        <f>"2026-07-29 13:18:03"</f>
        <v>2026-07-29 13:18:03</v>
      </c>
      <c r="L16606" s="1" t="str">
        <f>"2025-02-12 11:34:37"</f>
        <v>2025-02-12 11:34:37</v>
      </c>
      <c r="M16606" s="1" t="s">
        <v>3</v>
      </c>
      <c r="N16606" s="1" t="s">
        <v>38</v>
      </c>
      <c r="O16606" s="1" t="s">
        <v>46</v>
      </c>
    </row>
    <row r="16607" spans="2:15" x14ac:dyDescent="0.3">
      <c r="B16607" s="1" t="s">
        <v>19</v>
      </c>
      <c r="C16607" s="1" t="str">
        <f>"1차"</f>
        <v>1차</v>
      </c>
      <c r="D16607" s="1" t="str">
        <f>"0228F21300"</f>
        <v>0228F21300</v>
      </c>
      <c r="E16607" s="1" t="s">
        <v>10</v>
      </c>
      <c r="F16607" s="1" t="str">
        <f>"10.107.119.2"</f>
        <v>10.107.119.2</v>
      </c>
      <c r="G16607" s="1" t="str">
        <f>"0228F213"</f>
        <v>0228F213</v>
      </c>
      <c r="H16607" s="1" t="str">
        <f>"상운지 6R1L2"</f>
        <v>상운지 6R1L2</v>
      </c>
      <c r="I16607" s="1" t="s">
        <v>8</v>
      </c>
      <c r="J16607" s="1" t="str">
        <f>"4/4"</f>
        <v>4/4</v>
      </c>
      <c r="K16607" s="1" t="str">
        <f>"2026-07-29 13:18:00"</f>
        <v>2026-07-29 13:18:00</v>
      </c>
      <c r="L16607" s="1" t="str">
        <f>"2021-02-25 16:23:41"</f>
        <v>2021-02-25 16:23:41</v>
      </c>
      <c r="M16607" s="1" t="s">
        <v>45</v>
      </c>
      <c r="N16607" s="1" t="s">
        <v>38</v>
      </c>
      <c r="O16607" s="1" t="s">
        <v>46</v>
      </c>
    </row>
    <row r="16608" spans="2:15" x14ac:dyDescent="0.3">
      <c r="B16608" s="1" t="s">
        <v>19</v>
      </c>
      <c r="C16608" s="1" t="str">
        <f>"5-1차"</f>
        <v>5-1차</v>
      </c>
      <c r="D16608" s="1" t="str">
        <f>"0228F3025M"</f>
        <v>0228F3025M</v>
      </c>
      <c r="E16608" s="1" t="s">
        <v>10</v>
      </c>
      <c r="F16608" s="1" t="str">
        <f>"fde2:104:0:45:0:0:0:2"</f>
        <v>fde2:104:0:45:0:0:0:2</v>
      </c>
      <c r="G16608" s="1" t="str">
        <f>"0228F302"</f>
        <v>0228F302</v>
      </c>
      <c r="H16608" s="1" t="str">
        <f>"상운지 9L3"</f>
        <v>상운지 9L3</v>
      </c>
      <c r="I16608" s="1" t="s">
        <v>15</v>
      </c>
      <c r="J16608" s="1" t="str">
        <f>"78/78"</f>
        <v>78/78</v>
      </c>
      <c r="K16608" s="1" t="str">
        <f>"2026-07-29 14:20:32"</f>
        <v>2026-07-29 14:20:32</v>
      </c>
      <c r="L16608" s="1" t="str">
        <f>"2022-09-27 17:25:38"</f>
        <v>2022-09-27 17:25:38</v>
      </c>
      <c r="M16608" s="1" t="s">
        <v>42</v>
      </c>
      <c r="N16608" s="1" t="s">
        <v>38</v>
      </c>
      <c r="O16608" s="1" t="s">
        <v>46</v>
      </c>
    </row>
    <row r="16609" spans="2:15" x14ac:dyDescent="0.3">
      <c r="B16609" s="1" t="s">
        <v>19</v>
      </c>
      <c r="C16609" s="1" t="str">
        <f>"5-1차"</f>
        <v>5-1차</v>
      </c>
      <c r="D16609" s="1" t="str">
        <f>"0228F4015M"</f>
        <v>0228F4015M</v>
      </c>
      <c r="E16609" s="1" t="s">
        <v>10</v>
      </c>
      <c r="F16609" s="1" t="str">
        <f>"fde2:104:0:46:0:0:0:2"</f>
        <v>fde2:104:0:46:0:0:0:2</v>
      </c>
      <c r="G16609" s="1" t="str">
        <f>"0228F401"</f>
        <v>0228F401</v>
      </c>
      <c r="H16609" s="1" t="str">
        <f>"상운지 9L3L1"</f>
        <v>상운지 9L3L1</v>
      </c>
      <c r="I16609" s="1" t="s">
        <v>15</v>
      </c>
      <c r="J16609" s="1" t="str">
        <f>"32/32"</f>
        <v>32/32</v>
      </c>
      <c r="K16609" s="1" t="str">
        <f>"2026-07-29 14:20:07"</f>
        <v>2026-07-29 14:20:07</v>
      </c>
      <c r="L16609" s="1" t="str">
        <f>"2022-08-31 14:26:17"</f>
        <v>2022-08-31 14:26:17</v>
      </c>
      <c r="M16609" s="1" t="s">
        <v>42</v>
      </c>
      <c r="N16609" s="1" t="s">
        <v>38</v>
      </c>
      <c r="O16609" s="1" t="s">
        <v>46</v>
      </c>
    </row>
    <row r="16610" spans="2:15" x14ac:dyDescent="0.3">
      <c r="B16610" s="1" t="s">
        <v>19</v>
      </c>
      <c r="C16610" s="1" t="str">
        <f>"1차"</f>
        <v>1차</v>
      </c>
      <c r="D16610" s="1" t="str">
        <f>"0228F49101"</f>
        <v>0228F49101</v>
      </c>
      <c r="E16610" s="1" t="s">
        <v>10</v>
      </c>
      <c r="F16610" s="1" t="str">
        <f>"10.12.136.143"</f>
        <v>10.12.136.143</v>
      </c>
      <c r="G16610" s="1" t="str">
        <f>"0228F491"</f>
        <v>0228F491</v>
      </c>
      <c r="H16610" s="1" t="str">
        <f>"광운간 28R1"</f>
        <v>광운간 28R1</v>
      </c>
      <c r="I16610" s="1" t="s">
        <v>8</v>
      </c>
      <c r="J16610" s="1" t="str">
        <f>"72/73"</f>
        <v>72/73</v>
      </c>
      <c r="K16610" s="1" t="str">
        <f>"2026-07-29 13:18:02"</f>
        <v>2026-07-29 13:18:02</v>
      </c>
      <c r="L16610" s="1" t="str">
        <f>"2014-11-18 17:38:16"</f>
        <v>2014-11-18 17:38:16</v>
      </c>
      <c r="M16610" s="1" t="s">
        <v>0</v>
      </c>
      <c r="N16610" s="1" t="s">
        <v>38</v>
      </c>
      <c r="O16610" s="1" t="s">
        <v>46</v>
      </c>
    </row>
    <row r="16611" spans="2:15" x14ac:dyDescent="0.3">
      <c r="B16611" s="1" t="s">
        <v>19</v>
      </c>
      <c r="C16611" s="1" t="str">
        <f>"1차"</f>
        <v>1차</v>
      </c>
      <c r="D16611" s="1" t="str">
        <f>"0228F50301"</f>
        <v>0228F50301</v>
      </c>
      <c r="E16611" s="1" t="s">
        <v>10</v>
      </c>
      <c r="F16611" s="1" t="str">
        <f>"10.12.128.182"</f>
        <v>10.12.128.182</v>
      </c>
      <c r="G16611" s="1" t="str">
        <f>"0228F503"</f>
        <v>0228F503</v>
      </c>
      <c r="H16611" s="1" t="str">
        <f>"상운지 9L6"</f>
        <v>상운지 9L6</v>
      </c>
      <c r="I16611" s="1" t="s">
        <v>8</v>
      </c>
      <c r="J16611" s="1" t="str">
        <f>"53/54"</f>
        <v>53/54</v>
      </c>
      <c r="K16611" s="1" t="str">
        <f>"2026-07-29 13:18:01"</f>
        <v>2026-07-29 13:18:01</v>
      </c>
      <c r="L16611" s="1" t="str">
        <f>"2021-07-26 17:05:46"</f>
        <v>2021-07-26 17:05:46</v>
      </c>
      <c r="M16611" s="1" t="s">
        <v>0</v>
      </c>
      <c r="N16611" s="1" t="s">
        <v>38</v>
      </c>
      <c r="O16611" s="1" t="s">
        <v>46</v>
      </c>
    </row>
    <row r="16612" spans="2:15" x14ac:dyDescent="0.3">
      <c r="B16612" s="1" t="s">
        <v>19</v>
      </c>
      <c r="C16612" s="1" t="str">
        <f>"4차"</f>
        <v>4차</v>
      </c>
      <c r="D16612" s="1" t="str">
        <f>"0228G00344"</f>
        <v>0228G00344</v>
      </c>
      <c r="E16612" s="1" t="s">
        <v>10</v>
      </c>
      <c r="F16612" s="1" t="str">
        <f>"10.107.12.99"</f>
        <v>10.107.12.99</v>
      </c>
      <c r="G16612" s="1" t="str">
        <f>"0228G003"</f>
        <v>0228G003</v>
      </c>
      <c r="H16612" s="1" t="str">
        <f>"율곡지 4R5R9"</f>
        <v>율곡지 4R5R9</v>
      </c>
      <c r="I16612" s="1" t="s">
        <v>8</v>
      </c>
      <c r="J16612" s="1" t="str">
        <f>"20/20"</f>
        <v>20/20</v>
      </c>
      <c r="K16612" s="1" t="str">
        <f>"2026-07-29 13:18:02"</f>
        <v>2026-07-29 13:18:02</v>
      </c>
      <c r="L16612" s="1" t="str">
        <f>"2019-11-12 14:45:33"</f>
        <v>2019-11-12 14:45:33</v>
      </c>
      <c r="M16612" s="1" t="s">
        <v>45</v>
      </c>
      <c r="N16612" s="1" t="s">
        <v>38</v>
      </c>
      <c r="O16612" s="1" t="s">
        <v>46</v>
      </c>
    </row>
    <row r="16613" spans="2:15" x14ac:dyDescent="0.3">
      <c r="B16613" s="1" t="s">
        <v>19</v>
      </c>
      <c r="C16613" s="1" t="str">
        <f>"4차"</f>
        <v>4차</v>
      </c>
      <c r="D16613" s="1" t="str">
        <f>"0228G12144"</f>
        <v>0228G12144</v>
      </c>
      <c r="E16613" s="1" t="s">
        <v>10</v>
      </c>
      <c r="F16613" s="1" t="str">
        <f>"10.107.122.109"</f>
        <v>10.107.122.109</v>
      </c>
      <c r="G16613" s="1" t="str">
        <f>"0228G121"</f>
        <v>0228G121</v>
      </c>
      <c r="H16613" s="1" t="str">
        <f>"율곡지 4R16"</f>
        <v>율곡지 4R16</v>
      </c>
      <c r="I16613" s="1" t="s">
        <v>8</v>
      </c>
      <c r="J16613" s="1" t="str">
        <f>"31/31"</f>
        <v>31/31</v>
      </c>
      <c r="K16613" s="1" t="str">
        <f>"2026-07-29 13:18:00"</f>
        <v>2026-07-29 13:18:00</v>
      </c>
      <c r="L16613" s="1" t="str">
        <f>"2019-11-12 14:43:04"</f>
        <v>2019-11-12 14:43:04</v>
      </c>
      <c r="M16613" s="1" t="s">
        <v>45</v>
      </c>
      <c r="N16613" s="1" t="s">
        <v>38</v>
      </c>
      <c r="O16613" s="1" t="s">
        <v>46</v>
      </c>
    </row>
    <row r="16614" spans="2:15" x14ac:dyDescent="0.3">
      <c r="B16614" s="1" t="s">
        <v>19</v>
      </c>
      <c r="C16614" s="1" t="str">
        <f>"5-1차"</f>
        <v>5-1차</v>
      </c>
      <c r="D16614" s="1" t="str">
        <f>"0228G2165M"</f>
        <v>0228G2165M</v>
      </c>
      <c r="E16614" s="1" t="s">
        <v>10</v>
      </c>
      <c r="F16614" s="1" t="str">
        <f>"fde2:104:0:80:0:0:0:2"</f>
        <v>fde2:104:0:80:0:0:0:2</v>
      </c>
      <c r="G16614" s="1" t="str">
        <f>"0228G216"</f>
        <v>0228G216</v>
      </c>
      <c r="H16614" s="1" t="str">
        <f>"상운지 26L4L1"</f>
        <v>상운지 26L4L1</v>
      </c>
      <c r="I16614" s="1" t="s">
        <v>15</v>
      </c>
      <c r="J16614" s="1" t="str">
        <f>"145/146"</f>
        <v>145/146</v>
      </c>
      <c r="K16614" s="1" t="str">
        <f>"2026-07-29 14:20:01"</f>
        <v>2026-07-29 14:20:01</v>
      </c>
      <c r="L16614" s="1" t="str">
        <f>"2022-09-27 17:26:32"</f>
        <v>2022-09-27 17:26:32</v>
      </c>
      <c r="M16614" s="1" t="s">
        <v>42</v>
      </c>
      <c r="N16614" s="1" t="s">
        <v>38</v>
      </c>
      <c r="O16614" s="1" t="s">
        <v>46</v>
      </c>
    </row>
    <row r="16615" spans="2:15" x14ac:dyDescent="0.3">
      <c r="B16615" s="1" t="s">
        <v>19</v>
      </c>
      <c r="C16615" s="1" t="str">
        <f>"5-1차"</f>
        <v>5-1차</v>
      </c>
      <c r="D16615" s="1" t="str">
        <f>"0228G2515M"</f>
        <v>0228G2515M</v>
      </c>
      <c r="E16615" s="1" t="s">
        <v>10</v>
      </c>
      <c r="F16615" s="1" t="str">
        <f>"fde2:104:0:2a:0:0:0:2"</f>
        <v>fde2:104:0:2a:0:0:0:2</v>
      </c>
      <c r="G16615" s="1" t="str">
        <f>"0228G251"</f>
        <v>0228G251</v>
      </c>
      <c r="H16615" s="1" t="str">
        <f>"상운지 30R2"</f>
        <v>상운지 30R2</v>
      </c>
      <c r="I16615" s="1" t="s">
        <v>15</v>
      </c>
      <c r="J16615" s="1" t="str">
        <f>"50/50"</f>
        <v>50/50</v>
      </c>
      <c r="K16615" s="1" t="str">
        <f>"2026-07-29 14:21:06"</f>
        <v>2026-07-29 14:21:06</v>
      </c>
      <c r="L16615" s="1" t="str">
        <f>"2022-09-02 09:36:10"</f>
        <v>2022-09-02 09:36:10</v>
      </c>
      <c r="M16615" s="1" t="s">
        <v>42</v>
      </c>
      <c r="N16615" s="1" t="s">
        <v>38</v>
      </c>
      <c r="O16615" s="1" t="s">
        <v>46</v>
      </c>
    </row>
    <row r="16616" spans="2:15" x14ac:dyDescent="0.3">
      <c r="B16616" s="1" t="s">
        <v>19</v>
      </c>
      <c r="C16616" s="1" t="str">
        <f>"5-1차"</f>
        <v>5-1차</v>
      </c>
      <c r="D16616" s="1" t="str">
        <f>"0228G4315S"</f>
        <v>0228G4315S</v>
      </c>
      <c r="E16616" s="1" t="s">
        <v>10</v>
      </c>
      <c r="F16616" s="1" t="str">
        <f>"fde2:104:0:e:0:0:0:2"</f>
        <v>fde2:104:0:e:0:0:0:2</v>
      </c>
      <c r="G16616" s="1" t="str">
        <f>"0228G431"</f>
        <v>0228G431</v>
      </c>
      <c r="H16616" s="1" t="str">
        <f>"상운지 26L3L8L5"</f>
        <v>상운지 26L3L8L5</v>
      </c>
      <c r="I16616" s="1" t="s">
        <v>15</v>
      </c>
      <c r="J16616" s="1" t="str">
        <f>"44/44"</f>
        <v>44/44</v>
      </c>
      <c r="K16616" s="1" t="str">
        <f>"2026-07-29 14:20:54"</f>
        <v>2026-07-29 14:20:54</v>
      </c>
      <c r="L16616" s="1" t="str">
        <f>"2022-09-02 10:23:47"</f>
        <v>2022-09-02 10:23:47</v>
      </c>
      <c r="M16616" s="1" t="s">
        <v>42</v>
      </c>
      <c r="N16616" s="1" t="s">
        <v>38</v>
      </c>
      <c r="O16616" s="1" t="s">
        <v>46</v>
      </c>
    </row>
    <row r="16617" spans="2:15" x14ac:dyDescent="0.3">
      <c r="B16617" s="1" t="s">
        <v>19</v>
      </c>
      <c r="C16617" s="1" t="str">
        <f>"1차"</f>
        <v>1차</v>
      </c>
      <c r="D16617" s="1" t="str">
        <f>"0228G58301"</f>
        <v>0228G58301</v>
      </c>
      <c r="E16617" s="1" t="s">
        <v>10</v>
      </c>
      <c r="F16617" s="1" t="str">
        <f>"10.107.4.11"</f>
        <v>10.107.4.11</v>
      </c>
      <c r="G16617" s="1" t="str">
        <f>"0228G583"</f>
        <v>0228G583</v>
      </c>
      <c r="H16617" s="1" t="str">
        <f>"상운지 17R8"</f>
        <v>상운지 17R8</v>
      </c>
      <c r="I16617" s="1" t="s">
        <v>8</v>
      </c>
      <c r="J16617" s="1" t="str">
        <f>"71/71"</f>
        <v>71/71</v>
      </c>
      <c r="K16617" s="1" t="str">
        <f>"2026-07-29 13:18:01"</f>
        <v>2026-07-29 13:18:01</v>
      </c>
      <c r="L16617" s="1" t="str">
        <f>"2014-11-18 11:12:18"</f>
        <v>2014-11-18 11:12:18</v>
      </c>
      <c r="M16617" s="1" t="s">
        <v>45</v>
      </c>
      <c r="N16617" s="1" t="s">
        <v>38</v>
      </c>
      <c r="O16617" s="1" t="s">
        <v>46</v>
      </c>
    </row>
    <row r="16618" spans="2:15" x14ac:dyDescent="0.3">
      <c r="B16618" s="1" t="s">
        <v>19</v>
      </c>
      <c r="C16618" s="1" t="str">
        <f>"3차"</f>
        <v>3차</v>
      </c>
      <c r="D16618" s="1" t="str">
        <f>"0228G60239"</f>
        <v>0228G60239</v>
      </c>
      <c r="E16618" s="1" t="s">
        <v>14</v>
      </c>
      <c r="F16618" s="1" t="str">
        <f>"10.107.124.22"</f>
        <v>10.107.124.22</v>
      </c>
      <c r="G16618" s="1" t="str">
        <f>"0228G602"</f>
        <v>0228G602</v>
      </c>
      <c r="H16618" s="1" t="str">
        <f>"석관간 58L1R3"</f>
        <v>석관간 58L1R3</v>
      </c>
      <c r="I16618" s="1" t="s">
        <v>8</v>
      </c>
      <c r="J16618" s="1" t="str">
        <f>"0/0"</f>
        <v>0/0</v>
      </c>
      <c r="K16618" s="1" t="str">
        <f>"2026-07-29 13:18:00"</f>
        <v>2026-07-29 13:18:00</v>
      </c>
      <c r="L16618" s="1" t="str">
        <f>"2018-06-19 14:02:50"</f>
        <v>2018-06-19 14:02:50</v>
      </c>
      <c r="M16618" s="1" t="s">
        <v>45</v>
      </c>
      <c r="N16618" s="1" t="s">
        <v>38</v>
      </c>
      <c r="O16618" s="1" t="s">
        <v>44</v>
      </c>
    </row>
    <row r="16619" spans="2:15" x14ac:dyDescent="0.3">
      <c r="B16619" s="1" t="s">
        <v>19</v>
      </c>
      <c r="C16619" s="1" t="s">
        <v>16</v>
      </c>
      <c r="D16619" s="1" t="str">
        <f>"0228G62141"</f>
        <v>0228G62141</v>
      </c>
      <c r="E16619" s="1" t="s">
        <v>10</v>
      </c>
      <c r="F16619" s="1" t="str">
        <f>"10.14.6.201"</f>
        <v>10.14.6.201</v>
      </c>
      <c r="G16619" s="1" t="str">
        <f>"0228G621"</f>
        <v>0228G621</v>
      </c>
      <c r="H16619" s="1" t="str">
        <f>"상운지 14L15"</f>
        <v>상운지 14L15</v>
      </c>
      <c r="I16619" s="1" t="s">
        <v>17</v>
      </c>
      <c r="J16619" s="1" t="str">
        <f>"25/25"</f>
        <v>25/25</v>
      </c>
      <c r="K16619" s="1" t="str">
        <f>"2026-07-29 13:18:03"</f>
        <v>2026-07-29 13:18:03</v>
      </c>
      <c r="L16619" s="1" t="str">
        <f>"2022-11-09 14:21:03"</f>
        <v>2022-11-09 14:21:03</v>
      </c>
      <c r="M16619" s="1" t="s">
        <v>3</v>
      </c>
      <c r="N16619" s="1" t="s">
        <v>38</v>
      </c>
      <c r="O16619" s="1" t="s">
        <v>46</v>
      </c>
    </row>
    <row r="16620" spans="2:15" x14ac:dyDescent="0.3">
      <c r="B16620" s="1" t="s">
        <v>19</v>
      </c>
      <c r="C16620" s="1" t="s">
        <v>16</v>
      </c>
      <c r="D16620" s="1" t="str">
        <f>"0228G63141"</f>
        <v>0228G63141</v>
      </c>
      <c r="E16620" s="1" t="s">
        <v>10</v>
      </c>
      <c r="F16620" s="1" t="str">
        <f>"10.14.14.200"</f>
        <v>10.14.14.200</v>
      </c>
      <c r="G16620" s="1" t="str">
        <f>"0228G631"</f>
        <v>0228G631</v>
      </c>
      <c r="H16620" s="1" t="str">
        <f>"상운지 26L3L8"</f>
        <v>상운지 26L3L8</v>
      </c>
      <c r="I16620" s="1" t="s">
        <v>17</v>
      </c>
      <c r="J16620" s="1" t="str">
        <f>"28/28"</f>
        <v>28/28</v>
      </c>
      <c r="K16620" s="1" t="str">
        <f>"2026-07-29 13:18:03"</f>
        <v>2026-07-29 13:18:03</v>
      </c>
      <c r="L16620" s="1" t="str">
        <f>"2022-11-07 15:43:45"</f>
        <v>2022-11-07 15:43:45</v>
      </c>
      <c r="M16620" s="1" t="s">
        <v>3</v>
      </c>
      <c r="N16620" s="1" t="s">
        <v>38</v>
      </c>
      <c r="O16620" s="1" t="s">
        <v>46</v>
      </c>
    </row>
    <row r="16621" spans="2:15" x14ac:dyDescent="0.3">
      <c r="B16621" s="1" t="s">
        <v>19</v>
      </c>
      <c r="C16621" s="1" t="str">
        <f>"4차"</f>
        <v>4차</v>
      </c>
      <c r="D16621" s="1" t="str">
        <f>"0228G69144"</f>
        <v>0228G69144</v>
      </c>
      <c r="E16621" s="1" t="s">
        <v>10</v>
      </c>
      <c r="F16621" s="1" t="str">
        <f>"10.107.4.12"</f>
        <v>10.107.4.12</v>
      </c>
      <c r="G16621" s="1" t="str">
        <f>"0228G691"</f>
        <v>0228G691</v>
      </c>
      <c r="H16621" s="1" t="str">
        <f>"상운지 17R6R1"</f>
        <v>상운지 17R6R1</v>
      </c>
      <c r="I16621" s="1" t="s">
        <v>8</v>
      </c>
      <c r="J16621" s="1" t="str">
        <f>"33/41"</f>
        <v>33/41</v>
      </c>
      <c r="K16621" s="1" t="str">
        <f>"2026-07-29 13:18:02"</f>
        <v>2026-07-29 13:18:02</v>
      </c>
      <c r="L16621" s="1" t="str">
        <f>"2023-07-17 17:56:16"</f>
        <v>2023-07-17 17:56:16</v>
      </c>
      <c r="M16621" s="1" t="s">
        <v>45</v>
      </c>
      <c r="N16621" s="1" t="s">
        <v>38</v>
      </c>
      <c r="O16621" s="1" t="s">
        <v>46</v>
      </c>
    </row>
    <row r="16622" spans="2:15" x14ac:dyDescent="0.3">
      <c r="B16622" s="1" t="s">
        <v>19</v>
      </c>
      <c r="C16622" s="1" t="str">
        <f>"1차"</f>
        <v>1차</v>
      </c>
      <c r="D16622" s="1" t="str">
        <f>"0228G69300"</f>
        <v>0228G69300</v>
      </c>
      <c r="E16622" s="1" t="s">
        <v>10</v>
      </c>
      <c r="F16622" s="1" t="str">
        <f>"10.107.4.10"</f>
        <v>10.107.4.10</v>
      </c>
      <c r="G16622" s="1" t="str">
        <f>"0228G693"</f>
        <v>0228G693</v>
      </c>
      <c r="H16622" s="1" t="str">
        <f>"상운지 17R6"</f>
        <v>상운지 17R6</v>
      </c>
      <c r="I16622" s="1" t="s">
        <v>8</v>
      </c>
      <c r="J16622" s="1" t="str">
        <f>"15/16"</f>
        <v>15/16</v>
      </c>
      <c r="K16622" s="1" t="str">
        <f>"2026-07-29 13:18:02"</f>
        <v>2026-07-29 13:18:02</v>
      </c>
      <c r="L16622" s="1" t="str">
        <f>"2021-07-21 16:22:35"</f>
        <v>2021-07-21 16:22:35</v>
      </c>
      <c r="M16622" s="1" t="s">
        <v>45</v>
      </c>
      <c r="N16622" s="1" t="s">
        <v>38</v>
      </c>
      <c r="O16622" s="1" t="s">
        <v>46</v>
      </c>
    </row>
    <row r="16623" spans="2:15" x14ac:dyDescent="0.3">
      <c r="B16623" s="1" t="s">
        <v>19</v>
      </c>
      <c r="C16623" s="1" t="str">
        <f>"3차"</f>
        <v>3차</v>
      </c>
      <c r="D16623" s="1" t="str">
        <f>"0228G70139"</f>
        <v>0228G70139</v>
      </c>
      <c r="E16623" s="1" t="s">
        <v>10</v>
      </c>
      <c r="F16623" s="1" t="str">
        <f>"10.107.124.15"</f>
        <v>10.107.124.15</v>
      </c>
      <c r="G16623" s="1" t="str">
        <f>"0228G701"</f>
        <v>0228G701</v>
      </c>
      <c r="H16623" s="1" t="str">
        <f>"석관간 58L4"</f>
        <v>석관간 58L4</v>
      </c>
      <c r="I16623" s="1" t="s">
        <v>8</v>
      </c>
      <c r="J16623" s="1" t="str">
        <f>"29/29"</f>
        <v>29/29</v>
      </c>
      <c r="K16623" s="1" t="str">
        <f>"2026-07-29 13:18:02"</f>
        <v>2026-07-29 13:18:02</v>
      </c>
      <c r="L16623" s="1" t="str">
        <f>"2018-04-02 16:31:05"</f>
        <v>2018-04-02 16:31:05</v>
      </c>
      <c r="M16623" s="1" t="s">
        <v>45</v>
      </c>
      <c r="N16623" s="1" t="s">
        <v>38</v>
      </c>
      <c r="O16623" s="1" t="s">
        <v>46</v>
      </c>
    </row>
    <row r="16624" spans="2:15" x14ac:dyDescent="0.3">
      <c r="B16624" s="1" t="s">
        <v>19</v>
      </c>
      <c r="C16624" s="1" t="str">
        <f>"3차"</f>
        <v>3차</v>
      </c>
      <c r="D16624" s="1" t="str">
        <f>"0228G80139"</f>
        <v>0228G80139</v>
      </c>
      <c r="E16624" s="1" t="s">
        <v>10</v>
      </c>
      <c r="F16624" s="1" t="str">
        <f>"10.107.124.13"</f>
        <v>10.107.124.13</v>
      </c>
      <c r="G16624" s="1" t="str">
        <f>"0228G801"</f>
        <v>0228G801</v>
      </c>
      <c r="H16624" s="1" t="str">
        <f>"석관간 58L6"</f>
        <v>석관간 58L6</v>
      </c>
      <c r="I16624" s="1" t="s">
        <v>8</v>
      </c>
      <c r="J16624" s="1" t="str">
        <f>"103/103"</f>
        <v>103/103</v>
      </c>
      <c r="K16624" s="1" t="str">
        <f>"2026-07-29 13:18:02"</f>
        <v>2026-07-29 13:18:02</v>
      </c>
      <c r="L16624" s="1" t="str">
        <f>"2018-04-02 16:14:43"</f>
        <v>2018-04-02 16:14:43</v>
      </c>
      <c r="M16624" s="1" t="s">
        <v>45</v>
      </c>
      <c r="N16624" s="1" t="s">
        <v>38</v>
      </c>
      <c r="O16624" s="1" t="s">
        <v>46</v>
      </c>
    </row>
    <row r="16625" spans="2:15" x14ac:dyDescent="0.3">
      <c r="B16625" s="1" t="s">
        <v>19</v>
      </c>
      <c r="C16625" s="1" t="str">
        <f>"4차"</f>
        <v>4차</v>
      </c>
      <c r="D16625" s="1" t="str">
        <f>"0228G80239"</f>
        <v>0228G80239</v>
      </c>
      <c r="E16625" s="1" t="s">
        <v>10</v>
      </c>
      <c r="F16625" s="1" t="str">
        <f>"10.107.124.14"</f>
        <v>10.107.124.14</v>
      </c>
      <c r="G16625" s="1" t="str">
        <f>"0228G802"</f>
        <v>0228G802</v>
      </c>
      <c r="H16625" s="1" t="str">
        <f>"석관간 58L5"</f>
        <v>석관간 58L5</v>
      </c>
      <c r="I16625" s="1" t="s">
        <v>8</v>
      </c>
      <c r="J16625" s="1" t="str">
        <f>"36/39"</f>
        <v>36/39</v>
      </c>
      <c r="K16625" s="1" t="str">
        <f>"2026-07-29 13:18:02"</f>
        <v>2026-07-29 13:18:02</v>
      </c>
      <c r="L16625" s="1" t="str">
        <f>"2018-03-27 14:23:13"</f>
        <v>2018-03-27 14:23:13</v>
      </c>
      <c r="M16625" s="1" t="s">
        <v>45</v>
      </c>
      <c r="N16625" s="1" t="s">
        <v>38</v>
      </c>
      <c r="O16625" s="1" t="s">
        <v>46</v>
      </c>
    </row>
    <row r="16626" spans="2:15" x14ac:dyDescent="0.3">
      <c r="B16626" s="1" t="s">
        <v>19</v>
      </c>
      <c r="C16626" s="1" t="str">
        <f>"6차"</f>
        <v>6차</v>
      </c>
      <c r="D16626" s="1" t="str">
        <f>"0228G8116S"</f>
        <v>0228G8116S</v>
      </c>
      <c r="E16626" s="1" t="s">
        <v>10</v>
      </c>
      <c r="F16626" s="1" t="str">
        <f>"fde1:103:4:9293:0:0:0:2"</f>
        <v>fde1:103:4:9293:0:0:0:2</v>
      </c>
      <c r="G16626" s="1" t="str">
        <f>"0228G811"</f>
        <v>0228G811</v>
      </c>
      <c r="H16626" s="1" t="str">
        <f>"석관간 58L2H1A1"</f>
        <v>석관간 58L2H1A1</v>
      </c>
      <c r="I16626" s="1" t="s">
        <v>15</v>
      </c>
      <c r="J16626" s="1" t="str">
        <f>"59/59"</f>
        <v>59/59</v>
      </c>
      <c r="K16626" s="1" t="str">
        <f>"2026-07-29 14:20:31"</f>
        <v>2026-07-29 14:20:31</v>
      </c>
      <c r="L16626" s="1" t="str">
        <f>"2024-10-29 16:58:17"</f>
        <v>2024-10-29 16:58:17</v>
      </c>
      <c r="M16626" s="1" t="s">
        <v>4</v>
      </c>
      <c r="N16626" s="1" t="s">
        <v>38</v>
      </c>
      <c r="O16626" s="1" t="s">
        <v>46</v>
      </c>
    </row>
    <row r="16627" spans="2:15" x14ac:dyDescent="0.3">
      <c r="B16627" s="1" t="s">
        <v>19</v>
      </c>
      <c r="C16627" s="1" t="str">
        <f>"4차"</f>
        <v>4차</v>
      </c>
      <c r="D16627" s="1" t="str">
        <f>"0228G82444"</f>
        <v>0228G82444</v>
      </c>
      <c r="E16627" s="1" t="s">
        <v>10</v>
      </c>
      <c r="F16627" s="1" t="str">
        <f>"10.12.130.185"</f>
        <v>10.12.130.185</v>
      </c>
      <c r="G16627" s="1" t="str">
        <f>"0228G824"</f>
        <v>0228G824</v>
      </c>
      <c r="H16627" s="1" t="str">
        <f>"석관간 58L1"</f>
        <v>석관간 58L1</v>
      </c>
      <c r="I16627" s="1" t="s">
        <v>8</v>
      </c>
      <c r="J16627" s="1" t="str">
        <f>"53/53"</f>
        <v>53/53</v>
      </c>
      <c r="K16627" s="1" t="str">
        <f>"2026-07-29 13:18:03"</f>
        <v>2026-07-29 13:18:03</v>
      </c>
      <c r="L16627" s="1" t="str">
        <f>"2023-07-27 17:36:39"</f>
        <v>2023-07-27 17:36:39</v>
      </c>
      <c r="M16627" s="1" t="s">
        <v>0</v>
      </c>
      <c r="N16627" s="1" t="s">
        <v>38</v>
      </c>
      <c r="O16627" s="1" t="s">
        <v>46</v>
      </c>
    </row>
    <row r="16628" spans="2:15" x14ac:dyDescent="0.3">
      <c r="B16628" s="1" t="s">
        <v>19</v>
      </c>
      <c r="C16628" s="1" t="str">
        <f>"1차"</f>
        <v>1차</v>
      </c>
      <c r="D16628" s="1" t="str">
        <f>"0228G89200"</f>
        <v>0228G89200</v>
      </c>
      <c r="E16628" s="1" t="s">
        <v>10</v>
      </c>
      <c r="F16628" s="1" t="str">
        <f>"10.107.3.172"</f>
        <v>10.107.3.172</v>
      </c>
      <c r="G16628" s="1" t="str">
        <f>"0228G892"</f>
        <v>0228G892</v>
      </c>
      <c r="H16628" s="1" t="str">
        <f>"상운지 17R5R2"</f>
        <v>상운지 17R5R2</v>
      </c>
      <c r="I16628" s="1" t="s">
        <v>8</v>
      </c>
      <c r="J16628" s="1" t="str">
        <f>"79/80"</f>
        <v>79/80</v>
      </c>
      <c r="K16628" s="1" t="str">
        <f>"2026-07-28 20:03:23"</f>
        <v>2026-07-28 20:03:23</v>
      </c>
      <c r="L16628" s="1" t="str">
        <f>"2023-08-04 17:34:27"</f>
        <v>2023-08-04 17:34:27</v>
      </c>
      <c r="M16628" s="1" t="s">
        <v>45</v>
      </c>
      <c r="N16628" s="1" t="s">
        <v>38</v>
      </c>
      <c r="O16628" s="1" t="s">
        <v>46</v>
      </c>
    </row>
    <row r="16629" spans="2:15" x14ac:dyDescent="0.3">
      <c r="B16629" s="1" t="s">
        <v>19</v>
      </c>
      <c r="C16629" s="1" t="str">
        <f>"1차"</f>
        <v>1차</v>
      </c>
      <c r="D16629" s="1" t="str">
        <f>"0228G92100"</f>
        <v>0228G92100</v>
      </c>
      <c r="E16629" s="1" t="s">
        <v>10</v>
      </c>
      <c r="F16629" s="1" t="str">
        <f>"10.107.251.68"</f>
        <v>10.107.251.68</v>
      </c>
      <c r="G16629" s="1" t="str">
        <f>"0228G921"</f>
        <v>0228G921</v>
      </c>
      <c r="H16629" s="1" t="str">
        <f>"석관간 53L3R6"</f>
        <v>석관간 53L3R6</v>
      </c>
      <c r="I16629" s="1" t="s">
        <v>8</v>
      </c>
      <c r="J16629" s="1" t="str">
        <f>"22/22"</f>
        <v>22/22</v>
      </c>
      <c r="K16629" s="1" t="str">
        <f>"2026-07-29 13:18:02"</f>
        <v>2026-07-29 13:18:02</v>
      </c>
      <c r="L16629" s="1" t="str">
        <f>"2014-12-30 19:56:39"</f>
        <v>2014-12-30 19:56:39</v>
      </c>
      <c r="M16629" s="1" t="s">
        <v>45</v>
      </c>
      <c r="N16629" s="1" t="s">
        <v>38</v>
      </c>
      <c r="O16629" s="1" t="s">
        <v>46</v>
      </c>
    </row>
    <row r="16630" spans="2:15" x14ac:dyDescent="0.3">
      <c r="B16630" s="1" t="s">
        <v>19</v>
      </c>
      <c r="C16630" s="1" t="str">
        <f>"5-1차"</f>
        <v>5-1차</v>
      </c>
      <c r="D16630" s="1" t="str">
        <f>"0228G9415M"</f>
        <v>0228G9415M</v>
      </c>
      <c r="E16630" s="1" t="s">
        <v>10</v>
      </c>
      <c r="F16630" s="1" t="str">
        <f>"fde3:102:1410:9100:0:0:0:2"</f>
        <v>fde3:102:1410:9100:0:0:0:2</v>
      </c>
      <c r="G16630" s="1" t="str">
        <f>"0228G941"</f>
        <v>0228G941</v>
      </c>
      <c r="H16630" s="1" t="str">
        <f>"상운지 14L3R3L1"</f>
        <v>상운지 14L3R3L1</v>
      </c>
      <c r="I16630" s="1" t="s">
        <v>15</v>
      </c>
      <c r="J16630" s="1" t="str">
        <f>"94/94"</f>
        <v>94/94</v>
      </c>
      <c r="K16630" s="1" t="str">
        <f>"2026-07-29 14:20:52"</f>
        <v>2026-07-29 14:20:52</v>
      </c>
      <c r="L16630" s="1" t="str">
        <f>"2022-09-28 09:26:12"</f>
        <v>2022-09-28 09:26:12</v>
      </c>
      <c r="M16630" s="1" t="s">
        <v>45</v>
      </c>
      <c r="N16630" s="1" t="s">
        <v>38</v>
      </c>
      <c r="O16630" s="1" t="s">
        <v>46</v>
      </c>
    </row>
    <row r="16631" spans="2:15" x14ac:dyDescent="0.3">
      <c r="B16631" s="1" t="s">
        <v>19</v>
      </c>
      <c r="C16631" s="1" t="str">
        <f>"1차"</f>
        <v>1차</v>
      </c>
      <c r="D16631" s="1" t="str">
        <f>"0228H01101"</f>
        <v>0228H01101</v>
      </c>
      <c r="E16631" s="1" t="s">
        <v>10</v>
      </c>
      <c r="F16631" s="1" t="str">
        <f>"10.107.251.70"</f>
        <v>10.107.251.70</v>
      </c>
      <c r="G16631" s="1" t="str">
        <f>"0228H011"</f>
        <v>0228H011</v>
      </c>
      <c r="H16631" s="1" t="str">
        <f>"석관간 53L3R2L2"</f>
        <v>석관간 53L3R2L2</v>
      </c>
      <c r="I16631" s="1" t="s">
        <v>8</v>
      </c>
      <c r="J16631" s="1" t="str">
        <f>"40/40"</f>
        <v>40/40</v>
      </c>
      <c r="K16631" s="1" t="str">
        <f>"2026-07-29 13:18:02"</f>
        <v>2026-07-29 13:18:02</v>
      </c>
      <c r="L16631" s="1" t="str">
        <f>"2015-01-05 17:51:49"</f>
        <v>2015-01-05 17:51:49</v>
      </c>
      <c r="M16631" s="1" t="s">
        <v>45</v>
      </c>
      <c r="N16631" s="1" t="s">
        <v>38</v>
      </c>
      <c r="O16631" s="1" t="s">
        <v>46</v>
      </c>
    </row>
    <row r="16632" spans="2:15" x14ac:dyDescent="0.3">
      <c r="B16632" s="1" t="s">
        <v>19</v>
      </c>
      <c r="C16632" s="1" t="str">
        <f>"5-1차"</f>
        <v>5-1차</v>
      </c>
      <c r="D16632" s="1" t="str">
        <f>"0228H0825M"</f>
        <v>0228H0825M</v>
      </c>
      <c r="E16632" s="1" t="s">
        <v>10</v>
      </c>
      <c r="F16632" s="1" t="str">
        <f>"fde3:102:1410:9100:0:0:0:7"</f>
        <v>fde3:102:1410:9100:0:0:0:7</v>
      </c>
      <c r="G16632" s="1" t="str">
        <f>"0228H082"</f>
        <v>0228H082</v>
      </c>
      <c r="H16632" s="1" t="str">
        <f>"상운지 13L1"</f>
        <v>상운지 13L1</v>
      </c>
      <c r="I16632" s="1" t="s">
        <v>15</v>
      </c>
      <c r="J16632" s="1" t="str">
        <f>"60/60"</f>
        <v>60/60</v>
      </c>
      <c r="K16632" s="1" t="str">
        <f>"2026-07-29 14:20:31"</f>
        <v>2026-07-29 14:20:31</v>
      </c>
      <c r="L16632" s="1" t="str">
        <f>"2022-11-14 11:01:47"</f>
        <v>2022-11-14 11:01:47</v>
      </c>
      <c r="M16632" s="1" t="s">
        <v>45</v>
      </c>
      <c r="N16632" s="1" t="s">
        <v>38</v>
      </c>
      <c r="O16632" s="1" t="s">
        <v>46</v>
      </c>
    </row>
    <row r="16633" spans="2:15" x14ac:dyDescent="0.3">
      <c r="B16633" s="1" t="s">
        <v>19</v>
      </c>
      <c r="C16633" s="1" t="str">
        <f>"1차"</f>
        <v>1차</v>
      </c>
      <c r="D16633" s="1" t="str">
        <f>"0228H11100"</f>
        <v>0228H11100</v>
      </c>
      <c r="E16633" s="1" t="s">
        <v>10</v>
      </c>
      <c r="F16633" s="1" t="str">
        <f>"10.107.251.67"</f>
        <v>10.107.251.67</v>
      </c>
      <c r="G16633" s="1" t="str">
        <f>"0228H111"</f>
        <v>0228H111</v>
      </c>
      <c r="H16633" s="1" t="str">
        <f>"석관간 53L3R2"</f>
        <v>석관간 53L3R2</v>
      </c>
      <c r="I16633" s="1" t="s">
        <v>8</v>
      </c>
      <c r="J16633" s="1" t="str">
        <f>"24/25"</f>
        <v>24/25</v>
      </c>
      <c r="K16633" s="1" t="str">
        <f>"2026-07-29 13:18:02"</f>
        <v>2026-07-29 13:18:02</v>
      </c>
      <c r="L16633" s="1" t="str">
        <f>"2014-12-30 19:50:00"</f>
        <v>2014-12-30 19:50:00</v>
      </c>
      <c r="M16633" s="1" t="s">
        <v>45</v>
      </c>
      <c r="N16633" s="1" t="s">
        <v>38</v>
      </c>
      <c r="O16633" s="1" t="s">
        <v>46</v>
      </c>
    </row>
    <row r="16634" spans="2:15" x14ac:dyDescent="0.3">
      <c r="B16634" s="1" t="s">
        <v>19</v>
      </c>
      <c r="C16634" s="1" t="str">
        <f>"1차"</f>
        <v>1차</v>
      </c>
      <c r="D16634" s="1" t="str">
        <f>"0228H12101"</f>
        <v>0228H12101</v>
      </c>
      <c r="E16634" s="1" t="s">
        <v>10</v>
      </c>
      <c r="F16634" s="1" t="str">
        <f>"10.107.251.72"</f>
        <v>10.107.251.72</v>
      </c>
      <c r="G16634" s="1" t="str">
        <f>"0228H121"</f>
        <v>0228H121</v>
      </c>
      <c r="H16634" s="1" t="str">
        <f>"석관간 53L3R1"</f>
        <v>석관간 53L3R1</v>
      </c>
      <c r="I16634" s="1" t="s">
        <v>8</v>
      </c>
      <c r="J16634" s="1" t="str">
        <f>"72/72"</f>
        <v>72/72</v>
      </c>
      <c r="K16634" s="1" t="str">
        <f>"2026-07-29 13:18:00"</f>
        <v>2026-07-29 13:18:00</v>
      </c>
      <c r="L16634" s="1" t="str">
        <f>"2015-01-02 18:21:55"</f>
        <v>2015-01-02 18:21:55</v>
      </c>
      <c r="M16634" s="1" t="s">
        <v>45</v>
      </c>
      <c r="N16634" s="1" t="s">
        <v>38</v>
      </c>
      <c r="O16634" s="1" t="s">
        <v>46</v>
      </c>
    </row>
    <row r="16635" spans="2:15" x14ac:dyDescent="0.3">
      <c r="B16635" s="1" t="s">
        <v>19</v>
      </c>
      <c r="C16635" s="1" t="str">
        <f>"6차"</f>
        <v>6차</v>
      </c>
      <c r="D16635" s="1" t="str">
        <f>"0228H1746S"</f>
        <v>0228H1746S</v>
      </c>
      <c r="E16635" s="1" t="s">
        <v>10</v>
      </c>
      <c r="F16635" s="1" t="str">
        <f>"fde1:103:4:937a:0:0:0:2"</f>
        <v>fde1:103:4:937a:0:0:0:2</v>
      </c>
      <c r="G16635" s="1" t="str">
        <f>"0228H174"</f>
        <v>0228H174</v>
      </c>
      <c r="H16635" s="1" t="str">
        <f>"상운지 13L3"</f>
        <v>상운지 13L3</v>
      </c>
      <c r="I16635" s="1" t="s">
        <v>15</v>
      </c>
      <c r="J16635" s="1" t="str">
        <f>"50/50"</f>
        <v>50/50</v>
      </c>
      <c r="K16635" s="1" t="str">
        <f>"2026-07-29 14:20:31"</f>
        <v>2026-07-29 14:20:31</v>
      </c>
      <c r="L16635" s="1" t="str">
        <f>"2025-02-05 16:37:09"</f>
        <v>2025-02-05 16:37:09</v>
      </c>
      <c r="M16635" s="1" t="s">
        <v>4</v>
      </c>
      <c r="N16635" s="1" t="s">
        <v>38</v>
      </c>
      <c r="O16635" s="1" t="s">
        <v>46</v>
      </c>
    </row>
    <row r="16636" spans="2:15" x14ac:dyDescent="0.3">
      <c r="B16636" s="1" t="s">
        <v>19</v>
      </c>
      <c r="C16636" s="1" t="str">
        <f>"5-1차"</f>
        <v>5-1차</v>
      </c>
      <c r="D16636" s="1" t="str">
        <f>"0228H2155M"</f>
        <v>0228H2155M</v>
      </c>
      <c r="E16636" s="1" t="s">
        <v>10</v>
      </c>
      <c r="F16636" s="1" t="str">
        <f>"fde3:102:1410:9100:0:0:0:3"</f>
        <v>fde3:102:1410:9100:0:0:0:3</v>
      </c>
      <c r="G16636" s="1" t="str">
        <f>"0228H215"</f>
        <v>0228H215</v>
      </c>
      <c r="H16636" s="1" t="str">
        <f>"석관간 53L5"</f>
        <v>석관간 53L5</v>
      </c>
      <c r="I16636" s="1" t="s">
        <v>15</v>
      </c>
      <c r="J16636" s="1" t="str">
        <f>"47/47"</f>
        <v>47/47</v>
      </c>
      <c r="K16636" s="1" t="str">
        <f>"2026-07-29 14:20:01"</f>
        <v>2026-07-29 14:20:01</v>
      </c>
      <c r="L16636" s="1" t="str">
        <f>"2022-09-26 16:13:45"</f>
        <v>2022-09-26 16:13:45</v>
      </c>
      <c r="M16636" s="1" t="s">
        <v>45</v>
      </c>
      <c r="N16636" s="1" t="s">
        <v>38</v>
      </c>
      <c r="O16636" s="1" t="s">
        <v>46</v>
      </c>
    </row>
    <row r="16637" spans="2:15" x14ac:dyDescent="0.3">
      <c r="B16637" s="1" t="s">
        <v>19</v>
      </c>
      <c r="C16637" s="1" t="str">
        <f>"5-2차"</f>
        <v>5-2차</v>
      </c>
      <c r="D16637" s="1" t="str">
        <f>"0228H2255M"</f>
        <v>0228H2255M</v>
      </c>
      <c r="E16637" s="1" t="s">
        <v>10</v>
      </c>
      <c r="F16637" s="1" t="str">
        <f>"fde3:102:1410:9100:0:0:0:12"</f>
        <v>fde3:102:1410:9100:0:0:0:12</v>
      </c>
      <c r="G16637" s="1" t="str">
        <f>"0228H225"</f>
        <v>0228H225</v>
      </c>
      <c r="H16637" s="1" t="str">
        <f>"석관간 53L3"</f>
        <v>석관간 53L3</v>
      </c>
      <c r="I16637" s="1" t="s">
        <v>15</v>
      </c>
      <c r="J16637" s="1" t="str">
        <f>"70/70"</f>
        <v>70/70</v>
      </c>
      <c r="K16637" s="1" t="str">
        <f>"2026-07-29 14:20:30"</f>
        <v>2026-07-29 14:20:30</v>
      </c>
      <c r="L16637" s="1" t="str">
        <f>"2023-12-13 15:55:30"</f>
        <v>2023-12-13 15:55:30</v>
      </c>
      <c r="M16637" s="1" t="s">
        <v>45</v>
      </c>
      <c r="N16637" s="1" t="s">
        <v>38</v>
      </c>
      <c r="O16637" s="1" t="s">
        <v>46</v>
      </c>
    </row>
    <row r="16638" spans="2:15" x14ac:dyDescent="0.3">
      <c r="B16638" s="1" t="s">
        <v>19</v>
      </c>
      <c r="C16638" s="1" t="str">
        <f>"5-2차"</f>
        <v>5-2차</v>
      </c>
      <c r="D16638" s="1" t="str">
        <f>"0228H3155M"</f>
        <v>0228H3155M</v>
      </c>
      <c r="E16638" s="1" t="s">
        <v>10</v>
      </c>
      <c r="F16638" s="1" t="str">
        <f>"fde3:102:1410:9100:0:0:0:13"</f>
        <v>fde3:102:1410:9100:0:0:0:13</v>
      </c>
      <c r="G16638" s="1" t="str">
        <f>"0228H315"</f>
        <v>0228H315</v>
      </c>
      <c r="H16638" s="1" t="str">
        <f>"석관간 53L7"</f>
        <v>석관간 53L7</v>
      </c>
      <c r="I16638" s="1" t="s">
        <v>15</v>
      </c>
      <c r="J16638" s="1" t="str">
        <f>"55/55"</f>
        <v>55/55</v>
      </c>
      <c r="K16638" s="1" t="str">
        <f>"2026-07-29 14:20:31"</f>
        <v>2026-07-29 14:20:31</v>
      </c>
      <c r="L16638" s="1" t="str">
        <f>"2023-12-13 17:19:17"</f>
        <v>2023-12-13 17:19:17</v>
      </c>
      <c r="M16638" s="1" t="s">
        <v>45</v>
      </c>
      <c r="N16638" s="1" t="s">
        <v>38</v>
      </c>
      <c r="O16638" s="1" t="s">
        <v>46</v>
      </c>
    </row>
    <row r="16639" spans="2:15" x14ac:dyDescent="0.3">
      <c r="B16639" s="1" t="s">
        <v>19</v>
      </c>
      <c r="C16639" s="1" t="str">
        <f>"4차"</f>
        <v>4차</v>
      </c>
      <c r="D16639" s="1" t="str">
        <f>"0228H39244"</f>
        <v>0228H39244</v>
      </c>
      <c r="E16639" s="1" t="s">
        <v>10</v>
      </c>
      <c r="F16639" s="1" t="str">
        <f>"10.12.138.114"</f>
        <v>10.12.138.114</v>
      </c>
      <c r="G16639" s="1" t="str">
        <f>"0228H392"</f>
        <v>0228H392</v>
      </c>
      <c r="H16639" s="1" t="str">
        <f>"상운지 9L4R1"</f>
        <v>상운지 9L4R1</v>
      </c>
      <c r="I16639" s="1" t="s">
        <v>8</v>
      </c>
      <c r="J16639" s="1" t="str">
        <f>"38/43"</f>
        <v>38/43</v>
      </c>
      <c r="K16639" s="1" t="str">
        <f>"2026-07-29 13:18:04"</f>
        <v>2026-07-29 13:18:04</v>
      </c>
      <c r="L16639" s="1" t="str">
        <f>"2023-12-06 13:50:11"</f>
        <v>2023-12-06 13:50:11</v>
      </c>
      <c r="M16639" s="1" t="s">
        <v>0</v>
      </c>
      <c r="N16639" s="1" t="s">
        <v>38</v>
      </c>
      <c r="O16639" s="1" t="s">
        <v>46</v>
      </c>
    </row>
    <row r="16640" spans="2:15" x14ac:dyDescent="0.3">
      <c r="B16640" s="1" t="s">
        <v>19</v>
      </c>
      <c r="C16640" s="1" t="str">
        <f>"1차"</f>
        <v>1차</v>
      </c>
      <c r="D16640" s="1" t="str">
        <f>"0228H47200"</f>
        <v>0228H47200</v>
      </c>
      <c r="E16640" s="1" t="s">
        <v>10</v>
      </c>
      <c r="F16640" s="1" t="str">
        <f>"10.107.119.3"</f>
        <v>10.107.119.3</v>
      </c>
      <c r="G16640" s="1" t="str">
        <f>"0228H472"</f>
        <v>0228H472</v>
      </c>
      <c r="H16640" s="1" t="str">
        <f>"광운간 45R7"</f>
        <v>광운간 45R7</v>
      </c>
      <c r="I16640" s="1" t="s">
        <v>8</v>
      </c>
      <c r="J16640" s="1" t="str">
        <f>"30/30"</f>
        <v>30/30</v>
      </c>
      <c r="K16640" s="1" t="str">
        <f>"2026-07-29 13:18:00"</f>
        <v>2026-07-29 13:18:00</v>
      </c>
      <c r="L16640" s="1" t="str">
        <f>"2014-11-18 11:26:25"</f>
        <v>2014-11-18 11:26:25</v>
      </c>
      <c r="M16640" s="1" t="s">
        <v>45</v>
      </c>
      <c r="N16640" s="1" t="s">
        <v>38</v>
      </c>
      <c r="O16640" s="1" t="s">
        <v>46</v>
      </c>
    </row>
    <row r="16641" spans="2:15" x14ac:dyDescent="0.3">
      <c r="B16641" s="1" t="s">
        <v>19</v>
      </c>
      <c r="C16641" s="1" t="str">
        <f>"3차"</f>
        <v>3차</v>
      </c>
      <c r="D16641" s="1" t="str">
        <f>"0228H67439"</f>
        <v>0228H67439</v>
      </c>
      <c r="E16641" s="1" t="s">
        <v>10</v>
      </c>
      <c r="F16641" s="1" t="str">
        <f>"10.107.8.92"</f>
        <v>10.107.8.92</v>
      </c>
      <c r="G16641" s="1" t="str">
        <f>"0228H674"</f>
        <v>0228H674</v>
      </c>
      <c r="H16641" s="1" t="str">
        <f>"석관간 47L3"</f>
        <v>석관간 47L3</v>
      </c>
      <c r="I16641" s="1" t="s">
        <v>8</v>
      </c>
      <c r="J16641" s="1" t="str">
        <f>"15/15"</f>
        <v>15/15</v>
      </c>
      <c r="K16641" s="1" t="str">
        <f>"2026-07-29 13:18:02"</f>
        <v>2026-07-29 13:18:02</v>
      </c>
      <c r="L16641" s="1" t="str">
        <f>"2018-03-23 13:56:41"</f>
        <v>2018-03-23 13:56:41</v>
      </c>
      <c r="M16641" s="1" t="s">
        <v>45</v>
      </c>
      <c r="N16641" s="1" t="s">
        <v>38</v>
      </c>
      <c r="O16641" s="1" t="s">
        <v>46</v>
      </c>
    </row>
    <row r="16642" spans="2:15" x14ac:dyDescent="0.3">
      <c r="B16642" s="1" t="s">
        <v>19</v>
      </c>
      <c r="C16642" s="1" t="str">
        <f>"3차"</f>
        <v>3차</v>
      </c>
      <c r="D16642" s="1" t="str">
        <f>"0228H68139"</f>
        <v>0228H68139</v>
      </c>
      <c r="E16642" s="1" t="s">
        <v>14</v>
      </c>
      <c r="F16642" s="1" t="str">
        <f>"10.107.8.44"</f>
        <v>10.107.8.44</v>
      </c>
      <c r="G16642" s="1" t="str">
        <f>"0228H681"</f>
        <v>0228H681</v>
      </c>
      <c r="H16642" s="1" t="str">
        <f>"석관간 44"</f>
        <v>석관간 44</v>
      </c>
      <c r="I16642" s="1" t="s">
        <v>8</v>
      </c>
      <c r="J16642" s="1" t="str">
        <f>"0/0"</f>
        <v>0/0</v>
      </c>
      <c r="K16642" s="1" t="str">
        <f>"2026-07-29 13:18:02"</f>
        <v>2026-07-29 13:18:02</v>
      </c>
      <c r="L16642" s="1" t="str">
        <f>"2018-05-31 08:06:38"</f>
        <v>2018-05-31 08:06:38</v>
      </c>
      <c r="M16642" s="1" t="s">
        <v>45</v>
      </c>
      <c r="N16642" s="1" t="s">
        <v>38</v>
      </c>
      <c r="O16642" s="1" t="s">
        <v>44</v>
      </c>
    </row>
    <row r="16643" spans="2:15" x14ac:dyDescent="0.3">
      <c r="B16643" s="1" t="s">
        <v>19</v>
      </c>
      <c r="C16643" s="1" t="str">
        <f>"3차"</f>
        <v>3차</v>
      </c>
      <c r="D16643" s="1" t="str">
        <f>"0228H75139"</f>
        <v>0228H75139</v>
      </c>
      <c r="E16643" s="1" t="s">
        <v>10</v>
      </c>
      <c r="F16643" s="1" t="str">
        <f>"10.107.122.229"</f>
        <v>10.107.122.229</v>
      </c>
      <c r="G16643" s="1" t="str">
        <f>"0228H751"</f>
        <v>0228H751</v>
      </c>
      <c r="H16643" s="1" t="str">
        <f>"석관간 43L6R3"</f>
        <v>석관간 43L6R3</v>
      </c>
      <c r="I16643" s="1" t="s">
        <v>8</v>
      </c>
      <c r="J16643" s="1" t="str">
        <f>"64/64"</f>
        <v>64/64</v>
      </c>
      <c r="K16643" s="1" t="str">
        <f>"2026-07-29 13:18:02"</f>
        <v>2026-07-29 13:18:02</v>
      </c>
      <c r="L16643" s="1" t="str">
        <f>"2018-04-09 12:16:13"</f>
        <v>2018-04-09 12:16:13</v>
      </c>
      <c r="M16643" s="1" t="s">
        <v>45</v>
      </c>
      <c r="N16643" s="1" t="s">
        <v>38</v>
      </c>
      <c r="O16643" s="1" t="s">
        <v>46</v>
      </c>
    </row>
    <row r="16644" spans="2:15" x14ac:dyDescent="0.3">
      <c r="B16644" s="1" t="s">
        <v>19</v>
      </c>
      <c r="C16644" s="1" t="str">
        <f>"5-1차"</f>
        <v>5-1차</v>
      </c>
      <c r="D16644" s="1" t="str">
        <f>"0228H7735M"</f>
        <v>0228H7735M</v>
      </c>
      <c r="E16644" s="1" t="s">
        <v>10</v>
      </c>
      <c r="F16644" s="1" t="str">
        <f>"fde3:102:1410:9200:0:0:0:2"</f>
        <v>fde3:102:1410:9200:0:0:0:2</v>
      </c>
      <c r="G16644" s="1" t="str">
        <f>"0228H773"</f>
        <v>0228H773</v>
      </c>
      <c r="H16644" s="1" t="str">
        <f>"석관간 43L3"</f>
        <v>석관간 43L3</v>
      </c>
      <c r="I16644" s="1" t="s">
        <v>15</v>
      </c>
      <c r="J16644" s="1" t="str">
        <f>"34/34"</f>
        <v>34/34</v>
      </c>
      <c r="K16644" s="1" t="str">
        <f>"2026-07-29 14:20:53"</f>
        <v>2026-07-29 14:20:53</v>
      </c>
      <c r="L16644" s="1" t="str">
        <f>"2022-09-30 19:26:41"</f>
        <v>2022-09-30 19:26:41</v>
      </c>
      <c r="M16644" s="1" t="s">
        <v>45</v>
      </c>
      <c r="N16644" s="1" t="s">
        <v>38</v>
      </c>
      <c r="O16644" s="1" t="s">
        <v>46</v>
      </c>
    </row>
    <row r="16645" spans="2:15" x14ac:dyDescent="0.3">
      <c r="B16645" s="1" t="s">
        <v>19</v>
      </c>
      <c r="C16645" s="1" t="str">
        <f>"1차"</f>
        <v>1차</v>
      </c>
      <c r="D16645" s="1" t="str">
        <f>"0228H86101"</f>
        <v>0228H86101</v>
      </c>
      <c r="E16645" s="1" t="s">
        <v>10</v>
      </c>
      <c r="F16645" s="1" t="str">
        <f>"10.107.120.16"</f>
        <v>10.107.120.16</v>
      </c>
      <c r="G16645" s="1" t="str">
        <f>"0228H861"</f>
        <v>0228H861</v>
      </c>
      <c r="H16645" s="1" t="str">
        <f>"석관간 43L4"</f>
        <v>석관간 43L4</v>
      </c>
      <c r="I16645" s="1" t="s">
        <v>8</v>
      </c>
      <c r="J16645" s="1" t="str">
        <f>"13/15"</f>
        <v>13/15</v>
      </c>
      <c r="K16645" s="1" t="str">
        <f>"2026-07-29 13:18:01"</f>
        <v>2026-07-29 13:18:01</v>
      </c>
      <c r="L16645" s="1" t="str">
        <f>"2015-01-02 18:26:42"</f>
        <v>2015-01-02 18:26:42</v>
      </c>
      <c r="M16645" s="1" t="s">
        <v>45</v>
      </c>
      <c r="N16645" s="1" t="s">
        <v>38</v>
      </c>
      <c r="O16645" s="1" t="s">
        <v>46</v>
      </c>
    </row>
    <row r="16646" spans="2:15" x14ac:dyDescent="0.3">
      <c r="B16646" s="1" t="s">
        <v>19</v>
      </c>
      <c r="C16646" s="1" t="str">
        <f>"1차"</f>
        <v>1차</v>
      </c>
      <c r="D16646" s="1" t="str">
        <f>"0228H86200"</f>
        <v>0228H86200</v>
      </c>
      <c r="E16646" s="1" t="s">
        <v>10</v>
      </c>
      <c r="F16646" s="1" t="str">
        <f>"10.107.120.15"</f>
        <v>10.107.120.15</v>
      </c>
      <c r="G16646" s="1" t="str">
        <f>"0228H862"</f>
        <v>0228H862</v>
      </c>
      <c r="H16646" s="1" t="str">
        <f>"석관간 43L5"</f>
        <v>석관간 43L5</v>
      </c>
      <c r="I16646" s="1" t="s">
        <v>8</v>
      </c>
      <c r="J16646" s="1" t="str">
        <f>"27/27"</f>
        <v>27/27</v>
      </c>
      <c r="K16646" s="1" t="str">
        <f>"2026-07-29 13:18:02"</f>
        <v>2026-07-29 13:18:02</v>
      </c>
      <c r="L16646" s="1" t="str">
        <f>"2014-12-30 19:50:10"</f>
        <v>2014-12-30 19:50:10</v>
      </c>
      <c r="M16646" s="1" t="s">
        <v>45</v>
      </c>
      <c r="N16646" s="1" t="s">
        <v>38</v>
      </c>
      <c r="O16646" s="1" t="s">
        <v>46</v>
      </c>
    </row>
    <row r="16647" spans="2:15" x14ac:dyDescent="0.3">
      <c r="B16647" s="1" t="s">
        <v>19</v>
      </c>
      <c r="C16647" s="1" t="str">
        <f>"4차"</f>
        <v>4차</v>
      </c>
      <c r="D16647" s="1" t="str">
        <f>"0228H86339"</f>
        <v>0228H86339</v>
      </c>
      <c r="E16647" s="1" t="s">
        <v>10</v>
      </c>
      <c r="F16647" s="1" t="str">
        <f>"10.107.120.17"</f>
        <v>10.107.120.17</v>
      </c>
      <c r="G16647" s="1" t="str">
        <f>"0228H863"</f>
        <v>0228H863</v>
      </c>
      <c r="H16647" s="1" t="str">
        <f>"석관간 43L6"</f>
        <v>석관간 43L6</v>
      </c>
      <c r="I16647" s="1" t="s">
        <v>8</v>
      </c>
      <c r="J16647" s="1" t="str">
        <f>"131/146"</f>
        <v>131/146</v>
      </c>
      <c r="K16647" s="1" t="str">
        <f>"2026-07-29 13:18:02"</f>
        <v>2026-07-29 13:18:02</v>
      </c>
      <c r="L16647" s="1" t="str">
        <f>"2018-03-23 14:05:17"</f>
        <v>2018-03-23 14:05:17</v>
      </c>
      <c r="M16647" s="1" t="s">
        <v>45</v>
      </c>
      <c r="N16647" s="1" t="s">
        <v>38</v>
      </c>
      <c r="O16647" s="1" t="s">
        <v>46</v>
      </c>
    </row>
    <row r="16648" spans="2:15" x14ac:dyDescent="0.3">
      <c r="B16648" s="1" t="s">
        <v>19</v>
      </c>
      <c r="C16648" s="1" t="str">
        <f>"5-2차"</f>
        <v>5-2차</v>
      </c>
      <c r="D16648" s="1" t="str">
        <f>"0228H9315M"</f>
        <v>0228H9315M</v>
      </c>
      <c r="E16648" s="1" t="s">
        <v>10</v>
      </c>
      <c r="F16648" s="1" t="str">
        <f>"fde3:102:1410:9600:0:0:0:5"</f>
        <v>fde3:102:1410:9600:0:0:0:5</v>
      </c>
      <c r="G16648" s="1" t="str">
        <f>"0228H931"</f>
        <v>0228H931</v>
      </c>
      <c r="H16648" s="1" t="str">
        <f>"석관간 43L9R2"</f>
        <v>석관간 43L9R2</v>
      </c>
      <c r="I16648" s="1" t="s">
        <v>15</v>
      </c>
      <c r="J16648" s="1" t="str">
        <f>"62/78"</f>
        <v>62/78</v>
      </c>
      <c r="K16648" s="1" t="str">
        <f>"2026-07-29 14:20:15"</f>
        <v>2026-07-29 14:20:15</v>
      </c>
      <c r="L16648" s="1" t="str">
        <f>"2024-01-08 15:15:48"</f>
        <v>2024-01-08 15:15:48</v>
      </c>
      <c r="M16648" s="1" t="s">
        <v>45</v>
      </c>
      <c r="N16648" s="1" t="s">
        <v>38</v>
      </c>
      <c r="O16648" s="1" t="s">
        <v>46</v>
      </c>
    </row>
    <row r="16649" spans="2:15" x14ac:dyDescent="0.3">
      <c r="B16649" s="1" t="s">
        <v>19</v>
      </c>
      <c r="C16649" s="1" t="str">
        <f>"4차"</f>
        <v>4차</v>
      </c>
      <c r="D16649" s="1" t="str">
        <f>"0228H94139"</f>
        <v>0228H94139</v>
      </c>
      <c r="E16649" s="1" t="s">
        <v>10</v>
      </c>
      <c r="F16649" s="1" t="str">
        <f>"10.107.120.18"</f>
        <v>10.107.120.18</v>
      </c>
      <c r="G16649" s="1" t="str">
        <f>"0228H941"</f>
        <v>0228H941</v>
      </c>
      <c r="H16649" s="1" t="str">
        <f>"석관간 43L8"</f>
        <v>석관간 43L8</v>
      </c>
      <c r="I16649" s="1" t="s">
        <v>8</v>
      </c>
      <c r="J16649" s="1" t="str">
        <f>"51/51"</f>
        <v>51/51</v>
      </c>
      <c r="K16649" s="1" t="str">
        <f>"2026-07-29 13:18:02"</f>
        <v>2026-07-29 13:18:02</v>
      </c>
      <c r="L16649" s="1" t="str">
        <f>"2018-04-02 13:38:57"</f>
        <v>2018-04-02 13:38:57</v>
      </c>
      <c r="M16649" s="1" t="s">
        <v>45</v>
      </c>
      <c r="N16649" s="1" t="s">
        <v>38</v>
      </c>
      <c r="O16649" s="1" t="s">
        <v>46</v>
      </c>
    </row>
    <row r="16650" spans="2:15" x14ac:dyDescent="0.3">
      <c r="B16650" s="1" t="s">
        <v>19</v>
      </c>
      <c r="C16650" s="1" t="str">
        <f>"3차"</f>
        <v>3차</v>
      </c>
      <c r="D16650" s="1" t="str">
        <f>"0228H95139"</f>
        <v>0228H95139</v>
      </c>
      <c r="E16650" s="1" t="s">
        <v>10</v>
      </c>
      <c r="F16650" s="1" t="str">
        <f>"10.107.120.19"</f>
        <v>10.107.120.19</v>
      </c>
      <c r="G16650" s="1" t="str">
        <f>"0228H951"</f>
        <v>0228H951</v>
      </c>
      <c r="H16650" s="1" t="str">
        <f>"석관간 43L7"</f>
        <v>석관간 43L7</v>
      </c>
      <c r="I16650" s="1" t="s">
        <v>8</v>
      </c>
      <c r="J16650" s="1" t="str">
        <f>"23/29"</f>
        <v>23/29</v>
      </c>
      <c r="K16650" s="1" t="str">
        <f>"2026-07-29 13:18:02"</f>
        <v>2026-07-29 13:18:02</v>
      </c>
      <c r="L16650" s="1" t="str">
        <f>"2018-03-23 14:14:29"</f>
        <v>2018-03-23 14:14:29</v>
      </c>
      <c r="M16650" s="1" t="s">
        <v>45</v>
      </c>
      <c r="N16650" s="1" t="s">
        <v>38</v>
      </c>
      <c r="O16650" s="1" t="s">
        <v>46</v>
      </c>
    </row>
    <row r="16651" spans="2:15" x14ac:dyDescent="0.3">
      <c r="B16651" s="1" t="s">
        <v>19</v>
      </c>
      <c r="C16651" s="1" t="str">
        <f>"4차"</f>
        <v>4차</v>
      </c>
      <c r="D16651" s="1" t="str">
        <f>"0228H96342"</f>
        <v>0228H96342</v>
      </c>
      <c r="E16651" s="1" t="s">
        <v>10</v>
      </c>
      <c r="F16651" s="1" t="str">
        <f>"10.12.130.20"</f>
        <v>10.12.130.20</v>
      </c>
      <c r="G16651" s="1" t="str">
        <f>"0228H963"</f>
        <v>0228H963</v>
      </c>
      <c r="H16651" s="1" t="str">
        <f>"석관간 43L5L1"</f>
        <v>석관간 43L5L1</v>
      </c>
      <c r="I16651" s="1" t="s">
        <v>8</v>
      </c>
      <c r="J16651" s="1" t="str">
        <f>"123/137"</f>
        <v>123/137</v>
      </c>
      <c r="K16651" s="1" t="str">
        <f>"2026-07-29 13:18:01"</f>
        <v>2026-07-29 13:18:01</v>
      </c>
      <c r="L16651" s="1" t="str">
        <f>"2024-04-18 10:00:41"</f>
        <v>2024-04-18 10:00:41</v>
      </c>
      <c r="M16651" s="1" t="s">
        <v>0</v>
      </c>
      <c r="N16651" s="1" t="s">
        <v>38</v>
      </c>
      <c r="O16651" s="1" t="s">
        <v>46</v>
      </c>
    </row>
    <row r="16652" spans="2:15" x14ac:dyDescent="0.3">
      <c r="B16652" s="1" t="s">
        <v>19</v>
      </c>
      <c r="C16652" s="1" t="str">
        <f>"1차"</f>
        <v>1차</v>
      </c>
      <c r="D16652" s="1" t="str">
        <f>"0228H97401"</f>
        <v>0228H97401</v>
      </c>
      <c r="E16652" s="1" t="s">
        <v>10</v>
      </c>
      <c r="F16652" s="1" t="str">
        <f>"10.107.4.28"</f>
        <v>10.107.4.28</v>
      </c>
      <c r="G16652" s="1" t="str">
        <f>"0228H974"</f>
        <v>0228H974</v>
      </c>
      <c r="H16652" s="1" t="str">
        <f>"석관간 41L4R2"</f>
        <v>석관간 41L4R2</v>
      </c>
      <c r="I16652" s="1" t="s">
        <v>8</v>
      </c>
      <c r="J16652" s="1" t="str">
        <f>"22/22"</f>
        <v>22/22</v>
      </c>
      <c r="K16652" s="1" t="str">
        <f>"2026-07-29 13:18:02"</f>
        <v>2026-07-29 13:18:02</v>
      </c>
      <c r="L16652" s="1" t="str">
        <f>"2014-12-09 14:13:08"</f>
        <v>2014-12-09 14:13:08</v>
      </c>
      <c r="M16652" s="1" t="s">
        <v>45</v>
      </c>
      <c r="N16652" s="1" t="s">
        <v>38</v>
      </c>
      <c r="O16652" s="1" t="s">
        <v>46</v>
      </c>
    </row>
    <row r="16653" spans="2:15" x14ac:dyDescent="0.3">
      <c r="B16653" s="1" t="s">
        <v>19</v>
      </c>
      <c r="C16653" s="1" t="str">
        <f>"1차"</f>
        <v>1차</v>
      </c>
      <c r="D16653" s="1" t="str">
        <f>"0228H98200"</f>
        <v>0228H98200</v>
      </c>
      <c r="E16653" s="1" t="s">
        <v>10</v>
      </c>
      <c r="F16653" s="1" t="str">
        <f>"10.107.4.27"</f>
        <v>10.107.4.27</v>
      </c>
      <c r="G16653" s="1" t="str">
        <f>"0228H982"</f>
        <v>0228H982</v>
      </c>
      <c r="H16653" s="1" t="str">
        <f>"석관간 41L4R1"</f>
        <v>석관간 41L4R1</v>
      </c>
      <c r="I16653" s="1" t="s">
        <v>8</v>
      </c>
      <c r="J16653" s="1" t="str">
        <f>"5/5"</f>
        <v>5/5</v>
      </c>
      <c r="K16653" s="1" t="str">
        <f t="shared" ref="K16653:K16660" si="823">"2026-07-29 13:18:03"</f>
        <v>2026-07-29 13:18:03</v>
      </c>
      <c r="L16653" s="1" t="str">
        <f>"2014-12-08 14:57:43"</f>
        <v>2014-12-08 14:57:43</v>
      </c>
      <c r="M16653" s="1" t="s">
        <v>45</v>
      </c>
      <c r="N16653" s="1" t="s">
        <v>38</v>
      </c>
      <c r="O16653" s="1" t="s">
        <v>46</v>
      </c>
    </row>
    <row r="16654" spans="2:15" x14ac:dyDescent="0.3">
      <c r="B16654" s="1" t="s">
        <v>19</v>
      </c>
      <c r="C16654" s="1" t="str">
        <f>"4차"</f>
        <v>4차</v>
      </c>
      <c r="D16654" s="1" t="str">
        <f>"0228P04144"</f>
        <v>0228P04144</v>
      </c>
      <c r="E16654" s="1" t="s">
        <v>10</v>
      </c>
      <c r="F16654" s="1" t="str">
        <f>"10.107.118.9"</f>
        <v>10.107.118.9</v>
      </c>
      <c r="G16654" s="1" t="str">
        <f>"0228P041"</f>
        <v>0228P041</v>
      </c>
      <c r="H16654" s="1" t="str">
        <f>"성가지 24L5"</f>
        <v>성가지 24L5</v>
      </c>
      <c r="I16654" s="1" t="s">
        <v>8</v>
      </c>
      <c r="J16654" s="1" t="str">
        <f>"34/34"</f>
        <v>34/34</v>
      </c>
      <c r="K16654" s="1" t="str">
        <f t="shared" si="823"/>
        <v>2026-07-29 13:18:03</v>
      </c>
      <c r="L16654" s="1" t="str">
        <f>"2019-11-01 15:59:44"</f>
        <v>2019-11-01 15:59:44</v>
      </c>
      <c r="M16654" s="1" t="s">
        <v>45</v>
      </c>
      <c r="N16654" s="1" t="s">
        <v>38</v>
      </c>
      <c r="O16654" s="1" t="s">
        <v>46</v>
      </c>
    </row>
    <row r="16655" spans="2:15" x14ac:dyDescent="0.3">
      <c r="B16655" s="1" t="s">
        <v>19</v>
      </c>
      <c r="C16655" s="1" t="str">
        <f>"4차"</f>
        <v>4차</v>
      </c>
      <c r="D16655" s="1" t="str">
        <f>"0228P07344"</f>
        <v>0228P07344</v>
      </c>
      <c r="E16655" s="1" t="s">
        <v>10</v>
      </c>
      <c r="F16655" s="1" t="str">
        <f>"10.107.118.10"</f>
        <v>10.107.118.10</v>
      </c>
      <c r="G16655" s="1" t="str">
        <f>"0228P073"</f>
        <v>0228P073</v>
      </c>
      <c r="H16655" s="1" t="str">
        <f>"성가지 22L8"</f>
        <v>성가지 22L8</v>
      </c>
      <c r="I16655" s="1" t="s">
        <v>8</v>
      </c>
      <c r="J16655" s="1" t="str">
        <f>"29/29"</f>
        <v>29/29</v>
      </c>
      <c r="K16655" s="1" t="str">
        <f t="shared" si="823"/>
        <v>2026-07-29 13:18:03</v>
      </c>
      <c r="L16655" s="1" t="str">
        <f>"2019-10-31 09:33:04"</f>
        <v>2019-10-31 09:33:04</v>
      </c>
      <c r="M16655" s="1" t="s">
        <v>45</v>
      </c>
      <c r="N16655" s="1" t="s">
        <v>38</v>
      </c>
      <c r="O16655" s="1" t="s">
        <v>46</v>
      </c>
    </row>
    <row r="16656" spans="2:15" x14ac:dyDescent="0.3">
      <c r="B16656" s="1" t="s">
        <v>19</v>
      </c>
      <c r="C16656" s="1" t="str">
        <f>"3차"</f>
        <v>3차</v>
      </c>
      <c r="D16656" s="1" t="str">
        <f>"0228P09439"</f>
        <v>0228P09439</v>
      </c>
      <c r="E16656" s="1" t="s">
        <v>10</v>
      </c>
      <c r="F16656" s="1" t="str">
        <f>"10.107.123.147"</f>
        <v>10.107.123.147</v>
      </c>
      <c r="G16656" s="1" t="str">
        <f>"0228P094"</f>
        <v>0228P094</v>
      </c>
      <c r="H16656" s="1" t="str">
        <f>"성가지 51"</f>
        <v>성가지 51</v>
      </c>
      <c r="I16656" s="1" t="s">
        <v>8</v>
      </c>
      <c r="J16656" s="1" t="str">
        <f>"36/36"</f>
        <v>36/36</v>
      </c>
      <c r="K16656" s="1" t="str">
        <f t="shared" si="823"/>
        <v>2026-07-29 13:18:03</v>
      </c>
      <c r="L16656" s="1" t="str">
        <f>"2018-04-17 18:24:16"</f>
        <v>2018-04-17 18:24:16</v>
      </c>
      <c r="M16656" s="1" t="s">
        <v>45</v>
      </c>
      <c r="N16656" s="1" t="s">
        <v>38</v>
      </c>
      <c r="O16656" s="1" t="s">
        <v>46</v>
      </c>
    </row>
    <row r="16657" spans="2:15" x14ac:dyDescent="0.3">
      <c r="B16657" s="1" t="s">
        <v>19</v>
      </c>
      <c r="C16657" s="1" t="str">
        <f>"3차"</f>
        <v>3차</v>
      </c>
      <c r="D16657" s="1" t="str">
        <f>"0228P14239"</f>
        <v>0228P14239</v>
      </c>
      <c r="E16657" s="1" t="s">
        <v>10</v>
      </c>
      <c r="F16657" s="1" t="str">
        <f>"10.11.140.66"</f>
        <v>10.11.140.66</v>
      </c>
      <c r="G16657" s="1" t="str">
        <f>"0228P142"</f>
        <v>0228P142</v>
      </c>
      <c r="H16657" s="1" t="str">
        <f>"성가지 24L7"</f>
        <v>성가지 24L7</v>
      </c>
      <c r="I16657" s="1" t="s">
        <v>8</v>
      </c>
      <c r="J16657" s="1" t="str">
        <f>"41/41"</f>
        <v>41/41</v>
      </c>
      <c r="K16657" s="1" t="str">
        <f t="shared" si="823"/>
        <v>2026-07-29 13:18:03</v>
      </c>
      <c r="L16657" s="1" t="str">
        <f>"2018-04-25 10:38:11"</f>
        <v>2018-04-25 10:38:11</v>
      </c>
      <c r="M16657" s="1" t="s">
        <v>2</v>
      </c>
      <c r="N16657" s="1" t="s">
        <v>38</v>
      </c>
      <c r="O16657" s="1" t="s">
        <v>46</v>
      </c>
    </row>
    <row r="16658" spans="2:15" x14ac:dyDescent="0.3">
      <c r="B16658" s="1" t="s">
        <v>19</v>
      </c>
      <c r="C16658" s="1" t="str">
        <f>"3차"</f>
        <v>3차</v>
      </c>
      <c r="D16658" s="1" t="str">
        <f>"0228P18139"</f>
        <v>0228P18139</v>
      </c>
      <c r="E16658" s="1" t="s">
        <v>10</v>
      </c>
      <c r="F16658" s="1" t="str">
        <f>"10.107.123.148"</f>
        <v>10.107.123.148</v>
      </c>
      <c r="G16658" s="1" t="str">
        <f>"0228P181"</f>
        <v>0228P181</v>
      </c>
      <c r="H16658" s="1" t="str">
        <f>"성가지 53"</f>
        <v>성가지 53</v>
      </c>
      <c r="I16658" s="1" t="s">
        <v>8</v>
      </c>
      <c r="J16658" s="1" t="str">
        <f>"31/31"</f>
        <v>31/31</v>
      </c>
      <c r="K16658" s="1" t="str">
        <f t="shared" si="823"/>
        <v>2026-07-29 13:18:03</v>
      </c>
      <c r="L16658" s="1" t="str">
        <f>"2018-03-23 14:05:41"</f>
        <v>2018-03-23 14:05:41</v>
      </c>
      <c r="M16658" s="1" t="s">
        <v>45</v>
      </c>
      <c r="N16658" s="1" t="s">
        <v>38</v>
      </c>
      <c r="O16658" s="1" t="s">
        <v>46</v>
      </c>
    </row>
    <row r="16659" spans="2:15" x14ac:dyDescent="0.3">
      <c r="B16659" s="1" t="s">
        <v>19</v>
      </c>
      <c r="C16659" s="1" t="str">
        <f>"4차"</f>
        <v>4차</v>
      </c>
      <c r="D16659" s="1" t="str">
        <f>"0228P24244"</f>
        <v>0228P24244</v>
      </c>
      <c r="E16659" s="1" t="s">
        <v>10</v>
      </c>
      <c r="F16659" s="1" t="str">
        <f>"10.107.118.11"</f>
        <v>10.107.118.11</v>
      </c>
      <c r="G16659" s="1" t="str">
        <f>"0228P242"</f>
        <v>0228P242</v>
      </c>
      <c r="H16659" s="1" t="str">
        <f>"성가지 24L9"</f>
        <v>성가지 24L9</v>
      </c>
      <c r="I16659" s="1" t="s">
        <v>8</v>
      </c>
      <c r="J16659" s="1" t="str">
        <f>"30/30"</f>
        <v>30/30</v>
      </c>
      <c r="K16659" s="1" t="str">
        <f t="shared" si="823"/>
        <v>2026-07-29 13:18:03</v>
      </c>
      <c r="L16659" s="1" t="str">
        <f>"2019-11-01 15:59:13"</f>
        <v>2019-11-01 15:59:13</v>
      </c>
      <c r="M16659" s="1" t="s">
        <v>45</v>
      </c>
      <c r="N16659" s="1" t="s">
        <v>38</v>
      </c>
      <c r="O16659" s="1" t="s">
        <v>46</v>
      </c>
    </row>
    <row r="16660" spans="2:15" x14ac:dyDescent="0.3">
      <c r="B16660" s="1" t="s">
        <v>19</v>
      </c>
      <c r="C16660" s="1" t="str">
        <f>"3차"</f>
        <v>3차</v>
      </c>
      <c r="D16660" s="1" t="str">
        <f>"0228P27139"</f>
        <v>0228P27139</v>
      </c>
      <c r="E16660" s="1" t="s">
        <v>10</v>
      </c>
      <c r="F16660" s="1" t="str">
        <f>"10.107.123.149"</f>
        <v>10.107.123.149</v>
      </c>
      <c r="G16660" s="1" t="str">
        <f>"0228P271"</f>
        <v>0228P271</v>
      </c>
      <c r="H16660" s="1" t="str">
        <f>"성가지 54"</f>
        <v>성가지 54</v>
      </c>
      <c r="I16660" s="1" t="s">
        <v>8</v>
      </c>
      <c r="J16660" s="1" t="str">
        <f>"37/37"</f>
        <v>37/37</v>
      </c>
      <c r="K16660" s="1" t="str">
        <f t="shared" si="823"/>
        <v>2026-07-29 13:18:03</v>
      </c>
      <c r="L16660" s="1" t="str">
        <f>"2018-03-23 14:05:56"</f>
        <v>2018-03-23 14:05:56</v>
      </c>
      <c r="M16660" s="1" t="s">
        <v>45</v>
      </c>
      <c r="N16660" s="1" t="s">
        <v>38</v>
      </c>
      <c r="O16660" s="1" t="s">
        <v>46</v>
      </c>
    </row>
    <row r="16661" spans="2:15" x14ac:dyDescent="0.3">
      <c r="B16661" s="1" t="s">
        <v>19</v>
      </c>
      <c r="C16661" s="1" t="str">
        <f>"4차"</f>
        <v>4차</v>
      </c>
      <c r="D16661" s="1" t="str">
        <f>"0228P33444"</f>
        <v>0228P33444</v>
      </c>
      <c r="E16661" s="1" t="s">
        <v>10</v>
      </c>
      <c r="F16661" s="1" t="str">
        <f>"10.107.118.12"</f>
        <v>10.107.118.12</v>
      </c>
      <c r="G16661" s="1" t="str">
        <f>"0228P334"</f>
        <v>0228P334</v>
      </c>
      <c r="H16661" s="1" t="str">
        <f>"성가지 26L7"</f>
        <v>성가지 26L7</v>
      </c>
      <c r="I16661" s="1" t="s">
        <v>8</v>
      </c>
      <c r="J16661" s="1" t="str">
        <f>"7/10"</f>
        <v>7/10</v>
      </c>
      <c r="K16661" s="1" t="str">
        <f t="shared" ref="K16661:K16668" si="824">"2026-07-29 13:18:00"</f>
        <v>2026-07-29 13:18:00</v>
      </c>
      <c r="L16661" s="1" t="str">
        <f>"2019-11-01 16:13:05"</f>
        <v>2019-11-01 16:13:05</v>
      </c>
      <c r="M16661" s="1" t="s">
        <v>45</v>
      </c>
      <c r="N16661" s="1" t="s">
        <v>38</v>
      </c>
      <c r="O16661" s="1" t="s">
        <v>46</v>
      </c>
    </row>
    <row r="16662" spans="2:15" x14ac:dyDescent="0.3">
      <c r="B16662" s="1" t="s">
        <v>19</v>
      </c>
      <c r="C16662" s="1" t="str">
        <f t="shared" ref="C16662:C16671" si="825">"3차"</f>
        <v>3차</v>
      </c>
      <c r="D16662" s="1" t="str">
        <f>"0228P38139"</f>
        <v>0228P38139</v>
      </c>
      <c r="E16662" s="1" t="s">
        <v>10</v>
      </c>
      <c r="F16662" s="1" t="str">
        <f>"10.107.119.23"</f>
        <v>10.107.119.23</v>
      </c>
      <c r="G16662" s="1" t="str">
        <f>"0228P381"</f>
        <v>0228P381</v>
      </c>
      <c r="H16662" s="1" t="str">
        <f>"성가지 42R9"</f>
        <v>성가지 42R9</v>
      </c>
      <c r="I16662" s="1" t="s">
        <v>8</v>
      </c>
      <c r="J16662" s="1" t="str">
        <f>"5/5"</f>
        <v>5/5</v>
      </c>
      <c r="K16662" s="1" t="str">
        <f t="shared" si="824"/>
        <v>2026-07-29 13:18:00</v>
      </c>
      <c r="L16662" s="1" t="str">
        <f>"2018-04-04 15:46:00"</f>
        <v>2018-04-04 15:46:00</v>
      </c>
      <c r="M16662" s="1" t="s">
        <v>45</v>
      </c>
      <c r="N16662" s="1" t="s">
        <v>38</v>
      </c>
      <c r="O16662" s="1" t="s">
        <v>46</v>
      </c>
    </row>
    <row r="16663" spans="2:15" x14ac:dyDescent="0.3">
      <c r="B16663" s="1" t="s">
        <v>19</v>
      </c>
      <c r="C16663" s="1" t="str">
        <f t="shared" si="825"/>
        <v>3차</v>
      </c>
      <c r="D16663" s="1" t="str">
        <f>"0228P45230"</f>
        <v>0228P45230</v>
      </c>
      <c r="E16663" s="1" t="s">
        <v>14</v>
      </c>
      <c r="F16663" s="1" t="str">
        <f>"10.107.119.4"</f>
        <v>10.107.119.4</v>
      </c>
      <c r="G16663" s="1" t="str">
        <f>"0228P452"</f>
        <v>0228P452</v>
      </c>
      <c r="H16663" s="1" t="str">
        <f>"율곡지 19"</f>
        <v>율곡지 19</v>
      </c>
      <c r="I16663" s="1" t="s">
        <v>8</v>
      </c>
      <c r="J16663" s="1" t="str">
        <f>"0/0"</f>
        <v>0/0</v>
      </c>
      <c r="K16663" s="1" t="str">
        <f t="shared" si="824"/>
        <v>2026-07-29 13:18:00</v>
      </c>
      <c r="L16663" s="1" t="str">
        <f>"2018-06-22 11:37:54"</f>
        <v>2018-06-22 11:37:54</v>
      </c>
      <c r="M16663" s="1" t="s">
        <v>45</v>
      </c>
      <c r="N16663" s="1" t="s">
        <v>38</v>
      </c>
      <c r="O16663" s="1" t="s">
        <v>44</v>
      </c>
    </row>
    <row r="16664" spans="2:15" x14ac:dyDescent="0.3">
      <c r="B16664" s="1" t="s">
        <v>19</v>
      </c>
      <c r="C16664" s="1" t="str">
        <f t="shared" si="825"/>
        <v>3차</v>
      </c>
      <c r="D16664" s="1" t="str">
        <f>"0228P45439"</f>
        <v>0228P45439</v>
      </c>
      <c r="E16664" s="1" t="s">
        <v>10</v>
      </c>
      <c r="F16664" s="1" t="str">
        <f>"10.107.119.25"</f>
        <v>10.107.119.25</v>
      </c>
      <c r="G16664" s="1" t="str">
        <f>"0228P454"</f>
        <v>0228P454</v>
      </c>
      <c r="H16664" s="1" t="str">
        <f>"성가지 42R4"</f>
        <v>성가지 42R4</v>
      </c>
      <c r="I16664" s="1" t="s">
        <v>8</v>
      </c>
      <c r="J16664" s="1" t="str">
        <f>"8/8"</f>
        <v>8/8</v>
      </c>
      <c r="K16664" s="1" t="str">
        <f t="shared" si="824"/>
        <v>2026-07-29 13:18:00</v>
      </c>
      <c r="L16664" s="1" t="str">
        <f>"2018-04-17 18:20:43"</f>
        <v>2018-04-17 18:20:43</v>
      </c>
      <c r="M16664" s="1" t="s">
        <v>45</v>
      </c>
      <c r="N16664" s="1" t="s">
        <v>38</v>
      </c>
      <c r="O16664" s="1" t="s">
        <v>46</v>
      </c>
    </row>
    <row r="16665" spans="2:15" x14ac:dyDescent="0.3">
      <c r="B16665" s="1" t="s">
        <v>19</v>
      </c>
      <c r="C16665" s="1" t="str">
        <f t="shared" si="825"/>
        <v>3차</v>
      </c>
      <c r="D16665" s="1" t="str">
        <f>"0228P46139"</f>
        <v>0228P46139</v>
      </c>
      <c r="E16665" s="1" t="s">
        <v>10</v>
      </c>
      <c r="F16665" s="1" t="str">
        <f>"10.107.119.6"</f>
        <v>10.107.119.6</v>
      </c>
      <c r="G16665" s="1" t="str">
        <f>"0228P461"</f>
        <v>0228P461</v>
      </c>
      <c r="H16665" s="1" t="str">
        <f>"율곡지 20"</f>
        <v>율곡지 20</v>
      </c>
      <c r="I16665" s="1" t="s">
        <v>8</v>
      </c>
      <c r="J16665" s="1" t="str">
        <f>"6/6"</f>
        <v>6/6</v>
      </c>
      <c r="K16665" s="1" t="str">
        <f t="shared" si="824"/>
        <v>2026-07-29 13:18:00</v>
      </c>
      <c r="L16665" s="1" t="str">
        <f>"2018-04-17 18:15:59"</f>
        <v>2018-04-17 18:15:59</v>
      </c>
      <c r="M16665" s="1" t="s">
        <v>45</v>
      </c>
      <c r="N16665" s="1" t="s">
        <v>38</v>
      </c>
      <c r="O16665" s="1" t="s">
        <v>46</v>
      </c>
    </row>
    <row r="16666" spans="2:15" x14ac:dyDescent="0.3">
      <c r="B16666" s="1" t="s">
        <v>19</v>
      </c>
      <c r="C16666" s="1" t="str">
        <f t="shared" si="825"/>
        <v>3차</v>
      </c>
      <c r="D16666" s="1" t="str">
        <f>"0228P46230"</f>
        <v>0228P46230</v>
      </c>
      <c r="E16666" s="1" t="s">
        <v>10</v>
      </c>
      <c r="F16666" s="1" t="str">
        <f>"10.107.119.7"</f>
        <v>10.107.119.7</v>
      </c>
      <c r="G16666" s="1" t="str">
        <f>"0228P462"</f>
        <v>0228P462</v>
      </c>
      <c r="H16666" s="1" t="str">
        <f>"율곡지 20R1"</f>
        <v>율곡지 20R1</v>
      </c>
      <c r="I16666" s="1" t="s">
        <v>8</v>
      </c>
      <c r="J16666" s="1" t="str">
        <f>"23/25"</f>
        <v>23/25</v>
      </c>
      <c r="K16666" s="1" t="str">
        <f t="shared" si="824"/>
        <v>2026-07-29 13:18:00</v>
      </c>
      <c r="L16666" s="1" t="str">
        <f>"2018-03-23 14:06:41"</f>
        <v>2018-03-23 14:06:41</v>
      </c>
      <c r="M16666" s="1" t="s">
        <v>45</v>
      </c>
      <c r="N16666" s="1" t="s">
        <v>38</v>
      </c>
      <c r="O16666" s="1" t="s">
        <v>46</v>
      </c>
    </row>
    <row r="16667" spans="2:15" x14ac:dyDescent="0.3">
      <c r="B16667" s="1" t="s">
        <v>19</v>
      </c>
      <c r="C16667" s="1" t="str">
        <f t="shared" si="825"/>
        <v>3차</v>
      </c>
      <c r="D16667" s="1" t="str">
        <f>"0228P46339"</f>
        <v>0228P46339</v>
      </c>
      <c r="E16667" s="1" t="s">
        <v>10</v>
      </c>
      <c r="F16667" s="1" t="str">
        <f>"10.107.119.26"</f>
        <v>10.107.119.26</v>
      </c>
      <c r="G16667" s="1" t="str">
        <f>"0228P463"</f>
        <v>0228P463</v>
      </c>
      <c r="H16667" s="1" t="str">
        <f>"성가지 42R6"</f>
        <v>성가지 42R6</v>
      </c>
      <c r="I16667" s="1" t="s">
        <v>8</v>
      </c>
      <c r="J16667" s="1" t="str">
        <f>"43/43"</f>
        <v>43/43</v>
      </c>
      <c r="K16667" s="1" t="str">
        <f t="shared" si="824"/>
        <v>2026-07-29 13:18:00</v>
      </c>
      <c r="L16667" s="1" t="str">
        <f>"2018-03-27 14:43:34"</f>
        <v>2018-03-27 14:43:34</v>
      </c>
      <c r="M16667" s="1" t="s">
        <v>45</v>
      </c>
      <c r="N16667" s="1" t="s">
        <v>38</v>
      </c>
      <c r="O16667" s="1" t="s">
        <v>46</v>
      </c>
    </row>
    <row r="16668" spans="2:15" x14ac:dyDescent="0.3">
      <c r="B16668" s="1" t="s">
        <v>19</v>
      </c>
      <c r="C16668" s="1" t="str">
        <f t="shared" si="825"/>
        <v>3차</v>
      </c>
      <c r="D16668" s="1" t="str">
        <f>"0228P47139"</f>
        <v>0228P47139</v>
      </c>
      <c r="E16668" s="1" t="s">
        <v>10</v>
      </c>
      <c r="F16668" s="1" t="str">
        <f>"10.107.119.9"</f>
        <v>10.107.119.9</v>
      </c>
      <c r="G16668" s="1" t="str">
        <f>"0228P471"</f>
        <v>0228P471</v>
      </c>
      <c r="H16668" s="1" t="str">
        <f>"율곡지 21"</f>
        <v>율곡지 21</v>
      </c>
      <c r="I16668" s="1" t="s">
        <v>8</v>
      </c>
      <c r="J16668" s="1" t="str">
        <f>"66/66"</f>
        <v>66/66</v>
      </c>
      <c r="K16668" s="1" t="str">
        <f t="shared" si="824"/>
        <v>2026-07-29 13:18:00</v>
      </c>
      <c r="L16668" s="1" t="str">
        <f>"2018-03-23 14:27:41"</f>
        <v>2018-03-23 14:27:41</v>
      </c>
      <c r="M16668" s="1" t="s">
        <v>45</v>
      </c>
      <c r="N16668" s="1" t="s">
        <v>38</v>
      </c>
      <c r="O16668" s="1" t="s">
        <v>46</v>
      </c>
    </row>
    <row r="16669" spans="2:15" x14ac:dyDescent="0.3">
      <c r="B16669" s="1" t="s">
        <v>19</v>
      </c>
      <c r="C16669" s="1" t="str">
        <f t="shared" si="825"/>
        <v>3차</v>
      </c>
      <c r="D16669" s="1" t="str">
        <f>"0228P52130"</f>
        <v>0228P52130</v>
      </c>
      <c r="E16669" s="1" t="s">
        <v>10</v>
      </c>
      <c r="F16669" s="1" t="str">
        <f>"10.107.119.10"</f>
        <v>10.107.119.10</v>
      </c>
      <c r="G16669" s="1" t="str">
        <f>"0228P521"</f>
        <v>0228P521</v>
      </c>
      <c r="H16669" s="1" t="str">
        <f>"성가지 39R1"</f>
        <v>성가지 39R1</v>
      </c>
      <c r="I16669" s="1" t="s">
        <v>8</v>
      </c>
      <c r="J16669" s="1" t="str">
        <f>"21/21"</f>
        <v>21/21</v>
      </c>
      <c r="K16669" s="1" t="str">
        <f>"2026-07-29 13:18:03"</f>
        <v>2026-07-29 13:18:03</v>
      </c>
      <c r="L16669" s="1" t="str">
        <f>"2018-03-23 14:03:38"</f>
        <v>2018-03-23 14:03:38</v>
      </c>
      <c r="M16669" s="1" t="s">
        <v>45</v>
      </c>
      <c r="N16669" s="1" t="s">
        <v>38</v>
      </c>
      <c r="O16669" s="1" t="s">
        <v>46</v>
      </c>
    </row>
    <row r="16670" spans="2:15" x14ac:dyDescent="0.3">
      <c r="B16670" s="1" t="s">
        <v>19</v>
      </c>
      <c r="C16670" s="1" t="str">
        <f t="shared" si="825"/>
        <v>3차</v>
      </c>
      <c r="D16670" s="1" t="str">
        <f>"0228P53139"</f>
        <v>0228P53139</v>
      </c>
      <c r="E16670" s="1" t="s">
        <v>10</v>
      </c>
      <c r="F16670" s="1" t="str">
        <f>"10.107.119.11"</f>
        <v>10.107.119.11</v>
      </c>
      <c r="G16670" s="1" t="str">
        <f>"0228P531"</f>
        <v>0228P531</v>
      </c>
      <c r="H16670" s="1" t="str">
        <f>"율곡지 18L3"</f>
        <v>율곡지 18L3</v>
      </c>
      <c r="I16670" s="1" t="s">
        <v>8</v>
      </c>
      <c r="J16670" s="1" t="str">
        <f>"11/11"</f>
        <v>11/11</v>
      </c>
      <c r="K16670" s="1" t="str">
        <f>"2026-07-29 13:18:00"</f>
        <v>2026-07-29 13:18:00</v>
      </c>
      <c r="L16670" s="1" t="str">
        <f>"2018-04-04 15:36:28"</f>
        <v>2018-04-04 15:36:28</v>
      </c>
      <c r="M16670" s="1" t="s">
        <v>45</v>
      </c>
      <c r="N16670" s="1" t="s">
        <v>38</v>
      </c>
      <c r="O16670" s="1" t="s">
        <v>46</v>
      </c>
    </row>
    <row r="16671" spans="2:15" x14ac:dyDescent="0.3">
      <c r="B16671" s="1" t="s">
        <v>19</v>
      </c>
      <c r="C16671" s="1" t="str">
        <f t="shared" si="825"/>
        <v>3차</v>
      </c>
      <c r="D16671" s="1" t="str">
        <f>"0228P53239"</f>
        <v>0228P53239</v>
      </c>
      <c r="E16671" s="1" t="s">
        <v>10</v>
      </c>
      <c r="F16671" s="1" t="str">
        <f>"10.107.119.12"</f>
        <v>10.107.119.12</v>
      </c>
      <c r="G16671" s="1" t="str">
        <f>"0228P532"</f>
        <v>0228P532</v>
      </c>
      <c r="H16671" s="1" t="str">
        <f>"율곡지 18L4"</f>
        <v>율곡지 18L4</v>
      </c>
      <c r="I16671" s="1" t="s">
        <v>8</v>
      </c>
      <c r="J16671" s="1" t="str">
        <f>"57/59"</f>
        <v>57/59</v>
      </c>
      <c r="K16671" s="1" t="str">
        <f>"2026-07-29 13:18:00"</f>
        <v>2026-07-29 13:18:00</v>
      </c>
      <c r="L16671" s="1" t="str">
        <f>"2018-03-23 14:07:08"</f>
        <v>2018-03-23 14:07:08</v>
      </c>
      <c r="M16671" s="1" t="s">
        <v>45</v>
      </c>
      <c r="N16671" s="1" t="s">
        <v>38</v>
      </c>
      <c r="O16671" s="1" t="s">
        <v>46</v>
      </c>
    </row>
    <row r="16672" spans="2:15" x14ac:dyDescent="0.3">
      <c r="B16672" s="1" t="s">
        <v>19</v>
      </c>
      <c r="C16672" s="1" t="str">
        <f>"4차"</f>
        <v>4차</v>
      </c>
      <c r="D16672" s="1" t="str">
        <f>"0228P53539"</f>
        <v>0228P53539</v>
      </c>
      <c r="E16672" s="1" t="s">
        <v>10</v>
      </c>
      <c r="F16672" s="1" t="str">
        <f>"10.107.119.13"</f>
        <v>10.107.119.13</v>
      </c>
      <c r="G16672" s="1" t="str">
        <f>"0228P535"</f>
        <v>0228P535</v>
      </c>
      <c r="H16672" s="1" t="str">
        <f>"율곡지 18L2"</f>
        <v>율곡지 18L2</v>
      </c>
      <c r="I16672" s="1" t="s">
        <v>8</v>
      </c>
      <c r="J16672" s="1" t="str">
        <f>"11/20"</f>
        <v>11/20</v>
      </c>
      <c r="K16672" s="1" t="str">
        <f>"2026-07-29 13:18:01"</f>
        <v>2026-07-29 13:18:01</v>
      </c>
      <c r="L16672" s="1" t="str">
        <f>"2023-10-19 14:33:47"</f>
        <v>2023-10-19 14:33:47</v>
      </c>
      <c r="M16672" s="1" t="s">
        <v>45</v>
      </c>
      <c r="N16672" s="1" t="s">
        <v>38</v>
      </c>
      <c r="O16672" s="1" t="s">
        <v>46</v>
      </c>
    </row>
    <row r="16673" spans="2:15" x14ac:dyDescent="0.3">
      <c r="B16673" s="1" t="s">
        <v>19</v>
      </c>
      <c r="C16673" s="1" t="str">
        <f>"3차"</f>
        <v>3차</v>
      </c>
      <c r="D16673" s="1" t="str">
        <f>"0228P55331"</f>
        <v>0228P55331</v>
      </c>
      <c r="E16673" s="1" t="s">
        <v>10</v>
      </c>
      <c r="F16673" s="1" t="str">
        <f>"10.107.119.5"</f>
        <v>10.107.119.5</v>
      </c>
      <c r="G16673" s="1" t="str">
        <f>"0228P553"</f>
        <v>0228P553</v>
      </c>
      <c r="H16673" s="1" t="str">
        <f>"율곡지 19R1"</f>
        <v>율곡지 19R1</v>
      </c>
      <c r="I16673" s="1" t="s">
        <v>8</v>
      </c>
      <c r="J16673" s="1" t="str">
        <f>"88/95"</f>
        <v>88/95</v>
      </c>
      <c r="K16673" s="1" t="str">
        <f>"2026-07-29 13:18:02"</f>
        <v>2026-07-29 13:18:02</v>
      </c>
      <c r="L16673" s="1" t="str">
        <f>"2018-05-31 12:21:48"</f>
        <v>2018-05-31 12:21:48</v>
      </c>
      <c r="M16673" s="1" t="s">
        <v>45</v>
      </c>
      <c r="N16673" s="1" t="s">
        <v>38</v>
      </c>
      <c r="O16673" s="1" t="s">
        <v>46</v>
      </c>
    </row>
    <row r="16674" spans="2:15" x14ac:dyDescent="0.3">
      <c r="B16674" s="1" t="s">
        <v>19</v>
      </c>
      <c r="C16674" s="1" t="str">
        <f>"3차"</f>
        <v>3차</v>
      </c>
      <c r="D16674" s="1" t="str">
        <f>"0228P57131"</f>
        <v>0228P57131</v>
      </c>
      <c r="E16674" s="1" t="s">
        <v>10</v>
      </c>
      <c r="F16674" s="1" t="str">
        <f>"10.107.119.8"</f>
        <v>10.107.119.8</v>
      </c>
      <c r="G16674" s="1" t="str">
        <f>"0228P571"</f>
        <v>0228P571</v>
      </c>
      <c r="H16674" s="1" t="str">
        <f>"율곡지 20R2"</f>
        <v>율곡지 20R2</v>
      </c>
      <c r="I16674" s="1" t="s">
        <v>8</v>
      </c>
      <c r="J16674" s="1" t="str">
        <f>"63/68"</f>
        <v>63/68</v>
      </c>
      <c r="K16674" s="1" t="str">
        <f>"2026-07-29 13:18:02"</f>
        <v>2026-07-29 13:18:02</v>
      </c>
      <c r="L16674" s="1" t="str">
        <f>"2018-03-23 14:15:56"</f>
        <v>2018-03-23 14:15:56</v>
      </c>
      <c r="M16674" s="1" t="s">
        <v>45</v>
      </c>
      <c r="N16674" s="1" t="s">
        <v>38</v>
      </c>
      <c r="O16674" s="1" t="s">
        <v>46</v>
      </c>
    </row>
    <row r="16675" spans="2:15" x14ac:dyDescent="0.3">
      <c r="B16675" s="1" t="s">
        <v>19</v>
      </c>
      <c r="C16675" s="1" t="str">
        <f>"4차"</f>
        <v>4차</v>
      </c>
      <c r="D16675" s="1" t="str">
        <f>"0228P58344"</f>
        <v>0228P58344</v>
      </c>
      <c r="E16675" s="1" t="s">
        <v>10</v>
      </c>
      <c r="F16675" s="1" t="str">
        <f>"10.107.12.89"</f>
        <v>10.107.12.89</v>
      </c>
      <c r="G16675" s="1" t="str">
        <f>"0228P583"</f>
        <v>0228P583</v>
      </c>
      <c r="H16675" s="1" t="str">
        <f>"율곡지 12R2L7"</f>
        <v>율곡지 12R2L7</v>
      </c>
      <c r="I16675" s="1" t="s">
        <v>8</v>
      </c>
      <c r="J16675" s="1" t="str">
        <f>"11/11"</f>
        <v>11/11</v>
      </c>
      <c r="K16675" s="1" t="str">
        <f>"2026-07-29 13:18:02"</f>
        <v>2026-07-29 13:18:02</v>
      </c>
      <c r="L16675" s="1" t="str">
        <f>"2020-01-21 09:09:51"</f>
        <v>2020-01-21 09:09:51</v>
      </c>
      <c r="M16675" s="1" t="s">
        <v>45</v>
      </c>
      <c r="N16675" s="1" t="s">
        <v>38</v>
      </c>
      <c r="O16675" s="1" t="s">
        <v>46</v>
      </c>
    </row>
    <row r="16676" spans="2:15" x14ac:dyDescent="0.3">
      <c r="B16676" s="1" t="s">
        <v>19</v>
      </c>
      <c r="C16676" s="1" t="str">
        <f>"3차"</f>
        <v>3차</v>
      </c>
      <c r="D16676" s="1" t="str">
        <f>"0228P62131"</f>
        <v>0228P62131</v>
      </c>
      <c r="E16676" s="1" t="s">
        <v>10</v>
      </c>
      <c r="F16676" s="1" t="str">
        <f>"10.12.138.8"</f>
        <v>10.12.138.8</v>
      </c>
      <c r="G16676" s="1" t="str">
        <f>"0228P621"</f>
        <v>0228P621</v>
      </c>
      <c r="H16676" s="1" t="str">
        <f>"성가지 39R2"</f>
        <v>성가지 39R2</v>
      </c>
      <c r="I16676" s="1" t="s">
        <v>8</v>
      </c>
      <c r="J16676" s="1" t="str">
        <f>"8/8"</f>
        <v>8/8</v>
      </c>
      <c r="K16676" s="1" t="str">
        <f>"2026-07-29 13:18:03"</f>
        <v>2026-07-29 13:18:03</v>
      </c>
      <c r="L16676" s="1" t="str">
        <f>"2018-03-23 15:19:59"</f>
        <v>2018-03-23 15:19:59</v>
      </c>
      <c r="M16676" s="1" t="s">
        <v>0</v>
      </c>
      <c r="N16676" s="1" t="s">
        <v>38</v>
      </c>
      <c r="O16676" s="1" t="s">
        <v>46</v>
      </c>
    </row>
    <row r="16677" spans="2:15" x14ac:dyDescent="0.3">
      <c r="B16677" s="1" t="s">
        <v>19</v>
      </c>
      <c r="C16677" s="1" t="str">
        <f>"4차"</f>
        <v>4차</v>
      </c>
      <c r="D16677" s="1" t="str">
        <f>"0228P66231"</f>
        <v>0228P66231</v>
      </c>
      <c r="E16677" s="1" t="s">
        <v>10</v>
      </c>
      <c r="F16677" s="1" t="str">
        <f>"10.107.119.17"</f>
        <v>10.107.119.17</v>
      </c>
      <c r="G16677" s="1" t="str">
        <f>"0228P662"</f>
        <v>0228P662</v>
      </c>
      <c r="H16677" s="1" t="str">
        <f>"율곡지 13B2"</f>
        <v>율곡지 13B2</v>
      </c>
      <c r="I16677" s="1" t="s">
        <v>8</v>
      </c>
      <c r="J16677" s="1" t="str">
        <f>"77/116"</f>
        <v>77/116</v>
      </c>
      <c r="K16677" s="1" t="str">
        <f>"2026-07-29 13:18:02"</f>
        <v>2026-07-29 13:18:02</v>
      </c>
      <c r="L16677" s="1" t="str">
        <f>"2018-04-17 18:19:40"</f>
        <v>2018-04-17 18:19:40</v>
      </c>
      <c r="M16677" s="1" t="s">
        <v>45</v>
      </c>
      <c r="N16677" s="1" t="s">
        <v>38</v>
      </c>
      <c r="O16677" s="1" t="s">
        <v>46</v>
      </c>
    </row>
    <row r="16678" spans="2:15" x14ac:dyDescent="0.3">
      <c r="B16678" s="1" t="s">
        <v>19</v>
      </c>
      <c r="C16678" s="1" t="str">
        <f>"1차"</f>
        <v>1차</v>
      </c>
      <c r="D16678" s="1" t="str">
        <f>"0228P72101"</f>
        <v>0228P72101</v>
      </c>
      <c r="E16678" s="1" t="s">
        <v>10</v>
      </c>
      <c r="F16678" s="1" t="str">
        <f>"10.107.119.15"</f>
        <v>10.107.119.15</v>
      </c>
      <c r="G16678" s="1" t="str">
        <f>"0228P721"</f>
        <v>0228P721</v>
      </c>
      <c r="H16678" s="1" t="str">
        <f>"율곡지 13L5"</f>
        <v>율곡지 13L5</v>
      </c>
      <c r="I16678" s="1" t="s">
        <v>8</v>
      </c>
      <c r="J16678" s="1" t="str">
        <f>"43/43"</f>
        <v>43/43</v>
      </c>
      <c r="K16678" s="1" t="str">
        <f>"2026-07-29 13:18:01"</f>
        <v>2026-07-29 13:18:01</v>
      </c>
      <c r="L16678" s="1" t="str">
        <f>"2014-12-12 09:58:00"</f>
        <v>2014-12-12 09:58:00</v>
      </c>
      <c r="M16678" s="1" t="s">
        <v>45</v>
      </c>
      <c r="N16678" s="1" t="s">
        <v>38</v>
      </c>
      <c r="O16678" s="1" t="s">
        <v>46</v>
      </c>
    </row>
    <row r="16679" spans="2:15" x14ac:dyDescent="0.3">
      <c r="B16679" s="1" t="s">
        <v>19</v>
      </c>
      <c r="C16679" s="1" t="str">
        <f>"1차"</f>
        <v>1차</v>
      </c>
      <c r="D16679" s="1" t="str">
        <f>"0228P73100"</f>
        <v>0228P73100</v>
      </c>
      <c r="E16679" s="1" t="s">
        <v>10</v>
      </c>
      <c r="F16679" s="1" t="str">
        <f>"10.107.119.14"</f>
        <v>10.107.119.14</v>
      </c>
      <c r="G16679" s="1" t="str">
        <f>"0228P731"</f>
        <v>0228P731</v>
      </c>
      <c r="H16679" s="1" t="str">
        <f>"율곡지 13L3"</f>
        <v>율곡지 13L3</v>
      </c>
      <c r="I16679" s="1" t="s">
        <v>8</v>
      </c>
      <c r="J16679" s="1" t="str">
        <f>"24/24"</f>
        <v>24/24</v>
      </c>
      <c r="K16679" s="1" t="str">
        <f>"2026-07-29 13:18:01"</f>
        <v>2026-07-29 13:18:01</v>
      </c>
      <c r="L16679" s="1" t="str">
        <f>"2014-12-11 16:58:22"</f>
        <v>2014-12-11 16:58:22</v>
      </c>
      <c r="M16679" s="1" t="s">
        <v>45</v>
      </c>
      <c r="N16679" s="1" t="s">
        <v>38</v>
      </c>
      <c r="O16679" s="1" t="s">
        <v>46</v>
      </c>
    </row>
    <row r="16680" spans="2:15" x14ac:dyDescent="0.3">
      <c r="B16680" s="1" t="s">
        <v>19</v>
      </c>
      <c r="C16680" s="1" t="str">
        <f>"4차"</f>
        <v>4차</v>
      </c>
      <c r="D16680" s="1" t="str">
        <f>"0228P74144"</f>
        <v>0228P74144</v>
      </c>
      <c r="E16680" s="1" t="s">
        <v>10</v>
      </c>
      <c r="F16680" s="1" t="str">
        <f>"10.12.129.207"</f>
        <v>10.12.129.207</v>
      </c>
      <c r="G16680" s="1" t="str">
        <f>"0228P741"</f>
        <v>0228P741</v>
      </c>
      <c r="H16680" s="1" t="str">
        <f>"율곡지 13L2"</f>
        <v>율곡지 13L2</v>
      </c>
      <c r="I16680" s="1" t="s">
        <v>8</v>
      </c>
      <c r="J16680" s="1" t="str">
        <f>"43/48"</f>
        <v>43/48</v>
      </c>
      <c r="K16680" s="1" t="str">
        <f>"2026-07-29 13:18:03"</f>
        <v>2026-07-29 13:18:03</v>
      </c>
      <c r="L16680" s="1" t="str">
        <f>"2025-10-28 09:27:38"</f>
        <v>2025-10-28 09:27:38</v>
      </c>
      <c r="M16680" s="1" t="s">
        <v>0</v>
      </c>
      <c r="N16680" s="1" t="s">
        <v>38</v>
      </c>
      <c r="O16680" s="1" t="s">
        <v>46</v>
      </c>
    </row>
    <row r="16681" spans="2:15" x14ac:dyDescent="0.3">
      <c r="B16681" s="1" t="s">
        <v>19</v>
      </c>
      <c r="C16681" s="1" t="str">
        <f>"1차"</f>
        <v>1차</v>
      </c>
      <c r="D16681" s="1" t="str">
        <f>"0228P75101"</f>
        <v>0228P75101</v>
      </c>
      <c r="E16681" s="1" t="s">
        <v>10</v>
      </c>
      <c r="F16681" s="1" t="str">
        <f>"10.12.133.170"</f>
        <v>10.12.133.170</v>
      </c>
      <c r="G16681" s="1" t="str">
        <f>"0228P751"</f>
        <v>0228P751</v>
      </c>
      <c r="H16681" s="1" t="str">
        <f>"율곡지 13"</f>
        <v>율곡지 13</v>
      </c>
      <c r="I16681" s="1" t="s">
        <v>8</v>
      </c>
      <c r="J16681" s="1" t="str">
        <f>"7/7"</f>
        <v>7/7</v>
      </c>
      <c r="K16681" s="1" t="str">
        <f>"2026-07-29 13:18:03"</f>
        <v>2026-07-29 13:18:03</v>
      </c>
      <c r="L16681" s="1" t="str">
        <f>"2014-12-15 09:42:36"</f>
        <v>2014-12-15 09:42:36</v>
      </c>
      <c r="M16681" s="1" t="s">
        <v>0</v>
      </c>
      <c r="N16681" s="1" t="s">
        <v>38</v>
      </c>
      <c r="O16681" s="1" t="s">
        <v>46</v>
      </c>
    </row>
    <row r="16682" spans="2:15" x14ac:dyDescent="0.3">
      <c r="B16682" s="1" t="s">
        <v>19</v>
      </c>
      <c r="C16682" s="1" t="str">
        <f>"3차"</f>
        <v>3차</v>
      </c>
      <c r="D16682" s="1" t="str">
        <f>"0228P75230"</f>
        <v>0228P75230</v>
      </c>
      <c r="E16682" s="1" t="s">
        <v>10</v>
      </c>
      <c r="F16682" s="1" t="str">
        <f>"10.107.119.16"</f>
        <v>10.107.119.16</v>
      </c>
      <c r="G16682" s="1" t="str">
        <f>"0228P752"</f>
        <v>0228P752</v>
      </c>
      <c r="H16682" s="1" t="str">
        <f>"율곡지 13B1"</f>
        <v>율곡지 13B1</v>
      </c>
      <c r="I16682" s="1" t="s">
        <v>8</v>
      </c>
      <c r="J16682" s="1" t="str">
        <f>"12/12"</f>
        <v>12/12</v>
      </c>
      <c r="K16682" s="1" t="str">
        <f>"2026-07-29 13:18:02"</f>
        <v>2026-07-29 13:18:02</v>
      </c>
      <c r="L16682" s="1" t="str">
        <f>"2018-04-17 18:23:04"</f>
        <v>2018-04-17 18:23:04</v>
      </c>
      <c r="M16682" s="1" t="s">
        <v>45</v>
      </c>
      <c r="N16682" s="1" t="s">
        <v>38</v>
      </c>
      <c r="O16682" s="1" t="s">
        <v>46</v>
      </c>
    </row>
    <row r="16683" spans="2:15" x14ac:dyDescent="0.3">
      <c r="B16683" s="1" t="s">
        <v>19</v>
      </c>
      <c r="C16683" s="1" t="str">
        <f>"3차"</f>
        <v>3차</v>
      </c>
      <c r="D16683" s="1" t="str">
        <f>"0228P75339"</f>
        <v>0228P75339</v>
      </c>
      <c r="E16683" s="1" t="s">
        <v>10</v>
      </c>
      <c r="F16683" s="1" t="str">
        <f>"10.107.119.18"</f>
        <v>10.107.119.18</v>
      </c>
      <c r="G16683" s="1" t="str">
        <f>"0228P753"</f>
        <v>0228P753</v>
      </c>
      <c r="H16683" s="1" t="str">
        <f>"율곡지 14"</f>
        <v>율곡지 14</v>
      </c>
      <c r="I16683" s="1" t="s">
        <v>8</v>
      </c>
      <c r="J16683" s="1" t="str">
        <f>"11/11"</f>
        <v>11/11</v>
      </c>
      <c r="K16683" s="1" t="str">
        <f>"2026-07-29 13:18:02"</f>
        <v>2026-07-29 13:18:02</v>
      </c>
      <c r="L16683" s="1" t="str">
        <f>"2018-03-23 14:01:41"</f>
        <v>2018-03-23 14:01:41</v>
      </c>
      <c r="M16683" s="1" t="s">
        <v>45</v>
      </c>
      <c r="N16683" s="1" t="s">
        <v>38</v>
      </c>
      <c r="O16683" s="1" t="s">
        <v>46</v>
      </c>
    </row>
    <row r="16684" spans="2:15" x14ac:dyDescent="0.3">
      <c r="B16684" s="1" t="s">
        <v>19</v>
      </c>
      <c r="C16684" s="1" t="str">
        <f>"3차"</f>
        <v>3차</v>
      </c>
      <c r="D16684" s="1" t="str">
        <f>"0228P76139"</f>
        <v>0228P76139</v>
      </c>
      <c r="E16684" s="1" t="s">
        <v>10</v>
      </c>
      <c r="F16684" s="1" t="str">
        <f>"10.107.8.234"</f>
        <v>10.107.8.234</v>
      </c>
      <c r="G16684" s="1" t="str">
        <f>"0228P761"</f>
        <v>0228P761</v>
      </c>
      <c r="H16684" s="1" t="str">
        <f>"율곡지 12R2L1"</f>
        <v>율곡지 12R2L1</v>
      </c>
      <c r="I16684" s="1" t="s">
        <v>8</v>
      </c>
      <c r="J16684" s="1" t="str">
        <f>"6/6"</f>
        <v>6/6</v>
      </c>
      <c r="K16684" s="1" t="str">
        <f>"2026-07-29 13:18:02"</f>
        <v>2026-07-29 13:18:02</v>
      </c>
      <c r="L16684" s="1" t="str">
        <f>"2018-04-04 15:48:31"</f>
        <v>2018-04-04 15:48:31</v>
      </c>
      <c r="M16684" s="1" t="s">
        <v>45</v>
      </c>
      <c r="N16684" s="1" t="s">
        <v>38</v>
      </c>
      <c r="O16684" s="1" t="s">
        <v>46</v>
      </c>
    </row>
    <row r="16685" spans="2:15" x14ac:dyDescent="0.3">
      <c r="B16685" s="1" t="s">
        <v>19</v>
      </c>
      <c r="C16685" s="1" t="str">
        <f>"1차"</f>
        <v>1차</v>
      </c>
      <c r="D16685" s="1" t="str">
        <f>"0228P83200"</f>
        <v>0228P83200</v>
      </c>
      <c r="E16685" s="1" t="s">
        <v>10</v>
      </c>
      <c r="F16685" s="1" t="str">
        <f>"10.107.5.35"</f>
        <v>10.107.5.35</v>
      </c>
      <c r="G16685" s="1" t="str">
        <f>"0228P832"</f>
        <v>0228P832</v>
      </c>
      <c r="H16685" s="1" t="str">
        <f>"율곡지 11L4"</f>
        <v>율곡지 11L4</v>
      </c>
      <c r="I16685" s="1" t="s">
        <v>8</v>
      </c>
      <c r="J16685" s="1" t="str">
        <f>"23/23"</f>
        <v>23/23</v>
      </c>
      <c r="K16685" s="1" t="str">
        <f>"2026-07-29 13:18:03"</f>
        <v>2026-07-29 13:18:03</v>
      </c>
      <c r="L16685" s="1" t="str">
        <f>"2014-12-11 16:42:58"</f>
        <v>2014-12-11 16:42:58</v>
      </c>
      <c r="M16685" s="1" t="s">
        <v>45</v>
      </c>
      <c r="N16685" s="1" t="s">
        <v>38</v>
      </c>
      <c r="O16685" s="1" t="s">
        <v>46</v>
      </c>
    </row>
    <row r="16686" spans="2:15" x14ac:dyDescent="0.3">
      <c r="B16686" s="1" t="s">
        <v>19</v>
      </c>
      <c r="C16686" s="1" t="str">
        <f>"6차"</f>
        <v>6차</v>
      </c>
      <c r="D16686" s="1" t="str">
        <f>"0228P8466M"</f>
        <v>0228P8466M</v>
      </c>
      <c r="E16686" s="1" t="s">
        <v>10</v>
      </c>
      <c r="F16686" s="1" t="str">
        <f>"fde1:103:4:c7d2:0:0:0:2"</f>
        <v>fde1:103:4:c7d2:0:0:0:2</v>
      </c>
      <c r="G16686" s="1" t="str">
        <f>"0228P846"</f>
        <v>0228P846</v>
      </c>
      <c r="H16686" s="1" t="str">
        <f>"율곡지 11L2"</f>
        <v>율곡지 11L2</v>
      </c>
      <c r="I16686" s="1" t="s">
        <v>15</v>
      </c>
      <c r="J16686" s="1" t="str">
        <f>"35/35"</f>
        <v>35/35</v>
      </c>
      <c r="K16686" s="1" t="str">
        <f>"2026-07-29 14:20:31"</f>
        <v>2026-07-29 14:20:31</v>
      </c>
      <c r="L16686" s="1" t="str">
        <f>"2024-12-04 15:44:42"</f>
        <v>2024-12-04 15:44:42</v>
      </c>
      <c r="M16686" s="1" t="s">
        <v>4</v>
      </c>
      <c r="N16686" s="1" t="s">
        <v>38</v>
      </c>
      <c r="O16686" s="1" t="s">
        <v>46</v>
      </c>
    </row>
    <row r="16687" spans="2:15" x14ac:dyDescent="0.3">
      <c r="B16687" s="1" t="s">
        <v>19</v>
      </c>
      <c r="C16687" s="1" t="str">
        <f>"1차"</f>
        <v>1차</v>
      </c>
      <c r="D16687" s="1" t="str">
        <f>"0228P85100"</f>
        <v>0228P85100</v>
      </c>
      <c r="E16687" s="1" t="s">
        <v>10</v>
      </c>
      <c r="F16687" s="1" t="str">
        <f>"10.107.4.33"</f>
        <v>10.107.4.33</v>
      </c>
      <c r="G16687" s="1" t="str">
        <f>"0228P851"</f>
        <v>0228P851</v>
      </c>
      <c r="H16687" s="1" t="str">
        <f>"율곡지 11"</f>
        <v>율곡지 11</v>
      </c>
      <c r="I16687" s="1" t="s">
        <v>8</v>
      </c>
      <c r="J16687" s="1" t="str">
        <f>"73/74"</f>
        <v>73/74</v>
      </c>
      <c r="K16687" s="1" t="str">
        <f>"2026-07-29 13:18:03"</f>
        <v>2026-07-29 13:18:03</v>
      </c>
      <c r="L16687" s="1" t="str">
        <f>"2014-12-15 09:42:37"</f>
        <v>2014-12-15 09:42:37</v>
      </c>
      <c r="M16687" s="1" t="s">
        <v>45</v>
      </c>
      <c r="N16687" s="1" t="s">
        <v>38</v>
      </c>
      <c r="O16687" s="1" t="s">
        <v>46</v>
      </c>
    </row>
    <row r="16688" spans="2:15" x14ac:dyDescent="0.3">
      <c r="B16688" s="1" t="s">
        <v>19</v>
      </c>
      <c r="C16688" s="1" t="str">
        <f t="shared" ref="C16688:C16693" si="826">"4차"</f>
        <v>4차</v>
      </c>
      <c r="D16688" s="1" t="str">
        <f>"0228P85244"</f>
        <v>0228P85244</v>
      </c>
      <c r="E16688" s="1" t="s">
        <v>10</v>
      </c>
      <c r="F16688" s="1" t="str">
        <f>"10.107.12.87"</f>
        <v>10.107.12.87</v>
      </c>
      <c r="G16688" s="1" t="str">
        <f>"0228P852"</f>
        <v>0228P852</v>
      </c>
      <c r="H16688" s="1" t="str">
        <f>"율곡지 12"</f>
        <v>율곡지 12</v>
      </c>
      <c r="I16688" s="1" t="s">
        <v>8</v>
      </c>
      <c r="J16688" s="1" t="str">
        <f>"11/14"</f>
        <v>11/14</v>
      </c>
      <c r="K16688" s="1" t="str">
        <f>"2026-07-29 13:18:02"</f>
        <v>2026-07-29 13:18:02</v>
      </c>
      <c r="L16688" s="1" t="str">
        <f>"2019-12-13 12:09:18"</f>
        <v>2019-12-13 12:09:18</v>
      </c>
      <c r="M16688" s="1" t="s">
        <v>45</v>
      </c>
      <c r="N16688" s="1" t="s">
        <v>38</v>
      </c>
      <c r="O16688" s="1" t="s">
        <v>46</v>
      </c>
    </row>
    <row r="16689" spans="2:15" x14ac:dyDescent="0.3">
      <c r="B16689" s="1" t="s">
        <v>19</v>
      </c>
      <c r="C16689" s="1" t="str">
        <f t="shared" si="826"/>
        <v>4차</v>
      </c>
      <c r="D16689" s="1" t="str">
        <f>"0228P86144"</f>
        <v>0228P86144</v>
      </c>
      <c r="E16689" s="1" t="s">
        <v>10</v>
      </c>
      <c r="F16689" s="1" t="str">
        <f>"10.107.12.90"</f>
        <v>10.107.12.90</v>
      </c>
      <c r="G16689" s="1" t="str">
        <f>"0228P861"</f>
        <v>0228P861</v>
      </c>
      <c r="H16689" s="1" t="str">
        <f>"율곡지 12R3"</f>
        <v>율곡지 12R3</v>
      </c>
      <c r="I16689" s="1" t="s">
        <v>8</v>
      </c>
      <c r="J16689" s="1" t="str">
        <f>"20/20"</f>
        <v>20/20</v>
      </c>
      <c r="K16689" s="1" t="str">
        <f>"2026-07-29 13:18:02"</f>
        <v>2026-07-29 13:18:02</v>
      </c>
      <c r="L16689" s="1" t="str">
        <f>"2019-12-13 09:00:12"</f>
        <v>2019-12-13 09:00:12</v>
      </c>
      <c r="M16689" s="1" t="s">
        <v>45</v>
      </c>
      <c r="N16689" s="1" t="s">
        <v>38</v>
      </c>
      <c r="O16689" s="1" t="s">
        <v>46</v>
      </c>
    </row>
    <row r="16690" spans="2:15" x14ac:dyDescent="0.3">
      <c r="B16690" s="1" t="s">
        <v>19</v>
      </c>
      <c r="C16690" s="1" t="str">
        <f t="shared" si="826"/>
        <v>4차</v>
      </c>
      <c r="D16690" s="1" t="str">
        <f>"0228P91139"</f>
        <v>0228P91139</v>
      </c>
      <c r="E16690" s="1" t="s">
        <v>10</v>
      </c>
      <c r="F16690" s="1" t="str">
        <f>"10.12.134.96"</f>
        <v>10.12.134.96</v>
      </c>
      <c r="G16690" s="1" t="str">
        <f>"0228P911"</f>
        <v>0228P911</v>
      </c>
      <c r="H16690" s="1" t="str">
        <f>"월곡 1"</f>
        <v>월곡 1</v>
      </c>
      <c r="I16690" s="1" t="s">
        <v>17</v>
      </c>
      <c r="J16690" s="1" t="str">
        <f>"2/2"</f>
        <v>2/2</v>
      </c>
      <c r="K16690" s="1" t="str">
        <f>"2026-07-29 13:18:02"</f>
        <v>2026-07-29 13:18:02</v>
      </c>
      <c r="L16690" s="1" t="str">
        <f>"2018-05-29 13:26:43"</f>
        <v>2018-05-29 13:26:43</v>
      </c>
      <c r="M16690" s="1" t="s">
        <v>0</v>
      </c>
      <c r="N16690" s="1" t="s">
        <v>38</v>
      </c>
      <c r="O16690" s="1" t="s">
        <v>46</v>
      </c>
    </row>
    <row r="16691" spans="2:15" x14ac:dyDescent="0.3">
      <c r="B16691" s="1" t="s">
        <v>19</v>
      </c>
      <c r="C16691" s="1" t="str">
        <f t="shared" si="826"/>
        <v>4차</v>
      </c>
      <c r="D16691" s="1" t="str">
        <f>"0228P95244"</f>
        <v>0228P95244</v>
      </c>
      <c r="E16691" s="1" t="s">
        <v>10</v>
      </c>
      <c r="F16691" s="1" t="str">
        <f>"10.107.12.86"</f>
        <v>10.107.12.86</v>
      </c>
      <c r="G16691" s="1" t="str">
        <f>"0228P952"</f>
        <v>0228P952</v>
      </c>
      <c r="H16691" s="1" t="str">
        <f>"율곡지 10"</f>
        <v>율곡지 10</v>
      </c>
      <c r="I16691" s="1" t="s">
        <v>8</v>
      </c>
      <c r="J16691" s="1" t="str">
        <f>"41/42"</f>
        <v>41/42</v>
      </c>
      <c r="K16691" s="1" t="str">
        <f>"2026-07-29 13:18:02"</f>
        <v>2026-07-29 13:18:02</v>
      </c>
      <c r="L16691" s="1" t="str">
        <f>"2019-12-13 12:10:09"</f>
        <v>2019-12-13 12:10:09</v>
      </c>
      <c r="M16691" s="1" t="s">
        <v>45</v>
      </c>
      <c r="N16691" s="1" t="s">
        <v>38</v>
      </c>
      <c r="O16691" s="1" t="s">
        <v>46</v>
      </c>
    </row>
    <row r="16692" spans="2:15" x14ac:dyDescent="0.3">
      <c r="B16692" s="1" t="s">
        <v>19</v>
      </c>
      <c r="C16692" s="1" t="str">
        <f t="shared" si="826"/>
        <v>4차</v>
      </c>
      <c r="D16692" s="1" t="str">
        <f>"0228P97144"</f>
        <v>0228P97144</v>
      </c>
      <c r="E16692" s="1" t="s">
        <v>10</v>
      </c>
      <c r="F16692" s="1" t="str">
        <f>"10.107.12.92"</f>
        <v>10.107.12.92</v>
      </c>
      <c r="G16692" s="1" t="str">
        <f>"0228P971"</f>
        <v>0228P971</v>
      </c>
      <c r="H16692" s="1" t="str">
        <f>"율곡지 12R6"</f>
        <v>율곡지 12R6</v>
      </c>
      <c r="I16692" s="1" t="s">
        <v>8</v>
      </c>
      <c r="J16692" s="1" t="str">
        <f>"17/19"</f>
        <v>17/19</v>
      </c>
      <c r="K16692" s="1" t="str">
        <f>"2026-07-29 13:18:02"</f>
        <v>2026-07-29 13:18:02</v>
      </c>
      <c r="L16692" s="1" t="str">
        <f>"2019-12-13 09:05:43"</f>
        <v>2019-12-13 09:05:43</v>
      </c>
      <c r="M16692" s="1" t="s">
        <v>45</v>
      </c>
      <c r="N16692" s="1" t="s">
        <v>38</v>
      </c>
      <c r="O16692" s="1" t="s">
        <v>46</v>
      </c>
    </row>
    <row r="16693" spans="2:15" x14ac:dyDescent="0.3">
      <c r="B16693" s="1" t="s">
        <v>19</v>
      </c>
      <c r="C16693" s="1" t="str">
        <f t="shared" si="826"/>
        <v>4차</v>
      </c>
      <c r="D16693" s="1" t="str">
        <f>"0228P97344"</f>
        <v>0228P97344</v>
      </c>
      <c r="E16693" s="1" t="s">
        <v>10</v>
      </c>
      <c r="F16693" s="1" t="str">
        <f>"10.107.12.91"</f>
        <v>10.107.12.91</v>
      </c>
      <c r="G16693" s="1" t="str">
        <f>"0228P973"</f>
        <v>0228P973</v>
      </c>
      <c r="H16693" s="1" t="str">
        <f>"율곡지 12R5"</f>
        <v>율곡지 12R5</v>
      </c>
      <c r="I16693" s="1" t="s">
        <v>8</v>
      </c>
      <c r="J16693" s="1" t="str">
        <f>"24/24"</f>
        <v>24/24</v>
      </c>
      <c r="K16693" s="1" t="str">
        <f>"2026-07-29 13:18:01"</f>
        <v>2026-07-29 13:18:01</v>
      </c>
      <c r="L16693" s="1" t="str">
        <f>"2019-12-13 09:17:50"</f>
        <v>2019-12-13 09:17:50</v>
      </c>
      <c r="M16693" s="1" t="s">
        <v>45</v>
      </c>
      <c r="N16693" s="1" t="s">
        <v>38</v>
      </c>
      <c r="O16693" s="1" t="s">
        <v>46</v>
      </c>
    </row>
    <row r="16694" spans="2:15" x14ac:dyDescent="0.3">
      <c r="B16694" s="1" t="s">
        <v>19</v>
      </c>
      <c r="C16694" s="1" t="str">
        <f>"6차"</f>
        <v>6차</v>
      </c>
      <c r="D16694" s="1" t="str">
        <f>"0228Q0216M"</f>
        <v>0228Q0216M</v>
      </c>
      <c r="E16694" s="1" t="s">
        <v>10</v>
      </c>
      <c r="F16694" s="1" t="str">
        <f>"fde1:103:4:c7ad:0:0:0:2"</f>
        <v>fde1:103:4:c7ad:0:0:0:2</v>
      </c>
      <c r="G16694" s="1" t="str">
        <f>"0228Q021"</f>
        <v>0228Q021</v>
      </c>
      <c r="H16694" s="1" t="str">
        <f>"동덕SW 10A6"</f>
        <v>동덕SW 10A6</v>
      </c>
      <c r="I16694" s="1" t="s">
        <v>15</v>
      </c>
      <c r="J16694" s="1" t="str">
        <f>"47/47"</f>
        <v>47/47</v>
      </c>
      <c r="K16694" s="1" t="str">
        <f>"2026-07-29 14:20:49"</f>
        <v>2026-07-29 14:20:49</v>
      </c>
      <c r="L16694" s="1" t="str">
        <f>"2024-12-02 13:48:44"</f>
        <v>2024-12-02 13:48:44</v>
      </c>
      <c r="M16694" s="1" t="s">
        <v>4</v>
      </c>
      <c r="N16694" s="1" t="s">
        <v>38</v>
      </c>
      <c r="O16694" s="1" t="s">
        <v>46</v>
      </c>
    </row>
    <row r="16695" spans="2:15" x14ac:dyDescent="0.3">
      <c r="B16695" s="1" t="s">
        <v>19</v>
      </c>
      <c r="C16695" s="1" t="str">
        <f>"6차"</f>
        <v>6차</v>
      </c>
      <c r="D16695" s="1" t="str">
        <f>"0228Q0226M"</f>
        <v>0228Q0226M</v>
      </c>
      <c r="E16695" s="1" t="s">
        <v>10</v>
      </c>
      <c r="F16695" s="1" t="str">
        <f>"fde1:103:4:c7a3:0:0:0:2"</f>
        <v>fde1:103:4:c7a3:0:0:0:2</v>
      </c>
      <c r="G16695" s="1" t="str">
        <f>"0228Q022"</f>
        <v>0228Q022</v>
      </c>
      <c r="H16695" s="1" t="str">
        <f>"동덕SW 10A5"</f>
        <v>동덕SW 10A5</v>
      </c>
      <c r="I16695" s="1" t="s">
        <v>15</v>
      </c>
      <c r="J16695" s="1" t="str">
        <f>"68/68"</f>
        <v>68/68</v>
      </c>
      <c r="K16695" s="1" t="str">
        <f>"2026-07-29 14:21:06"</f>
        <v>2026-07-29 14:21:06</v>
      </c>
      <c r="L16695" s="1" t="str">
        <f>"2024-12-02 13:49:01"</f>
        <v>2024-12-02 13:49:01</v>
      </c>
      <c r="M16695" s="1" t="s">
        <v>4</v>
      </c>
      <c r="N16695" s="1" t="s">
        <v>38</v>
      </c>
      <c r="O16695" s="1" t="s">
        <v>46</v>
      </c>
    </row>
    <row r="16696" spans="2:15" x14ac:dyDescent="0.3">
      <c r="B16696" s="1" t="s">
        <v>19</v>
      </c>
      <c r="C16696" s="1" t="str">
        <f t="shared" ref="C16696:C16701" si="827">"4차"</f>
        <v>4차</v>
      </c>
      <c r="D16696" s="1" t="str">
        <f>"0228Q03144"</f>
        <v>0228Q03144</v>
      </c>
      <c r="E16696" s="1" t="s">
        <v>10</v>
      </c>
      <c r="F16696" s="1" t="str">
        <f>"10.107.10.68"</f>
        <v>10.107.10.68</v>
      </c>
      <c r="G16696" s="1" t="str">
        <f>"0228Q031"</f>
        <v>0228Q031</v>
      </c>
      <c r="H16696" s="1" t="str">
        <f>"동덕SW 10A2"</f>
        <v>동덕SW 10A2</v>
      </c>
      <c r="I16696" s="1" t="s">
        <v>8</v>
      </c>
      <c r="J16696" s="1" t="str">
        <f>"41/41"</f>
        <v>41/41</v>
      </c>
      <c r="K16696" s="1" t="str">
        <f>"2026-07-29 13:18:01"</f>
        <v>2026-07-29 13:18:01</v>
      </c>
      <c r="L16696" s="1" t="str">
        <f>"2019-12-13 09:16:58"</f>
        <v>2019-12-13 09:16:58</v>
      </c>
      <c r="M16696" s="1" t="s">
        <v>45</v>
      </c>
      <c r="N16696" s="1" t="s">
        <v>38</v>
      </c>
      <c r="O16696" s="1" t="s">
        <v>46</v>
      </c>
    </row>
    <row r="16697" spans="2:15" x14ac:dyDescent="0.3">
      <c r="B16697" s="1" t="s">
        <v>19</v>
      </c>
      <c r="C16697" s="1" t="str">
        <f t="shared" si="827"/>
        <v>4차</v>
      </c>
      <c r="D16697" s="1" t="str">
        <f>"0228Q03241"</f>
        <v>0228Q03241</v>
      </c>
      <c r="E16697" s="1" t="s">
        <v>10</v>
      </c>
      <c r="F16697" s="1" t="str">
        <f>"10.14.4.19"</f>
        <v>10.14.4.19</v>
      </c>
      <c r="G16697" s="1" t="str">
        <f>"0228Q032"</f>
        <v>0228Q032</v>
      </c>
      <c r="H16697" s="1" t="str">
        <f>"동덕SW 10A3"</f>
        <v>동덕SW 10A3</v>
      </c>
      <c r="I16697" s="1" t="s">
        <v>17</v>
      </c>
      <c r="J16697" s="1" t="str">
        <f>"13/13"</f>
        <v>13/13</v>
      </c>
      <c r="K16697" s="1" t="str">
        <f>"2026-07-29 13:18:01"</f>
        <v>2026-07-29 13:18:01</v>
      </c>
      <c r="L16697" s="1" t="str">
        <f>"2021-10-12 11:04:03"</f>
        <v>2021-10-12 11:04:03</v>
      </c>
      <c r="M16697" s="1" t="s">
        <v>3</v>
      </c>
      <c r="N16697" s="1" t="s">
        <v>38</v>
      </c>
      <c r="O16697" s="1" t="s">
        <v>46</v>
      </c>
    </row>
    <row r="16698" spans="2:15" x14ac:dyDescent="0.3">
      <c r="B16698" s="1" t="s">
        <v>19</v>
      </c>
      <c r="C16698" s="1" t="str">
        <f t="shared" si="827"/>
        <v>4차</v>
      </c>
      <c r="D16698" s="1" t="str">
        <f>"0228Q04144"</f>
        <v>0228Q04144</v>
      </c>
      <c r="E16698" s="1" t="s">
        <v>10</v>
      </c>
      <c r="F16698" s="1" t="str">
        <f>"10.107.12.102"</f>
        <v>10.107.12.102</v>
      </c>
      <c r="G16698" s="1" t="str">
        <f>"0228Q041"</f>
        <v>0228Q041</v>
      </c>
      <c r="H16698" s="1" t="str">
        <f>"율곡지 8"</f>
        <v>율곡지 8</v>
      </c>
      <c r="I16698" s="1" t="s">
        <v>8</v>
      </c>
      <c r="J16698" s="1" t="str">
        <f>"32/32"</f>
        <v>32/32</v>
      </c>
      <c r="K16698" s="1" t="str">
        <f>"2026-07-29 13:18:02"</f>
        <v>2026-07-29 13:18:02</v>
      </c>
      <c r="L16698" s="1" t="str">
        <f>"2019-12-13 09:05:18"</f>
        <v>2019-12-13 09:05:18</v>
      </c>
      <c r="M16698" s="1" t="s">
        <v>45</v>
      </c>
      <c r="N16698" s="1" t="s">
        <v>38</v>
      </c>
      <c r="O16698" s="1" t="s">
        <v>46</v>
      </c>
    </row>
    <row r="16699" spans="2:15" x14ac:dyDescent="0.3">
      <c r="B16699" s="1" t="s">
        <v>19</v>
      </c>
      <c r="C16699" s="1" t="str">
        <f t="shared" si="827"/>
        <v>4차</v>
      </c>
      <c r="D16699" s="1" t="str">
        <f>"0228Q12239"</f>
        <v>0228Q12239</v>
      </c>
      <c r="E16699" s="1" t="s">
        <v>10</v>
      </c>
      <c r="F16699" s="1" t="str">
        <f>"10.12.136.69"</f>
        <v>10.12.136.69</v>
      </c>
      <c r="G16699" s="1" t="str">
        <f>"0228Q122"</f>
        <v>0228Q122</v>
      </c>
      <c r="H16699" s="1" t="str">
        <f>"동덕 8"</f>
        <v>동덕 8</v>
      </c>
      <c r="I16699" s="1" t="s">
        <v>17</v>
      </c>
      <c r="J16699" s="1" t="str">
        <f>"34/34"</f>
        <v>34/34</v>
      </c>
      <c r="K16699" s="1" t="str">
        <f>"2026-07-29 13:18:02"</f>
        <v>2026-07-29 13:18:02</v>
      </c>
      <c r="L16699" s="1" t="str">
        <f>"2018-05-29 13:32:43"</f>
        <v>2018-05-29 13:32:43</v>
      </c>
      <c r="M16699" s="1" t="s">
        <v>0</v>
      </c>
      <c r="N16699" s="1" t="s">
        <v>38</v>
      </c>
      <c r="O16699" s="1" t="s">
        <v>46</v>
      </c>
    </row>
    <row r="16700" spans="2:15" x14ac:dyDescent="0.3">
      <c r="B16700" s="1" t="s">
        <v>19</v>
      </c>
      <c r="C16700" s="1" t="str">
        <f t="shared" si="827"/>
        <v>4차</v>
      </c>
      <c r="D16700" s="1" t="str">
        <f>"0228Q15244"</f>
        <v>0228Q15244</v>
      </c>
      <c r="E16700" s="1" t="s">
        <v>10</v>
      </c>
      <c r="F16700" s="1" t="str">
        <f>"10.107.12.101"</f>
        <v>10.107.12.101</v>
      </c>
      <c r="G16700" s="1" t="str">
        <f>"0228Q152"</f>
        <v>0228Q152</v>
      </c>
      <c r="H16700" s="1" t="str">
        <f>"율곡지 7"</f>
        <v>율곡지 7</v>
      </c>
      <c r="I16700" s="1" t="s">
        <v>8</v>
      </c>
      <c r="J16700" s="1" t="str">
        <f>"96/98"</f>
        <v>96/98</v>
      </c>
      <c r="K16700" s="1" t="str">
        <f>"2026-07-29 13:18:03"</f>
        <v>2026-07-29 13:18:03</v>
      </c>
      <c r="L16700" s="1" t="str">
        <f>"2019-12-13 09:05:18"</f>
        <v>2019-12-13 09:05:18</v>
      </c>
      <c r="M16700" s="1" t="s">
        <v>45</v>
      </c>
      <c r="N16700" s="1" t="s">
        <v>38</v>
      </c>
      <c r="O16700" s="1" t="s">
        <v>46</v>
      </c>
    </row>
    <row r="16701" spans="2:15" x14ac:dyDescent="0.3">
      <c r="B16701" s="1" t="s">
        <v>19</v>
      </c>
      <c r="C16701" s="1" t="str">
        <f t="shared" si="827"/>
        <v>4차</v>
      </c>
      <c r="D16701" s="1" t="str">
        <f>"0228Q22939"</f>
        <v>0228Q22939</v>
      </c>
      <c r="E16701" s="1" t="s">
        <v>14</v>
      </c>
      <c r="F16701" s="1" t="str">
        <f>"10.12.133.242"</f>
        <v>10.12.133.242</v>
      </c>
      <c r="G16701" s="1" t="str">
        <f>"0228Q229"</f>
        <v>0228Q229</v>
      </c>
      <c r="H16701" s="1" t="str">
        <f>"동덕 7"</f>
        <v>동덕 7</v>
      </c>
      <c r="I16701" s="1" t="s">
        <v>17</v>
      </c>
      <c r="J16701" s="1" t="str">
        <f>"0/0"</f>
        <v>0/0</v>
      </c>
      <c r="K16701" s="1" t="str">
        <f>"2026-07-29 13:18:03"</f>
        <v>2026-07-29 13:18:03</v>
      </c>
      <c r="L16701" s="1" t="str">
        <f>"2018-12-17 16:27:59"</f>
        <v>2018-12-17 16:27:59</v>
      </c>
      <c r="M16701" s="1" t="s">
        <v>0</v>
      </c>
      <c r="N16701" s="1" t="s">
        <v>38</v>
      </c>
      <c r="O16701" s="1" t="s">
        <v>44</v>
      </c>
    </row>
    <row r="16702" spans="2:15" x14ac:dyDescent="0.3">
      <c r="B16702" s="1" t="s">
        <v>19</v>
      </c>
      <c r="C16702" s="1" t="str">
        <f>"1차"</f>
        <v>1차</v>
      </c>
      <c r="D16702" s="1" t="str">
        <f>"0228Q31300"</f>
        <v>0228Q31300</v>
      </c>
      <c r="E16702" s="1" t="s">
        <v>10</v>
      </c>
      <c r="F16702" s="1" t="str">
        <f>"10.107.4.38"</f>
        <v>10.107.4.38</v>
      </c>
      <c r="G16702" s="1" t="str">
        <f>"0228Q313"</f>
        <v>0228Q313</v>
      </c>
      <c r="H16702" s="1" t="str">
        <f>"월암간 47"</f>
        <v>월암간 47</v>
      </c>
      <c r="I16702" s="1" t="s">
        <v>8</v>
      </c>
      <c r="J16702" s="1" t="str">
        <f>"49/53"</f>
        <v>49/53</v>
      </c>
      <c r="K16702" s="1" t="str">
        <f>"2026-07-29 13:18:01"</f>
        <v>2026-07-29 13:18:01</v>
      </c>
      <c r="L16702" s="1" t="str">
        <f>"2014-12-16 17:57:57"</f>
        <v>2014-12-16 17:57:57</v>
      </c>
      <c r="M16702" s="1" t="s">
        <v>45</v>
      </c>
      <c r="N16702" s="1" t="s">
        <v>38</v>
      </c>
      <c r="O16702" s="1" t="s">
        <v>46</v>
      </c>
    </row>
    <row r="16703" spans="2:15" x14ac:dyDescent="0.3">
      <c r="B16703" s="1" t="s">
        <v>19</v>
      </c>
      <c r="C16703" s="1" t="str">
        <f>"4차"</f>
        <v>4차</v>
      </c>
      <c r="D16703" s="1" t="str">
        <f>"0228Q36144"</f>
        <v>0228Q36144</v>
      </c>
      <c r="E16703" s="1" t="s">
        <v>10</v>
      </c>
      <c r="F16703" s="1" t="str">
        <f>"10.107.10.66"</f>
        <v>10.107.10.66</v>
      </c>
      <c r="G16703" s="1" t="str">
        <f>"0228Q361"</f>
        <v>0228Q361</v>
      </c>
      <c r="H16703" s="1" t="str">
        <f>"율곡지 4R1L5C6"</f>
        <v>율곡지 4R1L5C6</v>
      </c>
      <c r="I16703" s="1" t="s">
        <v>8</v>
      </c>
      <c r="J16703" s="1" t="str">
        <f>"33/33"</f>
        <v>33/33</v>
      </c>
      <c r="K16703" s="1" t="str">
        <f>"2026-07-29 13:18:01"</f>
        <v>2026-07-29 13:18:01</v>
      </c>
      <c r="L16703" s="1" t="str">
        <f>"2019-12-13 09:05:43"</f>
        <v>2019-12-13 09:05:43</v>
      </c>
      <c r="M16703" s="1" t="s">
        <v>45</v>
      </c>
      <c r="N16703" s="1" t="s">
        <v>38</v>
      </c>
      <c r="O16703" s="1" t="s">
        <v>46</v>
      </c>
    </row>
    <row r="16704" spans="2:15" x14ac:dyDescent="0.3">
      <c r="B16704" s="1" t="s">
        <v>19</v>
      </c>
      <c r="C16704" s="1" t="str">
        <f>"4차"</f>
        <v>4차</v>
      </c>
      <c r="D16704" s="1" t="str">
        <f>"0228Q41142"</f>
        <v>0228Q41142</v>
      </c>
      <c r="E16704" s="1" t="s">
        <v>10</v>
      </c>
      <c r="F16704" s="1" t="str">
        <f>"10.12.128.38"</f>
        <v>10.12.128.38</v>
      </c>
      <c r="G16704" s="1" t="str">
        <f>"0228Q411"</f>
        <v>0228Q411</v>
      </c>
      <c r="H16704" s="1" t="str">
        <f>"월암간 22L9"</f>
        <v>월암간 22L9</v>
      </c>
      <c r="I16704" s="1" t="s">
        <v>8</v>
      </c>
      <c r="J16704" s="1" t="str">
        <f>"69/70"</f>
        <v>69/70</v>
      </c>
      <c r="K16704" s="1" t="str">
        <f>"2026-07-29 13:18:02"</f>
        <v>2026-07-29 13:18:02</v>
      </c>
      <c r="L16704" s="1" t="str">
        <f>"2024-12-19 09:55:26"</f>
        <v>2024-12-19 09:55:26</v>
      </c>
      <c r="M16704" s="1" t="s">
        <v>0</v>
      </c>
      <c r="N16704" s="1" t="s">
        <v>38</v>
      </c>
      <c r="O16704" s="1" t="s">
        <v>46</v>
      </c>
    </row>
    <row r="16705" spans="2:15" x14ac:dyDescent="0.3">
      <c r="B16705" s="1" t="s">
        <v>19</v>
      </c>
      <c r="C16705" s="1" t="str">
        <f>"3차"</f>
        <v>3차</v>
      </c>
      <c r="D16705" s="1" t="str">
        <f>"0228Q42239"</f>
        <v>0228Q42239</v>
      </c>
      <c r="E16705" s="1" t="s">
        <v>10</v>
      </c>
      <c r="F16705" s="1" t="str">
        <f>"10.12.132.166"</f>
        <v>10.12.132.166</v>
      </c>
      <c r="G16705" s="1" t="str">
        <f>"0228Q422"</f>
        <v>0228Q422</v>
      </c>
      <c r="H16705" s="1" t="str">
        <f>"월암간 22L10"</f>
        <v>월암간 22L10</v>
      </c>
      <c r="I16705" s="1" t="s">
        <v>8</v>
      </c>
      <c r="J16705" s="1" t="str">
        <f>"90/100"</f>
        <v>90/100</v>
      </c>
      <c r="K16705" s="1" t="str">
        <f>"2026-07-29 13:18:01"</f>
        <v>2026-07-29 13:18:01</v>
      </c>
      <c r="L16705" s="1" t="str">
        <f>"2018-09-12 18:57:13"</f>
        <v>2018-09-12 18:57:13</v>
      </c>
      <c r="M16705" s="1" t="s">
        <v>0</v>
      </c>
      <c r="N16705" s="1" t="s">
        <v>38</v>
      </c>
      <c r="O16705" s="1" t="s">
        <v>46</v>
      </c>
    </row>
    <row r="16706" spans="2:15" x14ac:dyDescent="0.3">
      <c r="B16706" s="1" t="s">
        <v>19</v>
      </c>
      <c r="C16706" s="1" t="str">
        <f>"4차"</f>
        <v>4차</v>
      </c>
      <c r="D16706" s="1" t="str">
        <f>"0228Q44545"</f>
        <v>0228Q44545</v>
      </c>
      <c r="E16706" s="1" t="s">
        <v>10</v>
      </c>
      <c r="F16706" s="1" t="str">
        <f>"10.14.4.58"</f>
        <v>10.14.4.58</v>
      </c>
      <c r="G16706" s="1" t="str">
        <f>"0228Q445"</f>
        <v>0228Q445</v>
      </c>
      <c r="H16706" s="1" t="str">
        <f>"동덕 3"</f>
        <v>동덕 3</v>
      </c>
      <c r="I16706" s="1" t="s">
        <v>17</v>
      </c>
      <c r="J16706" s="1" t="str">
        <f>"9/9"</f>
        <v>9/9</v>
      </c>
      <c r="K16706" s="1" t="str">
        <f>"2026-07-29 13:18:01"</f>
        <v>2026-07-29 13:18:01</v>
      </c>
      <c r="L16706" s="1" t="str">
        <f>"2021-06-24 07:57:23"</f>
        <v>2021-06-24 07:57:23</v>
      </c>
      <c r="M16706" s="1" t="s">
        <v>3</v>
      </c>
      <c r="N16706" s="1" t="s">
        <v>38</v>
      </c>
      <c r="O16706" s="1" t="s">
        <v>46</v>
      </c>
    </row>
    <row r="16707" spans="2:15" x14ac:dyDescent="0.3">
      <c r="B16707" s="1" t="s">
        <v>19</v>
      </c>
      <c r="C16707" s="1" t="str">
        <f>"4차"</f>
        <v>4차</v>
      </c>
      <c r="D16707" s="1" t="str">
        <f>"0228Q45544"</f>
        <v>0228Q45544</v>
      </c>
      <c r="E16707" s="1" t="s">
        <v>10</v>
      </c>
      <c r="F16707" s="1" t="str">
        <f>"10.107.10.71"</f>
        <v>10.107.10.71</v>
      </c>
      <c r="G16707" s="1" t="str">
        <f>"0228Q455"</f>
        <v>0228Q455</v>
      </c>
      <c r="H16707" s="1" t="str">
        <f>"율곡지 4R1L1"</f>
        <v>율곡지 4R1L1</v>
      </c>
      <c r="I16707" s="1" t="s">
        <v>8</v>
      </c>
      <c r="J16707" s="1" t="str">
        <f>"24/24"</f>
        <v>24/24</v>
      </c>
      <c r="K16707" s="1" t="str">
        <f>"2026-07-29 13:18:02"</f>
        <v>2026-07-29 13:18:02</v>
      </c>
      <c r="L16707" s="1" t="str">
        <f>"2019-12-13 12:09:20"</f>
        <v>2019-12-13 12:09:20</v>
      </c>
      <c r="M16707" s="1" t="s">
        <v>45</v>
      </c>
      <c r="N16707" s="1" t="s">
        <v>38</v>
      </c>
      <c r="O16707" s="1" t="s">
        <v>46</v>
      </c>
    </row>
    <row r="16708" spans="2:15" x14ac:dyDescent="0.3">
      <c r="B16708" s="1" t="s">
        <v>19</v>
      </c>
      <c r="C16708" s="1" t="str">
        <f>"3차"</f>
        <v>3차</v>
      </c>
      <c r="D16708" s="1" t="str">
        <f>"0228Q47139"</f>
        <v>0228Q47139</v>
      </c>
      <c r="E16708" s="1" t="s">
        <v>10</v>
      </c>
      <c r="F16708" s="1" t="str">
        <f>"10.12.132.181"</f>
        <v>10.12.132.181</v>
      </c>
      <c r="G16708" s="1" t="str">
        <f>"0228Q471"</f>
        <v>0228Q471</v>
      </c>
      <c r="H16708" s="1" t="str">
        <f>"율곡지 4R1L3"</f>
        <v>율곡지 4R1L3</v>
      </c>
      <c r="I16708" s="1" t="s">
        <v>8</v>
      </c>
      <c r="J16708" s="1" t="str">
        <f>"101/101"</f>
        <v>101/101</v>
      </c>
      <c r="K16708" s="1" t="str">
        <f>"2026-07-29 13:18:01"</f>
        <v>2026-07-29 13:18:01</v>
      </c>
      <c r="L16708" s="1" t="str">
        <f>"2018-09-12 15:22:56"</f>
        <v>2018-09-12 15:22:56</v>
      </c>
      <c r="M16708" s="1" t="s">
        <v>0</v>
      </c>
      <c r="N16708" s="1" t="s">
        <v>38</v>
      </c>
      <c r="O16708" s="1" t="s">
        <v>46</v>
      </c>
    </row>
    <row r="16709" spans="2:15" x14ac:dyDescent="0.3">
      <c r="B16709" s="1" t="s">
        <v>19</v>
      </c>
      <c r="C16709" s="1" t="str">
        <f t="shared" ref="C16709:C16714" si="828">"4차"</f>
        <v>4차</v>
      </c>
      <c r="D16709" s="1" t="str">
        <f>"0228Q47344"</f>
        <v>0228Q47344</v>
      </c>
      <c r="E16709" s="1" t="s">
        <v>10</v>
      </c>
      <c r="F16709" s="1" t="str">
        <f>"10.107.10.72"</f>
        <v>10.107.10.72</v>
      </c>
      <c r="G16709" s="1" t="str">
        <f>"0228Q473"</f>
        <v>0228Q473</v>
      </c>
      <c r="H16709" s="1" t="str">
        <f>"율곡지 4R1L4"</f>
        <v>율곡지 4R1L4</v>
      </c>
      <c r="I16709" s="1" t="s">
        <v>8</v>
      </c>
      <c r="J16709" s="1" t="str">
        <f>"22/28"</f>
        <v>22/28</v>
      </c>
      <c r="K16709" s="1" t="str">
        <f>"2026-07-29 13:18:01"</f>
        <v>2026-07-29 13:18:01</v>
      </c>
      <c r="L16709" s="1" t="str">
        <f>"2019-12-13 12:10:18"</f>
        <v>2019-12-13 12:10:18</v>
      </c>
      <c r="M16709" s="1" t="s">
        <v>45</v>
      </c>
      <c r="N16709" s="1" t="s">
        <v>38</v>
      </c>
      <c r="O16709" s="1" t="s">
        <v>46</v>
      </c>
    </row>
    <row r="16710" spans="2:15" x14ac:dyDescent="0.3">
      <c r="B16710" s="1" t="s">
        <v>19</v>
      </c>
      <c r="C16710" s="1" t="str">
        <f t="shared" si="828"/>
        <v>4차</v>
      </c>
      <c r="D16710" s="1" t="str">
        <f>"0228Q48144"</f>
        <v>0228Q48144</v>
      </c>
      <c r="E16710" s="1" t="s">
        <v>10</v>
      </c>
      <c r="F16710" s="1" t="str">
        <f>"10.107.10.73"</f>
        <v>10.107.10.73</v>
      </c>
      <c r="G16710" s="1" t="str">
        <f>"0228Q481"</f>
        <v>0228Q481</v>
      </c>
      <c r="H16710" s="1" t="str">
        <f>"율곡지 4R1L5"</f>
        <v>율곡지 4R1L5</v>
      </c>
      <c r="I16710" s="1" t="s">
        <v>8</v>
      </c>
      <c r="J16710" s="1" t="str">
        <f>"94/106"</f>
        <v>94/106</v>
      </c>
      <c r="K16710" s="1" t="str">
        <f>"2026-07-29 13:18:01"</f>
        <v>2026-07-29 13:18:01</v>
      </c>
      <c r="L16710" s="1" t="str">
        <f>"2019-12-13 12:09:18"</f>
        <v>2019-12-13 12:09:18</v>
      </c>
      <c r="M16710" s="1" t="s">
        <v>45</v>
      </c>
      <c r="N16710" s="1" t="s">
        <v>38</v>
      </c>
      <c r="O16710" s="1" t="s">
        <v>46</v>
      </c>
    </row>
    <row r="16711" spans="2:15" x14ac:dyDescent="0.3">
      <c r="B16711" s="1" t="s">
        <v>19</v>
      </c>
      <c r="C16711" s="1" t="str">
        <f t="shared" si="828"/>
        <v>4차</v>
      </c>
      <c r="D16711" s="1" t="str">
        <f>"0228Q49244"</f>
        <v>0228Q49244</v>
      </c>
      <c r="E16711" s="1" t="s">
        <v>10</v>
      </c>
      <c r="F16711" s="1" t="str">
        <f>"10.107.10.74"</f>
        <v>10.107.10.74</v>
      </c>
      <c r="G16711" s="1" t="str">
        <f>"0228Q492"</f>
        <v>0228Q492</v>
      </c>
      <c r="H16711" s="1" t="str">
        <f>"율곡지 4R1L7"</f>
        <v>율곡지 4R1L7</v>
      </c>
      <c r="I16711" s="1" t="s">
        <v>8</v>
      </c>
      <c r="J16711" s="1" t="str">
        <f>"74/74"</f>
        <v>74/74</v>
      </c>
      <c r="K16711" s="1" t="str">
        <f>"2026-07-29 13:18:02"</f>
        <v>2026-07-29 13:18:02</v>
      </c>
      <c r="L16711" s="1" t="str">
        <f>"2019-12-13 09:05:18"</f>
        <v>2019-12-13 09:05:18</v>
      </c>
      <c r="M16711" s="1" t="s">
        <v>45</v>
      </c>
      <c r="N16711" s="1" t="s">
        <v>38</v>
      </c>
      <c r="O16711" s="1" t="s">
        <v>46</v>
      </c>
    </row>
    <row r="16712" spans="2:15" x14ac:dyDescent="0.3">
      <c r="B16712" s="1" t="s">
        <v>19</v>
      </c>
      <c r="C16712" s="1" t="str">
        <f t="shared" si="828"/>
        <v>4차</v>
      </c>
      <c r="D16712" s="1" t="str">
        <f>"0228Q51244"</f>
        <v>0228Q51244</v>
      </c>
      <c r="E16712" s="1" t="s">
        <v>10</v>
      </c>
      <c r="F16712" s="1" t="str">
        <f>"10.107.12.83"</f>
        <v>10.107.12.83</v>
      </c>
      <c r="G16712" s="1" t="str">
        <f>"0228Q512"</f>
        <v>0228Q512</v>
      </c>
      <c r="H16712" s="1" t="str">
        <f>"월암간 28"</f>
        <v>월암간 28</v>
      </c>
      <c r="I16712" s="1" t="s">
        <v>8</v>
      </c>
      <c r="J16712" s="1" t="str">
        <f>"93/93"</f>
        <v>93/93</v>
      </c>
      <c r="K16712" s="1" t="str">
        <f>"2026-07-29 13:18:01"</f>
        <v>2026-07-29 13:18:01</v>
      </c>
      <c r="L16712" s="1" t="str">
        <f>"2019-11-12 14:38:57"</f>
        <v>2019-11-12 14:38:57</v>
      </c>
      <c r="M16712" s="1" t="s">
        <v>45</v>
      </c>
      <c r="N16712" s="1" t="s">
        <v>38</v>
      </c>
      <c r="O16712" s="1" t="s">
        <v>46</v>
      </c>
    </row>
    <row r="16713" spans="2:15" x14ac:dyDescent="0.3">
      <c r="B16713" s="1" t="s">
        <v>19</v>
      </c>
      <c r="C16713" s="1" t="str">
        <f t="shared" si="828"/>
        <v>4차</v>
      </c>
      <c r="D16713" s="1" t="str">
        <f>"0228Q52144"</f>
        <v>0228Q52144</v>
      </c>
      <c r="E16713" s="1" t="s">
        <v>10</v>
      </c>
      <c r="F16713" s="1" t="str">
        <f>"10.107.12.82"</f>
        <v>10.107.12.82</v>
      </c>
      <c r="G16713" s="1" t="str">
        <f>"0228Q521"</f>
        <v>0228Q521</v>
      </c>
      <c r="H16713" s="1" t="str">
        <f>"월암간 22L12"</f>
        <v>월암간 22L12</v>
      </c>
      <c r="I16713" s="1" t="s">
        <v>8</v>
      </c>
      <c r="J16713" s="1" t="str">
        <f>"51/51"</f>
        <v>51/51</v>
      </c>
      <c r="K16713" s="1" t="str">
        <f>"2026-07-29 13:18:01"</f>
        <v>2026-07-29 13:18:01</v>
      </c>
      <c r="L16713" s="1" t="str">
        <f>"2019-11-12 20:25:13"</f>
        <v>2019-11-12 20:25:13</v>
      </c>
      <c r="M16713" s="1" t="s">
        <v>45</v>
      </c>
      <c r="N16713" s="1" t="s">
        <v>38</v>
      </c>
      <c r="O16713" s="1" t="s">
        <v>46</v>
      </c>
    </row>
    <row r="16714" spans="2:15" x14ac:dyDescent="0.3">
      <c r="B16714" s="1" t="s">
        <v>19</v>
      </c>
      <c r="C16714" s="1" t="str">
        <f t="shared" si="828"/>
        <v>4차</v>
      </c>
      <c r="D16714" s="1" t="str">
        <f>"0228Q54139"</f>
        <v>0228Q54139</v>
      </c>
      <c r="E16714" s="1" t="s">
        <v>10</v>
      </c>
      <c r="F16714" s="1" t="str">
        <f>"10.107.8.236"</f>
        <v>10.107.8.236</v>
      </c>
      <c r="G16714" s="1" t="str">
        <f>"0228Q541"</f>
        <v>0228Q541</v>
      </c>
      <c r="H16714" s="1" t="str">
        <f>"율곡지 1HR2"</f>
        <v>율곡지 1HR2</v>
      </c>
      <c r="I16714" s="1" t="s">
        <v>8</v>
      </c>
      <c r="J16714" s="1" t="str">
        <f>"81/81"</f>
        <v>81/81</v>
      </c>
      <c r="K16714" s="1" t="str">
        <f>"2026-07-29 13:18:02"</f>
        <v>2026-07-29 13:18:02</v>
      </c>
      <c r="L16714" s="1" t="str">
        <f>"2018-04-04 15:49:27"</f>
        <v>2018-04-04 15:49:27</v>
      </c>
      <c r="M16714" s="1" t="s">
        <v>45</v>
      </c>
      <c r="N16714" s="1" t="s">
        <v>38</v>
      </c>
      <c r="O16714" s="1" t="s">
        <v>46</v>
      </c>
    </row>
    <row r="16715" spans="2:15" x14ac:dyDescent="0.3">
      <c r="B16715" s="1" t="s">
        <v>19</v>
      </c>
      <c r="C16715" s="1" t="str">
        <f>"3차"</f>
        <v>3차</v>
      </c>
      <c r="D16715" s="1" t="str">
        <f>"0228Q56739"</f>
        <v>0228Q56739</v>
      </c>
      <c r="E16715" s="1" t="s">
        <v>10</v>
      </c>
      <c r="F16715" s="1" t="str">
        <f>"10.107.8.212"</f>
        <v>10.107.8.212</v>
      </c>
      <c r="G16715" s="1" t="str">
        <f>"0228Q567"</f>
        <v>0228Q567</v>
      </c>
      <c r="H16715" s="1" t="str">
        <f>"율곡지 4R3H1"</f>
        <v>율곡지 4R3H1</v>
      </c>
      <c r="I16715" s="1" t="s">
        <v>8</v>
      </c>
      <c r="J16715" s="1" t="str">
        <f>"41/41"</f>
        <v>41/41</v>
      </c>
      <c r="K16715" s="1" t="str">
        <f>"2026-07-29 13:18:01"</f>
        <v>2026-07-29 13:18:01</v>
      </c>
      <c r="L16715" s="1" t="str">
        <f>"2018-03-26 22:19:58"</f>
        <v>2018-03-26 22:19:58</v>
      </c>
      <c r="M16715" s="1" t="s">
        <v>45</v>
      </c>
      <c r="N16715" s="1" t="s">
        <v>38</v>
      </c>
      <c r="O16715" s="1" t="s">
        <v>46</v>
      </c>
    </row>
    <row r="16716" spans="2:15" x14ac:dyDescent="0.3">
      <c r="B16716" s="1" t="s">
        <v>19</v>
      </c>
      <c r="C16716" s="1" t="str">
        <f>"4차"</f>
        <v>4차</v>
      </c>
      <c r="D16716" s="1" t="str">
        <f>"0228Q58344"</f>
        <v>0228Q58344</v>
      </c>
      <c r="E16716" s="1" t="s">
        <v>10</v>
      </c>
      <c r="F16716" s="1" t="str">
        <f>"10.107.12.94"</f>
        <v>10.107.12.94</v>
      </c>
      <c r="G16716" s="1" t="str">
        <f>"0228Q583"</f>
        <v>0228Q583</v>
      </c>
      <c r="H16716" s="1" t="str">
        <f>"율곡지 4R1L6R3"</f>
        <v>율곡지 4R1L6R3</v>
      </c>
      <c r="I16716" s="1" t="s">
        <v>8</v>
      </c>
      <c r="J16716" s="1" t="str">
        <f>"17/17"</f>
        <v>17/17</v>
      </c>
      <c r="K16716" s="1" t="str">
        <f>"2026-07-29 13:18:01"</f>
        <v>2026-07-29 13:18:01</v>
      </c>
      <c r="L16716" s="1" t="str">
        <f>"2019-12-13 12:09:18"</f>
        <v>2019-12-13 12:09:18</v>
      </c>
      <c r="M16716" s="1" t="s">
        <v>45</v>
      </c>
      <c r="N16716" s="1" t="s">
        <v>38</v>
      </c>
      <c r="O16716" s="1" t="s">
        <v>46</v>
      </c>
    </row>
    <row r="16717" spans="2:15" x14ac:dyDescent="0.3">
      <c r="B16717" s="1" t="s">
        <v>19</v>
      </c>
      <c r="C16717" s="1" t="str">
        <f>"4차"</f>
        <v>4차</v>
      </c>
      <c r="D16717" s="1" t="str">
        <f>"0228Q58444"</f>
        <v>0228Q58444</v>
      </c>
      <c r="E16717" s="1" t="s">
        <v>10</v>
      </c>
      <c r="F16717" s="1" t="str">
        <f>"10.107.12.95"</f>
        <v>10.107.12.95</v>
      </c>
      <c r="G16717" s="1" t="str">
        <f>"0228Q584"</f>
        <v>0228Q584</v>
      </c>
      <c r="H16717" s="1" t="str">
        <f>"율곡지 4R1L6R2"</f>
        <v>율곡지 4R1L6R2</v>
      </c>
      <c r="I16717" s="1" t="s">
        <v>8</v>
      </c>
      <c r="J16717" s="1" t="str">
        <f>"53/53"</f>
        <v>53/53</v>
      </c>
      <c r="K16717" s="1" t="str">
        <f>"2026-07-29 13:18:01"</f>
        <v>2026-07-29 13:18:01</v>
      </c>
      <c r="L16717" s="1" t="str">
        <f>"2019-12-13 09:10:11"</f>
        <v>2019-12-13 09:10:11</v>
      </c>
      <c r="M16717" s="1" t="s">
        <v>45</v>
      </c>
      <c r="N16717" s="1" t="s">
        <v>38</v>
      </c>
      <c r="O16717" s="1" t="s">
        <v>46</v>
      </c>
    </row>
    <row r="16718" spans="2:15" x14ac:dyDescent="0.3">
      <c r="B16718" s="1" t="s">
        <v>19</v>
      </c>
      <c r="C16718" s="1" t="str">
        <f>"5-1차"</f>
        <v>5-1차</v>
      </c>
      <c r="D16718" s="1" t="str">
        <f>"0228Q6345M"</f>
        <v>0228Q6345M</v>
      </c>
      <c r="E16718" s="1" t="s">
        <v>10</v>
      </c>
      <c r="F16718" s="1" t="str">
        <f>"fde2:104:0:b:0:0:0:2"</f>
        <v>fde2:104:0:b:0:0:0:2</v>
      </c>
      <c r="G16718" s="1" t="str">
        <f>"0228Q634"</f>
        <v>0228Q634</v>
      </c>
      <c r="H16718" s="1" t="str">
        <f>"월암간 32L1"</f>
        <v>월암간 32L1</v>
      </c>
      <c r="I16718" s="1" t="s">
        <v>15</v>
      </c>
      <c r="J16718" s="1" t="str">
        <f>"43/46"</f>
        <v>43/46</v>
      </c>
      <c r="K16718" s="1" t="str">
        <f>"2026-07-29 14:20:33"</f>
        <v>2026-07-29 14:20:33</v>
      </c>
      <c r="L16718" s="1" t="str">
        <f>"2022-09-27 18:36:21"</f>
        <v>2022-09-27 18:36:21</v>
      </c>
      <c r="M16718" s="1" t="s">
        <v>42</v>
      </c>
      <c r="N16718" s="1" t="s">
        <v>38</v>
      </c>
      <c r="O16718" s="1" t="s">
        <v>46</v>
      </c>
    </row>
    <row r="16719" spans="2:15" x14ac:dyDescent="0.3">
      <c r="B16719" s="1" t="s">
        <v>19</v>
      </c>
      <c r="C16719" s="1" t="str">
        <f>"3차"</f>
        <v>3차</v>
      </c>
      <c r="D16719" s="1" t="str">
        <f>"0228Q64239"</f>
        <v>0228Q64239</v>
      </c>
      <c r="E16719" s="1" t="s">
        <v>10</v>
      </c>
      <c r="F16719" s="1" t="str">
        <f>"10.107.8.237"</f>
        <v>10.107.8.237</v>
      </c>
      <c r="G16719" s="1" t="str">
        <f>"0228Q642"</f>
        <v>0228Q642</v>
      </c>
      <c r="H16719" s="1" t="str">
        <f>"율곡지 1R3"</f>
        <v>율곡지 1R3</v>
      </c>
      <c r="I16719" s="1" t="s">
        <v>8</v>
      </c>
      <c r="J16719" s="1" t="str">
        <f>"35/40"</f>
        <v>35/40</v>
      </c>
      <c r="K16719" s="1" t="str">
        <f>"2026-07-29 13:18:02"</f>
        <v>2026-07-29 13:18:02</v>
      </c>
      <c r="L16719" s="1" t="str">
        <f>"2018-05-31 11:18:10"</f>
        <v>2018-05-31 11:18:10</v>
      </c>
      <c r="M16719" s="1" t="s">
        <v>45</v>
      </c>
      <c r="N16719" s="1" t="s">
        <v>38</v>
      </c>
      <c r="O16719" s="1" t="s">
        <v>46</v>
      </c>
    </row>
    <row r="16720" spans="2:15" x14ac:dyDescent="0.3">
      <c r="B16720" s="1" t="s">
        <v>19</v>
      </c>
      <c r="C16720" s="1" t="str">
        <f>"3차"</f>
        <v>3차</v>
      </c>
      <c r="D16720" s="1" t="str">
        <f>"0228Q67439"</f>
        <v>0228Q67439</v>
      </c>
      <c r="E16720" s="1" t="s">
        <v>10</v>
      </c>
      <c r="F16720" s="1" t="str">
        <f>"10.107.8.239"</f>
        <v>10.107.8.239</v>
      </c>
      <c r="G16720" s="1" t="str">
        <f>"0228Q674"</f>
        <v>0228Q674</v>
      </c>
      <c r="H16720" s="1" t="str">
        <f>"율곡지 4R5"</f>
        <v>율곡지 4R5</v>
      </c>
      <c r="I16720" s="1" t="s">
        <v>8</v>
      </c>
      <c r="J16720" s="1" t="str">
        <f>"30/31"</f>
        <v>30/31</v>
      </c>
      <c r="K16720" s="1" t="str">
        <f>"2026-07-29 13:18:03"</f>
        <v>2026-07-29 13:18:03</v>
      </c>
      <c r="L16720" s="1" t="str">
        <f>"2018-04-09 12:04:39"</f>
        <v>2018-04-09 12:04:39</v>
      </c>
      <c r="M16720" s="1" t="s">
        <v>45</v>
      </c>
      <c r="N16720" s="1" t="s">
        <v>38</v>
      </c>
      <c r="O16720" s="1" t="s">
        <v>46</v>
      </c>
    </row>
    <row r="16721" spans="2:15" x14ac:dyDescent="0.3">
      <c r="B16721" s="1" t="s">
        <v>19</v>
      </c>
      <c r="C16721" s="1" t="str">
        <f>"4차"</f>
        <v>4차</v>
      </c>
      <c r="D16721" s="1" t="str">
        <f>"0228Q67544"</f>
        <v>0228Q67544</v>
      </c>
      <c r="E16721" s="1" t="s">
        <v>10</v>
      </c>
      <c r="F16721" s="1" t="str">
        <f>"10.107.12.93"</f>
        <v>10.107.12.93</v>
      </c>
      <c r="G16721" s="1" t="str">
        <f>"0228Q675"</f>
        <v>0228Q675</v>
      </c>
      <c r="H16721" s="1" t="str">
        <f>"율곡지 4R4"</f>
        <v>율곡지 4R4</v>
      </c>
      <c r="I16721" s="1" t="s">
        <v>8</v>
      </c>
      <c r="J16721" s="1" t="str">
        <f>"57/57"</f>
        <v>57/57</v>
      </c>
      <c r="K16721" s="1" t="str">
        <f>"2026-07-29 13:18:03"</f>
        <v>2026-07-29 13:18:03</v>
      </c>
      <c r="L16721" s="1" t="str">
        <f>"2019-12-13 09:05:42"</f>
        <v>2019-12-13 09:05:42</v>
      </c>
      <c r="M16721" s="1" t="s">
        <v>45</v>
      </c>
      <c r="N16721" s="1" t="s">
        <v>38</v>
      </c>
      <c r="O16721" s="1" t="s">
        <v>46</v>
      </c>
    </row>
    <row r="16722" spans="2:15" x14ac:dyDescent="0.3">
      <c r="B16722" s="1" t="s">
        <v>19</v>
      </c>
      <c r="C16722" s="1" t="str">
        <f>"4차"</f>
        <v>4차</v>
      </c>
      <c r="D16722" s="1" t="str">
        <f>"0228Q68244"</f>
        <v>0228Q68244</v>
      </c>
      <c r="E16722" s="1" t="str">
        <f>"검침실패(3시간 이상)"</f>
        <v>검침실패(3시간 이상)</v>
      </c>
      <c r="F16722" s="1" t="str">
        <f>"10.107.12.100"</f>
        <v>10.107.12.100</v>
      </c>
      <c r="G16722" s="1" t="str">
        <f>"0228Q682"</f>
        <v>0228Q682</v>
      </c>
      <c r="H16722" s="1" t="str">
        <f>"율곡지 4R6"</f>
        <v>율곡지 4R6</v>
      </c>
      <c r="I16722" s="1" t="s">
        <v>8</v>
      </c>
      <c r="J16722" s="1" t="str">
        <f>"0/44"</f>
        <v>0/44</v>
      </c>
      <c r="K16722" s="1" t="str">
        <f>"2026-07-29 13:18:03"</f>
        <v>2026-07-29 13:18:03</v>
      </c>
      <c r="L16722" s="1" t="str">
        <f>"2019-12-13 09:10:17"</f>
        <v>2019-12-13 09:10:17</v>
      </c>
      <c r="M16722" s="1" t="s">
        <v>45</v>
      </c>
      <c r="N16722" s="1" t="s">
        <v>38</v>
      </c>
      <c r="O16722" s="1" t="s">
        <v>46</v>
      </c>
    </row>
    <row r="16723" spans="2:15" x14ac:dyDescent="0.3">
      <c r="B16723" s="1" t="s">
        <v>19</v>
      </c>
      <c r="C16723" s="1" t="str">
        <f>"4차"</f>
        <v>4차</v>
      </c>
      <c r="D16723" s="1" t="str">
        <f>"0228Q69139"</f>
        <v>0228Q69139</v>
      </c>
      <c r="E16723" s="1" t="s">
        <v>10</v>
      </c>
      <c r="F16723" s="1" t="str">
        <f>"10.12.137.117"</f>
        <v>10.12.137.117</v>
      </c>
      <c r="G16723" s="1" t="str">
        <f>"0228Q691"</f>
        <v>0228Q691</v>
      </c>
      <c r="H16723" s="1" t="str">
        <f>"율곡지 4R8L1L1"</f>
        <v>율곡지 4R8L1L1</v>
      </c>
      <c r="I16723" s="1" t="s">
        <v>8</v>
      </c>
      <c r="J16723" s="1" t="str">
        <f>"48/48"</f>
        <v>48/48</v>
      </c>
      <c r="K16723" s="1" t="str">
        <f t="shared" ref="K16723:K16728" si="829">"2026-07-29 13:18:02"</f>
        <v>2026-07-29 13:18:02</v>
      </c>
      <c r="L16723" s="1" t="str">
        <f>"2018-04-25 11:09:56"</f>
        <v>2018-04-25 11:09:56</v>
      </c>
      <c r="M16723" s="1" t="s">
        <v>0</v>
      </c>
      <c r="N16723" s="1" t="s">
        <v>38</v>
      </c>
      <c r="O16723" s="1" t="s">
        <v>46</v>
      </c>
    </row>
    <row r="16724" spans="2:15" x14ac:dyDescent="0.3">
      <c r="B16724" s="1" t="s">
        <v>19</v>
      </c>
      <c r="C16724" s="1" t="str">
        <f>"4차"</f>
        <v>4차</v>
      </c>
      <c r="D16724" s="1" t="str">
        <f>"0228Q75144"</f>
        <v>0228Q75144</v>
      </c>
      <c r="E16724" s="1" t="s">
        <v>14</v>
      </c>
      <c r="F16724" s="1" t="str">
        <f>"10.107.12.85"</f>
        <v>10.107.12.85</v>
      </c>
      <c r="G16724" s="1" t="str">
        <f>"0228Q751"</f>
        <v>0228Q751</v>
      </c>
      <c r="H16724" s="1" t="str">
        <f>"월암간 39"</f>
        <v>월암간 39</v>
      </c>
      <c r="I16724" s="1" t="s">
        <v>8</v>
      </c>
      <c r="J16724" s="1" t="str">
        <f>"0/0"</f>
        <v>0/0</v>
      </c>
      <c r="K16724" s="1" t="str">
        <f t="shared" si="829"/>
        <v>2026-07-29 13:18:02</v>
      </c>
      <c r="L16724" s="1" t="str">
        <f>"2019-11-12 14:47:50"</f>
        <v>2019-11-12 14:47:50</v>
      </c>
      <c r="M16724" s="1" t="s">
        <v>45</v>
      </c>
      <c r="N16724" s="1" t="s">
        <v>38</v>
      </c>
      <c r="O16724" s="1" t="s">
        <v>44</v>
      </c>
    </row>
    <row r="16725" spans="2:15" x14ac:dyDescent="0.3">
      <c r="B16725" s="1" t="s">
        <v>19</v>
      </c>
      <c r="C16725" s="1" t="str">
        <f>"3차"</f>
        <v>3차</v>
      </c>
      <c r="D16725" s="1" t="str">
        <f>"0228Q76139"</f>
        <v>0228Q76139</v>
      </c>
      <c r="E16725" s="1" t="s">
        <v>10</v>
      </c>
      <c r="F16725" s="1" t="str">
        <f>"10.107.8.238"</f>
        <v>10.107.8.238</v>
      </c>
      <c r="G16725" s="1" t="str">
        <f>"0228Q761"</f>
        <v>0228Q761</v>
      </c>
      <c r="H16725" s="1" t="str">
        <f>"율곡지 1R6"</f>
        <v>율곡지 1R6</v>
      </c>
      <c r="I16725" s="1" t="s">
        <v>8</v>
      </c>
      <c r="J16725" s="1" t="str">
        <f>"14/14"</f>
        <v>14/14</v>
      </c>
      <c r="K16725" s="1" t="str">
        <f t="shared" si="829"/>
        <v>2026-07-29 13:18:02</v>
      </c>
      <c r="L16725" s="1" t="str">
        <f>"2018-04-04 15:51:00"</f>
        <v>2018-04-04 15:51:00</v>
      </c>
      <c r="M16725" s="1" t="s">
        <v>45</v>
      </c>
      <c r="N16725" s="1" t="s">
        <v>38</v>
      </c>
      <c r="O16725" s="1" t="s">
        <v>46</v>
      </c>
    </row>
    <row r="16726" spans="2:15" x14ac:dyDescent="0.3">
      <c r="B16726" s="1" t="s">
        <v>19</v>
      </c>
      <c r="C16726" s="1" t="str">
        <f>"4차"</f>
        <v>4차</v>
      </c>
      <c r="D16726" s="1" t="str">
        <f>"0228Q77544"</f>
        <v>0228Q77544</v>
      </c>
      <c r="E16726" s="1" t="s">
        <v>10</v>
      </c>
      <c r="F16726" s="1" t="str">
        <f>"10.107.12.96"</f>
        <v>10.107.12.96</v>
      </c>
      <c r="G16726" s="1" t="str">
        <f>"0228Q775"</f>
        <v>0228Q775</v>
      </c>
      <c r="H16726" s="1" t="str">
        <f>"율곡지 4R5R1"</f>
        <v>율곡지 4R5R1</v>
      </c>
      <c r="I16726" s="1" t="s">
        <v>8</v>
      </c>
      <c r="J16726" s="1" t="str">
        <f>"42/44"</f>
        <v>42/44</v>
      </c>
      <c r="K16726" s="1" t="str">
        <f t="shared" si="829"/>
        <v>2026-07-29 13:18:02</v>
      </c>
      <c r="L16726" s="1" t="str">
        <f>"2019-12-13 09:09:54"</f>
        <v>2019-12-13 09:09:54</v>
      </c>
      <c r="M16726" s="1" t="s">
        <v>45</v>
      </c>
      <c r="N16726" s="1" t="s">
        <v>38</v>
      </c>
      <c r="O16726" s="1" t="s">
        <v>46</v>
      </c>
    </row>
    <row r="16727" spans="2:15" x14ac:dyDescent="0.3">
      <c r="B16727" s="1" t="s">
        <v>19</v>
      </c>
      <c r="C16727" s="1" t="s">
        <v>16</v>
      </c>
      <c r="D16727" s="1" t="str">
        <f>"0228Q79144"</f>
        <v>0228Q79144</v>
      </c>
      <c r="E16727" s="1" t="s">
        <v>10</v>
      </c>
      <c r="F16727" s="1" t="str">
        <f>"10.107.122.110"</f>
        <v>10.107.122.110</v>
      </c>
      <c r="G16727" s="1" t="str">
        <f>"0228Q791"</f>
        <v>0228Q791</v>
      </c>
      <c r="H16727" s="1" t="str">
        <f>"율곡지 4R8L1"</f>
        <v>율곡지 4R8L1</v>
      </c>
      <c r="I16727" s="1" t="s">
        <v>8</v>
      </c>
      <c r="J16727" s="1" t="str">
        <f>"35/37"</f>
        <v>35/37</v>
      </c>
      <c r="K16727" s="1" t="str">
        <f t="shared" si="829"/>
        <v>2026-07-29 13:18:02</v>
      </c>
      <c r="L16727" s="1" t="str">
        <f>"2024-03-21 13:21:48"</f>
        <v>2024-03-21 13:21:48</v>
      </c>
      <c r="M16727" s="1" t="s">
        <v>45</v>
      </c>
      <c r="N16727" s="1" t="s">
        <v>38</v>
      </c>
      <c r="O16727" s="1" t="s">
        <v>46</v>
      </c>
    </row>
    <row r="16728" spans="2:15" x14ac:dyDescent="0.3">
      <c r="B16728" s="1" t="s">
        <v>19</v>
      </c>
      <c r="C16728" s="1" t="str">
        <f>"4차"</f>
        <v>4차</v>
      </c>
      <c r="D16728" s="1" t="str">
        <f>"0228Q85344"</f>
        <v>0228Q85344</v>
      </c>
      <c r="E16728" s="1" t="s">
        <v>10</v>
      </c>
      <c r="F16728" s="1" t="str">
        <f>"10.107.12.84"</f>
        <v>10.107.12.84</v>
      </c>
      <c r="G16728" s="1" t="str">
        <f>"0228Q853"</f>
        <v>0228Q853</v>
      </c>
      <c r="H16728" s="1" t="str">
        <f>"월암간 38"</f>
        <v>월암간 38</v>
      </c>
      <c r="I16728" s="1" t="s">
        <v>8</v>
      </c>
      <c r="J16728" s="1" t="str">
        <f>"22/22"</f>
        <v>22/22</v>
      </c>
      <c r="K16728" s="1" t="str">
        <f t="shared" si="829"/>
        <v>2026-07-29 13:18:02</v>
      </c>
      <c r="L16728" s="1" t="str">
        <f>"2019-11-12 14:46:18"</f>
        <v>2019-11-12 14:46:18</v>
      </c>
      <c r="M16728" s="1" t="s">
        <v>45</v>
      </c>
      <c r="N16728" s="1" t="s">
        <v>38</v>
      </c>
      <c r="O16728" s="1" t="s">
        <v>46</v>
      </c>
    </row>
    <row r="16729" spans="2:15" x14ac:dyDescent="0.3">
      <c r="B16729" s="1" t="s">
        <v>19</v>
      </c>
      <c r="C16729" s="1" t="str">
        <f>"4차"</f>
        <v>4차</v>
      </c>
      <c r="D16729" s="1" t="str">
        <f>"0228Q87241"</f>
        <v>0228Q87241</v>
      </c>
      <c r="E16729" s="1" t="s">
        <v>10</v>
      </c>
      <c r="F16729" s="1" t="str">
        <f>"10.12.130.155"</f>
        <v>10.12.130.155</v>
      </c>
      <c r="G16729" s="1" t="str">
        <f>"0228Q872"</f>
        <v>0228Q872</v>
      </c>
      <c r="H16729" s="1" t="str">
        <f>"율곡지 4R5R3"</f>
        <v>율곡지 4R5R3</v>
      </c>
      <c r="I16729" s="1" t="s">
        <v>17</v>
      </c>
      <c r="J16729" s="1" t="str">
        <f>"49/60"</f>
        <v>49/60</v>
      </c>
      <c r="K16729" s="1" t="str">
        <f>"2026-07-29 13:18:04"</f>
        <v>2026-07-29 13:18:04</v>
      </c>
      <c r="L16729" s="1" t="str">
        <f>"2021-10-12 12:00:36"</f>
        <v>2021-10-12 12:00:36</v>
      </c>
      <c r="M16729" s="1" t="s">
        <v>0</v>
      </c>
      <c r="N16729" s="1" t="s">
        <v>38</v>
      </c>
      <c r="O16729" s="1" t="s">
        <v>46</v>
      </c>
    </row>
    <row r="16730" spans="2:15" x14ac:dyDescent="0.3">
      <c r="B16730" s="1" t="s">
        <v>19</v>
      </c>
      <c r="C16730" s="1" t="str">
        <f>"5-1차"</f>
        <v>5-1차</v>
      </c>
      <c r="D16730" s="1" t="str">
        <f>"0228Q8735M"</f>
        <v>0228Q8735M</v>
      </c>
      <c r="E16730" s="1" t="s">
        <v>12</v>
      </c>
      <c r="F16730" s="1" t="str">
        <f>"fde2:104:0:9:0:0:0:2"</f>
        <v>fde2:104:0:9:0:0:0:2</v>
      </c>
      <c r="G16730" s="1" t="str">
        <f>"0228Q873"</f>
        <v>0228Q873</v>
      </c>
      <c r="H16730" s="1" t="str">
        <f>"율곡지 4R5R2"</f>
        <v>율곡지 4R5R2</v>
      </c>
      <c r="I16730" s="1" t="s">
        <v>15</v>
      </c>
      <c r="J16730" s="1" t="str">
        <f>"0/85"</f>
        <v>0/85</v>
      </c>
      <c r="K16730" s="1" t="str">
        <f>"2026-07-11 14:21:17"</f>
        <v>2026-07-11 14:21:17</v>
      </c>
      <c r="L16730" s="1" t="str">
        <f>"2022-09-02 13:33:37"</f>
        <v>2022-09-02 13:33:37</v>
      </c>
      <c r="M16730" s="1" t="s">
        <v>42</v>
      </c>
      <c r="N16730" s="1" t="s">
        <v>38</v>
      </c>
      <c r="O16730" s="1" t="s">
        <v>46</v>
      </c>
    </row>
    <row r="16731" spans="2:15" x14ac:dyDescent="0.3">
      <c r="B16731" s="1" t="s">
        <v>19</v>
      </c>
      <c r="C16731" s="1" t="str">
        <f>"3차"</f>
        <v>3차</v>
      </c>
      <c r="D16731" s="1" t="str">
        <f>"0228Q98139"</f>
        <v>0228Q98139</v>
      </c>
      <c r="E16731" s="1" t="s">
        <v>10</v>
      </c>
      <c r="F16731" s="1" t="str">
        <f>"10.12.137.114"</f>
        <v>10.12.137.114</v>
      </c>
      <c r="G16731" s="1" t="str">
        <f>"0228Q981"</f>
        <v>0228Q981</v>
      </c>
      <c r="H16731" s="1" t="str">
        <f>"율곡지 4R5R5"</f>
        <v>율곡지 4R5R5</v>
      </c>
      <c r="I16731" s="1" t="s">
        <v>8</v>
      </c>
      <c r="J16731" s="1" t="str">
        <f>"59/59"</f>
        <v>59/59</v>
      </c>
      <c r="K16731" s="1" t="str">
        <f>"2026-07-29 13:18:02"</f>
        <v>2026-07-29 13:18:02</v>
      </c>
      <c r="L16731" s="1" t="str">
        <f>"2018-04-25 11:37:27"</f>
        <v>2018-04-25 11:37:27</v>
      </c>
      <c r="M16731" s="1" t="s">
        <v>0</v>
      </c>
      <c r="N16731" s="1" t="s">
        <v>38</v>
      </c>
      <c r="O16731" s="1" t="s">
        <v>46</v>
      </c>
    </row>
    <row r="16732" spans="2:15" x14ac:dyDescent="0.3">
      <c r="B16732" s="1" t="s">
        <v>19</v>
      </c>
      <c r="C16732" s="1" t="str">
        <f>"4차"</f>
        <v>4차</v>
      </c>
      <c r="D16732" s="1" t="str">
        <f>"0228Q99144"</f>
        <v>0228Q99144</v>
      </c>
      <c r="E16732" s="1" t="s">
        <v>10</v>
      </c>
      <c r="F16732" s="1" t="str">
        <f>"10.107.12.97"</f>
        <v>10.107.12.97</v>
      </c>
      <c r="G16732" s="1" t="str">
        <f>"0228Q991"</f>
        <v>0228Q991</v>
      </c>
      <c r="H16732" s="1" t="str">
        <f>"율곡지 4R5R6"</f>
        <v>율곡지 4R5R6</v>
      </c>
      <c r="I16732" s="1" t="s">
        <v>8</v>
      </c>
      <c r="J16732" s="1" t="str">
        <f>"26/26"</f>
        <v>26/26</v>
      </c>
      <c r="K16732" s="1" t="str">
        <f>"2026-07-29 13:18:01"</f>
        <v>2026-07-29 13:18:01</v>
      </c>
      <c r="L16732" s="1" t="str">
        <f>"2019-11-12 15:03:04"</f>
        <v>2019-11-12 15:03:04</v>
      </c>
      <c r="M16732" s="1" t="s">
        <v>45</v>
      </c>
      <c r="N16732" s="1" t="s">
        <v>38</v>
      </c>
      <c r="O16732" s="1" t="s">
        <v>46</v>
      </c>
    </row>
    <row r="16733" spans="2:15" x14ac:dyDescent="0.3">
      <c r="B16733" s="1" t="s">
        <v>19</v>
      </c>
      <c r="C16733" s="1" t="str">
        <f>"4차"</f>
        <v>4차</v>
      </c>
      <c r="D16733" s="1" t="str">
        <f>"0228Q99244"</f>
        <v>0228Q99244</v>
      </c>
      <c r="E16733" s="1" t="s">
        <v>10</v>
      </c>
      <c r="F16733" s="1" t="str">
        <f>"10.107.12.98"</f>
        <v>10.107.12.98</v>
      </c>
      <c r="G16733" s="1" t="str">
        <f>"0228Q992"</f>
        <v>0228Q992</v>
      </c>
      <c r="H16733" s="1" t="str">
        <f>"율곡지 4R5R7"</f>
        <v>율곡지 4R5R7</v>
      </c>
      <c r="I16733" s="1" t="s">
        <v>8</v>
      </c>
      <c r="J16733" s="1" t="str">
        <f>"81/81"</f>
        <v>81/81</v>
      </c>
      <c r="K16733" s="1" t="str">
        <f>"2026-07-29 13:18:01"</f>
        <v>2026-07-29 13:18:01</v>
      </c>
      <c r="L16733" s="1" t="str">
        <f>"2019-11-12 20:27:53"</f>
        <v>2019-11-12 20:27:53</v>
      </c>
      <c r="M16733" s="1" t="s">
        <v>45</v>
      </c>
      <c r="N16733" s="1" t="s">
        <v>38</v>
      </c>
      <c r="O16733" s="1" t="s">
        <v>46</v>
      </c>
    </row>
    <row r="16734" spans="2:15" x14ac:dyDescent="0.3">
      <c r="B16734" s="1" t="s">
        <v>19</v>
      </c>
      <c r="C16734" s="1" t="str">
        <f>"4차"</f>
        <v>4차</v>
      </c>
      <c r="D16734" s="1" t="str">
        <f>"0228R00239"</f>
        <v>0228R00239</v>
      </c>
      <c r="E16734" s="1" t="s">
        <v>10</v>
      </c>
      <c r="F16734" s="1" t="str">
        <f>"10.12.136.103"</f>
        <v>10.12.136.103</v>
      </c>
      <c r="G16734" s="1" t="str">
        <f>"0228R002"</f>
        <v>0228R002</v>
      </c>
      <c r="H16734" s="1" t="str">
        <f>"종암 23"</f>
        <v>종암 23</v>
      </c>
      <c r="I16734" s="1" t="s">
        <v>17</v>
      </c>
      <c r="J16734" s="1" t="str">
        <f>"14/14"</f>
        <v>14/14</v>
      </c>
      <c r="K16734" s="1" t="str">
        <f>"2026-07-29 13:18:02"</f>
        <v>2026-07-29 13:18:02</v>
      </c>
      <c r="L16734" s="1" t="str">
        <f>"2018-05-30 07:37:26"</f>
        <v>2018-05-30 07:37:26</v>
      </c>
      <c r="M16734" s="1" t="s">
        <v>0</v>
      </c>
      <c r="N16734" s="1" t="s">
        <v>38</v>
      </c>
      <c r="O16734" s="1" t="s">
        <v>46</v>
      </c>
    </row>
    <row r="16735" spans="2:15" x14ac:dyDescent="0.3">
      <c r="B16735" s="1" t="s">
        <v>19</v>
      </c>
      <c r="C16735" s="1" t="str">
        <f>"4차"</f>
        <v>4차</v>
      </c>
      <c r="D16735" s="1" t="str">
        <f>"0228R00339"</f>
        <v>0228R00339</v>
      </c>
      <c r="E16735" s="1" t="s">
        <v>14</v>
      </c>
      <c r="F16735" s="1" t="str">
        <f>"10.12.136.91"</f>
        <v>10.12.136.91</v>
      </c>
      <c r="G16735" s="1" t="str">
        <f>"0228R003"</f>
        <v>0228R003</v>
      </c>
      <c r="H16735" s="1" t="str">
        <f>"종암 22"</f>
        <v>종암 22</v>
      </c>
      <c r="I16735" s="1" t="s">
        <v>17</v>
      </c>
      <c r="J16735" s="1" t="str">
        <f>"0/0"</f>
        <v>0/0</v>
      </c>
      <c r="K16735" s="1" t="str">
        <f>"2026-07-28 07:18:03"</f>
        <v>2026-07-28 07:18:03</v>
      </c>
      <c r="L16735" s="1" t="str">
        <f>"2018-05-30 07:46:09"</f>
        <v>2018-05-30 07:46:09</v>
      </c>
      <c r="M16735" s="1" t="s">
        <v>0</v>
      </c>
      <c r="N16735" s="1" t="s">
        <v>39</v>
      </c>
      <c r="O16735" s="1" t="s">
        <v>46</v>
      </c>
    </row>
    <row r="16736" spans="2:15" x14ac:dyDescent="0.3">
      <c r="B16736" s="1" t="s">
        <v>19</v>
      </c>
      <c r="C16736" s="1" t="str">
        <f>"4차"</f>
        <v>4차</v>
      </c>
      <c r="D16736" s="1" t="str">
        <f>"0228R02145"</f>
        <v>0228R02145</v>
      </c>
      <c r="E16736" s="1" t="s">
        <v>10</v>
      </c>
      <c r="F16736" s="1" t="str">
        <f>"10.14.15.59"</f>
        <v>10.14.15.59</v>
      </c>
      <c r="G16736" s="1" t="str">
        <f>"0228R021"</f>
        <v>0228R021</v>
      </c>
      <c r="H16736" s="1" t="str">
        <f>"종암 9"</f>
        <v>종암 9</v>
      </c>
      <c r="I16736" s="1" t="s">
        <v>17</v>
      </c>
      <c r="J16736" s="1" t="str">
        <f>"22/22"</f>
        <v>22/22</v>
      </c>
      <c r="K16736" s="1" t="str">
        <f>"2026-07-29 13:18:04"</f>
        <v>2026-07-29 13:18:04</v>
      </c>
      <c r="L16736" s="1" t="str">
        <f>"2021-06-24 09:43:56"</f>
        <v>2021-06-24 09:43:56</v>
      </c>
      <c r="M16736" s="1" t="s">
        <v>3</v>
      </c>
      <c r="N16736" s="1" t="s">
        <v>38</v>
      </c>
      <c r="O16736" s="1" t="s">
        <v>46</v>
      </c>
    </row>
    <row r="16737" spans="2:15" x14ac:dyDescent="0.3">
      <c r="B16737" s="1" t="s">
        <v>19</v>
      </c>
      <c r="C16737" s="1" t="str">
        <f>"5-2차"</f>
        <v>5-2차</v>
      </c>
      <c r="D16737" s="1" t="str">
        <f>"0228R0445M"</f>
        <v>0228R0445M</v>
      </c>
      <c r="E16737" s="1" t="s">
        <v>10</v>
      </c>
      <c r="F16737" s="1" t="str">
        <f>"fde1:103:4:9235:0:0:0:2"</f>
        <v>fde1:103:4:9235:0:0:0:2</v>
      </c>
      <c r="G16737" s="1" t="str">
        <f>"0228R044"</f>
        <v>0228R044</v>
      </c>
      <c r="H16737" s="1" t="str">
        <f>"고려지 55L3"</f>
        <v>고려지 55L3</v>
      </c>
      <c r="I16737" s="1" t="s">
        <v>15</v>
      </c>
      <c r="J16737" s="1" t="str">
        <f>"70/91"</f>
        <v>70/91</v>
      </c>
      <c r="K16737" s="1" t="str">
        <f>"2026-07-29 14:20:31"</f>
        <v>2026-07-29 14:20:31</v>
      </c>
      <c r="L16737" s="1" t="str">
        <f>"2023-12-21 09:24:20"</f>
        <v>2023-12-21 09:24:20</v>
      </c>
      <c r="M16737" s="1" t="s">
        <v>4</v>
      </c>
      <c r="N16737" s="1" t="s">
        <v>38</v>
      </c>
      <c r="O16737" s="1" t="s">
        <v>46</v>
      </c>
    </row>
    <row r="16738" spans="2:15" x14ac:dyDescent="0.3">
      <c r="B16738" s="1" t="s">
        <v>19</v>
      </c>
      <c r="C16738" s="1" t="str">
        <f>"5-2차"</f>
        <v>5-2차</v>
      </c>
      <c r="D16738" s="1" t="str">
        <f>"0228R0515M"</f>
        <v>0228R0515M</v>
      </c>
      <c r="E16738" s="1" t="s">
        <v>10</v>
      </c>
      <c r="F16738" s="1" t="str">
        <f>"fde3:102:1410:8100:0:0:0:4"</f>
        <v>fde3:102:1410:8100:0:0:0:4</v>
      </c>
      <c r="G16738" s="1" t="str">
        <f>"0228R051"</f>
        <v>0228R051</v>
      </c>
      <c r="H16738" s="1" t="str">
        <f>"고려지 57L1"</f>
        <v>고려지 57L1</v>
      </c>
      <c r="I16738" s="1" t="s">
        <v>15</v>
      </c>
      <c r="J16738" s="1" t="str">
        <f>"77/77"</f>
        <v>77/77</v>
      </c>
      <c r="K16738" s="1" t="str">
        <f>"2026-07-29 14:20:31"</f>
        <v>2026-07-29 14:20:31</v>
      </c>
      <c r="L16738" s="1" t="str">
        <f>"2023-12-13 11:48:08"</f>
        <v>2023-12-13 11:48:08</v>
      </c>
      <c r="M16738" s="1" t="s">
        <v>45</v>
      </c>
      <c r="N16738" s="1" t="s">
        <v>38</v>
      </c>
      <c r="O16738" s="1" t="s">
        <v>46</v>
      </c>
    </row>
    <row r="16739" spans="2:15" x14ac:dyDescent="0.3">
      <c r="B16739" s="1" t="s">
        <v>19</v>
      </c>
      <c r="C16739" s="1" t="str">
        <f>"5-2차"</f>
        <v>5-2차</v>
      </c>
      <c r="D16739" s="1" t="str">
        <f>"0228R0625M"</f>
        <v>0228R0625M</v>
      </c>
      <c r="E16739" s="1" t="s">
        <v>10</v>
      </c>
      <c r="F16739" s="1" t="str">
        <f>"fde1:103:4:9138:0:0:0:2"</f>
        <v>fde1:103:4:9138:0:0:0:2</v>
      </c>
      <c r="G16739" s="1" t="str">
        <f>"0228R062"</f>
        <v>0228R062</v>
      </c>
      <c r="H16739" s="1" t="str">
        <f>"고려지 57C1"</f>
        <v>고려지 57C1</v>
      </c>
      <c r="I16739" s="1" t="s">
        <v>15</v>
      </c>
      <c r="J16739" s="1" t="str">
        <f>"32/34"</f>
        <v>32/34</v>
      </c>
      <c r="K16739" s="1" t="str">
        <f>"2026-07-29 14:20:47"</f>
        <v>2026-07-29 14:20:47</v>
      </c>
      <c r="L16739" s="1" t="str">
        <f>"2023-12-21 09:22:09"</f>
        <v>2023-12-21 09:22:09</v>
      </c>
      <c r="M16739" s="1" t="s">
        <v>4</v>
      </c>
      <c r="N16739" s="1" t="s">
        <v>38</v>
      </c>
      <c r="O16739" s="1" t="s">
        <v>46</v>
      </c>
    </row>
    <row r="16740" spans="2:15" x14ac:dyDescent="0.3">
      <c r="B16740" s="1" t="s">
        <v>19</v>
      </c>
      <c r="C16740" s="1" t="str">
        <f>"1차"</f>
        <v>1차</v>
      </c>
      <c r="D16740" s="1" t="str">
        <f>"0228R07100"</f>
        <v>0228R07100</v>
      </c>
      <c r="E16740" s="1" t="s">
        <v>10</v>
      </c>
      <c r="F16740" s="1" t="str">
        <f>"10.107.118.82"</f>
        <v>10.107.118.82</v>
      </c>
      <c r="G16740" s="1" t="str">
        <f>"0228R071"</f>
        <v>0228R071</v>
      </c>
      <c r="H16740" s="1" t="str">
        <f>"고려지 58L3"</f>
        <v>고려지 58L3</v>
      </c>
      <c r="I16740" s="1" t="s">
        <v>8</v>
      </c>
      <c r="J16740" s="1" t="str">
        <f>"8/9"</f>
        <v>8/9</v>
      </c>
      <c r="K16740" s="1" t="str">
        <f>"2026-07-29 13:18:01"</f>
        <v>2026-07-29 13:18:01</v>
      </c>
      <c r="L16740" s="1" t="str">
        <f>"2014-11-18 11:12:15"</f>
        <v>2014-11-18 11:12:15</v>
      </c>
      <c r="M16740" s="1" t="s">
        <v>45</v>
      </c>
      <c r="N16740" s="1" t="s">
        <v>38</v>
      </c>
      <c r="O16740" s="1" t="s">
        <v>46</v>
      </c>
    </row>
    <row r="16741" spans="2:15" x14ac:dyDescent="0.3">
      <c r="B16741" s="1" t="s">
        <v>19</v>
      </c>
      <c r="C16741" s="1" t="str">
        <f>"5-2차"</f>
        <v>5-2차</v>
      </c>
      <c r="D16741" s="1" t="str">
        <f>"0228R1425M"</f>
        <v>0228R1425M</v>
      </c>
      <c r="E16741" s="1" t="s">
        <v>10</v>
      </c>
      <c r="F16741" s="1" t="str">
        <f>"fde1:103:4:9257:0:0:0:2"</f>
        <v>fde1:103:4:9257:0:0:0:2</v>
      </c>
      <c r="G16741" s="1" t="str">
        <f>"0228R142"</f>
        <v>0228R142</v>
      </c>
      <c r="H16741" s="1" t="str">
        <f>"고려지 55"</f>
        <v>고려지 55</v>
      </c>
      <c r="I16741" s="1" t="s">
        <v>15</v>
      </c>
      <c r="J16741" s="1" t="str">
        <f>"49/49"</f>
        <v>49/49</v>
      </c>
      <c r="K16741" s="1" t="str">
        <f>"2026-07-29 14:21:06"</f>
        <v>2026-07-29 14:21:06</v>
      </c>
      <c r="L16741" s="1" t="str">
        <f>"2023-12-21 09:23:02"</f>
        <v>2023-12-21 09:23:02</v>
      </c>
      <c r="M16741" s="1" t="s">
        <v>4</v>
      </c>
      <c r="N16741" s="1" t="s">
        <v>38</v>
      </c>
      <c r="O16741" s="1" t="s">
        <v>46</v>
      </c>
    </row>
    <row r="16742" spans="2:15" x14ac:dyDescent="0.3">
      <c r="B16742" s="1" t="s">
        <v>19</v>
      </c>
      <c r="C16742" s="1" t="str">
        <f>"4차"</f>
        <v>4차</v>
      </c>
      <c r="D16742" s="1" t="str">
        <f>"0228R16341"</f>
        <v>0228R16341</v>
      </c>
      <c r="E16742" s="1" t="s">
        <v>10</v>
      </c>
      <c r="F16742" s="1" t="str">
        <f>"10.14.14.34"</f>
        <v>10.14.14.34</v>
      </c>
      <c r="G16742" s="1" t="str">
        <f>"0228R163"</f>
        <v>0228R163</v>
      </c>
      <c r="H16742" s="1" t="str">
        <f>"고려지 58"</f>
        <v>고려지 58</v>
      </c>
      <c r="I16742" s="1" t="s">
        <v>17</v>
      </c>
      <c r="J16742" s="1" t="str">
        <f>"57/57"</f>
        <v>57/57</v>
      </c>
      <c r="K16742" s="1" t="str">
        <f>"2026-07-29 13:18:02"</f>
        <v>2026-07-29 13:18:02</v>
      </c>
      <c r="L16742" s="1" t="str">
        <f>"2021-08-30 14:17:30"</f>
        <v>2021-08-30 14:17:30</v>
      </c>
      <c r="M16742" s="1" t="s">
        <v>3</v>
      </c>
      <c r="N16742" s="1" t="s">
        <v>38</v>
      </c>
      <c r="O16742" s="1" t="s">
        <v>46</v>
      </c>
    </row>
    <row r="16743" spans="2:15" x14ac:dyDescent="0.3">
      <c r="B16743" s="1" t="s">
        <v>19</v>
      </c>
      <c r="C16743" s="1" t="str">
        <f>"1차"</f>
        <v>1차</v>
      </c>
      <c r="D16743" s="1" t="str">
        <f>"0228R17100"</f>
        <v>0228R17100</v>
      </c>
      <c r="E16743" s="1" t="s">
        <v>10</v>
      </c>
      <c r="F16743" s="1" t="str">
        <f>"10.107.118.84"</f>
        <v>10.107.118.84</v>
      </c>
      <c r="G16743" s="1" t="str">
        <f>"0228R171"</f>
        <v>0228R171</v>
      </c>
      <c r="H16743" s="1" t="str">
        <f>"고려지 63"</f>
        <v>고려지 63</v>
      </c>
      <c r="I16743" s="1" t="s">
        <v>8</v>
      </c>
      <c r="J16743" s="1" t="str">
        <f>"75/75"</f>
        <v>75/75</v>
      </c>
      <c r="K16743" s="1" t="str">
        <f>"2026-07-29 13:18:01"</f>
        <v>2026-07-29 13:18:01</v>
      </c>
      <c r="L16743" s="1" t="str">
        <f>"2014-11-18 11:26:44"</f>
        <v>2014-11-18 11:26:44</v>
      </c>
      <c r="M16743" s="1" t="s">
        <v>45</v>
      </c>
      <c r="N16743" s="1" t="s">
        <v>38</v>
      </c>
      <c r="O16743" s="1" t="s">
        <v>46</v>
      </c>
    </row>
    <row r="16744" spans="2:15" x14ac:dyDescent="0.3">
      <c r="B16744" s="1" t="s">
        <v>19</v>
      </c>
      <c r="C16744" s="1" t="str">
        <f>"1차"</f>
        <v>1차</v>
      </c>
      <c r="D16744" s="1" t="str">
        <f>"0228R18301"</f>
        <v>0228R18301</v>
      </c>
      <c r="E16744" s="1" t="s">
        <v>10</v>
      </c>
      <c r="F16744" s="1" t="str">
        <f>"10.12.136.50"</f>
        <v>10.12.136.50</v>
      </c>
      <c r="G16744" s="1" t="str">
        <f>"0228R183"</f>
        <v>0228R183</v>
      </c>
      <c r="H16744" s="1" t="str">
        <f>"고려지 65"</f>
        <v>고려지 65</v>
      </c>
      <c r="I16744" s="1" t="s">
        <v>8</v>
      </c>
      <c r="J16744" s="1" t="str">
        <f>"27/29"</f>
        <v>27/29</v>
      </c>
      <c r="K16744" s="1" t="str">
        <f>"2026-07-29 13:18:01"</f>
        <v>2026-07-29 13:18:01</v>
      </c>
      <c r="L16744" s="1" t="str">
        <f>"2014-11-18 11:12:58"</f>
        <v>2014-11-18 11:12:58</v>
      </c>
      <c r="M16744" s="1" t="s">
        <v>0</v>
      </c>
      <c r="N16744" s="1" t="s">
        <v>38</v>
      </c>
      <c r="O16744" s="1" t="s">
        <v>46</v>
      </c>
    </row>
    <row r="16745" spans="2:15" x14ac:dyDescent="0.3">
      <c r="B16745" s="1" t="s">
        <v>19</v>
      </c>
      <c r="C16745" s="1" t="str">
        <f>"5-2차"</f>
        <v>5-2차</v>
      </c>
      <c r="D16745" s="1" t="str">
        <f>"0228R2415M"</f>
        <v>0228R2415M</v>
      </c>
      <c r="E16745" s="1" t="s">
        <v>10</v>
      </c>
      <c r="F16745" s="1" t="str">
        <f>"fde1:103:4:91dc:0:0:0:2"</f>
        <v>fde1:103:4:91dc:0:0:0:2</v>
      </c>
      <c r="G16745" s="1" t="str">
        <f>"0228R241"</f>
        <v>0228R241</v>
      </c>
      <c r="H16745" s="1" t="str">
        <f>"고려지 54"</f>
        <v>고려지 54</v>
      </c>
      <c r="I16745" s="1" t="s">
        <v>15</v>
      </c>
      <c r="J16745" s="1" t="str">
        <f>"50/50"</f>
        <v>50/50</v>
      </c>
      <c r="K16745" s="1" t="str">
        <f>"2026-07-29 14:20:31"</f>
        <v>2026-07-29 14:20:31</v>
      </c>
      <c r="L16745" s="1" t="str">
        <f>"2023-12-21 09:23:25"</f>
        <v>2023-12-21 09:23:25</v>
      </c>
      <c r="M16745" s="1" t="s">
        <v>4</v>
      </c>
      <c r="N16745" s="1" t="s">
        <v>38</v>
      </c>
      <c r="O16745" s="1" t="s">
        <v>46</v>
      </c>
    </row>
    <row r="16746" spans="2:15" x14ac:dyDescent="0.3">
      <c r="B16746" s="1" t="s">
        <v>19</v>
      </c>
      <c r="C16746" s="1" t="str">
        <f>"5-1차"</f>
        <v>5-1차</v>
      </c>
      <c r="D16746" s="1" t="str">
        <f>"0228R3415M"</f>
        <v>0228R3415M</v>
      </c>
      <c r="E16746" s="1" t="s">
        <v>10</v>
      </c>
      <c r="F16746" s="1" t="str">
        <f>"fde2:104:0:c:0:0:0:2"</f>
        <v>fde2:104:0:c:0:0:0:2</v>
      </c>
      <c r="G16746" s="1" t="str">
        <f>"0228R341"</f>
        <v>0228R341</v>
      </c>
      <c r="H16746" s="1" t="str">
        <f>"고려지 58R3"</f>
        <v>고려지 58R3</v>
      </c>
      <c r="I16746" s="1" t="s">
        <v>15</v>
      </c>
      <c r="J16746" s="1" t="str">
        <f>"52/53"</f>
        <v>52/53</v>
      </c>
      <c r="K16746" s="1" t="str">
        <f>"2026-07-29 14:20:01"</f>
        <v>2026-07-29 14:20:01</v>
      </c>
      <c r="L16746" s="1" t="str">
        <f>"2022-09-07 07:56:12"</f>
        <v>2022-09-07 07:56:12</v>
      </c>
      <c r="M16746" s="1" t="s">
        <v>42</v>
      </c>
      <c r="N16746" s="1" t="s">
        <v>38</v>
      </c>
      <c r="O16746" s="1" t="s">
        <v>46</v>
      </c>
    </row>
    <row r="16747" spans="2:15" x14ac:dyDescent="0.3">
      <c r="B16747" s="1" t="s">
        <v>19</v>
      </c>
      <c r="C16747" s="1" t="str">
        <f>"5-2차"</f>
        <v>5-2차</v>
      </c>
      <c r="D16747" s="1" t="str">
        <f>"0228R4125M"</f>
        <v>0228R4125M</v>
      </c>
      <c r="E16747" s="1" t="s">
        <v>10</v>
      </c>
      <c r="F16747" s="1" t="str">
        <f>"fde3:102:1410:8100:0:0:0:6"</f>
        <v>fde3:102:1410:8100:0:0:0:6</v>
      </c>
      <c r="G16747" s="1" t="str">
        <f>"0228R412"</f>
        <v>0228R412</v>
      </c>
      <c r="H16747" s="1" t="str">
        <f>"고려지 41L2R3"</f>
        <v>고려지 41L2R3</v>
      </c>
      <c r="I16747" s="1" t="s">
        <v>15</v>
      </c>
      <c r="J16747" s="1" t="str">
        <f>"79/79"</f>
        <v>79/79</v>
      </c>
      <c r="K16747" s="1" t="str">
        <f>"2026-07-29 14:20:31"</f>
        <v>2026-07-29 14:20:31</v>
      </c>
      <c r="L16747" s="1" t="str">
        <f>"2023-12-13 14:55:05"</f>
        <v>2023-12-13 14:55:05</v>
      </c>
      <c r="M16747" s="1" t="s">
        <v>45</v>
      </c>
      <c r="N16747" s="1" t="s">
        <v>38</v>
      </c>
      <c r="O16747" s="1" t="s">
        <v>46</v>
      </c>
    </row>
    <row r="16748" spans="2:15" x14ac:dyDescent="0.3">
      <c r="B16748" s="1" t="s">
        <v>19</v>
      </c>
      <c r="C16748" s="1" t="str">
        <f>"6차"</f>
        <v>6차</v>
      </c>
      <c r="D16748" s="1" t="str">
        <f>"0228R4216M"</f>
        <v>0228R4216M</v>
      </c>
      <c r="E16748" s="1" t="s">
        <v>10</v>
      </c>
      <c r="F16748" s="1" t="str">
        <f>"fde1:103:4:c771:0:0:0:2"</f>
        <v>fde1:103:4:c771:0:0:0:2</v>
      </c>
      <c r="G16748" s="1" t="str">
        <f>"0228R421"</f>
        <v>0228R421</v>
      </c>
      <c r="H16748" s="1" t="str">
        <f>"고려지 46R3"</f>
        <v>고려지 46R3</v>
      </c>
      <c r="I16748" s="1" t="s">
        <v>15</v>
      </c>
      <c r="J16748" s="1" t="str">
        <f>"26/26"</f>
        <v>26/26</v>
      </c>
      <c r="K16748" s="1" t="str">
        <f>"2026-07-29 14:20:47"</f>
        <v>2026-07-29 14:20:47</v>
      </c>
      <c r="L16748" s="1" t="str">
        <f>"2024-12-03 11:27:53"</f>
        <v>2024-12-03 11:27:53</v>
      </c>
      <c r="M16748" s="1" t="s">
        <v>4</v>
      </c>
      <c r="N16748" s="1" t="s">
        <v>38</v>
      </c>
      <c r="O16748" s="1" t="s">
        <v>46</v>
      </c>
    </row>
    <row r="16749" spans="2:15" x14ac:dyDescent="0.3">
      <c r="B16749" s="1" t="s">
        <v>19</v>
      </c>
      <c r="C16749" s="1" t="str">
        <f>"1차"</f>
        <v>1차</v>
      </c>
      <c r="D16749" s="1" t="str">
        <f>"0228R42201"</f>
        <v>0228R42201</v>
      </c>
      <c r="E16749" s="1" t="s">
        <v>10</v>
      </c>
      <c r="F16749" s="1" t="str">
        <f>"10.107.118.87"</f>
        <v>10.107.118.87</v>
      </c>
      <c r="G16749" s="1" t="str">
        <f>"0228R422"</f>
        <v>0228R422</v>
      </c>
      <c r="H16749" s="1" t="str">
        <f>"고려지 50"</f>
        <v>고려지 50</v>
      </c>
      <c r="I16749" s="1" t="s">
        <v>8</v>
      </c>
      <c r="J16749" s="1" t="str">
        <f>"13/13"</f>
        <v>13/13</v>
      </c>
      <c r="K16749" s="1" t="str">
        <f>"2026-07-29 13:18:03"</f>
        <v>2026-07-29 13:18:03</v>
      </c>
      <c r="L16749" s="1" t="str">
        <f>"2014-11-18 11:26:19"</f>
        <v>2014-11-18 11:26:19</v>
      </c>
      <c r="M16749" s="1" t="s">
        <v>45</v>
      </c>
      <c r="N16749" s="1" t="s">
        <v>38</v>
      </c>
      <c r="O16749" s="1" t="s">
        <v>46</v>
      </c>
    </row>
    <row r="16750" spans="2:15" x14ac:dyDescent="0.3">
      <c r="B16750" s="1" t="s">
        <v>19</v>
      </c>
      <c r="C16750" s="1" t="str">
        <f>"1차"</f>
        <v>1차</v>
      </c>
      <c r="D16750" s="1" t="str">
        <f>"0228R43300"</f>
        <v>0228R43300</v>
      </c>
      <c r="E16750" s="1" t="s">
        <v>10</v>
      </c>
      <c r="F16750" s="1" t="str">
        <f>"10.107.118.88"</f>
        <v>10.107.118.88</v>
      </c>
      <c r="G16750" s="1" t="str">
        <f>"0228R433"</f>
        <v>0228R433</v>
      </c>
      <c r="H16750" s="1" t="str">
        <f>"고려지 58R5"</f>
        <v>고려지 58R5</v>
      </c>
      <c r="I16750" s="1" t="s">
        <v>8</v>
      </c>
      <c r="J16750" s="1" t="str">
        <f>"8/8"</f>
        <v>8/8</v>
      </c>
      <c r="K16750" s="1" t="str">
        <f>"2026-07-29 13:18:01"</f>
        <v>2026-07-29 13:18:01</v>
      </c>
      <c r="L16750" s="1" t="str">
        <f>"2014-11-18 11:12:01"</f>
        <v>2014-11-18 11:12:01</v>
      </c>
      <c r="M16750" s="1" t="s">
        <v>45</v>
      </c>
      <c r="N16750" s="1" t="s">
        <v>38</v>
      </c>
      <c r="O16750" s="1" t="s">
        <v>46</v>
      </c>
    </row>
    <row r="16751" spans="2:15" x14ac:dyDescent="0.3">
      <c r="B16751" s="1" t="s">
        <v>19</v>
      </c>
      <c r="C16751" s="1" t="str">
        <f>"5-2차"</f>
        <v>5-2차</v>
      </c>
      <c r="D16751" s="1" t="str">
        <f>"0228R5125M"</f>
        <v>0228R5125M</v>
      </c>
      <c r="E16751" s="1" t="s">
        <v>10</v>
      </c>
      <c r="F16751" s="1" t="str">
        <f>"fde3:102:1410:8100:0:0:0:3"</f>
        <v>fde3:102:1410:8100:0:0:0:3</v>
      </c>
      <c r="G16751" s="1" t="str">
        <f>"0228R512"</f>
        <v>0228R512</v>
      </c>
      <c r="H16751" s="1" t="str">
        <f>"고려지 41L2R2"</f>
        <v>고려지 41L2R2</v>
      </c>
      <c r="I16751" s="1" t="s">
        <v>15</v>
      </c>
      <c r="J16751" s="1" t="str">
        <f>"38/38"</f>
        <v>38/38</v>
      </c>
      <c r="K16751" s="1" t="str">
        <f>"2026-07-29 14:20:31"</f>
        <v>2026-07-29 14:20:31</v>
      </c>
      <c r="L16751" s="1" t="str">
        <f>"2023-12-13 15:17:04"</f>
        <v>2023-12-13 15:17:04</v>
      </c>
      <c r="M16751" s="1" t="s">
        <v>45</v>
      </c>
      <c r="N16751" s="1" t="s">
        <v>38</v>
      </c>
      <c r="O16751" s="1" t="s">
        <v>46</v>
      </c>
    </row>
    <row r="16752" spans="2:15" x14ac:dyDescent="0.3">
      <c r="B16752" s="1" t="s">
        <v>19</v>
      </c>
      <c r="C16752" s="1" t="str">
        <f>"1차"</f>
        <v>1차</v>
      </c>
      <c r="D16752" s="1" t="str">
        <f>"0228R52200"</f>
        <v>0228R52200</v>
      </c>
      <c r="E16752" s="1" t="s">
        <v>10</v>
      </c>
      <c r="F16752" s="1" t="str">
        <f>"10.107.118.86"</f>
        <v>10.107.118.86</v>
      </c>
      <c r="G16752" s="1" t="str">
        <f>"0228R522"</f>
        <v>0228R522</v>
      </c>
      <c r="H16752" s="1" t="str">
        <f>"고려지 49"</f>
        <v>고려지 49</v>
      </c>
      <c r="I16752" s="1" t="s">
        <v>8</v>
      </c>
      <c r="J16752" s="1" t="str">
        <f>"9/9"</f>
        <v>9/9</v>
      </c>
      <c r="K16752" s="1" t="str">
        <f>"2026-07-29 13:18:01"</f>
        <v>2026-07-29 13:18:01</v>
      </c>
      <c r="L16752" s="1" t="str">
        <f>"2014-11-18 11:26:33"</f>
        <v>2014-11-18 11:26:33</v>
      </c>
      <c r="M16752" s="1" t="s">
        <v>45</v>
      </c>
      <c r="N16752" s="1" t="s">
        <v>38</v>
      </c>
      <c r="O16752" s="1" t="s">
        <v>46</v>
      </c>
    </row>
    <row r="16753" spans="2:15" x14ac:dyDescent="0.3">
      <c r="B16753" s="1" t="s">
        <v>19</v>
      </c>
      <c r="C16753" s="1" t="str">
        <f>"5-2차"</f>
        <v>5-2차</v>
      </c>
      <c r="D16753" s="1" t="str">
        <f>"0228R6035M"</f>
        <v>0228R6035M</v>
      </c>
      <c r="E16753" s="1" t="s">
        <v>10</v>
      </c>
      <c r="F16753" s="1" t="str">
        <f>"fde3:102:1410:8100:0:0:0:5"</f>
        <v>fde3:102:1410:8100:0:0:0:5</v>
      </c>
      <c r="G16753" s="1" t="str">
        <f>"0228R603"</f>
        <v>0228R603</v>
      </c>
      <c r="H16753" s="1" t="str">
        <f>"고려지 41L2"</f>
        <v>고려지 41L2</v>
      </c>
      <c r="I16753" s="1" t="s">
        <v>15</v>
      </c>
      <c r="J16753" s="1" t="str">
        <f>"54/54"</f>
        <v>54/54</v>
      </c>
      <c r="K16753" s="1" t="str">
        <f>"2026-07-29 14:21:05"</f>
        <v>2026-07-29 14:21:05</v>
      </c>
      <c r="L16753" s="1" t="str">
        <f>"2023-12-13 13:11:07"</f>
        <v>2023-12-13 13:11:07</v>
      </c>
      <c r="M16753" s="1" t="s">
        <v>45</v>
      </c>
      <c r="N16753" s="1" t="s">
        <v>38</v>
      </c>
      <c r="O16753" s="1" t="s">
        <v>46</v>
      </c>
    </row>
    <row r="16754" spans="2:15" x14ac:dyDescent="0.3">
      <c r="B16754" s="1" t="s">
        <v>19</v>
      </c>
      <c r="C16754" s="1" t="str">
        <f>"1차"</f>
        <v>1차</v>
      </c>
      <c r="D16754" s="1" t="str">
        <f>"0228R70100"</f>
        <v>0228R70100</v>
      </c>
      <c r="E16754" s="1" t="s">
        <v>10</v>
      </c>
      <c r="F16754" s="1" t="str">
        <f>"10.107.252.152"</f>
        <v>10.107.252.152</v>
      </c>
      <c r="G16754" s="1" t="str">
        <f>"0228R701"</f>
        <v>0228R701</v>
      </c>
      <c r="H16754" s="1" t="str">
        <f>"고려지 43"</f>
        <v>고려지 43</v>
      </c>
      <c r="I16754" s="1" t="s">
        <v>8</v>
      </c>
      <c r="J16754" s="1" t="str">
        <f>"16/16"</f>
        <v>16/16</v>
      </c>
      <c r="K16754" s="1" t="str">
        <f>"2026-07-29 13:18:01"</f>
        <v>2026-07-29 13:18:01</v>
      </c>
      <c r="L16754" s="1" t="str">
        <f>"2014-11-18 11:25:54"</f>
        <v>2014-11-18 11:25:54</v>
      </c>
      <c r="M16754" s="1" t="s">
        <v>45</v>
      </c>
      <c r="N16754" s="1" t="s">
        <v>38</v>
      </c>
      <c r="O16754" s="1" t="s">
        <v>46</v>
      </c>
    </row>
    <row r="16755" spans="2:15" x14ac:dyDescent="0.3">
      <c r="B16755" s="1" t="s">
        <v>19</v>
      </c>
      <c r="C16755" s="1" t="str">
        <f>"1차"</f>
        <v>1차</v>
      </c>
      <c r="D16755" s="1" t="str">
        <f>"0228R71200"</f>
        <v>0228R71200</v>
      </c>
      <c r="E16755" s="1" t="s">
        <v>10</v>
      </c>
      <c r="F16755" s="1" t="str">
        <f>"10.107.118.89"</f>
        <v>10.107.118.89</v>
      </c>
      <c r="G16755" s="1" t="str">
        <f>"0228R712"</f>
        <v>0228R712</v>
      </c>
      <c r="H16755" s="1" t="str">
        <f>"고려지 45"</f>
        <v>고려지 45</v>
      </c>
      <c r="I16755" s="1" t="s">
        <v>8</v>
      </c>
      <c r="J16755" s="1" t="str">
        <f>"36/38"</f>
        <v>36/38</v>
      </c>
      <c r="K16755" s="1" t="str">
        <f>"2026-07-29 13:18:02"</f>
        <v>2026-07-29 13:18:02</v>
      </c>
      <c r="L16755" s="1" t="str">
        <f>"2014-11-21 15:41:26"</f>
        <v>2014-11-21 15:41:26</v>
      </c>
      <c r="M16755" s="1" t="s">
        <v>45</v>
      </c>
      <c r="N16755" s="1" t="s">
        <v>38</v>
      </c>
      <c r="O16755" s="1" t="s">
        <v>46</v>
      </c>
    </row>
    <row r="16756" spans="2:15" x14ac:dyDescent="0.3">
      <c r="B16756" s="1" t="s">
        <v>19</v>
      </c>
      <c r="C16756" s="1" t="str">
        <f>"1차"</f>
        <v>1차</v>
      </c>
      <c r="D16756" s="1" t="str">
        <f>"0228R71400"</f>
        <v>0228R71400</v>
      </c>
      <c r="E16756" s="1" t="s">
        <v>10</v>
      </c>
      <c r="F16756" s="1" t="str">
        <f>"10.107.118.90"</f>
        <v>10.107.118.90</v>
      </c>
      <c r="G16756" s="1" t="str">
        <f>"0228R714"</f>
        <v>0228R714</v>
      </c>
      <c r="H16756" s="1" t="str">
        <f>"고려지 58R10"</f>
        <v>고려지 58R10</v>
      </c>
      <c r="I16756" s="1" t="s">
        <v>8</v>
      </c>
      <c r="J16756" s="1" t="str">
        <f>"26/26"</f>
        <v>26/26</v>
      </c>
      <c r="K16756" s="1" t="str">
        <f>"2026-07-29 13:18:02"</f>
        <v>2026-07-29 13:18:02</v>
      </c>
      <c r="L16756" s="1" t="str">
        <f>"2014-11-18 11:11:57"</f>
        <v>2014-11-18 11:11:57</v>
      </c>
      <c r="M16756" s="1" t="s">
        <v>45</v>
      </c>
      <c r="N16756" s="1" t="s">
        <v>38</v>
      </c>
      <c r="O16756" s="1" t="s">
        <v>46</v>
      </c>
    </row>
    <row r="16757" spans="2:15" x14ac:dyDescent="0.3">
      <c r="B16757" s="1" t="s">
        <v>19</v>
      </c>
      <c r="C16757" s="1" t="str">
        <f>"6차"</f>
        <v>6차</v>
      </c>
      <c r="D16757" s="1" t="str">
        <f>"0228R8226S"</f>
        <v>0228R8226S</v>
      </c>
      <c r="E16757" s="1" t="s">
        <v>10</v>
      </c>
      <c r="F16757" s="1" t="str">
        <f>"fde1:103:4:9286:0:0:0:2"</f>
        <v>fde1:103:4:9286:0:0:0:2</v>
      </c>
      <c r="G16757" s="1" t="str">
        <f>"0228R822"</f>
        <v>0228R822</v>
      </c>
      <c r="H16757" s="1" t="str">
        <f>"고려지 40R5"</f>
        <v>고려지 40R5</v>
      </c>
      <c r="I16757" s="1" t="s">
        <v>15</v>
      </c>
      <c r="J16757" s="1" t="str">
        <f>"42/44"</f>
        <v>42/44</v>
      </c>
      <c r="K16757" s="1" t="str">
        <f>"2026-07-29 14:20:47"</f>
        <v>2026-07-29 14:20:47</v>
      </c>
      <c r="L16757" s="1" t="str">
        <f>"2024-10-28 15:53:02"</f>
        <v>2024-10-28 15:53:02</v>
      </c>
      <c r="M16757" s="1" t="s">
        <v>4</v>
      </c>
      <c r="N16757" s="1" t="s">
        <v>38</v>
      </c>
      <c r="O16757" s="1" t="s">
        <v>46</v>
      </c>
    </row>
    <row r="16758" spans="2:15" x14ac:dyDescent="0.3">
      <c r="B16758" s="1" t="s">
        <v>19</v>
      </c>
      <c r="C16758" s="1" t="str">
        <f>"1차"</f>
        <v>1차</v>
      </c>
      <c r="D16758" s="1" t="str">
        <f>"0228R88100"</f>
        <v>0228R88100</v>
      </c>
      <c r="E16758" s="1" t="s">
        <v>10</v>
      </c>
      <c r="F16758" s="1" t="str">
        <f>"10.107.252.147"</f>
        <v>10.107.252.147</v>
      </c>
      <c r="G16758" s="1" t="str">
        <f>"0228R881"</f>
        <v>0228R881</v>
      </c>
      <c r="H16758" s="1" t="str">
        <f>"고려지 62R16"</f>
        <v>고려지 62R16</v>
      </c>
      <c r="I16758" s="1" t="s">
        <v>8</v>
      </c>
      <c r="J16758" s="1" t="str">
        <f>"23/24"</f>
        <v>23/24</v>
      </c>
      <c r="K16758" s="1" t="str">
        <f>"2026-07-29 13:18:01"</f>
        <v>2026-07-29 13:18:01</v>
      </c>
      <c r="L16758" s="1" t="str">
        <f>"2014-11-18 11:26:23"</f>
        <v>2014-11-18 11:26:23</v>
      </c>
      <c r="M16758" s="1" t="s">
        <v>45</v>
      </c>
      <c r="N16758" s="1" t="s">
        <v>38</v>
      </c>
      <c r="O16758" s="1" t="s">
        <v>46</v>
      </c>
    </row>
    <row r="16759" spans="2:15" x14ac:dyDescent="0.3">
      <c r="B16759" s="1" t="s">
        <v>19</v>
      </c>
      <c r="C16759" s="1" t="str">
        <f>"1차"</f>
        <v>1차</v>
      </c>
      <c r="D16759" s="1" t="str">
        <f>"0228R95400"</f>
        <v>0228R95400</v>
      </c>
      <c r="E16759" s="1" t="s">
        <v>10</v>
      </c>
      <c r="F16759" s="1" t="str">
        <f>"10.107.252.149"</f>
        <v>10.107.252.149</v>
      </c>
      <c r="G16759" s="1" t="str">
        <f>"0228R954"</f>
        <v>0228R954</v>
      </c>
      <c r="H16759" s="1" t="str">
        <f>"종이간 14L2"</f>
        <v>종이간 14L2</v>
      </c>
      <c r="I16759" s="1" t="s">
        <v>8</v>
      </c>
      <c r="J16759" s="1" t="str">
        <f>"2/2"</f>
        <v>2/2</v>
      </c>
      <c r="K16759" s="1" t="str">
        <f>"2026-07-29 13:18:01"</f>
        <v>2026-07-29 13:18:01</v>
      </c>
      <c r="L16759" s="1" t="str">
        <f>"2014-12-30 19:50:21"</f>
        <v>2014-12-30 19:50:21</v>
      </c>
      <c r="M16759" s="1" t="s">
        <v>45</v>
      </c>
      <c r="N16759" s="1" t="s">
        <v>38</v>
      </c>
      <c r="O16759" s="1" t="s">
        <v>46</v>
      </c>
    </row>
    <row r="16760" spans="2:15" x14ac:dyDescent="0.3">
      <c r="B16760" s="1" t="s">
        <v>19</v>
      </c>
      <c r="C16760" s="1" t="str">
        <f>"1차"</f>
        <v>1차</v>
      </c>
      <c r="D16760" s="1" t="str">
        <f>"0228R97100"</f>
        <v>0228R97100</v>
      </c>
      <c r="E16760" s="1" t="s">
        <v>10</v>
      </c>
      <c r="F16760" s="1" t="str">
        <f>"10.107.252.151"</f>
        <v>10.107.252.151</v>
      </c>
      <c r="G16760" s="1" t="str">
        <f>"0228R971"</f>
        <v>0228R971</v>
      </c>
      <c r="H16760" s="1" t="str">
        <f>"종이간 15"</f>
        <v>종이간 15</v>
      </c>
      <c r="I16760" s="1" t="s">
        <v>8</v>
      </c>
      <c r="J16760" s="1" t="str">
        <f>"39/39"</f>
        <v>39/39</v>
      </c>
      <c r="K16760" s="1" t="str">
        <f>"2026-07-29 13:18:01"</f>
        <v>2026-07-29 13:18:01</v>
      </c>
      <c r="L16760" s="1" t="str">
        <f>"2014-12-30 19:56:59"</f>
        <v>2014-12-30 19:56:59</v>
      </c>
      <c r="M16760" s="1" t="s">
        <v>45</v>
      </c>
      <c r="N16760" s="1" t="s">
        <v>38</v>
      </c>
      <c r="O16760" s="1" t="s">
        <v>46</v>
      </c>
    </row>
    <row r="16761" spans="2:15" x14ac:dyDescent="0.3">
      <c r="B16761" s="1" t="s">
        <v>19</v>
      </c>
      <c r="C16761" s="1" t="str">
        <f>"6차"</f>
        <v>6차</v>
      </c>
      <c r="D16761" s="1" t="str">
        <f>"0228S0026S"</f>
        <v>0228S0026S</v>
      </c>
      <c r="E16761" s="1" t="s">
        <v>10</v>
      </c>
      <c r="F16761" s="1" t="str">
        <f>"fde1:103:4:91fb:0:0:0:2"</f>
        <v>fde1:103:4:91fb:0:0:0:2</v>
      </c>
      <c r="G16761" s="1" t="str">
        <f>"0228S002"</f>
        <v>0228S002</v>
      </c>
      <c r="H16761" s="1" t="str">
        <f>"종이간 6"</f>
        <v>종이간 6</v>
      </c>
      <c r="I16761" s="1" t="s">
        <v>15</v>
      </c>
      <c r="J16761" s="1" t="str">
        <f>"76/78"</f>
        <v>76/78</v>
      </c>
      <c r="K16761" s="1" t="str">
        <f>"2026-07-29 14:20:17"</f>
        <v>2026-07-29 14:20:17</v>
      </c>
      <c r="L16761" s="1" t="str">
        <f>"2024-10-29 16:59:53"</f>
        <v>2024-10-29 16:59:53</v>
      </c>
      <c r="M16761" s="1" t="s">
        <v>4</v>
      </c>
      <c r="N16761" s="1" t="s">
        <v>38</v>
      </c>
      <c r="O16761" s="1" t="s">
        <v>46</v>
      </c>
    </row>
    <row r="16762" spans="2:15" x14ac:dyDescent="0.3">
      <c r="B16762" s="1" t="s">
        <v>19</v>
      </c>
      <c r="C16762" s="1" t="str">
        <f>"5-1차"</f>
        <v>5-1차</v>
      </c>
      <c r="D16762" s="1" t="str">
        <f>"0228S0215M"</f>
        <v>0228S0215M</v>
      </c>
      <c r="E16762" s="1" t="s">
        <v>10</v>
      </c>
      <c r="F16762" s="1" t="str">
        <f>"fde2:104:0:5:0:0:0:2"</f>
        <v>fde2:104:0:5:0:0:0:2</v>
      </c>
      <c r="G16762" s="1" t="str">
        <f>"0228S021"</f>
        <v>0228S021</v>
      </c>
      <c r="H16762" s="1" t="str">
        <f>"종이간 9"</f>
        <v>종이간 9</v>
      </c>
      <c r="I16762" s="1" t="s">
        <v>15</v>
      </c>
      <c r="J16762" s="1" t="str">
        <f>"63/63"</f>
        <v>63/63</v>
      </c>
      <c r="K16762" s="1" t="str">
        <f>"2026-07-29 14:20:48"</f>
        <v>2026-07-29 14:20:48</v>
      </c>
      <c r="L16762" s="1" t="str">
        <f>"2022-09-27 18:37:20"</f>
        <v>2022-09-27 18:37:20</v>
      </c>
      <c r="M16762" s="1" t="s">
        <v>42</v>
      </c>
      <c r="N16762" s="1" t="s">
        <v>38</v>
      </c>
      <c r="O16762" s="1" t="s">
        <v>46</v>
      </c>
    </row>
    <row r="16763" spans="2:15" x14ac:dyDescent="0.3">
      <c r="B16763" s="1" t="s">
        <v>19</v>
      </c>
      <c r="C16763" s="1" t="str">
        <f>"4차"</f>
        <v>4차</v>
      </c>
      <c r="D16763" s="1" t="str">
        <f>"0228S29142"</f>
        <v>0228S29142</v>
      </c>
      <c r="E16763" s="1" t="s">
        <v>10</v>
      </c>
      <c r="F16763" s="1" t="str">
        <f>"10.12.128.35"</f>
        <v>10.12.128.35</v>
      </c>
      <c r="G16763" s="1" t="str">
        <f>"0228S291"</f>
        <v>0228S291</v>
      </c>
      <c r="H16763" s="1" t="str">
        <f>"월암간 22L6L2"</f>
        <v>월암간 22L6L2</v>
      </c>
      <c r="I16763" s="1" t="s">
        <v>8</v>
      </c>
      <c r="J16763" s="1" t="str">
        <f>"93/107"</f>
        <v>93/107</v>
      </c>
      <c r="K16763" s="1" t="str">
        <f>"2026-07-29 13:18:02"</f>
        <v>2026-07-29 13:18:02</v>
      </c>
      <c r="L16763" s="1" t="str">
        <f>"2024-12-19 09:55:29"</f>
        <v>2024-12-19 09:55:29</v>
      </c>
      <c r="M16763" s="1" t="s">
        <v>0</v>
      </c>
      <c r="N16763" s="1" t="s">
        <v>38</v>
      </c>
      <c r="O16763" s="1" t="s">
        <v>46</v>
      </c>
    </row>
    <row r="16764" spans="2:15" x14ac:dyDescent="0.3">
      <c r="B16764" s="1" t="s">
        <v>19</v>
      </c>
      <c r="C16764" s="1" t="str">
        <f>"4차"</f>
        <v>4차</v>
      </c>
      <c r="D16764" s="1" t="str">
        <f>"0228S38344"</f>
        <v>0228S38344</v>
      </c>
      <c r="E16764" s="1" t="s">
        <v>10</v>
      </c>
      <c r="F16764" s="1" t="str">
        <f>"10.107.4.56"</f>
        <v>10.107.4.56</v>
      </c>
      <c r="G16764" s="1" t="str">
        <f>"0228S383"</f>
        <v>0228S383</v>
      </c>
      <c r="H16764" s="1" t="str">
        <f>"월암간 22L4"</f>
        <v>월암간 22L4</v>
      </c>
      <c r="I16764" s="1" t="s">
        <v>8</v>
      </c>
      <c r="J16764" s="1" t="str">
        <f>"53/53"</f>
        <v>53/53</v>
      </c>
      <c r="K16764" s="1" t="str">
        <f>"2026-07-29 13:18:01"</f>
        <v>2026-07-29 13:18:01</v>
      </c>
      <c r="L16764" s="1" t="str">
        <f>"2023-10-27 15:33:21"</f>
        <v>2023-10-27 15:33:21</v>
      </c>
      <c r="M16764" s="1" t="s">
        <v>45</v>
      </c>
      <c r="N16764" s="1" t="s">
        <v>38</v>
      </c>
      <c r="O16764" s="1" t="s">
        <v>46</v>
      </c>
    </row>
    <row r="16765" spans="2:15" x14ac:dyDescent="0.3">
      <c r="B16765" s="1" t="s">
        <v>19</v>
      </c>
      <c r="C16765" s="1" t="str">
        <f>"4차"</f>
        <v>4차</v>
      </c>
      <c r="D16765" s="1" t="str">
        <f>"0228S39242"</f>
        <v>0228S39242</v>
      </c>
      <c r="E16765" s="1" t="s">
        <v>10</v>
      </c>
      <c r="F16765" s="1" t="str">
        <f>"10.107.4.52"</f>
        <v>10.107.4.52</v>
      </c>
      <c r="G16765" s="1" t="str">
        <f>"0228S392"</f>
        <v>0228S392</v>
      </c>
      <c r="H16765" s="1" t="str">
        <f>"월암간 22L6"</f>
        <v>월암간 22L6</v>
      </c>
      <c r="I16765" s="1" t="s">
        <v>8</v>
      </c>
      <c r="J16765" s="1" t="str">
        <f>"126/139"</f>
        <v>126/139</v>
      </c>
      <c r="K16765" s="1" t="str">
        <f>"2026-07-29 13:18:01"</f>
        <v>2026-07-29 13:18:01</v>
      </c>
      <c r="L16765" s="1" t="str">
        <f>"2024-05-22 09:24:54"</f>
        <v>2024-05-22 09:24:54</v>
      </c>
      <c r="M16765" s="1" t="s">
        <v>45</v>
      </c>
      <c r="N16765" s="1" t="s">
        <v>38</v>
      </c>
      <c r="O16765" s="1" t="s">
        <v>46</v>
      </c>
    </row>
    <row r="16766" spans="2:15" x14ac:dyDescent="0.3">
      <c r="B16766" s="1" t="s">
        <v>19</v>
      </c>
      <c r="C16766" s="1" t="str">
        <f>"1차"</f>
        <v>1차</v>
      </c>
      <c r="D16766" s="1" t="str">
        <f>"0228S47400"</f>
        <v>0228S47400</v>
      </c>
      <c r="E16766" s="1" t="s">
        <v>10</v>
      </c>
      <c r="F16766" s="1" t="str">
        <f>"10.107.4.55"</f>
        <v>10.107.4.55</v>
      </c>
      <c r="G16766" s="1" t="str">
        <f>"0228S474"</f>
        <v>0228S474</v>
      </c>
      <c r="H16766" s="1" t="str">
        <f>"월암간 22L3"</f>
        <v>월암간 22L3</v>
      </c>
      <c r="I16766" s="1" t="s">
        <v>8</v>
      </c>
      <c r="J16766" s="1" t="str">
        <f>"2/2"</f>
        <v>2/2</v>
      </c>
      <c r="K16766" s="1" t="str">
        <f>"2026-07-29 13:18:03"</f>
        <v>2026-07-29 13:18:03</v>
      </c>
      <c r="L16766" s="1" t="str">
        <f>"2014-12-30 19:50:57"</f>
        <v>2014-12-30 19:50:57</v>
      </c>
      <c r="M16766" s="1" t="s">
        <v>45</v>
      </c>
      <c r="N16766" s="1" t="s">
        <v>38</v>
      </c>
      <c r="O16766" s="1" t="s">
        <v>46</v>
      </c>
    </row>
    <row r="16767" spans="2:15" x14ac:dyDescent="0.3">
      <c r="B16767" s="1" t="s">
        <v>19</v>
      </c>
      <c r="C16767" s="1" t="str">
        <f>"1차"</f>
        <v>1차</v>
      </c>
      <c r="D16767" s="1" t="str">
        <f>"0228S48101"</f>
        <v>0228S48101</v>
      </c>
      <c r="E16767" s="1" t="s">
        <v>10</v>
      </c>
      <c r="F16767" s="1" t="str">
        <f>"10.12.129.6"</f>
        <v>10.12.129.6</v>
      </c>
      <c r="G16767" s="1" t="str">
        <f>"0228S481"</f>
        <v>0228S481</v>
      </c>
      <c r="H16767" s="1" t="str">
        <f>"월암간 24"</f>
        <v>월암간 24</v>
      </c>
      <c r="I16767" s="1" t="s">
        <v>8</v>
      </c>
      <c r="J16767" s="1" t="str">
        <f>"22/22"</f>
        <v>22/22</v>
      </c>
      <c r="K16767" s="1" t="str">
        <f>"2026-07-29 13:18:03"</f>
        <v>2026-07-29 13:18:03</v>
      </c>
      <c r="L16767" s="1" t="str">
        <f>"2014-12-30 15:26:56"</f>
        <v>2014-12-30 15:26:56</v>
      </c>
      <c r="M16767" s="1" t="s">
        <v>0</v>
      </c>
      <c r="N16767" s="1" t="s">
        <v>38</v>
      </c>
      <c r="O16767" s="1" t="s">
        <v>46</v>
      </c>
    </row>
    <row r="16768" spans="2:15" x14ac:dyDescent="0.3">
      <c r="B16768" s="1" t="s">
        <v>19</v>
      </c>
      <c r="C16768" s="1" t="str">
        <f>"1차"</f>
        <v>1차</v>
      </c>
      <c r="D16768" s="1" t="str">
        <f>"0228S48200"</f>
        <v>0228S48200</v>
      </c>
      <c r="E16768" s="1" t="s">
        <v>10</v>
      </c>
      <c r="F16768" s="1" t="str">
        <f>"10.107.4.58"</f>
        <v>10.107.4.58</v>
      </c>
      <c r="G16768" s="1" t="str">
        <f>"0228S482"</f>
        <v>0228S482</v>
      </c>
      <c r="H16768" s="1" t="str">
        <f>"월암간 25"</f>
        <v>월암간 25</v>
      </c>
      <c r="I16768" s="1" t="s">
        <v>8</v>
      </c>
      <c r="J16768" s="1" t="str">
        <f>"18/18"</f>
        <v>18/18</v>
      </c>
      <c r="K16768" s="1" t="str">
        <f>"2026-07-29 13:18:03"</f>
        <v>2026-07-29 13:18:03</v>
      </c>
      <c r="L16768" s="1" t="str">
        <f>"2014-12-30 15:27:15"</f>
        <v>2014-12-30 15:27:15</v>
      </c>
      <c r="M16768" s="1" t="s">
        <v>45</v>
      </c>
      <c r="N16768" s="1" t="s">
        <v>38</v>
      </c>
      <c r="O16768" s="1" t="s">
        <v>46</v>
      </c>
    </row>
    <row r="16769" spans="2:15" x14ac:dyDescent="0.3">
      <c r="B16769" s="1" t="s">
        <v>19</v>
      </c>
      <c r="C16769" s="1" t="str">
        <f>"5-2차"</f>
        <v>5-2차</v>
      </c>
      <c r="D16769" s="1" t="str">
        <f>"0228S5915M"</f>
        <v>0228S5915M</v>
      </c>
      <c r="E16769" s="1" t="s">
        <v>10</v>
      </c>
      <c r="F16769" s="1" t="str">
        <f>"fde3:102:1410:7100:0:0:0:a"</f>
        <v>fde3:102:1410:7100:0:0:0:a</v>
      </c>
      <c r="G16769" s="1" t="str">
        <f>"0228S591"</f>
        <v>0228S591</v>
      </c>
      <c r="H16769" s="1" t="str">
        <f>"월암간 26"</f>
        <v>월암간 26</v>
      </c>
      <c r="I16769" s="1" t="s">
        <v>15</v>
      </c>
      <c r="J16769" s="1" t="str">
        <f>"56/56"</f>
        <v>56/56</v>
      </c>
      <c r="K16769" s="1" t="str">
        <f>"2026-07-29 14:20:32"</f>
        <v>2026-07-29 14:20:32</v>
      </c>
      <c r="L16769" s="1" t="str">
        <f>"2023-12-27 17:20:50"</f>
        <v>2023-12-27 17:20:50</v>
      </c>
      <c r="M16769" s="1" t="s">
        <v>45</v>
      </c>
      <c r="N16769" s="1" t="s">
        <v>38</v>
      </c>
      <c r="O16769" s="1" t="s">
        <v>46</v>
      </c>
    </row>
    <row r="16770" spans="2:15" x14ac:dyDescent="0.3">
      <c r="B16770" s="1" t="s">
        <v>19</v>
      </c>
      <c r="C16770" s="1" t="str">
        <f>"5-1차"</f>
        <v>5-1차</v>
      </c>
      <c r="D16770" s="1" t="str">
        <f>"0228W3945M"</f>
        <v>0228W3945M</v>
      </c>
      <c r="E16770" s="1" t="s">
        <v>10</v>
      </c>
      <c r="F16770" s="1" t="str">
        <f>"fde2:104:0:7:0:0:0:2"</f>
        <v>fde2:104:0:7:0:0:0:2</v>
      </c>
      <c r="G16770" s="1" t="str">
        <f>"0228W394"</f>
        <v>0228W394</v>
      </c>
      <c r="H16770" s="1" t="str">
        <f>"석관간 64"</f>
        <v>석관간 64</v>
      </c>
      <c r="I16770" s="1" t="s">
        <v>15</v>
      </c>
      <c r="J16770" s="1" t="str">
        <f>"25/25"</f>
        <v>25/25</v>
      </c>
      <c r="K16770" s="1" t="str">
        <f>"2026-07-29 14:20:48"</f>
        <v>2026-07-29 14:20:48</v>
      </c>
      <c r="L16770" s="1" t="str">
        <f>"2022-09-07 09:32:53"</f>
        <v>2022-09-07 09:32:53</v>
      </c>
      <c r="M16770" s="1" t="s">
        <v>42</v>
      </c>
      <c r="N16770" s="1" t="s">
        <v>38</v>
      </c>
      <c r="O16770" s="1" t="s">
        <v>46</v>
      </c>
    </row>
    <row r="16771" spans="2:15" x14ac:dyDescent="0.3">
      <c r="B16771" s="1" t="s">
        <v>19</v>
      </c>
      <c r="C16771" s="1" t="str">
        <f t="shared" ref="C16771:C16776" si="830">"3차"</f>
        <v>3차</v>
      </c>
      <c r="D16771" s="1" t="str">
        <f>"0228W59139"</f>
        <v>0228W59139</v>
      </c>
      <c r="E16771" s="1" t="s">
        <v>10</v>
      </c>
      <c r="F16771" s="1" t="str">
        <f>"10.107.124.3"</f>
        <v>10.107.124.3</v>
      </c>
      <c r="G16771" s="1" t="str">
        <f>"0228W591"</f>
        <v>0228W591</v>
      </c>
      <c r="H16771" s="1" t="str">
        <f>"석관간 65L5"</f>
        <v>석관간 65L5</v>
      </c>
      <c r="I16771" s="1" t="s">
        <v>8</v>
      </c>
      <c r="J16771" s="1" t="str">
        <f>"20/20"</f>
        <v>20/20</v>
      </c>
      <c r="K16771" s="1" t="str">
        <f>"2026-07-29 13:18:01"</f>
        <v>2026-07-29 13:18:01</v>
      </c>
      <c r="L16771" s="1" t="str">
        <f>"2018-05-31 09:59:11"</f>
        <v>2018-05-31 09:59:11</v>
      </c>
      <c r="M16771" s="1" t="s">
        <v>45</v>
      </c>
      <c r="N16771" s="1" t="s">
        <v>38</v>
      </c>
      <c r="O16771" s="1" t="s">
        <v>46</v>
      </c>
    </row>
    <row r="16772" spans="2:15" x14ac:dyDescent="0.3">
      <c r="B16772" s="1" t="s">
        <v>19</v>
      </c>
      <c r="C16772" s="1" t="str">
        <f t="shared" si="830"/>
        <v>3차</v>
      </c>
      <c r="D16772" s="1" t="str">
        <f>"0228W66339"</f>
        <v>0228W66339</v>
      </c>
      <c r="E16772" s="1" t="s">
        <v>10</v>
      </c>
      <c r="F16772" s="1" t="str">
        <f>"10.107.124.10"</f>
        <v>10.107.124.10</v>
      </c>
      <c r="G16772" s="1" t="str">
        <f>"0228W663"</f>
        <v>0228W663</v>
      </c>
      <c r="H16772" s="1" t="str">
        <f>"석관간 65L3R4"</f>
        <v>석관간 65L3R4</v>
      </c>
      <c r="I16772" s="1" t="s">
        <v>8</v>
      </c>
      <c r="J16772" s="1" t="str">
        <f>"38/38"</f>
        <v>38/38</v>
      </c>
      <c r="K16772" s="1" t="str">
        <f>"2026-07-29 13:18:03"</f>
        <v>2026-07-29 13:18:03</v>
      </c>
      <c r="L16772" s="1" t="str">
        <f>"2021-07-22 08:46:42"</f>
        <v>2021-07-22 08:46:42</v>
      </c>
      <c r="M16772" s="1" t="s">
        <v>45</v>
      </c>
      <c r="N16772" s="1" t="s">
        <v>38</v>
      </c>
      <c r="O16772" s="1" t="s">
        <v>46</v>
      </c>
    </row>
    <row r="16773" spans="2:15" x14ac:dyDescent="0.3">
      <c r="B16773" s="1" t="s">
        <v>19</v>
      </c>
      <c r="C16773" s="1" t="str">
        <f t="shared" si="830"/>
        <v>3차</v>
      </c>
      <c r="D16773" s="1" t="str">
        <f>"0228W67539"</f>
        <v>0228W67539</v>
      </c>
      <c r="E16773" s="1" t="s">
        <v>10</v>
      </c>
      <c r="F16773" s="1" t="str">
        <f>"10.107.124.9"</f>
        <v>10.107.124.9</v>
      </c>
      <c r="G16773" s="1" t="str">
        <f>"0228W675"</f>
        <v>0228W675</v>
      </c>
      <c r="H16773" s="1" t="str">
        <f>"석관간 65L7R2"</f>
        <v>석관간 65L7R2</v>
      </c>
      <c r="I16773" s="1" t="s">
        <v>8</v>
      </c>
      <c r="J16773" s="1" t="str">
        <f>"71/72"</f>
        <v>71/72</v>
      </c>
      <c r="K16773" s="1" t="str">
        <f>"2026-07-29 13:18:01"</f>
        <v>2026-07-29 13:18:01</v>
      </c>
      <c r="L16773" s="1" t="str">
        <f>"2021-07-26 18:32:12"</f>
        <v>2021-07-26 18:32:12</v>
      </c>
      <c r="M16773" s="1" t="s">
        <v>45</v>
      </c>
      <c r="N16773" s="1" t="s">
        <v>38</v>
      </c>
      <c r="O16773" s="1" t="s">
        <v>46</v>
      </c>
    </row>
    <row r="16774" spans="2:15" x14ac:dyDescent="0.3">
      <c r="B16774" s="1" t="s">
        <v>19</v>
      </c>
      <c r="C16774" s="1" t="str">
        <f t="shared" si="830"/>
        <v>3차</v>
      </c>
      <c r="D16774" s="1" t="str">
        <f>"0228W68139"</f>
        <v>0228W68139</v>
      </c>
      <c r="E16774" s="1" t="s">
        <v>10</v>
      </c>
      <c r="F16774" s="1" t="str">
        <f>"10.107.124.5"</f>
        <v>10.107.124.5</v>
      </c>
      <c r="G16774" s="1" t="str">
        <f>"0228W681"</f>
        <v>0228W681</v>
      </c>
      <c r="H16774" s="1" t="str">
        <f>"석관간 65L7"</f>
        <v>석관간 65L7</v>
      </c>
      <c r="I16774" s="1" t="s">
        <v>8</v>
      </c>
      <c r="J16774" s="1" t="str">
        <f>"54/54"</f>
        <v>54/54</v>
      </c>
      <c r="K16774" s="1" t="str">
        <f>"2026-07-29 13:18:03"</f>
        <v>2026-07-29 13:18:03</v>
      </c>
      <c r="L16774" s="1" t="str">
        <f>"2018-03-26 16:02:55"</f>
        <v>2018-03-26 16:02:55</v>
      </c>
      <c r="M16774" s="1" t="s">
        <v>45</v>
      </c>
      <c r="N16774" s="1" t="s">
        <v>38</v>
      </c>
      <c r="O16774" s="1" t="s">
        <v>46</v>
      </c>
    </row>
    <row r="16775" spans="2:15" x14ac:dyDescent="0.3">
      <c r="B16775" s="1" t="s">
        <v>19</v>
      </c>
      <c r="C16775" s="1" t="str">
        <f t="shared" si="830"/>
        <v>3차</v>
      </c>
      <c r="D16775" s="1" t="str">
        <f>"0228W69539"</f>
        <v>0228W69539</v>
      </c>
      <c r="E16775" s="1" t="s">
        <v>10</v>
      </c>
      <c r="F16775" s="1" t="str">
        <f>"10.107.124.4"</f>
        <v>10.107.124.4</v>
      </c>
      <c r="G16775" s="1" t="str">
        <f>"0228W695"</f>
        <v>0228W695</v>
      </c>
      <c r="H16775" s="1" t="str">
        <f>"석관간 65L6"</f>
        <v>석관간 65L6</v>
      </c>
      <c r="I16775" s="1" t="s">
        <v>8</v>
      </c>
      <c r="J16775" s="1" t="str">
        <f>"33/33"</f>
        <v>33/33</v>
      </c>
      <c r="K16775" s="1" t="str">
        <f>"2026-07-29 13:18:03"</f>
        <v>2026-07-29 13:18:03</v>
      </c>
      <c r="L16775" s="1" t="str">
        <f>"2018-03-26 16:05:05"</f>
        <v>2018-03-26 16:05:05</v>
      </c>
      <c r="M16775" s="1" t="s">
        <v>45</v>
      </c>
      <c r="N16775" s="1" t="s">
        <v>38</v>
      </c>
      <c r="O16775" s="1" t="s">
        <v>46</v>
      </c>
    </row>
    <row r="16776" spans="2:15" x14ac:dyDescent="0.3">
      <c r="B16776" s="1" t="s">
        <v>19</v>
      </c>
      <c r="C16776" s="1" t="str">
        <f t="shared" si="830"/>
        <v>3차</v>
      </c>
      <c r="D16776" s="1" t="str">
        <f>"0228W76239"</f>
        <v>0228W76239</v>
      </c>
      <c r="E16776" s="1" t="s">
        <v>10</v>
      </c>
      <c r="F16776" s="1" t="str">
        <f>"10.107.124.11"</f>
        <v>10.107.124.11</v>
      </c>
      <c r="G16776" s="1" t="str">
        <f>"0228W762"</f>
        <v>0228W762</v>
      </c>
      <c r="H16776" s="1" t="str">
        <f>"석관간 65L10R3"</f>
        <v>석관간 65L10R3</v>
      </c>
      <c r="I16776" s="1" t="s">
        <v>8</v>
      </c>
      <c r="J16776" s="1" t="str">
        <f>"12/12"</f>
        <v>12/12</v>
      </c>
      <c r="K16776" s="1" t="str">
        <f>"2026-07-29 13:18:02"</f>
        <v>2026-07-29 13:18:02</v>
      </c>
      <c r="L16776" s="1" t="str">
        <f>"2018-04-09 12:07:39"</f>
        <v>2018-04-09 12:07:39</v>
      </c>
      <c r="M16776" s="1" t="s">
        <v>45</v>
      </c>
      <c r="N16776" s="1" t="s">
        <v>38</v>
      </c>
      <c r="O16776" s="1" t="s">
        <v>46</v>
      </c>
    </row>
    <row r="16777" spans="2:15" x14ac:dyDescent="0.3">
      <c r="B16777" s="1" t="s">
        <v>19</v>
      </c>
      <c r="C16777" s="1" t="str">
        <f>"4차"</f>
        <v>4차</v>
      </c>
      <c r="D16777" s="1" t="str">
        <f>"0228W78339"</f>
        <v>0228W78339</v>
      </c>
      <c r="E16777" s="1" t="s">
        <v>10</v>
      </c>
      <c r="F16777" s="1" t="str">
        <f>"10.107.124.6"</f>
        <v>10.107.124.6</v>
      </c>
      <c r="G16777" s="1" t="str">
        <f>"0228W783"</f>
        <v>0228W783</v>
      </c>
      <c r="H16777" s="1" t="str">
        <f>"석관간 65L8"</f>
        <v>석관간 65L8</v>
      </c>
      <c r="I16777" s="1" t="s">
        <v>8</v>
      </c>
      <c r="J16777" s="1" t="str">
        <f>"46/54"</f>
        <v>46/54</v>
      </c>
      <c r="K16777" s="1" t="str">
        <f>"2026-07-29 13:18:03"</f>
        <v>2026-07-29 13:18:03</v>
      </c>
      <c r="L16777" s="1" t="str">
        <f>"2018-04-04 14:39:13"</f>
        <v>2018-04-04 14:39:13</v>
      </c>
      <c r="M16777" s="1" t="s">
        <v>45</v>
      </c>
      <c r="N16777" s="1" t="s">
        <v>38</v>
      </c>
      <c r="O16777" s="1" t="s">
        <v>46</v>
      </c>
    </row>
    <row r="16778" spans="2:15" x14ac:dyDescent="0.3">
      <c r="B16778" s="1" t="s">
        <v>19</v>
      </c>
      <c r="C16778" s="1" t="str">
        <f>"3차"</f>
        <v>3차</v>
      </c>
      <c r="D16778" s="1" t="str">
        <f>"0228W78439"</f>
        <v>0228W78439</v>
      </c>
      <c r="E16778" s="1" t="s">
        <v>10</v>
      </c>
      <c r="F16778" s="1" t="str">
        <f>"10.107.124.7"</f>
        <v>10.107.124.7</v>
      </c>
      <c r="G16778" s="1" t="str">
        <f>"0228W784"</f>
        <v>0228W784</v>
      </c>
      <c r="H16778" s="1" t="str">
        <f>"석관간 65L9"</f>
        <v>석관간 65L9</v>
      </c>
      <c r="I16778" s="1" t="s">
        <v>8</v>
      </c>
      <c r="J16778" s="1" t="str">
        <f>"28/38"</f>
        <v>28/38</v>
      </c>
      <c r="K16778" s="1" t="str">
        <f>"2026-07-29 13:18:03"</f>
        <v>2026-07-29 13:18:03</v>
      </c>
      <c r="L16778" s="1" t="str">
        <f>"2018-03-26 21:04:58"</f>
        <v>2018-03-26 21:04:58</v>
      </c>
      <c r="M16778" s="1" t="s">
        <v>45</v>
      </c>
      <c r="N16778" s="1" t="s">
        <v>38</v>
      </c>
      <c r="O16778" s="1" t="s">
        <v>46</v>
      </c>
    </row>
    <row r="16779" spans="2:15" x14ac:dyDescent="0.3">
      <c r="B16779" s="1" t="s">
        <v>19</v>
      </c>
      <c r="C16779" s="1" t="str">
        <f>"3차"</f>
        <v>3차</v>
      </c>
      <c r="D16779" s="1" t="str">
        <f>"0228W88230"</f>
        <v>0228W88230</v>
      </c>
      <c r="E16779" s="1" t="s">
        <v>10</v>
      </c>
      <c r="F16779" s="1" t="str">
        <f>"10.107.124.8"</f>
        <v>10.107.124.8</v>
      </c>
      <c r="G16779" s="1" t="str">
        <f>"0228W882"</f>
        <v>0228W882</v>
      </c>
      <c r="H16779" s="1" t="str">
        <f>"석관간 65L11"</f>
        <v>석관간 65L11</v>
      </c>
      <c r="I16779" s="1" t="s">
        <v>8</v>
      </c>
      <c r="J16779" s="1" t="str">
        <f>"15/15"</f>
        <v>15/15</v>
      </c>
      <c r="K16779" s="1" t="str">
        <f>"2026-07-29 13:18:03"</f>
        <v>2026-07-29 13:18:03</v>
      </c>
      <c r="L16779" s="1" t="str">
        <f>"2018-05-31 10:13:09"</f>
        <v>2018-05-31 10:13:09</v>
      </c>
      <c r="M16779" s="1" t="s">
        <v>45</v>
      </c>
      <c r="N16779" s="1" t="s">
        <v>38</v>
      </c>
      <c r="O16779" s="1" t="s">
        <v>46</v>
      </c>
    </row>
    <row r="16780" spans="2:15" x14ac:dyDescent="0.3">
      <c r="B16780" s="1" t="s">
        <v>19</v>
      </c>
      <c r="C16780" s="1" t="str">
        <f>"3차"</f>
        <v>3차</v>
      </c>
      <c r="D16780" s="1" t="str">
        <f>"0228W88532"</f>
        <v>0228W88532</v>
      </c>
      <c r="E16780" s="1" t="s">
        <v>10</v>
      </c>
      <c r="F16780" s="1" t="str">
        <f>"10.14.4.120"</f>
        <v>10.14.4.120</v>
      </c>
      <c r="G16780" s="1" t="str">
        <f>"0228W885"</f>
        <v>0228W885</v>
      </c>
      <c r="H16780" s="1" t="str">
        <f>"석관간 65L10"</f>
        <v>석관간 65L10</v>
      </c>
      <c r="I16780" s="1" t="s">
        <v>8</v>
      </c>
      <c r="J16780" s="1" t="str">
        <f>"49/49"</f>
        <v>49/49</v>
      </c>
      <c r="K16780" s="1" t="str">
        <f>"2026-07-29 13:18:04"</f>
        <v>2026-07-29 13:18:04</v>
      </c>
      <c r="L16780" s="1" t="str">
        <f>"2018-04-04 14:36:14"</f>
        <v>2018-04-04 14:36:14</v>
      </c>
      <c r="M16780" s="1" t="s">
        <v>3</v>
      </c>
      <c r="N16780" s="1" t="s">
        <v>38</v>
      </c>
      <c r="O16780" s="1" t="s">
        <v>46</v>
      </c>
    </row>
    <row r="16781" spans="2:15" x14ac:dyDescent="0.3">
      <c r="B16781" s="1" t="s">
        <v>19</v>
      </c>
      <c r="C16781" s="1" t="str">
        <f>"3차"</f>
        <v>3차</v>
      </c>
      <c r="D16781" s="1" t="str">
        <f>"0228W97131"</f>
        <v>0228W97131</v>
      </c>
      <c r="E16781" s="1" t="s">
        <v>10</v>
      </c>
      <c r="F16781" s="1" t="str">
        <f>"10.107.124.18"</f>
        <v>10.107.124.18</v>
      </c>
      <c r="G16781" s="1" t="str">
        <f>"0228W971"</f>
        <v>0228W971</v>
      </c>
      <c r="H16781" s="1" t="str">
        <f>"석관간 65L12"</f>
        <v>석관간 65L12</v>
      </c>
      <c r="I16781" s="1" t="s">
        <v>8</v>
      </c>
      <c r="J16781" s="1" t="str">
        <f>"6/6"</f>
        <v>6/6</v>
      </c>
      <c r="K16781" s="1" t="str">
        <f>"2026-07-29 13:18:03"</f>
        <v>2026-07-29 13:18:03</v>
      </c>
      <c r="L16781" s="1" t="str">
        <f>"2018-05-31 10:58:15"</f>
        <v>2018-05-31 10:58:15</v>
      </c>
      <c r="M16781" s="1" t="s">
        <v>45</v>
      </c>
      <c r="N16781" s="1" t="s">
        <v>38</v>
      </c>
      <c r="O16781" s="1" t="s">
        <v>46</v>
      </c>
    </row>
    <row r="16782" spans="2:15" x14ac:dyDescent="0.3">
      <c r="B16782" s="1" t="s">
        <v>19</v>
      </c>
      <c r="C16782" s="1" t="str">
        <f>"5-2차"</f>
        <v>5-2차</v>
      </c>
      <c r="D16782" s="1" t="str">
        <f>"0228X0725S"</f>
        <v>0228X0725S</v>
      </c>
      <c r="E16782" s="1" t="s">
        <v>10</v>
      </c>
      <c r="F16782" s="1" t="str">
        <f>"fde3:102:1410:8200:0:0:0:8"</f>
        <v>fde3:102:1410:8200:0:0:0:8</v>
      </c>
      <c r="G16782" s="1" t="str">
        <f>"0228X072"</f>
        <v>0228X072</v>
      </c>
      <c r="H16782" s="1" t="str">
        <f>"석관간 65L14"</f>
        <v>석관간 65L14</v>
      </c>
      <c r="I16782" s="1" t="s">
        <v>15</v>
      </c>
      <c r="J16782" s="1" t="str">
        <f>"65/65"</f>
        <v>65/65</v>
      </c>
      <c r="K16782" s="1" t="str">
        <f>"2026-07-29 14:20:32"</f>
        <v>2026-07-29 14:20:32</v>
      </c>
      <c r="L16782" s="1" t="str">
        <f>"2023-12-13 16:52:02"</f>
        <v>2023-12-13 16:52:02</v>
      </c>
      <c r="M16782" s="1" t="s">
        <v>45</v>
      </c>
      <c r="N16782" s="1" t="s">
        <v>38</v>
      </c>
      <c r="O16782" s="1" t="s">
        <v>46</v>
      </c>
    </row>
    <row r="16783" spans="2:15" x14ac:dyDescent="0.3">
      <c r="B16783" s="1" t="s">
        <v>19</v>
      </c>
      <c r="C16783" s="1" t="str">
        <f>"3차"</f>
        <v>3차</v>
      </c>
      <c r="D16783" s="1" t="str">
        <f>"0228X07432"</f>
        <v>0228X07432</v>
      </c>
      <c r="E16783" s="1" t="s">
        <v>10</v>
      </c>
      <c r="F16783" s="1" t="str">
        <f>"10.12.131.244"</f>
        <v>10.12.131.244</v>
      </c>
      <c r="G16783" s="1" t="str">
        <f>"0228X074"</f>
        <v>0228X074</v>
      </c>
      <c r="H16783" s="1" t="str">
        <f>"석관간 53L15"</f>
        <v>석관간 53L15</v>
      </c>
      <c r="I16783" s="1" t="s">
        <v>8</v>
      </c>
      <c r="J16783" s="1" t="str">
        <f>"10/10"</f>
        <v>10/10</v>
      </c>
      <c r="K16783" s="1" t="str">
        <f>"2026-07-29 13:18:03"</f>
        <v>2026-07-29 13:18:03</v>
      </c>
      <c r="L16783" s="1" t="str">
        <f>"2018-03-23 14:23:11"</f>
        <v>2018-03-23 14:23:11</v>
      </c>
      <c r="M16783" s="1" t="s">
        <v>0</v>
      </c>
      <c r="N16783" s="1" t="s">
        <v>38</v>
      </c>
      <c r="O16783" s="1" t="s">
        <v>46</v>
      </c>
    </row>
    <row r="16784" spans="2:15" x14ac:dyDescent="0.3">
      <c r="B16784" s="1" t="s">
        <v>19</v>
      </c>
      <c r="C16784" s="1" t="str">
        <f>"4차"</f>
        <v>4차</v>
      </c>
      <c r="D16784" s="1" t="str">
        <f>"0228X09130"</f>
        <v>0228X09130</v>
      </c>
      <c r="E16784" s="1" t="s">
        <v>10</v>
      </c>
      <c r="F16784" s="1" t="str">
        <f>"10.107.124.12"</f>
        <v>10.107.124.12</v>
      </c>
      <c r="G16784" s="1" t="str">
        <f>"0228X091"</f>
        <v>0228X091</v>
      </c>
      <c r="H16784" s="1" t="str">
        <f>"석관간 58L9"</f>
        <v>석관간 58L9</v>
      </c>
      <c r="I16784" s="1" t="s">
        <v>8</v>
      </c>
      <c r="J16784" s="1" t="str">
        <f>"13/13"</f>
        <v>13/13</v>
      </c>
      <c r="K16784" s="1" t="str">
        <f>"2026-07-29 13:18:01"</f>
        <v>2026-07-29 13:18:01</v>
      </c>
      <c r="L16784" s="1" t="str">
        <f>"2018-03-27 14:19:36"</f>
        <v>2018-03-27 14:19:36</v>
      </c>
      <c r="M16784" s="1" t="s">
        <v>45</v>
      </c>
      <c r="N16784" s="1" t="s">
        <v>38</v>
      </c>
      <c r="O16784" s="1" t="s">
        <v>46</v>
      </c>
    </row>
    <row r="16785" spans="2:15" x14ac:dyDescent="0.3">
      <c r="B16785" s="1" t="s">
        <v>19</v>
      </c>
      <c r="C16785" s="1" t="str">
        <f>"3차"</f>
        <v>3차</v>
      </c>
      <c r="D16785" s="1" t="str">
        <f>"0228X09231"</f>
        <v>0228X09231</v>
      </c>
      <c r="E16785" s="1" t="s">
        <v>10</v>
      </c>
      <c r="F16785" s="1" t="str">
        <f>"10.107.124.17"</f>
        <v>10.107.124.17</v>
      </c>
      <c r="G16785" s="1" t="str">
        <f>"0228X092"</f>
        <v>0228X092</v>
      </c>
      <c r="H16785" s="1" t="str">
        <f>"석관간 58L8"</f>
        <v>석관간 58L8</v>
      </c>
      <c r="I16785" s="1" t="s">
        <v>8</v>
      </c>
      <c r="J16785" s="1" t="str">
        <f>"93/93"</f>
        <v>93/93</v>
      </c>
      <c r="K16785" s="1" t="str">
        <f>"2026-07-29 13:18:01"</f>
        <v>2026-07-29 13:18:01</v>
      </c>
      <c r="L16785" s="1" t="str">
        <f>"2018-03-27 14:27:51"</f>
        <v>2018-03-27 14:27:51</v>
      </c>
      <c r="M16785" s="1" t="s">
        <v>45</v>
      </c>
      <c r="N16785" s="1" t="s">
        <v>38</v>
      </c>
      <c r="O16785" s="1" t="s">
        <v>46</v>
      </c>
    </row>
    <row r="16786" spans="2:15" x14ac:dyDescent="0.3">
      <c r="B16786" s="1" t="s">
        <v>19</v>
      </c>
      <c r="C16786" s="1" t="str">
        <f>"5-2차"</f>
        <v>5-2차</v>
      </c>
      <c r="D16786" s="1" t="str">
        <f>"0228X0945M"</f>
        <v>0228X0945M</v>
      </c>
      <c r="E16786" s="1" t="s">
        <v>10</v>
      </c>
      <c r="F16786" s="1" t="str">
        <f>"fde3:102:1410:9100:0:0:0:14"</f>
        <v>fde3:102:1410:9100:0:0:0:14</v>
      </c>
      <c r="G16786" s="1" t="str">
        <f>"0228X094"</f>
        <v>0228X094</v>
      </c>
      <c r="H16786" s="1" t="str">
        <f>"석관간 53L12R3"</f>
        <v>석관간 53L12R3</v>
      </c>
      <c r="I16786" s="1" t="s">
        <v>15</v>
      </c>
      <c r="J16786" s="1" t="str">
        <f>"98/98"</f>
        <v>98/98</v>
      </c>
      <c r="K16786" s="1" t="str">
        <f>"2026-07-29 14:20:00"</f>
        <v>2026-07-29 14:20:00</v>
      </c>
      <c r="L16786" s="1" t="str">
        <f>"2023-12-13 16:24:01"</f>
        <v>2023-12-13 16:24:01</v>
      </c>
      <c r="M16786" s="1" t="s">
        <v>45</v>
      </c>
      <c r="N16786" s="1" t="s">
        <v>38</v>
      </c>
      <c r="O16786" s="1" t="s">
        <v>46</v>
      </c>
    </row>
    <row r="16787" spans="2:15" x14ac:dyDescent="0.3">
      <c r="B16787" s="1" t="s">
        <v>19</v>
      </c>
      <c r="C16787" s="1" t="str">
        <f>"3차"</f>
        <v>3차</v>
      </c>
      <c r="D16787" s="1" t="str">
        <f>"0228X18130"</f>
        <v>0228X18130</v>
      </c>
      <c r="E16787" s="1" t="s">
        <v>10</v>
      </c>
      <c r="F16787" s="1" t="str">
        <f>"10.107.251.66"</f>
        <v>10.107.251.66</v>
      </c>
      <c r="G16787" s="1" t="str">
        <f>"0228X181"</f>
        <v>0228X181</v>
      </c>
      <c r="H16787" s="1" t="str">
        <f>"석관간 53L13"</f>
        <v>석관간 53L13</v>
      </c>
      <c r="I16787" s="1" t="s">
        <v>8</v>
      </c>
      <c r="J16787" s="1" t="str">
        <f>"45/45"</f>
        <v>45/45</v>
      </c>
      <c r="K16787" s="1" t="str">
        <f>"2026-07-29 13:18:01"</f>
        <v>2026-07-29 13:18:01</v>
      </c>
      <c r="L16787" s="1" t="str">
        <f>"2018-03-23 13:55:41"</f>
        <v>2018-03-23 13:55:41</v>
      </c>
      <c r="M16787" s="1" t="s">
        <v>45</v>
      </c>
      <c r="N16787" s="1" t="s">
        <v>38</v>
      </c>
      <c r="O16787" s="1" t="s">
        <v>46</v>
      </c>
    </row>
    <row r="16788" spans="2:15" x14ac:dyDescent="0.3">
      <c r="B16788" s="1" t="s">
        <v>19</v>
      </c>
      <c r="C16788" s="1" t="str">
        <f>"3차"</f>
        <v>3차</v>
      </c>
      <c r="D16788" s="1" t="str">
        <f>"0228X19539"</f>
        <v>0228X19539</v>
      </c>
      <c r="E16788" s="1" t="s">
        <v>10</v>
      </c>
      <c r="F16788" s="1" t="str">
        <f>"10.14.5.10"</f>
        <v>10.14.5.10</v>
      </c>
      <c r="G16788" s="1" t="str">
        <f>"0228X195"</f>
        <v>0228X195</v>
      </c>
      <c r="H16788" s="1" t="str">
        <f>"석관간 53L12R1"</f>
        <v>석관간 53L12R1</v>
      </c>
      <c r="I16788" s="1" t="s">
        <v>8</v>
      </c>
      <c r="J16788" s="1" t="str">
        <f>"36/36"</f>
        <v>36/36</v>
      </c>
      <c r="K16788" s="1" t="str">
        <f>"2026-07-29 13:18:02"</f>
        <v>2026-07-29 13:18:02</v>
      </c>
      <c r="L16788" s="1" t="str">
        <f>"2022-07-29 16:02:18"</f>
        <v>2022-07-29 16:02:18</v>
      </c>
      <c r="M16788" s="1" t="s">
        <v>3</v>
      </c>
      <c r="N16788" s="1" t="s">
        <v>38</v>
      </c>
      <c r="O16788" s="1" t="s">
        <v>46</v>
      </c>
    </row>
    <row r="16789" spans="2:15" x14ac:dyDescent="0.3">
      <c r="B16789" s="1" t="s">
        <v>19</v>
      </c>
      <c r="C16789" s="1" t="str">
        <f>"5-2차"</f>
        <v>5-2차</v>
      </c>
      <c r="D16789" s="1" t="str">
        <f>"0228X2835M"</f>
        <v>0228X2835M</v>
      </c>
      <c r="E16789" s="1" t="s">
        <v>10</v>
      </c>
      <c r="F16789" s="1" t="str">
        <f>"fde1:103:4:9165:0:0:0:2"</f>
        <v>fde1:103:4:9165:0:0:0:2</v>
      </c>
      <c r="G16789" s="1" t="str">
        <f>"0228X283"</f>
        <v>0228X283</v>
      </c>
      <c r="H16789" s="1" t="str">
        <f>"석관간 53L11"</f>
        <v>석관간 53L11</v>
      </c>
      <c r="I16789" s="1" t="s">
        <v>15</v>
      </c>
      <c r="J16789" s="1" t="str">
        <f>"83/83"</f>
        <v>83/83</v>
      </c>
      <c r="K16789" s="1" t="str">
        <f>"2026-07-29 14:20:47"</f>
        <v>2026-07-29 14:20:47</v>
      </c>
      <c r="L16789" s="1" t="str">
        <f>"2023-12-21 09:23:53"</f>
        <v>2023-12-21 09:23:53</v>
      </c>
      <c r="M16789" s="1" t="s">
        <v>4</v>
      </c>
      <c r="N16789" s="1" t="s">
        <v>38</v>
      </c>
      <c r="O16789" s="1" t="s">
        <v>46</v>
      </c>
    </row>
    <row r="16790" spans="2:15" x14ac:dyDescent="0.3">
      <c r="B16790" s="1" t="s">
        <v>19</v>
      </c>
      <c r="C16790" s="1" t="str">
        <f>"6차"</f>
        <v>6차</v>
      </c>
      <c r="D16790" s="1" t="str">
        <f>"0229A0816M"</f>
        <v>0229A0816M</v>
      </c>
      <c r="E16790" s="1" t="s">
        <v>10</v>
      </c>
      <c r="F16790" s="1" t="str">
        <f>"fde1:103:4:c7d3:0:0:0:2"</f>
        <v>fde1:103:4:c7d3:0:0:0:2</v>
      </c>
      <c r="G16790" s="1" t="str">
        <f>"0229A081"</f>
        <v>0229A081</v>
      </c>
      <c r="H16790" s="1" t="str">
        <f>"동방지 12R19"</f>
        <v>동방지 12R19</v>
      </c>
      <c r="I16790" s="1" t="s">
        <v>15</v>
      </c>
      <c r="J16790" s="1" t="str">
        <f>"68/68"</f>
        <v>68/68</v>
      </c>
      <c r="K16790" s="1" t="str">
        <f>"2026-07-29 14:20:26"</f>
        <v>2026-07-29 14:20:26</v>
      </c>
      <c r="L16790" s="1" t="str">
        <f>"2024-12-02 14:33:57"</f>
        <v>2024-12-02 14:33:57</v>
      </c>
      <c r="M16790" s="1" t="s">
        <v>4</v>
      </c>
      <c r="N16790" s="1" t="s">
        <v>38</v>
      </c>
      <c r="O16790" s="1" t="s">
        <v>46</v>
      </c>
    </row>
    <row r="16791" spans="2:15" x14ac:dyDescent="0.3">
      <c r="B16791" s="1" t="s">
        <v>19</v>
      </c>
      <c r="C16791" s="1" t="str">
        <f>"5-2차"</f>
        <v>5-2차</v>
      </c>
      <c r="D16791" s="1" t="str">
        <f>"0229A7045M"</f>
        <v>0229A7045M</v>
      </c>
      <c r="E16791" s="1" t="s">
        <v>10</v>
      </c>
      <c r="F16791" s="1" t="str">
        <f>"fde3:102:1410:4700:0:0:0:14"</f>
        <v>fde3:102:1410:4700:0:0:0:14</v>
      </c>
      <c r="G16791" s="1" t="str">
        <f>"0229A704"</f>
        <v>0229A704</v>
      </c>
      <c r="H16791" s="1" t="str">
        <f>"동방지 14R1"</f>
        <v>동방지 14R1</v>
      </c>
      <c r="I16791" s="1" t="s">
        <v>15</v>
      </c>
      <c r="J16791" s="1" t="str">
        <f>"31/33"</f>
        <v>31/33</v>
      </c>
      <c r="K16791" s="1" t="str">
        <f>"2026-07-29 14:20:47"</f>
        <v>2026-07-29 14:20:47</v>
      </c>
      <c r="L16791" s="1" t="str">
        <f>"2023-12-22 01:01:26"</f>
        <v>2023-12-22 01:01:26</v>
      </c>
      <c r="M16791" s="1" t="s">
        <v>45</v>
      </c>
      <c r="N16791" s="1" t="s">
        <v>38</v>
      </c>
      <c r="O16791" s="1" t="s">
        <v>46</v>
      </c>
    </row>
    <row r="16792" spans="2:15" x14ac:dyDescent="0.3">
      <c r="B16792" s="1" t="s">
        <v>19</v>
      </c>
      <c r="C16792" s="1" t="str">
        <f>"4차"</f>
        <v>4차</v>
      </c>
      <c r="D16792" s="1" t="str">
        <f>"0229A72341"</f>
        <v>0229A72341</v>
      </c>
      <c r="E16792" s="1" t="s">
        <v>10</v>
      </c>
      <c r="F16792" s="1" t="str">
        <f>"10.12.136.139"</f>
        <v>10.12.136.139</v>
      </c>
      <c r="G16792" s="1" t="str">
        <f>"0229A723"</f>
        <v>0229A723</v>
      </c>
      <c r="H16792" s="1" t="str">
        <f>"동방지 12R7L1"</f>
        <v>동방지 12R7L1</v>
      </c>
      <c r="I16792" s="1" t="s">
        <v>17</v>
      </c>
      <c r="J16792" s="1" t="str">
        <f>"4/4"</f>
        <v>4/4</v>
      </c>
      <c r="K16792" s="1" t="str">
        <f>"2026-07-29 13:18:03"</f>
        <v>2026-07-29 13:18:03</v>
      </c>
      <c r="L16792" s="1" t="str">
        <f>"2021-08-26 10:54:20"</f>
        <v>2021-08-26 10:54:20</v>
      </c>
      <c r="M16792" s="1" t="s">
        <v>0</v>
      </c>
      <c r="N16792" s="1" t="s">
        <v>38</v>
      </c>
      <c r="O16792" s="1" t="s">
        <v>46</v>
      </c>
    </row>
    <row r="16793" spans="2:15" x14ac:dyDescent="0.3">
      <c r="B16793" s="1" t="s">
        <v>19</v>
      </c>
      <c r="C16793" s="1" t="str">
        <f>"5-2차"</f>
        <v>5-2차</v>
      </c>
      <c r="D16793" s="1" t="str">
        <f>"0229C0315S"</f>
        <v>0229C0315S</v>
      </c>
      <c r="E16793" s="1" t="s">
        <v>10</v>
      </c>
      <c r="F16793" s="1" t="str">
        <f>"fde3:102:1410:1200:0:0:0:6"</f>
        <v>fde3:102:1410:1200:0:0:0:6</v>
      </c>
      <c r="G16793" s="1" t="str">
        <f>"0229C031"</f>
        <v>0229C031</v>
      </c>
      <c r="H16793" s="1" t="str">
        <f>"동방지 30L2"</f>
        <v>동방지 30L2</v>
      </c>
      <c r="I16793" s="1" t="s">
        <v>15</v>
      </c>
      <c r="J16793" s="1" t="str">
        <f>"75/78"</f>
        <v>75/78</v>
      </c>
      <c r="K16793" s="1" t="str">
        <f>"2026-07-29 14:21:06"</f>
        <v>2026-07-29 14:21:06</v>
      </c>
      <c r="L16793" s="1" t="str">
        <f>"2023-08-07 15:47:41"</f>
        <v>2023-08-07 15:47:41</v>
      </c>
      <c r="M16793" s="1" t="s">
        <v>45</v>
      </c>
      <c r="N16793" s="1" t="s">
        <v>38</v>
      </c>
      <c r="O16793" s="1" t="s">
        <v>46</v>
      </c>
    </row>
    <row r="16794" spans="2:15" x14ac:dyDescent="0.3">
      <c r="B16794" s="1" t="s">
        <v>19</v>
      </c>
      <c r="C16794" s="1" t="str">
        <f>"5-2차"</f>
        <v>5-2차</v>
      </c>
      <c r="D16794" s="1" t="str">
        <f>"0229C0615S"</f>
        <v>0229C0615S</v>
      </c>
      <c r="E16794" s="1" t="s">
        <v>10</v>
      </c>
      <c r="F16794" s="1" t="str">
        <f>"fde3:102:1410:1200:0:0:0:a"</f>
        <v>fde3:102:1410:1200:0:0:0:a</v>
      </c>
      <c r="G16794" s="1" t="str">
        <f>"0229C061"</f>
        <v>0229C061</v>
      </c>
      <c r="H16794" s="1" t="str">
        <f>"동방지 28R1L1"</f>
        <v>동방지 28R1L1</v>
      </c>
      <c r="I16794" s="1" t="s">
        <v>15</v>
      </c>
      <c r="J16794" s="1" t="str">
        <f>"63/63"</f>
        <v>63/63</v>
      </c>
      <c r="K16794" s="1" t="str">
        <f>"2026-07-29 14:20:48"</f>
        <v>2026-07-29 14:20:48</v>
      </c>
      <c r="L16794" s="1" t="str">
        <f>"2023-08-07 14:28:23"</f>
        <v>2023-08-07 14:28:23</v>
      </c>
      <c r="M16794" s="1" t="s">
        <v>45</v>
      </c>
      <c r="N16794" s="1" t="s">
        <v>38</v>
      </c>
      <c r="O16794" s="1" t="s">
        <v>46</v>
      </c>
    </row>
    <row r="16795" spans="2:15" x14ac:dyDescent="0.3">
      <c r="B16795" s="1" t="s">
        <v>19</v>
      </c>
      <c r="C16795" s="1" t="str">
        <f>"5-2차"</f>
        <v>5-2차</v>
      </c>
      <c r="D16795" s="1" t="str">
        <f>"0229C0625S"</f>
        <v>0229C0625S</v>
      </c>
      <c r="E16795" s="1" t="s">
        <v>10</v>
      </c>
      <c r="F16795" s="1" t="str">
        <f>"fde3:102:1410:1200:0:0:0:9"</f>
        <v>fde3:102:1410:1200:0:0:0:9</v>
      </c>
      <c r="G16795" s="1" t="str">
        <f>"0229C062"</f>
        <v>0229C062</v>
      </c>
      <c r="H16795" s="1" t="str">
        <f>"동방지 28R2"</f>
        <v>동방지 28R2</v>
      </c>
      <c r="I16795" s="1" t="s">
        <v>15</v>
      </c>
      <c r="J16795" s="1" t="str">
        <f>"33/33"</f>
        <v>33/33</v>
      </c>
      <c r="K16795" s="1" t="str">
        <f>"2026-07-29 14:20:48"</f>
        <v>2026-07-29 14:20:48</v>
      </c>
      <c r="L16795" s="1" t="str">
        <f>"2023-08-07 14:00:20"</f>
        <v>2023-08-07 14:00:20</v>
      </c>
      <c r="M16795" s="1" t="s">
        <v>45</v>
      </c>
      <c r="N16795" s="1" t="s">
        <v>38</v>
      </c>
      <c r="O16795" s="1" t="s">
        <v>46</v>
      </c>
    </row>
    <row r="16796" spans="2:15" x14ac:dyDescent="0.3">
      <c r="B16796" s="1" t="s">
        <v>19</v>
      </c>
      <c r="C16796" s="1" t="str">
        <f>"5-2차"</f>
        <v>5-2차</v>
      </c>
      <c r="D16796" s="1" t="str">
        <f>"0229C1615M"</f>
        <v>0229C1615M</v>
      </c>
      <c r="E16796" s="1" t="s">
        <v>10</v>
      </c>
      <c r="F16796" s="1" t="str">
        <f>"fde1:103:4:58e6:0:0:0:2"</f>
        <v>fde1:103:4:58e6:0:0:0:2</v>
      </c>
      <c r="G16796" s="1" t="str">
        <f>"0229C161"</f>
        <v>0229C161</v>
      </c>
      <c r="H16796" s="1" t="str">
        <f>"동방지 28"</f>
        <v>동방지 28</v>
      </c>
      <c r="I16796" s="1" t="s">
        <v>15</v>
      </c>
      <c r="J16796" s="1" t="str">
        <f>"126/127"</f>
        <v>126/127</v>
      </c>
      <c r="K16796" s="1" t="str">
        <f>"2026-07-29 14:20:49"</f>
        <v>2026-07-29 14:20:49</v>
      </c>
      <c r="L16796" s="1" t="str">
        <f>"2024-02-28 17:22:38"</f>
        <v>2024-02-28 17:22:38</v>
      </c>
      <c r="M16796" s="1" t="s">
        <v>4</v>
      </c>
      <c r="N16796" s="1" t="s">
        <v>38</v>
      </c>
      <c r="O16796" s="1" t="s">
        <v>46</v>
      </c>
    </row>
    <row r="16797" spans="2:15" x14ac:dyDescent="0.3">
      <c r="B16797" s="1" t="s">
        <v>19</v>
      </c>
      <c r="C16797" s="1" t="str">
        <f>"5-2차"</f>
        <v>5-2차</v>
      </c>
      <c r="D16797" s="1" t="str">
        <f>"0229C1715S"</f>
        <v>0229C1715S</v>
      </c>
      <c r="E16797" s="1" t="s">
        <v>10</v>
      </c>
      <c r="F16797" s="1" t="str">
        <f>"fde3:102:1410:1200:0:0:0:8"</f>
        <v>fde3:102:1410:1200:0:0:0:8</v>
      </c>
      <c r="G16797" s="1" t="str">
        <f>"0229C171"</f>
        <v>0229C171</v>
      </c>
      <c r="H16797" s="1" t="str">
        <f>"동방지 28R2R1"</f>
        <v>동방지 28R2R1</v>
      </c>
      <c r="I16797" s="1" t="s">
        <v>15</v>
      </c>
      <c r="J16797" s="1" t="str">
        <f>"73/73"</f>
        <v>73/73</v>
      </c>
      <c r="K16797" s="1" t="str">
        <f>"2026-07-29 14:21:06"</f>
        <v>2026-07-29 14:21:06</v>
      </c>
      <c r="L16797" s="1" t="str">
        <f>"2023-08-07 14:11:29"</f>
        <v>2023-08-07 14:11:29</v>
      </c>
      <c r="M16797" s="1" t="s">
        <v>45</v>
      </c>
      <c r="N16797" s="1" t="s">
        <v>38</v>
      </c>
      <c r="O16797" s="1" t="s">
        <v>46</v>
      </c>
    </row>
    <row r="16798" spans="2:15" x14ac:dyDescent="0.3">
      <c r="B16798" s="1" t="s">
        <v>19</v>
      </c>
      <c r="C16798" s="1" t="str">
        <f>"6차"</f>
        <v>6차</v>
      </c>
      <c r="D16798" s="1" t="str">
        <f>"0229C2416S"</f>
        <v>0229C2416S</v>
      </c>
      <c r="E16798" s="1" t="s">
        <v>10</v>
      </c>
      <c r="F16798" s="1" t="str">
        <f>"fde1:103:4:c85d:0:0:0:2"</f>
        <v>fde1:103:4:c85d:0:0:0:2</v>
      </c>
      <c r="G16798" s="1" t="str">
        <f>"0229C241"</f>
        <v>0229C241</v>
      </c>
      <c r="H16798" s="1" t="str">
        <f>"동방지 28L3"</f>
        <v>동방지 28L3</v>
      </c>
      <c r="I16798" s="1" t="s">
        <v>15</v>
      </c>
      <c r="J16798" s="1" t="str">
        <f>"49/49"</f>
        <v>49/49</v>
      </c>
      <c r="K16798" s="1" t="str">
        <f>"2026-07-29 14:20:32"</f>
        <v>2026-07-29 14:20:32</v>
      </c>
      <c r="L16798" s="1" t="str">
        <f>"2025-03-14 16:38:15"</f>
        <v>2025-03-14 16:38:15</v>
      </c>
      <c r="M16798" s="1" t="s">
        <v>4</v>
      </c>
      <c r="N16798" s="1" t="s">
        <v>38</v>
      </c>
      <c r="O16798" s="1" t="s">
        <v>46</v>
      </c>
    </row>
    <row r="16799" spans="2:15" x14ac:dyDescent="0.3">
      <c r="B16799" s="1" t="s">
        <v>19</v>
      </c>
      <c r="C16799" s="1" t="str">
        <f>"5-2차"</f>
        <v>5-2차</v>
      </c>
      <c r="D16799" s="1" t="str">
        <f>"0229C2425S"</f>
        <v>0229C2425S</v>
      </c>
      <c r="E16799" s="1" t="s">
        <v>10</v>
      </c>
      <c r="F16799" s="1" t="str">
        <f>"fde3:102:1410:1200:0:0:0:d"</f>
        <v>fde3:102:1410:1200:0:0:0:d</v>
      </c>
      <c r="G16799" s="1" t="str">
        <f>"0229C242"</f>
        <v>0229C242</v>
      </c>
      <c r="H16799" s="1" t="str">
        <f>"동방지 28L4"</f>
        <v>동방지 28L4</v>
      </c>
      <c r="I16799" s="1" t="s">
        <v>15</v>
      </c>
      <c r="J16799" s="1" t="str">
        <f>"32/40"</f>
        <v>32/40</v>
      </c>
      <c r="K16799" s="1" t="str">
        <f>"2026-07-29 14:20:49"</f>
        <v>2026-07-29 14:20:49</v>
      </c>
      <c r="L16799" s="1" t="str">
        <f>"2023-08-07 16:01:54"</f>
        <v>2023-08-07 16:01:54</v>
      </c>
      <c r="M16799" s="1" t="s">
        <v>45</v>
      </c>
      <c r="N16799" s="1" t="s">
        <v>38</v>
      </c>
      <c r="O16799" s="1" t="s">
        <v>46</v>
      </c>
    </row>
    <row r="16800" spans="2:15" x14ac:dyDescent="0.3">
      <c r="B16800" s="1" t="s">
        <v>19</v>
      </c>
      <c r="C16800" s="1" t="str">
        <f>"5-2차"</f>
        <v>5-2차</v>
      </c>
      <c r="D16800" s="1" t="str">
        <f>"0229C2515S"</f>
        <v>0229C2515S</v>
      </c>
      <c r="E16800" s="1" t="s">
        <v>10</v>
      </c>
      <c r="F16800" s="1" t="str">
        <f>"fde3:102:1410:1200:0:0:0:b"</f>
        <v>fde3:102:1410:1200:0:0:0:b</v>
      </c>
      <c r="G16800" s="1" t="str">
        <f>"0229C251"</f>
        <v>0229C251</v>
      </c>
      <c r="H16800" s="1" t="str">
        <f>"동방지 28L1"</f>
        <v>동방지 28L1</v>
      </c>
      <c r="I16800" s="1" t="s">
        <v>15</v>
      </c>
      <c r="J16800" s="1" t="str">
        <f>"65/65"</f>
        <v>65/65</v>
      </c>
      <c r="K16800" s="1" t="str">
        <f>"2026-07-29 14:20:26"</f>
        <v>2026-07-29 14:20:26</v>
      </c>
      <c r="L16800" s="1" t="str">
        <f>"2023-08-07 15:29:45"</f>
        <v>2023-08-07 15:29:45</v>
      </c>
      <c r="M16800" s="1" t="s">
        <v>45</v>
      </c>
      <c r="N16800" s="1" t="s">
        <v>38</v>
      </c>
      <c r="O16800" s="1" t="s">
        <v>46</v>
      </c>
    </row>
    <row r="16801" spans="2:15" x14ac:dyDescent="0.3">
      <c r="B16801" s="1" t="s">
        <v>19</v>
      </c>
      <c r="C16801" s="1" t="str">
        <f>"1차"</f>
        <v>1차</v>
      </c>
      <c r="D16801" s="1" t="str">
        <f>"0229C25200"</f>
        <v>0229C25200</v>
      </c>
      <c r="E16801" s="1" t="s">
        <v>10</v>
      </c>
      <c r="F16801" s="1" t="str">
        <f>"10.107.250.88"</f>
        <v>10.107.250.88</v>
      </c>
      <c r="G16801" s="1" t="str">
        <f>"0229C252"</f>
        <v>0229C252</v>
      </c>
      <c r="H16801" s="1" t="str">
        <f>"동방지 28L2"</f>
        <v>동방지 28L2</v>
      </c>
      <c r="I16801" s="1" t="s">
        <v>8</v>
      </c>
      <c r="J16801" s="1" t="str">
        <f>"69/69"</f>
        <v>69/69</v>
      </c>
      <c r="K16801" s="1" t="str">
        <f>"2026-07-29 13:18:03"</f>
        <v>2026-07-29 13:18:03</v>
      </c>
      <c r="L16801" s="1" t="str">
        <f>"2014-10-18 08:40:00"</f>
        <v>2014-10-18 08:40:00</v>
      </c>
      <c r="M16801" s="1" t="s">
        <v>45</v>
      </c>
      <c r="N16801" s="1" t="s">
        <v>38</v>
      </c>
      <c r="O16801" s="1" t="s">
        <v>46</v>
      </c>
    </row>
    <row r="16802" spans="2:15" x14ac:dyDescent="0.3">
      <c r="B16802" s="1" t="s">
        <v>19</v>
      </c>
      <c r="C16802" s="1" t="str">
        <f>"5-2차"</f>
        <v>5-2차</v>
      </c>
      <c r="D16802" s="1" t="str">
        <f>"0229C2615S"</f>
        <v>0229C2615S</v>
      </c>
      <c r="E16802" s="1" t="s">
        <v>10</v>
      </c>
      <c r="F16802" s="1" t="str">
        <f>"fde3:102:1410:1100:0:0:0:5"</f>
        <v>fde3:102:1410:1100:0:0:0:5</v>
      </c>
      <c r="G16802" s="1" t="str">
        <f>"0229C261"</f>
        <v>0229C261</v>
      </c>
      <c r="H16802" s="1" t="str">
        <f>"동방지 27"</f>
        <v>동방지 27</v>
      </c>
      <c r="I16802" s="1" t="s">
        <v>15</v>
      </c>
      <c r="J16802" s="1" t="str">
        <f>"44/44"</f>
        <v>44/44</v>
      </c>
      <c r="K16802" s="1" t="str">
        <f>"2026-07-29 14:21:06"</f>
        <v>2026-07-29 14:21:06</v>
      </c>
      <c r="L16802" s="1" t="str">
        <f>"2023-08-07 14:41:59"</f>
        <v>2023-08-07 14:41:59</v>
      </c>
      <c r="M16802" s="1" t="s">
        <v>45</v>
      </c>
      <c r="N16802" s="1" t="s">
        <v>38</v>
      </c>
      <c r="O16802" s="1" t="s">
        <v>46</v>
      </c>
    </row>
    <row r="16803" spans="2:15" x14ac:dyDescent="0.3">
      <c r="B16803" s="1" t="s">
        <v>19</v>
      </c>
      <c r="C16803" s="1" t="str">
        <f>"5-2차"</f>
        <v>5-2차</v>
      </c>
      <c r="D16803" s="1" t="str">
        <f>"0229C2625S"</f>
        <v>0229C2625S</v>
      </c>
      <c r="E16803" s="1" t="s">
        <v>10</v>
      </c>
      <c r="F16803" s="1" t="str">
        <f>"fde3:102:1410:1200:0:0:0:c"</f>
        <v>fde3:102:1410:1200:0:0:0:c</v>
      </c>
      <c r="G16803" s="1" t="str">
        <f>"0229C262"</f>
        <v>0229C262</v>
      </c>
      <c r="H16803" s="1" t="str">
        <f>"동방지 28L1L1"</f>
        <v>동방지 28L1L1</v>
      </c>
      <c r="I16803" s="1" t="s">
        <v>15</v>
      </c>
      <c r="J16803" s="1" t="str">
        <f>"61/61"</f>
        <v>61/61</v>
      </c>
      <c r="K16803" s="1" t="str">
        <f>"2026-07-29 14:20:49"</f>
        <v>2026-07-29 14:20:49</v>
      </c>
      <c r="L16803" s="1" t="str">
        <f>"2023-08-07 15:14:40"</f>
        <v>2023-08-07 15:14:40</v>
      </c>
      <c r="M16803" s="1" t="s">
        <v>45</v>
      </c>
      <c r="N16803" s="1" t="s">
        <v>38</v>
      </c>
      <c r="O16803" s="1" t="s">
        <v>46</v>
      </c>
    </row>
    <row r="16804" spans="2:15" x14ac:dyDescent="0.3">
      <c r="B16804" s="1" t="s">
        <v>19</v>
      </c>
      <c r="C16804" s="1" t="str">
        <f>"1차"</f>
        <v>1차</v>
      </c>
      <c r="D16804" s="1" t="str">
        <f>"0229C32100"</f>
        <v>0229C32100</v>
      </c>
      <c r="E16804" s="1" t="s">
        <v>10</v>
      </c>
      <c r="F16804" s="1" t="str">
        <f>"10.107.253.234"</f>
        <v>10.107.253.234</v>
      </c>
      <c r="G16804" s="1" t="str">
        <f>"0229C321"</f>
        <v>0229C321</v>
      </c>
      <c r="H16804" s="1" t="str">
        <f>"동방지 21L9R2H1"</f>
        <v>동방지 21L9R2H1</v>
      </c>
      <c r="I16804" s="1" t="s">
        <v>8</v>
      </c>
      <c r="J16804" s="1" t="str">
        <f>"55/55"</f>
        <v>55/55</v>
      </c>
      <c r="K16804" s="1" t="str">
        <f>"2026-07-29 13:18:01"</f>
        <v>2026-07-29 13:18:01</v>
      </c>
      <c r="L16804" s="1" t="str">
        <f>"2014-11-13 10:25:54"</f>
        <v>2014-11-13 10:25:54</v>
      </c>
      <c r="M16804" s="1" t="s">
        <v>45</v>
      </c>
      <c r="N16804" s="1" t="s">
        <v>38</v>
      </c>
      <c r="O16804" s="1" t="s">
        <v>46</v>
      </c>
    </row>
    <row r="16805" spans="2:15" x14ac:dyDescent="0.3">
      <c r="B16805" s="1" t="s">
        <v>19</v>
      </c>
      <c r="C16805" s="1" t="str">
        <f>"6차"</f>
        <v>6차</v>
      </c>
      <c r="D16805" s="1" t="str">
        <f>"0229C3726S"</f>
        <v>0229C3726S</v>
      </c>
      <c r="E16805" s="1" t="s">
        <v>10</v>
      </c>
      <c r="F16805" s="1" t="str">
        <f>"fde1:103:4:9414:0:0:0:2"</f>
        <v>fde1:103:4:9414:0:0:0:2</v>
      </c>
      <c r="G16805" s="1" t="str">
        <f>"0229C372"</f>
        <v>0229C372</v>
      </c>
      <c r="H16805" s="1" t="str">
        <f>"동방지 26"</f>
        <v>동방지 26</v>
      </c>
      <c r="I16805" s="1" t="s">
        <v>15</v>
      </c>
      <c r="J16805" s="1" t="str">
        <f>"37/37"</f>
        <v>37/37</v>
      </c>
      <c r="K16805" s="1" t="str">
        <f>"2026-07-29 14:20:33"</f>
        <v>2026-07-29 14:20:33</v>
      </c>
      <c r="L16805" s="1" t="str">
        <f>"2025-02-24 13:14:13"</f>
        <v>2025-02-24 13:14:13</v>
      </c>
      <c r="M16805" s="1" t="s">
        <v>4</v>
      </c>
      <c r="N16805" s="1" t="s">
        <v>38</v>
      </c>
      <c r="O16805" s="1" t="s">
        <v>46</v>
      </c>
    </row>
    <row r="16806" spans="2:15" x14ac:dyDescent="0.3">
      <c r="B16806" s="1" t="s">
        <v>19</v>
      </c>
      <c r="C16806" s="1" t="str">
        <f>"5-2차"</f>
        <v>5-2차</v>
      </c>
      <c r="D16806" s="1" t="str">
        <f>"0229C3745S"</f>
        <v>0229C3745S</v>
      </c>
      <c r="E16806" s="1" t="s">
        <v>10</v>
      </c>
      <c r="F16806" s="1" t="str">
        <f>"fde3:102:1410:1100:0:0:0:4"</f>
        <v>fde3:102:1410:1100:0:0:0:4</v>
      </c>
      <c r="G16806" s="1" t="str">
        <f>"0229C374"</f>
        <v>0229C374</v>
      </c>
      <c r="H16806" s="1" t="str">
        <f>"동방지 25"</f>
        <v>동방지 25</v>
      </c>
      <c r="I16806" s="1" t="s">
        <v>15</v>
      </c>
      <c r="J16806" s="1" t="str">
        <f>"39/39"</f>
        <v>39/39</v>
      </c>
      <c r="K16806" s="1" t="str">
        <f>"2026-07-29 14:20:49"</f>
        <v>2026-07-29 14:20:49</v>
      </c>
      <c r="L16806" s="1" t="str">
        <f>"2023-08-07 14:56:11"</f>
        <v>2023-08-07 14:56:11</v>
      </c>
      <c r="M16806" s="1" t="s">
        <v>45</v>
      </c>
      <c r="N16806" s="1" t="s">
        <v>38</v>
      </c>
      <c r="O16806" s="1" t="s">
        <v>46</v>
      </c>
    </row>
    <row r="16807" spans="2:15" x14ac:dyDescent="0.3">
      <c r="B16807" s="1" t="s">
        <v>19</v>
      </c>
      <c r="C16807" s="1" t="str">
        <f>"5-2차"</f>
        <v>5-2차</v>
      </c>
      <c r="D16807" s="1" t="str">
        <f>"0229C3915M"</f>
        <v>0229C3915M</v>
      </c>
      <c r="E16807" s="1" t="s">
        <v>10</v>
      </c>
      <c r="F16807" s="1" t="str">
        <f>"fde1:103:4:92c1:0:0:0:2"</f>
        <v>fde1:103:4:92c1:0:0:0:2</v>
      </c>
      <c r="G16807" s="1" t="str">
        <f>"0229C391"</f>
        <v>0229C391</v>
      </c>
      <c r="H16807" s="1" t="str">
        <f>"동방지 24R1"</f>
        <v>동방지 24R1</v>
      </c>
      <c r="I16807" s="1" t="s">
        <v>15</v>
      </c>
      <c r="J16807" s="1" t="str">
        <f>"72/72"</f>
        <v>72/72</v>
      </c>
      <c r="K16807" s="1" t="str">
        <f>"2026-07-29 14:20:01"</f>
        <v>2026-07-29 14:20:01</v>
      </c>
      <c r="L16807" s="1" t="str">
        <f>"2024-01-12 09:52:16"</f>
        <v>2024-01-12 09:52:16</v>
      </c>
      <c r="M16807" s="1" t="s">
        <v>4</v>
      </c>
      <c r="N16807" s="1" t="s">
        <v>38</v>
      </c>
      <c r="O16807" s="1" t="s">
        <v>46</v>
      </c>
    </row>
    <row r="16808" spans="2:15" x14ac:dyDescent="0.3">
      <c r="B16808" s="1" t="s">
        <v>19</v>
      </c>
      <c r="C16808" s="1" t="str">
        <f>"5-1차"</f>
        <v>5-1차</v>
      </c>
      <c r="D16808" s="1" t="str">
        <f>"0229C4015M"</f>
        <v>0229C4015M</v>
      </c>
      <c r="E16808" s="1" t="s">
        <v>10</v>
      </c>
      <c r="F16808" s="1" t="str">
        <f>"fde2:104:0:8:0:0:0:2"</f>
        <v>fde2:104:0:8:0:0:0:2</v>
      </c>
      <c r="G16808" s="1" t="str">
        <f>"0229C401"</f>
        <v>0229C401</v>
      </c>
      <c r="H16808" s="1" t="str">
        <f>"동방지 21L11"</f>
        <v>동방지 21L11</v>
      </c>
      <c r="I16808" s="1" t="s">
        <v>15</v>
      </c>
      <c r="J16808" s="1" t="str">
        <f>"35/35"</f>
        <v>35/35</v>
      </c>
      <c r="K16808" s="1" t="str">
        <f>"2026-07-29 14:20:02"</f>
        <v>2026-07-29 14:20:02</v>
      </c>
      <c r="L16808" s="1" t="str">
        <f>"2022-09-07 10:42:56"</f>
        <v>2022-09-07 10:42:56</v>
      </c>
      <c r="M16808" s="1" t="s">
        <v>42</v>
      </c>
      <c r="N16808" s="1" t="s">
        <v>38</v>
      </c>
      <c r="O16808" s="1" t="s">
        <v>46</v>
      </c>
    </row>
    <row r="16809" spans="2:15" x14ac:dyDescent="0.3">
      <c r="B16809" s="1" t="s">
        <v>19</v>
      </c>
      <c r="C16809" s="1" t="str">
        <f>"1차"</f>
        <v>1차</v>
      </c>
      <c r="D16809" s="1" t="str">
        <f>"0229C40300"</f>
        <v>0229C40300</v>
      </c>
      <c r="E16809" s="1" t="s">
        <v>10</v>
      </c>
      <c r="F16809" s="1" t="str">
        <f>"10.107.253.236"</f>
        <v>10.107.253.236</v>
      </c>
      <c r="G16809" s="1" t="str">
        <f>"0229C403"</f>
        <v>0229C403</v>
      </c>
      <c r="H16809" s="1" t="str">
        <f>"동방지 21L15R3"</f>
        <v>동방지 21L15R3</v>
      </c>
      <c r="I16809" s="1" t="s">
        <v>8</v>
      </c>
      <c r="J16809" s="1" t="str">
        <f>"19/19"</f>
        <v>19/19</v>
      </c>
      <c r="K16809" s="1" t="str">
        <f>"2026-07-29 13:18:01"</f>
        <v>2026-07-29 13:18:01</v>
      </c>
      <c r="L16809" s="1" t="str">
        <f>"2014-10-18 08:42:51"</f>
        <v>2014-10-18 08:42:51</v>
      </c>
      <c r="M16809" s="1" t="s">
        <v>45</v>
      </c>
      <c r="N16809" s="1" t="s">
        <v>38</v>
      </c>
      <c r="O16809" s="1" t="s">
        <v>46</v>
      </c>
    </row>
    <row r="16810" spans="2:15" x14ac:dyDescent="0.3">
      <c r="B16810" s="1" t="s">
        <v>19</v>
      </c>
      <c r="C16810" s="1" t="str">
        <f>"1차"</f>
        <v>1차</v>
      </c>
      <c r="D16810" s="1" t="str">
        <f>"0229C47101"</f>
        <v>0229C47101</v>
      </c>
      <c r="E16810" s="1" t="s">
        <v>10</v>
      </c>
      <c r="F16810" s="1" t="str">
        <f>"10.12.131.38"</f>
        <v>10.12.131.38</v>
      </c>
      <c r="G16810" s="1" t="str">
        <f>"0229C471"</f>
        <v>0229C471</v>
      </c>
      <c r="H16810" s="1" t="str">
        <f>"동방지 23L1"</f>
        <v>동방지 23L1</v>
      </c>
      <c r="I16810" s="1" t="s">
        <v>8</v>
      </c>
      <c r="J16810" s="1" t="str">
        <f>"52/52"</f>
        <v>52/52</v>
      </c>
      <c r="K16810" s="1" t="str">
        <f>"2026-07-29 13:18:03"</f>
        <v>2026-07-29 13:18:03</v>
      </c>
      <c r="L16810" s="1" t="str">
        <f>"2014-11-05 15:12:05"</f>
        <v>2014-11-05 15:12:05</v>
      </c>
      <c r="M16810" s="1" t="s">
        <v>0</v>
      </c>
      <c r="N16810" s="1" t="s">
        <v>38</v>
      </c>
      <c r="O16810" s="1" t="s">
        <v>46</v>
      </c>
    </row>
    <row r="16811" spans="2:15" x14ac:dyDescent="0.3">
      <c r="B16811" s="1" t="s">
        <v>19</v>
      </c>
      <c r="C16811" s="1" t="str">
        <f>"5-1차"</f>
        <v>5-1차</v>
      </c>
      <c r="D16811" s="1" t="str">
        <f>"0229C5715M"</f>
        <v>0229C5715M</v>
      </c>
      <c r="E16811" s="1" t="s">
        <v>10</v>
      </c>
      <c r="F16811" s="1" t="str">
        <f>"fde3:102:1410:1100:0:0:0:2"</f>
        <v>fde3:102:1410:1100:0:0:0:2</v>
      </c>
      <c r="G16811" s="1" t="str">
        <f>"0229C571"</f>
        <v>0229C571</v>
      </c>
      <c r="H16811" s="1" t="str">
        <f>"동방지 19L4"</f>
        <v>동방지 19L4</v>
      </c>
      <c r="I16811" s="1" t="s">
        <v>15</v>
      </c>
      <c r="J16811" s="1" t="str">
        <f>"77/77"</f>
        <v>77/77</v>
      </c>
      <c r="K16811" s="1" t="str">
        <f>"2026-07-29 14:20:33"</f>
        <v>2026-07-29 14:20:33</v>
      </c>
      <c r="L16811" s="1" t="str">
        <f>"2022-09-26 14:11:07"</f>
        <v>2022-09-26 14:11:07</v>
      </c>
      <c r="M16811" s="1" t="s">
        <v>45</v>
      </c>
      <c r="N16811" s="1" t="s">
        <v>38</v>
      </c>
      <c r="O16811" s="1" t="s">
        <v>46</v>
      </c>
    </row>
    <row r="16812" spans="2:15" x14ac:dyDescent="0.3">
      <c r="B16812" s="1" t="s">
        <v>19</v>
      </c>
      <c r="C16812" s="1" t="str">
        <f>"4차"</f>
        <v>4차</v>
      </c>
      <c r="D16812" s="1" t="str">
        <f>"0229C57244"</f>
        <v>0229C57244</v>
      </c>
      <c r="E16812" s="1" t="s">
        <v>10</v>
      </c>
      <c r="F16812" s="1" t="str">
        <f>"10.107.250.3"</f>
        <v>10.107.250.3</v>
      </c>
      <c r="G16812" s="1" t="str">
        <f>"0229C572"</f>
        <v>0229C572</v>
      </c>
      <c r="H16812" s="1" t="str">
        <f>"동방지 22"</f>
        <v>동방지 22</v>
      </c>
      <c r="I16812" s="1" t="s">
        <v>8</v>
      </c>
      <c r="J16812" s="1" t="str">
        <f>"82/82"</f>
        <v>82/82</v>
      </c>
      <c r="K16812" s="1" t="str">
        <f>"2026-07-29 13:18:03"</f>
        <v>2026-07-29 13:18:03</v>
      </c>
      <c r="L16812" s="1" t="str">
        <f>"2023-10-12 16:49:05"</f>
        <v>2023-10-12 16:49:05</v>
      </c>
      <c r="M16812" s="1" t="s">
        <v>45</v>
      </c>
      <c r="N16812" s="1" t="s">
        <v>38</v>
      </c>
      <c r="O16812" s="1" t="s">
        <v>46</v>
      </c>
    </row>
    <row r="16813" spans="2:15" x14ac:dyDescent="0.3">
      <c r="B16813" s="1" t="s">
        <v>19</v>
      </c>
      <c r="C16813" s="1" t="str">
        <f>"1차"</f>
        <v>1차</v>
      </c>
      <c r="D16813" s="1" t="str">
        <f>"0229C86200"</f>
        <v>0229C86200</v>
      </c>
      <c r="E16813" s="1" t="s">
        <v>10</v>
      </c>
      <c r="F16813" s="1" t="str">
        <f>"10.107.251.73"</f>
        <v>10.107.251.73</v>
      </c>
      <c r="G16813" s="1" t="str">
        <f>"0229C862"</f>
        <v>0229C862</v>
      </c>
      <c r="H16813" s="1" t="str">
        <f>"동방지 13L6"</f>
        <v>동방지 13L6</v>
      </c>
      <c r="I16813" s="1" t="s">
        <v>8</v>
      </c>
      <c r="J16813" s="1" t="str">
        <f>"12/12"</f>
        <v>12/12</v>
      </c>
      <c r="K16813" s="1" t="str">
        <f>"2026-07-29 13:18:01"</f>
        <v>2026-07-29 13:18:01</v>
      </c>
      <c r="L16813" s="1" t="str">
        <f>"2023-01-16 09:10:49"</f>
        <v>2023-01-16 09:10:49</v>
      </c>
      <c r="M16813" s="1" t="s">
        <v>45</v>
      </c>
      <c r="N16813" s="1" t="s">
        <v>38</v>
      </c>
      <c r="O16813" s="1" t="s">
        <v>46</v>
      </c>
    </row>
    <row r="16814" spans="2:15" x14ac:dyDescent="0.3">
      <c r="B16814" s="1" t="s">
        <v>19</v>
      </c>
      <c r="C16814" s="1" t="str">
        <f>"1차"</f>
        <v>1차</v>
      </c>
      <c r="D16814" s="1" t="str">
        <f>"0229C87101"</f>
        <v>0229C87101</v>
      </c>
      <c r="E16814" s="1" t="s">
        <v>10</v>
      </c>
      <c r="F16814" s="1" t="str">
        <f>"10.107.251.74"</f>
        <v>10.107.251.74</v>
      </c>
      <c r="G16814" s="1" t="str">
        <f>"0229C871"</f>
        <v>0229C871</v>
      </c>
      <c r="H16814" s="1" t="str">
        <f>"동방지 13L5"</f>
        <v>동방지 13L5</v>
      </c>
      <c r="I16814" s="1" t="s">
        <v>8</v>
      </c>
      <c r="J16814" s="1" t="str">
        <f>"39/39"</f>
        <v>39/39</v>
      </c>
      <c r="K16814" s="1" t="str">
        <f>"2026-07-29 13:18:02"</f>
        <v>2026-07-29 13:18:02</v>
      </c>
      <c r="L16814" s="1" t="str">
        <f>"2014-11-19 00:11:03"</f>
        <v>2014-11-19 00:11:03</v>
      </c>
      <c r="M16814" s="1" t="s">
        <v>45</v>
      </c>
      <c r="N16814" s="1" t="s">
        <v>38</v>
      </c>
      <c r="O16814" s="1" t="s">
        <v>46</v>
      </c>
    </row>
    <row r="16815" spans="2:15" x14ac:dyDescent="0.3">
      <c r="B16815" s="1" t="s">
        <v>19</v>
      </c>
      <c r="C16815" s="1" t="str">
        <f>"1차"</f>
        <v>1차</v>
      </c>
      <c r="D16815" s="1" t="str">
        <f>"0229C96301"</f>
        <v>0229C96301</v>
      </c>
      <c r="E16815" s="1" t="s">
        <v>10</v>
      </c>
      <c r="F16815" s="1" t="str">
        <f>"10.12.132.3"</f>
        <v>10.12.132.3</v>
      </c>
      <c r="G16815" s="1" t="str">
        <f>"0229C963"</f>
        <v>0229C963</v>
      </c>
      <c r="H16815" s="1" t="str">
        <f>"동방지 13L9"</f>
        <v>동방지 13L9</v>
      </c>
      <c r="I16815" s="1" t="s">
        <v>8</v>
      </c>
      <c r="J16815" s="1" t="str">
        <f>"44/44"</f>
        <v>44/44</v>
      </c>
      <c r="K16815" s="1" t="str">
        <f>"2026-07-29 13:18:02"</f>
        <v>2026-07-29 13:18:02</v>
      </c>
      <c r="L16815" s="1" t="str">
        <f>"2015-01-03 00:15:53"</f>
        <v>2015-01-03 00:15:53</v>
      </c>
      <c r="M16815" s="1" t="s">
        <v>0</v>
      </c>
      <c r="N16815" s="1" t="s">
        <v>38</v>
      </c>
      <c r="O16815" s="1" t="s">
        <v>46</v>
      </c>
    </row>
    <row r="16816" spans="2:15" x14ac:dyDescent="0.3">
      <c r="B16816" s="1" t="s">
        <v>19</v>
      </c>
      <c r="C16816" s="1" t="str">
        <f>"1차"</f>
        <v>1차</v>
      </c>
      <c r="D16816" s="1" t="str">
        <f>"0229C98100"</f>
        <v>0229C98100</v>
      </c>
      <c r="E16816" s="1" t="s">
        <v>10</v>
      </c>
      <c r="F16816" s="1" t="str">
        <f>"10.107.251.75"</f>
        <v>10.107.251.75</v>
      </c>
      <c r="G16816" s="1" t="str">
        <f>"0229C981"</f>
        <v>0229C981</v>
      </c>
      <c r="H16816" s="1" t="str">
        <f>"동방지 13L1"</f>
        <v>동방지 13L1</v>
      </c>
      <c r="I16816" s="1" t="s">
        <v>8</v>
      </c>
      <c r="J16816" s="1" t="str">
        <f>"57/57"</f>
        <v>57/57</v>
      </c>
      <c r="K16816" s="1" t="str">
        <f>"2026-07-29 13:18:02"</f>
        <v>2026-07-29 13:18:02</v>
      </c>
      <c r="L16816" s="1" t="str">
        <f>"2014-10-18 08:43:01"</f>
        <v>2014-10-18 08:43:01</v>
      </c>
      <c r="M16816" s="1" t="s">
        <v>45</v>
      </c>
      <c r="N16816" s="1" t="s">
        <v>38</v>
      </c>
      <c r="O16816" s="1" t="s">
        <v>46</v>
      </c>
    </row>
    <row r="16817" spans="2:15" x14ac:dyDescent="0.3">
      <c r="B16817" s="1" t="s">
        <v>19</v>
      </c>
      <c r="C16817" s="1" t="str">
        <f>"1차"</f>
        <v>1차</v>
      </c>
      <c r="D16817" s="1" t="str">
        <f>"0229D16100"</f>
        <v>0229D16100</v>
      </c>
      <c r="E16817" s="1" t="s">
        <v>10</v>
      </c>
      <c r="F16817" s="1" t="str">
        <f>"10.107.251.76"</f>
        <v>10.107.251.76</v>
      </c>
      <c r="G16817" s="1" t="str">
        <f>"0229D161"</f>
        <v>0229D161</v>
      </c>
      <c r="H16817" s="1" t="str">
        <f>"동방지 8L1"</f>
        <v>동방지 8L1</v>
      </c>
      <c r="I16817" s="1" t="s">
        <v>8</v>
      </c>
      <c r="J16817" s="1" t="str">
        <f>"57/62"</f>
        <v>57/62</v>
      </c>
      <c r="K16817" s="1" t="str">
        <f>"2026-07-29 13:18:02"</f>
        <v>2026-07-29 13:18:02</v>
      </c>
      <c r="L16817" s="1" t="str">
        <f>"2015-02-05 16:16:01"</f>
        <v>2015-02-05 16:16:01</v>
      </c>
      <c r="M16817" s="1" t="s">
        <v>45</v>
      </c>
      <c r="N16817" s="1" t="s">
        <v>38</v>
      </c>
      <c r="O16817" s="1" t="s">
        <v>46</v>
      </c>
    </row>
    <row r="16818" spans="2:15" x14ac:dyDescent="0.3">
      <c r="B16818" s="1" t="s">
        <v>19</v>
      </c>
      <c r="C16818" s="1" t="str">
        <f>"5-2차"</f>
        <v>5-2차</v>
      </c>
      <c r="D16818" s="1" t="str">
        <f>"0229D4755M"</f>
        <v>0229D4755M</v>
      </c>
      <c r="E16818" s="1" t="s">
        <v>10</v>
      </c>
      <c r="F16818" s="1" t="str">
        <f>"fde1:103:4:915d:0:0:0:2"</f>
        <v>fde1:103:4:915d:0:0:0:2</v>
      </c>
      <c r="G16818" s="1" t="str">
        <f>"0229D475"</f>
        <v>0229D475</v>
      </c>
      <c r="H16818" s="1" t="str">
        <f>"대지간 27R20H1"</f>
        <v>대지간 27R20H1</v>
      </c>
      <c r="I16818" s="1" t="s">
        <v>15</v>
      </c>
      <c r="J16818" s="1" t="str">
        <f>"76/76"</f>
        <v>76/76</v>
      </c>
      <c r="K16818" s="1" t="str">
        <f>"2026-07-29 14:20:54"</f>
        <v>2026-07-29 14:20:54</v>
      </c>
      <c r="L16818" s="1" t="str">
        <f>"2023-12-21 09:43:54"</f>
        <v>2023-12-21 09:43:54</v>
      </c>
      <c r="M16818" s="1" t="s">
        <v>4</v>
      </c>
      <c r="N16818" s="1" t="s">
        <v>38</v>
      </c>
      <c r="O16818" s="1" t="s">
        <v>46</v>
      </c>
    </row>
    <row r="16819" spans="2:15" x14ac:dyDescent="0.3">
      <c r="B16819" s="1" t="s">
        <v>19</v>
      </c>
      <c r="C16819" s="1" t="str">
        <f>"5-2차"</f>
        <v>5-2차</v>
      </c>
      <c r="D16819" s="1" t="str">
        <f>"0229D6335M"</f>
        <v>0229D6335M</v>
      </c>
      <c r="E16819" s="1" t="s">
        <v>10</v>
      </c>
      <c r="F16819" s="1" t="str">
        <f>"fde1:103:4:9171:0:0:0:2"</f>
        <v>fde1:103:4:9171:0:0:0:2</v>
      </c>
      <c r="G16819" s="1" t="str">
        <f>"0229D633"</f>
        <v>0229D633</v>
      </c>
      <c r="H16819" s="1" t="str">
        <f>"대지간 27R13"</f>
        <v>대지간 27R13</v>
      </c>
      <c r="I16819" s="1" t="s">
        <v>15</v>
      </c>
      <c r="J16819" s="1" t="str">
        <f>"37/37"</f>
        <v>37/37</v>
      </c>
      <c r="K16819" s="1" t="str">
        <f>"2026-07-29 14:20:50"</f>
        <v>2026-07-29 14:20:50</v>
      </c>
      <c r="L16819" s="1" t="str">
        <f>"2023-12-21 09:44:35"</f>
        <v>2023-12-21 09:44:35</v>
      </c>
      <c r="M16819" s="1" t="s">
        <v>4</v>
      </c>
      <c r="N16819" s="1" t="s">
        <v>38</v>
      </c>
      <c r="O16819" s="1" t="s">
        <v>46</v>
      </c>
    </row>
    <row r="16820" spans="2:15" x14ac:dyDescent="0.3">
      <c r="B16820" s="1" t="s">
        <v>19</v>
      </c>
      <c r="C16820" s="1" t="str">
        <f>"4차"</f>
        <v>4차</v>
      </c>
      <c r="D16820" s="1" t="str">
        <f>"0229R00239"</f>
        <v>0229R00239</v>
      </c>
      <c r="E16820" s="1" t="s">
        <v>10</v>
      </c>
      <c r="F16820" s="1" t="str">
        <f>"10.107.2.143"</f>
        <v>10.107.2.143</v>
      </c>
      <c r="G16820" s="1" t="str">
        <f>"0229R002"</f>
        <v>0229R002</v>
      </c>
      <c r="H16820" s="1" t="str">
        <f>"대지간 64R15"</f>
        <v>대지간 64R15</v>
      </c>
      <c r="I16820" s="1" t="s">
        <v>8</v>
      </c>
      <c r="J16820" s="1" t="str">
        <f>"24/24"</f>
        <v>24/24</v>
      </c>
      <c r="K16820" s="1" t="str">
        <f>"2026-07-29 13:18:01"</f>
        <v>2026-07-29 13:18:01</v>
      </c>
      <c r="L16820" s="1" t="str">
        <f>"2018-02-21 17:13:33"</f>
        <v>2018-02-21 17:13:33</v>
      </c>
      <c r="M16820" s="1" t="s">
        <v>45</v>
      </c>
      <c r="N16820" s="1" t="s">
        <v>38</v>
      </c>
      <c r="O16820" s="1" t="s">
        <v>46</v>
      </c>
    </row>
    <row r="16821" spans="2:15" x14ac:dyDescent="0.3">
      <c r="B16821" s="1" t="s">
        <v>19</v>
      </c>
      <c r="C16821" s="1" t="str">
        <f>"3차"</f>
        <v>3차</v>
      </c>
      <c r="D16821" s="1" t="str">
        <f>"0229R01139"</f>
        <v>0229R01139</v>
      </c>
      <c r="E16821" s="1" t="s">
        <v>10</v>
      </c>
      <c r="F16821" s="1" t="str">
        <f>"10.107.2.144"</f>
        <v>10.107.2.144</v>
      </c>
      <c r="G16821" s="1" t="str">
        <f>"0229R011"</f>
        <v>0229R011</v>
      </c>
      <c r="H16821" s="1" t="str">
        <f>"대지간 64R16"</f>
        <v>대지간 64R16</v>
      </c>
      <c r="I16821" s="1" t="s">
        <v>8</v>
      </c>
      <c r="J16821" s="1" t="str">
        <f>"40/40"</f>
        <v>40/40</v>
      </c>
      <c r="K16821" s="1" t="str">
        <f>"2026-07-29 13:18:01"</f>
        <v>2026-07-29 13:18:01</v>
      </c>
      <c r="L16821" s="1" t="str">
        <f>"2018-02-21 18:26:33"</f>
        <v>2018-02-21 18:26:33</v>
      </c>
      <c r="M16821" s="1" t="s">
        <v>45</v>
      </c>
      <c r="N16821" s="1" t="s">
        <v>38</v>
      </c>
      <c r="O16821" s="1" t="s">
        <v>46</v>
      </c>
    </row>
    <row r="16822" spans="2:15" x14ac:dyDescent="0.3">
      <c r="B16822" s="1" t="s">
        <v>19</v>
      </c>
      <c r="C16822" s="1" t="str">
        <f>"5-2차"</f>
        <v>5-2차</v>
      </c>
      <c r="D16822" s="1" t="str">
        <f>"0229R4115S"</f>
        <v>0229R4115S</v>
      </c>
      <c r="E16822" s="1" t="s">
        <v>10</v>
      </c>
      <c r="F16822" s="1" t="str">
        <f>"fde3:102:1410:9200:0:0:0:9"</f>
        <v>fde3:102:1410:9200:0:0:0:9</v>
      </c>
      <c r="G16822" s="1" t="str">
        <f>"0229R411"</f>
        <v>0229R411</v>
      </c>
      <c r="H16822" s="1" t="str">
        <f>"대지간 55R1L6"</f>
        <v>대지간 55R1L6</v>
      </c>
      <c r="I16822" s="1" t="s">
        <v>15</v>
      </c>
      <c r="J16822" s="1" t="str">
        <f>"54/54"</f>
        <v>54/54</v>
      </c>
      <c r="K16822" s="1" t="str">
        <f>"2026-07-29 14:20:52"</f>
        <v>2026-07-29 14:20:52</v>
      </c>
      <c r="L16822" s="1" t="str">
        <f>"2023-08-04 09:53:11"</f>
        <v>2023-08-04 09:53:11</v>
      </c>
      <c r="M16822" s="1" t="s">
        <v>45</v>
      </c>
      <c r="N16822" s="1" t="s">
        <v>38</v>
      </c>
      <c r="O16822" s="1" t="s">
        <v>46</v>
      </c>
    </row>
    <row r="16823" spans="2:15" x14ac:dyDescent="0.3">
      <c r="B16823" s="1" t="s">
        <v>19</v>
      </c>
      <c r="C16823" s="1" t="str">
        <f>"5-2차"</f>
        <v>5-2차</v>
      </c>
      <c r="D16823" s="1" t="str">
        <f>"0229S1215M"</f>
        <v>0229S1215M</v>
      </c>
      <c r="E16823" s="1" t="s">
        <v>10</v>
      </c>
      <c r="F16823" s="1" t="str">
        <f>"fde1:103:4:9162:0:0:0:2"</f>
        <v>fde1:103:4:9162:0:0:0:2</v>
      </c>
      <c r="G16823" s="1" t="str">
        <f>"0229S121"</f>
        <v>0229S121</v>
      </c>
      <c r="H16823" s="1" t="str">
        <f>"공주간 30"</f>
        <v>공주간 30</v>
      </c>
      <c r="I16823" s="1" t="s">
        <v>15</v>
      </c>
      <c r="J16823" s="1" t="str">
        <f>"44/44"</f>
        <v>44/44</v>
      </c>
      <c r="K16823" s="1" t="str">
        <f>"2026-07-29 14:20:53"</f>
        <v>2026-07-29 14:20:53</v>
      </c>
      <c r="L16823" s="1" t="str">
        <f>"2023-12-21 09:45:03"</f>
        <v>2023-12-21 09:45:03</v>
      </c>
      <c r="M16823" s="1" t="s">
        <v>4</v>
      </c>
      <c r="N16823" s="1" t="s">
        <v>38</v>
      </c>
      <c r="O16823" s="1" t="s">
        <v>46</v>
      </c>
    </row>
    <row r="16824" spans="2:15" x14ac:dyDescent="0.3">
      <c r="B16824" s="1" t="s">
        <v>19</v>
      </c>
      <c r="C16824" s="1" t="str">
        <f>"5-1차"</f>
        <v>5-1차</v>
      </c>
      <c r="D16824" s="1" t="str">
        <f>"0229S2015S"</f>
        <v>0229S2015S</v>
      </c>
      <c r="E16824" s="1" t="s">
        <v>10</v>
      </c>
      <c r="F16824" s="1" t="str">
        <f>"fde2:104:0:a:0:0:0:2"</f>
        <v>fde2:104:0:a:0:0:0:2</v>
      </c>
      <c r="G16824" s="1" t="str">
        <f>"0229S201"</f>
        <v>0229S201</v>
      </c>
      <c r="H16824" s="1" t="str">
        <f>"장위간 75R1"</f>
        <v>장위간 75R1</v>
      </c>
      <c r="I16824" s="1" t="s">
        <v>15</v>
      </c>
      <c r="J16824" s="1" t="str">
        <f>"68/68"</f>
        <v>68/68</v>
      </c>
      <c r="K16824" s="1" t="str">
        <f>"2026-07-29 14:20:02"</f>
        <v>2026-07-29 14:20:02</v>
      </c>
      <c r="L16824" s="1" t="str">
        <f>"2022-08-31 10:27:09"</f>
        <v>2022-08-31 10:27:09</v>
      </c>
      <c r="M16824" s="1" t="s">
        <v>42</v>
      </c>
      <c r="N16824" s="1" t="s">
        <v>38</v>
      </c>
      <c r="O16824" s="1" t="s">
        <v>46</v>
      </c>
    </row>
    <row r="16825" spans="2:15" x14ac:dyDescent="0.3">
      <c r="B16825" s="1" t="s">
        <v>19</v>
      </c>
      <c r="C16825" s="1" t="str">
        <f>"5-1차"</f>
        <v>5-1차</v>
      </c>
      <c r="D16825" s="1" t="str">
        <f>"0229S3015M"</f>
        <v>0229S3015M</v>
      </c>
      <c r="E16825" s="1" t="s">
        <v>10</v>
      </c>
      <c r="F16825" s="1" t="str">
        <f>"fde3:102:1410:9200:0:0:0:5"</f>
        <v>fde3:102:1410:9200:0:0:0:5</v>
      </c>
      <c r="G16825" s="1" t="str">
        <f>"0229S301"</f>
        <v>0229S301</v>
      </c>
      <c r="H16825" s="1" t="str">
        <f>"장위간 11L5"</f>
        <v>장위간 11L5</v>
      </c>
      <c r="I16825" s="1" t="s">
        <v>15</v>
      </c>
      <c r="J16825" s="1" t="str">
        <f>"65/65"</f>
        <v>65/65</v>
      </c>
      <c r="K16825" s="1" t="str">
        <f>"2026-07-29 14:20:50"</f>
        <v>2026-07-29 14:20:50</v>
      </c>
      <c r="L16825" s="1" t="str">
        <f>"2022-09-26 16:16:26"</f>
        <v>2022-09-26 16:16:26</v>
      </c>
      <c r="M16825" s="1" t="s">
        <v>45</v>
      </c>
      <c r="N16825" s="1" t="s">
        <v>38</v>
      </c>
      <c r="O16825" s="1" t="s">
        <v>46</v>
      </c>
    </row>
    <row r="16826" spans="2:15" x14ac:dyDescent="0.3">
      <c r="B16826" s="1" t="s">
        <v>19</v>
      </c>
      <c r="C16826" s="1" t="str">
        <f>"5-1차"</f>
        <v>5-1차</v>
      </c>
      <c r="D16826" s="1" t="str">
        <f>"0229S3315M"</f>
        <v>0229S3315M</v>
      </c>
      <c r="E16826" s="1" t="s">
        <v>10</v>
      </c>
      <c r="F16826" s="1" t="str">
        <f>"fde3:102:1410:9100:0:0:0:4"</f>
        <v>fde3:102:1410:9100:0:0:0:4</v>
      </c>
      <c r="G16826" s="1" t="str">
        <f>"0229S331"</f>
        <v>0229S331</v>
      </c>
      <c r="H16826" s="1" t="str">
        <f>"장위간 75R7L1"</f>
        <v>장위간 75R7L1</v>
      </c>
      <c r="I16826" s="1" t="s">
        <v>15</v>
      </c>
      <c r="J16826" s="1" t="str">
        <f>"163/163"</f>
        <v>163/163</v>
      </c>
      <c r="K16826" s="1" t="str">
        <f>"2026-07-29 14:21:08"</f>
        <v>2026-07-29 14:21:08</v>
      </c>
      <c r="L16826" s="1" t="str">
        <f>"2022-09-30 18:43:48"</f>
        <v>2022-09-30 18:43:48</v>
      </c>
      <c r="M16826" s="1" t="s">
        <v>45</v>
      </c>
      <c r="N16826" s="1" t="s">
        <v>38</v>
      </c>
      <c r="O16826" s="1" t="s">
        <v>46</v>
      </c>
    </row>
    <row r="16827" spans="2:15" x14ac:dyDescent="0.3">
      <c r="B16827" s="1" t="s">
        <v>19</v>
      </c>
      <c r="C16827" s="1" t="str">
        <f>"1차"</f>
        <v>1차</v>
      </c>
      <c r="D16827" s="1" t="str">
        <f>"0229S34200"</f>
        <v>0229S34200</v>
      </c>
      <c r="E16827" s="1" t="s">
        <v>10</v>
      </c>
      <c r="F16827" s="1" t="str">
        <f>"10.107.120.2"</f>
        <v>10.107.120.2</v>
      </c>
      <c r="G16827" s="1" t="str">
        <f>"0229S342"</f>
        <v>0229S342</v>
      </c>
      <c r="H16827" s="1" t="str">
        <f>"공주간 27"</f>
        <v>공주간 27</v>
      </c>
      <c r="I16827" s="1" t="s">
        <v>8</v>
      </c>
      <c r="J16827" s="1" t="str">
        <f>"32/35"</f>
        <v>32/35</v>
      </c>
      <c r="K16827" s="1" t="str">
        <f>"2026-07-29 13:18:01"</f>
        <v>2026-07-29 13:18:01</v>
      </c>
      <c r="L16827" s="1" t="str">
        <f>"2014-11-18 11:12:14"</f>
        <v>2014-11-18 11:12:14</v>
      </c>
      <c r="M16827" s="1" t="s">
        <v>45</v>
      </c>
      <c r="N16827" s="1" t="s">
        <v>38</v>
      </c>
      <c r="O16827" s="1" t="s">
        <v>46</v>
      </c>
    </row>
    <row r="16828" spans="2:15" x14ac:dyDescent="0.3">
      <c r="B16828" s="1" t="s">
        <v>19</v>
      </c>
      <c r="C16828" s="1" t="str">
        <f>"5-1차"</f>
        <v>5-1차</v>
      </c>
      <c r="D16828" s="1" t="str">
        <f>"0229S4215M"</f>
        <v>0229S4215M</v>
      </c>
      <c r="E16828" s="1" t="s">
        <v>10</v>
      </c>
      <c r="F16828" s="1" t="str">
        <f>"fde2:104:0:17:0:0:0:2"</f>
        <v>fde2:104:0:17:0:0:0:2</v>
      </c>
      <c r="G16828" s="1" t="str">
        <f>"0229S421"</f>
        <v>0229S421</v>
      </c>
      <c r="H16828" s="1" t="str">
        <f>"장위간 79"</f>
        <v>장위간 79</v>
      </c>
      <c r="I16828" s="1" t="s">
        <v>15</v>
      </c>
      <c r="J16828" s="1" t="str">
        <f>"3/39"</f>
        <v>3/39</v>
      </c>
      <c r="K16828" s="1" t="str">
        <f>"2026-07-28 20:03:47"</f>
        <v>2026-07-28 20:03:47</v>
      </c>
      <c r="L16828" s="1" t="str">
        <f>"2022-08-31 10:29:02"</f>
        <v>2022-08-31 10:29:02</v>
      </c>
      <c r="M16828" s="1" t="s">
        <v>42</v>
      </c>
      <c r="N16828" s="1" t="s">
        <v>38</v>
      </c>
      <c r="O16828" s="1" t="s">
        <v>46</v>
      </c>
    </row>
    <row r="16829" spans="2:15" x14ac:dyDescent="0.3">
      <c r="B16829" s="1" t="s">
        <v>19</v>
      </c>
      <c r="C16829" s="1" t="str">
        <f>"5-1차"</f>
        <v>5-1차</v>
      </c>
      <c r="D16829" s="1" t="str">
        <f>"0229S5525M"</f>
        <v>0229S5525M</v>
      </c>
      <c r="E16829" s="1" t="s">
        <v>10</v>
      </c>
      <c r="F16829" s="1" t="str">
        <f>"fde2:104:0:6:0:0:0:2"</f>
        <v>fde2:104:0:6:0:0:0:2</v>
      </c>
      <c r="G16829" s="1" t="str">
        <f>"0229S552"</f>
        <v>0229S552</v>
      </c>
      <c r="H16829" s="1" t="str">
        <f>"장위간 93"</f>
        <v>장위간 93</v>
      </c>
      <c r="I16829" s="1" t="s">
        <v>15</v>
      </c>
      <c r="J16829" s="1" t="str">
        <f>"42/43"</f>
        <v>42/43</v>
      </c>
      <c r="K16829" s="1" t="str">
        <f>"2026-07-29 14:20:02"</f>
        <v>2026-07-29 14:20:02</v>
      </c>
      <c r="L16829" s="1" t="str">
        <f>"2022-08-24 14:17:52"</f>
        <v>2022-08-24 14:17:52</v>
      </c>
      <c r="M16829" s="1" t="s">
        <v>42</v>
      </c>
      <c r="N16829" s="1" t="s">
        <v>38</v>
      </c>
      <c r="O16829" s="1" t="s">
        <v>46</v>
      </c>
    </row>
    <row r="16830" spans="2:15" x14ac:dyDescent="0.3">
      <c r="B16830" s="1" t="s">
        <v>19</v>
      </c>
      <c r="C16830" s="1" t="str">
        <f>"1차"</f>
        <v>1차</v>
      </c>
      <c r="D16830" s="1" t="str">
        <f>"0229S56101"</f>
        <v>0229S56101</v>
      </c>
      <c r="E16830" s="1" t="s">
        <v>10</v>
      </c>
      <c r="F16830" s="1" t="str">
        <f>"10.107.120.3"</f>
        <v>10.107.120.3</v>
      </c>
      <c r="G16830" s="1" t="str">
        <f>"0229S561"</f>
        <v>0229S561</v>
      </c>
      <c r="H16830" s="1" t="str">
        <f>"공주간 24"</f>
        <v>공주간 24</v>
      </c>
      <c r="I16830" s="1" t="s">
        <v>8</v>
      </c>
      <c r="J16830" s="1" t="str">
        <f>"24/24"</f>
        <v>24/24</v>
      </c>
      <c r="K16830" s="1" t="str">
        <f>"2026-07-29 13:18:01"</f>
        <v>2026-07-29 13:18:01</v>
      </c>
      <c r="L16830" s="1" t="str">
        <f>"2014-12-12 13:56:24"</f>
        <v>2014-12-12 13:56:24</v>
      </c>
      <c r="M16830" s="1" t="s">
        <v>45</v>
      </c>
      <c r="N16830" s="1" t="s">
        <v>38</v>
      </c>
      <c r="O16830" s="1" t="s">
        <v>46</v>
      </c>
    </row>
    <row r="16831" spans="2:15" x14ac:dyDescent="0.3">
      <c r="B16831" s="1" t="s">
        <v>19</v>
      </c>
      <c r="C16831" s="1" t="str">
        <f>"5-2차"</f>
        <v>5-2차</v>
      </c>
      <c r="D16831" s="1" t="str">
        <f>"0229S5625M"</f>
        <v>0229S5625M</v>
      </c>
      <c r="E16831" s="1" t="s">
        <v>10</v>
      </c>
      <c r="F16831" s="1" t="str">
        <f>"fde3:102:1410:9200:0:0:0:d"</f>
        <v>fde3:102:1410:9200:0:0:0:d</v>
      </c>
      <c r="G16831" s="1" t="str">
        <f>"0229S562"</f>
        <v>0229S562</v>
      </c>
      <c r="H16831" s="1" t="str">
        <f>"공주간 23"</f>
        <v>공주간 23</v>
      </c>
      <c r="I16831" s="1" t="s">
        <v>15</v>
      </c>
      <c r="J16831" s="1" t="str">
        <f>"47/47"</f>
        <v>47/47</v>
      </c>
      <c r="K16831" s="1" t="str">
        <f>"2026-07-29 14:20:00"</f>
        <v>2026-07-29 14:20:00</v>
      </c>
      <c r="L16831" s="1" t="str">
        <f>"2023-12-12 17:44:53"</f>
        <v>2023-12-12 17:44:53</v>
      </c>
      <c r="M16831" s="1" t="s">
        <v>45</v>
      </c>
      <c r="N16831" s="1" t="s">
        <v>38</v>
      </c>
      <c r="O16831" s="1" t="s">
        <v>46</v>
      </c>
    </row>
    <row r="16832" spans="2:15" x14ac:dyDescent="0.3">
      <c r="B16832" s="1" t="s">
        <v>19</v>
      </c>
      <c r="C16832" s="1" t="str">
        <f>"1차"</f>
        <v>1차</v>
      </c>
      <c r="D16832" s="1" t="str">
        <f>"0229S66100"</f>
        <v>0229S66100</v>
      </c>
      <c r="E16832" s="1" t="s">
        <v>10</v>
      </c>
      <c r="F16832" s="1" t="str">
        <f>"10.107.120.4"</f>
        <v>10.107.120.4</v>
      </c>
      <c r="G16832" s="1" t="str">
        <f>"0229S661"</f>
        <v>0229S661</v>
      </c>
      <c r="H16832" s="1" t="str">
        <f>"장위간 90"</f>
        <v>장위간 90</v>
      </c>
      <c r="I16832" s="1" t="s">
        <v>8</v>
      </c>
      <c r="J16832" s="1" t="str">
        <f>"9/9"</f>
        <v>9/9</v>
      </c>
      <c r="K16832" s="1" t="str">
        <f>"2026-07-29 13:18:01"</f>
        <v>2026-07-29 13:18:01</v>
      </c>
      <c r="L16832" s="1" t="str">
        <f>"2014-12-30 19:51:39"</f>
        <v>2014-12-30 19:51:39</v>
      </c>
      <c r="M16832" s="1" t="s">
        <v>45</v>
      </c>
      <c r="N16832" s="1" t="s">
        <v>38</v>
      </c>
      <c r="O16832" s="1" t="s">
        <v>46</v>
      </c>
    </row>
    <row r="16833" spans="2:15" x14ac:dyDescent="0.3">
      <c r="B16833" s="1" t="s">
        <v>19</v>
      </c>
      <c r="C16833" s="1" t="str">
        <f t="shared" ref="C16833:C16838" si="831">"5-1차"</f>
        <v>5-1차</v>
      </c>
      <c r="D16833" s="1" t="str">
        <f>"0229S7025M"</f>
        <v>0229S7025M</v>
      </c>
      <c r="E16833" s="1" t="s">
        <v>10</v>
      </c>
      <c r="F16833" s="1" t="str">
        <f>"fde2:104:0:2:0:0:0:2"</f>
        <v>fde2:104:0:2:0:0:0:2</v>
      </c>
      <c r="G16833" s="1" t="str">
        <f>"0229S702"</f>
        <v>0229S702</v>
      </c>
      <c r="H16833" s="1" t="str">
        <f>"장위간 71R1"</f>
        <v>장위간 71R1</v>
      </c>
      <c r="I16833" s="1" t="s">
        <v>15</v>
      </c>
      <c r="J16833" s="1" t="str">
        <f>"48/48"</f>
        <v>48/48</v>
      </c>
      <c r="K16833" s="1" t="str">
        <f>"2026-07-29 14:20:03"</f>
        <v>2026-07-29 14:20:03</v>
      </c>
      <c r="L16833" s="1" t="str">
        <f>"2022-08-24 10:51:37"</f>
        <v>2022-08-24 10:51:37</v>
      </c>
      <c r="M16833" s="1" t="s">
        <v>42</v>
      </c>
      <c r="N16833" s="1" t="s">
        <v>38</v>
      </c>
      <c r="O16833" s="1" t="s">
        <v>46</v>
      </c>
    </row>
    <row r="16834" spans="2:15" x14ac:dyDescent="0.3">
      <c r="B16834" s="1" t="s">
        <v>19</v>
      </c>
      <c r="C16834" s="1" t="str">
        <f t="shared" si="831"/>
        <v>5-1차</v>
      </c>
      <c r="D16834" s="1" t="str">
        <f>"0229S8015S"</f>
        <v>0229S8015S</v>
      </c>
      <c r="E16834" s="1" t="s">
        <v>10</v>
      </c>
      <c r="F16834" s="1" t="str">
        <f>"fde2:104:0:12:0:0:0:2"</f>
        <v>fde2:104:0:12:0:0:0:2</v>
      </c>
      <c r="G16834" s="1" t="str">
        <f>"0229S801"</f>
        <v>0229S801</v>
      </c>
      <c r="H16834" s="1" t="str">
        <f>"장위간 71R1R2"</f>
        <v>장위간 71R1R2</v>
      </c>
      <c r="I16834" s="1" t="s">
        <v>15</v>
      </c>
      <c r="J16834" s="1" t="str">
        <f>"16/16"</f>
        <v>16/16</v>
      </c>
      <c r="K16834" s="1" t="str">
        <f>"2026-07-29 14:20:08"</f>
        <v>2026-07-29 14:20:08</v>
      </c>
      <c r="L16834" s="1" t="str">
        <f>"2022-08-31 08:19:52"</f>
        <v>2022-08-31 08:19:52</v>
      </c>
      <c r="M16834" s="1" t="s">
        <v>42</v>
      </c>
      <c r="N16834" s="1" t="s">
        <v>38</v>
      </c>
      <c r="O16834" s="1" t="s">
        <v>46</v>
      </c>
    </row>
    <row r="16835" spans="2:15" x14ac:dyDescent="0.3">
      <c r="B16835" s="1" t="s">
        <v>19</v>
      </c>
      <c r="C16835" s="1" t="str">
        <f t="shared" si="831"/>
        <v>5-1차</v>
      </c>
      <c r="D16835" s="1" t="str">
        <f>"0229S8625M"</f>
        <v>0229S8625M</v>
      </c>
      <c r="E16835" s="1" t="s">
        <v>10</v>
      </c>
      <c r="F16835" s="1" t="str">
        <f>"fde2:104:0:11:0:0:0:2"</f>
        <v>fde2:104:0:11:0:0:0:2</v>
      </c>
      <c r="G16835" s="1" t="str">
        <f>"0229S862"</f>
        <v>0229S862</v>
      </c>
      <c r="H16835" s="1" t="str">
        <f>"장위간 88"</f>
        <v>장위간 88</v>
      </c>
      <c r="I16835" s="1" t="s">
        <v>15</v>
      </c>
      <c r="J16835" s="1" t="str">
        <f>"96/96"</f>
        <v>96/96</v>
      </c>
      <c r="K16835" s="1" t="str">
        <f>"2026-07-29 14:20:51"</f>
        <v>2026-07-29 14:20:51</v>
      </c>
      <c r="L16835" s="1" t="str">
        <f>"2022-08-24 13:25:32"</f>
        <v>2022-08-24 13:25:32</v>
      </c>
      <c r="M16835" s="1" t="s">
        <v>42</v>
      </c>
      <c r="N16835" s="1" t="s">
        <v>38</v>
      </c>
      <c r="O16835" s="1" t="s">
        <v>46</v>
      </c>
    </row>
    <row r="16836" spans="2:15" x14ac:dyDescent="0.3">
      <c r="B16836" s="1" t="s">
        <v>19</v>
      </c>
      <c r="C16836" s="1" t="str">
        <f t="shared" si="831"/>
        <v>5-1차</v>
      </c>
      <c r="D16836" s="1" t="str">
        <f>"0229S8715M"</f>
        <v>0229S8715M</v>
      </c>
      <c r="E16836" s="1" t="s">
        <v>10</v>
      </c>
      <c r="F16836" s="1" t="str">
        <f>"fde3:102:1410:9200:0:0:0:7"</f>
        <v>fde3:102:1410:9200:0:0:0:7</v>
      </c>
      <c r="G16836" s="1" t="str">
        <f>"0229S871"</f>
        <v>0229S871</v>
      </c>
      <c r="H16836" s="1" t="str">
        <f>"장위간 56R8"</f>
        <v>장위간 56R8</v>
      </c>
      <c r="I16836" s="1" t="s">
        <v>15</v>
      </c>
      <c r="J16836" s="1" t="str">
        <f>"80/80"</f>
        <v>80/80</v>
      </c>
      <c r="K16836" s="1" t="str">
        <f>"2026-07-29 14:20:53"</f>
        <v>2026-07-29 14:20:53</v>
      </c>
      <c r="L16836" s="1" t="str">
        <f>"2022-09-26 16:17:23"</f>
        <v>2022-09-26 16:17:23</v>
      </c>
      <c r="M16836" s="1" t="s">
        <v>45</v>
      </c>
      <c r="N16836" s="1" t="s">
        <v>38</v>
      </c>
      <c r="O16836" s="1" t="s">
        <v>46</v>
      </c>
    </row>
    <row r="16837" spans="2:15" x14ac:dyDescent="0.3">
      <c r="B16837" s="1" t="s">
        <v>19</v>
      </c>
      <c r="C16837" s="1" t="str">
        <f t="shared" si="831"/>
        <v>5-1차</v>
      </c>
      <c r="D16837" s="1" t="str">
        <f>"0229S9435M"</f>
        <v>0229S9435M</v>
      </c>
      <c r="E16837" s="1" t="s">
        <v>10</v>
      </c>
      <c r="F16837" s="1" t="str">
        <f>"fde2:104:0:19:0:0:0:2"</f>
        <v>fde2:104:0:19:0:0:0:2</v>
      </c>
      <c r="G16837" s="1" t="str">
        <f>"0229S943"</f>
        <v>0229S943</v>
      </c>
      <c r="H16837" s="1" t="str">
        <f>"장위간 84R3"</f>
        <v>장위간 84R3</v>
      </c>
      <c r="I16837" s="1" t="s">
        <v>15</v>
      </c>
      <c r="J16837" s="1" t="str">
        <f>"43/46"</f>
        <v>43/46</v>
      </c>
      <c r="K16837" s="1" t="str">
        <f>"2026-07-29 14:20:02"</f>
        <v>2026-07-29 14:20:02</v>
      </c>
      <c r="L16837" s="1" t="str">
        <f>"2022-08-24 15:17:09"</f>
        <v>2022-08-24 15:17:09</v>
      </c>
      <c r="M16837" s="1" t="s">
        <v>42</v>
      </c>
      <c r="N16837" s="1" t="s">
        <v>38</v>
      </c>
      <c r="O16837" s="1" t="s">
        <v>46</v>
      </c>
    </row>
    <row r="16838" spans="2:15" x14ac:dyDescent="0.3">
      <c r="B16838" s="1" t="s">
        <v>19</v>
      </c>
      <c r="C16838" s="1" t="str">
        <f t="shared" si="831"/>
        <v>5-1차</v>
      </c>
      <c r="D16838" s="1" t="str">
        <f>"0229S9525S"</f>
        <v>0229S9525S</v>
      </c>
      <c r="E16838" s="1" t="s">
        <v>10</v>
      </c>
      <c r="F16838" s="1" t="str">
        <f>"fde3:102:1410:9200:0:0:0:3"</f>
        <v>fde3:102:1410:9200:0:0:0:3</v>
      </c>
      <c r="G16838" s="1" t="str">
        <f>"0229S952"</f>
        <v>0229S952</v>
      </c>
      <c r="H16838" s="1" t="str">
        <f>"장위간 56R4"</f>
        <v>장위간 56R4</v>
      </c>
      <c r="I16838" s="1" t="s">
        <v>15</v>
      </c>
      <c r="J16838" s="1" t="str">
        <f>"119/119"</f>
        <v>119/119</v>
      </c>
      <c r="K16838" s="1" t="str">
        <f>"2026-07-29 14:20:33"</f>
        <v>2026-07-29 14:20:33</v>
      </c>
      <c r="L16838" s="1" t="str">
        <f>"2022-09-26 16:44:14"</f>
        <v>2022-09-26 16:44:14</v>
      </c>
      <c r="M16838" s="1" t="s">
        <v>45</v>
      </c>
      <c r="N16838" s="1" t="s">
        <v>38</v>
      </c>
      <c r="O16838" s="1" t="s">
        <v>46</v>
      </c>
    </row>
    <row r="16839" spans="2:15" x14ac:dyDescent="0.3">
      <c r="B16839" s="1" t="s">
        <v>19</v>
      </c>
      <c r="C16839" s="1" t="str">
        <f>"4차"</f>
        <v>4차</v>
      </c>
      <c r="D16839" s="1" t="str">
        <f>"0229S98341"</f>
        <v>0229S98341</v>
      </c>
      <c r="E16839" s="1" t="s">
        <v>10</v>
      </c>
      <c r="F16839" s="1" t="str">
        <f>"10.12.128.223"</f>
        <v>10.12.128.223</v>
      </c>
      <c r="G16839" s="1" t="str">
        <f>"0229S983"</f>
        <v>0229S983</v>
      </c>
      <c r="H16839" s="1" t="str">
        <f>"공주간 19L4"</f>
        <v>공주간 19L4</v>
      </c>
      <c r="I16839" s="1" t="s">
        <v>17</v>
      </c>
      <c r="J16839" s="1" t="str">
        <f>"6/6"</f>
        <v>6/6</v>
      </c>
      <c r="K16839" s="1" t="str">
        <f>"2026-07-29 13:18:03"</f>
        <v>2026-07-29 13:18:03</v>
      </c>
      <c r="L16839" s="1" t="str">
        <f>"2021-08-13 10:55:39"</f>
        <v>2021-08-13 10:55:39</v>
      </c>
      <c r="M16839" s="1" t="s">
        <v>0</v>
      </c>
      <c r="N16839" s="1" t="s">
        <v>38</v>
      </c>
      <c r="O16839" s="1" t="s">
        <v>46</v>
      </c>
    </row>
    <row r="16840" spans="2:15" x14ac:dyDescent="0.3">
      <c r="B16840" s="1" t="s">
        <v>19</v>
      </c>
      <c r="C16840" s="1" t="str">
        <f>"1차"</f>
        <v>1차</v>
      </c>
      <c r="D16840" s="1" t="str">
        <f>"0229W13100"</f>
        <v>0229W13100</v>
      </c>
      <c r="E16840" s="1" t="s">
        <v>10</v>
      </c>
      <c r="F16840" s="1" t="str">
        <f>"10.107.4.64"</f>
        <v>10.107.4.64</v>
      </c>
      <c r="G16840" s="1" t="str">
        <f>"0229W131"</f>
        <v>0229W131</v>
      </c>
      <c r="H16840" s="1" t="str">
        <f>"공주간 2L6R11"</f>
        <v>공주간 2L6R11</v>
      </c>
      <c r="I16840" s="1" t="s">
        <v>8</v>
      </c>
      <c r="J16840" s="1" t="str">
        <f>"11/11"</f>
        <v>11/11</v>
      </c>
      <c r="K16840" s="1" t="str">
        <f>"2026-07-29 13:18:01"</f>
        <v>2026-07-29 13:18:01</v>
      </c>
      <c r="L16840" s="1" t="str">
        <f>"2014-11-18 11:26:30"</f>
        <v>2014-11-18 11:26:30</v>
      </c>
      <c r="M16840" s="1" t="s">
        <v>45</v>
      </c>
      <c r="N16840" s="1" t="s">
        <v>38</v>
      </c>
      <c r="O16840" s="1" t="s">
        <v>46</v>
      </c>
    </row>
    <row r="16841" spans="2:15" x14ac:dyDescent="0.3">
      <c r="B16841" s="1" t="s">
        <v>19</v>
      </c>
      <c r="C16841" s="1" t="str">
        <f>"1차"</f>
        <v>1차</v>
      </c>
      <c r="D16841" s="1" t="str">
        <f>"0229W22201"</f>
        <v>0229W22201</v>
      </c>
      <c r="E16841" s="1" t="s">
        <v>10</v>
      </c>
      <c r="F16841" s="1" t="str">
        <f>"10.107.4.65"</f>
        <v>10.107.4.65</v>
      </c>
      <c r="G16841" s="1" t="str">
        <f>"0229W222"</f>
        <v>0229W222</v>
      </c>
      <c r="H16841" s="1" t="str">
        <f>"공주간 2L6R13"</f>
        <v>공주간 2L6R13</v>
      </c>
      <c r="I16841" s="1" t="s">
        <v>8</v>
      </c>
      <c r="J16841" s="1" t="str">
        <f>"9/9"</f>
        <v>9/9</v>
      </c>
      <c r="K16841" s="1" t="str">
        <f>"2026-07-29 13:18:01"</f>
        <v>2026-07-29 13:18:01</v>
      </c>
      <c r="L16841" s="1" t="str">
        <f>"2014-11-18 11:26:00"</f>
        <v>2014-11-18 11:26:00</v>
      </c>
      <c r="M16841" s="1" t="s">
        <v>45</v>
      </c>
      <c r="N16841" s="1" t="s">
        <v>38</v>
      </c>
      <c r="O16841" s="1" t="s">
        <v>46</v>
      </c>
    </row>
    <row r="16842" spans="2:15" x14ac:dyDescent="0.3">
      <c r="B16842" s="1" t="s">
        <v>19</v>
      </c>
      <c r="C16842" s="1" t="str">
        <f>"1차"</f>
        <v>1차</v>
      </c>
      <c r="D16842" s="1" t="str">
        <f>"0229W30301"</f>
        <v>0229W30301</v>
      </c>
      <c r="E16842" s="1" t="s">
        <v>10</v>
      </c>
      <c r="F16842" s="1" t="str">
        <f>"10.12.135.68"</f>
        <v>10.12.135.68</v>
      </c>
      <c r="G16842" s="1" t="str">
        <f>"0229W303"</f>
        <v>0229W303</v>
      </c>
      <c r="H16842" s="1" t="str">
        <f>"공주간 2L6R16"</f>
        <v>공주간 2L6R16</v>
      </c>
      <c r="I16842" s="1" t="s">
        <v>8</v>
      </c>
      <c r="J16842" s="1" t="str">
        <f>"2/2"</f>
        <v>2/2</v>
      </c>
      <c r="K16842" s="1" t="str">
        <f>"2026-07-29 13:18:03"</f>
        <v>2026-07-29 13:18:03</v>
      </c>
      <c r="L16842" s="1" t="str">
        <f>"2014-11-18 11:26:01"</f>
        <v>2014-11-18 11:26:01</v>
      </c>
      <c r="M16842" s="1" t="s">
        <v>0</v>
      </c>
      <c r="N16842" s="1" t="s">
        <v>38</v>
      </c>
      <c r="O16842" s="1" t="s">
        <v>46</v>
      </c>
    </row>
    <row r="16843" spans="2:15" x14ac:dyDescent="0.3">
      <c r="B16843" s="1" t="s">
        <v>19</v>
      </c>
      <c r="C16843" s="1" t="str">
        <f>"1차"</f>
        <v>1차</v>
      </c>
      <c r="D16843" s="1" t="str">
        <f>"0229W32100"</f>
        <v>0229W32100</v>
      </c>
      <c r="E16843" s="1" t="s">
        <v>10</v>
      </c>
      <c r="F16843" s="1" t="str">
        <f>"10.107.4.70"</f>
        <v>10.107.4.70</v>
      </c>
      <c r="G16843" s="1" t="str">
        <f>"0229W321"</f>
        <v>0229W321</v>
      </c>
      <c r="H16843" s="1" t="str">
        <f>"공주간 2L6R8L3R2"</f>
        <v>공주간 2L6R8L3R2</v>
      </c>
      <c r="I16843" s="1" t="s">
        <v>8</v>
      </c>
      <c r="J16843" s="1" t="str">
        <f>"1/1"</f>
        <v>1/1</v>
      </c>
      <c r="K16843" s="1" t="str">
        <f>"2026-07-29 13:18:01"</f>
        <v>2026-07-29 13:18:01</v>
      </c>
      <c r="L16843" s="1" t="str">
        <f>"2014-11-18 11:27:03"</f>
        <v>2014-11-18 11:27:03</v>
      </c>
      <c r="M16843" s="1" t="s">
        <v>45</v>
      </c>
      <c r="N16843" s="1" t="s">
        <v>38</v>
      </c>
      <c r="O16843" s="1" t="s">
        <v>46</v>
      </c>
    </row>
    <row r="16844" spans="2:15" x14ac:dyDescent="0.3">
      <c r="B16844" s="1" t="s">
        <v>19</v>
      </c>
      <c r="C16844" s="1" t="str">
        <f>"3차"</f>
        <v>3차</v>
      </c>
      <c r="D16844" s="1" t="str">
        <f>"0229W40339"</f>
        <v>0229W40339</v>
      </c>
      <c r="E16844" s="1" t="s">
        <v>10</v>
      </c>
      <c r="F16844" s="1" t="str">
        <f>"10.12.134.135"</f>
        <v>10.12.134.135</v>
      </c>
      <c r="G16844" s="1" t="str">
        <f>"0229W403"</f>
        <v>0229W403</v>
      </c>
      <c r="H16844" s="1" t="str">
        <f>"공주간 2L12R9"</f>
        <v>공주간 2L12R9</v>
      </c>
      <c r="I16844" s="1" t="s">
        <v>8</v>
      </c>
      <c r="J16844" s="1" t="str">
        <f>"14/14"</f>
        <v>14/14</v>
      </c>
      <c r="K16844" s="1" t="str">
        <f>"2026-07-29 13:18:02"</f>
        <v>2026-07-29 13:18:02</v>
      </c>
      <c r="L16844" s="1" t="str">
        <f>"2021-01-19 16:25:17"</f>
        <v>2021-01-19 16:25:17</v>
      </c>
      <c r="M16844" s="1" t="s">
        <v>0</v>
      </c>
      <c r="N16844" s="1" t="s">
        <v>38</v>
      </c>
      <c r="O16844" s="1" t="s">
        <v>46</v>
      </c>
    </row>
    <row r="16845" spans="2:15" x14ac:dyDescent="0.3">
      <c r="B16845" s="1" t="s">
        <v>19</v>
      </c>
      <c r="C16845" s="1" t="str">
        <f>"1차"</f>
        <v>1차</v>
      </c>
      <c r="D16845" s="1" t="str">
        <f>"0229W41101"</f>
        <v>0229W41101</v>
      </c>
      <c r="E16845" s="1" t="s">
        <v>12</v>
      </c>
      <c r="F16845" s="1" t="str">
        <f>"10.12.134.46"</f>
        <v>10.12.134.46</v>
      </c>
      <c r="G16845" s="1" t="str">
        <f>"0229W411"</f>
        <v>0229W411</v>
      </c>
      <c r="H16845" s="1" t="str">
        <f>"공주간 2L6R8L3R1L1"</f>
        <v>공주간 2L6R8L3R1L1</v>
      </c>
      <c r="I16845" s="1" t="s">
        <v>8</v>
      </c>
      <c r="J16845" s="1" t="str">
        <f>"0/6"</f>
        <v>0/6</v>
      </c>
      <c r="K16845" s="1" t="str">
        <f>"2026-07-10 01:18:04"</f>
        <v>2026-07-10 01:18:04</v>
      </c>
      <c r="L16845" s="1" t="str">
        <f>"2014-11-18 11:12:24"</f>
        <v>2014-11-18 11:12:24</v>
      </c>
      <c r="M16845" s="1" t="s">
        <v>0</v>
      </c>
      <c r="N16845" s="1" t="s">
        <v>38</v>
      </c>
      <c r="O16845" s="1" t="s">
        <v>46</v>
      </c>
    </row>
    <row r="16846" spans="2:15" x14ac:dyDescent="0.3">
      <c r="B16846" s="1" t="s">
        <v>19</v>
      </c>
      <c r="C16846" s="1" t="str">
        <f>"1차"</f>
        <v>1차</v>
      </c>
      <c r="D16846" s="1" t="str">
        <f>"0229W42200"</f>
        <v>0229W42200</v>
      </c>
      <c r="E16846" s="1" t="s">
        <v>10</v>
      </c>
      <c r="F16846" s="1" t="str">
        <f>"10.107.4.72"</f>
        <v>10.107.4.72</v>
      </c>
      <c r="G16846" s="1" t="str">
        <f>"0229W422"</f>
        <v>0229W422</v>
      </c>
      <c r="H16846" s="1" t="str">
        <f>"공주간 2L6R8L3"</f>
        <v>공주간 2L6R8L3</v>
      </c>
      <c r="I16846" s="1" t="s">
        <v>8</v>
      </c>
      <c r="J16846" s="1" t="str">
        <f>"22/27"</f>
        <v>22/27</v>
      </c>
      <c r="K16846" s="1" t="str">
        <f>"2026-07-29 13:18:01"</f>
        <v>2026-07-29 13:18:01</v>
      </c>
      <c r="L16846" s="1" t="str">
        <f>"2014-11-18 11:26:11"</f>
        <v>2014-11-18 11:26:11</v>
      </c>
      <c r="M16846" s="1" t="s">
        <v>45</v>
      </c>
      <c r="N16846" s="1" t="s">
        <v>38</v>
      </c>
      <c r="O16846" s="1" t="s">
        <v>46</v>
      </c>
    </row>
    <row r="16847" spans="2:15" x14ac:dyDescent="0.3">
      <c r="B16847" s="1" t="s">
        <v>19</v>
      </c>
      <c r="C16847" s="1" t="str">
        <f>"3차"</f>
        <v>3차</v>
      </c>
      <c r="D16847" s="1" t="str">
        <f>"0229W52139"</f>
        <v>0229W52139</v>
      </c>
      <c r="E16847" s="1" t="s">
        <v>10</v>
      </c>
      <c r="F16847" s="1" t="str">
        <f>"10.12.131.168"</f>
        <v>10.12.131.168</v>
      </c>
      <c r="G16847" s="1" t="str">
        <f>"0229W521"</f>
        <v>0229W521</v>
      </c>
      <c r="H16847" s="1" t="str">
        <f>"공주간 2L6R8L4"</f>
        <v>공주간 2L6R8L4</v>
      </c>
      <c r="I16847" s="1" t="s">
        <v>8</v>
      </c>
      <c r="J16847" s="1" t="str">
        <f>"24/24"</f>
        <v>24/24</v>
      </c>
      <c r="K16847" s="1" t="str">
        <f>"2026-07-29 13:18:04"</f>
        <v>2026-07-29 13:18:04</v>
      </c>
      <c r="L16847" s="1" t="str">
        <f>"2023-07-20 10:09:25"</f>
        <v>2023-07-20 10:09:25</v>
      </c>
      <c r="M16847" s="1" t="s">
        <v>0</v>
      </c>
      <c r="N16847" s="1" t="s">
        <v>38</v>
      </c>
      <c r="O16847" s="1" t="s">
        <v>46</v>
      </c>
    </row>
    <row r="16848" spans="2:15" x14ac:dyDescent="0.3">
      <c r="B16848" s="1" t="s">
        <v>19</v>
      </c>
      <c r="C16848" s="1" t="str">
        <f>"3차"</f>
        <v>3차</v>
      </c>
      <c r="D16848" s="1" t="str">
        <f>"0229W55239"</f>
        <v>0229W55239</v>
      </c>
      <c r="E16848" s="1" t="s">
        <v>10</v>
      </c>
      <c r="F16848" s="1" t="str">
        <f>"10.12.137.109"</f>
        <v>10.12.137.109</v>
      </c>
      <c r="G16848" s="1" t="str">
        <f>"0229W552"</f>
        <v>0229W552</v>
      </c>
      <c r="H16848" s="1" t="str">
        <f>"공주간 2L6R5L1"</f>
        <v>공주간 2L6R5L1</v>
      </c>
      <c r="I16848" s="1" t="s">
        <v>8</v>
      </c>
      <c r="J16848" s="1" t="str">
        <f>"18/18"</f>
        <v>18/18</v>
      </c>
      <c r="K16848" s="1" t="str">
        <f>"2026-07-29 13:18:03"</f>
        <v>2026-07-29 13:18:03</v>
      </c>
      <c r="L16848" s="1" t="str">
        <f>"2018-04-25 13:36:29"</f>
        <v>2018-04-25 13:36:29</v>
      </c>
      <c r="M16848" s="1" t="s">
        <v>0</v>
      </c>
      <c r="N16848" s="1" t="s">
        <v>38</v>
      </c>
      <c r="O16848" s="1" t="s">
        <v>46</v>
      </c>
    </row>
    <row r="16849" spans="2:15" x14ac:dyDescent="0.3">
      <c r="B16849" s="1" t="s">
        <v>19</v>
      </c>
      <c r="C16849" s="1" t="str">
        <f>"5-1차"</f>
        <v>5-1차</v>
      </c>
      <c r="D16849" s="1" t="str">
        <f>"0229Y0215M"</f>
        <v>0229Y0215M</v>
      </c>
      <c r="E16849" s="1" t="s">
        <v>10</v>
      </c>
      <c r="F16849" s="1" t="str">
        <f>"fde3:102:1410:9200:0:0:0:4"</f>
        <v>fde3:102:1410:9200:0:0:0:4</v>
      </c>
      <c r="G16849" s="1" t="str">
        <f>"0229Y021"</f>
        <v>0229Y021</v>
      </c>
      <c r="H16849" s="1" t="str">
        <f>"장위간 59"</f>
        <v>장위간 59</v>
      </c>
      <c r="I16849" s="1" t="s">
        <v>15</v>
      </c>
      <c r="J16849" s="1" t="str">
        <f>"133/134"</f>
        <v>133/134</v>
      </c>
      <c r="K16849" s="1" t="str">
        <f>"2026-07-29 14:20:34"</f>
        <v>2026-07-29 14:20:34</v>
      </c>
      <c r="L16849" s="1" t="str">
        <f>"2022-09-28 09:27:34"</f>
        <v>2022-09-28 09:27:34</v>
      </c>
      <c r="M16849" s="1" t="s">
        <v>45</v>
      </c>
      <c r="N16849" s="1" t="s">
        <v>38</v>
      </c>
      <c r="O16849" s="1" t="s">
        <v>46</v>
      </c>
    </row>
    <row r="16850" spans="2:15" x14ac:dyDescent="0.3">
      <c r="B16850" s="1" t="s">
        <v>19</v>
      </c>
      <c r="C16850" s="1" t="str">
        <f>"1차"</f>
        <v>1차</v>
      </c>
      <c r="D16850" s="1" t="str">
        <f>"0229Y10200"</f>
        <v>0229Y10200</v>
      </c>
      <c r="E16850" s="1" t="s">
        <v>10</v>
      </c>
      <c r="F16850" s="1" t="str">
        <f>"10.107.120.37"</f>
        <v>10.107.120.37</v>
      </c>
      <c r="G16850" s="1" t="str">
        <f>"0229Y102"</f>
        <v>0229Y102</v>
      </c>
      <c r="H16850" s="1" t="str">
        <f>"장위간 49L6"</f>
        <v>장위간 49L6</v>
      </c>
      <c r="I16850" s="1" t="s">
        <v>8</v>
      </c>
      <c r="J16850" s="1" t="str">
        <f>"64/64"</f>
        <v>64/64</v>
      </c>
      <c r="K16850" s="1" t="str">
        <f>"2026-07-29 13:18:01"</f>
        <v>2026-07-29 13:18:01</v>
      </c>
      <c r="L16850" s="1" t="str">
        <f>"2017-06-08 14:00:58"</f>
        <v>2017-06-08 14:00:58</v>
      </c>
      <c r="M16850" s="1" t="s">
        <v>45</v>
      </c>
      <c r="N16850" s="1" t="s">
        <v>38</v>
      </c>
      <c r="O16850" s="1" t="s">
        <v>46</v>
      </c>
    </row>
    <row r="16851" spans="2:15" x14ac:dyDescent="0.3">
      <c r="B16851" s="1" t="s">
        <v>19</v>
      </c>
      <c r="C16851" s="1" t="str">
        <f>"1차"</f>
        <v>1차</v>
      </c>
      <c r="D16851" s="1" t="str">
        <f>"0229Y20100"</f>
        <v>0229Y20100</v>
      </c>
      <c r="E16851" s="1" t="s">
        <v>10</v>
      </c>
      <c r="F16851" s="1" t="str">
        <f>"10.107.120.38"</f>
        <v>10.107.120.38</v>
      </c>
      <c r="G16851" s="1" t="str">
        <f>"0229Y201"</f>
        <v>0229Y201</v>
      </c>
      <c r="H16851" s="1" t="str">
        <f>"장위간 49L3L4"</f>
        <v>장위간 49L3L4</v>
      </c>
      <c r="I16851" s="1" t="s">
        <v>8</v>
      </c>
      <c r="J16851" s="1" t="str">
        <f>"31/31"</f>
        <v>31/31</v>
      </c>
      <c r="K16851" s="1" t="str">
        <f>"2026-07-29 13:18:01"</f>
        <v>2026-07-29 13:18:01</v>
      </c>
      <c r="L16851" s="1" t="str">
        <f>"2014-12-30 19:52:12"</f>
        <v>2014-12-30 19:52:12</v>
      </c>
      <c r="M16851" s="1" t="s">
        <v>45</v>
      </c>
      <c r="N16851" s="1" t="s">
        <v>38</v>
      </c>
      <c r="O16851" s="1" t="s">
        <v>46</v>
      </c>
    </row>
    <row r="16852" spans="2:15" x14ac:dyDescent="0.3">
      <c r="B16852" s="1" t="s">
        <v>19</v>
      </c>
      <c r="C16852" s="1" t="str">
        <f>"1차"</f>
        <v>1차</v>
      </c>
      <c r="D16852" s="1" t="str">
        <f>"0229Y20401"</f>
        <v>0229Y20401</v>
      </c>
      <c r="E16852" s="1" t="s">
        <v>10</v>
      </c>
      <c r="F16852" s="1" t="str">
        <f>"10.12.136.134"</f>
        <v>10.12.136.134</v>
      </c>
      <c r="G16852" s="1" t="str">
        <f>"0229Y204"</f>
        <v>0229Y204</v>
      </c>
      <c r="H16852" s="1" t="str">
        <f>"장위간 49L3L6R1"</f>
        <v>장위간 49L3L6R1</v>
      </c>
      <c r="I16852" s="1" t="s">
        <v>8</v>
      </c>
      <c r="J16852" s="1" t="str">
        <f>"11/11"</f>
        <v>11/11</v>
      </c>
      <c r="K16852" s="1" t="str">
        <f>"2026-07-29 13:18:03"</f>
        <v>2026-07-29 13:18:03</v>
      </c>
      <c r="L16852" s="1" t="str">
        <f>"2014-12-30 19:52:38"</f>
        <v>2014-12-30 19:52:38</v>
      </c>
      <c r="M16852" s="1" t="s">
        <v>0</v>
      </c>
      <c r="N16852" s="1" t="s">
        <v>38</v>
      </c>
      <c r="O16852" s="1" t="s">
        <v>46</v>
      </c>
    </row>
    <row r="16853" spans="2:15" x14ac:dyDescent="0.3">
      <c r="B16853" s="1" t="s">
        <v>19</v>
      </c>
      <c r="C16853" s="1" t="str">
        <f>"1차"</f>
        <v>1차</v>
      </c>
      <c r="D16853" s="1" t="str">
        <f>"0229Y22300"</f>
        <v>0229Y22300</v>
      </c>
      <c r="E16853" s="1" t="s">
        <v>10</v>
      </c>
      <c r="F16853" s="1" t="str">
        <f>"10.107.120.40"</f>
        <v>10.107.120.40</v>
      </c>
      <c r="G16853" s="1" t="str">
        <f>"0229Y223"</f>
        <v>0229Y223</v>
      </c>
      <c r="H16853" s="1" t="str">
        <f>"장위간 49L3L1"</f>
        <v>장위간 49L3L1</v>
      </c>
      <c r="I16853" s="1" t="s">
        <v>8</v>
      </c>
      <c r="J16853" s="1" t="str">
        <f>"33/33"</f>
        <v>33/33</v>
      </c>
      <c r="K16853" s="1" t="str">
        <f>"2026-07-29 13:18:01"</f>
        <v>2026-07-29 13:18:01</v>
      </c>
      <c r="L16853" s="1" t="str">
        <f>"2014-12-10 16:43:22"</f>
        <v>2014-12-10 16:43:22</v>
      </c>
      <c r="M16853" s="1" t="s">
        <v>45</v>
      </c>
      <c r="N16853" s="1" t="s">
        <v>38</v>
      </c>
      <c r="O16853" s="1" t="s">
        <v>46</v>
      </c>
    </row>
    <row r="16854" spans="2:15" x14ac:dyDescent="0.3">
      <c r="B16854" s="1" t="s">
        <v>19</v>
      </c>
      <c r="C16854" s="1" t="str">
        <f>"1차"</f>
        <v>1차</v>
      </c>
      <c r="D16854" s="1" t="str">
        <f>"0229Y31300"</f>
        <v>0229Y31300</v>
      </c>
      <c r="E16854" s="1" t="s">
        <v>10</v>
      </c>
      <c r="F16854" s="1" t="str">
        <f>"10.107.120.42"</f>
        <v>10.107.120.42</v>
      </c>
      <c r="G16854" s="1" t="str">
        <f>"0229Y313"</f>
        <v>0229Y313</v>
      </c>
      <c r="H16854" s="1" t="str">
        <f>"장위간 49L3L2"</f>
        <v>장위간 49L3L2</v>
      </c>
      <c r="I16854" s="1" t="s">
        <v>8</v>
      </c>
      <c r="J16854" s="1" t="str">
        <f>"7/7"</f>
        <v>7/7</v>
      </c>
      <c r="K16854" s="1" t="str">
        <f>"2026-07-29 13:18:01"</f>
        <v>2026-07-29 13:18:01</v>
      </c>
      <c r="L16854" s="1" t="str">
        <f>"2014-12-10 16:57:32"</f>
        <v>2014-12-10 16:57:32</v>
      </c>
      <c r="M16854" s="1" t="s">
        <v>45</v>
      </c>
      <c r="N16854" s="1" t="s">
        <v>38</v>
      </c>
      <c r="O16854" s="1" t="s">
        <v>46</v>
      </c>
    </row>
    <row r="16855" spans="2:15" x14ac:dyDescent="0.3">
      <c r="B16855" s="1" t="s">
        <v>19</v>
      </c>
      <c r="C16855" s="1" t="str">
        <f>"4차"</f>
        <v>4차</v>
      </c>
      <c r="D16855" s="1" t="str">
        <f>"0229Y51242"</f>
        <v>0229Y51242</v>
      </c>
      <c r="E16855" s="1" t="s">
        <v>10</v>
      </c>
      <c r="F16855" s="1" t="str">
        <f>"10.107.122.227"</f>
        <v>10.107.122.227</v>
      </c>
      <c r="G16855" s="1" t="str">
        <f>"0229Y512"</f>
        <v>0229Y512</v>
      </c>
      <c r="H16855" s="1" t="str">
        <f>"장위간 40R3"</f>
        <v>장위간 40R3</v>
      </c>
      <c r="I16855" s="1" t="s">
        <v>8</v>
      </c>
      <c r="J16855" s="1" t="str">
        <f>"4/4"</f>
        <v>4/4</v>
      </c>
      <c r="K16855" s="1" t="str">
        <f>"2026-07-29 13:18:01"</f>
        <v>2026-07-29 13:18:01</v>
      </c>
      <c r="L16855" s="1" t="str">
        <f>"2025-05-29 09:34:15"</f>
        <v>2025-05-29 09:34:15</v>
      </c>
      <c r="M16855" s="1" t="s">
        <v>45</v>
      </c>
      <c r="N16855" s="1" t="s">
        <v>38</v>
      </c>
      <c r="O16855" s="1" t="s">
        <v>46</v>
      </c>
    </row>
    <row r="16856" spans="2:15" x14ac:dyDescent="0.3">
      <c r="B16856" s="1" t="s">
        <v>19</v>
      </c>
      <c r="C16856" s="1" t="str">
        <f>"1차"</f>
        <v>1차</v>
      </c>
      <c r="D16856" s="1" t="str">
        <f>"0229Y52300"</f>
        <v>0229Y52300</v>
      </c>
      <c r="E16856" s="1" t="s">
        <v>10</v>
      </c>
      <c r="F16856" s="1" t="str">
        <f>"10.107.120.43"</f>
        <v>10.107.120.43</v>
      </c>
      <c r="G16856" s="1" t="str">
        <f>"0229Y523"</f>
        <v>0229Y523</v>
      </c>
      <c r="H16856" s="1" t="str">
        <f>"장위간 45"</f>
        <v>장위간 45</v>
      </c>
      <c r="I16856" s="1" t="s">
        <v>8</v>
      </c>
      <c r="J16856" s="1" t="str">
        <f>"9/9"</f>
        <v>9/9</v>
      </c>
      <c r="K16856" s="1" t="str">
        <f>"2026-07-29 13:18:01"</f>
        <v>2026-07-29 13:18:01</v>
      </c>
      <c r="L16856" s="1" t="str">
        <f>"2014-12-22 11:22:23"</f>
        <v>2014-12-22 11:22:23</v>
      </c>
      <c r="M16856" s="1" t="s">
        <v>45</v>
      </c>
      <c r="N16856" s="1" t="s">
        <v>38</v>
      </c>
      <c r="O16856" s="1" t="s">
        <v>46</v>
      </c>
    </row>
    <row r="16857" spans="2:15" x14ac:dyDescent="0.3">
      <c r="B16857" s="1" t="s">
        <v>19</v>
      </c>
      <c r="C16857" s="1" t="str">
        <f>"4차"</f>
        <v>4차</v>
      </c>
      <c r="D16857" s="1" t="str">
        <f>"0229Y61144"</f>
        <v>0229Y61144</v>
      </c>
      <c r="E16857" s="1" t="s">
        <v>10</v>
      </c>
      <c r="F16857" s="1" t="str">
        <f>"10.107.122.228"</f>
        <v>10.107.122.228</v>
      </c>
      <c r="G16857" s="1" t="str">
        <f>"0229Y611"</f>
        <v>0229Y611</v>
      </c>
      <c r="H16857" s="1" t="str">
        <f>"장위간 40R4"</f>
        <v>장위간 40R4</v>
      </c>
      <c r="I16857" s="1" t="s">
        <v>8</v>
      </c>
      <c r="J16857" s="1" t="str">
        <f>"81/86"</f>
        <v>81/86</v>
      </c>
      <c r="K16857" s="1" t="str">
        <f>"2026-07-29 13:18:01"</f>
        <v>2026-07-29 13:18:01</v>
      </c>
      <c r="L16857" s="1" t="str">
        <f>"2023-08-24 17:58:43"</f>
        <v>2023-08-24 17:58:43</v>
      </c>
      <c r="M16857" s="1" t="s">
        <v>45</v>
      </c>
      <c r="N16857" s="1" t="s">
        <v>38</v>
      </c>
      <c r="O16857" s="1" t="s">
        <v>46</v>
      </c>
    </row>
    <row r="16858" spans="2:15" x14ac:dyDescent="0.3">
      <c r="B16858" s="1" t="s">
        <v>19</v>
      </c>
      <c r="C16858" s="1" t="str">
        <f t="shared" ref="C16858:C16863" si="832">"1차"</f>
        <v>1차</v>
      </c>
      <c r="D16858" s="1" t="str">
        <f>"0229Y71101"</f>
        <v>0229Y71101</v>
      </c>
      <c r="E16858" s="1" t="s">
        <v>10</v>
      </c>
      <c r="F16858" s="1" t="str">
        <f>"10.12.131.143"</f>
        <v>10.12.131.143</v>
      </c>
      <c r="G16858" s="1" t="str">
        <f>"0229Y711"</f>
        <v>0229Y711</v>
      </c>
      <c r="H16858" s="1" t="str">
        <f>"장위간 45R2"</f>
        <v>장위간 45R2</v>
      </c>
      <c r="I16858" s="1" t="s">
        <v>8</v>
      </c>
      <c r="J16858" s="1" t="str">
        <f>"31/31"</f>
        <v>31/31</v>
      </c>
      <c r="K16858" s="1" t="str">
        <f>"2026-07-29 13:18:03"</f>
        <v>2026-07-29 13:18:03</v>
      </c>
      <c r="L16858" s="1" t="str">
        <f>"2014-12-19 10:12:37"</f>
        <v>2014-12-19 10:12:37</v>
      </c>
      <c r="M16858" s="1" t="s">
        <v>0</v>
      </c>
      <c r="N16858" s="1" t="s">
        <v>38</v>
      </c>
      <c r="O16858" s="1" t="s">
        <v>46</v>
      </c>
    </row>
    <row r="16859" spans="2:15" x14ac:dyDescent="0.3">
      <c r="B16859" s="1" t="s">
        <v>19</v>
      </c>
      <c r="C16859" s="1" t="str">
        <f t="shared" si="832"/>
        <v>1차</v>
      </c>
      <c r="D16859" s="1" t="str">
        <f>"0229Y81300"</f>
        <v>0229Y81300</v>
      </c>
      <c r="E16859" s="1" t="s">
        <v>14</v>
      </c>
      <c r="F16859" s="1" t="str">
        <f>"10.107.4.95"</f>
        <v>10.107.4.95</v>
      </c>
      <c r="G16859" s="1" t="str">
        <f>"0229Y813"</f>
        <v>0229Y813</v>
      </c>
      <c r="H16859" s="1" t="str">
        <f>"광운간 31R8R1"</f>
        <v>광운간 31R8R1</v>
      </c>
      <c r="I16859" s="1" t="s">
        <v>8</v>
      </c>
      <c r="J16859" s="1" t="str">
        <f>"0/0"</f>
        <v>0/0</v>
      </c>
      <c r="K16859" s="1" t="str">
        <f>"2026-02-03 13:21:02"</f>
        <v>2026-02-03 13:21:02</v>
      </c>
      <c r="L16859" s="1" t="str">
        <f>"2014-11-18 11:26:37"</f>
        <v>2014-11-18 11:26:37</v>
      </c>
      <c r="M16859" s="1" t="s">
        <v>45</v>
      </c>
      <c r="N16859" s="1" t="s">
        <v>44</v>
      </c>
      <c r="O16859" s="1" t="s">
        <v>44</v>
      </c>
    </row>
    <row r="16860" spans="2:15" x14ac:dyDescent="0.3">
      <c r="B16860" s="1" t="s">
        <v>19</v>
      </c>
      <c r="C16860" s="1" t="str">
        <f t="shared" si="832"/>
        <v>1차</v>
      </c>
      <c r="D16860" s="1" t="str">
        <f>"0229Y84100"</f>
        <v>0229Y84100</v>
      </c>
      <c r="E16860" s="1" t="s">
        <v>10</v>
      </c>
      <c r="F16860" s="1" t="str">
        <f>"10.107.121.72"</f>
        <v>10.107.121.72</v>
      </c>
      <c r="G16860" s="1" t="str">
        <f>"0229Y841"</f>
        <v>0229Y841</v>
      </c>
      <c r="H16860" s="1" t="str">
        <f>"광운간 19R22L1"</f>
        <v>광운간 19R22L1</v>
      </c>
      <c r="I16860" s="1" t="s">
        <v>8</v>
      </c>
      <c r="J16860" s="1" t="str">
        <f>"26/28"</f>
        <v>26/28</v>
      </c>
      <c r="K16860" s="1" t="str">
        <f>"2026-07-29 13:18:02"</f>
        <v>2026-07-29 13:18:02</v>
      </c>
      <c r="L16860" s="1" t="str">
        <f>"2014-11-18 11:27:32"</f>
        <v>2014-11-18 11:27:32</v>
      </c>
      <c r="M16860" s="1" t="s">
        <v>45</v>
      </c>
      <c r="N16860" s="1" t="s">
        <v>38</v>
      </c>
      <c r="O16860" s="1" t="s">
        <v>46</v>
      </c>
    </row>
    <row r="16861" spans="2:15" x14ac:dyDescent="0.3">
      <c r="B16861" s="1" t="s">
        <v>19</v>
      </c>
      <c r="C16861" s="1" t="str">
        <f t="shared" si="832"/>
        <v>1차</v>
      </c>
      <c r="D16861" s="1" t="str">
        <f>"0229Y92100"</f>
        <v>0229Y92100</v>
      </c>
      <c r="E16861" s="1" t="s">
        <v>10</v>
      </c>
      <c r="F16861" s="1" t="str">
        <f>"10.107.4.97"</f>
        <v>10.107.4.97</v>
      </c>
      <c r="G16861" s="1" t="str">
        <f>"0229Y921"</f>
        <v>0229Y921</v>
      </c>
      <c r="H16861" s="1" t="str">
        <f>"광운간 31R8R1L2"</f>
        <v>광운간 31R8R1L2</v>
      </c>
      <c r="I16861" s="1" t="s">
        <v>8</v>
      </c>
      <c r="J16861" s="1" t="str">
        <f>"37/39"</f>
        <v>37/39</v>
      </c>
      <c r="K16861" s="1" t="str">
        <f>"2026-07-29 13:18:03"</f>
        <v>2026-07-29 13:18:03</v>
      </c>
      <c r="L16861" s="1" t="str">
        <f>"2014-11-18 11:12:09"</f>
        <v>2014-11-18 11:12:09</v>
      </c>
      <c r="M16861" s="1" t="s">
        <v>45</v>
      </c>
      <c r="N16861" s="1" t="s">
        <v>38</v>
      </c>
      <c r="O16861" s="1" t="s">
        <v>46</v>
      </c>
    </row>
    <row r="16862" spans="2:15" x14ac:dyDescent="0.3">
      <c r="B16862" s="1" t="s">
        <v>19</v>
      </c>
      <c r="C16862" s="1" t="str">
        <f t="shared" si="832"/>
        <v>1차</v>
      </c>
      <c r="D16862" s="1" t="str">
        <f>"0229Y93101"</f>
        <v>0229Y93101</v>
      </c>
      <c r="E16862" s="1" t="s">
        <v>10</v>
      </c>
      <c r="F16862" s="1" t="str">
        <f>"10.107.4.98"</f>
        <v>10.107.4.98</v>
      </c>
      <c r="G16862" s="1" t="str">
        <f>"0229Y931"</f>
        <v>0229Y931</v>
      </c>
      <c r="H16862" s="1" t="str">
        <f>"광운간 31R8R1L3"</f>
        <v>광운간 31R8R1L3</v>
      </c>
      <c r="I16862" s="1" t="s">
        <v>8</v>
      </c>
      <c r="J16862" s="1" t="str">
        <f>"22/22"</f>
        <v>22/22</v>
      </c>
      <c r="K16862" s="1" t="str">
        <f>"2026-07-29 13:18:01"</f>
        <v>2026-07-29 13:18:01</v>
      </c>
      <c r="L16862" s="1" t="str">
        <f>"2014-11-18 11:26:04"</f>
        <v>2014-11-18 11:26:04</v>
      </c>
      <c r="M16862" s="1" t="s">
        <v>45</v>
      </c>
      <c r="N16862" s="1" t="s">
        <v>38</v>
      </c>
      <c r="O16862" s="1" t="s">
        <v>46</v>
      </c>
    </row>
    <row r="16863" spans="2:15" x14ac:dyDescent="0.3">
      <c r="B16863" s="1" t="s">
        <v>19</v>
      </c>
      <c r="C16863" s="1" t="str">
        <f t="shared" si="832"/>
        <v>1차</v>
      </c>
      <c r="D16863" s="1" t="str">
        <f>"0229Z00100"</f>
        <v>0229Z00100</v>
      </c>
      <c r="E16863" s="1" t="s">
        <v>10</v>
      </c>
      <c r="F16863" s="1" t="str">
        <f>"10.107.4.99"</f>
        <v>10.107.4.99</v>
      </c>
      <c r="G16863" s="1" t="str">
        <f>"0229Z001"</f>
        <v>0229Z001</v>
      </c>
      <c r="H16863" s="1" t="str">
        <f>"광운간 31R8R4"</f>
        <v>광운간 31R8R4</v>
      </c>
      <c r="I16863" s="1" t="s">
        <v>8</v>
      </c>
      <c r="J16863" s="1" t="str">
        <f>"56/59"</f>
        <v>56/59</v>
      </c>
      <c r="K16863" s="1" t="str">
        <f>"2026-07-29 13:18:02"</f>
        <v>2026-07-29 13:18:02</v>
      </c>
      <c r="L16863" s="1" t="str">
        <f>"2014-11-18 11:26:12"</f>
        <v>2014-11-18 11:26:12</v>
      </c>
      <c r="M16863" s="1" t="s">
        <v>45</v>
      </c>
      <c r="N16863" s="1" t="s">
        <v>38</v>
      </c>
      <c r="O16863" s="1" t="s">
        <v>46</v>
      </c>
    </row>
    <row r="16864" spans="2:15" x14ac:dyDescent="0.3">
      <c r="B16864" s="1" t="s">
        <v>19</v>
      </c>
      <c r="C16864" s="1" t="str">
        <f>"5-1차"</f>
        <v>5-1차</v>
      </c>
      <c r="D16864" s="1" t="str">
        <f>"0229Z0525M"</f>
        <v>0229Z0525M</v>
      </c>
      <c r="E16864" s="1" t="s">
        <v>10</v>
      </c>
      <c r="F16864" s="1" t="str">
        <f>"fde2:104:0:1d:0:0:0:2"</f>
        <v>fde2:104:0:1d:0:0:0:2</v>
      </c>
      <c r="G16864" s="1" t="str">
        <f>"0229Z052"</f>
        <v>0229Z052</v>
      </c>
      <c r="H16864" s="1" t="str">
        <f>"광운간 19R17R1"</f>
        <v>광운간 19R17R1</v>
      </c>
      <c r="I16864" s="1" t="s">
        <v>15</v>
      </c>
      <c r="J16864" s="1" t="str">
        <f>"31/31"</f>
        <v>31/31</v>
      </c>
      <c r="K16864" s="1" t="str">
        <f>"2026-07-29 14:20:02"</f>
        <v>2026-07-29 14:20:02</v>
      </c>
      <c r="L16864" s="1" t="str">
        <f>"2022-08-31 08:20:28"</f>
        <v>2022-08-31 08:20:28</v>
      </c>
      <c r="M16864" s="1" t="s">
        <v>42</v>
      </c>
      <c r="N16864" s="1" t="s">
        <v>38</v>
      </c>
      <c r="O16864" s="1" t="s">
        <v>46</v>
      </c>
    </row>
    <row r="16865" spans="2:15" x14ac:dyDescent="0.3">
      <c r="B16865" s="1" t="s">
        <v>19</v>
      </c>
      <c r="C16865" s="1" t="str">
        <f>"5-1차"</f>
        <v>5-1차</v>
      </c>
      <c r="D16865" s="1" t="str">
        <f>"0229Z1115S"</f>
        <v>0229Z1115S</v>
      </c>
      <c r="E16865" s="1" t="s">
        <v>10</v>
      </c>
      <c r="F16865" s="1" t="str">
        <f>"fde2:104:0:16:0:0:0:2"</f>
        <v>fde2:104:0:16:0:0:0:2</v>
      </c>
      <c r="G16865" s="1" t="str">
        <f>"0229Z111"</f>
        <v>0229Z111</v>
      </c>
      <c r="H16865" s="1" t="str">
        <f>"광운간 20H1R4L10"</f>
        <v>광운간 20H1R4L10</v>
      </c>
      <c r="I16865" s="1" t="s">
        <v>15</v>
      </c>
      <c r="J16865" s="1" t="str">
        <f>"64/64"</f>
        <v>64/64</v>
      </c>
      <c r="K16865" s="1" t="str">
        <f>"2026-07-29 14:20:03"</f>
        <v>2026-07-29 14:20:03</v>
      </c>
      <c r="L16865" s="1" t="str">
        <f>"2022-08-26 08:12:58"</f>
        <v>2022-08-26 08:12:58</v>
      </c>
      <c r="M16865" s="1" t="s">
        <v>42</v>
      </c>
      <c r="N16865" s="1" t="s">
        <v>38</v>
      </c>
      <c r="O16865" s="1" t="s">
        <v>46</v>
      </c>
    </row>
    <row r="16866" spans="2:15" x14ac:dyDescent="0.3">
      <c r="B16866" s="1" t="s">
        <v>19</v>
      </c>
      <c r="C16866" s="1" t="str">
        <f>"5-1차"</f>
        <v>5-1차</v>
      </c>
      <c r="D16866" s="1" t="str">
        <f>"0229Z1225S"</f>
        <v>0229Z1225S</v>
      </c>
      <c r="E16866" s="1" t="s">
        <v>10</v>
      </c>
      <c r="F16866" s="1" t="str">
        <f>"fde2:104:0:1a:0:0:0:2"</f>
        <v>fde2:104:0:1a:0:0:0:2</v>
      </c>
      <c r="G16866" s="1" t="str">
        <f>"0229Z122"</f>
        <v>0229Z122</v>
      </c>
      <c r="H16866" s="1" t="str">
        <f>"광운간 20H1R4L11"</f>
        <v>광운간 20H1R4L11</v>
      </c>
      <c r="I16866" s="1" t="s">
        <v>15</v>
      </c>
      <c r="J16866" s="1" t="str">
        <f>"33/33"</f>
        <v>33/33</v>
      </c>
      <c r="K16866" s="1" t="str">
        <f>"2026-07-29 14:20:15"</f>
        <v>2026-07-29 14:20:15</v>
      </c>
      <c r="L16866" s="1" t="str">
        <f>"2022-08-26 08:47:28"</f>
        <v>2022-08-26 08:47:28</v>
      </c>
      <c r="M16866" s="1" t="s">
        <v>42</v>
      </c>
      <c r="N16866" s="1" t="s">
        <v>38</v>
      </c>
      <c r="O16866" s="1" t="s">
        <v>46</v>
      </c>
    </row>
    <row r="16867" spans="2:15" x14ac:dyDescent="0.3">
      <c r="B16867" s="1" t="s">
        <v>19</v>
      </c>
      <c r="C16867" s="1" t="str">
        <f>"5-1차"</f>
        <v>5-1차</v>
      </c>
      <c r="D16867" s="1" t="str">
        <f>"0229Z2015M"</f>
        <v>0229Z2015M</v>
      </c>
      <c r="E16867" s="1" t="s">
        <v>10</v>
      </c>
      <c r="F16867" s="1" t="str">
        <f>"fde2:104:0:1b:0:0:0:2"</f>
        <v>fde2:104:0:1b:0:0:0:2</v>
      </c>
      <c r="G16867" s="1" t="str">
        <f>"0229Z201"</f>
        <v>0229Z201</v>
      </c>
      <c r="H16867" s="1" t="str">
        <f>"광운간 31R8R8"</f>
        <v>광운간 31R8R8</v>
      </c>
      <c r="I16867" s="1" t="s">
        <v>15</v>
      </c>
      <c r="J16867" s="1" t="str">
        <f>"88/90"</f>
        <v>88/90</v>
      </c>
      <c r="K16867" s="1" t="str">
        <f>"2026-07-29 14:20:02"</f>
        <v>2026-07-29 14:20:02</v>
      </c>
      <c r="L16867" s="1" t="str">
        <f>"2022-09-01 13:32:37"</f>
        <v>2022-09-01 13:32:37</v>
      </c>
      <c r="M16867" s="1" t="s">
        <v>42</v>
      </c>
      <c r="N16867" s="1" t="s">
        <v>38</v>
      </c>
      <c r="O16867" s="1" t="s">
        <v>46</v>
      </c>
    </row>
    <row r="16868" spans="2:15" x14ac:dyDescent="0.3">
      <c r="B16868" s="1" t="s">
        <v>19</v>
      </c>
      <c r="C16868" s="1" t="str">
        <f>"3차"</f>
        <v>3차</v>
      </c>
      <c r="D16868" s="1" t="str">
        <f>"0230R06139"</f>
        <v>0230R06139</v>
      </c>
      <c r="E16868" s="1" t="s">
        <v>10</v>
      </c>
      <c r="F16868" s="1" t="str">
        <f>"10.107.253.197"</f>
        <v>10.107.253.197</v>
      </c>
      <c r="G16868" s="1" t="str">
        <f>"0230R061"</f>
        <v>0230R061</v>
      </c>
      <c r="H16868" s="1" t="str">
        <f>"장수간 45R6"</f>
        <v>장수간 45R6</v>
      </c>
      <c r="I16868" s="1" t="s">
        <v>8</v>
      </c>
      <c r="J16868" s="1" t="str">
        <f>"46/46"</f>
        <v>46/46</v>
      </c>
      <c r="K16868" s="1" t="str">
        <f>"2026-07-29 13:18:03"</f>
        <v>2026-07-29 13:18:03</v>
      </c>
      <c r="L16868" s="1" t="str">
        <f>"2018-06-05 14:36:18"</f>
        <v>2018-06-05 14:36:18</v>
      </c>
      <c r="M16868" s="1" t="s">
        <v>45</v>
      </c>
      <c r="N16868" s="1" t="s">
        <v>38</v>
      </c>
      <c r="O16868" s="1" t="s">
        <v>46</v>
      </c>
    </row>
    <row r="16869" spans="2:15" x14ac:dyDescent="0.3">
      <c r="B16869" s="1" t="s">
        <v>19</v>
      </c>
      <c r="C16869" s="1" t="str">
        <f>"3차"</f>
        <v>3차</v>
      </c>
      <c r="D16869" s="1" t="str">
        <f>"0230R06239"</f>
        <v>0230R06239</v>
      </c>
      <c r="E16869" s="1" t="s">
        <v>10</v>
      </c>
      <c r="F16869" s="1" t="str">
        <f>"10.107.253.199"</f>
        <v>10.107.253.199</v>
      </c>
      <c r="G16869" s="1" t="str">
        <f>"0230R062"</f>
        <v>0230R062</v>
      </c>
      <c r="H16869" s="1" t="str">
        <f>"장수간 43H1R4"</f>
        <v>장수간 43H1R4</v>
      </c>
      <c r="I16869" s="1" t="s">
        <v>8</v>
      </c>
      <c r="J16869" s="1" t="str">
        <f>"63/63"</f>
        <v>63/63</v>
      </c>
      <c r="K16869" s="1" t="str">
        <f>"2026-07-29 13:18:03"</f>
        <v>2026-07-29 13:18:03</v>
      </c>
      <c r="L16869" s="1" t="str">
        <f>"2018-06-05 14:35:13"</f>
        <v>2018-06-05 14:35:13</v>
      </c>
      <c r="M16869" s="1" t="s">
        <v>45</v>
      </c>
      <c r="N16869" s="1" t="s">
        <v>38</v>
      </c>
      <c r="O16869" s="1" t="s">
        <v>46</v>
      </c>
    </row>
    <row r="16870" spans="2:15" x14ac:dyDescent="0.3">
      <c r="B16870" s="1" t="s">
        <v>19</v>
      </c>
      <c r="C16870" s="1" t="str">
        <f>"4차"</f>
        <v>4차</v>
      </c>
      <c r="D16870" s="1" t="str">
        <f>"0230R07139"</f>
        <v>0230R07139</v>
      </c>
      <c r="E16870" s="1" t="s">
        <v>10</v>
      </c>
      <c r="F16870" s="1" t="str">
        <f>"10.107.253.195"</f>
        <v>10.107.253.195</v>
      </c>
      <c r="G16870" s="1" t="str">
        <f>"0230R071"</f>
        <v>0230R071</v>
      </c>
      <c r="H16870" s="1" t="str">
        <f>"장수간 87R1"</f>
        <v>장수간 87R1</v>
      </c>
      <c r="I16870" s="1" t="s">
        <v>8</v>
      </c>
      <c r="J16870" s="1" t="str">
        <f>"41/41"</f>
        <v>41/41</v>
      </c>
      <c r="K16870" s="1" t="str">
        <f>"2026-07-29 13:18:03"</f>
        <v>2026-07-29 13:18:03</v>
      </c>
      <c r="L16870" s="1" t="str">
        <f>"2018-04-09 17:21:59"</f>
        <v>2018-04-09 17:21:59</v>
      </c>
      <c r="M16870" s="1" t="s">
        <v>45</v>
      </c>
      <c r="N16870" s="1" t="s">
        <v>38</v>
      </c>
      <c r="O16870" s="1" t="s">
        <v>46</v>
      </c>
    </row>
    <row r="16871" spans="2:15" x14ac:dyDescent="0.3">
      <c r="B16871" s="1" t="s">
        <v>19</v>
      </c>
      <c r="C16871" s="1" t="str">
        <f>"3차"</f>
        <v>3차</v>
      </c>
      <c r="D16871" s="1" t="str">
        <f>"0230R17139"</f>
        <v>0230R17139</v>
      </c>
      <c r="E16871" s="1" t="s">
        <v>10</v>
      </c>
      <c r="F16871" s="1" t="str">
        <f>"10.107.252.66"</f>
        <v>10.107.252.66</v>
      </c>
      <c r="G16871" s="1" t="str">
        <f>"0230R171"</f>
        <v>0230R171</v>
      </c>
      <c r="H16871" s="1" t="str">
        <f>"장수간 87"</f>
        <v>장수간 87</v>
      </c>
      <c r="I16871" s="1" t="s">
        <v>8</v>
      </c>
      <c r="J16871" s="1" t="str">
        <f>"55/55"</f>
        <v>55/55</v>
      </c>
      <c r="K16871" s="1" t="str">
        <f>"2026-07-29 13:18:03"</f>
        <v>2026-07-29 13:18:03</v>
      </c>
      <c r="L16871" s="1" t="str">
        <f>"2018-06-16 17:35:16"</f>
        <v>2018-06-16 17:35:16</v>
      </c>
      <c r="M16871" s="1" t="s">
        <v>45</v>
      </c>
      <c r="N16871" s="1" t="s">
        <v>38</v>
      </c>
      <c r="O16871" s="1" t="s">
        <v>46</v>
      </c>
    </row>
    <row r="16872" spans="2:15" x14ac:dyDescent="0.3">
      <c r="B16872" s="1" t="s">
        <v>19</v>
      </c>
      <c r="C16872" s="1" t="str">
        <f>"4차"</f>
        <v>4차</v>
      </c>
      <c r="D16872" s="1" t="str">
        <f>"0230R22645"</f>
        <v>0230R22645</v>
      </c>
      <c r="E16872" s="1" t="s">
        <v>10</v>
      </c>
      <c r="F16872" s="1" t="str">
        <f>"10.14.6.62"</f>
        <v>10.14.6.62</v>
      </c>
      <c r="G16872" s="1" t="str">
        <f>"0230R226"</f>
        <v>0230R226</v>
      </c>
      <c r="H16872" s="1" t="str">
        <f>"우천지 54H1L1"</f>
        <v>우천지 54H1L1</v>
      </c>
      <c r="I16872" s="1" t="s">
        <v>17</v>
      </c>
      <c r="J16872" s="1" t="str">
        <f>"43/44"</f>
        <v>43/44</v>
      </c>
      <c r="K16872" s="1" t="str">
        <f>"2026-07-29 13:18:01"</f>
        <v>2026-07-29 13:18:01</v>
      </c>
      <c r="L16872" s="1" t="str">
        <f>"2021-06-28 13:28:04"</f>
        <v>2021-06-28 13:28:04</v>
      </c>
      <c r="M16872" s="1" t="s">
        <v>3</v>
      </c>
      <c r="N16872" s="1" t="s">
        <v>38</v>
      </c>
      <c r="O16872" s="1" t="s">
        <v>46</v>
      </c>
    </row>
    <row r="16873" spans="2:15" x14ac:dyDescent="0.3">
      <c r="B16873" s="1" t="s">
        <v>19</v>
      </c>
      <c r="C16873" s="1" t="str">
        <f>"5-2차"</f>
        <v>5-2차</v>
      </c>
      <c r="D16873" s="1" t="str">
        <f>"0328A2125M"</f>
        <v>0328A2125M</v>
      </c>
      <c r="E16873" s="1" t="s">
        <v>10</v>
      </c>
      <c r="F16873" s="1" t="str">
        <f>"fde1:103:4:915b:0:0:0:2"</f>
        <v>fde1:103:4:915b:0:0:0:2</v>
      </c>
      <c r="G16873" s="1" t="str">
        <f>"0328A212"</f>
        <v>0328A212</v>
      </c>
      <c r="H16873" s="1" t="str">
        <f>"석관간 36H1"</f>
        <v>석관간 36H1</v>
      </c>
      <c r="I16873" s="1" t="s">
        <v>15</v>
      </c>
      <c r="J16873" s="1" t="str">
        <f>"23/23"</f>
        <v>23/23</v>
      </c>
      <c r="K16873" s="1" t="str">
        <f>"2026-07-29 14:20:40"</f>
        <v>2026-07-29 14:20:40</v>
      </c>
      <c r="L16873" s="1" t="str">
        <f>"2023-12-21 09:45:37"</f>
        <v>2023-12-21 09:45:37</v>
      </c>
      <c r="M16873" s="1" t="s">
        <v>4</v>
      </c>
      <c r="N16873" s="1" t="s">
        <v>38</v>
      </c>
      <c r="O16873" s="1" t="s">
        <v>46</v>
      </c>
    </row>
    <row r="16874" spans="2:15" x14ac:dyDescent="0.3">
      <c r="B16874" s="1" t="s">
        <v>19</v>
      </c>
      <c r="C16874" s="1" t="str">
        <f>"5-2차"</f>
        <v>5-2차</v>
      </c>
      <c r="D16874" s="1" t="str">
        <f>"0328A3515M"</f>
        <v>0328A3515M</v>
      </c>
      <c r="E16874" s="1" t="s">
        <v>10</v>
      </c>
      <c r="F16874" s="1" t="str">
        <f>"fde1:103:4:9159:0:0:0:2"</f>
        <v>fde1:103:4:9159:0:0:0:2</v>
      </c>
      <c r="G16874" s="1" t="str">
        <f>"0328A351"</f>
        <v>0328A351</v>
      </c>
      <c r="H16874" s="1" t="str">
        <f>"광운간 20L18R4"</f>
        <v>광운간 20L18R4</v>
      </c>
      <c r="I16874" s="1" t="s">
        <v>15</v>
      </c>
      <c r="J16874" s="1" t="str">
        <f>"24/24"</f>
        <v>24/24</v>
      </c>
      <c r="K16874" s="1" t="str">
        <f>"2026-07-29 14:20:15"</f>
        <v>2026-07-29 14:20:15</v>
      </c>
      <c r="L16874" s="1" t="str">
        <f>"2023-12-21 09:46:02"</f>
        <v>2023-12-21 09:46:02</v>
      </c>
      <c r="M16874" s="1" t="s">
        <v>4</v>
      </c>
      <c r="N16874" s="1" t="s">
        <v>38</v>
      </c>
      <c r="O16874" s="1" t="s">
        <v>46</v>
      </c>
    </row>
    <row r="16875" spans="2:15" x14ac:dyDescent="0.3">
      <c r="B16875" s="1" t="s">
        <v>19</v>
      </c>
      <c r="C16875" s="1" t="str">
        <f>"4차"</f>
        <v>4차</v>
      </c>
      <c r="D16875" s="1" t="str">
        <f>"0328A41244"</f>
        <v>0328A41244</v>
      </c>
      <c r="E16875" s="1" t="s">
        <v>10</v>
      </c>
      <c r="F16875" s="1" t="str">
        <f>"10.107.10.36"</f>
        <v>10.107.10.36</v>
      </c>
      <c r="G16875" s="1" t="str">
        <f>"0328A412"</f>
        <v>0328A412</v>
      </c>
      <c r="H16875" s="1" t="str">
        <f>"석관간 35L4"</f>
        <v>석관간 35L4</v>
      </c>
      <c r="I16875" s="1" t="s">
        <v>8</v>
      </c>
      <c r="J16875" s="1" t="str">
        <f>"37/40"</f>
        <v>37/40</v>
      </c>
      <c r="K16875" s="1" t="str">
        <f>"2026-07-29 13:18:02"</f>
        <v>2026-07-29 13:18:02</v>
      </c>
      <c r="L16875" s="1" t="str">
        <f>"2019-10-18 14:56:33"</f>
        <v>2019-10-18 14:56:33</v>
      </c>
      <c r="M16875" s="1" t="s">
        <v>45</v>
      </c>
      <c r="N16875" s="1" t="s">
        <v>38</v>
      </c>
      <c r="O16875" s="1" t="s">
        <v>46</v>
      </c>
    </row>
    <row r="16876" spans="2:15" x14ac:dyDescent="0.3">
      <c r="B16876" s="1" t="s">
        <v>19</v>
      </c>
      <c r="C16876" s="1" t="str">
        <f>"4차"</f>
        <v>4차</v>
      </c>
      <c r="D16876" s="1" t="str">
        <f>"0328A41344"</f>
        <v>0328A41344</v>
      </c>
      <c r="E16876" s="1" t="s">
        <v>10</v>
      </c>
      <c r="F16876" s="1" t="str">
        <f>"10.107.10.37"</f>
        <v>10.107.10.37</v>
      </c>
      <c r="G16876" s="1" t="str">
        <f>"0328A413"</f>
        <v>0328A413</v>
      </c>
      <c r="H16876" s="1" t="str">
        <f>"석관간 35L5"</f>
        <v>석관간 35L5</v>
      </c>
      <c r="I16876" s="1" t="s">
        <v>8</v>
      </c>
      <c r="J16876" s="1" t="str">
        <f>"30/33"</f>
        <v>30/33</v>
      </c>
      <c r="K16876" s="1" t="str">
        <f>"2026-07-29 13:18:02"</f>
        <v>2026-07-29 13:18:02</v>
      </c>
      <c r="L16876" s="1" t="str">
        <f>"2019-11-01 16:04:04"</f>
        <v>2019-11-01 16:04:04</v>
      </c>
      <c r="M16876" s="1" t="s">
        <v>45</v>
      </c>
      <c r="N16876" s="1" t="s">
        <v>38</v>
      </c>
      <c r="O16876" s="1" t="s">
        <v>46</v>
      </c>
    </row>
    <row r="16877" spans="2:15" x14ac:dyDescent="0.3">
      <c r="B16877" s="1" t="s">
        <v>19</v>
      </c>
      <c r="C16877" s="1" t="str">
        <f>"5-2차"</f>
        <v>5-2차</v>
      </c>
      <c r="D16877" s="1" t="str">
        <f>"0328A5025M"</f>
        <v>0328A5025M</v>
      </c>
      <c r="E16877" s="1" t="s">
        <v>10</v>
      </c>
      <c r="F16877" s="1" t="str">
        <f>"fde1:103:4:9175:0:0:0:2"</f>
        <v>fde1:103:4:9175:0:0:0:2</v>
      </c>
      <c r="G16877" s="1" t="str">
        <f>"0328A502"</f>
        <v>0328A502</v>
      </c>
      <c r="H16877" s="1" t="str">
        <f>"석관간 23L4"</f>
        <v>석관간 23L4</v>
      </c>
      <c r="I16877" s="1" t="s">
        <v>15</v>
      </c>
      <c r="J16877" s="1" t="str">
        <f>"109/109"</f>
        <v>109/109</v>
      </c>
      <c r="K16877" s="1" t="str">
        <f>"2026-07-29 14:20:56"</f>
        <v>2026-07-29 14:20:56</v>
      </c>
      <c r="L16877" s="1" t="str">
        <f>"2023-12-21 10:03:33"</f>
        <v>2023-12-21 10:03:33</v>
      </c>
      <c r="M16877" s="1" t="s">
        <v>4</v>
      </c>
      <c r="N16877" s="1" t="s">
        <v>38</v>
      </c>
      <c r="O16877" s="1" t="s">
        <v>46</v>
      </c>
    </row>
    <row r="16878" spans="2:15" x14ac:dyDescent="0.3">
      <c r="B16878" s="1" t="s">
        <v>19</v>
      </c>
      <c r="C16878" s="1" t="str">
        <f>"4차"</f>
        <v>4차</v>
      </c>
      <c r="D16878" s="1" t="str">
        <f>"0328A51144"</f>
        <v>0328A51144</v>
      </c>
      <c r="E16878" s="1" t="s">
        <v>10</v>
      </c>
      <c r="F16878" s="1" t="str">
        <f>"10.107.10.38"</f>
        <v>10.107.10.38</v>
      </c>
      <c r="G16878" s="1" t="str">
        <f>"0328A511"</f>
        <v>0328A511</v>
      </c>
      <c r="H16878" s="1" t="str">
        <f>"석관간 35L6"</f>
        <v>석관간 35L6</v>
      </c>
      <c r="I16878" s="1" t="s">
        <v>8</v>
      </c>
      <c r="J16878" s="1" t="str">
        <f>"106/118"</f>
        <v>106/118</v>
      </c>
      <c r="K16878" s="1" t="str">
        <f>"2026-07-29 13:18:02"</f>
        <v>2026-07-29 13:18:02</v>
      </c>
      <c r="L16878" s="1" t="str">
        <f>"2019-11-12 01:01:28"</f>
        <v>2019-11-12 01:01:28</v>
      </c>
      <c r="M16878" s="1" t="s">
        <v>45</v>
      </c>
      <c r="N16878" s="1" t="s">
        <v>38</v>
      </c>
      <c r="O16878" s="1" t="s">
        <v>46</v>
      </c>
    </row>
    <row r="16879" spans="2:15" x14ac:dyDescent="0.3">
      <c r="B16879" s="1" t="s">
        <v>19</v>
      </c>
      <c r="C16879" s="1" t="str">
        <f>"4차"</f>
        <v>4차</v>
      </c>
      <c r="D16879" s="1" t="str">
        <f>"0328A62242"</f>
        <v>0328A62242</v>
      </c>
      <c r="E16879" s="1" t="s">
        <v>10</v>
      </c>
      <c r="F16879" s="1" t="str">
        <f>"10.107.4.117"</f>
        <v>10.107.4.117</v>
      </c>
      <c r="G16879" s="1" t="str">
        <f>"0328A622"</f>
        <v>0328A622</v>
      </c>
      <c r="H16879" s="1" t="str">
        <f>"석관간 26L1"</f>
        <v>석관간 26L1</v>
      </c>
      <c r="I16879" s="1" t="s">
        <v>8</v>
      </c>
      <c r="J16879" s="1" t="str">
        <f>"62/63"</f>
        <v>62/63</v>
      </c>
      <c r="K16879" s="1" t="str">
        <f>"2026-07-29 13:18:02"</f>
        <v>2026-07-29 13:18:02</v>
      </c>
      <c r="L16879" s="1" t="str">
        <f>"2024-12-20 11:11:37"</f>
        <v>2024-12-20 11:11:37</v>
      </c>
      <c r="M16879" s="1" t="s">
        <v>45</v>
      </c>
      <c r="N16879" s="1" t="s">
        <v>38</v>
      </c>
      <c r="O16879" s="1" t="s">
        <v>46</v>
      </c>
    </row>
    <row r="16880" spans="2:15" x14ac:dyDescent="0.3">
      <c r="B16880" s="1" t="s">
        <v>19</v>
      </c>
      <c r="C16880" s="1" t="str">
        <f>"4차"</f>
        <v>4차</v>
      </c>
      <c r="D16880" s="1" t="str">
        <f>"0328A62342"</f>
        <v>0328A62342</v>
      </c>
      <c r="E16880" s="1" t="s">
        <v>10</v>
      </c>
      <c r="F16880" s="1" t="str">
        <f>"10.12.132.199"</f>
        <v>10.12.132.199</v>
      </c>
      <c r="G16880" s="1" t="str">
        <f>"0328A623"</f>
        <v>0328A623</v>
      </c>
      <c r="H16880" s="1" t="str">
        <f>"석관간 26L2"</f>
        <v>석관간 26L2</v>
      </c>
      <c r="I16880" s="1" t="s">
        <v>8</v>
      </c>
      <c r="J16880" s="1" t="str">
        <f>"87/89"</f>
        <v>87/89</v>
      </c>
      <c r="K16880" s="1" t="str">
        <f>"2026-07-29 13:18:03"</f>
        <v>2026-07-29 13:18:03</v>
      </c>
      <c r="L16880" s="1" t="str">
        <f>"2024-12-19 09:55:20"</f>
        <v>2024-12-19 09:55:20</v>
      </c>
      <c r="M16880" s="1" t="s">
        <v>0</v>
      </c>
      <c r="N16880" s="1" t="s">
        <v>38</v>
      </c>
      <c r="O16880" s="1" t="s">
        <v>46</v>
      </c>
    </row>
    <row r="16881" spans="2:15" x14ac:dyDescent="0.3">
      <c r="B16881" s="1" t="s">
        <v>19</v>
      </c>
      <c r="C16881" s="1" t="str">
        <f>"6차"</f>
        <v>6차</v>
      </c>
      <c r="D16881" s="1" t="str">
        <f>"0328A7016S"</f>
        <v>0328A7016S</v>
      </c>
      <c r="E16881" s="1" t="s">
        <v>10</v>
      </c>
      <c r="F16881" s="1" t="str">
        <f>"fde1:103:4:9427:0:0:0:2"</f>
        <v>fde1:103:4:9427:0:0:0:2</v>
      </c>
      <c r="G16881" s="1" t="str">
        <f>"0328A701"</f>
        <v>0328A701</v>
      </c>
      <c r="H16881" s="1" t="str">
        <f>"석관간 23L2"</f>
        <v>석관간 23L2</v>
      </c>
      <c r="I16881" s="1" t="s">
        <v>15</v>
      </c>
      <c r="J16881" s="1" t="str">
        <f>"39/39"</f>
        <v>39/39</v>
      </c>
      <c r="K16881" s="1" t="str">
        <f>"2026-07-29 14:20:39"</f>
        <v>2026-07-29 14:20:39</v>
      </c>
      <c r="L16881" s="1" t="str">
        <f>"2025-02-24 13:18:56"</f>
        <v>2025-02-24 13:18:56</v>
      </c>
      <c r="M16881" s="1" t="s">
        <v>4</v>
      </c>
      <c r="N16881" s="1" t="s">
        <v>38</v>
      </c>
      <c r="O16881" s="1" t="s">
        <v>46</v>
      </c>
    </row>
    <row r="16882" spans="2:15" x14ac:dyDescent="0.3">
      <c r="B16882" s="1" t="s">
        <v>19</v>
      </c>
      <c r="C16882" s="1" t="str">
        <f>"5-2차"</f>
        <v>5-2차</v>
      </c>
      <c r="D16882" s="1" t="str">
        <f>"0328A7315M"</f>
        <v>0328A7315M</v>
      </c>
      <c r="E16882" s="1" t="s">
        <v>10</v>
      </c>
      <c r="F16882" s="1" t="str">
        <f>"fde1:103:4:9173:0:0:0:2"</f>
        <v>fde1:103:4:9173:0:0:0:2</v>
      </c>
      <c r="G16882" s="1" t="str">
        <f>"0328A731"</f>
        <v>0328A731</v>
      </c>
      <c r="H16882" s="1" t="str">
        <f>"석계간 24"</f>
        <v>석계간 24</v>
      </c>
      <c r="I16882" s="1" t="s">
        <v>15</v>
      </c>
      <c r="J16882" s="1" t="str">
        <f>"113/113"</f>
        <v>113/113</v>
      </c>
      <c r="K16882" s="1" t="str">
        <f>"2026-07-29 08:21:05"</f>
        <v>2026-07-29 08:21:05</v>
      </c>
      <c r="L16882" s="1" t="str">
        <f>"2023-12-21 10:04:27"</f>
        <v>2023-12-21 10:04:27</v>
      </c>
      <c r="M16882" s="1" t="s">
        <v>4</v>
      </c>
      <c r="N16882" s="1" t="s">
        <v>38</v>
      </c>
      <c r="O16882" s="1" t="s">
        <v>46</v>
      </c>
    </row>
    <row r="16883" spans="2:15" x14ac:dyDescent="0.3">
      <c r="B16883" s="1" t="s">
        <v>19</v>
      </c>
      <c r="C16883" s="1" t="str">
        <f>"1차"</f>
        <v>1차</v>
      </c>
      <c r="D16883" s="1" t="str">
        <f>"0328A74200"</f>
        <v>0328A74200</v>
      </c>
      <c r="E16883" s="1" t="s">
        <v>10</v>
      </c>
      <c r="F16883" s="1" t="str">
        <f>"10.107.122.233"</f>
        <v>10.107.122.233</v>
      </c>
      <c r="G16883" s="1" t="str">
        <f>"0328A742"</f>
        <v>0328A742</v>
      </c>
      <c r="H16883" s="1" t="str">
        <f>"석계간 29R2"</f>
        <v>석계간 29R2</v>
      </c>
      <c r="I16883" s="1" t="s">
        <v>8</v>
      </c>
      <c r="J16883" s="1" t="str">
        <f>"107/107"</f>
        <v>107/107</v>
      </c>
      <c r="K16883" s="1" t="str">
        <f>"2026-07-29 13:18:02"</f>
        <v>2026-07-29 13:18:02</v>
      </c>
      <c r="L16883" s="1" t="str">
        <f>"2014-11-18 11:12:07"</f>
        <v>2014-11-18 11:12:07</v>
      </c>
      <c r="M16883" s="1" t="s">
        <v>45</v>
      </c>
      <c r="N16883" s="1" t="s">
        <v>38</v>
      </c>
      <c r="O16883" s="1" t="s">
        <v>46</v>
      </c>
    </row>
    <row r="16884" spans="2:15" x14ac:dyDescent="0.3">
      <c r="B16884" s="1" t="s">
        <v>19</v>
      </c>
      <c r="C16884" s="1" t="str">
        <f>"1차"</f>
        <v>1차</v>
      </c>
      <c r="D16884" s="1" t="str">
        <f>"0328A80300"</f>
        <v>0328A80300</v>
      </c>
      <c r="E16884" s="1" t="s">
        <v>10</v>
      </c>
      <c r="F16884" s="1" t="str">
        <f>"10.107.4.123"</f>
        <v>10.107.4.123</v>
      </c>
      <c r="G16884" s="1" t="str">
        <f>"0328A803"</f>
        <v>0328A803</v>
      </c>
      <c r="H16884" s="1" t="str">
        <f>"석관간 13L16R11"</f>
        <v>석관간 13L16R11</v>
      </c>
      <c r="I16884" s="1" t="s">
        <v>8</v>
      </c>
      <c r="J16884" s="1" t="str">
        <f>"19/19"</f>
        <v>19/19</v>
      </c>
      <c r="K16884" s="1" t="str">
        <f>"2026-07-29 13:18:02"</f>
        <v>2026-07-29 13:18:02</v>
      </c>
      <c r="L16884" s="1" t="str">
        <f>"2014-11-20 17:05:42"</f>
        <v>2014-11-20 17:05:42</v>
      </c>
      <c r="M16884" s="1" t="s">
        <v>45</v>
      </c>
      <c r="N16884" s="1" t="s">
        <v>38</v>
      </c>
      <c r="O16884" s="1" t="s">
        <v>46</v>
      </c>
    </row>
    <row r="16885" spans="2:15" x14ac:dyDescent="0.3">
      <c r="B16885" s="1" t="s">
        <v>19</v>
      </c>
      <c r="C16885" s="1" t="str">
        <f>"5-2차"</f>
        <v>5-2차</v>
      </c>
      <c r="D16885" s="1" t="str">
        <f>"0328A8135M"</f>
        <v>0328A8135M</v>
      </c>
      <c r="E16885" s="1" t="s">
        <v>10</v>
      </c>
      <c r="F16885" s="1" t="str">
        <f>"fde1:103:4:916a:0:0:0:2"</f>
        <v>fde1:103:4:916a:0:0:0:2</v>
      </c>
      <c r="G16885" s="1" t="str">
        <f>"0328A813"</f>
        <v>0328A813</v>
      </c>
      <c r="H16885" s="1" t="str">
        <f>"석계간 21R1"</f>
        <v>석계간 21R1</v>
      </c>
      <c r="I16885" s="1" t="s">
        <v>15</v>
      </c>
      <c r="J16885" s="1" t="str">
        <f>"154/154"</f>
        <v>154/154</v>
      </c>
      <c r="K16885" s="1" t="str">
        <f>"2026-07-29 14:21:14"</f>
        <v>2026-07-29 14:21:14</v>
      </c>
      <c r="L16885" s="1" t="str">
        <f>"2023-12-21 10:04:54"</f>
        <v>2023-12-21 10:04:54</v>
      </c>
      <c r="M16885" s="1" t="s">
        <v>4</v>
      </c>
      <c r="N16885" s="1" t="s">
        <v>38</v>
      </c>
      <c r="O16885" s="1" t="s">
        <v>46</v>
      </c>
    </row>
    <row r="16886" spans="2:15" x14ac:dyDescent="0.3">
      <c r="B16886" s="1" t="s">
        <v>19</v>
      </c>
      <c r="C16886" s="1" t="str">
        <f>"4차"</f>
        <v>4차</v>
      </c>
      <c r="D16886" s="1" t="str">
        <f>"0328A83141"</f>
        <v>0328A83141</v>
      </c>
      <c r="E16886" s="1" t="s">
        <v>10</v>
      </c>
      <c r="F16886" s="1" t="str">
        <f>"10.12.134.81"</f>
        <v>10.12.134.81</v>
      </c>
      <c r="G16886" s="1" t="str">
        <f>"0328A831"</f>
        <v>0328A831</v>
      </c>
      <c r="H16886" s="1" t="str">
        <f>"석계간 38R1R12"</f>
        <v>석계간 38R1R12</v>
      </c>
      <c r="I16886" s="1" t="s">
        <v>17</v>
      </c>
      <c r="J16886" s="1" t="str">
        <f>"43/43"</f>
        <v>43/43</v>
      </c>
      <c r="K16886" s="1" t="str">
        <f>"2026-07-29 13:18:02"</f>
        <v>2026-07-29 13:18:02</v>
      </c>
      <c r="L16886" s="1" t="str">
        <f>"2021-10-08 09:13:21"</f>
        <v>2021-10-08 09:13:21</v>
      </c>
      <c r="M16886" s="1" t="s">
        <v>0</v>
      </c>
      <c r="N16886" s="1" t="s">
        <v>38</v>
      </c>
      <c r="O16886" s="1" t="s">
        <v>46</v>
      </c>
    </row>
    <row r="16887" spans="2:15" x14ac:dyDescent="0.3">
      <c r="B16887" s="1" t="s">
        <v>19</v>
      </c>
      <c r="C16887" s="1" t="str">
        <f>"4차"</f>
        <v>4차</v>
      </c>
      <c r="D16887" s="1" t="str">
        <f>"0328A91341"</f>
        <v>0328A91341</v>
      </c>
      <c r="E16887" s="1" t="s">
        <v>10</v>
      </c>
      <c r="F16887" s="1" t="str">
        <f>"10.14.6.24"</f>
        <v>10.14.6.24</v>
      </c>
      <c r="G16887" s="1" t="str">
        <f>"0328A913"</f>
        <v>0328A913</v>
      </c>
      <c r="H16887" s="1" t="str">
        <f>"석계간 38R1R1L8"</f>
        <v>석계간 38R1R1L8</v>
      </c>
      <c r="I16887" s="1" t="s">
        <v>17</v>
      </c>
      <c r="J16887" s="1" t="str">
        <f>"9/9"</f>
        <v>9/9</v>
      </c>
      <c r="K16887" s="1" t="str">
        <f>"2026-07-29 13:18:04"</f>
        <v>2026-07-29 13:18:04</v>
      </c>
      <c r="L16887" s="1" t="str">
        <f>"2021-10-08 08:27:52"</f>
        <v>2021-10-08 08:27:52</v>
      </c>
      <c r="M16887" s="1" t="s">
        <v>3</v>
      </c>
      <c r="N16887" s="1" t="s">
        <v>38</v>
      </c>
      <c r="O16887" s="1" t="s">
        <v>46</v>
      </c>
    </row>
    <row r="16888" spans="2:15" x14ac:dyDescent="0.3">
      <c r="B16888" s="1" t="s">
        <v>19</v>
      </c>
      <c r="C16888" s="1" t="str">
        <f>"6차"</f>
        <v>6차</v>
      </c>
      <c r="D16888" s="1" t="str">
        <f>"0328A9446S"</f>
        <v>0328A9446S</v>
      </c>
      <c r="E16888" s="1" t="s">
        <v>10</v>
      </c>
      <c r="F16888" s="1" t="str">
        <f>"fde3:102:1410:9600:0:0:0:6"</f>
        <v>fde3:102:1410:9600:0:0:0:6</v>
      </c>
      <c r="G16888" s="1" t="str">
        <f>"0328A944"</f>
        <v>0328A944</v>
      </c>
      <c r="H16888" s="1" t="str">
        <f>"석계간 38R1R8R1"</f>
        <v>석계간 38R1R8R1</v>
      </c>
      <c r="I16888" s="1" t="s">
        <v>15</v>
      </c>
      <c r="J16888" s="1" t="str">
        <f>"80/80"</f>
        <v>80/80</v>
      </c>
      <c r="K16888" s="1" t="str">
        <f>"2026-07-28 14:20:37"</f>
        <v>2026-07-28 14:20:37</v>
      </c>
      <c r="L16888" s="1" t="str">
        <f>"2024-11-26 14:50:32"</f>
        <v>2024-11-26 14:50:32</v>
      </c>
      <c r="M16888" s="1" t="s">
        <v>45</v>
      </c>
      <c r="N16888" s="1" t="s">
        <v>38</v>
      </c>
      <c r="O16888" s="1" t="s">
        <v>46</v>
      </c>
    </row>
    <row r="16889" spans="2:15" x14ac:dyDescent="0.3">
      <c r="B16889" s="1" t="s">
        <v>19</v>
      </c>
      <c r="C16889" s="1" t="str">
        <f>"5-2차"</f>
        <v>5-2차</v>
      </c>
      <c r="D16889" s="1" t="str">
        <f>"0328B0015M"</f>
        <v>0328B0015M</v>
      </c>
      <c r="E16889" s="1" t="s">
        <v>10</v>
      </c>
      <c r="F16889" s="1" t="str">
        <f>"fde1:103:4:916c:0:0:0:2"</f>
        <v>fde1:103:4:916c:0:0:0:2</v>
      </c>
      <c r="G16889" s="1" t="str">
        <f>"0328B001"</f>
        <v>0328B001</v>
      </c>
      <c r="H16889" s="1" t="str">
        <f>"석계간 19R2"</f>
        <v>석계간 19R2</v>
      </c>
      <c r="I16889" s="1" t="s">
        <v>15</v>
      </c>
      <c r="J16889" s="1" t="str">
        <f>"20/21"</f>
        <v>20/21</v>
      </c>
      <c r="K16889" s="1" t="str">
        <f>"2026-07-29 14:20:40"</f>
        <v>2026-07-29 14:20:40</v>
      </c>
      <c r="L16889" s="1" t="str">
        <f>"2023-12-21 10:05:33"</f>
        <v>2023-12-21 10:05:33</v>
      </c>
      <c r="M16889" s="1" t="s">
        <v>4</v>
      </c>
      <c r="N16889" s="1" t="s">
        <v>38</v>
      </c>
      <c r="O16889" s="1" t="s">
        <v>46</v>
      </c>
    </row>
    <row r="16890" spans="2:15" x14ac:dyDescent="0.3">
      <c r="B16890" s="1" t="s">
        <v>19</v>
      </c>
      <c r="C16890" s="1" t="str">
        <f>"5-2차"</f>
        <v>5-2차</v>
      </c>
      <c r="D16890" s="1" t="str">
        <f>"0328B0215M"</f>
        <v>0328B0215M</v>
      </c>
      <c r="E16890" s="1" t="s">
        <v>10</v>
      </c>
      <c r="F16890" s="1" t="str">
        <f>"fde3:102:1410:9600:0:0:0:4"</f>
        <v>fde3:102:1410:9600:0:0:0:4</v>
      </c>
      <c r="G16890" s="1" t="str">
        <f>"0328B021"</f>
        <v>0328B021</v>
      </c>
      <c r="H16890" s="1" t="str">
        <f>"석계간 38R1R1L6"</f>
        <v>석계간 38R1R1L6</v>
      </c>
      <c r="I16890" s="1" t="s">
        <v>15</v>
      </c>
      <c r="J16890" s="1" t="str">
        <f>"63/63"</f>
        <v>63/63</v>
      </c>
      <c r="K16890" s="1" t="str">
        <f>"2026-07-29 14:20:55"</f>
        <v>2026-07-29 14:20:55</v>
      </c>
      <c r="L16890" s="1" t="str">
        <f>"2024-01-08 15:16:40"</f>
        <v>2024-01-08 15:16:40</v>
      </c>
      <c r="M16890" s="1" t="s">
        <v>45</v>
      </c>
      <c r="N16890" s="1" t="s">
        <v>38</v>
      </c>
      <c r="O16890" s="1" t="s">
        <v>46</v>
      </c>
    </row>
    <row r="16891" spans="2:15" x14ac:dyDescent="0.3">
      <c r="B16891" s="1" t="s">
        <v>19</v>
      </c>
      <c r="C16891" s="1" t="str">
        <f>"5-2차"</f>
        <v>5-2차</v>
      </c>
      <c r="D16891" s="1" t="str">
        <f>"0328B0325M"</f>
        <v>0328B0325M</v>
      </c>
      <c r="E16891" s="1" t="s">
        <v>10</v>
      </c>
      <c r="F16891" s="1" t="str">
        <f>"fde3:102:1410:9600:0:0:0:2"</f>
        <v>fde3:102:1410:9600:0:0:0:2</v>
      </c>
      <c r="G16891" s="1" t="str">
        <f>"0328B032"</f>
        <v>0328B032</v>
      </c>
      <c r="H16891" s="1" t="str">
        <f>"석계간 38R1R10"</f>
        <v>석계간 38R1R10</v>
      </c>
      <c r="I16891" s="1" t="s">
        <v>15</v>
      </c>
      <c r="J16891" s="1" t="str">
        <f>"77/77"</f>
        <v>77/77</v>
      </c>
      <c r="K16891" s="1" t="str">
        <f>"2026-07-29 14:20:58"</f>
        <v>2026-07-29 14:20:58</v>
      </c>
      <c r="L16891" s="1" t="str">
        <f>"2024-01-08 15:15:04"</f>
        <v>2024-01-08 15:15:04</v>
      </c>
      <c r="M16891" s="1" t="s">
        <v>45</v>
      </c>
      <c r="N16891" s="1" t="s">
        <v>38</v>
      </c>
      <c r="O16891" s="1" t="s">
        <v>46</v>
      </c>
    </row>
    <row r="16892" spans="2:15" x14ac:dyDescent="0.3">
      <c r="B16892" s="1" t="s">
        <v>19</v>
      </c>
      <c r="C16892" s="1" t="str">
        <f>"1차"</f>
        <v>1차</v>
      </c>
      <c r="D16892" s="1" t="str">
        <f>"0328B05100"</f>
        <v>0328B05100</v>
      </c>
      <c r="E16892" s="1" t="s">
        <v>10</v>
      </c>
      <c r="F16892" s="1" t="str">
        <f>"10.107.122.234"</f>
        <v>10.107.122.234</v>
      </c>
      <c r="G16892" s="1" t="str">
        <f>"0328B051"</f>
        <v>0328B051</v>
      </c>
      <c r="H16892" s="1" t="str">
        <f>"석계간 38R1R5"</f>
        <v>석계간 38R1R5</v>
      </c>
      <c r="I16892" s="1" t="s">
        <v>8</v>
      </c>
      <c r="J16892" s="1" t="str">
        <f>"64/65"</f>
        <v>64/65</v>
      </c>
      <c r="K16892" s="1" t="str">
        <f>"2026-07-29 13:18:02"</f>
        <v>2026-07-29 13:18:02</v>
      </c>
      <c r="L16892" s="1" t="str">
        <f>"2014-11-18 11:27:20"</f>
        <v>2014-11-18 11:27:20</v>
      </c>
      <c r="M16892" s="1" t="s">
        <v>45</v>
      </c>
      <c r="N16892" s="1" t="s">
        <v>38</v>
      </c>
      <c r="O16892" s="1" t="s">
        <v>46</v>
      </c>
    </row>
    <row r="16893" spans="2:15" x14ac:dyDescent="0.3">
      <c r="B16893" s="1" t="s">
        <v>19</v>
      </c>
      <c r="C16893" s="1" t="str">
        <f>"5-2차"</f>
        <v>5-2차</v>
      </c>
      <c r="D16893" s="1" t="str">
        <f>"0328B1015M"</f>
        <v>0328B1015M</v>
      </c>
      <c r="E16893" s="1" t="s">
        <v>10</v>
      </c>
      <c r="F16893" s="1" t="str">
        <f>"fde1:103:4:918c:0:0:0:2"</f>
        <v>fde1:103:4:918c:0:0:0:2</v>
      </c>
      <c r="G16893" s="1" t="str">
        <f>"0328B101"</f>
        <v>0328B101</v>
      </c>
      <c r="H16893" s="1" t="str">
        <f>"석계간 19R3"</f>
        <v>석계간 19R3</v>
      </c>
      <c r="I16893" s="1" t="s">
        <v>15</v>
      </c>
      <c r="J16893" s="1" t="str">
        <f>"36/41"</f>
        <v>36/41</v>
      </c>
      <c r="K16893" s="1" t="str">
        <f>"2026-07-29 14:20:15"</f>
        <v>2026-07-29 14:20:15</v>
      </c>
      <c r="L16893" s="1" t="str">
        <f>"2023-12-21 10:05:45"</f>
        <v>2023-12-21 10:05:45</v>
      </c>
      <c r="M16893" s="1" t="s">
        <v>4</v>
      </c>
      <c r="N16893" s="1" t="s">
        <v>38</v>
      </c>
      <c r="O16893" s="1" t="s">
        <v>46</v>
      </c>
    </row>
    <row r="16894" spans="2:15" x14ac:dyDescent="0.3">
      <c r="B16894" s="1" t="s">
        <v>19</v>
      </c>
      <c r="C16894" s="1" t="str">
        <f>"5-2차"</f>
        <v>5-2차</v>
      </c>
      <c r="D16894" s="1" t="str">
        <f>"0328B1245M"</f>
        <v>0328B1245M</v>
      </c>
      <c r="E16894" s="1" t="s">
        <v>10</v>
      </c>
      <c r="F16894" s="1" t="str">
        <f>"fde3:102:1410:9600:0:0:0:3"</f>
        <v>fde3:102:1410:9600:0:0:0:3</v>
      </c>
      <c r="G16894" s="1" t="str">
        <f>"0328B124"</f>
        <v>0328B124</v>
      </c>
      <c r="H16894" s="1" t="str">
        <f>"석계간 38R1R1L5"</f>
        <v>석계간 38R1R1L5</v>
      </c>
      <c r="I16894" s="1" t="s">
        <v>15</v>
      </c>
      <c r="J16894" s="1" t="str">
        <f>"89/89"</f>
        <v>89/89</v>
      </c>
      <c r="K16894" s="1" t="str">
        <f>"2026-07-29 14:20:55"</f>
        <v>2026-07-29 14:20:55</v>
      </c>
      <c r="L16894" s="1" t="str">
        <f>"2024-01-08 15:18:52"</f>
        <v>2024-01-08 15:18:52</v>
      </c>
      <c r="M16894" s="1" t="s">
        <v>45</v>
      </c>
      <c r="N16894" s="1" t="s">
        <v>38</v>
      </c>
      <c r="O16894" s="1" t="s">
        <v>46</v>
      </c>
    </row>
    <row r="16895" spans="2:15" x14ac:dyDescent="0.3">
      <c r="B16895" s="1" t="s">
        <v>19</v>
      </c>
      <c r="C16895" s="1" t="str">
        <f>"1차"</f>
        <v>1차</v>
      </c>
      <c r="D16895" s="1" t="str">
        <f>"0328B13100"</f>
        <v>0328B13100</v>
      </c>
      <c r="E16895" s="1" t="s">
        <v>10</v>
      </c>
      <c r="F16895" s="1" t="str">
        <f>"10.107.122.236"</f>
        <v>10.107.122.236</v>
      </c>
      <c r="G16895" s="1" t="str">
        <f>"0328B131"</f>
        <v>0328B131</v>
      </c>
      <c r="H16895" s="1" t="str">
        <f>"석계간 38R1R1L4"</f>
        <v>석계간 38R1R1L4</v>
      </c>
      <c r="I16895" s="1" t="s">
        <v>8</v>
      </c>
      <c r="J16895" s="1" t="str">
        <f>"45/45"</f>
        <v>45/45</v>
      </c>
      <c r="K16895" s="1" t="str">
        <f>"2026-07-29 13:18:02"</f>
        <v>2026-07-29 13:18:02</v>
      </c>
      <c r="L16895" s="1" t="str">
        <f>"2014-11-18 11:26:56"</f>
        <v>2014-11-18 11:26:56</v>
      </c>
      <c r="M16895" s="1" t="s">
        <v>45</v>
      </c>
      <c r="N16895" s="1" t="s">
        <v>38</v>
      </c>
      <c r="O16895" s="1" t="s">
        <v>46</v>
      </c>
    </row>
    <row r="16896" spans="2:15" x14ac:dyDescent="0.3">
      <c r="B16896" s="1" t="s">
        <v>19</v>
      </c>
      <c r="C16896" s="1" t="str">
        <f>"5-2차"</f>
        <v>5-2차</v>
      </c>
      <c r="D16896" s="1" t="str">
        <f>"0328B1435M"</f>
        <v>0328B1435M</v>
      </c>
      <c r="E16896" s="1" t="s">
        <v>10</v>
      </c>
      <c r="F16896" s="1" t="str">
        <f>"fde1:103:4:91bc:0:0:0:2"</f>
        <v>fde1:103:4:91bc:0:0:0:2</v>
      </c>
      <c r="G16896" s="1" t="str">
        <f>"0328B143"</f>
        <v>0328B143</v>
      </c>
      <c r="H16896" s="1" t="str">
        <f>"석계간 38R1R1L3R2"</f>
        <v>석계간 38R1R1L3R2</v>
      </c>
      <c r="I16896" s="1" t="s">
        <v>15</v>
      </c>
      <c r="J16896" s="1" t="str">
        <f>"62/63"</f>
        <v>62/63</v>
      </c>
      <c r="K16896" s="1" t="str">
        <f>"2026-07-29 14:20:15"</f>
        <v>2026-07-29 14:20:15</v>
      </c>
      <c r="L16896" s="1" t="str">
        <f>"2024-01-08 11:55:05"</f>
        <v>2024-01-08 11:55:05</v>
      </c>
      <c r="M16896" s="1" t="s">
        <v>4</v>
      </c>
      <c r="N16896" s="1" t="s">
        <v>38</v>
      </c>
      <c r="O16896" s="1" t="s">
        <v>46</v>
      </c>
    </row>
    <row r="16897" spans="2:15" x14ac:dyDescent="0.3">
      <c r="B16897" s="1" t="s">
        <v>19</v>
      </c>
      <c r="C16897" s="1" t="str">
        <f>"1차"</f>
        <v>1차</v>
      </c>
      <c r="D16897" s="1" t="str">
        <f>"0328B15101"</f>
        <v>0328B15101</v>
      </c>
      <c r="E16897" s="1" t="s">
        <v>10</v>
      </c>
      <c r="F16897" s="1" t="str">
        <f>"10.107.122.235"</f>
        <v>10.107.122.235</v>
      </c>
      <c r="G16897" s="1" t="str">
        <f>"0328B151"</f>
        <v>0328B151</v>
      </c>
      <c r="H16897" s="1" t="str">
        <f>"석계간 38R1R3"</f>
        <v>석계간 38R1R3</v>
      </c>
      <c r="I16897" s="1" t="s">
        <v>8</v>
      </c>
      <c r="J16897" s="1" t="str">
        <f>"46/47"</f>
        <v>46/47</v>
      </c>
      <c r="K16897" s="1" t="str">
        <f>"2026-07-29 13:18:03"</f>
        <v>2026-07-29 13:18:03</v>
      </c>
      <c r="L16897" s="1" t="str">
        <f>"2014-11-18 11:12:25"</f>
        <v>2014-11-18 11:12:25</v>
      </c>
      <c r="M16897" s="1" t="s">
        <v>45</v>
      </c>
      <c r="N16897" s="1" t="s">
        <v>38</v>
      </c>
      <c r="O16897" s="1" t="s">
        <v>46</v>
      </c>
    </row>
    <row r="16898" spans="2:15" x14ac:dyDescent="0.3">
      <c r="B16898" s="1" t="s">
        <v>19</v>
      </c>
      <c r="C16898" s="1" t="str">
        <f>"5-2차"</f>
        <v>5-2차</v>
      </c>
      <c r="D16898" s="1" t="str">
        <f>"0328B2135S"</f>
        <v>0328B2135S</v>
      </c>
      <c r="E16898" s="1" t="s">
        <v>10</v>
      </c>
      <c r="F16898" s="1" t="str">
        <f>"fde3:102:1410:9100:0:0:0:8"</f>
        <v>fde3:102:1410:9100:0:0:0:8</v>
      </c>
      <c r="G16898" s="1" t="str">
        <f>"0328B213"</f>
        <v>0328B213</v>
      </c>
      <c r="H16898" s="1" t="str">
        <f>"석계간 38R7HL3"</f>
        <v>석계간 38R7HL3</v>
      </c>
      <c r="I16898" s="1" t="s">
        <v>15</v>
      </c>
      <c r="J16898" s="1" t="str">
        <f>"33/33"</f>
        <v>33/33</v>
      </c>
      <c r="K16898" s="1" t="str">
        <f>"2026-07-29 14:20:55"</f>
        <v>2026-07-29 14:20:55</v>
      </c>
      <c r="L16898" s="1" t="str">
        <f>"2023-12-13 11:57:49"</f>
        <v>2023-12-13 11:57:49</v>
      </c>
      <c r="M16898" s="1" t="s">
        <v>45</v>
      </c>
      <c r="N16898" s="1" t="s">
        <v>38</v>
      </c>
      <c r="O16898" s="1" t="s">
        <v>46</v>
      </c>
    </row>
    <row r="16899" spans="2:15" x14ac:dyDescent="0.3">
      <c r="B16899" s="1" t="s">
        <v>19</v>
      </c>
      <c r="C16899" s="1" t="str">
        <f>"1차"</f>
        <v>1차</v>
      </c>
      <c r="D16899" s="1" t="str">
        <f>"0328B22200"</f>
        <v>0328B22200</v>
      </c>
      <c r="E16899" s="1" t="s">
        <v>10</v>
      </c>
      <c r="F16899" s="1" t="str">
        <f>"10.107.126.83"</f>
        <v>10.107.126.83</v>
      </c>
      <c r="G16899" s="1" t="str">
        <f>"0328B222"</f>
        <v>0328B222</v>
      </c>
      <c r="H16899" s="1" t="str">
        <f>"석계간 38R7L1"</f>
        <v>석계간 38R7L1</v>
      </c>
      <c r="I16899" s="1" t="s">
        <v>8</v>
      </c>
      <c r="J16899" s="1" t="str">
        <f>"14/14"</f>
        <v>14/14</v>
      </c>
      <c r="K16899" s="1" t="str">
        <f>"2026-07-29 13:18:02"</f>
        <v>2026-07-29 13:18:02</v>
      </c>
      <c r="L16899" s="1" t="str">
        <f>"2014-11-18 11:12:01"</f>
        <v>2014-11-18 11:12:01</v>
      </c>
      <c r="M16899" s="1" t="s">
        <v>45</v>
      </c>
      <c r="N16899" s="1" t="s">
        <v>38</v>
      </c>
      <c r="O16899" s="1" t="s">
        <v>46</v>
      </c>
    </row>
    <row r="16900" spans="2:15" x14ac:dyDescent="0.3">
      <c r="B16900" s="1" t="s">
        <v>19</v>
      </c>
      <c r="C16900" s="1" t="str">
        <f>"1차"</f>
        <v>1차</v>
      </c>
      <c r="D16900" s="1" t="str">
        <f>"0328B23500"</f>
        <v>0328B23500</v>
      </c>
      <c r="E16900" s="1" t="s">
        <v>18</v>
      </c>
      <c r="F16900" s="1" t="str">
        <f>"10.107.126.67"</f>
        <v>10.107.126.67</v>
      </c>
      <c r="G16900" s="1" t="str">
        <f>"0328B235"</f>
        <v>0328B235</v>
      </c>
      <c r="H16900" s="1" t="str">
        <f>"석계간 38R6"</f>
        <v>석계간 38R6</v>
      </c>
      <c r="I16900" s="1" t="s">
        <v>8</v>
      </c>
      <c r="J16900" s="1" t="str">
        <f>"0/109"</f>
        <v>0/109</v>
      </c>
      <c r="K16900" s="1" t="str">
        <f>"2026-07-16 07:18:00"</f>
        <v>2026-07-16 07:18:00</v>
      </c>
      <c r="L16900" s="1" t="str">
        <f>"2014-11-18 11:12:53"</f>
        <v>2014-11-18 11:12:53</v>
      </c>
      <c r="M16900" s="1" t="s">
        <v>45</v>
      </c>
      <c r="N16900" s="1" t="s">
        <v>38</v>
      </c>
      <c r="O16900" s="1" t="s">
        <v>46</v>
      </c>
    </row>
    <row r="16901" spans="2:15" x14ac:dyDescent="0.3">
      <c r="B16901" s="1" t="s">
        <v>19</v>
      </c>
      <c r="C16901" s="1" t="str">
        <f>"1차"</f>
        <v>1차</v>
      </c>
      <c r="D16901" s="1" t="str">
        <f>"0328B34101"</f>
        <v>0328B34101</v>
      </c>
      <c r="E16901" s="1" t="s">
        <v>12</v>
      </c>
      <c r="F16901" s="1" t="str">
        <f>"10.107.126.66"</f>
        <v>10.107.126.66</v>
      </c>
      <c r="G16901" s="1" t="str">
        <f>"0328B341"</f>
        <v>0328B341</v>
      </c>
      <c r="H16901" s="1" t="str">
        <f>"석계간 38R4"</f>
        <v>석계간 38R4</v>
      </c>
      <c r="I16901" s="1" t="s">
        <v>8</v>
      </c>
      <c r="J16901" s="1" t="str">
        <f>"0/96"</f>
        <v>0/96</v>
      </c>
      <c r="K16901" s="1" t="str">
        <f>"2026-07-16 07:18:01"</f>
        <v>2026-07-16 07:18:01</v>
      </c>
      <c r="L16901" s="1" t="str">
        <f>"2014-11-18 11:11:57"</f>
        <v>2014-11-18 11:11:57</v>
      </c>
      <c r="M16901" s="1" t="s">
        <v>45</v>
      </c>
      <c r="N16901" s="1" t="s">
        <v>38</v>
      </c>
      <c r="O16901" s="1" t="s">
        <v>46</v>
      </c>
    </row>
    <row r="16902" spans="2:15" x14ac:dyDescent="0.3">
      <c r="B16902" s="1" t="s">
        <v>19</v>
      </c>
      <c r="C16902" s="1" t="str">
        <f>"6차"</f>
        <v>6차</v>
      </c>
      <c r="D16902" s="1" t="str">
        <f>"0328B3456M"</f>
        <v>0328B3456M</v>
      </c>
      <c r="E16902" s="1" t="s">
        <v>10</v>
      </c>
      <c r="F16902" s="1" t="str">
        <f>"fde1:103:4:c7d6:0:0:0:2"</f>
        <v>fde1:103:4:c7d6:0:0:0:2</v>
      </c>
      <c r="G16902" s="1" t="str">
        <f>"0328B345"</f>
        <v>0328B345</v>
      </c>
      <c r="H16902" s="1" t="str">
        <f>"석계간 38R3L11R5R2L3"</f>
        <v>석계간 38R3L11R5R2L3</v>
      </c>
      <c r="I16902" s="1" t="s">
        <v>15</v>
      </c>
      <c r="J16902" s="1" t="str">
        <f>"8/8"</f>
        <v>8/8</v>
      </c>
      <c r="K16902" s="1" t="str">
        <f>"2026-07-29 14:20:27"</f>
        <v>2026-07-29 14:20:27</v>
      </c>
      <c r="L16902" s="1" t="str">
        <f>"2024-12-04 15:44:59"</f>
        <v>2024-12-04 15:44:59</v>
      </c>
      <c r="M16902" s="1" t="s">
        <v>4</v>
      </c>
      <c r="N16902" s="1" t="s">
        <v>38</v>
      </c>
      <c r="O16902" s="1" t="s">
        <v>46</v>
      </c>
    </row>
    <row r="16903" spans="2:15" x14ac:dyDescent="0.3">
      <c r="B16903" s="1" t="s">
        <v>19</v>
      </c>
      <c r="C16903" s="1" t="str">
        <f>"1차"</f>
        <v>1차</v>
      </c>
      <c r="D16903" s="1" t="str">
        <f>"0328B36200"</f>
        <v>0328B36200</v>
      </c>
      <c r="E16903" s="1" t="s">
        <v>10</v>
      </c>
      <c r="F16903" s="1" t="str">
        <f>"10.107.122.237"</f>
        <v>10.107.122.237</v>
      </c>
      <c r="G16903" s="1" t="str">
        <f>"0328B362"</f>
        <v>0328B362</v>
      </c>
      <c r="H16903" s="1" t="str">
        <f>"석계간 38R1R1"</f>
        <v>석계간 38R1R1</v>
      </c>
      <c r="I16903" s="1" t="s">
        <v>8</v>
      </c>
      <c r="J16903" s="1" t="str">
        <f>"44/44"</f>
        <v>44/44</v>
      </c>
      <c r="K16903" s="1" t="str">
        <f>"2026-07-29 13:18:02"</f>
        <v>2026-07-29 13:18:02</v>
      </c>
      <c r="L16903" s="1" t="str">
        <f>"2014-11-18 11:26:25"</f>
        <v>2014-11-18 11:26:25</v>
      </c>
      <c r="M16903" s="1" t="s">
        <v>45</v>
      </c>
      <c r="N16903" s="1" t="s">
        <v>38</v>
      </c>
      <c r="O16903" s="1" t="s">
        <v>46</v>
      </c>
    </row>
    <row r="16904" spans="2:15" x14ac:dyDescent="0.3">
      <c r="B16904" s="1" t="s">
        <v>19</v>
      </c>
      <c r="C16904" s="1" t="str">
        <f>"4차"</f>
        <v>4차</v>
      </c>
      <c r="D16904" s="1" t="str">
        <f>"0328B37141"</f>
        <v>0328B37141</v>
      </c>
      <c r="E16904" s="1" t="s">
        <v>10</v>
      </c>
      <c r="F16904" s="1" t="str">
        <f>"10.14.7.6"</f>
        <v>10.14.7.6</v>
      </c>
      <c r="G16904" s="1" t="str">
        <f>"0328B371"</f>
        <v>0328B371</v>
      </c>
      <c r="H16904" s="1" t="str">
        <f>"석계간 38"</f>
        <v>석계간 38</v>
      </c>
      <c r="I16904" s="1" t="s">
        <v>17</v>
      </c>
      <c r="J16904" s="1" t="str">
        <f>"2/2"</f>
        <v>2/2</v>
      </c>
      <c r="K16904" s="1" t="str">
        <f>"2026-07-29 13:18:03"</f>
        <v>2026-07-29 13:18:03</v>
      </c>
      <c r="L16904" s="1" t="str">
        <f>"2021-08-13 15:49:48"</f>
        <v>2021-08-13 15:49:48</v>
      </c>
      <c r="M16904" s="1" t="s">
        <v>3</v>
      </c>
      <c r="N16904" s="1" t="s">
        <v>38</v>
      </c>
      <c r="O16904" s="1" t="s">
        <v>46</v>
      </c>
    </row>
    <row r="16905" spans="2:15" x14ac:dyDescent="0.3">
      <c r="B16905" s="1" t="s">
        <v>19</v>
      </c>
      <c r="C16905" s="1" t="str">
        <f>"5-2차"</f>
        <v>5-2차</v>
      </c>
      <c r="D16905" s="1" t="str">
        <f>"0328B4025M"</f>
        <v>0328B4025M</v>
      </c>
      <c r="E16905" s="1" t="s">
        <v>10</v>
      </c>
      <c r="F16905" s="1" t="str">
        <f>"fde3:102:1410:9100:0:0:0:a"</f>
        <v>fde3:102:1410:9100:0:0:0:a</v>
      </c>
      <c r="G16905" s="1" t="str">
        <f>"0328B402"</f>
        <v>0328B402</v>
      </c>
      <c r="H16905" s="1" t="str">
        <f>"석계간 19R8"</f>
        <v>석계간 19R8</v>
      </c>
      <c r="I16905" s="1" t="s">
        <v>15</v>
      </c>
      <c r="J16905" s="1" t="str">
        <f>"35/35"</f>
        <v>35/35</v>
      </c>
      <c r="K16905" s="1" t="str">
        <f>"2026-07-29 14:20:55"</f>
        <v>2026-07-29 14:20:55</v>
      </c>
      <c r="L16905" s="1" t="str">
        <f>"2024-01-22 09:48:23"</f>
        <v>2024-01-22 09:48:23</v>
      </c>
      <c r="M16905" s="1" t="s">
        <v>45</v>
      </c>
      <c r="N16905" s="1" t="s">
        <v>38</v>
      </c>
      <c r="O16905" s="1" t="s">
        <v>46</v>
      </c>
    </row>
    <row r="16906" spans="2:15" x14ac:dyDescent="0.3">
      <c r="B16906" s="1" t="s">
        <v>19</v>
      </c>
      <c r="C16906" s="1" t="str">
        <f>"1차"</f>
        <v>1차</v>
      </c>
      <c r="D16906" s="1" t="str">
        <f>"0328B41300"</f>
        <v>0328B41300</v>
      </c>
      <c r="E16906" s="1" t="s">
        <v>10</v>
      </c>
      <c r="F16906" s="1" t="str">
        <f>"10.107.126.58"</f>
        <v>10.107.126.58</v>
      </c>
      <c r="G16906" s="1" t="str">
        <f>"0328B413"</f>
        <v>0328B413</v>
      </c>
      <c r="H16906" s="1" t="str">
        <f>"석계간 38R3L11R5R1"</f>
        <v>석계간 38R3L11R5R1</v>
      </c>
      <c r="I16906" s="1" t="s">
        <v>8</v>
      </c>
      <c r="J16906" s="1" t="str">
        <f>"45/48"</f>
        <v>45/48</v>
      </c>
      <c r="K16906" s="1" t="str">
        <f>"2026-07-29 13:18:02"</f>
        <v>2026-07-29 13:18:02</v>
      </c>
      <c r="L16906" s="1" t="str">
        <f>"2014-11-19 15:27:46"</f>
        <v>2014-11-19 15:27:46</v>
      </c>
      <c r="M16906" s="1" t="s">
        <v>45</v>
      </c>
      <c r="N16906" s="1" t="s">
        <v>38</v>
      </c>
      <c r="O16906" s="1" t="s">
        <v>46</v>
      </c>
    </row>
    <row r="16907" spans="2:15" x14ac:dyDescent="0.3">
      <c r="B16907" s="1" t="s">
        <v>19</v>
      </c>
      <c r="C16907" s="1" t="str">
        <f>"6차"</f>
        <v>6차</v>
      </c>
      <c r="D16907" s="1" t="str">
        <f>"0328B4326S"</f>
        <v>0328B4326S</v>
      </c>
      <c r="E16907" s="1" t="s">
        <v>10</v>
      </c>
      <c r="F16907" s="1" t="str">
        <f>"fde1:103:4:9285:0:0:0:2"</f>
        <v>fde1:103:4:9285:0:0:0:2</v>
      </c>
      <c r="G16907" s="1" t="str">
        <f>"0328B432"</f>
        <v>0328B432</v>
      </c>
      <c r="H16907" s="1" t="str">
        <f>"석계간 38R3L11R5R3"</f>
        <v>석계간 38R3L11R5R3</v>
      </c>
      <c r="I16907" s="1" t="s">
        <v>15</v>
      </c>
      <c r="J16907" s="1" t="str">
        <f>"86/88"</f>
        <v>86/88</v>
      </c>
      <c r="K16907" s="1" t="str">
        <f>"2026-07-29 14:20:39"</f>
        <v>2026-07-29 14:20:39</v>
      </c>
      <c r="L16907" s="1" t="str">
        <f>"2024-10-10 10:30:34"</f>
        <v>2024-10-10 10:30:34</v>
      </c>
      <c r="M16907" s="1" t="s">
        <v>4</v>
      </c>
      <c r="N16907" s="1" t="s">
        <v>38</v>
      </c>
      <c r="O16907" s="1" t="s">
        <v>46</v>
      </c>
    </row>
    <row r="16908" spans="2:15" x14ac:dyDescent="0.3">
      <c r="B16908" s="1" t="s">
        <v>19</v>
      </c>
      <c r="C16908" s="1" t="str">
        <f>"5-2차"</f>
        <v>5-2차</v>
      </c>
      <c r="D16908" s="1" t="str">
        <f>"0328B4345S"</f>
        <v>0328B4345S</v>
      </c>
      <c r="E16908" s="1" t="s">
        <v>10</v>
      </c>
      <c r="F16908" s="1" t="str">
        <f>"fde3:102:1410:9100:0:0:0:b"</f>
        <v>fde3:102:1410:9100:0:0:0:b</v>
      </c>
      <c r="G16908" s="1" t="str">
        <f>"0328B434"</f>
        <v>0328B434</v>
      </c>
      <c r="H16908" s="1" t="str">
        <f>"석계간 38R3L11R5R4"</f>
        <v>석계간 38R3L11R5R4</v>
      </c>
      <c r="I16908" s="1" t="s">
        <v>15</v>
      </c>
      <c r="J16908" s="1" t="str">
        <f>"35/35"</f>
        <v>35/35</v>
      </c>
      <c r="K16908" s="1" t="str">
        <f>"2026-07-29 14:20:55"</f>
        <v>2026-07-29 14:20:55</v>
      </c>
      <c r="L16908" s="1" t="str">
        <f>"2023-12-12 16:19:44"</f>
        <v>2023-12-12 16:19:44</v>
      </c>
      <c r="M16908" s="1" t="s">
        <v>45</v>
      </c>
      <c r="N16908" s="1" t="s">
        <v>38</v>
      </c>
      <c r="O16908" s="1" t="s">
        <v>46</v>
      </c>
    </row>
    <row r="16909" spans="2:15" x14ac:dyDescent="0.3">
      <c r="B16909" s="1" t="s">
        <v>19</v>
      </c>
      <c r="C16909" s="1" t="str">
        <f>"5-2차"</f>
        <v>5-2차</v>
      </c>
      <c r="D16909" s="1" t="str">
        <f>"0328B5015M"</f>
        <v>0328B5015M</v>
      </c>
      <c r="E16909" s="1" t="s">
        <v>10</v>
      </c>
      <c r="F16909" s="1" t="str">
        <f>"fde3:102:1410:9100:0:0:0:9"</f>
        <v>fde3:102:1410:9100:0:0:0:9</v>
      </c>
      <c r="G16909" s="1" t="str">
        <f>"0328B501"</f>
        <v>0328B501</v>
      </c>
      <c r="H16909" s="1" t="str">
        <f>"석계간 38R3L11R3"</f>
        <v>석계간 38R3L11R3</v>
      </c>
      <c r="I16909" s="1" t="s">
        <v>15</v>
      </c>
      <c r="J16909" s="1" t="str">
        <f>"37/37"</f>
        <v>37/37</v>
      </c>
      <c r="K16909" s="1" t="str">
        <f>"2026-07-29 14:20:55"</f>
        <v>2026-07-29 14:20:55</v>
      </c>
      <c r="L16909" s="1" t="str">
        <f>"2023-12-12 16:45:43"</f>
        <v>2023-12-12 16:45:43</v>
      </c>
      <c r="M16909" s="1" t="s">
        <v>45</v>
      </c>
      <c r="N16909" s="1" t="s">
        <v>38</v>
      </c>
      <c r="O16909" s="1" t="s">
        <v>46</v>
      </c>
    </row>
    <row r="16910" spans="2:15" x14ac:dyDescent="0.3">
      <c r="B16910" s="1" t="s">
        <v>19</v>
      </c>
      <c r="C16910" s="1" t="str">
        <f>"5-2차"</f>
        <v>5-2차</v>
      </c>
      <c r="D16910" s="1" t="str">
        <f>"0328B5115M"</f>
        <v>0328B5115M</v>
      </c>
      <c r="E16910" s="1" t="s">
        <v>10</v>
      </c>
      <c r="F16910" s="1" t="str">
        <f>"fde1:103:4:92d3:0:0:0:2"</f>
        <v>fde1:103:4:92d3:0:0:0:2</v>
      </c>
      <c r="G16910" s="1" t="str">
        <f>"0328B511"</f>
        <v>0328B511</v>
      </c>
      <c r="H16910" s="1" t="str">
        <f>"석계간 38R3L11R5R9"</f>
        <v>석계간 38R3L11R5R9</v>
      </c>
      <c r="I16910" s="1" t="s">
        <v>15</v>
      </c>
      <c r="J16910" s="1" t="str">
        <f>"33/33"</f>
        <v>33/33</v>
      </c>
      <c r="K16910" s="1" t="str">
        <f>"2026-07-29 14:20:15"</f>
        <v>2026-07-29 14:20:15</v>
      </c>
      <c r="L16910" s="1" t="str">
        <f>"2023-12-21 10:24:27"</f>
        <v>2023-12-21 10:24:27</v>
      </c>
      <c r="M16910" s="1" t="s">
        <v>4</v>
      </c>
      <c r="N16910" s="1" t="s">
        <v>38</v>
      </c>
      <c r="O16910" s="1" t="s">
        <v>46</v>
      </c>
    </row>
    <row r="16911" spans="2:15" x14ac:dyDescent="0.3">
      <c r="B16911" s="1" t="s">
        <v>19</v>
      </c>
      <c r="C16911" s="1" t="str">
        <f>"1차"</f>
        <v>1차</v>
      </c>
      <c r="D16911" s="1" t="str">
        <f>"0328C03200"</f>
        <v>0328C03200</v>
      </c>
      <c r="E16911" s="1" t="s">
        <v>10</v>
      </c>
      <c r="F16911" s="1" t="str">
        <f>"10.107.122.230"</f>
        <v>10.107.122.230</v>
      </c>
      <c r="G16911" s="1" t="str">
        <f>"0328C032"</f>
        <v>0328C032</v>
      </c>
      <c r="H16911" s="1" t="str">
        <f>"석관간 43L9"</f>
        <v>석관간 43L9</v>
      </c>
      <c r="I16911" s="1" t="s">
        <v>8</v>
      </c>
      <c r="J16911" s="1" t="str">
        <f>"36/40"</f>
        <v>36/40</v>
      </c>
      <c r="K16911" s="1" t="str">
        <f>"2026-07-29 13:18:02"</f>
        <v>2026-07-29 13:18:02</v>
      </c>
      <c r="L16911" s="1" t="str">
        <f>"2014-12-30 19:57:20"</f>
        <v>2014-12-30 19:57:20</v>
      </c>
      <c r="M16911" s="1" t="s">
        <v>45</v>
      </c>
      <c r="N16911" s="1" t="s">
        <v>38</v>
      </c>
      <c r="O16911" s="1" t="s">
        <v>46</v>
      </c>
    </row>
    <row r="16912" spans="2:15" x14ac:dyDescent="0.3">
      <c r="B16912" s="1" t="s">
        <v>19</v>
      </c>
      <c r="C16912" s="1" t="str">
        <f>"1차"</f>
        <v>1차</v>
      </c>
      <c r="D16912" s="1" t="str">
        <f>"0328C05300"</f>
        <v>0328C05300</v>
      </c>
      <c r="E16912" s="1" t="s">
        <v>10</v>
      </c>
      <c r="F16912" s="1" t="str">
        <f>"10.107.122.231"</f>
        <v>10.107.122.231</v>
      </c>
      <c r="G16912" s="1" t="str">
        <f>"0328C053"</f>
        <v>0328C053</v>
      </c>
      <c r="H16912" s="1" t="str">
        <f>"석관간 43L8L2"</f>
        <v>석관간 43L8L2</v>
      </c>
      <c r="I16912" s="1" t="s">
        <v>8</v>
      </c>
      <c r="J16912" s="1" t="str">
        <f>"20/20"</f>
        <v>20/20</v>
      </c>
      <c r="K16912" s="1" t="str">
        <f>"2026-07-29 13:18:02"</f>
        <v>2026-07-29 13:18:02</v>
      </c>
      <c r="L16912" s="1" t="str">
        <f>"2014-12-30 19:57:31"</f>
        <v>2014-12-30 19:57:31</v>
      </c>
      <c r="M16912" s="1" t="s">
        <v>45</v>
      </c>
      <c r="N16912" s="1" t="s">
        <v>38</v>
      </c>
      <c r="O16912" s="1" t="s">
        <v>46</v>
      </c>
    </row>
    <row r="16913" spans="2:15" x14ac:dyDescent="0.3">
      <c r="B16913" s="1" t="s">
        <v>19</v>
      </c>
      <c r="C16913" s="1" t="str">
        <f>"3차"</f>
        <v>3차</v>
      </c>
      <c r="D16913" s="1" t="str">
        <f>"0328C06139"</f>
        <v>0328C06139</v>
      </c>
      <c r="E16913" s="1" t="s">
        <v>10</v>
      </c>
      <c r="F16913" s="1" t="str">
        <f>"10.107.122.232"</f>
        <v>10.107.122.232</v>
      </c>
      <c r="G16913" s="1" t="str">
        <f>"0328C061"</f>
        <v>0328C061</v>
      </c>
      <c r="H16913" s="1" t="str">
        <f>"석관간 43L8L3"</f>
        <v>석관간 43L8L3</v>
      </c>
      <c r="I16913" s="1" t="s">
        <v>8</v>
      </c>
      <c r="J16913" s="1" t="str">
        <f>"8/8"</f>
        <v>8/8</v>
      </c>
      <c r="K16913" s="1" t="str">
        <f>"2026-07-29 13:18:02"</f>
        <v>2026-07-29 13:18:02</v>
      </c>
      <c r="L16913" s="1" t="str">
        <f>"2018-04-09 12:06:59"</f>
        <v>2018-04-09 12:06:59</v>
      </c>
      <c r="M16913" s="1" t="s">
        <v>45</v>
      </c>
      <c r="N16913" s="1" t="s">
        <v>38</v>
      </c>
      <c r="O16913" s="1" t="s">
        <v>46</v>
      </c>
    </row>
    <row r="16914" spans="2:15" x14ac:dyDescent="0.3">
      <c r="B16914" s="1" t="s">
        <v>19</v>
      </c>
      <c r="C16914" s="1" t="str">
        <f>"4차"</f>
        <v>4차</v>
      </c>
      <c r="D16914" s="1" t="str">
        <f>"0328C11139"</f>
        <v>0328C11139</v>
      </c>
      <c r="E16914" s="1" t="s">
        <v>10</v>
      </c>
      <c r="F16914" s="1" t="str">
        <f>"10.107.122.238"</f>
        <v>10.107.122.238</v>
      </c>
      <c r="G16914" s="1" t="str">
        <f>"0328C111"</f>
        <v>0328C111</v>
      </c>
      <c r="H16914" s="1" t="str">
        <f>"석관간 43L11"</f>
        <v>석관간 43L11</v>
      </c>
      <c r="I16914" s="1" t="s">
        <v>8</v>
      </c>
      <c r="J16914" s="1" t="str">
        <f>"26/26"</f>
        <v>26/26</v>
      </c>
      <c r="K16914" s="1" t="str">
        <f>"2026-07-29 13:18:00"</f>
        <v>2026-07-29 13:18:00</v>
      </c>
      <c r="L16914" s="1" t="str">
        <f>"2018-04-02 14:15:44"</f>
        <v>2018-04-02 14:15:44</v>
      </c>
      <c r="M16914" s="1" t="s">
        <v>45</v>
      </c>
      <c r="N16914" s="1" t="s">
        <v>38</v>
      </c>
      <c r="O16914" s="1" t="s">
        <v>46</v>
      </c>
    </row>
    <row r="16915" spans="2:15" x14ac:dyDescent="0.3">
      <c r="B16915" s="1" t="s">
        <v>19</v>
      </c>
      <c r="C16915" s="1" t="str">
        <f>"3차"</f>
        <v>3차</v>
      </c>
      <c r="D16915" s="1" t="str">
        <f>"0328C12139"</f>
        <v>0328C12139</v>
      </c>
      <c r="E16915" s="1" t="s">
        <v>10</v>
      </c>
      <c r="F16915" s="1" t="str">
        <f>"10.107.122.239"</f>
        <v>10.107.122.239</v>
      </c>
      <c r="G16915" s="1" t="str">
        <f>"0328C121"</f>
        <v>0328C121</v>
      </c>
      <c r="H16915" s="1" t="str">
        <f>"석관간 43L10"</f>
        <v>석관간 43L10</v>
      </c>
      <c r="I16915" s="1" t="s">
        <v>8</v>
      </c>
      <c r="J16915" s="1" t="str">
        <f>"87/94"</f>
        <v>87/94</v>
      </c>
      <c r="K16915" s="1" t="str">
        <f>"2026-07-29 13:18:02"</f>
        <v>2026-07-29 13:18:02</v>
      </c>
      <c r="L16915" s="1" t="str">
        <f>"2018-03-26 18:37:06"</f>
        <v>2018-03-26 18:37:06</v>
      </c>
      <c r="M16915" s="1" t="s">
        <v>45</v>
      </c>
      <c r="N16915" s="1" t="s">
        <v>38</v>
      </c>
      <c r="O16915" s="1" t="s">
        <v>46</v>
      </c>
    </row>
    <row r="16916" spans="2:15" x14ac:dyDescent="0.3">
      <c r="B16916" s="1" t="s">
        <v>19</v>
      </c>
      <c r="C16916" s="1" t="str">
        <f>"4차"</f>
        <v>4차</v>
      </c>
      <c r="D16916" s="1" t="str">
        <f>"0328C13139"</f>
        <v>0328C13139</v>
      </c>
      <c r="E16916" s="1" t="s">
        <v>10</v>
      </c>
      <c r="F16916" s="1" t="str">
        <f>"10.107.122.240"</f>
        <v>10.107.122.240</v>
      </c>
      <c r="G16916" s="1" t="str">
        <f>"0328C131"</f>
        <v>0328C131</v>
      </c>
      <c r="H16916" s="1" t="str">
        <f>"석관간 43L10L1"</f>
        <v>석관간 43L10L1</v>
      </c>
      <c r="I16916" s="1" t="s">
        <v>8</v>
      </c>
      <c r="J16916" s="1" t="str">
        <f>"35/36"</f>
        <v>35/36</v>
      </c>
      <c r="K16916" s="1" t="str">
        <f>"2026-07-29 13:18:02"</f>
        <v>2026-07-29 13:18:02</v>
      </c>
      <c r="L16916" s="1" t="str">
        <f>"2018-03-26 18:29:30"</f>
        <v>2018-03-26 18:29:30</v>
      </c>
      <c r="M16916" s="1" t="s">
        <v>45</v>
      </c>
      <c r="N16916" s="1" t="s">
        <v>38</v>
      </c>
      <c r="O16916" s="1" t="s">
        <v>46</v>
      </c>
    </row>
    <row r="16917" spans="2:15" x14ac:dyDescent="0.3">
      <c r="B16917" s="1" t="s">
        <v>19</v>
      </c>
      <c r="C16917" s="1" t="str">
        <f>"1차"</f>
        <v>1차</v>
      </c>
      <c r="D16917" s="1" t="str">
        <f>"0328C14219"</f>
        <v>0328C14219</v>
      </c>
      <c r="E16917" s="1" t="s">
        <v>10</v>
      </c>
      <c r="F16917" s="1" t="str">
        <f>"10.107.5.55"</f>
        <v>10.107.5.55</v>
      </c>
      <c r="G16917" s="1" t="str">
        <f>"0328C142"</f>
        <v>0328C142</v>
      </c>
      <c r="H16917" s="1" t="str">
        <f>"석관간 43L10L2L2"</f>
        <v>석관간 43L10L2L2</v>
      </c>
      <c r="I16917" s="1" t="s">
        <v>8</v>
      </c>
      <c r="J16917" s="1" t="str">
        <f>"30/30"</f>
        <v>30/30</v>
      </c>
      <c r="K16917" s="1" t="str">
        <f>"2026-07-29 13:18:02"</f>
        <v>2026-07-29 13:18:02</v>
      </c>
      <c r="L16917" s="1" t="str">
        <f>"2017-03-03 10:28:39"</f>
        <v>2017-03-03 10:28:39</v>
      </c>
      <c r="M16917" s="1" t="s">
        <v>45</v>
      </c>
      <c r="N16917" s="1" t="s">
        <v>38</v>
      </c>
      <c r="O16917" s="1" t="s">
        <v>46</v>
      </c>
    </row>
    <row r="16918" spans="2:15" x14ac:dyDescent="0.3">
      <c r="B16918" s="1" t="s">
        <v>19</v>
      </c>
      <c r="C16918" s="1" t="str">
        <f>"1차"</f>
        <v>1차</v>
      </c>
      <c r="D16918" s="1" t="str">
        <f>"0328C16101"</f>
        <v>0328C16101</v>
      </c>
      <c r="E16918" s="1" t="s">
        <v>10</v>
      </c>
      <c r="F16918" s="1" t="str">
        <f>"10.107.4.135"</f>
        <v>10.107.4.135</v>
      </c>
      <c r="G16918" s="1" t="str">
        <f>"0328C161"</f>
        <v>0328C161</v>
      </c>
      <c r="H16918" s="1" t="str">
        <f>"석관간 41L7"</f>
        <v>석관간 41L7</v>
      </c>
      <c r="I16918" s="1" t="s">
        <v>8</v>
      </c>
      <c r="J16918" s="1" t="str">
        <f>"35/35"</f>
        <v>35/35</v>
      </c>
      <c r="K16918" s="1" t="str">
        <f>"2026-07-29 13:18:03"</f>
        <v>2026-07-29 13:18:03</v>
      </c>
      <c r="L16918" s="1" t="str">
        <f>"2015-01-03 00:13:46"</f>
        <v>2015-01-03 00:13:46</v>
      </c>
      <c r="M16918" s="1" t="s">
        <v>45</v>
      </c>
      <c r="N16918" s="1" t="s">
        <v>38</v>
      </c>
      <c r="O16918" s="1" t="s">
        <v>46</v>
      </c>
    </row>
    <row r="16919" spans="2:15" x14ac:dyDescent="0.3">
      <c r="B16919" s="1" t="s">
        <v>19</v>
      </c>
      <c r="C16919" s="1" t="str">
        <f>"4차"</f>
        <v>4차</v>
      </c>
      <c r="D16919" s="1" t="str">
        <f>"0328C17142"</f>
        <v>0328C17142</v>
      </c>
      <c r="E16919" s="1" t="s">
        <v>10</v>
      </c>
      <c r="F16919" s="1" t="str">
        <f>"10.12.137.130"</f>
        <v>10.12.137.130</v>
      </c>
      <c r="G16919" s="1" t="str">
        <f>"0328C171"</f>
        <v>0328C171</v>
      </c>
      <c r="H16919" s="1" t="str">
        <f>"석관간 41L6"</f>
        <v>석관간 41L6</v>
      </c>
      <c r="I16919" s="1" t="s">
        <v>8</v>
      </c>
      <c r="J16919" s="1" t="str">
        <f>"59/59"</f>
        <v>59/59</v>
      </c>
      <c r="K16919" s="1" t="str">
        <f>"2026-07-29 13:18:04"</f>
        <v>2026-07-29 13:18:04</v>
      </c>
      <c r="L16919" s="1" t="str">
        <f>"2024-12-19 09:55:24"</f>
        <v>2024-12-19 09:55:24</v>
      </c>
      <c r="M16919" s="1" t="s">
        <v>0</v>
      </c>
      <c r="N16919" s="1" t="s">
        <v>38</v>
      </c>
      <c r="O16919" s="1" t="s">
        <v>46</v>
      </c>
    </row>
    <row r="16920" spans="2:15" x14ac:dyDescent="0.3">
      <c r="B16920" s="1" t="s">
        <v>19</v>
      </c>
      <c r="C16920" s="1" t="str">
        <f>"3차"</f>
        <v>3차</v>
      </c>
      <c r="D16920" s="1" t="str">
        <f>"0328C17239"</f>
        <v>0328C17239</v>
      </c>
      <c r="E16920" s="1" t="s">
        <v>10</v>
      </c>
      <c r="F16920" s="1" t="str">
        <f>"10.107.8.53"</f>
        <v>10.107.8.53</v>
      </c>
      <c r="G16920" s="1" t="str">
        <f>"0328C172"</f>
        <v>0328C172</v>
      </c>
      <c r="H16920" s="1" t="str">
        <f>"석관간 13L15"</f>
        <v>석관간 13L15</v>
      </c>
      <c r="I16920" s="1" t="s">
        <v>8</v>
      </c>
      <c r="J16920" s="1" t="str">
        <f>"1/1"</f>
        <v>1/1</v>
      </c>
      <c r="K16920" s="1" t="str">
        <f>"2026-07-29 13:18:02"</f>
        <v>2026-07-29 13:18:02</v>
      </c>
      <c r="L16920" s="1" t="str">
        <f>"2018-03-23 14:02:11"</f>
        <v>2018-03-23 14:02:11</v>
      </c>
      <c r="M16920" s="1" t="s">
        <v>45</v>
      </c>
      <c r="N16920" s="1" t="s">
        <v>38</v>
      </c>
      <c r="O16920" s="1" t="s">
        <v>46</v>
      </c>
    </row>
    <row r="16921" spans="2:15" x14ac:dyDescent="0.3">
      <c r="B16921" s="1" t="s">
        <v>19</v>
      </c>
      <c r="C16921" s="1" t="str">
        <f>"3차"</f>
        <v>3차</v>
      </c>
      <c r="D16921" s="1" t="str">
        <f>"0328C18139"</f>
        <v>0328C18139</v>
      </c>
      <c r="E16921" s="1" t="s">
        <v>10</v>
      </c>
      <c r="F16921" s="1" t="str">
        <f>"10.107.8.55"</f>
        <v>10.107.8.55</v>
      </c>
      <c r="G16921" s="1" t="str">
        <f>"0328C181"</f>
        <v>0328C181</v>
      </c>
      <c r="H16921" s="1" t="str">
        <f>"석관간 13L16R2"</f>
        <v>석관간 13L16R2</v>
      </c>
      <c r="I16921" s="1" t="s">
        <v>8</v>
      </c>
      <c r="J16921" s="1" t="str">
        <f>"10/10"</f>
        <v>10/10</v>
      </c>
      <c r="K16921" s="1" t="str">
        <f>"2026-07-29 13:18:02"</f>
        <v>2026-07-29 13:18:02</v>
      </c>
      <c r="L16921" s="1" t="str">
        <f>"2018-05-30 17:07:42"</f>
        <v>2018-05-30 17:07:42</v>
      </c>
      <c r="M16921" s="1" t="s">
        <v>45</v>
      </c>
      <c r="N16921" s="1" t="s">
        <v>38</v>
      </c>
      <c r="O16921" s="1" t="s">
        <v>46</v>
      </c>
    </row>
    <row r="16922" spans="2:15" x14ac:dyDescent="0.3">
      <c r="B16922" s="1" t="s">
        <v>19</v>
      </c>
      <c r="C16922" s="1" t="str">
        <f>"5-2차"</f>
        <v>5-2차</v>
      </c>
      <c r="D16922" s="1" t="str">
        <f>"0328C2015M"</f>
        <v>0328C2015M</v>
      </c>
      <c r="E16922" s="1" t="s">
        <v>10</v>
      </c>
      <c r="F16922" s="1" t="str">
        <f>"fde3:102:1410:9200:0:0:0:b"</f>
        <v>fde3:102:1410:9200:0:0:0:b</v>
      </c>
      <c r="G16922" s="1" t="str">
        <f>"0328C201"</f>
        <v>0328C201</v>
      </c>
      <c r="H16922" s="1" t="str">
        <f>"석관간 43L12"</f>
        <v>석관간 43L12</v>
      </c>
      <c r="I16922" s="1" t="s">
        <v>15</v>
      </c>
      <c r="J16922" s="1" t="str">
        <f>"128/131"</f>
        <v>128/131</v>
      </c>
      <c r="K16922" s="1" t="str">
        <f>"2026-07-29 14:20:45"</f>
        <v>2026-07-29 14:20:45</v>
      </c>
      <c r="L16922" s="1" t="str">
        <f>"2024-01-10 16:22:11"</f>
        <v>2024-01-10 16:22:11</v>
      </c>
      <c r="M16922" s="1" t="s">
        <v>45</v>
      </c>
      <c r="N16922" s="1" t="s">
        <v>38</v>
      </c>
      <c r="O16922" s="1" t="s">
        <v>46</v>
      </c>
    </row>
    <row r="16923" spans="2:15" x14ac:dyDescent="0.3">
      <c r="B16923" s="1" t="s">
        <v>19</v>
      </c>
      <c r="C16923" s="1" t="str">
        <f>"3차"</f>
        <v>3차</v>
      </c>
      <c r="D16923" s="1" t="str">
        <f>"0328C23139"</f>
        <v>0328C23139</v>
      </c>
      <c r="E16923" s="1" t="s">
        <v>10</v>
      </c>
      <c r="F16923" s="1" t="str">
        <f>"10.107.122.241"</f>
        <v>10.107.122.241</v>
      </c>
      <c r="G16923" s="1" t="str">
        <f>"0328C231"</f>
        <v>0328C231</v>
      </c>
      <c r="H16923" s="1" t="str">
        <f>"석관간 43L10L2"</f>
        <v>석관간 43L10L2</v>
      </c>
      <c r="I16923" s="1" t="s">
        <v>8</v>
      </c>
      <c r="J16923" s="1" t="str">
        <f>"77/81"</f>
        <v>77/81</v>
      </c>
      <c r="K16923" s="1" t="str">
        <f>"2026-07-29 13:18:02"</f>
        <v>2026-07-29 13:18:02</v>
      </c>
      <c r="L16923" s="1" t="str">
        <f>"2018-03-26 18:33:29"</f>
        <v>2018-03-26 18:33:29</v>
      </c>
      <c r="M16923" s="1" t="s">
        <v>45</v>
      </c>
      <c r="N16923" s="1" t="s">
        <v>38</v>
      </c>
      <c r="O16923" s="1" t="s">
        <v>46</v>
      </c>
    </row>
    <row r="16924" spans="2:15" x14ac:dyDescent="0.3">
      <c r="B16924" s="1" t="s">
        <v>19</v>
      </c>
      <c r="C16924" s="1" t="str">
        <f>"3차"</f>
        <v>3차</v>
      </c>
      <c r="D16924" s="1" t="str">
        <f>"0328C23239"</f>
        <v>0328C23239</v>
      </c>
      <c r="E16924" s="1" t="s">
        <v>10</v>
      </c>
      <c r="F16924" s="1" t="str">
        <f>"10.107.122.242"</f>
        <v>10.107.122.242</v>
      </c>
      <c r="G16924" s="1" t="str">
        <f>"0328C232"</f>
        <v>0328C232</v>
      </c>
      <c r="H16924" s="1" t="str">
        <f>"석관간 43L10L2R1"</f>
        <v>석관간 43L10L2R1</v>
      </c>
      <c r="I16924" s="1" t="s">
        <v>8</v>
      </c>
      <c r="J16924" s="1" t="str">
        <f>"49/49"</f>
        <v>49/49</v>
      </c>
      <c r="K16924" s="1" t="str">
        <f>"2026-07-29 13:18:02"</f>
        <v>2026-07-29 13:18:02</v>
      </c>
      <c r="L16924" s="1" t="str">
        <f>"2018-03-26 18:32:58"</f>
        <v>2018-03-26 18:32:58</v>
      </c>
      <c r="M16924" s="1" t="s">
        <v>45</v>
      </c>
      <c r="N16924" s="1" t="s">
        <v>38</v>
      </c>
      <c r="O16924" s="1" t="s">
        <v>46</v>
      </c>
    </row>
    <row r="16925" spans="2:15" x14ac:dyDescent="0.3">
      <c r="B16925" s="1" t="s">
        <v>19</v>
      </c>
      <c r="C16925" s="1" t="str">
        <f>"3차"</f>
        <v>3차</v>
      </c>
      <c r="D16925" s="1" t="str">
        <f>"0328C24139"</f>
        <v>0328C24139</v>
      </c>
      <c r="E16925" s="1" t="s">
        <v>10</v>
      </c>
      <c r="F16925" s="1" t="str">
        <f>"10.107.122.243"</f>
        <v>10.107.122.243</v>
      </c>
      <c r="G16925" s="1" t="str">
        <f>"0328C241"</f>
        <v>0328C241</v>
      </c>
      <c r="H16925" s="1" t="str">
        <f>"석관간 43L10L4"</f>
        <v>석관간 43L10L4</v>
      </c>
      <c r="I16925" s="1" t="s">
        <v>8</v>
      </c>
      <c r="J16925" s="1" t="str">
        <f>"33/36"</f>
        <v>33/36</v>
      </c>
      <c r="K16925" s="1" t="str">
        <f>"2026-07-29 13:18:02"</f>
        <v>2026-07-29 13:18:02</v>
      </c>
      <c r="L16925" s="1" t="str">
        <f>"2018-03-26 18:25:42"</f>
        <v>2018-03-26 18:25:42</v>
      </c>
      <c r="M16925" s="1" t="s">
        <v>45</v>
      </c>
      <c r="N16925" s="1" t="s">
        <v>38</v>
      </c>
      <c r="O16925" s="1" t="s">
        <v>46</v>
      </c>
    </row>
    <row r="16926" spans="2:15" x14ac:dyDescent="0.3">
      <c r="B16926" s="1" t="s">
        <v>19</v>
      </c>
      <c r="C16926" s="1" t="str">
        <f>"1차"</f>
        <v>1차</v>
      </c>
      <c r="D16926" s="1" t="str">
        <f>"0328C26400"</f>
        <v>0328C26400</v>
      </c>
      <c r="E16926" s="1" t="s">
        <v>10</v>
      </c>
      <c r="F16926" s="1" t="str">
        <f>"10.107.4.134"</f>
        <v>10.107.4.134</v>
      </c>
      <c r="G16926" s="1" t="str">
        <f>"0328C264"</f>
        <v>0328C264</v>
      </c>
      <c r="H16926" s="1" t="str">
        <f>"석관간 41L8"</f>
        <v>석관간 41L8</v>
      </c>
      <c r="I16926" s="1" t="s">
        <v>8</v>
      </c>
      <c r="J16926" s="1" t="str">
        <f>"22/22"</f>
        <v>22/22</v>
      </c>
      <c r="K16926" s="1" t="str">
        <f>"2026-07-29 13:18:03"</f>
        <v>2026-07-29 13:18:03</v>
      </c>
      <c r="L16926" s="1" t="str">
        <f>"2014-12-19 10:27:24"</f>
        <v>2014-12-19 10:27:24</v>
      </c>
      <c r="M16926" s="1" t="s">
        <v>45</v>
      </c>
      <c r="N16926" s="1" t="s">
        <v>38</v>
      </c>
      <c r="O16926" s="1" t="s">
        <v>46</v>
      </c>
    </row>
    <row r="16927" spans="2:15" x14ac:dyDescent="0.3">
      <c r="B16927" s="1" t="s">
        <v>19</v>
      </c>
      <c r="C16927" s="1" t="str">
        <f>"3차"</f>
        <v>3차</v>
      </c>
      <c r="D16927" s="1" t="str">
        <f>"0328C28139"</f>
        <v>0328C28139</v>
      </c>
      <c r="E16927" s="1" t="s">
        <v>10</v>
      </c>
      <c r="F16927" s="1" t="str">
        <f>"10.107.8.56"</f>
        <v>10.107.8.56</v>
      </c>
      <c r="G16927" s="1" t="str">
        <f>"0328C281"</f>
        <v>0328C281</v>
      </c>
      <c r="H16927" s="1" t="str">
        <f>"석관간 13L16R3"</f>
        <v>석관간 13L16R3</v>
      </c>
      <c r="I16927" s="1" t="s">
        <v>8</v>
      </c>
      <c r="J16927" s="1" t="str">
        <f>"30/30"</f>
        <v>30/30</v>
      </c>
      <c r="K16927" s="1" t="str">
        <f>"2026-07-29 13:18:04"</f>
        <v>2026-07-29 13:18:04</v>
      </c>
      <c r="L16927" s="1" t="str">
        <f>"2018-03-23 13:58:26"</f>
        <v>2018-03-23 13:58:26</v>
      </c>
      <c r="M16927" s="1" t="s">
        <v>45</v>
      </c>
      <c r="N16927" s="1" t="s">
        <v>38</v>
      </c>
      <c r="O16927" s="1" t="s">
        <v>46</v>
      </c>
    </row>
    <row r="16928" spans="2:15" x14ac:dyDescent="0.3">
      <c r="B16928" s="1" t="s">
        <v>19</v>
      </c>
      <c r="C16928" s="1" t="str">
        <f>"4차"</f>
        <v>4차</v>
      </c>
      <c r="D16928" s="1" t="str">
        <f>"0328C31132"</f>
        <v>0328C31132</v>
      </c>
      <c r="E16928" s="1" t="s">
        <v>10</v>
      </c>
      <c r="F16928" s="1" t="str">
        <f>"10.107.122.245"</f>
        <v>10.107.122.245</v>
      </c>
      <c r="G16928" s="1" t="str">
        <f>"0328C311"</f>
        <v>0328C311</v>
      </c>
      <c r="H16928" s="1" t="str">
        <f>"석관간 43L12L2"</f>
        <v>석관간 43L12L2</v>
      </c>
      <c r="I16928" s="1" t="s">
        <v>8</v>
      </c>
      <c r="J16928" s="1" t="str">
        <f>"28/28"</f>
        <v>28/28</v>
      </c>
      <c r="K16928" s="1" t="str">
        <f>"2026-07-29 13:18:02"</f>
        <v>2026-07-29 13:18:02</v>
      </c>
      <c r="L16928" s="1" t="str">
        <f>"2018-06-19 08:37:09"</f>
        <v>2018-06-19 08:37:09</v>
      </c>
      <c r="M16928" s="1" t="s">
        <v>45</v>
      </c>
      <c r="N16928" s="1" t="s">
        <v>38</v>
      </c>
      <c r="O16928" s="1" t="s">
        <v>46</v>
      </c>
    </row>
    <row r="16929" spans="2:15" x14ac:dyDescent="0.3">
      <c r="B16929" s="1" t="s">
        <v>19</v>
      </c>
      <c r="C16929" s="1" t="str">
        <f>"3차"</f>
        <v>3차</v>
      </c>
      <c r="D16929" s="1" t="str">
        <f>"0328C31330"</f>
        <v>0328C31330</v>
      </c>
      <c r="E16929" s="1" t="s">
        <v>10</v>
      </c>
      <c r="F16929" s="1" t="str">
        <f>"10.107.122.244"</f>
        <v>10.107.122.244</v>
      </c>
      <c r="G16929" s="1" t="str">
        <f>"0328C313"</f>
        <v>0328C313</v>
      </c>
      <c r="H16929" s="1" t="str">
        <f>"석관간 43L12L3"</f>
        <v>석관간 43L12L3</v>
      </c>
      <c r="I16929" s="1" t="s">
        <v>8</v>
      </c>
      <c r="J16929" s="1" t="str">
        <f>"23/23"</f>
        <v>23/23</v>
      </c>
      <c r="K16929" s="1" t="str">
        <f>"2026-07-29 13:18:02"</f>
        <v>2026-07-29 13:18:02</v>
      </c>
      <c r="L16929" s="1" t="str">
        <f>"2018-06-22 13:06:25"</f>
        <v>2018-06-22 13:06:25</v>
      </c>
      <c r="M16929" s="1" t="s">
        <v>45</v>
      </c>
      <c r="N16929" s="1" t="s">
        <v>38</v>
      </c>
      <c r="O16929" s="1" t="s">
        <v>46</v>
      </c>
    </row>
    <row r="16930" spans="2:15" x14ac:dyDescent="0.3">
      <c r="B16930" s="1" t="s">
        <v>19</v>
      </c>
      <c r="C16930" s="1" t="str">
        <f>"3차"</f>
        <v>3차</v>
      </c>
      <c r="D16930" s="1" t="str">
        <f>"0328C32239"</f>
        <v>0328C32239</v>
      </c>
      <c r="E16930" s="1" t="s">
        <v>10</v>
      </c>
      <c r="F16930" s="1" t="str">
        <f>"10.107.122.246"</f>
        <v>10.107.122.246</v>
      </c>
      <c r="G16930" s="1" t="str">
        <f>"0328C322"</f>
        <v>0328C322</v>
      </c>
      <c r="H16930" s="1" t="str">
        <f>"석관간 43L12L3L1"</f>
        <v>석관간 43L12L3L1</v>
      </c>
      <c r="I16930" s="1" t="s">
        <v>8</v>
      </c>
      <c r="J16930" s="1" t="str">
        <f>"34/34"</f>
        <v>34/34</v>
      </c>
      <c r="K16930" s="1" t="str">
        <f>"2026-07-29 13:18:02"</f>
        <v>2026-07-29 13:18:02</v>
      </c>
      <c r="L16930" s="1" t="str">
        <f>"2018-07-26 10:31:40"</f>
        <v>2018-07-26 10:31:40</v>
      </c>
      <c r="M16930" s="1" t="s">
        <v>45</v>
      </c>
      <c r="N16930" s="1" t="s">
        <v>38</v>
      </c>
      <c r="O16930" s="1" t="s">
        <v>46</v>
      </c>
    </row>
    <row r="16931" spans="2:15" x14ac:dyDescent="0.3">
      <c r="B16931" s="1" t="s">
        <v>19</v>
      </c>
      <c r="C16931" s="1" t="str">
        <f>"3차"</f>
        <v>3차</v>
      </c>
      <c r="D16931" s="1" t="str">
        <f>"0328C35130"</f>
        <v>0328C35130</v>
      </c>
      <c r="E16931" s="1" t="s">
        <v>10</v>
      </c>
      <c r="F16931" s="1" t="str">
        <f>"10.107.8.50"</f>
        <v>10.107.8.50</v>
      </c>
      <c r="G16931" s="1" t="str">
        <f>"0328C351"</f>
        <v>0328C351</v>
      </c>
      <c r="H16931" s="1" t="str">
        <f>"석관간 13L12"</f>
        <v>석관간 13L12</v>
      </c>
      <c r="I16931" s="1" t="s">
        <v>8</v>
      </c>
      <c r="J16931" s="1" t="str">
        <f>"5/5"</f>
        <v>5/5</v>
      </c>
      <c r="K16931" s="1" t="str">
        <f>"2026-07-29 13:18:00"</f>
        <v>2026-07-29 13:18:00</v>
      </c>
      <c r="L16931" s="1" t="str">
        <f>"2018-06-22 11:23:55"</f>
        <v>2018-06-22 11:23:55</v>
      </c>
      <c r="M16931" s="1" t="s">
        <v>45</v>
      </c>
      <c r="N16931" s="1" t="s">
        <v>38</v>
      </c>
      <c r="O16931" s="1" t="s">
        <v>46</v>
      </c>
    </row>
    <row r="16932" spans="2:15" x14ac:dyDescent="0.3">
      <c r="B16932" s="1" t="s">
        <v>19</v>
      </c>
      <c r="C16932" s="1" t="str">
        <f>"3차"</f>
        <v>3차</v>
      </c>
      <c r="D16932" s="1" t="str">
        <f>"0328C35231"</f>
        <v>0328C35231</v>
      </c>
      <c r="E16932" s="1" t="s">
        <v>10</v>
      </c>
      <c r="F16932" s="1" t="str">
        <f>"10.12.128.19"</f>
        <v>10.12.128.19</v>
      </c>
      <c r="G16932" s="1" t="str">
        <f>"0328C352"</f>
        <v>0328C352</v>
      </c>
      <c r="H16932" s="1" t="str">
        <f>"석관간 13L9R1L1"</f>
        <v>석관간 13L9R1L1</v>
      </c>
      <c r="I16932" s="1" t="s">
        <v>8</v>
      </c>
      <c r="J16932" s="1" t="str">
        <f>"28/30"</f>
        <v>28/30</v>
      </c>
      <c r="K16932" s="1" t="str">
        <f>"2026-07-29 13:18:03"</f>
        <v>2026-07-29 13:18:03</v>
      </c>
      <c r="L16932" s="1" t="str">
        <f>"2018-06-05 15:21:20"</f>
        <v>2018-06-05 15:21:20</v>
      </c>
      <c r="M16932" s="1" t="s">
        <v>0</v>
      </c>
      <c r="N16932" s="1" t="s">
        <v>38</v>
      </c>
      <c r="O16932" s="1" t="s">
        <v>46</v>
      </c>
    </row>
    <row r="16933" spans="2:15" x14ac:dyDescent="0.3">
      <c r="B16933" s="1" t="s">
        <v>19</v>
      </c>
      <c r="C16933" s="1" t="str">
        <f>"3차"</f>
        <v>3차</v>
      </c>
      <c r="D16933" s="1" t="str">
        <f>"0328C36139"</f>
        <v>0328C36139</v>
      </c>
      <c r="E16933" s="1" t="s">
        <v>10</v>
      </c>
      <c r="F16933" s="1" t="str">
        <f>"10.107.8.51"</f>
        <v>10.107.8.51</v>
      </c>
      <c r="G16933" s="1" t="str">
        <f>"0328C361"</f>
        <v>0328C361</v>
      </c>
      <c r="H16933" s="1" t="str">
        <f>"석관간 13L13R1"</f>
        <v>석관간 13L13R1</v>
      </c>
      <c r="I16933" s="1" t="s">
        <v>8</v>
      </c>
      <c r="J16933" s="1" t="str">
        <f>"4/4"</f>
        <v>4/4</v>
      </c>
      <c r="K16933" s="1" t="str">
        <f>"2026-07-29 13:18:05"</f>
        <v>2026-07-29 13:18:05</v>
      </c>
      <c r="L16933" s="1" t="str">
        <f>"2018-03-23 15:34:28"</f>
        <v>2018-03-23 15:34:28</v>
      </c>
      <c r="M16933" s="1" t="s">
        <v>45</v>
      </c>
      <c r="N16933" s="1" t="s">
        <v>38</v>
      </c>
      <c r="O16933" s="1" t="s">
        <v>46</v>
      </c>
    </row>
    <row r="16934" spans="2:15" x14ac:dyDescent="0.3">
      <c r="B16934" s="1" t="s">
        <v>19</v>
      </c>
      <c r="C16934" s="1" t="str">
        <f>"5-2차"</f>
        <v>5-2차</v>
      </c>
      <c r="D16934" s="1" t="str">
        <f>"0328C4035M"</f>
        <v>0328C4035M</v>
      </c>
      <c r="E16934" s="1" t="s">
        <v>10</v>
      </c>
      <c r="F16934" s="1" t="str">
        <f>"fde1:103:4:9177:0:0:0:2"</f>
        <v>fde1:103:4:9177:0:0:0:2</v>
      </c>
      <c r="G16934" s="1" t="str">
        <f>"0328C403"</f>
        <v>0328C403</v>
      </c>
      <c r="H16934" s="1" t="str">
        <f>"석관간 41L21R7A1"</f>
        <v>석관간 41L21R7A1</v>
      </c>
      <c r="I16934" s="1" t="s">
        <v>15</v>
      </c>
      <c r="J16934" s="1" t="str">
        <f>"118/118"</f>
        <v>118/118</v>
      </c>
      <c r="K16934" s="1" t="str">
        <f>"2026-07-29 14:20:56"</f>
        <v>2026-07-29 14:20:56</v>
      </c>
      <c r="L16934" s="1" t="str">
        <f>"2023-12-21 10:24:56"</f>
        <v>2023-12-21 10:24:56</v>
      </c>
      <c r="M16934" s="1" t="s">
        <v>4</v>
      </c>
      <c r="N16934" s="1" t="s">
        <v>38</v>
      </c>
      <c r="O16934" s="1" t="s">
        <v>46</v>
      </c>
    </row>
    <row r="16935" spans="2:15" x14ac:dyDescent="0.3">
      <c r="B16935" s="1" t="s">
        <v>19</v>
      </c>
      <c r="C16935" s="1" t="str">
        <f>"3차"</f>
        <v>3차</v>
      </c>
      <c r="D16935" s="1" t="str">
        <f>"0328C41131"</f>
        <v>0328C41131</v>
      </c>
      <c r="E16935" s="1" t="s">
        <v>10</v>
      </c>
      <c r="F16935" s="1" t="str">
        <f>"10.107.122.247"</f>
        <v>10.107.122.247</v>
      </c>
      <c r="G16935" s="1" t="str">
        <f>"0328C411"</f>
        <v>0328C411</v>
      </c>
      <c r="H16935" s="1" t="str">
        <f>"석관간 43L12L4"</f>
        <v>석관간 43L12L4</v>
      </c>
      <c r="I16935" s="1" t="s">
        <v>8</v>
      </c>
      <c r="J16935" s="1" t="str">
        <f>"54/54"</f>
        <v>54/54</v>
      </c>
      <c r="K16935" s="1" t="str">
        <f>"2026-07-29 13:18:02"</f>
        <v>2026-07-29 13:18:02</v>
      </c>
      <c r="L16935" s="1" t="str">
        <f>"2018-06-19 08:25:24"</f>
        <v>2018-06-19 08:25:24</v>
      </c>
      <c r="M16935" s="1" t="s">
        <v>45</v>
      </c>
      <c r="N16935" s="1" t="s">
        <v>38</v>
      </c>
      <c r="O16935" s="1" t="s">
        <v>46</v>
      </c>
    </row>
    <row r="16936" spans="2:15" x14ac:dyDescent="0.3">
      <c r="B16936" s="1" t="s">
        <v>19</v>
      </c>
      <c r="C16936" s="1" t="str">
        <f>"3차"</f>
        <v>3차</v>
      </c>
      <c r="D16936" s="1" t="str">
        <f>"0328C43139"</f>
        <v>0328C43139</v>
      </c>
      <c r="E16936" s="1" t="s">
        <v>10</v>
      </c>
      <c r="F16936" s="1" t="str">
        <f>"10.107.8.79"</f>
        <v>10.107.8.79</v>
      </c>
      <c r="G16936" s="1" t="str">
        <f>"0328C431"</f>
        <v>0328C431</v>
      </c>
      <c r="H16936" s="1" t="str">
        <f>"석관간 41L12"</f>
        <v>석관간 41L12</v>
      </c>
      <c r="I16936" s="1" t="s">
        <v>8</v>
      </c>
      <c r="J16936" s="1" t="str">
        <f>"14/14"</f>
        <v>14/14</v>
      </c>
      <c r="K16936" s="1" t="str">
        <f>"2026-07-29 13:18:02"</f>
        <v>2026-07-29 13:18:02</v>
      </c>
      <c r="L16936" s="1" t="str">
        <f>"2018-04-02 13:57:27"</f>
        <v>2018-04-02 13:57:27</v>
      </c>
      <c r="M16936" s="1" t="s">
        <v>45</v>
      </c>
      <c r="N16936" s="1" t="s">
        <v>38</v>
      </c>
      <c r="O16936" s="1" t="s">
        <v>46</v>
      </c>
    </row>
    <row r="16937" spans="2:15" x14ac:dyDescent="0.3">
      <c r="B16937" s="1" t="s">
        <v>19</v>
      </c>
      <c r="C16937" s="1" t="str">
        <f>"3차"</f>
        <v>3차</v>
      </c>
      <c r="D16937" s="1" t="str">
        <f>"0328C43239"</f>
        <v>0328C43239</v>
      </c>
      <c r="E16937" s="1" t="s">
        <v>10</v>
      </c>
      <c r="F16937" s="1" t="str">
        <f>"10.107.8.80"</f>
        <v>10.107.8.80</v>
      </c>
      <c r="G16937" s="1" t="str">
        <f>"0328C432"</f>
        <v>0328C432</v>
      </c>
      <c r="H16937" s="1" t="str">
        <f>"석관간 41L13"</f>
        <v>석관간 41L13</v>
      </c>
      <c r="I16937" s="1" t="s">
        <v>8</v>
      </c>
      <c r="J16937" s="1" t="str">
        <f>"81/82"</f>
        <v>81/82</v>
      </c>
      <c r="K16937" s="1" t="str">
        <f>"2026-07-29 13:18:02"</f>
        <v>2026-07-29 13:18:02</v>
      </c>
      <c r="L16937" s="1" t="str">
        <f>"2018-03-23 14:08:41"</f>
        <v>2018-03-23 14:08:41</v>
      </c>
      <c r="M16937" s="1" t="s">
        <v>45</v>
      </c>
      <c r="N16937" s="1" t="s">
        <v>38</v>
      </c>
      <c r="O16937" s="1" t="s">
        <v>46</v>
      </c>
    </row>
    <row r="16938" spans="2:15" x14ac:dyDescent="0.3">
      <c r="B16938" s="1" t="s">
        <v>19</v>
      </c>
      <c r="C16938" s="1" t="str">
        <f>"4차"</f>
        <v>4차</v>
      </c>
      <c r="D16938" s="1" t="str">
        <f>"0328C44139"</f>
        <v>0328C44139</v>
      </c>
      <c r="E16938" s="1" t="s">
        <v>10</v>
      </c>
      <c r="F16938" s="1" t="str">
        <f>"10.107.8.75"</f>
        <v>10.107.8.75</v>
      </c>
      <c r="G16938" s="1" t="str">
        <f>"0328C441"</f>
        <v>0328C441</v>
      </c>
      <c r="H16938" s="1" t="str">
        <f>"석관간 13L9"</f>
        <v>석관간 13L9</v>
      </c>
      <c r="I16938" s="1" t="s">
        <v>8</v>
      </c>
      <c r="J16938" s="1" t="str">
        <f>"58/62"</f>
        <v>58/62</v>
      </c>
      <c r="K16938" s="1" t="str">
        <f>"2026-07-29 13:18:04"</f>
        <v>2026-07-29 13:18:04</v>
      </c>
      <c r="L16938" s="1" t="str">
        <f>"2018-06-19 17:43:51"</f>
        <v>2018-06-19 17:43:51</v>
      </c>
      <c r="M16938" s="1" t="s">
        <v>45</v>
      </c>
      <c r="N16938" s="1" t="s">
        <v>38</v>
      </c>
      <c r="O16938" s="1" t="s">
        <v>46</v>
      </c>
    </row>
    <row r="16939" spans="2:15" x14ac:dyDescent="0.3">
      <c r="B16939" s="1" t="s">
        <v>19</v>
      </c>
      <c r="C16939" s="1" t="str">
        <f>"4차"</f>
        <v>4차</v>
      </c>
      <c r="D16939" s="1" t="str">
        <f>"0328C50141"</f>
        <v>0328C50141</v>
      </c>
      <c r="E16939" s="1" t="s">
        <v>10</v>
      </c>
      <c r="F16939" s="1" t="str">
        <f>"10.14.6.14"</f>
        <v>10.14.6.14</v>
      </c>
      <c r="G16939" s="1" t="str">
        <f>"0328C501"</f>
        <v>0328C501</v>
      </c>
      <c r="H16939" s="1" t="str">
        <f>"석관간 41L21R8"</f>
        <v>석관간 41L21R8</v>
      </c>
      <c r="I16939" s="1" t="s">
        <v>17</v>
      </c>
      <c r="J16939" s="1" t="str">
        <f>"23/23"</f>
        <v>23/23</v>
      </c>
      <c r="K16939" s="1" t="str">
        <f>"2026-07-29 13:18:04"</f>
        <v>2026-07-29 13:18:04</v>
      </c>
      <c r="L16939" s="1" t="str">
        <f>"2021-10-08 10:05:18"</f>
        <v>2021-10-08 10:05:18</v>
      </c>
      <c r="M16939" s="1" t="s">
        <v>3</v>
      </c>
      <c r="N16939" s="1" t="s">
        <v>38</v>
      </c>
      <c r="O16939" s="1" t="s">
        <v>46</v>
      </c>
    </row>
    <row r="16940" spans="2:15" x14ac:dyDescent="0.3">
      <c r="B16940" s="1" t="s">
        <v>19</v>
      </c>
      <c r="C16940" s="1" t="str">
        <f>"5-2차"</f>
        <v>5-2차</v>
      </c>
      <c r="D16940" s="1" t="str">
        <f>"0328C5125M"</f>
        <v>0328C5125M</v>
      </c>
      <c r="E16940" s="1" t="s">
        <v>10</v>
      </c>
      <c r="F16940" s="1" t="str">
        <f>"fde1:103:4:929d:0:0:0:2"</f>
        <v>fde1:103:4:929d:0:0:0:2</v>
      </c>
      <c r="G16940" s="1" t="str">
        <f>"0328C512"</f>
        <v>0328C512</v>
      </c>
      <c r="H16940" s="1" t="str">
        <f>"석관간 41L15"</f>
        <v>석관간 41L15</v>
      </c>
      <c r="I16940" s="1" t="s">
        <v>15</v>
      </c>
      <c r="J16940" s="1" t="str">
        <f>"37/37"</f>
        <v>37/37</v>
      </c>
      <c r="K16940" s="1" t="str">
        <f>"2026-07-29 14:20:39"</f>
        <v>2026-07-29 14:20:39</v>
      </c>
      <c r="L16940" s="1" t="str">
        <f>"2023-12-21 10:28:15"</f>
        <v>2023-12-21 10:28:15</v>
      </c>
      <c r="M16940" s="1" t="s">
        <v>4</v>
      </c>
      <c r="N16940" s="1" t="s">
        <v>38</v>
      </c>
      <c r="O16940" s="1" t="s">
        <v>46</v>
      </c>
    </row>
    <row r="16941" spans="2:15" x14ac:dyDescent="0.3">
      <c r="B16941" s="1" t="s">
        <v>19</v>
      </c>
      <c r="C16941" s="1" t="str">
        <f>"3차"</f>
        <v>3차</v>
      </c>
      <c r="D16941" s="1" t="str">
        <f>"0328C52239"</f>
        <v>0328C52239</v>
      </c>
      <c r="E16941" s="1" t="s">
        <v>10</v>
      </c>
      <c r="F16941" s="1" t="str">
        <f>"10.107.8.47"</f>
        <v>10.107.8.47</v>
      </c>
      <c r="G16941" s="1" t="str">
        <f>"0328C522"</f>
        <v>0328C522</v>
      </c>
      <c r="H16941" s="1" t="str">
        <f>"석관간 13L10L4"</f>
        <v>석관간 13L10L4</v>
      </c>
      <c r="I16941" s="1" t="s">
        <v>8</v>
      </c>
      <c r="J16941" s="1" t="str">
        <f>"10/10"</f>
        <v>10/10</v>
      </c>
      <c r="K16941" s="1" t="str">
        <f t="shared" ref="K16941:K16949" si="833">"2026-07-29 13:18:03"</f>
        <v>2026-07-29 13:18:03</v>
      </c>
      <c r="L16941" s="1" t="str">
        <f>"2018-03-23 14:13:56"</f>
        <v>2018-03-23 14:13:56</v>
      </c>
      <c r="M16941" s="1" t="s">
        <v>45</v>
      </c>
      <c r="N16941" s="1" t="s">
        <v>38</v>
      </c>
      <c r="O16941" s="1" t="s">
        <v>46</v>
      </c>
    </row>
    <row r="16942" spans="2:15" x14ac:dyDescent="0.3">
      <c r="B16942" s="1" t="s">
        <v>19</v>
      </c>
      <c r="C16942" s="1" t="str">
        <f>"3차"</f>
        <v>3차</v>
      </c>
      <c r="D16942" s="1" t="str">
        <f>"0328C53239"</f>
        <v>0328C53239</v>
      </c>
      <c r="E16942" s="1" t="s">
        <v>10</v>
      </c>
      <c r="F16942" s="1" t="str">
        <f>"10.107.8.46"</f>
        <v>10.107.8.46</v>
      </c>
      <c r="G16942" s="1" t="str">
        <f>"0328C532"</f>
        <v>0328C532</v>
      </c>
      <c r="H16942" s="1" t="str">
        <f>"석관간 13L10L3"</f>
        <v>석관간 13L10L3</v>
      </c>
      <c r="I16942" s="1" t="s">
        <v>8</v>
      </c>
      <c r="J16942" s="1" t="str">
        <f>"41/41"</f>
        <v>41/41</v>
      </c>
      <c r="K16942" s="1" t="str">
        <f t="shared" si="833"/>
        <v>2026-07-29 13:18:03</v>
      </c>
      <c r="L16942" s="1" t="str">
        <f>"2018-03-23 14:19:41"</f>
        <v>2018-03-23 14:19:41</v>
      </c>
      <c r="M16942" s="1" t="s">
        <v>45</v>
      </c>
      <c r="N16942" s="1" t="s">
        <v>38</v>
      </c>
      <c r="O16942" s="1" t="s">
        <v>46</v>
      </c>
    </row>
    <row r="16943" spans="2:15" x14ac:dyDescent="0.3">
      <c r="B16943" s="1" t="s">
        <v>19</v>
      </c>
      <c r="C16943" s="1" t="str">
        <f>"4차"</f>
        <v>4차</v>
      </c>
      <c r="D16943" s="1" t="str">
        <f>"0328C53330"</f>
        <v>0328C53330</v>
      </c>
      <c r="E16943" s="1" t="s">
        <v>10</v>
      </c>
      <c r="F16943" s="1" t="str">
        <f>"10.107.8.240"</f>
        <v>10.107.8.240</v>
      </c>
      <c r="G16943" s="1" t="str">
        <f>"0328C533"</f>
        <v>0328C533</v>
      </c>
      <c r="H16943" s="1" t="str">
        <f>"석관간 13L6L3R4"</f>
        <v>석관간 13L6L3R4</v>
      </c>
      <c r="I16943" s="1" t="s">
        <v>8</v>
      </c>
      <c r="J16943" s="1" t="str">
        <f>"26/32"</f>
        <v>26/32</v>
      </c>
      <c r="K16943" s="1" t="str">
        <f t="shared" si="833"/>
        <v>2026-07-29 13:18:03</v>
      </c>
      <c r="L16943" s="1" t="str">
        <f>"2018-06-22 11:40:11"</f>
        <v>2018-06-22 11:40:11</v>
      </c>
      <c r="M16943" s="1" t="s">
        <v>45</v>
      </c>
      <c r="N16943" s="1" t="s">
        <v>38</v>
      </c>
      <c r="O16943" s="1" t="s">
        <v>46</v>
      </c>
    </row>
    <row r="16944" spans="2:15" x14ac:dyDescent="0.3">
      <c r="B16944" s="1" t="s">
        <v>19</v>
      </c>
      <c r="C16944" s="1" t="str">
        <f>"4차"</f>
        <v>4차</v>
      </c>
      <c r="D16944" s="1" t="str">
        <f>"0328C54139"</f>
        <v>0328C54139</v>
      </c>
      <c r="E16944" s="1" t="s">
        <v>10</v>
      </c>
      <c r="F16944" s="1" t="str">
        <f>"10.107.8.76"</f>
        <v>10.107.8.76</v>
      </c>
      <c r="G16944" s="1" t="str">
        <f>"0328C541"</f>
        <v>0328C541</v>
      </c>
      <c r="H16944" s="1" t="str">
        <f>"석관간 13L8"</f>
        <v>석관간 13L8</v>
      </c>
      <c r="I16944" s="1" t="s">
        <v>8</v>
      </c>
      <c r="J16944" s="1" t="str">
        <f>"51/51"</f>
        <v>51/51</v>
      </c>
      <c r="K16944" s="1" t="str">
        <f t="shared" si="833"/>
        <v>2026-07-29 13:18:03</v>
      </c>
      <c r="L16944" s="1" t="str">
        <f>"2018-03-23 14:03:41"</f>
        <v>2018-03-23 14:03:41</v>
      </c>
      <c r="M16944" s="1" t="s">
        <v>45</v>
      </c>
      <c r="N16944" s="1" t="s">
        <v>38</v>
      </c>
      <c r="O16944" s="1" t="s">
        <v>46</v>
      </c>
    </row>
    <row r="16945" spans="2:15" x14ac:dyDescent="0.3">
      <c r="B16945" s="1" t="s">
        <v>19</v>
      </c>
      <c r="C16945" s="1" t="str">
        <f>"1차"</f>
        <v>1차</v>
      </c>
      <c r="D16945" s="1" t="str">
        <f>"0328C59100"</f>
        <v>0328C59100</v>
      </c>
      <c r="E16945" s="1" t="s">
        <v>10</v>
      </c>
      <c r="F16945" s="1" t="str">
        <f>"10.107.4.141"</f>
        <v>10.107.4.141</v>
      </c>
      <c r="G16945" s="1" t="str">
        <f>"0328C591"</f>
        <v>0328C591</v>
      </c>
      <c r="H16945" s="1" t="str">
        <f>"석관간 13L16R7"</f>
        <v>석관간 13L16R7</v>
      </c>
      <c r="I16945" s="1" t="s">
        <v>8</v>
      </c>
      <c r="J16945" s="1" t="str">
        <f>"88/89"</f>
        <v>88/89</v>
      </c>
      <c r="K16945" s="1" t="str">
        <f t="shared" si="833"/>
        <v>2026-07-29 13:18:03</v>
      </c>
      <c r="L16945" s="1" t="str">
        <f>"2014-11-19 14:10:32"</f>
        <v>2014-11-19 14:10:32</v>
      </c>
      <c r="M16945" s="1" t="s">
        <v>45</v>
      </c>
      <c r="N16945" s="1" t="s">
        <v>38</v>
      </c>
      <c r="O16945" s="1" t="s">
        <v>46</v>
      </c>
    </row>
    <row r="16946" spans="2:15" x14ac:dyDescent="0.3">
      <c r="B16946" s="1" t="s">
        <v>19</v>
      </c>
      <c r="C16946" s="1" t="str">
        <f>"4차"</f>
        <v>4차</v>
      </c>
      <c r="D16946" s="1" t="str">
        <f>"0328C60141"</f>
        <v>0328C60141</v>
      </c>
      <c r="E16946" s="1" t="s">
        <v>10</v>
      </c>
      <c r="F16946" s="1" t="str">
        <f>"10.12.138.84"</f>
        <v>10.12.138.84</v>
      </c>
      <c r="G16946" s="1" t="str">
        <f>"0328C601"</f>
        <v>0328C601</v>
      </c>
      <c r="H16946" s="1" t="str">
        <f>"석관간 41L17"</f>
        <v>석관간 41L17</v>
      </c>
      <c r="I16946" s="1" t="s">
        <v>17</v>
      </c>
      <c r="J16946" s="1" t="str">
        <f>"13/13"</f>
        <v>13/13</v>
      </c>
      <c r="K16946" s="1" t="str">
        <f t="shared" si="833"/>
        <v>2026-07-29 13:18:03</v>
      </c>
      <c r="L16946" s="1" t="str">
        <f>"2021-10-08 11:02:20"</f>
        <v>2021-10-08 11:02:20</v>
      </c>
      <c r="M16946" s="1" t="s">
        <v>0</v>
      </c>
      <c r="N16946" s="1" t="s">
        <v>38</v>
      </c>
      <c r="O16946" s="1" t="s">
        <v>46</v>
      </c>
    </row>
    <row r="16947" spans="2:15" x14ac:dyDescent="0.3">
      <c r="B16947" s="1" t="s">
        <v>19</v>
      </c>
      <c r="C16947" s="1" t="str">
        <f>"3차"</f>
        <v>3차</v>
      </c>
      <c r="D16947" s="1" t="str">
        <f>"0328C63131"</f>
        <v>0328C63131</v>
      </c>
      <c r="E16947" s="1" t="s">
        <v>10</v>
      </c>
      <c r="F16947" s="1" t="str">
        <f>"10.107.8.70"</f>
        <v>10.107.8.70</v>
      </c>
      <c r="G16947" s="1" t="str">
        <f>"0328C631"</f>
        <v>0328C631</v>
      </c>
      <c r="H16947" s="1" t="str">
        <f>"석관간 13L6L2"</f>
        <v>석관간 13L6L2</v>
      </c>
      <c r="I16947" s="1" t="s">
        <v>8</v>
      </c>
      <c r="J16947" s="1" t="str">
        <f>"32/32"</f>
        <v>32/32</v>
      </c>
      <c r="K16947" s="1" t="str">
        <f t="shared" si="833"/>
        <v>2026-07-29 13:18:03</v>
      </c>
      <c r="L16947" s="1" t="str">
        <f>"2018-06-05 15:09:13"</f>
        <v>2018-06-05 15:09:13</v>
      </c>
      <c r="M16947" s="1" t="s">
        <v>45</v>
      </c>
      <c r="N16947" s="1" t="s">
        <v>38</v>
      </c>
      <c r="O16947" s="1" t="s">
        <v>46</v>
      </c>
    </row>
    <row r="16948" spans="2:15" x14ac:dyDescent="0.3">
      <c r="B16948" s="1" t="s">
        <v>19</v>
      </c>
      <c r="C16948" s="1" t="str">
        <f>"3차"</f>
        <v>3차</v>
      </c>
      <c r="D16948" s="1" t="str">
        <f>"0328C63231"</f>
        <v>0328C63231</v>
      </c>
      <c r="E16948" s="1" t="s">
        <v>10</v>
      </c>
      <c r="F16948" s="1" t="str">
        <f>"10.107.8.72"</f>
        <v>10.107.8.72</v>
      </c>
      <c r="G16948" s="1" t="str">
        <f>"0328C632"</f>
        <v>0328C632</v>
      </c>
      <c r="H16948" s="1" t="str">
        <f>"석관간 13L6L3R1"</f>
        <v>석관간 13L6L3R1</v>
      </c>
      <c r="I16948" s="1" t="s">
        <v>8</v>
      </c>
      <c r="J16948" s="1" t="str">
        <f>"18/18"</f>
        <v>18/18</v>
      </c>
      <c r="K16948" s="1" t="str">
        <f t="shared" si="833"/>
        <v>2026-07-29 13:18:03</v>
      </c>
      <c r="L16948" s="1" t="str">
        <f>"2018-05-30 16:31:42"</f>
        <v>2018-05-30 16:31:42</v>
      </c>
      <c r="M16948" s="1" t="s">
        <v>45</v>
      </c>
      <c r="N16948" s="1" t="s">
        <v>38</v>
      </c>
      <c r="O16948" s="1" t="s">
        <v>46</v>
      </c>
    </row>
    <row r="16949" spans="2:15" x14ac:dyDescent="0.3">
      <c r="B16949" s="1" t="s">
        <v>19</v>
      </c>
      <c r="C16949" s="1" t="str">
        <f>"3차"</f>
        <v>3차</v>
      </c>
      <c r="D16949" s="1" t="str">
        <f>"0328C64230"</f>
        <v>0328C64230</v>
      </c>
      <c r="E16949" s="1" t="s">
        <v>10</v>
      </c>
      <c r="F16949" s="1" t="str">
        <f>"10.107.8.69"</f>
        <v>10.107.8.69</v>
      </c>
      <c r="G16949" s="1" t="str">
        <f>"0328C642"</f>
        <v>0328C642</v>
      </c>
      <c r="H16949" s="1" t="str">
        <f>"석관간 13L6L1"</f>
        <v>석관간 13L6L1</v>
      </c>
      <c r="I16949" s="1" t="s">
        <v>8</v>
      </c>
      <c r="J16949" s="1" t="str">
        <f>"9/9"</f>
        <v>9/9</v>
      </c>
      <c r="K16949" s="1" t="str">
        <f t="shared" si="833"/>
        <v>2026-07-29 13:18:03</v>
      </c>
      <c r="L16949" s="1" t="str">
        <f>"2018-06-05 15:02:06"</f>
        <v>2018-06-05 15:02:06</v>
      </c>
      <c r="M16949" s="1" t="s">
        <v>45</v>
      </c>
      <c r="N16949" s="1" t="s">
        <v>38</v>
      </c>
      <c r="O16949" s="1" t="s">
        <v>46</v>
      </c>
    </row>
    <row r="16950" spans="2:15" x14ac:dyDescent="0.3">
      <c r="B16950" s="1" t="s">
        <v>19</v>
      </c>
      <c r="C16950" s="1" t="str">
        <f>"5-2차"</f>
        <v>5-2차</v>
      </c>
      <c r="D16950" s="1" t="str">
        <f>"0328C6515M"</f>
        <v>0328C6515M</v>
      </c>
      <c r="E16950" s="1" t="s">
        <v>10</v>
      </c>
      <c r="F16950" s="1" t="str">
        <f>"fde1:103:4:92cf:0:0:0:2"</f>
        <v>fde1:103:4:92cf:0:0:0:2</v>
      </c>
      <c r="G16950" s="1" t="str">
        <f>"0328C651"</f>
        <v>0328C651</v>
      </c>
      <c r="H16950" s="1" t="str">
        <f>"석관간 13L6"</f>
        <v>석관간 13L6</v>
      </c>
      <c r="I16950" s="1" t="s">
        <v>15</v>
      </c>
      <c r="J16950" s="1" t="str">
        <f>"43/43"</f>
        <v>43/43</v>
      </c>
      <c r="K16950" s="1" t="str">
        <f>"2026-07-29 14:20:41"</f>
        <v>2026-07-29 14:20:41</v>
      </c>
      <c r="L16950" s="1" t="str">
        <f>"2023-12-21 10:25:46"</f>
        <v>2023-12-21 10:25:46</v>
      </c>
      <c r="M16950" s="1" t="s">
        <v>4</v>
      </c>
      <c r="N16950" s="1" t="s">
        <v>38</v>
      </c>
      <c r="O16950" s="1" t="s">
        <v>46</v>
      </c>
    </row>
    <row r="16951" spans="2:15" x14ac:dyDescent="0.3">
      <c r="B16951" s="1" t="s">
        <v>19</v>
      </c>
      <c r="C16951" s="1" t="str">
        <f>"1차"</f>
        <v>1차</v>
      </c>
      <c r="D16951" s="1" t="str">
        <f>"0328C66200"</f>
        <v>0328C66200</v>
      </c>
      <c r="E16951" s="1" t="s">
        <v>10</v>
      </c>
      <c r="F16951" s="1" t="str">
        <f>"10.107.5.56"</f>
        <v>10.107.5.56</v>
      </c>
      <c r="G16951" s="1" t="str">
        <f>"0328C662"</f>
        <v>0328C662</v>
      </c>
      <c r="H16951" s="1" t="str">
        <f>"석관간 13L6R2"</f>
        <v>석관간 13L6R2</v>
      </c>
      <c r="I16951" s="1" t="s">
        <v>8</v>
      </c>
      <c r="J16951" s="1" t="str">
        <f>"2/4"</f>
        <v>2/4</v>
      </c>
      <c r="K16951" s="1" t="str">
        <f>"2026-07-29 13:18:03"</f>
        <v>2026-07-29 13:18:03</v>
      </c>
      <c r="L16951" s="1" t="str">
        <f>"2014-11-19 15:28:45"</f>
        <v>2014-11-19 15:28:45</v>
      </c>
      <c r="M16951" s="1" t="s">
        <v>45</v>
      </c>
      <c r="N16951" s="1" t="s">
        <v>38</v>
      </c>
      <c r="O16951" s="1" t="s">
        <v>46</v>
      </c>
    </row>
    <row r="16952" spans="2:15" x14ac:dyDescent="0.3">
      <c r="B16952" s="1" t="s">
        <v>19</v>
      </c>
      <c r="C16952" s="1" t="str">
        <f>"4차"</f>
        <v>4차</v>
      </c>
      <c r="D16952" s="1" t="str">
        <f>"0328C67130"</f>
        <v>0328C67130</v>
      </c>
      <c r="E16952" s="1" t="s">
        <v>10</v>
      </c>
      <c r="F16952" s="1" t="str">
        <f>"10.107.4.146"</f>
        <v>10.107.4.146</v>
      </c>
      <c r="G16952" s="1" t="str">
        <f>"0328C671"</f>
        <v>0328C671</v>
      </c>
      <c r="H16952" s="1" t="str">
        <f>"석관간 13L16R7R3"</f>
        <v>석관간 13L16R7R3</v>
      </c>
      <c r="I16952" s="1" t="s">
        <v>8</v>
      </c>
      <c r="J16952" s="1" t="str">
        <f>"14/16"</f>
        <v>14/16</v>
      </c>
      <c r="K16952" s="1" t="str">
        <f>"2026-07-29 13:18:02"</f>
        <v>2026-07-29 13:18:02</v>
      </c>
      <c r="L16952" s="1" t="str">
        <f>"2021-02-25 16:20:11"</f>
        <v>2021-02-25 16:20:11</v>
      </c>
      <c r="M16952" s="1" t="s">
        <v>45</v>
      </c>
      <c r="N16952" s="1" t="s">
        <v>38</v>
      </c>
      <c r="O16952" s="1" t="s">
        <v>46</v>
      </c>
    </row>
    <row r="16953" spans="2:15" x14ac:dyDescent="0.3">
      <c r="B16953" s="1" t="s">
        <v>19</v>
      </c>
      <c r="C16953" s="1" t="str">
        <f>"4차"</f>
        <v>4차</v>
      </c>
      <c r="D16953" s="1" t="str">
        <f>"0328C69144"</f>
        <v>0328C69144</v>
      </c>
      <c r="E16953" s="1" t="s">
        <v>10</v>
      </c>
      <c r="F16953" s="1" t="str">
        <f>"10.12.131.103"</f>
        <v>10.12.131.103</v>
      </c>
      <c r="G16953" s="1" t="str">
        <f>"0328C691"</f>
        <v>0328C691</v>
      </c>
      <c r="H16953" s="1" t="str">
        <f>"석관간 13L16R9"</f>
        <v>석관간 13L16R9</v>
      </c>
      <c r="I16953" s="1" t="s">
        <v>8</v>
      </c>
      <c r="J16953" s="1" t="str">
        <f>"64/65"</f>
        <v>64/65</v>
      </c>
      <c r="K16953" s="1" t="str">
        <f t="shared" ref="K16953:K16965" si="834">"2026-07-29 13:18:03"</f>
        <v>2026-07-29 13:18:03</v>
      </c>
      <c r="L16953" s="1" t="str">
        <f>"2023-12-06 10:49:36"</f>
        <v>2023-12-06 10:49:36</v>
      </c>
      <c r="M16953" s="1" t="s">
        <v>0</v>
      </c>
      <c r="N16953" s="1" t="s">
        <v>38</v>
      </c>
      <c r="O16953" s="1" t="s">
        <v>46</v>
      </c>
    </row>
    <row r="16954" spans="2:15" x14ac:dyDescent="0.3">
      <c r="B16954" s="1" t="s">
        <v>19</v>
      </c>
      <c r="C16954" s="1" t="str">
        <f>"3차"</f>
        <v>3차</v>
      </c>
      <c r="D16954" s="1" t="str">
        <f>"0328C71239"</f>
        <v>0328C71239</v>
      </c>
      <c r="E16954" s="1" t="s">
        <v>10</v>
      </c>
      <c r="F16954" s="1" t="str">
        <f>"10.107.120.5"</f>
        <v>10.107.120.5</v>
      </c>
      <c r="G16954" s="1" t="str">
        <f>"0328C712"</f>
        <v>0328C712</v>
      </c>
      <c r="H16954" s="1" t="str">
        <f>"석관간 13L10L6L1"</f>
        <v>석관간 13L10L6L1</v>
      </c>
      <c r="I16954" s="1" t="s">
        <v>8</v>
      </c>
      <c r="J16954" s="1" t="str">
        <f>"37/37"</f>
        <v>37/37</v>
      </c>
      <c r="K16954" s="1" t="str">
        <f t="shared" si="834"/>
        <v>2026-07-29 13:18:03</v>
      </c>
      <c r="L16954" s="1" t="str">
        <f>"2018-03-23 14:16:41"</f>
        <v>2018-03-23 14:16:41</v>
      </c>
      <c r="M16954" s="1" t="s">
        <v>45</v>
      </c>
      <c r="N16954" s="1" t="s">
        <v>38</v>
      </c>
      <c r="O16954" s="1" t="s">
        <v>46</v>
      </c>
    </row>
    <row r="16955" spans="2:15" x14ac:dyDescent="0.3">
      <c r="B16955" s="1" t="s">
        <v>19</v>
      </c>
      <c r="C16955" s="1" t="str">
        <f>"3차"</f>
        <v>3차</v>
      </c>
      <c r="D16955" s="1" t="str">
        <f>"0328C72139"</f>
        <v>0328C72139</v>
      </c>
      <c r="E16955" s="1" t="s">
        <v>10</v>
      </c>
      <c r="F16955" s="1" t="str">
        <f>"10.107.8.74"</f>
        <v>10.107.8.74</v>
      </c>
      <c r="G16955" s="1" t="str">
        <f>"0328C721"</f>
        <v>0328C721</v>
      </c>
      <c r="H16955" s="1" t="str">
        <f>"석관간 13L6L4"</f>
        <v>석관간 13L6L4</v>
      </c>
      <c r="I16955" s="1" t="s">
        <v>8</v>
      </c>
      <c r="J16955" s="1" t="str">
        <f>"31/32"</f>
        <v>31/32</v>
      </c>
      <c r="K16955" s="1" t="str">
        <f t="shared" si="834"/>
        <v>2026-07-29 13:18:03</v>
      </c>
      <c r="L16955" s="1" t="str">
        <f>"2018-03-23 15:32:26"</f>
        <v>2018-03-23 15:32:26</v>
      </c>
      <c r="M16955" s="1" t="s">
        <v>45</v>
      </c>
      <c r="N16955" s="1" t="s">
        <v>38</v>
      </c>
      <c r="O16955" s="1" t="s">
        <v>46</v>
      </c>
    </row>
    <row r="16956" spans="2:15" x14ac:dyDescent="0.3">
      <c r="B16956" s="1" t="s">
        <v>19</v>
      </c>
      <c r="C16956" s="1" t="str">
        <f>"3차"</f>
        <v>3차</v>
      </c>
      <c r="D16956" s="1" t="str">
        <f>"0328C72239"</f>
        <v>0328C72239</v>
      </c>
      <c r="E16956" s="1" t="s">
        <v>10</v>
      </c>
      <c r="F16956" s="1" t="str">
        <f>"10.107.8.73"</f>
        <v>10.107.8.73</v>
      </c>
      <c r="G16956" s="1" t="str">
        <f>"0328C722"</f>
        <v>0328C722</v>
      </c>
      <c r="H16956" s="1" t="str">
        <f>"석관간 13L6L5"</f>
        <v>석관간 13L6L5</v>
      </c>
      <c r="I16956" s="1" t="s">
        <v>8</v>
      </c>
      <c r="J16956" s="1" t="str">
        <f>"7/7"</f>
        <v>7/7</v>
      </c>
      <c r="K16956" s="1" t="str">
        <f t="shared" si="834"/>
        <v>2026-07-29 13:18:03</v>
      </c>
      <c r="L16956" s="1" t="str">
        <f>"2018-03-23 13:57:47"</f>
        <v>2018-03-23 13:57:47</v>
      </c>
      <c r="M16956" s="1" t="s">
        <v>45</v>
      </c>
      <c r="N16956" s="1" t="s">
        <v>38</v>
      </c>
      <c r="O16956" s="1" t="s">
        <v>46</v>
      </c>
    </row>
    <row r="16957" spans="2:15" x14ac:dyDescent="0.3">
      <c r="B16957" s="1" t="s">
        <v>19</v>
      </c>
      <c r="C16957" s="1" t="str">
        <f>"4차"</f>
        <v>4차</v>
      </c>
      <c r="D16957" s="1" t="str">
        <f>"0328C73239"</f>
        <v>0328C73239</v>
      </c>
      <c r="E16957" s="1" t="s">
        <v>10</v>
      </c>
      <c r="F16957" s="1" t="str">
        <f>"10.107.8.71"</f>
        <v>10.107.8.71</v>
      </c>
      <c r="G16957" s="1" t="str">
        <f>"0328C732"</f>
        <v>0328C732</v>
      </c>
      <c r="H16957" s="1" t="str">
        <f>"석관간 13L6L3"</f>
        <v>석관간 13L6L3</v>
      </c>
      <c r="I16957" s="1" t="s">
        <v>8</v>
      </c>
      <c r="J16957" s="1" t="str">
        <f>"71/71"</f>
        <v>71/71</v>
      </c>
      <c r="K16957" s="1" t="str">
        <f t="shared" si="834"/>
        <v>2026-07-29 13:18:03</v>
      </c>
      <c r="L16957" s="1" t="str">
        <f>"2018-06-22 11:26:39"</f>
        <v>2018-06-22 11:26:39</v>
      </c>
      <c r="M16957" s="1" t="s">
        <v>45</v>
      </c>
      <c r="N16957" s="1" t="s">
        <v>38</v>
      </c>
      <c r="O16957" s="1" t="s">
        <v>46</v>
      </c>
    </row>
    <row r="16958" spans="2:15" x14ac:dyDescent="0.3">
      <c r="B16958" s="1" t="s">
        <v>19</v>
      </c>
      <c r="C16958" s="1" t="str">
        <f>"4차"</f>
        <v>4차</v>
      </c>
      <c r="D16958" s="1" t="str">
        <f>"0328C75139"</f>
        <v>0328C75139</v>
      </c>
      <c r="E16958" s="1" t="s">
        <v>10</v>
      </c>
      <c r="F16958" s="1" t="str">
        <f>"10.107.8.67"</f>
        <v>10.107.8.67</v>
      </c>
      <c r="G16958" s="1" t="str">
        <f>"0328C751"</f>
        <v>0328C751</v>
      </c>
      <c r="H16958" s="1" t="str">
        <f>"석관간 13L4L1"</f>
        <v>석관간 13L4L1</v>
      </c>
      <c r="I16958" s="1" t="s">
        <v>8</v>
      </c>
      <c r="J16958" s="1" t="str">
        <f>"29/30"</f>
        <v>29/30</v>
      </c>
      <c r="K16958" s="1" t="str">
        <f t="shared" si="834"/>
        <v>2026-07-29 13:18:03</v>
      </c>
      <c r="L16958" s="1" t="str">
        <f>"2018-03-23 15:19:26"</f>
        <v>2018-03-23 15:19:26</v>
      </c>
      <c r="M16958" s="1" t="s">
        <v>45</v>
      </c>
      <c r="N16958" s="1" t="s">
        <v>38</v>
      </c>
      <c r="O16958" s="1" t="s">
        <v>46</v>
      </c>
    </row>
    <row r="16959" spans="2:15" x14ac:dyDescent="0.3">
      <c r="B16959" s="1" t="s">
        <v>19</v>
      </c>
      <c r="C16959" s="1" t="str">
        <f>"3차"</f>
        <v>3차</v>
      </c>
      <c r="D16959" s="1" t="str">
        <f>"0328C79139"</f>
        <v>0328C79139</v>
      </c>
      <c r="E16959" s="1" t="s">
        <v>10</v>
      </c>
      <c r="F16959" s="1" t="str">
        <f>"10.107.4.150"</f>
        <v>10.107.4.150</v>
      </c>
      <c r="G16959" s="1" t="str">
        <f>"0328C791"</f>
        <v>0328C791</v>
      </c>
      <c r="H16959" s="1" t="str">
        <f>"석관간 13L16R10"</f>
        <v>석관간 13L16R10</v>
      </c>
      <c r="I16959" s="1" t="s">
        <v>8</v>
      </c>
      <c r="J16959" s="1" t="str">
        <f>"77/78"</f>
        <v>77/78</v>
      </c>
      <c r="K16959" s="1" t="str">
        <f t="shared" si="834"/>
        <v>2026-07-29 13:18:03</v>
      </c>
      <c r="L16959" s="1" t="str">
        <f>"2023-08-07 10:44:27"</f>
        <v>2023-08-07 10:44:27</v>
      </c>
      <c r="M16959" s="1" t="s">
        <v>45</v>
      </c>
      <c r="N16959" s="1" t="s">
        <v>38</v>
      </c>
      <c r="O16959" s="1" t="s">
        <v>46</v>
      </c>
    </row>
    <row r="16960" spans="2:15" x14ac:dyDescent="0.3">
      <c r="B16960" s="1" t="s">
        <v>19</v>
      </c>
      <c r="C16960" s="1" t="str">
        <f>"3차"</f>
        <v>3차</v>
      </c>
      <c r="D16960" s="1" t="str">
        <f>"0328C81239"</f>
        <v>0328C81239</v>
      </c>
      <c r="E16960" s="1" t="s">
        <v>10</v>
      </c>
      <c r="F16960" s="1" t="str">
        <f>"10.107.120.6"</f>
        <v>10.107.120.6</v>
      </c>
      <c r="G16960" s="1" t="str">
        <f>"0328C812"</f>
        <v>0328C812</v>
      </c>
      <c r="H16960" s="1" t="str">
        <f>"석관간 13L10L6L3"</f>
        <v>석관간 13L10L6L3</v>
      </c>
      <c r="I16960" s="1" t="s">
        <v>8</v>
      </c>
      <c r="J16960" s="1" t="str">
        <f>"36/36"</f>
        <v>36/36</v>
      </c>
      <c r="K16960" s="1" t="str">
        <f t="shared" si="834"/>
        <v>2026-07-29 13:18:03</v>
      </c>
      <c r="L16960" s="1" t="str">
        <f>"2018-03-23 15:35:48"</f>
        <v>2018-03-23 15:35:48</v>
      </c>
      <c r="M16960" s="1" t="s">
        <v>45</v>
      </c>
      <c r="N16960" s="1" t="s">
        <v>38</v>
      </c>
      <c r="O16960" s="1" t="s">
        <v>46</v>
      </c>
    </row>
    <row r="16961" spans="2:15" x14ac:dyDescent="0.3">
      <c r="B16961" s="1" t="s">
        <v>19</v>
      </c>
      <c r="C16961" s="1" t="str">
        <f>"3차"</f>
        <v>3차</v>
      </c>
      <c r="D16961" s="1" t="str">
        <f>"0328C84239"</f>
        <v>0328C84239</v>
      </c>
      <c r="E16961" s="1" t="s">
        <v>10</v>
      </c>
      <c r="F16961" s="1" t="str">
        <f>"10.107.8.68"</f>
        <v>10.107.8.68</v>
      </c>
      <c r="G16961" s="1" t="str">
        <f>"0328C842"</f>
        <v>0328C842</v>
      </c>
      <c r="H16961" s="1" t="str">
        <f>"석관간 13L4L3"</f>
        <v>석관간 13L4L3</v>
      </c>
      <c r="I16961" s="1" t="s">
        <v>8</v>
      </c>
      <c r="J16961" s="1" t="str">
        <f>"41/41"</f>
        <v>41/41</v>
      </c>
      <c r="K16961" s="1" t="str">
        <f t="shared" si="834"/>
        <v>2026-07-29 13:18:03</v>
      </c>
      <c r="L16961" s="1" t="str">
        <f>"2018-03-23 13:57:11"</f>
        <v>2018-03-23 13:57:11</v>
      </c>
      <c r="M16961" s="1" t="s">
        <v>45</v>
      </c>
      <c r="N16961" s="1" t="s">
        <v>38</v>
      </c>
      <c r="O16961" s="1" t="s">
        <v>46</v>
      </c>
    </row>
    <row r="16962" spans="2:15" x14ac:dyDescent="0.3">
      <c r="B16962" s="1" t="s">
        <v>19</v>
      </c>
      <c r="C16962" s="1" t="str">
        <f>"1차"</f>
        <v>1차</v>
      </c>
      <c r="D16962" s="1" t="str">
        <f>"0328C85100"</f>
        <v>0328C85100</v>
      </c>
      <c r="E16962" s="1" t="s">
        <v>10</v>
      </c>
      <c r="F16962" s="1" t="str">
        <f>"10.107.4.153"</f>
        <v>10.107.4.153</v>
      </c>
      <c r="G16962" s="1" t="str">
        <f>"0328C851"</f>
        <v>0328C851</v>
      </c>
      <c r="H16962" s="1" t="str">
        <f>"석관간 13L4"</f>
        <v>석관간 13L4</v>
      </c>
      <c r="I16962" s="1" t="s">
        <v>8</v>
      </c>
      <c r="J16962" s="1" t="str">
        <f>"107/108"</f>
        <v>107/108</v>
      </c>
      <c r="K16962" s="1" t="str">
        <f t="shared" si="834"/>
        <v>2026-07-29 13:18:03</v>
      </c>
      <c r="L16962" s="1" t="str">
        <f>"2014-11-27 14:24:38"</f>
        <v>2014-11-27 14:24:38</v>
      </c>
      <c r="M16962" s="1" t="s">
        <v>45</v>
      </c>
      <c r="N16962" s="1" t="s">
        <v>38</v>
      </c>
      <c r="O16962" s="1" t="s">
        <v>46</v>
      </c>
    </row>
    <row r="16963" spans="2:15" x14ac:dyDescent="0.3">
      <c r="B16963" s="1" t="s">
        <v>19</v>
      </c>
      <c r="C16963" s="1" t="str">
        <f>"3차"</f>
        <v>3차</v>
      </c>
      <c r="D16963" s="1" t="str">
        <f>"0328C85239"</f>
        <v>0328C85239</v>
      </c>
      <c r="E16963" s="1" t="s">
        <v>10</v>
      </c>
      <c r="F16963" s="1" t="str">
        <f>"10.107.121.74"</f>
        <v>10.107.121.74</v>
      </c>
      <c r="G16963" s="1" t="str">
        <f>"0328C852"</f>
        <v>0328C852</v>
      </c>
      <c r="H16963" s="1" t="str">
        <f>"석관간 13L3L1"</f>
        <v>석관간 13L3L1</v>
      </c>
      <c r="I16963" s="1" t="s">
        <v>8</v>
      </c>
      <c r="J16963" s="1" t="str">
        <f>"83/87"</f>
        <v>83/87</v>
      </c>
      <c r="K16963" s="1" t="str">
        <f t="shared" si="834"/>
        <v>2026-07-29 13:18:03</v>
      </c>
      <c r="L16963" s="1" t="str">
        <f>"2018-03-23 14:17:02"</f>
        <v>2018-03-23 14:17:02</v>
      </c>
      <c r="M16963" s="1" t="s">
        <v>45</v>
      </c>
      <c r="N16963" s="1" t="s">
        <v>38</v>
      </c>
      <c r="O16963" s="1" t="s">
        <v>46</v>
      </c>
    </row>
    <row r="16964" spans="2:15" x14ac:dyDescent="0.3">
      <c r="B16964" s="1" t="s">
        <v>19</v>
      </c>
      <c r="C16964" s="1" t="str">
        <f>"3차"</f>
        <v>3차</v>
      </c>
      <c r="D16964" s="1" t="str">
        <f>"0328C92239"</f>
        <v>0328C92239</v>
      </c>
      <c r="E16964" s="1" t="s">
        <v>10</v>
      </c>
      <c r="F16964" s="1" t="str">
        <f>"10.107.120.7"</f>
        <v>10.107.120.7</v>
      </c>
      <c r="G16964" s="1" t="str">
        <f>"0328C922"</f>
        <v>0328C922</v>
      </c>
      <c r="H16964" s="1" t="str">
        <f>"석관간 13L3L5"</f>
        <v>석관간 13L3L5</v>
      </c>
      <c r="I16964" s="1" t="s">
        <v>8</v>
      </c>
      <c r="J16964" s="1" t="str">
        <f>"15/15"</f>
        <v>15/15</v>
      </c>
      <c r="K16964" s="1" t="str">
        <f t="shared" si="834"/>
        <v>2026-07-29 13:18:03</v>
      </c>
      <c r="L16964" s="1" t="str">
        <f>"2018-05-30 15:05:56"</f>
        <v>2018-05-30 15:05:56</v>
      </c>
      <c r="M16964" s="1" t="s">
        <v>45</v>
      </c>
      <c r="N16964" s="1" t="s">
        <v>38</v>
      </c>
      <c r="O16964" s="1" t="s">
        <v>46</v>
      </c>
    </row>
    <row r="16965" spans="2:15" x14ac:dyDescent="0.3">
      <c r="B16965" s="1" t="s">
        <v>19</v>
      </c>
      <c r="C16965" s="1" t="str">
        <f>"3차"</f>
        <v>3차</v>
      </c>
      <c r="D16965" s="1" t="str">
        <f>"0328C92339"</f>
        <v>0328C92339</v>
      </c>
      <c r="E16965" s="1" t="s">
        <v>10</v>
      </c>
      <c r="F16965" s="1" t="str">
        <f>"10.107.120.8"</f>
        <v>10.107.120.8</v>
      </c>
      <c r="G16965" s="1" t="str">
        <f>"0328C923"</f>
        <v>0328C923</v>
      </c>
      <c r="H16965" s="1" t="str">
        <f>"석관간 13L3L4"</f>
        <v>석관간 13L3L4</v>
      </c>
      <c r="I16965" s="1" t="s">
        <v>8</v>
      </c>
      <c r="J16965" s="1" t="str">
        <f>"64/65"</f>
        <v>64/65</v>
      </c>
      <c r="K16965" s="1" t="str">
        <f t="shared" si="834"/>
        <v>2026-07-29 13:18:03</v>
      </c>
      <c r="L16965" s="1" t="str">
        <f>"2018-04-04 14:17:12"</f>
        <v>2018-04-04 14:17:12</v>
      </c>
      <c r="M16965" s="1" t="s">
        <v>45</v>
      </c>
      <c r="N16965" s="1" t="s">
        <v>38</v>
      </c>
      <c r="O16965" s="1" t="s">
        <v>46</v>
      </c>
    </row>
    <row r="16966" spans="2:15" x14ac:dyDescent="0.3">
      <c r="B16966" s="1" t="s">
        <v>19</v>
      </c>
      <c r="C16966" s="1" t="str">
        <f>"3차"</f>
        <v>3차</v>
      </c>
      <c r="D16966" s="1" t="str">
        <f>"0328C94239"</f>
        <v>0328C94239</v>
      </c>
      <c r="E16966" s="1" t="s">
        <v>10</v>
      </c>
      <c r="F16966" s="1" t="str">
        <f>"10.107.121.75"</f>
        <v>10.107.121.75</v>
      </c>
      <c r="G16966" s="1" t="str">
        <f>"0328C942"</f>
        <v>0328C942</v>
      </c>
      <c r="H16966" s="1" t="str">
        <f>"석관간 13L3L2"</f>
        <v>석관간 13L3L2</v>
      </c>
      <c r="I16966" s="1" t="s">
        <v>8</v>
      </c>
      <c r="J16966" s="1" t="str">
        <f>"41/41"</f>
        <v>41/41</v>
      </c>
      <c r="K16966" s="1" t="str">
        <f>"2026-07-29 13:18:02"</f>
        <v>2026-07-29 13:18:02</v>
      </c>
      <c r="L16966" s="1" t="str">
        <f>"2018-03-23 14:13:44"</f>
        <v>2018-03-23 14:13:44</v>
      </c>
      <c r="M16966" s="1" t="s">
        <v>45</v>
      </c>
      <c r="N16966" s="1" t="s">
        <v>38</v>
      </c>
      <c r="O16966" s="1" t="s">
        <v>46</v>
      </c>
    </row>
    <row r="16967" spans="2:15" x14ac:dyDescent="0.3">
      <c r="B16967" s="1" t="s">
        <v>19</v>
      </c>
      <c r="C16967" s="1" t="str">
        <f>"4차"</f>
        <v>4차</v>
      </c>
      <c r="D16967" s="1" t="str">
        <f>"0328C95139"</f>
        <v>0328C95139</v>
      </c>
      <c r="E16967" s="1" t="s">
        <v>10</v>
      </c>
      <c r="F16967" s="1" t="str">
        <f>"10.107.121.76"</f>
        <v>10.107.121.76</v>
      </c>
      <c r="G16967" s="1" t="str">
        <f>"0328C951"</f>
        <v>0328C951</v>
      </c>
      <c r="H16967" s="1" t="str">
        <f>"석관간 13L3"</f>
        <v>석관간 13L3</v>
      </c>
      <c r="I16967" s="1" t="s">
        <v>8</v>
      </c>
      <c r="J16967" s="1" t="str">
        <f>"96/112"</f>
        <v>96/112</v>
      </c>
      <c r="K16967" s="1" t="str">
        <f>"2026-07-29 13:18:02"</f>
        <v>2026-07-29 13:18:02</v>
      </c>
      <c r="L16967" s="1" t="str">
        <f>"2018-03-23 14:07:17"</f>
        <v>2018-03-23 14:07:17</v>
      </c>
      <c r="M16967" s="1" t="s">
        <v>45</v>
      </c>
      <c r="N16967" s="1" t="s">
        <v>38</v>
      </c>
      <c r="O16967" s="1" t="s">
        <v>46</v>
      </c>
    </row>
    <row r="16968" spans="2:15" x14ac:dyDescent="0.3">
      <c r="B16968" s="1" t="s">
        <v>19</v>
      </c>
      <c r="C16968" s="1" t="str">
        <f>"3차"</f>
        <v>3차</v>
      </c>
      <c r="D16968" s="1" t="str">
        <f>"0328C95239"</f>
        <v>0328C95239</v>
      </c>
      <c r="E16968" s="1" t="s">
        <v>10</v>
      </c>
      <c r="F16968" s="1" t="str">
        <f>"10.107.121.77"</f>
        <v>10.107.121.77</v>
      </c>
      <c r="G16968" s="1" t="str">
        <f>"0328C952"</f>
        <v>0328C952</v>
      </c>
      <c r="H16968" s="1" t="str">
        <f>"석관간 13L3A1"</f>
        <v>석관간 13L3A1</v>
      </c>
      <c r="I16968" s="1" t="s">
        <v>8</v>
      </c>
      <c r="J16968" s="1" t="str">
        <f>"49/49"</f>
        <v>49/49</v>
      </c>
      <c r="K16968" s="1" t="str">
        <f>"2026-07-29 13:18:02"</f>
        <v>2026-07-29 13:18:02</v>
      </c>
      <c r="L16968" s="1" t="str">
        <f>"2018-03-23 14:01:56"</f>
        <v>2018-03-23 14:01:56</v>
      </c>
      <c r="M16968" s="1" t="s">
        <v>45</v>
      </c>
      <c r="N16968" s="1" t="s">
        <v>38</v>
      </c>
      <c r="O16968" s="1" t="s">
        <v>46</v>
      </c>
    </row>
    <row r="16969" spans="2:15" x14ac:dyDescent="0.3">
      <c r="B16969" s="1" t="s">
        <v>19</v>
      </c>
      <c r="C16969" s="1" t="str">
        <f>"5-2차"</f>
        <v>5-2차</v>
      </c>
      <c r="D16969" s="1" t="str">
        <f>"0328D0125M"</f>
        <v>0328D0125M</v>
      </c>
      <c r="E16969" s="1" t="s">
        <v>10</v>
      </c>
      <c r="F16969" s="1" t="str">
        <f>"fde3:102:1410:9500:0:0:0:6"</f>
        <v>fde3:102:1410:9500:0:0:0:6</v>
      </c>
      <c r="G16969" s="1" t="str">
        <f>"0328D012"</f>
        <v>0328D012</v>
      </c>
      <c r="H16969" s="1" t="str">
        <f>"석관간 6L7R1"</f>
        <v>석관간 6L7R1</v>
      </c>
      <c r="I16969" s="1" t="s">
        <v>15</v>
      </c>
      <c r="J16969" s="1" t="str">
        <f>"52/52"</f>
        <v>52/52</v>
      </c>
      <c r="K16969" s="1" t="str">
        <f>"2026-07-29 14:20:40"</f>
        <v>2026-07-29 14:20:40</v>
      </c>
      <c r="L16969" s="1" t="str">
        <f>"2024-01-08 15:16:19"</f>
        <v>2024-01-08 15:16:19</v>
      </c>
      <c r="M16969" s="1" t="s">
        <v>45</v>
      </c>
      <c r="N16969" s="1" t="s">
        <v>38</v>
      </c>
      <c r="O16969" s="1" t="s">
        <v>46</v>
      </c>
    </row>
    <row r="16970" spans="2:15" x14ac:dyDescent="0.3">
      <c r="B16970" s="1" t="s">
        <v>19</v>
      </c>
      <c r="C16970" s="1" t="str">
        <f>"3차"</f>
        <v>3차</v>
      </c>
      <c r="D16970" s="1" t="str">
        <f>"0328D02139"</f>
        <v>0328D02139</v>
      </c>
      <c r="E16970" s="1" t="s">
        <v>10</v>
      </c>
      <c r="F16970" s="1" t="str">
        <f>"10.107.120.9"</f>
        <v>10.107.120.9</v>
      </c>
      <c r="G16970" s="1" t="str">
        <f>"0328D021"</f>
        <v>0328D021</v>
      </c>
      <c r="H16970" s="1" t="str">
        <f>"석관간 13L3L5L1"</f>
        <v>석관간 13L3L5L1</v>
      </c>
      <c r="I16970" s="1" t="s">
        <v>8</v>
      </c>
      <c r="J16970" s="1" t="str">
        <f>"45/45"</f>
        <v>45/45</v>
      </c>
      <c r="K16970" s="1" t="str">
        <f>"2026-07-29 13:18:02"</f>
        <v>2026-07-29 13:18:02</v>
      </c>
      <c r="L16970" s="1" t="str">
        <f>"2018-03-23 15:18:12"</f>
        <v>2018-03-23 15:18:12</v>
      </c>
      <c r="M16970" s="1" t="s">
        <v>45</v>
      </c>
      <c r="N16970" s="1" t="s">
        <v>38</v>
      </c>
      <c r="O16970" s="1" t="s">
        <v>46</v>
      </c>
    </row>
    <row r="16971" spans="2:15" x14ac:dyDescent="0.3">
      <c r="B16971" s="1" t="s">
        <v>19</v>
      </c>
      <c r="C16971" s="1" t="str">
        <f>"3차"</f>
        <v>3차</v>
      </c>
      <c r="D16971" s="1" t="str">
        <f>"0328D03130"</f>
        <v>0328D03130</v>
      </c>
      <c r="E16971" s="1" t="s">
        <v>10</v>
      </c>
      <c r="F16971" s="1" t="str">
        <f>"10.107.121.78"</f>
        <v>10.107.121.78</v>
      </c>
      <c r="G16971" s="1" t="str">
        <f>"0328D031"</f>
        <v>0328D031</v>
      </c>
      <c r="H16971" s="1" t="str">
        <f>"석관간 6L5R4L1"</f>
        <v>석관간 6L5R4L1</v>
      </c>
      <c r="I16971" s="1" t="s">
        <v>8</v>
      </c>
      <c r="J16971" s="1" t="str">
        <f>"61/61"</f>
        <v>61/61</v>
      </c>
      <c r="K16971" s="1" t="str">
        <f>"2026-07-29 13:18:02"</f>
        <v>2026-07-29 13:18:02</v>
      </c>
      <c r="L16971" s="1" t="str">
        <f>"2018-03-23 14:03:41"</f>
        <v>2018-03-23 14:03:41</v>
      </c>
      <c r="M16971" s="1" t="s">
        <v>45</v>
      </c>
      <c r="N16971" s="1" t="s">
        <v>38</v>
      </c>
      <c r="O16971" s="1" t="s">
        <v>46</v>
      </c>
    </row>
    <row r="16972" spans="2:15" x14ac:dyDescent="0.3">
      <c r="B16972" s="1" t="s">
        <v>19</v>
      </c>
      <c r="C16972" s="1" t="str">
        <f>"3차"</f>
        <v>3차</v>
      </c>
      <c r="D16972" s="1" t="str">
        <f>"0328D03331"</f>
        <v>0328D03331</v>
      </c>
      <c r="E16972" s="1" t="s">
        <v>10</v>
      </c>
      <c r="F16972" s="1" t="str">
        <f>"10.107.121.79"</f>
        <v>10.107.121.79</v>
      </c>
      <c r="G16972" s="1" t="str">
        <f>"0328D033"</f>
        <v>0328D033</v>
      </c>
      <c r="H16972" s="1" t="str">
        <f>"석관간 6L5R4L2"</f>
        <v>석관간 6L5R4L2</v>
      </c>
      <c r="I16972" s="1" t="s">
        <v>8</v>
      </c>
      <c r="J16972" s="1" t="str">
        <f>"80/82"</f>
        <v>80/82</v>
      </c>
      <c r="K16972" s="1" t="str">
        <f>"2026-07-29 13:18:02"</f>
        <v>2026-07-29 13:18:02</v>
      </c>
      <c r="L16972" s="1" t="str">
        <f>"2018-07-26 10:54:29"</f>
        <v>2018-07-26 10:54:29</v>
      </c>
      <c r="M16972" s="1" t="s">
        <v>45</v>
      </c>
      <c r="N16972" s="1" t="s">
        <v>38</v>
      </c>
      <c r="O16972" s="1" t="s">
        <v>46</v>
      </c>
    </row>
    <row r="16973" spans="2:15" x14ac:dyDescent="0.3">
      <c r="B16973" s="1" t="s">
        <v>19</v>
      </c>
      <c r="C16973" s="1" t="str">
        <f>"3차"</f>
        <v>3차</v>
      </c>
      <c r="D16973" s="1" t="str">
        <f>"0328D05139"</f>
        <v>0328D05139</v>
      </c>
      <c r="E16973" s="1" t="s">
        <v>10</v>
      </c>
      <c r="F16973" s="1" t="str">
        <f>"10.107.121.80"</f>
        <v>10.107.121.80</v>
      </c>
      <c r="G16973" s="1" t="str">
        <f>"0328D051"</f>
        <v>0328D051</v>
      </c>
      <c r="H16973" s="1" t="str">
        <f>"석관간 13L2"</f>
        <v>석관간 13L2</v>
      </c>
      <c r="I16973" s="1" t="s">
        <v>8</v>
      </c>
      <c r="J16973" s="1" t="str">
        <f>"36/36"</f>
        <v>36/36</v>
      </c>
      <c r="K16973" s="1" t="str">
        <f>"2026-07-29 13:18:02"</f>
        <v>2026-07-29 13:18:02</v>
      </c>
      <c r="L16973" s="1" t="str">
        <f>"2018-05-30 15:26:48"</f>
        <v>2018-05-30 15:26:48</v>
      </c>
      <c r="M16973" s="1" t="s">
        <v>45</v>
      </c>
      <c r="N16973" s="1" t="s">
        <v>38</v>
      </c>
      <c r="O16973" s="1" t="s">
        <v>46</v>
      </c>
    </row>
    <row r="16974" spans="2:15" x14ac:dyDescent="0.3">
      <c r="B16974" s="1" t="s">
        <v>19</v>
      </c>
      <c r="C16974" s="1" t="str">
        <f>"6차"</f>
        <v>6차</v>
      </c>
      <c r="D16974" s="1" t="str">
        <f>"0328D0616M"</f>
        <v>0328D0616M</v>
      </c>
      <c r="E16974" s="1" t="s">
        <v>10</v>
      </c>
      <c r="F16974" s="1" t="str">
        <f>"fde1:103:4:c83a:0:0:0:2"</f>
        <v>fde1:103:4:c83a:0:0:0:2</v>
      </c>
      <c r="G16974" s="1" t="str">
        <f>"0328D061"</f>
        <v>0328D061</v>
      </c>
      <c r="H16974" s="1" t="str">
        <f>"석관간 15L1"</f>
        <v>석관간 15L1</v>
      </c>
      <c r="I16974" s="1" t="s">
        <v>15</v>
      </c>
      <c r="J16974" s="1" t="str">
        <f>"19/19"</f>
        <v>19/19</v>
      </c>
      <c r="K16974" s="1" t="str">
        <f>"2026-07-29 14:21:14"</f>
        <v>2026-07-29 14:21:14</v>
      </c>
      <c r="L16974" s="1" t="str">
        <f>"2024-12-10 16:17:19"</f>
        <v>2024-12-10 16:17:19</v>
      </c>
      <c r="M16974" s="1" t="s">
        <v>4</v>
      </c>
      <c r="N16974" s="1" t="s">
        <v>38</v>
      </c>
      <c r="O16974" s="1" t="s">
        <v>46</v>
      </c>
    </row>
    <row r="16975" spans="2:15" x14ac:dyDescent="0.3">
      <c r="B16975" s="1" t="s">
        <v>19</v>
      </c>
      <c r="C16975" s="1" t="str">
        <f>"6차"</f>
        <v>6차</v>
      </c>
      <c r="D16975" s="1" t="str">
        <f>"0328D0636M"</f>
        <v>0328D0636M</v>
      </c>
      <c r="E16975" s="1" t="s">
        <v>10</v>
      </c>
      <c r="F16975" s="1" t="str">
        <f>"fde1:103:4:c801:0:0:0:2"</f>
        <v>fde1:103:4:c801:0:0:0:2</v>
      </c>
      <c r="G16975" s="1" t="str">
        <f>"0328D063"</f>
        <v>0328D063</v>
      </c>
      <c r="H16975" s="1" t="str">
        <f>"석관간 15L2"</f>
        <v>석관간 15L2</v>
      </c>
      <c r="I16975" s="1" t="s">
        <v>15</v>
      </c>
      <c r="J16975" s="1" t="str">
        <f>"55/55"</f>
        <v>55/55</v>
      </c>
      <c r="K16975" s="1" t="str">
        <f>"2026-07-29 14:21:28"</f>
        <v>2026-07-29 14:21:28</v>
      </c>
      <c r="L16975" s="1" t="str">
        <f>"2024-12-04 15:46:50"</f>
        <v>2024-12-04 15:46:50</v>
      </c>
      <c r="M16975" s="1" t="s">
        <v>4</v>
      </c>
      <c r="N16975" s="1" t="s">
        <v>38</v>
      </c>
      <c r="O16975" s="1" t="s">
        <v>46</v>
      </c>
    </row>
    <row r="16976" spans="2:15" x14ac:dyDescent="0.3">
      <c r="B16976" s="1" t="s">
        <v>19</v>
      </c>
      <c r="C16976" s="1" t="str">
        <f>"6차"</f>
        <v>6차</v>
      </c>
      <c r="D16976" s="1" t="str">
        <f>"0328D0826M"</f>
        <v>0328D0826M</v>
      </c>
      <c r="E16976" s="1" t="s">
        <v>10</v>
      </c>
      <c r="F16976" s="1" t="str">
        <f>"fde1:103:4:c804:0:0:0:2"</f>
        <v>fde1:103:4:c804:0:0:0:2</v>
      </c>
      <c r="G16976" s="1" t="str">
        <f>"0328D082"</f>
        <v>0328D082</v>
      </c>
      <c r="H16976" s="1" t="str">
        <f>"석관간 17"</f>
        <v>석관간 17</v>
      </c>
      <c r="I16976" s="1" t="s">
        <v>15</v>
      </c>
      <c r="J16976" s="1" t="str">
        <f>"34/34"</f>
        <v>34/34</v>
      </c>
      <c r="K16976" s="1" t="str">
        <f>"2026-07-29 14:20:41"</f>
        <v>2026-07-29 14:20:41</v>
      </c>
      <c r="L16976" s="1" t="str">
        <f>"2024-12-04 15:47:10"</f>
        <v>2024-12-04 15:47:10</v>
      </c>
      <c r="M16976" s="1" t="s">
        <v>4</v>
      </c>
      <c r="N16976" s="1" t="s">
        <v>38</v>
      </c>
      <c r="O16976" s="1" t="s">
        <v>46</v>
      </c>
    </row>
    <row r="16977" spans="2:15" x14ac:dyDescent="0.3">
      <c r="B16977" s="1" t="s">
        <v>19</v>
      </c>
      <c r="C16977" s="1" t="str">
        <f>"3차"</f>
        <v>3차</v>
      </c>
      <c r="D16977" s="1" t="str">
        <f>"0328D12331"</f>
        <v>0328D12331</v>
      </c>
      <c r="E16977" s="1" t="s">
        <v>10</v>
      </c>
      <c r="F16977" s="1" t="str">
        <f>"10.107.121.81"</f>
        <v>10.107.121.81</v>
      </c>
      <c r="G16977" s="1" t="str">
        <f>"0328D123"</f>
        <v>0328D123</v>
      </c>
      <c r="H16977" s="1" t="str">
        <f>"석관간 6L5R2"</f>
        <v>석관간 6L5R2</v>
      </c>
      <c r="I16977" s="1" t="s">
        <v>8</v>
      </c>
      <c r="J16977" s="1" t="str">
        <f>"17/17"</f>
        <v>17/17</v>
      </c>
      <c r="K16977" s="1" t="str">
        <f>"2026-07-29 13:18:02"</f>
        <v>2026-07-29 13:18:02</v>
      </c>
      <c r="L16977" s="1" t="str">
        <f>"2018-04-17 18:25:01"</f>
        <v>2018-04-17 18:25:01</v>
      </c>
      <c r="M16977" s="1" t="s">
        <v>45</v>
      </c>
      <c r="N16977" s="1" t="s">
        <v>38</v>
      </c>
      <c r="O16977" s="1" t="s">
        <v>46</v>
      </c>
    </row>
    <row r="16978" spans="2:15" x14ac:dyDescent="0.3">
      <c r="B16978" s="1" t="s">
        <v>19</v>
      </c>
      <c r="C16978" s="1" t="str">
        <f>"3차"</f>
        <v>3차</v>
      </c>
      <c r="D16978" s="1" t="str">
        <f>"0328D13131"</f>
        <v>0328D13131</v>
      </c>
      <c r="E16978" s="1" t="s">
        <v>10</v>
      </c>
      <c r="F16978" s="1" t="str">
        <f>"10.107.121.83"</f>
        <v>10.107.121.83</v>
      </c>
      <c r="G16978" s="1" t="str">
        <f>"0328D131"</f>
        <v>0328D131</v>
      </c>
      <c r="H16978" s="1" t="str">
        <f>"석관간 6L5R4"</f>
        <v>석관간 6L5R4</v>
      </c>
      <c r="I16978" s="1" t="s">
        <v>8</v>
      </c>
      <c r="J16978" s="1" t="str">
        <f>"48/48"</f>
        <v>48/48</v>
      </c>
      <c r="K16978" s="1" t="str">
        <f>"2026-07-29 13:18:02"</f>
        <v>2026-07-29 13:18:02</v>
      </c>
      <c r="L16978" s="1" t="str">
        <f>"2018-06-20 14:17:26"</f>
        <v>2018-06-20 14:17:26</v>
      </c>
      <c r="M16978" s="1" t="s">
        <v>45</v>
      </c>
      <c r="N16978" s="1" t="s">
        <v>38</v>
      </c>
      <c r="O16978" s="1" t="s">
        <v>46</v>
      </c>
    </row>
    <row r="16979" spans="2:15" x14ac:dyDescent="0.3">
      <c r="B16979" s="1" t="s">
        <v>19</v>
      </c>
      <c r="C16979" s="1" t="str">
        <f>"3차"</f>
        <v>3차</v>
      </c>
      <c r="D16979" s="1" t="str">
        <f>"0328D14230"</f>
        <v>0328D14230</v>
      </c>
      <c r="E16979" s="1" t="s">
        <v>10</v>
      </c>
      <c r="F16979" s="1" t="str">
        <f>"10.107.121.82"</f>
        <v>10.107.121.82</v>
      </c>
      <c r="G16979" s="1" t="str">
        <f>"0328D142"</f>
        <v>0328D142</v>
      </c>
      <c r="H16979" s="1" t="str">
        <f>"석관간 6L5R5"</f>
        <v>석관간 6L5R5</v>
      </c>
      <c r="I16979" s="1" t="s">
        <v>8</v>
      </c>
      <c r="J16979" s="1" t="str">
        <f>"53/53"</f>
        <v>53/53</v>
      </c>
      <c r="K16979" s="1" t="str">
        <f>"2026-07-29 13:18:02"</f>
        <v>2026-07-29 13:18:02</v>
      </c>
      <c r="L16979" s="1" t="str">
        <f>"2018-06-22 11:32:26"</f>
        <v>2018-06-22 11:32:26</v>
      </c>
      <c r="M16979" s="1" t="s">
        <v>45</v>
      </c>
      <c r="N16979" s="1" t="s">
        <v>38</v>
      </c>
      <c r="O16979" s="1" t="s">
        <v>46</v>
      </c>
    </row>
    <row r="16980" spans="2:15" x14ac:dyDescent="0.3">
      <c r="B16980" s="1" t="s">
        <v>19</v>
      </c>
      <c r="C16980" s="1" t="str">
        <f>"3차"</f>
        <v>3차</v>
      </c>
      <c r="D16980" s="1" t="str">
        <f>"0328D15139"</f>
        <v>0328D15139</v>
      </c>
      <c r="E16980" s="1" t="s">
        <v>10</v>
      </c>
      <c r="F16980" s="1" t="str">
        <f>"10.107.121.84"</f>
        <v>10.107.121.84</v>
      </c>
      <c r="G16980" s="1" t="str">
        <f>"0328D151"</f>
        <v>0328D151</v>
      </c>
      <c r="H16980" s="1" t="str">
        <f>"석관간 6L5R6"</f>
        <v>석관간 6L5R6</v>
      </c>
      <c r="I16980" s="1" t="s">
        <v>8</v>
      </c>
      <c r="J16980" s="1" t="str">
        <f>"47/47"</f>
        <v>47/47</v>
      </c>
      <c r="K16980" s="1" t="str">
        <f>"2026-07-29 13:18:02"</f>
        <v>2026-07-29 13:18:02</v>
      </c>
      <c r="L16980" s="1" t="str">
        <f>"2018-03-23 13:57:41"</f>
        <v>2018-03-23 13:57:41</v>
      </c>
      <c r="M16980" s="1" t="s">
        <v>45</v>
      </c>
      <c r="N16980" s="1" t="s">
        <v>38</v>
      </c>
      <c r="O16980" s="1" t="s">
        <v>46</v>
      </c>
    </row>
    <row r="16981" spans="2:15" x14ac:dyDescent="0.3">
      <c r="B16981" s="1" t="s">
        <v>19</v>
      </c>
      <c r="C16981" s="1" t="str">
        <f>"5-2차"</f>
        <v>5-2차</v>
      </c>
      <c r="D16981" s="1" t="str">
        <f>"0328D1935M"</f>
        <v>0328D1935M</v>
      </c>
      <c r="E16981" s="1" t="s">
        <v>10</v>
      </c>
      <c r="F16981" s="1" t="str">
        <f>"fde3:102:1410:9500:0:0:0:3"</f>
        <v>fde3:102:1410:9500:0:0:0:3</v>
      </c>
      <c r="G16981" s="1" t="str">
        <f>"0328D193"</f>
        <v>0328D193</v>
      </c>
      <c r="H16981" s="1" t="str">
        <f>"석계간 14R1L2"</f>
        <v>석계간 14R1L2</v>
      </c>
      <c r="I16981" s="1" t="s">
        <v>15</v>
      </c>
      <c r="J16981" s="1" t="str">
        <f>"55/55"</f>
        <v>55/55</v>
      </c>
      <c r="K16981" s="1" t="str">
        <f>"2026-07-29 14:20:41"</f>
        <v>2026-07-29 14:20:41</v>
      </c>
      <c r="L16981" s="1" t="str">
        <f>"2024-01-08 15:17:09"</f>
        <v>2024-01-08 15:17:09</v>
      </c>
      <c r="M16981" s="1" t="s">
        <v>45</v>
      </c>
      <c r="N16981" s="1" t="s">
        <v>38</v>
      </c>
      <c r="O16981" s="1" t="s">
        <v>46</v>
      </c>
    </row>
    <row r="16982" spans="2:15" x14ac:dyDescent="0.3">
      <c r="B16982" s="1" t="s">
        <v>19</v>
      </c>
      <c r="C16982" s="1" t="str">
        <f>"3차"</f>
        <v>3차</v>
      </c>
      <c r="D16982" s="1" t="str">
        <f>"0328D21430"</f>
        <v>0328D21430</v>
      </c>
      <c r="E16982" s="1" t="s">
        <v>10</v>
      </c>
      <c r="F16982" s="1" t="str">
        <f>"10.107.121.87"</f>
        <v>10.107.121.87</v>
      </c>
      <c r="G16982" s="1" t="str">
        <f>"0328D214"</f>
        <v>0328D214</v>
      </c>
      <c r="H16982" s="1" t="str">
        <f>"석관간 6L5R1R1"</f>
        <v>석관간 6L5R1R1</v>
      </c>
      <c r="I16982" s="1" t="s">
        <v>8</v>
      </c>
      <c r="J16982" s="1" t="str">
        <f>"29/29"</f>
        <v>29/29</v>
      </c>
      <c r="K16982" s="1" t="str">
        <f>"2026-07-29 13:18:02"</f>
        <v>2026-07-29 13:18:02</v>
      </c>
      <c r="L16982" s="1" t="str">
        <f>"2018-03-23 14:07:11"</f>
        <v>2018-03-23 14:07:11</v>
      </c>
      <c r="M16982" s="1" t="s">
        <v>45</v>
      </c>
      <c r="N16982" s="1" t="s">
        <v>38</v>
      </c>
      <c r="O16982" s="1" t="s">
        <v>46</v>
      </c>
    </row>
    <row r="16983" spans="2:15" x14ac:dyDescent="0.3">
      <c r="B16983" s="1" t="s">
        <v>19</v>
      </c>
      <c r="C16983" s="1" t="str">
        <f>"3차"</f>
        <v>3차</v>
      </c>
      <c r="D16983" s="1" t="str">
        <f>"0328D23130"</f>
        <v>0328D23130</v>
      </c>
      <c r="E16983" s="1" t="s">
        <v>10</v>
      </c>
      <c r="F16983" s="1" t="str">
        <f>"10.107.121.88"</f>
        <v>10.107.121.88</v>
      </c>
      <c r="G16983" s="1" t="str">
        <f>"0328D231"</f>
        <v>0328D231</v>
      </c>
      <c r="H16983" s="1" t="str">
        <f>"석관간 6L5R3R1"</f>
        <v>석관간 6L5R3R1</v>
      </c>
      <c r="I16983" s="1" t="s">
        <v>8</v>
      </c>
      <c r="J16983" s="1" t="str">
        <f>"34/34"</f>
        <v>34/34</v>
      </c>
      <c r="K16983" s="1" t="str">
        <f>"2026-07-29 13:18:02"</f>
        <v>2026-07-29 13:18:02</v>
      </c>
      <c r="L16983" s="1" t="str">
        <f>"2018-03-23 14:11:29"</f>
        <v>2018-03-23 14:11:29</v>
      </c>
      <c r="M16983" s="1" t="s">
        <v>45</v>
      </c>
      <c r="N16983" s="1" t="s">
        <v>38</v>
      </c>
      <c r="O16983" s="1" t="s">
        <v>46</v>
      </c>
    </row>
    <row r="16984" spans="2:15" x14ac:dyDescent="0.3">
      <c r="B16984" s="1" t="s">
        <v>19</v>
      </c>
      <c r="C16984" s="1" t="str">
        <f>"4차"</f>
        <v>4차</v>
      </c>
      <c r="D16984" s="1" t="str">
        <f>"0328D23231"</f>
        <v>0328D23231</v>
      </c>
      <c r="E16984" s="1" t="s">
        <v>10</v>
      </c>
      <c r="F16984" s="1" t="str">
        <f>"10.107.121.89"</f>
        <v>10.107.121.89</v>
      </c>
      <c r="G16984" s="1" t="str">
        <f>"0328D232"</f>
        <v>0328D232</v>
      </c>
      <c r="H16984" s="1" t="str">
        <f>"석관간 6L5R3R2"</f>
        <v>석관간 6L5R3R2</v>
      </c>
      <c r="I16984" s="1" t="s">
        <v>8</v>
      </c>
      <c r="J16984" s="1" t="str">
        <f>"53/53"</f>
        <v>53/53</v>
      </c>
      <c r="K16984" s="1" t="str">
        <f>"2026-07-29 13:18:03"</f>
        <v>2026-07-29 13:18:03</v>
      </c>
      <c r="L16984" s="1" t="str">
        <f>"2018-03-23 13:55:56"</f>
        <v>2018-03-23 13:55:56</v>
      </c>
      <c r="M16984" s="1" t="s">
        <v>45</v>
      </c>
      <c r="N16984" s="1" t="s">
        <v>38</v>
      </c>
      <c r="O16984" s="1" t="s">
        <v>46</v>
      </c>
    </row>
    <row r="16985" spans="2:15" x14ac:dyDescent="0.3">
      <c r="B16985" s="1" t="s">
        <v>19</v>
      </c>
      <c r="C16985" s="1" t="str">
        <f>"4차"</f>
        <v>4차</v>
      </c>
      <c r="D16985" s="1" t="str">
        <f>"0328D24144"</f>
        <v>0328D24144</v>
      </c>
      <c r="E16985" s="1" t="s">
        <v>10</v>
      </c>
      <c r="F16985" s="1" t="str">
        <f>"10.107.121.90"</f>
        <v>10.107.121.90</v>
      </c>
      <c r="G16985" s="1" t="str">
        <f>"0328D241"</f>
        <v>0328D241</v>
      </c>
      <c r="H16985" s="1" t="str">
        <f>"석관간 6L5R4R2"</f>
        <v>석관간 6L5R4R2</v>
      </c>
      <c r="I16985" s="1" t="s">
        <v>8</v>
      </c>
      <c r="J16985" s="1" t="str">
        <f>"79/79"</f>
        <v>79/79</v>
      </c>
      <c r="K16985" s="1" t="str">
        <f>"2026-07-29 13:18:02"</f>
        <v>2026-07-29 13:18:02</v>
      </c>
      <c r="L16985" s="1" t="str">
        <f>"2023-07-19 17:25:28"</f>
        <v>2023-07-19 17:25:28</v>
      </c>
      <c r="M16985" s="1" t="s">
        <v>45</v>
      </c>
      <c r="N16985" s="1" t="s">
        <v>38</v>
      </c>
      <c r="O16985" s="1" t="s">
        <v>46</v>
      </c>
    </row>
    <row r="16986" spans="2:15" x14ac:dyDescent="0.3">
      <c r="B16986" s="1" t="s">
        <v>19</v>
      </c>
      <c r="C16986" s="1" t="str">
        <f>"3차"</f>
        <v>3차</v>
      </c>
      <c r="D16986" s="1" t="str">
        <f>"0328D25230"</f>
        <v>0328D25230</v>
      </c>
      <c r="E16986" s="1" t="s">
        <v>14</v>
      </c>
      <c r="F16986" s="1" t="str">
        <f>"10.107.121.85"</f>
        <v>10.107.121.85</v>
      </c>
      <c r="G16986" s="1" t="str">
        <f>"0328D252"</f>
        <v>0328D252</v>
      </c>
      <c r="H16986" s="1" t="str">
        <f>"석관간 11"</f>
        <v>석관간 11</v>
      </c>
      <c r="I16986" s="1" t="s">
        <v>8</v>
      </c>
      <c r="J16986" s="1" t="str">
        <f>"0/0"</f>
        <v>0/0</v>
      </c>
      <c r="K16986" s="1" t="str">
        <f>"2026-07-29 13:18:02"</f>
        <v>2026-07-29 13:18:02</v>
      </c>
      <c r="L16986" s="1" t="str">
        <f>"2018-06-22 11:20:40"</f>
        <v>2018-06-22 11:20:40</v>
      </c>
      <c r="M16986" s="1" t="s">
        <v>45</v>
      </c>
      <c r="N16986" s="1" t="s">
        <v>38</v>
      </c>
      <c r="O16986" s="1" t="s">
        <v>44</v>
      </c>
    </row>
    <row r="16987" spans="2:15" x14ac:dyDescent="0.3">
      <c r="B16987" s="1" t="s">
        <v>19</v>
      </c>
      <c r="C16987" s="1" t="str">
        <f>"4차"</f>
        <v>4차</v>
      </c>
      <c r="D16987" s="1" t="str">
        <f>"0328D26241"</f>
        <v>0328D26241</v>
      </c>
      <c r="E16987" s="1" t="s">
        <v>10</v>
      </c>
      <c r="F16987" s="1" t="str">
        <f>"10.14.11.17"</f>
        <v>10.14.11.17</v>
      </c>
      <c r="G16987" s="1" t="str">
        <f>"0328D262"</f>
        <v>0328D262</v>
      </c>
      <c r="H16987" s="1" t="str">
        <f>"석계간 12"</f>
        <v>석계간 12</v>
      </c>
      <c r="I16987" s="1" t="s">
        <v>17</v>
      </c>
      <c r="J16987" s="1" t="str">
        <f>"23/28"</f>
        <v>23/28</v>
      </c>
      <c r="K16987" s="1" t="str">
        <f>"2026-07-29 13:18:04"</f>
        <v>2026-07-29 13:18:04</v>
      </c>
      <c r="L16987" s="1" t="str">
        <f>"2021-10-07 15:52:36"</f>
        <v>2021-10-07 15:52:36</v>
      </c>
      <c r="M16987" s="1" t="s">
        <v>3</v>
      </c>
      <c r="N16987" s="1" t="s">
        <v>38</v>
      </c>
      <c r="O16987" s="1" t="s">
        <v>46</v>
      </c>
    </row>
    <row r="16988" spans="2:15" x14ac:dyDescent="0.3">
      <c r="B16988" s="1" t="s">
        <v>19</v>
      </c>
      <c r="C16988" s="1" t="str">
        <f>"3차"</f>
        <v>3차</v>
      </c>
      <c r="D16988" s="1" t="str">
        <f>"0328D26331"</f>
        <v>0328D26331</v>
      </c>
      <c r="E16988" s="1" t="s">
        <v>10</v>
      </c>
      <c r="F16988" s="1" t="str">
        <f>"10.107.121.86"</f>
        <v>10.107.121.86</v>
      </c>
      <c r="G16988" s="1" t="str">
        <f>"0328D263"</f>
        <v>0328D263</v>
      </c>
      <c r="H16988" s="1" t="str">
        <f>"석관간 13"</f>
        <v>석관간 13</v>
      </c>
      <c r="I16988" s="1" t="s">
        <v>8</v>
      </c>
      <c r="J16988" s="1" t="str">
        <f>"30/31"</f>
        <v>30/31</v>
      </c>
      <c r="K16988" s="1" t="str">
        <f>"2026-07-29 13:18:02"</f>
        <v>2026-07-29 13:18:02</v>
      </c>
      <c r="L16988" s="1" t="str">
        <f>"2018-05-30 15:42:55"</f>
        <v>2018-05-30 15:42:55</v>
      </c>
      <c r="M16988" s="1" t="s">
        <v>45</v>
      </c>
      <c r="N16988" s="1" t="s">
        <v>38</v>
      </c>
      <c r="O16988" s="1" t="s">
        <v>46</v>
      </c>
    </row>
    <row r="16989" spans="2:15" x14ac:dyDescent="0.3">
      <c r="B16989" s="1" t="s">
        <v>19</v>
      </c>
      <c r="C16989" s="1" t="str">
        <f>"5-2차"</f>
        <v>5-2차</v>
      </c>
      <c r="D16989" s="1" t="str">
        <f>"0328D2815M"</f>
        <v>0328D2815M</v>
      </c>
      <c r="E16989" s="1" t="s">
        <v>10</v>
      </c>
      <c r="F16989" s="1" t="str">
        <f>"fde3:102:1410:9500:0:0:0:5"</f>
        <v>fde3:102:1410:9500:0:0:0:5</v>
      </c>
      <c r="G16989" s="1" t="str">
        <f>"0328D281"</f>
        <v>0328D281</v>
      </c>
      <c r="H16989" s="1" t="str">
        <f>"석계간 14R2"</f>
        <v>석계간 14R2</v>
      </c>
      <c r="I16989" s="1" t="s">
        <v>15</v>
      </c>
      <c r="J16989" s="1" t="str">
        <f>"58/58"</f>
        <v>58/58</v>
      </c>
      <c r="K16989" s="1" t="str">
        <f>"2026-07-29 14:20:41"</f>
        <v>2026-07-29 14:20:41</v>
      </c>
      <c r="L16989" s="1" t="str">
        <f>"2024-01-08 15:18:00"</f>
        <v>2024-01-08 15:18:00</v>
      </c>
      <c r="M16989" s="1" t="s">
        <v>45</v>
      </c>
      <c r="N16989" s="1" t="s">
        <v>38</v>
      </c>
      <c r="O16989" s="1" t="s">
        <v>46</v>
      </c>
    </row>
    <row r="16990" spans="2:15" x14ac:dyDescent="0.3">
      <c r="B16990" s="1" t="s">
        <v>19</v>
      </c>
      <c r="C16990" s="1" t="str">
        <f>"5-1차"</f>
        <v>5-1차</v>
      </c>
      <c r="D16990" s="1" t="str">
        <f>"0328D2925M"</f>
        <v>0328D2925M</v>
      </c>
      <c r="E16990" s="1" t="s">
        <v>10</v>
      </c>
      <c r="F16990" s="1" t="str">
        <f>"fde2:104:0:1d2:0:0:0:2"</f>
        <v>fde2:104:0:1d2:0:0:0:2</v>
      </c>
      <c r="G16990" s="1" t="str">
        <f>"0328D292"</f>
        <v>0328D292</v>
      </c>
      <c r="H16990" s="1" t="str">
        <f>"석계간 14R3L2"</f>
        <v>석계간 14R3L2</v>
      </c>
      <c r="I16990" s="1" t="s">
        <v>15</v>
      </c>
      <c r="J16990" s="1" t="str">
        <f>"46/46"</f>
        <v>46/46</v>
      </c>
      <c r="K16990" s="1" t="str">
        <f>"2026-07-29 14:20:16"</f>
        <v>2026-07-29 14:20:16</v>
      </c>
      <c r="L16990" s="1" t="str">
        <f>"2022-12-16 16:30:37"</f>
        <v>2022-12-16 16:30:37</v>
      </c>
      <c r="M16990" s="1" t="s">
        <v>42</v>
      </c>
      <c r="N16990" s="1" t="s">
        <v>38</v>
      </c>
      <c r="O16990" s="1" t="s">
        <v>46</v>
      </c>
    </row>
    <row r="16991" spans="2:15" x14ac:dyDescent="0.3">
      <c r="B16991" s="1" t="s">
        <v>19</v>
      </c>
      <c r="C16991" s="1" t="str">
        <f>"1차"</f>
        <v>1차</v>
      </c>
      <c r="D16991" s="1" t="str">
        <f>"0328D33400"</f>
        <v>0328D33400</v>
      </c>
      <c r="E16991" s="1" t="s">
        <v>10</v>
      </c>
      <c r="F16991" s="1" t="str">
        <f>"10.107.121.91"</f>
        <v>10.107.121.91</v>
      </c>
      <c r="G16991" s="1" t="str">
        <f>"0328D334"</f>
        <v>0328D334</v>
      </c>
      <c r="H16991" s="1" t="str">
        <f>"석관간 6L5R3R3"</f>
        <v>석관간 6L5R3R3</v>
      </c>
      <c r="I16991" s="1" t="s">
        <v>8</v>
      </c>
      <c r="J16991" s="1" t="str">
        <f>"95/95"</f>
        <v>95/95</v>
      </c>
      <c r="K16991" s="1" t="str">
        <f>"2026-07-29 13:18:03"</f>
        <v>2026-07-29 13:18:03</v>
      </c>
      <c r="L16991" s="1" t="str">
        <f>"2015-08-11 08:46:28"</f>
        <v>2015-08-11 08:46:28</v>
      </c>
      <c r="M16991" s="1" t="s">
        <v>45</v>
      </c>
      <c r="N16991" s="1" t="s">
        <v>38</v>
      </c>
      <c r="O16991" s="1" t="s">
        <v>46</v>
      </c>
    </row>
    <row r="16992" spans="2:15" x14ac:dyDescent="0.3">
      <c r="B16992" s="1" t="s">
        <v>19</v>
      </c>
      <c r="C16992" s="1" t="str">
        <f>"3차"</f>
        <v>3차</v>
      </c>
      <c r="D16992" s="1" t="str">
        <f>"0328D34139"</f>
        <v>0328D34139</v>
      </c>
      <c r="E16992" s="1" t="s">
        <v>10</v>
      </c>
      <c r="F16992" s="1" t="str">
        <f>"10.107.121.92"</f>
        <v>10.107.121.92</v>
      </c>
      <c r="G16992" s="1" t="str">
        <f>"0328D341"</f>
        <v>0328D341</v>
      </c>
      <c r="H16992" s="1" t="str">
        <f>"석관간 10"</f>
        <v>석관간 10</v>
      </c>
      <c r="I16992" s="1" t="s">
        <v>8</v>
      </c>
      <c r="J16992" s="1" t="str">
        <f>"18/18"</f>
        <v>18/18</v>
      </c>
      <c r="K16992" s="1" t="str">
        <f>"2026-07-29 13:18:03"</f>
        <v>2026-07-29 13:18:03</v>
      </c>
      <c r="L16992" s="1" t="str">
        <f>"2018-03-23 14:48:25"</f>
        <v>2018-03-23 14:48:25</v>
      </c>
      <c r="M16992" s="1" t="s">
        <v>45</v>
      </c>
      <c r="N16992" s="1" t="s">
        <v>38</v>
      </c>
      <c r="O16992" s="1" t="s">
        <v>46</v>
      </c>
    </row>
    <row r="16993" spans="2:15" x14ac:dyDescent="0.3">
      <c r="B16993" s="1" t="s">
        <v>19</v>
      </c>
      <c r="C16993" s="1" t="str">
        <f>"5-1차"</f>
        <v>5-1차</v>
      </c>
      <c r="D16993" s="1" t="str">
        <f>"0328D3455S"</f>
        <v>0328D3455S</v>
      </c>
      <c r="E16993" s="1" t="s">
        <v>10</v>
      </c>
      <c r="F16993" s="1" t="str">
        <f>"fde2:104:0:33:0:0:0:2"</f>
        <v>fde2:104:0:33:0:0:0:2</v>
      </c>
      <c r="G16993" s="1" t="str">
        <f>"0328D345"</f>
        <v>0328D345</v>
      </c>
      <c r="H16993" s="1" t="str">
        <f>"석계간 9"</f>
        <v>석계간 9</v>
      </c>
      <c r="I16993" s="1" t="s">
        <v>15</v>
      </c>
      <c r="J16993" s="1" t="str">
        <f>"68/68"</f>
        <v>68/68</v>
      </c>
      <c r="K16993" s="1" t="str">
        <f>"2026-07-29 14:20:17"</f>
        <v>2026-07-29 14:20:17</v>
      </c>
      <c r="L16993" s="1" t="str">
        <f>"2022-09-01 13:30:43"</f>
        <v>2022-09-01 13:30:43</v>
      </c>
      <c r="M16993" s="1" t="s">
        <v>42</v>
      </c>
      <c r="N16993" s="1" t="s">
        <v>38</v>
      </c>
      <c r="O16993" s="1" t="s">
        <v>46</v>
      </c>
    </row>
    <row r="16994" spans="2:15" x14ac:dyDescent="0.3">
      <c r="B16994" s="1" t="s">
        <v>19</v>
      </c>
      <c r="C16994" s="1" t="str">
        <f>"6차"</f>
        <v>6차</v>
      </c>
      <c r="D16994" s="1" t="str">
        <f>"0328D3526M"</f>
        <v>0328D3526M</v>
      </c>
      <c r="E16994" s="1" t="s">
        <v>10</v>
      </c>
      <c r="F16994" s="1" t="str">
        <f>"fde1:103:4:c76d:0:0:0:2"</f>
        <v>fde1:103:4:c76d:0:0:0:2</v>
      </c>
      <c r="G16994" s="1" t="str">
        <f>"0328D352"</f>
        <v>0328D352</v>
      </c>
      <c r="H16994" s="1" t="str">
        <f>"석계간 12R1R1"</f>
        <v>석계간 12R1R1</v>
      </c>
      <c r="I16994" s="1" t="s">
        <v>15</v>
      </c>
      <c r="J16994" s="1" t="str">
        <f>"53/53"</f>
        <v>53/53</v>
      </c>
      <c r="K16994" s="1" t="str">
        <f>"2026-07-29 14:20:42"</f>
        <v>2026-07-29 14:20:42</v>
      </c>
      <c r="L16994" s="1" t="str">
        <f>"2024-12-04 15:47:26"</f>
        <v>2024-12-04 15:47:26</v>
      </c>
      <c r="M16994" s="1" t="s">
        <v>4</v>
      </c>
      <c r="N16994" s="1" t="s">
        <v>38</v>
      </c>
      <c r="O16994" s="1" t="s">
        <v>46</v>
      </c>
    </row>
    <row r="16995" spans="2:15" x14ac:dyDescent="0.3">
      <c r="B16995" s="1" t="s">
        <v>19</v>
      </c>
      <c r="C16995" s="1" t="str">
        <f>"5-2차"</f>
        <v>5-2차</v>
      </c>
      <c r="D16995" s="1" t="str">
        <f>"0328D3625M"</f>
        <v>0328D3625M</v>
      </c>
      <c r="E16995" s="1" t="s">
        <v>10</v>
      </c>
      <c r="F16995" s="1" t="str">
        <f>"fde3:102:1410:9500:0:0:0:4"</f>
        <v>fde3:102:1410:9500:0:0:0:4</v>
      </c>
      <c r="G16995" s="1" t="str">
        <f>"0328D362"</f>
        <v>0328D362</v>
      </c>
      <c r="H16995" s="1" t="str">
        <f>"석계간 12R2"</f>
        <v>석계간 12R2</v>
      </c>
      <c r="I16995" s="1" t="s">
        <v>15</v>
      </c>
      <c r="J16995" s="1" t="str">
        <f>"55/55"</f>
        <v>55/55</v>
      </c>
      <c r="K16995" s="1" t="str">
        <f>"2026-07-29 14:20:17"</f>
        <v>2026-07-29 14:20:17</v>
      </c>
      <c r="L16995" s="1" t="str">
        <f>"2024-01-08 15:20:24"</f>
        <v>2024-01-08 15:20:24</v>
      </c>
      <c r="M16995" s="1" t="s">
        <v>45</v>
      </c>
      <c r="N16995" s="1" t="s">
        <v>38</v>
      </c>
      <c r="O16995" s="1" t="s">
        <v>46</v>
      </c>
    </row>
    <row r="16996" spans="2:15" x14ac:dyDescent="0.3">
      <c r="B16996" s="1" t="s">
        <v>19</v>
      </c>
      <c r="C16996" s="1" t="str">
        <f>"4차"</f>
        <v>4차</v>
      </c>
      <c r="D16996" s="1" t="str">
        <f>"0328D37341"</f>
        <v>0328D37341</v>
      </c>
      <c r="E16996" s="1" t="s">
        <v>12</v>
      </c>
      <c r="F16996" s="1" t="str">
        <f>"10.14.12.23"</f>
        <v>10.14.12.23</v>
      </c>
      <c r="G16996" s="1" t="str">
        <f>"0328D373"</f>
        <v>0328D373</v>
      </c>
      <c r="H16996" s="1" t="str">
        <f>"석계간 14R3R1L1"</f>
        <v>석계간 14R3R1L1</v>
      </c>
      <c r="I16996" s="1" t="s">
        <v>17</v>
      </c>
      <c r="J16996" s="1" t="str">
        <f>"0/34"</f>
        <v>0/34</v>
      </c>
      <c r="K16996" s="1" t="str">
        <f>"2026-07-26 13:18:03"</f>
        <v>2026-07-26 13:18:03</v>
      </c>
      <c r="L16996" s="1" t="str">
        <f>"2021-10-07 17:38:34"</f>
        <v>2021-10-07 17:38:34</v>
      </c>
      <c r="M16996" s="1" t="s">
        <v>3</v>
      </c>
      <c r="N16996" s="1" t="s">
        <v>38</v>
      </c>
      <c r="O16996" s="1" t="s">
        <v>46</v>
      </c>
    </row>
    <row r="16997" spans="2:15" x14ac:dyDescent="0.3">
      <c r="B16997" s="1" t="s">
        <v>19</v>
      </c>
      <c r="C16997" s="1" t="str">
        <f>"4차"</f>
        <v>4차</v>
      </c>
      <c r="D16997" s="1" t="str">
        <f>"0328D38141"</f>
        <v>0328D38141</v>
      </c>
      <c r="E16997" s="1" t="s">
        <v>10</v>
      </c>
      <c r="F16997" s="1" t="str">
        <f>"10.14.4.35"</f>
        <v>10.14.4.35</v>
      </c>
      <c r="G16997" s="1" t="str">
        <f>"0328D381"</f>
        <v>0328D381</v>
      </c>
      <c r="H16997" s="1" t="str">
        <f>"석계간 14R3"</f>
        <v>석계간 14R3</v>
      </c>
      <c r="I16997" s="1" t="s">
        <v>17</v>
      </c>
      <c r="J16997" s="1" t="str">
        <f>"18/30"</f>
        <v>18/30</v>
      </c>
      <c r="K16997" s="1" t="str">
        <f>"2026-07-29 13:18:03"</f>
        <v>2026-07-29 13:18:03</v>
      </c>
      <c r="L16997" s="1" t="str">
        <f>"2021-10-07 16:52:52"</f>
        <v>2021-10-07 16:52:52</v>
      </c>
      <c r="M16997" s="1" t="s">
        <v>3</v>
      </c>
      <c r="N16997" s="1" t="s">
        <v>38</v>
      </c>
      <c r="O16997" s="1" t="s">
        <v>46</v>
      </c>
    </row>
    <row r="16998" spans="2:15" x14ac:dyDescent="0.3">
      <c r="B16998" s="1" t="s">
        <v>19</v>
      </c>
      <c r="C16998" s="1" t="str">
        <f>"5-1차"</f>
        <v>5-1차</v>
      </c>
      <c r="D16998" s="1" t="str">
        <f>"0328D3915M"</f>
        <v>0328D3915M</v>
      </c>
      <c r="E16998" s="1" t="s">
        <v>10</v>
      </c>
      <c r="F16998" s="1" t="str">
        <f>"fde2:104:0:35:0:0:0:2"</f>
        <v>fde2:104:0:35:0:0:0:2</v>
      </c>
      <c r="G16998" s="1" t="str">
        <f>"0328D391"</f>
        <v>0328D391</v>
      </c>
      <c r="H16998" s="1" t="str">
        <f>"석계간 14R3L1"</f>
        <v>석계간 14R3L1</v>
      </c>
      <c r="I16998" s="1" t="s">
        <v>15</v>
      </c>
      <c r="J16998" s="1" t="str">
        <f>"41/42"</f>
        <v>41/42</v>
      </c>
      <c r="K16998" s="1" t="str">
        <f>"2026-07-29 14:20:16"</f>
        <v>2026-07-29 14:20:16</v>
      </c>
      <c r="L16998" s="1" t="str">
        <f>"2022-08-26 13:37:44"</f>
        <v>2022-08-26 13:37:44</v>
      </c>
      <c r="M16998" s="1" t="s">
        <v>42</v>
      </c>
      <c r="N16998" s="1" t="s">
        <v>38</v>
      </c>
      <c r="O16998" s="1" t="s">
        <v>46</v>
      </c>
    </row>
    <row r="16999" spans="2:15" x14ac:dyDescent="0.3">
      <c r="B16999" s="1" t="s">
        <v>19</v>
      </c>
      <c r="C16999" s="1" t="str">
        <f>"3차"</f>
        <v>3차</v>
      </c>
      <c r="D16999" s="1" t="str">
        <f>"0328D42239"</f>
        <v>0328D42239</v>
      </c>
      <c r="E16999" s="1" t="s">
        <v>10</v>
      </c>
      <c r="F16999" s="1" t="str">
        <f>"10.107.121.93"</f>
        <v>10.107.121.93</v>
      </c>
      <c r="G16999" s="1" t="str">
        <f>"0328D422"</f>
        <v>0328D422</v>
      </c>
      <c r="H16999" s="1" t="str">
        <f>"석관간 7"</f>
        <v>석관간 7</v>
      </c>
      <c r="I16999" s="1" t="s">
        <v>8</v>
      </c>
      <c r="J16999" s="1" t="str">
        <f>"10/10"</f>
        <v>10/10</v>
      </c>
      <c r="K16999" s="1" t="str">
        <f>"2026-07-29 13:18:03"</f>
        <v>2026-07-29 13:18:03</v>
      </c>
      <c r="L16999" s="1" t="str">
        <f>"2018-04-03 17:49:44"</f>
        <v>2018-04-03 17:49:44</v>
      </c>
      <c r="M16999" s="1" t="s">
        <v>45</v>
      </c>
      <c r="N16999" s="1" t="s">
        <v>38</v>
      </c>
      <c r="O16999" s="1" t="s">
        <v>46</v>
      </c>
    </row>
    <row r="17000" spans="2:15" x14ac:dyDescent="0.3">
      <c r="B17000" s="1" t="s">
        <v>19</v>
      </c>
      <c r="C17000" s="1" t="str">
        <f>"4차"</f>
        <v>4차</v>
      </c>
      <c r="D17000" s="1" t="str">
        <f>"0328D42439"</f>
        <v>0328D42439</v>
      </c>
      <c r="E17000" s="1" t="s">
        <v>10</v>
      </c>
      <c r="F17000" s="1" t="str">
        <f>"10.107.121.94"</f>
        <v>10.107.121.94</v>
      </c>
      <c r="G17000" s="1" t="str">
        <f>"0328D424"</f>
        <v>0328D424</v>
      </c>
      <c r="H17000" s="1" t="str">
        <f>"석관간 7L1"</f>
        <v>석관간 7L1</v>
      </c>
      <c r="I17000" s="1" t="s">
        <v>8</v>
      </c>
      <c r="J17000" s="1" t="str">
        <f>"27/28"</f>
        <v>27/28</v>
      </c>
      <c r="K17000" s="1" t="str">
        <f>"2026-07-29 13:18:03"</f>
        <v>2026-07-29 13:18:03</v>
      </c>
      <c r="L17000" s="1" t="str">
        <f>"2018-03-23 14:34:11"</f>
        <v>2018-03-23 14:34:11</v>
      </c>
      <c r="M17000" s="1" t="s">
        <v>45</v>
      </c>
      <c r="N17000" s="1" t="s">
        <v>38</v>
      </c>
      <c r="O17000" s="1" t="s">
        <v>46</v>
      </c>
    </row>
    <row r="17001" spans="2:15" x14ac:dyDescent="0.3">
      <c r="B17001" s="1" t="s">
        <v>19</v>
      </c>
      <c r="C17001" s="1" t="str">
        <f>"6차"</f>
        <v>6차</v>
      </c>
      <c r="D17001" s="1" t="str">
        <f>"0328D4616M"</f>
        <v>0328D4616M</v>
      </c>
      <c r="E17001" s="1" t="s">
        <v>10</v>
      </c>
      <c r="F17001" s="1" t="str">
        <f>"fde1:103:4:c7a0:0:0:0:2"</f>
        <v>fde1:103:4:c7a0:0:0:0:2</v>
      </c>
      <c r="G17001" s="1" t="str">
        <f>"0328D461"</f>
        <v>0328D461</v>
      </c>
      <c r="H17001" s="1" t="str">
        <f>"석계간 12R3"</f>
        <v>석계간 12R3</v>
      </c>
      <c r="I17001" s="1" t="s">
        <v>15</v>
      </c>
      <c r="J17001" s="1" t="str">
        <f>"62/62"</f>
        <v>62/62</v>
      </c>
      <c r="K17001" s="1" t="str">
        <f>"2026-07-29 14:21:15"</f>
        <v>2026-07-29 14:21:15</v>
      </c>
      <c r="L17001" s="1" t="str">
        <f>"2024-12-04 15:47:42"</f>
        <v>2024-12-04 15:47:42</v>
      </c>
      <c r="M17001" s="1" t="s">
        <v>4</v>
      </c>
      <c r="N17001" s="1" t="s">
        <v>38</v>
      </c>
      <c r="O17001" s="1" t="s">
        <v>46</v>
      </c>
    </row>
    <row r="17002" spans="2:15" x14ac:dyDescent="0.3">
      <c r="B17002" s="1" t="s">
        <v>19</v>
      </c>
      <c r="C17002" s="1" t="str">
        <f>"4차"</f>
        <v>4차</v>
      </c>
      <c r="D17002" s="1" t="str">
        <f>"0328D47241"</f>
        <v>0328D47241</v>
      </c>
      <c r="E17002" s="1" t="s">
        <v>10</v>
      </c>
      <c r="F17002" s="1" t="str">
        <f>"10.14.14.9"</f>
        <v>10.14.14.9</v>
      </c>
      <c r="G17002" s="1" t="str">
        <f>"0328D472"</f>
        <v>0328D472</v>
      </c>
      <c r="H17002" s="1" t="str">
        <f>"석계간 12R4"</f>
        <v>석계간 12R4</v>
      </c>
      <c r="I17002" s="1" t="s">
        <v>17</v>
      </c>
      <c r="J17002" s="1" t="str">
        <f>"37/37"</f>
        <v>37/37</v>
      </c>
      <c r="K17002" s="1" t="str">
        <f>"2026-07-29 13:18:03"</f>
        <v>2026-07-29 13:18:03</v>
      </c>
      <c r="L17002" s="1" t="str">
        <f>"2021-10-08 07:33:01"</f>
        <v>2021-10-08 07:33:01</v>
      </c>
      <c r="M17002" s="1" t="s">
        <v>3</v>
      </c>
      <c r="N17002" s="1" t="s">
        <v>38</v>
      </c>
      <c r="O17002" s="1" t="s">
        <v>46</v>
      </c>
    </row>
    <row r="17003" spans="2:15" x14ac:dyDescent="0.3">
      <c r="B17003" s="1" t="s">
        <v>19</v>
      </c>
      <c r="C17003" s="1" t="str">
        <f>"5-2차"</f>
        <v>5-2차</v>
      </c>
      <c r="D17003" s="1" t="str">
        <f>"0328D5425M"</f>
        <v>0328D5425M</v>
      </c>
      <c r="E17003" s="1" t="s">
        <v>10</v>
      </c>
      <c r="F17003" s="1" t="str">
        <f>"fde1:103:4:9180:0:0:0:2"</f>
        <v>fde1:103:4:9180:0:0:0:2</v>
      </c>
      <c r="G17003" s="1" t="str">
        <f>"0328D542"</f>
        <v>0328D542</v>
      </c>
      <c r="H17003" s="1" t="str">
        <f>"석계간 8R4H1"</f>
        <v>석계간 8R4H1</v>
      </c>
      <c r="I17003" s="1" t="s">
        <v>15</v>
      </c>
      <c r="J17003" s="1" t="str">
        <f>"47/53"</f>
        <v>47/53</v>
      </c>
      <c r="K17003" s="1" t="str">
        <f>"2026-07-29 14:20:16"</f>
        <v>2026-07-29 14:20:16</v>
      </c>
      <c r="L17003" s="1" t="str">
        <f>"2023-12-21 10:26:12"</f>
        <v>2023-12-21 10:26:12</v>
      </c>
      <c r="M17003" s="1" t="s">
        <v>4</v>
      </c>
      <c r="N17003" s="1" t="s">
        <v>38</v>
      </c>
      <c r="O17003" s="1" t="s">
        <v>46</v>
      </c>
    </row>
    <row r="17004" spans="2:15" x14ac:dyDescent="0.3">
      <c r="B17004" s="1" t="s">
        <v>19</v>
      </c>
      <c r="C17004" s="1" t="str">
        <f>"5-2차"</f>
        <v>5-2차</v>
      </c>
      <c r="D17004" s="1" t="str">
        <f>"0328D5615M"</f>
        <v>0328D5615M</v>
      </c>
      <c r="E17004" s="1" t="s">
        <v>10</v>
      </c>
      <c r="F17004" s="1" t="str">
        <f>"fde3:102:1410:9100:0:0:0:15"</f>
        <v>fde3:102:1410:9100:0:0:0:15</v>
      </c>
      <c r="G17004" s="1" t="str">
        <f>"0328D561"</f>
        <v>0328D561</v>
      </c>
      <c r="H17004" s="1" t="str">
        <f>"석계간 8R6"</f>
        <v>석계간 8R6</v>
      </c>
      <c r="I17004" s="1" t="s">
        <v>15</v>
      </c>
      <c r="J17004" s="1" t="str">
        <f>"57/57"</f>
        <v>57/57</v>
      </c>
      <c r="K17004" s="1" t="str">
        <f>"2026-07-29 14:20:56"</f>
        <v>2026-07-29 14:20:56</v>
      </c>
      <c r="L17004" s="1" t="str">
        <f>"2023-12-13 10:49:34"</f>
        <v>2023-12-13 10:49:34</v>
      </c>
      <c r="M17004" s="1" t="s">
        <v>45</v>
      </c>
      <c r="N17004" s="1" t="s">
        <v>38</v>
      </c>
      <c r="O17004" s="1" t="s">
        <v>46</v>
      </c>
    </row>
    <row r="17005" spans="2:15" x14ac:dyDescent="0.3">
      <c r="B17005" s="1" t="s">
        <v>19</v>
      </c>
      <c r="C17005" s="1" t="str">
        <f>"5-1차"</f>
        <v>5-1차</v>
      </c>
      <c r="D17005" s="1" t="str">
        <f>"0328D7125M"</f>
        <v>0328D7125M</v>
      </c>
      <c r="E17005" s="1" t="s">
        <v>10</v>
      </c>
      <c r="F17005" s="1" t="str">
        <f>"fde2:104:0:3:0:0:0:2"</f>
        <v>fde2:104:0:3:0:0:0:2</v>
      </c>
      <c r="G17005" s="1" t="str">
        <f>"0328D712"</f>
        <v>0328D712</v>
      </c>
      <c r="H17005" s="1" t="str">
        <f>"석계간 38R3L21H1"</f>
        <v>석계간 38R3L21H1</v>
      </c>
      <c r="I17005" s="1" t="s">
        <v>15</v>
      </c>
      <c r="J17005" s="1" t="str">
        <f>"23/23"</f>
        <v>23/23</v>
      </c>
      <c r="K17005" s="1" t="str">
        <f>"2026-07-29 14:20:58"</f>
        <v>2026-07-29 14:20:58</v>
      </c>
      <c r="L17005" s="1" t="str">
        <f>"2022-08-26 14:43:44"</f>
        <v>2022-08-26 14:43:44</v>
      </c>
      <c r="M17005" s="1" t="s">
        <v>42</v>
      </c>
      <c r="N17005" s="1" t="s">
        <v>38</v>
      </c>
      <c r="O17005" s="1" t="s">
        <v>46</v>
      </c>
    </row>
    <row r="17006" spans="2:15" x14ac:dyDescent="0.3">
      <c r="B17006" s="1" t="s">
        <v>19</v>
      </c>
      <c r="C17006" s="1" t="str">
        <f>"5-2차"</f>
        <v>5-2차</v>
      </c>
      <c r="D17006" s="1" t="str">
        <f>"0328P2925M"</f>
        <v>0328P2925M</v>
      </c>
      <c r="E17006" s="1" t="s">
        <v>10</v>
      </c>
      <c r="F17006" s="1" t="str">
        <f>"fde3:102:1410:9200:0:0:0:c"</f>
        <v>fde3:102:1410:9200:0:0:0:c</v>
      </c>
      <c r="G17006" s="1" t="str">
        <f>"0328P292"</f>
        <v>0328P292</v>
      </c>
      <c r="H17006" s="1" t="str">
        <f>"석관간 43L14"</f>
        <v>석관간 43L14</v>
      </c>
      <c r="I17006" s="1" t="s">
        <v>15</v>
      </c>
      <c r="J17006" s="1" t="str">
        <f>"73/73"</f>
        <v>73/73</v>
      </c>
      <c r="K17006" s="1" t="str">
        <f>"2026-07-29 14:20:17"</f>
        <v>2026-07-29 14:20:17</v>
      </c>
      <c r="L17006" s="1" t="str">
        <f>"2024-01-10 16:39:23"</f>
        <v>2024-01-10 16:39:23</v>
      </c>
      <c r="M17006" s="1" t="s">
        <v>45</v>
      </c>
      <c r="N17006" s="1" t="s">
        <v>38</v>
      </c>
      <c r="O17006" s="1" t="s">
        <v>46</v>
      </c>
    </row>
    <row r="17007" spans="2:15" x14ac:dyDescent="0.3">
      <c r="B17007" s="1" t="s">
        <v>19</v>
      </c>
      <c r="C17007" s="1" t="str">
        <f>"5-2차"</f>
        <v>5-2차</v>
      </c>
      <c r="D17007" s="1" t="str">
        <f>"0328P4725M"</f>
        <v>0328P4725M</v>
      </c>
      <c r="E17007" s="1" t="s">
        <v>10</v>
      </c>
      <c r="F17007" s="1" t="str">
        <f>"fde1:103:4:91a1:0:0:0:2"</f>
        <v>fde1:103:4:91a1:0:0:0:2</v>
      </c>
      <c r="G17007" s="1" t="str">
        <f>"0328P472"</f>
        <v>0328P472</v>
      </c>
      <c r="H17007" s="1" t="str">
        <f>"석관간 43L18"</f>
        <v>석관간 43L18</v>
      </c>
      <c r="I17007" s="1" t="s">
        <v>15</v>
      </c>
      <c r="J17007" s="1" t="str">
        <f>"55/55"</f>
        <v>55/55</v>
      </c>
      <c r="K17007" s="1" t="str">
        <f>"2026-07-29 14:20:16"</f>
        <v>2026-07-29 14:20:16</v>
      </c>
      <c r="L17007" s="1" t="str">
        <f>"2023-12-21 10:45:07"</f>
        <v>2023-12-21 10:45:07</v>
      </c>
      <c r="M17007" s="1" t="s">
        <v>4</v>
      </c>
      <c r="N17007" s="1" t="s">
        <v>38</v>
      </c>
      <c r="O17007" s="1" t="s">
        <v>46</v>
      </c>
    </row>
    <row r="17008" spans="2:15" x14ac:dyDescent="0.3">
      <c r="B17008" s="1" t="s">
        <v>19</v>
      </c>
      <c r="C17008" s="1" t="str">
        <f>"6차"</f>
        <v>6차</v>
      </c>
      <c r="D17008" s="1" t="str">
        <f>"0328P4916S"</f>
        <v>0328P4916S</v>
      </c>
      <c r="E17008" s="1" t="s">
        <v>10</v>
      </c>
      <c r="F17008" s="1" t="str">
        <f>"fde3:102:1410:9100:0:0:0:16"</f>
        <v>fde3:102:1410:9100:0:0:0:16</v>
      </c>
      <c r="G17008" s="1" t="str">
        <f>"0328P491"</f>
        <v>0328P491</v>
      </c>
      <c r="H17008" s="1" t="str">
        <f>"석관간 41L21R6"</f>
        <v>석관간 41L21R6</v>
      </c>
      <c r="I17008" s="1" t="s">
        <v>15</v>
      </c>
      <c r="J17008" s="1" t="str">
        <f>"176/176"</f>
        <v>176/176</v>
      </c>
      <c r="K17008" s="1" t="str">
        <f>"2026-07-28 18:22:42"</f>
        <v>2026-07-28 18:22:42</v>
      </c>
      <c r="L17008" s="1" t="str">
        <f>"2024-11-05 10:29:29"</f>
        <v>2024-11-05 10:29:29</v>
      </c>
      <c r="M17008" s="1" t="s">
        <v>45</v>
      </c>
      <c r="N17008" s="1" t="s">
        <v>38</v>
      </c>
      <c r="O17008" s="1" t="s">
        <v>46</v>
      </c>
    </row>
    <row r="17009" spans="2:15" x14ac:dyDescent="0.3">
      <c r="B17009" s="1" t="s">
        <v>19</v>
      </c>
      <c r="C17009" s="1" t="str">
        <f t="shared" ref="C17009:C17017" si="835">"5-2차"</f>
        <v>5-2차</v>
      </c>
      <c r="D17009" s="1" t="str">
        <f>"0328P5445M"</f>
        <v>0328P5445M</v>
      </c>
      <c r="E17009" s="1" t="s">
        <v>10</v>
      </c>
      <c r="F17009" s="1" t="str">
        <f>"fde1:103:4:9181:0:0:0:2"</f>
        <v>fde1:103:4:9181:0:0:0:2</v>
      </c>
      <c r="G17009" s="1" t="str">
        <f>"0328P544"</f>
        <v>0328P544</v>
      </c>
      <c r="H17009" s="1" t="str">
        <f>"석관간 43L23"</f>
        <v>석관간 43L23</v>
      </c>
      <c r="I17009" s="1" t="s">
        <v>15</v>
      </c>
      <c r="J17009" s="1" t="str">
        <f>"72/72"</f>
        <v>72/72</v>
      </c>
      <c r="K17009" s="1" t="str">
        <f>"2026-07-29 14:20:17"</f>
        <v>2026-07-29 14:20:17</v>
      </c>
      <c r="L17009" s="1" t="str">
        <f>"2023-12-21 10:45:38"</f>
        <v>2023-12-21 10:45:38</v>
      </c>
      <c r="M17009" s="1" t="s">
        <v>4</v>
      </c>
      <c r="N17009" s="1" t="s">
        <v>38</v>
      </c>
      <c r="O17009" s="1" t="s">
        <v>46</v>
      </c>
    </row>
    <row r="17010" spans="2:15" x14ac:dyDescent="0.3">
      <c r="B17010" s="1" t="s">
        <v>19</v>
      </c>
      <c r="C17010" s="1" t="str">
        <f t="shared" si="835"/>
        <v>5-2차</v>
      </c>
      <c r="D17010" s="1" t="str">
        <f>"0328P5515M"</f>
        <v>0328P5515M</v>
      </c>
      <c r="E17010" s="1" t="s">
        <v>10</v>
      </c>
      <c r="F17010" s="1" t="str">
        <f>"fde1:103:4:92ce:0:0:0:2"</f>
        <v>fde1:103:4:92ce:0:0:0:2</v>
      </c>
      <c r="G17010" s="1" t="str">
        <f>"0328P551"</f>
        <v>0328P551</v>
      </c>
      <c r="H17010" s="1" t="str">
        <f>"석관간 43L20"</f>
        <v>석관간 43L20</v>
      </c>
      <c r="I17010" s="1" t="s">
        <v>15</v>
      </c>
      <c r="J17010" s="1" t="str">
        <f>"82/83"</f>
        <v>82/83</v>
      </c>
      <c r="K17010" s="1" t="str">
        <f>"2026-07-29 14:20:42"</f>
        <v>2026-07-29 14:20:42</v>
      </c>
      <c r="L17010" s="1" t="str">
        <f>"2023-12-21 10:46:06"</f>
        <v>2023-12-21 10:46:06</v>
      </c>
      <c r="M17010" s="1" t="s">
        <v>4</v>
      </c>
      <c r="N17010" s="1" t="s">
        <v>38</v>
      </c>
      <c r="O17010" s="1" t="s">
        <v>46</v>
      </c>
    </row>
    <row r="17011" spans="2:15" x14ac:dyDescent="0.3">
      <c r="B17011" s="1" t="s">
        <v>19</v>
      </c>
      <c r="C17011" s="1" t="str">
        <f t="shared" si="835"/>
        <v>5-2차</v>
      </c>
      <c r="D17011" s="1" t="str">
        <f>"0328P5715M"</f>
        <v>0328P5715M</v>
      </c>
      <c r="E17011" s="1" t="s">
        <v>10</v>
      </c>
      <c r="F17011" s="1" t="str">
        <f>"fde3:102:1410:9100:0:0:0:d"</f>
        <v>fde3:102:1410:9100:0:0:0:d</v>
      </c>
      <c r="G17011" s="1" t="str">
        <f>"0328P571"</f>
        <v>0328P571</v>
      </c>
      <c r="H17011" s="1" t="str">
        <f>"석관간 41L21R3"</f>
        <v>석관간 41L21R3</v>
      </c>
      <c r="I17011" s="1" t="s">
        <v>15</v>
      </c>
      <c r="J17011" s="1" t="str">
        <f>"156/156"</f>
        <v>156/156</v>
      </c>
      <c r="K17011" s="1" t="str">
        <f>"2026-07-29 14:20:41"</f>
        <v>2026-07-29 14:20:41</v>
      </c>
      <c r="L17011" s="1" t="str">
        <f>"2024-01-15 13:34:17"</f>
        <v>2024-01-15 13:34:17</v>
      </c>
      <c r="M17011" s="1" t="s">
        <v>45</v>
      </c>
      <c r="N17011" s="1" t="s">
        <v>38</v>
      </c>
      <c r="O17011" s="1" t="s">
        <v>46</v>
      </c>
    </row>
    <row r="17012" spans="2:15" x14ac:dyDescent="0.3">
      <c r="B17012" s="1" t="s">
        <v>19</v>
      </c>
      <c r="C17012" s="1" t="str">
        <f t="shared" si="835"/>
        <v>5-2차</v>
      </c>
      <c r="D17012" s="1" t="str">
        <f>"0328P5825S"</f>
        <v>0328P5825S</v>
      </c>
      <c r="E17012" s="1" t="s">
        <v>10</v>
      </c>
      <c r="F17012" s="1" t="str">
        <f>"fde3:102:1410:9100:0:0:0:f"</f>
        <v>fde3:102:1410:9100:0:0:0:f</v>
      </c>
      <c r="G17012" s="1" t="str">
        <f>"0328P582"</f>
        <v>0328P582</v>
      </c>
      <c r="H17012" s="1" t="str">
        <f>"석관간 41L21R5"</f>
        <v>석관간 41L21R5</v>
      </c>
      <c r="I17012" s="1" t="s">
        <v>15</v>
      </c>
      <c r="J17012" s="1" t="str">
        <f>"44/44"</f>
        <v>44/44</v>
      </c>
      <c r="K17012" s="1" t="str">
        <f>"2026-07-29 14:20:18"</f>
        <v>2026-07-29 14:20:18</v>
      </c>
      <c r="L17012" s="1" t="str">
        <f>"2023-12-28 13:46:36"</f>
        <v>2023-12-28 13:46:36</v>
      </c>
      <c r="M17012" s="1" t="s">
        <v>45</v>
      </c>
      <c r="N17012" s="1" t="s">
        <v>38</v>
      </c>
      <c r="O17012" s="1" t="s">
        <v>46</v>
      </c>
    </row>
    <row r="17013" spans="2:15" x14ac:dyDescent="0.3">
      <c r="B17013" s="1" t="s">
        <v>19</v>
      </c>
      <c r="C17013" s="1" t="str">
        <f t="shared" si="835"/>
        <v>5-2차</v>
      </c>
      <c r="D17013" s="1" t="str">
        <f>"0328P6625S"</f>
        <v>0328P6625S</v>
      </c>
      <c r="E17013" s="1" t="s">
        <v>10</v>
      </c>
      <c r="F17013" s="1" t="str">
        <f>"fde3:102:1410:9100:0:0:0:e"</f>
        <v>fde3:102:1410:9100:0:0:0:e</v>
      </c>
      <c r="G17013" s="1" t="str">
        <f>"0328P662"</f>
        <v>0328P662</v>
      </c>
      <c r="H17013" s="1" t="str">
        <f>"석관간 41L21R3L2"</f>
        <v>석관간 41L21R3L2</v>
      </c>
      <c r="I17013" s="1" t="s">
        <v>15</v>
      </c>
      <c r="J17013" s="1" t="str">
        <f>"92/92"</f>
        <v>92/92</v>
      </c>
      <c r="K17013" s="1" t="str">
        <f>"2026-07-29 14:20:25"</f>
        <v>2026-07-29 14:20:25</v>
      </c>
      <c r="L17013" s="1" t="str">
        <f>"2023-12-28 14:39:16"</f>
        <v>2023-12-28 14:39:16</v>
      </c>
      <c r="M17013" s="1" t="s">
        <v>45</v>
      </c>
      <c r="N17013" s="1" t="s">
        <v>38</v>
      </c>
      <c r="O17013" s="1" t="s">
        <v>46</v>
      </c>
    </row>
    <row r="17014" spans="2:15" x14ac:dyDescent="0.3">
      <c r="B17014" s="1" t="s">
        <v>19</v>
      </c>
      <c r="C17014" s="1" t="str">
        <f t="shared" si="835"/>
        <v>5-2차</v>
      </c>
      <c r="D17014" s="1" t="str">
        <f>"0328P6935S"</f>
        <v>0328P6935S</v>
      </c>
      <c r="E17014" s="1" t="s">
        <v>10</v>
      </c>
      <c r="F17014" s="1" t="str">
        <f>"fde3:102:1410:9100:0:0:0:11"</f>
        <v>fde3:102:1410:9100:0:0:0:11</v>
      </c>
      <c r="G17014" s="1" t="str">
        <f>"0328P693"</f>
        <v>0328P693</v>
      </c>
      <c r="H17014" s="1" t="str">
        <f>"석관간 41L21R5R3"</f>
        <v>석관간 41L21R5R3</v>
      </c>
      <c r="I17014" s="1" t="s">
        <v>15</v>
      </c>
      <c r="J17014" s="1" t="str">
        <f>"87/88"</f>
        <v>87/88</v>
      </c>
      <c r="K17014" s="1" t="str">
        <f>"2026-07-29 14:20:42"</f>
        <v>2026-07-29 14:20:42</v>
      </c>
      <c r="L17014" s="1" t="str">
        <f>"2023-12-23 12:24:25"</f>
        <v>2023-12-23 12:24:25</v>
      </c>
      <c r="M17014" s="1" t="s">
        <v>45</v>
      </c>
      <c r="N17014" s="1" t="s">
        <v>38</v>
      </c>
      <c r="O17014" s="1" t="s">
        <v>46</v>
      </c>
    </row>
    <row r="17015" spans="2:15" x14ac:dyDescent="0.3">
      <c r="B17015" s="1" t="s">
        <v>19</v>
      </c>
      <c r="C17015" s="1" t="str">
        <f t="shared" si="835"/>
        <v>5-2차</v>
      </c>
      <c r="D17015" s="1" t="str">
        <f>"0328P6945S"</f>
        <v>0328P6945S</v>
      </c>
      <c r="E17015" s="1" t="s">
        <v>10</v>
      </c>
      <c r="F17015" s="1" t="str">
        <f>"fde3:102:1410:9100:0:0:0:10"</f>
        <v>fde3:102:1410:9100:0:0:0:10</v>
      </c>
      <c r="G17015" s="1" t="str">
        <f>"0328P694"</f>
        <v>0328P694</v>
      </c>
      <c r="H17015" s="1" t="str">
        <f>"석관간 41L21R5R2"</f>
        <v>석관간 41L21R5R2</v>
      </c>
      <c r="I17015" s="1" t="s">
        <v>15</v>
      </c>
      <c r="J17015" s="1" t="str">
        <f>"55/55"</f>
        <v>55/55</v>
      </c>
      <c r="K17015" s="1" t="str">
        <f>"2026-07-29 14:20:18"</f>
        <v>2026-07-29 14:20:18</v>
      </c>
      <c r="L17015" s="1" t="str">
        <f>"2023-12-23 11:49:23"</f>
        <v>2023-12-23 11:49:23</v>
      </c>
      <c r="M17015" s="1" t="s">
        <v>45</v>
      </c>
      <c r="N17015" s="1" t="s">
        <v>38</v>
      </c>
      <c r="O17015" s="1" t="s">
        <v>46</v>
      </c>
    </row>
    <row r="17016" spans="2:15" x14ac:dyDescent="0.3">
      <c r="B17016" s="1" t="s">
        <v>19</v>
      </c>
      <c r="C17016" s="1" t="str">
        <f t="shared" si="835"/>
        <v>5-2차</v>
      </c>
      <c r="D17016" s="1" t="str">
        <f>"0328P7725M"</f>
        <v>0328P7725M</v>
      </c>
      <c r="E17016" s="1" t="s">
        <v>10</v>
      </c>
      <c r="F17016" s="1" t="str">
        <f>"fde3:102:1410:9100:0:0:0:c"</f>
        <v>fde3:102:1410:9100:0:0:0:c</v>
      </c>
      <c r="G17016" s="1" t="str">
        <f>"0328P772"</f>
        <v>0328P772</v>
      </c>
      <c r="H17016" s="1" t="str">
        <f>"석관간 41L22"</f>
        <v>석관간 41L22</v>
      </c>
      <c r="I17016" s="1" t="s">
        <v>15</v>
      </c>
      <c r="J17016" s="1" t="str">
        <f>"29/29"</f>
        <v>29/29</v>
      </c>
      <c r="K17016" s="1" t="str">
        <f>"2026-07-29 14:20:18"</f>
        <v>2026-07-29 14:20:18</v>
      </c>
      <c r="L17016" s="1" t="str">
        <f>"2023-12-23 09:26:32"</f>
        <v>2023-12-23 09:26:32</v>
      </c>
      <c r="M17016" s="1" t="s">
        <v>45</v>
      </c>
      <c r="N17016" s="1" t="s">
        <v>38</v>
      </c>
      <c r="O17016" s="1" t="s">
        <v>46</v>
      </c>
    </row>
    <row r="17017" spans="2:15" x14ac:dyDescent="0.3">
      <c r="B17017" s="1" t="s">
        <v>19</v>
      </c>
      <c r="C17017" s="1" t="str">
        <f t="shared" si="835"/>
        <v>5-2차</v>
      </c>
      <c r="D17017" s="1" t="str">
        <f>"0328P7825M"</f>
        <v>0328P7825M</v>
      </c>
      <c r="E17017" s="1" t="s">
        <v>10</v>
      </c>
      <c r="F17017" s="1" t="str">
        <f>"fde1:103:4:92cd:0:0:0:2"</f>
        <v>fde1:103:4:92cd:0:0:0:2</v>
      </c>
      <c r="G17017" s="1" t="str">
        <f>"0328P782"</f>
        <v>0328P782</v>
      </c>
      <c r="H17017" s="1" t="str">
        <f>"석관간 41L21"</f>
        <v>석관간 41L21</v>
      </c>
      <c r="I17017" s="1" t="s">
        <v>15</v>
      </c>
      <c r="J17017" s="1" t="str">
        <f>"43/43"</f>
        <v>43/43</v>
      </c>
      <c r="K17017" s="1" t="str">
        <f>"2026-07-29 14:20:56"</f>
        <v>2026-07-29 14:20:56</v>
      </c>
      <c r="L17017" s="1" t="str">
        <f>"2023-12-21 10:46:26"</f>
        <v>2023-12-21 10:46:26</v>
      </c>
      <c r="M17017" s="1" t="s">
        <v>4</v>
      </c>
      <c r="N17017" s="1" t="s">
        <v>38</v>
      </c>
      <c r="O17017" s="1" t="s">
        <v>46</v>
      </c>
    </row>
    <row r="17018" spans="2:15" x14ac:dyDescent="0.3">
      <c r="B17018" s="1" t="s">
        <v>19</v>
      </c>
      <c r="C17018" s="1" t="str">
        <f>"4차"</f>
        <v>4차</v>
      </c>
      <c r="D17018" s="1" t="str">
        <f>"0328Q69141"</f>
        <v>0328Q69141</v>
      </c>
      <c r="E17018" s="1" t="s">
        <v>10</v>
      </c>
      <c r="F17018" s="1" t="str">
        <f>"10.12.132.191"</f>
        <v>10.12.132.191</v>
      </c>
      <c r="G17018" s="1" t="str">
        <f>"0328Q691"</f>
        <v>0328Q691</v>
      </c>
      <c r="H17018" s="1" t="str">
        <f>"석계간 2"</f>
        <v>석계간 2</v>
      </c>
      <c r="I17018" s="1" t="s">
        <v>17</v>
      </c>
      <c r="J17018" s="1" t="str">
        <f>"22/22"</f>
        <v>22/22</v>
      </c>
      <c r="K17018" s="1" t="str">
        <f>"2026-07-29 13:18:03"</f>
        <v>2026-07-29 13:18:03</v>
      </c>
      <c r="L17018" s="1" t="str">
        <f>"2021-10-07 14:52:44"</f>
        <v>2021-10-07 14:52:44</v>
      </c>
      <c r="M17018" s="1" t="s">
        <v>0</v>
      </c>
      <c r="N17018" s="1" t="s">
        <v>38</v>
      </c>
      <c r="O17018" s="1" t="s">
        <v>46</v>
      </c>
    </row>
    <row r="17019" spans="2:15" x14ac:dyDescent="0.3">
      <c r="B17019" s="1" t="s">
        <v>19</v>
      </c>
      <c r="C17019" s="1" t="str">
        <f>"5-2차"</f>
        <v>5-2차</v>
      </c>
      <c r="D17019" s="1" t="str">
        <f>"9927F8735M"</f>
        <v>9927F8735M</v>
      </c>
      <c r="E17019" s="1" t="s">
        <v>10</v>
      </c>
      <c r="F17019" s="1" t="str">
        <f>"fde1:103:4:92d2:0:0:0:2"</f>
        <v>fde1:103:4:92d2:0:0:0:2</v>
      </c>
      <c r="G17019" s="1" t="str">
        <f>"9927F873"</f>
        <v>9927F873</v>
      </c>
      <c r="H17019" s="1" t="str">
        <f>"대교지 28H1"</f>
        <v>대교지 28H1</v>
      </c>
      <c r="I17019" s="1" t="s">
        <v>15</v>
      </c>
      <c r="J17019" s="1" t="str">
        <f>"48/48"</f>
        <v>48/48</v>
      </c>
      <c r="K17019" s="1" t="str">
        <f>"2026-07-29 14:21:33"</f>
        <v>2026-07-29 14:21:33</v>
      </c>
      <c r="L17019" s="1" t="str">
        <f>"2023-12-21 10:46:52"</f>
        <v>2023-12-21 10:46:52</v>
      </c>
      <c r="M17019" s="1" t="s">
        <v>4</v>
      </c>
      <c r="N17019" s="1" t="s">
        <v>38</v>
      </c>
      <c r="O17019" s="1" t="s">
        <v>46</v>
      </c>
    </row>
    <row r="17020" spans="2:15" x14ac:dyDescent="0.3">
      <c r="B17020" s="1" t="s">
        <v>13</v>
      </c>
      <c r="C17020" s="1" t="str">
        <f>"4차"</f>
        <v>4차</v>
      </c>
      <c r="D17020" s="1" t="str">
        <f>"0025A09145"</f>
        <v>0025A09145</v>
      </c>
      <c r="E17020" s="1" t="s">
        <v>10</v>
      </c>
      <c r="F17020" s="1" t="str">
        <f>"10.14.13.61"</f>
        <v>10.14.13.61</v>
      </c>
      <c r="G17020" s="1" t="str">
        <f>"0025A091"</f>
        <v>0025A091</v>
      </c>
      <c r="H17020" s="1" t="str">
        <f>"퇴계로 R3-1"</f>
        <v>퇴계로 R3-1</v>
      </c>
      <c r="I17020" s="1" t="s">
        <v>17</v>
      </c>
      <c r="J17020" s="1" t="str">
        <f>"7/7"</f>
        <v>7/7</v>
      </c>
      <c r="K17020" s="1" t="str">
        <f>"2026-07-29 13:18:01"</f>
        <v>2026-07-29 13:18:01</v>
      </c>
      <c r="L17020" s="1" t="str">
        <f>"2021-06-23 08:23:27"</f>
        <v>2021-06-23 08:23:27</v>
      </c>
      <c r="M17020" s="1" t="s">
        <v>3</v>
      </c>
      <c r="N17020" s="1" t="s">
        <v>38</v>
      </c>
      <c r="O17020" s="1" t="s">
        <v>46</v>
      </c>
    </row>
    <row r="17021" spans="2:15" x14ac:dyDescent="0.3">
      <c r="B17021" s="1" t="s">
        <v>13</v>
      </c>
      <c r="C17021" s="1" t="str">
        <f>"4차"</f>
        <v>4차</v>
      </c>
      <c r="D17021" s="1" t="str">
        <f>"0025A28345"</f>
        <v>0025A28345</v>
      </c>
      <c r="E17021" s="1" t="s">
        <v>10</v>
      </c>
      <c r="F17021" s="1" t="str">
        <f>"10.14.1.22"</f>
        <v>10.14.1.22</v>
      </c>
      <c r="G17021" s="1" t="str">
        <f>"0025A283"</f>
        <v>0025A283</v>
      </c>
      <c r="H17021" s="1" t="str">
        <f>"퇴계로 R3-2"</f>
        <v>퇴계로 R3-2</v>
      </c>
      <c r="I17021" s="1" t="s">
        <v>17</v>
      </c>
      <c r="J17021" s="1" t="str">
        <f>"8/8"</f>
        <v>8/8</v>
      </c>
      <c r="K17021" s="1" t="str">
        <f>"2026-07-29 13:18:01"</f>
        <v>2026-07-29 13:18:01</v>
      </c>
      <c r="L17021" s="1" t="str">
        <f>"2021-06-23 08:55:24"</f>
        <v>2021-06-23 08:55:24</v>
      </c>
      <c r="M17021" s="1" t="s">
        <v>3</v>
      </c>
      <c r="N17021" s="1" t="s">
        <v>38</v>
      </c>
      <c r="O17021" s="1" t="s">
        <v>46</v>
      </c>
    </row>
    <row r="17022" spans="2:15" x14ac:dyDescent="0.3">
      <c r="B17022" s="1" t="s">
        <v>13</v>
      </c>
      <c r="C17022" s="1" t="str">
        <f>"4차"</f>
        <v>4차</v>
      </c>
      <c r="D17022" s="1" t="str">
        <f>"0025A38141"</f>
        <v>0025A38141</v>
      </c>
      <c r="E17022" s="1" t="s">
        <v>10</v>
      </c>
      <c r="F17022" s="1" t="str">
        <f>"10.14.6.41"</f>
        <v>10.14.6.41</v>
      </c>
      <c r="G17022" s="1" t="str">
        <f>"0025A381"</f>
        <v>0025A381</v>
      </c>
      <c r="H17022" s="1" t="str">
        <f>"퇴계간 24R2R2"</f>
        <v>퇴계간 24R2R2</v>
      </c>
      <c r="I17022" s="1" t="s">
        <v>17</v>
      </c>
      <c r="J17022" s="1" t="str">
        <f>"2/2"</f>
        <v>2/2</v>
      </c>
      <c r="K17022" s="1" t="str">
        <f>"2026-07-29 13:18:01"</f>
        <v>2026-07-29 13:18:01</v>
      </c>
      <c r="L17022" s="1" t="str">
        <f>"2021-11-10 14:05:30"</f>
        <v>2021-11-10 14:05:30</v>
      </c>
      <c r="M17022" s="1" t="s">
        <v>3</v>
      </c>
      <c r="N17022" s="1" t="s">
        <v>38</v>
      </c>
      <c r="O17022" s="1" t="s">
        <v>46</v>
      </c>
    </row>
    <row r="17023" spans="2:15" x14ac:dyDescent="0.3">
      <c r="B17023" s="1" t="s">
        <v>13</v>
      </c>
      <c r="C17023" s="1" t="str">
        <f>"4차"</f>
        <v>4차</v>
      </c>
      <c r="D17023" s="1" t="str">
        <f>"0025A47441"</f>
        <v>0025A47441</v>
      </c>
      <c r="E17023" s="1" t="s">
        <v>10</v>
      </c>
      <c r="F17023" s="1" t="str">
        <f>"10.14.12.187"</f>
        <v>10.14.12.187</v>
      </c>
      <c r="G17023" s="1" t="str">
        <f>"0025A474"</f>
        <v>0025A474</v>
      </c>
      <c r="H17023" s="1" t="str">
        <f>"퇴계간 24R6"</f>
        <v>퇴계간 24R6</v>
      </c>
      <c r="I17023" s="1" t="s">
        <v>17</v>
      </c>
      <c r="J17023" s="1" t="str">
        <f>"35/35"</f>
        <v>35/35</v>
      </c>
      <c r="K17023" s="1" t="str">
        <f>"2026-07-29 13:18:01"</f>
        <v>2026-07-29 13:18:01</v>
      </c>
      <c r="L17023" s="1" t="str">
        <f>"2021-10-21 08:23:45"</f>
        <v>2021-10-21 08:23:45</v>
      </c>
      <c r="M17023" s="1" t="s">
        <v>3</v>
      </c>
      <c r="N17023" s="1" t="s">
        <v>38</v>
      </c>
      <c r="O17023" s="1" t="s">
        <v>46</v>
      </c>
    </row>
    <row r="17024" spans="2:15" x14ac:dyDescent="0.3">
      <c r="B17024" s="1" t="s">
        <v>13</v>
      </c>
      <c r="C17024" s="1" t="str">
        <f t="shared" ref="C17024:C17032" si="836">"5-1차"</f>
        <v>5-1차</v>
      </c>
      <c r="D17024" s="1" t="str">
        <f>"0025A5515M"</f>
        <v>0025A5515M</v>
      </c>
      <c r="E17024" s="1" t="s">
        <v>10</v>
      </c>
      <c r="F17024" s="1" t="str">
        <f>"fde3:102:1305:5c00:0:0:0:2"</f>
        <v>fde3:102:1305:5c00:0:0:0:2</v>
      </c>
      <c r="G17024" s="1" t="str">
        <f>"0025A551"</f>
        <v>0025A551</v>
      </c>
      <c r="H17024" s="1" t="str">
        <f>"퇴계간 24R4L6"</f>
        <v>퇴계간 24R4L6</v>
      </c>
      <c r="I17024" s="1" t="s">
        <v>15</v>
      </c>
      <c r="J17024" s="1" t="str">
        <f>"38/38"</f>
        <v>38/38</v>
      </c>
      <c r="K17024" s="1" t="str">
        <f>"2026-07-29 14:20:05"</f>
        <v>2026-07-29 14:20:05</v>
      </c>
      <c r="L17024" s="1" t="str">
        <f>"2022-11-21 15:04:21"</f>
        <v>2022-11-21 15:04:21</v>
      </c>
      <c r="M17024" s="1" t="s">
        <v>45</v>
      </c>
      <c r="N17024" s="1" t="s">
        <v>38</v>
      </c>
      <c r="O17024" s="1" t="s">
        <v>46</v>
      </c>
    </row>
    <row r="17025" spans="2:15" x14ac:dyDescent="0.3">
      <c r="B17025" s="1" t="s">
        <v>13</v>
      </c>
      <c r="C17025" s="1" t="str">
        <f t="shared" si="836"/>
        <v>5-1차</v>
      </c>
      <c r="D17025" s="1" t="str">
        <f>"0025A8015M"</f>
        <v>0025A8015M</v>
      </c>
      <c r="E17025" s="1" t="s">
        <v>10</v>
      </c>
      <c r="F17025" s="1" t="str">
        <f>"fde3:102:1305:2800:0:0:0:2"</f>
        <v>fde3:102:1305:2800:0:0:0:2</v>
      </c>
      <c r="G17025" s="1" t="str">
        <f>"0025A801"</f>
        <v>0025A801</v>
      </c>
      <c r="H17025" s="1" t="str">
        <f>"필동지 17R3"</f>
        <v>필동지 17R3</v>
      </c>
      <c r="I17025" s="1" t="s">
        <v>15</v>
      </c>
      <c r="J17025" s="1" t="str">
        <f>"30/30"</f>
        <v>30/30</v>
      </c>
      <c r="K17025" s="1" t="str">
        <f t="shared" ref="K17025:K17031" si="837">"2026-07-29 14:20:03"</f>
        <v>2026-07-29 14:20:03</v>
      </c>
      <c r="L17025" s="1" t="str">
        <f>"2022-11-24 13:14:49"</f>
        <v>2022-11-24 13:14:49</v>
      </c>
      <c r="M17025" s="1" t="s">
        <v>45</v>
      </c>
      <c r="N17025" s="1" t="s">
        <v>38</v>
      </c>
      <c r="O17025" s="1" t="s">
        <v>46</v>
      </c>
    </row>
    <row r="17026" spans="2:15" x14ac:dyDescent="0.3">
      <c r="B17026" s="1" t="s">
        <v>13</v>
      </c>
      <c r="C17026" s="1" t="str">
        <f t="shared" si="836"/>
        <v>5-1차</v>
      </c>
      <c r="D17026" s="1" t="str">
        <f>"0025B0315M"</f>
        <v>0025B0315M</v>
      </c>
      <c r="E17026" s="1" t="s">
        <v>10</v>
      </c>
      <c r="F17026" s="1" t="str">
        <f>"fde3:102:1305:5d00:0:0:0:8"</f>
        <v>fde3:102:1305:5d00:0:0:0:8</v>
      </c>
      <c r="G17026" s="1" t="str">
        <f>"0025B031"</f>
        <v>0025B031</v>
      </c>
      <c r="H17026" s="1" t="str">
        <f>"필동지 13"</f>
        <v>필동지 13</v>
      </c>
      <c r="I17026" s="1" t="s">
        <v>15</v>
      </c>
      <c r="J17026" s="1" t="str">
        <f>"19/19"</f>
        <v>19/19</v>
      </c>
      <c r="K17026" s="1" t="str">
        <f t="shared" si="837"/>
        <v>2026-07-29 14:20:03</v>
      </c>
      <c r="L17026" s="1" t="str">
        <f>"2023-08-09 16:30:03"</f>
        <v>2023-08-09 16:30:03</v>
      </c>
      <c r="M17026" s="1" t="s">
        <v>45</v>
      </c>
      <c r="N17026" s="1" t="s">
        <v>38</v>
      </c>
      <c r="O17026" s="1" t="s">
        <v>46</v>
      </c>
    </row>
    <row r="17027" spans="2:15" x14ac:dyDescent="0.3">
      <c r="B17027" s="1" t="s">
        <v>13</v>
      </c>
      <c r="C17027" s="1" t="str">
        <f t="shared" si="836"/>
        <v>5-1차</v>
      </c>
      <c r="D17027" s="1" t="str">
        <f>"0025B0435M"</f>
        <v>0025B0435M</v>
      </c>
      <c r="E17027" s="1" t="s">
        <v>10</v>
      </c>
      <c r="F17027" s="1" t="str">
        <f>"fde3:102:1305:5d00:0:0:0:2"</f>
        <v>fde3:102:1305:5d00:0:0:0:2</v>
      </c>
      <c r="G17027" s="1" t="str">
        <f>"0025B043"</f>
        <v>0025B043</v>
      </c>
      <c r="H17027" s="1" t="str">
        <f>"필동지 12H1"</f>
        <v>필동지 12H1</v>
      </c>
      <c r="I17027" s="1" t="s">
        <v>15</v>
      </c>
      <c r="J17027" s="1" t="str">
        <f>"18/19"</f>
        <v>18/19</v>
      </c>
      <c r="K17027" s="1" t="str">
        <f t="shared" si="837"/>
        <v>2026-07-29 14:20:03</v>
      </c>
      <c r="L17027" s="1" t="str">
        <f>"2022-11-21 15:13:40"</f>
        <v>2022-11-21 15:13:40</v>
      </c>
      <c r="M17027" s="1" t="s">
        <v>45</v>
      </c>
      <c r="N17027" s="1" t="s">
        <v>38</v>
      </c>
      <c r="O17027" s="1" t="s">
        <v>46</v>
      </c>
    </row>
    <row r="17028" spans="2:15" x14ac:dyDescent="0.3">
      <c r="B17028" s="1" t="s">
        <v>13</v>
      </c>
      <c r="C17028" s="1" t="str">
        <f t="shared" si="836"/>
        <v>5-1차</v>
      </c>
      <c r="D17028" s="1" t="str">
        <f>"0025B1115M"</f>
        <v>0025B1115M</v>
      </c>
      <c r="E17028" s="1" t="s">
        <v>10</v>
      </c>
      <c r="F17028" s="1" t="str">
        <f>"fde3:102:1305:5d00:0:0:0:3"</f>
        <v>fde3:102:1305:5d00:0:0:0:3</v>
      </c>
      <c r="G17028" s="1" t="str">
        <f>"0025B111"</f>
        <v>0025B111</v>
      </c>
      <c r="H17028" s="1" t="str">
        <f>"필동지 11L2R3"</f>
        <v>필동지 11L2R3</v>
      </c>
      <c r="I17028" s="1" t="s">
        <v>15</v>
      </c>
      <c r="J17028" s="1" t="str">
        <f>"66/68"</f>
        <v>66/68</v>
      </c>
      <c r="K17028" s="1" t="str">
        <f t="shared" si="837"/>
        <v>2026-07-29 14:20:03</v>
      </c>
      <c r="L17028" s="1" t="str">
        <f>"2022-11-21 15:04:05"</f>
        <v>2022-11-21 15:04:05</v>
      </c>
      <c r="M17028" s="1" t="s">
        <v>45</v>
      </c>
      <c r="N17028" s="1" t="s">
        <v>38</v>
      </c>
      <c r="O17028" s="1" t="s">
        <v>46</v>
      </c>
    </row>
    <row r="17029" spans="2:15" x14ac:dyDescent="0.3">
      <c r="B17029" s="1" t="s">
        <v>13</v>
      </c>
      <c r="C17029" s="1" t="str">
        <f t="shared" si="836"/>
        <v>5-1차</v>
      </c>
      <c r="D17029" s="1" t="str">
        <f>"0025B1315M"</f>
        <v>0025B1315M</v>
      </c>
      <c r="E17029" s="1" t="s">
        <v>10</v>
      </c>
      <c r="F17029" s="1" t="str">
        <f>"fde3:102:1305:5e00:0:0:0:2"</f>
        <v>fde3:102:1305:5e00:0:0:0:2</v>
      </c>
      <c r="G17029" s="1" t="str">
        <f>"0025B131"</f>
        <v>0025B131</v>
      </c>
      <c r="H17029" s="1" t="str">
        <f>"필동지 11L2R1"</f>
        <v>필동지 11L2R1</v>
      </c>
      <c r="I17029" s="1" t="s">
        <v>15</v>
      </c>
      <c r="J17029" s="1" t="str">
        <f>"35/35"</f>
        <v>35/35</v>
      </c>
      <c r="K17029" s="1" t="str">
        <f t="shared" si="837"/>
        <v>2026-07-29 14:20:03</v>
      </c>
      <c r="L17029" s="1" t="str">
        <f>"2022-11-21 15:05:12"</f>
        <v>2022-11-21 15:05:12</v>
      </c>
      <c r="M17029" s="1" t="s">
        <v>45</v>
      </c>
      <c r="N17029" s="1" t="s">
        <v>38</v>
      </c>
      <c r="O17029" s="1" t="s">
        <v>46</v>
      </c>
    </row>
    <row r="17030" spans="2:15" x14ac:dyDescent="0.3">
      <c r="B17030" s="1" t="s">
        <v>13</v>
      </c>
      <c r="C17030" s="1" t="str">
        <f t="shared" si="836"/>
        <v>5-1차</v>
      </c>
      <c r="D17030" s="1" t="str">
        <f>"0025B2825M"</f>
        <v>0025B2825M</v>
      </c>
      <c r="E17030" s="1" t="s">
        <v>10</v>
      </c>
      <c r="F17030" s="1" t="str">
        <f>"fde3:102:1305:5e00:0:0:0:3"</f>
        <v>fde3:102:1305:5e00:0:0:0:3</v>
      </c>
      <c r="G17030" s="1" t="str">
        <f>"0025B282"</f>
        <v>0025B282</v>
      </c>
      <c r="H17030" s="1" t="str">
        <f>"필동지 6L3L3"</f>
        <v>필동지 6L3L3</v>
      </c>
      <c r="I17030" s="1" t="s">
        <v>15</v>
      </c>
      <c r="J17030" s="1" t="str">
        <f>"35/35"</f>
        <v>35/35</v>
      </c>
      <c r="K17030" s="1" t="str">
        <f t="shared" si="837"/>
        <v>2026-07-29 14:20:03</v>
      </c>
      <c r="L17030" s="1" t="str">
        <f>"2022-11-22 11:15:35"</f>
        <v>2022-11-22 11:15:35</v>
      </c>
      <c r="M17030" s="1" t="s">
        <v>45</v>
      </c>
      <c r="N17030" s="1" t="s">
        <v>38</v>
      </c>
      <c r="O17030" s="1" t="s">
        <v>46</v>
      </c>
    </row>
    <row r="17031" spans="2:15" x14ac:dyDescent="0.3">
      <c r="B17031" s="1" t="s">
        <v>13</v>
      </c>
      <c r="C17031" s="1" t="str">
        <f t="shared" si="836"/>
        <v>5-1차</v>
      </c>
      <c r="D17031" s="1" t="str">
        <f>"0025B3335M"</f>
        <v>0025B3335M</v>
      </c>
      <c r="E17031" s="1" t="s">
        <v>10</v>
      </c>
      <c r="F17031" s="1" t="str">
        <f>"fde2:104:0:191:0:0:0:2"</f>
        <v>fde2:104:0:191:0:0:0:2</v>
      </c>
      <c r="G17031" s="1" t="str">
        <f>"0025B333"</f>
        <v>0025B333</v>
      </c>
      <c r="H17031" s="1" t="str">
        <f>"필동지 11L5"</f>
        <v>필동지 11L5</v>
      </c>
      <c r="I17031" s="1" t="s">
        <v>15</v>
      </c>
      <c r="J17031" s="1" t="str">
        <f>"36/38"</f>
        <v>36/38</v>
      </c>
      <c r="K17031" s="1" t="str">
        <f t="shared" si="837"/>
        <v>2026-07-29 14:20:03</v>
      </c>
      <c r="L17031" s="1" t="str">
        <f>"2022-11-16 11:45:47"</f>
        <v>2022-11-16 11:45:47</v>
      </c>
      <c r="M17031" s="1" t="s">
        <v>42</v>
      </c>
      <c r="N17031" s="1" t="s">
        <v>38</v>
      </c>
      <c r="O17031" s="1" t="s">
        <v>46</v>
      </c>
    </row>
    <row r="17032" spans="2:15" x14ac:dyDescent="0.3">
      <c r="B17032" s="1" t="s">
        <v>13</v>
      </c>
      <c r="C17032" s="1" t="str">
        <f t="shared" si="836"/>
        <v>5-1차</v>
      </c>
      <c r="D17032" s="1" t="str">
        <f>"0025B3625M"</f>
        <v>0025B3625M</v>
      </c>
      <c r="E17032" s="1" t="s">
        <v>10</v>
      </c>
      <c r="F17032" s="1" t="str">
        <f>"fde3:102:1305:5c00:0:0:0:3"</f>
        <v>fde3:102:1305:5c00:0:0:0:3</v>
      </c>
      <c r="G17032" s="1" t="str">
        <f>"0025B362"</f>
        <v>0025B362</v>
      </c>
      <c r="H17032" s="1" t="str">
        <f>"필동지 6L7"</f>
        <v>필동지 6L7</v>
      </c>
      <c r="I17032" s="1" t="s">
        <v>15</v>
      </c>
      <c r="J17032" s="1" t="str">
        <f>"41/41"</f>
        <v>41/41</v>
      </c>
      <c r="K17032" s="1" t="str">
        <f>"2026-07-29 14:20:04"</f>
        <v>2026-07-29 14:20:04</v>
      </c>
      <c r="L17032" s="1" t="str">
        <f>"2022-11-21 15:04:26"</f>
        <v>2022-11-21 15:04:26</v>
      </c>
      <c r="M17032" s="1" t="s">
        <v>45</v>
      </c>
      <c r="N17032" s="1" t="s">
        <v>38</v>
      </c>
      <c r="O17032" s="1" t="s">
        <v>46</v>
      </c>
    </row>
    <row r="17033" spans="2:15" x14ac:dyDescent="0.3">
      <c r="B17033" s="1" t="s">
        <v>13</v>
      </c>
      <c r="C17033" s="1" t="str">
        <f>"5-2차"</f>
        <v>5-2차</v>
      </c>
      <c r="D17033" s="1" t="str">
        <f>"0025B3915M"</f>
        <v>0025B3915M</v>
      </c>
      <c r="E17033" s="1" t="s">
        <v>10</v>
      </c>
      <c r="F17033" s="1" t="str">
        <f>"fde3:102:1305:5e00:0:0:0:4"</f>
        <v>fde3:102:1305:5e00:0:0:0:4</v>
      </c>
      <c r="G17033" s="1" t="str">
        <f>"0025B391"</f>
        <v>0025B391</v>
      </c>
      <c r="H17033" s="1" t="str">
        <f>"필묵지 6L4"</f>
        <v>필묵지 6L4</v>
      </c>
      <c r="I17033" s="1" t="s">
        <v>15</v>
      </c>
      <c r="J17033" s="1" t="str">
        <f>"29/29"</f>
        <v>29/29</v>
      </c>
      <c r="K17033" s="1" t="str">
        <f>"2026-07-29 14:20:04"</f>
        <v>2026-07-29 14:20:04</v>
      </c>
      <c r="L17033" s="1" t="str">
        <f>"2023-06-21 14:37:26"</f>
        <v>2023-06-21 14:37:26</v>
      </c>
      <c r="M17033" s="1" t="s">
        <v>45</v>
      </c>
      <c r="N17033" s="1" t="s">
        <v>38</v>
      </c>
      <c r="O17033" s="1" t="s">
        <v>46</v>
      </c>
    </row>
    <row r="17034" spans="2:15" x14ac:dyDescent="0.3">
      <c r="B17034" s="1" t="s">
        <v>13</v>
      </c>
      <c r="C17034" s="1" t="str">
        <f>"5-1차"</f>
        <v>5-1차</v>
      </c>
      <c r="D17034" s="1" t="str">
        <f>"0025B5425M"</f>
        <v>0025B5425M</v>
      </c>
      <c r="E17034" s="1" t="s">
        <v>10</v>
      </c>
      <c r="F17034" s="1" t="str">
        <f>"fde3:102:1305:5c00:0:0:0:4"</f>
        <v>fde3:102:1305:5c00:0:0:0:4</v>
      </c>
      <c r="G17034" s="1" t="str">
        <f>"0025B542"</f>
        <v>0025B542</v>
      </c>
      <c r="H17034" s="1" t="str">
        <f>"필동지 11L7"</f>
        <v>필동지 11L7</v>
      </c>
      <c r="I17034" s="1" t="s">
        <v>15</v>
      </c>
      <c r="J17034" s="1" t="str">
        <f>"68/69"</f>
        <v>68/69</v>
      </c>
      <c r="K17034" s="1" t="str">
        <f>"2026-07-29 14:20:03"</f>
        <v>2026-07-29 14:20:03</v>
      </c>
      <c r="L17034" s="1" t="str">
        <f>"2022-11-21 15:04:29"</f>
        <v>2022-11-21 15:04:29</v>
      </c>
      <c r="M17034" s="1" t="s">
        <v>45</v>
      </c>
      <c r="N17034" s="1" t="s">
        <v>38</v>
      </c>
      <c r="O17034" s="1" t="s">
        <v>46</v>
      </c>
    </row>
    <row r="17035" spans="2:15" x14ac:dyDescent="0.3">
      <c r="B17035" s="1" t="s">
        <v>13</v>
      </c>
      <c r="C17035" s="1" t="str">
        <f>"3차"</f>
        <v>3차</v>
      </c>
      <c r="D17035" s="1" t="str">
        <f>"0025B56139"</f>
        <v>0025B56139</v>
      </c>
      <c r="E17035" s="1" t="s">
        <v>10</v>
      </c>
      <c r="F17035" s="1" t="str">
        <f>"10.11.24.74"</f>
        <v>10.11.24.74</v>
      </c>
      <c r="G17035" s="1" t="str">
        <f>"0025B561"</f>
        <v>0025B561</v>
      </c>
      <c r="H17035" s="1" t="str">
        <f>"필묵지 1R4"</f>
        <v>필묵지 1R4</v>
      </c>
      <c r="I17035" s="1" t="s">
        <v>8</v>
      </c>
      <c r="J17035" s="1" t="str">
        <f>"4/4"</f>
        <v>4/4</v>
      </c>
      <c r="K17035" s="1" t="str">
        <f t="shared" ref="K17035:K17042" si="838">"2026-07-29 13:18:01"</f>
        <v>2026-07-29 13:18:01</v>
      </c>
      <c r="L17035" s="1" t="str">
        <f>"2018-05-15 17:46:15"</f>
        <v>2018-05-15 17:46:15</v>
      </c>
      <c r="M17035" s="1" t="s">
        <v>2</v>
      </c>
      <c r="N17035" s="1" t="s">
        <v>38</v>
      </c>
      <c r="O17035" s="1" t="s">
        <v>46</v>
      </c>
    </row>
    <row r="17036" spans="2:15" x14ac:dyDescent="0.3">
      <c r="B17036" s="1" t="s">
        <v>13</v>
      </c>
      <c r="C17036" s="1" t="str">
        <f>"3차"</f>
        <v>3차</v>
      </c>
      <c r="D17036" s="1" t="str">
        <f>"0025B56239"</f>
        <v>0025B56239</v>
      </c>
      <c r="E17036" s="1" t="s">
        <v>10</v>
      </c>
      <c r="F17036" s="1" t="str">
        <f>"10.11.43.82"</f>
        <v>10.11.43.82</v>
      </c>
      <c r="G17036" s="1" t="str">
        <f>"0025B562"</f>
        <v>0025B562</v>
      </c>
      <c r="H17036" s="1" t="str">
        <f>"필묵지 1R5"</f>
        <v>필묵지 1R5</v>
      </c>
      <c r="I17036" s="1" t="s">
        <v>8</v>
      </c>
      <c r="J17036" s="1" t="str">
        <f>"7/11"</f>
        <v>7/11</v>
      </c>
      <c r="K17036" s="1" t="str">
        <f t="shared" si="838"/>
        <v>2026-07-29 13:18:01</v>
      </c>
      <c r="L17036" s="1" t="str">
        <f>"2018-05-15 17:46:28"</f>
        <v>2018-05-15 17:46:28</v>
      </c>
      <c r="M17036" s="1" t="s">
        <v>2</v>
      </c>
      <c r="N17036" s="1" t="s">
        <v>38</v>
      </c>
      <c r="O17036" s="1" t="s">
        <v>46</v>
      </c>
    </row>
    <row r="17037" spans="2:15" x14ac:dyDescent="0.3">
      <c r="B17037" s="1" t="s">
        <v>13</v>
      </c>
      <c r="C17037" s="1" t="str">
        <f>"4차"</f>
        <v>4차</v>
      </c>
      <c r="D17037" s="1" t="str">
        <f>"0025B78239"</f>
        <v>0025B78239</v>
      </c>
      <c r="E17037" s="1" t="s">
        <v>10</v>
      </c>
      <c r="F17037" s="1" t="str">
        <f>"10.12.131.130"</f>
        <v>10.12.131.130</v>
      </c>
      <c r="G17037" s="1" t="str">
        <f>"0025B782"</f>
        <v>0025B782</v>
      </c>
      <c r="H17037" s="1" t="str">
        <f>"퇴계로 R6-5"</f>
        <v>퇴계로 R6-5</v>
      </c>
      <c r="I17037" s="1" t="s">
        <v>17</v>
      </c>
      <c r="J17037" s="1" t="str">
        <f>"44/50"</f>
        <v>44/50</v>
      </c>
      <c r="K17037" s="1" t="str">
        <f t="shared" si="838"/>
        <v>2026-07-29 13:18:01</v>
      </c>
      <c r="L17037" s="1" t="str">
        <f>"2018-10-25 14:01:27"</f>
        <v>2018-10-25 14:01:27</v>
      </c>
      <c r="M17037" s="1" t="s">
        <v>0</v>
      </c>
      <c r="N17037" s="1" t="s">
        <v>38</v>
      </c>
      <c r="O17037" s="1" t="s">
        <v>46</v>
      </c>
    </row>
    <row r="17038" spans="2:15" x14ac:dyDescent="0.3">
      <c r="B17038" s="1" t="s">
        <v>13</v>
      </c>
      <c r="C17038" s="1" t="str">
        <f>"3차"</f>
        <v>3차</v>
      </c>
      <c r="D17038" s="1" t="str">
        <f>"0025B89339"</f>
        <v>0025B89339</v>
      </c>
      <c r="E17038" s="1" t="s">
        <v>10</v>
      </c>
      <c r="F17038" s="1" t="str">
        <f>"10.11.42.234"</f>
        <v>10.11.42.234</v>
      </c>
      <c r="G17038" s="1" t="str">
        <f>"0025B893"</f>
        <v>0025B893</v>
      </c>
      <c r="H17038" s="1" t="str">
        <f>"필묵지 11L2"</f>
        <v>필묵지 11L2</v>
      </c>
      <c r="I17038" s="1" t="s">
        <v>8</v>
      </c>
      <c r="J17038" s="1" t="str">
        <f>"13/13"</f>
        <v>13/13</v>
      </c>
      <c r="K17038" s="1" t="str">
        <f t="shared" si="838"/>
        <v>2026-07-29 13:18:01</v>
      </c>
      <c r="L17038" s="1" t="str">
        <f>"2018-05-15 17:21:59"</f>
        <v>2018-05-15 17:21:59</v>
      </c>
      <c r="M17038" s="1" t="s">
        <v>2</v>
      </c>
      <c r="N17038" s="1" t="s">
        <v>38</v>
      </c>
      <c r="O17038" s="1" t="s">
        <v>46</v>
      </c>
    </row>
    <row r="17039" spans="2:15" x14ac:dyDescent="0.3">
      <c r="B17039" s="1" t="s">
        <v>13</v>
      </c>
      <c r="C17039" s="1" t="str">
        <f>"3차"</f>
        <v>3차</v>
      </c>
      <c r="D17039" s="1" t="str">
        <f>"0025B94239"</f>
        <v>0025B94239</v>
      </c>
      <c r="E17039" s="1" t="s">
        <v>10</v>
      </c>
      <c r="F17039" s="1" t="str">
        <f>"10.11.43.50"</f>
        <v>10.11.43.50</v>
      </c>
      <c r="G17039" s="1" t="str">
        <f>"0025B942"</f>
        <v>0025B942</v>
      </c>
      <c r="H17039" s="1" t="str">
        <f>"필묵지 15R6R3"</f>
        <v>필묵지 15R6R3</v>
      </c>
      <c r="I17039" s="1" t="s">
        <v>8</v>
      </c>
      <c r="J17039" s="1" t="str">
        <f>"110/110"</f>
        <v>110/110</v>
      </c>
      <c r="K17039" s="1" t="str">
        <f t="shared" si="838"/>
        <v>2026-07-29 13:18:01</v>
      </c>
      <c r="L17039" s="1" t="str">
        <f>"2018-05-15 17:07:15"</f>
        <v>2018-05-15 17:07:15</v>
      </c>
      <c r="M17039" s="1" t="s">
        <v>2</v>
      </c>
      <c r="N17039" s="1" t="s">
        <v>38</v>
      </c>
      <c r="O17039" s="1" t="s">
        <v>46</v>
      </c>
    </row>
    <row r="17040" spans="2:15" x14ac:dyDescent="0.3">
      <c r="B17040" s="1" t="s">
        <v>13</v>
      </c>
      <c r="C17040" s="1" t="str">
        <f>"3차"</f>
        <v>3차</v>
      </c>
      <c r="D17040" s="1" t="str">
        <f>"0025B95139"</f>
        <v>0025B95139</v>
      </c>
      <c r="E17040" s="1" t="s">
        <v>10</v>
      </c>
      <c r="F17040" s="1" t="str">
        <f>"10.11.24.42"</f>
        <v>10.11.24.42</v>
      </c>
      <c r="G17040" s="1" t="str">
        <f>"0025B951"</f>
        <v>0025B951</v>
      </c>
      <c r="H17040" s="1" t="str">
        <f>"필묵지 15R6R2"</f>
        <v>필묵지 15R6R2</v>
      </c>
      <c r="I17040" s="1" t="s">
        <v>8</v>
      </c>
      <c r="J17040" s="1" t="str">
        <f>"29/29"</f>
        <v>29/29</v>
      </c>
      <c r="K17040" s="1" t="str">
        <f t="shared" si="838"/>
        <v>2026-07-29 13:18:01</v>
      </c>
      <c r="L17040" s="1" t="str">
        <f>"2018-05-15 17:13:15"</f>
        <v>2018-05-15 17:13:15</v>
      </c>
      <c r="M17040" s="1" t="s">
        <v>2</v>
      </c>
      <c r="N17040" s="1" t="s">
        <v>38</v>
      </c>
      <c r="O17040" s="1" t="s">
        <v>46</v>
      </c>
    </row>
    <row r="17041" spans="2:15" x14ac:dyDescent="0.3">
      <c r="B17041" s="1" t="s">
        <v>13</v>
      </c>
      <c r="C17041" s="1" t="str">
        <f>"3차"</f>
        <v>3차</v>
      </c>
      <c r="D17041" s="1" t="str">
        <f>"0025B96239"</f>
        <v>0025B96239</v>
      </c>
      <c r="E17041" s="1" t="s">
        <v>10</v>
      </c>
      <c r="F17041" s="1" t="str">
        <f>"10.11.43.42"</f>
        <v>10.11.43.42</v>
      </c>
      <c r="G17041" s="1" t="str">
        <f>"0025B962"</f>
        <v>0025B962</v>
      </c>
      <c r="H17041" s="1" t="str">
        <f>"필묵지 15R6R1"</f>
        <v>필묵지 15R6R1</v>
      </c>
      <c r="I17041" s="1" t="s">
        <v>8</v>
      </c>
      <c r="J17041" s="1" t="str">
        <f>"23/23"</f>
        <v>23/23</v>
      </c>
      <c r="K17041" s="1" t="str">
        <f t="shared" si="838"/>
        <v>2026-07-29 13:18:01</v>
      </c>
      <c r="L17041" s="1" t="str">
        <f>"2018-05-15 17:06:15"</f>
        <v>2018-05-15 17:06:15</v>
      </c>
      <c r="M17041" s="1" t="s">
        <v>2</v>
      </c>
      <c r="N17041" s="1" t="s">
        <v>38</v>
      </c>
      <c r="O17041" s="1" t="s">
        <v>46</v>
      </c>
    </row>
    <row r="17042" spans="2:15" x14ac:dyDescent="0.3">
      <c r="B17042" s="1" t="s">
        <v>13</v>
      </c>
      <c r="C17042" s="1" t="str">
        <f>"3차"</f>
        <v>3차</v>
      </c>
      <c r="D17042" s="1" t="str">
        <f>"0025B99239"</f>
        <v>0025B99239</v>
      </c>
      <c r="E17042" s="1" t="s">
        <v>10</v>
      </c>
      <c r="F17042" s="1" t="str">
        <f>"10.11.28.194"</f>
        <v>10.11.28.194</v>
      </c>
      <c r="G17042" s="1" t="str">
        <f>"0025B992"</f>
        <v>0025B992</v>
      </c>
      <c r="H17042" s="1" t="str">
        <f>"필묵지 13"</f>
        <v>필묵지 13</v>
      </c>
      <c r="I17042" s="1" t="s">
        <v>8</v>
      </c>
      <c r="J17042" s="1" t="str">
        <f>"12/17"</f>
        <v>12/17</v>
      </c>
      <c r="K17042" s="1" t="str">
        <f t="shared" si="838"/>
        <v>2026-07-29 13:18:01</v>
      </c>
      <c r="L17042" s="1" t="str">
        <f>"2023-01-19 11:17:04"</f>
        <v>2023-01-19 11:17:04</v>
      </c>
      <c r="M17042" s="1" t="s">
        <v>2</v>
      </c>
      <c r="N17042" s="1" t="s">
        <v>38</v>
      </c>
      <c r="O17042" s="1" t="s">
        <v>46</v>
      </c>
    </row>
    <row r="17043" spans="2:15" x14ac:dyDescent="0.3">
      <c r="B17043" s="1" t="s">
        <v>13</v>
      </c>
      <c r="C17043" s="1" t="str">
        <f>"6차"</f>
        <v>6차</v>
      </c>
      <c r="D17043" s="1" t="str">
        <f>"0025C7716S"</f>
        <v>0025C7716S</v>
      </c>
      <c r="E17043" s="1" t="s">
        <v>10</v>
      </c>
      <c r="F17043" s="1" t="str">
        <f>"fde1:103:4:c664:0:0:0:2"</f>
        <v>fde1:103:4:c664:0:0:0:2</v>
      </c>
      <c r="G17043" s="1" t="str">
        <f>"0025C771"</f>
        <v>0025C771</v>
      </c>
      <c r="H17043" s="1" t="str">
        <f>"필동지 17R8"</f>
        <v>필동지 17R8</v>
      </c>
      <c r="I17043" s="1" t="s">
        <v>15</v>
      </c>
      <c r="J17043" s="1" t="str">
        <f>"39/39"</f>
        <v>39/39</v>
      </c>
      <c r="K17043" s="1" t="str">
        <f>"2026-07-29 08:20:02"</f>
        <v>2026-07-29 08:20:02</v>
      </c>
      <c r="L17043" s="1" t="str">
        <f>"2024-11-20 10:38:56"</f>
        <v>2024-11-20 10:38:56</v>
      </c>
      <c r="M17043" s="1" t="s">
        <v>4</v>
      </c>
      <c r="N17043" s="1" t="s">
        <v>38</v>
      </c>
      <c r="O17043" s="1" t="s">
        <v>46</v>
      </c>
    </row>
    <row r="17044" spans="2:15" x14ac:dyDescent="0.3">
      <c r="B17044" s="1" t="s">
        <v>13</v>
      </c>
      <c r="C17044" s="1" t="str">
        <f t="shared" ref="C17044:C17050" si="839">"5-1차"</f>
        <v>5-1차</v>
      </c>
      <c r="D17044" s="1" t="str">
        <f>"0025C7725M"</f>
        <v>0025C7725M</v>
      </c>
      <c r="E17044" s="1" t="s">
        <v>10</v>
      </c>
      <c r="F17044" s="1" t="str">
        <f>"fde3:102:1305:5a00:0:0:0:2"</f>
        <v>fde3:102:1305:5a00:0:0:0:2</v>
      </c>
      <c r="G17044" s="1" t="str">
        <f>"0025C772"</f>
        <v>0025C772</v>
      </c>
      <c r="H17044" s="1" t="str">
        <f>"필동지 17R7R1"</f>
        <v>필동지 17R7R1</v>
      </c>
      <c r="I17044" s="1" t="s">
        <v>15</v>
      </c>
      <c r="J17044" s="1" t="str">
        <f>"34/34"</f>
        <v>34/34</v>
      </c>
      <c r="K17044" s="1" t="str">
        <f>"2026-07-29 14:20:03"</f>
        <v>2026-07-29 14:20:03</v>
      </c>
      <c r="L17044" s="1" t="str">
        <f>"2022-11-21 15:02:57"</f>
        <v>2022-11-21 15:02:57</v>
      </c>
      <c r="M17044" s="1" t="s">
        <v>45</v>
      </c>
      <c r="N17044" s="1" t="s">
        <v>38</v>
      </c>
      <c r="O17044" s="1" t="s">
        <v>46</v>
      </c>
    </row>
    <row r="17045" spans="2:15" x14ac:dyDescent="0.3">
      <c r="B17045" s="1" t="s">
        <v>13</v>
      </c>
      <c r="C17045" s="1" t="str">
        <f t="shared" si="839"/>
        <v>5-1차</v>
      </c>
      <c r="D17045" s="1" t="str">
        <f>"0025C7935M"</f>
        <v>0025C7935M</v>
      </c>
      <c r="E17045" s="1" t="s">
        <v>10</v>
      </c>
      <c r="F17045" s="1" t="str">
        <f>"fde3:102:1305:2800:0:0:0:3"</f>
        <v>fde3:102:1305:2800:0:0:0:3</v>
      </c>
      <c r="G17045" s="1" t="str">
        <f>"0025C793"</f>
        <v>0025C793</v>
      </c>
      <c r="H17045" s="1" t="str">
        <f>"필동지 17R6"</f>
        <v>필동지 17R6</v>
      </c>
      <c r="I17045" s="1" t="s">
        <v>15</v>
      </c>
      <c r="J17045" s="1" t="str">
        <f>"9/9"</f>
        <v>9/9</v>
      </c>
      <c r="K17045" s="1" t="str">
        <f>"2026-07-29 14:20:03"</f>
        <v>2026-07-29 14:20:03</v>
      </c>
      <c r="L17045" s="1" t="str">
        <f>"2022-11-24 13:15:17"</f>
        <v>2022-11-24 13:15:17</v>
      </c>
      <c r="M17045" s="1" t="s">
        <v>45</v>
      </c>
      <c r="N17045" s="1" t="s">
        <v>38</v>
      </c>
      <c r="O17045" s="1" t="s">
        <v>46</v>
      </c>
    </row>
    <row r="17046" spans="2:15" x14ac:dyDescent="0.3">
      <c r="B17046" s="1" t="s">
        <v>13</v>
      </c>
      <c r="C17046" s="1" t="str">
        <f t="shared" si="839"/>
        <v>5-1차</v>
      </c>
      <c r="D17046" s="1" t="str">
        <f>"0025C9625M"</f>
        <v>0025C9625M</v>
      </c>
      <c r="E17046" s="1" t="s">
        <v>10</v>
      </c>
      <c r="F17046" s="1" t="str">
        <f>"fde3:102:1305:5a00:0:0:0:3"</f>
        <v>fde3:102:1305:5a00:0:0:0:3</v>
      </c>
      <c r="G17046" s="1" t="str">
        <f>"0025C962"</f>
        <v>0025C962</v>
      </c>
      <c r="H17046" s="1" t="str">
        <f>"필동지 17R10"</f>
        <v>필동지 17R10</v>
      </c>
      <c r="I17046" s="1" t="s">
        <v>15</v>
      </c>
      <c r="J17046" s="1" t="str">
        <f>"83/84"</f>
        <v>83/84</v>
      </c>
      <c r="K17046" s="1" t="str">
        <f>"2026-07-29 14:20:03"</f>
        <v>2026-07-29 14:20:03</v>
      </c>
      <c r="L17046" s="1" t="str">
        <f>"2022-11-21 15:03:47"</f>
        <v>2022-11-21 15:03:47</v>
      </c>
      <c r="M17046" s="1" t="s">
        <v>45</v>
      </c>
      <c r="N17046" s="1" t="s">
        <v>38</v>
      </c>
      <c r="O17046" s="1" t="s">
        <v>46</v>
      </c>
    </row>
    <row r="17047" spans="2:15" x14ac:dyDescent="0.3">
      <c r="B17047" s="1" t="s">
        <v>13</v>
      </c>
      <c r="C17047" s="1" t="str">
        <f t="shared" si="839"/>
        <v>5-1차</v>
      </c>
      <c r="D17047" s="1" t="str">
        <f>"0025D0615M"</f>
        <v>0025D0615M</v>
      </c>
      <c r="E17047" s="1" t="s">
        <v>10</v>
      </c>
      <c r="F17047" s="1" t="str">
        <f>"fde3:102:1305:5d00:0:0:0:4"</f>
        <v>fde3:102:1305:5d00:0:0:0:4</v>
      </c>
      <c r="G17047" s="1" t="str">
        <f>"0025D061"</f>
        <v>0025D061</v>
      </c>
      <c r="H17047" s="1" t="str">
        <f>"필동지 25R1"</f>
        <v>필동지 25R1</v>
      </c>
      <c r="I17047" s="1" t="s">
        <v>15</v>
      </c>
      <c r="J17047" s="1" t="str">
        <f>"67/68"</f>
        <v>67/68</v>
      </c>
      <c r="K17047" s="1" t="str">
        <f>"2026-07-29 14:20:03"</f>
        <v>2026-07-29 14:20:03</v>
      </c>
      <c r="L17047" s="1" t="str">
        <f>"2022-11-21 15:04:44"</f>
        <v>2022-11-21 15:04:44</v>
      </c>
      <c r="M17047" s="1" t="s">
        <v>45</v>
      </c>
      <c r="N17047" s="1" t="s">
        <v>38</v>
      </c>
      <c r="O17047" s="1" t="s">
        <v>46</v>
      </c>
    </row>
    <row r="17048" spans="2:15" x14ac:dyDescent="0.3">
      <c r="B17048" s="1" t="s">
        <v>13</v>
      </c>
      <c r="C17048" s="1" t="str">
        <f t="shared" si="839"/>
        <v>5-1차</v>
      </c>
      <c r="D17048" s="1" t="str">
        <f>"0025D0945M"</f>
        <v>0025D0945M</v>
      </c>
      <c r="E17048" s="1" t="s">
        <v>10</v>
      </c>
      <c r="F17048" s="1" t="str">
        <f>"fde3:102:1305:5d00:0:0:0:5"</f>
        <v>fde3:102:1305:5d00:0:0:0:5</v>
      </c>
      <c r="G17048" s="1" t="str">
        <f>"0025D094"</f>
        <v>0025D094</v>
      </c>
      <c r="H17048" s="1" t="str">
        <f>"필동지 19R1"</f>
        <v>필동지 19R1</v>
      </c>
      <c r="I17048" s="1" t="s">
        <v>15</v>
      </c>
      <c r="J17048" s="1" t="str">
        <f>"36/37"</f>
        <v>36/37</v>
      </c>
      <c r="K17048" s="1" t="str">
        <f>"2026-07-29 14:20:03"</f>
        <v>2026-07-29 14:20:03</v>
      </c>
      <c r="L17048" s="1" t="str">
        <f>"2022-11-21 15:02:52"</f>
        <v>2022-11-21 15:02:52</v>
      </c>
      <c r="M17048" s="1" t="s">
        <v>45</v>
      </c>
      <c r="N17048" s="1" t="s">
        <v>38</v>
      </c>
      <c r="O17048" s="1" t="s">
        <v>46</v>
      </c>
    </row>
    <row r="17049" spans="2:15" x14ac:dyDescent="0.3">
      <c r="B17049" s="1" t="s">
        <v>13</v>
      </c>
      <c r="C17049" s="1" t="str">
        <f t="shared" si="839"/>
        <v>5-1차</v>
      </c>
      <c r="D17049" s="1" t="str">
        <f>"0025D1825S"</f>
        <v>0025D1825S</v>
      </c>
      <c r="E17049" s="1" t="s">
        <v>10</v>
      </c>
      <c r="F17049" s="1" t="str">
        <f>"fde3:102:1305:5d00:0:0:0:7"</f>
        <v>fde3:102:1305:5d00:0:0:0:7</v>
      </c>
      <c r="G17049" s="1" t="str">
        <f>"0025D182"</f>
        <v>0025D182</v>
      </c>
      <c r="H17049" s="1" t="str">
        <f>"필동지 20L2"</f>
        <v>필동지 20L2</v>
      </c>
      <c r="I17049" s="1" t="s">
        <v>15</v>
      </c>
      <c r="J17049" s="1" t="str">
        <f>"27/28"</f>
        <v>27/28</v>
      </c>
      <c r="K17049" s="1" t="str">
        <f>"2026-07-29 14:20:04"</f>
        <v>2026-07-29 14:20:04</v>
      </c>
      <c r="L17049" s="1" t="str">
        <f>"2022-11-21 15:10:03"</f>
        <v>2022-11-21 15:10:03</v>
      </c>
      <c r="M17049" s="1" t="s">
        <v>45</v>
      </c>
      <c r="N17049" s="1" t="s">
        <v>38</v>
      </c>
      <c r="O17049" s="1" t="s">
        <v>46</v>
      </c>
    </row>
    <row r="17050" spans="2:15" x14ac:dyDescent="0.3">
      <c r="B17050" s="1" t="s">
        <v>13</v>
      </c>
      <c r="C17050" s="1" t="str">
        <f t="shared" si="839"/>
        <v>5-1차</v>
      </c>
      <c r="D17050" s="1" t="str">
        <f>"0025D1935M"</f>
        <v>0025D1935M</v>
      </c>
      <c r="E17050" s="1" t="s">
        <v>10</v>
      </c>
      <c r="F17050" s="1" t="str">
        <f>"fde3:102:1305:5d00:0:0:0:6"</f>
        <v>fde3:102:1305:5d00:0:0:0:6</v>
      </c>
      <c r="G17050" s="1" t="str">
        <f>"0025D193"</f>
        <v>0025D193</v>
      </c>
      <c r="H17050" s="1" t="str">
        <f>"필동지 20"</f>
        <v>필동지 20</v>
      </c>
      <c r="I17050" s="1" t="s">
        <v>15</v>
      </c>
      <c r="J17050" s="1" t="str">
        <f>"11/11"</f>
        <v>11/11</v>
      </c>
      <c r="K17050" s="1" t="str">
        <f>"2026-07-29 14:20:04"</f>
        <v>2026-07-29 14:20:04</v>
      </c>
      <c r="L17050" s="1" t="str">
        <f>"2022-11-21 15:04:10"</f>
        <v>2022-11-21 15:04:10</v>
      </c>
      <c r="M17050" s="1" t="s">
        <v>45</v>
      </c>
      <c r="N17050" s="1" t="s">
        <v>38</v>
      </c>
      <c r="O17050" s="1" t="s">
        <v>46</v>
      </c>
    </row>
    <row r="17051" spans="2:15" x14ac:dyDescent="0.3">
      <c r="B17051" s="1" t="s">
        <v>13</v>
      </c>
      <c r="C17051" s="1" t="str">
        <f>"6차"</f>
        <v>6차</v>
      </c>
      <c r="D17051" s="1" t="str">
        <f>"0025D2316S"</f>
        <v>0025D2316S</v>
      </c>
      <c r="E17051" s="1" t="s">
        <v>10</v>
      </c>
      <c r="F17051" s="1" t="str">
        <f>"fde1:103:4:c6ac:0:0:0:2"</f>
        <v>fde1:103:4:c6ac:0:0:0:2</v>
      </c>
      <c r="G17051" s="1" t="str">
        <f>"0025D231"</f>
        <v>0025D231</v>
      </c>
      <c r="H17051" s="1" t="str">
        <f>"필동지 29"</f>
        <v>필동지 29</v>
      </c>
      <c r="I17051" s="1" t="s">
        <v>15</v>
      </c>
      <c r="J17051" s="1" t="str">
        <f>"20/20"</f>
        <v>20/20</v>
      </c>
      <c r="K17051" s="1" t="str">
        <f>"2026-07-29 14:20:04"</f>
        <v>2026-07-29 14:20:04</v>
      </c>
      <c r="L17051" s="1" t="str">
        <f>"2024-11-20 10:39:50"</f>
        <v>2024-11-20 10:39:50</v>
      </c>
      <c r="M17051" s="1" t="s">
        <v>4</v>
      </c>
      <c r="N17051" s="1" t="s">
        <v>38</v>
      </c>
      <c r="O17051" s="1" t="s">
        <v>46</v>
      </c>
    </row>
    <row r="17052" spans="2:15" x14ac:dyDescent="0.3">
      <c r="B17052" s="1" t="s">
        <v>13</v>
      </c>
      <c r="C17052" s="1" t="str">
        <f>"3차"</f>
        <v>3차</v>
      </c>
      <c r="D17052" s="1" t="str">
        <f>"0025E04139"</f>
        <v>0025E04139</v>
      </c>
      <c r="E17052" s="1" t="s">
        <v>10</v>
      </c>
      <c r="F17052" s="1" t="str">
        <f>"10.12.137.105"</f>
        <v>10.12.137.105</v>
      </c>
      <c r="G17052" s="1" t="str">
        <f>"0025E041"</f>
        <v>0025E041</v>
      </c>
      <c r="H17052" s="1" t="str">
        <f>"필묵지 15R11"</f>
        <v>필묵지 15R11</v>
      </c>
      <c r="I17052" s="1" t="s">
        <v>8</v>
      </c>
      <c r="J17052" s="1" t="str">
        <f>"75/79"</f>
        <v>75/79</v>
      </c>
      <c r="K17052" s="1" t="str">
        <f t="shared" ref="K17052:K17059" si="840">"2026-07-29 13:18:01"</f>
        <v>2026-07-29 13:18:01</v>
      </c>
      <c r="L17052" s="1" t="str">
        <f>"2018-04-28 13:40:29"</f>
        <v>2018-04-28 13:40:29</v>
      </c>
      <c r="M17052" s="1" t="s">
        <v>0</v>
      </c>
      <c r="N17052" s="1" t="s">
        <v>38</v>
      </c>
      <c r="O17052" s="1" t="s">
        <v>46</v>
      </c>
    </row>
    <row r="17053" spans="2:15" x14ac:dyDescent="0.3">
      <c r="B17053" s="1" t="s">
        <v>13</v>
      </c>
      <c r="C17053" s="1" t="str">
        <f>"3차"</f>
        <v>3차</v>
      </c>
      <c r="D17053" s="1" t="str">
        <f>"0025E04339"</f>
        <v>0025E04339</v>
      </c>
      <c r="E17053" s="1" t="s">
        <v>10</v>
      </c>
      <c r="F17053" s="1" t="str">
        <f>"10.11.24.10"</f>
        <v>10.11.24.10</v>
      </c>
      <c r="G17053" s="1" t="str">
        <f>"0025E043"</f>
        <v>0025E043</v>
      </c>
      <c r="H17053" s="1" t="str">
        <f>"필묵지 15R12"</f>
        <v>필묵지 15R12</v>
      </c>
      <c r="I17053" s="1" t="s">
        <v>8</v>
      </c>
      <c r="J17053" s="1" t="str">
        <f>"68/68"</f>
        <v>68/68</v>
      </c>
      <c r="K17053" s="1" t="str">
        <f t="shared" si="840"/>
        <v>2026-07-29 13:18:01</v>
      </c>
      <c r="L17053" s="1" t="str">
        <f>"2018-06-15 14:30:27"</f>
        <v>2018-06-15 14:30:27</v>
      </c>
      <c r="M17053" s="1" t="s">
        <v>2</v>
      </c>
      <c r="N17053" s="1" t="s">
        <v>38</v>
      </c>
      <c r="O17053" s="1" t="s">
        <v>46</v>
      </c>
    </row>
    <row r="17054" spans="2:15" x14ac:dyDescent="0.3">
      <c r="B17054" s="1" t="s">
        <v>13</v>
      </c>
      <c r="C17054" s="1" t="str">
        <f>"4차"</f>
        <v>4차</v>
      </c>
      <c r="D17054" s="1" t="str">
        <f>"0025E04439"</f>
        <v>0025E04439</v>
      </c>
      <c r="E17054" s="1" t="s">
        <v>10</v>
      </c>
      <c r="F17054" s="1" t="str">
        <f>"10.11.43.2"</f>
        <v>10.11.43.2</v>
      </c>
      <c r="G17054" s="1" t="str">
        <f>"0025E044"</f>
        <v>0025E044</v>
      </c>
      <c r="H17054" s="1" t="str">
        <f>"필묵지 15R13"</f>
        <v>필묵지 15R13</v>
      </c>
      <c r="I17054" s="1" t="s">
        <v>8</v>
      </c>
      <c r="J17054" s="1" t="str">
        <f>"32/32"</f>
        <v>32/32</v>
      </c>
      <c r="K17054" s="1" t="str">
        <f t="shared" si="840"/>
        <v>2026-07-29 13:18:01</v>
      </c>
      <c r="L17054" s="1" t="str">
        <f>"2018-05-15 17:06:58"</f>
        <v>2018-05-15 17:06:58</v>
      </c>
      <c r="M17054" s="1" t="s">
        <v>2</v>
      </c>
      <c r="N17054" s="1" t="s">
        <v>38</v>
      </c>
      <c r="O17054" s="1" t="s">
        <v>46</v>
      </c>
    </row>
    <row r="17055" spans="2:15" x14ac:dyDescent="0.3">
      <c r="B17055" s="1" t="s">
        <v>13</v>
      </c>
      <c r="C17055" s="1" t="str">
        <f>"4차"</f>
        <v>4차</v>
      </c>
      <c r="D17055" s="1" t="str">
        <f>"0025E06439"</f>
        <v>0025E06439</v>
      </c>
      <c r="E17055" s="1" t="s">
        <v>10</v>
      </c>
      <c r="F17055" s="1" t="str">
        <f>"10.11.43.58"</f>
        <v>10.11.43.58</v>
      </c>
      <c r="G17055" s="1" t="str">
        <f>"0025E064"</f>
        <v>0025E064</v>
      </c>
      <c r="H17055" s="1" t="str">
        <f>"필묵지 15R7"</f>
        <v>필묵지 15R7</v>
      </c>
      <c r="I17055" s="1" t="s">
        <v>8</v>
      </c>
      <c r="J17055" s="1" t="str">
        <f>"121/121"</f>
        <v>121/121</v>
      </c>
      <c r="K17055" s="1" t="str">
        <f t="shared" si="840"/>
        <v>2026-07-29 13:18:01</v>
      </c>
      <c r="L17055" s="1" t="str">
        <f>"2018-05-24 18:08:14"</f>
        <v>2018-05-24 18:08:14</v>
      </c>
      <c r="M17055" s="1" t="s">
        <v>2</v>
      </c>
      <c r="N17055" s="1" t="s">
        <v>38</v>
      </c>
      <c r="O17055" s="1" t="s">
        <v>46</v>
      </c>
    </row>
    <row r="17056" spans="2:15" x14ac:dyDescent="0.3">
      <c r="B17056" s="1" t="s">
        <v>13</v>
      </c>
      <c r="C17056" s="1" t="str">
        <f>"3차"</f>
        <v>3차</v>
      </c>
      <c r="D17056" s="1" t="str">
        <f>"0025E06539"</f>
        <v>0025E06539</v>
      </c>
      <c r="E17056" s="1" t="s">
        <v>10</v>
      </c>
      <c r="F17056" s="1" t="str">
        <f>"10.11.43.34"</f>
        <v>10.11.43.34</v>
      </c>
      <c r="G17056" s="1" t="str">
        <f>"0025E065"</f>
        <v>0025E065</v>
      </c>
      <c r="H17056" s="1" t="str">
        <f>"필묵지 15R5L1"</f>
        <v>필묵지 15R5L1</v>
      </c>
      <c r="I17056" s="1" t="s">
        <v>8</v>
      </c>
      <c r="J17056" s="1" t="str">
        <f>"2/2"</f>
        <v>2/2</v>
      </c>
      <c r="K17056" s="1" t="str">
        <f t="shared" si="840"/>
        <v>2026-07-29 13:18:01</v>
      </c>
      <c r="L17056" s="1" t="str">
        <f>"2018-05-15 17:07:13"</f>
        <v>2018-05-15 17:07:13</v>
      </c>
      <c r="M17056" s="1" t="s">
        <v>2</v>
      </c>
      <c r="N17056" s="1" t="s">
        <v>38</v>
      </c>
      <c r="O17056" s="1" t="s">
        <v>46</v>
      </c>
    </row>
    <row r="17057" spans="2:15" x14ac:dyDescent="0.3">
      <c r="B17057" s="1" t="s">
        <v>13</v>
      </c>
      <c r="C17057" s="1" t="str">
        <f>"3차"</f>
        <v>3차</v>
      </c>
      <c r="D17057" s="1" t="str">
        <f>"0025E13239"</f>
        <v>0025E13239</v>
      </c>
      <c r="E17057" s="1" t="s">
        <v>10</v>
      </c>
      <c r="F17057" s="1" t="str">
        <f>"10.11.32.162"</f>
        <v>10.11.32.162</v>
      </c>
      <c r="G17057" s="1" t="str">
        <f>"0025E132"</f>
        <v>0025E132</v>
      </c>
      <c r="H17057" s="1" t="str">
        <f>"묵정지 29L1L3"</f>
        <v>묵정지 29L1L3</v>
      </c>
      <c r="I17057" s="1" t="s">
        <v>8</v>
      </c>
      <c r="J17057" s="1" t="str">
        <f>"154/154"</f>
        <v>154/154</v>
      </c>
      <c r="K17057" s="1" t="str">
        <f t="shared" si="840"/>
        <v>2026-07-29 13:18:01</v>
      </c>
      <c r="L17057" s="1" t="str">
        <f>"2018-01-27 12:43:40"</f>
        <v>2018-01-27 12:43:40</v>
      </c>
      <c r="M17057" s="1" t="s">
        <v>2</v>
      </c>
      <c r="N17057" s="1" t="s">
        <v>38</v>
      </c>
      <c r="O17057" s="1" t="s">
        <v>46</v>
      </c>
    </row>
    <row r="17058" spans="2:15" x14ac:dyDescent="0.3">
      <c r="B17058" s="1" t="s">
        <v>13</v>
      </c>
      <c r="C17058" s="1" t="str">
        <f>"4차"</f>
        <v>4차</v>
      </c>
      <c r="D17058" s="1" t="str">
        <f>"0025E14239"</f>
        <v>0025E14239</v>
      </c>
      <c r="E17058" s="1" t="s">
        <v>10</v>
      </c>
      <c r="F17058" s="1" t="str">
        <f>"10.11.14.74"</f>
        <v>10.11.14.74</v>
      </c>
      <c r="G17058" s="1" t="str">
        <f>"0025E142"</f>
        <v>0025E142</v>
      </c>
      <c r="H17058" s="1" t="str">
        <f>"묵정지 29L4"</f>
        <v>묵정지 29L4</v>
      </c>
      <c r="I17058" s="1" t="s">
        <v>8</v>
      </c>
      <c r="J17058" s="1" t="str">
        <f>"79/79"</f>
        <v>79/79</v>
      </c>
      <c r="K17058" s="1" t="str">
        <f t="shared" si="840"/>
        <v>2026-07-29 13:18:01</v>
      </c>
      <c r="L17058" s="1" t="str">
        <f>"2018-05-31 18:07:42"</f>
        <v>2018-05-31 18:07:42</v>
      </c>
      <c r="M17058" s="1" t="s">
        <v>2</v>
      </c>
      <c r="N17058" s="1" t="s">
        <v>38</v>
      </c>
      <c r="O17058" s="1" t="s">
        <v>46</v>
      </c>
    </row>
    <row r="17059" spans="2:15" x14ac:dyDescent="0.3">
      <c r="B17059" s="1" t="s">
        <v>13</v>
      </c>
      <c r="C17059" s="1" t="str">
        <f>"3차"</f>
        <v>3차</v>
      </c>
      <c r="D17059" s="1" t="str">
        <f>"0025E14339"</f>
        <v>0025E14339</v>
      </c>
      <c r="E17059" s="1" t="s">
        <v>10</v>
      </c>
      <c r="F17059" s="1" t="str">
        <f>"10.11.32.178"</f>
        <v>10.11.32.178</v>
      </c>
      <c r="G17059" s="1" t="str">
        <f>"0025E143"</f>
        <v>0025E143</v>
      </c>
      <c r="H17059" s="1" t="str">
        <f>"묵정지 29L4H1"</f>
        <v>묵정지 29L4H1</v>
      </c>
      <c r="I17059" s="1" t="s">
        <v>8</v>
      </c>
      <c r="J17059" s="1" t="str">
        <f>"53/63"</f>
        <v>53/63</v>
      </c>
      <c r="K17059" s="1" t="str">
        <f t="shared" si="840"/>
        <v>2026-07-29 13:18:01</v>
      </c>
      <c r="L17059" s="1" t="str">
        <f>"2018-02-12 16:03:11"</f>
        <v>2018-02-12 16:03:11</v>
      </c>
      <c r="M17059" s="1" t="s">
        <v>2</v>
      </c>
      <c r="N17059" s="1" t="s">
        <v>38</v>
      </c>
      <c r="O17059" s="1" t="s">
        <v>46</v>
      </c>
    </row>
    <row r="17060" spans="2:15" x14ac:dyDescent="0.3">
      <c r="B17060" s="1" t="s">
        <v>13</v>
      </c>
      <c r="C17060" s="1" t="str">
        <f>"4차"</f>
        <v>4차</v>
      </c>
      <c r="D17060" s="1" t="str">
        <f>"0025E15139"</f>
        <v>0025E15139</v>
      </c>
      <c r="E17060" s="1" t="s">
        <v>10</v>
      </c>
      <c r="F17060" s="1" t="str">
        <f>"10.11.24.50"</f>
        <v>10.11.24.50</v>
      </c>
      <c r="G17060" s="1" t="str">
        <f>"0025E151"</f>
        <v>0025E151</v>
      </c>
      <c r="H17060" s="1" t="str">
        <f>"필묵지 15R8"</f>
        <v>필묵지 15R8</v>
      </c>
      <c r="I17060" s="1" t="s">
        <v>8</v>
      </c>
      <c r="J17060" s="1" t="str">
        <f>"147/149"</f>
        <v>147/149</v>
      </c>
      <c r="K17060" s="1" t="str">
        <f>"2026-07-29 07:18:01"</f>
        <v>2026-07-29 07:18:01</v>
      </c>
      <c r="L17060" s="1" t="str">
        <f>"2018-05-15 17:50:28"</f>
        <v>2018-05-15 17:50:28</v>
      </c>
      <c r="M17060" s="1" t="s">
        <v>2</v>
      </c>
      <c r="N17060" s="1" t="s">
        <v>38</v>
      </c>
      <c r="O17060" s="1" t="s">
        <v>46</v>
      </c>
    </row>
    <row r="17061" spans="2:15" x14ac:dyDescent="0.3">
      <c r="B17061" s="1" t="s">
        <v>13</v>
      </c>
      <c r="C17061" s="1" t="str">
        <f>"3차"</f>
        <v>3차</v>
      </c>
      <c r="D17061" s="1" t="str">
        <f>"0025E18239"</f>
        <v>0025E18239</v>
      </c>
      <c r="E17061" s="1" t="s">
        <v>10</v>
      </c>
      <c r="F17061" s="1" t="str">
        <f>"10.11.23.242"</f>
        <v>10.11.23.242</v>
      </c>
      <c r="G17061" s="1" t="str">
        <f>"0025E182"</f>
        <v>0025E182</v>
      </c>
      <c r="H17061" s="1" t="str">
        <f>"필묵지 19"</f>
        <v>필묵지 19</v>
      </c>
      <c r="I17061" s="1" t="s">
        <v>8</v>
      </c>
      <c r="J17061" s="1" t="str">
        <f>"8/14"</f>
        <v>8/14</v>
      </c>
      <c r="K17061" s="1" t="str">
        <f>"2026-07-29 13:18:01"</f>
        <v>2026-07-29 13:18:01</v>
      </c>
      <c r="L17061" s="1" t="str">
        <f>"2018-05-15 17:17:15"</f>
        <v>2018-05-15 17:17:15</v>
      </c>
      <c r="M17061" s="1" t="s">
        <v>2</v>
      </c>
      <c r="N17061" s="1" t="s">
        <v>38</v>
      </c>
      <c r="O17061" s="1" t="s">
        <v>46</v>
      </c>
    </row>
    <row r="17062" spans="2:15" x14ac:dyDescent="0.3">
      <c r="B17062" s="1" t="s">
        <v>13</v>
      </c>
      <c r="C17062" s="1" t="str">
        <f>"3차"</f>
        <v>3차</v>
      </c>
      <c r="D17062" s="1" t="str">
        <f>"0025E24139"</f>
        <v>0025E24139</v>
      </c>
      <c r="E17062" s="1" t="s">
        <v>18</v>
      </c>
      <c r="F17062" s="1" t="str">
        <f>"10.11.14.58"</f>
        <v>10.11.14.58</v>
      </c>
      <c r="G17062" s="1" t="str">
        <f>"0025E241"</f>
        <v>0025E241</v>
      </c>
      <c r="H17062" s="1" t="str">
        <f>"묵정지 29L1L1"</f>
        <v>묵정지 29L1L1</v>
      </c>
      <c r="I17062" s="1" t="s">
        <v>8</v>
      </c>
      <c r="J17062" s="1" t="str">
        <f>"0/75"</f>
        <v>0/75</v>
      </c>
      <c r="K17062" s="1" t="str">
        <f>"2026-04-15 07:18:01"</f>
        <v>2026-04-15 07:18:01</v>
      </c>
      <c r="L17062" s="1" t="str">
        <f>"2018-02-26 17:23:06"</f>
        <v>2018-02-26 17:23:06</v>
      </c>
      <c r="M17062" s="1" t="s">
        <v>2</v>
      </c>
      <c r="N17062" s="1" t="s">
        <v>38</v>
      </c>
      <c r="O17062" s="1" t="s">
        <v>46</v>
      </c>
    </row>
    <row r="17063" spans="2:15" x14ac:dyDescent="0.3">
      <c r="B17063" s="1" t="s">
        <v>13</v>
      </c>
      <c r="C17063" s="1" t="str">
        <f>"3차"</f>
        <v>3차</v>
      </c>
      <c r="D17063" s="1" t="str">
        <f>"0025E24239"</f>
        <v>0025E24239</v>
      </c>
      <c r="E17063" s="1" t="s">
        <v>10</v>
      </c>
      <c r="F17063" s="1" t="str">
        <f>"10.11.32.170"</f>
        <v>10.11.32.170</v>
      </c>
      <c r="G17063" s="1" t="str">
        <f>"0025E242"</f>
        <v>0025E242</v>
      </c>
      <c r="H17063" s="1" t="str">
        <f>"묵정지 29L2"</f>
        <v>묵정지 29L2</v>
      </c>
      <c r="I17063" s="1" t="s">
        <v>8</v>
      </c>
      <c r="J17063" s="1" t="str">
        <f>"119/119"</f>
        <v>119/119</v>
      </c>
      <c r="K17063" s="1" t="str">
        <f>"2026-07-29 13:18:01"</f>
        <v>2026-07-29 13:18:01</v>
      </c>
      <c r="L17063" s="1" t="str">
        <f>"2018-02-10 14:03:56"</f>
        <v>2018-02-10 14:03:56</v>
      </c>
      <c r="M17063" s="1" t="s">
        <v>2</v>
      </c>
      <c r="N17063" s="1" t="s">
        <v>38</v>
      </c>
      <c r="O17063" s="1" t="s">
        <v>46</v>
      </c>
    </row>
    <row r="17064" spans="2:15" x14ac:dyDescent="0.3">
      <c r="B17064" s="1" t="s">
        <v>13</v>
      </c>
      <c r="C17064" s="1" t="str">
        <f>"3차"</f>
        <v>3차</v>
      </c>
      <c r="D17064" s="1" t="str">
        <f>"0025E24439"</f>
        <v>0025E24439</v>
      </c>
      <c r="E17064" s="1" t="s">
        <v>10</v>
      </c>
      <c r="F17064" s="1" t="str">
        <f>"10.11.14.66"</f>
        <v>10.11.14.66</v>
      </c>
      <c r="G17064" s="1" t="str">
        <f>"0025E244"</f>
        <v>0025E244</v>
      </c>
      <c r="H17064" s="1" t="str">
        <f>"묵정지 29L3"</f>
        <v>묵정지 29L3</v>
      </c>
      <c r="I17064" s="1" t="s">
        <v>8</v>
      </c>
      <c r="J17064" s="1" t="str">
        <f>"26/26"</f>
        <v>26/26</v>
      </c>
      <c r="K17064" s="1" t="str">
        <f>"2026-07-29 13:18:01"</f>
        <v>2026-07-29 13:18:01</v>
      </c>
      <c r="L17064" s="1" t="str">
        <f>"2018-02-26 17:26:20"</f>
        <v>2018-02-26 17:26:20</v>
      </c>
      <c r="M17064" s="1" t="s">
        <v>2</v>
      </c>
      <c r="N17064" s="1" t="s">
        <v>38</v>
      </c>
      <c r="O17064" s="1" t="s">
        <v>46</v>
      </c>
    </row>
    <row r="17065" spans="2:15" x14ac:dyDescent="0.3">
      <c r="B17065" s="1" t="s">
        <v>13</v>
      </c>
      <c r="C17065" s="1" t="str">
        <f>"4차"</f>
        <v>4차</v>
      </c>
      <c r="D17065" s="1" t="str">
        <f>"0025E36139"</f>
        <v>0025E36139</v>
      </c>
      <c r="E17065" s="1" t="s">
        <v>14</v>
      </c>
      <c r="F17065" s="1" t="str">
        <f>"10.12.137.236"</f>
        <v>10.12.137.236</v>
      </c>
      <c r="G17065" s="1" t="str">
        <f>"0025E361"</f>
        <v>0025E361</v>
      </c>
      <c r="H17065" s="1" t="str">
        <f>"훈련원로 6"</f>
        <v>훈련원로 6</v>
      </c>
      <c r="I17065" s="1" t="s">
        <v>17</v>
      </c>
      <c r="J17065" s="1" t="str">
        <f>"0/0"</f>
        <v>0/0</v>
      </c>
      <c r="K17065" s="1" t="str">
        <f>"2026-07-28 13:18:01"</f>
        <v>2026-07-28 13:18:01</v>
      </c>
      <c r="L17065" s="1" t="str">
        <f>"2018-05-10 17:14:43"</f>
        <v>2018-05-10 17:14:43</v>
      </c>
      <c r="M17065" s="1" t="s">
        <v>0</v>
      </c>
      <c r="N17065" s="1" t="s">
        <v>39</v>
      </c>
      <c r="O17065" s="1" t="s">
        <v>46</v>
      </c>
    </row>
    <row r="17066" spans="2:15" x14ac:dyDescent="0.3">
      <c r="B17066" s="1" t="s">
        <v>13</v>
      </c>
      <c r="C17066" s="1" t="str">
        <f>"4차"</f>
        <v>4차</v>
      </c>
      <c r="D17066" s="1" t="str">
        <f>"0025E36339"</f>
        <v>0025E36339</v>
      </c>
      <c r="E17066" s="1" t="s">
        <v>10</v>
      </c>
      <c r="F17066" s="1" t="str">
        <f>"10.12.137.234"</f>
        <v>10.12.137.234</v>
      </c>
      <c r="G17066" s="1" t="str">
        <f>"0025E363"</f>
        <v>0025E363</v>
      </c>
      <c r="H17066" s="1" t="str">
        <f>"훈련원로 5."</f>
        <v>훈련원로 5.</v>
      </c>
      <c r="I17066" s="1" t="s">
        <v>17</v>
      </c>
      <c r="J17066" s="1" t="str">
        <f>"13/13"</f>
        <v>13/13</v>
      </c>
      <c r="K17066" s="1" t="str">
        <f>"2026-07-29 13:18:01"</f>
        <v>2026-07-29 13:18:01</v>
      </c>
      <c r="L17066" s="1" t="str">
        <f>"2018-05-11 08:37:43"</f>
        <v>2018-05-11 08:37:43</v>
      </c>
      <c r="M17066" s="1" t="s">
        <v>0</v>
      </c>
      <c r="N17066" s="1" t="s">
        <v>38</v>
      </c>
      <c r="O17066" s="1" t="s">
        <v>46</v>
      </c>
    </row>
    <row r="17067" spans="2:15" x14ac:dyDescent="0.3">
      <c r="B17067" s="1" t="s">
        <v>13</v>
      </c>
      <c r="C17067" s="1" t="str">
        <f>"4차"</f>
        <v>4차</v>
      </c>
      <c r="D17067" s="1" t="str">
        <f>"0025E37239"</f>
        <v>0025E37239</v>
      </c>
      <c r="E17067" s="1" t="s">
        <v>10</v>
      </c>
      <c r="F17067" s="1" t="str">
        <f>"10.12.137.230"</f>
        <v>10.12.137.230</v>
      </c>
      <c r="G17067" s="1" t="str">
        <f>"0025E372"</f>
        <v>0025E372</v>
      </c>
      <c r="H17067" s="1" t="str">
        <f>"훈련원로 7"</f>
        <v>훈련원로 7</v>
      </c>
      <c r="I17067" s="1" t="s">
        <v>17</v>
      </c>
      <c r="J17067" s="1" t="str">
        <f>"7/7"</f>
        <v>7/7</v>
      </c>
      <c r="K17067" s="1" t="str">
        <f>"2026-07-29 13:18:01"</f>
        <v>2026-07-29 13:18:01</v>
      </c>
      <c r="L17067" s="1" t="str">
        <f>"2018-05-10 16:55:45"</f>
        <v>2018-05-10 16:55:45</v>
      </c>
      <c r="M17067" s="1" t="s">
        <v>0</v>
      </c>
      <c r="N17067" s="1" t="s">
        <v>38</v>
      </c>
      <c r="O17067" s="1" t="s">
        <v>46</v>
      </c>
    </row>
    <row r="17068" spans="2:15" x14ac:dyDescent="0.3">
      <c r="B17068" s="1" t="s">
        <v>13</v>
      </c>
      <c r="C17068" s="1" t="str">
        <f>"4차"</f>
        <v>4차</v>
      </c>
      <c r="D17068" s="1" t="str">
        <f>"0025E38139"</f>
        <v>0025E38139</v>
      </c>
      <c r="E17068" s="1" t="s">
        <v>10</v>
      </c>
      <c r="F17068" s="1" t="str">
        <f>"10.12.137.214"</f>
        <v>10.12.137.214</v>
      </c>
      <c r="G17068" s="1" t="str">
        <f>"0025E381"</f>
        <v>0025E381</v>
      </c>
      <c r="H17068" s="1" t="str">
        <f>"훈련원로 7-1"</f>
        <v>훈련원로 7-1</v>
      </c>
      <c r="I17068" s="1" t="s">
        <v>17</v>
      </c>
      <c r="J17068" s="1" t="str">
        <f>"3/3"</f>
        <v>3/3</v>
      </c>
      <c r="K17068" s="1" t="str">
        <f>"2026-07-29 13:18:02"</f>
        <v>2026-07-29 13:18:02</v>
      </c>
      <c r="L17068" s="1" t="str">
        <f>"2018-05-10 16:03:44"</f>
        <v>2018-05-10 16:03:44</v>
      </c>
      <c r="M17068" s="1" t="s">
        <v>0</v>
      </c>
      <c r="N17068" s="1" t="s">
        <v>38</v>
      </c>
      <c r="O17068" s="1" t="s">
        <v>46</v>
      </c>
    </row>
    <row r="17069" spans="2:15" x14ac:dyDescent="0.3">
      <c r="B17069" s="1" t="s">
        <v>13</v>
      </c>
      <c r="C17069" s="1" t="str">
        <f>"3차"</f>
        <v>3차</v>
      </c>
      <c r="D17069" s="1" t="str">
        <f>"0025E48139"</f>
        <v>0025E48139</v>
      </c>
      <c r="E17069" s="1" t="s">
        <v>10</v>
      </c>
      <c r="F17069" s="1" t="str">
        <f>"10.11.14.50"</f>
        <v>10.11.14.50</v>
      </c>
      <c r="G17069" s="1" t="str">
        <f>"0025E481"</f>
        <v>0025E481</v>
      </c>
      <c r="H17069" s="1" t="str">
        <f>"묵정지 17R10"</f>
        <v>묵정지 17R10</v>
      </c>
      <c r="I17069" s="1" t="s">
        <v>8</v>
      </c>
      <c r="J17069" s="1" t="str">
        <f>"64/64"</f>
        <v>64/64</v>
      </c>
      <c r="K17069" s="1" t="str">
        <f>"2026-07-29 13:18:01"</f>
        <v>2026-07-29 13:18:01</v>
      </c>
      <c r="L17069" s="1" t="str">
        <f>"2018-02-26 17:29:35"</f>
        <v>2018-02-26 17:29:35</v>
      </c>
      <c r="M17069" s="1" t="s">
        <v>2</v>
      </c>
      <c r="N17069" s="1" t="s">
        <v>38</v>
      </c>
      <c r="O17069" s="1" t="s">
        <v>46</v>
      </c>
    </row>
    <row r="17070" spans="2:15" x14ac:dyDescent="0.3">
      <c r="B17070" s="1" t="s">
        <v>13</v>
      </c>
      <c r="C17070" s="1" t="str">
        <f>"3차"</f>
        <v>3차</v>
      </c>
      <c r="D17070" s="1" t="str">
        <f>"0025E49139"</f>
        <v>0025E49139</v>
      </c>
      <c r="E17070" s="1" t="s">
        <v>10</v>
      </c>
      <c r="F17070" s="1" t="str">
        <f>"10.11.32.154"</f>
        <v>10.11.32.154</v>
      </c>
      <c r="G17070" s="1" t="str">
        <f>"0025E491"</f>
        <v>0025E491</v>
      </c>
      <c r="H17070" s="1" t="str">
        <f>"묵정지 17R8"</f>
        <v>묵정지 17R8</v>
      </c>
      <c r="I17070" s="1" t="s">
        <v>8</v>
      </c>
      <c r="J17070" s="1" t="str">
        <f>"13/14"</f>
        <v>13/14</v>
      </c>
      <c r="K17070" s="1" t="str">
        <f>"2026-07-29 13:18:01"</f>
        <v>2026-07-29 13:18:01</v>
      </c>
      <c r="L17070" s="1" t="str">
        <f>"2018-02-10 13:43:27"</f>
        <v>2018-02-10 13:43:27</v>
      </c>
      <c r="M17070" s="1" t="s">
        <v>2</v>
      </c>
      <c r="N17070" s="1" t="s">
        <v>38</v>
      </c>
      <c r="O17070" s="1" t="s">
        <v>46</v>
      </c>
    </row>
    <row r="17071" spans="2:15" x14ac:dyDescent="0.3">
      <c r="B17071" s="1" t="s">
        <v>13</v>
      </c>
      <c r="C17071" s="1" t="str">
        <f>"3차"</f>
        <v>3차</v>
      </c>
      <c r="D17071" s="1" t="str">
        <f>"0025E59230"</f>
        <v>0025E59230</v>
      </c>
      <c r="E17071" s="1" t="s">
        <v>10</v>
      </c>
      <c r="F17071" s="1" t="str">
        <f>"10.11.14.42"</f>
        <v>10.11.14.42</v>
      </c>
      <c r="G17071" s="1" t="str">
        <f>"0025E592"</f>
        <v>0025E592</v>
      </c>
      <c r="H17071" s="1" t="str">
        <f>"묵정지 17R4"</f>
        <v>묵정지 17R4</v>
      </c>
      <c r="I17071" s="1" t="s">
        <v>8</v>
      </c>
      <c r="J17071" s="1" t="str">
        <f>"12/12"</f>
        <v>12/12</v>
      </c>
      <c r="K17071" s="1" t="str">
        <f>"2026-07-29 13:18:01"</f>
        <v>2026-07-29 13:18:01</v>
      </c>
      <c r="L17071" s="1" t="str">
        <f>"2018-02-06 17:19:30"</f>
        <v>2018-02-06 17:19:30</v>
      </c>
      <c r="M17071" s="1" t="s">
        <v>2</v>
      </c>
      <c r="N17071" s="1" t="s">
        <v>38</v>
      </c>
      <c r="O17071" s="1" t="s">
        <v>46</v>
      </c>
    </row>
    <row r="17072" spans="2:15" x14ac:dyDescent="0.3">
      <c r="B17072" s="1" t="s">
        <v>13</v>
      </c>
      <c r="C17072" s="1" t="str">
        <f>"3차"</f>
        <v>3차</v>
      </c>
      <c r="D17072" s="1" t="str">
        <f>"0025E59331"</f>
        <v>0025E59331</v>
      </c>
      <c r="E17072" s="1" t="s">
        <v>10</v>
      </c>
      <c r="F17072" s="1" t="str">
        <f>"10.11.14.43"</f>
        <v>10.11.14.43</v>
      </c>
      <c r="G17072" s="1" t="str">
        <f>"0025E593"</f>
        <v>0025E593</v>
      </c>
      <c r="H17072" s="1" t="str">
        <f>"묵정지 17R5"</f>
        <v>묵정지 17R5</v>
      </c>
      <c r="I17072" s="1" t="s">
        <v>8</v>
      </c>
      <c r="J17072" s="1" t="str">
        <f>"30/30"</f>
        <v>30/30</v>
      </c>
      <c r="K17072" s="1" t="str">
        <f>"2026-07-29 13:18:01"</f>
        <v>2026-07-29 13:18:01</v>
      </c>
      <c r="L17072" s="1" t="str">
        <f>"2018-02-06 17:15:30"</f>
        <v>2018-02-06 17:15:30</v>
      </c>
      <c r="M17072" s="1" t="s">
        <v>2</v>
      </c>
      <c r="N17072" s="1" t="s">
        <v>38</v>
      </c>
      <c r="O17072" s="1" t="s">
        <v>46</v>
      </c>
    </row>
    <row r="17073" spans="2:15" x14ac:dyDescent="0.3">
      <c r="B17073" s="1" t="s">
        <v>13</v>
      </c>
      <c r="C17073" s="1" t="str">
        <f>"4차"</f>
        <v>4차</v>
      </c>
      <c r="D17073" s="1" t="str">
        <f>"0025E69539"</f>
        <v>0025E69539</v>
      </c>
      <c r="E17073" s="1" t="s">
        <v>10</v>
      </c>
      <c r="F17073" s="1" t="str">
        <f>"10.11.32.138"</f>
        <v>10.11.32.138</v>
      </c>
      <c r="G17073" s="1" t="str">
        <f>"0025E695"</f>
        <v>0025E695</v>
      </c>
      <c r="H17073" s="1" t="str">
        <f>"묵정지 17R2"</f>
        <v>묵정지 17R2</v>
      </c>
      <c r="I17073" s="1" t="s">
        <v>8</v>
      </c>
      <c r="J17073" s="1" t="str">
        <f>"69/71"</f>
        <v>69/71</v>
      </c>
      <c r="K17073" s="1" t="str">
        <f>"2026-07-29 13:18:01"</f>
        <v>2026-07-29 13:18:01</v>
      </c>
      <c r="L17073" s="1" t="str">
        <f>"2018-02-10 13:34:41"</f>
        <v>2018-02-10 13:34:41</v>
      </c>
      <c r="M17073" s="1" t="s">
        <v>2</v>
      </c>
      <c r="N17073" s="1" t="s">
        <v>38</v>
      </c>
      <c r="O17073" s="1" t="s">
        <v>46</v>
      </c>
    </row>
    <row r="17074" spans="2:15" x14ac:dyDescent="0.3">
      <c r="B17074" s="1" t="s">
        <v>13</v>
      </c>
      <c r="C17074" s="1" t="str">
        <f>"4차"</f>
        <v>4차</v>
      </c>
      <c r="D17074" s="1" t="str">
        <f>"0025E76139"</f>
        <v>0025E76139</v>
      </c>
      <c r="E17074" s="1" t="str">
        <f>"검침실패(3시간 이상)"</f>
        <v>검침실패(3시간 이상)</v>
      </c>
      <c r="F17074" s="1" t="str">
        <f>"10.12.137.208"</f>
        <v>10.12.137.208</v>
      </c>
      <c r="G17074" s="1" t="str">
        <f>"0025E761"</f>
        <v>0025E761</v>
      </c>
      <c r="H17074" s="1" t="str">
        <f>"장충로 3"</f>
        <v>장충로 3</v>
      </c>
      <c r="I17074" s="1" t="s">
        <v>17</v>
      </c>
      <c r="J17074" s="1" t="str">
        <f>"0/8"</f>
        <v>0/8</v>
      </c>
      <c r="K17074" s="1" t="str">
        <f>"2026-05-21 01:18:02"</f>
        <v>2026-05-21 01:18:02</v>
      </c>
      <c r="L17074" s="1" t="str">
        <f>"2018-05-11 08:53:12"</f>
        <v>2018-05-11 08:53:12</v>
      </c>
      <c r="M17074" s="1" t="s">
        <v>0</v>
      </c>
      <c r="N17074" s="1" t="s">
        <v>38</v>
      </c>
      <c r="O17074" s="1" t="s">
        <v>46</v>
      </c>
    </row>
    <row r="17075" spans="2:15" x14ac:dyDescent="0.3">
      <c r="B17075" s="1" t="s">
        <v>13</v>
      </c>
      <c r="C17075" s="1" t="str">
        <f>"3차"</f>
        <v>3차</v>
      </c>
      <c r="D17075" s="1" t="str">
        <f>"0025F09139"</f>
        <v>0025F09139</v>
      </c>
      <c r="E17075" s="1" t="s">
        <v>10</v>
      </c>
      <c r="F17075" s="1" t="str">
        <f>"10.11.18.154"</f>
        <v>10.11.18.154</v>
      </c>
      <c r="G17075" s="1" t="str">
        <f>"0025F091"</f>
        <v>0025F091</v>
      </c>
      <c r="H17075" s="1" t="str">
        <f>"장충지 9R2"</f>
        <v>장충지 9R2</v>
      </c>
      <c r="I17075" s="1" t="s">
        <v>8</v>
      </c>
      <c r="J17075" s="1" t="str">
        <f>"12/12"</f>
        <v>12/12</v>
      </c>
      <c r="K17075" s="1" t="str">
        <f t="shared" ref="K17075:K17083" si="841">"2026-07-29 13:18:01"</f>
        <v>2026-07-29 13:18:01</v>
      </c>
      <c r="L17075" s="1" t="str">
        <f>"2018-05-15 11:11:25"</f>
        <v>2018-05-15 11:11:25</v>
      </c>
      <c r="M17075" s="1" t="s">
        <v>2</v>
      </c>
      <c r="N17075" s="1" t="s">
        <v>38</v>
      </c>
      <c r="O17075" s="1" t="s">
        <v>46</v>
      </c>
    </row>
    <row r="17076" spans="2:15" x14ac:dyDescent="0.3">
      <c r="B17076" s="1" t="s">
        <v>13</v>
      </c>
      <c r="C17076" s="1" t="str">
        <f>"3차"</f>
        <v>3차</v>
      </c>
      <c r="D17076" s="1" t="str">
        <f>"0025F17439"</f>
        <v>0025F17439</v>
      </c>
      <c r="E17076" s="1" t="s">
        <v>10</v>
      </c>
      <c r="F17076" s="1" t="str">
        <f>"10.11.37.210"</f>
        <v>10.11.37.210</v>
      </c>
      <c r="G17076" s="1" t="str">
        <f>"0025F174"</f>
        <v>0025F174</v>
      </c>
      <c r="H17076" s="1" t="str">
        <f>"장충지 9R4R2"</f>
        <v>장충지 9R4R2</v>
      </c>
      <c r="I17076" s="1" t="s">
        <v>8</v>
      </c>
      <c r="J17076" s="1" t="str">
        <f>"16/16"</f>
        <v>16/16</v>
      </c>
      <c r="K17076" s="1" t="str">
        <f t="shared" si="841"/>
        <v>2026-07-29 13:18:01</v>
      </c>
      <c r="L17076" s="1" t="str">
        <f>"2018-05-17 17:21:27"</f>
        <v>2018-05-17 17:21:27</v>
      </c>
      <c r="M17076" s="1" t="s">
        <v>2</v>
      </c>
      <c r="N17076" s="1" t="s">
        <v>38</v>
      </c>
      <c r="O17076" s="1" t="s">
        <v>46</v>
      </c>
    </row>
    <row r="17077" spans="2:15" x14ac:dyDescent="0.3">
      <c r="B17077" s="1" t="s">
        <v>13</v>
      </c>
      <c r="C17077" s="1" t="str">
        <f>"3차"</f>
        <v>3차</v>
      </c>
      <c r="D17077" s="1" t="str">
        <f>"0025F18339"</f>
        <v>0025F18339</v>
      </c>
      <c r="E17077" s="1" t="s">
        <v>10</v>
      </c>
      <c r="F17077" s="1" t="str">
        <f>"10.11.18.162"</f>
        <v>10.11.18.162</v>
      </c>
      <c r="G17077" s="1" t="str">
        <f>"0025F183"</f>
        <v>0025F183</v>
      </c>
      <c r="H17077" s="1" t="str">
        <f>"장충지 9R4R1"</f>
        <v>장충지 9R4R1</v>
      </c>
      <c r="I17077" s="1" t="s">
        <v>8</v>
      </c>
      <c r="J17077" s="1" t="str">
        <f>"37/37"</f>
        <v>37/37</v>
      </c>
      <c r="K17077" s="1" t="str">
        <f t="shared" si="841"/>
        <v>2026-07-29 13:18:01</v>
      </c>
      <c r="L17077" s="1" t="str">
        <f>"2018-05-15 11:24:25"</f>
        <v>2018-05-15 11:24:25</v>
      </c>
      <c r="M17077" s="1" t="s">
        <v>2</v>
      </c>
      <c r="N17077" s="1" t="s">
        <v>38</v>
      </c>
      <c r="O17077" s="1" t="s">
        <v>46</v>
      </c>
    </row>
    <row r="17078" spans="2:15" x14ac:dyDescent="0.3">
      <c r="B17078" s="1" t="s">
        <v>13</v>
      </c>
      <c r="C17078" s="1" t="str">
        <f>"4차"</f>
        <v>4차</v>
      </c>
      <c r="D17078" s="1" t="str">
        <f>"0025F19239"</f>
        <v>0025F19239</v>
      </c>
      <c r="E17078" s="1" t="s">
        <v>10</v>
      </c>
      <c r="F17078" s="1" t="str">
        <f>"10.11.37.202"</f>
        <v>10.11.37.202</v>
      </c>
      <c r="G17078" s="1" t="str">
        <f>"0025F192"</f>
        <v>0025F192</v>
      </c>
      <c r="H17078" s="1" t="str">
        <f>"장충지 9R4"</f>
        <v>장충지 9R4</v>
      </c>
      <c r="I17078" s="1" t="s">
        <v>8</v>
      </c>
      <c r="J17078" s="1" t="str">
        <f>"25/25"</f>
        <v>25/25</v>
      </c>
      <c r="K17078" s="1" t="str">
        <f t="shared" si="841"/>
        <v>2026-07-29 13:18:01</v>
      </c>
      <c r="L17078" s="1" t="str">
        <f>"2018-05-15 11:10:10"</f>
        <v>2018-05-15 11:10:10</v>
      </c>
      <c r="M17078" s="1" t="s">
        <v>2</v>
      </c>
      <c r="N17078" s="1" t="s">
        <v>38</v>
      </c>
      <c r="O17078" s="1" t="s">
        <v>46</v>
      </c>
    </row>
    <row r="17079" spans="2:15" x14ac:dyDescent="0.3">
      <c r="B17079" s="1" t="s">
        <v>13</v>
      </c>
      <c r="C17079" s="1" t="str">
        <f>"1차"</f>
        <v>1차</v>
      </c>
      <c r="D17079" s="1" t="str">
        <f>"0025F19300"</f>
        <v>0025F19300</v>
      </c>
      <c r="E17079" s="1" t="s">
        <v>10</v>
      </c>
      <c r="F17079" s="1" t="str">
        <f>"10.89.32.19"</f>
        <v>10.89.32.19</v>
      </c>
      <c r="G17079" s="1" t="str">
        <f>"0025F193"</f>
        <v>0025F193</v>
      </c>
      <c r="H17079" s="1" t="str">
        <f>"장충지 9R4L1L1"</f>
        <v>장충지 9R4L1L1</v>
      </c>
      <c r="I17079" s="1" t="s">
        <v>8</v>
      </c>
      <c r="J17079" s="1" t="str">
        <f>"7/7"</f>
        <v>7/7</v>
      </c>
      <c r="K17079" s="1" t="str">
        <f t="shared" si="841"/>
        <v>2026-07-29 13:18:01</v>
      </c>
      <c r="L17079" s="1" t="str">
        <f>"2014-11-24 10:59:24"</f>
        <v>2014-11-24 10:59:24</v>
      </c>
      <c r="M17079" s="1" t="s">
        <v>45</v>
      </c>
      <c r="N17079" s="1" t="s">
        <v>38</v>
      </c>
      <c r="O17079" s="1" t="s">
        <v>46</v>
      </c>
    </row>
    <row r="17080" spans="2:15" x14ac:dyDescent="0.3">
      <c r="B17080" s="1" t="s">
        <v>13</v>
      </c>
      <c r="C17080" s="1" t="str">
        <f>"3차"</f>
        <v>3차</v>
      </c>
      <c r="D17080" s="1" t="str">
        <f>"0025F26139"</f>
        <v>0025F26139</v>
      </c>
      <c r="E17080" s="1" t="s">
        <v>14</v>
      </c>
      <c r="F17080" s="1" t="str">
        <f>"10.11.13.186"</f>
        <v>10.11.13.186</v>
      </c>
      <c r="G17080" s="1" t="str">
        <f>"0025F261"</f>
        <v>0025F261</v>
      </c>
      <c r="H17080" s="1" t="str">
        <f>"무학지 3L5"</f>
        <v>무학지 3L5</v>
      </c>
      <c r="I17080" s="1" t="s">
        <v>8</v>
      </c>
      <c r="J17080" s="1" t="str">
        <f>"0/0"</f>
        <v>0/0</v>
      </c>
      <c r="K17080" s="4" t="str">
        <f t="shared" si="841"/>
        <v>2026-07-29 13:18:01</v>
      </c>
      <c r="L17080" s="1" t="str">
        <f>"2018-01-03 15:50:26"</f>
        <v>2018-01-03 15:50:26</v>
      </c>
      <c r="M17080" s="1" t="s">
        <v>2</v>
      </c>
      <c r="N17080" s="1" t="s">
        <v>38</v>
      </c>
      <c r="O17080" s="1" t="s">
        <v>44</v>
      </c>
    </row>
    <row r="17081" spans="2:15" x14ac:dyDescent="0.3">
      <c r="B17081" s="1" t="s">
        <v>13</v>
      </c>
      <c r="C17081" s="1" t="str">
        <f>"3차"</f>
        <v>3차</v>
      </c>
      <c r="D17081" s="1" t="str">
        <f>"0025F28139"</f>
        <v>0025F28139</v>
      </c>
      <c r="E17081" s="1" t="s">
        <v>10</v>
      </c>
      <c r="F17081" s="1" t="str">
        <f>"10.11.37.218"</f>
        <v>10.11.37.218</v>
      </c>
      <c r="G17081" s="1" t="str">
        <f>"0025F281"</f>
        <v>0025F281</v>
      </c>
      <c r="H17081" s="1" t="str">
        <f>"장충지 9R5"</f>
        <v>장충지 9R5</v>
      </c>
      <c r="I17081" s="1" t="s">
        <v>8</v>
      </c>
      <c r="J17081" s="1" t="str">
        <f>"36/36"</f>
        <v>36/36</v>
      </c>
      <c r="K17081" s="1" t="str">
        <f t="shared" si="841"/>
        <v>2026-07-29 13:18:01</v>
      </c>
      <c r="L17081" s="1" t="str">
        <f>"2018-05-15 11:16:57"</f>
        <v>2018-05-15 11:16:57</v>
      </c>
      <c r="M17081" s="1" t="s">
        <v>2</v>
      </c>
      <c r="N17081" s="1" t="s">
        <v>38</v>
      </c>
      <c r="O17081" s="1" t="s">
        <v>46</v>
      </c>
    </row>
    <row r="17082" spans="2:15" x14ac:dyDescent="0.3">
      <c r="B17082" s="1" t="s">
        <v>13</v>
      </c>
      <c r="C17082" s="1" t="str">
        <f>"4차"</f>
        <v>4차</v>
      </c>
      <c r="D17082" s="1" t="str">
        <f>"0025F29239"</f>
        <v>0025F29239</v>
      </c>
      <c r="E17082" s="1" t="s">
        <v>10</v>
      </c>
      <c r="F17082" s="1" t="str">
        <f>"10.11.27.34"</f>
        <v>10.11.27.34</v>
      </c>
      <c r="G17082" s="1" t="str">
        <f>"0025F292"</f>
        <v>0025F292</v>
      </c>
      <c r="H17082" s="1" t="str">
        <f>"장충지 9R4L1R4"</f>
        <v>장충지 9R4L1R4</v>
      </c>
      <c r="I17082" s="1" t="s">
        <v>8</v>
      </c>
      <c r="J17082" s="1" t="str">
        <f>"55/55"</f>
        <v>55/55</v>
      </c>
      <c r="K17082" s="1" t="str">
        <f t="shared" si="841"/>
        <v>2026-07-29 13:18:01</v>
      </c>
      <c r="L17082" s="1" t="str">
        <f>"2017-12-09 16:53:30"</f>
        <v>2017-12-09 16:53:30</v>
      </c>
      <c r="M17082" s="1" t="s">
        <v>2</v>
      </c>
      <c r="N17082" s="1" t="s">
        <v>38</v>
      </c>
      <c r="O17082" s="1" t="s">
        <v>46</v>
      </c>
    </row>
    <row r="17083" spans="2:15" x14ac:dyDescent="0.3">
      <c r="B17083" s="1" t="s">
        <v>13</v>
      </c>
      <c r="C17083" s="1" t="str">
        <f>"3차"</f>
        <v>3차</v>
      </c>
      <c r="D17083" s="1" t="str">
        <f>"0025F34239"</f>
        <v>0025F34239</v>
      </c>
      <c r="E17083" s="1" t="s">
        <v>10</v>
      </c>
      <c r="F17083" s="1" t="str">
        <f>"10.11.35.50"</f>
        <v>10.11.35.50</v>
      </c>
      <c r="G17083" s="1" t="str">
        <f>"0025F342"</f>
        <v>0025F342</v>
      </c>
      <c r="H17083" s="1" t="str">
        <f>"보광간 139"</f>
        <v>보광간 139</v>
      </c>
      <c r="I17083" s="1" t="s">
        <v>8</v>
      </c>
      <c r="J17083" s="1" t="str">
        <f>"5/5"</f>
        <v>5/5</v>
      </c>
      <c r="K17083" s="1" t="str">
        <f t="shared" si="841"/>
        <v>2026-07-29 13:18:01</v>
      </c>
      <c r="L17083" s="1" t="str">
        <f>"2018-05-15 10:12:55"</f>
        <v>2018-05-15 10:12:55</v>
      </c>
      <c r="M17083" s="1" t="s">
        <v>2</v>
      </c>
      <c r="N17083" s="1" t="s">
        <v>38</v>
      </c>
      <c r="O17083" s="1" t="s">
        <v>46</v>
      </c>
    </row>
    <row r="17084" spans="2:15" x14ac:dyDescent="0.3">
      <c r="B17084" s="1" t="s">
        <v>13</v>
      </c>
      <c r="C17084" s="1" t="str">
        <f>"4차"</f>
        <v>4차</v>
      </c>
      <c r="D17084" s="1" t="str">
        <f>"0025F38444"</f>
        <v>0025F38444</v>
      </c>
      <c r="E17084" s="1" t="s">
        <v>10</v>
      </c>
      <c r="F17084" s="1" t="str">
        <f>"10.12.134.224"</f>
        <v>10.12.134.224</v>
      </c>
      <c r="G17084" s="1" t="str">
        <f>"0025F384"</f>
        <v>0025F384</v>
      </c>
      <c r="H17084" s="1" t="str">
        <f>"장충지 9R4L1R1"</f>
        <v>장충지 9R4L1R1</v>
      </c>
      <c r="I17084" s="1" t="s">
        <v>8</v>
      </c>
      <c r="J17084" s="1" t="str">
        <f>"50/53"</f>
        <v>50/53</v>
      </c>
      <c r="K17084" s="1" t="str">
        <f>"2026-07-29 13:18:02"</f>
        <v>2026-07-29 13:18:02</v>
      </c>
      <c r="L17084" s="1" t="str">
        <f>"2023-10-27 13:36:31"</f>
        <v>2023-10-27 13:36:31</v>
      </c>
      <c r="M17084" s="1" t="s">
        <v>0</v>
      </c>
      <c r="N17084" s="1" t="s">
        <v>38</v>
      </c>
      <c r="O17084" s="1" t="s">
        <v>46</v>
      </c>
    </row>
    <row r="17085" spans="2:15" x14ac:dyDescent="0.3">
      <c r="B17085" s="1" t="s">
        <v>13</v>
      </c>
      <c r="C17085" s="1" t="str">
        <f>"3차"</f>
        <v>3차</v>
      </c>
      <c r="D17085" s="1" t="str">
        <f>"0025F39339"</f>
        <v>0025F39339</v>
      </c>
      <c r="E17085" s="1" t="s">
        <v>10</v>
      </c>
      <c r="F17085" s="1" t="str">
        <f>"10.11.27.26"</f>
        <v>10.11.27.26</v>
      </c>
      <c r="G17085" s="1" t="str">
        <f>"0025F393"</f>
        <v>0025F393</v>
      </c>
      <c r="H17085" s="1" t="str">
        <f>"장충지 9R4L1R2R1"</f>
        <v>장충지 9R4L1R2R1</v>
      </c>
      <c r="I17085" s="1" t="s">
        <v>8</v>
      </c>
      <c r="J17085" s="1" t="str">
        <f>"16/16"</f>
        <v>16/16</v>
      </c>
      <c r="K17085" s="1" t="str">
        <f t="shared" ref="K17085:K17097" si="842">"2026-07-29 13:18:01"</f>
        <v>2026-07-29 13:18:01</v>
      </c>
      <c r="L17085" s="1" t="str">
        <f>"2017-12-09 16:59:45"</f>
        <v>2017-12-09 16:59:45</v>
      </c>
      <c r="M17085" s="1" t="s">
        <v>2</v>
      </c>
      <c r="N17085" s="1" t="s">
        <v>38</v>
      </c>
      <c r="O17085" s="1" t="s">
        <v>46</v>
      </c>
    </row>
    <row r="17086" spans="2:15" x14ac:dyDescent="0.3">
      <c r="B17086" s="1" t="s">
        <v>13</v>
      </c>
      <c r="C17086" s="1" t="str">
        <f>"1차"</f>
        <v>1차</v>
      </c>
      <c r="D17086" s="1" t="str">
        <f>"0025F39401"</f>
        <v>0025F39401</v>
      </c>
      <c r="E17086" s="1" t="s">
        <v>10</v>
      </c>
      <c r="F17086" s="1" t="str">
        <f>"10.12.133.89"</f>
        <v>10.12.133.89</v>
      </c>
      <c r="G17086" s="1" t="str">
        <f>"0025F394"</f>
        <v>0025F394</v>
      </c>
      <c r="H17086" s="1" t="str">
        <f>"장충지 9R4L1R3"</f>
        <v>장충지 9R4L1R3</v>
      </c>
      <c r="I17086" s="1" t="s">
        <v>8</v>
      </c>
      <c r="J17086" s="1" t="str">
        <f>"38/38"</f>
        <v>38/38</v>
      </c>
      <c r="K17086" s="1" t="str">
        <f t="shared" si="842"/>
        <v>2026-07-29 13:18:01</v>
      </c>
      <c r="L17086" s="1" t="str">
        <f>"2014-11-25 10:21:18"</f>
        <v>2014-11-25 10:21:18</v>
      </c>
      <c r="M17086" s="1" t="s">
        <v>0</v>
      </c>
      <c r="N17086" s="1" t="s">
        <v>38</v>
      </c>
      <c r="O17086" s="1" t="s">
        <v>46</v>
      </c>
    </row>
    <row r="17087" spans="2:15" x14ac:dyDescent="0.3">
      <c r="B17087" s="1" t="s">
        <v>13</v>
      </c>
      <c r="C17087" s="1" t="str">
        <f>"3차"</f>
        <v>3차</v>
      </c>
      <c r="D17087" s="1" t="str">
        <f>"0025F44139"</f>
        <v>0025F44139</v>
      </c>
      <c r="E17087" s="1" t="s">
        <v>10</v>
      </c>
      <c r="F17087" s="1" t="str">
        <f>"10.11.16.114"</f>
        <v>10.11.16.114</v>
      </c>
      <c r="G17087" s="1" t="str">
        <f>"0025F441"</f>
        <v>0025F441</v>
      </c>
      <c r="H17087" s="1" t="str">
        <f>"보광간 141"</f>
        <v>보광간 141</v>
      </c>
      <c r="I17087" s="1" t="s">
        <v>8</v>
      </c>
      <c r="J17087" s="1" t="str">
        <f>"1/1"</f>
        <v>1/1</v>
      </c>
      <c r="K17087" s="1" t="str">
        <f t="shared" si="842"/>
        <v>2026-07-29 13:18:01</v>
      </c>
      <c r="L17087" s="1" t="str">
        <f>"2018-05-17 17:00:45"</f>
        <v>2018-05-17 17:00:45</v>
      </c>
      <c r="M17087" s="1" t="s">
        <v>2</v>
      </c>
      <c r="N17087" s="1" t="s">
        <v>38</v>
      </c>
      <c r="O17087" s="1" t="s">
        <v>46</v>
      </c>
    </row>
    <row r="17088" spans="2:15" x14ac:dyDescent="0.3">
      <c r="B17088" s="1" t="s">
        <v>13</v>
      </c>
      <c r="C17088" s="1" t="str">
        <f>"3차"</f>
        <v>3차</v>
      </c>
      <c r="D17088" s="1" t="str">
        <f>"0025F44239"</f>
        <v>0025F44239</v>
      </c>
      <c r="E17088" s="1" t="s">
        <v>10</v>
      </c>
      <c r="F17088" s="1" t="str">
        <f>"10.11.35.58"</f>
        <v>10.11.35.58</v>
      </c>
      <c r="G17088" s="1" t="str">
        <f>"0025F442"</f>
        <v>0025F442</v>
      </c>
      <c r="H17088" s="1" t="str">
        <f>"보광간 142"</f>
        <v>보광간 142</v>
      </c>
      <c r="I17088" s="1" t="s">
        <v>8</v>
      </c>
      <c r="J17088" s="1" t="str">
        <f>"16/25"</f>
        <v>16/25</v>
      </c>
      <c r="K17088" s="1" t="str">
        <f t="shared" si="842"/>
        <v>2026-07-29 13:18:01</v>
      </c>
      <c r="L17088" s="1" t="str">
        <f>"2018-05-15 10:09:54"</f>
        <v>2018-05-15 10:09:54</v>
      </c>
      <c r="M17088" s="1" t="s">
        <v>2</v>
      </c>
      <c r="N17088" s="1" t="s">
        <v>38</v>
      </c>
      <c r="O17088" s="1" t="s">
        <v>46</v>
      </c>
    </row>
    <row r="17089" spans="2:15" x14ac:dyDescent="0.3">
      <c r="B17089" s="1" t="s">
        <v>13</v>
      </c>
      <c r="C17089" s="1" t="str">
        <f>"4차"</f>
        <v>4차</v>
      </c>
      <c r="D17089" s="1" t="str">
        <f>"0025F45139"</f>
        <v>0025F45139</v>
      </c>
      <c r="E17089" s="1" t="s">
        <v>10</v>
      </c>
      <c r="F17089" s="1" t="str">
        <f>"10.11.29.90"</f>
        <v>10.11.29.90</v>
      </c>
      <c r="G17089" s="1" t="str">
        <f>"0025F451"</f>
        <v>0025F451</v>
      </c>
      <c r="H17089" s="1" t="str">
        <f>"광희간 17R6"</f>
        <v>광희간 17R6</v>
      </c>
      <c r="I17089" s="1" t="s">
        <v>8</v>
      </c>
      <c r="J17089" s="1" t="str">
        <f>"1/1"</f>
        <v>1/1</v>
      </c>
      <c r="K17089" s="1" t="str">
        <f t="shared" si="842"/>
        <v>2026-07-29 13:18:01</v>
      </c>
      <c r="L17089" s="1" t="str">
        <f>"2018-02-10 11:24:55"</f>
        <v>2018-02-10 11:24:55</v>
      </c>
      <c r="M17089" s="1" t="s">
        <v>2</v>
      </c>
      <c r="N17089" s="1" t="s">
        <v>38</v>
      </c>
      <c r="O17089" s="1" t="s">
        <v>46</v>
      </c>
    </row>
    <row r="17090" spans="2:15" x14ac:dyDescent="0.3">
      <c r="B17090" s="1" t="s">
        <v>13</v>
      </c>
      <c r="C17090" s="1" t="str">
        <f>"3차"</f>
        <v>3차</v>
      </c>
      <c r="D17090" s="1" t="str">
        <f>"0025F46139"</f>
        <v>0025F46139</v>
      </c>
      <c r="E17090" s="1" t="s">
        <v>10</v>
      </c>
      <c r="F17090" s="1" t="str">
        <f>"10.11.11.66"</f>
        <v>10.11.11.66</v>
      </c>
      <c r="G17090" s="1" t="str">
        <f>"0025F461"</f>
        <v>0025F461</v>
      </c>
      <c r="H17090" s="1" t="str">
        <f>"광희간 17R4"</f>
        <v>광희간 17R4</v>
      </c>
      <c r="I17090" s="1" t="s">
        <v>8</v>
      </c>
      <c r="J17090" s="1" t="str">
        <f>"1/1"</f>
        <v>1/1</v>
      </c>
      <c r="K17090" s="1" t="str">
        <f t="shared" si="842"/>
        <v>2026-07-29 13:18:01</v>
      </c>
      <c r="L17090" s="1" t="str">
        <f>"2018-02-26 17:31:21"</f>
        <v>2018-02-26 17:31:21</v>
      </c>
      <c r="M17090" s="1" t="s">
        <v>2</v>
      </c>
      <c r="N17090" s="1" t="s">
        <v>38</v>
      </c>
      <c r="O17090" s="1" t="s">
        <v>46</v>
      </c>
    </row>
    <row r="17091" spans="2:15" x14ac:dyDescent="0.3">
      <c r="B17091" s="1" t="s">
        <v>13</v>
      </c>
      <c r="C17091" s="1" t="str">
        <f>"4차"</f>
        <v>4차</v>
      </c>
      <c r="D17091" s="1" t="str">
        <f>"0025F52139"</f>
        <v>0025F52139</v>
      </c>
      <c r="E17091" s="1" t="s">
        <v>10</v>
      </c>
      <c r="F17091" s="1" t="str">
        <f>"10.11.11.90"</f>
        <v>10.11.11.90</v>
      </c>
      <c r="G17091" s="1" t="str">
        <f>"0025F521"</f>
        <v>0025F521</v>
      </c>
      <c r="H17091" s="1" t="str">
        <f>"광희간 29"</f>
        <v>광희간 29</v>
      </c>
      <c r="I17091" s="1" t="s">
        <v>8</v>
      </c>
      <c r="J17091" s="1" t="str">
        <f>"56/60"</f>
        <v>56/60</v>
      </c>
      <c r="K17091" s="1" t="str">
        <f t="shared" si="842"/>
        <v>2026-07-29 13:18:01</v>
      </c>
      <c r="L17091" s="1" t="str">
        <f>"2018-02-26 17:32:36"</f>
        <v>2018-02-26 17:32:36</v>
      </c>
      <c r="M17091" s="1" t="s">
        <v>2</v>
      </c>
      <c r="N17091" s="1" t="s">
        <v>38</v>
      </c>
      <c r="O17091" s="1" t="s">
        <v>46</v>
      </c>
    </row>
    <row r="17092" spans="2:15" x14ac:dyDescent="0.3">
      <c r="B17092" s="1" t="s">
        <v>13</v>
      </c>
      <c r="C17092" s="1" t="str">
        <f>"3차"</f>
        <v>3차</v>
      </c>
      <c r="D17092" s="1" t="str">
        <f>"0025F53139"</f>
        <v>0025F53139</v>
      </c>
      <c r="E17092" s="1" t="s">
        <v>10</v>
      </c>
      <c r="F17092" s="1" t="str">
        <f>"10.11.29.58"</f>
        <v>10.11.29.58</v>
      </c>
      <c r="G17092" s="1" t="str">
        <f>"0025F531"</f>
        <v>0025F531</v>
      </c>
      <c r="H17092" s="1" t="str">
        <f>"광희간 27"</f>
        <v>광희간 27</v>
      </c>
      <c r="I17092" s="1" t="s">
        <v>8</v>
      </c>
      <c r="J17092" s="1" t="str">
        <f>"24/30"</f>
        <v>24/30</v>
      </c>
      <c r="K17092" s="1" t="str">
        <f t="shared" si="842"/>
        <v>2026-07-29 13:18:01</v>
      </c>
      <c r="L17092" s="1" t="str">
        <f>"2018-02-10 11:33:11"</f>
        <v>2018-02-10 11:33:11</v>
      </c>
      <c r="M17092" s="1" t="s">
        <v>2</v>
      </c>
      <c r="N17092" s="1" t="s">
        <v>38</v>
      </c>
      <c r="O17092" s="1" t="s">
        <v>46</v>
      </c>
    </row>
    <row r="17093" spans="2:15" x14ac:dyDescent="0.3">
      <c r="B17093" s="1" t="s">
        <v>13</v>
      </c>
      <c r="C17093" s="1" t="str">
        <f>"3차"</f>
        <v>3차</v>
      </c>
      <c r="D17093" s="1" t="str">
        <f>"0025F53239"</f>
        <v>0025F53239</v>
      </c>
      <c r="E17093" s="1" t="s">
        <v>10</v>
      </c>
      <c r="F17093" s="1" t="str">
        <f>"10.11.11.50"</f>
        <v>10.11.11.50</v>
      </c>
      <c r="G17093" s="1" t="str">
        <f>"0025F532"</f>
        <v>0025F532</v>
      </c>
      <c r="H17093" s="1" t="str">
        <f>"광희간 28"</f>
        <v>광희간 28</v>
      </c>
      <c r="I17093" s="1" t="s">
        <v>8</v>
      </c>
      <c r="J17093" s="1" t="str">
        <f>"6/6"</f>
        <v>6/6</v>
      </c>
      <c r="K17093" s="1" t="str">
        <f t="shared" si="842"/>
        <v>2026-07-29 13:18:01</v>
      </c>
      <c r="L17093" s="1" t="str">
        <f>"2018-02-26 17:34:06"</f>
        <v>2018-02-26 17:34:06</v>
      </c>
      <c r="M17093" s="1" t="s">
        <v>2</v>
      </c>
      <c r="N17093" s="1" t="s">
        <v>38</v>
      </c>
      <c r="O17093" s="1" t="s">
        <v>46</v>
      </c>
    </row>
    <row r="17094" spans="2:15" x14ac:dyDescent="0.3">
      <c r="B17094" s="1" t="s">
        <v>13</v>
      </c>
      <c r="C17094" s="1" t="str">
        <f>"3차"</f>
        <v>3차</v>
      </c>
      <c r="D17094" s="1" t="str">
        <f>"0025F54439"</f>
        <v>0025F54439</v>
      </c>
      <c r="E17094" s="1" t="s">
        <v>10</v>
      </c>
      <c r="F17094" s="1" t="str">
        <f>"10.11.11.42"</f>
        <v>10.11.11.42</v>
      </c>
      <c r="G17094" s="1" t="str">
        <f>"0025F544"</f>
        <v>0025F544</v>
      </c>
      <c r="H17094" s="1" t="str">
        <f>"광희간 25"</f>
        <v>광희간 25</v>
      </c>
      <c r="I17094" s="1" t="s">
        <v>8</v>
      </c>
      <c r="J17094" s="1" t="str">
        <f>"18/18"</f>
        <v>18/18</v>
      </c>
      <c r="K17094" s="1" t="str">
        <f t="shared" si="842"/>
        <v>2026-07-29 13:18:01</v>
      </c>
      <c r="L17094" s="1" t="str">
        <f>"2018-05-17 16:09:29"</f>
        <v>2018-05-17 16:09:29</v>
      </c>
      <c r="M17094" s="1" t="s">
        <v>2</v>
      </c>
      <c r="N17094" s="1" t="s">
        <v>38</v>
      </c>
      <c r="O17094" s="1" t="s">
        <v>46</v>
      </c>
    </row>
    <row r="17095" spans="2:15" x14ac:dyDescent="0.3">
      <c r="B17095" s="1" t="s">
        <v>13</v>
      </c>
      <c r="C17095" s="1" t="str">
        <f>"4차"</f>
        <v>4차</v>
      </c>
      <c r="D17095" s="1" t="str">
        <f>"0025F55239"</f>
        <v>0025F55239</v>
      </c>
      <c r="E17095" s="1" t="s">
        <v>10</v>
      </c>
      <c r="F17095" s="1" t="str">
        <f>"10.11.29.50"</f>
        <v>10.11.29.50</v>
      </c>
      <c r="G17095" s="1" t="str">
        <f>"0025F552"</f>
        <v>0025F552</v>
      </c>
      <c r="H17095" s="1" t="str">
        <f>"광희간 24"</f>
        <v>광희간 24</v>
      </c>
      <c r="I17095" s="1" t="s">
        <v>8</v>
      </c>
      <c r="J17095" s="1" t="str">
        <f>"28/30"</f>
        <v>28/30</v>
      </c>
      <c r="K17095" s="1" t="str">
        <f t="shared" si="842"/>
        <v>2026-07-29 13:18:01</v>
      </c>
      <c r="L17095" s="1" t="str">
        <f>"2018-02-10 11:30:25"</f>
        <v>2018-02-10 11:30:25</v>
      </c>
      <c r="M17095" s="1" t="s">
        <v>2</v>
      </c>
      <c r="N17095" s="1" t="s">
        <v>38</v>
      </c>
      <c r="O17095" s="1" t="s">
        <v>46</v>
      </c>
    </row>
    <row r="17096" spans="2:15" x14ac:dyDescent="0.3">
      <c r="B17096" s="1" t="s">
        <v>13</v>
      </c>
      <c r="C17096" s="1" t="str">
        <f>"3차"</f>
        <v>3차</v>
      </c>
      <c r="D17096" s="1" t="str">
        <f>"0025F57139"</f>
        <v>0025F57139</v>
      </c>
      <c r="E17096" s="1" t="s">
        <v>10</v>
      </c>
      <c r="F17096" s="1" t="str">
        <f>"10.11.11.58"</f>
        <v>10.11.11.58</v>
      </c>
      <c r="G17096" s="1" t="str">
        <f>"0025F571"</f>
        <v>0025F571</v>
      </c>
      <c r="H17096" s="1" t="str">
        <f>"광희간 17R2"</f>
        <v>광희간 17R2</v>
      </c>
      <c r="I17096" s="1" t="s">
        <v>8</v>
      </c>
      <c r="J17096" s="1" t="str">
        <f>"12/12"</f>
        <v>12/12</v>
      </c>
      <c r="K17096" s="1" t="str">
        <f t="shared" si="842"/>
        <v>2026-07-29 13:18:01</v>
      </c>
      <c r="L17096" s="1" t="str">
        <f>"2018-02-26 17:35:36"</f>
        <v>2018-02-26 17:35:36</v>
      </c>
      <c r="M17096" s="1" t="s">
        <v>2</v>
      </c>
      <c r="N17096" s="1" t="s">
        <v>38</v>
      </c>
      <c r="O17096" s="1" t="s">
        <v>46</v>
      </c>
    </row>
    <row r="17097" spans="2:15" x14ac:dyDescent="0.3">
      <c r="B17097" s="1" t="s">
        <v>13</v>
      </c>
      <c r="C17097" s="1" t="str">
        <f>"3차"</f>
        <v>3차</v>
      </c>
      <c r="D17097" s="1" t="str">
        <f>"0025F57239"</f>
        <v>0025F57239</v>
      </c>
      <c r="E17097" s="1" t="s">
        <v>10</v>
      </c>
      <c r="F17097" s="1" t="str">
        <f>"10.11.29.82"</f>
        <v>10.11.29.82</v>
      </c>
      <c r="G17097" s="1" t="str">
        <f>"0025F572"</f>
        <v>0025F572</v>
      </c>
      <c r="H17097" s="1" t="str">
        <f>"광희간 17R1"</f>
        <v>광희간 17R1</v>
      </c>
      <c r="I17097" s="1" t="s">
        <v>8</v>
      </c>
      <c r="J17097" s="1" t="str">
        <f>"12/13"</f>
        <v>12/13</v>
      </c>
      <c r="K17097" s="1" t="str">
        <f t="shared" si="842"/>
        <v>2026-07-29 13:18:01</v>
      </c>
      <c r="L17097" s="1" t="str">
        <f>"2018-02-10 11:18:26"</f>
        <v>2018-02-10 11:18:26</v>
      </c>
      <c r="M17097" s="1" t="s">
        <v>2</v>
      </c>
      <c r="N17097" s="1" t="s">
        <v>38</v>
      </c>
      <c r="O17097" s="1" t="s">
        <v>46</v>
      </c>
    </row>
    <row r="17098" spans="2:15" x14ac:dyDescent="0.3">
      <c r="B17098" s="1" t="s">
        <v>13</v>
      </c>
      <c r="C17098" s="1" t="str">
        <f>"4차"</f>
        <v>4차</v>
      </c>
      <c r="D17098" s="1" t="str">
        <f>"0025F58139"</f>
        <v>0025F58139</v>
      </c>
      <c r="E17098" s="1" t="s">
        <v>14</v>
      </c>
      <c r="F17098" s="1" t="str">
        <f>"10.11.29.26"</f>
        <v>10.11.29.26</v>
      </c>
      <c r="G17098" s="1" t="str">
        <f>"0025F581"</f>
        <v>0025F581</v>
      </c>
      <c r="H17098" s="1" t="str">
        <f>"광희간 16"</f>
        <v>광희간 16</v>
      </c>
      <c r="I17098" s="1" t="s">
        <v>8</v>
      </c>
      <c r="J17098" s="1" t="str">
        <f>"0/0"</f>
        <v>0/0</v>
      </c>
      <c r="K17098" s="1" t="str">
        <f>"2025-10-18 13:21:00"</f>
        <v>2025-10-18 13:21:00</v>
      </c>
      <c r="L17098" s="1" t="str">
        <f>"2018-02-10 11:02:25"</f>
        <v>2018-02-10 11:02:25</v>
      </c>
      <c r="M17098" s="1" t="s">
        <v>2</v>
      </c>
      <c r="N17098" s="1" t="s">
        <v>44</v>
      </c>
      <c r="O17098" s="1" t="s">
        <v>44</v>
      </c>
    </row>
    <row r="17099" spans="2:15" x14ac:dyDescent="0.3">
      <c r="B17099" s="1" t="s">
        <v>13</v>
      </c>
      <c r="C17099" s="1" t="str">
        <f>"3차"</f>
        <v>3차</v>
      </c>
      <c r="D17099" s="1" t="str">
        <f>"0025F59139"</f>
        <v>0025F59139</v>
      </c>
      <c r="E17099" s="1" t="s">
        <v>10</v>
      </c>
      <c r="F17099" s="1" t="str">
        <f>"10.11.11.26"</f>
        <v>10.11.11.26</v>
      </c>
      <c r="G17099" s="1" t="str">
        <f>"0025F591"</f>
        <v>0025F591</v>
      </c>
      <c r="H17099" s="1" t="str">
        <f>"광희간 15"</f>
        <v>광희간 15</v>
      </c>
      <c r="I17099" s="1" t="s">
        <v>8</v>
      </c>
      <c r="J17099" s="1" t="str">
        <f>"39/51"</f>
        <v>39/51</v>
      </c>
      <c r="K17099" s="1" t="str">
        <f t="shared" ref="K17099:K17117" si="843">"2026-07-29 13:18:01"</f>
        <v>2026-07-29 13:18:01</v>
      </c>
      <c r="L17099" s="1" t="str">
        <f>"2018-05-17 13:01:52"</f>
        <v>2018-05-17 13:01:52</v>
      </c>
      <c r="M17099" s="1" t="s">
        <v>2</v>
      </c>
      <c r="N17099" s="1" t="s">
        <v>38</v>
      </c>
      <c r="O17099" s="1" t="s">
        <v>46</v>
      </c>
    </row>
    <row r="17100" spans="2:15" x14ac:dyDescent="0.3">
      <c r="B17100" s="1" t="s">
        <v>13</v>
      </c>
      <c r="C17100" s="1" t="str">
        <f>"3차"</f>
        <v>3차</v>
      </c>
      <c r="D17100" s="1" t="str">
        <f>"0025F61139"</f>
        <v>0025F61139</v>
      </c>
      <c r="E17100" s="1" t="s">
        <v>10</v>
      </c>
      <c r="F17100" s="1" t="str">
        <f>"10.11.11.154"</f>
        <v>10.11.11.154</v>
      </c>
      <c r="G17100" s="1" t="str">
        <f>"0025F611"</f>
        <v>0025F611</v>
      </c>
      <c r="H17100" s="1" t="str">
        <f>"광희간 6L16"</f>
        <v>광희간 6L16</v>
      </c>
      <c r="I17100" s="1" t="s">
        <v>8</v>
      </c>
      <c r="J17100" s="1" t="str">
        <f>"144/144"</f>
        <v>144/144</v>
      </c>
      <c r="K17100" s="1" t="str">
        <f t="shared" si="843"/>
        <v>2026-07-29 13:18:01</v>
      </c>
      <c r="L17100" s="1" t="str">
        <f>"2018-02-26 17:37:05"</f>
        <v>2018-02-26 17:37:05</v>
      </c>
      <c r="M17100" s="1" t="s">
        <v>2</v>
      </c>
      <c r="N17100" s="1" t="s">
        <v>38</v>
      </c>
      <c r="O17100" s="1" t="s">
        <v>46</v>
      </c>
    </row>
    <row r="17101" spans="2:15" x14ac:dyDescent="0.3">
      <c r="B17101" s="1" t="s">
        <v>13</v>
      </c>
      <c r="C17101" s="1" t="str">
        <f>"4차"</f>
        <v>4차</v>
      </c>
      <c r="D17101" s="1" t="str">
        <f>"0025F61239"</f>
        <v>0025F61239</v>
      </c>
      <c r="E17101" s="1" t="s">
        <v>10</v>
      </c>
      <c r="F17101" s="1" t="str">
        <f>"10.11.29.210"</f>
        <v>10.11.29.210</v>
      </c>
      <c r="G17101" s="1" t="str">
        <f>"0025F612"</f>
        <v>0025F612</v>
      </c>
      <c r="H17101" s="1" t="str">
        <f>"광희간 6L17H1"</f>
        <v>광희간 6L17H1</v>
      </c>
      <c r="I17101" s="1" t="s">
        <v>8</v>
      </c>
      <c r="J17101" s="1" t="str">
        <f>"19/22"</f>
        <v>19/22</v>
      </c>
      <c r="K17101" s="1" t="str">
        <f t="shared" si="843"/>
        <v>2026-07-29 13:18:01</v>
      </c>
      <c r="L17101" s="1" t="str">
        <f>"2018-02-10 12:02:42"</f>
        <v>2018-02-10 12:02:42</v>
      </c>
      <c r="M17101" s="1" t="s">
        <v>2</v>
      </c>
      <c r="N17101" s="1" t="s">
        <v>38</v>
      </c>
      <c r="O17101" s="1" t="s">
        <v>46</v>
      </c>
    </row>
    <row r="17102" spans="2:15" x14ac:dyDescent="0.3">
      <c r="B17102" s="1" t="s">
        <v>13</v>
      </c>
      <c r="C17102" s="1" t="str">
        <f>"4차"</f>
        <v>4차</v>
      </c>
      <c r="D17102" s="1" t="str">
        <f>"0025F62139"</f>
        <v>0025F62139</v>
      </c>
      <c r="E17102" s="1" t="s">
        <v>10</v>
      </c>
      <c r="F17102" s="1" t="str">
        <f>"10.11.29.202"</f>
        <v>10.11.29.202</v>
      </c>
      <c r="G17102" s="1" t="str">
        <f>"0025F621"</f>
        <v>0025F621</v>
      </c>
      <c r="H17102" s="1" t="str">
        <f>"광희간 6L11R2"</f>
        <v>광희간 6L11R2</v>
      </c>
      <c r="I17102" s="1" t="s">
        <v>8</v>
      </c>
      <c r="J17102" s="1" t="str">
        <f>"54/55"</f>
        <v>54/55</v>
      </c>
      <c r="K17102" s="1" t="str">
        <f t="shared" si="843"/>
        <v>2026-07-29 13:18:01</v>
      </c>
      <c r="L17102" s="1" t="str">
        <f>"2018-02-10 11:53:56"</f>
        <v>2018-02-10 11:53:56</v>
      </c>
      <c r="M17102" s="1" t="s">
        <v>2</v>
      </c>
      <c r="N17102" s="1" t="s">
        <v>38</v>
      </c>
      <c r="O17102" s="1" t="s">
        <v>46</v>
      </c>
    </row>
    <row r="17103" spans="2:15" x14ac:dyDescent="0.3">
      <c r="B17103" s="1" t="s">
        <v>13</v>
      </c>
      <c r="C17103" s="1" t="str">
        <f t="shared" ref="C17103:C17108" si="844">"3차"</f>
        <v>3차</v>
      </c>
      <c r="D17103" s="1" t="str">
        <f>"0025F62239"</f>
        <v>0025F62239</v>
      </c>
      <c r="E17103" s="1" t="str">
        <f>"검침실패(3시간 이상)"</f>
        <v>검침실패(3시간 이상)</v>
      </c>
      <c r="F17103" s="1" t="str">
        <f>"10.11.29.66"</f>
        <v>10.11.29.66</v>
      </c>
      <c r="G17103" s="1" t="str">
        <f>"0025F622"</f>
        <v>0025F622</v>
      </c>
      <c r="H17103" s="1" t="str">
        <f>"광희간 30"</f>
        <v>광희간 30</v>
      </c>
      <c r="I17103" s="1" t="s">
        <v>8</v>
      </c>
      <c r="J17103" s="1" t="str">
        <f>"0/59"</f>
        <v>0/59</v>
      </c>
      <c r="K17103" s="1" t="str">
        <f t="shared" si="843"/>
        <v>2026-07-29 13:18:01</v>
      </c>
      <c r="L17103" s="1" t="str">
        <f>"2018-02-10 11:45:11"</f>
        <v>2018-02-10 11:45:11</v>
      </c>
      <c r="M17103" s="1" t="s">
        <v>2</v>
      </c>
      <c r="N17103" s="1" t="s">
        <v>38</v>
      </c>
      <c r="O17103" s="1" t="s">
        <v>46</v>
      </c>
    </row>
    <row r="17104" spans="2:15" x14ac:dyDescent="0.3">
      <c r="B17104" s="1" t="s">
        <v>13</v>
      </c>
      <c r="C17104" s="1" t="str">
        <f t="shared" si="844"/>
        <v>3차</v>
      </c>
      <c r="D17104" s="1" t="str">
        <f>"0025F62339"</f>
        <v>0025F62339</v>
      </c>
      <c r="E17104" s="1" t="s">
        <v>10</v>
      </c>
      <c r="F17104" s="1" t="str">
        <f>"10.11.29.74"</f>
        <v>10.11.29.74</v>
      </c>
      <c r="G17104" s="1" t="str">
        <f>"0025F623"</f>
        <v>0025F623</v>
      </c>
      <c r="H17104" s="1" t="str">
        <f>"광희간 28L1"</f>
        <v>광희간 28L1</v>
      </c>
      <c r="I17104" s="1" t="s">
        <v>8</v>
      </c>
      <c r="J17104" s="1" t="str">
        <f>"72/72"</f>
        <v>72/72</v>
      </c>
      <c r="K17104" s="1" t="str">
        <f t="shared" si="843"/>
        <v>2026-07-29 13:18:01</v>
      </c>
      <c r="L17104" s="1" t="str">
        <f>"2018-02-10 12:13:56"</f>
        <v>2018-02-10 12:13:56</v>
      </c>
      <c r="M17104" s="1" t="s">
        <v>2</v>
      </c>
      <c r="N17104" s="1" t="s">
        <v>38</v>
      </c>
      <c r="O17104" s="1" t="s">
        <v>46</v>
      </c>
    </row>
    <row r="17105" spans="2:15" x14ac:dyDescent="0.3">
      <c r="B17105" s="1" t="s">
        <v>13</v>
      </c>
      <c r="C17105" s="1" t="str">
        <f t="shared" si="844"/>
        <v>3차</v>
      </c>
      <c r="D17105" s="1" t="str">
        <f>"0025F66131"</f>
        <v>0025F66131</v>
      </c>
      <c r="E17105" s="1" t="s">
        <v>10</v>
      </c>
      <c r="F17105" s="1" t="str">
        <f>"10.11.11.35"</f>
        <v>10.11.11.35</v>
      </c>
      <c r="G17105" s="1" t="str">
        <f>"0025F661"</f>
        <v>0025F661</v>
      </c>
      <c r="H17105" s="1" t="str">
        <f>"광희간 22"</f>
        <v>광희간 22</v>
      </c>
      <c r="I17105" s="1" t="s">
        <v>8</v>
      </c>
      <c r="J17105" s="1" t="str">
        <f>"51/51"</f>
        <v>51/51</v>
      </c>
      <c r="K17105" s="1" t="str">
        <f t="shared" si="843"/>
        <v>2026-07-29 13:18:01</v>
      </c>
      <c r="L17105" s="1" t="str">
        <f>"2018-03-20 18:04:13"</f>
        <v>2018-03-20 18:04:13</v>
      </c>
      <c r="M17105" s="1" t="s">
        <v>2</v>
      </c>
      <c r="N17105" s="1" t="s">
        <v>38</v>
      </c>
      <c r="O17105" s="1" t="s">
        <v>46</v>
      </c>
    </row>
    <row r="17106" spans="2:15" x14ac:dyDescent="0.3">
      <c r="B17106" s="1" t="s">
        <v>13</v>
      </c>
      <c r="C17106" s="1" t="str">
        <f t="shared" si="844"/>
        <v>3차</v>
      </c>
      <c r="D17106" s="1" t="str">
        <f>"0025F66230"</f>
        <v>0025F66230</v>
      </c>
      <c r="E17106" s="1" t="s">
        <v>10</v>
      </c>
      <c r="F17106" s="1" t="str">
        <f>"10.11.11.34"</f>
        <v>10.11.11.34</v>
      </c>
      <c r="G17106" s="1" t="str">
        <f>"0025F662"</f>
        <v>0025F662</v>
      </c>
      <c r="H17106" s="1" t="str">
        <f>"광희간 21"</f>
        <v>광희간 21</v>
      </c>
      <c r="I17106" s="1" t="s">
        <v>8</v>
      </c>
      <c r="J17106" s="1" t="str">
        <f>"34/35"</f>
        <v>34/35</v>
      </c>
      <c r="K17106" s="1" t="str">
        <f t="shared" si="843"/>
        <v>2026-07-29 13:18:01</v>
      </c>
      <c r="L17106" s="1" t="str">
        <f>"2018-01-04 15:33:27"</f>
        <v>2018-01-04 15:33:27</v>
      </c>
      <c r="M17106" s="1" t="s">
        <v>2</v>
      </c>
      <c r="N17106" s="1" t="s">
        <v>38</v>
      </c>
      <c r="O17106" s="1" t="s">
        <v>46</v>
      </c>
    </row>
    <row r="17107" spans="2:15" x14ac:dyDescent="0.3">
      <c r="B17107" s="1" t="s">
        <v>13</v>
      </c>
      <c r="C17107" s="1" t="str">
        <f t="shared" si="844"/>
        <v>3차</v>
      </c>
      <c r="D17107" s="1" t="str">
        <f>"0025F72139"</f>
        <v>0025F72139</v>
      </c>
      <c r="E17107" s="1" t="s">
        <v>10</v>
      </c>
      <c r="F17107" s="1" t="str">
        <f>"10.11.11.146"</f>
        <v>10.11.11.146</v>
      </c>
      <c r="G17107" s="1" t="str">
        <f>"0025F721"</f>
        <v>0025F721</v>
      </c>
      <c r="H17107" s="1" t="str">
        <f>"광희간 6L11R1"</f>
        <v>광희간 6L11R1</v>
      </c>
      <c r="I17107" s="1" t="s">
        <v>8</v>
      </c>
      <c r="J17107" s="1" t="str">
        <f>"25/25"</f>
        <v>25/25</v>
      </c>
      <c r="K17107" s="1" t="str">
        <f t="shared" si="843"/>
        <v>2026-07-29 13:18:01</v>
      </c>
      <c r="L17107" s="1" t="str">
        <f>"2018-02-26 17:38:20"</f>
        <v>2018-02-26 17:38:20</v>
      </c>
      <c r="M17107" s="1" t="s">
        <v>2</v>
      </c>
      <c r="N17107" s="1" t="s">
        <v>38</v>
      </c>
      <c r="O17107" s="1" t="s">
        <v>46</v>
      </c>
    </row>
    <row r="17108" spans="2:15" x14ac:dyDescent="0.3">
      <c r="B17108" s="1" t="s">
        <v>13</v>
      </c>
      <c r="C17108" s="1" t="str">
        <f t="shared" si="844"/>
        <v>3차</v>
      </c>
      <c r="D17108" s="1" t="str">
        <f>"0025F73139"</f>
        <v>0025F73139</v>
      </c>
      <c r="E17108" s="1" t="s">
        <v>10</v>
      </c>
      <c r="F17108" s="1" t="str">
        <f>"10.11.29.106"</f>
        <v>10.11.29.106</v>
      </c>
      <c r="G17108" s="1" t="str">
        <f>"0025F731"</f>
        <v>0025F731</v>
      </c>
      <c r="H17108" s="1" t="str">
        <f>"광희간 26L3"</f>
        <v>광희간 26L3</v>
      </c>
      <c r="I17108" s="1" t="s">
        <v>8</v>
      </c>
      <c r="J17108" s="1" t="str">
        <f>"30/30"</f>
        <v>30/30</v>
      </c>
      <c r="K17108" s="1" t="str">
        <f t="shared" si="843"/>
        <v>2026-07-29 13:18:01</v>
      </c>
      <c r="L17108" s="1" t="str">
        <f>"2018-02-10 12:09:26"</f>
        <v>2018-02-10 12:09:26</v>
      </c>
      <c r="M17108" s="1" t="s">
        <v>2</v>
      </c>
      <c r="N17108" s="1" t="s">
        <v>38</v>
      </c>
      <c r="O17108" s="1" t="s">
        <v>46</v>
      </c>
    </row>
    <row r="17109" spans="2:15" x14ac:dyDescent="0.3">
      <c r="B17109" s="1" t="s">
        <v>13</v>
      </c>
      <c r="C17109" s="1" t="str">
        <f>"4차"</f>
        <v>4차</v>
      </c>
      <c r="D17109" s="1" t="str">
        <f>"0025F74139"</f>
        <v>0025F74139</v>
      </c>
      <c r="E17109" s="1" t="s">
        <v>10</v>
      </c>
      <c r="F17109" s="1" t="str">
        <f>"10.11.11.82"</f>
        <v>10.11.11.82</v>
      </c>
      <c r="G17109" s="1" t="str">
        <f>"0025F741"</f>
        <v>0025F741</v>
      </c>
      <c r="H17109" s="1" t="str">
        <f>"광희간 26L2"</f>
        <v>광희간 26L2</v>
      </c>
      <c r="I17109" s="1" t="s">
        <v>8</v>
      </c>
      <c r="J17109" s="1" t="str">
        <f>"32/32"</f>
        <v>32/32</v>
      </c>
      <c r="K17109" s="1" t="str">
        <f t="shared" si="843"/>
        <v>2026-07-29 13:18:01</v>
      </c>
      <c r="L17109" s="1" t="str">
        <f>"2018-06-15 14:59:12"</f>
        <v>2018-06-15 14:59:12</v>
      </c>
      <c r="M17109" s="1" t="s">
        <v>2</v>
      </c>
      <c r="N17109" s="1" t="s">
        <v>38</v>
      </c>
      <c r="O17109" s="1" t="s">
        <v>46</v>
      </c>
    </row>
    <row r="17110" spans="2:15" x14ac:dyDescent="0.3">
      <c r="B17110" s="1" t="s">
        <v>13</v>
      </c>
      <c r="C17110" s="1" t="str">
        <f>"3차"</f>
        <v>3차</v>
      </c>
      <c r="D17110" s="1" t="str">
        <f>"0025F77139"</f>
        <v>0025F77139</v>
      </c>
      <c r="E17110" s="1" t="s">
        <v>10</v>
      </c>
      <c r="F17110" s="1" t="str">
        <f>"10.11.44.138"</f>
        <v>10.11.44.138</v>
      </c>
      <c r="G17110" s="1" t="str">
        <f>"0025F771"</f>
        <v>0025F771</v>
      </c>
      <c r="H17110" s="1" t="str">
        <f>"광희간 19"</f>
        <v>광희간 19</v>
      </c>
      <c r="I17110" s="1" t="s">
        <v>8</v>
      </c>
      <c r="J17110" s="1" t="str">
        <f>"69/69"</f>
        <v>69/69</v>
      </c>
      <c r="K17110" s="1" t="str">
        <f t="shared" si="843"/>
        <v>2026-07-29 13:18:01</v>
      </c>
      <c r="L17110" s="1" t="str">
        <f>"2018-07-26 18:46:49"</f>
        <v>2018-07-26 18:46:49</v>
      </c>
      <c r="M17110" s="1" t="s">
        <v>2</v>
      </c>
      <c r="N17110" s="1" t="s">
        <v>38</v>
      </c>
      <c r="O17110" s="1" t="s">
        <v>46</v>
      </c>
    </row>
    <row r="17111" spans="2:15" x14ac:dyDescent="0.3">
      <c r="B17111" s="1" t="s">
        <v>13</v>
      </c>
      <c r="C17111" s="1" t="str">
        <f>"4차"</f>
        <v>4차</v>
      </c>
      <c r="D17111" s="1" t="str">
        <f>"0025F77239"</f>
        <v>0025F77239</v>
      </c>
      <c r="E17111" s="1" t="s">
        <v>10</v>
      </c>
      <c r="F17111" s="1" t="str">
        <f>"10.11.11.74"</f>
        <v>10.11.11.74</v>
      </c>
      <c r="G17111" s="1" t="str">
        <f>"0025F772"</f>
        <v>0025F772</v>
      </c>
      <c r="H17111" s="1" t="str">
        <f>"광희간 19L1"</f>
        <v>광희간 19L1</v>
      </c>
      <c r="I17111" s="1" t="s">
        <v>8</v>
      </c>
      <c r="J17111" s="1" t="str">
        <f>"51/51"</f>
        <v>51/51</v>
      </c>
      <c r="K17111" s="1" t="str">
        <f t="shared" si="843"/>
        <v>2026-07-29 13:18:01</v>
      </c>
      <c r="L17111" s="1" t="str">
        <f>"2018-02-26 17:45:36"</f>
        <v>2018-02-26 17:45:36</v>
      </c>
      <c r="M17111" s="1" t="s">
        <v>2</v>
      </c>
      <c r="N17111" s="1" t="s">
        <v>38</v>
      </c>
      <c r="O17111" s="1" t="s">
        <v>46</v>
      </c>
    </row>
    <row r="17112" spans="2:15" x14ac:dyDescent="0.3">
      <c r="B17112" s="1" t="s">
        <v>13</v>
      </c>
      <c r="C17112" s="1" t="str">
        <f>"3차"</f>
        <v>3차</v>
      </c>
      <c r="D17112" s="1" t="str">
        <f>"0025F78139"</f>
        <v>0025F78139</v>
      </c>
      <c r="E17112" s="1" t="s">
        <v>10</v>
      </c>
      <c r="F17112" s="1" t="str">
        <f>"10.11.29.186"</f>
        <v>10.11.29.186</v>
      </c>
      <c r="G17112" s="1" t="str">
        <f>"0025F781"</f>
        <v>0025F781</v>
      </c>
      <c r="H17112" s="1" t="str">
        <f>"광희간 6B3"</f>
        <v>광희간 6B3</v>
      </c>
      <c r="I17112" s="1" t="s">
        <v>8</v>
      </c>
      <c r="J17112" s="1" t="str">
        <f>"20/20"</f>
        <v>20/20</v>
      </c>
      <c r="K17112" s="1" t="str">
        <f t="shared" si="843"/>
        <v>2026-07-29 13:18:01</v>
      </c>
      <c r="L17112" s="1" t="str">
        <f>"2018-02-09 14:32:26"</f>
        <v>2018-02-09 14:32:26</v>
      </c>
      <c r="M17112" s="1" t="s">
        <v>2</v>
      </c>
      <c r="N17112" s="1" t="s">
        <v>38</v>
      </c>
      <c r="O17112" s="1" t="s">
        <v>46</v>
      </c>
    </row>
    <row r="17113" spans="2:15" x14ac:dyDescent="0.3">
      <c r="B17113" s="1" t="s">
        <v>13</v>
      </c>
      <c r="C17113" s="1" t="str">
        <f>"4차"</f>
        <v>4차</v>
      </c>
      <c r="D17113" s="1" t="str">
        <f>"0025F79239"</f>
        <v>0025F79239</v>
      </c>
      <c r="E17113" s="1" t="s">
        <v>10</v>
      </c>
      <c r="F17113" s="1" t="str">
        <f>"10.11.11.130"</f>
        <v>10.11.11.130</v>
      </c>
      <c r="G17113" s="1" t="str">
        <f>"0025F792"</f>
        <v>0025F792</v>
      </c>
      <c r="H17113" s="1" t="str">
        <f>"광희간 6B2"</f>
        <v>광희간 6B2</v>
      </c>
      <c r="I17113" s="1" t="s">
        <v>8</v>
      </c>
      <c r="J17113" s="1" t="str">
        <f>"93/93"</f>
        <v>93/93</v>
      </c>
      <c r="K17113" s="1" t="str">
        <f t="shared" si="843"/>
        <v>2026-07-29 13:18:01</v>
      </c>
      <c r="L17113" s="1" t="str">
        <f>"2018-02-26 17:42:21"</f>
        <v>2018-02-26 17:42:21</v>
      </c>
      <c r="M17113" s="1" t="s">
        <v>2</v>
      </c>
      <c r="N17113" s="1" t="s">
        <v>38</v>
      </c>
      <c r="O17113" s="1" t="s">
        <v>46</v>
      </c>
    </row>
    <row r="17114" spans="2:15" x14ac:dyDescent="0.3">
      <c r="B17114" s="1" t="s">
        <v>13</v>
      </c>
      <c r="C17114" s="1" t="str">
        <f>"4차"</f>
        <v>4차</v>
      </c>
      <c r="D17114" s="1" t="str">
        <f>"0025F80239"</f>
        <v>0025F80239</v>
      </c>
      <c r="E17114" s="1" t="s">
        <v>10</v>
      </c>
      <c r="F17114" s="1" t="str">
        <f>"10.11.25.18"</f>
        <v>10.11.25.18</v>
      </c>
      <c r="G17114" s="1" t="str">
        <f>"0025F802"</f>
        <v>0025F802</v>
      </c>
      <c r="H17114" s="1" t="str">
        <f>"광희간 6L14L1H1"</f>
        <v>광희간 6L14L1H1</v>
      </c>
      <c r="I17114" s="1" t="s">
        <v>8</v>
      </c>
      <c r="J17114" s="1" t="str">
        <f>"43/48"</f>
        <v>43/48</v>
      </c>
      <c r="K17114" s="1" t="str">
        <f t="shared" si="843"/>
        <v>2026-07-29 13:18:01</v>
      </c>
      <c r="L17114" s="1" t="str">
        <f>"2017-12-09 13:34:44"</f>
        <v>2017-12-09 13:34:44</v>
      </c>
      <c r="M17114" s="1" t="s">
        <v>2</v>
      </c>
      <c r="N17114" s="1" t="s">
        <v>38</v>
      </c>
      <c r="O17114" s="1" t="s">
        <v>46</v>
      </c>
    </row>
    <row r="17115" spans="2:15" x14ac:dyDescent="0.3">
      <c r="B17115" s="1" t="s">
        <v>13</v>
      </c>
      <c r="C17115" s="1" t="str">
        <f>"3차"</f>
        <v>3차</v>
      </c>
      <c r="D17115" s="1" t="str">
        <f>"0025F82139"</f>
        <v>0025F82139</v>
      </c>
      <c r="E17115" s="1" t="s">
        <v>10</v>
      </c>
      <c r="F17115" s="1" t="str">
        <f>"10.11.29.194"</f>
        <v>10.11.29.194</v>
      </c>
      <c r="G17115" s="1" t="str">
        <f>"0025F821"</f>
        <v>0025F821</v>
      </c>
      <c r="H17115" s="1" t="str">
        <f>"광희간 6L12"</f>
        <v>광희간 6L12</v>
      </c>
      <c r="I17115" s="1" t="s">
        <v>8</v>
      </c>
      <c r="J17115" s="1" t="str">
        <f>"27/27"</f>
        <v>27/27</v>
      </c>
      <c r="K17115" s="1" t="str">
        <f t="shared" si="843"/>
        <v>2026-07-29 13:18:01</v>
      </c>
      <c r="L17115" s="1" t="str">
        <f>"2018-02-10 11:57:25"</f>
        <v>2018-02-10 11:57:25</v>
      </c>
      <c r="M17115" s="1" t="s">
        <v>2</v>
      </c>
      <c r="N17115" s="1" t="s">
        <v>38</v>
      </c>
      <c r="O17115" s="1" t="s">
        <v>46</v>
      </c>
    </row>
    <row r="17116" spans="2:15" x14ac:dyDescent="0.3">
      <c r="B17116" s="1" t="s">
        <v>13</v>
      </c>
      <c r="C17116" s="1" t="str">
        <f>"4차"</f>
        <v>4차</v>
      </c>
      <c r="D17116" s="1" t="str">
        <f>"0025F82244"</f>
        <v>0025F82244</v>
      </c>
      <c r="E17116" s="1" t="s">
        <v>10</v>
      </c>
      <c r="F17116" s="1" t="str">
        <f>"10.10.9.218"</f>
        <v>10.10.9.218</v>
      </c>
      <c r="G17116" s="1" t="str">
        <f>"0025F822"</f>
        <v>0025F822</v>
      </c>
      <c r="H17116" s="1" t="str">
        <f>"광희간 6L13"</f>
        <v>광희간 6L13</v>
      </c>
      <c r="I17116" s="1" t="s">
        <v>8</v>
      </c>
      <c r="J17116" s="1" t="str">
        <f>"18/18"</f>
        <v>18/18</v>
      </c>
      <c r="K17116" s="1" t="str">
        <f t="shared" si="843"/>
        <v>2026-07-29 13:18:01</v>
      </c>
      <c r="L17116" s="1" t="str">
        <f>"2019-12-11 18:25:02"</f>
        <v>2019-12-11 18:25:02</v>
      </c>
      <c r="M17116" s="1" t="s">
        <v>1</v>
      </c>
      <c r="N17116" s="1" t="s">
        <v>38</v>
      </c>
      <c r="O17116" s="1" t="s">
        <v>46</v>
      </c>
    </row>
    <row r="17117" spans="2:15" x14ac:dyDescent="0.3">
      <c r="B17117" s="1" t="s">
        <v>13</v>
      </c>
      <c r="C17117" s="1" t="str">
        <f>"4차"</f>
        <v>4차</v>
      </c>
      <c r="D17117" s="1" t="str">
        <f>"0025F83239"</f>
        <v>0025F83239</v>
      </c>
      <c r="E17117" s="1" t="s">
        <v>10</v>
      </c>
      <c r="F17117" s="1" t="str">
        <f>"10.11.11.138"</f>
        <v>10.11.11.138</v>
      </c>
      <c r="G17117" s="1" t="str">
        <f>"0025F832"</f>
        <v>0025F832</v>
      </c>
      <c r="H17117" s="1" t="str">
        <f>"광희간 6L11"</f>
        <v>광희간 6L11</v>
      </c>
      <c r="I17117" s="1" t="s">
        <v>8</v>
      </c>
      <c r="J17117" s="1" t="str">
        <f>"38/38"</f>
        <v>38/38</v>
      </c>
      <c r="K17117" s="1" t="str">
        <f t="shared" si="843"/>
        <v>2026-07-29 13:18:01</v>
      </c>
      <c r="L17117" s="1" t="str">
        <f>"2018-02-26 17:43:36"</f>
        <v>2018-02-26 17:43:36</v>
      </c>
      <c r="M17117" s="1" t="s">
        <v>2</v>
      </c>
      <c r="N17117" s="1" t="s">
        <v>38</v>
      </c>
      <c r="O17117" s="1" t="s">
        <v>46</v>
      </c>
    </row>
    <row r="17118" spans="2:15" x14ac:dyDescent="0.3">
      <c r="B17118" s="1" t="s">
        <v>13</v>
      </c>
      <c r="C17118" s="1" t="str">
        <f>"4차"</f>
        <v>4차</v>
      </c>
      <c r="D17118" s="1" t="str">
        <f>"0025F84239"</f>
        <v>0025F84239</v>
      </c>
      <c r="E17118" s="1" t="s">
        <v>10</v>
      </c>
      <c r="F17118" s="1" t="str">
        <f>"10.11.29.250"</f>
        <v>10.11.29.250</v>
      </c>
      <c r="G17118" s="1" t="str">
        <f>"0025F842"</f>
        <v>0025F842</v>
      </c>
      <c r="H17118" s="1" t="str">
        <f>"광희간 6L9H1R1"</f>
        <v>광희간 6L9H1R1</v>
      </c>
      <c r="I17118" s="1" t="s">
        <v>8</v>
      </c>
      <c r="J17118" s="1" t="str">
        <f>"53/54"</f>
        <v>53/54</v>
      </c>
      <c r="K17118" s="1" t="str">
        <f>"2026-07-29 13:18:00"</f>
        <v>2026-07-29 13:18:00</v>
      </c>
      <c r="L17118" s="1" t="str">
        <f>"2018-02-09 15:18:42"</f>
        <v>2018-02-09 15:18:42</v>
      </c>
      <c r="M17118" s="1" t="s">
        <v>2</v>
      </c>
      <c r="N17118" s="1" t="s">
        <v>38</v>
      </c>
      <c r="O17118" s="1" t="s">
        <v>46</v>
      </c>
    </row>
    <row r="17119" spans="2:15" x14ac:dyDescent="0.3">
      <c r="B17119" s="1" t="s">
        <v>13</v>
      </c>
      <c r="C17119" s="1" t="str">
        <f>"3차"</f>
        <v>3차</v>
      </c>
      <c r="D17119" s="1" t="str">
        <f>"0025F84339"</f>
        <v>0025F84339</v>
      </c>
      <c r="E17119" s="1" t="s">
        <v>10</v>
      </c>
      <c r="F17119" s="1" t="str">
        <f>"10.11.11.186"</f>
        <v>10.11.11.186</v>
      </c>
      <c r="G17119" s="1" t="str">
        <f>"0025F843"</f>
        <v>0025F843</v>
      </c>
      <c r="H17119" s="1" t="str">
        <f>"광희간 6L9"</f>
        <v>광희간 6L9</v>
      </c>
      <c r="I17119" s="1" t="s">
        <v>8</v>
      </c>
      <c r="J17119" s="1" t="str">
        <f>"9/10"</f>
        <v>9/10</v>
      </c>
      <c r="K17119" s="1" t="str">
        <f>"2026-07-29 13:18:01"</f>
        <v>2026-07-29 13:18:01</v>
      </c>
      <c r="L17119" s="1" t="str">
        <f>"2018-02-26 17:44:37"</f>
        <v>2018-02-26 17:44:37</v>
      </c>
      <c r="M17119" s="1" t="s">
        <v>2</v>
      </c>
      <c r="N17119" s="1" t="s">
        <v>38</v>
      </c>
      <c r="O17119" s="1" t="s">
        <v>46</v>
      </c>
    </row>
    <row r="17120" spans="2:15" x14ac:dyDescent="0.3">
      <c r="B17120" s="1" t="s">
        <v>13</v>
      </c>
      <c r="C17120" s="1" t="str">
        <f>"4차"</f>
        <v>4차</v>
      </c>
      <c r="D17120" s="1" t="str">
        <f>"0025F88130"</f>
        <v>0025F88130</v>
      </c>
      <c r="E17120" s="1" t="s">
        <v>10</v>
      </c>
      <c r="F17120" s="1" t="str">
        <f>"10.11.11.162"</f>
        <v>10.11.11.162</v>
      </c>
      <c r="G17120" s="1" t="str">
        <f>"0025F881"</f>
        <v>0025F881</v>
      </c>
      <c r="H17120" s="1" t="str">
        <f>"광희간 6L2"</f>
        <v>광희간 6L2</v>
      </c>
      <c r="I17120" s="1" t="s">
        <v>8</v>
      </c>
      <c r="J17120" s="1" t="str">
        <f>"18/19"</f>
        <v>18/19</v>
      </c>
      <c r="K17120" s="1" t="str">
        <f>"2026-07-29 13:18:01"</f>
        <v>2026-07-29 13:18:01</v>
      </c>
      <c r="L17120" s="1" t="str">
        <f>"2018-01-04 15:14:29"</f>
        <v>2018-01-04 15:14:29</v>
      </c>
      <c r="M17120" s="1" t="s">
        <v>2</v>
      </c>
      <c r="N17120" s="1" t="s">
        <v>38</v>
      </c>
      <c r="O17120" s="1" t="s">
        <v>46</v>
      </c>
    </row>
    <row r="17121" spans="2:15" x14ac:dyDescent="0.3">
      <c r="B17121" s="1" t="s">
        <v>13</v>
      </c>
      <c r="C17121" s="1" t="str">
        <f>"4차"</f>
        <v>4차</v>
      </c>
      <c r="D17121" s="1" t="str">
        <f>"0025F92239"</f>
        <v>0025F92239</v>
      </c>
      <c r="E17121" s="1" t="s">
        <v>10</v>
      </c>
      <c r="F17121" s="1" t="str">
        <f>"10.11.29.162"</f>
        <v>10.11.29.162</v>
      </c>
      <c r="G17121" s="1" t="str">
        <f>"0025F922"</f>
        <v>0025F922</v>
      </c>
      <c r="H17121" s="1" t="str">
        <f>"광희간 2L8"</f>
        <v>광희간 2L8</v>
      </c>
      <c r="I17121" s="1" t="s">
        <v>8</v>
      </c>
      <c r="J17121" s="1" t="str">
        <f>"20/20"</f>
        <v>20/20</v>
      </c>
      <c r="K17121" s="1" t="str">
        <f>"2026-07-29 13:18:01"</f>
        <v>2026-07-29 13:18:01</v>
      </c>
      <c r="L17121" s="1" t="str">
        <f>"2018-02-09 12:39:11"</f>
        <v>2018-02-09 12:39:11</v>
      </c>
      <c r="M17121" s="1" t="s">
        <v>2</v>
      </c>
      <c r="N17121" s="1" t="s">
        <v>38</v>
      </c>
      <c r="O17121" s="1" t="s">
        <v>46</v>
      </c>
    </row>
    <row r="17122" spans="2:15" x14ac:dyDescent="0.3">
      <c r="B17122" s="1" t="s">
        <v>13</v>
      </c>
      <c r="C17122" s="1" t="str">
        <f>"3차"</f>
        <v>3차</v>
      </c>
      <c r="D17122" s="1" t="str">
        <f>"0025F93139"</f>
        <v>0025F93139</v>
      </c>
      <c r="E17122" s="1" t="s">
        <v>10</v>
      </c>
      <c r="F17122" s="1" t="str">
        <f>"10.11.29.154"</f>
        <v>10.11.29.154</v>
      </c>
      <c r="G17122" s="1" t="str">
        <f>"0025F931"</f>
        <v>0025F931</v>
      </c>
      <c r="H17122" s="1" t="str">
        <f>"광희간 2L6"</f>
        <v>광희간 2L6</v>
      </c>
      <c r="I17122" s="1" t="s">
        <v>8</v>
      </c>
      <c r="J17122" s="1" t="str">
        <f>"9/9"</f>
        <v>9/9</v>
      </c>
      <c r="K17122" s="1" t="str">
        <f>"2026-07-29 13:18:00"</f>
        <v>2026-07-29 13:18:00</v>
      </c>
      <c r="L17122" s="1" t="str">
        <f>"2018-02-09 13:59:26"</f>
        <v>2018-02-09 13:59:26</v>
      </c>
      <c r="M17122" s="1" t="s">
        <v>2</v>
      </c>
      <c r="N17122" s="1" t="s">
        <v>38</v>
      </c>
      <c r="O17122" s="1" t="s">
        <v>46</v>
      </c>
    </row>
    <row r="17123" spans="2:15" x14ac:dyDescent="0.3">
      <c r="B17123" s="1" t="s">
        <v>13</v>
      </c>
      <c r="C17123" s="1" t="str">
        <f>"3차"</f>
        <v>3차</v>
      </c>
      <c r="D17123" s="1" t="str">
        <f>"0025F93239"</f>
        <v>0025F93239</v>
      </c>
      <c r="E17123" s="1" t="s">
        <v>10</v>
      </c>
      <c r="F17123" s="1" t="str">
        <f>"10.11.11.114"</f>
        <v>10.11.11.114</v>
      </c>
      <c r="G17123" s="1" t="str">
        <f>"0025F932"</f>
        <v>0025F932</v>
      </c>
      <c r="H17123" s="1" t="str">
        <f>"광희간 2L7"</f>
        <v>광희간 2L7</v>
      </c>
      <c r="I17123" s="1" t="s">
        <v>8</v>
      </c>
      <c r="J17123" s="1" t="str">
        <f>"10/10"</f>
        <v>10/10</v>
      </c>
      <c r="K17123" s="1" t="str">
        <f>"2026-07-29 13:18:00"</f>
        <v>2026-07-29 13:18:00</v>
      </c>
      <c r="L17123" s="1" t="str">
        <f>"2018-02-26 17:45:50"</f>
        <v>2018-02-26 17:45:50</v>
      </c>
      <c r="M17123" s="1" t="s">
        <v>2</v>
      </c>
      <c r="N17123" s="1" t="s">
        <v>38</v>
      </c>
      <c r="O17123" s="1" t="s">
        <v>46</v>
      </c>
    </row>
    <row r="17124" spans="2:15" x14ac:dyDescent="0.3">
      <c r="B17124" s="1" t="s">
        <v>13</v>
      </c>
      <c r="C17124" s="1" t="str">
        <f>"3차"</f>
        <v>3차</v>
      </c>
      <c r="D17124" s="1" t="str">
        <f>"0025F94239"</f>
        <v>0025F94239</v>
      </c>
      <c r="E17124" s="1" t="s">
        <v>10</v>
      </c>
      <c r="F17124" s="1" t="str">
        <f>"10.11.29.146"</f>
        <v>10.11.29.146</v>
      </c>
      <c r="G17124" s="1" t="str">
        <f>"0025F942"</f>
        <v>0025F942</v>
      </c>
      <c r="H17124" s="1" t="str">
        <f>"광희간 2L5"</f>
        <v>광희간 2L5</v>
      </c>
      <c r="I17124" s="1" t="s">
        <v>8</v>
      </c>
      <c r="J17124" s="1" t="str">
        <f>"15/23"</f>
        <v>15/23</v>
      </c>
      <c r="K17124" s="1" t="str">
        <f>"2026-07-29 13:18:01"</f>
        <v>2026-07-29 13:18:01</v>
      </c>
      <c r="L17124" s="1" t="str">
        <f>"2018-02-09 12:31:11"</f>
        <v>2018-02-09 12:31:11</v>
      </c>
      <c r="M17124" s="1" t="s">
        <v>2</v>
      </c>
      <c r="N17124" s="1" t="s">
        <v>38</v>
      </c>
      <c r="O17124" s="1" t="s">
        <v>46</v>
      </c>
    </row>
    <row r="17125" spans="2:15" x14ac:dyDescent="0.3">
      <c r="B17125" s="1" t="s">
        <v>13</v>
      </c>
      <c r="C17125" s="1" t="str">
        <f>"3차"</f>
        <v>3차</v>
      </c>
      <c r="D17125" s="1" t="str">
        <f>"0025F97239"</f>
        <v>0025F97239</v>
      </c>
      <c r="E17125" s="1" t="s">
        <v>10</v>
      </c>
      <c r="F17125" s="1" t="str">
        <f>"10.11.29.218"</f>
        <v>10.11.29.218</v>
      </c>
      <c r="G17125" s="1" t="str">
        <f>"0025F972"</f>
        <v>0025F972</v>
      </c>
      <c r="H17125" s="1" t="str">
        <f>"광희간 6L5"</f>
        <v>광희간 6L5</v>
      </c>
      <c r="I17125" s="1" t="s">
        <v>8</v>
      </c>
      <c r="J17125" s="1" t="str">
        <f>"8/8"</f>
        <v>8/8</v>
      </c>
      <c r="K17125" s="1" t="str">
        <f>"2026-07-29 13:18:01"</f>
        <v>2026-07-29 13:18:01</v>
      </c>
      <c r="L17125" s="1" t="str">
        <f>"2018-02-09 14:50:11"</f>
        <v>2018-02-09 14:50:11</v>
      </c>
      <c r="M17125" s="1" t="s">
        <v>2</v>
      </c>
      <c r="N17125" s="1" t="s">
        <v>38</v>
      </c>
      <c r="O17125" s="1" t="s">
        <v>46</v>
      </c>
    </row>
    <row r="17126" spans="2:15" x14ac:dyDescent="0.3">
      <c r="B17126" s="1" t="s">
        <v>13</v>
      </c>
      <c r="C17126" s="1" t="str">
        <f>"4차"</f>
        <v>4차</v>
      </c>
      <c r="D17126" s="1" t="str">
        <f>"0025F97439"</f>
        <v>0025F97439</v>
      </c>
      <c r="E17126" s="1" t="s">
        <v>10</v>
      </c>
      <c r="F17126" s="1" t="str">
        <f>"10.11.11.170"</f>
        <v>10.11.11.170</v>
      </c>
      <c r="G17126" s="1" t="str">
        <f>"0025F974"</f>
        <v>0025F974</v>
      </c>
      <c r="H17126" s="1" t="str">
        <f>"광희간 6L5L1"</f>
        <v>광희간 6L5L1</v>
      </c>
      <c r="I17126" s="1" t="s">
        <v>8</v>
      </c>
      <c r="J17126" s="1" t="str">
        <f>"14/15"</f>
        <v>14/15</v>
      </c>
      <c r="K17126" s="1" t="str">
        <f>"2026-07-29 13:18:01"</f>
        <v>2026-07-29 13:18:01</v>
      </c>
      <c r="L17126" s="1" t="str">
        <f>"2018-02-26 17:47:51"</f>
        <v>2018-02-26 17:47:51</v>
      </c>
      <c r="M17126" s="1" t="s">
        <v>2</v>
      </c>
      <c r="N17126" s="1" t="s">
        <v>38</v>
      </c>
      <c r="O17126" s="1" t="s">
        <v>46</v>
      </c>
    </row>
    <row r="17127" spans="2:15" x14ac:dyDescent="0.3">
      <c r="B17127" s="1" t="s">
        <v>13</v>
      </c>
      <c r="C17127" s="1" t="str">
        <f>"4차"</f>
        <v>4차</v>
      </c>
      <c r="D17127" s="1" t="str">
        <f>"0025F98131"</f>
        <v>0025F98131</v>
      </c>
      <c r="E17127" s="1" t="s">
        <v>10</v>
      </c>
      <c r="F17127" s="1" t="str">
        <f>"10.11.11.163"</f>
        <v>10.11.11.163</v>
      </c>
      <c r="G17127" s="1" t="str">
        <f>"0025F981"</f>
        <v>0025F981</v>
      </c>
      <c r="H17127" s="1" t="str">
        <f>"광희간 6L3"</f>
        <v>광희간 6L3</v>
      </c>
      <c r="I17127" s="1" t="s">
        <v>8</v>
      </c>
      <c r="J17127" s="1" t="str">
        <f>"29/29"</f>
        <v>29/29</v>
      </c>
      <c r="K17127" s="1" t="str">
        <f>"2026-07-29 13:18:00"</f>
        <v>2026-07-29 13:18:00</v>
      </c>
      <c r="L17127" s="1" t="str">
        <f>"2018-01-04 15:10:12"</f>
        <v>2018-01-04 15:10:12</v>
      </c>
      <c r="M17127" s="1" t="s">
        <v>2</v>
      </c>
      <c r="N17127" s="1" t="s">
        <v>38</v>
      </c>
      <c r="O17127" s="1" t="s">
        <v>46</v>
      </c>
    </row>
    <row r="17128" spans="2:15" x14ac:dyDescent="0.3">
      <c r="B17128" s="1" t="s">
        <v>13</v>
      </c>
      <c r="C17128" s="1" t="str">
        <f>"4차"</f>
        <v>4차</v>
      </c>
      <c r="D17128" s="1" t="str">
        <f>"0025F98339"</f>
        <v>0025F98339</v>
      </c>
      <c r="E17128" s="1" t="s">
        <v>10</v>
      </c>
      <c r="F17128" s="1" t="str">
        <f>"10.11.29.226"</f>
        <v>10.11.29.226</v>
      </c>
      <c r="G17128" s="1" t="str">
        <f>"0025F983"</f>
        <v>0025F983</v>
      </c>
      <c r="H17128" s="1" t="str">
        <f>"광희간 6L5L2"</f>
        <v>광희간 6L5L2</v>
      </c>
      <c r="I17128" s="1" t="s">
        <v>8</v>
      </c>
      <c r="J17128" s="1" t="str">
        <f>"19/22"</f>
        <v>19/22</v>
      </c>
      <c r="K17128" s="1" t="str">
        <f>"2026-07-29 13:18:00"</f>
        <v>2026-07-29 13:18:00</v>
      </c>
      <c r="L17128" s="1" t="str">
        <f>"2018-02-09 15:02:27"</f>
        <v>2018-02-09 15:02:27</v>
      </c>
      <c r="M17128" s="1" t="s">
        <v>2</v>
      </c>
      <c r="N17128" s="1" t="s">
        <v>38</v>
      </c>
      <c r="O17128" s="1" t="s">
        <v>46</v>
      </c>
    </row>
    <row r="17129" spans="2:15" x14ac:dyDescent="0.3">
      <c r="B17129" s="1" t="s">
        <v>13</v>
      </c>
      <c r="C17129" s="1" t="str">
        <f>"2차"</f>
        <v>2차</v>
      </c>
      <c r="D17129" s="1" t="str">
        <f>"0025G70122"</f>
        <v>0025G70122</v>
      </c>
      <c r="E17129" s="1" t="s">
        <v>10</v>
      </c>
      <c r="F17129" s="1" t="str">
        <f>"10.11.2.244"</f>
        <v>10.11.2.244</v>
      </c>
      <c r="G17129" s="1" t="str">
        <f>"0025G701"</f>
        <v>0025G701</v>
      </c>
      <c r="H17129" s="1" t="str">
        <f>"성곽길 T7L4"</f>
        <v>성곽길 T7L4</v>
      </c>
      <c r="I17129" s="1" t="s">
        <v>8</v>
      </c>
      <c r="J17129" s="1" t="str">
        <f>"7/7"</f>
        <v>7/7</v>
      </c>
      <c r="K17129" s="1" t="str">
        <f>"2026-07-29 13:18:00"</f>
        <v>2026-07-29 13:18:00</v>
      </c>
      <c r="L17129" s="1" t="str">
        <f>"2017-07-21 13:46:55"</f>
        <v>2017-07-21 13:46:55</v>
      </c>
      <c r="M17129" s="1" t="s">
        <v>2</v>
      </c>
      <c r="N17129" s="1" t="s">
        <v>38</v>
      </c>
      <c r="O17129" s="1" t="s">
        <v>46</v>
      </c>
    </row>
    <row r="17130" spans="2:15" x14ac:dyDescent="0.3">
      <c r="B17130" s="1" t="s">
        <v>13</v>
      </c>
      <c r="C17130" s="1" t="str">
        <f>"4차"</f>
        <v>4차</v>
      </c>
      <c r="D17130" s="1" t="str">
        <f>"0025G70229"</f>
        <v>0025G70229</v>
      </c>
      <c r="E17130" s="1" t="s">
        <v>10</v>
      </c>
      <c r="F17130" s="1" t="str">
        <f>"10.11.2.250"</f>
        <v>10.11.2.250</v>
      </c>
      <c r="G17130" s="1" t="str">
        <f>"0025G702"</f>
        <v>0025G702</v>
      </c>
      <c r="H17130" s="1" t="str">
        <f>"성곽길 T7L4L1"</f>
        <v>성곽길 T7L4L1</v>
      </c>
      <c r="I17130" s="1" t="s">
        <v>8</v>
      </c>
      <c r="J17130" s="1" t="str">
        <f>"45/58"</f>
        <v>45/58</v>
      </c>
      <c r="K17130" s="1" t="str">
        <f>"2026-07-29 13:18:01"</f>
        <v>2026-07-29 13:18:01</v>
      </c>
      <c r="L17130" s="1" t="str">
        <f>"2017-06-22 15:46:56"</f>
        <v>2017-06-22 15:46:56</v>
      </c>
      <c r="M17130" s="1" t="s">
        <v>2</v>
      </c>
      <c r="N17130" s="1" t="s">
        <v>38</v>
      </c>
      <c r="O17130" s="1" t="s">
        <v>46</v>
      </c>
    </row>
    <row r="17131" spans="2:15" x14ac:dyDescent="0.3">
      <c r="B17131" s="1" t="s">
        <v>13</v>
      </c>
      <c r="C17131" s="1" t="str">
        <f>"2차"</f>
        <v>2차</v>
      </c>
      <c r="D17131" s="1" t="str">
        <f>"0025G72129"</f>
        <v>0025G72129</v>
      </c>
      <c r="E17131" s="1" t="s">
        <v>10</v>
      </c>
      <c r="F17131" s="1" t="str">
        <f>"10.11.2.194"</f>
        <v>10.11.2.194</v>
      </c>
      <c r="G17131" s="1" t="str">
        <f>"0025G721"</f>
        <v>0025G721</v>
      </c>
      <c r="H17131" s="1" t="str">
        <f>"성곽길 4L7"</f>
        <v>성곽길 4L7</v>
      </c>
      <c r="I17131" s="1" t="s">
        <v>8</v>
      </c>
      <c r="J17131" s="1" t="str">
        <f>"29/29"</f>
        <v>29/29</v>
      </c>
      <c r="K17131" s="1" t="str">
        <f>"2026-07-29 13:18:00"</f>
        <v>2026-07-29 13:18:00</v>
      </c>
      <c r="L17131" s="1" t="str">
        <f>"2017-06-22 15:40:26"</f>
        <v>2017-06-22 15:40:26</v>
      </c>
      <c r="M17131" s="1" t="s">
        <v>2</v>
      </c>
      <c r="N17131" s="1" t="s">
        <v>38</v>
      </c>
      <c r="O17131" s="1" t="s">
        <v>46</v>
      </c>
    </row>
    <row r="17132" spans="2:15" x14ac:dyDescent="0.3">
      <c r="B17132" s="1" t="s">
        <v>13</v>
      </c>
      <c r="C17132" s="1" t="str">
        <f>"5-1차"</f>
        <v>5-1차</v>
      </c>
      <c r="D17132" s="1" t="str">
        <f>"0025G8415M"</f>
        <v>0025G8415M</v>
      </c>
      <c r="E17132" s="1" t="s">
        <v>10</v>
      </c>
      <c r="F17132" s="1" t="str">
        <f>"fde3:102:1305:4200:0:0:0:2"</f>
        <v>fde3:102:1305:4200:0:0:0:2</v>
      </c>
      <c r="G17132" s="1" t="str">
        <f>"0025G841"</f>
        <v>0025G841</v>
      </c>
      <c r="H17132" s="1" t="str">
        <f>"성곽길 4L1"</f>
        <v>성곽길 4L1</v>
      </c>
      <c r="I17132" s="1" t="s">
        <v>15</v>
      </c>
      <c r="J17132" s="1" t="str">
        <f>"53/53"</f>
        <v>53/53</v>
      </c>
      <c r="K17132" s="1" t="str">
        <f>"2026-07-29 14:20:05"</f>
        <v>2026-07-29 14:20:05</v>
      </c>
      <c r="L17132" s="1" t="str">
        <f>"2022-11-24 14:28:38"</f>
        <v>2022-11-24 14:28:38</v>
      </c>
      <c r="M17132" s="1" t="s">
        <v>45</v>
      </c>
      <c r="N17132" s="1" t="s">
        <v>38</v>
      </c>
      <c r="O17132" s="1" t="s">
        <v>46</v>
      </c>
    </row>
    <row r="17133" spans="2:15" x14ac:dyDescent="0.3">
      <c r="B17133" s="1" t="s">
        <v>13</v>
      </c>
      <c r="C17133" s="1" t="str">
        <f>"2차"</f>
        <v>2차</v>
      </c>
      <c r="D17133" s="1" t="str">
        <f>"0025G90229"</f>
        <v>0025G90229</v>
      </c>
      <c r="E17133" s="1" t="s">
        <v>10</v>
      </c>
      <c r="F17133" s="1" t="str">
        <f>"10.11.3.10"</f>
        <v>10.11.3.10</v>
      </c>
      <c r="G17133" s="1" t="str">
        <f>"0025G902"</f>
        <v>0025G902</v>
      </c>
      <c r="H17133" s="1" t="str">
        <f>"성곽길 T7L8L4"</f>
        <v>성곽길 T7L8L4</v>
      </c>
      <c r="I17133" s="1" t="s">
        <v>8</v>
      </c>
      <c r="J17133" s="1" t="str">
        <f>"9/9"</f>
        <v>9/9</v>
      </c>
      <c r="K17133" s="1" t="str">
        <f t="shared" ref="K17133:K17139" si="845">"2026-07-29 13:18:00"</f>
        <v>2026-07-29 13:18:00</v>
      </c>
      <c r="L17133" s="1" t="str">
        <f>"2017-06-22 15:56:41"</f>
        <v>2017-06-22 15:56:41</v>
      </c>
      <c r="M17133" s="1" t="s">
        <v>2</v>
      </c>
      <c r="N17133" s="1" t="s">
        <v>38</v>
      </c>
      <c r="O17133" s="1" t="s">
        <v>46</v>
      </c>
    </row>
    <row r="17134" spans="2:15" x14ac:dyDescent="0.3">
      <c r="B17134" s="1" t="s">
        <v>13</v>
      </c>
      <c r="C17134" s="1" t="str">
        <f>"2차"</f>
        <v>2차</v>
      </c>
      <c r="D17134" s="1" t="str">
        <f>"0025H03129"</f>
        <v>0025H03129</v>
      </c>
      <c r="E17134" s="1" t="s">
        <v>10</v>
      </c>
      <c r="F17134" s="1" t="str">
        <f>"10.11.9.138"</f>
        <v>10.11.9.138</v>
      </c>
      <c r="G17134" s="1" t="str">
        <f>"0025H031"</f>
        <v>0025H031</v>
      </c>
      <c r="H17134" s="1" t="str">
        <f>"약수지 1L18"</f>
        <v>약수지 1L18</v>
      </c>
      <c r="I17134" s="1" t="s">
        <v>8</v>
      </c>
      <c r="J17134" s="1" t="str">
        <f>"9/9"</f>
        <v>9/9</v>
      </c>
      <c r="K17134" s="1" t="str">
        <f t="shared" si="845"/>
        <v>2026-07-29 13:18:00</v>
      </c>
      <c r="L17134" s="1" t="str">
        <f>"2017-06-22 10:13:53"</f>
        <v>2017-06-22 10:13:53</v>
      </c>
      <c r="M17134" s="1" t="s">
        <v>2</v>
      </c>
      <c r="N17134" s="1" t="s">
        <v>38</v>
      </c>
      <c r="O17134" s="1" t="s">
        <v>46</v>
      </c>
    </row>
    <row r="17135" spans="2:15" x14ac:dyDescent="0.3">
      <c r="B17135" s="1" t="s">
        <v>13</v>
      </c>
      <c r="C17135" s="1" t="str">
        <f>"2차"</f>
        <v>2차</v>
      </c>
      <c r="D17135" s="1" t="str">
        <f>"0025H04229"</f>
        <v>0025H04229</v>
      </c>
      <c r="E17135" s="1" t="s">
        <v>10</v>
      </c>
      <c r="F17135" s="1" t="str">
        <f>"10.11.4.98"</f>
        <v>10.11.4.98</v>
      </c>
      <c r="G17135" s="1" t="str">
        <f>"0025H042"</f>
        <v>0025H042</v>
      </c>
      <c r="H17135" s="1" t="str">
        <f>"약수지 1L18R1"</f>
        <v>약수지 1L18R1</v>
      </c>
      <c r="I17135" s="1" t="s">
        <v>8</v>
      </c>
      <c r="J17135" s="1" t="str">
        <f>"18/19"</f>
        <v>18/19</v>
      </c>
      <c r="K17135" s="1" t="str">
        <f t="shared" si="845"/>
        <v>2026-07-29 13:18:00</v>
      </c>
      <c r="L17135" s="1" t="str">
        <f>"2021-07-27 13:36:52"</f>
        <v>2021-07-27 13:36:52</v>
      </c>
      <c r="M17135" s="1" t="s">
        <v>2</v>
      </c>
      <c r="N17135" s="1" t="s">
        <v>38</v>
      </c>
      <c r="O17135" s="1" t="s">
        <v>46</v>
      </c>
    </row>
    <row r="17136" spans="2:15" x14ac:dyDescent="0.3">
      <c r="B17136" s="1" t="s">
        <v>13</v>
      </c>
      <c r="C17136" s="1" t="str">
        <f>"2차"</f>
        <v>2차</v>
      </c>
      <c r="D17136" s="1" t="str">
        <f>"0025H13329"</f>
        <v>0025H13329</v>
      </c>
      <c r="E17136" s="1" t="s">
        <v>10</v>
      </c>
      <c r="F17136" s="1" t="str">
        <f>"10.11.4.82"</f>
        <v>10.11.4.82</v>
      </c>
      <c r="G17136" s="1" t="str">
        <f>"0025H133"</f>
        <v>0025H133</v>
      </c>
      <c r="H17136" s="1" t="str">
        <f>"약수지 1L17H1"</f>
        <v>약수지 1L17H1</v>
      </c>
      <c r="I17136" s="1" t="s">
        <v>8</v>
      </c>
      <c r="J17136" s="1" t="str">
        <f>"13/13"</f>
        <v>13/13</v>
      </c>
      <c r="K17136" s="1" t="str">
        <f t="shared" si="845"/>
        <v>2026-07-29 13:18:00</v>
      </c>
      <c r="L17136" s="1" t="str">
        <f>"2017-06-22 17:12:57"</f>
        <v>2017-06-22 17:12:57</v>
      </c>
      <c r="M17136" s="1" t="s">
        <v>2</v>
      </c>
      <c r="N17136" s="1" t="s">
        <v>38</v>
      </c>
      <c r="O17136" s="1" t="s">
        <v>46</v>
      </c>
    </row>
    <row r="17137" spans="2:15" x14ac:dyDescent="0.3">
      <c r="B17137" s="1" t="s">
        <v>13</v>
      </c>
      <c r="C17137" s="1" t="str">
        <f>"2차"</f>
        <v>2차</v>
      </c>
      <c r="D17137" s="1" t="str">
        <f>"0025H16120"</f>
        <v>0025H16120</v>
      </c>
      <c r="E17137" s="1" t="s">
        <v>10</v>
      </c>
      <c r="F17137" s="1" t="str">
        <f>"10.11.4.122"</f>
        <v>10.11.4.122</v>
      </c>
      <c r="G17137" s="1" t="str">
        <f>"0025H161"</f>
        <v>0025H161</v>
      </c>
      <c r="H17137" s="1" t="str">
        <f>"약수지 1L8R4"</f>
        <v>약수지 1L8R4</v>
      </c>
      <c r="I17137" s="1" t="s">
        <v>8</v>
      </c>
      <c r="J17137" s="1" t="str">
        <f>"47/47"</f>
        <v>47/47</v>
      </c>
      <c r="K17137" s="1" t="str">
        <f t="shared" si="845"/>
        <v>2026-07-29 13:18:00</v>
      </c>
      <c r="L17137" s="1" t="str">
        <f>"2017-06-21 17:41:03"</f>
        <v>2017-06-21 17:41:03</v>
      </c>
      <c r="M17137" s="1" t="s">
        <v>2</v>
      </c>
      <c r="N17137" s="1" t="s">
        <v>38</v>
      </c>
      <c r="O17137" s="1" t="s">
        <v>46</v>
      </c>
    </row>
    <row r="17138" spans="2:15" x14ac:dyDescent="0.3">
      <c r="B17138" s="1" t="s">
        <v>13</v>
      </c>
      <c r="C17138" s="1" t="str">
        <f>"4차"</f>
        <v>4차</v>
      </c>
      <c r="D17138" s="1" t="str">
        <f>"0025H21122"</f>
        <v>0025H21122</v>
      </c>
      <c r="E17138" s="1" t="s">
        <v>10</v>
      </c>
      <c r="F17138" s="1" t="str">
        <f>"10.11.4.148"</f>
        <v>10.11.4.148</v>
      </c>
      <c r="G17138" s="1" t="str">
        <f>"0025H211"</f>
        <v>0025H211</v>
      </c>
      <c r="H17138" s="1" t="str">
        <f>"약수지 6R4"</f>
        <v>약수지 6R4</v>
      </c>
      <c r="I17138" s="1" t="s">
        <v>8</v>
      </c>
      <c r="J17138" s="1" t="str">
        <f>"14/14"</f>
        <v>14/14</v>
      </c>
      <c r="K17138" s="1" t="str">
        <f t="shared" si="845"/>
        <v>2026-07-29 13:18:00</v>
      </c>
      <c r="L17138" s="1" t="str">
        <f>"2017-06-26 15:07:12"</f>
        <v>2017-06-26 15:07:12</v>
      </c>
      <c r="M17138" s="1" t="s">
        <v>2</v>
      </c>
      <c r="N17138" s="1" t="s">
        <v>38</v>
      </c>
      <c r="O17138" s="1" t="s">
        <v>46</v>
      </c>
    </row>
    <row r="17139" spans="2:15" x14ac:dyDescent="0.3">
      <c r="B17139" s="1" t="s">
        <v>13</v>
      </c>
      <c r="C17139" s="1" t="str">
        <f>"2차"</f>
        <v>2차</v>
      </c>
      <c r="D17139" s="1" t="str">
        <f>"0025H23129"</f>
        <v>0025H23129</v>
      </c>
      <c r="E17139" s="1" t="s">
        <v>10</v>
      </c>
      <c r="F17139" s="1" t="str">
        <f>"10.11.4.74"</f>
        <v>10.11.4.74</v>
      </c>
      <c r="G17139" s="1" t="str">
        <f>"0025H231"</f>
        <v>0025H231</v>
      </c>
      <c r="H17139" s="1" t="str">
        <f>"약수지 1L15"</f>
        <v>약수지 1L15</v>
      </c>
      <c r="I17139" s="1" t="s">
        <v>8</v>
      </c>
      <c r="J17139" s="1" t="str">
        <f>"23/23"</f>
        <v>23/23</v>
      </c>
      <c r="K17139" s="1" t="str">
        <f t="shared" si="845"/>
        <v>2026-07-29 13:18:00</v>
      </c>
      <c r="L17139" s="1" t="str">
        <f>"2017-06-22 16:51:30"</f>
        <v>2017-06-22 16:51:30</v>
      </c>
      <c r="M17139" s="1" t="s">
        <v>2</v>
      </c>
      <c r="N17139" s="1" t="s">
        <v>38</v>
      </c>
      <c r="O17139" s="1" t="s">
        <v>46</v>
      </c>
    </row>
    <row r="17140" spans="2:15" x14ac:dyDescent="0.3">
      <c r="B17140" s="1" t="s">
        <v>13</v>
      </c>
      <c r="C17140" s="1" t="str">
        <f>"2차"</f>
        <v>2차</v>
      </c>
      <c r="D17140" s="1" t="str">
        <f>"0025H24221"</f>
        <v>0025H24221</v>
      </c>
      <c r="E17140" s="1" t="s">
        <v>10</v>
      </c>
      <c r="F17140" s="1" t="str">
        <f>"10.12.134.242"</f>
        <v>10.12.134.242</v>
      </c>
      <c r="G17140" s="1" t="str">
        <f>"0025H242"</f>
        <v>0025H242</v>
      </c>
      <c r="H17140" s="1" t="str">
        <f>"약수지 1L17H1R2"</f>
        <v>약수지 1L17H1R2</v>
      </c>
      <c r="I17140" s="1" t="s">
        <v>8</v>
      </c>
      <c r="J17140" s="1" t="str">
        <f>"2/2"</f>
        <v>2/2</v>
      </c>
      <c r="K17140" s="1" t="str">
        <f>"2026-07-29 13:18:01"</f>
        <v>2026-07-29 13:18:01</v>
      </c>
      <c r="L17140" s="1" t="str">
        <f>"2017-06-24 13:58:07"</f>
        <v>2017-06-24 13:58:07</v>
      </c>
      <c r="M17140" s="1" t="s">
        <v>0</v>
      </c>
      <c r="N17140" s="1" t="s">
        <v>38</v>
      </c>
      <c r="O17140" s="1" t="s">
        <v>46</v>
      </c>
    </row>
    <row r="17141" spans="2:15" x14ac:dyDescent="0.3">
      <c r="B17141" s="1" t="s">
        <v>13</v>
      </c>
      <c r="C17141" s="1" t="str">
        <f>"4차"</f>
        <v>4차</v>
      </c>
      <c r="D17141" s="1" t="str">
        <f>"0025H25322"</f>
        <v>0025H25322</v>
      </c>
      <c r="E17141" s="1" t="s">
        <v>10</v>
      </c>
      <c r="F17141" s="1" t="str">
        <f>"10.12.132.223"</f>
        <v>10.12.132.223</v>
      </c>
      <c r="G17141" s="1" t="str">
        <f>"0025H253"</f>
        <v>0025H253</v>
      </c>
      <c r="H17141" s="1" t="str">
        <f>"약수지 1L17H1R5"</f>
        <v>약수지 1L17H1R5</v>
      </c>
      <c r="I17141" s="1" t="s">
        <v>8</v>
      </c>
      <c r="J17141" s="1" t="str">
        <f>"27/36"</f>
        <v>27/36</v>
      </c>
      <c r="K17141" s="1" t="str">
        <f>"2026-07-29 13:18:01"</f>
        <v>2026-07-29 13:18:01</v>
      </c>
      <c r="L17141" s="1" t="str">
        <f>"2017-06-24 14:10:39"</f>
        <v>2017-06-24 14:10:39</v>
      </c>
      <c r="M17141" s="1" t="s">
        <v>0</v>
      </c>
      <c r="N17141" s="1" t="s">
        <v>38</v>
      </c>
      <c r="O17141" s="1" t="s">
        <v>46</v>
      </c>
    </row>
    <row r="17142" spans="2:15" x14ac:dyDescent="0.3">
      <c r="B17142" s="1" t="s">
        <v>13</v>
      </c>
      <c r="C17142" s="1" t="str">
        <f>"2차"</f>
        <v>2차</v>
      </c>
      <c r="D17142" s="1" t="str">
        <f>"0025H27121"</f>
        <v>0025H27121</v>
      </c>
      <c r="E17142" s="1" t="s">
        <v>10</v>
      </c>
      <c r="F17142" s="1" t="str">
        <f>"10.11.4.123"</f>
        <v>10.11.4.123</v>
      </c>
      <c r="G17142" s="1" t="str">
        <f>"0025H271"</f>
        <v>0025H271</v>
      </c>
      <c r="H17142" s="1" t="str">
        <f>"약수지 1L8R2"</f>
        <v>약수지 1L8R2</v>
      </c>
      <c r="I17142" s="1" t="s">
        <v>8</v>
      </c>
      <c r="J17142" s="1" t="str">
        <f>"24/25"</f>
        <v>24/25</v>
      </c>
      <c r="K17142" s="1" t="str">
        <f>"2026-07-29 13:18:01"</f>
        <v>2026-07-29 13:18:01</v>
      </c>
      <c r="L17142" s="1" t="str">
        <f>"2017-06-24 16:52:24"</f>
        <v>2017-06-24 16:52:24</v>
      </c>
      <c r="M17142" s="1" t="s">
        <v>2</v>
      </c>
      <c r="N17142" s="1" t="s">
        <v>38</v>
      </c>
      <c r="O17142" s="1" t="s">
        <v>46</v>
      </c>
    </row>
    <row r="17143" spans="2:15" x14ac:dyDescent="0.3">
      <c r="B17143" s="1" t="s">
        <v>13</v>
      </c>
      <c r="C17143" s="1" t="str">
        <f>"4차"</f>
        <v>4차</v>
      </c>
      <c r="D17143" s="1" t="str">
        <f>"0025H30242"</f>
        <v>0025H30242</v>
      </c>
      <c r="E17143" s="1" t="s">
        <v>10</v>
      </c>
      <c r="F17143" s="1" t="str">
        <f>"10.12.132.121"</f>
        <v>10.12.132.121</v>
      </c>
      <c r="G17143" s="1" t="str">
        <f>"0025H302"</f>
        <v>0025H302</v>
      </c>
      <c r="H17143" s="1" t="str">
        <f>"약수지 8"</f>
        <v>약수지 8</v>
      </c>
      <c r="I17143" s="1" t="s">
        <v>8</v>
      </c>
      <c r="J17143" s="1" t="str">
        <f>"73/74"</f>
        <v>73/74</v>
      </c>
      <c r="K17143" s="1" t="str">
        <f>"2026-07-29 13:18:01"</f>
        <v>2026-07-29 13:18:01</v>
      </c>
      <c r="L17143" s="1" t="str">
        <f>"2024-12-24 13:59:48"</f>
        <v>2024-12-24 13:59:48</v>
      </c>
      <c r="M17143" s="1" t="s">
        <v>0</v>
      </c>
      <c r="N17143" s="1" t="s">
        <v>38</v>
      </c>
      <c r="O17143" s="1" t="s">
        <v>46</v>
      </c>
    </row>
    <row r="17144" spans="2:15" x14ac:dyDescent="0.3">
      <c r="B17144" s="1" t="s">
        <v>13</v>
      </c>
      <c r="C17144" s="1" t="str">
        <f>"2차"</f>
        <v>2차</v>
      </c>
      <c r="D17144" s="1" t="str">
        <f>"0025H31220"</f>
        <v>0025H31220</v>
      </c>
      <c r="E17144" s="1" t="s">
        <v>10</v>
      </c>
      <c r="F17144" s="1" t="str">
        <f>"10.11.4.154"</f>
        <v>10.11.4.154</v>
      </c>
      <c r="G17144" s="1" t="str">
        <f>"0025H312"</f>
        <v>0025H312</v>
      </c>
      <c r="H17144" s="1" t="str">
        <f>"약수지 7"</f>
        <v>약수지 7</v>
      </c>
      <c r="I17144" s="1" t="s">
        <v>8</v>
      </c>
      <c r="J17144" s="1" t="str">
        <f>"14/14"</f>
        <v>14/14</v>
      </c>
      <c r="K17144" s="1" t="str">
        <f>"2026-07-29 13:18:00"</f>
        <v>2026-07-29 13:18:00</v>
      </c>
      <c r="L17144" s="1" t="str">
        <f>"2017-06-22 10:49:11"</f>
        <v>2017-06-22 10:49:11</v>
      </c>
      <c r="M17144" s="1" t="s">
        <v>2</v>
      </c>
      <c r="N17144" s="1" t="s">
        <v>38</v>
      </c>
      <c r="O17144" s="1" t="s">
        <v>46</v>
      </c>
    </row>
    <row r="17145" spans="2:15" x14ac:dyDescent="0.3">
      <c r="B17145" s="1" t="s">
        <v>13</v>
      </c>
      <c r="C17145" s="1" t="str">
        <f>"2차"</f>
        <v>2차</v>
      </c>
      <c r="D17145" s="1" t="str">
        <f>"0025H31320"</f>
        <v>0025H31320</v>
      </c>
      <c r="E17145" s="1" t="s">
        <v>10</v>
      </c>
      <c r="F17145" s="1" t="str">
        <f>"10.11.4.146"</f>
        <v>10.11.4.146</v>
      </c>
      <c r="G17145" s="1" t="str">
        <f>"0025H313"</f>
        <v>0025H313</v>
      </c>
      <c r="H17145" s="1" t="str">
        <f>"약수지 6R2"</f>
        <v>약수지 6R2</v>
      </c>
      <c r="I17145" s="1" t="s">
        <v>8</v>
      </c>
      <c r="J17145" s="1" t="str">
        <f>"16/16"</f>
        <v>16/16</v>
      </c>
      <c r="K17145" s="1" t="str">
        <f>"2026-07-29 13:18:00"</f>
        <v>2026-07-29 13:18:00</v>
      </c>
      <c r="L17145" s="1" t="str">
        <f>"2017-06-22 11:01:54"</f>
        <v>2017-06-22 11:01:54</v>
      </c>
      <c r="M17145" s="1" t="s">
        <v>2</v>
      </c>
      <c r="N17145" s="1" t="s">
        <v>38</v>
      </c>
      <c r="O17145" s="1" t="s">
        <v>46</v>
      </c>
    </row>
    <row r="17146" spans="2:15" x14ac:dyDescent="0.3">
      <c r="B17146" s="1" t="s">
        <v>13</v>
      </c>
      <c r="C17146" s="1" t="str">
        <f>"2차"</f>
        <v>2차</v>
      </c>
      <c r="D17146" s="1" t="str">
        <f>"0025H32121"</f>
        <v>0025H32121</v>
      </c>
      <c r="E17146" s="1" t="s">
        <v>10</v>
      </c>
      <c r="F17146" s="1" t="str">
        <f>"10.11.4.147"</f>
        <v>10.11.4.147</v>
      </c>
      <c r="G17146" s="1" t="str">
        <f>"0025H321"</f>
        <v>0025H321</v>
      </c>
      <c r="H17146" s="1" t="str">
        <f>"약수지 6R1"</f>
        <v>약수지 6R1</v>
      </c>
      <c r="I17146" s="1" t="s">
        <v>8</v>
      </c>
      <c r="J17146" s="1" t="str">
        <f>"24/25"</f>
        <v>24/25</v>
      </c>
      <c r="K17146" s="1" t="str">
        <f>"2026-07-29 13:18:00"</f>
        <v>2026-07-29 13:18:00</v>
      </c>
      <c r="L17146" s="1" t="str">
        <f>"2017-06-26 15:08:42"</f>
        <v>2017-06-26 15:08:42</v>
      </c>
      <c r="M17146" s="1" t="s">
        <v>2</v>
      </c>
      <c r="N17146" s="1" t="s">
        <v>38</v>
      </c>
      <c r="O17146" s="1" t="s">
        <v>46</v>
      </c>
    </row>
    <row r="17147" spans="2:15" x14ac:dyDescent="0.3">
      <c r="B17147" s="1" t="s">
        <v>13</v>
      </c>
      <c r="C17147" s="1" t="str">
        <f>"4차"</f>
        <v>4차</v>
      </c>
      <c r="D17147" s="1" t="str">
        <f>"0025H35545"</f>
        <v>0025H35545</v>
      </c>
      <c r="E17147" s="1" t="s">
        <v>10</v>
      </c>
      <c r="F17147" s="1" t="str">
        <f>"10.14.9.67"</f>
        <v>10.14.9.67</v>
      </c>
      <c r="G17147" s="1" t="str">
        <f>"0025H355"</f>
        <v>0025H355</v>
      </c>
      <c r="H17147" s="1" t="str">
        <f>"동호로 3-3"</f>
        <v>동호로 3-3</v>
      </c>
      <c r="I17147" s="1" t="s">
        <v>17</v>
      </c>
      <c r="J17147" s="1" t="str">
        <f>"3/3"</f>
        <v>3/3</v>
      </c>
      <c r="K17147" s="1" t="str">
        <f>"2026-07-29 13:18:01"</f>
        <v>2026-07-29 13:18:01</v>
      </c>
      <c r="L17147" s="1" t="str">
        <f>"2021-06-21 11:30:46"</f>
        <v>2021-06-21 11:30:46</v>
      </c>
      <c r="M17147" s="1" t="s">
        <v>3</v>
      </c>
      <c r="N17147" s="1" t="s">
        <v>38</v>
      </c>
      <c r="O17147" s="1" t="s">
        <v>46</v>
      </c>
    </row>
    <row r="17148" spans="2:15" x14ac:dyDescent="0.3">
      <c r="B17148" s="1" t="s">
        <v>13</v>
      </c>
      <c r="C17148" s="1" t="str">
        <f>"4차"</f>
        <v>4차</v>
      </c>
      <c r="D17148" s="1" t="str">
        <f>"0025H35645"</f>
        <v>0025H35645</v>
      </c>
      <c r="E17148" s="1" t="s">
        <v>10</v>
      </c>
      <c r="F17148" s="1" t="str">
        <f>"10.14.5.65"</f>
        <v>10.14.5.65</v>
      </c>
      <c r="G17148" s="1" t="str">
        <f>"0025H356"</f>
        <v>0025H356</v>
      </c>
      <c r="H17148" s="1" t="str">
        <f>"동호로 3-2"</f>
        <v>동호로 3-2</v>
      </c>
      <c r="I17148" s="1" t="s">
        <v>17</v>
      </c>
      <c r="J17148" s="1" t="str">
        <f>"21/21"</f>
        <v>21/21</v>
      </c>
      <c r="K17148" s="1" t="str">
        <f>"2026-07-29 13:18:01"</f>
        <v>2026-07-29 13:18:01</v>
      </c>
      <c r="L17148" s="1" t="str">
        <f>"2021-06-29 11:49:51"</f>
        <v>2021-06-29 11:49:51</v>
      </c>
      <c r="M17148" s="1" t="s">
        <v>3</v>
      </c>
      <c r="N17148" s="1" t="s">
        <v>38</v>
      </c>
      <c r="O17148" s="1" t="s">
        <v>46</v>
      </c>
    </row>
    <row r="17149" spans="2:15" x14ac:dyDescent="0.3">
      <c r="B17149" s="1" t="s">
        <v>13</v>
      </c>
      <c r="C17149" s="1" t="str">
        <f>"2차"</f>
        <v>2차</v>
      </c>
      <c r="D17149" s="1" t="str">
        <f>"0025H38121"</f>
        <v>0025H38121</v>
      </c>
      <c r="E17149" s="1" t="s">
        <v>10</v>
      </c>
      <c r="F17149" s="1" t="str">
        <f>"10.12.136.166"</f>
        <v>10.12.136.166</v>
      </c>
      <c r="G17149" s="1" t="str">
        <f>"0025H381"</f>
        <v>0025H381</v>
      </c>
      <c r="H17149" s="1" t="str">
        <f>"약수지 1L6R2"</f>
        <v>약수지 1L6R2</v>
      </c>
      <c r="I17149" s="1" t="s">
        <v>8</v>
      </c>
      <c r="J17149" s="1" t="str">
        <f>"12/12"</f>
        <v>12/12</v>
      </c>
      <c r="K17149" s="1" t="str">
        <f>"2026-07-29 13:18:01"</f>
        <v>2026-07-29 13:18:01</v>
      </c>
      <c r="L17149" s="1" t="str">
        <f>"2017-06-24 15:16:08"</f>
        <v>2017-06-24 15:16:08</v>
      </c>
      <c r="M17149" s="1" t="s">
        <v>0</v>
      </c>
      <c r="N17149" s="1" t="s">
        <v>38</v>
      </c>
      <c r="O17149" s="1" t="s">
        <v>46</v>
      </c>
    </row>
    <row r="17150" spans="2:15" x14ac:dyDescent="0.3">
      <c r="B17150" s="1" t="s">
        <v>13</v>
      </c>
      <c r="C17150" s="1" t="str">
        <f>"4차"</f>
        <v>4차</v>
      </c>
      <c r="D17150" s="1" t="str">
        <f>"0025H40144"</f>
        <v>0025H40144</v>
      </c>
      <c r="E17150" s="1" t="s">
        <v>10</v>
      </c>
      <c r="F17150" s="1" t="str">
        <f>"10.10.127.66"</f>
        <v>10.10.127.66</v>
      </c>
      <c r="G17150" s="1" t="str">
        <f>"0025H401"</f>
        <v>0025H401</v>
      </c>
      <c r="H17150" s="1" t="str">
        <f>"충현지 23R2"</f>
        <v>충현지 23R2</v>
      </c>
      <c r="I17150" s="1" t="s">
        <v>8</v>
      </c>
      <c r="J17150" s="1" t="str">
        <f>"24/28"</f>
        <v>24/28</v>
      </c>
      <c r="K17150" s="1" t="str">
        <f>"2026-07-29 13:18:01"</f>
        <v>2026-07-29 13:18:01</v>
      </c>
      <c r="L17150" s="1" t="str">
        <f>"2020-02-10 18:38:53"</f>
        <v>2020-02-10 18:38:53</v>
      </c>
      <c r="M17150" s="1" t="s">
        <v>1</v>
      </c>
      <c r="N17150" s="1" t="s">
        <v>38</v>
      </c>
      <c r="O17150" s="1" t="s">
        <v>46</v>
      </c>
    </row>
    <row r="17151" spans="2:15" x14ac:dyDescent="0.3">
      <c r="B17151" s="1" t="s">
        <v>13</v>
      </c>
      <c r="C17151" s="1" t="str">
        <f>"4차"</f>
        <v>4차</v>
      </c>
      <c r="D17151" s="1" t="str">
        <f>"0025H41345"</f>
        <v>0025H41345</v>
      </c>
      <c r="E17151" s="1" t="s">
        <v>10</v>
      </c>
      <c r="F17151" s="1" t="str">
        <f>"10.14.2.35"</f>
        <v>10.14.2.35</v>
      </c>
      <c r="G17151" s="1" t="str">
        <f>"0025H413"</f>
        <v>0025H413</v>
      </c>
      <c r="H17151" s="1" t="str">
        <f>"다산로 L25"</f>
        <v>다산로 L25</v>
      </c>
      <c r="I17151" s="1" t="s">
        <v>17</v>
      </c>
      <c r="J17151" s="1" t="str">
        <f>"6/6"</f>
        <v>6/6</v>
      </c>
      <c r="K17151" s="1" t="str">
        <f>"2026-07-29 13:18:02"</f>
        <v>2026-07-29 13:18:02</v>
      </c>
      <c r="L17151" s="1" t="str">
        <f>"2021-06-21 12:39:21"</f>
        <v>2021-06-21 12:39:21</v>
      </c>
      <c r="M17151" s="1" t="s">
        <v>3</v>
      </c>
      <c r="N17151" s="1" t="s">
        <v>38</v>
      </c>
      <c r="O17151" s="1" t="s">
        <v>46</v>
      </c>
    </row>
    <row r="17152" spans="2:15" x14ac:dyDescent="0.3">
      <c r="B17152" s="1" t="s">
        <v>13</v>
      </c>
      <c r="C17152" s="1" t="str">
        <f>"2차"</f>
        <v>2차</v>
      </c>
      <c r="D17152" s="1" t="str">
        <f>"0025H47320"</f>
        <v>0025H47320</v>
      </c>
      <c r="E17152" s="1" t="s">
        <v>10</v>
      </c>
      <c r="F17152" s="1" t="str">
        <f>"10.11.4.106"</f>
        <v>10.11.4.106</v>
      </c>
      <c r="G17152" s="1" t="str">
        <f>"0025H473"</f>
        <v>0025H473</v>
      </c>
      <c r="H17152" s="1" t="str">
        <f>"약수지 1L4"</f>
        <v>약수지 1L4</v>
      </c>
      <c r="I17152" s="1" t="s">
        <v>8</v>
      </c>
      <c r="J17152" s="1" t="str">
        <f>"7/7"</f>
        <v>7/7</v>
      </c>
      <c r="K17152" s="1" t="str">
        <f>"2026-07-29 13:18:00"</f>
        <v>2026-07-29 13:18:00</v>
      </c>
      <c r="L17152" s="1" t="str">
        <f>"2017-06-21 17:41:02"</f>
        <v>2017-06-21 17:41:02</v>
      </c>
      <c r="M17152" s="1" t="s">
        <v>2</v>
      </c>
      <c r="N17152" s="1" t="s">
        <v>38</v>
      </c>
      <c r="O17152" s="1" t="s">
        <v>46</v>
      </c>
    </row>
    <row r="17153" spans="2:15" x14ac:dyDescent="0.3">
      <c r="B17153" s="1" t="s">
        <v>13</v>
      </c>
      <c r="C17153" s="1" t="str">
        <f>"6차"</f>
        <v>6차</v>
      </c>
      <c r="D17153" s="1" t="str">
        <f>"0025H5616S"</f>
        <v>0025H5616S</v>
      </c>
      <c r="E17153" s="1" t="s">
        <v>10</v>
      </c>
      <c r="F17153" s="1" t="str">
        <f>"fde1:103:4:c61d:0:0:0:2"</f>
        <v>fde1:103:4:c61d:0:0:0:2</v>
      </c>
      <c r="G17153" s="1" t="str">
        <f>"0025H561"</f>
        <v>0025H561</v>
      </c>
      <c r="H17153" s="1" t="str">
        <f>"약수지 1L2"</f>
        <v>약수지 1L2</v>
      </c>
      <c r="I17153" s="1" t="s">
        <v>15</v>
      </c>
      <c r="J17153" s="1" t="str">
        <f>"27/29"</f>
        <v>27/29</v>
      </c>
      <c r="K17153" s="1" t="str">
        <f>"2026-07-29 14:20:00"</f>
        <v>2026-07-29 14:20:00</v>
      </c>
      <c r="L17153" s="1" t="str">
        <f>"2024-11-19 11:29:30"</f>
        <v>2024-11-19 11:29:30</v>
      </c>
      <c r="M17153" s="1" t="s">
        <v>4</v>
      </c>
      <c r="N17153" s="1" t="s">
        <v>38</v>
      </c>
      <c r="O17153" s="1" t="s">
        <v>46</v>
      </c>
    </row>
    <row r="17154" spans="2:15" x14ac:dyDescent="0.3">
      <c r="B17154" s="1" t="s">
        <v>13</v>
      </c>
      <c r="C17154" s="1" t="str">
        <f>"4차"</f>
        <v>4차</v>
      </c>
      <c r="D17154" s="1" t="str">
        <f>"0025H59241"</f>
        <v>0025H59241</v>
      </c>
      <c r="E17154" s="1" t="s">
        <v>10</v>
      </c>
      <c r="F17154" s="1" t="str">
        <f>"10.14.11.120"</f>
        <v>10.14.11.120</v>
      </c>
      <c r="G17154" s="1" t="str">
        <f>"0025H592"</f>
        <v>0025H592</v>
      </c>
      <c r="H17154" s="1" t="str">
        <f>"보광간 133R3"</f>
        <v>보광간 133R3</v>
      </c>
      <c r="I17154" s="1" t="s">
        <v>17</v>
      </c>
      <c r="J17154" s="1" t="str">
        <f>"69/76"</f>
        <v>69/76</v>
      </c>
      <c r="K17154" s="1" t="str">
        <f>"2026-07-29 13:18:02"</f>
        <v>2026-07-29 13:18:02</v>
      </c>
      <c r="L17154" s="1" t="str">
        <f>"2022-01-05 12:26:29"</f>
        <v>2022-01-05 12:26:29</v>
      </c>
      <c r="M17154" s="1" t="s">
        <v>3</v>
      </c>
      <c r="N17154" s="1" t="s">
        <v>38</v>
      </c>
      <c r="O17154" s="1" t="s">
        <v>46</v>
      </c>
    </row>
    <row r="17155" spans="2:15" x14ac:dyDescent="0.3">
      <c r="B17155" s="1" t="s">
        <v>13</v>
      </c>
      <c r="C17155" s="1" t="str">
        <f>"4차"</f>
        <v>4차</v>
      </c>
      <c r="D17155" s="1" t="str">
        <f>"0025H60144"</f>
        <v>0025H60144</v>
      </c>
      <c r="E17155" s="1" t="s">
        <v>10</v>
      </c>
      <c r="F17155" s="1" t="str">
        <f>"10.10.127.98"</f>
        <v>10.10.127.98</v>
      </c>
      <c r="G17155" s="1" t="str">
        <f>"0025H601"</f>
        <v>0025H601</v>
      </c>
      <c r="H17155" s="1" t="str">
        <f>"충현지 26R1"</f>
        <v>충현지 26R1</v>
      </c>
      <c r="I17155" s="1" t="s">
        <v>8</v>
      </c>
      <c r="J17155" s="1" t="str">
        <f>"76/77"</f>
        <v>76/77</v>
      </c>
      <c r="K17155" s="1" t="str">
        <f>"2026-07-29 13:18:01"</f>
        <v>2026-07-29 13:18:01</v>
      </c>
      <c r="L17155" s="1" t="str">
        <f>"2019-12-11 18:36:30"</f>
        <v>2019-12-11 18:36:30</v>
      </c>
      <c r="M17155" s="1" t="s">
        <v>1</v>
      </c>
      <c r="N17155" s="1" t="s">
        <v>38</v>
      </c>
      <c r="O17155" s="1" t="s">
        <v>46</v>
      </c>
    </row>
    <row r="17156" spans="2:15" x14ac:dyDescent="0.3">
      <c r="B17156" s="1" t="s">
        <v>13</v>
      </c>
      <c r="C17156" s="1" t="str">
        <f>"4차"</f>
        <v>4차</v>
      </c>
      <c r="D17156" s="1" t="str">
        <f>"0025H61144"</f>
        <v>0025H61144</v>
      </c>
      <c r="E17156" s="1" t="s">
        <v>10</v>
      </c>
      <c r="F17156" s="1" t="str">
        <f>"10.10.127.74"</f>
        <v>10.10.127.74</v>
      </c>
      <c r="G17156" s="1" t="str">
        <f>"0025H611"</f>
        <v>0025H611</v>
      </c>
      <c r="H17156" s="1" t="str">
        <f>"충현지 24"</f>
        <v>충현지 24</v>
      </c>
      <c r="I17156" s="1" t="s">
        <v>8</v>
      </c>
      <c r="J17156" s="1" t="str">
        <f>"9/10"</f>
        <v>9/10</v>
      </c>
      <c r="K17156" s="1" t="str">
        <f>"2026-07-29 13:18:01"</f>
        <v>2026-07-29 13:18:01</v>
      </c>
      <c r="L17156" s="1" t="str">
        <f>"2019-12-11 18:26:24"</f>
        <v>2019-12-11 18:26:24</v>
      </c>
      <c r="M17156" s="1" t="s">
        <v>1</v>
      </c>
      <c r="N17156" s="1" t="s">
        <v>38</v>
      </c>
      <c r="O17156" s="1" t="s">
        <v>46</v>
      </c>
    </row>
    <row r="17157" spans="2:15" x14ac:dyDescent="0.3">
      <c r="B17157" s="1" t="s">
        <v>13</v>
      </c>
      <c r="C17157" s="1" t="str">
        <f>"4차"</f>
        <v>4차</v>
      </c>
      <c r="D17157" s="1" t="str">
        <f>"0025H69244"</f>
        <v>0025H69244</v>
      </c>
      <c r="E17157" s="1" t="s">
        <v>10</v>
      </c>
      <c r="F17157" s="1" t="str">
        <f>"10.10.123.178"</f>
        <v>10.10.123.178</v>
      </c>
      <c r="G17157" s="1" t="str">
        <f>"0025H692"</f>
        <v>0025H692</v>
      </c>
      <c r="H17157" s="1" t="str">
        <f>"보광간 133R4L1"</f>
        <v>보광간 133R4L1</v>
      </c>
      <c r="I17157" s="1" t="s">
        <v>8</v>
      </c>
      <c r="J17157" s="1" t="str">
        <f>"127/127"</f>
        <v>127/127</v>
      </c>
      <c r="K17157" s="1" t="str">
        <f>"2026-07-29 13:18:01"</f>
        <v>2026-07-29 13:18:01</v>
      </c>
      <c r="L17157" s="1" t="str">
        <f>"2025-06-16 17:09:50"</f>
        <v>2025-06-16 17:09:50</v>
      </c>
      <c r="M17157" s="1" t="s">
        <v>1</v>
      </c>
      <c r="N17157" s="1" t="s">
        <v>38</v>
      </c>
      <c r="O17157" s="1" t="s">
        <v>46</v>
      </c>
    </row>
    <row r="17158" spans="2:15" x14ac:dyDescent="0.3">
      <c r="B17158" s="1" t="s">
        <v>13</v>
      </c>
      <c r="C17158" s="1" t="str">
        <f>"5-2차"</f>
        <v>5-2차</v>
      </c>
      <c r="D17158" s="1" t="str">
        <f>"0025H7215M"</f>
        <v>0025H7215M</v>
      </c>
      <c r="E17158" s="1" t="s">
        <v>10</v>
      </c>
      <c r="F17158" s="1" t="str">
        <f>"fde2:104:0:1bf:0:0:0:2"</f>
        <v>fde2:104:0:1bf:0:0:0:2</v>
      </c>
      <c r="G17158" s="1" t="str">
        <f>"0025H721"</f>
        <v>0025H721</v>
      </c>
      <c r="H17158" s="1" t="str">
        <f>"충현지 24L2"</f>
        <v>충현지 24L2</v>
      </c>
      <c r="I17158" s="1" t="s">
        <v>15</v>
      </c>
      <c r="J17158" s="1" t="str">
        <f>"60/60"</f>
        <v>60/60</v>
      </c>
      <c r="K17158" s="1" t="str">
        <f>"2026-07-29 14:20:04"</f>
        <v>2026-07-29 14:20:04</v>
      </c>
      <c r="L17158" s="1" t="str">
        <f>"2023-05-23 12:29:51"</f>
        <v>2023-05-23 12:29:51</v>
      </c>
      <c r="M17158" s="1" t="s">
        <v>42</v>
      </c>
      <c r="N17158" s="1" t="s">
        <v>38</v>
      </c>
      <c r="O17158" s="1" t="s">
        <v>46</v>
      </c>
    </row>
    <row r="17159" spans="2:15" x14ac:dyDescent="0.3">
      <c r="B17159" s="1" t="s">
        <v>13</v>
      </c>
      <c r="C17159" s="1" t="str">
        <f>"4차"</f>
        <v>4차</v>
      </c>
      <c r="D17159" s="1" t="str">
        <f>"0025H73439"</f>
        <v>0025H73439</v>
      </c>
      <c r="E17159" s="1" t="s">
        <v>10</v>
      </c>
      <c r="F17159" s="1" t="str">
        <f>"10.89.113.2"</f>
        <v>10.89.113.2</v>
      </c>
      <c r="G17159" s="1" t="str">
        <f>"0025H734"</f>
        <v>0025H734</v>
      </c>
      <c r="H17159" s="1" t="str">
        <f>"옥수지 3H1"</f>
        <v>옥수지 3H1</v>
      </c>
      <c r="I17159" s="1" t="s">
        <v>8</v>
      </c>
      <c r="J17159" s="1" t="str">
        <f>"87/88"</f>
        <v>87/88</v>
      </c>
      <c r="K17159" s="1" t="str">
        <f>"2026-07-29 13:18:01"</f>
        <v>2026-07-29 13:18:01</v>
      </c>
      <c r="L17159" s="1" t="str">
        <f>"2018-12-21 09:18:10"</f>
        <v>2018-12-21 09:18:10</v>
      </c>
      <c r="M17159" s="1" t="s">
        <v>45</v>
      </c>
      <c r="N17159" s="1" t="s">
        <v>38</v>
      </c>
      <c r="O17159" s="1" t="s">
        <v>46</v>
      </c>
    </row>
    <row r="17160" spans="2:15" x14ac:dyDescent="0.3">
      <c r="B17160" s="1" t="s">
        <v>13</v>
      </c>
      <c r="C17160" s="1" t="str">
        <f>"4차"</f>
        <v>4차</v>
      </c>
      <c r="D17160" s="1" t="str">
        <f>"0025H87145"</f>
        <v>0025H87145</v>
      </c>
      <c r="E17160" s="1" t="s">
        <v>10</v>
      </c>
      <c r="F17160" s="1" t="str">
        <f>"10.14.9.25"</f>
        <v>10.14.9.25</v>
      </c>
      <c r="G17160" s="1" t="str">
        <f>"0025H871"</f>
        <v>0025H871</v>
      </c>
      <c r="H17160" s="1" t="str">
        <f>"다산로 R2"</f>
        <v>다산로 R2</v>
      </c>
      <c r="I17160" s="1" t="s">
        <v>17</v>
      </c>
      <c r="J17160" s="1" t="str">
        <f>"16/16"</f>
        <v>16/16</v>
      </c>
      <c r="K17160" s="1" t="str">
        <f>"2026-07-29 13:18:02"</f>
        <v>2026-07-29 13:18:02</v>
      </c>
      <c r="L17160" s="1" t="str">
        <f>"2021-06-21 16:30:14"</f>
        <v>2021-06-21 16:30:14</v>
      </c>
      <c r="M17160" s="1" t="s">
        <v>3</v>
      </c>
      <c r="N17160" s="1" t="s">
        <v>38</v>
      </c>
      <c r="O17160" s="1" t="s">
        <v>46</v>
      </c>
    </row>
    <row r="17161" spans="2:15" x14ac:dyDescent="0.3">
      <c r="B17161" s="1" t="s">
        <v>13</v>
      </c>
      <c r="C17161" s="1" t="str">
        <f>"4차"</f>
        <v>4차</v>
      </c>
      <c r="D17161" s="1" t="str">
        <f>"0025H87245"</f>
        <v>0025H87245</v>
      </c>
      <c r="E17161" s="1" t="s">
        <v>10</v>
      </c>
      <c r="F17161" s="1" t="str">
        <f>"10.14.5.5"</f>
        <v>10.14.5.5</v>
      </c>
      <c r="G17161" s="1" t="str">
        <f>"0025H872"</f>
        <v>0025H872</v>
      </c>
      <c r="H17161" s="1" t="str">
        <f>"다산로 L2"</f>
        <v>다산로 L2</v>
      </c>
      <c r="I17161" s="1" t="s">
        <v>17</v>
      </c>
      <c r="J17161" s="1" t="str">
        <f>"9/9"</f>
        <v>9/9</v>
      </c>
      <c r="K17161" s="1" t="str">
        <f>"2026-07-29 13:18:02"</f>
        <v>2026-07-29 13:18:02</v>
      </c>
      <c r="L17161" s="1" t="str">
        <f>"2021-06-22 16:11:46"</f>
        <v>2021-06-22 16:11:46</v>
      </c>
      <c r="M17161" s="1" t="s">
        <v>3</v>
      </c>
      <c r="N17161" s="1" t="s">
        <v>38</v>
      </c>
      <c r="O17161" s="1" t="s">
        <v>46</v>
      </c>
    </row>
    <row r="17162" spans="2:15" x14ac:dyDescent="0.3">
      <c r="B17162" s="1" t="s">
        <v>13</v>
      </c>
      <c r="C17162" s="1" t="str">
        <f>"4차"</f>
        <v>4차</v>
      </c>
      <c r="D17162" s="1" t="str">
        <f>"0025H88145"</f>
        <v>0025H88145</v>
      </c>
      <c r="E17162" s="1" t="s">
        <v>14</v>
      </c>
      <c r="F17162" s="1" t="str">
        <f>"10.14.13.28"</f>
        <v>10.14.13.28</v>
      </c>
      <c r="G17162" s="1" t="str">
        <f>"0025H881"</f>
        <v>0025H881</v>
      </c>
      <c r="H17162" s="1" t="str">
        <f>"다산로 R3"</f>
        <v>다산로 R3</v>
      </c>
      <c r="I17162" s="1" t="s">
        <v>17</v>
      </c>
      <c r="J17162" s="1" t="str">
        <f>"0/0"</f>
        <v>0/0</v>
      </c>
      <c r="K17162" s="1" t="str">
        <f>"2026-07-29 13:18:01"</f>
        <v>2026-07-29 13:18:01</v>
      </c>
      <c r="L17162" s="1" t="str">
        <f>"2021-06-21 16:56:46"</f>
        <v>2021-06-21 16:56:46</v>
      </c>
      <c r="M17162" s="1" t="s">
        <v>3</v>
      </c>
      <c r="N17162" s="1" t="s">
        <v>38</v>
      </c>
      <c r="O17162" s="1" t="s">
        <v>44</v>
      </c>
    </row>
    <row r="17163" spans="2:15" x14ac:dyDescent="0.3">
      <c r="B17163" s="1" t="s">
        <v>13</v>
      </c>
      <c r="C17163" s="1" t="str">
        <f>"3차"</f>
        <v>3차</v>
      </c>
      <c r="D17163" s="1" t="str">
        <f>"0025H89139"</f>
        <v>0025H89139</v>
      </c>
      <c r="E17163" s="1" t="s">
        <v>10</v>
      </c>
      <c r="F17163" s="1" t="str">
        <f>"10.11.44.146"</f>
        <v>10.11.44.146</v>
      </c>
      <c r="G17163" s="1" t="str">
        <f>"0025H891"</f>
        <v>0025H891</v>
      </c>
      <c r="H17163" s="1" t="str">
        <f>"청구지 28R1"</f>
        <v>청구지 28R1</v>
      </c>
      <c r="I17163" s="1" t="s">
        <v>8</v>
      </c>
      <c r="J17163" s="1" t="str">
        <f>"20/20"</f>
        <v>20/20</v>
      </c>
      <c r="K17163" s="1" t="str">
        <f>"2026-07-29 13:18:01"</f>
        <v>2026-07-29 13:18:01</v>
      </c>
      <c r="L17163" s="1" t="str">
        <f>"2018-05-10 14:13:28"</f>
        <v>2018-05-10 14:13:28</v>
      </c>
      <c r="M17163" s="1" t="s">
        <v>2</v>
      </c>
      <c r="N17163" s="1" t="s">
        <v>38</v>
      </c>
      <c r="O17163" s="1" t="s">
        <v>46</v>
      </c>
    </row>
    <row r="17164" spans="2:15" x14ac:dyDescent="0.3">
      <c r="B17164" s="1" t="s">
        <v>13</v>
      </c>
      <c r="C17164" s="1" t="str">
        <f>"4차"</f>
        <v>4차</v>
      </c>
      <c r="D17164" s="1" t="str">
        <f>"0025H93244"</f>
        <v>0025H93244</v>
      </c>
      <c r="E17164" s="1" t="s">
        <v>10</v>
      </c>
      <c r="F17164" s="1" t="str">
        <f>"10.11.44.154"</f>
        <v>10.11.44.154</v>
      </c>
      <c r="G17164" s="1" t="str">
        <f>"0025H932"</f>
        <v>0025H932</v>
      </c>
      <c r="H17164" s="1" t="str">
        <f>"옥수지 9L1L4R1"</f>
        <v>옥수지 9L1L4R1</v>
      </c>
      <c r="I17164" s="1" t="s">
        <v>8</v>
      </c>
      <c r="J17164" s="1" t="str">
        <f>"49/52"</f>
        <v>49/52</v>
      </c>
      <c r="K17164" s="1" t="str">
        <f>"2026-07-29 13:18:01"</f>
        <v>2026-07-29 13:18:01</v>
      </c>
      <c r="L17164" s="1" t="str">
        <f>"2019-11-11 20:05:14"</f>
        <v>2019-11-11 20:05:14</v>
      </c>
      <c r="M17164" s="1" t="s">
        <v>2</v>
      </c>
      <c r="N17164" s="1" t="s">
        <v>38</v>
      </c>
      <c r="O17164" s="1" t="s">
        <v>46</v>
      </c>
    </row>
    <row r="17165" spans="2:15" x14ac:dyDescent="0.3">
      <c r="B17165" s="1" t="s">
        <v>13</v>
      </c>
      <c r="C17165" s="1" t="str">
        <f>"4차"</f>
        <v>4차</v>
      </c>
      <c r="D17165" s="1" t="str">
        <f>"0025H94141"</f>
        <v>0025H94141</v>
      </c>
      <c r="E17165" s="1" t="s">
        <v>10</v>
      </c>
      <c r="F17165" s="1" t="str">
        <f>"10.14.6.187"</f>
        <v>10.14.6.187</v>
      </c>
      <c r="G17165" s="1" t="str">
        <f>"0025H941"</f>
        <v>0025H941</v>
      </c>
      <c r="H17165" s="1" t="str">
        <f>"옥수지 9L1L6"</f>
        <v>옥수지 9L1L6</v>
      </c>
      <c r="I17165" s="1" t="s">
        <v>17</v>
      </c>
      <c r="J17165" s="1" t="str">
        <f>"9/13"</f>
        <v>9/13</v>
      </c>
      <c r="K17165" s="1" t="str">
        <f>"2026-07-29 13:18:01"</f>
        <v>2026-07-29 13:18:01</v>
      </c>
      <c r="L17165" s="1" t="str">
        <f>"2021-10-21 11:06:42"</f>
        <v>2021-10-21 11:06:42</v>
      </c>
      <c r="M17165" s="1" t="s">
        <v>3</v>
      </c>
      <c r="N17165" s="1" t="s">
        <v>38</v>
      </c>
      <c r="O17165" s="1" t="s">
        <v>46</v>
      </c>
    </row>
    <row r="17166" spans="2:15" x14ac:dyDescent="0.3">
      <c r="B17166" s="1" t="s">
        <v>13</v>
      </c>
      <c r="C17166" s="1" t="str">
        <f>"2차"</f>
        <v>2차</v>
      </c>
      <c r="D17166" s="1" t="str">
        <f>"0025W69320"</f>
        <v>0025W69320</v>
      </c>
      <c r="E17166" s="1" t="s">
        <v>10</v>
      </c>
      <c r="F17166" s="1" t="str">
        <f>"10.11.2.242"</f>
        <v>10.11.2.242</v>
      </c>
      <c r="G17166" s="1" t="str">
        <f>"0025W693"</f>
        <v>0025W693</v>
      </c>
      <c r="H17166" s="1" t="str">
        <f>"성곽길 T7L2"</f>
        <v>성곽길 T7L2</v>
      </c>
      <c r="I17166" s="1" t="s">
        <v>8</v>
      </c>
      <c r="J17166" s="1" t="str">
        <f>"9/9"</f>
        <v>9/9</v>
      </c>
      <c r="K17166" s="1" t="str">
        <f>"2026-07-29 13:18:00"</f>
        <v>2026-07-29 13:18:00</v>
      </c>
      <c r="L17166" s="1" t="str">
        <f>"2017-06-22 15:15:14"</f>
        <v>2017-06-22 15:15:14</v>
      </c>
      <c r="M17166" s="1" t="s">
        <v>2</v>
      </c>
      <c r="N17166" s="1" t="s">
        <v>38</v>
      </c>
      <c r="O17166" s="1" t="s">
        <v>46</v>
      </c>
    </row>
    <row r="17167" spans="2:15" x14ac:dyDescent="0.3">
      <c r="B17167" s="1" t="s">
        <v>13</v>
      </c>
      <c r="C17167" s="1" t="str">
        <f>"4차"</f>
        <v>4차</v>
      </c>
      <c r="D17167" s="1" t="str">
        <f>"0025W72229"</f>
        <v>0025W72229</v>
      </c>
      <c r="E17167" s="1" t="s">
        <v>10</v>
      </c>
      <c r="F17167" s="1" t="str">
        <f>"10.11.3.58"</f>
        <v>10.11.3.58</v>
      </c>
      <c r="G17167" s="1" t="str">
        <f>"0025W722"</f>
        <v>0025W722</v>
      </c>
      <c r="H17167" s="1" t="str">
        <f>"성곽길 15"</f>
        <v>성곽길 15</v>
      </c>
      <c r="I17167" s="1" t="s">
        <v>8</v>
      </c>
      <c r="J17167" s="1" t="str">
        <f>"22/22"</f>
        <v>22/22</v>
      </c>
      <c r="K17167" s="1" t="str">
        <f>"2026-07-29 13:18:00"</f>
        <v>2026-07-29 13:18:00</v>
      </c>
      <c r="L17167" s="1" t="str">
        <f>"2017-07-14 11:09:25"</f>
        <v>2017-07-14 11:09:25</v>
      </c>
      <c r="M17167" s="1" t="s">
        <v>2</v>
      </c>
      <c r="N17167" s="1" t="s">
        <v>38</v>
      </c>
      <c r="O17167" s="1" t="s">
        <v>46</v>
      </c>
    </row>
    <row r="17168" spans="2:15" x14ac:dyDescent="0.3">
      <c r="B17168" s="1" t="s">
        <v>13</v>
      </c>
      <c r="C17168" s="1" t="str">
        <f>"5-2차"</f>
        <v>5-2차</v>
      </c>
      <c r="D17168" s="1" t="str">
        <f>"0025W7425S"</f>
        <v>0025W7425S</v>
      </c>
      <c r="E17168" s="1" t="s">
        <v>10</v>
      </c>
      <c r="F17168" s="1" t="str">
        <f>"fde1:103:4:9206:0:0:0:2"</f>
        <v>fde1:103:4:9206:0:0:0:2</v>
      </c>
      <c r="G17168" s="1" t="str">
        <f>"0025W742"</f>
        <v>0025W742</v>
      </c>
      <c r="H17168" s="1" t="str">
        <f>"성곽길 10"</f>
        <v>성곽길 10</v>
      </c>
      <c r="I17168" s="1" t="s">
        <v>15</v>
      </c>
      <c r="J17168" s="1" t="str">
        <f>"17/17"</f>
        <v>17/17</v>
      </c>
      <c r="K17168" s="1" t="str">
        <f>"2026-07-29 14:20:05"</f>
        <v>2026-07-29 14:20:05</v>
      </c>
      <c r="L17168" s="1" t="str">
        <f>"2024-01-19 12:47:08"</f>
        <v>2024-01-19 12:47:08</v>
      </c>
      <c r="M17168" s="1" t="s">
        <v>4</v>
      </c>
      <c r="N17168" s="1" t="s">
        <v>38</v>
      </c>
      <c r="O17168" s="1" t="s">
        <v>46</v>
      </c>
    </row>
    <row r="17169" spans="2:15" x14ac:dyDescent="0.3">
      <c r="B17169" s="1" t="s">
        <v>13</v>
      </c>
      <c r="C17169" s="1" t="str">
        <f>"5-1차"</f>
        <v>5-1차</v>
      </c>
      <c r="D17169" s="1" t="str">
        <f>"0025W7815M"</f>
        <v>0025W7815M</v>
      </c>
      <c r="E17169" s="1" t="s">
        <v>12</v>
      </c>
      <c r="F17169" s="1" t="str">
        <f>"fde3:102:1305:4201:0:0:0:2"</f>
        <v>fde3:102:1305:4201:0:0:0:2</v>
      </c>
      <c r="G17169" s="1" t="str">
        <f>"0025W781"</f>
        <v>0025W781</v>
      </c>
      <c r="H17169" s="1" t="str">
        <f>"성곽길 T7L7R3"</f>
        <v>성곽길 T7L7R3</v>
      </c>
      <c r="I17169" s="1" t="s">
        <v>15</v>
      </c>
      <c r="J17169" s="1" t="str">
        <f>"0/139"</f>
        <v>0/139</v>
      </c>
      <c r="K17169" s="1" t="str">
        <f>"2026-04-22 14:20:13"</f>
        <v>2026-04-22 14:20:13</v>
      </c>
      <c r="L17169" s="1" t="str">
        <f>"2022-11-24 13:34:24"</f>
        <v>2022-11-24 13:34:24</v>
      </c>
      <c r="M17169" s="1" t="s">
        <v>45</v>
      </c>
      <c r="N17169" s="1" t="s">
        <v>38</v>
      </c>
      <c r="O17169" s="1" t="s">
        <v>46</v>
      </c>
    </row>
    <row r="17170" spans="2:15" x14ac:dyDescent="0.3">
      <c r="B17170" s="1" t="s">
        <v>13</v>
      </c>
      <c r="C17170" s="1" t="str">
        <f>"2차"</f>
        <v>2차</v>
      </c>
      <c r="D17170" s="1" t="str">
        <f>"0025W82220"</f>
        <v>0025W82220</v>
      </c>
      <c r="E17170" s="1" t="s">
        <v>14</v>
      </c>
      <c r="F17170" s="1" t="str">
        <f>"10.11.9.106"</f>
        <v>10.11.9.106</v>
      </c>
      <c r="G17170" s="1" t="str">
        <f>"0025W822"</f>
        <v>0025W822</v>
      </c>
      <c r="H17170" s="1" t="str">
        <f>"성곽길 16"</f>
        <v>성곽길 16</v>
      </c>
      <c r="I17170" s="1" t="s">
        <v>8</v>
      </c>
      <c r="J17170" s="1" t="str">
        <f>"0/0"</f>
        <v>0/0</v>
      </c>
      <c r="K17170" s="4" t="str">
        <f>"2026-07-29 13:18:00"</f>
        <v>2026-07-29 13:18:00</v>
      </c>
      <c r="L17170" s="1" t="str">
        <f>"2017-06-22 14:23:25"</f>
        <v>2017-06-22 14:23:25</v>
      </c>
      <c r="M17170" s="1" t="s">
        <v>2</v>
      </c>
      <c r="N17170" s="1" t="s">
        <v>38</v>
      </c>
      <c r="O17170" s="1" t="s">
        <v>44</v>
      </c>
    </row>
    <row r="17171" spans="2:15" x14ac:dyDescent="0.3">
      <c r="B17171" s="1" t="s">
        <v>13</v>
      </c>
      <c r="C17171" s="1" t="str">
        <f>"2차"</f>
        <v>2차</v>
      </c>
      <c r="D17171" s="1" t="str">
        <f>"0025W83121"</f>
        <v>0025W83121</v>
      </c>
      <c r="E17171" s="1" t="s">
        <v>14</v>
      </c>
      <c r="F17171" s="1" t="str">
        <f>"10.11.9.107"</f>
        <v>10.11.9.107</v>
      </c>
      <c r="G17171" s="1" t="str">
        <f>"0025W831"</f>
        <v>0025W831</v>
      </c>
      <c r="H17171" s="1" t="str">
        <f>"성곽길 17L1"</f>
        <v>성곽길 17L1</v>
      </c>
      <c r="I17171" s="1" t="s">
        <v>8</v>
      </c>
      <c r="J17171" s="1" t="str">
        <f>"0/0"</f>
        <v>0/0</v>
      </c>
      <c r="K17171" s="4" t="str">
        <f>"2026-07-29 13:18:01"</f>
        <v>2026-07-29 13:18:01</v>
      </c>
      <c r="L17171" s="1" t="str">
        <f>"2017-06-24 10:36:06"</f>
        <v>2017-06-24 10:36:06</v>
      </c>
      <c r="M17171" s="1" t="s">
        <v>2</v>
      </c>
      <c r="N17171" s="1" t="s">
        <v>38</v>
      </c>
      <c r="O17171" s="1" t="s">
        <v>44</v>
      </c>
    </row>
    <row r="17172" spans="2:15" x14ac:dyDescent="0.3">
      <c r="B17172" s="1" t="s">
        <v>13</v>
      </c>
      <c r="C17172" s="1" t="str">
        <f>"2차"</f>
        <v>2차</v>
      </c>
      <c r="D17172" s="1" t="str">
        <f>"0025W83329"</f>
        <v>0025W83329</v>
      </c>
      <c r="E17172" s="1" t="s">
        <v>10</v>
      </c>
      <c r="F17172" s="1" t="str">
        <f>"10.11.3.74"</f>
        <v>10.11.3.74</v>
      </c>
      <c r="G17172" s="1" t="str">
        <f>"0025W833"</f>
        <v>0025W833</v>
      </c>
      <c r="H17172" s="1" t="str">
        <f>"성곽길 17L2"</f>
        <v>성곽길 17L2</v>
      </c>
      <c r="I17172" s="1" t="s">
        <v>8</v>
      </c>
      <c r="J17172" s="1" t="str">
        <f>"33/33"</f>
        <v>33/33</v>
      </c>
      <c r="K17172" s="1" t="str">
        <f>"2026-07-29 13:18:00"</f>
        <v>2026-07-29 13:18:00</v>
      </c>
      <c r="L17172" s="1" t="str">
        <f>"2017-06-22 14:35:10"</f>
        <v>2017-06-22 14:35:10</v>
      </c>
      <c r="M17172" s="1" t="s">
        <v>2</v>
      </c>
      <c r="N17172" s="1" t="s">
        <v>38</v>
      </c>
      <c r="O17172" s="1" t="s">
        <v>46</v>
      </c>
    </row>
    <row r="17173" spans="2:15" x14ac:dyDescent="0.3">
      <c r="B17173" s="1" t="s">
        <v>13</v>
      </c>
      <c r="C17173" s="1" t="str">
        <f>"4차"</f>
        <v>4차</v>
      </c>
      <c r="D17173" s="1" t="str">
        <f>"0025W84120"</f>
        <v>0025W84120</v>
      </c>
      <c r="E17173" s="1" t="s">
        <v>10</v>
      </c>
      <c r="F17173" s="1" t="str">
        <f>"10.11.3.50"</f>
        <v>10.11.3.50</v>
      </c>
      <c r="G17173" s="1" t="str">
        <f>"0025W841"</f>
        <v>0025W841</v>
      </c>
      <c r="H17173" s="1" t="str">
        <f>"성곽길 12L1"</f>
        <v>성곽길 12L1</v>
      </c>
      <c r="I17173" s="1" t="s">
        <v>8</v>
      </c>
      <c r="J17173" s="1" t="str">
        <f>"14/14"</f>
        <v>14/14</v>
      </c>
      <c r="K17173" s="1" t="str">
        <f>"2026-07-29 13:18:01"</f>
        <v>2026-07-29 13:18:01</v>
      </c>
      <c r="L17173" s="1" t="str">
        <f>"2017-06-22 14:39:25"</f>
        <v>2017-06-22 14:39:25</v>
      </c>
      <c r="M17173" s="1" t="s">
        <v>2</v>
      </c>
      <c r="N17173" s="1" t="s">
        <v>38</v>
      </c>
      <c r="O17173" s="1" t="s">
        <v>46</v>
      </c>
    </row>
    <row r="17174" spans="2:15" x14ac:dyDescent="0.3">
      <c r="B17174" s="1" t="s">
        <v>13</v>
      </c>
      <c r="C17174" s="1" t="str">
        <f>"4차"</f>
        <v>4차</v>
      </c>
      <c r="D17174" s="1" t="str">
        <f>"0025W85222"</f>
        <v>0025W85222</v>
      </c>
      <c r="E17174" s="1" t="s">
        <v>10</v>
      </c>
      <c r="F17174" s="1" t="str">
        <f>"10.11.3.52"</f>
        <v>10.11.3.52</v>
      </c>
      <c r="G17174" s="1" t="str">
        <f>"0025W852"</f>
        <v>0025W852</v>
      </c>
      <c r="H17174" s="1" t="str">
        <f>"성곽길 12L2"</f>
        <v>성곽길 12L2</v>
      </c>
      <c r="I17174" s="1" t="s">
        <v>8</v>
      </c>
      <c r="J17174" s="1" t="str">
        <f>"39/40"</f>
        <v>39/40</v>
      </c>
      <c r="K17174" s="1" t="str">
        <f>"2026-07-29 13:18:01"</f>
        <v>2026-07-29 13:18:01</v>
      </c>
      <c r="L17174" s="1" t="str">
        <f>"2021-07-27 13:47:32"</f>
        <v>2021-07-27 13:47:32</v>
      </c>
      <c r="M17174" s="1" t="s">
        <v>2</v>
      </c>
      <c r="N17174" s="1" t="s">
        <v>38</v>
      </c>
      <c r="O17174" s="1" t="s">
        <v>46</v>
      </c>
    </row>
    <row r="17175" spans="2:15" x14ac:dyDescent="0.3">
      <c r="B17175" s="1" t="s">
        <v>13</v>
      </c>
      <c r="C17175" s="1" t="str">
        <f>"4차"</f>
        <v>4차</v>
      </c>
      <c r="D17175" s="1" t="str">
        <f>"0025W86129"</f>
        <v>0025W86129</v>
      </c>
      <c r="E17175" s="1" t="s">
        <v>10</v>
      </c>
      <c r="F17175" s="1" t="str">
        <f>"10.11.2.234"</f>
        <v>10.11.2.234</v>
      </c>
      <c r="G17175" s="1" t="str">
        <f>"0025W861"</f>
        <v>0025W861</v>
      </c>
      <c r="H17175" s="1" t="str">
        <f>"성곽길 T7L16"</f>
        <v>성곽길 T7L16</v>
      </c>
      <c r="I17175" s="1" t="s">
        <v>8</v>
      </c>
      <c r="J17175" s="1" t="str">
        <f>"41/48"</f>
        <v>41/48</v>
      </c>
      <c r="K17175" s="1" t="str">
        <f>"2026-07-29 13:18:00"</f>
        <v>2026-07-29 13:18:00</v>
      </c>
      <c r="L17175" s="1" t="str">
        <f>"2017-06-22 11:06:54"</f>
        <v>2017-06-22 11:06:54</v>
      </c>
      <c r="M17175" s="1" t="s">
        <v>2</v>
      </c>
      <c r="N17175" s="1" t="s">
        <v>38</v>
      </c>
      <c r="O17175" s="1" t="s">
        <v>46</v>
      </c>
    </row>
    <row r="17176" spans="2:15" x14ac:dyDescent="0.3">
      <c r="B17176" s="1" t="s">
        <v>13</v>
      </c>
      <c r="C17176" s="1" t="str">
        <f>"2차"</f>
        <v>2차</v>
      </c>
      <c r="D17176" s="1" t="str">
        <f>"0025W86229"</f>
        <v>0025W86229</v>
      </c>
      <c r="E17176" s="1" t="s">
        <v>10</v>
      </c>
      <c r="F17176" s="1" t="str">
        <f>"10.11.3.34"</f>
        <v>10.11.3.34</v>
      </c>
      <c r="G17176" s="1" t="str">
        <f>"0025W862"</f>
        <v>0025W862</v>
      </c>
      <c r="H17176" s="1" t="str">
        <f>"성곽지 26L3"</f>
        <v>성곽지 26L3</v>
      </c>
      <c r="I17176" s="1" t="s">
        <v>8</v>
      </c>
      <c r="J17176" s="1" t="str">
        <f>"19/27"</f>
        <v>19/27</v>
      </c>
      <c r="K17176" s="1" t="str">
        <f>"2026-07-29 13:18:00"</f>
        <v>2026-07-29 13:18:00</v>
      </c>
      <c r="L17176" s="1" t="str">
        <f>"2017-06-22 18:20:30"</f>
        <v>2017-06-22 18:20:30</v>
      </c>
      <c r="M17176" s="1" t="s">
        <v>2</v>
      </c>
      <c r="N17176" s="1" t="s">
        <v>38</v>
      </c>
      <c r="O17176" s="1" t="s">
        <v>46</v>
      </c>
    </row>
    <row r="17177" spans="2:15" x14ac:dyDescent="0.3">
      <c r="B17177" s="1" t="s">
        <v>13</v>
      </c>
      <c r="C17177" s="1" t="str">
        <f>"4차"</f>
        <v>4차</v>
      </c>
      <c r="D17177" s="1" t="str">
        <f>"0025W89121"</f>
        <v>0025W89121</v>
      </c>
      <c r="E17177" s="1" t="s">
        <v>10</v>
      </c>
      <c r="F17177" s="1" t="str">
        <f>"10.11.3.3"</f>
        <v>10.11.3.3</v>
      </c>
      <c r="G17177" s="1" t="str">
        <f>"0025W891"</f>
        <v>0025W891</v>
      </c>
      <c r="H17177" s="1" t="str">
        <f>"성곽길 T7L6"</f>
        <v>성곽길 T7L6</v>
      </c>
      <c r="I17177" s="1" t="s">
        <v>8</v>
      </c>
      <c r="J17177" s="1" t="str">
        <f>"5/9"</f>
        <v>5/9</v>
      </c>
      <c r="K17177" s="1" t="str">
        <f>"2026-07-29 13:18:00"</f>
        <v>2026-07-29 13:18:00</v>
      </c>
      <c r="L17177" s="1" t="str">
        <f>"2017-06-23 14:47:24"</f>
        <v>2017-06-23 14:47:24</v>
      </c>
      <c r="M17177" s="1" t="s">
        <v>2</v>
      </c>
      <c r="N17177" s="1" t="s">
        <v>38</v>
      </c>
      <c r="O17177" s="1" t="s">
        <v>46</v>
      </c>
    </row>
    <row r="17178" spans="2:15" x14ac:dyDescent="0.3">
      <c r="B17178" s="1" t="s">
        <v>13</v>
      </c>
      <c r="C17178" s="1" t="str">
        <f>"4차"</f>
        <v>4차</v>
      </c>
      <c r="D17178" s="1" t="str">
        <f>"0025W91129"</f>
        <v>0025W91129</v>
      </c>
      <c r="E17178" s="1" t="s">
        <v>10</v>
      </c>
      <c r="F17178" s="1" t="str">
        <f>"10.11.3.66"</f>
        <v>10.11.3.66</v>
      </c>
      <c r="G17178" s="1" t="str">
        <f>"0025W911"</f>
        <v>0025W911</v>
      </c>
      <c r="H17178" s="1" t="str">
        <f>"성곽길 16R2"</f>
        <v>성곽길 16R2</v>
      </c>
      <c r="I17178" s="1" t="s">
        <v>8</v>
      </c>
      <c r="J17178" s="1" t="str">
        <f>"45/52"</f>
        <v>45/52</v>
      </c>
      <c r="K17178" s="1" t="str">
        <f>"2026-07-29 13:18:01"</f>
        <v>2026-07-29 13:18:01</v>
      </c>
      <c r="L17178" s="1" t="str">
        <f>"2017-06-22 13:49:25"</f>
        <v>2017-06-22 13:49:25</v>
      </c>
      <c r="M17178" s="1" t="s">
        <v>2</v>
      </c>
      <c r="N17178" s="1" t="s">
        <v>38</v>
      </c>
      <c r="O17178" s="1" t="s">
        <v>46</v>
      </c>
    </row>
    <row r="17179" spans="2:15" x14ac:dyDescent="0.3">
      <c r="B17179" s="1" t="s">
        <v>13</v>
      </c>
      <c r="C17179" s="1" t="str">
        <f>"2차"</f>
        <v>2차</v>
      </c>
      <c r="D17179" s="1" t="str">
        <f>"0025W92229"</f>
        <v>0025W92229</v>
      </c>
      <c r="E17179" s="1" t="s">
        <v>10</v>
      </c>
      <c r="F17179" s="1" t="str">
        <f>"10.11.3.82"</f>
        <v>10.11.3.82</v>
      </c>
      <c r="G17179" s="1" t="str">
        <f>"0025W922"</f>
        <v>0025W922</v>
      </c>
      <c r="H17179" s="1" t="str">
        <f>"성곽길 17R1"</f>
        <v>성곽길 17R1</v>
      </c>
      <c r="I17179" s="1" t="s">
        <v>8</v>
      </c>
      <c r="J17179" s="1" t="str">
        <f>"47/47"</f>
        <v>47/47</v>
      </c>
      <c r="K17179" s="1" t="str">
        <f>"2026-07-29 13:18:01"</f>
        <v>2026-07-29 13:18:01</v>
      </c>
      <c r="L17179" s="1" t="str">
        <f>"2017-07-24 11:25:39"</f>
        <v>2017-07-24 11:25:39</v>
      </c>
      <c r="M17179" s="1" t="s">
        <v>2</v>
      </c>
      <c r="N17179" s="1" t="s">
        <v>38</v>
      </c>
      <c r="O17179" s="1" t="s">
        <v>46</v>
      </c>
    </row>
    <row r="17180" spans="2:15" x14ac:dyDescent="0.3">
      <c r="B17180" s="1" t="s">
        <v>13</v>
      </c>
      <c r="C17180" s="1" t="str">
        <f>"1차"</f>
        <v>1차</v>
      </c>
      <c r="D17180" s="1" t="str">
        <f>"0025W93101"</f>
        <v>0025W93101</v>
      </c>
      <c r="E17180" s="1" t="s">
        <v>10</v>
      </c>
      <c r="F17180" s="1" t="str">
        <f>"10.89.32.3"</f>
        <v>10.89.32.3</v>
      </c>
      <c r="G17180" s="1" t="str">
        <f>"0025W931"</f>
        <v>0025W931</v>
      </c>
      <c r="H17180" s="1" t="str">
        <f>"성곽길 18L1"</f>
        <v>성곽길 18L1</v>
      </c>
      <c r="I17180" s="1" t="s">
        <v>8</v>
      </c>
      <c r="J17180" s="1" t="str">
        <f>"16/16"</f>
        <v>16/16</v>
      </c>
      <c r="K17180" s="1" t="str">
        <f>"2026-07-29 13:18:03"</f>
        <v>2026-07-29 13:18:03</v>
      </c>
      <c r="L17180" s="1" t="str">
        <f>"2014-10-02 10:41:07"</f>
        <v>2014-10-02 10:41:07</v>
      </c>
      <c r="M17180" s="1" t="s">
        <v>45</v>
      </c>
      <c r="N17180" s="1" t="s">
        <v>38</v>
      </c>
      <c r="O17180" s="1" t="s">
        <v>46</v>
      </c>
    </row>
    <row r="17181" spans="2:15" x14ac:dyDescent="0.3">
      <c r="B17181" s="1" t="s">
        <v>13</v>
      </c>
      <c r="C17181" s="1" t="str">
        <f>"2차"</f>
        <v>2차</v>
      </c>
      <c r="D17181" s="1" t="str">
        <f>"0025W93329"</f>
        <v>0025W93329</v>
      </c>
      <c r="E17181" s="1" t="s">
        <v>10</v>
      </c>
      <c r="F17181" s="1" t="str">
        <f>"10.11.9.114"</f>
        <v>10.11.9.114</v>
      </c>
      <c r="G17181" s="1" t="str">
        <f>"0025W933"</f>
        <v>0025W933</v>
      </c>
      <c r="H17181" s="1" t="str">
        <f>"성곽길 19"</f>
        <v>성곽길 19</v>
      </c>
      <c r="I17181" s="1" t="s">
        <v>8</v>
      </c>
      <c r="J17181" s="1" t="str">
        <f>"11/11"</f>
        <v>11/11</v>
      </c>
      <c r="K17181" s="1" t="str">
        <f>"2026-07-29 13:18:01"</f>
        <v>2026-07-29 13:18:01</v>
      </c>
      <c r="L17181" s="1" t="str">
        <f>"2017-07-24 11:45:41"</f>
        <v>2017-07-24 11:45:41</v>
      </c>
      <c r="M17181" s="1" t="s">
        <v>2</v>
      </c>
      <c r="N17181" s="1" t="s">
        <v>38</v>
      </c>
      <c r="O17181" s="1" t="s">
        <v>46</v>
      </c>
    </row>
    <row r="17182" spans="2:15" x14ac:dyDescent="0.3">
      <c r="B17182" s="1" t="s">
        <v>13</v>
      </c>
      <c r="C17182" s="1" t="str">
        <f>"1차"</f>
        <v>1차</v>
      </c>
      <c r="D17182" s="1" t="str">
        <f>"0025W93400"</f>
        <v>0025W93400</v>
      </c>
      <c r="E17182" s="1" t="s">
        <v>10</v>
      </c>
      <c r="F17182" s="1" t="str">
        <f>"10.89.32.2"</f>
        <v>10.89.32.2</v>
      </c>
      <c r="G17182" s="1" t="str">
        <f>"0025W934"</f>
        <v>0025W934</v>
      </c>
      <c r="H17182" s="1" t="str">
        <f>"성곽길 18"</f>
        <v>성곽길 18</v>
      </c>
      <c r="I17182" s="1" t="s">
        <v>8</v>
      </c>
      <c r="J17182" s="1" t="str">
        <f>"16/16"</f>
        <v>16/16</v>
      </c>
      <c r="K17182" s="1" t="str">
        <f>"2026-07-29 13:18:01"</f>
        <v>2026-07-29 13:18:01</v>
      </c>
      <c r="L17182" s="1" t="str">
        <f>"2022-06-08 09:44:49"</f>
        <v>2022-06-08 09:44:49</v>
      </c>
      <c r="M17182" s="1" t="s">
        <v>45</v>
      </c>
      <c r="N17182" s="1" t="s">
        <v>38</v>
      </c>
      <c r="O17182" s="1" t="s">
        <v>46</v>
      </c>
    </row>
    <row r="17183" spans="2:15" x14ac:dyDescent="0.3">
      <c r="B17183" s="1" t="s">
        <v>13</v>
      </c>
      <c r="C17183" s="1" t="str">
        <f>"5-2차"</f>
        <v>5-2차</v>
      </c>
      <c r="D17183" s="1" t="str">
        <f>"0025W9515S"</f>
        <v>0025W9515S</v>
      </c>
      <c r="E17183" s="1" t="s">
        <v>10</v>
      </c>
      <c r="F17183" s="1" t="str">
        <f>"fde1:103:4:56dc:0:0:0:2"</f>
        <v>fde1:103:4:56dc:0:0:0:2</v>
      </c>
      <c r="G17183" s="1" t="str">
        <f>"0025W951"</f>
        <v>0025W951</v>
      </c>
      <c r="H17183" s="1" t="str">
        <f>"성곽길 12L3"</f>
        <v>성곽길 12L3</v>
      </c>
      <c r="I17183" s="1" t="s">
        <v>15</v>
      </c>
      <c r="J17183" s="1" t="str">
        <f>"57/57"</f>
        <v>57/57</v>
      </c>
      <c r="K17183" s="1" t="str">
        <f>"2026-07-29 14:20:05"</f>
        <v>2026-07-29 14:20:05</v>
      </c>
      <c r="L17183" s="1" t="str">
        <f>"2023-08-24 09:53:10"</f>
        <v>2023-08-24 09:53:10</v>
      </c>
      <c r="M17183" s="1" t="s">
        <v>4</v>
      </c>
      <c r="N17183" s="1" t="s">
        <v>38</v>
      </c>
      <c r="O17183" s="1" t="s">
        <v>46</v>
      </c>
    </row>
    <row r="17184" spans="2:15" x14ac:dyDescent="0.3">
      <c r="B17184" s="1" t="s">
        <v>13</v>
      </c>
      <c r="C17184" s="1" t="str">
        <f>"4차"</f>
        <v>4차</v>
      </c>
      <c r="D17184" s="1" t="str">
        <f>"0025W97320"</f>
        <v>0025W97320</v>
      </c>
      <c r="E17184" s="1" t="s">
        <v>10</v>
      </c>
      <c r="F17184" s="1" t="str">
        <f>"10.11.2.226"</f>
        <v>10.11.2.226</v>
      </c>
      <c r="G17184" s="1" t="str">
        <f>"0025W973"</f>
        <v>0025W973</v>
      </c>
      <c r="H17184" s="1" t="str">
        <f>"성곽길 T7L12"</f>
        <v>성곽길 T7L12</v>
      </c>
      <c r="I17184" s="1" t="s">
        <v>8</v>
      </c>
      <c r="J17184" s="1" t="str">
        <f>"46/51"</f>
        <v>46/51</v>
      </c>
      <c r="K17184" s="1" t="str">
        <f>"2026-07-28 20:03:17"</f>
        <v>2026-07-28 20:03:17</v>
      </c>
      <c r="L17184" s="1" t="str">
        <f>"2017-06-21 15:13:50"</f>
        <v>2017-06-21 15:13:50</v>
      </c>
      <c r="M17184" s="1" t="s">
        <v>2</v>
      </c>
      <c r="N17184" s="1" t="s">
        <v>38</v>
      </c>
      <c r="O17184" s="1" t="s">
        <v>46</v>
      </c>
    </row>
    <row r="17185" spans="2:15" x14ac:dyDescent="0.3">
      <c r="B17185" s="1" t="s">
        <v>13</v>
      </c>
      <c r="C17185" s="1" t="str">
        <f>"4차"</f>
        <v>4차</v>
      </c>
      <c r="D17185" s="1" t="str">
        <f>"0025W98121"</f>
        <v>0025W98121</v>
      </c>
      <c r="E17185" s="1" t="s">
        <v>10</v>
      </c>
      <c r="F17185" s="1" t="str">
        <f>"10.11.2.227"</f>
        <v>10.11.2.227</v>
      </c>
      <c r="G17185" s="1" t="str">
        <f>"0025W981"</f>
        <v>0025W981</v>
      </c>
      <c r="H17185" s="1" t="str">
        <f>"성곽길 T7L11"</f>
        <v>성곽길 T7L11</v>
      </c>
      <c r="I17185" s="1" t="s">
        <v>8</v>
      </c>
      <c r="J17185" s="1" t="str">
        <f>"76/78"</f>
        <v>76/78</v>
      </c>
      <c r="K17185" s="1" t="str">
        <f>"2026-07-29 13:18:00"</f>
        <v>2026-07-29 13:18:00</v>
      </c>
      <c r="L17185" s="1" t="str">
        <f>"2017-06-23 15:44:24"</f>
        <v>2017-06-23 15:44:24</v>
      </c>
      <c r="M17185" s="1" t="s">
        <v>2</v>
      </c>
      <c r="N17185" s="1" t="s">
        <v>38</v>
      </c>
      <c r="O17185" s="1" t="s">
        <v>46</v>
      </c>
    </row>
    <row r="17186" spans="2:15" x14ac:dyDescent="0.3">
      <c r="B17186" s="1" t="s">
        <v>13</v>
      </c>
      <c r="C17186" s="1" t="str">
        <f>"2차"</f>
        <v>2차</v>
      </c>
      <c r="D17186" s="1" t="str">
        <f>"0025W99120"</f>
        <v>0025W99120</v>
      </c>
      <c r="E17186" s="1" t="s">
        <v>10</v>
      </c>
      <c r="F17186" s="1" t="str">
        <f>"10.11.3.2"</f>
        <v>10.11.3.2</v>
      </c>
      <c r="G17186" s="1" t="str">
        <f>"0025W991"</f>
        <v>0025W991</v>
      </c>
      <c r="H17186" s="1" t="str">
        <f>"성곽길 T7L7"</f>
        <v>성곽길 T7L7</v>
      </c>
      <c r="I17186" s="1" t="s">
        <v>8</v>
      </c>
      <c r="J17186" s="1" t="str">
        <f>"46/46"</f>
        <v>46/46</v>
      </c>
      <c r="K17186" s="1" t="str">
        <f>"2026-07-29 13:18:00"</f>
        <v>2026-07-29 13:18:00</v>
      </c>
      <c r="L17186" s="1" t="str">
        <f>"2017-06-21 17:41:03"</f>
        <v>2017-06-21 17:41:03</v>
      </c>
      <c r="M17186" s="1" t="s">
        <v>2</v>
      </c>
      <c r="N17186" s="1" t="s">
        <v>38</v>
      </c>
      <c r="O17186" s="1" t="s">
        <v>46</v>
      </c>
    </row>
    <row r="17187" spans="2:15" x14ac:dyDescent="0.3">
      <c r="B17187" s="1" t="s">
        <v>13</v>
      </c>
      <c r="C17187" s="1" t="str">
        <f>"4차"</f>
        <v>4차</v>
      </c>
      <c r="D17187" s="1" t="str">
        <f>"0025X02545"</f>
        <v>0025X02545</v>
      </c>
      <c r="E17187" s="1" t="s">
        <v>10</v>
      </c>
      <c r="F17187" s="1" t="str">
        <f>"10.14.3.17"</f>
        <v>10.14.3.17</v>
      </c>
      <c r="G17187" s="1" t="str">
        <f>"0025X025"</f>
        <v>0025X025</v>
      </c>
      <c r="H17187" s="1" t="str">
        <f>"성곽지 40L1A1"</f>
        <v>성곽지 40L1A1</v>
      </c>
      <c r="I17187" s="1" t="s">
        <v>17</v>
      </c>
      <c r="J17187" s="1" t="str">
        <f>"14/23"</f>
        <v>14/23</v>
      </c>
      <c r="K17187" s="1" t="str">
        <f>"2026-07-29 13:18:02"</f>
        <v>2026-07-29 13:18:02</v>
      </c>
      <c r="L17187" s="1" t="str">
        <f>"2021-06-21 14:48:21"</f>
        <v>2021-06-21 14:48:21</v>
      </c>
      <c r="M17187" s="1" t="s">
        <v>3</v>
      </c>
      <c r="N17187" s="1" t="s">
        <v>38</v>
      </c>
      <c r="O17187" s="1" t="s">
        <v>46</v>
      </c>
    </row>
    <row r="17188" spans="2:15" x14ac:dyDescent="0.3">
      <c r="B17188" s="1" t="s">
        <v>13</v>
      </c>
      <c r="C17188" s="1" t="str">
        <f>"4차"</f>
        <v>4차</v>
      </c>
      <c r="D17188" s="1" t="str">
        <f>"0025X03829"</f>
        <v>0025X03829</v>
      </c>
      <c r="E17188" s="1" t="s">
        <v>10</v>
      </c>
      <c r="F17188" s="1" t="str">
        <f>"10.11.3.90"</f>
        <v>10.11.3.90</v>
      </c>
      <c r="G17188" s="1" t="str">
        <f>"0025X038"</f>
        <v>0025X038</v>
      </c>
      <c r="H17188" s="1" t="str">
        <f>"성곽길 18L2"</f>
        <v>성곽길 18L2</v>
      </c>
      <c r="I17188" s="1" t="s">
        <v>8</v>
      </c>
      <c r="J17188" s="1" t="str">
        <f>"11/11"</f>
        <v>11/11</v>
      </c>
      <c r="K17188" s="1" t="str">
        <f>"2026-07-29 13:18:01"</f>
        <v>2026-07-29 13:18:01</v>
      </c>
      <c r="L17188" s="1" t="str">
        <f>"2017-06-22 15:18:26"</f>
        <v>2017-06-22 15:18:26</v>
      </c>
      <c r="M17188" s="1" t="s">
        <v>2</v>
      </c>
      <c r="N17188" s="1" t="s">
        <v>38</v>
      </c>
      <c r="O17188" s="1" t="s">
        <v>46</v>
      </c>
    </row>
    <row r="17189" spans="2:15" x14ac:dyDescent="0.3">
      <c r="B17189" s="1" t="s">
        <v>13</v>
      </c>
      <c r="C17189" s="1" t="str">
        <f>"3차"</f>
        <v>3차</v>
      </c>
      <c r="D17189" s="1" t="str">
        <f>"0025X04239"</f>
        <v>0025X04239</v>
      </c>
      <c r="E17189" s="1" t="s">
        <v>10</v>
      </c>
      <c r="F17189" s="1" t="str">
        <f>"10.11.44.162"</f>
        <v>10.11.44.162</v>
      </c>
      <c r="G17189" s="1" t="str">
        <f>"0025X042"</f>
        <v>0025X042</v>
      </c>
      <c r="H17189" s="1" t="str">
        <f>"보광간 110L3"</f>
        <v>보광간 110L3</v>
      </c>
      <c r="I17189" s="1" t="s">
        <v>8</v>
      </c>
      <c r="J17189" s="1" t="str">
        <f>"39/40"</f>
        <v>39/40</v>
      </c>
      <c r="K17189" s="1" t="str">
        <f>"2026-07-29 13:18:01"</f>
        <v>2026-07-29 13:18:01</v>
      </c>
      <c r="L17189" s="1" t="str">
        <f>"2023-07-25 09:19:21"</f>
        <v>2023-07-25 09:19:21</v>
      </c>
      <c r="M17189" s="1" t="s">
        <v>2</v>
      </c>
      <c r="N17189" s="1" t="s">
        <v>38</v>
      </c>
      <c r="O17189" s="1" t="s">
        <v>46</v>
      </c>
    </row>
    <row r="17190" spans="2:15" x14ac:dyDescent="0.3">
      <c r="B17190" s="1" t="s">
        <v>13</v>
      </c>
      <c r="C17190" s="1" t="str">
        <f>"2차"</f>
        <v>2차</v>
      </c>
      <c r="D17190" s="1" t="str">
        <f>"0025X09122"</f>
        <v>0025X09122</v>
      </c>
      <c r="E17190" s="1" t="s">
        <v>10</v>
      </c>
      <c r="F17190" s="1" t="str">
        <f>"10.11.3.4"</f>
        <v>10.11.3.4</v>
      </c>
      <c r="G17190" s="1" t="str">
        <f>"0025X091"</f>
        <v>0025X091</v>
      </c>
      <c r="H17190" s="1" t="str">
        <f>"성곽길 T7L8L1"</f>
        <v>성곽길 T7L8L1</v>
      </c>
      <c r="I17190" s="1" t="s">
        <v>8</v>
      </c>
      <c r="J17190" s="1" t="str">
        <f>"35/36"</f>
        <v>35/36</v>
      </c>
      <c r="K17190" s="1" t="str">
        <f>"2026-07-29 13:18:00"</f>
        <v>2026-07-29 13:18:00</v>
      </c>
      <c r="L17190" s="1" t="str">
        <f>"2017-06-23 14:47:39"</f>
        <v>2017-06-23 14:47:39</v>
      </c>
      <c r="M17190" s="1" t="s">
        <v>2</v>
      </c>
      <c r="N17190" s="1" t="s">
        <v>38</v>
      </c>
      <c r="O17190" s="1" t="s">
        <v>46</v>
      </c>
    </row>
    <row r="17191" spans="2:15" x14ac:dyDescent="0.3">
      <c r="B17191" s="1" t="s">
        <v>13</v>
      </c>
      <c r="C17191" s="1" t="str">
        <f>"1차"</f>
        <v>1차</v>
      </c>
      <c r="D17191" s="1" t="str">
        <f>"0025X14200"</f>
        <v>0025X14200</v>
      </c>
      <c r="E17191" s="1" t="s">
        <v>18</v>
      </c>
      <c r="F17191" s="1" t="str">
        <f>"10.89.32.4"</f>
        <v>10.89.32.4</v>
      </c>
      <c r="G17191" s="1" t="str">
        <f>"0025X142"</f>
        <v>0025X142</v>
      </c>
      <c r="H17191" s="1" t="str">
        <f>"보광간 110L2H1"</f>
        <v>보광간 110L2H1</v>
      </c>
      <c r="I17191" s="1" t="s">
        <v>8</v>
      </c>
      <c r="J17191" s="1" t="str">
        <f>"0/51"</f>
        <v>0/51</v>
      </c>
      <c r="K17191" s="1" t="str">
        <f>"2026-07-26 01:18:01"</f>
        <v>2026-07-26 01:18:01</v>
      </c>
      <c r="L17191" s="1" t="str">
        <f>"2014-09-29 14:12:44"</f>
        <v>2014-09-29 14:12:44</v>
      </c>
      <c r="M17191" s="1" t="s">
        <v>45</v>
      </c>
      <c r="N17191" s="1" t="s">
        <v>38</v>
      </c>
      <c r="O17191" s="1" t="s">
        <v>46</v>
      </c>
    </row>
    <row r="17192" spans="2:15" x14ac:dyDescent="0.3">
      <c r="B17192" s="1" t="s">
        <v>13</v>
      </c>
      <c r="C17192" s="1" t="str">
        <f>"4차"</f>
        <v>4차</v>
      </c>
      <c r="D17192" s="1" t="str">
        <f>"0025X17242"</f>
        <v>0025X17242</v>
      </c>
      <c r="E17192" s="1" t="s">
        <v>10</v>
      </c>
      <c r="F17192" s="1" t="str">
        <f>"10.89.96.138"</f>
        <v>10.89.96.138</v>
      </c>
      <c r="G17192" s="1" t="str">
        <f>"0025X172"</f>
        <v>0025X172</v>
      </c>
      <c r="H17192" s="1" t="str">
        <f>"약수지 12"</f>
        <v>약수지 12</v>
      </c>
      <c r="I17192" s="1" t="s">
        <v>8</v>
      </c>
      <c r="J17192" s="1" t="str">
        <f>"34/76"</f>
        <v>34/76</v>
      </c>
      <c r="K17192" s="1" t="str">
        <f>"2026-07-29 13:18:00"</f>
        <v>2026-07-29 13:18:00</v>
      </c>
      <c r="L17192" s="1" t="str">
        <f>"2024-12-24 13:59:12"</f>
        <v>2024-12-24 13:59:12</v>
      </c>
      <c r="M17192" s="1" t="s">
        <v>45</v>
      </c>
      <c r="N17192" s="1" t="s">
        <v>38</v>
      </c>
      <c r="O17192" s="1" t="s">
        <v>46</v>
      </c>
    </row>
    <row r="17193" spans="2:15" x14ac:dyDescent="0.3">
      <c r="B17193" s="1" t="s">
        <v>13</v>
      </c>
      <c r="C17193" s="1" t="str">
        <f>"6차"</f>
        <v>6차</v>
      </c>
      <c r="D17193" s="1" t="str">
        <f>"0025X1816S"</f>
        <v>0025X1816S</v>
      </c>
      <c r="E17193" s="1" t="s">
        <v>10</v>
      </c>
      <c r="F17193" s="1" t="str">
        <f>"fde1:103:4:9362:0:0:0:2"</f>
        <v>fde1:103:4:9362:0:0:0:2</v>
      </c>
      <c r="G17193" s="1" t="str">
        <f>"0025X181"</f>
        <v>0025X181</v>
      </c>
      <c r="H17193" s="1" t="str">
        <f>"약수지 11"</f>
        <v>약수지 11</v>
      </c>
      <c r="I17193" s="1" t="s">
        <v>15</v>
      </c>
      <c r="J17193" s="1" t="str">
        <f>"28/30"</f>
        <v>28/30</v>
      </c>
      <c r="K17193" s="1" t="str">
        <f>"2026-07-29 08:20:05"</f>
        <v>2026-07-29 08:20:05</v>
      </c>
      <c r="L17193" s="1" t="str">
        <f>"2025-02-28 17:41:57"</f>
        <v>2025-02-28 17:41:57</v>
      </c>
      <c r="M17193" s="1" t="s">
        <v>4</v>
      </c>
      <c r="N17193" s="1" t="s">
        <v>38</v>
      </c>
      <c r="O17193" s="1" t="s">
        <v>46</v>
      </c>
    </row>
    <row r="17194" spans="2:15" x14ac:dyDescent="0.3">
      <c r="B17194" s="1" t="s">
        <v>13</v>
      </c>
      <c r="C17194" s="1" t="str">
        <f>"1차"</f>
        <v>1차</v>
      </c>
      <c r="D17194" s="1" t="str">
        <f>"0025X19100"</f>
        <v>0025X19100</v>
      </c>
      <c r="E17194" s="1" t="s">
        <v>10</v>
      </c>
      <c r="F17194" s="1" t="str">
        <f>"10.89.96.146"</f>
        <v>10.89.96.146</v>
      </c>
      <c r="G17194" s="1" t="str">
        <f>"0025X191"</f>
        <v>0025X191</v>
      </c>
      <c r="H17194" s="1" t="str">
        <f>"약수지 11R1"</f>
        <v>약수지 11R1</v>
      </c>
      <c r="I17194" s="1" t="s">
        <v>8</v>
      </c>
      <c r="J17194" s="1" t="str">
        <f>"28/28"</f>
        <v>28/28</v>
      </c>
      <c r="K17194" s="1" t="str">
        <f>"2026-07-29 13:18:00"</f>
        <v>2026-07-29 13:18:00</v>
      </c>
      <c r="L17194" s="1" t="str">
        <f>"2014-09-29 14:12:16"</f>
        <v>2014-09-29 14:12:16</v>
      </c>
      <c r="M17194" s="1" t="s">
        <v>45</v>
      </c>
      <c r="N17194" s="1" t="s">
        <v>38</v>
      </c>
      <c r="O17194" s="1" t="s">
        <v>46</v>
      </c>
    </row>
    <row r="17195" spans="2:15" x14ac:dyDescent="0.3">
      <c r="B17195" s="1" t="s">
        <v>13</v>
      </c>
      <c r="C17195" s="1" t="str">
        <f>"6차"</f>
        <v>6차</v>
      </c>
      <c r="D17195" s="1" t="str">
        <f>"0025X1936S"</f>
        <v>0025X1936S</v>
      </c>
      <c r="E17195" s="1" t="s">
        <v>10</v>
      </c>
      <c r="F17195" s="1" t="str">
        <f>"fde1:103:4:c632:0:0:0:2"</f>
        <v>fde1:103:4:c632:0:0:0:2</v>
      </c>
      <c r="G17195" s="1" t="str">
        <f>"0025X193"</f>
        <v>0025X193</v>
      </c>
      <c r="H17195" s="1" t="str">
        <f>"약수지 11R1H1"</f>
        <v>약수지 11R1H1</v>
      </c>
      <c r="I17195" s="1" t="s">
        <v>15</v>
      </c>
      <c r="J17195" s="1" t="str">
        <f>"54/56"</f>
        <v>54/56</v>
      </c>
      <c r="K17195" s="1" t="str">
        <f>"2026-07-29 14:20:04"</f>
        <v>2026-07-29 14:20:04</v>
      </c>
      <c r="L17195" s="1" t="str">
        <f>"2024-11-19 11:29:36"</f>
        <v>2024-11-19 11:29:36</v>
      </c>
      <c r="M17195" s="1" t="s">
        <v>4</v>
      </c>
      <c r="N17195" s="1" t="s">
        <v>38</v>
      </c>
      <c r="O17195" s="1" t="s">
        <v>46</v>
      </c>
    </row>
    <row r="17196" spans="2:15" x14ac:dyDescent="0.3">
      <c r="B17196" s="1" t="s">
        <v>13</v>
      </c>
      <c r="C17196" s="1" t="str">
        <f>"4차"</f>
        <v>4차</v>
      </c>
      <c r="D17196" s="1" t="str">
        <f>"0025X25145"</f>
        <v>0025X25145</v>
      </c>
      <c r="E17196" s="1" t="s">
        <v>10</v>
      </c>
      <c r="F17196" s="1" t="str">
        <f>"10.14.1.16"</f>
        <v>10.14.1.16</v>
      </c>
      <c r="G17196" s="1" t="str">
        <f>"0025X251"</f>
        <v>0025X251</v>
      </c>
      <c r="H17196" s="1" t="str">
        <f>"다산로 R20"</f>
        <v>다산로 R20</v>
      </c>
      <c r="I17196" s="1" t="s">
        <v>17</v>
      </c>
      <c r="J17196" s="1" t="str">
        <f>"14/14"</f>
        <v>14/14</v>
      </c>
      <c r="K17196" s="1" t="str">
        <f>"2026-07-29 13:18:01"</f>
        <v>2026-07-29 13:18:01</v>
      </c>
      <c r="L17196" s="1" t="str">
        <f>"2021-06-10 13:57:29"</f>
        <v>2021-06-10 13:57:29</v>
      </c>
      <c r="M17196" s="1" t="s">
        <v>3</v>
      </c>
      <c r="N17196" s="1" t="s">
        <v>38</v>
      </c>
      <c r="O17196" s="1" t="s">
        <v>46</v>
      </c>
    </row>
    <row r="17197" spans="2:15" x14ac:dyDescent="0.3">
      <c r="B17197" s="1" t="s">
        <v>13</v>
      </c>
      <c r="C17197" s="1" t="str">
        <f>"4차"</f>
        <v>4차</v>
      </c>
      <c r="D17197" s="1" t="str">
        <f>"0025X27545"</f>
        <v>0025X27545</v>
      </c>
      <c r="E17197" s="1" t="s">
        <v>10</v>
      </c>
      <c r="F17197" s="1" t="str">
        <f>"10.14.4.24"</f>
        <v>10.14.4.24</v>
      </c>
      <c r="G17197" s="1" t="str">
        <f>"0025X275"</f>
        <v>0025X275</v>
      </c>
      <c r="H17197" s="1" t="str">
        <f>"다산로 L27-1"</f>
        <v>다산로 L27-1</v>
      </c>
      <c r="I17197" s="1" t="s">
        <v>17</v>
      </c>
      <c r="J17197" s="1" t="str">
        <f>"25/38"</f>
        <v>25/38</v>
      </c>
      <c r="K17197" s="1" t="str">
        <f>"2026-07-29 13:18:01"</f>
        <v>2026-07-29 13:18:01</v>
      </c>
      <c r="L17197" s="1" t="str">
        <f>"2021-06-21 13:20:13"</f>
        <v>2021-06-21 13:20:13</v>
      </c>
      <c r="M17197" s="1" t="s">
        <v>3</v>
      </c>
      <c r="N17197" s="1" t="s">
        <v>38</v>
      </c>
      <c r="O17197" s="1" t="s">
        <v>46</v>
      </c>
    </row>
    <row r="17198" spans="2:15" x14ac:dyDescent="0.3">
      <c r="B17198" s="1" t="s">
        <v>13</v>
      </c>
      <c r="C17198" s="1" t="str">
        <f>"5-1차"</f>
        <v>5-1차</v>
      </c>
      <c r="D17198" s="1" t="str">
        <f>"0025X3415M"</f>
        <v>0025X3415M</v>
      </c>
      <c r="E17198" s="1" t="s">
        <v>10</v>
      </c>
      <c r="F17198" s="1" t="str">
        <f>"fde2:104:0:1a3:0:0:0:2"</f>
        <v>fde2:104:0:1a3:0:0:0:2</v>
      </c>
      <c r="G17198" s="1" t="str">
        <f>"0025X341"</f>
        <v>0025X341</v>
      </c>
      <c r="H17198" s="1" t="str">
        <f>"충현지 12"</f>
        <v>충현지 12</v>
      </c>
      <c r="I17198" s="1" t="s">
        <v>15</v>
      </c>
      <c r="J17198" s="1" t="str">
        <f>"61/61"</f>
        <v>61/61</v>
      </c>
      <c r="K17198" s="1" t="str">
        <f>"2026-07-29 14:20:05"</f>
        <v>2026-07-29 14:20:05</v>
      </c>
      <c r="L17198" s="1" t="str">
        <f>"2022-11-16 12:48:19"</f>
        <v>2022-11-16 12:48:19</v>
      </c>
      <c r="M17198" s="1" t="s">
        <v>42</v>
      </c>
      <c r="N17198" s="1" t="s">
        <v>38</v>
      </c>
      <c r="O17198" s="1" t="s">
        <v>46</v>
      </c>
    </row>
    <row r="17199" spans="2:15" x14ac:dyDescent="0.3">
      <c r="B17199" s="1" t="s">
        <v>13</v>
      </c>
      <c r="C17199" s="1" t="str">
        <f>"4차"</f>
        <v>4차</v>
      </c>
      <c r="D17199" s="1" t="str">
        <f>"0025X39139"</f>
        <v>0025X39139</v>
      </c>
      <c r="E17199" s="1" t="s">
        <v>14</v>
      </c>
      <c r="F17199" s="1" t="str">
        <f>"10.12.135.22"</f>
        <v>10.12.135.22</v>
      </c>
      <c r="G17199" s="1" t="str">
        <f>"0025X391"</f>
        <v>0025X391</v>
      </c>
      <c r="H17199" s="1" t="str">
        <f>"다산로 L26"</f>
        <v>다산로 L26</v>
      </c>
      <c r="I17199" s="1" t="s">
        <v>17</v>
      </c>
      <c r="J17199" s="1" t="str">
        <f>"0/0"</f>
        <v>0/0</v>
      </c>
      <c r="K17199" s="1" t="str">
        <f>"2026-06-10 07:18:02"</f>
        <v>2026-06-10 07:18:02</v>
      </c>
      <c r="L17199" s="1" t="str">
        <f>"2018-10-10 09:11:24"</f>
        <v>2018-10-10 09:11:24</v>
      </c>
      <c r="M17199" s="1" t="s">
        <v>0</v>
      </c>
      <c r="N17199" s="1" t="s">
        <v>39</v>
      </c>
      <c r="O17199" s="1" t="s">
        <v>46</v>
      </c>
    </row>
    <row r="17200" spans="2:15" x14ac:dyDescent="0.3">
      <c r="B17200" s="1" t="s">
        <v>13</v>
      </c>
      <c r="C17200" s="1" t="str">
        <f>"6차"</f>
        <v>6차</v>
      </c>
      <c r="D17200" s="1" t="str">
        <f>"0025X4916S"</f>
        <v>0025X4916S</v>
      </c>
      <c r="E17200" s="1" t="s">
        <v>10</v>
      </c>
      <c r="F17200" s="1" t="str">
        <f>"fde1:103:4:c675:0:0:0:2"</f>
        <v>fde1:103:4:c675:0:0:0:2</v>
      </c>
      <c r="G17200" s="1" t="str">
        <f>"0025X491"</f>
        <v>0025X491</v>
      </c>
      <c r="H17200" s="1" t="str">
        <f>"충현지 23R3"</f>
        <v>충현지 23R3</v>
      </c>
      <c r="I17200" s="1" t="s">
        <v>15</v>
      </c>
      <c r="J17200" s="1" t="str">
        <f>"18/18"</f>
        <v>18/18</v>
      </c>
      <c r="K17200" s="1" t="str">
        <f>"2026-07-29 14:20:04"</f>
        <v>2026-07-29 14:20:04</v>
      </c>
      <c r="L17200" s="1" t="str">
        <f>"2024-11-19 11:27:44"</f>
        <v>2024-11-19 11:27:44</v>
      </c>
      <c r="M17200" s="1" t="s">
        <v>4</v>
      </c>
      <c r="N17200" s="1" t="s">
        <v>38</v>
      </c>
      <c r="O17200" s="1" t="s">
        <v>46</v>
      </c>
    </row>
    <row r="17201" spans="2:15" x14ac:dyDescent="0.3">
      <c r="B17201" s="1" t="s">
        <v>13</v>
      </c>
      <c r="C17201" s="1" t="str">
        <f>"6차"</f>
        <v>6차</v>
      </c>
      <c r="D17201" s="1" t="str">
        <f>"0025X5916S"</f>
        <v>0025X5916S</v>
      </c>
      <c r="E17201" s="1" t="s">
        <v>10</v>
      </c>
      <c r="F17201" s="1" t="str">
        <f>"fde1:103:4:c68e:0:0:0:2"</f>
        <v>fde1:103:4:c68e:0:0:0:2</v>
      </c>
      <c r="G17201" s="1" t="str">
        <f>"0025X591"</f>
        <v>0025X591</v>
      </c>
      <c r="H17201" s="1" t="str">
        <f>"충현지 23R3L1"</f>
        <v>충현지 23R3L1</v>
      </c>
      <c r="I17201" s="1" t="s">
        <v>15</v>
      </c>
      <c r="J17201" s="1" t="str">
        <f>"49/49"</f>
        <v>49/49</v>
      </c>
      <c r="K17201" s="1" t="str">
        <f>"2026-07-29 14:20:04"</f>
        <v>2026-07-29 14:20:04</v>
      </c>
      <c r="L17201" s="1" t="str">
        <f>"2024-11-19 11:30:58"</f>
        <v>2024-11-19 11:30:58</v>
      </c>
      <c r="M17201" s="1" t="s">
        <v>4</v>
      </c>
      <c r="N17201" s="1" t="s">
        <v>38</v>
      </c>
      <c r="O17201" s="1" t="s">
        <v>46</v>
      </c>
    </row>
    <row r="17202" spans="2:15" x14ac:dyDescent="0.3">
      <c r="B17202" s="1" t="s">
        <v>13</v>
      </c>
      <c r="C17202" s="1" t="str">
        <f>"4차"</f>
        <v>4차</v>
      </c>
      <c r="D17202" s="1" t="str">
        <f>"0025X89545"</f>
        <v>0025X89545</v>
      </c>
      <c r="E17202" s="1" t="s">
        <v>10</v>
      </c>
      <c r="F17202" s="1" t="str">
        <f>"10.14.5.4"</f>
        <v>10.14.5.4</v>
      </c>
      <c r="G17202" s="1" t="str">
        <f>"0025X895"</f>
        <v>0025X895</v>
      </c>
      <c r="H17202" s="1" t="str">
        <f>"동호로 7"</f>
        <v>동호로 7</v>
      </c>
      <c r="I17202" s="1" t="s">
        <v>17</v>
      </c>
      <c r="J17202" s="1" t="str">
        <f>"5/5"</f>
        <v>5/5</v>
      </c>
      <c r="K17202" s="1" t="str">
        <f>"2026-07-29 13:18:01"</f>
        <v>2026-07-29 13:18:01</v>
      </c>
      <c r="L17202" s="1" t="str">
        <f>"2021-06-21 15:34:19"</f>
        <v>2021-06-21 15:34:19</v>
      </c>
      <c r="M17202" s="1" t="s">
        <v>3</v>
      </c>
      <c r="N17202" s="1" t="s">
        <v>38</v>
      </c>
      <c r="O17202" s="1" t="s">
        <v>46</v>
      </c>
    </row>
    <row r="17203" spans="2:15" x14ac:dyDescent="0.3">
      <c r="B17203" s="1" t="s">
        <v>13</v>
      </c>
      <c r="C17203" s="1" t="str">
        <f>"4차"</f>
        <v>4차</v>
      </c>
      <c r="D17203" s="1" t="str">
        <f>"0025X89645"</f>
        <v>0025X89645</v>
      </c>
      <c r="E17203" s="1" t="s">
        <v>10</v>
      </c>
      <c r="F17203" s="1" t="str">
        <f>"10.14.6.9"</f>
        <v>10.14.6.9</v>
      </c>
      <c r="G17203" s="1" t="str">
        <f>"0025X896"</f>
        <v>0025X896</v>
      </c>
      <c r="H17203" s="1" t="str">
        <f>"동호로 8"</f>
        <v>동호로 8</v>
      </c>
      <c r="I17203" s="1" t="s">
        <v>17</v>
      </c>
      <c r="J17203" s="1" t="str">
        <f>"18/22"</f>
        <v>18/22</v>
      </c>
      <c r="K17203" s="1" t="str">
        <f>"2026-07-29 13:18:01"</f>
        <v>2026-07-29 13:18:01</v>
      </c>
      <c r="L17203" s="1" t="str">
        <f>"2021-06-21 15:51:08"</f>
        <v>2021-06-21 15:51:08</v>
      </c>
      <c r="M17203" s="1" t="s">
        <v>3</v>
      </c>
      <c r="N17203" s="1" t="s">
        <v>38</v>
      </c>
      <c r="O17203" s="1" t="s">
        <v>46</v>
      </c>
    </row>
    <row r="17204" spans="2:15" x14ac:dyDescent="0.3">
      <c r="B17204" s="1" t="s">
        <v>13</v>
      </c>
      <c r="C17204" s="1" t="str">
        <f>"4차"</f>
        <v>4차</v>
      </c>
      <c r="D17204" s="1" t="str">
        <f>"0025X99144"</f>
        <v>0025X99144</v>
      </c>
      <c r="E17204" s="1" t="s">
        <v>10</v>
      </c>
      <c r="F17204" s="1" t="str">
        <f>"10.10.124.10"</f>
        <v>10.10.124.10</v>
      </c>
      <c r="G17204" s="1" t="str">
        <f>"0025X991"</f>
        <v>0025X991</v>
      </c>
      <c r="H17204" s="1" t="str">
        <f>"옥수지 11"</f>
        <v>옥수지 11</v>
      </c>
      <c r="I17204" s="1" t="s">
        <v>8</v>
      </c>
      <c r="J17204" s="1" t="str">
        <f>"37/37"</f>
        <v>37/37</v>
      </c>
      <c r="K17204" s="1" t="str">
        <f>"2026-07-29 13:18:00"</f>
        <v>2026-07-29 13:18:00</v>
      </c>
      <c r="L17204" s="1" t="str">
        <f>"2019-12-11 18:22:48"</f>
        <v>2019-12-11 18:22:48</v>
      </c>
      <c r="M17204" s="1" t="s">
        <v>1</v>
      </c>
      <c r="N17204" s="1" t="s">
        <v>38</v>
      </c>
      <c r="O17204" s="1" t="s">
        <v>46</v>
      </c>
    </row>
    <row r="17205" spans="2:15" x14ac:dyDescent="0.3">
      <c r="B17205" s="1" t="s">
        <v>13</v>
      </c>
      <c r="C17205" s="1" t="str">
        <f>"4차"</f>
        <v>4차</v>
      </c>
      <c r="D17205" s="1" t="str">
        <f>"0026A01139"</f>
        <v>0026A01139</v>
      </c>
      <c r="E17205" s="1" t="s">
        <v>10</v>
      </c>
      <c r="F17205" s="1" t="str">
        <f>"10.11.26.138"</f>
        <v>10.11.26.138</v>
      </c>
      <c r="G17205" s="1" t="str">
        <f>"0026A011"</f>
        <v>0026A011</v>
      </c>
      <c r="H17205" s="1" t="str">
        <f>"별궁지 18R8"</f>
        <v>별궁지 18R8</v>
      </c>
      <c r="I17205" s="1" t="s">
        <v>8</v>
      </c>
      <c r="J17205" s="1" t="str">
        <f>"17/21"</f>
        <v>17/21</v>
      </c>
      <c r="K17205" s="1" t="str">
        <f t="shared" ref="K17205:K17218" si="846">"2026-07-29 13:18:01"</f>
        <v>2026-07-29 13:18:01</v>
      </c>
      <c r="L17205" s="1" t="str">
        <f>"2017-12-09 16:52:00"</f>
        <v>2017-12-09 16:52:00</v>
      </c>
      <c r="M17205" s="1" t="s">
        <v>2</v>
      </c>
      <c r="N17205" s="1" t="s">
        <v>38</v>
      </c>
      <c r="O17205" s="1" t="s">
        <v>46</v>
      </c>
    </row>
    <row r="17206" spans="2:15" x14ac:dyDescent="0.3">
      <c r="B17206" s="1" t="s">
        <v>13</v>
      </c>
      <c r="C17206" s="1" t="str">
        <f t="shared" ref="C17206:C17215" si="847">"3차"</f>
        <v>3차</v>
      </c>
      <c r="D17206" s="1" t="str">
        <f>"0026A10139"</f>
        <v>0026A10139</v>
      </c>
      <c r="E17206" s="1" t="s">
        <v>10</v>
      </c>
      <c r="F17206" s="1" t="str">
        <f>"10.11.30.202"</f>
        <v>10.11.30.202</v>
      </c>
      <c r="G17206" s="1" t="str">
        <f>"0026A101"</f>
        <v>0026A101</v>
      </c>
      <c r="H17206" s="1" t="str">
        <f>"돈의지 7"</f>
        <v>돈의지 7</v>
      </c>
      <c r="I17206" s="1" t="s">
        <v>8</v>
      </c>
      <c r="J17206" s="1" t="str">
        <f>"33/33"</f>
        <v>33/33</v>
      </c>
      <c r="K17206" s="1" t="str">
        <f t="shared" si="846"/>
        <v>2026-07-29 13:18:01</v>
      </c>
      <c r="L17206" s="1" t="str">
        <f>"2018-02-13 18:01:05"</f>
        <v>2018-02-13 18:01:05</v>
      </c>
      <c r="M17206" s="1" t="s">
        <v>2</v>
      </c>
      <c r="N17206" s="1" t="s">
        <v>38</v>
      </c>
      <c r="O17206" s="1" t="s">
        <v>46</v>
      </c>
    </row>
    <row r="17207" spans="2:15" x14ac:dyDescent="0.3">
      <c r="B17207" s="1" t="s">
        <v>13</v>
      </c>
      <c r="C17207" s="1" t="str">
        <f t="shared" si="847"/>
        <v>3차</v>
      </c>
      <c r="D17207" s="1" t="str">
        <f>"0026A10239"</f>
        <v>0026A10239</v>
      </c>
      <c r="E17207" s="1" t="s">
        <v>10</v>
      </c>
      <c r="F17207" s="1" t="str">
        <f>"10.11.12.146"</f>
        <v>10.11.12.146</v>
      </c>
      <c r="G17207" s="1" t="str">
        <f>"0026A102"</f>
        <v>0026A102</v>
      </c>
      <c r="H17207" s="1" t="str">
        <f>"돈의지 8"</f>
        <v>돈의지 8</v>
      </c>
      <c r="I17207" s="1" t="s">
        <v>8</v>
      </c>
      <c r="J17207" s="1" t="str">
        <f>"26/26"</f>
        <v>26/26</v>
      </c>
      <c r="K17207" s="1" t="str">
        <f t="shared" si="846"/>
        <v>2026-07-29 13:18:01</v>
      </c>
      <c r="L17207" s="1" t="str">
        <f>"2018-02-26 17:48:51"</f>
        <v>2018-02-26 17:48:51</v>
      </c>
      <c r="M17207" s="1" t="s">
        <v>2</v>
      </c>
      <c r="N17207" s="1" t="s">
        <v>38</v>
      </c>
      <c r="O17207" s="1" t="s">
        <v>46</v>
      </c>
    </row>
    <row r="17208" spans="2:15" x14ac:dyDescent="0.3">
      <c r="B17208" s="1" t="s">
        <v>13</v>
      </c>
      <c r="C17208" s="1" t="str">
        <f t="shared" si="847"/>
        <v>3차</v>
      </c>
      <c r="D17208" s="1" t="str">
        <f>"0026A12239"</f>
        <v>0026A12239</v>
      </c>
      <c r="E17208" s="1" t="s">
        <v>10</v>
      </c>
      <c r="F17208" s="1" t="str">
        <f>"10.11.12.138"</f>
        <v>10.11.12.138</v>
      </c>
      <c r="G17208" s="1" t="str">
        <f>"0026A122"</f>
        <v>0026A122</v>
      </c>
      <c r="H17208" s="1" t="str">
        <f>"돈의지 4"</f>
        <v>돈의지 4</v>
      </c>
      <c r="I17208" s="1" t="s">
        <v>8</v>
      </c>
      <c r="J17208" s="1" t="str">
        <f>"8/8"</f>
        <v>8/8</v>
      </c>
      <c r="K17208" s="1" t="str">
        <f t="shared" si="846"/>
        <v>2026-07-29 13:18:01</v>
      </c>
      <c r="L17208" s="1" t="str">
        <f>"2018-02-26 17:49:51"</f>
        <v>2018-02-26 17:49:51</v>
      </c>
      <c r="M17208" s="1" t="s">
        <v>2</v>
      </c>
      <c r="N17208" s="1" t="s">
        <v>38</v>
      </c>
      <c r="O17208" s="1" t="s">
        <v>46</v>
      </c>
    </row>
    <row r="17209" spans="2:15" x14ac:dyDescent="0.3">
      <c r="B17209" s="1" t="s">
        <v>13</v>
      </c>
      <c r="C17209" s="1" t="str">
        <f t="shared" si="847"/>
        <v>3차</v>
      </c>
      <c r="D17209" s="1" t="str">
        <f>"0026A13139"</f>
        <v>0026A13139</v>
      </c>
      <c r="E17209" s="1" t="s">
        <v>10</v>
      </c>
      <c r="F17209" s="1" t="str">
        <f>"10.11.30.194"</f>
        <v>10.11.30.194</v>
      </c>
      <c r="G17209" s="1" t="str">
        <f>"0026A131"</f>
        <v>0026A131</v>
      </c>
      <c r="H17209" s="1" t="str">
        <f>"돈의지 2"</f>
        <v>돈의지 2</v>
      </c>
      <c r="I17209" s="1" t="s">
        <v>8</v>
      </c>
      <c r="J17209" s="1" t="str">
        <f>"8/8"</f>
        <v>8/8</v>
      </c>
      <c r="K17209" s="1" t="str">
        <f t="shared" si="846"/>
        <v>2026-07-29 13:18:01</v>
      </c>
      <c r="L17209" s="1" t="str">
        <f>"2018-02-13 14:37:28"</f>
        <v>2018-02-13 14:37:28</v>
      </c>
      <c r="M17209" s="1" t="s">
        <v>2</v>
      </c>
      <c r="N17209" s="1" t="s">
        <v>38</v>
      </c>
      <c r="O17209" s="1" t="s">
        <v>46</v>
      </c>
    </row>
    <row r="17210" spans="2:15" x14ac:dyDescent="0.3">
      <c r="B17210" s="1" t="s">
        <v>13</v>
      </c>
      <c r="C17210" s="1" t="str">
        <f t="shared" si="847"/>
        <v>3차</v>
      </c>
      <c r="D17210" s="1" t="str">
        <f>"0026A23239"</f>
        <v>0026A23239</v>
      </c>
      <c r="E17210" s="1" t="s">
        <v>10</v>
      </c>
      <c r="F17210" s="1" t="str">
        <f>"10.11.38.130"</f>
        <v>10.11.38.130</v>
      </c>
      <c r="G17210" s="1" t="str">
        <f>"0026A232"</f>
        <v>0026A232</v>
      </c>
      <c r="H17210" s="1" t="str">
        <f>"창덕궁간 20R3"</f>
        <v>창덕궁간 20R3</v>
      </c>
      <c r="I17210" s="1" t="s">
        <v>8</v>
      </c>
      <c r="J17210" s="1" t="str">
        <f>"51/52"</f>
        <v>51/52</v>
      </c>
      <c r="K17210" s="1" t="str">
        <f t="shared" si="846"/>
        <v>2026-07-29 13:18:01</v>
      </c>
      <c r="L17210" s="1" t="str">
        <f>"2018-05-15 11:14:11"</f>
        <v>2018-05-15 11:14:11</v>
      </c>
      <c r="M17210" s="1" t="s">
        <v>2</v>
      </c>
      <c r="N17210" s="1" t="s">
        <v>38</v>
      </c>
      <c r="O17210" s="1" t="s">
        <v>46</v>
      </c>
    </row>
    <row r="17211" spans="2:15" x14ac:dyDescent="0.3">
      <c r="B17211" s="1" t="s">
        <v>13</v>
      </c>
      <c r="C17211" s="1" t="str">
        <f t="shared" si="847"/>
        <v>3차</v>
      </c>
      <c r="D17211" s="1" t="str">
        <f>"0026A24139"</f>
        <v>0026A24139</v>
      </c>
      <c r="E17211" s="1" t="s">
        <v>10</v>
      </c>
      <c r="F17211" s="1" t="str">
        <f>"10.11.19.50"</f>
        <v>10.11.19.50</v>
      </c>
      <c r="G17211" s="1" t="str">
        <f>"0026A241"</f>
        <v>0026A241</v>
      </c>
      <c r="H17211" s="1" t="str">
        <f>"창덕궁간 20R2"</f>
        <v>창덕궁간 20R2</v>
      </c>
      <c r="I17211" s="1" t="s">
        <v>8</v>
      </c>
      <c r="J17211" s="1" t="str">
        <f>"12/12"</f>
        <v>12/12</v>
      </c>
      <c r="K17211" s="1" t="str">
        <f t="shared" si="846"/>
        <v>2026-07-29 13:18:01</v>
      </c>
      <c r="L17211" s="1" t="str">
        <f>"2018-06-16 11:30:26"</f>
        <v>2018-06-16 11:30:26</v>
      </c>
      <c r="M17211" s="1" t="s">
        <v>2</v>
      </c>
      <c r="N17211" s="1" t="s">
        <v>38</v>
      </c>
      <c r="O17211" s="1" t="s">
        <v>46</v>
      </c>
    </row>
    <row r="17212" spans="2:15" x14ac:dyDescent="0.3">
      <c r="B17212" s="1" t="s">
        <v>13</v>
      </c>
      <c r="C17212" s="1" t="str">
        <f t="shared" si="847"/>
        <v>3차</v>
      </c>
      <c r="D17212" s="1" t="str">
        <f>"0026A32139"</f>
        <v>0026A32139</v>
      </c>
      <c r="E17212" s="1" t="s">
        <v>10</v>
      </c>
      <c r="F17212" s="1" t="str">
        <f>"10.11.38.146"</f>
        <v>10.11.38.146</v>
      </c>
      <c r="G17212" s="1" t="str">
        <f>"0026A321"</f>
        <v>0026A321</v>
      </c>
      <c r="H17212" s="1" t="str">
        <f>"창덕궁간 23R6"</f>
        <v>창덕궁간 23R6</v>
      </c>
      <c r="I17212" s="1" t="s">
        <v>8</v>
      </c>
      <c r="J17212" s="1" t="str">
        <f>"16/18"</f>
        <v>16/18</v>
      </c>
      <c r="K17212" s="1" t="str">
        <f t="shared" si="846"/>
        <v>2026-07-29 13:18:01</v>
      </c>
      <c r="L17212" s="1" t="str">
        <f>"2018-05-15 11:24:11"</f>
        <v>2018-05-15 11:24:11</v>
      </c>
      <c r="M17212" s="1" t="s">
        <v>2</v>
      </c>
      <c r="N17212" s="1" t="s">
        <v>38</v>
      </c>
      <c r="O17212" s="1" t="s">
        <v>46</v>
      </c>
    </row>
    <row r="17213" spans="2:15" x14ac:dyDescent="0.3">
      <c r="B17213" s="1" t="s">
        <v>13</v>
      </c>
      <c r="C17213" s="1" t="str">
        <f t="shared" si="847"/>
        <v>3차</v>
      </c>
      <c r="D17213" s="1" t="str">
        <f>"0026A32339"</f>
        <v>0026A32339</v>
      </c>
      <c r="E17213" s="1" t="s">
        <v>10</v>
      </c>
      <c r="F17213" s="1" t="str">
        <f>"10.11.19.58"</f>
        <v>10.11.19.58</v>
      </c>
      <c r="G17213" s="1" t="str">
        <f>"0026A323"</f>
        <v>0026A323</v>
      </c>
      <c r="H17213" s="1" t="str">
        <f>"창덕궁간 23R5"</f>
        <v>창덕궁간 23R5</v>
      </c>
      <c r="I17213" s="1" t="s">
        <v>8</v>
      </c>
      <c r="J17213" s="1" t="str">
        <f>"32/32"</f>
        <v>32/32</v>
      </c>
      <c r="K17213" s="1" t="str">
        <f t="shared" si="846"/>
        <v>2026-07-29 13:18:01</v>
      </c>
      <c r="L17213" s="1" t="str">
        <f>"2018-05-15 11:18:40"</f>
        <v>2018-05-15 11:18:40</v>
      </c>
      <c r="M17213" s="1" t="s">
        <v>2</v>
      </c>
      <c r="N17213" s="1" t="s">
        <v>38</v>
      </c>
      <c r="O17213" s="1" t="s">
        <v>46</v>
      </c>
    </row>
    <row r="17214" spans="2:15" x14ac:dyDescent="0.3">
      <c r="B17214" s="1" t="s">
        <v>13</v>
      </c>
      <c r="C17214" s="1" t="str">
        <f t="shared" si="847"/>
        <v>3차</v>
      </c>
      <c r="D17214" s="1" t="str">
        <f>"0026A34139"</f>
        <v>0026A34139</v>
      </c>
      <c r="E17214" s="1" t="s">
        <v>10</v>
      </c>
      <c r="F17214" s="1" t="str">
        <f>"10.11.38.138"</f>
        <v>10.11.38.138</v>
      </c>
      <c r="G17214" s="1" t="str">
        <f>"0026A341"</f>
        <v>0026A341</v>
      </c>
      <c r="H17214" s="1" t="str">
        <f>"창덕궁간 20R2L1"</f>
        <v>창덕궁간 20R2L1</v>
      </c>
      <c r="I17214" s="1" t="s">
        <v>8</v>
      </c>
      <c r="J17214" s="1" t="str">
        <f>"13/13"</f>
        <v>13/13</v>
      </c>
      <c r="K17214" s="1" t="str">
        <f t="shared" si="846"/>
        <v>2026-07-29 13:18:01</v>
      </c>
      <c r="L17214" s="1" t="str">
        <f>"2018-05-15 11:26:42"</f>
        <v>2018-05-15 11:26:42</v>
      </c>
      <c r="M17214" s="1" t="s">
        <v>2</v>
      </c>
      <c r="N17214" s="1" t="s">
        <v>38</v>
      </c>
      <c r="O17214" s="1" t="s">
        <v>46</v>
      </c>
    </row>
    <row r="17215" spans="2:15" x14ac:dyDescent="0.3">
      <c r="B17215" s="1" t="s">
        <v>13</v>
      </c>
      <c r="C17215" s="1" t="str">
        <f t="shared" si="847"/>
        <v>3차</v>
      </c>
      <c r="D17215" s="1" t="str">
        <f>"0026A45139"</f>
        <v>0026A45139</v>
      </c>
      <c r="E17215" s="1" t="s">
        <v>10</v>
      </c>
      <c r="F17215" s="1" t="str">
        <f>"10.11.27.50"</f>
        <v>10.11.27.50</v>
      </c>
      <c r="G17215" s="1" t="str">
        <f>"0026A451"</f>
        <v>0026A451</v>
      </c>
      <c r="H17215" s="1" t="str">
        <f>"창덕궁간 23R2"</f>
        <v>창덕궁간 23R2</v>
      </c>
      <c r="I17215" s="1" t="s">
        <v>8</v>
      </c>
      <c r="J17215" s="1" t="str">
        <f>"16/16"</f>
        <v>16/16</v>
      </c>
      <c r="K17215" s="1" t="str">
        <f t="shared" si="846"/>
        <v>2026-07-29 13:18:01</v>
      </c>
      <c r="L17215" s="1" t="str">
        <f>"2017-12-11 17:26:32"</f>
        <v>2017-12-11 17:26:32</v>
      </c>
      <c r="M17215" s="1" t="s">
        <v>2</v>
      </c>
      <c r="N17215" s="1" t="s">
        <v>38</v>
      </c>
      <c r="O17215" s="1" t="s">
        <v>46</v>
      </c>
    </row>
    <row r="17216" spans="2:15" x14ac:dyDescent="0.3">
      <c r="B17216" s="1" t="s">
        <v>13</v>
      </c>
      <c r="C17216" s="1" t="str">
        <f>"4차"</f>
        <v>4차</v>
      </c>
      <c r="D17216" s="1" t="str">
        <f>"0026B11139"</f>
        <v>0026B11139</v>
      </c>
      <c r="E17216" s="1" t="s">
        <v>10</v>
      </c>
      <c r="F17216" s="1" t="str">
        <f>"10.11.25.170"</f>
        <v>10.11.25.170</v>
      </c>
      <c r="G17216" s="1" t="str">
        <f>"0026B111"</f>
        <v>0026B111</v>
      </c>
      <c r="H17216" s="1" t="str">
        <f>"동소문간 14L4L1"</f>
        <v>동소문간 14L4L1</v>
      </c>
      <c r="I17216" s="1" t="s">
        <v>8</v>
      </c>
      <c r="J17216" s="1" t="str">
        <f>"24/24"</f>
        <v>24/24</v>
      </c>
      <c r="K17216" s="1" t="str">
        <f t="shared" si="846"/>
        <v>2026-07-29 13:18:01</v>
      </c>
      <c r="L17216" s="1" t="str">
        <f>"2017-12-09 13:04:13"</f>
        <v>2017-12-09 13:04:13</v>
      </c>
      <c r="M17216" s="1" t="s">
        <v>2</v>
      </c>
      <c r="N17216" s="1" t="s">
        <v>38</v>
      </c>
      <c r="O17216" s="1" t="s">
        <v>46</v>
      </c>
    </row>
    <row r="17217" spans="2:15" x14ac:dyDescent="0.3">
      <c r="B17217" s="1" t="s">
        <v>13</v>
      </c>
      <c r="C17217" s="1" t="str">
        <f>"3차"</f>
        <v>3차</v>
      </c>
      <c r="D17217" s="1" t="str">
        <f>"0026B20439"</f>
        <v>0026B20439</v>
      </c>
      <c r="E17217" s="1" t="s">
        <v>10</v>
      </c>
      <c r="F17217" s="1" t="str">
        <f>"10.11.25.162"</f>
        <v>10.11.25.162</v>
      </c>
      <c r="G17217" s="1" t="str">
        <f>"0026B204"</f>
        <v>0026B204</v>
      </c>
      <c r="H17217" s="1" t="str">
        <f>"동소문간 14L3L1"</f>
        <v>동소문간 14L3L1</v>
      </c>
      <c r="I17217" s="1" t="s">
        <v>8</v>
      </c>
      <c r="J17217" s="1" t="str">
        <f>"109/110"</f>
        <v>109/110</v>
      </c>
      <c r="K17217" s="1" t="str">
        <f t="shared" si="846"/>
        <v>2026-07-29 13:18:01</v>
      </c>
      <c r="L17217" s="1" t="str">
        <f>"2017-12-09 13:30:14"</f>
        <v>2017-12-09 13:30:14</v>
      </c>
      <c r="M17217" s="1" t="s">
        <v>2</v>
      </c>
      <c r="N17217" s="1" t="s">
        <v>38</v>
      </c>
      <c r="O17217" s="1" t="s">
        <v>46</v>
      </c>
    </row>
    <row r="17218" spans="2:15" x14ac:dyDescent="0.3">
      <c r="B17218" s="1" t="s">
        <v>13</v>
      </c>
      <c r="C17218" s="1" t="str">
        <f>"4차"</f>
        <v>4차</v>
      </c>
      <c r="D17218" s="1" t="str">
        <f>"0026B30139"</f>
        <v>0026B30139</v>
      </c>
      <c r="E17218" s="1" t="s">
        <v>10</v>
      </c>
      <c r="F17218" s="1" t="str">
        <f>"10.12.130.102"</f>
        <v>10.12.130.102</v>
      </c>
      <c r="G17218" s="1" t="str">
        <f>"0026B301"</f>
        <v>0026B301</v>
      </c>
      <c r="H17218" s="1" t="str">
        <f>"동소문로 7"</f>
        <v>동소문로 7</v>
      </c>
      <c r="I17218" s="1" t="s">
        <v>17</v>
      </c>
      <c r="J17218" s="1" t="str">
        <f>"2/5"</f>
        <v>2/5</v>
      </c>
      <c r="K17218" s="1" t="str">
        <f t="shared" si="846"/>
        <v>2026-07-29 13:18:01</v>
      </c>
      <c r="L17218" s="1" t="str">
        <f>"2018-04-20 16:31:02"</f>
        <v>2018-04-20 16:31:02</v>
      </c>
      <c r="M17218" s="1" t="s">
        <v>0</v>
      </c>
      <c r="N17218" s="1" t="s">
        <v>38</v>
      </c>
      <c r="O17218" s="1" t="s">
        <v>46</v>
      </c>
    </row>
    <row r="17219" spans="2:15" x14ac:dyDescent="0.3">
      <c r="B17219" s="1" t="s">
        <v>13</v>
      </c>
      <c r="C17219" s="1" t="str">
        <f>"5-1차"</f>
        <v>5-1차</v>
      </c>
      <c r="D17219" s="1" t="str">
        <f>"0026B4035M"</f>
        <v>0026B4035M</v>
      </c>
      <c r="E17219" s="1" t="s">
        <v>10</v>
      </c>
      <c r="F17219" s="1" t="str">
        <f>"fde3:102:1304:3700:0:0:0:2"</f>
        <v>fde3:102:1304:3700:0:0:0:2</v>
      </c>
      <c r="G17219" s="1" t="str">
        <f>"0026B403"</f>
        <v>0026B403</v>
      </c>
      <c r="H17219" s="1" t="str">
        <f>"동소문간 14R2"</f>
        <v>동소문간 14R2</v>
      </c>
      <c r="I17219" s="1" t="s">
        <v>15</v>
      </c>
      <c r="J17219" s="1" t="str">
        <f>"20/20"</f>
        <v>20/20</v>
      </c>
      <c r="K17219" s="1" t="str">
        <f>"2026-07-29 14:20:05"</f>
        <v>2026-07-29 14:20:05</v>
      </c>
      <c r="L17219" s="1" t="str">
        <f>"2022-11-30 15:30:49"</f>
        <v>2022-11-30 15:30:49</v>
      </c>
      <c r="M17219" s="1" t="s">
        <v>45</v>
      </c>
      <c r="N17219" s="1" t="s">
        <v>38</v>
      </c>
      <c r="O17219" s="1" t="s">
        <v>46</v>
      </c>
    </row>
    <row r="17220" spans="2:15" x14ac:dyDescent="0.3">
      <c r="B17220" s="1" t="s">
        <v>13</v>
      </c>
      <c r="C17220" s="1" t="str">
        <f>"4차"</f>
        <v>4차</v>
      </c>
      <c r="D17220" s="1" t="str">
        <f>"0026B41339"</f>
        <v>0026B41339</v>
      </c>
      <c r="E17220" s="1" t="s">
        <v>10</v>
      </c>
      <c r="F17220" s="1" t="str">
        <f>"10.11.25.178"</f>
        <v>10.11.25.178</v>
      </c>
      <c r="G17220" s="1" t="str">
        <f>"0026B413"</f>
        <v>0026B413</v>
      </c>
      <c r="H17220" s="1" t="str">
        <f>"동소문간 14R2L1"</f>
        <v>동소문간 14R2L1</v>
      </c>
      <c r="I17220" s="1" t="s">
        <v>8</v>
      </c>
      <c r="J17220" s="1" t="str">
        <f>"8/8"</f>
        <v>8/8</v>
      </c>
      <c r="K17220" s="1" t="str">
        <f>"2026-07-29 13:18:01"</f>
        <v>2026-07-29 13:18:01</v>
      </c>
      <c r="L17220" s="1" t="str">
        <f>"2017-12-09 13:59:59"</f>
        <v>2017-12-09 13:59:59</v>
      </c>
      <c r="M17220" s="1" t="s">
        <v>2</v>
      </c>
      <c r="N17220" s="1" t="s">
        <v>38</v>
      </c>
      <c r="O17220" s="1" t="s">
        <v>46</v>
      </c>
    </row>
    <row r="17221" spans="2:15" x14ac:dyDescent="0.3">
      <c r="B17221" s="1" t="s">
        <v>13</v>
      </c>
      <c r="C17221" s="1" t="str">
        <f>"4차"</f>
        <v>4차</v>
      </c>
      <c r="D17221" s="1" t="str">
        <f>"0026B51139"</f>
        <v>0026B51139</v>
      </c>
      <c r="E17221" s="1" t="s">
        <v>10</v>
      </c>
      <c r="F17221" s="1" t="str">
        <f>"10.11.25.186"</f>
        <v>10.11.25.186</v>
      </c>
      <c r="G17221" s="1" t="str">
        <f>"0026B511"</f>
        <v>0026B511</v>
      </c>
      <c r="H17221" s="1" t="str">
        <f>"동소문간 14R4"</f>
        <v>동소문간 14R4</v>
      </c>
      <c r="I17221" s="1" t="s">
        <v>8</v>
      </c>
      <c r="J17221" s="1" t="str">
        <f>"14/14"</f>
        <v>14/14</v>
      </c>
      <c r="K17221" s="1" t="str">
        <f>"2026-07-29 13:18:01"</f>
        <v>2026-07-29 13:18:01</v>
      </c>
      <c r="L17221" s="1" t="str">
        <f>"2018-03-02 15:36:28"</f>
        <v>2018-03-02 15:36:28</v>
      </c>
      <c r="M17221" s="1" t="s">
        <v>2</v>
      </c>
      <c r="N17221" s="1" t="s">
        <v>38</v>
      </c>
      <c r="O17221" s="1" t="s">
        <v>46</v>
      </c>
    </row>
    <row r="17222" spans="2:15" x14ac:dyDescent="0.3">
      <c r="B17222" s="1" t="s">
        <v>13</v>
      </c>
      <c r="C17222" s="1" t="str">
        <f>"3차"</f>
        <v>3차</v>
      </c>
      <c r="D17222" s="1" t="str">
        <f>"0026B60139"</f>
        <v>0026B60139</v>
      </c>
      <c r="E17222" s="1" t="s">
        <v>10</v>
      </c>
      <c r="F17222" s="1" t="str">
        <f>"10.11.12.234"</f>
        <v>10.11.12.234</v>
      </c>
      <c r="G17222" s="1" t="str">
        <f>"0026B601"</f>
        <v>0026B601</v>
      </c>
      <c r="H17222" s="1" t="str">
        <f>"동소문간 10R1L2L2R1"</f>
        <v>동소문간 10R1L2L2R1</v>
      </c>
      <c r="I17222" s="1" t="s">
        <v>8</v>
      </c>
      <c r="J17222" s="1" t="str">
        <f>"22/22"</f>
        <v>22/22</v>
      </c>
      <c r="K17222" s="1" t="str">
        <f>"2026-07-29 13:18:01"</f>
        <v>2026-07-29 13:18:01</v>
      </c>
      <c r="L17222" s="1" t="str">
        <f>"2018-05-17 15:40:12"</f>
        <v>2018-05-17 15:40:12</v>
      </c>
      <c r="M17222" s="1" t="s">
        <v>2</v>
      </c>
      <c r="N17222" s="1" t="s">
        <v>38</v>
      </c>
      <c r="O17222" s="1" t="s">
        <v>46</v>
      </c>
    </row>
    <row r="17223" spans="2:15" x14ac:dyDescent="0.3">
      <c r="B17223" s="1" t="s">
        <v>13</v>
      </c>
      <c r="C17223" s="1" t="s">
        <v>16</v>
      </c>
      <c r="D17223" s="1" t="str">
        <f>"0026B7415S"</f>
        <v>0026B7415S</v>
      </c>
      <c r="E17223" s="1" t="s">
        <v>10</v>
      </c>
      <c r="F17223" s="1" t="str">
        <f>"fde3:102:1304:340a:0:0:0:2"</f>
        <v>fde3:102:1304:340a:0:0:0:2</v>
      </c>
      <c r="G17223" s="1" t="str">
        <f>"0026B741"</f>
        <v>0026B741</v>
      </c>
      <c r="H17223" s="1" t="str">
        <f>"대학간 16L5R3"</f>
        <v>대학간 16L5R3</v>
      </c>
      <c r="I17223" s="1" t="s">
        <v>15</v>
      </c>
      <c r="J17223" s="1" t="str">
        <f>"74/75"</f>
        <v>74/75</v>
      </c>
      <c r="K17223" s="1" t="str">
        <f>"2026-07-29 14:20:15"</f>
        <v>2026-07-29 14:20:15</v>
      </c>
      <c r="L17223" s="1" t="str">
        <f>"2023-08-01 10:47:27"</f>
        <v>2023-08-01 10:47:27</v>
      </c>
      <c r="M17223" s="1" t="s">
        <v>45</v>
      </c>
      <c r="N17223" s="1" t="s">
        <v>38</v>
      </c>
      <c r="O17223" s="1" t="s">
        <v>46</v>
      </c>
    </row>
    <row r="17224" spans="2:15" x14ac:dyDescent="0.3">
      <c r="B17224" s="1" t="s">
        <v>13</v>
      </c>
      <c r="C17224" s="1" t="str">
        <f>"3차"</f>
        <v>3차</v>
      </c>
      <c r="D17224" s="1" t="str">
        <f>"0026B80139"</f>
        <v>0026B80139</v>
      </c>
      <c r="E17224" s="1" t="s">
        <v>10</v>
      </c>
      <c r="F17224" s="1" t="str">
        <f>"10.11.31.82"</f>
        <v>10.11.31.82</v>
      </c>
      <c r="G17224" s="1" t="str">
        <f>"0026B801"</f>
        <v>0026B801</v>
      </c>
      <c r="H17224" s="1" t="str">
        <f>"동소문간 10R1L6L1"</f>
        <v>동소문간 10R1L6L1</v>
      </c>
      <c r="I17224" s="1" t="s">
        <v>8</v>
      </c>
      <c r="J17224" s="1" t="str">
        <f>"33/33"</f>
        <v>33/33</v>
      </c>
      <c r="K17224" s="1" t="str">
        <f>"2026-07-29 13:18:01"</f>
        <v>2026-07-29 13:18:01</v>
      </c>
      <c r="L17224" s="1" t="str">
        <f>"2018-02-12 09:38:08"</f>
        <v>2018-02-12 09:38:08</v>
      </c>
      <c r="M17224" s="1" t="s">
        <v>2</v>
      </c>
      <c r="N17224" s="1" t="s">
        <v>38</v>
      </c>
      <c r="O17224" s="1" t="s">
        <v>46</v>
      </c>
    </row>
    <row r="17225" spans="2:15" x14ac:dyDescent="0.3">
      <c r="B17225" s="1" t="s">
        <v>13</v>
      </c>
      <c r="C17225" s="1" t="s">
        <v>16</v>
      </c>
      <c r="D17225" s="1" t="str">
        <f>"0026B8345S"</f>
        <v>0026B8345S</v>
      </c>
      <c r="E17225" s="1" t="s">
        <v>10</v>
      </c>
      <c r="F17225" s="1" t="str">
        <f>"fde3:102:1304:3500:0:0:0:2"</f>
        <v>fde3:102:1304:3500:0:0:0:2</v>
      </c>
      <c r="G17225" s="1" t="str">
        <f>"0026B834"</f>
        <v>0026B834</v>
      </c>
      <c r="H17225" s="1" t="str">
        <f>"대학간 16L5R2"</f>
        <v>대학간 16L5R2</v>
      </c>
      <c r="I17225" s="1" t="s">
        <v>15</v>
      </c>
      <c r="J17225" s="1" t="str">
        <f>"97/97"</f>
        <v>97/97</v>
      </c>
      <c r="K17225" s="1" t="str">
        <f>"2026-07-29 14:20:05"</f>
        <v>2026-07-29 14:20:05</v>
      </c>
      <c r="L17225" s="1" t="str">
        <f>"2023-10-04 17:45:55"</f>
        <v>2023-10-04 17:45:55</v>
      </c>
      <c r="M17225" s="1" t="s">
        <v>45</v>
      </c>
      <c r="N17225" s="1" t="s">
        <v>38</v>
      </c>
      <c r="O17225" s="1" t="s">
        <v>46</v>
      </c>
    </row>
    <row r="17226" spans="2:15" x14ac:dyDescent="0.3">
      <c r="B17226" s="1" t="s">
        <v>13</v>
      </c>
      <c r="C17226" s="1" t="str">
        <f>"3차"</f>
        <v>3차</v>
      </c>
      <c r="D17226" s="1" t="str">
        <f>"0026B90239"</f>
        <v>0026B90239</v>
      </c>
      <c r="E17226" s="1" t="s">
        <v>10</v>
      </c>
      <c r="F17226" s="1" t="str">
        <f>"10.11.13.2"</f>
        <v>10.11.13.2</v>
      </c>
      <c r="G17226" s="1" t="str">
        <f>"0026B902"</f>
        <v>0026B902</v>
      </c>
      <c r="H17226" s="1" t="str">
        <f>"동소문간 10R1L7"</f>
        <v>동소문간 10R1L7</v>
      </c>
      <c r="I17226" s="1" t="s">
        <v>8</v>
      </c>
      <c r="J17226" s="1" t="str">
        <f>"9/9"</f>
        <v>9/9</v>
      </c>
      <c r="K17226" s="1" t="str">
        <f>"2026-07-29 13:18:01"</f>
        <v>2026-07-29 13:18:01</v>
      </c>
      <c r="L17226" s="1" t="str">
        <f>"2018-02-26 17:51:36"</f>
        <v>2018-02-26 17:51:36</v>
      </c>
      <c r="M17226" s="1" t="s">
        <v>2</v>
      </c>
      <c r="N17226" s="1" t="s">
        <v>38</v>
      </c>
      <c r="O17226" s="1" t="s">
        <v>46</v>
      </c>
    </row>
    <row r="17227" spans="2:15" x14ac:dyDescent="0.3">
      <c r="B17227" s="1" t="s">
        <v>13</v>
      </c>
      <c r="C17227" s="1" t="str">
        <f>"4차"</f>
        <v>4차</v>
      </c>
      <c r="D17227" s="1" t="str">
        <f>"0026C00939"</f>
        <v>0026C00939</v>
      </c>
      <c r="E17227" s="1" t="s">
        <v>14</v>
      </c>
      <c r="F17227" s="1" t="str">
        <f>"10.12.131.195"</f>
        <v>10.12.131.195</v>
      </c>
      <c r="G17227" s="1" t="str">
        <f>"0026C009"</f>
        <v>0026C009</v>
      </c>
      <c r="H17227" s="1" t="str">
        <f>"종로로 L18"</f>
        <v>종로로 L18</v>
      </c>
      <c r="I17227" s="1" t="s">
        <v>17</v>
      </c>
      <c r="J17227" s="1" t="str">
        <f>"0/0"</f>
        <v>0/0</v>
      </c>
      <c r="K17227" s="1" t="str">
        <f>"2026-07-28 13:18:01"</f>
        <v>2026-07-28 13:18:01</v>
      </c>
      <c r="L17227" s="1" t="str">
        <f>"2020-11-25 10:41:27"</f>
        <v>2020-11-25 10:41:27</v>
      </c>
      <c r="M17227" s="1" t="s">
        <v>0</v>
      </c>
      <c r="N17227" s="1" t="s">
        <v>39</v>
      </c>
      <c r="O17227" s="1" t="s">
        <v>46</v>
      </c>
    </row>
    <row r="17228" spans="2:15" x14ac:dyDescent="0.3">
      <c r="B17228" s="1" t="s">
        <v>13</v>
      </c>
      <c r="C17228" s="1" t="str">
        <f>"3차"</f>
        <v>3차</v>
      </c>
      <c r="D17228" s="1" t="str">
        <f>"0026C01239"</f>
        <v>0026C01239</v>
      </c>
      <c r="E17228" s="1" t="s">
        <v>14</v>
      </c>
      <c r="F17228" s="1" t="str">
        <f>"10.11.34.218"</f>
        <v>10.11.34.218</v>
      </c>
      <c r="G17228" s="1" t="str">
        <f>"0026C012"</f>
        <v>0026C012</v>
      </c>
      <c r="H17228" s="1" t="str">
        <f>"별궁지 2R1"</f>
        <v>별궁지 2R1</v>
      </c>
      <c r="I17228" s="1" t="s">
        <v>8</v>
      </c>
      <c r="J17228" s="1" t="str">
        <f>"0/0"</f>
        <v>0/0</v>
      </c>
      <c r="K17228" s="4" t="str">
        <f t="shared" ref="K17228:K17233" si="848">"2026-07-29 13:18:01"</f>
        <v>2026-07-29 13:18:01</v>
      </c>
      <c r="L17228" s="1" t="str">
        <f>"2018-02-14 08:17:09"</f>
        <v>2018-02-14 08:17:09</v>
      </c>
      <c r="M17228" s="1" t="s">
        <v>2</v>
      </c>
      <c r="N17228" s="1" t="s">
        <v>38</v>
      </c>
      <c r="O17228" s="1" t="s">
        <v>44</v>
      </c>
    </row>
    <row r="17229" spans="2:15" x14ac:dyDescent="0.3">
      <c r="B17229" s="1" t="s">
        <v>13</v>
      </c>
      <c r="C17229" s="1" t="str">
        <f>"3차"</f>
        <v>3차</v>
      </c>
      <c r="D17229" s="1" t="str">
        <f>"0026C03139"</f>
        <v>0026C03139</v>
      </c>
      <c r="E17229" s="1" t="s">
        <v>10</v>
      </c>
      <c r="F17229" s="1" t="str">
        <f>"10.11.16.74"</f>
        <v>10.11.16.74</v>
      </c>
      <c r="G17229" s="1" t="str">
        <f>"0026C031"</f>
        <v>0026C031</v>
      </c>
      <c r="H17229" s="1" t="str">
        <f>"별궁지 5H1R2"</f>
        <v>별궁지 5H1R2</v>
      </c>
      <c r="I17229" s="1" t="s">
        <v>8</v>
      </c>
      <c r="J17229" s="1" t="str">
        <f>"5/5"</f>
        <v>5/5</v>
      </c>
      <c r="K17229" s="1" t="str">
        <f t="shared" si="848"/>
        <v>2026-07-29 13:18:01</v>
      </c>
      <c r="L17229" s="1" t="str">
        <f>"2018-05-17 17:00:42"</f>
        <v>2018-05-17 17:00:42</v>
      </c>
      <c r="M17229" s="1" t="s">
        <v>2</v>
      </c>
      <c r="N17229" s="1" t="s">
        <v>38</v>
      </c>
      <c r="O17229" s="1" t="s">
        <v>46</v>
      </c>
    </row>
    <row r="17230" spans="2:15" x14ac:dyDescent="0.3">
      <c r="B17230" s="1" t="s">
        <v>13</v>
      </c>
      <c r="C17230" s="1" t="str">
        <f>"3차"</f>
        <v>3차</v>
      </c>
      <c r="D17230" s="1" t="str">
        <f>"0026C04239"</f>
        <v>0026C04239</v>
      </c>
      <c r="E17230" s="1" t="s">
        <v>10</v>
      </c>
      <c r="F17230" s="1" t="str">
        <f>"10.11.35.18"</f>
        <v>10.11.35.18</v>
      </c>
      <c r="G17230" s="1" t="str">
        <f>"0026C042"</f>
        <v>0026C042</v>
      </c>
      <c r="H17230" s="1" t="str">
        <f>"별궁지 6R3"</f>
        <v>별궁지 6R3</v>
      </c>
      <c r="I17230" s="1" t="s">
        <v>8</v>
      </c>
      <c r="J17230" s="1" t="str">
        <f>"16/16"</f>
        <v>16/16</v>
      </c>
      <c r="K17230" s="1" t="str">
        <f t="shared" si="848"/>
        <v>2026-07-29 13:18:01</v>
      </c>
      <c r="L17230" s="1" t="str">
        <f>"2018-02-14 09:01:54"</f>
        <v>2018-02-14 09:01:54</v>
      </c>
      <c r="M17230" s="1" t="s">
        <v>2</v>
      </c>
      <c r="N17230" s="1" t="s">
        <v>38</v>
      </c>
      <c r="O17230" s="1" t="s">
        <v>46</v>
      </c>
    </row>
    <row r="17231" spans="2:15" x14ac:dyDescent="0.3">
      <c r="B17231" s="1" t="s">
        <v>13</v>
      </c>
      <c r="C17231" s="1" t="str">
        <f>"4차"</f>
        <v>4차</v>
      </c>
      <c r="D17231" s="1" t="str">
        <f>"0026C08139"</f>
        <v>0026C08139</v>
      </c>
      <c r="E17231" s="1" t="s">
        <v>10</v>
      </c>
      <c r="F17231" s="1" t="str">
        <f>"10.11.25.130"</f>
        <v>10.11.25.130</v>
      </c>
      <c r="G17231" s="1" t="str">
        <f>"0026C081"</f>
        <v>0026C081</v>
      </c>
      <c r="H17231" s="1" t="str">
        <f>"돈의지 10R2"</f>
        <v>돈의지 10R2</v>
      </c>
      <c r="I17231" s="1" t="s">
        <v>8</v>
      </c>
      <c r="J17231" s="1" t="str">
        <f>"34/44"</f>
        <v>34/44</v>
      </c>
      <c r="K17231" s="1" t="str">
        <f t="shared" si="848"/>
        <v>2026-07-29 13:18:01</v>
      </c>
      <c r="L17231" s="1" t="str">
        <f>"2017-12-11 16:43:47"</f>
        <v>2017-12-11 16:43:47</v>
      </c>
      <c r="M17231" s="1" t="s">
        <v>2</v>
      </c>
      <c r="N17231" s="1" t="s">
        <v>38</v>
      </c>
      <c r="O17231" s="1" t="s">
        <v>46</v>
      </c>
    </row>
    <row r="17232" spans="2:15" x14ac:dyDescent="0.3">
      <c r="B17232" s="1" t="s">
        <v>13</v>
      </c>
      <c r="C17232" s="1" t="str">
        <f>"4차"</f>
        <v>4차</v>
      </c>
      <c r="D17232" s="1" t="str">
        <f>"0026C09339"</f>
        <v>0026C09339</v>
      </c>
      <c r="E17232" s="1" t="s">
        <v>10</v>
      </c>
      <c r="F17232" s="1" t="str">
        <f>"10.11.12.202"</f>
        <v>10.11.12.202</v>
      </c>
      <c r="G17232" s="1" t="str">
        <f>"0026C093"</f>
        <v>0026C093</v>
      </c>
      <c r="H17232" s="1" t="str">
        <f>"돈의지 8R3"</f>
        <v>돈의지 8R3</v>
      </c>
      <c r="I17232" s="1" t="s">
        <v>8</v>
      </c>
      <c r="J17232" s="1" t="str">
        <f>"47/75"</f>
        <v>47/75</v>
      </c>
      <c r="K17232" s="1" t="str">
        <f t="shared" si="848"/>
        <v>2026-07-29 13:18:01</v>
      </c>
      <c r="L17232" s="1" t="str">
        <f>"2018-02-26 17:52:37"</f>
        <v>2018-02-26 17:52:37</v>
      </c>
      <c r="M17232" s="1" t="s">
        <v>2</v>
      </c>
      <c r="N17232" s="1" t="s">
        <v>38</v>
      </c>
      <c r="O17232" s="1" t="s">
        <v>46</v>
      </c>
    </row>
    <row r="17233" spans="2:15" x14ac:dyDescent="0.3">
      <c r="B17233" s="1" t="s">
        <v>13</v>
      </c>
      <c r="C17233" s="1" t="str">
        <f>"3차"</f>
        <v>3차</v>
      </c>
      <c r="D17233" s="1" t="str">
        <f>"0026C11139"</f>
        <v>0026C11139</v>
      </c>
      <c r="E17233" s="1" t="s">
        <v>10</v>
      </c>
      <c r="F17233" s="1" t="str">
        <f>"10.11.16.50"</f>
        <v>10.11.16.50</v>
      </c>
      <c r="G17233" s="1" t="str">
        <f>"0026C111"</f>
        <v>0026C111</v>
      </c>
      <c r="H17233" s="1" t="str">
        <f>"별궁지 2R2"</f>
        <v>별궁지 2R2</v>
      </c>
      <c r="I17233" s="1" t="s">
        <v>8</v>
      </c>
      <c r="J17233" s="1" t="str">
        <f>"14/14"</f>
        <v>14/14</v>
      </c>
      <c r="K17233" s="1" t="str">
        <f t="shared" si="848"/>
        <v>2026-07-29 13:18:01</v>
      </c>
      <c r="L17233" s="1" t="str">
        <f>"2018-02-26 17:19:07"</f>
        <v>2018-02-26 17:19:07</v>
      </c>
      <c r="M17233" s="1" t="s">
        <v>2</v>
      </c>
      <c r="N17233" s="1" t="s">
        <v>38</v>
      </c>
      <c r="O17233" s="1" t="s">
        <v>46</v>
      </c>
    </row>
    <row r="17234" spans="2:15" x14ac:dyDescent="0.3">
      <c r="B17234" s="1" t="s">
        <v>13</v>
      </c>
      <c r="C17234" s="1" t="str">
        <f>"3차"</f>
        <v>3차</v>
      </c>
      <c r="D17234" s="1" t="str">
        <f>"0026C12139"</f>
        <v>0026C12139</v>
      </c>
      <c r="E17234" s="1" t="s">
        <v>10</v>
      </c>
      <c r="F17234" s="1" t="str">
        <f>"10.11.34.234"</f>
        <v>10.11.34.234</v>
      </c>
      <c r="G17234" s="1" t="str">
        <f>"0026C121"</f>
        <v>0026C121</v>
      </c>
      <c r="H17234" s="1" t="str">
        <f>"별궁지 2R3"</f>
        <v>별궁지 2R3</v>
      </c>
      <c r="I17234" s="1" t="s">
        <v>8</v>
      </c>
      <c r="J17234" s="1" t="str">
        <f>"20/20"</f>
        <v>20/20</v>
      </c>
      <c r="K17234" s="1" t="str">
        <f>"2026-07-29 13:18:00"</f>
        <v>2026-07-29 13:18:00</v>
      </c>
      <c r="L17234" s="1" t="str">
        <f>"2018-02-14 08:20:09"</f>
        <v>2018-02-14 08:20:09</v>
      </c>
      <c r="M17234" s="1" t="s">
        <v>2</v>
      </c>
      <c r="N17234" s="1" t="s">
        <v>38</v>
      </c>
      <c r="O17234" s="1" t="s">
        <v>46</v>
      </c>
    </row>
    <row r="17235" spans="2:15" x14ac:dyDescent="0.3">
      <c r="B17235" s="1" t="s">
        <v>13</v>
      </c>
      <c r="C17235" s="1" t="str">
        <f>"4차"</f>
        <v>4차</v>
      </c>
      <c r="D17235" s="1" t="str">
        <f>"0026C13239"</f>
        <v>0026C13239</v>
      </c>
      <c r="E17235" s="1" t="s">
        <v>10</v>
      </c>
      <c r="F17235" s="1" t="str">
        <f>"10.11.35.10"</f>
        <v>10.11.35.10</v>
      </c>
      <c r="G17235" s="1" t="str">
        <f>"0026C132"</f>
        <v>0026C132</v>
      </c>
      <c r="H17235" s="1" t="str">
        <f>"별궁지 5H1R3"</f>
        <v>별궁지 5H1R3</v>
      </c>
      <c r="I17235" s="1" t="s">
        <v>8</v>
      </c>
      <c r="J17235" s="1" t="str">
        <f>"1/1"</f>
        <v>1/1</v>
      </c>
      <c r="K17235" s="1" t="str">
        <f>"2026-07-29 13:18:01"</f>
        <v>2026-07-29 13:18:01</v>
      </c>
      <c r="L17235" s="1" t="str">
        <f>"2018-02-13 16:23:59"</f>
        <v>2018-02-13 16:23:59</v>
      </c>
      <c r="M17235" s="1" t="s">
        <v>2</v>
      </c>
      <c r="N17235" s="1" t="s">
        <v>38</v>
      </c>
      <c r="O17235" s="1" t="s">
        <v>46</v>
      </c>
    </row>
    <row r="17236" spans="2:15" x14ac:dyDescent="0.3">
      <c r="B17236" s="1" t="s">
        <v>13</v>
      </c>
      <c r="C17236" s="1" t="str">
        <f t="shared" ref="C17236:C17241" si="849">"3차"</f>
        <v>3차</v>
      </c>
      <c r="D17236" s="1" t="str">
        <f>"0026C16330"</f>
        <v>0026C16330</v>
      </c>
      <c r="E17236" s="1" t="s">
        <v>10</v>
      </c>
      <c r="F17236" s="1" t="str">
        <f>"10.11.12.186"</f>
        <v>10.11.12.186</v>
      </c>
      <c r="G17236" s="1" t="str">
        <f>"0026C163"</f>
        <v>0026C163</v>
      </c>
      <c r="H17236" s="1" t="str">
        <f>"돈의지 14R1"</f>
        <v>돈의지 14R1</v>
      </c>
      <c r="I17236" s="1" t="s">
        <v>8</v>
      </c>
      <c r="J17236" s="1" t="str">
        <f>"17/17"</f>
        <v>17/17</v>
      </c>
      <c r="K17236" s="1" t="str">
        <f>"2026-07-29 13:18:01"</f>
        <v>2026-07-29 13:18:01</v>
      </c>
      <c r="L17236" s="1" t="str">
        <f>"2018-02-05 17:21:29"</f>
        <v>2018-02-05 17:21:29</v>
      </c>
      <c r="M17236" s="1" t="s">
        <v>2</v>
      </c>
      <c r="N17236" s="1" t="s">
        <v>38</v>
      </c>
      <c r="O17236" s="1" t="s">
        <v>46</v>
      </c>
    </row>
    <row r="17237" spans="2:15" x14ac:dyDescent="0.3">
      <c r="B17237" s="1" t="s">
        <v>13</v>
      </c>
      <c r="C17237" s="1" t="str">
        <f t="shared" si="849"/>
        <v>3차</v>
      </c>
      <c r="D17237" s="1" t="str">
        <f>"0026C21239"</f>
        <v>0026C21239</v>
      </c>
      <c r="E17237" s="1" t="s">
        <v>10</v>
      </c>
      <c r="F17237" s="1" t="str">
        <f>"10.11.34.242"</f>
        <v>10.11.34.242</v>
      </c>
      <c r="G17237" s="1" t="str">
        <f>"0026C212"</f>
        <v>0026C212</v>
      </c>
      <c r="H17237" s="1" t="str">
        <f>"별궁지 2R3R1L1"</f>
        <v>별궁지 2R3R1L1</v>
      </c>
      <c r="I17237" s="1" t="s">
        <v>8</v>
      </c>
      <c r="J17237" s="1" t="str">
        <f>"2/2"</f>
        <v>2/2</v>
      </c>
      <c r="K17237" s="1" t="str">
        <f>"2026-07-29 13:18:01"</f>
        <v>2026-07-29 13:18:01</v>
      </c>
      <c r="L17237" s="1" t="str">
        <f>"2018-02-14 08:41:54"</f>
        <v>2018-02-14 08:41:54</v>
      </c>
      <c r="M17237" s="1" t="s">
        <v>2</v>
      </c>
      <c r="N17237" s="1" t="s">
        <v>38</v>
      </c>
      <c r="O17237" s="1" t="s">
        <v>46</v>
      </c>
    </row>
    <row r="17238" spans="2:15" x14ac:dyDescent="0.3">
      <c r="B17238" s="1" t="s">
        <v>13</v>
      </c>
      <c r="C17238" s="1" t="str">
        <f t="shared" si="849"/>
        <v>3차</v>
      </c>
      <c r="D17238" s="1" t="str">
        <f>"0026C22139"</f>
        <v>0026C22139</v>
      </c>
      <c r="E17238" s="1" t="s">
        <v>10</v>
      </c>
      <c r="F17238" s="1" t="str">
        <f>"10.11.16.66"</f>
        <v>10.11.16.66</v>
      </c>
      <c r="G17238" s="1" t="str">
        <f>"0026C221"</f>
        <v>0026C221</v>
      </c>
      <c r="H17238" s="1" t="str">
        <f>"별궁지 2R4"</f>
        <v>별궁지 2R4</v>
      </c>
      <c r="I17238" s="1" t="s">
        <v>8</v>
      </c>
      <c r="J17238" s="1" t="str">
        <f>"14/14"</f>
        <v>14/14</v>
      </c>
      <c r="K17238" s="1" t="str">
        <f>"2026-07-29 13:18:00"</f>
        <v>2026-07-29 13:18:00</v>
      </c>
      <c r="L17238" s="1" t="str">
        <f>"2018-02-26 17:55:37"</f>
        <v>2018-02-26 17:55:37</v>
      </c>
      <c r="M17238" s="1" t="s">
        <v>2</v>
      </c>
      <c r="N17238" s="1" t="s">
        <v>38</v>
      </c>
      <c r="O17238" s="1" t="s">
        <v>46</v>
      </c>
    </row>
    <row r="17239" spans="2:15" x14ac:dyDescent="0.3">
      <c r="B17239" s="1" t="s">
        <v>13</v>
      </c>
      <c r="C17239" s="1" t="str">
        <f t="shared" si="849"/>
        <v>3차</v>
      </c>
      <c r="D17239" s="1" t="str">
        <f>"0026C23539"</f>
        <v>0026C23539</v>
      </c>
      <c r="E17239" s="1" t="s">
        <v>10</v>
      </c>
      <c r="F17239" s="1" t="str">
        <f>"10.11.31.2"</f>
        <v>10.11.31.2</v>
      </c>
      <c r="G17239" s="1" t="str">
        <f>"0026C235"</f>
        <v>0026C235</v>
      </c>
      <c r="H17239" s="1" t="str">
        <f>"돈의지 18R1"</f>
        <v>돈의지 18R1</v>
      </c>
      <c r="I17239" s="1" t="s">
        <v>8</v>
      </c>
      <c r="J17239" s="1" t="str">
        <f>"63/63"</f>
        <v>63/63</v>
      </c>
      <c r="K17239" s="1" t="str">
        <f>"2026-07-29 13:18:01"</f>
        <v>2026-07-29 13:18:01</v>
      </c>
      <c r="L17239" s="1" t="str">
        <f>"2018-02-13 16:16:14"</f>
        <v>2018-02-13 16:16:14</v>
      </c>
      <c r="M17239" s="1" t="s">
        <v>2</v>
      </c>
      <c r="N17239" s="1" t="s">
        <v>38</v>
      </c>
      <c r="O17239" s="1" t="s">
        <v>46</v>
      </c>
    </row>
    <row r="17240" spans="2:15" x14ac:dyDescent="0.3">
      <c r="B17240" s="1" t="s">
        <v>13</v>
      </c>
      <c r="C17240" s="1" t="str">
        <f t="shared" si="849"/>
        <v>3차</v>
      </c>
      <c r="D17240" s="1" t="str">
        <f>"0026C25231"</f>
        <v>0026C25231</v>
      </c>
      <c r="E17240" s="1" t="s">
        <v>10</v>
      </c>
      <c r="F17240" s="1" t="str">
        <f>"10.11.12.187"</f>
        <v>10.11.12.187</v>
      </c>
      <c r="G17240" s="1" t="str">
        <f>"0026C252"</f>
        <v>0026C252</v>
      </c>
      <c r="H17240" s="1" t="str">
        <f>"돈의지 14R1L1"</f>
        <v>돈의지 14R1L1</v>
      </c>
      <c r="I17240" s="1" t="s">
        <v>8</v>
      </c>
      <c r="J17240" s="1" t="str">
        <f>"26/27"</f>
        <v>26/27</v>
      </c>
      <c r="K17240" s="1" t="str">
        <f>"2026-07-29 13:18:00"</f>
        <v>2026-07-29 13:18:00</v>
      </c>
      <c r="L17240" s="1" t="str">
        <f>"2018-02-05 17:33:28"</f>
        <v>2018-02-05 17:33:28</v>
      </c>
      <c r="M17240" s="1" t="s">
        <v>2</v>
      </c>
      <c r="N17240" s="1" t="s">
        <v>38</v>
      </c>
      <c r="O17240" s="1" t="s">
        <v>46</v>
      </c>
    </row>
    <row r="17241" spans="2:15" x14ac:dyDescent="0.3">
      <c r="B17241" s="1" t="s">
        <v>13</v>
      </c>
      <c r="C17241" s="1" t="str">
        <f t="shared" si="849"/>
        <v>3차</v>
      </c>
      <c r="D17241" s="1" t="str">
        <f>"0026C25439"</f>
        <v>0026C25439</v>
      </c>
      <c r="E17241" s="1" t="s">
        <v>10</v>
      </c>
      <c r="F17241" s="1" t="str">
        <f>"10.11.35.34"</f>
        <v>10.11.35.34</v>
      </c>
      <c r="G17241" s="1" t="str">
        <f>"0026C254"</f>
        <v>0026C254</v>
      </c>
      <c r="H17241" s="1" t="str">
        <f>"별궁지 8R6"</f>
        <v>별궁지 8R6</v>
      </c>
      <c r="I17241" s="1" t="s">
        <v>8</v>
      </c>
      <c r="J17241" s="1" t="str">
        <f>"4/5"</f>
        <v>4/5</v>
      </c>
      <c r="K17241" s="1" t="str">
        <f>"2026-07-29 13:18:00"</f>
        <v>2026-07-29 13:18:00</v>
      </c>
      <c r="L17241" s="1" t="str">
        <f>"2018-02-14 10:27:25"</f>
        <v>2018-02-14 10:27:25</v>
      </c>
      <c r="M17241" s="1" t="s">
        <v>2</v>
      </c>
      <c r="N17241" s="1" t="s">
        <v>38</v>
      </c>
      <c r="O17241" s="1" t="s">
        <v>46</v>
      </c>
    </row>
    <row r="17242" spans="2:15" x14ac:dyDescent="0.3">
      <c r="B17242" s="1" t="s">
        <v>13</v>
      </c>
      <c r="C17242" s="1" t="str">
        <f>"4차"</f>
        <v>4차</v>
      </c>
      <c r="D17242" s="1" t="str">
        <f>"0026C26130"</f>
        <v>0026C26130</v>
      </c>
      <c r="E17242" s="1" t="s">
        <v>10</v>
      </c>
      <c r="F17242" s="1" t="str">
        <f>"10.11.12.162"</f>
        <v>10.11.12.162</v>
      </c>
      <c r="G17242" s="1" t="str">
        <f>"0026C261"</f>
        <v>0026C261</v>
      </c>
      <c r="H17242" s="1" t="str">
        <f>"돈의지 14"</f>
        <v>돈의지 14</v>
      </c>
      <c r="I17242" s="1" t="s">
        <v>8</v>
      </c>
      <c r="J17242" s="1" t="str">
        <f>"38/38"</f>
        <v>38/38</v>
      </c>
      <c r="K17242" s="1" t="str">
        <f>"2026-07-29 13:18:01"</f>
        <v>2026-07-29 13:18:01</v>
      </c>
      <c r="L17242" s="1" t="str">
        <f>"2018-01-04 17:05:29"</f>
        <v>2018-01-04 17:05:29</v>
      </c>
      <c r="M17242" s="1" t="s">
        <v>2</v>
      </c>
      <c r="N17242" s="1" t="s">
        <v>38</v>
      </c>
      <c r="O17242" s="1" t="s">
        <v>46</v>
      </c>
    </row>
    <row r="17243" spans="2:15" x14ac:dyDescent="0.3">
      <c r="B17243" s="1" t="s">
        <v>13</v>
      </c>
      <c r="C17243" s="1" t="str">
        <f>"3차"</f>
        <v>3차</v>
      </c>
      <c r="D17243" s="1" t="str">
        <f>"0026C27139"</f>
        <v>0026C27139</v>
      </c>
      <c r="E17243" s="1" t="s">
        <v>10</v>
      </c>
      <c r="F17243" s="1" t="str">
        <f>"10.11.30.226"</f>
        <v>10.11.30.226</v>
      </c>
      <c r="G17243" s="1" t="str">
        <f>"0026C271"</f>
        <v>0026C271</v>
      </c>
      <c r="H17243" s="1" t="str">
        <f>"돈의지 13"</f>
        <v>돈의지 13</v>
      </c>
      <c r="I17243" s="1" t="s">
        <v>8</v>
      </c>
      <c r="J17243" s="1" t="str">
        <f>"4/5"</f>
        <v>4/5</v>
      </c>
      <c r="K17243" s="1" t="str">
        <f>"2026-07-29 13:18:01"</f>
        <v>2026-07-29 13:18:01</v>
      </c>
      <c r="L17243" s="1" t="str">
        <f>"2018-02-13 15:38:58"</f>
        <v>2018-02-13 15:38:58</v>
      </c>
      <c r="M17243" s="1" t="s">
        <v>2</v>
      </c>
      <c r="N17243" s="1" t="s">
        <v>38</v>
      </c>
      <c r="O17243" s="1" t="s">
        <v>46</v>
      </c>
    </row>
    <row r="17244" spans="2:15" x14ac:dyDescent="0.3">
      <c r="B17244" s="1" t="s">
        <v>13</v>
      </c>
      <c r="C17244" s="1" t="str">
        <f>"3차"</f>
        <v>3차</v>
      </c>
      <c r="D17244" s="1" t="str">
        <f>"0026C28239"</f>
        <v>0026C28239</v>
      </c>
      <c r="E17244" s="1" t="s">
        <v>10</v>
      </c>
      <c r="F17244" s="1" t="str">
        <f>"10.11.12.154"</f>
        <v>10.11.12.154</v>
      </c>
      <c r="G17244" s="1" t="str">
        <f>"0026C282"</f>
        <v>0026C282</v>
      </c>
      <c r="H17244" s="1" t="str">
        <f>"돈의지 12"</f>
        <v>돈의지 12</v>
      </c>
      <c r="I17244" s="1" t="s">
        <v>8</v>
      </c>
      <c r="J17244" s="1" t="str">
        <f>"33/34"</f>
        <v>33/34</v>
      </c>
      <c r="K17244" s="1" t="str">
        <f>"2026-07-29 13:18:01"</f>
        <v>2026-07-29 13:18:01</v>
      </c>
      <c r="L17244" s="1" t="str">
        <f>"2018-02-26 17:56:37"</f>
        <v>2018-02-26 17:56:37</v>
      </c>
      <c r="M17244" s="1" t="s">
        <v>2</v>
      </c>
      <c r="N17244" s="1" t="s">
        <v>38</v>
      </c>
      <c r="O17244" s="1" t="s">
        <v>46</v>
      </c>
    </row>
    <row r="17245" spans="2:15" x14ac:dyDescent="0.3">
      <c r="B17245" s="1" t="s">
        <v>13</v>
      </c>
      <c r="C17245" s="1" t="str">
        <f>"4차"</f>
        <v>4차</v>
      </c>
      <c r="D17245" s="1" t="str">
        <f>"0026C29139"</f>
        <v>0026C29139</v>
      </c>
      <c r="E17245" s="1" t="s">
        <v>10</v>
      </c>
      <c r="F17245" s="1" t="str">
        <f>"10.12.137.197"</f>
        <v>10.12.137.197</v>
      </c>
      <c r="G17245" s="1" t="str">
        <f>"0026C291"</f>
        <v>0026C291</v>
      </c>
      <c r="H17245" s="1" t="str">
        <f>"율곡로 R6"</f>
        <v>율곡로 R6</v>
      </c>
      <c r="I17245" s="1" t="s">
        <v>17</v>
      </c>
      <c r="J17245" s="1" t="str">
        <f>"6/7"</f>
        <v>6/7</v>
      </c>
      <c r="K17245" s="1" t="str">
        <f>"2026-07-29 13:18:02"</f>
        <v>2026-07-29 13:18:02</v>
      </c>
      <c r="L17245" s="1" t="str">
        <f>"2018-05-14 09:29:10"</f>
        <v>2018-05-14 09:29:10</v>
      </c>
      <c r="M17245" s="1" t="s">
        <v>0</v>
      </c>
      <c r="N17245" s="1" t="s">
        <v>38</v>
      </c>
      <c r="O17245" s="1" t="s">
        <v>46</v>
      </c>
    </row>
    <row r="17246" spans="2:15" x14ac:dyDescent="0.3">
      <c r="B17246" s="1" t="s">
        <v>13</v>
      </c>
      <c r="C17246" s="1" t="str">
        <f>"4차"</f>
        <v>4차</v>
      </c>
      <c r="D17246" s="1" t="str">
        <f>"0026C29239"</f>
        <v>0026C29239</v>
      </c>
      <c r="E17246" s="1" t="s">
        <v>10</v>
      </c>
      <c r="F17246" s="1" t="str">
        <f>"10.12.131.37"</f>
        <v>10.12.131.37</v>
      </c>
      <c r="G17246" s="1" t="str">
        <f>"0026C292"</f>
        <v>0026C292</v>
      </c>
      <c r="H17246" s="1" t="str">
        <f>"율곡로 R7"</f>
        <v>율곡로 R7</v>
      </c>
      <c r="I17246" s="1" t="s">
        <v>17</v>
      </c>
      <c r="J17246" s="1" t="str">
        <f>"17/17"</f>
        <v>17/17</v>
      </c>
      <c r="K17246" s="1" t="str">
        <f>"2026-07-29 13:18:02"</f>
        <v>2026-07-29 13:18:02</v>
      </c>
      <c r="L17246" s="1" t="str">
        <f>"2018-10-25 09:29:40"</f>
        <v>2018-10-25 09:29:40</v>
      </c>
      <c r="M17246" s="1" t="s">
        <v>0</v>
      </c>
      <c r="N17246" s="1" t="s">
        <v>38</v>
      </c>
      <c r="O17246" s="1" t="s">
        <v>46</v>
      </c>
    </row>
    <row r="17247" spans="2:15" x14ac:dyDescent="0.3">
      <c r="B17247" s="1" t="s">
        <v>13</v>
      </c>
      <c r="C17247" s="1" t="str">
        <f>"3차"</f>
        <v>3차</v>
      </c>
      <c r="D17247" s="1" t="str">
        <f>"0026C29439"</f>
        <v>0026C29439</v>
      </c>
      <c r="E17247" s="1" t="s">
        <v>10</v>
      </c>
      <c r="F17247" s="1" t="str">
        <f>"10.11.30.218"</f>
        <v>10.11.30.218</v>
      </c>
      <c r="G17247" s="1" t="str">
        <f>"0026C294"</f>
        <v>0026C294</v>
      </c>
      <c r="H17247" s="1" t="str">
        <f>"돈의지 10"</f>
        <v>돈의지 10</v>
      </c>
      <c r="I17247" s="1" t="s">
        <v>8</v>
      </c>
      <c r="J17247" s="1" t="str">
        <f>"8/8"</f>
        <v>8/8</v>
      </c>
      <c r="K17247" s="1" t="str">
        <f t="shared" ref="K17247:K17277" si="850">"2026-07-29 13:18:01"</f>
        <v>2026-07-29 13:18:01</v>
      </c>
      <c r="L17247" s="1" t="str">
        <f>"2018-02-13 15:11:44"</f>
        <v>2018-02-13 15:11:44</v>
      </c>
      <c r="M17247" s="1" t="s">
        <v>2</v>
      </c>
      <c r="N17247" s="1" t="s">
        <v>38</v>
      </c>
      <c r="O17247" s="1" t="s">
        <v>46</v>
      </c>
    </row>
    <row r="17248" spans="2:15" x14ac:dyDescent="0.3">
      <c r="B17248" s="1" t="s">
        <v>13</v>
      </c>
      <c r="C17248" s="1" t="str">
        <f>"3차"</f>
        <v>3차</v>
      </c>
      <c r="D17248" s="1" t="str">
        <f>"0026C32139"</f>
        <v>0026C32139</v>
      </c>
      <c r="E17248" s="1" t="s">
        <v>10</v>
      </c>
      <c r="F17248" s="1" t="str">
        <f>"10.11.12.178"</f>
        <v>10.11.12.178</v>
      </c>
      <c r="G17248" s="1" t="str">
        <f>"0026C321"</f>
        <v>0026C321</v>
      </c>
      <c r="H17248" s="1" t="str">
        <f>"돈의지 19"</f>
        <v>돈의지 19</v>
      </c>
      <c r="I17248" s="1" t="s">
        <v>8</v>
      </c>
      <c r="J17248" s="1" t="str">
        <f>"19/19"</f>
        <v>19/19</v>
      </c>
      <c r="K17248" s="1" t="str">
        <f t="shared" si="850"/>
        <v>2026-07-29 13:18:01</v>
      </c>
      <c r="L17248" s="1" t="str">
        <f>"2018-02-26 18:03:21"</f>
        <v>2018-02-26 18:03:21</v>
      </c>
      <c r="M17248" s="1" t="s">
        <v>2</v>
      </c>
      <c r="N17248" s="1" t="s">
        <v>38</v>
      </c>
      <c r="O17248" s="1" t="s">
        <v>46</v>
      </c>
    </row>
    <row r="17249" spans="2:15" x14ac:dyDescent="0.3">
      <c r="B17249" s="1" t="s">
        <v>13</v>
      </c>
      <c r="C17249" s="1" t="str">
        <f>"3차"</f>
        <v>3차</v>
      </c>
      <c r="D17249" s="1" t="str">
        <f>"0026C32239"</f>
        <v>0026C32239</v>
      </c>
      <c r="E17249" s="1" t="s">
        <v>10</v>
      </c>
      <c r="F17249" s="1" t="str">
        <f>"10.11.30.242"</f>
        <v>10.11.30.242</v>
      </c>
      <c r="G17249" s="1" t="str">
        <f>"0026C322"</f>
        <v>0026C322</v>
      </c>
      <c r="H17249" s="1" t="str">
        <f>"돈의지 20"</f>
        <v>돈의지 20</v>
      </c>
      <c r="I17249" s="1" t="s">
        <v>8</v>
      </c>
      <c r="J17249" s="1" t="str">
        <f>"15/15"</f>
        <v>15/15</v>
      </c>
      <c r="K17249" s="1" t="str">
        <f t="shared" si="850"/>
        <v>2026-07-29 13:18:01</v>
      </c>
      <c r="L17249" s="1" t="str">
        <f>"2018-02-13 15:55:29"</f>
        <v>2018-02-13 15:55:29</v>
      </c>
      <c r="M17249" s="1" t="s">
        <v>2</v>
      </c>
      <c r="N17249" s="1" t="s">
        <v>38</v>
      </c>
      <c r="O17249" s="1" t="s">
        <v>46</v>
      </c>
    </row>
    <row r="17250" spans="2:15" x14ac:dyDescent="0.3">
      <c r="B17250" s="1" t="s">
        <v>13</v>
      </c>
      <c r="C17250" s="1" t="str">
        <f>"4차"</f>
        <v>4차</v>
      </c>
      <c r="D17250" s="1" t="str">
        <f>"0026C33239"</f>
        <v>0026C33239</v>
      </c>
      <c r="E17250" s="1" t="s">
        <v>10</v>
      </c>
      <c r="F17250" s="1" t="str">
        <f>"10.11.30.250"</f>
        <v>10.11.30.250</v>
      </c>
      <c r="G17250" s="1" t="str">
        <f>"0026C332"</f>
        <v>0026C332</v>
      </c>
      <c r="H17250" s="1" t="str">
        <f>"돈의지 18H1"</f>
        <v>돈의지 18H1</v>
      </c>
      <c r="I17250" s="1" t="s">
        <v>8</v>
      </c>
      <c r="J17250" s="1" t="str">
        <f>"8/8"</f>
        <v>8/8</v>
      </c>
      <c r="K17250" s="1" t="str">
        <f t="shared" si="850"/>
        <v>2026-07-29 13:18:01</v>
      </c>
      <c r="L17250" s="1" t="str">
        <f>"2026-01-30 12:50:35"</f>
        <v>2026-01-30 12:50:35</v>
      </c>
      <c r="M17250" s="1" t="s">
        <v>2</v>
      </c>
      <c r="N17250" s="1" t="s">
        <v>38</v>
      </c>
      <c r="O17250" s="1" t="s">
        <v>46</v>
      </c>
    </row>
    <row r="17251" spans="2:15" x14ac:dyDescent="0.3">
      <c r="B17251" s="1" t="s">
        <v>13</v>
      </c>
      <c r="C17251" s="1" t="str">
        <f>"3차"</f>
        <v>3차</v>
      </c>
      <c r="D17251" s="1" t="str">
        <f>"0026C33539"</f>
        <v>0026C33539</v>
      </c>
      <c r="E17251" s="1" t="s">
        <v>10</v>
      </c>
      <c r="F17251" s="1" t="str">
        <f>"10.11.12.194"</f>
        <v>10.11.12.194</v>
      </c>
      <c r="G17251" s="1" t="str">
        <f>"0026C335"</f>
        <v>0026C335</v>
      </c>
      <c r="H17251" s="1" t="str">
        <f>"돈의지 18"</f>
        <v>돈의지 18</v>
      </c>
      <c r="I17251" s="1" t="s">
        <v>8</v>
      </c>
      <c r="J17251" s="1" t="str">
        <f>"11/12"</f>
        <v>11/12</v>
      </c>
      <c r="K17251" s="1" t="str">
        <f t="shared" si="850"/>
        <v>2026-07-29 13:18:01</v>
      </c>
      <c r="L17251" s="1" t="str">
        <f>"2018-02-26 18:05:06"</f>
        <v>2018-02-26 18:05:06</v>
      </c>
      <c r="M17251" s="1" t="s">
        <v>2</v>
      </c>
      <c r="N17251" s="1" t="s">
        <v>38</v>
      </c>
      <c r="O17251" s="1" t="s">
        <v>46</v>
      </c>
    </row>
    <row r="17252" spans="2:15" x14ac:dyDescent="0.3">
      <c r="B17252" s="1" t="s">
        <v>13</v>
      </c>
      <c r="C17252" s="1" t="str">
        <f>"4차"</f>
        <v>4차</v>
      </c>
      <c r="D17252" s="1" t="str">
        <f>"0026C34139"</f>
        <v>0026C34139</v>
      </c>
      <c r="E17252" s="1" t="s">
        <v>10</v>
      </c>
      <c r="F17252" s="1" t="str">
        <f>"10.11.12.170"</f>
        <v>10.11.12.170</v>
      </c>
      <c r="G17252" s="1" t="str">
        <f>"0026C341"</f>
        <v>0026C341</v>
      </c>
      <c r="H17252" s="1" t="str">
        <f>"돈의지 17"</f>
        <v>돈의지 17</v>
      </c>
      <c r="I17252" s="1" t="s">
        <v>8</v>
      </c>
      <c r="J17252" s="1" t="str">
        <f>"24/26"</f>
        <v>24/26</v>
      </c>
      <c r="K17252" s="1" t="str">
        <f t="shared" si="850"/>
        <v>2026-07-29 13:18:01</v>
      </c>
      <c r="L17252" s="1" t="str">
        <f>"2018-02-26 18:06:06"</f>
        <v>2018-02-26 18:06:06</v>
      </c>
      <c r="M17252" s="1" t="s">
        <v>2</v>
      </c>
      <c r="N17252" s="1" t="s">
        <v>38</v>
      </c>
      <c r="O17252" s="1" t="s">
        <v>46</v>
      </c>
    </row>
    <row r="17253" spans="2:15" x14ac:dyDescent="0.3">
      <c r="B17253" s="1" t="s">
        <v>13</v>
      </c>
      <c r="C17253" s="1" t="str">
        <f>"3차"</f>
        <v>3차</v>
      </c>
      <c r="D17253" s="1" t="str">
        <f>"0026C37131"</f>
        <v>0026C37131</v>
      </c>
      <c r="E17253" s="1" t="s">
        <v>10</v>
      </c>
      <c r="F17253" s="1" t="str">
        <f>"10.11.19.107"</f>
        <v>10.11.19.107</v>
      </c>
      <c r="G17253" s="1" t="str">
        <f>"0026C371"</f>
        <v>0026C371</v>
      </c>
      <c r="H17253" s="1" t="str">
        <f>"창덕궁간 8R2L5"</f>
        <v>창덕궁간 8R2L5</v>
      </c>
      <c r="I17253" s="1" t="s">
        <v>8</v>
      </c>
      <c r="J17253" s="1" t="str">
        <f>"14/14"</f>
        <v>14/14</v>
      </c>
      <c r="K17253" s="1" t="str">
        <f t="shared" si="850"/>
        <v>2026-07-29 13:18:01</v>
      </c>
      <c r="L17253" s="1" t="str">
        <f>"2018-05-24 11:33:57"</f>
        <v>2018-05-24 11:33:57</v>
      </c>
      <c r="M17253" s="1" t="s">
        <v>2</v>
      </c>
      <c r="N17253" s="1" t="s">
        <v>38</v>
      </c>
      <c r="O17253" s="1" t="s">
        <v>46</v>
      </c>
    </row>
    <row r="17254" spans="2:15" x14ac:dyDescent="0.3">
      <c r="B17254" s="1" t="s">
        <v>13</v>
      </c>
      <c r="C17254" s="1" t="str">
        <f>"4차"</f>
        <v>4차</v>
      </c>
      <c r="D17254" s="1" t="str">
        <f>"0026C37639"</f>
        <v>0026C37639</v>
      </c>
      <c r="E17254" s="1" t="s">
        <v>10</v>
      </c>
      <c r="F17254" s="1" t="str">
        <f>"10.11.38.114"</f>
        <v>10.11.38.114</v>
      </c>
      <c r="G17254" s="1" t="str">
        <f>"0026C376"</f>
        <v>0026C376</v>
      </c>
      <c r="H17254" s="1" t="str">
        <f>"창덕궁간 12R1H1"</f>
        <v>창덕궁간 12R1H1</v>
      </c>
      <c r="I17254" s="1" t="s">
        <v>8</v>
      </c>
      <c r="J17254" s="1" t="str">
        <f>"24/24"</f>
        <v>24/24</v>
      </c>
      <c r="K17254" s="1" t="str">
        <f t="shared" si="850"/>
        <v>2026-07-29 13:18:01</v>
      </c>
      <c r="L17254" s="1" t="str">
        <f>"2021-07-27 13:38:16"</f>
        <v>2021-07-27 13:38:16</v>
      </c>
      <c r="M17254" s="1" t="s">
        <v>2</v>
      </c>
      <c r="N17254" s="1" t="s">
        <v>38</v>
      </c>
      <c r="O17254" s="1" t="s">
        <v>46</v>
      </c>
    </row>
    <row r="17255" spans="2:15" x14ac:dyDescent="0.3">
      <c r="B17255" s="1" t="s">
        <v>13</v>
      </c>
      <c r="C17255" s="1" t="str">
        <f>"3차"</f>
        <v>3차</v>
      </c>
      <c r="D17255" s="1" t="str">
        <f>"0026C38139"</f>
        <v>0026C38139</v>
      </c>
      <c r="E17255" s="1" t="s">
        <v>10</v>
      </c>
      <c r="F17255" s="1" t="str">
        <f>"10.11.38.122"</f>
        <v>10.11.38.122</v>
      </c>
      <c r="G17255" s="1" t="str">
        <f>"0026C381"</f>
        <v>0026C381</v>
      </c>
      <c r="H17255" s="1" t="str">
        <f>"창덕궁간 12R1L1"</f>
        <v>창덕궁간 12R1L1</v>
      </c>
      <c r="I17255" s="1" t="s">
        <v>8</v>
      </c>
      <c r="J17255" s="1" t="str">
        <f>"35/37"</f>
        <v>35/37</v>
      </c>
      <c r="K17255" s="1" t="str">
        <f t="shared" si="850"/>
        <v>2026-07-29 13:18:01</v>
      </c>
      <c r="L17255" s="1" t="str">
        <f>"2018-05-15 11:26:27"</f>
        <v>2018-05-15 11:26:27</v>
      </c>
      <c r="M17255" s="1" t="s">
        <v>2</v>
      </c>
      <c r="N17255" s="1" t="s">
        <v>38</v>
      </c>
      <c r="O17255" s="1" t="s">
        <v>46</v>
      </c>
    </row>
    <row r="17256" spans="2:15" x14ac:dyDescent="0.3">
      <c r="B17256" s="1" t="s">
        <v>13</v>
      </c>
      <c r="C17256" s="1" t="str">
        <f>"3차"</f>
        <v>3차</v>
      </c>
      <c r="D17256" s="1" t="str">
        <f>"0026C44139"</f>
        <v>0026C44139</v>
      </c>
      <c r="E17256" s="1" t="s">
        <v>10</v>
      </c>
      <c r="F17256" s="1" t="str">
        <f>"10.11.19.66"</f>
        <v>10.11.19.66</v>
      </c>
      <c r="G17256" s="1" t="str">
        <f>"0026C441"</f>
        <v>0026C441</v>
      </c>
      <c r="H17256" s="1" t="str">
        <f>"창덕궁간 7R1"</f>
        <v>창덕궁간 7R1</v>
      </c>
      <c r="I17256" s="1" t="s">
        <v>8</v>
      </c>
      <c r="J17256" s="1" t="str">
        <f>"11/11"</f>
        <v>11/11</v>
      </c>
      <c r="K17256" s="1" t="str">
        <f t="shared" si="850"/>
        <v>2026-07-29 13:18:01</v>
      </c>
      <c r="L17256" s="1" t="str">
        <f>"2018-05-15 11:28:41"</f>
        <v>2018-05-15 11:28:41</v>
      </c>
      <c r="M17256" s="1" t="s">
        <v>2</v>
      </c>
      <c r="N17256" s="1" t="s">
        <v>38</v>
      </c>
      <c r="O17256" s="1" t="s">
        <v>46</v>
      </c>
    </row>
    <row r="17257" spans="2:15" x14ac:dyDescent="0.3">
      <c r="B17257" s="1" t="s">
        <v>13</v>
      </c>
      <c r="C17257" s="1" t="str">
        <f>"3차"</f>
        <v>3차</v>
      </c>
      <c r="D17257" s="1" t="str">
        <f>"0026C44239"</f>
        <v>0026C44239</v>
      </c>
      <c r="E17257" s="1" t="s">
        <v>10</v>
      </c>
      <c r="F17257" s="1" t="str">
        <f>"10.11.38.162"</f>
        <v>10.11.38.162</v>
      </c>
      <c r="G17257" s="1" t="str">
        <f>"0026C442"</f>
        <v>0026C442</v>
      </c>
      <c r="H17257" s="1" t="str">
        <f>"창덕궁간 7R2R1"</f>
        <v>창덕궁간 7R2R1</v>
      </c>
      <c r="I17257" s="1" t="s">
        <v>8</v>
      </c>
      <c r="J17257" s="1" t="str">
        <f>"12/12"</f>
        <v>12/12</v>
      </c>
      <c r="K17257" s="1" t="str">
        <f t="shared" si="850"/>
        <v>2026-07-29 13:18:01</v>
      </c>
      <c r="L17257" s="1" t="str">
        <f>"2018-05-17 17:42:43"</f>
        <v>2018-05-17 17:42:43</v>
      </c>
      <c r="M17257" s="1" t="s">
        <v>2</v>
      </c>
      <c r="N17257" s="1" t="s">
        <v>38</v>
      </c>
      <c r="O17257" s="1" t="s">
        <v>46</v>
      </c>
    </row>
    <row r="17258" spans="2:15" x14ac:dyDescent="0.3">
      <c r="B17258" s="1" t="s">
        <v>13</v>
      </c>
      <c r="C17258" s="1" t="str">
        <f>"4차"</f>
        <v>4차</v>
      </c>
      <c r="D17258" s="1" t="str">
        <f>"0026C44339"</f>
        <v>0026C44339</v>
      </c>
      <c r="E17258" s="1" t="s">
        <v>10</v>
      </c>
      <c r="F17258" s="1" t="str">
        <f>"10.11.38.154"</f>
        <v>10.11.38.154</v>
      </c>
      <c r="G17258" s="1" t="str">
        <f>"0026C443"</f>
        <v>0026C443</v>
      </c>
      <c r="H17258" s="1" t="str">
        <f>"창덕궁간 7R2"</f>
        <v>창덕궁간 7R2</v>
      </c>
      <c r="I17258" s="1" t="s">
        <v>8</v>
      </c>
      <c r="J17258" s="1" t="str">
        <f>"11/12"</f>
        <v>11/12</v>
      </c>
      <c r="K17258" s="1" t="str">
        <f t="shared" si="850"/>
        <v>2026-07-29 13:18:01</v>
      </c>
      <c r="L17258" s="1" t="str">
        <f>"2018-05-15 11:10:10"</f>
        <v>2018-05-15 11:10:10</v>
      </c>
      <c r="M17258" s="1" t="s">
        <v>2</v>
      </c>
      <c r="N17258" s="1" t="s">
        <v>38</v>
      </c>
      <c r="O17258" s="1" t="s">
        <v>46</v>
      </c>
    </row>
    <row r="17259" spans="2:15" x14ac:dyDescent="0.3">
      <c r="B17259" s="1" t="s">
        <v>13</v>
      </c>
      <c r="C17259" s="1" t="str">
        <f t="shared" ref="C17259:C17272" si="851">"3차"</f>
        <v>3차</v>
      </c>
      <c r="D17259" s="1" t="str">
        <f>"0026C44439"</f>
        <v>0026C44439</v>
      </c>
      <c r="E17259" s="1" t="s">
        <v>10</v>
      </c>
      <c r="F17259" s="1" t="str">
        <f>"10.11.19.74"</f>
        <v>10.11.19.74</v>
      </c>
      <c r="G17259" s="1" t="str">
        <f>"0026C444"</f>
        <v>0026C444</v>
      </c>
      <c r="H17259" s="1" t="str">
        <f>"창덕궁간 7R2R2"</f>
        <v>창덕궁간 7R2R2</v>
      </c>
      <c r="I17259" s="1" t="s">
        <v>8</v>
      </c>
      <c r="J17259" s="1" t="str">
        <f>"94/96"</f>
        <v>94/96</v>
      </c>
      <c r="K17259" s="1" t="str">
        <f t="shared" si="850"/>
        <v>2026-07-29 13:18:01</v>
      </c>
      <c r="L17259" s="1" t="str">
        <f>"2018-05-15 11:32:25"</f>
        <v>2018-05-15 11:32:25</v>
      </c>
      <c r="M17259" s="1" t="s">
        <v>2</v>
      </c>
      <c r="N17259" s="1" t="s">
        <v>38</v>
      </c>
      <c r="O17259" s="1" t="s">
        <v>46</v>
      </c>
    </row>
    <row r="17260" spans="2:15" x14ac:dyDescent="0.3">
      <c r="B17260" s="1" t="s">
        <v>13</v>
      </c>
      <c r="C17260" s="1" t="str">
        <f t="shared" si="851"/>
        <v>3차</v>
      </c>
      <c r="D17260" s="1" t="str">
        <f>"0026C45330"</f>
        <v>0026C45330</v>
      </c>
      <c r="E17260" s="1" t="s">
        <v>10</v>
      </c>
      <c r="F17260" s="1" t="str">
        <f>"10.11.19.114"</f>
        <v>10.11.19.114</v>
      </c>
      <c r="G17260" s="1" t="str">
        <f>"0026C453"</f>
        <v>0026C453</v>
      </c>
      <c r="H17260" s="1" t="str">
        <f>"창덕궁간 8R3"</f>
        <v>창덕궁간 8R3</v>
      </c>
      <c r="I17260" s="1" t="s">
        <v>8</v>
      </c>
      <c r="J17260" s="1" t="str">
        <f>"3/3"</f>
        <v>3/3</v>
      </c>
      <c r="K17260" s="1" t="str">
        <f t="shared" si="850"/>
        <v>2026-07-29 13:18:01</v>
      </c>
      <c r="L17260" s="1" t="str">
        <f>"2018-05-15 11:29:25"</f>
        <v>2018-05-15 11:29:25</v>
      </c>
      <c r="M17260" s="1" t="s">
        <v>2</v>
      </c>
      <c r="N17260" s="1" t="s">
        <v>38</v>
      </c>
      <c r="O17260" s="1" t="s">
        <v>46</v>
      </c>
    </row>
    <row r="17261" spans="2:15" x14ac:dyDescent="0.3">
      <c r="B17261" s="1" t="s">
        <v>13</v>
      </c>
      <c r="C17261" s="1" t="str">
        <f t="shared" si="851"/>
        <v>3차</v>
      </c>
      <c r="D17261" s="1" t="str">
        <f>"0026C46139"</f>
        <v>0026C46139</v>
      </c>
      <c r="E17261" s="1" t="s">
        <v>10</v>
      </c>
      <c r="F17261" s="1" t="str">
        <f>"10.11.19.98"</f>
        <v>10.11.19.98</v>
      </c>
      <c r="G17261" s="1" t="str">
        <f>"0026C461"</f>
        <v>0026C461</v>
      </c>
      <c r="H17261" s="1" t="str">
        <f>"창덕궁간 8R2L1"</f>
        <v>창덕궁간 8R2L1</v>
      </c>
      <c r="I17261" s="1" t="s">
        <v>8</v>
      </c>
      <c r="J17261" s="1" t="str">
        <f>"13/13"</f>
        <v>13/13</v>
      </c>
      <c r="K17261" s="1" t="str">
        <f t="shared" si="850"/>
        <v>2026-07-29 13:18:01</v>
      </c>
      <c r="L17261" s="1" t="str">
        <f>"2018-05-15 11:25:25"</f>
        <v>2018-05-15 11:25:25</v>
      </c>
      <c r="M17261" s="1" t="s">
        <v>2</v>
      </c>
      <c r="N17261" s="1" t="s">
        <v>38</v>
      </c>
      <c r="O17261" s="1" t="s">
        <v>46</v>
      </c>
    </row>
    <row r="17262" spans="2:15" x14ac:dyDescent="0.3">
      <c r="B17262" s="1" t="s">
        <v>13</v>
      </c>
      <c r="C17262" s="1" t="str">
        <f t="shared" si="851"/>
        <v>3차</v>
      </c>
      <c r="D17262" s="1" t="str">
        <f>"0026C46339"</f>
        <v>0026C46339</v>
      </c>
      <c r="E17262" s="1" t="s">
        <v>10</v>
      </c>
      <c r="F17262" s="1" t="str">
        <f>"10.11.38.218"</f>
        <v>10.11.38.218</v>
      </c>
      <c r="G17262" s="1" t="str">
        <f>"0026C463"</f>
        <v>0026C463</v>
      </c>
      <c r="H17262" s="1" t="str">
        <f>"창덕궁간 8R2L3"</f>
        <v>창덕궁간 8R2L3</v>
      </c>
      <c r="I17262" s="1" t="s">
        <v>8</v>
      </c>
      <c r="J17262" s="1" t="str">
        <f>"2/2"</f>
        <v>2/2</v>
      </c>
      <c r="K17262" s="1" t="str">
        <f t="shared" si="850"/>
        <v>2026-07-29 13:18:01</v>
      </c>
      <c r="L17262" s="1" t="str">
        <f>"2018-05-15 11:23:40"</f>
        <v>2018-05-15 11:23:40</v>
      </c>
      <c r="M17262" s="1" t="s">
        <v>2</v>
      </c>
      <c r="N17262" s="1" t="s">
        <v>38</v>
      </c>
      <c r="O17262" s="1" t="s">
        <v>46</v>
      </c>
    </row>
    <row r="17263" spans="2:15" x14ac:dyDescent="0.3">
      <c r="B17263" s="1" t="s">
        <v>13</v>
      </c>
      <c r="C17263" s="1" t="str">
        <f t="shared" si="851"/>
        <v>3차</v>
      </c>
      <c r="D17263" s="1" t="str">
        <f>"0026C46739"</f>
        <v>0026C46739</v>
      </c>
      <c r="E17263" s="1" t="s">
        <v>10</v>
      </c>
      <c r="F17263" s="1" t="str">
        <f>"10.11.27.58"</f>
        <v>10.11.27.58</v>
      </c>
      <c r="G17263" s="1" t="str">
        <f>"0026C467"</f>
        <v>0026C467</v>
      </c>
      <c r="H17263" s="1" t="str">
        <f>"창덕궁간 8R2L2R2"</f>
        <v>창덕궁간 8R2L2R2</v>
      </c>
      <c r="I17263" s="1" t="s">
        <v>8</v>
      </c>
      <c r="J17263" s="1" t="str">
        <f>"5/7"</f>
        <v>5/7</v>
      </c>
      <c r="K17263" s="1" t="str">
        <f t="shared" si="850"/>
        <v>2026-07-29 13:18:01</v>
      </c>
      <c r="L17263" s="1" t="str">
        <f>"2017-12-07 17:06:17"</f>
        <v>2017-12-07 17:06:17</v>
      </c>
      <c r="M17263" s="1" t="s">
        <v>2</v>
      </c>
      <c r="N17263" s="1" t="s">
        <v>38</v>
      </c>
      <c r="O17263" s="1" t="s">
        <v>46</v>
      </c>
    </row>
    <row r="17264" spans="2:15" x14ac:dyDescent="0.3">
      <c r="B17264" s="1" t="s">
        <v>13</v>
      </c>
      <c r="C17264" s="1" t="str">
        <f t="shared" si="851"/>
        <v>3차</v>
      </c>
      <c r="D17264" s="1" t="str">
        <f>"0026C47430"</f>
        <v>0026C47430</v>
      </c>
      <c r="E17264" s="1" t="s">
        <v>10</v>
      </c>
      <c r="F17264" s="1" t="str">
        <f>"10.11.19.106"</f>
        <v>10.11.19.106</v>
      </c>
      <c r="G17264" s="1" t="str">
        <f>"0026C474"</f>
        <v>0026C474</v>
      </c>
      <c r="H17264" s="1" t="str">
        <f>"창덕궁간 8R2L4"</f>
        <v>창덕궁간 8R2L4</v>
      </c>
      <c r="I17264" s="1" t="s">
        <v>8</v>
      </c>
      <c r="J17264" s="1" t="str">
        <f>"3/5"</f>
        <v>3/5</v>
      </c>
      <c r="K17264" s="1" t="str">
        <f t="shared" si="850"/>
        <v>2026-07-29 13:18:01</v>
      </c>
      <c r="L17264" s="1" t="str">
        <f>"2018-05-15 11:46:55"</f>
        <v>2018-05-15 11:46:55</v>
      </c>
      <c r="M17264" s="1" t="s">
        <v>2</v>
      </c>
      <c r="N17264" s="1" t="s">
        <v>38</v>
      </c>
      <c r="O17264" s="1" t="s">
        <v>46</v>
      </c>
    </row>
    <row r="17265" spans="2:15" x14ac:dyDescent="0.3">
      <c r="B17265" s="1" t="s">
        <v>13</v>
      </c>
      <c r="C17265" s="1" t="str">
        <f t="shared" si="851"/>
        <v>3차</v>
      </c>
      <c r="D17265" s="1" t="str">
        <f>"0026C48130"</f>
        <v>0026C48130</v>
      </c>
      <c r="E17265" s="1" t="s">
        <v>10</v>
      </c>
      <c r="F17265" s="1" t="str">
        <f>"10.11.19.42"</f>
        <v>10.11.19.42</v>
      </c>
      <c r="G17265" s="1" t="str">
        <f>"0026C481"</f>
        <v>0026C481</v>
      </c>
      <c r="H17265" s="1" t="str">
        <f>"창덕궁간 12R1L2"</f>
        <v>창덕궁간 12R1L2</v>
      </c>
      <c r="I17265" s="1" t="s">
        <v>8</v>
      </c>
      <c r="J17265" s="1" t="str">
        <f>"20/20"</f>
        <v>20/20</v>
      </c>
      <c r="K17265" s="1" t="str">
        <f t="shared" si="850"/>
        <v>2026-07-29 13:18:01</v>
      </c>
      <c r="L17265" s="1" t="str">
        <f>"2018-05-15 11:02:40"</f>
        <v>2018-05-15 11:02:40</v>
      </c>
      <c r="M17265" s="1" t="s">
        <v>2</v>
      </c>
      <c r="N17265" s="1" t="s">
        <v>38</v>
      </c>
      <c r="O17265" s="1" t="s">
        <v>46</v>
      </c>
    </row>
    <row r="17266" spans="2:15" x14ac:dyDescent="0.3">
      <c r="B17266" s="1" t="s">
        <v>13</v>
      </c>
      <c r="C17266" s="1" t="str">
        <f t="shared" si="851"/>
        <v>3차</v>
      </c>
      <c r="D17266" s="1" t="str">
        <f>"0026C49131"</f>
        <v>0026C49131</v>
      </c>
      <c r="E17266" s="1" t="s">
        <v>10</v>
      </c>
      <c r="F17266" s="1" t="str">
        <f>"10.11.19.43"</f>
        <v>10.11.19.43</v>
      </c>
      <c r="G17266" s="1" t="str">
        <f>"0026C491"</f>
        <v>0026C491</v>
      </c>
      <c r="H17266" s="1" t="str">
        <f>"창덕궁간 12R1L3"</f>
        <v>창덕궁간 12R1L3</v>
      </c>
      <c r="I17266" s="1" t="s">
        <v>8</v>
      </c>
      <c r="J17266" s="1" t="str">
        <f>"16/16"</f>
        <v>16/16</v>
      </c>
      <c r="K17266" s="1" t="str">
        <f t="shared" si="850"/>
        <v>2026-07-29 13:18:01</v>
      </c>
      <c r="L17266" s="1" t="str">
        <f>"2018-05-29 11:51:25"</f>
        <v>2018-05-29 11:51:25</v>
      </c>
      <c r="M17266" s="1" t="s">
        <v>2</v>
      </c>
      <c r="N17266" s="1" t="s">
        <v>38</v>
      </c>
      <c r="O17266" s="1" t="s">
        <v>46</v>
      </c>
    </row>
    <row r="17267" spans="2:15" x14ac:dyDescent="0.3">
      <c r="B17267" s="1" t="s">
        <v>13</v>
      </c>
      <c r="C17267" s="1" t="str">
        <f t="shared" si="851"/>
        <v>3차</v>
      </c>
      <c r="D17267" s="1" t="str">
        <f>"0026C51130"</f>
        <v>0026C51130</v>
      </c>
      <c r="E17267" s="1" t="s">
        <v>10</v>
      </c>
      <c r="F17267" s="1" t="str">
        <f>"10.11.19.90"</f>
        <v>10.11.19.90</v>
      </c>
      <c r="G17267" s="1" t="str">
        <f>"0026C511"</f>
        <v>0026C511</v>
      </c>
      <c r="H17267" s="1" t="str">
        <f>"창덕궁간 7R2R5"</f>
        <v>창덕궁간 7R2R5</v>
      </c>
      <c r="I17267" s="1" t="s">
        <v>8</v>
      </c>
      <c r="J17267" s="1" t="str">
        <f>"2/2"</f>
        <v>2/2</v>
      </c>
      <c r="K17267" s="1" t="str">
        <f t="shared" si="850"/>
        <v>2026-07-29 13:18:01</v>
      </c>
      <c r="L17267" s="1" t="str">
        <f>"2018-05-15 11:19:25"</f>
        <v>2018-05-15 11:19:25</v>
      </c>
      <c r="M17267" s="1" t="s">
        <v>2</v>
      </c>
      <c r="N17267" s="1" t="s">
        <v>38</v>
      </c>
      <c r="O17267" s="1" t="s">
        <v>46</v>
      </c>
    </row>
    <row r="17268" spans="2:15" x14ac:dyDescent="0.3">
      <c r="B17268" s="1" t="s">
        <v>13</v>
      </c>
      <c r="C17268" s="1" t="str">
        <f t="shared" si="851"/>
        <v>3차</v>
      </c>
      <c r="D17268" s="1" t="str">
        <f>"0026C52139"</f>
        <v>0026C52139</v>
      </c>
      <c r="E17268" s="1" t="s">
        <v>10</v>
      </c>
      <c r="F17268" s="1" t="str">
        <f>"10.11.38.194"</f>
        <v>10.11.38.194</v>
      </c>
      <c r="G17268" s="1" t="str">
        <f>"0026C521"</f>
        <v>0026C521</v>
      </c>
      <c r="H17268" s="1" t="str">
        <f>"창덕궁간 7R2R4"</f>
        <v>창덕궁간 7R2R4</v>
      </c>
      <c r="I17268" s="1" t="s">
        <v>8</v>
      </c>
      <c r="J17268" s="1" t="str">
        <f>"7/7"</f>
        <v>7/7</v>
      </c>
      <c r="K17268" s="1" t="str">
        <f t="shared" si="850"/>
        <v>2026-07-29 13:18:01</v>
      </c>
      <c r="L17268" s="1" t="str">
        <f>"2018-05-17 17:45:14"</f>
        <v>2018-05-17 17:45:14</v>
      </c>
      <c r="M17268" s="1" t="s">
        <v>2</v>
      </c>
      <c r="N17268" s="1" t="s">
        <v>38</v>
      </c>
      <c r="O17268" s="1" t="s">
        <v>46</v>
      </c>
    </row>
    <row r="17269" spans="2:15" x14ac:dyDescent="0.3">
      <c r="B17269" s="1" t="s">
        <v>13</v>
      </c>
      <c r="C17269" s="1" t="str">
        <f t="shared" si="851"/>
        <v>3차</v>
      </c>
      <c r="D17269" s="1" t="str">
        <f>"0026C53139"</f>
        <v>0026C53139</v>
      </c>
      <c r="E17269" s="1" t="s">
        <v>10</v>
      </c>
      <c r="F17269" s="1" t="str">
        <f>"10.11.38.170"</f>
        <v>10.11.38.170</v>
      </c>
      <c r="G17269" s="1" t="str">
        <f>"0026C531"</f>
        <v>0026C531</v>
      </c>
      <c r="H17269" s="1" t="str">
        <f>"창덕궁간 7R2R3"</f>
        <v>창덕궁간 7R2R3</v>
      </c>
      <c r="I17269" s="1" t="s">
        <v>8</v>
      </c>
      <c r="J17269" s="1" t="str">
        <f>"23/23"</f>
        <v>23/23</v>
      </c>
      <c r="K17269" s="1" t="str">
        <f t="shared" si="850"/>
        <v>2026-07-29 13:18:01</v>
      </c>
      <c r="L17269" s="1" t="str">
        <f>"2018-05-15 11:46:55"</f>
        <v>2018-05-15 11:46:55</v>
      </c>
      <c r="M17269" s="1" t="s">
        <v>2</v>
      </c>
      <c r="N17269" s="1" t="s">
        <v>38</v>
      </c>
      <c r="O17269" s="1" t="s">
        <v>46</v>
      </c>
    </row>
    <row r="17270" spans="2:15" x14ac:dyDescent="0.3">
      <c r="B17270" s="1" t="s">
        <v>13</v>
      </c>
      <c r="C17270" s="1" t="str">
        <f t="shared" si="851"/>
        <v>3차</v>
      </c>
      <c r="D17270" s="1" t="str">
        <f>"0026C53239"</f>
        <v>0026C53239</v>
      </c>
      <c r="E17270" s="1" t="s">
        <v>10</v>
      </c>
      <c r="F17270" s="1" t="str">
        <f>"10.11.38.178"</f>
        <v>10.11.38.178</v>
      </c>
      <c r="G17270" s="1" t="str">
        <f>"0026C532"</f>
        <v>0026C532</v>
      </c>
      <c r="H17270" s="1" t="str">
        <f>"창덕궁간 7R2R3L1"</f>
        <v>창덕궁간 7R2R3L1</v>
      </c>
      <c r="I17270" s="1" t="s">
        <v>8</v>
      </c>
      <c r="J17270" s="1" t="str">
        <f>"26/27"</f>
        <v>26/27</v>
      </c>
      <c r="K17270" s="1" t="str">
        <f t="shared" si="850"/>
        <v>2026-07-29 13:18:01</v>
      </c>
      <c r="L17270" s="1" t="str">
        <f>"2018-05-15 11:24:41"</f>
        <v>2018-05-15 11:24:41</v>
      </c>
      <c r="M17270" s="1" t="s">
        <v>2</v>
      </c>
      <c r="N17270" s="1" t="s">
        <v>38</v>
      </c>
      <c r="O17270" s="1" t="s">
        <v>46</v>
      </c>
    </row>
    <row r="17271" spans="2:15" x14ac:dyDescent="0.3">
      <c r="B17271" s="1" t="s">
        <v>13</v>
      </c>
      <c r="C17271" s="1" t="str">
        <f t="shared" si="851"/>
        <v>3차</v>
      </c>
      <c r="D17271" s="1" t="str">
        <f>"0026C53339"</f>
        <v>0026C53339</v>
      </c>
      <c r="E17271" s="1" t="s">
        <v>10</v>
      </c>
      <c r="F17271" s="1" t="str">
        <f>"10.11.19.82"</f>
        <v>10.11.19.82</v>
      </c>
      <c r="G17271" s="1" t="str">
        <f>"0026C533"</f>
        <v>0026C533</v>
      </c>
      <c r="H17271" s="1" t="str">
        <f>"창덕궁간 7R2R3L2"</f>
        <v>창덕궁간 7R2R3L2</v>
      </c>
      <c r="I17271" s="1" t="s">
        <v>8</v>
      </c>
      <c r="J17271" s="1" t="str">
        <f>"42/42"</f>
        <v>42/42</v>
      </c>
      <c r="K17271" s="1" t="str">
        <f t="shared" si="850"/>
        <v>2026-07-29 13:18:01</v>
      </c>
      <c r="L17271" s="1" t="str">
        <f>"2018-05-17 18:03:58"</f>
        <v>2018-05-17 18:03:58</v>
      </c>
      <c r="M17271" s="1" t="s">
        <v>2</v>
      </c>
      <c r="N17271" s="1" t="s">
        <v>38</v>
      </c>
      <c r="O17271" s="1" t="s">
        <v>46</v>
      </c>
    </row>
    <row r="17272" spans="2:15" x14ac:dyDescent="0.3">
      <c r="B17272" s="1" t="s">
        <v>13</v>
      </c>
      <c r="C17272" s="1" t="str">
        <f t="shared" si="851"/>
        <v>3차</v>
      </c>
      <c r="D17272" s="1" t="str">
        <f>"0026C54239"</f>
        <v>0026C54239</v>
      </c>
      <c r="E17272" s="1" t="s">
        <v>10</v>
      </c>
      <c r="F17272" s="1" t="str">
        <f>"10.11.38.186"</f>
        <v>10.11.38.186</v>
      </c>
      <c r="G17272" s="1" t="str">
        <f>"0026C542"</f>
        <v>0026C542</v>
      </c>
      <c r="H17272" s="1" t="str">
        <f>"창덕궁간 7R2R3L3"</f>
        <v>창덕궁간 7R2R3L3</v>
      </c>
      <c r="I17272" s="1" t="s">
        <v>8</v>
      </c>
      <c r="J17272" s="1" t="str">
        <f>"57/57"</f>
        <v>57/57</v>
      </c>
      <c r="K17272" s="1" t="str">
        <f t="shared" si="850"/>
        <v>2026-07-29 13:18:01</v>
      </c>
      <c r="L17272" s="1" t="str">
        <f>"2018-05-15 11:44:56"</f>
        <v>2018-05-15 11:44:56</v>
      </c>
      <c r="M17272" s="1" t="s">
        <v>2</v>
      </c>
      <c r="N17272" s="1" t="s">
        <v>38</v>
      </c>
      <c r="O17272" s="1" t="s">
        <v>46</v>
      </c>
    </row>
    <row r="17273" spans="2:15" x14ac:dyDescent="0.3">
      <c r="B17273" s="1" t="s">
        <v>13</v>
      </c>
      <c r="C17273" s="1" t="str">
        <f>"4차"</f>
        <v>4차</v>
      </c>
      <c r="D17273" s="1" t="str">
        <f>"0026C55131"</f>
        <v>0026C55131</v>
      </c>
      <c r="E17273" s="1" t="s">
        <v>10</v>
      </c>
      <c r="F17273" s="1" t="str">
        <f>"10.11.19.115"</f>
        <v>10.11.19.115</v>
      </c>
      <c r="G17273" s="1" t="str">
        <f>"0026C551"</f>
        <v>0026C551</v>
      </c>
      <c r="H17273" s="1" t="str">
        <f>"창덕궁간 8R4"</f>
        <v>창덕궁간 8R4</v>
      </c>
      <c r="I17273" s="1" t="s">
        <v>8</v>
      </c>
      <c r="J17273" s="1" t="str">
        <f>"15/15"</f>
        <v>15/15</v>
      </c>
      <c r="K17273" s="1" t="str">
        <f t="shared" si="850"/>
        <v>2026-07-29 13:18:01</v>
      </c>
      <c r="L17273" s="1" t="str">
        <f>"2018-05-29 12:00:10"</f>
        <v>2018-05-29 12:00:10</v>
      </c>
      <c r="M17273" s="1" t="s">
        <v>2</v>
      </c>
      <c r="N17273" s="1" t="s">
        <v>38</v>
      </c>
      <c r="O17273" s="1" t="s">
        <v>46</v>
      </c>
    </row>
    <row r="17274" spans="2:15" x14ac:dyDescent="0.3">
      <c r="B17274" s="1" t="s">
        <v>13</v>
      </c>
      <c r="C17274" s="1" t="str">
        <f>"3차"</f>
        <v>3차</v>
      </c>
      <c r="D17274" s="1" t="str">
        <f>"0026C55239"</f>
        <v>0026C55239</v>
      </c>
      <c r="E17274" s="1" t="s">
        <v>10</v>
      </c>
      <c r="F17274" s="1" t="str">
        <f>"10.11.19.122"</f>
        <v>10.11.19.122</v>
      </c>
      <c r="G17274" s="1" t="str">
        <f>"0026C552"</f>
        <v>0026C552</v>
      </c>
      <c r="H17274" s="1" t="str">
        <f>"창덕궁간 8R4R1"</f>
        <v>창덕궁간 8R4R1</v>
      </c>
      <c r="I17274" s="1" t="s">
        <v>8</v>
      </c>
      <c r="J17274" s="1" t="str">
        <f>"21/43"</f>
        <v>21/43</v>
      </c>
      <c r="K17274" s="1" t="str">
        <f t="shared" si="850"/>
        <v>2026-07-29 13:18:01</v>
      </c>
      <c r="L17274" s="1" t="str">
        <f>"2018-05-15 11:37:41"</f>
        <v>2018-05-15 11:37:41</v>
      </c>
      <c r="M17274" s="1" t="s">
        <v>2</v>
      </c>
      <c r="N17274" s="1" t="s">
        <v>38</v>
      </c>
      <c r="O17274" s="1" t="s">
        <v>46</v>
      </c>
    </row>
    <row r="17275" spans="2:15" x14ac:dyDescent="0.3">
      <c r="B17275" s="1" t="s">
        <v>13</v>
      </c>
      <c r="C17275" s="1" t="str">
        <f>"3차"</f>
        <v>3차</v>
      </c>
      <c r="D17275" s="1" t="str">
        <f>"0026C55439"</f>
        <v>0026C55439</v>
      </c>
      <c r="E17275" s="1" t="s">
        <v>10</v>
      </c>
      <c r="F17275" s="1" t="str">
        <f>"10.11.38.226"</f>
        <v>10.11.38.226</v>
      </c>
      <c r="G17275" s="1" t="str">
        <f>"0026C554"</f>
        <v>0026C554</v>
      </c>
      <c r="H17275" s="1" t="str">
        <f>"창덕궁간 8R4R1R1"</f>
        <v>창덕궁간 8R4R1R1</v>
      </c>
      <c r="I17275" s="1" t="s">
        <v>8</v>
      </c>
      <c r="J17275" s="1" t="str">
        <f>"7/7"</f>
        <v>7/7</v>
      </c>
      <c r="K17275" s="1" t="str">
        <f t="shared" si="850"/>
        <v>2026-07-29 13:18:01</v>
      </c>
      <c r="L17275" s="1" t="str">
        <f>"2018-05-15 11:48:27"</f>
        <v>2018-05-15 11:48:27</v>
      </c>
      <c r="M17275" s="1" t="s">
        <v>2</v>
      </c>
      <c r="N17275" s="1" t="s">
        <v>38</v>
      </c>
      <c r="O17275" s="1" t="s">
        <v>46</v>
      </c>
    </row>
    <row r="17276" spans="2:15" x14ac:dyDescent="0.3">
      <c r="B17276" s="1" t="s">
        <v>13</v>
      </c>
      <c r="C17276" s="1" t="str">
        <f>"3차"</f>
        <v>3차</v>
      </c>
      <c r="D17276" s="1" t="str">
        <f>"0026C56139"</f>
        <v>0026C56139</v>
      </c>
      <c r="E17276" s="1" t="s">
        <v>10</v>
      </c>
      <c r="F17276" s="1" t="str">
        <f>"10.11.38.58"</f>
        <v>10.11.38.58</v>
      </c>
      <c r="G17276" s="1" t="str">
        <f>"0026C561"</f>
        <v>0026C561</v>
      </c>
      <c r="H17276" s="1" t="str">
        <f>"종로간 38R8L3L1"</f>
        <v>종로간 38R8L3L1</v>
      </c>
      <c r="I17276" s="1" t="s">
        <v>8</v>
      </c>
      <c r="J17276" s="1" t="str">
        <f>"84/84"</f>
        <v>84/84</v>
      </c>
      <c r="K17276" s="1" t="str">
        <f t="shared" si="850"/>
        <v>2026-07-29 13:18:01</v>
      </c>
      <c r="L17276" s="1" t="str">
        <f>"2018-05-15 16:48:15"</f>
        <v>2018-05-15 16:48:15</v>
      </c>
      <c r="M17276" s="1" t="s">
        <v>2</v>
      </c>
      <c r="N17276" s="1" t="s">
        <v>38</v>
      </c>
      <c r="O17276" s="1" t="s">
        <v>46</v>
      </c>
    </row>
    <row r="17277" spans="2:15" x14ac:dyDescent="0.3">
      <c r="B17277" s="1" t="s">
        <v>13</v>
      </c>
      <c r="C17277" s="1" t="str">
        <f>"3차"</f>
        <v>3차</v>
      </c>
      <c r="D17277" s="1" t="str">
        <f>"0026C57239"</f>
        <v>0026C57239</v>
      </c>
      <c r="E17277" s="1" t="s">
        <v>10</v>
      </c>
      <c r="F17277" s="1" t="str">
        <f>"10.11.27.42"</f>
        <v>10.11.27.42</v>
      </c>
      <c r="G17277" s="1" t="str">
        <f>"0026C572"</f>
        <v>0026C572</v>
      </c>
      <c r="H17277" s="1" t="str">
        <f>"종로간 38R8L5"</f>
        <v>종로간 38R8L5</v>
      </c>
      <c r="I17277" s="1" t="s">
        <v>8</v>
      </c>
      <c r="J17277" s="1" t="str">
        <f>"11/11"</f>
        <v>11/11</v>
      </c>
      <c r="K17277" s="1" t="str">
        <f t="shared" si="850"/>
        <v>2026-07-29 13:18:01</v>
      </c>
      <c r="L17277" s="1" t="str">
        <f>"2018-05-17 18:05:13"</f>
        <v>2018-05-17 18:05:13</v>
      </c>
      <c r="M17277" s="1" t="s">
        <v>2</v>
      </c>
      <c r="N17277" s="1" t="s">
        <v>38</v>
      </c>
      <c r="O17277" s="1" t="s">
        <v>46</v>
      </c>
    </row>
    <row r="17278" spans="2:15" x14ac:dyDescent="0.3">
      <c r="B17278" s="1" t="s">
        <v>13</v>
      </c>
      <c r="C17278" s="1" t="str">
        <f>"4차"</f>
        <v>4차</v>
      </c>
      <c r="D17278" s="1" t="str">
        <f>"0026C60139"</f>
        <v>0026C60139</v>
      </c>
      <c r="E17278" s="1" t="str">
        <f>"검침실패(3시간 이상)"</f>
        <v>검침실패(3시간 이상)</v>
      </c>
      <c r="F17278" s="1" t="str">
        <f>"10.12.137.210"</f>
        <v>10.12.137.210</v>
      </c>
      <c r="G17278" s="1" t="str">
        <f>"0026C601"</f>
        <v>0026C601</v>
      </c>
      <c r="H17278" s="1" t="str">
        <f>"종로로 L29"</f>
        <v>종로로 L29</v>
      </c>
      <c r="I17278" s="1" t="s">
        <v>17</v>
      </c>
      <c r="J17278" s="1" t="str">
        <f>"0/4"</f>
        <v>0/4</v>
      </c>
      <c r="K17278" s="1" t="str">
        <f>"2026-07-29 13:18:02"</f>
        <v>2026-07-29 13:18:02</v>
      </c>
      <c r="L17278" s="1" t="str">
        <f>"2018-05-11 12:40:44"</f>
        <v>2018-05-11 12:40:44</v>
      </c>
      <c r="M17278" s="1" t="s">
        <v>0</v>
      </c>
      <c r="N17278" s="1" t="s">
        <v>38</v>
      </c>
      <c r="O17278" s="1" t="s">
        <v>46</v>
      </c>
    </row>
    <row r="17279" spans="2:15" x14ac:dyDescent="0.3">
      <c r="B17279" s="1" t="s">
        <v>13</v>
      </c>
      <c r="C17279" s="1" t="str">
        <f>"3차"</f>
        <v>3차</v>
      </c>
      <c r="D17279" s="1" t="str">
        <f>"0026C61431"</f>
        <v>0026C61431</v>
      </c>
      <c r="E17279" s="1" t="s">
        <v>14</v>
      </c>
      <c r="F17279" s="1" t="str">
        <f>"10.11.19.91"</f>
        <v>10.11.19.91</v>
      </c>
      <c r="G17279" s="1" t="str">
        <f>"0026C614"</f>
        <v>0026C614</v>
      </c>
      <c r="H17279" s="1" t="str">
        <f>"창덕궁간 7R2R6"</f>
        <v>창덕궁간 7R2R6</v>
      </c>
      <c r="I17279" s="1" t="s">
        <v>8</v>
      </c>
      <c r="J17279" s="1" t="str">
        <f>"0/0"</f>
        <v>0/0</v>
      </c>
      <c r="K17279" s="4" t="str">
        <f t="shared" ref="K17279:K17295" si="852">"2026-07-29 13:18:01"</f>
        <v>2026-07-29 13:18:01</v>
      </c>
      <c r="L17279" s="1" t="str">
        <f>"2022-10-20 11:07:50"</f>
        <v>2022-10-20 11:07:50</v>
      </c>
      <c r="M17279" s="1" t="s">
        <v>2</v>
      </c>
      <c r="N17279" s="1" t="s">
        <v>38</v>
      </c>
      <c r="O17279" s="1" t="s">
        <v>44</v>
      </c>
    </row>
    <row r="17280" spans="2:15" x14ac:dyDescent="0.3">
      <c r="B17280" s="1" t="s">
        <v>13</v>
      </c>
      <c r="C17280" s="1" t="str">
        <f>"4차"</f>
        <v>4차</v>
      </c>
      <c r="D17280" s="1" t="str">
        <f>"0026C62139"</f>
        <v>0026C62139</v>
      </c>
      <c r="E17280" s="1" t="s">
        <v>14</v>
      </c>
      <c r="F17280" s="1" t="str">
        <f>"10.11.18.194"</f>
        <v>10.11.18.194</v>
      </c>
      <c r="G17280" s="1" t="str">
        <f>"0026C621"</f>
        <v>0026C621</v>
      </c>
      <c r="H17280" s="1" t="str">
        <f>"종로간 38R4L2"</f>
        <v>종로간 38R4L2</v>
      </c>
      <c r="I17280" s="1" t="s">
        <v>8</v>
      </c>
      <c r="J17280" s="1" t="str">
        <f>"0/0"</f>
        <v>0/0</v>
      </c>
      <c r="K17280" s="4" t="str">
        <f t="shared" si="852"/>
        <v>2026-07-29 13:18:01</v>
      </c>
      <c r="L17280" s="1" t="str">
        <f>"2018-05-15 16:40:44"</f>
        <v>2018-05-15 16:40:44</v>
      </c>
      <c r="M17280" s="1" t="s">
        <v>2</v>
      </c>
      <c r="N17280" s="1" t="s">
        <v>38</v>
      </c>
      <c r="O17280" s="1" t="s">
        <v>44</v>
      </c>
    </row>
    <row r="17281" spans="2:15" x14ac:dyDescent="0.3">
      <c r="B17281" s="1" t="s">
        <v>13</v>
      </c>
      <c r="C17281" s="1" t="str">
        <f>"3차"</f>
        <v>3차</v>
      </c>
      <c r="D17281" s="1" t="str">
        <f>"0026C62239"</f>
        <v>0026C62239</v>
      </c>
      <c r="E17281" s="1" t="s">
        <v>10</v>
      </c>
      <c r="F17281" s="1" t="str">
        <f>"10.11.37.250"</f>
        <v>10.11.37.250</v>
      </c>
      <c r="G17281" s="1" t="str">
        <f>"0026C622"</f>
        <v>0026C622</v>
      </c>
      <c r="H17281" s="1" t="str">
        <f>"종로간 38R4L1"</f>
        <v>종로간 38R4L1</v>
      </c>
      <c r="I17281" s="1" t="s">
        <v>8</v>
      </c>
      <c r="J17281" s="1" t="str">
        <f>"34/34"</f>
        <v>34/34</v>
      </c>
      <c r="K17281" s="1" t="str">
        <f t="shared" si="852"/>
        <v>2026-07-29 13:18:01</v>
      </c>
      <c r="L17281" s="1" t="str">
        <f>"2022-05-13 11:02:41"</f>
        <v>2022-05-13 11:02:41</v>
      </c>
      <c r="M17281" s="1" t="s">
        <v>2</v>
      </c>
      <c r="N17281" s="1" t="s">
        <v>38</v>
      </c>
      <c r="O17281" s="1" t="s">
        <v>46</v>
      </c>
    </row>
    <row r="17282" spans="2:15" x14ac:dyDescent="0.3">
      <c r="B17282" s="1" t="s">
        <v>13</v>
      </c>
      <c r="C17282" s="1" t="str">
        <f>"3차"</f>
        <v>3차</v>
      </c>
      <c r="D17282" s="1" t="str">
        <f>"0026C63139"</f>
        <v>0026C63139</v>
      </c>
      <c r="E17282" s="1" t="s">
        <v>10</v>
      </c>
      <c r="F17282" s="1" t="str">
        <f>"10.11.18.218"</f>
        <v>10.11.18.218</v>
      </c>
      <c r="G17282" s="1" t="str">
        <f>"0026C631"</f>
        <v>0026C631</v>
      </c>
      <c r="H17282" s="1" t="str">
        <f>"종로간 38R6"</f>
        <v>종로간 38R6</v>
      </c>
      <c r="I17282" s="1" t="s">
        <v>8</v>
      </c>
      <c r="J17282" s="1" t="str">
        <f>"22/22"</f>
        <v>22/22</v>
      </c>
      <c r="K17282" s="1" t="str">
        <f t="shared" si="852"/>
        <v>2026-07-29 13:18:01</v>
      </c>
      <c r="L17282" s="1" t="str">
        <f>"2018-06-27 11:16:41"</f>
        <v>2018-06-27 11:16:41</v>
      </c>
      <c r="M17282" s="1" t="s">
        <v>2</v>
      </c>
      <c r="N17282" s="1" t="s">
        <v>38</v>
      </c>
      <c r="O17282" s="1" t="s">
        <v>46</v>
      </c>
    </row>
    <row r="17283" spans="2:15" x14ac:dyDescent="0.3">
      <c r="B17283" s="1" t="s">
        <v>13</v>
      </c>
      <c r="C17283" s="1" t="str">
        <f>"3차"</f>
        <v>3차</v>
      </c>
      <c r="D17283" s="1" t="str">
        <f>"0026C63239"</f>
        <v>0026C63239</v>
      </c>
      <c r="E17283" s="1" t="s">
        <v>10</v>
      </c>
      <c r="F17283" s="1" t="str">
        <f>"10.11.38.26"</f>
        <v>10.11.38.26</v>
      </c>
      <c r="G17283" s="1" t="str">
        <f>"0026C632"</f>
        <v>0026C632</v>
      </c>
      <c r="H17283" s="1" t="str">
        <f>"종로간 38R5"</f>
        <v>종로간 38R5</v>
      </c>
      <c r="I17283" s="1" t="s">
        <v>8</v>
      </c>
      <c r="J17283" s="1" t="str">
        <f>"43/43"</f>
        <v>43/43</v>
      </c>
      <c r="K17283" s="1" t="str">
        <f t="shared" si="852"/>
        <v>2026-07-29 13:18:01</v>
      </c>
      <c r="L17283" s="1" t="str">
        <f>"2018-05-15 16:51:58"</f>
        <v>2018-05-15 16:51:58</v>
      </c>
      <c r="M17283" s="1" t="s">
        <v>2</v>
      </c>
      <c r="N17283" s="1" t="s">
        <v>38</v>
      </c>
      <c r="O17283" s="1" t="s">
        <v>46</v>
      </c>
    </row>
    <row r="17284" spans="2:15" x14ac:dyDescent="0.3">
      <c r="B17284" s="1" t="s">
        <v>13</v>
      </c>
      <c r="C17284" s="1" t="str">
        <f>"3차"</f>
        <v>3차</v>
      </c>
      <c r="D17284" s="1" t="str">
        <f>"0026C63439"</f>
        <v>0026C63439</v>
      </c>
      <c r="E17284" s="1" t="s">
        <v>10</v>
      </c>
      <c r="F17284" s="1" t="str">
        <f>"10.11.38.34"</f>
        <v>10.11.38.34</v>
      </c>
      <c r="G17284" s="1" t="str">
        <f>"0026C634"</f>
        <v>0026C634</v>
      </c>
      <c r="H17284" s="1" t="str">
        <f>"종로간 38R6L1"</f>
        <v>종로간 38R6L1</v>
      </c>
      <c r="I17284" s="1" t="s">
        <v>8</v>
      </c>
      <c r="J17284" s="1" t="str">
        <f>"12/13"</f>
        <v>12/13</v>
      </c>
      <c r="K17284" s="1" t="str">
        <f t="shared" si="852"/>
        <v>2026-07-29 13:18:01</v>
      </c>
      <c r="L17284" s="1" t="str">
        <f>"2018-05-15 16:33:43"</f>
        <v>2018-05-15 16:33:43</v>
      </c>
      <c r="M17284" s="1" t="s">
        <v>2</v>
      </c>
      <c r="N17284" s="1" t="s">
        <v>38</v>
      </c>
      <c r="O17284" s="1" t="s">
        <v>46</v>
      </c>
    </row>
    <row r="17285" spans="2:15" x14ac:dyDescent="0.3">
      <c r="B17285" s="1" t="s">
        <v>13</v>
      </c>
      <c r="C17285" s="1" t="str">
        <f>"4차"</f>
        <v>4차</v>
      </c>
      <c r="D17285" s="1" t="str">
        <f>"0026C64139"</f>
        <v>0026C64139</v>
      </c>
      <c r="E17285" s="1" t="s">
        <v>10</v>
      </c>
      <c r="F17285" s="1" t="str">
        <f>"10.11.18.226"</f>
        <v>10.11.18.226</v>
      </c>
      <c r="G17285" s="1" t="str">
        <f>"0026C641"</f>
        <v>0026C641</v>
      </c>
      <c r="H17285" s="1" t="str">
        <f>"종로간 38R7"</f>
        <v>종로간 38R7</v>
      </c>
      <c r="I17285" s="1" t="s">
        <v>8</v>
      </c>
      <c r="J17285" s="1" t="str">
        <f>"20/20"</f>
        <v>20/20</v>
      </c>
      <c r="K17285" s="1" t="str">
        <f t="shared" si="852"/>
        <v>2026-07-29 13:18:01</v>
      </c>
      <c r="L17285" s="1" t="str">
        <f>"2018-05-15 16:40:59"</f>
        <v>2018-05-15 16:40:59</v>
      </c>
      <c r="M17285" s="1" t="s">
        <v>2</v>
      </c>
      <c r="N17285" s="1" t="s">
        <v>38</v>
      </c>
      <c r="O17285" s="1" t="s">
        <v>46</v>
      </c>
    </row>
    <row r="17286" spans="2:15" x14ac:dyDescent="0.3">
      <c r="B17286" s="1" t="s">
        <v>13</v>
      </c>
      <c r="C17286" s="1" t="str">
        <f>"4차"</f>
        <v>4차</v>
      </c>
      <c r="D17286" s="1" t="str">
        <f>"0026C64239"</f>
        <v>0026C64239</v>
      </c>
      <c r="E17286" s="1" t="s">
        <v>10</v>
      </c>
      <c r="F17286" s="1" t="str">
        <f>"10.11.38.42"</f>
        <v>10.11.38.42</v>
      </c>
      <c r="G17286" s="1" t="str">
        <f>"0026C642"</f>
        <v>0026C642</v>
      </c>
      <c r="H17286" s="1" t="str">
        <f>"종로간 38R7L1"</f>
        <v>종로간 38R7L1</v>
      </c>
      <c r="I17286" s="1" t="s">
        <v>8</v>
      </c>
      <c r="J17286" s="1" t="str">
        <f>"53/59"</f>
        <v>53/59</v>
      </c>
      <c r="K17286" s="1" t="str">
        <f t="shared" si="852"/>
        <v>2026-07-29 13:18:01</v>
      </c>
      <c r="L17286" s="1" t="str">
        <f>"2018-05-15 16:33:29"</f>
        <v>2018-05-15 16:33:29</v>
      </c>
      <c r="M17286" s="1" t="s">
        <v>2</v>
      </c>
      <c r="N17286" s="1" t="s">
        <v>38</v>
      </c>
      <c r="O17286" s="1" t="s">
        <v>46</v>
      </c>
    </row>
    <row r="17287" spans="2:15" x14ac:dyDescent="0.3">
      <c r="B17287" s="1" t="s">
        <v>13</v>
      </c>
      <c r="C17287" s="1" t="str">
        <f t="shared" ref="C17287:C17294" si="853">"3차"</f>
        <v>3차</v>
      </c>
      <c r="D17287" s="1" t="str">
        <f>"0026C65339"</f>
        <v>0026C65339</v>
      </c>
      <c r="E17287" s="1" t="s">
        <v>10</v>
      </c>
      <c r="F17287" s="1" t="str">
        <f>"10.11.38.50"</f>
        <v>10.11.38.50</v>
      </c>
      <c r="G17287" s="1" t="str">
        <f>"0026C653"</f>
        <v>0026C653</v>
      </c>
      <c r="H17287" s="1" t="str">
        <f>"종로간 38R8L2"</f>
        <v>종로간 38R8L2</v>
      </c>
      <c r="I17287" s="1" t="s">
        <v>8</v>
      </c>
      <c r="J17287" s="1" t="str">
        <f>"18/18"</f>
        <v>18/18</v>
      </c>
      <c r="K17287" s="1" t="str">
        <f t="shared" si="852"/>
        <v>2026-07-29 13:18:01</v>
      </c>
      <c r="L17287" s="1" t="str">
        <f>"2018-05-15 16:46:13"</f>
        <v>2018-05-15 16:46:13</v>
      </c>
      <c r="M17287" s="1" t="s">
        <v>2</v>
      </c>
      <c r="N17287" s="1" t="s">
        <v>38</v>
      </c>
      <c r="O17287" s="1" t="s">
        <v>46</v>
      </c>
    </row>
    <row r="17288" spans="2:15" x14ac:dyDescent="0.3">
      <c r="B17288" s="1" t="s">
        <v>13</v>
      </c>
      <c r="C17288" s="1" t="str">
        <f t="shared" si="853"/>
        <v>3차</v>
      </c>
      <c r="D17288" s="1" t="str">
        <f>"0026C66139"</f>
        <v>0026C66139</v>
      </c>
      <c r="E17288" s="1" t="s">
        <v>10</v>
      </c>
      <c r="F17288" s="1" t="str">
        <f>"10.11.18.234"</f>
        <v>10.11.18.234</v>
      </c>
      <c r="G17288" s="1" t="str">
        <f>"0026C661"</f>
        <v>0026C661</v>
      </c>
      <c r="H17288" s="1" t="str">
        <f>"종로간 38R8L3"</f>
        <v>종로간 38R8L3</v>
      </c>
      <c r="I17288" s="1" t="s">
        <v>8</v>
      </c>
      <c r="J17288" s="1" t="str">
        <f>"6/6"</f>
        <v>6/6</v>
      </c>
      <c r="K17288" s="1" t="str">
        <f t="shared" si="852"/>
        <v>2026-07-29 13:18:01</v>
      </c>
      <c r="L17288" s="1" t="str">
        <f>"2018-05-15 16:36:28"</f>
        <v>2018-05-15 16:36:28</v>
      </c>
      <c r="M17288" s="1" t="s">
        <v>2</v>
      </c>
      <c r="N17288" s="1" t="s">
        <v>38</v>
      </c>
      <c r="O17288" s="1" t="s">
        <v>46</v>
      </c>
    </row>
    <row r="17289" spans="2:15" x14ac:dyDescent="0.3">
      <c r="B17289" s="1" t="s">
        <v>13</v>
      </c>
      <c r="C17289" s="1" t="str">
        <f t="shared" si="853"/>
        <v>3차</v>
      </c>
      <c r="D17289" s="1" t="str">
        <f>"0026C71239"</f>
        <v>0026C71239</v>
      </c>
      <c r="E17289" s="1" t="s">
        <v>10</v>
      </c>
      <c r="F17289" s="1" t="str">
        <f>"10.11.37.242"</f>
        <v>10.11.37.242</v>
      </c>
      <c r="G17289" s="1" t="str">
        <f>"0026C712"</f>
        <v>0026C712</v>
      </c>
      <c r="H17289" s="1" t="str">
        <f>"종로간 38R4L4"</f>
        <v>종로간 38R4L4</v>
      </c>
      <c r="I17289" s="1" t="s">
        <v>8</v>
      </c>
      <c r="J17289" s="1" t="str">
        <f>"32/32"</f>
        <v>32/32</v>
      </c>
      <c r="K17289" s="1" t="str">
        <f t="shared" si="852"/>
        <v>2026-07-29 13:18:01</v>
      </c>
      <c r="L17289" s="1" t="str">
        <f>"2018-05-15 16:33:44"</f>
        <v>2018-05-15 16:33:44</v>
      </c>
      <c r="M17289" s="1" t="s">
        <v>2</v>
      </c>
      <c r="N17289" s="1" t="s">
        <v>38</v>
      </c>
      <c r="O17289" s="1" t="s">
        <v>46</v>
      </c>
    </row>
    <row r="17290" spans="2:15" x14ac:dyDescent="0.3">
      <c r="B17290" s="1" t="s">
        <v>13</v>
      </c>
      <c r="C17290" s="1" t="str">
        <f t="shared" si="853"/>
        <v>3차</v>
      </c>
      <c r="D17290" s="1" t="str">
        <f>"0026C72339"</f>
        <v>0026C72339</v>
      </c>
      <c r="E17290" s="1" t="s">
        <v>10</v>
      </c>
      <c r="F17290" s="1" t="str">
        <f>"10.11.18.186"</f>
        <v>10.11.18.186</v>
      </c>
      <c r="G17290" s="1" t="str">
        <f>"0026C723"</f>
        <v>0026C723</v>
      </c>
      <c r="H17290" s="1" t="str">
        <f>"종로간 38R4L3"</f>
        <v>종로간 38R4L3</v>
      </c>
      <c r="I17290" s="1" t="s">
        <v>8</v>
      </c>
      <c r="J17290" s="1" t="str">
        <f>"33/33"</f>
        <v>33/33</v>
      </c>
      <c r="K17290" s="1" t="str">
        <f t="shared" si="852"/>
        <v>2026-07-29 13:18:01</v>
      </c>
      <c r="L17290" s="1" t="str">
        <f>"2018-05-15 16:38:28"</f>
        <v>2018-05-15 16:38:28</v>
      </c>
      <c r="M17290" s="1" t="s">
        <v>2</v>
      </c>
      <c r="N17290" s="1" t="s">
        <v>38</v>
      </c>
      <c r="O17290" s="1" t="s">
        <v>46</v>
      </c>
    </row>
    <row r="17291" spans="2:15" x14ac:dyDescent="0.3">
      <c r="B17291" s="1" t="s">
        <v>13</v>
      </c>
      <c r="C17291" s="1" t="str">
        <f t="shared" si="853"/>
        <v>3차</v>
      </c>
      <c r="D17291" s="1" t="str">
        <f>"0026C72839"</f>
        <v>0026C72839</v>
      </c>
      <c r="E17291" s="1" t="s">
        <v>10</v>
      </c>
      <c r="F17291" s="1" t="str">
        <f>"10.12.132.54"</f>
        <v>10.12.132.54</v>
      </c>
      <c r="G17291" s="1" t="str">
        <f>"0026C728"</f>
        <v>0026C728</v>
      </c>
      <c r="H17291" s="1" t="str">
        <f>"종로간 38R3H1"</f>
        <v>종로간 38R3H1</v>
      </c>
      <c r="I17291" s="1" t="s">
        <v>8</v>
      </c>
      <c r="J17291" s="1" t="str">
        <f>"7/7"</f>
        <v>7/7</v>
      </c>
      <c r="K17291" s="1" t="str">
        <f t="shared" si="852"/>
        <v>2026-07-29 13:18:01</v>
      </c>
      <c r="L17291" s="1" t="str">
        <f>"2018-07-16 14:09:37"</f>
        <v>2018-07-16 14:09:37</v>
      </c>
      <c r="M17291" s="1" t="s">
        <v>0</v>
      </c>
      <c r="N17291" s="1" t="s">
        <v>38</v>
      </c>
      <c r="O17291" s="1" t="s">
        <v>46</v>
      </c>
    </row>
    <row r="17292" spans="2:15" x14ac:dyDescent="0.3">
      <c r="B17292" s="1" t="s">
        <v>13</v>
      </c>
      <c r="C17292" s="1" t="str">
        <f t="shared" si="853"/>
        <v>3차</v>
      </c>
      <c r="D17292" s="1" t="str">
        <f>"0026C73439"</f>
        <v>0026C73439</v>
      </c>
      <c r="E17292" s="1" t="s">
        <v>10</v>
      </c>
      <c r="F17292" s="1" t="str">
        <f>"10.12.132.51"</f>
        <v>10.12.132.51</v>
      </c>
      <c r="G17292" s="1" t="str">
        <f>"0026C734"</f>
        <v>0026C734</v>
      </c>
      <c r="H17292" s="1" t="str">
        <f>"종로간 38R3R2"</f>
        <v>종로간 38R3R2</v>
      </c>
      <c r="I17292" s="1" t="s">
        <v>8</v>
      </c>
      <c r="J17292" s="1" t="str">
        <f>"10/12"</f>
        <v>10/12</v>
      </c>
      <c r="K17292" s="1" t="str">
        <f t="shared" si="852"/>
        <v>2026-07-29 13:18:01</v>
      </c>
      <c r="L17292" s="1" t="str">
        <f>"2018-07-16 14:17:07"</f>
        <v>2018-07-16 14:17:07</v>
      </c>
      <c r="M17292" s="1" t="s">
        <v>0</v>
      </c>
      <c r="N17292" s="1" t="s">
        <v>38</v>
      </c>
      <c r="O17292" s="1" t="s">
        <v>46</v>
      </c>
    </row>
    <row r="17293" spans="2:15" x14ac:dyDescent="0.3">
      <c r="B17293" s="1" t="s">
        <v>13</v>
      </c>
      <c r="C17293" s="1" t="str">
        <f t="shared" si="853"/>
        <v>3차</v>
      </c>
      <c r="D17293" s="1" t="str">
        <f>"0026D28139"</f>
        <v>0026D28139</v>
      </c>
      <c r="E17293" s="1" t="s">
        <v>10</v>
      </c>
      <c r="F17293" s="1" t="str">
        <f>"10.11.31.170"</f>
        <v>10.11.31.170</v>
      </c>
      <c r="G17293" s="1" t="str">
        <f>"0026D281"</f>
        <v>0026D281</v>
      </c>
      <c r="H17293" s="1" t="str">
        <f>"동소문간 14L1L5"</f>
        <v>동소문간 14L1L5</v>
      </c>
      <c r="I17293" s="1" t="s">
        <v>8</v>
      </c>
      <c r="J17293" s="1" t="str">
        <f>"24/24"</f>
        <v>24/24</v>
      </c>
      <c r="K17293" s="1" t="str">
        <f t="shared" si="852"/>
        <v>2026-07-29 13:18:01</v>
      </c>
      <c r="L17293" s="1" t="str">
        <f>"2018-02-12 13:26:10"</f>
        <v>2018-02-12 13:26:10</v>
      </c>
      <c r="M17293" s="1" t="s">
        <v>2</v>
      </c>
      <c r="N17293" s="1" t="s">
        <v>38</v>
      </c>
      <c r="O17293" s="1" t="s">
        <v>46</v>
      </c>
    </row>
    <row r="17294" spans="2:15" x14ac:dyDescent="0.3">
      <c r="B17294" s="1" t="s">
        <v>13</v>
      </c>
      <c r="C17294" s="1" t="str">
        <f t="shared" si="853"/>
        <v>3차</v>
      </c>
      <c r="D17294" s="1" t="str">
        <f>"0026D29139"</f>
        <v>0026D29139</v>
      </c>
      <c r="E17294" s="1" t="s">
        <v>10</v>
      </c>
      <c r="F17294" s="1" t="str">
        <f>"10.11.31.178"</f>
        <v>10.11.31.178</v>
      </c>
      <c r="G17294" s="1" t="str">
        <f>"0026D291"</f>
        <v>0026D291</v>
      </c>
      <c r="H17294" s="1" t="str">
        <f>"동소문간 14L2L2"</f>
        <v>동소문간 14L2L2</v>
      </c>
      <c r="I17294" s="1" t="s">
        <v>8</v>
      </c>
      <c r="J17294" s="1" t="str">
        <f>"17/17"</f>
        <v>17/17</v>
      </c>
      <c r="K17294" s="1" t="str">
        <f t="shared" si="852"/>
        <v>2026-07-29 13:18:01</v>
      </c>
      <c r="L17294" s="1" t="str">
        <f>"2018-02-12 13:57:25"</f>
        <v>2018-02-12 13:57:25</v>
      </c>
      <c r="M17294" s="1" t="s">
        <v>2</v>
      </c>
      <c r="N17294" s="1" t="s">
        <v>38</v>
      </c>
      <c r="O17294" s="1" t="s">
        <v>46</v>
      </c>
    </row>
    <row r="17295" spans="2:15" x14ac:dyDescent="0.3">
      <c r="B17295" s="1" t="s">
        <v>13</v>
      </c>
      <c r="C17295" s="1" t="str">
        <f>"4차"</f>
        <v>4차</v>
      </c>
      <c r="D17295" s="1" t="str">
        <f>"0026D29539"</f>
        <v>0026D29539</v>
      </c>
      <c r="E17295" s="1" t="s">
        <v>10</v>
      </c>
      <c r="F17295" s="1" t="str">
        <f>"10.11.31.186"</f>
        <v>10.11.31.186</v>
      </c>
      <c r="G17295" s="1" t="str">
        <f>"0026D295"</f>
        <v>0026D295</v>
      </c>
      <c r="H17295" s="1" t="str">
        <f>"동소문간 14L2L3L1"</f>
        <v>동소문간 14L2L3L1</v>
      </c>
      <c r="I17295" s="1" t="s">
        <v>8</v>
      </c>
      <c r="J17295" s="1" t="str">
        <f>"30/30"</f>
        <v>30/30</v>
      </c>
      <c r="K17295" s="1" t="str">
        <f t="shared" si="852"/>
        <v>2026-07-29 13:18:01</v>
      </c>
      <c r="L17295" s="1" t="str">
        <f>"2018-02-12 13:55:10"</f>
        <v>2018-02-12 13:55:10</v>
      </c>
      <c r="M17295" s="1" t="s">
        <v>2</v>
      </c>
      <c r="N17295" s="1" t="s">
        <v>38</v>
      </c>
      <c r="O17295" s="1" t="s">
        <v>46</v>
      </c>
    </row>
    <row r="17296" spans="2:15" x14ac:dyDescent="0.3">
      <c r="B17296" s="1" t="s">
        <v>13</v>
      </c>
      <c r="C17296" s="1" t="str">
        <f>"4차"</f>
        <v>4차</v>
      </c>
      <c r="D17296" s="1" t="str">
        <f>"0026D31145"</f>
        <v>0026D31145</v>
      </c>
      <c r="E17296" s="1" t="s">
        <v>10</v>
      </c>
      <c r="F17296" s="1" t="str">
        <f>"10.14.2.33"</f>
        <v>10.14.2.33</v>
      </c>
      <c r="G17296" s="1" t="str">
        <f>"0026D311"</f>
        <v>0026D311</v>
      </c>
      <c r="H17296" s="1" t="str">
        <f>"종로로 L21-4"</f>
        <v>종로로 L21-4</v>
      </c>
      <c r="I17296" s="1" t="s">
        <v>17</v>
      </c>
      <c r="J17296" s="1" t="str">
        <f>"17/17"</f>
        <v>17/17</v>
      </c>
      <c r="K17296" s="1" t="str">
        <f>"2026-07-29 13:18:02"</f>
        <v>2026-07-29 13:18:02</v>
      </c>
      <c r="L17296" s="1" t="str">
        <f>"2021-06-23 10:40:43"</f>
        <v>2021-06-23 10:40:43</v>
      </c>
      <c r="M17296" s="1" t="s">
        <v>3</v>
      </c>
      <c r="N17296" s="1" t="s">
        <v>38</v>
      </c>
      <c r="O17296" s="1" t="s">
        <v>46</v>
      </c>
    </row>
    <row r="17297" spans="2:15" x14ac:dyDescent="0.3">
      <c r="B17297" s="1" t="s">
        <v>13</v>
      </c>
      <c r="C17297" s="1" t="str">
        <f>"4차"</f>
        <v>4차</v>
      </c>
      <c r="D17297" s="1" t="str">
        <f>"0026D37239"</f>
        <v>0026D37239</v>
      </c>
      <c r="E17297" s="1" t="s">
        <v>10</v>
      </c>
      <c r="F17297" s="1" t="str">
        <f>"10.12.137.171"</f>
        <v>10.12.137.171</v>
      </c>
      <c r="G17297" s="1" t="str">
        <f>"0026D372"</f>
        <v>0026D372</v>
      </c>
      <c r="H17297" s="1" t="str">
        <f>"동소문로 7-1"</f>
        <v>동소문로 7-1</v>
      </c>
      <c r="I17297" s="1" t="s">
        <v>17</v>
      </c>
      <c r="J17297" s="1" t="str">
        <f>"7/14"</f>
        <v>7/14</v>
      </c>
      <c r="K17297" s="1" t="str">
        <f>"2026-07-29 13:18:02"</f>
        <v>2026-07-29 13:18:02</v>
      </c>
      <c r="L17297" s="1" t="str">
        <f>"2018-05-11 13:10:00"</f>
        <v>2018-05-11 13:10:00</v>
      </c>
      <c r="M17297" s="1" t="s">
        <v>0</v>
      </c>
      <c r="N17297" s="1" t="s">
        <v>38</v>
      </c>
      <c r="O17297" s="1" t="s">
        <v>46</v>
      </c>
    </row>
    <row r="17298" spans="2:15" x14ac:dyDescent="0.3">
      <c r="B17298" s="1" t="s">
        <v>13</v>
      </c>
      <c r="C17298" s="1" t="str">
        <f>"4차"</f>
        <v>4차</v>
      </c>
      <c r="D17298" s="1" t="str">
        <f>"0026D37539"</f>
        <v>0026D37539</v>
      </c>
      <c r="E17298" s="1" t="s">
        <v>10</v>
      </c>
      <c r="F17298" s="1" t="str">
        <f>"10.11.25.146"</f>
        <v>10.11.25.146</v>
      </c>
      <c r="G17298" s="1" t="str">
        <f>"0026D375"</f>
        <v>0026D375</v>
      </c>
      <c r="H17298" s="1" t="str">
        <f>"동소문간 14L1L4L3"</f>
        <v>동소문간 14L1L4L3</v>
      </c>
      <c r="I17298" s="1" t="s">
        <v>8</v>
      </c>
      <c r="J17298" s="1" t="str">
        <f>"50/51"</f>
        <v>50/51</v>
      </c>
      <c r="K17298" s="1" t="str">
        <f t="shared" ref="K17298:K17305" si="854">"2026-07-29 13:18:01"</f>
        <v>2026-07-29 13:18:01</v>
      </c>
      <c r="L17298" s="1" t="str">
        <f>"2021-07-27 13:38:38"</f>
        <v>2021-07-27 13:38:38</v>
      </c>
      <c r="M17298" s="1" t="s">
        <v>2</v>
      </c>
      <c r="N17298" s="1" t="s">
        <v>38</v>
      </c>
      <c r="O17298" s="1" t="s">
        <v>46</v>
      </c>
    </row>
    <row r="17299" spans="2:15" x14ac:dyDescent="0.3">
      <c r="B17299" s="1" t="s">
        <v>13</v>
      </c>
      <c r="C17299" s="1" t="str">
        <f>"3차"</f>
        <v>3차</v>
      </c>
      <c r="D17299" s="1" t="str">
        <f>"0026D38139"</f>
        <v>0026D38139</v>
      </c>
      <c r="E17299" s="1" t="s">
        <v>10</v>
      </c>
      <c r="F17299" s="1" t="str">
        <f>"10.11.31.162"</f>
        <v>10.11.31.162</v>
      </c>
      <c r="G17299" s="1" t="str">
        <f>"0026D381"</f>
        <v>0026D381</v>
      </c>
      <c r="H17299" s="1" t="str">
        <f>"동소문간 14L1L3"</f>
        <v>동소문간 14L1L3</v>
      </c>
      <c r="I17299" s="1" t="s">
        <v>8</v>
      </c>
      <c r="J17299" s="1" t="str">
        <f>"21/22"</f>
        <v>21/22</v>
      </c>
      <c r="K17299" s="1" t="str">
        <f t="shared" si="854"/>
        <v>2026-07-29 13:18:01</v>
      </c>
      <c r="L17299" s="1" t="str">
        <f>"2018-02-12 13:30:54"</f>
        <v>2018-02-12 13:30:54</v>
      </c>
      <c r="M17299" s="1" t="s">
        <v>2</v>
      </c>
      <c r="N17299" s="1" t="s">
        <v>38</v>
      </c>
      <c r="O17299" s="1" t="s">
        <v>46</v>
      </c>
    </row>
    <row r="17300" spans="2:15" x14ac:dyDescent="0.3">
      <c r="B17300" s="1" t="s">
        <v>13</v>
      </c>
      <c r="C17300" s="1" t="str">
        <f>"4차"</f>
        <v>4차</v>
      </c>
      <c r="D17300" s="1" t="str">
        <f>"0026D38239"</f>
        <v>0026D38239</v>
      </c>
      <c r="E17300" s="1" t="s">
        <v>10</v>
      </c>
      <c r="F17300" s="1" t="str">
        <f>"10.11.13.66"</f>
        <v>10.11.13.66</v>
      </c>
      <c r="G17300" s="1" t="str">
        <f>"0026D382"</f>
        <v>0026D382</v>
      </c>
      <c r="H17300" s="1" t="str">
        <f>"동소문간 14L1L4"</f>
        <v>동소문간 14L1L4</v>
      </c>
      <c r="I17300" s="1" t="s">
        <v>8</v>
      </c>
      <c r="J17300" s="1" t="str">
        <f>"12/12"</f>
        <v>12/12</v>
      </c>
      <c r="K17300" s="1" t="str">
        <f t="shared" si="854"/>
        <v>2026-07-29 13:18:01</v>
      </c>
      <c r="L17300" s="1" t="str">
        <f>"2018-02-26 18:08:20"</f>
        <v>2018-02-26 18:08:20</v>
      </c>
      <c r="M17300" s="1" t="s">
        <v>2</v>
      </c>
      <c r="N17300" s="1" t="s">
        <v>38</v>
      </c>
      <c r="O17300" s="1" t="s">
        <v>46</v>
      </c>
    </row>
    <row r="17301" spans="2:15" x14ac:dyDescent="0.3">
      <c r="B17301" s="1" t="s">
        <v>13</v>
      </c>
      <c r="C17301" s="1" t="str">
        <f>"4차"</f>
        <v>4차</v>
      </c>
      <c r="D17301" s="1" t="str">
        <f>"0026D48439"</f>
        <v>0026D48439</v>
      </c>
      <c r="E17301" s="1" t="s">
        <v>10</v>
      </c>
      <c r="F17301" s="1" t="str">
        <f>"10.11.12.210"</f>
        <v>10.11.12.210</v>
      </c>
      <c r="G17301" s="1" t="str">
        <f>"0026D484"</f>
        <v>0026D484</v>
      </c>
      <c r="H17301" s="1" t="str">
        <f>"동소문간 10R1"</f>
        <v>동소문간 10R1</v>
      </c>
      <c r="I17301" s="1" t="s">
        <v>8</v>
      </c>
      <c r="J17301" s="1" t="str">
        <f>"12/15"</f>
        <v>12/15</v>
      </c>
      <c r="K17301" s="1" t="str">
        <f t="shared" si="854"/>
        <v>2026-07-29 13:18:01</v>
      </c>
      <c r="L17301" s="1" t="str">
        <f>"2018-02-26 18:09:22"</f>
        <v>2018-02-26 18:09:22</v>
      </c>
      <c r="M17301" s="1" t="s">
        <v>2</v>
      </c>
      <c r="N17301" s="1" t="s">
        <v>38</v>
      </c>
      <c r="O17301" s="1" t="s">
        <v>46</v>
      </c>
    </row>
    <row r="17302" spans="2:15" x14ac:dyDescent="0.3">
      <c r="B17302" s="1" t="s">
        <v>13</v>
      </c>
      <c r="C17302" s="1" t="str">
        <f>"4차"</f>
        <v>4차</v>
      </c>
      <c r="D17302" s="1" t="str">
        <f>"0026D56139"</f>
        <v>0026D56139</v>
      </c>
      <c r="E17302" s="1" t="s">
        <v>10</v>
      </c>
      <c r="F17302" s="1" t="str">
        <f>"10.11.13.10"</f>
        <v>10.11.13.10</v>
      </c>
      <c r="G17302" s="1" t="str">
        <f>"0026D561"</f>
        <v>0026D561</v>
      </c>
      <c r="H17302" s="1" t="str">
        <f>"동소문간 10R3"</f>
        <v>동소문간 10R3</v>
      </c>
      <c r="I17302" s="1" t="s">
        <v>8</v>
      </c>
      <c r="J17302" s="1" t="str">
        <f>"26/26"</f>
        <v>26/26</v>
      </c>
      <c r="K17302" s="1" t="str">
        <f t="shared" si="854"/>
        <v>2026-07-29 13:18:01</v>
      </c>
      <c r="L17302" s="1" t="str">
        <f>"2018-02-26 18:13:06"</f>
        <v>2018-02-26 18:13:06</v>
      </c>
      <c r="M17302" s="1" t="s">
        <v>2</v>
      </c>
      <c r="N17302" s="1" t="s">
        <v>38</v>
      </c>
      <c r="O17302" s="1" t="s">
        <v>46</v>
      </c>
    </row>
    <row r="17303" spans="2:15" x14ac:dyDescent="0.3">
      <c r="B17303" s="1" t="s">
        <v>13</v>
      </c>
      <c r="C17303" s="1" t="str">
        <f>"3차"</f>
        <v>3차</v>
      </c>
      <c r="D17303" s="1" t="str">
        <f>"0026D58239"</f>
        <v>0026D58239</v>
      </c>
      <c r="E17303" s="1" t="s">
        <v>10</v>
      </c>
      <c r="F17303" s="1" t="str">
        <f>"10.11.31.34"</f>
        <v>10.11.31.34</v>
      </c>
      <c r="G17303" s="1" t="str">
        <f>"0026D582"</f>
        <v>0026D582</v>
      </c>
      <c r="H17303" s="1" t="str">
        <f>"동소문간 10R1L2"</f>
        <v>동소문간 10R1L2</v>
      </c>
      <c r="I17303" s="1" t="s">
        <v>8</v>
      </c>
      <c r="J17303" s="1" t="str">
        <f>"28/28"</f>
        <v>28/28</v>
      </c>
      <c r="K17303" s="1" t="str">
        <f t="shared" si="854"/>
        <v>2026-07-29 13:18:01</v>
      </c>
      <c r="L17303" s="1" t="str">
        <f>"2018-02-12 08:50:24"</f>
        <v>2018-02-12 08:50:24</v>
      </c>
      <c r="M17303" s="1" t="s">
        <v>2</v>
      </c>
      <c r="N17303" s="1" t="s">
        <v>38</v>
      </c>
      <c r="O17303" s="1" t="s">
        <v>46</v>
      </c>
    </row>
    <row r="17304" spans="2:15" x14ac:dyDescent="0.3">
      <c r="B17304" s="1" t="s">
        <v>13</v>
      </c>
      <c r="C17304" s="1" t="str">
        <f>"3차"</f>
        <v>3차</v>
      </c>
      <c r="D17304" s="1" t="str">
        <f>"0026D59239"</f>
        <v>0026D59239</v>
      </c>
      <c r="E17304" s="1" t="s">
        <v>10</v>
      </c>
      <c r="F17304" s="1" t="str">
        <f>"10.11.31.42"</f>
        <v>10.11.31.42</v>
      </c>
      <c r="G17304" s="1" t="str">
        <f>"0026D592"</f>
        <v>0026D592</v>
      </c>
      <c r="H17304" s="1" t="str">
        <f>"동소문간 10R1L2L2"</f>
        <v>동소문간 10R1L2L2</v>
      </c>
      <c r="I17304" s="1" t="s">
        <v>8</v>
      </c>
      <c r="J17304" s="1" t="str">
        <f>"22/22"</f>
        <v>22/22</v>
      </c>
      <c r="K17304" s="1" t="str">
        <f t="shared" si="854"/>
        <v>2026-07-29 13:18:01</v>
      </c>
      <c r="L17304" s="1" t="str">
        <f>"2018-02-12 10:00:40"</f>
        <v>2018-02-12 10:00:40</v>
      </c>
      <c r="M17304" s="1" t="s">
        <v>2</v>
      </c>
      <c r="N17304" s="1" t="s">
        <v>38</v>
      </c>
      <c r="O17304" s="1" t="s">
        <v>46</v>
      </c>
    </row>
    <row r="17305" spans="2:15" x14ac:dyDescent="0.3">
      <c r="B17305" s="1" t="s">
        <v>13</v>
      </c>
      <c r="C17305" s="1" t="str">
        <f>"3차"</f>
        <v>3차</v>
      </c>
      <c r="D17305" s="1" t="str">
        <f>"0026D59339"</f>
        <v>0026D59339</v>
      </c>
      <c r="E17305" s="1" t="s">
        <v>10</v>
      </c>
      <c r="F17305" s="1" t="str">
        <f>"10.11.31.50"</f>
        <v>10.11.31.50</v>
      </c>
      <c r="G17305" s="1" t="str">
        <f>"0026D593"</f>
        <v>0026D593</v>
      </c>
      <c r="H17305" s="1" t="str">
        <f>"동소문간 10R1L2L3"</f>
        <v>동소문간 10R1L2L3</v>
      </c>
      <c r="I17305" s="1" t="s">
        <v>8</v>
      </c>
      <c r="J17305" s="1" t="str">
        <f>"12/12"</f>
        <v>12/12</v>
      </c>
      <c r="K17305" s="1" t="str">
        <f t="shared" si="854"/>
        <v>2026-07-29 13:18:01</v>
      </c>
      <c r="L17305" s="1" t="str">
        <f>"2018-02-12 09:58:23"</f>
        <v>2018-02-12 09:58:23</v>
      </c>
      <c r="M17305" s="1" t="s">
        <v>2</v>
      </c>
      <c r="N17305" s="1" t="s">
        <v>38</v>
      </c>
      <c r="O17305" s="1" t="s">
        <v>46</v>
      </c>
    </row>
    <row r="17306" spans="2:15" x14ac:dyDescent="0.3">
      <c r="B17306" s="1" t="s">
        <v>13</v>
      </c>
      <c r="C17306" s="1" t="str">
        <f>"4차"</f>
        <v>4차</v>
      </c>
      <c r="D17306" s="1" t="str">
        <f>"0026D60145"</f>
        <v>0026D60145</v>
      </c>
      <c r="E17306" s="1" t="s">
        <v>10</v>
      </c>
      <c r="F17306" s="1" t="str">
        <f>"10.14.6.28"</f>
        <v>10.14.6.28</v>
      </c>
      <c r="G17306" s="1" t="str">
        <f>"0026D601"</f>
        <v>0026D601</v>
      </c>
      <c r="H17306" s="1" t="str">
        <f>"종로로 R11-1"</f>
        <v>종로로 R11-1</v>
      </c>
      <c r="I17306" s="1" t="s">
        <v>17</v>
      </c>
      <c r="J17306" s="1" t="str">
        <f>"14/14"</f>
        <v>14/14</v>
      </c>
      <c r="K17306" s="1" t="str">
        <f>"2026-07-29 13:18:02"</f>
        <v>2026-07-29 13:18:02</v>
      </c>
      <c r="L17306" s="1" t="str">
        <f>"2021-06-23 13:22:36"</f>
        <v>2021-06-23 13:22:36</v>
      </c>
      <c r="M17306" s="1" t="s">
        <v>3</v>
      </c>
      <c r="N17306" s="1" t="s">
        <v>38</v>
      </c>
      <c r="O17306" s="1" t="s">
        <v>46</v>
      </c>
    </row>
    <row r="17307" spans="2:15" x14ac:dyDescent="0.3">
      <c r="B17307" s="1" t="s">
        <v>13</v>
      </c>
      <c r="C17307" s="1" t="str">
        <f>"4차"</f>
        <v>4차</v>
      </c>
      <c r="D17307" s="1" t="str">
        <f>"0026D61139"</f>
        <v>0026D61139</v>
      </c>
      <c r="E17307" s="1" t="s">
        <v>14</v>
      </c>
      <c r="F17307" s="1" t="str">
        <f>"10.12.137.219"</f>
        <v>10.12.137.219</v>
      </c>
      <c r="G17307" s="1" t="str">
        <f>"0026D611"</f>
        <v>0026D611</v>
      </c>
      <c r="H17307" s="1" t="str">
        <f>"종로로 L32"</f>
        <v>종로로 L32</v>
      </c>
      <c r="I17307" s="1" t="s">
        <v>17</v>
      </c>
      <c r="J17307" s="1" t="str">
        <f>"0/0"</f>
        <v>0/0</v>
      </c>
      <c r="K17307" s="1" t="str">
        <f>"2026-06-10 07:18:02"</f>
        <v>2026-06-10 07:18:02</v>
      </c>
      <c r="L17307" s="1" t="str">
        <f>"2018-05-11 12:06:00"</f>
        <v>2018-05-11 12:06:00</v>
      </c>
      <c r="M17307" s="1" t="s">
        <v>0</v>
      </c>
      <c r="N17307" s="1" t="s">
        <v>39</v>
      </c>
      <c r="O17307" s="1" t="s">
        <v>46</v>
      </c>
    </row>
    <row r="17308" spans="2:15" x14ac:dyDescent="0.3">
      <c r="B17308" s="1" t="s">
        <v>13</v>
      </c>
      <c r="C17308" s="1" t="str">
        <f>"3차"</f>
        <v>3차</v>
      </c>
      <c r="D17308" s="1" t="str">
        <f>"0026D65339"</f>
        <v>0026D65339</v>
      </c>
      <c r="E17308" s="1" t="s">
        <v>10</v>
      </c>
      <c r="F17308" s="1" t="str">
        <f>"10.11.13.26"</f>
        <v>10.11.13.26</v>
      </c>
      <c r="G17308" s="1" t="str">
        <f>"0026D653"</f>
        <v>0026D653</v>
      </c>
      <c r="H17308" s="1" t="str">
        <f>"동소문간 10R6L1"</f>
        <v>동소문간 10R6L1</v>
      </c>
      <c r="I17308" s="1" t="s">
        <v>8</v>
      </c>
      <c r="J17308" s="1" t="str">
        <f>"32/32"</f>
        <v>32/32</v>
      </c>
      <c r="K17308" s="1" t="str">
        <f>"2026-07-29 13:18:01"</f>
        <v>2026-07-29 13:18:01</v>
      </c>
      <c r="L17308" s="1" t="str">
        <f>"2018-02-12 13:10:25"</f>
        <v>2018-02-12 13:10:25</v>
      </c>
      <c r="M17308" s="1" t="s">
        <v>2</v>
      </c>
      <c r="N17308" s="1" t="s">
        <v>38</v>
      </c>
      <c r="O17308" s="1" t="s">
        <v>46</v>
      </c>
    </row>
    <row r="17309" spans="2:15" x14ac:dyDescent="0.3">
      <c r="B17309" s="1" t="s">
        <v>13</v>
      </c>
      <c r="C17309" s="1" t="str">
        <f>"4차"</f>
        <v>4차</v>
      </c>
      <c r="D17309" s="1" t="str">
        <f>"0026D66345"</f>
        <v>0026D66345</v>
      </c>
      <c r="E17309" s="1" t="s">
        <v>14</v>
      </c>
      <c r="F17309" s="1" t="str">
        <f>"10.14.2.22"</f>
        <v>10.14.2.22</v>
      </c>
      <c r="G17309" s="1" t="str">
        <f>"0026D663"</f>
        <v>0026D663</v>
      </c>
      <c r="H17309" s="1" t="str">
        <f>"동소문간 10R4A1"</f>
        <v>동소문간 10R4A1</v>
      </c>
      <c r="I17309" s="1" t="s">
        <v>17</v>
      </c>
      <c r="J17309" s="1" t="str">
        <f>"0/0"</f>
        <v>0/0</v>
      </c>
      <c r="K17309" s="1" t="str">
        <f>"2026-07-29 13:18:02"</f>
        <v>2026-07-29 13:18:02</v>
      </c>
      <c r="L17309" s="1" t="str">
        <f>"2021-06-24 15:17:08"</f>
        <v>2021-06-24 15:17:08</v>
      </c>
      <c r="M17309" s="1" t="s">
        <v>3</v>
      </c>
      <c r="N17309" s="1" t="s">
        <v>38</v>
      </c>
      <c r="O17309" s="1" t="s">
        <v>44</v>
      </c>
    </row>
    <row r="17310" spans="2:15" x14ac:dyDescent="0.3">
      <c r="B17310" s="1" t="s">
        <v>13</v>
      </c>
      <c r="C17310" s="1" t="str">
        <f>"4차"</f>
        <v>4차</v>
      </c>
      <c r="D17310" s="1" t="str">
        <f>"0026D68139"</f>
        <v>0026D68139</v>
      </c>
      <c r="E17310" s="1" t="s">
        <v>10</v>
      </c>
      <c r="F17310" s="1" t="str">
        <f>"10.11.12.242"</f>
        <v>10.11.12.242</v>
      </c>
      <c r="G17310" s="1" t="str">
        <f>"0026D681"</f>
        <v>0026D681</v>
      </c>
      <c r="H17310" s="1" t="str">
        <f>"동소문간 10R1L3"</f>
        <v>동소문간 10R1L3</v>
      </c>
      <c r="I17310" s="1" t="s">
        <v>8</v>
      </c>
      <c r="J17310" s="1" t="str">
        <f>"7/7"</f>
        <v>7/7</v>
      </c>
      <c r="K17310" s="1" t="str">
        <f>"2026-07-29 13:18:01"</f>
        <v>2026-07-29 13:18:01</v>
      </c>
      <c r="L17310" s="1" t="str">
        <f>"2018-02-26 18:17:21"</f>
        <v>2018-02-26 18:17:21</v>
      </c>
      <c r="M17310" s="1" t="s">
        <v>2</v>
      </c>
      <c r="N17310" s="1" t="s">
        <v>38</v>
      </c>
      <c r="O17310" s="1" t="s">
        <v>46</v>
      </c>
    </row>
    <row r="17311" spans="2:15" x14ac:dyDescent="0.3">
      <c r="B17311" s="1" t="s">
        <v>13</v>
      </c>
      <c r="C17311" s="1" t="str">
        <f>"3차"</f>
        <v>3차</v>
      </c>
      <c r="D17311" s="1" t="str">
        <f>"0026D68239"</f>
        <v>0026D68239</v>
      </c>
      <c r="E17311" s="1" t="s">
        <v>10</v>
      </c>
      <c r="F17311" s="1" t="str">
        <f>"10.11.31.58"</f>
        <v>10.11.31.58</v>
      </c>
      <c r="G17311" s="1" t="str">
        <f>"0026D682"</f>
        <v>0026D682</v>
      </c>
      <c r="H17311" s="1" t="str">
        <f>"동소문간 10R1L3H1"</f>
        <v>동소문간 10R1L3H1</v>
      </c>
      <c r="I17311" s="1" t="s">
        <v>8</v>
      </c>
      <c r="J17311" s="1" t="str">
        <f>"17/17"</f>
        <v>17/17</v>
      </c>
      <c r="K17311" s="1" t="str">
        <f>"2026-07-29 13:18:00"</f>
        <v>2026-07-29 13:18:00</v>
      </c>
      <c r="L17311" s="1" t="str">
        <f>"2018-02-12 09:00:53"</f>
        <v>2018-02-12 09:00:53</v>
      </c>
      <c r="M17311" s="1" t="s">
        <v>2</v>
      </c>
      <c r="N17311" s="1" t="s">
        <v>38</v>
      </c>
      <c r="O17311" s="1" t="s">
        <v>46</v>
      </c>
    </row>
    <row r="17312" spans="2:15" x14ac:dyDescent="0.3">
      <c r="B17312" s="1" t="s">
        <v>13</v>
      </c>
      <c r="C17312" s="1" t="str">
        <f>"4차"</f>
        <v>4차</v>
      </c>
      <c r="D17312" s="1" t="str">
        <f>"0026D71139"</f>
        <v>0026D71139</v>
      </c>
      <c r="E17312" s="1" t="s">
        <v>10</v>
      </c>
      <c r="F17312" s="1" t="str">
        <f>"10.12.137.222"</f>
        <v>10.12.137.222</v>
      </c>
      <c r="G17312" s="1" t="str">
        <f>"0026D711"</f>
        <v>0026D711</v>
      </c>
      <c r="H17312" s="1" t="str">
        <f>"종로로 L33"</f>
        <v>종로로 L33</v>
      </c>
      <c r="I17312" s="1" t="s">
        <v>17</v>
      </c>
      <c r="J17312" s="1" t="str">
        <f>"3/7"</f>
        <v>3/7</v>
      </c>
      <c r="K17312" s="1" t="str">
        <f>"2026-07-29 13:18:02"</f>
        <v>2026-07-29 13:18:02</v>
      </c>
      <c r="L17312" s="1" t="str">
        <f>"2018-05-11 11:51:29"</f>
        <v>2018-05-11 11:51:29</v>
      </c>
      <c r="M17312" s="1" t="s">
        <v>0</v>
      </c>
      <c r="N17312" s="1" t="s">
        <v>38</v>
      </c>
      <c r="O17312" s="1" t="s">
        <v>46</v>
      </c>
    </row>
    <row r="17313" spans="2:15" x14ac:dyDescent="0.3">
      <c r="B17313" s="1" t="s">
        <v>13</v>
      </c>
      <c r="C17313" s="1" t="str">
        <f>"4차"</f>
        <v>4차</v>
      </c>
      <c r="D17313" s="1" t="str">
        <f>"0026D71339"</f>
        <v>0026D71339</v>
      </c>
      <c r="E17313" s="1" t="s">
        <v>10</v>
      </c>
      <c r="F17313" s="1" t="str">
        <f>"10.12.137.212"</f>
        <v>10.12.137.212</v>
      </c>
      <c r="G17313" s="1" t="str">
        <f>"0026D713"</f>
        <v>0026D713</v>
      </c>
      <c r="H17313" s="1" t="str">
        <f>"종로로 L34"</f>
        <v>종로로 L34</v>
      </c>
      <c r="I17313" s="1" t="s">
        <v>17</v>
      </c>
      <c r="J17313" s="1" t="str">
        <f>"10/10"</f>
        <v>10/10</v>
      </c>
      <c r="K17313" s="1" t="str">
        <f>"2026-07-29 13:18:02"</f>
        <v>2026-07-29 13:18:02</v>
      </c>
      <c r="L17313" s="1" t="str">
        <f>"2018-05-11 11:34:44"</f>
        <v>2018-05-11 11:34:44</v>
      </c>
      <c r="M17313" s="1" t="s">
        <v>0</v>
      </c>
      <c r="N17313" s="1" t="s">
        <v>38</v>
      </c>
      <c r="O17313" s="1" t="s">
        <v>46</v>
      </c>
    </row>
    <row r="17314" spans="2:15" x14ac:dyDescent="0.3">
      <c r="B17314" s="1" t="s">
        <v>13</v>
      </c>
      <c r="C17314" s="1" t="str">
        <f t="shared" ref="C17314:C17322" si="855">"3차"</f>
        <v>3차</v>
      </c>
      <c r="D17314" s="1" t="str">
        <f>"0026D73139"</f>
        <v>0026D73139</v>
      </c>
      <c r="E17314" s="1" t="s">
        <v>10</v>
      </c>
      <c r="F17314" s="1" t="str">
        <f>"10.11.31.26"</f>
        <v>10.11.31.26</v>
      </c>
      <c r="G17314" s="1" t="str">
        <f>"0026D731"</f>
        <v>0026D731</v>
      </c>
      <c r="H17314" s="1" t="str">
        <f>"동소문간 10R9"</f>
        <v>동소문간 10R9</v>
      </c>
      <c r="I17314" s="1" t="s">
        <v>8</v>
      </c>
      <c r="J17314" s="1" t="str">
        <f>"12/13"</f>
        <v>12/13</v>
      </c>
      <c r="K17314" s="1" t="str">
        <f>"2026-07-29 13:18:00"</f>
        <v>2026-07-29 13:18:00</v>
      </c>
      <c r="L17314" s="1" t="str">
        <f>"2018-02-12 12:14:10"</f>
        <v>2018-02-12 12:14:10</v>
      </c>
      <c r="M17314" s="1" t="s">
        <v>2</v>
      </c>
      <c r="N17314" s="1" t="s">
        <v>38</v>
      </c>
      <c r="O17314" s="1" t="s">
        <v>46</v>
      </c>
    </row>
    <row r="17315" spans="2:15" x14ac:dyDescent="0.3">
      <c r="B17315" s="1" t="s">
        <v>13</v>
      </c>
      <c r="C17315" s="1" t="str">
        <f t="shared" si="855"/>
        <v>3차</v>
      </c>
      <c r="D17315" s="1" t="str">
        <f>"0026D74139"</f>
        <v>0026D74139</v>
      </c>
      <c r="E17315" s="1" t="s">
        <v>10</v>
      </c>
      <c r="F17315" s="1" t="str">
        <f>"10.11.31.130"</f>
        <v>10.11.31.130</v>
      </c>
      <c r="G17315" s="1" t="str">
        <f>"0026D741"</f>
        <v>0026D741</v>
      </c>
      <c r="H17315" s="1" t="str">
        <f>"동소문간 10R7"</f>
        <v>동소문간 10R7</v>
      </c>
      <c r="I17315" s="1" t="s">
        <v>8</v>
      </c>
      <c r="J17315" s="1" t="str">
        <f>"17/20"</f>
        <v>17/20</v>
      </c>
      <c r="K17315" s="1" t="str">
        <f>"2026-07-29 13:18:00"</f>
        <v>2026-07-29 13:18:00</v>
      </c>
      <c r="L17315" s="1" t="str">
        <f>"2018-02-12 12:07:40"</f>
        <v>2018-02-12 12:07:40</v>
      </c>
      <c r="M17315" s="1" t="s">
        <v>2</v>
      </c>
      <c r="N17315" s="1" t="s">
        <v>38</v>
      </c>
      <c r="O17315" s="1" t="s">
        <v>46</v>
      </c>
    </row>
    <row r="17316" spans="2:15" x14ac:dyDescent="0.3">
      <c r="B17316" s="1" t="s">
        <v>13</v>
      </c>
      <c r="C17316" s="1" t="str">
        <f t="shared" si="855"/>
        <v>3차</v>
      </c>
      <c r="D17316" s="1" t="str">
        <f>"0026D74239"</f>
        <v>0026D74239</v>
      </c>
      <c r="E17316" s="1" t="s">
        <v>10</v>
      </c>
      <c r="F17316" s="1" t="str">
        <f>"10.11.13.50"</f>
        <v>10.11.13.50</v>
      </c>
      <c r="G17316" s="1" t="str">
        <f>"0026D742"</f>
        <v>0026D742</v>
      </c>
      <c r="H17316" s="1" t="str">
        <f>"동소문간 10R8"</f>
        <v>동소문간 10R8</v>
      </c>
      <c r="I17316" s="1" t="s">
        <v>8</v>
      </c>
      <c r="J17316" s="1" t="str">
        <f>"15/15"</f>
        <v>15/15</v>
      </c>
      <c r="K17316" s="1" t="str">
        <f t="shared" ref="K17316:K17322" si="856">"2026-07-29 13:18:01"</f>
        <v>2026-07-29 13:18:01</v>
      </c>
      <c r="L17316" s="1" t="str">
        <f>"2018-03-02 11:45:56"</f>
        <v>2018-03-02 11:45:56</v>
      </c>
      <c r="M17316" s="1" t="s">
        <v>2</v>
      </c>
      <c r="N17316" s="1" t="s">
        <v>38</v>
      </c>
      <c r="O17316" s="1" t="s">
        <v>46</v>
      </c>
    </row>
    <row r="17317" spans="2:15" x14ac:dyDescent="0.3">
      <c r="B17317" s="1" t="s">
        <v>13</v>
      </c>
      <c r="C17317" s="1" t="str">
        <f t="shared" si="855"/>
        <v>3차</v>
      </c>
      <c r="D17317" s="1" t="str">
        <f>"0026D75339"</f>
        <v>0026D75339</v>
      </c>
      <c r="E17317" s="1" t="s">
        <v>10</v>
      </c>
      <c r="F17317" s="1" t="str">
        <f>"10.11.13.34"</f>
        <v>10.11.13.34</v>
      </c>
      <c r="G17317" s="1" t="str">
        <f>"0026D753"</f>
        <v>0026D753</v>
      </c>
      <c r="H17317" s="1" t="str">
        <f>"동소문간 10R6L3"</f>
        <v>동소문간 10R6L3</v>
      </c>
      <c r="I17317" s="1" t="s">
        <v>8</v>
      </c>
      <c r="J17317" s="1" t="str">
        <f>"3/3"</f>
        <v>3/3</v>
      </c>
      <c r="K17317" s="1" t="str">
        <f t="shared" si="856"/>
        <v>2026-07-29 13:18:01</v>
      </c>
      <c r="L17317" s="1" t="str">
        <f>"2022-06-08 10:03:58"</f>
        <v>2022-06-08 10:03:58</v>
      </c>
      <c r="M17317" s="1" t="s">
        <v>2</v>
      </c>
      <c r="N17317" s="1" t="s">
        <v>38</v>
      </c>
      <c r="O17317" s="1" t="s">
        <v>46</v>
      </c>
    </row>
    <row r="17318" spans="2:15" x14ac:dyDescent="0.3">
      <c r="B17318" s="1" t="s">
        <v>13</v>
      </c>
      <c r="C17318" s="1" t="str">
        <f t="shared" si="855"/>
        <v>3차</v>
      </c>
      <c r="D17318" s="1" t="str">
        <f>"0026D76339"</f>
        <v>0026D76339</v>
      </c>
      <c r="E17318" s="1" t="s">
        <v>10</v>
      </c>
      <c r="F17318" s="1" t="str">
        <f>"10.11.13.42"</f>
        <v>10.11.13.42</v>
      </c>
      <c r="G17318" s="1" t="str">
        <f>"0026D763"</f>
        <v>0026D763</v>
      </c>
      <c r="H17318" s="1" t="str">
        <f>"동소문간 10R6L5"</f>
        <v>동소문간 10R6L5</v>
      </c>
      <c r="I17318" s="1" t="s">
        <v>8</v>
      </c>
      <c r="J17318" s="1" t="str">
        <f>"11/11"</f>
        <v>11/11</v>
      </c>
      <c r="K17318" s="1" t="str">
        <f t="shared" si="856"/>
        <v>2026-07-29 13:18:01</v>
      </c>
      <c r="L17318" s="1" t="str">
        <f>"2018-05-17 16:10:57"</f>
        <v>2018-05-17 16:10:57</v>
      </c>
      <c r="M17318" s="1" t="s">
        <v>2</v>
      </c>
      <c r="N17318" s="1" t="s">
        <v>38</v>
      </c>
      <c r="O17318" s="1" t="s">
        <v>46</v>
      </c>
    </row>
    <row r="17319" spans="2:15" x14ac:dyDescent="0.3">
      <c r="B17319" s="1" t="s">
        <v>13</v>
      </c>
      <c r="C17319" s="1" t="str">
        <f t="shared" si="855"/>
        <v>3차</v>
      </c>
      <c r="D17319" s="1" t="str">
        <f>"0026D77130"</f>
        <v>0026D77130</v>
      </c>
      <c r="E17319" s="1" t="s">
        <v>10</v>
      </c>
      <c r="F17319" s="1" t="str">
        <f>"10.11.13.18"</f>
        <v>10.11.13.18</v>
      </c>
      <c r="G17319" s="1" t="str">
        <f>"0026D771"</f>
        <v>0026D771</v>
      </c>
      <c r="H17319" s="1" t="str">
        <f>"동소문간 10R3L3"</f>
        <v>동소문간 10R3L3</v>
      </c>
      <c r="I17319" s="1" t="s">
        <v>8</v>
      </c>
      <c r="J17319" s="1" t="str">
        <f>"74/74"</f>
        <v>74/74</v>
      </c>
      <c r="K17319" s="1" t="str">
        <f t="shared" si="856"/>
        <v>2026-07-29 13:18:01</v>
      </c>
      <c r="L17319" s="1" t="str">
        <f>"2018-02-03 16:22:28"</f>
        <v>2018-02-03 16:22:28</v>
      </c>
      <c r="M17319" s="1" t="s">
        <v>2</v>
      </c>
      <c r="N17319" s="1" t="s">
        <v>38</v>
      </c>
      <c r="O17319" s="1" t="s">
        <v>46</v>
      </c>
    </row>
    <row r="17320" spans="2:15" x14ac:dyDescent="0.3">
      <c r="B17320" s="1" t="s">
        <v>13</v>
      </c>
      <c r="C17320" s="1" t="str">
        <f t="shared" si="855"/>
        <v>3차</v>
      </c>
      <c r="D17320" s="1" t="str">
        <f>"0026D77331"</f>
        <v>0026D77331</v>
      </c>
      <c r="E17320" s="1" t="s">
        <v>10</v>
      </c>
      <c r="F17320" s="1" t="str">
        <f>"10.11.13.19"</f>
        <v>10.11.13.19</v>
      </c>
      <c r="G17320" s="1" t="str">
        <f>"0026D773"</f>
        <v>0026D773</v>
      </c>
      <c r="H17320" s="1" t="str">
        <f>"동소문간 10R3L5"</f>
        <v>동소문간 10R3L5</v>
      </c>
      <c r="I17320" s="1" t="s">
        <v>8</v>
      </c>
      <c r="J17320" s="1" t="str">
        <f>"14/14"</f>
        <v>14/14</v>
      </c>
      <c r="K17320" s="1" t="str">
        <f t="shared" si="856"/>
        <v>2026-07-29 13:18:01</v>
      </c>
      <c r="L17320" s="1" t="str">
        <f>"2018-02-03 16:23:14"</f>
        <v>2018-02-03 16:23:14</v>
      </c>
      <c r="M17320" s="1" t="s">
        <v>2</v>
      </c>
      <c r="N17320" s="1" t="s">
        <v>38</v>
      </c>
      <c r="O17320" s="1" t="s">
        <v>46</v>
      </c>
    </row>
    <row r="17321" spans="2:15" x14ac:dyDescent="0.3">
      <c r="B17321" s="1" t="s">
        <v>13</v>
      </c>
      <c r="C17321" s="1" t="str">
        <f t="shared" si="855"/>
        <v>3차</v>
      </c>
      <c r="D17321" s="1" t="str">
        <f>"0026D79139"</f>
        <v>0026D79139</v>
      </c>
      <c r="E17321" s="1" t="s">
        <v>10</v>
      </c>
      <c r="F17321" s="1" t="str">
        <f>"10.11.31.66"</f>
        <v>10.11.31.66</v>
      </c>
      <c r="G17321" s="1" t="str">
        <f>"0026D791"</f>
        <v>0026D791</v>
      </c>
      <c r="H17321" s="1" t="str">
        <f>"동소문간 10R1L4"</f>
        <v>동소문간 10R1L4</v>
      </c>
      <c r="I17321" s="1" t="s">
        <v>8</v>
      </c>
      <c r="J17321" s="1" t="str">
        <f>"87/87"</f>
        <v>87/87</v>
      </c>
      <c r="K17321" s="1" t="str">
        <f t="shared" si="856"/>
        <v>2026-07-29 13:18:01</v>
      </c>
      <c r="L17321" s="1" t="str">
        <f>"2018-02-12 09:08:53"</f>
        <v>2018-02-12 09:08:53</v>
      </c>
      <c r="M17321" s="1" t="s">
        <v>2</v>
      </c>
      <c r="N17321" s="1" t="s">
        <v>38</v>
      </c>
      <c r="O17321" s="1" t="s">
        <v>46</v>
      </c>
    </row>
    <row r="17322" spans="2:15" x14ac:dyDescent="0.3">
      <c r="B17322" s="1" t="s">
        <v>13</v>
      </c>
      <c r="C17322" s="1" t="str">
        <f t="shared" si="855"/>
        <v>3차</v>
      </c>
      <c r="D17322" s="1" t="str">
        <f>"0026D79239"</f>
        <v>0026D79239</v>
      </c>
      <c r="E17322" s="1" t="s">
        <v>10</v>
      </c>
      <c r="F17322" s="1" t="str">
        <f>"10.11.12.250"</f>
        <v>10.11.12.250</v>
      </c>
      <c r="G17322" s="1" t="str">
        <f>"0026D792"</f>
        <v>0026D792</v>
      </c>
      <c r="H17322" s="1" t="str">
        <f>"동소문간 10R1L5"</f>
        <v>동소문간 10R1L5</v>
      </c>
      <c r="I17322" s="1" t="s">
        <v>8</v>
      </c>
      <c r="J17322" s="1" t="str">
        <f>"49/55"</f>
        <v>49/55</v>
      </c>
      <c r="K17322" s="1" t="str">
        <f t="shared" si="856"/>
        <v>2026-07-29 13:18:01</v>
      </c>
      <c r="L17322" s="1" t="str">
        <f>"2018-02-26 18:21:21"</f>
        <v>2018-02-26 18:21:21</v>
      </c>
      <c r="M17322" s="1" t="s">
        <v>2</v>
      </c>
      <c r="N17322" s="1" t="s">
        <v>38</v>
      </c>
      <c r="O17322" s="1" t="s">
        <v>46</v>
      </c>
    </row>
    <row r="17323" spans="2:15" x14ac:dyDescent="0.3">
      <c r="B17323" s="1" t="s">
        <v>13</v>
      </c>
      <c r="C17323" s="1" t="str">
        <f>"4차"</f>
        <v>4차</v>
      </c>
      <c r="D17323" s="1" t="str">
        <f>"0026D81239"</f>
        <v>0026D81239</v>
      </c>
      <c r="E17323" s="1" t="s">
        <v>14</v>
      </c>
      <c r="F17323" s="1" t="str">
        <f>"10.12.137.220"</f>
        <v>10.12.137.220</v>
      </c>
      <c r="G17323" s="1" t="str">
        <f>"0026D812"</f>
        <v>0026D812</v>
      </c>
      <c r="H17323" s="1" t="str">
        <f>"종로로 L35"</f>
        <v>종로로 L35</v>
      </c>
      <c r="I17323" s="1" t="s">
        <v>17</v>
      </c>
      <c r="J17323" s="1" t="str">
        <f>"0/0"</f>
        <v>0/0</v>
      </c>
      <c r="K17323" s="1" t="str">
        <f>"2026-06-10 07:18:02"</f>
        <v>2026-06-10 07:18:02</v>
      </c>
      <c r="L17323" s="1" t="str">
        <f>"2018-05-11 11:15:13"</f>
        <v>2018-05-11 11:15:13</v>
      </c>
      <c r="M17323" s="1" t="s">
        <v>0</v>
      </c>
      <c r="N17323" s="1" t="s">
        <v>39</v>
      </c>
      <c r="O17323" s="1" t="s">
        <v>46</v>
      </c>
    </row>
    <row r="17324" spans="2:15" x14ac:dyDescent="0.3">
      <c r="B17324" s="1" t="s">
        <v>13</v>
      </c>
      <c r="C17324" s="1" t="str">
        <f>"3차"</f>
        <v>3차</v>
      </c>
      <c r="D17324" s="1" t="str">
        <f>"0026D82339"</f>
        <v>0026D82339</v>
      </c>
      <c r="E17324" s="1" t="s">
        <v>10</v>
      </c>
      <c r="F17324" s="1" t="str">
        <f>"10.11.37.234"</f>
        <v>10.11.37.234</v>
      </c>
      <c r="G17324" s="1" t="str">
        <f>"0026D823"</f>
        <v>0026D823</v>
      </c>
      <c r="H17324" s="1" t="str">
        <f>"종로간 24R2"</f>
        <v>종로간 24R2</v>
      </c>
      <c r="I17324" s="1" t="s">
        <v>8</v>
      </c>
      <c r="J17324" s="1" t="str">
        <f>"7/7"</f>
        <v>7/7</v>
      </c>
      <c r="K17324" s="1" t="str">
        <f>"2026-07-29 13:18:01"</f>
        <v>2026-07-29 13:18:01</v>
      </c>
      <c r="L17324" s="1" t="str">
        <f>"2018-05-24 14:22:57"</f>
        <v>2018-05-24 14:22:57</v>
      </c>
      <c r="M17324" s="1" t="s">
        <v>2</v>
      </c>
      <c r="N17324" s="1" t="s">
        <v>38</v>
      </c>
      <c r="O17324" s="1" t="s">
        <v>46</v>
      </c>
    </row>
    <row r="17325" spans="2:15" x14ac:dyDescent="0.3">
      <c r="B17325" s="1" t="s">
        <v>13</v>
      </c>
      <c r="C17325" s="1" t="str">
        <f>"3차"</f>
        <v>3차</v>
      </c>
      <c r="D17325" s="1" t="str">
        <f>"0026D82539"</f>
        <v>0026D82539</v>
      </c>
      <c r="E17325" s="1" t="s">
        <v>10</v>
      </c>
      <c r="F17325" s="1" t="str">
        <f>"10.11.18.178"</f>
        <v>10.11.18.178</v>
      </c>
      <c r="G17325" s="1" t="str">
        <f>"0026D825"</f>
        <v>0026D825</v>
      </c>
      <c r="H17325" s="1" t="str">
        <f>"종로간 24R1R1"</f>
        <v>종로간 24R1R1</v>
      </c>
      <c r="I17325" s="1" t="s">
        <v>8</v>
      </c>
      <c r="J17325" s="1" t="str">
        <f>"19/19"</f>
        <v>19/19</v>
      </c>
      <c r="K17325" s="1" t="str">
        <f>"2026-07-29 13:18:01"</f>
        <v>2026-07-29 13:18:01</v>
      </c>
      <c r="L17325" s="1" t="str">
        <f>"2018-05-23 15:47:58"</f>
        <v>2018-05-23 15:47:58</v>
      </c>
      <c r="M17325" s="1" t="s">
        <v>2</v>
      </c>
      <c r="N17325" s="1" t="s">
        <v>38</v>
      </c>
      <c r="O17325" s="1" t="s">
        <v>46</v>
      </c>
    </row>
    <row r="17326" spans="2:15" x14ac:dyDescent="0.3">
      <c r="B17326" s="1" t="s">
        <v>13</v>
      </c>
      <c r="C17326" s="1" t="str">
        <f>"4차"</f>
        <v>4차</v>
      </c>
      <c r="D17326" s="1" t="str">
        <f>"0026D83239"</f>
        <v>0026D83239</v>
      </c>
      <c r="E17326" s="1" t="s">
        <v>10</v>
      </c>
      <c r="F17326" s="1" t="str">
        <f>"10.11.31.146"</f>
        <v>10.11.31.146</v>
      </c>
      <c r="G17326" s="1" t="str">
        <f>"0026D832"</f>
        <v>0026D832</v>
      </c>
      <c r="H17326" s="1" t="str">
        <f>"동소문간 10R9L2"</f>
        <v>동소문간 10R9L2</v>
      </c>
      <c r="I17326" s="1" t="s">
        <v>8</v>
      </c>
      <c r="J17326" s="1" t="str">
        <f>"18/18"</f>
        <v>18/18</v>
      </c>
      <c r="K17326" s="1" t="str">
        <f>"2026-07-29 13:18:00"</f>
        <v>2026-07-29 13:18:00</v>
      </c>
      <c r="L17326" s="1" t="str">
        <f>"2018-02-12 12:20:40"</f>
        <v>2018-02-12 12:20:40</v>
      </c>
      <c r="M17326" s="1" t="s">
        <v>2</v>
      </c>
      <c r="N17326" s="1" t="s">
        <v>38</v>
      </c>
      <c r="O17326" s="1" t="s">
        <v>46</v>
      </c>
    </row>
    <row r="17327" spans="2:15" x14ac:dyDescent="0.3">
      <c r="B17327" s="1" t="s">
        <v>13</v>
      </c>
      <c r="C17327" s="1" t="str">
        <f>"3차"</f>
        <v>3차</v>
      </c>
      <c r="D17327" s="1" t="str">
        <f>"0026D83339"</f>
        <v>0026D83339</v>
      </c>
      <c r="E17327" s="1" t="s">
        <v>10</v>
      </c>
      <c r="F17327" s="1" t="str">
        <f>"10.11.12.218"</f>
        <v>10.11.12.218</v>
      </c>
      <c r="G17327" s="1" t="str">
        <f>"0026D833"</f>
        <v>0026D833</v>
      </c>
      <c r="H17327" s="1" t="str">
        <f>"동소문간 10R9L1R1"</f>
        <v>동소문간 10R9L1R1</v>
      </c>
      <c r="I17327" s="1" t="s">
        <v>8</v>
      </c>
      <c r="J17327" s="1" t="str">
        <f>"25/25"</f>
        <v>25/25</v>
      </c>
      <c r="K17327" s="1" t="str">
        <f>"2026-07-29 13:18:00"</f>
        <v>2026-07-29 13:18:00</v>
      </c>
      <c r="L17327" s="1" t="str">
        <f>"2018-02-26 18:22:36"</f>
        <v>2018-02-26 18:22:36</v>
      </c>
      <c r="M17327" s="1" t="s">
        <v>2</v>
      </c>
      <c r="N17327" s="1" t="s">
        <v>38</v>
      </c>
      <c r="O17327" s="1" t="s">
        <v>46</v>
      </c>
    </row>
    <row r="17328" spans="2:15" x14ac:dyDescent="0.3">
      <c r="B17328" s="1" t="s">
        <v>13</v>
      </c>
      <c r="C17328" s="1" t="str">
        <f>"3차"</f>
        <v>3차</v>
      </c>
      <c r="D17328" s="1" t="str">
        <f>"0026D85139"</f>
        <v>0026D85139</v>
      </c>
      <c r="E17328" s="1" t="s">
        <v>10</v>
      </c>
      <c r="F17328" s="1" t="str">
        <f>"10.11.31.114"</f>
        <v>10.11.31.114</v>
      </c>
      <c r="G17328" s="1" t="str">
        <f>"0026D851"</f>
        <v>0026D851</v>
      </c>
      <c r="H17328" s="1" t="str">
        <f>"동소문간 10R6L3R1"</f>
        <v>동소문간 10R6L3R1</v>
      </c>
      <c r="I17328" s="1" t="s">
        <v>8</v>
      </c>
      <c r="J17328" s="1" t="str">
        <f>"81/81"</f>
        <v>81/81</v>
      </c>
      <c r="K17328" s="1" t="str">
        <f>"2026-07-29 13:18:00"</f>
        <v>2026-07-29 13:18:00</v>
      </c>
      <c r="L17328" s="1" t="str">
        <f>"2018-02-12 11:44:24"</f>
        <v>2018-02-12 11:44:24</v>
      </c>
      <c r="M17328" s="1" t="s">
        <v>2</v>
      </c>
      <c r="N17328" s="1" t="s">
        <v>38</v>
      </c>
      <c r="O17328" s="1" t="s">
        <v>46</v>
      </c>
    </row>
    <row r="17329" spans="2:15" x14ac:dyDescent="0.3">
      <c r="B17329" s="1" t="s">
        <v>13</v>
      </c>
      <c r="C17329" s="1" t="str">
        <f>"3차"</f>
        <v>3차</v>
      </c>
      <c r="D17329" s="1" t="str">
        <f>"0026D86539"</f>
        <v>0026D86539</v>
      </c>
      <c r="E17329" s="1" t="s">
        <v>10</v>
      </c>
      <c r="F17329" s="1" t="str">
        <f>"10.11.31.122"</f>
        <v>10.11.31.122</v>
      </c>
      <c r="G17329" s="1" t="str">
        <f>"0026D865"</f>
        <v>0026D865</v>
      </c>
      <c r="H17329" s="1" t="str">
        <f>"동소문간 10R6L7"</f>
        <v>동소문간 10R6L7</v>
      </c>
      <c r="I17329" s="1" t="s">
        <v>8</v>
      </c>
      <c r="J17329" s="1" t="str">
        <f>"46/50"</f>
        <v>46/50</v>
      </c>
      <c r="K17329" s="1" t="str">
        <f>"2026-07-29 13:18:01"</f>
        <v>2026-07-29 13:18:01</v>
      </c>
      <c r="L17329" s="1" t="str">
        <f>"2018-02-12 13:08:54"</f>
        <v>2018-02-12 13:08:54</v>
      </c>
      <c r="M17329" s="1" t="s">
        <v>2</v>
      </c>
      <c r="N17329" s="1" t="s">
        <v>38</v>
      </c>
      <c r="O17329" s="1" t="s">
        <v>46</v>
      </c>
    </row>
    <row r="17330" spans="2:15" x14ac:dyDescent="0.3">
      <c r="B17330" s="1" t="s">
        <v>13</v>
      </c>
      <c r="C17330" s="1" t="str">
        <f>"3차"</f>
        <v>3차</v>
      </c>
      <c r="D17330" s="1" t="str">
        <f>"0026D89139"</f>
        <v>0026D89139</v>
      </c>
      <c r="E17330" s="1" t="s">
        <v>10</v>
      </c>
      <c r="F17330" s="1" t="str">
        <f>"10.11.31.74"</f>
        <v>10.11.31.74</v>
      </c>
      <c r="G17330" s="1" t="str">
        <f>"0026D891"</f>
        <v>0026D891</v>
      </c>
      <c r="H17330" s="1" t="str">
        <f>"동소문간 10R1L6"</f>
        <v>동소문간 10R1L6</v>
      </c>
      <c r="I17330" s="1" t="s">
        <v>8</v>
      </c>
      <c r="J17330" s="1" t="str">
        <f>"6/6"</f>
        <v>6/6</v>
      </c>
      <c r="K17330" s="1" t="str">
        <f>"2026-07-29 13:18:00"</f>
        <v>2026-07-29 13:18:00</v>
      </c>
      <c r="L17330" s="1" t="str">
        <f>"2018-02-12 09:30:23"</f>
        <v>2018-02-12 09:30:23</v>
      </c>
      <c r="M17330" s="1" t="s">
        <v>2</v>
      </c>
      <c r="N17330" s="1" t="s">
        <v>38</v>
      </c>
      <c r="O17330" s="1" t="s">
        <v>46</v>
      </c>
    </row>
    <row r="17331" spans="2:15" x14ac:dyDescent="0.3">
      <c r="B17331" s="1" t="s">
        <v>13</v>
      </c>
      <c r="C17331" s="1" t="str">
        <f>"4차"</f>
        <v>4차</v>
      </c>
      <c r="D17331" s="1" t="str">
        <f>"0026D93139"</f>
        <v>0026D93139</v>
      </c>
      <c r="E17331" s="1" t="s">
        <v>10</v>
      </c>
      <c r="F17331" s="1" t="str">
        <f>"10.11.13.58"</f>
        <v>10.11.13.58</v>
      </c>
      <c r="G17331" s="1" t="str">
        <f>"0026D931"</f>
        <v>0026D931</v>
      </c>
      <c r="H17331" s="1" t="str">
        <f>"동소문간 10R9L3"</f>
        <v>동소문간 10R9L3</v>
      </c>
      <c r="I17331" s="1" t="s">
        <v>8</v>
      </c>
      <c r="J17331" s="1" t="str">
        <f>"28/29"</f>
        <v>28/29</v>
      </c>
      <c r="K17331" s="1" t="str">
        <f>"2026-07-29 13:18:00"</f>
        <v>2026-07-29 13:18:00</v>
      </c>
      <c r="L17331" s="1" t="str">
        <f>"2018-02-26 18:24:07"</f>
        <v>2018-02-26 18:24:07</v>
      </c>
      <c r="M17331" s="1" t="s">
        <v>2</v>
      </c>
      <c r="N17331" s="1" t="s">
        <v>38</v>
      </c>
      <c r="O17331" s="1" t="s">
        <v>46</v>
      </c>
    </row>
    <row r="17332" spans="2:15" x14ac:dyDescent="0.3">
      <c r="B17332" s="1" t="s">
        <v>13</v>
      </c>
      <c r="C17332" s="1" t="str">
        <f>"4차"</f>
        <v>4차</v>
      </c>
      <c r="D17332" s="1" t="str">
        <f>"0026D93239"</f>
        <v>0026D93239</v>
      </c>
      <c r="E17332" s="1" t="s">
        <v>10</v>
      </c>
      <c r="F17332" s="1" t="str">
        <f>"10.12.132.101"</f>
        <v>10.12.132.101</v>
      </c>
      <c r="G17332" s="1" t="str">
        <f>"0026D932"</f>
        <v>0026D932</v>
      </c>
      <c r="H17332" s="1" t="str">
        <f>"동소문간 10R9L4"</f>
        <v>동소문간 10R9L4</v>
      </c>
      <c r="I17332" s="1" t="s">
        <v>8</v>
      </c>
      <c r="J17332" s="1" t="str">
        <f>"17/17"</f>
        <v>17/17</v>
      </c>
      <c r="K17332" s="1" t="str">
        <f>"2026-07-29 13:18:02"</f>
        <v>2026-07-29 13:18:02</v>
      </c>
      <c r="L17332" s="1" t="str">
        <f>"2025-01-15 17:50:10"</f>
        <v>2025-01-15 17:50:10</v>
      </c>
      <c r="M17332" s="1" t="s">
        <v>0</v>
      </c>
      <c r="N17332" s="1" t="s">
        <v>38</v>
      </c>
      <c r="O17332" s="1" t="s">
        <v>46</v>
      </c>
    </row>
    <row r="17333" spans="2:15" x14ac:dyDescent="0.3">
      <c r="B17333" s="1" t="s">
        <v>13</v>
      </c>
      <c r="C17333" s="1" t="str">
        <f>"3차"</f>
        <v>3차</v>
      </c>
      <c r="D17333" s="1" t="str">
        <f>"0026E00139"</f>
        <v>0026E00139</v>
      </c>
      <c r="E17333" s="1" t="s">
        <v>10</v>
      </c>
      <c r="F17333" s="1" t="str">
        <f>"10.11.31.90"</f>
        <v>10.11.31.90</v>
      </c>
      <c r="G17333" s="1" t="str">
        <f>"0026E001"</f>
        <v>0026E001</v>
      </c>
      <c r="H17333" s="1" t="str">
        <f>"동소문간 10R1L8L1"</f>
        <v>동소문간 10R1L8L1</v>
      </c>
      <c r="I17333" s="1" t="s">
        <v>8</v>
      </c>
      <c r="J17333" s="1" t="str">
        <f>"21/21"</f>
        <v>21/21</v>
      </c>
      <c r="K17333" s="1" t="str">
        <f>"2026-07-29 13:18:01"</f>
        <v>2026-07-29 13:18:01</v>
      </c>
      <c r="L17333" s="1" t="str">
        <f>"2018-02-12 09:44:38"</f>
        <v>2018-02-12 09:44:38</v>
      </c>
      <c r="M17333" s="1" t="s">
        <v>2</v>
      </c>
      <c r="N17333" s="1" t="s">
        <v>38</v>
      </c>
      <c r="O17333" s="1" t="s">
        <v>46</v>
      </c>
    </row>
    <row r="17334" spans="2:15" x14ac:dyDescent="0.3">
      <c r="B17334" s="1" t="s">
        <v>13</v>
      </c>
      <c r="C17334" s="1" t="str">
        <f>"5-1차"</f>
        <v>5-1차</v>
      </c>
      <c r="D17334" s="1" t="str">
        <f>"0026E1125M"</f>
        <v>0026E1125M</v>
      </c>
      <c r="E17334" s="1" t="s">
        <v>10</v>
      </c>
      <c r="F17334" s="1" t="str">
        <f>"fde3:102:1304:3201:0:0:0:2"</f>
        <v>fde3:102:1304:3201:0:0:0:2</v>
      </c>
      <c r="G17334" s="1" t="str">
        <f>"0026E112"</f>
        <v>0026E112</v>
      </c>
      <c r="H17334" s="1" t="str">
        <f>"동소문간 10R1L8L4"</f>
        <v>동소문간 10R1L8L4</v>
      </c>
      <c r="I17334" s="1" t="s">
        <v>15</v>
      </c>
      <c r="J17334" s="1" t="str">
        <f>"42/42"</f>
        <v>42/42</v>
      </c>
      <c r="K17334" s="1" t="str">
        <f>"2026-07-29 14:20:06"</f>
        <v>2026-07-29 14:20:06</v>
      </c>
      <c r="L17334" s="1" t="str">
        <f>"2022-11-21 09:02:16"</f>
        <v>2022-11-21 09:02:16</v>
      </c>
      <c r="M17334" s="1" t="s">
        <v>45</v>
      </c>
      <c r="N17334" s="1" t="s">
        <v>38</v>
      </c>
      <c r="O17334" s="1" t="s">
        <v>46</v>
      </c>
    </row>
    <row r="17335" spans="2:15" x14ac:dyDescent="0.3">
      <c r="B17335" s="1" t="s">
        <v>13</v>
      </c>
      <c r="C17335" s="1" t="str">
        <f t="shared" ref="C17335:C17340" si="857">"4차"</f>
        <v>4차</v>
      </c>
      <c r="D17335" s="1" t="str">
        <f>"0026E12139"</f>
        <v>0026E12139</v>
      </c>
      <c r="E17335" s="1" t="s">
        <v>10</v>
      </c>
      <c r="F17335" s="1" t="str">
        <f>"10.12.137.164"</f>
        <v>10.12.137.164</v>
      </c>
      <c r="G17335" s="1" t="str">
        <f>"0026E121"</f>
        <v>0026E121</v>
      </c>
      <c r="H17335" s="1" t="str">
        <f>"대학로 10"</f>
        <v>대학로 10</v>
      </c>
      <c r="I17335" s="1" t="s">
        <v>17</v>
      </c>
      <c r="J17335" s="1" t="str">
        <f>"8/8"</f>
        <v>8/8</v>
      </c>
      <c r="K17335" s="1" t="str">
        <f t="shared" ref="K17335:K17340" si="858">"2026-07-29 13:18:01"</f>
        <v>2026-07-29 13:18:01</v>
      </c>
      <c r="L17335" s="1" t="str">
        <f>"2018-05-11 13:53:44"</f>
        <v>2018-05-11 13:53:44</v>
      </c>
      <c r="M17335" s="1" t="s">
        <v>0</v>
      </c>
      <c r="N17335" s="1" t="s">
        <v>38</v>
      </c>
      <c r="O17335" s="1" t="s">
        <v>46</v>
      </c>
    </row>
    <row r="17336" spans="2:15" x14ac:dyDescent="0.3">
      <c r="B17336" s="1" t="s">
        <v>13</v>
      </c>
      <c r="C17336" s="1" t="str">
        <f t="shared" si="857"/>
        <v>4차</v>
      </c>
      <c r="D17336" s="1" t="str">
        <f>"0026E16439"</f>
        <v>0026E16439</v>
      </c>
      <c r="E17336" s="1" t="s">
        <v>10</v>
      </c>
      <c r="F17336" s="1" t="str">
        <f>"10.12.131.251"</f>
        <v>10.12.131.251</v>
      </c>
      <c r="G17336" s="1" t="str">
        <f>"0026E164"</f>
        <v>0026E164</v>
      </c>
      <c r="H17336" s="1" t="str">
        <f>"대학로 8-1"</f>
        <v>대학로 8-1</v>
      </c>
      <c r="I17336" s="1" t="s">
        <v>17</v>
      </c>
      <c r="J17336" s="1" t="str">
        <f>"7/7"</f>
        <v>7/7</v>
      </c>
      <c r="K17336" s="1" t="str">
        <f t="shared" si="858"/>
        <v>2026-07-29 13:18:01</v>
      </c>
      <c r="L17336" s="1" t="str">
        <f>"2018-10-24 10:23:26"</f>
        <v>2018-10-24 10:23:26</v>
      </c>
      <c r="M17336" s="1" t="s">
        <v>0</v>
      </c>
      <c r="N17336" s="1" t="s">
        <v>38</v>
      </c>
      <c r="O17336" s="1" t="s">
        <v>46</v>
      </c>
    </row>
    <row r="17337" spans="2:15" x14ac:dyDescent="0.3">
      <c r="B17337" s="1" t="s">
        <v>13</v>
      </c>
      <c r="C17337" s="1" t="str">
        <f t="shared" si="857"/>
        <v>4차</v>
      </c>
      <c r="D17337" s="1" t="str">
        <f>"0026E20139"</f>
        <v>0026E20139</v>
      </c>
      <c r="E17337" s="1" t="s">
        <v>10</v>
      </c>
      <c r="F17337" s="1" t="str">
        <f>"10.12.131.201"</f>
        <v>10.12.131.201</v>
      </c>
      <c r="G17337" s="1" t="str">
        <f>"0026E201"</f>
        <v>0026E201</v>
      </c>
      <c r="H17337" s="1" t="str">
        <f>"대학로 12"</f>
        <v>대학로 12</v>
      </c>
      <c r="I17337" s="1" t="s">
        <v>17</v>
      </c>
      <c r="J17337" s="1" t="str">
        <f>"1/1"</f>
        <v>1/1</v>
      </c>
      <c r="K17337" s="1" t="str">
        <f t="shared" si="858"/>
        <v>2026-07-29 13:18:01</v>
      </c>
      <c r="L17337" s="1" t="str">
        <f>"2018-05-11 14:21:15"</f>
        <v>2018-05-11 14:21:15</v>
      </c>
      <c r="M17337" s="1" t="s">
        <v>0</v>
      </c>
      <c r="N17337" s="1" t="s">
        <v>38</v>
      </c>
      <c r="O17337" s="1" t="s">
        <v>46</v>
      </c>
    </row>
    <row r="17338" spans="2:15" x14ac:dyDescent="0.3">
      <c r="B17338" s="1" t="s">
        <v>13</v>
      </c>
      <c r="C17338" s="1" t="str">
        <f t="shared" si="857"/>
        <v>4차</v>
      </c>
      <c r="D17338" s="1" t="str">
        <f>"0026E20239"</f>
        <v>0026E20239</v>
      </c>
      <c r="E17338" s="1" t="s">
        <v>10</v>
      </c>
      <c r="F17338" s="1" t="str">
        <f>"10.12.137.170"</f>
        <v>10.12.137.170</v>
      </c>
      <c r="G17338" s="1" t="str">
        <f>"0026E202"</f>
        <v>0026E202</v>
      </c>
      <c r="H17338" s="1" t="str">
        <f>"대학로 12-1"</f>
        <v>대학로 12-1</v>
      </c>
      <c r="I17338" s="1" t="s">
        <v>17</v>
      </c>
      <c r="J17338" s="1" t="str">
        <f>"12/12"</f>
        <v>12/12</v>
      </c>
      <c r="K17338" s="1" t="str">
        <f t="shared" si="858"/>
        <v>2026-07-29 13:18:01</v>
      </c>
      <c r="L17338" s="1" t="str">
        <f>"2018-05-11 14:40:45"</f>
        <v>2018-05-11 14:40:45</v>
      </c>
      <c r="M17338" s="1" t="s">
        <v>0</v>
      </c>
      <c r="N17338" s="1" t="s">
        <v>38</v>
      </c>
      <c r="O17338" s="1" t="s">
        <v>46</v>
      </c>
    </row>
    <row r="17339" spans="2:15" x14ac:dyDescent="0.3">
      <c r="B17339" s="1" t="s">
        <v>13</v>
      </c>
      <c r="C17339" s="1" t="str">
        <f t="shared" si="857"/>
        <v>4차</v>
      </c>
      <c r="D17339" s="1" t="str">
        <f>"0026E26239"</f>
        <v>0026E26239</v>
      </c>
      <c r="E17339" s="1" t="s">
        <v>10</v>
      </c>
      <c r="F17339" s="1" t="str">
        <f>"10.12.130.97"</f>
        <v>10.12.130.97</v>
      </c>
      <c r="G17339" s="1" t="str">
        <f>"0026E262"</f>
        <v>0026E262</v>
      </c>
      <c r="H17339" s="1" t="str">
        <f>"대학로 8"</f>
        <v>대학로 8</v>
      </c>
      <c r="I17339" s="1" t="s">
        <v>17</v>
      </c>
      <c r="J17339" s="1" t="str">
        <f>"37/37"</f>
        <v>37/37</v>
      </c>
      <c r="K17339" s="1" t="str">
        <f t="shared" si="858"/>
        <v>2026-07-29 13:18:01</v>
      </c>
      <c r="L17339" s="1" t="str">
        <f>"2018-10-24 10:22:25"</f>
        <v>2018-10-24 10:22:25</v>
      </c>
      <c r="M17339" s="1" t="s">
        <v>0</v>
      </c>
      <c r="N17339" s="1" t="s">
        <v>38</v>
      </c>
      <c r="O17339" s="1" t="s">
        <v>46</v>
      </c>
    </row>
    <row r="17340" spans="2:15" x14ac:dyDescent="0.3">
      <c r="B17340" s="1" t="s">
        <v>13</v>
      </c>
      <c r="C17340" s="1" t="str">
        <f t="shared" si="857"/>
        <v>4차</v>
      </c>
      <c r="D17340" s="1" t="str">
        <f>"0026E26439"</f>
        <v>0026E26439</v>
      </c>
      <c r="E17340" s="1" t="s">
        <v>10</v>
      </c>
      <c r="F17340" s="1" t="str">
        <f>"10.12.130.99"</f>
        <v>10.12.130.99</v>
      </c>
      <c r="G17340" s="1" t="str">
        <f>"0026E264"</f>
        <v>0026E264</v>
      </c>
      <c r="H17340" s="1" t="str">
        <f>"대학로 8-2"</f>
        <v>대학로 8-2</v>
      </c>
      <c r="I17340" s="1" t="s">
        <v>17</v>
      </c>
      <c r="J17340" s="1" t="str">
        <f>"54/54"</f>
        <v>54/54</v>
      </c>
      <c r="K17340" s="1" t="str">
        <f t="shared" si="858"/>
        <v>2026-07-29 13:18:01</v>
      </c>
      <c r="L17340" s="1" t="str">
        <f>"2018-10-24 10:30:55"</f>
        <v>2018-10-24 10:30:55</v>
      </c>
      <c r="M17340" s="1" t="s">
        <v>0</v>
      </c>
      <c r="N17340" s="1" t="s">
        <v>38</v>
      </c>
      <c r="O17340" s="1" t="s">
        <v>46</v>
      </c>
    </row>
    <row r="17341" spans="2:15" x14ac:dyDescent="0.3">
      <c r="B17341" s="1" t="s">
        <v>13</v>
      </c>
      <c r="C17341" s="1" t="str">
        <f>"3차"</f>
        <v>3차</v>
      </c>
      <c r="D17341" s="1" t="str">
        <f>"0026E30239"</f>
        <v>0026E30239</v>
      </c>
      <c r="E17341" s="1" t="s">
        <v>10</v>
      </c>
      <c r="F17341" s="1" t="str">
        <f>"10.11.31.234"</f>
        <v>10.11.31.234</v>
      </c>
      <c r="G17341" s="1" t="str">
        <f>"0026E302"</f>
        <v>0026E302</v>
      </c>
      <c r="H17341" s="1" t="str">
        <f>"동숭동간 10L4"</f>
        <v>동숭동간 10L4</v>
      </c>
      <c r="I17341" s="1" t="s">
        <v>8</v>
      </c>
      <c r="J17341" s="1" t="str">
        <f>"8/9"</f>
        <v>8/9</v>
      </c>
      <c r="K17341" s="1" t="str">
        <f>"2026-07-29 13:18:00"</f>
        <v>2026-07-29 13:18:00</v>
      </c>
      <c r="L17341" s="1" t="str">
        <f>"2018-02-10 15:12:56"</f>
        <v>2018-02-10 15:12:56</v>
      </c>
      <c r="M17341" s="1" t="s">
        <v>2</v>
      </c>
      <c r="N17341" s="1" t="s">
        <v>38</v>
      </c>
      <c r="O17341" s="1" t="s">
        <v>46</v>
      </c>
    </row>
    <row r="17342" spans="2:15" x14ac:dyDescent="0.3">
      <c r="B17342" s="1" t="s">
        <v>13</v>
      </c>
      <c r="C17342" s="1" t="str">
        <f>"4차"</f>
        <v>4차</v>
      </c>
      <c r="D17342" s="1" t="str">
        <f>"0026E30339"</f>
        <v>0026E30339</v>
      </c>
      <c r="E17342" s="1" t="s">
        <v>10</v>
      </c>
      <c r="F17342" s="1" t="str">
        <f>"10.11.13.114"</f>
        <v>10.11.13.114</v>
      </c>
      <c r="G17342" s="1" t="str">
        <f>"0026E303"</f>
        <v>0026E303</v>
      </c>
      <c r="H17342" s="1" t="str">
        <f>"동숭동간 10L3"</f>
        <v>동숭동간 10L3</v>
      </c>
      <c r="I17342" s="1" t="s">
        <v>8</v>
      </c>
      <c r="J17342" s="1" t="str">
        <f>"11/11"</f>
        <v>11/11</v>
      </c>
      <c r="K17342" s="1" t="str">
        <f>"2026-07-29 13:18:00"</f>
        <v>2026-07-29 13:18:00</v>
      </c>
      <c r="L17342" s="1" t="str">
        <f>"2018-02-26 18:28:21"</f>
        <v>2018-02-26 18:28:21</v>
      </c>
      <c r="M17342" s="1" t="s">
        <v>2</v>
      </c>
      <c r="N17342" s="1" t="s">
        <v>38</v>
      </c>
      <c r="O17342" s="1" t="s">
        <v>46</v>
      </c>
    </row>
    <row r="17343" spans="2:15" x14ac:dyDescent="0.3">
      <c r="B17343" s="1" t="s">
        <v>13</v>
      </c>
      <c r="C17343" s="1" t="str">
        <f>"4차"</f>
        <v>4차</v>
      </c>
      <c r="D17343" s="1" t="str">
        <f>"0026E31339"</f>
        <v>0026E31339</v>
      </c>
      <c r="E17343" s="1" t="s">
        <v>10</v>
      </c>
      <c r="F17343" s="1" t="str">
        <f>"10.11.31.242"</f>
        <v>10.11.31.242</v>
      </c>
      <c r="G17343" s="1" t="str">
        <f>"0026E313"</f>
        <v>0026E313</v>
      </c>
      <c r="H17343" s="1" t="str">
        <f>"동숭동간 10L5"</f>
        <v>동숭동간 10L5</v>
      </c>
      <c r="I17343" s="1" t="s">
        <v>8</v>
      </c>
      <c r="J17343" s="1" t="str">
        <f>"53/59"</f>
        <v>53/59</v>
      </c>
      <c r="K17343" s="1" t="str">
        <f>"2026-07-29 13:18:00"</f>
        <v>2026-07-29 13:18:00</v>
      </c>
      <c r="L17343" s="1" t="str">
        <f>"2023-03-31 11:05:27"</f>
        <v>2023-03-31 11:05:27</v>
      </c>
      <c r="M17343" s="1" t="s">
        <v>2</v>
      </c>
      <c r="N17343" s="1" t="s">
        <v>38</v>
      </c>
      <c r="O17343" s="1" t="s">
        <v>46</v>
      </c>
    </row>
    <row r="17344" spans="2:15" x14ac:dyDescent="0.3">
      <c r="B17344" s="1" t="s">
        <v>13</v>
      </c>
      <c r="C17344" s="1" t="str">
        <f>"3차"</f>
        <v>3차</v>
      </c>
      <c r="D17344" s="1" t="str">
        <f>"0026E42239"</f>
        <v>0026E42239</v>
      </c>
      <c r="E17344" s="1" t="s">
        <v>10</v>
      </c>
      <c r="F17344" s="1" t="str">
        <f>"10.11.25.194"</f>
        <v>10.11.25.194</v>
      </c>
      <c r="G17344" s="1" t="str">
        <f>"0026E422"</f>
        <v>0026E422</v>
      </c>
      <c r="H17344" s="1" t="str">
        <f>"동숭동간 16"</f>
        <v>동숭동간 16</v>
      </c>
      <c r="I17344" s="1" t="s">
        <v>8</v>
      </c>
      <c r="J17344" s="1" t="str">
        <f>"19/20"</f>
        <v>19/20</v>
      </c>
      <c r="K17344" s="1" t="str">
        <f>"2026-07-29 13:18:00"</f>
        <v>2026-07-29 13:18:00</v>
      </c>
      <c r="L17344" s="1" t="str">
        <f>"2017-12-09 15:36:30"</f>
        <v>2017-12-09 15:36:30</v>
      </c>
      <c r="M17344" s="1" t="s">
        <v>2</v>
      </c>
      <c r="N17344" s="1" t="s">
        <v>38</v>
      </c>
      <c r="O17344" s="1" t="s">
        <v>46</v>
      </c>
    </row>
    <row r="17345" spans="2:15" x14ac:dyDescent="0.3">
      <c r="B17345" s="1" t="s">
        <v>13</v>
      </c>
      <c r="C17345" s="1" t="str">
        <f>"4차"</f>
        <v>4차</v>
      </c>
      <c r="D17345" s="1" t="str">
        <f>"0026E44939"</f>
        <v>0026E44939</v>
      </c>
      <c r="E17345" s="1" t="s">
        <v>10</v>
      </c>
      <c r="F17345" s="1" t="str">
        <f>"10.12.131.223"</f>
        <v>10.12.131.223</v>
      </c>
      <c r="G17345" s="1" t="str">
        <f>"0026E449"</f>
        <v>0026E449</v>
      </c>
      <c r="H17345" s="1" t="str">
        <f>"이화로 6-1"</f>
        <v>이화로 6-1</v>
      </c>
      <c r="I17345" s="1" t="s">
        <v>17</v>
      </c>
      <c r="J17345" s="1" t="str">
        <f>"16/16"</f>
        <v>16/16</v>
      </c>
      <c r="K17345" s="1" t="str">
        <f>"2026-07-29 13:18:02"</f>
        <v>2026-07-29 13:18:02</v>
      </c>
      <c r="L17345" s="1" t="str">
        <f>"2018-10-19 09:32:39"</f>
        <v>2018-10-19 09:32:39</v>
      </c>
      <c r="M17345" s="1" t="s">
        <v>0</v>
      </c>
      <c r="N17345" s="1" t="s">
        <v>38</v>
      </c>
      <c r="O17345" s="1" t="s">
        <v>46</v>
      </c>
    </row>
    <row r="17346" spans="2:15" x14ac:dyDescent="0.3">
      <c r="B17346" s="1" t="s">
        <v>13</v>
      </c>
      <c r="C17346" s="1" t="str">
        <f>"3차"</f>
        <v>3차</v>
      </c>
      <c r="D17346" s="1" t="str">
        <f>"0026E50139"</f>
        <v>0026E50139</v>
      </c>
      <c r="E17346" s="1" t="s">
        <v>10</v>
      </c>
      <c r="F17346" s="1" t="str">
        <f>"10.11.31.210"</f>
        <v>10.11.31.210</v>
      </c>
      <c r="G17346" s="1" t="str">
        <f>"0026E501"</f>
        <v>0026E501</v>
      </c>
      <c r="H17346" s="1" t="str">
        <f>"동숭동간 13"</f>
        <v>동숭동간 13</v>
      </c>
      <c r="I17346" s="1" t="s">
        <v>8</v>
      </c>
      <c r="J17346" s="1" t="str">
        <f>"107/107"</f>
        <v>107/107</v>
      </c>
      <c r="K17346" s="1" t="str">
        <f>"2026-07-29 13:18:00"</f>
        <v>2026-07-29 13:18:00</v>
      </c>
      <c r="L17346" s="1" t="str">
        <f>"2018-02-12 14:37:40"</f>
        <v>2018-02-12 14:37:40</v>
      </c>
      <c r="M17346" s="1" t="s">
        <v>2</v>
      </c>
      <c r="N17346" s="1" t="s">
        <v>38</v>
      </c>
      <c r="O17346" s="1" t="s">
        <v>46</v>
      </c>
    </row>
    <row r="17347" spans="2:15" x14ac:dyDescent="0.3">
      <c r="B17347" s="1" t="s">
        <v>13</v>
      </c>
      <c r="C17347" s="1" t="str">
        <f>"4차"</f>
        <v>4차</v>
      </c>
      <c r="D17347" s="1" t="str">
        <f>"0026E51339"</f>
        <v>0026E51339</v>
      </c>
      <c r="E17347" s="1" t="s">
        <v>10</v>
      </c>
      <c r="F17347" s="1" t="str">
        <f>"10.11.13.162"</f>
        <v>10.11.13.162</v>
      </c>
      <c r="G17347" s="1" t="str">
        <f>"0026E513"</f>
        <v>0026E513</v>
      </c>
      <c r="H17347" s="1" t="str">
        <f>"동숭동간 15R1H1"</f>
        <v>동숭동간 15R1H1</v>
      </c>
      <c r="I17347" s="1" t="s">
        <v>8</v>
      </c>
      <c r="J17347" s="1" t="str">
        <f>"14/14"</f>
        <v>14/14</v>
      </c>
      <c r="K17347" s="1" t="str">
        <f>"2026-07-29 13:18:00"</f>
        <v>2026-07-29 13:18:00</v>
      </c>
      <c r="L17347" s="1" t="str">
        <f>"2018-02-26 18:30:36"</f>
        <v>2018-02-26 18:30:36</v>
      </c>
      <c r="M17347" s="1" t="s">
        <v>2</v>
      </c>
      <c r="N17347" s="1" t="s">
        <v>38</v>
      </c>
      <c r="O17347" s="1" t="s">
        <v>46</v>
      </c>
    </row>
    <row r="17348" spans="2:15" x14ac:dyDescent="0.3">
      <c r="B17348" s="1" t="s">
        <v>13</v>
      </c>
      <c r="C17348" s="1" t="str">
        <f>"3차"</f>
        <v>3차</v>
      </c>
      <c r="D17348" s="1" t="str">
        <f>"0026E52139"</f>
        <v>0026E52139</v>
      </c>
      <c r="E17348" s="1" t="s">
        <v>10</v>
      </c>
      <c r="F17348" s="1" t="str">
        <f>"10.11.32.26"</f>
        <v>10.11.32.26</v>
      </c>
      <c r="G17348" s="1" t="str">
        <f>"0026E521"</f>
        <v>0026E521</v>
      </c>
      <c r="H17348" s="1" t="str">
        <f>"동숭동간 15R2"</f>
        <v>동숭동간 15R2</v>
      </c>
      <c r="I17348" s="1" t="s">
        <v>8</v>
      </c>
      <c r="J17348" s="1" t="str">
        <f>"18/22"</f>
        <v>18/22</v>
      </c>
      <c r="K17348" s="1" t="str">
        <f>"2026-07-29 13:18:00"</f>
        <v>2026-07-29 13:18:00</v>
      </c>
      <c r="L17348" s="1" t="str">
        <f>"2018-02-12 08:06:38"</f>
        <v>2018-02-12 08:06:38</v>
      </c>
      <c r="M17348" s="1" t="s">
        <v>2</v>
      </c>
      <c r="N17348" s="1" t="s">
        <v>38</v>
      </c>
      <c r="O17348" s="1" t="s">
        <v>46</v>
      </c>
    </row>
    <row r="17349" spans="2:15" x14ac:dyDescent="0.3">
      <c r="B17349" s="1" t="s">
        <v>13</v>
      </c>
      <c r="C17349" s="1" t="str">
        <f>"5-1차"</f>
        <v>5-1차</v>
      </c>
      <c r="D17349" s="1" t="str">
        <f>"0026E6335M"</f>
        <v>0026E6335M</v>
      </c>
      <c r="E17349" s="1" t="s">
        <v>10</v>
      </c>
      <c r="F17349" s="1" t="str">
        <f>"fde3:102:1304:3800:0:0:0:2"</f>
        <v>fde3:102:1304:3800:0:0:0:2</v>
      </c>
      <c r="G17349" s="1" t="str">
        <f>"0026E633"</f>
        <v>0026E633</v>
      </c>
      <c r="H17349" s="1" t="str">
        <f>"동숭동간 21R1"</f>
        <v>동숭동간 21R1</v>
      </c>
      <c r="I17349" s="1" t="s">
        <v>15</v>
      </c>
      <c r="J17349" s="1" t="str">
        <f>"34/34"</f>
        <v>34/34</v>
      </c>
      <c r="K17349" s="1" t="str">
        <f>"2026-07-29 14:20:06"</f>
        <v>2026-07-29 14:20:06</v>
      </c>
      <c r="L17349" s="1" t="str">
        <f>"2022-11-30 15:24:10"</f>
        <v>2022-11-30 15:24:10</v>
      </c>
      <c r="M17349" s="1" t="s">
        <v>45</v>
      </c>
      <c r="N17349" s="1" t="s">
        <v>38</v>
      </c>
      <c r="O17349" s="1" t="s">
        <v>46</v>
      </c>
    </row>
    <row r="17350" spans="2:15" x14ac:dyDescent="0.3">
      <c r="B17350" s="1" t="s">
        <v>13</v>
      </c>
      <c r="C17350" s="1" t="str">
        <f>"5-1차"</f>
        <v>5-1차</v>
      </c>
      <c r="D17350" s="1" t="str">
        <f>"0026E6515M"</f>
        <v>0026E6515M</v>
      </c>
      <c r="E17350" s="1" t="s">
        <v>10</v>
      </c>
      <c r="F17350" s="1" t="str">
        <f>"fde3:102:1304:3200:0:0:0:2"</f>
        <v>fde3:102:1304:3200:0:0:0:2</v>
      </c>
      <c r="G17350" s="1" t="str">
        <f>"0026E651"</f>
        <v>0026E651</v>
      </c>
      <c r="H17350" s="1" t="str">
        <f>"동숭동간 24"</f>
        <v>동숭동간 24</v>
      </c>
      <c r="I17350" s="1" t="s">
        <v>15</v>
      </c>
      <c r="J17350" s="1" t="str">
        <f>"26/26"</f>
        <v>26/26</v>
      </c>
      <c r="K17350" s="1" t="str">
        <f>"2026-07-29 14:20:06"</f>
        <v>2026-07-29 14:20:06</v>
      </c>
      <c r="L17350" s="1" t="str">
        <f>"2022-11-30 15:20:11"</f>
        <v>2022-11-30 15:20:11</v>
      </c>
      <c r="M17350" s="1" t="s">
        <v>45</v>
      </c>
      <c r="N17350" s="1" t="s">
        <v>38</v>
      </c>
      <c r="O17350" s="1" t="s">
        <v>46</v>
      </c>
    </row>
    <row r="17351" spans="2:15" x14ac:dyDescent="0.3">
      <c r="B17351" s="1" t="s">
        <v>13</v>
      </c>
      <c r="C17351" s="1" t="str">
        <f>"2차"</f>
        <v>2차</v>
      </c>
      <c r="D17351" s="1" t="str">
        <f>"0026E67320"</f>
        <v>0026E67320</v>
      </c>
      <c r="E17351" s="1" t="s">
        <v>10</v>
      </c>
      <c r="F17351" s="1" t="str">
        <f>"10.11.1.106"</f>
        <v>10.11.1.106</v>
      </c>
      <c r="G17351" s="1" t="str">
        <f>"0026E673"</f>
        <v>0026E673</v>
      </c>
      <c r="H17351" s="1" t="str">
        <f>"동숭동간 28"</f>
        <v>동숭동간 28</v>
      </c>
      <c r="I17351" s="1" t="s">
        <v>8</v>
      </c>
      <c r="J17351" s="1" t="str">
        <f>"6/6"</f>
        <v>6/6</v>
      </c>
      <c r="K17351" s="1" t="str">
        <f>"2026-07-29 13:18:00"</f>
        <v>2026-07-29 13:18:00</v>
      </c>
      <c r="L17351" s="1" t="str">
        <f>"2017-06-23 11:34:07"</f>
        <v>2017-06-23 11:34:07</v>
      </c>
      <c r="M17351" s="1" t="s">
        <v>2</v>
      </c>
      <c r="N17351" s="1" t="s">
        <v>38</v>
      </c>
      <c r="O17351" s="1" t="s">
        <v>46</v>
      </c>
    </row>
    <row r="17352" spans="2:15" x14ac:dyDescent="0.3">
      <c r="B17352" s="1" t="s">
        <v>13</v>
      </c>
      <c r="C17352" s="1" t="str">
        <f>"5-1차"</f>
        <v>5-1차</v>
      </c>
      <c r="D17352" s="1" t="str">
        <f>"0026E7415S"</f>
        <v>0026E7415S</v>
      </c>
      <c r="E17352" s="1" t="s">
        <v>10</v>
      </c>
      <c r="F17352" s="1" t="str">
        <f>"fde2:104:0:197:0:0:0:2"</f>
        <v>fde2:104:0:197:0:0:0:2</v>
      </c>
      <c r="G17352" s="1" t="str">
        <f>"0026E741"</f>
        <v>0026E741</v>
      </c>
      <c r="H17352" s="1" t="str">
        <f>"동숭동간 23R1"</f>
        <v>동숭동간 23R1</v>
      </c>
      <c r="I17352" s="1" t="s">
        <v>15</v>
      </c>
      <c r="J17352" s="1" t="str">
        <f>"58/58"</f>
        <v>58/58</v>
      </c>
      <c r="K17352" s="1" t="str">
        <f>"2026-07-29 14:20:06"</f>
        <v>2026-07-29 14:20:06</v>
      </c>
      <c r="L17352" s="1" t="str">
        <f>"2022-11-16 13:01:34"</f>
        <v>2022-11-16 13:01:34</v>
      </c>
      <c r="M17352" s="1" t="s">
        <v>42</v>
      </c>
      <c r="N17352" s="1" t="s">
        <v>38</v>
      </c>
      <c r="O17352" s="1" t="s">
        <v>46</v>
      </c>
    </row>
    <row r="17353" spans="2:15" x14ac:dyDescent="0.3">
      <c r="B17353" s="1" t="s">
        <v>13</v>
      </c>
      <c r="C17353" s="1" t="str">
        <f>"5-1차"</f>
        <v>5-1차</v>
      </c>
      <c r="D17353" s="1" t="str">
        <f>"0026E7545M"</f>
        <v>0026E7545M</v>
      </c>
      <c r="E17353" s="1" t="s">
        <v>10</v>
      </c>
      <c r="F17353" s="1" t="str">
        <f>"fde3:102:1304:3102:0:0:0:2"</f>
        <v>fde3:102:1304:3102:0:0:0:2</v>
      </c>
      <c r="G17353" s="1" t="str">
        <f>"0026E754"</f>
        <v>0026E754</v>
      </c>
      <c r="H17353" s="1" t="str">
        <f>"동숭동간 24R1H1"</f>
        <v>동숭동간 24R1H1</v>
      </c>
      <c r="I17353" s="1" t="s">
        <v>15</v>
      </c>
      <c r="J17353" s="1" t="str">
        <f>"59/59"</f>
        <v>59/59</v>
      </c>
      <c r="K17353" s="1" t="str">
        <f>"2026-07-29 14:20:06"</f>
        <v>2026-07-29 14:20:06</v>
      </c>
      <c r="L17353" s="1" t="str">
        <f>"2022-11-30 15:19:18"</f>
        <v>2022-11-30 15:19:18</v>
      </c>
      <c r="M17353" s="1" t="s">
        <v>45</v>
      </c>
      <c r="N17353" s="1" t="s">
        <v>38</v>
      </c>
      <c r="O17353" s="1" t="s">
        <v>46</v>
      </c>
    </row>
    <row r="17354" spans="2:15" x14ac:dyDescent="0.3">
      <c r="B17354" s="1" t="s">
        <v>13</v>
      </c>
      <c r="C17354" s="1" t="str">
        <f>"2차"</f>
        <v>2차</v>
      </c>
      <c r="D17354" s="1" t="str">
        <f>"0026E77220"</f>
        <v>0026E77220</v>
      </c>
      <c r="E17354" s="1" t="s">
        <v>10</v>
      </c>
      <c r="F17354" s="1" t="str">
        <f>"10.11.1.90"</f>
        <v>10.11.1.90</v>
      </c>
      <c r="G17354" s="1" t="str">
        <f>"0026E772"</f>
        <v>0026E772</v>
      </c>
      <c r="H17354" s="1" t="str">
        <f>"동숭동간 27R2"</f>
        <v>동숭동간 27R2</v>
      </c>
      <c r="I17354" s="1" t="s">
        <v>8</v>
      </c>
      <c r="J17354" s="1" t="str">
        <f>"68/68"</f>
        <v>68/68</v>
      </c>
      <c r="K17354" s="1" t="str">
        <f>"2026-07-29 13:18:00"</f>
        <v>2026-07-29 13:18:00</v>
      </c>
      <c r="L17354" s="1" t="str">
        <f>"2017-06-23 10:37:07"</f>
        <v>2017-06-23 10:37:07</v>
      </c>
      <c r="M17354" s="1" t="s">
        <v>2</v>
      </c>
      <c r="N17354" s="1" t="s">
        <v>38</v>
      </c>
      <c r="O17354" s="1" t="s">
        <v>46</v>
      </c>
    </row>
    <row r="17355" spans="2:15" x14ac:dyDescent="0.3">
      <c r="B17355" s="1" t="s">
        <v>13</v>
      </c>
      <c r="C17355" s="1" t="str">
        <f>"2차"</f>
        <v>2차</v>
      </c>
      <c r="D17355" s="1" t="str">
        <f>"0026E77321"</f>
        <v>0026E77321</v>
      </c>
      <c r="E17355" s="1" t="s">
        <v>10</v>
      </c>
      <c r="F17355" s="1" t="str">
        <f>"10.11.1.107"</f>
        <v>10.11.1.107</v>
      </c>
      <c r="G17355" s="1" t="str">
        <f>"0026E773"</f>
        <v>0026E773</v>
      </c>
      <c r="H17355" s="1" t="str">
        <f>"동숭동간 28R1"</f>
        <v>동숭동간 28R1</v>
      </c>
      <c r="I17355" s="1" t="s">
        <v>8</v>
      </c>
      <c r="J17355" s="1" t="str">
        <f>"63/63"</f>
        <v>63/63</v>
      </c>
      <c r="K17355" s="1" t="str">
        <f>"2026-07-29 13:18:00"</f>
        <v>2026-07-29 13:18:00</v>
      </c>
      <c r="L17355" s="1" t="str">
        <f>"2017-06-23 11:40:52"</f>
        <v>2017-06-23 11:40:52</v>
      </c>
      <c r="M17355" s="1" t="s">
        <v>2</v>
      </c>
      <c r="N17355" s="1" t="s">
        <v>38</v>
      </c>
      <c r="O17355" s="1" t="s">
        <v>46</v>
      </c>
    </row>
    <row r="17356" spans="2:15" x14ac:dyDescent="0.3">
      <c r="B17356" s="1" t="s">
        <v>13</v>
      </c>
      <c r="C17356" s="1" t="str">
        <f>"5-1차"</f>
        <v>5-1차</v>
      </c>
      <c r="D17356" s="1" t="str">
        <f>"0026E8115M"</f>
        <v>0026E8115M</v>
      </c>
      <c r="E17356" s="1" t="s">
        <v>10</v>
      </c>
      <c r="F17356" s="1" t="str">
        <f>"fde3:102:1304:3100:0:0:0:5"</f>
        <v>fde3:102:1304:3100:0:0:0:5</v>
      </c>
      <c r="G17356" s="1" t="str">
        <f>"0026E811"</f>
        <v>0026E811</v>
      </c>
      <c r="H17356" s="1" t="str">
        <f>"동숭동간 17R5L2R2"</f>
        <v>동숭동간 17R5L2R2</v>
      </c>
      <c r="I17356" s="1" t="s">
        <v>15</v>
      </c>
      <c r="J17356" s="1" t="str">
        <f>"60/60"</f>
        <v>60/60</v>
      </c>
      <c r="K17356" s="1" t="str">
        <f>"2026-07-29 14:20:06"</f>
        <v>2026-07-29 14:20:06</v>
      </c>
      <c r="L17356" s="1" t="str">
        <f>"2022-11-30 15:04:43"</f>
        <v>2022-11-30 15:04:43</v>
      </c>
      <c r="M17356" s="1" t="s">
        <v>45</v>
      </c>
      <c r="N17356" s="1" t="s">
        <v>38</v>
      </c>
      <c r="O17356" s="1" t="s">
        <v>46</v>
      </c>
    </row>
    <row r="17357" spans="2:15" x14ac:dyDescent="0.3">
      <c r="B17357" s="1" t="s">
        <v>13</v>
      </c>
      <c r="C17357" s="1" t="str">
        <f>"5-1차"</f>
        <v>5-1차</v>
      </c>
      <c r="D17357" s="1" t="str">
        <f>"0026E8225M"</f>
        <v>0026E8225M</v>
      </c>
      <c r="E17357" s="1" t="s">
        <v>10</v>
      </c>
      <c r="F17357" s="1" t="str">
        <f>"fde3:102:1304:3900:0:0:0:2"</f>
        <v>fde3:102:1304:3900:0:0:0:2</v>
      </c>
      <c r="G17357" s="1" t="str">
        <f>"0026E822"</f>
        <v>0026E822</v>
      </c>
      <c r="H17357" s="1" t="str">
        <f>"동숭동간 17R5L2R1"</f>
        <v>동숭동간 17R5L2R1</v>
      </c>
      <c r="I17357" s="1" t="s">
        <v>15</v>
      </c>
      <c r="J17357" s="1" t="str">
        <f>"40/41"</f>
        <v>40/41</v>
      </c>
      <c r="K17357" s="1" t="str">
        <f>"2026-07-29 14:20:06"</f>
        <v>2026-07-29 14:20:06</v>
      </c>
      <c r="L17357" s="1" t="str">
        <f>"2022-11-30 15:23:30"</f>
        <v>2022-11-30 15:23:30</v>
      </c>
      <c r="M17357" s="1" t="s">
        <v>45</v>
      </c>
      <c r="N17357" s="1" t="s">
        <v>38</v>
      </c>
      <c r="O17357" s="1" t="s">
        <v>46</v>
      </c>
    </row>
    <row r="17358" spans="2:15" x14ac:dyDescent="0.3">
      <c r="B17358" s="1" t="s">
        <v>13</v>
      </c>
      <c r="C17358" s="1" t="str">
        <f>"5-1차"</f>
        <v>5-1차</v>
      </c>
      <c r="D17358" s="1" t="str">
        <f>"0026E8235M"</f>
        <v>0026E8235M</v>
      </c>
      <c r="E17358" s="1" t="s">
        <v>10</v>
      </c>
      <c r="F17358" s="1" t="str">
        <f>"fde2:104:0:1b6:0:0:0:2"</f>
        <v>fde2:104:0:1b6:0:0:0:2</v>
      </c>
      <c r="G17358" s="1" t="str">
        <f>"0026E823"</f>
        <v>0026E823</v>
      </c>
      <c r="H17358" s="1" t="str">
        <f>"동숭동간 17R5L1"</f>
        <v>동숭동간 17R5L1</v>
      </c>
      <c r="I17358" s="1" t="s">
        <v>15</v>
      </c>
      <c r="J17358" s="1" t="str">
        <f>"32/32"</f>
        <v>32/32</v>
      </c>
      <c r="K17358" s="1" t="str">
        <f>"2026-07-29 14:20:08"</f>
        <v>2026-07-29 14:20:08</v>
      </c>
      <c r="L17358" s="1" t="str">
        <f>"2022-12-20 15:01:57"</f>
        <v>2022-12-20 15:01:57</v>
      </c>
      <c r="M17358" s="1" t="s">
        <v>42</v>
      </c>
      <c r="N17358" s="1" t="s">
        <v>38</v>
      </c>
      <c r="O17358" s="1" t="s">
        <v>46</v>
      </c>
    </row>
    <row r="17359" spans="2:15" x14ac:dyDescent="0.3">
      <c r="B17359" s="1" t="s">
        <v>13</v>
      </c>
      <c r="C17359" s="1" t="str">
        <f>"5-1차"</f>
        <v>5-1차</v>
      </c>
      <c r="D17359" s="1" t="str">
        <f>"0026E8515M"</f>
        <v>0026E8515M</v>
      </c>
      <c r="E17359" s="1" t="s">
        <v>10</v>
      </c>
      <c r="F17359" s="1" t="str">
        <f>"fde3:102:1304:3100:0:0:0:2"</f>
        <v>fde3:102:1304:3100:0:0:0:2</v>
      </c>
      <c r="G17359" s="1" t="str">
        <f>"0026E851"</f>
        <v>0026E851</v>
      </c>
      <c r="H17359" s="1" t="str">
        <f>"동숭동간 24R2"</f>
        <v>동숭동간 24R2</v>
      </c>
      <c r="I17359" s="1" t="s">
        <v>15</v>
      </c>
      <c r="J17359" s="1" t="str">
        <f>"20/20"</f>
        <v>20/20</v>
      </c>
      <c r="K17359" s="1" t="str">
        <f>"2026-07-29 14:20:16"</f>
        <v>2026-07-29 14:20:16</v>
      </c>
      <c r="L17359" s="1" t="str">
        <f>"2022-11-30 15:12:36"</f>
        <v>2022-11-30 15:12:36</v>
      </c>
      <c r="M17359" s="1" t="s">
        <v>45</v>
      </c>
      <c r="N17359" s="1" t="s">
        <v>38</v>
      </c>
      <c r="O17359" s="1" t="s">
        <v>46</v>
      </c>
    </row>
    <row r="17360" spans="2:15" x14ac:dyDescent="0.3">
      <c r="B17360" s="1" t="s">
        <v>13</v>
      </c>
      <c r="C17360" s="1" t="str">
        <f>"2차"</f>
        <v>2차</v>
      </c>
      <c r="D17360" s="1" t="str">
        <f>"0026E87421"</f>
        <v>0026E87421</v>
      </c>
      <c r="E17360" s="1" t="s">
        <v>10</v>
      </c>
      <c r="F17360" s="1" t="str">
        <f>"10.11.44.170"</f>
        <v>10.11.44.170</v>
      </c>
      <c r="G17360" s="1" t="str">
        <f>"0026E874"</f>
        <v>0026E874</v>
      </c>
      <c r="H17360" s="1" t="str">
        <f>"동숭동간 27R3"</f>
        <v>동숭동간 27R3</v>
      </c>
      <c r="I17360" s="1" t="s">
        <v>8</v>
      </c>
      <c r="J17360" s="1" t="str">
        <f>"31/31"</f>
        <v>31/31</v>
      </c>
      <c r="K17360" s="1" t="str">
        <f>"2026-07-29 13:18:00"</f>
        <v>2026-07-29 13:18:00</v>
      </c>
      <c r="L17360" s="1" t="str">
        <f>"2021-07-27 13:39:50"</f>
        <v>2021-07-27 13:39:50</v>
      </c>
      <c r="M17360" s="1" t="s">
        <v>2</v>
      </c>
      <c r="N17360" s="1" t="s">
        <v>38</v>
      </c>
      <c r="O17360" s="1" t="s">
        <v>46</v>
      </c>
    </row>
    <row r="17361" spans="2:15" x14ac:dyDescent="0.3">
      <c r="B17361" s="1" t="s">
        <v>13</v>
      </c>
      <c r="C17361" s="1" t="s">
        <v>16</v>
      </c>
      <c r="D17361" s="1" t="str">
        <f>"0026E90241"</f>
        <v>0026E90241</v>
      </c>
      <c r="E17361" s="1" t="s">
        <v>10</v>
      </c>
      <c r="F17361" s="1" t="str">
        <f>"10.14.1.129"</f>
        <v>10.14.1.129</v>
      </c>
      <c r="G17361" s="1" t="str">
        <f>"0026E902"</f>
        <v>0026E902</v>
      </c>
      <c r="H17361" s="1" t="str">
        <f>"동숭동간 17R5L2R4"</f>
        <v>동숭동간 17R5L2R4</v>
      </c>
      <c r="I17361" s="1" t="s">
        <v>17</v>
      </c>
      <c r="J17361" s="1" t="str">
        <f>"51/52"</f>
        <v>51/52</v>
      </c>
      <c r="K17361" s="1" t="str">
        <f>"2026-07-29 13:18:02"</f>
        <v>2026-07-29 13:18:02</v>
      </c>
      <c r="L17361" s="1" t="str">
        <f>"2022-11-24 17:16:06"</f>
        <v>2022-11-24 17:16:06</v>
      </c>
      <c r="M17361" s="1" t="s">
        <v>3</v>
      </c>
      <c r="N17361" s="1" t="s">
        <v>38</v>
      </c>
      <c r="O17361" s="1" t="s">
        <v>46</v>
      </c>
    </row>
    <row r="17362" spans="2:15" x14ac:dyDescent="0.3">
      <c r="B17362" s="1" t="s">
        <v>13</v>
      </c>
      <c r="C17362" s="1" t="str">
        <f>"5-2차"</f>
        <v>5-2차</v>
      </c>
      <c r="D17362" s="1" t="str">
        <f>"0026E9315M"</f>
        <v>0026E9315M</v>
      </c>
      <c r="E17362" s="1" t="s">
        <v>10</v>
      </c>
      <c r="F17362" s="1" t="str">
        <f>"fde3:102:1304:3c00:0:0:0:2"</f>
        <v>fde3:102:1304:3c00:0:0:0:2</v>
      </c>
      <c r="G17362" s="1" t="str">
        <f>"0026E931"</f>
        <v>0026E931</v>
      </c>
      <c r="H17362" s="1" t="str">
        <f>"동숭동간 17R5L4"</f>
        <v>동숭동간 17R5L4</v>
      </c>
      <c r="I17362" s="1" t="s">
        <v>15</v>
      </c>
      <c r="J17362" s="1" t="str">
        <f>"43/43"</f>
        <v>43/43</v>
      </c>
      <c r="K17362" s="1" t="str">
        <f>"2026-07-29 14:20:06"</f>
        <v>2026-07-29 14:20:06</v>
      </c>
      <c r="L17362" s="1" t="str">
        <f>"2023-06-13 17:41:11"</f>
        <v>2023-06-13 17:41:11</v>
      </c>
      <c r="M17362" s="1" t="s">
        <v>45</v>
      </c>
      <c r="N17362" s="1" t="s">
        <v>38</v>
      </c>
      <c r="O17362" s="1" t="s">
        <v>46</v>
      </c>
    </row>
    <row r="17363" spans="2:15" x14ac:dyDescent="0.3">
      <c r="B17363" s="1" t="s">
        <v>13</v>
      </c>
      <c r="C17363" s="1" t="str">
        <f>"4차"</f>
        <v>4차</v>
      </c>
      <c r="D17363" s="1" t="str">
        <f>"0026E97129"</f>
        <v>0026E97129</v>
      </c>
      <c r="E17363" s="1" t="s">
        <v>10</v>
      </c>
      <c r="F17363" s="1" t="str">
        <f>"10.26.1.2"</f>
        <v>10.26.1.2</v>
      </c>
      <c r="G17363" s="1" t="str">
        <f>"0026E971"</f>
        <v>0026E971</v>
      </c>
      <c r="H17363" s="1" t="str">
        <f>"동숭동간 27R6"</f>
        <v>동숭동간 27R6</v>
      </c>
      <c r="I17363" s="1" t="s">
        <v>8</v>
      </c>
      <c r="J17363" s="1" t="str">
        <f>"41/41"</f>
        <v>41/41</v>
      </c>
      <c r="K17363" s="1" t="str">
        <f>"2026-07-29 13:18:00"</f>
        <v>2026-07-29 13:18:00</v>
      </c>
      <c r="L17363" s="1" t="str">
        <f>"2017-07-24 10:05:53"</f>
        <v>2017-07-24 10:05:53</v>
      </c>
      <c r="M17363" s="1" t="s">
        <v>45</v>
      </c>
      <c r="N17363" s="1" t="s">
        <v>38</v>
      </c>
      <c r="O17363" s="1" t="s">
        <v>46</v>
      </c>
    </row>
    <row r="17364" spans="2:15" x14ac:dyDescent="0.3">
      <c r="B17364" s="1" t="s">
        <v>13</v>
      </c>
      <c r="C17364" s="1" t="str">
        <f>"4차"</f>
        <v>4차</v>
      </c>
      <c r="D17364" s="1" t="str">
        <f>"0026E98229"</f>
        <v>0026E98229</v>
      </c>
      <c r="E17364" s="1" t="s">
        <v>10</v>
      </c>
      <c r="F17364" s="1" t="str">
        <f>"10.11.1.98"</f>
        <v>10.11.1.98</v>
      </c>
      <c r="G17364" s="1" t="str">
        <f>"0026E982"</f>
        <v>0026E982</v>
      </c>
      <c r="H17364" s="1" t="str">
        <f>"동숭동간 27R7"</f>
        <v>동숭동간 27R7</v>
      </c>
      <c r="I17364" s="1" t="s">
        <v>8</v>
      </c>
      <c r="J17364" s="1" t="str">
        <f>"31/31"</f>
        <v>31/31</v>
      </c>
      <c r="K17364" s="1" t="str">
        <f>"2026-07-29 13:18:00"</f>
        <v>2026-07-29 13:18:00</v>
      </c>
      <c r="L17364" s="1" t="str">
        <f>"2017-06-22 08:01:07"</f>
        <v>2017-06-22 08:01:07</v>
      </c>
      <c r="M17364" s="1" t="s">
        <v>2</v>
      </c>
      <c r="N17364" s="1" t="s">
        <v>38</v>
      </c>
      <c r="O17364" s="1" t="s">
        <v>46</v>
      </c>
    </row>
    <row r="17365" spans="2:15" x14ac:dyDescent="0.3">
      <c r="B17365" s="1" t="s">
        <v>13</v>
      </c>
      <c r="C17365" s="1" t="str">
        <f>"5-2차"</f>
        <v>5-2차</v>
      </c>
      <c r="D17365" s="1" t="str">
        <f>"0026F0245S"</f>
        <v>0026F0245S</v>
      </c>
      <c r="E17365" s="1" t="s">
        <v>10</v>
      </c>
      <c r="F17365" s="1" t="str">
        <f>"fde1:103:4:56ac:0:0:0:2"</f>
        <v>fde1:103:4:56ac:0:0:0:2</v>
      </c>
      <c r="G17365" s="1" t="str">
        <f>"0026F024"</f>
        <v>0026F024</v>
      </c>
      <c r="H17365" s="1" t="str">
        <f>"동숭동간 17R5L6R2"</f>
        <v>동숭동간 17R5L6R2</v>
      </c>
      <c r="I17365" s="1" t="s">
        <v>15</v>
      </c>
      <c r="J17365" s="1" t="str">
        <f>"69/69"</f>
        <v>69/69</v>
      </c>
      <c r="K17365" s="1" t="str">
        <f>"2026-07-29 14:20:06"</f>
        <v>2026-07-29 14:20:06</v>
      </c>
      <c r="L17365" s="1" t="str">
        <f>"2023-08-23 09:29:01"</f>
        <v>2023-08-23 09:29:01</v>
      </c>
      <c r="M17365" s="1" t="s">
        <v>4</v>
      </c>
      <c r="N17365" s="1" t="s">
        <v>38</v>
      </c>
      <c r="O17365" s="1" t="s">
        <v>46</v>
      </c>
    </row>
    <row r="17366" spans="2:15" x14ac:dyDescent="0.3">
      <c r="B17366" s="1" t="s">
        <v>13</v>
      </c>
      <c r="C17366" s="1" t="str">
        <f>"5-1차"</f>
        <v>5-1차</v>
      </c>
      <c r="D17366" s="1" t="str">
        <f>"0026F0315M"</f>
        <v>0026F0315M</v>
      </c>
      <c r="E17366" s="1" t="s">
        <v>10</v>
      </c>
      <c r="F17366" s="1" t="str">
        <f>"fde2:104:0:1a0:0:0:0:2"</f>
        <v>fde2:104:0:1a0:0:0:0:2</v>
      </c>
      <c r="G17366" s="1" t="str">
        <f>"0026F031"</f>
        <v>0026F031</v>
      </c>
      <c r="H17366" s="1" t="str">
        <f>"동숭동간 17R5L6R1"</f>
        <v>동숭동간 17R5L6R1</v>
      </c>
      <c r="I17366" s="1" t="s">
        <v>15</v>
      </c>
      <c r="J17366" s="1" t="str">
        <f>"44/44"</f>
        <v>44/44</v>
      </c>
      <c r="K17366" s="1" t="str">
        <f>"2026-07-29 14:20:07"</f>
        <v>2026-07-29 14:20:07</v>
      </c>
      <c r="L17366" s="1" t="str">
        <f>"2022-12-23 15:01:56"</f>
        <v>2022-12-23 15:01:56</v>
      </c>
      <c r="M17366" s="1" t="s">
        <v>42</v>
      </c>
      <c r="N17366" s="1" t="s">
        <v>38</v>
      </c>
      <c r="O17366" s="1" t="s">
        <v>46</v>
      </c>
    </row>
    <row r="17367" spans="2:15" x14ac:dyDescent="0.3">
      <c r="B17367" s="1" t="s">
        <v>13</v>
      </c>
      <c r="C17367" s="1" t="str">
        <f>"5-2차"</f>
        <v>5-2차</v>
      </c>
      <c r="D17367" s="1" t="str">
        <f>"0026F0335M"</f>
        <v>0026F0335M</v>
      </c>
      <c r="E17367" s="1" t="s">
        <v>10</v>
      </c>
      <c r="F17367" s="1" t="str">
        <f>"fde2:104:0:18d:0:0:0:2"</f>
        <v>fde2:104:0:18d:0:0:0:2</v>
      </c>
      <c r="G17367" s="1" t="str">
        <f>"0026F033"</f>
        <v>0026F033</v>
      </c>
      <c r="H17367" s="1" t="str">
        <f>"동숭동간 17R5L6"</f>
        <v>동숭동간 17R5L6</v>
      </c>
      <c r="I17367" s="1" t="s">
        <v>15</v>
      </c>
      <c r="J17367" s="1" t="str">
        <f>"74/74"</f>
        <v>74/74</v>
      </c>
      <c r="K17367" s="1" t="str">
        <f>"2026-07-29 14:20:07"</f>
        <v>2026-07-29 14:20:07</v>
      </c>
      <c r="L17367" s="1" t="str">
        <f>"2023-05-23 12:39:34"</f>
        <v>2023-05-23 12:39:34</v>
      </c>
      <c r="M17367" s="1" t="s">
        <v>42</v>
      </c>
      <c r="N17367" s="1" t="s">
        <v>38</v>
      </c>
      <c r="O17367" s="1" t="s">
        <v>46</v>
      </c>
    </row>
    <row r="17368" spans="2:15" x14ac:dyDescent="0.3">
      <c r="B17368" s="1" t="s">
        <v>13</v>
      </c>
      <c r="C17368" s="1" t="str">
        <f>"5-2차"</f>
        <v>5-2차</v>
      </c>
      <c r="D17368" s="1" t="str">
        <f>"0026F0625M"</f>
        <v>0026F0625M</v>
      </c>
      <c r="E17368" s="1" t="s">
        <v>10</v>
      </c>
      <c r="F17368" s="1" t="str">
        <f>"fde2:104:0:1cc:0:0:0:2"</f>
        <v>fde2:104:0:1cc:0:0:0:2</v>
      </c>
      <c r="G17368" s="1" t="str">
        <f>"0026F062"</f>
        <v>0026F062</v>
      </c>
      <c r="H17368" s="1" t="str">
        <f>"동숭동간 17R5L9L2"</f>
        <v>동숭동간 17R5L9L2</v>
      </c>
      <c r="I17368" s="1" t="s">
        <v>15</v>
      </c>
      <c r="J17368" s="1" t="str">
        <f>"71/76"</f>
        <v>71/76</v>
      </c>
      <c r="K17368" s="1" t="str">
        <f>"2026-07-29 14:20:07"</f>
        <v>2026-07-29 14:20:07</v>
      </c>
      <c r="L17368" s="1" t="str">
        <f>"2023-06-13 11:38:37"</f>
        <v>2023-06-13 11:38:37</v>
      </c>
      <c r="M17368" s="1" t="s">
        <v>42</v>
      </c>
      <c r="N17368" s="1" t="s">
        <v>38</v>
      </c>
      <c r="O17368" s="1" t="s">
        <v>46</v>
      </c>
    </row>
    <row r="17369" spans="2:15" x14ac:dyDescent="0.3">
      <c r="B17369" s="1" t="s">
        <v>13</v>
      </c>
      <c r="C17369" s="1" t="s">
        <v>16</v>
      </c>
      <c r="D17369" s="1" t="str">
        <f>"0026F10241"</f>
        <v>0026F10241</v>
      </c>
      <c r="E17369" s="1" t="s">
        <v>10</v>
      </c>
      <c r="F17369" s="1" t="str">
        <f>"10.14.4.201"</f>
        <v>10.14.4.201</v>
      </c>
      <c r="G17369" s="1" t="str">
        <f>"0026F102"</f>
        <v>0026F102</v>
      </c>
      <c r="H17369" s="1" t="str">
        <f>"동숭동간 17R14L3L2L1"</f>
        <v>동숭동간 17R14L3L2L1</v>
      </c>
      <c r="I17369" s="1" t="s">
        <v>17</v>
      </c>
      <c r="J17369" s="1" t="str">
        <f>"54/88"</f>
        <v>54/88</v>
      </c>
      <c r="K17369" s="1" t="str">
        <f>"2026-07-29 13:18:02"</f>
        <v>2026-07-29 13:18:02</v>
      </c>
      <c r="L17369" s="1" t="str">
        <f>"2022-11-14 09:13:13"</f>
        <v>2022-11-14 09:13:13</v>
      </c>
      <c r="M17369" s="1" t="s">
        <v>3</v>
      </c>
      <c r="N17369" s="1" t="s">
        <v>38</v>
      </c>
      <c r="O17369" s="1" t="s">
        <v>46</v>
      </c>
    </row>
    <row r="17370" spans="2:15" x14ac:dyDescent="0.3">
      <c r="B17370" s="1" t="s">
        <v>13</v>
      </c>
      <c r="C17370" s="1" t="str">
        <f>"5-2차"</f>
        <v>5-2차</v>
      </c>
      <c r="D17370" s="1" t="str">
        <f>"0026F1425M"</f>
        <v>0026F1425M</v>
      </c>
      <c r="E17370" s="1" t="s">
        <v>10</v>
      </c>
      <c r="F17370" s="1" t="str">
        <f>"fde2:104:0:1ce:0:0:0:2"</f>
        <v>fde2:104:0:1ce:0:0:0:2</v>
      </c>
      <c r="G17370" s="1" t="str">
        <f>"0026F142"</f>
        <v>0026F142</v>
      </c>
      <c r="H17370" s="1" t="str">
        <f>"동숭동간 17R5L8"</f>
        <v>동숭동간 17R5L8</v>
      </c>
      <c r="I17370" s="1" t="s">
        <v>15</v>
      </c>
      <c r="J17370" s="1" t="str">
        <f>"91/92"</f>
        <v>91/92</v>
      </c>
      <c r="K17370" s="1" t="str">
        <f>"2026-07-29 14:20:07"</f>
        <v>2026-07-29 14:20:07</v>
      </c>
      <c r="L17370" s="1" t="str">
        <f>"2023-05-23 13:38:49"</f>
        <v>2023-05-23 13:38:49</v>
      </c>
      <c r="M17370" s="1" t="s">
        <v>42</v>
      </c>
      <c r="N17370" s="1" t="s">
        <v>38</v>
      </c>
      <c r="O17370" s="1" t="s">
        <v>46</v>
      </c>
    </row>
    <row r="17371" spans="2:15" x14ac:dyDescent="0.3">
      <c r="B17371" s="1" t="s">
        <v>13</v>
      </c>
      <c r="C17371" s="1" t="str">
        <f>"5-2차"</f>
        <v>5-2차</v>
      </c>
      <c r="D17371" s="1" t="str">
        <f>"0026F1435M"</f>
        <v>0026F1435M</v>
      </c>
      <c r="E17371" s="1" t="s">
        <v>10</v>
      </c>
      <c r="F17371" s="1" t="str">
        <f>"fde2:104:0:1c0:0:0:0:2"</f>
        <v>fde2:104:0:1c0:0:0:0:2</v>
      </c>
      <c r="G17371" s="1" t="str">
        <f>"0026F143"</f>
        <v>0026F143</v>
      </c>
      <c r="H17371" s="1" t="str">
        <f>"동숭동간 17R5L7"</f>
        <v>동숭동간 17R5L7</v>
      </c>
      <c r="I17371" s="1" t="s">
        <v>15</v>
      </c>
      <c r="J17371" s="1" t="str">
        <f>"98/98"</f>
        <v>98/98</v>
      </c>
      <c r="K17371" s="1" t="str">
        <f>"2026-07-29 14:20:08"</f>
        <v>2026-07-29 14:20:08</v>
      </c>
      <c r="L17371" s="1" t="str">
        <f>"2023-06-16 10:44:46"</f>
        <v>2023-06-16 10:44:46</v>
      </c>
      <c r="M17371" s="1" t="s">
        <v>42</v>
      </c>
      <c r="N17371" s="1" t="s">
        <v>38</v>
      </c>
      <c r="O17371" s="1" t="s">
        <v>46</v>
      </c>
    </row>
    <row r="17372" spans="2:15" x14ac:dyDescent="0.3">
      <c r="B17372" s="1" t="s">
        <v>13</v>
      </c>
      <c r="C17372" s="1" t="str">
        <f>"5-2차"</f>
        <v>5-2차</v>
      </c>
      <c r="D17372" s="1" t="str">
        <f>"0026F3215M"</f>
        <v>0026F3215M</v>
      </c>
      <c r="E17372" s="1" t="s">
        <v>10</v>
      </c>
      <c r="F17372" s="1" t="str">
        <f>"fde2:104:0:172:0:0:0:2"</f>
        <v>fde2:104:0:172:0:0:0:2</v>
      </c>
      <c r="G17372" s="1" t="str">
        <f>"0026F321"</f>
        <v>0026F321</v>
      </c>
      <c r="H17372" s="1" t="str">
        <f>"동숭동간 17R5L17"</f>
        <v>동숭동간 17R5L17</v>
      </c>
      <c r="I17372" s="1" t="s">
        <v>15</v>
      </c>
      <c r="J17372" s="1" t="str">
        <f>"100/107"</f>
        <v>100/107</v>
      </c>
      <c r="K17372" s="1" t="str">
        <f>"2026-07-29 14:20:08"</f>
        <v>2026-07-29 14:20:08</v>
      </c>
      <c r="L17372" s="1" t="str">
        <f>"2023-05-23 14:08:23"</f>
        <v>2023-05-23 14:08:23</v>
      </c>
      <c r="M17372" s="1" t="s">
        <v>42</v>
      </c>
      <c r="N17372" s="1" t="s">
        <v>38</v>
      </c>
      <c r="O17372" s="1" t="s">
        <v>46</v>
      </c>
    </row>
    <row r="17373" spans="2:15" x14ac:dyDescent="0.3">
      <c r="B17373" s="1" t="s">
        <v>13</v>
      </c>
      <c r="C17373" s="1" t="str">
        <f>"5-2차"</f>
        <v>5-2차</v>
      </c>
      <c r="D17373" s="1" t="str">
        <f>"0026F3315S"</f>
        <v>0026F3315S</v>
      </c>
      <c r="E17373" s="1" t="s">
        <v>10</v>
      </c>
      <c r="F17373" s="1" t="str">
        <f>"fde1:103:4:92a3:0:0:0:2"</f>
        <v>fde1:103:4:92a3:0:0:0:2</v>
      </c>
      <c r="G17373" s="1" t="str">
        <f>"0026F331"</f>
        <v>0026F331</v>
      </c>
      <c r="H17373" s="1" t="str">
        <f>"동숭동간 17R5L15"</f>
        <v>동숭동간 17R5L15</v>
      </c>
      <c r="I17373" s="1" t="s">
        <v>15</v>
      </c>
      <c r="J17373" s="1" t="str">
        <f>"81/82"</f>
        <v>81/82</v>
      </c>
      <c r="K17373" s="1" t="str">
        <f>"2026-07-29 14:20:08"</f>
        <v>2026-07-29 14:20:08</v>
      </c>
      <c r="L17373" s="1" t="str">
        <f>"2024-01-11 17:30:55"</f>
        <v>2024-01-11 17:30:55</v>
      </c>
      <c r="M17373" s="1" t="s">
        <v>4</v>
      </c>
      <c r="N17373" s="1" t="s">
        <v>38</v>
      </c>
      <c r="O17373" s="1" t="s">
        <v>46</v>
      </c>
    </row>
    <row r="17374" spans="2:15" x14ac:dyDescent="0.3">
      <c r="B17374" s="1" t="s">
        <v>13</v>
      </c>
      <c r="C17374" s="1" t="str">
        <f>"2차"</f>
        <v>2차</v>
      </c>
      <c r="D17374" s="1" t="str">
        <f>"0026F41129"</f>
        <v>0026F41129</v>
      </c>
      <c r="E17374" s="1" t="s">
        <v>10</v>
      </c>
      <c r="F17374" s="1" t="str">
        <f>"10.11.1.74"</f>
        <v>10.11.1.74</v>
      </c>
      <c r="G17374" s="1" t="str">
        <f>"0026F411"</f>
        <v>0026F411</v>
      </c>
      <c r="H17374" s="1" t="str">
        <f>"동숭동간 17R5L21"</f>
        <v>동숭동간 17R5L21</v>
      </c>
      <c r="I17374" s="1" t="s">
        <v>8</v>
      </c>
      <c r="J17374" s="1" t="str">
        <f>"19/20"</f>
        <v>19/20</v>
      </c>
      <c r="K17374" s="1" t="str">
        <f>"2026-07-29 13:18:00"</f>
        <v>2026-07-29 13:18:00</v>
      </c>
      <c r="L17374" s="1" t="str">
        <f>"2017-06-21 17:41:02"</f>
        <v>2017-06-21 17:41:02</v>
      </c>
      <c r="M17374" s="1" t="s">
        <v>2</v>
      </c>
      <c r="N17374" s="1" t="s">
        <v>38</v>
      </c>
      <c r="O17374" s="1" t="s">
        <v>46</v>
      </c>
    </row>
    <row r="17375" spans="2:15" x14ac:dyDescent="0.3">
      <c r="B17375" s="1" t="s">
        <v>13</v>
      </c>
      <c r="C17375" s="1" t="str">
        <f>"2차"</f>
        <v>2차</v>
      </c>
      <c r="D17375" s="1" t="str">
        <f>"0026F42129"</f>
        <v>0026F42129</v>
      </c>
      <c r="E17375" s="1" t="s">
        <v>10</v>
      </c>
      <c r="F17375" s="1" t="str">
        <f>"10.11.5.122"</f>
        <v>10.11.5.122</v>
      </c>
      <c r="G17375" s="1" t="str">
        <f>"0026F421"</f>
        <v>0026F421</v>
      </c>
      <c r="H17375" s="1" t="str">
        <f>"동숭동간 17R5L21L2"</f>
        <v>동숭동간 17R5L21L2</v>
      </c>
      <c r="I17375" s="1" t="s">
        <v>8</v>
      </c>
      <c r="J17375" s="1" t="str">
        <f>"60/60"</f>
        <v>60/60</v>
      </c>
      <c r="K17375" s="1" t="str">
        <f>"2026-07-29 13:18:00"</f>
        <v>2026-07-29 13:18:00</v>
      </c>
      <c r="L17375" s="1" t="str">
        <f>"2017-06-21 16:25:54"</f>
        <v>2017-06-21 16:25:54</v>
      </c>
      <c r="M17375" s="1" t="s">
        <v>2</v>
      </c>
      <c r="N17375" s="1" t="s">
        <v>38</v>
      </c>
      <c r="O17375" s="1" t="s">
        <v>46</v>
      </c>
    </row>
    <row r="17376" spans="2:15" x14ac:dyDescent="0.3">
      <c r="B17376" s="1" t="s">
        <v>13</v>
      </c>
      <c r="C17376" s="1" t="str">
        <f>"5-2차"</f>
        <v>5-2차</v>
      </c>
      <c r="D17376" s="1" t="str">
        <f>"0026F4315S"</f>
        <v>0026F4315S</v>
      </c>
      <c r="E17376" s="1" t="s">
        <v>10</v>
      </c>
      <c r="F17376" s="1" t="str">
        <f>"fde3:102:1304:3401:0:0:0:2"</f>
        <v>fde3:102:1304:3401:0:0:0:2</v>
      </c>
      <c r="G17376" s="1" t="str">
        <f>"0026F431"</f>
        <v>0026F431</v>
      </c>
      <c r="H17376" s="1" t="str">
        <f>"동숭동간 17R5L21L3"</f>
        <v>동숭동간 17R5L21L3</v>
      </c>
      <c r="I17376" s="1" t="s">
        <v>15</v>
      </c>
      <c r="J17376" s="1" t="str">
        <f>"64/64"</f>
        <v>64/64</v>
      </c>
      <c r="K17376" s="1" t="str">
        <f>"2026-07-29 14:20:07"</f>
        <v>2026-07-29 14:20:07</v>
      </c>
      <c r="L17376" s="1" t="str">
        <f>"2023-06-01 15:55:55"</f>
        <v>2023-06-01 15:55:55</v>
      </c>
      <c r="M17376" s="1" t="s">
        <v>45</v>
      </c>
      <c r="N17376" s="1" t="s">
        <v>38</v>
      </c>
      <c r="O17376" s="1" t="s">
        <v>46</v>
      </c>
    </row>
    <row r="17377" spans="2:15" x14ac:dyDescent="0.3">
      <c r="B17377" s="1" t="s">
        <v>13</v>
      </c>
      <c r="C17377" s="1" t="str">
        <f>"2차"</f>
        <v>2차</v>
      </c>
      <c r="D17377" s="1" t="str">
        <f>"0026F44221"</f>
        <v>0026F44221</v>
      </c>
      <c r="E17377" s="1" t="s">
        <v>10</v>
      </c>
      <c r="F17377" s="1" t="str">
        <f>"10.11.5.171"</f>
        <v>10.11.5.171</v>
      </c>
      <c r="G17377" s="1" t="str">
        <f>"0026F442"</f>
        <v>0026F442</v>
      </c>
      <c r="H17377" s="1" t="str">
        <f>"창신지 22L3"</f>
        <v>창신지 22L3</v>
      </c>
      <c r="I17377" s="1" t="s">
        <v>8</v>
      </c>
      <c r="J17377" s="1" t="str">
        <f>"38/38"</f>
        <v>38/38</v>
      </c>
      <c r="K17377" s="1" t="str">
        <f>"2026-07-29 13:18:00"</f>
        <v>2026-07-29 13:18:00</v>
      </c>
      <c r="L17377" s="1" t="str">
        <f>"2017-06-24 15:30:08"</f>
        <v>2017-06-24 15:30:08</v>
      </c>
      <c r="M17377" s="1" t="s">
        <v>2</v>
      </c>
      <c r="N17377" s="1" t="s">
        <v>38</v>
      </c>
      <c r="O17377" s="1" t="s">
        <v>46</v>
      </c>
    </row>
    <row r="17378" spans="2:15" x14ac:dyDescent="0.3">
      <c r="B17378" s="1" t="s">
        <v>13</v>
      </c>
      <c r="C17378" s="1" t="str">
        <f>"2차"</f>
        <v>2차</v>
      </c>
      <c r="D17378" s="1" t="str">
        <f>"0026F45220"</f>
        <v>0026F45220</v>
      </c>
      <c r="E17378" s="1" t="s">
        <v>10</v>
      </c>
      <c r="F17378" s="1" t="str">
        <f>"10.11.5.170"</f>
        <v>10.11.5.170</v>
      </c>
      <c r="G17378" s="1" t="str">
        <f>"0026F452"</f>
        <v>0026F452</v>
      </c>
      <c r="H17378" s="1" t="str">
        <f>"창신지 22L2"</f>
        <v>창신지 22L2</v>
      </c>
      <c r="I17378" s="1" t="s">
        <v>8</v>
      </c>
      <c r="J17378" s="1" t="str">
        <f>"47/47"</f>
        <v>47/47</v>
      </c>
      <c r="K17378" s="1" t="str">
        <f>"2026-07-29 13:18:00"</f>
        <v>2026-07-29 13:18:00</v>
      </c>
      <c r="L17378" s="1" t="str">
        <f>"2017-06-24 15:16:38"</f>
        <v>2017-06-24 15:16:38</v>
      </c>
      <c r="M17378" s="1" t="s">
        <v>2</v>
      </c>
      <c r="N17378" s="1" t="s">
        <v>38</v>
      </c>
      <c r="O17378" s="1" t="s">
        <v>46</v>
      </c>
    </row>
    <row r="17379" spans="2:15" x14ac:dyDescent="0.3">
      <c r="B17379" s="1" t="s">
        <v>13</v>
      </c>
      <c r="C17379" s="1" t="str">
        <f>"2차"</f>
        <v>2차</v>
      </c>
      <c r="D17379" s="1" t="str">
        <f>"0026F48120"</f>
        <v>0026F48120</v>
      </c>
      <c r="E17379" s="1" t="s">
        <v>10</v>
      </c>
      <c r="F17379" s="1" t="str">
        <f>"10.11.5.178"</f>
        <v>10.11.5.178</v>
      </c>
      <c r="G17379" s="1" t="str">
        <f>"0026F481"</f>
        <v>0026F481</v>
      </c>
      <c r="H17379" s="1" t="str">
        <f>"창신지 25"</f>
        <v>창신지 25</v>
      </c>
      <c r="I17379" s="1" t="s">
        <v>8</v>
      </c>
      <c r="J17379" s="1" t="str">
        <f>"90/90"</f>
        <v>90/90</v>
      </c>
      <c r="K17379" s="1" t="str">
        <f>"2026-07-29 13:18:00"</f>
        <v>2026-07-29 13:18:00</v>
      </c>
      <c r="L17379" s="1" t="str">
        <f>"2017-06-27 17:04:41"</f>
        <v>2017-06-27 17:04:41</v>
      </c>
      <c r="M17379" s="1" t="s">
        <v>2</v>
      </c>
      <c r="N17379" s="1" t="s">
        <v>38</v>
      </c>
      <c r="O17379" s="1" t="s">
        <v>46</v>
      </c>
    </row>
    <row r="17380" spans="2:15" x14ac:dyDescent="0.3">
      <c r="B17380" s="1" t="s">
        <v>13</v>
      </c>
      <c r="C17380" s="1" t="s">
        <v>16</v>
      </c>
      <c r="D17380" s="1" t="str">
        <f>"0026F4835S"</f>
        <v>0026F4835S</v>
      </c>
      <c r="E17380" s="1" t="s">
        <v>10</v>
      </c>
      <c r="F17380" s="1" t="str">
        <f>"fde3:102:1304:3404:0:0:0:2"</f>
        <v>fde3:102:1304:3404:0:0:0:2</v>
      </c>
      <c r="G17380" s="1" t="str">
        <f>"0026F483"</f>
        <v>0026F483</v>
      </c>
      <c r="H17380" s="1" t="str">
        <f>"창신지 26"</f>
        <v>창신지 26</v>
      </c>
      <c r="I17380" s="1" t="s">
        <v>15</v>
      </c>
      <c r="J17380" s="1" t="str">
        <f>"76/76"</f>
        <v>76/76</v>
      </c>
      <c r="K17380" s="1" t="str">
        <f>"2026-07-29 14:20:07"</f>
        <v>2026-07-29 14:20:07</v>
      </c>
      <c r="L17380" s="1" t="str">
        <f>"2023-08-01 10:27:43"</f>
        <v>2023-08-01 10:27:43</v>
      </c>
      <c r="M17380" s="1" t="s">
        <v>45</v>
      </c>
      <c r="N17380" s="1" t="s">
        <v>38</v>
      </c>
      <c r="O17380" s="1" t="s">
        <v>46</v>
      </c>
    </row>
    <row r="17381" spans="2:15" x14ac:dyDescent="0.3">
      <c r="B17381" s="1" t="s">
        <v>13</v>
      </c>
      <c r="C17381" s="1" t="str">
        <f>"2차"</f>
        <v>2차</v>
      </c>
      <c r="D17381" s="1" t="str">
        <f>"0026F49221"</f>
        <v>0026F49221</v>
      </c>
      <c r="E17381" s="1" t="s">
        <v>10</v>
      </c>
      <c r="F17381" s="1" t="str">
        <f>"10.11.5.187"</f>
        <v>10.11.5.187</v>
      </c>
      <c r="G17381" s="1" t="str">
        <f>"0026F492"</f>
        <v>0026F492</v>
      </c>
      <c r="H17381" s="1" t="str">
        <f>"창신지 27A1"</f>
        <v>창신지 27A1</v>
      </c>
      <c r="I17381" s="1" t="s">
        <v>8</v>
      </c>
      <c r="J17381" s="1" t="str">
        <f>"31/32"</f>
        <v>31/32</v>
      </c>
      <c r="K17381" s="1" t="str">
        <f>"2026-07-29 13:18:01"</f>
        <v>2026-07-29 13:18:01</v>
      </c>
      <c r="L17381" s="1" t="str">
        <f>"2017-08-03 15:12:18"</f>
        <v>2017-08-03 15:12:18</v>
      </c>
      <c r="M17381" s="1" t="s">
        <v>2</v>
      </c>
      <c r="N17381" s="1" t="s">
        <v>38</v>
      </c>
      <c r="O17381" s="1" t="s">
        <v>46</v>
      </c>
    </row>
    <row r="17382" spans="2:15" x14ac:dyDescent="0.3">
      <c r="B17382" s="1" t="s">
        <v>13</v>
      </c>
      <c r="C17382" s="1" t="s">
        <v>16</v>
      </c>
      <c r="D17382" s="1" t="str">
        <f>"0026F5055S"</f>
        <v>0026F5055S</v>
      </c>
      <c r="E17382" s="1" t="s">
        <v>10</v>
      </c>
      <c r="F17382" s="1" t="str">
        <f>"fde1:103:4:5637:0:0:0:2"</f>
        <v>fde1:103:4:5637:0:0:0:2</v>
      </c>
      <c r="G17382" s="1" t="str">
        <f>"0026F505"</f>
        <v>0026F505</v>
      </c>
      <c r="H17382" s="1" t="str">
        <f>"동숭동간 17R5L24"</f>
        <v>동숭동간 17R5L24</v>
      </c>
      <c r="I17382" s="1" t="s">
        <v>15</v>
      </c>
      <c r="J17382" s="1" t="str">
        <f>"88/88"</f>
        <v>88/88</v>
      </c>
      <c r="K17382" s="1" t="str">
        <f>"2026-07-29 14:20:08"</f>
        <v>2026-07-29 14:20:08</v>
      </c>
      <c r="L17382" s="1" t="str">
        <f>"2023-08-02 14:23:41"</f>
        <v>2023-08-02 14:23:41</v>
      </c>
      <c r="M17382" s="1" t="s">
        <v>4</v>
      </c>
      <c r="N17382" s="1" t="s">
        <v>38</v>
      </c>
      <c r="O17382" s="1" t="s">
        <v>46</v>
      </c>
    </row>
    <row r="17383" spans="2:15" x14ac:dyDescent="0.3">
      <c r="B17383" s="1" t="s">
        <v>13</v>
      </c>
      <c r="C17383" s="1" t="str">
        <f>"4차"</f>
        <v>4차</v>
      </c>
      <c r="D17383" s="1" t="str">
        <f>"0026F51229"</f>
        <v>0026F51229</v>
      </c>
      <c r="E17383" s="1" t="s">
        <v>10</v>
      </c>
      <c r="F17383" s="1" t="str">
        <f>"10.11.1.82"</f>
        <v>10.11.1.82</v>
      </c>
      <c r="G17383" s="1" t="str">
        <f>"0026F512"</f>
        <v>0026F512</v>
      </c>
      <c r="H17383" s="1" t="str">
        <f>"동숭동간 17R5L24L2"</f>
        <v>동숭동간 17R5L24L2</v>
      </c>
      <c r="I17383" s="1" t="s">
        <v>8</v>
      </c>
      <c r="J17383" s="1" t="str">
        <f>"13/13"</f>
        <v>13/13</v>
      </c>
      <c r="K17383" s="1" t="str">
        <f>"2026-07-29 13:18:00"</f>
        <v>2026-07-29 13:18:00</v>
      </c>
      <c r="L17383" s="1" t="str">
        <f>"2017-06-21 17:41:02"</f>
        <v>2017-06-21 17:41:02</v>
      </c>
      <c r="M17383" s="1" t="s">
        <v>2</v>
      </c>
      <c r="N17383" s="1" t="s">
        <v>38</v>
      </c>
      <c r="O17383" s="1" t="s">
        <v>46</v>
      </c>
    </row>
    <row r="17384" spans="2:15" x14ac:dyDescent="0.3">
      <c r="B17384" s="1" t="s">
        <v>13</v>
      </c>
      <c r="C17384" s="1" t="s">
        <v>16</v>
      </c>
      <c r="D17384" s="1" t="str">
        <f>"0026F5215S"</f>
        <v>0026F5215S</v>
      </c>
      <c r="E17384" s="1" t="s">
        <v>10</v>
      </c>
      <c r="F17384" s="1" t="str">
        <f>"fde1:103:4:56d5:0:0:0:2"</f>
        <v>fde1:103:4:56d5:0:0:0:2</v>
      </c>
      <c r="G17384" s="1" t="str">
        <f>"0026F521"</f>
        <v>0026F521</v>
      </c>
      <c r="H17384" s="1" t="str">
        <f>"창신지 16L2"</f>
        <v>창신지 16L2</v>
      </c>
      <c r="I17384" s="1" t="s">
        <v>15</v>
      </c>
      <c r="J17384" s="1" t="str">
        <f>"72/72"</f>
        <v>72/72</v>
      </c>
      <c r="K17384" s="1" t="str">
        <f>"2026-07-29 14:20:08"</f>
        <v>2026-07-29 14:20:08</v>
      </c>
      <c r="L17384" s="1" t="str">
        <f>"2023-08-02 14:20:14"</f>
        <v>2023-08-02 14:20:14</v>
      </c>
      <c r="M17384" s="1" t="s">
        <v>4</v>
      </c>
      <c r="N17384" s="1" t="s">
        <v>38</v>
      </c>
      <c r="O17384" s="1" t="s">
        <v>46</v>
      </c>
    </row>
    <row r="17385" spans="2:15" x14ac:dyDescent="0.3">
      <c r="B17385" s="1" t="s">
        <v>13</v>
      </c>
      <c r="C17385" s="1" t="str">
        <f>"2차"</f>
        <v>2차</v>
      </c>
      <c r="D17385" s="1" t="str">
        <f>"0026F54129"</f>
        <v>0026F54129</v>
      </c>
      <c r="E17385" s="1" t="s">
        <v>10</v>
      </c>
      <c r="F17385" s="1" t="str">
        <f>"10.11.5.146"</f>
        <v>10.11.5.146</v>
      </c>
      <c r="G17385" s="1" t="str">
        <f>"0026F541"</f>
        <v>0026F541</v>
      </c>
      <c r="H17385" s="1" t="str">
        <f>"창신지 21H1L1"</f>
        <v>창신지 21H1L1</v>
      </c>
      <c r="I17385" s="1" t="s">
        <v>8</v>
      </c>
      <c r="J17385" s="1" t="str">
        <f>"82/82"</f>
        <v>82/82</v>
      </c>
      <c r="K17385" s="1" t="str">
        <f>"2026-07-29 13:18:00"</f>
        <v>2026-07-29 13:18:00</v>
      </c>
      <c r="L17385" s="1" t="str">
        <f>"2017-08-23 14:07:44"</f>
        <v>2017-08-23 14:07:44</v>
      </c>
      <c r="M17385" s="1" t="s">
        <v>2</v>
      </c>
      <c r="N17385" s="1" t="s">
        <v>38</v>
      </c>
      <c r="O17385" s="1" t="s">
        <v>46</v>
      </c>
    </row>
    <row r="17386" spans="2:15" x14ac:dyDescent="0.3">
      <c r="B17386" s="1" t="s">
        <v>13</v>
      </c>
      <c r="C17386" s="1" t="str">
        <f>"2차"</f>
        <v>2차</v>
      </c>
      <c r="D17386" s="1" t="str">
        <f>"0026F54222"</f>
        <v>0026F54222</v>
      </c>
      <c r="E17386" s="1" t="s">
        <v>10</v>
      </c>
      <c r="F17386" s="1" t="str">
        <f>"10.11.44.90"</f>
        <v>10.11.44.90</v>
      </c>
      <c r="G17386" s="1" t="str">
        <f>"0026F542"</f>
        <v>0026F542</v>
      </c>
      <c r="H17386" s="1" t="str">
        <f>"창신지 20"</f>
        <v>창신지 20</v>
      </c>
      <c r="I17386" s="1" t="s">
        <v>8</v>
      </c>
      <c r="J17386" s="1" t="str">
        <f>"78/78"</f>
        <v>78/78</v>
      </c>
      <c r="K17386" s="1" t="str">
        <f>"2026-07-29 13:18:00"</f>
        <v>2026-07-29 13:18:00</v>
      </c>
      <c r="L17386" s="1" t="str">
        <f>"2017-06-27 15:26:26"</f>
        <v>2017-06-27 15:26:26</v>
      </c>
      <c r="M17386" s="1" t="s">
        <v>2</v>
      </c>
      <c r="N17386" s="1" t="s">
        <v>38</v>
      </c>
      <c r="O17386" s="1" t="s">
        <v>46</v>
      </c>
    </row>
    <row r="17387" spans="2:15" x14ac:dyDescent="0.3">
      <c r="B17387" s="1" t="s">
        <v>13</v>
      </c>
      <c r="C17387" s="1" t="str">
        <f>"2차"</f>
        <v>2차</v>
      </c>
      <c r="D17387" s="1" t="str">
        <f>"0026F55129"</f>
        <v>0026F55129</v>
      </c>
      <c r="E17387" s="1" t="s">
        <v>10</v>
      </c>
      <c r="F17387" s="1" t="str">
        <f>"10.11.10.186"</f>
        <v>10.11.10.186</v>
      </c>
      <c r="G17387" s="1" t="str">
        <f>"0026F551"</f>
        <v>0026F551</v>
      </c>
      <c r="H17387" s="1" t="str">
        <f>"창신지 21"</f>
        <v>창신지 21</v>
      </c>
      <c r="I17387" s="1" t="s">
        <v>8</v>
      </c>
      <c r="J17387" s="1" t="str">
        <f>"36/36"</f>
        <v>36/36</v>
      </c>
      <c r="K17387" s="1" t="str">
        <f>"2026-07-29 13:18:00"</f>
        <v>2026-07-29 13:18:00</v>
      </c>
      <c r="L17387" s="1" t="str">
        <f>"2017-07-26 11:18:05"</f>
        <v>2017-07-26 11:18:05</v>
      </c>
      <c r="M17387" s="1" t="s">
        <v>2</v>
      </c>
      <c r="N17387" s="1" t="s">
        <v>38</v>
      </c>
      <c r="O17387" s="1" t="s">
        <v>46</v>
      </c>
    </row>
    <row r="17388" spans="2:15" x14ac:dyDescent="0.3">
      <c r="B17388" s="1" t="s">
        <v>13</v>
      </c>
      <c r="C17388" s="1" t="str">
        <f>"2차"</f>
        <v>2차</v>
      </c>
      <c r="D17388" s="1" t="str">
        <f>"0026F56120"</f>
        <v>0026F56120</v>
      </c>
      <c r="E17388" s="1" t="s">
        <v>10</v>
      </c>
      <c r="F17388" s="1" t="str">
        <f>"10.11.5.154"</f>
        <v>10.11.5.154</v>
      </c>
      <c r="G17388" s="1" t="str">
        <f>"0026F561"</f>
        <v>0026F561</v>
      </c>
      <c r="H17388" s="1" t="str">
        <f>"창신지 22"</f>
        <v>창신지 22</v>
      </c>
      <c r="I17388" s="1" t="s">
        <v>8</v>
      </c>
      <c r="J17388" s="1" t="str">
        <f>"39/39"</f>
        <v>39/39</v>
      </c>
      <c r="K17388" s="1" t="str">
        <f>"2026-07-29 13:18:01"</f>
        <v>2026-07-29 13:18:01</v>
      </c>
      <c r="L17388" s="1" t="str">
        <f>"2017-06-23 17:14:13"</f>
        <v>2017-06-23 17:14:13</v>
      </c>
      <c r="M17388" s="1" t="s">
        <v>2</v>
      </c>
      <c r="N17388" s="1" t="s">
        <v>38</v>
      </c>
      <c r="O17388" s="1" t="s">
        <v>46</v>
      </c>
    </row>
    <row r="17389" spans="2:15" x14ac:dyDescent="0.3">
      <c r="B17389" s="1" t="s">
        <v>13</v>
      </c>
      <c r="C17389" s="1" t="s">
        <v>16</v>
      </c>
      <c r="D17389" s="1" t="str">
        <f>"0026F5625S"</f>
        <v>0026F5625S</v>
      </c>
      <c r="E17389" s="1" t="s">
        <v>10</v>
      </c>
      <c r="F17389" s="1" t="str">
        <f>"fde3:102:1304:3405:0:0:0:2"</f>
        <v>fde3:102:1304:3405:0:0:0:2</v>
      </c>
      <c r="G17389" s="1" t="str">
        <f>"0026F562"</f>
        <v>0026F562</v>
      </c>
      <c r="H17389" s="1" t="str">
        <f>"창신지 23"</f>
        <v>창신지 23</v>
      </c>
      <c r="I17389" s="1" t="s">
        <v>15</v>
      </c>
      <c r="J17389" s="1" t="str">
        <f>"142/144"</f>
        <v>142/144</v>
      </c>
      <c r="K17389" s="1" t="str">
        <f>"2026-07-29 14:20:08"</f>
        <v>2026-07-29 14:20:08</v>
      </c>
      <c r="L17389" s="1" t="str">
        <f>"2023-08-01 10:10:07"</f>
        <v>2023-08-01 10:10:07</v>
      </c>
      <c r="M17389" s="1" t="s">
        <v>45</v>
      </c>
      <c r="N17389" s="1" t="s">
        <v>38</v>
      </c>
      <c r="O17389" s="1" t="s">
        <v>46</v>
      </c>
    </row>
    <row r="17390" spans="2:15" x14ac:dyDescent="0.3">
      <c r="B17390" s="1" t="s">
        <v>13</v>
      </c>
      <c r="C17390" s="1" t="str">
        <f>"4차"</f>
        <v>4차</v>
      </c>
      <c r="D17390" s="1" t="str">
        <f>"0026F59120"</f>
        <v>0026F59120</v>
      </c>
      <c r="E17390" s="1" t="s">
        <v>10</v>
      </c>
      <c r="F17390" s="1" t="str">
        <f>"10.11.5.186"</f>
        <v>10.11.5.186</v>
      </c>
      <c r="G17390" s="1" t="str">
        <f>"0026F591"</f>
        <v>0026F591</v>
      </c>
      <c r="H17390" s="1" t="str">
        <f>"창신지 27"</f>
        <v>창신지 27</v>
      </c>
      <c r="I17390" s="1" t="s">
        <v>8</v>
      </c>
      <c r="J17390" s="1" t="str">
        <f>"56/59"</f>
        <v>56/59</v>
      </c>
      <c r="K17390" s="1" t="str">
        <f>"2026-07-29 13:18:01"</f>
        <v>2026-07-29 13:18:01</v>
      </c>
      <c r="L17390" s="1" t="str">
        <f>"2017-08-03 14:51:27"</f>
        <v>2017-08-03 14:51:27</v>
      </c>
      <c r="M17390" s="1" t="s">
        <v>2</v>
      </c>
      <c r="N17390" s="1" t="s">
        <v>38</v>
      </c>
      <c r="O17390" s="1" t="s">
        <v>46</v>
      </c>
    </row>
    <row r="17391" spans="2:15" x14ac:dyDescent="0.3">
      <c r="B17391" s="1" t="s">
        <v>13</v>
      </c>
      <c r="C17391" s="1" t="str">
        <f>"4차"</f>
        <v>4차</v>
      </c>
      <c r="D17391" s="1" t="str">
        <f>"0026F62120"</f>
        <v>0026F62120</v>
      </c>
      <c r="E17391" s="1" t="s">
        <v>10</v>
      </c>
      <c r="F17391" s="1" t="str">
        <f>"10.11.5.114"</f>
        <v>10.11.5.114</v>
      </c>
      <c r="G17391" s="1" t="str">
        <f>"0026F621"</f>
        <v>0026F621</v>
      </c>
      <c r="H17391" s="1" t="str">
        <f>"창신지 16"</f>
        <v>창신지 16</v>
      </c>
      <c r="I17391" s="1" t="s">
        <v>8</v>
      </c>
      <c r="J17391" s="1" t="str">
        <f>"41/41"</f>
        <v>41/41</v>
      </c>
      <c r="K17391" s="1" t="str">
        <f>"2026-07-29 13:18:00"</f>
        <v>2026-07-29 13:18:00</v>
      </c>
      <c r="L17391" s="1" t="str">
        <f>"2017-06-25 10:25:40"</f>
        <v>2017-06-25 10:25:40</v>
      </c>
      <c r="M17391" s="1" t="s">
        <v>2</v>
      </c>
      <c r="N17391" s="1" t="s">
        <v>38</v>
      </c>
      <c r="O17391" s="1" t="s">
        <v>46</v>
      </c>
    </row>
    <row r="17392" spans="2:15" x14ac:dyDescent="0.3">
      <c r="B17392" s="1" t="s">
        <v>13</v>
      </c>
      <c r="C17392" s="1" t="str">
        <f>"2차"</f>
        <v>2차</v>
      </c>
      <c r="D17392" s="1" t="str">
        <f>"0026F62221"</f>
        <v>0026F62221</v>
      </c>
      <c r="E17392" s="1" t="s">
        <v>10</v>
      </c>
      <c r="F17392" s="1" t="str">
        <f>"10.11.5.115"</f>
        <v>10.11.5.115</v>
      </c>
      <c r="G17392" s="1" t="str">
        <f>"0026F622"</f>
        <v>0026F622</v>
      </c>
      <c r="H17392" s="1" t="str">
        <f>"창신지 16L1"</f>
        <v>창신지 16L1</v>
      </c>
      <c r="I17392" s="1" t="s">
        <v>8</v>
      </c>
      <c r="J17392" s="1" t="str">
        <f>"90/90"</f>
        <v>90/90</v>
      </c>
      <c r="K17392" s="1" t="str">
        <f>"2026-07-29 13:18:00"</f>
        <v>2026-07-29 13:18:00</v>
      </c>
      <c r="L17392" s="1" t="str">
        <f>"2017-07-24 17:41:25"</f>
        <v>2017-07-24 17:41:25</v>
      </c>
      <c r="M17392" s="1" t="s">
        <v>2</v>
      </c>
      <c r="N17392" s="1" t="s">
        <v>38</v>
      </c>
      <c r="O17392" s="1" t="s">
        <v>46</v>
      </c>
    </row>
    <row r="17393" spans="2:15" x14ac:dyDescent="0.3">
      <c r="B17393" s="1" t="s">
        <v>13</v>
      </c>
      <c r="C17393" s="1" t="str">
        <f>"2차"</f>
        <v>2차</v>
      </c>
      <c r="D17393" s="1" t="str">
        <f>"0026F64220"</f>
        <v>0026F64220</v>
      </c>
      <c r="E17393" s="1" t="s">
        <v>10</v>
      </c>
      <c r="F17393" s="1" t="str">
        <f>"10.11.5.138"</f>
        <v>10.11.5.138</v>
      </c>
      <c r="G17393" s="1" t="str">
        <f>"0026F642"</f>
        <v>0026F642</v>
      </c>
      <c r="H17393" s="1" t="str">
        <f>"창신지 20H1"</f>
        <v>창신지 20H1</v>
      </c>
      <c r="I17393" s="1" t="s">
        <v>8</v>
      </c>
      <c r="J17393" s="1" t="str">
        <f>"30/30"</f>
        <v>30/30</v>
      </c>
      <c r="K17393" s="1" t="str">
        <f>"2026-07-29 13:18:01"</f>
        <v>2026-07-29 13:18:01</v>
      </c>
      <c r="L17393" s="1" t="str">
        <f>"2017-06-27 15:02:55"</f>
        <v>2017-06-27 15:02:55</v>
      </c>
      <c r="M17393" s="1" t="s">
        <v>2</v>
      </c>
      <c r="N17393" s="1" t="s">
        <v>38</v>
      </c>
      <c r="O17393" s="1" t="s">
        <v>46</v>
      </c>
    </row>
    <row r="17394" spans="2:15" x14ac:dyDescent="0.3">
      <c r="B17394" s="1" t="s">
        <v>13</v>
      </c>
      <c r="C17394" s="1" t="s">
        <v>16</v>
      </c>
      <c r="D17394" s="1" t="str">
        <f>"0026F6435S"</f>
        <v>0026F6435S</v>
      </c>
      <c r="E17394" s="1" t="s">
        <v>10</v>
      </c>
      <c r="F17394" s="1" t="str">
        <f>"fde3:102:1304:3406:0:0:0:2"</f>
        <v>fde3:102:1304:3406:0:0:0:2</v>
      </c>
      <c r="G17394" s="1" t="str">
        <f>"0026F643"</f>
        <v>0026F643</v>
      </c>
      <c r="H17394" s="1" t="str">
        <f>"창신지 18"</f>
        <v>창신지 18</v>
      </c>
      <c r="I17394" s="1" t="s">
        <v>15</v>
      </c>
      <c r="J17394" s="1" t="str">
        <f>"73/73"</f>
        <v>73/73</v>
      </c>
      <c r="K17394" s="1" t="str">
        <f>"2026-07-29 14:20:09"</f>
        <v>2026-07-29 14:20:09</v>
      </c>
      <c r="L17394" s="1" t="str">
        <f>"2023-08-02 12:08:20"</f>
        <v>2023-08-02 12:08:20</v>
      </c>
      <c r="M17394" s="1" t="s">
        <v>45</v>
      </c>
      <c r="N17394" s="1" t="s">
        <v>38</v>
      </c>
      <c r="O17394" s="1" t="s">
        <v>46</v>
      </c>
    </row>
    <row r="17395" spans="2:15" x14ac:dyDescent="0.3">
      <c r="B17395" s="1" t="s">
        <v>13</v>
      </c>
      <c r="C17395" s="1" t="str">
        <f>"2차"</f>
        <v>2차</v>
      </c>
      <c r="D17395" s="1" t="str">
        <f>"0026F65121"</f>
        <v>0026F65121</v>
      </c>
      <c r="E17395" s="1" t="s">
        <v>10</v>
      </c>
      <c r="F17395" s="1" t="str">
        <f>"10.11.5.139"</f>
        <v>10.11.5.139</v>
      </c>
      <c r="G17395" s="1" t="str">
        <f>"0026F651"</f>
        <v>0026F651</v>
      </c>
      <c r="H17395" s="1" t="str">
        <f>"창신지 19R1"</f>
        <v>창신지 19R1</v>
      </c>
      <c r="I17395" s="1" t="s">
        <v>8</v>
      </c>
      <c r="J17395" s="1" t="str">
        <f>"46/46"</f>
        <v>46/46</v>
      </c>
      <c r="K17395" s="1" t="str">
        <f>"2026-07-29 13:18:01"</f>
        <v>2026-07-29 13:18:01</v>
      </c>
      <c r="L17395" s="1" t="str">
        <f>"2017-07-17 17:51:02"</f>
        <v>2017-07-17 17:51:02</v>
      </c>
      <c r="M17395" s="1" t="s">
        <v>2</v>
      </c>
      <c r="N17395" s="1" t="s">
        <v>38</v>
      </c>
      <c r="O17395" s="1" t="s">
        <v>46</v>
      </c>
    </row>
    <row r="17396" spans="2:15" x14ac:dyDescent="0.3">
      <c r="B17396" s="1" t="s">
        <v>13</v>
      </c>
      <c r="C17396" s="1" t="str">
        <f>"2차"</f>
        <v>2차</v>
      </c>
      <c r="D17396" s="1" t="str">
        <f>"0026F66220"</f>
        <v>0026F66220</v>
      </c>
      <c r="E17396" s="1" t="s">
        <v>10</v>
      </c>
      <c r="F17396" s="1" t="str">
        <f>"10.11.5.162"</f>
        <v>10.11.5.162</v>
      </c>
      <c r="G17396" s="1" t="str">
        <f>"0026F662"</f>
        <v>0026F662</v>
      </c>
      <c r="H17396" s="1" t="str">
        <f>"창신지 22H1R1R1"</f>
        <v>창신지 22H1R1R1</v>
      </c>
      <c r="I17396" s="1" t="s">
        <v>8</v>
      </c>
      <c r="J17396" s="1" t="str">
        <f>"15/15"</f>
        <v>15/15</v>
      </c>
      <c r="K17396" s="1" t="str">
        <f>"2026-07-29 13:18:00"</f>
        <v>2026-07-29 13:18:00</v>
      </c>
      <c r="L17396" s="1" t="str">
        <f>"2017-07-18 14:12:13"</f>
        <v>2017-07-18 14:12:13</v>
      </c>
      <c r="M17396" s="1" t="s">
        <v>2</v>
      </c>
      <c r="N17396" s="1" t="s">
        <v>38</v>
      </c>
      <c r="O17396" s="1" t="s">
        <v>46</v>
      </c>
    </row>
    <row r="17397" spans="2:15" x14ac:dyDescent="0.3">
      <c r="B17397" s="1" t="s">
        <v>13</v>
      </c>
      <c r="C17397" s="1" t="str">
        <f>"2차"</f>
        <v>2차</v>
      </c>
      <c r="D17397" s="1" t="str">
        <f>"0026F66421"</f>
        <v>0026F66421</v>
      </c>
      <c r="E17397" s="1" t="s">
        <v>10</v>
      </c>
      <c r="F17397" s="1" t="str">
        <f>"10.11.5.155"</f>
        <v>10.11.5.155</v>
      </c>
      <c r="G17397" s="1" t="str">
        <f>"0026F664"</f>
        <v>0026F664</v>
      </c>
      <c r="H17397" s="1" t="str">
        <f>"창신지 22H1R1"</f>
        <v>창신지 22H1R1</v>
      </c>
      <c r="I17397" s="1" t="s">
        <v>8</v>
      </c>
      <c r="J17397" s="1" t="str">
        <f>"72/80"</f>
        <v>72/80</v>
      </c>
      <c r="K17397" s="1" t="str">
        <f>"2026-07-29 13:18:01"</f>
        <v>2026-07-29 13:18:01</v>
      </c>
      <c r="L17397" s="1" t="str">
        <f>"2017-06-23 17:19:25"</f>
        <v>2017-06-23 17:19:25</v>
      </c>
      <c r="M17397" s="1" t="s">
        <v>2</v>
      </c>
      <c r="N17397" s="1" t="s">
        <v>38</v>
      </c>
      <c r="O17397" s="1" t="s">
        <v>46</v>
      </c>
    </row>
    <row r="17398" spans="2:15" x14ac:dyDescent="0.3">
      <c r="B17398" s="1" t="s">
        <v>13</v>
      </c>
      <c r="C17398" s="1" t="str">
        <f>"2차"</f>
        <v>2차</v>
      </c>
      <c r="D17398" s="1" t="str">
        <f>"0026F66521"</f>
        <v>0026F66521</v>
      </c>
      <c r="E17398" s="1" t="s">
        <v>10</v>
      </c>
      <c r="F17398" s="1" t="str">
        <f>"10.11.5.163"</f>
        <v>10.11.5.163</v>
      </c>
      <c r="G17398" s="1" t="str">
        <f>"0026F665"</f>
        <v>0026F665</v>
      </c>
      <c r="H17398" s="1" t="str">
        <f>"창신지 22H1R2"</f>
        <v>창신지 22H1R2</v>
      </c>
      <c r="I17398" s="1" t="s">
        <v>8</v>
      </c>
      <c r="J17398" s="1" t="str">
        <f>"45/53"</f>
        <v>45/53</v>
      </c>
      <c r="K17398" s="1" t="str">
        <f>"2026-07-29 13:18:00"</f>
        <v>2026-07-29 13:18:00</v>
      </c>
      <c r="L17398" s="1" t="str">
        <f>"2017-07-18 14:12:59"</f>
        <v>2017-07-18 14:12:59</v>
      </c>
      <c r="M17398" s="1" t="s">
        <v>2</v>
      </c>
      <c r="N17398" s="1" t="s">
        <v>38</v>
      </c>
      <c r="O17398" s="1" t="s">
        <v>46</v>
      </c>
    </row>
    <row r="17399" spans="2:15" x14ac:dyDescent="0.3">
      <c r="B17399" s="1" t="s">
        <v>13</v>
      </c>
      <c r="C17399" s="1" t="s">
        <v>16</v>
      </c>
      <c r="D17399" s="1" t="str">
        <f>"0026F6915S"</f>
        <v>0026F6915S</v>
      </c>
      <c r="E17399" s="1" t="s">
        <v>10</v>
      </c>
      <c r="F17399" s="1" t="str">
        <f>"fde1:103:4:568c:0:0:0:2"</f>
        <v>fde1:103:4:568c:0:0:0:2</v>
      </c>
      <c r="G17399" s="1" t="str">
        <f>"0026F691"</f>
        <v>0026F691</v>
      </c>
      <c r="H17399" s="1" t="str">
        <f>"창신지 28R2"</f>
        <v>창신지 28R2</v>
      </c>
      <c r="I17399" s="1" t="s">
        <v>15</v>
      </c>
      <c r="J17399" s="1" t="str">
        <f>"78/79"</f>
        <v>78/79</v>
      </c>
      <c r="K17399" s="1" t="str">
        <f>"2026-07-28 20:03:37"</f>
        <v>2026-07-28 20:03:37</v>
      </c>
      <c r="L17399" s="1" t="str">
        <f>"2023-08-02 16:28:07"</f>
        <v>2023-08-02 16:28:07</v>
      </c>
      <c r="M17399" s="1" t="s">
        <v>4</v>
      </c>
      <c r="N17399" s="1" t="s">
        <v>38</v>
      </c>
      <c r="O17399" s="1" t="s">
        <v>46</v>
      </c>
    </row>
    <row r="17400" spans="2:15" x14ac:dyDescent="0.3">
      <c r="B17400" s="1" t="s">
        <v>13</v>
      </c>
      <c r="C17400" s="1" t="str">
        <f>"2차"</f>
        <v>2차</v>
      </c>
      <c r="D17400" s="1" t="str">
        <f>"0026F70321"</f>
        <v>0026F70321</v>
      </c>
      <c r="E17400" s="1" t="s">
        <v>10</v>
      </c>
      <c r="F17400" s="1" t="str">
        <f>"10.12.130.222"</f>
        <v>10.12.130.222</v>
      </c>
      <c r="G17400" s="1" t="str">
        <f>"0026F703"</f>
        <v>0026F703</v>
      </c>
      <c r="H17400" s="1" t="str">
        <f>"창신지 14"</f>
        <v>창신지 14</v>
      </c>
      <c r="I17400" s="1" t="s">
        <v>8</v>
      </c>
      <c r="J17400" s="1" t="str">
        <f>"92/94"</f>
        <v>92/94</v>
      </c>
      <c r="K17400" s="1" t="str">
        <f>"2026-07-29 13:18:01"</f>
        <v>2026-07-29 13:18:01</v>
      </c>
      <c r="L17400" s="1" t="str">
        <f>"2017-06-21 17:51:02"</f>
        <v>2017-06-21 17:51:02</v>
      </c>
      <c r="M17400" s="1" t="s">
        <v>0</v>
      </c>
      <c r="N17400" s="1" t="s">
        <v>38</v>
      </c>
      <c r="O17400" s="1" t="s">
        <v>46</v>
      </c>
    </row>
    <row r="17401" spans="2:15" x14ac:dyDescent="0.3">
      <c r="B17401" s="1" t="s">
        <v>13</v>
      </c>
      <c r="C17401" s="1" t="str">
        <f>"2차"</f>
        <v>2차</v>
      </c>
      <c r="D17401" s="1" t="str">
        <f>"0026F72122"</f>
        <v>0026F72122</v>
      </c>
      <c r="E17401" s="1" t="s">
        <v>10</v>
      </c>
      <c r="F17401" s="1" t="str">
        <f>"10.12.138.151"</f>
        <v>10.12.138.151</v>
      </c>
      <c r="G17401" s="1" t="str">
        <f>"0026F721"</f>
        <v>0026F721</v>
      </c>
      <c r="H17401" s="1" t="str">
        <f>"창신지 15R2"</f>
        <v>창신지 15R2</v>
      </c>
      <c r="I17401" s="1" t="s">
        <v>8</v>
      </c>
      <c r="J17401" s="1" t="str">
        <f>"80/84"</f>
        <v>80/84</v>
      </c>
      <c r="K17401" s="1" t="str">
        <f>"2026-07-29 13:18:01"</f>
        <v>2026-07-29 13:18:01</v>
      </c>
      <c r="L17401" s="1" t="str">
        <f>"2017-06-21 16:11:09"</f>
        <v>2017-06-21 16:11:09</v>
      </c>
      <c r="M17401" s="1" t="s">
        <v>0</v>
      </c>
      <c r="N17401" s="1" t="s">
        <v>38</v>
      </c>
      <c r="O17401" s="1" t="s">
        <v>46</v>
      </c>
    </row>
    <row r="17402" spans="2:15" x14ac:dyDescent="0.3">
      <c r="B17402" s="1" t="s">
        <v>13</v>
      </c>
      <c r="C17402" s="1" t="str">
        <f>"2차"</f>
        <v>2차</v>
      </c>
      <c r="D17402" s="1" t="str">
        <f>"0026F73122"</f>
        <v>0026F73122</v>
      </c>
      <c r="E17402" s="1" t="s">
        <v>10</v>
      </c>
      <c r="F17402" s="1" t="str">
        <f>"10.11.5.116"</f>
        <v>10.11.5.116</v>
      </c>
      <c r="G17402" s="1" t="str">
        <f>"0026F731"</f>
        <v>0026F731</v>
      </c>
      <c r="H17402" s="1" t="str">
        <f>"창신지 17"</f>
        <v>창신지 17</v>
      </c>
      <c r="I17402" s="1" t="s">
        <v>8</v>
      </c>
      <c r="J17402" s="1" t="str">
        <f>"31/31"</f>
        <v>31/31</v>
      </c>
      <c r="K17402" s="1" t="str">
        <f>"2026-07-29 13:18:00"</f>
        <v>2026-07-29 13:18:00</v>
      </c>
      <c r="L17402" s="1" t="str">
        <f>"2017-07-17 16:31:02"</f>
        <v>2017-07-17 16:31:02</v>
      </c>
      <c r="M17402" s="1" t="s">
        <v>2</v>
      </c>
      <c r="N17402" s="1" t="s">
        <v>38</v>
      </c>
      <c r="O17402" s="1" t="s">
        <v>46</v>
      </c>
    </row>
    <row r="17403" spans="2:15" x14ac:dyDescent="0.3">
      <c r="B17403" s="1" t="s">
        <v>13</v>
      </c>
      <c r="C17403" s="1" t="str">
        <f>"4차"</f>
        <v>4차</v>
      </c>
      <c r="D17403" s="1" t="str">
        <f>"0026F78129"</f>
        <v>0026F78129</v>
      </c>
      <c r="E17403" s="1" t="s">
        <v>10</v>
      </c>
      <c r="F17403" s="1" t="str">
        <f>"10.11.5.210"</f>
        <v>10.11.5.210</v>
      </c>
      <c r="G17403" s="1" t="str">
        <f>"0026F781"</f>
        <v>0026F781</v>
      </c>
      <c r="H17403" s="1" t="str">
        <f>"창신지 28R3L1"</f>
        <v>창신지 28R3L1</v>
      </c>
      <c r="I17403" s="1" t="s">
        <v>8</v>
      </c>
      <c r="J17403" s="1" t="str">
        <f>"58/59"</f>
        <v>58/59</v>
      </c>
      <c r="K17403" s="1" t="str">
        <f>"2026-07-29 13:18:01"</f>
        <v>2026-07-29 13:18:01</v>
      </c>
      <c r="L17403" s="1" t="str">
        <f>"2017-06-21 17:41:01"</f>
        <v>2017-06-21 17:41:01</v>
      </c>
      <c r="M17403" s="1" t="s">
        <v>2</v>
      </c>
      <c r="N17403" s="1" t="s">
        <v>38</v>
      </c>
      <c r="O17403" s="1" t="s">
        <v>46</v>
      </c>
    </row>
    <row r="17404" spans="2:15" x14ac:dyDescent="0.3">
      <c r="B17404" s="1" t="s">
        <v>13</v>
      </c>
      <c r="C17404" s="1" t="str">
        <f>"2차"</f>
        <v>2차</v>
      </c>
      <c r="D17404" s="1" t="str">
        <f>"0026F80121"</f>
        <v>0026F80121</v>
      </c>
      <c r="E17404" s="1" t="s">
        <v>10</v>
      </c>
      <c r="F17404" s="1" t="str">
        <f>"10.11.44.178"</f>
        <v>10.11.44.178</v>
      </c>
      <c r="G17404" s="1" t="str">
        <f>"0026F801"</f>
        <v>0026F801</v>
      </c>
      <c r="H17404" s="1" t="str">
        <f>"창신지 13R1"</f>
        <v>창신지 13R1</v>
      </c>
      <c r="I17404" s="1" t="s">
        <v>8</v>
      </c>
      <c r="J17404" s="1" t="str">
        <f>"30/30"</f>
        <v>30/30</v>
      </c>
      <c r="K17404" s="1" t="str">
        <f>"2026-07-29 13:18:00"</f>
        <v>2026-07-29 13:18:00</v>
      </c>
      <c r="L17404" s="1" t="str">
        <f>"2017-06-21 18:01:01"</f>
        <v>2017-06-21 18:01:01</v>
      </c>
      <c r="M17404" s="1" t="s">
        <v>2</v>
      </c>
      <c r="N17404" s="1" t="s">
        <v>44</v>
      </c>
      <c r="O17404" s="1" t="s">
        <v>44</v>
      </c>
    </row>
    <row r="17405" spans="2:15" x14ac:dyDescent="0.3">
      <c r="B17405" s="1" t="s">
        <v>13</v>
      </c>
      <c r="C17405" s="1" t="s">
        <v>16</v>
      </c>
      <c r="D17405" s="1" t="str">
        <f>"0026F8035S"</f>
        <v>0026F8035S</v>
      </c>
      <c r="E17405" s="1" t="s">
        <v>10</v>
      </c>
      <c r="F17405" s="1" t="str">
        <f>"fde1:103:4:5680:0:0:0:2"</f>
        <v>fde1:103:4:5680:0:0:0:2</v>
      </c>
      <c r="G17405" s="1" t="str">
        <f>"0026F803"</f>
        <v>0026F803</v>
      </c>
      <c r="H17405" s="1" t="str">
        <f>"창신지 13R2"</f>
        <v>창신지 13R2</v>
      </c>
      <c r="I17405" s="1" t="s">
        <v>15</v>
      </c>
      <c r="J17405" s="1" t="str">
        <f>"39/40"</f>
        <v>39/40</v>
      </c>
      <c r="K17405" s="1" t="str">
        <f>"2026-07-29 14:20:09"</f>
        <v>2026-07-29 14:20:09</v>
      </c>
      <c r="L17405" s="1" t="str">
        <f>"2023-08-02 16:40:41"</f>
        <v>2023-08-02 16:40:41</v>
      </c>
      <c r="M17405" s="1" t="s">
        <v>4</v>
      </c>
      <c r="N17405" s="1" t="s">
        <v>38</v>
      </c>
      <c r="O17405" s="1" t="s">
        <v>46</v>
      </c>
    </row>
    <row r="17406" spans="2:15" x14ac:dyDescent="0.3">
      <c r="B17406" s="1" t="s">
        <v>13</v>
      </c>
      <c r="C17406" s="1" t="str">
        <f>"4차"</f>
        <v>4차</v>
      </c>
      <c r="D17406" s="1" t="str">
        <f>"0026F80520"</f>
        <v>0026F80520</v>
      </c>
      <c r="E17406" s="1" t="s">
        <v>10</v>
      </c>
      <c r="F17406" s="1" t="str">
        <f>"10.11.5.74"</f>
        <v>10.11.5.74</v>
      </c>
      <c r="G17406" s="1" t="str">
        <f>"0026F805"</f>
        <v>0026F805</v>
      </c>
      <c r="H17406" s="1" t="str">
        <f>"창신지 13R2R1"</f>
        <v>창신지 13R2R1</v>
      </c>
      <c r="I17406" s="1" t="s">
        <v>8</v>
      </c>
      <c r="J17406" s="1" t="str">
        <f>"27/30"</f>
        <v>27/30</v>
      </c>
      <c r="K17406" s="1" t="str">
        <f>"2026-07-29 13:18:00"</f>
        <v>2026-07-29 13:18:00</v>
      </c>
      <c r="L17406" s="1" t="str">
        <f>"2024-01-23 09:45:58"</f>
        <v>2024-01-23 09:45:58</v>
      </c>
      <c r="M17406" s="1" t="s">
        <v>2</v>
      </c>
      <c r="N17406" s="1" t="s">
        <v>38</v>
      </c>
      <c r="O17406" s="1" t="s">
        <v>46</v>
      </c>
    </row>
    <row r="17407" spans="2:15" x14ac:dyDescent="0.3">
      <c r="B17407" s="1" t="s">
        <v>13</v>
      </c>
      <c r="C17407" s="1" t="str">
        <f>"4차"</f>
        <v>4차</v>
      </c>
      <c r="D17407" s="1" t="str">
        <f>"0026F81144"</f>
        <v>0026F81144</v>
      </c>
      <c r="E17407" s="1" t="s">
        <v>10</v>
      </c>
      <c r="F17407" s="1" t="str">
        <f>"10.89.0.18"</f>
        <v>10.89.0.18</v>
      </c>
      <c r="G17407" s="1" t="str">
        <f>"0026F811"</f>
        <v>0026F811</v>
      </c>
      <c r="H17407" s="1" t="str">
        <f>"창신지 13R5"</f>
        <v>창신지 13R5</v>
      </c>
      <c r="I17407" s="1" t="s">
        <v>8</v>
      </c>
      <c r="J17407" s="1" t="str">
        <f>"32/32"</f>
        <v>32/32</v>
      </c>
      <c r="K17407" s="1" t="str">
        <f>"2026-07-29 13:18:00"</f>
        <v>2026-07-29 13:18:00</v>
      </c>
      <c r="L17407" s="1" t="str">
        <f>"2023-07-05 17:19:51"</f>
        <v>2023-07-05 17:19:51</v>
      </c>
      <c r="M17407" s="1" t="s">
        <v>45</v>
      </c>
      <c r="N17407" s="1" t="s">
        <v>38</v>
      </c>
      <c r="O17407" s="1" t="s">
        <v>46</v>
      </c>
    </row>
    <row r="17408" spans="2:15" x14ac:dyDescent="0.3">
      <c r="B17408" s="1" t="s">
        <v>13</v>
      </c>
      <c r="C17408" s="1" t="s">
        <v>16</v>
      </c>
      <c r="D17408" s="1" t="str">
        <f>"0026F8125S"</f>
        <v>0026F8125S</v>
      </c>
      <c r="E17408" s="1" t="s">
        <v>10</v>
      </c>
      <c r="F17408" s="1" t="str">
        <f>"fde1:103:4:55e1:0:0:0:2"</f>
        <v>fde1:103:4:55e1:0:0:0:2</v>
      </c>
      <c r="G17408" s="1" t="str">
        <f>"0026F812"</f>
        <v>0026F812</v>
      </c>
      <c r="H17408" s="1" t="str">
        <f>"창신지 15R1"</f>
        <v>창신지 15R1</v>
      </c>
      <c r="I17408" s="1" t="s">
        <v>15</v>
      </c>
      <c r="J17408" s="1" t="str">
        <f>"47/48"</f>
        <v>47/48</v>
      </c>
      <c r="K17408" s="1" t="str">
        <f>"2026-07-29 14:20:17"</f>
        <v>2026-07-29 14:20:17</v>
      </c>
      <c r="L17408" s="1" t="str">
        <f>"2023-08-02 17:10:13"</f>
        <v>2023-08-02 17:10:13</v>
      </c>
      <c r="M17408" s="1" t="s">
        <v>4</v>
      </c>
      <c r="N17408" s="1" t="s">
        <v>38</v>
      </c>
      <c r="O17408" s="1" t="s">
        <v>46</v>
      </c>
    </row>
    <row r="17409" spans="2:15" x14ac:dyDescent="0.3">
      <c r="B17409" s="1" t="s">
        <v>13</v>
      </c>
      <c r="C17409" s="1" t="str">
        <f>"4차"</f>
        <v>4차</v>
      </c>
      <c r="D17409" s="1" t="str">
        <f>"0026F82129"</f>
        <v>0026F82129</v>
      </c>
      <c r="E17409" s="1" t="s">
        <v>10</v>
      </c>
      <c r="F17409" s="1" t="str">
        <f>"10.11.5.98"</f>
        <v>10.11.5.98</v>
      </c>
      <c r="G17409" s="1" t="str">
        <f>"0026F821"</f>
        <v>0026F821</v>
      </c>
      <c r="H17409" s="1" t="str">
        <f>"창신지 13R6"</f>
        <v>창신지 13R6</v>
      </c>
      <c r="I17409" s="1" t="s">
        <v>8</v>
      </c>
      <c r="J17409" s="1" t="str">
        <f>"26/26"</f>
        <v>26/26</v>
      </c>
      <c r="K17409" s="1" t="str">
        <f>"2026-07-29 13:18:00"</f>
        <v>2026-07-29 13:18:00</v>
      </c>
      <c r="L17409" s="1" t="str">
        <f>"2017-06-21 15:59:57"</f>
        <v>2017-06-21 15:59:57</v>
      </c>
      <c r="M17409" s="1" t="s">
        <v>2</v>
      </c>
      <c r="N17409" s="1" t="s">
        <v>38</v>
      </c>
      <c r="O17409" s="1" t="s">
        <v>46</v>
      </c>
    </row>
    <row r="17410" spans="2:15" x14ac:dyDescent="0.3">
      <c r="B17410" s="1" t="s">
        <v>13</v>
      </c>
      <c r="C17410" s="1" t="s">
        <v>16</v>
      </c>
      <c r="D17410" s="1" t="str">
        <f>"0026F8315S"</f>
        <v>0026F8315S</v>
      </c>
      <c r="E17410" s="1" t="s">
        <v>10</v>
      </c>
      <c r="F17410" s="1" t="str">
        <f>"fde1:103:4:55a0:0:0:0:2"</f>
        <v>fde1:103:4:55a0:0:0:0:2</v>
      </c>
      <c r="G17410" s="1" t="str">
        <f>"0026F831"</f>
        <v>0026F831</v>
      </c>
      <c r="H17410" s="1" t="str">
        <f>"창신지 13R7"</f>
        <v>창신지 13R7</v>
      </c>
      <c r="I17410" s="1" t="s">
        <v>15</v>
      </c>
      <c r="J17410" s="1" t="str">
        <f>"44/44"</f>
        <v>44/44</v>
      </c>
      <c r="K17410" s="1" t="str">
        <f>"2026-07-29 14:20:10"</f>
        <v>2026-07-29 14:20:10</v>
      </c>
      <c r="L17410" s="1" t="str">
        <f>"2023-08-02 14:56:51"</f>
        <v>2023-08-02 14:56:51</v>
      </c>
      <c r="M17410" s="1" t="s">
        <v>4</v>
      </c>
      <c r="N17410" s="1" t="s">
        <v>38</v>
      </c>
      <c r="O17410" s="1" t="s">
        <v>46</v>
      </c>
    </row>
    <row r="17411" spans="2:15" x14ac:dyDescent="0.3">
      <c r="B17411" s="1" t="s">
        <v>13</v>
      </c>
      <c r="C17411" s="1" t="s">
        <v>16</v>
      </c>
      <c r="D17411" s="1" t="str">
        <f>"0026F8335S"</f>
        <v>0026F8335S</v>
      </c>
      <c r="E17411" s="1" t="s">
        <v>10</v>
      </c>
      <c r="F17411" s="1" t="str">
        <f>"fde1:103:4:5584:0:0:0:2"</f>
        <v>fde1:103:4:5584:0:0:0:2</v>
      </c>
      <c r="G17411" s="1" t="str">
        <f>"0026F833"</f>
        <v>0026F833</v>
      </c>
      <c r="H17411" s="1" t="str">
        <f>"창신지 13R8"</f>
        <v>창신지 13R8</v>
      </c>
      <c r="I17411" s="1" t="s">
        <v>15</v>
      </c>
      <c r="J17411" s="1" t="str">
        <f>"56/56"</f>
        <v>56/56</v>
      </c>
      <c r="K17411" s="1" t="str">
        <f>"2026-07-29 14:20:10"</f>
        <v>2026-07-29 14:20:10</v>
      </c>
      <c r="L17411" s="1" t="str">
        <f>"2023-08-03 13:59:29"</f>
        <v>2023-08-03 13:59:29</v>
      </c>
      <c r="M17411" s="1" t="s">
        <v>4</v>
      </c>
      <c r="N17411" s="1" t="s">
        <v>38</v>
      </c>
      <c r="O17411" s="1" t="s">
        <v>46</v>
      </c>
    </row>
    <row r="17412" spans="2:15" x14ac:dyDescent="0.3">
      <c r="B17412" s="1" t="s">
        <v>13</v>
      </c>
      <c r="C17412" s="1" t="str">
        <f>"2차"</f>
        <v>2차</v>
      </c>
      <c r="D17412" s="1" t="str">
        <f>"0026F85121"</f>
        <v>0026F85121</v>
      </c>
      <c r="E17412" s="1" t="s">
        <v>10</v>
      </c>
      <c r="F17412" s="1" t="str">
        <f>"10.11.5.219"</f>
        <v>10.11.5.219</v>
      </c>
      <c r="G17412" s="1" t="str">
        <f>"0026F851"</f>
        <v>0026F851</v>
      </c>
      <c r="H17412" s="1" t="str">
        <f>"창신지 28R7"</f>
        <v>창신지 28R7</v>
      </c>
      <c r="I17412" s="1" t="s">
        <v>8</v>
      </c>
      <c r="J17412" s="1" t="str">
        <f>"69/71"</f>
        <v>69/71</v>
      </c>
      <c r="K17412" s="1" t="str">
        <f>"2026-07-29 13:18:00"</f>
        <v>2026-07-29 13:18:00</v>
      </c>
      <c r="L17412" s="1" t="str">
        <f>"2017-06-21 17:29:55"</f>
        <v>2017-06-21 17:29:55</v>
      </c>
      <c r="M17412" s="1" t="s">
        <v>2</v>
      </c>
      <c r="N17412" s="1" t="s">
        <v>38</v>
      </c>
      <c r="O17412" s="1" t="s">
        <v>46</v>
      </c>
    </row>
    <row r="17413" spans="2:15" x14ac:dyDescent="0.3">
      <c r="B17413" s="1" t="s">
        <v>13</v>
      </c>
      <c r="C17413" s="1" t="str">
        <f>"4차"</f>
        <v>4차</v>
      </c>
      <c r="D17413" s="1" t="str">
        <f>"0026F86120"</f>
        <v>0026F86120</v>
      </c>
      <c r="E17413" s="1" t="s">
        <v>10</v>
      </c>
      <c r="F17413" s="1" t="str">
        <f>"10.11.5.218"</f>
        <v>10.11.5.218</v>
      </c>
      <c r="G17413" s="1" t="str">
        <f>"0026F861"</f>
        <v>0026F861</v>
      </c>
      <c r="H17413" s="1" t="str">
        <f>"창신지 28R6"</f>
        <v>창신지 28R6</v>
      </c>
      <c r="I17413" s="1" t="s">
        <v>8</v>
      </c>
      <c r="J17413" s="1" t="str">
        <f>"153/155"</f>
        <v>153/155</v>
      </c>
      <c r="K17413" s="1" t="str">
        <f>"2026-07-29 13:18:01"</f>
        <v>2026-07-29 13:18:01</v>
      </c>
      <c r="L17413" s="1" t="str">
        <f>"2017-06-21 17:29:40"</f>
        <v>2017-06-21 17:29:40</v>
      </c>
      <c r="M17413" s="1" t="s">
        <v>2</v>
      </c>
      <c r="N17413" s="1" t="s">
        <v>38</v>
      </c>
      <c r="O17413" s="1" t="s">
        <v>46</v>
      </c>
    </row>
    <row r="17414" spans="2:15" x14ac:dyDescent="0.3">
      <c r="B17414" s="1" t="s">
        <v>13</v>
      </c>
      <c r="C17414" s="1" t="str">
        <f>"4차"</f>
        <v>4차</v>
      </c>
      <c r="D17414" s="1" t="str">
        <f>"0026F91144"</f>
        <v>0026F91144</v>
      </c>
      <c r="E17414" s="1" t="s">
        <v>10</v>
      </c>
      <c r="F17414" s="1" t="str">
        <f>"10.89.0.20"</f>
        <v>10.89.0.20</v>
      </c>
      <c r="G17414" s="1" t="str">
        <f>"0026F911"</f>
        <v>0026F911</v>
      </c>
      <c r="H17414" s="1" t="str">
        <f>"창신지 13R4"</f>
        <v>창신지 13R4</v>
      </c>
      <c r="I17414" s="1" t="s">
        <v>8</v>
      </c>
      <c r="J17414" s="1" t="str">
        <f>"37/37"</f>
        <v>37/37</v>
      </c>
      <c r="K17414" s="1" t="str">
        <f>"2026-07-29 13:18:00"</f>
        <v>2026-07-29 13:18:00</v>
      </c>
      <c r="L17414" s="1" t="str">
        <f>"2023-11-02 16:51:04"</f>
        <v>2023-11-02 16:51:04</v>
      </c>
      <c r="M17414" s="1" t="s">
        <v>45</v>
      </c>
      <c r="N17414" s="1" t="s">
        <v>38</v>
      </c>
      <c r="O17414" s="1" t="s">
        <v>46</v>
      </c>
    </row>
    <row r="17415" spans="2:15" x14ac:dyDescent="0.3">
      <c r="B17415" s="1" t="s">
        <v>13</v>
      </c>
      <c r="C17415" s="1" t="str">
        <f>"2차"</f>
        <v>2차</v>
      </c>
      <c r="D17415" s="1" t="str">
        <f>"0026F95129"</f>
        <v>0026F95129</v>
      </c>
      <c r="E17415" s="1" t="s">
        <v>10</v>
      </c>
      <c r="F17415" s="1" t="str">
        <f>"10.11.5.226"</f>
        <v>10.11.5.226</v>
      </c>
      <c r="G17415" s="1" t="str">
        <f>"0026F951"</f>
        <v>0026F951</v>
      </c>
      <c r="H17415" s="1" t="str">
        <f>"창신지 28R9L1"</f>
        <v>창신지 28R9L1</v>
      </c>
      <c r="I17415" s="1" t="s">
        <v>8</v>
      </c>
      <c r="J17415" s="1" t="str">
        <f>"8/8"</f>
        <v>8/8</v>
      </c>
      <c r="K17415" s="1" t="str">
        <f>"2026-07-29 13:18:01"</f>
        <v>2026-07-29 13:18:01</v>
      </c>
      <c r="L17415" s="1" t="str">
        <f>"2017-06-21 17:41:03"</f>
        <v>2017-06-21 17:41:03</v>
      </c>
      <c r="M17415" s="1" t="s">
        <v>2</v>
      </c>
      <c r="N17415" s="1" t="s">
        <v>38</v>
      </c>
      <c r="O17415" s="1" t="s">
        <v>46</v>
      </c>
    </row>
    <row r="17416" spans="2:15" x14ac:dyDescent="0.3">
      <c r="B17416" s="1" t="s">
        <v>13</v>
      </c>
      <c r="C17416" s="1" t="str">
        <f>"4차"</f>
        <v>4차</v>
      </c>
      <c r="D17416" s="1" t="str">
        <f>"0026G01439"</f>
        <v>0026G01439</v>
      </c>
      <c r="E17416" s="1" t="s">
        <v>10</v>
      </c>
      <c r="F17416" s="1" t="str">
        <f>"10.12.137.221"</f>
        <v>10.12.137.221</v>
      </c>
      <c r="G17416" s="1" t="str">
        <f>"0026G014"</f>
        <v>0026G014</v>
      </c>
      <c r="H17416" s="1" t="str">
        <f>"종로로 L39"</f>
        <v>종로로 L39</v>
      </c>
      <c r="I17416" s="1" t="s">
        <v>17</v>
      </c>
      <c r="J17416" s="1" t="str">
        <f>"5/5"</f>
        <v>5/5</v>
      </c>
      <c r="K17416" s="1" t="str">
        <f>"2026-07-29 13:18:02"</f>
        <v>2026-07-29 13:18:02</v>
      </c>
      <c r="L17416" s="1" t="str">
        <f>"2018-07-03 14:15:11"</f>
        <v>2018-07-03 14:15:11</v>
      </c>
      <c r="M17416" s="1" t="s">
        <v>0</v>
      </c>
      <c r="N17416" s="1" t="s">
        <v>38</v>
      </c>
      <c r="O17416" s="1" t="s">
        <v>46</v>
      </c>
    </row>
    <row r="17417" spans="2:15" x14ac:dyDescent="0.3">
      <c r="B17417" s="1" t="s">
        <v>13</v>
      </c>
      <c r="C17417" s="1" t="str">
        <f>"3차"</f>
        <v>3차</v>
      </c>
      <c r="D17417" s="1" t="str">
        <f>"0026G08139"</f>
        <v>0026G08139</v>
      </c>
      <c r="E17417" s="1" t="s">
        <v>10</v>
      </c>
      <c r="F17417" s="1" t="str">
        <f>"10.11.25.138"</f>
        <v>10.11.25.138</v>
      </c>
      <c r="G17417" s="1" t="str">
        <f>"0026G081"</f>
        <v>0026G081</v>
      </c>
      <c r="H17417" s="1" t="str">
        <f>"동소문간 10R1L11"</f>
        <v>동소문간 10R1L11</v>
      </c>
      <c r="I17417" s="1" t="s">
        <v>8</v>
      </c>
      <c r="J17417" s="1" t="str">
        <f>"20/20"</f>
        <v>20/20</v>
      </c>
      <c r="K17417" s="1" t="str">
        <f>"2026-07-29 13:18:00"</f>
        <v>2026-07-29 13:18:00</v>
      </c>
      <c r="L17417" s="1" t="str">
        <f>"2017-12-09 14:33:14"</f>
        <v>2017-12-09 14:33:14</v>
      </c>
      <c r="M17417" s="1" t="s">
        <v>2</v>
      </c>
      <c r="N17417" s="1" t="s">
        <v>38</v>
      </c>
      <c r="O17417" s="1" t="s">
        <v>46</v>
      </c>
    </row>
    <row r="17418" spans="2:15" x14ac:dyDescent="0.3">
      <c r="B17418" s="1" t="s">
        <v>13</v>
      </c>
      <c r="C17418" s="1" t="str">
        <f>"4차"</f>
        <v>4차</v>
      </c>
      <c r="D17418" s="1" t="str">
        <f>"0026G12139"</f>
        <v>0026G12139</v>
      </c>
      <c r="E17418" s="1" t="s">
        <v>10</v>
      </c>
      <c r="F17418" s="1" t="str">
        <f>"10.12.137.213"</f>
        <v>10.12.137.213</v>
      </c>
      <c r="G17418" s="1" t="str">
        <f>"0026G121"</f>
        <v>0026G121</v>
      </c>
      <c r="H17418" s="1" t="str">
        <f>"종로로 L41-1"</f>
        <v>종로로 L41-1</v>
      </c>
      <c r="I17418" s="1" t="s">
        <v>17</v>
      </c>
      <c r="J17418" s="1" t="str">
        <f>"10/10"</f>
        <v>10/10</v>
      </c>
      <c r="K17418" s="1" t="str">
        <f>"2026-07-29 13:18:02"</f>
        <v>2026-07-29 13:18:02</v>
      </c>
      <c r="L17418" s="1" t="str">
        <f>"2018-05-11 10:13:27"</f>
        <v>2018-05-11 10:13:27</v>
      </c>
      <c r="M17418" s="1" t="s">
        <v>0</v>
      </c>
      <c r="N17418" s="1" t="s">
        <v>38</v>
      </c>
      <c r="O17418" s="1" t="s">
        <v>46</v>
      </c>
    </row>
    <row r="17419" spans="2:15" x14ac:dyDescent="0.3">
      <c r="B17419" s="1" t="s">
        <v>13</v>
      </c>
      <c r="C17419" s="1" t="str">
        <f>"4차"</f>
        <v>4차</v>
      </c>
      <c r="D17419" s="1" t="str">
        <f>"0026G12639"</f>
        <v>0026G12639</v>
      </c>
      <c r="E17419" s="1" t="s">
        <v>10</v>
      </c>
      <c r="F17419" s="1" t="str">
        <f>"10.12.137.174"</f>
        <v>10.12.137.174</v>
      </c>
      <c r="G17419" s="1" t="str">
        <f>"0026G126"</f>
        <v>0026G126</v>
      </c>
      <c r="H17419" s="1" t="str">
        <f>"대학로 17"</f>
        <v>대학로 17</v>
      </c>
      <c r="I17419" s="1" t="s">
        <v>17</v>
      </c>
      <c r="J17419" s="1" t="str">
        <f>"28/28"</f>
        <v>28/28</v>
      </c>
      <c r="K17419" s="1" t="str">
        <f>"2026-07-29 13:18:02"</f>
        <v>2026-07-29 13:18:02</v>
      </c>
      <c r="L17419" s="1" t="str">
        <f>"2018-05-14 08:48:56"</f>
        <v>2018-05-14 08:48:56</v>
      </c>
      <c r="M17419" s="1" t="s">
        <v>0</v>
      </c>
      <c r="N17419" s="1" t="s">
        <v>38</v>
      </c>
      <c r="O17419" s="1" t="s">
        <v>46</v>
      </c>
    </row>
    <row r="17420" spans="2:15" x14ac:dyDescent="0.3">
      <c r="B17420" s="1" t="s">
        <v>13</v>
      </c>
      <c r="C17420" s="1" t="str">
        <f>"4차"</f>
        <v>4차</v>
      </c>
      <c r="D17420" s="1" t="str">
        <f>"0026G14139"</f>
        <v>0026G14139</v>
      </c>
      <c r="E17420" s="1" t="s">
        <v>10</v>
      </c>
      <c r="F17420" s="1" t="str">
        <f>"10.12.137.180"</f>
        <v>10.12.137.180</v>
      </c>
      <c r="G17420" s="1" t="str">
        <f>"0026G141"</f>
        <v>0026G141</v>
      </c>
      <c r="H17420" s="1" t="str">
        <f>"대학로 14"</f>
        <v>대학로 14</v>
      </c>
      <c r="I17420" s="1" t="s">
        <v>17</v>
      </c>
      <c r="J17420" s="1" t="str">
        <f>"1/8"</f>
        <v>1/8</v>
      </c>
      <c r="K17420" s="1" t="str">
        <f>"2026-07-29 13:18:02"</f>
        <v>2026-07-29 13:18:02</v>
      </c>
      <c r="L17420" s="1" t="str">
        <f>"2018-05-11 16:09:02"</f>
        <v>2018-05-11 16:09:02</v>
      </c>
      <c r="M17420" s="1" t="s">
        <v>0</v>
      </c>
      <c r="N17420" s="1" t="s">
        <v>38</v>
      </c>
      <c r="O17420" s="1" t="s">
        <v>46</v>
      </c>
    </row>
    <row r="17421" spans="2:15" x14ac:dyDescent="0.3">
      <c r="B17421" s="1" t="s">
        <v>13</v>
      </c>
      <c r="C17421" s="1" t="str">
        <f>"4차"</f>
        <v>4차</v>
      </c>
      <c r="D17421" s="1" t="str">
        <f>"0026G27139"</f>
        <v>0026G27139</v>
      </c>
      <c r="E17421" s="1" t="s">
        <v>14</v>
      </c>
      <c r="F17421" s="1" t="str">
        <f>"10.12.137.167"</f>
        <v>10.12.137.167</v>
      </c>
      <c r="G17421" s="1" t="str">
        <f>"0026G271"</f>
        <v>0026G271</v>
      </c>
      <c r="H17421" s="1" t="str">
        <f>"대학로 13"</f>
        <v>대학로 13</v>
      </c>
      <c r="I17421" s="1" t="s">
        <v>17</v>
      </c>
      <c r="J17421" s="1" t="str">
        <f>"0/0"</f>
        <v>0/0</v>
      </c>
      <c r="K17421" s="1" t="str">
        <f>"2026-06-10 07:18:01"</f>
        <v>2026-06-10 07:18:01</v>
      </c>
      <c r="L17421" s="1" t="str">
        <f>"2018-05-11 14:58:45"</f>
        <v>2018-05-11 14:58:45</v>
      </c>
      <c r="M17421" s="1" t="s">
        <v>0</v>
      </c>
      <c r="N17421" s="1" t="s">
        <v>39</v>
      </c>
      <c r="O17421" s="1" t="s">
        <v>46</v>
      </c>
    </row>
    <row r="17422" spans="2:15" x14ac:dyDescent="0.3">
      <c r="B17422" s="1" t="s">
        <v>13</v>
      </c>
      <c r="C17422" s="1" t="str">
        <f>"5-2차"</f>
        <v>5-2차</v>
      </c>
      <c r="D17422" s="1" t="str">
        <f>"0026G3015M"</f>
        <v>0026G3015M</v>
      </c>
      <c r="E17422" s="1" t="s">
        <v>10</v>
      </c>
      <c r="F17422" s="1" t="str">
        <f>"fde2:104:0:1a2:0:0:0:2"</f>
        <v>fde2:104:0:1a2:0:0:0:2</v>
      </c>
      <c r="G17422" s="1" t="str">
        <f>"0026G301"</f>
        <v>0026G301</v>
      </c>
      <c r="H17422" s="1" t="str">
        <f>"종로간 18L2"</f>
        <v>종로간 18L2</v>
      </c>
      <c r="I17422" s="1" t="s">
        <v>15</v>
      </c>
      <c r="J17422" s="1" t="str">
        <f>"23/23"</f>
        <v>23/23</v>
      </c>
      <c r="K17422" s="1" t="str">
        <f>"2026-07-29 14:20:10"</f>
        <v>2026-07-29 14:20:10</v>
      </c>
      <c r="L17422" s="1" t="str">
        <f>"2023-05-23 14:40:42"</f>
        <v>2023-05-23 14:40:42</v>
      </c>
      <c r="M17422" s="1" t="s">
        <v>42</v>
      </c>
      <c r="N17422" s="1" t="s">
        <v>38</v>
      </c>
      <c r="O17422" s="1" t="s">
        <v>46</v>
      </c>
    </row>
    <row r="17423" spans="2:15" x14ac:dyDescent="0.3">
      <c r="B17423" s="1" t="s">
        <v>13</v>
      </c>
      <c r="C17423" s="1" t="str">
        <f>"4차"</f>
        <v>4차</v>
      </c>
      <c r="D17423" s="1" t="str">
        <f>"0026G39239"</f>
        <v>0026G39239</v>
      </c>
      <c r="E17423" s="1" t="s">
        <v>10</v>
      </c>
      <c r="F17423" s="1" t="str">
        <f>"10.11.31.226"</f>
        <v>10.11.31.226</v>
      </c>
      <c r="G17423" s="1" t="str">
        <f>"0026G392"</f>
        <v>0026G392</v>
      </c>
      <c r="H17423" s="1" t="str">
        <f>"동숭동간 10L2L2"</f>
        <v>동숭동간 10L2L2</v>
      </c>
      <c r="I17423" s="1" t="s">
        <v>8</v>
      </c>
      <c r="J17423" s="1" t="str">
        <f>"18/18"</f>
        <v>18/18</v>
      </c>
      <c r="K17423" s="1" t="str">
        <f>"2026-07-29 13:18:01"</f>
        <v>2026-07-29 13:18:01</v>
      </c>
      <c r="L17423" s="1" t="str">
        <f>"2023-10-19 21:08:02"</f>
        <v>2023-10-19 21:08:02</v>
      </c>
      <c r="M17423" s="1" t="s">
        <v>2</v>
      </c>
      <c r="N17423" s="1" t="s">
        <v>38</v>
      </c>
      <c r="O17423" s="1" t="s">
        <v>46</v>
      </c>
    </row>
    <row r="17424" spans="2:15" x14ac:dyDescent="0.3">
      <c r="B17424" s="1" t="s">
        <v>13</v>
      </c>
      <c r="C17424" s="1" t="str">
        <f>"3차"</f>
        <v>3차</v>
      </c>
      <c r="D17424" s="1" t="str">
        <f>"0026G39339"</f>
        <v>0026G39339</v>
      </c>
      <c r="E17424" s="1" t="s">
        <v>10</v>
      </c>
      <c r="F17424" s="1" t="str">
        <f>"10.11.13.106"</f>
        <v>10.11.13.106</v>
      </c>
      <c r="G17424" s="1" t="str">
        <f>"0026G393"</f>
        <v>0026G393</v>
      </c>
      <c r="H17424" s="1" t="str">
        <f>"동숭동간 10L2L1"</f>
        <v>동숭동간 10L2L1</v>
      </c>
      <c r="I17424" s="1" t="s">
        <v>8</v>
      </c>
      <c r="J17424" s="1" t="str">
        <f>"33/33"</f>
        <v>33/33</v>
      </c>
      <c r="K17424" s="1" t="str">
        <f>"2026-07-29 13:18:00"</f>
        <v>2026-07-29 13:18:00</v>
      </c>
      <c r="L17424" s="1" t="str">
        <f>"2018-02-26 18:32:37"</f>
        <v>2018-02-26 18:32:37</v>
      </c>
      <c r="M17424" s="1" t="s">
        <v>2</v>
      </c>
      <c r="N17424" s="1" t="s">
        <v>38</v>
      </c>
      <c r="O17424" s="1" t="s">
        <v>46</v>
      </c>
    </row>
    <row r="17425" spans="2:15" x14ac:dyDescent="0.3">
      <c r="B17425" s="1" t="s">
        <v>13</v>
      </c>
      <c r="C17425" s="1" t="str">
        <f>"5-2차"</f>
        <v>5-2차</v>
      </c>
      <c r="D17425" s="1" t="str">
        <f>"0026G4215M"</f>
        <v>0026G4215M</v>
      </c>
      <c r="E17425" s="1" t="s">
        <v>10</v>
      </c>
      <c r="F17425" s="1" t="str">
        <f>"fde2:104:0:188:0:0:0:2"</f>
        <v>fde2:104:0:188:0:0:0:2</v>
      </c>
      <c r="G17425" s="1" t="str">
        <f>"0026G421"</f>
        <v>0026G421</v>
      </c>
      <c r="H17425" s="1" t="str">
        <f>"동숭동간 2L1"</f>
        <v>동숭동간 2L1</v>
      </c>
      <c r="I17425" s="1" t="s">
        <v>15</v>
      </c>
      <c r="J17425" s="1" t="str">
        <f>"23/23"</f>
        <v>23/23</v>
      </c>
      <c r="K17425" s="1" t="str">
        <f>"2026-07-29 14:20:18"</f>
        <v>2026-07-29 14:20:18</v>
      </c>
      <c r="L17425" s="1" t="str">
        <f>"2023-05-23 14:46:22"</f>
        <v>2023-05-23 14:46:22</v>
      </c>
      <c r="M17425" s="1" t="s">
        <v>42</v>
      </c>
      <c r="N17425" s="1" t="s">
        <v>38</v>
      </c>
      <c r="O17425" s="1" t="s">
        <v>46</v>
      </c>
    </row>
    <row r="17426" spans="2:15" x14ac:dyDescent="0.3">
      <c r="B17426" s="1" t="s">
        <v>13</v>
      </c>
      <c r="C17426" s="1" t="str">
        <f>"3차"</f>
        <v>3차</v>
      </c>
      <c r="D17426" s="1" t="str">
        <f>"0026G48339"</f>
        <v>0026G48339</v>
      </c>
      <c r="E17426" s="1" t="s">
        <v>10</v>
      </c>
      <c r="F17426" s="1" t="str">
        <f>"10.11.13.98"</f>
        <v>10.11.13.98</v>
      </c>
      <c r="G17426" s="1" t="str">
        <f>"0026G483"</f>
        <v>0026G483</v>
      </c>
      <c r="H17426" s="1" t="str">
        <f>"동숭동간 10L1"</f>
        <v>동숭동간 10L1</v>
      </c>
      <c r="I17426" s="1" t="s">
        <v>8</v>
      </c>
      <c r="J17426" s="1" t="str">
        <f>"32/32"</f>
        <v>32/32</v>
      </c>
      <c r="K17426" s="1" t="str">
        <f>"2026-07-29 13:18:01"</f>
        <v>2026-07-29 13:18:01</v>
      </c>
      <c r="L17426" s="1" t="str">
        <f>"2018-02-26 18:34:21"</f>
        <v>2018-02-26 18:34:21</v>
      </c>
      <c r="M17426" s="1" t="s">
        <v>2</v>
      </c>
      <c r="N17426" s="1" t="s">
        <v>38</v>
      </c>
      <c r="O17426" s="1" t="s">
        <v>46</v>
      </c>
    </row>
    <row r="17427" spans="2:15" x14ac:dyDescent="0.3">
      <c r="B17427" s="1" t="s">
        <v>13</v>
      </c>
      <c r="C17427" s="1" t="str">
        <f>"4차"</f>
        <v>4차</v>
      </c>
      <c r="D17427" s="1" t="str">
        <f>"0026G49139"</f>
        <v>0026G49139</v>
      </c>
      <c r="E17427" s="1" t="s">
        <v>10</v>
      </c>
      <c r="F17427" s="1" t="str">
        <f>"10.11.31.218"</f>
        <v>10.11.31.218</v>
      </c>
      <c r="G17427" s="1" t="str">
        <f>"0026G491"</f>
        <v>0026G491</v>
      </c>
      <c r="H17427" s="1" t="str">
        <f>"동숭동간 10L2"</f>
        <v>동숭동간 10L2</v>
      </c>
      <c r="I17427" s="1" t="s">
        <v>8</v>
      </c>
      <c r="J17427" s="1" t="str">
        <f>"15/15"</f>
        <v>15/15</v>
      </c>
      <c r="K17427" s="1" t="str">
        <f>"2026-07-29 13:18:00"</f>
        <v>2026-07-29 13:18:00</v>
      </c>
      <c r="L17427" s="1" t="str">
        <f>"2018-02-10 15:03:41"</f>
        <v>2018-02-10 15:03:41</v>
      </c>
      <c r="M17427" s="1" t="s">
        <v>2</v>
      </c>
      <c r="N17427" s="1" t="s">
        <v>38</v>
      </c>
      <c r="O17427" s="1" t="s">
        <v>46</v>
      </c>
    </row>
    <row r="17428" spans="2:15" x14ac:dyDescent="0.3">
      <c r="B17428" s="1" t="s">
        <v>13</v>
      </c>
      <c r="C17428" s="1" t="str">
        <f>"6차"</f>
        <v>6차</v>
      </c>
      <c r="D17428" s="1" t="str">
        <f>"0026G5226S"</f>
        <v>0026G5226S</v>
      </c>
      <c r="E17428" s="1" t="s">
        <v>10</v>
      </c>
      <c r="F17428" s="1" t="str">
        <f>"fde1:103:4:c5ca:0:0:0:2"</f>
        <v>fde1:103:4:c5ca:0:0:0:2</v>
      </c>
      <c r="G17428" s="1" t="str">
        <f>"0026G522"</f>
        <v>0026G522</v>
      </c>
      <c r="H17428" s="1" t="str">
        <f>"동숭동간 2"</f>
        <v>동숭동간 2</v>
      </c>
      <c r="I17428" s="1" t="s">
        <v>15</v>
      </c>
      <c r="J17428" s="1" t="str">
        <f>"18/19"</f>
        <v>18/19</v>
      </c>
      <c r="K17428" s="1" t="str">
        <f>"2026-07-29 14:20:19"</f>
        <v>2026-07-29 14:20:19</v>
      </c>
      <c r="L17428" s="1" t="str">
        <f>"2024-11-19 11:29:22"</f>
        <v>2024-11-19 11:29:22</v>
      </c>
      <c r="M17428" s="1" t="s">
        <v>4</v>
      </c>
      <c r="N17428" s="1" t="s">
        <v>38</v>
      </c>
      <c r="O17428" s="1" t="s">
        <v>46</v>
      </c>
    </row>
    <row r="17429" spans="2:15" x14ac:dyDescent="0.3">
      <c r="B17429" s="1" t="s">
        <v>13</v>
      </c>
      <c r="C17429" s="1" t="str">
        <f>"5-2차"</f>
        <v>5-2차</v>
      </c>
      <c r="D17429" s="1" t="str">
        <f>"0026G5435M"</f>
        <v>0026G5435M</v>
      </c>
      <c r="E17429" s="1" t="s">
        <v>10</v>
      </c>
      <c r="F17429" s="1" t="str">
        <f>"fde3:102:1304:3101:0:0:0:4"</f>
        <v>fde3:102:1304:3101:0:0:0:4</v>
      </c>
      <c r="G17429" s="1" t="str">
        <f>"0026G543"</f>
        <v>0026G543</v>
      </c>
      <c r="H17429" s="1" t="str">
        <f>"동숭동간 4"</f>
        <v>동숭동간 4</v>
      </c>
      <c r="I17429" s="1" t="s">
        <v>15</v>
      </c>
      <c r="J17429" s="1" t="str">
        <f>"16/16"</f>
        <v>16/16</v>
      </c>
      <c r="K17429" s="1" t="str">
        <f>"2026-07-29 14:20:11"</f>
        <v>2026-07-29 14:20:11</v>
      </c>
      <c r="L17429" s="1" t="str">
        <f>"2023-06-13 17:43:01"</f>
        <v>2023-06-13 17:43:01</v>
      </c>
      <c r="M17429" s="1" t="s">
        <v>45</v>
      </c>
      <c r="N17429" s="1" t="s">
        <v>38</v>
      </c>
      <c r="O17429" s="1" t="s">
        <v>46</v>
      </c>
    </row>
    <row r="17430" spans="2:15" x14ac:dyDescent="0.3">
      <c r="B17430" s="1" t="s">
        <v>13</v>
      </c>
      <c r="C17430" s="1" t="str">
        <f>"5-2차"</f>
        <v>5-2차</v>
      </c>
      <c r="D17430" s="1" t="str">
        <f>"0026G5515M"</f>
        <v>0026G5515M</v>
      </c>
      <c r="E17430" s="1" t="s">
        <v>10</v>
      </c>
      <c r="F17430" s="1" t="str">
        <f>"fde3:102:1304:3103:0:0:0:2"</f>
        <v>fde3:102:1304:3103:0:0:0:2</v>
      </c>
      <c r="G17430" s="1" t="str">
        <f>"0026G551"</f>
        <v>0026G551</v>
      </c>
      <c r="H17430" s="1" t="str">
        <f>"동숭동간 6"</f>
        <v>동숭동간 6</v>
      </c>
      <c r="I17430" s="1" t="s">
        <v>15</v>
      </c>
      <c r="J17430" s="1" t="str">
        <f>"26/26"</f>
        <v>26/26</v>
      </c>
      <c r="K17430" s="1" t="str">
        <f>"2026-07-28 20:03:27"</f>
        <v>2026-07-28 20:03:27</v>
      </c>
      <c r="L17430" s="1" t="str">
        <f>"2023-06-13 17:43:43"</f>
        <v>2023-06-13 17:43:43</v>
      </c>
      <c r="M17430" s="1" t="s">
        <v>45</v>
      </c>
      <c r="N17430" s="1" t="s">
        <v>38</v>
      </c>
      <c r="O17430" s="1" t="s">
        <v>46</v>
      </c>
    </row>
    <row r="17431" spans="2:15" x14ac:dyDescent="0.3">
      <c r="B17431" s="1" t="s">
        <v>13</v>
      </c>
      <c r="C17431" s="1" t="s">
        <v>16</v>
      </c>
      <c r="D17431" s="1" t="str">
        <f>"0026G55241"</f>
        <v>0026G55241</v>
      </c>
      <c r="E17431" s="1" t="s">
        <v>10</v>
      </c>
      <c r="F17431" s="1" t="str">
        <f>"10.12.130.135"</f>
        <v>10.12.130.135</v>
      </c>
      <c r="G17431" s="1" t="str">
        <f>"0026G552"</f>
        <v>0026G552</v>
      </c>
      <c r="H17431" s="1" t="str">
        <f>"동숭동간 6R1"</f>
        <v>동숭동간 6R1</v>
      </c>
      <c r="I17431" s="1" t="s">
        <v>17</v>
      </c>
      <c r="J17431" s="1" t="str">
        <f>"55/72"</f>
        <v>55/72</v>
      </c>
      <c r="K17431" s="1" t="str">
        <f>"2026-07-29 13:18:01"</f>
        <v>2026-07-29 13:18:01</v>
      </c>
      <c r="L17431" s="1" t="str">
        <f>"2022-11-08 15:11:35"</f>
        <v>2022-11-08 15:11:35</v>
      </c>
      <c r="M17431" s="1" t="s">
        <v>0</v>
      </c>
      <c r="N17431" s="1" t="s">
        <v>38</v>
      </c>
      <c r="O17431" s="1" t="s">
        <v>46</v>
      </c>
    </row>
    <row r="17432" spans="2:15" x14ac:dyDescent="0.3">
      <c r="B17432" s="1" t="s">
        <v>13</v>
      </c>
      <c r="C17432" s="1" t="str">
        <f>"3차"</f>
        <v>3차</v>
      </c>
      <c r="D17432" s="1" t="str">
        <f>"0026G58839"</f>
        <v>0026G58839</v>
      </c>
      <c r="E17432" s="1" t="s">
        <v>10</v>
      </c>
      <c r="F17432" s="1" t="str">
        <f>"10.11.13.130"</f>
        <v>10.11.13.130</v>
      </c>
      <c r="G17432" s="1" t="str">
        <f>"0026G588"</f>
        <v>0026G588</v>
      </c>
      <c r="H17432" s="1" t="str">
        <f>"동숭동간 11R1"</f>
        <v>동숭동간 11R1</v>
      </c>
      <c r="I17432" s="1" t="s">
        <v>8</v>
      </c>
      <c r="J17432" s="1" t="str">
        <f>"64/69"</f>
        <v>64/69</v>
      </c>
      <c r="K17432" s="1" t="str">
        <f>"2026-07-29 13:18:00"</f>
        <v>2026-07-29 13:18:00</v>
      </c>
      <c r="L17432" s="1" t="str">
        <f>"2018-02-26 18:38:06"</f>
        <v>2018-02-26 18:38:06</v>
      </c>
      <c r="M17432" s="1" t="s">
        <v>2</v>
      </c>
      <c r="N17432" s="1" t="s">
        <v>38</v>
      </c>
      <c r="O17432" s="1" t="s">
        <v>46</v>
      </c>
    </row>
    <row r="17433" spans="2:15" x14ac:dyDescent="0.3">
      <c r="B17433" s="1" t="s">
        <v>13</v>
      </c>
      <c r="C17433" s="1" t="str">
        <f>"3차"</f>
        <v>3차</v>
      </c>
      <c r="D17433" s="1" t="str">
        <f>"0026G59139"</f>
        <v>0026G59139</v>
      </c>
      <c r="E17433" s="1" t="s">
        <v>10</v>
      </c>
      <c r="F17433" s="1" t="str">
        <f>"10.11.13.90"</f>
        <v>10.11.13.90</v>
      </c>
      <c r="G17433" s="1" t="str">
        <f>"0026G591"</f>
        <v>0026G591</v>
      </c>
      <c r="H17433" s="1" t="str">
        <f>"동숭동간 12"</f>
        <v>동숭동간 12</v>
      </c>
      <c r="I17433" s="1" t="s">
        <v>8</v>
      </c>
      <c r="J17433" s="1" t="str">
        <f>"46/46"</f>
        <v>46/46</v>
      </c>
      <c r="K17433" s="1" t="str">
        <f>"2026-07-29 13:18:00"</f>
        <v>2026-07-29 13:18:00</v>
      </c>
      <c r="L17433" s="1" t="str">
        <f>"2018-02-26 18:40:07"</f>
        <v>2018-02-26 18:40:07</v>
      </c>
      <c r="M17433" s="1" t="s">
        <v>2</v>
      </c>
      <c r="N17433" s="1" t="s">
        <v>38</v>
      </c>
      <c r="O17433" s="1" t="s">
        <v>46</v>
      </c>
    </row>
    <row r="17434" spans="2:15" x14ac:dyDescent="0.3">
      <c r="B17434" s="1" t="s">
        <v>13</v>
      </c>
      <c r="C17434" s="1" t="str">
        <f>"5-2차"</f>
        <v>5-2차</v>
      </c>
      <c r="D17434" s="1" t="str">
        <f>"0026G6015M"</f>
        <v>0026G6015M</v>
      </c>
      <c r="E17434" s="1" t="s">
        <v>10</v>
      </c>
      <c r="F17434" s="1" t="str">
        <f>"fde2:104:0:169:0:0:0:2"</f>
        <v>fde2:104:0:169:0:0:0:2</v>
      </c>
      <c r="G17434" s="1" t="str">
        <f>"0026G601"</f>
        <v>0026G601</v>
      </c>
      <c r="H17434" s="1" t="str">
        <f>"종로간 11L3R2"</f>
        <v>종로간 11L3R2</v>
      </c>
      <c r="I17434" s="1" t="s">
        <v>15</v>
      </c>
      <c r="J17434" s="1" t="str">
        <f>"31/33"</f>
        <v>31/33</v>
      </c>
      <c r="K17434" s="1" t="str">
        <f>"2026-07-29 14:20:11"</f>
        <v>2026-07-29 14:20:11</v>
      </c>
      <c r="L17434" s="1" t="str">
        <f>"2023-05-23 14:37:26"</f>
        <v>2023-05-23 14:37:26</v>
      </c>
      <c r="M17434" s="1" t="s">
        <v>42</v>
      </c>
      <c r="N17434" s="1" t="s">
        <v>38</v>
      </c>
      <c r="O17434" s="1" t="s">
        <v>46</v>
      </c>
    </row>
    <row r="17435" spans="2:15" x14ac:dyDescent="0.3">
      <c r="B17435" s="1" t="s">
        <v>13</v>
      </c>
      <c r="C17435" s="1" t="str">
        <f>"5-1차"</f>
        <v>5-1차</v>
      </c>
      <c r="D17435" s="1" t="str">
        <f>"0026G6235M"</f>
        <v>0026G6235M</v>
      </c>
      <c r="E17435" s="1" t="s">
        <v>10</v>
      </c>
      <c r="F17435" s="1" t="str">
        <f>"fde3:102:1304:3101:0:0:0:2"</f>
        <v>fde3:102:1304:3101:0:0:0:2</v>
      </c>
      <c r="G17435" s="1" t="str">
        <f>"0026G623"</f>
        <v>0026G623</v>
      </c>
      <c r="H17435" s="1" t="str">
        <f>"동숭동간 2R2"</f>
        <v>동숭동간 2R2</v>
      </c>
      <c r="I17435" s="1" t="s">
        <v>15</v>
      </c>
      <c r="J17435" s="1" t="str">
        <f>"12/12"</f>
        <v>12/12</v>
      </c>
      <c r="K17435" s="1" t="str">
        <f>"2026-07-29 14:20:12"</f>
        <v>2026-07-29 14:20:12</v>
      </c>
      <c r="L17435" s="1" t="str">
        <f>"2022-11-22 10:56:54"</f>
        <v>2022-11-22 10:56:54</v>
      </c>
      <c r="M17435" s="1" t="s">
        <v>45</v>
      </c>
      <c r="N17435" s="1" t="s">
        <v>38</v>
      </c>
      <c r="O17435" s="1" t="s">
        <v>46</v>
      </c>
    </row>
    <row r="17436" spans="2:15" x14ac:dyDescent="0.3">
      <c r="B17436" s="1" t="s">
        <v>13</v>
      </c>
      <c r="C17436" s="1" t="str">
        <f>"4차"</f>
        <v>4차</v>
      </c>
      <c r="D17436" s="1" t="str">
        <f>"0026G67139"</f>
        <v>0026G67139</v>
      </c>
      <c r="E17436" s="1" t="s">
        <v>10</v>
      </c>
      <c r="F17436" s="1" t="str">
        <f>"10.11.32.2"</f>
        <v>10.11.32.2</v>
      </c>
      <c r="G17436" s="1" t="str">
        <f>"0026G671"</f>
        <v>0026G671</v>
      </c>
      <c r="H17436" s="1" t="str">
        <f>"동숭동간 11R3R2"</f>
        <v>동숭동간 11R3R2</v>
      </c>
      <c r="I17436" s="1" t="s">
        <v>8</v>
      </c>
      <c r="J17436" s="1" t="str">
        <f>"16/16"</f>
        <v>16/16</v>
      </c>
      <c r="K17436" s="1" t="str">
        <f>"2026-07-29 13:18:00"</f>
        <v>2026-07-29 13:18:00</v>
      </c>
      <c r="L17436" s="1" t="str">
        <f>"2018-02-10 15:28:27"</f>
        <v>2018-02-10 15:28:27</v>
      </c>
      <c r="M17436" s="1" t="s">
        <v>2</v>
      </c>
      <c r="N17436" s="1" t="s">
        <v>38</v>
      </c>
      <c r="O17436" s="1" t="s">
        <v>46</v>
      </c>
    </row>
    <row r="17437" spans="2:15" x14ac:dyDescent="0.3">
      <c r="B17437" s="1" t="s">
        <v>13</v>
      </c>
      <c r="C17437" s="1" t="str">
        <f>"4차"</f>
        <v>4차</v>
      </c>
      <c r="D17437" s="1" t="str">
        <f>"0026G68239"</f>
        <v>0026G68239</v>
      </c>
      <c r="E17437" s="1" t="s">
        <v>10</v>
      </c>
      <c r="F17437" s="1" t="str">
        <f>"10.11.13.138"</f>
        <v>10.11.13.138</v>
      </c>
      <c r="G17437" s="1" t="str">
        <f>"0026G682"</f>
        <v>0026G682</v>
      </c>
      <c r="H17437" s="1" t="str">
        <f>"동숭동간 11R3R1"</f>
        <v>동숭동간 11R3R1</v>
      </c>
      <c r="I17437" s="1" t="s">
        <v>8</v>
      </c>
      <c r="J17437" s="1" t="str">
        <f>"4/10"</f>
        <v>4/10</v>
      </c>
      <c r="K17437" s="1" t="str">
        <f>"2026-07-29 13:18:00"</f>
        <v>2026-07-29 13:18:00</v>
      </c>
      <c r="L17437" s="1" t="str">
        <f>"2018-05-17 16:12:27"</f>
        <v>2018-05-17 16:12:27</v>
      </c>
      <c r="M17437" s="1" t="s">
        <v>2</v>
      </c>
      <c r="N17437" s="1" t="s">
        <v>38</v>
      </c>
      <c r="O17437" s="1" t="s">
        <v>46</v>
      </c>
    </row>
    <row r="17438" spans="2:15" x14ac:dyDescent="0.3">
      <c r="B17438" s="1" t="s">
        <v>13</v>
      </c>
      <c r="C17438" s="1" t="str">
        <f>"3차"</f>
        <v>3차</v>
      </c>
      <c r="D17438" s="1" t="str">
        <f>"0026G68339"</f>
        <v>0026G68339</v>
      </c>
      <c r="E17438" s="1" t="s">
        <v>10</v>
      </c>
      <c r="F17438" s="1" t="str">
        <f>"10.11.31.250"</f>
        <v>10.11.31.250</v>
      </c>
      <c r="G17438" s="1" t="str">
        <f>"0026G683"</f>
        <v>0026G683</v>
      </c>
      <c r="H17438" s="1" t="str">
        <f>"동숭동간 11R3"</f>
        <v>동숭동간 11R3</v>
      </c>
      <c r="I17438" s="1" t="s">
        <v>8</v>
      </c>
      <c r="J17438" s="1" t="str">
        <f>"41/41"</f>
        <v>41/41</v>
      </c>
      <c r="K17438" s="1" t="str">
        <f>"2026-07-29 13:18:00"</f>
        <v>2026-07-29 13:18:00</v>
      </c>
      <c r="L17438" s="1" t="str">
        <f>"2018-02-10 15:25:27"</f>
        <v>2018-02-10 15:25:27</v>
      </c>
      <c r="M17438" s="1" t="s">
        <v>2</v>
      </c>
      <c r="N17438" s="1" t="s">
        <v>38</v>
      </c>
      <c r="O17438" s="1" t="s">
        <v>46</v>
      </c>
    </row>
    <row r="17439" spans="2:15" x14ac:dyDescent="0.3">
      <c r="B17439" s="1" t="s">
        <v>13</v>
      </c>
      <c r="C17439" s="1" t="str">
        <f>"5-2차"</f>
        <v>5-2차</v>
      </c>
      <c r="D17439" s="1" t="str">
        <f>"0026G7415M"</f>
        <v>0026G7415M</v>
      </c>
      <c r="E17439" s="1" t="s">
        <v>10</v>
      </c>
      <c r="F17439" s="1" t="str">
        <f>"fde2:104:0:18c:0:0:0:2"</f>
        <v>fde2:104:0:18c:0:0:0:2</v>
      </c>
      <c r="G17439" s="1" t="str">
        <f>"0026G741"</f>
        <v>0026G741</v>
      </c>
      <c r="H17439" s="1" t="str">
        <f>"동숭동간 2R11"</f>
        <v>동숭동간 2R11</v>
      </c>
      <c r="I17439" s="1" t="s">
        <v>15</v>
      </c>
      <c r="J17439" s="1" t="str">
        <f>"28/31"</f>
        <v>28/31</v>
      </c>
      <c r="K17439" s="1" t="str">
        <f>"2026-07-29 14:20:12"</f>
        <v>2026-07-29 14:20:12</v>
      </c>
      <c r="L17439" s="1" t="str">
        <f>"2023-05-23 15:00:07"</f>
        <v>2023-05-23 15:00:07</v>
      </c>
      <c r="M17439" s="1" t="s">
        <v>42</v>
      </c>
      <c r="N17439" s="1" t="s">
        <v>38</v>
      </c>
      <c r="O17439" s="1" t="s">
        <v>46</v>
      </c>
    </row>
    <row r="17440" spans="2:15" x14ac:dyDescent="0.3">
      <c r="B17440" s="1" t="s">
        <v>13</v>
      </c>
      <c r="C17440" s="1" t="str">
        <f>"5-2차"</f>
        <v>5-2차</v>
      </c>
      <c r="D17440" s="1" t="str">
        <f>"0026G7615M"</f>
        <v>0026G7615M</v>
      </c>
      <c r="E17440" s="1" t="s">
        <v>10</v>
      </c>
      <c r="F17440" s="1" t="str">
        <f>"fde3:102:1304:3901:0:0:0:2"</f>
        <v>fde3:102:1304:3901:0:0:0:2</v>
      </c>
      <c r="G17440" s="1" t="str">
        <f>"0026G761"</f>
        <v>0026G761</v>
      </c>
      <c r="H17440" s="1" t="str">
        <f>"동숭동간 6R4"</f>
        <v>동숭동간 6R4</v>
      </c>
      <c r="I17440" s="1" t="s">
        <v>15</v>
      </c>
      <c r="J17440" s="1" t="str">
        <f>"25/29"</f>
        <v>25/29</v>
      </c>
      <c r="K17440" s="1" t="str">
        <f>"2026-07-29 14:20:12"</f>
        <v>2026-07-29 14:20:12</v>
      </c>
      <c r="L17440" s="1" t="str">
        <f>"2023-06-13 17:44:30"</f>
        <v>2023-06-13 17:44:30</v>
      </c>
      <c r="M17440" s="1" t="s">
        <v>45</v>
      </c>
      <c r="N17440" s="1" t="s">
        <v>38</v>
      </c>
      <c r="O17440" s="1" t="s">
        <v>46</v>
      </c>
    </row>
    <row r="17441" spans="2:15" x14ac:dyDescent="0.3">
      <c r="B17441" s="1" t="s">
        <v>13</v>
      </c>
      <c r="C17441" s="1" t="str">
        <f>"3차"</f>
        <v>3차</v>
      </c>
      <c r="D17441" s="1" t="str">
        <f>"0026G79539"</f>
        <v>0026G79539</v>
      </c>
      <c r="E17441" s="1" t="s">
        <v>10</v>
      </c>
      <c r="F17441" s="1" t="str">
        <f>"10.11.13.146"</f>
        <v>10.11.13.146</v>
      </c>
      <c r="G17441" s="1" t="str">
        <f>"0026G795"</f>
        <v>0026G795</v>
      </c>
      <c r="H17441" s="1" t="str">
        <f>"동숭동간 11R4"</f>
        <v>동숭동간 11R4</v>
      </c>
      <c r="I17441" s="1" t="s">
        <v>8</v>
      </c>
      <c r="J17441" s="1" t="str">
        <f>"35/35"</f>
        <v>35/35</v>
      </c>
      <c r="K17441" s="1" t="str">
        <f>"2026-07-29 13:18:00"</f>
        <v>2026-07-29 13:18:00</v>
      </c>
      <c r="L17441" s="1" t="str">
        <f>"2018-02-26 18:41:37"</f>
        <v>2018-02-26 18:41:37</v>
      </c>
      <c r="M17441" s="1" t="s">
        <v>2</v>
      </c>
      <c r="N17441" s="1" t="s">
        <v>38</v>
      </c>
      <c r="O17441" s="1" t="s">
        <v>46</v>
      </c>
    </row>
    <row r="17442" spans="2:15" x14ac:dyDescent="0.3">
      <c r="B17442" s="1" t="s">
        <v>13</v>
      </c>
      <c r="C17442" s="1" t="str">
        <f>"4차"</f>
        <v>4차</v>
      </c>
      <c r="D17442" s="1" t="str">
        <f>"0026G79639"</f>
        <v>0026G79639</v>
      </c>
      <c r="E17442" s="1" t="s">
        <v>10</v>
      </c>
      <c r="F17442" s="1" t="str">
        <f>"10.11.32.10"</f>
        <v>10.11.32.10</v>
      </c>
      <c r="G17442" s="1" t="str">
        <f>"0026G796"</f>
        <v>0026G796</v>
      </c>
      <c r="H17442" s="1" t="str">
        <f>"동숭동간 11R5"</f>
        <v>동숭동간 11R5</v>
      </c>
      <c r="I17442" s="1" t="s">
        <v>8</v>
      </c>
      <c r="J17442" s="1" t="str">
        <f>"47/47"</f>
        <v>47/47</v>
      </c>
      <c r="K17442" s="1" t="str">
        <f>"2026-07-29 13:18:00"</f>
        <v>2026-07-29 13:18:00</v>
      </c>
      <c r="L17442" s="1" t="str">
        <f>"2018-02-10 15:31:42"</f>
        <v>2018-02-10 15:31:42</v>
      </c>
      <c r="M17442" s="1" t="s">
        <v>2</v>
      </c>
      <c r="N17442" s="1" t="s">
        <v>38</v>
      </c>
      <c r="O17442" s="1" t="s">
        <v>46</v>
      </c>
    </row>
    <row r="17443" spans="2:15" x14ac:dyDescent="0.3">
      <c r="B17443" s="1" t="s">
        <v>13</v>
      </c>
      <c r="C17443" s="1" t="str">
        <f>"5-2차"</f>
        <v>5-2차</v>
      </c>
      <c r="D17443" s="1" t="str">
        <f>"0026G8235M"</f>
        <v>0026G8235M</v>
      </c>
      <c r="E17443" s="1" t="s">
        <v>10</v>
      </c>
      <c r="F17443" s="1" t="str">
        <f>"fde3:102:1304:3a00:0:0:0:2"</f>
        <v>fde3:102:1304:3a00:0:0:0:2</v>
      </c>
      <c r="G17443" s="1" t="str">
        <f>"0026G823"</f>
        <v>0026G823</v>
      </c>
      <c r="H17443" s="1" t="str">
        <f>"동숭동간 2R5"</f>
        <v>동숭동간 2R5</v>
      </c>
      <c r="I17443" s="1" t="s">
        <v>15</v>
      </c>
      <c r="J17443" s="1" t="str">
        <f>"34/34"</f>
        <v>34/34</v>
      </c>
      <c r="K17443" s="1" t="str">
        <f>"2026-07-29 14:20:12"</f>
        <v>2026-07-29 14:20:12</v>
      </c>
      <c r="L17443" s="1" t="str">
        <f>"2023-06-13 17:45:14"</f>
        <v>2023-06-13 17:45:14</v>
      </c>
      <c r="M17443" s="1" t="s">
        <v>45</v>
      </c>
      <c r="N17443" s="1" t="s">
        <v>38</v>
      </c>
      <c r="O17443" s="1" t="s">
        <v>46</v>
      </c>
    </row>
    <row r="17444" spans="2:15" x14ac:dyDescent="0.3">
      <c r="B17444" s="1" t="s">
        <v>13</v>
      </c>
      <c r="C17444" s="1" t="str">
        <f>"5-2차"</f>
        <v>5-2차</v>
      </c>
      <c r="D17444" s="1" t="str">
        <f>"0026G8315M"</f>
        <v>0026G8315M</v>
      </c>
      <c r="E17444" s="1" t="s">
        <v>10</v>
      </c>
      <c r="F17444" s="1" t="str">
        <f>"fde3:102:1304:3101:0:0:0:3"</f>
        <v>fde3:102:1304:3101:0:0:0:3</v>
      </c>
      <c r="G17444" s="1" t="str">
        <f>"0026G831"</f>
        <v>0026G831</v>
      </c>
      <c r="H17444" s="1" t="str">
        <f>"동숭동간 2R5L2"</f>
        <v>동숭동간 2R5L2</v>
      </c>
      <c r="I17444" s="1" t="s">
        <v>15</v>
      </c>
      <c r="J17444" s="1" t="str">
        <f>"57/57"</f>
        <v>57/57</v>
      </c>
      <c r="K17444" s="1" t="str">
        <f>"2026-07-28 20:20:13"</f>
        <v>2026-07-28 20:20:13</v>
      </c>
      <c r="L17444" s="1" t="str">
        <f>"2023-06-13 17:46:00"</f>
        <v>2023-06-13 17:46:00</v>
      </c>
      <c r="M17444" s="1" t="s">
        <v>45</v>
      </c>
      <c r="N17444" s="1" t="s">
        <v>38</v>
      </c>
      <c r="O17444" s="1" t="s">
        <v>46</v>
      </c>
    </row>
    <row r="17445" spans="2:15" x14ac:dyDescent="0.3">
      <c r="B17445" s="1" t="s">
        <v>13</v>
      </c>
      <c r="C17445" s="1" t="str">
        <f>"3차"</f>
        <v>3차</v>
      </c>
      <c r="D17445" s="1" t="str">
        <f>"0026G88139"</f>
        <v>0026G88139</v>
      </c>
      <c r="E17445" s="1" t="s">
        <v>10</v>
      </c>
      <c r="F17445" s="1" t="str">
        <f>"10.11.32.34"</f>
        <v>10.11.32.34</v>
      </c>
      <c r="G17445" s="1" t="str">
        <f>"0026G881"</f>
        <v>0026G881</v>
      </c>
      <c r="H17445" s="1" t="str">
        <f>"동숭동간 6R6L2"</f>
        <v>동숭동간 6R6L2</v>
      </c>
      <c r="I17445" s="1" t="s">
        <v>8</v>
      </c>
      <c r="J17445" s="1" t="str">
        <f>"55/55"</f>
        <v>55/55</v>
      </c>
      <c r="K17445" s="1" t="str">
        <f>"2026-07-29 13:18:00"</f>
        <v>2026-07-29 13:18:00</v>
      </c>
      <c r="L17445" s="1" t="str">
        <f>"2018-02-12 08:24:22"</f>
        <v>2018-02-12 08:24:22</v>
      </c>
      <c r="M17445" s="1" t="s">
        <v>2</v>
      </c>
      <c r="N17445" s="1" t="s">
        <v>38</v>
      </c>
      <c r="O17445" s="1" t="s">
        <v>46</v>
      </c>
    </row>
    <row r="17446" spans="2:15" x14ac:dyDescent="0.3">
      <c r="B17446" s="1" t="s">
        <v>13</v>
      </c>
      <c r="C17446" s="1" t="str">
        <f>"4차"</f>
        <v>4차</v>
      </c>
      <c r="D17446" s="1" t="str">
        <f>"0026G89139"</f>
        <v>0026G89139</v>
      </c>
      <c r="E17446" s="1" t="s">
        <v>10</v>
      </c>
      <c r="F17446" s="1" t="str">
        <f>"10.11.13.170"</f>
        <v>10.11.13.170</v>
      </c>
      <c r="G17446" s="1" t="str">
        <f>"0026G891"</f>
        <v>0026G891</v>
      </c>
      <c r="H17446" s="1" t="str">
        <f>"동숭동간 6R6L3"</f>
        <v>동숭동간 6R6L3</v>
      </c>
      <c r="I17446" s="1" t="s">
        <v>8</v>
      </c>
      <c r="J17446" s="1" t="str">
        <f>"40/41"</f>
        <v>40/41</v>
      </c>
      <c r="K17446" s="1" t="str">
        <f>"2026-07-29 13:18:00"</f>
        <v>2026-07-29 13:18:00</v>
      </c>
      <c r="L17446" s="1" t="str">
        <f>"2018-02-26 18:42:52"</f>
        <v>2018-02-26 18:42:52</v>
      </c>
      <c r="M17446" s="1" t="s">
        <v>2</v>
      </c>
      <c r="N17446" s="1" t="s">
        <v>38</v>
      </c>
      <c r="O17446" s="1" t="s">
        <v>46</v>
      </c>
    </row>
    <row r="17447" spans="2:15" x14ac:dyDescent="0.3">
      <c r="B17447" s="1" t="s">
        <v>13</v>
      </c>
      <c r="C17447" s="1" t="str">
        <f>"4차"</f>
        <v>4차</v>
      </c>
      <c r="D17447" s="1" t="str">
        <f>"0026G89239"</f>
        <v>0026G89239</v>
      </c>
      <c r="E17447" s="1" t="s">
        <v>10</v>
      </c>
      <c r="F17447" s="1" t="str">
        <f>"10.11.32.42"</f>
        <v>10.11.32.42</v>
      </c>
      <c r="G17447" s="1" t="str">
        <f>"0026G892"</f>
        <v>0026G892</v>
      </c>
      <c r="H17447" s="1" t="str">
        <f>"동숭동간 6R6L3L1"</f>
        <v>동숭동간 6R6L3L1</v>
      </c>
      <c r="I17447" s="1" t="s">
        <v>8</v>
      </c>
      <c r="J17447" s="1" t="str">
        <f>"36/36"</f>
        <v>36/36</v>
      </c>
      <c r="K17447" s="1" t="str">
        <f>"2026-07-29 13:18:00"</f>
        <v>2026-07-29 13:18:00</v>
      </c>
      <c r="L17447" s="1" t="str">
        <f>"2018-02-12 08:28:22"</f>
        <v>2018-02-12 08:28:22</v>
      </c>
      <c r="M17447" s="1" t="s">
        <v>2</v>
      </c>
      <c r="N17447" s="1" t="s">
        <v>38</v>
      </c>
      <c r="O17447" s="1" t="s">
        <v>46</v>
      </c>
    </row>
    <row r="17448" spans="2:15" x14ac:dyDescent="0.3">
      <c r="B17448" s="1" t="s">
        <v>13</v>
      </c>
      <c r="C17448" s="1" t="str">
        <f>"5-2차"</f>
        <v>5-2차</v>
      </c>
      <c r="D17448" s="1" t="str">
        <f>"0026G9015M"</f>
        <v>0026G9015M</v>
      </c>
      <c r="E17448" s="1" t="s">
        <v>10</v>
      </c>
      <c r="F17448" s="1" t="str">
        <f>"fde2:104:0:1c5:0:0:0:2"</f>
        <v>fde2:104:0:1c5:0:0:0:2</v>
      </c>
      <c r="G17448" s="1" t="str">
        <f>"0026G901"</f>
        <v>0026G901</v>
      </c>
      <c r="H17448" s="1" t="str">
        <f>"종로간 11L5"</f>
        <v>종로간 11L5</v>
      </c>
      <c r="I17448" s="1" t="s">
        <v>15</v>
      </c>
      <c r="J17448" s="1" t="str">
        <f>"54/54"</f>
        <v>54/54</v>
      </c>
      <c r="K17448" s="1" t="str">
        <f>"2026-07-29 14:20:13"</f>
        <v>2026-07-29 14:20:13</v>
      </c>
      <c r="L17448" s="1" t="str">
        <f>"2023-05-23 14:54:13"</f>
        <v>2023-05-23 14:54:13</v>
      </c>
      <c r="M17448" s="1" t="s">
        <v>42</v>
      </c>
      <c r="N17448" s="1" t="s">
        <v>38</v>
      </c>
      <c r="O17448" s="1" t="s">
        <v>46</v>
      </c>
    </row>
    <row r="17449" spans="2:15" x14ac:dyDescent="0.3">
      <c r="B17449" s="1" t="s">
        <v>13</v>
      </c>
      <c r="C17449" s="1" t="str">
        <f>"4차"</f>
        <v>4차</v>
      </c>
      <c r="D17449" s="1" t="str">
        <f>"0026G91145"</f>
        <v>0026G91145</v>
      </c>
      <c r="E17449" s="1" t="s">
        <v>10</v>
      </c>
      <c r="F17449" s="1" t="str">
        <f>"10.12.131.215"</f>
        <v>10.12.131.215</v>
      </c>
      <c r="G17449" s="1" t="str">
        <f>"0026G911"</f>
        <v>0026G911</v>
      </c>
      <c r="H17449" s="1" t="str">
        <f>"종로로 R17-4"</f>
        <v>종로로 R17-4</v>
      </c>
      <c r="I17449" s="1" t="s">
        <v>17</v>
      </c>
      <c r="J17449" s="1" t="str">
        <f>"12/12"</f>
        <v>12/12</v>
      </c>
      <c r="K17449" s="1" t="str">
        <f>"2026-07-29 13:18:02"</f>
        <v>2026-07-29 13:18:02</v>
      </c>
      <c r="L17449" s="1" t="str">
        <f>"2024-10-10 17:30:17"</f>
        <v>2024-10-10 17:30:17</v>
      </c>
      <c r="M17449" s="1" t="s">
        <v>0</v>
      </c>
      <c r="N17449" s="1" t="s">
        <v>38</v>
      </c>
      <c r="O17449" s="1" t="s">
        <v>46</v>
      </c>
    </row>
    <row r="17450" spans="2:15" x14ac:dyDescent="0.3">
      <c r="B17450" s="1" t="s">
        <v>13</v>
      </c>
      <c r="C17450" s="1" t="str">
        <f>"5-2차"</f>
        <v>5-2차</v>
      </c>
      <c r="D17450" s="1" t="str">
        <f>"0026G9325M"</f>
        <v>0026G9325M</v>
      </c>
      <c r="E17450" s="1" t="s">
        <v>10</v>
      </c>
      <c r="F17450" s="1" t="str">
        <f>"fde2:104:0:1cd:0:0:0:2"</f>
        <v>fde2:104:0:1cd:0:0:0:2</v>
      </c>
      <c r="G17450" s="1" t="str">
        <f>"0026G932"</f>
        <v>0026G932</v>
      </c>
      <c r="H17450" s="1" t="str">
        <f>"동숭동간 2R8"</f>
        <v>동숭동간 2R8</v>
      </c>
      <c r="I17450" s="1" t="s">
        <v>15</v>
      </c>
      <c r="J17450" s="1" t="str">
        <f>"12/12"</f>
        <v>12/12</v>
      </c>
      <c r="K17450" s="1" t="str">
        <f>"2026-07-29 14:20:13"</f>
        <v>2026-07-29 14:20:13</v>
      </c>
      <c r="L17450" s="1" t="str">
        <f>"2023-05-23 14:53:16"</f>
        <v>2023-05-23 14:53:16</v>
      </c>
      <c r="M17450" s="1" t="s">
        <v>42</v>
      </c>
      <c r="N17450" s="1" t="s">
        <v>38</v>
      </c>
      <c r="O17450" s="1" t="s">
        <v>46</v>
      </c>
    </row>
    <row r="17451" spans="2:15" x14ac:dyDescent="0.3">
      <c r="B17451" s="1" t="s">
        <v>13</v>
      </c>
      <c r="C17451" s="1" t="str">
        <f>"5-2차"</f>
        <v>5-2차</v>
      </c>
      <c r="D17451" s="1" t="str">
        <f>"0026G9615M"</f>
        <v>0026G9615M</v>
      </c>
      <c r="E17451" s="1" t="s">
        <v>10</v>
      </c>
      <c r="F17451" s="1" t="str">
        <f>"fde3:102:1304:3103:0:0:0:3"</f>
        <v>fde3:102:1304:3103:0:0:0:3</v>
      </c>
      <c r="G17451" s="1" t="str">
        <f>"0026G961"</f>
        <v>0026G961</v>
      </c>
      <c r="H17451" s="1" t="str">
        <f>"종로간 7R2L4H1"</f>
        <v>종로간 7R2L4H1</v>
      </c>
      <c r="I17451" s="1" t="s">
        <v>15</v>
      </c>
      <c r="J17451" s="1" t="str">
        <f>"55/55"</f>
        <v>55/55</v>
      </c>
      <c r="K17451" s="1" t="str">
        <f>"2026-07-29 14:20:13"</f>
        <v>2026-07-29 14:20:13</v>
      </c>
      <c r="L17451" s="1" t="str">
        <f>"2023-06-13 17:46:49"</f>
        <v>2023-06-13 17:46:49</v>
      </c>
      <c r="M17451" s="1" t="s">
        <v>45</v>
      </c>
      <c r="N17451" s="1" t="s">
        <v>38</v>
      </c>
      <c r="O17451" s="1" t="s">
        <v>46</v>
      </c>
    </row>
    <row r="17452" spans="2:15" x14ac:dyDescent="0.3">
      <c r="B17452" s="1" t="s">
        <v>13</v>
      </c>
      <c r="C17452" s="1" t="str">
        <f>"5-2차"</f>
        <v>5-2차</v>
      </c>
      <c r="D17452" s="1" t="str">
        <f>"0026G9645M"</f>
        <v>0026G9645M</v>
      </c>
      <c r="E17452" s="1" t="s">
        <v>10</v>
      </c>
      <c r="F17452" s="1" t="str">
        <f>"fde2:104:0:1c1:0:0:0:2"</f>
        <v>fde2:104:0:1c1:0:0:0:2</v>
      </c>
      <c r="G17452" s="1" t="str">
        <f>"0026G964"</f>
        <v>0026G964</v>
      </c>
      <c r="H17452" s="1" t="str">
        <f>"종로간 7R2L1H1R5"</f>
        <v>종로간 7R2L1H1R5</v>
      </c>
      <c r="I17452" s="1" t="s">
        <v>15</v>
      </c>
      <c r="J17452" s="1" t="str">
        <f>"25/25"</f>
        <v>25/25</v>
      </c>
      <c r="K17452" s="1" t="str">
        <f>"2026-07-29 14:20:19"</f>
        <v>2026-07-29 14:20:19</v>
      </c>
      <c r="L17452" s="1" t="str">
        <f>"2025-03-26 17:12:30"</f>
        <v>2025-03-26 17:12:30</v>
      </c>
      <c r="M17452" s="1" t="s">
        <v>42</v>
      </c>
      <c r="N17452" s="1" t="s">
        <v>38</v>
      </c>
      <c r="O17452" s="1" t="s">
        <v>46</v>
      </c>
    </row>
    <row r="17453" spans="2:15" x14ac:dyDescent="0.3">
      <c r="B17453" s="1" t="s">
        <v>13</v>
      </c>
      <c r="C17453" s="1" t="str">
        <f>"5-1차"</f>
        <v>5-1차</v>
      </c>
      <c r="D17453" s="1" t="str">
        <f>"0026H0355M"</f>
        <v>0026H0355M</v>
      </c>
      <c r="E17453" s="1" t="s">
        <v>10</v>
      </c>
      <c r="F17453" s="1" t="str">
        <f>"fde3:102:1304:3400:0:0:0:2"</f>
        <v>fde3:102:1304:3400:0:0:0:2</v>
      </c>
      <c r="G17453" s="1" t="str">
        <f>"0026H035"</f>
        <v>0026H035</v>
      </c>
      <c r="H17453" s="1" t="str">
        <f>"종로간 7R2L1H1"</f>
        <v>종로간 7R2L1H1</v>
      </c>
      <c r="I17453" s="1" t="s">
        <v>15</v>
      </c>
      <c r="J17453" s="1" t="str">
        <f>"8/8"</f>
        <v>8/8</v>
      </c>
      <c r="K17453" s="1" t="str">
        <f>"2026-07-29 14:20:15"</f>
        <v>2026-07-29 14:20:15</v>
      </c>
      <c r="L17453" s="1" t="str">
        <f>"2022-11-24 14:31:48"</f>
        <v>2022-11-24 14:31:48</v>
      </c>
      <c r="M17453" s="1" t="s">
        <v>45</v>
      </c>
      <c r="N17453" s="1" t="s">
        <v>38</v>
      </c>
      <c r="O17453" s="1" t="s">
        <v>46</v>
      </c>
    </row>
    <row r="17454" spans="2:15" x14ac:dyDescent="0.3">
      <c r="B17454" s="1" t="s">
        <v>13</v>
      </c>
      <c r="C17454" s="1" t="s">
        <v>16</v>
      </c>
      <c r="D17454" s="1" t="str">
        <f>"0026H09141"</f>
        <v>0026H09141</v>
      </c>
      <c r="E17454" s="1" t="s">
        <v>10</v>
      </c>
      <c r="F17454" s="1" t="str">
        <f>"10.12.138.82"</f>
        <v>10.12.138.82</v>
      </c>
      <c r="G17454" s="1" t="str">
        <f>"0026H091"</f>
        <v>0026H091</v>
      </c>
      <c r="H17454" s="1" t="str">
        <f>"동숭동간 17R14L3L1L1"</f>
        <v>동숭동간 17R14L3L1L1</v>
      </c>
      <c r="I17454" s="1" t="s">
        <v>17</v>
      </c>
      <c r="J17454" s="1" t="str">
        <f>"33/39"</f>
        <v>33/39</v>
      </c>
      <c r="K17454" s="1" t="str">
        <f>"2026-07-29 13:18:02"</f>
        <v>2026-07-29 13:18:02</v>
      </c>
      <c r="L17454" s="1" t="str">
        <f>"2022-11-14 08:25:03"</f>
        <v>2022-11-14 08:25:03</v>
      </c>
      <c r="M17454" s="1" t="s">
        <v>0</v>
      </c>
      <c r="N17454" s="1" t="s">
        <v>38</v>
      </c>
      <c r="O17454" s="1" t="s">
        <v>46</v>
      </c>
    </row>
    <row r="17455" spans="2:15" x14ac:dyDescent="0.3">
      <c r="B17455" s="1" t="s">
        <v>13</v>
      </c>
      <c r="C17455" s="1" t="str">
        <f>"4차"</f>
        <v>4차</v>
      </c>
      <c r="D17455" s="1" t="str">
        <f>"0026H12139"</f>
        <v>0026H12139</v>
      </c>
      <c r="E17455" s="1" t="s">
        <v>10</v>
      </c>
      <c r="F17455" s="1" t="str">
        <f>"10.12.131.116"</f>
        <v>10.12.131.116</v>
      </c>
      <c r="G17455" s="1" t="str">
        <f>"0026H121"</f>
        <v>0026H121</v>
      </c>
      <c r="H17455" s="1" t="str">
        <f>"종로로 L27-1"</f>
        <v>종로로 L27-1</v>
      </c>
      <c r="I17455" s="1" t="s">
        <v>17</v>
      </c>
      <c r="J17455" s="1" t="str">
        <f>"14/16"</f>
        <v>14/16</v>
      </c>
      <c r="K17455" s="1" t="str">
        <f>"2026-07-29 13:18:02"</f>
        <v>2026-07-29 13:18:02</v>
      </c>
      <c r="L17455" s="1" t="str">
        <f>"2018-10-19 12:06:11"</f>
        <v>2018-10-19 12:06:11</v>
      </c>
      <c r="M17455" s="1" t="s">
        <v>0</v>
      </c>
      <c r="N17455" s="1" t="s">
        <v>38</v>
      </c>
      <c r="O17455" s="1" t="s">
        <v>46</v>
      </c>
    </row>
    <row r="17456" spans="2:15" x14ac:dyDescent="0.3">
      <c r="B17456" s="1" t="s">
        <v>13</v>
      </c>
      <c r="C17456" s="1" t="s">
        <v>16</v>
      </c>
      <c r="D17456" s="1" t="str">
        <f>"0026H14141"</f>
        <v>0026H14141</v>
      </c>
      <c r="E17456" s="1" t="s">
        <v>10</v>
      </c>
      <c r="F17456" s="1" t="str">
        <f>"10.14.8.202"</f>
        <v>10.14.8.202</v>
      </c>
      <c r="G17456" s="1" t="str">
        <f>"0026H141"</f>
        <v>0026H141</v>
      </c>
      <c r="H17456" s="1" t="str">
        <f>"종로간 7R4"</f>
        <v>종로간 7R4</v>
      </c>
      <c r="I17456" s="1" t="s">
        <v>17</v>
      </c>
      <c r="J17456" s="1" t="str">
        <f>"16/16"</f>
        <v>16/16</v>
      </c>
      <c r="K17456" s="1" t="str">
        <f>"2026-07-29 13:18:01"</f>
        <v>2026-07-29 13:18:01</v>
      </c>
      <c r="L17456" s="1" t="str">
        <f>"2022-11-16 11:34:21"</f>
        <v>2022-11-16 11:34:21</v>
      </c>
      <c r="M17456" s="1" t="s">
        <v>3</v>
      </c>
      <c r="N17456" s="1" t="s">
        <v>38</v>
      </c>
      <c r="O17456" s="1" t="s">
        <v>46</v>
      </c>
    </row>
    <row r="17457" spans="2:15" x14ac:dyDescent="0.3">
      <c r="B17457" s="1" t="s">
        <v>13</v>
      </c>
      <c r="C17457" s="1" t="str">
        <f>"5-2차"</f>
        <v>5-2차</v>
      </c>
      <c r="D17457" s="1" t="str">
        <f>"0026H1715M"</f>
        <v>0026H1715M</v>
      </c>
      <c r="E17457" s="1" t="s">
        <v>10</v>
      </c>
      <c r="F17457" s="1" t="str">
        <f>"fde2:104:0:16d:0:0:0:2"</f>
        <v>fde2:104:0:16d:0:0:0:2</v>
      </c>
      <c r="G17457" s="1" t="str">
        <f>"0026H171"</f>
        <v>0026H171</v>
      </c>
      <c r="H17457" s="1" t="str">
        <f>"동숭동간 17R14L3R1"</f>
        <v>동숭동간 17R14L3R1</v>
      </c>
      <c r="I17457" s="1" t="s">
        <v>15</v>
      </c>
      <c r="J17457" s="1" t="str">
        <f>"31/31"</f>
        <v>31/31</v>
      </c>
      <c r="K17457" s="1" t="str">
        <f>"2026-07-29 14:20:14"</f>
        <v>2026-07-29 14:20:14</v>
      </c>
      <c r="L17457" s="1" t="str">
        <f>"2023-05-23 15:10:54"</f>
        <v>2023-05-23 15:10:54</v>
      </c>
      <c r="M17457" s="1" t="s">
        <v>42</v>
      </c>
      <c r="N17457" s="1" t="s">
        <v>38</v>
      </c>
      <c r="O17457" s="1" t="s">
        <v>46</v>
      </c>
    </row>
    <row r="17458" spans="2:15" x14ac:dyDescent="0.3">
      <c r="B17458" s="1" t="s">
        <v>13</v>
      </c>
      <c r="C17458" s="1" t="str">
        <f>"5-2차"</f>
        <v>5-2차</v>
      </c>
      <c r="D17458" s="1" t="str">
        <f>"0026H1825M"</f>
        <v>0026H1825M</v>
      </c>
      <c r="E17458" s="1" t="s">
        <v>10</v>
      </c>
      <c r="F17458" s="1" t="str">
        <f>"fde2:104:0:1c2:0:0:0:2"</f>
        <v>fde2:104:0:1c2:0:0:0:2</v>
      </c>
      <c r="G17458" s="1" t="str">
        <f>"0026H182"</f>
        <v>0026H182</v>
      </c>
      <c r="H17458" s="1" t="str">
        <f>"동숭동간 17R14L3"</f>
        <v>동숭동간 17R14L3</v>
      </c>
      <c r="I17458" s="1" t="s">
        <v>15</v>
      </c>
      <c r="J17458" s="1" t="str">
        <f>"57/57"</f>
        <v>57/57</v>
      </c>
      <c r="K17458" s="1" t="str">
        <f>"2026-07-29 14:20:15"</f>
        <v>2026-07-29 14:20:15</v>
      </c>
      <c r="L17458" s="1" t="str">
        <f>"2023-05-23 15:38:51"</f>
        <v>2023-05-23 15:38:51</v>
      </c>
      <c r="M17458" s="1" t="s">
        <v>42</v>
      </c>
      <c r="N17458" s="1" t="s">
        <v>38</v>
      </c>
      <c r="O17458" s="1" t="s">
        <v>46</v>
      </c>
    </row>
    <row r="17459" spans="2:15" x14ac:dyDescent="0.3">
      <c r="B17459" s="1" t="s">
        <v>13</v>
      </c>
      <c r="C17459" s="1" t="str">
        <f>"5-2차"</f>
        <v>5-2차</v>
      </c>
      <c r="D17459" s="1" t="str">
        <f>"0026H2625M"</f>
        <v>0026H2625M</v>
      </c>
      <c r="E17459" s="1" t="s">
        <v>10</v>
      </c>
      <c r="F17459" s="1" t="str">
        <f>"fde2:104:0:1d4:0:0:0:2"</f>
        <v>fde2:104:0:1d4:0:0:0:2</v>
      </c>
      <c r="G17459" s="1" t="str">
        <f>"0026H262"</f>
        <v>0026H262</v>
      </c>
      <c r="H17459" s="1" t="str">
        <f>"동숭동간 17R14L3R2"</f>
        <v>동숭동간 17R14L3R2</v>
      </c>
      <c r="I17459" s="1" t="s">
        <v>15</v>
      </c>
      <c r="J17459" s="1" t="str">
        <f>"82/86"</f>
        <v>82/86</v>
      </c>
      <c r="K17459" s="1" t="str">
        <f>"2026-07-29 14:20:16"</f>
        <v>2026-07-29 14:20:16</v>
      </c>
      <c r="L17459" s="1" t="str">
        <f>"2023-05-23 15:25:39"</f>
        <v>2023-05-23 15:25:39</v>
      </c>
      <c r="M17459" s="1" t="s">
        <v>42</v>
      </c>
      <c r="N17459" s="1" t="s">
        <v>38</v>
      </c>
      <c r="O17459" s="1" t="s">
        <v>46</v>
      </c>
    </row>
    <row r="17460" spans="2:15" x14ac:dyDescent="0.3">
      <c r="B17460" s="1" t="s">
        <v>13</v>
      </c>
      <c r="C17460" s="1" t="s">
        <v>16</v>
      </c>
      <c r="D17460" s="1" t="str">
        <f>"0026H5515S"</f>
        <v>0026H5515S</v>
      </c>
      <c r="E17460" s="1" t="s">
        <v>10</v>
      </c>
      <c r="F17460" s="1" t="str">
        <f>"fde1:103:4:5695:0:0:0:2"</f>
        <v>fde1:103:4:5695:0:0:0:2</v>
      </c>
      <c r="G17460" s="1" t="str">
        <f>"0026H551"</f>
        <v>0026H551</v>
      </c>
      <c r="H17460" s="1" t="str">
        <f>"창신지 4L3L1"</f>
        <v>창신지 4L3L1</v>
      </c>
      <c r="I17460" s="1" t="s">
        <v>15</v>
      </c>
      <c r="J17460" s="1" t="str">
        <f>"55/55"</f>
        <v>55/55</v>
      </c>
      <c r="K17460" s="1" t="str">
        <f>"2026-07-29 14:20:16"</f>
        <v>2026-07-29 14:20:16</v>
      </c>
      <c r="L17460" s="1" t="str">
        <f>"2023-08-03 14:23:15"</f>
        <v>2023-08-03 14:23:15</v>
      </c>
      <c r="M17460" s="1" t="s">
        <v>4</v>
      </c>
      <c r="N17460" s="1" t="s">
        <v>38</v>
      </c>
      <c r="O17460" s="1" t="s">
        <v>46</v>
      </c>
    </row>
    <row r="17461" spans="2:15" x14ac:dyDescent="0.3">
      <c r="B17461" s="1" t="s">
        <v>13</v>
      </c>
      <c r="C17461" s="1" t="str">
        <f>"2차"</f>
        <v>2차</v>
      </c>
      <c r="D17461" s="1" t="str">
        <f>"0026H56120"</f>
        <v>0026H56120</v>
      </c>
      <c r="E17461" s="1" t="s">
        <v>10</v>
      </c>
      <c r="F17461" s="1" t="str">
        <f>"10.11.6.58"</f>
        <v>10.11.6.58</v>
      </c>
      <c r="G17461" s="1" t="str">
        <f>"0026H561"</f>
        <v>0026H561</v>
      </c>
      <c r="H17461" s="1" t="str">
        <f>"창신지 4L5"</f>
        <v>창신지 4L5</v>
      </c>
      <c r="I17461" s="1" t="s">
        <v>8</v>
      </c>
      <c r="J17461" s="1" t="str">
        <f>"99/99"</f>
        <v>99/99</v>
      </c>
      <c r="K17461" s="1" t="str">
        <f>"2026-07-29 13:18:00"</f>
        <v>2026-07-29 13:18:00</v>
      </c>
      <c r="L17461" s="1" t="str">
        <f>"2017-06-21 17:41:03"</f>
        <v>2017-06-21 17:41:03</v>
      </c>
      <c r="M17461" s="1" t="s">
        <v>2</v>
      </c>
      <c r="N17461" s="1" t="s">
        <v>38</v>
      </c>
      <c r="O17461" s="1" t="s">
        <v>46</v>
      </c>
    </row>
    <row r="17462" spans="2:15" x14ac:dyDescent="0.3">
      <c r="B17462" s="1" t="s">
        <v>13</v>
      </c>
      <c r="C17462" s="1" t="str">
        <f>"2차"</f>
        <v>2차</v>
      </c>
      <c r="D17462" s="1" t="str">
        <f>"0026H57121"</f>
        <v>0026H57121</v>
      </c>
      <c r="E17462" s="1" t="s">
        <v>10</v>
      </c>
      <c r="F17462" s="1" t="str">
        <f>"10.11.6.59"</f>
        <v>10.11.6.59</v>
      </c>
      <c r="G17462" s="1" t="str">
        <f>"0026H571"</f>
        <v>0026H571</v>
      </c>
      <c r="H17462" s="1" t="str">
        <f>"창신지 4L6"</f>
        <v>창신지 4L6</v>
      </c>
      <c r="I17462" s="1" t="s">
        <v>8</v>
      </c>
      <c r="J17462" s="1" t="str">
        <f>"66/66"</f>
        <v>66/66</v>
      </c>
      <c r="K17462" s="1" t="str">
        <f>"2026-07-29 13:18:01"</f>
        <v>2026-07-29 13:18:01</v>
      </c>
      <c r="L17462" s="1" t="str">
        <f>"2017-06-21 17:41:03"</f>
        <v>2017-06-21 17:41:03</v>
      </c>
      <c r="M17462" s="1" t="s">
        <v>2</v>
      </c>
      <c r="N17462" s="1" t="s">
        <v>38</v>
      </c>
      <c r="O17462" s="1" t="s">
        <v>46</v>
      </c>
    </row>
    <row r="17463" spans="2:15" x14ac:dyDescent="0.3">
      <c r="B17463" s="1" t="s">
        <v>13</v>
      </c>
      <c r="C17463" s="1" t="s">
        <v>16</v>
      </c>
      <c r="D17463" s="1" t="str">
        <f>"0026H5835S"</f>
        <v>0026H5835S</v>
      </c>
      <c r="E17463" s="1" t="s">
        <v>10</v>
      </c>
      <c r="F17463" s="1" t="str">
        <f>"fde1:103:4:56c9:0:0:0:2"</f>
        <v>fde1:103:4:56c9:0:0:0:2</v>
      </c>
      <c r="G17463" s="1" t="str">
        <f>"0026H583"</f>
        <v>0026H583</v>
      </c>
      <c r="H17463" s="1" t="str">
        <f>"동숭동간 17R5L26R1"</f>
        <v>동숭동간 17R5L26R1</v>
      </c>
      <c r="I17463" s="1" t="s">
        <v>15</v>
      </c>
      <c r="J17463" s="1" t="str">
        <f>"62/63"</f>
        <v>62/63</v>
      </c>
      <c r="K17463" s="1" t="str">
        <f>"2026-07-29 14:20:24"</f>
        <v>2026-07-29 14:20:24</v>
      </c>
      <c r="L17463" s="1" t="str">
        <f>"2023-08-03 15:08:25"</f>
        <v>2023-08-03 15:08:25</v>
      </c>
      <c r="M17463" s="1" t="s">
        <v>4</v>
      </c>
      <c r="N17463" s="1" t="s">
        <v>38</v>
      </c>
      <c r="O17463" s="1" t="s">
        <v>46</v>
      </c>
    </row>
    <row r="17464" spans="2:15" x14ac:dyDescent="0.3">
      <c r="B17464" s="1" t="s">
        <v>13</v>
      </c>
      <c r="C17464" s="1" t="s">
        <v>16</v>
      </c>
      <c r="D17464" s="1" t="str">
        <f>"0026H5915S"</f>
        <v>0026H5915S</v>
      </c>
      <c r="E17464" s="1" t="s">
        <v>10</v>
      </c>
      <c r="F17464" s="1" t="str">
        <f>"fde1:103:4:55f9:0:0:0:2"</f>
        <v>fde1:103:4:55f9:0:0:0:2</v>
      </c>
      <c r="G17464" s="1" t="str">
        <f>"0026H591"</f>
        <v>0026H591</v>
      </c>
      <c r="H17464" s="1" t="str">
        <f>"동숭동간 17R5L25"</f>
        <v>동숭동간 17R5L25</v>
      </c>
      <c r="I17464" s="1" t="s">
        <v>15</v>
      </c>
      <c r="J17464" s="1" t="str">
        <f>"29/29"</f>
        <v>29/29</v>
      </c>
      <c r="K17464" s="1" t="str">
        <f>"2026-07-29 14:20:16"</f>
        <v>2026-07-29 14:20:16</v>
      </c>
      <c r="L17464" s="1" t="str">
        <f>"2023-08-03 15:24:02"</f>
        <v>2023-08-03 15:24:02</v>
      </c>
      <c r="M17464" s="1" t="s">
        <v>4</v>
      </c>
      <c r="N17464" s="1" t="s">
        <v>38</v>
      </c>
      <c r="O17464" s="1" t="s">
        <v>46</v>
      </c>
    </row>
    <row r="17465" spans="2:15" x14ac:dyDescent="0.3">
      <c r="B17465" s="1" t="s">
        <v>13</v>
      </c>
      <c r="C17465" s="1" t="str">
        <f>"4차"</f>
        <v>4차</v>
      </c>
      <c r="D17465" s="1" t="str">
        <f>"0026H60239"</f>
        <v>0026H60239</v>
      </c>
      <c r="E17465" s="1" t="s">
        <v>14</v>
      </c>
      <c r="F17465" s="1" t="str">
        <f>"10.12.134.116"</f>
        <v>10.12.134.116</v>
      </c>
      <c r="G17465" s="1" t="str">
        <f>"0026H602"</f>
        <v>0026H602</v>
      </c>
      <c r="H17465" s="1" t="str">
        <f>"왕산로 L12-1"</f>
        <v>왕산로 L12-1</v>
      </c>
      <c r="I17465" s="1" t="s">
        <v>17</v>
      </c>
      <c r="J17465" s="1" t="str">
        <f>"0/0"</f>
        <v>0/0</v>
      </c>
      <c r="K17465" s="1" t="str">
        <f>"2026-07-28 13:18:01"</f>
        <v>2026-07-28 13:18:01</v>
      </c>
      <c r="L17465" s="1" t="str">
        <f>"2018-06-18 14:24:14"</f>
        <v>2018-06-18 14:24:14</v>
      </c>
      <c r="M17465" s="1" t="s">
        <v>0</v>
      </c>
      <c r="N17465" s="1" t="s">
        <v>39</v>
      </c>
      <c r="O17465" s="1" t="s">
        <v>46</v>
      </c>
    </row>
    <row r="17466" spans="2:15" x14ac:dyDescent="0.3">
      <c r="B17466" s="1" t="s">
        <v>13</v>
      </c>
      <c r="C17466" s="1" t="str">
        <f>"4차"</f>
        <v>4차</v>
      </c>
      <c r="D17466" s="1" t="str">
        <f>"0026H62139"</f>
        <v>0026H62139</v>
      </c>
      <c r="E17466" s="1" t="s">
        <v>10</v>
      </c>
      <c r="F17466" s="1" t="str">
        <f>"10.12.133.154"</f>
        <v>10.12.133.154</v>
      </c>
      <c r="G17466" s="1" t="str">
        <f>"0026H621"</f>
        <v>0026H621</v>
      </c>
      <c r="H17466" s="1" t="str">
        <f>"왕산로 R14-1"</f>
        <v>왕산로 R14-1</v>
      </c>
      <c r="I17466" s="1" t="s">
        <v>17</v>
      </c>
      <c r="J17466" s="1" t="str">
        <f>"3/3"</f>
        <v>3/3</v>
      </c>
      <c r="K17466" s="1" t="str">
        <f>"2026-07-29 13:18:02"</f>
        <v>2026-07-29 13:18:02</v>
      </c>
      <c r="L17466" s="1" t="str">
        <f>"2018-06-18 12:42:45"</f>
        <v>2018-06-18 12:42:45</v>
      </c>
      <c r="M17466" s="1" t="s">
        <v>0</v>
      </c>
      <c r="N17466" s="1" t="s">
        <v>38</v>
      </c>
      <c r="O17466" s="1" t="s">
        <v>46</v>
      </c>
    </row>
    <row r="17467" spans="2:15" x14ac:dyDescent="0.3">
      <c r="B17467" s="1" t="s">
        <v>13</v>
      </c>
      <c r="C17467" s="1" t="str">
        <f>"4차"</f>
        <v>4차</v>
      </c>
      <c r="D17467" s="1" t="str">
        <f>"0026H63139"</f>
        <v>0026H63139</v>
      </c>
      <c r="E17467" s="1" t="s">
        <v>14</v>
      </c>
      <c r="F17467" s="1" t="str">
        <f>"10.12.133.59"</f>
        <v>10.12.133.59</v>
      </c>
      <c r="G17467" s="1" t="str">
        <f>"0026H631"</f>
        <v>0026H631</v>
      </c>
      <c r="H17467" s="1" t="str">
        <f>"왕산로 R15"</f>
        <v>왕산로 R15</v>
      </c>
      <c r="I17467" s="1" t="s">
        <v>17</v>
      </c>
      <c r="J17467" s="1" t="str">
        <f>"0/0"</f>
        <v>0/0</v>
      </c>
      <c r="K17467" s="1" t="str">
        <f>"2026-07-28 13:18:01"</f>
        <v>2026-07-28 13:18:01</v>
      </c>
      <c r="L17467" s="1" t="str">
        <f>"2018-06-18 12:29:57"</f>
        <v>2018-06-18 12:29:57</v>
      </c>
      <c r="M17467" s="1" t="s">
        <v>0</v>
      </c>
      <c r="N17467" s="1" t="s">
        <v>39</v>
      </c>
      <c r="O17467" s="1" t="s">
        <v>46</v>
      </c>
    </row>
    <row r="17468" spans="2:15" x14ac:dyDescent="0.3">
      <c r="B17468" s="1" t="s">
        <v>13</v>
      </c>
      <c r="C17468" s="1" t="str">
        <f>"2차"</f>
        <v>2차</v>
      </c>
      <c r="D17468" s="1" t="str">
        <f>"0026H63229"</f>
        <v>0026H63229</v>
      </c>
      <c r="E17468" s="1" t="s">
        <v>10</v>
      </c>
      <c r="F17468" s="1" t="str">
        <f>"10.11.5.234"</f>
        <v>10.11.5.234</v>
      </c>
      <c r="G17468" s="1" t="str">
        <f>"0026H632"</f>
        <v>0026H632</v>
      </c>
      <c r="H17468" s="1" t="str">
        <f>"창신지 2A1"</f>
        <v>창신지 2A1</v>
      </c>
      <c r="I17468" s="1" t="s">
        <v>8</v>
      </c>
      <c r="J17468" s="1" t="str">
        <f>"7/7"</f>
        <v>7/7</v>
      </c>
      <c r="K17468" s="1" t="str">
        <f>"2026-07-29 13:18:00"</f>
        <v>2026-07-29 13:18:00</v>
      </c>
      <c r="L17468" s="1" t="str">
        <f>"2017-07-03 18:24:31"</f>
        <v>2017-07-03 18:24:31</v>
      </c>
      <c r="M17468" s="1" t="s">
        <v>2</v>
      </c>
      <c r="N17468" s="1" t="s">
        <v>38</v>
      </c>
      <c r="O17468" s="1" t="s">
        <v>46</v>
      </c>
    </row>
    <row r="17469" spans="2:15" x14ac:dyDescent="0.3">
      <c r="B17469" s="1" t="s">
        <v>13</v>
      </c>
      <c r="C17469" s="1" t="str">
        <f>"2차"</f>
        <v>2차</v>
      </c>
      <c r="D17469" s="1" t="str">
        <f>"0026H65120"</f>
        <v>0026H65120</v>
      </c>
      <c r="E17469" s="1" t="s">
        <v>10</v>
      </c>
      <c r="F17469" s="1" t="str">
        <f>"10.11.6.50"</f>
        <v>10.11.6.50</v>
      </c>
      <c r="G17469" s="1" t="str">
        <f>"0026H651"</f>
        <v>0026H651</v>
      </c>
      <c r="H17469" s="1" t="str">
        <f>"창신지 4L2"</f>
        <v>창신지 4L2</v>
      </c>
      <c r="I17469" s="1" t="s">
        <v>8</v>
      </c>
      <c r="J17469" s="1" t="str">
        <f>"9/10"</f>
        <v>9/10</v>
      </c>
      <c r="K17469" s="1" t="str">
        <f>"2026-07-29 13:18:01"</f>
        <v>2026-07-29 13:18:01</v>
      </c>
      <c r="L17469" s="1" t="str">
        <f>"2017-06-21 17:41:01"</f>
        <v>2017-06-21 17:41:01</v>
      </c>
      <c r="M17469" s="1" t="s">
        <v>2</v>
      </c>
      <c r="N17469" s="1" t="s">
        <v>38</v>
      </c>
      <c r="O17469" s="1" t="s">
        <v>46</v>
      </c>
    </row>
    <row r="17470" spans="2:15" x14ac:dyDescent="0.3">
      <c r="B17470" s="1" t="s">
        <v>13</v>
      </c>
      <c r="C17470" s="1" t="s">
        <v>16</v>
      </c>
      <c r="D17470" s="1" t="str">
        <f>"0026H6525S"</f>
        <v>0026H6525S</v>
      </c>
      <c r="E17470" s="1" t="s">
        <v>10</v>
      </c>
      <c r="F17470" s="1" t="str">
        <f>"fde3:102:1304:3a01:0:0:0:2"</f>
        <v>fde3:102:1304:3a01:0:0:0:2</v>
      </c>
      <c r="G17470" s="1" t="str">
        <f>"0026H652"</f>
        <v>0026H652</v>
      </c>
      <c r="H17470" s="1" t="str">
        <f>"창신지 4L3"</f>
        <v>창신지 4L3</v>
      </c>
      <c r="I17470" s="1" t="s">
        <v>15</v>
      </c>
      <c r="J17470" s="1" t="str">
        <f>"66/66"</f>
        <v>66/66</v>
      </c>
      <c r="K17470" s="1" t="str">
        <f>"2026-07-29 14:20:16"</f>
        <v>2026-07-29 14:20:16</v>
      </c>
      <c r="L17470" s="1" t="str">
        <f>"2023-08-03 13:13:50"</f>
        <v>2023-08-03 13:13:50</v>
      </c>
      <c r="M17470" s="1" t="s">
        <v>45</v>
      </c>
      <c r="N17470" s="1" t="s">
        <v>38</v>
      </c>
      <c r="O17470" s="1" t="s">
        <v>46</v>
      </c>
    </row>
    <row r="17471" spans="2:15" x14ac:dyDescent="0.3">
      <c r="B17471" s="1" t="s">
        <v>13</v>
      </c>
      <c r="C17471" s="1" t="str">
        <f t="shared" ref="C17471:C17486" si="859">"2차"</f>
        <v>2차</v>
      </c>
      <c r="D17471" s="1" t="str">
        <f>"0026H65322"</f>
        <v>0026H65322</v>
      </c>
      <c r="E17471" s="1" t="s">
        <v>10</v>
      </c>
      <c r="F17471" s="1" t="str">
        <f>"10.11.6.52"</f>
        <v>10.11.6.52</v>
      </c>
      <c r="G17471" s="1" t="str">
        <f>"0026H653"</f>
        <v>0026H653</v>
      </c>
      <c r="H17471" s="1" t="str">
        <f>"창신지 4L2R1"</f>
        <v>창신지 4L2R1</v>
      </c>
      <c r="I17471" s="1" t="s">
        <v>8</v>
      </c>
      <c r="J17471" s="1" t="str">
        <f>"21/25"</f>
        <v>21/25</v>
      </c>
      <c r="K17471" s="1" t="str">
        <f>"2026-07-29 13:18:01"</f>
        <v>2026-07-29 13:18:01</v>
      </c>
      <c r="L17471" s="1" t="str">
        <f>"2017-06-21 17:41:01"</f>
        <v>2017-06-21 17:41:01</v>
      </c>
      <c r="M17471" s="1" t="s">
        <v>2</v>
      </c>
      <c r="N17471" s="1" t="s">
        <v>38</v>
      </c>
      <c r="O17471" s="1" t="s">
        <v>46</v>
      </c>
    </row>
    <row r="17472" spans="2:15" x14ac:dyDescent="0.3">
      <c r="B17472" s="1" t="s">
        <v>13</v>
      </c>
      <c r="C17472" s="1" t="str">
        <f t="shared" si="859"/>
        <v>2차</v>
      </c>
      <c r="D17472" s="1" t="str">
        <f>"0026H67121"</f>
        <v>0026H67121</v>
      </c>
      <c r="E17472" s="1" t="s">
        <v>10</v>
      </c>
      <c r="F17472" s="1" t="str">
        <f>"10.11.6.75"</f>
        <v>10.11.6.75</v>
      </c>
      <c r="G17472" s="1" t="str">
        <f>"0026H671"</f>
        <v>0026H671</v>
      </c>
      <c r="H17472" s="1" t="str">
        <f>"창신지 8L2"</f>
        <v>창신지 8L2</v>
      </c>
      <c r="I17472" s="1" t="s">
        <v>8</v>
      </c>
      <c r="J17472" s="1" t="str">
        <f>"24/24"</f>
        <v>24/24</v>
      </c>
      <c r="K17472" s="1" t="str">
        <f>"2026-07-29 13:18:01"</f>
        <v>2026-07-29 13:18:01</v>
      </c>
      <c r="L17472" s="1" t="str">
        <f>"2017-06-21 17:51:01"</f>
        <v>2017-06-21 17:51:01</v>
      </c>
      <c r="M17472" s="1" t="s">
        <v>2</v>
      </c>
      <c r="N17472" s="1" t="s">
        <v>38</v>
      </c>
      <c r="O17472" s="1" t="s">
        <v>46</v>
      </c>
    </row>
    <row r="17473" spans="2:15" x14ac:dyDescent="0.3">
      <c r="B17473" s="1" t="s">
        <v>13</v>
      </c>
      <c r="C17473" s="1" t="str">
        <f t="shared" si="859"/>
        <v>2차</v>
      </c>
      <c r="D17473" s="1" t="str">
        <f>"0026H68120"</f>
        <v>0026H68120</v>
      </c>
      <c r="E17473" s="1" t="s">
        <v>10</v>
      </c>
      <c r="F17473" s="1" t="str">
        <f>"10.11.10.2"</f>
        <v>10.11.10.2</v>
      </c>
      <c r="G17473" s="1" t="str">
        <f>"0026H681"</f>
        <v>0026H681</v>
      </c>
      <c r="H17473" s="1" t="str">
        <f>"창신지 8L2H1R2"</f>
        <v>창신지 8L2H1R2</v>
      </c>
      <c r="I17473" s="1" t="s">
        <v>8</v>
      </c>
      <c r="J17473" s="1" t="str">
        <f>"70/78"</f>
        <v>70/78</v>
      </c>
      <c r="K17473" s="1" t="str">
        <f>"2026-07-29 13:18:00"</f>
        <v>2026-07-29 13:18:00</v>
      </c>
      <c r="L17473" s="1" t="str">
        <f>"2017-07-17 14:32:12"</f>
        <v>2017-07-17 14:32:12</v>
      </c>
      <c r="M17473" s="1" t="s">
        <v>2</v>
      </c>
      <c r="N17473" s="1" t="s">
        <v>38</v>
      </c>
      <c r="O17473" s="1" t="s">
        <v>46</v>
      </c>
    </row>
    <row r="17474" spans="2:15" x14ac:dyDescent="0.3">
      <c r="B17474" s="1" t="s">
        <v>13</v>
      </c>
      <c r="C17474" s="1" t="str">
        <f t="shared" si="859"/>
        <v>2차</v>
      </c>
      <c r="D17474" s="1" t="str">
        <f>"0026H68221"</f>
        <v>0026H68221</v>
      </c>
      <c r="E17474" s="1" t="s">
        <v>10</v>
      </c>
      <c r="F17474" s="1" t="str">
        <f>"10.11.10.3"</f>
        <v>10.11.10.3</v>
      </c>
      <c r="G17474" s="1" t="str">
        <f>"0026H682"</f>
        <v>0026H682</v>
      </c>
      <c r="H17474" s="1" t="str">
        <f>"창신지 8L2H1R1"</f>
        <v>창신지 8L2H1R1</v>
      </c>
      <c r="I17474" s="1" t="s">
        <v>8</v>
      </c>
      <c r="J17474" s="1" t="str">
        <f>"10/11"</f>
        <v>10/11</v>
      </c>
      <c r="K17474" s="1" t="str">
        <f>"2026-07-29 13:18:00"</f>
        <v>2026-07-29 13:18:00</v>
      </c>
      <c r="L17474" s="1" t="str">
        <f>"2017-06-21 17:41:01"</f>
        <v>2017-06-21 17:41:01</v>
      </c>
      <c r="M17474" s="1" t="s">
        <v>2</v>
      </c>
      <c r="N17474" s="1" t="s">
        <v>38</v>
      </c>
      <c r="O17474" s="1" t="s">
        <v>46</v>
      </c>
    </row>
    <row r="17475" spans="2:15" x14ac:dyDescent="0.3">
      <c r="B17475" s="1" t="s">
        <v>13</v>
      </c>
      <c r="C17475" s="1" t="str">
        <f t="shared" si="859"/>
        <v>2차</v>
      </c>
      <c r="D17475" s="1" t="str">
        <f>"0026H68329"</f>
        <v>0026H68329</v>
      </c>
      <c r="E17475" s="1" t="s">
        <v>10</v>
      </c>
      <c r="F17475" s="1" t="str">
        <f>"10.11.6.98"</f>
        <v>10.11.6.98</v>
      </c>
      <c r="G17475" s="1" t="str">
        <f>"0026H683"</f>
        <v>0026H683</v>
      </c>
      <c r="H17475" s="1" t="str">
        <f>"창신지 8L2H1R5"</f>
        <v>창신지 8L2H1R5</v>
      </c>
      <c r="I17475" s="1" t="s">
        <v>8</v>
      </c>
      <c r="J17475" s="1" t="str">
        <f>"42/62"</f>
        <v>42/62</v>
      </c>
      <c r="K17475" s="1" t="str">
        <f t="shared" ref="K17475:K17490" si="860">"2026-07-29 13:18:01"</f>
        <v>2026-07-29 13:18:01</v>
      </c>
      <c r="L17475" s="1" t="str">
        <f>"2017-06-21 17:41:01"</f>
        <v>2017-06-21 17:41:01</v>
      </c>
      <c r="M17475" s="1" t="s">
        <v>2</v>
      </c>
      <c r="N17475" s="1" t="s">
        <v>38</v>
      </c>
      <c r="O17475" s="1" t="s">
        <v>46</v>
      </c>
    </row>
    <row r="17476" spans="2:15" x14ac:dyDescent="0.3">
      <c r="B17476" s="1" t="s">
        <v>13</v>
      </c>
      <c r="C17476" s="1" t="str">
        <f t="shared" si="859"/>
        <v>2차</v>
      </c>
      <c r="D17476" s="1" t="str">
        <f>"0026H69429"</f>
        <v>0026H69429</v>
      </c>
      <c r="E17476" s="1" t="s">
        <v>10</v>
      </c>
      <c r="F17476" s="1" t="str">
        <f>"10.11.6.90"</f>
        <v>10.11.6.90</v>
      </c>
      <c r="G17476" s="1" t="str">
        <f>"0026H694"</f>
        <v>0026H694</v>
      </c>
      <c r="H17476" s="1" t="str">
        <f>"창신지 8L2H1R3R1"</f>
        <v>창신지 8L2H1R3R1</v>
      </c>
      <c r="I17476" s="1" t="s">
        <v>8</v>
      </c>
      <c r="J17476" s="1" t="str">
        <f>"18/18"</f>
        <v>18/18</v>
      </c>
      <c r="K17476" s="1" t="str">
        <f t="shared" si="860"/>
        <v>2026-07-29 13:18:01</v>
      </c>
      <c r="L17476" s="1" t="str">
        <f>"2017-06-21 17:41:03"</f>
        <v>2017-06-21 17:41:03</v>
      </c>
      <c r="M17476" s="1" t="s">
        <v>2</v>
      </c>
      <c r="N17476" s="1" t="s">
        <v>38</v>
      </c>
      <c r="O17476" s="1" t="s">
        <v>46</v>
      </c>
    </row>
    <row r="17477" spans="2:15" x14ac:dyDescent="0.3">
      <c r="B17477" s="1" t="s">
        <v>13</v>
      </c>
      <c r="C17477" s="1" t="str">
        <f t="shared" si="859"/>
        <v>2차</v>
      </c>
      <c r="D17477" s="1" t="str">
        <f>"0026H70122"</f>
        <v>0026H70122</v>
      </c>
      <c r="E17477" s="1" t="s">
        <v>10</v>
      </c>
      <c r="F17477" s="1" t="str">
        <f>"10.11.6.243"</f>
        <v>10.11.6.243</v>
      </c>
      <c r="G17477" s="1" t="str">
        <f>"0026H701"</f>
        <v>0026H701</v>
      </c>
      <c r="H17477" s="1" t="str">
        <f>"청량리간 3R3"</f>
        <v>청량리간 3R3</v>
      </c>
      <c r="I17477" s="1" t="s">
        <v>8</v>
      </c>
      <c r="J17477" s="1" t="str">
        <f>"14/15"</f>
        <v>14/15</v>
      </c>
      <c r="K17477" s="1" t="str">
        <f t="shared" si="860"/>
        <v>2026-07-29 13:18:01</v>
      </c>
      <c r="L17477" s="1" t="str">
        <f>"2017-08-03 10:22:43"</f>
        <v>2017-08-03 10:22:43</v>
      </c>
      <c r="M17477" s="1" t="s">
        <v>2</v>
      </c>
      <c r="N17477" s="1" t="s">
        <v>38</v>
      </c>
      <c r="O17477" s="1" t="s">
        <v>46</v>
      </c>
    </row>
    <row r="17478" spans="2:15" x14ac:dyDescent="0.3">
      <c r="B17478" s="1" t="s">
        <v>13</v>
      </c>
      <c r="C17478" s="1" t="str">
        <f t="shared" si="859"/>
        <v>2차</v>
      </c>
      <c r="D17478" s="1" t="str">
        <f>"0026H71121"</f>
        <v>0026H71121</v>
      </c>
      <c r="E17478" s="1" t="s">
        <v>10</v>
      </c>
      <c r="F17478" s="1" t="str">
        <f>"10.11.6.227"</f>
        <v>10.11.6.227</v>
      </c>
      <c r="G17478" s="1" t="str">
        <f>"0026H711"</f>
        <v>0026H711</v>
      </c>
      <c r="H17478" s="1" t="str">
        <f>"청량리간 3R2"</f>
        <v>청량리간 3R2</v>
      </c>
      <c r="I17478" s="1" t="s">
        <v>8</v>
      </c>
      <c r="J17478" s="1" t="str">
        <f>"55/55"</f>
        <v>55/55</v>
      </c>
      <c r="K17478" s="1" t="str">
        <f t="shared" si="860"/>
        <v>2026-07-29 13:18:01</v>
      </c>
      <c r="L17478" s="1" t="str">
        <f>"2017-06-24 10:56:06"</f>
        <v>2017-06-24 10:56:06</v>
      </c>
      <c r="M17478" s="1" t="s">
        <v>2</v>
      </c>
      <c r="N17478" s="1" t="s">
        <v>38</v>
      </c>
      <c r="O17478" s="1" t="s">
        <v>46</v>
      </c>
    </row>
    <row r="17479" spans="2:15" x14ac:dyDescent="0.3">
      <c r="B17479" s="1" t="s">
        <v>13</v>
      </c>
      <c r="C17479" s="1" t="str">
        <f t="shared" si="859"/>
        <v>2차</v>
      </c>
      <c r="D17479" s="1" t="str">
        <f>"0026H71229"</f>
        <v>0026H71229</v>
      </c>
      <c r="E17479" s="1" t="s">
        <v>10</v>
      </c>
      <c r="F17479" s="1" t="str">
        <f>"10.11.10.18"</f>
        <v>10.11.10.18</v>
      </c>
      <c r="G17479" s="1" t="str">
        <f>"0026H712"</f>
        <v>0026H712</v>
      </c>
      <c r="H17479" s="1" t="str">
        <f>"청량리간 3R2R1"</f>
        <v>청량리간 3R2R1</v>
      </c>
      <c r="I17479" s="1" t="s">
        <v>8</v>
      </c>
      <c r="J17479" s="1" t="str">
        <f>"2/2"</f>
        <v>2/2</v>
      </c>
      <c r="K17479" s="1" t="str">
        <f t="shared" si="860"/>
        <v>2026-07-29 13:18:01</v>
      </c>
      <c r="L17479" s="1" t="str">
        <f>"2017-06-24 10:06:20"</f>
        <v>2017-06-24 10:06:20</v>
      </c>
      <c r="M17479" s="1" t="s">
        <v>2</v>
      </c>
      <c r="N17479" s="1" t="s">
        <v>38</v>
      </c>
      <c r="O17479" s="1" t="s">
        <v>46</v>
      </c>
    </row>
    <row r="17480" spans="2:15" x14ac:dyDescent="0.3">
      <c r="B17480" s="1" t="s">
        <v>13</v>
      </c>
      <c r="C17480" s="1" t="str">
        <f t="shared" si="859"/>
        <v>2차</v>
      </c>
      <c r="D17480" s="1" t="str">
        <f>"0026H72220"</f>
        <v>0026H72220</v>
      </c>
      <c r="E17480" s="1" t="s">
        <v>10</v>
      </c>
      <c r="F17480" s="1" t="str">
        <f>"10.11.6.226"</f>
        <v>10.11.6.226</v>
      </c>
      <c r="G17480" s="1" t="str">
        <f>"0026H722"</f>
        <v>0026H722</v>
      </c>
      <c r="H17480" s="1" t="str">
        <f>"청량리간 3R1A1"</f>
        <v>청량리간 3R1A1</v>
      </c>
      <c r="I17480" s="1" t="s">
        <v>8</v>
      </c>
      <c r="J17480" s="1" t="str">
        <f>"7/7"</f>
        <v>7/7</v>
      </c>
      <c r="K17480" s="1" t="str">
        <f t="shared" si="860"/>
        <v>2026-07-29 13:18:01</v>
      </c>
      <c r="L17480" s="1" t="str">
        <f>"2017-06-24 10:34:06"</f>
        <v>2017-06-24 10:34:06</v>
      </c>
      <c r="M17480" s="1" t="s">
        <v>2</v>
      </c>
      <c r="N17480" s="1" t="s">
        <v>38</v>
      </c>
      <c r="O17480" s="1" t="s">
        <v>46</v>
      </c>
    </row>
    <row r="17481" spans="2:15" x14ac:dyDescent="0.3">
      <c r="B17481" s="1" t="s">
        <v>13</v>
      </c>
      <c r="C17481" s="1" t="str">
        <f t="shared" si="859"/>
        <v>2차</v>
      </c>
      <c r="D17481" s="1" t="str">
        <f>"0026H74320"</f>
        <v>0026H74320</v>
      </c>
      <c r="E17481" s="1" t="s">
        <v>10</v>
      </c>
      <c r="F17481" s="1" t="str">
        <f>"10.11.6.26"</f>
        <v>10.11.6.26</v>
      </c>
      <c r="G17481" s="1" t="str">
        <f>"0026H743"</f>
        <v>0026H743</v>
      </c>
      <c r="H17481" s="1" t="str">
        <f>"창신지 4H1"</f>
        <v>창신지 4H1</v>
      </c>
      <c r="I17481" s="1" t="s">
        <v>8</v>
      </c>
      <c r="J17481" s="1" t="str">
        <f>"57/61"</f>
        <v>57/61</v>
      </c>
      <c r="K17481" s="1" t="str">
        <f t="shared" si="860"/>
        <v>2026-07-29 13:18:01</v>
      </c>
      <c r="L17481" s="1" t="str">
        <f>"2017-06-21 17:41:02"</f>
        <v>2017-06-21 17:41:02</v>
      </c>
      <c r="M17481" s="1" t="s">
        <v>2</v>
      </c>
      <c r="N17481" s="1" t="s">
        <v>38</v>
      </c>
      <c r="O17481" s="1" t="s">
        <v>46</v>
      </c>
    </row>
    <row r="17482" spans="2:15" x14ac:dyDescent="0.3">
      <c r="B17482" s="1" t="s">
        <v>13</v>
      </c>
      <c r="C17482" s="1" t="str">
        <f t="shared" si="859"/>
        <v>2차</v>
      </c>
      <c r="D17482" s="1" t="str">
        <f>"0026H75321"</f>
        <v>0026H75321</v>
      </c>
      <c r="E17482" s="1" t="s">
        <v>10</v>
      </c>
      <c r="F17482" s="1" t="str">
        <f>"10.11.6.27"</f>
        <v>10.11.6.27</v>
      </c>
      <c r="G17482" s="1" t="str">
        <f>"0026H753"</f>
        <v>0026H753</v>
      </c>
      <c r="H17482" s="1" t="str">
        <f>"창신지 4"</f>
        <v>창신지 4</v>
      </c>
      <c r="I17482" s="1" t="s">
        <v>8</v>
      </c>
      <c r="J17482" s="1" t="str">
        <f>"9/10"</f>
        <v>9/10</v>
      </c>
      <c r="K17482" s="1" t="str">
        <f t="shared" si="860"/>
        <v>2026-07-29 13:18:01</v>
      </c>
      <c r="L17482" s="1" t="str">
        <f>"2017-06-21 17:41:02"</f>
        <v>2017-06-21 17:41:02</v>
      </c>
      <c r="M17482" s="1" t="s">
        <v>2</v>
      </c>
      <c r="N17482" s="1" t="s">
        <v>38</v>
      </c>
      <c r="O17482" s="1" t="s">
        <v>46</v>
      </c>
    </row>
    <row r="17483" spans="2:15" x14ac:dyDescent="0.3">
      <c r="B17483" s="1" t="s">
        <v>13</v>
      </c>
      <c r="C17483" s="1" t="str">
        <f t="shared" si="859"/>
        <v>2차</v>
      </c>
      <c r="D17483" s="1" t="str">
        <f>"0026H75521"</f>
        <v>0026H75521</v>
      </c>
      <c r="E17483" s="1" t="s">
        <v>10</v>
      </c>
      <c r="F17483" s="1" t="str">
        <f>"10.11.6.51"</f>
        <v>10.11.6.51</v>
      </c>
      <c r="G17483" s="1" t="str">
        <f>"0026H755"</f>
        <v>0026H755</v>
      </c>
      <c r="H17483" s="1" t="str">
        <f>"창신지 4L1"</f>
        <v>창신지 4L1</v>
      </c>
      <c r="I17483" s="1" t="s">
        <v>8</v>
      </c>
      <c r="J17483" s="1" t="str">
        <f>"27/27"</f>
        <v>27/27</v>
      </c>
      <c r="K17483" s="1" t="str">
        <f t="shared" si="860"/>
        <v>2026-07-29 13:18:01</v>
      </c>
      <c r="L17483" s="1" t="str">
        <f>"2017-06-21 17:41:02"</f>
        <v>2017-06-21 17:41:02</v>
      </c>
      <c r="M17483" s="1" t="s">
        <v>2</v>
      </c>
      <c r="N17483" s="1" t="s">
        <v>38</v>
      </c>
      <c r="O17483" s="1" t="s">
        <v>46</v>
      </c>
    </row>
    <row r="17484" spans="2:15" x14ac:dyDescent="0.3">
      <c r="B17484" s="1" t="s">
        <v>13</v>
      </c>
      <c r="C17484" s="1" t="str">
        <f t="shared" si="859"/>
        <v>2차</v>
      </c>
      <c r="D17484" s="1" t="str">
        <f>"0026H76120"</f>
        <v>0026H76120</v>
      </c>
      <c r="E17484" s="1" t="s">
        <v>10</v>
      </c>
      <c r="F17484" s="1" t="str">
        <f>"10.11.6.66"</f>
        <v>10.11.6.66</v>
      </c>
      <c r="G17484" s="1" t="str">
        <f>"0026H761"</f>
        <v>0026H761</v>
      </c>
      <c r="H17484" s="1" t="str">
        <f>"창신지 6"</f>
        <v>창신지 6</v>
      </c>
      <c r="I17484" s="1" t="s">
        <v>8</v>
      </c>
      <c r="J17484" s="1" t="str">
        <f>"75/76"</f>
        <v>75/76</v>
      </c>
      <c r="K17484" s="1" t="str">
        <f t="shared" si="860"/>
        <v>2026-07-29 13:18:01</v>
      </c>
      <c r="L17484" s="1" t="str">
        <f>"2017-06-21 17:41:02"</f>
        <v>2017-06-21 17:41:02</v>
      </c>
      <c r="M17484" s="1" t="s">
        <v>2</v>
      </c>
      <c r="N17484" s="1" t="s">
        <v>38</v>
      </c>
      <c r="O17484" s="1" t="s">
        <v>46</v>
      </c>
    </row>
    <row r="17485" spans="2:15" x14ac:dyDescent="0.3">
      <c r="B17485" s="1" t="s">
        <v>13</v>
      </c>
      <c r="C17485" s="1" t="str">
        <f t="shared" si="859"/>
        <v>2차</v>
      </c>
      <c r="D17485" s="1" t="str">
        <f>"0026H76222"</f>
        <v>0026H76222</v>
      </c>
      <c r="E17485" s="1" t="s">
        <v>10</v>
      </c>
      <c r="F17485" s="1" t="str">
        <f>"10.11.6.68"</f>
        <v>10.11.6.68</v>
      </c>
      <c r="G17485" s="1" t="str">
        <f>"0026H762"</f>
        <v>0026H762</v>
      </c>
      <c r="H17485" s="1" t="str">
        <f>"창신지 7"</f>
        <v>창신지 7</v>
      </c>
      <c r="I17485" s="1" t="s">
        <v>8</v>
      </c>
      <c r="J17485" s="1" t="str">
        <f>"33/34"</f>
        <v>33/34</v>
      </c>
      <c r="K17485" s="1" t="str">
        <f t="shared" si="860"/>
        <v>2026-07-29 13:18:01</v>
      </c>
      <c r="L17485" s="1" t="str">
        <f>"2017-06-21 17:41:02"</f>
        <v>2017-06-21 17:41:02</v>
      </c>
      <c r="M17485" s="1" t="s">
        <v>2</v>
      </c>
      <c r="N17485" s="1" t="s">
        <v>38</v>
      </c>
      <c r="O17485" s="1" t="s">
        <v>46</v>
      </c>
    </row>
    <row r="17486" spans="2:15" x14ac:dyDescent="0.3">
      <c r="B17486" s="1" t="s">
        <v>13</v>
      </c>
      <c r="C17486" s="1" t="str">
        <f t="shared" si="859"/>
        <v>2차</v>
      </c>
      <c r="D17486" s="1" t="str">
        <f>"0026H77120"</f>
        <v>0026H77120</v>
      </c>
      <c r="E17486" s="1" t="s">
        <v>10</v>
      </c>
      <c r="F17486" s="1" t="str">
        <f>"10.11.6.74"</f>
        <v>10.11.6.74</v>
      </c>
      <c r="G17486" s="1" t="str">
        <f>"0026H771"</f>
        <v>0026H771</v>
      </c>
      <c r="H17486" s="1" t="str">
        <f>"창신지 8"</f>
        <v>창신지 8</v>
      </c>
      <c r="I17486" s="1" t="s">
        <v>8</v>
      </c>
      <c r="J17486" s="1" t="str">
        <f>"23/23"</f>
        <v>23/23</v>
      </c>
      <c r="K17486" s="1" t="str">
        <f t="shared" si="860"/>
        <v>2026-07-29 13:18:01</v>
      </c>
      <c r="L17486" s="1" t="str">
        <f>"2017-06-21 17:41:01"</f>
        <v>2017-06-21 17:41:01</v>
      </c>
      <c r="M17486" s="1" t="s">
        <v>2</v>
      </c>
      <c r="N17486" s="1" t="s">
        <v>38</v>
      </c>
      <c r="O17486" s="1" t="s">
        <v>46</v>
      </c>
    </row>
    <row r="17487" spans="2:15" x14ac:dyDescent="0.3">
      <c r="B17487" s="1" t="s">
        <v>13</v>
      </c>
      <c r="C17487" s="1" t="str">
        <f>"4차"</f>
        <v>4차</v>
      </c>
      <c r="D17487" s="1" t="str">
        <f>"0026H77320"</f>
        <v>0026H77320</v>
      </c>
      <c r="E17487" s="1" t="s">
        <v>10</v>
      </c>
      <c r="F17487" s="1" t="str">
        <f>"10.11.6.106"</f>
        <v>10.11.6.106</v>
      </c>
      <c r="G17487" s="1" t="str">
        <f>"0026H773"</f>
        <v>0026H773</v>
      </c>
      <c r="H17487" s="1" t="str">
        <f>"창신지 8R1"</f>
        <v>창신지 8R1</v>
      </c>
      <c r="I17487" s="1" t="s">
        <v>8</v>
      </c>
      <c r="J17487" s="1" t="str">
        <f>"14/14"</f>
        <v>14/14</v>
      </c>
      <c r="K17487" s="1" t="str">
        <f t="shared" si="860"/>
        <v>2026-07-29 13:18:01</v>
      </c>
      <c r="L17487" s="1" t="str">
        <f>"2017-07-17 12:24:25"</f>
        <v>2017-07-17 12:24:25</v>
      </c>
      <c r="M17487" s="1" t="s">
        <v>2</v>
      </c>
      <c r="N17487" s="1" t="s">
        <v>38</v>
      </c>
      <c r="O17487" s="1" t="s">
        <v>46</v>
      </c>
    </row>
    <row r="17488" spans="2:15" x14ac:dyDescent="0.3">
      <c r="B17488" s="1" t="s">
        <v>13</v>
      </c>
      <c r="C17488" s="1" t="str">
        <f t="shared" ref="C17488:C17493" si="861">"2차"</f>
        <v>2차</v>
      </c>
      <c r="D17488" s="1" t="str">
        <f>"0026H78221"</f>
        <v>0026H78221</v>
      </c>
      <c r="E17488" s="1" t="s">
        <v>10</v>
      </c>
      <c r="F17488" s="1" t="str">
        <f>"10.11.5.67"</f>
        <v>10.11.5.67</v>
      </c>
      <c r="G17488" s="1" t="str">
        <f>"0026H782"</f>
        <v>0026H782</v>
      </c>
      <c r="H17488" s="1" t="str">
        <f>"창신지 10"</f>
        <v>창신지 10</v>
      </c>
      <c r="I17488" s="1" t="s">
        <v>8</v>
      </c>
      <c r="J17488" s="1" t="str">
        <f>"7/7"</f>
        <v>7/7</v>
      </c>
      <c r="K17488" s="1" t="str">
        <f t="shared" si="860"/>
        <v>2026-07-29 13:18:01</v>
      </c>
      <c r="L17488" s="1" t="str">
        <f>"2017-06-21 17:41:03"</f>
        <v>2017-06-21 17:41:03</v>
      </c>
      <c r="M17488" s="1" t="s">
        <v>2</v>
      </c>
      <c r="N17488" s="1" t="s">
        <v>38</v>
      </c>
      <c r="O17488" s="1" t="s">
        <v>46</v>
      </c>
    </row>
    <row r="17489" spans="2:15" x14ac:dyDescent="0.3">
      <c r="B17489" s="1" t="s">
        <v>13</v>
      </c>
      <c r="C17489" s="1" t="str">
        <f t="shared" si="861"/>
        <v>2차</v>
      </c>
      <c r="D17489" s="1" t="str">
        <f>"0026H78320"</f>
        <v>0026H78320</v>
      </c>
      <c r="E17489" s="1" t="s">
        <v>10</v>
      </c>
      <c r="F17489" s="1" t="str">
        <f>"10.11.5.66"</f>
        <v>10.11.5.66</v>
      </c>
      <c r="G17489" s="1" t="str">
        <f>"0026H783"</f>
        <v>0026H783</v>
      </c>
      <c r="H17489" s="1" t="str">
        <f>"창신지 11"</f>
        <v>창신지 11</v>
      </c>
      <c r="I17489" s="1" t="s">
        <v>8</v>
      </c>
      <c r="J17489" s="1" t="str">
        <f>"22/22"</f>
        <v>22/22</v>
      </c>
      <c r="K17489" s="1" t="str">
        <f t="shared" si="860"/>
        <v>2026-07-29 13:18:01</v>
      </c>
      <c r="L17489" s="1" t="str">
        <f>"2017-06-21 17:41:03"</f>
        <v>2017-06-21 17:41:03</v>
      </c>
      <c r="M17489" s="1" t="s">
        <v>2</v>
      </c>
      <c r="N17489" s="1" t="s">
        <v>38</v>
      </c>
      <c r="O17489" s="1" t="s">
        <v>46</v>
      </c>
    </row>
    <row r="17490" spans="2:15" x14ac:dyDescent="0.3">
      <c r="B17490" s="1" t="s">
        <v>13</v>
      </c>
      <c r="C17490" s="1" t="str">
        <f t="shared" si="861"/>
        <v>2차</v>
      </c>
      <c r="D17490" s="1" t="str">
        <f>"0026H79122"</f>
        <v>0026H79122</v>
      </c>
      <c r="E17490" s="1" t="s">
        <v>10</v>
      </c>
      <c r="F17490" s="1" t="str">
        <f>"10.11.5.68"</f>
        <v>10.11.5.68</v>
      </c>
      <c r="G17490" s="1" t="str">
        <f>"0026H791"</f>
        <v>0026H791</v>
      </c>
      <c r="H17490" s="1" t="str">
        <f>"창신지 12"</f>
        <v>창신지 12</v>
      </c>
      <c r="I17490" s="1" t="s">
        <v>8</v>
      </c>
      <c r="J17490" s="1" t="str">
        <f>"11/11"</f>
        <v>11/11</v>
      </c>
      <c r="K17490" s="1" t="str">
        <f t="shared" si="860"/>
        <v>2026-07-29 13:18:01</v>
      </c>
      <c r="L17490" s="1" t="str">
        <f>"2017-06-21 17:41:01"</f>
        <v>2017-06-21 17:41:01</v>
      </c>
      <c r="M17490" s="1" t="s">
        <v>2</v>
      </c>
      <c r="N17490" s="1" t="s">
        <v>38</v>
      </c>
      <c r="O17490" s="1" t="s">
        <v>46</v>
      </c>
    </row>
    <row r="17491" spans="2:15" x14ac:dyDescent="0.3">
      <c r="B17491" s="1" t="s">
        <v>13</v>
      </c>
      <c r="C17491" s="1" t="str">
        <f t="shared" si="861"/>
        <v>2차</v>
      </c>
      <c r="D17491" s="1" t="str">
        <f>"0026H80221"</f>
        <v>0026H80221</v>
      </c>
      <c r="E17491" s="1" t="s">
        <v>10</v>
      </c>
      <c r="F17491" s="1" t="str">
        <f>"10.11.4.3"</f>
        <v>10.11.4.3</v>
      </c>
      <c r="G17491" s="1" t="str">
        <f>"0026H802"</f>
        <v>0026H802</v>
      </c>
      <c r="H17491" s="1" t="str">
        <f>"숭인지 31R9"</f>
        <v>숭인지 31R9</v>
      </c>
      <c r="I17491" s="1" t="s">
        <v>8</v>
      </c>
      <c r="J17491" s="1" t="str">
        <f>"33/33"</f>
        <v>33/33</v>
      </c>
      <c r="K17491" s="1" t="str">
        <f>"2026-07-29 13:18:00"</f>
        <v>2026-07-29 13:18:00</v>
      </c>
      <c r="L17491" s="1" t="str">
        <f>"2017-06-24 17:10:24"</f>
        <v>2017-06-24 17:10:24</v>
      </c>
      <c r="M17491" s="1" t="s">
        <v>2</v>
      </c>
      <c r="N17491" s="1" t="s">
        <v>38</v>
      </c>
      <c r="O17491" s="1" t="s">
        <v>46</v>
      </c>
    </row>
    <row r="17492" spans="2:15" x14ac:dyDescent="0.3">
      <c r="B17492" s="1" t="s">
        <v>13</v>
      </c>
      <c r="C17492" s="1" t="str">
        <f t="shared" si="861"/>
        <v>2차</v>
      </c>
      <c r="D17492" s="1" t="str">
        <f>"0026H84121"</f>
        <v>0026H84121</v>
      </c>
      <c r="E17492" s="1" t="s">
        <v>10</v>
      </c>
      <c r="F17492" s="1" t="str">
        <f>"10.11.6.35"</f>
        <v>10.11.6.35</v>
      </c>
      <c r="G17492" s="1" t="str">
        <f>"0026H841"</f>
        <v>0026H841</v>
      </c>
      <c r="H17492" s="1" t="str">
        <f>"창신지 3R1"</f>
        <v>창신지 3R1</v>
      </c>
      <c r="I17492" s="1" t="s">
        <v>8</v>
      </c>
      <c r="J17492" s="1" t="str">
        <f>"4/4"</f>
        <v>4/4</v>
      </c>
      <c r="K17492" s="1" t="str">
        <f>"2026-07-29 13:18:00"</f>
        <v>2026-07-29 13:18:00</v>
      </c>
      <c r="L17492" s="1" t="str">
        <f>"2017-06-24 14:27:23"</f>
        <v>2017-06-24 14:27:23</v>
      </c>
      <c r="M17492" s="1" t="s">
        <v>2</v>
      </c>
      <c r="N17492" s="1" t="s">
        <v>38</v>
      </c>
      <c r="O17492" s="1" t="s">
        <v>46</v>
      </c>
    </row>
    <row r="17493" spans="2:15" x14ac:dyDescent="0.3">
      <c r="B17493" s="1" t="s">
        <v>13</v>
      </c>
      <c r="C17493" s="1" t="str">
        <f t="shared" si="861"/>
        <v>2차</v>
      </c>
      <c r="D17493" s="1" t="str">
        <f>"0026H84220"</f>
        <v>0026H84220</v>
      </c>
      <c r="E17493" s="1" t="s">
        <v>10</v>
      </c>
      <c r="F17493" s="1" t="str">
        <f>"10.11.6.34"</f>
        <v>10.11.6.34</v>
      </c>
      <c r="G17493" s="1" t="str">
        <f>"0026H842"</f>
        <v>0026H842</v>
      </c>
      <c r="H17493" s="1" t="str">
        <f>"창신지 3R2"</f>
        <v>창신지 3R2</v>
      </c>
      <c r="I17493" s="1" t="s">
        <v>8</v>
      </c>
      <c r="J17493" s="1" t="str">
        <f>"26/26"</f>
        <v>26/26</v>
      </c>
      <c r="K17493" s="1" t="str">
        <f>"2026-07-29 13:18:00"</f>
        <v>2026-07-29 13:18:00</v>
      </c>
      <c r="L17493" s="1" t="str">
        <f>"2017-06-24 14:18:08"</f>
        <v>2017-06-24 14:18:08</v>
      </c>
      <c r="M17493" s="1" t="s">
        <v>2</v>
      </c>
      <c r="N17493" s="1" t="s">
        <v>38</v>
      </c>
      <c r="O17493" s="1" t="s">
        <v>46</v>
      </c>
    </row>
    <row r="17494" spans="2:15" x14ac:dyDescent="0.3">
      <c r="B17494" s="1" t="s">
        <v>13</v>
      </c>
      <c r="C17494" s="1" t="str">
        <f>"4차"</f>
        <v>4차</v>
      </c>
      <c r="D17494" s="1" t="str">
        <f>"0026H87221"</f>
        <v>0026H87221</v>
      </c>
      <c r="E17494" s="1" t="s">
        <v>10</v>
      </c>
      <c r="F17494" s="1" t="str">
        <f>"10.11.6.115"</f>
        <v>10.11.6.115</v>
      </c>
      <c r="G17494" s="1" t="str">
        <f>"0026H872"</f>
        <v>0026H872</v>
      </c>
      <c r="H17494" s="1" t="str">
        <f>"창신지 8R2"</f>
        <v>창신지 8R2</v>
      </c>
      <c r="I17494" s="1" t="s">
        <v>8</v>
      </c>
      <c r="J17494" s="1" t="str">
        <f>"58/60"</f>
        <v>58/60</v>
      </c>
      <c r="K17494" s="1" t="str">
        <f>"2026-07-29 13:18:01"</f>
        <v>2026-07-29 13:18:01</v>
      </c>
      <c r="L17494" s="1" t="str">
        <f>"2017-06-21 17:51:02"</f>
        <v>2017-06-21 17:51:02</v>
      </c>
      <c r="M17494" s="1" t="s">
        <v>2</v>
      </c>
      <c r="N17494" s="1" t="s">
        <v>38</v>
      </c>
      <c r="O17494" s="1" t="s">
        <v>46</v>
      </c>
    </row>
    <row r="17495" spans="2:15" x14ac:dyDescent="0.3">
      <c r="B17495" s="1" t="s">
        <v>13</v>
      </c>
      <c r="C17495" s="1" t="str">
        <f>"2차"</f>
        <v>2차</v>
      </c>
      <c r="D17495" s="1" t="str">
        <f>"0026H87320"</f>
        <v>0026H87320</v>
      </c>
      <c r="E17495" s="1" t="s">
        <v>10</v>
      </c>
      <c r="F17495" s="1" t="str">
        <f>"10.11.6.114"</f>
        <v>10.11.6.114</v>
      </c>
      <c r="G17495" s="1" t="str">
        <f>"0026H873"</f>
        <v>0026H873</v>
      </c>
      <c r="H17495" s="1" t="str">
        <f>"창신지 8R3"</f>
        <v>창신지 8R3</v>
      </c>
      <c r="I17495" s="1" t="s">
        <v>8</v>
      </c>
      <c r="J17495" s="1" t="str">
        <f>"33/34"</f>
        <v>33/34</v>
      </c>
      <c r="K17495" s="1" t="str">
        <f>"2026-07-29 13:18:01"</f>
        <v>2026-07-29 13:18:01</v>
      </c>
      <c r="L17495" s="1" t="str">
        <f>"2017-06-21 17:51:01"</f>
        <v>2017-06-21 17:51:01</v>
      </c>
      <c r="M17495" s="1" t="s">
        <v>2</v>
      </c>
      <c r="N17495" s="1" t="s">
        <v>38</v>
      </c>
      <c r="O17495" s="1" t="s">
        <v>46</v>
      </c>
    </row>
    <row r="17496" spans="2:15" x14ac:dyDescent="0.3">
      <c r="B17496" s="1" t="s">
        <v>13</v>
      </c>
      <c r="C17496" s="1" t="str">
        <f>"2차"</f>
        <v>2차</v>
      </c>
      <c r="D17496" s="1" t="str">
        <f>"0026H88122"</f>
        <v>0026H88122</v>
      </c>
      <c r="E17496" s="1" t="s">
        <v>10</v>
      </c>
      <c r="F17496" s="1" t="str">
        <f>"10.11.6.116"</f>
        <v>10.11.6.116</v>
      </c>
      <c r="G17496" s="1" t="str">
        <f>"0026H881"</f>
        <v>0026H881</v>
      </c>
      <c r="H17496" s="1" t="str">
        <f>"창신지 8R3L1"</f>
        <v>창신지 8R3L1</v>
      </c>
      <c r="I17496" s="1" t="s">
        <v>8</v>
      </c>
      <c r="J17496" s="1" t="str">
        <f>"30/30"</f>
        <v>30/30</v>
      </c>
      <c r="K17496" s="1" t="str">
        <f>"2026-07-29 13:18:01"</f>
        <v>2026-07-29 13:18:01</v>
      </c>
      <c r="L17496" s="1" t="str">
        <f>"2017-06-21 17:51:02"</f>
        <v>2017-06-21 17:51:02</v>
      </c>
      <c r="M17496" s="1" t="s">
        <v>2</v>
      </c>
      <c r="N17496" s="1" t="s">
        <v>38</v>
      </c>
      <c r="O17496" s="1" t="s">
        <v>46</v>
      </c>
    </row>
    <row r="17497" spans="2:15" x14ac:dyDescent="0.3">
      <c r="B17497" s="1" t="s">
        <v>13</v>
      </c>
      <c r="C17497" s="1" t="str">
        <f>"4차"</f>
        <v>4차</v>
      </c>
      <c r="D17497" s="1" t="str">
        <f>"0026H88221"</f>
        <v>0026H88221</v>
      </c>
      <c r="E17497" s="1" t="s">
        <v>10</v>
      </c>
      <c r="F17497" s="1" t="str">
        <f>"10.11.6.107"</f>
        <v>10.11.6.107</v>
      </c>
      <c r="G17497" s="1" t="str">
        <f>"0026H882"</f>
        <v>0026H882</v>
      </c>
      <c r="H17497" s="1" t="str">
        <f>"창신지 8R1L2"</f>
        <v>창신지 8R1L2</v>
      </c>
      <c r="I17497" s="1" t="s">
        <v>8</v>
      </c>
      <c r="J17497" s="1" t="str">
        <f>"45/45"</f>
        <v>45/45</v>
      </c>
      <c r="K17497" s="1" t="str">
        <f>"2026-07-29 13:18:00"</f>
        <v>2026-07-29 13:18:00</v>
      </c>
      <c r="L17497" s="1" t="str">
        <f>"2017-06-28 16:16:11"</f>
        <v>2017-06-28 16:16:11</v>
      </c>
      <c r="M17497" s="1" t="s">
        <v>2</v>
      </c>
      <c r="N17497" s="1" t="s">
        <v>38</v>
      </c>
      <c r="O17497" s="1" t="s">
        <v>46</v>
      </c>
    </row>
    <row r="17498" spans="2:15" x14ac:dyDescent="0.3">
      <c r="B17498" s="1" t="s">
        <v>13</v>
      </c>
      <c r="C17498" s="1" t="str">
        <f>"4차"</f>
        <v>4차</v>
      </c>
      <c r="D17498" s="1" t="str">
        <f>"0026H89220"</f>
        <v>0026H89220</v>
      </c>
      <c r="E17498" s="1" t="s">
        <v>10</v>
      </c>
      <c r="F17498" s="1" t="str">
        <f>"10.11.5.82"</f>
        <v>10.11.5.82</v>
      </c>
      <c r="G17498" s="1" t="str">
        <f>"0026H892"</f>
        <v>0026H892</v>
      </c>
      <c r="H17498" s="1" t="str">
        <f>"창신지 13R2R2"</f>
        <v>창신지 13R2R2</v>
      </c>
      <c r="I17498" s="1" t="s">
        <v>8</v>
      </c>
      <c r="J17498" s="1" t="str">
        <f>"40/45"</f>
        <v>40/45</v>
      </c>
      <c r="K17498" s="1" t="str">
        <f>"2026-07-29 13:18:01"</f>
        <v>2026-07-29 13:18:01</v>
      </c>
      <c r="L17498" s="1" t="str">
        <f>"2017-06-27 11:58:23"</f>
        <v>2017-06-27 11:58:23</v>
      </c>
      <c r="M17498" s="1" t="s">
        <v>2</v>
      </c>
      <c r="N17498" s="1" t="s">
        <v>38</v>
      </c>
      <c r="O17498" s="1" t="s">
        <v>46</v>
      </c>
    </row>
    <row r="17499" spans="2:15" x14ac:dyDescent="0.3">
      <c r="B17499" s="1" t="s">
        <v>13</v>
      </c>
      <c r="C17499" s="1" t="str">
        <f>"2차"</f>
        <v>2차</v>
      </c>
      <c r="D17499" s="1" t="str">
        <f>"0026H90120"</f>
        <v>0026H90120</v>
      </c>
      <c r="E17499" s="1" t="s">
        <v>10</v>
      </c>
      <c r="F17499" s="1" t="str">
        <f>"10.11.4.2"</f>
        <v>10.11.4.2</v>
      </c>
      <c r="G17499" s="1" t="str">
        <f>"0026H901"</f>
        <v>0026H901</v>
      </c>
      <c r="H17499" s="1" t="str">
        <f>"숭인지 31R8"</f>
        <v>숭인지 31R8</v>
      </c>
      <c r="I17499" s="1" t="s">
        <v>8</v>
      </c>
      <c r="J17499" s="1" t="str">
        <f>"41/41"</f>
        <v>41/41</v>
      </c>
      <c r="K17499" s="1" t="str">
        <f>"2026-07-29 13:18:00"</f>
        <v>2026-07-29 13:18:00</v>
      </c>
      <c r="L17499" s="1" t="str">
        <f>"2017-06-24 17:07:54"</f>
        <v>2017-06-24 17:07:54</v>
      </c>
      <c r="M17499" s="1" t="s">
        <v>2</v>
      </c>
      <c r="N17499" s="1" t="s">
        <v>38</v>
      </c>
      <c r="O17499" s="1" t="s">
        <v>46</v>
      </c>
    </row>
    <row r="17500" spans="2:15" x14ac:dyDescent="0.3">
      <c r="B17500" s="1" t="s">
        <v>13</v>
      </c>
      <c r="C17500" s="1" t="str">
        <f>"4차"</f>
        <v>4차</v>
      </c>
      <c r="D17500" s="1" t="str">
        <f>"0026H93339"</f>
        <v>0026H93339</v>
      </c>
      <c r="E17500" s="1" t="s">
        <v>10</v>
      </c>
      <c r="F17500" s="1" t="str">
        <f>"10.12.133.40"</f>
        <v>10.12.133.40</v>
      </c>
      <c r="G17500" s="1" t="str">
        <f>"0026H933"</f>
        <v>0026H933</v>
      </c>
      <c r="H17500" s="1" t="str">
        <f>"왕산로 R13"</f>
        <v>왕산로 R13</v>
      </c>
      <c r="I17500" s="1" t="s">
        <v>17</v>
      </c>
      <c r="J17500" s="1" t="str">
        <f>"10/19"</f>
        <v>10/19</v>
      </c>
      <c r="K17500" s="1" t="str">
        <f>"2026-07-29 13:18:01"</f>
        <v>2026-07-29 13:18:01</v>
      </c>
      <c r="L17500" s="1" t="str">
        <f>"2018-06-18 13:53:13"</f>
        <v>2018-06-18 13:53:13</v>
      </c>
      <c r="M17500" s="1" t="s">
        <v>0</v>
      </c>
      <c r="N17500" s="1" t="s">
        <v>38</v>
      </c>
      <c r="O17500" s="1" t="s">
        <v>46</v>
      </c>
    </row>
    <row r="17501" spans="2:15" x14ac:dyDescent="0.3">
      <c r="B17501" s="1" t="s">
        <v>13</v>
      </c>
      <c r="C17501" s="1" t="str">
        <f>"4차"</f>
        <v>4차</v>
      </c>
      <c r="D17501" s="1" t="str">
        <f>"0026H93639"</f>
        <v>0026H93639</v>
      </c>
      <c r="E17501" s="1" t="s">
        <v>10</v>
      </c>
      <c r="F17501" s="1" t="str">
        <f>"10.12.134.156"</f>
        <v>10.12.134.156</v>
      </c>
      <c r="G17501" s="1" t="str">
        <f>"0026H936"</f>
        <v>0026H936</v>
      </c>
      <c r="H17501" s="1" t="str">
        <f>"왕산로 L10"</f>
        <v>왕산로 L10</v>
      </c>
      <c r="I17501" s="1" t="s">
        <v>17</v>
      </c>
      <c r="J17501" s="1" t="str">
        <f>"10/10"</f>
        <v>10/10</v>
      </c>
      <c r="K17501" s="1" t="str">
        <f>"2026-07-29 13:18:01"</f>
        <v>2026-07-29 13:18:01</v>
      </c>
      <c r="L17501" s="1" t="str">
        <f>"2018-06-15 09:13:12"</f>
        <v>2018-06-15 09:13:12</v>
      </c>
      <c r="M17501" s="1" t="s">
        <v>0</v>
      </c>
      <c r="N17501" s="1" t="s">
        <v>38</v>
      </c>
      <c r="O17501" s="1" t="s">
        <v>46</v>
      </c>
    </row>
    <row r="17502" spans="2:15" x14ac:dyDescent="0.3">
      <c r="B17502" s="1" t="s">
        <v>13</v>
      </c>
      <c r="C17502" s="1" t="str">
        <f>"4차"</f>
        <v>4차</v>
      </c>
      <c r="D17502" s="1" t="str">
        <f>"0026H93739"</f>
        <v>0026H93739</v>
      </c>
      <c r="E17502" s="1" t="s">
        <v>10</v>
      </c>
      <c r="F17502" s="1" t="str">
        <f>"10.12.133.130"</f>
        <v>10.12.133.130</v>
      </c>
      <c r="G17502" s="1" t="str">
        <f>"0026H937"</f>
        <v>0026H937</v>
      </c>
      <c r="H17502" s="1" t="str">
        <f>"왕산로 R12-1"</f>
        <v>왕산로 R12-1</v>
      </c>
      <c r="I17502" s="1" t="s">
        <v>17</v>
      </c>
      <c r="J17502" s="1" t="str">
        <f>"7/7"</f>
        <v>7/7</v>
      </c>
      <c r="K17502" s="1" t="str">
        <f>"2026-07-29 13:18:04"</f>
        <v>2026-07-29 13:18:04</v>
      </c>
      <c r="L17502" s="1" t="str">
        <f>"2018-06-16 11:23:56"</f>
        <v>2018-06-16 11:23:56</v>
      </c>
      <c r="M17502" s="1" t="s">
        <v>0</v>
      </c>
      <c r="N17502" s="1" t="s">
        <v>38</v>
      </c>
      <c r="O17502" s="1" t="s">
        <v>46</v>
      </c>
    </row>
    <row r="17503" spans="2:15" x14ac:dyDescent="0.3">
      <c r="B17503" s="1" t="s">
        <v>13</v>
      </c>
      <c r="C17503" s="1" t="str">
        <f>"4차"</f>
        <v>4차</v>
      </c>
      <c r="D17503" s="1" t="str">
        <f>"0026H95229"</f>
        <v>0026H95229</v>
      </c>
      <c r="E17503" s="1" t="s">
        <v>10</v>
      </c>
      <c r="F17503" s="1" t="str">
        <f>"10.11.7.26"</f>
        <v>10.11.7.26</v>
      </c>
      <c r="G17503" s="1" t="str">
        <f>"0026H952"</f>
        <v>0026H952</v>
      </c>
      <c r="H17503" s="1" t="str">
        <f>"청량리간 9L4L2"</f>
        <v>청량리간 9L4L2</v>
      </c>
      <c r="I17503" s="1" t="s">
        <v>8</v>
      </c>
      <c r="J17503" s="1" t="str">
        <f>"38/38"</f>
        <v>38/38</v>
      </c>
      <c r="K17503" s="1" t="str">
        <f>"2026-07-29 13:18:01"</f>
        <v>2026-07-29 13:18:01</v>
      </c>
      <c r="L17503" s="1" t="str">
        <f>"2017-06-28 10:12:37"</f>
        <v>2017-06-28 10:12:37</v>
      </c>
      <c r="M17503" s="1" t="s">
        <v>2</v>
      </c>
      <c r="N17503" s="1" t="s">
        <v>38</v>
      </c>
      <c r="O17503" s="1" t="s">
        <v>46</v>
      </c>
    </row>
    <row r="17504" spans="2:15" x14ac:dyDescent="0.3">
      <c r="B17504" s="1" t="s">
        <v>13</v>
      </c>
      <c r="C17504" s="1" t="str">
        <f>"4차"</f>
        <v>4차</v>
      </c>
      <c r="D17504" s="1" t="str">
        <f>"0026H96329"</f>
        <v>0026H96329</v>
      </c>
      <c r="E17504" s="1" t="s">
        <v>10</v>
      </c>
      <c r="F17504" s="1" t="str">
        <f>"10.11.7.34"</f>
        <v>10.11.7.34</v>
      </c>
      <c r="G17504" s="1" t="str">
        <f>"0026H963"</f>
        <v>0026H963</v>
      </c>
      <c r="H17504" s="1" t="str">
        <f>"청량리간 9L6"</f>
        <v>청량리간 9L6</v>
      </c>
      <c r="I17504" s="1" t="s">
        <v>8</v>
      </c>
      <c r="J17504" s="1" t="str">
        <f>"19/19"</f>
        <v>19/19</v>
      </c>
      <c r="K17504" s="1" t="str">
        <f>"2026-07-29 13:18:00"</f>
        <v>2026-07-29 13:18:00</v>
      </c>
      <c r="L17504" s="1" t="str">
        <f>"2017-06-28 10:55:53"</f>
        <v>2017-06-28 10:55:53</v>
      </c>
      <c r="M17504" s="1" t="s">
        <v>2</v>
      </c>
      <c r="N17504" s="1" t="s">
        <v>38</v>
      </c>
      <c r="O17504" s="1" t="s">
        <v>46</v>
      </c>
    </row>
    <row r="17505" spans="2:15" x14ac:dyDescent="0.3">
      <c r="B17505" s="1" t="s">
        <v>13</v>
      </c>
      <c r="C17505" s="1" t="str">
        <f>"2차"</f>
        <v>2차</v>
      </c>
      <c r="D17505" s="1" t="str">
        <f>"0026H97120"</f>
        <v>0026H97120</v>
      </c>
      <c r="E17505" s="1" t="s">
        <v>10</v>
      </c>
      <c r="F17505" s="1" t="str">
        <f>"10.11.6.122"</f>
        <v>10.11.6.122</v>
      </c>
      <c r="G17505" s="1" t="str">
        <f>"0026H971"</f>
        <v>0026H971</v>
      </c>
      <c r="H17505" s="1" t="str">
        <f>"창신지 8R4"</f>
        <v>창신지 8R4</v>
      </c>
      <c r="I17505" s="1" t="s">
        <v>8</v>
      </c>
      <c r="J17505" s="1" t="str">
        <f>"12/12"</f>
        <v>12/12</v>
      </c>
      <c r="K17505" s="1" t="str">
        <f>"2026-07-29 13:18:01"</f>
        <v>2026-07-29 13:18:01</v>
      </c>
      <c r="L17505" s="1" t="str">
        <f>"2017-06-24 16:01:53"</f>
        <v>2017-06-24 16:01:53</v>
      </c>
      <c r="M17505" s="1" t="s">
        <v>2</v>
      </c>
      <c r="N17505" s="1" t="s">
        <v>38</v>
      </c>
      <c r="O17505" s="1" t="s">
        <v>46</v>
      </c>
    </row>
    <row r="17506" spans="2:15" x14ac:dyDescent="0.3">
      <c r="B17506" s="1" t="s">
        <v>13</v>
      </c>
      <c r="C17506" s="1" t="str">
        <f>"2차"</f>
        <v>2차</v>
      </c>
      <c r="D17506" s="1" t="str">
        <f>"0026H98122"</f>
        <v>0026H98122</v>
      </c>
      <c r="E17506" s="1" t="s">
        <v>10</v>
      </c>
      <c r="F17506" s="1" t="str">
        <f>"10.11.5.84"</f>
        <v>10.11.5.84</v>
      </c>
      <c r="G17506" s="1" t="str">
        <f>"0026H981"</f>
        <v>0026H981</v>
      </c>
      <c r="H17506" s="1" t="str">
        <f>"창신지 13R2R3"</f>
        <v>창신지 13R2R3</v>
      </c>
      <c r="I17506" s="1" t="s">
        <v>8</v>
      </c>
      <c r="J17506" s="1" t="str">
        <f>"33/33"</f>
        <v>33/33</v>
      </c>
      <c r="K17506" s="1" t="str">
        <f>"2026-07-29 13:18:00"</f>
        <v>2026-07-29 13:18:00</v>
      </c>
      <c r="L17506" s="1" t="str">
        <f>"2017-06-27 12:00:09"</f>
        <v>2017-06-27 12:00:09</v>
      </c>
      <c r="M17506" s="1" t="s">
        <v>2</v>
      </c>
      <c r="N17506" s="1" t="s">
        <v>38</v>
      </c>
      <c r="O17506" s="1" t="s">
        <v>46</v>
      </c>
    </row>
    <row r="17507" spans="2:15" x14ac:dyDescent="0.3">
      <c r="B17507" s="1" t="s">
        <v>13</v>
      </c>
      <c r="C17507" s="1" t="str">
        <f>"2차"</f>
        <v>2차</v>
      </c>
      <c r="D17507" s="1" t="str">
        <f>"0026H98222"</f>
        <v>0026H98222</v>
      </c>
      <c r="E17507" s="1" t="s">
        <v>10</v>
      </c>
      <c r="F17507" s="1" t="str">
        <f>"10.11.6.124"</f>
        <v>10.11.6.124</v>
      </c>
      <c r="G17507" s="1" t="str">
        <f>"0026H982"</f>
        <v>0026H982</v>
      </c>
      <c r="H17507" s="1" t="str">
        <f>"창신지 8R5"</f>
        <v>창신지 8R5</v>
      </c>
      <c r="I17507" s="1" t="s">
        <v>8</v>
      </c>
      <c r="J17507" s="1" t="str">
        <f>"12/12"</f>
        <v>12/12</v>
      </c>
      <c r="K17507" s="1" t="str">
        <f>"2026-07-29 13:18:01"</f>
        <v>2026-07-29 13:18:01</v>
      </c>
      <c r="L17507" s="1" t="str">
        <f>"2017-07-17 12:58:56"</f>
        <v>2017-07-17 12:58:56</v>
      </c>
      <c r="M17507" s="1" t="s">
        <v>2</v>
      </c>
      <c r="N17507" s="1" t="s">
        <v>38</v>
      </c>
      <c r="O17507" s="1" t="s">
        <v>46</v>
      </c>
    </row>
    <row r="17508" spans="2:15" x14ac:dyDescent="0.3">
      <c r="B17508" s="1" t="s">
        <v>13</v>
      </c>
      <c r="C17508" s="1" t="str">
        <f>"2차"</f>
        <v>2차</v>
      </c>
      <c r="D17508" s="1" t="str">
        <f>"0026H98321"</f>
        <v>0026H98321</v>
      </c>
      <c r="E17508" s="1" t="s">
        <v>10</v>
      </c>
      <c r="F17508" s="1" t="str">
        <f>"10.11.6.123"</f>
        <v>10.11.6.123</v>
      </c>
      <c r="G17508" s="1" t="str">
        <f>"0026H983"</f>
        <v>0026H983</v>
      </c>
      <c r="H17508" s="1" t="str">
        <f>"창신지 8R6"</f>
        <v>창신지 8R6</v>
      </c>
      <c r="I17508" s="1" t="s">
        <v>8</v>
      </c>
      <c r="J17508" s="1" t="str">
        <f>"37/39"</f>
        <v>37/39</v>
      </c>
      <c r="K17508" s="1" t="str">
        <f>"2026-07-29 13:18:01"</f>
        <v>2026-07-29 13:18:01</v>
      </c>
      <c r="L17508" s="1" t="str">
        <f>"2017-06-24 16:09:54"</f>
        <v>2017-06-24 16:09:54</v>
      </c>
      <c r="M17508" s="1" t="s">
        <v>2</v>
      </c>
      <c r="N17508" s="1" t="s">
        <v>38</v>
      </c>
      <c r="O17508" s="1" t="s">
        <v>46</v>
      </c>
    </row>
    <row r="17509" spans="2:15" x14ac:dyDescent="0.3">
      <c r="B17509" s="1" t="s">
        <v>13</v>
      </c>
      <c r="C17509" s="1" t="str">
        <f>"2차"</f>
        <v>2차</v>
      </c>
      <c r="D17509" s="1" t="str">
        <f>"0026H99121"</f>
        <v>0026H99121</v>
      </c>
      <c r="E17509" s="1" t="s">
        <v>10</v>
      </c>
      <c r="F17509" s="1" t="str">
        <f>"10.11.5.83"</f>
        <v>10.11.5.83</v>
      </c>
      <c r="G17509" s="1" t="str">
        <f>"0026H991"</f>
        <v>0026H991</v>
      </c>
      <c r="H17509" s="1" t="str">
        <f>"창신지 13R2R2L1"</f>
        <v>창신지 13R2R2L1</v>
      </c>
      <c r="I17509" s="1" t="s">
        <v>8</v>
      </c>
      <c r="J17509" s="1" t="str">
        <f>"49/49"</f>
        <v>49/49</v>
      </c>
      <c r="K17509" s="1" t="str">
        <f>"2026-07-29 13:18:00"</f>
        <v>2026-07-29 13:18:00</v>
      </c>
      <c r="L17509" s="1" t="str">
        <f>"2017-06-27 12:06:54"</f>
        <v>2017-06-27 12:06:54</v>
      </c>
      <c r="M17509" s="1" t="s">
        <v>2</v>
      </c>
      <c r="N17509" s="1" t="s">
        <v>38</v>
      </c>
      <c r="O17509" s="1" t="s">
        <v>46</v>
      </c>
    </row>
    <row r="17510" spans="2:15" x14ac:dyDescent="0.3">
      <c r="B17510" s="1" t="s">
        <v>13</v>
      </c>
      <c r="C17510" s="1" t="str">
        <f t="shared" ref="C17510:C17525" si="862">"4차"</f>
        <v>4차</v>
      </c>
      <c r="D17510" s="1" t="str">
        <f>"0026P00145"</f>
        <v>0026P00145</v>
      </c>
      <c r="E17510" s="1" t="s">
        <v>10</v>
      </c>
      <c r="F17510" s="1" t="str">
        <f>"10.14.4.17"</f>
        <v>10.14.4.17</v>
      </c>
      <c r="G17510" s="1" t="str">
        <f>"0026P001"</f>
        <v>0026P001</v>
      </c>
      <c r="H17510" s="1" t="str">
        <f>"을지로 R9"</f>
        <v>을지로 R9</v>
      </c>
      <c r="I17510" s="1" t="s">
        <v>17</v>
      </c>
      <c r="J17510" s="1" t="str">
        <f>"16/16"</f>
        <v>16/16</v>
      </c>
      <c r="K17510" s="1" t="str">
        <f>"2026-07-29 13:18:02"</f>
        <v>2026-07-29 13:18:02</v>
      </c>
      <c r="L17510" s="1" t="str">
        <f>"2021-06-22 10:34:35"</f>
        <v>2021-06-22 10:34:35</v>
      </c>
      <c r="M17510" s="1" t="s">
        <v>3</v>
      </c>
      <c r="N17510" s="1" t="s">
        <v>38</v>
      </c>
      <c r="O17510" s="1" t="s">
        <v>46</v>
      </c>
    </row>
    <row r="17511" spans="2:15" x14ac:dyDescent="0.3">
      <c r="B17511" s="1" t="s">
        <v>13</v>
      </c>
      <c r="C17511" s="1" t="str">
        <f t="shared" si="862"/>
        <v>4차</v>
      </c>
      <c r="D17511" s="1" t="str">
        <f>"0026P01545"</f>
        <v>0026P01545</v>
      </c>
      <c r="E17511" s="1" t="s">
        <v>10</v>
      </c>
      <c r="F17511" s="1" t="str">
        <f>"10.14.6.26"</f>
        <v>10.14.6.26</v>
      </c>
      <c r="G17511" s="1" t="str">
        <f>"0026P015"</f>
        <v>0026P015</v>
      </c>
      <c r="H17511" s="1" t="str">
        <f>"을지로 L6"</f>
        <v>을지로 L6</v>
      </c>
      <c r="I17511" s="1" t="s">
        <v>17</v>
      </c>
      <c r="J17511" s="1" t="str">
        <f>"5/5"</f>
        <v>5/5</v>
      </c>
      <c r="K17511" s="1" t="str">
        <f>"2026-07-29 13:18:02"</f>
        <v>2026-07-29 13:18:02</v>
      </c>
      <c r="L17511" s="1" t="str">
        <f>"2021-06-22 10:16:16"</f>
        <v>2021-06-22 10:16:16</v>
      </c>
      <c r="M17511" s="1" t="s">
        <v>3</v>
      </c>
      <c r="N17511" s="1" t="s">
        <v>38</v>
      </c>
      <c r="O17511" s="1" t="s">
        <v>46</v>
      </c>
    </row>
    <row r="17512" spans="2:15" x14ac:dyDescent="0.3">
      <c r="B17512" s="1" t="s">
        <v>13</v>
      </c>
      <c r="C17512" s="1" t="str">
        <f t="shared" si="862"/>
        <v>4차</v>
      </c>
      <c r="D17512" s="1" t="str">
        <f>"0026P02144"</f>
        <v>0026P02144</v>
      </c>
      <c r="E17512" s="1" t="s">
        <v>10</v>
      </c>
      <c r="F17512" s="1" t="str">
        <f>"10.10.123.194"</f>
        <v>10.10.123.194</v>
      </c>
      <c r="G17512" s="1" t="str">
        <f>"0026P021"</f>
        <v>0026P021</v>
      </c>
      <c r="H17512" s="1" t="str">
        <f>"수표지 3"</f>
        <v>수표지 3</v>
      </c>
      <c r="I17512" s="1" t="s">
        <v>8</v>
      </c>
      <c r="J17512" s="1" t="str">
        <f>"1/2"</f>
        <v>1/2</v>
      </c>
      <c r="K17512" s="1" t="str">
        <f>"2026-07-29 13:18:01"</f>
        <v>2026-07-29 13:18:01</v>
      </c>
      <c r="L17512" s="1" t="str">
        <f>"2019-12-17 16:12:27"</f>
        <v>2019-12-17 16:12:27</v>
      </c>
      <c r="M17512" s="1" t="s">
        <v>1</v>
      </c>
      <c r="N17512" s="1" t="s">
        <v>38</v>
      </c>
      <c r="O17512" s="1" t="s">
        <v>46</v>
      </c>
    </row>
    <row r="17513" spans="2:15" x14ac:dyDescent="0.3">
      <c r="B17513" s="1" t="s">
        <v>13</v>
      </c>
      <c r="C17513" s="1" t="str">
        <f t="shared" si="862"/>
        <v>4차</v>
      </c>
      <c r="D17513" s="1" t="str">
        <f>"0026P06245"</f>
        <v>0026P06245</v>
      </c>
      <c r="E17513" s="1" t="s">
        <v>10</v>
      </c>
      <c r="F17513" s="1" t="str">
        <f>"10.14.10.15"</f>
        <v>10.14.10.15</v>
      </c>
      <c r="G17513" s="1" t="str">
        <f>"0026P062"</f>
        <v>0026P062</v>
      </c>
      <c r="H17513" s="1" t="str">
        <f>"관수로 1-1"</f>
        <v>관수로 1-1</v>
      </c>
      <c r="I17513" s="1" t="s">
        <v>17</v>
      </c>
      <c r="J17513" s="1" t="str">
        <f>"4/4"</f>
        <v>4/4</v>
      </c>
      <c r="K17513" s="1" t="str">
        <f>"2026-07-29 13:18:02"</f>
        <v>2026-07-29 13:18:02</v>
      </c>
      <c r="L17513" s="1" t="str">
        <f>"2021-06-22 11:08:58"</f>
        <v>2021-06-22 11:08:58</v>
      </c>
      <c r="M17513" s="1" t="s">
        <v>3</v>
      </c>
      <c r="N17513" s="1" t="s">
        <v>38</v>
      </c>
      <c r="O17513" s="1" t="s">
        <v>46</v>
      </c>
    </row>
    <row r="17514" spans="2:15" x14ac:dyDescent="0.3">
      <c r="B17514" s="1" t="s">
        <v>13</v>
      </c>
      <c r="C17514" s="1" t="str">
        <f t="shared" si="862"/>
        <v>4차</v>
      </c>
      <c r="D17514" s="1" t="str">
        <f>"0026P07145"</f>
        <v>0026P07145</v>
      </c>
      <c r="E17514" s="1" t="s">
        <v>10</v>
      </c>
      <c r="F17514" s="1" t="str">
        <f>"10.14.10.28"</f>
        <v>10.14.10.28</v>
      </c>
      <c r="G17514" s="1" t="str">
        <f>"0026P071"</f>
        <v>0026P071</v>
      </c>
      <c r="H17514" s="1" t="str">
        <f>"관수로 2"</f>
        <v>관수로 2</v>
      </c>
      <c r="I17514" s="1" t="s">
        <v>17</v>
      </c>
      <c r="J17514" s="1" t="str">
        <f>"18/18"</f>
        <v>18/18</v>
      </c>
      <c r="K17514" s="1" t="str">
        <f>"2026-07-29 13:18:02"</f>
        <v>2026-07-29 13:18:02</v>
      </c>
      <c r="L17514" s="1" t="str">
        <f>"2021-06-10 16:33:04"</f>
        <v>2021-06-10 16:33:04</v>
      </c>
      <c r="M17514" s="1" t="s">
        <v>3</v>
      </c>
      <c r="N17514" s="1" t="s">
        <v>38</v>
      </c>
      <c r="O17514" s="1" t="s">
        <v>46</v>
      </c>
    </row>
    <row r="17515" spans="2:15" x14ac:dyDescent="0.3">
      <c r="B17515" s="1" t="s">
        <v>13</v>
      </c>
      <c r="C17515" s="1" t="str">
        <f t="shared" si="862"/>
        <v>4차</v>
      </c>
      <c r="D17515" s="1" t="str">
        <f>"0026P09345"</f>
        <v>0026P09345</v>
      </c>
      <c r="E17515" s="1" t="s">
        <v>10</v>
      </c>
      <c r="F17515" s="1" t="str">
        <f>"10.14.15.7"</f>
        <v>10.14.15.7</v>
      </c>
      <c r="G17515" s="1" t="str">
        <f>"0026P093"</f>
        <v>0026P093</v>
      </c>
      <c r="H17515" s="1" t="str">
        <f>"관수로 3"</f>
        <v>관수로 3</v>
      </c>
      <c r="I17515" s="1" t="s">
        <v>17</v>
      </c>
      <c r="J17515" s="1" t="str">
        <f>"13/13"</f>
        <v>13/13</v>
      </c>
      <c r="K17515" s="1" t="str">
        <f>"2026-07-29 13:18:02"</f>
        <v>2026-07-29 13:18:02</v>
      </c>
      <c r="L17515" s="1" t="str">
        <f>"2021-06-22 12:01:22"</f>
        <v>2021-06-22 12:01:22</v>
      </c>
      <c r="M17515" s="1" t="s">
        <v>3</v>
      </c>
      <c r="N17515" s="1" t="s">
        <v>38</v>
      </c>
      <c r="O17515" s="1" t="s">
        <v>46</v>
      </c>
    </row>
    <row r="17516" spans="2:15" x14ac:dyDescent="0.3">
      <c r="B17516" s="1" t="s">
        <v>13</v>
      </c>
      <c r="C17516" s="1" t="str">
        <f t="shared" si="862"/>
        <v>4차</v>
      </c>
      <c r="D17516" s="1" t="str">
        <f>"0026P26244"</f>
        <v>0026P26244</v>
      </c>
      <c r="E17516" s="1" t="s">
        <v>10</v>
      </c>
      <c r="F17516" s="1" t="str">
        <f>"10.10.124.2"</f>
        <v>10.10.124.2</v>
      </c>
      <c r="G17516" s="1" t="str">
        <f>"0026P262"</f>
        <v>0026P262</v>
      </c>
      <c r="H17516" s="1" t="str">
        <f>"예지지 7L5"</f>
        <v>예지지 7L5</v>
      </c>
      <c r="I17516" s="1" t="s">
        <v>8</v>
      </c>
      <c r="J17516" s="1" t="str">
        <f>"14/14"</f>
        <v>14/14</v>
      </c>
      <c r="K17516" s="1" t="str">
        <f t="shared" ref="K17516:K17521" si="863">"2026-07-29 13:18:01"</f>
        <v>2026-07-29 13:18:01</v>
      </c>
      <c r="L17516" s="1" t="str">
        <f>"2019-12-17 16:21:46"</f>
        <v>2019-12-17 16:21:46</v>
      </c>
      <c r="M17516" s="1" t="s">
        <v>1</v>
      </c>
      <c r="N17516" s="1" t="s">
        <v>38</v>
      </c>
      <c r="O17516" s="1" t="s">
        <v>46</v>
      </c>
    </row>
    <row r="17517" spans="2:15" x14ac:dyDescent="0.3">
      <c r="B17517" s="1" t="s">
        <v>13</v>
      </c>
      <c r="C17517" s="1" t="str">
        <f t="shared" si="862"/>
        <v>4차</v>
      </c>
      <c r="D17517" s="1" t="str">
        <f>"0026P27244"</f>
        <v>0026P27244</v>
      </c>
      <c r="E17517" s="1" t="s">
        <v>10</v>
      </c>
      <c r="F17517" s="1" t="str">
        <f>"10.10.123.250"</f>
        <v>10.10.123.250</v>
      </c>
      <c r="G17517" s="1" t="str">
        <f>"0026P272"</f>
        <v>0026P272</v>
      </c>
      <c r="H17517" s="1" t="str">
        <f>"예지지 5"</f>
        <v>예지지 5</v>
      </c>
      <c r="I17517" s="1" t="s">
        <v>8</v>
      </c>
      <c r="J17517" s="1" t="str">
        <f>"22/24"</f>
        <v>22/24</v>
      </c>
      <c r="K17517" s="1" t="str">
        <f t="shared" si="863"/>
        <v>2026-07-29 13:18:01</v>
      </c>
      <c r="L17517" s="1" t="str">
        <f>"2019-12-17 16:18:40"</f>
        <v>2019-12-17 16:18:40</v>
      </c>
      <c r="M17517" s="1" t="s">
        <v>1</v>
      </c>
      <c r="N17517" s="1" t="s">
        <v>38</v>
      </c>
      <c r="O17517" s="1" t="s">
        <v>46</v>
      </c>
    </row>
    <row r="17518" spans="2:15" x14ac:dyDescent="0.3">
      <c r="B17518" s="1" t="s">
        <v>13</v>
      </c>
      <c r="C17518" s="1" t="str">
        <f t="shared" si="862"/>
        <v>4차</v>
      </c>
      <c r="D17518" s="1" t="str">
        <f>"0026P28144"</f>
        <v>0026P28144</v>
      </c>
      <c r="E17518" s="1" t="s">
        <v>10</v>
      </c>
      <c r="F17518" s="1" t="str">
        <f>"10.10.123.242"</f>
        <v>10.10.123.242</v>
      </c>
      <c r="G17518" s="1" t="str">
        <f>"0026P281"</f>
        <v>0026P281</v>
      </c>
      <c r="H17518" s="1" t="str">
        <f>"예지지 4R3"</f>
        <v>예지지 4R3</v>
      </c>
      <c r="I17518" s="1" t="s">
        <v>8</v>
      </c>
      <c r="J17518" s="1" t="str">
        <f>"20/20"</f>
        <v>20/20</v>
      </c>
      <c r="K17518" s="1" t="str">
        <f t="shared" si="863"/>
        <v>2026-07-29 13:18:01</v>
      </c>
      <c r="L17518" s="1" t="str">
        <f>"2019-12-17 16:13:56"</f>
        <v>2019-12-17 16:13:56</v>
      </c>
      <c r="M17518" s="1" t="s">
        <v>1</v>
      </c>
      <c r="N17518" s="1" t="s">
        <v>38</v>
      </c>
      <c r="O17518" s="1" t="s">
        <v>46</v>
      </c>
    </row>
    <row r="17519" spans="2:15" x14ac:dyDescent="0.3">
      <c r="B17519" s="1" t="s">
        <v>13</v>
      </c>
      <c r="C17519" s="1" t="str">
        <f t="shared" si="862"/>
        <v>4차</v>
      </c>
      <c r="D17519" s="1" t="str">
        <f>"0026P36439"</f>
        <v>0026P36439</v>
      </c>
      <c r="E17519" s="1" t="s">
        <v>10</v>
      </c>
      <c r="F17519" s="1" t="str">
        <f>"10.11.44.186"</f>
        <v>10.11.44.186</v>
      </c>
      <c r="G17519" s="1" t="str">
        <f>"0026P364"</f>
        <v>0026P364</v>
      </c>
      <c r="H17519" s="1" t="str">
        <f>"예지지 4L1L1"</f>
        <v>예지지 4L1L1</v>
      </c>
      <c r="I17519" s="1" t="s">
        <v>8</v>
      </c>
      <c r="J17519" s="1" t="str">
        <f>"28/28"</f>
        <v>28/28</v>
      </c>
      <c r="K17519" s="1" t="str">
        <f t="shared" si="863"/>
        <v>2026-07-29 13:18:01</v>
      </c>
      <c r="L17519" s="1" t="str">
        <f>"2018-04-28 09:23:11"</f>
        <v>2018-04-28 09:23:11</v>
      </c>
      <c r="M17519" s="1" t="s">
        <v>2</v>
      </c>
      <c r="N17519" s="1" t="s">
        <v>38</v>
      </c>
      <c r="O17519" s="1" t="s">
        <v>46</v>
      </c>
    </row>
    <row r="17520" spans="2:15" x14ac:dyDescent="0.3">
      <c r="B17520" s="1" t="s">
        <v>13</v>
      </c>
      <c r="C17520" s="1" t="str">
        <f t="shared" si="862"/>
        <v>4차</v>
      </c>
      <c r="D17520" s="1" t="str">
        <f>"0026P46444"</f>
        <v>0026P46444</v>
      </c>
      <c r="E17520" s="1" t="s">
        <v>10</v>
      </c>
      <c r="F17520" s="1" t="str">
        <f>"10.10.123.218"</f>
        <v>10.10.123.218</v>
      </c>
      <c r="G17520" s="1" t="str">
        <f>"0026P464"</f>
        <v>0026P464</v>
      </c>
      <c r="H17520" s="1" t="str">
        <f>"예지지 4L1L3"</f>
        <v>예지지 4L1L3</v>
      </c>
      <c r="I17520" s="1" t="s">
        <v>8</v>
      </c>
      <c r="J17520" s="1" t="str">
        <f>"16/16"</f>
        <v>16/16</v>
      </c>
      <c r="K17520" s="1" t="str">
        <f t="shared" si="863"/>
        <v>2026-07-29 13:18:01</v>
      </c>
      <c r="L17520" s="1" t="str">
        <f>"2019-12-17 16:13:24"</f>
        <v>2019-12-17 16:13:24</v>
      </c>
      <c r="M17520" s="1" t="s">
        <v>1</v>
      </c>
      <c r="N17520" s="1" t="s">
        <v>38</v>
      </c>
      <c r="O17520" s="1" t="s">
        <v>46</v>
      </c>
    </row>
    <row r="17521" spans="2:15" x14ac:dyDescent="0.3">
      <c r="B17521" s="1" t="s">
        <v>13</v>
      </c>
      <c r="C17521" s="1" t="str">
        <f t="shared" si="862"/>
        <v>4차</v>
      </c>
      <c r="D17521" s="1" t="str">
        <f>"0026P47144"</f>
        <v>0026P47144</v>
      </c>
      <c r="E17521" s="1" t="s">
        <v>10</v>
      </c>
      <c r="F17521" s="1" t="str">
        <f>"10.10.123.202"</f>
        <v>10.10.123.202</v>
      </c>
      <c r="G17521" s="1" t="str">
        <f>"0026P471"</f>
        <v>0026P471</v>
      </c>
      <c r="H17521" s="1" t="str">
        <f>"예지지 2"</f>
        <v>예지지 2</v>
      </c>
      <c r="I17521" s="1" t="s">
        <v>8</v>
      </c>
      <c r="J17521" s="1" t="str">
        <f>"22/25"</f>
        <v>22/25</v>
      </c>
      <c r="K17521" s="1" t="str">
        <f t="shared" si="863"/>
        <v>2026-07-29 13:18:01</v>
      </c>
      <c r="L17521" s="1" t="str">
        <f>"2020-01-10 17:27:16"</f>
        <v>2020-01-10 17:27:16</v>
      </c>
      <c r="M17521" s="1" t="s">
        <v>1</v>
      </c>
      <c r="N17521" s="1" t="s">
        <v>38</v>
      </c>
      <c r="O17521" s="1" t="s">
        <v>46</v>
      </c>
    </row>
    <row r="17522" spans="2:15" x14ac:dyDescent="0.3">
      <c r="B17522" s="1" t="s">
        <v>13</v>
      </c>
      <c r="C17522" s="1" t="str">
        <f t="shared" si="862"/>
        <v>4차</v>
      </c>
      <c r="D17522" s="1" t="str">
        <f>"0026P50145"</f>
        <v>0026P50145</v>
      </c>
      <c r="E17522" s="1" t="s">
        <v>10</v>
      </c>
      <c r="F17522" s="1" t="str">
        <f>"10.14.1.66"</f>
        <v>10.14.1.66</v>
      </c>
      <c r="G17522" s="1" t="str">
        <f>"0026P501"</f>
        <v>0026P501</v>
      </c>
      <c r="H17522" s="1" t="str">
        <f>"을지로 R11-1"</f>
        <v>을지로 R11-1</v>
      </c>
      <c r="I17522" s="1" t="s">
        <v>17</v>
      </c>
      <c r="J17522" s="1" t="str">
        <f>"19/19"</f>
        <v>19/19</v>
      </c>
      <c r="K17522" s="1" t="str">
        <f>"2026-07-29 13:18:02"</f>
        <v>2026-07-29 13:18:02</v>
      </c>
      <c r="L17522" s="1" t="str">
        <f>"2021-06-22 09:16:29"</f>
        <v>2021-06-22 09:16:29</v>
      </c>
      <c r="M17522" s="1" t="s">
        <v>3</v>
      </c>
      <c r="N17522" s="1" t="s">
        <v>38</v>
      </c>
      <c r="O17522" s="1" t="s">
        <v>46</v>
      </c>
    </row>
    <row r="17523" spans="2:15" x14ac:dyDescent="0.3">
      <c r="B17523" s="1" t="s">
        <v>13</v>
      </c>
      <c r="C17523" s="1" t="str">
        <f t="shared" si="862"/>
        <v>4차</v>
      </c>
      <c r="D17523" s="1" t="str">
        <f>"0026P57344"</f>
        <v>0026P57344</v>
      </c>
      <c r="E17523" s="1" t="s">
        <v>10</v>
      </c>
      <c r="F17523" s="1" t="str">
        <f>"10.10.125.194"</f>
        <v>10.10.125.194</v>
      </c>
      <c r="G17523" s="1" t="str">
        <f>"0026P573"</f>
        <v>0026P573</v>
      </c>
      <c r="H17523" s="1" t="str">
        <f>"종로간 42L4L1"</f>
        <v>종로간 42L4L1</v>
      </c>
      <c r="I17523" s="1" t="s">
        <v>8</v>
      </c>
      <c r="J17523" s="1" t="str">
        <f>"28/35"</f>
        <v>28/35</v>
      </c>
      <c r="K17523" s="1" t="str">
        <f>"2026-07-29 13:18:01"</f>
        <v>2026-07-29 13:18:01</v>
      </c>
      <c r="L17523" s="1" t="str">
        <f>"2019-12-17 16:19:06"</f>
        <v>2019-12-17 16:19:06</v>
      </c>
      <c r="M17523" s="1" t="s">
        <v>1</v>
      </c>
      <c r="N17523" s="1" t="s">
        <v>38</v>
      </c>
      <c r="O17523" s="1" t="s">
        <v>46</v>
      </c>
    </row>
    <row r="17524" spans="2:15" x14ac:dyDescent="0.3">
      <c r="B17524" s="1" t="s">
        <v>13</v>
      </c>
      <c r="C17524" s="1" t="str">
        <f t="shared" si="862"/>
        <v>4차</v>
      </c>
      <c r="D17524" s="1" t="str">
        <f>"0026P58244"</f>
        <v>0026P58244</v>
      </c>
      <c r="E17524" s="1" t="s">
        <v>10</v>
      </c>
      <c r="F17524" s="1" t="str">
        <f>"10.10.125.202"</f>
        <v>10.10.125.202</v>
      </c>
      <c r="G17524" s="1" t="str">
        <f>"0026P582"</f>
        <v>0026P582</v>
      </c>
      <c r="H17524" s="1" t="str">
        <f>"종로간 42L4L1L1"</f>
        <v>종로간 42L4L1L1</v>
      </c>
      <c r="I17524" s="1" t="s">
        <v>8</v>
      </c>
      <c r="J17524" s="1" t="str">
        <f>"10/10"</f>
        <v>10/10</v>
      </c>
      <c r="K17524" s="1" t="str">
        <f>"2026-07-29 13:18:01"</f>
        <v>2026-07-29 13:18:01</v>
      </c>
      <c r="L17524" s="1" t="str">
        <f>"2019-12-17 16:16:13"</f>
        <v>2019-12-17 16:16:13</v>
      </c>
      <c r="M17524" s="1" t="s">
        <v>1</v>
      </c>
      <c r="N17524" s="1" t="s">
        <v>38</v>
      </c>
      <c r="O17524" s="1" t="s">
        <v>46</v>
      </c>
    </row>
    <row r="17525" spans="2:15" x14ac:dyDescent="0.3">
      <c r="B17525" s="1" t="s">
        <v>13</v>
      </c>
      <c r="C17525" s="1" t="str">
        <f t="shared" si="862"/>
        <v>4차</v>
      </c>
      <c r="D17525" s="1" t="str">
        <f>"0026P59244"</f>
        <v>0026P59244</v>
      </c>
      <c r="E17525" s="1" t="s">
        <v>10</v>
      </c>
      <c r="F17525" s="1" t="str">
        <f>"10.10.125.218"</f>
        <v>10.10.125.218</v>
      </c>
      <c r="G17525" s="1" t="str">
        <f>"0026P592"</f>
        <v>0026P592</v>
      </c>
      <c r="H17525" s="1" t="str">
        <f>"종로간 42L4L1L2"</f>
        <v>종로간 42L4L1L2</v>
      </c>
      <c r="I17525" s="1" t="s">
        <v>8</v>
      </c>
      <c r="J17525" s="1" t="str">
        <f>"61/61"</f>
        <v>61/61</v>
      </c>
      <c r="K17525" s="1" t="str">
        <f>"2026-07-29 13:18:01"</f>
        <v>2026-07-29 13:18:01</v>
      </c>
      <c r="L17525" s="1" t="str">
        <f>"2019-12-17 16:17:18"</f>
        <v>2019-12-17 16:17:18</v>
      </c>
      <c r="M17525" s="1" t="s">
        <v>1</v>
      </c>
      <c r="N17525" s="1" t="s">
        <v>38</v>
      </c>
      <c r="O17525" s="1" t="s">
        <v>46</v>
      </c>
    </row>
    <row r="17526" spans="2:15" x14ac:dyDescent="0.3">
      <c r="B17526" s="1" t="s">
        <v>13</v>
      </c>
      <c r="C17526" s="1" t="str">
        <f>"5-2차"</f>
        <v>5-2차</v>
      </c>
      <c r="D17526" s="1" t="str">
        <f>"0026P6315M"</f>
        <v>0026P6315M</v>
      </c>
      <c r="E17526" s="1" t="s">
        <v>10</v>
      </c>
      <c r="F17526" s="1" t="str">
        <f>"fde2:104:0:1d3:0:0:0:2"</f>
        <v>fde2:104:0:1d3:0:0:0:2</v>
      </c>
      <c r="G17526" s="1" t="str">
        <f>"0026P631"</f>
        <v>0026P631</v>
      </c>
      <c r="H17526" s="1" t="str">
        <f>"을지간 53R2"</f>
        <v>을지간 53R2</v>
      </c>
      <c r="I17526" s="1" t="s">
        <v>15</v>
      </c>
      <c r="J17526" s="1" t="str">
        <f>"10/13"</f>
        <v>10/13</v>
      </c>
      <c r="K17526" s="1" t="str">
        <f>"2026-07-29 14:20:17"</f>
        <v>2026-07-29 14:20:17</v>
      </c>
      <c r="L17526" s="1" t="str">
        <f>"2023-05-23 15:34:58"</f>
        <v>2023-05-23 15:34:58</v>
      </c>
      <c r="M17526" s="1" t="s">
        <v>42</v>
      </c>
      <c r="N17526" s="1" t="s">
        <v>38</v>
      </c>
      <c r="O17526" s="1" t="s">
        <v>46</v>
      </c>
    </row>
    <row r="17527" spans="2:15" x14ac:dyDescent="0.3">
      <c r="B17527" s="1" t="s">
        <v>13</v>
      </c>
      <c r="C17527" s="1" t="str">
        <f>"4차"</f>
        <v>4차</v>
      </c>
      <c r="D17527" s="1" t="str">
        <f>"0026P67244"</f>
        <v>0026P67244</v>
      </c>
      <c r="E17527" s="1" t="s">
        <v>10</v>
      </c>
      <c r="F17527" s="1" t="str">
        <f>"10.10.125.226"</f>
        <v>10.10.125.226</v>
      </c>
      <c r="G17527" s="1" t="str">
        <f>"0026P672"</f>
        <v>0026P672</v>
      </c>
      <c r="H17527" s="1" t="str">
        <f>"종로간 42L4L3"</f>
        <v>종로간 42L4L3</v>
      </c>
      <c r="I17527" s="1" t="s">
        <v>8</v>
      </c>
      <c r="J17527" s="1" t="str">
        <f>"55/66"</f>
        <v>55/66</v>
      </c>
      <c r="K17527" s="1" t="str">
        <f t="shared" ref="K17527:K17532" si="864">"2026-07-29 13:18:01"</f>
        <v>2026-07-29 13:18:01</v>
      </c>
      <c r="L17527" s="1" t="str">
        <f>"2019-12-17 16:22:05"</f>
        <v>2019-12-17 16:22:05</v>
      </c>
      <c r="M17527" s="1" t="s">
        <v>1</v>
      </c>
      <c r="N17527" s="1" t="s">
        <v>38</v>
      </c>
      <c r="O17527" s="1" t="s">
        <v>46</v>
      </c>
    </row>
    <row r="17528" spans="2:15" x14ac:dyDescent="0.3">
      <c r="B17528" s="1" t="s">
        <v>13</v>
      </c>
      <c r="C17528" s="1" t="str">
        <f>"4차"</f>
        <v>4차</v>
      </c>
      <c r="D17528" s="1" t="str">
        <f>"0026P68144"</f>
        <v>0026P68144</v>
      </c>
      <c r="E17528" s="1" t="s">
        <v>10</v>
      </c>
      <c r="F17528" s="1" t="str">
        <f>"10.89.92.2"</f>
        <v>10.89.92.2</v>
      </c>
      <c r="G17528" s="1" t="str">
        <f>"0026P681"</f>
        <v>0026P681</v>
      </c>
      <c r="H17528" s="1" t="str">
        <f>"종로간 42L4L3L1"</f>
        <v>종로간 42L4L3L1</v>
      </c>
      <c r="I17528" s="1" t="s">
        <v>8</v>
      </c>
      <c r="J17528" s="1" t="str">
        <f>"23/23"</f>
        <v>23/23</v>
      </c>
      <c r="K17528" s="1" t="str">
        <f t="shared" si="864"/>
        <v>2026-07-29 13:18:01</v>
      </c>
      <c r="L17528" s="1" t="str">
        <f>"2019-12-17 16:11:52"</f>
        <v>2019-12-17 16:11:52</v>
      </c>
      <c r="M17528" s="1" t="s">
        <v>45</v>
      </c>
      <c r="N17528" s="1" t="s">
        <v>38</v>
      </c>
      <c r="O17528" s="1" t="s">
        <v>46</v>
      </c>
    </row>
    <row r="17529" spans="2:15" x14ac:dyDescent="0.3">
      <c r="B17529" s="1" t="s">
        <v>13</v>
      </c>
      <c r="C17529" s="1" t="str">
        <f>"4차"</f>
        <v>4차</v>
      </c>
      <c r="D17529" s="1" t="str">
        <f>"0026P68244"</f>
        <v>0026P68244</v>
      </c>
      <c r="E17529" s="1" t="s">
        <v>10</v>
      </c>
      <c r="F17529" s="1" t="str">
        <f>"10.10.125.242"</f>
        <v>10.10.125.242</v>
      </c>
      <c r="G17529" s="1" t="str">
        <f>"0026P682"</f>
        <v>0026P682</v>
      </c>
      <c r="H17529" s="1" t="str">
        <f>"종로간 42L4L3L2H1"</f>
        <v>종로간 42L4L3L2H1</v>
      </c>
      <c r="I17529" s="1" t="s">
        <v>8</v>
      </c>
      <c r="J17529" s="1" t="str">
        <f>"69/69"</f>
        <v>69/69</v>
      </c>
      <c r="K17529" s="1" t="str">
        <f t="shared" si="864"/>
        <v>2026-07-29 13:18:01</v>
      </c>
      <c r="L17529" s="1" t="str">
        <f>"2020-01-10 17:19:39"</f>
        <v>2020-01-10 17:19:39</v>
      </c>
      <c r="M17529" s="1" t="s">
        <v>1</v>
      </c>
      <c r="N17529" s="1" t="s">
        <v>38</v>
      </c>
      <c r="O17529" s="1" t="s">
        <v>46</v>
      </c>
    </row>
    <row r="17530" spans="2:15" x14ac:dyDescent="0.3">
      <c r="B17530" s="1" t="s">
        <v>13</v>
      </c>
      <c r="C17530" s="1" t="str">
        <f>"4차"</f>
        <v>4차</v>
      </c>
      <c r="D17530" s="1" t="str">
        <f>"0026P69144"</f>
        <v>0026P69144</v>
      </c>
      <c r="E17530" s="1" t="s">
        <v>10</v>
      </c>
      <c r="F17530" s="1" t="str">
        <f>"10.10.128.186"</f>
        <v>10.10.128.186</v>
      </c>
      <c r="G17530" s="1" t="str">
        <f>"0026P691"</f>
        <v>0026P691</v>
      </c>
      <c r="H17530" s="1" t="str">
        <f>"종로간 42L4L3L2"</f>
        <v>종로간 42L4L3L2</v>
      </c>
      <c r="I17530" s="1" t="s">
        <v>8</v>
      </c>
      <c r="J17530" s="1" t="str">
        <f>"52/53"</f>
        <v>52/53</v>
      </c>
      <c r="K17530" s="1" t="str">
        <f t="shared" si="864"/>
        <v>2026-07-29 13:18:01</v>
      </c>
      <c r="L17530" s="1" t="str">
        <f>"2019-12-17 16:15:05"</f>
        <v>2019-12-17 16:15:05</v>
      </c>
      <c r="M17530" s="1" t="s">
        <v>1</v>
      </c>
      <c r="N17530" s="1" t="s">
        <v>38</v>
      </c>
      <c r="O17530" s="1" t="s">
        <v>46</v>
      </c>
    </row>
    <row r="17531" spans="2:15" x14ac:dyDescent="0.3">
      <c r="B17531" s="1" t="s">
        <v>13</v>
      </c>
      <c r="C17531" s="1" t="str">
        <f>"3차"</f>
        <v>3차</v>
      </c>
      <c r="D17531" s="1" t="str">
        <f>"0026P70139"</f>
        <v>0026P70139</v>
      </c>
      <c r="E17531" s="1" t="s">
        <v>10</v>
      </c>
      <c r="F17531" s="1" t="str">
        <f>"10.11.22.50"</f>
        <v>10.11.22.50</v>
      </c>
      <c r="G17531" s="1" t="str">
        <f>"0026P701"</f>
        <v>0026P701</v>
      </c>
      <c r="H17531" s="1" t="str">
        <f>"초동지 5L5"</f>
        <v>초동지 5L5</v>
      </c>
      <c r="I17531" s="1" t="s">
        <v>8</v>
      </c>
      <c r="J17531" s="1" t="str">
        <f>"21/21"</f>
        <v>21/21</v>
      </c>
      <c r="K17531" s="1" t="str">
        <f t="shared" si="864"/>
        <v>2026-07-29 13:18:01</v>
      </c>
      <c r="L17531" s="1" t="str">
        <f>"2018-05-15 18:09:44"</f>
        <v>2018-05-15 18:09:44</v>
      </c>
      <c r="M17531" s="1" t="s">
        <v>2</v>
      </c>
      <c r="N17531" s="1" t="s">
        <v>38</v>
      </c>
      <c r="O17531" s="1" t="s">
        <v>46</v>
      </c>
    </row>
    <row r="17532" spans="2:15" x14ac:dyDescent="0.3">
      <c r="B17532" s="1" t="s">
        <v>13</v>
      </c>
      <c r="C17532" s="1" t="str">
        <f>"3차"</f>
        <v>3차</v>
      </c>
      <c r="D17532" s="1" t="str">
        <f>"0026P70239"</f>
        <v>0026P70239</v>
      </c>
      <c r="E17532" s="1" t="s">
        <v>10</v>
      </c>
      <c r="F17532" s="1" t="str">
        <f>"10.11.41.90"</f>
        <v>10.11.41.90</v>
      </c>
      <c r="G17532" s="1" t="str">
        <f>"0026P702"</f>
        <v>0026P702</v>
      </c>
      <c r="H17532" s="1" t="str">
        <f>"초동지 5L5H1"</f>
        <v>초동지 5L5H1</v>
      </c>
      <c r="I17532" s="1" t="s">
        <v>8</v>
      </c>
      <c r="J17532" s="1" t="str">
        <f>"13/13"</f>
        <v>13/13</v>
      </c>
      <c r="K17532" s="1" t="str">
        <f t="shared" si="864"/>
        <v>2026-07-29 13:18:01</v>
      </c>
      <c r="L17532" s="1" t="str">
        <f>"2018-05-28 11:59:12"</f>
        <v>2018-05-28 11:59:12</v>
      </c>
      <c r="M17532" s="1" t="s">
        <v>2</v>
      </c>
      <c r="N17532" s="1" t="s">
        <v>38</v>
      </c>
      <c r="O17532" s="1" t="s">
        <v>46</v>
      </c>
    </row>
    <row r="17533" spans="2:15" x14ac:dyDescent="0.3">
      <c r="B17533" s="1" t="s">
        <v>13</v>
      </c>
      <c r="C17533" s="1" t="str">
        <f>"4차"</f>
        <v>4차</v>
      </c>
      <c r="D17533" s="1" t="str">
        <f>"0026P71145"</f>
        <v>0026P71145</v>
      </c>
      <c r="E17533" s="1" t="s">
        <v>10</v>
      </c>
      <c r="F17533" s="1" t="str">
        <f>"10.14.7.33"</f>
        <v>10.14.7.33</v>
      </c>
      <c r="G17533" s="1" t="str">
        <f>"0026P711"</f>
        <v>0026P711</v>
      </c>
      <c r="H17533" s="1" t="str">
        <f>"을지로 L9-1"</f>
        <v>을지로 L9-1</v>
      </c>
      <c r="I17533" s="1" t="s">
        <v>17</v>
      </c>
      <c r="J17533" s="1" t="str">
        <f>"1/1"</f>
        <v>1/1</v>
      </c>
      <c r="K17533" s="1" t="str">
        <f>"2026-07-29 13:18:02"</f>
        <v>2026-07-29 13:18:02</v>
      </c>
      <c r="L17533" s="1" t="str">
        <f>"2021-06-22 07:24:03"</f>
        <v>2021-06-22 07:24:03</v>
      </c>
      <c r="M17533" s="1" t="s">
        <v>3</v>
      </c>
      <c r="N17533" s="1" t="s">
        <v>38</v>
      </c>
      <c r="O17533" s="1" t="s">
        <v>46</v>
      </c>
    </row>
    <row r="17534" spans="2:15" x14ac:dyDescent="0.3">
      <c r="B17534" s="1" t="s">
        <v>13</v>
      </c>
      <c r="C17534" s="1" t="str">
        <f>"3차"</f>
        <v>3차</v>
      </c>
      <c r="D17534" s="1" t="str">
        <f>"0026P80139"</f>
        <v>0026P80139</v>
      </c>
      <c r="E17534" s="1" t="s">
        <v>10</v>
      </c>
      <c r="F17534" s="1" t="str">
        <f>"10.11.22.58"</f>
        <v>10.11.22.58</v>
      </c>
      <c r="G17534" s="1" t="str">
        <f>"0026P801"</f>
        <v>0026P801</v>
      </c>
      <c r="H17534" s="1" t="str">
        <f>"초동지 5L6"</f>
        <v>초동지 5L6</v>
      </c>
      <c r="I17534" s="1" t="s">
        <v>8</v>
      </c>
      <c r="J17534" s="1" t="str">
        <f>"14/17"</f>
        <v>14/17</v>
      </c>
      <c r="K17534" s="1" t="str">
        <f>"2026-07-29 13:18:01"</f>
        <v>2026-07-29 13:18:01</v>
      </c>
      <c r="L17534" s="1" t="str">
        <f>"2018-05-29 20:08:45"</f>
        <v>2018-05-29 20:08:45</v>
      </c>
      <c r="M17534" s="1" t="s">
        <v>2</v>
      </c>
      <c r="N17534" s="1" t="s">
        <v>38</v>
      </c>
      <c r="O17534" s="1" t="s">
        <v>46</v>
      </c>
    </row>
    <row r="17535" spans="2:15" x14ac:dyDescent="0.3">
      <c r="B17535" s="1" t="s">
        <v>13</v>
      </c>
      <c r="C17535" s="1" t="str">
        <f>"3차"</f>
        <v>3차</v>
      </c>
      <c r="D17535" s="1" t="str">
        <f>"0026P80239"</f>
        <v>0026P80239</v>
      </c>
      <c r="E17535" s="1" t="s">
        <v>10</v>
      </c>
      <c r="F17535" s="1" t="str">
        <f>"10.11.37.146"</f>
        <v>10.11.37.146</v>
      </c>
      <c r="G17535" s="1" t="str">
        <f>"0026P802"</f>
        <v>0026P802</v>
      </c>
      <c r="H17535" s="1" t="str">
        <f>"인현지 2R1"</f>
        <v>인현지 2R1</v>
      </c>
      <c r="I17535" s="1" t="s">
        <v>8</v>
      </c>
      <c r="J17535" s="1" t="str">
        <f>"11/11"</f>
        <v>11/11</v>
      </c>
      <c r="K17535" s="1" t="str">
        <f>"2026-07-29 13:18:01"</f>
        <v>2026-07-29 13:18:01</v>
      </c>
      <c r="L17535" s="1" t="str">
        <f>"2018-05-23 15:11:57"</f>
        <v>2018-05-23 15:11:57</v>
      </c>
      <c r="M17535" s="1" t="s">
        <v>2</v>
      </c>
      <c r="N17535" s="1" t="s">
        <v>38</v>
      </c>
      <c r="O17535" s="1" t="s">
        <v>46</v>
      </c>
    </row>
    <row r="17536" spans="2:15" x14ac:dyDescent="0.3">
      <c r="B17536" s="1" t="s">
        <v>13</v>
      </c>
      <c r="C17536" s="1" t="str">
        <f>"4차"</f>
        <v>4차</v>
      </c>
      <c r="D17536" s="1" t="str">
        <f>"0026P86144"</f>
        <v>0026P86144</v>
      </c>
      <c r="E17536" s="1" t="s">
        <v>10</v>
      </c>
      <c r="F17536" s="1" t="str">
        <f>"10.10.126.42"</f>
        <v>10.10.126.42</v>
      </c>
      <c r="G17536" s="1" t="str">
        <f>"0026P861"</f>
        <v>0026P861</v>
      </c>
      <c r="H17536" s="1" t="str">
        <f>"종로간 42L4L6R2"</f>
        <v>종로간 42L4L6R2</v>
      </c>
      <c r="I17536" s="1" t="s">
        <v>8</v>
      </c>
      <c r="J17536" s="1" t="str">
        <f>"43/43"</f>
        <v>43/43</v>
      </c>
      <c r="K17536" s="1" t="str">
        <f>"2026-07-29 13:18:01"</f>
        <v>2026-07-29 13:18:01</v>
      </c>
      <c r="L17536" s="1" t="str">
        <f>"2019-12-17 16:14:51"</f>
        <v>2019-12-17 16:14:51</v>
      </c>
      <c r="M17536" s="1" t="s">
        <v>1</v>
      </c>
      <c r="N17536" s="1" t="s">
        <v>38</v>
      </c>
      <c r="O17536" s="1" t="s">
        <v>46</v>
      </c>
    </row>
    <row r="17537" spans="2:15" x14ac:dyDescent="0.3">
      <c r="B17537" s="1" t="s">
        <v>13</v>
      </c>
      <c r="C17537" s="1" t="str">
        <f>"4차"</f>
        <v>4차</v>
      </c>
      <c r="D17537" s="1" t="str">
        <f>"0026P87144"</f>
        <v>0026P87144</v>
      </c>
      <c r="E17537" s="1" t="s">
        <v>12</v>
      </c>
      <c r="F17537" s="1" t="str">
        <f>"10.10.126.2"</f>
        <v>10.10.126.2</v>
      </c>
      <c r="G17537" s="1" t="str">
        <f>"0026P871"</f>
        <v>0026P871</v>
      </c>
      <c r="H17537" s="1" t="str">
        <f>"종로간 42L4L5"</f>
        <v>종로간 42L4L5</v>
      </c>
      <c r="I17537" s="1" t="s">
        <v>8</v>
      </c>
      <c r="J17537" s="1" t="str">
        <f>"0/36"</f>
        <v>0/36</v>
      </c>
      <c r="K17537" s="1" t="str">
        <f>"2026-06-10 07:18:00"</f>
        <v>2026-06-10 07:18:00</v>
      </c>
      <c r="L17537" s="1" t="str">
        <f>"2019-12-17 16:15:08"</f>
        <v>2019-12-17 16:15:08</v>
      </c>
      <c r="M17537" s="1" t="s">
        <v>1</v>
      </c>
      <c r="N17537" s="1" t="s">
        <v>38</v>
      </c>
      <c r="O17537" s="1" t="s">
        <v>46</v>
      </c>
    </row>
    <row r="17538" spans="2:15" x14ac:dyDescent="0.3">
      <c r="B17538" s="1" t="s">
        <v>13</v>
      </c>
      <c r="C17538" s="1" t="str">
        <f>"3차"</f>
        <v>3차</v>
      </c>
      <c r="D17538" s="1" t="str">
        <f>"0026P87239"</f>
        <v>0026P87239</v>
      </c>
      <c r="E17538" s="1" t="s">
        <v>10</v>
      </c>
      <c r="F17538" s="1" t="str">
        <f>"10.11.44.202"</f>
        <v>10.11.44.202</v>
      </c>
      <c r="G17538" s="1" t="str">
        <f>"0026P872"</f>
        <v>0026P872</v>
      </c>
      <c r="H17538" s="1" t="str">
        <f>"종로간 42L4L6"</f>
        <v>종로간 42L4L6</v>
      </c>
      <c r="I17538" s="1" t="s">
        <v>8</v>
      </c>
      <c r="J17538" s="1" t="str">
        <f>"34/35"</f>
        <v>34/35</v>
      </c>
      <c r="K17538" s="1" t="str">
        <f>"2026-07-29 13:18:01"</f>
        <v>2026-07-29 13:18:01</v>
      </c>
      <c r="L17538" s="1" t="str">
        <f>"2018-05-10 14:55:44"</f>
        <v>2018-05-10 14:55:44</v>
      </c>
      <c r="M17538" s="1" t="s">
        <v>2</v>
      </c>
      <c r="N17538" s="1" t="s">
        <v>38</v>
      </c>
      <c r="O17538" s="1" t="s">
        <v>46</v>
      </c>
    </row>
    <row r="17539" spans="2:15" x14ac:dyDescent="0.3">
      <c r="B17539" s="1" t="s">
        <v>13</v>
      </c>
      <c r="C17539" s="1" t="str">
        <f>"4차"</f>
        <v>4차</v>
      </c>
      <c r="D17539" s="1" t="str">
        <f>"0026P87344"</f>
        <v>0026P87344</v>
      </c>
      <c r="E17539" s="1" t="s">
        <v>10</v>
      </c>
      <c r="F17539" s="1" t="str">
        <f>"10.10.126.34"</f>
        <v>10.10.126.34</v>
      </c>
      <c r="G17539" s="1" t="str">
        <f>"0026P873"</f>
        <v>0026P873</v>
      </c>
      <c r="H17539" s="1" t="str">
        <f>"종로간 42L4L6R1"</f>
        <v>종로간 42L4L6R1</v>
      </c>
      <c r="I17539" s="1" t="s">
        <v>8</v>
      </c>
      <c r="J17539" s="1" t="str">
        <f>"24/24"</f>
        <v>24/24</v>
      </c>
      <c r="K17539" s="1" t="str">
        <f>"2026-07-29 13:18:01"</f>
        <v>2026-07-29 13:18:01</v>
      </c>
      <c r="L17539" s="1" t="str">
        <f>"2019-12-17 16:13:05"</f>
        <v>2019-12-17 16:13:05</v>
      </c>
      <c r="M17539" s="1" t="s">
        <v>1</v>
      </c>
      <c r="N17539" s="1" t="s">
        <v>38</v>
      </c>
      <c r="O17539" s="1" t="s">
        <v>46</v>
      </c>
    </row>
    <row r="17540" spans="2:15" x14ac:dyDescent="0.3">
      <c r="B17540" s="1" t="s">
        <v>13</v>
      </c>
      <c r="C17540" s="1" t="str">
        <f>"4차"</f>
        <v>4차</v>
      </c>
      <c r="D17540" s="1" t="str">
        <f>"0026P88344"</f>
        <v>0026P88344</v>
      </c>
      <c r="E17540" s="1" t="s">
        <v>10</v>
      </c>
      <c r="F17540" s="1" t="str">
        <f>"10.10.126.10"</f>
        <v>10.10.126.10</v>
      </c>
      <c r="G17540" s="1" t="str">
        <f>"0026P883"</f>
        <v>0026P883</v>
      </c>
      <c r="H17540" s="1" t="str">
        <f>"종로간 42L4L5L1H1R1"</f>
        <v>종로간 42L4L5L1H1R1</v>
      </c>
      <c r="I17540" s="1" t="s">
        <v>8</v>
      </c>
      <c r="J17540" s="1" t="str">
        <f>"7/9"</f>
        <v>7/9</v>
      </c>
      <c r="K17540" s="1" t="str">
        <f>"2026-07-29 13:18:01"</f>
        <v>2026-07-29 13:18:01</v>
      </c>
      <c r="L17540" s="1" t="str">
        <f>"2020-01-10 17:22:54"</f>
        <v>2020-01-10 17:22:54</v>
      </c>
      <c r="M17540" s="1" t="s">
        <v>1</v>
      </c>
      <c r="N17540" s="1" t="s">
        <v>38</v>
      </c>
      <c r="O17540" s="1" t="s">
        <v>46</v>
      </c>
    </row>
    <row r="17541" spans="2:15" x14ac:dyDescent="0.3">
      <c r="B17541" s="1" t="s">
        <v>13</v>
      </c>
      <c r="C17541" s="1" t="str">
        <f>"4차"</f>
        <v>4차</v>
      </c>
      <c r="D17541" s="1" t="str">
        <f>"0026P89344"</f>
        <v>0026P89344</v>
      </c>
      <c r="E17541" s="1" t="s">
        <v>10</v>
      </c>
      <c r="F17541" s="1" t="str">
        <f>"10.10.126.18"</f>
        <v>10.10.126.18</v>
      </c>
      <c r="G17541" s="1" t="str">
        <f>"0026P893"</f>
        <v>0026P893</v>
      </c>
      <c r="H17541" s="1" t="str">
        <f>"종로간 42L4L5L2H1"</f>
        <v>종로간 42L4L5L2H1</v>
      </c>
      <c r="I17541" s="1" t="s">
        <v>8</v>
      </c>
      <c r="J17541" s="1" t="str">
        <f>"9/13"</f>
        <v>9/13</v>
      </c>
      <c r="K17541" s="1" t="str">
        <f>"2026-07-29 13:18:01"</f>
        <v>2026-07-29 13:18:01</v>
      </c>
      <c r="L17541" s="1" t="str">
        <f>"2019-12-17 16:23:34"</f>
        <v>2019-12-17 16:23:34</v>
      </c>
      <c r="M17541" s="1" t="s">
        <v>1</v>
      </c>
      <c r="N17541" s="1" t="s">
        <v>38</v>
      </c>
      <c r="O17541" s="1" t="s">
        <v>46</v>
      </c>
    </row>
    <row r="17542" spans="2:15" x14ac:dyDescent="0.3">
      <c r="B17542" s="1" t="s">
        <v>13</v>
      </c>
      <c r="C17542" s="1" t="str">
        <f>"3차"</f>
        <v>3차</v>
      </c>
      <c r="D17542" s="1" t="str">
        <f>"0026P90139"</f>
        <v>0026P90139</v>
      </c>
      <c r="E17542" s="1" t="s">
        <v>10</v>
      </c>
      <c r="F17542" s="1" t="str">
        <f>"10.11.18.26"</f>
        <v>10.11.18.26</v>
      </c>
      <c r="G17542" s="1" t="str">
        <f>"0026P901"</f>
        <v>0026P901</v>
      </c>
      <c r="H17542" s="1" t="str">
        <f>"인현지 2"</f>
        <v>인현지 2</v>
      </c>
      <c r="I17542" s="1" t="s">
        <v>8</v>
      </c>
      <c r="J17542" s="1" t="str">
        <f>"2/2"</f>
        <v>2/2</v>
      </c>
      <c r="K17542" s="1" t="str">
        <f>"2026-07-29 13:18:01"</f>
        <v>2026-07-29 13:18:01</v>
      </c>
      <c r="L17542" s="1" t="str">
        <f>"2018-03-10 09:54:11"</f>
        <v>2018-03-10 09:54:11</v>
      </c>
      <c r="M17542" s="1" t="s">
        <v>2</v>
      </c>
      <c r="N17542" s="1" t="s">
        <v>38</v>
      </c>
      <c r="O17542" s="1" t="s">
        <v>46</v>
      </c>
    </row>
    <row r="17543" spans="2:15" x14ac:dyDescent="0.3">
      <c r="B17543" s="1" t="s">
        <v>13</v>
      </c>
      <c r="C17543" s="1" t="str">
        <f>"3차"</f>
        <v>3차</v>
      </c>
      <c r="D17543" s="1" t="str">
        <f>"0026P90239"</f>
        <v>0026P90239</v>
      </c>
      <c r="E17543" s="1" t="s">
        <v>10</v>
      </c>
      <c r="F17543" s="1" t="str">
        <f>"10.11.37.138"</f>
        <v>10.11.37.138</v>
      </c>
      <c r="G17543" s="1" t="str">
        <f>"0026P902"</f>
        <v>0026P902</v>
      </c>
      <c r="H17543" s="1" t="str">
        <f>"인현지 2H1"</f>
        <v>인현지 2H1</v>
      </c>
      <c r="I17543" s="1" t="s">
        <v>8</v>
      </c>
      <c r="J17543" s="1" t="str">
        <f>"12/12"</f>
        <v>12/12</v>
      </c>
      <c r="K17543" s="1" t="str">
        <f>"2026-07-29 13:18:00"</f>
        <v>2026-07-29 13:18:00</v>
      </c>
      <c r="L17543" s="1" t="str">
        <f>"2018-05-15 16:25:43"</f>
        <v>2018-05-15 16:25:43</v>
      </c>
      <c r="M17543" s="1" t="s">
        <v>2</v>
      </c>
      <c r="N17543" s="1" t="s">
        <v>38</v>
      </c>
      <c r="O17543" s="1" t="s">
        <v>46</v>
      </c>
    </row>
    <row r="17544" spans="2:15" x14ac:dyDescent="0.3">
      <c r="B17544" s="1" t="s">
        <v>13</v>
      </c>
      <c r="C17544" s="1" t="str">
        <f>"4차"</f>
        <v>4차</v>
      </c>
      <c r="D17544" s="1" t="str">
        <f>"0026P90339"</f>
        <v>0026P90339</v>
      </c>
      <c r="E17544" s="1" t="s">
        <v>10</v>
      </c>
      <c r="F17544" s="1" t="str">
        <f>"10.11.18.90"</f>
        <v>10.11.18.90</v>
      </c>
      <c r="G17544" s="1" t="str">
        <f>"0026P903"</f>
        <v>0026P903</v>
      </c>
      <c r="H17544" s="1" t="str">
        <f>"인현지 2R1H1"</f>
        <v>인현지 2R1H1</v>
      </c>
      <c r="I17544" s="1" t="s">
        <v>8</v>
      </c>
      <c r="J17544" s="1" t="str">
        <f>"15/15"</f>
        <v>15/15</v>
      </c>
      <c r="K17544" s="1" t="str">
        <f>"2026-07-29 13:18:01"</f>
        <v>2026-07-29 13:18:01</v>
      </c>
      <c r="L17544" s="1" t="str">
        <f>"2018-05-23 15:19:13"</f>
        <v>2018-05-23 15:19:13</v>
      </c>
      <c r="M17544" s="1" t="s">
        <v>2</v>
      </c>
      <c r="N17544" s="1" t="s">
        <v>38</v>
      </c>
      <c r="O17544" s="1" t="s">
        <v>46</v>
      </c>
    </row>
    <row r="17545" spans="2:15" x14ac:dyDescent="0.3">
      <c r="B17545" s="1" t="s">
        <v>13</v>
      </c>
      <c r="C17545" s="1" t="str">
        <f>"3차"</f>
        <v>3차</v>
      </c>
      <c r="D17545" s="1" t="str">
        <f>"0026P91139"</f>
        <v>0026P91139</v>
      </c>
      <c r="E17545" s="1" t="s">
        <v>10</v>
      </c>
      <c r="F17545" s="1" t="str">
        <f>"10.11.37.50"</f>
        <v>10.11.37.50</v>
      </c>
      <c r="G17545" s="1" t="str">
        <f>"0026P911"</f>
        <v>0026P911</v>
      </c>
      <c r="H17545" s="1" t="str">
        <f>"인현지 1"</f>
        <v>인현지 1</v>
      </c>
      <c r="I17545" s="1" t="s">
        <v>8</v>
      </c>
      <c r="J17545" s="1" t="str">
        <f>"9/9"</f>
        <v>9/9</v>
      </c>
      <c r="K17545" s="1" t="str">
        <f>"2026-07-29 13:18:00"</f>
        <v>2026-07-29 13:18:00</v>
      </c>
      <c r="L17545" s="1" t="str">
        <f>"2018-03-10 10:05:09"</f>
        <v>2018-03-10 10:05:09</v>
      </c>
      <c r="M17545" s="1" t="s">
        <v>2</v>
      </c>
      <c r="N17545" s="1" t="s">
        <v>38</v>
      </c>
      <c r="O17545" s="1" t="s">
        <v>46</v>
      </c>
    </row>
    <row r="17546" spans="2:15" x14ac:dyDescent="0.3">
      <c r="B17546" s="1" t="s">
        <v>13</v>
      </c>
      <c r="C17546" s="1" t="str">
        <f t="shared" ref="C17546:C17551" si="865">"4차"</f>
        <v>4차</v>
      </c>
      <c r="D17546" s="1" t="str">
        <f>"0026P97144"</f>
        <v>0026P97144</v>
      </c>
      <c r="E17546" s="1" t="s">
        <v>10</v>
      </c>
      <c r="F17546" s="1" t="str">
        <f>"10.10.128.202"</f>
        <v>10.10.128.202</v>
      </c>
      <c r="G17546" s="1" t="str">
        <f>"0026P971"</f>
        <v>0026P971</v>
      </c>
      <c r="H17546" s="1" t="str">
        <f>"종로간 42L4L7"</f>
        <v>종로간 42L4L7</v>
      </c>
      <c r="I17546" s="1" t="s">
        <v>8</v>
      </c>
      <c r="J17546" s="1" t="str">
        <f>"12/15"</f>
        <v>12/15</v>
      </c>
      <c r="K17546" s="1" t="str">
        <f t="shared" ref="K17546:K17551" si="866">"2026-07-29 13:18:01"</f>
        <v>2026-07-29 13:18:01</v>
      </c>
      <c r="L17546" s="1" t="str">
        <f>"2019-12-17 16:22:02"</f>
        <v>2019-12-17 16:22:02</v>
      </c>
      <c r="M17546" s="1" t="s">
        <v>1</v>
      </c>
      <c r="N17546" s="1" t="s">
        <v>38</v>
      </c>
      <c r="O17546" s="1" t="s">
        <v>46</v>
      </c>
    </row>
    <row r="17547" spans="2:15" x14ac:dyDescent="0.3">
      <c r="B17547" s="1" t="s">
        <v>13</v>
      </c>
      <c r="C17547" s="1" t="str">
        <f t="shared" si="865"/>
        <v>4차</v>
      </c>
      <c r="D17547" s="1" t="str">
        <f>"0026P97244"</f>
        <v>0026P97244</v>
      </c>
      <c r="E17547" s="1" t="s">
        <v>10</v>
      </c>
      <c r="F17547" s="1" t="str">
        <f>"10.10.126.58"</f>
        <v>10.10.126.58</v>
      </c>
      <c r="G17547" s="1" t="str">
        <f>"0026P972"</f>
        <v>0026P972</v>
      </c>
      <c r="H17547" s="1" t="str">
        <f>"종로간 42L4L8"</f>
        <v>종로간 42L4L8</v>
      </c>
      <c r="I17547" s="1" t="s">
        <v>8</v>
      </c>
      <c r="J17547" s="1" t="str">
        <f>"25/25"</f>
        <v>25/25</v>
      </c>
      <c r="K17547" s="1" t="str">
        <f t="shared" si="866"/>
        <v>2026-07-29 13:18:01</v>
      </c>
      <c r="L17547" s="1" t="str">
        <f>"2019-12-17 16:16:54"</f>
        <v>2019-12-17 16:16:54</v>
      </c>
      <c r="M17547" s="1" t="s">
        <v>1</v>
      </c>
      <c r="N17547" s="1" t="s">
        <v>38</v>
      </c>
      <c r="O17547" s="1" t="s">
        <v>46</v>
      </c>
    </row>
    <row r="17548" spans="2:15" x14ac:dyDescent="0.3">
      <c r="B17548" s="1" t="s">
        <v>13</v>
      </c>
      <c r="C17548" s="1" t="str">
        <f t="shared" si="865"/>
        <v>4차</v>
      </c>
      <c r="D17548" s="1" t="str">
        <f>"0026Q02244"</f>
        <v>0026Q02244</v>
      </c>
      <c r="E17548" s="1" t="s">
        <v>10</v>
      </c>
      <c r="F17548" s="1" t="str">
        <f>"10.12.138.154"</f>
        <v>10.12.138.154</v>
      </c>
      <c r="G17548" s="1" t="str">
        <f>"0026Q022"</f>
        <v>0026Q022</v>
      </c>
      <c r="H17548" s="1" t="str">
        <f>"을지간 47R2"</f>
        <v>을지간 47R2</v>
      </c>
      <c r="I17548" s="1" t="s">
        <v>8</v>
      </c>
      <c r="J17548" s="1" t="str">
        <f>"3/3"</f>
        <v>3/3</v>
      </c>
      <c r="K17548" s="1" t="str">
        <f t="shared" si="866"/>
        <v>2026-07-29 13:18:01</v>
      </c>
      <c r="L17548" s="1" t="str">
        <f>"2019-11-11 20:06:19"</f>
        <v>2019-11-11 20:06:19</v>
      </c>
      <c r="M17548" s="1" t="s">
        <v>0</v>
      </c>
      <c r="N17548" s="1" t="s">
        <v>38</v>
      </c>
      <c r="O17548" s="1" t="s">
        <v>46</v>
      </c>
    </row>
    <row r="17549" spans="2:15" x14ac:dyDescent="0.3">
      <c r="B17549" s="1" t="s">
        <v>13</v>
      </c>
      <c r="C17549" s="1" t="str">
        <f t="shared" si="865"/>
        <v>4차</v>
      </c>
      <c r="D17549" s="1" t="str">
        <f>"0026Q12244"</f>
        <v>0026Q12244</v>
      </c>
      <c r="E17549" s="1" t="s">
        <v>10</v>
      </c>
      <c r="F17549" s="1" t="str">
        <f>"10.10.126.178"</f>
        <v>10.10.126.178</v>
      </c>
      <c r="G17549" s="1" t="str">
        <f>"0026Q122"</f>
        <v>0026Q122</v>
      </c>
      <c r="H17549" s="1" t="str">
        <f>"주교지 16"</f>
        <v>주교지 16</v>
      </c>
      <c r="I17549" s="1" t="s">
        <v>8</v>
      </c>
      <c r="J17549" s="1" t="str">
        <f>"13/13"</f>
        <v>13/13</v>
      </c>
      <c r="K17549" s="1" t="str">
        <f t="shared" si="866"/>
        <v>2026-07-29 13:18:01</v>
      </c>
      <c r="L17549" s="1" t="str">
        <f>"2020-01-16 18:22:50"</f>
        <v>2020-01-16 18:22:50</v>
      </c>
      <c r="M17549" s="1" t="s">
        <v>1</v>
      </c>
      <c r="N17549" s="1" t="s">
        <v>38</v>
      </c>
      <c r="O17549" s="1" t="s">
        <v>46</v>
      </c>
    </row>
    <row r="17550" spans="2:15" x14ac:dyDescent="0.3">
      <c r="B17550" s="1" t="s">
        <v>13</v>
      </c>
      <c r="C17550" s="1" t="str">
        <f t="shared" si="865"/>
        <v>4차</v>
      </c>
      <c r="D17550" s="1" t="str">
        <f>"0026Q25141"</f>
        <v>0026Q25141</v>
      </c>
      <c r="E17550" s="1" t="s">
        <v>10</v>
      </c>
      <c r="F17550" s="1" t="str">
        <f>"10.12.136.32"</f>
        <v>10.12.136.32</v>
      </c>
      <c r="G17550" s="1" t="str">
        <f>"0026Q251"</f>
        <v>0026Q251</v>
      </c>
      <c r="H17550" s="1" t="str">
        <f>"주교지 12R9"</f>
        <v>주교지 12R9</v>
      </c>
      <c r="I17550" s="1" t="s">
        <v>17</v>
      </c>
      <c r="J17550" s="1" t="str">
        <f>"3/3"</f>
        <v>3/3</v>
      </c>
      <c r="K17550" s="1" t="str">
        <f t="shared" si="866"/>
        <v>2026-07-29 13:18:01</v>
      </c>
      <c r="L17550" s="1" t="str">
        <f>"2021-10-30 07:00:07"</f>
        <v>2021-10-30 07:00:07</v>
      </c>
      <c r="M17550" s="1" t="s">
        <v>0</v>
      </c>
      <c r="N17550" s="1" t="s">
        <v>38</v>
      </c>
      <c r="O17550" s="1" t="s">
        <v>46</v>
      </c>
    </row>
    <row r="17551" spans="2:15" x14ac:dyDescent="0.3">
      <c r="B17551" s="1" t="s">
        <v>13</v>
      </c>
      <c r="C17551" s="1" t="str">
        <f t="shared" si="865"/>
        <v>4차</v>
      </c>
      <c r="D17551" s="1" t="str">
        <f>"0026Q25344"</f>
        <v>0026Q25344</v>
      </c>
      <c r="E17551" s="1" t="s">
        <v>10</v>
      </c>
      <c r="F17551" s="1" t="str">
        <f>"10.10.126.138"</f>
        <v>10.10.126.138</v>
      </c>
      <c r="G17551" s="1" t="str">
        <f>"0026Q253"</f>
        <v>0026Q253</v>
      </c>
      <c r="H17551" s="1" t="str">
        <f>"주교지 12R7"</f>
        <v>주교지 12R7</v>
      </c>
      <c r="I17551" s="1" t="s">
        <v>8</v>
      </c>
      <c r="J17551" s="1" t="str">
        <f>"2/2"</f>
        <v>2/2</v>
      </c>
      <c r="K17551" s="1" t="str">
        <f t="shared" si="866"/>
        <v>2026-07-29 13:18:01</v>
      </c>
      <c r="L17551" s="1" t="str">
        <f>"2020-01-17 08:52:25"</f>
        <v>2020-01-17 08:52:25</v>
      </c>
      <c r="M17551" s="1" t="s">
        <v>1</v>
      </c>
      <c r="N17551" s="1" t="s">
        <v>38</v>
      </c>
      <c r="O17551" s="1" t="s">
        <v>46</v>
      </c>
    </row>
    <row r="17552" spans="2:15" x14ac:dyDescent="0.3">
      <c r="B17552" s="1" t="s">
        <v>13</v>
      </c>
      <c r="C17552" s="1" t="str">
        <f>"5-2차"</f>
        <v>5-2차</v>
      </c>
      <c r="D17552" s="1" t="str">
        <f>"0026Q3335M"</f>
        <v>0026Q3335M</v>
      </c>
      <c r="E17552" s="1" t="s">
        <v>10</v>
      </c>
      <c r="F17552" s="1" t="str">
        <f>"fde2:104:0:1c7:0:0:0:2"</f>
        <v>fde2:104:0:1c7:0:0:0:2</v>
      </c>
      <c r="G17552" s="1" t="str">
        <f>"0026Q333"</f>
        <v>0026Q333</v>
      </c>
      <c r="H17552" s="1" t="str">
        <f>"주교지 14R2"</f>
        <v>주교지 14R2</v>
      </c>
      <c r="I17552" s="1" t="s">
        <v>15</v>
      </c>
      <c r="J17552" s="1" t="str">
        <f>"10/10"</f>
        <v>10/10</v>
      </c>
      <c r="K17552" s="1" t="str">
        <f>"2026-07-29 14:20:19"</f>
        <v>2026-07-29 14:20:19</v>
      </c>
      <c r="L17552" s="1" t="str">
        <f>"2023-05-23 15:37:44"</f>
        <v>2023-05-23 15:37:44</v>
      </c>
      <c r="M17552" s="1" t="s">
        <v>42</v>
      </c>
      <c r="N17552" s="1" t="s">
        <v>38</v>
      </c>
      <c r="O17552" s="1" t="s">
        <v>46</v>
      </c>
    </row>
    <row r="17553" spans="2:15" x14ac:dyDescent="0.3">
      <c r="B17553" s="1" t="s">
        <v>13</v>
      </c>
      <c r="C17553" s="1" t="str">
        <f>"4차"</f>
        <v>4차</v>
      </c>
      <c r="D17553" s="1" t="str">
        <f>"0026Q35144"</f>
        <v>0026Q35144</v>
      </c>
      <c r="E17553" s="1" t="s">
        <v>10</v>
      </c>
      <c r="F17553" s="1" t="str">
        <f>"10.10.126.122"</f>
        <v>10.10.126.122</v>
      </c>
      <c r="G17553" s="1" t="str">
        <f>"0026Q351"</f>
        <v>0026Q351</v>
      </c>
      <c r="H17553" s="1" t="str">
        <f>"주교지 12R4"</f>
        <v>주교지 12R4</v>
      </c>
      <c r="I17553" s="1" t="s">
        <v>8</v>
      </c>
      <c r="J17553" s="1" t="str">
        <f>"2/2"</f>
        <v>2/2</v>
      </c>
      <c r="K17553" s="1" t="str">
        <f>"2026-07-29 13:18:01"</f>
        <v>2026-07-29 13:18:01</v>
      </c>
      <c r="L17553" s="1" t="str">
        <f>"2020-01-16 16:37:57"</f>
        <v>2020-01-16 16:37:57</v>
      </c>
      <c r="M17553" s="1" t="s">
        <v>1</v>
      </c>
      <c r="N17553" s="1" t="s">
        <v>38</v>
      </c>
      <c r="O17553" s="1" t="s">
        <v>46</v>
      </c>
    </row>
    <row r="17554" spans="2:15" x14ac:dyDescent="0.3">
      <c r="B17554" s="1" t="s">
        <v>13</v>
      </c>
      <c r="C17554" s="1" t="str">
        <f>"4차"</f>
        <v>4차</v>
      </c>
      <c r="D17554" s="1" t="str">
        <f>"0026Q35244"</f>
        <v>0026Q35244</v>
      </c>
      <c r="E17554" s="1" t="s">
        <v>10</v>
      </c>
      <c r="F17554" s="1" t="str">
        <f>"10.10.126.130"</f>
        <v>10.10.126.130</v>
      </c>
      <c r="G17554" s="1" t="str">
        <f>"0026Q352"</f>
        <v>0026Q352</v>
      </c>
      <c r="H17554" s="1" t="str">
        <f>"주교지 12R6"</f>
        <v>주교지 12R6</v>
      </c>
      <c r="I17554" s="1" t="s">
        <v>8</v>
      </c>
      <c r="J17554" s="1" t="str">
        <f>"20/20"</f>
        <v>20/20</v>
      </c>
      <c r="K17554" s="1" t="str">
        <f>"2026-07-29 13:18:01"</f>
        <v>2026-07-29 13:18:01</v>
      </c>
      <c r="L17554" s="1" t="str">
        <f>"2020-01-16 18:19:58"</f>
        <v>2020-01-16 18:19:58</v>
      </c>
      <c r="M17554" s="1" t="s">
        <v>1</v>
      </c>
      <c r="N17554" s="1" t="s">
        <v>38</v>
      </c>
      <c r="O17554" s="1" t="s">
        <v>46</v>
      </c>
    </row>
    <row r="17555" spans="2:15" x14ac:dyDescent="0.3">
      <c r="B17555" s="1" t="s">
        <v>13</v>
      </c>
      <c r="C17555" s="1" t="str">
        <f>"4차"</f>
        <v>4차</v>
      </c>
      <c r="D17555" s="1" t="str">
        <f>"0026Q55145"</f>
        <v>0026Q55145</v>
      </c>
      <c r="E17555" s="1" t="s">
        <v>10</v>
      </c>
      <c r="F17555" s="1" t="str">
        <f>"10.14.11.16"</f>
        <v>10.14.11.16</v>
      </c>
      <c r="G17555" s="1" t="str">
        <f>"0026Q551"</f>
        <v>0026Q551</v>
      </c>
      <c r="H17555" s="1" t="str">
        <f>"청계로 R25"</f>
        <v>청계로 R25</v>
      </c>
      <c r="I17555" s="1" t="s">
        <v>17</v>
      </c>
      <c r="J17555" s="1" t="str">
        <f>"9/12"</f>
        <v>9/12</v>
      </c>
      <c r="K17555" s="1" t="str">
        <f>"2026-07-29 13:18:02"</f>
        <v>2026-07-29 13:18:02</v>
      </c>
      <c r="L17555" s="1" t="str">
        <f>"2021-06-25 10:04:29"</f>
        <v>2021-06-25 10:04:29</v>
      </c>
      <c r="M17555" s="1" t="s">
        <v>3</v>
      </c>
      <c r="N17555" s="1" t="s">
        <v>38</v>
      </c>
      <c r="O17555" s="1" t="s">
        <v>46</v>
      </c>
    </row>
    <row r="17556" spans="2:15" x14ac:dyDescent="0.3">
      <c r="B17556" s="1" t="s">
        <v>13</v>
      </c>
      <c r="C17556" s="1" t="str">
        <f>"4차"</f>
        <v>4차</v>
      </c>
      <c r="D17556" s="1" t="str">
        <f>"0026Q59145"</f>
        <v>0026Q59145</v>
      </c>
      <c r="E17556" s="1" t="s">
        <v>10</v>
      </c>
      <c r="F17556" s="1" t="str">
        <f>"10.14.10.65"</f>
        <v>10.14.10.65</v>
      </c>
      <c r="G17556" s="1" t="str">
        <f>"0026Q591"</f>
        <v>0026Q591</v>
      </c>
      <c r="H17556" s="1" t="str">
        <f>"주교로 2-1"</f>
        <v>주교로 2-1</v>
      </c>
      <c r="I17556" s="1" t="s">
        <v>17</v>
      </c>
      <c r="J17556" s="1" t="str">
        <f>"13/13"</f>
        <v>13/13</v>
      </c>
      <c r="K17556" s="1" t="str">
        <f>"2026-07-29 13:18:02"</f>
        <v>2026-07-29 13:18:02</v>
      </c>
      <c r="L17556" s="1" t="str">
        <f>"2021-06-25 13:46:58"</f>
        <v>2021-06-25 13:46:58</v>
      </c>
      <c r="M17556" s="1" t="s">
        <v>3</v>
      </c>
      <c r="N17556" s="1" t="s">
        <v>38</v>
      </c>
      <c r="O17556" s="1" t="s">
        <v>46</v>
      </c>
    </row>
    <row r="17557" spans="2:15" x14ac:dyDescent="0.3">
      <c r="B17557" s="1" t="s">
        <v>13</v>
      </c>
      <c r="C17557" s="1" t="str">
        <f>"3차"</f>
        <v>3차</v>
      </c>
      <c r="D17557" s="1" t="str">
        <f>"0026Q60339"</f>
        <v>0026Q60339</v>
      </c>
      <c r="E17557" s="1" t="s">
        <v>10</v>
      </c>
      <c r="F17557" s="1" t="str">
        <f>"10.11.17.210"</f>
        <v>10.11.17.210</v>
      </c>
      <c r="G17557" s="1" t="str">
        <f>"0026Q603"</f>
        <v>0026Q603</v>
      </c>
      <c r="H17557" s="1" t="str">
        <f>"을지간 36L2R3R1"</f>
        <v>을지간 36L2R3R1</v>
      </c>
      <c r="I17557" s="1" t="s">
        <v>8</v>
      </c>
      <c r="J17557" s="1" t="str">
        <f>"7/7"</f>
        <v>7/7</v>
      </c>
      <c r="K17557" s="1" t="str">
        <f>"2026-07-29 13:18:00"</f>
        <v>2026-07-29 13:18:00</v>
      </c>
      <c r="L17557" s="1" t="str">
        <f>"2018-03-10 16:12:12"</f>
        <v>2018-03-10 16:12:12</v>
      </c>
      <c r="M17557" s="1" t="s">
        <v>2</v>
      </c>
      <c r="N17557" s="1" t="s">
        <v>38</v>
      </c>
      <c r="O17557" s="1" t="s">
        <v>46</v>
      </c>
    </row>
    <row r="17558" spans="2:15" x14ac:dyDescent="0.3">
      <c r="B17558" s="1" t="s">
        <v>13</v>
      </c>
      <c r="C17558" s="1" t="str">
        <f>"3차"</f>
        <v>3차</v>
      </c>
      <c r="D17558" s="1" t="str">
        <f>"0026Q60439"</f>
        <v>0026Q60439</v>
      </c>
      <c r="E17558" s="1" t="s">
        <v>10</v>
      </c>
      <c r="F17558" s="1" t="str">
        <f>"10.11.36.218"</f>
        <v>10.11.36.218</v>
      </c>
      <c r="G17558" s="1" t="str">
        <f>"0026Q604"</f>
        <v>0026Q604</v>
      </c>
      <c r="H17558" s="1" t="str">
        <f>"을지간 36L2R3R2"</f>
        <v>을지간 36L2R3R2</v>
      </c>
      <c r="I17558" s="1" t="s">
        <v>8</v>
      </c>
      <c r="J17558" s="1" t="str">
        <f>"10/10"</f>
        <v>10/10</v>
      </c>
      <c r="K17558" s="1" t="str">
        <f>"2026-07-29 13:18:01"</f>
        <v>2026-07-29 13:18:01</v>
      </c>
      <c r="L17558" s="1" t="str">
        <f>"2018-05-15 10:18:41"</f>
        <v>2018-05-15 10:18:41</v>
      </c>
      <c r="M17558" s="1" t="s">
        <v>2</v>
      </c>
      <c r="N17558" s="1" t="s">
        <v>38</v>
      </c>
      <c r="O17558" s="1" t="s">
        <v>46</v>
      </c>
    </row>
    <row r="17559" spans="2:15" x14ac:dyDescent="0.3">
      <c r="B17559" s="1" t="s">
        <v>13</v>
      </c>
      <c r="C17559" s="1" t="str">
        <f>"6차"</f>
        <v>6차</v>
      </c>
      <c r="D17559" s="1" t="str">
        <f>"0026Q6066S"</f>
        <v>0026Q6066S</v>
      </c>
      <c r="E17559" s="1" t="s">
        <v>10</v>
      </c>
      <c r="F17559" s="1" t="str">
        <f>"fde1:103:4:c7df:0:0:0:2"</f>
        <v>fde1:103:4:c7df:0:0:0:2</v>
      </c>
      <c r="G17559" s="1" t="str">
        <f>"0026Q606"</f>
        <v>0026Q606</v>
      </c>
      <c r="H17559" s="1" t="str">
        <f>"을지간 36L2R2"</f>
        <v>을지간 36L2R2</v>
      </c>
      <c r="I17559" s="1" t="s">
        <v>15</v>
      </c>
      <c r="J17559" s="1" t="str">
        <f>"13/13"</f>
        <v>13/13</v>
      </c>
      <c r="K17559" s="1" t="str">
        <f>"2026-07-29 14:20:00"</f>
        <v>2026-07-29 14:20:00</v>
      </c>
      <c r="L17559" s="1" t="str">
        <f>"2024-12-10 15:44:13"</f>
        <v>2024-12-10 15:44:13</v>
      </c>
      <c r="M17559" s="1" t="s">
        <v>4</v>
      </c>
      <c r="N17559" s="1" t="s">
        <v>38</v>
      </c>
      <c r="O17559" s="1" t="s">
        <v>46</v>
      </c>
    </row>
    <row r="17560" spans="2:15" x14ac:dyDescent="0.3">
      <c r="B17560" s="1" t="s">
        <v>13</v>
      </c>
      <c r="C17560" s="1" t="str">
        <f>"4차"</f>
        <v>4차</v>
      </c>
      <c r="D17560" s="1" t="str">
        <f>"0026Q61245"</f>
        <v>0026Q61245</v>
      </c>
      <c r="E17560" s="1" t="s">
        <v>10</v>
      </c>
      <c r="F17560" s="1" t="str">
        <f>"10.14.10.20"</f>
        <v>10.14.10.20</v>
      </c>
      <c r="G17560" s="1" t="str">
        <f>"0026Q612"</f>
        <v>0026Q612</v>
      </c>
      <c r="H17560" s="1" t="str">
        <f>"을지로 R14"</f>
        <v>을지로 R14</v>
      </c>
      <c r="I17560" s="1" t="s">
        <v>17</v>
      </c>
      <c r="J17560" s="1" t="str">
        <f>"8/8"</f>
        <v>8/8</v>
      </c>
      <c r="K17560" s="1" t="str">
        <f>"2026-07-29 13:18:02"</f>
        <v>2026-07-29 13:18:02</v>
      </c>
      <c r="L17560" s="1" t="str">
        <f>"2021-06-30 13:50:50"</f>
        <v>2021-06-30 13:50:50</v>
      </c>
      <c r="M17560" s="1" t="s">
        <v>3</v>
      </c>
      <c r="N17560" s="1" t="s">
        <v>38</v>
      </c>
      <c r="O17560" s="1" t="s">
        <v>46</v>
      </c>
    </row>
    <row r="17561" spans="2:15" x14ac:dyDescent="0.3">
      <c r="B17561" s="1" t="s">
        <v>13</v>
      </c>
      <c r="C17561" s="1" t="str">
        <f>"4차"</f>
        <v>4차</v>
      </c>
      <c r="D17561" s="1" t="str">
        <f>"0026Q62645"</f>
        <v>0026Q62645</v>
      </c>
      <c r="E17561" s="1" t="s">
        <v>10</v>
      </c>
      <c r="F17561" s="1" t="str">
        <f>"10.14.10.4"</f>
        <v>10.14.10.4</v>
      </c>
      <c r="G17561" s="1" t="str">
        <f>"0026Q626"</f>
        <v>0026Q626</v>
      </c>
      <c r="H17561" s="1" t="str">
        <f>"을지로 L15"</f>
        <v>을지로 L15</v>
      </c>
      <c r="I17561" s="1" t="s">
        <v>17</v>
      </c>
      <c r="J17561" s="1" t="str">
        <f>"11/11"</f>
        <v>11/11</v>
      </c>
      <c r="K17561" s="1" t="str">
        <f>"2026-07-29 13:18:02"</f>
        <v>2026-07-29 13:18:02</v>
      </c>
      <c r="L17561" s="1" t="str">
        <f>"2021-06-24 09:43:53"</f>
        <v>2021-06-24 09:43:53</v>
      </c>
      <c r="M17561" s="1" t="s">
        <v>3</v>
      </c>
      <c r="N17561" s="1" t="s">
        <v>38</v>
      </c>
      <c r="O17561" s="1" t="s">
        <v>46</v>
      </c>
    </row>
    <row r="17562" spans="2:15" x14ac:dyDescent="0.3">
      <c r="B17562" s="1" t="s">
        <v>13</v>
      </c>
      <c r="C17562" s="1" t="str">
        <f>"4차"</f>
        <v>4차</v>
      </c>
      <c r="D17562" s="1" t="str">
        <f>"0026Q63144"</f>
        <v>0026Q63144</v>
      </c>
      <c r="E17562" s="1" t="s">
        <v>10</v>
      </c>
      <c r="F17562" s="1" t="str">
        <f>"10.10.126.66"</f>
        <v>10.10.126.66</v>
      </c>
      <c r="G17562" s="1" t="str">
        <f>"0026Q631"</f>
        <v>0026Q631</v>
      </c>
      <c r="H17562" s="1" t="str">
        <f>"주교지 11L2"</f>
        <v>주교지 11L2</v>
      </c>
      <c r="I17562" s="1" t="s">
        <v>8</v>
      </c>
      <c r="J17562" s="1" t="str">
        <f>"17/17"</f>
        <v>17/17</v>
      </c>
      <c r="K17562" s="1" t="str">
        <f>"2026-07-29 13:18:01"</f>
        <v>2026-07-29 13:18:01</v>
      </c>
      <c r="L17562" s="1" t="str">
        <f>"2019-12-17 16:24:37"</f>
        <v>2019-12-17 16:24:37</v>
      </c>
      <c r="M17562" s="1" t="s">
        <v>1</v>
      </c>
      <c r="N17562" s="1" t="s">
        <v>38</v>
      </c>
      <c r="O17562" s="1" t="s">
        <v>46</v>
      </c>
    </row>
    <row r="17563" spans="2:15" x14ac:dyDescent="0.3">
      <c r="B17563" s="1" t="s">
        <v>13</v>
      </c>
      <c r="C17563" s="1" t="str">
        <f>"4차"</f>
        <v>4차</v>
      </c>
      <c r="D17563" s="1" t="str">
        <f>"0026Q70139"</f>
        <v>0026Q70139</v>
      </c>
      <c r="E17563" s="1" t="s">
        <v>10</v>
      </c>
      <c r="F17563" s="1" t="str">
        <f>"10.11.36.210"</f>
        <v>10.11.36.210</v>
      </c>
      <c r="G17563" s="1" t="str">
        <f>"0026Q701"</f>
        <v>0026Q701</v>
      </c>
      <c r="H17563" s="1" t="str">
        <f>"을지간 36L2R2L1"</f>
        <v>을지간 36L2R2L1</v>
      </c>
      <c r="I17563" s="1" t="s">
        <v>8</v>
      </c>
      <c r="J17563" s="1" t="str">
        <f>"21/27"</f>
        <v>21/27</v>
      </c>
      <c r="K17563" s="1" t="str">
        <f>"2026-07-29 13:18:01"</f>
        <v>2026-07-29 13:18:01</v>
      </c>
      <c r="L17563" s="1" t="str">
        <f>"2018-03-10 15:51:12"</f>
        <v>2018-03-10 15:51:12</v>
      </c>
      <c r="M17563" s="1" t="s">
        <v>2</v>
      </c>
      <c r="N17563" s="1" t="s">
        <v>38</v>
      </c>
      <c r="O17563" s="1" t="s">
        <v>46</v>
      </c>
    </row>
    <row r="17564" spans="2:15" x14ac:dyDescent="0.3">
      <c r="B17564" s="1" t="s">
        <v>13</v>
      </c>
      <c r="C17564" s="1" t="str">
        <f>"6차"</f>
        <v>6차</v>
      </c>
      <c r="D17564" s="1" t="str">
        <f>"0026Q7316S"</f>
        <v>0026Q7316S</v>
      </c>
      <c r="E17564" s="1" t="s">
        <v>10</v>
      </c>
      <c r="F17564" s="1" t="str">
        <f>"fde1:103:4:c603:0:0:0:2"</f>
        <v>fde1:103:4:c603:0:0:0:2</v>
      </c>
      <c r="G17564" s="1" t="str">
        <f>"0026Q731"</f>
        <v>0026Q731</v>
      </c>
      <c r="H17564" s="1" t="str">
        <f>"주교지 11L3L1"</f>
        <v>주교지 11L3L1</v>
      </c>
      <c r="I17564" s="1" t="s">
        <v>15</v>
      </c>
      <c r="J17564" s="1" t="str">
        <f>"32/34"</f>
        <v>32/34</v>
      </c>
      <c r="K17564" s="1" t="str">
        <f>"2026-07-29 14:20:17"</f>
        <v>2026-07-29 14:20:17</v>
      </c>
      <c r="L17564" s="1" t="str">
        <f>"2024-11-20 10:39:48"</f>
        <v>2024-11-20 10:39:48</v>
      </c>
      <c r="M17564" s="1" t="s">
        <v>4</v>
      </c>
      <c r="N17564" s="1" t="s">
        <v>38</v>
      </c>
      <c r="O17564" s="1" t="s">
        <v>46</v>
      </c>
    </row>
    <row r="17565" spans="2:15" x14ac:dyDescent="0.3">
      <c r="B17565" s="1" t="s">
        <v>13</v>
      </c>
      <c r="C17565" s="1" t="str">
        <f>"6차"</f>
        <v>6차</v>
      </c>
      <c r="D17565" s="1" t="str">
        <f>"0026Q7416S"</f>
        <v>0026Q7416S</v>
      </c>
      <c r="E17565" s="1" t="s">
        <v>10</v>
      </c>
      <c r="F17565" s="1" t="str">
        <f>"fde1:103:4:c613:0:0:0:2"</f>
        <v>fde1:103:4:c613:0:0:0:2</v>
      </c>
      <c r="G17565" s="1" t="str">
        <f>"0026Q741"</f>
        <v>0026Q741</v>
      </c>
      <c r="H17565" s="1" t="str">
        <f>"주교지 11L3L2"</f>
        <v>주교지 11L3L2</v>
      </c>
      <c r="I17565" s="1" t="s">
        <v>15</v>
      </c>
      <c r="J17565" s="1" t="str">
        <f>"25/27"</f>
        <v>25/27</v>
      </c>
      <c r="K17565" s="1" t="str">
        <f>"2026-07-29 14:20:17"</f>
        <v>2026-07-29 14:20:17</v>
      </c>
      <c r="L17565" s="1" t="str">
        <f>"2024-11-20 10:40:14"</f>
        <v>2024-11-20 10:40:14</v>
      </c>
      <c r="M17565" s="1" t="s">
        <v>4</v>
      </c>
      <c r="N17565" s="1" t="s">
        <v>38</v>
      </c>
      <c r="O17565" s="1" t="s">
        <v>46</v>
      </c>
    </row>
    <row r="17566" spans="2:15" x14ac:dyDescent="0.3">
      <c r="B17566" s="1" t="s">
        <v>13</v>
      </c>
      <c r="C17566" s="1" t="str">
        <f>"6차"</f>
        <v>6차</v>
      </c>
      <c r="D17566" s="1" t="str">
        <f>"0026Q7426S"</f>
        <v>0026Q7426S</v>
      </c>
      <c r="E17566" s="1" t="s">
        <v>10</v>
      </c>
      <c r="F17566" s="1" t="str">
        <f>"fde1:103:4:c62d:0:0:0:2"</f>
        <v>fde1:103:4:c62d:0:0:0:2</v>
      </c>
      <c r="G17566" s="1" t="str">
        <f>"0026Q742"</f>
        <v>0026Q742</v>
      </c>
      <c r="H17566" s="1" t="str">
        <f>"주교지 11L3L3"</f>
        <v>주교지 11L3L3</v>
      </c>
      <c r="I17566" s="1" t="s">
        <v>15</v>
      </c>
      <c r="J17566" s="1" t="str">
        <f>"39/42"</f>
        <v>39/42</v>
      </c>
      <c r="K17566" s="1" t="str">
        <f>"2026-07-29 14:20:17"</f>
        <v>2026-07-29 14:20:17</v>
      </c>
      <c r="L17566" s="1" t="str">
        <f>"2024-11-20 10:38:55"</f>
        <v>2024-11-20 10:38:55</v>
      </c>
      <c r="M17566" s="1" t="s">
        <v>4</v>
      </c>
      <c r="N17566" s="1" t="s">
        <v>38</v>
      </c>
      <c r="O17566" s="1" t="s">
        <v>46</v>
      </c>
    </row>
    <row r="17567" spans="2:15" x14ac:dyDescent="0.3">
      <c r="B17567" s="1" t="s">
        <v>13</v>
      </c>
      <c r="C17567" s="1" t="str">
        <f>"4차"</f>
        <v>4차</v>
      </c>
      <c r="D17567" s="1" t="str">
        <f>"0026Q75144"</f>
        <v>0026Q75144</v>
      </c>
      <c r="E17567" s="1" t="s">
        <v>10</v>
      </c>
      <c r="F17567" s="1" t="str">
        <f>"10.12.138.172"</f>
        <v>10.12.138.172</v>
      </c>
      <c r="G17567" s="1" t="str">
        <f>"0026Q751"</f>
        <v>0026Q751</v>
      </c>
      <c r="H17567" s="1" t="str">
        <f>"주교지 8L6"</f>
        <v>주교지 8L6</v>
      </c>
      <c r="I17567" s="1" t="s">
        <v>8</v>
      </c>
      <c r="J17567" s="1" t="str">
        <f>"16/16"</f>
        <v>16/16</v>
      </c>
      <c r="K17567" s="1" t="str">
        <f>"2026-07-29 13:18:01"</f>
        <v>2026-07-29 13:18:01</v>
      </c>
      <c r="L17567" s="1" t="str">
        <f>"2019-11-11 20:06:45"</f>
        <v>2019-11-11 20:06:45</v>
      </c>
      <c r="M17567" s="1" t="s">
        <v>0</v>
      </c>
      <c r="N17567" s="1" t="s">
        <v>38</v>
      </c>
      <c r="O17567" s="1" t="s">
        <v>46</v>
      </c>
    </row>
    <row r="17568" spans="2:15" x14ac:dyDescent="0.3">
      <c r="B17568" s="1" t="s">
        <v>13</v>
      </c>
      <c r="C17568" s="1" t="str">
        <f>"6차"</f>
        <v>6차</v>
      </c>
      <c r="D17568" s="1" t="str">
        <f>"0026Q7626S"</f>
        <v>0026Q7626S</v>
      </c>
      <c r="E17568" s="1" t="s">
        <v>10</v>
      </c>
      <c r="F17568" s="1" t="str">
        <f>"fde1:103:4:c602:0:0:0:2"</f>
        <v>fde1:103:4:c602:0:0:0:2</v>
      </c>
      <c r="G17568" s="1" t="str">
        <f>"0026Q762"</f>
        <v>0026Q762</v>
      </c>
      <c r="H17568" s="1" t="str">
        <f>"주교지 8L5"</f>
        <v>주교지 8L5</v>
      </c>
      <c r="I17568" s="1" t="s">
        <v>15</v>
      </c>
      <c r="J17568" s="1" t="str">
        <f>"28/30"</f>
        <v>28/30</v>
      </c>
      <c r="K17568" s="1" t="str">
        <f>"2026-07-29 14:20:17"</f>
        <v>2026-07-29 14:20:17</v>
      </c>
      <c r="L17568" s="1" t="str">
        <f>"2024-11-20 10:38:39"</f>
        <v>2024-11-20 10:38:39</v>
      </c>
      <c r="M17568" s="1" t="s">
        <v>4</v>
      </c>
      <c r="N17568" s="1" t="s">
        <v>38</v>
      </c>
      <c r="O17568" s="1" t="s">
        <v>46</v>
      </c>
    </row>
    <row r="17569" spans="2:15" x14ac:dyDescent="0.3">
      <c r="B17569" s="1" t="s">
        <v>13</v>
      </c>
      <c r="C17569" s="1" t="str">
        <f>"6차"</f>
        <v>6차</v>
      </c>
      <c r="D17569" s="1" t="str">
        <f>"0026Q7636S"</f>
        <v>0026Q7636S</v>
      </c>
      <c r="E17569" s="1" t="s">
        <v>12</v>
      </c>
      <c r="F17569" s="1" t="str">
        <f>"fde1:103:4:c5cd:0:0:0:2"</f>
        <v>fde1:103:4:c5cd:0:0:0:2</v>
      </c>
      <c r="G17569" s="1" t="str">
        <f>"0026Q763"</f>
        <v>0026Q763</v>
      </c>
      <c r="H17569" s="1" t="str">
        <f>"주교지 8L3H1"</f>
        <v>주교지 8L3H1</v>
      </c>
      <c r="I17569" s="1" t="s">
        <v>15</v>
      </c>
      <c r="J17569" s="1" t="str">
        <f>"0/63"</f>
        <v>0/63</v>
      </c>
      <c r="K17569" s="1" t="str">
        <f>"2025-09-24 20:20:15"</f>
        <v>2025-09-24 20:20:15</v>
      </c>
      <c r="L17569" s="1" t="str">
        <f>"2024-11-20 10:39:13"</f>
        <v>2024-11-20 10:39:13</v>
      </c>
      <c r="M17569" s="1" t="s">
        <v>4</v>
      </c>
      <c r="N17569" s="1" t="s">
        <v>38</v>
      </c>
      <c r="O17569" s="1" t="s">
        <v>46</v>
      </c>
    </row>
    <row r="17570" spans="2:15" x14ac:dyDescent="0.3">
      <c r="B17570" s="1" t="s">
        <v>13</v>
      </c>
      <c r="C17570" s="1" t="str">
        <f>"3차"</f>
        <v>3차</v>
      </c>
      <c r="D17570" s="1" t="str">
        <f>"0026Q76439"</f>
        <v>0026Q76439</v>
      </c>
      <c r="E17570" s="1" t="s">
        <v>10</v>
      </c>
      <c r="F17570" s="1" t="str">
        <f>"10.12.129.115"</f>
        <v>10.12.129.115</v>
      </c>
      <c r="G17570" s="1" t="str">
        <f>"0026Q764"</f>
        <v>0026Q764</v>
      </c>
      <c r="H17570" s="1" t="str">
        <f>"주교지 8L4L1"</f>
        <v>주교지 8L4L1</v>
      </c>
      <c r="I17570" s="1" t="s">
        <v>8</v>
      </c>
      <c r="J17570" s="1" t="str">
        <f>"29/30"</f>
        <v>29/30</v>
      </c>
      <c r="K17570" s="1" t="str">
        <f>"2026-07-29 13:18:01"</f>
        <v>2026-07-29 13:18:01</v>
      </c>
      <c r="L17570" s="1" t="str">
        <f>"2018-05-10 17:10:14"</f>
        <v>2018-05-10 17:10:14</v>
      </c>
      <c r="M17570" s="1" t="s">
        <v>0</v>
      </c>
      <c r="N17570" s="1" t="s">
        <v>38</v>
      </c>
      <c r="O17570" s="1" t="s">
        <v>46</v>
      </c>
    </row>
    <row r="17571" spans="2:15" x14ac:dyDescent="0.3">
      <c r="B17571" s="1" t="s">
        <v>13</v>
      </c>
      <c r="C17571" s="1" t="str">
        <f>"3차"</f>
        <v>3차</v>
      </c>
      <c r="D17571" s="1" t="str">
        <f>"0026Q84539"</f>
        <v>0026Q84539</v>
      </c>
      <c r="E17571" s="1" t="s">
        <v>10</v>
      </c>
      <c r="F17571" s="1" t="str">
        <f>"10.12.129.112"</f>
        <v>10.12.129.112</v>
      </c>
      <c r="G17571" s="1" t="str">
        <f>"0026Q845"</f>
        <v>0026Q845</v>
      </c>
      <c r="H17571" s="1" t="str">
        <f>"주교지 8L11"</f>
        <v>주교지 8L11</v>
      </c>
      <c r="I17571" s="1" t="s">
        <v>8</v>
      </c>
      <c r="J17571" s="1" t="str">
        <f>"29/31"</f>
        <v>29/31</v>
      </c>
      <c r="K17571" s="1" t="str">
        <f>"2026-07-29 13:18:01"</f>
        <v>2026-07-29 13:18:01</v>
      </c>
      <c r="L17571" s="1" t="str">
        <f>"2018-04-28 10:02:43"</f>
        <v>2018-04-28 10:02:43</v>
      </c>
      <c r="M17571" s="1" t="s">
        <v>0</v>
      </c>
      <c r="N17571" s="1" t="s">
        <v>38</v>
      </c>
      <c r="O17571" s="1" t="s">
        <v>46</v>
      </c>
    </row>
    <row r="17572" spans="2:15" x14ac:dyDescent="0.3">
      <c r="B17572" s="1" t="s">
        <v>13</v>
      </c>
      <c r="C17572" s="1" t="str">
        <f>"4차"</f>
        <v>4차</v>
      </c>
      <c r="D17572" s="1" t="str">
        <f>"0026Q85339"</f>
        <v>0026Q85339</v>
      </c>
      <c r="E17572" s="1" t="s">
        <v>10</v>
      </c>
      <c r="F17572" s="1" t="str">
        <f>"10.12.128.60"</f>
        <v>10.12.128.60</v>
      </c>
      <c r="G17572" s="1" t="str">
        <f>"0026Q853"</f>
        <v>0026Q853</v>
      </c>
      <c r="H17572" s="1" t="str">
        <f>"주교지 8L7"</f>
        <v>주교지 8L7</v>
      </c>
      <c r="I17572" s="1" t="s">
        <v>8</v>
      </c>
      <c r="J17572" s="1" t="str">
        <f>"10/12"</f>
        <v>10/12</v>
      </c>
      <c r="K17572" s="1" t="str">
        <f>"2026-07-29 13:18:02"</f>
        <v>2026-07-29 13:18:02</v>
      </c>
      <c r="L17572" s="1" t="str">
        <f>"2018-05-10 17:03:45"</f>
        <v>2018-05-10 17:03:45</v>
      </c>
      <c r="M17572" s="1" t="s">
        <v>0</v>
      </c>
      <c r="N17572" s="1" t="s">
        <v>38</v>
      </c>
      <c r="O17572" s="1" t="s">
        <v>46</v>
      </c>
    </row>
    <row r="17573" spans="2:15" x14ac:dyDescent="0.3">
      <c r="B17573" s="1" t="s">
        <v>13</v>
      </c>
      <c r="C17573" s="1" t="str">
        <f>"4차"</f>
        <v>4차</v>
      </c>
      <c r="D17573" s="1" t="str">
        <f>"0026Q86144"</f>
        <v>0026Q86144</v>
      </c>
      <c r="E17573" s="1" t="s">
        <v>10</v>
      </c>
      <c r="F17573" s="1" t="str">
        <f>"10.10.123.106"</f>
        <v>10.10.123.106</v>
      </c>
      <c r="G17573" s="1" t="str">
        <f>"0026Q861"</f>
        <v>0026Q861</v>
      </c>
      <c r="H17573" s="1" t="str">
        <f>"방산지 13"</f>
        <v>방산지 13</v>
      </c>
      <c r="I17573" s="1" t="s">
        <v>8</v>
      </c>
      <c r="J17573" s="1" t="str">
        <f>"35/35"</f>
        <v>35/35</v>
      </c>
      <c r="K17573" s="1" t="str">
        <f>"2026-07-29 13:18:01"</f>
        <v>2026-07-29 13:18:01</v>
      </c>
      <c r="L17573" s="1" t="str">
        <f>"2019-12-17 16:22:05"</f>
        <v>2019-12-17 16:22:05</v>
      </c>
      <c r="M17573" s="1" t="s">
        <v>1</v>
      </c>
      <c r="N17573" s="1" t="s">
        <v>38</v>
      </c>
      <c r="O17573" s="1" t="s">
        <v>46</v>
      </c>
    </row>
    <row r="17574" spans="2:15" x14ac:dyDescent="0.3">
      <c r="B17574" s="1" t="s">
        <v>13</v>
      </c>
      <c r="C17574" s="1" t="str">
        <f>"3차"</f>
        <v>3차</v>
      </c>
      <c r="D17574" s="1" t="str">
        <f>"0026Q91239"</f>
        <v>0026Q91239</v>
      </c>
      <c r="E17574" s="1" t="s">
        <v>10</v>
      </c>
      <c r="F17574" s="1" t="str">
        <f>"10.11.36.242"</f>
        <v>10.11.36.242</v>
      </c>
      <c r="G17574" s="1" t="str">
        <f>"0026Q912"</f>
        <v>0026Q912</v>
      </c>
      <c r="H17574" s="1" t="str">
        <f>"을지간 36L4R2L3"</f>
        <v>을지간 36L4R2L3</v>
      </c>
      <c r="I17574" s="1" t="s">
        <v>8</v>
      </c>
      <c r="J17574" s="1" t="str">
        <f>"42/42"</f>
        <v>42/42</v>
      </c>
      <c r="K17574" s="1" t="str">
        <f>"2026-07-29 13:18:01"</f>
        <v>2026-07-29 13:18:01</v>
      </c>
      <c r="L17574" s="1" t="str">
        <f>"2018-05-17 17:30:29"</f>
        <v>2018-05-17 17:30:29</v>
      </c>
      <c r="M17574" s="1" t="s">
        <v>2</v>
      </c>
      <c r="N17574" s="1" t="s">
        <v>38</v>
      </c>
      <c r="O17574" s="1" t="s">
        <v>46</v>
      </c>
    </row>
    <row r="17575" spans="2:15" x14ac:dyDescent="0.3">
      <c r="B17575" s="1" t="s">
        <v>13</v>
      </c>
      <c r="C17575" s="1" t="str">
        <f>"4차"</f>
        <v>4차</v>
      </c>
      <c r="D17575" s="1" t="str">
        <f>"0026Q93144"</f>
        <v>0026Q93144</v>
      </c>
      <c r="E17575" s="1" t="s">
        <v>10</v>
      </c>
      <c r="F17575" s="1" t="str">
        <f>"10.10.129.2"</f>
        <v>10.10.129.2</v>
      </c>
      <c r="G17575" s="1" t="str">
        <f>"0026Q931"</f>
        <v>0026Q931</v>
      </c>
      <c r="H17575" s="1" t="str">
        <f>"주교지 8L15"</f>
        <v>주교지 8L15</v>
      </c>
      <c r="I17575" s="1" t="s">
        <v>8</v>
      </c>
      <c r="J17575" s="1" t="str">
        <f>"12/12"</f>
        <v>12/12</v>
      </c>
      <c r="K17575" s="1" t="str">
        <f>"2026-07-29 13:18:01"</f>
        <v>2026-07-29 13:18:01</v>
      </c>
      <c r="L17575" s="1" t="str">
        <f>"2019-12-17 16:12:40"</f>
        <v>2019-12-17 16:12:40</v>
      </c>
      <c r="M17575" s="1" t="s">
        <v>1</v>
      </c>
      <c r="N17575" s="1" t="s">
        <v>38</v>
      </c>
      <c r="O17575" s="1" t="s">
        <v>46</v>
      </c>
    </row>
    <row r="17576" spans="2:15" x14ac:dyDescent="0.3">
      <c r="B17576" s="1" t="s">
        <v>13</v>
      </c>
      <c r="C17576" s="1" t="str">
        <f>"4차"</f>
        <v>4차</v>
      </c>
      <c r="D17576" s="1" t="str">
        <f>"0026Q95244"</f>
        <v>0026Q95244</v>
      </c>
      <c r="E17576" s="1" t="s">
        <v>10</v>
      </c>
      <c r="F17576" s="1" t="str">
        <f>"10.10.126.202"</f>
        <v>10.10.126.202</v>
      </c>
      <c r="G17576" s="1" t="str">
        <f>"0026Q952"</f>
        <v>0026Q952</v>
      </c>
      <c r="H17576" s="1" t="str">
        <f>"주교지 8L13L1"</f>
        <v>주교지 8L13L1</v>
      </c>
      <c r="I17576" s="1" t="s">
        <v>8</v>
      </c>
      <c r="J17576" s="1" t="str">
        <f>"13/15"</f>
        <v>13/15</v>
      </c>
      <c r="K17576" s="1" t="str">
        <f>"2026-07-29 13:18:01"</f>
        <v>2026-07-29 13:18:01</v>
      </c>
      <c r="L17576" s="1" t="str">
        <f>"2019-12-17 16:19:54"</f>
        <v>2019-12-17 16:19:54</v>
      </c>
      <c r="M17576" s="1" t="s">
        <v>1</v>
      </c>
      <c r="N17576" s="1" t="s">
        <v>38</v>
      </c>
      <c r="O17576" s="1" t="s">
        <v>46</v>
      </c>
    </row>
    <row r="17577" spans="2:15" x14ac:dyDescent="0.3">
      <c r="B17577" s="1" t="s">
        <v>13</v>
      </c>
      <c r="C17577" s="1" t="str">
        <f>"4차"</f>
        <v>4차</v>
      </c>
      <c r="D17577" s="1" t="str">
        <f>"0026R15344"</f>
        <v>0026R15344</v>
      </c>
      <c r="E17577" s="1" t="s">
        <v>10</v>
      </c>
      <c r="F17577" s="1" t="str">
        <f>"10.10.125.50"</f>
        <v>10.10.125.50</v>
      </c>
      <c r="G17577" s="1" t="str">
        <f>"0026R153"</f>
        <v>0026R153</v>
      </c>
      <c r="H17577" s="1" t="str">
        <f>"저동지 13L1"</f>
        <v>저동지 13L1</v>
      </c>
      <c r="I17577" s="1" t="s">
        <v>8</v>
      </c>
      <c r="J17577" s="1" t="str">
        <f>"11/11"</f>
        <v>11/11</v>
      </c>
      <c r="K17577" s="1" t="str">
        <f>"2026-07-29 13:18:01"</f>
        <v>2026-07-29 13:18:01</v>
      </c>
      <c r="L17577" s="1" t="str">
        <f>"2019-12-17 16:21:56"</f>
        <v>2019-12-17 16:21:56</v>
      </c>
      <c r="M17577" s="1" t="s">
        <v>1</v>
      </c>
      <c r="N17577" s="1" t="s">
        <v>38</v>
      </c>
      <c r="O17577" s="1" t="s">
        <v>46</v>
      </c>
    </row>
    <row r="17578" spans="2:15" x14ac:dyDescent="0.3">
      <c r="B17578" s="1" t="s">
        <v>13</v>
      </c>
      <c r="C17578" s="1" t="str">
        <f>"5-2차"</f>
        <v>5-2차</v>
      </c>
      <c r="D17578" s="1" t="str">
        <f>"0026R4025M"</f>
        <v>0026R4025M</v>
      </c>
      <c r="E17578" s="1" t="s">
        <v>10</v>
      </c>
      <c r="F17578" s="1" t="str">
        <f>"fde2:104:0:1c4:0:0:0:2"</f>
        <v>fde2:104:0:1c4:0:0:0:2</v>
      </c>
      <c r="G17578" s="1" t="str">
        <f>"0026R402"</f>
        <v>0026R402</v>
      </c>
      <c r="H17578" s="1" t="str">
        <f>"저동지 24L9"</f>
        <v>저동지 24L9</v>
      </c>
      <c r="I17578" s="1" t="s">
        <v>15</v>
      </c>
      <c r="J17578" s="1" t="str">
        <f>"15/15"</f>
        <v>15/15</v>
      </c>
      <c r="K17578" s="1" t="str">
        <f>"2026-07-29 14:20:19"</f>
        <v>2026-07-29 14:20:19</v>
      </c>
      <c r="L17578" s="1" t="str">
        <f>"2023-05-23 15:48:19"</f>
        <v>2023-05-23 15:48:19</v>
      </c>
      <c r="M17578" s="1" t="s">
        <v>42</v>
      </c>
      <c r="N17578" s="1" t="s">
        <v>38</v>
      </c>
      <c r="O17578" s="1" t="s">
        <v>46</v>
      </c>
    </row>
    <row r="17579" spans="2:15" x14ac:dyDescent="0.3">
      <c r="B17579" s="1" t="s">
        <v>13</v>
      </c>
      <c r="C17579" s="1" t="str">
        <f>"4차"</f>
        <v>4차</v>
      </c>
      <c r="D17579" s="1" t="str">
        <f>"0026R58545"</f>
        <v>0026R58545</v>
      </c>
      <c r="E17579" s="1" t="s">
        <v>10</v>
      </c>
      <c r="F17579" s="1" t="str">
        <f>"10.14.4.8"</f>
        <v>10.14.4.8</v>
      </c>
      <c r="G17579" s="1" t="str">
        <f>"0026R585"</f>
        <v>0026R585</v>
      </c>
      <c r="H17579" s="1" t="str">
        <f>"돈화로 R1-1"</f>
        <v>돈화로 R1-1</v>
      </c>
      <c r="I17579" s="1" t="s">
        <v>17</v>
      </c>
      <c r="J17579" s="1" t="str">
        <f>"5/5"</f>
        <v>5/5</v>
      </c>
      <c r="K17579" s="1" t="str">
        <f>"2026-07-29 13:18:02"</f>
        <v>2026-07-29 13:18:02</v>
      </c>
      <c r="L17579" s="1" t="str">
        <f>"2021-06-24 13:43:56"</f>
        <v>2021-06-24 13:43:56</v>
      </c>
      <c r="M17579" s="1" t="s">
        <v>3</v>
      </c>
      <c r="N17579" s="1" t="s">
        <v>38</v>
      </c>
      <c r="O17579" s="1" t="s">
        <v>46</v>
      </c>
    </row>
    <row r="17580" spans="2:15" x14ac:dyDescent="0.3">
      <c r="B17580" s="1" t="s">
        <v>13</v>
      </c>
      <c r="C17580" s="1" t="str">
        <f>"4차"</f>
        <v>4차</v>
      </c>
      <c r="D17580" s="1" t="str">
        <f>"0026R59245"</f>
        <v>0026R59245</v>
      </c>
      <c r="E17580" s="1" t="s">
        <v>10</v>
      </c>
      <c r="F17580" s="1" t="str">
        <f>"10.14.10.17"</f>
        <v>10.14.10.17</v>
      </c>
      <c r="G17580" s="1" t="str">
        <f>"0026R592"</f>
        <v>0026R592</v>
      </c>
      <c r="H17580" s="1" t="str">
        <f>"돈화로 L3"</f>
        <v>돈화로 L3</v>
      </c>
      <c r="I17580" s="1" t="s">
        <v>17</v>
      </c>
      <c r="J17580" s="1" t="str">
        <f>"16/16"</f>
        <v>16/16</v>
      </c>
      <c r="K17580" s="1" t="str">
        <f>"2026-07-29 13:18:02"</f>
        <v>2026-07-29 13:18:02</v>
      </c>
      <c r="L17580" s="1" t="str">
        <f>"2021-06-30 08:19:31"</f>
        <v>2021-06-30 08:19:31</v>
      </c>
      <c r="M17580" s="1" t="s">
        <v>3</v>
      </c>
      <c r="N17580" s="1" t="s">
        <v>38</v>
      </c>
      <c r="O17580" s="1" t="s">
        <v>46</v>
      </c>
    </row>
    <row r="17581" spans="2:15" x14ac:dyDescent="0.3">
      <c r="B17581" s="1" t="s">
        <v>13</v>
      </c>
      <c r="C17581" s="1" t="str">
        <f>"3차"</f>
        <v>3차</v>
      </c>
      <c r="D17581" s="1" t="str">
        <f>"0026R62339"</f>
        <v>0026R62339</v>
      </c>
      <c r="E17581" s="1" t="s">
        <v>10</v>
      </c>
      <c r="F17581" s="1" t="str">
        <f>"10.11.40.194"</f>
        <v>10.11.40.194</v>
      </c>
      <c r="G17581" s="1" t="str">
        <f>"0026R623"</f>
        <v>0026R623</v>
      </c>
      <c r="H17581" s="1" t="str">
        <f>"초동지 12L1"</f>
        <v>초동지 12L1</v>
      </c>
      <c r="I17581" s="1" t="s">
        <v>8</v>
      </c>
      <c r="J17581" s="1" t="str">
        <f>"30/30"</f>
        <v>30/30</v>
      </c>
      <c r="K17581" s="1" t="str">
        <f>"2026-07-29 13:18:01"</f>
        <v>2026-07-29 13:18:01</v>
      </c>
      <c r="L17581" s="1" t="str">
        <f>"2018-05-23 13:22:27"</f>
        <v>2018-05-23 13:22:27</v>
      </c>
      <c r="M17581" s="1" t="s">
        <v>2</v>
      </c>
      <c r="N17581" s="1" t="s">
        <v>38</v>
      </c>
      <c r="O17581" s="1" t="s">
        <v>46</v>
      </c>
    </row>
    <row r="17582" spans="2:15" x14ac:dyDescent="0.3">
      <c r="B17582" s="1" t="s">
        <v>13</v>
      </c>
      <c r="C17582" s="1" t="str">
        <f>"4차"</f>
        <v>4차</v>
      </c>
      <c r="D17582" s="1" t="str">
        <f>"0026R63145"</f>
        <v>0026R63145</v>
      </c>
      <c r="E17582" s="1" t="s">
        <v>10</v>
      </c>
      <c r="F17582" s="1" t="str">
        <f>"10.14.15.5"</f>
        <v>10.14.15.5</v>
      </c>
      <c r="G17582" s="1" t="str">
        <f>"0026R631"</f>
        <v>0026R631</v>
      </c>
      <c r="H17582" s="1" t="str">
        <f>"돈화로 L7"</f>
        <v>돈화로 L7</v>
      </c>
      <c r="I17582" s="1" t="s">
        <v>17</v>
      </c>
      <c r="J17582" s="1" t="str">
        <f>"9/9"</f>
        <v>9/9</v>
      </c>
      <c r="K17582" s="1" t="str">
        <f>"2026-07-29 13:18:02"</f>
        <v>2026-07-29 13:18:02</v>
      </c>
      <c r="L17582" s="1" t="str">
        <f>"2021-06-30 07:51:49"</f>
        <v>2021-06-30 07:51:49</v>
      </c>
      <c r="M17582" s="1" t="s">
        <v>3</v>
      </c>
      <c r="N17582" s="1" t="s">
        <v>38</v>
      </c>
      <c r="O17582" s="1" t="s">
        <v>46</v>
      </c>
    </row>
    <row r="17583" spans="2:15" x14ac:dyDescent="0.3">
      <c r="B17583" s="1" t="s">
        <v>13</v>
      </c>
      <c r="C17583" s="1" t="str">
        <f>"4차"</f>
        <v>4차</v>
      </c>
      <c r="D17583" s="1" t="str">
        <f>"0026R67345"</f>
        <v>0026R67345</v>
      </c>
      <c r="E17583" s="1" t="s">
        <v>10</v>
      </c>
      <c r="F17583" s="1" t="str">
        <f>"10.14.4.32"</f>
        <v>10.14.4.32</v>
      </c>
      <c r="G17583" s="1" t="str">
        <f>"0026R673"</f>
        <v>0026R673</v>
      </c>
      <c r="H17583" s="1" t="str">
        <f>"돈화로 L1"</f>
        <v>돈화로 L1</v>
      </c>
      <c r="I17583" s="1" t="s">
        <v>17</v>
      </c>
      <c r="J17583" s="1" t="str">
        <f>"5/5"</f>
        <v>5/5</v>
      </c>
      <c r="K17583" s="1" t="str">
        <f>"2026-07-29 13:18:02"</f>
        <v>2026-07-29 13:18:02</v>
      </c>
      <c r="L17583" s="1" t="str">
        <f>"2021-06-30 08:52:26"</f>
        <v>2021-06-30 08:52:26</v>
      </c>
      <c r="M17583" s="1" t="s">
        <v>3</v>
      </c>
      <c r="N17583" s="1" t="s">
        <v>38</v>
      </c>
      <c r="O17583" s="1" t="s">
        <v>46</v>
      </c>
    </row>
    <row r="17584" spans="2:15" x14ac:dyDescent="0.3">
      <c r="B17584" s="1" t="s">
        <v>13</v>
      </c>
      <c r="C17584" s="1" t="str">
        <f>"3차"</f>
        <v>3차</v>
      </c>
      <c r="D17584" s="1" t="str">
        <f>"0026R68230"</f>
        <v>0026R68230</v>
      </c>
      <c r="E17584" s="1" t="s">
        <v>10</v>
      </c>
      <c r="F17584" s="1" t="str">
        <f>"10.11.22.34"</f>
        <v>10.11.22.34</v>
      </c>
      <c r="G17584" s="1" t="str">
        <f>"0026R682"</f>
        <v>0026R682</v>
      </c>
      <c r="H17584" s="1" t="str">
        <f>"초동지 5L2"</f>
        <v>초동지 5L2</v>
      </c>
      <c r="I17584" s="1" t="s">
        <v>8</v>
      </c>
      <c r="J17584" s="1" t="str">
        <f>"13/14"</f>
        <v>13/14</v>
      </c>
      <c r="K17584" s="1" t="str">
        <f>"2026-07-29 13:18:01"</f>
        <v>2026-07-29 13:18:01</v>
      </c>
      <c r="L17584" s="1" t="str">
        <f>"2018-05-15 18:17:14"</f>
        <v>2018-05-15 18:17:14</v>
      </c>
      <c r="M17584" s="1" t="s">
        <v>2</v>
      </c>
      <c r="N17584" s="1" t="s">
        <v>38</v>
      </c>
      <c r="O17584" s="1" t="s">
        <v>46</v>
      </c>
    </row>
    <row r="17585" spans="2:15" x14ac:dyDescent="0.3">
      <c r="B17585" s="1" t="s">
        <v>13</v>
      </c>
      <c r="C17585" s="1" t="str">
        <f>"3차"</f>
        <v>3차</v>
      </c>
      <c r="D17585" s="1" t="str">
        <f>"0026R70339"</f>
        <v>0026R70339</v>
      </c>
      <c r="E17585" s="1" t="s">
        <v>10</v>
      </c>
      <c r="F17585" s="1" t="str">
        <f>"10.11.21.186"</f>
        <v>10.11.21.186</v>
      </c>
      <c r="G17585" s="1" t="str">
        <f>"0026R703"</f>
        <v>0026R703</v>
      </c>
      <c r="H17585" s="1" t="str">
        <f>"초동지 12L2R2"</f>
        <v>초동지 12L2R2</v>
      </c>
      <c r="I17585" s="1" t="s">
        <v>8</v>
      </c>
      <c r="J17585" s="1" t="str">
        <f>"21/21"</f>
        <v>21/21</v>
      </c>
      <c r="K17585" s="1" t="str">
        <f>"2026-07-29 13:18:01"</f>
        <v>2026-07-29 13:18:01</v>
      </c>
      <c r="L17585" s="1" t="str">
        <f>"2018-05-15 16:38:13"</f>
        <v>2018-05-15 16:38:13</v>
      </c>
      <c r="M17585" s="1" t="s">
        <v>2</v>
      </c>
      <c r="N17585" s="1" t="s">
        <v>38</v>
      </c>
      <c r="O17585" s="1" t="s">
        <v>46</v>
      </c>
    </row>
    <row r="17586" spans="2:15" x14ac:dyDescent="0.3">
      <c r="B17586" s="1" t="s">
        <v>13</v>
      </c>
      <c r="C17586" s="1" t="str">
        <f>"3차"</f>
        <v>3차</v>
      </c>
      <c r="D17586" s="1" t="str">
        <f>"0026R71139"</f>
        <v>0026R71139</v>
      </c>
      <c r="E17586" s="1" t="s">
        <v>10</v>
      </c>
      <c r="F17586" s="1" t="str">
        <f>"10.11.21.170"</f>
        <v>10.11.21.170</v>
      </c>
      <c r="G17586" s="1" t="str">
        <f>"0026R711"</f>
        <v>0026R711</v>
      </c>
      <c r="H17586" s="1" t="str">
        <f>"초동지 12L2R1"</f>
        <v>초동지 12L2R1</v>
      </c>
      <c r="I17586" s="1" t="s">
        <v>8</v>
      </c>
      <c r="J17586" s="1" t="str">
        <f>"10/12"</f>
        <v>10/12</v>
      </c>
      <c r="K17586" s="1" t="str">
        <f>"2026-07-29 13:18:01"</f>
        <v>2026-07-29 13:18:01</v>
      </c>
      <c r="L17586" s="1" t="str">
        <f>"2018-05-15 16:40:44"</f>
        <v>2018-05-15 16:40:44</v>
      </c>
      <c r="M17586" s="1" t="s">
        <v>2</v>
      </c>
      <c r="N17586" s="1" t="s">
        <v>38</v>
      </c>
      <c r="O17586" s="1" t="s">
        <v>46</v>
      </c>
    </row>
    <row r="17587" spans="2:15" x14ac:dyDescent="0.3">
      <c r="B17587" s="1" t="s">
        <v>13</v>
      </c>
      <c r="C17587" s="1" t="str">
        <f>"3차"</f>
        <v>3차</v>
      </c>
      <c r="D17587" s="1" t="str">
        <f>"0026R71231"</f>
        <v>0026R71231</v>
      </c>
      <c r="E17587" s="1" t="s">
        <v>10</v>
      </c>
      <c r="F17587" s="1" t="str">
        <f>"10.11.21.179"</f>
        <v>10.11.21.179</v>
      </c>
      <c r="G17587" s="1" t="str">
        <f>"0026R712"</f>
        <v>0026R712</v>
      </c>
      <c r="H17587" s="1" t="str">
        <f>"초동지 12L2R2H1"</f>
        <v>초동지 12L2R2H1</v>
      </c>
      <c r="I17587" s="1" t="s">
        <v>8</v>
      </c>
      <c r="J17587" s="1" t="str">
        <f>"11/11"</f>
        <v>11/11</v>
      </c>
      <c r="K17587" s="1" t="str">
        <f>"2026-07-29 13:18:00"</f>
        <v>2026-07-29 13:18:00</v>
      </c>
      <c r="L17587" s="1" t="str">
        <f>"2018-06-15 16:08:12"</f>
        <v>2018-06-15 16:08:12</v>
      </c>
      <c r="M17587" s="1" t="s">
        <v>2</v>
      </c>
      <c r="N17587" s="1" t="s">
        <v>38</v>
      </c>
      <c r="O17587" s="1" t="s">
        <v>46</v>
      </c>
    </row>
    <row r="17588" spans="2:15" x14ac:dyDescent="0.3">
      <c r="B17588" s="1" t="s">
        <v>13</v>
      </c>
      <c r="C17588" s="1" t="str">
        <f>"3차"</f>
        <v>3차</v>
      </c>
      <c r="D17588" s="1" t="str">
        <f>"0026R72239"</f>
        <v>0026R72239</v>
      </c>
      <c r="E17588" s="1" t="s">
        <v>10</v>
      </c>
      <c r="F17588" s="1" t="str">
        <f>"10.11.21.194"</f>
        <v>10.11.21.194</v>
      </c>
      <c r="G17588" s="1" t="str">
        <f>"0026R722"</f>
        <v>0026R722</v>
      </c>
      <c r="H17588" s="1" t="str">
        <f>"초동지 12L3"</f>
        <v>초동지 12L3</v>
      </c>
      <c r="I17588" s="1" t="s">
        <v>8</v>
      </c>
      <c r="J17588" s="1" t="str">
        <f>"7/7"</f>
        <v>7/7</v>
      </c>
      <c r="K17588" s="1" t="str">
        <f t="shared" ref="K17588:K17598" si="867">"2026-07-29 13:18:01"</f>
        <v>2026-07-29 13:18:01</v>
      </c>
      <c r="L17588" s="1" t="str">
        <f>"2018-05-15 16:38:58"</f>
        <v>2018-05-15 16:38:58</v>
      </c>
      <c r="M17588" s="1" t="s">
        <v>2</v>
      </c>
      <c r="N17588" s="1" t="s">
        <v>38</v>
      </c>
      <c r="O17588" s="1" t="s">
        <v>46</v>
      </c>
    </row>
    <row r="17589" spans="2:15" x14ac:dyDescent="0.3">
      <c r="B17589" s="1" t="s">
        <v>13</v>
      </c>
      <c r="C17589" s="1" t="str">
        <f>"4차"</f>
        <v>4차</v>
      </c>
      <c r="D17589" s="1" t="str">
        <f>"0026R73239"</f>
        <v>0026R73239</v>
      </c>
      <c r="E17589" s="1" t="s">
        <v>10</v>
      </c>
      <c r="F17589" s="1" t="str">
        <f>"10.11.18.82"</f>
        <v>10.11.18.82</v>
      </c>
      <c r="G17589" s="1" t="str">
        <f>"0026R732"</f>
        <v>0026R732</v>
      </c>
      <c r="H17589" s="1" t="str">
        <f>"인현지 14L1"</f>
        <v>인현지 14L1</v>
      </c>
      <c r="I17589" s="1" t="s">
        <v>8</v>
      </c>
      <c r="J17589" s="1" t="str">
        <f>"23/23"</f>
        <v>23/23</v>
      </c>
      <c r="K17589" s="1" t="str">
        <f t="shared" si="867"/>
        <v>2026-07-29 13:18:01</v>
      </c>
      <c r="L17589" s="1" t="str">
        <f>"2018-03-12 17:44:14"</f>
        <v>2018-03-12 17:44:14</v>
      </c>
      <c r="M17589" s="1" t="s">
        <v>2</v>
      </c>
      <c r="N17589" s="1" t="s">
        <v>38</v>
      </c>
      <c r="O17589" s="1" t="s">
        <v>46</v>
      </c>
    </row>
    <row r="17590" spans="2:15" x14ac:dyDescent="0.3">
      <c r="B17590" s="1" t="s">
        <v>13</v>
      </c>
      <c r="C17590" s="1" t="str">
        <f>"4차"</f>
        <v>4차</v>
      </c>
      <c r="D17590" s="1" t="str">
        <f>"0026R74239"</f>
        <v>0026R74239</v>
      </c>
      <c r="E17590" s="1" t="s">
        <v>10</v>
      </c>
      <c r="F17590" s="1" t="str">
        <f>"10.11.18.66"</f>
        <v>10.11.18.66</v>
      </c>
      <c r="G17590" s="1" t="str">
        <f>"0026R742"</f>
        <v>0026R742</v>
      </c>
      <c r="H17590" s="1" t="str">
        <f>"인현지 13"</f>
        <v>인현지 13</v>
      </c>
      <c r="I17590" s="1" t="s">
        <v>8</v>
      </c>
      <c r="J17590" s="1" t="str">
        <f>"4/4"</f>
        <v>4/4</v>
      </c>
      <c r="K17590" s="1" t="str">
        <f t="shared" si="867"/>
        <v>2026-07-29 13:18:01</v>
      </c>
      <c r="L17590" s="1" t="str">
        <f>"2018-03-23 19:43:14"</f>
        <v>2018-03-23 19:43:14</v>
      </c>
      <c r="M17590" s="1" t="s">
        <v>2</v>
      </c>
      <c r="N17590" s="1" t="s">
        <v>38</v>
      </c>
      <c r="O17590" s="1" t="s">
        <v>46</v>
      </c>
    </row>
    <row r="17591" spans="2:15" x14ac:dyDescent="0.3">
      <c r="B17591" s="1" t="s">
        <v>13</v>
      </c>
      <c r="C17591" s="1" t="str">
        <f>"3차"</f>
        <v>3차</v>
      </c>
      <c r="D17591" s="1" t="str">
        <f>"0026R75139"</f>
        <v>0026R75139</v>
      </c>
      <c r="E17591" s="1" t="s">
        <v>10</v>
      </c>
      <c r="F17591" s="1" t="str">
        <f>"10.11.18.50"</f>
        <v>10.11.18.50</v>
      </c>
      <c r="G17591" s="1" t="str">
        <f>"0026R751"</f>
        <v>0026R751</v>
      </c>
      <c r="H17591" s="1" t="str">
        <f>"인현지 10"</f>
        <v>인현지 10</v>
      </c>
      <c r="I17591" s="1" t="s">
        <v>8</v>
      </c>
      <c r="J17591" s="1" t="str">
        <f>"6/6"</f>
        <v>6/6</v>
      </c>
      <c r="K17591" s="1" t="str">
        <f t="shared" si="867"/>
        <v>2026-07-29 13:18:01</v>
      </c>
      <c r="L17591" s="1" t="str">
        <f>"2018-05-15 11:51:56"</f>
        <v>2018-05-15 11:51:56</v>
      </c>
      <c r="M17591" s="1" t="s">
        <v>2</v>
      </c>
      <c r="N17591" s="1" t="s">
        <v>38</v>
      </c>
      <c r="O17591" s="1" t="s">
        <v>46</v>
      </c>
    </row>
    <row r="17592" spans="2:15" x14ac:dyDescent="0.3">
      <c r="B17592" s="1" t="s">
        <v>13</v>
      </c>
      <c r="C17592" s="1" t="str">
        <f>"4차"</f>
        <v>4차</v>
      </c>
      <c r="D17592" s="1" t="str">
        <f>"0026R75239"</f>
        <v>0026R75239</v>
      </c>
      <c r="E17592" s="1" t="s">
        <v>10</v>
      </c>
      <c r="F17592" s="1" t="str">
        <f>"10.11.18.58"</f>
        <v>10.11.18.58</v>
      </c>
      <c r="G17592" s="1" t="str">
        <f>"0026R752"</f>
        <v>0026R752</v>
      </c>
      <c r="H17592" s="1" t="str">
        <f>"인현지 11"</f>
        <v>인현지 11</v>
      </c>
      <c r="I17592" s="1" t="s">
        <v>8</v>
      </c>
      <c r="J17592" s="1" t="str">
        <f>"10/13"</f>
        <v>10/13</v>
      </c>
      <c r="K17592" s="1" t="str">
        <f t="shared" si="867"/>
        <v>2026-07-29 13:18:01</v>
      </c>
      <c r="L17592" s="1" t="str">
        <f>"2018-03-10 12:30:27"</f>
        <v>2018-03-10 12:30:27</v>
      </c>
      <c r="M17592" s="1" t="s">
        <v>2</v>
      </c>
      <c r="N17592" s="1" t="s">
        <v>38</v>
      </c>
      <c r="O17592" s="1" t="s">
        <v>46</v>
      </c>
    </row>
    <row r="17593" spans="2:15" x14ac:dyDescent="0.3">
      <c r="B17593" s="1" t="s">
        <v>13</v>
      </c>
      <c r="C17593" s="1" t="str">
        <f>"3차"</f>
        <v>3차</v>
      </c>
      <c r="D17593" s="1" t="str">
        <f>"0026R75339"</f>
        <v>0026R75339</v>
      </c>
      <c r="E17593" s="1" t="s">
        <v>10</v>
      </c>
      <c r="F17593" s="1" t="str">
        <f>"10.11.37.114"</f>
        <v>10.11.37.114</v>
      </c>
      <c r="G17593" s="1" t="str">
        <f>"0026R753"</f>
        <v>0026R753</v>
      </c>
      <c r="H17593" s="1" t="str">
        <f>"인현지 11R1"</f>
        <v>인현지 11R1</v>
      </c>
      <c r="I17593" s="1" t="s">
        <v>8</v>
      </c>
      <c r="J17593" s="1" t="str">
        <f>"3/4"</f>
        <v>3/4</v>
      </c>
      <c r="K17593" s="1" t="str">
        <f t="shared" si="867"/>
        <v>2026-07-29 13:18:01</v>
      </c>
      <c r="L17593" s="1" t="str">
        <f>"2018-05-15 11:39:25"</f>
        <v>2018-05-15 11:39:25</v>
      </c>
      <c r="M17593" s="1" t="s">
        <v>2</v>
      </c>
      <c r="N17593" s="1" t="s">
        <v>38</v>
      </c>
      <c r="O17593" s="1" t="s">
        <v>46</v>
      </c>
    </row>
    <row r="17594" spans="2:15" x14ac:dyDescent="0.3">
      <c r="B17594" s="1" t="s">
        <v>13</v>
      </c>
      <c r="C17594" s="1" t="str">
        <f>"4차"</f>
        <v>4차</v>
      </c>
      <c r="D17594" s="1" t="str">
        <f>"0026R75439"</f>
        <v>0026R75439</v>
      </c>
      <c r="E17594" s="1" t="s">
        <v>10</v>
      </c>
      <c r="F17594" s="1" t="str">
        <f>"10.11.37.122"</f>
        <v>10.11.37.122</v>
      </c>
      <c r="G17594" s="1" t="str">
        <f>"0026R754"</f>
        <v>0026R754</v>
      </c>
      <c r="H17594" s="1" t="str">
        <f>"인현지 11R3"</f>
        <v>인현지 11R3</v>
      </c>
      <c r="I17594" s="1" t="s">
        <v>8</v>
      </c>
      <c r="J17594" s="1" t="str">
        <f>"12/14"</f>
        <v>12/14</v>
      </c>
      <c r="K17594" s="1" t="str">
        <f t="shared" si="867"/>
        <v>2026-07-29 13:18:01</v>
      </c>
      <c r="L17594" s="1" t="str">
        <f>"2018-05-15 11:50:41"</f>
        <v>2018-05-15 11:50:41</v>
      </c>
      <c r="M17594" s="1" t="s">
        <v>2</v>
      </c>
      <c r="N17594" s="1" t="s">
        <v>38</v>
      </c>
      <c r="O17594" s="1" t="s">
        <v>46</v>
      </c>
    </row>
    <row r="17595" spans="2:15" x14ac:dyDescent="0.3">
      <c r="B17595" s="1" t="s">
        <v>13</v>
      </c>
      <c r="C17595" s="1" t="str">
        <f>"4차"</f>
        <v>4차</v>
      </c>
      <c r="D17595" s="1" t="str">
        <f>"0026R77139"</f>
        <v>0026R77139</v>
      </c>
      <c r="E17595" s="1" t="s">
        <v>10</v>
      </c>
      <c r="F17595" s="1" t="str">
        <f>"10.11.43.226"</f>
        <v>10.11.43.226</v>
      </c>
      <c r="G17595" s="1" t="str">
        <f>"0026R771"</f>
        <v>0026R771</v>
      </c>
      <c r="H17595" s="1" t="str">
        <f>"인현지 8H1R1"</f>
        <v>인현지 8H1R1</v>
      </c>
      <c r="I17595" s="1" t="s">
        <v>8</v>
      </c>
      <c r="J17595" s="1" t="str">
        <f>"22/39"</f>
        <v>22/39</v>
      </c>
      <c r="K17595" s="1" t="str">
        <f t="shared" si="867"/>
        <v>2026-07-29 13:18:01</v>
      </c>
      <c r="L17595" s="1" t="str">
        <f>"2018-05-15 18:02:44"</f>
        <v>2018-05-15 18:02:44</v>
      </c>
      <c r="M17595" s="1" t="s">
        <v>2</v>
      </c>
      <c r="N17595" s="1" t="s">
        <v>38</v>
      </c>
      <c r="O17595" s="1" t="s">
        <v>46</v>
      </c>
    </row>
    <row r="17596" spans="2:15" x14ac:dyDescent="0.3">
      <c r="B17596" s="1" t="s">
        <v>13</v>
      </c>
      <c r="C17596" s="1" t="str">
        <f>"4차"</f>
        <v>4차</v>
      </c>
      <c r="D17596" s="1" t="str">
        <f>"0026R78239"</f>
        <v>0026R78239</v>
      </c>
      <c r="E17596" s="1" t="s">
        <v>10</v>
      </c>
      <c r="F17596" s="1" t="str">
        <f>"10.11.24.210"</f>
        <v>10.11.24.210</v>
      </c>
      <c r="G17596" s="1" t="str">
        <f>"0026R782"</f>
        <v>0026R782</v>
      </c>
      <c r="H17596" s="1" t="str">
        <f>"인현지 6R1L1"</f>
        <v>인현지 6R1L1</v>
      </c>
      <c r="I17596" s="1" t="s">
        <v>8</v>
      </c>
      <c r="J17596" s="1" t="str">
        <f>"13/16"</f>
        <v>13/16</v>
      </c>
      <c r="K17596" s="1" t="str">
        <f t="shared" si="867"/>
        <v>2026-07-29 13:18:01</v>
      </c>
      <c r="L17596" s="1" t="str">
        <f>"2018-05-15 17:59:15"</f>
        <v>2018-05-15 17:59:15</v>
      </c>
      <c r="M17596" s="1" t="s">
        <v>2</v>
      </c>
      <c r="N17596" s="1" t="s">
        <v>38</v>
      </c>
      <c r="O17596" s="1" t="s">
        <v>46</v>
      </c>
    </row>
    <row r="17597" spans="2:15" x14ac:dyDescent="0.3">
      <c r="B17597" s="1" t="s">
        <v>13</v>
      </c>
      <c r="C17597" s="1" t="str">
        <f>"4차"</f>
        <v>4차</v>
      </c>
      <c r="D17597" s="1" t="str">
        <f>"0026R79139"</f>
        <v>0026R79139</v>
      </c>
      <c r="E17597" s="1" t="s">
        <v>10</v>
      </c>
      <c r="F17597" s="1" t="str">
        <f>"10.11.22.42"</f>
        <v>10.11.22.42</v>
      </c>
      <c r="G17597" s="1" t="str">
        <f>"0026R791"</f>
        <v>0026R791</v>
      </c>
      <c r="H17597" s="1" t="str">
        <f>"초동지 5L3"</f>
        <v>초동지 5L3</v>
      </c>
      <c r="I17597" s="1" t="s">
        <v>8</v>
      </c>
      <c r="J17597" s="1" t="str">
        <f>"17/17"</f>
        <v>17/17</v>
      </c>
      <c r="K17597" s="1" t="str">
        <f t="shared" si="867"/>
        <v>2026-07-29 13:18:01</v>
      </c>
      <c r="L17597" s="1" t="str">
        <f>"2018-05-15 18:06:29"</f>
        <v>2018-05-15 18:06:29</v>
      </c>
      <c r="M17597" s="1" t="s">
        <v>2</v>
      </c>
      <c r="N17597" s="1" t="s">
        <v>38</v>
      </c>
      <c r="O17597" s="1" t="s">
        <v>46</v>
      </c>
    </row>
    <row r="17598" spans="2:15" x14ac:dyDescent="0.3">
      <c r="B17598" s="1" t="s">
        <v>13</v>
      </c>
      <c r="C17598" s="1" t="str">
        <f>"4차"</f>
        <v>4차</v>
      </c>
      <c r="D17598" s="1" t="str">
        <f>"0026R79239"</f>
        <v>0026R79239</v>
      </c>
      <c r="E17598" s="1" t="s">
        <v>10</v>
      </c>
      <c r="F17598" s="1" t="str">
        <f>"10.11.41.82"</f>
        <v>10.11.41.82</v>
      </c>
      <c r="G17598" s="1" t="str">
        <f>"0026R792"</f>
        <v>0026R792</v>
      </c>
      <c r="H17598" s="1" t="str">
        <f>"초동지 5L4"</f>
        <v>초동지 5L4</v>
      </c>
      <c r="I17598" s="1" t="s">
        <v>8</v>
      </c>
      <c r="J17598" s="1" t="str">
        <f>"19/22"</f>
        <v>19/22</v>
      </c>
      <c r="K17598" s="1" t="str">
        <f t="shared" si="867"/>
        <v>2026-07-29 13:18:01</v>
      </c>
      <c r="L17598" s="1" t="str">
        <f>"2018-05-15 18:13:30"</f>
        <v>2018-05-15 18:13:30</v>
      </c>
      <c r="M17598" s="1" t="s">
        <v>2</v>
      </c>
      <c r="N17598" s="1" t="s">
        <v>38</v>
      </c>
      <c r="O17598" s="1" t="s">
        <v>46</v>
      </c>
    </row>
    <row r="17599" spans="2:15" x14ac:dyDescent="0.3">
      <c r="B17599" s="1" t="s">
        <v>13</v>
      </c>
      <c r="C17599" s="1" t="str">
        <f>"3차"</f>
        <v>3차</v>
      </c>
      <c r="D17599" s="1" t="str">
        <f>"0026R79431"</f>
        <v>0026R79431</v>
      </c>
      <c r="E17599" s="1" t="s">
        <v>10</v>
      </c>
      <c r="F17599" s="1" t="str">
        <f>"10.11.22.35"</f>
        <v>10.11.22.35</v>
      </c>
      <c r="G17599" s="1" t="str">
        <f>"0026R794"</f>
        <v>0026R794</v>
      </c>
      <c r="H17599" s="1" t="str">
        <f>"초동지 5L3H1"</f>
        <v>초동지 5L3H1</v>
      </c>
      <c r="I17599" s="1" t="s">
        <v>8</v>
      </c>
      <c r="J17599" s="1" t="str">
        <f>"4/4"</f>
        <v>4/4</v>
      </c>
      <c r="K17599" s="1" t="str">
        <f>"2026-07-29 13:18:00"</f>
        <v>2026-07-29 13:18:00</v>
      </c>
      <c r="L17599" s="1" t="str">
        <f>"2018-05-24 13:04:43"</f>
        <v>2018-05-24 13:04:43</v>
      </c>
      <c r="M17599" s="1" t="s">
        <v>2</v>
      </c>
      <c r="N17599" s="1" t="s">
        <v>38</v>
      </c>
      <c r="O17599" s="1" t="s">
        <v>46</v>
      </c>
    </row>
    <row r="17600" spans="2:15" x14ac:dyDescent="0.3">
      <c r="B17600" s="1" t="s">
        <v>13</v>
      </c>
      <c r="C17600" s="1" t="str">
        <f>"4차"</f>
        <v>4차</v>
      </c>
      <c r="D17600" s="1" t="str">
        <f>"0026R80330"</f>
        <v>0026R80330</v>
      </c>
      <c r="E17600" s="1" t="s">
        <v>10</v>
      </c>
      <c r="F17600" s="1" t="str">
        <f>"10.11.21.178"</f>
        <v>10.11.21.178</v>
      </c>
      <c r="G17600" s="1" t="str">
        <f>"0026R803"</f>
        <v>0026R803</v>
      </c>
      <c r="H17600" s="1" t="str">
        <f>"초동지 12L2R2L1"</f>
        <v>초동지 12L2R2L1</v>
      </c>
      <c r="I17600" s="1" t="s">
        <v>8</v>
      </c>
      <c r="J17600" s="1" t="str">
        <f>"4/4"</f>
        <v>4/4</v>
      </c>
      <c r="K17600" s="1" t="str">
        <f>"2026-07-29 13:18:00"</f>
        <v>2026-07-29 13:18:00</v>
      </c>
      <c r="L17600" s="1" t="str">
        <f>"2018-06-15 16:14:59"</f>
        <v>2018-06-15 16:14:59</v>
      </c>
      <c r="M17600" s="1" t="s">
        <v>2</v>
      </c>
      <c r="N17600" s="1" t="s">
        <v>38</v>
      </c>
      <c r="O17600" s="1" t="s">
        <v>46</v>
      </c>
    </row>
    <row r="17601" spans="2:15" x14ac:dyDescent="0.3">
      <c r="B17601" s="1" t="s">
        <v>13</v>
      </c>
      <c r="C17601" s="1" t="str">
        <f>"3차"</f>
        <v>3차</v>
      </c>
      <c r="D17601" s="1" t="str">
        <f>"0026R81539"</f>
        <v>0026R81539</v>
      </c>
      <c r="E17601" s="1" t="s">
        <v>10</v>
      </c>
      <c r="F17601" s="1" t="str">
        <f>"10.11.22.18"</f>
        <v>10.11.22.18</v>
      </c>
      <c r="G17601" s="1" t="str">
        <f>"0026R815"</f>
        <v>0026R815</v>
      </c>
      <c r="H17601" s="1" t="str">
        <f>"초동지 12L4R1"</f>
        <v>초동지 12L4R1</v>
      </c>
      <c r="I17601" s="1" t="s">
        <v>8</v>
      </c>
      <c r="J17601" s="1" t="str">
        <f>"22/24"</f>
        <v>22/24</v>
      </c>
      <c r="K17601" s="1" t="str">
        <f t="shared" ref="K17601:K17631" si="868">"2026-07-29 13:18:01"</f>
        <v>2026-07-29 13:18:01</v>
      </c>
      <c r="L17601" s="1" t="str">
        <f>"2018-05-15 17:57:59"</f>
        <v>2018-05-15 17:57:59</v>
      </c>
      <c r="M17601" s="1" t="s">
        <v>2</v>
      </c>
      <c r="N17601" s="1" t="s">
        <v>38</v>
      </c>
      <c r="O17601" s="1" t="s">
        <v>46</v>
      </c>
    </row>
    <row r="17602" spans="2:15" x14ac:dyDescent="0.3">
      <c r="B17602" s="1" t="s">
        <v>13</v>
      </c>
      <c r="C17602" s="1" t="str">
        <f>"3차"</f>
        <v>3차</v>
      </c>
      <c r="D17602" s="1" t="str">
        <f>"0026R81639"</f>
        <v>0026R81639</v>
      </c>
      <c r="E17602" s="1" t="s">
        <v>10</v>
      </c>
      <c r="F17602" s="1" t="str">
        <f>"10.11.41.50"</f>
        <v>10.11.41.50</v>
      </c>
      <c r="G17602" s="1" t="str">
        <f>"0026R816"</f>
        <v>0026R816</v>
      </c>
      <c r="H17602" s="1" t="str">
        <f>"초동지 12L4R2"</f>
        <v>초동지 12L4R2</v>
      </c>
      <c r="I17602" s="1" t="s">
        <v>8</v>
      </c>
      <c r="J17602" s="1" t="str">
        <f>"7/7"</f>
        <v>7/7</v>
      </c>
      <c r="K17602" s="1" t="str">
        <f t="shared" si="868"/>
        <v>2026-07-29 13:18:01</v>
      </c>
      <c r="L17602" s="1" t="str">
        <f>"2018-05-15 17:57:15"</f>
        <v>2018-05-15 17:57:15</v>
      </c>
      <c r="M17602" s="1" t="s">
        <v>2</v>
      </c>
      <c r="N17602" s="1" t="s">
        <v>38</v>
      </c>
      <c r="O17602" s="1" t="s">
        <v>46</v>
      </c>
    </row>
    <row r="17603" spans="2:15" x14ac:dyDescent="0.3">
      <c r="B17603" s="1" t="s">
        <v>13</v>
      </c>
      <c r="C17603" s="1" t="str">
        <f>"3차"</f>
        <v>3차</v>
      </c>
      <c r="D17603" s="1" t="str">
        <f>"0026R83239"</f>
        <v>0026R83239</v>
      </c>
      <c r="E17603" s="1" t="s">
        <v>10</v>
      </c>
      <c r="F17603" s="1" t="str">
        <f>"10.11.21.210"</f>
        <v>10.11.21.210</v>
      </c>
      <c r="G17603" s="1" t="str">
        <f>"0026R832"</f>
        <v>0026R832</v>
      </c>
      <c r="H17603" s="1" t="str">
        <f>"초동지 12L4L3"</f>
        <v>초동지 12L4L3</v>
      </c>
      <c r="I17603" s="1" t="s">
        <v>8</v>
      </c>
      <c r="J17603" s="1" t="str">
        <f>"32/33"</f>
        <v>32/33</v>
      </c>
      <c r="K17603" s="1" t="str">
        <f t="shared" si="868"/>
        <v>2026-07-29 13:18:01</v>
      </c>
      <c r="L17603" s="1" t="str">
        <f>"2018-05-15 17:46:29"</f>
        <v>2018-05-15 17:46:29</v>
      </c>
      <c r="M17603" s="1" t="s">
        <v>2</v>
      </c>
      <c r="N17603" s="1" t="s">
        <v>38</v>
      </c>
      <c r="O17603" s="1" t="s">
        <v>46</v>
      </c>
    </row>
    <row r="17604" spans="2:15" x14ac:dyDescent="0.3">
      <c r="B17604" s="1" t="s">
        <v>13</v>
      </c>
      <c r="C17604" s="1" t="str">
        <f>"4차"</f>
        <v>4차</v>
      </c>
      <c r="D17604" s="1" t="str">
        <f>"0026R85139"</f>
        <v>0026R85139</v>
      </c>
      <c r="E17604" s="1" t="s">
        <v>10</v>
      </c>
      <c r="F17604" s="1" t="str">
        <f>"10.11.41.42"</f>
        <v>10.11.41.42</v>
      </c>
      <c r="G17604" s="1" t="str">
        <f>"0026R851"</f>
        <v>0026R851</v>
      </c>
      <c r="H17604" s="1" t="str">
        <f>"초동지 12L4L8"</f>
        <v>초동지 12L4L8</v>
      </c>
      <c r="I17604" s="1" t="s">
        <v>8</v>
      </c>
      <c r="J17604" s="1" t="str">
        <f>"15/15"</f>
        <v>15/15</v>
      </c>
      <c r="K17604" s="1" t="str">
        <f t="shared" si="868"/>
        <v>2026-07-29 13:18:01</v>
      </c>
      <c r="L17604" s="1" t="str">
        <f>"2018-05-15 18:15:29"</f>
        <v>2018-05-15 18:15:29</v>
      </c>
      <c r="M17604" s="1" t="s">
        <v>2</v>
      </c>
      <c r="N17604" s="1" t="s">
        <v>38</v>
      </c>
      <c r="O17604" s="1" t="s">
        <v>46</v>
      </c>
    </row>
    <row r="17605" spans="2:15" x14ac:dyDescent="0.3">
      <c r="B17605" s="1" t="s">
        <v>13</v>
      </c>
      <c r="C17605" s="1" t="str">
        <f>"4차"</f>
        <v>4차</v>
      </c>
      <c r="D17605" s="1" t="str">
        <f>"0026R86439"</f>
        <v>0026R86439</v>
      </c>
      <c r="E17605" s="1" t="s">
        <v>10</v>
      </c>
      <c r="F17605" s="1" t="str">
        <f>"10.11.37.98"</f>
        <v>10.11.37.98</v>
      </c>
      <c r="G17605" s="1" t="str">
        <f>"0026R864"</f>
        <v>0026R864</v>
      </c>
      <c r="H17605" s="1" t="str">
        <f>"인현지 10H1"</f>
        <v>인현지 10H1</v>
      </c>
      <c r="I17605" s="1" t="s">
        <v>8</v>
      </c>
      <c r="J17605" s="1" t="str">
        <f>"17/18"</f>
        <v>17/18</v>
      </c>
      <c r="K17605" s="1" t="str">
        <f t="shared" si="868"/>
        <v>2026-07-29 13:18:01</v>
      </c>
      <c r="L17605" s="1" t="str">
        <f>"2018-05-15 11:38:41"</f>
        <v>2018-05-15 11:38:41</v>
      </c>
      <c r="M17605" s="1" t="s">
        <v>2</v>
      </c>
      <c r="N17605" s="1" t="s">
        <v>38</v>
      </c>
      <c r="O17605" s="1" t="s">
        <v>46</v>
      </c>
    </row>
    <row r="17606" spans="2:15" x14ac:dyDescent="0.3">
      <c r="B17606" s="1" t="s">
        <v>13</v>
      </c>
      <c r="C17606" s="1" t="str">
        <f>"3차"</f>
        <v>3차</v>
      </c>
      <c r="D17606" s="1" t="str">
        <f>"0026R87139"</f>
        <v>0026R87139</v>
      </c>
      <c r="E17606" s="1" t="s">
        <v>10</v>
      </c>
      <c r="F17606" s="1" t="str">
        <f>"10.11.37.82"</f>
        <v>10.11.37.82</v>
      </c>
      <c r="G17606" s="1" t="str">
        <f>"0026R871"</f>
        <v>0026R871</v>
      </c>
      <c r="H17606" s="1" t="str">
        <f>"인현지 7"</f>
        <v>인현지 7</v>
      </c>
      <c r="I17606" s="1" t="s">
        <v>8</v>
      </c>
      <c r="J17606" s="1" t="str">
        <f>"9/9"</f>
        <v>9/9</v>
      </c>
      <c r="K17606" s="1" t="str">
        <f t="shared" si="868"/>
        <v>2026-07-29 13:18:01</v>
      </c>
      <c r="L17606" s="1" t="str">
        <f>"2018-05-15 16:28:43"</f>
        <v>2018-05-15 16:28:43</v>
      </c>
      <c r="M17606" s="1" t="s">
        <v>2</v>
      </c>
      <c r="N17606" s="1" t="s">
        <v>38</v>
      </c>
      <c r="O17606" s="1" t="s">
        <v>46</v>
      </c>
    </row>
    <row r="17607" spans="2:15" x14ac:dyDescent="0.3">
      <c r="B17607" s="1" t="s">
        <v>13</v>
      </c>
      <c r="C17607" s="1" t="str">
        <f>"3차"</f>
        <v>3차</v>
      </c>
      <c r="D17607" s="1" t="str">
        <f>"0026R87239"</f>
        <v>0026R87239</v>
      </c>
      <c r="E17607" s="1" t="s">
        <v>10</v>
      </c>
      <c r="F17607" s="1" t="str">
        <f>"10.11.24.202"</f>
        <v>10.11.24.202</v>
      </c>
      <c r="G17607" s="1" t="str">
        <f>"0026R872"</f>
        <v>0026R872</v>
      </c>
      <c r="H17607" s="1" t="str">
        <f>"인현지 8H1"</f>
        <v>인현지 8H1</v>
      </c>
      <c r="I17607" s="1" t="s">
        <v>8</v>
      </c>
      <c r="J17607" s="1" t="str">
        <f>"9/9"</f>
        <v>9/9</v>
      </c>
      <c r="K17607" s="1" t="str">
        <f t="shared" si="868"/>
        <v>2026-07-29 13:18:01</v>
      </c>
      <c r="L17607" s="1" t="str">
        <f>"2018-05-15 17:58:29"</f>
        <v>2018-05-15 17:58:29</v>
      </c>
      <c r="M17607" s="1" t="s">
        <v>2</v>
      </c>
      <c r="N17607" s="1" t="s">
        <v>38</v>
      </c>
      <c r="O17607" s="1" t="s">
        <v>46</v>
      </c>
    </row>
    <row r="17608" spans="2:15" x14ac:dyDescent="0.3">
      <c r="B17608" s="1" t="s">
        <v>13</v>
      </c>
      <c r="C17608" s="1" t="str">
        <f>"4차"</f>
        <v>4차</v>
      </c>
      <c r="D17608" s="1" t="str">
        <f>"0026R87339"</f>
        <v>0026R87339</v>
      </c>
      <c r="E17608" s="1" t="s">
        <v>10</v>
      </c>
      <c r="F17608" s="1" t="str">
        <f>"10.11.43.218"</f>
        <v>10.11.43.218</v>
      </c>
      <c r="G17608" s="1" t="str">
        <f>"0026R873"</f>
        <v>0026R873</v>
      </c>
      <c r="H17608" s="1" t="str">
        <f>"인현지 7L1"</f>
        <v>인현지 7L1</v>
      </c>
      <c r="I17608" s="1" t="s">
        <v>8</v>
      </c>
      <c r="J17608" s="1" t="str">
        <f>"11/16"</f>
        <v>11/16</v>
      </c>
      <c r="K17608" s="1" t="str">
        <f t="shared" si="868"/>
        <v>2026-07-29 13:18:01</v>
      </c>
      <c r="L17608" s="1" t="str">
        <f>"2018-05-15 17:41:44"</f>
        <v>2018-05-15 17:41:44</v>
      </c>
      <c r="M17608" s="1" t="s">
        <v>2</v>
      </c>
      <c r="N17608" s="1" t="s">
        <v>38</v>
      </c>
      <c r="O17608" s="1" t="s">
        <v>46</v>
      </c>
    </row>
    <row r="17609" spans="2:15" x14ac:dyDescent="0.3">
      <c r="B17609" s="1" t="s">
        <v>13</v>
      </c>
      <c r="C17609" s="1" t="str">
        <f t="shared" ref="C17609:C17618" si="869">"3차"</f>
        <v>3차</v>
      </c>
      <c r="D17609" s="1" t="str">
        <f>"0026R88139"</f>
        <v>0026R88139</v>
      </c>
      <c r="E17609" s="1" t="s">
        <v>10</v>
      </c>
      <c r="F17609" s="1" t="str">
        <f>"10.11.37.74"</f>
        <v>10.11.37.74</v>
      </c>
      <c r="G17609" s="1" t="str">
        <f>"0026R881"</f>
        <v>0026R881</v>
      </c>
      <c r="H17609" s="1" t="str">
        <f>"인현지 6"</f>
        <v>인현지 6</v>
      </c>
      <c r="I17609" s="1" t="s">
        <v>8</v>
      </c>
      <c r="J17609" s="1" t="str">
        <f>"10/10"</f>
        <v>10/10</v>
      </c>
      <c r="K17609" s="1" t="str">
        <f t="shared" si="868"/>
        <v>2026-07-29 13:18:01</v>
      </c>
      <c r="L17609" s="1" t="str">
        <f>"2018-03-10 09:03:25"</f>
        <v>2018-03-10 09:03:25</v>
      </c>
      <c r="M17609" s="1" t="s">
        <v>2</v>
      </c>
      <c r="N17609" s="1" t="s">
        <v>38</v>
      </c>
      <c r="O17609" s="1" t="s">
        <v>46</v>
      </c>
    </row>
    <row r="17610" spans="2:15" x14ac:dyDescent="0.3">
      <c r="B17610" s="1" t="s">
        <v>13</v>
      </c>
      <c r="C17610" s="1" t="str">
        <f t="shared" si="869"/>
        <v>3차</v>
      </c>
      <c r="D17610" s="1" t="str">
        <f>"0026R88239"</f>
        <v>0026R88239</v>
      </c>
      <c r="E17610" s="1" t="s">
        <v>10</v>
      </c>
      <c r="F17610" s="1" t="str">
        <f>"10.11.43.234"</f>
        <v>10.11.43.234</v>
      </c>
      <c r="G17610" s="1" t="str">
        <f>"0026R882"</f>
        <v>0026R882</v>
      </c>
      <c r="H17610" s="1" t="str">
        <f>"인현지 6R1"</f>
        <v>인현지 6R1</v>
      </c>
      <c r="I17610" s="1" t="s">
        <v>8</v>
      </c>
      <c r="J17610" s="1" t="str">
        <f>"7/8"</f>
        <v>7/8</v>
      </c>
      <c r="K17610" s="1" t="str">
        <f t="shared" si="868"/>
        <v>2026-07-29 13:18:01</v>
      </c>
      <c r="L17610" s="1" t="str">
        <f>"2018-05-15 17:50:28"</f>
        <v>2018-05-15 17:50:28</v>
      </c>
      <c r="M17610" s="1" t="s">
        <v>2</v>
      </c>
      <c r="N17610" s="1" t="s">
        <v>38</v>
      </c>
      <c r="O17610" s="1" t="s">
        <v>46</v>
      </c>
    </row>
    <row r="17611" spans="2:15" x14ac:dyDescent="0.3">
      <c r="B17611" s="1" t="s">
        <v>13</v>
      </c>
      <c r="C17611" s="1" t="str">
        <f t="shared" si="869"/>
        <v>3차</v>
      </c>
      <c r="D17611" s="1" t="str">
        <f>"0026R88339"</f>
        <v>0026R88339</v>
      </c>
      <c r="E17611" s="1" t="s">
        <v>10</v>
      </c>
      <c r="F17611" s="1" t="str">
        <f>"10.11.18.34"</f>
        <v>10.11.18.34</v>
      </c>
      <c r="G17611" s="1" t="str">
        <f>"0026R883"</f>
        <v>0026R883</v>
      </c>
      <c r="H17611" s="1" t="str">
        <f>"인현지 5"</f>
        <v>인현지 5</v>
      </c>
      <c r="I17611" s="1" t="s">
        <v>8</v>
      </c>
      <c r="J17611" s="1" t="str">
        <f>"18/18"</f>
        <v>18/18</v>
      </c>
      <c r="K17611" s="1" t="str">
        <f t="shared" si="868"/>
        <v>2026-07-29 13:18:01</v>
      </c>
      <c r="L17611" s="1" t="str">
        <f>"2018-03-10 09:19:09"</f>
        <v>2018-03-10 09:19:09</v>
      </c>
      <c r="M17611" s="1" t="s">
        <v>2</v>
      </c>
      <c r="N17611" s="1" t="s">
        <v>38</v>
      </c>
      <c r="O17611" s="1" t="s">
        <v>46</v>
      </c>
    </row>
    <row r="17612" spans="2:15" x14ac:dyDescent="0.3">
      <c r="B17612" s="1" t="s">
        <v>13</v>
      </c>
      <c r="C17612" s="1" t="str">
        <f t="shared" si="869"/>
        <v>3차</v>
      </c>
      <c r="D17612" s="1" t="str">
        <f>"0026R89139"</f>
        <v>0026R89139</v>
      </c>
      <c r="E17612" s="1" t="s">
        <v>10</v>
      </c>
      <c r="F17612" s="1" t="str">
        <f>"10.11.37.66"</f>
        <v>10.11.37.66</v>
      </c>
      <c r="G17612" s="1" t="str">
        <f>"0026R891"</f>
        <v>0026R891</v>
      </c>
      <c r="H17612" s="1" t="str">
        <f>"인현지 4"</f>
        <v>인현지 4</v>
      </c>
      <c r="I17612" s="1" t="s">
        <v>8</v>
      </c>
      <c r="J17612" s="1" t="str">
        <f>"21/21"</f>
        <v>21/21</v>
      </c>
      <c r="K17612" s="1" t="str">
        <f t="shared" si="868"/>
        <v>2026-07-29 13:18:01</v>
      </c>
      <c r="L17612" s="1" t="str">
        <f>"2018-03-10 09:26:55"</f>
        <v>2018-03-10 09:26:55</v>
      </c>
      <c r="M17612" s="1" t="s">
        <v>2</v>
      </c>
      <c r="N17612" s="1" t="s">
        <v>38</v>
      </c>
      <c r="O17612" s="1" t="s">
        <v>46</v>
      </c>
    </row>
    <row r="17613" spans="2:15" x14ac:dyDescent="0.3">
      <c r="B17613" s="1" t="s">
        <v>13</v>
      </c>
      <c r="C17613" s="1" t="str">
        <f t="shared" si="869"/>
        <v>3차</v>
      </c>
      <c r="D17613" s="1" t="str">
        <f>"0026R89339"</f>
        <v>0026R89339</v>
      </c>
      <c r="E17613" s="1" t="s">
        <v>10</v>
      </c>
      <c r="F17613" s="1" t="str">
        <f>"10.11.21.26"</f>
        <v>10.11.21.26</v>
      </c>
      <c r="G17613" s="1" t="str">
        <f>"0026R893"</f>
        <v>0026R893</v>
      </c>
      <c r="H17613" s="1" t="str">
        <f>"초동지 5L7H1"</f>
        <v>초동지 5L7H1</v>
      </c>
      <c r="I17613" s="1" t="s">
        <v>8</v>
      </c>
      <c r="J17613" s="1" t="str">
        <f>"27/27"</f>
        <v>27/27</v>
      </c>
      <c r="K17613" s="1" t="str">
        <f t="shared" si="868"/>
        <v>2026-07-29 13:18:01</v>
      </c>
      <c r="L17613" s="1" t="str">
        <f>"2018-05-15 18:12:29"</f>
        <v>2018-05-15 18:12:29</v>
      </c>
      <c r="M17613" s="1" t="s">
        <v>2</v>
      </c>
      <c r="N17613" s="1" t="s">
        <v>38</v>
      </c>
      <c r="O17613" s="1" t="s">
        <v>46</v>
      </c>
    </row>
    <row r="17614" spans="2:15" x14ac:dyDescent="0.3">
      <c r="B17614" s="1" t="s">
        <v>13</v>
      </c>
      <c r="C17614" s="1" t="str">
        <f t="shared" si="869"/>
        <v>3차</v>
      </c>
      <c r="D17614" s="1" t="str">
        <f>"0026R91239"</f>
        <v>0026R91239</v>
      </c>
      <c r="E17614" s="1" t="s">
        <v>10</v>
      </c>
      <c r="F17614" s="1" t="str">
        <f>"10.12.137.120"</f>
        <v>10.12.137.120</v>
      </c>
      <c r="G17614" s="1" t="str">
        <f>"0026R912"</f>
        <v>0026R912</v>
      </c>
      <c r="H17614" s="1" t="str">
        <f>"초동지 12L5R1"</f>
        <v>초동지 12L5R1</v>
      </c>
      <c r="I17614" s="1" t="s">
        <v>8</v>
      </c>
      <c r="J17614" s="1" t="str">
        <f>"13/13"</f>
        <v>13/13</v>
      </c>
      <c r="K17614" s="1" t="str">
        <f t="shared" si="868"/>
        <v>2026-07-29 13:18:01</v>
      </c>
      <c r="L17614" s="1" t="str">
        <f>"2018-05-10 13:43:58"</f>
        <v>2018-05-10 13:43:58</v>
      </c>
      <c r="M17614" s="1" t="s">
        <v>0</v>
      </c>
      <c r="N17614" s="1" t="s">
        <v>38</v>
      </c>
      <c r="O17614" s="1" t="s">
        <v>46</v>
      </c>
    </row>
    <row r="17615" spans="2:15" x14ac:dyDescent="0.3">
      <c r="B17615" s="1" t="s">
        <v>13</v>
      </c>
      <c r="C17615" s="1" t="str">
        <f t="shared" si="869"/>
        <v>3차</v>
      </c>
      <c r="D17615" s="1" t="str">
        <f>"0026R92139"</f>
        <v>0026R92139</v>
      </c>
      <c r="E17615" s="1" t="s">
        <v>10</v>
      </c>
      <c r="F17615" s="1" t="str">
        <f>"10.11.22.26"</f>
        <v>10.11.22.26</v>
      </c>
      <c r="G17615" s="1" t="str">
        <f>"0026R921"</f>
        <v>0026R921</v>
      </c>
      <c r="H17615" s="1" t="str">
        <f>"초동지 12L5"</f>
        <v>초동지 12L5</v>
      </c>
      <c r="I17615" s="1" t="s">
        <v>8</v>
      </c>
      <c r="J17615" s="1" t="str">
        <f>"64/65"</f>
        <v>64/65</v>
      </c>
      <c r="K17615" s="1" t="str">
        <f t="shared" si="868"/>
        <v>2026-07-29 13:18:01</v>
      </c>
      <c r="L17615" s="1" t="str">
        <f>"2018-05-15 18:21:59"</f>
        <v>2018-05-15 18:21:59</v>
      </c>
      <c r="M17615" s="1" t="s">
        <v>2</v>
      </c>
      <c r="N17615" s="1" t="s">
        <v>38</v>
      </c>
      <c r="O17615" s="1" t="s">
        <v>46</v>
      </c>
    </row>
    <row r="17616" spans="2:15" x14ac:dyDescent="0.3">
      <c r="B17616" s="1" t="s">
        <v>13</v>
      </c>
      <c r="C17616" s="1" t="str">
        <f t="shared" si="869"/>
        <v>3차</v>
      </c>
      <c r="D17616" s="1" t="str">
        <f>"0026R93139"</f>
        <v>0026R93139</v>
      </c>
      <c r="E17616" s="1" t="s">
        <v>10</v>
      </c>
      <c r="F17616" s="1" t="str">
        <f>"10.11.40.250"</f>
        <v>10.11.40.250</v>
      </c>
      <c r="G17616" s="1" t="str">
        <f>"0026R931"</f>
        <v>0026R931</v>
      </c>
      <c r="H17616" s="1" t="str">
        <f>"초동지 12L4L4R1R2"</f>
        <v>초동지 12L4L4R1R2</v>
      </c>
      <c r="I17616" s="1" t="s">
        <v>8</v>
      </c>
      <c r="J17616" s="1" t="str">
        <f>"20/21"</f>
        <v>20/21</v>
      </c>
      <c r="K17616" s="1" t="str">
        <f t="shared" si="868"/>
        <v>2026-07-29 13:18:01</v>
      </c>
      <c r="L17616" s="1" t="str">
        <f>"2018-05-15 17:51:00"</f>
        <v>2018-05-15 17:51:00</v>
      </c>
      <c r="M17616" s="1" t="s">
        <v>2</v>
      </c>
      <c r="N17616" s="1" t="s">
        <v>38</v>
      </c>
      <c r="O17616" s="1" t="s">
        <v>46</v>
      </c>
    </row>
    <row r="17617" spans="2:15" x14ac:dyDescent="0.3">
      <c r="B17617" s="1" t="s">
        <v>13</v>
      </c>
      <c r="C17617" s="1" t="str">
        <f t="shared" si="869"/>
        <v>3차</v>
      </c>
      <c r="D17617" s="1" t="str">
        <f>"0026R93239"</f>
        <v>0026R93239</v>
      </c>
      <c r="E17617" s="1" t="s">
        <v>10</v>
      </c>
      <c r="F17617" s="1" t="str">
        <f>"10.11.21.218"</f>
        <v>10.11.21.218</v>
      </c>
      <c r="G17617" s="1" t="str">
        <f>"0026R932"</f>
        <v>0026R932</v>
      </c>
      <c r="H17617" s="1" t="str">
        <f>"초동지 12L4L4R1R1"</f>
        <v>초동지 12L4L4R1R1</v>
      </c>
      <c r="I17617" s="1" t="s">
        <v>8</v>
      </c>
      <c r="J17617" s="1" t="str">
        <f>"22/22"</f>
        <v>22/22</v>
      </c>
      <c r="K17617" s="1" t="str">
        <f t="shared" si="868"/>
        <v>2026-07-29 13:18:01</v>
      </c>
      <c r="L17617" s="1" t="str">
        <f>"2018-05-15 17:39:43"</f>
        <v>2018-05-15 17:39:43</v>
      </c>
      <c r="M17617" s="1" t="s">
        <v>2</v>
      </c>
      <c r="N17617" s="1" t="s">
        <v>38</v>
      </c>
      <c r="O17617" s="1" t="s">
        <v>46</v>
      </c>
    </row>
    <row r="17618" spans="2:15" x14ac:dyDescent="0.3">
      <c r="B17618" s="1" t="s">
        <v>13</v>
      </c>
      <c r="C17618" s="1" t="str">
        <f t="shared" si="869"/>
        <v>3차</v>
      </c>
      <c r="D17618" s="1" t="str">
        <f>"0026R94139"</f>
        <v>0026R94139</v>
      </c>
      <c r="E17618" s="1" t="s">
        <v>10</v>
      </c>
      <c r="F17618" s="1" t="str">
        <f>"10.11.40.242"</f>
        <v>10.11.40.242</v>
      </c>
      <c r="G17618" s="1" t="str">
        <f>"0026R941"</f>
        <v>0026R941</v>
      </c>
      <c r="H17618" s="1" t="str">
        <f>"초동지 12L4L4R1"</f>
        <v>초동지 12L4L4R1</v>
      </c>
      <c r="I17618" s="1" t="s">
        <v>8</v>
      </c>
      <c r="J17618" s="1" t="str">
        <f>"11/11"</f>
        <v>11/11</v>
      </c>
      <c r="K17618" s="1" t="str">
        <f t="shared" si="868"/>
        <v>2026-07-29 13:18:01</v>
      </c>
      <c r="L17618" s="1" t="str">
        <f>"2018-05-15 17:34:28"</f>
        <v>2018-05-15 17:34:28</v>
      </c>
      <c r="M17618" s="1" t="s">
        <v>2</v>
      </c>
      <c r="N17618" s="1" t="s">
        <v>38</v>
      </c>
      <c r="O17618" s="1" t="s">
        <v>46</v>
      </c>
    </row>
    <row r="17619" spans="2:15" x14ac:dyDescent="0.3">
      <c r="B17619" s="1" t="s">
        <v>13</v>
      </c>
      <c r="C17619" s="1" t="str">
        <f>"4차"</f>
        <v>4차</v>
      </c>
      <c r="D17619" s="1" t="str">
        <f>"0026R94239"</f>
        <v>0026R94239</v>
      </c>
      <c r="E17619" s="1" t="s">
        <v>10</v>
      </c>
      <c r="F17619" s="1" t="str">
        <f>"10.11.22.2"</f>
        <v>10.11.22.2</v>
      </c>
      <c r="G17619" s="1" t="str">
        <f>"0026R942"</f>
        <v>0026R942</v>
      </c>
      <c r="H17619" s="1" t="str">
        <f>"초동지 12L4L5"</f>
        <v>초동지 12L4L5</v>
      </c>
      <c r="I17619" s="1" t="s">
        <v>8</v>
      </c>
      <c r="J17619" s="1" t="str">
        <f>"23/23"</f>
        <v>23/23</v>
      </c>
      <c r="K17619" s="1" t="str">
        <f t="shared" si="868"/>
        <v>2026-07-29 13:18:01</v>
      </c>
      <c r="L17619" s="1" t="str">
        <f>"2018-05-15 18:11:00"</f>
        <v>2018-05-15 18:11:00</v>
      </c>
      <c r="M17619" s="1" t="s">
        <v>2</v>
      </c>
      <c r="N17619" s="1" t="s">
        <v>38</v>
      </c>
      <c r="O17619" s="1" t="s">
        <v>46</v>
      </c>
    </row>
    <row r="17620" spans="2:15" x14ac:dyDescent="0.3">
      <c r="B17620" s="1" t="s">
        <v>13</v>
      </c>
      <c r="C17620" s="1" t="str">
        <f t="shared" ref="C17620:C17626" si="870">"3차"</f>
        <v>3차</v>
      </c>
      <c r="D17620" s="1" t="str">
        <f>"0026R95239"</f>
        <v>0026R95239</v>
      </c>
      <c r="E17620" s="1" t="s">
        <v>10</v>
      </c>
      <c r="F17620" s="1" t="str">
        <f>"10.11.22.10"</f>
        <v>10.11.22.10</v>
      </c>
      <c r="G17620" s="1" t="str">
        <f>"0026R952"</f>
        <v>0026R952</v>
      </c>
      <c r="H17620" s="1" t="str">
        <f>"초동지 12L4L7"</f>
        <v>초동지 12L4L7</v>
      </c>
      <c r="I17620" s="1" t="s">
        <v>8</v>
      </c>
      <c r="J17620" s="1" t="str">
        <f>"7/7"</f>
        <v>7/7</v>
      </c>
      <c r="K17620" s="1" t="str">
        <f t="shared" si="868"/>
        <v>2026-07-29 13:18:01</v>
      </c>
      <c r="L17620" s="1" t="str">
        <f>"2018-05-17 17:45:36"</f>
        <v>2018-05-17 17:45:36</v>
      </c>
      <c r="M17620" s="1" t="s">
        <v>2</v>
      </c>
      <c r="N17620" s="1" t="s">
        <v>38</v>
      </c>
      <c r="O17620" s="1" t="s">
        <v>46</v>
      </c>
    </row>
    <row r="17621" spans="2:15" x14ac:dyDescent="0.3">
      <c r="B17621" s="1" t="s">
        <v>13</v>
      </c>
      <c r="C17621" s="1" t="str">
        <f t="shared" si="870"/>
        <v>3차</v>
      </c>
      <c r="D17621" s="1" t="str">
        <f>"0026R95339"</f>
        <v>0026R95339</v>
      </c>
      <c r="E17621" s="1" t="s">
        <v>10</v>
      </c>
      <c r="F17621" s="1" t="str">
        <f>"10.11.41.34"</f>
        <v>10.11.41.34</v>
      </c>
      <c r="G17621" s="1" t="str">
        <f>"0026R953"</f>
        <v>0026R953</v>
      </c>
      <c r="H17621" s="1" t="str">
        <f>"초동지 12L4L6"</f>
        <v>초동지 12L4L6</v>
      </c>
      <c r="I17621" s="1" t="s">
        <v>8</v>
      </c>
      <c r="J17621" s="1" t="str">
        <f>"21/21"</f>
        <v>21/21</v>
      </c>
      <c r="K17621" s="1" t="str">
        <f t="shared" si="868"/>
        <v>2026-07-29 13:18:01</v>
      </c>
      <c r="L17621" s="1" t="str">
        <f>"2018-05-15 18:06:59"</f>
        <v>2018-05-15 18:06:59</v>
      </c>
      <c r="M17621" s="1" t="s">
        <v>2</v>
      </c>
      <c r="N17621" s="1" t="s">
        <v>38</v>
      </c>
      <c r="O17621" s="1" t="s">
        <v>46</v>
      </c>
    </row>
    <row r="17622" spans="2:15" x14ac:dyDescent="0.3">
      <c r="B17622" s="1" t="s">
        <v>13</v>
      </c>
      <c r="C17622" s="1" t="str">
        <f t="shared" si="870"/>
        <v>3차</v>
      </c>
      <c r="D17622" s="1" t="str">
        <f>"0026R97139"</f>
        <v>0026R97139</v>
      </c>
      <c r="E17622" s="1" t="s">
        <v>10</v>
      </c>
      <c r="F17622" s="1" t="str">
        <f>"10.11.44.2"</f>
        <v>10.11.44.2</v>
      </c>
      <c r="G17622" s="1" t="str">
        <f>"0026R971"</f>
        <v>0026R971</v>
      </c>
      <c r="H17622" s="1" t="str">
        <f>"인현지 5L2R1"</f>
        <v>인현지 5L2R1</v>
      </c>
      <c r="I17622" s="1" t="s">
        <v>8</v>
      </c>
      <c r="J17622" s="1" t="str">
        <f>"17/17"</f>
        <v>17/17</v>
      </c>
      <c r="K17622" s="1" t="str">
        <f t="shared" si="868"/>
        <v>2026-07-29 13:18:01</v>
      </c>
      <c r="L17622" s="1" t="str">
        <f>"2018-05-15 17:51:28"</f>
        <v>2018-05-15 17:51:28</v>
      </c>
      <c r="M17622" s="1" t="s">
        <v>2</v>
      </c>
      <c r="N17622" s="1" t="s">
        <v>38</v>
      </c>
      <c r="O17622" s="1" t="s">
        <v>46</v>
      </c>
    </row>
    <row r="17623" spans="2:15" x14ac:dyDescent="0.3">
      <c r="B17623" s="1" t="s">
        <v>13</v>
      </c>
      <c r="C17623" s="1" t="str">
        <f t="shared" si="870"/>
        <v>3차</v>
      </c>
      <c r="D17623" s="1" t="str">
        <f>"0026R98139"</f>
        <v>0026R98139</v>
      </c>
      <c r="E17623" s="1" t="s">
        <v>10</v>
      </c>
      <c r="F17623" s="1" t="str">
        <f>"10.11.43.250"</f>
        <v>10.11.43.250</v>
      </c>
      <c r="G17623" s="1" t="str">
        <f>"0026R981"</f>
        <v>0026R981</v>
      </c>
      <c r="H17623" s="1" t="str">
        <f>"인현지 5L1"</f>
        <v>인현지 5L1</v>
      </c>
      <c r="I17623" s="1" t="s">
        <v>8</v>
      </c>
      <c r="J17623" s="1" t="str">
        <f>"10/11"</f>
        <v>10/11</v>
      </c>
      <c r="K17623" s="1" t="str">
        <f t="shared" si="868"/>
        <v>2026-07-29 13:18:01</v>
      </c>
      <c r="L17623" s="1" t="str">
        <f>"2018-05-15 18:09:44"</f>
        <v>2018-05-15 18:09:44</v>
      </c>
      <c r="M17623" s="1" t="s">
        <v>2</v>
      </c>
      <c r="N17623" s="1" t="s">
        <v>38</v>
      </c>
      <c r="O17623" s="1" t="s">
        <v>46</v>
      </c>
    </row>
    <row r="17624" spans="2:15" x14ac:dyDescent="0.3">
      <c r="B17624" s="1" t="s">
        <v>13</v>
      </c>
      <c r="C17624" s="1" t="str">
        <f t="shared" si="870"/>
        <v>3차</v>
      </c>
      <c r="D17624" s="1" t="str">
        <f>"0026R98239"</f>
        <v>0026R98239</v>
      </c>
      <c r="E17624" s="1" t="s">
        <v>10</v>
      </c>
      <c r="F17624" s="1" t="str">
        <f>"10.11.24.218"</f>
        <v>10.11.24.218</v>
      </c>
      <c r="G17624" s="1" t="str">
        <f>"0026R982"</f>
        <v>0026R982</v>
      </c>
      <c r="H17624" s="1" t="str">
        <f>"인현지 5L2"</f>
        <v>인현지 5L2</v>
      </c>
      <c r="I17624" s="1" t="s">
        <v>8</v>
      </c>
      <c r="J17624" s="1" t="str">
        <f>"24/24"</f>
        <v>24/24</v>
      </c>
      <c r="K17624" s="1" t="str">
        <f t="shared" si="868"/>
        <v>2026-07-29 13:18:01</v>
      </c>
      <c r="L17624" s="1" t="str">
        <f>"2018-05-15 17:52:14"</f>
        <v>2018-05-15 17:52:14</v>
      </c>
      <c r="M17624" s="1" t="s">
        <v>2</v>
      </c>
      <c r="N17624" s="1" t="s">
        <v>38</v>
      </c>
      <c r="O17624" s="1" t="s">
        <v>46</v>
      </c>
    </row>
    <row r="17625" spans="2:15" x14ac:dyDescent="0.3">
      <c r="B17625" s="1" t="s">
        <v>13</v>
      </c>
      <c r="C17625" s="1" t="str">
        <f t="shared" si="870"/>
        <v>3차</v>
      </c>
      <c r="D17625" s="1" t="str">
        <f>"0026R99139"</f>
        <v>0026R99139</v>
      </c>
      <c r="E17625" s="1" t="s">
        <v>10</v>
      </c>
      <c r="F17625" s="1" t="str">
        <f>"10.11.37.58"</f>
        <v>10.11.37.58</v>
      </c>
      <c r="G17625" s="1" t="str">
        <f>"0026R991"</f>
        <v>0026R991</v>
      </c>
      <c r="H17625" s="1" t="str">
        <f>"인현지 3"</f>
        <v>인현지 3</v>
      </c>
      <c r="I17625" s="1" t="s">
        <v>8</v>
      </c>
      <c r="J17625" s="1" t="str">
        <f>"17/17"</f>
        <v>17/17</v>
      </c>
      <c r="K17625" s="1" t="str">
        <f t="shared" si="868"/>
        <v>2026-07-29 13:18:01</v>
      </c>
      <c r="L17625" s="1" t="str">
        <f>"2018-03-10 09:30:24"</f>
        <v>2018-03-10 09:30:24</v>
      </c>
      <c r="M17625" s="1" t="s">
        <v>2</v>
      </c>
      <c r="N17625" s="1" t="s">
        <v>38</v>
      </c>
      <c r="O17625" s="1" t="s">
        <v>46</v>
      </c>
    </row>
    <row r="17626" spans="2:15" x14ac:dyDescent="0.3">
      <c r="B17626" s="1" t="s">
        <v>13</v>
      </c>
      <c r="C17626" s="1" t="str">
        <f t="shared" si="870"/>
        <v>3차</v>
      </c>
      <c r="D17626" s="1" t="str">
        <f>"0026R99239"</f>
        <v>0026R99239</v>
      </c>
      <c r="E17626" s="1" t="s">
        <v>10</v>
      </c>
      <c r="F17626" s="1" t="str">
        <f>"10.11.24.226"</f>
        <v>10.11.24.226</v>
      </c>
      <c r="G17626" s="1" t="str">
        <f>"0026R992"</f>
        <v>0026R992</v>
      </c>
      <c r="H17626" s="1" t="str">
        <f>"인현지 4L1"</f>
        <v>인현지 4L1</v>
      </c>
      <c r="I17626" s="1" t="s">
        <v>8</v>
      </c>
      <c r="J17626" s="1" t="str">
        <f>"9/9"</f>
        <v>9/9</v>
      </c>
      <c r="K17626" s="1" t="str">
        <f t="shared" si="868"/>
        <v>2026-07-29 13:18:01</v>
      </c>
      <c r="L17626" s="1" t="str">
        <f>"2018-05-15 17:55:14"</f>
        <v>2018-05-15 17:55:14</v>
      </c>
      <c r="M17626" s="1" t="s">
        <v>2</v>
      </c>
      <c r="N17626" s="1" t="s">
        <v>38</v>
      </c>
      <c r="O17626" s="1" t="s">
        <v>46</v>
      </c>
    </row>
    <row r="17627" spans="2:15" x14ac:dyDescent="0.3">
      <c r="B17627" s="1" t="s">
        <v>13</v>
      </c>
      <c r="C17627" s="1" t="str">
        <f>"4차"</f>
        <v>4차</v>
      </c>
      <c r="D17627" s="1" t="str">
        <f>"0026S02139"</f>
        <v>0026S02139</v>
      </c>
      <c r="E17627" s="1" t="s">
        <v>10</v>
      </c>
      <c r="F17627" s="1" t="str">
        <f>"10.11.41.66"</f>
        <v>10.11.41.66</v>
      </c>
      <c r="G17627" s="1" t="str">
        <f>"0026S021"</f>
        <v>0026S021</v>
      </c>
      <c r="H17627" s="1" t="str">
        <f>"초동지 12L6"</f>
        <v>초동지 12L6</v>
      </c>
      <c r="I17627" s="1" t="s">
        <v>8</v>
      </c>
      <c r="J17627" s="1" t="str">
        <f>"19/19"</f>
        <v>19/19</v>
      </c>
      <c r="K17627" s="1" t="str">
        <f t="shared" si="868"/>
        <v>2026-07-29 13:18:01</v>
      </c>
      <c r="L17627" s="1" t="str">
        <f>"2018-05-15 18:04:43"</f>
        <v>2018-05-15 18:04:43</v>
      </c>
      <c r="M17627" s="1" t="s">
        <v>2</v>
      </c>
      <c r="N17627" s="1" t="s">
        <v>38</v>
      </c>
      <c r="O17627" s="1" t="s">
        <v>46</v>
      </c>
    </row>
    <row r="17628" spans="2:15" x14ac:dyDescent="0.3">
      <c r="B17628" s="1" t="s">
        <v>13</v>
      </c>
      <c r="C17628" s="1" t="str">
        <f>"3차"</f>
        <v>3차</v>
      </c>
      <c r="D17628" s="1" t="str">
        <f>"0026S03139"</f>
        <v>0026S03139</v>
      </c>
      <c r="E17628" s="1" t="s">
        <v>10</v>
      </c>
      <c r="F17628" s="1" t="str">
        <f>"10.11.41.2"</f>
        <v>10.11.41.2</v>
      </c>
      <c r="G17628" s="1" t="str">
        <f>"0026S031"</f>
        <v>0026S031</v>
      </c>
      <c r="H17628" s="1" t="str">
        <f>"초동지 12L4L4R2R1"</f>
        <v>초동지 12L4L4R2R1</v>
      </c>
      <c r="I17628" s="1" t="s">
        <v>8</v>
      </c>
      <c r="J17628" s="1" t="str">
        <f>"11/11"</f>
        <v>11/11</v>
      </c>
      <c r="K17628" s="1" t="str">
        <f t="shared" si="868"/>
        <v>2026-07-29 13:18:01</v>
      </c>
      <c r="L17628" s="1" t="str">
        <f>"2018-05-15 17:33:29"</f>
        <v>2018-05-15 17:33:29</v>
      </c>
      <c r="M17628" s="1" t="s">
        <v>2</v>
      </c>
      <c r="N17628" s="1" t="s">
        <v>38</v>
      </c>
      <c r="O17628" s="1" t="s">
        <v>46</v>
      </c>
    </row>
    <row r="17629" spans="2:15" x14ac:dyDescent="0.3">
      <c r="B17629" s="1" t="s">
        <v>13</v>
      </c>
      <c r="C17629" s="1" t="str">
        <f>"3차"</f>
        <v>3차</v>
      </c>
      <c r="D17629" s="1" t="str">
        <f>"0026S03239"</f>
        <v>0026S03239</v>
      </c>
      <c r="E17629" s="1" t="s">
        <v>10</v>
      </c>
      <c r="F17629" s="1" t="str">
        <f>"10.11.21.234"</f>
        <v>10.11.21.234</v>
      </c>
      <c r="G17629" s="1" t="str">
        <f>"0026S032"</f>
        <v>0026S032</v>
      </c>
      <c r="H17629" s="1" t="str">
        <f>"초동지 12L4L4R2R2"</f>
        <v>초동지 12L4L4R2R2</v>
      </c>
      <c r="I17629" s="1" t="s">
        <v>8</v>
      </c>
      <c r="J17629" s="1" t="str">
        <f>"13/13"</f>
        <v>13/13</v>
      </c>
      <c r="K17629" s="1" t="str">
        <f t="shared" si="868"/>
        <v>2026-07-29 13:18:01</v>
      </c>
      <c r="L17629" s="1" t="str">
        <f>"2018-05-15 17:46:59"</f>
        <v>2018-05-15 17:46:59</v>
      </c>
      <c r="M17629" s="1" t="s">
        <v>2</v>
      </c>
      <c r="N17629" s="1" t="s">
        <v>38</v>
      </c>
      <c r="O17629" s="1" t="s">
        <v>46</v>
      </c>
    </row>
    <row r="17630" spans="2:15" x14ac:dyDescent="0.3">
      <c r="B17630" s="1" t="s">
        <v>13</v>
      </c>
      <c r="C17630" s="1" t="str">
        <f>"3차"</f>
        <v>3차</v>
      </c>
      <c r="D17630" s="1" t="str">
        <f>"0026S03339"</f>
        <v>0026S03339</v>
      </c>
      <c r="E17630" s="1" t="s">
        <v>10</v>
      </c>
      <c r="F17630" s="1" t="str">
        <f>"10.11.41.10"</f>
        <v>10.11.41.10</v>
      </c>
      <c r="G17630" s="1" t="str">
        <f>"0026S033"</f>
        <v>0026S033</v>
      </c>
      <c r="H17630" s="1" t="str">
        <f>"초동지 12L4L4R2R3"</f>
        <v>초동지 12L4L4R2R3</v>
      </c>
      <c r="I17630" s="1" t="s">
        <v>8</v>
      </c>
      <c r="J17630" s="1" t="str">
        <f>"27/28"</f>
        <v>27/28</v>
      </c>
      <c r="K17630" s="1" t="str">
        <f t="shared" si="868"/>
        <v>2026-07-29 13:18:01</v>
      </c>
      <c r="L17630" s="1" t="str">
        <f>"2018-05-15 17:21:14"</f>
        <v>2018-05-15 17:21:14</v>
      </c>
      <c r="M17630" s="1" t="s">
        <v>2</v>
      </c>
      <c r="N17630" s="1" t="s">
        <v>38</v>
      </c>
      <c r="O17630" s="1" t="s">
        <v>46</v>
      </c>
    </row>
    <row r="17631" spans="2:15" x14ac:dyDescent="0.3">
      <c r="B17631" s="1" t="s">
        <v>13</v>
      </c>
      <c r="C17631" s="1" t="str">
        <f>"4차"</f>
        <v>4차</v>
      </c>
      <c r="D17631" s="1" t="str">
        <f>"0026S04139"</f>
        <v>0026S04139</v>
      </c>
      <c r="E17631" s="1" t="s">
        <v>10</v>
      </c>
      <c r="F17631" s="1" t="str">
        <f>"10.11.21.226"</f>
        <v>10.11.21.226</v>
      </c>
      <c r="G17631" s="1" t="str">
        <f>"0026S041"</f>
        <v>0026S041</v>
      </c>
      <c r="H17631" s="1" t="str">
        <f>"초동지 12L4L4R2"</f>
        <v>초동지 12L4L4R2</v>
      </c>
      <c r="I17631" s="1" t="s">
        <v>8</v>
      </c>
      <c r="J17631" s="1" t="str">
        <f>"18/18"</f>
        <v>18/18</v>
      </c>
      <c r="K17631" s="1" t="str">
        <f t="shared" si="868"/>
        <v>2026-07-29 13:18:01</v>
      </c>
      <c r="L17631" s="1" t="str">
        <f>"2018-05-15 17:51:29"</f>
        <v>2018-05-15 17:51:29</v>
      </c>
      <c r="M17631" s="1" t="s">
        <v>2</v>
      </c>
      <c r="N17631" s="1" t="s">
        <v>38</v>
      </c>
      <c r="O17631" s="1" t="s">
        <v>46</v>
      </c>
    </row>
    <row r="17632" spans="2:15" x14ac:dyDescent="0.3">
      <c r="B17632" s="1" t="s">
        <v>13</v>
      </c>
      <c r="C17632" s="1" t="str">
        <f>"3차"</f>
        <v>3차</v>
      </c>
      <c r="D17632" s="1" t="str">
        <f>"0026S04239"</f>
        <v>0026S04239</v>
      </c>
      <c r="E17632" s="1" t="s">
        <v>10</v>
      </c>
      <c r="F17632" s="1" t="str">
        <f>"10.11.21.242"</f>
        <v>10.11.21.242</v>
      </c>
      <c r="G17632" s="1" t="str">
        <f>"0026S042"</f>
        <v>0026S042</v>
      </c>
      <c r="H17632" s="1" t="str">
        <f>"초동지 12L4L4R3"</f>
        <v>초동지 12L4L4R3</v>
      </c>
      <c r="I17632" s="1" t="s">
        <v>8</v>
      </c>
      <c r="J17632" s="1" t="str">
        <f>"54/54"</f>
        <v>54/54</v>
      </c>
      <c r="K17632" s="1" t="str">
        <f>"2026-07-29 13:18:00"</f>
        <v>2026-07-29 13:18:00</v>
      </c>
      <c r="L17632" s="1" t="str">
        <f>"2018-05-15 17:35:15"</f>
        <v>2018-05-15 17:35:15</v>
      </c>
      <c r="M17632" s="1" t="s">
        <v>2</v>
      </c>
      <c r="N17632" s="1" t="s">
        <v>38</v>
      </c>
      <c r="O17632" s="1" t="s">
        <v>46</v>
      </c>
    </row>
    <row r="17633" spans="2:15" x14ac:dyDescent="0.3">
      <c r="B17633" s="1" t="s">
        <v>13</v>
      </c>
      <c r="C17633" s="1" t="str">
        <f>"3차"</f>
        <v>3차</v>
      </c>
      <c r="D17633" s="1" t="str">
        <f>"0026S05139"</f>
        <v>0026S05139</v>
      </c>
      <c r="E17633" s="1" t="s">
        <v>10</v>
      </c>
      <c r="F17633" s="1" t="str">
        <f>"10.11.41.18"</f>
        <v>10.11.41.18</v>
      </c>
      <c r="G17633" s="1" t="str">
        <f>"0026S051"</f>
        <v>0026S051</v>
      </c>
      <c r="H17633" s="1" t="str">
        <f>"초동지 12L4L4R4"</f>
        <v>초동지 12L4L4R4</v>
      </c>
      <c r="I17633" s="1" t="s">
        <v>8</v>
      </c>
      <c r="J17633" s="1" t="str">
        <f>"19/19"</f>
        <v>19/19</v>
      </c>
      <c r="K17633" s="1" t="str">
        <f>"2026-07-29 13:18:00"</f>
        <v>2026-07-29 13:18:00</v>
      </c>
      <c r="L17633" s="1" t="str">
        <f>"2018-05-15 17:35:28"</f>
        <v>2018-05-15 17:35:28</v>
      </c>
      <c r="M17633" s="1" t="s">
        <v>2</v>
      </c>
      <c r="N17633" s="1" t="s">
        <v>38</v>
      </c>
      <c r="O17633" s="1" t="s">
        <v>46</v>
      </c>
    </row>
    <row r="17634" spans="2:15" x14ac:dyDescent="0.3">
      <c r="B17634" s="1" t="s">
        <v>13</v>
      </c>
      <c r="C17634" s="1" t="str">
        <f>"3차"</f>
        <v>3차</v>
      </c>
      <c r="D17634" s="1" t="str">
        <f>"0026S05239"</f>
        <v>0026S05239</v>
      </c>
      <c r="E17634" s="1" t="s">
        <v>10</v>
      </c>
      <c r="F17634" s="1" t="str">
        <f>"10.11.41.26"</f>
        <v>10.11.41.26</v>
      </c>
      <c r="G17634" s="1" t="str">
        <f>"0026S052"</f>
        <v>0026S052</v>
      </c>
      <c r="H17634" s="1" t="str">
        <f>"초동지 12L4L4R5"</f>
        <v>초동지 12L4L4R5</v>
      </c>
      <c r="I17634" s="1" t="s">
        <v>8</v>
      </c>
      <c r="J17634" s="1" t="str">
        <f>"30/31"</f>
        <v>30/31</v>
      </c>
      <c r="K17634" s="1" t="str">
        <f>"2026-07-29 13:18:01"</f>
        <v>2026-07-29 13:18:01</v>
      </c>
      <c r="L17634" s="1" t="str">
        <f>"2018-05-15 17:15:28"</f>
        <v>2018-05-15 17:15:28</v>
      </c>
      <c r="M17634" s="1" t="s">
        <v>2</v>
      </c>
      <c r="N17634" s="1" t="s">
        <v>38</v>
      </c>
      <c r="O17634" s="1" t="s">
        <v>46</v>
      </c>
    </row>
    <row r="17635" spans="2:15" x14ac:dyDescent="0.3">
      <c r="B17635" s="1" t="s">
        <v>13</v>
      </c>
      <c r="C17635" s="1" t="str">
        <f>"3차"</f>
        <v>3차</v>
      </c>
      <c r="D17635" s="1" t="str">
        <f>"0026S05339"</f>
        <v>0026S05339</v>
      </c>
      <c r="E17635" s="1" t="s">
        <v>10</v>
      </c>
      <c r="F17635" s="1" t="str">
        <f>"10.11.21.250"</f>
        <v>10.11.21.250</v>
      </c>
      <c r="G17635" s="1" t="str">
        <f>"0026S053"</f>
        <v>0026S053</v>
      </c>
      <c r="H17635" s="1" t="str">
        <f>"초동지 12L4L4R4R1"</f>
        <v>초동지 12L4L4R4R1</v>
      </c>
      <c r="I17635" s="1" t="s">
        <v>8</v>
      </c>
      <c r="J17635" s="1" t="str">
        <f>"22/22"</f>
        <v>22/22</v>
      </c>
      <c r="K17635" s="1" t="str">
        <f>"2026-07-29 13:18:00"</f>
        <v>2026-07-29 13:18:00</v>
      </c>
      <c r="L17635" s="1" t="str">
        <f>"2018-05-15 17:21:29"</f>
        <v>2018-05-15 17:21:29</v>
      </c>
      <c r="M17635" s="1" t="s">
        <v>2</v>
      </c>
      <c r="N17635" s="1" t="s">
        <v>38</v>
      </c>
      <c r="O17635" s="1" t="s">
        <v>46</v>
      </c>
    </row>
    <row r="17636" spans="2:15" x14ac:dyDescent="0.3">
      <c r="B17636" s="1" t="s">
        <v>13</v>
      </c>
      <c r="C17636" s="1" t="str">
        <f>"3차"</f>
        <v>3차</v>
      </c>
      <c r="D17636" s="1" t="str">
        <f>"0026S07139"</f>
        <v>0026S07139</v>
      </c>
      <c r="E17636" s="1" t="s">
        <v>10</v>
      </c>
      <c r="F17636" s="1" t="str">
        <f>"10.11.24.178"</f>
        <v>10.11.24.178</v>
      </c>
      <c r="G17636" s="1" t="str">
        <f>"0026S071"</f>
        <v>0026S071</v>
      </c>
      <c r="H17636" s="1" t="str">
        <f>"인현지 5L4"</f>
        <v>인현지 5L4</v>
      </c>
      <c r="I17636" s="1" t="s">
        <v>8</v>
      </c>
      <c r="J17636" s="1" t="str">
        <f>"28/28"</f>
        <v>28/28</v>
      </c>
      <c r="K17636" s="1" t="str">
        <f>"2026-07-29 13:18:00"</f>
        <v>2026-07-29 13:18:00</v>
      </c>
      <c r="L17636" s="1" t="str">
        <f>"2018-05-15 17:41:15"</f>
        <v>2018-05-15 17:41:15</v>
      </c>
      <c r="M17636" s="1" t="s">
        <v>2</v>
      </c>
      <c r="N17636" s="1" t="s">
        <v>38</v>
      </c>
      <c r="O17636" s="1" t="s">
        <v>46</v>
      </c>
    </row>
    <row r="17637" spans="2:15" x14ac:dyDescent="0.3">
      <c r="B17637" s="1" t="s">
        <v>13</v>
      </c>
      <c r="C17637" s="1" t="str">
        <f>"4차"</f>
        <v>4차</v>
      </c>
      <c r="D17637" s="1" t="str">
        <f>"0026S07239"</f>
        <v>0026S07239</v>
      </c>
      <c r="E17637" s="1" t="s">
        <v>10</v>
      </c>
      <c r="F17637" s="1" t="str">
        <f>"10.11.43.186"</f>
        <v>10.11.43.186</v>
      </c>
      <c r="G17637" s="1" t="str">
        <f>"0026S072"</f>
        <v>0026S072</v>
      </c>
      <c r="H17637" s="1" t="str">
        <f>"인현지 5L5"</f>
        <v>인현지 5L5</v>
      </c>
      <c r="I17637" s="1" t="s">
        <v>8</v>
      </c>
      <c r="J17637" s="1" t="str">
        <f>"10/10"</f>
        <v>10/10</v>
      </c>
      <c r="K17637" s="1" t="str">
        <f>"2026-07-29 13:18:00"</f>
        <v>2026-07-29 13:18:00</v>
      </c>
      <c r="L17637" s="1" t="str">
        <f>"2018-05-15 17:54:59"</f>
        <v>2018-05-15 17:54:59</v>
      </c>
      <c r="M17637" s="1" t="s">
        <v>2</v>
      </c>
      <c r="N17637" s="1" t="s">
        <v>38</v>
      </c>
      <c r="O17637" s="1" t="s">
        <v>46</v>
      </c>
    </row>
    <row r="17638" spans="2:15" x14ac:dyDescent="0.3">
      <c r="B17638" s="1" t="s">
        <v>13</v>
      </c>
      <c r="C17638" s="1" t="str">
        <f>"3차"</f>
        <v>3차</v>
      </c>
      <c r="D17638" s="1" t="str">
        <f>"0026S09139"</f>
        <v>0026S09139</v>
      </c>
      <c r="E17638" s="1" t="s">
        <v>10</v>
      </c>
      <c r="F17638" s="1" t="str">
        <f>"10.11.44.10"</f>
        <v>10.11.44.10</v>
      </c>
      <c r="G17638" s="1" t="str">
        <f>"0026S091"</f>
        <v>0026S091</v>
      </c>
      <c r="H17638" s="1" t="str">
        <f>"인현지 4L2"</f>
        <v>인현지 4L2</v>
      </c>
      <c r="I17638" s="1" t="s">
        <v>8</v>
      </c>
      <c r="J17638" s="1" t="str">
        <f>"25/25"</f>
        <v>25/25</v>
      </c>
      <c r="K17638" s="1" t="str">
        <f>"2026-07-29 13:18:00"</f>
        <v>2026-07-29 13:18:00</v>
      </c>
      <c r="L17638" s="1" t="str">
        <f>"2018-05-15 17:50:13"</f>
        <v>2018-05-15 17:50:13</v>
      </c>
      <c r="M17638" s="1" t="s">
        <v>2</v>
      </c>
      <c r="N17638" s="1" t="s">
        <v>38</v>
      </c>
      <c r="O17638" s="1" t="s">
        <v>46</v>
      </c>
    </row>
    <row r="17639" spans="2:15" x14ac:dyDescent="0.3">
      <c r="B17639" s="1" t="s">
        <v>13</v>
      </c>
      <c r="C17639" s="1" t="str">
        <f>"3차"</f>
        <v>3차</v>
      </c>
      <c r="D17639" s="1" t="str">
        <f>"0026S22239"</f>
        <v>0026S22239</v>
      </c>
      <c r="E17639" s="1" t="s">
        <v>10</v>
      </c>
      <c r="F17639" s="1" t="str">
        <f>"10.11.36.98"</f>
        <v>10.11.36.98</v>
      </c>
      <c r="G17639" s="1" t="str">
        <f>"0026S222"</f>
        <v>0026S222</v>
      </c>
      <c r="H17639" s="1" t="str">
        <f>"예관지 16R6"</f>
        <v>예관지 16R6</v>
      </c>
      <c r="I17639" s="1" t="s">
        <v>8</v>
      </c>
      <c r="J17639" s="1" t="str">
        <f>"17/17"</f>
        <v>17/17</v>
      </c>
      <c r="K17639" s="1" t="str">
        <f>"2026-07-29 13:18:01"</f>
        <v>2026-07-29 13:18:01</v>
      </c>
      <c r="L17639" s="1" t="str">
        <f>"2018-03-10 14:26:42"</f>
        <v>2018-03-10 14:26:42</v>
      </c>
      <c r="M17639" s="1" t="s">
        <v>2</v>
      </c>
      <c r="N17639" s="1" t="s">
        <v>38</v>
      </c>
      <c r="O17639" s="1" t="s">
        <v>46</v>
      </c>
    </row>
    <row r="17640" spans="2:15" x14ac:dyDescent="0.3">
      <c r="B17640" s="1" t="s">
        <v>13</v>
      </c>
      <c r="C17640" s="1" t="str">
        <f>"4차"</f>
        <v>4차</v>
      </c>
      <c r="D17640" s="1" t="str">
        <f>"0026S23139"</f>
        <v>0026S23139</v>
      </c>
      <c r="E17640" s="1" t="s">
        <v>10</v>
      </c>
      <c r="F17640" s="1" t="str">
        <f>"10.11.36.106"</f>
        <v>10.11.36.106</v>
      </c>
      <c r="G17640" s="1" t="str">
        <f>"0026S231"</f>
        <v>0026S231</v>
      </c>
      <c r="H17640" s="1" t="str">
        <f>"예관지 16R9"</f>
        <v>예관지 16R9</v>
      </c>
      <c r="I17640" s="1" t="s">
        <v>8</v>
      </c>
      <c r="J17640" s="1" t="str">
        <f>"11/11"</f>
        <v>11/11</v>
      </c>
      <c r="K17640" s="1" t="str">
        <f>"2026-07-29 13:18:01"</f>
        <v>2026-07-29 13:18:01</v>
      </c>
      <c r="L17640" s="1" t="str">
        <f>"2018-05-25 10:19:56"</f>
        <v>2018-05-25 10:19:56</v>
      </c>
      <c r="M17640" s="1" t="s">
        <v>2</v>
      </c>
      <c r="N17640" s="1" t="s">
        <v>38</v>
      </c>
      <c r="O17640" s="1" t="s">
        <v>46</v>
      </c>
    </row>
    <row r="17641" spans="2:15" x14ac:dyDescent="0.3">
      <c r="B17641" s="1" t="s">
        <v>13</v>
      </c>
      <c r="C17641" s="1" t="str">
        <f t="shared" ref="C17641:C17646" si="871">"3차"</f>
        <v>3차</v>
      </c>
      <c r="D17641" s="1" t="str">
        <f>"0026S23339"</f>
        <v>0026S23339</v>
      </c>
      <c r="E17641" s="1" t="s">
        <v>10</v>
      </c>
      <c r="F17641" s="1" t="str">
        <f>"10.11.17.106"</f>
        <v>10.11.17.106</v>
      </c>
      <c r="G17641" s="1" t="str">
        <f>"0026S233"</f>
        <v>0026S233</v>
      </c>
      <c r="H17641" s="1" t="str">
        <f>"예관지 16R8"</f>
        <v>예관지 16R8</v>
      </c>
      <c r="I17641" s="1" t="s">
        <v>8</v>
      </c>
      <c r="J17641" s="1" t="str">
        <f>"16/16"</f>
        <v>16/16</v>
      </c>
      <c r="K17641" s="1" t="str">
        <f>"2026-07-29 13:18:01"</f>
        <v>2026-07-29 13:18:01</v>
      </c>
      <c r="L17641" s="1" t="str">
        <f>"2018-03-10 15:45:13"</f>
        <v>2018-03-10 15:45:13</v>
      </c>
      <c r="M17641" s="1" t="s">
        <v>2</v>
      </c>
      <c r="N17641" s="1" t="s">
        <v>38</v>
      </c>
      <c r="O17641" s="1" t="s">
        <v>46</v>
      </c>
    </row>
    <row r="17642" spans="2:15" x14ac:dyDescent="0.3">
      <c r="B17642" s="1" t="s">
        <v>13</v>
      </c>
      <c r="C17642" s="1" t="str">
        <f t="shared" si="871"/>
        <v>3차</v>
      </c>
      <c r="D17642" s="1" t="str">
        <f>"0026S23439"</f>
        <v>0026S23439</v>
      </c>
      <c r="E17642" s="1" t="s">
        <v>10</v>
      </c>
      <c r="F17642" s="1" t="str">
        <f>"10.11.36.138"</f>
        <v>10.11.36.138</v>
      </c>
      <c r="G17642" s="1" t="str">
        <f>"0026S234"</f>
        <v>0026S234</v>
      </c>
      <c r="H17642" s="1" t="str">
        <f>"예관지 9R1L3L7"</f>
        <v>예관지 9R1L3L7</v>
      </c>
      <c r="I17642" s="1" t="s">
        <v>8</v>
      </c>
      <c r="J17642" s="1" t="str">
        <f>"9/9"</f>
        <v>9/9</v>
      </c>
      <c r="K17642" s="1" t="str">
        <f>"2026-07-29 13:18:01"</f>
        <v>2026-07-29 13:18:01</v>
      </c>
      <c r="L17642" s="1" t="str">
        <f>"2018-03-10 15:47:43"</f>
        <v>2018-03-10 15:47:43</v>
      </c>
      <c r="M17642" s="1" t="s">
        <v>2</v>
      </c>
      <c r="N17642" s="1" t="s">
        <v>38</v>
      </c>
      <c r="O17642" s="1" t="s">
        <v>46</v>
      </c>
    </row>
    <row r="17643" spans="2:15" x14ac:dyDescent="0.3">
      <c r="B17643" s="1" t="s">
        <v>13</v>
      </c>
      <c r="C17643" s="1" t="str">
        <f t="shared" si="871"/>
        <v>3차</v>
      </c>
      <c r="D17643" s="1" t="str">
        <f>"0026S24130"</f>
        <v>0026S24130</v>
      </c>
      <c r="E17643" s="1" t="s">
        <v>10</v>
      </c>
      <c r="F17643" s="1" t="str">
        <f>"10.11.17.82"</f>
        <v>10.11.17.82</v>
      </c>
      <c r="G17643" s="1" t="str">
        <f>"0026S241"</f>
        <v>0026S241</v>
      </c>
      <c r="H17643" s="1" t="str">
        <f>"예관지 16R10"</f>
        <v>예관지 16R10</v>
      </c>
      <c r="I17643" s="1" t="s">
        <v>8</v>
      </c>
      <c r="J17643" s="1" t="str">
        <f>"8/13"</f>
        <v>8/13</v>
      </c>
      <c r="K17643" s="1" t="str">
        <f>"2026-07-29 13:18:00"</f>
        <v>2026-07-29 13:18:00</v>
      </c>
      <c r="L17643" s="1" t="str">
        <f>"2018-05-28 11:24:40"</f>
        <v>2018-05-28 11:24:40</v>
      </c>
      <c r="M17643" s="1" t="s">
        <v>2</v>
      </c>
      <c r="N17643" s="1" t="s">
        <v>38</v>
      </c>
      <c r="O17643" s="1" t="s">
        <v>46</v>
      </c>
    </row>
    <row r="17644" spans="2:15" x14ac:dyDescent="0.3">
      <c r="B17644" s="1" t="s">
        <v>13</v>
      </c>
      <c r="C17644" s="1" t="str">
        <f t="shared" si="871"/>
        <v>3차</v>
      </c>
      <c r="D17644" s="1" t="str">
        <f>"0026S25131"</f>
        <v>0026S25131</v>
      </c>
      <c r="E17644" s="1" t="s">
        <v>10</v>
      </c>
      <c r="F17644" s="1" t="str">
        <f>"10.11.17.83"</f>
        <v>10.11.17.83</v>
      </c>
      <c r="G17644" s="1" t="str">
        <f>"0026S251"</f>
        <v>0026S251</v>
      </c>
      <c r="H17644" s="1" t="str">
        <f>"예관지 16R12"</f>
        <v>예관지 16R12</v>
      </c>
      <c r="I17644" s="1" t="s">
        <v>8</v>
      </c>
      <c r="J17644" s="1" t="str">
        <f>"23/25"</f>
        <v>23/25</v>
      </c>
      <c r="K17644" s="1" t="str">
        <f>"2026-07-29 13:18:01"</f>
        <v>2026-07-29 13:18:01</v>
      </c>
      <c r="L17644" s="1" t="str">
        <f>"2018-05-28 11:16:41"</f>
        <v>2018-05-28 11:16:41</v>
      </c>
      <c r="M17644" s="1" t="s">
        <v>2</v>
      </c>
      <c r="N17644" s="1" t="s">
        <v>38</v>
      </c>
      <c r="O17644" s="1" t="s">
        <v>46</v>
      </c>
    </row>
    <row r="17645" spans="2:15" x14ac:dyDescent="0.3">
      <c r="B17645" s="1" t="s">
        <v>13</v>
      </c>
      <c r="C17645" s="1" t="str">
        <f t="shared" si="871"/>
        <v>3차</v>
      </c>
      <c r="D17645" s="1" t="str">
        <f>"0026S25239"</f>
        <v>0026S25239</v>
      </c>
      <c r="E17645" s="1" t="s">
        <v>14</v>
      </c>
      <c r="F17645" s="1" t="str">
        <f>"10.11.17.90"</f>
        <v>10.11.17.90</v>
      </c>
      <c r="G17645" s="1" t="str">
        <f>"0026S252"</f>
        <v>0026S252</v>
      </c>
      <c r="H17645" s="1" t="str">
        <f>"예관지 16R11"</f>
        <v>예관지 16R11</v>
      </c>
      <c r="I17645" s="1" t="s">
        <v>8</v>
      </c>
      <c r="J17645" s="1" t="str">
        <f>"0/0"</f>
        <v>0/0</v>
      </c>
      <c r="K17645" s="4" t="str">
        <f>"2026-07-29 13:18:01"</f>
        <v>2026-07-29 13:18:01</v>
      </c>
      <c r="L17645" s="1" t="str">
        <f>"2018-03-10 15:16:57"</f>
        <v>2018-03-10 15:16:57</v>
      </c>
      <c r="M17645" s="1" t="s">
        <v>2</v>
      </c>
      <c r="N17645" s="1" t="s">
        <v>38</v>
      </c>
      <c r="O17645" s="1" t="s">
        <v>44</v>
      </c>
    </row>
    <row r="17646" spans="2:15" x14ac:dyDescent="0.3">
      <c r="B17646" s="1" t="s">
        <v>13</v>
      </c>
      <c r="C17646" s="1" t="str">
        <f t="shared" si="871"/>
        <v>3차</v>
      </c>
      <c r="D17646" s="1" t="str">
        <f>"0026S25339"</f>
        <v>0026S25339</v>
      </c>
      <c r="E17646" s="1" t="s">
        <v>10</v>
      </c>
      <c r="F17646" s="1" t="str">
        <f>"10.11.36.82"</f>
        <v>10.11.36.82</v>
      </c>
      <c r="G17646" s="1" t="str">
        <f>"0026S253"</f>
        <v>0026S253</v>
      </c>
      <c r="H17646" s="1" t="str">
        <f>"예관지 16R11R1"</f>
        <v>예관지 16R11R1</v>
      </c>
      <c r="I17646" s="1" t="s">
        <v>8</v>
      </c>
      <c r="J17646" s="1" t="str">
        <f>"6/6"</f>
        <v>6/6</v>
      </c>
      <c r="K17646" s="1" t="str">
        <f>"2026-07-29 13:18:01"</f>
        <v>2026-07-29 13:18:01</v>
      </c>
      <c r="L17646" s="1" t="str">
        <f>"2018-05-17 17:15:37"</f>
        <v>2018-05-17 17:15:37</v>
      </c>
      <c r="M17646" s="1" t="s">
        <v>2</v>
      </c>
      <c r="N17646" s="1" t="s">
        <v>38</v>
      </c>
      <c r="O17646" s="1" t="s">
        <v>46</v>
      </c>
    </row>
    <row r="17647" spans="2:15" x14ac:dyDescent="0.3">
      <c r="B17647" s="1" t="s">
        <v>13</v>
      </c>
      <c r="C17647" s="1" t="str">
        <f>"4차"</f>
        <v>4차</v>
      </c>
      <c r="D17647" s="1" t="str">
        <f>"0026S31245"</f>
        <v>0026S31245</v>
      </c>
      <c r="E17647" s="1" t="str">
        <f>"검침실패(3시간 이상)"</f>
        <v>검침실패(3시간 이상)</v>
      </c>
      <c r="F17647" s="1" t="str">
        <f>"10.14.1.20"</f>
        <v>10.14.1.20</v>
      </c>
      <c r="G17647" s="1" t="str">
        <f>"0026S312"</f>
        <v>0026S312</v>
      </c>
      <c r="H17647" s="1" t="str">
        <f>"퇴계로 L14-1"</f>
        <v>퇴계로 L14-1</v>
      </c>
      <c r="I17647" s="1" t="s">
        <v>17</v>
      </c>
      <c r="J17647" s="1" t="str">
        <f>"0/3"</f>
        <v>0/3</v>
      </c>
      <c r="K17647" s="1" t="str">
        <f>"2026-07-29 13:18:02"</f>
        <v>2026-07-29 13:18:02</v>
      </c>
      <c r="L17647" s="1" t="str">
        <f>"2021-06-25 07:46:21"</f>
        <v>2021-06-25 07:46:21</v>
      </c>
      <c r="M17647" s="1" t="s">
        <v>3</v>
      </c>
      <c r="N17647" s="1" t="s">
        <v>38</v>
      </c>
      <c r="O17647" s="1" t="s">
        <v>46</v>
      </c>
    </row>
    <row r="17648" spans="2:15" x14ac:dyDescent="0.3">
      <c r="B17648" s="1" t="s">
        <v>13</v>
      </c>
      <c r="C17648" s="1" t="str">
        <f t="shared" ref="C17648:C17654" si="872">"3차"</f>
        <v>3차</v>
      </c>
      <c r="D17648" s="1" t="str">
        <f>"0026S33139"</f>
        <v>0026S33139</v>
      </c>
      <c r="E17648" s="1" t="s">
        <v>10</v>
      </c>
      <c r="F17648" s="1" t="str">
        <f>"10.11.17.138"</f>
        <v>10.11.17.138</v>
      </c>
      <c r="G17648" s="1" t="str">
        <f>"0026S331"</f>
        <v>0026S331</v>
      </c>
      <c r="H17648" s="1" t="str">
        <f>"예관지 9R1L3L6"</f>
        <v>예관지 9R1L3L6</v>
      </c>
      <c r="I17648" s="1" t="s">
        <v>8</v>
      </c>
      <c r="J17648" s="1" t="str">
        <f>"12/12"</f>
        <v>12/12</v>
      </c>
      <c r="K17648" s="1" t="str">
        <f t="shared" ref="K17648:K17656" si="873">"2026-07-29 13:18:01"</f>
        <v>2026-07-29 13:18:01</v>
      </c>
      <c r="L17648" s="1" t="str">
        <f>"2018-03-10 15:56:13"</f>
        <v>2018-03-10 15:56:13</v>
      </c>
      <c r="M17648" s="1" t="s">
        <v>2</v>
      </c>
      <c r="N17648" s="1" t="s">
        <v>38</v>
      </c>
      <c r="O17648" s="1" t="s">
        <v>46</v>
      </c>
    </row>
    <row r="17649" spans="2:15" x14ac:dyDescent="0.3">
      <c r="B17649" s="1" t="s">
        <v>13</v>
      </c>
      <c r="C17649" s="1" t="str">
        <f t="shared" si="872"/>
        <v>3차</v>
      </c>
      <c r="D17649" s="1" t="str">
        <f>"0026S33239"</f>
        <v>0026S33239</v>
      </c>
      <c r="E17649" s="1" t="s">
        <v>10</v>
      </c>
      <c r="F17649" s="1" t="str">
        <f>"10.11.36.90"</f>
        <v>10.11.36.90</v>
      </c>
      <c r="G17649" s="1" t="str">
        <f>"0026S332"</f>
        <v>0026S332</v>
      </c>
      <c r="H17649" s="1" t="str">
        <f>"예관지 16R4R1"</f>
        <v>예관지 16R4R1</v>
      </c>
      <c r="I17649" s="1" t="s">
        <v>8</v>
      </c>
      <c r="J17649" s="1" t="str">
        <f>"5/5"</f>
        <v>5/5</v>
      </c>
      <c r="K17649" s="1" t="str">
        <f t="shared" si="873"/>
        <v>2026-07-29 13:18:01</v>
      </c>
      <c r="L17649" s="1" t="str">
        <f>"2018-03-10 18:01:10"</f>
        <v>2018-03-10 18:01:10</v>
      </c>
      <c r="M17649" s="1" t="s">
        <v>2</v>
      </c>
      <c r="N17649" s="1" t="s">
        <v>38</v>
      </c>
      <c r="O17649" s="1" t="s">
        <v>46</v>
      </c>
    </row>
    <row r="17650" spans="2:15" x14ac:dyDescent="0.3">
      <c r="B17650" s="1" t="s">
        <v>13</v>
      </c>
      <c r="C17650" s="1" t="str">
        <f t="shared" si="872"/>
        <v>3차</v>
      </c>
      <c r="D17650" s="1" t="str">
        <f>"0026S34231"</f>
        <v>0026S34231</v>
      </c>
      <c r="E17650" s="1" t="s">
        <v>10</v>
      </c>
      <c r="F17650" s="1" t="str">
        <f>"10.11.17.131"</f>
        <v>10.11.17.131</v>
      </c>
      <c r="G17650" s="1" t="str">
        <f>"0026S342"</f>
        <v>0026S342</v>
      </c>
      <c r="H17650" s="1" t="str">
        <f>"예관지 9R1L3L4"</f>
        <v>예관지 9R1L3L4</v>
      </c>
      <c r="I17650" s="1" t="s">
        <v>8</v>
      </c>
      <c r="J17650" s="1" t="str">
        <f>"17/17"</f>
        <v>17/17</v>
      </c>
      <c r="K17650" s="1" t="str">
        <f t="shared" si="873"/>
        <v>2026-07-29 13:18:01</v>
      </c>
      <c r="L17650" s="1" t="str">
        <f>"2018-05-28 11:09:25"</f>
        <v>2018-05-28 11:09:25</v>
      </c>
      <c r="M17650" s="1" t="s">
        <v>2</v>
      </c>
      <c r="N17650" s="1" t="s">
        <v>38</v>
      </c>
      <c r="O17650" s="1" t="s">
        <v>46</v>
      </c>
    </row>
    <row r="17651" spans="2:15" x14ac:dyDescent="0.3">
      <c r="B17651" s="1" t="s">
        <v>13</v>
      </c>
      <c r="C17651" s="1" t="str">
        <f t="shared" si="872"/>
        <v>3차</v>
      </c>
      <c r="D17651" s="1" t="str">
        <f>"0026S35139"</f>
        <v>0026S35139</v>
      </c>
      <c r="E17651" s="1" t="s">
        <v>10</v>
      </c>
      <c r="F17651" s="1" t="str">
        <f>"10.11.17.122"</f>
        <v>10.11.17.122</v>
      </c>
      <c r="G17651" s="1" t="str">
        <f>"0026S351"</f>
        <v>0026S351</v>
      </c>
      <c r="H17651" s="1" t="str">
        <f>"예관지 9R1L3L2"</f>
        <v>예관지 9R1L3L2</v>
      </c>
      <c r="I17651" s="1" t="s">
        <v>8</v>
      </c>
      <c r="J17651" s="1" t="str">
        <f>"11/14"</f>
        <v>11/14</v>
      </c>
      <c r="K17651" s="1" t="str">
        <f t="shared" si="873"/>
        <v>2026-07-29 13:18:01</v>
      </c>
      <c r="L17651" s="1" t="str">
        <f>"2018-05-23 16:01:14"</f>
        <v>2018-05-23 16:01:14</v>
      </c>
      <c r="M17651" s="1" t="s">
        <v>2</v>
      </c>
      <c r="N17651" s="1" t="s">
        <v>38</v>
      </c>
      <c r="O17651" s="1" t="s">
        <v>46</v>
      </c>
    </row>
    <row r="17652" spans="2:15" x14ac:dyDescent="0.3">
      <c r="B17652" s="1" t="s">
        <v>13</v>
      </c>
      <c r="C17652" s="1" t="str">
        <f t="shared" si="872"/>
        <v>3차</v>
      </c>
      <c r="D17652" s="1" t="str">
        <f>"0026S35330"</f>
        <v>0026S35330</v>
      </c>
      <c r="E17652" s="1" t="s">
        <v>10</v>
      </c>
      <c r="F17652" s="1" t="str">
        <f>"10.11.17.130"</f>
        <v>10.11.17.130</v>
      </c>
      <c r="G17652" s="1" t="str">
        <f>"0026S353"</f>
        <v>0026S353</v>
      </c>
      <c r="H17652" s="1" t="str">
        <f>"예관지 9R1L3L3"</f>
        <v>예관지 9R1L3L3</v>
      </c>
      <c r="I17652" s="1" t="s">
        <v>8</v>
      </c>
      <c r="J17652" s="1" t="str">
        <f>"8/8"</f>
        <v>8/8</v>
      </c>
      <c r="K17652" s="1" t="str">
        <f t="shared" si="873"/>
        <v>2026-07-29 13:18:01</v>
      </c>
      <c r="L17652" s="1" t="str">
        <f>"2018-05-28 11:15:39"</f>
        <v>2018-05-28 11:15:39</v>
      </c>
      <c r="M17652" s="1" t="s">
        <v>2</v>
      </c>
      <c r="N17652" s="1" t="s">
        <v>38</v>
      </c>
      <c r="O17652" s="1" t="s">
        <v>46</v>
      </c>
    </row>
    <row r="17653" spans="2:15" x14ac:dyDescent="0.3">
      <c r="B17653" s="1" t="s">
        <v>13</v>
      </c>
      <c r="C17653" s="1" t="str">
        <f t="shared" si="872"/>
        <v>3차</v>
      </c>
      <c r="D17653" s="1" t="str">
        <f>"0026S40239"</f>
        <v>0026S40239</v>
      </c>
      <c r="E17653" s="1" t="s">
        <v>10</v>
      </c>
      <c r="F17653" s="1" t="str">
        <f>"10.11.24.82"</f>
        <v>10.11.24.82</v>
      </c>
      <c r="G17653" s="1" t="str">
        <f>"0026S402"</f>
        <v>0026S402</v>
      </c>
      <c r="H17653" s="1" t="str">
        <f>"필묵지 6L1"</f>
        <v>필묵지 6L1</v>
      </c>
      <c r="I17653" s="1" t="s">
        <v>8</v>
      </c>
      <c r="J17653" s="1" t="str">
        <f>"4/4"</f>
        <v>4/4</v>
      </c>
      <c r="K17653" s="1" t="str">
        <f t="shared" si="873"/>
        <v>2026-07-29 13:18:01</v>
      </c>
      <c r="L17653" s="1" t="str">
        <f>"2018-05-15 17:48:59"</f>
        <v>2018-05-15 17:48:59</v>
      </c>
      <c r="M17653" s="1" t="s">
        <v>2</v>
      </c>
      <c r="N17653" s="1" t="s">
        <v>38</v>
      </c>
      <c r="O17653" s="1" t="s">
        <v>46</v>
      </c>
    </row>
    <row r="17654" spans="2:15" x14ac:dyDescent="0.3">
      <c r="B17654" s="1" t="s">
        <v>13</v>
      </c>
      <c r="C17654" s="1" t="str">
        <f t="shared" si="872"/>
        <v>3차</v>
      </c>
      <c r="D17654" s="1" t="str">
        <f>"0026S40339"</f>
        <v>0026S40339</v>
      </c>
      <c r="E17654" s="1" t="s">
        <v>10</v>
      </c>
      <c r="F17654" s="1" t="str">
        <f>"10.11.43.90"</f>
        <v>10.11.43.90</v>
      </c>
      <c r="G17654" s="1" t="str">
        <f>"0026S403"</f>
        <v>0026S403</v>
      </c>
      <c r="H17654" s="1" t="str">
        <f>"필묵지 6L3"</f>
        <v>필묵지 6L3</v>
      </c>
      <c r="I17654" s="1" t="s">
        <v>8</v>
      </c>
      <c r="J17654" s="1" t="str">
        <f>"9/9"</f>
        <v>9/9</v>
      </c>
      <c r="K17654" s="1" t="str">
        <f t="shared" si="873"/>
        <v>2026-07-29 13:18:01</v>
      </c>
      <c r="L17654" s="1" t="str">
        <f>"2018-05-28 12:37:12"</f>
        <v>2018-05-28 12:37:12</v>
      </c>
      <c r="M17654" s="1" t="s">
        <v>2</v>
      </c>
      <c r="N17654" s="1" t="s">
        <v>38</v>
      </c>
      <c r="O17654" s="1" t="s">
        <v>46</v>
      </c>
    </row>
    <row r="17655" spans="2:15" x14ac:dyDescent="0.3">
      <c r="B17655" s="1" t="s">
        <v>13</v>
      </c>
      <c r="C17655" s="1" t="str">
        <f>"4차"</f>
        <v>4차</v>
      </c>
      <c r="D17655" s="1" t="str">
        <f>"0026S54139"</f>
        <v>0026S54139</v>
      </c>
      <c r="E17655" s="1" t="s">
        <v>10</v>
      </c>
      <c r="F17655" s="1" t="str">
        <f>"10.11.41.98"</f>
        <v>10.11.41.98</v>
      </c>
      <c r="G17655" s="1" t="str">
        <f>"0026S541"</f>
        <v>0026S541</v>
      </c>
      <c r="H17655" s="1" t="str">
        <f>"퇴계로 L10-3SWA2"</f>
        <v>퇴계로 L10-3SWA2</v>
      </c>
      <c r="I17655" s="1" t="s">
        <v>8</v>
      </c>
      <c r="J17655" s="1" t="str">
        <f>"5/7"</f>
        <v>5/7</v>
      </c>
      <c r="K17655" s="1" t="str">
        <f t="shared" si="873"/>
        <v>2026-07-29 13:18:01</v>
      </c>
      <c r="L17655" s="1" t="str">
        <f>"2018-05-15 17:51:59"</f>
        <v>2018-05-15 17:51:59</v>
      </c>
      <c r="M17655" s="1" t="s">
        <v>2</v>
      </c>
      <c r="N17655" s="1" t="s">
        <v>38</v>
      </c>
      <c r="O17655" s="1" t="s">
        <v>46</v>
      </c>
    </row>
    <row r="17656" spans="2:15" x14ac:dyDescent="0.3">
      <c r="B17656" s="1" t="s">
        <v>13</v>
      </c>
      <c r="C17656" s="1" t="str">
        <f>"3차"</f>
        <v>3차</v>
      </c>
      <c r="D17656" s="1" t="str">
        <f>"0026S57439"</f>
        <v>0026S57439</v>
      </c>
      <c r="E17656" s="1" t="s">
        <v>10</v>
      </c>
      <c r="F17656" s="1" t="str">
        <f>"10.11.17.2"</f>
        <v>10.11.17.2</v>
      </c>
      <c r="G17656" s="1" t="str">
        <f>"0026S574"</f>
        <v>0026S574</v>
      </c>
      <c r="H17656" s="1" t="str">
        <f>"예관지 9"</f>
        <v>예관지 9</v>
      </c>
      <c r="I17656" s="1" t="s">
        <v>8</v>
      </c>
      <c r="J17656" s="1" t="str">
        <f>"5/5"</f>
        <v>5/5</v>
      </c>
      <c r="K17656" s="1" t="str">
        <f t="shared" si="873"/>
        <v>2026-07-29 13:18:01</v>
      </c>
      <c r="L17656" s="1" t="str">
        <f>"2018-02-21 13:49:40"</f>
        <v>2018-02-21 13:49:40</v>
      </c>
      <c r="M17656" s="1" t="s">
        <v>2</v>
      </c>
      <c r="N17656" s="1" t="s">
        <v>38</v>
      </c>
      <c r="O17656" s="1" t="s">
        <v>46</v>
      </c>
    </row>
    <row r="17657" spans="2:15" x14ac:dyDescent="0.3">
      <c r="B17657" s="1" t="s">
        <v>13</v>
      </c>
      <c r="C17657" s="1" t="str">
        <f>"3차"</f>
        <v>3차</v>
      </c>
      <c r="D17657" s="1" t="str">
        <f>"0026S63439"</f>
        <v>0026S63439</v>
      </c>
      <c r="E17657" s="1" t="s">
        <v>10</v>
      </c>
      <c r="F17657" s="1" t="str">
        <f>"10.11.17.74"</f>
        <v>10.11.17.74</v>
      </c>
      <c r="G17657" s="1" t="str">
        <f>"0026S634"</f>
        <v>0026S634</v>
      </c>
      <c r="H17657" s="1" t="str">
        <f>"예관지 16L2"</f>
        <v>예관지 16L2</v>
      </c>
      <c r="I17657" s="1" t="s">
        <v>8</v>
      </c>
      <c r="J17657" s="1" t="str">
        <f>"31/31"</f>
        <v>31/31</v>
      </c>
      <c r="K17657" s="1" t="str">
        <f>"2026-07-29 13:18:00"</f>
        <v>2026-07-29 13:18:00</v>
      </c>
      <c r="L17657" s="1" t="str">
        <f>"2018-02-22 11:16:14"</f>
        <v>2018-02-22 11:16:14</v>
      </c>
      <c r="M17657" s="1" t="s">
        <v>2</v>
      </c>
      <c r="N17657" s="1" t="s">
        <v>38</v>
      </c>
      <c r="O17657" s="1" t="s">
        <v>46</v>
      </c>
    </row>
    <row r="17658" spans="2:15" x14ac:dyDescent="0.3">
      <c r="B17658" s="1" t="s">
        <v>13</v>
      </c>
      <c r="C17658" s="1" t="str">
        <f>"4차"</f>
        <v>4차</v>
      </c>
      <c r="D17658" s="1" t="str">
        <f>"0026S66139"</f>
        <v>0026S66139</v>
      </c>
      <c r="E17658" s="1" t="s">
        <v>10</v>
      </c>
      <c r="F17658" s="1" t="str">
        <f>"10.11.36.26"</f>
        <v>10.11.36.26</v>
      </c>
      <c r="G17658" s="1" t="str">
        <f>"0026S661"</f>
        <v>0026S661</v>
      </c>
      <c r="H17658" s="1" t="str">
        <f>"예관지 10L1R2"</f>
        <v>예관지 10L1R2</v>
      </c>
      <c r="I17658" s="1" t="s">
        <v>8</v>
      </c>
      <c r="J17658" s="1" t="str">
        <f>"20/23"</f>
        <v>20/23</v>
      </c>
      <c r="K17658" s="1" t="str">
        <f>"2026-07-29 13:18:00"</f>
        <v>2026-07-29 13:18:00</v>
      </c>
      <c r="L17658" s="1" t="str">
        <f>"2018-05-17 17:11:14"</f>
        <v>2018-05-17 17:11:14</v>
      </c>
      <c r="M17658" s="1" t="s">
        <v>2</v>
      </c>
      <c r="N17658" s="1" t="s">
        <v>38</v>
      </c>
      <c r="O17658" s="1" t="s">
        <v>46</v>
      </c>
    </row>
    <row r="17659" spans="2:15" x14ac:dyDescent="0.3">
      <c r="B17659" s="1" t="s">
        <v>13</v>
      </c>
      <c r="C17659" s="1" t="str">
        <f t="shared" ref="C17659:C17667" si="874">"3차"</f>
        <v>3차</v>
      </c>
      <c r="D17659" s="1" t="str">
        <f>"0026S67439"</f>
        <v>0026S67439</v>
      </c>
      <c r="E17659" s="1" t="s">
        <v>10</v>
      </c>
      <c r="F17659" s="1" t="str">
        <f>"10.11.17.10"</f>
        <v>10.11.17.10</v>
      </c>
      <c r="G17659" s="1" t="str">
        <f>"0026S674"</f>
        <v>0026S674</v>
      </c>
      <c r="H17659" s="1" t="str">
        <f>"예관지 10L1L1"</f>
        <v>예관지 10L1L1</v>
      </c>
      <c r="I17659" s="1" t="s">
        <v>8</v>
      </c>
      <c r="J17659" s="1" t="str">
        <f>"6/6"</f>
        <v>6/6</v>
      </c>
      <c r="K17659" s="1" t="str">
        <f>"2026-07-29 13:18:01"</f>
        <v>2026-07-29 13:18:01</v>
      </c>
      <c r="L17659" s="1" t="str">
        <f>"2018-02-22 17:56:18"</f>
        <v>2018-02-22 17:56:18</v>
      </c>
      <c r="M17659" s="1" t="s">
        <v>2</v>
      </c>
      <c r="N17659" s="1" t="s">
        <v>38</v>
      </c>
      <c r="O17659" s="1" t="s">
        <v>46</v>
      </c>
    </row>
    <row r="17660" spans="2:15" x14ac:dyDescent="0.3">
      <c r="B17660" s="1" t="s">
        <v>13</v>
      </c>
      <c r="C17660" s="1" t="str">
        <f t="shared" si="874"/>
        <v>3차</v>
      </c>
      <c r="D17660" s="1" t="str">
        <f>"0026S68139"</f>
        <v>0026S68139</v>
      </c>
      <c r="E17660" s="1" t="s">
        <v>10</v>
      </c>
      <c r="F17660" s="1" t="str">
        <f>"10.11.36.2"</f>
        <v>10.11.36.2</v>
      </c>
      <c r="G17660" s="1" t="str">
        <f>"0026S681"</f>
        <v>0026S681</v>
      </c>
      <c r="H17660" s="1" t="str">
        <f>"예관지 10L1L2"</f>
        <v>예관지 10L1L2</v>
      </c>
      <c r="I17660" s="1" t="s">
        <v>8</v>
      </c>
      <c r="J17660" s="1" t="str">
        <f>"15/15"</f>
        <v>15/15</v>
      </c>
      <c r="K17660" s="1" t="str">
        <f>"2026-07-29 13:18:00"</f>
        <v>2026-07-29 13:18:00</v>
      </c>
      <c r="L17660" s="1" t="str">
        <f>"2018-05-23 18:11:29"</f>
        <v>2018-05-23 18:11:29</v>
      </c>
      <c r="M17660" s="1" t="s">
        <v>2</v>
      </c>
      <c r="N17660" s="1" t="s">
        <v>38</v>
      </c>
      <c r="O17660" s="1" t="s">
        <v>46</v>
      </c>
    </row>
    <row r="17661" spans="2:15" x14ac:dyDescent="0.3">
      <c r="B17661" s="1" t="s">
        <v>13</v>
      </c>
      <c r="C17661" s="1" t="str">
        <f t="shared" si="874"/>
        <v>3차</v>
      </c>
      <c r="D17661" s="1" t="str">
        <f>"0026S68239"</f>
        <v>0026S68239</v>
      </c>
      <c r="E17661" s="1" t="s">
        <v>10</v>
      </c>
      <c r="F17661" s="1" t="str">
        <f>"10.11.36.114"</f>
        <v>10.11.36.114</v>
      </c>
      <c r="G17661" s="1" t="str">
        <f>"0026S682"</f>
        <v>0026S682</v>
      </c>
      <c r="H17661" s="1" t="str">
        <f>"예관지 8L3"</f>
        <v>예관지 8L3</v>
      </c>
      <c r="I17661" s="1" t="s">
        <v>8</v>
      </c>
      <c r="J17661" s="1" t="str">
        <f>"20/21"</f>
        <v>20/21</v>
      </c>
      <c r="K17661" s="1" t="str">
        <f>"2026-07-29 13:18:00"</f>
        <v>2026-07-29 13:18:00</v>
      </c>
      <c r="L17661" s="1" t="str">
        <f>"2018-03-10 13:46:56"</f>
        <v>2018-03-10 13:46:56</v>
      </c>
      <c r="M17661" s="1" t="s">
        <v>2</v>
      </c>
      <c r="N17661" s="1" t="s">
        <v>38</v>
      </c>
      <c r="O17661" s="1" t="s">
        <v>46</v>
      </c>
    </row>
    <row r="17662" spans="2:15" x14ac:dyDescent="0.3">
      <c r="B17662" s="1" t="s">
        <v>13</v>
      </c>
      <c r="C17662" s="1" t="str">
        <f t="shared" si="874"/>
        <v>3차</v>
      </c>
      <c r="D17662" s="1" t="str">
        <f>"0026S68339"</f>
        <v>0026S68339</v>
      </c>
      <c r="E17662" s="1" t="s">
        <v>10</v>
      </c>
      <c r="F17662" s="1" t="str">
        <f>"10.11.17.114"</f>
        <v>10.11.17.114</v>
      </c>
      <c r="G17662" s="1" t="str">
        <f>"0026S683"</f>
        <v>0026S683</v>
      </c>
      <c r="H17662" s="1" t="str">
        <f>"예관지 8L2"</f>
        <v>예관지 8L2</v>
      </c>
      <c r="I17662" s="1" t="s">
        <v>8</v>
      </c>
      <c r="J17662" s="1" t="str">
        <f>"8/9"</f>
        <v>8/9</v>
      </c>
      <c r="K17662" s="1" t="str">
        <f>"2026-07-29 13:18:00"</f>
        <v>2026-07-29 13:18:00</v>
      </c>
      <c r="L17662" s="1" t="str">
        <f>"2018-03-10 14:05:41"</f>
        <v>2018-03-10 14:05:41</v>
      </c>
      <c r="M17662" s="1" t="s">
        <v>2</v>
      </c>
      <c r="N17662" s="1" t="s">
        <v>38</v>
      </c>
      <c r="O17662" s="1" t="s">
        <v>46</v>
      </c>
    </row>
    <row r="17663" spans="2:15" x14ac:dyDescent="0.3">
      <c r="B17663" s="1" t="s">
        <v>13</v>
      </c>
      <c r="C17663" s="1" t="str">
        <f t="shared" si="874"/>
        <v>3차</v>
      </c>
      <c r="D17663" s="1" t="str">
        <f>"0026S68439"</f>
        <v>0026S68439</v>
      </c>
      <c r="E17663" s="1" t="s">
        <v>10</v>
      </c>
      <c r="F17663" s="1" t="str">
        <f>"10.11.36.10"</f>
        <v>10.11.36.10</v>
      </c>
      <c r="G17663" s="1" t="str">
        <f>"0026S684"</f>
        <v>0026S684</v>
      </c>
      <c r="H17663" s="1" t="str">
        <f>"예관지 10L1L3"</f>
        <v>예관지 10L1L3</v>
      </c>
      <c r="I17663" s="1" t="s">
        <v>8</v>
      </c>
      <c r="J17663" s="1" t="str">
        <f>"11/11"</f>
        <v>11/11</v>
      </c>
      <c r="K17663" s="1" t="str">
        <f>"2026-07-29 13:18:01"</f>
        <v>2026-07-29 13:18:01</v>
      </c>
      <c r="L17663" s="1" t="str">
        <f>"2018-05-17 17:07:43"</f>
        <v>2018-05-17 17:07:43</v>
      </c>
      <c r="M17663" s="1" t="s">
        <v>2</v>
      </c>
      <c r="N17663" s="1" t="s">
        <v>38</v>
      </c>
      <c r="O17663" s="1" t="s">
        <v>46</v>
      </c>
    </row>
    <row r="17664" spans="2:15" x14ac:dyDescent="0.3">
      <c r="B17664" s="1" t="s">
        <v>13</v>
      </c>
      <c r="C17664" s="1" t="str">
        <f t="shared" si="874"/>
        <v>3차</v>
      </c>
      <c r="D17664" s="1" t="str">
        <f>"0026S73139"</f>
        <v>0026S73139</v>
      </c>
      <c r="E17664" s="1" t="s">
        <v>10</v>
      </c>
      <c r="F17664" s="1" t="str">
        <f>"10.11.17.66"</f>
        <v>10.11.17.66</v>
      </c>
      <c r="G17664" s="1" t="str">
        <f>"0026S731"</f>
        <v>0026S731</v>
      </c>
      <c r="H17664" s="1" t="str">
        <f>"예관지 16L2R1"</f>
        <v>예관지 16L2R1</v>
      </c>
      <c r="I17664" s="1" t="s">
        <v>8</v>
      </c>
      <c r="J17664" s="1" t="str">
        <f>"6/6"</f>
        <v>6/6</v>
      </c>
      <c r="K17664" s="1" t="str">
        <f>"2026-07-29 13:18:01"</f>
        <v>2026-07-29 13:18:01</v>
      </c>
      <c r="L17664" s="1" t="str">
        <f>"2018-02-22 10:43:59"</f>
        <v>2018-02-22 10:43:59</v>
      </c>
      <c r="M17664" s="1" t="s">
        <v>2</v>
      </c>
      <c r="N17664" s="1" t="s">
        <v>38</v>
      </c>
      <c r="O17664" s="1" t="s">
        <v>46</v>
      </c>
    </row>
    <row r="17665" spans="2:15" x14ac:dyDescent="0.3">
      <c r="B17665" s="1" t="s">
        <v>13</v>
      </c>
      <c r="C17665" s="1" t="str">
        <f t="shared" si="874"/>
        <v>3차</v>
      </c>
      <c r="D17665" s="1" t="str">
        <f>"0026S73339"</f>
        <v>0026S73339</v>
      </c>
      <c r="E17665" s="1" t="s">
        <v>10</v>
      </c>
      <c r="F17665" s="1" t="str">
        <f>"10.11.36.66"</f>
        <v>10.11.36.66</v>
      </c>
      <c r="G17665" s="1" t="str">
        <f>"0026S733"</f>
        <v>0026S733</v>
      </c>
      <c r="H17665" s="1" t="str">
        <f>"예관지 16L2R2"</f>
        <v>예관지 16L2R2</v>
      </c>
      <c r="I17665" s="1" t="s">
        <v>8</v>
      </c>
      <c r="J17665" s="1" t="str">
        <f>"11/11"</f>
        <v>11/11</v>
      </c>
      <c r="K17665" s="1" t="str">
        <f>"2026-07-29 13:18:01"</f>
        <v>2026-07-29 13:18:01</v>
      </c>
      <c r="L17665" s="1" t="str">
        <f>"2018-02-22 12:28:46"</f>
        <v>2018-02-22 12:28:46</v>
      </c>
      <c r="M17665" s="1" t="s">
        <v>2</v>
      </c>
      <c r="N17665" s="1" t="s">
        <v>38</v>
      </c>
      <c r="O17665" s="1" t="s">
        <v>46</v>
      </c>
    </row>
    <row r="17666" spans="2:15" x14ac:dyDescent="0.3">
      <c r="B17666" s="1" t="s">
        <v>13</v>
      </c>
      <c r="C17666" s="1" t="str">
        <f t="shared" si="874"/>
        <v>3차</v>
      </c>
      <c r="D17666" s="1" t="str">
        <f>"0026S74139"</f>
        <v>0026S74139</v>
      </c>
      <c r="E17666" s="1" t="s">
        <v>10</v>
      </c>
      <c r="F17666" s="1" t="str">
        <f>"10.11.36.74"</f>
        <v>10.11.36.74</v>
      </c>
      <c r="G17666" s="1" t="str">
        <f>"0026S741"</f>
        <v>0026S741</v>
      </c>
      <c r="H17666" s="1" t="str">
        <f>"예관지 16L3"</f>
        <v>예관지 16L3</v>
      </c>
      <c r="I17666" s="1" t="s">
        <v>8</v>
      </c>
      <c r="J17666" s="1" t="str">
        <f>"5/5"</f>
        <v>5/5</v>
      </c>
      <c r="K17666" s="1" t="str">
        <f>"2026-07-29 13:18:01"</f>
        <v>2026-07-29 13:18:01</v>
      </c>
      <c r="L17666" s="1" t="str">
        <f>"2018-02-22 13:00:47"</f>
        <v>2018-02-22 13:00:47</v>
      </c>
      <c r="M17666" s="1" t="s">
        <v>2</v>
      </c>
      <c r="N17666" s="1" t="s">
        <v>38</v>
      </c>
      <c r="O17666" s="1" t="s">
        <v>46</v>
      </c>
    </row>
    <row r="17667" spans="2:15" x14ac:dyDescent="0.3">
      <c r="B17667" s="1" t="s">
        <v>13</v>
      </c>
      <c r="C17667" s="1" t="str">
        <f t="shared" si="874"/>
        <v>3차</v>
      </c>
      <c r="D17667" s="1" t="str">
        <f>"0026S74239"</f>
        <v>0026S74239</v>
      </c>
      <c r="E17667" s="1" t="s">
        <v>10</v>
      </c>
      <c r="F17667" s="1" t="str">
        <f>"10.11.17.50"</f>
        <v>10.11.17.50</v>
      </c>
      <c r="G17667" s="1" t="str">
        <f>"0026S742"</f>
        <v>0026S742</v>
      </c>
      <c r="H17667" s="1" t="str">
        <f>"예관지 10L1R4"</f>
        <v>예관지 10L1R4</v>
      </c>
      <c r="I17667" s="1" t="s">
        <v>8</v>
      </c>
      <c r="J17667" s="1" t="str">
        <f>"7/7"</f>
        <v>7/7</v>
      </c>
      <c r="K17667" s="1" t="str">
        <f>"2026-07-29 13:18:01"</f>
        <v>2026-07-29 13:18:01</v>
      </c>
      <c r="L17667" s="1" t="str">
        <f>"2018-05-17 17:23:58"</f>
        <v>2018-05-17 17:23:58</v>
      </c>
      <c r="M17667" s="1" t="s">
        <v>2</v>
      </c>
      <c r="N17667" s="1" t="s">
        <v>38</v>
      </c>
      <c r="O17667" s="1" t="s">
        <v>46</v>
      </c>
    </row>
    <row r="17668" spans="2:15" x14ac:dyDescent="0.3">
      <c r="B17668" s="1" t="s">
        <v>13</v>
      </c>
      <c r="C17668" s="1" t="str">
        <f>"5-2차"</f>
        <v>5-2차</v>
      </c>
      <c r="D17668" s="1" t="str">
        <f>"0026S7445M"</f>
        <v>0026S7445M</v>
      </c>
      <c r="E17668" s="1" t="s">
        <v>10</v>
      </c>
      <c r="F17668" s="1" t="str">
        <f>"fde2:104:0:176:0:0:0:2"</f>
        <v>fde2:104:0:176:0:0:0:2</v>
      </c>
      <c r="G17668" s="1" t="str">
        <f>"0026S744"</f>
        <v>0026S744</v>
      </c>
      <c r="H17668" s="1" t="str">
        <f>"예관지 16L3L1"</f>
        <v>예관지 16L3L1</v>
      </c>
      <c r="I17668" s="1" t="s">
        <v>15</v>
      </c>
      <c r="J17668" s="1" t="str">
        <f>"52/52"</f>
        <v>52/52</v>
      </c>
      <c r="K17668" s="1" t="str">
        <f>"2026-07-29 14:20:18"</f>
        <v>2026-07-29 14:20:18</v>
      </c>
      <c r="L17668" s="1" t="str">
        <f>"2023-05-23 15:49:23"</f>
        <v>2023-05-23 15:49:23</v>
      </c>
      <c r="M17668" s="1" t="s">
        <v>42</v>
      </c>
      <c r="N17668" s="1" t="s">
        <v>38</v>
      </c>
      <c r="O17668" s="1" t="s">
        <v>46</v>
      </c>
    </row>
    <row r="17669" spans="2:15" x14ac:dyDescent="0.3">
      <c r="B17669" s="1" t="s">
        <v>13</v>
      </c>
      <c r="C17669" s="1" t="str">
        <f>"4차"</f>
        <v>4차</v>
      </c>
      <c r="D17669" s="1" t="str">
        <f>"0026S75130"</f>
        <v>0026S75130</v>
      </c>
      <c r="E17669" s="1" t="s">
        <v>10</v>
      </c>
      <c r="F17669" s="1" t="str">
        <f>"10.11.17.42"</f>
        <v>10.11.17.42</v>
      </c>
      <c r="G17669" s="1" t="str">
        <f>"0026S751"</f>
        <v>0026S751</v>
      </c>
      <c r="H17669" s="1" t="str">
        <f>"예관지 10L1R3"</f>
        <v>예관지 10L1R3</v>
      </c>
      <c r="I17669" s="1" t="s">
        <v>8</v>
      </c>
      <c r="J17669" s="1" t="str">
        <f>"17/17"</f>
        <v>17/17</v>
      </c>
      <c r="K17669" s="1" t="str">
        <f t="shared" ref="K17669:K17688" si="875">"2026-07-29 13:18:01"</f>
        <v>2026-07-29 13:18:01</v>
      </c>
      <c r="L17669" s="1" t="str">
        <f>"2018-05-15 10:08:24"</f>
        <v>2018-05-15 10:08:24</v>
      </c>
      <c r="M17669" s="1" t="s">
        <v>2</v>
      </c>
      <c r="N17669" s="1" t="s">
        <v>38</v>
      </c>
      <c r="O17669" s="1" t="s">
        <v>46</v>
      </c>
    </row>
    <row r="17670" spans="2:15" x14ac:dyDescent="0.3">
      <c r="B17670" s="1" t="s">
        <v>13</v>
      </c>
      <c r="C17670" s="1" t="str">
        <f t="shared" ref="C17670:C17681" si="876">"3차"</f>
        <v>3차</v>
      </c>
      <c r="D17670" s="1" t="str">
        <f>"0026S75239"</f>
        <v>0026S75239</v>
      </c>
      <c r="E17670" s="1" t="s">
        <v>10</v>
      </c>
      <c r="F17670" s="1" t="str">
        <f>"10.11.36.42"</f>
        <v>10.11.36.42</v>
      </c>
      <c r="G17670" s="1" t="str">
        <f>"0026S752"</f>
        <v>0026S752</v>
      </c>
      <c r="H17670" s="1" t="str">
        <f>"예관지 10L1R4H1"</f>
        <v>예관지 10L1R4H1</v>
      </c>
      <c r="I17670" s="1" t="s">
        <v>8</v>
      </c>
      <c r="J17670" s="1" t="str">
        <f>"7/7"</f>
        <v>7/7</v>
      </c>
      <c r="K17670" s="1" t="str">
        <f t="shared" si="875"/>
        <v>2026-07-29 13:18:01</v>
      </c>
      <c r="L17670" s="1" t="str">
        <f>"2018-05-17 17:09:43"</f>
        <v>2018-05-17 17:09:43</v>
      </c>
      <c r="M17670" s="1" t="s">
        <v>2</v>
      </c>
      <c r="N17670" s="1" t="s">
        <v>38</v>
      </c>
      <c r="O17670" s="1" t="s">
        <v>46</v>
      </c>
    </row>
    <row r="17671" spans="2:15" x14ac:dyDescent="0.3">
      <c r="B17671" s="1" t="s">
        <v>13</v>
      </c>
      <c r="C17671" s="1" t="str">
        <f t="shared" si="876"/>
        <v>3차</v>
      </c>
      <c r="D17671" s="1" t="str">
        <f>"0026S76139"</f>
        <v>0026S76139</v>
      </c>
      <c r="E17671" s="1" t="s">
        <v>10</v>
      </c>
      <c r="F17671" s="1" t="str">
        <f>"10.11.17.34"</f>
        <v>10.11.17.34</v>
      </c>
      <c r="G17671" s="1" t="str">
        <f>"0026S761"</f>
        <v>0026S761</v>
      </c>
      <c r="H17671" s="1" t="str">
        <f>"예관지 10L1R1L1"</f>
        <v>예관지 10L1R1L1</v>
      </c>
      <c r="I17671" s="1" t="s">
        <v>8</v>
      </c>
      <c r="J17671" s="1" t="str">
        <f>"1/1"</f>
        <v>1/1</v>
      </c>
      <c r="K17671" s="1" t="str">
        <f t="shared" si="875"/>
        <v>2026-07-29 13:18:01</v>
      </c>
      <c r="L17671" s="1" t="str">
        <f>"2018-05-25 19:25:14"</f>
        <v>2018-05-25 19:25:14</v>
      </c>
      <c r="M17671" s="1" t="s">
        <v>2</v>
      </c>
      <c r="N17671" s="1" t="s">
        <v>38</v>
      </c>
      <c r="O17671" s="1" t="s">
        <v>46</v>
      </c>
    </row>
    <row r="17672" spans="2:15" x14ac:dyDescent="0.3">
      <c r="B17672" s="1" t="s">
        <v>13</v>
      </c>
      <c r="C17672" s="1" t="str">
        <f t="shared" si="876"/>
        <v>3차</v>
      </c>
      <c r="D17672" s="1" t="str">
        <f>"0026S77139"</f>
        <v>0026S77139</v>
      </c>
      <c r="E17672" s="1" t="s">
        <v>10</v>
      </c>
      <c r="F17672" s="1" t="str">
        <f>"10.11.36.50"</f>
        <v>10.11.36.50</v>
      </c>
      <c r="G17672" s="1" t="str">
        <f>"0026S771"</f>
        <v>0026S771</v>
      </c>
      <c r="H17672" s="1" t="str">
        <f>"예관지 10L2"</f>
        <v>예관지 10L2</v>
      </c>
      <c r="I17672" s="1" t="s">
        <v>8</v>
      </c>
      <c r="J17672" s="1" t="str">
        <f>"10/10"</f>
        <v>10/10</v>
      </c>
      <c r="K17672" s="1" t="str">
        <f t="shared" si="875"/>
        <v>2026-07-29 13:18:01</v>
      </c>
      <c r="L17672" s="1" t="str">
        <f>"2018-05-17 17:17:28"</f>
        <v>2018-05-17 17:17:28</v>
      </c>
      <c r="M17672" s="1" t="s">
        <v>2</v>
      </c>
      <c r="N17672" s="1" t="s">
        <v>38</v>
      </c>
      <c r="O17672" s="1" t="s">
        <v>46</v>
      </c>
    </row>
    <row r="17673" spans="2:15" x14ac:dyDescent="0.3">
      <c r="B17673" s="1" t="s">
        <v>13</v>
      </c>
      <c r="C17673" s="1" t="str">
        <f t="shared" si="876"/>
        <v>3차</v>
      </c>
      <c r="D17673" s="1" t="str">
        <f>"0026S78139"</f>
        <v>0026S78139</v>
      </c>
      <c r="E17673" s="1" t="s">
        <v>10</v>
      </c>
      <c r="F17673" s="1" t="str">
        <f>"10.11.17.26"</f>
        <v>10.11.17.26</v>
      </c>
      <c r="G17673" s="1" t="str">
        <f>"0026S781"</f>
        <v>0026S781</v>
      </c>
      <c r="H17673" s="1" t="str">
        <f>"예관지 10L1L4"</f>
        <v>예관지 10L1L4</v>
      </c>
      <c r="I17673" s="1" t="s">
        <v>8</v>
      </c>
      <c r="J17673" s="1" t="str">
        <f>"26/26"</f>
        <v>26/26</v>
      </c>
      <c r="K17673" s="1" t="str">
        <f t="shared" si="875"/>
        <v>2026-07-29 13:18:01</v>
      </c>
      <c r="L17673" s="1" t="str">
        <f>"2018-05-17 17:08:43"</f>
        <v>2018-05-17 17:08:43</v>
      </c>
      <c r="M17673" s="1" t="s">
        <v>2</v>
      </c>
      <c r="N17673" s="1" t="s">
        <v>38</v>
      </c>
      <c r="O17673" s="1" t="s">
        <v>46</v>
      </c>
    </row>
    <row r="17674" spans="2:15" x14ac:dyDescent="0.3">
      <c r="B17674" s="1" t="s">
        <v>13</v>
      </c>
      <c r="C17674" s="1" t="str">
        <f t="shared" si="876"/>
        <v>3차</v>
      </c>
      <c r="D17674" s="1" t="str">
        <f>"0026S78239"</f>
        <v>0026S78239</v>
      </c>
      <c r="E17674" s="1" t="s">
        <v>10</v>
      </c>
      <c r="F17674" s="1" t="str">
        <f>"10.11.36.18"</f>
        <v>10.11.36.18</v>
      </c>
      <c r="G17674" s="1" t="str">
        <f>"0026S782"</f>
        <v>0026S782</v>
      </c>
      <c r="H17674" s="1" t="str">
        <f>"예관지 10L1L5"</f>
        <v>예관지 10L1L5</v>
      </c>
      <c r="I17674" s="1" t="s">
        <v>8</v>
      </c>
      <c r="J17674" s="1" t="str">
        <f>"15/15"</f>
        <v>15/15</v>
      </c>
      <c r="K17674" s="1" t="str">
        <f t="shared" si="875"/>
        <v>2026-07-29 13:18:01</v>
      </c>
      <c r="L17674" s="1" t="str">
        <f>"2018-05-17 17:09:27"</f>
        <v>2018-05-17 17:09:27</v>
      </c>
      <c r="M17674" s="1" t="s">
        <v>2</v>
      </c>
      <c r="N17674" s="1" t="s">
        <v>38</v>
      </c>
      <c r="O17674" s="1" t="s">
        <v>46</v>
      </c>
    </row>
    <row r="17675" spans="2:15" x14ac:dyDescent="0.3">
      <c r="B17675" s="1" t="s">
        <v>13</v>
      </c>
      <c r="C17675" s="1" t="str">
        <f t="shared" si="876"/>
        <v>3차</v>
      </c>
      <c r="D17675" s="1" t="str">
        <f>"0026S79239"</f>
        <v>0026S79239</v>
      </c>
      <c r="E17675" s="1" t="s">
        <v>10</v>
      </c>
      <c r="F17675" s="1" t="str">
        <f>"10.11.17.250"</f>
        <v>10.11.17.250</v>
      </c>
      <c r="G17675" s="1" t="str">
        <f>"0026S792"</f>
        <v>0026S792</v>
      </c>
      <c r="H17675" s="1" t="str">
        <f>"을지간 36L4R7"</f>
        <v>을지간 36L4R7</v>
      </c>
      <c r="I17675" s="1" t="s">
        <v>8</v>
      </c>
      <c r="J17675" s="1" t="str">
        <f>"20/20"</f>
        <v>20/20</v>
      </c>
      <c r="K17675" s="1" t="str">
        <f t="shared" si="875"/>
        <v>2026-07-29 13:18:01</v>
      </c>
      <c r="L17675" s="1" t="str">
        <f>"2018-05-15 16:18:43"</f>
        <v>2018-05-15 16:18:43</v>
      </c>
      <c r="M17675" s="1" t="s">
        <v>2</v>
      </c>
      <c r="N17675" s="1" t="s">
        <v>38</v>
      </c>
      <c r="O17675" s="1" t="s">
        <v>46</v>
      </c>
    </row>
    <row r="17676" spans="2:15" x14ac:dyDescent="0.3">
      <c r="B17676" s="1" t="s">
        <v>13</v>
      </c>
      <c r="C17676" s="1" t="str">
        <f t="shared" si="876"/>
        <v>3차</v>
      </c>
      <c r="D17676" s="1" t="str">
        <f>"0026S84139"</f>
        <v>0026S84139</v>
      </c>
      <c r="E17676" s="1" t="s">
        <v>10</v>
      </c>
      <c r="F17676" s="1" t="str">
        <f>"10.11.34.66"</f>
        <v>10.11.34.66</v>
      </c>
      <c r="G17676" s="1" t="str">
        <f>"0026S841"</f>
        <v>0026S841</v>
      </c>
      <c r="H17676" s="1" t="str">
        <f>"방묵지 24"</f>
        <v>방묵지 24</v>
      </c>
      <c r="I17676" s="1" t="s">
        <v>8</v>
      </c>
      <c r="J17676" s="1" t="str">
        <f>"5/5"</f>
        <v>5/5</v>
      </c>
      <c r="K17676" s="1" t="str">
        <f t="shared" si="875"/>
        <v>2026-07-29 13:18:01</v>
      </c>
      <c r="L17676" s="1" t="str">
        <f>"2018-02-22 12:39:00"</f>
        <v>2018-02-22 12:39:00</v>
      </c>
      <c r="M17676" s="1" t="s">
        <v>2</v>
      </c>
      <c r="N17676" s="1" t="s">
        <v>38</v>
      </c>
      <c r="O17676" s="1" t="s">
        <v>46</v>
      </c>
    </row>
    <row r="17677" spans="2:15" x14ac:dyDescent="0.3">
      <c r="B17677" s="1" t="s">
        <v>13</v>
      </c>
      <c r="C17677" s="1" t="str">
        <f t="shared" si="876"/>
        <v>3차</v>
      </c>
      <c r="D17677" s="1" t="str">
        <f>"0026S84239"</f>
        <v>0026S84239</v>
      </c>
      <c r="E17677" s="1" t="s">
        <v>10</v>
      </c>
      <c r="F17677" s="1" t="str">
        <f>"10.11.15.170"</f>
        <v>10.11.15.170</v>
      </c>
      <c r="G17677" s="1" t="str">
        <f>"0026S842"</f>
        <v>0026S842</v>
      </c>
      <c r="H17677" s="1" t="str">
        <f>"방묵지 23"</f>
        <v>방묵지 23</v>
      </c>
      <c r="I17677" s="1" t="s">
        <v>8</v>
      </c>
      <c r="J17677" s="1" t="str">
        <f>"2/9"</f>
        <v>2/9</v>
      </c>
      <c r="K17677" s="1" t="str">
        <f t="shared" si="875"/>
        <v>2026-07-29 13:18:01</v>
      </c>
      <c r="L17677" s="1" t="str">
        <f>"2018-03-05 14:50:15"</f>
        <v>2018-03-05 14:50:15</v>
      </c>
      <c r="M17677" s="1" t="s">
        <v>2</v>
      </c>
      <c r="N17677" s="1" t="s">
        <v>38</v>
      </c>
      <c r="O17677" s="1" t="s">
        <v>46</v>
      </c>
    </row>
    <row r="17678" spans="2:15" x14ac:dyDescent="0.3">
      <c r="B17678" s="1" t="s">
        <v>13</v>
      </c>
      <c r="C17678" s="1" t="str">
        <f t="shared" si="876"/>
        <v>3차</v>
      </c>
      <c r="D17678" s="1" t="str">
        <f>"0026S87139"</f>
        <v>0026S87139</v>
      </c>
      <c r="E17678" s="1" t="s">
        <v>10</v>
      </c>
      <c r="F17678" s="1" t="str">
        <f>"10.11.36.58"</f>
        <v>10.11.36.58</v>
      </c>
      <c r="G17678" s="1" t="str">
        <f>"0026S871"</f>
        <v>0026S871</v>
      </c>
      <c r="H17678" s="1" t="str">
        <f>"예관지 10L4"</f>
        <v>예관지 10L4</v>
      </c>
      <c r="I17678" s="1" t="s">
        <v>8</v>
      </c>
      <c r="J17678" s="1" t="str">
        <f>"5/5"</f>
        <v>5/5</v>
      </c>
      <c r="K17678" s="1" t="str">
        <f t="shared" si="875"/>
        <v>2026-07-29 13:18:01</v>
      </c>
      <c r="L17678" s="1" t="str">
        <f>"2018-05-17 17:18:13"</f>
        <v>2018-05-17 17:18:13</v>
      </c>
      <c r="M17678" s="1" t="s">
        <v>2</v>
      </c>
      <c r="N17678" s="1" t="s">
        <v>38</v>
      </c>
      <c r="O17678" s="1" t="s">
        <v>46</v>
      </c>
    </row>
    <row r="17679" spans="2:15" x14ac:dyDescent="0.3">
      <c r="B17679" s="1" t="s">
        <v>13</v>
      </c>
      <c r="C17679" s="1" t="str">
        <f t="shared" si="876"/>
        <v>3차</v>
      </c>
      <c r="D17679" s="1" t="str">
        <f>"0026S90139"</f>
        <v>0026S90139</v>
      </c>
      <c r="E17679" s="1" t="s">
        <v>10</v>
      </c>
      <c r="F17679" s="1" t="str">
        <f>"10.11.23.250"</f>
        <v>10.11.23.250</v>
      </c>
      <c r="G17679" s="1" t="str">
        <f>"0026S901"</f>
        <v>0026S901</v>
      </c>
      <c r="H17679" s="1" t="str">
        <f>"필묵지 11L3"</f>
        <v>필묵지 11L3</v>
      </c>
      <c r="I17679" s="1" t="s">
        <v>8</v>
      </c>
      <c r="J17679" s="1" t="str">
        <f>"11/11"</f>
        <v>11/11</v>
      </c>
      <c r="K17679" s="1" t="str">
        <f t="shared" si="875"/>
        <v>2026-07-29 13:18:01</v>
      </c>
      <c r="L17679" s="1" t="str">
        <f>"2018-05-15 17:34:45"</f>
        <v>2018-05-15 17:34:45</v>
      </c>
      <c r="M17679" s="1" t="s">
        <v>2</v>
      </c>
      <c r="N17679" s="1" t="s">
        <v>38</v>
      </c>
      <c r="O17679" s="1" t="s">
        <v>46</v>
      </c>
    </row>
    <row r="17680" spans="2:15" x14ac:dyDescent="0.3">
      <c r="B17680" s="1" t="s">
        <v>13</v>
      </c>
      <c r="C17680" s="1" t="str">
        <f t="shared" si="876"/>
        <v>3차</v>
      </c>
      <c r="D17680" s="1" t="str">
        <f>"0026S90239"</f>
        <v>0026S90239</v>
      </c>
      <c r="E17680" s="1" t="s">
        <v>10</v>
      </c>
      <c r="F17680" s="1" t="str">
        <f>"10.11.42.242"</f>
        <v>10.11.42.242</v>
      </c>
      <c r="G17680" s="1" t="str">
        <f>"0026S902"</f>
        <v>0026S902</v>
      </c>
      <c r="H17680" s="1" t="str">
        <f>"필묵지 11L3R1"</f>
        <v>필묵지 11L3R1</v>
      </c>
      <c r="I17680" s="1" t="s">
        <v>8</v>
      </c>
      <c r="J17680" s="1" t="str">
        <f>"6/6"</f>
        <v>6/6</v>
      </c>
      <c r="K17680" s="1" t="str">
        <f t="shared" si="875"/>
        <v>2026-07-29 13:18:01</v>
      </c>
      <c r="L17680" s="1" t="str">
        <f>"2018-05-15 17:05:58"</f>
        <v>2018-05-15 17:05:58</v>
      </c>
      <c r="M17680" s="1" t="s">
        <v>2</v>
      </c>
      <c r="N17680" s="1" t="s">
        <v>38</v>
      </c>
      <c r="O17680" s="1" t="s">
        <v>46</v>
      </c>
    </row>
    <row r="17681" spans="2:15" x14ac:dyDescent="0.3">
      <c r="B17681" s="1" t="s">
        <v>13</v>
      </c>
      <c r="C17681" s="1" t="str">
        <f t="shared" si="876"/>
        <v>3차</v>
      </c>
      <c r="D17681" s="1" t="str">
        <f>"0026S91139"</f>
        <v>0026S91139</v>
      </c>
      <c r="E17681" s="1" t="s">
        <v>10</v>
      </c>
      <c r="F17681" s="1" t="str">
        <f>"10.11.24.2"</f>
        <v>10.11.24.2</v>
      </c>
      <c r="G17681" s="1" t="str">
        <f>"0026S911"</f>
        <v>0026S911</v>
      </c>
      <c r="H17681" s="1" t="str">
        <f>"필묵지 11L4"</f>
        <v>필묵지 11L4</v>
      </c>
      <c r="I17681" s="1" t="s">
        <v>8</v>
      </c>
      <c r="J17681" s="1" t="str">
        <f>"15/15"</f>
        <v>15/15</v>
      </c>
      <c r="K17681" s="1" t="str">
        <f t="shared" si="875"/>
        <v>2026-07-29 13:18:01</v>
      </c>
      <c r="L17681" s="1" t="str">
        <f>"2018-05-15 17:10:00"</f>
        <v>2018-05-15 17:10:00</v>
      </c>
      <c r="M17681" s="1" t="s">
        <v>2</v>
      </c>
      <c r="N17681" s="1" t="s">
        <v>38</v>
      </c>
      <c r="O17681" s="1" t="s">
        <v>46</v>
      </c>
    </row>
    <row r="17682" spans="2:15" x14ac:dyDescent="0.3">
      <c r="B17682" s="1" t="s">
        <v>13</v>
      </c>
      <c r="C17682" s="1" t="str">
        <f>"4차"</f>
        <v>4차</v>
      </c>
      <c r="D17682" s="1" t="str">
        <f>"0026S92139"</f>
        <v>0026S92139</v>
      </c>
      <c r="E17682" s="1" t="s">
        <v>10</v>
      </c>
      <c r="F17682" s="1" t="str">
        <f>"10.11.42.250"</f>
        <v>10.11.42.250</v>
      </c>
      <c r="G17682" s="1" t="str">
        <f>"0026S921"</f>
        <v>0026S921</v>
      </c>
      <c r="H17682" s="1" t="str">
        <f>"필묵지 11L5"</f>
        <v>필묵지 11L5</v>
      </c>
      <c r="I17682" s="1" t="s">
        <v>8</v>
      </c>
      <c r="J17682" s="1" t="str">
        <f>"5/5"</f>
        <v>5/5</v>
      </c>
      <c r="K17682" s="1" t="str">
        <f t="shared" si="875"/>
        <v>2026-07-29 13:18:01</v>
      </c>
      <c r="L17682" s="1" t="str">
        <f>"2018-06-25 11:59:52"</f>
        <v>2018-06-25 11:59:52</v>
      </c>
      <c r="M17682" s="1" t="s">
        <v>2</v>
      </c>
      <c r="N17682" s="1" t="s">
        <v>38</v>
      </c>
      <c r="O17682" s="1" t="s">
        <v>46</v>
      </c>
    </row>
    <row r="17683" spans="2:15" x14ac:dyDescent="0.3">
      <c r="B17683" s="1" t="s">
        <v>13</v>
      </c>
      <c r="C17683" s="1" t="str">
        <f>"4차"</f>
        <v>4차</v>
      </c>
      <c r="D17683" s="1" t="str">
        <f>"0026S93339"</f>
        <v>0026S93339</v>
      </c>
      <c r="E17683" s="1" t="s">
        <v>10</v>
      </c>
      <c r="F17683" s="1" t="str">
        <f>"10.11.26.114"</f>
        <v>10.11.26.114</v>
      </c>
      <c r="G17683" s="1" t="str">
        <f>"0026S933"</f>
        <v>0026S933</v>
      </c>
      <c r="H17683" s="1" t="str">
        <f>"방묵지 23L1"</f>
        <v>방묵지 23L1</v>
      </c>
      <c r="I17683" s="1" t="s">
        <v>8</v>
      </c>
      <c r="J17683" s="1" t="str">
        <f>"14/14"</f>
        <v>14/14</v>
      </c>
      <c r="K17683" s="1" t="str">
        <f t="shared" si="875"/>
        <v>2026-07-29 13:18:01</v>
      </c>
      <c r="L17683" s="1" t="str">
        <f>"2018-03-13 09:38:08"</f>
        <v>2018-03-13 09:38:08</v>
      </c>
      <c r="M17683" s="1" t="s">
        <v>2</v>
      </c>
      <c r="N17683" s="1" t="s">
        <v>38</v>
      </c>
      <c r="O17683" s="1" t="s">
        <v>46</v>
      </c>
    </row>
    <row r="17684" spans="2:15" x14ac:dyDescent="0.3">
      <c r="B17684" s="1" t="s">
        <v>13</v>
      </c>
      <c r="C17684" s="1" t="str">
        <f>"3차"</f>
        <v>3차</v>
      </c>
      <c r="D17684" s="1" t="str">
        <f>"0026S94139"</f>
        <v>0026S94139</v>
      </c>
      <c r="E17684" s="1" t="s">
        <v>10</v>
      </c>
      <c r="F17684" s="1" t="str">
        <f>"10.11.34.58"</f>
        <v>10.11.34.58</v>
      </c>
      <c r="G17684" s="1" t="str">
        <f>"0026S941"</f>
        <v>0026S941</v>
      </c>
      <c r="H17684" s="1" t="str">
        <f>"방묵지 22"</f>
        <v>방묵지 22</v>
      </c>
      <c r="I17684" s="1" t="s">
        <v>8</v>
      </c>
      <c r="J17684" s="1" t="str">
        <f>"4/4"</f>
        <v>4/4</v>
      </c>
      <c r="K17684" s="1" t="str">
        <f t="shared" si="875"/>
        <v>2026-07-29 13:18:01</v>
      </c>
      <c r="L17684" s="1" t="str">
        <f>"2018-02-21 18:26:43"</f>
        <v>2018-02-21 18:26:43</v>
      </c>
      <c r="M17684" s="1" t="s">
        <v>2</v>
      </c>
      <c r="N17684" s="1" t="s">
        <v>38</v>
      </c>
      <c r="O17684" s="1" t="s">
        <v>46</v>
      </c>
    </row>
    <row r="17685" spans="2:15" x14ac:dyDescent="0.3">
      <c r="B17685" s="1" t="s">
        <v>13</v>
      </c>
      <c r="C17685" s="1" t="str">
        <f>"3차"</f>
        <v>3차</v>
      </c>
      <c r="D17685" s="1" t="str">
        <f>"0026S95239"</f>
        <v>0026S95239</v>
      </c>
      <c r="E17685" s="1" t="s">
        <v>10</v>
      </c>
      <c r="F17685" s="1" t="str">
        <f>"10.11.34.82"</f>
        <v>10.11.34.82</v>
      </c>
      <c r="G17685" s="1" t="str">
        <f>"0026S952"</f>
        <v>0026S952</v>
      </c>
      <c r="H17685" s="1" t="str">
        <f>"방묵지 20L1"</f>
        <v>방묵지 20L1</v>
      </c>
      <c r="I17685" s="1" t="s">
        <v>8</v>
      </c>
      <c r="J17685" s="1" t="str">
        <f>"10/10"</f>
        <v>10/10</v>
      </c>
      <c r="K17685" s="1" t="str">
        <f t="shared" si="875"/>
        <v>2026-07-29 13:18:01</v>
      </c>
      <c r="L17685" s="1" t="str">
        <f>"2018-02-22 16:07:33"</f>
        <v>2018-02-22 16:07:33</v>
      </c>
      <c r="M17685" s="1" t="s">
        <v>2</v>
      </c>
      <c r="N17685" s="1" t="s">
        <v>38</v>
      </c>
      <c r="O17685" s="1" t="s">
        <v>46</v>
      </c>
    </row>
    <row r="17686" spans="2:15" x14ac:dyDescent="0.3">
      <c r="B17686" s="1" t="s">
        <v>13</v>
      </c>
      <c r="C17686" s="1" t="str">
        <f>"3차"</f>
        <v>3차</v>
      </c>
      <c r="D17686" s="1" t="str">
        <f>"0026S96139"</f>
        <v>0026S96139</v>
      </c>
      <c r="E17686" s="1" t="s">
        <v>10</v>
      </c>
      <c r="F17686" s="1" t="str">
        <f>"10.11.15.162"</f>
        <v>10.11.15.162</v>
      </c>
      <c r="G17686" s="1" t="str">
        <f>"0026S961"</f>
        <v>0026S961</v>
      </c>
      <c r="H17686" s="1" t="str">
        <f>"방묵지 19"</f>
        <v>방묵지 19</v>
      </c>
      <c r="I17686" s="1" t="s">
        <v>8</v>
      </c>
      <c r="J17686" s="1" t="str">
        <f>"9/9"</f>
        <v>9/9</v>
      </c>
      <c r="K17686" s="1" t="str">
        <f t="shared" si="875"/>
        <v>2026-07-29 13:18:01</v>
      </c>
      <c r="L17686" s="1" t="str">
        <f>"2018-02-22 15:20:47"</f>
        <v>2018-02-22 15:20:47</v>
      </c>
      <c r="M17686" s="1" t="s">
        <v>2</v>
      </c>
      <c r="N17686" s="1" t="s">
        <v>38</v>
      </c>
      <c r="O17686" s="1" t="s">
        <v>46</v>
      </c>
    </row>
    <row r="17687" spans="2:15" x14ac:dyDescent="0.3">
      <c r="B17687" s="1" t="s">
        <v>13</v>
      </c>
      <c r="C17687" s="1" t="str">
        <f>"3차"</f>
        <v>3차</v>
      </c>
      <c r="D17687" s="1" t="str">
        <f>"0026S96239"</f>
        <v>0026S96239</v>
      </c>
      <c r="E17687" s="1" t="s">
        <v>10</v>
      </c>
      <c r="F17687" s="1" t="str">
        <f>"10.11.34.42"</f>
        <v>10.11.34.42</v>
      </c>
      <c r="G17687" s="1" t="str">
        <f>"0026S962"</f>
        <v>0026S962</v>
      </c>
      <c r="H17687" s="1" t="str">
        <f>"방묵지 18"</f>
        <v>방묵지 18</v>
      </c>
      <c r="I17687" s="1" t="s">
        <v>8</v>
      </c>
      <c r="J17687" s="1" t="str">
        <f>"4/4"</f>
        <v>4/4</v>
      </c>
      <c r="K17687" s="1" t="str">
        <f t="shared" si="875"/>
        <v>2026-07-29 13:18:01</v>
      </c>
      <c r="L17687" s="1" t="str">
        <f>"2018-02-22 16:43:32"</f>
        <v>2018-02-22 16:43:32</v>
      </c>
      <c r="M17687" s="1" t="s">
        <v>2</v>
      </c>
      <c r="N17687" s="1" t="s">
        <v>38</v>
      </c>
      <c r="O17687" s="1" t="s">
        <v>46</v>
      </c>
    </row>
    <row r="17688" spans="2:15" x14ac:dyDescent="0.3">
      <c r="B17688" s="1" t="s">
        <v>13</v>
      </c>
      <c r="C17688" s="1" t="str">
        <f>"3차"</f>
        <v>3차</v>
      </c>
      <c r="D17688" s="1" t="str">
        <f>"0026S97139"</f>
        <v>0026S97139</v>
      </c>
      <c r="E17688" s="1" t="s">
        <v>10</v>
      </c>
      <c r="F17688" s="1" t="str">
        <f>"10.11.34.34"</f>
        <v>10.11.34.34</v>
      </c>
      <c r="G17688" s="1" t="str">
        <f>"0026S971"</f>
        <v>0026S971</v>
      </c>
      <c r="H17688" s="1" t="str">
        <f>"방묵지 17"</f>
        <v>방묵지 17</v>
      </c>
      <c r="I17688" s="1" t="s">
        <v>8</v>
      </c>
      <c r="J17688" s="1" t="str">
        <f>"9/9"</f>
        <v>9/9</v>
      </c>
      <c r="K17688" s="1" t="str">
        <f t="shared" si="875"/>
        <v>2026-07-29 13:18:01</v>
      </c>
      <c r="L17688" s="1" t="str">
        <f>"2018-03-10 11:09:25"</f>
        <v>2018-03-10 11:09:25</v>
      </c>
      <c r="M17688" s="1" t="s">
        <v>2</v>
      </c>
      <c r="N17688" s="1" t="s">
        <v>38</v>
      </c>
      <c r="O17688" s="1" t="s">
        <v>46</v>
      </c>
    </row>
    <row r="17689" spans="2:15" x14ac:dyDescent="0.3">
      <c r="B17689" s="1" t="s">
        <v>13</v>
      </c>
      <c r="C17689" s="1" t="str">
        <f t="shared" ref="C17689:C17694" si="877">"4차"</f>
        <v>4차</v>
      </c>
      <c r="D17689" s="1" t="str">
        <f>"0026W03144"</f>
        <v>0026W03144</v>
      </c>
      <c r="E17689" s="1" t="s">
        <v>10</v>
      </c>
      <c r="F17689" s="1" t="str">
        <f>"10.10.123.122"</f>
        <v>10.10.123.122</v>
      </c>
      <c r="G17689" s="1" t="str">
        <f>"0026W031"</f>
        <v>0026W031</v>
      </c>
      <c r="H17689" s="1" t="str">
        <f>"방산지 3"</f>
        <v>방산지 3</v>
      </c>
      <c r="I17689" s="1" t="s">
        <v>8</v>
      </c>
      <c r="J17689" s="1" t="str">
        <f>"12/12"</f>
        <v>12/12</v>
      </c>
      <c r="K17689" s="1" t="str">
        <f>"2026-07-29 13:18:05"</f>
        <v>2026-07-29 13:18:05</v>
      </c>
      <c r="L17689" s="1" t="str">
        <f>"2020-01-10 17:22:55"</f>
        <v>2020-01-10 17:22:55</v>
      </c>
      <c r="M17689" s="1" t="s">
        <v>1</v>
      </c>
      <c r="N17689" s="1" t="s">
        <v>38</v>
      </c>
      <c r="O17689" s="1" t="s">
        <v>46</v>
      </c>
    </row>
    <row r="17690" spans="2:15" x14ac:dyDescent="0.3">
      <c r="B17690" s="1" t="s">
        <v>13</v>
      </c>
      <c r="C17690" s="1" t="str">
        <f t="shared" si="877"/>
        <v>4차</v>
      </c>
      <c r="D17690" s="1" t="str">
        <f>"0026W04244"</f>
        <v>0026W04244</v>
      </c>
      <c r="E17690" s="1" t="s">
        <v>10</v>
      </c>
      <c r="F17690" s="1" t="str">
        <f>"10.10.123.138"</f>
        <v>10.10.123.138</v>
      </c>
      <c r="G17690" s="1" t="str">
        <f>"0026W042"</f>
        <v>0026W042</v>
      </c>
      <c r="H17690" s="1" t="str">
        <f>"방산지 5"</f>
        <v>방산지 5</v>
      </c>
      <c r="I17690" s="1" t="s">
        <v>8</v>
      </c>
      <c r="J17690" s="1" t="str">
        <f>"10/10"</f>
        <v>10/10</v>
      </c>
      <c r="K17690" s="1" t="str">
        <f>"2026-07-29 13:18:01"</f>
        <v>2026-07-29 13:18:01</v>
      </c>
      <c r="L17690" s="1" t="str">
        <f>"2019-12-17 16:22:05"</f>
        <v>2019-12-17 16:22:05</v>
      </c>
      <c r="M17690" s="1" t="s">
        <v>1</v>
      </c>
      <c r="N17690" s="1" t="s">
        <v>38</v>
      </c>
      <c r="O17690" s="1" t="s">
        <v>46</v>
      </c>
    </row>
    <row r="17691" spans="2:15" x14ac:dyDescent="0.3">
      <c r="B17691" s="1" t="s">
        <v>13</v>
      </c>
      <c r="C17691" s="1" t="str">
        <f t="shared" si="877"/>
        <v>4차</v>
      </c>
      <c r="D17691" s="1" t="str">
        <f>"0026W07144"</f>
        <v>0026W07144</v>
      </c>
      <c r="E17691" s="1" t="s">
        <v>10</v>
      </c>
      <c r="F17691" s="1" t="str">
        <f>"10.10.123.90"</f>
        <v>10.10.123.90</v>
      </c>
      <c r="G17691" s="1" t="str">
        <f>"0026W071"</f>
        <v>0026W071</v>
      </c>
      <c r="H17691" s="1" t="str">
        <f>"방산지 11"</f>
        <v>방산지 11</v>
      </c>
      <c r="I17691" s="1" t="s">
        <v>8</v>
      </c>
      <c r="J17691" s="1" t="str">
        <f>"10/10"</f>
        <v>10/10</v>
      </c>
      <c r="K17691" s="1" t="str">
        <f>"2026-07-29 13:18:01"</f>
        <v>2026-07-29 13:18:01</v>
      </c>
      <c r="L17691" s="1" t="str">
        <f>"2019-12-17 16:14:08"</f>
        <v>2019-12-17 16:14:08</v>
      </c>
      <c r="M17691" s="1" t="s">
        <v>1</v>
      </c>
      <c r="N17691" s="1" t="s">
        <v>38</v>
      </c>
      <c r="O17691" s="1" t="s">
        <v>46</v>
      </c>
    </row>
    <row r="17692" spans="2:15" x14ac:dyDescent="0.3">
      <c r="B17692" s="1" t="s">
        <v>13</v>
      </c>
      <c r="C17692" s="1" t="str">
        <f t="shared" si="877"/>
        <v>4차</v>
      </c>
      <c r="D17692" s="1" t="str">
        <f>"0026W07244"</f>
        <v>0026W07244</v>
      </c>
      <c r="E17692" s="1" t="s">
        <v>10</v>
      </c>
      <c r="F17692" s="1" t="str">
        <f>"10.10.123.82"</f>
        <v>10.10.123.82</v>
      </c>
      <c r="G17692" s="1" t="str">
        <f>"0026W072"</f>
        <v>0026W072</v>
      </c>
      <c r="H17692" s="1" t="str">
        <f>"방산지 10"</f>
        <v>방산지 10</v>
      </c>
      <c r="I17692" s="1" t="s">
        <v>8</v>
      </c>
      <c r="J17692" s="1" t="str">
        <f>"17/17"</f>
        <v>17/17</v>
      </c>
      <c r="K17692" s="1" t="str">
        <f>"2026-07-29 13:18:01"</f>
        <v>2026-07-29 13:18:01</v>
      </c>
      <c r="L17692" s="1" t="str">
        <f>"2019-12-17 16:21:54"</f>
        <v>2019-12-17 16:21:54</v>
      </c>
      <c r="M17692" s="1" t="s">
        <v>1</v>
      </c>
      <c r="N17692" s="1" t="s">
        <v>38</v>
      </c>
      <c r="O17692" s="1" t="s">
        <v>46</v>
      </c>
    </row>
    <row r="17693" spans="2:15" x14ac:dyDescent="0.3">
      <c r="B17693" s="1" t="s">
        <v>13</v>
      </c>
      <c r="C17693" s="1" t="str">
        <f t="shared" si="877"/>
        <v>4차</v>
      </c>
      <c r="D17693" s="1" t="str">
        <f>"0026W09344"</f>
        <v>0026W09344</v>
      </c>
      <c r="E17693" s="1" t="s">
        <v>10</v>
      </c>
      <c r="F17693" s="1" t="str">
        <f>"10.12.138.180"</f>
        <v>10.12.138.180</v>
      </c>
      <c r="G17693" s="1" t="str">
        <f>"0026W093"</f>
        <v>0026W093</v>
      </c>
      <c r="H17693" s="1" t="str">
        <f>"종로간 24L3"</f>
        <v>종로간 24L3</v>
      </c>
      <c r="I17693" s="1" t="s">
        <v>8</v>
      </c>
      <c r="J17693" s="1" t="str">
        <f>"9/9"</f>
        <v>9/9</v>
      </c>
      <c r="K17693" s="1" t="str">
        <f>"2026-07-29 13:18:01"</f>
        <v>2026-07-29 13:18:01</v>
      </c>
      <c r="L17693" s="1" t="str">
        <f>"2019-11-11 20:05:04"</f>
        <v>2019-11-11 20:05:04</v>
      </c>
      <c r="M17693" s="1" t="s">
        <v>0</v>
      </c>
      <c r="N17693" s="1" t="s">
        <v>38</v>
      </c>
      <c r="O17693" s="1" t="s">
        <v>46</v>
      </c>
    </row>
    <row r="17694" spans="2:15" x14ac:dyDescent="0.3">
      <c r="B17694" s="1" t="s">
        <v>13</v>
      </c>
      <c r="C17694" s="1" t="str">
        <f t="shared" si="877"/>
        <v>4차</v>
      </c>
      <c r="D17694" s="1" t="str">
        <f>"0026W10139"</f>
        <v>0026W10139</v>
      </c>
      <c r="E17694" s="1" t="s">
        <v>10</v>
      </c>
      <c r="F17694" s="1" t="str">
        <f>"10.11.37.2"</f>
        <v>10.11.37.2</v>
      </c>
      <c r="G17694" s="1" t="str">
        <f>"0026W101"</f>
        <v>0026W101</v>
      </c>
      <c r="H17694" s="1" t="str">
        <f>"을지간 36L4R2L7"</f>
        <v>을지간 36L4R2L7</v>
      </c>
      <c r="I17694" s="1" t="s">
        <v>8</v>
      </c>
      <c r="J17694" s="1" t="str">
        <f>"18/21"</f>
        <v>18/21</v>
      </c>
      <c r="K17694" s="1" t="str">
        <f>"2026-07-29 13:18:00"</f>
        <v>2026-07-29 13:18:00</v>
      </c>
      <c r="L17694" s="1" t="str">
        <f>"2018-03-10 14:36:27"</f>
        <v>2018-03-10 14:36:27</v>
      </c>
      <c r="M17694" s="1" t="s">
        <v>2</v>
      </c>
      <c r="N17694" s="1" t="s">
        <v>38</v>
      </c>
      <c r="O17694" s="1" t="s">
        <v>46</v>
      </c>
    </row>
    <row r="17695" spans="2:15" x14ac:dyDescent="0.3">
      <c r="B17695" s="1" t="s">
        <v>13</v>
      </c>
      <c r="C17695" s="1" t="str">
        <f>"3차"</f>
        <v>3차</v>
      </c>
      <c r="D17695" s="1" t="str">
        <f>"0026W10239"</f>
        <v>0026W10239</v>
      </c>
      <c r="E17695" s="1" t="s">
        <v>10</v>
      </c>
      <c r="F17695" s="1" t="str">
        <f>"10.11.17.234"</f>
        <v>10.11.17.234</v>
      </c>
      <c r="G17695" s="1" t="str">
        <f>"0026W102"</f>
        <v>0026W102</v>
      </c>
      <c r="H17695" s="1" t="str">
        <f>"을지간 36L4R2L6"</f>
        <v>을지간 36L4R2L6</v>
      </c>
      <c r="I17695" s="1" t="s">
        <v>8</v>
      </c>
      <c r="J17695" s="1" t="str">
        <f>"3/3"</f>
        <v>3/3</v>
      </c>
      <c r="K17695" s="1" t="str">
        <f>"2026-07-29 13:18:00"</f>
        <v>2026-07-29 13:18:00</v>
      </c>
      <c r="L17695" s="1" t="str">
        <f>"2018-03-10 14:47:47"</f>
        <v>2018-03-10 14:47:47</v>
      </c>
      <c r="M17695" s="1" t="s">
        <v>2</v>
      </c>
      <c r="N17695" s="1" t="s">
        <v>38</v>
      </c>
      <c r="O17695" s="1" t="s">
        <v>46</v>
      </c>
    </row>
    <row r="17696" spans="2:15" x14ac:dyDescent="0.3">
      <c r="B17696" s="1" t="s">
        <v>13</v>
      </c>
      <c r="C17696" s="1" t="str">
        <f>"3차"</f>
        <v>3차</v>
      </c>
      <c r="D17696" s="1" t="str">
        <f>"0026W10339"</f>
        <v>0026W10339</v>
      </c>
      <c r="E17696" s="1" t="s">
        <v>10</v>
      </c>
      <c r="F17696" s="1" t="str">
        <f>"10.11.36.250"</f>
        <v>10.11.36.250</v>
      </c>
      <c r="G17696" s="1" t="str">
        <f>"0026W103"</f>
        <v>0026W103</v>
      </c>
      <c r="H17696" s="1" t="str">
        <f>"을지간 36L4R2L5"</f>
        <v>을지간 36L4R2L5</v>
      </c>
      <c r="I17696" s="1" t="s">
        <v>8</v>
      </c>
      <c r="J17696" s="1" t="str">
        <f>"3/3"</f>
        <v>3/3</v>
      </c>
      <c r="K17696" s="1" t="str">
        <f>"2026-07-29 13:18:00"</f>
        <v>2026-07-29 13:18:00</v>
      </c>
      <c r="L17696" s="1" t="str">
        <f>"2018-03-10 14:22:27"</f>
        <v>2018-03-10 14:22:27</v>
      </c>
      <c r="M17696" s="1" t="s">
        <v>2</v>
      </c>
      <c r="N17696" s="1" t="s">
        <v>38</v>
      </c>
      <c r="O17696" s="1" t="s">
        <v>46</v>
      </c>
    </row>
    <row r="17697" spans="2:15" x14ac:dyDescent="0.3">
      <c r="B17697" s="1" t="s">
        <v>13</v>
      </c>
      <c r="C17697" s="1" t="str">
        <f t="shared" ref="C17697:C17706" si="878">"4차"</f>
        <v>4차</v>
      </c>
      <c r="D17697" s="1" t="str">
        <f>"0026W12545"</f>
        <v>0026W12545</v>
      </c>
      <c r="E17697" s="1" t="s">
        <v>10</v>
      </c>
      <c r="F17697" s="1" t="str">
        <f>"10.14.7.64"</f>
        <v>10.14.7.64</v>
      </c>
      <c r="G17697" s="1" t="str">
        <f>"0026W125"</f>
        <v>0026W125</v>
      </c>
      <c r="H17697" s="1" t="str">
        <f>"을지로 L21"</f>
        <v>을지로 L21</v>
      </c>
      <c r="I17697" s="1" t="s">
        <v>17</v>
      </c>
      <c r="J17697" s="1" t="str">
        <f>"10/10"</f>
        <v>10/10</v>
      </c>
      <c r="K17697" s="1" t="str">
        <f>"2026-07-29 13:18:02"</f>
        <v>2026-07-29 13:18:02</v>
      </c>
      <c r="L17697" s="1" t="str">
        <f>"2021-06-25 14:31:14"</f>
        <v>2021-06-25 14:31:14</v>
      </c>
      <c r="M17697" s="1" t="s">
        <v>3</v>
      </c>
      <c r="N17697" s="1" t="s">
        <v>38</v>
      </c>
      <c r="O17697" s="1" t="s">
        <v>46</v>
      </c>
    </row>
    <row r="17698" spans="2:15" x14ac:dyDescent="0.3">
      <c r="B17698" s="1" t="s">
        <v>13</v>
      </c>
      <c r="C17698" s="1" t="str">
        <f t="shared" si="878"/>
        <v>4차</v>
      </c>
      <c r="D17698" s="1" t="str">
        <f>"0026W15144"</f>
        <v>0026W15144</v>
      </c>
      <c r="E17698" s="1" t="s">
        <v>10</v>
      </c>
      <c r="F17698" s="1" t="str">
        <f>"10.10.123.146"</f>
        <v>10.10.123.146</v>
      </c>
      <c r="G17698" s="1" t="str">
        <f>"0026W151"</f>
        <v>0026W151</v>
      </c>
      <c r="H17698" s="1" t="str">
        <f>"방산지 6"</f>
        <v>방산지 6</v>
      </c>
      <c r="I17698" s="1" t="s">
        <v>8</v>
      </c>
      <c r="J17698" s="1" t="str">
        <f>"6/6"</f>
        <v>6/6</v>
      </c>
      <c r="K17698" s="1" t="str">
        <f>"2026-07-29 13:18:00"</f>
        <v>2026-07-29 13:18:00</v>
      </c>
      <c r="L17698" s="1" t="str">
        <f>"2019-12-17 16:18:05"</f>
        <v>2019-12-17 16:18:05</v>
      </c>
      <c r="M17698" s="1" t="s">
        <v>1</v>
      </c>
      <c r="N17698" s="1" t="s">
        <v>38</v>
      </c>
      <c r="O17698" s="1" t="s">
        <v>46</v>
      </c>
    </row>
    <row r="17699" spans="2:15" x14ac:dyDescent="0.3">
      <c r="B17699" s="1" t="s">
        <v>13</v>
      </c>
      <c r="C17699" s="1" t="str">
        <f t="shared" si="878"/>
        <v>4차</v>
      </c>
      <c r="D17699" s="1" t="str">
        <f>"0026W16144"</f>
        <v>0026W16144</v>
      </c>
      <c r="E17699" s="1" t="s">
        <v>10</v>
      </c>
      <c r="F17699" s="1" t="str">
        <f>"10.10.123.162"</f>
        <v>10.10.123.162</v>
      </c>
      <c r="G17699" s="1" t="str">
        <f>"0026W161"</f>
        <v>0026W161</v>
      </c>
      <c r="H17699" s="1" t="str">
        <f>"방산지 8"</f>
        <v>방산지 8</v>
      </c>
      <c r="I17699" s="1" t="s">
        <v>8</v>
      </c>
      <c r="J17699" s="1" t="str">
        <f>"15/15"</f>
        <v>15/15</v>
      </c>
      <c r="K17699" s="1" t="str">
        <f>"2026-07-29 13:18:00"</f>
        <v>2026-07-29 13:18:00</v>
      </c>
      <c r="L17699" s="1" t="str">
        <f>"2019-12-17 16:13:34"</f>
        <v>2019-12-17 16:13:34</v>
      </c>
      <c r="M17699" s="1" t="s">
        <v>1</v>
      </c>
      <c r="N17699" s="1" t="s">
        <v>38</v>
      </c>
      <c r="O17699" s="1" t="s">
        <v>46</v>
      </c>
    </row>
    <row r="17700" spans="2:15" x14ac:dyDescent="0.3">
      <c r="B17700" s="1" t="s">
        <v>13</v>
      </c>
      <c r="C17700" s="1" t="str">
        <f t="shared" si="878"/>
        <v>4차</v>
      </c>
      <c r="D17700" s="1" t="str">
        <f>"0026W19345"</f>
        <v>0026W19345</v>
      </c>
      <c r="E17700" s="1" t="s">
        <v>10</v>
      </c>
      <c r="F17700" s="1" t="str">
        <f>"10.14.6.10"</f>
        <v>10.14.6.10</v>
      </c>
      <c r="G17700" s="1" t="str">
        <f>"0026W193"</f>
        <v>0026W193</v>
      </c>
      <c r="H17700" s="1" t="str">
        <f>"청계로 L9"</f>
        <v>청계로 L9</v>
      </c>
      <c r="I17700" s="1" t="s">
        <v>17</v>
      </c>
      <c r="J17700" s="1" t="str">
        <f>"2/2"</f>
        <v>2/2</v>
      </c>
      <c r="K17700" s="1" t="str">
        <f>"2026-07-29 13:18:02"</f>
        <v>2026-07-29 13:18:02</v>
      </c>
      <c r="L17700" s="1" t="str">
        <f>"2021-06-25 11:40:50"</f>
        <v>2021-06-25 11:40:50</v>
      </c>
      <c r="M17700" s="1" t="s">
        <v>3</v>
      </c>
      <c r="N17700" s="1" t="s">
        <v>38</v>
      </c>
      <c r="O17700" s="1" t="s">
        <v>46</v>
      </c>
    </row>
    <row r="17701" spans="2:15" x14ac:dyDescent="0.3">
      <c r="B17701" s="1" t="s">
        <v>13</v>
      </c>
      <c r="C17701" s="1" t="str">
        <f t="shared" si="878"/>
        <v>4차</v>
      </c>
      <c r="D17701" s="1" t="str">
        <f>"0026W24145"</f>
        <v>0026W24145</v>
      </c>
      <c r="E17701" s="1" t="s">
        <v>10</v>
      </c>
      <c r="F17701" s="1" t="str">
        <f>"10.14.14.28"</f>
        <v>10.14.14.28</v>
      </c>
      <c r="G17701" s="1" t="str">
        <f>"0026W241"</f>
        <v>0026W241</v>
      </c>
      <c r="H17701" s="1" t="str">
        <f>"청계로 R32"</f>
        <v>청계로 R32</v>
      </c>
      <c r="I17701" s="1" t="s">
        <v>17</v>
      </c>
      <c r="J17701" s="1" t="str">
        <f>"19/19"</f>
        <v>19/19</v>
      </c>
      <c r="K17701" s="1" t="str">
        <f>"2026-07-29 13:18:02"</f>
        <v>2026-07-29 13:18:02</v>
      </c>
      <c r="L17701" s="1" t="str">
        <f>"2021-06-24 09:05:28"</f>
        <v>2021-06-24 09:05:28</v>
      </c>
      <c r="M17701" s="1" t="s">
        <v>3</v>
      </c>
      <c r="N17701" s="1" t="s">
        <v>38</v>
      </c>
      <c r="O17701" s="1" t="s">
        <v>46</v>
      </c>
    </row>
    <row r="17702" spans="2:15" x14ac:dyDescent="0.3">
      <c r="B17702" s="1" t="s">
        <v>13</v>
      </c>
      <c r="C17702" s="1" t="str">
        <f t="shared" si="878"/>
        <v>4차</v>
      </c>
      <c r="D17702" s="1" t="str">
        <f>"0026W24245"</f>
        <v>0026W24245</v>
      </c>
      <c r="E17702" s="1" t="s">
        <v>10</v>
      </c>
      <c r="F17702" s="1" t="str">
        <f>"10.14.9.17"</f>
        <v>10.14.9.17</v>
      </c>
      <c r="G17702" s="1" t="str">
        <f>"0026W242"</f>
        <v>0026W242</v>
      </c>
      <c r="H17702" s="1" t="str">
        <f>"청계로 R35"</f>
        <v>청계로 R35</v>
      </c>
      <c r="I17702" s="1" t="s">
        <v>17</v>
      </c>
      <c r="J17702" s="1" t="str">
        <f>"7/7"</f>
        <v>7/7</v>
      </c>
      <c r="K17702" s="1" t="str">
        <f>"2026-07-29 13:18:02"</f>
        <v>2026-07-29 13:18:02</v>
      </c>
      <c r="L17702" s="1" t="str">
        <f>"2021-06-24 08:39:16"</f>
        <v>2021-06-24 08:39:16</v>
      </c>
      <c r="M17702" s="1" t="s">
        <v>3</v>
      </c>
      <c r="N17702" s="1" t="s">
        <v>38</v>
      </c>
      <c r="O17702" s="1" t="s">
        <v>46</v>
      </c>
    </row>
    <row r="17703" spans="2:15" x14ac:dyDescent="0.3">
      <c r="B17703" s="1" t="s">
        <v>13</v>
      </c>
      <c r="C17703" s="1" t="str">
        <f t="shared" si="878"/>
        <v>4차</v>
      </c>
      <c r="D17703" s="1" t="str">
        <f>"0026W27145"</f>
        <v>0026W27145</v>
      </c>
      <c r="E17703" s="1" t="s">
        <v>10</v>
      </c>
      <c r="F17703" s="1" t="str">
        <f>"10.14.6.20"</f>
        <v>10.14.6.20</v>
      </c>
      <c r="G17703" s="1" t="str">
        <f>"0026W271"</f>
        <v>0026W271</v>
      </c>
      <c r="H17703" s="1" t="str">
        <f>"청계로 R33"</f>
        <v>청계로 R33</v>
      </c>
      <c r="I17703" s="1" t="s">
        <v>17</v>
      </c>
      <c r="J17703" s="1" t="str">
        <f>"13/14"</f>
        <v>13/14</v>
      </c>
      <c r="K17703" s="1" t="str">
        <f>"2026-07-29 13:18:01"</f>
        <v>2026-07-29 13:18:01</v>
      </c>
      <c r="L17703" s="1" t="str">
        <f>"2021-06-24 09:26:14"</f>
        <v>2021-06-24 09:26:14</v>
      </c>
      <c r="M17703" s="1" t="s">
        <v>3</v>
      </c>
      <c r="N17703" s="1" t="s">
        <v>38</v>
      </c>
      <c r="O17703" s="1" t="s">
        <v>46</v>
      </c>
    </row>
    <row r="17704" spans="2:15" x14ac:dyDescent="0.3">
      <c r="B17704" s="1" t="s">
        <v>13</v>
      </c>
      <c r="C17704" s="1" t="str">
        <f t="shared" si="878"/>
        <v>4차</v>
      </c>
      <c r="D17704" s="1" t="str">
        <f>"0026W27245"</f>
        <v>0026W27245</v>
      </c>
      <c r="E17704" s="1" t="s">
        <v>10</v>
      </c>
      <c r="F17704" s="1" t="str">
        <f>"10.14.15.1"</f>
        <v>10.14.15.1</v>
      </c>
      <c r="G17704" s="1" t="str">
        <f>"0026W272"</f>
        <v>0026W272</v>
      </c>
      <c r="H17704" s="1" t="str">
        <f>"청계로 R30"</f>
        <v>청계로 R30</v>
      </c>
      <c r="I17704" s="1" t="s">
        <v>17</v>
      </c>
      <c r="J17704" s="1" t="str">
        <f>"21/24"</f>
        <v>21/24</v>
      </c>
      <c r="K17704" s="1" t="str">
        <f>"2026-07-29 13:18:01"</f>
        <v>2026-07-29 13:18:01</v>
      </c>
      <c r="L17704" s="1" t="str">
        <f>"2021-06-24 10:13:38"</f>
        <v>2021-06-24 10:13:38</v>
      </c>
      <c r="M17704" s="1" t="s">
        <v>3</v>
      </c>
      <c r="N17704" s="1" t="s">
        <v>38</v>
      </c>
      <c r="O17704" s="1" t="s">
        <v>46</v>
      </c>
    </row>
    <row r="17705" spans="2:15" x14ac:dyDescent="0.3">
      <c r="B17705" s="1" t="s">
        <v>13</v>
      </c>
      <c r="C17705" s="1" t="str">
        <f t="shared" si="878"/>
        <v>4차</v>
      </c>
      <c r="D17705" s="1" t="str">
        <f>"0026W29745"</f>
        <v>0026W29745</v>
      </c>
      <c r="E17705" s="1" t="s">
        <v>10</v>
      </c>
      <c r="F17705" s="1" t="str">
        <f>"10.14.7.34"</f>
        <v>10.14.7.34</v>
      </c>
      <c r="G17705" s="1" t="str">
        <f>"0026W297"</f>
        <v>0026W297</v>
      </c>
      <c r="H17705" s="1" t="str">
        <f>"청계로 L12"</f>
        <v>청계로 L12</v>
      </c>
      <c r="I17705" s="1" t="s">
        <v>17</v>
      </c>
      <c r="J17705" s="1" t="str">
        <f>"7/8"</f>
        <v>7/8</v>
      </c>
      <c r="K17705" s="1" t="str">
        <f>"2026-07-29 13:18:01"</f>
        <v>2026-07-29 13:18:01</v>
      </c>
      <c r="L17705" s="1" t="str">
        <f>"2021-06-24 10:48:57"</f>
        <v>2021-06-24 10:48:57</v>
      </c>
      <c r="M17705" s="1" t="s">
        <v>3</v>
      </c>
      <c r="N17705" s="1" t="s">
        <v>38</v>
      </c>
      <c r="O17705" s="1" t="s">
        <v>46</v>
      </c>
    </row>
    <row r="17706" spans="2:15" x14ac:dyDescent="0.3">
      <c r="B17706" s="1" t="s">
        <v>13</v>
      </c>
      <c r="C17706" s="1" t="str">
        <f t="shared" si="878"/>
        <v>4차</v>
      </c>
      <c r="D17706" s="1" t="str">
        <f>"0026W42245"</f>
        <v>0026W42245</v>
      </c>
      <c r="E17706" s="1" t="str">
        <f>"검침실패(3시간 이상)"</f>
        <v>검침실패(3시간 이상)</v>
      </c>
      <c r="F17706" s="1" t="str">
        <f>"10.12.128.187"</f>
        <v>10.12.128.187</v>
      </c>
      <c r="G17706" s="1" t="str">
        <f>"0026W422"</f>
        <v>0026W422</v>
      </c>
      <c r="H17706" s="1" t="str">
        <f>"을지로 L22"</f>
        <v>을지로 L22</v>
      </c>
      <c r="I17706" s="1" t="s">
        <v>17</v>
      </c>
      <c r="J17706" s="1" t="str">
        <f>"0/7"</f>
        <v>0/7</v>
      </c>
      <c r="K17706" s="1" t="str">
        <f>"2026-07-29 13:18:02"</f>
        <v>2026-07-29 13:18:02</v>
      </c>
      <c r="L17706" s="1" t="str">
        <f>"2021-06-24 07:42:48"</f>
        <v>2021-06-24 07:42:48</v>
      </c>
      <c r="M17706" s="1" t="s">
        <v>0</v>
      </c>
      <c r="N17706" s="1" t="s">
        <v>38</v>
      </c>
      <c r="O17706" s="1" t="s">
        <v>46</v>
      </c>
    </row>
    <row r="17707" spans="2:15" x14ac:dyDescent="0.3">
      <c r="B17707" s="1" t="s">
        <v>13</v>
      </c>
      <c r="C17707" s="1" t="str">
        <f>"3차"</f>
        <v>3차</v>
      </c>
      <c r="D17707" s="1" t="str">
        <f>"0026W50139"</f>
        <v>0026W50139</v>
      </c>
      <c r="E17707" s="1" t="s">
        <v>10</v>
      </c>
      <c r="F17707" s="1" t="str">
        <f>"10.11.14.106"</f>
        <v>10.11.14.106</v>
      </c>
      <c r="G17707" s="1" t="str">
        <f>"0026W501"</f>
        <v>0026W501</v>
      </c>
      <c r="H17707" s="1" t="str">
        <f>"묵정지 6R12"</f>
        <v>묵정지 6R12</v>
      </c>
      <c r="I17707" s="1" t="s">
        <v>8</v>
      </c>
      <c r="J17707" s="1" t="str">
        <f>"7/7"</f>
        <v>7/7</v>
      </c>
      <c r="K17707" s="1" t="str">
        <f>"2026-07-29 13:18:00"</f>
        <v>2026-07-29 13:18:00</v>
      </c>
      <c r="L17707" s="1" t="str">
        <f>"2018-01-15 11:19:09"</f>
        <v>2018-01-15 11:19:09</v>
      </c>
      <c r="M17707" s="1" t="s">
        <v>2</v>
      </c>
      <c r="N17707" s="1" t="s">
        <v>38</v>
      </c>
      <c r="O17707" s="1" t="s">
        <v>46</v>
      </c>
    </row>
    <row r="17708" spans="2:15" x14ac:dyDescent="0.3">
      <c r="B17708" s="1" t="s">
        <v>13</v>
      </c>
      <c r="C17708" s="1" t="str">
        <f>"3차"</f>
        <v>3차</v>
      </c>
      <c r="D17708" s="1" t="str">
        <f>"0026W50339"</f>
        <v>0026W50339</v>
      </c>
      <c r="E17708" s="1" t="s">
        <v>10</v>
      </c>
      <c r="F17708" s="1" t="str">
        <f>"10.11.14.114"</f>
        <v>10.11.14.114</v>
      </c>
      <c r="G17708" s="1" t="str">
        <f>"0026W503"</f>
        <v>0026W503</v>
      </c>
      <c r="H17708" s="1" t="str">
        <f>"묵정지 6R13"</f>
        <v>묵정지 6R13</v>
      </c>
      <c r="I17708" s="1" t="s">
        <v>8</v>
      </c>
      <c r="J17708" s="1" t="str">
        <f>"23/23"</f>
        <v>23/23</v>
      </c>
      <c r="K17708" s="1" t="str">
        <f>"2026-07-29 13:18:00"</f>
        <v>2026-07-29 13:18:00</v>
      </c>
      <c r="L17708" s="1" t="str">
        <f>"2018-01-15 11:31:27"</f>
        <v>2018-01-15 11:31:27</v>
      </c>
      <c r="M17708" s="1" t="s">
        <v>2</v>
      </c>
      <c r="N17708" s="1" t="s">
        <v>38</v>
      </c>
      <c r="O17708" s="1" t="s">
        <v>46</v>
      </c>
    </row>
    <row r="17709" spans="2:15" x14ac:dyDescent="0.3">
      <c r="B17709" s="1" t="s">
        <v>13</v>
      </c>
      <c r="C17709" s="1" t="str">
        <f>"5-2차"</f>
        <v>5-2차</v>
      </c>
      <c r="D17709" s="1" t="str">
        <f>"0026W5925M"</f>
        <v>0026W5925M</v>
      </c>
      <c r="E17709" s="1" t="s">
        <v>10</v>
      </c>
      <c r="F17709" s="1" t="str">
        <f>"fde3:102:1304:3c01:0:0:0:2"</f>
        <v>fde3:102:1304:3c01:0:0:0:2</v>
      </c>
      <c r="G17709" s="1" t="str">
        <f>"0026W592"</f>
        <v>0026W592</v>
      </c>
      <c r="H17709" s="1" t="str">
        <f>"종로간 11L3R4L1"</f>
        <v>종로간 11L3R4L1</v>
      </c>
      <c r="I17709" s="1" t="s">
        <v>15</v>
      </c>
      <c r="J17709" s="1" t="str">
        <f>"29/29"</f>
        <v>29/29</v>
      </c>
      <c r="K17709" s="1" t="str">
        <f>"2026-07-29 14:20:17"</f>
        <v>2026-07-29 14:20:17</v>
      </c>
      <c r="L17709" s="1" t="str">
        <f>"2023-06-13 17:47:33"</f>
        <v>2023-06-13 17:47:33</v>
      </c>
      <c r="M17709" s="1" t="s">
        <v>45</v>
      </c>
      <c r="N17709" s="1" t="s">
        <v>38</v>
      </c>
      <c r="O17709" s="1" t="s">
        <v>46</v>
      </c>
    </row>
    <row r="17710" spans="2:15" x14ac:dyDescent="0.3">
      <c r="B17710" s="1" t="s">
        <v>13</v>
      </c>
      <c r="C17710" s="1" t="str">
        <f>"4차"</f>
        <v>4차</v>
      </c>
      <c r="D17710" s="1" t="str">
        <f>"0026W71445"</f>
        <v>0026W71445</v>
      </c>
      <c r="E17710" s="1" t="s">
        <v>10</v>
      </c>
      <c r="F17710" s="1" t="str">
        <f>"10.14.12.13"</f>
        <v>10.14.12.13</v>
      </c>
      <c r="G17710" s="1" t="str">
        <f>"0026W714"</f>
        <v>0026W714</v>
      </c>
      <c r="H17710" s="1" t="str">
        <f>"을지로 R18"</f>
        <v>을지로 R18</v>
      </c>
      <c r="I17710" s="1" t="s">
        <v>17</v>
      </c>
      <c r="J17710" s="1" t="str">
        <f>"5/5"</f>
        <v>5/5</v>
      </c>
      <c r="K17710" s="1" t="str">
        <f>"2026-07-29 13:18:01"</f>
        <v>2026-07-29 13:18:01</v>
      </c>
      <c r="L17710" s="1" t="str">
        <f>"2021-06-24 08:14:36"</f>
        <v>2021-06-24 08:14:36</v>
      </c>
      <c r="M17710" s="1" t="s">
        <v>3</v>
      </c>
      <c r="N17710" s="1" t="s">
        <v>38</v>
      </c>
      <c r="O17710" s="1" t="s">
        <v>46</v>
      </c>
    </row>
    <row r="17711" spans="2:15" x14ac:dyDescent="0.3">
      <c r="B17711" s="1" t="s">
        <v>13</v>
      </c>
      <c r="C17711" s="1" t="str">
        <f>"4차"</f>
        <v>4차</v>
      </c>
      <c r="D17711" s="1" t="str">
        <f>"0026W79145"</f>
        <v>0026W79145</v>
      </c>
      <c r="E17711" s="1" t="s">
        <v>10</v>
      </c>
      <c r="F17711" s="1" t="str">
        <f>"10.12.131.192"</f>
        <v>10.12.131.192</v>
      </c>
      <c r="G17711" s="1" t="str">
        <f>"0026W791"</f>
        <v>0026W791</v>
      </c>
      <c r="H17711" s="1" t="str">
        <f>"청계로 L13"</f>
        <v>청계로 L13</v>
      </c>
      <c r="I17711" s="1" t="s">
        <v>17</v>
      </c>
      <c r="J17711" s="1" t="str">
        <f>"17/17"</f>
        <v>17/17</v>
      </c>
      <c r="K17711" s="1" t="str">
        <f>"2026-07-29 13:18:01"</f>
        <v>2026-07-29 13:18:01</v>
      </c>
      <c r="L17711" s="1" t="str">
        <f>"2024-03-14 17:00:52"</f>
        <v>2024-03-14 17:00:52</v>
      </c>
      <c r="M17711" s="1" t="s">
        <v>0</v>
      </c>
      <c r="N17711" s="1" t="s">
        <v>38</v>
      </c>
      <c r="O17711" s="1" t="s">
        <v>46</v>
      </c>
    </row>
    <row r="17712" spans="2:15" x14ac:dyDescent="0.3">
      <c r="B17712" s="1" t="s">
        <v>13</v>
      </c>
      <c r="C17712" s="1" t="str">
        <f>"4차"</f>
        <v>4차</v>
      </c>
      <c r="D17712" s="1" t="str">
        <f>"0026X05539"</f>
        <v>0026X05539</v>
      </c>
      <c r="E17712" s="1" t="s">
        <v>14</v>
      </c>
      <c r="F17712" s="1" t="str">
        <f>"10.12.131.119"</f>
        <v>10.12.131.119</v>
      </c>
      <c r="G17712" s="1" t="str">
        <f>"0026X055"</f>
        <v>0026X055</v>
      </c>
      <c r="H17712" s="1" t="str">
        <f>"을지로 L37"</f>
        <v>을지로 L37</v>
      </c>
      <c r="I17712" s="1" t="s">
        <v>17</v>
      </c>
      <c r="J17712" s="1" t="str">
        <f>"0/0"</f>
        <v>0/0</v>
      </c>
      <c r="K17712" s="1" t="str">
        <f>"2026-07-28 13:18:02"</f>
        <v>2026-07-28 13:18:02</v>
      </c>
      <c r="L17712" s="1" t="str">
        <f>"2018-10-23 10:54:26"</f>
        <v>2018-10-23 10:54:26</v>
      </c>
      <c r="M17712" s="1" t="s">
        <v>0</v>
      </c>
      <c r="N17712" s="1" t="s">
        <v>39</v>
      </c>
      <c r="O17712" s="1" t="s">
        <v>46</v>
      </c>
    </row>
    <row r="17713" spans="2:15" x14ac:dyDescent="0.3">
      <c r="B17713" s="1" t="s">
        <v>13</v>
      </c>
      <c r="C17713" s="1" t="str">
        <f>"4차"</f>
        <v>4차</v>
      </c>
      <c r="D17713" s="1" t="str">
        <f>"0026X21A39"</f>
        <v>0026X21A39</v>
      </c>
      <c r="E17713" s="1" t="s">
        <v>10</v>
      </c>
      <c r="F17713" s="1" t="str">
        <f>"10.12.135.18"</f>
        <v>10.12.135.18</v>
      </c>
      <c r="G17713" s="1" t="str">
        <f>"0026X21A"</f>
        <v>0026X21A</v>
      </c>
      <c r="H17713" s="1" t="str">
        <f>"을지로 L24-1"</f>
        <v>을지로 L24-1</v>
      </c>
      <c r="I17713" s="1" t="s">
        <v>17</v>
      </c>
      <c r="J17713" s="1" t="str">
        <f>"3/3"</f>
        <v>3/3</v>
      </c>
      <c r="K17713" s="1" t="str">
        <f>"2026-07-29 13:18:01"</f>
        <v>2026-07-29 13:18:01</v>
      </c>
      <c r="L17713" s="1" t="str">
        <f>"2018-10-10 09:41:55"</f>
        <v>2018-10-10 09:41:55</v>
      </c>
      <c r="M17713" s="1" t="s">
        <v>0</v>
      </c>
      <c r="N17713" s="1" t="s">
        <v>38</v>
      </c>
      <c r="O17713" s="1" t="s">
        <v>46</v>
      </c>
    </row>
    <row r="17714" spans="2:15" x14ac:dyDescent="0.3">
      <c r="B17714" s="1" t="s">
        <v>13</v>
      </c>
      <c r="C17714" s="1" t="str">
        <f>"2차"</f>
        <v>2차</v>
      </c>
      <c r="D17714" s="1" t="str">
        <f>"0026X69120"</f>
        <v>0026X69120</v>
      </c>
      <c r="E17714" s="1" t="s">
        <v>10</v>
      </c>
      <c r="F17714" s="1" t="str">
        <f>"10.11.6.242"</f>
        <v>10.11.6.242</v>
      </c>
      <c r="G17714" s="1" t="str">
        <f>"0026X691"</f>
        <v>0026X691</v>
      </c>
      <c r="H17714" s="1" t="str">
        <f>"청량리간 3R5"</f>
        <v>청량리간 3R5</v>
      </c>
      <c r="I17714" s="1" t="s">
        <v>8</v>
      </c>
      <c r="J17714" s="1" t="str">
        <f>"25/25"</f>
        <v>25/25</v>
      </c>
      <c r="K17714" s="1" t="str">
        <f t="shared" ref="K17714:K17719" si="879">"2026-07-29 13:18:00"</f>
        <v>2026-07-29 13:18:00</v>
      </c>
      <c r="L17714" s="1" t="str">
        <f>"2017-07-06 05:32:06"</f>
        <v>2017-07-06 05:32:06</v>
      </c>
      <c r="M17714" s="1" t="s">
        <v>2</v>
      </c>
      <c r="N17714" s="1" t="s">
        <v>38</v>
      </c>
      <c r="O17714" s="1" t="s">
        <v>46</v>
      </c>
    </row>
    <row r="17715" spans="2:15" x14ac:dyDescent="0.3">
      <c r="B17715" s="1" t="s">
        <v>13</v>
      </c>
      <c r="C17715" s="1" t="str">
        <f>"4차"</f>
        <v>4차</v>
      </c>
      <c r="D17715" s="1" t="str">
        <f>"0026X69229"</f>
        <v>0026X69229</v>
      </c>
      <c r="E17715" s="1" t="s">
        <v>10</v>
      </c>
      <c r="F17715" s="1" t="str">
        <f>"10.11.6.250"</f>
        <v>10.11.6.250</v>
      </c>
      <c r="G17715" s="1" t="str">
        <f>"0026X692"</f>
        <v>0026X692</v>
      </c>
      <c r="H17715" s="1" t="str">
        <f>"청량리간 3R6"</f>
        <v>청량리간 3R6</v>
      </c>
      <c r="I17715" s="1" t="s">
        <v>8</v>
      </c>
      <c r="J17715" s="1" t="str">
        <f>"19/19"</f>
        <v>19/19</v>
      </c>
      <c r="K17715" s="1" t="str">
        <f t="shared" si="879"/>
        <v>2026-07-29 13:18:00</v>
      </c>
      <c r="L17715" s="1" t="str">
        <f>"2017-07-03 18:20:02"</f>
        <v>2017-07-03 18:20:02</v>
      </c>
      <c r="M17715" s="1" t="s">
        <v>2</v>
      </c>
      <c r="N17715" s="1" t="s">
        <v>38</v>
      </c>
      <c r="O17715" s="1" t="s">
        <v>46</v>
      </c>
    </row>
    <row r="17716" spans="2:15" x14ac:dyDescent="0.3">
      <c r="B17716" s="1" t="s">
        <v>13</v>
      </c>
      <c r="C17716" s="1" t="str">
        <f>"4차"</f>
        <v>4차</v>
      </c>
      <c r="D17716" s="1" t="str">
        <f>"0026X89329"</f>
        <v>0026X89329</v>
      </c>
      <c r="E17716" s="1" t="s">
        <v>10</v>
      </c>
      <c r="F17716" s="1" t="str">
        <f>"10.11.7.11"</f>
        <v>10.11.7.11</v>
      </c>
      <c r="G17716" s="1" t="str">
        <f>"0026X893"</f>
        <v>0026X893</v>
      </c>
      <c r="H17716" s="1" t="str">
        <f>"청량리간 3R9"</f>
        <v>청량리간 3R9</v>
      </c>
      <c r="I17716" s="1" t="s">
        <v>8</v>
      </c>
      <c r="J17716" s="1" t="str">
        <f>"30/34"</f>
        <v>30/34</v>
      </c>
      <c r="K17716" s="1" t="str">
        <f t="shared" si="879"/>
        <v>2026-07-29 13:18:00</v>
      </c>
      <c r="L17716" s="1" t="str">
        <f>"2017-07-14 13:48:09"</f>
        <v>2017-07-14 13:48:09</v>
      </c>
      <c r="M17716" s="1" t="s">
        <v>2</v>
      </c>
      <c r="N17716" s="1" t="s">
        <v>38</v>
      </c>
      <c r="O17716" s="1" t="s">
        <v>46</v>
      </c>
    </row>
    <row r="17717" spans="2:15" x14ac:dyDescent="0.3">
      <c r="B17717" s="1" t="s">
        <v>13</v>
      </c>
      <c r="C17717" s="1" t="str">
        <f>"3차"</f>
        <v>3차</v>
      </c>
      <c r="D17717" s="1" t="str">
        <f>"0026Y04239"</f>
        <v>0026Y04239</v>
      </c>
      <c r="E17717" s="1" t="s">
        <v>10</v>
      </c>
      <c r="F17717" s="1" t="str">
        <f>"10.11.34.114"</f>
        <v>10.11.34.114</v>
      </c>
      <c r="G17717" s="1" t="str">
        <f>"0026Y042"</f>
        <v>0026Y042</v>
      </c>
      <c r="H17717" s="1" t="str">
        <f>"방묵지 22L1"</f>
        <v>방묵지 22L1</v>
      </c>
      <c r="I17717" s="1" t="s">
        <v>8</v>
      </c>
      <c r="J17717" s="1" t="str">
        <f>"4/4"</f>
        <v>4/4</v>
      </c>
      <c r="K17717" s="1" t="str">
        <f t="shared" si="879"/>
        <v>2026-07-29 13:18:00</v>
      </c>
      <c r="L17717" s="1" t="str">
        <f>"2018-02-22 14:01:32"</f>
        <v>2018-02-22 14:01:32</v>
      </c>
      <c r="M17717" s="1" t="s">
        <v>2</v>
      </c>
      <c r="N17717" s="1" t="s">
        <v>38</v>
      </c>
      <c r="O17717" s="1" t="s">
        <v>46</v>
      </c>
    </row>
    <row r="17718" spans="2:15" x14ac:dyDescent="0.3">
      <c r="B17718" s="1" t="s">
        <v>13</v>
      </c>
      <c r="C17718" s="1" t="str">
        <f>"3차"</f>
        <v>3차</v>
      </c>
      <c r="D17718" s="1" t="str">
        <f>"0026Y04339"</f>
        <v>0026Y04339</v>
      </c>
      <c r="E17718" s="1" t="s">
        <v>10</v>
      </c>
      <c r="F17718" s="1" t="str">
        <f>"10.11.15.218"</f>
        <v>10.11.15.218</v>
      </c>
      <c r="G17718" s="1" t="str">
        <f>"0026Y043"</f>
        <v>0026Y043</v>
      </c>
      <c r="H17718" s="1" t="str">
        <f>"방묵지 22L2"</f>
        <v>방묵지 22L2</v>
      </c>
      <c r="I17718" s="1" t="s">
        <v>8</v>
      </c>
      <c r="J17718" s="1" t="str">
        <f>"12/12"</f>
        <v>12/12</v>
      </c>
      <c r="K17718" s="1" t="str">
        <f t="shared" si="879"/>
        <v>2026-07-29 13:18:00</v>
      </c>
      <c r="L17718" s="1" t="str">
        <f>"2018-02-22 14:26:16"</f>
        <v>2018-02-22 14:26:16</v>
      </c>
      <c r="M17718" s="1" t="s">
        <v>2</v>
      </c>
      <c r="N17718" s="1" t="s">
        <v>38</v>
      </c>
      <c r="O17718" s="1" t="s">
        <v>46</v>
      </c>
    </row>
    <row r="17719" spans="2:15" x14ac:dyDescent="0.3">
      <c r="B17719" s="1" t="s">
        <v>13</v>
      </c>
      <c r="C17719" s="1" t="str">
        <f>"3차"</f>
        <v>3차</v>
      </c>
      <c r="D17719" s="1" t="str">
        <f>"0026Y05139"</f>
        <v>0026Y05139</v>
      </c>
      <c r="E17719" s="1" t="s">
        <v>10</v>
      </c>
      <c r="F17719" s="1" t="str">
        <f>"10.11.15.186"</f>
        <v>10.11.15.186</v>
      </c>
      <c r="G17719" s="1" t="str">
        <f>"0026Y051"</f>
        <v>0026Y051</v>
      </c>
      <c r="H17719" s="1" t="str">
        <f>"방묵지 20L2"</f>
        <v>방묵지 20L2</v>
      </c>
      <c r="I17719" s="1" t="s">
        <v>8</v>
      </c>
      <c r="J17719" s="1" t="str">
        <f>"8/8"</f>
        <v>8/8</v>
      </c>
      <c r="K17719" s="1" t="str">
        <f t="shared" si="879"/>
        <v>2026-07-29 13:18:00</v>
      </c>
      <c r="L17719" s="1" t="str">
        <f>"2018-02-22 16:36:32"</f>
        <v>2018-02-22 16:36:32</v>
      </c>
      <c r="M17719" s="1" t="s">
        <v>2</v>
      </c>
      <c r="N17719" s="1" t="s">
        <v>38</v>
      </c>
      <c r="O17719" s="1" t="s">
        <v>46</v>
      </c>
    </row>
    <row r="17720" spans="2:15" x14ac:dyDescent="0.3">
      <c r="B17720" s="1" t="s">
        <v>13</v>
      </c>
      <c r="C17720" s="1" t="str">
        <f>"6차"</f>
        <v>6차</v>
      </c>
      <c r="D17720" s="1" t="str">
        <f>"0026Y0536S"</f>
        <v>0026Y0536S</v>
      </c>
      <c r="E17720" s="1" t="s">
        <v>10</v>
      </c>
      <c r="F17720" s="1" t="str">
        <f>"fde1:103:4:c5d2:0:0:0:2"</f>
        <v>fde1:103:4:c5d2:0:0:0:2</v>
      </c>
      <c r="G17720" s="1" t="str">
        <f>"0026Y053"</f>
        <v>0026Y053</v>
      </c>
      <c r="H17720" s="1" t="str">
        <f>"방묵지 20L3H1"</f>
        <v>방묵지 20L3H1</v>
      </c>
      <c r="I17720" s="1" t="s">
        <v>15</v>
      </c>
      <c r="J17720" s="1" t="str">
        <f>"40/40"</f>
        <v>40/40</v>
      </c>
      <c r="K17720" s="1" t="str">
        <f>"2026-07-29 14:20:25"</f>
        <v>2026-07-29 14:20:25</v>
      </c>
      <c r="L17720" s="1" t="str">
        <f>"2024-11-19 11:29:37"</f>
        <v>2024-11-19 11:29:37</v>
      </c>
      <c r="M17720" s="1" t="s">
        <v>4</v>
      </c>
      <c r="N17720" s="1" t="s">
        <v>38</v>
      </c>
      <c r="O17720" s="1" t="s">
        <v>46</v>
      </c>
    </row>
    <row r="17721" spans="2:15" x14ac:dyDescent="0.3">
      <c r="B17721" s="1" t="s">
        <v>13</v>
      </c>
      <c r="C17721" s="1" t="str">
        <f t="shared" ref="C17721:C17731" si="880">"3차"</f>
        <v>3차</v>
      </c>
      <c r="D17721" s="1" t="str">
        <f>"0026Y06139"</f>
        <v>0026Y06139</v>
      </c>
      <c r="E17721" s="1" t="s">
        <v>10</v>
      </c>
      <c r="F17721" s="1" t="str">
        <f>"10.11.26.90"</f>
        <v>10.11.26.90</v>
      </c>
      <c r="G17721" s="1" t="str">
        <f>"0026Y061"</f>
        <v>0026Y061</v>
      </c>
      <c r="H17721" s="1" t="str">
        <f>"방묵지 19L1"</f>
        <v>방묵지 19L1</v>
      </c>
      <c r="I17721" s="1" t="s">
        <v>8</v>
      </c>
      <c r="J17721" s="1" t="str">
        <f>"13/13"</f>
        <v>13/13</v>
      </c>
      <c r="K17721" s="1" t="str">
        <f t="shared" ref="K17721:K17742" si="881">"2026-07-29 13:18:00"</f>
        <v>2026-07-29 13:18:00</v>
      </c>
      <c r="L17721" s="1" t="str">
        <f>"2017-12-08 15:34:13"</f>
        <v>2017-12-08 15:34:13</v>
      </c>
      <c r="M17721" s="1" t="s">
        <v>2</v>
      </c>
      <c r="N17721" s="1" t="s">
        <v>38</v>
      </c>
      <c r="O17721" s="1" t="s">
        <v>46</v>
      </c>
    </row>
    <row r="17722" spans="2:15" x14ac:dyDescent="0.3">
      <c r="B17722" s="1" t="s">
        <v>13</v>
      </c>
      <c r="C17722" s="1" t="str">
        <f t="shared" si="880"/>
        <v>3차</v>
      </c>
      <c r="D17722" s="1" t="str">
        <f>"0026Y07139"</f>
        <v>0026Y07139</v>
      </c>
      <c r="E17722" s="1" t="s">
        <v>10</v>
      </c>
      <c r="F17722" s="1" t="str">
        <f>"10.11.15.154"</f>
        <v>10.11.15.154</v>
      </c>
      <c r="G17722" s="1" t="str">
        <f>"0026Y071"</f>
        <v>0026Y071</v>
      </c>
      <c r="H17722" s="1" t="str">
        <f>"방묵지 16"</f>
        <v>방묵지 16</v>
      </c>
      <c r="I17722" s="1" t="s">
        <v>8</v>
      </c>
      <c r="J17722" s="1" t="str">
        <f>"6/6"</f>
        <v>6/6</v>
      </c>
      <c r="K17722" s="1" t="str">
        <f t="shared" si="881"/>
        <v>2026-07-29 13:18:00</v>
      </c>
      <c r="L17722" s="1" t="str">
        <f>"2018-03-10 10:42:40"</f>
        <v>2018-03-10 10:42:40</v>
      </c>
      <c r="M17722" s="1" t="s">
        <v>2</v>
      </c>
      <c r="N17722" s="1" t="s">
        <v>38</v>
      </c>
      <c r="O17722" s="1" t="s">
        <v>46</v>
      </c>
    </row>
    <row r="17723" spans="2:15" x14ac:dyDescent="0.3">
      <c r="B17723" s="1" t="s">
        <v>13</v>
      </c>
      <c r="C17723" s="1" t="str">
        <f t="shared" si="880"/>
        <v>3차</v>
      </c>
      <c r="D17723" s="1" t="str">
        <f>"0026Y07539"</f>
        <v>0026Y07539</v>
      </c>
      <c r="E17723" s="1" t="s">
        <v>10</v>
      </c>
      <c r="F17723" s="1" t="str">
        <f>"10.11.15.178"</f>
        <v>10.11.15.178</v>
      </c>
      <c r="G17723" s="1" t="str">
        <f>"0026Y075"</f>
        <v>0026Y075</v>
      </c>
      <c r="H17723" s="1" t="str">
        <f>"방묵지 16H1"</f>
        <v>방묵지 16H1</v>
      </c>
      <c r="I17723" s="1" t="s">
        <v>8</v>
      </c>
      <c r="J17723" s="1" t="str">
        <f>"19/19"</f>
        <v>19/19</v>
      </c>
      <c r="K17723" s="1" t="str">
        <f t="shared" si="881"/>
        <v>2026-07-29 13:18:00</v>
      </c>
      <c r="L17723" s="1" t="str">
        <f>"2018-04-02 17:34:14"</f>
        <v>2018-04-02 17:34:14</v>
      </c>
      <c r="M17723" s="1" t="s">
        <v>2</v>
      </c>
      <c r="N17723" s="1" t="s">
        <v>38</v>
      </c>
      <c r="O17723" s="1" t="s">
        <v>46</v>
      </c>
    </row>
    <row r="17724" spans="2:15" x14ac:dyDescent="0.3">
      <c r="B17724" s="1" t="s">
        <v>13</v>
      </c>
      <c r="C17724" s="1" t="str">
        <f t="shared" si="880"/>
        <v>3차</v>
      </c>
      <c r="D17724" s="1" t="str">
        <f>"0026Y07639"</f>
        <v>0026Y07639</v>
      </c>
      <c r="E17724" s="1" t="s">
        <v>10</v>
      </c>
      <c r="F17724" s="1" t="str">
        <f>"10.11.34.106"</f>
        <v>10.11.34.106</v>
      </c>
      <c r="G17724" s="1" t="str">
        <f>"0026Y076"</f>
        <v>0026Y076</v>
      </c>
      <c r="H17724" s="1" t="str">
        <f>"방묵지 20L9"</f>
        <v>방묵지 20L9</v>
      </c>
      <c r="I17724" s="1" t="s">
        <v>8</v>
      </c>
      <c r="J17724" s="1" t="str">
        <f>"6/6"</f>
        <v>6/6</v>
      </c>
      <c r="K17724" s="1" t="str">
        <f t="shared" si="881"/>
        <v>2026-07-29 13:18:00</v>
      </c>
      <c r="L17724" s="1" t="str">
        <f>"2018-03-10 11:29:40"</f>
        <v>2018-03-10 11:29:40</v>
      </c>
      <c r="M17724" s="1" t="s">
        <v>2</v>
      </c>
      <c r="N17724" s="1" t="s">
        <v>38</v>
      </c>
      <c r="O17724" s="1" t="s">
        <v>46</v>
      </c>
    </row>
    <row r="17725" spans="2:15" x14ac:dyDescent="0.3">
      <c r="B17725" s="1" t="s">
        <v>13</v>
      </c>
      <c r="C17725" s="1" t="str">
        <f t="shared" si="880"/>
        <v>3차</v>
      </c>
      <c r="D17725" s="1" t="str">
        <f>"0026Y14139"</f>
        <v>0026Y14139</v>
      </c>
      <c r="E17725" s="1" t="s">
        <v>10</v>
      </c>
      <c r="F17725" s="1" t="str">
        <f>"10.11.34.122"</f>
        <v>10.11.34.122</v>
      </c>
      <c r="G17725" s="1" t="str">
        <f>"0026Y141"</f>
        <v>0026Y141</v>
      </c>
      <c r="H17725" s="1" t="str">
        <f>"방묵지 22L3"</f>
        <v>방묵지 22L3</v>
      </c>
      <c r="I17725" s="1" t="s">
        <v>8</v>
      </c>
      <c r="J17725" s="1" t="str">
        <f>"23/23"</f>
        <v>23/23</v>
      </c>
      <c r="K17725" s="1" t="str">
        <f t="shared" si="881"/>
        <v>2026-07-29 13:18:00</v>
      </c>
      <c r="L17725" s="1" t="str">
        <f>"2018-02-22 14:48:17"</f>
        <v>2018-02-22 14:48:17</v>
      </c>
      <c r="M17725" s="1" t="s">
        <v>2</v>
      </c>
      <c r="N17725" s="1" t="s">
        <v>38</v>
      </c>
      <c r="O17725" s="1" t="s">
        <v>46</v>
      </c>
    </row>
    <row r="17726" spans="2:15" x14ac:dyDescent="0.3">
      <c r="B17726" s="1" t="s">
        <v>13</v>
      </c>
      <c r="C17726" s="1" t="str">
        <f t="shared" si="880"/>
        <v>3차</v>
      </c>
      <c r="D17726" s="1" t="str">
        <f>"0026Y15139"</f>
        <v>0026Y15139</v>
      </c>
      <c r="E17726" s="1" t="s">
        <v>10</v>
      </c>
      <c r="F17726" s="1" t="str">
        <f>"10.11.15.194"</f>
        <v>10.11.15.194</v>
      </c>
      <c r="G17726" s="1" t="str">
        <f>"0026Y151"</f>
        <v>0026Y151</v>
      </c>
      <c r="H17726" s="1" t="str">
        <f>"방묵지 20L4"</f>
        <v>방묵지 20L4</v>
      </c>
      <c r="I17726" s="1" t="s">
        <v>8</v>
      </c>
      <c r="J17726" s="1" t="str">
        <f>"10/10"</f>
        <v>10/10</v>
      </c>
      <c r="K17726" s="1" t="str">
        <f t="shared" si="881"/>
        <v>2026-07-29 13:18:00</v>
      </c>
      <c r="L17726" s="1" t="str">
        <f>"2018-02-21 16:42:12"</f>
        <v>2018-02-21 16:42:12</v>
      </c>
      <c r="M17726" s="1" t="s">
        <v>2</v>
      </c>
      <c r="N17726" s="1" t="s">
        <v>38</v>
      </c>
      <c r="O17726" s="1" t="s">
        <v>46</v>
      </c>
    </row>
    <row r="17727" spans="2:15" x14ac:dyDescent="0.3">
      <c r="B17727" s="1" t="s">
        <v>13</v>
      </c>
      <c r="C17727" s="1" t="str">
        <f t="shared" si="880"/>
        <v>3차</v>
      </c>
      <c r="D17727" s="1" t="str">
        <f>"0026Y15239"</f>
        <v>0026Y15239</v>
      </c>
      <c r="E17727" s="1" t="s">
        <v>10</v>
      </c>
      <c r="F17727" s="1" t="str">
        <f>"10.11.34.90"</f>
        <v>10.11.34.90</v>
      </c>
      <c r="G17727" s="1" t="str">
        <f>"0026Y152"</f>
        <v>0026Y152</v>
      </c>
      <c r="H17727" s="1" t="str">
        <f>"방묵지 20L3"</f>
        <v>방묵지 20L3</v>
      </c>
      <c r="I17727" s="1" t="s">
        <v>8</v>
      </c>
      <c r="J17727" s="1" t="str">
        <f>"28/28"</f>
        <v>28/28</v>
      </c>
      <c r="K17727" s="1" t="str">
        <f t="shared" si="881"/>
        <v>2026-07-29 13:18:00</v>
      </c>
      <c r="L17727" s="1" t="str">
        <f>"2018-04-27 16:04:58"</f>
        <v>2018-04-27 16:04:58</v>
      </c>
      <c r="M17727" s="1" t="s">
        <v>2</v>
      </c>
      <c r="N17727" s="1" t="s">
        <v>38</v>
      </c>
      <c r="O17727" s="1" t="s">
        <v>46</v>
      </c>
    </row>
    <row r="17728" spans="2:15" x14ac:dyDescent="0.3">
      <c r="B17728" s="1" t="s">
        <v>13</v>
      </c>
      <c r="C17728" s="1" t="str">
        <f t="shared" si="880"/>
        <v>3차</v>
      </c>
      <c r="D17728" s="1" t="str">
        <f>"0026Y16139"</f>
        <v>0026Y16139</v>
      </c>
      <c r="E17728" s="1" t="s">
        <v>10</v>
      </c>
      <c r="F17728" s="1" t="str">
        <f>"10.11.15.202"</f>
        <v>10.11.15.202</v>
      </c>
      <c r="G17728" s="1" t="str">
        <f>"0026Y161"</f>
        <v>0026Y161</v>
      </c>
      <c r="H17728" s="1" t="str">
        <f>"방묵지 20L5"</f>
        <v>방묵지 20L5</v>
      </c>
      <c r="I17728" s="1" t="s">
        <v>8</v>
      </c>
      <c r="J17728" s="1" t="str">
        <f>"26/26"</f>
        <v>26/26</v>
      </c>
      <c r="K17728" s="1" t="str">
        <f t="shared" si="881"/>
        <v>2026-07-29 13:18:00</v>
      </c>
      <c r="L17728" s="1" t="str">
        <f>"2018-02-21 15:39:11"</f>
        <v>2018-02-21 15:39:11</v>
      </c>
      <c r="M17728" s="1" t="s">
        <v>2</v>
      </c>
      <c r="N17728" s="1" t="s">
        <v>38</v>
      </c>
      <c r="O17728" s="1" t="s">
        <v>46</v>
      </c>
    </row>
    <row r="17729" spans="2:15" x14ac:dyDescent="0.3">
      <c r="B17729" s="1" t="s">
        <v>13</v>
      </c>
      <c r="C17729" s="1" t="str">
        <f t="shared" si="880"/>
        <v>3차</v>
      </c>
      <c r="D17729" s="1" t="str">
        <f>"0026Y17239"</f>
        <v>0026Y17239</v>
      </c>
      <c r="E17729" s="1" t="s">
        <v>10</v>
      </c>
      <c r="F17729" s="1" t="str">
        <f>"10.11.15.210"</f>
        <v>10.11.15.210</v>
      </c>
      <c r="G17729" s="1" t="str">
        <f>"0026Y172"</f>
        <v>0026Y172</v>
      </c>
      <c r="H17729" s="1" t="str">
        <f>"방묵지 20L7"</f>
        <v>방묵지 20L7</v>
      </c>
      <c r="I17729" s="1" t="s">
        <v>8</v>
      </c>
      <c r="J17729" s="1" t="str">
        <f>"7/7"</f>
        <v>7/7</v>
      </c>
      <c r="K17729" s="1" t="str">
        <f t="shared" si="881"/>
        <v>2026-07-29 13:18:00</v>
      </c>
      <c r="L17729" s="1" t="str">
        <f>"2018-02-21 15:33:11"</f>
        <v>2018-02-21 15:33:11</v>
      </c>
      <c r="M17729" s="1" t="s">
        <v>2</v>
      </c>
      <c r="N17729" s="1" t="s">
        <v>38</v>
      </c>
      <c r="O17729" s="1" t="s">
        <v>46</v>
      </c>
    </row>
    <row r="17730" spans="2:15" x14ac:dyDescent="0.3">
      <c r="B17730" s="1" t="s">
        <v>13</v>
      </c>
      <c r="C17730" s="1" t="str">
        <f t="shared" si="880"/>
        <v>3차</v>
      </c>
      <c r="D17730" s="1" t="str">
        <f>"0026Y17439"</f>
        <v>0026Y17439</v>
      </c>
      <c r="E17730" s="1" t="s">
        <v>10</v>
      </c>
      <c r="F17730" s="1" t="str">
        <f>"10.11.34.98"</f>
        <v>10.11.34.98</v>
      </c>
      <c r="G17730" s="1" t="str">
        <f>"0026Y174"</f>
        <v>0026Y174</v>
      </c>
      <c r="H17730" s="1" t="str">
        <f>"방묵지 20L6"</f>
        <v>방묵지 20L6</v>
      </c>
      <c r="I17730" s="1" t="s">
        <v>8</v>
      </c>
      <c r="J17730" s="1" t="str">
        <f>"4/5"</f>
        <v>4/5</v>
      </c>
      <c r="K17730" s="1" t="str">
        <f t="shared" si="881"/>
        <v>2026-07-29 13:18:00</v>
      </c>
      <c r="L17730" s="1" t="str">
        <f>"2018-02-21 15:59:11"</f>
        <v>2018-02-21 15:59:11</v>
      </c>
      <c r="M17730" s="1" t="s">
        <v>2</v>
      </c>
      <c r="N17730" s="1" t="s">
        <v>38</v>
      </c>
      <c r="O17730" s="1" t="s">
        <v>46</v>
      </c>
    </row>
    <row r="17731" spans="2:15" x14ac:dyDescent="0.3">
      <c r="B17731" s="1" t="s">
        <v>13</v>
      </c>
      <c r="C17731" s="1" t="str">
        <f t="shared" si="880"/>
        <v>3차</v>
      </c>
      <c r="D17731" s="1" t="str">
        <f>"0026Y17539"</f>
        <v>0026Y17539</v>
      </c>
      <c r="E17731" s="1" t="s">
        <v>10</v>
      </c>
      <c r="F17731" s="1" t="str">
        <f>"10.11.26.82"</f>
        <v>10.11.26.82</v>
      </c>
      <c r="G17731" s="1" t="str">
        <f>"0026Y175"</f>
        <v>0026Y175</v>
      </c>
      <c r="H17731" s="1" t="str">
        <f>"방묵지 14"</f>
        <v>방묵지 14</v>
      </c>
      <c r="I17731" s="1" t="s">
        <v>8</v>
      </c>
      <c r="J17731" s="1" t="str">
        <f>"3/3"</f>
        <v>3/3</v>
      </c>
      <c r="K17731" s="1" t="str">
        <f t="shared" si="881"/>
        <v>2026-07-29 13:18:00</v>
      </c>
      <c r="L17731" s="1" t="str">
        <f>"2017-12-08 14:17:27"</f>
        <v>2017-12-08 14:17:27</v>
      </c>
      <c r="M17731" s="1" t="s">
        <v>2</v>
      </c>
      <c r="N17731" s="1" t="s">
        <v>38</v>
      </c>
      <c r="O17731" s="1" t="s">
        <v>46</v>
      </c>
    </row>
    <row r="17732" spans="2:15" x14ac:dyDescent="0.3">
      <c r="B17732" s="1" t="s">
        <v>13</v>
      </c>
      <c r="C17732" s="1" t="str">
        <f>"4차"</f>
        <v>4차</v>
      </c>
      <c r="D17732" s="1" t="str">
        <f>"0026Y20239"</f>
        <v>0026Y20239</v>
      </c>
      <c r="E17732" s="1" t="s">
        <v>10</v>
      </c>
      <c r="F17732" s="1" t="str">
        <f>"10.11.43.74"</f>
        <v>10.11.43.74</v>
      </c>
      <c r="G17732" s="1" t="str">
        <f>"0026Y202"</f>
        <v>0026Y202</v>
      </c>
      <c r="H17732" s="1" t="str">
        <f>"필묵지 17L3"</f>
        <v>필묵지 17L3</v>
      </c>
      <c r="I17732" s="1" t="s">
        <v>8</v>
      </c>
      <c r="J17732" s="1" t="str">
        <f>"35/35"</f>
        <v>35/35</v>
      </c>
      <c r="K17732" s="1" t="str">
        <f t="shared" si="881"/>
        <v>2026-07-29 13:18:00</v>
      </c>
      <c r="L17732" s="1" t="str">
        <f>"2018-05-15 17:46:28"</f>
        <v>2018-05-15 17:46:28</v>
      </c>
      <c r="M17732" s="1" t="s">
        <v>2</v>
      </c>
      <c r="N17732" s="1" t="s">
        <v>38</v>
      </c>
      <c r="O17732" s="1" t="s">
        <v>46</v>
      </c>
    </row>
    <row r="17733" spans="2:15" x14ac:dyDescent="0.3">
      <c r="B17733" s="1" t="s">
        <v>13</v>
      </c>
      <c r="C17733" s="1" t="str">
        <f>"3차"</f>
        <v>3차</v>
      </c>
      <c r="D17733" s="1" t="str">
        <f>"0026Y24139"</f>
        <v>0026Y24139</v>
      </c>
      <c r="E17733" s="1" t="s">
        <v>10</v>
      </c>
      <c r="F17733" s="1" t="str">
        <f>"10.11.15.226"</f>
        <v>10.11.15.226</v>
      </c>
      <c r="G17733" s="1" t="str">
        <f>"0026Y241"</f>
        <v>0026Y241</v>
      </c>
      <c r="H17733" s="1" t="str">
        <f>"방묵지 22L4"</f>
        <v>방묵지 22L4</v>
      </c>
      <c r="I17733" s="1" t="s">
        <v>8</v>
      </c>
      <c r="J17733" s="1" t="str">
        <f>"15/15"</f>
        <v>15/15</v>
      </c>
      <c r="K17733" s="1" t="str">
        <f t="shared" si="881"/>
        <v>2026-07-29 13:18:00</v>
      </c>
      <c r="L17733" s="1" t="str">
        <f>"2018-02-21 17:48:58"</f>
        <v>2018-02-21 17:48:58</v>
      </c>
      <c r="M17733" s="1" t="s">
        <v>2</v>
      </c>
      <c r="N17733" s="1" t="s">
        <v>38</v>
      </c>
      <c r="O17733" s="1" t="s">
        <v>46</v>
      </c>
    </row>
    <row r="17734" spans="2:15" x14ac:dyDescent="0.3">
      <c r="B17734" s="1" t="s">
        <v>13</v>
      </c>
      <c r="C17734" s="1" t="str">
        <f>"3차"</f>
        <v>3차</v>
      </c>
      <c r="D17734" s="1" t="str">
        <f>"0026Y25339"</f>
        <v>0026Y25339</v>
      </c>
      <c r="E17734" s="1" t="s">
        <v>10</v>
      </c>
      <c r="F17734" s="1" t="str">
        <f>"10.11.34.130"</f>
        <v>10.11.34.130</v>
      </c>
      <c r="G17734" s="1" t="str">
        <f>"0026Y253"</f>
        <v>0026Y253</v>
      </c>
      <c r="H17734" s="1" t="str">
        <f>"방묵지 22L6"</f>
        <v>방묵지 22L6</v>
      </c>
      <c r="I17734" s="1" t="s">
        <v>8</v>
      </c>
      <c r="J17734" s="1" t="str">
        <f>"23/24"</f>
        <v>23/24</v>
      </c>
      <c r="K17734" s="1" t="str">
        <f t="shared" si="881"/>
        <v>2026-07-29 13:18:00</v>
      </c>
      <c r="L17734" s="1" t="str">
        <f>"2018-05-17 16:50:57"</f>
        <v>2018-05-17 16:50:57</v>
      </c>
      <c r="M17734" s="1" t="s">
        <v>2</v>
      </c>
      <c r="N17734" s="1" t="s">
        <v>38</v>
      </c>
      <c r="O17734" s="1" t="s">
        <v>46</v>
      </c>
    </row>
    <row r="17735" spans="2:15" x14ac:dyDescent="0.3">
      <c r="B17735" s="1" t="s">
        <v>13</v>
      </c>
      <c r="C17735" s="1" t="str">
        <f>"3차"</f>
        <v>3차</v>
      </c>
      <c r="D17735" s="1" t="str">
        <f>"0026Y37539"</f>
        <v>0026Y37539</v>
      </c>
      <c r="E17735" s="1" t="s">
        <v>10</v>
      </c>
      <c r="F17735" s="1" t="str">
        <f>"10.11.32.202"</f>
        <v>10.11.32.202</v>
      </c>
      <c r="G17735" s="1" t="str">
        <f>"0026Y375"</f>
        <v>0026Y375</v>
      </c>
      <c r="H17735" s="1" t="str">
        <f>"묵정지 6R10L2"</f>
        <v>묵정지 6R10L2</v>
      </c>
      <c r="I17735" s="1" t="s">
        <v>8</v>
      </c>
      <c r="J17735" s="1" t="str">
        <f>"14/16"</f>
        <v>14/16</v>
      </c>
      <c r="K17735" s="1" t="str">
        <f t="shared" si="881"/>
        <v>2026-07-29 13:18:00</v>
      </c>
      <c r="L17735" s="1" t="str">
        <f>"2018-02-14 11:23:28"</f>
        <v>2018-02-14 11:23:28</v>
      </c>
      <c r="M17735" s="1" t="s">
        <v>2</v>
      </c>
      <c r="N17735" s="1" t="s">
        <v>38</v>
      </c>
      <c r="O17735" s="1" t="s">
        <v>46</v>
      </c>
    </row>
    <row r="17736" spans="2:15" x14ac:dyDescent="0.3">
      <c r="B17736" s="1" t="s">
        <v>13</v>
      </c>
      <c r="C17736" s="1" t="str">
        <f>"4차"</f>
        <v>4차</v>
      </c>
      <c r="D17736" s="1" t="str">
        <f>"0026Y39239"</f>
        <v>0026Y39239</v>
      </c>
      <c r="E17736" s="1" t="s">
        <v>10</v>
      </c>
      <c r="F17736" s="1" t="str">
        <f>"10.11.14.90"</f>
        <v>10.11.14.90</v>
      </c>
      <c r="G17736" s="1" t="str">
        <f>"0026Y392"</f>
        <v>0026Y392</v>
      </c>
      <c r="H17736" s="1" t="str">
        <f>"묵정지 6R10C1"</f>
        <v>묵정지 6R10C1</v>
      </c>
      <c r="I17736" s="1" t="s">
        <v>8</v>
      </c>
      <c r="J17736" s="1" t="str">
        <f>"25/25"</f>
        <v>25/25</v>
      </c>
      <c r="K17736" s="1" t="str">
        <f t="shared" si="881"/>
        <v>2026-07-29 13:18:00</v>
      </c>
      <c r="L17736" s="1" t="str">
        <f>"2018-01-15 11:53:10"</f>
        <v>2018-01-15 11:53:10</v>
      </c>
      <c r="M17736" s="1" t="s">
        <v>2</v>
      </c>
      <c r="N17736" s="1" t="s">
        <v>38</v>
      </c>
      <c r="O17736" s="1" t="s">
        <v>46</v>
      </c>
    </row>
    <row r="17737" spans="2:15" x14ac:dyDescent="0.3">
      <c r="B17737" s="1" t="s">
        <v>13</v>
      </c>
      <c r="C17737" s="1" t="str">
        <f t="shared" ref="C17737:C17749" si="882">"3차"</f>
        <v>3차</v>
      </c>
      <c r="D17737" s="1" t="str">
        <f>"0026Y42139"</f>
        <v>0026Y42139</v>
      </c>
      <c r="E17737" s="1" t="s">
        <v>10</v>
      </c>
      <c r="F17737" s="1" t="str">
        <f>"10.11.32.130"</f>
        <v>10.11.32.130</v>
      </c>
      <c r="G17737" s="1" t="str">
        <f>"0026Y421"</f>
        <v>0026Y421</v>
      </c>
      <c r="H17737" s="1" t="str">
        <f>"묵정지 13R7"</f>
        <v>묵정지 13R7</v>
      </c>
      <c r="I17737" s="1" t="s">
        <v>8</v>
      </c>
      <c r="J17737" s="1" t="str">
        <f>"16/16"</f>
        <v>16/16</v>
      </c>
      <c r="K17737" s="1" t="str">
        <f t="shared" si="881"/>
        <v>2026-07-29 13:18:00</v>
      </c>
      <c r="L17737" s="1" t="str">
        <f>"2018-02-10 13:14:56"</f>
        <v>2018-02-10 13:14:56</v>
      </c>
      <c r="M17737" s="1" t="s">
        <v>2</v>
      </c>
      <c r="N17737" s="1" t="s">
        <v>38</v>
      </c>
      <c r="O17737" s="1" t="s">
        <v>46</v>
      </c>
    </row>
    <row r="17738" spans="2:15" x14ac:dyDescent="0.3">
      <c r="B17738" s="1" t="s">
        <v>13</v>
      </c>
      <c r="C17738" s="1" t="str">
        <f t="shared" si="882"/>
        <v>3차</v>
      </c>
      <c r="D17738" s="1" t="str">
        <f>"0026Y48139"</f>
        <v>0026Y48139</v>
      </c>
      <c r="E17738" s="1" t="s">
        <v>10</v>
      </c>
      <c r="F17738" s="1" t="str">
        <f>"10.11.14.98"</f>
        <v>10.11.14.98</v>
      </c>
      <c r="G17738" s="1" t="str">
        <f>"0026Y481"</f>
        <v>0026Y481</v>
      </c>
      <c r="H17738" s="1" t="str">
        <f>"묵정지 6R10L1"</f>
        <v>묵정지 6R10L1</v>
      </c>
      <c r="I17738" s="1" t="s">
        <v>8</v>
      </c>
      <c r="J17738" s="1" t="str">
        <f>"13/13"</f>
        <v>13/13</v>
      </c>
      <c r="K17738" s="1" t="str">
        <f t="shared" si="881"/>
        <v>2026-07-29 13:18:00</v>
      </c>
      <c r="L17738" s="1" t="str">
        <f>"2018-02-26 18:44:36"</f>
        <v>2018-02-26 18:44:36</v>
      </c>
      <c r="M17738" s="1" t="s">
        <v>2</v>
      </c>
      <c r="N17738" s="1" t="s">
        <v>38</v>
      </c>
      <c r="O17738" s="1" t="s">
        <v>46</v>
      </c>
    </row>
    <row r="17739" spans="2:15" x14ac:dyDescent="0.3">
      <c r="B17739" s="1" t="s">
        <v>13</v>
      </c>
      <c r="C17739" s="1" t="str">
        <f t="shared" si="882"/>
        <v>3차</v>
      </c>
      <c r="D17739" s="1" t="str">
        <f>"0026Y48339"</f>
        <v>0026Y48339</v>
      </c>
      <c r="E17739" s="1" t="s">
        <v>10</v>
      </c>
      <c r="F17739" s="1" t="str">
        <f>"10.11.32.194"</f>
        <v>10.11.32.194</v>
      </c>
      <c r="G17739" s="1" t="str">
        <f>"0026Y483"</f>
        <v>0026Y483</v>
      </c>
      <c r="H17739" s="1" t="str">
        <f>"묵정지 6R10"</f>
        <v>묵정지 6R10</v>
      </c>
      <c r="I17739" s="1" t="s">
        <v>8</v>
      </c>
      <c r="J17739" s="1" t="str">
        <f>"17/17"</f>
        <v>17/17</v>
      </c>
      <c r="K17739" s="1" t="str">
        <f t="shared" si="881"/>
        <v>2026-07-29 13:18:00</v>
      </c>
      <c r="L17739" s="1" t="str">
        <f>"2018-02-10 14:20:56"</f>
        <v>2018-02-10 14:20:56</v>
      </c>
      <c r="M17739" s="1" t="s">
        <v>2</v>
      </c>
      <c r="N17739" s="1" t="s">
        <v>38</v>
      </c>
      <c r="O17739" s="1" t="s">
        <v>46</v>
      </c>
    </row>
    <row r="17740" spans="2:15" x14ac:dyDescent="0.3">
      <c r="B17740" s="1" t="s">
        <v>13</v>
      </c>
      <c r="C17740" s="1" t="str">
        <f t="shared" si="882"/>
        <v>3차</v>
      </c>
      <c r="D17740" s="1" t="str">
        <f>"0026Y49139"</f>
        <v>0026Y49139</v>
      </c>
      <c r="E17740" s="1" t="s">
        <v>10</v>
      </c>
      <c r="F17740" s="1" t="str">
        <f>"10.11.32.210"</f>
        <v>10.11.32.210</v>
      </c>
      <c r="G17740" s="1" t="str">
        <f>"0026Y491"</f>
        <v>0026Y491</v>
      </c>
      <c r="H17740" s="1" t="str">
        <f>"묵정지 6R11"</f>
        <v>묵정지 6R11</v>
      </c>
      <c r="I17740" s="1" t="s">
        <v>8</v>
      </c>
      <c r="J17740" s="1" t="str">
        <f>"21/24"</f>
        <v>21/24</v>
      </c>
      <c r="K17740" s="1" t="str">
        <f t="shared" si="881"/>
        <v>2026-07-29 13:18:00</v>
      </c>
      <c r="L17740" s="1" t="str">
        <f>"2018-01-15 12:25:25"</f>
        <v>2018-01-15 12:25:25</v>
      </c>
      <c r="M17740" s="1" t="s">
        <v>2</v>
      </c>
      <c r="N17740" s="1" t="s">
        <v>38</v>
      </c>
      <c r="O17740" s="1" t="s">
        <v>46</v>
      </c>
    </row>
    <row r="17741" spans="2:15" x14ac:dyDescent="0.3">
      <c r="B17741" s="1" t="s">
        <v>13</v>
      </c>
      <c r="C17741" s="1" t="str">
        <f t="shared" si="882"/>
        <v>3차</v>
      </c>
      <c r="D17741" s="1" t="str">
        <f>"0026Y50139"</f>
        <v>0026Y50139</v>
      </c>
      <c r="E17741" s="1" t="s">
        <v>10</v>
      </c>
      <c r="F17741" s="1" t="str">
        <f>"10.11.32.146"</f>
        <v>10.11.32.146</v>
      </c>
      <c r="G17741" s="1" t="str">
        <f>"0026Y501"</f>
        <v>0026Y501</v>
      </c>
      <c r="H17741" s="1" t="str">
        <f>"묵정지 17R3R3"</f>
        <v>묵정지 17R3R3</v>
      </c>
      <c r="I17741" s="1" t="s">
        <v>8</v>
      </c>
      <c r="J17741" s="1" t="str">
        <f>"15/15"</f>
        <v>15/15</v>
      </c>
      <c r="K17741" s="1" t="str">
        <f t="shared" si="881"/>
        <v>2026-07-29 13:18:00</v>
      </c>
      <c r="L17741" s="1" t="str">
        <f>"2018-02-10 13:38:42"</f>
        <v>2018-02-10 13:38:42</v>
      </c>
      <c r="M17741" s="1" t="s">
        <v>2</v>
      </c>
      <c r="N17741" s="1" t="s">
        <v>38</v>
      </c>
      <c r="O17741" s="1" t="s">
        <v>46</v>
      </c>
    </row>
    <row r="17742" spans="2:15" x14ac:dyDescent="0.3">
      <c r="B17742" s="1" t="s">
        <v>13</v>
      </c>
      <c r="C17742" s="1" t="str">
        <f t="shared" si="882"/>
        <v>3차</v>
      </c>
      <c r="D17742" s="1" t="str">
        <f>"0026Y52139"</f>
        <v>0026Y52139</v>
      </c>
      <c r="E17742" s="1" t="s">
        <v>10</v>
      </c>
      <c r="F17742" s="1" t="str">
        <f>"10.11.14.10"</f>
        <v>10.11.14.10</v>
      </c>
      <c r="G17742" s="1" t="str">
        <f>"0026Y521"</f>
        <v>0026Y521</v>
      </c>
      <c r="H17742" s="1" t="str">
        <f>"묵정지 13R6"</f>
        <v>묵정지 13R6</v>
      </c>
      <c r="I17742" s="1" t="s">
        <v>8</v>
      </c>
      <c r="J17742" s="1" t="str">
        <f>"45/45"</f>
        <v>45/45</v>
      </c>
      <c r="K17742" s="1" t="str">
        <f t="shared" si="881"/>
        <v>2026-07-29 13:18:00</v>
      </c>
      <c r="L17742" s="1" t="str">
        <f>"2018-02-26 18:45:37"</f>
        <v>2018-02-26 18:45:37</v>
      </c>
      <c r="M17742" s="1" t="s">
        <v>2</v>
      </c>
      <c r="N17742" s="1" t="s">
        <v>38</v>
      </c>
      <c r="O17742" s="1" t="s">
        <v>46</v>
      </c>
    </row>
    <row r="17743" spans="2:15" x14ac:dyDescent="0.3">
      <c r="B17743" s="1" t="s">
        <v>13</v>
      </c>
      <c r="C17743" s="1" t="str">
        <f t="shared" si="882"/>
        <v>3차</v>
      </c>
      <c r="D17743" s="1" t="str">
        <f>"0026Y53139"</f>
        <v>0026Y53139</v>
      </c>
      <c r="E17743" s="1" t="s">
        <v>10</v>
      </c>
      <c r="F17743" s="1" t="str">
        <f>"10.11.14.2"</f>
        <v>10.11.14.2</v>
      </c>
      <c r="G17743" s="1" t="str">
        <f>"0026Y531"</f>
        <v>0026Y531</v>
      </c>
      <c r="H17743" s="1" t="str">
        <f>"묵정지 13R6R1"</f>
        <v>묵정지 13R6R1</v>
      </c>
      <c r="I17743" s="1" t="s">
        <v>8</v>
      </c>
      <c r="J17743" s="1" t="str">
        <f>"23/24"</f>
        <v>23/24</v>
      </c>
      <c r="K17743" s="1" t="str">
        <f>"2026-07-29 13:18:01"</f>
        <v>2026-07-29 13:18:01</v>
      </c>
      <c r="L17743" s="1" t="str">
        <f>"2018-02-26 18:46:37"</f>
        <v>2018-02-26 18:46:37</v>
      </c>
      <c r="M17743" s="1" t="s">
        <v>2</v>
      </c>
      <c r="N17743" s="1" t="s">
        <v>38</v>
      </c>
      <c r="O17743" s="1" t="s">
        <v>46</v>
      </c>
    </row>
    <row r="17744" spans="2:15" x14ac:dyDescent="0.3">
      <c r="B17744" s="1" t="s">
        <v>13</v>
      </c>
      <c r="C17744" s="1" t="str">
        <f t="shared" si="882"/>
        <v>3차</v>
      </c>
      <c r="D17744" s="1" t="str">
        <f>"0026Y53239"</f>
        <v>0026Y53239</v>
      </c>
      <c r="E17744" s="1" t="s">
        <v>10</v>
      </c>
      <c r="F17744" s="1" t="str">
        <f>"10.11.32.122"</f>
        <v>10.11.32.122</v>
      </c>
      <c r="G17744" s="1" t="str">
        <f>"0026Y532"</f>
        <v>0026Y532</v>
      </c>
      <c r="H17744" s="1" t="str">
        <f>"묵정지 13R6R2"</f>
        <v>묵정지 13R6R2</v>
      </c>
      <c r="I17744" s="1" t="s">
        <v>8</v>
      </c>
      <c r="J17744" s="1" t="str">
        <f>"67/67"</f>
        <v>67/67</v>
      </c>
      <c r="K17744" s="1" t="str">
        <f>"2026-07-29 13:18:00"</f>
        <v>2026-07-29 13:18:00</v>
      </c>
      <c r="L17744" s="1" t="str">
        <f>"2018-02-10 13:18:11"</f>
        <v>2018-02-10 13:18:11</v>
      </c>
      <c r="M17744" s="1" t="s">
        <v>2</v>
      </c>
      <c r="N17744" s="1" t="s">
        <v>38</v>
      </c>
      <c r="O17744" s="1" t="s">
        <v>46</v>
      </c>
    </row>
    <row r="17745" spans="2:15" x14ac:dyDescent="0.3">
      <c r="B17745" s="1" t="s">
        <v>13</v>
      </c>
      <c r="C17745" s="1" t="str">
        <f t="shared" si="882"/>
        <v>3차</v>
      </c>
      <c r="D17745" s="1" t="str">
        <f>"0026Y56239"</f>
        <v>0026Y56239</v>
      </c>
      <c r="E17745" s="1" t="s">
        <v>10</v>
      </c>
      <c r="F17745" s="1" t="str">
        <f>"10.11.32.250"</f>
        <v>10.11.32.250</v>
      </c>
      <c r="G17745" s="1" t="str">
        <f>"0026Y562"</f>
        <v>0026Y562</v>
      </c>
      <c r="H17745" s="1" t="str">
        <f>"묵정지 6R5L6"</f>
        <v>묵정지 6R5L6</v>
      </c>
      <c r="I17745" s="1" t="s">
        <v>8</v>
      </c>
      <c r="J17745" s="1" t="str">
        <f>"8/8"</f>
        <v>8/8</v>
      </c>
      <c r="K17745" s="1" t="str">
        <f t="shared" ref="K17745:K17750" si="883">"2026-07-29 13:18:01"</f>
        <v>2026-07-29 13:18:01</v>
      </c>
      <c r="L17745" s="1" t="str">
        <f>"2018-01-27 11:32:56"</f>
        <v>2018-01-27 11:32:56</v>
      </c>
      <c r="M17745" s="1" t="s">
        <v>2</v>
      </c>
      <c r="N17745" s="1" t="s">
        <v>38</v>
      </c>
      <c r="O17745" s="1" t="s">
        <v>46</v>
      </c>
    </row>
    <row r="17746" spans="2:15" x14ac:dyDescent="0.3">
      <c r="B17746" s="1" t="s">
        <v>13</v>
      </c>
      <c r="C17746" s="1" t="str">
        <f t="shared" si="882"/>
        <v>3차</v>
      </c>
      <c r="D17746" s="1" t="str">
        <f>"0026Y57239"</f>
        <v>0026Y57239</v>
      </c>
      <c r="E17746" s="1" t="s">
        <v>10</v>
      </c>
      <c r="F17746" s="1" t="str">
        <f>"10.11.32.242"</f>
        <v>10.11.32.242</v>
      </c>
      <c r="G17746" s="1" t="str">
        <f>"0026Y572"</f>
        <v>0026Y572</v>
      </c>
      <c r="H17746" s="1" t="str">
        <f>"묵정지 6R5L2"</f>
        <v>묵정지 6R5L2</v>
      </c>
      <c r="I17746" s="1" t="s">
        <v>8</v>
      </c>
      <c r="J17746" s="1" t="str">
        <f>"4/4"</f>
        <v>4/4</v>
      </c>
      <c r="K17746" s="1" t="str">
        <f t="shared" si="883"/>
        <v>2026-07-29 13:18:01</v>
      </c>
      <c r="L17746" s="1" t="str">
        <f>"2018-01-15 16:18:42"</f>
        <v>2018-01-15 16:18:42</v>
      </c>
      <c r="M17746" s="1" t="s">
        <v>2</v>
      </c>
      <c r="N17746" s="1" t="s">
        <v>38</v>
      </c>
      <c r="O17746" s="1" t="s">
        <v>46</v>
      </c>
    </row>
    <row r="17747" spans="2:15" x14ac:dyDescent="0.3">
      <c r="B17747" s="1" t="s">
        <v>13</v>
      </c>
      <c r="C17747" s="1" t="str">
        <f t="shared" si="882"/>
        <v>3차</v>
      </c>
      <c r="D17747" s="1" t="str">
        <f>"0026Y58239"</f>
        <v>0026Y58239</v>
      </c>
      <c r="E17747" s="1" t="s">
        <v>10</v>
      </c>
      <c r="F17747" s="1" t="str">
        <f>"10.11.33.10"</f>
        <v>10.11.33.10</v>
      </c>
      <c r="G17747" s="1" t="str">
        <f>"0026Y582"</f>
        <v>0026Y582</v>
      </c>
      <c r="H17747" s="1" t="str">
        <f>"묵정지 6R7"</f>
        <v>묵정지 6R7</v>
      </c>
      <c r="I17747" s="1" t="s">
        <v>8</v>
      </c>
      <c r="J17747" s="1" t="str">
        <f>"51/52"</f>
        <v>51/52</v>
      </c>
      <c r="K17747" s="1" t="str">
        <f t="shared" si="883"/>
        <v>2026-07-29 13:18:01</v>
      </c>
      <c r="L17747" s="1" t="str">
        <f>"2018-01-15 15:21:57"</f>
        <v>2018-01-15 15:21:57</v>
      </c>
      <c r="M17747" s="1" t="s">
        <v>2</v>
      </c>
      <c r="N17747" s="1" t="s">
        <v>38</v>
      </c>
      <c r="O17747" s="1" t="s">
        <v>46</v>
      </c>
    </row>
    <row r="17748" spans="2:15" x14ac:dyDescent="0.3">
      <c r="B17748" s="1" t="s">
        <v>13</v>
      </c>
      <c r="C17748" s="1" t="str">
        <f t="shared" si="882"/>
        <v>3차</v>
      </c>
      <c r="D17748" s="1" t="str">
        <f>"0026Y58339"</f>
        <v>0026Y58339</v>
      </c>
      <c r="E17748" s="1" t="s">
        <v>10</v>
      </c>
      <c r="F17748" s="1" t="str">
        <f>"10.11.14.170"</f>
        <v>10.11.14.170</v>
      </c>
      <c r="G17748" s="1" t="str">
        <f>"0026Y583"</f>
        <v>0026Y583</v>
      </c>
      <c r="H17748" s="1" t="str">
        <f>"묵정지 6R7R1H1"</f>
        <v>묵정지 6R7R1H1</v>
      </c>
      <c r="I17748" s="1" t="s">
        <v>8</v>
      </c>
      <c r="J17748" s="1" t="str">
        <f>"18/18"</f>
        <v>18/18</v>
      </c>
      <c r="K17748" s="1" t="str">
        <f t="shared" si="883"/>
        <v>2026-07-29 13:18:01</v>
      </c>
      <c r="L17748" s="1" t="str">
        <f>"2018-01-15 16:49:27"</f>
        <v>2018-01-15 16:49:27</v>
      </c>
      <c r="M17748" s="1" t="s">
        <v>2</v>
      </c>
      <c r="N17748" s="1" t="s">
        <v>38</v>
      </c>
      <c r="O17748" s="1" t="s">
        <v>46</v>
      </c>
    </row>
    <row r="17749" spans="2:15" x14ac:dyDescent="0.3">
      <c r="B17749" s="1" t="s">
        <v>13</v>
      </c>
      <c r="C17749" s="1" t="str">
        <f t="shared" si="882"/>
        <v>3차</v>
      </c>
      <c r="D17749" s="1" t="str">
        <f>"0026Y58439"</f>
        <v>0026Y58439</v>
      </c>
      <c r="E17749" s="1" t="s">
        <v>10</v>
      </c>
      <c r="F17749" s="1" t="str">
        <f>"10.11.33.18"</f>
        <v>10.11.33.18</v>
      </c>
      <c r="G17749" s="1" t="str">
        <f>"0026Y584"</f>
        <v>0026Y584</v>
      </c>
      <c r="H17749" s="1" t="str">
        <f>"묵정지 6R7R1"</f>
        <v>묵정지 6R7R1</v>
      </c>
      <c r="I17749" s="1" t="s">
        <v>8</v>
      </c>
      <c r="J17749" s="1" t="str">
        <f>"3/3"</f>
        <v>3/3</v>
      </c>
      <c r="K17749" s="1" t="str">
        <f t="shared" si="883"/>
        <v>2026-07-29 13:18:01</v>
      </c>
      <c r="L17749" s="1" t="str">
        <f>"2018-01-15 16:52:13"</f>
        <v>2018-01-15 16:52:13</v>
      </c>
      <c r="M17749" s="1" t="s">
        <v>2</v>
      </c>
      <c r="N17749" s="1" t="s">
        <v>38</v>
      </c>
      <c r="O17749" s="1" t="s">
        <v>46</v>
      </c>
    </row>
    <row r="17750" spans="2:15" x14ac:dyDescent="0.3">
      <c r="B17750" s="1" t="s">
        <v>13</v>
      </c>
      <c r="C17750" s="1" t="str">
        <f>"4차"</f>
        <v>4차</v>
      </c>
      <c r="D17750" s="1" t="str">
        <f>"0026Y60239"</f>
        <v>0026Y60239</v>
      </c>
      <c r="E17750" s="1" t="s">
        <v>10</v>
      </c>
      <c r="F17750" s="1" t="str">
        <f>"10.11.14.34"</f>
        <v>10.11.14.34</v>
      </c>
      <c r="G17750" s="1" t="str">
        <f>"0026Y602"</f>
        <v>0026Y602</v>
      </c>
      <c r="H17750" s="1" t="str">
        <f>"묵정지 17R3R2"</f>
        <v>묵정지 17R3R2</v>
      </c>
      <c r="I17750" s="1" t="s">
        <v>8</v>
      </c>
      <c r="J17750" s="1" t="str">
        <f>"35/35"</f>
        <v>35/35</v>
      </c>
      <c r="K17750" s="1" t="str">
        <f t="shared" si="883"/>
        <v>2026-07-29 13:18:01</v>
      </c>
      <c r="L17750" s="1" t="str">
        <f>"2018-02-26 18:47:51"</f>
        <v>2018-02-26 18:47:51</v>
      </c>
      <c r="M17750" s="1" t="s">
        <v>2</v>
      </c>
      <c r="N17750" s="1" t="s">
        <v>38</v>
      </c>
      <c r="O17750" s="1" t="s">
        <v>46</v>
      </c>
    </row>
    <row r="17751" spans="2:15" x14ac:dyDescent="0.3">
      <c r="B17751" s="1" t="s">
        <v>13</v>
      </c>
      <c r="C17751" s="1" t="str">
        <f>"3차"</f>
        <v>3차</v>
      </c>
      <c r="D17751" s="1" t="str">
        <f>"0026Y61139"</f>
        <v>0026Y61139</v>
      </c>
      <c r="E17751" s="1" t="s">
        <v>18</v>
      </c>
      <c r="F17751" s="1" t="str">
        <f>"10.11.32.106"</f>
        <v>10.11.32.106</v>
      </c>
      <c r="G17751" s="1" t="str">
        <f>"0026Y611"</f>
        <v>0026Y611</v>
      </c>
      <c r="H17751" s="1" t="str">
        <f>"묵정지 13R4L2"</f>
        <v>묵정지 13R4L2</v>
      </c>
      <c r="I17751" s="1" t="s">
        <v>8</v>
      </c>
      <c r="J17751" s="1" t="str">
        <f>"0/5"</f>
        <v>0/5</v>
      </c>
      <c r="K17751" s="1" t="str">
        <f>"2026-07-12 07:18:01"</f>
        <v>2026-07-12 07:18:01</v>
      </c>
      <c r="L17751" s="1" t="str">
        <f>"2018-02-10 12:48:26"</f>
        <v>2018-02-10 12:48:26</v>
      </c>
      <c r="M17751" s="1" t="s">
        <v>2</v>
      </c>
      <c r="N17751" s="1" t="s">
        <v>38</v>
      </c>
      <c r="O17751" s="1" t="s">
        <v>46</v>
      </c>
    </row>
    <row r="17752" spans="2:15" x14ac:dyDescent="0.3">
      <c r="B17752" s="1" t="s">
        <v>13</v>
      </c>
      <c r="C17752" s="1" t="str">
        <f>"4차"</f>
        <v>4차</v>
      </c>
      <c r="D17752" s="1" t="str">
        <f>"0026Y61339"</f>
        <v>0026Y61339</v>
      </c>
      <c r="E17752" s="1" t="s">
        <v>10</v>
      </c>
      <c r="F17752" s="1" t="str">
        <f>"10.11.13.242"</f>
        <v>10.11.13.242</v>
      </c>
      <c r="G17752" s="1" t="str">
        <f>"0026Y613"</f>
        <v>0026Y613</v>
      </c>
      <c r="H17752" s="1" t="str">
        <f>"묵정지 13R4L1"</f>
        <v>묵정지 13R4L1</v>
      </c>
      <c r="I17752" s="1" t="s">
        <v>8</v>
      </c>
      <c r="J17752" s="1" t="str">
        <f>"32/32"</f>
        <v>32/32</v>
      </c>
      <c r="K17752" s="1" t="str">
        <f t="shared" ref="K17752:K17766" si="884">"2026-07-29 13:18:01"</f>
        <v>2026-07-29 13:18:01</v>
      </c>
      <c r="L17752" s="1" t="str">
        <f>"2018-05-17 16:35:43"</f>
        <v>2018-05-17 16:35:43</v>
      </c>
      <c r="M17752" s="1" t="s">
        <v>2</v>
      </c>
      <c r="N17752" s="1" t="s">
        <v>38</v>
      </c>
      <c r="O17752" s="1" t="s">
        <v>46</v>
      </c>
    </row>
    <row r="17753" spans="2:15" x14ac:dyDescent="0.3">
      <c r="B17753" s="1" t="s">
        <v>13</v>
      </c>
      <c r="C17753" s="1" t="str">
        <f>"4차"</f>
        <v>4차</v>
      </c>
      <c r="D17753" s="1" t="str">
        <f>"0026Y62139"</f>
        <v>0026Y62139</v>
      </c>
      <c r="E17753" s="1" t="s">
        <v>10</v>
      </c>
      <c r="F17753" s="1" t="str">
        <f>"10.11.32.98"</f>
        <v>10.11.32.98</v>
      </c>
      <c r="G17753" s="1" t="str">
        <f>"0026Y621"</f>
        <v>0026Y621</v>
      </c>
      <c r="H17753" s="1" t="str">
        <f>"묵정지 13R4"</f>
        <v>묵정지 13R4</v>
      </c>
      <c r="I17753" s="1" t="s">
        <v>8</v>
      </c>
      <c r="J17753" s="1" t="str">
        <f>"34/34"</f>
        <v>34/34</v>
      </c>
      <c r="K17753" s="1" t="str">
        <f t="shared" si="884"/>
        <v>2026-07-29 13:18:01</v>
      </c>
      <c r="L17753" s="1" t="str">
        <f>"2018-02-10 12:58:41"</f>
        <v>2018-02-10 12:58:41</v>
      </c>
      <c r="M17753" s="1" t="s">
        <v>2</v>
      </c>
      <c r="N17753" s="1" t="s">
        <v>38</v>
      </c>
      <c r="O17753" s="1" t="s">
        <v>46</v>
      </c>
    </row>
    <row r="17754" spans="2:15" x14ac:dyDescent="0.3">
      <c r="B17754" s="1" t="s">
        <v>13</v>
      </c>
      <c r="C17754" s="1" t="str">
        <f>"4차"</f>
        <v>4차</v>
      </c>
      <c r="D17754" s="1" t="str">
        <f>"0026Y63539"</f>
        <v>0026Y63539</v>
      </c>
      <c r="E17754" s="1" t="s">
        <v>10</v>
      </c>
      <c r="F17754" s="1" t="str">
        <f>"10.11.13.250"</f>
        <v>10.11.13.250</v>
      </c>
      <c r="G17754" s="1" t="str">
        <f>"0026Y635"</f>
        <v>0026Y635</v>
      </c>
      <c r="H17754" s="1" t="str">
        <f>"묵정지 13R4R1"</f>
        <v>묵정지 13R4R1</v>
      </c>
      <c r="I17754" s="1" t="s">
        <v>8</v>
      </c>
      <c r="J17754" s="1" t="str">
        <f>"78/78"</f>
        <v>78/78</v>
      </c>
      <c r="K17754" s="1" t="str">
        <f t="shared" si="884"/>
        <v>2026-07-29 13:18:01</v>
      </c>
      <c r="L17754" s="1" t="str">
        <f>"2018-02-26 18:48:53"</f>
        <v>2018-02-26 18:48:53</v>
      </c>
      <c r="M17754" s="1" t="s">
        <v>2</v>
      </c>
      <c r="N17754" s="1" t="s">
        <v>38</v>
      </c>
      <c r="O17754" s="1" t="s">
        <v>46</v>
      </c>
    </row>
    <row r="17755" spans="2:15" x14ac:dyDescent="0.3">
      <c r="B17755" s="1" t="s">
        <v>13</v>
      </c>
      <c r="C17755" s="1" t="str">
        <f>"3차"</f>
        <v>3차</v>
      </c>
      <c r="D17755" s="1" t="str">
        <f>"0026Y64139"</f>
        <v>0026Y64139</v>
      </c>
      <c r="E17755" s="1" t="s">
        <v>10</v>
      </c>
      <c r="F17755" s="1" t="str">
        <f>"10.11.32.114"</f>
        <v>10.11.32.114</v>
      </c>
      <c r="G17755" s="1" t="str">
        <f>"0026Y641"</f>
        <v>0026Y641</v>
      </c>
      <c r="H17755" s="1" t="str">
        <f>"묵정지 13R4R2"</f>
        <v>묵정지 13R4R2</v>
      </c>
      <c r="I17755" s="1" t="s">
        <v>8</v>
      </c>
      <c r="J17755" s="1" t="str">
        <f>"38/38"</f>
        <v>38/38</v>
      </c>
      <c r="K17755" s="1" t="str">
        <f t="shared" si="884"/>
        <v>2026-07-29 13:18:01</v>
      </c>
      <c r="L17755" s="1" t="str">
        <f>"2018-02-10 13:05:41"</f>
        <v>2018-02-10 13:05:41</v>
      </c>
      <c r="M17755" s="1" t="s">
        <v>2</v>
      </c>
      <c r="N17755" s="1" t="s">
        <v>38</v>
      </c>
      <c r="O17755" s="1" t="s">
        <v>46</v>
      </c>
    </row>
    <row r="17756" spans="2:15" x14ac:dyDescent="0.3">
      <c r="B17756" s="1" t="s">
        <v>13</v>
      </c>
      <c r="C17756" s="1" t="str">
        <f>"4차"</f>
        <v>4차</v>
      </c>
      <c r="D17756" s="1" t="str">
        <f>"0026Y65239"</f>
        <v>0026Y65239</v>
      </c>
      <c r="E17756" s="1" t="s">
        <v>10</v>
      </c>
      <c r="F17756" s="1" t="str">
        <f>"10.11.33.2"</f>
        <v>10.11.33.2</v>
      </c>
      <c r="G17756" s="1" t="str">
        <f>"0026Y652"</f>
        <v>0026Y652</v>
      </c>
      <c r="H17756" s="1" t="str">
        <f>"묵정지 6R5L9"</f>
        <v>묵정지 6R5L9</v>
      </c>
      <c r="I17756" s="1" t="s">
        <v>8</v>
      </c>
      <c r="J17756" s="1" t="str">
        <f>"6/6"</f>
        <v>6/6</v>
      </c>
      <c r="K17756" s="1" t="str">
        <f t="shared" si="884"/>
        <v>2026-07-29 13:18:01</v>
      </c>
      <c r="L17756" s="1" t="str">
        <f>"2018-01-27 12:05:42"</f>
        <v>2018-01-27 12:05:42</v>
      </c>
      <c r="M17756" s="1" t="s">
        <v>2</v>
      </c>
      <c r="N17756" s="1" t="s">
        <v>38</v>
      </c>
      <c r="O17756" s="1" t="s">
        <v>46</v>
      </c>
    </row>
    <row r="17757" spans="2:15" x14ac:dyDescent="0.3">
      <c r="B17757" s="1" t="s">
        <v>13</v>
      </c>
      <c r="C17757" s="1" t="str">
        <f t="shared" ref="C17757:C17762" si="885">"3차"</f>
        <v>3차</v>
      </c>
      <c r="D17757" s="1" t="str">
        <f>"0026Y66139"</f>
        <v>0026Y66139</v>
      </c>
      <c r="E17757" s="1" t="s">
        <v>10</v>
      </c>
      <c r="F17757" s="1" t="str">
        <f>"10.11.14.138"</f>
        <v>10.11.14.138</v>
      </c>
      <c r="G17757" s="1" t="str">
        <f>"0026Y661"</f>
        <v>0026Y661</v>
      </c>
      <c r="H17757" s="1" t="str">
        <f>"묵정지 6R5L10"</f>
        <v>묵정지 6R5L10</v>
      </c>
      <c r="I17757" s="1" t="s">
        <v>8</v>
      </c>
      <c r="J17757" s="1" t="str">
        <f>"18/18"</f>
        <v>18/18</v>
      </c>
      <c r="K17757" s="1" t="str">
        <f t="shared" si="884"/>
        <v>2026-07-29 13:18:01</v>
      </c>
      <c r="L17757" s="1" t="str">
        <f>"2018-01-24 17:13:44"</f>
        <v>2018-01-24 17:13:44</v>
      </c>
      <c r="M17757" s="1" t="s">
        <v>2</v>
      </c>
      <c r="N17757" s="1" t="s">
        <v>38</v>
      </c>
      <c r="O17757" s="1" t="s">
        <v>46</v>
      </c>
    </row>
    <row r="17758" spans="2:15" x14ac:dyDescent="0.3">
      <c r="B17758" s="1" t="s">
        <v>13</v>
      </c>
      <c r="C17758" s="1" t="str">
        <f t="shared" si="885"/>
        <v>3차</v>
      </c>
      <c r="D17758" s="1" t="str">
        <f>"0026Y67139"</f>
        <v>0026Y67139</v>
      </c>
      <c r="E17758" s="1" t="s">
        <v>10</v>
      </c>
      <c r="F17758" s="1" t="str">
        <f>"10.11.32.234"</f>
        <v>10.11.32.234</v>
      </c>
      <c r="G17758" s="1" t="str">
        <f>"0026Y671"</f>
        <v>0026Y671</v>
      </c>
      <c r="H17758" s="1" t="str">
        <f>"묵정지 6R5L11"</f>
        <v>묵정지 6R5L11</v>
      </c>
      <c r="I17758" s="1" t="s">
        <v>8</v>
      </c>
      <c r="J17758" s="1" t="str">
        <f>"10/10"</f>
        <v>10/10</v>
      </c>
      <c r="K17758" s="1" t="str">
        <f t="shared" si="884"/>
        <v>2026-07-29 13:18:01</v>
      </c>
      <c r="L17758" s="1" t="str">
        <f>"2018-01-24 16:42:59"</f>
        <v>2018-01-24 16:42:59</v>
      </c>
      <c r="M17758" s="1" t="s">
        <v>2</v>
      </c>
      <c r="N17758" s="1" t="s">
        <v>38</v>
      </c>
      <c r="O17758" s="1" t="s">
        <v>46</v>
      </c>
    </row>
    <row r="17759" spans="2:15" x14ac:dyDescent="0.3">
      <c r="B17759" s="1" t="s">
        <v>13</v>
      </c>
      <c r="C17759" s="1" t="str">
        <f t="shared" si="885"/>
        <v>3차</v>
      </c>
      <c r="D17759" s="1" t="str">
        <f>"0026Y68239"</f>
        <v>0026Y68239</v>
      </c>
      <c r="E17759" s="1" t="s">
        <v>10</v>
      </c>
      <c r="F17759" s="1" t="str">
        <f>"10.11.14.162"</f>
        <v>10.11.14.162</v>
      </c>
      <c r="G17759" s="1" t="str">
        <f>"0026Y682"</f>
        <v>0026Y682</v>
      </c>
      <c r="H17759" s="1" t="str">
        <f>"묵정지 6R6"</f>
        <v>묵정지 6R6</v>
      </c>
      <c r="I17759" s="1" t="s">
        <v>8</v>
      </c>
      <c r="J17759" s="1" t="str">
        <f>"3/3"</f>
        <v>3/3</v>
      </c>
      <c r="K17759" s="1" t="str">
        <f t="shared" si="884"/>
        <v>2026-07-29 13:18:01</v>
      </c>
      <c r="L17759" s="1" t="str">
        <f>"2018-01-15 15:57:42"</f>
        <v>2018-01-15 15:57:42</v>
      </c>
      <c r="M17759" s="1" t="s">
        <v>2</v>
      </c>
      <c r="N17759" s="1" t="s">
        <v>38</v>
      </c>
      <c r="O17759" s="1" t="s">
        <v>46</v>
      </c>
    </row>
    <row r="17760" spans="2:15" x14ac:dyDescent="0.3">
      <c r="B17760" s="1" t="s">
        <v>13</v>
      </c>
      <c r="C17760" s="1" t="str">
        <f t="shared" si="885"/>
        <v>3차</v>
      </c>
      <c r="D17760" s="1" t="str">
        <f>"0026Y69139"</f>
        <v>0026Y69139</v>
      </c>
      <c r="E17760" s="1" t="s">
        <v>10</v>
      </c>
      <c r="F17760" s="1" t="str">
        <f>"10.11.14.178"</f>
        <v>10.11.14.178</v>
      </c>
      <c r="G17760" s="1" t="str">
        <f>"0026Y691"</f>
        <v>0026Y691</v>
      </c>
      <c r="H17760" s="1" t="str">
        <f>"묵정지 6R7R2"</f>
        <v>묵정지 6R7R2</v>
      </c>
      <c r="I17760" s="1" t="s">
        <v>8</v>
      </c>
      <c r="J17760" s="1" t="str">
        <f>"9/9"</f>
        <v>9/9</v>
      </c>
      <c r="K17760" s="1" t="str">
        <f t="shared" si="884"/>
        <v>2026-07-29 13:18:01</v>
      </c>
      <c r="L17760" s="1" t="str">
        <f>"2018-01-15 17:15:43"</f>
        <v>2018-01-15 17:15:43</v>
      </c>
      <c r="M17760" s="1" t="s">
        <v>2</v>
      </c>
      <c r="N17760" s="1" t="s">
        <v>38</v>
      </c>
      <c r="O17760" s="1" t="s">
        <v>46</v>
      </c>
    </row>
    <row r="17761" spans="2:15" x14ac:dyDescent="0.3">
      <c r="B17761" s="1" t="s">
        <v>13</v>
      </c>
      <c r="C17761" s="1" t="str">
        <f t="shared" si="885"/>
        <v>3차</v>
      </c>
      <c r="D17761" s="1" t="str">
        <f>"0026Y69239"</f>
        <v>0026Y69239</v>
      </c>
      <c r="E17761" s="1" t="s">
        <v>10</v>
      </c>
      <c r="F17761" s="1" t="str">
        <f>"10.11.33.26"</f>
        <v>10.11.33.26</v>
      </c>
      <c r="G17761" s="1" t="str">
        <f>"0026Y692"</f>
        <v>0026Y692</v>
      </c>
      <c r="H17761" s="1" t="str">
        <f>"묵정지 6R7R2R1"</f>
        <v>묵정지 6R7R2R1</v>
      </c>
      <c r="I17761" s="1" t="s">
        <v>8</v>
      </c>
      <c r="J17761" s="1" t="str">
        <f>"7/7"</f>
        <v>7/7</v>
      </c>
      <c r="K17761" s="1" t="str">
        <f t="shared" si="884"/>
        <v>2026-07-29 13:18:01</v>
      </c>
      <c r="L17761" s="1" t="str">
        <f>"2018-02-06 13:55:43"</f>
        <v>2018-02-06 13:55:43</v>
      </c>
      <c r="M17761" s="1" t="s">
        <v>2</v>
      </c>
      <c r="N17761" s="1" t="s">
        <v>38</v>
      </c>
      <c r="O17761" s="1" t="s">
        <v>46</v>
      </c>
    </row>
    <row r="17762" spans="2:15" x14ac:dyDescent="0.3">
      <c r="B17762" s="1" t="s">
        <v>13</v>
      </c>
      <c r="C17762" s="1" t="str">
        <f t="shared" si="885"/>
        <v>3차</v>
      </c>
      <c r="D17762" s="1" t="str">
        <f>"0026Y69339"</f>
        <v>0026Y69339</v>
      </c>
      <c r="E17762" s="1" t="s">
        <v>10</v>
      </c>
      <c r="F17762" s="1" t="str">
        <f>"10.11.14.186"</f>
        <v>10.11.14.186</v>
      </c>
      <c r="G17762" s="1" t="str">
        <f>"0026Y693"</f>
        <v>0026Y693</v>
      </c>
      <c r="H17762" s="1" t="str">
        <f>"묵정지 6R7R3"</f>
        <v>묵정지 6R7R3</v>
      </c>
      <c r="I17762" s="1" t="s">
        <v>8</v>
      </c>
      <c r="J17762" s="1" t="str">
        <f>"28/28"</f>
        <v>28/28</v>
      </c>
      <c r="K17762" s="1" t="str">
        <f t="shared" si="884"/>
        <v>2026-07-29 13:18:01</v>
      </c>
      <c r="L17762" s="1" t="str">
        <f>"2018-01-15 17:18:13"</f>
        <v>2018-01-15 17:18:13</v>
      </c>
      <c r="M17762" s="1" t="s">
        <v>2</v>
      </c>
      <c r="N17762" s="1" t="s">
        <v>38</v>
      </c>
      <c r="O17762" s="1" t="s">
        <v>46</v>
      </c>
    </row>
    <row r="17763" spans="2:15" x14ac:dyDescent="0.3">
      <c r="B17763" s="1" t="s">
        <v>13</v>
      </c>
      <c r="C17763" s="1" t="str">
        <f>"4차"</f>
        <v>4차</v>
      </c>
      <c r="D17763" s="1" t="str">
        <f>"0026Y71239"</f>
        <v>0026Y71239</v>
      </c>
      <c r="E17763" s="1" t="s">
        <v>10</v>
      </c>
      <c r="F17763" s="1" t="str">
        <f>"10.11.32.90"</f>
        <v>10.11.32.90</v>
      </c>
      <c r="G17763" s="1" t="str">
        <f>"0026Y712"</f>
        <v>0026Y712</v>
      </c>
      <c r="H17763" s="1" t="str">
        <f>"묵정지 13R2L3"</f>
        <v>묵정지 13R2L3</v>
      </c>
      <c r="I17763" s="1" t="s">
        <v>8</v>
      </c>
      <c r="J17763" s="1" t="str">
        <f>"94/95"</f>
        <v>94/95</v>
      </c>
      <c r="K17763" s="1" t="str">
        <f t="shared" si="884"/>
        <v>2026-07-29 13:18:01</v>
      </c>
      <c r="L17763" s="1" t="str">
        <f>"2018-05-17 16:22:13"</f>
        <v>2018-05-17 16:22:13</v>
      </c>
      <c r="M17763" s="1" t="s">
        <v>2</v>
      </c>
      <c r="N17763" s="1" t="s">
        <v>38</v>
      </c>
      <c r="O17763" s="1" t="s">
        <v>46</v>
      </c>
    </row>
    <row r="17764" spans="2:15" x14ac:dyDescent="0.3">
      <c r="B17764" s="1" t="s">
        <v>13</v>
      </c>
      <c r="C17764" s="1" t="str">
        <f>"4차"</f>
        <v>4차</v>
      </c>
      <c r="D17764" s="1" t="str">
        <f>"0026Y72139"</f>
        <v>0026Y72139</v>
      </c>
      <c r="E17764" s="1" t="s">
        <v>10</v>
      </c>
      <c r="F17764" s="1" t="str">
        <f>"10.11.32.74"</f>
        <v>10.11.32.74</v>
      </c>
      <c r="G17764" s="1" t="str">
        <f>"0026Y721"</f>
        <v>0026Y721</v>
      </c>
      <c r="H17764" s="1" t="str">
        <f>"묵정지 13R2"</f>
        <v>묵정지 13R2</v>
      </c>
      <c r="I17764" s="1" t="s">
        <v>8</v>
      </c>
      <c r="J17764" s="1" t="str">
        <f>"40/40"</f>
        <v>40/40</v>
      </c>
      <c r="K17764" s="1" t="str">
        <f t="shared" si="884"/>
        <v>2026-07-29 13:18:01</v>
      </c>
      <c r="L17764" s="1" t="str">
        <f>"2018-02-10 12:33:56"</f>
        <v>2018-02-10 12:33:56</v>
      </c>
      <c r="M17764" s="1" t="s">
        <v>2</v>
      </c>
      <c r="N17764" s="1" t="s">
        <v>38</v>
      </c>
      <c r="O17764" s="1" t="s">
        <v>46</v>
      </c>
    </row>
    <row r="17765" spans="2:15" x14ac:dyDescent="0.3">
      <c r="B17765" s="1" t="s">
        <v>13</v>
      </c>
      <c r="C17765" s="1" t="str">
        <f>"3차"</f>
        <v>3차</v>
      </c>
      <c r="D17765" s="1" t="str">
        <f>"0026Y72239"</f>
        <v>0026Y72239</v>
      </c>
      <c r="E17765" s="1" t="s">
        <v>10</v>
      </c>
      <c r="F17765" s="1" t="str">
        <f>"10.11.32.82"</f>
        <v>10.11.32.82</v>
      </c>
      <c r="G17765" s="1" t="str">
        <f>"0026Y722"</f>
        <v>0026Y722</v>
      </c>
      <c r="H17765" s="1" t="str">
        <f>"묵정지 13R2L1"</f>
        <v>묵정지 13R2L1</v>
      </c>
      <c r="I17765" s="1" t="s">
        <v>8</v>
      </c>
      <c r="J17765" s="1" t="str">
        <f>"40/41"</f>
        <v>40/41</v>
      </c>
      <c r="K17765" s="1" t="str">
        <f t="shared" si="884"/>
        <v>2026-07-29 13:18:01</v>
      </c>
      <c r="L17765" s="1" t="str">
        <f>"2018-02-10 12:39:25"</f>
        <v>2018-02-10 12:39:25</v>
      </c>
      <c r="M17765" s="1" t="s">
        <v>2</v>
      </c>
      <c r="N17765" s="1" t="s">
        <v>38</v>
      </c>
      <c r="O17765" s="1" t="s">
        <v>46</v>
      </c>
    </row>
    <row r="17766" spans="2:15" x14ac:dyDescent="0.3">
      <c r="B17766" s="1" t="s">
        <v>13</v>
      </c>
      <c r="C17766" s="1" t="str">
        <f>"4차"</f>
        <v>4차</v>
      </c>
      <c r="D17766" s="1" t="str">
        <f>"0026Y72339"</f>
        <v>0026Y72339</v>
      </c>
      <c r="E17766" s="1" t="s">
        <v>10</v>
      </c>
      <c r="F17766" s="1" t="str">
        <f>"10.11.13.234"</f>
        <v>10.11.13.234</v>
      </c>
      <c r="G17766" s="1" t="str">
        <f>"0026Y723"</f>
        <v>0026Y723</v>
      </c>
      <c r="H17766" s="1" t="str">
        <f>"묵정지 13R3"</f>
        <v>묵정지 13R3</v>
      </c>
      <c r="I17766" s="1" t="s">
        <v>8</v>
      </c>
      <c r="J17766" s="1" t="str">
        <f>"19/26"</f>
        <v>19/26</v>
      </c>
      <c r="K17766" s="1" t="str">
        <f t="shared" si="884"/>
        <v>2026-07-29 13:18:01</v>
      </c>
      <c r="L17766" s="1" t="str">
        <f>"2018-07-23 11:05:54"</f>
        <v>2018-07-23 11:05:54</v>
      </c>
      <c r="M17766" s="1" t="s">
        <v>2</v>
      </c>
      <c r="N17766" s="1" t="s">
        <v>38</v>
      </c>
      <c r="O17766" s="1" t="s">
        <v>46</v>
      </c>
    </row>
    <row r="17767" spans="2:15" x14ac:dyDescent="0.3">
      <c r="B17767" s="1" t="s">
        <v>13</v>
      </c>
      <c r="C17767" s="1" t="str">
        <f>"4차"</f>
        <v>4차</v>
      </c>
      <c r="D17767" s="1" t="str">
        <f>"0026Y75145"</f>
        <v>0026Y75145</v>
      </c>
      <c r="E17767" s="1" t="s">
        <v>10</v>
      </c>
      <c r="F17767" s="1" t="str">
        <f>"10.14.4.6"</f>
        <v>10.14.4.6</v>
      </c>
      <c r="G17767" s="1" t="str">
        <f>"0026Y751"</f>
        <v>0026Y751</v>
      </c>
      <c r="H17767" s="1" t="str">
        <f>"퇴계로 R16"</f>
        <v>퇴계로 R16</v>
      </c>
      <c r="I17767" s="1" t="s">
        <v>17</v>
      </c>
      <c r="J17767" s="1" t="str">
        <f>"11/11"</f>
        <v>11/11</v>
      </c>
      <c r="K17767" s="1" t="str">
        <f>"2026-07-29 13:18:02"</f>
        <v>2026-07-29 13:18:02</v>
      </c>
      <c r="L17767" s="1" t="str">
        <f>"2021-06-30 11:28:24"</f>
        <v>2021-06-30 11:28:24</v>
      </c>
      <c r="M17767" s="1" t="s">
        <v>3</v>
      </c>
      <c r="N17767" s="1" t="s">
        <v>38</v>
      </c>
      <c r="O17767" s="1" t="s">
        <v>46</v>
      </c>
    </row>
    <row r="17768" spans="2:15" x14ac:dyDescent="0.3">
      <c r="B17768" s="1" t="s">
        <v>13</v>
      </c>
      <c r="C17768" s="1" t="str">
        <f>"3차"</f>
        <v>3차</v>
      </c>
      <c r="D17768" s="1" t="str">
        <f>"0026Y77339"</f>
        <v>0026Y77339</v>
      </c>
      <c r="E17768" s="1" t="s">
        <v>10</v>
      </c>
      <c r="F17768" s="1" t="str">
        <f>"10.11.32.226"</f>
        <v>10.11.32.226</v>
      </c>
      <c r="G17768" s="1" t="str">
        <f>"0026Y773"</f>
        <v>0026Y773</v>
      </c>
      <c r="H17768" s="1" t="str">
        <f>"묵정지 6R4"</f>
        <v>묵정지 6R4</v>
      </c>
      <c r="I17768" s="1" t="s">
        <v>8</v>
      </c>
      <c r="J17768" s="1" t="str">
        <f>"15/16"</f>
        <v>15/16</v>
      </c>
      <c r="K17768" s="1" t="str">
        <f t="shared" ref="K17768:K17775" si="886">"2026-07-29 13:18:01"</f>
        <v>2026-07-29 13:18:01</v>
      </c>
      <c r="L17768" s="1" t="str">
        <f>"2018-01-24 16:03:14"</f>
        <v>2018-01-24 16:03:14</v>
      </c>
      <c r="M17768" s="1" t="s">
        <v>2</v>
      </c>
      <c r="N17768" s="1" t="s">
        <v>38</v>
      </c>
      <c r="O17768" s="1" t="s">
        <v>46</v>
      </c>
    </row>
    <row r="17769" spans="2:15" x14ac:dyDescent="0.3">
      <c r="B17769" s="1" t="s">
        <v>13</v>
      </c>
      <c r="C17769" s="1" t="str">
        <f>"3차"</f>
        <v>3차</v>
      </c>
      <c r="D17769" s="1" t="str">
        <f>"0026Y79139"</f>
        <v>0026Y79139</v>
      </c>
      <c r="E17769" s="1" t="s">
        <v>10</v>
      </c>
      <c r="F17769" s="1" t="str">
        <f>"10.11.14.194"</f>
        <v>10.11.14.194</v>
      </c>
      <c r="G17769" s="1" t="str">
        <f>"0026Y791"</f>
        <v>0026Y791</v>
      </c>
      <c r="H17769" s="1" t="str">
        <f>"묵정지 6R7R5"</f>
        <v>묵정지 6R7R5</v>
      </c>
      <c r="I17769" s="1" t="s">
        <v>8</v>
      </c>
      <c r="J17769" s="1" t="str">
        <f>"15/16"</f>
        <v>15/16</v>
      </c>
      <c r="K17769" s="1" t="str">
        <f t="shared" si="886"/>
        <v>2026-07-29 13:18:01</v>
      </c>
      <c r="L17769" s="1" t="str">
        <f>"2018-01-24 13:48:28"</f>
        <v>2018-01-24 13:48:28</v>
      </c>
      <c r="M17769" s="1" t="s">
        <v>2</v>
      </c>
      <c r="N17769" s="1" t="s">
        <v>38</v>
      </c>
      <c r="O17769" s="1" t="s">
        <v>46</v>
      </c>
    </row>
    <row r="17770" spans="2:15" x14ac:dyDescent="0.3">
      <c r="B17770" s="1" t="s">
        <v>13</v>
      </c>
      <c r="C17770" s="1" t="str">
        <f>"3차"</f>
        <v>3차</v>
      </c>
      <c r="D17770" s="1" t="str">
        <f>"0026Y84239"</f>
        <v>0026Y84239</v>
      </c>
      <c r="E17770" s="1" t="s">
        <v>10</v>
      </c>
      <c r="F17770" s="1" t="str">
        <f>"10.11.32.66"</f>
        <v>10.11.32.66</v>
      </c>
      <c r="G17770" s="1" t="str">
        <f>"0026Y842"</f>
        <v>0026Y842</v>
      </c>
      <c r="H17770" s="1" t="str">
        <f>"묵정지 10R1"</f>
        <v>묵정지 10R1</v>
      </c>
      <c r="I17770" s="1" t="s">
        <v>8</v>
      </c>
      <c r="J17770" s="1" t="str">
        <f>"39/39"</f>
        <v>39/39</v>
      </c>
      <c r="K17770" s="1" t="str">
        <f t="shared" si="886"/>
        <v>2026-07-29 13:18:01</v>
      </c>
      <c r="L17770" s="1" t="str">
        <f>"2018-02-10 12:25:56"</f>
        <v>2018-02-10 12:25:56</v>
      </c>
      <c r="M17770" s="1" t="s">
        <v>2</v>
      </c>
      <c r="N17770" s="1" t="s">
        <v>38</v>
      </c>
      <c r="O17770" s="1" t="s">
        <v>46</v>
      </c>
    </row>
    <row r="17771" spans="2:15" x14ac:dyDescent="0.3">
      <c r="B17771" s="1" t="s">
        <v>13</v>
      </c>
      <c r="C17771" s="1" t="str">
        <f>"4차"</f>
        <v>4차</v>
      </c>
      <c r="D17771" s="1" t="str">
        <f>"0026Y84339"</f>
        <v>0026Y84339</v>
      </c>
      <c r="E17771" s="1" t="s">
        <v>10</v>
      </c>
      <c r="F17771" s="1" t="str">
        <f>"10.11.13.210"</f>
        <v>10.11.13.210</v>
      </c>
      <c r="G17771" s="1" t="str">
        <f>"0026Y843"</f>
        <v>0026Y843</v>
      </c>
      <c r="H17771" s="1" t="str">
        <f>"묵정지 10D1"</f>
        <v>묵정지 10D1</v>
      </c>
      <c r="I17771" s="1" t="s">
        <v>8</v>
      </c>
      <c r="J17771" s="1" t="str">
        <f>"5/5"</f>
        <v>5/5</v>
      </c>
      <c r="K17771" s="1" t="str">
        <f t="shared" si="886"/>
        <v>2026-07-29 13:18:01</v>
      </c>
      <c r="L17771" s="1" t="str">
        <f>"2018-02-22 10:17:15"</f>
        <v>2018-02-22 10:17:15</v>
      </c>
      <c r="M17771" s="1" t="s">
        <v>2</v>
      </c>
      <c r="N17771" s="1" t="s">
        <v>38</v>
      </c>
      <c r="O17771" s="1" t="s">
        <v>46</v>
      </c>
    </row>
    <row r="17772" spans="2:15" x14ac:dyDescent="0.3">
      <c r="B17772" s="1" t="s">
        <v>13</v>
      </c>
      <c r="C17772" s="1" t="str">
        <f>"3차"</f>
        <v>3차</v>
      </c>
      <c r="D17772" s="1" t="str">
        <f>"0026Y88139"</f>
        <v>0026Y88139</v>
      </c>
      <c r="E17772" s="1" t="s">
        <v>10</v>
      </c>
      <c r="F17772" s="1" t="str">
        <f>"10.11.32.218"</f>
        <v>10.11.32.218</v>
      </c>
      <c r="G17772" s="1" t="str">
        <f>"0026Y881"</f>
        <v>0026Y881</v>
      </c>
      <c r="H17772" s="1" t="str">
        <f>"묵정지 6R3R2"</f>
        <v>묵정지 6R3R2</v>
      </c>
      <c r="I17772" s="1" t="s">
        <v>8</v>
      </c>
      <c r="J17772" s="1" t="str">
        <f>"5/5"</f>
        <v>5/5</v>
      </c>
      <c r="K17772" s="1" t="str">
        <f t="shared" si="886"/>
        <v>2026-07-29 13:18:01</v>
      </c>
      <c r="L17772" s="1" t="str">
        <f>"2018-01-24 14:48:52"</f>
        <v>2018-01-24 14:48:52</v>
      </c>
      <c r="M17772" s="1" t="s">
        <v>2</v>
      </c>
      <c r="N17772" s="1" t="s">
        <v>38</v>
      </c>
      <c r="O17772" s="1" t="s">
        <v>46</v>
      </c>
    </row>
    <row r="17773" spans="2:15" x14ac:dyDescent="0.3">
      <c r="B17773" s="1" t="s">
        <v>13</v>
      </c>
      <c r="C17773" s="1" t="str">
        <f>"3차"</f>
        <v>3차</v>
      </c>
      <c r="D17773" s="1" t="str">
        <f>"0026Y88339"</f>
        <v>0026Y88339</v>
      </c>
      <c r="E17773" s="1" t="s">
        <v>10</v>
      </c>
      <c r="F17773" s="1" t="str">
        <f>"10.11.14.122"</f>
        <v>10.11.14.122</v>
      </c>
      <c r="G17773" s="1" t="str">
        <f>"0026Y883"</f>
        <v>0026Y883</v>
      </c>
      <c r="H17773" s="1" t="str">
        <f>"묵정지 6R3R1"</f>
        <v>묵정지 6R3R1</v>
      </c>
      <c r="I17773" s="1" t="s">
        <v>8</v>
      </c>
      <c r="J17773" s="1" t="str">
        <f>"18/18"</f>
        <v>18/18</v>
      </c>
      <c r="K17773" s="1" t="str">
        <f t="shared" si="886"/>
        <v>2026-07-29 13:18:01</v>
      </c>
      <c r="L17773" s="1" t="str">
        <f>"2018-01-24 15:02:28"</f>
        <v>2018-01-24 15:02:28</v>
      </c>
      <c r="M17773" s="1" t="s">
        <v>2</v>
      </c>
      <c r="N17773" s="1" t="s">
        <v>38</v>
      </c>
      <c r="O17773" s="1" t="s">
        <v>46</v>
      </c>
    </row>
    <row r="17774" spans="2:15" x14ac:dyDescent="0.3">
      <c r="B17774" s="1" t="s">
        <v>13</v>
      </c>
      <c r="C17774" s="1" t="str">
        <f>"3차"</f>
        <v>3차</v>
      </c>
      <c r="D17774" s="1" t="str">
        <f>"0026Y89139"</f>
        <v>0026Y89139</v>
      </c>
      <c r="E17774" s="1" t="s">
        <v>10</v>
      </c>
      <c r="F17774" s="1" t="str">
        <f>"10.11.33.50"</f>
        <v>10.11.33.50</v>
      </c>
      <c r="G17774" s="1" t="str">
        <f>"0026Y891"</f>
        <v>0026Y891</v>
      </c>
      <c r="H17774" s="1" t="str">
        <f>"묵정지 6R7R6"</f>
        <v>묵정지 6R7R6</v>
      </c>
      <c r="I17774" s="1" t="s">
        <v>8</v>
      </c>
      <c r="J17774" s="1" t="str">
        <f>"8/10"</f>
        <v>8/10</v>
      </c>
      <c r="K17774" s="1" t="str">
        <f t="shared" si="886"/>
        <v>2026-07-29 13:18:01</v>
      </c>
      <c r="L17774" s="1" t="str">
        <f>"2018-05-17 16:33:27"</f>
        <v>2018-05-17 16:33:27</v>
      </c>
      <c r="M17774" s="1" t="s">
        <v>2</v>
      </c>
      <c r="N17774" s="1" t="s">
        <v>38</v>
      </c>
      <c r="O17774" s="1" t="s">
        <v>46</v>
      </c>
    </row>
    <row r="17775" spans="2:15" x14ac:dyDescent="0.3">
      <c r="B17775" s="1" t="s">
        <v>13</v>
      </c>
      <c r="C17775" s="1" t="str">
        <f>"3차"</f>
        <v>3차</v>
      </c>
      <c r="D17775" s="1" t="str">
        <f>"0026Y89339"</f>
        <v>0026Y89339</v>
      </c>
      <c r="E17775" s="1" t="s">
        <v>10</v>
      </c>
      <c r="F17775" s="1" t="str">
        <f>"10.11.14.202"</f>
        <v>10.11.14.202</v>
      </c>
      <c r="G17775" s="1" t="str">
        <f>"0026Y893"</f>
        <v>0026Y893</v>
      </c>
      <c r="H17775" s="1" t="str">
        <f>"묵정지 6R7R8"</f>
        <v>묵정지 6R7R8</v>
      </c>
      <c r="I17775" s="1" t="s">
        <v>8</v>
      </c>
      <c r="J17775" s="1" t="str">
        <f>"24/24"</f>
        <v>24/24</v>
      </c>
      <c r="K17775" s="1" t="str">
        <f t="shared" si="886"/>
        <v>2026-07-29 13:18:01</v>
      </c>
      <c r="L17775" s="1" t="str">
        <f>"2018-05-17 16:37:14"</f>
        <v>2018-05-17 16:37:14</v>
      </c>
      <c r="M17775" s="1" t="s">
        <v>2</v>
      </c>
      <c r="N17775" s="1" t="s">
        <v>38</v>
      </c>
      <c r="O17775" s="1" t="s">
        <v>46</v>
      </c>
    </row>
    <row r="17776" spans="2:15" x14ac:dyDescent="0.3">
      <c r="B17776" s="1" t="s">
        <v>13</v>
      </c>
      <c r="C17776" s="1" t="str">
        <f>"4차"</f>
        <v>4차</v>
      </c>
      <c r="D17776" s="1" t="str">
        <f>"0026Y90239"</f>
        <v>0026Y90239</v>
      </c>
      <c r="E17776" s="1" t="s">
        <v>10</v>
      </c>
      <c r="F17776" s="1" t="str">
        <f>"10.12.137.206"</f>
        <v>10.12.137.206</v>
      </c>
      <c r="G17776" s="1" t="str">
        <f>"0026Y902"</f>
        <v>0026Y902</v>
      </c>
      <c r="H17776" s="1" t="str">
        <f>"장충로 7"</f>
        <v>장충로 7</v>
      </c>
      <c r="I17776" s="1" t="s">
        <v>17</v>
      </c>
      <c r="J17776" s="1" t="str">
        <f>"70/70"</f>
        <v>70/70</v>
      </c>
      <c r="K17776" s="1" t="str">
        <f>"2026-07-29 13:18:02"</f>
        <v>2026-07-29 13:18:02</v>
      </c>
      <c r="L17776" s="1" t="str">
        <f>"2018-05-11 09:28:28"</f>
        <v>2018-05-11 09:28:28</v>
      </c>
      <c r="M17776" s="1" t="s">
        <v>0</v>
      </c>
      <c r="N17776" s="1" t="s">
        <v>38</v>
      </c>
      <c r="O17776" s="1" t="s">
        <v>46</v>
      </c>
    </row>
    <row r="17777" spans="2:15" x14ac:dyDescent="0.3">
      <c r="B17777" s="1" t="s">
        <v>13</v>
      </c>
      <c r="C17777" s="1" t="str">
        <f>"4차"</f>
        <v>4차</v>
      </c>
      <c r="D17777" s="1" t="str">
        <f>"0026Y92345"</f>
        <v>0026Y92345</v>
      </c>
      <c r="E17777" s="1" t="s">
        <v>10</v>
      </c>
      <c r="F17777" s="1" t="str">
        <f>"10.14.4.12"</f>
        <v>10.14.4.12</v>
      </c>
      <c r="G17777" s="1" t="str">
        <f>"0026Y923"</f>
        <v>0026Y923</v>
      </c>
      <c r="H17777" s="1" t="str">
        <f>"장충로 6"</f>
        <v>장충로 6</v>
      </c>
      <c r="I17777" s="1" t="s">
        <v>17</v>
      </c>
      <c r="J17777" s="1" t="str">
        <f>"10/15"</f>
        <v>10/15</v>
      </c>
      <c r="K17777" s="1" t="str">
        <f>"2026-07-29 13:18:02"</f>
        <v>2026-07-29 13:18:02</v>
      </c>
      <c r="L17777" s="1" t="str">
        <f>"2021-06-30 13:26:25"</f>
        <v>2021-06-30 13:26:25</v>
      </c>
      <c r="M17777" s="1" t="s">
        <v>3</v>
      </c>
      <c r="N17777" s="1" t="s">
        <v>38</v>
      </c>
      <c r="O17777" s="1" t="s">
        <v>46</v>
      </c>
    </row>
    <row r="17778" spans="2:15" x14ac:dyDescent="0.3">
      <c r="B17778" s="1" t="s">
        <v>13</v>
      </c>
      <c r="C17778" s="1" t="str">
        <f>"4차"</f>
        <v>4차</v>
      </c>
      <c r="D17778" s="1" t="str">
        <f>"0026Y93239"</f>
        <v>0026Y93239</v>
      </c>
      <c r="E17778" s="1" t="s">
        <v>10</v>
      </c>
      <c r="F17778" s="1" t="str">
        <f>"10.11.13.194"</f>
        <v>10.11.13.194</v>
      </c>
      <c r="G17778" s="1" t="str">
        <f>"0026Y932"</f>
        <v>0026Y932</v>
      </c>
      <c r="H17778" s="1" t="str">
        <f>"묵정지 12"</f>
        <v>묵정지 12</v>
      </c>
      <c r="I17778" s="1" t="s">
        <v>8</v>
      </c>
      <c r="J17778" s="1" t="str">
        <f>"21/21"</f>
        <v>21/21</v>
      </c>
      <c r="K17778" s="1" t="str">
        <f>"2026-07-29 13:18:01"</f>
        <v>2026-07-29 13:18:01</v>
      </c>
      <c r="L17778" s="1" t="str">
        <f>"2018-02-26 19:09:51"</f>
        <v>2018-02-26 19:09:51</v>
      </c>
      <c r="M17778" s="1" t="s">
        <v>2</v>
      </c>
      <c r="N17778" s="1" t="s">
        <v>38</v>
      </c>
      <c r="O17778" s="1" t="s">
        <v>46</v>
      </c>
    </row>
    <row r="17779" spans="2:15" x14ac:dyDescent="0.3">
      <c r="B17779" s="1" t="s">
        <v>13</v>
      </c>
      <c r="C17779" s="1" t="str">
        <f>"3차"</f>
        <v>3차</v>
      </c>
      <c r="D17779" s="1" t="str">
        <f>"0026Y98339"</f>
        <v>0026Y98339</v>
      </c>
      <c r="E17779" s="1" t="s">
        <v>10</v>
      </c>
      <c r="F17779" s="1" t="str">
        <f>"10.11.25.234"</f>
        <v>10.11.25.234</v>
      </c>
      <c r="G17779" s="1" t="str">
        <f>"0026Y983"</f>
        <v>0026Y983</v>
      </c>
      <c r="H17779" s="1" t="str">
        <f>"묵정지 6R2R2"</f>
        <v>묵정지 6R2R2</v>
      </c>
      <c r="I17779" s="1" t="s">
        <v>8</v>
      </c>
      <c r="J17779" s="1" t="str">
        <f>"12/12"</f>
        <v>12/12</v>
      </c>
      <c r="K17779" s="1" t="str">
        <f>"2026-07-29 13:18:01"</f>
        <v>2026-07-29 13:18:01</v>
      </c>
      <c r="L17779" s="1" t="str">
        <f>"2018-06-25 18:25:39"</f>
        <v>2018-06-25 18:25:39</v>
      </c>
      <c r="M17779" s="1" t="s">
        <v>2</v>
      </c>
      <c r="N17779" s="1" t="s">
        <v>38</v>
      </c>
      <c r="O17779" s="1" t="s">
        <v>46</v>
      </c>
    </row>
    <row r="17780" spans="2:15" x14ac:dyDescent="0.3">
      <c r="B17780" s="1" t="s">
        <v>13</v>
      </c>
      <c r="C17780" s="1" t="str">
        <f>"3차"</f>
        <v>3차</v>
      </c>
      <c r="D17780" s="1" t="str">
        <f>"0026Z07339"</f>
        <v>0026Z07339</v>
      </c>
      <c r="E17780" s="1" t="s">
        <v>10</v>
      </c>
      <c r="F17780" s="1" t="str">
        <f>"10.11.14.82"</f>
        <v>10.11.14.82</v>
      </c>
      <c r="G17780" s="1" t="str">
        <f>"0026Z073"</f>
        <v>0026Z073</v>
      </c>
      <c r="H17780" s="1" t="str">
        <f>"묵정지 6L3"</f>
        <v>묵정지 6L3</v>
      </c>
      <c r="I17780" s="1" t="s">
        <v>8</v>
      </c>
      <c r="J17780" s="1" t="str">
        <f>"19/19"</f>
        <v>19/19</v>
      </c>
      <c r="K17780" s="1" t="str">
        <f>"2026-07-29 13:18:01"</f>
        <v>2026-07-29 13:18:01</v>
      </c>
      <c r="L17780" s="1" t="str">
        <f>"2018-05-17 18:51:03"</f>
        <v>2018-05-17 18:51:03</v>
      </c>
      <c r="M17780" s="1" t="s">
        <v>2</v>
      </c>
      <c r="N17780" s="1" t="s">
        <v>38</v>
      </c>
      <c r="O17780" s="1" t="s">
        <v>46</v>
      </c>
    </row>
    <row r="17781" spans="2:15" x14ac:dyDescent="0.3">
      <c r="B17781" s="1" t="s">
        <v>13</v>
      </c>
      <c r="C17781" s="1" t="str">
        <f>"3차"</f>
        <v>3차</v>
      </c>
      <c r="D17781" s="1" t="str">
        <f>"0026Z12139"</f>
        <v>0026Z12139</v>
      </c>
      <c r="E17781" s="1" t="s">
        <v>10</v>
      </c>
      <c r="F17781" s="1" t="str">
        <f>"10.11.26.250"</f>
        <v>10.11.26.250</v>
      </c>
      <c r="G17781" s="1" t="str">
        <f>"0026Z121"</f>
        <v>0026Z121</v>
      </c>
      <c r="H17781" s="1" t="str">
        <f>"장충지 10R2L1"</f>
        <v>장충지 10R2L1</v>
      </c>
      <c r="I17781" s="1" t="s">
        <v>8</v>
      </c>
      <c r="J17781" s="1" t="str">
        <f>"4/5"</f>
        <v>4/5</v>
      </c>
      <c r="K17781" s="1" t="str">
        <f>"2026-07-29 13:18:01"</f>
        <v>2026-07-29 13:18:01</v>
      </c>
      <c r="L17781" s="1" t="str">
        <f>"2017-12-09 16:08:45"</f>
        <v>2017-12-09 16:08:45</v>
      </c>
      <c r="M17781" s="1" t="s">
        <v>2</v>
      </c>
      <c r="N17781" s="1" t="s">
        <v>38</v>
      </c>
      <c r="O17781" s="1" t="s">
        <v>46</v>
      </c>
    </row>
    <row r="17782" spans="2:15" x14ac:dyDescent="0.3">
      <c r="B17782" s="1" t="s">
        <v>13</v>
      </c>
      <c r="C17782" s="1" t="str">
        <f>"4차"</f>
        <v>4차</v>
      </c>
      <c r="D17782" s="1" t="str">
        <f>"0026Z17239"</f>
        <v>0026Z17239</v>
      </c>
      <c r="E17782" s="1" t="str">
        <f>"검침실패(3시간 이상)"</f>
        <v>검침실패(3시간 이상)</v>
      </c>
      <c r="F17782" s="1" t="str">
        <f>"10.12.131.228"</f>
        <v>10.12.131.228</v>
      </c>
      <c r="G17782" s="1" t="str">
        <f>"0026Z172"</f>
        <v>0026Z172</v>
      </c>
      <c r="H17782" s="1" t="str">
        <f>"장충로 10-1"</f>
        <v>장충로 10-1</v>
      </c>
      <c r="I17782" s="1" t="s">
        <v>17</v>
      </c>
      <c r="J17782" s="1" t="str">
        <f>"0/2"</f>
        <v>0/2</v>
      </c>
      <c r="K17782" s="1" t="str">
        <f>"2026-07-29 13:18:02"</f>
        <v>2026-07-29 13:18:02</v>
      </c>
      <c r="L17782" s="1" t="str">
        <f>"2018-10-23 10:07:55"</f>
        <v>2018-10-23 10:07:55</v>
      </c>
      <c r="M17782" s="1" t="s">
        <v>0</v>
      </c>
      <c r="N17782" s="1" t="s">
        <v>38</v>
      </c>
      <c r="O17782" s="1" t="s">
        <v>46</v>
      </c>
    </row>
    <row r="17783" spans="2:15" x14ac:dyDescent="0.3">
      <c r="B17783" s="1" t="s">
        <v>13</v>
      </c>
      <c r="C17783" s="1" t="str">
        <f>"3차"</f>
        <v>3차</v>
      </c>
      <c r="D17783" s="1" t="str">
        <f>"0026Z21239"</f>
        <v>0026Z21239</v>
      </c>
      <c r="E17783" s="1" t="s">
        <v>10</v>
      </c>
      <c r="F17783" s="1" t="str">
        <f>"10.11.37.170"</f>
        <v>10.11.37.170</v>
      </c>
      <c r="G17783" s="1" t="str">
        <f>"0026Z212"</f>
        <v>0026Z212</v>
      </c>
      <c r="H17783" s="1" t="str">
        <f>"장충지 10R4"</f>
        <v>장충지 10R4</v>
      </c>
      <c r="I17783" s="1" t="s">
        <v>8</v>
      </c>
      <c r="J17783" s="1" t="str">
        <f>"10/10"</f>
        <v>10/10</v>
      </c>
      <c r="K17783" s="1" t="str">
        <f t="shared" ref="K17783:K17788" si="887">"2026-07-29 13:18:01"</f>
        <v>2026-07-29 13:18:01</v>
      </c>
      <c r="L17783" s="1" t="str">
        <f>"2018-05-15 11:22:26"</f>
        <v>2018-05-15 11:22:26</v>
      </c>
      <c r="M17783" s="1" t="s">
        <v>2</v>
      </c>
      <c r="N17783" s="1" t="s">
        <v>38</v>
      </c>
      <c r="O17783" s="1" t="s">
        <v>46</v>
      </c>
    </row>
    <row r="17784" spans="2:15" x14ac:dyDescent="0.3">
      <c r="B17784" s="1" t="s">
        <v>13</v>
      </c>
      <c r="C17784" s="1" t="str">
        <f>"3차"</f>
        <v>3차</v>
      </c>
      <c r="D17784" s="1" t="str">
        <f>"0026Z24139"</f>
        <v>0026Z24139</v>
      </c>
      <c r="E17784" s="1" t="s">
        <v>10</v>
      </c>
      <c r="F17784" s="1" t="str">
        <f>"10.11.27.10"</f>
        <v>10.11.27.10</v>
      </c>
      <c r="G17784" s="1" t="str">
        <f>"0026Z241"</f>
        <v>0026Z241</v>
      </c>
      <c r="H17784" s="1" t="str">
        <f>"장충지 10R7L2"</f>
        <v>장충지 10R7L2</v>
      </c>
      <c r="I17784" s="1" t="s">
        <v>8</v>
      </c>
      <c r="J17784" s="1" t="str">
        <f>"73/75"</f>
        <v>73/75</v>
      </c>
      <c r="K17784" s="1" t="str">
        <f t="shared" si="887"/>
        <v>2026-07-29 13:18:01</v>
      </c>
      <c r="L17784" s="1" t="str">
        <f>"2017-12-09 15:33:29"</f>
        <v>2017-12-09 15:33:29</v>
      </c>
      <c r="M17784" s="1" t="s">
        <v>2</v>
      </c>
      <c r="N17784" s="1" t="s">
        <v>38</v>
      </c>
      <c r="O17784" s="1" t="s">
        <v>46</v>
      </c>
    </row>
    <row r="17785" spans="2:15" x14ac:dyDescent="0.3">
      <c r="B17785" s="1" t="s">
        <v>13</v>
      </c>
      <c r="C17785" s="1" t="str">
        <f>"4차"</f>
        <v>4차</v>
      </c>
      <c r="D17785" s="1" t="str">
        <f>"0026Z32239"</f>
        <v>0026Z32239</v>
      </c>
      <c r="E17785" s="1" t="s">
        <v>10</v>
      </c>
      <c r="F17785" s="1" t="str">
        <f>"10.11.27.2"</f>
        <v>10.11.27.2</v>
      </c>
      <c r="G17785" s="1" t="str">
        <f>"0026Z322"</f>
        <v>0026Z322</v>
      </c>
      <c r="H17785" s="1" t="str">
        <f>"장충지 10R6R1"</f>
        <v>장충지 10R6R1</v>
      </c>
      <c r="I17785" s="1" t="s">
        <v>8</v>
      </c>
      <c r="J17785" s="1" t="str">
        <f>"40/40"</f>
        <v>40/40</v>
      </c>
      <c r="K17785" s="1" t="str">
        <f t="shared" si="887"/>
        <v>2026-07-29 13:18:01</v>
      </c>
      <c r="L17785" s="1" t="str">
        <f>"2017-12-09 15:42:45"</f>
        <v>2017-12-09 15:42:45</v>
      </c>
      <c r="M17785" s="1" t="s">
        <v>2</v>
      </c>
      <c r="N17785" s="1" t="s">
        <v>38</v>
      </c>
      <c r="O17785" s="1" t="s">
        <v>46</v>
      </c>
    </row>
    <row r="17786" spans="2:15" x14ac:dyDescent="0.3">
      <c r="B17786" s="1" t="s">
        <v>13</v>
      </c>
      <c r="C17786" s="1" t="str">
        <f>"3차"</f>
        <v>3차</v>
      </c>
      <c r="D17786" s="1" t="str">
        <f>"0026Z32339"</f>
        <v>0026Z32339</v>
      </c>
      <c r="E17786" s="1" t="s">
        <v>10</v>
      </c>
      <c r="F17786" s="1" t="str">
        <f>"10.11.18.122"</f>
        <v>10.11.18.122</v>
      </c>
      <c r="G17786" s="1" t="str">
        <f>"0026Z323"</f>
        <v>0026Z323</v>
      </c>
      <c r="H17786" s="1" t="str">
        <f>"장충지 10R5R1"</f>
        <v>장충지 10R5R1</v>
      </c>
      <c r="I17786" s="1" t="s">
        <v>8</v>
      </c>
      <c r="J17786" s="1" t="str">
        <f>"29/29"</f>
        <v>29/29</v>
      </c>
      <c r="K17786" s="1" t="str">
        <f t="shared" si="887"/>
        <v>2026-07-29 13:18:01</v>
      </c>
      <c r="L17786" s="1" t="str">
        <f>"2018-05-15 11:23:11"</f>
        <v>2018-05-15 11:23:11</v>
      </c>
      <c r="M17786" s="1" t="s">
        <v>2</v>
      </c>
      <c r="N17786" s="1" t="s">
        <v>38</v>
      </c>
      <c r="O17786" s="1" t="s">
        <v>46</v>
      </c>
    </row>
    <row r="17787" spans="2:15" x14ac:dyDescent="0.3">
      <c r="B17787" s="1" t="s">
        <v>13</v>
      </c>
      <c r="C17787" s="1" t="str">
        <f>"3차"</f>
        <v>3차</v>
      </c>
      <c r="D17787" s="1" t="str">
        <f>"0026Z33139"</f>
        <v>0026Z33139</v>
      </c>
      <c r="E17787" s="1" t="s">
        <v>10</v>
      </c>
      <c r="F17787" s="1" t="str">
        <f>"10.11.18.130"</f>
        <v>10.11.18.130</v>
      </c>
      <c r="G17787" s="1" t="str">
        <f>"0026Z331"</f>
        <v>0026Z331</v>
      </c>
      <c r="H17787" s="1" t="str">
        <f>"장충지 10R8"</f>
        <v>장충지 10R8</v>
      </c>
      <c r="I17787" s="1" t="s">
        <v>8</v>
      </c>
      <c r="J17787" s="1" t="str">
        <f>"45/45"</f>
        <v>45/45</v>
      </c>
      <c r="K17787" s="1" t="str">
        <f t="shared" si="887"/>
        <v>2026-07-29 13:18:01</v>
      </c>
      <c r="L17787" s="1" t="str">
        <f>"2018-05-15 11:26:41"</f>
        <v>2018-05-15 11:26:41</v>
      </c>
      <c r="M17787" s="1" t="s">
        <v>2</v>
      </c>
      <c r="N17787" s="1" t="s">
        <v>38</v>
      </c>
      <c r="O17787" s="1" t="s">
        <v>46</v>
      </c>
    </row>
    <row r="17788" spans="2:15" x14ac:dyDescent="0.3">
      <c r="B17788" s="1" t="s">
        <v>13</v>
      </c>
      <c r="C17788" s="1" t="str">
        <f>"4차"</f>
        <v>4차</v>
      </c>
      <c r="D17788" s="1" t="str">
        <f>"0026Z34139"</f>
        <v>0026Z34139</v>
      </c>
      <c r="E17788" s="1" t="s">
        <v>10</v>
      </c>
      <c r="F17788" s="1" t="str">
        <f>"10.11.37.186"</f>
        <v>10.11.37.186</v>
      </c>
      <c r="G17788" s="1" t="str">
        <f>"0026Z341"</f>
        <v>0026Z341</v>
      </c>
      <c r="H17788" s="1" t="str">
        <f>"장충지 10R9L1"</f>
        <v>장충지 10R9L1</v>
      </c>
      <c r="I17788" s="1" t="s">
        <v>8</v>
      </c>
      <c r="J17788" s="1" t="str">
        <f>"24/24"</f>
        <v>24/24</v>
      </c>
      <c r="K17788" s="1" t="str">
        <f t="shared" si="887"/>
        <v>2026-07-29 13:18:01</v>
      </c>
      <c r="L17788" s="1" t="str">
        <f>"2018-05-15 11:24:10"</f>
        <v>2018-05-15 11:24:10</v>
      </c>
      <c r="M17788" s="1" t="s">
        <v>2</v>
      </c>
      <c r="N17788" s="1" t="s">
        <v>38</v>
      </c>
      <c r="O17788" s="1" t="s">
        <v>46</v>
      </c>
    </row>
    <row r="17789" spans="2:15" x14ac:dyDescent="0.3">
      <c r="B17789" s="1" t="s">
        <v>13</v>
      </c>
      <c r="C17789" s="1" t="str">
        <f>"4차"</f>
        <v>4차</v>
      </c>
      <c r="D17789" s="1" t="str">
        <f>"0026Z36839"</f>
        <v>0026Z36839</v>
      </c>
      <c r="E17789" s="1" t="s">
        <v>10</v>
      </c>
      <c r="F17789" s="1" t="str">
        <f>"10.12.136.15"</f>
        <v>10.12.136.15</v>
      </c>
      <c r="G17789" s="1" t="str">
        <f>"0026Z368"</f>
        <v>0026Z368</v>
      </c>
      <c r="H17789" s="1" t="str">
        <f>"장충로 10-2"</f>
        <v>장충로 10-2</v>
      </c>
      <c r="I17789" s="1" t="s">
        <v>17</v>
      </c>
      <c r="J17789" s="1" t="str">
        <f>"55/55"</f>
        <v>55/55</v>
      </c>
      <c r="K17789" s="1" t="str">
        <f>"2026-07-29 13:18:02"</f>
        <v>2026-07-29 13:18:02</v>
      </c>
      <c r="L17789" s="1" t="str">
        <f>"2018-10-10 10:06:39"</f>
        <v>2018-10-10 10:06:39</v>
      </c>
      <c r="M17789" s="1" t="s">
        <v>0</v>
      </c>
      <c r="N17789" s="1" t="s">
        <v>38</v>
      </c>
      <c r="O17789" s="1" t="s">
        <v>46</v>
      </c>
    </row>
    <row r="17790" spans="2:15" x14ac:dyDescent="0.3">
      <c r="B17790" s="1" t="s">
        <v>13</v>
      </c>
      <c r="C17790" s="1" t="str">
        <f>"4차"</f>
        <v>4차</v>
      </c>
      <c r="D17790" s="1" t="str">
        <f>"0026Z37439"</f>
        <v>0026Z37439</v>
      </c>
      <c r="E17790" s="1" t="s">
        <v>10</v>
      </c>
      <c r="F17790" s="1" t="str">
        <f>"10.12.138.73"</f>
        <v>10.12.138.73</v>
      </c>
      <c r="G17790" s="1" t="str">
        <f>"0026Z374"</f>
        <v>0026Z374</v>
      </c>
      <c r="H17790" s="1" t="str">
        <f>"장충지 17L1R3R1-T1"</f>
        <v>장충지 17L1R3R1-T1</v>
      </c>
      <c r="I17790" s="1" t="s">
        <v>17</v>
      </c>
      <c r="J17790" s="1" t="str">
        <f>"45/45"</f>
        <v>45/45</v>
      </c>
      <c r="K17790" s="1" t="str">
        <f>"2026-07-29 13:18:02"</f>
        <v>2026-07-29 13:18:02</v>
      </c>
      <c r="L17790" s="1" t="str">
        <f>"2020-12-29 13:27:59"</f>
        <v>2020-12-29 13:27:59</v>
      </c>
      <c r="M17790" s="1" t="s">
        <v>0</v>
      </c>
      <c r="N17790" s="1" t="s">
        <v>38</v>
      </c>
      <c r="O17790" s="1" t="s">
        <v>46</v>
      </c>
    </row>
    <row r="17791" spans="2:15" x14ac:dyDescent="0.3">
      <c r="B17791" s="1" t="s">
        <v>13</v>
      </c>
      <c r="C17791" s="1" t="str">
        <f>"3차"</f>
        <v>3차</v>
      </c>
      <c r="D17791" s="1" t="str">
        <f>"0026Z43139"</f>
        <v>0026Z43139</v>
      </c>
      <c r="E17791" s="1" t="s">
        <v>10</v>
      </c>
      <c r="F17791" s="1" t="str">
        <f>"10.11.18.114"</f>
        <v>10.11.18.114</v>
      </c>
      <c r="G17791" s="1" t="str">
        <f>"0026Z431"</f>
        <v>0026Z431</v>
      </c>
      <c r="H17791" s="1" t="str">
        <f>"장충지 10R10"</f>
        <v>장충지 10R10</v>
      </c>
      <c r="I17791" s="1" t="s">
        <v>8</v>
      </c>
      <c r="J17791" s="1" t="str">
        <f>"58/58"</f>
        <v>58/58</v>
      </c>
      <c r="K17791" s="1" t="str">
        <f t="shared" ref="K17791:K17797" si="888">"2026-07-29 13:18:01"</f>
        <v>2026-07-29 13:18:01</v>
      </c>
      <c r="L17791" s="1" t="str">
        <f>"2018-05-15 11:11:56"</f>
        <v>2018-05-15 11:11:56</v>
      </c>
      <c r="M17791" s="1" t="s">
        <v>2</v>
      </c>
      <c r="N17791" s="1" t="s">
        <v>38</v>
      </c>
      <c r="O17791" s="1" t="s">
        <v>46</v>
      </c>
    </row>
    <row r="17792" spans="2:15" x14ac:dyDescent="0.3">
      <c r="B17792" s="1" t="s">
        <v>13</v>
      </c>
      <c r="C17792" s="1" t="str">
        <f>"3차"</f>
        <v>3차</v>
      </c>
      <c r="D17792" s="1" t="str">
        <f>"0026Z44139"</f>
        <v>0026Z44139</v>
      </c>
      <c r="E17792" s="1" t="s">
        <v>10</v>
      </c>
      <c r="F17792" s="1" t="str">
        <f>"10.11.18.146"</f>
        <v>10.11.18.146</v>
      </c>
      <c r="G17792" s="1" t="str">
        <f>"0026Z441"</f>
        <v>0026Z441</v>
      </c>
      <c r="H17792" s="1" t="str">
        <f>"장충지 23R4R1"</f>
        <v>장충지 23R4R1</v>
      </c>
      <c r="I17792" s="1" t="s">
        <v>8</v>
      </c>
      <c r="J17792" s="1" t="str">
        <f>"10/10"</f>
        <v>10/10</v>
      </c>
      <c r="K17792" s="1" t="str">
        <f t="shared" si="888"/>
        <v>2026-07-29 13:18:01</v>
      </c>
      <c r="L17792" s="1" t="str">
        <f>"2018-05-23 12:06:25"</f>
        <v>2018-05-23 12:06:25</v>
      </c>
      <c r="M17792" s="1" t="s">
        <v>2</v>
      </c>
      <c r="N17792" s="1" t="s">
        <v>38</v>
      </c>
      <c r="O17792" s="1" t="s">
        <v>46</v>
      </c>
    </row>
    <row r="17793" spans="2:15" x14ac:dyDescent="0.3">
      <c r="B17793" s="1" t="s">
        <v>13</v>
      </c>
      <c r="C17793" s="1" t="str">
        <f t="shared" ref="C17793:C17800" si="889">"4차"</f>
        <v>4차</v>
      </c>
      <c r="D17793" s="1" t="str">
        <f>"0026Z45239"</f>
        <v>0026Z45239</v>
      </c>
      <c r="E17793" s="1" t="s">
        <v>10</v>
      </c>
      <c r="F17793" s="1" t="str">
        <f>"10.11.18.138"</f>
        <v>10.11.18.138</v>
      </c>
      <c r="G17793" s="1" t="str">
        <f>"0026Z452"</f>
        <v>0026Z452</v>
      </c>
      <c r="H17793" s="1" t="str">
        <f>"장충지 23R2"</f>
        <v>장충지 23R2</v>
      </c>
      <c r="I17793" s="1" t="s">
        <v>8</v>
      </c>
      <c r="J17793" s="1" t="str">
        <f>"63/64"</f>
        <v>63/64</v>
      </c>
      <c r="K17793" s="1" t="str">
        <f t="shared" si="888"/>
        <v>2026-07-29 13:18:01</v>
      </c>
      <c r="L17793" s="1" t="str">
        <f>"2018-05-15 11:37:41"</f>
        <v>2018-05-15 11:37:41</v>
      </c>
      <c r="M17793" s="1" t="s">
        <v>2</v>
      </c>
      <c r="N17793" s="1" t="s">
        <v>38</v>
      </c>
      <c r="O17793" s="1" t="s">
        <v>46</v>
      </c>
    </row>
    <row r="17794" spans="2:15" x14ac:dyDescent="0.3">
      <c r="B17794" s="1" t="s">
        <v>13</v>
      </c>
      <c r="C17794" s="1" t="str">
        <f t="shared" si="889"/>
        <v>4차</v>
      </c>
      <c r="D17794" s="1" t="str">
        <f>"0026Z45339"</f>
        <v>0026Z45339</v>
      </c>
      <c r="E17794" s="1" t="s">
        <v>10</v>
      </c>
      <c r="F17794" s="1" t="str">
        <f>"10.11.37.194"</f>
        <v>10.11.37.194</v>
      </c>
      <c r="G17794" s="1" t="str">
        <f>"0026Z453"</f>
        <v>0026Z453</v>
      </c>
      <c r="H17794" s="1" t="str">
        <f>"장충지 23R3"</f>
        <v>장충지 23R3</v>
      </c>
      <c r="I17794" s="1" t="s">
        <v>8</v>
      </c>
      <c r="J17794" s="1" t="str">
        <f>"32/32"</f>
        <v>32/32</v>
      </c>
      <c r="K17794" s="1" t="str">
        <f t="shared" si="888"/>
        <v>2026-07-29 13:18:01</v>
      </c>
      <c r="L17794" s="1" t="str">
        <f>"2018-05-15 11:19:55"</f>
        <v>2018-05-15 11:19:55</v>
      </c>
      <c r="M17794" s="1" t="s">
        <v>2</v>
      </c>
      <c r="N17794" s="1" t="s">
        <v>38</v>
      </c>
      <c r="O17794" s="1" t="s">
        <v>46</v>
      </c>
    </row>
    <row r="17795" spans="2:15" x14ac:dyDescent="0.3">
      <c r="B17795" s="1" t="s">
        <v>13</v>
      </c>
      <c r="C17795" s="1" t="str">
        <f t="shared" si="889"/>
        <v>4차</v>
      </c>
      <c r="D17795" s="1" t="str">
        <f>"0026Z46645"</f>
        <v>0026Z46645</v>
      </c>
      <c r="E17795" s="1" t="s">
        <v>10</v>
      </c>
      <c r="F17795" s="1" t="str">
        <f>"10.14.9.13"</f>
        <v>10.14.9.13</v>
      </c>
      <c r="G17795" s="1" t="str">
        <f>"0026Z466"</f>
        <v>0026Z466</v>
      </c>
      <c r="H17795" s="1" t="str">
        <f>"장충로 10-3"</f>
        <v>장충로 10-3</v>
      </c>
      <c r="I17795" s="1" t="s">
        <v>17</v>
      </c>
      <c r="J17795" s="1" t="str">
        <f>"28/35"</f>
        <v>28/35</v>
      </c>
      <c r="K17795" s="1" t="str">
        <f t="shared" si="888"/>
        <v>2026-07-29 13:18:01</v>
      </c>
      <c r="L17795" s="1" t="str">
        <f>"2021-06-30 14:04:12"</f>
        <v>2021-06-30 14:04:12</v>
      </c>
      <c r="M17795" s="1" t="s">
        <v>3</v>
      </c>
      <c r="N17795" s="1" t="s">
        <v>38</v>
      </c>
      <c r="O17795" s="1" t="s">
        <v>46</v>
      </c>
    </row>
    <row r="17796" spans="2:15" x14ac:dyDescent="0.3">
      <c r="B17796" s="1" t="s">
        <v>13</v>
      </c>
      <c r="C17796" s="1" t="str">
        <f t="shared" si="889"/>
        <v>4차</v>
      </c>
      <c r="D17796" s="1" t="str">
        <f>"0026Z51339"</f>
        <v>0026Z51339</v>
      </c>
      <c r="E17796" s="1" t="s">
        <v>10</v>
      </c>
      <c r="F17796" s="1" t="str">
        <f>"10.11.29.18"</f>
        <v>10.11.29.18</v>
      </c>
      <c r="G17796" s="1" t="str">
        <f>"0026Z513"</f>
        <v>0026Z513</v>
      </c>
      <c r="H17796" s="1" t="str">
        <f>"광희간 12"</f>
        <v>광희간 12</v>
      </c>
      <c r="I17796" s="1" t="s">
        <v>8</v>
      </c>
      <c r="J17796" s="1" t="str">
        <f>"34/34"</f>
        <v>34/34</v>
      </c>
      <c r="K17796" s="1" t="str">
        <f t="shared" si="888"/>
        <v>2026-07-29 13:18:01</v>
      </c>
      <c r="L17796" s="1" t="str">
        <f>"2018-02-09 16:48:58"</f>
        <v>2018-02-09 16:48:58</v>
      </c>
      <c r="M17796" s="1" t="s">
        <v>2</v>
      </c>
      <c r="N17796" s="1" t="s">
        <v>38</v>
      </c>
      <c r="O17796" s="1" t="s">
        <v>46</v>
      </c>
    </row>
    <row r="17797" spans="2:15" x14ac:dyDescent="0.3">
      <c r="B17797" s="1" t="s">
        <v>13</v>
      </c>
      <c r="C17797" s="1" t="str">
        <f t="shared" si="889"/>
        <v>4차</v>
      </c>
      <c r="D17797" s="1" t="str">
        <f>"0026Z53139"</f>
        <v>0026Z53139</v>
      </c>
      <c r="E17797" s="1" t="s">
        <v>10</v>
      </c>
      <c r="F17797" s="1" t="str">
        <f>"10.11.37.162"</f>
        <v>10.11.37.162</v>
      </c>
      <c r="G17797" s="1" t="str">
        <f>"0026Z531"</f>
        <v>0026Z531</v>
      </c>
      <c r="H17797" s="1" t="str">
        <f>"장충지 10R11"</f>
        <v>장충지 10R11</v>
      </c>
      <c r="I17797" s="1" t="s">
        <v>8</v>
      </c>
      <c r="J17797" s="1" t="str">
        <f>"72/86"</f>
        <v>72/86</v>
      </c>
      <c r="K17797" s="1" t="str">
        <f t="shared" si="888"/>
        <v>2026-07-29 13:18:01</v>
      </c>
      <c r="L17797" s="1" t="str">
        <f>"2018-05-15 11:12:41"</f>
        <v>2018-05-15 11:12:41</v>
      </c>
      <c r="M17797" s="1" t="s">
        <v>2</v>
      </c>
      <c r="N17797" s="1" t="s">
        <v>38</v>
      </c>
      <c r="O17797" s="1" t="s">
        <v>46</v>
      </c>
    </row>
    <row r="17798" spans="2:15" x14ac:dyDescent="0.3">
      <c r="B17798" s="1" t="s">
        <v>13</v>
      </c>
      <c r="C17798" s="1" t="str">
        <f t="shared" si="889"/>
        <v>4차</v>
      </c>
      <c r="D17798" s="1" t="str">
        <f>"0026Z66539"</f>
        <v>0026Z66539</v>
      </c>
      <c r="E17798" s="1" t="s">
        <v>14</v>
      </c>
      <c r="F17798" s="1" t="str">
        <f>"10.12.131.114"</f>
        <v>10.12.131.114</v>
      </c>
      <c r="G17798" s="1" t="str">
        <f>"0026Z665"</f>
        <v>0026Z665</v>
      </c>
      <c r="H17798" s="1" t="str">
        <f>"퇴계로 L22"</f>
        <v>퇴계로 L22</v>
      </c>
      <c r="I17798" s="1" t="s">
        <v>17</v>
      </c>
      <c r="J17798" s="1" t="str">
        <f>"0/0"</f>
        <v>0/0</v>
      </c>
      <c r="K17798" s="1" t="str">
        <f>"2026-06-01 01:18:02"</f>
        <v>2026-06-01 01:18:02</v>
      </c>
      <c r="L17798" s="1" t="str">
        <f>"2018-10-24 16:21:12"</f>
        <v>2018-10-24 16:21:12</v>
      </c>
      <c r="M17798" s="1" t="s">
        <v>0</v>
      </c>
      <c r="N17798" s="1" t="s">
        <v>39</v>
      </c>
      <c r="O17798" s="1" t="s">
        <v>46</v>
      </c>
    </row>
    <row r="17799" spans="2:15" x14ac:dyDescent="0.3">
      <c r="B17799" s="1" t="s">
        <v>13</v>
      </c>
      <c r="C17799" s="1" t="str">
        <f t="shared" si="889"/>
        <v>4차</v>
      </c>
      <c r="D17799" s="1" t="str">
        <f>"0026Z67545"</f>
        <v>0026Z67545</v>
      </c>
      <c r="E17799" s="1" t="s">
        <v>10</v>
      </c>
      <c r="F17799" s="1" t="str">
        <f>"10.14.7.36"</f>
        <v>10.14.7.36</v>
      </c>
      <c r="G17799" s="1" t="str">
        <f>"0026Z675"</f>
        <v>0026Z675</v>
      </c>
      <c r="H17799" s="1" t="str">
        <f>"장충로 12"</f>
        <v>장충로 12</v>
      </c>
      <c r="I17799" s="1" t="s">
        <v>17</v>
      </c>
      <c r="J17799" s="1" t="str">
        <f>"10/14"</f>
        <v>10/14</v>
      </c>
      <c r="K17799" s="1" t="str">
        <f>"2026-07-29 13:18:02"</f>
        <v>2026-07-29 13:18:02</v>
      </c>
      <c r="L17799" s="1" t="str">
        <f>"2021-06-30 14:27:49"</f>
        <v>2021-06-30 14:27:49</v>
      </c>
      <c r="M17799" s="1" t="s">
        <v>3</v>
      </c>
      <c r="N17799" s="1" t="s">
        <v>38</v>
      </c>
      <c r="O17799" s="1" t="s">
        <v>46</v>
      </c>
    </row>
    <row r="17800" spans="2:15" x14ac:dyDescent="0.3">
      <c r="B17800" s="1" t="s">
        <v>13</v>
      </c>
      <c r="C17800" s="1" t="str">
        <f t="shared" si="889"/>
        <v>4차</v>
      </c>
      <c r="D17800" s="1" t="str">
        <f>"0026Z68645"</f>
        <v>0026Z68645</v>
      </c>
      <c r="E17800" s="1" t="s">
        <v>10</v>
      </c>
      <c r="F17800" s="1" t="str">
        <f>"10.14.12.62"</f>
        <v>10.14.12.62</v>
      </c>
      <c r="G17800" s="1" t="str">
        <f>"0026Z686"</f>
        <v>0026Z686</v>
      </c>
      <c r="H17800" s="1" t="str">
        <f>"장충로 13-1"</f>
        <v>장충로 13-1</v>
      </c>
      <c r="I17800" s="1" t="s">
        <v>17</v>
      </c>
      <c r="J17800" s="1" t="str">
        <f>"9/9"</f>
        <v>9/9</v>
      </c>
      <c r="K17800" s="1" t="str">
        <f>"2026-07-29 13:18:01"</f>
        <v>2026-07-29 13:18:01</v>
      </c>
      <c r="L17800" s="1" t="str">
        <f>"2021-06-30 15:17:37"</f>
        <v>2021-06-30 15:17:37</v>
      </c>
      <c r="M17800" s="1" t="s">
        <v>3</v>
      </c>
      <c r="N17800" s="1" t="s">
        <v>38</v>
      </c>
      <c r="O17800" s="1" t="s">
        <v>46</v>
      </c>
    </row>
    <row r="17801" spans="2:15" x14ac:dyDescent="0.3">
      <c r="B17801" s="1" t="s">
        <v>13</v>
      </c>
      <c r="C17801" s="1" t="str">
        <f>"3차"</f>
        <v>3차</v>
      </c>
      <c r="D17801" s="1" t="str">
        <f>"0026Z71239"</f>
        <v>0026Z71239</v>
      </c>
      <c r="E17801" s="1" t="s">
        <v>10</v>
      </c>
      <c r="F17801" s="1" t="str">
        <f>"10.11.30.18"</f>
        <v>10.11.30.18</v>
      </c>
      <c r="G17801" s="1" t="str">
        <f>"0026Z712"</f>
        <v>0026Z712</v>
      </c>
      <c r="H17801" s="1" t="str">
        <f>"광희간 9R2"</f>
        <v>광희간 9R2</v>
      </c>
      <c r="I17801" s="1" t="s">
        <v>8</v>
      </c>
      <c r="J17801" s="1" t="str">
        <f>"32/35"</f>
        <v>32/35</v>
      </c>
      <c r="K17801" s="1" t="str">
        <f>"2026-07-29 13:18:01"</f>
        <v>2026-07-29 13:18:01</v>
      </c>
      <c r="L17801" s="1" t="str">
        <f>"2018-02-09 15:40:13"</f>
        <v>2018-02-09 15:40:13</v>
      </c>
      <c r="M17801" s="1" t="s">
        <v>2</v>
      </c>
      <c r="N17801" s="1" t="s">
        <v>38</v>
      </c>
      <c r="O17801" s="1" t="s">
        <v>46</v>
      </c>
    </row>
    <row r="17802" spans="2:15" x14ac:dyDescent="0.3">
      <c r="B17802" s="1" t="s">
        <v>13</v>
      </c>
      <c r="C17802" s="1" t="str">
        <f>"4차"</f>
        <v>4차</v>
      </c>
      <c r="D17802" s="1" t="str">
        <f>"0026Z76139"</f>
        <v>0026Z76139</v>
      </c>
      <c r="E17802" s="1" t="s">
        <v>10</v>
      </c>
      <c r="F17802" s="1" t="str">
        <f>"10.11.30.10"</f>
        <v>10.11.30.10</v>
      </c>
      <c r="G17802" s="1" t="str">
        <f>"0026Z761"</f>
        <v>0026Z761</v>
      </c>
      <c r="H17802" s="1" t="str">
        <f>"광희간 9B9"</f>
        <v>광희간 9B9</v>
      </c>
      <c r="I17802" s="1" t="s">
        <v>8</v>
      </c>
      <c r="J17802" s="1" t="str">
        <f>"9/10"</f>
        <v>9/10</v>
      </c>
      <c r="K17802" s="1" t="str">
        <f>"2026-07-29 13:18:01"</f>
        <v>2026-07-29 13:18:01</v>
      </c>
      <c r="L17802" s="1" t="str">
        <f>"2018-02-10 10:56:41"</f>
        <v>2018-02-10 10:56:41</v>
      </c>
      <c r="M17802" s="1" t="s">
        <v>2</v>
      </c>
      <c r="N17802" s="1" t="s">
        <v>38</v>
      </c>
      <c r="O17802" s="1" t="s">
        <v>46</v>
      </c>
    </row>
    <row r="17803" spans="2:15" x14ac:dyDescent="0.3">
      <c r="B17803" s="1" t="s">
        <v>13</v>
      </c>
      <c r="C17803" s="1" t="str">
        <f>"4차"</f>
        <v>4차</v>
      </c>
      <c r="D17803" s="1" t="str">
        <f>"0026Z76239"</f>
        <v>0026Z76239</v>
      </c>
      <c r="E17803" s="1" t="s">
        <v>10</v>
      </c>
      <c r="F17803" s="1" t="str">
        <f>"10.11.25.34"</f>
        <v>10.11.25.34</v>
      </c>
      <c r="G17803" s="1" t="str">
        <f>"0026Z762"</f>
        <v>0026Z762</v>
      </c>
      <c r="H17803" s="1" t="str">
        <f>"광희간 9B10"</f>
        <v>광희간 9B10</v>
      </c>
      <c r="I17803" s="1" t="s">
        <v>8</v>
      </c>
      <c r="J17803" s="1" t="str">
        <f>"83/91"</f>
        <v>83/91</v>
      </c>
      <c r="K17803" s="1" t="str">
        <f>"2026-07-29 13:18:01"</f>
        <v>2026-07-29 13:18:01</v>
      </c>
      <c r="L17803" s="1" t="str">
        <f>"2017-12-09 14:35:59"</f>
        <v>2017-12-09 14:35:59</v>
      </c>
      <c r="M17803" s="1" t="s">
        <v>2</v>
      </c>
      <c r="N17803" s="1" t="s">
        <v>38</v>
      </c>
      <c r="O17803" s="1" t="s">
        <v>46</v>
      </c>
    </row>
    <row r="17804" spans="2:15" x14ac:dyDescent="0.3">
      <c r="B17804" s="1" t="s">
        <v>13</v>
      </c>
      <c r="C17804" s="1" t="str">
        <f>"4차"</f>
        <v>4차</v>
      </c>
      <c r="D17804" s="1" t="str">
        <f>"0026Z81139"</f>
        <v>0026Z81139</v>
      </c>
      <c r="E17804" s="1" t="s">
        <v>10</v>
      </c>
      <c r="F17804" s="1" t="str">
        <f>"10.11.30.26"</f>
        <v>10.11.30.26</v>
      </c>
      <c r="G17804" s="1" t="str">
        <f>"0026Z811"</f>
        <v>0026Z811</v>
      </c>
      <c r="H17804" s="1" t="str">
        <f>"광희간 9R3"</f>
        <v>광희간 9R3</v>
      </c>
      <c r="I17804" s="1" t="s">
        <v>8</v>
      </c>
      <c r="J17804" s="1" t="str">
        <f>"22/24"</f>
        <v>22/24</v>
      </c>
      <c r="K17804" s="1" t="str">
        <f>"2026-07-29 13:18:01"</f>
        <v>2026-07-29 13:18:01</v>
      </c>
      <c r="L17804" s="1" t="str">
        <f>"2018-02-09 15:44:43"</f>
        <v>2018-02-09 15:44:43</v>
      </c>
      <c r="M17804" s="1" t="s">
        <v>2</v>
      </c>
      <c r="N17804" s="1" t="s">
        <v>38</v>
      </c>
      <c r="O17804" s="1" t="s">
        <v>46</v>
      </c>
    </row>
    <row r="17805" spans="2:15" x14ac:dyDescent="0.3">
      <c r="B17805" s="1" t="s">
        <v>13</v>
      </c>
      <c r="C17805" s="1" t="str">
        <f>"6차"</f>
        <v>6차</v>
      </c>
      <c r="D17805" s="1" t="str">
        <f>"0026Z8426S"</f>
        <v>0026Z8426S</v>
      </c>
      <c r="E17805" s="1" t="s">
        <v>10</v>
      </c>
      <c r="F17805" s="1" t="str">
        <f>"fde1:103:4:c5fb:0:0:0:2"</f>
        <v>fde1:103:4:c5fb:0:0:0:2</v>
      </c>
      <c r="G17805" s="1" t="str">
        <f>"0026Z842"</f>
        <v>0026Z842</v>
      </c>
      <c r="H17805" s="1" t="str">
        <f>"광희간 9B1R5"</f>
        <v>광희간 9B1R5</v>
      </c>
      <c r="I17805" s="1" t="s">
        <v>15</v>
      </c>
      <c r="J17805" s="1" t="str">
        <f>"49/55"</f>
        <v>49/55</v>
      </c>
      <c r="K17805" s="1" t="str">
        <f>"2026-07-29 02:20:01"</f>
        <v>2026-07-29 02:20:01</v>
      </c>
      <c r="L17805" s="1" t="str">
        <f>"2024-11-20 10:37:58"</f>
        <v>2024-11-20 10:37:58</v>
      </c>
      <c r="M17805" s="1" t="s">
        <v>4</v>
      </c>
      <c r="N17805" s="1" t="s">
        <v>38</v>
      </c>
      <c r="O17805" s="1" t="s">
        <v>46</v>
      </c>
    </row>
    <row r="17806" spans="2:15" x14ac:dyDescent="0.3">
      <c r="B17806" s="1" t="s">
        <v>13</v>
      </c>
      <c r="C17806" s="1" t="str">
        <f>"4차"</f>
        <v>4차</v>
      </c>
      <c r="D17806" s="1" t="str">
        <f>"0026Z87345"</f>
        <v>0026Z87345</v>
      </c>
      <c r="E17806" s="1" t="s">
        <v>10</v>
      </c>
      <c r="F17806" s="1" t="str">
        <f>"10.14.9.33"</f>
        <v>10.14.9.33</v>
      </c>
      <c r="G17806" s="1" t="str">
        <f>"0026Z873"</f>
        <v>0026Z873</v>
      </c>
      <c r="H17806" s="1" t="str">
        <f>"왕십리로 R1"</f>
        <v>왕십리로 R1</v>
      </c>
      <c r="I17806" s="1" t="s">
        <v>17</v>
      </c>
      <c r="J17806" s="1" t="str">
        <f>"2/2"</f>
        <v>2/2</v>
      </c>
      <c r="K17806" s="1" t="str">
        <f>"2026-07-29 13:18:02"</f>
        <v>2026-07-29 13:18:02</v>
      </c>
      <c r="L17806" s="1" t="str">
        <f>"2021-06-29 15:02:57"</f>
        <v>2021-06-29 15:02:57</v>
      </c>
      <c r="M17806" s="1" t="s">
        <v>3</v>
      </c>
      <c r="N17806" s="1" t="s">
        <v>38</v>
      </c>
      <c r="O17806" s="1" t="s">
        <v>46</v>
      </c>
    </row>
    <row r="17807" spans="2:15" x14ac:dyDescent="0.3">
      <c r="B17807" s="1" t="s">
        <v>13</v>
      </c>
      <c r="C17807" s="1" t="str">
        <f>"4차"</f>
        <v>4차</v>
      </c>
      <c r="D17807" s="1" t="str">
        <f>"0026Z91139"</f>
        <v>0026Z91139</v>
      </c>
      <c r="E17807" s="1" t="s">
        <v>10</v>
      </c>
      <c r="F17807" s="1" t="str">
        <f>"10.11.30.42"</f>
        <v>10.11.30.42</v>
      </c>
      <c r="G17807" s="1" t="str">
        <f>"0026Z911"</f>
        <v>0026Z911</v>
      </c>
      <c r="H17807" s="1" t="str">
        <f>"광희간 9R4"</f>
        <v>광희간 9R4</v>
      </c>
      <c r="I17807" s="1" t="s">
        <v>8</v>
      </c>
      <c r="J17807" s="1" t="str">
        <f>"39/39"</f>
        <v>39/39</v>
      </c>
      <c r="K17807" s="1" t="str">
        <f t="shared" ref="K17807:K17820" si="890">"2026-07-29 13:18:01"</f>
        <v>2026-07-29 13:18:01</v>
      </c>
      <c r="L17807" s="1" t="str">
        <f>"2018-02-09 16:17:42"</f>
        <v>2018-02-09 16:17:42</v>
      </c>
      <c r="M17807" s="1" t="s">
        <v>2</v>
      </c>
      <c r="N17807" s="1" t="s">
        <v>38</v>
      </c>
      <c r="O17807" s="1" t="s">
        <v>46</v>
      </c>
    </row>
    <row r="17808" spans="2:15" x14ac:dyDescent="0.3">
      <c r="B17808" s="1" t="s">
        <v>13</v>
      </c>
      <c r="C17808" s="1" t="str">
        <f>"4차"</f>
        <v>4차</v>
      </c>
      <c r="D17808" s="1" t="str">
        <f>"0026Z92130"</f>
        <v>0026Z92130</v>
      </c>
      <c r="E17808" s="1" t="s">
        <v>10</v>
      </c>
      <c r="F17808" s="1" t="str">
        <f>"10.11.11.218"</f>
        <v>10.11.11.218</v>
      </c>
      <c r="G17808" s="1" t="str">
        <f>"0026Z921"</f>
        <v>0026Z921</v>
      </c>
      <c r="H17808" s="1" t="str">
        <f>"광희간 9R3L1"</f>
        <v>광희간 9R3L1</v>
      </c>
      <c r="I17808" s="1" t="s">
        <v>8</v>
      </c>
      <c r="J17808" s="1" t="str">
        <f>"23/23"</f>
        <v>23/23</v>
      </c>
      <c r="K17808" s="1" t="str">
        <f t="shared" si="890"/>
        <v>2026-07-29 13:18:01</v>
      </c>
      <c r="L17808" s="1" t="str">
        <f>"2018-01-04 12:34:40"</f>
        <v>2018-01-04 12:34:40</v>
      </c>
      <c r="M17808" s="1" t="s">
        <v>2</v>
      </c>
      <c r="N17808" s="1" t="s">
        <v>38</v>
      </c>
      <c r="O17808" s="1" t="s">
        <v>46</v>
      </c>
    </row>
    <row r="17809" spans="2:15" x14ac:dyDescent="0.3">
      <c r="B17809" s="1" t="s">
        <v>13</v>
      </c>
      <c r="C17809" s="1" t="str">
        <f>"3차"</f>
        <v>3차</v>
      </c>
      <c r="D17809" s="1" t="str">
        <f>"0026Z92231"</f>
        <v>0026Z92231</v>
      </c>
      <c r="E17809" s="1" t="s">
        <v>10</v>
      </c>
      <c r="F17809" s="1" t="str">
        <f>"10.11.11.219"</f>
        <v>10.11.11.219</v>
      </c>
      <c r="G17809" s="1" t="str">
        <f>"0026Z922"</f>
        <v>0026Z922</v>
      </c>
      <c r="H17809" s="1" t="str">
        <f>"광희간 9R3L2"</f>
        <v>광희간 9R3L2</v>
      </c>
      <c r="I17809" s="1" t="s">
        <v>8</v>
      </c>
      <c r="J17809" s="1" t="str">
        <f>"16/16"</f>
        <v>16/16</v>
      </c>
      <c r="K17809" s="1" t="str">
        <f t="shared" si="890"/>
        <v>2026-07-29 13:18:01</v>
      </c>
      <c r="L17809" s="1" t="str">
        <f>"2018-03-20 15:12:42"</f>
        <v>2018-03-20 15:12:42</v>
      </c>
      <c r="M17809" s="1" t="s">
        <v>2</v>
      </c>
      <c r="N17809" s="1" t="s">
        <v>38</v>
      </c>
      <c r="O17809" s="1" t="s">
        <v>46</v>
      </c>
    </row>
    <row r="17810" spans="2:15" x14ac:dyDescent="0.3">
      <c r="B17810" s="1" t="s">
        <v>13</v>
      </c>
      <c r="C17810" s="1" t="str">
        <f>"3차"</f>
        <v>3차</v>
      </c>
      <c r="D17810" s="1" t="str">
        <f>"0026Z92339"</f>
        <v>0026Z92339</v>
      </c>
      <c r="E17810" s="1" t="s">
        <v>10</v>
      </c>
      <c r="F17810" s="1" t="str">
        <f>"10.11.11.234"</f>
        <v>10.11.11.234</v>
      </c>
      <c r="G17810" s="1" t="str">
        <f>"0026Z923"</f>
        <v>0026Z923</v>
      </c>
      <c r="H17810" s="1" t="str">
        <f>"광희간 9R4L1"</f>
        <v>광희간 9R4L1</v>
      </c>
      <c r="I17810" s="1" t="s">
        <v>8</v>
      </c>
      <c r="J17810" s="1" t="str">
        <f>"47/54"</f>
        <v>47/54</v>
      </c>
      <c r="K17810" s="1" t="str">
        <f t="shared" si="890"/>
        <v>2026-07-29 13:18:01</v>
      </c>
      <c r="L17810" s="1" t="str">
        <f>"2018-02-26 19:15:52"</f>
        <v>2018-02-26 19:15:52</v>
      </c>
      <c r="M17810" s="1" t="s">
        <v>2</v>
      </c>
      <c r="N17810" s="1" t="s">
        <v>38</v>
      </c>
      <c r="O17810" s="1" t="s">
        <v>46</v>
      </c>
    </row>
    <row r="17811" spans="2:15" x14ac:dyDescent="0.3">
      <c r="B17811" s="1" t="s">
        <v>13</v>
      </c>
      <c r="C17811" s="1" t="str">
        <f>"3차"</f>
        <v>3차</v>
      </c>
      <c r="D17811" s="1" t="str">
        <f>"0026Z93239"</f>
        <v>0026Z93239</v>
      </c>
      <c r="E17811" s="1" t="s">
        <v>10</v>
      </c>
      <c r="F17811" s="1" t="str">
        <f>"10.11.11.226"</f>
        <v>10.11.11.226</v>
      </c>
      <c r="G17811" s="1" t="str">
        <f>"0026Z932"</f>
        <v>0026Z932</v>
      </c>
      <c r="H17811" s="1" t="str">
        <f>"광희간 9R3L3"</f>
        <v>광희간 9R3L3</v>
      </c>
      <c r="I17811" s="1" t="s">
        <v>8</v>
      </c>
      <c r="J17811" s="1" t="str">
        <f>"19/19"</f>
        <v>19/19</v>
      </c>
      <c r="K17811" s="1" t="str">
        <f t="shared" si="890"/>
        <v>2026-07-29 13:18:01</v>
      </c>
      <c r="L17811" s="1" t="str">
        <f>"2018-05-17 13:02:11"</f>
        <v>2018-05-17 13:02:11</v>
      </c>
      <c r="M17811" s="1" t="s">
        <v>2</v>
      </c>
      <c r="N17811" s="1" t="s">
        <v>38</v>
      </c>
      <c r="O17811" s="1" t="s">
        <v>46</v>
      </c>
    </row>
    <row r="17812" spans="2:15" x14ac:dyDescent="0.3">
      <c r="B17812" s="1" t="s">
        <v>13</v>
      </c>
      <c r="C17812" s="1" t="str">
        <f>"1차"</f>
        <v>1차</v>
      </c>
      <c r="D17812" s="1" t="str">
        <f>"0026Z94101"</f>
        <v>0026Z94101</v>
      </c>
      <c r="E17812" s="1" t="s">
        <v>10</v>
      </c>
      <c r="F17812" s="1" t="str">
        <f>"10.89.104.6"</f>
        <v>10.89.104.6</v>
      </c>
      <c r="G17812" s="1" t="str">
        <f>"0026Z941"</f>
        <v>0026Z941</v>
      </c>
      <c r="H17812" s="1" t="str">
        <f>"광희간 9R2L4"</f>
        <v>광희간 9R2L4</v>
      </c>
      <c r="I17812" s="1" t="s">
        <v>8</v>
      </c>
      <c r="J17812" s="1" t="str">
        <f>"80/80"</f>
        <v>80/80</v>
      </c>
      <c r="K17812" s="1" t="str">
        <f t="shared" si="890"/>
        <v>2026-07-29 13:18:01</v>
      </c>
      <c r="L17812" s="1" t="str">
        <f>"2023-01-05 17:26:37"</f>
        <v>2023-01-05 17:26:37</v>
      </c>
      <c r="M17812" s="1" t="s">
        <v>45</v>
      </c>
      <c r="N17812" s="1" t="s">
        <v>38</v>
      </c>
      <c r="O17812" s="1" t="s">
        <v>46</v>
      </c>
    </row>
    <row r="17813" spans="2:15" x14ac:dyDescent="0.3">
      <c r="B17813" s="1" t="s">
        <v>13</v>
      </c>
      <c r="C17813" s="1" t="str">
        <f>"4차"</f>
        <v>4차</v>
      </c>
      <c r="D17813" s="1" t="str">
        <f>"0026Z94239"</f>
        <v>0026Z94239</v>
      </c>
      <c r="E17813" s="1" t="s">
        <v>10</v>
      </c>
      <c r="F17813" s="1" t="str">
        <f>"10.89.96.90"</f>
        <v>10.89.96.90</v>
      </c>
      <c r="G17813" s="1" t="str">
        <f>"0026Z942"</f>
        <v>0026Z942</v>
      </c>
      <c r="H17813" s="1" t="str">
        <f>"광희간 9R2L5"</f>
        <v>광희간 9R2L5</v>
      </c>
      <c r="I17813" s="1" t="s">
        <v>8</v>
      </c>
      <c r="J17813" s="1" t="str">
        <f>"46/61"</f>
        <v>46/61</v>
      </c>
      <c r="K17813" s="1" t="str">
        <f t="shared" si="890"/>
        <v>2026-07-29 13:18:01</v>
      </c>
      <c r="L17813" s="1" t="str">
        <f>"2024-03-04 18:07:31"</f>
        <v>2024-03-04 18:07:31</v>
      </c>
      <c r="M17813" s="1" t="s">
        <v>45</v>
      </c>
      <c r="N17813" s="1" t="s">
        <v>38</v>
      </c>
      <c r="O17813" s="1" t="s">
        <v>46</v>
      </c>
    </row>
    <row r="17814" spans="2:15" x14ac:dyDescent="0.3">
      <c r="B17814" s="1" t="s">
        <v>13</v>
      </c>
      <c r="C17814" s="1" t="str">
        <f>"3차"</f>
        <v>3차</v>
      </c>
      <c r="D17814" s="1" t="str">
        <f>"0026Z96339"</f>
        <v>0026Z96339</v>
      </c>
      <c r="E17814" s="1" t="s">
        <v>10</v>
      </c>
      <c r="F17814" s="1" t="str">
        <f>"10.11.39.18"</f>
        <v>10.11.39.18</v>
      </c>
      <c r="G17814" s="1" t="str">
        <f>"0026Z963"</f>
        <v>0026Z963</v>
      </c>
      <c r="H17814" s="1" t="str">
        <f>"청구지 1R6L1R8"</f>
        <v>청구지 1R6L1R8</v>
      </c>
      <c r="I17814" s="1" t="s">
        <v>8</v>
      </c>
      <c r="J17814" s="1" t="str">
        <f>"47/47"</f>
        <v>47/47</v>
      </c>
      <c r="K17814" s="1" t="str">
        <f t="shared" si="890"/>
        <v>2026-07-29 13:18:01</v>
      </c>
      <c r="L17814" s="1" t="str">
        <f>"2018-05-15 16:35:58"</f>
        <v>2018-05-15 16:35:58</v>
      </c>
      <c r="M17814" s="1" t="s">
        <v>2</v>
      </c>
      <c r="N17814" s="1" t="s">
        <v>38</v>
      </c>
      <c r="O17814" s="1" t="s">
        <v>46</v>
      </c>
    </row>
    <row r="17815" spans="2:15" x14ac:dyDescent="0.3">
      <c r="B17815" s="1" t="s">
        <v>13</v>
      </c>
      <c r="C17815" s="1" t="str">
        <f>"2차"</f>
        <v>2차</v>
      </c>
      <c r="D17815" s="1" t="str">
        <f>"0027C45129"</f>
        <v>0027C45129</v>
      </c>
      <c r="E17815" s="1" t="s">
        <v>10</v>
      </c>
      <c r="F17815" s="1" t="str">
        <f>"10.11.1.242"</f>
        <v>10.11.1.242</v>
      </c>
      <c r="G17815" s="1" t="str">
        <f>"0027C451"</f>
        <v>0027C451</v>
      </c>
      <c r="H17815" s="1" t="str">
        <f>"명륜지 29"</f>
        <v>명륜지 29</v>
      </c>
      <c r="I17815" s="1" t="s">
        <v>8</v>
      </c>
      <c r="J17815" s="1" t="str">
        <f>"25/26"</f>
        <v>25/26</v>
      </c>
      <c r="K17815" s="1" t="str">
        <f t="shared" si="890"/>
        <v>2026-07-29 13:18:01</v>
      </c>
      <c r="L17815" s="1" t="str">
        <f>"2017-06-21 17:41:04"</f>
        <v>2017-06-21 17:41:04</v>
      </c>
      <c r="M17815" s="1" t="s">
        <v>2</v>
      </c>
      <c r="N17815" s="1" t="s">
        <v>38</v>
      </c>
      <c r="O17815" s="1" t="s">
        <v>46</v>
      </c>
    </row>
    <row r="17816" spans="2:15" x14ac:dyDescent="0.3">
      <c r="B17816" s="1" t="s">
        <v>13</v>
      </c>
      <c r="C17816" s="1" t="str">
        <f>"2차"</f>
        <v>2차</v>
      </c>
      <c r="D17816" s="1" t="str">
        <f>"0027C54329"</f>
        <v>0027C54329</v>
      </c>
      <c r="E17816" s="1" t="s">
        <v>10</v>
      </c>
      <c r="F17816" s="1" t="str">
        <f>"10.11.1.250"</f>
        <v>10.11.1.250</v>
      </c>
      <c r="G17816" s="1" t="str">
        <f>"0027C543"</f>
        <v>0027C543</v>
      </c>
      <c r="H17816" s="1" t="str">
        <f>"명륜지 32"</f>
        <v>명륜지 32</v>
      </c>
      <c r="I17816" s="1" t="s">
        <v>8</v>
      </c>
      <c r="J17816" s="1" t="str">
        <f>"51/51"</f>
        <v>51/51</v>
      </c>
      <c r="K17816" s="1" t="str">
        <f t="shared" si="890"/>
        <v>2026-07-29 13:18:01</v>
      </c>
      <c r="L17816" s="1" t="str">
        <f>"2017-06-21 17:51:01"</f>
        <v>2017-06-21 17:51:01</v>
      </c>
      <c r="M17816" s="1" t="s">
        <v>2</v>
      </c>
      <c r="N17816" s="1" t="s">
        <v>38</v>
      </c>
      <c r="O17816" s="1" t="s">
        <v>46</v>
      </c>
    </row>
    <row r="17817" spans="2:15" x14ac:dyDescent="0.3">
      <c r="B17817" s="1" t="s">
        <v>13</v>
      </c>
      <c r="C17817" s="1" t="str">
        <f>"4차"</f>
        <v>4차</v>
      </c>
      <c r="D17817" s="1" t="str">
        <f>"0027C63620"</f>
        <v>0027C63620</v>
      </c>
      <c r="E17817" s="1" t="s">
        <v>10</v>
      </c>
      <c r="F17817" s="1" t="str">
        <f>"10.11.1.194"</f>
        <v>10.11.1.194</v>
      </c>
      <c r="G17817" s="1" t="str">
        <f>"0027C636"</f>
        <v>0027C636</v>
      </c>
      <c r="H17817" s="1" t="str">
        <f>"명륜지 24L2"</f>
        <v>명륜지 24L2</v>
      </c>
      <c r="I17817" s="1" t="s">
        <v>8</v>
      </c>
      <c r="J17817" s="1" t="str">
        <f>"80/86"</f>
        <v>80/86</v>
      </c>
      <c r="K17817" s="1" t="str">
        <f t="shared" si="890"/>
        <v>2026-07-29 13:18:01</v>
      </c>
      <c r="L17817" s="1" t="str">
        <f>"2017-06-21 17:41:02"</f>
        <v>2017-06-21 17:41:02</v>
      </c>
      <c r="M17817" s="1" t="s">
        <v>2</v>
      </c>
      <c r="N17817" s="1" t="s">
        <v>38</v>
      </c>
      <c r="O17817" s="1" t="s">
        <v>46</v>
      </c>
    </row>
    <row r="17818" spans="2:15" x14ac:dyDescent="0.3">
      <c r="B17818" s="1" t="s">
        <v>13</v>
      </c>
      <c r="C17818" s="1" t="str">
        <f>"4차"</f>
        <v>4차</v>
      </c>
      <c r="D17818" s="1" t="str">
        <f>"0027C64120"</f>
        <v>0027C64120</v>
      </c>
      <c r="E17818" s="1" t="s">
        <v>10</v>
      </c>
      <c r="F17818" s="1" t="str">
        <f>"10.11.1.202"</f>
        <v>10.11.1.202</v>
      </c>
      <c r="G17818" s="1" t="str">
        <f>"0027C641"</f>
        <v>0027C641</v>
      </c>
      <c r="H17818" s="1" t="str">
        <f>"명륜지 25"</f>
        <v>명륜지 25</v>
      </c>
      <c r="I17818" s="1" t="s">
        <v>8</v>
      </c>
      <c r="J17818" s="1" t="str">
        <f>"43/45"</f>
        <v>43/45</v>
      </c>
      <c r="K17818" s="1" t="str">
        <f t="shared" si="890"/>
        <v>2026-07-29 13:18:01</v>
      </c>
      <c r="L17818" s="1" t="str">
        <f>"2017-06-21 17:51:01"</f>
        <v>2017-06-21 17:51:01</v>
      </c>
      <c r="M17818" s="1" t="s">
        <v>2</v>
      </c>
      <c r="N17818" s="1" t="s">
        <v>38</v>
      </c>
      <c r="O17818" s="1" t="s">
        <v>46</v>
      </c>
    </row>
    <row r="17819" spans="2:15" x14ac:dyDescent="0.3">
      <c r="B17819" s="1" t="s">
        <v>13</v>
      </c>
      <c r="C17819" s="1" t="str">
        <f>"2차"</f>
        <v>2차</v>
      </c>
      <c r="D17819" s="1" t="str">
        <f>"0027C65122"</f>
        <v>0027C65122</v>
      </c>
      <c r="E17819" s="1" t="s">
        <v>10</v>
      </c>
      <c r="F17819" s="1" t="str">
        <f>"10.11.1.204"</f>
        <v>10.11.1.204</v>
      </c>
      <c r="G17819" s="1" t="str">
        <f>"0027C651"</f>
        <v>0027C651</v>
      </c>
      <c r="H17819" s="1" t="str">
        <f>"명륜지 26"</f>
        <v>명륜지 26</v>
      </c>
      <c r="I17819" s="1" t="s">
        <v>8</v>
      </c>
      <c r="J17819" s="1" t="str">
        <f>"59/59"</f>
        <v>59/59</v>
      </c>
      <c r="K17819" s="1" t="str">
        <f t="shared" si="890"/>
        <v>2026-07-29 13:18:01</v>
      </c>
      <c r="L17819" s="1" t="str">
        <f>"2017-06-28 16:09:12"</f>
        <v>2017-06-28 16:09:12</v>
      </c>
      <c r="M17819" s="1" t="s">
        <v>2</v>
      </c>
      <c r="N17819" s="1" t="s">
        <v>38</v>
      </c>
      <c r="O17819" s="1" t="s">
        <v>46</v>
      </c>
    </row>
    <row r="17820" spans="2:15" x14ac:dyDescent="0.3">
      <c r="B17820" s="1" t="s">
        <v>13</v>
      </c>
      <c r="C17820" s="1" t="str">
        <f>"2차"</f>
        <v>2차</v>
      </c>
      <c r="D17820" s="1" t="str">
        <f>"0027C65229"</f>
        <v>0027C65229</v>
      </c>
      <c r="E17820" s="1" t="s">
        <v>10</v>
      </c>
      <c r="F17820" s="1" t="str">
        <f>"10.11.1.210"</f>
        <v>10.11.1.210</v>
      </c>
      <c r="G17820" s="1" t="str">
        <f>"0027C652"</f>
        <v>0027C652</v>
      </c>
      <c r="H17820" s="1" t="str">
        <f>"명륜지 27R2R1"</f>
        <v>명륜지 27R2R1</v>
      </c>
      <c r="I17820" s="1" t="s">
        <v>8</v>
      </c>
      <c r="J17820" s="1" t="str">
        <f>"33/35"</f>
        <v>33/35</v>
      </c>
      <c r="K17820" s="1" t="str">
        <f t="shared" si="890"/>
        <v>2026-07-29 13:18:01</v>
      </c>
      <c r="L17820" s="1" t="str">
        <f>"2017-06-21 17:41:03"</f>
        <v>2017-06-21 17:41:03</v>
      </c>
      <c r="M17820" s="1" t="s">
        <v>2</v>
      </c>
      <c r="N17820" s="1" t="s">
        <v>38</v>
      </c>
      <c r="O17820" s="1" t="s">
        <v>46</v>
      </c>
    </row>
    <row r="17821" spans="2:15" x14ac:dyDescent="0.3">
      <c r="B17821" s="1" t="s">
        <v>13</v>
      </c>
      <c r="C17821" s="1" t="str">
        <f>"5-1차"</f>
        <v>5-1차</v>
      </c>
      <c r="D17821" s="1" t="str">
        <f>"0027C6635S"</f>
        <v>0027C6635S</v>
      </c>
      <c r="E17821" s="1" t="s">
        <v>10</v>
      </c>
      <c r="F17821" s="1" t="str">
        <f>"fde2:104:0:199:0:0:0:2"</f>
        <v>fde2:104:0:199:0:0:0:2</v>
      </c>
      <c r="G17821" s="1" t="str">
        <f>"0027C663"</f>
        <v>0027C663</v>
      </c>
      <c r="H17821" s="1" t="str">
        <f>"명륜지 27R2"</f>
        <v>명륜지 27R2</v>
      </c>
      <c r="I17821" s="1" t="s">
        <v>15</v>
      </c>
      <c r="J17821" s="1" t="str">
        <f>"44/44"</f>
        <v>44/44</v>
      </c>
      <c r="K17821" s="1" t="str">
        <f>"2026-07-29 14:20:19"</f>
        <v>2026-07-29 14:20:19</v>
      </c>
      <c r="L17821" s="1" t="str">
        <f>"2022-11-18 16:14:38"</f>
        <v>2022-11-18 16:14:38</v>
      </c>
      <c r="M17821" s="1" t="s">
        <v>42</v>
      </c>
      <c r="N17821" s="1" t="s">
        <v>38</v>
      </c>
      <c r="O17821" s="1" t="s">
        <v>46</v>
      </c>
    </row>
    <row r="17822" spans="2:15" x14ac:dyDescent="0.3">
      <c r="B17822" s="1" t="s">
        <v>13</v>
      </c>
      <c r="C17822" s="1" t="s">
        <v>16</v>
      </c>
      <c r="D17822" s="1" t="str">
        <f>"0027C7155S"</f>
        <v>0027C7155S</v>
      </c>
      <c r="E17822" s="1" t="s">
        <v>10</v>
      </c>
      <c r="F17822" s="1" t="str">
        <f>"fde1:103:4:567a:0:0:0:2"</f>
        <v>fde1:103:4:567a:0:0:0:2</v>
      </c>
      <c r="G17822" s="1" t="str">
        <f>"0027C715"</f>
        <v>0027C715</v>
      </c>
      <c r="H17822" s="1" t="str">
        <f>"명륜지 24L2A3"</f>
        <v>명륜지 24L2A3</v>
      </c>
      <c r="I17822" s="1" t="s">
        <v>15</v>
      </c>
      <c r="J17822" s="1" t="str">
        <f>"39/40"</f>
        <v>39/40</v>
      </c>
      <c r="K17822" s="1" t="str">
        <f>"2026-07-29 14:20:19"</f>
        <v>2026-07-29 14:20:19</v>
      </c>
      <c r="L17822" s="1" t="str">
        <f>"2023-08-03 15:38:11"</f>
        <v>2023-08-03 15:38:11</v>
      </c>
      <c r="M17822" s="1" t="s">
        <v>4</v>
      </c>
      <c r="N17822" s="1" t="s">
        <v>38</v>
      </c>
      <c r="O17822" s="1" t="s">
        <v>46</v>
      </c>
    </row>
    <row r="17823" spans="2:15" x14ac:dyDescent="0.3">
      <c r="B17823" s="1" t="s">
        <v>13</v>
      </c>
      <c r="C17823" s="1" t="str">
        <f>"2차"</f>
        <v>2차</v>
      </c>
      <c r="D17823" s="1" t="str">
        <f>"0027C74121"</f>
        <v>0027C74121</v>
      </c>
      <c r="E17823" s="1" t="s">
        <v>10</v>
      </c>
      <c r="F17823" s="1" t="str">
        <f>"10.11.1.203"</f>
        <v>10.11.1.203</v>
      </c>
      <c r="G17823" s="1" t="str">
        <f>"0027C741"</f>
        <v>0027C741</v>
      </c>
      <c r="H17823" s="1" t="str">
        <f>"명륜지 25H1"</f>
        <v>명륜지 25H1</v>
      </c>
      <c r="I17823" s="1" t="s">
        <v>8</v>
      </c>
      <c r="J17823" s="1" t="str">
        <f>"8/8"</f>
        <v>8/8</v>
      </c>
      <c r="K17823" s="1" t="str">
        <f>"2026-07-29 13:18:01"</f>
        <v>2026-07-29 13:18:01</v>
      </c>
      <c r="L17823" s="1" t="str">
        <f>"2017-06-28 16:16:56"</f>
        <v>2017-06-28 16:16:56</v>
      </c>
      <c r="M17823" s="1" t="s">
        <v>2</v>
      </c>
      <c r="N17823" s="1" t="s">
        <v>38</v>
      </c>
      <c r="O17823" s="1" t="s">
        <v>46</v>
      </c>
    </row>
    <row r="17824" spans="2:15" x14ac:dyDescent="0.3">
      <c r="B17824" s="1" t="s">
        <v>13</v>
      </c>
      <c r="C17824" s="1" t="str">
        <f>"1차"</f>
        <v>1차</v>
      </c>
      <c r="D17824" s="1" t="str">
        <f>"0027C74300"</f>
        <v>0027C74300</v>
      </c>
      <c r="E17824" s="1" t="s">
        <v>10</v>
      </c>
      <c r="F17824" s="1" t="str">
        <f>"10.89.1.44"</f>
        <v>10.89.1.44</v>
      </c>
      <c r="G17824" s="1" t="str">
        <f>"0027C743"</f>
        <v>0027C743</v>
      </c>
      <c r="H17824" s="1" t="str">
        <f>"명륜지 27R2R2"</f>
        <v>명륜지 27R2R2</v>
      </c>
      <c r="I17824" s="1" t="s">
        <v>8</v>
      </c>
      <c r="J17824" s="1" t="str">
        <f>"7/8"</f>
        <v>7/8</v>
      </c>
      <c r="K17824" s="1" t="str">
        <f>"2026-07-29 13:18:01"</f>
        <v>2026-07-29 13:18:01</v>
      </c>
      <c r="L17824" s="1" t="str">
        <f>"2014-12-22 12:45:25"</f>
        <v>2014-12-22 12:45:25</v>
      </c>
      <c r="M17824" s="1" t="s">
        <v>45</v>
      </c>
      <c r="N17824" s="1" t="s">
        <v>38</v>
      </c>
      <c r="O17824" s="1" t="s">
        <v>46</v>
      </c>
    </row>
    <row r="17825" spans="2:15" x14ac:dyDescent="0.3">
      <c r="B17825" s="1" t="s">
        <v>13</v>
      </c>
      <c r="C17825" s="1" t="str">
        <f>"2차"</f>
        <v>2차</v>
      </c>
      <c r="D17825" s="1" t="str">
        <f>"0027C74529"</f>
        <v>0027C74529</v>
      </c>
      <c r="E17825" s="1" t="s">
        <v>18</v>
      </c>
      <c r="F17825" s="1" t="str">
        <f>"10.11.1.218"</f>
        <v>10.11.1.218</v>
      </c>
      <c r="G17825" s="1" t="str">
        <f>"0027C745"</f>
        <v>0027C745</v>
      </c>
      <c r="H17825" s="1" t="str">
        <f>"명륜지 27R2R4"</f>
        <v>명륜지 27R2R4</v>
      </c>
      <c r="I17825" s="1" t="s">
        <v>8</v>
      </c>
      <c r="J17825" s="1" t="str">
        <f>"0/83"</f>
        <v>0/83</v>
      </c>
      <c r="K17825" s="1" t="str">
        <f>"2026-02-07 07:21:04"</f>
        <v>2026-02-07 07:21:04</v>
      </c>
      <c r="L17825" s="1" t="str">
        <f>"2017-06-21 17:41:02"</f>
        <v>2017-06-21 17:41:02</v>
      </c>
      <c r="M17825" s="1" t="s">
        <v>2</v>
      </c>
      <c r="N17825" s="1" t="s">
        <v>38</v>
      </c>
      <c r="O17825" s="1" t="s">
        <v>46</v>
      </c>
    </row>
    <row r="17826" spans="2:15" x14ac:dyDescent="0.3">
      <c r="B17826" s="1" t="s">
        <v>13</v>
      </c>
      <c r="C17826" s="1" t="s">
        <v>16</v>
      </c>
      <c r="D17826" s="1" t="str">
        <f>"0027C8215S"</f>
        <v>0027C8215S</v>
      </c>
      <c r="E17826" s="1" t="s">
        <v>10</v>
      </c>
      <c r="F17826" s="1" t="str">
        <f>"fde3:102:1304:d00:0:0:0:2"</f>
        <v>fde3:102:1304:d00:0:0:0:2</v>
      </c>
      <c r="G17826" s="1" t="str">
        <f>"0027C821"</f>
        <v>0027C821</v>
      </c>
      <c r="H17826" s="1" t="str">
        <f>"명륜지 21"</f>
        <v>명륜지 21</v>
      </c>
      <c r="I17826" s="1" t="s">
        <v>15</v>
      </c>
      <c r="J17826" s="1" t="str">
        <f>"59/60"</f>
        <v>59/60</v>
      </c>
      <c r="K17826" s="1" t="str">
        <f>"2026-07-29 14:20:20"</f>
        <v>2026-07-29 14:20:20</v>
      </c>
      <c r="L17826" s="1" t="str">
        <f>"2023-08-01 14:17:43"</f>
        <v>2023-08-01 14:17:43</v>
      </c>
      <c r="M17826" s="1" t="s">
        <v>45</v>
      </c>
      <c r="N17826" s="1" t="s">
        <v>38</v>
      </c>
      <c r="O17826" s="1" t="s">
        <v>46</v>
      </c>
    </row>
    <row r="17827" spans="2:15" x14ac:dyDescent="0.3">
      <c r="B17827" s="1" t="s">
        <v>13</v>
      </c>
      <c r="C17827" s="1" t="s">
        <v>16</v>
      </c>
      <c r="D17827" s="1" t="str">
        <f>"0027C8225S"</f>
        <v>0027C8225S</v>
      </c>
      <c r="E17827" s="1" t="s">
        <v>10</v>
      </c>
      <c r="F17827" s="1" t="str">
        <f>"fde3:102:1304:d00:0:0:0:3"</f>
        <v>fde3:102:1304:d00:0:0:0:3</v>
      </c>
      <c r="G17827" s="1" t="str">
        <f>"0027C822"</f>
        <v>0027C822</v>
      </c>
      <c r="H17827" s="1" t="str">
        <f>"명륜지 22"</f>
        <v>명륜지 22</v>
      </c>
      <c r="I17827" s="1" t="s">
        <v>15</v>
      </c>
      <c r="J17827" s="1" t="str">
        <f>"59/59"</f>
        <v>59/59</v>
      </c>
      <c r="K17827" s="1" t="str">
        <f>"2026-07-29 14:20:00"</f>
        <v>2026-07-29 14:20:00</v>
      </c>
      <c r="L17827" s="1" t="str">
        <f>"2023-08-01 14:29:14"</f>
        <v>2023-08-01 14:29:14</v>
      </c>
      <c r="M17827" s="1" t="s">
        <v>45</v>
      </c>
      <c r="N17827" s="1" t="s">
        <v>38</v>
      </c>
      <c r="O17827" s="1" t="s">
        <v>46</v>
      </c>
    </row>
    <row r="17828" spans="2:15" x14ac:dyDescent="0.3">
      <c r="B17828" s="1" t="s">
        <v>13</v>
      </c>
      <c r="C17828" s="1" t="str">
        <f>"2차"</f>
        <v>2차</v>
      </c>
      <c r="D17828" s="1" t="str">
        <f>"0027C84122"</f>
        <v>0027C84122</v>
      </c>
      <c r="E17828" s="1" t="s">
        <v>10</v>
      </c>
      <c r="F17828" s="1" t="str">
        <f>"10.11.8.100"</f>
        <v>10.11.8.100</v>
      </c>
      <c r="G17828" s="1" t="str">
        <f>"0027C841"</f>
        <v>0027C841</v>
      </c>
      <c r="H17828" s="1" t="str">
        <f>"혜화지 36"</f>
        <v>혜화지 36</v>
      </c>
      <c r="I17828" s="1" t="s">
        <v>8</v>
      </c>
      <c r="J17828" s="1" t="str">
        <f>"73/73"</f>
        <v>73/73</v>
      </c>
      <c r="K17828" s="1" t="str">
        <f>"2026-07-29 13:18:01"</f>
        <v>2026-07-29 13:18:01</v>
      </c>
      <c r="L17828" s="1" t="str">
        <f>"2017-06-28 11:51:24"</f>
        <v>2017-06-28 11:51:24</v>
      </c>
      <c r="M17828" s="1" t="s">
        <v>2</v>
      </c>
      <c r="N17828" s="1" t="s">
        <v>38</v>
      </c>
      <c r="O17828" s="1" t="s">
        <v>46</v>
      </c>
    </row>
    <row r="17829" spans="2:15" x14ac:dyDescent="0.3">
      <c r="B17829" s="1" t="s">
        <v>13</v>
      </c>
      <c r="C17829" s="1" t="str">
        <f>"2차"</f>
        <v>2차</v>
      </c>
      <c r="D17829" s="1" t="str">
        <f>"0027C85329"</f>
        <v>0027C85329</v>
      </c>
      <c r="E17829" s="1" t="s">
        <v>10</v>
      </c>
      <c r="F17829" s="1" t="str">
        <f>"10.11.1.226"</f>
        <v>10.11.1.226</v>
      </c>
      <c r="G17829" s="1" t="str">
        <f>"0027C853"</f>
        <v>0027C853</v>
      </c>
      <c r="H17829" s="1" t="str">
        <f>"명륜지 27R4"</f>
        <v>명륜지 27R4</v>
      </c>
      <c r="I17829" s="1" t="s">
        <v>8</v>
      </c>
      <c r="J17829" s="1" t="str">
        <f>"21/22"</f>
        <v>21/22</v>
      </c>
      <c r="K17829" s="1" t="str">
        <f>"2026-07-29 13:18:01"</f>
        <v>2026-07-29 13:18:01</v>
      </c>
      <c r="L17829" s="1" t="str">
        <f>"2017-06-21 17:51:01"</f>
        <v>2017-06-21 17:51:01</v>
      </c>
      <c r="M17829" s="1" t="s">
        <v>2</v>
      </c>
      <c r="N17829" s="1" t="s">
        <v>38</v>
      </c>
      <c r="O17829" s="1" t="s">
        <v>46</v>
      </c>
    </row>
    <row r="17830" spans="2:15" x14ac:dyDescent="0.3">
      <c r="B17830" s="1" t="s">
        <v>13</v>
      </c>
      <c r="C17830" s="1" t="s">
        <v>16</v>
      </c>
      <c r="D17830" s="1" t="str">
        <f>"0027C9125S"</f>
        <v>0027C9125S</v>
      </c>
      <c r="E17830" s="1" t="s">
        <v>10</v>
      </c>
      <c r="F17830" s="1" t="str">
        <f>"fde1:103:4:56ae:0:0:0:2"</f>
        <v>fde1:103:4:56ae:0:0:0:2</v>
      </c>
      <c r="G17830" s="1" t="str">
        <f>"0027C912"</f>
        <v>0027C912</v>
      </c>
      <c r="H17830" s="1" t="str">
        <f>"명륜지 19L1"</f>
        <v>명륜지 19L1</v>
      </c>
      <c r="I17830" s="1" t="s">
        <v>15</v>
      </c>
      <c r="J17830" s="1" t="str">
        <f>"104/113"</f>
        <v>104/113</v>
      </c>
      <c r="K17830" s="1" t="str">
        <f>"2026-07-29 14:20:18"</f>
        <v>2026-07-29 14:20:18</v>
      </c>
      <c r="L17830" s="1" t="str">
        <f>"2023-08-03 15:48:58"</f>
        <v>2023-08-03 15:48:58</v>
      </c>
      <c r="M17830" s="1" t="s">
        <v>4</v>
      </c>
      <c r="N17830" s="1" t="s">
        <v>38</v>
      </c>
      <c r="O17830" s="1" t="s">
        <v>46</v>
      </c>
    </row>
    <row r="17831" spans="2:15" x14ac:dyDescent="0.3">
      <c r="B17831" s="1" t="s">
        <v>13</v>
      </c>
      <c r="C17831" s="1" t="s">
        <v>16</v>
      </c>
      <c r="D17831" s="1" t="str">
        <f>"0027C9225S"</f>
        <v>0027C9225S</v>
      </c>
      <c r="E17831" s="1" t="s">
        <v>10</v>
      </c>
      <c r="F17831" s="1" t="str">
        <f>"fde1:103:4:559b:0:0:0:2"</f>
        <v>fde1:103:4:559b:0:0:0:2</v>
      </c>
      <c r="G17831" s="1" t="str">
        <f>"0027C922"</f>
        <v>0027C922</v>
      </c>
      <c r="H17831" s="1" t="str">
        <f>"명륜지 20R1"</f>
        <v>명륜지 20R1</v>
      </c>
      <c r="I17831" s="1" t="s">
        <v>15</v>
      </c>
      <c r="J17831" s="1" t="str">
        <f>"48/48"</f>
        <v>48/48</v>
      </c>
      <c r="K17831" s="1" t="str">
        <f>"2026-07-29 14:20:18"</f>
        <v>2026-07-29 14:20:18</v>
      </c>
      <c r="L17831" s="1" t="str">
        <f>"2023-08-03 16:32:43"</f>
        <v>2023-08-03 16:32:43</v>
      </c>
      <c r="M17831" s="1" t="s">
        <v>4</v>
      </c>
      <c r="N17831" s="1" t="s">
        <v>38</v>
      </c>
      <c r="O17831" s="1" t="s">
        <v>46</v>
      </c>
    </row>
    <row r="17832" spans="2:15" x14ac:dyDescent="0.3">
      <c r="B17832" s="1" t="s">
        <v>13</v>
      </c>
      <c r="C17832" s="1" t="s">
        <v>16</v>
      </c>
      <c r="D17832" s="1" t="str">
        <f>"0027C9235S"</f>
        <v>0027C9235S</v>
      </c>
      <c r="E17832" s="1" t="s">
        <v>10</v>
      </c>
      <c r="F17832" s="1" t="str">
        <f>"fde1:103:4:5897:0:0:0:2"</f>
        <v>fde1:103:4:5897:0:0:0:2</v>
      </c>
      <c r="G17832" s="1" t="str">
        <f>"0027C923"</f>
        <v>0027C923</v>
      </c>
      <c r="H17832" s="1" t="str">
        <f>"명륜지 20R2H1"</f>
        <v>명륜지 20R2H1</v>
      </c>
      <c r="I17832" s="1" t="s">
        <v>15</v>
      </c>
      <c r="J17832" s="1" t="str">
        <f>"49/49"</f>
        <v>49/49</v>
      </c>
      <c r="K17832" s="1" t="str">
        <f>"2026-07-29 14:20:19"</f>
        <v>2026-07-29 14:20:19</v>
      </c>
      <c r="L17832" s="1" t="str">
        <f>"2023-11-03 17:26:45"</f>
        <v>2023-11-03 17:26:45</v>
      </c>
      <c r="M17832" s="1" t="s">
        <v>4</v>
      </c>
      <c r="N17832" s="1" t="s">
        <v>38</v>
      </c>
      <c r="O17832" s="1" t="s">
        <v>46</v>
      </c>
    </row>
    <row r="17833" spans="2:15" x14ac:dyDescent="0.3">
      <c r="B17833" s="1" t="s">
        <v>13</v>
      </c>
      <c r="C17833" s="1" t="s">
        <v>16</v>
      </c>
      <c r="D17833" s="1" t="str">
        <f>"0027C9315S"</f>
        <v>0027C9315S</v>
      </c>
      <c r="E17833" s="1" t="s">
        <v>10</v>
      </c>
      <c r="F17833" s="1" t="str">
        <f>"fde1:103:4:915a:0:0:0:2"</f>
        <v>fde1:103:4:915a:0:0:0:2</v>
      </c>
      <c r="G17833" s="1" t="str">
        <f>"0027C931"</f>
        <v>0027C931</v>
      </c>
      <c r="H17833" s="1" t="str">
        <f>"명륜지 20R2"</f>
        <v>명륜지 20R2</v>
      </c>
      <c r="I17833" s="1" t="s">
        <v>15</v>
      </c>
      <c r="J17833" s="1" t="str">
        <f>"167/167"</f>
        <v>167/167</v>
      </c>
      <c r="K17833" s="1" t="str">
        <f>"2026-07-29 14:20:19"</f>
        <v>2026-07-29 14:20:19</v>
      </c>
      <c r="L17833" s="1" t="str">
        <f>"2023-10-06 11:04:38"</f>
        <v>2023-10-06 11:04:38</v>
      </c>
      <c r="M17833" s="1" t="s">
        <v>4</v>
      </c>
      <c r="N17833" s="1" t="s">
        <v>38</v>
      </c>
      <c r="O17833" s="1" t="s">
        <v>46</v>
      </c>
    </row>
    <row r="17834" spans="2:15" x14ac:dyDescent="0.3">
      <c r="B17834" s="1" t="s">
        <v>13</v>
      </c>
      <c r="C17834" s="1" t="str">
        <f>"2차"</f>
        <v>2차</v>
      </c>
      <c r="D17834" s="1" t="str">
        <f>"0027C94120"</f>
        <v>0027C94120</v>
      </c>
      <c r="E17834" s="1" t="s">
        <v>10</v>
      </c>
      <c r="F17834" s="1" t="str">
        <f>"10.11.8.98"</f>
        <v>10.11.8.98</v>
      </c>
      <c r="G17834" s="1" t="str">
        <f>"0027C941"</f>
        <v>0027C941</v>
      </c>
      <c r="H17834" s="1" t="str">
        <f>"혜화지 35"</f>
        <v>혜화지 35</v>
      </c>
      <c r="I17834" s="1" t="s">
        <v>8</v>
      </c>
      <c r="J17834" s="1" t="str">
        <f>"79/81"</f>
        <v>79/81</v>
      </c>
      <c r="K17834" s="1" t="str">
        <f>"2026-07-29 13:18:01"</f>
        <v>2026-07-29 13:18:01</v>
      </c>
      <c r="L17834" s="1" t="str">
        <f>"2017-06-28 11:43:38"</f>
        <v>2017-06-28 11:43:38</v>
      </c>
      <c r="M17834" s="1" t="s">
        <v>2</v>
      </c>
      <c r="N17834" s="1" t="s">
        <v>38</v>
      </c>
      <c r="O17834" s="1" t="s">
        <v>46</v>
      </c>
    </row>
    <row r="17835" spans="2:15" x14ac:dyDescent="0.3">
      <c r="B17835" s="1" t="s">
        <v>13</v>
      </c>
      <c r="C17835" s="1" t="str">
        <f>"2차"</f>
        <v>2차</v>
      </c>
      <c r="D17835" s="1" t="str">
        <f>"0027C94321"</f>
        <v>0027C94321</v>
      </c>
      <c r="E17835" s="1" t="s">
        <v>10</v>
      </c>
      <c r="F17835" s="1" t="str">
        <f>"10.11.8.99"</f>
        <v>10.11.8.99</v>
      </c>
      <c r="G17835" s="1" t="str">
        <f>"0027C943"</f>
        <v>0027C943</v>
      </c>
      <c r="H17835" s="1" t="str">
        <f>"혜화지 34"</f>
        <v>혜화지 34</v>
      </c>
      <c r="I17835" s="1" t="s">
        <v>8</v>
      </c>
      <c r="J17835" s="1" t="str">
        <f>"39/39"</f>
        <v>39/39</v>
      </c>
      <c r="K17835" s="1" t="str">
        <f>"2026-07-29 13:18:01"</f>
        <v>2026-07-29 13:18:01</v>
      </c>
      <c r="L17835" s="1" t="str">
        <f>"2017-06-28 11:48:23"</f>
        <v>2017-06-28 11:48:23</v>
      </c>
      <c r="M17835" s="1" t="s">
        <v>2</v>
      </c>
      <c r="N17835" s="1" t="s">
        <v>38</v>
      </c>
      <c r="O17835" s="1" t="s">
        <v>46</v>
      </c>
    </row>
    <row r="17836" spans="2:15" x14ac:dyDescent="0.3">
      <c r="B17836" s="1" t="s">
        <v>13</v>
      </c>
      <c r="C17836" s="1" t="str">
        <f>"2차"</f>
        <v>2차</v>
      </c>
      <c r="D17836" s="1" t="str">
        <f>"0027C96529"</f>
        <v>0027C96529</v>
      </c>
      <c r="E17836" s="1" t="s">
        <v>10</v>
      </c>
      <c r="F17836" s="1" t="str">
        <f>"10.11.1.234"</f>
        <v>10.11.1.234</v>
      </c>
      <c r="G17836" s="1" t="str">
        <f>"0027C965"</f>
        <v>0027C965</v>
      </c>
      <c r="H17836" s="1" t="str">
        <f>"명륜지 27R6"</f>
        <v>명륜지 27R6</v>
      </c>
      <c r="I17836" s="1" t="s">
        <v>8</v>
      </c>
      <c r="J17836" s="1" t="str">
        <f>"17/21"</f>
        <v>17/21</v>
      </c>
      <c r="K17836" s="1" t="str">
        <f>"2026-07-29 13:18:01"</f>
        <v>2026-07-29 13:18:01</v>
      </c>
      <c r="L17836" s="1" t="str">
        <f>"2017-06-21 17:41:04"</f>
        <v>2017-06-21 17:41:04</v>
      </c>
      <c r="M17836" s="1" t="s">
        <v>2</v>
      </c>
      <c r="N17836" s="1" t="s">
        <v>38</v>
      </c>
      <c r="O17836" s="1" t="s">
        <v>46</v>
      </c>
    </row>
    <row r="17837" spans="2:15" x14ac:dyDescent="0.3">
      <c r="B17837" s="1" t="s">
        <v>13</v>
      </c>
      <c r="C17837" s="1" t="s">
        <v>16</v>
      </c>
      <c r="D17837" s="1" t="str">
        <f>"0027D0035S"</f>
        <v>0027D0035S</v>
      </c>
      <c r="E17837" s="1" t="s">
        <v>10</v>
      </c>
      <c r="F17837" s="1" t="str">
        <f>"fde3:102:1304:1201:0:0:0:2"</f>
        <v>fde3:102:1304:1201:0:0:0:2</v>
      </c>
      <c r="G17837" s="1" t="str">
        <f>"0027D003"</f>
        <v>0027D003</v>
      </c>
      <c r="H17837" s="1" t="str">
        <f>"명륜지 17"</f>
        <v>명륜지 17</v>
      </c>
      <c r="I17837" s="1" t="s">
        <v>15</v>
      </c>
      <c r="J17837" s="1" t="str">
        <f>"100/102"</f>
        <v>100/102</v>
      </c>
      <c r="K17837" s="1" t="str">
        <f>"2026-07-29 14:20:19"</f>
        <v>2026-07-29 14:20:19</v>
      </c>
      <c r="L17837" s="1" t="str">
        <f>"2023-08-01 13:52:21"</f>
        <v>2023-08-01 13:52:21</v>
      </c>
      <c r="M17837" s="1" t="s">
        <v>45</v>
      </c>
      <c r="N17837" s="1" t="s">
        <v>38</v>
      </c>
      <c r="O17837" s="1" t="s">
        <v>46</v>
      </c>
    </row>
    <row r="17838" spans="2:15" x14ac:dyDescent="0.3">
      <c r="B17838" s="1" t="s">
        <v>13</v>
      </c>
      <c r="C17838" s="1" t="str">
        <f>"2차"</f>
        <v>2차</v>
      </c>
      <c r="D17838" s="1" t="str">
        <f>"0027D04221"</f>
        <v>0027D04221</v>
      </c>
      <c r="E17838" s="1" t="s">
        <v>10</v>
      </c>
      <c r="F17838" s="1" t="str">
        <f>"10.11.8.92"</f>
        <v>10.11.8.92</v>
      </c>
      <c r="G17838" s="1" t="str">
        <f>"0027D042"</f>
        <v>0027D042</v>
      </c>
      <c r="H17838" s="1" t="str">
        <f>"혜화지 33"</f>
        <v>혜화지 33</v>
      </c>
      <c r="I17838" s="1" t="s">
        <v>8</v>
      </c>
      <c r="J17838" s="1" t="str">
        <f>"95/95"</f>
        <v>95/95</v>
      </c>
      <c r="K17838" s="1" t="str">
        <f>"2026-07-29 13:18:01"</f>
        <v>2026-07-29 13:18:01</v>
      </c>
      <c r="L17838" s="1" t="str">
        <f>"2017-07-20 10:55:11"</f>
        <v>2017-07-20 10:55:11</v>
      </c>
      <c r="M17838" s="1" t="s">
        <v>2</v>
      </c>
      <c r="N17838" s="1" t="s">
        <v>38</v>
      </c>
      <c r="O17838" s="1" t="s">
        <v>46</v>
      </c>
    </row>
    <row r="17839" spans="2:15" x14ac:dyDescent="0.3">
      <c r="B17839" s="1" t="s">
        <v>13</v>
      </c>
      <c r="C17839" s="1" t="str">
        <f>"2차"</f>
        <v>2차</v>
      </c>
      <c r="D17839" s="1" t="str">
        <f>"0027D14120"</f>
        <v>0027D14120</v>
      </c>
      <c r="E17839" s="1" t="s">
        <v>10</v>
      </c>
      <c r="F17839" s="1" t="str">
        <f>"10.11.8.90"</f>
        <v>10.11.8.90</v>
      </c>
      <c r="G17839" s="1" t="str">
        <f>"0027D141"</f>
        <v>0027D141</v>
      </c>
      <c r="H17839" s="1" t="str">
        <f>"혜화지 32"</f>
        <v>혜화지 32</v>
      </c>
      <c r="I17839" s="1" t="s">
        <v>8</v>
      </c>
      <c r="J17839" s="1" t="str">
        <f>"15/15"</f>
        <v>15/15</v>
      </c>
      <c r="K17839" s="1" t="str">
        <f>"2026-07-29 13:18:01"</f>
        <v>2026-07-29 13:18:01</v>
      </c>
      <c r="L17839" s="1" t="str">
        <f>"2017-07-19 11:50:54"</f>
        <v>2017-07-19 11:50:54</v>
      </c>
      <c r="M17839" s="1" t="s">
        <v>2</v>
      </c>
      <c r="N17839" s="1" t="s">
        <v>38</v>
      </c>
      <c r="O17839" s="1" t="s">
        <v>46</v>
      </c>
    </row>
    <row r="17840" spans="2:15" x14ac:dyDescent="0.3">
      <c r="B17840" s="1" t="s">
        <v>13</v>
      </c>
      <c r="C17840" s="1" t="str">
        <f>"2차"</f>
        <v>2차</v>
      </c>
      <c r="D17840" s="1" t="str">
        <f>"0027D15420"</f>
        <v>0027D15420</v>
      </c>
      <c r="E17840" s="1" t="s">
        <v>10</v>
      </c>
      <c r="F17840" s="1" t="str">
        <f>"10.11.10.154"</f>
        <v>10.11.10.154</v>
      </c>
      <c r="G17840" s="1" t="str">
        <f>"0027D154"</f>
        <v>0027D154</v>
      </c>
      <c r="H17840" s="1" t="str">
        <f>"혜화지 30"</f>
        <v>혜화지 30</v>
      </c>
      <c r="I17840" s="1" t="s">
        <v>8</v>
      </c>
      <c r="J17840" s="1" t="str">
        <f>"11/11"</f>
        <v>11/11</v>
      </c>
      <c r="K17840" s="1" t="str">
        <f>"2026-07-29 13:18:01"</f>
        <v>2026-07-29 13:18:01</v>
      </c>
      <c r="L17840" s="1" t="str">
        <f>"2017-08-22 09:54:42"</f>
        <v>2017-08-22 09:54:42</v>
      </c>
      <c r="M17840" s="1" t="s">
        <v>2</v>
      </c>
      <c r="N17840" s="1" t="s">
        <v>38</v>
      </c>
      <c r="O17840" s="1" t="s">
        <v>46</v>
      </c>
    </row>
    <row r="17841" spans="2:15" x14ac:dyDescent="0.3">
      <c r="B17841" s="1" t="s">
        <v>13</v>
      </c>
      <c r="C17841" s="1" t="s">
        <v>16</v>
      </c>
      <c r="D17841" s="1" t="str">
        <f>"0027D2225S"</f>
        <v>0027D2225S</v>
      </c>
      <c r="E17841" s="1" t="s">
        <v>10</v>
      </c>
      <c r="F17841" s="1" t="str">
        <f>"fde3:102:1304:1001:0:0:0:2"</f>
        <v>fde3:102:1304:1001:0:0:0:2</v>
      </c>
      <c r="G17841" s="1" t="str">
        <f>"0027D222"</f>
        <v>0027D222</v>
      </c>
      <c r="H17841" s="1" t="str">
        <f>"혜화지 24"</f>
        <v>혜화지 24</v>
      </c>
      <c r="I17841" s="1" t="s">
        <v>15</v>
      </c>
      <c r="J17841" s="1" t="str">
        <f>"101/114"</f>
        <v>101/114</v>
      </c>
      <c r="K17841" s="1" t="str">
        <f>"2026-07-29 14:20:20"</f>
        <v>2026-07-29 14:20:20</v>
      </c>
      <c r="L17841" s="1" t="str">
        <f>"2023-08-01 15:29:43"</f>
        <v>2023-08-01 15:29:43</v>
      </c>
      <c r="M17841" s="1" t="s">
        <v>45</v>
      </c>
      <c r="N17841" s="1" t="s">
        <v>38</v>
      </c>
      <c r="O17841" s="1" t="s">
        <v>46</v>
      </c>
    </row>
    <row r="17842" spans="2:15" x14ac:dyDescent="0.3">
      <c r="B17842" s="1" t="s">
        <v>13</v>
      </c>
      <c r="C17842" s="1" t="s">
        <v>16</v>
      </c>
      <c r="D17842" s="1" t="str">
        <f>"0027D3135S"</f>
        <v>0027D3135S</v>
      </c>
      <c r="E17842" s="1" t="s">
        <v>10</v>
      </c>
      <c r="F17842" s="1" t="str">
        <f>"fde3:102:1304:1000:0:0:0:2"</f>
        <v>fde3:102:1304:1000:0:0:0:2</v>
      </c>
      <c r="G17842" s="1" t="str">
        <f>"0027D313"</f>
        <v>0027D313</v>
      </c>
      <c r="H17842" s="1" t="str">
        <f>"혜화지 22"</f>
        <v>혜화지 22</v>
      </c>
      <c r="I17842" s="1" t="s">
        <v>15</v>
      </c>
      <c r="J17842" s="1" t="str">
        <f>"100/100"</f>
        <v>100/100</v>
      </c>
      <c r="K17842" s="1" t="str">
        <f>"2026-07-29 14:20:00"</f>
        <v>2026-07-29 14:20:00</v>
      </c>
      <c r="L17842" s="1" t="str">
        <f>"2023-08-01 15:12:29"</f>
        <v>2023-08-01 15:12:29</v>
      </c>
      <c r="M17842" s="1" t="s">
        <v>45</v>
      </c>
      <c r="N17842" s="1" t="s">
        <v>38</v>
      </c>
      <c r="O17842" s="1" t="s">
        <v>46</v>
      </c>
    </row>
    <row r="17843" spans="2:15" x14ac:dyDescent="0.3">
      <c r="B17843" s="1" t="s">
        <v>13</v>
      </c>
      <c r="C17843" s="1" t="str">
        <f>"2차"</f>
        <v>2차</v>
      </c>
      <c r="D17843" s="1" t="str">
        <f>"0027D32229"</f>
        <v>0027D32229</v>
      </c>
      <c r="E17843" s="1" t="s">
        <v>10</v>
      </c>
      <c r="F17843" s="1" t="str">
        <f>"10.11.8.74"</f>
        <v>10.11.8.74</v>
      </c>
      <c r="G17843" s="1" t="str">
        <f>"0027D322"</f>
        <v>0027D322</v>
      </c>
      <c r="H17843" s="1" t="str">
        <f>"혜화지 20"</f>
        <v>혜화지 20</v>
      </c>
      <c r="I17843" s="1" t="s">
        <v>8</v>
      </c>
      <c r="J17843" s="1" t="str">
        <f>"2/2"</f>
        <v>2/2</v>
      </c>
      <c r="K17843" s="1" t="str">
        <f>"2026-07-29 13:18:01"</f>
        <v>2026-07-29 13:18:01</v>
      </c>
      <c r="L17843" s="1" t="str">
        <f>"2017-07-25 11:25:08"</f>
        <v>2017-07-25 11:25:08</v>
      </c>
      <c r="M17843" s="1" t="s">
        <v>2</v>
      </c>
      <c r="N17843" s="1" t="s">
        <v>38</v>
      </c>
      <c r="O17843" s="1" t="s">
        <v>46</v>
      </c>
    </row>
    <row r="17844" spans="2:15" x14ac:dyDescent="0.3">
      <c r="B17844" s="1" t="s">
        <v>13</v>
      </c>
      <c r="C17844" s="1" t="str">
        <f>"2차"</f>
        <v>2차</v>
      </c>
      <c r="D17844" s="1" t="str">
        <f>"0027D33220"</f>
        <v>0027D33220</v>
      </c>
      <c r="E17844" s="1" t="s">
        <v>10</v>
      </c>
      <c r="F17844" s="1" t="str">
        <f>"10.11.8.82"</f>
        <v>10.11.8.82</v>
      </c>
      <c r="G17844" s="1" t="str">
        <f>"0027D332"</f>
        <v>0027D332</v>
      </c>
      <c r="H17844" s="1" t="str">
        <f>"혜화지 25"</f>
        <v>혜화지 25</v>
      </c>
      <c r="I17844" s="1" t="s">
        <v>8</v>
      </c>
      <c r="J17844" s="1" t="str">
        <f>"2/2"</f>
        <v>2/2</v>
      </c>
      <c r="K17844" s="1" t="str">
        <f>"2026-07-29 13:18:01"</f>
        <v>2026-07-29 13:18:01</v>
      </c>
      <c r="L17844" s="1" t="str">
        <f>"2017-07-25 11:36:08"</f>
        <v>2017-07-25 11:36:08</v>
      </c>
      <c r="M17844" s="1" t="s">
        <v>2</v>
      </c>
      <c r="N17844" s="1" t="s">
        <v>38</v>
      </c>
      <c r="O17844" s="1" t="s">
        <v>46</v>
      </c>
    </row>
    <row r="17845" spans="2:15" x14ac:dyDescent="0.3">
      <c r="B17845" s="1" t="s">
        <v>13</v>
      </c>
      <c r="C17845" s="1" t="str">
        <f>"4차"</f>
        <v>4차</v>
      </c>
      <c r="D17845" s="1" t="str">
        <f>"0027D34121"</f>
        <v>0027D34121</v>
      </c>
      <c r="E17845" s="1" t="s">
        <v>10</v>
      </c>
      <c r="F17845" s="1" t="str">
        <f>"10.11.8.83"</f>
        <v>10.11.8.83</v>
      </c>
      <c r="G17845" s="1" t="str">
        <f>"0027D341"</f>
        <v>0027D341</v>
      </c>
      <c r="H17845" s="1" t="str">
        <f>"혜화지 25R1"</f>
        <v>혜화지 25R1</v>
      </c>
      <c r="I17845" s="1" t="s">
        <v>8</v>
      </c>
      <c r="J17845" s="1" t="str">
        <f>"23/23"</f>
        <v>23/23</v>
      </c>
      <c r="K17845" s="1" t="str">
        <f>"2026-07-29 13:18:01"</f>
        <v>2026-07-29 13:18:01</v>
      </c>
      <c r="L17845" s="1" t="str">
        <f>"2017-08-02 14:13:01"</f>
        <v>2017-08-02 14:13:01</v>
      </c>
      <c r="M17845" s="1" t="s">
        <v>2</v>
      </c>
      <c r="N17845" s="1" t="s">
        <v>38</v>
      </c>
      <c r="O17845" s="1" t="s">
        <v>46</v>
      </c>
    </row>
    <row r="17846" spans="2:15" x14ac:dyDescent="0.3">
      <c r="B17846" s="1" t="s">
        <v>13</v>
      </c>
      <c r="C17846" s="1" t="str">
        <f>"2차"</f>
        <v>2차</v>
      </c>
      <c r="D17846" s="1" t="str">
        <f>"0027D34221"</f>
        <v>0027D34221</v>
      </c>
      <c r="E17846" s="1" t="s">
        <v>10</v>
      </c>
      <c r="F17846" s="1" t="str">
        <f>"10.11.8.35"</f>
        <v>10.11.8.35</v>
      </c>
      <c r="G17846" s="1" t="str">
        <f>"0027D342"</f>
        <v>0027D342</v>
      </c>
      <c r="H17846" s="1" t="str">
        <f>"혜화지 15R3L1"</f>
        <v>혜화지 15R3L1</v>
      </c>
      <c r="I17846" s="1" t="s">
        <v>8</v>
      </c>
      <c r="J17846" s="1" t="str">
        <f>"19/19"</f>
        <v>19/19</v>
      </c>
      <c r="K17846" s="1" t="str">
        <f>"2026-07-29 13:18:01"</f>
        <v>2026-07-29 13:18:01</v>
      </c>
      <c r="L17846" s="1" t="str">
        <f>"2017-06-28 18:01:41"</f>
        <v>2017-06-28 18:01:41</v>
      </c>
      <c r="M17846" s="1" t="s">
        <v>2</v>
      </c>
      <c r="N17846" s="1" t="s">
        <v>38</v>
      </c>
      <c r="O17846" s="1" t="s">
        <v>46</v>
      </c>
    </row>
    <row r="17847" spans="2:15" x14ac:dyDescent="0.3">
      <c r="B17847" s="1" t="s">
        <v>13</v>
      </c>
      <c r="C17847" s="1" t="str">
        <f>"2차"</f>
        <v>2차</v>
      </c>
      <c r="D17847" s="1" t="str">
        <f>"0027D36221"</f>
        <v>0027D36221</v>
      </c>
      <c r="E17847" s="1" t="s">
        <v>10</v>
      </c>
      <c r="F17847" s="1" t="str">
        <f>"10.11.8.43"</f>
        <v>10.11.8.43</v>
      </c>
      <c r="G17847" s="1" t="str">
        <f>"0027D362"</f>
        <v>0027D362</v>
      </c>
      <c r="H17847" s="1" t="str">
        <f>"혜화지 15R6"</f>
        <v>혜화지 15R6</v>
      </c>
      <c r="I17847" s="1" t="s">
        <v>8</v>
      </c>
      <c r="J17847" s="1" t="str">
        <f>"3/10"</f>
        <v>3/10</v>
      </c>
      <c r="K17847" s="1" t="str">
        <f>"2026-07-29 13:18:01"</f>
        <v>2026-07-29 13:18:01</v>
      </c>
      <c r="L17847" s="1" t="str">
        <f>"2017-07-19 15:13:57"</f>
        <v>2017-07-19 15:13:57</v>
      </c>
      <c r="M17847" s="1" t="s">
        <v>2</v>
      </c>
      <c r="N17847" s="1" t="s">
        <v>38</v>
      </c>
      <c r="O17847" s="1" t="s">
        <v>46</v>
      </c>
    </row>
    <row r="17848" spans="2:15" x14ac:dyDescent="0.3">
      <c r="B17848" s="1" t="s">
        <v>13</v>
      </c>
      <c r="C17848" s="1" t="s">
        <v>16</v>
      </c>
      <c r="D17848" s="1" t="str">
        <f>"0027D4015S"</f>
        <v>0027D4015S</v>
      </c>
      <c r="E17848" s="1" t="s">
        <v>10</v>
      </c>
      <c r="F17848" s="1" t="str">
        <f>"fde1:103:4:56cc:0:0:0:2"</f>
        <v>fde1:103:4:56cc:0:0:0:2</v>
      </c>
      <c r="G17848" s="1" t="str">
        <f>"0027D401"</f>
        <v>0027D401</v>
      </c>
      <c r="H17848" s="1" t="str">
        <f>"혜화지 19L2"</f>
        <v>혜화지 19L2</v>
      </c>
      <c r="I17848" s="1" t="s">
        <v>15</v>
      </c>
      <c r="J17848" s="1" t="str">
        <f>"81/81"</f>
        <v>81/81</v>
      </c>
      <c r="K17848" s="1" t="str">
        <f>"2026-07-29 14:20:19"</f>
        <v>2026-07-29 14:20:19</v>
      </c>
      <c r="L17848" s="1" t="str">
        <f>"2023-08-03 17:08:02"</f>
        <v>2023-08-03 17:08:02</v>
      </c>
      <c r="M17848" s="1" t="s">
        <v>4</v>
      </c>
      <c r="N17848" s="1" t="s">
        <v>38</v>
      </c>
      <c r="O17848" s="1" t="s">
        <v>46</v>
      </c>
    </row>
    <row r="17849" spans="2:15" x14ac:dyDescent="0.3">
      <c r="B17849" s="1" t="s">
        <v>13</v>
      </c>
      <c r="C17849" s="1" t="str">
        <f>"4차"</f>
        <v>4차</v>
      </c>
      <c r="D17849" s="1" t="str">
        <f>"0027D41120"</f>
        <v>0027D41120</v>
      </c>
      <c r="E17849" s="1" t="s">
        <v>10</v>
      </c>
      <c r="F17849" s="1" t="str">
        <f>"10.11.8.50"</f>
        <v>10.11.8.50</v>
      </c>
      <c r="G17849" s="1" t="str">
        <f>"0027D411"</f>
        <v>0027D411</v>
      </c>
      <c r="H17849" s="1" t="str">
        <f>"혜화지 19L1"</f>
        <v>혜화지 19L1</v>
      </c>
      <c r="I17849" s="1" t="s">
        <v>8</v>
      </c>
      <c r="J17849" s="1" t="str">
        <f>"33/33"</f>
        <v>33/33</v>
      </c>
      <c r="K17849" s="1" t="str">
        <f>"2026-07-29 13:18:01"</f>
        <v>2026-07-29 13:18:01</v>
      </c>
      <c r="L17849" s="1" t="str">
        <f>"2017-06-28 15:54:41"</f>
        <v>2017-06-28 15:54:41</v>
      </c>
      <c r="M17849" s="1" t="s">
        <v>2</v>
      </c>
      <c r="N17849" s="1" t="s">
        <v>38</v>
      </c>
      <c r="O17849" s="1" t="s">
        <v>46</v>
      </c>
    </row>
    <row r="17850" spans="2:15" x14ac:dyDescent="0.3">
      <c r="B17850" s="1" t="s">
        <v>13</v>
      </c>
      <c r="C17850" s="1" t="str">
        <f>"4차"</f>
        <v>4차</v>
      </c>
      <c r="D17850" s="1" t="str">
        <f>"0027D42321"</f>
        <v>0027D42321</v>
      </c>
      <c r="E17850" s="1" t="s">
        <v>10</v>
      </c>
      <c r="F17850" s="1" t="str">
        <f>"10.12.136.165"</f>
        <v>10.12.136.165</v>
      </c>
      <c r="G17850" s="1" t="str">
        <f>"0027D423"</f>
        <v>0027D423</v>
      </c>
      <c r="H17850" s="1" t="str">
        <f>"혜화지 19"</f>
        <v>혜화지 19</v>
      </c>
      <c r="I17850" s="1" t="s">
        <v>8</v>
      </c>
      <c r="J17850" s="1" t="str">
        <f>"7/7"</f>
        <v>7/7</v>
      </c>
      <c r="K17850" s="1" t="str">
        <f>"2026-07-29 13:18:02"</f>
        <v>2026-07-29 13:18:02</v>
      </c>
      <c r="L17850" s="1" t="str">
        <f>"2024-03-18 14:29:29"</f>
        <v>2024-03-18 14:29:29</v>
      </c>
      <c r="M17850" s="1" t="s">
        <v>0</v>
      </c>
      <c r="N17850" s="1" t="s">
        <v>38</v>
      </c>
      <c r="O17850" s="1" t="s">
        <v>46</v>
      </c>
    </row>
    <row r="17851" spans="2:15" x14ac:dyDescent="0.3">
      <c r="B17851" s="1" t="s">
        <v>13</v>
      </c>
      <c r="C17851" s="1" t="str">
        <f>"2차"</f>
        <v>2차</v>
      </c>
      <c r="D17851" s="1" t="str">
        <f>"0027D44120"</f>
        <v>0027D44120</v>
      </c>
      <c r="E17851" s="1" t="s">
        <v>10</v>
      </c>
      <c r="F17851" s="1" t="str">
        <f>"10.11.8.34"</f>
        <v>10.11.8.34</v>
      </c>
      <c r="G17851" s="1" t="str">
        <f>"0027D441"</f>
        <v>0027D441</v>
      </c>
      <c r="H17851" s="1" t="str">
        <f>"혜화지 15R3"</f>
        <v>혜화지 15R3</v>
      </c>
      <c r="I17851" s="1" t="s">
        <v>8</v>
      </c>
      <c r="J17851" s="1" t="str">
        <f>"23/23"</f>
        <v>23/23</v>
      </c>
      <c r="K17851" s="1" t="str">
        <f>"2026-07-29 13:18:01"</f>
        <v>2026-07-29 13:18:01</v>
      </c>
      <c r="L17851" s="1" t="str">
        <f>"2017-06-28 17:53:57"</f>
        <v>2017-06-28 17:53:57</v>
      </c>
      <c r="M17851" s="1" t="s">
        <v>2</v>
      </c>
      <c r="N17851" s="1" t="s">
        <v>38</v>
      </c>
      <c r="O17851" s="1" t="s">
        <v>46</v>
      </c>
    </row>
    <row r="17852" spans="2:15" x14ac:dyDescent="0.3">
      <c r="B17852" s="1" t="s">
        <v>13</v>
      </c>
      <c r="C17852" s="1" t="str">
        <f>"4차"</f>
        <v>4차</v>
      </c>
      <c r="D17852" s="1" t="str">
        <f>"0027D45120"</f>
        <v>0027D45120</v>
      </c>
      <c r="E17852" s="1" t="s">
        <v>10</v>
      </c>
      <c r="F17852" s="1" t="str">
        <f>"10.11.8.42"</f>
        <v>10.11.8.42</v>
      </c>
      <c r="G17852" s="1" t="str">
        <f>"0027D451"</f>
        <v>0027D451</v>
      </c>
      <c r="H17852" s="1" t="str">
        <f>"혜화지 15R4"</f>
        <v>혜화지 15R4</v>
      </c>
      <c r="I17852" s="1" t="s">
        <v>8</v>
      </c>
      <c r="J17852" s="1" t="str">
        <f>"17/17"</f>
        <v>17/17</v>
      </c>
      <c r="K17852" s="1" t="str">
        <f>"2026-07-29 13:18:01"</f>
        <v>2026-07-29 13:18:01</v>
      </c>
      <c r="L17852" s="1" t="str">
        <f>"2017-06-28 17:12:44"</f>
        <v>2017-06-28 17:12:44</v>
      </c>
      <c r="M17852" s="1" t="s">
        <v>2</v>
      </c>
      <c r="N17852" s="1" t="s">
        <v>38</v>
      </c>
      <c r="O17852" s="1" t="s">
        <v>46</v>
      </c>
    </row>
    <row r="17853" spans="2:15" x14ac:dyDescent="0.3">
      <c r="B17853" s="1" t="s">
        <v>13</v>
      </c>
      <c r="C17853" s="1" t="s">
        <v>16</v>
      </c>
      <c r="D17853" s="1" t="str">
        <f>"0027D5125S"</f>
        <v>0027D5125S</v>
      </c>
      <c r="E17853" s="1" t="s">
        <v>10</v>
      </c>
      <c r="F17853" s="1" t="str">
        <f>"fde3:102:1304:1001:0:0:0:3"</f>
        <v>fde3:102:1304:1001:0:0:0:3</v>
      </c>
      <c r="G17853" s="1" t="str">
        <f>"0027D512"</f>
        <v>0027D512</v>
      </c>
      <c r="H17853" s="1" t="str">
        <f>"혜화지 11L3H1"</f>
        <v>혜화지 11L3H1</v>
      </c>
      <c r="I17853" s="1" t="s">
        <v>15</v>
      </c>
      <c r="J17853" s="1" t="str">
        <f>"73/73"</f>
        <v>73/73</v>
      </c>
      <c r="K17853" s="1" t="str">
        <f>"2026-07-29 14:20:20"</f>
        <v>2026-07-29 14:20:20</v>
      </c>
      <c r="L17853" s="1" t="str">
        <f>"2023-08-01 15:57:33"</f>
        <v>2023-08-01 15:57:33</v>
      </c>
      <c r="M17853" s="1" t="s">
        <v>45</v>
      </c>
      <c r="N17853" s="1" t="s">
        <v>38</v>
      </c>
      <c r="O17853" s="1" t="s">
        <v>46</v>
      </c>
    </row>
    <row r="17854" spans="2:15" x14ac:dyDescent="0.3">
      <c r="B17854" s="1" t="s">
        <v>13</v>
      </c>
      <c r="C17854" s="1" t="s">
        <v>16</v>
      </c>
      <c r="D17854" s="1" t="str">
        <f>"0027D5215S"</f>
        <v>0027D5215S</v>
      </c>
      <c r="E17854" s="1" t="s">
        <v>10</v>
      </c>
      <c r="F17854" s="1" t="str">
        <f>"fde3:102:1304:f01:0:0:0:2"</f>
        <v>fde3:102:1304:f01:0:0:0:2</v>
      </c>
      <c r="G17854" s="1" t="str">
        <f>"0027D521"</f>
        <v>0027D521</v>
      </c>
      <c r="H17854" s="1" t="str">
        <f>"혜화지 18"</f>
        <v>혜화지 18</v>
      </c>
      <c r="I17854" s="1" t="s">
        <v>15</v>
      </c>
      <c r="J17854" s="1" t="str">
        <f>"95/95"</f>
        <v>95/95</v>
      </c>
      <c r="K17854" s="1" t="str">
        <f>"2026-07-29 14:20:20"</f>
        <v>2026-07-29 14:20:20</v>
      </c>
      <c r="L17854" s="1" t="str">
        <f>"2023-08-01 15:40:35"</f>
        <v>2023-08-01 15:40:35</v>
      </c>
      <c r="M17854" s="1" t="s">
        <v>45</v>
      </c>
      <c r="N17854" s="1" t="s">
        <v>38</v>
      </c>
      <c r="O17854" s="1" t="s">
        <v>46</v>
      </c>
    </row>
    <row r="17855" spans="2:15" x14ac:dyDescent="0.3">
      <c r="B17855" s="1" t="s">
        <v>13</v>
      </c>
      <c r="C17855" s="1" t="str">
        <f>"2차"</f>
        <v>2차</v>
      </c>
      <c r="D17855" s="1" t="str">
        <f>"0027D60129"</f>
        <v>0027D60129</v>
      </c>
      <c r="E17855" s="1" t="s">
        <v>10</v>
      </c>
      <c r="F17855" s="1" t="str">
        <f>"10.11.8.178"</f>
        <v>10.11.8.178</v>
      </c>
      <c r="G17855" s="1" t="str">
        <f>"0027D601"</f>
        <v>0027D601</v>
      </c>
      <c r="H17855" s="1" t="str">
        <f>"혜화지 8R1L1R2"</f>
        <v>혜화지 8R1L1R2</v>
      </c>
      <c r="I17855" s="1" t="s">
        <v>8</v>
      </c>
      <c r="J17855" s="1" t="str">
        <f>"22/23"</f>
        <v>22/23</v>
      </c>
      <c r="K17855" s="1" t="str">
        <f>"2026-07-29 13:18:01"</f>
        <v>2026-07-29 13:18:01</v>
      </c>
      <c r="L17855" s="1" t="str">
        <f>"2017-06-22 10:56:53"</f>
        <v>2017-06-22 10:56:53</v>
      </c>
      <c r="M17855" s="1" t="s">
        <v>2</v>
      </c>
      <c r="N17855" s="1" t="s">
        <v>38</v>
      </c>
      <c r="O17855" s="1" t="s">
        <v>46</v>
      </c>
    </row>
    <row r="17856" spans="2:15" x14ac:dyDescent="0.3">
      <c r="B17856" s="1" t="s">
        <v>13</v>
      </c>
      <c r="C17856" s="1" t="str">
        <f>"1차"</f>
        <v>1차</v>
      </c>
      <c r="D17856" s="1" t="str">
        <f>"0027D61200"</f>
        <v>0027D61200</v>
      </c>
      <c r="E17856" s="1" t="s">
        <v>10</v>
      </c>
      <c r="F17856" s="1" t="str">
        <f>"10.89.0.216"</f>
        <v>10.89.0.216</v>
      </c>
      <c r="G17856" s="1" t="str">
        <f>"0027D612"</f>
        <v>0027D612</v>
      </c>
      <c r="H17856" s="1" t="str">
        <f>"혜화지 11L2"</f>
        <v>혜화지 11L2</v>
      </c>
      <c r="I17856" s="1" t="s">
        <v>8</v>
      </c>
      <c r="J17856" s="1" t="str">
        <f>"7/7"</f>
        <v>7/7</v>
      </c>
      <c r="K17856" s="1" t="str">
        <f>"2026-07-29 13:18:01"</f>
        <v>2026-07-29 13:18:01</v>
      </c>
      <c r="L17856" s="1" t="str">
        <f>"2014-10-23 00:14:17"</f>
        <v>2014-10-23 00:14:17</v>
      </c>
      <c r="M17856" s="1" t="s">
        <v>45</v>
      </c>
      <c r="N17856" s="1" t="s">
        <v>38</v>
      </c>
      <c r="O17856" s="1" t="s">
        <v>46</v>
      </c>
    </row>
    <row r="17857" spans="2:15" x14ac:dyDescent="0.3">
      <c r="B17857" s="1" t="s">
        <v>13</v>
      </c>
      <c r="C17857" s="1" t="s">
        <v>16</v>
      </c>
      <c r="D17857" s="1" t="str">
        <f>"0027D6225S"</f>
        <v>0027D6225S</v>
      </c>
      <c r="E17857" s="1" t="s">
        <v>10</v>
      </c>
      <c r="F17857" s="1" t="str">
        <f>"fde1:103:4:56a3:0:0:0:2"</f>
        <v>fde1:103:4:56a3:0:0:0:2</v>
      </c>
      <c r="G17857" s="1" t="str">
        <f>"0027D622"</f>
        <v>0027D622</v>
      </c>
      <c r="H17857" s="1" t="str">
        <f>"혜화지 14H1"</f>
        <v>혜화지 14H1</v>
      </c>
      <c r="I17857" s="1" t="s">
        <v>15</v>
      </c>
      <c r="J17857" s="1" t="str">
        <f>"26/26"</f>
        <v>26/26</v>
      </c>
      <c r="K17857" s="1" t="str">
        <f>"2026-07-29 14:20:20"</f>
        <v>2026-07-29 14:20:20</v>
      </c>
      <c r="L17857" s="1" t="str">
        <f>"2023-08-03 17:16:13"</f>
        <v>2023-08-03 17:16:13</v>
      </c>
      <c r="M17857" s="1" t="s">
        <v>4</v>
      </c>
      <c r="N17857" s="1" t="s">
        <v>38</v>
      </c>
      <c r="O17857" s="1" t="s">
        <v>46</v>
      </c>
    </row>
    <row r="17858" spans="2:15" x14ac:dyDescent="0.3">
      <c r="B17858" s="1" t="s">
        <v>13</v>
      </c>
      <c r="C17858" s="1" t="s">
        <v>16</v>
      </c>
      <c r="D17858" s="1" t="str">
        <f>"0027D7215S"</f>
        <v>0027D7215S</v>
      </c>
      <c r="E17858" s="1" t="s">
        <v>10</v>
      </c>
      <c r="F17858" s="1" t="str">
        <f>"fde3:102:1304:1203:0:0:0:2"</f>
        <v>fde3:102:1304:1203:0:0:0:2</v>
      </c>
      <c r="G17858" s="1" t="str">
        <f>"0027D721"</f>
        <v>0027D721</v>
      </c>
      <c r="H17858" s="1" t="str">
        <f>"혜화지 12"</f>
        <v>혜화지 12</v>
      </c>
      <c r="I17858" s="1" t="s">
        <v>15</v>
      </c>
      <c r="J17858" s="1" t="str">
        <f>"59/60"</f>
        <v>59/60</v>
      </c>
      <c r="K17858" s="1" t="str">
        <f>"2026-07-28 20:03:48"</f>
        <v>2026-07-28 20:03:48</v>
      </c>
      <c r="L17858" s="1" t="str">
        <f>"2023-08-02 12:16:05"</f>
        <v>2023-08-02 12:16:05</v>
      </c>
      <c r="M17858" s="1" t="s">
        <v>45</v>
      </c>
      <c r="N17858" s="1" t="s">
        <v>38</v>
      </c>
      <c r="O17858" s="1" t="s">
        <v>46</v>
      </c>
    </row>
    <row r="17859" spans="2:15" x14ac:dyDescent="0.3">
      <c r="B17859" s="1" t="s">
        <v>13</v>
      </c>
      <c r="C17859" s="1" t="str">
        <f>"3차"</f>
        <v>3차</v>
      </c>
      <c r="D17859" s="1" t="str">
        <f>"0027D75239"</f>
        <v>0027D75239</v>
      </c>
      <c r="E17859" s="1" t="s">
        <v>10</v>
      </c>
      <c r="F17859" s="1" t="str">
        <f>"10.12.131.226"</f>
        <v>10.12.131.226</v>
      </c>
      <c r="G17859" s="1" t="str">
        <f>"0027D752"</f>
        <v>0027D752</v>
      </c>
      <c r="H17859" s="1" t="str">
        <f>"보성로 5"</f>
        <v>보성로 5</v>
      </c>
      <c r="I17859" s="1" t="s">
        <v>17</v>
      </c>
      <c r="J17859" s="1" t="str">
        <f>"31/32"</f>
        <v>31/32</v>
      </c>
      <c r="K17859" s="1" t="str">
        <f>"2026-07-29 13:18:02"</f>
        <v>2026-07-29 13:18:02</v>
      </c>
      <c r="L17859" s="1" t="str">
        <f>"2018-10-24 08:42:09"</f>
        <v>2018-10-24 08:42:09</v>
      </c>
      <c r="M17859" s="1" t="s">
        <v>0</v>
      </c>
      <c r="N17859" s="1" t="s">
        <v>38</v>
      </c>
      <c r="O17859" s="1" t="s">
        <v>46</v>
      </c>
    </row>
    <row r="17860" spans="2:15" x14ac:dyDescent="0.3">
      <c r="B17860" s="1" t="s">
        <v>13</v>
      </c>
      <c r="C17860" s="1" t="str">
        <f>"5-2차"</f>
        <v>5-2차</v>
      </c>
      <c r="D17860" s="1" t="str">
        <f>"0027D8415S"</f>
        <v>0027D8415S</v>
      </c>
      <c r="E17860" s="1" t="s">
        <v>10</v>
      </c>
      <c r="F17860" s="1" t="str">
        <f>"fde2:104:0:19c:0:0:0:2"</f>
        <v>fde2:104:0:19c:0:0:0:2</v>
      </c>
      <c r="G17860" s="1" t="str">
        <f>"0027D841"</f>
        <v>0027D841</v>
      </c>
      <c r="H17860" s="1" t="str">
        <f>"혜화지 13R1R2"</f>
        <v>혜화지 13R1R2</v>
      </c>
      <c r="I17860" s="1" t="s">
        <v>15</v>
      </c>
      <c r="J17860" s="1" t="str">
        <f>"8/8"</f>
        <v>8/8</v>
      </c>
      <c r="K17860" s="1" t="str">
        <f>"2026-07-29 14:20:20"</f>
        <v>2026-07-29 14:20:20</v>
      </c>
      <c r="L17860" s="1" t="str">
        <f>"2023-06-13 14:53:21"</f>
        <v>2023-06-13 14:53:21</v>
      </c>
      <c r="M17860" s="1" t="s">
        <v>42</v>
      </c>
      <c r="N17860" s="1" t="s">
        <v>38</v>
      </c>
      <c r="O17860" s="1" t="s">
        <v>46</v>
      </c>
    </row>
    <row r="17861" spans="2:15" x14ac:dyDescent="0.3">
      <c r="B17861" s="1" t="s">
        <v>13</v>
      </c>
      <c r="C17861" s="1" t="str">
        <f>"2차"</f>
        <v>2차</v>
      </c>
      <c r="D17861" s="1" t="str">
        <f>"0027D91129"</f>
        <v>0027D91129</v>
      </c>
      <c r="E17861" s="1" t="s">
        <v>10</v>
      </c>
      <c r="F17861" s="1" t="str">
        <f>"10.11.8.138"</f>
        <v>10.11.8.138</v>
      </c>
      <c r="G17861" s="1" t="str">
        <f>"0027D911"</f>
        <v>0027D911</v>
      </c>
      <c r="H17861" s="1" t="str">
        <f>"혜화지 6H1R3L5"</f>
        <v>혜화지 6H1R3L5</v>
      </c>
      <c r="I17861" s="1" t="s">
        <v>8</v>
      </c>
      <c r="J17861" s="1" t="str">
        <f>"96/96"</f>
        <v>96/96</v>
      </c>
      <c r="K17861" s="1" t="str">
        <f>"2026-07-29 13:18:01"</f>
        <v>2026-07-29 13:18:01</v>
      </c>
      <c r="L17861" s="1" t="str">
        <f>"2017-06-28 12:22:38"</f>
        <v>2017-06-28 12:22:38</v>
      </c>
      <c r="M17861" s="1" t="s">
        <v>2</v>
      </c>
      <c r="N17861" s="1" t="s">
        <v>38</v>
      </c>
      <c r="O17861" s="1" t="s">
        <v>46</v>
      </c>
    </row>
    <row r="17862" spans="2:15" x14ac:dyDescent="0.3">
      <c r="B17862" s="1" t="s">
        <v>13</v>
      </c>
      <c r="C17862" s="1" t="str">
        <f>"2차"</f>
        <v>2차</v>
      </c>
      <c r="D17862" s="1" t="str">
        <f>"0027G10420"</f>
        <v>0027G10420</v>
      </c>
      <c r="E17862" s="1" t="s">
        <v>10</v>
      </c>
      <c r="F17862" s="1" t="str">
        <f>"10.11.8.154"</f>
        <v>10.11.8.154</v>
      </c>
      <c r="G17862" s="1" t="str">
        <f>"0027G104"</f>
        <v>0027G104</v>
      </c>
      <c r="H17862" s="1" t="str">
        <f>"혜화지 6H1R6R1"</f>
        <v>혜화지 6H1R6R1</v>
      </c>
      <c r="I17862" s="1" t="s">
        <v>8</v>
      </c>
      <c r="J17862" s="1" t="str">
        <f>"8/9"</f>
        <v>8/9</v>
      </c>
      <c r="K17862" s="1" t="str">
        <f>"2026-07-29 13:18:01"</f>
        <v>2026-07-29 13:18:01</v>
      </c>
      <c r="L17862" s="1" t="str">
        <f>"2017-06-28 11:19:37"</f>
        <v>2017-06-28 11:19:37</v>
      </c>
      <c r="M17862" s="1" t="s">
        <v>2</v>
      </c>
      <c r="N17862" s="1" t="s">
        <v>38</v>
      </c>
      <c r="O17862" s="1" t="s">
        <v>46</v>
      </c>
    </row>
    <row r="17863" spans="2:15" x14ac:dyDescent="0.3">
      <c r="B17863" s="1" t="s">
        <v>13</v>
      </c>
      <c r="C17863" s="1" t="s">
        <v>16</v>
      </c>
      <c r="D17863" s="1" t="str">
        <f>"0027G1115S"</f>
        <v>0027G1115S</v>
      </c>
      <c r="E17863" s="1" t="s">
        <v>10</v>
      </c>
      <c r="F17863" s="1" t="str">
        <f>"fde3:102:1304:f02:0:0:0:2"</f>
        <v>fde3:102:1304:f02:0:0:0:2</v>
      </c>
      <c r="G17863" s="1" t="str">
        <f>"0027G111"</f>
        <v>0027G111</v>
      </c>
      <c r="H17863" s="1" t="str">
        <f>"혜화지 6H1R7"</f>
        <v>혜화지 6H1R7</v>
      </c>
      <c r="I17863" s="1" t="s">
        <v>15</v>
      </c>
      <c r="J17863" s="1" t="str">
        <f>"83/84"</f>
        <v>83/84</v>
      </c>
      <c r="K17863" s="1" t="str">
        <f>"2026-07-29 14:20:00"</f>
        <v>2026-07-29 14:20:00</v>
      </c>
      <c r="L17863" s="1" t="str">
        <f>"2023-08-02 15:01:04"</f>
        <v>2023-08-02 15:01:04</v>
      </c>
      <c r="M17863" s="1" t="s">
        <v>45</v>
      </c>
      <c r="N17863" s="1" t="s">
        <v>38</v>
      </c>
      <c r="O17863" s="1" t="s">
        <v>46</v>
      </c>
    </row>
    <row r="17864" spans="2:15" x14ac:dyDescent="0.3">
      <c r="B17864" s="1" t="s">
        <v>13</v>
      </c>
      <c r="C17864" s="1" t="str">
        <f>"2차"</f>
        <v>2차</v>
      </c>
      <c r="D17864" s="1" t="str">
        <f>"0027G11221"</f>
        <v>0027G11221</v>
      </c>
      <c r="E17864" s="1" t="s">
        <v>10</v>
      </c>
      <c r="F17864" s="1" t="str">
        <f>"10.11.8.163"</f>
        <v>10.11.8.163</v>
      </c>
      <c r="G17864" s="1" t="str">
        <f>"0027G112"</f>
        <v>0027G112</v>
      </c>
      <c r="H17864" s="1" t="str">
        <f>"혜화지 6H1R8"</f>
        <v>혜화지 6H1R8</v>
      </c>
      <c r="I17864" s="1" t="s">
        <v>8</v>
      </c>
      <c r="J17864" s="1" t="str">
        <f>"18/18"</f>
        <v>18/18</v>
      </c>
      <c r="K17864" s="1" t="str">
        <f t="shared" ref="K17864:K17869" si="891">"2026-07-29 13:18:01"</f>
        <v>2026-07-29 13:18:01</v>
      </c>
      <c r="L17864" s="1" t="str">
        <f>"2017-07-13 16:08:25"</f>
        <v>2017-07-13 16:08:25</v>
      </c>
      <c r="M17864" s="1" t="s">
        <v>2</v>
      </c>
      <c r="N17864" s="1" t="s">
        <v>38</v>
      </c>
      <c r="O17864" s="1" t="s">
        <v>46</v>
      </c>
    </row>
    <row r="17865" spans="2:15" x14ac:dyDescent="0.3">
      <c r="B17865" s="1" t="s">
        <v>13</v>
      </c>
      <c r="C17865" s="1" t="str">
        <f>"4차"</f>
        <v>4차</v>
      </c>
      <c r="D17865" s="1" t="str">
        <f>"0027G12120"</f>
        <v>0027G12120</v>
      </c>
      <c r="E17865" s="1" t="s">
        <v>10</v>
      </c>
      <c r="F17865" s="1" t="str">
        <f>"10.11.8.162"</f>
        <v>10.11.8.162</v>
      </c>
      <c r="G17865" s="1" t="str">
        <f>"0027G121"</f>
        <v>0027G121</v>
      </c>
      <c r="H17865" s="1" t="str">
        <f>"혜화지 6H1R9"</f>
        <v>혜화지 6H1R9</v>
      </c>
      <c r="I17865" s="1" t="s">
        <v>8</v>
      </c>
      <c r="J17865" s="1" t="str">
        <f>"26/33"</f>
        <v>26/33</v>
      </c>
      <c r="K17865" s="1" t="str">
        <f t="shared" si="891"/>
        <v>2026-07-29 13:18:01</v>
      </c>
      <c r="L17865" s="1" t="str">
        <f>"2017-06-28 11:54:53"</f>
        <v>2017-06-28 11:54:53</v>
      </c>
      <c r="M17865" s="1" t="s">
        <v>2</v>
      </c>
      <c r="N17865" s="1" t="s">
        <v>38</v>
      </c>
      <c r="O17865" s="1" t="s">
        <v>46</v>
      </c>
    </row>
    <row r="17866" spans="2:15" x14ac:dyDescent="0.3">
      <c r="B17866" s="1" t="s">
        <v>13</v>
      </c>
      <c r="C17866" s="1" t="str">
        <f>"2차"</f>
        <v>2차</v>
      </c>
      <c r="D17866" s="1" t="str">
        <f>"0027G12222"</f>
        <v>0027G12222</v>
      </c>
      <c r="E17866" s="1" t="s">
        <v>10</v>
      </c>
      <c r="F17866" s="1" t="str">
        <f>"10.11.8.164"</f>
        <v>10.11.8.164</v>
      </c>
      <c r="G17866" s="1" t="str">
        <f>"0027G122"</f>
        <v>0027G122</v>
      </c>
      <c r="H17866" s="1" t="str">
        <f>"혜화지 6H1R9R1"</f>
        <v>혜화지 6H1R9R1</v>
      </c>
      <c r="I17866" s="1" t="s">
        <v>8</v>
      </c>
      <c r="J17866" s="1" t="str">
        <f>"35/35"</f>
        <v>35/35</v>
      </c>
      <c r="K17866" s="1" t="str">
        <f t="shared" si="891"/>
        <v>2026-07-29 13:18:01</v>
      </c>
      <c r="L17866" s="1" t="str">
        <f>"2017-06-28 11:56:53"</f>
        <v>2017-06-28 11:56:53</v>
      </c>
      <c r="M17866" s="1" t="s">
        <v>2</v>
      </c>
      <c r="N17866" s="1" t="s">
        <v>38</v>
      </c>
      <c r="O17866" s="1" t="s">
        <v>46</v>
      </c>
    </row>
    <row r="17867" spans="2:15" x14ac:dyDescent="0.3">
      <c r="B17867" s="1" t="s">
        <v>13</v>
      </c>
      <c r="C17867" s="1" t="str">
        <f>"2차"</f>
        <v>2차</v>
      </c>
      <c r="D17867" s="1" t="str">
        <f>"0027G13129"</f>
        <v>0027G13129</v>
      </c>
      <c r="E17867" s="1" t="s">
        <v>10</v>
      </c>
      <c r="F17867" s="1" t="str">
        <f>"10.11.8.122"</f>
        <v>10.11.8.122</v>
      </c>
      <c r="G17867" s="1" t="str">
        <f>"0027G131"</f>
        <v>0027G131</v>
      </c>
      <c r="H17867" s="1" t="str">
        <f>"혜화지 6H1R10"</f>
        <v>혜화지 6H1R10</v>
      </c>
      <c r="I17867" s="1" t="s">
        <v>8</v>
      </c>
      <c r="J17867" s="1" t="str">
        <f>"9/9"</f>
        <v>9/9</v>
      </c>
      <c r="K17867" s="1" t="str">
        <f t="shared" si="891"/>
        <v>2026-07-29 13:18:01</v>
      </c>
      <c r="L17867" s="1" t="str">
        <f>"2017-06-27 16:35:41"</f>
        <v>2017-06-27 16:35:41</v>
      </c>
      <c r="M17867" s="1" t="s">
        <v>2</v>
      </c>
      <c r="N17867" s="1" t="s">
        <v>38</v>
      </c>
      <c r="O17867" s="1" t="s">
        <v>46</v>
      </c>
    </row>
    <row r="17868" spans="2:15" x14ac:dyDescent="0.3">
      <c r="B17868" s="1" t="s">
        <v>13</v>
      </c>
      <c r="C17868" s="1" t="str">
        <f>"4차"</f>
        <v>4차</v>
      </c>
      <c r="D17868" s="1" t="str">
        <f>"0027Q16221"</f>
        <v>0027Q16221</v>
      </c>
      <c r="E17868" s="1" t="s">
        <v>10</v>
      </c>
      <c r="F17868" s="1" t="str">
        <f>"10.11.1.171"</f>
        <v>10.11.1.171</v>
      </c>
      <c r="G17868" s="1" t="str">
        <f>"0027Q162"</f>
        <v>0027Q162</v>
      </c>
      <c r="H17868" s="1" t="str">
        <f>"명륜지 12L2"</f>
        <v>명륜지 12L2</v>
      </c>
      <c r="I17868" s="1" t="s">
        <v>8</v>
      </c>
      <c r="J17868" s="1" t="str">
        <f>"56/62"</f>
        <v>56/62</v>
      </c>
      <c r="K17868" s="1" t="str">
        <f t="shared" si="891"/>
        <v>2026-07-29 13:18:01</v>
      </c>
      <c r="L17868" s="1" t="str">
        <f>"2017-07-13 14:08:39"</f>
        <v>2017-07-13 14:08:39</v>
      </c>
      <c r="M17868" s="1" t="s">
        <v>2</v>
      </c>
      <c r="N17868" s="1" t="s">
        <v>38</v>
      </c>
      <c r="O17868" s="1" t="s">
        <v>46</v>
      </c>
    </row>
    <row r="17869" spans="2:15" x14ac:dyDescent="0.3">
      <c r="B17869" s="1" t="s">
        <v>13</v>
      </c>
      <c r="C17869" s="1" t="str">
        <f>"4차"</f>
        <v>4차</v>
      </c>
      <c r="D17869" s="1" t="str">
        <f>"0027Q18229"</f>
        <v>0027Q18229</v>
      </c>
      <c r="E17869" s="1" t="s">
        <v>10</v>
      </c>
      <c r="F17869" s="1" t="str">
        <f>"10.11.1.178"</f>
        <v>10.11.1.178</v>
      </c>
      <c r="G17869" s="1" t="str">
        <f>"0027Q182"</f>
        <v>0027Q182</v>
      </c>
      <c r="H17869" s="1" t="str">
        <f>"명륜지 12L4"</f>
        <v>명륜지 12L4</v>
      </c>
      <c r="I17869" s="1" t="s">
        <v>8</v>
      </c>
      <c r="J17869" s="1" t="str">
        <f>"77/77"</f>
        <v>77/77</v>
      </c>
      <c r="K17869" s="1" t="str">
        <f t="shared" si="891"/>
        <v>2026-07-29 13:18:01</v>
      </c>
      <c r="L17869" s="1" t="str">
        <f>"2017-06-21 17:51:02"</f>
        <v>2017-06-21 17:51:02</v>
      </c>
      <c r="M17869" s="1" t="s">
        <v>2</v>
      </c>
      <c r="N17869" s="1" t="s">
        <v>38</v>
      </c>
      <c r="O17869" s="1" t="s">
        <v>46</v>
      </c>
    </row>
    <row r="17870" spans="2:15" x14ac:dyDescent="0.3">
      <c r="B17870" s="1" t="s">
        <v>13</v>
      </c>
      <c r="C17870" s="1" t="s">
        <v>16</v>
      </c>
      <c r="D17870" s="1" t="str">
        <f>"0027Q1915S"</f>
        <v>0027Q1915S</v>
      </c>
      <c r="E17870" s="1" t="s">
        <v>10</v>
      </c>
      <c r="F17870" s="1" t="str">
        <f>"fde3:102:1304:f00:0:0:0:2"</f>
        <v>fde3:102:1304:f00:0:0:0:2</v>
      </c>
      <c r="G17870" s="1" t="str">
        <f>"0027Q191"</f>
        <v>0027Q191</v>
      </c>
      <c r="H17870" s="1" t="str">
        <f>"명륜지 15"</f>
        <v>명륜지 15</v>
      </c>
      <c r="I17870" s="1" t="s">
        <v>15</v>
      </c>
      <c r="J17870" s="1" t="str">
        <f>"26/26"</f>
        <v>26/26</v>
      </c>
      <c r="K17870" s="1" t="str">
        <f>"2026-07-29 14:20:00"</f>
        <v>2026-07-29 14:20:00</v>
      </c>
      <c r="L17870" s="1" t="str">
        <f>"2023-08-01 14:52:23"</f>
        <v>2023-08-01 14:52:23</v>
      </c>
      <c r="M17870" s="1" t="s">
        <v>45</v>
      </c>
      <c r="N17870" s="1" t="s">
        <v>38</v>
      </c>
      <c r="O17870" s="1" t="s">
        <v>46</v>
      </c>
    </row>
    <row r="17871" spans="2:15" x14ac:dyDescent="0.3">
      <c r="B17871" s="1" t="s">
        <v>13</v>
      </c>
      <c r="C17871" s="1" t="s">
        <v>16</v>
      </c>
      <c r="D17871" s="1" t="str">
        <f>"0027Q1925S"</f>
        <v>0027Q1925S</v>
      </c>
      <c r="E17871" s="1" t="s">
        <v>10</v>
      </c>
      <c r="F17871" s="1" t="str">
        <f>"fde1:103:4:562b:0:0:0:2"</f>
        <v>fde1:103:4:562b:0:0:0:2</v>
      </c>
      <c r="G17871" s="1" t="str">
        <f>"0027Q192"</f>
        <v>0027Q192</v>
      </c>
      <c r="H17871" s="1" t="str">
        <f>"명륜지 16"</f>
        <v>명륜지 16</v>
      </c>
      <c r="I17871" s="1" t="s">
        <v>15</v>
      </c>
      <c r="J17871" s="1" t="str">
        <f>"96/96"</f>
        <v>96/96</v>
      </c>
      <c r="K17871" s="1" t="str">
        <f>"2026-07-29 14:20:21"</f>
        <v>2026-07-29 14:20:21</v>
      </c>
      <c r="L17871" s="1" t="str">
        <f>"2023-08-03 17:22:02"</f>
        <v>2023-08-03 17:22:02</v>
      </c>
      <c r="M17871" s="1" t="s">
        <v>4</v>
      </c>
      <c r="N17871" s="1" t="s">
        <v>38</v>
      </c>
      <c r="O17871" s="1" t="s">
        <v>46</v>
      </c>
    </row>
    <row r="17872" spans="2:15" x14ac:dyDescent="0.3">
      <c r="B17872" s="1" t="s">
        <v>13</v>
      </c>
      <c r="C17872" s="1" t="str">
        <f>"4차"</f>
        <v>4차</v>
      </c>
      <c r="D17872" s="1" t="str">
        <f>"0027Q20120"</f>
        <v>0027Q20120</v>
      </c>
      <c r="E17872" s="1" t="s">
        <v>10</v>
      </c>
      <c r="F17872" s="1" t="str">
        <f>"10.11.2.10"</f>
        <v>10.11.2.10</v>
      </c>
      <c r="G17872" s="1" t="str">
        <f>"0027Q201"</f>
        <v>0027Q201</v>
      </c>
      <c r="H17872" s="1" t="str">
        <f>"명륜지 5L1L1"</f>
        <v>명륜지 5L1L1</v>
      </c>
      <c r="I17872" s="1" t="s">
        <v>8</v>
      </c>
      <c r="J17872" s="1" t="str">
        <f>"20/21"</f>
        <v>20/21</v>
      </c>
      <c r="K17872" s="1" t="str">
        <f>"2026-07-29 13:18:01"</f>
        <v>2026-07-29 13:18:01</v>
      </c>
      <c r="L17872" s="1" t="str">
        <f>"2017-06-22 11:05:54"</f>
        <v>2017-06-22 11:05:54</v>
      </c>
      <c r="M17872" s="1" t="s">
        <v>2</v>
      </c>
      <c r="N17872" s="1" t="s">
        <v>38</v>
      </c>
      <c r="O17872" s="1" t="s">
        <v>46</v>
      </c>
    </row>
    <row r="17873" spans="2:15" x14ac:dyDescent="0.3">
      <c r="B17873" s="1" t="s">
        <v>13</v>
      </c>
      <c r="C17873" s="1" t="str">
        <f>"4차"</f>
        <v>4차</v>
      </c>
      <c r="D17873" s="1" t="str">
        <f>"0027Q20221"</f>
        <v>0027Q20221</v>
      </c>
      <c r="E17873" s="1" t="s">
        <v>10</v>
      </c>
      <c r="F17873" s="1" t="str">
        <f>"10.11.2.11"</f>
        <v>10.11.2.11</v>
      </c>
      <c r="G17873" s="1" t="str">
        <f>"0027Q202"</f>
        <v>0027Q202</v>
      </c>
      <c r="H17873" s="1" t="str">
        <f>"명륜지 5L1L2"</f>
        <v>명륜지 5L1L2</v>
      </c>
      <c r="I17873" s="1" t="s">
        <v>8</v>
      </c>
      <c r="J17873" s="1" t="str">
        <f>"56/60"</f>
        <v>56/60</v>
      </c>
      <c r="K17873" s="1" t="str">
        <f>"2026-07-29 13:18:01"</f>
        <v>2026-07-29 13:18:01</v>
      </c>
      <c r="L17873" s="1" t="str">
        <f>"2017-06-27 16:41:41"</f>
        <v>2017-06-27 16:41:41</v>
      </c>
      <c r="M17873" s="1" t="s">
        <v>2</v>
      </c>
      <c r="N17873" s="1" t="s">
        <v>38</v>
      </c>
      <c r="O17873" s="1" t="s">
        <v>46</v>
      </c>
    </row>
    <row r="17874" spans="2:15" x14ac:dyDescent="0.3">
      <c r="B17874" s="1" t="s">
        <v>13</v>
      </c>
      <c r="C17874" s="1" t="str">
        <f>"2차"</f>
        <v>2차</v>
      </c>
      <c r="D17874" s="1" t="str">
        <f>"0027Q26222"</f>
        <v>0027Q26222</v>
      </c>
      <c r="E17874" s="1" t="s">
        <v>10</v>
      </c>
      <c r="F17874" s="1" t="str">
        <f>"10.11.1.172"</f>
        <v>10.11.1.172</v>
      </c>
      <c r="G17874" s="1" t="str">
        <f>"0027Q262"</f>
        <v>0027Q262</v>
      </c>
      <c r="H17874" s="1" t="str">
        <f>"명륜지 13"</f>
        <v>명륜지 13</v>
      </c>
      <c r="I17874" s="1" t="s">
        <v>8</v>
      </c>
      <c r="J17874" s="1" t="str">
        <f>"79/79"</f>
        <v>79/79</v>
      </c>
      <c r="K17874" s="1" t="str">
        <f>"2026-07-29 13:18:01"</f>
        <v>2026-07-29 13:18:01</v>
      </c>
      <c r="L17874" s="1" t="str">
        <f>"2017-07-13 12:15:25"</f>
        <v>2017-07-13 12:15:25</v>
      </c>
      <c r="M17874" s="1" t="s">
        <v>2</v>
      </c>
      <c r="N17874" s="1" t="s">
        <v>38</v>
      </c>
      <c r="O17874" s="1" t="s">
        <v>46</v>
      </c>
    </row>
    <row r="17875" spans="2:15" x14ac:dyDescent="0.3">
      <c r="B17875" s="1" t="s">
        <v>13</v>
      </c>
      <c r="C17875" s="1" t="str">
        <f>"2차"</f>
        <v>2차</v>
      </c>
      <c r="D17875" s="1" t="str">
        <f>"0027Q26320"</f>
        <v>0027Q26320</v>
      </c>
      <c r="E17875" s="1" t="s">
        <v>10</v>
      </c>
      <c r="F17875" s="1" t="str">
        <f>"10.11.1.170"</f>
        <v>10.11.1.170</v>
      </c>
      <c r="G17875" s="1" t="str">
        <f>"0027Q263"</f>
        <v>0027Q263</v>
      </c>
      <c r="H17875" s="1" t="str">
        <f>"명륜지 12"</f>
        <v>명륜지 12</v>
      </c>
      <c r="I17875" s="1" t="s">
        <v>8</v>
      </c>
      <c r="J17875" s="1" t="str">
        <f>"15/17"</f>
        <v>15/17</v>
      </c>
      <c r="K17875" s="1" t="str">
        <f>"2026-07-29 13:18:01"</f>
        <v>2026-07-29 13:18:01</v>
      </c>
      <c r="L17875" s="1" t="str">
        <f>"2017-06-21 17:41:01"</f>
        <v>2017-06-21 17:41:01</v>
      </c>
      <c r="M17875" s="1" t="s">
        <v>2</v>
      </c>
      <c r="N17875" s="1" t="s">
        <v>38</v>
      </c>
      <c r="O17875" s="1" t="s">
        <v>46</v>
      </c>
    </row>
    <row r="17876" spans="2:15" x14ac:dyDescent="0.3">
      <c r="B17876" s="1" t="s">
        <v>13</v>
      </c>
      <c r="C17876" s="1" t="s">
        <v>16</v>
      </c>
      <c r="D17876" s="1" t="str">
        <f>"0027Q2715S"</f>
        <v>0027Q2715S</v>
      </c>
      <c r="E17876" s="1" t="s">
        <v>10</v>
      </c>
      <c r="F17876" s="1" t="str">
        <f>"fde3:102:1304:f00:0:0:0:3"</f>
        <v>fde3:102:1304:f00:0:0:0:3</v>
      </c>
      <c r="G17876" s="1" t="str">
        <f>"0027Q271"</f>
        <v>0027Q271</v>
      </c>
      <c r="H17876" s="1" t="str">
        <f>"명륜지 14H1"</f>
        <v>명륜지 14H1</v>
      </c>
      <c r="I17876" s="1" t="s">
        <v>15</v>
      </c>
      <c r="J17876" s="1" t="str">
        <f>"28/28"</f>
        <v>28/28</v>
      </c>
      <c r="K17876" s="1" t="str">
        <f>"2026-07-29 14:20:00"</f>
        <v>2026-07-29 14:20:00</v>
      </c>
      <c r="L17876" s="1" t="str">
        <f>"2023-08-01 14:18:10"</f>
        <v>2023-08-01 14:18:10</v>
      </c>
      <c r="M17876" s="1" t="s">
        <v>45</v>
      </c>
      <c r="N17876" s="1" t="s">
        <v>38</v>
      </c>
      <c r="O17876" s="1" t="s">
        <v>46</v>
      </c>
    </row>
    <row r="17877" spans="2:15" x14ac:dyDescent="0.3">
      <c r="B17877" s="1" t="s">
        <v>13</v>
      </c>
      <c r="C17877" s="1" t="str">
        <f>"2차"</f>
        <v>2차</v>
      </c>
      <c r="D17877" s="1" t="str">
        <f>"0027Q28129"</f>
        <v>0027Q28129</v>
      </c>
      <c r="E17877" s="1" t="s">
        <v>10</v>
      </c>
      <c r="F17877" s="1" t="str">
        <f>"10.11.1.186"</f>
        <v>10.11.1.186</v>
      </c>
      <c r="G17877" s="1" t="str">
        <f>"0027Q281"</f>
        <v>0027Q281</v>
      </c>
      <c r="H17877" s="1" t="str">
        <f>"명륜지 14R1H1"</f>
        <v>명륜지 14R1H1</v>
      </c>
      <c r="I17877" s="1" t="s">
        <v>8</v>
      </c>
      <c r="J17877" s="1" t="str">
        <f>"24/25"</f>
        <v>24/25</v>
      </c>
      <c r="K17877" s="1" t="str">
        <f>"2026-07-29 13:18:01"</f>
        <v>2026-07-29 13:18:01</v>
      </c>
      <c r="L17877" s="1" t="str">
        <f>"2017-06-21 17:51:01"</f>
        <v>2017-06-21 17:51:01</v>
      </c>
      <c r="M17877" s="1" t="s">
        <v>2</v>
      </c>
      <c r="N17877" s="1" t="s">
        <v>38</v>
      </c>
      <c r="O17877" s="1" t="s">
        <v>46</v>
      </c>
    </row>
    <row r="17878" spans="2:15" x14ac:dyDescent="0.3">
      <c r="B17878" s="1" t="s">
        <v>13</v>
      </c>
      <c r="C17878" s="1" t="s">
        <v>16</v>
      </c>
      <c r="D17878" s="1" t="str">
        <f>"0027Q2925S"</f>
        <v>0027Q2925S</v>
      </c>
      <c r="E17878" s="1" t="s">
        <v>10</v>
      </c>
      <c r="F17878" s="1" t="str">
        <f>"fde1:103:4:561e:0:0:0:2"</f>
        <v>fde1:103:4:561e:0:0:0:2</v>
      </c>
      <c r="G17878" s="1" t="str">
        <f>"0027Q292"</f>
        <v>0027Q292</v>
      </c>
      <c r="H17878" s="1" t="str">
        <f>"혜화지 21L2"</f>
        <v>혜화지 21L2</v>
      </c>
      <c r="I17878" s="1" t="s">
        <v>15</v>
      </c>
      <c r="J17878" s="1" t="str">
        <f>"104/104"</f>
        <v>104/104</v>
      </c>
      <c r="K17878" s="1" t="str">
        <f>"2026-07-29 14:20:06"</f>
        <v>2026-07-29 14:20:06</v>
      </c>
      <c r="L17878" s="1" t="str">
        <f>"2023-08-04 09:43:32"</f>
        <v>2023-08-04 09:43:32</v>
      </c>
      <c r="M17878" s="1" t="s">
        <v>4</v>
      </c>
      <c r="N17878" s="1" t="s">
        <v>38</v>
      </c>
      <c r="O17878" s="1" t="s">
        <v>46</v>
      </c>
    </row>
    <row r="17879" spans="2:15" x14ac:dyDescent="0.3">
      <c r="B17879" s="1" t="s">
        <v>13</v>
      </c>
      <c r="C17879" s="1" t="str">
        <f>"4차"</f>
        <v>4차</v>
      </c>
      <c r="D17879" s="1" t="str">
        <f>"0027Q31539"</f>
        <v>0027Q31539</v>
      </c>
      <c r="E17879" s="1" t="s">
        <v>10</v>
      </c>
      <c r="F17879" s="1" t="str">
        <f>"10.12.133.60"</f>
        <v>10.12.133.60</v>
      </c>
      <c r="G17879" s="1" t="str">
        <f>"0027Q315"</f>
        <v>0027Q315</v>
      </c>
      <c r="H17879" s="1" t="str">
        <f>"성균관로 5"</f>
        <v>성균관로 5</v>
      </c>
      <c r="I17879" s="1" t="s">
        <v>17</v>
      </c>
      <c r="J17879" s="1" t="str">
        <f>"50/50"</f>
        <v>50/50</v>
      </c>
      <c r="K17879" s="1" t="str">
        <f>"2026-07-29 13:18:02"</f>
        <v>2026-07-29 13:18:02</v>
      </c>
      <c r="L17879" s="1" t="str">
        <f>"2018-06-16 11:35:26"</f>
        <v>2018-06-16 11:35:26</v>
      </c>
      <c r="M17879" s="1" t="s">
        <v>0</v>
      </c>
      <c r="N17879" s="1" t="s">
        <v>38</v>
      </c>
      <c r="O17879" s="1" t="s">
        <v>46</v>
      </c>
    </row>
    <row r="17880" spans="2:15" x14ac:dyDescent="0.3">
      <c r="B17880" s="1" t="s">
        <v>13</v>
      </c>
      <c r="C17880" s="1" t="str">
        <f>"4차"</f>
        <v>4차</v>
      </c>
      <c r="D17880" s="1" t="str">
        <f>"0027Q40139"</f>
        <v>0027Q40139</v>
      </c>
      <c r="E17880" s="1" t="s">
        <v>10</v>
      </c>
      <c r="F17880" s="1" t="str">
        <f>"10.12.134.109"</f>
        <v>10.12.134.109</v>
      </c>
      <c r="G17880" s="1" t="str">
        <f>"0027Q401"</f>
        <v>0027Q401</v>
      </c>
      <c r="H17880" s="1" t="str">
        <f>"성균관로 3"</f>
        <v>성균관로 3</v>
      </c>
      <c r="I17880" s="1" t="s">
        <v>17</v>
      </c>
      <c r="J17880" s="1" t="str">
        <f>"22/27"</f>
        <v>22/27</v>
      </c>
      <c r="K17880" s="1" t="str">
        <f>"2026-07-29 13:18:01"</f>
        <v>2026-07-29 13:18:01</v>
      </c>
      <c r="L17880" s="1" t="str">
        <f>"2018-06-16 10:10:10"</f>
        <v>2018-06-16 10:10:10</v>
      </c>
      <c r="M17880" s="1" t="s">
        <v>0</v>
      </c>
      <c r="N17880" s="1" t="s">
        <v>38</v>
      </c>
      <c r="O17880" s="1" t="s">
        <v>46</v>
      </c>
    </row>
    <row r="17881" spans="2:15" x14ac:dyDescent="0.3">
      <c r="B17881" s="1" t="s">
        <v>13</v>
      </c>
      <c r="C17881" s="1" t="str">
        <f>"4차"</f>
        <v>4차</v>
      </c>
      <c r="D17881" s="1" t="str">
        <f>"0027Q41139"</f>
        <v>0027Q41139</v>
      </c>
      <c r="E17881" s="1" t="s">
        <v>10</v>
      </c>
      <c r="F17881" s="1" t="str">
        <f>"10.12.133.54"</f>
        <v>10.12.133.54</v>
      </c>
      <c r="G17881" s="1" t="str">
        <f>"0027Q411"</f>
        <v>0027Q411</v>
      </c>
      <c r="H17881" s="1" t="str">
        <f>"성균관로 4"</f>
        <v>성균관로 4</v>
      </c>
      <c r="I17881" s="1" t="s">
        <v>17</v>
      </c>
      <c r="J17881" s="1" t="str">
        <f>"19/19"</f>
        <v>19/19</v>
      </c>
      <c r="K17881" s="1" t="str">
        <f>"2026-07-29 13:18:02"</f>
        <v>2026-07-29 13:18:02</v>
      </c>
      <c r="L17881" s="1" t="str">
        <f>"2018-07-03 13:47:57"</f>
        <v>2018-07-03 13:47:57</v>
      </c>
      <c r="M17881" s="1" t="s">
        <v>0</v>
      </c>
      <c r="N17881" s="1" t="s">
        <v>38</v>
      </c>
      <c r="O17881" s="1" t="s">
        <v>46</v>
      </c>
    </row>
    <row r="17882" spans="2:15" x14ac:dyDescent="0.3">
      <c r="B17882" s="1" t="s">
        <v>13</v>
      </c>
      <c r="C17882" s="1" t="s">
        <v>16</v>
      </c>
      <c r="D17882" s="1" t="str">
        <f>"0027Q4515S"</f>
        <v>0027Q4515S</v>
      </c>
      <c r="E17882" s="1" t="s">
        <v>10</v>
      </c>
      <c r="F17882" s="1" t="str">
        <f>"fde1:103:4:564a:0:0:0:2"</f>
        <v>fde1:103:4:564a:0:0:0:2</v>
      </c>
      <c r="G17882" s="1" t="str">
        <f>"0027Q451"</f>
        <v>0027Q451</v>
      </c>
      <c r="H17882" s="1" t="str">
        <f>"명륜지 11R3R1R1"</f>
        <v>명륜지 11R3R1R1</v>
      </c>
      <c r="I17882" s="1" t="s">
        <v>15</v>
      </c>
      <c r="J17882" s="1" t="str">
        <f>"93/93"</f>
        <v>93/93</v>
      </c>
      <c r="K17882" s="1" t="str">
        <f>"2026-07-29 14:20:20"</f>
        <v>2026-07-29 14:20:20</v>
      </c>
      <c r="L17882" s="1" t="str">
        <f>"2023-08-04 10:01:37"</f>
        <v>2023-08-04 10:01:37</v>
      </c>
      <c r="M17882" s="1" t="s">
        <v>4</v>
      </c>
      <c r="N17882" s="1" t="s">
        <v>38</v>
      </c>
      <c r="O17882" s="1" t="s">
        <v>46</v>
      </c>
    </row>
    <row r="17883" spans="2:15" x14ac:dyDescent="0.3">
      <c r="B17883" s="1" t="s">
        <v>13</v>
      </c>
      <c r="C17883" s="1" t="s">
        <v>16</v>
      </c>
      <c r="D17883" s="1" t="str">
        <f>"0027Q4625S"</f>
        <v>0027Q4625S</v>
      </c>
      <c r="E17883" s="1" t="s">
        <v>10</v>
      </c>
      <c r="F17883" s="1" t="str">
        <f>"fde1:103:4:5608:0:0:0:2"</f>
        <v>fde1:103:4:5608:0:0:0:2</v>
      </c>
      <c r="G17883" s="1" t="str">
        <f>"0027Q462"</f>
        <v>0027Q462</v>
      </c>
      <c r="H17883" s="1" t="str">
        <f>"명륜지 11R3"</f>
        <v>명륜지 11R3</v>
      </c>
      <c r="I17883" s="1" t="s">
        <v>15</v>
      </c>
      <c r="J17883" s="1" t="str">
        <f>"141/142"</f>
        <v>141/142</v>
      </c>
      <c r="K17883" s="1" t="str">
        <f>"2026-07-29 14:20:20"</f>
        <v>2026-07-29 14:20:20</v>
      </c>
      <c r="L17883" s="1" t="str">
        <f>"2023-08-25 13:25:33"</f>
        <v>2023-08-25 13:25:33</v>
      </c>
      <c r="M17883" s="1" t="s">
        <v>4</v>
      </c>
      <c r="N17883" s="1" t="s">
        <v>38</v>
      </c>
      <c r="O17883" s="1" t="s">
        <v>46</v>
      </c>
    </row>
    <row r="17884" spans="2:15" x14ac:dyDescent="0.3">
      <c r="B17884" s="1" t="s">
        <v>13</v>
      </c>
      <c r="C17884" s="1" t="str">
        <f>"2차"</f>
        <v>2차</v>
      </c>
      <c r="D17884" s="1" t="str">
        <f>"0027Q47129"</f>
        <v>0027Q47129</v>
      </c>
      <c r="E17884" s="1" t="s">
        <v>10</v>
      </c>
      <c r="F17884" s="1" t="str">
        <f>"10.11.1.154"</f>
        <v>10.11.1.154</v>
      </c>
      <c r="G17884" s="1" t="str">
        <f>"0027Q471"</f>
        <v>0027Q471</v>
      </c>
      <c r="H17884" s="1" t="str">
        <f>"명륜지 11R3L1"</f>
        <v>명륜지 11R3L1</v>
      </c>
      <c r="I17884" s="1" t="s">
        <v>8</v>
      </c>
      <c r="J17884" s="1" t="str">
        <f>"52/52"</f>
        <v>52/52</v>
      </c>
      <c r="K17884" s="1" t="str">
        <f>"2026-07-29 13:18:01"</f>
        <v>2026-07-29 13:18:01</v>
      </c>
      <c r="L17884" s="1" t="str">
        <f>"2017-06-21 17:41:02"</f>
        <v>2017-06-21 17:41:02</v>
      </c>
      <c r="M17884" s="1" t="s">
        <v>2</v>
      </c>
      <c r="N17884" s="1" t="s">
        <v>38</v>
      </c>
      <c r="O17884" s="1" t="s">
        <v>46</v>
      </c>
    </row>
    <row r="17885" spans="2:15" x14ac:dyDescent="0.3">
      <c r="B17885" s="1" t="s">
        <v>13</v>
      </c>
      <c r="C17885" s="1" t="s">
        <v>16</v>
      </c>
      <c r="D17885" s="1" t="str">
        <f>"0027Q4825S"</f>
        <v>0027Q4825S</v>
      </c>
      <c r="E17885" s="1" t="s">
        <v>10</v>
      </c>
      <c r="F17885" s="1" t="str">
        <f>"fde3:102:1304:f00:0:0:0:4"</f>
        <v>fde3:102:1304:f00:0:0:0:4</v>
      </c>
      <c r="G17885" s="1" t="str">
        <f>"0027Q482"</f>
        <v>0027Q482</v>
      </c>
      <c r="H17885" s="1" t="str">
        <f>"명륜지 14R2"</f>
        <v>명륜지 14R2</v>
      </c>
      <c r="I17885" s="1" t="s">
        <v>15</v>
      </c>
      <c r="J17885" s="1" t="str">
        <f>"64/64"</f>
        <v>64/64</v>
      </c>
      <c r="K17885" s="1" t="str">
        <f>"2026-07-29 14:20:20"</f>
        <v>2026-07-29 14:20:20</v>
      </c>
      <c r="L17885" s="1" t="str">
        <f>"2023-08-01 14:27:16"</f>
        <v>2023-08-01 14:27:16</v>
      </c>
      <c r="M17885" s="1" t="s">
        <v>45</v>
      </c>
      <c r="N17885" s="1" t="s">
        <v>38</v>
      </c>
      <c r="O17885" s="1" t="s">
        <v>46</v>
      </c>
    </row>
    <row r="17886" spans="2:15" x14ac:dyDescent="0.3">
      <c r="B17886" s="1" t="s">
        <v>13</v>
      </c>
      <c r="C17886" s="1" t="s">
        <v>16</v>
      </c>
      <c r="D17886" s="1" t="str">
        <f>"0027Q5115S"</f>
        <v>0027Q5115S</v>
      </c>
      <c r="E17886" s="1" t="s">
        <v>10</v>
      </c>
      <c r="F17886" s="1" t="str">
        <f>"fde3:102:1304:d00:0:0:0:4"</f>
        <v>fde3:102:1304:d00:0:0:0:4</v>
      </c>
      <c r="G17886" s="1" t="str">
        <f>"0027Q511"</f>
        <v>0027Q511</v>
      </c>
      <c r="H17886" s="1" t="str">
        <f>"명륜지 5R2"</f>
        <v>명륜지 5R2</v>
      </c>
      <c r="I17886" s="1" t="s">
        <v>15</v>
      </c>
      <c r="J17886" s="1" t="str">
        <f>"111/111"</f>
        <v>111/111</v>
      </c>
      <c r="K17886" s="1" t="str">
        <f>"2026-07-29 14:20:21"</f>
        <v>2026-07-29 14:20:21</v>
      </c>
      <c r="L17886" s="1" t="str">
        <f>"2023-08-02 13:49:01"</f>
        <v>2023-08-02 13:49:01</v>
      </c>
      <c r="M17886" s="1" t="s">
        <v>45</v>
      </c>
      <c r="N17886" s="1" t="s">
        <v>38</v>
      </c>
      <c r="O17886" s="1" t="s">
        <v>46</v>
      </c>
    </row>
    <row r="17887" spans="2:15" x14ac:dyDescent="0.3">
      <c r="B17887" s="1" t="s">
        <v>13</v>
      </c>
      <c r="C17887" s="1" t="s">
        <v>16</v>
      </c>
      <c r="D17887" s="1" t="str">
        <f>"0027Q5545S"</f>
        <v>0027Q5545S</v>
      </c>
      <c r="E17887" s="1" t="s">
        <v>10</v>
      </c>
      <c r="F17887" s="1" t="str">
        <f>"fde3:102:1304:f01:0:0:0:3"</f>
        <v>fde3:102:1304:f01:0:0:0:3</v>
      </c>
      <c r="G17887" s="1" t="str">
        <f>"0027Q554"</f>
        <v>0027Q554</v>
      </c>
      <c r="H17887" s="1" t="str">
        <f>"명륜지 11R3R2R2"</f>
        <v>명륜지 11R3R2R2</v>
      </c>
      <c r="I17887" s="1" t="s">
        <v>15</v>
      </c>
      <c r="J17887" s="1" t="str">
        <f>"151/156"</f>
        <v>151/156</v>
      </c>
      <c r="K17887" s="1" t="str">
        <f>"2026-07-29 14:20:00"</f>
        <v>2026-07-29 14:20:00</v>
      </c>
      <c r="L17887" s="1" t="str">
        <f>"2023-08-02 12:02:16"</f>
        <v>2023-08-02 12:02:16</v>
      </c>
      <c r="M17887" s="1" t="s">
        <v>45</v>
      </c>
      <c r="N17887" s="1" t="s">
        <v>38</v>
      </c>
      <c r="O17887" s="1" t="s">
        <v>46</v>
      </c>
    </row>
    <row r="17888" spans="2:15" x14ac:dyDescent="0.3">
      <c r="B17888" s="1" t="s">
        <v>13</v>
      </c>
      <c r="C17888" s="1" t="str">
        <f>"4차"</f>
        <v>4차</v>
      </c>
      <c r="D17888" s="1" t="str">
        <f>"0027Q55729"</f>
        <v>0027Q55729</v>
      </c>
      <c r="E17888" s="1" t="s">
        <v>10</v>
      </c>
      <c r="F17888" s="1" t="str">
        <f>"10.11.1.162"</f>
        <v>10.11.1.162</v>
      </c>
      <c r="G17888" s="1" t="str">
        <f>"0027Q557"</f>
        <v>0027Q557</v>
      </c>
      <c r="H17888" s="1" t="str">
        <f>"명륜지 11R3R2"</f>
        <v>명륜지 11R3R2</v>
      </c>
      <c r="I17888" s="1" t="s">
        <v>8</v>
      </c>
      <c r="J17888" s="1" t="str">
        <f>"56/56"</f>
        <v>56/56</v>
      </c>
      <c r="K17888" s="1" t="str">
        <f>"2026-07-29 13:18:01"</f>
        <v>2026-07-29 13:18:01</v>
      </c>
      <c r="L17888" s="1" t="str">
        <f>"2023-05-09 13:46:55"</f>
        <v>2023-05-09 13:46:55</v>
      </c>
      <c r="M17888" s="1" t="s">
        <v>2</v>
      </c>
      <c r="N17888" s="1" t="s">
        <v>38</v>
      </c>
      <c r="O17888" s="1" t="s">
        <v>46</v>
      </c>
    </row>
    <row r="17889" spans="2:15" x14ac:dyDescent="0.3">
      <c r="B17889" s="1" t="s">
        <v>13</v>
      </c>
      <c r="C17889" s="1" t="s">
        <v>16</v>
      </c>
      <c r="D17889" s="1" t="str">
        <f>"0027Q6115S"</f>
        <v>0027Q6115S</v>
      </c>
      <c r="E17889" s="1" t="s">
        <v>10</v>
      </c>
      <c r="F17889" s="1" t="str">
        <f>"fde3:102:1304:f01:0:0:0:4"</f>
        <v>fde3:102:1304:f01:0:0:0:4</v>
      </c>
      <c r="G17889" s="1" t="str">
        <f>"0027Q611"</f>
        <v>0027Q611</v>
      </c>
      <c r="H17889" s="1" t="str">
        <f>"명륜지 5R4"</f>
        <v>명륜지 5R4</v>
      </c>
      <c r="I17889" s="1" t="s">
        <v>15</v>
      </c>
      <c r="J17889" s="1" t="str">
        <f>"40/40"</f>
        <v>40/40</v>
      </c>
      <c r="K17889" s="1" t="str">
        <f>"2026-07-29 14:20:21"</f>
        <v>2026-07-29 14:20:21</v>
      </c>
      <c r="L17889" s="1" t="str">
        <f>"2023-08-02 14:00:41"</f>
        <v>2023-08-02 14:00:41</v>
      </c>
      <c r="M17889" s="1" t="s">
        <v>45</v>
      </c>
      <c r="N17889" s="1" t="s">
        <v>38</v>
      </c>
      <c r="O17889" s="1" t="s">
        <v>46</v>
      </c>
    </row>
    <row r="17890" spans="2:15" x14ac:dyDescent="0.3">
      <c r="B17890" s="1" t="s">
        <v>13</v>
      </c>
      <c r="C17890" s="1" t="s">
        <v>16</v>
      </c>
      <c r="D17890" s="1" t="str">
        <f>"0027Q6335S"</f>
        <v>0027Q6335S</v>
      </c>
      <c r="E17890" s="1" t="s">
        <v>10</v>
      </c>
      <c r="F17890" s="1" t="str">
        <f>"fde1:103:4:560e:0:0:0:2"</f>
        <v>fde1:103:4:560e:0:0:0:2</v>
      </c>
      <c r="G17890" s="1" t="str">
        <f>"0027Q633"</f>
        <v>0027Q633</v>
      </c>
      <c r="H17890" s="1" t="str">
        <f>"명륜지 5R3L2"</f>
        <v>명륜지 5R3L2</v>
      </c>
      <c r="I17890" s="1" t="s">
        <v>15</v>
      </c>
      <c r="J17890" s="1" t="str">
        <f>"56/56"</f>
        <v>56/56</v>
      </c>
      <c r="K17890" s="1" t="str">
        <f>"2026-07-29 14:20:21"</f>
        <v>2026-07-29 14:20:21</v>
      </c>
      <c r="L17890" s="1" t="str">
        <f>"2023-08-04 10:17:59"</f>
        <v>2023-08-04 10:17:59</v>
      </c>
      <c r="M17890" s="1" t="s">
        <v>4</v>
      </c>
      <c r="N17890" s="1" t="s">
        <v>38</v>
      </c>
      <c r="O17890" s="1" t="s">
        <v>46</v>
      </c>
    </row>
    <row r="17891" spans="2:15" x14ac:dyDescent="0.3">
      <c r="B17891" s="1" t="s">
        <v>13</v>
      </c>
      <c r="C17891" s="1" t="s">
        <v>16</v>
      </c>
      <c r="D17891" s="1" t="str">
        <f>"0027Q6615S"</f>
        <v>0027Q6615S</v>
      </c>
      <c r="E17891" s="1" t="s">
        <v>10</v>
      </c>
      <c r="F17891" s="1" t="str">
        <f>"fde3:102:1304:3c02:0:0:0:2"</f>
        <v>fde3:102:1304:3c02:0:0:0:2</v>
      </c>
      <c r="G17891" s="1" t="str">
        <f>"0027Q661"</f>
        <v>0027Q661</v>
      </c>
      <c r="H17891" s="1" t="str">
        <f>"명륜지 11R8"</f>
        <v>명륜지 11R8</v>
      </c>
      <c r="I17891" s="1" t="s">
        <v>15</v>
      </c>
      <c r="J17891" s="1" t="str">
        <f>"70/70"</f>
        <v>70/70</v>
      </c>
      <c r="K17891" s="1" t="str">
        <f>"2026-07-29 14:20:21"</f>
        <v>2026-07-29 14:20:21</v>
      </c>
      <c r="L17891" s="1" t="str">
        <f>"2023-08-02 11:14:57"</f>
        <v>2023-08-02 11:14:57</v>
      </c>
      <c r="M17891" s="1" t="s">
        <v>45</v>
      </c>
      <c r="N17891" s="1" t="s">
        <v>38</v>
      </c>
      <c r="O17891" s="1" t="s">
        <v>46</v>
      </c>
    </row>
    <row r="17892" spans="2:15" x14ac:dyDescent="0.3">
      <c r="B17892" s="1" t="s">
        <v>13</v>
      </c>
      <c r="C17892" s="1" t="s">
        <v>16</v>
      </c>
      <c r="D17892" s="1" t="str">
        <f>"0027Q6815S"</f>
        <v>0027Q6815S</v>
      </c>
      <c r="E17892" s="1" t="s">
        <v>10</v>
      </c>
      <c r="F17892" s="1" t="str">
        <f>"fde1:103:4:5620:0:0:0:2"</f>
        <v>fde1:103:4:5620:0:0:0:2</v>
      </c>
      <c r="G17892" s="1" t="str">
        <f>"0027Q681"</f>
        <v>0027Q681</v>
      </c>
      <c r="H17892" s="1" t="str">
        <f>"혜화지 8R1L2"</f>
        <v>혜화지 8R1L2</v>
      </c>
      <c r="I17892" s="1" t="s">
        <v>15</v>
      </c>
      <c r="J17892" s="1" t="str">
        <f>"85/85"</f>
        <v>85/85</v>
      </c>
      <c r="K17892" s="1" t="str">
        <f>"2026-07-29 14:20:01"</f>
        <v>2026-07-29 14:20:01</v>
      </c>
      <c r="L17892" s="1" t="str">
        <f>"2023-08-04 10:28:33"</f>
        <v>2023-08-04 10:28:33</v>
      </c>
      <c r="M17892" s="1" t="s">
        <v>4</v>
      </c>
      <c r="N17892" s="1" t="s">
        <v>38</v>
      </c>
      <c r="O17892" s="1" t="s">
        <v>46</v>
      </c>
    </row>
    <row r="17893" spans="2:15" x14ac:dyDescent="0.3">
      <c r="B17893" s="1" t="s">
        <v>13</v>
      </c>
      <c r="C17893" s="1" t="s">
        <v>16</v>
      </c>
      <c r="D17893" s="1" t="str">
        <f>"0027Q7015S"</f>
        <v>0027Q7015S</v>
      </c>
      <c r="E17893" s="1" t="s">
        <v>10</v>
      </c>
      <c r="F17893" s="1" t="str">
        <f>"fde3:102:1304:1202:0:0:0:2"</f>
        <v>fde3:102:1304:1202:0:0:0:2</v>
      </c>
      <c r="G17893" s="1" t="str">
        <f>"0027Q701"</f>
        <v>0027Q701</v>
      </c>
      <c r="H17893" s="1" t="str">
        <f>"명륜지 5R6"</f>
        <v>명륜지 5R6</v>
      </c>
      <c r="I17893" s="1" t="s">
        <v>15</v>
      </c>
      <c r="J17893" s="1" t="str">
        <f>"64/64"</f>
        <v>64/64</v>
      </c>
      <c r="K17893" s="1" t="str">
        <f>"2026-07-29 14:20:22"</f>
        <v>2026-07-29 14:20:22</v>
      </c>
      <c r="L17893" s="1" t="str">
        <f>"2023-08-02 14:11:07"</f>
        <v>2023-08-02 14:11:07</v>
      </c>
      <c r="M17893" s="1" t="s">
        <v>45</v>
      </c>
      <c r="N17893" s="1" t="s">
        <v>38</v>
      </c>
      <c r="O17893" s="1" t="s">
        <v>46</v>
      </c>
    </row>
    <row r="17894" spans="2:15" x14ac:dyDescent="0.3">
      <c r="B17894" s="1" t="s">
        <v>13</v>
      </c>
      <c r="C17894" s="1" t="str">
        <f>"2차"</f>
        <v>2차</v>
      </c>
      <c r="D17894" s="1" t="str">
        <f>"0027Q76129"</f>
        <v>0027Q76129</v>
      </c>
      <c r="E17894" s="1" t="s">
        <v>10</v>
      </c>
      <c r="F17894" s="1" t="str">
        <f>"10.11.1.146"</f>
        <v>10.11.1.146</v>
      </c>
      <c r="G17894" s="1" t="str">
        <f>"0027Q761"</f>
        <v>0027Q761</v>
      </c>
      <c r="H17894" s="1" t="str">
        <f>"명륜지 11R10"</f>
        <v>명륜지 11R10</v>
      </c>
      <c r="I17894" s="1" t="s">
        <v>8</v>
      </c>
      <c r="J17894" s="1" t="str">
        <f>"36/36"</f>
        <v>36/36</v>
      </c>
      <c r="K17894" s="1" t="str">
        <f>"2026-07-29 13:18:01"</f>
        <v>2026-07-29 13:18:01</v>
      </c>
      <c r="L17894" s="1" t="str">
        <f>"2017-06-21 17:41:03"</f>
        <v>2017-06-21 17:41:03</v>
      </c>
      <c r="M17894" s="1" t="s">
        <v>2</v>
      </c>
      <c r="N17894" s="1" t="s">
        <v>38</v>
      </c>
      <c r="O17894" s="1" t="s">
        <v>46</v>
      </c>
    </row>
    <row r="17895" spans="2:15" x14ac:dyDescent="0.3">
      <c r="B17895" s="1" t="s">
        <v>13</v>
      </c>
      <c r="C17895" s="1" t="s">
        <v>16</v>
      </c>
      <c r="D17895" s="1" t="str">
        <f>"0027Q7625S"</f>
        <v>0027Q7625S</v>
      </c>
      <c r="E17895" s="1" t="s">
        <v>10</v>
      </c>
      <c r="F17895" s="1" t="str">
        <f>"fde3:102:1304:3c02:0:0:0:3"</f>
        <v>fde3:102:1304:3c02:0:0:0:3</v>
      </c>
      <c r="G17895" s="1" t="str">
        <f>"0027Q762"</f>
        <v>0027Q762</v>
      </c>
      <c r="H17895" s="1" t="str">
        <f>"명륜지 11R9"</f>
        <v>명륜지 11R9</v>
      </c>
      <c r="I17895" s="1" t="s">
        <v>15</v>
      </c>
      <c r="J17895" s="1" t="str">
        <f>"45/45"</f>
        <v>45/45</v>
      </c>
      <c r="K17895" s="1" t="str">
        <f>"2026-07-29 14:20:00"</f>
        <v>2026-07-29 14:20:00</v>
      </c>
      <c r="L17895" s="1" t="str">
        <f>"2023-08-02 10:55:52"</f>
        <v>2023-08-02 10:55:52</v>
      </c>
      <c r="M17895" s="1" t="s">
        <v>45</v>
      </c>
      <c r="N17895" s="1" t="s">
        <v>38</v>
      </c>
      <c r="O17895" s="1" t="s">
        <v>46</v>
      </c>
    </row>
    <row r="17896" spans="2:15" x14ac:dyDescent="0.3">
      <c r="B17896" s="1" t="s">
        <v>13</v>
      </c>
      <c r="C17896" s="1" t="s">
        <v>16</v>
      </c>
      <c r="D17896" s="1" t="str">
        <f>"0027Q7725S"</f>
        <v>0027Q7725S</v>
      </c>
      <c r="E17896" s="1" t="s">
        <v>10</v>
      </c>
      <c r="F17896" s="1" t="str">
        <f>"fde3:102:1304:f03:0:0:0:2"</f>
        <v>fde3:102:1304:f03:0:0:0:2</v>
      </c>
      <c r="G17896" s="1" t="str">
        <f>"0027Q772"</f>
        <v>0027Q772</v>
      </c>
      <c r="H17896" s="1" t="str">
        <f>"혜화지 7L1H1"</f>
        <v>혜화지 7L1H1</v>
      </c>
      <c r="I17896" s="1" t="s">
        <v>15</v>
      </c>
      <c r="J17896" s="1" t="str">
        <f>"218/218"</f>
        <v>218/218</v>
      </c>
      <c r="K17896" s="1" t="str">
        <f>"2026-07-29 14:20:21"</f>
        <v>2026-07-29 14:20:21</v>
      </c>
      <c r="L17896" s="1" t="str">
        <f>"2023-08-02 11:31:12"</f>
        <v>2023-08-02 11:31:12</v>
      </c>
      <c r="M17896" s="1" t="s">
        <v>45</v>
      </c>
      <c r="N17896" s="1" t="s">
        <v>38</v>
      </c>
      <c r="O17896" s="1" t="s">
        <v>46</v>
      </c>
    </row>
    <row r="17897" spans="2:15" x14ac:dyDescent="0.3">
      <c r="B17897" s="1" t="s">
        <v>13</v>
      </c>
      <c r="C17897" s="1" t="str">
        <f>"4차"</f>
        <v>4차</v>
      </c>
      <c r="D17897" s="1" t="str">
        <f>"0027Q80239"</f>
        <v>0027Q80239</v>
      </c>
      <c r="E17897" s="1" t="s">
        <v>10</v>
      </c>
      <c r="F17897" s="1" t="str">
        <f>"10.12.133.215"</f>
        <v>10.12.133.215</v>
      </c>
      <c r="G17897" s="1" t="str">
        <f>"0027Q802"</f>
        <v>0027Q802</v>
      </c>
      <c r="H17897" s="1" t="str">
        <f>"창경로 18"</f>
        <v>창경로 18</v>
      </c>
      <c r="I17897" s="1" t="s">
        <v>17</v>
      </c>
      <c r="J17897" s="1" t="str">
        <f>"1/1"</f>
        <v>1/1</v>
      </c>
      <c r="K17897" s="1" t="str">
        <f>"2026-07-29 13:18:04"</f>
        <v>2026-07-29 13:18:04</v>
      </c>
      <c r="L17897" s="1" t="str">
        <f>"2018-06-15 10:57:59"</f>
        <v>2018-06-15 10:57:59</v>
      </c>
      <c r="M17897" s="1" t="s">
        <v>0</v>
      </c>
      <c r="N17897" s="1" t="s">
        <v>38</v>
      </c>
      <c r="O17897" s="1" t="s">
        <v>46</v>
      </c>
    </row>
    <row r="17898" spans="2:15" x14ac:dyDescent="0.3">
      <c r="B17898" s="1" t="s">
        <v>13</v>
      </c>
      <c r="C17898" s="1" t="str">
        <f>"4차"</f>
        <v>4차</v>
      </c>
      <c r="D17898" s="1" t="str">
        <f>"0027Q81139"</f>
        <v>0027Q81139</v>
      </c>
      <c r="E17898" s="1" t="s">
        <v>10</v>
      </c>
      <c r="F17898" s="1" t="str">
        <f>"10.12.134.108"</f>
        <v>10.12.134.108</v>
      </c>
      <c r="G17898" s="1" t="str">
        <f>"0027Q811"</f>
        <v>0027Q811</v>
      </c>
      <c r="H17898" s="1" t="str">
        <f>"창경로 9"</f>
        <v>창경로 9</v>
      </c>
      <c r="I17898" s="1" t="s">
        <v>17</v>
      </c>
      <c r="J17898" s="1" t="str">
        <f>"6/7"</f>
        <v>6/7</v>
      </c>
      <c r="K17898" s="1" t="str">
        <f>"2026-07-29 13:18:01"</f>
        <v>2026-07-29 13:18:01</v>
      </c>
      <c r="L17898" s="1" t="str">
        <f>"2018-06-15 09:49:42"</f>
        <v>2018-06-15 09:49:42</v>
      </c>
      <c r="M17898" s="1" t="s">
        <v>0</v>
      </c>
      <c r="N17898" s="1" t="s">
        <v>38</v>
      </c>
      <c r="O17898" s="1" t="s">
        <v>46</v>
      </c>
    </row>
    <row r="17899" spans="2:15" x14ac:dyDescent="0.3">
      <c r="B17899" s="1" t="s">
        <v>13</v>
      </c>
      <c r="C17899" s="1" t="str">
        <f>"4차"</f>
        <v>4차</v>
      </c>
      <c r="D17899" s="1" t="str">
        <f>"0027Q81239"</f>
        <v>0027Q81239</v>
      </c>
      <c r="E17899" s="1" t="s">
        <v>10</v>
      </c>
      <c r="F17899" s="1" t="str">
        <f>"10.12.134.101"</f>
        <v>10.12.134.101</v>
      </c>
      <c r="G17899" s="1" t="str">
        <f>"0027Q812"</f>
        <v>0027Q812</v>
      </c>
      <c r="H17899" s="1" t="str">
        <f>"창경로 10"</f>
        <v>창경로 10</v>
      </c>
      <c r="I17899" s="1" t="s">
        <v>17</v>
      </c>
      <c r="J17899" s="1" t="str">
        <f>"17/19"</f>
        <v>17/19</v>
      </c>
      <c r="K17899" s="1" t="str">
        <f>"2026-07-29 13:18:02"</f>
        <v>2026-07-29 13:18:02</v>
      </c>
      <c r="L17899" s="1" t="str">
        <f>"2018-06-19 07:03:40"</f>
        <v>2018-06-19 07:03:40</v>
      </c>
      <c r="M17899" s="1" t="s">
        <v>0</v>
      </c>
      <c r="N17899" s="1" t="s">
        <v>38</v>
      </c>
      <c r="O17899" s="1" t="s">
        <v>46</v>
      </c>
    </row>
    <row r="17900" spans="2:15" x14ac:dyDescent="0.3">
      <c r="B17900" s="1" t="s">
        <v>13</v>
      </c>
      <c r="C17900" s="1" t="str">
        <f>"2차"</f>
        <v>2차</v>
      </c>
      <c r="D17900" s="1" t="str">
        <f>"0027Q88121"</f>
        <v>0027Q88121</v>
      </c>
      <c r="E17900" s="1" t="s">
        <v>10</v>
      </c>
      <c r="F17900" s="1" t="str">
        <f>"10.11.8.171"</f>
        <v>10.11.8.171</v>
      </c>
      <c r="G17900" s="1" t="str">
        <f>"0027Q881"</f>
        <v>0027Q881</v>
      </c>
      <c r="H17900" s="1" t="str">
        <f>"혜화지 7"</f>
        <v>혜화지 7</v>
      </c>
      <c r="I17900" s="1" t="s">
        <v>8</v>
      </c>
      <c r="J17900" s="1" t="str">
        <f>"8/8"</f>
        <v>8/8</v>
      </c>
      <c r="K17900" s="1" t="str">
        <f>"2026-07-29 13:18:01"</f>
        <v>2026-07-29 13:18:01</v>
      </c>
      <c r="L17900" s="1" t="str">
        <f>"2017-06-28 18:43:27"</f>
        <v>2017-06-28 18:43:27</v>
      </c>
      <c r="M17900" s="1" t="s">
        <v>2</v>
      </c>
      <c r="N17900" s="1" t="s">
        <v>38</v>
      </c>
      <c r="O17900" s="1" t="s">
        <v>46</v>
      </c>
    </row>
    <row r="17901" spans="2:15" x14ac:dyDescent="0.3">
      <c r="B17901" s="1" t="s">
        <v>13</v>
      </c>
      <c r="C17901" s="1" t="str">
        <f>"2차"</f>
        <v>2차</v>
      </c>
      <c r="D17901" s="1" t="str">
        <f>"0027Q88320"</f>
        <v>0027Q88320</v>
      </c>
      <c r="E17901" s="1" t="s">
        <v>10</v>
      </c>
      <c r="F17901" s="1" t="str">
        <f>"10.11.8.170"</f>
        <v>10.11.8.170</v>
      </c>
      <c r="G17901" s="1" t="str">
        <f>"0027Q883"</f>
        <v>0027Q883</v>
      </c>
      <c r="H17901" s="1" t="str">
        <f>"혜화지 8"</f>
        <v>혜화지 8</v>
      </c>
      <c r="I17901" s="1" t="s">
        <v>8</v>
      </c>
      <c r="J17901" s="1" t="str">
        <f>"5/5"</f>
        <v>5/5</v>
      </c>
      <c r="K17901" s="1" t="str">
        <f>"2026-07-29 13:18:01"</f>
        <v>2026-07-29 13:18:01</v>
      </c>
      <c r="L17901" s="1" t="str">
        <f>"2017-06-28 18:33:41"</f>
        <v>2017-06-28 18:33:41</v>
      </c>
      <c r="M17901" s="1" t="s">
        <v>2</v>
      </c>
      <c r="N17901" s="1" t="s">
        <v>38</v>
      </c>
      <c r="O17901" s="1" t="s">
        <v>46</v>
      </c>
    </row>
    <row r="17902" spans="2:15" x14ac:dyDescent="0.3">
      <c r="B17902" s="1" t="s">
        <v>13</v>
      </c>
      <c r="C17902" s="1" t="str">
        <f>"2차"</f>
        <v>2차</v>
      </c>
      <c r="D17902" s="1" t="str">
        <f>"0027Q89122"</f>
        <v>0027Q89122</v>
      </c>
      <c r="E17902" s="1" t="s">
        <v>10</v>
      </c>
      <c r="F17902" s="1" t="str">
        <f>"10.11.8.172"</f>
        <v>10.11.8.172</v>
      </c>
      <c r="G17902" s="1" t="str">
        <f>"0027Q891"</f>
        <v>0027Q891</v>
      </c>
      <c r="H17902" s="1" t="str">
        <f>"혜화지 9H1"</f>
        <v>혜화지 9H1</v>
      </c>
      <c r="I17902" s="1" t="s">
        <v>8</v>
      </c>
      <c r="J17902" s="1" t="str">
        <f>"48/48"</f>
        <v>48/48</v>
      </c>
      <c r="K17902" s="1" t="str">
        <f>"2026-07-29 13:18:01"</f>
        <v>2026-07-29 13:18:01</v>
      </c>
      <c r="L17902" s="1" t="str">
        <f>"2017-06-28 18:47:42"</f>
        <v>2017-06-28 18:47:42</v>
      </c>
      <c r="M17902" s="1" t="s">
        <v>2</v>
      </c>
      <c r="N17902" s="1" t="s">
        <v>38</v>
      </c>
      <c r="O17902" s="1" t="s">
        <v>46</v>
      </c>
    </row>
    <row r="17903" spans="2:15" x14ac:dyDescent="0.3">
      <c r="B17903" s="1" t="s">
        <v>13</v>
      </c>
      <c r="C17903" s="1" t="str">
        <f>"4차"</f>
        <v>4차</v>
      </c>
      <c r="D17903" s="1" t="str">
        <f>"0027Q91239"</f>
        <v>0027Q91239</v>
      </c>
      <c r="E17903" s="1" t="s">
        <v>10</v>
      </c>
      <c r="F17903" s="1" t="str">
        <f>"10.12.134.158"</f>
        <v>10.12.134.158</v>
      </c>
      <c r="G17903" s="1" t="str">
        <f>"0027Q912"</f>
        <v>0027Q912</v>
      </c>
      <c r="H17903" s="1" t="str">
        <f>"창경로 18-1"</f>
        <v>창경로 18-1</v>
      </c>
      <c r="I17903" s="1" t="s">
        <v>17</v>
      </c>
      <c r="J17903" s="1" t="str">
        <f>"8/8"</f>
        <v>8/8</v>
      </c>
      <c r="K17903" s="1" t="str">
        <f>"2026-07-29 13:18:01"</f>
        <v>2026-07-29 13:18:01</v>
      </c>
      <c r="L17903" s="1" t="str">
        <f>"2018-06-15 11:11:11"</f>
        <v>2018-06-15 11:11:11</v>
      </c>
      <c r="M17903" s="1" t="s">
        <v>0</v>
      </c>
      <c r="N17903" s="1" t="s">
        <v>38</v>
      </c>
      <c r="O17903" s="1" t="s">
        <v>46</v>
      </c>
    </row>
    <row r="17904" spans="2:15" x14ac:dyDescent="0.3">
      <c r="B17904" s="1" t="s">
        <v>13</v>
      </c>
      <c r="C17904" s="1" t="str">
        <f>"4차"</f>
        <v>4차</v>
      </c>
      <c r="D17904" s="1" t="str">
        <f>"0027Q93139"</f>
        <v>0027Q93139</v>
      </c>
      <c r="E17904" s="1" t="s">
        <v>10</v>
      </c>
      <c r="F17904" s="1" t="str">
        <f>"10.12.134.85"</f>
        <v>10.12.134.85</v>
      </c>
      <c r="G17904" s="1" t="str">
        <f>"0027Q931"</f>
        <v>0027Q931</v>
      </c>
      <c r="H17904" s="1" t="str">
        <f>"창경로 11"</f>
        <v>창경로 11</v>
      </c>
      <c r="I17904" s="1" t="s">
        <v>17</v>
      </c>
      <c r="J17904" s="1" t="str">
        <f>"13/13"</f>
        <v>13/13</v>
      </c>
      <c r="K17904" s="1" t="str">
        <f>"2026-07-29 13:18:02"</f>
        <v>2026-07-29 13:18:02</v>
      </c>
      <c r="L17904" s="1" t="str">
        <f>"2018-06-19 06:58:55"</f>
        <v>2018-06-19 06:58:55</v>
      </c>
      <c r="M17904" s="1" t="s">
        <v>0</v>
      </c>
      <c r="N17904" s="1" t="s">
        <v>38</v>
      </c>
      <c r="O17904" s="1" t="s">
        <v>46</v>
      </c>
    </row>
    <row r="17905" spans="2:15" x14ac:dyDescent="0.3">
      <c r="B17905" s="1" t="s">
        <v>13</v>
      </c>
      <c r="C17905" s="1" t="s">
        <v>16</v>
      </c>
      <c r="D17905" s="1" t="str">
        <f>"0027Q9715S"</f>
        <v>0027Q9715S</v>
      </c>
      <c r="E17905" s="1" t="s">
        <v>10</v>
      </c>
      <c r="F17905" s="1" t="str">
        <f>"fde3:102:1304:f04:0:0:0:2"</f>
        <v>fde3:102:1304:f04:0:0:0:2</v>
      </c>
      <c r="G17905" s="1" t="str">
        <f>"0027Q971"</f>
        <v>0027Q971</v>
      </c>
      <c r="H17905" s="1" t="str">
        <f>"혜화지 6H1R2"</f>
        <v>혜화지 6H1R2</v>
      </c>
      <c r="I17905" s="1" t="s">
        <v>15</v>
      </c>
      <c r="J17905" s="1" t="str">
        <f>"58/58"</f>
        <v>58/58</v>
      </c>
      <c r="K17905" s="1" t="str">
        <f>"2026-07-29 14:20:21"</f>
        <v>2026-07-29 14:20:21</v>
      </c>
      <c r="L17905" s="1" t="str">
        <f>"2023-08-08 16:55:51"</f>
        <v>2023-08-08 16:55:51</v>
      </c>
      <c r="M17905" s="1" t="s">
        <v>45</v>
      </c>
      <c r="N17905" s="1" t="s">
        <v>38</v>
      </c>
      <c r="O17905" s="1" t="s">
        <v>46</v>
      </c>
    </row>
    <row r="17906" spans="2:15" x14ac:dyDescent="0.3">
      <c r="B17906" s="1" t="s">
        <v>13</v>
      </c>
      <c r="C17906" s="1" t="str">
        <f>"2차"</f>
        <v>2차</v>
      </c>
      <c r="D17906" s="1" t="str">
        <f>"0027Q98329"</f>
        <v>0027Q98329</v>
      </c>
      <c r="E17906" s="1" t="s">
        <v>10</v>
      </c>
      <c r="F17906" s="1" t="str">
        <f>"10.11.8.130"</f>
        <v>10.11.8.130</v>
      </c>
      <c r="G17906" s="1" t="str">
        <f>"0027Q983"</f>
        <v>0027Q983</v>
      </c>
      <c r="H17906" s="1" t="str">
        <f>"혜화지 6H1R3L2"</f>
        <v>혜화지 6H1R3L2</v>
      </c>
      <c r="I17906" s="1" t="s">
        <v>8</v>
      </c>
      <c r="J17906" s="1" t="str">
        <f>"24/24"</f>
        <v>24/24</v>
      </c>
      <c r="K17906" s="1" t="str">
        <f>"2026-07-29 13:18:01"</f>
        <v>2026-07-29 13:18:01</v>
      </c>
      <c r="L17906" s="1" t="str">
        <f>"2017-06-28 12:04:38"</f>
        <v>2017-06-28 12:04:38</v>
      </c>
      <c r="M17906" s="1" t="s">
        <v>2</v>
      </c>
      <c r="N17906" s="1" t="s">
        <v>38</v>
      </c>
      <c r="O17906" s="1" t="s">
        <v>46</v>
      </c>
    </row>
    <row r="17907" spans="2:15" x14ac:dyDescent="0.3">
      <c r="B17907" s="1" t="s">
        <v>13</v>
      </c>
      <c r="C17907" s="1" t="s">
        <v>16</v>
      </c>
      <c r="D17907" s="1" t="str">
        <f>"0027Q9915S"</f>
        <v>0027Q9915S</v>
      </c>
      <c r="E17907" s="1" t="s">
        <v>10</v>
      </c>
      <c r="F17907" s="1" t="str">
        <f>"fde3:102:1304:f06:0:0:0:2"</f>
        <v>fde3:102:1304:f06:0:0:0:2</v>
      </c>
      <c r="G17907" s="1" t="str">
        <f>"0027Q991"</f>
        <v>0027Q991</v>
      </c>
      <c r="H17907" s="1" t="str">
        <f>"혜화지 6H1R3L3"</f>
        <v>혜화지 6H1R3L3</v>
      </c>
      <c r="I17907" s="1" t="s">
        <v>15</v>
      </c>
      <c r="J17907" s="1" t="str">
        <f>"102/102"</f>
        <v>102/102</v>
      </c>
      <c r="K17907" s="1" t="str">
        <f>"2026-07-29 14:20:21"</f>
        <v>2026-07-29 14:20:21</v>
      </c>
      <c r="L17907" s="1" t="str">
        <f>"2023-08-02 14:39:43"</f>
        <v>2023-08-02 14:39:43</v>
      </c>
      <c r="M17907" s="1" t="s">
        <v>45</v>
      </c>
      <c r="N17907" s="1" t="s">
        <v>38</v>
      </c>
      <c r="O17907" s="1" t="s">
        <v>46</v>
      </c>
    </row>
    <row r="17908" spans="2:15" x14ac:dyDescent="0.3">
      <c r="B17908" s="1" t="s">
        <v>13</v>
      </c>
      <c r="C17908" s="1" t="str">
        <f t="shared" ref="C17908:C17913" si="892">"4차"</f>
        <v>4차</v>
      </c>
      <c r="D17908" s="1" t="str">
        <f>"0027R07139"</f>
        <v>0027R07139</v>
      </c>
      <c r="E17908" s="1" t="s">
        <v>14</v>
      </c>
      <c r="F17908" s="1" t="str">
        <f>"10.12.131.230"</f>
        <v>10.12.131.230</v>
      </c>
      <c r="G17908" s="1" t="str">
        <f>"0027R071"</f>
        <v>0027R071</v>
      </c>
      <c r="H17908" s="1" t="str">
        <f>"북촌로 15"</f>
        <v>북촌로 15</v>
      </c>
      <c r="I17908" s="1" t="s">
        <v>17</v>
      </c>
      <c r="J17908" s="1" t="str">
        <f>"0/0"</f>
        <v>0/0</v>
      </c>
      <c r="K17908" s="1" t="str">
        <f>"2026-07-28 13:18:02"</f>
        <v>2026-07-28 13:18:02</v>
      </c>
      <c r="L17908" s="1" t="str">
        <f>"2023-05-04 14:37:23"</f>
        <v>2023-05-04 14:37:23</v>
      </c>
      <c r="M17908" s="1" t="s">
        <v>0</v>
      </c>
      <c r="N17908" s="1" t="s">
        <v>39</v>
      </c>
      <c r="O17908" s="1" t="s">
        <v>46</v>
      </c>
    </row>
    <row r="17909" spans="2:15" x14ac:dyDescent="0.3">
      <c r="B17909" s="1" t="s">
        <v>13</v>
      </c>
      <c r="C17909" s="1" t="str">
        <f t="shared" si="892"/>
        <v>4차</v>
      </c>
      <c r="D17909" s="1" t="str">
        <f>"0027R07239"</f>
        <v>0027R07239</v>
      </c>
      <c r="E17909" s="1" t="s">
        <v>10</v>
      </c>
      <c r="F17909" s="1" t="str">
        <f>"10.12.130.81"</f>
        <v>10.12.130.81</v>
      </c>
      <c r="G17909" s="1" t="str">
        <f>"0027R072"</f>
        <v>0027R072</v>
      </c>
      <c r="H17909" s="1" t="str">
        <f>"북촌로 16"</f>
        <v>북촌로 16</v>
      </c>
      <c r="I17909" s="1" t="s">
        <v>17</v>
      </c>
      <c r="J17909" s="1" t="str">
        <f>"20/20"</f>
        <v>20/20</v>
      </c>
      <c r="K17909" s="1" t="str">
        <f>"2026-07-29 13:18:01"</f>
        <v>2026-07-29 13:18:01</v>
      </c>
      <c r="L17909" s="1" t="str">
        <f>"2018-10-19 10:15:42"</f>
        <v>2018-10-19 10:15:42</v>
      </c>
      <c r="M17909" s="1" t="s">
        <v>0</v>
      </c>
      <c r="N17909" s="1" t="s">
        <v>38</v>
      </c>
      <c r="O17909" s="1" t="s">
        <v>46</v>
      </c>
    </row>
    <row r="17910" spans="2:15" x14ac:dyDescent="0.3">
      <c r="B17910" s="1" t="s">
        <v>13</v>
      </c>
      <c r="C17910" s="1" t="str">
        <f t="shared" si="892"/>
        <v>4차</v>
      </c>
      <c r="D17910" s="1" t="str">
        <f>"0027S39139"</f>
        <v>0027S39139</v>
      </c>
      <c r="E17910" s="1" t="s">
        <v>10</v>
      </c>
      <c r="F17910" s="1" t="str">
        <f>"10.12.133.129"</f>
        <v>10.12.133.129</v>
      </c>
      <c r="G17910" s="1" t="str">
        <f>"0027S391"</f>
        <v>0027S391</v>
      </c>
      <c r="H17910" s="1" t="str">
        <f>"성균관로 2"</f>
        <v>성균관로 2</v>
      </c>
      <c r="I17910" s="1" t="s">
        <v>17</v>
      </c>
      <c r="J17910" s="1" t="str">
        <f>"13/13"</f>
        <v>13/13</v>
      </c>
      <c r="K17910" s="1" t="str">
        <f>"2026-07-29 13:18:02"</f>
        <v>2026-07-29 13:18:02</v>
      </c>
      <c r="L17910" s="1" t="str">
        <f>"2018-06-16 10:39:11"</f>
        <v>2018-06-16 10:39:11</v>
      </c>
      <c r="M17910" s="1" t="s">
        <v>0</v>
      </c>
      <c r="N17910" s="1" t="s">
        <v>38</v>
      </c>
      <c r="O17910" s="1" t="s">
        <v>46</v>
      </c>
    </row>
    <row r="17911" spans="2:15" x14ac:dyDescent="0.3">
      <c r="B17911" s="1" t="s">
        <v>13</v>
      </c>
      <c r="C17911" s="1" t="str">
        <f t="shared" si="892"/>
        <v>4차</v>
      </c>
      <c r="D17911" s="1" t="str">
        <f>"0027S39339"</f>
        <v>0027S39339</v>
      </c>
      <c r="E17911" s="1" t="s">
        <v>10</v>
      </c>
      <c r="F17911" s="1" t="str">
        <f>"10.12.133.139"</f>
        <v>10.12.133.139</v>
      </c>
      <c r="G17911" s="1" t="str">
        <f>"0027S393"</f>
        <v>0027S393</v>
      </c>
      <c r="H17911" s="1" t="str">
        <f>"성균관로 2-1"</f>
        <v>성균관로 2-1</v>
      </c>
      <c r="I17911" s="1" t="s">
        <v>17</v>
      </c>
      <c r="J17911" s="1" t="str">
        <f>"60/60"</f>
        <v>60/60</v>
      </c>
      <c r="K17911" s="1" t="str">
        <f>"2026-07-29 13:18:02"</f>
        <v>2026-07-29 13:18:02</v>
      </c>
      <c r="L17911" s="1" t="str">
        <f>"2018-06-16 10:52:42"</f>
        <v>2018-06-16 10:52:42</v>
      </c>
      <c r="M17911" s="1" t="s">
        <v>0</v>
      </c>
      <c r="N17911" s="1" t="s">
        <v>38</v>
      </c>
      <c r="O17911" s="1" t="s">
        <v>46</v>
      </c>
    </row>
    <row r="17912" spans="2:15" x14ac:dyDescent="0.3">
      <c r="B17912" s="1" t="s">
        <v>13</v>
      </c>
      <c r="C17912" s="1" t="str">
        <f t="shared" si="892"/>
        <v>4차</v>
      </c>
      <c r="D17912" s="1" t="str">
        <f>"0027S45139"</f>
        <v>0027S45139</v>
      </c>
      <c r="E17912" s="1" t="s">
        <v>10</v>
      </c>
      <c r="F17912" s="1" t="str">
        <f>"10.12.130.110"</f>
        <v>10.12.130.110</v>
      </c>
      <c r="G17912" s="1" t="str">
        <f>"0027S451"</f>
        <v>0027S451</v>
      </c>
      <c r="H17912" s="1" t="str">
        <f>"창경로 13-1"</f>
        <v>창경로 13-1</v>
      </c>
      <c r="I17912" s="1" t="s">
        <v>17</v>
      </c>
      <c r="J17912" s="1" t="str">
        <f>"16/16"</f>
        <v>16/16</v>
      </c>
      <c r="K17912" s="1" t="str">
        <f>"2026-07-29 13:18:01"</f>
        <v>2026-07-29 13:18:01</v>
      </c>
      <c r="L17912" s="1" t="str">
        <f>"2018-10-22 11:30:56"</f>
        <v>2018-10-22 11:30:56</v>
      </c>
      <c r="M17912" s="1" t="s">
        <v>0</v>
      </c>
      <c r="N17912" s="1" t="s">
        <v>38</v>
      </c>
      <c r="O17912" s="1" t="s">
        <v>46</v>
      </c>
    </row>
    <row r="17913" spans="2:15" x14ac:dyDescent="0.3">
      <c r="B17913" s="1" t="s">
        <v>13</v>
      </c>
      <c r="C17913" s="1" t="str">
        <f t="shared" si="892"/>
        <v>4차</v>
      </c>
      <c r="D17913" s="1" t="str">
        <f>"0027S49439"</f>
        <v>0027S49439</v>
      </c>
      <c r="E17913" s="1" t="s">
        <v>10</v>
      </c>
      <c r="F17913" s="1" t="str">
        <f>"10.12.133.62"</f>
        <v>10.12.133.62</v>
      </c>
      <c r="G17913" s="1" t="str">
        <f>"0027S494"</f>
        <v>0027S494</v>
      </c>
      <c r="H17913" s="1" t="str">
        <f>"성균관로 3-2"</f>
        <v>성균관로 3-2</v>
      </c>
      <c r="I17913" s="1" t="s">
        <v>17</v>
      </c>
      <c r="J17913" s="1" t="str">
        <f>"2/2"</f>
        <v>2/2</v>
      </c>
      <c r="K17913" s="1" t="str">
        <f>"2026-07-29 13:18:02"</f>
        <v>2026-07-29 13:18:02</v>
      </c>
      <c r="L17913" s="1" t="str">
        <f>"2018-06-16 10:20:27"</f>
        <v>2018-06-16 10:20:27</v>
      </c>
      <c r="M17913" s="1" t="s">
        <v>0</v>
      </c>
      <c r="N17913" s="1" t="s">
        <v>38</v>
      </c>
      <c r="O17913" s="1" t="s">
        <v>46</v>
      </c>
    </row>
    <row r="17914" spans="2:15" x14ac:dyDescent="0.3">
      <c r="B17914" s="1" t="s">
        <v>13</v>
      </c>
      <c r="C17914" s="1" t="str">
        <f>"5-2차"</f>
        <v>5-2차</v>
      </c>
      <c r="D17914" s="1" t="str">
        <f>"0027S5615M"</f>
        <v>0027S5615M</v>
      </c>
      <c r="E17914" s="1" t="s">
        <v>10</v>
      </c>
      <c r="F17914" s="1" t="str">
        <f>"fde2:104:0:183:0:0:0:2"</f>
        <v>fde2:104:0:183:0:0:0:2</v>
      </c>
      <c r="G17914" s="1" t="str">
        <f>"0027S561"</f>
        <v>0027S561</v>
      </c>
      <c r="H17914" s="1" t="str">
        <f>"대학간 38L9"</f>
        <v>대학간 38L9</v>
      </c>
      <c r="I17914" s="1" t="s">
        <v>15</v>
      </c>
      <c r="J17914" s="1" t="str">
        <f>"44/45"</f>
        <v>44/45</v>
      </c>
      <c r="K17914" s="1" t="str">
        <f>"2026-07-29 14:20:21"</f>
        <v>2026-07-29 14:20:21</v>
      </c>
      <c r="L17914" s="1" t="str">
        <f>"2023-06-13 14:01:34"</f>
        <v>2023-06-13 14:01:34</v>
      </c>
      <c r="M17914" s="1" t="s">
        <v>42</v>
      </c>
      <c r="N17914" s="1" t="s">
        <v>38</v>
      </c>
      <c r="O17914" s="1" t="s">
        <v>46</v>
      </c>
    </row>
    <row r="17915" spans="2:15" x14ac:dyDescent="0.3">
      <c r="B17915" s="1" t="s">
        <v>13</v>
      </c>
      <c r="C17915" s="1" t="str">
        <f>"4차"</f>
        <v>4차</v>
      </c>
      <c r="D17915" s="1" t="str">
        <f>"0027S59139"</f>
        <v>0027S59139</v>
      </c>
      <c r="E17915" s="1" t="s">
        <v>10</v>
      </c>
      <c r="F17915" s="1" t="str">
        <f>"10.12.133.137"</f>
        <v>10.12.133.137</v>
      </c>
      <c r="G17915" s="1" t="str">
        <f>"0027S591"</f>
        <v>0027S591</v>
      </c>
      <c r="H17915" s="1" t="str">
        <f>"성균관로 1"</f>
        <v>성균관로 1</v>
      </c>
      <c r="I17915" s="1" t="s">
        <v>17</v>
      </c>
      <c r="J17915" s="1" t="str">
        <f>"44/44"</f>
        <v>44/44</v>
      </c>
      <c r="K17915" s="1" t="str">
        <f>"2026-07-29 13:18:02"</f>
        <v>2026-07-29 13:18:02</v>
      </c>
      <c r="L17915" s="1" t="str">
        <f>"2018-06-16 09:58:25"</f>
        <v>2018-06-16 09:58:25</v>
      </c>
      <c r="M17915" s="1" t="s">
        <v>0</v>
      </c>
      <c r="N17915" s="1" t="s">
        <v>38</v>
      </c>
      <c r="O17915" s="1" t="s">
        <v>46</v>
      </c>
    </row>
    <row r="17916" spans="2:15" x14ac:dyDescent="0.3">
      <c r="B17916" s="1" t="s">
        <v>13</v>
      </c>
      <c r="C17916" s="1" t="str">
        <f>"5-2차"</f>
        <v>5-2차</v>
      </c>
      <c r="D17916" s="1" t="str">
        <f>"0027S6515M"</f>
        <v>0027S6515M</v>
      </c>
      <c r="E17916" s="1" t="s">
        <v>10</v>
      </c>
      <c r="F17916" s="1" t="str">
        <f>"fde2:104:0:1b8:0:0:0:2"</f>
        <v>fde2:104:0:1b8:0:0:0:2</v>
      </c>
      <c r="G17916" s="1" t="str">
        <f>"0027S651"</f>
        <v>0027S651</v>
      </c>
      <c r="H17916" s="1" t="str">
        <f>"대학간 38L5L3R4"</f>
        <v>대학간 38L5L3R4</v>
      </c>
      <c r="I17916" s="1" t="s">
        <v>15</v>
      </c>
      <c r="J17916" s="1" t="str">
        <f>"59/60"</f>
        <v>59/60</v>
      </c>
      <c r="K17916" s="1" t="str">
        <f>"2026-07-29 14:20:22"</f>
        <v>2026-07-29 14:20:22</v>
      </c>
      <c r="L17916" s="1" t="str">
        <f>"2023-06-27 17:46:12"</f>
        <v>2023-06-27 17:46:12</v>
      </c>
      <c r="M17916" s="1" t="s">
        <v>42</v>
      </c>
      <c r="N17916" s="1" t="s">
        <v>38</v>
      </c>
      <c r="O17916" s="1" t="s">
        <v>46</v>
      </c>
    </row>
    <row r="17917" spans="2:15" x14ac:dyDescent="0.3">
      <c r="B17917" s="1" t="s">
        <v>13</v>
      </c>
      <c r="C17917" s="1" t="str">
        <f>"4차"</f>
        <v>4차</v>
      </c>
      <c r="D17917" s="1" t="str">
        <f>"0027S67339"</f>
        <v>0027S67339</v>
      </c>
      <c r="E17917" s="1" t="s">
        <v>10</v>
      </c>
      <c r="F17917" s="1" t="str">
        <f>"10.12.130.108"</f>
        <v>10.12.130.108</v>
      </c>
      <c r="G17917" s="1" t="str">
        <f>"0027S673"</f>
        <v>0027S673</v>
      </c>
      <c r="H17917" s="1" t="str">
        <f>"창경로 14-1"</f>
        <v>창경로 14-1</v>
      </c>
      <c r="I17917" s="1" t="s">
        <v>17</v>
      </c>
      <c r="J17917" s="1" t="str">
        <f>"2/2"</f>
        <v>2/2</v>
      </c>
      <c r="K17917" s="1" t="str">
        <f>"2026-07-29 13:18:01"</f>
        <v>2026-07-29 13:18:01</v>
      </c>
      <c r="L17917" s="1" t="str">
        <f>"2018-10-22 12:00:56"</f>
        <v>2018-10-22 12:00:56</v>
      </c>
      <c r="M17917" s="1" t="s">
        <v>0</v>
      </c>
      <c r="N17917" s="1" t="s">
        <v>38</v>
      </c>
      <c r="O17917" s="1" t="s">
        <v>46</v>
      </c>
    </row>
    <row r="17918" spans="2:15" x14ac:dyDescent="0.3">
      <c r="B17918" s="1" t="s">
        <v>13</v>
      </c>
      <c r="C17918" s="1" t="str">
        <f>"4차"</f>
        <v>4차</v>
      </c>
      <c r="D17918" s="1" t="str">
        <f>"0027S68239"</f>
        <v>0027S68239</v>
      </c>
      <c r="E17918" s="1" t="s">
        <v>10</v>
      </c>
      <c r="F17918" s="1" t="str">
        <f>"10.12.133.221"</f>
        <v>10.12.133.221</v>
      </c>
      <c r="G17918" s="1" t="str">
        <f>"0027S682"</f>
        <v>0027S682</v>
      </c>
      <c r="H17918" s="1" t="str">
        <f>"창경로 16"</f>
        <v>창경로 16</v>
      </c>
      <c r="I17918" s="1" t="s">
        <v>17</v>
      </c>
      <c r="J17918" s="1" t="str">
        <f>"4/4"</f>
        <v>4/4</v>
      </c>
      <c r="K17918" s="1" t="str">
        <f>"2026-07-29 13:18:02"</f>
        <v>2026-07-29 13:18:02</v>
      </c>
      <c r="L17918" s="1" t="str">
        <f>"2018-06-16 07:04:39"</f>
        <v>2018-06-16 07:04:39</v>
      </c>
      <c r="M17918" s="1" t="s">
        <v>0</v>
      </c>
      <c r="N17918" s="1" t="s">
        <v>38</v>
      </c>
      <c r="O17918" s="1" t="s">
        <v>46</v>
      </c>
    </row>
    <row r="17919" spans="2:15" x14ac:dyDescent="0.3">
      <c r="B17919" s="1" t="s">
        <v>13</v>
      </c>
      <c r="C17919" s="1" t="str">
        <f>"4차"</f>
        <v>4차</v>
      </c>
      <c r="D17919" s="1" t="str">
        <f>"0027S68339"</f>
        <v>0027S68339</v>
      </c>
      <c r="E17919" s="1" t="s">
        <v>10</v>
      </c>
      <c r="F17919" s="1" t="str">
        <f>"10.12.134.89"</f>
        <v>10.12.134.89</v>
      </c>
      <c r="G17919" s="1" t="str">
        <f>"0027S683"</f>
        <v>0027S683</v>
      </c>
      <c r="H17919" s="1" t="str">
        <f>"창경로 5"</f>
        <v>창경로 5</v>
      </c>
      <c r="I17919" s="1" t="s">
        <v>17</v>
      </c>
      <c r="J17919" s="1" t="str">
        <f>"8/8"</f>
        <v>8/8</v>
      </c>
      <c r="K17919" s="1" t="str">
        <f>"2026-07-29 13:18:01"</f>
        <v>2026-07-29 13:18:01</v>
      </c>
      <c r="L17919" s="1" t="str">
        <f>"2018-06-15 08:46:27"</f>
        <v>2018-06-15 08:46:27</v>
      </c>
      <c r="M17919" s="1" t="s">
        <v>0</v>
      </c>
      <c r="N17919" s="1" t="s">
        <v>38</v>
      </c>
      <c r="O17919" s="1" t="s">
        <v>46</v>
      </c>
    </row>
    <row r="17920" spans="2:15" x14ac:dyDescent="0.3">
      <c r="B17920" s="1" t="s">
        <v>13</v>
      </c>
      <c r="C17920" s="1" t="str">
        <f>"4차"</f>
        <v>4차</v>
      </c>
      <c r="D17920" s="1" t="str">
        <f>"0027S69239"</f>
        <v>0027S69239</v>
      </c>
      <c r="E17920" s="1" t="s">
        <v>10</v>
      </c>
      <c r="F17920" s="1" t="str">
        <f>"10.12.133.204"</f>
        <v>10.12.133.204</v>
      </c>
      <c r="G17920" s="1" t="str">
        <f>"0027S692"</f>
        <v>0027S692</v>
      </c>
      <c r="H17920" s="1" t="str">
        <f>"창경로 7"</f>
        <v>창경로 7</v>
      </c>
      <c r="I17920" s="1" t="s">
        <v>17</v>
      </c>
      <c r="J17920" s="1" t="str">
        <f>"22/22"</f>
        <v>22/22</v>
      </c>
      <c r="K17920" s="1" t="str">
        <f>"2026-07-29 13:18:02"</f>
        <v>2026-07-29 13:18:02</v>
      </c>
      <c r="L17920" s="1" t="str">
        <f>"2018-06-15 08:15:24"</f>
        <v>2018-06-15 08:15:24</v>
      </c>
      <c r="M17920" s="1" t="s">
        <v>0</v>
      </c>
      <c r="N17920" s="1" t="s">
        <v>38</v>
      </c>
      <c r="O17920" s="1" t="s">
        <v>46</v>
      </c>
    </row>
    <row r="17921" spans="2:15" x14ac:dyDescent="0.3">
      <c r="B17921" s="1" t="s">
        <v>13</v>
      </c>
      <c r="C17921" s="1" t="str">
        <f>"5-2차"</f>
        <v>5-2차</v>
      </c>
      <c r="D17921" s="1" t="str">
        <f>"0027S7635M"</f>
        <v>0027S7635M</v>
      </c>
      <c r="E17921" s="1" t="s">
        <v>10</v>
      </c>
      <c r="F17921" s="1" t="str">
        <f>"fde2:104:0:1cf:0:0:0:2"</f>
        <v>fde2:104:0:1cf:0:0:0:2</v>
      </c>
      <c r="G17921" s="1" t="str">
        <f>"0027S763"</f>
        <v>0027S763</v>
      </c>
      <c r="H17921" s="1" t="str">
        <f>"대학간 38L5L2R1R1"</f>
        <v>대학간 38L5L2R1R1</v>
      </c>
      <c r="I17921" s="1" t="s">
        <v>15</v>
      </c>
      <c r="J17921" s="1" t="str">
        <f>"41/41"</f>
        <v>41/41</v>
      </c>
      <c r="K17921" s="1" t="str">
        <f>"2026-07-29 14:20:22"</f>
        <v>2026-07-29 14:20:22</v>
      </c>
      <c r="L17921" s="1" t="str">
        <f>"2023-06-13 14:27:41"</f>
        <v>2023-06-13 14:27:41</v>
      </c>
      <c r="M17921" s="1" t="s">
        <v>42</v>
      </c>
      <c r="N17921" s="1" t="s">
        <v>38</v>
      </c>
      <c r="O17921" s="1" t="s">
        <v>46</v>
      </c>
    </row>
    <row r="17922" spans="2:15" x14ac:dyDescent="0.3">
      <c r="B17922" s="1" t="s">
        <v>13</v>
      </c>
      <c r="C17922" s="1" t="str">
        <f>"4차"</f>
        <v>4차</v>
      </c>
      <c r="D17922" s="1" t="str">
        <f>"0027S78139"</f>
        <v>0027S78139</v>
      </c>
      <c r="E17922" s="1" t="s">
        <v>10</v>
      </c>
      <c r="F17922" s="1" t="str">
        <f>"10.12.134.95"</f>
        <v>10.12.134.95</v>
      </c>
      <c r="G17922" s="1" t="str">
        <f>"0027S781"</f>
        <v>0027S781</v>
      </c>
      <c r="H17922" s="1" t="str">
        <f>"창경로 17"</f>
        <v>창경로 17</v>
      </c>
      <c r="I17922" s="1" t="s">
        <v>17</v>
      </c>
      <c r="J17922" s="1" t="str">
        <f>"1/1"</f>
        <v>1/1</v>
      </c>
      <c r="K17922" s="1" t="str">
        <f>"2026-07-29 13:18:02"</f>
        <v>2026-07-29 13:18:02</v>
      </c>
      <c r="L17922" s="1" t="str">
        <f>"2018-06-16 07:12:25"</f>
        <v>2018-06-16 07:12:25</v>
      </c>
      <c r="M17922" s="1" t="s">
        <v>0</v>
      </c>
      <c r="N17922" s="1" t="s">
        <v>38</v>
      </c>
      <c r="O17922" s="1" t="s">
        <v>46</v>
      </c>
    </row>
    <row r="17923" spans="2:15" x14ac:dyDescent="0.3">
      <c r="B17923" s="1" t="s">
        <v>13</v>
      </c>
      <c r="C17923" s="1" t="str">
        <f>"4차"</f>
        <v>4차</v>
      </c>
      <c r="D17923" s="1" t="str">
        <f>"0027S78239"</f>
        <v>0027S78239</v>
      </c>
      <c r="E17923" s="1" t="s">
        <v>10</v>
      </c>
      <c r="F17923" s="1" t="str">
        <f>"10.12.134.73"</f>
        <v>10.12.134.73</v>
      </c>
      <c r="G17923" s="1" t="str">
        <f>"0027S782"</f>
        <v>0027S782</v>
      </c>
      <c r="H17923" s="1" t="str">
        <f>"창경로 17-1"</f>
        <v>창경로 17-1</v>
      </c>
      <c r="I17923" s="1" t="s">
        <v>17</v>
      </c>
      <c r="J17923" s="1" t="str">
        <f>"7/7"</f>
        <v>7/7</v>
      </c>
      <c r="K17923" s="1" t="str">
        <f>"2026-07-29 13:18:04"</f>
        <v>2026-07-29 13:18:04</v>
      </c>
      <c r="L17923" s="1" t="str">
        <f>"2018-06-15 10:26:10"</f>
        <v>2018-06-15 10:26:10</v>
      </c>
      <c r="M17923" s="1" t="s">
        <v>0</v>
      </c>
      <c r="N17923" s="1" t="s">
        <v>38</v>
      </c>
      <c r="O17923" s="1" t="s">
        <v>46</v>
      </c>
    </row>
    <row r="17924" spans="2:15" x14ac:dyDescent="0.3">
      <c r="B17924" s="1" t="s">
        <v>13</v>
      </c>
      <c r="C17924" s="1" t="str">
        <f>"5-2차"</f>
        <v>5-2차</v>
      </c>
      <c r="D17924" s="1" t="str">
        <f>"0027S8525M"</f>
        <v>0027S8525M</v>
      </c>
      <c r="E17924" s="1" t="s">
        <v>10</v>
      </c>
      <c r="F17924" s="1" t="str">
        <f>"fde3:102:1304:3902:0:0:0:2"</f>
        <v>fde3:102:1304:3902:0:0:0:2</v>
      </c>
      <c r="G17924" s="1" t="str">
        <f>"0027S852"</f>
        <v>0027S852</v>
      </c>
      <c r="H17924" s="1" t="str">
        <f>"대학간 38L5L3R1"</f>
        <v>대학간 38L5L3R1</v>
      </c>
      <c r="I17924" s="1" t="s">
        <v>15</v>
      </c>
      <c r="J17924" s="1" t="str">
        <f>"23/23"</f>
        <v>23/23</v>
      </c>
      <c r="K17924" s="1" t="str">
        <f>"2026-07-29 14:20:22"</f>
        <v>2026-07-29 14:20:22</v>
      </c>
      <c r="L17924" s="1" t="str">
        <f>"2023-06-21 14:41:15"</f>
        <v>2023-06-21 14:41:15</v>
      </c>
      <c r="M17924" s="1" t="s">
        <v>45</v>
      </c>
      <c r="N17924" s="1" t="s">
        <v>38</v>
      </c>
      <c r="O17924" s="1" t="s">
        <v>46</v>
      </c>
    </row>
    <row r="17925" spans="2:15" x14ac:dyDescent="0.3">
      <c r="B17925" s="1" t="s">
        <v>13</v>
      </c>
      <c r="C17925" s="1" t="str">
        <f>"4차"</f>
        <v>4차</v>
      </c>
      <c r="D17925" s="1" t="str">
        <f>"0027S88239"</f>
        <v>0027S88239</v>
      </c>
      <c r="E17925" s="1" t="s">
        <v>10</v>
      </c>
      <c r="F17925" s="1" t="str">
        <f>"10.12.134.102"</f>
        <v>10.12.134.102</v>
      </c>
      <c r="G17925" s="1" t="str">
        <f>"0027S882"</f>
        <v>0027S882</v>
      </c>
      <c r="H17925" s="1" t="str">
        <f>"창경로 17-2"</f>
        <v>창경로 17-2</v>
      </c>
      <c r="I17925" s="1" t="s">
        <v>17</v>
      </c>
      <c r="J17925" s="1" t="str">
        <f>"24/24"</f>
        <v>24/24</v>
      </c>
      <c r="K17925" s="1" t="str">
        <f>"2026-07-29 13:18:01"</f>
        <v>2026-07-29 13:18:01</v>
      </c>
      <c r="L17925" s="1" t="str">
        <f>"2018-06-15 10:43:26"</f>
        <v>2018-06-15 10:43:26</v>
      </c>
      <c r="M17925" s="1" t="s">
        <v>0</v>
      </c>
      <c r="N17925" s="1" t="s">
        <v>38</v>
      </c>
      <c r="O17925" s="1" t="s">
        <v>46</v>
      </c>
    </row>
    <row r="17926" spans="2:15" x14ac:dyDescent="0.3">
      <c r="B17926" s="1" t="s">
        <v>13</v>
      </c>
      <c r="C17926" s="1" t="str">
        <f>"5-2차"</f>
        <v>5-2차</v>
      </c>
      <c r="D17926" s="1" t="str">
        <f>"0027S9515M"</f>
        <v>0027S9515M</v>
      </c>
      <c r="E17926" s="1" t="s">
        <v>10</v>
      </c>
      <c r="F17926" s="1" t="str">
        <f>"fde2:104:0:186:0:0:0:2"</f>
        <v>fde2:104:0:186:0:0:0:2</v>
      </c>
      <c r="G17926" s="1" t="str">
        <f>"0027S951"</f>
        <v>0027S951</v>
      </c>
      <c r="H17926" s="1" t="str">
        <f>"대학간 38L5L5"</f>
        <v>대학간 38L5L5</v>
      </c>
      <c r="I17926" s="1" t="s">
        <v>15</v>
      </c>
      <c r="J17926" s="1" t="str">
        <f>"75/75"</f>
        <v>75/75</v>
      </c>
      <c r="K17926" s="1" t="str">
        <f>"2026-07-29 14:20:29"</f>
        <v>2026-07-29 14:20:29</v>
      </c>
      <c r="L17926" s="1" t="str">
        <f>"2023-06-13 14:36:28"</f>
        <v>2023-06-13 14:36:28</v>
      </c>
      <c r="M17926" s="1" t="s">
        <v>42</v>
      </c>
      <c r="N17926" s="1" t="s">
        <v>38</v>
      </c>
      <c r="O17926" s="1" t="s">
        <v>46</v>
      </c>
    </row>
    <row r="17927" spans="2:15" x14ac:dyDescent="0.3">
      <c r="B17927" s="1" t="s">
        <v>13</v>
      </c>
      <c r="C17927" s="1" t="str">
        <f>"5-2차"</f>
        <v>5-2차</v>
      </c>
      <c r="D17927" s="1" t="str">
        <f>"0027S9525M"</f>
        <v>0027S9525M</v>
      </c>
      <c r="E17927" s="1" t="s">
        <v>10</v>
      </c>
      <c r="F17927" s="1" t="str">
        <f>"fde2:104:0:19b:0:0:0:2"</f>
        <v>fde2:104:0:19b:0:0:0:2</v>
      </c>
      <c r="G17927" s="1" t="str">
        <f>"0027S952"</f>
        <v>0027S952</v>
      </c>
      <c r="H17927" s="1" t="str">
        <f>"대학간 38L5L6"</f>
        <v>대학간 38L5L6</v>
      </c>
      <c r="I17927" s="1" t="s">
        <v>15</v>
      </c>
      <c r="J17927" s="1" t="str">
        <f>"32/32"</f>
        <v>32/32</v>
      </c>
      <c r="K17927" s="1" t="str">
        <f>"2026-07-29 14:20:11"</f>
        <v>2026-07-29 14:20:11</v>
      </c>
      <c r="L17927" s="1" t="str">
        <f>"2023-06-13 14:45:40"</f>
        <v>2023-06-13 14:45:40</v>
      </c>
      <c r="M17927" s="1" t="s">
        <v>42</v>
      </c>
      <c r="N17927" s="1" t="s">
        <v>38</v>
      </c>
      <c r="O17927" s="1" t="s">
        <v>46</v>
      </c>
    </row>
    <row r="17928" spans="2:15" x14ac:dyDescent="0.3">
      <c r="B17928" s="1" t="s">
        <v>13</v>
      </c>
      <c r="C17928" s="1" t="str">
        <f>"4차"</f>
        <v>4차</v>
      </c>
      <c r="D17928" s="1" t="str">
        <f>"0027W00139"</f>
        <v>0027W00139</v>
      </c>
      <c r="E17928" s="1" t="s">
        <v>10</v>
      </c>
      <c r="F17928" s="1" t="str">
        <f>"10.12.134.26"</f>
        <v>10.12.134.26</v>
      </c>
      <c r="G17928" s="1" t="str">
        <f>"0027W001"</f>
        <v>0027W001</v>
      </c>
      <c r="H17928" s="1" t="str">
        <f>"대학로 2-1"</f>
        <v>대학로 2-1</v>
      </c>
      <c r="I17928" s="1" t="s">
        <v>17</v>
      </c>
      <c r="J17928" s="1" t="str">
        <f>"3/3"</f>
        <v>3/3</v>
      </c>
      <c r="K17928" s="1" t="str">
        <f>"2026-07-29 13:18:01"</f>
        <v>2026-07-29 13:18:01</v>
      </c>
      <c r="L17928" s="1" t="str">
        <f>"2018-06-15 10:48:58"</f>
        <v>2018-06-15 10:48:58</v>
      </c>
      <c r="M17928" s="1" t="s">
        <v>0</v>
      </c>
      <c r="N17928" s="1" t="s">
        <v>38</v>
      </c>
      <c r="O17928" s="1" t="s">
        <v>46</v>
      </c>
    </row>
    <row r="17929" spans="2:15" x14ac:dyDescent="0.3">
      <c r="B17929" s="1" t="s">
        <v>13</v>
      </c>
      <c r="C17929" s="1" t="str">
        <f>"4차"</f>
        <v>4차</v>
      </c>
      <c r="D17929" s="1" t="str">
        <f>"0027W01139"</f>
        <v>0027W01139</v>
      </c>
      <c r="E17929" s="1" t="s">
        <v>10</v>
      </c>
      <c r="F17929" s="1" t="str">
        <f>"10.12.133.47"</f>
        <v>10.12.133.47</v>
      </c>
      <c r="G17929" s="1" t="str">
        <f>"0027W011"</f>
        <v>0027W011</v>
      </c>
      <c r="H17929" s="1" t="str">
        <f>"대학로 1"</f>
        <v>대학로 1</v>
      </c>
      <c r="I17929" s="1" t="s">
        <v>17</v>
      </c>
      <c r="J17929" s="1" t="str">
        <f>"5/5"</f>
        <v>5/5</v>
      </c>
      <c r="K17929" s="1" t="str">
        <f>"2026-07-29 13:18:02"</f>
        <v>2026-07-29 13:18:02</v>
      </c>
      <c r="L17929" s="1" t="str">
        <f>"2018-06-15 08:29:10"</f>
        <v>2018-06-15 08:29:10</v>
      </c>
      <c r="M17929" s="1" t="s">
        <v>0</v>
      </c>
      <c r="N17929" s="1" t="s">
        <v>38</v>
      </c>
      <c r="O17929" s="1" t="s">
        <v>46</v>
      </c>
    </row>
    <row r="17930" spans="2:15" x14ac:dyDescent="0.3">
      <c r="B17930" s="1" t="s">
        <v>13</v>
      </c>
      <c r="C17930" s="1" t="str">
        <f>"4차"</f>
        <v>4차</v>
      </c>
      <c r="D17930" s="1" t="str">
        <f>"0027W01245"</f>
        <v>0027W01245</v>
      </c>
      <c r="E17930" s="1" t="str">
        <f>"검침실패(3시간 이상)"</f>
        <v>검침실패(3시간 이상)</v>
      </c>
      <c r="F17930" s="1" t="str">
        <f>"10.12.134.15"</f>
        <v>10.12.134.15</v>
      </c>
      <c r="G17930" s="1" t="str">
        <f>"0027W012"</f>
        <v>0027W012</v>
      </c>
      <c r="H17930" s="1" t="str">
        <f>"대학로 2"</f>
        <v>대학로 2</v>
      </c>
      <c r="I17930" s="1" t="s">
        <v>17</v>
      </c>
      <c r="J17930" s="1" t="str">
        <f>"0/2"</f>
        <v>0/2</v>
      </c>
      <c r="K17930" s="1" t="str">
        <f>"2026-07-29 13:18:01"</f>
        <v>2026-07-29 13:18:01</v>
      </c>
      <c r="L17930" s="1" t="str">
        <f>"2023-07-12 18:39:39"</f>
        <v>2023-07-12 18:39:39</v>
      </c>
      <c r="M17930" s="1" t="s">
        <v>0</v>
      </c>
      <c r="N17930" s="1" t="s">
        <v>38</v>
      </c>
      <c r="O17930" s="1" t="s">
        <v>46</v>
      </c>
    </row>
    <row r="17931" spans="2:15" x14ac:dyDescent="0.3">
      <c r="B17931" s="1" t="s">
        <v>13</v>
      </c>
      <c r="C17931" s="1" t="str">
        <f>"4차"</f>
        <v>4차</v>
      </c>
      <c r="D17931" s="1" t="str">
        <f>"0027W01339"</f>
        <v>0027W01339</v>
      </c>
      <c r="E17931" s="1" t="s">
        <v>10</v>
      </c>
      <c r="F17931" s="1" t="str">
        <f>"10.12.134.14"</f>
        <v>10.12.134.14</v>
      </c>
      <c r="G17931" s="1" t="str">
        <f>"0027W013"</f>
        <v>0027W013</v>
      </c>
      <c r="H17931" s="1" t="str">
        <f>"대학로 1-1"</f>
        <v>대학로 1-1</v>
      </c>
      <c r="I17931" s="1" t="s">
        <v>17</v>
      </c>
      <c r="J17931" s="1" t="str">
        <f>"8/8"</f>
        <v>8/8</v>
      </c>
      <c r="K17931" s="1" t="str">
        <f>"2026-07-29 13:18:02"</f>
        <v>2026-07-29 13:18:02</v>
      </c>
      <c r="L17931" s="1" t="str">
        <f>"2018-06-15 08:04:25"</f>
        <v>2018-06-15 08:04:25</v>
      </c>
      <c r="M17931" s="1" t="s">
        <v>0</v>
      </c>
      <c r="N17931" s="1" t="s">
        <v>38</v>
      </c>
      <c r="O17931" s="1" t="s">
        <v>46</v>
      </c>
    </row>
    <row r="17932" spans="2:15" x14ac:dyDescent="0.3">
      <c r="B17932" s="1" t="s">
        <v>13</v>
      </c>
      <c r="C17932" s="1" t="str">
        <f>"4차"</f>
        <v>4차</v>
      </c>
      <c r="D17932" s="1" t="str">
        <f>"0027W04121"</f>
        <v>0027W04121</v>
      </c>
      <c r="E17932" s="1" t="s">
        <v>10</v>
      </c>
      <c r="F17932" s="1" t="str">
        <f>"10.11.8.59"</f>
        <v>10.11.8.59</v>
      </c>
      <c r="G17932" s="1" t="str">
        <f>"0027W041"</f>
        <v>0027W041</v>
      </c>
      <c r="H17932" s="1" t="str">
        <f>"혜화지 1R1"</f>
        <v>혜화지 1R1</v>
      </c>
      <c r="I17932" s="1" t="s">
        <v>8</v>
      </c>
      <c r="J17932" s="1" t="str">
        <f>"17/18"</f>
        <v>17/18</v>
      </c>
      <c r="K17932" s="1" t="str">
        <f>"2026-07-29 13:18:00"</f>
        <v>2026-07-29 13:18:00</v>
      </c>
      <c r="L17932" s="1" t="str">
        <f>"2017-06-28 14:09:39"</f>
        <v>2017-06-28 14:09:39</v>
      </c>
      <c r="M17932" s="1" t="s">
        <v>2</v>
      </c>
      <c r="N17932" s="1" t="s">
        <v>38</v>
      </c>
      <c r="O17932" s="1" t="s">
        <v>46</v>
      </c>
    </row>
    <row r="17933" spans="2:15" x14ac:dyDescent="0.3">
      <c r="B17933" s="1" t="s">
        <v>13</v>
      </c>
      <c r="C17933" s="1" t="str">
        <f>"2차"</f>
        <v>2차</v>
      </c>
      <c r="D17933" s="1" t="str">
        <f>"0027W06129"</f>
        <v>0027W06129</v>
      </c>
      <c r="E17933" s="1" t="s">
        <v>10</v>
      </c>
      <c r="F17933" s="1" t="str">
        <f>"10.11.8.106"</f>
        <v>10.11.8.106</v>
      </c>
      <c r="G17933" s="1" t="str">
        <f>"0027W061"</f>
        <v>0027W061</v>
      </c>
      <c r="H17933" s="1" t="str">
        <f>"혜화지 4H1R1"</f>
        <v>혜화지 4H1R1</v>
      </c>
      <c r="I17933" s="1" t="s">
        <v>8</v>
      </c>
      <c r="J17933" s="1" t="str">
        <f>"50/58"</f>
        <v>50/58</v>
      </c>
      <c r="K17933" s="1" t="str">
        <f>"2026-07-29 13:18:01"</f>
        <v>2026-07-29 13:18:01</v>
      </c>
      <c r="L17933" s="1" t="str">
        <f>"2017-06-21 17:41:04"</f>
        <v>2017-06-21 17:41:04</v>
      </c>
      <c r="M17933" s="1" t="s">
        <v>2</v>
      </c>
      <c r="N17933" s="1" t="s">
        <v>38</v>
      </c>
      <c r="O17933" s="1" t="s">
        <v>46</v>
      </c>
    </row>
    <row r="17934" spans="2:15" x14ac:dyDescent="0.3">
      <c r="B17934" s="1" t="s">
        <v>13</v>
      </c>
      <c r="C17934" s="1" t="str">
        <f>"2차"</f>
        <v>2차</v>
      </c>
      <c r="D17934" s="1" t="str">
        <f>"0027W07229"</f>
        <v>0027W07229</v>
      </c>
      <c r="E17934" s="1" t="s">
        <v>10</v>
      </c>
      <c r="F17934" s="1" t="str">
        <f>"10.11.8.146"</f>
        <v>10.11.8.146</v>
      </c>
      <c r="G17934" s="1" t="str">
        <f>"0027W072"</f>
        <v>0027W072</v>
      </c>
      <c r="H17934" s="1" t="str">
        <f>"혜화지 6H1R3R1"</f>
        <v>혜화지 6H1R3R1</v>
      </c>
      <c r="I17934" s="1" t="s">
        <v>8</v>
      </c>
      <c r="J17934" s="1" t="str">
        <f>"70/71"</f>
        <v>70/71</v>
      </c>
      <c r="K17934" s="1" t="str">
        <f>"2026-07-29 13:18:00"</f>
        <v>2026-07-29 13:18:00</v>
      </c>
      <c r="L17934" s="1" t="str">
        <f>"2021-07-27 13:40:30"</f>
        <v>2021-07-27 13:40:30</v>
      </c>
      <c r="M17934" s="1" t="s">
        <v>2</v>
      </c>
      <c r="N17934" s="1" t="s">
        <v>38</v>
      </c>
      <c r="O17934" s="1" t="s">
        <v>46</v>
      </c>
    </row>
    <row r="17935" spans="2:15" x14ac:dyDescent="0.3">
      <c r="B17935" s="1" t="s">
        <v>13</v>
      </c>
      <c r="C17935" s="1" t="str">
        <f>"2차"</f>
        <v>2차</v>
      </c>
      <c r="D17935" s="1" t="str">
        <f>"0027W09121"</f>
        <v>0027W09121</v>
      </c>
      <c r="E17935" s="1" t="s">
        <v>10</v>
      </c>
      <c r="F17935" s="1" t="str">
        <f>"10.11.8.155"</f>
        <v>10.11.8.155</v>
      </c>
      <c r="G17935" s="1" t="str">
        <f>"0027W091"</f>
        <v>0027W091</v>
      </c>
      <c r="H17935" s="1" t="str">
        <f>"혜화지 6H1R5"</f>
        <v>혜화지 6H1R5</v>
      </c>
      <c r="I17935" s="1" t="s">
        <v>8</v>
      </c>
      <c r="J17935" s="1" t="str">
        <f>"57/57"</f>
        <v>57/57</v>
      </c>
      <c r="K17935" s="1" t="str">
        <f>"2026-07-29 13:18:00"</f>
        <v>2026-07-29 13:18:00</v>
      </c>
      <c r="L17935" s="1" t="str">
        <f>"2017-06-28 11:22:08"</f>
        <v>2017-06-28 11:22:08</v>
      </c>
      <c r="M17935" s="1" t="s">
        <v>2</v>
      </c>
      <c r="N17935" s="1" t="s">
        <v>38</v>
      </c>
      <c r="O17935" s="1" t="s">
        <v>46</v>
      </c>
    </row>
    <row r="17936" spans="2:15" x14ac:dyDescent="0.3">
      <c r="B17936" s="1" t="s">
        <v>13</v>
      </c>
      <c r="C17936" s="1" t="str">
        <f>"2차"</f>
        <v>2차</v>
      </c>
      <c r="D17936" s="1" t="str">
        <f>"0027W15120"</f>
        <v>0027W15120</v>
      </c>
      <c r="E17936" s="1" t="s">
        <v>10</v>
      </c>
      <c r="F17936" s="1" t="str">
        <f>"10.11.8.58"</f>
        <v>10.11.8.58</v>
      </c>
      <c r="G17936" s="1" t="str">
        <f>"0027W151"</f>
        <v>0027W151</v>
      </c>
      <c r="H17936" s="1" t="str">
        <f>"혜화지 1R2"</f>
        <v>혜화지 1R2</v>
      </c>
      <c r="I17936" s="1" t="s">
        <v>8</v>
      </c>
      <c r="J17936" s="1" t="str">
        <f>"28/28"</f>
        <v>28/28</v>
      </c>
      <c r="K17936" s="1" t="str">
        <f>"2026-07-29 13:18:00"</f>
        <v>2026-07-29 13:18:00</v>
      </c>
      <c r="L17936" s="1" t="str">
        <f>"2017-06-28 14:05:09"</f>
        <v>2017-06-28 14:05:09</v>
      </c>
      <c r="M17936" s="1" t="s">
        <v>2</v>
      </c>
      <c r="N17936" s="1" t="s">
        <v>38</v>
      </c>
      <c r="O17936" s="1" t="s">
        <v>46</v>
      </c>
    </row>
    <row r="17937" spans="2:15" x14ac:dyDescent="0.3">
      <c r="B17937" s="1" t="s">
        <v>13</v>
      </c>
      <c r="C17937" s="1" t="str">
        <f>"4차"</f>
        <v>4차</v>
      </c>
      <c r="D17937" s="1" t="str">
        <f>"0027W27220"</f>
        <v>0027W27220</v>
      </c>
      <c r="E17937" s="1" t="s">
        <v>14</v>
      </c>
      <c r="F17937" s="1" t="str">
        <f>"10.11.45.66"</f>
        <v>10.11.45.66</v>
      </c>
      <c r="G17937" s="1" t="str">
        <f>"0027W272"</f>
        <v>0027W272</v>
      </c>
      <c r="H17937" s="1" t="str">
        <f>"혜화지 1R4"</f>
        <v>혜화지 1R4</v>
      </c>
      <c r="I17937" s="1" t="s">
        <v>8</v>
      </c>
      <c r="J17937" s="1" t="str">
        <f>"0/0"</f>
        <v>0/0</v>
      </c>
      <c r="K17937" s="1" t="str">
        <f>"2026-01-13 13:21:05"</f>
        <v>2026-01-13 13:21:05</v>
      </c>
      <c r="L17937" s="1" t="str">
        <f>"2025-11-01 16:21:53"</f>
        <v>2025-11-01 16:21:53</v>
      </c>
      <c r="M17937" s="1" t="s">
        <v>2</v>
      </c>
      <c r="N17937" s="1" t="s">
        <v>44</v>
      </c>
      <c r="O17937" s="1" t="s">
        <v>44</v>
      </c>
    </row>
    <row r="17938" spans="2:15" x14ac:dyDescent="0.3">
      <c r="B17938" s="1" t="s">
        <v>13</v>
      </c>
      <c r="C17938" s="1" t="str">
        <f>"4차"</f>
        <v>4차</v>
      </c>
      <c r="D17938" s="1" t="str">
        <f>"0027W28220"</f>
        <v>0027W28220</v>
      </c>
      <c r="E17938" s="1" t="s">
        <v>10</v>
      </c>
      <c r="F17938" s="1" t="str">
        <f>"10.11.8.66"</f>
        <v>10.11.8.66</v>
      </c>
      <c r="G17938" s="1" t="str">
        <f>"0027W282"</f>
        <v>0027W282</v>
      </c>
      <c r="H17938" s="1" t="str">
        <f>"혜화지 1R6H1"</f>
        <v>혜화지 1R6H1</v>
      </c>
      <c r="I17938" s="1" t="s">
        <v>8</v>
      </c>
      <c r="J17938" s="1" t="str">
        <f>"45/45"</f>
        <v>45/45</v>
      </c>
      <c r="K17938" s="1" t="str">
        <f>"2026-07-29 13:18:01"</f>
        <v>2026-07-29 13:18:01</v>
      </c>
      <c r="L17938" s="1" t="str">
        <f>"2017-06-28 13:17:54"</f>
        <v>2017-06-28 13:17:54</v>
      </c>
      <c r="M17938" s="1" t="s">
        <v>2</v>
      </c>
      <c r="N17938" s="1" t="s">
        <v>38</v>
      </c>
      <c r="O17938" s="1" t="s">
        <v>46</v>
      </c>
    </row>
    <row r="17939" spans="2:15" x14ac:dyDescent="0.3">
      <c r="B17939" s="1" t="s">
        <v>13</v>
      </c>
      <c r="C17939" s="1" t="str">
        <f t="shared" ref="C17939:C17944" si="893">"2차"</f>
        <v>2차</v>
      </c>
      <c r="D17939" s="1" t="str">
        <f>"0027W29122"</f>
        <v>0027W29122</v>
      </c>
      <c r="E17939" s="1" t="s">
        <v>10</v>
      </c>
      <c r="F17939" s="1" t="str">
        <f>"10.11.8.156"</f>
        <v>10.11.8.156</v>
      </c>
      <c r="G17939" s="1" t="str">
        <f>"0027W291"</f>
        <v>0027W291</v>
      </c>
      <c r="H17939" s="1" t="str">
        <f>"혜화지 6H1R6R2"</f>
        <v>혜화지 6H1R6R2</v>
      </c>
      <c r="I17939" s="1" t="s">
        <v>8</v>
      </c>
      <c r="J17939" s="1" t="str">
        <f>"37/43"</f>
        <v>37/43</v>
      </c>
      <c r="K17939" s="1" t="str">
        <f>"2026-07-29 13:18:00"</f>
        <v>2026-07-29 13:18:00</v>
      </c>
      <c r="L17939" s="1" t="str">
        <f>"2017-06-28 11:28:41"</f>
        <v>2017-06-28 11:28:41</v>
      </c>
      <c r="M17939" s="1" t="s">
        <v>2</v>
      </c>
      <c r="N17939" s="1" t="s">
        <v>38</v>
      </c>
      <c r="O17939" s="1" t="s">
        <v>46</v>
      </c>
    </row>
    <row r="17940" spans="2:15" x14ac:dyDescent="0.3">
      <c r="B17940" s="1" t="s">
        <v>13</v>
      </c>
      <c r="C17940" s="1" t="str">
        <f t="shared" si="893"/>
        <v>2차</v>
      </c>
      <c r="D17940" s="1" t="str">
        <f>"0027W30420"</f>
        <v>0027W30420</v>
      </c>
      <c r="E17940" s="1" t="s">
        <v>10</v>
      </c>
      <c r="F17940" s="1" t="str">
        <f>"10.11.9.18"</f>
        <v>10.11.9.18</v>
      </c>
      <c r="G17940" s="1" t="str">
        <f>"0027W304"</f>
        <v>0027W304</v>
      </c>
      <c r="H17940" s="1" t="str">
        <f>"동숭동간 58"</f>
        <v>동숭동간 58</v>
      </c>
      <c r="I17940" s="1" t="s">
        <v>8</v>
      </c>
      <c r="J17940" s="1" t="str">
        <f>"12/19"</f>
        <v>12/19</v>
      </c>
      <c r="K17940" s="1" t="str">
        <f>"2026-07-29 13:18:00"</f>
        <v>2026-07-29 13:18:00</v>
      </c>
      <c r="L17940" s="1" t="str">
        <f>"2017-07-19 14:45:22"</f>
        <v>2017-07-19 14:45:22</v>
      </c>
      <c r="M17940" s="1" t="s">
        <v>2</v>
      </c>
      <c r="N17940" s="1" t="s">
        <v>38</v>
      </c>
      <c r="O17940" s="1" t="s">
        <v>46</v>
      </c>
    </row>
    <row r="17941" spans="2:15" x14ac:dyDescent="0.3">
      <c r="B17941" s="1" t="s">
        <v>13</v>
      </c>
      <c r="C17941" s="1" t="str">
        <f t="shared" si="893"/>
        <v>2차</v>
      </c>
      <c r="D17941" s="1" t="str">
        <f>"0027W39321"</f>
        <v>0027W39321</v>
      </c>
      <c r="E17941" s="1" t="s">
        <v>10</v>
      </c>
      <c r="F17941" s="1" t="str">
        <f>"10.11.8.67"</f>
        <v>10.11.8.67</v>
      </c>
      <c r="G17941" s="1" t="str">
        <f>"0027W393"</f>
        <v>0027W393</v>
      </c>
      <c r="H17941" s="1" t="str">
        <f>"혜화지 1R7"</f>
        <v>혜화지 1R7</v>
      </c>
      <c r="I17941" s="1" t="s">
        <v>8</v>
      </c>
      <c r="J17941" s="1" t="str">
        <f>"1/1"</f>
        <v>1/1</v>
      </c>
      <c r="K17941" s="1" t="str">
        <f>"2026-07-29 13:18:01"</f>
        <v>2026-07-29 13:18:01</v>
      </c>
      <c r="L17941" s="1" t="str">
        <f>"2017-06-28 13:22:39"</f>
        <v>2017-06-28 13:22:39</v>
      </c>
      <c r="M17941" s="1" t="s">
        <v>2</v>
      </c>
      <c r="N17941" s="1" t="s">
        <v>38</v>
      </c>
      <c r="O17941" s="1" t="s">
        <v>46</v>
      </c>
    </row>
    <row r="17942" spans="2:15" x14ac:dyDescent="0.3">
      <c r="B17942" s="1" t="s">
        <v>13</v>
      </c>
      <c r="C17942" s="1" t="str">
        <f t="shared" si="893"/>
        <v>2차</v>
      </c>
      <c r="D17942" s="1" t="str">
        <f>"0027W48120"</f>
        <v>0027W48120</v>
      </c>
      <c r="E17942" s="1" t="s">
        <v>10</v>
      </c>
      <c r="F17942" s="1" t="str">
        <f>"10.11.1.66"</f>
        <v>10.11.1.66</v>
      </c>
      <c r="G17942" s="1" t="str">
        <f>"0027W481"</f>
        <v>0027W481</v>
      </c>
      <c r="H17942" s="1" t="str">
        <f>"동소문간 59L1"</f>
        <v>동소문간 59L1</v>
      </c>
      <c r="I17942" s="1" t="s">
        <v>8</v>
      </c>
      <c r="J17942" s="1" t="str">
        <f>"16/18"</f>
        <v>16/18</v>
      </c>
      <c r="K17942" s="1" t="str">
        <f>"2026-07-29 13:18:01"</f>
        <v>2026-07-29 13:18:01</v>
      </c>
      <c r="L17942" s="1" t="str">
        <f>"2017-06-28 15:13:55"</f>
        <v>2017-06-28 15:13:55</v>
      </c>
      <c r="M17942" s="1" t="s">
        <v>2</v>
      </c>
      <c r="N17942" s="1" t="s">
        <v>38</v>
      </c>
      <c r="O17942" s="1" t="s">
        <v>46</v>
      </c>
    </row>
    <row r="17943" spans="2:15" x14ac:dyDescent="0.3">
      <c r="B17943" s="1" t="s">
        <v>13</v>
      </c>
      <c r="C17943" s="1" t="str">
        <f t="shared" si="893"/>
        <v>2차</v>
      </c>
      <c r="D17943" s="1" t="str">
        <f>"0027W70229"</f>
        <v>0027W70229</v>
      </c>
      <c r="E17943" s="1" t="s">
        <v>10</v>
      </c>
      <c r="F17943" s="1" t="str">
        <f>"10.11.1.130"</f>
        <v>10.11.1.130</v>
      </c>
      <c r="G17943" s="1" t="str">
        <f>"0027W702"</f>
        <v>0027W702</v>
      </c>
      <c r="H17943" s="1" t="str">
        <f>"동숭동간 49R7"</f>
        <v>동숭동간 49R7</v>
      </c>
      <c r="I17943" s="1" t="s">
        <v>8</v>
      </c>
      <c r="J17943" s="1" t="str">
        <f>"60/61"</f>
        <v>60/61</v>
      </c>
      <c r="K17943" s="1" t="str">
        <f>"2026-07-29 13:18:01"</f>
        <v>2026-07-29 13:18:01</v>
      </c>
      <c r="L17943" s="1" t="str">
        <f>"2017-07-13 17:46:40"</f>
        <v>2017-07-13 17:46:40</v>
      </c>
      <c r="M17943" s="1" t="s">
        <v>2</v>
      </c>
      <c r="N17943" s="1" t="s">
        <v>38</v>
      </c>
      <c r="O17943" s="1" t="s">
        <v>46</v>
      </c>
    </row>
    <row r="17944" spans="2:15" x14ac:dyDescent="0.3">
      <c r="B17944" s="1" t="s">
        <v>13</v>
      </c>
      <c r="C17944" s="1" t="str">
        <f t="shared" si="893"/>
        <v>2차</v>
      </c>
      <c r="D17944" s="1" t="str">
        <f>"0027W71120"</f>
        <v>0027W71120</v>
      </c>
      <c r="E17944" s="1" t="s">
        <v>10</v>
      </c>
      <c r="F17944" s="1" t="str">
        <f>"10.89.65.2"</f>
        <v>10.89.65.2</v>
      </c>
      <c r="G17944" s="1" t="str">
        <f>"0027W711"</f>
        <v>0027W711</v>
      </c>
      <c r="H17944" s="1" t="str">
        <f>"동숭동간 49R3L4"</f>
        <v>동숭동간 49R3L4</v>
      </c>
      <c r="I17944" s="1" t="s">
        <v>8</v>
      </c>
      <c r="J17944" s="1" t="str">
        <f>"70/70"</f>
        <v>70/70</v>
      </c>
      <c r="K17944" s="1" t="str">
        <f>"2026-07-29 13:18:00"</f>
        <v>2026-07-29 13:18:00</v>
      </c>
      <c r="L17944" s="1" t="str">
        <f>"2017-07-19 14:24:56"</f>
        <v>2017-07-19 14:24:56</v>
      </c>
      <c r="M17944" s="1" t="s">
        <v>45</v>
      </c>
      <c r="N17944" s="1" t="s">
        <v>38</v>
      </c>
      <c r="O17944" s="1" t="s">
        <v>46</v>
      </c>
    </row>
    <row r="17945" spans="2:15" x14ac:dyDescent="0.3">
      <c r="B17945" s="1" t="s">
        <v>13</v>
      </c>
      <c r="C17945" s="1" t="str">
        <f t="shared" ref="C17945:C17967" si="894">"4차"</f>
        <v>4차</v>
      </c>
      <c r="D17945" s="1" t="str">
        <f>"0027W80122"</f>
        <v>0027W80122</v>
      </c>
      <c r="E17945" s="1" t="s">
        <v>10</v>
      </c>
      <c r="F17945" s="1" t="str">
        <f>"10.89.66.37"</f>
        <v>10.89.66.37</v>
      </c>
      <c r="G17945" s="1" t="str">
        <f>"0027W801"</f>
        <v>0027W801</v>
      </c>
      <c r="H17945" s="1" t="str">
        <f>"동숭동간 49R8"</f>
        <v>동숭동간 49R8</v>
      </c>
      <c r="I17945" s="1" t="s">
        <v>8</v>
      </c>
      <c r="J17945" s="1" t="str">
        <f>"142/143"</f>
        <v>142/143</v>
      </c>
      <c r="K17945" s="1" t="str">
        <f>"2026-07-29 13:18:00"</f>
        <v>2026-07-29 13:18:00</v>
      </c>
      <c r="L17945" s="1" t="str">
        <f>"2017-07-19 14:17:52"</f>
        <v>2017-07-19 14:17:52</v>
      </c>
      <c r="M17945" s="1" t="s">
        <v>45</v>
      </c>
      <c r="N17945" s="1" t="s">
        <v>38</v>
      </c>
      <c r="O17945" s="1" t="s">
        <v>46</v>
      </c>
    </row>
    <row r="17946" spans="2:15" x14ac:dyDescent="0.3">
      <c r="B17946" s="1" t="s">
        <v>13</v>
      </c>
      <c r="C17946" s="1" t="str">
        <f t="shared" si="894"/>
        <v>4차</v>
      </c>
      <c r="D17946" s="1" t="str">
        <f>"0027Y09545"</f>
        <v>0027Y09545</v>
      </c>
      <c r="E17946" s="1" t="s">
        <v>10</v>
      </c>
      <c r="F17946" s="1" t="str">
        <f>"10.12.134.33"</f>
        <v>10.12.134.33</v>
      </c>
      <c r="G17946" s="1" t="str">
        <f>"0027Y095"</f>
        <v>0027Y095</v>
      </c>
      <c r="H17946" s="1" t="str">
        <f>"대학로 4-4"</f>
        <v>대학로 4-4</v>
      </c>
      <c r="I17946" s="1" t="s">
        <v>17</v>
      </c>
      <c r="J17946" s="1" t="str">
        <f>"3/3"</f>
        <v>3/3</v>
      </c>
      <c r="K17946" s="1" t="str">
        <f>"2026-07-29 13:18:01"</f>
        <v>2026-07-29 13:18:01</v>
      </c>
      <c r="L17946" s="1" t="str">
        <f>"2024-12-16 17:42:50"</f>
        <v>2024-12-16 17:42:50</v>
      </c>
      <c r="M17946" s="1" t="s">
        <v>0</v>
      </c>
      <c r="N17946" s="1" t="s">
        <v>38</v>
      </c>
      <c r="O17946" s="1" t="s">
        <v>46</v>
      </c>
    </row>
    <row r="17947" spans="2:15" x14ac:dyDescent="0.3">
      <c r="B17947" s="1" t="s">
        <v>13</v>
      </c>
      <c r="C17947" s="1" t="str">
        <f t="shared" si="894"/>
        <v>4차</v>
      </c>
      <c r="D17947" s="1" t="str">
        <f>"0027Y29139"</f>
        <v>0027Y29139</v>
      </c>
      <c r="E17947" s="1" t="s">
        <v>10</v>
      </c>
      <c r="F17947" s="1" t="str">
        <f>"10.12.132.218"</f>
        <v>10.12.132.218</v>
      </c>
      <c r="G17947" s="1" t="str">
        <f>"0027Y291"</f>
        <v>0027Y291</v>
      </c>
      <c r="H17947" s="1" t="str">
        <f>"보문로 1"</f>
        <v>보문로 1</v>
      </c>
      <c r="I17947" s="1" t="s">
        <v>17</v>
      </c>
      <c r="J17947" s="1" t="str">
        <f>"1/1"</f>
        <v>1/1</v>
      </c>
      <c r="K17947" s="1" t="str">
        <f>"2026-07-29 13:18:02"</f>
        <v>2026-07-29 13:18:02</v>
      </c>
      <c r="L17947" s="1" t="str">
        <f>"2018-06-16 09:03:41"</f>
        <v>2018-06-16 09:03:41</v>
      </c>
      <c r="M17947" s="1" t="s">
        <v>0</v>
      </c>
      <c r="N17947" s="1" t="s">
        <v>38</v>
      </c>
      <c r="O17947" s="1" t="s">
        <v>46</v>
      </c>
    </row>
    <row r="17948" spans="2:15" x14ac:dyDescent="0.3">
      <c r="B17948" s="1" t="s">
        <v>13</v>
      </c>
      <c r="C17948" s="1" t="str">
        <f t="shared" si="894"/>
        <v>4차</v>
      </c>
      <c r="D17948" s="1" t="str">
        <f>"0027Y33339"</f>
        <v>0027Y33339</v>
      </c>
      <c r="E17948" s="1" t="s">
        <v>14</v>
      </c>
      <c r="F17948" s="1" t="str">
        <f>"10.12.133.145"</f>
        <v>10.12.133.145</v>
      </c>
      <c r="G17948" s="1" t="str">
        <f>"0027Y333"</f>
        <v>0027Y333</v>
      </c>
      <c r="H17948" s="1" t="str">
        <f>"동숭로 23-4"</f>
        <v>동숭로 23-4</v>
      </c>
      <c r="I17948" s="1" t="s">
        <v>17</v>
      </c>
      <c r="J17948" s="1" t="str">
        <f>"0/0"</f>
        <v>0/0</v>
      </c>
      <c r="K17948" s="1" t="str">
        <f>"2026-07-28 13:18:02"</f>
        <v>2026-07-28 13:18:02</v>
      </c>
      <c r="L17948" s="1" t="str">
        <f>"2018-06-15 14:14:42"</f>
        <v>2018-06-15 14:14:42</v>
      </c>
      <c r="M17948" s="1" t="s">
        <v>0</v>
      </c>
      <c r="N17948" s="1" t="s">
        <v>39</v>
      </c>
      <c r="O17948" s="1" t="s">
        <v>46</v>
      </c>
    </row>
    <row r="17949" spans="2:15" x14ac:dyDescent="0.3">
      <c r="B17949" s="1" t="s">
        <v>13</v>
      </c>
      <c r="C17949" s="1" t="str">
        <f t="shared" si="894"/>
        <v>4차</v>
      </c>
      <c r="D17949" s="1" t="str">
        <f>"0027Y33A39"</f>
        <v>0027Y33A39</v>
      </c>
      <c r="E17949" s="1" t="s">
        <v>14</v>
      </c>
      <c r="F17949" s="1" t="str">
        <f>"10.12.134.76"</f>
        <v>10.12.134.76</v>
      </c>
      <c r="G17949" s="1" t="str">
        <f>"0027Y33A"</f>
        <v>0027Y33A</v>
      </c>
      <c r="H17949" s="1" t="str">
        <f>"동숭로 23-2"</f>
        <v>동숭로 23-2</v>
      </c>
      <c r="I17949" s="1" t="s">
        <v>17</v>
      </c>
      <c r="J17949" s="1" t="str">
        <f>"0/0"</f>
        <v>0/0</v>
      </c>
      <c r="K17949" s="1" t="str">
        <f>"2026-06-10 07:18:01"</f>
        <v>2026-06-10 07:18:01</v>
      </c>
      <c r="L17949" s="1" t="str">
        <f>"2018-06-15 14:28:46"</f>
        <v>2018-06-15 14:28:46</v>
      </c>
      <c r="M17949" s="1" t="s">
        <v>0</v>
      </c>
      <c r="N17949" s="1" t="s">
        <v>39</v>
      </c>
      <c r="O17949" s="1" t="s">
        <v>46</v>
      </c>
    </row>
    <row r="17950" spans="2:15" x14ac:dyDescent="0.3">
      <c r="B17950" s="1" t="s">
        <v>13</v>
      </c>
      <c r="C17950" s="1" t="str">
        <f t="shared" si="894"/>
        <v>4차</v>
      </c>
      <c r="D17950" s="1" t="str">
        <f>"0027Y33C39"</f>
        <v>0027Y33C39</v>
      </c>
      <c r="E17950" s="1" t="s">
        <v>10</v>
      </c>
      <c r="F17950" s="1" t="str">
        <f>"10.12.133.156"</f>
        <v>10.12.133.156</v>
      </c>
      <c r="G17950" s="1" t="str">
        <f>"0027Y33C"</f>
        <v>0027Y33C</v>
      </c>
      <c r="H17950" s="1" t="str">
        <f>"동숭로 23-1"</f>
        <v>동숭로 23-1</v>
      </c>
      <c r="I17950" s="1" t="s">
        <v>17</v>
      </c>
      <c r="J17950" s="1" t="str">
        <f>"1/1"</f>
        <v>1/1</v>
      </c>
      <c r="K17950" s="1" t="str">
        <f>"2026-07-29 13:18:02"</f>
        <v>2026-07-29 13:18:02</v>
      </c>
      <c r="L17950" s="1" t="str">
        <f>"2018-06-15 14:40:43"</f>
        <v>2018-06-15 14:40:43</v>
      </c>
      <c r="M17950" s="1" t="s">
        <v>0</v>
      </c>
      <c r="N17950" s="1" t="s">
        <v>38</v>
      </c>
      <c r="O17950" s="1" t="s">
        <v>46</v>
      </c>
    </row>
    <row r="17951" spans="2:15" x14ac:dyDescent="0.3">
      <c r="B17951" s="1" t="s">
        <v>13</v>
      </c>
      <c r="C17951" s="1" t="str">
        <f t="shared" si="894"/>
        <v>4차</v>
      </c>
      <c r="D17951" s="1" t="str">
        <f>"0027Y39445"</f>
        <v>0027Y39445</v>
      </c>
      <c r="E17951" s="1" t="s">
        <v>10</v>
      </c>
      <c r="F17951" s="1" t="str">
        <f>"10.12.132.210"</f>
        <v>10.12.132.210</v>
      </c>
      <c r="G17951" s="1" t="str">
        <f>"0027Y394"</f>
        <v>0027Y394</v>
      </c>
      <c r="H17951" s="1" t="str">
        <f>"보문로 2"</f>
        <v>보문로 2</v>
      </c>
      <c r="I17951" s="1" t="s">
        <v>17</v>
      </c>
      <c r="J17951" s="1" t="str">
        <f>"5/5"</f>
        <v>5/5</v>
      </c>
      <c r="K17951" s="1" t="str">
        <f>"2026-07-29 13:18:02"</f>
        <v>2026-07-29 13:18:02</v>
      </c>
      <c r="L17951" s="1" t="str">
        <f>"2024-09-27 16:35:18"</f>
        <v>2024-09-27 16:35:18</v>
      </c>
      <c r="M17951" s="1" t="s">
        <v>0</v>
      </c>
      <c r="N17951" s="1" t="s">
        <v>38</v>
      </c>
      <c r="O17951" s="1" t="s">
        <v>46</v>
      </c>
    </row>
    <row r="17952" spans="2:15" x14ac:dyDescent="0.3">
      <c r="B17952" s="1" t="s">
        <v>13</v>
      </c>
      <c r="C17952" s="1" t="str">
        <f t="shared" si="894"/>
        <v>4차</v>
      </c>
      <c r="D17952" s="1" t="str">
        <f>"0027Y42339"</f>
        <v>0027Y42339</v>
      </c>
      <c r="E17952" s="1" t="s">
        <v>10</v>
      </c>
      <c r="F17952" s="1" t="str">
        <f>"10.12.133.148"</f>
        <v>10.12.133.148</v>
      </c>
      <c r="G17952" s="1" t="str">
        <f>"0027Y423"</f>
        <v>0027Y423</v>
      </c>
      <c r="H17952" s="1" t="str">
        <f>"동숭로 25-3"</f>
        <v>동숭로 25-3</v>
      </c>
      <c r="I17952" s="1" t="s">
        <v>17</v>
      </c>
      <c r="J17952" s="1" t="str">
        <f>"1/1"</f>
        <v>1/1</v>
      </c>
      <c r="K17952" s="1" t="str">
        <f>"2026-07-29 13:18:02"</f>
        <v>2026-07-29 13:18:02</v>
      </c>
      <c r="L17952" s="1" t="str">
        <f>"2018-06-12 08:09:10"</f>
        <v>2018-06-12 08:09:10</v>
      </c>
      <c r="M17952" s="1" t="s">
        <v>0</v>
      </c>
      <c r="N17952" s="1" t="s">
        <v>38</v>
      </c>
      <c r="O17952" s="1" t="s">
        <v>46</v>
      </c>
    </row>
    <row r="17953" spans="2:15" x14ac:dyDescent="0.3">
      <c r="B17953" s="1" t="s">
        <v>13</v>
      </c>
      <c r="C17953" s="1" t="str">
        <f t="shared" si="894"/>
        <v>4차</v>
      </c>
      <c r="D17953" s="1" t="str">
        <f>"0027Y42639"</f>
        <v>0027Y42639</v>
      </c>
      <c r="E17953" s="1" t="s">
        <v>10</v>
      </c>
      <c r="F17953" s="1" t="str">
        <f>"10.12.133.143"</f>
        <v>10.12.133.143</v>
      </c>
      <c r="G17953" s="1" t="str">
        <f>"0027Y426"</f>
        <v>0027Y426</v>
      </c>
      <c r="H17953" s="1" t="str">
        <f>"동숭로 25-4"</f>
        <v>동숭로 25-4</v>
      </c>
      <c r="I17953" s="1" t="s">
        <v>17</v>
      </c>
      <c r="J17953" s="1" t="str">
        <f>"9/9"</f>
        <v>9/9</v>
      </c>
      <c r="K17953" s="1" t="str">
        <f>"2026-07-29 13:18:02"</f>
        <v>2026-07-29 13:18:02</v>
      </c>
      <c r="L17953" s="1" t="str">
        <f>"2018-06-12 08:20:40"</f>
        <v>2018-06-12 08:20:40</v>
      </c>
      <c r="M17953" s="1" t="s">
        <v>0</v>
      </c>
      <c r="N17953" s="1" t="s">
        <v>38</v>
      </c>
      <c r="O17953" s="1" t="s">
        <v>46</v>
      </c>
    </row>
    <row r="17954" spans="2:15" x14ac:dyDescent="0.3">
      <c r="B17954" s="1" t="s">
        <v>13</v>
      </c>
      <c r="C17954" s="1" t="str">
        <f t="shared" si="894"/>
        <v>4차</v>
      </c>
      <c r="D17954" s="1" t="str">
        <f>"0027Y44639"</f>
        <v>0027Y44639</v>
      </c>
      <c r="E17954" s="1" t="s">
        <v>10</v>
      </c>
      <c r="F17954" s="1" t="str">
        <f>"10.12.133.141"</f>
        <v>10.12.133.141</v>
      </c>
      <c r="G17954" s="1" t="str">
        <f>"0027Y446"</f>
        <v>0027Y446</v>
      </c>
      <c r="H17954" s="1" t="str">
        <f>"동숭로 25-2"</f>
        <v>동숭로 25-2</v>
      </c>
      <c r="I17954" s="1" t="s">
        <v>17</v>
      </c>
      <c r="J17954" s="1" t="str">
        <f>"1/1"</f>
        <v>1/1</v>
      </c>
      <c r="K17954" s="1" t="str">
        <f>"2026-07-29 13:18:02"</f>
        <v>2026-07-29 13:18:02</v>
      </c>
      <c r="L17954" s="1" t="str">
        <f>"2018-06-15 09:20:10"</f>
        <v>2018-06-15 09:20:10</v>
      </c>
      <c r="M17954" s="1" t="s">
        <v>0</v>
      </c>
      <c r="N17954" s="1" t="s">
        <v>38</v>
      </c>
      <c r="O17954" s="1" t="s">
        <v>46</v>
      </c>
    </row>
    <row r="17955" spans="2:15" x14ac:dyDescent="0.3">
      <c r="B17955" s="1" t="s">
        <v>13</v>
      </c>
      <c r="C17955" s="1" t="str">
        <f t="shared" si="894"/>
        <v>4차</v>
      </c>
      <c r="D17955" s="1" t="str">
        <f>"0027Y44739"</f>
        <v>0027Y44739</v>
      </c>
      <c r="E17955" s="1" t="s">
        <v>10</v>
      </c>
      <c r="F17955" s="1" t="str">
        <f>"10.12.134.149"</f>
        <v>10.12.134.149</v>
      </c>
      <c r="G17955" s="1" t="str">
        <f>"0027Y447"</f>
        <v>0027Y447</v>
      </c>
      <c r="H17955" s="1" t="str">
        <f>"동숭로 25-1"</f>
        <v>동숭로 25-1</v>
      </c>
      <c r="I17955" s="1" t="s">
        <v>17</v>
      </c>
      <c r="J17955" s="1" t="str">
        <f>"1/1"</f>
        <v>1/1</v>
      </c>
      <c r="K17955" s="1" t="str">
        <f>"2026-07-29 13:18:01"</f>
        <v>2026-07-29 13:18:01</v>
      </c>
      <c r="L17955" s="1" t="str">
        <f>"2018-06-15 09:27:40"</f>
        <v>2018-06-15 09:27:40</v>
      </c>
      <c r="M17955" s="1" t="s">
        <v>0</v>
      </c>
      <c r="N17955" s="1" t="s">
        <v>38</v>
      </c>
      <c r="O17955" s="1" t="s">
        <v>46</v>
      </c>
    </row>
    <row r="17956" spans="2:15" x14ac:dyDescent="0.3">
      <c r="B17956" s="1" t="s">
        <v>13</v>
      </c>
      <c r="C17956" s="1" t="str">
        <f t="shared" si="894"/>
        <v>4차</v>
      </c>
      <c r="D17956" s="1" t="str">
        <f>"0027Y46739"</f>
        <v>0027Y46739</v>
      </c>
      <c r="E17956" s="1" t="s">
        <v>10</v>
      </c>
      <c r="F17956" s="1" t="str">
        <f>"10.12.133.159"</f>
        <v>10.12.133.159</v>
      </c>
      <c r="G17956" s="1" t="str">
        <f>"0027Y467"</f>
        <v>0027Y467</v>
      </c>
      <c r="H17956" s="1" t="str">
        <f>"동숭로 27-3"</f>
        <v>동숭로 27-3</v>
      </c>
      <c r="I17956" s="1" t="s">
        <v>17</v>
      </c>
      <c r="J17956" s="1" t="str">
        <f>"1/1"</f>
        <v>1/1</v>
      </c>
      <c r="K17956" s="1" t="str">
        <f>"2026-07-29 13:18:02"</f>
        <v>2026-07-29 13:18:02</v>
      </c>
      <c r="L17956" s="1" t="str">
        <f>"2018-06-16 07:21:24"</f>
        <v>2018-06-16 07:21:24</v>
      </c>
      <c r="M17956" s="1" t="s">
        <v>0</v>
      </c>
      <c r="N17956" s="1" t="s">
        <v>38</v>
      </c>
      <c r="O17956" s="1" t="s">
        <v>46</v>
      </c>
    </row>
    <row r="17957" spans="2:15" x14ac:dyDescent="0.3">
      <c r="B17957" s="1" t="s">
        <v>13</v>
      </c>
      <c r="C17957" s="1" t="str">
        <f t="shared" si="894"/>
        <v>4차</v>
      </c>
      <c r="D17957" s="1" t="str">
        <f>"0027Y47B39"</f>
        <v>0027Y47B39</v>
      </c>
      <c r="E17957" s="1" t="s">
        <v>10</v>
      </c>
      <c r="F17957" s="1" t="str">
        <f>"10.12.133.140"</f>
        <v>10.12.133.140</v>
      </c>
      <c r="G17957" s="1" t="str">
        <f>"0027Y47B"</f>
        <v>0027Y47B</v>
      </c>
      <c r="H17957" s="1" t="str">
        <f>"동숭로 27-1"</f>
        <v>동숭로 27-1</v>
      </c>
      <c r="I17957" s="1" t="s">
        <v>17</v>
      </c>
      <c r="J17957" s="1" t="str">
        <f>"2/2"</f>
        <v>2/2</v>
      </c>
      <c r="K17957" s="1" t="str">
        <f>"2026-07-29 13:18:02"</f>
        <v>2026-07-29 13:18:02</v>
      </c>
      <c r="L17957" s="1" t="str">
        <f>"2018-06-16 07:33:39"</f>
        <v>2018-06-16 07:33:39</v>
      </c>
      <c r="M17957" s="1" t="s">
        <v>0</v>
      </c>
      <c r="N17957" s="1" t="s">
        <v>38</v>
      </c>
      <c r="O17957" s="1" t="s">
        <v>46</v>
      </c>
    </row>
    <row r="17958" spans="2:15" x14ac:dyDescent="0.3">
      <c r="B17958" s="1" t="s">
        <v>13</v>
      </c>
      <c r="C17958" s="1" t="str">
        <f t="shared" si="894"/>
        <v>4차</v>
      </c>
      <c r="D17958" s="1" t="str">
        <f>"0027Y51939"</f>
        <v>0027Y51939</v>
      </c>
      <c r="E17958" s="1" t="s">
        <v>10</v>
      </c>
      <c r="F17958" s="1" t="str">
        <f>"10.12.134.8"</f>
        <v>10.12.134.8</v>
      </c>
      <c r="G17958" s="1" t="str">
        <f>"0027Y519"</f>
        <v>0027Y519</v>
      </c>
      <c r="H17958" s="1" t="str">
        <f>"동숭로 3"</f>
        <v>동숭로 3</v>
      </c>
      <c r="I17958" s="1" t="s">
        <v>17</v>
      </c>
      <c r="J17958" s="1" t="str">
        <f>"1/1"</f>
        <v>1/1</v>
      </c>
      <c r="K17958" s="1" t="str">
        <f>"2026-07-29 13:18:01"</f>
        <v>2026-07-29 13:18:01</v>
      </c>
      <c r="L17958" s="1" t="str">
        <f>"2018-06-11 13:55:43"</f>
        <v>2018-06-11 13:55:43</v>
      </c>
      <c r="M17958" s="1" t="s">
        <v>0</v>
      </c>
      <c r="N17958" s="1" t="s">
        <v>38</v>
      </c>
      <c r="O17958" s="1" t="s">
        <v>46</v>
      </c>
    </row>
    <row r="17959" spans="2:15" x14ac:dyDescent="0.3">
      <c r="B17959" s="1" t="s">
        <v>13</v>
      </c>
      <c r="C17959" s="1" t="str">
        <f t="shared" si="894"/>
        <v>4차</v>
      </c>
      <c r="D17959" s="1" t="str">
        <f>"0027Y51A39"</f>
        <v>0027Y51A39</v>
      </c>
      <c r="E17959" s="1" t="s">
        <v>10</v>
      </c>
      <c r="F17959" s="1" t="str">
        <f>"10.12.133.157"</f>
        <v>10.12.133.157</v>
      </c>
      <c r="G17959" s="1" t="str">
        <f>"0027Y51A"</f>
        <v>0027Y51A</v>
      </c>
      <c r="H17959" s="1" t="str">
        <f>"동숭로 4"</f>
        <v>동숭로 4</v>
      </c>
      <c r="I17959" s="1" t="s">
        <v>17</v>
      </c>
      <c r="J17959" s="1" t="str">
        <f>"2/2"</f>
        <v>2/2</v>
      </c>
      <c r="K17959" s="1" t="str">
        <f>"2026-07-29 13:18:02"</f>
        <v>2026-07-29 13:18:02</v>
      </c>
      <c r="L17959" s="1" t="str">
        <f>"2018-06-11 13:55:43"</f>
        <v>2018-06-11 13:55:43</v>
      </c>
      <c r="M17959" s="1" t="s">
        <v>0</v>
      </c>
      <c r="N17959" s="1" t="s">
        <v>38</v>
      </c>
      <c r="O17959" s="1" t="s">
        <v>46</v>
      </c>
    </row>
    <row r="17960" spans="2:15" x14ac:dyDescent="0.3">
      <c r="B17960" s="1" t="s">
        <v>13</v>
      </c>
      <c r="C17960" s="1" t="str">
        <f t="shared" si="894"/>
        <v>4차</v>
      </c>
      <c r="D17960" s="1" t="str">
        <f>"0027Y51B39"</f>
        <v>0027Y51B39</v>
      </c>
      <c r="E17960" s="1" t="s">
        <v>14</v>
      </c>
      <c r="F17960" s="1" t="str">
        <f>"10.12.133.147"</f>
        <v>10.12.133.147</v>
      </c>
      <c r="G17960" s="1" t="str">
        <f>"0027Y51B"</f>
        <v>0027Y51B</v>
      </c>
      <c r="H17960" s="1" t="str">
        <f>"동숭로 5"</f>
        <v>동숭로 5</v>
      </c>
      <c r="I17960" s="1" t="s">
        <v>17</v>
      </c>
      <c r="J17960" s="1" t="str">
        <f>"0/0"</f>
        <v>0/0</v>
      </c>
      <c r="K17960" s="1" t="str">
        <f>"2026-07-28 13:18:02"</f>
        <v>2026-07-28 13:18:02</v>
      </c>
      <c r="L17960" s="1" t="str">
        <f>"2018-06-11 13:56:59"</f>
        <v>2018-06-11 13:56:59</v>
      </c>
      <c r="M17960" s="1" t="s">
        <v>0</v>
      </c>
      <c r="N17960" s="1" t="s">
        <v>39</v>
      </c>
      <c r="O17960" s="1" t="s">
        <v>46</v>
      </c>
    </row>
    <row r="17961" spans="2:15" x14ac:dyDescent="0.3">
      <c r="B17961" s="1" t="s">
        <v>13</v>
      </c>
      <c r="C17961" s="1" t="str">
        <f t="shared" si="894"/>
        <v>4차</v>
      </c>
      <c r="D17961" s="1" t="str">
        <f>"0027Y51C39"</f>
        <v>0027Y51C39</v>
      </c>
      <c r="E17961" s="1" t="s">
        <v>10</v>
      </c>
      <c r="F17961" s="1" t="str">
        <f>"10.12.133.125"</f>
        <v>10.12.133.125</v>
      </c>
      <c r="G17961" s="1" t="str">
        <f>"0027Y51C"</f>
        <v>0027Y51C</v>
      </c>
      <c r="H17961" s="1" t="str">
        <f>"동숭로 6"</f>
        <v>동숭로 6</v>
      </c>
      <c r="I17961" s="1" t="s">
        <v>17</v>
      </c>
      <c r="J17961" s="1" t="str">
        <f>"5/5"</f>
        <v>5/5</v>
      </c>
      <c r="K17961" s="1" t="str">
        <f>"2026-07-29 13:18:02"</f>
        <v>2026-07-29 13:18:02</v>
      </c>
      <c r="L17961" s="1" t="str">
        <f>"2018-06-11 13:57:59"</f>
        <v>2018-06-11 13:57:59</v>
      </c>
      <c r="M17961" s="1" t="s">
        <v>0</v>
      </c>
      <c r="N17961" s="1" t="s">
        <v>38</v>
      </c>
      <c r="O17961" s="1" t="s">
        <v>46</v>
      </c>
    </row>
    <row r="17962" spans="2:15" x14ac:dyDescent="0.3">
      <c r="B17962" s="1" t="s">
        <v>13</v>
      </c>
      <c r="C17962" s="1" t="str">
        <f t="shared" si="894"/>
        <v>4차</v>
      </c>
      <c r="D17962" s="1" t="str">
        <f>"0027Y51D39"</f>
        <v>0027Y51D39</v>
      </c>
      <c r="E17962" s="1" t="s">
        <v>14</v>
      </c>
      <c r="F17962" s="1" t="str">
        <f>"10.12.132.216"</f>
        <v>10.12.132.216</v>
      </c>
      <c r="G17962" s="1" t="str">
        <f>"0027Y51D"</f>
        <v>0027Y51D</v>
      </c>
      <c r="H17962" s="1" t="str">
        <f>"동숭로 7"</f>
        <v>동숭로 7</v>
      </c>
      <c r="I17962" s="1" t="s">
        <v>17</v>
      </c>
      <c r="J17962" s="1" t="str">
        <f>"0/0"</f>
        <v>0/0</v>
      </c>
      <c r="K17962" s="1" t="str">
        <f>"2026-07-28 13:18:01"</f>
        <v>2026-07-28 13:18:01</v>
      </c>
      <c r="L17962" s="1" t="str">
        <f>"2018-06-11 13:59:15"</f>
        <v>2018-06-11 13:59:15</v>
      </c>
      <c r="M17962" s="1" t="s">
        <v>0</v>
      </c>
      <c r="N17962" s="1" t="s">
        <v>39</v>
      </c>
      <c r="O17962" s="1" t="s">
        <v>46</v>
      </c>
    </row>
    <row r="17963" spans="2:15" x14ac:dyDescent="0.3">
      <c r="B17963" s="1" t="s">
        <v>13</v>
      </c>
      <c r="C17963" s="1" t="str">
        <f t="shared" si="894"/>
        <v>4차</v>
      </c>
      <c r="D17963" s="1" t="str">
        <f>"0027Y53139"</f>
        <v>0027Y53139</v>
      </c>
      <c r="E17963" s="1" t="s">
        <v>10</v>
      </c>
      <c r="F17963" s="1" t="str">
        <f>"10.12.133.150"</f>
        <v>10.12.133.150</v>
      </c>
      <c r="G17963" s="1" t="str">
        <f>"0027Y531"</f>
        <v>0027Y531</v>
      </c>
      <c r="H17963" s="1" t="str">
        <f>"동숭로 7-2"</f>
        <v>동숭로 7-2</v>
      </c>
      <c r="I17963" s="1" t="s">
        <v>17</v>
      </c>
      <c r="J17963" s="1" t="str">
        <f>"6/6"</f>
        <v>6/6</v>
      </c>
      <c r="K17963" s="1" t="str">
        <f>"2026-07-29 13:18:02"</f>
        <v>2026-07-29 13:18:02</v>
      </c>
      <c r="L17963" s="1" t="str">
        <f>"2018-06-16 08:43:39"</f>
        <v>2018-06-16 08:43:39</v>
      </c>
      <c r="M17963" s="1" t="s">
        <v>0</v>
      </c>
      <c r="N17963" s="1" t="s">
        <v>38</v>
      </c>
      <c r="O17963" s="1" t="s">
        <v>46</v>
      </c>
    </row>
    <row r="17964" spans="2:15" x14ac:dyDescent="0.3">
      <c r="B17964" s="1" t="s">
        <v>13</v>
      </c>
      <c r="C17964" s="1" t="str">
        <f t="shared" si="894"/>
        <v>4차</v>
      </c>
      <c r="D17964" s="1" t="str">
        <f>"0027Y53C39"</f>
        <v>0027Y53C39</v>
      </c>
      <c r="E17964" s="1" t="s">
        <v>14</v>
      </c>
      <c r="F17964" s="1" t="str">
        <f>"10.12.132.209"</f>
        <v>10.12.132.209</v>
      </c>
      <c r="G17964" s="1" t="str">
        <f>"0027Y53C"</f>
        <v>0027Y53C</v>
      </c>
      <c r="H17964" s="1" t="str">
        <f>"동숭로 7-1"</f>
        <v>동숭로 7-1</v>
      </c>
      <c r="I17964" s="1" t="s">
        <v>17</v>
      </c>
      <c r="J17964" s="1" t="str">
        <f>"0/0"</f>
        <v>0/0</v>
      </c>
      <c r="K17964" s="1" t="str">
        <f>"2026-06-10 07:18:02"</f>
        <v>2026-06-10 07:18:02</v>
      </c>
      <c r="L17964" s="1" t="str">
        <f>"2018-06-12 08:39:11"</f>
        <v>2018-06-12 08:39:11</v>
      </c>
      <c r="M17964" s="1" t="s">
        <v>0</v>
      </c>
      <c r="N17964" s="1" t="s">
        <v>39</v>
      </c>
      <c r="O17964" s="1" t="s">
        <v>46</v>
      </c>
    </row>
    <row r="17965" spans="2:15" x14ac:dyDescent="0.3">
      <c r="B17965" s="1" t="s">
        <v>13</v>
      </c>
      <c r="C17965" s="1" t="str">
        <f t="shared" si="894"/>
        <v>4차</v>
      </c>
      <c r="D17965" s="1" t="str">
        <f>"0027Y56E39"</f>
        <v>0027Y56E39</v>
      </c>
      <c r="E17965" s="1" t="s">
        <v>14</v>
      </c>
      <c r="F17965" s="1" t="str">
        <f>"10.12.134.161"</f>
        <v>10.12.134.161</v>
      </c>
      <c r="G17965" s="1" t="str">
        <f>"0027Y56E"</f>
        <v>0027Y56E</v>
      </c>
      <c r="H17965" s="1" t="str">
        <f>"동숭로 11"</f>
        <v>동숭로 11</v>
      </c>
      <c r="I17965" s="1" t="s">
        <v>17</v>
      </c>
      <c r="J17965" s="1" t="str">
        <f>"0/0"</f>
        <v>0/0</v>
      </c>
      <c r="K17965" s="1" t="str">
        <f>"2024-10-28 07:21:01"</f>
        <v>2024-10-28 07:21:01</v>
      </c>
      <c r="L17965" s="1" t="str">
        <f>"2018-06-15 07:19:10"</f>
        <v>2018-06-15 07:19:10</v>
      </c>
      <c r="M17965" s="1" t="s">
        <v>0</v>
      </c>
      <c r="N17965" s="1" t="s">
        <v>39</v>
      </c>
      <c r="O17965" s="1" t="s">
        <v>46</v>
      </c>
    </row>
    <row r="17966" spans="2:15" x14ac:dyDescent="0.3">
      <c r="B17966" s="1" t="s">
        <v>13</v>
      </c>
      <c r="C17966" s="1" t="str">
        <f t="shared" si="894"/>
        <v>4차</v>
      </c>
      <c r="D17966" s="1" t="str">
        <f>"0027Y60739"</f>
        <v>0027Y60739</v>
      </c>
      <c r="E17966" s="1" t="s">
        <v>10</v>
      </c>
      <c r="F17966" s="1" t="str">
        <f>"10.12.134.59"</f>
        <v>10.12.134.59</v>
      </c>
      <c r="G17966" s="1" t="str">
        <f>"0027Y607"</f>
        <v>0027Y607</v>
      </c>
      <c r="H17966" s="1" t="str">
        <f>"동숭로 1"</f>
        <v>동숭로 1</v>
      </c>
      <c r="I17966" s="1" t="s">
        <v>17</v>
      </c>
      <c r="J17966" s="1" t="str">
        <f>"11/12"</f>
        <v>11/12</v>
      </c>
      <c r="K17966" s="1" t="str">
        <f>"2026-07-29 13:18:01"</f>
        <v>2026-07-29 13:18:01</v>
      </c>
      <c r="L17966" s="1" t="str">
        <f>"2018-06-11 13:07:13"</f>
        <v>2018-06-11 13:07:13</v>
      </c>
      <c r="M17966" s="1" t="s">
        <v>0</v>
      </c>
      <c r="N17966" s="1" t="s">
        <v>38</v>
      </c>
      <c r="O17966" s="1" t="s">
        <v>46</v>
      </c>
    </row>
    <row r="17967" spans="2:15" x14ac:dyDescent="0.3">
      <c r="B17967" s="1" t="s">
        <v>13</v>
      </c>
      <c r="C17967" s="1" t="str">
        <f t="shared" si="894"/>
        <v>4차</v>
      </c>
      <c r="D17967" s="1" t="str">
        <f>"0027Y60839"</f>
        <v>0027Y60839</v>
      </c>
      <c r="E17967" s="1" t="s">
        <v>10</v>
      </c>
      <c r="F17967" s="1" t="str">
        <f>"10.12.133.161"</f>
        <v>10.12.133.161</v>
      </c>
      <c r="G17967" s="1" t="str">
        <f>"0027Y608"</f>
        <v>0027Y608</v>
      </c>
      <c r="H17967" s="1" t="str">
        <f>"동숭로 2"</f>
        <v>동숭로 2</v>
      </c>
      <c r="I17967" s="1" t="s">
        <v>17</v>
      </c>
      <c r="J17967" s="1" t="str">
        <f>"4/5"</f>
        <v>4/5</v>
      </c>
      <c r="K17967" s="1" t="str">
        <f>"2026-07-29 13:18:02"</f>
        <v>2026-07-29 13:18:02</v>
      </c>
      <c r="L17967" s="1" t="str">
        <f>"2018-06-11 12:44:58"</f>
        <v>2018-06-11 12:44:58</v>
      </c>
      <c r="M17967" s="1" t="s">
        <v>0</v>
      </c>
      <c r="N17967" s="1" t="s">
        <v>38</v>
      </c>
      <c r="O17967" s="1" t="s">
        <v>46</v>
      </c>
    </row>
    <row r="17968" spans="2:15" x14ac:dyDescent="0.3">
      <c r="B17968" s="1" t="s">
        <v>13</v>
      </c>
      <c r="C17968" s="1" t="str">
        <f>"3차"</f>
        <v>3차</v>
      </c>
      <c r="D17968" s="1" t="str">
        <f>"0027Y61639"</f>
        <v>0027Y61639</v>
      </c>
      <c r="E17968" s="1" t="s">
        <v>10</v>
      </c>
      <c r="F17968" s="1" t="str">
        <f>"10.12.133.131"</f>
        <v>10.12.133.131</v>
      </c>
      <c r="G17968" s="1" t="str">
        <f>"0027Y616"</f>
        <v>0027Y616</v>
      </c>
      <c r="H17968" s="1" t="str">
        <f>"동숭로 9"</f>
        <v>동숭로 9</v>
      </c>
      <c r="I17968" s="1" t="s">
        <v>17</v>
      </c>
      <c r="J17968" s="1" t="str">
        <f>"5/14"</f>
        <v>5/14</v>
      </c>
      <c r="K17968" s="1" t="str">
        <f>"2026-07-29 13:18:02"</f>
        <v>2026-07-29 13:18:02</v>
      </c>
      <c r="L17968" s="1" t="str">
        <f>"2018-06-12 09:07:27"</f>
        <v>2018-06-12 09:07:27</v>
      </c>
      <c r="M17968" s="1" t="s">
        <v>0</v>
      </c>
      <c r="N17968" s="1" t="s">
        <v>38</v>
      </c>
      <c r="O17968" s="1" t="s">
        <v>46</v>
      </c>
    </row>
    <row r="17969" spans="2:15" x14ac:dyDescent="0.3">
      <c r="B17969" s="1" t="s">
        <v>13</v>
      </c>
      <c r="C17969" s="1" t="str">
        <f>"4차"</f>
        <v>4차</v>
      </c>
      <c r="D17969" s="1" t="str">
        <f>"0027Y61739"</f>
        <v>0027Y61739</v>
      </c>
      <c r="E17969" s="1" t="s">
        <v>10</v>
      </c>
      <c r="F17969" s="1" t="str">
        <f>"10.12.132.211"</f>
        <v>10.12.132.211</v>
      </c>
      <c r="G17969" s="1" t="str">
        <f>"0027Y617"</f>
        <v>0027Y617</v>
      </c>
      <c r="H17969" s="1" t="str">
        <f>"동숭로 8"</f>
        <v>동숭로 8</v>
      </c>
      <c r="I17969" s="1" t="s">
        <v>17</v>
      </c>
      <c r="J17969" s="1" t="str">
        <f>"5/15"</f>
        <v>5/15</v>
      </c>
      <c r="K17969" s="1" t="str">
        <f>"2026-07-29 13:18:02"</f>
        <v>2026-07-29 13:18:02</v>
      </c>
      <c r="L17969" s="1" t="str">
        <f>"2018-06-12 09:01:10"</f>
        <v>2018-06-12 09:01:10</v>
      </c>
      <c r="M17969" s="1" t="s">
        <v>0</v>
      </c>
      <c r="N17969" s="1" t="s">
        <v>38</v>
      </c>
      <c r="O17969" s="1" t="s">
        <v>46</v>
      </c>
    </row>
    <row r="17970" spans="2:15" x14ac:dyDescent="0.3">
      <c r="B17970" s="1" t="s">
        <v>13</v>
      </c>
      <c r="C17970" s="1" t="s">
        <v>16</v>
      </c>
      <c r="D17970" s="1" t="str">
        <f>"0027Y6515S"</f>
        <v>0027Y6515S</v>
      </c>
      <c r="E17970" s="1" t="s">
        <v>10</v>
      </c>
      <c r="F17970" s="1" t="str">
        <f>"fde3:102:1304:3903:0:0:0:2"</f>
        <v>fde3:102:1304:3903:0:0:0:2</v>
      </c>
      <c r="G17970" s="1" t="str">
        <f>"0027Y651"</f>
        <v>0027Y651</v>
      </c>
      <c r="H17970" s="1" t="str">
        <f>"동숭동간 39R3"</f>
        <v>동숭동간 39R3</v>
      </c>
      <c r="I17970" s="1" t="s">
        <v>15</v>
      </c>
      <c r="J17970" s="1" t="str">
        <f>"89/91"</f>
        <v>89/91</v>
      </c>
      <c r="K17970" s="1" t="str">
        <f>"2026-07-29 14:20:22"</f>
        <v>2026-07-29 14:20:22</v>
      </c>
      <c r="L17970" s="1" t="str">
        <f>"2023-08-03 09:35:13"</f>
        <v>2023-08-03 09:35:13</v>
      </c>
      <c r="M17970" s="1" t="s">
        <v>45</v>
      </c>
      <c r="N17970" s="1" t="s">
        <v>38</v>
      </c>
      <c r="O17970" s="1" t="s">
        <v>46</v>
      </c>
    </row>
    <row r="17971" spans="2:15" x14ac:dyDescent="0.3">
      <c r="B17971" s="1" t="s">
        <v>13</v>
      </c>
      <c r="C17971" s="1" t="str">
        <f>"2차"</f>
        <v>2차</v>
      </c>
      <c r="D17971" s="1" t="str">
        <f>"0027Y66129"</f>
        <v>0027Y66129</v>
      </c>
      <c r="E17971" s="1" t="s">
        <v>10</v>
      </c>
      <c r="F17971" s="1" t="str">
        <f>"10.26.1.14"</f>
        <v>10.26.1.14</v>
      </c>
      <c r="G17971" s="1" t="str">
        <f>"0027Y661"</f>
        <v>0027Y661</v>
      </c>
      <c r="H17971" s="1" t="str">
        <f>"동숭동간 39R4"</f>
        <v>동숭동간 39R4</v>
      </c>
      <c r="I17971" s="1" t="s">
        <v>8</v>
      </c>
      <c r="J17971" s="1" t="str">
        <f>"6/6"</f>
        <v>6/6</v>
      </c>
      <c r="K17971" s="1" t="str">
        <f>"2026-07-29 13:18:01"</f>
        <v>2026-07-29 13:18:01</v>
      </c>
      <c r="L17971" s="1" t="str">
        <f>"2017-07-26 11:27:47"</f>
        <v>2017-07-26 11:27:47</v>
      </c>
      <c r="M17971" s="1" t="s">
        <v>45</v>
      </c>
      <c r="N17971" s="1" t="s">
        <v>38</v>
      </c>
      <c r="O17971" s="1" t="s">
        <v>46</v>
      </c>
    </row>
    <row r="17972" spans="2:15" x14ac:dyDescent="0.3">
      <c r="B17972" s="1" t="s">
        <v>13</v>
      </c>
      <c r="C17972" s="1" t="s">
        <v>16</v>
      </c>
      <c r="D17972" s="1" t="str">
        <f>"0027Y6625S"</f>
        <v>0027Y6625S</v>
      </c>
      <c r="E17972" s="1" t="s">
        <v>10</v>
      </c>
      <c r="F17972" s="1" t="str">
        <f>"fde1:103:4:55f2:0:0:0:2"</f>
        <v>fde1:103:4:55f2:0:0:0:2</v>
      </c>
      <c r="G17972" s="1" t="str">
        <f>"0027Y662"</f>
        <v>0027Y662</v>
      </c>
      <c r="H17972" s="1" t="str">
        <f>"동숭동간 39R5"</f>
        <v>동숭동간 39R5</v>
      </c>
      <c r="I17972" s="1" t="s">
        <v>15</v>
      </c>
      <c r="J17972" s="1" t="str">
        <f>"88/88"</f>
        <v>88/88</v>
      </c>
      <c r="K17972" s="1" t="str">
        <f>"2026-07-29 14:20:03"</f>
        <v>2026-07-29 14:20:03</v>
      </c>
      <c r="L17972" s="1" t="str">
        <f>"2023-08-04 10:43:50"</f>
        <v>2023-08-04 10:43:50</v>
      </c>
      <c r="M17972" s="1" t="s">
        <v>4</v>
      </c>
      <c r="N17972" s="1" t="s">
        <v>38</v>
      </c>
      <c r="O17972" s="1" t="s">
        <v>46</v>
      </c>
    </row>
    <row r="17973" spans="2:15" x14ac:dyDescent="0.3">
      <c r="B17973" s="1" t="s">
        <v>13</v>
      </c>
      <c r="C17973" s="1" t="str">
        <f>"4차"</f>
        <v>4차</v>
      </c>
      <c r="D17973" s="1" t="str">
        <f>"0027Y67A39"</f>
        <v>0027Y67A39</v>
      </c>
      <c r="E17973" s="1" t="s">
        <v>10</v>
      </c>
      <c r="F17973" s="1" t="str">
        <f>"10.12.134.43"</f>
        <v>10.12.134.43</v>
      </c>
      <c r="G17973" s="1" t="str">
        <f>"0027Y67A"</f>
        <v>0027Y67A</v>
      </c>
      <c r="H17973" s="1" t="str">
        <f>"동숭로 13"</f>
        <v>동숭로 13</v>
      </c>
      <c r="I17973" s="1" t="s">
        <v>17</v>
      </c>
      <c r="J17973" s="1" t="str">
        <f>"31/31"</f>
        <v>31/31</v>
      </c>
      <c r="K17973" s="1" t="str">
        <f>"2026-07-29 13:18:02"</f>
        <v>2026-07-29 13:18:02</v>
      </c>
      <c r="L17973" s="1" t="str">
        <f>"2018-07-26 16:47:16"</f>
        <v>2018-07-26 16:47:16</v>
      </c>
      <c r="M17973" s="1" t="s">
        <v>0</v>
      </c>
      <c r="N17973" s="1" t="s">
        <v>38</v>
      </c>
      <c r="O17973" s="1" t="s">
        <v>46</v>
      </c>
    </row>
    <row r="17974" spans="2:15" x14ac:dyDescent="0.3">
      <c r="B17974" s="1" t="s">
        <v>13</v>
      </c>
      <c r="C17974" s="1" t="str">
        <f>"4차"</f>
        <v>4차</v>
      </c>
      <c r="D17974" s="1" t="str">
        <f>"0027Y68539"</f>
        <v>0027Y68539</v>
      </c>
      <c r="E17974" s="1" t="s">
        <v>10</v>
      </c>
      <c r="F17974" s="1" t="str">
        <f>"10.12.134.70"</f>
        <v>10.12.134.70</v>
      </c>
      <c r="G17974" s="1" t="str">
        <f>"0027Y685"</f>
        <v>0027Y685</v>
      </c>
      <c r="H17974" s="1" t="str">
        <f>"동숭로 16"</f>
        <v>동숭로 16</v>
      </c>
      <c r="I17974" s="1" t="s">
        <v>17</v>
      </c>
      <c r="J17974" s="1" t="str">
        <f>"54/54"</f>
        <v>54/54</v>
      </c>
      <c r="K17974" s="1" t="str">
        <f>"2026-07-29 13:18:01"</f>
        <v>2026-07-29 13:18:01</v>
      </c>
      <c r="L17974" s="1" t="str">
        <f>"2018-06-15 08:35:55"</f>
        <v>2018-06-15 08:35:55</v>
      </c>
      <c r="M17974" s="1" t="s">
        <v>0</v>
      </c>
      <c r="N17974" s="1" t="s">
        <v>38</v>
      </c>
      <c r="O17974" s="1" t="s">
        <v>46</v>
      </c>
    </row>
    <row r="17975" spans="2:15" x14ac:dyDescent="0.3">
      <c r="B17975" s="1" t="s">
        <v>13</v>
      </c>
      <c r="C17975" s="1" t="str">
        <f>"4차"</f>
        <v>4차</v>
      </c>
      <c r="D17975" s="1" t="str">
        <f>"0027Y68K39"</f>
        <v>0027Y68K39</v>
      </c>
      <c r="E17975" s="1" t="s">
        <v>14</v>
      </c>
      <c r="F17975" s="1" t="str">
        <f>"10.12.134.166"</f>
        <v>10.12.134.166</v>
      </c>
      <c r="G17975" s="1" t="str">
        <f>"0027Y68K"</f>
        <v>0027Y68K</v>
      </c>
      <c r="H17975" s="1" t="str">
        <f>"동숭로 15"</f>
        <v>동숭로 15</v>
      </c>
      <c r="I17975" s="1" t="s">
        <v>17</v>
      </c>
      <c r="J17975" s="1" t="str">
        <f>"0/0"</f>
        <v>0/0</v>
      </c>
      <c r="K17975" s="1" t="str">
        <f>"2026-07-28 13:18:01"</f>
        <v>2026-07-28 13:18:01</v>
      </c>
      <c r="L17975" s="1" t="str">
        <f>"2023-05-04 15:25:34"</f>
        <v>2023-05-04 15:25:34</v>
      </c>
      <c r="M17975" s="1" t="s">
        <v>0</v>
      </c>
      <c r="N17975" s="1" t="s">
        <v>39</v>
      </c>
      <c r="O17975" s="1" t="s">
        <v>46</v>
      </c>
    </row>
    <row r="17976" spans="2:15" x14ac:dyDescent="0.3">
      <c r="B17976" s="1" t="s">
        <v>13</v>
      </c>
      <c r="C17976" s="1" t="s">
        <v>16</v>
      </c>
      <c r="D17976" s="1" t="str">
        <f>"0027Y7125S"</f>
        <v>0027Y7125S</v>
      </c>
      <c r="E17976" s="1" t="s">
        <v>10</v>
      </c>
      <c r="F17976" s="1" t="str">
        <f>"fde3:102:1304:3108:0:0:0:2"</f>
        <v>fde3:102:1304:3108:0:0:0:2</v>
      </c>
      <c r="G17976" s="1" t="str">
        <f>"0027Y712"</f>
        <v>0027Y712</v>
      </c>
      <c r="H17976" s="1" t="str">
        <f>"동숭동간 33R2"</f>
        <v>동숭동간 33R2</v>
      </c>
      <c r="I17976" s="1" t="s">
        <v>15</v>
      </c>
      <c r="J17976" s="1" t="str">
        <f>"30/30"</f>
        <v>30/30</v>
      </c>
      <c r="K17976" s="1" t="str">
        <f>"2026-07-29 14:20:05"</f>
        <v>2026-07-29 14:20:05</v>
      </c>
      <c r="L17976" s="1" t="str">
        <f>"2023-08-02 15:09:30"</f>
        <v>2023-08-02 15:09:30</v>
      </c>
      <c r="M17976" s="1" t="s">
        <v>45</v>
      </c>
      <c r="N17976" s="1" t="s">
        <v>38</v>
      </c>
      <c r="O17976" s="1" t="s">
        <v>46</v>
      </c>
    </row>
    <row r="17977" spans="2:15" x14ac:dyDescent="0.3">
      <c r="B17977" s="1" t="s">
        <v>13</v>
      </c>
      <c r="C17977" s="1" t="str">
        <f>"2차"</f>
        <v>2차</v>
      </c>
      <c r="D17977" s="1" t="str">
        <f>"0027Y73329"</f>
        <v>0027Y73329</v>
      </c>
      <c r="E17977" s="1" t="s">
        <v>10</v>
      </c>
      <c r="F17977" s="1" t="str">
        <f>"10.11.9.2"</f>
        <v>10.11.9.2</v>
      </c>
      <c r="G17977" s="1" t="str">
        <f>"0027Y733"</f>
        <v>0027Y733</v>
      </c>
      <c r="H17977" s="1" t="str">
        <f>"동숭동간 35R1L2"</f>
        <v>동숭동간 35R1L2</v>
      </c>
      <c r="I17977" s="1" t="s">
        <v>8</v>
      </c>
      <c r="J17977" s="1" t="str">
        <f>"1/1"</f>
        <v>1/1</v>
      </c>
      <c r="K17977" s="1" t="str">
        <f>"2026-07-29 13:18:01"</f>
        <v>2026-07-29 13:18:01</v>
      </c>
      <c r="L17977" s="1" t="str">
        <f>"2017-06-22 07:33:36"</f>
        <v>2017-06-22 07:33:36</v>
      </c>
      <c r="M17977" s="1" t="s">
        <v>2</v>
      </c>
      <c r="N17977" s="1" t="s">
        <v>38</v>
      </c>
      <c r="O17977" s="1" t="s">
        <v>46</v>
      </c>
    </row>
    <row r="17978" spans="2:15" x14ac:dyDescent="0.3">
      <c r="B17978" s="1" t="s">
        <v>13</v>
      </c>
      <c r="C17978" s="1" t="str">
        <f>"4차"</f>
        <v>4차</v>
      </c>
      <c r="D17978" s="1" t="str">
        <f>"0027Y78239"</f>
        <v>0027Y78239</v>
      </c>
      <c r="E17978" s="1" t="s">
        <v>10</v>
      </c>
      <c r="F17978" s="1" t="str">
        <f>"10.12.135.63"</f>
        <v>10.12.135.63</v>
      </c>
      <c r="G17978" s="1" t="str">
        <f>"0027Y782"</f>
        <v>0027Y782</v>
      </c>
      <c r="H17978" s="1" t="str">
        <f>"동숭로 17"</f>
        <v>동숭로 17</v>
      </c>
      <c r="I17978" s="1" t="s">
        <v>17</v>
      </c>
      <c r="J17978" s="1" t="str">
        <f>"44/44"</f>
        <v>44/44</v>
      </c>
      <c r="K17978" s="1" t="str">
        <f>"2026-07-29 13:18:01"</f>
        <v>2026-07-29 13:18:01</v>
      </c>
      <c r="L17978" s="1" t="str">
        <f>"2018-08-02 13:26:56"</f>
        <v>2018-08-02 13:26:56</v>
      </c>
      <c r="M17978" s="1" t="s">
        <v>0</v>
      </c>
      <c r="N17978" s="1" t="s">
        <v>38</v>
      </c>
      <c r="O17978" s="1" t="s">
        <v>46</v>
      </c>
    </row>
    <row r="17979" spans="2:15" x14ac:dyDescent="0.3">
      <c r="B17979" s="1" t="s">
        <v>13</v>
      </c>
      <c r="C17979" s="1" t="s">
        <v>16</v>
      </c>
      <c r="D17979" s="1" t="str">
        <f>"0027Y8015S"</f>
        <v>0027Y8015S</v>
      </c>
      <c r="E17979" s="1" t="s">
        <v>10</v>
      </c>
      <c r="F17979" s="1" t="str">
        <f>"fde3:102:1304:3501:0:0:0:2"</f>
        <v>fde3:102:1304:3501:0:0:0:2</v>
      </c>
      <c r="G17979" s="1" t="str">
        <f>"0027Y801"</f>
        <v>0027Y801</v>
      </c>
      <c r="H17979" s="1" t="str">
        <f>"동숭동간 33R4"</f>
        <v>동숭동간 33R4</v>
      </c>
      <c r="I17979" s="1" t="s">
        <v>15</v>
      </c>
      <c r="J17979" s="1" t="str">
        <f>"18/18"</f>
        <v>18/18</v>
      </c>
      <c r="K17979" s="1" t="str">
        <f>"2026-07-29 14:20:03"</f>
        <v>2026-07-29 14:20:03</v>
      </c>
      <c r="L17979" s="1" t="str">
        <f>"2023-08-03 13:26:20"</f>
        <v>2023-08-03 13:26:20</v>
      </c>
      <c r="M17979" s="1" t="s">
        <v>45</v>
      </c>
      <c r="N17979" s="1" t="s">
        <v>38</v>
      </c>
      <c r="O17979" s="1" t="s">
        <v>46</v>
      </c>
    </row>
    <row r="17980" spans="2:15" x14ac:dyDescent="0.3">
      <c r="B17980" s="1" t="s">
        <v>13</v>
      </c>
      <c r="C17980" s="1" t="s">
        <v>16</v>
      </c>
      <c r="D17980" s="1" t="str">
        <f>"0027Y8035S"</f>
        <v>0027Y8035S</v>
      </c>
      <c r="E17980" s="1" t="s">
        <v>10</v>
      </c>
      <c r="F17980" s="1" t="str">
        <f>"fde3:102:1304:3108:0:0:0:3"</f>
        <v>fde3:102:1304:3108:0:0:0:3</v>
      </c>
      <c r="G17980" s="1" t="str">
        <f>"0027Y803"</f>
        <v>0027Y803</v>
      </c>
      <c r="H17980" s="1" t="str">
        <f>"동숭동간 33R6"</f>
        <v>동숭동간 33R6</v>
      </c>
      <c r="I17980" s="1" t="s">
        <v>15</v>
      </c>
      <c r="J17980" s="1" t="str">
        <f>"15/15"</f>
        <v>15/15</v>
      </c>
      <c r="K17980" s="1" t="str">
        <f>"2026-07-29 14:20:03"</f>
        <v>2026-07-29 14:20:03</v>
      </c>
      <c r="L17980" s="1" t="str">
        <f>"2023-08-03 10:46:36"</f>
        <v>2023-08-03 10:46:36</v>
      </c>
      <c r="M17980" s="1" t="s">
        <v>45</v>
      </c>
      <c r="N17980" s="1" t="s">
        <v>38</v>
      </c>
      <c r="O17980" s="1" t="s">
        <v>46</v>
      </c>
    </row>
    <row r="17981" spans="2:15" x14ac:dyDescent="0.3">
      <c r="B17981" s="1" t="s">
        <v>13</v>
      </c>
      <c r="C17981" s="1" t="s">
        <v>16</v>
      </c>
      <c r="D17981" s="1" t="str">
        <f>"0027Y8115S"</f>
        <v>0027Y8115S</v>
      </c>
      <c r="E17981" s="1" t="s">
        <v>10</v>
      </c>
      <c r="F17981" s="1" t="str">
        <f>"fde3:102:1304:3108:0:0:0:4"</f>
        <v>fde3:102:1304:3108:0:0:0:4</v>
      </c>
      <c r="G17981" s="1" t="str">
        <f>"0027Y811"</f>
        <v>0027Y811</v>
      </c>
      <c r="H17981" s="1" t="str">
        <f>"동숭동간 33R3"</f>
        <v>동숭동간 33R3</v>
      </c>
      <c r="I17981" s="1" t="s">
        <v>15</v>
      </c>
      <c r="J17981" s="1" t="str">
        <f>"38/38"</f>
        <v>38/38</v>
      </c>
      <c r="K17981" s="1" t="str">
        <f>"2026-07-29 14:20:03"</f>
        <v>2026-07-29 14:20:03</v>
      </c>
      <c r="L17981" s="1" t="str">
        <f>"2023-08-03 11:49:03"</f>
        <v>2023-08-03 11:49:03</v>
      </c>
      <c r="M17981" s="1" t="s">
        <v>45</v>
      </c>
      <c r="N17981" s="1" t="s">
        <v>38</v>
      </c>
      <c r="O17981" s="1" t="s">
        <v>46</v>
      </c>
    </row>
    <row r="17982" spans="2:15" x14ac:dyDescent="0.3">
      <c r="B17982" s="1" t="s">
        <v>13</v>
      </c>
      <c r="C17982" s="1" t="s">
        <v>16</v>
      </c>
      <c r="D17982" s="1" t="str">
        <f>"0027Y8215S"</f>
        <v>0027Y8215S</v>
      </c>
      <c r="E17982" s="1" t="s">
        <v>10</v>
      </c>
      <c r="F17982" s="1" t="str">
        <f>"fde3:102:1304:3903:0:0:0:3"</f>
        <v>fde3:102:1304:3903:0:0:0:3</v>
      </c>
      <c r="G17982" s="1" t="str">
        <f>"0027Y821"</f>
        <v>0027Y821</v>
      </c>
      <c r="H17982" s="1" t="str">
        <f>"동숭동간 35R3"</f>
        <v>동숭동간 35R3</v>
      </c>
      <c r="I17982" s="1" t="s">
        <v>15</v>
      </c>
      <c r="J17982" s="1" t="str">
        <f>"52/52"</f>
        <v>52/52</v>
      </c>
      <c r="K17982" s="1" t="str">
        <f>"2026-07-29 14:20:03"</f>
        <v>2026-07-29 14:20:03</v>
      </c>
      <c r="L17982" s="1" t="str">
        <f>"2023-08-03 15:25:20"</f>
        <v>2023-08-03 15:25:20</v>
      </c>
      <c r="M17982" s="1" t="s">
        <v>45</v>
      </c>
      <c r="N17982" s="1" t="s">
        <v>38</v>
      </c>
      <c r="O17982" s="1" t="s">
        <v>46</v>
      </c>
    </row>
    <row r="17983" spans="2:15" x14ac:dyDescent="0.3">
      <c r="B17983" s="1" t="s">
        <v>13</v>
      </c>
      <c r="C17983" s="1" t="str">
        <f>"2차"</f>
        <v>2차</v>
      </c>
      <c r="D17983" s="1" t="str">
        <f>"0027Y82220"</f>
        <v>0027Y82220</v>
      </c>
      <c r="E17983" s="1" t="s">
        <v>10</v>
      </c>
      <c r="F17983" s="1" t="str">
        <f>"10.11.1.114"</f>
        <v>10.11.1.114</v>
      </c>
      <c r="G17983" s="1" t="str">
        <f>"0027Y822"</f>
        <v>0027Y822</v>
      </c>
      <c r="H17983" s="1" t="str">
        <f>"동숭동간 35R4"</f>
        <v>동숭동간 35R4</v>
      </c>
      <c r="I17983" s="1" t="s">
        <v>8</v>
      </c>
      <c r="J17983" s="1" t="str">
        <f>"35/35"</f>
        <v>35/35</v>
      </c>
      <c r="K17983" s="1" t="str">
        <f>"2026-07-29 13:18:01"</f>
        <v>2026-07-29 13:18:01</v>
      </c>
      <c r="L17983" s="1" t="str">
        <f>"2017-07-13 10:56:53"</f>
        <v>2017-07-13 10:56:53</v>
      </c>
      <c r="M17983" s="1" t="s">
        <v>2</v>
      </c>
      <c r="N17983" s="1" t="s">
        <v>38</v>
      </c>
      <c r="O17983" s="1" t="s">
        <v>46</v>
      </c>
    </row>
    <row r="17984" spans="2:15" x14ac:dyDescent="0.3">
      <c r="B17984" s="1" t="s">
        <v>13</v>
      </c>
      <c r="C17984" s="1" t="str">
        <f>"4차"</f>
        <v>4차</v>
      </c>
      <c r="D17984" s="1" t="str">
        <f>"0027Y83129"</f>
        <v>0027Y83129</v>
      </c>
      <c r="E17984" s="1" t="s">
        <v>10</v>
      </c>
      <c r="F17984" s="1" t="str">
        <f>"10.26.1.10"</f>
        <v>10.26.1.10</v>
      </c>
      <c r="G17984" s="1" t="str">
        <f>"0027Y831"</f>
        <v>0027Y831</v>
      </c>
      <c r="H17984" s="1" t="str">
        <f>"동숭동간 35R1L3"</f>
        <v>동숭동간 35R1L3</v>
      </c>
      <c r="I17984" s="1" t="s">
        <v>8</v>
      </c>
      <c r="J17984" s="1" t="str">
        <f>"72/82"</f>
        <v>72/82</v>
      </c>
      <c r="K17984" s="1" t="str">
        <f>"2026-07-29 13:18:00"</f>
        <v>2026-07-29 13:18:00</v>
      </c>
      <c r="L17984" s="1" t="str">
        <f>"2017-07-19 14:06:55"</f>
        <v>2017-07-19 14:06:55</v>
      </c>
      <c r="M17984" s="1" t="s">
        <v>45</v>
      </c>
      <c r="N17984" s="1" t="s">
        <v>38</v>
      </c>
      <c r="O17984" s="1" t="s">
        <v>46</v>
      </c>
    </row>
    <row r="17985" spans="2:15" x14ac:dyDescent="0.3">
      <c r="B17985" s="1" t="s">
        <v>13</v>
      </c>
      <c r="C17985" s="1" t="s">
        <v>16</v>
      </c>
      <c r="D17985" s="1" t="str">
        <f>"0027Y8825S"</f>
        <v>0027Y8825S</v>
      </c>
      <c r="E17985" s="1" t="s">
        <v>10</v>
      </c>
      <c r="F17985" s="1" t="str">
        <f>"fde1:103:4:55eb:0:0:0:2"</f>
        <v>fde1:103:4:55eb:0:0:0:2</v>
      </c>
      <c r="G17985" s="1" t="str">
        <f>"0027Y882"</f>
        <v>0027Y882</v>
      </c>
      <c r="H17985" s="1" t="str">
        <f>"동숭동간 49R3R4"</f>
        <v>동숭동간 49R3R4</v>
      </c>
      <c r="I17985" s="1" t="s">
        <v>15</v>
      </c>
      <c r="J17985" s="1" t="str">
        <f>"76/79"</f>
        <v>76/79</v>
      </c>
      <c r="K17985" s="1" t="str">
        <f>"2026-07-29 14:20:04"</f>
        <v>2026-07-29 14:20:04</v>
      </c>
      <c r="L17985" s="1" t="str">
        <f>"2023-08-04 10:59:46"</f>
        <v>2023-08-04 10:59:46</v>
      </c>
      <c r="M17985" s="1" t="s">
        <v>4</v>
      </c>
      <c r="N17985" s="1" t="s">
        <v>38</v>
      </c>
      <c r="O17985" s="1" t="s">
        <v>46</v>
      </c>
    </row>
    <row r="17986" spans="2:15" x14ac:dyDescent="0.3">
      <c r="B17986" s="1" t="s">
        <v>13</v>
      </c>
      <c r="C17986" s="1" t="str">
        <f>"2차"</f>
        <v>2차</v>
      </c>
      <c r="D17986" s="1" t="str">
        <f>"0027Y89120"</f>
        <v>0027Y89120</v>
      </c>
      <c r="E17986" s="1" t="s">
        <v>10</v>
      </c>
      <c r="F17986" s="1" t="str">
        <f>"10.89.66.35"</f>
        <v>10.89.66.35</v>
      </c>
      <c r="G17986" s="1" t="str">
        <f>"0027Y891"</f>
        <v>0027Y891</v>
      </c>
      <c r="H17986" s="1" t="str">
        <f>"동숭동간 49R13"</f>
        <v>동숭동간 49R13</v>
      </c>
      <c r="I17986" s="1" t="s">
        <v>8</v>
      </c>
      <c r="J17986" s="1" t="str">
        <f>"72/77"</f>
        <v>72/77</v>
      </c>
      <c r="K17986" s="1" t="str">
        <f>"2026-07-29 13:18:01"</f>
        <v>2026-07-29 13:18:01</v>
      </c>
      <c r="L17986" s="1" t="str">
        <f>"2017-07-19 14:14:40"</f>
        <v>2017-07-19 14:14:40</v>
      </c>
      <c r="M17986" s="1" t="s">
        <v>45</v>
      </c>
      <c r="N17986" s="1" t="s">
        <v>38</v>
      </c>
      <c r="O17986" s="1" t="s">
        <v>46</v>
      </c>
    </row>
    <row r="17987" spans="2:15" x14ac:dyDescent="0.3">
      <c r="B17987" s="1" t="s">
        <v>13</v>
      </c>
      <c r="C17987" s="1" t="str">
        <f>"2차"</f>
        <v>2차</v>
      </c>
      <c r="D17987" s="1" t="str">
        <f>"0027Y90429"</f>
        <v>0027Y90429</v>
      </c>
      <c r="E17987" s="1" t="s">
        <v>10</v>
      </c>
      <c r="F17987" s="1" t="str">
        <f>"10.89.66.23"</f>
        <v>10.89.66.23</v>
      </c>
      <c r="G17987" s="1" t="str">
        <f>"0027Y904"</f>
        <v>0027Y904</v>
      </c>
      <c r="H17987" s="1" t="str">
        <f>"동숭동간 33R8"</f>
        <v>동숭동간 33R8</v>
      </c>
      <c r="I17987" s="1" t="s">
        <v>8</v>
      </c>
      <c r="J17987" s="1" t="str">
        <f>"44/44"</f>
        <v>44/44</v>
      </c>
      <c r="K17987" s="1" t="str">
        <f>"2026-07-29 13:18:00"</f>
        <v>2026-07-29 13:18:00</v>
      </c>
      <c r="L17987" s="1" t="str">
        <f>"2017-07-19 14:08:25"</f>
        <v>2017-07-19 14:08:25</v>
      </c>
      <c r="M17987" s="1" t="s">
        <v>45</v>
      </c>
      <c r="N17987" s="1" t="s">
        <v>38</v>
      </c>
      <c r="O17987" s="1" t="s">
        <v>46</v>
      </c>
    </row>
    <row r="17988" spans="2:15" x14ac:dyDescent="0.3">
      <c r="B17988" s="1" t="s">
        <v>13</v>
      </c>
      <c r="C17988" s="1" t="str">
        <f>"4차"</f>
        <v>4차</v>
      </c>
      <c r="D17988" s="1" t="str">
        <f>"0027Y92120"</f>
        <v>0027Y92120</v>
      </c>
      <c r="E17988" s="1" t="s">
        <v>18</v>
      </c>
      <c r="F17988" s="1" t="str">
        <f>"10.11.1.122"</f>
        <v>10.11.1.122</v>
      </c>
      <c r="G17988" s="1" t="str">
        <f>"0027Y921"</f>
        <v>0027Y921</v>
      </c>
      <c r="H17988" s="1" t="str">
        <f>"동숭동간 35R6"</f>
        <v>동숭동간 35R6</v>
      </c>
      <c r="I17988" s="1" t="s">
        <v>8</v>
      </c>
      <c r="J17988" s="1" t="str">
        <f>"0/45"</f>
        <v>0/45</v>
      </c>
      <c r="K17988" s="1" t="str">
        <f>"2026-07-01 07:18:01"</f>
        <v>2026-07-01 07:18:01</v>
      </c>
      <c r="L17988" s="1" t="str">
        <f>"2017-06-23 13:14:38"</f>
        <v>2017-06-23 13:14:38</v>
      </c>
      <c r="M17988" s="1" t="s">
        <v>2</v>
      </c>
      <c r="N17988" s="1" t="s">
        <v>38</v>
      </c>
      <c r="O17988" s="1" t="s">
        <v>46</v>
      </c>
    </row>
    <row r="17989" spans="2:15" x14ac:dyDescent="0.3">
      <c r="B17989" s="1" t="s">
        <v>13</v>
      </c>
      <c r="C17989" s="1" t="str">
        <f>"2차"</f>
        <v>2차</v>
      </c>
      <c r="D17989" s="1" t="str">
        <f>"0027Y98321"</f>
        <v>0027Y98321</v>
      </c>
      <c r="E17989" s="1" t="s">
        <v>10</v>
      </c>
      <c r="F17989" s="1" t="str">
        <f>"10.89.66.36"</f>
        <v>10.89.66.36</v>
      </c>
      <c r="G17989" s="1" t="str">
        <f>"0027Y983"</f>
        <v>0027Y983</v>
      </c>
      <c r="H17989" s="1" t="str">
        <f>"동숭동간 49R16"</f>
        <v>동숭동간 49R16</v>
      </c>
      <c r="I17989" s="1" t="s">
        <v>8</v>
      </c>
      <c r="J17989" s="1" t="str">
        <f>"111/111"</f>
        <v>111/111</v>
      </c>
      <c r="K17989" s="1" t="str">
        <f>"2026-07-29 13:18:00"</f>
        <v>2026-07-29 13:18:00</v>
      </c>
      <c r="L17989" s="1" t="str">
        <f>"2017-07-19 14:14:25"</f>
        <v>2017-07-19 14:14:25</v>
      </c>
      <c r="M17989" s="1" t="s">
        <v>45</v>
      </c>
      <c r="N17989" s="1" t="s">
        <v>38</v>
      </c>
      <c r="O17989" s="1" t="s">
        <v>46</v>
      </c>
    </row>
    <row r="17990" spans="2:15" x14ac:dyDescent="0.3">
      <c r="B17990" s="1" t="s">
        <v>13</v>
      </c>
      <c r="C17990" s="1" t="str">
        <f>"4차"</f>
        <v>4차</v>
      </c>
      <c r="D17990" s="1" t="str">
        <f>"0027Z40229"</f>
        <v>0027Z40229</v>
      </c>
      <c r="E17990" s="1" t="s">
        <v>10</v>
      </c>
      <c r="F17990" s="1" t="str">
        <f>"10.11.5.250"</f>
        <v>10.11.5.250</v>
      </c>
      <c r="G17990" s="1" t="str">
        <f>"0027Z402"</f>
        <v>0027Z402</v>
      </c>
      <c r="H17990" s="1" t="str">
        <f>"창신지 30L2"</f>
        <v>창신지 30L2</v>
      </c>
      <c r="I17990" s="1" t="s">
        <v>8</v>
      </c>
      <c r="J17990" s="1" t="str">
        <f>"91/91"</f>
        <v>91/91</v>
      </c>
      <c r="K17990" s="1" t="str">
        <f>"2026-07-29 13:18:01"</f>
        <v>2026-07-29 13:18:01</v>
      </c>
      <c r="L17990" s="1" t="str">
        <f>"2017-06-21 17:41:02"</f>
        <v>2017-06-21 17:41:02</v>
      </c>
      <c r="M17990" s="1" t="s">
        <v>2</v>
      </c>
      <c r="N17990" s="1" t="s">
        <v>38</v>
      </c>
      <c r="O17990" s="1" t="s">
        <v>46</v>
      </c>
    </row>
    <row r="17991" spans="2:15" x14ac:dyDescent="0.3">
      <c r="B17991" s="1" t="s">
        <v>13</v>
      </c>
      <c r="C17991" s="1" t="str">
        <f>"2차"</f>
        <v>2차</v>
      </c>
      <c r="D17991" s="1" t="str">
        <f>"0027Z70220"</f>
        <v>0027Z70220</v>
      </c>
      <c r="E17991" s="1" t="s">
        <v>10</v>
      </c>
      <c r="F17991" s="1" t="str">
        <f>"10.11.6.18"</f>
        <v>10.11.6.18</v>
      </c>
      <c r="G17991" s="1" t="str">
        <f>"0027Z702"</f>
        <v>0027Z702</v>
      </c>
      <c r="H17991" s="1" t="str">
        <f>"창신지 39"</f>
        <v>창신지 39</v>
      </c>
      <c r="I17991" s="1" t="s">
        <v>8</v>
      </c>
      <c r="J17991" s="1" t="str">
        <f>"25/25"</f>
        <v>25/25</v>
      </c>
      <c r="K17991" s="1" t="str">
        <f>"2026-07-29 13:18:01"</f>
        <v>2026-07-29 13:18:01</v>
      </c>
      <c r="L17991" s="1" t="str">
        <f>"2017-06-21 18:36:25"</f>
        <v>2017-06-21 18:36:25</v>
      </c>
      <c r="M17991" s="1" t="s">
        <v>2</v>
      </c>
      <c r="N17991" s="1" t="s">
        <v>38</v>
      </c>
      <c r="O17991" s="1" t="s">
        <v>46</v>
      </c>
    </row>
    <row r="17992" spans="2:15" x14ac:dyDescent="0.3">
      <c r="B17992" s="1" t="s">
        <v>13</v>
      </c>
      <c r="C17992" s="1" t="str">
        <f>"4차"</f>
        <v>4차</v>
      </c>
      <c r="D17992" s="1" t="str">
        <f>"0125A00144"</f>
        <v>0125A00144</v>
      </c>
      <c r="E17992" s="1" t="s">
        <v>10</v>
      </c>
      <c r="F17992" s="1" t="str">
        <f>"10.10.126.242"</f>
        <v>10.10.126.242</v>
      </c>
      <c r="G17992" s="1" t="str">
        <f>"0125A001"</f>
        <v>0125A001</v>
      </c>
      <c r="H17992" s="1" t="str">
        <f>"청구지 25L3R1R1"</f>
        <v>청구지 25L3R1R1</v>
      </c>
      <c r="I17992" s="1" t="s">
        <v>8</v>
      </c>
      <c r="J17992" s="1" t="str">
        <f>"45/48"</f>
        <v>45/48</v>
      </c>
      <c r="K17992" s="1" t="str">
        <f>"2026-07-29 13:18:01"</f>
        <v>2026-07-29 13:18:01</v>
      </c>
      <c r="L17992" s="1" t="str">
        <f>"2019-12-11 18:21:52"</f>
        <v>2019-12-11 18:21:52</v>
      </c>
      <c r="M17992" s="1" t="s">
        <v>1</v>
      </c>
      <c r="N17992" s="1" t="s">
        <v>38</v>
      </c>
      <c r="O17992" s="1" t="s">
        <v>46</v>
      </c>
    </row>
    <row r="17993" spans="2:15" x14ac:dyDescent="0.3">
      <c r="B17993" s="1" t="s">
        <v>13</v>
      </c>
      <c r="C17993" s="1" t="str">
        <f>"4차"</f>
        <v>4차</v>
      </c>
      <c r="D17993" s="1" t="str">
        <f>"0125A02139"</f>
        <v>0125A02139</v>
      </c>
      <c r="E17993" s="1" t="s">
        <v>10</v>
      </c>
      <c r="F17993" s="1" t="str">
        <f>"10.14.14.4"</f>
        <v>10.14.14.4</v>
      </c>
      <c r="G17993" s="1" t="str">
        <f>"0125A021"</f>
        <v>0125A021</v>
      </c>
      <c r="H17993" s="1" t="str">
        <f>"다산로 L8"</f>
        <v>다산로 L8</v>
      </c>
      <c r="I17993" s="1" t="s">
        <v>17</v>
      </c>
      <c r="J17993" s="1" t="str">
        <f>"14/14"</f>
        <v>14/14</v>
      </c>
      <c r="K17993" s="1" t="str">
        <f>"2026-07-29 13:18:02"</f>
        <v>2026-07-29 13:18:02</v>
      </c>
      <c r="L17993" s="1" t="str">
        <f>"2018-05-14 10:28:11"</f>
        <v>2018-05-14 10:28:11</v>
      </c>
      <c r="M17993" s="1" t="s">
        <v>3</v>
      </c>
      <c r="N17993" s="1" t="s">
        <v>38</v>
      </c>
      <c r="O17993" s="1" t="s">
        <v>46</v>
      </c>
    </row>
    <row r="17994" spans="2:15" x14ac:dyDescent="0.3">
      <c r="B17994" s="1" t="s">
        <v>13</v>
      </c>
      <c r="C17994" s="1" t="str">
        <f>"4차"</f>
        <v>4차</v>
      </c>
      <c r="D17994" s="1" t="str">
        <f>"0125A03139"</f>
        <v>0125A03139</v>
      </c>
      <c r="E17994" s="1" t="s">
        <v>14</v>
      </c>
      <c r="F17994" s="1" t="str">
        <f>"10.14.6.13"</f>
        <v>10.14.6.13</v>
      </c>
      <c r="G17994" s="1" t="str">
        <f>"0125A031"</f>
        <v>0125A031</v>
      </c>
      <c r="H17994" s="1" t="str">
        <f>"다산로 L9T"</f>
        <v>다산로 L9T</v>
      </c>
      <c r="I17994" s="1" t="s">
        <v>17</v>
      </c>
      <c r="J17994" s="1" t="str">
        <f>"0/0"</f>
        <v>0/0</v>
      </c>
      <c r="K17994" s="1" t="str">
        <f>"2026-07-29 13:18:02"</f>
        <v>2026-07-29 13:18:02</v>
      </c>
      <c r="L17994" s="1" t="str">
        <f>"2018-05-14 10:11:45"</f>
        <v>2018-05-14 10:11:45</v>
      </c>
      <c r="M17994" s="1" t="s">
        <v>3</v>
      </c>
      <c r="N17994" s="1" t="s">
        <v>38</v>
      </c>
      <c r="O17994" s="1" t="s">
        <v>44</v>
      </c>
    </row>
    <row r="17995" spans="2:15" x14ac:dyDescent="0.3">
      <c r="B17995" s="1" t="s">
        <v>13</v>
      </c>
      <c r="C17995" s="1" t="str">
        <f>"3차"</f>
        <v>3차</v>
      </c>
      <c r="D17995" s="1" t="str">
        <f>"0125A05239"</f>
        <v>0125A05239</v>
      </c>
      <c r="E17995" s="1" t="s">
        <v>10</v>
      </c>
      <c r="F17995" s="1" t="str">
        <f>"10.11.29.138"</f>
        <v>10.11.29.138</v>
      </c>
      <c r="G17995" s="1" t="str">
        <f>"0125A052"</f>
        <v>0125A052</v>
      </c>
      <c r="H17995" s="1" t="str">
        <f>"광희간 2L4L1"</f>
        <v>광희간 2L4L1</v>
      </c>
      <c r="I17995" s="1" t="s">
        <v>8</v>
      </c>
      <c r="J17995" s="1" t="str">
        <f>"11/11"</f>
        <v>11/11</v>
      </c>
      <c r="K17995" s="1" t="str">
        <f>"2026-07-29 13:18:01"</f>
        <v>2026-07-29 13:18:01</v>
      </c>
      <c r="L17995" s="1" t="str">
        <f>"2018-02-09 12:03:41"</f>
        <v>2018-02-09 12:03:41</v>
      </c>
      <c r="M17995" s="1" t="s">
        <v>2</v>
      </c>
      <c r="N17995" s="1" t="s">
        <v>38</v>
      </c>
      <c r="O17995" s="1" t="s">
        <v>46</v>
      </c>
    </row>
    <row r="17996" spans="2:15" x14ac:dyDescent="0.3">
      <c r="B17996" s="1" t="s">
        <v>13</v>
      </c>
      <c r="C17996" s="1" t="str">
        <f>"4차"</f>
        <v>4차</v>
      </c>
      <c r="D17996" s="1" t="str">
        <f>"0125A06139"</f>
        <v>0125A06139</v>
      </c>
      <c r="E17996" s="1" t="s">
        <v>10</v>
      </c>
      <c r="F17996" s="1" t="str">
        <f>"10.11.11.98"</f>
        <v>10.11.11.98</v>
      </c>
      <c r="G17996" s="1" t="str">
        <f>"0125A061"</f>
        <v>0125A061</v>
      </c>
      <c r="H17996" s="1" t="str">
        <f>"광희간 2L3"</f>
        <v>광희간 2L3</v>
      </c>
      <c r="I17996" s="1" t="s">
        <v>8</v>
      </c>
      <c r="J17996" s="1" t="str">
        <f>"29/32"</f>
        <v>29/32</v>
      </c>
      <c r="K17996" s="1" t="str">
        <f>"2026-07-29 13:18:01"</f>
        <v>2026-07-29 13:18:01</v>
      </c>
      <c r="L17996" s="1" t="str">
        <f>"2018-02-26 19:24:07"</f>
        <v>2018-02-26 19:24:07</v>
      </c>
      <c r="M17996" s="1" t="s">
        <v>2</v>
      </c>
      <c r="N17996" s="1" t="s">
        <v>38</v>
      </c>
      <c r="O17996" s="1" t="s">
        <v>46</v>
      </c>
    </row>
    <row r="17997" spans="2:15" x14ac:dyDescent="0.3">
      <c r="B17997" s="1" t="s">
        <v>13</v>
      </c>
      <c r="C17997" s="1" t="str">
        <f>"4차"</f>
        <v>4차</v>
      </c>
      <c r="D17997" s="1" t="str">
        <f>"0125A07139"</f>
        <v>0125A07139</v>
      </c>
      <c r="E17997" s="1" t="s">
        <v>10</v>
      </c>
      <c r="F17997" s="1" t="str">
        <f>"10.11.29.122"</f>
        <v>10.11.29.122</v>
      </c>
      <c r="G17997" s="1" t="str">
        <f>"0125A071"</f>
        <v>0125A071</v>
      </c>
      <c r="H17997" s="1" t="str">
        <f>"광희간 2L2"</f>
        <v>광희간 2L2</v>
      </c>
      <c r="I17997" s="1" t="s">
        <v>8</v>
      </c>
      <c r="J17997" s="1" t="str">
        <f>"32/38"</f>
        <v>32/38</v>
      </c>
      <c r="K17997" s="1" t="str">
        <f>"2026-07-29 13:18:01"</f>
        <v>2026-07-29 13:18:01</v>
      </c>
      <c r="L17997" s="1" t="str">
        <f>"2018-02-09 11:46:56"</f>
        <v>2018-02-09 11:46:56</v>
      </c>
      <c r="M17997" s="1" t="s">
        <v>2</v>
      </c>
      <c r="N17997" s="1" t="s">
        <v>38</v>
      </c>
      <c r="O17997" s="1" t="s">
        <v>46</v>
      </c>
    </row>
    <row r="17998" spans="2:15" x14ac:dyDescent="0.3">
      <c r="B17998" s="1" t="s">
        <v>13</v>
      </c>
      <c r="C17998" s="1" t="str">
        <f>"3차"</f>
        <v>3차</v>
      </c>
      <c r="D17998" s="1" t="str">
        <f>"0125A09239"</f>
        <v>0125A09239</v>
      </c>
      <c r="E17998" s="1" t="s">
        <v>10</v>
      </c>
      <c r="F17998" s="1" t="str">
        <f>"10.11.25.58"</f>
        <v>10.11.25.58</v>
      </c>
      <c r="G17998" s="1" t="str">
        <f>"0125A092"</f>
        <v>0125A092</v>
      </c>
      <c r="H17998" s="1" t="str">
        <f>"광희간 9R7R1"</f>
        <v>광희간 9R7R1</v>
      </c>
      <c r="I17998" s="1" t="s">
        <v>8</v>
      </c>
      <c r="J17998" s="1" t="str">
        <f>"41/42"</f>
        <v>41/42</v>
      </c>
      <c r="K17998" s="1" t="str">
        <f>"2026-07-29 13:18:01"</f>
        <v>2026-07-29 13:18:01</v>
      </c>
      <c r="L17998" s="1" t="str">
        <f>"2017-12-09 14:26:29"</f>
        <v>2017-12-09 14:26:29</v>
      </c>
      <c r="M17998" s="1" t="s">
        <v>2</v>
      </c>
      <c r="N17998" s="1" t="s">
        <v>38</v>
      </c>
      <c r="O17998" s="1" t="s">
        <v>46</v>
      </c>
    </row>
    <row r="17999" spans="2:15" x14ac:dyDescent="0.3">
      <c r="B17999" s="1" t="s">
        <v>13</v>
      </c>
      <c r="C17999" s="1" t="str">
        <f>"4차"</f>
        <v>4차</v>
      </c>
      <c r="D17999" s="1" t="str">
        <f>"0125A10141"</f>
        <v>0125A10141</v>
      </c>
      <c r="E17999" s="1" t="s">
        <v>10</v>
      </c>
      <c r="F17999" s="1" t="str">
        <f>"10.14.14.186"</f>
        <v>10.14.14.186</v>
      </c>
      <c r="G17999" s="1" t="str">
        <f>"0125A101"</f>
        <v>0125A101</v>
      </c>
      <c r="H17999" s="1" t="str">
        <f>"청구지 25L2"</f>
        <v>청구지 25L2</v>
      </c>
      <c r="I17999" s="1" t="s">
        <v>17</v>
      </c>
      <c r="J17999" s="1" t="str">
        <f>"15/15"</f>
        <v>15/15</v>
      </c>
      <c r="K17999" s="1" t="str">
        <f>"2026-07-29 07:18:03"</f>
        <v>2026-07-29 07:18:03</v>
      </c>
      <c r="L17999" s="1" t="str">
        <f>"2021-10-21 09:14:59"</f>
        <v>2021-10-21 09:14:59</v>
      </c>
      <c r="M17999" s="1" t="s">
        <v>3</v>
      </c>
      <c r="N17999" s="1" t="s">
        <v>38</v>
      </c>
      <c r="O17999" s="1" t="s">
        <v>46</v>
      </c>
    </row>
    <row r="18000" spans="2:15" x14ac:dyDescent="0.3">
      <c r="B18000" s="1" t="s">
        <v>13</v>
      </c>
      <c r="C18000" s="1" t="str">
        <f>"3차"</f>
        <v>3차</v>
      </c>
      <c r="D18000" s="1" t="str">
        <f>"0125A11139"</f>
        <v>0125A11139</v>
      </c>
      <c r="E18000" s="1" t="s">
        <v>10</v>
      </c>
      <c r="F18000" s="1" t="str">
        <f>"10.11.44.122"</f>
        <v>10.11.44.122</v>
      </c>
      <c r="G18000" s="1" t="str">
        <f>"0125A111"</f>
        <v>0125A111</v>
      </c>
      <c r="H18000" s="1" t="str">
        <f>"청구지 25L5L1L4"</f>
        <v>청구지 25L5L1L4</v>
      </c>
      <c r="I18000" s="1" t="s">
        <v>8</v>
      </c>
      <c r="J18000" s="1" t="str">
        <f>"10/10"</f>
        <v>10/10</v>
      </c>
      <c r="K18000" s="1" t="str">
        <f>"2026-07-29 13:18:01"</f>
        <v>2026-07-29 13:18:01</v>
      </c>
      <c r="L18000" s="1" t="str">
        <f>"2018-05-10 13:40:58"</f>
        <v>2018-05-10 13:40:58</v>
      </c>
      <c r="M18000" s="1" t="s">
        <v>2</v>
      </c>
      <c r="N18000" s="1" t="s">
        <v>38</v>
      </c>
      <c r="O18000" s="1" t="s">
        <v>46</v>
      </c>
    </row>
    <row r="18001" spans="2:15" x14ac:dyDescent="0.3">
      <c r="B18001" s="1" t="s">
        <v>13</v>
      </c>
      <c r="C18001" s="1" t="str">
        <f>"3차"</f>
        <v>3차</v>
      </c>
      <c r="D18001" s="1" t="str">
        <f>"0125A15139"</f>
        <v>0125A15139</v>
      </c>
      <c r="E18001" s="1" t="s">
        <v>14</v>
      </c>
      <c r="F18001" s="1" t="str">
        <f>"10.12.137.173"</f>
        <v>10.12.137.173</v>
      </c>
      <c r="G18001" s="1" t="str">
        <f>"0125A151"</f>
        <v>0125A151</v>
      </c>
      <c r="H18001" s="1" t="str">
        <f>"다산로 L10"</f>
        <v>다산로 L10</v>
      </c>
      <c r="I18001" s="1" t="s">
        <v>17</v>
      </c>
      <c r="J18001" s="1" t="str">
        <f>"0/0"</f>
        <v>0/0</v>
      </c>
      <c r="K18001" s="1" t="str">
        <f>"2023-09-11 21:20:02"</f>
        <v>2023-09-11 21:20:02</v>
      </c>
      <c r="L18001" s="1" t="str">
        <f>"2018-07-26 15:15:57"</f>
        <v>2018-07-26 15:15:57</v>
      </c>
      <c r="M18001" s="1" t="s">
        <v>0</v>
      </c>
      <c r="N18001" s="1" t="s">
        <v>39</v>
      </c>
      <c r="O18001" s="1" t="s">
        <v>46</v>
      </c>
    </row>
    <row r="18002" spans="2:15" x14ac:dyDescent="0.3">
      <c r="B18002" s="1" t="s">
        <v>13</v>
      </c>
      <c r="C18002" s="1" t="str">
        <f t="shared" ref="C18002:C18016" si="895">"4차"</f>
        <v>4차</v>
      </c>
      <c r="D18002" s="1" t="str">
        <f>"0125A15239"</f>
        <v>0125A15239</v>
      </c>
      <c r="E18002" s="1" t="s">
        <v>10</v>
      </c>
      <c r="F18002" s="1" t="str">
        <f>"10.12.137.175"</f>
        <v>10.12.137.175</v>
      </c>
      <c r="G18002" s="1" t="str">
        <f>"0125A152"</f>
        <v>0125A152</v>
      </c>
      <c r="H18002" s="1" t="str">
        <f>"다산로 L11"</f>
        <v>다산로 L11</v>
      </c>
      <c r="I18002" s="1" t="s">
        <v>17</v>
      </c>
      <c r="J18002" s="1" t="str">
        <f>"2/2"</f>
        <v>2/2</v>
      </c>
      <c r="K18002" s="1" t="str">
        <f>"2026-07-29 13:18:02"</f>
        <v>2026-07-29 13:18:02</v>
      </c>
      <c r="L18002" s="1" t="str">
        <f>"2018-05-08 15:53:13"</f>
        <v>2018-05-08 15:53:13</v>
      </c>
      <c r="M18002" s="1" t="s">
        <v>0</v>
      </c>
      <c r="N18002" s="1" t="s">
        <v>38</v>
      </c>
      <c r="O18002" s="1" t="s">
        <v>46</v>
      </c>
    </row>
    <row r="18003" spans="2:15" x14ac:dyDescent="0.3">
      <c r="B18003" s="1" t="s">
        <v>13</v>
      </c>
      <c r="C18003" s="1" t="str">
        <f t="shared" si="895"/>
        <v>4차</v>
      </c>
      <c r="D18003" s="1" t="str">
        <f>"0125A16539"</f>
        <v>0125A16539</v>
      </c>
      <c r="E18003" s="1" t="s">
        <v>10</v>
      </c>
      <c r="F18003" s="1" t="str">
        <f>"10.12.137.235"</f>
        <v>10.12.137.235</v>
      </c>
      <c r="G18003" s="1" t="str">
        <f>"0125A165"</f>
        <v>0125A165</v>
      </c>
      <c r="H18003" s="1" t="str">
        <f>"다산로 L12"</f>
        <v>다산로 L12</v>
      </c>
      <c r="I18003" s="1" t="s">
        <v>17</v>
      </c>
      <c r="J18003" s="1" t="str">
        <f>"13/13"</f>
        <v>13/13</v>
      </c>
      <c r="K18003" s="1" t="str">
        <f>"2026-07-29 13:18:01"</f>
        <v>2026-07-29 13:18:01</v>
      </c>
      <c r="L18003" s="1" t="str">
        <f>"2018-05-14 10:51:27"</f>
        <v>2018-05-14 10:51:27</v>
      </c>
      <c r="M18003" s="1" t="s">
        <v>0</v>
      </c>
      <c r="N18003" s="1" t="s">
        <v>38</v>
      </c>
      <c r="O18003" s="1" t="s">
        <v>46</v>
      </c>
    </row>
    <row r="18004" spans="2:15" x14ac:dyDescent="0.3">
      <c r="B18004" s="1" t="s">
        <v>13</v>
      </c>
      <c r="C18004" s="1" t="str">
        <f t="shared" si="895"/>
        <v>4차</v>
      </c>
      <c r="D18004" s="1" t="str">
        <f>"0125A20241"</f>
        <v>0125A20241</v>
      </c>
      <c r="E18004" s="1" t="s">
        <v>10</v>
      </c>
      <c r="F18004" s="1" t="str">
        <f>"10.12.128.194"</f>
        <v>10.12.128.194</v>
      </c>
      <c r="G18004" s="1" t="str">
        <f>"0125A202"</f>
        <v>0125A202</v>
      </c>
      <c r="H18004" s="1" t="str">
        <f>"청구지 25L4"</f>
        <v>청구지 25L4</v>
      </c>
      <c r="I18004" s="1" t="s">
        <v>17</v>
      </c>
      <c r="J18004" s="1" t="str">
        <f>"21/22"</f>
        <v>21/22</v>
      </c>
      <c r="K18004" s="1" t="str">
        <f>"2026-07-29 13:18:02"</f>
        <v>2026-07-29 13:18:02</v>
      </c>
      <c r="L18004" s="1" t="str">
        <f>"2021-10-21 10:11:50"</f>
        <v>2021-10-21 10:11:50</v>
      </c>
      <c r="M18004" s="1" t="s">
        <v>0</v>
      </c>
      <c r="N18004" s="1" t="s">
        <v>38</v>
      </c>
      <c r="O18004" s="1" t="s">
        <v>46</v>
      </c>
    </row>
    <row r="18005" spans="2:15" x14ac:dyDescent="0.3">
      <c r="B18005" s="1" t="s">
        <v>13</v>
      </c>
      <c r="C18005" s="1" t="str">
        <f t="shared" si="895"/>
        <v>4차</v>
      </c>
      <c r="D18005" s="1" t="str">
        <f>"0125A20341"</f>
        <v>0125A20341</v>
      </c>
      <c r="E18005" s="1" t="s">
        <v>10</v>
      </c>
      <c r="F18005" s="1" t="str">
        <f>"10.14.9.187"</f>
        <v>10.14.9.187</v>
      </c>
      <c r="G18005" s="1" t="str">
        <f>"0125A203"</f>
        <v>0125A203</v>
      </c>
      <c r="H18005" s="1" t="str">
        <f>"청구지 25L3L1"</f>
        <v>청구지 25L3L1</v>
      </c>
      <c r="I18005" s="1" t="s">
        <v>17</v>
      </c>
      <c r="J18005" s="1" t="str">
        <f>"14/17"</f>
        <v>14/17</v>
      </c>
      <c r="K18005" s="1" t="str">
        <f>"2026-07-29 13:18:02"</f>
        <v>2026-07-29 13:18:02</v>
      </c>
      <c r="L18005" s="1" t="str">
        <f>"2021-10-21 09:30:11"</f>
        <v>2021-10-21 09:30:11</v>
      </c>
      <c r="M18005" s="1" t="s">
        <v>3</v>
      </c>
      <c r="N18005" s="1" t="s">
        <v>38</v>
      </c>
      <c r="O18005" s="1" t="s">
        <v>46</v>
      </c>
    </row>
    <row r="18006" spans="2:15" x14ac:dyDescent="0.3">
      <c r="B18006" s="1" t="s">
        <v>13</v>
      </c>
      <c r="C18006" s="1" t="str">
        <f t="shared" si="895"/>
        <v>4차</v>
      </c>
      <c r="D18006" s="1" t="str">
        <f>"0125A21141"</f>
        <v>0125A21141</v>
      </c>
      <c r="E18006" s="1" t="s">
        <v>10</v>
      </c>
      <c r="F18006" s="1" t="str">
        <f>"10.14.4.187"</f>
        <v>10.14.4.187</v>
      </c>
      <c r="G18006" s="1" t="str">
        <f>"0125A211"</f>
        <v>0125A211</v>
      </c>
      <c r="H18006" s="1" t="str">
        <f>"청구지 25L5L1L2"</f>
        <v>청구지 25L5L1L2</v>
      </c>
      <c r="I18006" s="1" t="s">
        <v>17</v>
      </c>
      <c r="J18006" s="1" t="str">
        <f>"42/44"</f>
        <v>42/44</v>
      </c>
      <c r="K18006" s="1" t="str">
        <f>"2026-07-29 13:18:02"</f>
        <v>2026-07-29 13:18:02</v>
      </c>
      <c r="L18006" s="1" t="str">
        <f>"2021-10-21 11:57:07"</f>
        <v>2021-10-21 11:57:07</v>
      </c>
      <c r="M18006" s="1" t="s">
        <v>3</v>
      </c>
      <c r="N18006" s="1" t="s">
        <v>38</v>
      </c>
      <c r="O18006" s="1" t="s">
        <v>46</v>
      </c>
    </row>
    <row r="18007" spans="2:15" x14ac:dyDescent="0.3">
      <c r="B18007" s="1" t="s">
        <v>13</v>
      </c>
      <c r="C18007" s="1" t="str">
        <f t="shared" si="895"/>
        <v>4차</v>
      </c>
      <c r="D18007" s="1" t="str">
        <f>"0125A22144"</f>
        <v>0125A22144</v>
      </c>
      <c r="E18007" s="1" t="s">
        <v>10</v>
      </c>
      <c r="F18007" s="1" t="str">
        <f>"10.89.104.34"</f>
        <v>10.89.104.34</v>
      </c>
      <c r="G18007" s="1" t="str">
        <f>"0125A221"</f>
        <v>0125A221</v>
      </c>
      <c r="H18007" s="1" t="str">
        <f>"청구지 25L5L2L2"</f>
        <v>청구지 25L5L2L2</v>
      </c>
      <c r="I18007" s="1" t="s">
        <v>8</v>
      </c>
      <c r="J18007" s="1" t="str">
        <f>"16/23"</f>
        <v>16/23</v>
      </c>
      <c r="K18007" s="1" t="str">
        <f>"2026-07-29 13:18:01"</f>
        <v>2026-07-29 13:18:01</v>
      </c>
      <c r="L18007" s="1" t="str">
        <f>"2023-10-27 09:29:57"</f>
        <v>2023-10-27 09:29:57</v>
      </c>
      <c r="M18007" s="1" t="s">
        <v>45</v>
      </c>
      <c r="N18007" s="1" t="s">
        <v>38</v>
      </c>
      <c r="O18007" s="1" t="s">
        <v>46</v>
      </c>
    </row>
    <row r="18008" spans="2:15" x14ac:dyDescent="0.3">
      <c r="B18008" s="1" t="s">
        <v>13</v>
      </c>
      <c r="C18008" s="1" t="str">
        <f t="shared" si="895"/>
        <v>4차</v>
      </c>
      <c r="D18008" s="1" t="str">
        <f>"0125A22244"</f>
        <v>0125A22244</v>
      </c>
      <c r="E18008" s="1" t="s">
        <v>10</v>
      </c>
      <c r="F18008" s="1" t="str">
        <f>"10.10.127.34"</f>
        <v>10.10.127.34</v>
      </c>
      <c r="G18008" s="1" t="str">
        <f>"0125A222"</f>
        <v>0125A222</v>
      </c>
      <c r="H18008" s="1" t="str">
        <f>"청구지 25L5L2L3"</f>
        <v>청구지 25L5L2L3</v>
      </c>
      <c r="I18008" s="1" t="s">
        <v>8</v>
      </c>
      <c r="J18008" s="1" t="str">
        <f>"40/40"</f>
        <v>40/40</v>
      </c>
      <c r="K18008" s="1" t="str">
        <f>"2026-07-29 13:18:01"</f>
        <v>2026-07-29 13:18:01</v>
      </c>
      <c r="L18008" s="1" t="str">
        <f>"2019-12-11 18:27:25"</f>
        <v>2019-12-11 18:27:25</v>
      </c>
      <c r="M18008" s="1" t="s">
        <v>1</v>
      </c>
      <c r="N18008" s="1" t="s">
        <v>38</v>
      </c>
      <c r="O18008" s="1" t="s">
        <v>46</v>
      </c>
    </row>
    <row r="18009" spans="2:15" x14ac:dyDescent="0.3">
      <c r="B18009" s="1" t="s">
        <v>13</v>
      </c>
      <c r="C18009" s="1" t="str">
        <f t="shared" si="895"/>
        <v>4차</v>
      </c>
      <c r="D18009" s="1" t="str">
        <f>"0125A31244"</f>
        <v>0125A31244</v>
      </c>
      <c r="E18009" s="1" t="s">
        <v>10</v>
      </c>
      <c r="F18009" s="1" t="str">
        <f>"10.10.127.26"</f>
        <v>10.10.127.26</v>
      </c>
      <c r="G18009" s="1" t="str">
        <f>"0125A312"</f>
        <v>0125A312</v>
      </c>
      <c r="H18009" s="1" t="str">
        <f>"청구지 25L5L2L1"</f>
        <v>청구지 25L5L2L1</v>
      </c>
      <c r="I18009" s="1" t="s">
        <v>8</v>
      </c>
      <c r="J18009" s="1" t="str">
        <f>"34/34"</f>
        <v>34/34</v>
      </c>
      <c r="K18009" s="1" t="str">
        <f>"2026-07-29 13:18:01"</f>
        <v>2026-07-29 13:18:01</v>
      </c>
      <c r="L18009" s="1" t="str">
        <f>"2019-12-11 18:25:19"</f>
        <v>2019-12-11 18:25:19</v>
      </c>
      <c r="M18009" s="1" t="s">
        <v>1</v>
      </c>
      <c r="N18009" s="1" t="s">
        <v>38</v>
      </c>
      <c r="O18009" s="1" t="s">
        <v>46</v>
      </c>
    </row>
    <row r="18010" spans="2:15" x14ac:dyDescent="0.3">
      <c r="B18010" s="1" t="s">
        <v>13</v>
      </c>
      <c r="C18010" s="1" t="str">
        <f t="shared" si="895"/>
        <v>4차</v>
      </c>
      <c r="D18010" s="1" t="str">
        <f>"0125A39145"</f>
        <v>0125A39145</v>
      </c>
      <c r="E18010" s="1" t="s">
        <v>10</v>
      </c>
      <c r="F18010" s="1" t="str">
        <f>"10.14.14.27"</f>
        <v>10.14.14.27</v>
      </c>
      <c r="G18010" s="1" t="str">
        <f>"0125A391"</f>
        <v>0125A391</v>
      </c>
      <c r="H18010" s="1" t="str">
        <f>"다산로 L14"</f>
        <v>다산로 L14</v>
      </c>
      <c r="I18010" s="1" t="s">
        <v>17</v>
      </c>
      <c r="J18010" s="1" t="str">
        <f>"9/9"</f>
        <v>9/9</v>
      </c>
      <c r="K18010" s="1" t="str">
        <f>"2026-07-29 13:18:02"</f>
        <v>2026-07-29 13:18:02</v>
      </c>
      <c r="L18010" s="1" t="str">
        <f>"2021-06-29 14:03:00"</f>
        <v>2021-06-29 14:03:00</v>
      </c>
      <c r="M18010" s="1" t="s">
        <v>3</v>
      </c>
      <c r="N18010" s="1" t="s">
        <v>38</v>
      </c>
      <c r="O18010" s="1" t="s">
        <v>46</v>
      </c>
    </row>
    <row r="18011" spans="2:15" x14ac:dyDescent="0.3">
      <c r="B18011" s="1" t="s">
        <v>13</v>
      </c>
      <c r="C18011" s="1" t="str">
        <f t="shared" si="895"/>
        <v>4차</v>
      </c>
      <c r="D18011" s="1" t="str">
        <f>"0125A40144"</f>
        <v>0125A40144</v>
      </c>
      <c r="E18011" s="1" t="s">
        <v>10</v>
      </c>
      <c r="F18011" s="1" t="str">
        <f>"10.12.138.181"</f>
        <v>10.12.138.181</v>
      </c>
      <c r="G18011" s="1" t="str">
        <f>"0125A401"</f>
        <v>0125A401</v>
      </c>
      <c r="H18011" s="1" t="str">
        <f>"청구지 25L5L1"</f>
        <v>청구지 25L5L1</v>
      </c>
      <c r="I18011" s="1" t="s">
        <v>8</v>
      </c>
      <c r="J18011" s="1" t="str">
        <f>"38/38"</f>
        <v>38/38</v>
      </c>
      <c r="K18011" s="1" t="str">
        <f>"2026-07-29 13:18:01"</f>
        <v>2026-07-29 13:18:01</v>
      </c>
      <c r="L18011" s="1" t="str">
        <f>"2019-11-18 23:51:25"</f>
        <v>2019-11-18 23:51:25</v>
      </c>
      <c r="M18011" s="1" t="s">
        <v>0</v>
      </c>
      <c r="N18011" s="1" t="s">
        <v>38</v>
      </c>
      <c r="O18011" s="1" t="s">
        <v>46</v>
      </c>
    </row>
    <row r="18012" spans="2:15" x14ac:dyDescent="0.3">
      <c r="B18012" s="1" t="s">
        <v>13</v>
      </c>
      <c r="C18012" s="1" t="str">
        <f t="shared" si="895"/>
        <v>4차</v>
      </c>
      <c r="D18012" s="1" t="str">
        <f>"0125A46341"</f>
        <v>0125A46341</v>
      </c>
      <c r="E18012" s="1" t="s">
        <v>14</v>
      </c>
      <c r="F18012" s="1" t="str">
        <f>"10.14.11.188"</f>
        <v>10.14.11.188</v>
      </c>
      <c r="G18012" s="1" t="str">
        <f>"0125A463"</f>
        <v>0125A463</v>
      </c>
      <c r="H18012" s="1" t="str">
        <f>"신금지 22H1"</f>
        <v>신금지 22H1</v>
      </c>
      <c r="I18012" s="1" t="s">
        <v>17</v>
      </c>
      <c r="J18012" s="1" t="str">
        <f>"0/0"</f>
        <v>0/0</v>
      </c>
      <c r="K18012" s="1" t="str">
        <f>"2026-06-24 13:18:01"</f>
        <v>2026-06-24 13:18:01</v>
      </c>
      <c r="L18012" s="1" t="str">
        <f>"2021-10-21 10:06:38"</f>
        <v>2021-10-21 10:06:38</v>
      </c>
      <c r="M18012" s="1" t="s">
        <v>3</v>
      </c>
      <c r="N18012" s="1" t="s">
        <v>38</v>
      </c>
      <c r="O18012" s="1" t="s">
        <v>44</v>
      </c>
    </row>
    <row r="18013" spans="2:15" x14ac:dyDescent="0.3">
      <c r="B18013" s="1" t="s">
        <v>13</v>
      </c>
      <c r="C18013" s="1" t="str">
        <f t="shared" si="895"/>
        <v>4차</v>
      </c>
      <c r="D18013" s="1" t="str">
        <f>"0125A52141"</f>
        <v>0125A52141</v>
      </c>
      <c r="E18013" s="1" t="s">
        <v>14</v>
      </c>
      <c r="F18013" s="1" t="str">
        <f>"10.14.4.188"</f>
        <v>10.14.4.188</v>
      </c>
      <c r="G18013" s="1" t="str">
        <f>"0125A521"</f>
        <v>0125A521</v>
      </c>
      <c r="H18013" s="1" t="str">
        <f>"청구지 25L5L4"</f>
        <v>청구지 25L5L4</v>
      </c>
      <c r="I18013" s="1" t="s">
        <v>17</v>
      </c>
      <c r="J18013" s="1" t="str">
        <f>"0/0"</f>
        <v>0/0</v>
      </c>
      <c r="K18013" s="1" t="str">
        <f>"2026-01-13 07:21:03"</f>
        <v>2026-01-13 07:21:03</v>
      </c>
      <c r="L18013" s="1" t="str">
        <f>"2021-10-21 12:57:30"</f>
        <v>2021-10-21 12:57:30</v>
      </c>
      <c r="M18013" s="1" t="s">
        <v>3</v>
      </c>
      <c r="N18013" s="1" t="s">
        <v>39</v>
      </c>
      <c r="O18013" s="1" t="s">
        <v>46</v>
      </c>
    </row>
    <row r="18014" spans="2:15" x14ac:dyDescent="0.3">
      <c r="B18014" s="1" t="s">
        <v>13</v>
      </c>
      <c r="C18014" s="1" t="str">
        <f t="shared" si="895"/>
        <v>4차</v>
      </c>
      <c r="D18014" s="1" t="str">
        <f>"0125B45239"</f>
        <v>0125B45239</v>
      </c>
      <c r="E18014" s="1" t="s">
        <v>14</v>
      </c>
      <c r="F18014" s="1" t="str">
        <f>"10.12.131.117"</f>
        <v>10.12.131.117</v>
      </c>
      <c r="G18014" s="1" t="str">
        <f>"0125B452"</f>
        <v>0125B452</v>
      </c>
      <c r="H18014" s="1" t="str">
        <f>"동화로 4"</f>
        <v>동화로 4</v>
      </c>
      <c r="I18014" s="1" t="s">
        <v>17</v>
      </c>
      <c r="J18014" s="1" t="str">
        <f>"0/0"</f>
        <v>0/0</v>
      </c>
      <c r="K18014" s="1" t="str">
        <f>"2026-07-28 13:18:02"</f>
        <v>2026-07-28 13:18:02</v>
      </c>
      <c r="L18014" s="1" t="str">
        <f>"2018-12-21 08:37:09"</f>
        <v>2018-12-21 08:37:09</v>
      </c>
      <c r="M18014" s="1" t="s">
        <v>0</v>
      </c>
      <c r="N18014" s="1" t="s">
        <v>39</v>
      </c>
      <c r="O18014" s="1" t="s">
        <v>46</v>
      </c>
    </row>
    <row r="18015" spans="2:15" x14ac:dyDescent="0.3">
      <c r="B18015" s="1" t="s">
        <v>13</v>
      </c>
      <c r="C18015" s="1" t="str">
        <f t="shared" si="895"/>
        <v>4차</v>
      </c>
      <c r="D18015" s="1" t="str">
        <f>"0125B46539"</f>
        <v>0125B46539</v>
      </c>
      <c r="E18015" s="1" t="s">
        <v>14</v>
      </c>
      <c r="F18015" s="1" t="str">
        <f>"10.12.131.127"</f>
        <v>10.12.131.127</v>
      </c>
      <c r="G18015" s="1" t="str">
        <f>"0125B465"</f>
        <v>0125B465</v>
      </c>
      <c r="H18015" s="1" t="str">
        <f>"동화로 3"</f>
        <v>동화로 3</v>
      </c>
      <c r="I18015" s="1" t="s">
        <v>17</v>
      </c>
      <c r="J18015" s="1" t="str">
        <f>"0/0"</f>
        <v>0/0</v>
      </c>
      <c r="K18015" s="1" t="str">
        <f>"2026-07-28 13:18:02"</f>
        <v>2026-07-28 13:18:02</v>
      </c>
      <c r="L18015" s="1" t="str">
        <f>"2018-10-25 09:20:00"</f>
        <v>2018-10-25 09:20:00</v>
      </c>
      <c r="M18015" s="1" t="s">
        <v>0</v>
      </c>
      <c r="N18015" s="1" t="s">
        <v>39</v>
      </c>
      <c r="O18015" s="1" t="s">
        <v>46</v>
      </c>
    </row>
    <row r="18016" spans="2:15" x14ac:dyDescent="0.3">
      <c r="B18016" s="1" t="s">
        <v>13</v>
      </c>
      <c r="C18016" s="1" t="str">
        <f t="shared" si="895"/>
        <v>4차</v>
      </c>
      <c r="D18016" s="1" t="str">
        <f>"0125B48139"</f>
        <v>0125B48139</v>
      </c>
      <c r="E18016" s="1" t="s">
        <v>10</v>
      </c>
      <c r="F18016" s="1" t="str">
        <f>"10.11.26.74"</f>
        <v>10.11.26.74</v>
      </c>
      <c r="G18016" s="1" t="str">
        <f>"0125B481"</f>
        <v>0125B481</v>
      </c>
      <c r="H18016" s="1" t="str">
        <f>"문화촌지 7R11"</f>
        <v>문화촌지 7R11</v>
      </c>
      <c r="I18016" s="1" t="s">
        <v>8</v>
      </c>
      <c r="J18016" s="1" t="str">
        <f>"43/43"</f>
        <v>43/43</v>
      </c>
      <c r="K18016" s="1" t="str">
        <f>"2026-07-29 13:18:01"</f>
        <v>2026-07-29 13:18:01</v>
      </c>
      <c r="L18016" s="1" t="str">
        <f>"2017-12-08 14:47:24"</f>
        <v>2017-12-08 14:47:24</v>
      </c>
      <c r="M18016" s="1" t="s">
        <v>2</v>
      </c>
      <c r="N18016" s="1" t="s">
        <v>38</v>
      </c>
      <c r="O18016" s="1" t="s">
        <v>46</v>
      </c>
    </row>
    <row r="18017" spans="2:15" x14ac:dyDescent="0.3">
      <c r="B18017" s="1" t="s">
        <v>13</v>
      </c>
      <c r="C18017" s="1" t="str">
        <f>"1차"</f>
        <v>1차</v>
      </c>
      <c r="D18017" s="1" t="str">
        <f>"0125B49401"</f>
        <v>0125B49401</v>
      </c>
      <c r="E18017" s="1" t="s">
        <v>10</v>
      </c>
      <c r="F18017" s="1" t="str">
        <f>"10.12.138.118"</f>
        <v>10.12.138.118</v>
      </c>
      <c r="G18017" s="1" t="str">
        <f>"0125B494"</f>
        <v>0125B494</v>
      </c>
      <c r="H18017" s="1" t="str">
        <f>"문화촌지 7R5"</f>
        <v>문화촌지 7R5</v>
      </c>
      <c r="I18017" s="1" t="s">
        <v>8</v>
      </c>
      <c r="J18017" s="1" t="str">
        <f>"42/42"</f>
        <v>42/42</v>
      </c>
      <c r="K18017" s="1" t="str">
        <f>"2026-07-29 13:18:01"</f>
        <v>2026-07-29 13:18:01</v>
      </c>
      <c r="L18017" s="1" t="str">
        <f>"2014-10-06 10:15:32"</f>
        <v>2014-10-06 10:15:32</v>
      </c>
      <c r="M18017" s="1" t="s">
        <v>0</v>
      </c>
      <c r="N18017" s="1" t="s">
        <v>38</v>
      </c>
      <c r="O18017" s="1" t="s">
        <v>46</v>
      </c>
    </row>
    <row r="18018" spans="2:15" x14ac:dyDescent="0.3">
      <c r="B18018" s="1" t="s">
        <v>13</v>
      </c>
      <c r="C18018" s="1" t="str">
        <f t="shared" ref="C18018:C18044" si="896">"4차"</f>
        <v>4차</v>
      </c>
      <c r="D18018" s="1" t="str">
        <f>"0125C03141"</f>
        <v>0125C03141</v>
      </c>
      <c r="E18018" s="1" t="s">
        <v>10</v>
      </c>
      <c r="F18018" s="1" t="str">
        <f>"10.14.12.186"</f>
        <v>10.14.12.186</v>
      </c>
      <c r="G18018" s="1" t="str">
        <f>"0125C031"</f>
        <v>0125C031</v>
      </c>
      <c r="H18018" s="1" t="str">
        <f>"옥수지 9L1L4R2"</f>
        <v>옥수지 9L1L4R2</v>
      </c>
      <c r="I18018" s="1" t="s">
        <v>17</v>
      </c>
      <c r="J18018" s="1" t="str">
        <f>"27/37"</f>
        <v>27/37</v>
      </c>
      <c r="K18018" s="1" t="str">
        <f>"2026-07-29 13:18:02"</f>
        <v>2026-07-29 13:18:02</v>
      </c>
      <c r="L18018" s="1" t="str">
        <f>"2021-10-21 11:41:12"</f>
        <v>2021-10-21 11:41:12</v>
      </c>
      <c r="M18018" s="1" t="s">
        <v>3</v>
      </c>
      <c r="N18018" s="1" t="s">
        <v>38</v>
      </c>
      <c r="O18018" s="1" t="s">
        <v>46</v>
      </c>
    </row>
    <row r="18019" spans="2:15" x14ac:dyDescent="0.3">
      <c r="B18019" s="1" t="s">
        <v>13</v>
      </c>
      <c r="C18019" s="1" t="str">
        <f t="shared" si="896"/>
        <v>4차</v>
      </c>
      <c r="D18019" s="1" t="str">
        <f>"0125C04344"</f>
        <v>0125C04344</v>
      </c>
      <c r="E18019" s="1" t="s">
        <v>10</v>
      </c>
      <c r="F18019" s="1" t="str">
        <f>"10.10.124.74"</f>
        <v>10.10.124.74</v>
      </c>
      <c r="G18019" s="1" t="str">
        <f>"0125C043"</f>
        <v>0125C043</v>
      </c>
      <c r="H18019" s="1" t="str">
        <f>"옥수지 9L1L6R1"</f>
        <v>옥수지 9L1L6R1</v>
      </c>
      <c r="I18019" s="1" t="s">
        <v>8</v>
      </c>
      <c r="J18019" s="1" t="str">
        <f>"24/24"</f>
        <v>24/24</v>
      </c>
      <c r="K18019" s="1" t="str">
        <f t="shared" ref="K18019:K18024" si="897">"2026-07-29 13:18:01"</f>
        <v>2026-07-29 13:18:01</v>
      </c>
      <c r="L18019" s="1" t="str">
        <f>"2019-12-24 16:52:02"</f>
        <v>2019-12-24 16:52:02</v>
      </c>
      <c r="M18019" s="1" t="s">
        <v>1</v>
      </c>
      <c r="N18019" s="1" t="s">
        <v>38</v>
      </c>
      <c r="O18019" s="1" t="s">
        <v>46</v>
      </c>
    </row>
    <row r="18020" spans="2:15" x14ac:dyDescent="0.3">
      <c r="B18020" s="1" t="s">
        <v>13</v>
      </c>
      <c r="C18020" s="1" t="str">
        <f t="shared" si="896"/>
        <v>4차</v>
      </c>
      <c r="D18020" s="1" t="str">
        <f>"0125C09239"</f>
        <v>0125C09239</v>
      </c>
      <c r="E18020" s="1" t="s">
        <v>10</v>
      </c>
      <c r="F18020" s="1" t="str">
        <f>"10.11.44.218"</f>
        <v>10.11.44.218</v>
      </c>
      <c r="G18020" s="1" t="str">
        <f>"0125C092"</f>
        <v>0125C092</v>
      </c>
      <c r="H18020" s="1" t="str">
        <f>"청구지 25L3R2R1"</f>
        <v>청구지 25L3R2R1</v>
      </c>
      <c r="I18020" s="1" t="s">
        <v>8</v>
      </c>
      <c r="J18020" s="1" t="str">
        <f>"47/47"</f>
        <v>47/47</v>
      </c>
      <c r="K18020" s="1" t="str">
        <f t="shared" si="897"/>
        <v>2026-07-29 13:18:01</v>
      </c>
      <c r="L18020" s="1" t="str">
        <f>"2018-04-28 12:19:43"</f>
        <v>2018-04-28 12:19:43</v>
      </c>
      <c r="M18020" s="1" t="s">
        <v>2</v>
      </c>
      <c r="N18020" s="1" t="s">
        <v>38</v>
      </c>
      <c r="O18020" s="1" t="s">
        <v>46</v>
      </c>
    </row>
    <row r="18021" spans="2:15" x14ac:dyDescent="0.3">
      <c r="B18021" s="1" t="s">
        <v>13</v>
      </c>
      <c r="C18021" s="1" t="str">
        <f t="shared" si="896"/>
        <v>4차</v>
      </c>
      <c r="D18021" s="1" t="str">
        <f>"0125C11144"</f>
        <v>0125C11144</v>
      </c>
      <c r="E18021" s="1" t="s">
        <v>10</v>
      </c>
      <c r="F18021" s="1" t="str">
        <f>"10.10.124.98"</f>
        <v>10.10.124.98</v>
      </c>
      <c r="G18021" s="1" t="str">
        <f>"0125C111"</f>
        <v>0125C111</v>
      </c>
      <c r="H18021" s="1" t="str">
        <f>"옥수지 9L3L1"</f>
        <v>옥수지 9L3L1</v>
      </c>
      <c r="I18021" s="1" t="s">
        <v>8</v>
      </c>
      <c r="J18021" s="1" t="str">
        <f>"27/27"</f>
        <v>27/27</v>
      </c>
      <c r="K18021" s="1" t="str">
        <f t="shared" si="897"/>
        <v>2026-07-29 13:18:01</v>
      </c>
      <c r="L18021" s="1" t="str">
        <f>"2019-12-11 18:26:48"</f>
        <v>2019-12-11 18:26:48</v>
      </c>
      <c r="M18021" s="1" t="s">
        <v>1</v>
      </c>
      <c r="N18021" s="1" t="s">
        <v>38</v>
      </c>
      <c r="O18021" s="1" t="s">
        <v>46</v>
      </c>
    </row>
    <row r="18022" spans="2:15" x14ac:dyDescent="0.3">
      <c r="B18022" s="1" t="s">
        <v>13</v>
      </c>
      <c r="C18022" s="1" t="str">
        <f t="shared" si="896"/>
        <v>4차</v>
      </c>
      <c r="D18022" s="1" t="str">
        <f>"0125C11344"</f>
        <v>0125C11344</v>
      </c>
      <c r="E18022" s="1" t="s">
        <v>10</v>
      </c>
      <c r="F18022" s="1" t="str">
        <f>"10.10.124.90"</f>
        <v>10.10.124.90</v>
      </c>
      <c r="G18022" s="1" t="str">
        <f>"0125C113"</f>
        <v>0125C113</v>
      </c>
      <c r="H18022" s="1" t="str">
        <f>"옥수지 9L2"</f>
        <v>옥수지 9L2</v>
      </c>
      <c r="I18022" s="1" t="s">
        <v>8</v>
      </c>
      <c r="J18022" s="1" t="str">
        <f>"40/40"</f>
        <v>40/40</v>
      </c>
      <c r="K18022" s="1" t="str">
        <f t="shared" si="897"/>
        <v>2026-07-29 13:18:01</v>
      </c>
      <c r="L18022" s="1" t="str">
        <f>"2019-12-24 16:49:47"</f>
        <v>2019-12-24 16:49:47</v>
      </c>
      <c r="M18022" s="1" t="s">
        <v>1</v>
      </c>
      <c r="N18022" s="1" t="s">
        <v>38</v>
      </c>
      <c r="O18022" s="1" t="s">
        <v>46</v>
      </c>
    </row>
    <row r="18023" spans="2:15" x14ac:dyDescent="0.3">
      <c r="B18023" s="1" t="s">
        <v>13</v>
      </c>
      <c r="C18023" s="1" t="str">
        <f t="shared" si="896"/>
        <v>4차</v>
      </c>
      <c r="D18023" s="1" t="str">
        <f>"0125C12244"</f>
        <v>0125C12244</v>
      </c>
      <c r="E18023" s="1" t="s">
        <v>10</v>
      </c>
      <c r="F18023" s="1" t="str">
        <f>"10.10.128.138"</f>
        <v>10.10.128.138</v>
      </c>
      <c r="G18023" s="1" t="str">
        <f>"0125C122"</f>
        <v>0125C122</v>
      </c>
      <c r="H18023" s="1" t="str">
        <f>"옥수지 9L7L1"</f>
        <v>옥수지 9L7L1</v>
      </c>
      <c r="I18023" s="1" t="s">
        <v>8</v>
      </c>
      <c r="J18023" s="1" t="str">
        <f>"14/14"</f>
        <v>14/14</v>
      </c>
      <c r="K18023" s="1" t="str">
        <f t="shared" si="897"/>
        <v>2026-07-29 13:18:01</v>
      </c>
      <c r="L18023" s="1" t="str">
        <f>"2019-12-24 16:58:46"</f>
        <v>2019-12-24 16:58:46</v>
      </c>
      <c r="M18023" s="1" t="s">
        <v>1</v>
      </c>
      <c r="N18023" s="1" t="s">
        <v>38</v>
      </c>
      <c r="O18023" s="1" t="s">
        <v>46</v>
      </c>
    </row>
    <row r="18024" spans="2:15" x14ac:dyDescent="0.3">
      <c r="B18024" s="1" t="s">
        <v>13</v>
      </c>
      <c r="C18024" s="1" t="str">
        <f t="shared" si="896"/>
        <v>4차</v>
      </c>
      <c r="D18024" s="1" t="str">
        <f>"0125C12444"</f>
        <v>0125C12444</v>
      </c>
      <c r="E18024" s="1" t="s">
        <v>10</v>
      </c>
      <c r="F18024" s="1" t="str">
        <f>"10.10.124.66"</f>
        <v>10.10.124.66</v>
      </c>
      <c r="G18024" s="1" t="str">
        <f>"0125C124"</f>
        <v>0125C124</v>
      </c>
      <c r="H18024" s="1" t="str">
        <f>"옥수지 9L1L4R3"</f>
        <v>옥수지 9L1L4R3</v>
      </c>
      <c r="I18024" s="1" t="s">
        <v>8</v>
      </c>
      <c r="J18024" s="1" t="str">
        <f>"52/52"</f>
        <v>52/52</v>
      </c>
      <c r="K18024" s="1" t="str">
        <f t="shared" si="897"/>
        <v>2026-07-29 13:18:01</v>
      </c>
      <c r="L18024" s="1" t="str">
        <f>"2020-01-21 16:49:46"</f>
        <v>2020-01-21 16:49:46</v>
      </c>
      <c r="M18024" s="1" t="s">
        <v>1</v>
      </c>
      <c r="N18024" s="1" t="s">
        <v>38</v>
      </c>
      <c r="O18024" s="1" t="s">
        <v>46</v>
      </c>
    </row>
    <row r="18025" spans="2:15" x14ac:dyDescent="0.3">
      <c r="B18025" s="1" t="s">
        <v>13</v>
      </c>
      <c r="C18025" s="1" t="str">
        <f t="shared" si="896"/>
        <v>4차</v>
      </c>
      <c r="D18025" s="1" t="str">
        <f>"0125C16344"</f>
        <v>0125C16344</v>
      </c>
      <c r="E18025" s="1" t="s">
        <v>18</v>
      </c>
      <c r="F18025" s="1" t="str">
        <f>"10.11.44.106"</f>
        <v>10.11.44.106</v>
      </c>
      <c r="G18025" s="1" t="str">
        <f>"0125C163"</f>
        <v>0125C163</v>
      </c>
      <c r="H18025" s="1" t="str">
        <f>"청구지 25L3R6R1"</f>
        <v>청구지 25L3R6R1</v>
      </c>
      <c r="I18025" s="1" t="s">
        <v>8</v>
      </c>
      <c r="J18025" s="1" t="str">
        <f>"0/14"</f>
        <v>0/14</v>
      </c>
      <c r="K18025" s="1" t="str">
        <f>"2026-06-18 07:18:01"</f>
        <v>2026-06-18 07:18:01</v>
      </c>
      <c r="L18025" s="1" t="str">
        <f>"2019-11-18 12:54:54"</f>
        <v>2019-11-18 12:54:54</v>
      </c>
      <c r="M18025" s="1" t="s">
        <v>2</v>
      </c>
      <c r="N18025" s="1" t="s">
        <v>38</v>
      </c>
      <c r="O18025" s="1" t="s">
        <v>46</v>
      </c>
    </row>
    <row r="18026" spans="2:15" x14ac:dyDescent="0.3">
      <c r="B18026" s="1" t="s">
        <v>13</v>
      </c>
      <c r="C18026" s="1" t="str">
        <f t="shared" si="896"/>
        <v>4차</v>
      </c>
      <c r="D18026" s="1" t="str">
        <f>"0125C18144"</f>
        <v>0125C18144</v>
      </c>
      <c r="E18026" s="1" t="s">
        <v>10</v>
      </c>
      <c r="F18026" s="1" t="str">
        <f>"10.11.44.98"</f>
        <v>10.11.44.98</v>
      </c>
      <c r="G18026" s="1" t="str">
        <f>"0125C181"</f>
        <v>0125C181</v>
      </c>
      <c r="H18026" s="1" t="str">
        <f>"청구지 25L3R3"</f>
        <v>청구지 25L3R3</v>
      </c>
      <c r="I18026" s="1" t="s">
        <v>8</v>
      </c>
      <c r="J18026" s="1" t="str">
        <f>"53/53"</f>
        <v>53/53</v>
      </c>
      <c r="K18026" s="1" t="str">
        <f t="shared" ref="K18026:K18033" si="898">"2026-07-29 13:18:01"</f>
        <v>2026-07-29 13:18:01</v>
      </c>
      <c r="L18026" s="1" t="str">
        <f>"2019-11-18 10:04:14"</f>
        <v>2019-11-18 10:04:14</v>
      </c>
      <c r="M18026" s="1" t="s">
        <v>2</v>
      </c>
      <c r="N18026" s="1" t="s">
        <v>38</v>
      </c>
      <c r="O18026" s="1" t="s">
        <v>46</v>
      </c>
    </row>
    <row r="18027" spans="2:15" x14ac:dyDescent="0.3">
      <c r="B18027" s="1" t="s">
        <v>13</v>
      </c>
      <c r="C18027" s="1" t="str">
        <f t="shared" si="896"/>
        <v>4차</v>
      </c>
      <c r="D18027" s="1" t="str">
        <f>"0125C20244"</f>
        <v>0125C20244</v>
      </c>
      <c r="E18027" s="1" t="s">
        <v>10</v>
      </c>
      <c r="F18027" s="1" t="str">
        <f>"10.12.138.121"</f>
        <v>10.12.138.121</v>
      </c>
      <c r="G18027" s="1" t="str">
        <f>"0125C202"</f>
        <v>0125C202</v>
      </c>
      <c r="H18027" s="1" t="str">
        <f>"옥수지 9L4R1"</f>
        <v>옥수지 9L4R1</v>
      </c>
      <c r="I18027" s="1" t="s">
        <v>8</v>
      </c>
      <c r="J18027" s="1" t="str">
        <f>"27/27"</f>
        <v>27/27</v>
      </c>
      <c r="K18027" s="1" t="str">
        <f t="shared" si="898"/>
        <v>2026-07-29 13:18:01</v>
      </c>
      <c r="L18027" s="1" t="str">
        <f>"2020-01-08 16:40:08"</f>
        <v>2020-01-08 16:40:08</v>
      </c>
      <c r="M18027" s="1" t="s">
        <v>0</v>
      </c>
      <c r="N18027" s="1" t="s">
        <v>38</v>
      </c>
      <c r="O18027" s="1" t="s">
        <v>46</v>
      </c>
    </row>
    <row r="18028" spans="2:15" x14ac:dyDescent="0.3">
      <c r="B18028" s="1" t="s">
        <v>13</v>
      </c>
      <c r="C18028" s="1" t="str">
        <f t="shared" si="896"/>
        <v>4차</v>
      </c>
      <c r="D18028" s="1" t="str">
        <f>"0125C27444"</f>
        <v>0125C27444</v>
      </c>
      <c r="E18028" s="1" t="s">
        <v>10</v>
      </c>
      <c r="F18028" s="1" t="str">
        <f>"10.10.127.2"</f>
        <v>10.10.127.2</v>
      </c>
      <c r="G18028" s="1" t="str">
        <f>"0125C274"</f>
        <v>0125C274</v>
      </c>
      <c r="H18028" s="1" t="str">
        <f>"청구지 25L3R6"</f>
        <v>청구지 25L3R6</v>
      </c>
      <c r="I18028" s="1" t="s">
        <v>8</v>
      </c>
      <c r="J18028" s="1" t="str">
        <f>"89/89"</f>
        <v>89/89</v>
      </c>
      <c r="K18028" s="1" t="str">
        <f t="shared" si="898"/>
        <v>2026-07-29 13:18:01</v>
      </c>
      <c r="L18028" s="1" t="str">
        <f>"2020-01-17 09:11:17"</f>
        <v>2020-01-17 09:11:17</v>
      </c>
      <c r="M18028" s="1" t="s">
        <v>1</v>
      </c>
      <c r="N18028" s="1" t="s">
        <v>38</v>
      </c>
      <c r="O18028" s="1" t="s">
        <v>46</v>
      </c>
    </row>
    <row r="18029" spans="2:15" x14ac:dyDescent="0.3">
      <c r="B18029" s="1" t="s">
        <v>13</v>
      </c>
      <c r="C18029" s="1" t="str">
        <f t="shared" si="896"/>
        <v>4차</v>
      </c>
      <c r="D18029" s="1" t="str">
        <f>"0125C28144"</f>
        <v>0125C28144</v>
      </c>
      <c r="E18029" s="1" t="s">
        <v>10</v>
      </c>
      <c r="F18029" s="1" t="str">
        <f>"10.10.126.250"</f>
        <v>10.10.126.250</v>
      </c>
      <c r="G18029" s="1" t="str">
        <f>"0125C281"</f>
        <v>0125C281</v>
      </c>
      <c r="H18029" s="1" t="str">
        <f>"청구지 25L3R2L1"</f>
        <v>청구지 25L3R2L1</v>
      </c>
      <c r="I18029" s="1" t="s">
        <v>8</v>
      </c>
      <c r="J18029" s="1" t="str">
        <f>"15/15"</f>
        <v>15/15</v>
      </c>
      <c r="K18029" s="1" t="str">
        <f t="shared" si="898"/>
        <v>2026-07-29 13:18:01</v>
      </c>
      <c r="L18029" s="1" t="str">
        <f>"2020-01-17 08:49:07"</f>
        <v>2020-01-17 08:49:07</v>
      </c>
      <c r="M18029" s="1" t="s">
        <v>1</v>
      </c>
      <c r="N18029" s="1" t="s">
        <v>38</v>
      </c>
      <c r="O18029" s="1" t="s">
        <v>46</v>
      </c>
    </row>
    <row r="18030" spans="2:15" x14ac:dyDescent="0.3">
      <c r="B18030" s="1" t="s">
        <v>13</v>
      </c>
      <c r="C18030" s="1" t="str">
        <f t="shared" si="896"/>
        <v>4차</v>
      </c>
      <c r="D18030" s="1" t="str">
        <f>"0125C30144"</f>
        <v>0125C30144</v>
      </c>
      <c r="E18030" s="1" t="s">
        <v>10</v>
      </c>
      <c r="F18030" s="1" t="str">
        <f>"10.10.124.114"</f>
        <v>10.10.124.114</v>
      </c>
      <c r="G18030" s="1" t="str">
        <f>"0125C301"</f>
        <v>0125C301</v>
      </c>
      <c r="H18030" s="1" t="str">
        <f>"옥수지 9L4R1L1"</f>
        <v>옥수지 9L4R1L1</v>
      </c>
      <c r="I18030" s="1" t="s">
        <v>8</v>
      </c>
      <c r="J18030" s="1" t="str">
        <f>"28/28"</f>
        <v>28/28</v>
      </c>
      <c r="K18030" s="1" t="str">
        <f t="shared" si="898"/>
        <v>2026-07-29 13:18:01</v>
      </c>
      <c r="L18030" s="1" t="str">
        <f>"2019-12-11 18:22:54"</f>
        <v>2019-12-11 18:22:54</v>
      </c>
      <c r="M18030" s="1" t="s">
        <v>1</v>
      </c>
      <c r="N18030" s="1" t="s">
        <v>38</v>
      </c>
      <c r="O18030" s="1" t="s">
        <v>46</v>
      </c>
    </row>
    <row r="18031" spans="2:15" x14ac:dyDescent="0.3">
      <c r="B18031" s="1" t="s">
        <v>13</v>
      </c>
      <c r="C18031" s="1" t="str">
        <f t="shared" si="896"/>
        <v>4차</v>
      </c>
      <c r="D18031" s="1" t="str">
        <f>"0125C31144"</f>
        <v>0125C31144</v>
      </c>
      <c r="E18031" s="1" t="s">
        <v>10</v>
      </c>
      <c r="F18031" s="1" t="str">
        <f>"10.10.124.138"</f>
        <v>10.10.124.138</v>
      </c>
      <c r="G18031" s="1" t="str">
        <f>"0125C311"</f>
        <v>0125C311</v>
      </c>
      <c r="H18031" s="1" t="str">
        <f>"옥수지 9L8R1"</f>
        <v>옥수지 9L8R1</v>
      </c>
      <c r="I18031" s="1" t="s">
        <v>8</v>
      </c>
      <c r="J18031" s="1" t="str">
        <f>"3/20"</f>
        <v>3/20</v>
      </c>
      <c r="K18031" s="1" t="str">
        <f t="shared" si="898"/>
        <v>2026-07-29 13:18:01</v>
      </c>
      <c r="L18031" s="1" t="str">
        <f>"2019-12-24 16:52:01"</f>
        <v>2019-12-24 16:52:01</v>
      </c>
      <c r="M18031" s="1" t="s">
        <v>1</v>
      </c>
      <c r="N18031" s="1" t="s">
        <v>38</v>
      </c>
      <c r="O18031" s="1" t="s">
        <v>46</v>
      </c>
    </row>
    <row r="18032" spans="2:15" x14ac:dyDescent="0.3">
      <c r="B18032" s="1" t="s">
        <v>13</v>
      </c>
      <c r="C18032" s="1" t="str">
        <f t="shared" si="896"/>
        <v>4차</v>
      </c>
      <c r="D18032" s="1" t="str">
        <f>"0125C31244"</f>
        <v>0125C31244</v>
      </c>
      <c r="E18032" s="1" t="s">
        <v>10</v>
      </c>
      <c r="F18032" s="1" t="str">
        <f>"10.10.124.146"</f>
        <v>10.10.124.146</v>
      </c>
      <c r="G18032" s="1" t="str">
        <f>"0125C312"</f>
        <v>0125C312</v>
      </c>
      <c r="H18032" s="1" t="str">
        <f>"옥수지 9L8R2"</f>
        <v>옥수지 9L8R2</v>
      </c>
      <c r="I18032" s="1" t="s">
        <v>8</v>
      </c>
      <c r="J18032" s="1" t="str">
        <f>"77/82"</f>
        <v>77/82</v>
      </c>
      <c r="K18032" s="1" t="str">
        <f t="shared" si="898"/>
        <v>2026-07-29 13:18:01</v>
      </c>
      <c r="L18032" s="1" t="str">
        <f>"2019-12-11 18:25:40"</f>
        <v>2019-12-11 18:25:40</v>
      </c>
      <c r="M18032" s="1" t="s">
        <v>1</v>
      </c>
      <c r="N18032" s="1" t="s">
        <v>38</v>
      </c>
      <c r="O18032" s="1" t="s">
        <v>46</v>
      </c>
    </row>
    <row r="18033" spans="2:15" x14ac:dyDescent="0.3">
      <c r="B18033" s="1" t="s">
        <v>13</v>
      </c>
      <c r="C18033" s="1" t="str">
        <f t="shared" si="896"/>
        <v>4차</v>
      </c>
      <c r="D18033" s="1" t="str">
        <f>"0125C32244"</f>
        <v>0125C32244</v>
      </c>
      <c r="E18033" s="1" t="s">
        <v>10</v>
      </c>
      <c r="F18033" s="1" t="str">
        <f>"10.10.128.146"</f>
        <v>10.10.128.146</v>
      </c>
      <c r="G18033" s="1" t="str">
        <f>"0125C322"</f>
        <v>0125C322</v>
      </c>
      <c r="H18033" s="1" t="str">
        <f>"옥수지 9L9"</f>
        <v>옥수지 9L9</v>
      </c>
      <c r="I18033" s="1" t="s">
        <v>8</v>
      </c>
      <c r="J18033" s="1" t="str">
        <f>"72/72"</f>
        <v>72/72</v>
      </c>
      <c r="K18033" s="1" t="str">
        <f t="shared" si="898"/>
        <v>2026-07-29 13:18:01</v>
      </c>
      <c r="L18033" s="1" t="str">
        <f>"2019-12-11 18:28:31"</f>
        <v>2019-12-11 18:28:31</v>
      </c>
      <c r="M18033" s="1" t="s">
        <v>1</v>
      </c>
      <c r="N18033" s="1" t="s">
        <v>38</v>
      </c>
      <c r="O18033" s="1" t="s">
        <v>46</v>
      </c>
    </row>
    <row r="18034" spans="2:15" x14ac:dyDescent="0.3">
      <c r="B18034" s="1" t="s">
        <v>13</v>
      </c>
      <c r="C18034" s="1" t="str">
        <f t="shared" si="896"/>
        <v>4차</v>
      </c>
      <c r="D18034" s="1" t="str">
        <f>"0125C38141"</f>
        <v>0125C38141</v>
      </c>
      <c r="E18034" s="1" t="s">
        <v>10</v>
      </c>
      <c r="F18034" s="1" t="str">
        <f>"10.14.9.186"</f>
        <v>10.14.9.186</v>
      </c>
      <c r="G18034" s="1" t="str">
        <f>"0125C381"</f>
        <v>0125C381</v>
      </c>
      <c r="H18034" s="1" t="str">
        <f>"청구지 25L3R1L3"</f>
        <v>청구지 25L3R1L3</v>
      </c>
      <c r="I18034" s="1" t="s">
        <v>17</v>
      </c>
      <c r="J18034" s="1" t="str">
        <f>"28/28"</f>
        <v>28/28</v>
      </c>
      <c r="K18034" s="1" t="str">
        <f>"2026-07-29 13:18:02"</f>
        <v>2026-07-29 13:18:02</v>
      </c>
      <c r="L18034" s="1" t="str">
        <f>"2021-10-21 11:11:35"</f>
        <v>2021-10-21 11:11:35</v>
      </c>
      <c r="M18034" s="1" t="s">
        <v>3</v>
      </c>
      <c r="N18034" s="1" t="s">
        <v>38</v>
      </c>
      <c r="O18034" s="1" t="s">
        <v>46</v>
      </c>
    </row>
    <row r="18035" spans="2:15" x14ac:dyDescent="0.3">
      <c r="B18035" s="1" t="s">
        <v>13</v>
      </c>
      <c r="C18035" s="1" t="str">
        <f t="shared" si="896"/>
        <v>4차</v>
      </c>
      <c r="D18035" s="1" t="str">
        <f>"0125C38244"</f>
        <v>0125C38244</v>
      </c>
      <c r="E18035" s="1" t="s">
        <v>10</v>
      </c>
      <c r="F18035" s="1" t="str">
        <f>"10.11.44.114"</f>
        <v>10.11.44.114</v>
      </c>
      <c r="G18035" s="1" t="str">
        <f>"0125C382"</f>
        <v>0125C382</v>
      </c>
      <c r="H18035" s="1" t="str">
        <f>"청구지 25L3R9"</f>
        <v>청구지 25L3R9</v>
      </c>
      <c r="I18035" s="1" t="s">
        <v>8</v>
      </c>
      <c r="J18035" s="1" t="str">
        <f>"10/10"</f>
        <v>10/10</v>
      </c>
      <c r="K18035" s="1" t="str">
        <f t="shared" ref="K18035:K18044" si="899">"2026-07-29 13:18:01"</f>
        <v>2026-07-29 13:18:01</v>
      </c>
      <c r="L18035" s="1" t="str">
        <f>"2019-11-18 23:52:22"</f>
        <v>2019-11-18 23:52:22</v>
      </c>
      <c r="M18035" s="1" t="s">
        <v>2</v>
      </c>
      <c r="N18035" s="1" t="s">
        <v>38</v>
      </c>
      <c r="O18035" s="1" t="s">
        <v>46</v>
      </c>
    </row>
    <row r="18036" spans="2:15" x14ac:dyDescent="0.3">
      <c r="B18036" s="1" t="s">
        <v>13</v>
      </c>
      <c r="C18036" s="1" t="str">
        <f t="shared" si="896"/>
        <v>4차</v>
      </c>
      <c r="D18036" s="1" t="str">
        <f>"0125C39144"</f>
        <v>0125C39144</v>
      </c>
      <c r="E18036" s="1" t="s">
        <v>10</v>
      </c>
      <c r="F18036" s="1" t="str">
        <f>"10.10.127.10"</f>
        <v>10.10.127.10</v>
      </c>
      <c r="G18036" s="1" t="str">
        <f>"0125C391"</f>
        <v>0125C391</v>
      </c>
      <c r="H18036" s="1" t="str">
        <f>"청구지 25L5"</f>
        <v>청구지 25L5</v>
      </c>
      <c r="I18036" s="1" t="s">
        <v>8</v>
      </c>
      <c r="J18036" s="1" t="str">
        <f>"2/2"</f>
        <v>2/2</v>
      </c>
      <c r="K18036" s="1" t="str">
        <f t="shared" si="899"/>
        <v>2026-07-29 13:18:01</v>
      </c>
      <c r="L18036" s="1" t="str">
        <f>"2020-01-17 08:39:53"</f>
        <v>2020-01-17 08:39:53</v>
      </c>
      <c r="M18036" s="1" t="s">
        <v>1</v>
      </c>
      <c r="N18036" s="1" t="s">
        <v>38</v>
      </c>
      <c r="O18036" s="1" t="s">
        <v>46</v>
      </c>
    </row>
    <row r="18037" spans="2:15" x14ac:dyDescent="0.3">
      <c r="B18037" s="1" t="s">
        <v>13</v>
      </c>
      <c r="C18037" s="1" t="str">
        <f t="shared" si="896"/>
        <v>4차</v>
      </c>
      <c r="D18037" s="1" t="str">
        <f>"0125C43244"</f>
        <v>0125C43244</v>
      </c>
      <c r="E18037" s="1" t="s">
        <v>10</v>
      </c>
      <c r="F18037" s="1" t="str">
        <f>"10.10.128.122"</f>
        <v>10.10.128.122</v>
      </c>
      <c r="G18037" s="1" t="str">
        <f>"0125C432"</f>
        <v>0125C432</v>
      </c>
      <c r="H18037" s="1" t="str">
        <f>"옥수지 9L10R1"</f>
        <v>옥수지 9L10R1</v>
      </c>
      <c r="I18037" s="1" t="s">
        <v>8</v>
      </c>
      <c r="J18037" s="1" t="str">
        <f>"83/104"</f>
        <v>83/104</v>
      </c>
      <c r="K18037" s="1" t="str">
        <f t="shared" si="899"/>
        <v>2026-07-29 13:18:01</v>
      </c>
      <c r="L18037" s="1" t="str">
        <f>"2019-12-11 18:25:13"</f>
        <v>2019-12-11 18:25:13</v>
      </c>
      <c r="M18037" s="1" t="s">
        <v>1</v>
      </c>
      <c r="N18037" s="1" t="s">
        <v>38</v>
      </c>
      <c r="O18037" s="1" t="s">
        <v>46</v>
      </c>
    </row>
    <row r="18038" spans="2:15" x14ac:dyDescent="0.3">
      <c r="B18038" s="1" t="s">
        <v>13</v>
      </c>
      <c r="C18038" s="1" t="str">
        <f t="shared" si="896"/>
        <v>4차</v>
      </c>
      <c r="D18038" s="1" t="str">
        <f>"0125C43344"</f>
        <v>0125C43344</v>
      </c>
      <c r="E18038" s="1" t="s">
        <v>10</v>
      </c>
      <c r="F18038" s="1" t="str">
        <f>"10.10.124.34"</f>
        <v>10.10.124.34</v>
      </c>
      <c r="G18038" s="1" t="str">
        <f>"0125C433"</f>
        <v>0125C433</v>
      </c>
      <c r="H18038" s="1" t="str">
        <f>"옥수지 9L10"</f>
        <v>옥수지 9L10</v>
      </c>
      <c r="I18038" s="1" t="s">
        <v>8</v>
      </c>
      <c r="J18038" s="1" t="str">
        <f>"26/26"</f>
        <v>26/26</v>
      </c>
      <c r="K18038" s="1" t="str">
        <f t="shared" si="899"/>
        <v>2026-07-29 13:18:01</v>
      </c>
      <c r="L18038" s="1" t="str">
        <f>"2020-01-10 17:26:03"</f>
        <v>2020-01-10 17:26:03</v>
      </c>
      <c r="M18038" s="1" t="s">
        <v>1</v>
      </c>
      <c r="N18038" s="1" t="s">
        <v>38</v>
      </c>
      <c r="O18038" s="1" t="s">
        <v>46</v>
      </c>
    </row>
    <row r="18039" spans="2:15" x14ac:dyDescent="0.3">
      <c r="B18039" s="1" t="s">
        <v>13</v>
      </c>
      <c r="C18039" s="1" t="str">
        <f t="shared" si="896"/>
        <v>4차</v>
      </c>
      <c r="D18039" s="1" t="str">
        <f>"0125C44144"</f>
        <v>0125C44144</v>
      </c>
      <c r="E18039" s="1" t="s">
        <v>10</v>
      </c>
      <c r="F18039" s="1" t="str">
        <f>"10.10.124.50"</f>
        <v>10.10.124.50</v>
      </c>
      <c r="G18039" s="1" t="str">
        <f>"0125C441"</f>
        <v>0125C441</v>
      </c>
      <c r="H18039" s="1" t="str">
        <f>"옥수지 9L11"</f>
        <v>옥수지 9L11</v>
      </c>
      <c r="I18039" s="1" t="s">
        <v>8</v>
      </c>
      <c r="J18039" s="1" t="str">
        <f>"59/59"</f>
        <v>59/59</v>
      </c>
      <c r="K18039" s="1" t="str">
        <f t="shared" si="899"/>
        <v>2026-07-29 13:18:01</v>
      </c>
      <c r="L18039" s="1" t="str">
        <f>"2019-12-11 18:25:59"</f>
        <v>2019-12-11 18:25:59</v>
      </c>
      <c r="M18039" s="1" t="s">
        <v>1</v>
      </c>
      <c r="N18039" s="1" t="s">
        <v>38</v>
      </c>
      <c r="O18039" s="1" t="s">
        <v>46</v>
      </c>
    </row>
    <row r="18040" spans="2:15" x14ac:dyDescent="0.3">
      <c r="B18040" s="1" t="s">
        <v>13</v>
      </c>
      <c r="C18040" s="1" t="str">
        <f t="shared" si="896"/>
        <v>4차</v>
      </c>
      <c r="D18040" s="1" t="str">
        <f>"0125C47144"</f>
        <v>0125C47144</v>
      </c>
      <c r="E18040" s="1" t="s">
        <v>10</v>
      </c>
      <c r="F18040" s="1" t="str">
        <f>"10.10.126.226"</f>
        <v>10.10.126.226</v>
      </c>
      <c r="G18040" s="1" t="str">
        <f>"0125C471"</f>
        <v>0125C471</v>
      </c>
      <c r="H18040" s="1" t="str">
        <f>"청구지 25L3R12"</f>
        <v>청구지 25L3R12</v>
      </c>
      <c r="I18040" s="1" t="s">
        <v>8</v>
      </c>
      <c r="J18040" s="1" t="str">
        <f>"29/31"</f>
        <v>29/31</v>
      </c>
      <c r="K18040" s="1" t="str">
        <f t="shared" si="899"/>
        <v>2026-07-29 13:18:01</v>
      </c>
      <c r="L18040" s="1" t="str">
        <f>"2019-12-24 16:58:49"</f>
        <v>2019-12-24 16:58:49</v>
      </c>
      <c r="M18040" s="1" t="s">
        <v>1</v>
      </c>
      <c r="N18040" s="1" t="s">
        <v>38</v>
      </c>
      <c r="O18040" s="1" t="s">
        <v>46</v>
      </c>
    </row>
    <row r="18041" spans="2:15" x14ac:dyDescent="0.3">
      <c r="B18041" s="1" t="s">
        <v>13</v>
      </c>
      <c r="C18041" s="1" t="str">
        <f t="shared" si="896"/>
        <v>4차</v>
      </c>
      <c r="D18041" s="1" t="str">
        <f>"0125C48144"</f>
        <v>0125C48144</v>
      </c>
      <c r="E18041" s="1" t="s">
        <v>10</v>
      </c>
      <c r="F18041" s="1" t="str">
        <f>"10.10.126.234"</f>
        <v>10.10.126.234</v>
      </c>
      <c r="G18041" s="1" t="str">
        <f>"0125C481"</f>
        <v>0125C481</v>
      </c>
      <c r="H18041" s="1" t="str">
        <f>"청구지 25L3R1L4"</f>
        <v>청구지 25L3R1L4</v>
      </c>
      <c r="I18041" s="1" t="s">
        <v>8</v>
      </c>
      <c r="J18041" s="1" t="str">
        <f>"15/15"</f>
        <v>15/15</v>
      </c>
      <c r="K18041" s="1" t="str">
        <f t="shared" si="899"/>
        <v>2026-07-29 13:18:01</v>
      </c>
      <c r="L18041" s="1" t="str">
        <f>"2019-12-24 16:56:34"</f>
        <v>2019-12-24 16:56:34</v>
      </c>
      <c r="M18041" s="1" t="s">
        <v>1</v>
      </c>
      <c r="N18041" s="1" t="s">
        <v>38</v>
      </c>
      <c r="O18041" s="1" t="s">
        <v>46</v>
      </c>
    </row>
    <row r="18042" spans="2:15" x14ac:dyDescent="0.3">
      <c r="B18042" s="1" t="s">
        <v>13</v>
      </c>
      <c r="C18042" s="1" t="str">
        <f t="shared" si="896"/>
        <v>4차</v>
      </c>
      <c r="D18042" s="1" t="str">
        <f>"0125C59244"</f>
        <v>0125C59244</v>
      </c>
      <c r="E18042" s="1" t="s">
        <v>10</v>
      </c>
      <c r="F18042" s="1" t="str">
        <f>"10.10.127.42"</f>
        <v>10.10.127.42</v>
      </c>
      <c r="G18042" s="1" t="str">
        <f>"0125C592"</f>
        <v>0125C592</v>
      </c>
      <c r="H18042" s="1" t="str">
        <f>"청구지 25L7"</f>
        <v>청구지 25L7</v>
      </c>
      <c r="I18042" s="1" t="s">
        <v>8</v>
      </c>
      <c r="J18042" s="1" t="str">
        <f>"31/31"</f>
        <v>31/31</v>
      </c>
      <c r="K18042" s="1" t="str">
        <f t="shared" si="899"/>
        <v>2026-07-29 13:18:01</v>
      </c>
      <c r="L18042" s="1" t="str">
        <f>"2019-12-11 18:23:11"</f>
        <v>2019-12-11 18:23:11</v>
      </c>
      <c r="M18042" s="1" t="s">
        <v>1</v>
      </c>
      <c r="N18042" s="1" t="s">
        <v>38</v>
      </c>
      <c r="O18042" s="1" t="s">
        <v>46</v>
      </c>
    </row>
    <row r="18043" spans="2:15" x14ac:dyDescent="0.3">
      <c r="B18043" s="1" t="s">
        <v>13</v>
      </c>
      <c r="C18043" s="1" t="str">
        <f t="shared" si="896"/>
        <v>4차</v>
      </c>
      <c r="D18043" s="1" t="str">
        <f>"0125P28144"</f>
        <v>0125P28144</v>
      </c>
      <c r="E18043" s="1" t="s">
        <v>10</v>
      </c>
      <c r="F18043" s="1" t="str">
        <f>"10.10.128.130"</f>
        <v>10.10.128.130</v>
      </c>
      <c r="G18043" s="1" t="str">
        <f>"0125P281"</f>
        <v>0125P281</v>
      </c>
      <c r="H18043" s="1" t="str">
        <f>"옥수지 9L4R2H1R2"</f>
        <v>옥수지 9L4R2H1R2</v>
      </c>
      <c r="I18043" s="1" t="s">
        <v>8</v>
      </c>
      <c r="J18043" s="1" t="str">
        <f>"29/29"</f>
        <v>29/29</v>
      </c>
      <c r="K18043" s="1" t="str">
        <f t="shared" si="899"/>
        <v>2026-07-29 13:18:01</v>
      </c>
      <c r="L18043" s="1" t="str">
        <f>"2019-12-11 18:23:25"</f>
        <v>2019-12-11 18:23:25</v>
      </c>
      <c r="M18043" s="1" t="s">
        <v>1</v>
      </c>
      <c r="N18043" s="1" t="s">
        <v>38</v>
      </c>
      <c r="O18043" s="1" t="s">
        <v>46</v>
      </c>
    </row>
    <row r="18044" spans="2:15" x14ac:dyDescent="0.3">
      <c r="B18044" s="1" t="s">
        <v>13</v>
      </c>
      <c r="C18044" s="1" t="str">
        <f t="shared" si="896"/>
        <v>4차</v>
      </c>
      <c r="D18044" s="1" t="str">
        <f>"0125P39139"</f>
        <v>0125P39139</v>
      </c>
      <c r="E18044" s="1" t="s">
        <v>10</v>
      </c>
      <c r="F18044" s="1" t="str">
        <f>"10.11.44.226"</f>
        <v>10.11.44.226</v>
      </c>
      <c r="G18044" s="1" t="str">
        <f>"0125P391"</f>
        <v>0125P391</v>
      </c>
      <c r="H18044" s="1" t="str">
        <f>"옥수지 9L4R2"</f>
        <v>옥수지 9L4R2</v>
      </c>
      <c r="I18044" s="1" t="s">
        <v>8</v>
      </c>
      <c r="J18044" s="1" t="str">
        <f>"62/64"</f>
        <v>62/64</v>
      </c>
      <c r="K18044" s="1" t="str">
        <f t="shared" si="899"/>
        <v>2026-07-29 13:18:01</v>
      </c>
      <c r="L18044" s="1" t="str">
        <f>"2018-07-27 09:54:47"</f>
        <v>2018-07-27 09:54:47</v>
      </c>
      <c r="M18044" s="1" t="s">
        <v>2</v>
      </c>
      <c r="N18044" s="1" t="s">
        <v>38</v>
      </c>
      <c r="O18044" s="1" t="s">
        <v>46</v>
      </c>
    </row>
    <row r="18045" spans="2:15" x14ac:dyDescent="0.3">
      <c r="B18045" s="1" t="s">
        <v>13</v>
      </c>
      <c r="C18045" s="1" t="str">
        <f>"5-2차"</f>
        <v>5-2차</v>
      </c>
      <c r="D18045" s="1" t="str">
        <f>"0126A0125S"</f>
        <v>0126A0125S</v>
      </c>
      <c r="E18045" s="1" t="s">
        <v>10</v>
      </c>
      <c r="F18045" s="1" t="str">
        <f>"fde1:103:4:56b0:0:0:0:2"</f>
        <v>fde1:103:4:56b0:0:0:0:2</v>
      </c>
      <c r="G18045" s="1" t="str">
        <f>"0126A012"</f>
        <v>0126A012</v>
      </c>
      <c r="H18045" s="1" t="str">
        <f>"창신지 28R16"</f>
        <v>창신지 28R16</v>
      </c>
      <c r="I18045" s="1" t="s">
        <v>15</v>
      </c>
      <c r="J18045" s="1" t="str">
        <f>"61/61"</f>
        <v>61/61</v>
      </c>
      <c r="K18045" s="1" t="str">
        <f>"2026-07-29 14:20:24"</f>
        <v>2026-07-29 14:20:24</v>
      </c>
      <c r="L18045" s="1" t="str">
        <f>"2023-08-23 09:30:56"</f>
        <v>2023-08-23 09:30:56</v>
      </c>
      <c r="M18045" s="1" t="s">
        <v>4</v>
      </c>
      <c r="N18045" s="1" t="s">
        <v>38</v>
      </c>
      <c r="O18045" s="1" t="s">
        <v>46</v>
      </c>
    </row>
    <row r="18046" spans="2:15" x14ac:dyDescent="0.3">
      <c r="B18046" s="1" t="s">
        <v>13</v>
      </c>
      <c r="C18046" s="1" t="str">
        <f>"5-2차"</f>
        <v>5-2차</v>
      </c>
      <c r="D18046" s="1" t="str">
        <f>"0126A0225M"</f>
        <v>0126A0225M</v>
      </c>
      <c r="E18046" s="1" t="s">
        <v>10</v>
      </c>
      <c r="F18046" s="1" t="str">
        <f>"fde2:104:0:170:0:0:0:2"</f>
        <v>fde2:104:0:170:0:0:0:2</v>
      </c>
      <c r="G18046" s="1" t="str">
        <f>"0126A022"</f>
        <v>0126A022</v>
      </c>
      <c r="H18046" s="1" t="str">
        <f>"창신지 28R14"</f>
        <v>창신지 28R14</v>
      </c>
      <c r="I18046" s="1" t="s">
        <v>15</v>
      </c>
      <c r="J18046" s="1" t="str">
        <f>"60/60"</f>
        <v>60/60</v>
      </c>
      <c r="K18046" s="1" t="str">
        <f>"2026-07-29 14:20:05"</f>
        <v>2026-07-29 14:20:05</v>
      </c>
      <c r="L18046" s="1" t="str">
        <f>"2023-06-13 15:03:46"</f>
        <v>2023-06-13 15:03:46</v>
      </c>
      <c r="M18046" s="1" t="s">
        <v>42</v>
      </c>
      <c r="N18046" s="1" t="s">
        <v>38</v>
      </c>
      <c r="O18046" s="1" t="s">
        <v>46</v>
      </c>
    </row>
    <row r="18047" spans="2:15" x14ac:dyDescent="0.3">
      <c r="B18047" s="1" t="s">
        <v>13</v>
      </c>
      <c r="C18047" s="1" t="s">
        <v>16</v>
      </c>
      <c r="D18047" s="1" t="str">
        <f>"0126A0515S"</f>
        <v>0126A0515S</v>
      </c>
      <c r="E18047" s="1" t="s">
        <v>10</v>
      </c>
      <c r="F18047" s="1" t="str">
        <f>"fde3:102:1304:3404:0:0:0:3"</f>
        <v>fde3:102:1304:3404:0:0:0:3</v>
      </c>
      <c r="G18047" s="1" t="str">
        <f>"0126A051"</f>
        <v>0126A051</v>
      </c>
      <c r="H18047" s="1" t="str">
        <f>"창신지 28R10"</f>
        <v>창신지 28R10</v>
      </c>
      <c r="I18047" s="1" t="s">
        <v>15</v>
      </c>
      <c r="J18047" s="1" t="str">
        <f>"86/87"</f>
        <v>86/87</v>
      </c>
      <c r="K18047" s="1" t="str">
        <f>"2026-07-29 14:20:07"</f>
        <v>2026-07-29 14:20:07</v>
      </c>
      <c r="L18047" s="1" t="str">
        <f>"2023-08-03 11:36:08"</f>
        <v>2023-08-03 11:36:08</v>
      </c>
      <c r="M18047" s="1" t="s">
        <v>45</v>
      </c>
      <c r="N18047" s="1" t="s">
        <v>38</v>
      </c>
      <c r="O18047" s="1" t="s">
        <v>46</v>
      </c>
    </row>
    <row r="18048" spans="2:15" x14ac:dyDescent="0.3">
      <c r="B18048" s="1" t="s">
        <v>13</v>
      </c>
      <c r="C18048" s="1" t="str">
        <f>"5-2차"</f>
        <v>5-2차</v>
      </c>
      <c r="D18048" s="1" t="str">
        <f>"0126A1025M"</f>
        <v>0126A1025M</v>
      </c>
      <c r="E18048" s="1" t="s">
        <v>10</v>
      </c>
      <c r="F18048" s="1" t="str">
        <f>"fde3:102:1304:3402:0:0:0:2"</f>
        <v>fde3:102:1304:3402:0:0:0:2</v>
      </c>
      <c r="G18048" s="1" t="str">
        <f>"0126A102"</f>
        <v>0126A102</v>
      </c>
      <c r="H18048" s="1" t="str">
        <f>"창신지 8R10"</f>
        <v>창신지 8R10</v>
      </c>
      <c r="I18048" s="1" t="s">
        <v>15</v>
      </c>
      <c r="J18048" s="1" t="str">
        <f>"33/34"</f>
        <v>33/34</v>
      </c>
      <c r="K18048" s="1" t="str">
        <f>"2026-07-29 14:20:10"</f>
        <v>2026-07-29 14:20:10</v>
      </c>
      <c r="L18048" s="1" t="str">
        <f>"2023-06-13 18:02:57"</f>
        <v>2023-06-13 18:02:57</v>
      </c>
      <c r="M18048" s="1" t="s">
        <v>45</v>
      </c>
      <c r="N18048" s="1" t="s">
        <v>38</v>
      </c>
      <c r="O18048" s="1" t="s">
        <v>46</v>
      </c>
    </row>
    <row r="18049" spans="2:15" x14ac:dyDescent="0.3">
      <c r="B18049" s="1" t="s">
        <v>13</v>
      </c>
      <c r="C18049" s="1" t="s">
        <v>16</v>
      </c>
      <c r="D18049" s="1" t="str">
        <f>"0126A1335S"</f>
        <v>0126A1335S</v>
      </c>
      <c r="E18049" s="1" t="s">
        <v>10</v>
      </c>
      <c r="F18049" s="1" t="str">
        <f>"fde1:103:4:5617:0:0:0:2"</f>
        <v>fde1:103:4:5617:0:0:0:2</v>
      </c>
      <c r="G18049" s="1" t="str">
        <f>"0126A133"</f>
        <v>0126A133</v>
      </c>
      <c r="H18049" s="1" t="str">
        <f>"창신지 28R13H1L1"</f>
        <v>창신지 28R13H1L1</v>
      </c>
      <c r="I18049" s="1" t="s">
        <v>15</v>
      </c>
      <c r="J18049" s="1" t="str">
        <f>"1/2"</f>
        <v>1/2</v>
      </c>
      <c r="K18049" s="1" t="str">
        <f>"2026-07-28 20:03:35"</f>
        <v>2026-07-28 20:03:35</v>
      </c>
      <c r="L18049" s="1" t="str">
        <f>"2023-08-04 11:13:23"</f>
        <v>2023-08-04 11:13:23</v>
      </c>
      <c r="M18049" s="1" t="s">
        <v>4</v>
      </c>
      <c r="N18049" s="1" t="s">
        <v>38</v>
      </c>
      <c r="O18049" s="1" t="s">
        <v>46</v>
      </c>
    </row>
    <row r="18050" spans="2:15" x14ac:dyDescent="0.3">
      <c r="B18050" s="1" t="s">
        <v>13</v>
      </c>
      <c r="C18050" s="1" t="str">
        <f>"5-2차"</f>
        <v>5-2차</v>
      </c>
      <c r="D18050" s="1" t="str">
        <f>"0126A1615S"</f>
        <v>0126A1615S</v>
      </c>
      <c r="E18050" s="1" t="s">
        <v>10</v>
      </c>
      <c r="F18050" s="1" t="str">
        <f>"fde1:103:4:5623:0:0:0:2"</f>
        <v>fde1:103:4:5623:0:0:0:2</v>
      </c>
      <c r="G18050" s="1" t="str">
        <f>"0126A161"</f>
        <v>0126A161</v>
      </c>
      <c r="H18050" s="1" t="str">
        <f>"창신지 28R10L2"</f>
        <v>창신지 28R10L2</v>
      </c>
      <c r="I18050" s="1" t="s">
        <v>15</v>
      </c>
      <c r="J18050" s="1" t="str">
        <f>"45/45"</f>
        <v>45/45</v>
      </c>
      <c r="K18050" s="1" t="str">
        <f>"2026-07-29 14:20:01"</f>
        <v>2026-07-29 14:20:01</v>
      </c>
      <c r="L18050" s="1" t="str">
        <f>"2023-08-23 09:59:01"</f>
        <v>2023-08-23 09:59:01</v>
      </c>
      <c r="M18050" s="1" t="s">
        <v>4</v>
      </c>
      <c r="N18050" s="1" t="s">
        <v>38</v>
      </c>
      <c r="O18050" s="1" t="s">
        <v>46</v>
      </c>
    </row>
    <row r="18051" spans="2:15" x14ac:dyDescent="0.3">
      <c r="B18051" s="1" t="s">
        <v>13</v>
      </c>
      <c r="C18051" s="1" t="str">
        <f>"5-2차"</f>
        <v>5-2차</v>
      </c>
      <c r="D18051" s="1" t="str">
        <f>"0126A2015M"</f>
        <v>0126A2015M</v>
      </c>
      <c r="E18051" s="1" t="s">
        <v>10</v>
      </c>
      <c r="F18051" s="1" t="str">
        <f>"fde3:102:1304:3106:0:0:0:2"</f>
        <v>fde3:102:1304:3106:0:0:0:2</v>
      </c>
      <c r="G18051" s="1" t="str">
        <f>"0126A201"</f>
        <v>0126A201</v>
      </c>
      <c r="H18051" s="1" t="str">
        <f>"석산지 4L7R1"</f>
        <v>석산지 4L7R1</v>
      </c>
      <c r="I18051" s="1" t="s">
        <v>15</v>
      </c>
      <c r="J18051" s="1" t="str">
        <f>"59/59"</f>
        <v>59/59</v>
      </c>
      <c r="K18051" s="1" t="str">
        <f>"2026-07-28 20:03:27"</f>
        <v>2026-07-28 20:03:27</v>
      </c>
      <c r="L18051" s="1" t="str">
        <f>"2023-06-13 18:03:46"</f>
        <v>2023-06-13 18:03:46</v>
      </c>
      <c r="M18051" s="1" t="s">
        <v>45</v>
      </c>
      <c r="N18051" s="1" t="s">
        <v>38</v>
      </c>
      <c r="O18051" s="1" t="s">
        <v>46</v>
      </c>
    </row>
    <row r="18052" spans="2:15" x14ac:dyDescent="0.3">
      <c r="B18052" s="1" t="s">
        <v>13</v>
      </c>
      <c r="C18052" s="1" t="s">
        <v>16</v>
      </c>
      <c r="D18052" s="1" t="str">
        <f>"0126A3035S"</f>
        <v>0126A3035S</v>
      </c>
      <c r="E18052" s="1" t="s">
        <v>10</v>
      </c>
      <c r="F18052" s="1" t="str">
        <f>"fde3:102:1304:3107:0:0:0:2"</f>
        <v>fde3:102:1304:3107:0:0:0:2</v>
      </c>
      <c r="G18052" s="1" t="str">
        <f>"0126A303"</f>
        <v>0126A303</v>
      </c>
      <c r="H18052" s="1" t="str">
        <f>"석산지 4L4D2"</f>
        <v>석산지 4L4D2</v>
      </c>
      <c r="I18052" s="1" t="s">
        <v>15</v>
      </c>
      <c r="J18052" s="1" t="str">
        <f>"83/83"</f>
        <v>83/83</v>
      </c>
      <c r="K18052" s="1" t="str">
        <f>"2026-07-29 14:20:07"</f>
        <v>2026-07-29 14:20:07</v>
      </c>
      <c r="L18052" s="1" t="str">
        <f>"2023-08-03 10:55:39"</f>
        <v>2023-08-03 10:55:39</v>
      </c>
      <c r="M18052" s="1" t="s">
        <v>45</v>
      </c>
      <c r="N18052" s="1" t="s">
        <v>38</v>
      </c>
      <c r="O18052" s="1" t="s">
        <v>46</v>
      </c>
    </row>
    <row r="18053" spans="2:15" x14ac:dyDescent="0.3">
      <c r="B18053" s="1" t="s">
        <v>13</v>
      </c>
      <c r="C18053" s="1" t="str">
        <f>"5-2차"</f>
        <v>5-2차</v>
      </c>
      <c r="D18053" s="1" t="str">
        <f>"0126A3425M"</f>
        <v>0126A3425M</v>
      </c>
      <c r="E18053" s="1" t="s">
        <v>10</v>
      </c>
      <c r="F18053" s="1" t="str">
        <f>"fde3:102:1304:3104:0:0:0:2"</f>
        <v>fde3:102:1304:3104:0:0:0:2</v>
      </c>
      <c r="G18053" s="1" t="str">
        <f>"0126A342"</f>
        <v>0126A342</v>
      </c>
      <c r="H18053" s="1" t="str">
        <f>"석산지 12L5"</f>
        <v>석산지 12L5</v>
      </c>
      <c r="I18053" s="1" t="s">
        <v>15</v>
      </c>
      <c r="J18053" s="1" t="str">
        <f>"137/138"</f>
        <v>137/138</v>
      </c>
      <c r="K18053" s="1" t="str">
        <f>"2026-07-29 14:20:05"</f>
        <v>2026-07-29 14:20:05</v>
      </c>
      <c r="L18053" s="1" t="str">
        <f>"2023-06-13 18:04:48"</f>
        <v>2023-06-13 18:04:48</v>
      </c>
      <c r="M18053" s="1" t="s">
        <v>45</v>
      </c>
      <c r="N18053" s="1" t="s">
        <v>38</v>
      </c>
      <c r="O18053" s="1" t="s">
        <v>46</v>
      </c>
    </row>
    <row r="18054" spans="2:15" x14ac:dyDescent="0.3">
      <c r="B18054" s="1" t="s">
        <v>13</v>
      </c>
      <c r="C18054" s="1" t="s">
        <v>16</v>
      </c>
      <c r="D18054" s="1" t="str">
        <f>"0126A3455S"</f>
        <v>0126A3455S</v>
      </c>
      <c r="E18054" s="1" t="s">
        <v>10</v>
      </c>
      <c r="F18054" s="1" t="str">
        <f>"fde3:102:1304:3109:0:0:0:2"</f>
        <v>fde3:102:1304:3109:0:0:0:2</v>
      </c>
      <c r="G18054" s="1" t="str">
        <f>"0126A345"</f>
        <v>0126A345</v>
      </c>
      <c r="H18054" s="1" t="str">
        <f>"석산지 12L4"</f>
        <v>석산지 12L4</v>
      </c>
      <c r="I18054" s="1" t="s">
        <v>15</v>
      </c>
      <c r="J18054" s="1" t="str">
        <f>"41/41"</f>
        <v>41/41</v>
      </c>
      <c r="K18054" s="1" t="str">
        <f>"2026-07-29 14:20:06"</f>
        <v>2026-07-29 14:20:06</v>
      </c>
      <c r="L18054" s="1" t="str">
        <f>"2023-08-03 14:31:11"</f>
        <v>2023-08-03 14:31:11</v>
      </c>
      <c r="M18054" s="1" t="s">
        <v>45</v>
      </c>
      <c r="N18054" s="1" t="s">
        <v>38</v>
      </c>
      <c r="O18054" s="1" t="s">
        <v>46</v>
      </c>
    </row>
    <row r="18055" spans="2:15" x14ac:dyDescent="0.3">
      <c r="B18055" s="1" t="s">
        <v>13</v>
      </c>
      <c r="C18055" s="1" t="str">
        <f>"5-2차"</f>
        <v>5-2차</v>
      </c>
      <c r="D18055" s="1" t="str">
        <f>"0126A4015M"</f>
        <v>0126A4015M</v>
      </c>
      <c r="E18055" s="1" t="s">
        <v>10</v>
      </c>
      <c r="F18055" s="1" t="str">
        <f>"fde1:103:4:55de:0:0:0:2"</f>
        <v>fde1:103:4:55de:0:0:0:2</v>
      </c>
      <c r="G18055" s="1" t="str">
        <f>"0126A401"</f>
        <v>0126A401</v>
      </c>
      <c r="H18055" s="1" t="str">
        <f>"석산지 4L4"</f>
        <v>석산지 4L4</v>
      </c>
      <c r="I18055" s="1" t="s">
        <v>15</v>
      </c>
      <c r="J18055" s="1" t="str">
        <f>"54/54"</f>
        <v>54/54</v>
      </c>
      <c r="K18055" s="1" t="str">
        <f>"2026-07-29 14:20:06"</f>
        <v>2026-07-29 14:20:06</v>
      </c>
      <c r="L18055" s="1" t="str">
        <f>"2023-08-23 09:59:38"</f>
        <v>2023-08-23 09:59:38</v>
      </c>
      <c r="M18055" s="1" t="s">
        <v>4</v>
      </c>
      <c r="N18055" s="1" t="s">
        <v>38</v>
      </c>
      <c r="O18055" s="1" t="s">
        <v>46</v>
      </c>
    </row>
    <row r="18056" spans="2:15" x14ac:dyDescent="0.3">
      <c r="B18056" s="1" t="s">
        <v>13</v>
      </c>
      <c r="C18056" s="1" t="str">
        <f>"2차"</f>
        <v>2차</v>
      </c>
      <c r="D18056" s="1" t="str">
        <f>"0126A44221"</f>
        <v>0126A44221</v>
      </c>
      <c r="E18056" s="1" t="s">
        <v>10</v>
      </c>
      <c r="F18056" s="1" t="str">
        <f>"10.11.2.92"</f>
        <v>10.11.2.92</v>
      </c>
      <c r="G18056" s="1" t="str">
        <f>"0126A442"</f>
        <v>0126A442</v>
      </c>
      <c r="H18056" s="1" t="str">
        <f>"석산지 12L3"</f>
        <v>석산지 12L3</v>
      </c>
      <c r="I18056" s="1" t="s">
        <v>8</v>
      </c>
      <c r="J18056" s="1" t="str">
        <f>"8/8"</f>
        <v>8/8</v>
      </c>
      <c r="K18056" s="1" t="str">
        <f>"2026-07-29 13:18:01"</f>
        <v>2026-07-29 13:18:01</v>
      </c>
      <c r="L18056" s="1" t="str">
        <f>"2017-06-23 16:23:25"</f>
        <v>2017-06-23 16:23:25</v>
      </c>
      <c r="M18056" s="1" t="s">
        <v>2</v>
      </c>
      <c r="N18056" s="1" t="s">
        <v>38</v>
      </c>
      <c r="O18056" s="1" t="s">
        <v>46</v>
      </c>
    </row>
    <row r="18057" spans="2:15" x14ac:dyDescent="0.3">
      <c r="B18057" s="1" t="s">
        <v>13</v>
      </c>
      <c r="C18057" s="1" t="str">
        <f>"4차"</f>
        <v>4차</v>
      </c>
      <c r="D18057" s="1" t="str">
        <f>"0126A44329"</f>
        <v>0126A44329</v>
      </c>
      <c r="E18057" s="1" t="s">
        <v>10</v>
      </c>
      <c r="F18057" s="1" t="str">
        <f>"10.89.65.50"</f>
        <v>10.89.65.50</v>
      </c>
      <c r="G18057" s="1" t="str">
        <f>"0126A443"</f>
        <v>0126A443</v>
      </c>
      <c r="H18057" s="1" t="str">
        <f>"석산지 12L2"</f>
        <v>석산지 12L2</v>
      </c>
      <c r="I18057" s="1" t="s">
        <v>8</v>
      </c>
      <c r="J18057" s="1" t="str">
        <f>"9/9"</f>
        <v>9/9</v>
      </c>
      <c r="K18057" s="1" t="str">
        <f>"2026-07-29 13:18:01"</f>
        <v>2026-07-29 13:18:01</v>
      </c>
      <c r="L18057" s="1" t="str">
        <f>"2017-07-19 16:29:41"</f>
        <v>2017-07-19 16:29:41</v>
      </c>
      <c r="M18057" s="1" t="s">
        <v>45</v>
      </c>
      <c r="N18057" s="1" t="s">
        <v>38</v>
      </c>
      <c r="O18057" s="1" t="s">
        <v>46</v>
      </c>
    </row>
    <row r="18058" spans="2:15" x14ac:dyDescent="0.3">
      <c r="B18058" s="1" t="s">
        <v>13</v>
      </c>
      <c r="C18058" s="1" t="str">
        <f>"5-2차"</f>
        <v>5-2차</v>
      </c>
      <c r="D18058" s="1" t="str">
        <f>"0126A4525S"</f>
        <v>0126A4525S</v>
      </c>
      <c r="E18058" s="1" t="s">
        <v>10</v>
      </c>
      <c r="F18058" s="1" t="str">
        <f>"fde1:103:4:5687:0:0:0:2"</f>
        <v>fde1:103:4:5687:0:0:0:2</v>
      </c>
      <c r="G18058" s="1" t="str">
        <f>"0126A452"</f>
        <v>0126A452</v>
      </c>
      <c r="H18058" s="1" t="str">
        <f>"석산지 15L2"</f>
        <v>석산지 15L2</v>
      </c>
      <c r="I18058" s="1" t="s">
        <v>15</v>
      </c>
      <c r="J18058" s="1" t="str">
        <f>"90/90"</f>
        <v>90/90</v>
      </c>
      <c r="K18058" s="1" t="str">
        <f>"2026-07-29 14:20:06"</f>
        <v>2026-07-29 14:20:06</v>
      </c>
      <c r="L18058" s="1" t="str">
        <f>"2023-08-23 10:00:49"</f>
        <v>2023-08-23 10:00:49</v>
      </c>
      <c r="M18058" s="1" t="s">
        <v>4</v>
      </c>
      <c r="N18058" s="1" t="s">
        <v>38</v>
      </c>
      <c r="O18058" s="1" t="s">
        <v>46</v>
      </c>
    </row>
    <row r="18059" spans="2:15" x14ac:dyDescent="0.3">
      <c r="B18059" s="1" t="s">
        <v>13</v>
      </c>
      <c r="C18059" s="1" t="s">
        <v>16</v>
      </c>
      <c r="D18059" s="1" t="str">
        <f>"0126A4835S"</f>
        <v>0126A4835S</v>
      </c>
      <c r="E18059" s="1" t="s">
        <v>10</v>
      </c>
      <c r="F18059" s="1" t="str">
        <f>"fde1:103:4:56cf:0:0:0:2"</f>
        <v>fde1:103:4:56cf:0:0:0:2</v>
      </c>
      <c r="G18059" s="1" t="str">
        <f>"0126A483"</f>
        <v>0126A483</v>
      </c>
      <c r="H18059" s="1" t="str">
        <f>"석산지 16L3"</f>
        <v>석산지 16L3</v>
      </c>
      <c r="I18059" s="1" t="s">
        <v>15</v>
      </c>
      <c r="J18059" s="1" t="str">
        <f>"46/46"</f>
        <v>46/46</v>
      </c>
      <c r="K18059" s="1" t="str">
        <f>"2026-07-29 14:20:06"</f>
        <v>2026-07-29 14:20:06</v>
      </c>
      <c r="L18059" s="1" t="str">
        <f>"2023-08-04 11:24:57"</f>
        <v>2023-08-04 11:24:57</v>
      </c>
      <c r="M18059" s="1" t="s">
        <v>4</v>
      </c>
      <c r="N18059" s="1" t="s">
        <v>38</v>
      </c>
      <c r="O18059" s="1" t="s">
        <v>46</v>
      </c>
    </row>
    <row r="18060" spans="2:15" x14ac:dyDescent="0.3">
      <c r="B18060" s="1" t="s">
        <v>13</v>
      </c>
      <c r="C18060" s="1" t="str">
        <f>"2차"</f>
        <v>2차</v>
      </c>
      <c r="D18060" s="1" t="str">
        <f>"0126A54129"</f>
        <v>0126A54129</v>
      </c>
      <c r="E18060" s="1" t="s">
        <v>10</v>
      </c>
      <c r="F18060" s="1" t="str">
        <f>"10.11.9.42"</f>
        <v>10.11.9.42</v>
      </c>
      <c r="G18060" s="1" t="str">
        <f>"0126A541"</f>
        <v>0126A541</v>
      </c>
      <c r="H18060" s="1" t="str">
        <f>"석산지 12L1"</f>
        <v>석산지 12L1</v>
      </c>
      <c r="I18060" s="1" t="s">
        <v>8</v>
      </c>
      <c r="J18060" s="1" t="str">
        <f>"1/1"</f>
        <v>1/1</v>
      </c>
      <c r="K18060" s="1" t="str">
        <f>"2026-07-29 13:18:01"</f>
        <v>2026-07-29 13:18:01</v>
      </c>
      <c r="L18060" s="1" t="str">
        <f>"2017-06-21 15:30:38"</f>
        <v>2017-06-21 15:30:38</v>
      </c>
      <c r="M18060" s="1" t="s">
        <v>2</v>
      </c>
      <c r="N18060" s="1" t="s">
        <v>38</v>
      </c>
      <c r="O18060" s="1" t="s">
        <v>46</v>
      </c>
    </row>
    <row r="18061" spans="2:15" x14ac:dyDescent="0.3">
      <c r="B18061" s="1" t="s">
        <v>13</v>
      </c>
      <c r="C18061" s="1" t="str">
        <f>"2차"</f>
        <v>2차</v>
      </c>
      <c r="D18061" s="1" t="str">
        <f>"0126A55629"</f>
        <v>0126A55629</v>
      </c>
      <c r="E18061" s="1" t="s">
        <v>10</v>
      </c>
      <c r="F18061" s="1" t="str">
        <f>"10.11.9.58"</f>
        <v>10.11.9.58</v>
      </c>
      <c r="G18061" s="1" t="str">
        <f>"0126A556"</f>
        <v>0126A556</v>
      </c>
      <c r="H18061" s="1" t="str">
        <f>"석산지 14"</f>
        <v>석산지 14</v>
      </c>
      <c r="I18061" s="1" t="s">
        <v>8</v>
      </c>
      <c r="J18061" s="1" t="str">
        <f>"3/3"</f>
        <v>3/3</v>
      </c>
      <c r="K18061" s="1" t="str">
        <f>"2026-07-29 13:18:01"</f>
        <v>2026-07-29 13:18:01</v>
      </c>
      <c r="L18061" s="1" t="str">
        <f>"2017-06-21 16:16:24"</f>
        <v>2017-06-21 16:16:24</v>
      </c>
      <c r="M18061" s="1" t="s">
        <v>2</v>
      </c>
      <c r="N18061" s="1" t="s">
        <v>38</v>
      </c>
      <c r="O18061" s="1" t="s">
        <v>46</v>
      </c>
    </row>
    <row r="18062" spans="2:15" x14ac:dyDescent="0.3">
      <c r="B18062" s="1" t="s">
        <v>13</v>
      </c>
      <c r="C18062" s="1" t="str">
        <f>"4차"</f>
        <v>4차</v>
      </c>
      <c r="D18062" s="1" t="str">
        <f>"0126A58129"</f>
        <v>0126A58129</v>
      </c>
      <c r="E18062" s="1" t="s">
        <v>10</v>
      </c>
      <c r="F18062" s="1" t="str">
        <f>"10.11.44.74"</f>
        <v>10.11.44.74</v>
      </c>
      <c r="G18062" s="1" t="str">
        <f>"0126A581"</f>
        <v>0126A581</v>
      </c>
      <c r="H18062" s="1" t="str">
        <f>"석산지 18"</f>
        <v>석산지 18</v>
      </c>
      <c r="I18062" s="1" t="s">
        <v>8</v>
      </c>
      <c r="J18062" s="1" t="str">
        <f>"78/81"</f>
        <v>78/81</v>
      </c>
      <c r="K18062" s="1" t="str">
        <f>"2026-07-29 13:18:01"</f>
        <v>2026-07-29 13:18:01</v>
      </c>
      <c r="L18062" s="1" t="str">
        <f>"2017-07-24 15:21:03"</f>
        <v>2017-07-24 15:21:03</v>
      </c>
      <c r="M18062" s="1" t="s">
        <v>2</v>
      </c>
      <c r="N18062" s="1" t="s">
        <v>38</v>
      </c>
      <c r="O18062" s="1" t="s">
        <v>46</v>
      </c>
    </row>
    <row r="18063" spans="2:15" x14ac:dyDescent="0.3">
      <c r="B18063" s="1" t="s">
        <v>13</v>
      </c>
      <c r="C18063" s="1" t="str">
        <f>"5-1차"</f>
        <v>5-1차</v>
      </c>
      <c r="D18063" s="1" t="str">
        <f>"0126A6115M"</f>
        <v>0126A6115M</v>
      </c>
      <c r="E18063" s="1" t="s">
        <v>10</v>
      </c>
      <c r="F18063" s="1" t="str">
        <f>"fde2:104:0:c8:0:0:0:2"</f>
        <v>fde2:104:0:c8:0:0:0:2</v>
      </c>
      <c r="G18063" s="1" t="str">
        <f>"0126A611"</f>
        <v>0126A611</v>
      </c>
      <c r="H18063" s="1" t="str">
        <f>"석산지 8"</f>
        <v>석산지 8</v>
      </c>
      <c r="I18063" s="1" t="s">
        <v>15</v>
      </c>
      <c r="J18063" s="1" t="str">
        <f>"3/4"</f>
        <v>3/4</v>
      </c>
      <c r="K18063" s="1" t="str">
        <f>"2026-07-29 14:20:26"</f>
        <v>2026-07-29 14:20:26</v>
      </c>
      <c r="L18063" s="1" t="str">
        <f>"2023-01-10 13:39:33"</f>
        <v>2023-01-10 13:39:33</v>
      </c>
      <c r="M18063" s="1" t="s">
        <v>42</v>
      </c>
      <c r="N18063" s="1" t="s">
        <v>38</v>
      </c>
      <c r="O18063" s="1" t="s">
        <v>46</v>
      </c>
    </row>
    <row r="18064" spans="2:15" x14ac:dyDescent="0.3">
      <c r="B18064" s="1" t="s">
        <v>13</v>
      </c>
      <c r="C18064" s="1" t="str">
        <f>"2차"</f>
        <v>2차</v>
      </c>
      <c r="D18064" s="1" t="str">
        <f>"0126A64229"</f>
        <v>0126A64229</v>
      </c>
      <c r="E18064" s="1" t="s">
        <v>10</v>
      </c>
      <c r="F18064" s="1" t="str">
        <f>"10.11.2.98"</f>
        <v>10.11.2.98</v>
      </c>
      <c r="G18064" s="1" t="str">
        <f>"0126A642"</f>
        <v>0126A642</v>
      </c>
      <c r="H18064" s="1" t="str">
        <f>"석산지 13R2"</f>
        <v>석산지 13R2</v>
      </c>
      <c r="I18064" s="1" t="s">
        <v>8</v>
      </c>
      <c r="J18064" s="1" t="str">
        <f>"7/7"</f>
        <v>7/7</v>
      </c>
      <c r="K18064" s="1" t="str">
        <f>"2026-07-29 13:18:01"</f>
        <v>2026-07-29 13:18:01</v>
      </c>
      <c r="L18064" s="1" t="str">
        <f>"2017-07-14 12:35:26"</f>
        <v>2017-07-14 12:35:26</v>
      </c>
      <c r="M18064" s="1" t="s">
        <v>2</v>
      </c>
      <c r="N18064" s="1" t="s">
        <v>38</v>
      </c>
      <c r="O18064" s="1" t="s">
        <v>46</v>
      </c>
    </row>
    <row r="18065" spans="2:15" x14ac:dyDescent="0.3">
      <c r="B18065" s="1" t="s">
        <v>13</v>
      </c>
      <c r="C18065" s="1" t="str">
        <f>"2차"</f>
        <v>2차</v>
      </c>
      <c r="D18065" s="1" t="str">
        <f>"0126A64320"</f>
        <v>0126A64320</v>
      </c>
      <c r="E18065" s="1" t="s">
        <v>10</v>
      </c>
      <c r="F18065" s="1" t="str">
        <f>"10.11.2.91"</f>
        <v>10.11.2.91</v>
      </c>
      <c r="G18065" s="1" t="str">
        <f>"0126A643"</f>
        <v>0126A643</v>
      </c>
      <c r="H18065" s="1" t="str">
        <f>"석산지 12"</f>
        <v>석산지 12</v>
      </c>
      <c r="I18065" s="1" t="s">
        <v>8</v>
      </c>
      <c r="J18065" s="1" t="str">
        <f>"2/2"</f>
        <v>2/2</v>
      </c>
      <c r="K18065" s="1" t="str">
        <f>"2026-07-29 13:18:01"</f>
        <v>2026-07-29 13:18:01</v>
      </c>
      <c r="L18065" s="1" t="str">
        <f>"2017-06-27 16:01:18"</f>
        <v>2017-06-27 16:01:18</v>
      </c>
      <c r="M18065" s="1" t="s">
        <v>2</v>
      </c>
      <c r="N18065" s="1" t="s">
        <v>38</v>
      </c>
      <c r="O18065" s="1" t="s">
        <v>46</v>
      </c>
    </row>
    <row r="18066" spans="2:15" x14ac:dyDescent="0.3">
      <c r="B18066" s="1" t="s">
        <v>13</v>
      </c>
      <c r="C18066" s="1" t="str">
        <f>"5-2차"</f>
        <v>5-2차</v>
      </c>
      <c r="D18066" s="1" t="str">
        <f>"0126A7135M"</f>
        <v>0126A7135M</v>
      </c>
      <c r="E18066" s="1" t="s">
        <v>10</v>
      </c>
      <c r="F18066" s="1" t="str">
        <f>"fde1:103:4:920f:0:0:0:2"</f>
        <v>fde1:103:4:920f:0:0:0:2</v>
      </c>
      <c r="G18066" s="1" t="str">
        <f>"0126A713"</f>
        <v>0126A713</v>
      </c>
      <c r="H18066" s="1" t="str">
        <f>"석산지 7R4L1"</f>
        <v>석산지 7R4L1</v>
      </c>
      <c r="I18066" s="1" t="s">
        <v>15</v>
      </c>
      <c r="J18066" s="1" t="str">
        <f>"66/66"</f>
        <v>66/66</v>
      </c>
      <c r="K18066" s="1" t="str">
        <f>"2026-07-29 14:20:06"</f>
        <v>2026-07-29 14:20:06</v>
      </c>
      <c r="L18066" s="1" t="str">
        <f>"2024-01-12 11:33:44"</f>
        <v>2024-01-12 11:33:44</v>
      </c>
      <c r="M18066" s="1" t="s">
        <v>4</v>
      </c>
      <c r="N18066" s="1" t="s">
        <v>38</v>
      </c>
      <c r="O18066" s="1" t="s">
        <v>46</v>
      </c>
    </row>
    <row r="18067" spans="2:15" x14ac:dyDescent="0.3">
      <c r="B18067" s="1" t="s">
        <v>13</v>
      </c>
      <c r="C18067" s="1" t="str">
        <f>"5-2차"</f>
        <v>5-2차</v>
      </c>
      <c r="D18067" s="1" t="str">
        <f>"0126A7415M"</f>
        <v>0126A7415M</v>
      </c>
      <c r="E18067" s="1" t="s">
        <v>10</v>
      </c>
      <c r="F18067" s="1" t="str">
        <f>"fde1:103:4:5670:0:0:0:2"</f>
        <v>fde1:103:4:5670:0:0:0:2</v>
      </c>
      <c r="G18067" s="1" t="str">
        <f>"0126A741"</f>
        <v>0126A741</v>
      </c>
      <c r="H18067" s="1" t="str">
        <f>"석산지 12R3"</f>
        <v>석산지 12R3</v>
      </c>
      <c r="I18067" s="1" t="s">
        <v>15</v>
      </c>
      <c r="J18067" s="1" t="str">
        <f>"34/34"</f>
        <v>34/34</v>
      </c>
      <c r="K18067" s="1" t="str">
        <f>"2026-07-29 14:20:26"</f>
        <v>2026-07-29 14:20:26</v>
      </c>
      <c r="L18067" s="1" t="str">
        <f>"2023-08-23 10:15:32"</f>
        <v>2023-08-23 10:15:32</v>
      </c>
      <c r="M18067" s="1" t="s">
        <v>4</v>
      </c>
      <c r="N18067" s="1" t="s">
        <v>38</v>
      </c>
      <c r="O18067" s="1" t="s">
        <v>46</v>
      </c>
    </row>
    <row r="18068" spans="2:15" x14ac:dyDescent="0.3">
      <c r="B18068" s="1" t="s">
        <v>13</v>
      </c>
      <c r="C18068" s="1" t="s">
        <v>16</v>
      </c>
      <c r="D18068" s="1" t="str">
        <f>"0126A7715S"</f>
        <v>0126A7715S</v>
      </c>
      <c r="E18068" s="1" t="s">
        <v>10</v>
      </c>
      <c r="F18068" s="1" t="str">
        <f>"fde3:102:1304:310a:0:0:0:2"</f>
        <v>fde3:102:1304:310a:0:0:0:2</v>
      </c>
      <c r="G18068" s="1" t="str">
        <f>"0126A771"</f>
        <v>0126A771</v>
      </c>
      <c r="H18068" s="1" t="str">
        <f>"석산지 13R8"</f>
        <v>석산지 13R8</v>
      </c>
      <c r="I18068" s="1" t="s">
        <v>15</v>
      </c>
      <c r="J18068" s="1" t="str">
        <f>"139/140"</f>
        <v>139/140</v>
      </c>
      <c r="K18068" s="1" t="str">
        <f>"2026-07-29 14:20:20"</f>
        <v>2026-07-29 14:20:20</v>
      </c>
      <c r="L18068" s="1" t="str">
        <f>"2023-08-03 15:51:16"</f>
        <v>2023-08-03 15:51:16</v>
      </c>
      <c r="M18068" s="1" t="s">
        <v>45</v>
      </c>
      <c r="N18068" s="1" t="s">
        <v>38</v>
      </c>
      <c r="O18068" s="1" t="s">
        <v>46</v>
      </c>
    </row>
    <row r="18069" spans="2:15" x14ac:dyDescent="0.3">
      <c r="B18069" s="1" t="s">
        <v>13</v>
      </c>
      <c r="C18069" s="1" t="str">
        <f>"2차"</f>
        <v>2차</v>
      </c>
      <c r="D18069" s="1" t="str">
        <f>"0126A80229"</f>
        <v>0126A80229</v>
      </c>
      <c r="E18069" s="1" t="s">
        <v>10</v>
      </c>
      <c r="F18069" s="1" t="str">
        <f>"10.26.1.250"</f>
        <v>10.26.1.250</v>
      </c>
      <c r="G18069" s="1" t="str">
        <f>"0126A802"</f>
        <v>0126A802</v>
      </c>
      <c r="H18069" s="1" t="str">
        <f>"청량리간 22L3R1L3"</f>
        <v>청량리간 22L3R1L3</v>
      </c>
      <c r="I18069" s="1" t="s">
        <v>8</v>
      </c>
      <c r="J18069" s="1" t="str">
        <f>"57/59"</f>
        <v>57/59</v>
      </c>
      <c r="K18069" s="1" t="str">
        <f>"2026-07-29 13:18:01"</f>
        <v>2026-07-29 13:18:01</v>
      </c>
      <c r="L18069" s="1" t="str">
        <f>"2017-07-19 14:25:25"</f>
        <v>2017-07-19 14:25:25</v>
      </c>
      <c r="M18069" s="1" t="s">
        <v>45</v>
      </c>
      <c r="N18069" s="1" t="s">
        <v>38</v>
      </c>
      <c r="O18069" s="1" t="s">
        <v>46</v>
      </c>
    </row>
    <row r="18070" spans="2:15" x14ac:dyDescent="0.3">
      <c r="B18070" s="1" t="s">
        <v>13</v>
      </c>
      <c r="C18070" s="1" t="s">
        <v>16</v>
      </c>
      <c r="D18070" s="1" t="str">
        <f>"0126A8115S"</f>
        <v>0126A8115S</v>
      </c>
      <c r="E18070" s="1" t="s">
        <v>10</v>
      </c>
      <c r="F18070" s="1" t="str">
        <f>"fde3:102:1304:3c03:0:0:0:2"</f>
        <v>fde3:102:1304:3c03:0:0:0:2</v>
      </c>
      <c r="G18070" s="1" t="str">
        <f>"0126A811"</f>
        <v>0126A811</v>
      </c>
      <c r="H18070" s="1" t="str">
        <f>"석산지 7R5"</f>
        <v>석산지 7R5</v>
      </c>
      <c r="I18070" s="1" t="s">
        <v>15</v>
      </c>
      <c r="J18070" s="1" t="str">
        <f>"120/121"</f>
        <v>120/121</v>
      </c>
      <c r="K18070" s="1" t="str">
        <f>"2026-07-29 14:20:20"</f>
        <v>2026-07-29 14:20:20</v>
      </c>
      <c r="L18070" s="1" t="str">
        <f>"2023-08-04 10:20:19"</f>
        <v>2023-08-04 10:20:19</v>
      </c>
      <c r="M18070" s="1" t="s">
        <v>45</v>
      </c>
      <c r="N18070" s="1" t="s">
        <v>38</v>
      </c>
      <c r="O18070" s="1" t="s">
        <v>46</v>
      </c>
    </row>
    <row r="18071" spans="2:15" x14ac:dyDescent="0.3">
      <c r="B18071" s="1" t="s">
        <v>13</v>
      </c>
      <c r="C18071" s="1" t="s">
        <v>16</v>
      </c>
      <c r="D18071" s="1" t="str">
        <f>"0126A8915S"</f>
        <v>0126A8915S</v>
      </c>
      <c r="E18071" s="1" t="s">
        <v>10</v>
      </c>
      <c r="F18071" s="1" t="str">
        <f>"fde3:102:1304:310b:0:0:0:2"</f>
        <v>fde3:102:1304:310b:0:0:0:2</v>
      </c>
      <c r="G18071" s="1" t="str">
        <f>"0126A891"</f>
        <v>0126A891</v>
      </c>
      <c r="H18071" s="1" t="str">
        <f>"석산지 21R6R2"</f>
        <v>석산지 21R6R2</v>
      </c>
      <c r="I18071" s="1" t="s">
        <v>15</v>
      </c>
      <c r="J18071" s="1" t="str">
        <f>"66/66"</f>
        <v>66/66</v>
      </c>
      <c r="K18071" s="1" t="str">
        <f>"2026-07-29 14:20:20"</f>
        <v>2026-07-29 14:20:20</v>
      </c>
      <c r="L18071" s="1" t="str">
        <f>"2023-08-03 14:01:17"</f>
        <v>2023-08-03 14:01:17</v>
      </c>
      <c r="M18071" s="1" t="s">
        <v>45</v>
      </c>
      <c r="N18071" s="1" t="s">
        <v>38</v>
      </c>
      <c r="O18071" s="1" t="s">
        <v>46</v>
      </c>
    </row>
    <row r="18072" spans="2:15" x14ac:dyDescent="0.3">
      <c r="B18072" s="1" t="s">
        <v>13</v>
      </c>
      <c r="C18072" s="1" t="s">
        <v>16</v>
      </c>
      <c r="D18072" s="1" t="str">
        <f>"0126A9915S"</f>
        <v>0126A9915S</v>
      </c>
      <c r="E18072" s="1" t="s">
        <v>10</v>
      </c>
      <c r="F18072" s="1" t="str">
        <f>"fde1:103:4:55f3:0:0:0:2"</f>
        <v>fde1:103:4:55f3:0:0:0:2</v>
      </c>
      <c r="G18072" s="1" t="str">
        <f>"0126A991"</f>
        <v>0126A991</v>
      </c>
      <c r="H18072" s="1" t="str">
        <f>"석산지 21R6R3"</f>
        <v>석산지 21R6R3</v>
      </c>
      <c r="I18072" s="1" t="s">
        <v>15</v>
      </c>
      <c r="J18072" s="1" t="str">
        <f>"79/79"</f>
        <v>79/79</v>
      </c>
      <c r="K18072" s="1" t="str">
        <f>"2026-07-29 14:20:01"</f>
        <v>2026-07-29 14:20:01</v>
      </c>
      <c r="L18072" s="1" t="str">
        <f>"2023-08-04 13:25:38"</f>
        <v>2023-08-04 13:25:38</v>
      </c>
      <c r="M18072" s="1" t="s">
        <v>4</v>
      </c>
      <c r="N18072" s="1" t="s">
        <v>38</v>
      </c>
      <c r="O18072" s="1" t="s">
        <v>46</v>
      </c>
    </row>
    <row r="18073" spans="2:15" x14ac:dyDescent="0.3">
      <c r="B18073" s="1" t="s">
        <v>13</v>
      </c>
      <c r="C18073" s="1" t="str">
        <f>"2차"</f>
        <v>2차</v>
      </c>
      <c r="D18073" s="1" t="str">
        <f>"0126B00329"</f>
        <v>0126B00329</v>
      </c>
      <c r="E18073" s="1" t="s">
        <v>10</v>
      </c>
      <c r="F18073" s="1" t="str">
        <f>"10.26.2.10"</f>
        <v>10.26.2.10</v>
      </c>
      <c r="G18073" s="1" t="str">
        <f>"0126B003"</f>
        <v>0126B003</v>
      </c>
      <c r="H18073" s="1" t="str">
        <f>"청량리간 28L2L4R3"</f>
        <v>청량리간 28L2L4R3</v>
      </c>
      <c r="I18073" s="1" t="s">
        <v>8</v>
      </c>
      <c r="J18073" s="1" t="str">
        <f>"28/30"</f>
        <v>28/30</v>
      </c>
      <c r="K18073" s="1" t="str">
        <f>"2026-07-29 13:18:01"</f>
        <v>2026-07-29 13:18:01</v>
      </c>
      <c r="L18073" s="1" t="str">
        <f>"2017-07-19 14:14:40"</f>
        <v>2017-07-19 14:14:40</v>
      </c>
      <c r="M18073" s="1" t="s">
        <v>45</v>
      </c>
      <c r="N18073" s="1" t="s">
        <v>38</v>
      </c>
      <c r="O18073" s="1" t="s">
        <v>46</v>
      </c>
    </row>
    <row r="18074" spans="2:15" x14ac:dyDescent="0.3">
      <c r="B18074" s="1" t="s">
        <v>13</v>
      </c>
      <c r="C18074" s="1" t="str">
        <f>"5-1차"</f>
        <v>5-1차</v>
      </c>
      <c r="D18074" s="1" t="str">
        <f>"0126B1225S"</f>
        <v>0126B1225S</v>
      </c>
      <c r="E18074" s="1" t="s">
        <v>10</v>
      </c>
      <c r="F18074" s="1" t="str">
        <f>"fde2:104:0:1b2:0:0:0:2"</f>
        <v>fde2:104:0:1b2:0:0:0:2</v>
      </c>
      <c r="G18074" s="1" t="str">
        <f>"0126B122"</f>
        <v>0126B122</v>
      </c>
      <c r="H18074" s="1" t="str">
        <f>"청량리간 28L7"</f>
        <v>청량리간 28L7</v>
      </c>
      <c r="I18074" s="1" t="s">
        <v>15</v>
      </c>
      <c r="J18074" s="1" t="str">
        <f>"95/95"</f>
        <v>95/95</v>
      </c>
      <c r="K18074" s="1" t="str">
        <f>"2026-07-29 14:20:22"</f>
        <v>2026-07-29 14:20:22</v>
      </c>
      <c r="L18074" s="1" t="str">
        <f>"2022-12-01 13:41:10"</f>
        <v>2022-12-01 13:41:10</v>
      </c>
      <c r="M18074" s="1" t="s">
        <v>42</v>
      </c>
      <c r="N18074" s="1" t="s">
        <v>38</v>
      </c>
      <c r="O18074" s="1" t="s">
        <v>46</v>
      </c>
    </row>
    <row r="18075" spans="2:15" x14ac:dyDescent="0.3">
      <c r="B18075" s="1" t="s">
        <v>13</v>
      </c>
      <c r="C18075" s="1" t="s">
        <v>16</v>
      </c>
      <c r="D18075" s="1" t="str">
        <f>"0126B1425S"</f>
        <v>0126B1425S</v>
      </c>
      <c r="E18075" s="1" t="s">
        <v>10</v>
      </c>
      <c r="F18075" s="1" t="str">
        <f>"fde3:102:1304:3c04:0:0:0:2"</f>
        <v>fde3:102:1304:3c04:0:0:0:2</v>
      </c>
      <c r="G18075" s="1" t="str">
        <f>"0126B142"</f>
        <v>0126B142</v>
      </c>
      <c r="H18075" s="1" t="str">
        <f>"청량리간 28L10"</f>
        <v>청량리간 28L10</v>
      </c>
      <c r="I18075" s="1" t="s">
        <v>15</v>
      </c>
      <c r="J18075" s="1" t="str">
        <f>"69/69"</f>
        <v>69/69</v>
      </c>
      <c r="K18075" s="1" t="str">
        <f>"2026-07-29 14:20:19"</f>
        <v>2026-07-29 14:20:19</v>
      </c>
      <c r="L18075" s="1" t="str">
        <f>"2023-08-04 14:08:12"</f>
        <v>2023-08-04 14:08:12</v>
      </c>
      <c r="M18075" s="1" t="s">
        <v>45</v>
      </c>
      <c r="N18075" s="1" t="s">
        <v>38</v>
      </c>
      <c r="O18075" s="1" t="s">
        <v>46</v>
      </c>
    </row>
    <row r="18076" spans="2:15" x14ac:dyDescent="0.3">
      <c r="B18076" s="1" t="s">
        <v>13</v>
      </c>
      <c r="C18076" s="1" t="s">
        <v>16</v>
      </c>
      <c r="D18076" s="1" t="str">
        <f>"0126B1445S"</f>
        <v>0126B1445S</v>
      </c>
      <c r="E18076" s="1" t="s">
        <v>10</v>
      </c>
      <c r="F18076" s="1" t="str">
        <f>"fde3:102:1304:3c04:0:0:0:3"</f>
        <v>fde3:102:1304:3c04:0:0:0:3</v>
      </c>
      <c r="G18076" s="1" t="str">
        <f>"0126B144"</f>
        <v>0126B144</v>
      </c>
      <c r="H18076" s="1" t="str">
        <f>"청량리간 28L9"</f>
        <v>청량리간 28L9</v>
      </c>
      <c r="I18076" s="1" t="s">
        <v>15</v>
      </c>
      <c r="J18076" s="1" t="str">
        <f>"67/67"</f>
        <v>67/67</v>
      </c>
      <c r="K18076" s="1" t="str">
        <f>"2026-07-29 14:20:21"</f>
        <v>2026-07-29 14:20:21</v>
      </c>
      <c r="L18076" s="1" t="str">
        <f>"2023-08-04 13:47:43"</f>
        <v>2023-08-04 13:47:43</v>
      </c>
      <c r="M18076" s="1" t="s">
        <v>45</v>
      </c>
      <c r="N18076" s="1" t="s">
        <v>38</v>
      </c>
      <c r="O18076" s="1" t="s">
        <v>46</v>
      </c>
    </row>
    <row r="18077" spans="2:15" x14ac:dyDescent="0.3">
      <c r="B18077" s="1" t="s">
        <v>13</v>
      </c>
      <c r="C18077" s="1" t="s">
        <v>16</v>
      </c>
      <c r="D18077" s="1" t="str">
        <f>"0126B2025S"</f>
        <v>0126B2025S</v>
      </c>
      <c r="E18077" s="1" t="s">
        <v>10</v>
      </c>
      <c r="F18077" s="1" t="str">
        <f>"fde3:102:1304:3c05:0:0:0:2"</f>
        <v>fde3:102:1304:3c05:0:0:0:2</v>
      </c>
      <c r="G18077" s="1" t="str">
        <f>"0126B202"</f>
        <v>0126B202</v>
      </c>
      <c r="H18077" s="1" t="str">
        <f>"청량리간 28L4"</f>
        <v>청량리간 28L4</v>
      </c>
      <c r="I18077" s="1" t="s">
        <v>15</v>
      </c>
      <c r="J18077" s="1" t="str">
        <f>"46/46"</f>
        <v>46/46</v>
      </c>
      <c r="K18077" s="1" t="str">
        <f>"2026-07-29 14:20:21"</f>
        <v>2026-07-29 14:20:21</v>
      </c>
      <c r="L18077" s="1" t="str">
        <f>"2023-08-08 10:14:46"</f>
        <v>2023-08-08 10:14:46</v>
      </c>
      <c r="M18077" s="1" t="s">
        <v>45</v>
      </c>
      <c r="N18077" s="1" t="s">
        <v>38</v>
      </c>
      <c r="O18077" s="1" t="s">
        <v>46</v>
      </c>
    </row>
    <row r="18078" spans="2:15" x14ac:dyDescent="0.3">
      <c r="B18078" s="1" t="s">
        <v>13</v>
      </c>
      <c r="C18078" s="1" t="str">
        <f>"5-2차"</f>
        <v>5-2차</v>
      </c>
      <c r="D18078" s="1" t="str">
        <f>"0126B2515S"</f>
        <v>0126B2515S</v>
      </c>
      <c r="E18078" s="1" t="s">
        <v>10</v>
      </c>
      <c r="F18078" s="1" t="str">
        <f>"fde1:103:4:568f:0:0:0:2"</f>
        <v>fde1:103:4:568f:0:0:0:2</v>
      </c>
      <c r="G18078" s="1" t="str">
        <f>"0126B251"</f>
        <v>0126B251</v>
      </c>
      <c r="H18078" s="1" t="str">
        <f>"청량리간 28L10R2"</f>
        <v>청량리간 28L10R2</v>
      </c>
      <c r="I18078" s="1" t="s">
        <v>15</v>
      </c>
      <c r="J18078" s="1" t="str">
        <f>"57/57"</f>
        <v>57/57</v>
      </c>
      <c r="K18078" s="1" t="str">
        <f>"2026-07-29 14:20:22"</f>
        <v>2026-07-29 14:20:22</v>
      </c>
      <c r="L18078" s="1" t="str">
        <f>"2023-08-23 10:33:24"</f>
        <v>2023-08-23 10:33:24</v>
      </c>
      <c r="M18078" s="1" t="s">
        <v>4</v>
      </c>
      <c r="N18078" s="1" t="s">
        <v>38</v>
      </c>
      <c r="O18078" s="1" t="s">
        <v>46</v>
      </c>
    </row>
    <row r="18079" spans="2:15" x14ac:dyDescent="0.3">
      <c r="B18079" s="1" t="s">
        <v>13</v>
      </c>
      <c r="C18079" s="1" t="s">
        <v>16</v>
      </c>
      <c r="D18079" s="1" t="str">
        <f>"0126B26141"</f>
        <v>0126B26141</v>
      </c>
      <c r="E18079" s="1" t="s">
        <v>10</v>
      </c>
      <c r="F18079" s="1" t="str">
        <f>"10.14.10.130"</f>
        <v>10.14.10.130</v>
      </c>
      <c r="G18079" s="1" t="str">
        <f>"0126B261"</f>
        <v>0126B261</v>
      </c>
      <c r="H18079" s="1" t="str">
        <f>"신설지 12L6R2"</f>
        <v>신설지 12L6R2</v>
      </c>
      <c r="I18079" s="1" t="s">
        <v>17</v>
      </c>
      <c r="J18079" s="1" t="str">
        <f>"47/52"</f>
        <v>47/52</v>
      </c>
      <c r="K18079" s="1" t="str">
        <f>"2026-07-29 13:18:02"</f>
        <v>2026-07-29 13:18:02</v>
      </c>
      <c r="L18079" s="1" t="str">
        <f>"2022-11-10 15:29:14"</f>
        <v>2022-11-10 15:29:14</v>
      </c>
      <c r="M18079" s="1" t="s">
        <v>3</v>
      </c>
      <c r="N18079" s="1" t="s">
        <v>38</v>
      </c>
      <c r="O18079" s="1" t="s">
        <v>46</v>
      </c>
    </row>
    <row r="18080" spans="2:15" x14ac:dyDescent="0.3">
      <c r="B18080" s="1" t="s">
        <v>13</v>
      </c>
      <c r="C18080" s="1" t="str">
        <f>"2차"</f>
        <v>2차</v>
      </c>
      <c r="D18080" s="1" t="str">
        <f>"0126B30120"</f>
        <v>0126B30120</v>
      </c>
      <c r="E18080" s="1" t="s">
        <v>10</v>
      </c>
      <c r="F18080" s="1" t="str">
        <f>"10.26.2.82"</f>
        <v>10.26.2.82</v>
      </c>
      <c r="G18080" s="1" t="str">
        <f>"0126B301"</f>
        <v>0126B301</v>
      </c>
      <c r="H18080" s="1" t="str">
        <f>"청량리간 33L2R1H1"</f>
        <v>청량리간 33L2R1H1</v>
      </c>
      <c r="I18080" s="1" t="s">
        <v>8</v>
      </c>
      <c r="J18080" s="1" t="str">
        <f>"25/25"</f>
        <v>25/25</v>
      </c>
      <c r="K18080" s="1" t="str">
        <f>"2026-07-29 13:18:01"</f>
        <v>2026-07-29 13:18:01</v>
      </c>
      <c r="L18080" s="1" t="str">
        <f>"2017-07-19 13:58:25"</f>
        <v>2017-07-19 13:58:25</v>
      </c>
      <c r="M18080" s="1" t="s">
        <v>45</v>
      </c>
      <c r="N18080" s="1" t="s">
        <v>38</v>
      </c>
      <c r="O18080" s="1" t="s">
        <v>46</v>
      </c>
    </row>
    <row r="18081" spans="2:15" x14ac:dyDescent="0.3">
      <c r="B18081" s="1" t="s">
        <v>13</v>
      </c>
      <c r="C18081" s="1" t="str">
        <f>"2차"</f>
        <v>2차</v>
      </c>
      <c r="D18081" s="1" t="str">
        <f>"0126B30429"</f>
        <v>0126B30429</v>
      </c>
      <c r="E18081" s="1" t="s">
        <v>10</v>
      </c>
      <c r="F18081" s="1" t="str">
        <f>"10.11.6.210"</f>
        <v>10.11.6.210</v>
      </c>
      <c r="G18081" s="1" t="str">
        <f>"0126B304"</f>
        <v>0126B304</v>
      </c>
      <c r="H18081" s="1" t="str">
        <f>"청량리간 33L2"</f>
        <v>청량리간 33L2</v>
      </c>
      <c r="I18081" s="1" t="s">
        <v>8</v>
      </c>
      <c r="J18081" s="1" t="str">
        <f>"4/4"</f>
        <v>4/4</v>
      </c>
      <c r="K18081" s="1" t="str">
        <f>"2026-07-29 13:18:01"</f>
        <v>2026-07-29 13:18:01</v>
      </c>
      <c r="L18081" s="1" t="str">
        <f>"2017-06-21 17:41:02"</f>
        <v>2017-06-21 17:41:02</v>
      </c>
      <c r="M18081" s="1" t="s">
        <v>2</v>
      </c>
      <c r="N18081" s="1" t="s">
        <v>38</v>
      </c>
      <c r="O18081" s="1" t="s">
        <v>46</v>
      </c>
    </row>
    <row r="18082" spans="2:15" x14ac:dyDescent="0.3">
      <c r="B18082" s="1" t="s">
        <v>13</v>
      </c>
      <c r="C18082" s="1" t="s">
        <v>16</v>
      </c>
      <c r="D18082" s="1" t="str">
        <f>"0126B3155S"</f>
        <v>0126B3155S</v>
      </c>
      <c r="E18082" s="1" t="s">
        <v>10</v>
      </c>
      <c r="F18082" s="1" t="str">
        <f>"fde3:102:1304:3c06:0:0:0:2"</f>
        <v>fde3:102:1304:3c06:0:0:0:2</v>
      </c>
      <c r="G18082" s="1" t="str">
        <f>"0126B315"</f>
        <v>0126B315</v>
      </c>
      <c r="H18082" s="1" t="str">
        <f>"청량리간 33L3"</f>
        <v>청량리간 33L3</v>
      </c>
      <c r="I18082" s="1" t="s">
        <v>15</v>
      </c>
      <c r="J18082" s="1" t="str">
        <f>"96/96"</f>
        <v>96/96</v>
      </c>
      <c r="K18082" s="1" t="str">
        <f>"2026-07-29 14:20:00"</f>
        <v>2026-07-29 14:20:00</v>
      </c>
      <c r="L18082" s="1" t="str">
        <f>"2023-08-07 10:36:56"</f>
        <v>2023-08-07 10:36:56</v>
      </c>
      <c r="M18082" s="1" t="s">
        <v>45</v>
      </c>
      <c r="N18082" s="1" t="s">
        <v>38</v>
      </c>
      <c r="O18082" s="1" t="s">
        <v>46</v>
      </c>
    </row>
    <row r="18083" spans="2:15" x14ac:dyDescent="0.3">
      <c r="B18083" s="1" t="s">
        <v>13</v>
      </c>
      <c r="C18083" s="1" t="s">
        <v>16</v>
      </c>
      <c r="D18083" s="1" t="str">
        <f>"0126B32141"</f>
        <v>0126B32141</v>
      </c>
      <c r="E18083" s="1" t="s">
        <v>10</v>
      </c>
      <c r="F18083" s="1" t="str">
        <f>"10.14.1.130"</f>
        <v>10.14.1.130</v>
      </c>
      <c r="G18083" s="1" t="str">
        <f>"0126B321"</f>
        <v>0126B321</v>
      </c>
      <c r="H18083" s="1" t="str">
        <f>"청량리간 33L4"</f>
        <v>청량리간 33L4</v>
      </c>
      <c r="I18083" s="1" t="s">
        <v>17</v>
      </c>
      <c r="J18083" s="1" t="str">
        <f>"89/89"</f>
        <v>89/89</v>
      </c>
      <c r="K18083" s="1" t="str">
        <f>"2026-07-29 13:18:02"</f>
        <v>2026-07-29 13:18:02</v>
      </c>
      <c r="L18083" s="1" t="str">
        <f>"2022-11-16 08:48:42"</f>
        <v>2022-11-16 08:48:42</v>
      </c>
      <c r="M18083" s="1" t="s">
        <v>3</v>
      </c>
      <c r="N18083" s="1" t="s">
        <v>38</v>
      </c>
      <c r="O18083" s="1" t="s">
        <v>46</v>
      </c>
    </row>
    <row r="18084" spans="2:15" x14ac:dyDescent="0.3">
      <c r="B18084" s="1" t="s">
        <v>13</v>
      </c>
      <c r="C18084" s="1" t="s">
        <v>16</v>
      </c>
      <c r="D18084" s="1" t="str">
        <f>"0126B32241"</f>
        <v>0126B32241</v>
      </c>
      <c r="E18084" s="1" t="s">
        <v>10</v>
      </c>
      <c r="F18084" s="1" t="str">
        <f>"10.14.6.202"</f>
        <v>10.14.6.202</v>
      </c>
      <c r="G18084" s="1" t="str">
        <f>"0126B322"</f>
        <v>0126B322</v>
      </c>
      <c r="H18084" s="1" t="str">
        <f>"청량리간 33L5"</f>
        <v>청량리간 33L5</v>
      </c>
      <c r="I18084" s="1" t="s">
        <v>17</v>
      </c>
      <c r="J18084" s="1" t="str">
        <f>"49/49"</f>
        <v>49/49</v>
      </c>
      <c r="K18084" s="1" t="str">
        <f>"2026-07-29 13:18:03"</f>
        <v>2026-07-29 13:18:03</v>
      </c>
      <c r="L18084" s="1" t="str">
        <f>"2022-11-16 10:01:48"</f>
        <v>2022-11-16 10:01:48</v>
      </c>
      <c r="M18084" s="1" t="s">
        <v>3</v>
      </c>
      <c r="N18084" s="1" t="s">
        <v>38</v>
      </c>
      <c r="O18084" s="1" t="s">
        <v>46</v>
      </c>
    </row>
    <row r="18085" spans="2:15" x14ac:dyDescent="0.3">
      <c r="B18085" s="1" t="s">
        <v>13</v>
      </c>
      <c r="C18085" s="1" t="s">
        <v>16</v>
      </c>
      <c r="D18085" s="1" t="str">
        <f>"0126B33141"</f>
        <v>0126B33141</v>
      </c>
      <c r="E18085" s="1" t="s">
        <v>10</v>
      </c>
      <c r="F18085" s="1" t="str">
        <f>"10.14.3.129"</f>
        <v>10.14.3.129</v>
      </c>
      <c r="G18085" s="1" t="str">
        <f>"0126B331"</f>
        <v>0126B331</v>
      </c>
      <c r="H18085" s="1" t="str">
        <f>"청량리간 33L6"</f>
        <v>청량리간 33L6</v>
      </c>
      <c r="I18085" s="1" t="s">
        <v>17</v>
      </c>
      <c r="J18085" s="1" t="str">
        <f>"42/55"</f>
        <v>42/55</v>
      </c>
      <c r="K18085" s="1" t="str">
        <f>"2026-07-29 13:18:02"</f>
        <v>2026-07-29 13:18:02</v>
      </c>
      <c r="L18085" s="1" t="str">
        <f>"2022-11-16 11:40:27"</f>
        <v>2022-11-16 11:40:27</v>
      </c>
      <c r="M18085" s="1" t="s">
        <v>3</v>
      </c>
      <c r="N18085" s="1" t="s">
        <v>38</v>
      </c>
      <c r="O18085" s="1" t="s">
        <v>46</v>
      </c>
    </row>
    <row r="18086" spans="2:15" x14ac:dyDescent="0.3">
      <c r="B18086" s="1" t="s">
        <v>13</v>
      </c>
      <c r="C18086" s="1" t="s">
        <v>16</v>
      </c>
      <c r="D18086" s="1" t="str">
        <f>"0126B3535S"</f>
        <v>0126B3535S</v>
      </c>
      <c r="E18086" s="1" t="s">
        <v>10</v>
      </c>
      <c r="F18086" s="1" t="str">
        <f>"fde3:102:1304:3c07:0:0:0:2"</f>
        <v>fde3:102:1304:3c07:0:0:0:2</v>
      </c>
      <c r="G18086" s="1" t="str">
        <f>"0126B353"</f>
        <v>0126B353</v>
      </c>
      <c r="H18086" s="1" t="str">
        <f>"청량리간 28L10R3"</f>
        <v>청량리간 28L10R3</v>
      </c>
      <c r="I18086" s="1" t="s">
        <v>15</v>
      </c>
      <c r="J18086" s="1" t="str">
        <f>"46/46"</f>
        <v>46/46</v>
      </c>
      <c r="K18086" s="1" t="str">
        <f>"2026-07-29 14:20:21"</f>
        <v>2026-07-29 14:20:21</v>
      </c>
      <c r="L18086" s="1" t="str">
        <f>"2023-08-04 14:49:51"</f>
        <v>2023-08-04 14:49:51</v>
      </c>
      <c r="M18086" s="1" t="s">
        <v>45</v>
      </c>
      <c r="N18086" s="1" t="s">
        <v>38</v>
      </c>
      <c r="O18086" s="1" t="s">
        <v>46</v>
      </c>
    </row>
    <row r="18087" spans="2:15" x14ac:dyDescent="0.3">
      <c r="B18087" s="1" t="s">
        <v>13</v>
      </c>
      <c r="C18087" s="1" t="s">
        <v>16</v>
      </c>
      <c r="D18087" s="1" t="str">
        <f>"0126B36241"</f>
        <v>0126B36241</v>
      </c>
      <c r="E18087" s="1" t="s">
        <v>10</v>
      </c>
      <c r="F18087" s="1" t="str">
        <f>"10.14.15.129"</f>
        <v>10.14.15.129</v>
      </c>
      <c r="G18087" s="1" t="str">
        <f>"0126B362"</f>
        <v>0126B362</v>
      </c>
      <c r="H18087" s="1" t="str">
        <f>"신설지 12L6R1"</f>
        <v>신설지 12L6R1</v>
      </c>
      <c r="I18087" s="1" t="s">
        <v>17</v>
      </c>
      <c r="J18087" s="1" t="str">
        <f>"22/36"</f>
        <v>22/36</v>
      </c>
      <c r="K18087" s="1" t="str">
        <f>"2026-07-29 13:18:02"</f>
        <v>2026-07-29 13:18:02</v>
      </c>
      <c r="L18087" s="1" t="str">
        <f>"2022-11-14 14:04:12"</f>
        <v>2022-11-14 14:04:12</v>
      </c>
      <c r="M18087" s="1" t="s">
        <v>3</v>
      </c>
      <c r="N18087" s="1" t="s">
        <v>38</v>
      </c>
      <c r="O18087" s="1" t="s">
        <v>46</v>
      </c>
    </row>
    <row r="18088" spans="2:15" x14ac:dyDescent="0.3">
      <c r="B18088" s="1" t="s">
        <v>13</v>
      </c>
      <c r="C18088" s="1" t="s">
        <v>16</v>
      </c>
      <c r="D18088" s="1" t="str">
        <f>"0126B37241"</f>
        <v>0126B37241</v>
      </c>
      <c r="E18088" s="1" t="s">
        <v>10</v>
      </c>
      <c r="F18088" s="1" t="str">
        <f>"10.14.12.202"</f>
        <v>10.14.12.202</v>
      </c>
      <c r="G18088" s="1" t="str">
        <f>"0126B372"</f>
        <v>0126B372</v>
      </c>
      <c r="H18088" s="1" t="str">
        <f>"신설지 12L6"</f>
        <v>신설지 12L6</v>
      </c>
      <c r="I18088" s="1" t="s">
        <v>17</v>
      </c>
      <c r="J18088" s="1" t="str">
        <f>"17/23"</f>
        <v>17/23</v>
      </c>
      <c r="K18088" s="1" t="str">
        <f>"2026-07-29 13:18:02"</f>
        <v>2026-07-29 13:18:02</v>
      </c>
      <c r="L18088" s="1" t="str">
        <f>"2022-11-15 10:19:17"</f>
        <v>2022-11-15 10:19:17</v>
      </c>
      <c r="M18088" s="1" t="s">
        <v>3</v>
      </c>
      <c r="N18088" s="1" t="s">
        <v>38</v>
      </c>
      <c r="O18088" s="1" t="s">
        <v>46</v>
      </c>
    </row>
    <row r="18089" spans="2:15" x14ac:dyDescent="0.3">
      <c r="B18089" s="1" t="s">
        <v>13</v>
      </c>
      <c r="C18089" s="1" t="s">
        <v>16</v>
      </c>
      <c r="D18089" s="1" t="str">
        <f>"0126B43141"</f>
        <v>0126B43141</v>
      </c>
      <c r="E18089" s="1" t="s">
        <v>10</v>
      </c>
      <c r="F18089" s="1" t="str">
        <f>"10.14.12.130"</f>
        <v>10.14.12.130</v>
      </c>
      <c r="G18089" s="1" t="str">
        <f>"0126B431"</f>
        <v>0126B431</v>
      </c>
      <c r="H18089" s="1" t="str">
        <f>"청량리간 33L5R1"</f>
        <v>청량리간 33L5R1</v>
      </c>
      <c r="I18089" s="1" t="s">
        <v>17</v>
      </c>
      <c r="J18089" s="1" t="str">
        <f>"58/67"</f>
        <v>58/67</v>
      </c>
      <c r="K18089" s="1" t="str">
        <f>"2026-07-29 13:18:02"</f>
        <v>2026-07-29 13:18:02</v>
      </c>
      <c r="L18089" s="1" t="str">
        <f>"2022-11-10 16:43:13"</f>
        <v>2022-11-10 16:43:13</v>
      </c>
      <c r="M18089" s="1" t="s">
        <v>3</v>
      </c>
      <c r="N18089" s="1" t="s">
        <v>38</v>
      </c>
      <c r="O18089" s="1" t="s">
        <v>46</v>
      </c>
    </row>
    <row r="18090" spans="2:15" x14ac:dyDescent="0.3">
      <c r="B18090" s="1" t="s">
        <v>13</v>
      </c>
      <c r="C18090" s="1" t="s">
        <v>16</v>
      </c>
      <c r="D18090" s="1" t="str">
        <f>"0126B4445S"</f>
        <v>0126B4445S</v>
      </c>
      <c r="E18090" s="1" t="s">
        <v>10</v>
      </c>
      <c r="F18090" s="1" t="str">
        <f>"fde3:102:1304:3c08:0:0:0:2"</f>
        <v>fde3:102:1304:3c08:0:0:0:2</v>
      </c>
      <c r="G18090" s="1" t="str">
        <f>"0126B444"</f>
        <v>0126B444</v>
      </c>
      <c r="H18090" s="1" t="str">
        <f>"신설지 5L4R1"</f>
        <v>신설지 5L4R1</v>
      </c>
      <c r="I18090" s="1" t="s">
        <v>15</v>
      </c>
      <c r="J18090" s="1" t="str">
        <f>"93/98"</f>
        <v>93/98</v>
      </c>
      <c r="K18090" s="1" t="str">
        <f>"2026-07-29 14:20:26"</f>
        <v>2026-07-29 14:20:26</v>
      </c>
      <c r="L18090" s="1" t="str">
        <f>"2023-08-04 15:29:49"</f>
        <v>2023-08-04 15:29:49</v>
      </c>
      <c r="M18090" s="1" t="s">
        <v>45</v>
      </c>
      <c r="N18090" s="1" t="s">
        <v>38</v>
      </c>
      <c r="O18090" s="1" t="s">
        <v>46</v>
      </c>
    </row>
    <row r="18091" spans="2:15" x14ac:dyDescent="0.3">
      <c r="B18091" s="1" t="s">
        <v>13</v>
      </c>
      <c r="C18091" s="1" t="s">
        <v>16</v>
      </c>
      <c r="D18091" s="1" t="str">
        <f>"0126B45341"</f>
        <v>0126B45341</v>
      </c>
      <c r="E18091" s="1" t="s">
        <v>10</v>
      </c>
      <c r="F18091" s="1" t="str">
        <f>"10.14.1.131"</f>
        <v>10.14.1.131</v>
      </c>
      <c r="G18091" s="1" t="str">
        <f>"0126B453"</f>
        <v>0126B453</v>
      </c>
      <c r="H18091" s="1" t="str">
        <f>"신설지 5L4R3"</f>
        <v>신설지 5L4R3</v>
      </c>
      <c r="I18091" s="1" t="s">
        <v>17</v>
      </c>
      <c r="J18091" s="1" t="str">
        <f>"106/115"</f>
        <v>106/115</v>
      </c>
      <c r="K18091" s="1" t="str">
        <f>"2026-07-29 13:18:02"</f>
        <v>2026-07-29 13:18:02</v>
      </c>
      <c r="L18091" s="1" t="str">
        <f>"2022-11-15 11:31:30"</f>
        <v>2022-11-15 11:31:30</v>
      </c>
      <c r="M18091" s="1" t="s">
        <v>3</v>
      </c>
      <c r="N18091" s="1" t="s">
        <v>38</v>
      </c>
      <c r="O18091" s="1" t="s">
        <v>46</v>
      </c>
    </row>
    <row r="18092" spans="2:15" x14ac:dyDescent="0.3">
      <c r="B18092" s="1" t="s">
        <v>13</v>
      </c>
      <c r="C18092" s="1" t="s">
        <v>16</v>
      </c>
      <c r="D18092" s="1" t="str">
        <f>"0126B4715S"</f>
        <v>0126B4715S</v>
      </c>
      <c r="E18092" s="1" t="s">
        <v>10</v>
      </c>
      <c r="F18092" s="1" t="str">
        <f>"fde3:102:1304:3407:0:0:0:2"</f>
        <v>fde3:102:1304:3407:0:0:0:2</v>
      </c>
      <c r="G18092" s="1" t="str">
        <f>"0126B471"</f>
        <v>0126B471</v>
      </c>
      <c r="H18092" s="1" t="str">
        <f>"신설지 12L4"</f>
        <v>신설지 12L4</v>
      </c>
      <c r="I18092" s="1" t="s">
        <v>15</v>
      </c>
      <c r="J18092" s="1" t="str">
        <f>"67/69"</f>
        <v>67/69</v>
      </c>
      <c r="K18092" s="1" t="str">
        <f>"2026-07-29 14:20:22"</f>
        <v>2026-07-29 14:20:22</v>
      </c>
      <c r="L18092" s="1" t="str">
        <f>"2023-08-04 13:27:38"</f>
        <v>2023-08-04 13:27:38</v>
      </c>
      <c r="M18092" s="1" t="s">
        <v>45</v>
      </c>
      <c r="N18092" s="1" t="s">
        <v>38</v>
      </c>
      <c r="O18092" s="1" t="s">
        <v>46</v>
      </c>
    </row>
    <row r="18093" spans="2:15" x14ac:dyDescent="0.3">
      <c r="B18093" s="1" t="s">
        <v>13</v>
      </c>
      <c r="C18093" s="1" t="s">
        <v>16</v>
      </c>
      <c r="D18093" s="1" t="str">
        <f>"0126B4745S"</f>
        <v>0126B4745S</v>
      </c>
      <c r="E18093" s="1" t="s">
        <v>10</v>
      </c>
      <c r="F18093" s="1" t="str">
        <f>"fde3:102:1304:3407:0:0:0:3"</f>
        <v>fde3:102:1304:3407:0:0:0:3</v>
      </c>
      <c r="G18093" s="1" t="str">
        <f>"0126B474"</f>
        <v>0126B474</v>
      </c>
      <c r="H18093" s="1" t="str">
        <f>"신설지 12L6L2"</f>
        <v>신설지 12L6L2</v>
      </c>
      <c r="I18093" s="1" t="s">
        <v>15</v>
      </c>
      <c r="J18093" s="1" t="str">
        <f>"77/77"</f>
        <v>77/77</v>
      </c>
      <c r="K18093" s="1" t="str">
        <f>"2026-07-29 14:20:06"</f>
        <v>2026-07-29 14:20:06</v>
      </c>
      <c r="L18093" s="1" t="str">
        <f>"2023-08-04 10:49:13"</f>
        <v>2023-08-04 10:49:13</v>
      </c>
      <c r="M18093" s="1" t="s">
        <v>45</v>
      </c>
      <c r="N18093" s="1" t="s">
        <v>38</v>
      </c>
      <c r="O18093" s="1" t="s">
        <v>46</v>
      </c>
    </row>
    <row r="18094" spans="2:15" x14ac:dyDescent="0.3">
      <c r="B18094" s="1" t="s">
        <v>13</v>
      </c>
      <c r="C18094" s="1" t="s">
        <v>16</v>
      </c>
      <c r="D18094" s="1" t="str">
        <f>"0126B54241"</f>
        <v>0126B54241</v>
      </c>
      <c r="E18094" s="1" t="s">
        <v>10</v>
      </c>
      <c r="F18094" s="1" t="str">
        <f>"10.14.3.131"</f>
        <v>10.14.3.131</v>
      </c>
      <c r="G18094" s="1" t="str">
        <f>"0126B542"</f>
        <v>0126B542</v>
      </c>
      <c r="H18094" s="1" t="str">
        <f>"신설지 5L3"</f>
        <v>신설지 5L3</v>
      </c>
      <c r="I18094" s="1" t="s">
        <v>17</v>
      </c>
      <c r="J18094" s="1" t="str">
        <f>"19/35"</f>
        <v>19/35</v>
      </c>
      <c r="K18094" s="1" t="str">
        <f>"2026-07-29 13:18:02"</f>
        <v>2026-07-29 13:18:02</v>
      </c>
      <c r="L18094" s="1" t="str">
        <f>"2022-11-15 13:26:04"</f>
        <v>2022-11-15 13:26:04</v>
      </c>
      <c r="M18094" s="1" t="s">
        <v>3</v>
      </c>
      <c r="N18094" s="1" t="s">
        <v>38</v>
      </c>
      <c r="O18094" s="1" t="s">
        <v>46</v>
      </c>
    </row>
    <row r="18095" spans="2:15" x14ac:dyDescent="0.3">
      <c r="B18095" s="1" t="s">
        <v>13</v>
      </c>
      <c r="C18095" s="1" t="str">
        <f>"5-2차"</f>
        <v>5-2차</v>
      </c>
      <c r="D18095" s="1" t="str">
        <f>"0126B5715S"</f>
        <v>0126B5715S</v>
      </c>
      <c r="E18095" s="1" t="s">
        <v>10</v>
      </c>
      <c r="F18095" s="1" t="str">
        <f>"fde1:103:4:5605:0:0:0:2"</f>
        <v>fde1:103:4:5605:0:0:0:2</v>
      </c>
      <c r="G18095" s="1" t="str">
        <f>"0126B571"</f>
        <v>0126B571</v>
      </c>
      <c r="H18095" s="1" t="str">
        <f>"신설지 12L6L3"</f>
        <v>신설지 12L6L3</v>
      </c>
      <c r="I18095" s="1" t="s">
        <v>15</v>
      </c>
      <c r="J18095" s="1" t="str">
        <f>"86/86"</f>
        <v>86/86</v>
      </c>
      <c r="K18095" s="1" t="str">
        <f>"2026-07-29 14:20:22"</f>
        <v>2026-07-29 14:20:22</v>
      </c>
      <c r="L18095" s="1" t="str">
        <f>"2023-08-23 10:50:44"</f>
        <v>2023-08-23 10:50:44</v>
      </c>
      <c r="M18095" s="1" t="s">
        <v>4</v>
      </c>
      <c r="N18095" s="1" t="s">
        <v>38</v>
      </c>
      <c r="O18095" s="1" t="s">
        <v>46</v>
      </c>
    </row>
    <row r="18096" spans="2:15" x14ac:dyDescent="0.3">
      <c r="B18096" s="1" t="s">
        <v>13</v>
      </c>
      <c r="C18096" s="1" t="str">
        <f>"4차"</f>
        <v>4차</v>
      </c>
      <c r="D18096" s="1" t="str">
        <f>"0126B60A39"</f>
        <v>0126B60A39</v>
      </c>
      <c r="E18096" s="1" t="s">
        <v>10</v>
      </c>
      <c r="F18096" s="1" t="str">
        <f>"10.12.134.24"</f>
        <v>10.12.134.24</v>
      </c>
      <c r="G18096" s="1" t="str">
        <f>"0126B60A"</f>
        <v>0126B60A</v>
      </c>
      <c r="H18096" s="1" t="str">
        <f>"왕산로 R3-2"</f>
        <v>왕산로 R3-2</v>
      </c>
      <c r="I18096" s="1" t="s">
        <v>17</v>
      </c>
      <c r="J18096" s="1" t="str">
        <f>"5/6"</f>
        <v>5/6</v>
      </c>
      <c r="K18096" s="1" t="str">
        <f>"2026-07-29 13:18:02"</f>
        <v>2026-07-29 13:18:02</v>
      </c>
      <c r="L18096" s="1" t="str">
        <f>"2018-06-16 10:15:55"</f>
        <v>2018-06-16 10:15:55</v>
      </c>
      <c r="M18096" s="1" t="s">
        <v>0</v>
      </c>
      <c r="N18096" s="1" t="s">
        <v>38</v>
      </c>
      <c r="O18096" s="1" t="s">
        <v>46</v>
      </c>
    </row>
    <row r="18097" spans="2:15" x14ac:dyDescent="0.3">
      <c r="B18097" s="1" t="s">
        <v>13</v>
      </c>
      <c r="C18097" s="1" t="str">
        <f>"2차"</f>
        <v>2차</v>
      </c>
      <c r="D18097" s="1" t="str">
        <f>"0126B61929"</f>
        <v>0126B61929</v>
      </c>
      <c r="E18097" s="1" t="s">
        <v>10</v>
      </c>
      <c r="F18097" s="1" t="str">
        <f>"10.11.4.34"</f>
        <v>10.11.4.34</v>
      </c>
      <c r="G18097" s="1" t="str">
        <f>"0126B619"</f>
        <v>0126B619</v>
      </c>
      <c r="H18097" s="1" t="str">
        <f>"신설지 2"</f>
        <v>신설지 2</v>
      </c>
      <c r="I18097" s="1" t="s">
        <v>8</v>
      </c>
      <c r="J18097" s="1" t="str">
        <f>"16/16"</f>
        <v>16/16</v>
      </c>
      <c r="K18097" s="1" t="str">
        <f>"2026-07-29 13:18:01"</f>
        <v>2026-07-29 13:18:01</v>
      </c>
      <c r="L18097" s="1" t="str">
        <f>"2017-06-24 09:36:05"</f>
        <v>2017-06-24 09:36:05</v>
      </c>
      <c r="M18097" s="1" t="s">
        <v>2</v>
      </c>
      <c r="N18097" s="1" t="s">
        <v>38</v>
      </c>
      <c r="O18097" s="1" t="s">
        <v>46</v>
      </c>
    </row>
    <row r="18098" spans="2:15" x14ac:dyDescent="0.3">
      <c r="B18098" s="1" t="s">
        <v>13</v>
      </c>
      <c r="C18098" s="1" t="s">
        <v>16</v>
      </c>
      <c r="D18098" s="1" t="str">
        <f>"0126B6315S"</f>
        <v>0126B6315S</v>
      </c>
      <c r="E18098" s="1" t="s">
        <v>10</v>
      </c>
      <c r="F18098" s="1" t="str">
        <f>"fde3:102:1304:3c09:0:0:0:2"</f>
        <v>fde3:102:1304:3c09:0:0:0:2</v>
      </c>
      <c r="G18098" s="1" t="str">
        <f>"0126B631"</f>
        <v>0126B631</v>
      </c>
      <c r="H18098" s="1" t="str">
        <f>"신설지 5L1"</f>
        <v>신설지 5L1</v>
      </c>
      <c r="I18098" s="1" t="s">
        <v>15</v>
      </c>
      <c r="J18098" s="1" t="str">
        <f>"129/129"</f>
        <v>129/129</v>
      </c>
      <c r="K18098" s="1" t="str">
        <f>"2026-07-29 14:20:22"</f>
        <v>2026-07-29 14:20:22</v>
      </c>
      <c r="L18098" s="1" t="str">
        <f>"2023-08-04 14:27:54"</f>
        <v>2023-08-04 14:27:54</v>
      </c>
      <c r="M18098" s="1" t="s">
        <v>45</v>
      </c>
      <c r="N18098" s="1" t="s">
        <v>38</v>
      </c>
      <c r="O18098" s="1" t="s">
        <v>46</v>
      </c>
    </row>
    <row r="18099" spans="2:15" x14ac:dyDescent="0.3">
      <c r="B18099" s="1" t="s">
        <v>13</v>
      </c>
      <c r="C18099" s="1" t="str">
        <f>"5-2차"</f>
        <v>5-2차</v>
      </c>
      <c r="D18099" s="1" t="str">
        <f>"0126B6445S"</f>
        <v>0126B6445S</v>
      </c>
      <c r="E18099" s="1" t="s">
        <v>10</v>
      </c>
      <c r="F18099" s="1" t="str">
        <f>"fde1:103:4:558c:0:0:0:2"</f>
        <v>fde1:103:4:558c:0:0:0:2</v>
      </c>
      <c r="G18099" s="1" t="str">
        <f>"0126B644"</f>
        <v>0126B644</v>
      </c>
      <c r="H18099" s="1" t="str">
        <f>"신설지 5L1R2"</f>
        <v>신설지 5L1R2</v>
      </c>
      <c r="I18099" s="1" t="s">
        <v>15</v>
      </c>
      <c r="J18099" s="1" t="str">
        <f>"31/31"</f>
        <v>31/31</v>
      </c>
      <c r="K18099" s="1" t="str">
        <f>"2026-07-29 14:20:00"</f>
        <v>2026-07-29 14:20:00</v>
      </c>
      <c r="L18099" s="1" t="str">
        <f>"2023-08-23 10:52:32"</f>
        <v>2023-08-23 10:52:32</v>
      </c>
      <c r="M18099" s="1" t="s">
        <v>4</v>
      </c>
      <c r="N18099" s="1" t="s">
        <v>38</v>
      </c>
      <c r="O18099" s="1" t="s">
        <v>46</v>
      </c>
    </row>
    <row r="18100" spans="2:15" x14ac:dyDescent="0.3">
      <c r="B18100" s="1" t="s">
        <v>13</v>
      </c>
      <c r="C18100" s="1" t="str">
        <f>"5-2차"</f>
        <v>5-2차</v>
      </c>
      <c r="D18100" s="1" t="str">
        <f>"0126B6745M"</f>
        <v>0126B6745M</v>
      </c>
      <c r="E18100" s="1" t="s">
        <v>10</v>
      </c>
      <c r="F18100" s="1" t="str">
        <f>"fde1:103:4:5641:0:0:0:2"</f>
        <v>fde1:103:4:5641:0:0:0:2</v>
      </c>
      <c r="G18100" s="1" t="str">
        <f>"0126B674"</f>
        <v>0126B674</v>
      </c>
      <c r="H18100" s="1" t="str">
        <f>"신설지 12L6L4"</f>
        <v>신설지 12L6L4</v>
      </c>
      <c r="I18100" s="1" t="s">
        <v>15</v>
      </c>
      <c r="J18100" s="1" t="str">
        <f>"41/41"</f>
        <v>41/41</v>
      </c>
      <c r="K18100" s="1" t="str">
        <f>"2026-07-29 14:20:23"</f>
        <v>2026-07-29 14:20:23</v>
      </c>
      <c r="L18100" s="1" t="str">
        <f>"2023-08-23 10:53:05"</f>
        <v>2023-08-23 10:53:05</v>
      </c>
      <c r="M18100" s="1" t="s">
        <v>4</v>
      </c>
      <c r="N18100" s="1" t="s">
        <v>38</v>
      </c>
      <c r="O18100" s="1" t="s">
        <v>46</v>
      </c>
    </row>
    <row r="18101" spans="2:15" x14ac:dyDescent="0.3">
      <c r="B18101" s="1" t="s">
        <v>13</v>
      </c>
      <c r="C18101" s="1" t="s">
        <v>16</v>
      </c>
      <c r="D18101" s="1" t="str">
        <f>"0126B7615S"</f>
        <v>0126B7615S</v>
      </c>
      <c r="E18101" s="1" t="s">
        <v>10</v>
      </c>
      <c r="F18101" s="1" t="str">
        <f>"fde3:102:1304:3407:0:0:0:4"</f>
        <v>fde3:102:1304:3407:0:0:0:4</v>
      </c>
      <c r="G18101" s="1" t="str">
        <f>"0126B761"</f>
        <v>0126B761</v>
      </c>
      <c r="H18101" s="1" t="str">
        <f>"신설지 9"</f>
        <v>신설지 9</v>
      </c>
      <c r="I18101" s="1" t="s">
        <v>15</v>
      </c>
      <c r="J18101" s="1" t="str">
        <f>"123/123"</f>
        <v>123/123</v>
      </c>
      <c r="K18101" s="1" t="str">
        <f>"2026-07-29 14:20:23"</f>
        <v>2026-07-29 14:20:23</v>
      </c>
      <c r="L18101" s="1" t="str">
        <f>"2023-08-04 09:27:30"</f>
        <v>2023-08-04 09:27:30</v>
      </c>
      <c r="M18101" s="1" t="s">
        <v>45</v>
      </c>
      <c r="N18101" s="1" t="s">
        <v>38</v>
      </c>
      <c r="O18101" s="1" t="s">
        <v>46</v>
      </c>
    </row>
    <row r="18102" spans="2:15" x14ac:dyDescent="0.3">
      <c r="B18102" s="1" t="s">
        <v>13</v>
      </c>
      <c r="C18102" s="1" t="str">
        <f>"4차"</f>
        <v>4차</v>
      </c>
      <c r="D18102" s="1" t="str">
        <f>"0126B81139"</f>
        <v>0126B81139</v>
      </c>
      <c r="E18102" s="1" t="s">
        <v>10</v>
      </c>
      <c r="F18102" s="1" t="str">
        <f>"10.12.132.219"</f>
        <v>10.12.132.219</v>
      </c>
      <c r="G18102" s="1" t="str">
        <f>"0126B811"</f>
        <v>0126B811</v>
      </c>
      <c r="H18102" s="1" t="str">
        <f>"왕산로 R1"</f>
        <v>왕산로 R1</v>
      </c>
      <c r="I18102" s="1" t="s">
        <v>17</v>
      </c>
      <c r="J18102" s="1" t="str">
        <f>"3/3"</f>
        <v>3/3</v>
      </c>
      <c r="K18102" s="1" t="str">
        <f>"2026-07-29 13:18:02"</f>
        <v>2026-07-29 13:18:02</v>
      </c>
      <c r="L18102" s="1" t="str">
        <f>"2018-06-16 10:01:56"</f>
        <v>2018-06-16 10:01:56</v>
      </c>
      <c r="M18102" s="1" t="s">
        <v>0</v>
      </c>
      <c r="N18102" s="1" t="s">
        <v>38</v>
      </c>
      <c r="O18102" s="1" t="s">
        <v>46</v>
      </c>
    </row>
    <row r="18103" spans="2:15" x14ac:dyDescent="0.3">
      <c r="B18103" s="1" t="s">
        <v>13</v>
      </c>
      <c r="C18103" s="1" t="str">
        <f>"4차"</f>
        <v>4차</v>
      </c>
      <c r="D18103" s="1" t="str">
        <f>"0126B81339"</f>
        <v>0126B81339</v>
      </c>
      <c r="E18103" s="1" t="s">
        <v>10</v>
      </c>
      <c r="F18103" s="1" t="str">
        <f>"10.12.134.7"</f>
        <v>10.12.134.7</v>
      </c>
      <c r="G18103" s="1" t="str">
        <f>"0126B813"</f>
        <v>0126B813</v>
      </c>
      <c r="H18103" s="1" t="str">
        <f>"왕산로 R3-1"</f>
        <v>왕산로 R3-1</v>
      </c>
      <c r="I18103" s="1" t="s">
        <v>17</v>
      </c>
      <c r="J18103" s="1" t="str">
        <f>"6/6"</f>
        <v>6/6</v>
      </c>
      <c r="K18103" s="1" t="str">
        <f>"2026-07-29 13:18:01"</f>
        <v>2026-07-29 13:18:01</v>
      </c>
      <c r="L18103" s="1" t="str">
        <f>"2018-06-18 12:02:44"</f>
        <v>2018-06-18 12:02:44</v>
      </c>
      <c r="M18103" s="1" t="s">
        <v>0</v>
      </c>
      <c r="N18103" s="1" t="s">
        <v>38</v>
      </c>
      <c r="O18103" s="1" t="s">
        <v>46</v>
      </c>
    </row>
    <row r="18104" spans="2:15" x14ac:dyDescent="0.3">
      <c r="B18104" s="1" t="s">
        <v>13</v>
      </c>
      <c r="C18104" s="1" t="s">
        <v>16</v>
      </c>
      <c r="D18104" s="1" t="str">
        <f>"0126B8315S"</f>
        <v>0126B8315S</v>
      </c>
      <c r="E18104" s="1" t="s">
        <v>10</v>
      </c>
      <c r="F18104" s="1" t="str">
        <f>"fde3:102:1304:3408:0:0:0:2"</f>
        <v>fde3:102:1304:3408:0:0:0:2</v>
      </c>
      <c r="G18104" s="1" t="str">
        <f>"0126B831"</f>
        <v>0126B831</v>
      </c>
      <c r="H18104" s="1" t="str">
        <f>"신설지 7D2"</f>
        <v>신설지 7D2</v>
      </c>
      <c r="I18104" s="1" t="s">
        <v>15</v>
      </c>
      <c r="J18104" s="1" t="str">
        <f>"43/43"</f>
        <v>43/43</v>
      </c>
      <c r="K18104" s="1" t="str">
        <f>"2026-07-29 14:20:23"</f>
        <v>2026-07-29 14:20:23</v>
      </c>
      <c r="L18104" s="1" t="str">
        <f>"2023-08-08 09:51:44"</f>
        <v>2023-08-08 09:51:44</v>
      </c>
      <c r="M18104" s="1" t="s">
        <v>45</v>
      </c>
      <c r="N18104" s="1" t="s">
        <v>38</v>
      </c>
      <c r="O18104" s="1" t="s">
        <v>46</v>
      </c>
    </row>
    <row r="18105" spans="2:15" x14ac:dyDescent="0.3">
      <c r="B18105" s="1" t="s">
        <v>13</v>
      </c>
      <c r="C18105" s="1" t="s">
        <v>16</v>
      </c>
      <c r="D18105" s="1" t="str">
        <f>"0126B85141"</f>
        <v>0126B85141</v>
      </c>
      <c r="E18105" s="1" t="s">
        <v>10</v>
      </c>
      <c r="F18105" s="1" t="str">
        <f>"10.14.5.131"</f>
        <v>10.14.5.131</v>
      </c>
      <c r="G18105" s="1" t="str">
        <f>"0126B851"</f>
        <v>0126B851</v>
      </c>
      <c r="H18105" s="1" t="str">
        <f>"신설지 7R1"</f>
        <v>신설지 7R1</v>
      </c>
      <c r="I18105" s="1" t="s">
        <v>17</v>
      </c>
      <c r="J18105" s="1" t="str">
        <f>"31/36"</f>
        <v>31/36</v>
      </c>
      <c r="K18105" s="1" t="str">
        <f>"2026-07-29 13:18:02"</f>
        <v>2026-07-29 13:18:02</v>
      </c>
      <c r="L18105" s="1" t="str">
        <f>"2022-11-15 14:42:34"</f>
        <v>2022-11-15 14:42:34</v>
      </c>
      <c r="M18105" s="1" t="s">
        <v>3</v>
      </c>
      <c r="N18105" s="1" t="s">
        <v>38</v>
      </c>
      <c r="O18105" s="1" t="s">
        <v>46</v>
      </c>
    </row>
    <row r="18106" spans="2:15" x14ac:dyDescent="0.3">
      <c r="B18106" s="1" t="s">
        <v>13</v>
      </c>
      <c r="C18106" s="1" t="s">
        <v>16</v>
      </c>
      <c r="D18106" s="1" t="str">
        <f>"0126B86241"</f>
        <v>0126B86241</v>
      </c>
      <c r="E18106" s="1" t="s">
        <v>10</v>
      </c>
      <c r="F18106" s="1" t="str">
        <f>"10.14.5.130"</f>
        <v>10.14.5.130</v>
      </c>
      <c r="G18106" s="1" t="str">
        <f>"0126B862"</f>
        <v>0126B862</v>
      </c>
      <c r="H18106" s="1" t="str">
        <f>"신설지 7R2H1"</f>
        <v>신설지 7R2H1</v>
      </c>
      <c r="I18106" s="1" t="s">
        <v>17</v>
      </c>
      <c r="J18106" s="1" t="str">
        <f>"13/17"</f>
        <v>13/17</v>
      </c>
      <c r="K18106" s="1" t="str">
        <f>"2026-07-29 13:18:02"</f>
        <v>2026-07-29 13:18:02</v>
      </c>
      <c r="L18106" s="1" t="str">
        <f>"2022-11-16 15:17:04"</f>
        <v>2022-11-16 15:17:04</v>
      </c>
      <c r="M18106" s="1" t="s">
        <v>3</v>
      </c>
      <c r="N18106" s="1" t="s">
        <v>38</v>
      </c>
      <c r="O18106" s="1" t="s">
        <v>46</v>
      </c>
    </row>
    <row r="18107" spans="2:15" x14ac:dyDescent="0.3">
      <c r="B18107" s="1" t="s">
        <v>13</v>
      </c>
      <c r="C18107" s="1" t="str">
        <f>"4차"</f>
        <v>4차</v>
      </c>
      <c r="D18107" s="1" t="str">
        <f>"0126B95129"</f>
        <v>0126B95129</v>
      </c>
      <c r="E18107" s="1" t="s">
        <v>10</v>
      </c>
      <c r="F18107" s="1" t="str">
        <f>"10.89.65.58"</f>
        <v>10.89.65.58</v>
      </c>
      <c r="G18107" s="1" t="str">
        <f>"0126B951"</f>
        <v>0126B951</v>
      </c>
      <c r="H18107" s="1" t="str">
        <f>"신설지 7R5"</f>
        <v>신설지 7R5</v>
      </c>
      <c r="I18107" s="1" t="s">
        <v>8</v>
      </c>
      <c r="J18107" s="1" t="str">
        <f>"20/21"</f>
        <v>20/21</v>
      </c>
      <c r="K18107" s="1" t="str">
        <f>"2026-07-29 13:18:01"</f>
        <v>2026-07-29 13:18:01</v>
      </c>
      <c r="L18107" s="1" t="str">
        <f>"2017-07-19 13:41:41"</f>
        <v>2017-07-19 13:41:41</v>
      </c>
      <c r="M18107" s="1" t="s">
        <v>45</v>
      </c>
      <c r="N18107" s="1" t="s">
        <v>38</v>
      </c>
      <c r="O18107" s="1" t="s">
        <v>46</v>
      </c>
    </row>
    <row r="18108" spans="2:15" x14ac:dyDescent="0.3">
      <c r="B18108" s="1" t="s">
        <v>13</v>
      </c>
      <c r="C18108" s="1" t="str">
        <f>"2차"</f>
        <v>2차</v>
      </c>
      <c r="D18108" s="1" t="str">
        <f>"0126C00121"</f>
        <v>0126C00121</v>
      </c>
      <c r="E18108" s="1" t="s">
        <v>10</v>
      </c>
      <c r="F18108" s="1" t="str">
        <f>"10.89.66.2"</f>
        <v>10.89.66.2</v>
      </c>
      <c r="G18108" s="1" t="str">
        <f>"0126C001"</f>
        <v>0126C001</v>
      </c>
      <c r="H18108" s="1" t="str">
        <f>"숭인지 31R7"</f>
        <v>숭인지 31R7</v>
      </c>
      <c r="I18108" s="1" t="s">
        <v>8</v>
      </c>
      <c r="J18108" s="1" t="str">
        <f>"12/12"</f>
        <v>12/12</v>
      </c>
      <c r="K18108" s="1" t="str">
        <f>"2026-07-29 13:18:01"</f>
        <v>2026-07-29 13:18:01</v>
      </c>
      <c r="L18108" s="1" t="str">
        <f>"2017-06-29 09:33:22"</f>
        <v>2017-06-29 09:33:22</v>
      </c>
      <c r="M18108" s="1" t="s">
        <v>45</v>
      </c>
      <c r="N18108" s="1" t="s">
        <v>38</v>
      </c>
      <c r="O18108" s="1" t="s">
        <v>46</v>
      </c>
    </row>
    <row r="18109" spans="2:15" x14ac:dyDescent="0.3">
      <c r="B18109" s="1" t="s">
        <v>13</v>
      </c>
      <c r="C18109" s="1" t="s">
        <v>16</v>
      </c>
      <c r="D18109" s="1" t="str">
        <f>"0126C0115S"</f>
        <v>0126C0115S</v>
      </c>
      <c r="E18109" s="1" t="s">
        <v>10</v>
      </c>
      <c r="F18109" s="1" t="str">
        <f>"fde1:103:4:56c3:0:0:0:2"</f>
        <v>fde1:103:4:56c3:0:0:0:2</v>
      </c>
      <c r="G18109" s="1" t="str">
        <f>"0126C011"</f>
        <v>0126C011</v>
      </c>
      <c r="H18109" s="1" t="str">
        <f>"숭인지 31R7R1"</f>
        <v>숭인지 31R7R1</v>
      </c>
      <c r="I18109" s="1" t="s">
        <v>15</v>
      </c>
      <c r="J18109" s="1" t="str">
        <f>"73/73"</f>
        <v>73/73</v>
      </c>
      <c r="K18109" s="1" t="str">
        <f>"2026-07-29 08:20:32"</f>
        <v>2026-07-29 08:20:32</v>
      </c>
      <c r="L18109" s="1" t="str">
        <f>"2023-08-04 13:35:04"</f>
        <v>2023-08-04 13:35:04</v>
      </c>
      <c r="M18109" s="1" t="s">
        <v>4</v>
      </c>
      <c r="N18109" s="1" t="s">
        <v>38</v>
      </c>
      <c r="O18109" s="1" t="s">
        <v>46</v>
      </c>
    </row>
    <row r="18110" spans="2:15" x14ac:dyDescent="0.3">
      <c r="B18110" s="1" t="s">
        <v>13</v>
      </c>
      <c r="C18110" s="1" t="str">
        <f>"2차"</f>
        <v>2차</v>
      </c>
      <c r="D18110" s="1" t="str">
        <f>"0126C04329"</f>
        <v>0126C04329</v>
      </c>
      <c r="E18110" s="1" t="s">
        <v>10</v>
      </c>
      <c r="F18110" s="1" t="str">
        <f>"10.11.7.18"</f>
        <v>10.11.7.18</v>
      </c>
      <c r="G18110" s="1" t="str">
        <f>"0126C043"</f>
        <v>0126C043</v>
      </c>
      <c r="H18110" s="1" t="str">
        <f>"청량리간 9L2R1"</f>
        <v>청량리간 9L2R1</v>
      </c>
      <c r="I18110" s="1" t="s">
        <v>8</v>
      </c>
      <c r="J18110" s="1" t="str">
        <f>"1/1"</f>
        <v>1/1</v>
      </c>
      <c r="K18110" s="1" t="str">
        <f>"2026-07-29 13:18:01"</f>
        <v>2026-07-29 13:18:01</v>
      </c>
      <c r="L18110" s="1" t="str">
        <f>"2017-07-17 12:02:24"</f>
        <v>2017-07-17 12:02:24</v>
      </c>
      <c r="M18110" s="1" t="s">
        <v>2</v>
      </c>
      <c r="N18110" s="1" t="s">
        <v>38</v>
      </c>
      <c r="O18110" s="1" t="s">
        <v>46</v>
      </c>
    </row>
    <row r="18111" spans="2:15" x14ac:dyDescent="0.3">
      <c r="B18111" s="1" t="s">
        <v>13</v>
      </c>
      <c r="C18111" s="1" t="s">
        <v>16</v>
      </c>
      <c r="D18111" s="1" t="str">
        <f>"0126C0525S"</f>
        <v>0126C0525S</v>
      </c>
      <c r="E18111" s="1" t="s">
        <v>10</v>
      </c>
      <c r="F18111" s="1" t="str">
        <f>"fde3:102:1304:3409:0:0:0:2"</f>
        <v>fde3:102:1304:3409:0:0:0:2</v>
      </c>
      <c r="G18111" s="1" t="str">
        <f>"0126C052"</f>
        <v>0126C052</v>
      </c>
      <c r="H18111" s="1" t="str">
        <f>"청량리간 9L4"</f>
        <v>청량리간 9L4</v>
      </c>
      <c r="I18111" s="1" t="s">
        <v>15</v>
      </c>
      <c r="J18111" s="1" t="str">
        <f>"63/63"</f>
        <v>63/63</v>
      </c>
      <c r="K18111" s="1" t="str">
        <f>"2026-07-29 14:20:23"</f>
        <v>2026-07-29 14:20:23</v>
      </c>
      <c r="L18111" s="1" t="str">
        <f>"2023-08-03 10:31:50"</f>
        <v>2023-08-03 10:31:50</v>
      </c>
      <c r="M18111" s="1" t="s">
        <v>45</v>
      </c>
      <c r="N18111" s="1" t="s">
        <v>38</v>
      </c>
      <c r="O18111" s="1" t="s">
        <v>46</v>
      </c>
    </row>
    <row r="18112" spans="2:15" x14ac:dyDescent="0.3">
      <c r="B18112" s="1" t="s">
        <v>13</v>
      </c>
      <c r="C18112" s="1" t="s">
        <v>16</v>
      </c>
      <c r="D18112" s="1" t="str">
        <f>"0126C0535S"</f>
        <v>0126C0535S</v>
      </c>
      <c r="E18112" s="1" t="s">
        <v>10</v>
      </c>
      <c r="F18112" s="1" t="str">
        <f>"fde1:103:4:56bc:0:0:0:2"</f>
        <v>fde1:103:4:56bc:0:0:0:2</v>
      </c>
      <c r="G18112" s="1" t="str">
        <f>"0126C053"</f>
        <v>0126C053</v>
      </c>
      <c r="H18112" s="1" t="str">
        <f>"청량리간 9L2R2"</f>
        <v>청량리간 9L2R2</v>
      </c>
      <c r="I18112" s="1" t="s">
        <v>15</v>
      </c>
      <c r="J18112" s="1" t="str">
        <f>"45/45"</f>
        <v>45/45</v>
      </c>
      <c r="K18112" s="1" t="str">
        <f>"2026-07-29 14:20:13"</f>
        <v>2026-07-29 14:20:13</v>
      </c>
      <c r="L18112" s="1" t="str">
        <f>"2023-08-04 14:01:59"</f>
        <v>2023-08-04 14:01:59</v>
      </c>
      <c r="M18112" s="1" t="s">
        <v>4</v>
      </c>
      <c r="N18112" s="1" t="s">
        <v>38</v>
      </c>
      <c r="O18112" s="1" t="s">
        <v>46</v>
      </c>
    </row>
    <row r="18113" spans="2:15" x14ac:dyDescent="0.3">
      <c r="B18113" s="1" t="s">
        <v>13</v>
      </c>
      <c r="C18113" s="1" t="s">
        <v>16</v>
      </c>
      <c r="D18113" s="1" t="str">
        <f>"0126C0725S"</f>
        <v>0126C0725S</v>
      </c>
      <c r="E18113" s="1" t="s">
        <v>10</v>
      </c>
      <c r="F18113" s="1" t="str">
        <f>"fde1:103:4:55ff:0:0:0:2"</f>
        <v>fde1:103:4:55ff:0:0:0:2</v>
      </c>
      <c r="G18113" s="1" t="str">
        <f>"0126C072"</f>
        <v>0126C072</v>
      </c>
      <c r="H18113" s="1" t="str">
        <f>"청량리간 9L7"</f>
        <v>청량리간 9L7</v>
      </c>
      <c r="I18113" s="1" t="s">
        <v>15</v>
      </c>
      <c r="J18113" s="1" t="str">
        <f>"53/53"</f>
        <v>53/53</v>
      </c>
      <c r="K18113" s="1" t="str">
        <f>"2026-07-29 14:20:16"</f>
        <v>2026-07-29 14:20:16</v>
      </c>
      <c r="L18113" s="1" t="str">
        <f>"2023-08-04 14:14:28"</f>
        <v>2023-08-04 14:14:28</v>
      </c>
      <c r="M18113" s="1" t="s">
        <v>4</v>
      </c>
      <c r="N18113" s="1" t="s">
        <v>38</v>
      </c>
      <c r="O18113" s="1" t="s">
        <v>46</v>
      </c>
    </row>
    <row r="18114" spans="2:15" x14ac:dyDescent="0.3">
      <c r="B18114" s="1" t="s">
        <v>13</v>
      </c>
      <c r="C18114" s="1" t="str">
        <f>"5-2차"</f>
        <v>5-2차</v>
      </c>
      <c r="D18114" s="1" t="str">
        <f>"0126C0735M"</f>
        <v>0126C0735M</v>
      </c>
      <c r="E18114" s="1" t="s">
        <v>10</v>
      </c>
      <c r="F18114" s="1" t="str">
        <f>"fde1:103:4:55bf:0:0:0:2"</f>
        <v>fde1:103:4:55bf:0:0:0:2</v>
      </c>
      <c r="G18114" s="1" t="str">
        <f>"0126C073"</f>
        <v>0126C073</v>
      </c>
      <c r="H18114" s="1" t="str">
        <f>"청량리간 9L9"</f>
        <v>청량리간 9L9</v>
      </c>
      <c r="I18114" s="1" t="s">
        <v>15</v>
      </c>
      <c r="J18114" s="1" t="str">
        <f>"52/52"</f>
        <v>52/52</v>
      </c>
      <c r="K18114" s="1" t="str">
        <f>"2026-07-29 14:20:27"</f>
        <v>2026-07-29 14:20:27</v>
      </c>
      <c r="L18114" s="1" t="str">
        <f>"2023-08-23 11:10:35"</f>
        <v>2023-08-23 11:10:35</v>
      </c>
      <c r="M18114" s="1" t="s">
        <v>4</v>
      </c>
      <c r="N18114" s="1" t="s">
        <v>38</v>
      </c>
      <c r="O18114" s="1" t="s">
        <v>46</v>
      </c>
    </row>
    <row r="18115" spans="2:15" x14ac:dyDescent="0.3">
      <c r="B18115" s="1" t="s">
        <v>13</v>
      </c>
      <c r="C18115" s="1" t="s">
        <v>16</v>
      </c>
      <c r="D18115" s="1" t="str">
        <f>"0126C1015S"</f>
        <v>0126C1015S</v>
      </c>
      <c r="E18115" s="1" t="s">
        <v>10</v>
      </c>
      <c r="F18115" s="1" t="str">
        <f>"fde1:103:4:567f:0:0:0:2"</f>
        <v>fde1:103:4:567f:0:0:0:2</v>
      </c>
      <c r="G18115" s="1" t="str">
        <f>"0126C101"</f>
        <v>0126C101</v>
      </c>
      <c r="H18115" s="1" t="str">
        <f>"숭인지 31R6"</f>
        <v>숭인지 31R6</v>
      </c>
      <c r="I18115" s="1" t="s">
        <v>15</v>
      </c>
      <c r="J18115" s="1" t="str">
        <f>"52/53"</f>
        <v>52/53</v>
      </c>
      <c r="K18115" s="1" t="str">
        <f>"2026-07-29 14:20:28"</f>
        <v>2026-07-29 14:20:28</v>
      </c>
      <c r="L18115" s="1" t="str">
        <f>"2023-08-04 14:23:44"</f>
        <v>2023-08-04 14:23:44</v>
      </c>
      <c r="M18115" s="1" t="s">
        <v>4</v>
      </c>
      <c r="N18115" s="1" t="s">
        <v>38</v>
      </c>
      <c r="O18115" s="1" t="s">
        <v>46</v>
      </c>
    </row>
    <row r="18116" spans="2:15" x14ac:dyDescent="0.3">
      <c r="B18116" s="1" t="s">
        <v>13</v>
      </c>
      <c r="C18116" s="1" t="str">
        <f>"4차"</f>
        <v>4차</v>
      </c>
      <c r="D18116" s="1" t="str">
        <f>"0126C13139"</f>
        <v>0126C13139</v>
      </c>
      <c r="E18116" s="1" t="s">
        <v>10</v>
      </c>
      <c r="F18116" s="1" t="str">
        <f>"10.12.130.183"</f>
        <v>10.12.130.183</v>
      </c>
      <c r="G18116" s="1" t="str">
        <f>"0126C131"</f>
        <v>0126C131</v>
      </c>
      <c r="H18116" s="1" t="str">
        <f>"왕산로 L9"</f>
        <v>왕산로 L9</v>
      </c>
      <c r="I18116" s="1" t="s">
        <v>17</v>
      </c>
      <c r="J18116" s="1" t="str">
        <f>"5/5"</f>
        <v>5/5</v>
      </c>
      <c r="K18116" s="1" t="str">
        <f>"2026-07-29 13:18:02"</f>
        <v>2026-07-29 13:18:02</v>
      </c>
      <c r="L18116" s="1" t="str">
        <f>"2018-06-15 09:26:25"</f>
        <v>2018-06-15 09:26:25</v>
      </c>
      <c r="M18116" s="1" t="s">
        <v>0</v>
      </c>
      <c r="N18116" s="1" t="s">
        <v>38</v>
      </c>
      <c r="O18116" s="1" t="s">
        <v>46</v>
      </c>
    </row>
    <row r="18117" spans="2:15" x14ac:dyDescent="0.3">
      <c r="B18117" s="1" t="s">
        <v>13</v>
      </c>
      <c r="C18117" s="1" t="str">
        <f>"4차"</f>
        <v>4차</v>
      </c>
      <c r="D18117" s="1" t="str">
        <f>"0126C14139"</f>
        <v>0126C14139</v>
      </c>
      <c r="E18117" s="1" t="s">
        <v>10</v>
      </c>
      <c r="F18117" s="1" t="str">
        <f>"10.12.133.50"</f>
        <v>10.12.133.50</v>
      </c>
      <c r="G18117" s="1" t="str">
        <f>"0126C141"</f>
        <v>0126C141</v>
      </c>
      <c r="H18117" s="1" t="str">
        <f>"왕산로 R11"</f>
        <v>왕산로 R11</v>
      </c>
      <c r="I18117" s="1" t="s">
        <v>17</v>
      </c>
      <c r="J18117" s="1" t="str">
        <f>"7/7"</f>
        <v>7/7</v>
      </c>
      <c r="K18117" s="1" t="str">
        <f>"2026-07-29 13:18:02"</f>
        <v>2026-07-29 13:18:02</v>
      </c>
      <c r="L18117" s="1" t="str">
        <f>"2018-06-16 10:59:41"</f>
        <v>2018-06-16 10:59:41</v>
      </c>
      <c r="M18117" s="1" t="s">
        <v>0</v>
      </c>
      <c r="N18117" s="1" t="s">
        <v>38</v>
      </c>
      <c r="O18117" s="1" t="s">
        <v>46</v>
      </c>
    </row>
    <row r="18118" spans="2:15" x14ac:dyDescent="0.3">
      <c r="B18118" s="1" t="s">
        <v>13</v>
      </c>
      <c r="C18118" s="1" t="str">
        <f>"4차"</f>
        <v>4차</v>
      </c>
      <c r="D18118" s="1" t="str">
        <f>"0126C14239"</f>
        <v>0126C14239</v>
      </c>
      <c r="E18118" s="1" t="s">
        <v>10</v>
      </c>
      <c r="F18118" s="1" t="str">
        <f>"10.14.15.119"</f>
        <v>10.14.15.119</v>
      </c>
      <c r="G18118" s="1" t="str">
        <f>"0126C142"</f>
        <v>0126C142</v>
      </c>
      <c r="H18118" s="1" t="str">
        <f>"왕산로 L8"</f>
        <v>왕산로 L8</v>
      </c>
      <c r="I18118" s="1" t="s">
        <v>17</v>
      </c>
      <c r="J18118" s="1" t="str">
        <f>"2/2"</f>
        <v>2/2</v>
      </c>
      <c r="K18118" s="1" t="str">
        <f>"2026-07-29 13:18:02"</f>
        <v>2026-07-29 13:18:02</v>
      </c>
      <c r="L18118" s="1" t="str">
        <f>"2018-06-15 09:40:41"</f>
        <v>2018-06-15 09:40:41</v>
      </c>
      <c r="M18118" s="1" t="s">
        <v>3</v>
      </c>
      <c r="N18118" s="1" t="s">
        <v>38</v>
      </c>
      <c r="O18118" s="1" t="s">
        <v>46</v>
      </c>
    </row>
    <row r="18119" spans="2:15" x14ac:dyDescent="0.3">
      <c r="B18119" s="1" t="s">
        <v>13</v>
      </c>
      <c r="C18119" s="1" t="str">
        <f>"3차"</f>
        <v>3차</v>
      </c>
      <c r="D18119" s="1" t="str">
        <f>"0126C14339"</f>
        <v>0126C14339</v>
      </c>
      <c r="E18119" s="1" t="s">
        <v>10</v>
      </c>
      <c r="F18119" s="1" t="str">
        <f>"10.12.132.215"</f>
        <v>10.12.132.215</v>
      </c>
      <c r="G18119" s="1" t="str">
        <f>"0126C143"</f>
        <v>0126C143</v>
      </c>
      <c r="H18119" s="1" t="str">
        <f>"왕산로 R11-1"</f>
        <v>왕산로 R11-1</v>
      </c>
      <c r="I18119" s="1" t="s">
        <v>17</v>
      </c>
      <c r="J18119" s="1" t="str">
        <f>"11/11"</f>
        <v>11/11</v>
      </c>
      <c r="K18119" s="1" t="str">
        <f>"2026-07-29 13:18:02"</f>
        <v>2026-07-29 13:18:02</v>
      </c>
      <c r="L18119" s="1" t="str">
        <f>"2018-06-16 11:10:27"</f>
        <v>2018-06-16 11:10:27</v>
      </c>
      <c r="M18119" s="1" t="s">
        <v>0</v>
      </c>
      <c r="N18119" s="1" t="s">
        <v>38</v>
      </c>
      <c r="O18119" s="1" t="s">
        <v>46</v>
      </c>
    </row>
    <row r="18120" spans="2:15" x14ac:dyDescent="0.3">
      <c r="B18120" s="1" t="s">
        <v>13</v>
      </c>
      <c r="C18120" s="1" t="str">
        <f>"5-2차"</f>
        <v>5-2차</v>
      </c>
      <c r="D18120" s="1" t="str">
        <f>"0126C1825S"</f>
        <v>0126C1825S</v>
      </c>
      <c r="E18120" s="1" t="s">
        <v>10</v>
      </c>
      <c r="F18120" s="1" t="str">
        <f>"fde3:102:1304:3403:0:0:0:2"</f>
        <v>fde3:102:1304:3403:0:0:0:2</v>
      </c>
      <c r="G18120" s="1" t="str">
        <f>"0126C182"</f>
        <v>0126C182</v>
      </c>
      <c r="H18120" s="1" t="str">
        <f>"창신지 8R12"</f>
        <v>창신지 8R12</v>
      </c>
      <c r="I18120" s="1" t="s">
        <v>15</v>
      </c>
      <c r="J18120" s="1" t="str">
        <f>"75/75"</f>
        <v>75/75</v>
      </c>
      <c r="K18120" s="1" t="str">
        <f>"2026-07-29 14:20:23"</f>
        <v>2026-07-29 14:20:23</v>
      </c>
      <c r="L18120" s="1" t="str">
        <f>"2023-06-12 16:55:32"</f>
        <v>2023-06-12 16:55:32</v>
      </c>
      <c r="M18120" s="1" t="s">
        <v>45</v>
      </c>
      <c r="N18120" s="1" t="s">
        <v>38</v>
      </c>
      <c r="O18120" s="1" t="s">
        <v>46</v>
      </c>
    </row>
    <row r="18121" spans="2:15" x14ac:dyDescent="0.3">
      <c r="B18121" s="1" t="s">
        <v>13</v>
      </c>
      <c r="C18121" s="1" t="str">
        <f>"5-2차"</f>
        <v>5-2차</v>
      </c>
      <c r="D18121" s="1" t="str">
        <f>"0126C1915S"</f>
        <v>0126C1915S</v>
      </c>
      <c r="E18121" s="1" t="s">
        <v>10</v>
      </c>
      <c r="F18121" s="1" t="str">
        <f>"fde3:102:1304:3402:0:0:0:4"</f>
        <v>fde3:102:1304:3402:0:0:0:4</v>
      </c>
      <c r="G18121" s="1" t="str">
        <f>"0126C191"</f>
        <v>0126C191</v>
      </c>
      <c r="H18121" s="1" t="str">
        <f>"창신지 8R9"</f>
        <v>창신지 8R9</v>
      </c>
      <c r="I18121" s="1" t="s">
        <v>15</v>
      </c>
      <c r="J18121" s="1" t="str">
        <f>"39/40"</f>
        <v>39/40</v>
      </c>
      <c r="K18121" s="1" t="str">
        <f>"2026-07-29 14:20:24"</f>
        <v>2026-07-29 14:20:24</v>
      </c>
      <c r="L18121" s="1" t="str">
        <f>"2023-06-01 14:51:43"</f>
        <v>2023-06-01 14:51:43</v>
      </c>
      <c r="M18121" s="1" t="s">
        <v>45</v>
      </c>
      <c r="N18121" s="1" t="s">
        <v>38</v>
      </c>
      <c r="O18121" s="1" t="s">
        <v>46</v>
      </c>
    </row>
    <row r="18122" spans="2:15" x14ac:dyDescent="0.3">
      <c r="B18122" s="1" t="s">
        <v>13</v>
      </c>
      <c r="C18122" s="1" t="str">
        <f>"2차"</f>
        <v>2차</v>
      </c>
      <c r="D18122" s="1" t="str">
        <f>"0126C20120"</f>
        <v>0126C20120</v>
      </c>
      <c r="E18122" s="1" t="s">
        <v>10</v>
      </c>
      <c r="F18122" s="1" t="str">
        <f>"10.11.3.242"</f>
        <v>10.11.3.242</v>
      </c>
      <c r="G18122" s="1" t="str">
        <f>"0126C201"</f>
        <v>0126C201</v>
      </c>
      <c r="H18122" s="1" t="str">
        <f>"숭인지 31R5"</f>
        <v>숭인지 31R5</v>
      </c>
      <c r="I18122" s="1" t="s">
        <v>8</v>
      </c>
      <c r="J18122" s="1" t="str">
        <f>"21/21"</f>
        <v>21/21</v>
      </c>
      <c r="K18122" s="1" t="str">
        <f>"2026-07-29 13:18:01"</f>
        <v>2026-07-29 13:18:01</v>
      </c>
      <c r="L18122" s="1" t="str">
        <f>"2017-06-29 09:09:06"</f>
        <v>2017-06-29 09:09:06</v>
      </c>
      <c r="M18122" s="1" t="s">
        <v>2</v>
      </c>
      <c r="N18122" s="1" t="s">
        <v>38</v>
      </c>
      <c r="O18122" s="1" t="s">
        <v>46</v>
      </c>
    </row>
    <row r="18123" spans="2:15" x14ac:dyDescent="0.3">
      <c r="B18123" s="1" t="s">
        <v>13</v>
      </c>
      <c r="C18123" s="1" t="str">
        <f>"5-2차"</f>
        <v>5-2차</v>
      </c>
      <c r="D18123" s="1" t="str">
        <f>"0126C2025M"</f>
        <v>0126C2025M</v>
      </c>
      <c r="E18123" s="1" t="s">
        <v>10</v>
      </c>
      <c r="F18123" s="1" t="str">
        <f>"fde1:103:4:558a:0:0:0:2"</f>
        <v>fde1:103:4:558a:0:0:0:2</v>
      </c>
      <c r="G18123" s="1" t="str">
        <f>"0126C202"</f>
        <v>0126C202</v>
      </c>
      <c r="H18123" s="1" t="str">
        <f>"숭인지 31R4"</f>
        <v>숭인지 31R4</v>
      </c>
      <c r="I18123" s="1" t="s">
        <v>15</v>
      </c>
      <c r="J18123" s="1" t="str">
        <f>"83/83"</f>
        <v>83/83</v>
      </c>
      <c r="K18123" s="1" t="str">
        <f>"2026-07-29 14:20:01"</f>
        <v>2026-07-29 14:20:01</v>
      </c>
      <c r="L18123" s="1" t="str">
        <f>"2023-08-23 11:11:35"</f>
        <v>2023-08-23 11:11:35</v>
      </c>
      <c r="M18123" s="1" t="s">
        <v>4</v>
      </c>
      <c r="N18123" s="1" t="s">
        <v>38</v>
      </c>
      <c r="O18123" s="1" t="s">
        <v>46</v>
      </c>
    </row>
    <row r="18124" spans="2:15" x14ac:dyDescent="0.3">
      <c r="B18124" s="1" t="s">
        <v>13</v>
      </c>
      <c r="C18124" s="1" t="str">
        <f>"2차"</f>
        <v>2차</v>
      </c>
      <c r="D18124" s="1" t="str">
        <f>"0126C23129"</f>
        <v>0126C23129</v>
      </c>
      <c r="E18124" s="1" t="s">
        <v>10</v>
      </c>
      <c r="F18124" s="1" t="str">
        <f>"10.11.9.130"</f>
        <v>10.11.9.130</v>
      </c>
      <c r="G18124" s="1" t="str">
        <f>"0126C231"</f>
        <v>0126C231</v>
      </c>
      <c r="H18124" s="1" t="str">
        <f>"숭인지 31R4R4"</f>
        <v>숭인지 31R4R4</v>
      </c>
      <c r="I18124" s="1" t="s">
        <v>8</v>
      </c>
      <c r="J18124" s="1" t="str">
        <f>"10/10"</f>
        <v>10/10</v>
      </c>
      <c r="K18124" s="1" t="str">
        <f>"2026-07-29 13:18:01"</f>
        <v>2026-07-29 13:18:01</v>
      </c>
      <c r="L18124" s="1" t="str">
        <f>"2017-06-21 17:41:04"</f>
        <v>2017-06-21 17:41:04</v>
      </c>
      <c r="M18124" s="1" t="s">
        <v>2</v>
      </c>
      <c r="N18124" s="1" t="s">
        <v>38</v>
      </c>
      <c r="O18124" s="1" t="s">
        <v>46</v>
      </c>
    </row>
    <row r="18125" spans="2:15" x14ac:dyDescent="0.3">
      <c r="B18125" s="1" t="s">
        <v>13</v>
      </c>
      <c r="C18125" s="1" t="str">
        <f>"3차"</f>
        <v>3차</v>
      </c>
      <c r="D18125" s="1" t="str">
        <f>"0126C24139"</f>
        <v>0126C24139</v>
      </c>
      <c r="E18125" s="1" t="s">
        <v>10</v>
      </c>
      <c r="F18125" s="1" t="str">
        <f>"10.12.132.217"</f>
        <v>10.12.132.217</v>
      </c>
      <c r="G18125" s="1" t="str">
        <f>"0126C241"</f>
        <v>0126C241</v>
      </c>
      <c r="H18125" s="1" t="str">
        <f>"왕산로 R10"</f>
        <v>왕산로 R10</v>
      </c>
      <c r="I18125" s="1" t="s">
        <v>17</v>
      </c>
      <c r="J18125" s="1" t="str">
        <f>"36/36"</f>
        <v>36/36</v>
      </c>
      <c r="K18125" s="1" t="str">
        <f>"2026-07-29 13:18:02"</f>
        <v>2026-07-29 13:18:02</v>
      </c>
      <c r="L18125" s="1" t="str">
        <f>"2018-06-16 10:39:42"</f>
        <v>2018-06-16 10:39:42</v>
      </c>
      <c r="M18125" s="1" t="s">
        <v>0</v>
      </c>
      <c r="N18125" s="1" t="s">
        <v>38</v>
      </c>
      <c r="O18125" s="1" t="s">
        <v>46</v>
      </c>
    </row>
    <row r="18126" spans="2:15" x14ac:dyDescent="0.3">
      <c r="B18126" s="1" t="s">
        <v>13</v>
      </c>
      <c r="C18126" s="1" t="str">
        <f>"4차"</f>
        <v>4차</v>
      </c>
      <c r="D18126" s="1" t="str">
        <f>"0126C25139"</f>
        <v>0126C25139</v>
      </c>
      <c r="E18126" s="1" t="s">
        <v>10</v>
      </c>
      <c r="F18126" s="1" t="str">
        <f>"10.12.132.214"</f>
        <v>10.12.132.214</v>
      </c>
      <c r="G18126" s="1" t="str">
        <f>"0126C251"</f>
        <v>0126C251</v>
      </c>
      <c r="H18126" s="1" t="str">
        <f>"왕산로 R9"</f>
        <v>왕산로 R9</v>
      </c>
      <c r="I18126" s="1" t="s">
        <v>17</v>
      </c>
      <c r="J18126" s="1" t="str">
        <f>"36/36"</f>
        <v>36/36</v>
      </c>
      <c r="K18126" s="1" t="str">
        <f>"2026-07-29 13:18:02"</f>
        <v>2026-07-29 13:18:02</v>
      </c>
      <c r="L18126" s="1" t="str">
        <f>"2018-06-11 14:58:17"</f>
        <v>2018-06-11 14:58:17</v>
      </c>
      <c r="M18126" s="1" t="s">
        <v>0</v>
      </c>
      <c r="N18126" s="1" t="s">
        <v>38</v>
      </c>
      <c r="O18126" s="1" t="s">
        <v>46</v>
      </c>
    </row>
    <row r="18127" spans="2:15" x14ac:dyDescent="0.3">
      <c r="B18127" s="1" t="s">
        <v>13</v>
      </c>
      <c r="C18127" s="1" t="s">
        <v>16</v>
      </c>
      <c r="D18127" s="1" t="str">
        <f>"0126C2715S"</f>
        <v>0126C2715S</v>
      </c>
      <c r="E18127" s="1" t="s">
        <v>10</v>
      </c>
      <c r="F18127" s="1" t="str">
        <f>"fde1:103:4:56b2:0:0:0:2"</f>
        <v>fde1:103:4:56b2:0:0:0:2</v>
      </c>
      <c r="G18127" s="1" t="str">
        <f>"0126C271"</f>
        <v>0126C271</v>
      </c>
      <c r="H18127" s="1" t="str">
        <f>"청량리간 13L2"</f>
        <v>청량리간 13L2</v>
      </c>
      <c r="I18127" s="1" t="s">
        <v>15</v>
      </c>
      <c r="J18127" s="1" t="str">
        <f>"83/83"</f>
        <v>83/83</v>
      </c>
      <c r="K18127" s="1" t="str">
        <f>"2026-07-29 14:20:24"</f>
        <v>2026-07-29 14:20:24</v>
      </c>
      <c r="L18127" s="1" t="str">
        <f>"2023-08-04 14:47:23"</f>
        <v>2023-08-04 14:47:23</v>
      </c>
      <c r="M18127" s="1" t="s">
        <v>4</v>
      </c>
      <c r="N18127" s="1" t="s">
        <v>38</v>
      </c>
      <c r="O18127" s="1" t="s">
        <v>46</v>
      </c>
    </row>
    <row r="18128" spans="2:15" x14ac:dyDescent="0.3">
      <c r="B18128" s="1" t="s">
        <v>13</v>
      </c>
      <c r="C18128" s="1" t="str">
        <f>"5-2차"</f>
        <v>5-2차</v>
      </c>
      <c r="D18128" s="1" t="str">
        <f>"0126C2915M"</f>
        <v>0126C2915M</v>
      </c>
      <c r="E18128" s="1" t="s">
        <v>10</v>
      </c>
      <c r="F18128" s="1" t="str">
        <f>"fde3:102:1304:3402:0:0:0:3"</f>
        <v>fde3:102:1304:3402:0:0:0:3</v>
      </c>
      <c r="G18128" s="1" t="str">
        <f>"0126C291"</f>
        <v>0126C291</v>
      </c>
      <c r="H18128" s="1" t="str">
        <f>"창신지 8R11"</f>
        <v>창신지 8R11</v>
      </c>
      <c r="I18128" s="1" t="s">
        <v>15</v>
      </c>
      <c r="J18128" s="1" t="str">
        <f>"94/94"</f>
        <v>94/94</v>
      </c>
      <c r="K18128" s="1" t="str">
        <f>"2026-07-29 14:20:24"</f>
        <v>2026-07-29 14:20:24</v>
      </c>
      <c r="L18128" s="1" t="str">
        <f>"2023-06-13 18:06:11"</f>
        <v>2023-06-13 18:06:11</v>
      </c>
      <c r="M18128" s="1" t="s">
        <v>45</v>
      </c>
      <c r="N18128" s="1" t="s">
        <v>38</v>
      </c>
      <c r="O18128" s="1" t="s">
        <v>46</v>
      </c>
    </row>
    <row r="18129" spans="2:15" x14ac:dyDescent="0.3">
      <c r="B18129" s="1" t="s">
        <v>13</v>
      </c>
      <c r="C18129" s="1" t="str">
        <f>"2차"</f>
        <v>2차</v>
      </c>
      <c r="D18129" s="1" t="str">
        <f>"0126C30229"</f>
        <v>0126C30229</v>
      </c>
      <c r="E18129" s="1" t="s">
        <v>10</v>
      </c>
      <c r="F18129" s="1" t="str">
        <f>"10.11.3.226"</f>
        <v>10.11.3.226</v>
      </c>
      <c r="G18129" s="1" t="str">
        <f>"0126C302"</f>
        <v>0126C302</v>
      </c>
      <c r="H18129" s="1" t="str">
        <f>"숭인지 31R3L1"</f>
        <v>숭인지 31R3L1</v>
      </c>
      <c r="I18129" s="1" t="s">
        <v>8</v>
      </c>
      <c r="J18129" s="1" t="str">
        <f>"11/11"</f>
        <v>11/11</v>
      </c>
      <c r="K18129" s="1" t="str">
        <f>"2026-07-29 13:18:01"</f>
        <v>2026-07-29 13:18:01</v>
      </c>
      <c r="L18129" s="1" t="str">
        <f>"2017-07-18 16:33:14"</f>
        <v>2017-07-18 16:33:14</v>
      </c>
      <c r="M18129" s="1" t="s">
        <v>2</v>
      </c>
      <c r="N18129" s="1" t="s">
        <v>38</v>
      </c>
      <c r="O18129" s="1" t="s">
        <v>46</v>
      </c>
    </row>
    <row r="18130" spans="2:15" x14ac:dyDescent="0.3">
      <c r="B18130" s="1" t="s">
        <v>13</v>
      </c>
      <c r="C18130" s="1" t="str">
        <f>"2차"</f>
        <v>2차</v>
      </c>
      <c r="D18130" s="1" t="str">
        <f>"0126C32120"</f>
        <v>0126C32120</v>
      </c>
      <c r="E18130" s="1" t="s">
        <v>10</v>
      </c>
      <c r="F18130" s="1" t="str">
        <f>"10.11.3.194"</f>
        <v>10.11.3.194</v>
      </c>
      <c r="G18130" s="1" t="str">
        <f>"0126C321"</f>
        <v>0126C321</v>
      </c>
      <c r="H18130" s="1" t="str">
        <f>"숭인지 29R6"</f>
        <v>숭인지 29R6</v>
      </c>
      <c r="I18130" s="1" t="s">
        <v>8</v>
      </c>
      <c r="J18130" s="1" t="str">
        <f>"3/3"</f>
        <v>3/3</v>
      </c>
      <c r="K18130" s="1" t="str">
        <f>"2026-07-29 13:18:01"</f>
        <v>2026-07-29 13:18:01</v>
      </c>
      <c r="L18130" s="1" t="str">
        <f>"2017-07-06 08:42:11"</f>
        <v>2017-07-06 08:42:11</v>
      </c>
      <c r="M18130" s="1" t="s">
        <v>2</v>
      </c>
      <c r="N18130" s="1" t="s">
        <v>38</v>
      </c>
      <c r="O18130" s="1" t="s">
        <v>46</v>
      </c>
    </row>
    <row r="18131" spans="2:15" x14ac:dyDescent="0.3">
      <c r="B18131" s="1" t="s">
        <v>13</v>
      </c>
      <c r="C18131" s="1" t="str">
        <f>"2차"</f>
        <v>2차</v>
      </c>
      <c r="D18131" s="1" t="str">
        <f>"0126C33121"</f>
        <v>0126C33121</v>
      </c>
      <c r="E18131" s="1" t="s">
        <v>10</v>
      </c>
      <c r="F18131" s="1" t="str">
        <f>"10.11.3.195"</f>
        <v>10.11.3.195</v>
      </c>
      <c r="G18131" s="1" t="str">
        <f>"0126C331"</f>
        <v>0126C331</v>
      </c>
      <c r="H18131" s="1" t="str">
        <f>"숭인지 29R7"</f>
        <v>숭인지 29R7</v>
      </c>
      <c r="I18131" s="1" t="s">
        <v>8</v>
      </c>
      <c r="J18131" s="1" t="str">
        <f>"16/16"</f>
        <v>16/16</v>
      </c>
      <c r="K18131" s="1" t="str">
        <f>"2026-07-29 13:18:01"</f>
        <v>2026-07-29 13:18:01</v>
      </c>
      <c r="L18131" s="1" t="str">
        <f>"2017-07-06 12:44:44"</f>
        <v>2017-07-06 12:44:44</v>
      </c>
      <c r="M18131" s="1" t="s">
        <v>2</v>
      </c>
      <c r="N18131" s="1" t="s">
        <v>38</v>
      </c>
      <c r="O18131" s="1" t="s">
        <v>46</v>
      </c>
    </row>
    <row r="18132" spans="2:15" x14ac:dyDescent="0.3">
      <c r="B18132" s="1" t="s">
        <v>13</v>
      </c>
      <c r="C18132" s="1" t="str">
        <f>"2차"</f>
        <v>2차</v>
      </c>
      <c r="D18132" s="1" t="str">
        <f>"0126C33221"</f>
        <v>0126C33221</v>
      </c>
      <c r="E18132" s="1" t="s">
        <v>10</v>
      </c>
      <c r="F18132" s="1" t="str">
        <f>"10.11.3.203"</f>
        <v>10.11.3.203</v>
      </c>
      <c r="G18132" s="1" t="str">
        <f>"0126C332"</f>
        <v>0126C332</v>
      </c>
      <c r="H18132" s="1" t="str">
        <f>"숭인지 29R7H1"</f>
        <v>숭인지 29R7H1</v>
      </c>
      <c r="I18132" s="1" t="s">
        <v>8</v>
      </c>
      <c r="J18132" s="1" t="str">
        <f>"16/16"</f>
        <v>16/16</v>
      </c>
      <c r="K18132" s="1" t="str">
        <f>"2026-07-29 13:18:01"</f>
        <v>2026-07-29 13:18:01</v>
      </c>
      <c r="L18132" s="1" t="str">
        <f>"2017-07-06 13:25:57"</f>
        <v>2017-07-06 13:25:57</v>
      </c>
      <c r="M18132" s="1" t="s">
        <v>2</v>
      </c>
      <c r="N18132" s="1" t="s">
        <v>38</v>
      </c>
      <c r="O18132" s="1" t="s">
        <v>46</v>
      </c>
    </row>
    <row r="18133" spans="2:15" x14ac:dyDescent="0.3">
      <c r="B18133" s="1" t="s">
        <v>13</v>
      </c>
      <c r="C18133" s="1" t="str">
        <f>"2차"</f>
        <v>2차</v>
      </c>
      <c r="D18133" s="1" t="str">
        <f>"0126C34520"</f>
        <v>0126C34520</v>
      </c>
      <c r="E18133" s="1" t="s">
        <v>10</v>
      </c>
      <c r="F18133" s="1" t="str">
        <f>"10.11.3.202"</f>
        <v>10.11.3.202</v>
      </c>
      <c r="G18133" s="1" t="str">
        <f>"0126C345"</f>
        <v>0126C345</v>
      </c>
      <c r="H18133" s="1" t="str">
        <f>"숭인지 29R7L1"</f>
        <v>숭인지 29R7L1</v>
      </c>
      <c r="I18133" s="1" t="s">
        <v>8</v>
      </c>
      <c r="J18133" s="1" t="str">
        <f>"16/16"</f>
        <v>16/16</v>
      </c>
      <c r="K18133" s="1" t="str">
        <f>"2026-07-29 13:18:01"</f>
        <v>2026-07-29 13:18:01</v>
      </c>
      <c r="L18133" s="1" t="str">
        <f>"2021-07-27 13:41:45"</f>
        <v>2021-07-27 13:41:45</v>
      </c>
      <c r="M18133" s="1" t="s">
        <v>2</v>
      </c>
      <c r="N18133" s="1" t="s">
        <v>38</v>
      </c>
      <c r="O18133" s="1" t="s">
        <v>46</v>
      </c>
    </row>
    <row r="18134" spans="2:15" x14ac:dyDescent="0.3">
      <c r="B18134" s="1" t="s">
        <v>13</v>
      </c>
      <c r="C18134" s="1" t="str">
        <f>"5-2차"</f>
        <v>5-2차</v>
      </c>
      <c r="D18134" s="1" t="str">
        <f>"0126C3915M"</f>
        <v>0126C3915M</v>
      </c>
      <c r="E18134" s="1" t="s">
        <v>10</v>
      </c>
      <c r="F18134" s="1" t="str">
        <f>"fde1:103:4:5699:0:0:0:2"</f>
        <v>fde1:103:4:5699:0:0:0:2</v>
      </c>
      <c r="G18134" s="1" t="str">
        <f>"0126C391"</f>
        <v>0126C391</v>
      </c>
      <c r="H18134" s="1" t="str">
        <f>"석산지 4L6"</f>
        <v>석산지 4L6</v>
      </c>
      <c r="I18134" s="1" t="s">
        <v>15</v>
      </c>
      <c r="J18134" s="1" t="str">
        <f>"61/62"</f>
        <v>61/62</v>
      </c>
      <c r="K18134" s="1" t="str">
        <f>"2026-07-29 14:20:18"</f>
        <v>2026-07-29 14:20:18</v>
      </c>
      <c r="L18134" s="1" t="str">
        <f>"2023-08-23 11:25:10"</f>
        <v>2023-08-23 11:25:10</v>
      </c>
      <c r="M18134" s="1" t="s">
        <v>4</v>
      </c>
      <c r="N18134" s="1" t="s">
        <v>38</v>
      </c>
      <c r="O18134" s="1" t="s">
        <v>46</v>
      </c>
    </row>
    <row r="18135" spans="2:15" x14ac:dyDescent="0.3">
      <c r="B18135" s="1" t="s">
        <v>13</v>
      </c>
      <c r="C18135" s="1" t="str">
        <f>"5-2차"</f>
        <v>5-2차</v>
      </c>
      <c r="D18135" s="1" t="str">
        <f>"0126C4015M"</f>
        <v>0126C4015M</v>
      </c>
      <c r="E18135" s="1" t="s">
        <v>10</v>
      </c>
      <c r="F18135" s="1" t="str">
        <f>"fde1:103:4:5655:0:0:0:2"</f>
        <v>fde1:103:4:5655:0:0:0:2</v>
      </c>
      <c r="G18135" s="1" t="str">
        <f>"0126C401"</f>
        <v>0126C401</v>
      </c>
      <c r="H18135" s="1" t="str">
        <f>"숭인지 31R2"</f>
        <v>숭인지 31R2</v>
      </c>
      <c r="I18135" s="1" t="s">
        <v>15</v>
      </c>
      <c r="J18135" s="1" t="str">
        <f>"18/19"</f>
        <v>18/19</v>
      </c>
      <c r="K18135" s="1" t="str">
        <f>"2026-07-29 14:20:25"</f>
        <v>2026-07-29 14:20:25</v>
      </c>
      <c r="L18135" s="1" t="str">
        <f>"2023-08-23 11:27:28"</f>
        <v>2023-08-23 11:27:28</v>
      </c>
      <c r="M18135" s="1" t="s">
        <v>4</v>
      </c>
      <c r="N18135" s="1" t="s">
        <v>38</v>
      </c>
      <c r="O18135" s="1" t="s">
        <v>46</v>
      </c>
    </row>
    <row r="18136" spans="2:15" x14ac:dyDescent="0.3">
      <c r="B18136" s="1" t="s">
        <v>13</v>
      </c>
      <c r="C18136" s="1" t="str">
        <f>"2차"</f>
        <v>2차</v>
      </c>
      <c r="D18136" s="1" t="str">
        <f>"0126C42129"</f>
        <v>0126C42129</v>
      </c>
      <c r="E18136" s="1" t="s">
        <v>10</v>
      </c>
      <c r="F18136" s="1" t="str">
        <f>"10.11.3.186"</f>
        <v>10.11.3.186</v>
      </c>
      <c r="G18136" s="1" t="str">
        <f>"0126C421"</f>
        <v>0126C421</v>
      </c>
      <c r="H18136" s="1" t="str">
        <f>"숭인지 29R3"</f>
        <v>숭인지 29R3</v>
      </c>
      <c r="I18136" s="1" t="s">
        <v>8</v>
      </c>
      <c r="J18136" s="1" t="str">
        <f>"14/14"</f>
        <v>14/14</v>
      </c>
      <c r="K18136" s="1" t="str">
        <f>"2026-07-29 13:18:01"</f>
        <v>2026-07-29 13:18:01</v>
      </c>
      <c r="L18136" s="1" t="str">
        <f>"2017-06-21 17:41:01"</f>
        <v>2017-06-21 17:41:01</v>
      </c>
      <c r="M18136" s="1" t="s">
        <v>2</v>
      </c>
      <c r="N18136" s="1" t="s">
        <v>38</v>
      </c>
      <c r="O18136" s="1" t="s">
        <v>46</v>
      </c>
    </row>
    <row r="18137" spans="2:15" x14ac:dyDescent="0.3">
      <c r="B18137" s="1" t="s">
        <v>13</v>
      </c>
      <c r="C18137" s="1" t="str">
        <f>"2차"</f>
        <v>2차</v>
      </c>
      <c r="D18137" s="1" t="str">
        <f>"0126C43329"</f>
        <v>0126C43329</v>
      </c>
      <c r="E18137" s="1" t="s">
        <v>10</v>
      </c>
      <c r="F18137" s="1" t="str">
        <f>"10.11.3.210"</f>
        <v>10.11.3.210</v>
      </c>
      <c r="G18137" s="1" t="str">
        <f>"0126C433"</f>
        <v>0126C433</v>
      </c>
      <c r="H18137" s="1" t="str">
        <f>"숭인지 29R9"</f>
        <v>숭인지 29R9</v>
      </c>
      <c r="I18137" s="1" t="s">
        <v>8</v>
      </c>
      <c r="J18137" s="1" t="str">
        <f>"13/13"</f>
        <v>13/13</v>
      </c>
      <c r="K18137" s="1" t="str">
        <f>"2026-07-29 13:18:01"</f>
        <v>2026-07-29 13:18:01</v>
      </c>
      <c r="L18137" s="1" t="str">
        <f>"2017-06-21 17:41:02"</f>
        <v>2017-06-21 17:41:02</v>
      </c>
      <c r="M18137" s="1" t="s">
        <v>2</v>
      </c>
      <c r="N18137" s="1" t="s">
        <v>38</v>
      </c>
      <c r="O18137" s="1" t="s">
        <v>46</v>
      </c>
    </row>
    <row r="18138" spans="2:15" x14ac:dyDescent="0.3">
      <c r="B18138" s="1" t="s">
        <v>13</v>
      </c>
      <c r="C18138" s="1" t="str">
        <f>"4차"</f>
        <v>4차</v>
      </c>
      <c r="D18138" s="1" t="str">
        <f>"0126C45139"</f>
        <v>0126C45139</v>
      </c>
      <c r="E18138" s="1" t="s">
        <v>10</v>
      </c>
      <c r="F18138" s="1" t="str">
        <f>"10.12.131.203"</f>
        <v>10.12.131.203</v>
      </c>
      <c r="G18138" s="1" t="str">
        <f>"0126C451"</f>
        <v>0126C451</v>
      </c>
      <c r="H18138" s="1" t="str">
        <f>"왕산로 L6"</f>
        <v>왕산로 L6</v>
      </c>
      <c r="I18138" s="1" t="s">
        <v>17</v>
      </c>
      <c r="J18138" s="1" t="str">
        <f>"3/3"</f>
        <v>3/3</v>
      </c>
      <c r="K18138" s="1" t="str">
        <f>"2026-07-29 13:18:01"</f>
        <v>2026-07-29 13:18:01</v>
      </c>
      <c r="L18138" s="1" t="str">
        <f>"2018-06-15 09:56:25"</f>
        <v>2018-06-15 09:56:25</v>
      </c>
      <c r="M18138" s="1" t="s">
        <v>0</v>
      </c>
      <c r="N18138" s="1" t="s">
        <v>38</v>
      </c>
      <c r="O18138" s="1" t="s">
        <v>46</v>
      </c>
    </row>
    <row r="18139" spans="2:15" x14ac:dyDescent="0.3">
      <c r="B18139" s="1" t="s">
        <v>13</v>
      </c>
      <c r="C18139" s="1" t="str">
        <f>"4차"</f>
        <v>4차</v>
      </c>
      <c r="D18139" s="1" t="str">
        <f>"0126C45239"</f>
        <v>0126C45239</v>
      </c>
      <c r="E18139" s="1" t="s">
        <v>10</v>
      </c>
      <c r="F18139" s="1" t="str">
        <f>"10.14.10.124"</f>
        <v>10.14.10.124</v>
      </c>
      <c r="G18139" s="1" t="str">
        <f>"0126C452"</f>
        <v>0126C452</v>
      </c>
      <c r="H18139" s="1" t="str">
        <f>"왕산로 R6"</f>
        <v>왕산로 R6</v>
      </c>
      <c r="I18139" s="1" t="s">
        <v>17</v>
      </c>
      <c r="J18139" s="1" t="str">
        <f>"1/5"</f>
        <v>1/5</v>
      </c>
      <c r="K18139" s="1" t="str">
        <f>"2026-07-29 13:18:01"</f>
        <v>2026-07-29 13:18:01</v>
      </c>
      <c r="L18139" s="1" t="str">
        <f>"2018-06-11 14:46:18"</f>
        <v>2018-06-11 14:46:18</v>
      </c>
      <c r="M18139" s="1" t="s">
        <v>3</v>
      </c>
      <c r="N18139" s="1" t="s">
        <v>38</v>
      </c>
      <c r="O18139" s="1" t="s">
        <v>46</v>
      </c>
    </row>
    <row r="18140" spans="2:15" x14ac:dyDescent="0.3">
      <c r="B18140" s="1" t="s">
        <v>13</v>
      </c>
      <c r="C18140" s="1" t="s">
        <v>16</v>
      </c>
      <c r="D18140" s="1" t="str">
        <f>"0126C5015S"</f>
        <v>0126C5015S</v>
      </c>
      <c r="E18140" s="1" t="s">
        <v>10</v>
      </c>
      <c r="F18140" s="1" t="str">
        <f>"fde3:102:1304:310c:0:0:0:2"</f>
        <v>fde3:102:1304:310c:0:0:0:2</v>
      </c>
      <c r="G18140" s="1" t="str">
        <f>"0126C501"</f>
        <v>0126C501</v>
      </c>
      <c r="H18140" s="1" t="str">
        <f>"숭인지 31R1"</f>
        <v>숭인지 31R1</v>
      </c>
      <c r="I18140" s="1" t="s">
        <v>15</v>
      </c>
      <c r="J18140" s="1" t="str">
        <f>"41/42"</f>
        <v>41/42</v>
      </c>
      <c r="K18140" s="1" t="str">
        <f>"2026-07-29 14:20:00"</f>
        <v>2026-07-29 14:20:00</v>
      </c>
      <c r="L18140" s="1" t="str">
        <f>"2023-08-07 10:59:51"</f>
        <v>2023-08-07 10:59:51</v>
      </c>
      <c r="M18140" s="1" t="s">
        <v>45</v>
      </c>
      <c r="N18140" s="1" t="s">
        <v>38</v>
      </c>
      <c r="O18140" s="1" t="s">
        <v>46</v>
      </c>
    </row>
    <row r="18141" spans="2:15" x14ac:dyDescent="0.3">
      <c r="B18141" s="1" t="s">
        <v>13</v>
      </c>
      <c r="C18141" s="1" t="str">
        <f>"5-2차"</f>
        <v>5-2차</v>
      </c>
      <c r="D18141" s="1" t="str">
        <f>"0126C5935M"</f>
        <v>0126C5935M</v>
      </c>
      <c r="E18141" s="1" t="s">
        <v>10</v>
      </c>
      <c r="F18141" s="1" t="str">
        <f>"fde1:103:4:55da:0:0:0:2"</f>
        <v>fde1:103:4:55da:0:0:0:2</v>
      </c>
      <c r="G18141" s="1" t="str">
        <f>"0126C593"</f>
        <v>0126C593</v>
      </c>
      <c r="H18141" s="1" t="str">
        <f>"석산지 4L3"</f>
        <v>석산지 4L3</v>
      </c>
      <c r="I18141" s="1" t="s">
        <v>15</v>
      </c>
      <c r="J18141" s="1" t="str">
        <f>"24/26"</f>
        <v>24/26</v>
      </c>
      <c r="K18141" s="1" t="str">
        <f>"2026-07-29 14:20:25"</f>
        <v>2026-07-29 14:20:25</v>
      </c>
      <c r="L18141" s="1" t="str">
        <f>"2023-08-23 11:30:59"</f>
        <v>2023-08-23 11:30:59</v>
      </c>
      <c r="M18141" s="1" t="s">
        <v>4</v>
      </c>
      <c r="N18141" s="1" t="s">
        <v>38</v>
      </c>
      <c r="O18141" s="1" t="s">
        <v>46</v>
      </c>
    </row>
    <row r="18142" spans="2:15" x14ac:dyDescent="0.3">
      <c r="B18142" s="1" t="s">
        <v>13</v>
      </c>
      <c r="C18142" s="1" t="str">
        <f>"5-2차"</f>
        <v>5-2차</v>
      </c>
      <c r="D18142" s="1" t="str">
        <f>"0126C5945M"</f>
        <v>0126C5945M</v>
      </c>
      <c r="E18142" s="1" t="s">
        <v>10</v>
      </c>
      <c r="F18142" s="1" t="str">
        <f>"fde3:102:1304:3105:0:0:0:2"</f>
        <v>fde3:102:1304:3105:0:0:0:2</v>
      </c>
      <c r="G18142" s="1" t="str">
        <f>"0126C594"</f>
        <v>0126C594</v>
      </c>
      <c r="H18142" s="1" t="str">
        <f>"석산지 4L2"</f>
        <v>석산지 4L2</v>
      </c>
      <c r="I18142" s="1" t="s">
        <v>15</v>
      </c>
      <c r="J18142" s="1" t="str">
        <f>"38/38"</f>
        <v>38/38</v>
      </c>
      <c r="K18142" s="1" t="str">
        <f>"2026-07-29 14:20:24"</f>
        <v>2026-07-29 14:20:24</v>
      </c>
      <c r="L18142" s="1" t="str">
        <f>"2023-06-13 18:06:55"</f>
        <v>2023-06-13 18:06:55</v>
      </c>
      <c r="M18142" s="1" t="s">
        <v>45</v>
      </c>
      <c r="N18142" s="1" t="s">
        <v>38</v>
      </c>
      <c r="O18142" s="1" t="s">
        <v>46</v>
      </c>
    </row>
    <row r="18143" spans="2:15" x14ac:dyDescent="0.3">
      <c r="B18143" s="1" t="s">
        <v>13</v>
      </c>
      <c r="C18143" s="1" t="str">
        <f>"4차"</f>
        <v>4차</v>
      </c>
      <c r="D18143" s="1" t="str">
        <f>"0126C61139"</f>
        <v>0126C61139</v>
      </c>
      <c r="E18143" s="1" t="s">
        <v>10</v>
      </c>
      <c r="F18143" s="1" t="str">
        <f>"10.12.134.125"</f>
        <v>10.12.134.125</v>
      </c>
      <c r="G18143" s="1" t="str">
        <f>"0126C611"</f>
        <v>0126C611</v>
      </c>
      <c r="H18143" s="1" t="str">
        <f>"왕산로 L4-1"</f>
        <v>왕산로 L4-1</v>
      </c>
      <c r="I18143" s="1" t="s">
        <v>17</v>
      </c>
      <c r="J18143" s="1" t="str">
        <f>"1/1"</f>
        <v>1/1</v>
      </c>
      <c r="K18143" s="1" t="str">
        <f>"2026-07-29 13:18:01"</f>
        <v>2026-07-29 13:18:01</v>
      </c>
      <c r="L18143" s="1" t="str">
        <f>"2018-06-15 11:36:26"</f>
        <v>2018-06-15 11:36:26</v>
      </c>
      <c r="M18143" s="1" t="s">
        <v>0</v>
      </c>
      <c r="N18143" s="1" t="s">
        <v>38</v>
      </c>
      <c r="O18143" s="1" t="s">
        <v>46</v>
      </c>
    </row>
    <row r="18144" spans="2:15" x14ac:dyDescent="0.3">
      <c r="B18144" s="1" t="s">
        <v>13</v>
      </c>
      <c r="C18144" s="1" t="str">
        <f>"4차"</f>
        <v>4차</v>
      </c>
      <c r="D18144" s="1" t="str">
        <f>"0126C61239"</f>
        <v>0126C61239</v>
      </c>
      <c r="E18144" s="1" t="s">
        <v>14</v>
      </c>
      <c r="F18144" s="1" t="str">
        <f>"10.12.134.113"</f>
        <v>10.12.134.113</v>
      </c>
      <c r="G18144" s="1" t="str">
        <f>"0126C612"</f>
        <v>0126C612</v>
      </c>
      <c r="H18144" s="1" t="str">
        <f>"왕산로 L4-2"</f>
        <v>왕산로 L4-2</v>
      </c>
      <c r="I18144" s="1" t="s">
        <v>17</v>
      </c>
      <c r="J18144" s="1" t="str">
        <f>"0/0"</f>
        <v>0/0</v>
      </c>
      <c r="K18144" s="1" t="str">
        <f>"2024-06-15 20:03:55"</f>
        <v>2024-06-15 20:03:55</v>
      </c>
      <c r="L18144" s="1" t="str">
        <f>"2018-06-15 11:47:57"</f>
        <v>2018-06-15 11:47:57</v>
      </c>
      <c r="M18144" s="1" t="s">
        <v>0</v>
      </c>
      <c r="N18144" s="1" t="s">
        <v>39</v>
      </c>
      <c r="O18144" s="1" t="s">
        <v>46</v>
      </c>
    </row>
    <row r="18145" spans="2:15" x14ac:dyDescent="0.3">
      <c r="B18145" s="1" t="s">
        <v>13</v>
      </c>
      <c r="C18145" s="1" t="str">
        <f>"3차"</f>
        <v>3차</v>
      </c>
      <c r="D18145" s="1" t="str">
        <f>"0126C61339"</f>
        <v>0126C61339</v>
      </c>
      <c r="E18145" s="1" t="s">
        <v>10</v>
      </c>
      <c r="F18145" s="1" t="str">
        <f>"10.12.134.123"</f>
        <v>10.12.134.123</v>
      </c>
      <c r="G18145" s="1" t="str">
        <f>"0126C613"</f>
        <v>0126C613</v>
      </c>
      <c r="H18145" s="1" t="str">
        <f>"왕산로 L3"</f>
        <v>왕산로 L3</v>
      </c>
      <c r="I18145" s="1" t="s">
        <v>17</v>
      </c>
      <c r="J18145" s="1" t="str">
        <f>"10/10"</f>
        <v>10/10</v>
      </c>
      <c r="K18145" s="1" t="str">
        <f>"2026-07-29 13:18:02"</f>
        <v>2026-07-29 13:18:02</v>
      </c>
      <c r="L18145" s="1" t="str">
        <f>"2018-06-15 12:48:43"</f>
        <v>2018-06-15 12:48:43</v>
      </c>
      <c r="M18145" s="1" t="s">
        <v>0</v>
      </c>
      <c r="N18145" s="1" t="s">
        <v>38</v>
      </c>
      <c r="O18145" s="1" t="s">
        <v>46</v>
      </c>
    </row>
    <row r="18146" spans="2:15" x14ac:dyDescent="0.3">
      <c r="B18146" s="1" t="s">
        <v>13</v>
      </c>
      <c r="C18146" s="1" t="str">
        <f>"4차"</f>
        <v>4차</v>
      </c>
      <c r="D18146" s="1" t="str">
        <f>"0126C61439"</f>
        <v>0126C61439</v>
      </c>
      <c r="E18146" s="1" t="s">
        <v>10</v>
      </c>
      <c r="F18146" s="1" t="str">
        <f>"10.12.134.110"</f>
        <v>10.12.134.110</v>
      </c>
      <c r="G18146" s="1" t="str">
        <f>"0126C614"</f>
        <v>0126C614</v>
      </c>
      <c r="H18146" s="1" t="str">
        <f>"왕산로 L4"</f>
        <v>왕산로 L4</v>
      </c>
      <c r="I18146" s="1" t="s">
        <v>17</v>
      </c>
      <c r="J18146" s="1" t="str">
        <f>"3/3"</f>
        <v>3/3</v>
      </c>
      <c r="K18146" s="1" t="str">
        <f>"2026-07-29 13:18:01"</f>
        <v>2026-07-29 13:18:01</v>
      </c>
      <c r="L18146" s="1" t="str">
        <f>"2018-08-02 12:51:27"</f>
        <v>2018-08-02 12:51:27</v>
      </c>
      <c r="M18146" s="1" t="s">
        <v>0</v>
      </c>
      <c r="N18146" s="1" t="s">
        <v>38</v>
      </c>
      <c r="O18146" s="1" t="s">
        <v>46</v>
      </c>
    </row>
    <row r="18147" spans="2:15" x14ac:dyDescent="0.3">
      <c r="B18147" s="1" t="s">
        <v>13</v>
      </c>
      <c r="C18147" s="1" t="str">
        <f>"4차"</f>
        <v>4차</v>
      </c>
      <c r="D18147" s="1" t="str">
        <f>"0126C63139"</f>
        <v>0126C63139</v>
      </c>
      <c r="E18147" s="1" t="s">
        <v>10</v>
      </c>
      <c r="F18147" s="1" t="str">
        <f>"10.12.133.244"</f>
        <v>10.12.133.244</v>
      </c>
      <c r="G18147" s="1" t="str">
        <f>"0126C631"</f>
        <v>0126C631</v>
      </c>
      <c r="H18147" s="1" t="str">
        <f>"왕산로 L2"</f>
        <v>왕산로 L2</v>
      </c>
      <c r="I18147" s="1" t="s">
        <v>17</v>
      </c>
      <c r="J18147" s="1" t="str">
        <f>"1/1"</f>
        <v>1/1</v>
      </c>
      <c r="K18147" s="1" t="str">
        <f>"2026-07-29 13:18:01"</f>
        <v>2026-07-29 13:18:01</v>
      </c>
      <c r="L18147" s="1" t="str">
        <f>"2018-06-15 13:02:00"</f>
        <v>2018-06-15 13:02:00</v>
      </c>
      <c r="M18147" s="1" t="s">
        <v>0</v>
      </c>
      <c r="N18147" s="1" t="s">
        <v>38</v>
      </c>
      <c r="O18147" s="1" t="s">
        <v>46</v>
      </c>
    </row>
    <row r="18148" spans="2:15" x14ac:dyDescent="0.3">
      <c r="B18148" s="1" t="s">
        <v>13</v>
      </c>
      <c r="C18148" s="1" t="str">
        <f>"2차"</f>
        <v>2차</v>
      </c>
      <c r="D18148" s="1" t="str">
        <f>"0126C68429"</f>
        <v>0126C68429</v>
      </c>
      <c r="E18148" s="1" t="s">
        <v>14</v>
      </c>
      <c r="F18148" s="1" t="str">
        <f>"10.11.2.162"</f>
        <v>10.11.2.162</v>
      </c>
      <c r="G18148" s="1" t="str">
        <f>"0126C684"</f>
        <v>0126C684</v>
      </c>
      <c r="H18148" s="1" t="str">
        <f>"석산지 4H1"</f>
        <v>석산지 4H1</v>
      </c>
      <c r="I18148" s="1" t="s">
        <v>8</v>
      </c>
      <c r="J18148" s="1" t="str">
        <f>"0/0"</f>
        <v>0/0</v>
      </c>
      <c r="K18148" s="4" t="str">
        <f>"2026-07-29 13:18:01"</f>
        <v>2026-07-29 13:18:01</v>
      </c>
      <c r="L18148" s="1" t="str">
        <f>"2017-06-21 17:41:02"</f>
        <v>2017-06-21 17:41:02</v>
      </c>
      <c r="M18148" s="1" t="s">
        <v>2</v>
      </c>
      <c r="N18148" s="1" t="s">
        <v>38</v>
      </c>
      <c r="O18148" s="1" t="s">
        <v>44</v>
      </c>
    </row>
    <row r="18149" spans="2:15" x14ac:dyDescent="0.3">
      <c r="B18149" s="1" t="s">
        <v>13</v>
      </c>
      <c r="C18149" s="1" t="str">
        <f>"2차"</f>
        <v>2차</v>
      </c>
      <c r="D18149" s="1" t="str">
        <f>"0126C71329"</f>
        <v>0126C71329</v>
      </c>
      <c r="E18149" s="1" t="s">
        <v>10</v>
      </c>
      <c r="F18149" s="1" t="str">
        <f>"10.11.3.154"</f>
        <v>10.11.3.154</v>
      </c>
      <c r="G18149" s="1" t="str">
        <f>"0126C713"</f>
        <v>0126C713</v>
      </c>
      <c r="H18149" s="1" t="str">
        <f>"숭인지 29L2R1"</f>
        <v>숭인지 29L2R1</v>
      </c>
      <c r="I18149" s="1" t="s">
        <v>8</v>
      </c>
      <c r="J18149" s="1" t="str">
        <f>"14/19"</f>
        <v>14/19</v>
      </c>
      <c r="K18149" s="1" t="str">
        <f>"2026-07-29 13:18:01"</f>
        <v>2026-07-29 13:18:01</v>
      </c>
      <c r="L18149" s="1" t="str">
        <f>"2017-06-24 13:37:07"</f>
        <v>2017-06-24 13:37:07</v>
      </c>
      <c r="M18149" s="1" t="s">
        <v>2</v>
      </c>
      <c r="N18149" s="1" t="s">
        <v>38</v>
      </c>
      <c r="O18149" s="1" t="s">
        <v>46</v>
      </c>
    </row>
    <row r="18150" spans="2:15" x14ac:dyDescent="0.3">
      <c r="B18150" s="1" t="s">
        <v>13</v>
      </c>
      <c r="C18150" s="1" t="str">
        <f>"5-2차"</f>
        <v>5-2차</v>
      </c>
      <c r="D18150" s="1" t="str">
        <f>"0126C7335M"</f>
        <v>0126C7335M</v>
      </c>
      <c r="E18150" s="1" t="s">
        <v>10</v>
      </c>
      <c r="F18150" s="1" t="str">
        <f>"fde1:103:4:563f:0:0:0:2"</f>
        <v>fde1:103:4:563f:0:0:0:2</v>
      </c>
      <c r="G18150" s="1" t="str">
        <f>"0126C733"</f>
        <v>0126C733</v>
      </c>
      <c r="H18150" s="1" t="str">
        <f>"숭인지 22L3B1L1"</f>
        <v>숭인지 22L3B1L1</v>
      </c>
      <c r="I18150" s="1" t="s">
        <v>15</v>
      </c>
      <c r="J18150" s="1" t="str">
        <f>"62/62"</f>
        <v>62/62</v>
      </c>
      <c r="K18150" s="1" t="str">
        <f>"2026-07-29 14:20:25"</f>
        <v>2026-07-29 14:20:25</v>
      </c>
      <c r="L18150" s="1" t="str">
        <f>"2023-08-23 13:11:33"</f>
        <v>2023-08-23 13:11:33</v>
      </c>
      <c r="M18150" s="1" t="s">
        <v>4</v>
      </c>
      <c r="N18150" s="1" t="s">
        <v>38</v>
      </c>
      <c r="O18150" s="1" t="s">
        <v>46</v>
      </c>
    </row>
    <row r="18151" spans="2:15" x14ac:dyDescent="0.3">
      <c r="B18151" s="1" t="s">
        <v>13</v>
      </c>
      <c r="C18151" s="1" t="s">
        <v>16</v>
      </c>
      <c r="D18151" s="1" t="str">
        <f>"0126C7415S"</f>
        <v>0126C7415S</v>
      </c>
      <c r="E18151" s="1" t="s">
        <v>10</v>
      </c>
      <c r="F18151" s="1" t="str">
        <f>"fde3:102:1304:3c0a:0:0:0:2"</f>
        <v>fde3:102:1304:3c0a:0:0:0:2</v>
      </c>
      <c r="G18151" s="1" t="str">
        <f>"0126C741"</f>
        <v>0126C741</v>
      </c>
      <c r="H18151" s="1" t="str">
        <f>"숭인지 22L3"</f>
        <v>숭인지 22L3</v>
      </c>
      <c r="I18151" s="1" t="s">
        <v>15</v>
      </c>
      <c r="J18151" s="1" t="str">
        <f>"86/86"</f>
        <v>86/86</v>
      </c>
      <c r="K18151" s="1" t="str">
        <f>"2026-07-29 14:20:19"</f>
        <v>2026-07-29 14:20:19</v>
      </c>
      <c r="L18151" s="1" t="str">
        <f>"2023-08-07 13:39:06"</f>
        <v>2023-08-07 13:39:06</v>
      </c>
      <c r="M18151" s="1" t="s">
        <v>45</v>
      </c>
      <c r="N18151" s="1" t="s">
        <v>38</v>
      </c>
      <c r="O18151" s="1" t="s">
        <v>46</v>
      </c>
    </row>
    <row r="18152" spans="2:15" x14ac:dyDescent="0.3">
      <c r="B18152" s="1" t="s">
        <v>13</v>
      </c>
      <c r="C18152" s="1" t="str">
        <f>"2차"</f>
        <v>2차</v>
      </c>
      <c r="D18152" s="1" t="str">
        <f>"0126C75121"</f>
        <v>0126C75121</v>
      </c>
      <c r="E18152" s="1" t="s">
        <v>10</v>
      </c>
      <c r="F18152" s="1" t="str">
        <f>"10.11.3.147"</f>
        <v>10.11.3.147</v>
      </c>
      <c r="G18152" s="1" t="str">
        <f>"0126C751"</f>
        <v>0126C751</v>
      </c>
      <c r="H18152" s="1" t="str">
        <f>"숭인지 22L1"</f>
        <v>숭인지 22L1</v>
      </c>
      <c r="I18152" s="1" t="s">
        <v>8</v>
      </c>
      <c r="J18152" s="1" t="str">
        <f>"20/20"</f>
        <v>20/20</v>
      </c>
      <c r="K18152" s="1" t="str">
        <f>"2026-07-29 13:18:01"</f>
        <v>2026-07-29 13:18:01</v>
      </c>
      <c r="L18152" s="1" t="str">
        <f>"2017-06-22 07:49:07"</f>
        <v>2017-06-22 07:49:07</v>
      </c>
      <c r="M18152" s="1" t="s">
        <v>2</v>
      </c>
      <c r="N18152" s="1" t="s">
        <v>38</v>
      </c>
      <c r="O18152" s="1" t="s">
        <v>46</v>
      </c>
    </row>
    <row r="18153" spans="2:15" x14ac:dyDescent="0.3">
      <c r="B18153" s="1" t="s">
        <v>13</v>
      </c>
      <c r="C18153" s="1" t="str">
        <f>"2차"</f>
        <v>2차</v>
      </c>
      <c r="D18153" s="1" t="str">
        <f>"0126C75320"</f>
        <v>0126C75320</v>
      </c>
      <c r="E18153" s="1" t="s">
        <v>10</v>
      </c>
      <c r="F18153" s="1" t="str">
        <f>"10.11.3.146"</f>
        <v>10.11.3.146</v>
      </c>
      <c r="G18153" s="1" t="str">
        <f>"0126C753"</f>
        <v>0126C753</v>
      </c>
      <c r="H18153" s="1" t="str">
        <f>"숭인지 22L1R1"</f>
        <v>숭인지 22L1R1</v>
      </c>
      <c r="I18153" s="1" t="s">
        <v>8</v>
      </c>
      <c r="J18153" s="1" t="str">
        <f>"11/11"</f>
        <v>11/11</v>
      </c>
      <c r="K18153" s="1" t="str">
        <f>"2026-07-29 13:18:01"</f>
        <v>2026-07-29 13:18:01</v>
      </c>
      <c r="L18153" s="1" t="str">
        <f>"2017-06-22 07:47:07"</f>
        <v>2017-06-22 07:47:07</v>
      </c>
      <c r="M18153" s="1" t="s">
        <v>2</v>
      </c>
      <c r="N18153" s="1" t="s">
        <v>38</v>
      </c>
      <c r="O18153" s="1" t="s">
        <v>46</v>
      </c>
    </row>
    <row r="18154" spans="2:15" x14ac:dyDescent="0.3">
      <c r="B18154" s="1" t="s">
        <v>13</v>
      </c>
      <c r="C18154" s="1" t="str">
        <f>"4차"</f>
        <v>4차</v>
      </c>
      <c r="D18154" s="1" t="str">
        <f>"0126C76639"</f>
        <v>0126C76639</v>
      </c>
      <c r="E18154" s="1" t="s">
        <v>10</v>
      </c>
      <c r="F18154" s="1" t="str">
        <f>"10.12.132.109"</f>
        <v>10.12.132.109</v>
      </c>
      <c r="G18154" s="1" t="str">
        <f>"0126C766"</f>
        <v>0126C766</v>
      </c>
      <c r="H18154" s="1" t="str">
        <f>"왕산로 L5-1"</f>
        <v>왕산로 L5-1</v>
      </c>
      <c r="I18154" s="1" t="s">
        <v>17</v>
      </c>
      <c r="J18154" s="1" t="str">
        <f>"6/6"</f>
        <v>6/6</v>
      </c>
      <c r="K18154" s="1" t="str">
        <f>"2026-07-29 13:18:02"</f>
        <v>2026-07-29 13:18:02</v>
      </c>
      <c r="L18154" s="1" t="str">
        <f>"2018-06-15 10:16:11"</f>
        <v>2018-06-15 10:16:11</v>
      </c>
      <c r="M18154" s="1" t="s">
        <v>0</v>
      </c>
      <c r="N18154" s="1" t="s">
        <v>38</v>
      </c>
      <c r="O18154" s="1" t="s">
        <v>46</v>
      </c>
    </row>
    <row r="18155" spans="2:15" x14ac:dyDescent="0.3">
      <c r="B18155" s="1" t="s">
        <v>13</v>
      </c>
      <c r="C18155" s="1" t="str">
        <f>"5-2차"</f>
        <v>5-2차</v>
      </c>
      <c r="D18155" s="1" t="str">
        <f>"0126C8025M"</f>
        <v>0126C8025M</v>
      </c>
      <c r="E18155" s="1" t="s">
        <v>10</v>
      </c>
      <c r="F18155" s="1" t="str">
        <f>"fde1:103:4:555d:0:0:0:2"</f>
        <v>fde1:103:4:555d:0:0:0:2</v>
      </c>
      <c r="G18155" s="1" t="str">
        <f>"0126C802"</f>
        <v>0126C802</v>
      </c>
      <c r="H18155" s="1" t="str">
        <f>"숭인지 29L10"</f>
        <v>숭인지 29L10</v>
      </c>
      <c r="I18155" s="1" t="s">
        <v>15</v>
      </c>
      <c r="J18155" s="1" t="str">
        <f>"22/22"</f>
        <v>22/22</v>
      </c>
      <c r="K18155" s="1" t="str">
        <f>"2026-07-29 14:20:25"</f>
        <v>2026-07-29 14:20:25</v>
      </c>
      <c r="L18155" s="1" t="str">
        <f>"2023-08-23 13:12:48"</f>
        <v>2023-08-23 13:12:48</v>
      </c>
      <c r="M18155" s="1" t="s">
        <v>4</v>
      </c>
      <c r="N18155" s="1" t="s">
        <v>38</v>
      </c>
      <c r="O18155" s="1" t="s">
        <v>46</v>
      </c>
    </row>
    <row r="18156" spans="2:15" x14ac:dyDescent="0.3">
      <c r="B18156" s="1" t="s">
        <v>13</v>
      </c>
      <c r="C18156" s="1" t="str">
        <f t="shared" ref="C18156:C18162" si="900">"2차"</f>
        <v>2차</v>
      </c>
      <c r="D18156" s="1" t="str">
        <f>"0126C82121"</f>
        <v>0126C82121</v>
      </c>
      <c r="E18156" s="1" t="s">
        <v>10</v>
      </c>
      <c r="F18156" s="1" t="str">
        <f>"10.11.3.163"</f>
        <v>10.11.3.163</v>
      </c>
      <c r="G18156" s="1" t="str">
        <f>"0126C821"</f>
        <v>0126C821</v>
      </c>
      <c r="H18156" s="1" t="str">
        <f>"숭인지 29L3"</f>
        <v>숭인지 29L3</v>
      </c>
      <c r="I18156" s="1" t="s">
        <v>8</v>
      </c>
      <c r="J18156" s="1" t="str">
        <f>"3/3"</f>
        <v>3/3</v>
      </c>
      <c r="K18156" s="1" t="str">
        <f t="shared" ref="K18156:K18161" si="901">"2026-07-29 13:18:01"</f>
        <v>2026-07-29 13:18:01</v>
      </c>
      <c r="L18156" s="1" t="str">
        <f>"2017-06-22 09:47:38"</f>
        <v>2017-06-22 09:47:38</v>
      </c>
      <c r="M18156" s="1" t="s">
        <v>2</v>
      </c>
      <c r="N18156" s="1" t="s">
        <v>38</v>
      </c>
      <c r="O18156" s="1" t="s">
        <v>46</v>
      </c>
    </row>
    <row r="18157" spans="2:15" x14ac:dyDescent="0.3">
      <c r="B18157" s="1" t="s">
        <v>13</v>
      </c>
      <c r="C18157" s="1" t="str">
        <f t="shared" si="900"/>
        <v>2차</v>
      </c>
      <c r="D18157" s="1" t="str">
        <f>"0126C87529"</f>
        <v>0126C87529</v>
      </c>
      <c r="E18157" s="1" t="s">
        <v>10</v>
      </c>
      <c r="F18157" s="1" t="str">
        <f>"10.11.6.154"</f>
        <v>10.11.6.154</v>
      </c>
      <c r="G18157" s="1" t="str">
        <f>"0126C875"</f>
        <v>0126C875</v>
      </c>
      <c r="H18157" s="1" t="str">
        <f>"청량리간 22L2"</f>
        <v>청량리간 22L2</v>
      </c>
      <c r="I18157" s="1" t="s">
        <v>8</v>
      </c>
      <c r="J18157" s="1" t="str">
        <f>"32/34"</f>
        <v>32/34</v>
      </c>
      <c r="K18157" s="1" t="str">
        <f t="shared" si="901"/>
        <v>2026-07-29 13:18:01</v>
      </c>
      <c r="L18157" s="1" t="str">
        <f>"2017-06-21 18:01:01"</f>
        <v>2017-06-21 18:01:01</v>
      </c>
      <c r="M18157" s="1" t="s">
        <v>2</v>
      </c>
      <c r="N18157" s="1" t="s">
        <v>38</v>
      </c>
      <c r="O18157" s="1" t="s">
        <v>46</v>
      </c>
    </row>
    <row r="18158" spans="2:15" x14ac:dyDescent="0.3">
      <c r="B18158" s="1" t="s">
        <v>13</v>
      </c>
      <c r="C18158" s="1" t="str">
        <f t="shared" si="900"/>
        <v>2차</v>
      </c>
      <c r="D18158" s="1" t="str">
        <f>"0126C88121"</f>
        <v>0126C88121</v>
      </c>
      <c r="E18158" s="1" t="s">
        <v>10</v>
      </c>
      <c r="F18158" s="1" t="str">
        <f>"10.11.6.163"</f>
        <v>10.11.6.163</v>
      </c>
      <c r="G18158" s="1" t="str">
        <f>"0126C881"</f>
        <v>0126C881</v>
      </c>
      <c r="H18158" s="1" t="str">
        <f>"청량리간 22L3R1"</f>
        <v>청량리간 22L3R1</v>
      </c>
      <c r="I18158" s="1" t="s">
        <v>8</v>
      </c>
      <c r="J18158" s="1" t="str">
        <f>"24/24"</f>
        <v>24/24</v>
      </c>
      <c r="K18158" s="1" t="str">
        <f t="shared" si="901"/>
        <v>2026-07-29 13:18:01</v>
      </c>
      <c r="L18158" s="1" t="str">
        <f>"2017-06-21 17:41:04"</f>
        <v>2017-06-21 17:41:04</v>
      </c>
      <c r="M18158" s="1" t="s">
        <v>2</v>
      </c>
      <c r="N18158" s="1" t="s">
        <v>38</v>
      </c>
      <c r="O18158" s="1" t="s">
        <v>46</v>
      </c>
    </row>
    <row r="18159" spans="2:15" x14ac:dyDescent="0.3">
      <c r="B18159" s="1" t="s">
        <v>13</v>
      </c>
      <c r="C18159" s="1" t="str">
        <f t="shared" si="900"/>
        <v>2차</v>
      </c>
      <c r="D18159" s="1" t="str">
        <f>"0126C89220"</f>
        <v>0126C89220</v>
      </c>
      <c r="E18159" s="1" t="s">
        <v>10</v>
      </c>
      <c r="F18159" s="1" t="str">
        <f>"10.11.6.162"</f>
        <v>10.11.6.162</v>
      </c>
      <c r="G18159" s="1" t="str">
        <f>"0126C892"</f>
        <v>0126C892</v>
      </c>
      <c r="H18159" s="1" t="str">
        <f>"청량리간 22L3R1L1"</f>
        <v>청량리간 22L3R1L1</v>
      </c>
      <c r="I18159" s="1" t="s">
        <v>8</v>
      </c>
      <c r="J18159" s="1" t="str">
        <f>"33/33"</f>
        <v>33/33</v>
      </c>
      <c r="K18159" s="1" t="str">
        <f t="shared" si="901"/>
        <v>2026-07-29 13:18:01</v>
      </c>
      <c r="L18159" s="1" t="str">
        <f>"2017-06-21 17:41:04"</f>
        <v>2017-06-21 17:41:04</v>
      </c>
      <c r="M18159" s="1" t="s">
        <v>2</v>
      </c>
      <c r="N18159" s="1" t="s">
        <v>38</v>
      </c>
      <c r="O18159" s="1" t="s">
        <v>46</v>
      </c>
    </row>
    <row r="18160" spans="2:15" x14ac:dyDescent="0.3">
      <c r="B18160" s="1" t="s">
        <v>13</v>
      </c>
      <c r="C18160" s="1" t="str">
        <f t="shared" si="900"/>
        <v>2차</v>
      </c>
      <c r="D18160" s="1" t="str">
        <f>"0126C89322"</f>
        <v>0126C89322</v>
      </c>
      <c r="E18160" s="1" t="s">
        <v>10</v>
      </c>
      <c r="F18160" s="1" t="str">
        <f>"10.11.6.164"</f>
        <v>10.11.6.164</v>
      </c>
      <c r="G18160" s="1" t="str">
        <f>"0126C893"</f>
        <v>0126C893</v>
      </c>
      <c r="H18160" s="1" t="str">
        <f>"청량리간 22L3R1L2"</f>
        <v>청량리간 22L3R1L2</v>
      </c>
      <c r="I18160" s="1" t="s">
        <v>8</v>
      </c>
      <c r="J18160" s="1" t="str">
        <f>"28/28"</f>
        <v>28/28</v>
      </c>
      <c r="K18160" s="1" t="str">
        <f t="shared" si="901"/>
        <v>2026-07-29 13:18:01</v>
      </c>
      <c r="L18160" s="1" t="str">
        <f>"2017-06-21 18:11:01"</f>
        <v>2017-06-21 18:11:01</v>
      </c>
      <c r="M18160" s="1" t="s">
        <v>2</v>
      </c>
      <c r="N18160" s="1" t="s">
        <v>38</v>
      </c>
      <c r="O18160" s="1" t="s">
        <v>46</v>
      </c>
    </row>
    <row r="18161" spans="2:15" x14ac:dyDescent="0.3">
      <c r="B18161" s="1" t="s">
        <v>13</v>
      </c>
      <c r="C18161" s="1" t="str">
        <f t="shared" si="900"/>
        <v>2차</v>
      </c>
      <c r="D18161" s="1" t="str">
        <f>"0126C92120"</f>
        <v>0126C92120</v>
      </c>
      <c r="E18161" s="1" t="s">
        <v>10</v>
      </c>
      <c r="F18161" s="1" t="str">
        <f>"10.11.3.162"</f>
        <v>10.11.3.162</v>
      </c>
      <c r="G18161" s="1" t="str">
        <f>"0126C921"</f>
        <v>0126C921</v>
      </c>
      <c r="H18161" s="1" t="str">
        <f>"숭인지 29L4"</f>
        <v>숭인지 29L4</v>
      </c>
      <c r="I18161" s="1" t="s">
        <v>8</v>
      </c>
      <c r="J18161" s="1" t="str">
        <f>"12/12"</f>
        <v>12/12</v>
      </c>
      <c r="K18161" s="1" t="str">
        <f t="shared" si="901"/>
        <v>2026-07-29 13:18:01</v>
      </c>
      <c r="L18161" s="1" t="str">
        <f>"2017-06-22 09:48:08"</f>
        <v>2017-06-22 09:48:08</v>
      </c>
      <c r="M18161" s="1" t="s">
        <v>2</v>
      </c>
      <c r="N18161" s="1" t="s">
        <v>38</v>
      </c>
      <c r="O18161" s="1" t="s">
        <v>46</v>
      </c>
    </row>
    <row r="18162" spans="2:15" x14ac:dyDescent="0.3">
      <c r="B18162" s="1" t="s">
        <v>13</v>
      </c>
      <c r="C18162" s="1" t="str">
        <f t="shared" si="900"/>
        <v>2차</v>
      </c>
      <c r="D18162" s="1" t="str">
        <f>"0126C98121"</f>
        <v>0126C98121</v>
      </c>
      <c r="E18162" s="1" t="s">
        <v>10</v>
      </c>
      <c r="F18162" s="1" t="str">
        <f>"10.12.134.201"</f>
        <v>10.12.134.201</v>
      </c>
      <c r="G18162" s="1" t="str">
        <f>"0126C981"</f>
        <v>0126C981</v>
      </c>
      <c r="H18162" s="1" t="str">
        <f>"청량리간 22L3R2"</f>
        <v>청량리간 22L3R2</v>
      </c>
      <c r="I18162" s="1" t="s">
        <v>8</v>
      </c>
      <c r="J18162" s="1" t="str">
        <f>"12/15"</f>
        <v>12/15</v>
      </c>
      <c r="K18162" s="1" t="str">
        <f>"2026-07-29 13:18:02"</f>
        <v>2026-07-29 13:18:02</v>
      </c>
      <c r="L18162" s="1" t="str">
        <f>"2017-07-14 16:18:41"</f>
        <v>2017-07-14 16:18:41</v>
      </c>
      <c r="M18162" s="1" t="s">
        <v>0</v>
      </c>
      <c r="N18162" s="1" t="s">
        <v>38</v>
      </c>
      <c r="O18162" s="1" t="s">
        <v>46</v>
      </c>
    </row>
    <row r="18163" spans="2:15" x14ac:dyDescent="0.3">
      <c r="B18163" s="1" t="s">
        <v>13</v>
      </c>
      <c r="C18163" s="1" t="str">
        <f>"4차"</f>
        <v>4차</v>
      </c>
      <c r="D18163" s="1" t="str">
        <f>"0126C99121"</f>
        <v>0126C99121</v>
      </c>
      <c r="E18163" s="1" t="s">
        <v>10</v>
      </c>
      <c r="F18163" s="1" t="str">
        <f>"10.11.6.187"</f>
        <v>10.11.6.187</v>
      </c>
      <c r="G18163" s="1" t="str">
        <f>"0126C991"</f>
        <v>0126C991</v>
      </c>
      <c r="H18163" s="1" t="str">
        <f>"청량리간 28L2L4R1"</f>
        <v>청량리간 28L2L4R1</v>
      </c>
      <c r="I18163" s="1" t="s">
        <v>8</v>
      </c>
      <c r="J18163" s="1" t="str">
        <f>"45/45"</f>
        <v>45/45</v>
      </c>
      <c r="K18163" s="1" t="str">
        <f t="shared" ref="K18163:K18175" si="902">"2026-07-29 13:18:01"</f>
        <v>2026-07-29 13:18:01</v>
      </c>
      <c r="L18163" s="1" t="str">
        <f>"2017-07-14 10:55:10"</f>
        <v>2017-07-14 10:55:10</v>
      </c>
      <c r="M18163" s="1" t="s">
        <v>2</v>
      </c>
      <c r="N18163" s="1" t="s">
        <v>38</v>
      </c>
      <c r="O18163" s="1" t="s">
        <v>46</v>
      </c>
    </row>
    <row r="18164" spans="2:15" x14ac:dyDescent="0.3">
      <c r="B18164" s="1" t="s">
        <v>13</v>
      </c>
      <c r="C18164" s="1" t="str">
        <f t="shared" ref="C18164:C18172" si="903">"2차"</f>
        <v>2차</v>
      </c>
      <c r="D18164" s="1" t="str">
        <f>"0126D02120"</f>
        <v>0126D02120</v>
      </c>
      <c r="E18164" s="1" t="s">
        <v>10</v>
      </c>
      <c r="F18164" s="1" t="str">
        <f>"10.11.3.170"</f>
        <v>10.11.3.170</v>
      </c>
      <c r="G18164" s="1" t="str">
        <f>"0126D021"</f>
        <v>0126D021</v>
      </c>
      <c r="H18164" s="1" t="str">
        <f>"숭인지 29L5"</f>
        <v>숭인지 29L5</v>
      </c>
      <c r="I18164" s="1" t="s">
        <v>8</v>
      </c>
      <c r="J18164" s="1" t="str">
        <f>"18/18"</f>
        <v>18/18</v>
      </c>
      <c r="K18164" s="1" t="str">
        <f t="shared" si="902"/>
        <v>2026-07-29 13:18:01</v>
      </c>
      <c r="L18164" s="1" t="str">
        <f>"2017-06-22 09:17:38"</f>
        <v>2017-06-22 09:17:38</v>
      </c>
      <c r="M18164" s="1" t="s">
        <v>2</v>
      </c>
      <c r="N18164" s="1" t="s">
        <v>38</v>
      </c>
      <c r="O18164" s="1" t="s">
        <v>46</v>
      </c>
    </row>
    <row r="18165" spans="2:15" x14ac:dyDescent="0.3">
      <c r="B18165" s="1" t="s">
        <v>13</v>
      </c>
      <c r="C18165" s="1" t="str">
        <f t="shared" si="903"/>
        <v>2차</v>
      </c>
      <c r="D18165" s="1" t="str">
        <f>"0126D02221"</f>
        <v>0126D02221</v>
      </c>
      <c r="E18165" s="1" t="s">
        <v>10</v>
      </c>
      <c r="F18165" s="1" t="str">
        <f>"10.11.3.171"</f>
        <v>10.11.3.171</v>
      </c>
      <c r="G18165" s="1" t="str">
        <f>"0126D022"</f>
        <v>0126D022</v>
      </c>
      <c r="H18165" s="1" t="str">
        <f>"숭인지 29L6"</f>
        <v>숭인지 29L6</v>
      </c>
      <c r="I18165" s="1" t="s">
        <v>8</v>
      </c>
      <c r="J18165" s="1" t="str">
        <f>"23/23"</f>
        <v>23/23</v>
      </c>
      <c r="K18165" s="1" t="str">
        <f t="shared" si="902"/>
        <v>2026-07-29 13:18:01</v>
      </c>
      <c r="L18165" s="1" t="str">
        <f>"2017-06-22 09:23:53"</f>
        <v>2017-06-22 09:23:53</v>
      </c>
      <c r="M18165" s="1" t="s">
        <v>2</v>
      </c>
      <c r="N18165" s="1" t="s">
        <v>38</v>
      </c>
      <c r="O18165" s="1" t="s">
        <v>46</v>
      </c>
    </row>
    <row r="18166" spans="2:15" x14ac:dyDescent="0.3">
      <c r="B18166" s="1" t="s">
        <v>13</v>
      </c>
      <c r="C18166" s="1" t="str">
        <f t="shared" si="903"/>
        <v>2차</v>
      </c>
      <c r="D18166" s="1" t="str">
        <f>"0126D04120"</f>
        <v>0126D04120</v>
      </c>
      <c r="E18166" s="1" t="s">
        <v>10</v>
      </c>
      <c r="F18166" s="1" t="str">
        <f>"10.11.3.130"</f>
        <v>10.11.3.130</v>
      </c>
      <c r="G18166" s="1" t="str">
        <f>"0126D041"</f>
        <v>0126D041</v>
      </c>
      <c r="H18166" s="1" t="str">
        <f>"숭인지 19L4"</f>
        <v>숭인지 19L4</v>
      </c>
      <c r="I18166" s="1" t="s">
        <v>8</v>
      </c>
      <c r="J18166" s="1" t="str">
        <f>"23/23"</f>
        <v>23/23</v>
      </c>
      <c r="K18166" s="1" t="str">
        <f t="shared" si="902"/>
        <v>2026-07-29 13:18:01</v>
      </c>
      <c r="L18166" s="1" t="str">
        <f>"2017-06-22 08:20:37"</f>
        <v>2017-06-22 08:20:37</v>
      </c>
      <c r="M18166" s="1" t="s">
        <v>2</v>
      </c>
      <c r="N18166" s="1" t="s">
        <v>38</v>
      </c>
      <c r="O18166" s="1" t="s">
        <v>46</v>
      </c>
    </row>
    <row r="18167" spans="2:15" x14ac:dyDescent="0.3">
      <c r="B18167" s="1" t="s">
        <v>13</v>
      </c>
      <c r="C18167" s="1" t="str">
        <f t="shared" si="903"/>
        <v>2차</v>
      </c>
      <c r="D18167" s="1" t="str">
        <f>"0126D04321"</f>
        <v>0126D04321</v>
      </c>
      <c r="E18167" s="1" t="s">
        <v>10</v>
      </c>
      <c r="F18167" s="1" t="str">
        <f>"10.11.3.131"</f>
        <v>10.11.3.131</v>
      </c>
      <c r="G18167" s="1" t="str">
        <f>"0126D043"</f>
        <v>0126D043</v>
      </c>
      <c r="H18167" s="1" t="str">
        <f>"숭인지 19L5"</f>
        <v>숭인지 19L5</v>
      </c>
      <c r="I18167" s="1" t="s">
        <v>8</v>
      </c>
      <c r="J18167" s="1" t="str">
        <f>"8/8"</f>
        <v>8/8</v>
      </c>
      <c r="K18167" s="1" t="str">
        <f t="shared" si="902"/>
        <v>2026-07-29 13:18:01</v>
      </c>
      <c r="L18167" s="1" t="str">
        <f>"2017-06-22 08:23:52"</f>
        <v>2017-06-22 08:23:52</v>
      </c>
      <c r="M18167" s="1" t="s">
        <v>2</v>
      </c>
      <c r="N18167" s="1" t="s">
        <v>38</v>
      </c>
      <c r="O18167" s="1" t="s">
        <v>46</v>
      </c>
    </row>
    <row r="18168" spans="2:15" x14ac:dyDescent="0.3">
      <c r="B18168" s="1" t="s">
        <v>13</v>
      </c>
      <c r="C18168" s="1" t="str">
        <f t="shared" si="903"/>
        <v>2차</v>
      </c>
      <c r="D18168" s="1" t="str">
        <f>"0126D08120"</f>
        <v>0126D08120</v>
      </c>
      <c r="E18168" s="1" t="s">
        <v>10</v>
      </c>
      <c r="F18168" s="1" t="str">
        <f>"10.11.6.170"</f>
        <v>10.11.6.170</v>
      </c>
      <c r="G18168" s="1" t="str">
        <f>"0126D081"</f>
        <v>0126D081</v>
      </c>
      <c r="H18168" s="1" t="str">
        <f>"청량리간 22L3R3"</f>
        <v>청량리간 22L3R3</v>
      </c>
      <c r="I18168" s="1" t="s">
        <v>8</v>
      </c>
      <c r="J18168" s="1" t="str">
        <f>"22/22"</f>
        <v>22/22</v>
      </c>
      <c r="K18168" s="1" t="str">
        <f t="shared" si="902"/>
        <v>2026-07-29 13:18:01</v>
      </c>
      <c r="L18168" s="1" t="str">
        <f>"2017-06-24 15:09:08"</f>
        <v>2017-06-24 15:09:08</v>
      </c>
      <c r="M18168" s="1" t="s">
        <v>2</v>
      </c>
      <c r="N18168" s="1" t="s">
        <v>38</v>
      </c>
      <c r="O18168" s="1" t="s">
        <v>46</v>
      </c>
    </row>
    <row r="18169" spans="2:15" x14ac:dyDescent="0.3">
      <c r="B18169" s="1" t="s">
        <v>13</v>
      </c>
      <c r="C18169" s="1" t="str">
        <f t="shared" si="903"/>
        <v>2차</v>
      </c>
      <c r="D18169" s="1" t="str">
        <f>"0126D08222"</f>
        <v>0126D08222</v>
      </c>
      <c r="E18169" s="1" t="s">
        <v>10</v>
      </c>
      <c r="F18169" s="1" t="str">
        <f>"10.11.6.172"</f>
        <v>10.11.6.172</v>
      </c>
      <c r="G18169" s="1" t="str">
        <f>"0126D082"</f>
        <v>0126D082</v>
      </c>
      <c r="H18169" s="1" t="str">
        <f>"청량리간 22L3R4"</f>
        <v>청량리간 22L3R4</v>
      </c>
      <c r="I18169" s="1" t="s">
        <v>8</v>
      </c>
      <c r="J18169" s="1" t="str">
        <f>"32/33"</f>
        <v>32/33</v>
      </c>
      <c r="K18169" s="1" t="str">
        <f t="shared" si="902"/>
        <v>2026-07-29 13:18:01</v>
      </c>
      <c r="L18169" s="1" t="str">
        <f>"2017-06-24 15:07:23"</f>
        <v>2017-06-24 15:07:23</v>
      </c>
      <c r="M18169" s="1" t="s">
        <v>2</v>
      </c>
      <c r="N18169" s="1" t="s">
        <v>38</v>
      </c>
      <c r="O18169" s="1" t="s">
        <v>46</v>
      </c>
    </row>
    <row r="18170" spans="2:15" x14ac:dyDescent="0.3">
      <c r="B18170" s="1" t="s">
        <v>13</v>
      </c>
      <c r="C18170" s="1" t="str">
        <f t="shared" si="903"/>
        <v>2차</v>
      </c>
      <c r="D18170" s="1" t="str">
        <f>"0126D09220"</f>
        <v>0126D09220</v>
      </c>
      <c r="E18170" s="1" t="s">
        <v>10</v>
      </c>
      <c r="F18170" s="1" t="str">
        <f>"10.11.6.186"</f>
        <v>10.11.6.186</v>
      </c>
      <c r="G18170" s="1" t="str">
        <f>"0126D092"</f>
        <v>0126D092</v>
      </c>
      <c r="H18170" s="1" t="str">
        <f>"청량리간 28L2L4"</f>
        <v>청량리간 28L2L4</v>
      </c>
      <c r="I18170" s="1" t="s">
        <v>8</v>
      </c>
      <c r="J18170" s="1" t="str">
        <f>"48/51"</f>
        <v>48/51</v>
      </c>
      <c r="K18170" s="1" t="str">
        <f t="shared" si="902"/>
        <v>2026-07-29 13:18:01</v>
      </c>
      <c r="L18170" s="1" t="str">
        <f>"2017-07-14 09:13:39"</f>
        <v>2017-07-14 09:13:39</v>
      </c>
      <c r="M18170" s="1" t="s">
        <v>2</v>
      </c>
      <c r="N18170" s="1" t="s">
        <v>38</v>
      </c>
      <c r="O18170" s="1" t="s">
        <v>46</v>
      </c>
    </row>
    <row r="18171" spans="2:15" x14ac:dyDescent="0.3">
      <c r="B18171" s="1" t="s">
        <v>13</v>
      </c>
      <c r="C18171" s="1" t="str">
        <f t="shared" si="903"/>
        <v>2차</v>
      </c>
      <c r="D18171" s="1" t="str">
        <f>"0126D09420"</f>
        <v>0126D09420</v>
      </c>
      <c r="E18171" s="1" t="s">
        <v>10</v>
      </c>
      <c r="F18171" s="1" t="str">
        <f>"10.11.6.178"</f>
        <v>10.11.6.178</v>
      </c>
      <c r="G18171" s="1" t="str">
        <f>"0126D094"</f>
        <v>0126D094</v>
      </c>
      <c r="H18171" s="1" t="str">
        <f>"청량리간 28L2L2"</f>
        <v>청량리간 28L2L2</v>
      </c>
      <c r="I18171" s="1" t="s">
        <v>8</v>
      </c>
      <c r="J18171" s="1" t="str">
        <f>"22/22"</f>
        <v>22/22</v>
      </c>
      <c r="K18171" s="1" t="str">
        <f t="shared" si="902"/>
        <v>2026-07-29 13:18:01</v>
      </c>
      <c r="L18171" s="1" t="str">
        <f>"2017-06-21 17:41:03"</f>
        <v>2017-06-21 17:41:03</v>
      </c>
      <c r="M18171" s="1" t="s">
        <v>2</v>
      </c>
      <c r="N18171" s="1" t="s">
        <v>38</v>
      </c>
      <c r="O18171" s="1" t="s">
        <v>46</v>
      </c>
    </row>
    <row r="18172" spans="2:15" x14ac:dyDescent="0.3">
      <c r="B18172" s="1" t="s">
        <v>13</v>
      </c>
      <c r="C18172" s="1" t="str">
        <f t="shared" si="903"/>
        <v>2차</v>
      </c>
      <c r="D18172" s="1" t="str">
        <f>"0126D12120"</f>
        <v>0126D12120</v>
      </c>
      <c r="E18172" s="1" t="s">
        <v>10</v>
      </c>
      <c r="F18172" s="1" t="str">
        <f>"10.11.3.138"</f>
        <v>10.11.3.138</v>
      </c>
      <c r="G18172" s="1" t="str">
        <f>"0126D121"</f>
        <v>0126D121</v>
      </c>
      <c r="H18172" s="1" t="str">
        <f>"숭인지 19L7"</f>
        <v>숭인지 19L7</v>
      </c>
      <c r="I18172" s="1" t="s">
        <v>8</v>
      </c>
      <c r="J18172" s="1" t="str">
        <f>"15/19"</f>
        <v>15/19</v>
      </c>
      <c r="K18172" s="1" t="str">
        <f t="shared" si="902"/>
        <v>2026-07-29 13:18:01</v>
      </c>
      <c r="L18172" s="1" t="str">
        <f>"2017-06-22 08:44:08"</f>
        <v>2017-06-22 08:44:08</v>
      </c>
      <c r="M18172" s="1" t="s">
        <v>2</v>
      </c>
      <c r="N18172" s="1" t="s">
        <v>38</v>
      </c>
      <c r="O18172" s="1" t="s">
        <v>46</v>
      </c>
    </row>
    <row r="18173" spans="2:15" x14ac:dyDescent="0.3">
      <c r="B18173" s="1" t="s">
        <v>13</v>
      </c>
      <c r="C18173" s="1" t="str">
        <f>"4차"</f>
        <v>4차</v>
      </c>
      <c r="D18173" s="1" t="str">
        <f>"0126D12321"</f>
        <v>0126D12321</v>
      </c>
      <c r="E18173" s="1" t="s">
        <v>10</v>
      </c>
      <c r="F18173" s="1" t="str">
        <f>"10.11.3.139"</f>
        <v>10.11.3.139</v>
      </c>
      <c r="G18173" s="1" t="str">
        <f>"0126D123"</f>
        <v>0126D123</v>
      </c>
      <c r="H18173" s="1" t="str">
        <f>"숭인지 19L9"</f>
        <v>숭인지 19L9</v>
      </c>
      <c r="I18173" s="1" t="s">
        <v>8</v>
      </c>
      <c r="J18173" s="1" t="str">
        <f>"47/48"</f>
        <v>47/48</v>
      </c>
      <c r="K18173" s="1" t="str">
        <f t="shared" si="902"/>
        <v>2026-07-29 13:18:01</v>
      </c>
      <c r="L18173" s="1" t="str">
        <f>"2017-06-22 08:42:22"</f>
        <v>2017-06-22 08:42:22</v>
      </c>
      <c r="M18173" s="1" t="s">
        <v>2</v>
      </c>
      <c r="N18173" s="1" t="s">
        <v>38</v>
      </c>
      <c r="O18173" s="1" t="s">
        <v>46</v>
      </c>
    </row>
    <row r="18174" spans="2:15" x14ac:dyDescent="0.3">
      <c r="B18174" s="1" t="s">
        <v>13</v>
      </c>
      <c r="C18174" s="1" t="str">
        <f>"4차"</f>
        <v>4차</v>
      </c>
      <c r="D18174" s="1" t="str">
        <f>"0126D17139"</f>
        <v>0126D17139</v>
      </c>
      <c r="E18174" s="1" t="s">
        <v>10</v>
      </c>
      <c r="F18174" s="1" t="str">
        <f>"10.12.134.5"</f>
        <v>10.12.134.5</v>
      </c>
      <c r="G18174" s="1" t="str">
        <f>"0126D171"</f>
        <v>0126D171</v>
      </c>
      <c r="H18174" s="1" t="str">
        <f>"왕산로 L1-2"</f>
        <v>왕산로 L1-2</v>
      </c>
      <c r="I18174" s="1" t="s">
        <v>17</v>
      </c>
      <c r="J18174" s="1" t="str">
        <f>"6/6"</f>
        <v>6/6</v>
      </c>
      <c r="K18174" s="1" t="str">
        <f t="shared" si="902"/>
        <v>2026-07-29 13:18:01</v>
      </c>
      <c r="L18174" s="1" t="str">
        <f>"2018-06-15 10:36:55"</f>
        <v>2018-06-15 10:36:55</v>
      </c>
      <c r="M18174" s="1" t="s">
        <v>0</v>
      </c>
      <c r="N18174" s="1" t="s">
        <v>38</v>
      </c>
      <c r="O18174" s="1" t="s">
        <v>46</v>
      </c>
    </row>
    <row r="18175" spans="2:15" x14ac:dyDescent="0.3">
      <c r="B18175" s="1" t="s">
        <v>13</v>
      </c>
      <c r="C18175" s="1" t="str">
        <f>"2차"</f>
        <v>2차</v>
      </c>
      <c r="D18175" s="1" t="str">
        <f>"0126D19221"</f>
        <v>0126D19221</v>
      </c>
      <c r="E18175" s="1" t="s">
        <v>10</v>
      </c>
      <c r="F18175" s="1" t="str">
        <f>"10.11.6.179"</f>
        <v>10.11.6.179</v>
      </c>
      <c r="G18175" s="1" t="str">
        <f>"0126D192"</f>
        <v>0126D192</v>
      </c>
      <c r="H18175" s="1" t="str">
        <f>"청량리간 28L2L1"</f>
        <v>청량리간 28L2L1</v>
      </c>
      <c r="I18175" s="1" t="s">
        <v>8</v>
      </c>
      <c r="J18175" s="1" t="str">
        <f>"28/28"</f>
        <v>28/28</v>
      </c>
      <c r="K18175" s="1" t="str">
        <f t="shared" si="902"/>
        <v>2026-07-29 13:18:01</v>
      </c>
      <c r="L18175" s="1" t="str">
        <f>"2017-07-14 11:08:39"</f>
        <v>2017-07-14 11:08:39</v>
      </c>
      <c r="M18175" s="1" t="s">
        <v>2</v>
      </c>
      <c r="N18175" s="1" t="s">
        <v>38</v>
      </c>
      <c r="O18175" s="1" t="s">
        <v>46</v>
      </c>
    </row>
    <row r="18176" spans="2:15" x14ac:dyDescent="0.3">
      <c r="B18176" s="1" t="s">
        <v>13</v>
      </c>
      <c r="C18176" s="1" t="s">
        <v>16</v>
      </c>
      <c r="D18176" s="1" t="str">
        <f>"0126D26341"</f>
        <v>0126D26341</v>
      </c>
      <c r="E18176" s="1" t="s">
        <v>10</v>
      </c>
      <c r="F18176" s="1" t="str">
        <f>"10.14.4.131"</f>
        <v>10.14.4.131</v>
      </c>
      <c r="G18176" s="1" t="str">
        <f>"0126D263"</f>
        <v>0126D263</v>
      </c>
      <c r="H18176" s="1" t="str">
        <f>"숭인지 14L1R1"</f>
        <v>숭인지 14L1R1</v>
      </c>
      <c r="I18176" s="1" t="s">
        <v>17</v>
      </c>
      <c r="J18176" s="1" t="str">
        <f>"6/6"</f>
        <v>6/6</v>
      </c>
      <c r="K18176" s="1" t="str">
        <f>"2026-07-29 13:18:02"</f>
        <v>2026-07-29 13:18:02</v>
      </c>
      <c r="L18176" s="1" t="str">
        <f>"2022-11-15 08:02:19"</f>
        <v>2022-11-15 08:02:19</v>
      </c>
      <c r="M18176" s="1" t="s">
        <v>3</v>
      </c>
      <c r="N18176" s="1" t="s">
        <v>38</v>
      </c>
      <c r="O18176" s="1" t="s">
        <v>46</v>
      </c>
    </row>
    <row r="18177" spans="2:15" x14ac:dyDescent="0.3">
      <c r="B18177" s="1" t="s">
        <v>13</v>
      </c>
      <c r="C18177" s="1" t="str">
        <f>"4차"</f>
        <v>4차</v>
      </c>
      <c r="D18177" s="1" t="str">
        <f>"0126D28139"</f>
        <v>0126D28139</v>
      </c>
      <c r="E18177" s="1" t="s">
        <v>10</v>
      </c>
      <c r="F18177" s="1" t="str">
        <f>"10.14.4.52"</f>
        <v>10.14.4.52</v>
      </c>
      <c r="G18177" s="1" t="str">
        <f>"0126D281"</f>
        <v>0126D281</v>
      </c>
      <c r="H18177" s="1" t="str">
        <f>"왕산로 R4-1"</f>
        <v>왕산로 R4-1</v>
      </c>
      <c r="I18177" s="1" t="s">
        <v>17</v>
      </c>
      <c r="J18177" s="1" t="str">
        <f>"10/28"</f>
        <v>10/28</v>
      </c>
      <c r="K18177" s="1" t="str">
        <f>"2026-07-29 13:18:03"</f>
        <v>2026-07-29 13:18:03</v>
      </c>
      <c r="L18177" s="1" t="str">
        <f>"2018-06-11 13:52:14"</f>
        <v>2018-06-11 13:52:14</v>
      </c>
      <c r="M18177" s="1" t="s">
        <v>3</v>
      </c>
      <c r="N18177" s="1" t="s">
        <v>38</v>
      </c>
      <c r="O18177" s="1" t="s">
        <v>46</v>
      </c>
    </row>
    <row r="18178" spans="2:15" x14ac:dyDescent="0.3">
      <c r="B18178" s="1" t="s">
        <v>13</v>
      </c>
      <c r="C18178" s="1" t="str">
        <f>"2차"</f>
        <v>2차</v>
      </c>
      <c r="D18178" s="1" t="str">
        <f>"0126D29129"</f>
        <v>0126D29129</v>
      </c>
      <c r="E18178" s="1" t="s">
        <v>10</v>
      </c>
      <c r="F18178" s="1" t="str">
        <f>"10.11.6.194"</f>
        <v>10.11.6.194</v>
      </c>
      <c r="G18178" s="1" t="str">
        <f>"0126D291"</f>
        <v>0126D291</v>
      </c>
      <c r="H18178" s="1" t="str">
        <f>"청량리간 28L3"</f>
        <v>청량리간 28L3</v>
      </c>
      <c r="I18178" s="1" t="s">
        <v>8</v>
      </c>
      <c r="J18178" s="1" t="str">
        <f>"25/26"</f>
        <v>25/26</v>
      </c>
      <c r="K18178" s="1" t="str">
        <f>"2026-07-29 13:18:01"</f>
        <v>2026-07-29 13:18:01</v>
      </c>
      <c r="L18178" s="1" t="str">
        <f>"2017-06-21 17:41:02"</f>
        <v>2017-06-21 17:41:02</v>
      </c>
      <c r="M18178" s="1" t="s">
        <v>2</v>
      </c>
      <c r="N18178" s="1" t="s">
        <v>38</v>
      </c>
      <c r="O18178" s="1" t="s">
        <v>46</v>
      </c>
    </row>
    <row r="18179" spans="2:15" x14ac:dyDescent="0.3">
      <c r="B18179" s="1" t="s">
        <v>13</v>
      </c>
      <c r="C18179" s="1" t="str">
        <f>"5-1차"</f>
        <v>5-1차</v>
      </c>
      <c r="D18179" s="1" t="str">
        <f>"0126D3625M"</f>
        <v>0126D3625M</v>
      </c>
      <c r="E18179" s="1" t="s">
        <v>10</v>
      </c>
      <c r="F18179" s="1" t="str">
        <f>"fde3:102:1304:3302:0:0:0:10"</f>
        <v>fde3:102:1304:3302:0:0:0:10</v>
      </c>
      <c r="G18179" s="1" t="str">
        <f>"0126D362"</f>
        <v>0126D362</v>
      </c>
      <c r="H18179" s="1" t="str">
        <f>"숭인지 12L2"</f>
        <v>숭인지 12L2</v>
      </c>
      <c r="I18179" s="1" t="s">
        <v>15</v>
      </c>
      <c r="J18179" s="1" t="str">
        <f>"25/28"</f>
        <v>25/28</v>
      </c>
      <c r="K18179" s="1" t="str">
        <f>"2026-07-29 14:20:27"</f>
        <v>2026-07-29 14:20:27</v>
      </c>
      <c r="L18179" s="1" t="str">
        <f>"2022-11-30 15:34:32"</f>
        <v>2022-11-30 15:34:32</v>
      </c>
      <c r="M18179" s="1" t="s">
        <v>45</v>
      </c>
      <c r="N18179" s="1" t="s">
        <v>38</v>
      </c>
      <c r="O18179" s="1" t="s">
        <v>46</v>
      </c>
    </row>
    <row r="18180" spans="2:15" x14ac:dyDescent="0.3">
      <c r="B18180" s="1" t="s">
        <v>13</v>
      </c>
      <c r="C18180" s="1" t="str">
        <f>"5-1차"</f>
        <v>5-1차</v>
      </c>
      <c r="D18180" s="1" t="str">
        <f>"0126D4445S"</f>
        <v>0126D4445S</v>
      </c>
      <c r="E18180" s="1" t="s">
        <v>10</v>
      </c>
      <c r="F18180" s="1" t="str">
        <f>"fde2:104:0:180:0:0:0:2"</f>
        <v>fde2:104:0:180:0:0:0:2</v>
      </c>
      <c r="G18180" s="1" t="str">
        <f>"0126D444"</f>
        <v>0126D444</v>
      </c>
      <c r="H18180" s="1" t="str">
        <f>"숭인지 4L15"</f>
        <v>숭인지 4L15</v>
      </c>
      <c r="I18180" s="1" t="s">
        <v>15</v>
      </c>
      <c r="J18180" s="1" t="str">
        <f>"117/117"</f>
        <v>117/117</v>
      </c>
      <c r="K18180" s="1" t="str">
        <f>"2026-07-29 08:20:28"</f>
        <v>2026-07-29 08:20:28</v>
      </c>
      <c r="L18180" s="1" t="str">
        <f>"2022-11-21 10:42:03"</f>
        <v>2022-11-21 10:42:03</v>
      </c>
      <c r="M18180" s="1" t="s">
        <v>42</v>
      </c>
      <c r="N18180" s="1" t="s">
        <v>38</v>
      </c>
      <c r="O18180" s="1" t="s">
        <v>46</v>
      </c>
    </row>
    <row r="18181" spans="2:15" x14ac:dyDescent="0.3">
      <c r="B18181" s="1" t="s">
        <v>13</v>
      </c>
      <c r="C18181" s="1" t="str">
        <f>"4차"</f>
        <v>4차</v>
      </c>
      <c r="D18181" s="1" t="str">
        <f>"0126D48239"</f>
        <v>0126D48239</v>
      </c>
      <c r="E18181" s="1" t="s">
        <v>10</v>
      </c>
      <c r="F18181" s="1" t="str">
        <f>"10.12.134.160"</f>
        <v>10.12.134.160</v>
      </c>
      <c r="G18181" s="1" t="str">
        <f>"0126D482"</f>
        <v>0126D482</v>
      </c>
      <c r="H18181" s="1" t="str">
        <f>"왕산로 L1-1"</f>
        <v>왕산로 L1-1</v>
      </c>
      <c r="I18181" s="1" t="s">
        <v>17</v>
      </c>
      <c r="J18181" s="1" t="str">
        <f>"4/11"</f>
        <v>4/11</v>
      </c>
      <c r="K18181" s="1" t="str">
        <f>"2026-07-29 13:18:01"</f>
        <v>2026-07-29 13:18:01</v>
      </c>
      <c r="L18181" s="1" t="str">
        <f>"2018-06-15 10:50:26"</f>
        <v>2018-06-15 10:50:26</v>
      </c>
      <c r="M18181" s="1" t="s">
        <v>0</v>
      </c>
      <c r="N18181" s="1" t="s">
        <v>38</v>
      </c>
      <c r="O18181" s="1" t="s">
        <v>46</v>
      </c>
    </row>
    <row r="18182" spans="2:15" x14ac:dyDescent="0.3">
      <c r="B18182" s="1" t="s">
        <v>13</v>
      </c>
      <c r="C18182" s="1" t="str">
        <f>"5-2차"</f>
        <v>5-2차</v>
      </c>
      <c r="D18182" s="1" t="str">
        <f>"0126D5025M"</f>
        <v>0126D5025M</v>
      </c>
      <c r="E18182" s="1" t="s">
        <v>10</v>
      </c>
      <c r="F18182" s="1" t="str">
        <f>"fde1:103:4:567b:0:0:0:2"</f>
        <v>fde1:103:4:567b:0:0:0:2</v>
      </c>
      <c r="G18182" s="1" t="str">
        <f>"0126D502"</f>
        <v>0126D502</v>
      </c>
      <c r="H18182" s="1" t="str">
        <f>"신당간 47R4L1R12"</f>
        <v>신당간 47R4L1R12</v>
      </c>
      <c r="I18182" s="1" t="s">
        <v>15</v>
      </c>
      <c r="J18182" s="1" t="str">
        <f>"86/110"</f>
        <v>86/110</v>
      </c>
      <c r="K18182" s="1" t="str">
        <f>"2026-07-29 08:20:26"</f>
        <v>2026-07-29 08:20:26</v>
      </c>
      <c r="L18182" s="1" t="str">
        <f>"2023-08-24 10:22:03"</f>
        <v>2023-08-24 10:22:03</v>
      </c>
      <c r="M18182" s="1" t="s">
        <v>4</v>
      </c>
      <c r="N18182" s="1" t="s">
        <v>38</v>
      </c>
      <c r="O18182" s="1" t="s">
        <v>46</v>
      </c>
    </row>
    <row r="18183" spans="2:15" x14ac:dyDescent="0.3">
      <c r="B18183" s="1" t="s">
        <v>13</v>
      </c>
      <c r="C18183" s="1" t="str">
        <f>"5-2차"</f>
        <v>5-2차</v>
      </c>
      <c r="D18183" s="1" t="str">
        <f>"0126D5515M"</f>
        <v>0126D5515M</v>
      </c>
      <c r="E18183" s="1" t="s">
        <v>10</v>
      </c>
      <c r="F18183" s="1" t="str">
        <f>"fde3:102:1304:3300:0:0:0:3"</f>
        <v>fde3:102:1304:3300:0:0:0:3</v>
      </c>
      <c r="G18183" s="1" t="str">
        <f>"0126D551"</f>
        <v>0126D551</v>
      </c>
      <c r="H18183" s="1" t="str">
        <f>"숭인지 4L11"</f>
        <v>숭인지 4L11</v>
      </c>
      <c r="I18183" s="1" t="s">
        <v>15</v>
      </c>
      <c r="J18183" s="1" t="str">
        <f>"15/15"</f>
        <v>15/15</v>
      </c>
      <c r="K18183" s="1" t="str">
        <f>"2026-07-28 20:03:23"</f>
        <v>2026-07-28 20:03:23</v>
      </c>
      <c r="L18183" s="1" t="str">
        <f>"2023-07-05 09:30:24"</f>
        <v>2023-07-05 09:30:24</v>
      </c>
      <c r="M18183" s="1" t="s">
        <v>45</v>
      </c>
      <c r="N18183" s="1" t="s">
        <v>38</v>
      </c>
      <c r="O18183" s="1" t="s">
        <v>46</v>
      </c>
    </row>
    <row r="18184" spans="2:15" x14ac:dyDescent="0.3">
      <c r="B18184" s="1" t="s">
        <v>13</v>
      </c>
      <c r="C18184" s="1" t="s">
        <v>16</v>
      </c>
      <c r="D18184" s="1" t="str">
        <f>"0126D55241"</f>
        <v>0126D55241</v>
      </c>
      <c r="E18184" s="1" t="s">
        <v>10</v>
      </c>
      <c r="F18184" s="1" t="str">
        <f>"10.14.4.202"</f>
        <v>10.14.4.202</v>
      </c>
      <c r="G18184" s="1" t="str">
        <f>"0126D552"</f>
        <v>0126D552</v>
      </c>
      <c r="H18184" s="1" t="str">
        <f>"숭인지 4L10"</f>
        <v>숭인지 4L10</v>
      </c>
      <c r="I18184" s="1" t="s">
        <v>17</v>
      </c>
      <c r="J18184" s="1" t="str">
        <f>"16/16"</f>
        <v>16/16</v>
      </c>
      <c r="K18184" s="1" t="str">
        <f>"2026-07-29 13:18:02"</f>
        <v>2026-07-29 13:18:02</v>
      </c>
      <c r="L18184" s="1" t="str">
        <f>"2022-11-15 09:03:34"</f>
        <v>2022-11-15 09:03:34</v>
      </c>
      <c r="M18184" s="1" t="s">
        <v>3</v>
      </c>
      <c r="N18184" s="1" t="s">
        <v>38</v>
      </c>
      <c r="O18184" s="1" t="s">
        <v>46</v>
      </c>
    </row>
    <row r="18185" spans="2:15" x14ac:dyDescent="0.3">
      <c r="B18185" s="1" t="s">
        <v>13</v>
      </c>
      <c r="C18185" s="1" t="str">
        <f>"5-1차"</f>
        <v>5-1차</v>
      </c>
      <c r="D18185" s="1" t="str">
        <f>"0126D5615M"</f>
        <v>0126D5615M</v>
      </c>
      <c r="E18185" s="1" t="s">
        <v>10</v>
      </c>
      <c r="F18185" s="1" t="str">
        <f>"fde2:104:0:65:0:0:0:2"</f>
        <v>fde2:104:0:65:0:0:0:2</v>
      </c>
      <c r="G18185" s="1" t="str">
        <f>"0126D561"</f>
        <v>0126D561</v>
      </c>
      <c r="H18185" s="1" t="str">
        <f>"숭인지 12L4"</f>
        <v>숭인지 12L4</v>
      </c>
      <c r="I18185" s="1" t="s">
        <v>15</v>
      </c>
      <c r="J18185" s="1" t="str">
        <f>"15/15"</f>
        <v>15/15</v>
      </c>
      <c r="K18185" s="1" t="str">
        <f>"2026-07-29 14:20:19"</f>
        <v>2026-07-29 14:20:19</v>
      </c>
      <c r="L18185" s="1" t="str">
        <f>"2022-11-16 14:03:21"</f>
        <v>2022-11-16 14:03:21</v>
      </c>
      <c r="M18185" s="1" t="s">
        <v>42</v>
      </c>
      <c r="N18185" s="1" t="s">
        <v>38</v>
      </c>
      <c r="O18185" s="1" t="s">
        <v>46</v>
      </c>
    </row>
    <row r="18186" spans="2:15" x14ac:dyDescent="0.3">
      <c r="B18186" s="1" t="s">
        <v>13</v>
      </c>
      <c r="C18186" s="1" t="str">
        <f>"4차"</f>
        <v>4차</v>
      </c>
      <c r="D18186" s="1" t="str">
        <f>"0126D59139"</f>
        <v>0126D59139</v>
      </c>
      <c r="E18186" s="1" t="s">
        <v>10</v>
      </c>
      <c r="F18186" s="1" t="str">
        <f>"10.14.15.117"</f>
        <v>10.14.15.117</v>
      </c>
      <c r="G18186" s="1" t="str">
        <f>"0126D591"</f>
        <v>0126D591</v>
      </c>
      <c r="H18186" s="1" t="str">
        <f>"왕산로 R4-2"</f>
        <v>왕산로 R4-2</v>
      </c>
      <c r="I18186" s="1" t="s">
        <v>17</v>
      </c>
      <c r="J18186" s="1" t="str">
        <f>"11/11"</f>
        <v>11/11</v>
      </c>
      <c r="K18186" s="1" t="str">
        <f>"2026-07-29 13:18:02"</f>
        <v>2026-07-29 13:18:02</v>
      </c>
      <c r="L18186" s="1" t="str">
        <f>"2018-06-11 14:13:48"</f>
        <v>2018-06-11 14:13:48</v>
      </c>
      <c r="M18186" s="1" t="s">
        <v>3</v>
      </c>
      <c r="N18186" s="1" t="s">
        <v>38</v>
      </c>
      <c r="O18186" s="1" t="s">
        <v>46</v>
      </c>
    </row>
    <row r="18187" spans="2:15" x14ac:dyDescent="0.3">
      <c r="B18187" s="1" t="s">
        <v>13</v>
      </c>
      <c r="C18187" s="1" t="str">
        <f>"5-2차"</f>
        <v>5-2차</v>
      </c>
      <c r="D18187" s="1" t="str">
        <f>"0126D6025M"</f>
        <v>0126D6025M</v>
      </c>
      <c r="E18187" s="1" t="s">
        <v>10</v>
      </c>
      <c r="F18187" s="1" t="str">
        <f>"fde1:103:4:55a2:0:0:0:2"</f>
        <v>fde1:103:4:55a2:0:0:0:2</v>
      </c>
      <c r="G18187" s="1" t="str">
        <f>"0126D602"</f>
        <v>0126D602</v>
      </c>
      <c r="H18187" s="1" t="str">
        <f>"신당간 47R4L1R9"</f>
        <v>신당간 47R4L1R9</v>
      </c>
      <c r="I18187" s="1" t="s">
        <v>15</v>
      </c>
      <c r="J18187" s="1" t="str">
        <f>"156/168"</f>
        <v>156/168</v>
      </c>
      <c r="K18187" s="1" t="str">
        <f>"2026-07-29 14:20:25"</f>
        <v>2026-07-29 14:20:25</v>
      </c>
      <c r="L18187" s="1" t="str">
        <f>"2023-08-24 10:51:52"</f>
        <v>2023-08-24 10:51:52</v>
      </c>
      <c r="M18187" s="1" t="s">
        <v>4</v>
      </c>
      <c r="N18187" s="1" t="s">
        <v>38</v>
      </c>
      <c r="O18187" s="1" t="s">
        <v>46</v>
      </c>
    </row>
    <row r="18188" spans="2:15" x14ac:dyDescent="0.3">
      <c r="B18188" s="1" t="s">
        <v>13</v>
      </c>
      <c r="C18188" s="1" t="str">
        <f>"5-2차"</f>
        <v>5-2차</v>
      </c>
      <c r="D18188" s="1" t="str">
        <f>"0126D7835M"</f>
        <v>0126D7835M</v>
      </c>
      <c r="E18188" s="1" t="s">
        <v>10</v>
      </c>
      <c r="F18188" s="1" t="str">
        <f>"fde1:103:4:5561:0:0:0:2"</f>
        <v>fde1:103:4:5561:0:0:0:2</v>
      </c>
      <c r="G18188" s="1" t="str">
        <f>"0126D783"</f>
        <v>0126D783</v>
      </c>
      <c r="H18188" s="1" t="str">
        <f>"숭인지 6L1"</f>
        <v>숭인지 6L1</v>
      </c>
      <c r="I18188" s="1" t="s">
        <v>15</v>
      </c>
      <c r="J18188" s="1" t="str">
        <f>"34/34"</f>
        <v>34/34</v>
      </c>
      <c r="K18188" s="1" t="str">
        <f>"2026-07-29 14:20:18"</f>
        <v>2026-07-29 14:20:18</v>
      </c>
      <c r="L18188" s="1" t="str">
        <f>"2023-08-23 13:15:34"</f>
        <v>2023-08-23 13:15:34</v>
      </c>
      <c r="M18188" s="1" t="s">
        <v>4</v>
      </c>
      <c r="N18188" s="1" t="s">
        <v>38</v>
      </c>
      <c r="O18188" s="1" t="s">
        <v>46</v>
      </c>
    </row>
    <row r="18189" spans="2:15" x14ac:dyDescent="0.3">
      <c r="B18189" s="1" t="s">
        <v>13</v>
      </c>
      <c r="C18189" s="1" t="str">
        <f>"4차"</f>
        <v>4차</v>
      </c>
      <c r="D18189" s="1" t="str">
        <f>"0126D87439"</f>
        <v>0126D87439</v>
      </c>
      <c r="E18189" s="1" t="s">
        <v>14</v>
      </c>
      <c r="F18189" s="1" t="str">
        <f>"10.14.13.33"</f>
        <v>10.14.13.33</v>
      </c>
      <c r="G18189" s="1" t="str">
        <f>"0126D874"</f>
        <v>0126D874</v>
      </c>
      <c r="H18189" s="1" t="str">
        <f>"난계로 1"</f>
        <v>난계로 1</v>
      </c>
      <c r="I18189" s="1" t="s">
        <v>17</v>
      </c>
      <c r="J18189" s="1" t="str">
        <f>"0/0"</f>
        <v>0/0</v>
      </c>
      <c r="K18189" s="1" t="str">
        <f>"2026-07-29 13:18:02"</f>
        <v>2026-07-29 13:18:02</v>
      </c>
      <c r="L18189" s="1" t="str">
        <f>"2018-06-12 10:46:13"</f>
        <v>2018-06-12 10:46:13</v>
      </c>
      <c r="M18189" s="1" t="s">
        <v>3</v>
      </c>
      <c r="N18189" s="1" t="s">
        <v>38</v>
      </c>
      <c r="O18189" s="1" t="s">
        <v>44</v>
      </c>
    </row>
    <row r="18190" spans="2:15" x14ac:dyDescent="0.3">
      <c r="B18190" s="1" t="s">
        <v>13</v>
      </c>
      <c r="C18190" s="1" t="str">
        <f>"4차"</f>
        <v>4차</v>
      </c>
      <c r="D18190" s="1" t="str">
        <f>"0126P19129"</f>
        <v>0126P19129</v>
      </c>
      <c r="E18190" s="1" t="s">
        <v>10</v>
      </c>
      <c r="F18190" s="1" t="str">
        <f>"10.12.138.129"</f>
        <v>10.12.138.129</v>
      </c>
      <c r="G18190" s="1" t="str">
        <f>"0126P191"</f>
        <v>0126P191</v>
      </c>
      <c r="H18190" s="1" t="str">
        <f>"숭인지 32R7"</f>
        <v>숭인지 32R7</v>
      </c>
      <c r="I18190" s="1" t="s">
        <v>8</v>
      </c>
      <c r="J18190" s="1" t="str">
        <f>"49/49"</f>
        <v>49/49</v>
      </c>
      <c r="K18190" s="1" t="str">
        <f>"2026-07-29 13:18:02"</f>
        <v>2026-07-29 13:18:02</v>
      </c>
      <c r="L18190" s="1" t="str">
        <f>"2017-07-26 11:31:04"</f>
        <v>2017-07-26 11:31:04</v>
      </c>
      <c r="M18190" s="1" t="s">
        <v>0</v>
      </c>
      <c r="N18190" s="1" t="s">
        <v>38</v>
      </c>
      <c r="O18190" s="1" t="s">
        <v>46</v>
      </c>
    </row>
    <row r="18191" spans="2:15" x14ac:dyDescent="0.3">
      <c r="B18191" s="1" t="s">
        <v>13</v>
      </c>
      <c r="C18191" s="1" t="str">
        <f>"5-2차"</f>
        <v>5-2차</v>
      </c>
      <c r="D18191" s="1" t="str">
        <f>"0126P2025M"</f>
        <v>0126P2025M</v>
      </c>
      <c r="E18191" s="1" t="s">
        <v>10</v>
      </c>
      <c r="F18191" s="1" t="str">
        <f>"fde3:102:1305:3700:0:0:0:2"</f>
        <v>fde3:102:1305:3700:0:0:0:2</v>
      </c>
      <c r="G18191" s="1" t="str">
        <f>"0126P202"</f>
        <v>0126P202</v>
      </c>
      <c r="H18191" s="1" t="str">
        <f>"왕십리간 82R5L1L2"</f>
        <v>왕십리간 82R5L1L2</v>
      </c>
      <c r="I18191" s="1" t="s">
        <v>15</v>
      </c>
      <c r="J18191" s="1" t="str">
        <f>"28/28"</f>
        <v>28/28</v>
      </c>
      <c r="K18191" s="1" t="str">
        <f>"2026-07-28 20:03:26"</f>
        <v>2026-07-28 20:03:26</v>
      </c>
      <c r="L18191" s="1" t="str">
        <f>"2023-07-24 11:21:41"</f>
        <v>2023-07-24 11:21:41</v>
      </c>
      <c r="M18191" s="1" t="s">
        <v>45</v>
      </c>
      <c r="N18191" s="1" t="s">
        <v>38</v>
      </c>
      <c r="O18191" s="1" t="s">
        <v>46</v>
      </c>
    </row>
    <row r="18192" spans="2:15" x14ac:dyDescent="0.3">
      <c r="B18192" s="1" t="s">
        <v>13</v>
      </c>
      <c r="C18192" s="1" t="str">
        <f>"5-2차"</f>
        <v>5-2차</v>
      </c>
      <c r="D18192" s="1" t="str">
        <f>"0126P2115M"</f>
        <v>0126P2115M</v>
      </c>
      <c r="E18192" s="1" t="s">
        <v>10</v>
      </c>
      <c r="F18192" s="1" t="str">
        <f>"fde3:102:1305:3801:0:0:0:2"</f>
        <v>fde3:102:1305:3801:0:0:0:2</v>
      </c>
      <c r="G18192" s="1" t="str">
        <f>"0126P211"</f>
        <v>0126P211</v>
      </c>
      <c r="H18192" s="1" t="str">
        <f>"왕십리간 82R5L1"</f>
        <v>왕십리간 82R5L1</v>
      </c>
      <c r="I18192" s="1" t="s">
        <v>15</v>
      </c>
      <c r="J18192" s="1" t="str">
        <f>"27/32"</f>
        <v>27/32</v>
      </c>
      <c r="K18192" s="1" t="str">
        <f>"2026-07-29 14:20:00"</f>
        <v>2026-07-29 14:20:00</v>
      </c>
      <c r="L18192" s="1" t="str">
        <f>"2023-11-23 14:49:11"</f>
        <v>2023-11-23 14:49:11</v>
      </c>
      <c r="M18192" s="1" t="s">
        <v>45</v>
      </c>
      <c r="N18192" s="1" t="s">
        <v>38</v>
      </c>
      <c r="O18192" s="1" t="s">
        <v>46</v>
      </c>
    </row>
    <row r="18193" spans="2:15" x14ac:dyDescent="0.3">
      <c r="B18193" s="1" t="s">
        <v>13</v>
      </c>
      <c r="C18193" s="1" t="str">
        <f>"5-2차"</f>
        <v>5-2차</v>
      </c>
      <c r="D18193" s="1" t="str">
        <f>"0126P2215M"</f>
        <v>0126P2215M</v>
      </c>
      <c r="E18193" s="1" t="s">
        <v>10</v>
      </c>
      <c r="F18193" s="1" t="str">
        <f>"fde3:102:1305:3700:0:0:0:3"</f>
        <v>fde3:102:1305:3700:0:0:0:3</v>
      </c>
      <c r="G18193" s="1" t="str">
        <f>"0126P221"</f>
        <v>0126P221</v>
      </c>
      <c r="H18193" s="1" t="str">
        <f>"왕십리간 82R5L2"</f>
        <v>왕십리간 82R5L2</v>
      </c>
      <c r="I18193" s="1" t="s">
        <v>15</v>
      </c>
      <c r="J18193" s="1" t="str">
        <f>"16/16"</f>
        <v>16/16</v>
      </c>
      <c r="K18193" s="1" t="str">
        <f>"2026-07-29 14:20:18"</f>
        <v>2026-07-29 14:20:18</v>
      </c>
      <c r="L18193" s="1" t="str">
        <f>"2023-06-13 18:14:27"</f>
        <v>2023-06-13 18:14:27</v>
      </c>
      <c r="M18193" s="1" t="s">
        <v>45</v>
      </c>
      <c r="N18193" s="1" t="s">
        <v>38</v>
      </c>
      <c r="O18193" s="1" t="s">
        <v>46</v>
      </c>
    </row>
    <row r="18194" spans="2:15" x14ac:dyDescent="0.3">
      <c r="B18194" s="1" t="s">
        <v>13</v>
      </c>
      <c r="C18194" s="1" t="str">
        <f>"4차"</f>
        <v>4차</v>
      </c>
      <c r="D18194" s="1" t="str">
        <f>"0126P29129"</f>
        <v>0126P29129</v>
      </c>
      <c r="E18194" s="1" t="s">
        <v>10</v>
      </c>
      <c r="F18194" s="1" t="str">
        <f>"10.11.44.234"</f>
        <v>10.11.44.234</v>
      </c>
      <c r="G18194" s="1" t="str">
        <f>"0126P291"</f>
        <v>0126P291</v>
      </c>
      <c r="H18194" s="1" t="str">
        <f>"숭인지 32R6"</f>
        <v>숭인지 32R6</v>
      </c>
      <c r="I18194" s="1" t="s">
        <v>8</v>
      </c>
      <c r="J18194" s="1" t="str">
        <f>"8/8"</f>
        <v>8/8</v>
      </c>
      <c r="K18194" s="1" t="str">
        <f>"2026-07-29 13:18:01"</f>
        <v>2026-07-29 13:18:01</v>
      </c>
      <c r="L18194" s="1" t="str">
        <f>"2017-07-26 11:31:04"</f>
        <v>2017-07-26 11:31:04</v>
      </c>
      <c r="M18194" s="1" t="s">
        <v>2</v>
      </c>
      <c r="N18194" s="1" t="s">
        <v>38</v>
      </c>
      <c r="O18194" s="1" t="s">
        <v>46</v>
      </c>
    </row>
    <row r="18195" spans="2:15" x14ac:dyDescent="0.3">
      <c r="B18195" s="1" t="s">
        <v>13</v>
      </c>
      <c r="C18195" s="1" t="s">
        <v>16</v>
      </c>
      <c r="D18195" s="1" t="str">
        <f>"0126P30441"</f>
        <v>0126P30441</v>
      </c>
      <c r="E18195" s="1" t="s">
        <v>10</v>
      </c>
      <c r="F18195" s="1" t="str">
        <f>"10.14.7.131"</f>
        <v>10.14.7.131</v>
      </c>
      <c r="G18195" s="1" t="str">
        <f>"0126P304"</f>
        <v>0126P304</v>
      </c>
      <c r="H18195" s="1" t="str">
        <f>"왕십리간 82R3LH1"</f>
        <v>왕십리간 82R3LH1</v>
      </c>
      <c r="I18195" s="1" t="s">
        <v>17</v>
      </c>
      <c r="J18195" s="1" t="str">
        <f>"18/18"</f>
        <v>18/18</v>
      </c>
      <c r="K18195" s="1" t="str">
        <f>"2026-07-29 13:18:02"</f>
        <v>2026-07-29 13:18:02</v>
      </c>
      <c r="L18195" s="1" t="str">
        <f>"2022-11-16 09:53:30"</f>
        <v>2022-11-16 09:53:30</v>
      </c>
      <c r="M18195" s="1" t="s">
        <v>3</v>
      </c>
      <c r="N18195" s="1" t="s">
        <v>38</v>
      </c>
      <c r="O18195" s="1" t="s">
        <v>46</v>
      </c>
    </row>
    <row r="18196" spans="2:15" x14ac:dyDescent="0.3">
      <c r="B18196" s="1" t="s">
        <v>13</v>
      </c>
      <c r="C18196" s="1" t="str">
        <f>"5-2차"</f>
        <v>5-2차</v>
      </c>
      <c r="D18196" s="1" t="str">
        <f>"0126P3325M"</f>
        <v>0126P3325M</v>
      </c>
      <c r="E18196" s="1" t="s">
        <v>10</v>
      </c>
      <c r="F18196" s="1" t="str">
        <f>"fde3:102:1305:3801:0:0:0:4"</f>
        <v>fde3:102:1305:3801:0:0:0:4</v>
      </c>
      <c r="G18196" s="1" t="str">
        <f>"0126P332"</f>
        <v>0126P332</v>
      </c>
      <c r="H18196" s="1" t="str">
        <f>"왕십리간 82R6L2"</f>
        <v>왕십리간 82R6L2</v>
      </c>
      <c r="I18196" s="1" t="s">
        <v>15</v>
      </c>
      <c r="J18196" s="1" t="str">
        <f>"50/52"</f>
        <v>50/52</v>
      </c>
      <c r="K18196" s="1" t="str">
        <f>"2026-07-29 14:20:18"</f>
        <v>2026-07-29 14:20:18</v>
      </c>
      <c r="L18196" s="1" t="str">
        <f>"2023-11-23 15:02:49"</f>
        <v>2023-11-23 15:02:49</v>
      </c>
      <c r="M18196" s="1" t="s">
        <v>45</v>
      </c>
      <c r="N18196" s="1" t="s">
        <v>38</v>
      </c>
      <c r="O18196" s="1" t="s">
        <v>46</v>
      </c>
    </row>
    <row r="18197" spans="2:15" x14ac:dyDescent="0.3">
      <c r="B18197" s="1" t="s">
        <v>13</v>
      </c>
      <c r="C18197" s="1" t="str">
        <f>"4차"</f>
        <v>4차</v>
      </c>
      <c r="D18197" s="1" t="str">
        <f>"0126P37839"</f>
        <v>0126P37839</v>
      </c>
      <c r="E18197" s="1" t="s">
        <v>10</v>
      </c>
      <c r="F18197" s="1" t="str">
        <f>"10.12.132.212"</f>
        <v>10.12.132.212</v>
      </c>
      <c r="G18197" s="1" t="str">
        <f>"0126P378"</f>
        <v>0126P378</v>
      </c>
      <c r="H18197" s="1" t="str">
        <f>"마장로 5-1"</f>
        <v>마장로 5-1</v>
      </c>
      <c r="I18197" s="1" t="s">
        <v>17</v>
      </c>
      <c r="J18197" s="1" t="str">
        <f>"112/112"</f>
        <v>112/112</v>
      </c>
      <c r="K18197" s="1" t="str">
        <f>"2026-07-29 13:18:02"</f>
        <v>2026-07-29 13:18:02</v>
      </c>
      <c r="L18197" s="1" t="str">
        <f>"2018-06-11 14:46:46"</f>
        <v>2018-06-11 14:46:46</v>
      </c>
      <c r="M18197" s="1" t="s">
        <v>0</v>
      </c>
      <c r="N18197" s="1" t="s">
        <v>38</v>
      </c>
      <c r="O18197" s="1" t="s">
        <v>46</v>
      </c>
    </row>
    <row r="18198" spans="2:15" x14ac:dyDescent="0.3">
      <c r="B18198" s="1" t="s">
        <v>13</v>
      </c>
      <c r="C18198" s="1" t="str">
        <f>"5-2차"</f>
        <v>5-2차</v>
      </c>
      <c r="D18198" s="1" t="str">
        <f>"0126P4215M"</f>
        <v>0126P4215M</v>
      </c>
      <c r="E18198" s="1" t="s">
        <v>10</v>
      </c>
      <c r="F18198" s="1" t="str">
        <f>"fde3:102:1305:3801:0:0:0:3"</f>
        <v>fde3:102:1305:3801:0:0:0:3</v>
      </c>
      <c r="G18198" s="1" t="str">
        <f>"0126P421"</f>
        <v>0126P421</v>
      </c>
      <c r="H18198" s="1" t="str">
        <f>"왕십리간 82R6L1"</f>
        <v>왕십리간 82R6L1</v>
      </c>
      <c r="I18198" s="1" t="s">
        <v>15</v>
      </c>
      <c r="J18198" s="1" t="str">
        <f>"30/39"</f>
        <v>30/39</v>
      </c>
      <c r="K18198" s="1" t="str">
        <f>"2026-07-29 14:20:35"</f>
        <v>2026-07-29 14:20:35</v>
      </c>
      <c r="L18198" s="1" t="str">
        <f>"2023-11-23 14:49:38"</f>
        <v>2023-11-23 14:49:38</v>
      </c>
      <c r="M18198" s="1" t="s">
        <v>45</v>
      </c>
      <c r="N18198" s="1" t="s">
        <v>38</v>
      </c>
      <c r="O18198" s="1" t="s">
        <v>46</v>
      </c>
    </row>
    <row r="18199" spans="2:15" x14ac:dyDescent="0.3">
      <c r="B18199" s="1" t="s">
        <v>13</v>
      </c>
      <c r="C18199" s="1" t="str">
        <f>"4차"</f>
        <v>4차</v>
      </c>
      <c r="D18199" s="1" t="str">
        <f>"0126P49129"</f>
        <v>0126P49129</v>
      </c>
      <c r="E18199" s="1" t="s">
        <v>10</v>
      </c>
      <c r="F18199" s="1" t="str">
        <f>"10.11.4.10"</f>
        <v>10.11.4.10</v>
      </c>
      <c r="G18199" s="1" t="str">
        <f>"0126P491"</f>
        <v>0126P491</v>
      </c>
      <c r="H18199" s="1" t="str">
        <f>"숭인지 32R3"</f>
        <v>숭인지 32R3</v>
      </c>
      <c r="I18199" s="1" t="s">
        <v>8</v>
      </c>
      <c r="J18199" s="1" t="str">
        <f>"32/43"</f>
        <v>32/43</v>
      </c>
      <c r="K18199" s="1" t="str">
        <f>"2026-07-29 13:18:01"</f>
        <v>2026-07-29 13:18:01</v>
      </c>
      <c r="L18199" s="1" t="str">
        <f>"2017-06-21 17:41:03"</f>
        <v>2017-06-21 17:41:03</v>
      </c>
      <c r="M18199" s="1" t="s">
        <v>2</v>
      </c>
      <c r="N18199" s="1" t="s">
        <v>38</v>
      </c>
      <c r="O18199" s="1" t="s">
        <v>46</v>
      </c>
    </row>
    <row r="18200" spans="2:15" x14ac:dyDescent="0.3">
      <c r="B18200" s="1" t="s">
        <v>13</v>
      </c>
      <c r="C18200" s="1" t="str">
        <f>"5-1차"</f>
        <v>5-1차</v>
      </c>
      <c r="D18200" s="1" t="str">
        <f>"0126P5115M"</f>
        <v>0126P5115M</v>
      </c>
      <c r="E18200" s="1" t="s">
        <v>10</v>
      </c>
      <c r="F18200" s="1" t="str">
        <f>"fde2:104:0:16a:0:0:0:2"</f>
        <v>fde2:104:0:16a:0:0:0:2</v>
      </c>
      <c r="G18200" s="1" t="str">
        <f>"0126P511"</f>
        <v>0126P511</v>
      </c>
      <c r="H18200" s="1" t="str">
        <f>"왕십리간 82R8"</f>
        <v>왕십리간 82R8</v>
      </c>
      <c r="I18200" s="1" t="s">
        <v>15</v>
      </c>
      <c r="J18200" s="1" t="str">
        <f>"23/23"</f>
        <v>23/23</v>
      </c>
      <c r="K18200" s="1" t="str">
        <f>"2026-07-29 14:20:27"</f>
        <v>2026-07-29 14:20:27</v>
      </c>
      <c r="L18200" s="1" t="str">
        <f>"2022-11-30 11:24:08"</f>
        <v>2022-11-30 11:24:08</v>
      </c>
      <c r="M18200" s="1" t="s">
        <v>42</v>
      </c>
      <c r="N18200" s="1" t="s">
        <v>38</v>
      </c>
      <c r="O18200" s="1" t="s">
        <v>46</v>
      </c>
    </row>
    <row r="18201" spans="2:15" x14ac:dyDescent="0.3">
      <c r="B18201" s="1" t="s">
        <v>13</v>
      </c>
      <c r="C18201" s="1" t="str">
        <f>"4차"</f>
        <v>4차</v>
      </c>
      <c r="D18201" s="1" t="str">
        <f>"0126P69139"</f>
        <v>0126P69139</v>
      </c>
      <c r="E18201" s="1" t="s">
        <v>10</v>
      </c>
      <c r="F18201" s="1" t="str">
        <f>"10.12.134.147"</f>
        <v>10.12.134.147</v>
      </c>
      <c r="G18201" s="1" t="str">
        <f>"0126P691"</f>
        <v>0126P691</v>
      </c>
      <c r="H18201" s="1" t="str">
        <f>"왕산로 L4-3"</f>
        <v>왕산로 L4-3</v>
      </c>
      <c r="I18201" s="1" t="s">
        <v>17</v>
      </c>
      <c r="J18201" s="1" t="str">
        <f>"5/5"</f>
        <v>5/5</v>
      </c>
      <c r="K18201" s="1" t="str">
        <f>"2026-07-29 13:18:02"</f>
        <v>2026-07-29 13:18:02</v>
      </c>
      <c r="L18201" s="1" t="str">
        <f>"2018-06-16 08:14:11"</f>
        <v>2018-06-16 08:14:11</v>
      </c>
      <c r="M18201" s="1" t="s">
        <v>0</v>
      </c>
      <c r="N18201" s="1" t="s">
        <v>38</v>
      </c>
      <c r="O18201" s="1" t="s">
        <v>46</v>
      </c>
    </row>
    <row r="18202" spans="2:15" x14ac:dyDescent="0.3">
      <c r="B18202" s="1" t="s">
        <v>13</v>
      </c>
      <c r="C18202" s="1" t="str">
        <f>"5-1차"</f>
        <v>5-1차</v>
      </c>
      <c r="D18202" s="1" t="str">
        <f>"0126P8365M"</f>
        <v>0126P8365M</v>
      </c>
      <c r="E18202" s="1" t="s">
        <v>10</v>
      </c>
      <c r="F18202" s="1" t="str">
        <f>"fde3:102:1305:3000:0:0:0:2"</f>
        <v>fde3:102:1305:3000:0:0:0:2</v>
      </c>
      <c r="G18202" s="1" t="str">
        <f>"0126P836"</f>
        <v>0126P836</v>
      </c>
      <c r="H18202" s="1" t="str">
        <f>"왕십리간 71R6L3"</f>
        <v>왕십리간 71R6L3</v>
      </c>
      <c r="I18202" s="1" t="s">
        <v>15</v>
      </c>
      <c r="J18202" s="1" t="str">
        <f>"20/20"</f>
        <v>20/20</v>
      </c>
      <c r="K18202" s="1" t="str">
        <f>"2026-07-29 14:20:28"</f>
        <v>2026-07-29 14:20:28</v>
      </c>
      <c r="L18202" s="1" t="str">
        <f>"2022-11-18 09:33:31"</f>
        <v>2022-11-18 09:33:31</v>
      </c>
      <c r="M18202" s="1" t="s">
        <v>45</v>
      </c>
      <c r="N18202" s="1" t="s">
        <v>38</v>
      </c>
      <c r="O18202" s="1" t="s">
        <v>46</v>
      </c>
    </row>
    <row r="18203" spans="2:15" x14ac:dyDescent="0.3">
      <c r="B18203" s="1" t="s">
        <v>13</v>
      </c>
      <c r="C18203" s="1" t="str">
        <f>"5-2차"</f>
        <v>5-2차</v>
      </c>
      <c r="D18203" s="1" t="str">
        <f>"0126P8415M"</f>
        <v>0126P8415M</v>
      </c>
      <c r="E18203" s="1" t="s">
        <v>10</v>
      </c>
      <c r="F18203" s="1" t="str">
        <f>"fde1:103:4:565b:0:0:0:2"</f>
        <v>fde1:103:4:565b:0:0:0:2</v>
      </c>
      <c r="G18203" s="1" t="str">
        <f>"0126P841"</f>
        <v>0126P841</v>
      </c>
      <c r="H18203" s="1" t="str">
        <f>"신당간 65"</f>
        <v>신당간 65</v>
      </c>
      <c r="I18203" s="1" t="s">
        <v>15</v>
      </c>
      <c r="J18203" s="1" t="str">
        <f>"7/19"</f>
        <v>7/19</v>
      </c>
      <c r="K18203" s="1" t="str">
        <f>"2026-07-29 14:20:18"</f>
        <v>2026-07-29 14:20:18</v>
      </c>
      <c r="L18203" s="1" t="str">
        <f>"2023-08-24 11:03:06"</f>
        <v>2023-08-24 11:03:06</v>
      </c>
      <c r="M18203" s="1" t="s">
        <v>4</v>
      </c>
      <c r="N18203" s="1" t="s">
        <v>38</v>
      </c>
      <c r="O18203" s="1" t="s">
        <v>46</v>
      </c>
    </row>
    <row r="18204" spans="2:15" x14ac:dyDescent="0.3">
      <c r="B18204" s="1" t="s">
        <v>13</v>
      </c>
      <c r="C18204" s="1" t="str">
        <f>"6차"</f>
        <v>6차</v>
      </c>
      <c r="D18204" s="1" t="str">
        <f>"0126P9816S"</f>
        <v>0126P9816S</v>
      </c>
      <c r="E18204" s="1" t="s">
        <v>12</v>
      </c>
      <c r="F18204" s="1" t="str">
        <f>"fde1:103:4:c6e9:0:0:0:2"</f>
        <v>fde1:103:4:c6e9:0:0:0:2</v>
      </c>
      <c r="G18204" s="1" t="str">
        <f>"0126P981"</f>
        <v>0126P981</v>
      </c>
      <c r="H18204" s="1" t="str">
        <f>"신당간 63R5"</f>
        <v>신당간 63R5</v>
      </c>
      <c r="I18204" s="1" t="s">
        <v>15</v>
      </c>
      <c r="J18204" s="1" t="str">
        <f>"0/51"</f>
        <v>0/51</v>
      </c>
      <c r="K18204" s="1" t="str">
        <f>"2026-02-06 08:20:23"</f>
        <v>2026-02-06 08:20:23</v>
      </c>
      <c r="L18204" s="1" t="str">
        <f>"2024-11-20 10:40:40"</f>
        <v>2024-11-20 10:40:40</v>
      </c>
      <c r="M18204" s="1" t="s">
        <v>4</v>
      </c>
      <c r="N18204" s="1" t="s">
        <v>38</v>
      </c>
      <c r="O18204" s="1" t="s">
        <v>46</v>
      </c>
    </row>
    <row r="18205" spans="2:15" x14ac:dyDescent="0.3">
      <c r="B18205" s="1" t="s">
        <v>13</v>
      </c>
      <c r="C18205" s="1" t="str">
        <f>"5-2차"</f>
        <v>5-2차</v>
      </c>
      <c r="D18205" s="1" t="str">
        <f>"0126Q0125M"</f>
        <v>0126Q0125M</v>
      </c>
      <c r="E18205" s="1" t="s">
        <v>10</v>
      </c>
      <c r="F18205" s="1" t="str">
        <f>"fde1:103:4:941c:0:0:0:2"</f>
        <v>fde1:103:4:941c:0:0:0:2</v>
      </c>
      <c r="G18205" s="1" t="str">
        <f>"0126Q012"</f>
        <v>0126Q012</v>
      </c>
      <c r="H18205" s="1" t="str">
        <f>"왕십리간 71R4"</f>
        <v>왕십리간 71R4</v>
      </c>
      <c r="I18205" s="1" t="s">
        <v>15</v>
      </c>
      <c r="J18205" s="1" t="str">
        <f>"22/24"</f>
        <v>22/24</v>
      </c>
      <c r="K18205" s="1" t="str">
        <f>"2026-07-29 14:20:27"</f>
        <v>2026-07-29 14:20:27</v>
      </c>
      <c r="L18205" s="1" t="str">
        <f>"2024-01-11 11:34:21"</f>
        <v>2024-01-11 11:34:21</v>
      </c>
      <c r="M18205" s="1" t="s">
        <v>4</v>
      </c>
      <c r="N18205" s="1" t="s">
        <v>38</v>
      </c>
      <c r="O18205" s="1" t="s">
        <v>46</v>
      </c>
    </row>
    <row r="18206" spans="2:15" x14ac:dyDescent="0.3">
      <c r="B18206" s="1" t="s">
        <v>13</v>
      </c>
      <c r="C18206" s="1" t="str">
        <f>"6차"</f>
        <v>6차</v>
      </c>
      <c r="D18206" s="1" t="str">
        <f>"0126Q1016S"</f>
        <v>0126Q1016S</v>
      </c>
      <c r="E18206" s="1" t="s">
        <v>10</v>
      </c>
      <c r="F18206" s="1" t="str">
        <f>"fde1:103:4:c6cf:0:0:0:2"</f>
        <v>fde1:103:4:c6cf:0:0:0:2</v>
      </c>
      <c r="G18206" s="1" t="str">
        <f>"0126Q101"</f>
        <v>0126Q101</v>
      </c>
      <c r="H18206" s="1" t="str">
        <f>"왕십리간 71R2R3"</f>
        <v>왕십리간 71R2R3</v>
      </c>
      <c r="I18206" s="1" t="s">
        <v>15</v>
      </c>
      <c r="J18206" s="1" t="str">
        <f>"28/28"</f>
        <v>28/28</v>
      </c>
      <c r="K18206" s="1" t="str">
        <f>"2026-07-29 14:20:19"</f>
        <v>2026-07-29 14:20:19</v>
      </c>
      <c r="L18206" s="1" t="str">
        <f>"2024-11-19 11:24:34"</f>
        <v>2024-11-19 11:24:34</v>
      </c>
      <c r="M18206" s="1" t="s">
        <v>4</v>
      </c>
      <c r="N18206" s="1" t="s">
        <v>38</v>
      </c>
      <c r="O18206" s="1" t="s">
        <v>46</v>
      </c>
    </row>
    <row r="18207" spans="2:15" x14ac:dyDescent="0.3">
      <c r="B18207" s="1" t="s">
        <v>13</v>
      </c>
      <c r="C18207" s="1" t="str">
        <f>"4차"</f>
        <v>4차</v>
      </c>
      <c r="D18207" s="1" t="str">
        <f>"0126Q10339"</f>
        <v>0126Q10339</v>
      </c>
      <c r="E18207" s="1" t="s">
        <v>10</v>
      </c>
      <c r="F18207" s="1" t="str">
        <f>"10.14.11.34"</f>
        <v>10.14.11.34</v>
      </c>
      <c r="G18207" s="1" t="str">
        <f>"0126Q103"</f>
        <v>0126Q103</v>
      </c>
      <c r="H18207" s="1" t="str">
        <f>"왕십리로 L6"</f>
        <v>왕십리로 L6</v>
      </c>
      <c r="I18207" s="1" t="s">
        <v>17</v>
      </c>
      <c r="J18207" s="1" t="str">
        <f>"36/39"</f>
        <v>36/39</v>
      </c>
      <c r="K18207" s="1" t="str">
        <f>"2026-07-29 13:18:02"</f>
        <v>2026-07-29 13:18:02</v>
      </c>
      <c r="L18207" s="1" t="str">
        <f>"2018-06-15 10:03:11"</f>
        <v>2018-06-15 10:03:11</v>
      </c>
      <c r="M18207" s="1" t="s">
        <v>3</v>
      </c>
      <c r="N18207" s="1" t="s">
        <v>38</v>
      </c>
      <c r="O18207" s="1" t="s">
        <v>46</v>
      </c>
    </row>
    <row r="18208" spans="2:15" x14ac:dyDescent="0.3">
      <c r="B18208" s="1" t="s">
        <v>13</v>
      </c>
      <c r="C18208" s="1" t="str">
        <f>"6차"</f>
        <v>6차</v>
      </c>
      <c r="D18208" s="1" t="str">
        <f>"0126Q1326S"</f>
        <v>0126Q1326S</v>
      </c>
      <c r="E18208" s="1" t="s">
        <v>10</v>
      </c>
      <c r="F18208" s="1" t="str">
        <f>"fde1:103:4:c6b4:0:0:0:2"</f>
        <v>fde1:103:4:c6b4:0:0:0:2</v>
      </c>
      <c r="G18208" s="1" t="str">
        <f>"0126Q132"</f>
        <v>0126Q132</v>
      </c>
      <c r="H18208" s="1" t="str">
        <f>"신당간 61L4"</f>
        <v>신당간 61L4</v>
      </c>
      <c r="I18208" s="1" t="s">
        <v>15</v>
      </c>
      <c r="J18208" s="1" t="str">
        <f>"47/47"</f>
        <v>47/47</v>
      </c>
      <c r="K18208" s="1" t="str">
        <f>"2026-07-29 14:20:27"</f>
        <v>2026-07-29 14:20:27</v>
      </c>
      <c r="L18208" s="1" t="str">
        <f>"2024-11-20 10:39:20"</f>
        <v>2024-11-20 10:39:20</v>
      </c>
      <c r="M18208" s="1" t="s">
        <v>4</v>
      </c>
      <c r="N18208" s="1" t="s">
        <v>38</v>
      </c>
      <c r="O18208" s="1" t="s">
        <v>46</v>
      </c>
    </row>
    <row r="18209" spans="2:15" x14ac:dyDescent="0.3">
      <c r="B18209" s="1" t="s">
        <v>13</v>
      </c>
      <c r="C18209" s="1" t="str">
        <f>"5-2차"</f>
        <v>5-2차</v>
      </c>
      <c r="D18209" s="1" t="str">
        <f>"0126Q1515M"</f>
        <v>0126Q1515M</v>
      </c>
      <c r="E18209" s="1" t="s">
        <v>10</v>
      </c>
      <c r="F18209" s="1" t="str">
        <f>"fde3:102:1305:3002:0:0:0:2"</f>
        <v>fde3:102:1305:3002:0:0:0:2</v>
      </c>
      <c r="G18209" s="1" t="str">
        <f>"0126Q151"</f>
        <v>0126Q151</v>
      </c>
      <c r="H18209" s="1" t="str">
        <f>"신당간 61"</f>
        <v>신당간 61</v>
      </c>
      <c r="I18209" s="1" t="s">
        <v>15</v>
      </c>
      <c r="J18209" s="1" t="str">
        <f>"29/36"</f>
        <v>29/36</v>
      </c>
      <c r="K18209" s="1" t="str">
        <f>"2026-07-29 14:20:19"</f>
        <v>2026-07-29 14:20:19</v>
      </c>
      <c r="L18209" s="1" t="str">
        <f>"2023-06-13 18:18:37"</f>
        <v>2023-06-13 18:18:37</v>
      </c>
      <c r="M18209" s="1" t="s">
        <v>45</v>
      </c>
      <c r="N18209" s="1" t="s">
        <v>38</v>
      </c>
      <c r="O18209" s="1" t="s">
        <v>46</v>
      </c>
    </row>
    <row r="18210" spans="2:15" x14ac:dyDescent="0.3">
      <c r="B18210" s="1" t="s">
        <v>13</v>
      </c>
      <c r="C18210" s="1" t="str">
        <f>"5-1차"</f>
        <v>5-1차</v>
      </c>
      <c r="D18210" s="1" t="str">
        <f>"0126Q1735M"</f>
        <v>0126Q1735M</v>
      </c>
      <c r="E18210" s="1" t="s">
        <v>10</v>
      </c>
      <c r="F18210" s="1" t="str">
        <f>"fde3:102:1305:3000:0:0:0:3"</f>
        <v>fde3:102:1305:3000:0:0:0:3</v>
      </c>
      <c r="G18210" s="1" t="str">
        <f>"0126Q173"</f>
        <v>0126Q173</v>
      </c>
      <c r="H18210" s="1" t="str">
        <f>"신당간 63R4R3R1R1"</f>
        <v>신당간 63R4R3R1R1</v>
      </c>
      <c r="I18210" s="1" t="s">
        <v>15</v>
      </c>
      <c r="J18210" s="1" t="str">
        <f>"18/19"</f>
        <v>18/19</v>
      </c>
      <c r="K18210" s="1" t="str">
        <f>"2026-07-29 14:20:20"</f>
        <v>2026-07-29 14:20:20</v>
      </c>
      <c r="L18210" s="1" t="str">
        <f>"2022-11-23 10:36:05"</f>
        <v>2022-11-23 10:36:05</v>
      </c>
      <c r="M18210" s="1" t="s">
        <v>45</v>
      </c>
      <c r="N18210" s="1" t="s">
        <v>38</v>
      </c>
      <c r="O18210" s="1" t="s">
        <v>46</v>
      </c>
    </row>
    <row r="18211" spans="2:15" x14ac:dyDescent="0.3">
      <c r="B18211" s="1" t="s">
        <v>13</v>
      </c>
      <c r="C18211" s="1" t="str">
        <f>"5-2차"</f>
        <v>5-2차</v>
      </c>
      <c r="D18211" s="1" t="str">
        <f>"0126Q1745M"</f>
        <v>0126Q1745M</v>
      </c>
      <c r="E18211" s="1" t="s">
        <v>10</v>
      </c>
      <c r="F18211" s="1" t="str">
        <f>"fde1:103:4:5607:0:0:0:2"</f>
        <v>fde1:103:4:5607:0:0:0:2</v>
      </c>
      <c r="G18211" s="1" t="str">
        <f>"0126Q174"</f>
        <v>0126Q174</v>
      </c>
      <c r="H18211" s="1" t="str">
        <f>"신당간 63R4R3R1C1"</f>
        <v>신당간 63R4R3R1C1</v>
      </c>
      <c r="I18211" s="1" t="s">
        <v>15</v>
      </c>
      <c r="J18211" s="1" t="str">
        <f>"68/68"</f>
        <v>68/68</v>
      </c>
      <c r="K18211" s="1" t="str">
        <f>"2026-07-29 14:20:31"</f>
        <v>2026-07-29 14:20:31</v>
      </c>
      <c r="L18211" s="1" t="str">
        <f>"2023-08-24 13:50:35"</f>
        <v>2023-08-24 13:50:35</v>
      </c>
      <c r="M18211" s="1" t="s">
        <v>4</v>
      </c>
      <c r="N18211" s="1" t="s">
        <v>38</v>
      </c>
      <c r="O18211" s="1" t="s">
        <v>46</v>
      </c>
    </row>
    <row r="18212" spans="2:15" x14ac:dyDescent="0.3">
      <c r="B18212" s="1" t="s">
        <v>13</v>
      </c>
      <c r="C18212" s="1" t="str">
        <f>"6차"</f>
        <v>6차</v>
      </c>
      <c r="D18212" s="1" t="str">
        <f>"0126Q1816S"</f>
        <v>0126Q1816S</v>
      </c>
      <c r="E18212" s="1" t="s">
        <v>10</v>
      </c>
      <c r="F18212" s="1" t="str">
        <f>"fde1:103:4:c6e8:0:0:0:2"</f>
        <v>fde1:103:4:c6e8:0:0:0:2</v>
      </c>
      <c r="G18212" s="1" t="str">
        <f>"0126Q181"</f>
        <v>0126Q181</v>
      </c>
      <c r="H18212" s="1" t="str">
        <f>"신당간 63R4R3"</f>
        <v>신당간 63R4R3</v>
      </c>
      <c r="I18212" s="1" t="s">
        <v>15</v>
      </c>
      <c r="J18212" s="1" t="str">
        <f>"28/28"</f>
        <v>28/28</v>
      </c>
      <c r="K18212" s="1" t="str">
        <f>"2026-07-29 08:20:11"</f>
        <v>2026-07-29 08:20:11</v>
      </c>
      <c r="L18212" s="1" t="str">
        <f>"2024-11-20 10:39:35"</f>
        <v>2024-11-20 10:39:35</v>
      </c>
      <c r="M18212" s="1" t="s">
        <v>4</v>
      </c>
      <c r="N18212" s="1" t="s">
        <v>38</v>
      </c>
      <c r="O18212" s="1" t="s">
        <v>46</v>
      </c>
    </row>
    <row r="18213" spans="2:15" x14ac:dyDescent="0.3">
      <c r="B18213" s="1" t="s">
        <v>13</v>
      </c>
      <c r="C18213" s="1" t="str">
        <f>"6차"</f>
        <v>6차</v>
      </c>
      <c r="D18213" s="1" t="str">
        <f>"0126Q1916S"</f>
        <v>0126Q1916S</v>
      </c>
      <c r="E18213" s="1" t="s">
        <v>10</v>
      </c>
      <c r="F18213" s="1" t="str">
        <f>"fde1:103:4:c5a8:0:0:0:2"</f>
        <v>fde1:103:4:c5a8:0:0:0:2</v>
      </c>
      <c r="G18213" s="1" t="str">
        <f>"0126Q191"</f>
        <v>0126Q191</v>
      </c>
      <c r="H18213" s="1" t="str">
        <f>"신당간 63R5R2"</f>
        <v>신당간 63R5R2</v>
      </c>
      <c r="I18213" s="1" t="s">
        <v>15</v>
      </c>
      <c r="J18213" s="1" t="str">
        <f>"32/32"</f>
        <v>32/32</v>
      </c>
      <c r="K18213" s="1" t="str">
        <f>"2026-07-29 14:20:27"</f>
        <v>2026-07-29 14:20:27</v>
      </c>
      <c r="L18213" s="1" t="str">
        <f>"2024-11-19 11:28:35"</f>
        <v>2024-11-19 11:28:35</v>
      </c>
      <c r="M18213" s="1" t="s">
        <v>4</v>
      </c>
      <c r="N18213" s="1" t="s">
        <v>38</v>
      </c>
      <c r="O18213" s="1" t="s">
        <v>46</v>
      </c>
    </row>
    <row r="18214" spans="2:15" x14ac:dyDescent="0.3">
      <c r="B18214" s="1" t="s">
        <v>13</v>
      </c>
      <c r="C18214" s="1" t="str">
        <f>"6차"</f>
        <v>6차</v>
      </c>
      <c r="D18214" s="1" t="str">
        <f>"0126Q2016S"</f>
        <v>0126Q2016S</v>
      </c>
      <c r="E18214" s="1" t="s">
        <v>10</v>
      </c>
      <c r="F18214" s="1" t="str">
        <f>"fde1:103:4:c688:0:0:0:2"</f>
        <v>fde1:103:4:c688:0:0:0:2</v>
      </c>
      <c r="G18214" s="1" t="str">
        <f>"0126Q201"</f>
        <v>0126Q201</v>
      </c>
      <c r="H18214" s="1" t="str">
        <f>"왕십리간 66R2L1"</f>
        <v>왕십리간 66R2L1</v>
      </c>
      <c r="I18214" s="1" t="s">
        <v>15</v>
      </c>
      <c r="J18214" s="1" t="str">
        <f>"26/26"</f>
        <v>26/26</v>
      </c>
      <c r="K18214" s="1" t="str">
        <f>"2026-07-29 14:20:19"</f>
        <v>2026-07-29 14:20:19</v>
      </c>
      <c r="L18214" s="1" t="str">
        <f>"2024-11-19 11:29:36"</f>
        <v>2024-11-19 11:29:36</v>
      </c>
      <c r="M18214" s="1" t="s">
        <v>4</v>
      </c>
      <c r="N18214" s="1" t="s">
        <v>38</v>
      </c>
      <c r="O18214" s="1" t="s">
        <v>46</v>
      </c>
    </row>
    <row r="18215" spans="2:15" x14ac:dyDescent="0.3">
      <c r="B18215" s="1" t="s">
        <v>13</v>
      </c>
      <c r="C18215" s="1" t="str">
        <f>"5-1차"</f>
        <v>5-1차</v>
      </c>
      <c r="D18215" s="1" t="str">
        <f>"0126Q2925M"</f>
        <v>0126Q2925M</v>
      </c>
      <c r="E18215" s="1" t="s">
        <v>10</v>
      </c>
      <c r="F18215" s="1" t="str">
        <f>"fde3:102:1305:3100:0:0:0:2"</f>
        <v>fde3:102:1305:3100:0:0:0:2</v>
      </c>
      <c r="G18215" s="1" t="str">
        <f>"0126Q292"</f>
        <v>0126Q292</v>
      </c>
      <c r="H18215" s="1" t="str">
        <f>"신당간 63R5R3"</f>
        <v>신당간 63R5R3</v>
      </c>
      <c r="I18215" s="1" t="s">
        <v>15</v>
      </c>
      <c r="J18215" s="1" t="str">
        <f>"59/59"</f>
        <v>59/59</v>
      </c>
      <c r="K18215" s="1" t="str">
        <f>"2026-07-29 14:20:31"</f>
        <v>2026-07-29 14:20:31</v>
      </c>
      <c r="L18215" s="1" t="str">
        <f>"2022-11-18 07:49:46"</f>
        <v>2022-11-18 07:49:46</v>
      </c>
      <c r="M18215" s="1" t="s">
        <v>45</v>
      </c>
      <c r="N18215" s="1" t="s">
        <v>38</v>
      </c>
      <c r="O18215" s="1" t="s">
        <v>46</v>
      </c>
    </row>
    <row r="18216" spans="2:15" x14ac:dyDescent="0.3">
      <c r="B18216" s="1" t="s">
        <v>13</v>
      </c>
      <c r="C18216" s="1" t="str">
        <f>"5-2차"</f>
        <v>5-2차</v>
      </c>
      <c r="D18216" s="1" t="str">
        <f>"0126Q3815M"</f>
        <v>0126Q3815M</v>
      </c>
      <c r="E18216" s="1" t="s">
        <v>10</v>
      </c>
      <c r="F18216" s="1" t="str">
        <f>"fde1:103:4:5654:0:0:0:2"</f>
        <v>fde1:103:4:5654:0:0:0:2</v>
      </c>
      <c r="G18216" s="1" t="str">
        <f>"0126Q381"</f>
        <v>0126Q381</v>
      </c>
      <c r="H18216" s="1" t="str">
        <f>"신당간 63R11R5"</f>
        <v>신당간 63R11R5</v>
      </c>
      <c r="I18216" s="1" t="s">
        <v>15</v>
      </c>
      <c r="J18216" s="1" t="str">
        <f>"14/14"</f>
        <v>14/14</v>
      </c>
      <c r="K18216" s="1" t="str">
        <f>"2026-07-29 14:20:28"</f>
        <v>2026-07-29 14:20:28</v>
      </c>
      <c r="L18216" s="1" t="str">
        <f>"2023-08-24 15:15:44"</f>
        <v>2023-08-24 15:15:44</v>
      </c>
      <c r="M18216" s="1" t="s">
        <v>4</v>
      </c>
      <c r="N18216" s="1" t="s">
        <v>38</v>
      </c>
      <c r="O18216" s="1" t="s">
        <v>46</v>
      </c>
    </row>
    <row r="18217" spans="2:15" x14ac:dyDescent="0.3">
      <c r="B18217" s="1" t="s">
        <v>13</v>
      </c>
      <c r="C18217" s="1" t="str">
        <f>"4차"</f>
        <v>4차</v>
      </c>
      <c r="D18217" s="1" t="str">
        <f>"0126Q40239"</f>
        <v>0126Q40239</v>
      </c>
      <c r="E18217" s="1" t="s">
        <v>10</v>
      </c>
      <c r="F18217" s="1" t="str">
        <f>"10.12.133.158"</f>
        <v>10.12.133.158</v>
      </c>
      <c r="G18217" s="1" t="str">
        <f>"0126Q402"</f>
        <v>0126Q402</v>
      </c>
      <c r="H18217" s="1" t="str">
        <f>"왕십리로 L7"</f>
        <v>왕십리로 L7</v>
      </c>
      <c r="I18217" s="1" t="s">
        <v>17</v>
      </c>
      <c r="J18217" s="1" t="str">
        <f>"8/8"</f>
        <v>8/8</v>
      </c>
      <c r="K18217" s="1" t="str">
        <f>"2026-07-29 13:18:02"</f>
        <v>2026-07-29 13:18:02</v>
      </c>
      <c r="L18217" s="1" t="str">
        <f>"2018-06-15 10:05:40"</f>
        <v>2018-06-15 10:05:40</v>
      </c>
      <c r="M18217" s="1" t="s">
        <v>0</v>
      </c>
      <c r="N18217" s="1" t="s">
        <v>38</v>
      </c>
      <c r="O18217" s="1" t="s">
        <v>46</v>
      </c>
    </row>
    <row r="18218" spans="2:15" x14ac:dyDescent="0.3">
      <c r="B18218" s="1" t="s">
        <v>13</v>
      </c>
      <c r="C18218" s="1" t="str">
        <f>"5-2차"</f>
        <v>5-2차</v>
      </c>
      <c r="D18218" s="1" t="str">
        <f>"0126Q4415M"</f>
        <v>0126Q4415M</v>
      </c>
      <c r="E18218" s="1" t="s">
        <v>10</v>
      </c>
      <c r="F18218" s="1" t="str">
        <f>"fde1:103:4:56c6:0:0:0:2"</f>
        <v>fde1:103:4:56c6:0:0:0:2</v>
      </c>
      <c r="G18218" s="1" t="str">
        <f>"0126Q441"</f>
        <v>0126Q441</v>
      </c>
      <c r="H18218" s="1" t="str">
        <f>"왕십리간 58R10R1"</f>
        <v>왕십리간 58R10R1</v>
      </c>
      <c r="I18218" s="1" t="s">
        <v>15</v>
      </c>
      <c r="J18218" s="1" t="str">
        <f>"17/17"</f>
        <v>17/17</v>
      </c>
      <c r="K18218" s="1" t="str">
        <f>"2026-07-29 14:20:31"</f>
        <v>2026-07-29 14:20:31</v>
      </c>
      <c r="L18218" s="1" t="str">
        <f>"2023-08-24 17:37:15"</f>
        <v>2023-08-24 17:37:15</v>
      </c>
      <c r="M18218" s="1" t="s">
        <v>4</v>
      </c>
      <c r="N18218" s="1" t="s">
        <v>38</v>
      </c>
      <c r="O18218" s="1" t="s">
        <v>46</v>
      </c>
    </row>
    <row r="18219" spans="2:15" x14ac:dyDescent="0.3">
      <c r="B18219" s="1" t="s">
        <v>13</v>
      </c>
      <c r="C18219" s="1" t="str">
        <f>"6차"</f>
        <v>6차</v>
      </c>
      <c r="D18219" s="1" t="str">
        <f>"0126Q5026S"</f>
        <v>0126Q5026S</v>
      </c>
      <c r="E18219" s="1" t="s">
        <v>10</v>
      </c>
      <c r="F18219" s="1" t="str">
        <f>"fde1:103:4:c66e:0:0:0:2"</f>
        <v>fde1:103:4:c66e:0:0:0:2</v>
      </c>
      <c r="G18219" s="1" t="str">
        <f>"0126Q502"</f>
        <v>0126Q502</v>
      </c>
      <c r="H18219" s="1" t="str">
        <f>"왕십리간 60R4L1"</f>
        <v>왕십리간 60R4L1</v>
      </c>
      <c r="I18219" s="1" t="s">
        <v>15</v>
      </c>
      <c r="J18219" s="1" t="str">
        <f>"86/86"</f>
        <v>86/86</v>
      </c>
      <c r="K18219" s="1" t="str">
        <f>"2026-07-29 14:20:32"</f>
        <v>2026-07-29 14:20:32</v>
      </c>
      <c r="L18219" s="1" t="str">
        <f>"2024-11-19 11:33:04"</f>
        <v>2024-11-19 11:33:04</v>
      </c>
      <c r="M18219" s="1" t="s">
        <v>4</v>
      </c>
      <c r="N18219" s="1" t="s">
        <v>38</v>
      </c>
      <c r="O18219" s="1" t="s">
        <v>46</v>
      </c>
    </row>
    <row r="18220" spans="2:15" x14ac:dyDescent="0.3">
      <c r="B18220" s="1" t="s">
        <v>13</v>
      </c>
      <c r="C18220" s="1" t="str">
        <f t="shared" ref="C18220:C18228" si="904">"5-2차"</f>
        <v>5-2차</v>
      </c>
      <c r="D18220" s="1" t="str">
        <f>"0126Q5045M"</f>
        <v>0126Q5045M</v>
      </c>
      <c r="E18220" s="1" t="s">
        <v>10</v>
      </c>
      <c r="F18220" s="1" t="str">
        <f>"fde1:103:4:5679:0:0:0:2"</f>
        <v>fde1:103:4:5679:0:0:0:2</v>
      </c>
      <c r="G18220" s="1" t="str">
        <f>"0126Q504"</f>
        <v>0126Q504</v>
      </c>
      <c r="H18220" s="1" t="str">
        <f>"왕십리간 60R4"</f>
        <v>왕십리간 60R4</v>
      </c>
      <c r="I18220" s="1" t="s">
        <v>15</v>
      </c>
      <c r="J18220" s="1" t="str">
        <f>"25/26"</f>
        <v>25/26</v>
      </c>
      <c r="K18220" s="1" t="str">
        <f>"2026-07-29 14:20:32"</f>
        <v>2026-07-29 14:20:32</v>
      </c>
      <c r="L18220" s="1" t="str">
        <f>"2023-08-25 14:31:30"</f>
        <v>2023-08-25 14:31:30</v>
      </c>
      <c r="M18220" s="1" t="s">
        <v>4</v>
      </c>
      <c r="N18220" s="1" t="s">
        <v>38</v>
      </c>
      <c r="O18220" s="1" t="s">
        <v>46</v>
      </c>
    </row>
    <row r="18221" spans="2:15" x14ac:dyDescent="0.3">
      <c r="B18221" s="1" t="s">
        <v>13</v>
      </c>
      <c r="C18221" s="1" t="str">
        <f t="shared" si="904"/>
        <v>5-2차</v>
      </c>
      <c r="D18221" s="1" t="str">
        <f>"0126Q5115M"</f>
        <v>0126Q5115M</v>
      </c>
      <c r="E18221" s="1" t="s">
        <v>10</v>
      </c>
      <c r="F18221" s="1" t="str">
        <f>"fde1:103:4:55f6:0:0:0:2"</f>
        <v>fde1:103:4:55f6:0:0:0:2</v>
      </c>
      <c r="G18221" s="1" t="str">
        <f>"0126Q511"</f>
        <v>0126Q511</v>
      </c>
      <c r="H18221" s="1" t="str">
        <f>"왕십리간 58R15"</f>
        <v>왕십리간 58R15</v>
      </c>
      <c r="I18221" s="1" t="s">
        <v>15</v>
      </c>
      <c r="J18221" s="1" t="str">
        <f>"40/42"</f>
        <v>40/42</v>
      </c>
      <c r="K18221" s="1" t="str">
        <f>"2026-07-29 14:20:27"</f>
        <v>2026-07-29 14:20:27</v>
      </c>
      <c r="L18221" s="1" t="str">
        <f>"2023-08-25 14:32:10"</f>
        <v>2023-08-25 14:32:10</v>
      </c>
      <c r="M18221" s="1" t="s">
        <v>4</v>
      </c>
      <c r="N18221" s="1" t="s">
        <v>38</v>
      </c>
      <c r="O18221" s="1" t="s">
        <v>46</v>
      </c>
    </row>
    <row r="18222" spans="2:15" x14ac:dyDescent="0.3">
      <c r="B18222" s="1" t="s">
        <v>13</v>
      </c>
      <c r="C18222" s="1" t="str">
        <f t="shared" si="904"/>
        <v>5-2차</v>
      </c>
      <c r="D18222" s="1" t="str">
        <f>"0126Q5215M"</f>
        <v>0126Q5215M</v>
      </c>
      <c r="E18222" s="1" t="s">
        <v>10</v>
      </c>
      <c r="F18222" s="1" t="str">
        <f>"fde1:103:4:56c7:0:0:0:2"</f>
        <v>fde1:103:4:56c7:0:0:0:2</v>
      </c>
      <c r="G18222" s="1" t="str">
        <f>"0126Q521"</f>
        <v>0126Q521</v>
      </c>
      <c r="H18222" s="1" t="str">
        <f>"왕십리간 58R11L1"</f>
        <v>왕십리간 58R11L1</v>
      </c>
      <c r="I18222" s="1" t="s">
        <v>15</v>
      </c>
      <c r="J18222" s="1" t="str">
        <f>"49/51"</f>
        <v>49/51</v>
      </c>
      <c r="K18222" s="1" t="str">
        <f>"2026-07-29 14:20:32"</f>
        <v>2026-07-29 14:20:32</v>
      </c>
      <c r="L18222" s="1" t="str">
        <f>"2023-08-25 14:44:00"</f>
        <v>2023-08-25 14:44:00</v>
      </c>
      <c r="M18222" s="1" t="s">
        <v>4</v>
      </c>
      <c r="N18222" s="1" t="s">
        <v>38</v>
      </c>
      <c r="O18222" s="1" t="s">
        <v>46</v>
      </c>
    </row>
    <row r="18223" spans="2:15" x14ac:dyDescent="0.3">
      <c r="B18223" s="1" t="s">
        <v>13</v>
      </c>
      <c r="C18223" s="1" t="str">
        <f t="shared" si="904"/>
        <v>5-2차</v>
      </c>
      <c r="D18223" s="1" t="str">
        <f>"0126Q5415M"</f>
        <v>0126Q5415M</v>
      </c>
      <c r="E18223" s="1" t="s">
        <v>10</v>
      </c>
      <c r="F18223" s="1" t="str">
        <f>"fde1:103:4:56cd:0:0:0:2"</f>
        <v>fde1:103:4:56cd:0:0:0:2</v>
      </c>
      <c r="G18223" s="1" t="str">
        <f>"0126Q541"</f>
        <v>0126Q541</v>
      </c>
      <c r="H18223" s="1" t="str">
        <f>"신당간 51L5R1"</f>
        <v>신당간 51L5R1</v>
      </c>
      <c r="I18223" s="1" t="s">
        <v>15</v>
      </c>
      <c r="J18223" s="1" t="str">
        <f>"38/38"</f>
        <v>38/38</v>
      </c>
      <c r="K18223" s="1" t="str">
        <f>"2026-07-29 14:20:32"</f>
        <v>2026-07-29 14:20:32</v>
      </c>
      <c r="L18223" s="1" t="str">
        <f>"2023-08-25 15:19:39"</f>
        <v>2023-08-25 15:19:39</v>
      </c>
      <c r="M18223" s="1" t="s">
        <v>4</v>
      </c>
      <c r="N18223" s="1" t="s">
        <v>38</v>
      </c>
      <c r="O18223" s="1" t="s">
        <v>46</v>
      </c>
    </row>
    <row r="18224" spans="2:15" x14ac:dyDescent="0.3">
      <c r="B18224" s="1" t="s">
        <v>13</v>
      </c>
      <c r="C18224" s="1" t="str">
        <f t="shared" si="904"/>
        <v>5-2차</v>
      </c>
      <c r="D18224" s="1" t="str">
        <f>"0126Q5515M"</f>
        <v>0126Q5515M</v>
      </c>
      <c r="E18224" s="1" t="s">
        <v>10</v>
      </c>
      <c r="F18224" s="1" t="str">
        <f>"fde1:103:4:56e7:0:0:0:2"</f>
        <v>fde1:103:4:56e7:0:0:0:2</v>
      </c>
      <c r="G18224" s="1" t="str">
        <f>"0126Q551"</f>
        <v>0126Q551</v>
      </c>
      <c r="H18224" s="1" t="str">
        <f>"신당간 53"</f>
        <v>신당간 53</v>
      </c>
      <c r="I18224" s="1" t="s">
        <v>15</v>
      </c>
      <c r="J18224" s="1" t="str">
        <f>"13/13"</f>
        <v>13/13</v>
      </c>
      <c r="K18224" s="1" t="str">
        <f>"2026-07-29 14:20:00"</f>
        <v>2026-07-29 14:20:00</v>
      </c>
      <c r="L18224" s="1" t="str">
        <f>"2023-08-25 15:27:46"</f>
        <v>2023-08-25 15:27:46</v>
      </c>
      <c r="M18224" s="1" t="s">
        <v>4</v>
      </c>
      <c r="N18224" s="1" t="s">
        <v>38</v>
      </c>
      <c r="O18224" s="1" t="s">
        <v>46</v>
      </c>
    </row>
    <row r="18225" spans="2:15" x14ac:dyDescent="0.3">
      <c r="B18225" s="1" t="s">
        <v>13</v>
      </c>
      <c r="C18225" s="1" t="str">
        <f t="shared" si="904"/>
        <v>5-2차</v>
      </c>
      <c r="D18225" s="1" t="str">
        <f>"0126Q5525M"</f>
        <v>0126Q5525M</v>
      </c>
      <c r="E18225" s="1" t="s">
        <v>10</v>
      </c>
      <c r="F18225" s="1" t="str">
        <f>"fde1:103:4:56be:0:0:0:2"</f>
        <v>fde1:103:4:56be:0:0:0:2</v>
      </c>
      <c r="G18225" s="1" t="str">
        <f>"0126Q552"</f>
        <v>0126Q552</v>
      </c>
      <c r="H18225" s="1" t="str">
        <f>"신당간 51L3R2"</f>
        <v>신당간 51L3R2</v>
      </c>
      <c r="I18225" s="1" t="s">
        <v>15</v>
      </c>
      <c r="J18225" s="1" t="str">
        <f>"76/76"</f>
        <v>76/76</v>
      </c>
      <c r="K18225" s="1" t="str">
        <f>"2026-07-29 14:20:32"</f>
        <v>2026-07-29 14:20:32</v>
      </c>
      <c r="L18225" s="1" t="str">
        <f>"2023-08-25 15:22:14"</f>
        <v>2023-08-25 15:22:14</v>
      </c>
      <c r="M18225" s="1" t="s">
        <v>4</v>
      </c>
      <c r="N18225" s="1" t="s">
        <v>38</v>
      </c>
      <c r="O18225" s="1" t="s">
        <v>46</v>
      </c>
    </row>
    <row r="18226" spans="2:15" x14ac:dyDescent="0.3">
      <c r="B18226" s="1" t="s">
        <v>13</v>
      </c>
      <c r="C18226" s="1" t="str">
        <f t="shared" si="904"/>
        <v>5-2차</v>
      </c>
      <c r="D18226" s="1" t="str">
        <f>"0126Q6215M"</f>
        <v>0126Q6215M</v>
      </c>
      <c r="E18226" s="1" t="s">
        <v>10</v>
      </c>
      <c r="F18226" s="1" t="str">
        <f>"fde1:103:4:55c9:0:0:0:2"</f>
        <v>fde1:103:4:55c9:0:0:0:2</v>
      </c>
      <c r="G18226" s="1" t="str">
        <f>"0126Q621"</f>
        <v>0126Q621</v>
      </c>
      <c r="H18226" s="1" t="str">
        <f>"왕십리간 58R5"</f>
        <v>왕십리간 58R5</v>
      </c>
      <c r="I18226" s="1" t="s">
        <v>15</v>
      </c>
      <c r="J18226" s="1" t="str">
        <f>"48/48"</f>
        <v>48/48</v>
      </c>
      <c r="K18226" s="1" t="str">
        <f>"2026-07-29 14:20:29"</f>
        <v>2026-07-29 14:20:29</v>
      </c>
      <c r="L18226" s="1" t="str">
        <f>"2023-08-25 15:40:10"</f>
        <v>2023-08-25 15:40:10</v>
      </c>
      <c r="M18226" s="1" t="s">
        <v>4</v>
      </c>
      <c r="N18226" s="1" t="s">
        <v>38</v>
      </c>
      <c r="O18226" s="1" t="s">
        <v>46</v>
      </c>
    </row>
    <row r="18227" spans="2:15" x14ac:dyDescent="0.3">
      <c r="B18227" s="1" t="s">
        <v>13</v>
      </c>
      <c r="C18227" s="1" t="str">
        <f t="shared" si="904"/>
        <v>5-2차</v>
      </c>
      <c r="D18227" s="1" t="str">
        <f>"0126Q6315M"</f>
        <v>0126Q6315M</v>
      </c>
      <c r="E18227" s="1" t="s">
        <v>10</v>
      </c>
      <c r="F18227" s="1" t="str">
        <f>"fde1:103:4:55ce:0:0:0:2"</f>
        <v>fde1:103:4:55ce:0:0:0:2</v>
      </c>
      <c r="G18227" s="1" t="str">
        <f>"0126Q631"</f>
        <v>0126Q631</v>
      </c>
      <c r="H18227" s="1" t="str">
        <f>"왕십리간 58R7"</f>
        <v>왕십리간 58R7</v>
      </c>
      <c r="I18227" s="1" t="s">
        <v>15</v>
      </c>
      <c r="J18227" s="1" t="str">
        <f>"4/42"</f>
        <v>4/42</v>
      </c>
      <c r="K18227" s="1" t="str">
        <f>"2026-07-29 14:20:20"</f>
        <v>2026-07-29 14:20:20</v>
      </c>
      <c r="L18227" s="1" t="str">
        <f>"2023-08-25 15:40:41"</f>
        <v>2023-08-25 15:40:41</v>
      </c>
      <c r="M18227" s="1" t="s">
        <v>4</v>
      </c>
      <c r="N18227" s="1" t="s">
        <v>38</v>
      </c>
      <c r="O18227" s="1" t="s">
        <v>46</v>
      </c>
    </row>
    <row r="18228" spans="2:15" x14ac:dyDescent="0.3">
      <c r="B18228" s="1" t="s">
        <v>13</v>
      </c>
      <c r="C18228" s="1" t="str">
        <f t="shared" si="904"/>
        <v>5-2차</v>
      </c>
      <c r="D18228" s="1" t="str">
        <f>"0126Q6615M"</f>
        <v>0126Q6615M</v>
      </c>
      <c r="E18228" s="1" t="s">
        <v>10</v>
      </c>
      <c r="F18228" s="1" t="str">
        <f>"fde3:102:1305:3003:0:0:0:2"</f>
        <v>fde3:102:1305:3003:0:0:0:2</v>
      </c>
      <c r="G18228" s="1" t="str">
        <f>"0126Q661"</f>
        <v>0126Q661</v>
      </c>
      <c r="H18228" s="1" t="str">
        <f>"신당간 47R4L7"</f>
        <v>신당간 47R4L7</v>
      </c>
      <c r="I18228" s="1" t="s">
        <v>15</v>
      </c>
      <c r="J18228" s="1" t="str">
        <f>"103/103"</f>
        <v>103/103</v>
      </c>
      <c r="K18228" s="1" t="str">
        <f>"2026-07-29 14:20:32"</f>
        <v>2026-07-29 14:20:32</v>
      </c>
      <c r="L18228" s="1" t="str">
        <f>"2023-06-15 10:11:17"</f>
        <v>2023-06-15 10:11:17</v>
      </c>
      <c r="M18228" s="1" t="s">
        <v>45</v>
      </c>
      <c r="N18228" s="1" t="s">
        <v>38</v>
      </c>
      <c r="O18228" s="1" t="s">
        <v>46</v>
      </c>
    </row>
    <row r="18229" spans="2:15" x14ac:dyDescent="0.3">
      <c r="B18229" s="1" t="s">
        <v>13</v>
      </c>
      <c r="C18229" s="1" t="str">
        <f>"4차"</f>
        <v>4차</v>
      </c>
      <c r="D18229" s="1" t="str">
        <f>"0126Q68342"</f>
        <v>0126Q68342</v>
      </c>
      <c r="E18229" s="1" t="s">
        <v>10</v>
      </c>
      <c r="F18229" s="1" t="str">
        <f>"10.89.104.42"</f>
        <v>10.89.104.42</v>
      </c>
      <c r="G18229" s="1" t="str">
        <f>"0126Q683"</f>
        <v>0126Q683</v>
      </c>
      <c r="H18229" s="1" t="str">
        <f>"신당간 47R4L6R6"</f>
        <v>신당간 47R4L6R6</v>
      </c>
      <c r="I18229" s="1" t="s">
        <v>8</v>
      </c>
      <c r="J18229" s="1" t="str">
        <f>"22/22"</f>
        <v>22/22</v>
      </c>
      <c r="K18229" s="1" t="str">
        <f>"2026-07-29 13:18:01"</f>
        <v>2026-07-29 13:18:01</v>
      </c>
      <c r="L18229" s="1" t="str">
        <f>"2024-12-26 17:27:40"</f>
        <v>2024-12-26 17:27:40</v>
      </c>
      <c r="M18229" s="1" t="s">
        <v>45</v>
      </c>
      <c r="N18229" s="1" t="s">
        <v>38</v>
      </c>
      <c r="O18229" s="1" t="s">
        <v>46</v>
      </c>
    </row>
    <row r="18230" spans="2:15" x14ac:dyDescent="0.3">
      <c r="B18230" s="1" t="s">
        <v>13</v>
      </c>
      <c r="C18230" s="1" t="str">
        <f>"5-2차"</f>
        <v>5-2차</v>
      </c>
      <c r="D18230" s="1" t="str">
        <f>"0126Q7125M"</f>
        <v>0126Q7125M</v>
      </c>
      <c r="E18230" s="1" t="s">
        <v>10</v>
      </c>
      <c r="F18230" s="1" t="str">
        <f>"fde1:103:4:55d4:0:0:0:2"</f>
        <v>fde1:103:4:55d4:0:0:0:2</v>
      </c>
      <c r="G18230" s="1" t="str">
        <f>"0126Q712"</f>
        <v>0126Q712</v>
      </c>
      <c r="H18230" s="1" t="str">
        <f>"왕십리간 58R4"</f>
        <v>왕십리간 58R4</v>
      </c>
      <c r="I18230" s="1" t="s">
        <v>15</v>
      </c>
      <c r="J18230" s="1" t="str">
        <f>"65/65"</f>
        <v>65/65</v>
      </c>
      <c r="K18230" s="1" t="str">
        <f>"2026-07-29 08:20:32"</f>
        <v>2026-07-29 08:20:32</v>
      </c>
      <c r="L18230" s="1" t="str">
        <f>"2023-08-25 15:53:13"</f>
        <v>2023-08-25 15:53:13</v>
      </c>
      <c r="M18230" s="1" t="s">
        <v>4</v>
      </c>
      <c r="N18230" s="1" t="s">
        <v>38</v>
      </c>
      <c r="O18230" s="1" t="s">
        <v>46</v>
      </c>
    </row>
    <row r="18231" spans="2:15" x14ac:dyDescent="0.3">
      <c r="B18231" s="1" t="s">
        <v>13</v>
      </c>
      <c r="C18231" s="1" t="str">
        <f>"5-1차"</f>
        <v>5-1차</v>
      </c>
      <c r="D18231" s="1" t="str">
        <f>"0126Q7525M"</f>
        <v>0126Q7525M</v>
      </c>
      <c r="E18231" s="1" t="s">
        <v>10</v>
      </c>
      <c r="F18231" s="1" t="str">
        <f>"fde3:102:1305:3500:0:0:0:2"</f>
        <v>fde3:102:1305:3500:0:0:0:2</v>
      </c>
      <c r="G18231" s="1" t="str">
        <f>"0126Q752"</f>
        <v>0126Q752</v>
      </c>
      <c r="H18231" s="1" t="str">
        <f>"신당간 51"</f>
        <v>신당간 51</v>
      </c>
      <c r="I18231" s="1" t="s">
        <v>15</v>
      </c>
      <c r="J18231" s="1" t="str">
        <f>"5/5"</f>
        <v>5/5</v>
      </c>
      <c r="K18231" s="1" t="str">
        <f>"2026-07-29 14:20:45"</f>
        <v>2026-07-29 14:20:45</v>
      </c>
      <c r="L18231" s="1" t="str">
        <f>"2022-11-23 13:24:08"</f>
        <v>2022-11-23 13:24:08</v>
      </c>
      <c r="M18231" s="1" t="s">
        <v>45</v>
      </c>
      <c r="N18231" s="1" t="s">
        <v>38</v>
      </c>
      <c r="O18231" s="1" t="s">
        <v>46</v>
      </c>
    </row>
    <row r="18232" spans="2:15" x14ac:dyDescent="0.3">
      <c r="B18232" s="1" t="s">
        <v>13</v>
      </c>
      <c r="C18232" s="1" t="str">
        <f>"5-2차"</f>
        <v>5-2차</v>
      </c>
      <c r="D18232" s="1" t="str">
        <f>"0126Q7565M"</f>
        <v>0126Q7565M</v>
      </c>
      <c r="E18232" s="1" t="s">
        <v>10</v>
      </c>
      <c r="F18232" s="1" t="str">
        <f>"fde1:103:4:559f:0:0:0:2"</f>
        <v>fde1:103:4:559f:0:0:0:2</v>
      </c>
      <c r="G18232" s="1" t="str">
        <f>"0126Q756"</f>
        <v>0126Q756</v>
      </c>
      <c r="H18232" s="1" t="str">
        <f>"신당간 51L1L1"</f>
        <v>신당간 51L1L1</v>
      </c>
      <c r="I18232" s="1" t="s">
        <v>15</v>
      </c>
      <c r="J18232" s="1" t="str">
        <f>"39/39"</f>
        <v>39/39</v>
      </c>
      <c r="K18232" s="1" t="str">
        <f>"2026-07-29 14:20:01"</f>
        <v>2026-07-29 14:20:01</v>
      </c>
      <c r="L18232" s="1" t="str">
        <f>"2023-08-25 15:53:55"</f>
        <v>2023-08-25 15:53:55</v>
      </c>
      <c r="M18232" s="1" t="s">
        <v>4</v>
      </c>
      <c r="N18232" s="1" t="s">
        <v>38</v>
      </c>
      <c r="O18232" s="1" t="s">
        <v>46</v>
      </c>
    </row>
    <row r="18233" spans="2:15" x14ac:dyDescent="0.3">
      <c r="B18233" s="1" t="s">
        <v>13</v>
      </c>
      <c r="C18233" s="1" t="str">
        <f>"6차"</f>
        <v>6차</v>
      </c>
      <c r="D18233" s="1" t="str">
        <f>"0126Q7626S"</f>
        <v>0126Q7626S</v>
      </c>
      <c r="E18233" s="1" t="s">
        <v>10</v>
      </c>
      <c r="F18233" s="1" t="str">
        <f>"fde1:103:4:c65b:0:0:0:2"</f>
        <v>fde1:103:4:c65b:0:0:0:2</v>
      </c>
      <c r="G18233" s="1" t="str">
        <f>"0126Q762"</f>
        <v>0126Q762</v>
      </c>
      <c r="H18233" s="1" t="str">
        <f>"신당간 51R1L1"</f>
        <v>신당간 51R1L1</v>
      </c>
      <c r="I18233" s="1" t="s">
        <v>15</v>
      </c>
      <c r="J18233" s="1" t="str">
        <f>"35/39"</f>
        <v>35/39</v>
      </c>
      <c r="K18233" s="1" t="str">
        <f>"2026-07-29 14:20:06"</f>
        <v>2026-07-29 14:20:06</v>
      </c>
      <c r="L18233" s="1" t="str">
        <f>"2024-11-19 11:29:51"</f>
        <v>2024-11-19 11:29:51</v>
      </c>
      <c r="M18233" s="1" t="s">
        <v>4</v>
      </c>
      <c r="N18233" s="1" t="s">
        <v>38</v>
      </c>
      <c r="O18233" s="1" t="s">
        <v>46</v>
      </c>
    </row>
    <row r="18234" spans="2:15" x14ac:dyDescent="0.3">
      <c r="B18234" s="1" t="s">
        <v>13</v>
      </c>
      <c r="C18234" s="1" t="str">
        <f>"5-1차"</f>
        <v>5-1차</v>
      </c>
      <c r="D18234" s="1" t="str">
        <f>"0126Q7635M"</f>
        <v>0126Q7635M</v>
      </c>
      <c r="E18234" s="1" t="s">
        <v>10</v>
      </c>
      <c r="F18234" s="1" t="str">
        <f>"fde2:104:0:154:0:0:0:2"</f>
        <v>fde2:104:0:154:0:0:0:2</v>
      </c>
      <c r="G18234" s="1" t="str">
        <f>"0126Q763"</f>
        <v>0126Q763</v>
      </c>
      <c r="H18234" s="1" t="str">
        <f>"신당간 47R4L5"</f>
        <v>신당간 47R4L5</v>
      </c>
      <c r="I18234" s="1" t="s">
        <v>15</v>
      </c>
      <c r="J18234" s="1" t="str">
        <f>"42/43"</f>
        <v>42/43</v>
      </c>
      <c r="K18234" s="1" t="str">
        <f>"2026-07-29 14:20:34"</f>
        <v>2026-07-29 14:20:34</v>
      </c>
      <c r="L18234" s="1" t="str">
        <f>"2022-11-16 14:26:10"</f>
        <v>2022-11-16 14:26:10</v>
      </c>
      <c r="M18234" s="1" t="s">
        <v>42</v>
      </c>
      <c r="N18234" s="1" t="s">
        <v>38</v>
      </c>
      <c r="O18234" s="1" t="s">
        <v>46</v>
      </c>
    </row>
    <row r="18235" spans="2:15" x14ac:dyDescent="0.3">
      <c r="B18235" s="1" t="s">
        <v>13</v>
      </c>
      <c r="C18235" s="1" t="str">
        <f>"5-1차"</f>
        <v>5-1차</v>
      </c>
      <c r="D18235" s="1" t="str">
        <f>"0126Q7725M"</f>
        <v>0126Q7725M</v>
      </c>
      <c r="E18235" s="1" t="s">
        <v>10</v>
      </c>
      <c r="F18235" s="1" t="str">
        <f>"fde3:102:1305:3800:0:0:0:2"</f>
        <v>fde3:102:1305:3800:0:0:0:2</v>
      </c>
      <c r="G18235" s="1" t="str">
        <f>"0126Q772"</f>
        <v>0126Q772</v>
      </c>
      <c r="H18235" s="1" t="str">
        <f>"신당간 47R4L7H1"</f>
        <v>신당간 47R4L7H1</v>
      </c>
      <c r="I18235" s="1" t="s">
        <v>15</v>
      </c>
      <c r="J18235" s="1" t="str">
        <f>"20/21"</f>
        <v>20/21</v>
      </c>
      <c r="K18235" s="1" t="str">
        <f>"2026-07-29 14:20:01"</f>
        <v>2026-07-29 14:20:01</v>
      </c>
      <c r="L18235" s="1" t="str">
        <f>"2022-11-24 13:27:24"</f>
        <v>2022-11-24 13:27:24</v>
      </c>
      <c r="M18235" s="1" t="s">
        <v>45</v>
      </c>
      <c r="N18235" s="1" t="s">
        <v>38</v>
      </c>
      <c r="O18235" s="1" t="s">
        <v>46</v>
      </c>
    </row>
    <row r="18236" spans="2:15" x14ac:dyDescent="0.3">
      <c r="B18236" s="1" t="s">
        <v>13</v>
      </c>
      <c r="C18236" s="1" t="str">
        <f>"5-2차"</f>
        <v>5-2차</v>
      </c>
      <c r="D18236" s="1" t="str">
        <f>"0126Q7835M"</f>
        <v>0126Q7835M</v>
      </c>
      <c r="E18236" s="1" t="s">
        <v>10</v>
      </c>
      <c r="F18236" s="1" t="str">
        <f>"fde1:103:4:55ef:0:0:0:2"</f>
        <v>fde1:103:4:55ef:0:0:0:2</v>
      </c>
      <c r="G18236" s="1" t="str">
        <f>"0126Q783"</f>
        <v>0126Q783</v>
      </c>
      <c r="H18236" s="1" t="str">
        <f>"신당간 47R4L6R3"</f>
        <v>신당간 47R4L6R3</v>
      </c>
      <c r="I18236" s="1" t="s">
        <v>15</v>
      </c>
      <c r="J18236" s="1" t="str">
        <f>"45/45"</f>
        <v>45/45</v>
      </c>
      <c r="K18236" s="1" t="str">
        <f>"2026-07-29 14:20:38"</f>
        <v>2026-07-29 14:20:38</v>
      </c>
      <c r="L18236" s="1" t="str">
        <f>"2023-08-25 15:54:56"</f>
        <v>2023-08-25 15:54:56</v>
      </c>
      <c r="M18236" s="1" t="s">
        <v>4</v>
      </c>
      <c r="N18236" s="1" t="s">
        <v>38</v>
      </c>
      <c r="O18236" s="1" t="s">
        <v>46</v>
      </c>
    </row>
    <row r="18237" spans="2:15" x14ac:dyDescent="0.3">
      <c r="B18237" s="1" t="s">
        <v>13</v>
      </c>
      <c r="C18237" s="1" t="str">
        <f>"5-1차"</f>
        <v>5-1차</v>
      </c>
      <c r="D18237" s="1" t="str">
        <f>"0126Q7845M"</f>
        <v>0126Q7845M</v>
      </c>
      <c r="E18237" s="1" t="s">
        <v>10</v>
      </c>
      <c r="F18237" s="1" t="str">
        <f>"fde3:102:1305:3800:0:0:0:3"</f>
        <v>fde3:102:1305:3800:0:0:0:3</v>
      </c>
      <c r="G18237" s="1" t="str">
        <f>"0126Q784"</f>
        <v>0126Q784</v>
      </c>
      <c r="H18237" s="1" t="str">
        <f>"신당간 47R4L6R3R1"</f>
        <v>신당간 47R4L6R3R1</v>
      </c>
      <c r="I18237" s="1" t="s">
        <v>15</v>
      </c>
      <c r="J18237" s="1" t="str">
        <f>"17/17"</f>
        <v>17/17</v>
      </c>
      <c r="K18237" s="1" t="str">
        <f>"2026-07-29 14:20:33"</f>
        <v>2026-07-29 14:20:33</v>
      </c>
      <c r="L18237" s="1" t="str">
        <f>"2022-11-24 13:25:20"</f>
        <v>2022-11-24 13:25:20</v>
      </c>
      <c r="M18237" s="1" t="s">
        <v>45</v>
      </c>
      <c r="N18237" s="1" t="s">
        <v>38</v>
      </c>
      <c r="O18237" s="1" t="s">
        <v>46</v>
      </c>
    </row>
    <row r="18238" spans="2:15" x14ac:dyDescent="0.3">
      <c r="B18238" s="1" t="s">
        <v>13</v>
      </c>
      <c r="C18238" s="1" t="str">
        <f t="shared" ref="C18238:C18244" si="905">"5-2차"</f>
        <v>5-2차</v>
      </c>
      <c r="D18238" s="1" t="str">
        <f>"0126Q7965M"</f>
        <v>0126Q7965M</v>
      </c>
      <c r="E18238" s="1" t="s">
        <v>10</v>
      </c>
      <c r="F18238" s="1" t="str">
        <f>"fde1:103:4:571d:0:0:0:2"</f>
        <v>fde1:103:4:571d:0:0:0:2</v>
      </c>
      <c r="G18238" s="1" t="str">
        <f>"0126Q796"</f>
        <v>0126Q796</v>
      </c>
      <c r="H18238" s="1" t="str">
        <f>"신당간 47R4L1R6"</f>
        <v>신당간 47R4L1R6</v>
      </c>
      <c r="I18238" s="1" t="s">
        <v>15</v>
      </c>
      <c r="J18238" s="1" t="str">
        <f>"44/44"</f>
        <v>44/44</v>
      </c>
      <c r="K18238" s="1" t="str">
        <f>"2026-07-29 14:20:33"</f>
        <v>2026-07-29 14:20:33</v>
      </c>
      <c r="L18238" s="1" t="str">
        <f>"2023-10-10 11:09:41"</f>
        <v>2023-10-10 11:09:41</v>
      </c>
      <c r="M18238" s="1" t="s">
        <v>4</v>
      </c>
      <c r="N18238" s="1" t="s">
        <v>38</v>
      </c>
      <c r="O18238" s="1" t="s">
        <v>46</v>
      </c>
    </row>
    <row r="18239" spans="2:15" x14ac:dyDescent="0.3">
      <c r="B18239" s="1" t="s">
        <v>13</v>
      </c>
      <c r="C18239" s="1" t="str">
        <f t="shared" si="905"/>
        <v>5-2차</v>
      </c>
      <c r="D18239" s="1" t="str">
        <f>"0126Q8035M"</f>
        <v>0126Q8035M</v>
      </c>
      <c r="E18239" s="1" t="s">
        <v>10</v>
      </c>
      <c r="F18239" s="1" t="str">
        <f>"fde3:102:1305:3101:0:0:0:2"</f>
        <v>fde3:102:1305:3101:0:0:0:2</v>
      </c>
      <c r="G18239" s="1" t="str">
        <f>"0126Q803"</f>
        <v>0126Q803</v>
      </c>
      <c r="H18239" s="1" t="str">
        <f>"왕십리간 58R2"</f>
        <v>왕십리간 58R2</v>
      </c>
      <c r="I18239" s="1" t="s">
        <v>15</v>
      </c>
      <c r="J18239" s="1" t="str">
        <f>"20/20"</f>
        <v>20/20</v>
      </c>
      <c r="K18239" s="1" t="str">
        <f>"2026-07-29 14:20:00"</f>
        <v>2026-07-29 14:20:00</v>
      </c>
      <c r="L18239" s="1" t="str">
        <f>"2023-06-13 18:19:25"</f>
        <v>2023-06-13 18:19:25</v>
      </c>
      <c r="M18239" s="1" t="s">
        <v>45</v>
      </c>
      <c r="N18239" s="1" t="s">
        <v>38</v>
      </c>
      <c r="O18239" s="1" t="s">
        <v>46</v>
      </c>
    </row>
    <row r="18240" spans="2:15" x14ac:dyDescent="0.3">
      <c r="B18240" s="1" t="s">
        <v>13</v>
      </c>
      <c r="C18240" s="1" t="str">
        <f t="shared" si="905"/>
        <v>5-2차</v>
      </c>
      <c r="D18240" s="1" t="str">
        <f>"0126Q8335M"</f>
        <v>0126Q8335M</v>
      </c>
      <c r="E18240" s="1" t="s">
        <v>10</v>
      </c>
      <c r="F18240" s="1" t="str">
        <f>"fde1:103:4:55b9:0:0:0:2"</f>
        <v>fde1:103:4:55b9:0:0:0:2</v>
      </c>
      <c r="G18240" s="1" t="str">
        <f>"0126Q833"</f>
        <v>0126Q833</v>
      </c>
      <c r="H18240" s="1" t="str">
        <f>"신당간 49L3R2"</f>
        <v>신당간 49L3R2</v>
      </c>
      <c r="I18240" s="1" t="s">
        <v>15</v>
      </c>
      <c r="J18240" s="1" t="str">
        <f>"99/100"</f>
        <v>99/100</v>
      </c>
      <c r="K18240" s="1" t="str">
        <f>"2026-07-29 14:20:06"</f>
        <v>2026-07-29 14:20:06</v>
      </c>
      <c r="L18240" s="1" t="str">
        <f>"2023-08-25 16:25:58"</f>
        <v>2023-08-25 16:25:58</v>
      </c>
      <c r="M18240" s="1" t="s">
        <v>4</v>
      </c>
      <c r="N18240" s="1" t="s">
        <v>38</v>
      </c>
      <c r="O18240" s="1" t="s">
        <v>46</v>
      </c>
    </row>
    <row r="18241" spans="2:15" x14ac:dyDescent="0.3">
      <c r="B18241" s="1" t="s">
        <v>13</v>
      </c>
      <c r="C18241" s="1" t="str">
        <f t="shared" si="905"/>
        <v>5-2차</v>
      </c>
      <c r="D18241" s="1" t="str">
        <f>"0126Q8345M"</f>
        <v>0126Q8345M</v>
      </c>
      <c r="E18241" s="1" t="s">
        <v>10</v>
      </c>
      <c r="F18241" s="1" t="str">
        <f>"fde1:103:4:559e:0:0:0:2"</f>
        <v>fde1:103:4:559e:0:0:0:2</v>
      </c>
      <c r="G18241" s="1" t="str">
        <f>"0126Q834"</f>
        <v>0126Q834</v>
      </c>
      <c r="H18241" s="1" t="str">
        <f>"신당간 49L3R4"</f>
        <v>신당간 49L3R4</v>
      </c>
      <c r="I18241" s="1" t="s">
        <v>15</v>
      </c>
      <c r="J18241" s="1" t="str">
        <f>"28/28"</f>
        <v>28/28</v>
      </c>
      <c r="K18241" s="1" t="str">
        <f>"2026-07-29 14:20:29"</f>
        <v>2026-07-29 14:20:29</v>
      </c>
      <c r="L18241" s="1" t="str">
        <f>"2023-08-25 16:28:17"</f>
        <v>2023-08-25 16:28:17</v>
      </c>
      <c r="M18241" s="1" t="s">
        <v>4</v>
      </c>
      <c r="N18241" s="1" t="s">
        <v>38</v>
      </c>
      <c r="O18241" s="1" t="s">
        <v>46</v>
      </c>
    </row>
    <row r="18242" spans="2:15" x14ac:dyDescent="0.3">
      <c r="B18242" s="1" t="s">
        <v>13</v>
      </c>
      <c r="C18242" s="1" t="str">
        <f t="shared" si="905"/>
        <v>5-2차</v>
      </c>
      <c r="D18242" s="1" t="str">
        <f>"0126Q8615M"</f>
        <v>0126Q8615M</v>
      </c>
      <c r="E18242" s="1" t="s">
        <v>10</v>
      </c>
      <c r="F18242" s="1" t="str">
        <f>"fde3:102:1305:3003:0:0:0:3"</f>
        <v>fde3:102:1305:3003:0:0:0:3</v>
      </c>
      <c r="G18242" s="1" t="str">
        <f>"0126Q861"</f>
        <v>0126Q861</v>
      </c>
      <c r="H18242" s="1" t="str">
        <f>"신당간 51R3"</f>
        <v>신당간 51R3</v>
      </c>
      <c r="I18242" s="1" t="s">
        <v>15</v>
      </c>
      <c r="J18242" s="1" t="str">
        <f>"36/38"</f>
        <v>36/38</v>
      </c>
      <c r="K18242" s="1" t="str">
        <f>"2026-07-29 14:20:28"</f>
        <v>2026-07-29 14:20:28</v>
      </c>
      <c r="L18242" s="1" t="str">
        <f>"2023-06-15 10:12:01"</f>
        <v>2023-06-15 10:12:01</v>
      </c>
      <c r="M18242" s="1" t="s">
        <v>45</v>
      </c>
      <c r="N18242" s="1" t="s">
        <v>38</v>
      </c>
      <c r="O18242" s="1" t="s">
        <v>46</v>
      </c>
    </row>
    <row r="18243" spans="2:15" x14ac:dyDescent="0.3">
      <c r="B18243" s="1" t="s">
        <v>13</v>
      </c>
      <c r="C18243" s="1" t="str">
        <f t="shared" si="905"/>
        <v>5-2차</v>
      </c>
      <c r="D18243" s="1" t="str">
        <f>"0126Q9145M"</f>
        <v>0126Q9145M</v>
      </c>
      <c r="E18243" s="1" t="s">
        <v>10</v>
      </c>
      <c r="F18243" s="1" t="str">
        <f>"fde1:103:4:55ae:0:0:0:2"</f>
        <v>fde1:103:4:55ae:0:0:0:2</v>
      </c>
      <c r="G18243" s="1" t="str">
        <f>"0126Q914"</f>
        <v>0126Q914</v>
      </c>
      <c r="H18243" s="1" t="str">
        <f>"신당간 49L5R1L2"</f>
        <v>신당간 49L5R1L2</v>
      </c>
      <c r="I18243" s="1" t="s">
        <v>15</v>
      </c>
      <c r="J18243" s="1" t="str">
        <f>"120/120"</f>
        <v>120/120</v>
      </c>
      <c r="K18243" s="1" t="str">
        <f>"2026-07-29 14:20:01"</f>
        <v>2026-07-29 14:20:01</v>
      </c>
      <c r="L18243" s="1" t="str">
        <f>"2023-08-25 16:40:47"</f>
        <v>2023-08-25 16:40:47</v>
      </c>
      <c r="M18243" s="1" t="s">
        <v>4</v>
      </c>
      <c r="N18243" s="1" t="s">
        <v>38</v>
      </c>
      <c r="O18243" s="1" t="s">
        <v>46</v>
      </c>
    </row>
    <row r="18244" spans="2:15" x14ac:dyDescent="0.3">
      <c r="B18244" s="1" t="s">
        <v>13</v>
      </c>
      <c r="C18244" s="1" t="str">
        <f t="shared" si="905"/>
        <v>5-2차</v>
      </c>
      <c r="D18244" s="1" t="str">
        <f>"0126Q9525M"</f>
        <v>0126Q9525M</v>
      </c>
      <c r="E18244" s="1" t="s">
        <v>10</v>
      </c>
      <c r="F18244" s="1" t="str">
        <f>"fde1:103:4:5589:0:0:0:2"</f>
        <v>fde1:103:4:5589:0:0:0:2</v>
      </c>
      <c r="G18244" s="1" t="str">
        <f>"0126Q952"</f>
        <v>0126Q952</v>
      </c>
      <c r="H18244" s="1" t="str">
        <f>"신당간 50H1H1R1"</f>
        <v>신당간 50H1H1R1</v>
      </c>
      <c r="I18244" s="1" t="s">
        <v>15</v>
      </c>
      <c r="J18244" s="1" t="str">
        <f>"34/34"</f>
        <v>34/34</v>
      </c>
      <c r="K18244" s="1" t="str">
        <f>"2026-07-29 14:20:01"</f>
        <v>2026-07-29 14:20:01</v>
      </c>
      <c r="L18244" s="1" t="str">
        <f>"2023-08-25 16:41:16"</f>
        <v>2023-08-25 16:41:16</v>
      </c>
      <c r="M18244" s="1" t="s">
        <v>4</v>
      </c>
      <c r="N18244" s="1" t="s">
        <v>38</v>
      </c>
      <c r="O18244" s="1" t="s">
        <v>46</v>
      </c>
    </row>
    <row r="18245" spans="2:15" x14ac:dyDescent="0.3">
      <c r="B18245" s="1" t="s">
        <v>13</v>
      </c>
      <c r="C18245" s="1" t="str">
        <f>"6차"</f>
        <v>6차</v>
      </c>
      <c r="D18245" s="1" t="str">
        <f>"0126Q9816S"</f>
        <v>0126Q9816S</v>
      </c>
      <c r="E18245" s="1" t="s">
        <v>10</v>
      </c>
      <c r="F18245" s="1" t="str">
        <f>"fde1:103:4:c62a:0:0:0:2"</f>
        <v>fde1:103:4:c62a:0:0:0:2</v>
      </c>
      <c r="G18245" s="1" t="str">
        <f>"0126Q981"</f>
        <v>0126Q981</v>
      </c>
      <c r="H18245" s="1" t="str">
        <f>"신당간 47R4L1R1"</f>
        <v>신당간 47R4L1R1</v>
      </c>
      <c r="I18245" s="1" t="s">
        <v>15</v>
      </c>
      <c r="J18245" s="1" t="str">
        <f>"9/35"</f>
        <v>9/35</v>
      </c>
      <c r="K18245" s="1" t="str">
        <f>"2026-07-29 14:20:32"</f>
        <v>2026-07-29 14:20:32</v>
      </c>
      <c r="L18245" s="1" t="str">
        <f>"2024-11-19 11:53:54"</f>
        <v>2024-11-19 11:53:54</v>
      </c>
      <c r="M18245" s="1" t="s">
        <v>4</v>
      </c>
      <c r="N18245" s="1" t="s">
        <v>38</v>
      </c>
      <c r="O18245" s="1" t="s">
        <v>46</v>
      </c>
    </row>
    <row r="18246" spans="2:15" x14ac:dyDescent="0.3">
      <c r="B18246" s="1" t="s">
        <v>13</v>
      </c>
      <c r="C18246" s="1" t="str">
        <f>"3차"</f>
        <v>3차</v>
      </c>
      <c r="D18246" s="1" t="str">
        <f>"0126R00139"</f>
        <v>0126R00139</v>
      </c>
      <c r="E18246" s="1" t="s">
        <v>10</v>
      </c>
      <c r="F18246" s="1" t="str">
        <f>"10.11.12.2"</f>
        <v>10.11.12.2</v>
      </c>
      <c r="G18246" s="1" t="str">
        <f>"0126R001"</f>
        <v>0126R001</v>
      </c>
      <c r="H18246" s="1" t="str">
        <f>"광희간 9R6"</f>
        <v>광희간 9R6</v>
      </c>
      <c r="I18246" s="1" t="s">
        <v>8</v>
      </c>
      <c r="J18246" s="1" t="str">
        <f>"29/29"</f>
        <v>29/29</v>
      </c>
      <c r="K18246" s="1" t="str">
        <f>"2026-07-29 13:18:00"</f>
        <v>2026-07-29 13:18:00</v>
      </c>
      <c r="L18246" s="1" t="str">
        <f>"2018-02-26 19:25:51"</f>
        <v>2018-02-26 19:25:51</v>
      </c>
      <c r="M18246" s="1" t="s">
        <v>2</v>
      </c>
      <c r="N18246" s="1" t="s">
        <v>38</v>
      </c>
      <c r="O18246" s="1" t="s">
        <v>46</v>
      </c>
    </row>
    <row r="18247" spans="2:15" x14ac:dyDescent="0.3">
      <c r="B18247" s="1" t="s">
        <v>13</v>
      </c>
      <c r="C18247" s="1" t="str">
        <f>"3차"</f>
        <v>3차</v>
      </c>
      <c r="D18247" s="1" t="str">
        <f>"0126R00339"</f>
        <v>0126R00339</v>
      </c>
      <c r="E18247" s="1" t="s">
        <v>10</v>
      </c>
      <c r="F18247" s="1" t="str">
        <f>"10.11.30.74"</f>
        <v>10.11.30.74</v>
      </c>
      <c r="G18247" s="1" t="str">
        <f>"0126R003"</f>
        <v>0126R003</v>
      </c>
      <c r="H18247" s="1" t="str">
        <f>"광희간 9R6R1"</f>
        <v>광희간 9R6R1</v>
      </c>
      <c r="I18247" s="1" t="s">
        <v>8</v>
      </c>
      <c r="J18247" s="1" t="str">
        <f>"29/30"</f>
        <v>29/30</v>
      </c>
      <c r="K18247" s="1" t="str">
        <f t="shared" ref="K18247:K18258" si="906">"2026-07-29 13:18:01"</f>
        <v>2026-07-29 13:18:01</v>
      </c>
      <c r="L18247" s="1" t="str">
        <f>"2018-02-09 16:14:14"</f>
        <v>2018-02-09 16:14:14</v>
      </c>
      <c r="M18247" s="1" t="s">
        <v>2</v>
      </c>
      <c r="N18247" s="1" t="s">
        <v>38</v>
      </c>
      <c r="O18247" s="1" t="s">
        <v>46</v>
      </c>
    </row>
    <row r="18248" spans="2:15" x14ac:dyDescent="0.3">
      <c r="B18248" s="1" t="s">
        <v>13</v>
      </c>
      <c r="C18248" s="1" t="str">
        <f>"3차"</f>
        <v>3차</v>
      </c>
      <c r="D18248" s="1" t="str">
        <f>"0126R01130"</f>
        <v>0126R01130</v>
      </c>
      <c r="E18248" s="1" t="s">
        <v>10</v>
      </c>
      <c r="F18248" s="1" t="str">
        <f>"10.11.11.250"</f>
        <v>10.11.11.250</v>
      </c>
      <c r="G18248" s="1" t="str">
        <f>"0126R011"</f>
        <v>0126R011</v>
      </c>
      <c r="H18248" s="1" t="str">
        <f>"광희간 9R5L1"</f>
        <v>광희간 9R5L1</v>
      </c>
      <c r="I18248" s="1" t="s">
        <v>8</v>
      </c>
      <c r="J18248" s="1" t="str">
        <f>"45/46"</f>
        <v>45/46</v>
      </c>
      <c r="K18248" s="1" t="str">
        <f t="shared" si="906"/>
        <v>2026-07-29 13:18:01</v>
      </c>
      <c r="L18248" s="1" t="str">
        <f>"2018-01-04 12:40:10"</f>
        <v>2018-01-04 12:40:10</v>
      </c>
      <c r="M18248" s="1" t="s">
        <v>2</v>
      </c>
      <c r="N18248" s="1" t="s">
        <v>38</v>
      </c>
      <c r="O18248" s="1" t="s">
        <v>46</v>
      </c>
    </row>
    <row r="18249" spans="2:15" x14ac:dyDescent="0.3">
      <c r="B18249" s="1" t="s">
        <v>13</v>
      </c>
      <c r="C18249" s="1" t="str">
        <f>"4차"</f>
        <v>4차</v>
      </c>
      <c r="D18249" s="1" t="str">
        <f>"0126R01239"</f>
        <v>0126R01239</v>
      </c>
      <c r="E18249" s="1" t="s">
        <v>10</v>
      </c>
      <c r="F18249" s="1" t="str">
        <f>"10.11.30.66"</f>
        <v>10.11.30.66</v>
      </c>
      <c r="G18249" s="1" t="str">
        <f>"0126R012"</f>
        <v>0126R012</v>
      </c>
      <c r="H18249" s="1" t="str">
        <f>"광희간 9R6L1"</f>
        <v>광희간 9R6L1</v>
      </c>
      <c r="I18249" s="1" t="s">
        <v>8</v>
      </c>
      <c r="J18249" s="1" t="str">
        <f>"50/50"</f>
        <v>50/50</v>
      </c>
      <c r="K18249" s="1" t="str">
        <f t="shared" si="906"/>
        <v>2026-07-29 13:18:01</v>
      </c>
      <c r="L18249" s="1" t="str">
        <f>"2018-02-09 16:08:42"</f>
        <v>2018-02-09 16:08:42</v>
      </c>
      <c r="M18249" s="1" t="s">
        <v>2</v>
      </c>
      <c r="N18249" s="1" t="s">
        <v>38</v>
      </c>
      <c r="O18249" s="1" t="s">
        <v>46</v>
      </c>
    </row>
    <row r="18250" spans="2:15" x14ac:dyDescent="0.3">
      <c r="B18250" s="1" t="s">
        <v>13</v>
      </c>
      <c r="C18250" s="1" t="str">
        <f>"4차"</f>
        <v>4차</v>
      </c>
      <c r="D18250" s="1" t="str">
        <f>"0126R02139"</f>
        <v>0126R02139</v>
      </c>
      <c r="E18250" s="1" t="s">
        <v>10</v>
      </c>
      <c r="F18250" s="1" t="str">
        <f>"10.11.30.50"</f>
        <v>10.11.30.50</v>
      </c>
      <c r="G18250" s="1" t="str">
        <f>"0126R021"</f>
        <v>0126R021</v>
      </c>
      <c r="H18250" s="1" t="str">
        <f>"광희간 9R4L2"</f>
        <v>광희간 9R4L2</v>
      </c>
      <c r="I18250" s="1" t="s">
        <v>8</v>
      </c>
      <c r="J18250" s="1" t="str">
        <f>"33/33"</f>
        <v>33/33</v>
      </c>
      <c r="K18250" s="1" t="str">
        <f t="shared" si="906"/>
        <v>2026-07-29 13:18:01</v>
      </c>
      <c r="L18250" s="1" t="str">
        <f>"2018-02-09 15:54:27"</f>
        <v>2018-02-09 15:54:27</v>
      </c>
      <c r="M18250" s="1" t="s">
        <v>2</v>
      </c>
      <c r="N18250" s="1" t="s">
        <v>38</v>
      </c>
      <c r="O18250" s="1" t="s">
        <v>46</v>
      </c>
    </row>
    <row r="18251" spans="2:15" x14ac:dyDescent="0.3">
      <c r="B18251" s="1" t="s">
        <v>13</v>
      </c>
      <c r="C18251" s="1" t="str">
        <f>"4차"</f>
        <v>4차</v>
      </c>
      <c r="D18251" s="1" t="str">
        <f>"0126R02244"</f>
        <v>0126R02244</v>
      </c>
      <c r="E18251" s="1" t="s">
        <v>10</v>
      </c>
      <c r="F18251" s="1" t="str">
        <f>"10.11.44.242"</f>
        <v>10.11.44.242</v>
      </c>
      <c r="G18251" s="1" t="str">
        <f>"0126R022"</f>
        <v>0126R022</v>
      </c>
      <c r="H18251" s="1" t="str">
        <f>"광희간 9R5L2"</f>
        <v>광희간 9R5L2</v>
      </c>
      <c r="I18251" s="1" t="s">
        <v>8</v>
      </c>
      <c r="J18251" s="1" t="str">
        <f>"71/74"</f>
        <v>71/74</v>
      </c>
      <c r="K18251" s="1" t="str">
        <f t="shared" si="906"/>
        <v>2026-07-29 13:18:01</v>
      </c>
      <c r="L18251" s="1" t="str">
        <f>"2023-10-11 16:47:17"</f>
        <v>2023-10-11 16:47:17</v>
      </c>
      <c r="M18251" s="1" t="s">
        <v>2</v>
      </c>
      <c r="N18251" s="1" t="s">
        <v>38</v>
      </c>
      <c r="O18251" s="1" t="s">
        <v>46</v>
      </c>
    </row>
    <row r="18252" spans="2:15" x14ac:dyDescent="0.3">
      <c r="B18252" s="1" t="s">
        <v>13</v>
      </c>
      <c r="C18252" s="1" t="str">
        <f>"3차"</f>
        <v>3차</v>
      </c>
      <c r="D18252" s="1" t="str">
        <f>"0126R03139"</f>
        <v>0126R03139</v>
      </c>
      <c r="E18252" s="1" t="s">
        <v>10</v>
      </c>
      <c r="F18252" s="1" t="str">
        <f>"10.11.30.34"</f>
        <v>10.11.30.34</v>
      </c>
      <c r="G18252" s="1" t="str">
        <f>"0126R031"</f>
        <v>0126R031</v>
      </c>
      <c r="H18252" s="1" t="str">
        <f>"광희간 9R3L4"</f>
        <v>광희간 9R3L4</v>
      </c>
      <c r="I18252" s="1" t="s">
        <v>8</v>
      </c>
      <c r="J18252" s="1" t="str">
        <f>"24/24"</f>
        <v>24/24</v>
      </c>
      <c r="K18252" s="1" t="str">
        <f t="shared" si="906"/>
        <v>2026-07-29 13:18:01</v>
      </c>
      <c r="L18252" s="1" t="str">
        <f>"2018-02-09 15:50:12"</f>
        <v>2018-02-09 15:50:12</v>
      </c>
      <c r="M18252" s="1" t="s">
        <v>2</v>
      </c>
      <c r="N18252" s="1" t="s">
        <v>38</v>
      </c>
      <c r="O18252" s="1" t="s">
        <v>46</v>
      </c>
    </row>
    <row r="18253" spans="2:15" x14ac:dyDescent="0.3">
      <c r="B18253" s="1" t="s">
        <v>13</v>
      </c>
      <c r="C18253" s="1" t="str">
        <f>"4차"</f>
        <v>4차</v>
      </c>
      <c r="D18253" s="1" t="str">
        <f>"0126R03239"</f>
        <v>0126R03239</v>
      </c>
      <c r="E18253" s="1" t="s">
        <v>10</v>
      </c>
      <c r="F18253" s="1" t="str">
        <f>"10.11.11.242"</f>
        <v>10.11.11.242</v>
      </c>
      <c r="G18253" s="1" t="str">
        <f>"0126R032"</f>
        <v>0126R032</v>
      </c>
      <c r="H18253" s="1" t="str">
        <f>"광희간 9R4L3"</f>
        <v>광희간 9R4L3</v>
      </c>
      <c r="I18253" s="1" t="s">
        <v>8</v>
      </c>
      <c r="J18253" s="1" t="str">
        <f>"30/30"</f>
        <v>30/30</v>
      </c>
      <c r="K18253" s="1" t="str">
        <f t="shared" si="906"/>
        <v>2026-07-29 13:18:01</v>
      </c>
      <c r="L18253" s="1" t="str">
        <f>"2018-02-26 19:27:22"</f>
        <v>2018-02-26 19:27:22</v>
      </c>
      <c r="M18253" s="1" t="s">
        <v>2</v>
      </c>
      <c r="N18253" s="1" t="s">
        <v>38</v>
      </c>
      <c r="O18253" s="1" t="s">
        <v>46</v>
      </c>
    </row>
    <row r="18254" spans="2:15" x14ac:dyDescent="0.3">
      <c r="B18254" s="1" t="s">
        <v>13</v>
      </c>
      <c r="C18254" s="1" t="str">
        <f>"3차"</f>
        <v>3차</v>
      </c>
      <c r="D18254" s="1" t="str">
        <f>"0126R04139"</f>
        <v>0126R04139</v>
      </c>
      <c r="E18254" s="1" t="s">
        <v>10</v>
      </c>
      <c r="F18254" s="1" t="str">
        <f>"10.11.30.58"</f>
        <v>10.11.30.58</v>
      </c>
      <c r="G18254" s="1" t="str">
        <f>"0126R041"</f>
        <v>0126R041</v>
      </c>
      <c r="H18254" s="1" t="str">
        <f>"광희간 9R4L4"</f>
        <v>광희간 9R4L4</v>
      </c>
      <c r="I18254" s="1" t="s">
        <v>8</v>
      </c>
      <c r="J18254" s="1" t="str">
        <f>"17/18"</f>
        <v>17/18</v>
      </c>
      <c r="K18254" s="1" t="str">
        <f t="shared" si="906"/>
        <v>2026-07-29 13:18:01</v>
      </c>
      <c r="L18254" s="1" t="str">
        <f>"2018-02-09 16:02:12"</f>
        <v>2018-02-09 16:02:12</v>
      </c>
      <c r="M18254" s="1" t="s">
        <v>2</v>
      </c>
      <c r="N18254" s="1" t="s">
        <v>38</v>
      </c>
      <c r="O18254" s="1" t="s">
        <v>46</v>
      </c>
    </row>
    <row r="18255" spans="2:15" x14ac:dyDescent="0.3">
      <c r="B18255" s="1" t="s">
        <v>13</v>
      </c>
      <c r="C18255" s="1" t="str">
        <f>"3차"</f>
        <v>3차</v>
      </c>
      <c r="D18255" s="1" t="str">
        <f>"0126R05139"</f>
        <v>0126R05139</v>
      </c>
      <c r="E18255" s="1" t="s">
        <v>10</v>
      </c>
      <c r="F18255" s="1" t="str">
        <f>"10.11.38.242"</f>
        <v>10.11.38.242</v>
      </c>
      <c r="G18255" s="1" t="str">
        <f>"0126R051"</f>
        <v>0126R051</v>
      </c>
      <c r="H18255" s="1" t="str">
        <f>"청구지 1R6L1R6"</f>
        <v>청구지 1R6L1R6</v>
      </c>
      <c r="I18255" s="1" t="s">
        <v>8</v>
      </c>
      <c r="J18255" s="1" t="str">
        <f>"24/24"</f>
        <v>24/24</v>
      </c>
      <c r="K18255" s="1" t="str">
        <f t="shared" si="906"/>
        <v>2026-07-29 13:18:01</v>
      </c>
      <c r="L18255" s="1" t="str">
        <f>"2018-05-15 11:36:26"</f>
        <v>2018-05-15 11:36:26</v>
      </c>
      <c r="M18255" s="1" t="s">
        <v>2</v>
      </c>
      <c r="N18255" s="1" t="s">
        <v>38</v>
      </c>
      <c r="O18255" s="1" t="s">
        <v>46</v>
      </c>
    </row>
    <row r="18256" spans="2:15" x14ac:dyDescent="0.3">
      <c r="B18256" s="1" t="s">
        <v>13</v>
      </c>
      <c r="C18256" s="1" t="str">
        <f>"4차"</f>
        <v>4차</v>
      </c>
      <c r="D18256" s="1" t="str">
        <f>"0126R05239"</f>
        <v>0126R05239</v>
      </c>
      <c r="E18256" s="1" t="s">
        <v>10</v>
      </c>
      <c r="F18256" s="1" t="str">
        <f>"10.11.19.162"</f>
        <v>10.11.19.162</v>
      </c>
      <c r="G18256" s="1" t="str">
        <f>"0126R052"</f>
        <v>0126R052</v>
      </c>
      <c r="H18256" s="1" t="str">
        <f>"청구지 1R6L1R7"</f>
        <v>청구지 1R6L1R7</v>
      </c>
      <c r="I18256" s="1" t="s">
        <v>8</v>
      </c>
      <c r="J18256" s="1" t="str">
        <f>"53/57"</f>
        <v>53/57</v>
      </c>
      <c r="K18256" s="1" t="str">
        <f t="shared" si="906"/>
        <v>2026-07-29 13:18:01</v>
      </c>
      <c r="L18256" s="1" t="str">
        <f>"2018-05-15 16:42:28"</f>
        <v>2018-05-15 16:42:28</v>
      </c>
      <c r="M18256" s="1" t="s">
        <v>2</v>
      </c>
      <c r="N18256" s="1" t="s">
        <v>38</v>
      </c>
      <c r="O18256" s="1" t="s">
        <v>46</v>
      </c>
    </row>
    <row r="18257" spans="2:15" x14ac:dyDescent="0.3">
      <c r="B18257" s="1" t="s">
        <v>13</v>
      </c>
      <c r="C18257" s="1" t="str">
        <f>"4차"</f>
        <v>4차</v>
      </c>
      <c r="D18257" s="1" t="str">
        <f>"0126R06139"</f>
        <v>0126R06139</v>
      </c>
      <c r="E18257" s="1" t="s">
        <v>10</v>
      </c>
      <c r="F18257" s="1" t="str">
        <f>"10.11.39.10"</f>
        <v>10.11.39.10</v>
      </c>
      <c r="G18257" s="1" t="str">
        <f>"0126R061"</f>
        <v>0126R061</v>
      </c>
      <c r="H18257" s="1" t="str">
        <f>"청구지 1R6L1R6R2L2"</f>
        <v>청구지 1R6L1R6R2L2</v>
      </c>
      <c r="I18257" s="1" t="s">
        <v>8</v>
      </c>
      <c r="J18257" s="1" t="str">
        <f>"33/35"</f>
        <v>33/35</v>
      </c>
      <c r="K18257" s="1" t="str">
        <f t="shared" si="906"/>
        <v>2026-07-29 13:18:01</v>
      </c>
      <c r="L18257" s="1" t="str">
        <f>"2018-05-15 16:52:14"</f>
        <v>2018-05-15 16:52:14</v>
      </c>
      <c r="M18257" s="1" t="s">
        <v>2</v>
      </c>
      <c r="N18257" s="1" t="s">
        <v>38</v>
      </c>
      <c r="O18257" s="1" t="s">
        <v>46</v>
      </c>
    </row>
    <row r="18258" spans="2:15" x14ac:dyDescent="0.3">
      <c r="B18258" s="1" t="s">
        <v>13</v>
      </c>
      <c r="C18258" s="1" t="str">
        <f>"4차"</f>
        <v>4차</v>
      </c>
      <c r="D18258" s="1" t="str">
        <f>"0126R07122"</f>
        <v>0126R07122</v>
      </c>
      <c r="E18258" s="1" t="s">
        <v>10</v>
      </c>
      <c r="F18258" s="1" t="str">
        <f>"10.11.6.132"</f>
        <v>10.11.6.132</v>
      </c>
      <c r="G18258" s="1" t="str">
        <f>"0126R071"</f>
        <v>0126R071</v>
      </c>
      <c r="H18258" s="1" t="str">
        <f>"청구지 1R6L1A3"</f>
        <v>청구지 1R6L1A3</v>
      </c>
      <c r="I18258" s="1" t="s">
        <v>8</v>
      </c>
      <c r="J18258" s="1" t="str">
        <f>"19/19"</f>
        <v>19/19</v>
      </c>
      <c r="K18258" s="1" t="str">
        <f t="shared" si="906"/>
        <v>2026-07-29 13:18:01</v>
      </c>
      <c r="L18258" s="1" t="str">
        <f>"2017-06-27 18:30:35"</f>
        <v>2017-06-27 18:30:35</v>
      </c>
      <c r="M18258" s="1" t="s">
        <v>2</v>
      </c>
      <c r="N18258" s="1" t="s">
        <v>38</v>
      </c>
      <c r="O18258" s="1" t="s">
        <v>46</v>
      </c>
    </row>
    <row r="18259" spans="2:15" x14ac:dyDescent="0.3">
      <c r="B18259" s="1" t="s">
        <v>13</v>
      </c>
      <c r="C18259" s="1" t="str">
        <f>"4차"</f>
        <v>4차</v>
      </c>
      <c r="D18259" s="1" t="str">
        <f>"0126R08145"</f>
        <v>0126R08145</v>
      </c>
      <c r="E18259" s="1" t="s">
        <v>10</v>
      </c>
      <c r="F18259" s="1" t="str">
        <f>"10.14.4.14"</f>
        <v>10.14.4.14</v>
      </c>
      <c r="G18259" s="1" t="str">
        <f>"0126R081"</f>
        <v>0126R081</v>
      </c>
      <c r="H18259" s="1" t="str">
        <f>"왕십리로 L1-1"</f>
        <v>왕십리로 L1-1</v>
      </c>
      <c r="I18259" s="1" t="s">
        <v>17</v>
      </c>
      <c r="J18259" s="1" t="str">
        <f>"6/6"</f>
        <v>6/6</v>
      </c>
      <c r="K18259" s="1" t="str">
        <f>"2026-07-29 13:18:02"</f>
        <v>2026-07-29 13:18:02</v>
      </c>
      <c r="L18259" s="1" t="str">
        <f>"2021-06-29 15:36:47"</f>
        <v>2021-06-29 15:36:47</v>
      </c>
      <c r="M18259" s="1" t="s">
        <v>3</v>
      </c>
      <c r="N18259" s="1" t="s">
        <v>38</v>
      </c>
      <c r="O18259" s="1" t="s">
        <v>46</v>
      </c>
    </row>
    <row r="18260" spans="2:15" x14ac:dyDescent="0.3">
      <c r="B18260" s="1" t="s">
        <v>13</v>
      </c>
      <c r="C18260" s="1" t="str">
        <f>"1차"</f>
        <v>1차</v>
      </c>
      <c r="D18260" s="1" t="str">
        <f>"0126R12100"</f>
        <v>0126R12100</v>
      </c>
      <c r="E18260" s="1" t="s">
        <v>10</v>
      </c>
      <c r="F18260" s="1" t="str">
        <f>"10.89.96.10"</f>
        <v>10.89.96.10</v>
      </c>
      <c r="G18260" s="1" t="str">
        <f>"0126R121"</f>
        <v>0126R121</v>
      </c>
      <c r="H18260" s="1" t="str">
        <f>"광희간 9R6L2"</f>
        <v>광희간 9R6L2</v>
      </c>
      <c r="I18260" s="1" t="s">
        <v>8</v>
      </c>
      <c r="J18260" s="1" t="str">
        <f>"19/19"</f>
        <v>19/19</v>
      </c>
      <c r="K18260" s="1" t="str">
        <f t="shared" ref="K18260:K18268" si="907">"2026-07-29 13:18:01"</f>
        <v>2026-07-29 13:18:01</v>
      </c>
      <c r="L18260" s="1" t="str">
        <f>"2014-10-01 11:57:15"</f>
        <v>2014-10-01 11:57:15</v>
      </c>
      <c r="M18260" s="1" t="s">
        <v>45</v>
      </c>
      <c r="N18260" s="1" t="s">
        <v>38</v>
      </c>
      <c r="O18260" s="1" t="s">
        <v>46</v>
      </c>
    </row>
    <row r="18261" spans="2:15" x14ac:dyDescent="0.3">
      <c r="B18261" s="1" t="s">
        <v>13</v>
      </c>
      <c r="C18261" s="1" t="str">
        <f>"3차"</f>
        <v>3차</v>
      </c>
      <c r="D18261" s="1" t="str">
        <f>"0126R13439"</f>
        <v>0126R13439</v>
      </c>
      <c r="E18261" s="1" t="s">
        <v>10</v>
      </c>
      <c r="F18261" s="1" t="str">
        <f>"10.11.27.66"</f>
        <v>10.11.27.66</v>
      </c>
      <c r="G18261" s="1" t="str">
        <f>"0126R134"</f>
        <v>0126R134</v>
      </c>
      <c r="H18261" s="1" t="str">
        <f>"청구지 1R6L1R4L1R1"</f>
        <v>청구지 1R6L1R4L1R1</v>
      </c>
      <c r="I18261" s="1" t="s">
        <v>8</v>
      </c>
      <c r="J18261" s="1" t="str">
        <f>"33/33"</f>
        <v>33/33</v>
      </c>
      <c r="K18261" s="1" t="str">
        <f t="shared" si="907"/>
        <v>2026-07-29 13:18:01</v>
      </c>
      <c r="L18261" s="1" t="str">
        <f>"2018-05-23 11:33:38"</f>
        <v>2018-05-23 11:33:38</v>
      </c>
      <c r="M18261" s="1" t="s">
        <v>2</v>
      </c>
      <c r="N18261" s="1" t="s">
        <v>38</v>
      </c>
      <c r="O18261" s="1" t="s">
        <v>46</v>
      </c>
    </row>
    <row r="18262" spans="2:15" x14ac:dyDescent="0.3">
      <c r="B18262" s="1" t="s">
        <v>13</v>
      </c>
      <c r="C18262" s="1" t="str">
        <f>"4차"</f>
        <v>4차</v>
      </c>
      <c r="D18262" s="1" t="str">
        <f>"0126R14139"</f>
        <v>0126R14139</v>
      </c>
      <c r="E18262" s="1" t="s">
        <v>10</v>
      </c>
      <c r="F18262" s="1" t="str">
        <f>"10.11.19.138"</f>
        <v>10.11.19.138</v>
      </c>
      <c r="G18262" s="1" t="str">
        <f>"0126R141"</f>
        <v>0126R141</v>
      </c>
      <c r="H18262" s="1" t="str">
        <f>"청구지 1R6L1R5"</f>
        <v>청구지 1R6L1R5</v>
      </c>
      <c r="I18262" s="1" t="s">
        <v>8</v>
      </c>
      <c r="J18262" s="1" t="str">
        <f>"79/89"</f>
        <v>79/89</v>
      </c>
      <c r="K18262" s="1" t="str">
        <f t="shared" si="907"/>
        <v>2026-07-29 13:18:01</v>
      </c>
      <c r="L18262" s="1" t="str">
        <f>"2018-05-15 11:31:41"</f>
        <v>2018-05-15 11:31:41</v>
      </c>
      <c r="M18262" s="1" t="s">
        <v>2</v>
      </c>
      <c r="N18262" s="1" t="s">
        <v>38</v>
      </c>
      <c r="O18262" s="1" t="s">
        <v>46</v>
      </c>
    </row>
    <row r="18263" spans="2:15" x14ac:dyDescent="0.3">
      <c r="B18263" s="1" t="s">
        <v>13</v>
      </c>
      <c r="C18263" s="1" t="str">
        <f>"3차"</f>
        <v>3차</v>
      </c>
      <c r="D18263" s="1" t="str">
        <f>"0126R15239"</f>
        <v>0126R15239</v>
      </c>
      <c r="E18263" s="1" t="s">
        <v>10</v>
      </c>
      <c r="F18263" s="1" t="str">
        <f>"10.11.19.146"</f>
        <v>10.11.19.146</v>
      </c>
      <c r="G18263" s="1" t="str">
        <f>"0126R152"</f>
        <v>0126R152</v>
      </c>
      <c r="H18263" s="1" t="str">
        <f>"청구지 1R6L1R6R1"</f>
        <v>청구지 1R6L1R6R1</v>
      </c>
      <c r="I18263" s="1" t="s">
        <v>8</v>
      </c>
      <c r="J18263" s="1" t="str">
        <f>"14/15"</f>
        <v>14/15</v>
      </c>
      <c r="K18263" s="1" t="str">
        <f t="shared" si="907"/>
        <v>2026-07-29 13:18:01</v>
      </c>
      <c r="L18263" s="1" t="str">
        <f>"2018-05-15 11:27:11"</f>
        <v>2018-05-15 11:27:11</v>
      </c>
      <c r="M18263" s="1" t="s">
        <v>2</v>
      </c>
      <c r="N18263" s="1" t="s">
        <v>38</v>
      </c>
      <c r="O18263" s="1" t="s">
        <v>46</v>
      </c>
    </row>
    <row r="18264" spans="2:15" x14ac:dyDescent="0.3">
      <c r="B18264" s="1" t="s">
        <v>13</v>
      </c>
      <c r="C18264" s="1" t="str">
        <f>"4차"</f>
        <v>4차</v>
      </c>
      <c r="D18264" s="1" t="str">
        <f>"0126R15439"</f>
        <v>0126R15439</v>
      </c>
      <c r="E18264" s="1" t="s">
        <v>10</v>
      </c>
      <c r="F18264" s="1" t="str">
        <f>"10.11.38.250"</f>
        <v>10.11.38.250</v>
      </c>
      <c r="G18264" s="1" t="str">
        <f>"0126R154"</f>
        <v>0126R154</v>
      </c>
      <c r="H18264" s="1" t="str">
        <f>"청구지 1R6L1R6R1H1"</f>
        <v>청구지 1R6L1R6R1H1</v>
      </c>
      <c r="I18264" s="1" t="s">
        <v>8</v>
      </c>
      <c r="J18264" s="1" t="str">
        <f>"14/14"</f>
        <v>14/14</v>
      </c>
      <c r="K18264" s="1" t="str">
        <f t="shared" si="907"/>
        <v>2026-07-29 13:18:01</v>
      </c>
      <c r="L18264" s="1" t="str">
        <f>"2018-05-15 11:40:12"</f>
        <v>2018-05-15 11:40:12</v>
      </c>
      <c r="M18264" s="1" t="s">
        <v>2</v>
      </c>
      <c r="N18264" s="1" t="s">
        <v>38</v>
      </c>
      <c r="O18264" s="1" t="s">
        <v>46</v>
      </c>
    </row>
    <row r="18265" spans="2:15" x14ac:dyDescent="0.3">
      <c r="B18265" s="1" t="s">
        <v>13</v>
      </c>
      <c r="C18265" s="1" t="str">
        <f>"4차"</f>
        <v>4차</v>
      </c>
      <c r="D18265" s="1" t="str">
        <f>"0126R16139"</f>
        <v>0126R16139</v>
      </c>
      <c r="E18265" s="1" t="s">
        <v>10</v>
      </c>
      <c r="F18265" s="1" t="str">
        <f>"10.11.39.2"</f>
        <v>10.11.39.2</v>
      </c>
      <c r="G18265" s="1" t="str">
        <f>"0126R161"</f>
        <v>0126R161</v>
      </c>
      <c r="H18265" s="1" t="str">
        <f>"청구지 1R6L1R6R2"</f>
        <v>청구지 1R6L1R6R2</v>
      </c>
      <c r="I18265" s="1" t="s">
        <v>8</v>
      </c>
      <c r="J18265" s="1" t="str">
        <f>"70/75"</f>
        <v>70/75</v>
      </c>
      <c r="K18265" s="1" t="str">
        <f t="shared" si="907"/>
        <v>2026-07-29 13:18:01</v>
      </c>
      <c r="L18265" s="1" t="str">
        <f>"2018-05-15 16:37:44"</f>
        <v>2018-05-15 16:37:44</v>
      </c>
      <c r="M18265" s="1" t="s">
        <v>2</v>
      </c>
      <c r="N18265" s="1" t="s">
        <v>38</v>
      </c>
      <c r="O18265" s="1" t="s">
        <v>46</v>
      </c>
    </row>
    <row r="18266" spans="2:15" x14ac:dyDescent="0.3">
      <c r="B18266" s="1" t="s">
        <v>13</v>
      </c>
      <c r="C18266" s="1" t="str">
        <f>"3차"</f>
        <v>3차</v>
      </c>
      <c r="D18266" s="1" t="str">
        <f>"0126R16439"</f>
        <v>0126R16439</v>
      </c>
      <c r="E18266" s="1" t="s">
        <v>10</v>
      </c>
      <c r="F18266" s="1" t="str">
        <f>"10.11.19.154"</f>
        <v>10.11.19.154</v>
      </c>
      <c r="G18266" s="1" t="str">
        <f>"0126R164"</f>
        <v>0126R164</v>
      </c>
      <c r="H18266" s="1" t="str">
        <f>"청구지 1R6L1R6R2L1"</f>
        <v>청구지 1R6L1R6R2L1</v>
      </c>
      <c r="I18266" s="1" t="s">
        <v>8</v>
      </c>
      <c r="J18266" s="1" t="str">
        <f>"59/59"</f>
        <v>59/59</v>
      </c>
      <c r="K18266" s="1" t="str">
        <f t="shared" si="907"/>
        <v>2026-07-29 13:18:01</v>
      </c>
      <c r="L18266" s="1" t="str">
        <f>"2018-05-15 16:31:14"</f>
        <v>2018-05-15 16:31:14</v>
      </c>
      <c r="M18266" s="1" t="s">
        <v>2</v>
      </c>
      <c r="N18266" s="1" t="s">
        <v>38</v>
      </c>
      <c r="O18266" s="1" t="s">
        <v>46</v>
      </c>
    </row>
    <row r="18267" spans="2:15" x14ac:dyDescent="0.3">
      <c r="B18267" s="1" t="s">
        <v>13</v>
      </c>
      <c r="C18267" s="1" t="str">
        <f>"4차"</f>
        <v>4차</v>
      </c>
      <c r="D18267" s="1" t="str">
        <f>"0126R17120"</f>
        <v>0126R17120</v>
      </c>
      <c r="E18267" s="1" t="s">
        <v>10</v>
      </c>
      <c r="F18267" s="1" t="str">
        <f>"10.11.6.130"</f>
        <v>10.11.6.130</v>
      </c>
      <c r="G18267" s="1" t="str">
        <f>"0126R171"</f>
        <v>0126R171</v>
      </c>
      <c r="H18267" s="1" t="str">
        <f>"청구지 1R6L1A2"</f>
        <v>청구지 1R6L1A2</v>
      </c>
      <c r="I18267" s="1" t="s">
        <v>8</v>
      </c>
      <c r="J18267" s="1" t="str">
        <f>"19/19"</f>
        <v>19/19</v>
      </c>
      <c r="K18267" s="1" t="str">
        <f t="shared" si="907"/>
        <v>2026-07-29 13:18:01</v>
      </c>
      <c r="L18267" s="1" t="str">
        <f>"2017-06-21 17:41:01"</f>
        <v>2017-06-21 17:41:01</v>
      </c>
      <c r="M18267" s="1" t="s">
        <v>2</v>
      </c>
      <c r="N18267" s="1" t="s">
        <v>38</v>
      </c>
      <c r="O18267" s="1" t="s">
        <v>46</v>
      </c>
    </row>
    <row r="18268" spans="2:15" x14ac:dyDescent="0.3">
      <c r="B18268" s="1" t="s">
        <v>13</v>
      </c>
      <c r="C18268" s="1" t="str">
        <f>"4차"</f>
        <v>4차</v>
      </c>
      <c r="D18268" s="1" t="str">
        <f>"0126R17221"</f>
        <v>0126R17221</v>
      </c>
      <c r="E18268" s="1" t="s">
        <v>10</v>
      </c>
      <c r="F18268" s="1" t="str">
        <f>"10.11.6.131"</f>
        <v>10.11.6.131</v>
      </c>
      <c r="G18268" s="1" t="str">
        <f>"0126R172"</f>
        <v>0126R172</v>
      </c>
      <c r="H18268" s="1" t="str">
        <f>"청구지 1R6L1A1"</f>
        <v>청구지 1R6L1A1</v>
      </c>
      <c r="I18268" s="1" t="s">
        <v>8</v>
      </c>
      <c r="J18268" s="1" t="str">
        <f>"2/2"</f>
        <v>2/2</v>
      </c>
      <c r="K18268" s="1" t="str">
        <f t="shared" si="907"/>
        <v>2026-07-29 13:18:01</v>
      </c>
      <c r="L18268" s="1" t="str">
        <f>"2017-06-27 15:14:13"</f>
        <v>2017-06-27 15:14:13</v>
      </c>
      <c r="M18268" s="1" t="s">
        <v>2</v>
      </c>
      <c r="N18268" s="1" t="s">
        <v>38</v>
      </c>
      <c r="O18268" s="1" t="s">
        <v>46</v>
      </c>
    </row>
    <row r="18269" spans="2:15" x14ac:dyDescent="0.3">
      <c r="B18269" s="1" t="s">
        <v>13</v>
      </c>
      <c r="C18269" s="1" t="str">
        <f>"4차"</f>
        <v>4차</v>
      </c>
      <c r="D18269" s="1" t="str">
        <f>"0126R17539"</f>
        <v>0126R17539</v>
      </c>
      <c r="E18269" s="1" t="s">
        <v>14</v>
      </c>
      <c r="F18269" s="1" t="str">
        <f>"10.12.133.53"</f>
        <v>10.12.133.53</v>
      </c>
      <c r="G18269" s="1" t="str">
        <f>"0126R175"</f>
        <v>0126R175</v>
      </c>
      <c r="H18269" s="1" t="str">
        <f>"왕십리로 R3-1"</f>
        <v>왕십리로 R3-1</v>
      </c>
      <c r="I18269" s="1" t="s">
        <v>17</v>
      </c>
      <c r="J18269" s="1" t="str">
        <f>"0/0"</f>
        <v>0/0</v>
      </c>
      <c r="K18269" s="1" t="str">
        <f>"2026-05-13 13:18:02"</f>
        <v>2026-05-13 13:18:02</v>
      </c>
      <c r="L18269" s="1" t="str">
        <f>"2018-06-12 07:33:42"</f>
        <v>2018-06-12 07:33:42</v>
      </c>
      <c r="M18269" s="1" t="s">
        <v>0</v>
      </c>
      <c r="N18269" s="1" t="s">
        <v>39</v>
      </c>
      <c r="O18269" s="1" t="s">
        <v>46</v>
      </c>
    </row>
    <row r="18270" spans="2:15" x14ac:dyDescent="0.3">
      <c r="B18270" s="1" t="s">
        <v>13</v>
      </c>
      <c r="C18270" s="1" t="str">
        <f>"4차"</f>
        <v>4차</v>
      </c>
      <c r="D18270" s="1" t="str">
        <f>"0126R20239"</f>
        <v>0126R20239</v>
      </c>
      <c r="E18270" s="1" t="s">
        <v>10</v>
      </c>
      <c r="F18270" s="1" t="str">
        <f>"10.11.25.50"</f>
        <v>10.11.25.50</v>
      </c>
      <c r="G18270" s="1" t="str">
        <f>"0126R202"</f>
        <v>0126R202</v>
      </c>
      <c r="H18270" s="1" t="str">
        <f>"광희간 9R6L4R1"</f>
        <v>광희간 9R6L4R1</v>
      </c>
      <c r="I18270" s="1" t="s">
        <v>8</v>
      </c>
      <c r="J18270" s="1" t="str">
        <f>"47/47"</f>
        <v>47/47</v>
      </c>
      <c r="K18270" s="1" t="str">
        <f>"2026-07-29 13:18:01"</f>
        <v>2026-07-29 13:18:01</v>
      </c>
      <c r="L18270" s="1" t="str">
        <f>"2017-12-09 14:08:00"</f>
        <v>2017-12-09 14:08:00</v>
      </c>
      <c r="M18270" s="1" t="s">
        <v>2</v>
      </c>
      <c r="N18270" s="1" t="s">
        <v>38</v>
      </c>
      <c r="O18270" s="1" t="s">
        <v>46</v>
      </c>
    </row>
    <row r="18271" spans="2:15" x14ac:dyDescent="0.3">
      <c r="B18271" s="1" t="s">
        <v>13</v>
      </c>
      <c r="C18271" s="1" t="str">
        <f>"1차"</f>
        <v>1차</v>
      </c>
      <c r="D18271" s="1" t="str">
        <f>"0126R21201"</f>
        <v>0126R21201</v>
      </c>
      <c r="E18271" s="1" t="s">
        <v>10</v>
      </c>
      <c r="F18271" s="1" t="str">
        <f>"10.12.128.180"</f>
        <v>10.12.128.180</v>
      </c>
      <c r="G18271" s="1" t="str">
        <f>"0126R212"</f>
        <v>0126R212</v>
      </c>
      <c r="H18271" s="1" t="str">
        <f>"광희간 9R6L5"</f>
        <v>광희간 9R6L5</v>
      </c>
      <c r="I18271" s="1" t="s">
        <v>8</v>
      </c>
      <c r="J18271" s="1" t="str">
        <f>"69/71"</f>
        <v>69/71</v>
      </c>
      <c r="K18271" s="1" t="str">
        <f>"2026-07-29 13:18:02"</f>
        <v>2026-07-29 13:18:02</v>
      </c>
      <c r="L18271" s="1" t="str">
        <f>"2014-09-30 19:42:21"</f>
        <v>2014-09-30 19:42:21</v>
      </c>
      <c r="M18271" s="1" t="s">
        <v>0</v>
      </c>
      <c r="N18271" s="1" t="s">
        <v>38</v>
      </c>
      <c r="O18271" s="1" t="s">
        <v>46</v>
      </c>
    </row>
    <row r="18272" spans="2:15" x14ac:dyDescent="0.3">
      <c r="B18272" s="1" t="s">
        <v>13</v>
      </c>
      <c r="C18272" s="1" t="str">
        <f>"4차"</f>
        <v>4차</v>
      </c>
      <c r="D18272" s="1" t="str">
        <f>"0126R22144"</f>
        <v>0126R22144</v>
      </c>
      <c r="E18272" s="1" t="s">
        <v>10</v>
      </c>
      <c r="F18272" s="1" t="str">
        <f>"10.11.44.250"</f>
        <v>10.11.44.250</v>
      </c>
      <c r="G18272" s="1" t="str">
        <f>"0126R221"</f>
        <v>0126R221</v>
      </c>
      <c r="H18272" s="1" t="str">
        <f>"청구지 1R6L1R4L2R1"</f>
        <v>청구지 1R6L1R4L2R1</v>
      </c>
      <c r="I18272" s="1" t="s">
        <v>8</v>
      </c>
      <c r="J18272" s="1" t="str">
        <f>"47/48"</f>
        <v>47/48</v>
      </c>
      <c r="K18272" s="1" t="str">
        <f>"2026-07-29 13:18:01"</f>
        <v>2026-07-29 13:18:01</v>
      </c>
      <c r="L18272" s="1" t="str">
        <f>"2023-10-18 14:57:36"</f>
        <v>2023-10-18 14:57:36</v>
      </c>
      <c r="M18272" s="1" t="s">
        <v>2</v>
      </c>
      <c r="N18272" s="1" t="s">
        <v>38</v>
      </c>
      <c r="O18272" s="1" t="s">
        <v>46</v>
      </c>
    </row>
    <row r="18273" spans="2:15" x14ac:dyDescent="0.3">
      <c r="B18273" s="1" t="s">
        <v>13</v>
      </c>
      <c r="C18273" s="1" t="str">
        <f>"1차"</f>
        <v>1차</v>
      </c>
      <c r="D18273" s="1" t="str">
        <f>"0126R22200"</f>
        <v>0126R22200</v>
      </c>
      <c r="E18273" s="1" t="s">
        <v>10</v>
      </c>
      <c r="F18273" s="1" t="str">
        <f>"10.89.96.42"</f>
        <v>10.89.96.42</v>
      </c>
      <c r="G18273" s="1" t="str">
        <f>"0126R222"</f>
        <v>0126R222</v>
      </c>
      <c r="H18273" s="1" t="str">
        <f>"청구지 1R6L1R4L2"</f>
        <v>청구지 1R6L1R4L2</v>
      </c>
      <c r="I18273" s="1" t="s">
        <v>8</v>
      </c>
      <c r="J18273" s="1" t="str">
        <f>"14/15"</f>
        <v>14/15</v>
      </c>
      <c r="K18273" s="1" t="str">
        <f>"2026-07-29 13:18:01"</f>
        <v>2026-07-29 13:18:01</v>
      </c>
      <c r="L18273" s="1" t="str">
        <f>"2014-10-01 09:57:31"</f>
        <v>2014-10-01 09:57:31</v>
      </c>
      <c r="M18273" s="1" t="s">
        <v>45</v>
      </c>
      <c r="N18273" s="1" t="s">
        <v>38</v>
      </c>
      <c r="O18273" s="1" t="s">
        <v>46</v>
      </c>
    </row>
    <row r="18274" spans="2:15" x14ac:dyDescent="0.3">
      <c r="B18274" s="1" t="s">
        <v>13</v>
      </c>
      <c r="C18274" s="1" t="str">
        <f>"6차"</f>
        <v>6차</v>
      </c>
      <c r="D18274" s="1" t="str">
        <f>"0126R2316S"</f>
        <v>0126R2316S</v>
      </c>
      <c r="E18274" s="1" t="s">
        <v>10</v>
      </c>
      <c r="F18274" s="1" t="str">
        <f>"fde1:103:4:c64e:0:0:0:2"</f>
        <v>fde1:103:4:c64e:0:0:0:2</v>
      </c>
      <c r="G18274" s="1" t="str">
        <f>"0126R231"</f>
        <v>0126R231</v>
      </c>
      <c r="H18274" s="1" t="str">
        <f>"청구지 1R6L1R4L1"</f>
        <v>청구지 1R6L1R4L1</v>
      </c>
      <c r="I18274" s="1" t="s">
        <v>15</v>
      </c>
      <c r="J18274" s="1" t="str">
        <f>"92/93"</f>
        <v>92/93</v>
      </c>
      <c r="K18274" s="1" t="str">
        <f>"2026-07-29 14:20:29"</f>
        <v>2026-07-29 14:20:29</v>
      </c>
      <c r="L18274" s="1" t="str">
        <f>"2024-11-20 10:39:26"</f>
        <v>2024-11-20 10:39:26</v>
      </c>
      <c r="M18274" s="1" t="s">
        <v>4</v>
      </c>
      <c r="N18274" s="1" t="s">
        <v>38</v>
      </c>
      <c r="O18274" s="1" t="s">
        <v>46</v>
      </c>
    </row>
    <row r="18275" spans="2:15" x14ac:dyDescent="0.3">
      <c r="B18275" s="1" t="s">
        <v>13</v>
      </c>
      <c r="C18275" s="1" t="str">
        <f>"5-2차"</f>
        <v>5-2차</v>
      </c>
      <c r="D18275" s="1" t="str">
        <f>"0126R2425M"</f>
        <v>0126R2425M</v>
      </c>
      <c r="E18275" s="1" t="s">
        <v>10</v>
      </c>
      <c r="F18275" s="1" t="str">
        <f>"fde3:102:1305:2001:0:0:0:2"</f>
        <v>fde3:102:1305:2001:0:0:0:2</v>
      </c>
      <c r="G18275" s="1" t="str">
        <f>"0126R242"</f>
        <v>0126R242</v>
      </c>
      <c r="H18275" s="1" t="str">
        <f>"청구지 1R6L1R5H1"</f>
        <v>청구지 1R6L1R5H1</v>
      </c>
      <c r="I18275" s="1" t="s">
        <v>15</v>
      </c>
      <c r="J18275" s="1" t="str">
        <f>"64/64"</f>
        <v>64/64</v>
      </c>
      <c r="K18275" s="1" t="str">
        <f>"2026-07-29 14:20:32"</f>
        <v>2026-07-29 14:20:32</v>
      </c>
      <c r="L18275" s="1" t="str">
        <f>"2023-06-13 18:20:11"</f>
        <v>2023-06-13 18:20:11</v>
      </c>
      <c r="M18275" s="1" t="s">
        <v>45</v>
      </c>
      <c r="N18275" s="1" t="s">
        <v>38</v>
      </c>
      <c r="O18275" s="1" t="s">
        <v>46</v>
      </c>
    </row>
    <row r="18276" spans="2:15" x14ac:dyDescent="0.3">
      <c r="B18276" s="1" t="s">
        <v>13</v>
      </c>
      <c r="C18276" s="1" t="str">
        <f>"3차"</f>
        <v>3차</v>
      </c>
      <c r="D18276" s="1" t="str">
        <f>"0126R25139"</f>
        <v>0126R25139</v>
      </c>
      <c r="E18276" s="1" t="s">
        <v>10</v>
      </c>
      <c r="F18276" s="1" t="str">
        <f>"10.11.38.234"</f>
        <v>10.11.38.234</v>
      </c>
      <c r="G18276" s="1" t="str">
        <f>"0126R251"</f>
        <v>0126R251</v>
      </c>
      <c r="H18276" s="1" t="str">
        <f>"청구지 1R6L1R2"</f>
        <v>청구지 1R6L1R2</v>
      </c>
      <c r="I18276" s="1" t="s">
        <v>8</v>
      </c>
      <c r="J18276" s="1" t="str">
        <f>"31/31"</f>
        <v>31/31</v>
      </c>
      <c r="K18276" s="1" t="str">
        <f t="shared" ref="K18276:K18282" si="908">"2026-07-29 13:18:01"</f>
        <v>2026-07-29 13:18:01</v>
      </c>
      <c r="L18276" s="1" t="str">
        <f>"2018-05-15 11:47:26"</f>
        <v>2018-05-15 11:47:26</v>
      </c>
      <c r="M18276" s="1" t="s">
        <v>2</v>
      </c>
      <c r="N18276" s="1" t="s">
        <v>38</v>
      </c>
      <c r="O18276" s="1" t="s">
        <v>46</v>
      </c>
    </row>
    <row r="18277" spans="2:15" x14ac:dyDescent="0.3">
      <c r="B18277" s="1" t="s">
        <v>13</v>
      </c>
      <c r="C18277" s="1" t="str">
        <f>"3차"</f>
        <v>3차</v>
      </c>
      <c r="D18277" s="1" t="str">
        <f>"0126R26139"</f>
        <v>0126R26139</v>
      </c>
      <c r="E18277" s="1" t="s">
        <v>10</v>
      </c>
      <c r="F18277" s="1" t="str">
        <f>"10.11.19.130"</f>
        <v>10.11.19.130</v>
      </c>
      <c r="G18277" s="1" t="str">
        <f>"0126R261"</f>
        <v>0126R261</v>
      </c>
      <c r="H18277" s="1" t="str">
        <f>"청구지 1R6L1R1"</f>
        <v>청구지 1R6L1R1</v>
      </c>
      <c r="I18277" s="1" t="s">
        <v>8</v>
      </c>
      <c r="J18277" s="1" t="str">
        <f>"57/58"</f>
        <v>57/58</v>
      </c>
      <c r="K18277" s="1" t="str">
        <f t="shared" si="908"/>
        <v>2026-07-29 13:18:01</v>
      </c>
      <c r="L18277" s="1" t="str">
        <f>"2018-05-15 11:35:57"</f>
        <v>2018-05-15 11:35:57</v>
      </c>
      <c r="M18277" s="1" t="s">
        <v>2</v>
      </c>
      <c r="N18277" s="1" t="s">
        <v>38</v>
      </c>
      <c r="O18277" s="1" t="s">
        <v>46</v>
      </c>
    </row>
    <row r="18278" spans="2:15" x14ac:dyDescent="0.3">
      <c r="B18278" s="1" t="s">
        <v>13</v>
      </c>
      <c r="C18278" s="1" t="str">
        <f>"1차"</f>
        <v>1차</v>
      </c>
      <c r="D18278" s="1" t="str">
        <f>"0126R27300"</f>
        <v>0126R27300</v>
      </c>
      <c r="E18278" s="1" t="s">
        <v>10</v>
      </c>
      <c r="F18278" s="1" t="str">
        <f>"10.89.96.2"</f>
        <v>10.89.96.2</v>
      </c>
      <c r="G18278" s="1" t="str">
        <f>"0126R273"</f>
        <v>0126R273</v>
      </c>
      <c r="H18278" s="1" t="str">
        <f>"청구지 1R6L2H1"</f>
        <v>청구지 1R6L2H1</v>
      </c>
      <c r="I18278" s="1" t="s">
        <v>8</v>
      </c>
      <c r="J18278" s="1" t="str">
        <f>"12/12"</f>
        <v>12/12</v>
      </c>
      <c r="K18278" s="1" t="str">
        <f t="shared" si="908"/>
        <v>2026-07-29 13:18:01</v>
      </c>
      <c r="L18278" s="1" t="str">
        <f>"2014-10-01 12:23:00"</f>
        <v>2014-10-01 12:23:00</v>
      </c>
      <c r="M18278" s="1" t="s">
        <v>45</v>
      </c>
      <c r="N18278" s="1" t="s">
        <v>38</v>
      </c>
      <c r="O18278" s="1" t="s">
        <v>46</v>
      </c>
    </row>
    <row r="18279" spans="2:15" x14ac:dyDescent="0.3">
      <c r="B18279" s="1" t="s">
        <v>13</v>
      </c>
      <c r="C18279" s="1" t="str">
        <f>"4차"</f>
        <v>4차</v>
      </c>
      <c r="D18279" s="1" t="str">
        <f>"0126R30344"</f>
        <v>0126R30344</v>
      </c>
      <c r="E18279" s="1" t="s">
        <v>10</v>
      </c>
      <c r="F18279" s="1" t="str">
        <f>"10.89.104.18"</f>
        <v>10.89.104.18</v>
      </c>
      <c r="G18279" s="1" t="str">
        <f>"0126R303"</f>
        <v>0126R303</v>
      </c>
      <c r="H18279" s="1" t="str">
        <f>"광희간 2R4"</f>
        <v>광희간 2R4</v>
      </c>
      <c r="I18279" s="1" t="s">
        <v>8</v>
      </c>
      <c r="J18279" s="1" t="str">
        <f>"63/63"</f>
        <v>63/63</v>
      </c>
      <c r="K18279" s="1" t="str">
        <f t="shared" si="908"/>
        <v>2026-07-29 13:18:01</v>
      </c>
      <c r="L18279" s="1" t="str">
        <f>"2023-09-27 15:39:36"</f>
        <v>2023-09-27 15:39:36</v>
      </c>
      <c r="M18279" s="1" t="s">
        <v>45</v>
      </c>
      <c r="N18279" s="1" t="s">
        <v>38</v>
      </c>
      <c r="O18279" s="1" t="s">
        <v>46</v>
      </c>
    </row>
    <row r="18280" spans="2:15" x14ac:dyDescent="0.3">
      <c r="B18280" s="1" t="s">
        <v>13</v>
      </c>
      <c r="C18280" s="1" t="str">
        <f>"4차"</f>
        <v>4차</v>
      </c>
      <c r="D18280" s="1" t="str">
        <f>"0126R32344"</f>
        <v>0126R32344</v>
      </c>
      <c r="E18280" s="1" t="s">
        <v>10</v>
      </c>
      <c r="F18280" s="1" t="str">
        <f>"10.11.45.2"</f>
        <v>10.11.45.2</v>
      </c>
      <c r="G18280" s="1" t="str">
        <f>"0126R323"</f>
        <v>0126R323</v>
      </c>
      <c r="H18280" s="1" t="str">
        <f>"청구지 1R6L1R4L3"</f>
        <v>청구지 1R6L1R4L3</v>
      </c>
      <c r="I18280" s="1" t="s">
        <v>8</v>
      </c>
      <c r="J18280" s="1" t="str">
        <f>"47/47"</f>
        <v>47/47</v>
      </c>
      <c r="K18280" s="1" t="str">
        <f t="shared" si="908"/>
        <v>2026-07-29 13:18:01</v>
      </c>
      <c r="L18280" s="1" t="str">
        <f>"2023-10-18 14:51:58"</f>
        <v>2023-10-18 14:51:58</v>
      </c>
      <c r="M18280" s="1" t="s">
        <v>2</v>
      </c>
      <c r="N18280" s="1" t="s">
        <v>38</v>
      </c>
      <c r="O18280" s="1" t="s">
        <v>46</v>
      </c>
    </row>
    <row r="18281" spans="2:15" x14ac:dyDescent="0.3">
      <c r="B18281" s="1" t="s">
        <v>13</v>
      </c>
      <c r="C18281" s="1" t="str">
        <f>"3차"</f>
        <v>3차</v>
      </c>
      <c r="D18281" s="1" t="str">
        <f>"0126R36139"</f>
        <v>0126R36139</v>
      </c>
      <c r="E18281" s="1" t="s">
        <v>10</v>
      </c>
      <c r="F18281" s="1" t="str">
        <f>"10.11.39.26"</f>
        <v>10.11.39.26</v>
      </c>
      <c r="G18281" s="1" t="str">
        <f>"0126R361"</f>
        <v>0126R361</v>
      </c>
      <c r="H18281" s="1" t="str">
        <f>"청구지 1R6L3"</f>
        <v>청구지 1R6L3</v>
      </c>
      <c r="I18281" s="1" t="s">
        <v>8</v>
      </c>
      <c r="J18281" s="1" t="str">
        <f>"29/29"</f>
        <v>29/29</v>
      </c>
      <c r="K18281" s="1" t="str">
        <f t="shared" si="908"/>
        <v>2026-07-29 13:18:01</v>
      </c>
      <c r="L18281" s="1" t="str">
        <f>"2018-05-15 17:33:58"</f>
        <v>2018-05-15 17:33:58</v>
      </c>
      <c r="M18281" s="1" t="s">
        <v>2</v>
      </c>
      <c r="N18281" s="1" t="s">
        <v>38</v>
      </c>
      <c r="O18281" s="1" t="s">
        <v>46</v>
      </c>
    </row>
    <row r="18282" spans="2:15" x14ac:dyDescent="0.3">
      <c r="B18282" s="1" t="s">
        <v>13</v>
      </c>
      <c r="C18282" s="1" t="str">
        <f>"4차"</f>
        <v>4차</v>
      </c>
      <c r="D18282" s="1" t="str">
        <f>"0126R36239"</f>
        <v>0126R36239</v>
      </c>
      <c r="E18282" s="1" t="s">
        <v>10</v>
      </c>
      <c r="F18282" s="1" t="str">
        <f>"10.11.19.170"</f>
        <v>10.11.19.170</v>
      </c>
      <c r="G18282" s="1" t="str">
        <f>"0126R362"</f>
        <v>0126R362</v>
      </c>
      <c r="H18282" s="1" t="str">
        <f>"청구지 1R6L4"</f>
        <v>청구지 1R6L4</v>
      </c>
      <c r="I18282" s="1" t="s">
        <v>8</v>
      </c>
      <c r="J18282" s="1" t="str">
        <f>"36/36"</f>
        <v>36/36</v>
      </c>
      <c r="K18282" s="1" t="str">
        <f t="shared" si="908"/>
        <v>2026-07-29 13:18:01</v>
      </c>
      <c r="L18282" s="1" t="str">
        <f>"2018-05-15 17:40:29"</f>
        <v>2018-05-15 17:40:29</v>
      </c>
      <c r="M18282" s="1" t="s">
        <v>2</v>
      </c>
      <c r="N18282" s="1" t="s">
        <v>38</v>
      </c>
      <c r="O18282" s="1" t="s">
        <v>46</v>
      </c>
    </row>
    <row r="18283" spans="2:15" x14ac:dyDescent="0.3">
      <c r="B18283" s="1" t="s">
        <v>13</v>
      </c>
      <c r="C18283" s="1" t="str">
        <f>"4차"</f>
        <v>4차</v>
      </c>
      <c r="D18283" s="1" t="str">
        <f>"0126R38139"</f>
        <v>0126R38139</v>
      </c>
      <c r="E18283" s="1" t="s">
        <v>10</v>
      </c>
      <c r="F18283" s="1" t="str">
        <f>"10.12.133.217"</f>
        <v>10.12.133.217</v>
      </c>
      <c r="G18283" s="1" t="str">
        <f>"0126R381"</f>
        <v>0126R381</v>
      </c>
      <c r="H18283" s="1" t="str">
        <f>"왕십리로 L2"</f>
        <v>왕십리로 L2</v>
      </c>
      <c r="I18283" s="1" t="s">
        <v>17</v>
      </c>
      <c r="J18283" s="1" t="str">
        <f>"5/5"</f>
        <v>5/5</v>
      </c>
      <c r="K18283" s="1" t="str">
        <f>"2026-07-29 13:18:02"</f>
        <v>2026-07-29 13:18:02</v>
      </c>
      <c r="L18283" s="1" t="str">
        <f>"2018-06-12 09:00:55"</f>
        <v>2018-06-12 09:00:55</v>
      </c>
      <c r="M18283" s="1" t="s">
        <v>0</v>
      </c>
      <c r="N18283" s="1" t="s">
        <v>38</v>
      </c>
      <c r="O18283" s="1" t="s">
        <v>46</v>
      </c>
    </row>
    <row r="18284" spans="2:15" x14ac:dyDescent="0.3">
      <c r="B18284" s="1" t="s">
        <v>13</v>
      </c>
      <c r="C18284" s="1" t="str">
        <f>"4차"</f>
        <v>4차</v>
      </c>
      <c r="D18284" s="1" t="str">
        <f>"0126R38239"</f>
        <v>0126R38239</v>
      </c>
      <c r="E18284" s="1" t="s">
        <v>10</v>
      </c>
      <c r="F18284" s="1" t="str">
        <f>"10.12.133.249"</f>
        <v>10.12.133.249</v>
      </c>
      <c r="G18284" s="1" t="str">
        <f>"0126R382"</f>
        <v>0126R382</v>
      </c>
      <c r="H18284" s="1" t="str">
        <f>"왕십리로 L3"</f>
        <v>왕십리로 L3</v>
      </c>
      <c r="I18284" s="1" t="s">
        <v>17</v>
      </c>
      <c r="J18284" s="1" t="str">
        <f>"4/4"</f>
        <v>4/4</v>
      </c>
      <c r="K18284" s="1" t="str">
        <f>"2026-07-29 13:18:02"</f>
        <v>2026-07-29 13:18:02</v>
      </c>
      <c r="L18284" s="1" t="str">
        <f>"2018-06-12 08:51:40"</f>
        <v>2018-06-12 08:51:40</v>
      </c>
      <c r="M18284" s="1" t="s">
        <v>0</v>
      </c>
      <c r="N18284" s="1" t="s">
        <v>38</v>
      </c>
      <c r="O18284" s="1" t="s">
        <v>46</v>
      </c>
    </row>
    <row r="18285" spans="2:15" x14ac:dyDescent="0.3">
      <c r="B18285" s="1" t="s">
        <v>13</v>
      </c>
      <c r="C18285" s="1" t="str">
        <f>"4차"</f>
        <v>4차</v>
      </c>
      <c r="D18285" s="1" t="str">
        <f>"0126R38539"</f>
        <v>0126R38539</v>
      </c>
      <c r="E18285" s="1" t="s">
        <v>10</v>
      </c>
      <c r="F18285" s="1" t="str">
        <f>"10.12.134.150"</f>
        <v>10.12.134.150</v>
      </c>
      <c r="G18285" s="1" t="str">
        <f>"0126R385"</f>
        <v>0126R385</v>
      </c>
      <c r="H18285" s="1" t="str">
        <f>"왕십리로 R5"</f>
        <v>왕십리로 R5</v>
      </c>
      <c r="I18285" s="1" t="s">
        <v>17</v>
      </c>
      <c r="J18285" s="1" t="str">
        <f>"9/9"</f>
        <v>9/9</v>
      </c>
      <c r="K18285" s="1" t="str">
        <f>"2026-07-29 13:18:01"</f>
        <v>2026-07-29 13:18:01</v>
      </c>
      <c r="L18285" s="1" t="str">
        <f>"2018-06-12 08:29:56"</f>
        <v>2018-06-12 08:29:56</v>
      </c>
      <c r="M18285" s="1" t="s">
        <v>0</v>
      </c>
      <c r="N18285" s="1" t="s">
        <v>38</v>
      </c>
      <c r="O18285" s="1" t="s">
        <v>46</v>
      </c>
    </row>
    <row r="18286" spans="2:15" x14ac:dyDescent="0.3">
      <c r="B18286" s="1" t="s">
        <v>13</v>
      </c>
      <c r="C18286" s="1" t="str">
        <f>"3차"</f>
        <v>3차</v>
      </c>
      <c r="D18286" s="1" t="str">
        <f>"0126R44239"</f>
        <v>0126R44239</v>
      </c>
      <c r="E18286" s="1" t="s">
        <v>10</v>
      </c>
      <c r="F18286" s="1" t="str">
        <f>"10.11.19.194"</f>
        <v>10.11.19.194</v>
      </c>
      <c r="G18286" s="1" t="str">
        <f>"0126R442"</f>
        <v>0126R442</v>
      </c>
      <c r="H18286" s="1" t="str">
        <f>"청구지 1R6L8R2"</f>
        <v>청구지 1R6L8R2</v>
      </c>
      <c r="I18286" s="1" t="s">
        <v>8</v>
      </c>
      <c r="J18286" s="1" t="str">
        <f>"44/45"</f>
        <v>44/45</v>
      </c>
      <c r="K18286" s="1" t="str">
        <f>"2026-07-29 13:18:01"</f>
        <v>2026-07-29 13:18:01</v>
      </c>
      <c r="L18286" s="1" t="str">
        <f>"2018-05-15 17:11:15"</f>
        <v>2018-05-15 17:11:15</v>
      </c>
      <c r="M18286" s="1" t="s">
        <v>2</v>
      </c>
      <c r="N18286" s="1" t="s">
        <v>38</v>
      </c>
      <c r="O18286" s="1" t="s">
        <v>46</v>
      </c>
    </row>
    <row r="18287" spans="2:15" x14ac:dyDescent="0.3">
      <c r="B18287" s="1" t="s">
        <v>13</v>
      </c>
      <c r="C18287" s="1" t="str">
        <f>"3차"</f>
        <v>3차</v>
      </c>
      <c r="D18287" s="1" t="str">
        <f>"0126R45139"</f>
        <v>0126R45139</v>
      </c>
      <c r="E18287" s="1" t="s">
        <v>10</v>
      </c>
      <c r="F18287" s="1" t="str">
        <f>"10.11.19.178"</f>
        <v>10.11.19.178</v>
      </c>
      <c r="G18287" s="1" t="str">
        <f>"0126R451"</f>
        <v>0126R451</v>
      </c>
      <c r="H18287" s="1" t="str">
        <f>"청구지 1R6L5"</f>
        <v>청구지 1R6L5</v>
      </c>
      <c r="I18287" s="1" t="s">
        <v>8</v>
      </c>
      <c r="J18287" s="1" t="str">
        <f>"6/7"</f>
        <v>6/7</v>
      </c>
      <c r="K18287" s="1" t="str">
        <f>"2026-07-29 13:18:01"</f>
        <v>2026-07-29 13:18:01</v>
      </c>
      <c r="L18287" s="1" t="str">
        <f>"2018-05-15 18:00:44"</f>
        <v>2018-05-15 18:00:44</v>
      </c>
      <c r="M18287" s="1" t="s">
        <v>2</v>
      </c>
      <c r="N18287" s="1" t="s">
        <v>38</v>
      </c>
      <c r="O18287" s="1" t="s">
        <v>46</v>
      </c>
    </row>
    <row r="18288" spans="2:15" x14ac:dyDescent="0.3">
      <c r="B18288" s="1" t="s">
        <v>13</v>
      </c>
      <c r="C18288" s="1" t="str">
        <f>"3차"</f>
        <v>3차</v>
      </c>
      <c r="D18288" s="1" t="str">
        <f>"0126R47139"</f>
        <v>0126R47139</v>
      </c>
      <c r="E18288" s="1" t="s">
        <v>10</v>
      </c>
      <c r="F18288" s="1" t="str">
        <f>"10.11.39.34"</f>
        <v>10.11.39.34</v>
      </c>
      <c r="G18288" s="1" t="str">
        <f>"0126R471"</f>
        <v>0126R471</v>
      </c>
      <c r="H18288" s="1" t="str">
        <f>"청구지 1R6L8L5"</f>
        <v>청구지 1R6L8L5</v>
      </c>
      <c r="I18288" s="1" t="s">
        <v>8</v>
      </c>
      <c r="J18288" s="1" t="str">
        <f>"44/45"</f>
        <v>44/45</v>
      </c>
      <c r="K18288" s="1" t="str">
        <f>"2026-07-29 13:18:01"</f>
        <v>2026-07-29 13:18:01</v>
      </c>
      <c r="L18288" s="1" t="str">
        <f>"2018-05-15 17:04:28"</f>
        <v>2018-05-15 17:04:28</v>
      </c>
      <c r="M18288" s="1" t="s">
        <v>2</v>
      </c>
      <c r="N18288" s="1" t="s">
        <v>38</v>
      </c>
      <c r="O18288" s="1" t="s">
        <v>46</v>
      </c>
    </row>
    <row r="18289" spans="2:15" x14ac:dyDescent="0.3">
      <c r="B18289" s="1" t="s">
        <v>13</v>
      </c>
      <c r="C18289" s="1" t="str">
        <f>"3차"</f>
        <v>3차</v>
      </c>
      <c r="D18289" s="1" t="str">
        <f>"0126R47239"</f>
        <v>0126R47239</v>
      </c>
      <c r="E18289" s="1" t="s">
        <v>10</v>
      </c>
      <c r="F18289" s="1" t="str">
        <f>"10.11.19.186"</f>
        <v>10.11.19.186</v>
      </c>
      <c r="G18289" s="1" t="str">
        <f>"0126R472"</f>
        <v>0126R472</v>
      </c>
      <c r="H18289" s="1" t="str">
        <f>"청구지 1R6L8L5R1"</f>
        <v>청구지 1R6L8L5R1</v>
      </c>
      <c r="I18289" s="1" t="s">
        <v>8</v>
      </c>
      <c r="J18289" s="1" t="str">
        <f>"11/11"</f>
        <v>11/11</v>
      </c>
      <c r="K18289" s="1" t="str">
        <f>"2026-07-29 13:18:01"</f>
        <v>2026-07-29 13:18:01</v>
      </c>
      <c r="L18289" s="1" t="str">
        <f>"2018-05-15 17:13:29"</f>
        <v>2018-05-15 17:13:29</v>
      </c>
      <c r="M18289" s="1" t="s">
        <v>2</v>
      </c>
      <c r="N18289" s="1" t="s">
        <v>38</v>
      </c>
      <c r="O18289" s="1" t="s">
        <v>46</v>
      </c>
    </row>
    <row r="18290" spans="2:15" x14ac:dyDescent="0.3">
      <c r="B18290" s="1" t="s">
        <v>13</v>
      </c>
      <c r="C18290" s="1" t="str">
        <f>"4차"</f>
        <v>4차</v>
      </c>
      <c r="D18290" s="1" t="str">
        <f>"0126R48139"</f>
        <v>0126R48139</v>
      </c>
      <c r="E18290" s="1" t="s">
        <v>10</v>
      </c>
      <c r="F18290" s="1" t="str">
        <f>"10.12.132.220"</f>
        <v>10.12.132.220</v>
      </c>
      <c r="G18290" s="1" t="str">
        <f>"0126R481"</f>
        <v>0126R481</v>
      </c>
      <c r="H18290" s="1" t="str">
        <f>"왕십리로 R5-1"</f>
        <v>왕십리로 R5-1</v>
      </c>
      <c r="I18290" s="1" t="s">
        <v>17</v>
      </c>
      <c r="J18290" s="1" t="str">
        <f>"16/17"</f>
        <v>16/17</v>
      </c>
      <c r="K18290" s="1" t="str">
        <f>"2026-07-29 13:18:02"</f>
        <v>2026-07-29 13:18:02</v>
      </c>
      <c r="L18290" s="1" t="str">
        <f>"2018-06-12 09:20:56"</f>
        <v>2018-06-12 09:20:56</v>
      </c>
      <c r="M18290" s="1" t="s">
        <v>0</v>
      </c>
      <c r="N18290" s="1" t="s">
        <v>38</v>
      </c>
      <c r="O18290" s="1" t="s">
        <v>46</v>
      </c>
    </row>
    <row r="18291" spans="2:15" x14ac:dyDescent="0.3">
      <c r="B18291" s="1" t="s">
        <v>13</v>
      </c>
      <c r="C18291" s="1" t="str">
        <f>"3차"</f>
        <v>3차</v>
      </c>
      <c r="D18291" s="1" t="str">
        <f>"0126R51139"</f>
        <v>0126R51139</v>
      </c>
      <c r="E18291" s="1" t="s">
        <v>10</v>
      </c>
      <c r="F18291" s="1" t="str">
        <f>"10.11.35.202"</f>
        <v>10.11.35.202</v>
      </c>
      <c r="G18291" s="1" t="str">
        <f>"0126R511"</f>
        <v>0126R511</v>
      </c>
      <c r="H18291" s="1" t="str">
        <f>"신금지 14"</f>
        <v>신금지 14</v>
      </c>
      <c r="I18291" s="1" t="s">
        <v>8</v>
      </c>
      <c r="J18291" s="1" t="str">
        <f>"15/15"</f>
        <v>15/15</v>
      </c>
      <c r="K18291" s="1" t="str">
        <f>"2026-07-29 13:18:01"</f>
        <v>2026-07-29 13:18:01</v>
      </c>
      <c r="L18291" s="1" t="str">
        <f>"2018-02-23 15:27:28"</f>
        <v>2018-02-23 15:27:28</v>
      </c>
      <c r="M18291" s="1" t="s">
        <v>2</v>
      </c>
      <c r="N18291" s="1" t="s">
        <v>38</v>
      </c>
      <c r="O18291" s="1" t="s">
        <v>46</v>
      </c>
    </row>
    <row r="18292" spans="2:15" x14ac:dyDescent="0.3">
      <c r="B18292" s="1" t="s">
        <v>13</v>
      </c>
      <c r="C18292" s="1" t="str">
        <f>"4차"</f>
        <v>4차</v>
      </c>
      <c r="D18292" s="1" t="str">
        <f>"0126R56339"</f>
        <v>0126R56339</v>
      </c>
      <c r="E18292" s="1" t="s">
        <v>10</v>
      </c>
      <c r="F18292" s="1" t="str">
        <f>"10.12.133.77"</f>
        <v>10.12.133.77</v>
      </c>
      <c r="G18292" s="1" t="str">
        <f>"0126R563"</f>
        <v>0126R563</v>
      </c>
      <c r="H18292" s="1" t="str">
        <f>"다산로 L20"</f>
        <v>다산로 L20</v>
      </c>
      <c r="I18292" s="1" t="s">
        <v>17</v>
      </c>
      <c r="J18292" s="1" t="str">
        <f>"3/3"</f>
        <v>3/3</v>
      </c>
      <c r="K18292" s="1" t="str">
        <f>"2026-07-29 13:18:02"</f>
        <v>2026-07-29 13:18:02</v>
      </c>
      <c r="L18292" s="1" t="str">
        <f>"2018-06-15 13:14:58"</f>
        <v>2018-06-15 13:14:58</v>
      </c>
      <c r="M18292" s="1" t="s">
        <v>0</v>
      </c>
      <c r="N18292" s="1" t="s">
        <v>38</v>
      </c>
      <c r="O18292" s="1" t="s">
        <v>46</v>
      </c>
    </row>
    <row r="18293" spans="2:15" x14ac:dyDescent="0.3">
      <c r="B18293" s="1" t="s">
        <v>13</v>
      </c>
      <c r="C18293" s="1" t="str">
        <f>"4차"</f>
        <v>4차</v>
      </c>
      <c r="D18293" s="1" t="str">
        <f>"0126R58139"</f>
        <v>0126R58139</v>
      </c>
      <c r="E18293" s="1" t="s">
        <v>10</v>
      </c>
      <c r="F18293" s="1" t="str">
        <f>"10.12.132.213"</f>
        <v>10.12.132.213</v>
      </c>
      <c r="G18293" s="1" t="str">
        <f>"0126R581"</f>
        <v>0126R581</v>
      </c>
      <c r="H18293" s="1" t="str">
        <f>"왕십리로 R6"</f>
        <v>왕십리로 R6</v>
      </c>
      <c r="I18293" s="1" t="s">
        <v>17</v>
      </c>
      <c r="J18293" s="1" t="str">
        <f>"1/1"</f>
        <v>1/1</v>
      </c>
      <c r="K18293" s="1" t="str">
        <f>"2026-07-29 13:18:02"</f>
        <v>2026-07-29 13:18:02</v>
      </c>
      <c r="L18293" s="1" t="str">
        <f>"2018-06-15 07:14:54"</f>
        <v>2018-06-15 07:14:54</v>
      </c>
      <c r="M18293" s="1" t="s">
        <v>0</v>
      </c>
      <c r="N18293" s="1" t="s">
        <v>38</v>
      </c>
      <c r="O18293" s="1" t="s">
        <v>46</v>
      </c>
    </row>
    <row r="18294" spans="2:15" x14ac:dyDescent="0.3">
      <c r="B18294" s="1" t="s">
        <v>13</v>
      </c>
      <c r="C18294" s="1" t="str">
        <f>"3차"</f>
        <v>3차</v>
      </c>
      <c r="D18294" s="1" t="str">
        <f>"0126R60139"</f>
        <v>0126R60139</v>
      </c>
      <c r="E18294" s="1" t="s">
        <v>10</v>
      </c>
      <c r="F18294" s="1" t="str">
        <f>"10.11.15.74"</f>
        <v>10.11.15.74</v>
      </c>
      <c r="G18294" s="1" t="str">
        <f>"0126R601"</f>
        <v>0126R601</v>
      </c>
      <c r="H18294" s="1" t="str">
        <f>"문화촌지 1R6"</f>
        <v>문화촌지 1R6</v>
      </c>
      <c r="I18294" s="1" t="s">
        <v>8</v>
      </c>
      <c r="J18294" s="1" t="str">
        <f>"7/7"</f>
        <v>7/7</v>
      </c>
      <c r="K18294" s="1" t="str">
        <f t="shared" ref="K18294:K18308" si="909">"2026-07-29 13:18:01"</f>
        <v>2026-07-29 13:18:01</v>
      </c>
      <c r="L18294" s="1" t="str">
        <f>"2018-02-23 14:14:42"</f>
        <v>2018-02-23 14:14:42</v>
      </c>
      <c r="M18294" s="1" t="s">
        <v>2</v>
      </c>
      <c r="N18294" s="1" t="s">
        <v>38</v>
      </c>
      <c r="O18294" s="1" t="s">
        <v>46</v>
      </c>
    </row>
    <row r="18295" spans="2:15" x14ac:dyDescent="0.3">
      <c r="B18295" s="1" t="s">
        <v>13</v>
      </c>
      <c r="C18295" s="1" t="str">
        <f>"3차"</f>
        <v>3차</v>
      </c>
      <c r="D18295" s="1" t="str">
        <f>"0126R60239"</f>
        <v>0126R60239</v>
      </c>
      <c r="E18295" s="1" t="s">
        <v>10</v>
      </c>
      <c r="F18295" s="1" t="str">
        <f>"10.11.33.194"</f>
        <v>10.11.33.194</v>
      </c>
      <c r="G18295" s="1" t="str">
        <f>"0126R602"</f>
        <v>0126R602</v>
      </c>
      <c r="H18295" s="1" t="str">
        <f>"문화촌지 1R7"</f>
        <v>문화촌지 1R7</v>
      </c>
      <c r="I18295" s="1" t="s">
        <v>8</v>
      </c>
      <c r="J18295" s="1" t="str">
        <f>"5/5"</f>
        <v>5/5</v>
      </c>
      <c r="K18295" s="1" t="str">
        <f t="shared" si="909"/>
        <v>2026-07-29 13:18:01</v>
      </c>
      <c r="L18295" s="1" t="str">
        <f>"2018-02-23 14:19:57"</f>
        <v>2018-02-23 14:19:57</v>
      </c>
      <c r="M18295" s="1" t="s">
        <v>2</v>
      </c>
      <c r="N18295" s="1" t="s">
        <v>38</v>
      </c>
      <c r="O18295" s="1" t="s">
        <v>46</v>
      </c>
    </row>
    <row r="18296" spans="2:15" x14ac:dyDescent="0.3">
      <c r="B18296" s="1" t="s">
        <v>13</v>
      </c>
      <c r="C18296" s="1" t="str">
        <f>"3차"</f>
        <v>3차</v>
      </c>
      <c r="D18296" s="1" t="str">
        <f>"0126R61239"</f>
        <v>0126R61239</v>
      </c>
      <c r="E18296" s="1" t="s">
        <v>10</v>
      </c>
      <c r="F18296" s="1" t="str">
        <f>"10.11.33.186"</f>
        <v>10.11.33.186</v>
      </c>
      <c r="G18296" s="1" t="str">
        <f>"0126R612"</f>
        <v>0126R612</v>
      </c>
      <c r="H18296" s="1" t="str">
        <f>"문화촌지 1R5"</f>
        <v>문화촌지 1R5</v>
      </c>
      <c r="I18296" s="1" t="s">
        <v>8</v>
      </c>
      <c r="J18296" s="1" t="str">
        <f>"25/25"</f>
        <v>25/25</v>
      </c>
      <c r="K18296" s="1" t="str">
        <f t="shared" si="909"/>
        <v>2026-07-29 13:18:01</v>
      </c>
      <c r="L18296" s="1" t="str">
        <f>"2018-02-23 14:09:56"</f>
        <v>2018-02-23 14:09:56</v>
      </c>
      <c r="M18296" s="1" t="s">
        <v>2</v>
      </c>
      <c r="N18296" s="1" t="s">
        <v>38</v>
      </c>
      <c r="O18296" s="1" t="s">
        <v>46</v>
      </c>
    </row>
    <row r="18297" spans="2:15" x14ac:dyDescent="0.3">
      <c r="B18297" s="1" t="s">
        <v>13</v>
      </c>
      <c r="C18297" s="1" t="str">
        <f>"4차"</f>
        <v>4차</v>
      </c>
      <c r="D18297" s="1" t="str">
        <f>"0126R62339"</f>
        <v>0126R62339</v>
      </c>
      <c r="E18297" s="1" t="s">
        <v>10</v>
      </c>
      <c r="F18297" s="1" t="str">
        <f>"10.11.16.226"</f>
        <v>10.11.16.226</v>
      </c>
      <c r="G18297" s="1" t="str">
        <f>"0126R623"</f>
        <v>0126R623</v>
      </c>
      <c r="H18297" s="1" t="str">
        <f>"신금지 12"</f>
        <v>신금지 12</v>
      </c>
      <c r="I18297" s="1" t="s">
        <v>8</v>
      </c>
      <c r="J18297" s="1" t="str">
        <f>"20/20"</f>
        <v>20/20</v>
      </c>
      <c r="K18297" s="1" t="str">
        <f t="shared" si="909"/>
        <v>2026-07-29 13:18:01</v>
      </c>
      <c r="L18297" s="1" t="str">
        <f>"2018-02-23 15:37:13"</f>
        <v>2018-02-23 15:37:13</v>
      </c>
      <c r="M18297" s="1" t="s">
        <v>2</v>
      </c>
      <c r="N18297" s="1" t="s">
        <v>38</v>
      </c>
      <c r="O18297" s="1" t="s">
        <v>46</v>
      </c>
    </row>
    <row r="18298" spans="2:15" x14ac:dyDescent="0.3">
      <c r="B18298" s="1" t="s">
        <v>13</v>
      </c>
      <c r="C18298" s="1" t="str">
        <f>"4차"</f>
        <v>4차</v>
      </c>
      <c r="D18298" s="1" t="str">
        <f>"0126R71139"</f>
        <v>0126R71139</v>
      </c>
      <c r="E18298" s="1" t="s">
        <v>10</v>
      </c>
      <c r="F18298" s="1" t="str">
        <f>"10.11.15.66"</f>
        <v>10.11.15.66</v>
      </c>
      <c r="G18298" s="1" t="str">
        <f>"0126R711"</f>
        <v>0126R711</v>
      </c>
      <c r="H18298" s="1" t="str">
        <f>"문화촌지 1R4"</f>
        <v>문화촌지 1R4</v>
      </c>
      <c r="I18298" s="1" t="s">
        <v>8</v>
      </c>
      <c r="J18298" s="1" t="str">
        <f>"9/9"</f>
        <v>9/9</v>
      </c>
      <c r="K18298" s="1" t="str">
        <f t="shared" si="909"/>
        <v>2026-07-29 13:18:01</v>
      </c>
      <c r="L18298" s="1" t="str">
        <f>"2018-02-23 14:03:12"</f>
        <v>2018-02-23 14:03:12</v>
      </c>
      <c r="M18298" s="1" t="s">
        <v>2</v>
      </c>
      <c r="N18298" s="1" t="s">
        <v>38</v>
      </c>
      <c r="O18298" s="1" t="s">
        <v>46</v>
      </c>
    </row>
    <row r="18299" spans="2:15" x14ac:dyDescent="0.3">
      <c r="B18299" s="1" t="s">
        <v>13</v>
      </c>
      <c r="C18299" s="1" t="str">
        <f>"3차"</f>
        <v>3차</v>
      </c>
      <c r="D18299" s="1" t="str">
        <f>"0126R72139"</f>
        <v>0126R72139</v>
      </c>
      <c r="E18299" s="1" t="s">
        <v>10</v>
      </c>
      <c r="F18299" s="1" t="str">
        <f>"10.11.33.178"</f>
        <v>10.11.33.178</v>
      </c>
      <c r="G18299" s="1" t="str">
        <f>"0126R721"</f>
        <v>0126R721</v>
      </c>
      <c r="H18299" s="1" t="str">
        <f>"문화촌지 1R3"</f>
        <v>문화촌지 1R3</v>
      </c>
      <c r="I18299" s="1" t="s">
        <v>8</v>
      </c>
      <c r="J18299" s="1" t="str">
        <f>"31/31"</f>
        <v>31/31</v>
      </c>
      <c r="K18299" s="1" t="str">
        <f t="shared" si="909"/>
        <v>2026-07-29 13:18:01</v>
      </c>
      <c r="L18299" s="1" t="str">
        <f>"2018-02-23 13:43:26"</f>
        <v>2018-02-23 13:43:26</v>
      </c>
      <c r="M18299" s="1" t="s">
        <v>2</v>
      </c>
      <c r="N18299" s="1" t="s">
        <v>38</v>
      </c>
      <c r="O18299" s="1" t="s">
        <v>46</v>
      </c>
    </row>
    <row r="18300" spans="2:15" x14ac:dyDescent="0.3">
      <c r="B18300" s="1" t="s">
        <v>13</v>
      </c>
      <c r="C18300" s="1" t="str">
        <f>"3차"</f>
        <v>3차</v>
      </c>
      <c r="D18300" s="1" t="str">
        <f>"0126R73239"</f>
        <v>0126R73239</v>
      </c>
      <c r="E18300" s="1" t="s">
        <v>10</v>
      </c>
      <c r="F18300" s="1" t="str">
        <f>"10.11.15.58"</f>
        <v>10.11.15.58</v>
      </c>
      <c r="G18300" s="1" t="str">
        <f>"0126R732"</f>
        <v>0126R732</v>
      </c>
      <c r="H18300" s="1" t="str">
        <f>"문화촌지 1R2"</f>
        <v>문화촌지 1R2</v>
      </c>
      <c r="I18300" s="1" t="s">
        <v>8</v>
      </c>
      <c r="J18300" s="1" t="str">
        <f>"14/14"</f>
        <v>14/14</v>
      </c>
      <c r="K18300" s="1" t="str">
        <f t="shared" si="909"/>
        <v>2026-07-29 13:18:01</v>
      </c>
      <c r="L18300" s="1" t="str">
        <f>"2018-02-23 13:35:42"</f>
        <v>2018-02-23 13:35:42</v>
      </c>
      <c r="M18300" s="1" t="s">
        <v>2</v>
      </c>
      <c r="N18300" s="1" t="s">
        <v>38</v>
      </c>
      <c r="O18300" s="1" t="s">
        <v>46</v>
      </c>
    </row>
    <row r="18301" spans="2:15" x14ac:dyDescent="0.3">
      <c r="B18301" s="1" t="s">
        <v>13</v>
      </c>
      <c r="C18301" s="1" t="str">
        <f>"3차"</f>
        <v>3차</v>
      </c>
      <c r="D18301" s="1" t="str">
        <f>"0126R74239"</f>
        <v>0126R74239</v>
      </c>
      <c r="E18301" s="1" t="s">
        <v>10</v>
      </c>
      <c r="F18301" s="1" t="str">
        <f>"10.11.16.218"</f>
        <v>10.11.16.218</v>
      </c>
      <c r="G18301" s="1" t="str">
        <f>"0126R742"</f>
        <v>0126R742</v>
      </c>
      <c r="H18301" s="1" t="str">
        <f>"신금지 8"</f>
        <v>신금지 8</v>
      </c>
      <c r="I18301" s="1" t="s">
        <v>8</v>
      </c>
      <c r="J18301" s="1" t="str">
        <f>"13/13"</f>
        <v>13/13</v>
      </c>
      <c r="K18301" s="1" t="str">
        <f t="shared" si="909"/>
        <v>2026-07-29 13:18:01</v>
      </c>
      <c r="L18301" s="1" t="str">
        <f>"2018-02-23 16:01:58"</f>
        <v>2018-02-23 16:01:58</v>
      </c>
      <c r="M18301" s="1" t="s">
        <v>2</v>
      </c>
      <c r="N18301" s="1" t="s">
        <v>38</v>
      </c>
      <c r="O18301" s="1" t="s">
        <v>46</v>
      </c>
    </row>
    <row r="18302" spans="2:15" x14ac:dyDescent="0.3">
      <c r="B18302" s="1" t="s">
        <v>13</v>
      </c>
      <c r="C18302" s="1" t="str">
        <f>"3차"</f>
        <v>3차</v>
      </c>
      <c r="D18302" s="1" t="str">
        <f>"0126R80439"</f>
        <v>0126R80439</v>
      </c>
      <c r="E18302" s="1" t="s">
        <v>10</v>
      </c>
      <c r="F18302" s="1" t="str">
        <f>"10.11.33.250"</f>
        <v>10.11.33.250</v>
      </c>
      <c r="G18302" s="1" t="str">
        <f>"0126R804"</f>
        <v>0126R804</v>
      </c>
      <c r="H18302" s="1" t="str">
        <f>"문화촌지 3R4"</f>
        <v>문화촌지 3R4</v>
      </c>
      <c r="I18302" s="1" t="s">
        <v>8</v>
      </c>
      <c r="J18302" s="1" t="str">
        <f>"26/26"</f>
        <v>26/26</v>
      </c>
      <c r="K18302" s="1" t="str">
        <f t="shared" si="909"/>
        <v>2026-07-29 13:18:01</v>
      </c>
      <c r="L18302" s="1" t="str">
        <f>"2018-02-24 10:14:10"</f>
        <v>2018-02-24 10:14:10</v>
      </c>
      <c r="M18302" s="1" t="s">
        <v>2</v>
      </c>
      <c r="N18302" s="1" t="s">
        <v>38</v>
      </c>
      <c r="O18302" s="1" t="s">
        <v>46</v>
      </c>
    </row>
    <row r="18303" spans="2:15" x14ac:dyDescent="0.3">
      <c r="B18303" s="1" t="s">
        <v>13</v>
      </c>
      <c r="C18303" s="1" t="str">
        <f>"3차"</f>
        <v>3차</v>
      </c>
      <c r="D18303" s="1" t="str">
        <f>"0126R81239"</f>
        <v>0126R81239</v>
      </c>
      <c r="E18303" s="1" t="s">
        <v>10</v>
      </c>
      <c r="F18303" s="1" t="str">
        <f>"10.11.33.234"</f>
        <v>10.11.33.234</v>
      </c>
      <c r="G18303" s="1" t="str">
        <f>"0126R812"</f>
        <v>0126R812</v>
      </c>
      <c r="H18303" s="1" t="str">
        <f>"문화촌지 2R3"</f>
        <v>문화촌지 2R3</v>
      </c>
      <c r="I18303" s="1" t="s">
        <v>8</v>
      </c>
      <c r="J18303" s="1" t="str">
        <f>"11/20"</f>
        <v>11/20</v>
      </c>
      <c r="K18303" s="1" t="str">
        <f t="shared" si="909"/>
        <v>2026-07-29 13:18:01</v>
      </c>
      <c r="L18303" s="1" t="str">
        <f>"2018-02-24 10:20:25"</f>
        <v>2018-02-24 10:20:25</v>
      </c>
      <c r="M18303" s="1" t="s">
        <v>2</v>
      </c>
      <c r="N18303" s="1" t="s">
        <v>38</v>
      </c>
      <c r="O18303" s="1" t="s">
        <v>46</v>
      </c>
    </row>
    <row r="18304" spans="2:15" x14ac:dyDescent="0.3">
      <c r="B18304" s="1" t="s">
        <v>13</v>
      </c>
      <c r="C18304" s="1" t="str">
        <f>"4차"</f>
        <v>4차</v>
      </c>
      <c r="D18304" s="1" t="str">
        <f>"0126R82139"</f>
        <v>0126R82139</v>
      </c>
      <c r="E18304" s="1" t="s">
        <v>10</v>
      </c>
      <c r="F18304" s="1" t="str">
        <f>"10.11.33.226"</f>
        <v>10.11.33.226</v>
      </c>
      <c r="G18304" s="1" t="str">
        <f>"0126R821"</f>
        <v>0126R821</v>
      </c>
      <c r="H18304" s="1" t="str">
        <f>"문화촌지 2R1"</f>
        <v>문화촌지 2R1</v>
      </c>
      <c r="I18304" s="1" t="s">
        <v>8</v>
      </c>
      <c r="J18304" s="1" t="str">
        <f>"14/14"</f>
        <v>14/14</v>
      </c>
      <c r="K18304" s="1" t="str">
        <f t="shared" si="909"/>
        <v>2026-07-29 13:18:01</v>
      </c>
      <c r="L18304" s="1" t="str">
        <f>"2018-02-24 12:10:26"</f>
        <v>2018-02-24 12:10:26</v>
      </c>
      <c r="M18304" s="1" t="s">
        <v>2</v>
      </c>
      <c r="N18304" s="1" t="s">
        <v>38</v>
      </c>
      <c r="O18304" s="1" t="s">
        <v>46</v>
      </c>
    </row>
    <row r="18305" spans="2:15" x14ac:dyDescent="0.3">
      <c r="B18305" s="1" t="s">
        <v>13</v>
      </c>
      <c r="C18305" s="1" t="str">
        <f t="shared" ref="C18305:C18311" si="910">"3차"</f>
        <v>3차</v>
      </c>
      <c r="D18305" s="1" t="str">
        <f>"0126R82239"</f>
        <v>0126R82239</v>
      </c>
      <c r="E18305" s="1" t="s">
        <v>10</v>
      </c>
      <c r="F18305" s="1" t="str">
        <f>"10.11.15.106"</f>
        <v>10.11.15.106</v>
      </c>
      <c r="G18305" s="1" t="str">
        <f>"0126R822"</f>
        <v>0126R822</v>
      </c>
      <c r="H18305" s="1" t="str">
        <f>"문화촌지 2R2"</f>
        <v>문화촌지 2R2</v>
      </c>
      <c r="I18305" s="1" t="s">
        <v>8</v>
      </c>
      <c r="J18305" s="1" t="str">
        <f>"16/16"</f>
        <v>16/16</v>
      </c>
      <c r="K18305" s="1" t="str">
        <f t="shared" si="909"/>
        <v>2026-07-29 13:18:01</v>
      </c>
      <c r="L18305" s="1" t="str">
        <f>"2018-02-24 10:32:10"</f>
        <v>2018-02-24 10:32:10</v>
      </c>
      <c r="M18305" s="1" t="s">
        <v>2</v>
      </c>
      <c r="N18305" s="1" t="s">
        <v>38</v>
      </c>
      <c r="O18305" s="1" t="s">
        <v>46</v>
      </c>
    </row>
    <row r="18306" spans="2:15" x14ac:dyDescent="0.3">
      <c r="B18306" s="1" t="s">
        <v>13</v>
      </c>
      <c r="C18306" s="1" t="str">
        <f t="shared" si="910"/>
        <v>3차</v>
      </c>
      <c r="D18306" s="1" t="str">
        <f>"0126R83139"</f>
        <v>0126R83139</v>
      </c>
      <c r="E18306" s="1" t="s">
        <v>10</v>
      </c>
      <c r="F18306" s="1" t="str">
        <f>"10.11.33.58"</f>
        <v>10.11.33.58</v>
      </c>
      <c r="G18306" s="1" t="str">
        <f>"0126R831"</f>
        <v>0126R831</v>
      </c>
      <c r="H18306" s="1" t="str">
        <f>"문화촌지 1"</f>
        <v>문화촌지 1</v>
      </c>
      <c r="I18306" s="1" t="s">
        <v>8</v>
      </c>
      <c r="J18306" s="1" t="str">
        <f>"35/37"</f>
        <v>35/37</v>
      </c>
      <c r="K18306" s="1" t="str">
        <f t="shared" si="909"/>
        <v>2026-07-29 13:18:01</v>
      </c>
      <c r="L18306" s="1" t="str">
        <f>"2018-02-23 13:35:11"</f>
        <v>2018-02-23 13:35:11</v>
      </c>
      <c r="M18306" s="1" t="s">
        <v>2</v>
      </c>
      <c r="N18306" s="1" t="s">
        <v>38</v>
      </c>
      <c r="O18306" s="1" t="s">
        <v>46</v>
      </c>
    </row>
    <row r="18307" spans="2:15" x14ac:dyDescent="0.3">
      <c r="B18307" s="1" t="s">
        <v>13</v>
      </c>
      <c r="C18307" s="1" t="str">
        <f t="shared" si="910"/>
        <v>3차</v>
      </c>
      <c r="D18307" s="1" t="str">
        <f>"0126R84239"</f>
        <v>0126R84239</v>
      </c>
      <c r="E18307" s="1" t="s">
        <v>10</v>
      </c>
      <c r="F18307" s="1" t="str">
        <f>"10.11.33.170"</f>
        <v>10.11.33.170</v>
      </c>
      <c r="G18307" s="1" t="str">
        <f>"0126R842"</f>
        <v>0126R842</v>
      </c>
      <c r="H18307" s="1" t="str">
        <f>"문화촌지 1L3"</f>
        <v>문화촌지 1L3</v>
      </c>
      <c r="I18307" s="1" t="s">
        <v>8</v>
      </c>
      <c r="J18307" s="1" t="str">
        <f>"7/7"</f>
        <v>7/7</v>
      </c>
      <c r="K18307" s="1" t="str">
        <f t="shared" si="909"/>
        <v>2026-07-29 13:18:01</v>
      </c>
      <c r="L18307" s="1" t="str">
        <f>"2018-02-23 12:58:57"</f>
        <v>2018-02-23 12:58:57</v>
      </c>
      <c r="M18307" s="1" t="s">
        <v>2</v>
      </c>
      <c r="N18307" s="1" t="s">
        <v>38</v>
      </c>
      <c r="O18307" s="1" t="s">
        <v>46</v>
      </c>
    </row>
    <row r="18308" spans="2:15" x14ac:dyDescent="0.3">
      <c r="B18308" s="1" t="s">
        <v>13</v>
      </c>
      <c r="C18308" s="1" t="str">
        <f t="shared" si="910"/>
        <v>3차</v>
      </c>
      <c r="D18308" s="1" t="str">
        <f>"0126R84339"</f>
        <v>0126R84339</v>
      </c>
      <c r="E18308" s="1" t="s">
        <v>10</v>
      </c>
      <c r="F18308" s="1" t="str">
        <f>"10.11.15.50"</f>
        <v>10.11.15.50</v>
      </c>
      <c r="G18308" s="1" t="str">
        <f>"0126R843"</f>
        <v>0126R843</v>
      </c>
      <c r="H18308" s="1" t="str">
        <f>"문화촌지 1L2"</f>
        <v>문화촌지 1L2</v>
      </c>
      <c r="I18308" s="1" t="s">
        <v>8</v>
      </c>
      <c r="J18308" s="1" t="str">
        <f>"17/17"</f>
        <v>17/17</v>
      </c>
      <c r="K18308" s="1" t="str">
        <f t="shared" si="909"/>
        <v>2026-07-29 13:18:01</v>
      </c>
      <c r="L18308" s="1" t="str">
        <f>"2018-02-23 13:03:27"</f>
        <v>2018-02-23 13:03:27</v>
      </c>
      <c r="M18308" s="1" t="s">
        <v>2</v>
      </c>
      <c r="N18308" s="1" t="s">
        <v>38</v>
      </c>
      <c r="O18308" s="1" t="s">
        <v>46</v>
      </c>
    </row>
    <row r="18309" spans="2:15" x14ac:dyDescent="0.3">
      <c r="B18309" s="1" t="s">
        <v>13</v>
      </c>
      <c r="C18309" s="1" t="str">
        <f t="shared" si="910"/>
        <v>3차</v>
      </c>
      <c r="D18309" s="1" t="str">
        <f>"0126R85139"</f>
        <v>0126R85139</v>
      </c>
      <c r="E18309" s="1" t="s">
        <v>10</v>
      </c>
      <c r="F18309" s="1" t="str">
        <f>"10.11.35.186"</f>
        <v>10.11.35.186</v>
      </c>
      <c r="G18309" s="1" t="str">
        <f>"0126R851"</f>
        <v>0126R851</v>
      </c>
      <c r="H18309" s="1" t="str">
        <f>"신금지 7"</f>
        <v>신금지 7</v>
      </c>
      <c r="I18309" s="1" t="s">
        <v>8</v>
      </c>
      <c r="J18309" s="1" t="str">
        <f>"5/5"</f>
        <v>5/5</v>
      </c>
      <c r="K18309" s="1" t="str">
        <f>"2026-07-29 13:18:02"</f>
        <v>2026-07-29 13:18:02</v>
      </c>
      <c r="L18309" s="1" t="str">
        <f>"2018-02-23 16:06:43"</f>
        <v>2018-02-23 16:06:43</v>
      </c>
      <c r="M18309" s="1" t="s">
        <v>2</v>
      </c>
      <c r="N18309" s="1" t="s">
        <v>38</v>
      </c>
      <c r="O18309" s="1" t="s">
        <v>46</v>
      </c>
    </row>
    <row r="18310" spans="2:15" x14ac:dyDescent="0.3">
      <c r="B18310" s="1" t="s">
        <v>13</v>
      </c>
      <c r="C18310" s="1" t="str">
        <f t="shared" si="910"/>
        <v>3차</v>
      </c>
      <c r="D18310" s="1" t="str">
        <f>"0126R86239"</f>
        <v>0126R86239</v>
      </c>
      <c r="E18310" s="1" t="s">
        <v>10</v>
      </c>
      <c r="F18310" s="1" t="str">
        <f>"10.11.35.178"</f>
        <v>10.11.35.178</v>
      </c>
      <c r="G18310" s="1" t="str">
        <f>"0126R862"</f>
        <v>0126R862</v>
      </c>
      <c r="H18310" s="1" t="str">
        <f>"신금지 6"</f>
        <v>신금지 6</v>
      </c>
      <c r="I18310" s="1" t="s">
        <v>8</v>
      </c>
      <c r="J18310" s="1" t="str">
        <f>"4/4"</f>
        <v>4/4</v>
      </c>
      <c r="K18310" s="1" t="str">
        <f>"2026-07-29 13:18:01"</f>
        <v>2026-07-29 13:18:01</v>
      </c>
      <c r="L18310" s="1" t="str">
        <f>"2018-03-13 11:32:09"</f>
        <v>2018-03-13 11:32:09</v>
      </c>
      <c r="M18310" s="1" t="s">
        <v>2</v>
      </c>
      <c r="N18310" s="1" t="s">
        <v>38</v>
      </c>
      <c r="O18310" s="1" t="s">
        <v>46</v>
      </c>
    </row>
    <row r="18311" spans="2:15" x14ac:dyDescent="0.3">
      <c r="B18311" s="1" t="s">
        <v>13</v>
      </c>
      <c r="C18311" s="1" t="str">
        <f t="shared" si="910"/>
        <v>3차</v>
      </c>
      <c r="D18311" s="1" t="str">
        <f>"0126R86439"</f>
        <v>0126R86439</v>
      </c>
      <c r="E18311" s="1" t="s">
        <v>10</v>
      </c>
      <c r="F18311" s="1" t="str">
        <f>"10.11.16.210"</f>
        <v>10.11.16.210</v>
      </c>
      <c r="G18311" s="1" t="str">
        <f>"0126R864"</f>
        <v>0126R864</v>
      </c>
      <c r="H18311" s="1" t="str">
        <f>"신금지 5"</f>
        <v>신금지 5</v>
      </c>
      <c r="I18311" s="1" t="s">
        <v>8</v>
      </c>
      <c r="J18311" s="1" t="str">
        <f>"17/17"</f>
        <v>17/17</v>
      </c>
      <c r="K18311" s="1" t="str">
        <f>"2026-07-29 13:18:01"</f>
        <v>2026-07-29 13:18:01</v>
      </c>
      <c r="L18311" s="1" t="str">
        <f>"2018-02-23 16:33:59"</f>
        <v>2018-02-23 16:33:59</v>
      </c>
      <c r="M18311" s="1" t="s">
        <v>2</v>
      </c>
      <c r="N18311" s="1" t="s">
        <v>38</v>
      </c>
      <c r="O18311" s="1" t="s">
        <v>46</v>
      </c>
    </row>
    <row r="18312" spans="2:15" x14ac:dyDescent="0.3">
      <c r="B18312" s="1" t="s">
        <v>13</v>
      </c>
      <c r="C18312" s="1" t="str">
        <f>"4차"</f>
        <v>4차</v>
      </c>
      <c r="D18312" s="1" t="str">
        <f>"0126R88439"</f>
        <v>0126R88439</v>
      </c>
      <c r="E18312" s="1" t="s">
        <v>10</v>
      </c>
      <c r="F18312" s="1" t="str">
        <f>"10.12.138.174"</f>
        <v>10.12.138.174</v>
      </c>
      <c r="G18312" s="1" t="str">
        <f>"0126R884"</f>
        <v>0126R884</v>
      </c>
      <c r="H18312" s="1" t="str">
        <f>"왕십리로 R8-1"</f>
        <v>왕십리로 R8-1</v>
      </c>
      <c r="I18312" s="1" t="s">
        <v>17</v>
      </c>
      <c r="J18312" s="1" t="str">
        <f>"10/10"</f>
        <v>10/10</v>
      </c>
      <c r="K18312" s="1" t="str">
        <f>"2026-07-29 07:18:01"</f>
        <v>2026-07-29 07:18:01</v>
      </c>
      <c r="L18312" s="1" t="str">
        <f>"2018-06-15 08:55:42"</f>
        <v>2018-06-15 08:55:42</v>
      </c>
      <c r="M18312" s="1" t="s">
        <v>0</v>
      </c>
      <c r="N18312" s="1" t="s">
        <v>38</v>
      </c>
      <c r="O18312" s="1" t="s">
        <v>46</v>
      </c>
    </row>
    <row r="18313" spans="2:15" x14ac:dyDescent="0.3">
      <c r="B18313" s="1" t="s">
        <v>13</v>
      </c>
      <c r="C18313" s="1" t="str">
        <f>"4차"</f>
        <v>4차</v>
      </c>
      <c r="D18313" s="1" t="str">
        <f>"0126R88D39"</f>
        <v>0126R88D39</v>
      </c>
      <c r="E18313" s="1" t="s">
        <v>10</v>
      </c>
      <c r="F18313" s="1" t="str">
        <f>"10.12.134.165"</f>
        <v>10.12.134.165</v>
      </c>
      <c r="G18313" s="1" t="str">
        <f>"0126R88D"</f>
        <v>0126R88D</v>
      </c>
      <c r="H18313" s="1" t="str">
        <f>"왕십리로 R4-6"</f>
        <v>왕십리로 R4-6</v>
      </c>
      <c r="I18313" s="1" t="s">
        <v>17</v>
      </c>
      <c r="J18313" s="1" t="str">
        <f>"4/4"</f>
        <v>4/4</v>
      </c>
      <c r="K18313" s="1" t="str">
        <f>"2026-07-29 13:18:01"</f>
        <v>2026-07-29 13:18:01</v>
      </c>
      <c r="L18313" s="1" t="str">
        <f>"2018-07-03 16:56:43"</f>
        <v>2018-07-03 16:56:43</v>
      </c>
      <c r="M18313" s="1" t="s">
        <v>0</v>
      </c>
      <c r="N18313" s="1" t="s">
        <v>38</v>
      </c>
      <c r="O18313" s="1" t="s">
        <v>46</v>
      </c>
    </row>
    <row r="18314" spans="2:15" x14ac:dyDescent="0.3">
      <c r="B18314" s="1" t="s">
        <v>13</v>
      </c>
      <c r="C18314" s="1" t="str">
        <f>"3차"</f>
        <v>3차</v>
      </c>
      <c r="D18314" s="1" t="str">
        <f>"0126R91139"</f>
        <v>0126R91139</v>
      </c>
      <c r="E18314" s="1" t="s">
        <v>10</v>
      </c>
      <c r="F18314" s="1" t="str">
        <f>"10.11.33.242"</f>
        <v>10.11.33.242</v>
      </c>
      <c r="G18314" s="1" t="str">
        <f>"0126R911"</f>
        <v>0126R911</v>
      </c>
      <c r="H18314" s="1" t="str">
        <f>"문화촌지 3R2"</f>
        <v>문화촌지 3R2</v>
      </c>
      <c r="I18314" s="1" t="s">
        <v>8</v>
      </c>
      <c r="J18314" s="1" t="str">
        <f>"12/12"</f>
        <v>12/12</v>
      </c>
      <c r="K18314" s="1" t="str">
        <f>"2026-07-29 13:18:02"</f>
        <v>2026-07-29 13:18:02</v>
      </c>
      <c r="L18314" s="1" t="str">
        <f>"2018-02-24 10:37:10"</f>
        <v>2018-02-24 10:37:10</v>
      </c>
      <c r="M18314" s="1" t="s">
        <v>2</v>
      </c>
      <c r="N18314" s="1" t="s">
        <v>38</v>
      </c>
      <c r="O18314" s="1" t="s">
        <v>46</v>
      </c>
    </row>
    <row r="18315" spans="2:15" x14ac:dyDescent="0.3">
      <c r="B18315" s="1" t="s">
        <v>13</v>
      </c>
      <c r="C18315" s="1" t="str">
        <f>"3차"</f>
        <v>3차</v>
      </c>
      <c r="D18315" s="1" t="str">
        <f>"0126R91339"</f>
        <v>0126R91339</v>
      </c>
      <c r="E18315" s="1" t="s">
        <v>10</v>
      </c>
      <c r="F18315" s="1" t="str">
        <f>"10.11.15.122"</f>
        <v>10.11.15.122</v>
      </c>
      <c r="G18315" s="1" t="str">
        <f>"0126R913"</f>
        <v>0126R913</v>
      </c>
      <c r="H18315" s="1" t="str">
        <f>"문화촌지 3R3"</f>
        <v>문화촌지 3R3</v>
      </c>
      <c r="I18315" s="1" t="s">
        <v>8</v>
      </c>
      <c r="J18315" s="1" t="str">
        <f>"2/2"</f>
        <v>2/2</v>
      </c>
      <c r="K18315" s="1" t="str">
        <f>"2026-07-29 13:18:01"</f>
        <v>2026-07-29 13:18:01</v>
      </c>
      <c r="L18315" s="1" t="str">
        <f>"2018-02-24 10:47:55"</f>
        <v>2018-02-24 10:47:55</v>
      </c>
      <c r="M18315" s="1" t="s">
        <v>2</v>
      </c>
      <c r="N18315" s="1" t="s">
        <v>38</v>
      </c>
      <c r="O18315" s="1" t="s">
        <v>46</v>
      </c>
    </row>
    <row r="18316" spans="2:15" x14ac:dyDescent="0.3">
      <c r="B18316" s="1" t="s">
        <v>13</v>
      </c>
      <c r="C18316" s="1" t="str">
        <f>"3차"</f>
        <v>3차</v>
      </c>
      <c r="D18316" s="1" t="str">
        <f>"0126R93239"</f>
        <v>0126R93239</v>
      </c>
      <c r="E18316" s="1" t="s">
        <v>10</v>
      </c>
      <c r="F18316" s="1" t="str">
        <f>"10.11.15.114"</f>
        <v>10.11.15.114</v>
      </c>
      <c r="G18316" s="1" t="str">
        <f>"0126R932"</f>
        <v>0126R932</v>
      </c>
      <c r="H18316" s="1" t="str">
        <f>"문화촌지 3R1H1"</f>
        <v>문화촌지 3R1H1</v>
      </c>
      <c r="I18316" s="1" t="s">
        <v>8</v>
      </c>
      <c r="J18316" s="1" t="str">
        <f>"5/5"</f>
        <v>5/5</v>
      </c>
      <c r="K18316" s="1" t="str">
        <f>"2026-07-29 13:18:01"</f>
        <v>2026-07-29 13:18:01</v>
      </c>
      <c r="L18316" s="1" t="str">
        <f>"2018-02-23 18:02:15"</f>
        <v>2018-02-23 18:02:15</v>
      </c>
      <c r="M18316" s="1" t="s">
        <v>2</v>
      </c>
      <c r="N18316" s="1" t="s">
        <v>38</v>
      </c>
      <c r="O18316" s="1" t="s">
        <v>46</v>
      </c>
    </row>
    <row r="18317" spans="2:15" x14ac:dyDescent="0.3">
      <c r="B18317" s="1" t="s">
        <v>13</v>
      </c>
      <c r="C18317" s="1" t="str">
        <f>"3차"</f>
        <v>3차</v>
      </c>
      <c r="D18317" s="1" t="str">
        <f>"0126R94339"</f>
        <v>0126R94339</v>
      </c>
      <c r="E18317" s="1" t="s">
        <v>10</v>
      </c>
      <c r="F18317" s="1" t="str">
        <f>"10.12.131.187"</f>
        <v>10.12.131.187</v>
      </c>
      <c r="G18317" s="1" t="str">
        <f>"0126R943"</f>
        <v>0126R943</v>
      </c>
      <c r="H18317" s="1" t="str">
        <f>"문화촌지 2L2"</f>
        <v>문화촌지 2L2</v>
      </c>
      <c r="I18317" s="1" t="s">
        <v>8</v>
      </c>
      <c r="J18317" s="1" t="str">
        <f>"42/50"</f>
        <v>42/50</v>
      </c>
      <c r="K18317" s="1" t="str">
        <f>"2026-07-29 13:18:04"</f>
        <v>2026-07-29 13:18:04</v>
      </c>
      <c r="L18317" s="1" t="str">
        <f>"2020-11-05 09:14:40"</f>
        <v>2020-11-05 09:14:40</v>
      </c>
      <c r="M18317" s="1" t="s">
        <v>0</v>
      </c>
      <c r="N18317" s="1" t="s">
        <v>38</v>
      </c>
      <c r="O18317" s="1" t="s">
        <v>46</v>
      </c>
    </row>
    <row r="18318" spans="2:15" x14ac:dyDescent="0.3">
      <c r="B18318" s="1" t="s">
        <v>13</v>
      </c>
      <c r="C18318" s="1" t="str">
        <f>"3차"</f>
        <v>3차</v>
      </c>
      <c r="D18318" s="1" t="str">
        <f>"0126R95239"</f>
        <v>0126R95239</v>
      </c>
      <c r="E18318" s="1" t="s">
        <v>10</v>
      </c>
      <c r="F18318" s="1" t="str">
        <f>"10.11.15.90"</f>
        <v>10.11.15.90</v>
      </c>
      <c r="G18318" s="1" t="str">
        <f>"0126R952"</f>
        <v>0126R952</v>
      </c>
      <c r="H18318" s="1" t="str">
        <f>"문화촌지 2L3L1"</f>
        <v>문화촌지 2L3L1</v>
      </c>
      <c r="I18318" s="1" t="s">
        <v>8</v>
      </c>
      <c r="J18318" s="1" t="str">
        <f>"32/36"</f>
        <v>32/36</v>
      </c>
      <c r="K18318" s="1" t="str">
        <f>"2026-07-29 13:18:01"</f>
        <v>2026-07-29 13:18:01</v>
      </c>
      <c r="L18318" s="1" t="str">
        <f>"2018-02-23 16:59:13"</f>
        <v>2018-02-23 16:59:13</v>
      </c>
      <c r="M18318" s="1" t="s">
        <v>2</v>
      </c>
      <c r="N18318" s="1" t="s">
        <v>38</v>
      </c>
      <c r="O18318" s="1" t="s">
        <v>46</v>
      </c>
    </row>
    <row r="18319" spans="2:15" x14ac:dyDescent="0.3">
      <c r="B18319" s="1" t="s">
        <v>13</v>
      </c>
      <c r="C18319" s="1" t="str">
        <f>"4차"</f>
        <v>4차</v>
      </c>
      <c r="D18319" s="1" t="str">
        <f>"0126R99539"</f>
        <v>0126R99539</v>
      </c>
      <c r="E18319" s="1" t="s">
        <v>10</v>
      </c>
      <c r="F18319" s="1" t="str">
        <f>"10.12.134.45"</f>
        <v>10.12.134.45</v>
      </c>
      <c r="G18319" s="1" t="str">
        <f>"0126R995"</f>
        <v>0126R995</v>
      </c>
      <c r="H18319" s="1" t="str">
        <f>"왕십리로 R8"</f>
        <v>왕십리로 R8</v>
      </c>
      <c r="I18319" s="1" t="s">
        <v>17</v>
      </c>
      <c r="J18319" s="1" t="str">
        <f>"26/28"</f>
        <v>26/28</v>
      </c>
      <c r="K18319" s="1" t="str">
        <f>"2026-07-29 13:18:04"</f>
        <v>2026-07-29 13:18:04</v>
      </c>
      <c r="L18319" s="1" t="str">
        <f>"2018-06-15 09:09:40"</f>
        <v>2018-06-15 09:09:40</v>
      </c>
      <c r="M18319" s="1" t="s">
        <v>0</v>
      </c>
      <c r="N18319" s="1" t="s">
        <v>38</v>
      </c>
      <c r="O18319" s="1" t="s">
        <v>46</v>
      </c>
    </row>
    <row r="18320" spans="2:15" x14ac:dyDescent="0.3">
      <c r="B18320" s="1" t="s">
        <v>13</v>
      </c>
      <c r="C18320" s="1" t="str">
        <f>"4차"</f>
        <v>4차</v>
      </c>
      <c r="D18320" s="1" t="str">
        <f>"0126R99645"</f>
        <v>0126R99645</v>
      </c>
      <c r="E18320" s="1" t="s">
        <v>10</v>
      </c>
      <c r="F18320" s="1" t="str">
        <f>"10.12.128.136"</f>
        <v>10.12.128.136</v>
      </c>
      <c r="G18320" s="1" t="str">
        <f>"0126R996"</f>
        <v>0126R996</v>
      </c>
      <c r="H18320" s="1" t="str">
        <f>"왕십리로 L5"</f>
        <v>왕십리로 L5</v>
      </c>
      <c r="I18320" s="1" t="s">
        <v>17</v>
      </c>
      <c r="J18320" s="1" t="str">
        <f>"17/17"</f>
        <v>17/17</v>
      </c>
      <c r="K18320" s="1" t="str">
        <f>"2026-07-29 13:18:01"</f>
        <v>2026-07-29 13:18:01</v>
      </c>
      <c r="L18320" s="1" t="str">
        <f>"2025-03-19 15:58:39"</f>
        <v>2025-03-19 15:58:39</v>
      </c>
      <c r="M18320" s="1" t="s">
        <v>0</v>
      </c>
      <c r="N18320" s="1" t="s">
        <v>38</v>
      </c>
      <c r="O18320" s="1" t="s">
        <v>46</v>
      </c>
    </row>
    <row r="18321" spans="2:15" x14ac:dyDescent="0.3">
      <c r="B18321" s="1" t="s">
        <v>13</v>
      </c>
      <c r="C18321" s="1" t="str">
        <f>"4차"</f>
        <v>4차</v>
      </c>
      <c r="D18321" s="1" t="str">
        <f>"0126S00739"</f>
        <v>0126S00739</v>
      </c>
      <c r="E18321" s="1" t="s">
        <v>10</v>
      </c>
      <c r="F18321" s="1" t="str">
        <f>"10.12.131.124"</f>
        <v>10.12.131.124</v>
      </c>
      <c r="G18321" s="1" t="str">
        <f>"0126S007"</f>
        <v>0126S007</v>
      </c>
      <c r="H18321" s="1" t="str">
        <f>"동화로 1"</f>
        <v>동화로 1</v>
      </c>
      <c r="I18321" s="1" t="s">
        <v>17</v>
      </c>
      <c r="J18321" s="1" t="str">
        <f>"35/35"</f>
        <v>35/35</v>
      </c>
      <c r="K18321" s="1" t="str">
        <f>"2026-07-29 13:18:02"</f>
        <v>2026-07-29 13:18:02</v>
      </c>
      <c r="L18321" s="1" t="str">
        <f>"2018-10-25 11:06:56"</f>
        <v>2018-10-25 11:06:56</v>
      </c>
      <c r="M18321" s="1" t="s">
        <v>0</v>
      </c>
      <c r="N18321" s="1" t="s">
        <v>38</v>
      </c>
      <c r="O18321" s="1" t="s">
        <v>46</v>
      </c>
    </row>
    <row r="18322" spans="2:15" x14ac:dyDescent="0.3">
      <c r="B18322" s="1" t="s">
        <v>13</v>
      </c>
      <c r="C18322" s="1" t="str">
        <f>"3차"</f>
        <v>3차</v>
      </c>
      <c r="D18322" s="1" t="str">
        <f>"0126S01139"</f>
        <v>0126S01139</v>
      </c>
      <c r="E18322" s="1" t="s">
        <v>10</v>
      </c>
      <c r="F18322" s="1" t="str">
        <f>"10.11.15.138"</f>
        <v>10.11.15.138</v>
      </c>
      <c r="G18322" s="1" t="str">
        <f>"0126S011"</f>
        <v>0126S011</v>
      </c>
      <c r="H18322" s="1" t="str">
        <f>"문화촌지 4R1"</f>
        <v>문화촌지 4R1</v>
      </c>
      <c r="I18322" s="1" t="s">
        <v>8</v>
      </c>
      <c r="J18322" s="1" t="str">
        <f>"33/33"</f>
        <v>33/33</v>
      </c>
      <c r="K18322" s="1" t="str">
        <f t="shared" ref="K18322:K18327" si="911">"2026-07-29 13:18:01"</f>
        <v>2026-07-29 13:18:01</v>
      </c>
      <c r="L18322" s="1" t="str">
        <f>"2018-03-02 17:30:28"</f>
        <v>2018-03-02 17:30:28</v>
      </c>
      <c r="M18322" s="1" t="s">
        <v>2</v>
      </c>
      <c r="N18322" s="1" t="s">
        <v>38</v>
      </c>
      <c r="O18322" s="1" t="s">
        <v>46</v>
      </c>
    </row>
    <row r="18323" spans="2:15" x14ac:dyDescent="0.3">
      <c r="B18323" s="1" t="s">
        <v>13</v>
      </c>
      <c r="C18323" s="1" t="str">
        <f>"4차"</f>
        <v>4차</v>
      </c>
      <c r="D18323" s="1" t="str">
        <f>"0126S02139"</f>
        <v>0126S02139</v>
      </c>
      <c r="E18323" s="1" t="s">
        <v>10</v>
      </c>
      <c r="F18323" s="1" t="str">
        <f>"10.11.33.66"</f>
        <v>10.11.33.66</v>
      </c>
      <c r="G18323" s="1" t="str">
        <f>"0126S021"</f>
        <v>0126S021</v>
      </c>
      <c r="H18323" s="1" t="str">
        <f>"문화촌지 4"</f>
        <v>문화촌지 4</v>
      </c>
      <c r="I18323" s="1" t="s">
        <v>8</v>
      </c>
      <c r="J18323" s="1" t="str">
        <f>"26/27"</f>
        <v>26/27</v>
      </c>
      <c r="K18323" s="1" t="str">
        <f t="shared" si="911"/>
        <v>2026-07-29 13:18:01</v>
      </c>
      <c r="L18323" s="1" t="str">
        <f>"2018-02-24 11:20:26"</f>
        <v>2018-02-24 11:20:26</v>
      </c>
      <c r="M18323" s="1" t="s">
        <v>2</v>
      </c>
      <c r="N18323" s="1" t="s">
        <v>38</v>
      </c>
      <c r="O18323" s="1" t="s">
        <v>46</v>
      </c>
    </row>
    <row r="18324" spans="2:15" x14ac:dyDescent="0.3">
      <c r="B18324" s="1" t="s">
        <v>13</v>
      </c>
      <c r="C18324" s="1" t="str">
        <f>"3차"</f>
        <v>3차</v>
      </c>
      <c r="D18324" s="1" t="str">
        <f>"0126S03139"</f>
        <v>0126S03139</v>
      </c>
      <c r="E18324" s="1" t="s">
        <v>10</v>
      </c>
      <c r="F18324" s="1" t="str">
        <f>"10.11.14.210"</f>
        <v>10.11.14.210</v>
      </c>
      <c r="G18324" s="1" t="str">
        <f>"0126S031"</f>
        <v>0126S031</v>
      </c>
      <c r="H18324" s="1" t="str">
        <f>"문화촌지 3"</f>
        <v>문화촌지 3</v>
      </c>
      <c r="I18324" s="1" t="s">
        <v>8</v>
      </c>
      <c r="J18324" s="1" t="str">
        <f>"25/26"</f>
        <v>25/26</v>
      </c>
      <c r="K18324" s="1" t="str">
        <f t="shared" si="911"/>
        <v>2026-07-29 13:18:01</v>
      </c>
      <c r="L18324" s="1" t="str">
        <f>"2018-02-23 18:14:29"</f>
        <v>2018-02-23 18:14:29</v>
      </c>
      <c r="M18324" s="1" t="s">
        <v>2</v>
      </c>
      <c r="N18324" s="1" t="s">
        <v>38</v>
      </c>
      <c r="O18324" s="1" t="s">
        <v>46</v>
      </c>
    </row>
    <row r="18325" spans="2:15" x14ac:dyDescent="0.3">
      <c r="B18325" s="1" t="s">
        <v>13</v>
      </c>
      <c r="C18325" s="1" t="str">
        <f>"3차"</f>
        <v>3차</v>
      </c>
      <c r="D18325" s="1" t="str">
        <f>"0126S06239"</f>
        <v>0126S06239</v>
      </c>
      <c r="E18325" s="1" t="s">
        <v>10</v>
      </c>
      <c r="F18325" s="1" t="str">
        <f>"10.11.15.98"</f>
        <v>10.11.15.98</v>
      </c>
      <c r="G18325" s="1" t="str">
        <f>"0126S062"</f>
        <v>0126S062</v>
      </c>
      <c r="H18325" s="1" t="str">
        <f>"문화촌지 2L5"</f>
        <v>문화촌지 2L5</v>
      </c>
      <c r="I18325" s="1" t="s">
        <v>8</v>
      </c>
      <c r="J18325" s="1" t="str">
        <f>"47/47"</f>
        <v>47/47</v>
      </c>
      <c r="K18325" s="1" t="str">
        <f t="shared" si="911"/>
        <v>2026-07-29 13:18:01</v>
      </c>
      <c r="L18325" s="1" t="str">
        <f>"2018-02-24 00:51:20"</f>
        <v>2018-02-24 00:51:20</v>
      </c>
      <c r="M18325" s="1" t="s">
        <v>2</v>
      </c>
      <c r="N18325" s="1" t="s">
        <v>38</v>
      </c>
      <c r="O18325" s="1" t="s">
        <v>46</v>
      </c>
    </row>
    <row r="18326" spans="2:15" x14ac:dyDescent="0.3">
      <c r="B18326" s="1" t="s">
        <v>13</v>
      </c>
      <c r="C18326" s="1" t="str">
        <f>"3차"</f>
        <v>3차</v>
      </c>
      <c r="D18326" s="1" t="str">
        <f>"0126S13139"</f>
        <v>0126S13139</v>
      </c>
      <c r="E18326" s="1" t="s">
        <v>10</v>
      </c>
      <c r="F18326" s="1" t="str">
        <f>"10.11.34.2"</f>
        <v>10.11.34.2</v>
      </c>
      <c r="G18326" s="1" t="str">
        <f>"0126S131"</f>
        <v>0126S131</v>
      </c>
      <c r="H18326" s="1" t="str">
        <f>"문화촌지 4L1"</f>
        <v>문화촌지 4L1</v>
      </c>
      <c r="I18326" s="1" t="s">
        <v>8</v>
      </c>
      <c r="J18326" s="1" t="str">
        <f>"20/20"</f>
        <v>20/20</v>
      </c>
      <c r="K18326" s="1" t="str">
        <f t="shared" si="911"/>
        <v>2026-07-29 13:18:01</v>
      </c>
      <c r="L18326" s="1" t="str">
        <f>"2018-02-24 11:27:10"</f>
        <v>2018-02-24 11:27:10</v>
      </c>
      <c r="M18326" s="1" t="s">
        <v>2</v>
      </c>
      <c r="N18326" s="1" t="s">
        <v>38</v>
      </c>
      <c r="O18326" s="1" t="s">
        <v>46</v>
      </c>
    </row>
    <row r="18327" spans="2:15" x14ac:dyDescent="0.3">
      <c r="B18327" s="1" t="s">
        <v>13</v>
      </c>
      <c r="C18327" s="1" t="str">
        <f>"3차"</f>
        <v>3차</v>
      </c>
      <c r="D18327" s="1" t="str">
        <f>"0126S14239"</f>
        <v>0126S14239</v>
      </c>
      <c r="E18327" s="1" t="s">
        <v>10</v>
      </c>
      <c r="F18327" s="1" t="str">
        <f>"10.11.15.130"</f>
        <v>10.11.15.130</v>
      </c>
      <c r="G18327" s="1" t="str">
        <f>"0126S142"</f>
        <v>0126S142</v>
      </c>
      <c r="H18327" s="1" t="str">
        <f>"문화촌지 4L2"</f>
        <v>문화촌지 4L2</v>
      </c>
      <c r="I18327" s="1" t="s">
        <v>8</v>
      </c>
      <c r="J18327" s="1" t="str">
        <f>"37/37"</f>
        <v>37/37</v>
      </c>
      <c r="K18327" s="1" t="str">
        <f t="shared" si="911"/>
        <v>2026-07-29 13:18:01</v>
      </c>
      <c r="L18327" s="1" t="str">
        <f>"2018-02-24 11:38:10"</f>
        <v>2018-02-24 11:38:10</v>
      </c>
      <c r="M18327" s="1" t="s">
        <v>2</v>
      </c>
      <c r="N18327" s="1" t="s">
        <v>38</v>
      </c>
      <c r="O18327" s="1" t="s">
        <v>46</v>
      </c>
    </row>
    <row r="18328" spans="2:15" x14ac:dyDescent="0.3">
      <c r="B18328" s="1" t="s">
        <v>13</v>
      </c>
      <c r="C18328" s="1" t="str">
        <f>"4차"</f>
        <v>4차</v>
      </c>
      <c r="D18328" s="1" t="str">
        <f>"0126S19445"</f>
        <v>0126S19445</v>
      </c>
      <c r="E18328" s="1" t="s">
        <v>10</v>
      </c>
      <c r="F18328" s="1" t="str">
        <f>"10.12.130.191"</f>
        <v>10.12.130.191</v>
      </c>
      <c r="G18328" s="1" t="str">
        <f>"0126S194"</f>
        <v>0126S194</v>
      </c>
      <c r="H18328" s="1" t="str">
        <f>"왕십리로 R10"</f>
        <v>왕십리로 R10</v>
      </c>
      <c r="I18328" s="1" t="s">
        <v>17</v>
      </c>
      <c r="J18328" s="1" t="str">
        <f>"3/5"</f>
        <v>3/5</v>
      </c>
      <c r="K18328" s="1" t="str">
        <f>"2026-07-29 13:18:02"</f>
        <v>2026-07-29 13:18:02</v>
      </c>
      <c r="L18328" s="1" t="str">
        <f>"2024-05-14 17:36:38"</f>
        <v>2024-05-14 17:36:38</v>
      </c>
      <c r="M18328" s="1" t="s">
        <v>0</v>
      </c>
      <c r="N18328" s="1" t="s">
        <v>38</v>
      </c>
      <c r="O18328" s="1" t="s">
        <v>46</v>
      </c>
    </row>
    <row r="18329" spans="2:15" x14ac:dyDescent="0.3">
      <c r="B18329" s="1" t="s">
        <v>13</v>
      </c>
      <c r="C18329" s="1" t="str">
        <f>"4차"</f>
        <v>4차</v>
      </c>
      <c r="D18329" s="1" t="str">
        <f>"0126S21242"</f>
        <v>0126S21242</v>
      </c>
      <c r="E18329" s="1" t="s">
        <v>10</v>
      </c>
      <c r="F18329" s="1" t="str">
        <f>"10.89.32.34"</f>
        <v>10.89.32.34</v>
      </c>
      <c r="G18329" s="1" t="str">
        <f>"0126S212"</f>
        <v>0126S212</v>
      </c>
      <c r="H18329" s="1" t="str">
        <f>"문화촌지 6A2"</f>
        <v>문화촌지 6A2</v>
      </c>
      <c r="I18329" s="1" t="s">
        <v>8</v>
      </c>
      <c r="J18329" s="1" t="str">
        <f>"35/35"</f>
        <v>35/35</v>
      </c>
      <c r="K18329" s="1" t="str">
        <f>"2026-07-29 13:18:01"</f>
        <v>2026-07-29 13:18:01</v>
      </c>
      <c r="L18329" s="1" t="str">
        <f>"2024-12-24 14:02:06"</f>
        <v>2024-12-24 14:02:06</v>
      </c>
      <c r="M18329" s="1" t="s">
        <v>45</v>
      </c>
      <c r="N18329" s="1" t="s">
        <v>38</v>
      </c>
      <c r="O18329" s="1" t="s">
        <v>46</v>
      </c>
    </row>
    <row r="18330" spans="2:15" x14ac:dyDescent="0.3">
      <c r="B18330" s="1" t="s">
        <v>13</v>
      </c>
      <c r="C18330" s="1" t="str">
        <f>"3차"</f>
        <v>3차</v>
      </c>
      <c r="D18330" s="1" t="str">
        <f>"0126S22239"</f>
        <v>0126S22239</v>
      </c>
      <c r="E18330" s="1" t="s">
        <v>10</v>
      </c>
      <c r="F18330" s="1" t="str">
        <f>"10.11.34.18"</f>
        <v>10.11.34.18</v>
      </c>
      <c r="G18330" s="1" t="str">
        <f>"0126S222"</f>
        <v>0126S222</v>
      </c>
      <c r="H18330" s="1" t="str">
        <f>"문화촌지 9H1L2L1"</f>
        <v>문화촌지 9H1L2L1</v>
      </c>
      <c r="I18330" s="1" t="s">
        <v>8</v>
      </c>
      <c r="J18330" s="1" t="str">
        <f>"70/70"</f>
        <v>70/70</v>
      </c>
      <c r="K18330" s="1" t="str">
        <f>"2026-07-29 13:18:01"</f>
        <v>2026-07-29 13:18:01</v>
      </c>
      <c r="L18330" s="1" t="str">
        <f>"2018-02-24 13:16:57"</f>
        <v>2018-02-24 13:16:57</v>
      </c>
      <c r="M18330" s="1" t="s">
        <v>2</v>
      </c>
      <c r="N18330" s="1" t="s">
        <v>38</v>
      </c>
      <c r="O18330" s="1" t="s">
        <v>46</v>
      </c>
    </row>
    <row r="18331" spans="2:15" x14ac:dyDescent="0.3">
      <c r="B18331" s="1" t="s">
        <v>13</v>
      </c>
      <c r="C18331" s="1" t="str">
        <f t="shared" ref="C18331:C18337" si="912">"4차"</f>
        <v>4차</v>
      </c>
      <c r="D18331" s="1" t="str">
        <f>"0126S23139"</f>
        <v>0126S23139</v>
      </c>
      <c r="E18331" s="1" t="s">
        <v>10</v>
      </c>
      <c r="F18331" s="1" t="str">
        <f>"10.11.26.50"</f>
        <v>10.11.26.50</v>
      </c>
      <c r="G18331" s="1" t="str">
        <f>"0126S231"</f>
        <v>0126S231</v>
      </c>
      <c r="H18331" s="1" t="str">
        <f>"문화촌지 5L1"</f>
        <v>문화촌지 5L1</v>
      </c>
      <c r="I18331" s="1" t="s">
        <v>8</v>
      </c>
      <c r="J18331" s="1" t="str">
        <f>"13/13"</f>
        <v>13/13</v>
      </c>
      <c r="K18331" s="1" t="str">
        <f>"2026-07-29 13:18:01"</f>
        <v>2026-07-29 13:18:01</v>
      </c>
      <c r="L18331" s="1" t="str">
        <f>"2017-12-08 15:14:57"</f>
        <v>2017-12-08 15:14:57</v>
      </c>
      <c r="M18331" s="1" t="s">
        <v>2</v>
      </c>
      <c r="N18331" s="1" t="s">
        <v>38</v>
      </c>
      <c r="O18331" s="1" t="s">
        <v>46</v>
      </c>
    </row>
    <row r="18332" spans="2:15" x14ac:dyDescent="0.3">
      <c r="B18332" s="1" t="s">
        <v>13</v>
      </c>
      <c r="C18332" s="1" t="str">
        <f t="shared" si="912"/>
        <v>4차</v>
      </c>
      <c r="D18332" s="1" t="str">
        <f>"0126S26M39"</f>
        <v>0126S26M39</v>
      </c>
      <c r="E18332" s="1" t="s">
        <v>10</v>
      </c>
      <c r="F18332" s="1" t="str">
        <f>"10.12.132.52"</f>
        <v>10.12.132.52</v>
      </c>
      <c r="G18332" s="1" t="str">
        <f>"0126S26M"</f>
        <v>0126S26M</v>
      </c>
      <c r="H18332" s="1" t="str">
        <f>"왕십리로 R6-10"</f>
        <v>왕십리로 R6-10</v>
      </c>
      <c r="I18332" s="1" t="s">
        <v>17</v>
      </c>
      <c r="J18332" s="1" t="str">
        <f>"50/51"</f>
        <v>50/51</v>
      </c>
      <c r="K18332" s="1" t="str">
        <f>"2026-07-29 13:18:02"</f>
        <v>2026-07-29 13:18:02</v>
      </c>
      <c r="L18332" s="1" t="str">
        <f>"2018-07-16 16:04:16"</f>
        <v>2018-07-16 16:04:16</v>
      </c>
      <c r="M18332" s="1" t="s">
        <v>0</v>
      </c>
      <c r="N18332" s="1" t="s">
        <v>38</v>
      </c>
      <c r="O18332" s="1" t="s">
        <v>46</v>
      </c>
    </row>
    <row r="18333" spans="2:15" x14ac:dyDescent="0.3">
      <c r="B18333" s="1" t="s">
        <v>13</v>
      </c>
      <c r="C18333" s="1" t="str">
        <f t="shared" si="912"/>
        <v>4차</v>
      </c>
      <c r="D18333" s="1" t="str">
        <f>"0126S26O39"</f>
        <v>0126S26O39</v>
      </c>
      <c r="E18333" s="1" t="s">
        <v>14</v>
      </c>
      <c r="F18333" s="1" t="str">
        <f>"10.12.130.115"</f>
        <v>10.12.130.115</v>
      </c>
      <c r="G18333" s="1" t="str">
        <f>"0126S26O"</f>
        <v>0126S26O</v>
      </c>
      <c r="H18333" s="1" t="str">
        <f>"왕십리로 R6-12"</f>
        <v>왕십리로 R6-12</v>
      </c>
      <c r="I18333" s="1" t="s">
        <v>17</v>
      </c>
      <c r="J18333" s="1" t="str">
        <f>"0/0"</f>
        <v>0/0</v>
      </c>
      <c r="K18333" s="1" t="str">
        <f>"2026-07-28 13:18:01"</f>
        <v>2026-07-28 13:18:01</v>
      </c>
      <c r="L18333" s="1" t="str">
        <f>"2018-10-25 11:38:56"</f>
        <v>2018-10-25 11:38:56</v>
      </c>
      <c r="M18333" s="1" t="s">
        <v>0</v>
      </c>
      <c r="N18333" s="1" t="s">
        <v>39</v>
      </c>
      <c r="O18333" s="1" t="s">
        <v>46</v>
      </c>
    </row>
    <row r="18334" spans="2:15" x14ac:dyDescent="0.3">
      <c r="B18334" s="1" t="s">
        <v>13</v>
      </c>
      <c r="C18334" s="1" t="str">
        <f t="shared" si="912"/>
        <v>4차</v>
      </c>
      <c r="D18334" s="1" t="str">
        <f>"0126S26Q39"</f>
        <v>0126S26Q39</v>
      </c>
      <c r="E18334" s="1" t="s">
        <v>14</v>
      </c>
      <c r="F18334" s="1" t="str">
        <f>"10.12.131.53"</f>
        <v>10.12.131.53</v>
      </c>
      <c r="G18334" s="1" t="str">
        <f>"0126S26Q"</f>
        <v>0126S26Q</v>
      </c>
      <c r="H18334" s="1" t="str">
        <f>"왕십리로 R6-14"</f>
        <v>왕십리로 R6-14</v>
      </c>
      <c r="I18334" s="1" t="s">
        <v>17</v>
      </c>
      <c r="J18334" s="1" t="str">
        <f>"0/0"</f>
        <v>0/0</v>
      </c>
      <c r="K18334" s="1" t="str">
        <f>"2026-07-28 13:18:02"</f>
        <v>2026-07-28 13:18:02</v>
      </c>
      <c r="L18334" s="1" t="str">
        <f>"2018-10-25 12:01:41"</f>
        <v>2018-10-25 12:01:41</v>
      </c>
      <c r="M18334" s="1" t="s">
        <v>0</v>
      </c>
      <c r="N18334" s="1" t="s">
        <v>39</v>
      </c>
      <c r="O18334" s="1" t="s">
        <v>46</v>
      </c>
    </row>
    <row r="18335" spans="2:15" x14ac:dyDescent="0.3">
      <c r="B18335" s="1" t="s">
        <v>13</v>
      </c>
      <c r="C18335" s="1" t="str">
        <f t="shared" si="912"/>
        <v>4차</v>
      </c>
      <c r="D18335" s="1" t="str">
        <f>"0126S30739"</f>
        <v>0126S30739</v>
      </c>
      <c r="E18335" s="1" t="s">
        <v>14</v>
      </c>
      <c r="F18335" s="1" t="str">
        <f>"10.14.2.116"</f>
        <v>10.14.2.116</v>
      </c>
      <c r="G18335" s="1" t="str">
        <f>"0126S307"</f>
        <v>0126S307</v>
      </c>
      <c r="H18335" s="1" t="str">
        <f>"동화로 8"</f>
        <v>동화로 8</v>
      </c>
      <c r="I18335" s="1" t="s">
        <v>17</v>
      </c>
      <c r="J18335" s="1" t="str">
        <f>"0/0"</f>
        <v>0/0</v>
      </c>
      <c r="K18335" s="1" t="str">
        <f>"2026-07-29 13:18:02"</f>
        <v>2026-07-29 13:18:02</v>
      </c>
      <c r="L18335" s="1" t="str">
        <f>"2021-09-07 16:54:15"</f>
        <v>2021-09-07 16:54:15</v>
      </c>
      <c r="M18335" s="1" t="s">
        <v>3</v>
      </c>
      <c r="N18335" s="1" t="s">
        <v>38</v>
      </c>
      <c r="O18335" s="1" t="s">
        <v>44</v>
      </c>
    </row>
    <row r="18336" spans="2:15" x14ac:dyDescent="0.3">
      <c r="B18336" s="1" t="s">
        <v>13</v>
      </c>
      <c r="C18336" s="1" t="str">
        <f t="shared" si="912"/>
        <v>4차</v>
      </c>
      <c r="D18336" s="1" t="str">
        <f>"0126S31241"</f>
        <v>0126S31241</v>
      </c>
      <c r="E18336" s="1" t="s">
        <v>10</v>
      </c>
      <c r="F18336" s="1" t="str">
        <f>"10.14.13.120"</f>
        <v>10.14.13.120</v>
      </c>
      <c r="G18336" s="1" t="str">
        <f>"0126S312"</f>
        <v>0126S312</v>
      </c>
      <c r="H18336" s="1" t="str">
        <f>"문화촌지 7R2"</f>
        <v>문화촌지 7R2</v>
      </c>
      <c r="I18336" s="1" t="s">
        <v>17</v>
      </c>
      <c r="J18336" s="1" t="str">
        <f>"55/55"</f>
        <v>55/55</v>
      </c>
      <c r="K18336" s="1" t="str">
        <f>"2026-07-29 13:18:03"</f>
        <v>2026-07-29 13:18:03</v>
      </c>
      <c r="L18336" s="1" t="str">
        <f>"2021-10-21 09:23:36"</f>
        <v>2021-10-21 09:23:36</v>
      </c>
      <c r="M18336" s="1" t="s">
        <v>3</v>
      </c>
      <c r="N18336" s="1" t="s">
        <v>38</v>
      </c>
      <c r="O18336" s="1" t="s">
        <v>46</v>
      </c>
    </row>
    <row r="18337" spans="2:15" x14ac:dyDescent="0.3">
      <c r="B18337" s="1" t="s">
        <v>13</v>
      </c>
      <c r="C18337" s="1" t="str">
        <f t="shared" si="912"/>
        <v>4차</v>
      </c>
      <c r="D18337" s="1" t="str">
        <f>"0126S31339"</f>
        <v>0126S31339</v>
      </c>
      <c r="E18337" s="1" t="s">
        <v>10</v>
      </c>
      <c r="F18337" s="1" t="str">
        <f>"10.11.26.66"</f>
        <v>10.11.26.66</v>
      </c>
      <c r="G18337" s="1" t="str">
        <f>"0126S313"</f>
        <v>0126S313</v>
      </c>
      <c r="H18337" s="1" t="str">
        <f>"문화촌지 7R1"</f>
        <v>문화촌지 7R1</v>
      </c>
      <c r="I18337" s="1" t="s">
        <v>8</v>
      </c>
      <c r="J18337" s="1" t="str">
        <f>"11/12"</f>
        <v>11/12</v>
      </c>
      <c r="K18337" s="1" t="str">
        <f t="shared" ref="K18337:K18346" si="913">"2026-07-29 13:18:01"</f>
        <v>2026-07-29 13:18:01</v>
      </c>
      <c r="L18337" s="1" t="str">
        <f>"2017-12-07 17:02:35"</f>
        <v>2017-12-07 17:02:35</v>
      </c>
      <c r="M18337" s="1" t="s">
        <v>2</v>
      </c>
      <c r="N18337" s="1" t="s">
        <v>38</v>
      </c>
      <c r="O18337" s="1" t="s">
        <v>46</v>
      </c>
    </row>
    <row r="18338" spans="2:15" x14ac:dyDescent="0.3">
      <c r="B18338" s="1" t="s">
        <v>13</v>
      </c>
      <c r="C18338" s="1" t="str">
        <f>"3차"</f>
        <v>3차</v>
      </c>
      <c r="D18338" s="1" t="str">
        <f>"0126S33139"</f>
        <v>0126S33139</v>
      </c>
      <c r="E18338" s="1" t="s">
        <v>10</v>
      </c>
      <c r="F18338" s="1" t="str">
        <f>"10.11.15.146"</f>
        <v>10.11.15.146</v>
      </c>
      <c r="G18338" s="1" t="str">
        <f>"0126S331"</f>
        <v>0126S331</v>
      </c>
      <c r="H18338" s="1" t="str">
        <f>"문화촌지 9H1L2"</f>
        <v>문화촌지 9H1L2</v>
      </c>
      <c r="I18338" s="1" t="s">
        <v>8</v>
      </c>
      <c r="J18338" s="1" t="str">
        <f>"12/17"</f>
        <v>12/17</v>
      </c>
      <c r="K18338" s="1" t="str">
        <f t="shared" si="913"/>
        <v>2026-07-29 13:18:01</v>
      </c>
      <c r="L18338" s="1" t="str">
        <f>"2018-02-24 13:27:12"</f>
        <v>2018-02-24 13:27:12</v>
      </c>
      <c r="M18338" s="1" t="s">
        <v>2</v>
      </c>
      <c r="N18338" s="1" t="s">
        <v>38</v>
      </c>
      <c r="O18338" s="1" t="s">
        <v>46</v>
      </c>
    </row>
    <row r="18339" spans="2:15" x14ac:dyDescent="0.3">
      <c r="B18339" s="1" t="s">
        <v>13</v>
      </c>
      <c r="C18339" s="1" t="str">
        <f>"3차"</f>
        <v>3차</v>
      </c>
      <c r="D18339" s="1" t="str">
        <f>"0126S34139"</f>
        <v>0126S34139</v>
      </c>
      <c r="E18339" s="1" t="s">
        <v>10</v>
      </c>
      <c r="F18339" s="1" t="str">
        <f>"10.11.34.26"</f>
        <v>10.11.34.26</v>
      </c>
      <c r="G18339" s="1" t="str">
        <f>"0126S341"</f>
        <v>0126S341</v>
      </c>
      <c r="H18339" s="1" t="str">
        <f>"문화촌지 9H1L4"</f>
        <v>문화촌지 9H1L4</v>
      </c>
      <c r="I18339" s="1" t="s">
        <v>8</v>
      </c>
      <c r="J18339" s="1" t="str">
        <f>"40/42"</f>
        <v>40/42</v>
      </c>
      <c r="K18339" s="1" t="str">
        <f t="shared" si="913"/>
        <v>2026-07-29 13:18:01</v>
      </c>
      <c r="L18339" s="1" t="str">
        <f>"2018-02-24 13:39:57"</f>
        <v>2018-02-24 13:39:57</v>
      </c>
      <c r="M18339" s="1" t="s">
        <v>2</v>
      </c>
      <c r="N18339" s="1" t="s">
        <v>38</v>
      </c>
      <c r="O18339" s="1" t="s">
        <v>46</v>
      </c>
    </row>
    <row r="18340" spans="2:15" x14ac:dyDescent="0.3">
      <c r="B18340" s="1" t="s">
        <v>13</v>
      </c>
      <c r="C18340" s="1" t="str">
        <f>"4차"</f>
        <v>4차</v>
      </c>
      <c r="D18340" s="1" t="str">
        <f>"0126S40242"</f>
        <v>0126S40242</v>
      </c>
      <c r="E18340" s="1" t="s">
        <v>10</v>
      </c>
      <c r="F18340" s="1" t="str">
        <f>"10.89.32.16"</f>
        <v>10.89.32.16</v>
      </c>
      <c r="G18340" s="1" t="str">
        <f>"0126S402"</f>
        <v>0126S402</v>
      </c>
      <c r="H18340" s="1" t="str">
        <f>"문화촌지 7R4R1"</f>
        <v>문화촌지 7R4R1</v>
      </c>
      <c r="I18340" s="1" t="s">
        <v>8</v>
      </c>
      <c r="J18340" s="1" t="str">
        <f>"14/14"</f>
        <v>14/14</v>
      </c>
      <c r="K18340" s="1" t="str">
        <f t="shared" si="913"/>
        <v>2026-07-29 13:18:01</v>
      </c>
      <c r="L18340" s="1" t="str">
        <f>"2026-01-30 09:06:34"</f>
        <v>2026-01-30 09:06:34</v>
      </c>
      <c r="M18340" s="1" t="s">
        <v>45</v>
      </c>
      <c r="N18340" s="1" t="s">
        <v>38</v>
      </c>
      <c r="O18340" s="1" t="s">
        <v>46</v>
      </c>
    </row>
    <row r="18341" spans="2:15" x14ac:dyDescent="0.3">
      <c r="B18341" s="1" t="s">
        <v>13</v>
      </c>
      <c r="C18341" s="1" t="str">
        <f>"4차"</f>
        <v>4차</v>
      </c>
      <c r="D18341" s="1" t="str">
        <f>"0126S42139"</f>
        <v>0126S42139</v>
      </c>
      <c r="E18341" s="1" t="s">
        <v>10</v>
      </c>
      <c r="F18341" s="1" t="str">
        <f>"10.11.33.74"</f>
        <v>10.11.33.74</v>
      </c>
      <c r="G18341" s="1" t="str">
        <f>"0126S421"</f>
        <v>0126S421</v>
      </c>
      <c r="H18341" s="1" t="str">
        <f>"문화촌지 9"</f>
        <v>문화촌지 9</v>
      </c>
      <c r="I18341" s="1" t="s">
        <v>8</v>
      </c>
      <c r="J18341" s="1" t="str">
        <f>"23/25"</f>
        <v>23/25</v>
      </c>
      <c r="K18341" s="1" t="str">
        <f t="shared" si="913"/>
        <v>2026-07-29 13:18:01</v>
      </c>
      <c r="L18341" s="1" t="str">
        <f>"2018-05-17 16:40:43"</f>
        <v>2018-05-17 16:40:43</v>
      </c>
      <c r="M18341" s="1" t="s">
        <v>2</v>
      </c>
      <c r="N18341" s="1" t="s">
        <v>38</v>
      </c>
      <c r="O18341" s="1" t="s">
        <v>46</v>
      </c>
    </row>
    <row r="18342" spans="2:15" x14ac:dyDescent="0.3">
      <c r="B18342" s="1" t="s">
        <v>13</v>
      </c>
      <c r="C18342" s="1" t="str">
        <f>"3차"</f>
        <v>3차</v>
      </c>
      <c r="D18342" s="1" t="str">
        <f>"0126S42239"</f>
        <v>0126S42239</v>
      </c>
      <c r="E18342" s="1" t="s">
        <v>10</v>
      </c>
      <c r="F18342" s="1" t="str">
        <f>"10.11.14.218"</f>
        <v>10.11.14.218</v>
      </c>
      <c r="G18342" s="1" t="str">
        <f>"0126S422"</f>
        <v>0126S422</v>
      </c>
      <c r="H18342" s="1" t="str">
        <f>"문화촌지 8"</f>
        <v>문화촌지 8</v>
      </c>
      <c r="I18342" s="1" t="s">
        <v>8</v>
      </c>
      <c r="J18342" s="1" t="str">
        <f>"50/50"</f>
        <v>50/50</v>
      </c>
      <c r="K18342" s="1" t="str">
        <f t="shared" si="913"/>
        <v>2026-07-29 13:18:01</v>
      </c>
      <c r="L18342" s="1" t="str">
        <f>"2018-02-24 11:41:10"</f>
        <v>2018-02-24 11:41:10</v>
      </c>
      <c r="M18342" s="1" t="s">
        <v>2</v>
      </c>
      <c r="N18342" s="1" t="s">
        <v>38</v>
      </c>
      <c r="O18342" s="1" t="s">
        <v>46</v>
      </c>
    </row>
    <row r="18343" spans="2:15" x14ac:dyDescent="0.3">
      <c r="B18343" s="1" t="s">
        <v>13</v>
      </c>
      <c r="C18343" s="1" t="str">
        <f>"1차"</f>
        <v>1차</v>
      </c>
      <c r="D18343" s="1" t="str">
        <f>"0126S43200"</f>
        <v>0126S43200</v>
      </c>
      <c r="E18343" s="1" t="s">
        <v>10</v>
      </c>
      <c r="F18343" s="1" t="str">
        <f>"10.89.32.36"</f>
        <v>10.89.32.36</v>
      </c>
      <c r="G18343" s="1" t="str">
        <f>"0126S432"</f>
        <v>0126S432</v>
      </c>
      <c r="H18343" s="1" t="str">
        <f>"문화촌지 10L1H1"</f>
        <v>문화촌지 10L1H1</v>
      </c>
      <c r="I18343" s="1" t="s">
        <v>8</v>
      </c>
      <c r="J18343" s="1" t="str">
        <f>"28/28"</f>
        <v>28/28</v>
      </c>
      <c r="K18343" s="1" t="str">
        <f t="shared" si="913"/>
        <v>2026-07-29 13:18:01</v>
      </c>
      <c r="L18343" s="1" t="str">
        <f>"2014-09-29 13:58:09"</f>
        <v>2014-09-29 13:58:09</v>
      </c>
      <c r="M18343" s="1" t="s">
        <v>45</v>
      </c>
      <c r="N18343" s="1" t="s">
        <v>38</v>
      </c>
      <c r="O18343" s="1" t="s">
        <v>46</v>
      </c>
    </row>
    <row r="18344" spans="2:15" x14ac:dyDescent="0.3">
      <c r="B18344" s="1" t="s">
        <v>13</v>
      </c>
      <c r="C18344" s="1" t="str">
        <f>"3차"</f>
        <v>3차</v>
      </c>
      <c r="D18344" s="1" t="str">
        <f>"0126S44139"</f>
        <v>0126S44139</v>
      </c>
      <c r="E18344" s="1" t="s">
        <v>10</v>
      </c>
      <c r="F18344" s="1" t="str">
        <f>"10.11.14.250"</f>
        <v>10.11.14.250</v>
      </c>
      <c r="G18344" s="1" t="str">
        <f>"0126S441"</f>
        <v>0126S441</v>
      </c>
      <c r="H18344" s="1" t="str">
        <f>"문화촌지 10L2"</f>
        <v>문화촌지 10L2</v>
      </c>
      <c r="I18344" s="1" t="s">
        <v>8</v>
      </c>
      <c r="J18344" s="1" t="str">
        <f>"60/60"</f>
        <v>60/60</v>
      </c>
      <c r="K18344" s="1" t="str">
        <f t="shared" si="913"/>
        <v>2026-07-29 13:18:01</v>
      </c>
      <c r="L18344" s="1" t="str">
        <f>"2018-03-05 16:21:11"</f>
        <v>2018-03-05 16:21:11</v>
      </c>
      <c r="M18344" s="1" t="s">
        <v>2</v>
      </c>
      <c r="N18344" s="1" t="s">
        <v>38</v>
      </c>
      <c r="O18344" s="1" t="s">
        <v>46</v>
      </c>
    </row>
    <row r="18345" spans="2:15" x14ac:dyDescent="0.3">
      <c r="B18345" s="1" t="s">
        <v>13</v>
      </c>
      <c r="C18345" s="1" t="str">
        <f>"3차"</f>
        <v>3차</v>
      </c>
      <c r="D18345" s="1" t="str">
        <f>"0126S45339"</f>
        <v>0126S45339</v>
      </c>
      <c r="E18345" s="1" t="s">
        <v>10</v>
      </c>
      <c r="F18345" s="1" t="str">
        <f>"10.11.33.98"</f>
        <v>10.11.33.98</v>
      </c>
      <c r="G18345" s="1" t="str">
        <f>"0126S453"</f>
        <v>0126S453</v>
      </c>
      <c r="H18345" s="1" t="str">
        <f>"문화촌지 10L3"</f>
        <v>문화촌지 10L3</v>
      </c>
      <c r="I18345" s="1" t="s">
        <v>8</v>
      </c>
      <c r="J18345" s="1" t="str">
        <f>"6/6"</f>
        <v>6/6</v>
      </c>
      <c r="K18345" s="1" t="str">
        <f t="shared" si="913"/>
        <v>2026-07-29 13:18:01</v>
      </c>
      <c r="L18345" s="1" t="str">
        <f>"2018-03-05 16:10:42"</f>
        <v>2018-03-05 16:10:42</v>
      </c>
      <c r="M18345" s="1" t="s">
        <v>2</v>
      </c>
      <c r="N18345" s="1" t="s">
        <v>38</v>
      </c>
      <c r="O18345" s="1" t="s">
        <v>46</v>
      </c>
    </row>
    <row r="18346" spans="2:15" x14ac:dyDescent="0.3">
      <c r="B18346" s="1" t="s">
        <v>13</v>
      </c>
      <c r="C18346" s="1" t="str">
        <f>"4차"</f>
        <v>4차</v>
      </c>
      <c r="D18346" s="1" t="str">
        <f>"0126S45539"</f>
        <v>0126S45539</v>
      </c>
      <c r="E18346" s="1" t="s">
        <v>10</v>
      </c>
      <c r="F18346" s="1" t="str">
        <f>"10.11.15.2"</f>
        <v>10.11.15.2</v>
      </c>
      <c r="G18346" s="1" t="str">
        <f>"0126S455"</f>
        <v>0126S455</v>
      </c>
      <c r="H18346" s="1" t="str">
        <f>"문화촌지 10L4R1"</f>
        <v>문화촌지 10L4R1</v>
      </c>
      <c r="I18346" s="1" t="s">
        <v>8</v>
      </c>
      <c r="J18346" s="1" t="str">
        <f>"27/27"</f>
        <v>27/27</v>
      </c>
      <c r="K18346" s="1" t="str">
        <f t="shared" si="913"/>
        <v>2026-07-29 13:18:01</v>
      </c>
      <c r="L18346" s="1" t="str">
        <f>"2018-02-23 16:24:13"</f>
        <v>2018-02-23 16:24:13</v>
      </c>
      <c r="M18346" s="1" t="s">
        <v>2</v>
      </c>
      <c r="N18346" s="1" t="s">
        <v>38</v>
      </c>
      <c r="O18346" s="1" t="s">
        <v>46</v>
      </c>
    </row>
    <row r="18347" spans="2:15" x14ac:dyDescent="0.3">
      <c r="B18347" s="1" t="s">
        <v>13</v>
      </c>
      <c r="C18347" s="1" t="str">
        <f>"4차"</f>
        <v>4차</v>
      </c>
      <c r="D18347" s="1" t="str">
        <f>"0126S49239"</f>
        <v>0126S49239</v>
      </c>
      <c r="E18347" s="1" t="s">
        <v>10</v>
      </c>
      <c r="F18347" s="1" t="str">
        <f>"10.12.133.138"</f>
        <v>10.12.133.138</v>
      </c>
      <c r="G18347" s="1" t="str">
        <f>"0126S492"</f>
        <v>0126S492</v>
      </c>
      <c r="H18347" s="1" t="str">
        <f>"왕십리로 L8"</f>
        <v>왕십리로 L8</v>
      </c>
      <c r="I18347" s="1" t="s">
        <v>17</v>
      </c>
      <c r="J18347" s="1" t="str">
        <f>"3/3"</f>
        <v>3/3</v>
      </c>
      <c r="K18347" s="1" t="str">
        <f>"2026-07-29 13:18:02"</f>
        <v>2026-07-29 13:18:02</v>
      </c>
      <c r="L18347" s="1" t="str">
        <f>"2018-06-15 10:23:43"</f>
        <v>2018-06-15 10:23:43</v>
      </c>
      <c r="M18347" s="1" t="s">
        <v>0</v>
      </c>
      <c r="N18347" s="1" t="s">
        <v>38</v>
      </c>
      <c r="O18347" s="1" t="s">
        <v>46</v>
      </c>
    </row>
    <row r="18348" spans="2:15" x14ac:dyDescent="0.3">
      <c r="B18348" s="1" t="s">
        <v>13</v>
      </c>
      <c r="C18348" s="1" t="str">
        <f>"4차"</f>
        <v>4차</v>
      </c>
      <c r="D18348" s="1" t="str">
        <f>"0126S51539"</f>
        <v>0126S51539</v>
      </c>
      <c r="E18348" s="1" t="s">
        <v>10</v>
      </c>
      <c r="F18348" s="1" t="str">
        <f>"10.11.26.2"</f>
        <v>10.11.26.2</v>
      </c>
      <c r="G18348" s="1" t="str">
        <f>"0126S515"</f>
        <v>0126S515</v>
      </c>
      <c r="H18348" s="1" t="str">
        <f>"문화촌지 13R3R3"</f>
        <v>문화촌지 13R3R3</v>
      </c>
      <c r="I18348" s="1" t="s">
        <v>8</v>
      </c>
      <c r="J18348" s="1" t="str">
        <f>"65/65"</f>
        <v>65/65</v>
      </c>
      <c r="K18348" s="1" t="str">
        <f>"2026-07-29 13:18:01"</f>
        <v>2026-07-29 13:18:01</v>
      </c>
      <c r="L18348" s="1" t="str">
        <f>"2017-12-08 13:35:56"</f>
        <v>2017-12-08 13:35:56</v>
      </c>
      <c r="M18348" s="1" t="s">
        <v>2</v>
      </c>
      <c r="N18348" s="1" t="s">
        <v>38</v>
      </c>
      <c r="O18348" s="1" t="s">
        <v>46</v>
      </c>
    </row>
    <row r="18349" spans="2:15" x14ac:dyDescent="0.3">
      <c r="B18349" s="1" t="s">
        <v>13</v>
      </c>
      <c r="C18349" s="1" t="str">
        <f>"3차"</f>
        <v>3차</v>
      </c>
      <c r="D18349" s="1" t="str">
        <f>"0126S52139"</f>
        <v>0126S52139</v>
      </c>
      <c r="E18349" s="1" t="s">
        <v>10</v>
      </c>
      <c r="F18349" s="1" t="str">
        <f>"10.11.44.50"</f>
        <v>10.11.44.50</v>
      </c>
      <c r="G18349" s="1" t="str">
        <f>"0126S521"</f>
        <v>0126S521</v>
      </c>
      <c r="H18349" s="1" t="str">
        <f>"문화촌지 10L1H1L1"</f>
        <v>문화촌지 10L1H1L1</v>
      </c>
      <c r="I18349" s="1" t="s">
        <v>8</v>
      </c>
      <c r="J18349" s="1" t="str">
        <f>"23/23"</f>
        <v>23/23</v>
      </c>
      <c r="K18349" s="1" t="str">
        <f>"2026-07-29 13:18:01"</f>
        <v>2026-07-29 13:18:01</v>
      </c>
      <c r="L18349" s="1" t="str">
        <f>"2018-04-27 14:49:59"</f>
        <v>2018-04-27 14:49:59</v>
      </c>
      <c r="M18349" s="1" t="s">
        <v>2</v>
      </c>
      <c r="N18349" s="1" t="s">
        <v>38</v>
      </c>
      <c r="O18349" s="1" t="s">
        <v>46</v>
      </c>
    </row>
    <row r="18350" spans="2:15" x14ac:dyDescent="0.3">
      <c r="B18350" s="1" t="s">
        <v>13</v>
      </c>
      <c r="C18350" s="1" t="str">
        <f>"1차"</f>
        <v>1차</v>
      </c>
      <c r="D18350" s="1" t="str">
        <f>"0126S53301"</f>
        <v>0126S53301</v>
      </c>
      <c r="E18350" s="1" t="s">
        <v>10</v>
      </c>
      <c r="F18350" s="1" t="str">
        <f>"10.14.5.124"</f>
        <v>10.14.5.124</v>
      </c>
      <c r="G18350" s="1" t="str">
        <f>"0126S533"</f>
        <v>0126S533</v>
      </c>
      <c r="H18350" s="1" t="str">
        <f>"문화촌지 12"</f>
        <v>문화촌지 12</v>
      </c>
      <c r="I18350" s="1" t="s">
        <v>8</v>
      </c>
      <c r="J18350" s="1" t="str">
        <f>"11/31"</f>
        <v>11/31</v>
      </c>
      <c r="K18350" s="1" t="str">
        <f>"2026-07-29 13:18:02"</f>
        <v>2026-07-29 13:18:02</v>
      </c>
      <c r="L18350" s="1" t="str">
        <f>"2014-09-29 14:12:50"</f>
        <v>2014-09-29 14:12:50</v>
      </c>
      <c r="M18350" s="1" t="s">
        <v>3</v>
      </c>
      <c r="N18350" s="1" t="s">
        <v>38</v>
      </c>
      <c r="O18350" s="1" t="s">
        <v>46</v>
      </c>
    </row>
    <row r="18351" spans="2:15" x14ac:dyDescent="0.3">
      <c r="B18351" s="1" t="s">
        <v>13</v>
      </c>
      <c r="C18351" s="1" t="str">
        <f>"3차"</f>
        <v>3차</v>
      </c>
      <c r="D18351" s="1" t="str">
        <f>"0126S54239"</f>
        <v>0126S54239</v>
      </c>
      <c r="E18351" s="1" t="s">
        <v>10</v>
      </c>
      <c r="F18351" s="1" t="str">
        <f>"10.11.15.18"</f>
        <v>10.11.15.18</v>
      </c>
      <c r="G18351" s="1" t="str">
        <f>"0126S542"</f>
        <v>0126S542</v>
      </c>
      <c r="H18351" s="1" t="str">
        <f>"문화촌지 15L3"</f>
        <v>문화촌지 15L3</v>
      </c>
      <c r="I18351" s="1" t="s">
        <v>8</v>
      </c>
      <c r="J18351" s="1" t="str">
        <f>"14/14"</f>
        <v>14/14</v>
      </c>
      <c r="K18351" s="1" t="str">
        <f>"2026-07-29 13:18:01"</f>
        <v>2026-07-29 13:18:01</v>
      </c>
      <c r="L18351" s="1" t="str">
        <f>"2018-05-17 16:48:28"</f>
        <v>2018-05-17 16:48:28</v>
      </c>
      <c r="M18351" s="1" t="s">
        <v>2</v>
      </c>
      <c r="N18351" s="1" t="s">
        <v>38</v>
      </c>
      <c r="O18351" s="1" t="s">
        <v>46</v>
      </c>
    </row>
    <row r="18352" spans="2:15" x14ac:dyDescent="0.3">
      <c r="B18352" s="1" t="s">
        <v>13</v>
      </c>
      <c r="C18352" s="1" t="str">
        <f>"3차"</f>
        <v>3차</v>
      </c>
      <c r="D18352" s="1" t="str">
        <f>"0126S55339"</f>
        <v>0126S55339</v>
      </c>
      <c r="E18352" s="1" t="s">
        <v>10</v>
      </c>
      <c r="F18352" s="1" t="str">
        <f>"10.11.33.106"</f>
        <v>10.11.33.106</v>
      </c>
      <c r="G18352" s="1" t="str">
        <f>"0126S553"</f>
        <v>0126S553</v>
      </c>
      <c r="H18352" s="1" t="str">
        <f>"문화촌지 10L4R2"</f>
        <v>문화촌지 10L4R2</v>
      </c>
      <c r="I18352" s="1" t="s">
        <v>8</v>
      </c>
      <c r="J18352" s="1" t="str">
        <f>"39/39"</f>
        <v>39/39</v>
      </c>
      <c r="K18352" s="1" t="str">
        <f>"2026-07-29 13:18:01"</f>
        <v>2026-07-29 13:18:01</v>
      </c>
      <c r="L18352" s="1" t="str">
        <f>"2018-02-23 16:40:43"</f>
        <v>2018-02-23 16:40:43</v>
      </c>
      <c r="M18352" s="1" t="s">
        <v>2</v>
      </c>
      <c r="N18352" s="1" t="s">
        <v>38</v>
      </c>
      <c r="O18352" s="1" t="s">
        <v>46</v>
      </c>
    </row>
    <row r="18353" spans="2:15" x14ac:dyDescent="0.3">
      <c r="B18353" s="1" t="s">
        <v>13</v>
      </c>
      <c r="C18353" s="1" t="str">
        <f>"3차"</f>
        <v>3차</v>
      </c>
      <c r="D18353" s="1" t="str">
        <f>"0126S56139"</f>
        <v>0126S56139</v>
      </c>
      <c r="E18353" s="1" t="s">
        <v>10</v>
      </c>
      <c r="F18353" s="1" t="str">
        <f>"10.11.15.10"</f>
        <v>10.11.15.10</v>
      </c>
      <c r="G18353" s="1" t="str">
        <f>"0126S561"</f>
        <v>0126S561</v>
      </c>
      <c r="H18353" s="1" t="str">
        <f>"문화촌지 10L6"</f>
        <v>문화촌지 10L6</v>
      </c>
      <c r="I18353" s="1" t="s">
        <v>8</v>
      </c>
      <c r="J18353" s="1" t="str">
        <f>"67/67"</f>
        <v>67/67</v>
      </c>
      <c r="K18353" s="1" t="str">
        <f>"2026-07-29 13:18:01"</f>
        <v>2026-07-29 13:18:01</v>
      </c>
      <c r="L18353" s="1" t="str">
        <f>"2018-02-23 15:49:44"</f>
        <v>2018-02-23 15:49:44</v>
      </c>
      <c r="M18353" s="1" t="s">
        <v>2</v>
      </c>
      <c r="N18353" s="1" t="s">
        <v>38</v>
      </c>
      <c r="O18353" s="1" t="s">
        <v>46</v>
      </c>
    </row>
    <row r="18354" spans="2:15" x14ac:dyDescent="0.3">
      <c r="B18354" s="1" t="s">
        <v>13</v>
      </c>
      <c r="C18354" s="1" t="str">
        <f>"4차"</f>
        <v>4차</v>
      </c>
      <c r="D18354" s="1" t="str">
        <f>"0126S56239"</f>
        <v>0126S56239</v>
      </c>
      <c r="E18354" s="1" t="s">
        <v>10</v>
      </c>
      <c r="F18354" s="1" t="str">
        <f>"10.11.33.122"</f>
        <v>10.11.33.122</v>
      </c>
      <c r="G18354" s="1" t="str">
        <f>"0126S562"</f>
        <v>0126S562</v>
      </c>
      <c r="H18354" s="1" t="str">
        <f>"문화촌지 10L6R1"</f>
        <v>문화촌지 10L6R1</v>
      </c>
      <c r="I18354" s="1" t="s">
        <v>8</v>
      </c>
      <c r="J18354" s="1" t="str">
        <f>"50/55"</f>
        <v>50/55</v>
      </c>
      <c r="K18354" s="1" t="str">
        <f>"2026-07-29 13:18:01"</f>
        <v>2026-07-29 13:18:01</v>
      </c>
      <c r="L18354" s="1" t="str">
        <f>"2018-02-24 14:07:27"</f>
        <v>2018-02-24 14:07:27</v>
      </c>
      <c r="M18354" s="1" t="s">
        <v>2</v>
      </c>
      <c r="N18354" s="1" t="s">
        <v>38</v>
      </c>
      <c r="O18354" s="1" t="s">
        <v>46</v>
      </c>
    </row>
    <row r="18355" spans="2:15" x14ac:dyDescent="0.3">
      <c r="B18355" s="1" t="s">
        <v>13</v>
      </c>
      <c r="C18355" s="1" t="str">
        <f>"4차"</f>
        <v>4차</v>
      </c>
      <c r="D18355" s="1" t="str">
        <f>"0126S56339"</f>
        <v>0126S56339</v>
      </c>
      <c r="E18355" s="1" t="s">
        <v>10</v>
      </c>
      <c r="F18355" s="1" t="str">
        <f>"10.11.33.114"</f>
        <v>10.11.33.114</v>
      </c>
      <c r="G18355" s="1" t="str">
        <f>"0126S563"</f>
        <v>0126S563</v>
      </c>
      <c r="H18355" s="1" t="str">
        <f>"문화촌지 10L5D1"</f>
        <v>문화촌지 10L5D1</v>
      </c>
      <c r="I18355" s="1" t="s">
        <v>8</v>
      </c>
      <c r="J18355" s="1" t="str">
        <f>"42/47"</f>
        <v>42/47</v>
      </c>
      <c r="K18355" s="1" t="str">
        <f>"2026-07-29 13:18:01"</f>
        <v>2026-07-29 13:18:01</v>
      </c>
      <c r="L18355" s="1" t="str">
        <f>"2018-02-23 16:13:44"</f>
        <v>2018-02-23 16:13:44</v>
      </c>
      <c r="M18355" s="1" t="s">
        <v>2</v>
      </c>
      <c r="N18355" s="1" t="s">
        <v>38</v>
      </c>
      <c r="O18355" s="1" t="s">
        <v>46</v>
      </c>
    </row>
    <row r="18356" spans="2:15" x14ac:dyDescent="0.3">
      <c r="B18356" s="1" t="s">
        <v>13</v>
      </c>
      <c r="C18356" s="1" t="str">
        <f>"4차"</f>
        <v>4차</v>
      </c>
      <c r="D18356" s="1" t="str">
        <f>"0126S58D39"</f>
        <v>0126S58D39</v>
      </c>
      <c r="E18356" s="1" t="s">
        <v>14</v>
      </c>
      <c r="F18356" s="1" t="str">
        <f>"10.12.134.90"</f>
        <v>10.12.134.90</v>
      </c>
      <c r="G18356" s="1" t="str">
        <f>"0126S58D"</f>
        <v>0126S58D</v>
      </c>
      <c r="H18356" s="1" t="str">
        <f>"왕십리로 R6-8"</f>
        <v>왕십리로 R6-8</v>
      </c>
      <c r="I18356" s="1" t="s">
        <v>17</v>
      </c>
      <c r="J18356" s="1" t="str">
        <f>"0/0"</f>
        <v>0/0</v>
      </c>
      <c r="K18356" s="1" t="str">
        <f>"2026-02-23 20:03:48"</f>
        <v>2026-02-23 20:03:48</v>
      </c>
      <c r="L18356" s="1" t="str">
        <f>"2018-06-16 08:46:55"</f>
        <v>2018-06-16 08:46:55</v>
      </c>
      <c r="M18356" s="1" t="s">
        <v>0</v>
      </c>
      <c r="N18356" s="1" t="s">
        <v>39</v>
      </c>
      <c r="O18356" s="1" t="s">
        <v>46</v>
      </c>
    </row>
    <row r="18357" spans="2:15" x14ac:dyDescent="0.3">
      <c r="B18357" s="1" t="s">
        <v>13</v>
      </c>
      <c r="C18357" s="1" t="str">
        <f>"1차"</f>
        <v>1차</v>
      </c>
      <c r="D18357" s="1" t="str">
        <f>"0126S61500"</f>
        <v>0126S61500</v>
      </c>
      <c r="E18357" s="1" t="s">
        <v>10</v>
      </c>
      <c r="F18357" s="1" t="str">
        <f>"10.89.32.41"</f>
        <v>10.89.32.41</v>
      </c>
      <c r="G18357" s="1" t="str">
        <f>"0126S615"</f>
        <v>0126S615</v>
      </c>
      <c r="H18357" s="1" t="str">
        <f>"문화촌지 13R3R2H1"</f>
        <v>문화촌지 13R3R2H1</v>
      </c>
      <c r="I18357" s="1" t="s">
        <v>8</v>
      </c>
      <c r="J18357" s="1" t="str">
        <f>"15/15"</f>
        <v>15/15</v>
      </c>
      <c r="K18357" s="1" t="str">
        <f t="shared" ref="K18357:K18377" si="914">"2026-07-29 13:18:01"</f>
        <v>2026-07-29 13:18:01</v>
      </c>
      <c r="L18357" s="1" t="str">
        <f>"2014-09-29 13:57:57"</f>
        <v>2014-09-29 13:57:57</v>
      </c>
      <c r="M18357" s="1" t="s">
        <v>45</v>
      </c>
      <c r="N18357" s="1" t="s">
        <v>38</v>
      </c>
      <c r="O18357" s="1" t="s">
        <v>46</v>
      </c>
    </row>
    <row r="18358" spans="2:15" x14ac:dyDescent="0.3">
      <c r="B18358" s="1" t="s">
        <v>13</v>
      </c>
      <c r="C18358" s="1" t="str">
        <f>"3차"</f>
        <v>3차</v>
      </c>
      <c r="D18358" s="1" t="str">
        <f>"0126S62239"</f>
        <v>0126S62239</v>
      </c>
      <c r="E18358" s="1" t="s">
        <v>10</v>
      </c>
      <c r="F18358" s="1" t="str">
        <f>"10.12.129.105"</f>
        <v>10.12.129.105</v>
      </c>
      <c r="G18358" s="1" t="str">
        <f>"0126S622"</f>
        <v>0126S622</v>
      </c>
      <c r="H18358" s="1" t="str">
        <f>"문화촌지 13R3R2H1R1"</f>
        <v>문화촌지 13R3R2H1R1</v>
      </c>
      <c r="I18358" s="1" t="s">
        <v>8</v>
      </c>
      <c r="J18358" s="1" t="str">
        <f>"63/63"</f>
        <v>63/63</v>
      </c>
      <c r="K18358" s="1" t="str">
        <f t="shared" si="914"/>
        <v>2026-07-29 13:18:01</v>
      </c>
      <c r="L18358" s="1" t="str">
        <f>"2024-03-11 11:32:16"</f>
        <v>2024-03-11 11:32:16</v>
      </c>
      <c r="M18358" s="1" t="s">
        <v>0</v>
      </c>
      <c r="N18358" s="1" t="s">
        <v>38</v>
      </c>
      <c r="O18358" s="1" t="s">
        <v>46</v>
      </c>
    </row>
    <row r="18359" spans="2:15" x14ac:dyDescent="0.3">
      <c r="B18359" s="1" t="s">
        <v>13</v>
      </c>
      <c r="C18359" s="1" t="str">
        <f>"4차"</f>
        <v>4차</v>
      </c>
      <c r="D18359" s="1" t="str">
        <f>"0126S64342"</f>
        <v>0126S64342</v>
      </c>
      <c r="E18359" s="1" t="s">
        <v>10</v>
      </c>
      <c r="F18359" s="1" t="str">
        <f>"10.89.105.130"</f>
        <v>10.89.105.130</v>
      </c>
      <c r="G18359" s="1" t="str">
        <f>"0126S643"</f>
        <v>0126S643</v>
      </c>
      <c r="H18359" s="1" t="str">
        <f>"문화촌지 15"</f>
        <v>문화촌지 15</v>
      </c>
      <c r="I18359" s="1" t="s">
        <v>8</v>
      </c>
      <c r="J18359" s="1" t="str">
        <f>"33/37"</f>
        <v>33/37</v>
      </c>
      <c r="K18359" s="1" t="str">
        <f t="shared" si="914"/>
        <v>2026-07-29 13:18:01</v>
      </c>
      <c r="L18359" s="1" t="str">
        <f>"2024-12-26 17:21:32"</f>
        <v>2024-12-26 17:21:32</v>
      </c>
      <c r="M18359" s="1" t="s">
        <v>45</v>
      </c>
      <c r="N18359" s="1" t="s">
        <v>38</v>
      </c>
      <c r="O18359" s="1" t="s">
        <v>46</v>
      </c>
    </row>
    <row r="18360" spans="2:15" x14ac:dyDescent="0.3">
      <c r="B18360" s="1" t="s">
        <v>13</v>
      </c>
      <c r="C18360" s="1" t="str">
        <f>"3차"</f>
        <v>3차</v>
      </c>
      <c r="D18360" s="1" t="str">
        <f>"0126S66239"</f>
        <v>0126S66239</v>
      </c>
      <c r="E18360" s="1" t="s">
        <v>10</v>
      </c>
      <c r="F18360" s="1" t="str">
        <f>"10.11.33.154"</f>
        <v>10.11.33.154</v>
      </c>
      <c r="G18360" s="1" t="str">
        <f>"0126S662"</f>
        <v>0126S662</v>
      </c>
      <c r="H18360" s="1" t="str">
        <f>"문화촌지 17L2L2"</f>
        <v>문화촌지 17L2L2</v>
      </c>
      <c r="I18360" s="1" t="s">
        <v>8</v>
      </c>
      <c r="J18360" s="1" t="str">
        <f>"25/25"</f>
        <v>25/25</v>
      </c>
      <c r="K18360" s="1" t="str">
        <f t="shared" si="914"/>
        <v>2026-07-29 13:18:01</v>
      </c>
      <c r="L18360" s="1" t="str">
        <f>"2018-02-23 15:29:43"</f>
        <v>2018-02-23 15:29:43</v>
      </c>
      <c r="M18360" s="1" t="s">
        <v>2</v>
      </c>
      <c r="N18360" s="1" t="s">
        <v>38</v>
      </c>
      <c r="O18360" s="1" t="s">
        <v>46</v>
      </c>
    </row>
    <row r="18361" spans="2:15" x14ac:dyDescent="0.3">
      <c r="B18361" s="1" t="s">
        <v>13</v>
      </c>
      <c r="C18361" s="1" t="str">
        <f>"3차"</f>
        <v>3차</v>
      </c>
      <c r="D18361" s="1" t="str">
        <f>"0126S67139"</f>
        <v>0126S67139</v>
      </c>
      <c r="E18361" s="1" t="s">
        <v>10</v>
      </c>
      <c r="F18361" s="1" t="str">
        <f>"10.11.33.162"</f>
        <v>10.11.33.162</v>
      </c>
      <c r="G18361" s="1" t="str">
        <f>"0126S671"</f>
        <v>0126S671</v>
      </c>
      <c r="H18361" s="1" t="str">
        <f>"문화촌지 17L3L1"</f>
        <v>문화촌지 17L3L1</v>
      </c>
      <c r="I18361" s="1" t="s">
        <v>8</v>
      </c>
      <c r="J18361" s="1" t="str">
        <f>"49/50"</f>
        <v>49/50</v>
      </c>
      <c r="K18361" s="1" t="str">
        <f t="shared" si="914"/>
        <v>2026-07-29 13:18:01</v>
      </c>
      <c r="L18361" s="1" t="str">
        <f>"2018-05-17 16:49:57"</f>
        <v>2018-05-17 16:49:57</v>
      </c>
      <c r="M18361" s="1" t="s">
        <v>2</v>
      </c>
      <c r="N18361" s="1" t="s">
        <v>38</v>
      </c>
      <c r="O18361" s="1" t="s">
        <v>46</v>
      </c>
    </row>
    <row r="18362" spans="2:15" x14ac:dyDescent="0.3">
      <c r="B18362" s="1" t="s">
        <v>13</v>
      </c>
      <c r="C18362" s="1" t="str">
        <f>"3차"</f>
        <v>3차</v>
      </c>
      <c r="D18362" s="1" t="str">
        <f>"0126S72139"</f>
        <v>0126S72139</v>
      </c>
      <c r="E18362" s="1" t="s">
        <v>10</v>
      </c>
      <c r="F18362" s="1" t="str">
        <f>"10.11.44.58"</f>
        <v>10.11.44.58</v>
      </c>
      <c r="G18362" s="1" t="str">
        <f>"0126S721"</f>
        <v>0126S721</v>
      </c>
      <c r="H18362" s="1" t="str">
        <f>"문화촌지 13R3L1"</f>
        <v>문화촌지 13R3L1</v>
      </c>
      <c r="I18362" s="1" t="s">
        <v>8</v>
      </c>
      <c r="J18362" s="1" t="str">
        <f>"4/4"</f>
        <v>4/4</v>
      </c>
      <c r="K18362" s="1" t="str">
        <f t="shared" si="914"/>
        <v>2026-07-29 13:18:01</v>
      </c>
      <c r="L18362" s="1" t="str">
        <f>"2018-05-10 14:49:12"</f>
        <v>2018-05-10 14:49:12</v>
      </c>
      <c r="M18362" s="1" t="s">
        <v>2</v>
      </c>
      <c r="N18362" s="1" t="s">
        <v>38</v>
      </c>
      <c r="O18362" s="1" t="s">
        <v>46</v>
      </c>
    </row>
    <row r="18363" spans="2:15" x14ac:dyDescent="0.3">
      <c r="B18363" s="1" t="s">
        <v>13</v>
      </c>
      <c r="C18363" s="1" t="str">
        <f>"1차"</f>
        <v>1차</v>
      </c>
      <c r="D18363" s="1" t="str">
        <f>"0126S72201"</f>
        <v>0126S72201</v>
      </c>
      <c r="E18363" s="1" t="s">
        <v>10</v>
      </c>
      <c r="F18363" s="1" t="str">
        <f>"10.89.104.50"</f>
        <v>10.89.104.50</v>
      </c>
      <c r="G18363" s="1" t="str">
        <f>"0126S722"</f>
        <v>0126S722</v>
      </c>
      <c r="H18363" s="1" t="str">
        <f>"문화촌지 13R2"</f>
        <v>문화촌지 13R2</v>
      </c>
      <c r="I18363" s="1" t="s">
        <v>8</v>
      </c>
      <c r="J18363" s="1" t="str">
        <f>"42/42"</f>
        <v>42/42</v>
      </c>
      <c r="K18363" s="1" t="str">
        <f t="shared" si="914"/>
        <v>2026-07-29 13:18:01</v>
      </c>
      <c r="L18363" s="1" t="str">
        <f>"2014-09-29 14:12:14"</f>
        <v>2014-09-29 14:12:14</v>
      </c>
      <c r="M18363" s="1" t="s">
        <v>45</v>
      </c>
      <c r="N18363" s="1" t="s">
        <v>38</v>
      </c>
      <c r="O18363" s="1" t="s">
        <v>46</v>
      </c>
    </row>
    <row r="18364" spans="2:15" x14ac:dyDescent="0.3">
      <c r="B18364" s="1" t="s">
        <v>13</v>
      </c>
      <c r="C18364" s="1" t="str">
        <f>"4차"</f>
        <v>4차</v>
      </c>
      <c r="D18364" s="1" t="str">
        <f>"0126S72439"</f>
        <v>0126S72439</v>
      </c>
      <c r="E18364" s="1" t="s">
        <v>10</v>
      </c>
      <c r="F18364" s="1" t="str">
        <f>"10.11.26.10"</f>
        <v>10.11.26.10</v>
      </c>
      <c r="G18364" s="1" t="str">
        <f>"0126S724"</f>
        <v>0126S724</v>
      </c>
      <c r="H18364" s="1" t="str">
        <f>"문화촌지 15R3R3R2"</f>
        <v>문화촌지 15R3R3R2</v>
      </c>
      <c r="I18364" s="1" t="s">
        <v>8</v>
      </c>
      <c r="J18364" s="1" t="str">
        <f>"35/35"</f>
        <v>35/35</v>
      </c>
      <c r="K18364" s="1" t="str">
        <f t="shared" si="914"/>
        <v>2026-07-29 13:18:01</v>
      </c>
      <c r="L18364" s="1" t="str">
        <f>"2017-12-08 14:32:58"</f>
        <v>2017-12-08 14:32:58</v>
      </c>
      <c r="M18364" s="1" t="s">
        <v>2</v>
      </c>
      <c r="N18364" s="1" t="s">
        <v>38</v>
      </c>
      <c r="O18364" s="1" t="s">
        <v>46</v>
      </c>
    </row>
    <row r="18365" spans="2:15" x14ac:dyDescent="0.3">
      <c r="B18365" s="1" t="s">
        <v>13</v>
      </c>
      <c r="C18365" s="1" t="str">
        <f>"3차"</f>
        <v>3차</v>
      </c>
      <c r="D18365" s="1" t="str">
        <f>"0126S73139"</f>
        <v>0126S73139</v>
      </c>
      <c r="E18365" s="1" t="s">
        <v>10</v>
      </c>
      <c r="F18365" s="1" t="str">
        <f>"10.11.33.138"</f>
        <v>10.11.33.138</v>
      </c>
      <c r="G18365" s="1" t="str">
        <f>"0126S731"</f>
        <v>0126S731</v>
      </c>
      <c r="H18365" s="1" t="str">
        <f>"문화촌지 15R3R2R2"</f>
        <v>문화촌지 15R3R2R2</v>
      </c>
      <c r="I18365" s="1" t="s">
        <v>8</v>
      </c>
      <c r="J18365" s="1" t="str">
        <f>"40/40"</f>
        <v>40/40</v>
      </c>
      <c r="K18365" s="1" t="str">
        <f t="shared" si="914"/>
        <v>2026-07-29 13:18:01</v>
      </c>
      <c r="L18365" s="1" t="str">
        <f>"2018-02-23 17:40:59"</f>
        <v>2018-02-23 17:40:59</v>
      </c>
      <c r="M18365" s="1" t="s">
        <v>2</v>
      </c>
      <c r="N18365" s="1" t="s">
        <v>38</v>
      </c>
      <c r="O18365" s="1" t="s">
        <v>46</v>
      </c>
    </row>
    <row r="18366" spans="2:15" x14ac:dyDescent="0.3">
      <c r="B18366" s="1" t="s">
        <v>13</v>
      </c>
      <c r="C18366" s="1" t="str">
        <f>"3차"</f>
        <v>3차</v>
      </c>
      <c r="D18366" s="1" t="str">
        <f>"0126S74239"</f>
        <v>0126S74239</v>
      </c>
      <c r="E18366" s="1" t="s">
        <v>10</v>
      </c>
      <c r="F18366" s="1" t="str">
        <f>"10.11.14.226"</f>
        <v>10.11.14.226</v>
      </c>
      <c r="G18366" s="1" t="str">
        <f>"0126S742"</f>
        <v>0126S742</v>
      </c>
      <c r="H18366" s="1" t="str">
        <f>"문화촌지 16"</f>
        <v>문화촌지 16</v>
      </c>
      <c r="I18366" s="1" t="s">
        <v>8</v>
      </c>
      <c r="J18366" s="1" t="str">
        <f>"45/45"</f>
        <v>45/45</v>
      </c>
      <c r="K18366" s="1" t="str">
        <f t="shared" si="914"/>
        <v>2026-07-29 13:18:01</v>
      </c>
      <c r="L18366" s="1" t="str">
        <f>"2018-02-23 14:04:27"</f>
        <v>2018-02-23 14:04:27</v>
      </c>
      <c r="M18366" s="1" t="s">
        <v>2</v>
      </c>
      <c r="N18366" s="1" t="s">
        <v>38</v>
      </c>
      <c r="O18366" s="1" t="s">
        <v>46</v>
      </c>
    </row>
    <row r="18367" spans="2:15" x14ac:dyDescent="0.3">
      <c r="B18367" s="1" t="s">
        <v>13</v>
      </c>
      <c r="C18367" s="1" t="str">
        <f>"4차"</f>
        <v>4차</v>
      </c>
      <c r="D18367" s="1" t="str">
        <f>"0126S76139"</f>
        <v>0126S76139</v>
      </c>
      <c r="E18367" s="1" t="s">
        <v>10</v>
      </c>
      <c r="F18367" s="1" t="str">
        <f>"10.11.33.146"</f>
        <v>10.11.33.146</v>
      </c>
      <c r="G18367" s="1" t="str">
        <f>"0126S761"</f>
        <v>0126S761</v>
      </c>
      <c r="H18367" s="1" t="str">
        <f>"문화촌지 17L2"</f>
        <v>문화촌지 17L2</v>
      </c>
      <c r="I18367" s="1" t="s">
        <v>8</v>
      </c>
      <c r="J18367" s="1" t="str">
        <f>"14/14"</f>
        <v>14/14</v>
      </c>
      <c r="K18367" s="1" t="str">
        <f t="shared" si="914"/>
        <v>2026-07-29 13:18:01</v>
      </c>
      <c r="L18367" s="1" t="str">
        <f>"2018-02-23 14:33:42"</f>
        <v>2018-02-23 14:33:42</v>
      </c>
      <c r="M18367" s="1" t="s">
        <v>2</v>
      </c>
      <c r="N18367" s="1" t="s">
        <v>38</v>
      </c>
      <c r="O18367" s="1" t="s">
        <v>46</v>
      </c>
    </row>
    <row r="18368" spans="2:15" x14ac:dyDescent="0.3">
      <c r="B18368" s="1" t="s">
        <v>13</v>
      </c>
      <c r="C18368" s="1" t="str">
        <f>"4차"</f>
        <v>4차</v>
      </c>
      <c r="D18368" s="1" t="str">
        <f>"0126S76339"</f>
        <v>0126S76339</v>
      </c>
      <c r="E18368" s="1" t="s">
        <v>10</v>
      </c>
      <c r="F18368" s="1" t="str">
        <f>"10.11.15.34"</f>
        <v>10.11.15.34</v>
      </c>
      <c r="G18368" s="1" t="str">
        <f>"0126S763"</f>
        <v>0126S763</v>
      </c>
      <c r="H18368" s="1" t="str">
        <f>"문화촌지 17L2L1"</f>
        <v>문화촌지 17L2L1</v>
      </c>
      <c r="I18368" s="1" t="s">
        <v>8</v>
      </c>
      <c r="J18368" s="1" t="str">
        <f>"23/25"</f>
        <v>23/25</v>
      </c>
      <c r="K18368" s="1" t="str">
        <f t="shared" si="914"/>
        <v>2026-07-29 13:18:01</v>
      </c>
      <c r="L18368" s="1" t="str">
        <f>"2018-02-23 15:37:29"</f>
        <v>2018-02-23 15:37:29</v>
      </c>
      <c r="M18368" s="1" t="s">
        <v>2</v>
      </c>
      <c r="N18368" s="1" t="s">
        <v>38</v>
      </c>
      <c r="O18368" s="1" t="s">
        <v>46</v>
      </c>
    </row>
    <row r="18369" spans="2:15" x14ac:dyDescent="0.3">
      <c r="B18369" s="1" t="s">
        <v>13</v>
      </c>
      <c r="C18369" s="1" t="str">
        <f>"4차"</f>
        <v>4차</v>
      </c>
      <c r="D18369" s="1" t="str">
        <f>"0126S77339"</f>
        <v>0126S77339</v>
      </c>
      <c r="E18369" s="1" t="s">
        <v>10</v>
      </c>
      <c r="F18369" s="1" t="str">
        <f>"10.11.15.42"</f>
        <v>10.11.15.42</v>
      </c>
      <c r="G18369" s="1" t="str">
        <f>"0126S773"</f>
        <v>0126S773</v>
      </c>
      <c r="H18369" s="1" t="str">
        <f>"문화촌지 17L3"</f>
        <v>문화촌지 17L3</v>
      </c>
      <c r="I18369" s="1" t="s">
        <v>8</v>
      </c>
      <c r="J18369" s="1" t="str">
        <f>"20/26"</f>
        <v>20/26</v>
      </c>
      <c r="K18369" s="1" t="str">
        <f t="shared" si="914"/>
        <v>2026-07-29 13:18:01</v>
      </c>
      <c r="L18369" s="1" t="str">
        <f>"2018-02-23 18:01:06"</f>
        <v>2018-02-23 18:01:06</v>
      </c>
      <c r="M18369" s="1" t="s">
        <v>2</v>
      </c>
      <c r="N18369" s="1" t="s">
        <v>38</v>
      </c>
      <c r="O18369" s="1" t="s">
        <v>46</v>
      </c>
    </row>
    <row r="18370" spans="2:15" x14ac:dyDescent="0.3">
      <c r="B18370" s="1" t="s">
        <v>13</v>
      </c>
      <c r="C18370" s="1" t="str">
        <f>"4차"</f>
        <v>4차</v>
      </c>
      <c r="D18370" s="1" t="str">
        <f>"0126S81939"</f>
        <v>0126S81939</v>
      </c>
      <c r="E18370" s="1" t="s">
        <v>10</v>
      </c>
      <c r="F18370" s="1" t="str">
        <f>"10.11.26.18"</f>
        <v>10.11.26.18</v>
      </c>
      <c r="G18370" s="1" t="str">
        <f>"0126S819"</f>
        <v>0126S819</v>
      </c>
      <c r="H18370" s="1" t="str">
        <f>"문화촌지 15R3R5"</f>
        <v>문화촌지 15R3R5</v>
      </c>
      <c r="I18370" s="1" t="s">
        <v>8</v>
      </c>
      <c r="J18370" s="1" t="str">
        <f>"41/47"</f>
        <v>41/47</v>
      </c>
      <c r="K18370" s="1" t="str">
        <f t="shared" si="914"/>
        <v>2026-07-29 13:18:01</v>
      </c>
      <c r="L18370" s="1" t="str">
        <f>"2018-05-25 11:10:58"</f>
        <v>2018-05-25 11:10:58</v>
      </c>
      <c r="M18370" s="1" t="s">
        <v>2</v>
      </c>
      <c r="N18370" s="1" t="s">
        <v>38</v>
      </c>
      <c r="O18370" s="1" t="s">
        <v>46</v>
      </c>
    </row>
    <row r="18371" spans="2:15" x14ac:dyDescent="0.3">
      <c r="B18371" s="1" t="s">
        <v>13</v>
      </c>
      <c r="C18371" s="1" t="str">
        <f>"4차"</f>
        <v>4차</v>
      </c>
      <c r="D18371" s="1" t="str">
        <f>"0126S82539"</f>
        <v>0126S82539</v>
      </c>
      <c r="E18371" s="1" t="s">
        <v>10</v>
      </c>
      <c r="F18371" s="1" t="str">
        <f>"10.11.25.250"</f>
        <v>10.11.25.250</v>
      </c>
      <c r="G18371" s="1" t="str">
        <f>"0126S825"</f>
        <v>0126S825</v>
      </c>
      <c r="H18371" s="1" t="str">
        <f>"문화촌지 13R3L2"</f>
        <v>문화촌지 13R3L2</v>
      </c>
      <c r="I18371" s="1" t="s">
        <v>8</v>
      </c>
      <c r="J18371" s="1" t="str">
        <f>"55/55"</f>
        <v>55/55</v>
      </c>
      <c r="K18371" s="1" t="str">
        <f t="shared" si="914"/>
        <v>2026-07-29 13:18:01</v>
      </c>
      <c r="L18371" s="1" t="str">
        <f>"2017-12-07 17:10:32"</f>
        <v>2017-12-07 17:10:32</v>
      </c>
      <c r="M18371" s="1" t="s">
        <v>2</v>
      </c>
      <c r="N18371" s="1" t="s">
        <v>38</v>
      </c>
      <c r="O18371" s="1" t="s">
        <v>46</v>
      </c>
    </row>
    <row r="18372" spans="2:15" x14ac:dyDescent="0.3">
      <c r="B18372" s="1" t="s">
        <v>13</v>
      </c>
      <c r="C18372" s="1" t="str">
        <f>"3차"</f>
        <v>3차</v>
      </c>
      <c r="D18372" s="1" t="str">
        <f>"0126S83139"</f>
        <v>0126S83139</v>
      </c>
      <c r="E18372" s="1" t="s">
        <v>10</v>
      </c>
      <c r="F18372" s="1" t="str">
        <f>"10.11.33.130"</f>
        <v>10.11.33.130</v>
      </c>
      <c r="G18372" s="1" t="str">
        <f>"0126S831"</f>
        <v>0126S831</v>
      </c>
      <c r="H18372" s="1" t="str">
        <f>"문화촌지 15R3R1"</f>
        <v>문화촌지 15R3R1</v>
      </c>
      <c r="I18372" s="1" t="s">
        <v>8</v>
      </c>
      <c r="J18372" s="1" t="str">
        <f>"8/12"</f>
        <v>8/12</v>
      </c>
      <c r="K18372" s="1" t="str">
        <f t="shared" si="914"/>
        <v>2026-07-29 13:18:01</v>
      </c>
      <c r="L18372" s="1" t="str">
        <f>"2018-02-23 17:02:57"</f>
        <v>2018-02-23 17:02:57</v>
      </c>
      <c r="M18372" s="1" t="s">
        <v>2</v>
      </c>
      <c r="N18372" s="1" t="s">
        <v>38</v>
      </c>
      <c r="O18372" s="1" t="s">
        <v>46</v>
      </c>
    </row>
    <row r="18373" spans="2:15" x14ac:dyDescent="0.3">
      <c r="B18373" s="1" t="s">
        <v>13</v>
      </c>
      <c r="C18373" s="1" t="str">
        <f>"4차"</f>
        <v>4차</v>
      </c>
      <c r="D18373" s="1" t="str">
        <f>"0126S83239"</f>
        <v>0126S83239</v>
      </c>
      <c r="E18373" s="1" t="s">
        <v>10</v>
      </c>
      <c r="F18373" s="1" t="str">
        <f>"10.11.15.26"</f>
        <v>10.11.15.26</v>
      </c>
      <c r="G18373" s="1" t="str">
        <f>"0126S832"</f>
        <v>0126S832</v>
      </c>
      <c r="H18373" s="1" t="str">
        <f>"문화촌지 15R3R2"</f>
        <v>문화촌지 15R3R2</v>
      </c>
      <c r="I18373" s="1" t="s">
        <v>8</v>
      </c>
      <c r="J18373" s="1" t="str">
        <f>"41/41"</f>
        <v>41/41</v>
      </c>
      <c r="K18373" s="1" t="str">
        <f t="shared" si="914"/>
        <v>2026-07-29 13:18:01</v>
      </c>
      <c r="L18373" s="1" t="str">
        <f>"2018-02-23 17:29:47"</f>
        <v>2018-02-23 17:29:47</v>
      </c>
      <c r="M18373" s="1" t="s">
        <v>2</v>
      </c>
      <c r="N18373" s="1" t="s">
        <v>38</v>
      </c>
      <c r="O18373" s="1" t="s">
        <v>46</v>
      </c>
    </row>
    <row r="18374" spans="2:15" x14ac:dyDescent="0.3">
      <c r="B18374" s="1" t="s">
        <v>13</v>
      </c>
      <c r="C18374" s="1" t="str">
        <f>"4차"</f>
        <v>4차</v>
      </c>
      <c r="D18374" s="1" t="str">
        <f>"0126S84142"</f>
        <v>0126S84142</v>
      </c>
      <c r="E18374" s="1" t="s">
        <v>10</v>
      </c>
      <c r="F18374" s="1" t="str">
        <f>"10.12.129.2"</f>
        <v>10.12.129.2</v>
      </c>
      <c r="G18374" s="1" t="str">
        <f>"0126S841"</f>
        <v>0126S841</v>
      </c>
      <c r="H18374" s="1" t="str">
        <f>"문화촌지 15R2"</f>
        <v>문화촌지 15R2</v>
      </c>
      <c r="I18374" s="1" t="s">
        <v>8</v>
      </c>
      <c r="J18374" s="1" t="str">
        <f>"85/93"</f>
        <v>85/93</v>
      </c>
      <c r="K18374" s="1" t="str">
        <f t="shared" si="914"/>
        <v>2026-07-29 13:18:01</v>
      </c>
      <c r="L18374" s="1" t="str">
        <f>"2024-12-26 17:20:51"</f>
        <v>2024-12-26 17:20:51</v>
      </c>
      <c r="M18374" s="1" t="s">
        <v>0</v>
      </c>
      <c r="N18374" s="1" t="s">
        <v>38</v>
      </c>
      <c r="O18374" s="1" t="s">
        <v>46</v>
      </c>
    </row>
    <row r="18375" spans="2:15" x14ac:dyDescent="0.3">
      <c r="B18375" s="1" t="s">
        <v>13</v>
      </c>
      <c r="C18375" s="1" t="str">
        <f>"1차"</f>
        <v>1차</v>
      </c>
      <c r="D18375" s="1" t="str">
        <f>"0126S93100"</f>
        <v>0126S93100</v>
      </c>
      <c r="E18375" s="1" t="s">
        <v>10</v>
      </c>
      <c r="F18375" s="1" t="str">
        <f>"10.89.105.138"</f>
        <v>10.89.105.138</v>
      </c>
      <c r="G18375" s="1" t="str">
        <f>"0126S931"</f>
        <v>0126S931</v>
      </c>
      <c r="H18375" s="1" t="str">
        <f>"문화촌지 15R3"</f>
        <v>문화촌지 15R3</v>
      </c>
      <c r="I18375" s="1" t="s">
        <v>8</v>
      </c>
      <c r="J18375" s="1" t="str">
        <f>"27/32"</f>
        <v>27/32</v>
      </c>
      <c r="K18375" s="1" t="str">
        <f t="shared" si="914"/>
        <v>2026-07-29 13:18:01</v>
      </c>
      <c r="L18375" s="1" t="str">
        <f>"2014-09-29 14:12:36"</f>
        <v>2014-09-29 14:12:36</v>
      </c>
      <c r="M18375" s="1" t="s">
        <v>45</v>
      </c>
      <c r="N18375" s="1" t="s">
        <v>38</v>
      </c>
      <c r="O18375" s="1" t="s">
        <v>46</v>
      </c>
    </row>
    <row r="18376" spans="2:15" x14ac:dyDescent="0.3">
      <c r="B18376" s="1" t="s">
        <v>13</v>
      </c>
      <c r="C18376" s="1" t="str">
        <f>"1차"</f>
        <v>1차</v>
      </c>
      <c r="D18376" s="1" t="str">
        <f>"0126S93400"</f>
        <v>0126S93400</v>
      </c>
      <c r="E18376" s="1" t="s">
        <v>10</v>
      </c>
      <c r="F18376" s="1" t="str">
        <f>"10.89.32.70"</f>
        <v>10.89.32.70</v>
      </c>
      <c r="G18376" s="1" t="str">
        <f>"0126S934"</f>
        <v>0126S934</v>
      </c>
      <c r="H18376" s="1" t="str">
        <f>"문화촌지 15R4"</f>
        <v>문화촌지 15R4</v>
      </c>
      <c r="I18376" s="1" t="s">
        <v>8</v>
      </c>
      <c r="J18376" s="1" t="str">
        <f>"21/21"</f>
        <v>21/21</v>
      </c>
      <c r="K18376" s="1" t="str">
        <f t="shared" si="914"/>
        <v>2026-07-29 13:18:01</v>
      </c>
      <c r="L18376" s="1" t="str">
        <f>"2014-10-02 10:58:10"</f>
        <v>2014-10-02 10:58:10</v>
      </c>
      <c r="M18376" s="1" t="s">
        <v>45</v>
      </c>
      <c r="N18376" s="1" t="s">
        <v>38</v>
      </c>
      <c r="O18376" s="1" t="s">
        <v>46</v>
      </c>
    </row>
    <row r="18377" spans="2:15" x14ac:dyDescent="0.3">
      <c r="B18377" s="1" t="s">
        <v>13</v>
      </c>
      <c r="C18377" s="1" t="str">
        <f>"2차"</f>
        <v>2차</v>
      </c>
      <c r="D18377" s="1" t="str">
        <f>"0126S97429"</f>
        <v>0126S97429</v>
      </c>
      <c r="E18377" s="1" t="s">
        <v>10</v>
      </c>
      <c r="F18377" s="1" t="str">
        <f>"10.11.2.50"</f>
        <v>10.11.2.50</v>
      </c>
      <c r="G18377" s="1" t="str">
        <f>"0126S974"</f>
        <v>0126S974</v>
      </c>
      <c r="H18377" s="1" t="str">
        <f>"문화촌지 23L7L3"</f>
        <v>문화촌지 23L7L3</v>
      </c>
      <c r="I18377" s="1" t="s">
        <v>8</v>
      </c>
      <c r="J18377" s="1" t="str">
        <f>"24/37"</f>
        <v>24/37</v>
      </c>
      <c r="K18377" s="1" t="str">
        <f t="shared" si="914"/>
        <v>2026-07-29 13:18:01</v>
      </c>
      <c r="L18377" s="1" t="str">
        <f>"2017-06-21 17:41:01"</f>
        <v>2017-06-21 17:41:01</v>
      </c>
      <c r="M18377" s="1" t="s">
        <v>2</v>
      </c>
      <c r="N18377" s="1" t="s">
        <v>38</v>
      </c>
      <c r="O18377" s="1" t="s">
        <v>46</v>
      </c>
    </row>
    <row r="18378" spans="2:15" x14ac:dyDescent="0.3">
      <c r="B18378" s="1" t="s">
        <v>13</v>
      </c>
      <c r="C18378" s="1" t="str">
        <f>"4차"</f>
        <v>4차</v>
      </c>
      <c r="D18378" s="1" t="str">
        <f>"0126S99239"</f>
        <v>0126S99239</v>
      </c>
      <c r="E18378" s="1" t="s">
        <v>10</v>
      </c>
      <c r="F18378" s="1" t="str">
        <f>"10.12.134.151"</f>
        <v>10.12.134.151</v>
      </c>
      <c r="G18378" s="1" t="str">
        <f>"0126S992"</f>
        <v>0126S992</v>
      </c>
      <c r="H18378" s="1" t="str">
        <f>"왕십리로 L11"</f>
        <v>왕십리로 L11</v>
      </c>
      <c r="I18378" s="1" t="s">
        <v>17</v>
      </c>
      <c r="J18378" s="1" t="str">
        <f>"2/6"</f>
        <v>2/6</v>
      </c>
      <c r="K18378" s="1" t="str">
        <f>"2026-07-29 13:18:02"</f>
        <v>2026-07-29 13:18:02</v>
      </c>
      <c r="L18378" s="1" t="str">
        <f>"2018-06-15 14:02:00"</f>
        <v>2018-06-15 14:02:00</v>
      </c>
      <c r="M18378" s="1" t="s">
        <v>0</v>
      </c>
      <c r="N18378" s="1" t="s">
        <v>38</v>
      </c>
      <c r="O18378" s="1" t="s">
        <v>46</v>
      </c>
    </row>
    <row r="18379" spans="2:15" x14ac:dyDescent="0.3">
      <c r="B18379" s="1" t="s">
        <v>13</v>
      </c>
      <c r="C18379" s="1" t="str">
        <f>"3차"</f>
        <v>3차</v>
      </c>
      <c r="D18379" s="1" t="str">
        <f>"0126Y03239"</f>
        <v>0126Y03239</v>
      </c>
      <c r="E18379" s="1" t="s">
        <v>10</v>
      </c>
      <c r="F18379" s="1" t="str">
        <f>"10.11.26.26"</f>
        <v>10.11.26.26</v>
      </c>
      <c r="G18379" s="1" t="str">
        <f>"0126Y032"</f>
        <v>0126Y032</v>
      </c>
      <c r="H18379" s="1" t="str">
        <f>"문화촌지 15R5"</f>
        <v>문화촌지 15R5</v>
      </c>
      <c r="I18379" s="1" t="s">
        <v>8</v>
      </c>
      <c r="J18379" s="1" t="str">
        <f>"14/14"</f>
        <v>14/14</v>
      </c>
      <c r="K18379" s="1" t="str">
        <f>"2026-07-29 13:18:01"</f>
        <v>2026-07-29 13:18:01</v>
      </c>
      <c r="L18379" s="1" t="str">
        <f>"2017-12-07 17:09:32"</f>
        <v>2017-12-07 17:09:32</v>
      </c>
      <c r="M18379" s="1" t="s">
        <v>2</v>
      </c>
      <c r="N18379" s="1" t="s">
        <v>38</v>
      </c>
      <c r="O18379" s="1" t="s">
        <v>46</v>
      </c>
    </row>
    <row r="18380" spans="2:15" x14ac:dyDescent="0.3">
      <c r="B18380" s="1" t="s">
        <v>13</v>
      </c>
      <c r="C18380" s="1" t="str">
        <f>"3차"</f>
        <v>3차</v>
      </c>
      <c r="D18380" s="1" t="str">
        <f>"0126Y04539"</f>
        <v>0126Y04539</v>
      </c>
      <c r="E18380" s="1" t="s">
        <v>10</v>
      </c>
      <c r="F18380" s="1" t="str">
        <f>"10.11.14.242"</f>
        <v>10.11.14.242</v>
      </c>
      <c r="G18380" s="1" t="str">
        <f>"0126Y045"</f>
        <v>0126Y045</v>
      </c>
      <c r="H18380" s="1" t="str">
        <f>"문화촌지 24"</f>
        <v>문화촌지 24</v>
      </c>
      <c r="I18380" s="1" t="s">
        <v>8</v>
      </c>
      <c r="J18380" s="1" t="str">
        <f>"7/7"</f>
        <v>7/7</v>
      </c>
      <c r="K18380" s="1" t="str">
        <f>"2026-07-29 13:18:01"</f>
        <v>2026-07-29 13:18:01</v>
      </c>
      <c r="L18380" s="1" t="str">
        <f>"2018-05-25 11:21:10"</f>
        <v>2018-05-25 11:21:10</v>
      </c>
      <c r="M18380" s="1" t="s">
        <v>2</v>
      </c>
      <c r="N18380" s="1" t="s">
        <v>38</v>
      </c>
      <c r="O18380" s="1" t="s">
        <v>46</v>
      </c>
    </row>
    <row r="18381" spans="2:15" x14ac:dyDescent="0.3">
      <c r="B18381" s="1" t="s">
        <v>13</v>
      </c>
      <c r="C18381" s="1" t="str">
        <f>"2차"</f>
        <v>2차</v>
      </c>
      <c r="D18381" s="1" t="str">
        <f>"0126Y06129"</f>
        <v>0126Y06129</v>
      </c>
      <c r="E18381" s="1" t="s">
        <v>14</v>
      </c>
      <c r="F18381" s="1" t="str">
        <f>"10.11.10.194"</f>
        <v>10.11.10.194</v>
      </c>
      <c r="G18381" s="1" t="str">
        <f>"0126Y061"</f>
        <v>0126Y061</v>
      </c>
      <c r="H18381" s="1" t="str">
        <f>"문화촌지 23L7"</f>
        <v>문화촌지 23L7</v>
      </c>
      <c r="I18381" s="1" t="s">
        <v>8</v>
      </c>
      <c r="J18381" s="1" t="str">
        <f>"0/0"</f>
        <v>0/0</v>
      </c>
      <c r="K18381" s="4" t="str">
        <f>"2026-07-29 13:18:01"</f>
        <v>2026-07-29 13:18:01</v>
      </c>
      <c r="L18381" s="1" t="str">
        <f>"2017-07-19 13:49:27"</f>
        <v>2017-07-19 13:49:27</v>
      </c>
      <c r="M18381" s="1" t="s">
        <v>2</v>
      </c>
      <c r="N18381" s="1" t="s">
        <v>38</v>
      </c>
      <c r="O18381" s="1" t="s">
        <v>44</v>
      </c>
    </row>
    <row r="18382" spans="2:15" x14ac:dyDescent="0.3">
      <c r="B18382" s="1" t="s">
        <v>13</v>
      </c>
      <c r="C18382" s="1" t="str">
        <f>"2차"</f>
        <v>2차</v>
      </c>
      <c r="D18382" s="1" t="str">
        <f>"0126Y17329"</f>
        <v>0126Y17329</v>
      </c>
      <c r="E18382" s="1" t="s">
        <v>10</v>
      </c>
      <c r="F18382" s="1" t="str">
        <f>"10.11.9.26"</f>
        <v>10.11.9.26</v>
      </c>
      <c r="G18382" s="1" t="str">
        <f>"0126Y173"</f>
        <v>0126Y173</v>
      </c>
      <c r="H18382" s="1" t="str">
        <f>"문화촌지 23L6"</f>
        <v>문화촌지 23L6</v>
      </c>
      <c r="I18382" s="1" t="s">
        <v>8</v>
      </c>
      <c r="J18382" s="1" t="str">
        <f>"5/5"</f>
        <v>5/5</v>
      </c>
      <c r="K18382" s="1" t="str">
        <f>"2026-07-29 13:18:01"</f>
        <v>2026-07-29 13:18:01</v>
      </c>
      <c r="L18382" s="1" t="str">
        <f>"2017-07-20 14:09:31"</f>
        <v>2017-07-20 14:09:31</v>
      </c>
      <c r="M18382" s="1" t="s">
        <v>2</v>
      </c>
      <c r="N18382" s="1" t="s">
        <v>38</v>
      </c>
      <c r="O18382" s="1" t="s">
        <v>46</v>
      </c>
    </row>
    <row r="18383" spans="2:15" x14ac:dyDescent="0.3">
      <c r="B18383" s="1" t="s">
        <v>13</v>
      </c>
      <c r="C18383" s="1" t="str">
        <f>"4차"</f>
        <v>4차</v>
      </c>
      <c r="D18383" s="1" t="str">
        <f>"0126Y18339"</f>
        <v>0126Y18339</v>
      </c>
      <c r="E18383" s="1" t="s">
        <v>14</v>
      </c>
      <c r="F18383" s="1" t="str">
        <f>"10.12.133.58"</f>
        <v>10.12.133.58</v>
      </c>
      <c r="G18383" s="1" t="str">
        <f>"0126Y183"</f>
        <v>0126Y183</v>
      </c>
      <c r="H18383" s="1" t="str">
        <f>"왕십리로 R13"</f>
        <v>왕십리로 R13</v>
      </c>
      <c r="I18383" s="1" t="s">
        <v>17</v>
      </c>
      <c r="J18383" s="1" t="str">
        <f>"0/0"</f>
        <v>0/0</v>
      </c>
      <c r="K18383" s="1" t="str">
        <f>"2026-07-28 13:18:01"</f>
        <v>2026-07-28 13:18:01</v>
      </c>
      <c r="L18383" s="1" t="str">
        <f>"2018-06-15 14:19:12"</f>
        <v>2018-06-15 14:19:12</v>
      </c>
      <c r="M18383" s="1" t="s">
        <v>0</v>
      </c>
      <c r="N18383" s="1" t="s">
        <v>39</v>
      </c>
      <c r="O18383" s="1" t="s">
        <v>46</v>
      </c>
    </row>
    <row r="18384" spans="2:15" x14ac:dyDescent="0.3">
      <c r="B18384" s="1" t="s">
        <v>13</v>
      </c>
      <c r="C18384" s="1" t="str">
        <f>"4차"</f>
        <v>4차</v>
      </c>
      <c r="D18384" s="1" t="str">
        <f>"0126Y45341"</f>
        <v>0126Y45341</v>
      </c>
      <c r="E18384" s="1" t="s">
        <v>10</v>
      </c>
      <c r="F18384" s="1" t="str">
        <f>"10.14.5.187"</f>
        <v>10.14.5.187</v>
      </c>
      <c r="G18384" s="1" t="str">
        <f>"0126Y453"</f>
        <v>0126Y453</v>
      </c>
      <c r="H18384" s="1" t="str">
        <f>"왕십리간 53L5R5"</f>
        <v>왕십리간 53L5R5</v>
      </c>
      <c r="I18384" s="1" t="s">
        <v>17</v>
      </c>
      <c r="J18384" s="1" t="str">
        <f>"111/111"</f>
        <v>111/111</v>
      </c>
      <c r="K18384" s="1" t="str">
        <f>"2026-07-29 13:18:02"</f>
        <v>2026-07-29 13:18:02</v>
      </c>
      <c r="L18384" s="1" t="str">
        <f>"2021-10-21 08:36:48"</f>
        <v>2021-10-21 08:36:48</v>
      </c>
      <c r="M18384" s="1" t="s">
        <v>3</v>
      </c>
      <c r="N18384" s="1" t="s">
        <v>38</v>
      </c>
      <c r="O18384" s="1" t="s">
        <v>46</v>
      </c>
    </row>
    <row r="18385" spans="2:15" x14ac:dyDescent="0.3">
      <c r="B18385" s="1" t="s">
        <v>13</v>
      </c>
      <c r="C18385" s="1" t="str">
        <f>"5-2차"</f>
        <v>5-2차</v>
      </c>
      <c r="D18385" s="1" t="str">
        <f>"0126Y4545M"</f>
        <v>0126Y4545M</v>
      </c>
      <c r="E18385" s="1" t="s">
        <v>10</v>
      </c>
      <c r="F18385" s="1" t="str">
        <f>"fde3:102:1305:2000:0:0:0:2"</f>
        <v>fde3:102:1305:2000:0:0:0:2</v>
      </c>
      <c r="G18385" s="1" t="str">
        <f>"0126Y454"</f>
        <v>0126Y454</v>
      </c>
      <c r="H18385" s="1" t="str">
        <f>"왕십리간 53L5R6"</f>
        <v>왕십리간 53L5R6</v>
      </c>
      <c r="I18385" s="1" t="s">
        <v>15</v>
      </c>
      <c r="J18385" s="1" t="str">
        <f>"38/38"</f>
        <v>38/38</v>
      </c>
      <c r="K18385" s="1" t="str">
        <f>"2026-07-29 14:20:07"</f>
        <v>2026-07-29 14:20:07</v>
      </c>
      <c r="L18385" s="1" t="str">
        <f>"2023-06-13 18:20:56"</f>
        <v>2023-06-13 18:20:56</v>
      </c>
      <c r="M18385" s="1" t="s">
        <v>45</v>
      </c>
      <c r="N18385" s="1" t="s">
        <v>38</v>
      </c>
      <c r="O18385" s="1" t="s">
        <v>46</v>
      </c>
    </row>
    <row r="18386" spans="2:15" x14ac:dyDescent="0.3">
      <c r="B18386" s="1" t="s">
        <v>13</v>
      </c>
      <c r="C18386" s="1" t="str">
        <f>"4차"</f>
        <v>4차</v>
      </c>
      <c r="D18386" s="1" t="str">
        <f>"0126Y46144"</f>
        <v>0126Y46144</v>
      </c>
      <c r="E18386" s="1" t="s">
        <v>10</v>
      </c>
      <c r="F18386" s="1" t="str">
        <f>"10.89.32.47"</f>
        <v>10.89.32.47</v>
      </c>
      <c r="G18386" s="1" t="str">
        <f>"0126Y461"</f>
        <v>0126Y461</v>
      </c>
      <c r="H18386" s="1" t="str">
        <f>"왕십리간 53L5R3"</f>
        <v>왕십리간 53L5R3</v>
      </c>
      <c r="I18386" s="1" t="s">
        <v>8</v>
      </c>
      <c r="J18386" s="1" t="str">
        <f>"55/55"</f>
        <v>55/55</v>
      </c>
      <c r="K18386" s="1" t="str">
        <f>"2026-07-29 13:18:01"</f>
        <v>2026-07-29 13:18:01</v>
      </c>
      <c r="L18386" s="1" t="str">
        <f>"2023-07-20 17:42:20"</f>
        <v>2023-07-20 17:42:20</v>
      </c>
      <c r="M18386" s="1" t="s">
        <v>45</v>
      </c>
      <c r="N18386" s="1" t="s">
        <v>38</v>
      </c>
      <c r="O18386" s="1" t="s">
        <v>46</v>
      </c>
    </row>
    <row r="18387" spans="2:15" x14ac:dyDescent="0.3">
      <c r="B18387" s="1" t="s">
        <v>13</v>
      </c>
      <c r="C18387" s="1" t="str">
        <f>"4차"</f>
        <v>4차</v>
      </c>
      <c r="D18387" s="1" t="str">
        <f>"0126Y47139"</f>
        <v>0126Y47139</v>
      </c>
      <c r="E18387" s="1" t="s">
        <v>10</v>
      </c>
      <c r="F18387" s="1" t="str">
        <f>"10.12.133.57"</f>
        <v>10.12.133.57</v>
      </c>
      <c r="G18387" s="1" t="str">
        <f>"0126Y471"</f>
        <v>0126Y471</v>
      </c>
      <c r="H18387" s="1" t="str">
        <f>"왕십리로 R16-1"</f>
        <v>왕십리로 R16-1</v>
      </c>
      <c r="I18387" s="1" t="s">
        <v>17</v>
      </c>
      <c r="J18387" s="1" t="str">
        <f>"3/3"</f>
        <v>3/3</v>
      </c>
      <c r="K18387" s="1" t="str">
        <f>"2026-07-29 07:18:02"</f>
        <v>2026-07-29 07:18:02</v>
      </c>
      <c r="L18387" s="1" t="str">
        <f>"2018-06-15 14:33:58"</f>
        <v>2018-06-15 14:33:58</v>
      </c>
      <c r="M18387" s="1" t="s">
        <v>0</v>
      </c>
      <c r="N18387" s="1" t="s">
        <v>38</v>
      </c>
      <c r="O18387" s="1" t="s">
        <v>46</v>
      </c>
    </row>
    <row r="18388" spans="2:15" x14ac:dyDescent="0.3">
      <c r="B18388" s="1" t="s">
        <v>13</v>
      </c>
      <c r="C18388" s="1" t="str">
        <f>"6차"</f>
        <v>6차</v>
      </c>
      <c r="D18388" s="1" t="str">
        <f>"0126Y5636S"</f>
        <v>0126Y5636S</v>
      </c>
      <c r="E18388" s="1" t="s">
        <v>10</v>
      </c>
      <c r="F18388" s="1" t="str">
        <f>"fde1:103:4:c63e:0:0:0:2"</f>
        <v>fde1:103:4:c63e:0:0:0:2</v>
      </c>
      <c r="G18388" s="1" t="str">
        <f>"0126Y563"</f>
        <v>0126Y563</v>
      </c>
      <c r="H18388" s="1" t="str">
        <f>"왕십리간 53L5R3L1"</f>
        <v>왕십리간 53L5R3L1</v>
      </c>
      <c r="I18388" s="1" t="s">
        <v>15</v>
      </c>
      <c r="J18388" s="1" t="str">
        <f>"55/55"</f>
        <v>55/55</v>
      </c>
      <c r="K18388" s="1" t="str">
        <f>"2026-07-29 14:20:01"</f>
        <v>2026-07-29 14:20:01</v>
      </c>
      <c r="L18388" s="1" t="str">
        <f>"2024-11-20 10:31:52"</f>
        <v>2024-11-20 10:31:52</v>
      </c>
      <c r="M18388" s="1" t="s">
        <v>4</v>
      </c>
      <c r="N18388" s="1" t="s">
        <v>38</v>
      </c>
      <c r="O18388" s="1" t="s">
        <v>46</v>
      </c>
    </row>
    <row r="18389" spans="2:15" x14ac:dyDescent="0.3">
      <c r="B18389" s="1" t="s">
        <v>13</v>
      </c>
      <c r="C18389" s="1" t="str">
        <f>"4차"</f>
        <v>4차</v>
      </c>
      <c r="D18389" s="1" t="str">
        <f>"0127R00329"</f>
        <v>0127R00329</v>
      </c>
      <c r="E18389" s="1" t="s">
        <v>10</v>
      </c>
      <c r="F18389" s="1" t="str">
        <f>"10.11.2.154"</f>
        <v>10.11.2.154</v>
      </c>
      <c r="G18389" s="1" t="str">
        <f>"0127R003"</f>
        <v>0127R003</v>
      </c>
      <c r="H18389" s="1" t="str">
        <f>"석산지 30"</f>
        <v>석산지 30</v>
      </c>
      <c r="I18389" s="1" t="s">
        <v>8</v>
      </c>
      <c r="J18389" s="1" t="str">
        <f>"15/15"</f>
        <v>15/15</v>
      </c>
      <c r="K18389" s="1" t="str">
        <f>"2026-07-29 13:18:01"</f>
        <v>2026-07-29 13:18:01</v>
      </c>
      <c r="L18389" s="1" t="str">
        <f>"2017-06-22 12:03:39"</f>
        <v>2017-06-22 12:03:39</v>
      </c>
      <c r="M18389" s="1" t="s">
        <v>2</v>
      </c>
      <c r="N18389" s="1" t="s">
        <v>38</v>
      </c>
      <c r="O18389" s="1" t="s">
        <v>46</v>
      </c>
    </row>
    <row r="18390" spans="2:15" x14ac:dyDescent="0.3">
      <c r="B18390" s="1" t="s">
        <v>13</v>
      </c>
      <c r="C18390" s="1" t="str">
        <f t="shared" ref="C18390:C18397" si="915">"2차"</f>
        <v>2차</v>
      </c>
      <c r="D18390" s="1" t="str">
        <f>"0127R21120"</f>
        <v>0127R21120</v>
      </c>
      <c r="E18390" s="1" t="s">
        <v>10</v>
      </c>
      <c r="F18390" s="1" t="str">
        <f>"10.11.2.146"</f>
        <v>10.11.2.146</v>
      </c>
      <c r="G18390" s="1" t="str">
        <f>"0127R211"</f>
        <v>0127R211</v>
      </c>
      <c r="H18390" s="1" t="str">
        <f>"석산지 25"</f>
        <v>석산지 25</v>
      </c>
      <c r="I18390" s="1" t="s">
        <v>8</v>
      </c>
      <c r="J18390" s="1" t="str">
        <f>"41/47"</f>
        <v>41/47</v>
      </c>
      <c r="K18390" s="1" t="str">
        <f>"2026-07-29 13:18:01"</f>
        <v>2026-07-29 13:18:01</v>
      </c>
      <c r="L18390" s="1" t="str">
        <f>"2017-06-22 11:53:39"</f>
        <v>2017-06-22 11:53:39</v>
      </c>
      <c r="M18390" s="1" t="s">
        <v>2</v>
      </c>
      <c r="N18390" s="1" t="s">
        <v>38</v>
      </c>
      <c r="O18390" s="1" t="s">
        <v>46</v>
      </c>
    </row>
    <row r="18391" spans="2:15" x14ac:dyDescent="0.3">
      <c r="B18391" s="1" t="s">
        <v>13</v>
      </c>
      <c r="C18391" s="1" t="str">
        <f t="shared" si="915"/>
        <v>2차</v>
      </c>
      <c r="D18391" s="1" t="str">
        <f>"0127R30121"</f>
        <v>0127R30121</v>
      </c>
      <c r="E18391" s="1" t="s">
        <v>10</v>
      </c>
      <c r="F18391" s="1" t="str">
        <f>"10.11.2.147"</f>
        <v>10.11.2.147</v>
      </c>
      <c r="G18391" s="1" t="str">
        <f>"0127R301"</f>
        <v>0127R301</v>
      </c>
      <c r="H18391" s="1" t="str">
        <f>"석산지 23"</f>
        <v>석산지 23</v>
      </c>
      <c r="I18391" s="1" t="s">
        <v>8</v>
      </c>
      <c r="J18391" s="1" t="str">
        <f>"29/29"</f>
        <v>29/29</v>
      </c>
      <c r="K18391" s="1" t="str">
        <f>"2026-07-29 13:18:01"</f>
        <v>2026-07-29 13:18:01</v>
      </c>
      <c r="L18391" s="1" t="str">
        <f>"2017-06-22 12:17:11"</f>
        <v>2017-06-22 12:17:11</v>
      </c>
      <c r="M18391" s="1" t="s">
        <v>2</v>
      </c>
      <c r="N18391" s="1" t="s">
        <v>38</v>
      </c>
      <c r="O18391" s="1" t="s">
        <v>46</v>
      </c>
    </row>
    <row r="18392" spans="2:15" x14ac:dyDescent="0.3">
      <c r="B18392" s="1" t="s">
        <v>13</v>
      </c>
      <c r="C18392" s="1" t="str">
        <f t="shared" si="915"/>
        <v>2차</v>
      </c>
      <c r="D18392" s="1" t="str">
        <f>"0127R40122"</f>
        <v>0127R40122</v>
      </c>
      <c r="E18392" s="1" t="s">
        <v>10</v>
      </c>
      <c r="F18392" s="1" t="str">
        <f>"10.11.2.116"</f>
        <v>10.11.2.116</v>
      </c>
      <c r="G18392" s="1" t="str">
        <f>"0127R401"</f>
        <v>0127R401</v>
      </c>
      <c r="H18392" s="1" t="str">
        <f>"석산지 22"</f>
        <v>석산지 22</v>
      </c>
      <c r="I18392" s="1" t="s">
        <v>8</v>
      </c>
      <c r="J18392" s="1" t="str">
        <f>"51/59"</f>
        <v>51/59</v>
      </c>
      <c r="K18392" s="1" t="str">
        <f>"2026-07-29 13:18:02"</f>
        <v>2026-07-29 13:18:02</v>
      </c>
      <c r="L18392" s="1" t="str">
        <f>"2017-06-21 17:26:41"</f>
        <v>2017-06-21 17:26:41</v>
      </c>
      <c r="M18392" s="1" t="s">
        <v>2</v>
      </c>
      <c r="N18392" s="1" t="s">
        <v>38</v>
      </c>
      <c r="O18392" s="1" t="s">
        <v>46</v>
      </c>
    </row>
    <row r="18393" spans="2:15" x14ac:dyDescent="0.3">
      <c r="B18393" s="1" t="s">
        <v>13</v>
      </c>
      <c r="C18393" s="1" t="str">
        <f t="shared" si="915"/>
        <v>2차</v>
      </c>
      <c r="D18393" s="1" t="str">
        <f>"0127R50420"</f>
        <v>0127R50420</v>
      </c>
      <c r="E18393" s="1" t="s">
        <v>10</v>
      </c>
      <c r="F18393" s="1" t="str">
        <f>"10.11.2.114"</f>
        <v>10.11.2.114</v>
      </c>
      <c r="G18393" s="1" t="str">
        <f>"0127R504"</f>
        <v>0127R504</v>
      </c>
      <c r="H18393" s="1" t="str">
        <f>"석산지 21"</f>
        <v>석산지 21</v>
      </c>
      <c r="I18393" s="1" t="s">
        <v>8</v>
      </c>
      <c r="J18393" s="1" t="str">
        <f>"30/30"</f>
        <v>30/30</v>
      </c>
      <c r="K18393" s="1" t="str">
        <f>"2026-07-29 13:18:02"</f>
        <v>2026-07-29 13:18:02</v>
      </c>
      <c r="L18393" s="1" t="str">
        <f>"2017-06-21 17:25:39"</f>
        <v>2017-06-21 17:25:39</v>
      </c>
      <c r="M18393" s="1" t="s">
        <v>2</v>
      </c>
      <c r="N18393" s="1" t="s">
        <v>38</v>
      </c>
      <c r="O18393" s="1" t="s">
        <v>46</v>
      </c>
    </row>
    <row r="18394" spans="2:15" x14ac:dyDescent="0.3">
      <c r="B18394" s="1" t="s">
        <v>13</v>
      </c>
      <c r="C18394" s="1" t="str">
        <f t="shared" si="915"/>
        <v>2차</v>
      </c>
      <c r="D18394" s="1" t="str">
        <f>"0127R53329"</f>
        <v>0127R53329</v>
      </c>
      <c r="E18394" s="1" t="s">
        <v>14</v>
      </c>
      <c r="F18394" s="1" t="str">
        <f>"10.11.2.122"</f>
        <v>10.11.2.122</v>
      </c>
      <c r="G18394" s="1" t="str">
        <f>"0127R533"</f>
        <v>0127R533</v>
      </c>
      <c r="H18394" s="1" t="str">
        <f>"석산지 21R2L3"</f>
        <v>석산지 21R2L3</v>
      </c>
      <c r="I18394" s="1" t="s">
        <v>8</v>
      </c>
      <c r="J18394" s="1" t="str">
        <f>"0/0"</f>
        <v>0/0</v>
      </c>
      <c r="K18394" s="4" t="str">
        <f>"2026-07-29 13:18:01"</f>
        <v>2026-07-29 13:18:01</v>
      </c>
      <c r="L18394" s="1" t="str">
        <f>"2017-06-24 16:24:38"</f>
        <v>2017-06-24 16:24:38</v>
      </c>
      <c r="M18394" s="1" t="s">
        <v>2</v>
      </c>
      <c r="N18394" s="1" t="s">
        <v>38</v>
      </c>
      <c r="O18394" s="1" t="s">
        <v>44</v>
      </c>
    </row>
    <row r="18395" spans="2:15" x14ac:dyDescent="0.3">
      <c r="B18395" s="1" t="s">
        <v>13</v>
      </c>
      <c r="C18395" s="1" t="str">
        <f t="shared" si="915"/>
        <v>2차</v>
      </c>
      <c r="D18395" s="1" t="str">
        <f>"0127R61229"</f>
        <v>0127R61229</v>
      </c>
      <c r="E18395" s="1" t="s">
        <v>10</v>
      </c>
      <c r="F18395" s="1" t="str">
        <f>"10.11.9.74"</f>
        <v>10.11.9.74</v>
      </c>
      <c r="G18395" s="1" t="str">
        <f>"0127R612"</f>
        <v>0127R612</v>
      </c>
      <c r="H18395" s="1" t="str">
        <f>"석산지 21R2L1"</f>
        <v>석산지 21R2L1</v>
      </c>
      <c r="I18395" s="1" t="s">
        <v>8</v>
      </c>
      <c r="J18395" s="1" t="str">
        <f>"15/15"</f>
        <v>15/15</v>
      </c>
      <c r="K18395" s="1" t="str">
        <f>"2026-07-29 13:18:02"</f>
        <v>2026-07-29 13:18:02</v>
      </c>
      <c r="L18395" s="1" t="str">
        <f>"2017-06-22 11:01:01"</f>
        <v>2017-06-22 11:01:01</v>
      </c>
      <c r="M18395" s="1" t="s">
        <v>2</v>
      </c>
      <c r="N18395" s="1" t="s">
        <v>38</v>
      </c>
      <c r="O18395" s="1" t="s">
        <v>46</v>
      </c>
    </row>
    <row r="18396" spans="2:15" x14ac:dyDescent="0.3">
      <c r="B18396" s="1" t="s">
        <v>13</v>
      </c>
      <c r="C18396" s="1" t="str">
        <f t="shared" si="915"/>
        <v>2차</v>
      </c>
      <c r="D18396" s="1" t="str">
        <f>"0127R70229"</f>
        <v>0127R70229</v>
      </c>
      <c r="E18396" s="1" t="s">
        <v>10</v>
      </c>
      <c r="F18396" s="1" t="str">
        <f>"10.11.2.130"</f>
        <v>10.11.2.130</v>
      </c>
      <c r="G18396" s="1" t="str">
        <f>"0127R702"</f>
        <v>0127R702</v>
      </c>
      <c r="H18396" s="1" t="str">
        <f>"석산지 21R4"</f>
        <v>석산지 21R4</v>
      </c>
      <c r="I18396" s="1" t="s">
        <v>8</v>
      </c>
      <c r="J18396" s="1" t="str">
        <f>"25/26"</f>
        <v>25/26</v>
      </c>
      <c r="K18396" s="1" t="str">
        <f>"2026-07-29 13:18:02"</f>
        <v>2026-07-29 13:18:02</v>
      </c>
      <c r="L18396" s="1" t="str">
        <f>"2017-06-21 17:41:01"</f>
        <v>2017-06-21 17:41:01</v>
      </c>
      <c r="M18396" s="1" t="s">
        <v>2</v>
      </c>
      <c r="N18396" s="1" t="s">
        <v>38</v>
      </c>
      <c r="O18396" s="1" t="s">
        <v>46</v>
      </c>
    </row>
    <row r="18397" spans="2:15" x14ac:dyDescent="0.3">
      <c r="B18397" s="1" t="s">
        <v>13</v>
      </c>
      <c r="C18397" s="1" t="str">
        <f t="shared" si="915"/>
        <v>2차</v>
      </c>
      <c r="D18397" s="1" t="str">
        <f>"0127R81129"</f>
        <v>0127R81129</v>
      </c>
      <c r="E18397" s="1" t="s">
        <v>10</v>
      </c>
      <c r="F18397" s="1" t="str">
        <f>"10.11.2.138"</f>
        <v>10.11.2.138</v>
      </c>
      <c r="G18397" s="1" t="str">
        <f>"0127R811"</f>
        <v>0127R811</v>
      </c>
      <c r="H18397" s="1" t="str">
        <f>"석산지 21R8"</f>
        <v>석산지 21R8</v>
      </c>
      <c r="I18397" s="1" t="s">
        <v>8</v>
      </c>
      <c r="J18397" s="1" t="str">
        <f>"26/26"</f>
        <v>26/26</v>
      </c>
      <c r="K18397" s="1" t="str">
        <f>"2026-07-29 13:18:02"</f>
        <v>2026-07-29 13:18:02</v>
      </c>
      <c r="L18397" s="1" t="str">
        <f>"2017-07-14 15:22:39"</f>
        <v>2017-07-14 15:22:39</v>
      </c>
      <c r="M18397" s="1" t="s">
        <v>2</v>
      </c>
      <c r="N18397" s="1" t="s">
        <v>38</v>
      </c>
      <c r="O18397" s="1" t="s">
        <v>46</v>
      </c>
    </row>
    <row r="18398" spans="2:15" x14ac:dyDescent="0.3">
      <c r="B18398" s="1" t="s">
        <v>13</v>
      </c>
      <c r="C18398" s="1" t="str">
        <f>"1차"</f>
        <v>1차</v>
      </c>
      <c r="D18398" s="1" t="str">
        <f>"9825F23100"</f>
        <v>9825F23100</v>
      </c>
      <c r="E18398" s="1" t="s">
        <v>10</v>
      </c>
      <c r="F18398" s="1" t="str">
        <f>"10.89.32.50"</f>
        <v>10.89.32.50</v>
      </c>
      <c r="G18398" s="1" t="str">
        <f>"9825F231"</f>
        <v>9825F231</v>
      </c>
      <c r="H18398" s="1" t="str">
        <f>"중림지 15L6R3"</f>
        <v>중림지 15L6R3</v>
      </c>
      <c r="I18398" s="1" t="s">
        <v>8</v>
      </c>
      <c r="J18398" s="1" t="str">
        <f>"23/23"</f>
        <v>23/23</v>
      </c>
      <c r="K18398" s="1" t="str">
        <f>"2026-07-29 13:18:12"</f>
        <v>2026-07-29 13:18:12</v>
      </c>
      <c r="L18398" s="1" t="str">
        <f>"2014-10-14 00:13:40"</f>
        <v>2014-10-14 00:13:40</v>
      </c>
      <c r="M18398" s="1" t="s">
        <v>45</v>
      </c>
      <c r="N18398" s="1" t="s">
        <v>38</v>
      </c>
      <c r="O18398" s="1" t="s">
        <v>46</v>
      </c>
    </row>
    <row r="18399" spans="2:15" x14ac:dyDescent="0.3">
      <c r="B18399" s="1" t="s">
        <v>13</v>
      </c>
      <c r="C18399" s="1" t="str">
        <f>"1차"</f>
        <v>1차</v>
      </c>
      <c r="D18399" s="1" t="str">
        <f>"9825F23201"</f>
        <v>9825F23201</v>
      </c>
      <c r="E18399" s="1" t="s">
        <v>10</v>
      </c>
      <c r="F18399" s="1" t="str">
        <f>"10.89.32.51"</f>
        <v>10.89.32.51</v>
      </c>
      <c r="G18399" s="1" t="str">
        <f>"9825F232"</f>
        <v>9825F232</v>
      </c>
      <c r="H18399" s="1" t="str">
        <f>"중림지 15L9R7L1"</f>
        <v>중림지 15L9R7L1</v>
      </c>
      <c r="I18399" s="1" t="s">
        <v>8</v>
      </c>
      <c r="J18399" s="1" t="str">
        <f>"25/25"</f>
        <v>25/25</v>
      </c>
      <c r="K18399" s="1" t="str">
        <f>"2026-07-29 13:18:12"</f>
        <v>2026-07-29 13:18:12</v>
      </c>
      <c r="L18399" s="1" t="str">
        <f>"2014-10-13 00:14:29"</f>
        <v>2014-10-13 00:14:29</v>
      </c>
      <c r="M18399" s="1" t="s">
        <v>45</v>
      </c>
      <c r="N18399" s="1" t="s">
        <v>38</v>
      </c>
      <c r="O18399" s="1" t="s">
        <v>46</v>
      </c>
    </row>
    <row r="18400" spans="2:15" x14ac:dyDescent="0.3">
      <c r="B18400" s="1" t="s">
        <v>13</v>
      </c>
      <c r="C18400" s="1" t="str">
        <f>"1차"</f>
        <v>1차</v>
      </c>
      <c r="D18400" s="1" t="str">
        <f>"9825F24201"</f>
        <v>9825F24201</v>
      </c>
      <c r="E18400" s="1" t="s">
        <v>10</v>
      </c>
      <c r="F18400" s="1" t="str">
        <f>"10.89.32.52"</f>
        <v>10.89.32.52</v>
      </c>
      <c r="G18400" s="1" t="str">
        <f>"9825F242"</f>
        <v>9825F242</v>
      </c>
      <c r="H18400" s="1" t="str">
        <f>"중림지 15L9R8"</f>
        <v>중림지 15L9R8</v>
      </c>
      <c r="I18400" s="1" t="s">
        <v>8</v>
      </c>
      <c r="J18400" s="1" t="str">
        <f>"58/59"</f>
        <v>58/59</v>
      </c>
      <c r="K18400" s="1" t="str">
        <f>"2026-07-29 13:18:12"</f>
        <v>2026-07-29 13:18:12</v>
      </c>
      <c r="L18400" s="1" t="str">
        <f>"2014-10-14 00:13:48"</f>
        <v>2014-10-14 00:13:48</v>
      </c>
      <c r="M18400" s="1" t="s">
        <v>45</v>
      </c>
      <c r="N18400" s="1" t="s">
        <v>38</v>
      </c>
      <c r="O18400" s="1" t="s">
        <v>46</v>
      </c>
    </row>
    <row r="18401" spans="2:15" x14ac:dyDescent="0.3">
      <c r="B18401" s="1" t="s">
        <v>13</v>
      </c>
      <c r="C18401" s="1" t="str">
        <f>"2차"</f>
        <v>2차</v>
      </c>
      <c r="D18401" s="1" t="str">
        <f>"9825F31129"</f>
        <v>9825F31129</v>
      </c>
      <c r="E18401" s="1" t="s">
        <v>10</v>
      </c>
      <c r="F18401" s="1" t="str">
        <f>"10.11.5.50"</f>
        <v>10.11.5.50</v>
      </c>
      <c r="G18401" s="1" t="str">
        <f>"9825F311"</f>
        <v>9825F311</v>
      </c>
      <c r="H18401" s="1" t="str">
        <f>"중림지 15L5"</f>
        <v>중림지 15L5</v>
      </c>
      <c r="I18401" s="1" t="s">
        <v>8</v>
      </c>
      <c r="J18401" s="1" t="str">
        <f>"32/32"</f>
        <v>32/32</v>
      </c>
      <c r="K18401" s="1" t="str">
        <f>"2026-07-29 13:18:12"</f>
        <v>2026-07-29 13:18:12</v>
      </c>
      <c r="L18401" s="1" t="str">
        <f>"2017-07-25 13:18:08"</f>
        <v>2017-07-25 13:18:08</v>
      </c>
      <c r="M18401" s="1" t="s">
        <v>2</v>
      </c>
      <c r="N18401" s="1" t="s">
        <v>38</v>
      </c>
      <c r="O18401" s="1" t="s">
        <v>46</v>
      </c>
    </row>
    <row r="18402" spans="2:15" x14ac:dyDescent="0.3">
      <c r="B18402" s="1" t="s">
        <v>13</v>
      </c>
      <c r="C18402" s="1" t="str">
        <f>"2차"</f>
        <v>2차</v>
      </c>
      <c r="D18402" s="1" t="str">
        <f>"9825F31329"</f>
        <v>9825F31329</v>
      </c>
      <c r="E18402" s="1" t="s">
        <v>10</v>
      </c>
      <c r="F18402" s="1" t="str">
        <f>"10.11.9.218"</f>
        <v>10.11.9.218</v>
      </c>
      <c r="G18402" s="1" t="str">
        <f>"9825F313"</f>
        <v>9825F313</v>
      </c>
      <c r="H18402" s="1" t="str">
        <f>"중림지 15L9R4"</f>
        <v>중림지 15L9R4</v>
      </c>
      <c r="I18402" s="1" t="s">
        <v>8</v>
      </c>
      <c r="J18402" s="1" t="str">
        <f>"22/22"</f>
        <v>22/22</v>
      </c>
      <c r="K18402" s="1" t="str">
        <f>"2026-07-29 13:18:12"</f>
        <v>2026-07-29 13:18:12</v>
      </c>
      <c r="L18402" s="1" t="str">
        <f>"2017-07-25 13:03:53"</f>
        <v>2017-07-25 13:03:53</v>
      </c>
      <c r="M18402" s="1" t="s">
        <v>2</v>
      </c>
      <c r="N18402" s="1" t="s">
        <v>38</v>
      </c>
      <c r="O18402" s="1" t="s">
        <v>46</v>
      </c>
    </row>
    <row r="18403" spans="2:15" x14ac:dyDescent="0.3">
      <c r="B18403" s="1" t="s">
        <v>13</v>
      </c>
      <c r="C18403" s="1" t="str">
        <f>"5-1차"</f>
        <v>5-1차</v>
      </c>
      <c r="D18403" s="1" t="str">
        <f>"9825F3225S"</f>
        <v>9825F3225S</v>
      </c>
      <c r="E18403" s="1" t="s">
        <v>10</v>
      </c>
      <c r="F18403" s="1" t="str">
        <f>"fde2:104:0:1ab:0:0:0:2"</f>
        <v>fde2:104:0:1ab:0:0:0:2</v>
      </c>
      <c r="G18403" s="1" t="str">
        <f>"9825F322"</f>
        <v>9825F322</v>
      </c>
      <c r="H18403" s="1" t="str">
        <f>"중림지 15L9R5"</f>
        <v>중림지 15L9R5</v>
      </c>
      <c r="I18403" s="1" t="s">
        <v>15</v>
      </c>
      <c r="J18403" s="1" t="str">
        <f>"32/32"</f>
        <v>32/32</v>
      </c>
      <c r="K18403" s="1" t="str">
        <f>"2026-07-29 14:21:28"</f>
        <v>2026-07-29 14:21:28</v>
      </c>
      <c r="L18403" s="1" t="str">
        <f>"2022-11-16 14:42:52"</f>
        <v>2022-11-16 14:42:52</v>
      </c>
      <c r="M18403" s="1" t="s">
        <v>42</v>
      </c>
      <c r="N18403" s="1" t="s">
        <v>38</v>
      </c>
      <c r="O18403" s="1" t="s">
        <v>46</v>
      </c>
    </row>
    <row r="18404" spans="2:15" x14ac:dyDescent="0.3">
      <c r="B18404" s="1" t="s">
        <v>13</v>
      </c>
      <c r="C18404" s="1" t="str">
        <f>"1차"</f>
        <v>1차</v>
      </c>
      <c r="D18404" s="1" t="str">
        <f>"9825F33100"</f>
        <v>9825F33100</v>
      </c>
      <c r="E18404" s="1" t="s">
        <v>10</v>
      </c>
      <c r="F18404" s="1" t="str">
        <f>"10.89.32.71"</f>
        <v>10.89.32.71</v>
      </c>
      <c r="G18404" s="1" t="str">
        <f>"9825F331"</f>
        <v>9825F331</v>
      </c>
      <c r="H18404" s="1" t="str">
        <f>"중림지 15L9R6"</f>
        <v>중림지 15L9R6</v>
      </c>
      <c r="I18404" s="1" t="s">
        <v>8</v>
      </c>
      <c r="J18404" s="1" t="str">
        <f>"12/12"</f>
        <v>12/12</v>
      </c>
      <c r="K18404" s="1" t="str">
        <f>"2026-07-29 13:18:12"</f>
        <v>2026-07-29 13:18:12</v>
      </c>
      <c r="L18404" s="1" t="str">
        <f>"2014-10-10 11:49:56"</f>
        <v>2014-10-10 11:49:56</v>
      </c>
      <c r="M18404" s="1" t="s">
        <v>45</v>
      </c>
      <c r="N18404" s="1" t="s">
        <v>38</v>
      </c>
      <c r="O18404" s="1" t="s">
        <v>46</v>
      </c>
    </row>
    <row r="18405" spans="2:15" x14ac:dyDescent="0.3">
      <c r="B18405" s="1" t="s">
        <v>13</v>
      </c>
      <c r="C18405" s="1" t="str">
        <f>"2차"</f>
        <v>2차</v>
      </c>
      <c r="D18405" s="1" t="str">
        <f>"9825F41120"</f>
        <v>9825F41120</v>
      </c>
      <c r="E18405" s="1" t="s">
        <v>10</v>
      </c>
      <c r="F18405" s="1" t="str">
        <f>"10.11.5.58"</f>
        <v>10.11.5.58</v>
      </c>
      <c r="G18405" s="1" t="str">
        <f>"9825F411"</f>
        <v>9825F411</v>
      </c>
      <c r="H18405" s="1" t="str">
        <f>"중림지 15L9R2"</f>
        <v>중림지 15L9R2</v>
      </c>
      <c r="I18405" s="1" t="s">
        <v>8</v>
      </c>
      <c r="J18405" s="1" t="str">
        <f>"1/2"</f>
        <v>1/2</v>
      </c>
      <c r="K18405" s="1" t="str">
        <f>"2026-07-29 13:18:12"</f>
        <v>2026-07-29 13:18:12</v>
      </c>
      <c r="L18405" s="1" t="str">
        <f>"2017-06-22 17:04:57"</f>
        <v>2017-06-22 17:04:57</v>
      </c>
      <c r="M18405" s="1" t="s">
        <v>2</v>
      </c>
      <c r="N18405" s="1" t="s">
        <v>38</v>
      </c>
      <c r="O18405" s="1" t="s">
        <v>46</v>
      </c>
    </row>
    <row r="18406" spans="2:15" x14ac:dyDescent="0.3">
      <c r="B18406" s="1" t="s">
        <v>13</v>
      </c>
      <c r="C18406" s="1" t="str">
        <f>"6차"</f>
        <v>6차</v>
      </c>
      <c r="D18406" s="1" t="str">
        <f>"9825F4216S"</f>
        <v>9825F4216S</v>
      </c>
      <c r="E18406" s="1" t="s">
        <v>10</v>
      </c>
      <c r="F18406" s="1" t="str">
        <f>"fde1:103:4:9371:0:0:0:2"</f>
        <v>fde1:103:4:9371:0:0:0:2</v>
      </c>
      <c r="G18406" s="1" t="str">
        <f>"9825F421"</f>
        <v>9825F421</v>
      </c>
      <c r="H18406" s="1" t="str">
        <f>"중림지 15L5"</f>
        <v>중림지 15L5</v>
      </c>
      <c r="I18406" s="1" t="s">
        <v>15</v>
      </c>
      <c r="J18406" s="1" t="str">
        <f>"44/44"</f>
        <v>44/44</v>
      </c>
      <c r="K18406" s="1" t="str">
        <f>"2026-07-29 14:21:53"</f>
        <v>2026-07-29 14:21:53</v>
      </c>
      <c r="L18406" s="1" t="str">
        <f>"2025-02-11 18:05:54"</f>
        <v>2025-02-11 18:05:54</v>
      </c>
      <c r="M18406" s="1" t="s">
        <v>4</v>
      </c>
      <c r="N18406" s="1" t="s">
        <v>38</v>
      </c>
      <c r="O18406" s="1" t="s">
        <v>46</v>
      </c>
    </row>
    <row r="18407" spans="2:15" x14ac:dyDescent="0.3">
      <c r="B18407" s="1" t="s">
        <v>13</v>
      </c>
      <c r="C18407" s="1" t="str">
        <f>"4차"</f>
        <v>4차</v>
      </c>
      <c r="D18407" s="1" t="str">
        <f>"9825F43144"</f>
        <v>9825F43144</v>
      </c>
      <c r="E18407" s="1" t="s">
        <v>14</v>
      </c>
      <c r="F18407" s="1" t="str">
        <f>"10.89.68.2"</f>
        <v>10.89.68.2</v>
      </c>
      <c r="G18407" s="1" t="str">
        <f>"9825F431"</f>
        <v>9825F431</v>
      </c>
      <c r="H18407" s="1" t="str">
        <f>"중림지 15L3L1"</f>
        <v>중림지 15L3L1</v>
      </c>
      <c r="I18407" s="1" t="s">
        <v>8</v>
      </c>
      <c r="J18407" s="1" t="str">
        <f>"0/0"</f>
        <v>0/0</v>
      </c>
      <c r="K18407" s="1" t="str">
        <f>"2026-07-29 13:18:12"</f>
        <v>2026-07-29 13:18:12</v>
      </c>
      <c r="L18407" s="1" t="str">
        <f>"2023-10-18 17:36:05"</f>
        <v>2023-10-18 17:36:05</v>
      </c>
      <c r="M18407" s="1" t="s">
        <v>45</v>
      </c>
      <c r="N18407" s="1" t="s">
        <v>38</v>
      </c>
      <c r="O18407" s="1" t="s">
        <v>797</v>
      </c>
    </row>
    <row r="18408" spans="2:15" x14ac:dyDescent="0.3">
      <c r="B18408" s="1" t="s">
        <v>13</v>
      </c>
      <c r="C18408" s="1" t="str">
        <f>"4차"</f>
        <v>4차</v>
      </c>
      <c r="D18408" s="1" t="str">
        <f>"9825F45145"</f>
        <v>9825F45145</v>
      </c>
      <c r="E18408" s="1" t="s">
        <v>10</v>
      </c>
      <c r="F18408" s="1" t="str">
        <f>"10.12.133.222"</f>
        <v>10.12.133.222</v>
      </c>
      <c r="G18408" s="1" t="str">
        <f>"9825F451"</f>
        <v>9825F451</v>
      </c>
      <c r="H18408" s="1" t="str">
        <f>"충정로 1"</f>
        <v>충정로 1</v>
      </c>
      <c r="I18408" s="1" t="s">
        <v>17</v>
      </c>
      <c r="J18408" s="1" t="str">
        <f>"39/39"</f>
        <v>39/39</v>
      </c>
      <c r="K18408" s="1" t="str">
        <f>"2026-07-29 13:18:13"</f>
        <v>2026-07-29 13:18:13</v>
      </c>
      <c r="L18408" s="1" t="str">
        <f>"2025-03-21 18:20:17"</f>
        <v>2025-03-21 18:20:17</v>
      </c>
      <c r="M18408" s="1" t="s">
        <v>0</v>
      </c>
      <c r="N18408" s="1" t="s">
        <v>38</v>
      </c>
      <c r="O18408" s="1" t="s">
        <v>46</v>
      </c>
    </row>
    <row r="18409" spans="2:15" x14ac:dyDescent="0.3">
      <c r="B18409" s="1" t="s">
        <v>13</v>
      </c>
      <c r="C18409" s="1" t="str">
        <f>"2차"</f>
        <v>2차</v>
      </c>
      <c r="D18409" s="1" t="str">
        <f>"9825F51121"</f>
        <v>9825F51121</v>
      </c>
      <c r="E18409" s="1" t="s">
        <v>10</v>
      </c>
      <c r="F18409" s="1" t="str">
        <f>"10.12.130.3"</f>
        <v>10.12.130.3</v>
      </c>
      <c r="G18409" s="1" t="str">
        <f>"9825F511"</f>
        <v>9825F511</v>
      </c>
      <c r="H18409" s="1" t="str">
        <f>"중림지 15L5L2"</f>
        <v>중림지 15L5L2</v>
      </c>
      <c r="I18409" s="1" t="s">
        <v>8</v>
      </c>
      <c r="J18409" s="1" t="str">
        <f>"6/6"</f>
        <v>6/6</v>
      </c>
      <c r="K18409" s="1" t="str">
        <f>"2026-07-29 13:18:02"</f>
        <v>2026-07-29 13:18:02</v>
      </c>
      <c r="L18409" s="1" t="str">
        <f>"2017-06-22 17:11:27"</f>
        <v>2017-06-22 17:11:27</v>
      </c>
      <c r="M18409" s="1" t="s">
        <v>0</v>
      </c>
      <c r="N18409" s="1" t="s">
        <v>38</v>
      </c>
      <c r="O18409" s="1" t="s">
        <v>46</v>
      </c>
    </row>
    <row r="18410" spans="2:15" x14ac:dyDescent="0.3">
      <c r="B18410" s="1" t="s">
        <v>13</v>
      </c>
      <c r="C18410" s="1" t="str">
        <f>"6차"</f>
        <v>6차</v>
      </c>
      <c r="D18410" s="1" t="str">
        <f>"9825F5226S"</f>
        <v>9825F5226S</v>
      </c>
      <c r="E18410" s="1" t="s">
        <v>10</v>
      </c>
      <c r="F18410" s="1" t="str">
        <f>"fde1:103:4:93a5:0:0:0:2"</f>
        <v>fde1:103:4:93a5:0:0:0:2</v>
      </c>
      <c r="G18410" s="1" t="str">
        <f>"9825F522"</f>
        <v>9825F522</v>
      </c>
      <c r="H18410" s="1" t="str">
        <f>"중림지 15L6"</f>
        <v>중림지 15L6</v>
      </c>
      <c r="I18410" s="1" t="s">
        <v>15</v>
      </c>
      <c r="J18410" s="1" t="str">
        <f>"26/26"</f>
        <v>26/26</v>
      </c>
      <c r="K18410" s="1" t="str">
        <f>"2026-07-29 14:21:42"</f>
        <v>2026-07-29 14:21:42</v>
      </c>
      <c r="L18410" s="1" t="str">
        <f>"2025-02-11 18:12:58"</f>
        <v>2025-02-11 18:12:58</v>
      </c>
      <c r="M18410" s="1" t="s">
        <v>4</v>
      </c>
      <c r="N18410" s="1" t="s">
        <v>38</v>
      </c>
      <c r="O18410" s="1" t="s">
        <v>46</v>
      </c>
    </row>
    <row r="18411" spans="2:15" x14ac:dyDescent="0.3">
      <c r="B18411" s="1" t="s">
        <v>13</v>
      </c>
      <c r="C18411" s="1" t="str">
        <f>"5-2차"</f>
        <v>5-2차</v>
      </c>
      <c r="D18411" s="1" t="str">
        <f>"9825F9125S"</f>
        <v>9825F9125S</v>
      </c>
      <c r="E18411" s="1" t="s">
        <v>10</v>
      </c>
      <c r="F18411" s="1" t="str">
        <f>"fde1:103:4:55fc:0:0:0:2"</f>
        <v>fde1:103:4:55fc:0:0:0:2</v>
      </c>
      <c r="G18411" s="1" t="str">
        <f>"9825F912"</f>
        <v>9825F912</v>
      </c>
      <c r="H18411" s="1" t="str">
        <f>"중림지 4L4"</f>
        <v>중림지 4L4</v>
      </c>
      <c r="I18411" s="1" t="s">
        <v>15</v>
      </c>
      <c r="J18411" s="1" t="str">
        <f>"53/55"</f>
        <v>53/55</v>
      </c>
      <c r="K18411" s="1" t="str">
        <f>"2026-07-29 14:21:29"</f>
        <v>2026-07-29 14:21:29</v>
      </c>
      <c r="L18411" s="1" t="str">
        <f>"2023-08-25 16:41:49"</f>
        <v>2023-08-25 16:41:49</v>
      </c>
      <c r="M18411" s="1" t="s">
        <v>4</v>
      </c>
      <c r="N18411" s="1" t="s">
        <v>38</v>
      </c>
      <c r="O18411" s="1" t="s">
        <v>46</v>
      </c>
    </row>
    <row r="18412" spans="2:15" x14ac:dyDescent="0.3">
      <c r="B18412" s="1" t="s">
        <v>13</v>
      </c>
      <c r="C18412" s="1" t="str">
        <f>"4차"</f>
        <v>4차</v>
      </c>
      <c r="D18412" s="1" t="str">
        <f>"9826E03839"</f>
        <v>9826E03839</v>
      </c>
      <c r="E18412" s="1" t="s">
        <v>10</v>
      </c>
      <c r="F18412" s="1" t="str">
        <f>"10.12.130.98"</f>
        <v>10.12.130.98</v>
      </c>
      <c r="G18412" s="1" t="str">
        <f>"9826E038"</f>
        <v>9826E038</v>
      </c>
      <c r="H18412" s="1" t="str">
        <f>"의주로 1-7"</f>
        <v>의주로 1-7</v>
      </c>
      <c r="I18412" s="1" t="s">
        <v>17</v>
      </c>
      <c r="J18412" s="1" t="str">
        <f>"28/28"</f>
        <v>28/28</v>
      </c>
      <c r="K18412" s="1" t="str">
        <f>"2026-07-29 13:18:13"</f>
        <v>2026-07-29 13:18:13</v>
      </c>
      <c r="L18412" s="1" t="str">
        <f>"2018-10-24 13:01:41"</f>
        <v>2018-10-24 13:01:41</v>
      </c>
      <c r="M18412" s="1" t="s">
        <v>0</v>
      </c>
      <c r="N18412" s="1" t="s">
        <v>38</v>
      </c>
      <c r="O18412" s="1" t="s">
        <v>46</v>
      </c>
    </row>
    <row r="18413" spans="2:15" x14ac:dyDescent="0.3">
      <c r="B18413" s="1" t="s">
        <v>13</v>
      </c>
      <c r="C18413" s="1" t="str">
        <f t="shared" ref="C18413:C18422" si="916">"2차"</f>
        <v>2차</v>
      </c>
      <c r="D18413" s="1" t="str">
        <f>"9826E32221"</f>
        <v>9826E32221</v>
      </c>
      <c r="E18413" s="1" t="s">
        <v>10</v>
      </c>
      <c r="F18413" s="1" t="str">
        <f>"10.11.7.155"</f>
        <v>10.11.7.155</v>
      </c>
      <c r="G18413" s="1" t="str">
        <f>"9826E322"</f>
        <v>9826E322</v>
      </c>
      <c r="H18413" s="1" t="str">
        <f>"현저간 12L5L3"</f>
        <v>현저간 12L5L3</v>
      </c>
      <c r="I18413" s="1" t="s">
        <v>8</v>
      </c>
      <c r="J18413" s="1" t="str">
        <f>"11/12"</f>
        <v>11/12</v>
      </c>
      <c r="K18413" s="1" t="str">
        <f>"2026-07-29 13:18:12"</f>
        <v>2026-07-29 13:18:12</v>
      </c>
      <c r="L18413" s="1" t="str">
        <f>"2017-06-01 15:29:42"</f>
        <v>2017-06-01 15:29:42</v>
      </c>
      <c r="M18413" s="1" t="s">
        <v>2</v>
      </c>
      <c r="N18413" s="1" t="s">
        <v>38</v>
      </c>
      <c r="O18413" s="1" t="s">
        <v>46</v>
      </c>
    </row>
    <row r="18414" spans="2:15" x14ac:dyDescent="0.3">
      <c r="B18414" s="1" t="s">
        <v>13</v>
      </c>
      <c r="C18414" s="1" t="str">
        <f t="shared" si="916"/>
        <v>2차</v>
      </c>
      <c r="D18414" s="1" t="str">
        <f>"9826E40120"</f>
        <v>9826E40120</v>
      </c>
      <c r="E18414" s="1" t="s">
        <v>10</v>
      </c>
      <c r="F18414" s="1" t="str">
        <f>"10.11.7.146"</f>
        <v>10.11.7.146</v>
      </c>
      <c r="G18414" s="1" t="str">
        <f>"9826E401"</f>
        <v>9826E401</v>
      </c>
      <c r="H18414" s="1" t="str">
        <f>"현저간 12L3"</f>
        <v>현저간 12L3</v>
      </c>
      <c r="I18414" s="1" t="s">
        <v>8</v>
      </c>
      <c r="J18414" s="1" t="str">
        <f>"5/5"</f>
        <v>5/5</v>
      </c>
      <c r="K18414" s="1" t="str">
        <f>"2026-07-29 13:18:12"</f>
        <v>2026-07-29 13:18:12</v>
      </c>
      <c r="L18414" s="1" t="str">
        <f>"2017-05-22 16:48:24"</f>
        <v>2017-05-22 16:48:24</v>
      </c>
      <c r="M18414" s="1" t="s">
        <v>2</v>
      </c>
      <c r="N18414" s="1" t="s">
        <v>38</v>
      </c>
      <c r="O18414" s="1" t="s">
        <v>46</v>
      </c>
    </row>
    <row r="18415" spans="2:15" x14ac:dyDescent="0.3">
      <c r="B18415" s="1" t="s">
        <v>13</v>
      </c>
      <c r="C18415" s="1" t="str">
        <f t="shared" si="916"/>
        <v>2차</v>
      </c>
      <c r="D18415" s="1" t="str">
        <f>"9826E40221"</f>
        <v>9826E40221</v>
      </c>
      <c r="E18415" s="1" t="s">
        <v>10</v>
      </c>
      <c r="F18415" s="1" t="str">
        <f>"10.11.7.147"</f>
        <v>10.11.7.147</v>
      </c>
      <c r="G18415" s="1" t="str">
        <f>"9826E402"</f>
        <v>9826E402</v>
      </c>
      <c r="H18415" s="1" t="str">
        <f>"현저간 12L3H1"</f>
        <v>현저간 12L3H1</v>
      </c>
      <c r="I18415" s="1" t="s">
        <v>8</v>
      </c>
      <c r="J18415" s="1" t="str">
        <f>"4/4"</f>
        <v>4/4</v>
      </c>
      <c r="K18415" s="1" t="str">
        <f>"2026-07-29 13:18:16"</f>
        <v>2026-07-29 13:18:16</v>
      </c>
      <c r="L18415" s="1" t="str">
        <f>"2017-06-01 15:29:04"</f>
        <v>2017-06-01 15:29:04</v>
      </c>
      <c r="M18415" s="1" t="s">
        <v>2</v>
      </c>
      <c r="N18415" s="1" t="s">
        <v>38</v>
      </c>
      <c r="O18415" s="1" t="s">
        <v>46</v>
      </c>
    </row>
    <row r="18416" spans="2:15" x14ac:dyDescent="0.3">
      <c r="B18416" s="1" t="s">
        <v>13</v>
      </c>
      <c r="C18416" s="1" t="str">
        <f t="shared" si="916"/>
        <v>2차</v>
      </c>
      <c r="D18416" s="1" t="str">
        <f>"9826E41420"</f>
        <v>9826E41420</v>
      </c>
      <c r="E18416" s="1" t="s">
        <v>10</v>
      </c>
      <c r="F18416" s="1" t="str">
        <f>"10.11.7.154"</f>
        <v>10.11.7.154</v>
      </c>
      <c r="G18416" s="1" t="str">
        <f>"9826E414"</f>
        <v>9826E414</v>
      </c>
      <c r="H18416" s="1" t="str">
        <f>"현저간 12L5L1"</f>
        <v>현저간 12L5L1</v>
      </c>
      <c r="I18416" s="1" t="s">
        <v>8</v>
      </c>
      <c r="J18416" s="1" t="str">
        <f>"7/7"</f>
        <v>7/7</v>
      </c>
      <c r="K18416" s="1" t="str">
        <f t="shared" ref="K18416:K18422" si="917">"2026-07-29 13:18:12"</f>
        <v>2026-07-29 13:18:12</v>
      </c>
      <c r="L18416" s="1" t="str">
        <f>"2017-05-22 17:34:37"</f>
        <v>2017-05-22 17:34:37</v>
      </c>
      <c r="M18416" s="1" t="s">
        <v>2</v>
      </c>
      <c r="N18416" s="1" t="s">
        <v>38</v>
      </c>
      <c r="O18416" s="1" t="s">
        <v>46</v>
      </c>
    </row>
    <row r="18417" spans="2:15" x14ac:dyDescent="0.3">
      <c r="B18417" s="1" t="s">
        <v>13</v>
      </c>
      <c r="C18417" s="1" t="str">
        <f t="shared" si="916"/>
        <v>2차</v>
      </c>
      <c r="D18417" s="1" t="str">
        <f>"9826F06329"</f>
        <v>9826F06329</v>
      </c>
      <c r="E18417" s="1" t="s">
        <v>10</v>
      </c>
      <c r="F18417" s="1" t="str">
        <f>"10.11.7.178"</f>
        <v>10.11.7.178</v>
      </c>
      <c r="G18417" s="1" t="str">
        <f>"9826F063"</f>
        <v>9826F063</v>
      </c>
      <c r="H18417" s="1" t="str">
        <f>"현저간 18L14L6R3"</f>
        <v>현저간 18L14L6R3</v>
      </c>
      <c r="I18417" s="1" t="s">
        <v>8</v>
      </c>
      <c r="J18417" s="1" t="str">
        <f>"16/16"</f>
        <v>16/16</v>
      </c>
      <c r="K18417" s="1" t="str">
        <f t="shared" si="917"/>
        <v>2026-07-29 13:18:12</v>
      </c>
      <c r="L18417" s="1" t="str">
        <f>"2017-06-01 15:26:07"</f>
        <v>2017-06-01 15:26:07</v>
      </c>
      <c r="M18417" s="1" t="s">
        <v>2</v>
      </c>
      <c r="N18417" s="1" t="s">
        <v>38</v>
      </c>
      <c r="O18417" s="1" t="s">
        <v>46</v>
      </c>
    </row>
    <row r="18418" spans="2:15" x14ac:dyDescent="0.3">
      <c r="B18418" s="1" t="s">
        <v>13</v>
      </c>
      <c r="C18418" s="1" t="str">
        <f t="shared" si="916"/>
        <v>2차</v>
      </c>
      <c r="D18418" s="1" t="str">
        <f>"9826F10120"</f>
        <v>9826F10120</v>
      </c>
      <c r="E18418" s="1" t="s">
        <v>10</v>
      </c>
      <c r="F18418" s="1" t="str">
        <f>"10.11.7.234"</f>
        <v>10.11.7.234</v>
      </c>
      <c r="G18418" s="1" t="str">
        <f>"9826F101"</f>
        <v>9826F101</v>
      </c>
      <c r="H18418" s="1" t="str">
        <f>"현저간 18L8"</f>
        <v>현저간 18L8</v>
      </c>
      <c r="I18418" s="1" t="s">
        <v>8</v>
      </c>
      <c r="J18418" s="1" t="str">
        <f>"1/1"</f>
        <v>1/1</v>
      </c>
      <c r="K18418" s="1" t="str">
        <f t="shared" si="917"/>
        <v>2026-07-29 13:18:12</v>
      </c>
      <c r="L18418" s="1" t="str">
        <f>"2017-05-22 17:33:55"</f>
        <v>2017-05-22 17:33:55</v>
      </c>
      <c r="M18418" s="1" t="s">
        <v>2</v>
      </c>
      <c r="N18418" s="1" t="s">
        <v>38</v>
      </c>
      <c r="O18418" s="1" t="s">
        <v>46</v>
      </c>
    </row>
    <row r="18419" spans="2:15" x14ac:dyDescent="0.3">
      <c r="B18419" s="1" t="s">
        <v>13</v>
      </c>
      <c r="C18419" s="1" t="str">
        <f t="shared" si="916"/>
        <v>2차</v>
      </c>
      <c r="D18419" s="1" t="str">
        <f>"9826F10221"</f>
        <v>9826F10221</v>
      </c>
      <c r="E18419" s="1" t="s">
        <v>10</v>
      </c>
      <c r="F18419" s="1" t="str">
        <f>"10.11.7.235"</f>
        <v>10.11.7.235</v>
      </c>
      <c r="G18419" s="1" t="str">
        <f>"9826F102"</f>
        <v>9826F102</v>
      </c>
      <c r="H18419" s="1" t="str">
        <f>"현저간 18L9"</f>
        <v>현저간 18L9</v>
      </c>
      <c r="I18419" s="1" t="s">
        <v>8</v>
      </c>
      <c r="J18419" s="1" t="str">
        <f>"9/10"</f>
        <v>9/10</v>
      </c>
      <c r="K18419" s="1" t="str">
        <f t="shared" si="917"/>
        <v>2026-07-29 13:18:12</v>
      </c>
      <c r="L18419" s="1" t="str">
        <f>"2017-06-01 15:34:51"</f>
        <v>2017-06-01 15:34:51</v>
      </c>
      <c r="M18419" s="1" t="s">
        <v>2</v>
      </c>
      <c r="N18419" s="1" t="s">
        <v>38</v>
      </c>
      <c r="O18419" s="1" t="s">
        <v>46</v>
      </c>
    </row>
    <row r="18420" spans="2:15" x14ac:dyDescent="0.3">
      <c r="B18420" s="1" t="s">
        <v>13</v>
      </c>
      <c r="C18420" s="1" t="str">
        <f t="shared" si="916"/>
        <v>2차</v>
      </c>
      <c r="D18420" s="1" t="str">
        <f>"9826F11121"</f>
        <v>9826F11121</v>
      </c>
      <c r="E18420" s="1" t="s">
        <v>14</v>
      </c>
      <c r="F18420" s="1" t="str">
        <f>"10.11.7.163"</f>
        <v>10.11.7.163</v>
      </c>
      <c r="G18420" s="1" t="str">
        <f>"9826F111"</f>
        <v>9826F111</v>
      </c>
      <c r="H18420" s="1" t="str">
        <f>"현저간 18L10"</f>
        <v>현저간 18L10</v>
      </c>
      <c r="I18420" s="1" t="s">
        <v>8</v>
      </c>
      <c r="J18420" s="1" t="str">
        <f>"0/0"</f>
        <v>0/0</v>
      </c>
      <c r="K18420" s="2" t="str">
        <f t="shared" si="917"/>
        <v>2026-07-29 13:18:12</v>
      </c>
      <c r="L18420" s="1" t="str">
        <f>"2017-06-01 15:29:58"</f>
        <v>2017-06-01 15:29:58</v>
      </c>
      <c r="M18420" s="1" t="s">
        <v>2</v>
      </c>
      <c r="N18420" s="1" t="s">
        <v>38</v>
      </c>
      <c r="O18420" s="1" t="s">
        <v>44</v>
      </c>
    </row>
    <row r="18421" spans="2:15" x14ac:dyDescent="0.3">
      <c r="B18421" s="1" t="s">
        <v>13</v>
      </c>
      <c r="C18421" s="1" t="str">
        <f t="shared" si="916"/>
        <v>2차</v>
      </c>
      <c r="D18421" s="1" t="str">
        <f>"9826F11220"</f>
        <v>9826F11220</v>
      </c>
      <c r="E18421" s="1" t="s">
        <v>10</v>
      </c>
      <c r="F18421" s="1" t="str">
        <f>"10.11.7.162"</f>
        <v>10.11.7.162</v>
      </c>
      <c r="G18421" s="1" t="str">
        <f>"9826F112"</f>
        <v>9826F112</v>
      </c>
      <c r="H18421" s="1" t="str">
        <f>"현저간 18L11"</f>
        <v>현저간 18L11</v>
      </c>
      <c r="I18421" s="1" t="s">
        <v>8</v>
      </c>
      <c r="J18421" s="1" t="str">
        <f>"12/12"</f>
        <v>12/12</v>
      </c>
      <c r="K18421" s="1" t="str">
        <f t="shared" si="917"/>
        <v>2026-07-29 13:18:12</v>
      </c>
      <c r="L18421" s="1" t="str">
        <f>"2017-05-22 17:35:02"</f>
        <v>2017-05-22 17:35:02</v>
      </c>
      <c r="M18421" s="1" t="s">
        <v>2</v>
      </c>
      <c r="N18421" s="1" t="s">
        <v>38</v>
      </c>
      <c r="O18421" s="1" t="s">
        <v>46</v>
      </c>
    </row>
    <row r="18422" spans="2:15" x14ac:dyDescent="0.3">
      <c r="B18422" s="1" t="s">
        <v>13</v>
      </c>
      <c r="C18422" s="1" t="str">
        <f t="shared" si="916"/>
        <v>2차</v>
      </c>
      <c r="D18422" s="1" t="str">
        <f>"9826F11322"</f>
        <v>9826F11322</v>
      </c>
      <c r="E18422" s="1" t="s">
        <v>10</v>
      </c>
      <c r="F18422" s="1" t="str">
        <f>"10.11.7.164"</f>
        <v>10.11.7.164</v>
      </c>
      <c r="G18422" s="1" t="str">
        <f>"9826F113"</f>
        <v>9826F113</v>
      </c>
      <c r="H18422" s="1" t="str">
        <f>"현저간 18L11H1"</f>
        <v>현저간 18L11H1</v>
      </c>
      <c r="I18422" s="1" t="s">
        <v>8</v>
      </c>
      <c r="J18422" s="1" t="str">
        <f>"6/6"</f>
        <v>6/6</v>
      </c>
      <c r="K18422" s="1" t="str">
        <f t="shared" si="917"/>
        <v>2026-07-29 13:18:12</v>
      </c>
      <c r="L18422" s="1" t="str">
        <f>"2017-06-01 15:30:12"</f>
        <v>2017-06-01 15:30:12</v>
      </c>
      <c r="M18422" s="1" t="s">
        <v>2</v>
      </c>
      <c r="N18422" s="1" t="s">
        <v>38</v>
      </c>
      <c r="O18422" s="1" t="s">
        <v>46</v>
      </c>
    </row>
    <row r="18423" spans="2:15" x14ac:dyDescent="0.3">
      <c r="B18423" s="1" t="s">
        <v>13</v>
      </c>
      <c r="C18423" s="1" t="s">
        <v>16</v>
      </c>
      <c r="D18423" s="1" t="str">
        <f>"9826F2015S"</f>
        <v>9826F2015S</v>
      </c>
      <c r="E18423" s="1" t="s">
        <v>10</v>
      </c>
      <c r="F18423" s="1" t="str">
        <f>"fde1:103:4:5657:0:0:0:2"</f>
        <v>fde1:103:4:5657:0:0:0:2</v>
      </c>
      <c r="G18423" s="1" t="str">
        <f>"9826F201"</f>
        <v>9826F201</v>
      </c>
      <c r="H18423" s="1" t="str">
        <f>"현저간 18L17R3"</f>
        <v>현저간 18L17R3</v>
      </c>
      <c r="I18423" s="1" t="s">
        <v>15</v>
      </c>
      <c r="J18423" s="1" t="str">
        <f>"31/31"</f>
        <v>31/31</v>
      </c>
      <c r="K18423" s="1" t="str">
        <f>"2026-07-29 14:21:31"</f>
        <v>2026-07-29 14:21:31</v>
      </c>
      <c r="L18423" s="1" t="str">
        <f>"2023-08-04 15:00:51"</f>
        <v>2023-08-04 15:00:51</v>
      </c>
      <c r="M18423" s="1" t="s">
        <v>4</v>
      </c>
      <c r="N18423" s="1" t="s">
        <v>38</v>
      </c>
      <c r="O18423" s="1" t="s">
        <v>46</v>
      </c>
    </row>
    <row r="18424" spans="2:15" x14ac:dyDescent="0.3">
      <c r="B18424" s="1" t="s">
        <v>13</v>
      </c>
      <c r="C18424" s="1" t="str">
        <f>"2차"</f>
        <v>2차</v>
      </c>
      <c r="D18424" s="1" t="str">
        <f>"9826F21120"</f>
        <v>9826F21120</v>
      </c>
      <c r="E18424" s="1" t="s">
        <v>10</v>
      </c>
      <c r="F18424" s="1" t="str">
        <f>"10.11.7.194"</f>
        <v>10.11.7.194</v>
      </c>
      <c r="G18424" s="1" t="str">
        <f>"9826F211"</f>
        <v>9826F211</v>
      </c>
      <c r="H18424" s="1" t="str">
        <f>"현저간 18L19"</f>
        <v>현저간 18L19</v>
      </c>
      <c r="I18424" s="1" t="s">
        <v>8</v>
      </c>
      <c r="J18424" s="1" t="str">
        <f>"50/50"</f>
        <v>50/50</v>
      </c>
      <c r="K18424" s="1" t="str">
        <f>"2026-07-29 13:18:12"</f>
        <v>2026-07-29 13:18:12</v>
      </c>
      <c r="L18424" s="1" t="str">
        <f>"2017-06-01 15:24:40"</f>
        <v>2017-06-01 15:24:40</v>
      </c>
      <c r="M18424" s="1" t="s">
        <v>2</v>
      </c>
      <c r="N18424" s="1" t="s">
        <v>38</v>
      </c>
      <c r="O18424" s="1" t="s">
        <v>46</v>
      </c>
    </row>
    <row r="18425" spans="2:15" x14ac:dyDescent="0.3">
      <c r="B18425" s="1" t="s">
        <v>13</v>
      </c>
      <c r="C18425" s="1" t="str">
        <f>"2차"</f>
        <v>2차</v>
      </c>
      <c r="D18425" s="1" t="str">
        <f>"9826F21420"</f>
        <v>9826F21420</v>
      </c>
      <c r="E18425" s="1" t="s">
        <v>10</v>
      </c>
      <c r="F18425" s="1" t="str">
        <f>"10.11.7.186"</f>
        <v>10.11.7.186</v>
      </c>
      <c r="G18425" s="1" t="str">
        <f>"9826F214"</f>
        <v>9826F214</v>
      </c>
      <c r="H18425" s="1" t="str">
        <f>"현저간 18L17R2"</f>
        <v>현저간 18L17R2</v>
      </c>
      <c r="I18425" s="1" t="s">
        <v>8</v>
      </c>
      <c r="J18425" s="1" t="str">
        <f>"8/8"</f>
        <v>8/8</v>
      </c>
      <c r="K18425" s="1" t="str">
        <f>"2026-07-29 13:18:12"</f>
        <v>2026-07-29 13:18:12</v>
      </c>
      <c r="L18425" s="1" t="str">
        <f>"2017-06-27 09:27:08"</f>
        <v>2017-06-27 09:27:08</v>
      </c>
      <c r="M18425" s="1" t="s">
        <v>2</v>
      </c>
      <c r="N18425" s="1" t="s">
        <v>38</v>
      </c>
      <c r="O18425" s="1" t="s">
        <v>46</v>
      </c>
    </row>
    <row r="18426" spans="2:15" x14ac:dyDescent="0.3">
      <c r="B18426" s="1" t="s">
        <v>13</v>
      </c>
      <c r="C18426" s="1" t="str">
        <f>"2차"</f>
        <v>2차</v>
      </c>
      <c r="D18426" s="1" t="str">
        <f>"9826F22321"</f>
        <v>9826F22321</v>
      </c>
      <c r="E18426" s="1" t="s">
        <v>10</v>
      </c>
      <c r="F18426" s="1" t="str">
        <f>"10.11.7.187"</f>
        <v>10.11.7.187</v>
      </c>
      <c r="G18426" s="1" t="str">
        <f>"9826F223"</f>
        <v>9826F223</v>
      </c>
      <c r="H18426" s="1" t="str">
        <f>"현저간 18L17R1"</f>
        <v>현저간 18L17R1</v>
      </c>
      <c r="I18426" s="1" t="s">
        <v>8</v>
      </c>
      <c r="J18426" s="1" t="str">
        <f>"19/19"</f>
        <v>19/19</v>
      </c>
      <c r="K18426" s="1" t="str">
        <f>"2026-07-29 13:18:12"</f>
        <v>2026-07-29 13:18:12</v>
      </c>
      <c r="L18426" s="1" t="str">
        <f>"2017-06-27 09:44:38"</f>
        <v>2017-06-27 09:44:38</v>
      </c>
      <c r="M18426" s="1" t="s">
        <v>2</v>
      </c>
      <c r="N18426" s="1" t="s">
        <v>38</v>
      </c>
      <c r="O18426" s="1" t="s">
        <v>46</v>
      </c>
    </row>
    <row r="18427" spans="2:15" x14ac:dyDescent="0.3">
      <c r="B18427" s="1" t="s">
        <v>13</v>
      </c>
      <c r="C18427" s="1" t="s">
        <v>16</v>
      </c>
      <c r="D18427" s="1" t="str">
        <f>"9826F2255S"</f>
        <v>9826F2255S</v>
      </c>
      <c r="E18427" s="1" t="s">
        <v>10</v>
      </c>
      <c r="F18427" s="1" t="str">
        <f>"fde1:103:4:55bb:0:0:0:2"</f>
        <v>fde1:103:4:55bb:0:0:0:2</v>
      </c>
      <c r="G18427" s="1" t="str">
        <f>"9826F225"</f>
        <v>9826F225</v>
      </c>
      <c r="H18427" s="1" t="str">
        <f>"현저간 18L18"</f>
        <v>현저간 18L18</v>
      </c>
      <c r="I18427" s="1" t="s">
        <v>15</v>
      </c>
      <c r="J18427" s="1" t="str">
        <f>"56/56"</f>
        <v>56/56</v>
      </c>
      <c r="K18427" s="1" t="str">
        <f>"2026-07-29 14:21:43"</f>
        <v>2026-07-29 14:21:43</v>
      </c>
      <c r="L18427" s="1" t="str">
        <f>"2023-08-04 15:12:41"</f>
        <v>2023-08-04 15:12:41</v>
      </c>
      <c r="M18427" s="1" t="s">
        <v>4</v>
      </c>
      <c r="N18427" s="1" t="s">
        <v>38</v>
      </c>
      <c r="O18427" s="1" t="s">
        <v>46</v>
      </c>
    </row>
    <row r="18428" spans="2:15" x14ac:dyDescent="0.3">
      <c r="B18428" s="1" t="s">
        <v>13</v>
      </c>
      <c r="C18428" s="1" t="s">
        <v>16</v>
      </c>
      <c r="D18428" s="1" t="str">
        <f>"9826F3015S"</f>
        <v>9826F3015S</v>
      </c>
      <c r="E18428" s="1" t="s">
        <v>10</v>
      </c>
      <c r="F18428" s="1" t="str">
        <f>"fde1:103:4:55fa:0:0:0:2"</f>
        <v>fde1:103:4:55fa:0:0:0:2</v>
      </c>
      <c r="G18428" s="1" t="str">
        <f>"9826F301"</f>
        <v>9826F301</v>
      </c>
      <c r="H18428" s="1" t="str">
        <f>"현저간 18L20"</f>
        <v>현저간 18L20</v>
      </c>
      <c r="I18428" s="1" t="s">
        <v>15</v>
      </c>
      <c r="J18428" s="1" t="str">
        <f>"45/45"</f>
        <v>45/45</v>
      </c>
      <c r="K18428" s="1" t="str">
        <f>"2026-07-29 14:21:32"</f>
        <v>2026-07-29 14:21:32</v>
      </c>
      <c r="L18428" s="1" t="str">
        <f>"2023-08-04 15:27:37"</f>
        <v>2023-08-04 15:27:37</v>
      </c>
      <c r="M18428" s="1" t="s">
        <v>4</v>
      </c>
      <c r="N18428" s="1" t="s">
        <v>38</v>
      </c>
      <c r="O18428" s="1" t="s">
        <v>46</v>
      </c>
    </row>
    <row r="18429" spans="2:15" x14ac:dyDescent="0.3">
      <c r="B18429" s="1" t="s">
        <v>13</v>
      </c>
      <c r="C18429" s="1" t="str">
        <f>"2차"</f>
        <v>2차</v>
      </c>
      <c r="D18429" s="1" t="str">
        <f>"9826F30221"</f>
        <v>9826F30221</v>
      </c>
      <c r="E18429" s="1" t="s">
        <v>10</v>
      </c>
      <c r="F18429" s="1" t="str">
        <f>"10.11.7.203"</f>
        <v>10.11.7.203</v>
      </c>
      <c r="G18429" s="1" t="str">
        <f>"9826F302"</f>
        <v>9826F302</v>
      </c>
      <c r="H18429" s="1" t="str">
        <f>"현저간 18L21"</f>
        <v>현저간 18L21</v>
      </c>
      <c r="I18429" s="1" t="s">
        <v>8</v>
      </c>
      <c r="J18429" s="1" t="str">
        <f>"8/9"</f>
        <v>8/9</v>
      </c>
      <c r="K18429" s="1" t="str">
        <f>"2026-07-29 13:18:12"</f>
        <v>2026-07-29 13:18:12</v>
      </c>
      <c r="L18429" s="1" t="str">
        <f>"2017-06-01 15:31:09"</f>
        <v>2017-06-01 15:31:09</v>
      </c>
      <c r="M18429" s="1" t="s">
        <v>2</v>
      </c>
      <c r="N18429" s="1" t="s">
        <v>38</v>
      </c>
      <c r="O18429" s="1" t="s">
        <v>46</v>
      </c>
    </row>
    <row r="18430" spans="2:15" x14ac:dyDescent="0.3">
      <c r="B18430" s="1" t="s">
        <v>13</v>
      </c>
      <c r="C18430" s="1" t="str">
        <f>"4차"</f>
        <v>4차</v>
      </c>
      <c r="D18430" s="1" t="str">
        <f>"9826F30321"</f>
        <v>9826F30321</v>
      </c>
      <c r="E18430" s="1" t="s">
        <v>10</v>
      </c>
      <c r="F18430" s="1" t="str">
        <f>"10.11.45.18"</f>
        <v>10.11.45.18</v>
      </c>
      <c r="G18430" s="1" t="str">
        <f>"9826F303"</f>
        <v>9826F303</v>
      </c>
      <c r="H18430" s="1" t="str">
        <f>"현저간 18L20R1"</f>
        <v>현저간 18L20R1</v>
      </c>
      <c r="I18430" s="1" t="s">
        <v>8</v>
      </c>
      <c r="J18430" s="1" t="str">
        <f>"59/73"</f>
        <v>59/73</v>
      </c>
      <c r="K18430" s="1" t="str">
        <f>"2026-07-29 13:18:12"</f>
        <v>2026-07-29 13:18:12</v>
      </c>
      <c r="L18430" s="1" t="str">
        <f>"2017-06-01 15:25:18"</f>
        <v>2017-06-01 15:25:18</v>
      </c>
      <c r="M18430" s="1" t="s">
        <v>2</v>
      </c>
      <c r="N18430" s="1" t="s">
        <v>38</v>
      </c>
      <c r="O18430" s="1" t="s">
        <v>46</v>
      </c>
    </row>
    <row r="18431" spans="2:15" x14ac:dyDescent="0.3">
      <c r="B18431" s="1" t="s">
        <v>13</v>
      </c>
      <c r="C18431" s="1" t="str">
        <f>"2차"</f>
        <v>2차</v>
      </c>
      <c r="D18431" s="1" t="str">
        <f>"9826G49129"</f>
        <v>9826G49129</v>
      </c>
      <c r="E18431" s="1" t="s">
        <v>10</v>
      </c>
      <c r="F18431" s="1" t="str">
        <f>"10.11.7.130"</f>
        <v>10.11.7.130</v>
      </c>
      <c r="G18431" s="1" t="str">
        <f>"9826G491"</f>
        <v>9826G491</v>
      </c>
      <c r="H18431" s="1" t="str">
        <f>"현저간 12L1L1"</f>
        <v>현저간 12L1L1</v>
      </c>
      <c r="I18431" s="1" t="s">
        <v>8</v>
      </c>
      <c r="J18431" s="1" t="str">
        <f>"12/15"</f>
        <v>12/15</v>
      </c>
      <c r="K18431" s="1" t="str">
        <f>"2026-07-29 13:18:12"</f>
        <v>2026-07-29 13:18:12</v>
      </c>
      <c r="L18431" s="1" t="str">
        <f>"2017-05-22 16:35:06"</f>
        <v>2017-05-22 16:35:06</v>
      </c>
      <c r="M18431" s="1" t="s">
        <v>2</v>
      </c>
      <c r="N18431" s="1" t="s">
        <v>38</v>
      </c>
      <c r="O18431" s="1" t="s">
        <v>46</v>
      </c>
    </row>
    <row r="18432" spans="2:15" x14ac:dyDescent="0.3">
      <c r="B18432" s="1" t="s">
        <v>13</v>
      </c>
      <c r="C18432" s="1" t="str">
        <f>"4차"</f>
        <v>4차</v>
      </c>
      <c r="D18432" s="1" t="str">
        <f>"9826G94139"</f>
        <v>9826G94139</v>
      </c>
      <c r="E18432" s="1" t="s">
        <v>14</v>
      </c>
      <c r="F18432" s="1" t="str">
        <f>"10.12.131.45"</f>
        <v>10.12.131.45</v>
      </c>
      <c r="G18432" s="1" t="str">
        <f>"9826G941"</f>
        <v>9826G941</v>
      </c>
      <c r="H18432" s="1" t="str">
        <f>"의주로 1-3"</f>
        <v>의주로 1-3</v>
      </c>
      <c r="I18432" s="1" t="s">
        <v>17</v>
      </c>
      <c r="J18432" s="1" t="str">
        <f>"0/0"</f>
        <v>0/0</v>
      </c>
      <c r="K18432" s="1" t="str">
        <f>"2026-06-10 07:18:13"</f>
        <v>2026-06-10 07:18:13</v>
      </c>
      <c r="L18432" s="1" t="str">
        <f>"2018-10-19 14:05:56"</f>
        <v>2018-10-19 14:05:56</v>
      </c>
      <c r="M18432" s="1" t="s">
        <v>0</v>
      </c>
      <c r="N18432" s="1" t="s">
        <v>39</v>
      </c>
      <c r="O18432" s="1" t="s">
        <v>46</v>
      </c>
    </row>
    <row r="18433" spans="2:15" x14ac:dyDescent="0.3">
      <c r="B18433" s="1" t="s">
        <v>13</v>
      </c>
      <c r="C18433" s="1" t="s">
        <v>16</v>
      </c>
      <c r="D18433" s="1" t="str">
        <f>"9826G9725S"</f>
        <v>9826G9725S</v>
      </c>
      <c r="E18433" s="1" t="s">
        <v>10</v>
      </c>
      <c r="F18433" s="1" t="str">
        <f>"fde1:103:4:5626:0:0:0:2"</f>
        <v>fde1:103:4:5626:0:0:0:2</v>
      </c>
      <c r="G18433" s="1" t="str">
        <f>"9826G972"</f>
        <v>9826G972</v>
      </c>
      <c r="H18433" s="1" t="str">
        <f>"현저간 18L4R1"</f>
        <v>현저간 18L4R1</v>
      </c>
      <c r="I18433" s="1" t="s">
        <v>15</v>
      </c>
      <c r="J18433" s="1" t="str">
        <f>"46/46"</f>
        <v>46/46</v>
      </c>
      <c r="K18433" s="1" t="str">
        <f>"2026-07-29 14:21:32"</f>
        <v>2026-07-29 14:21:32</v>
      </c>
      <c r="L18433" s="1" t="str">
        <f>"2023-08-04 15:34:25"</f>
        <v>2023-08-04 15:34:25</v>
      </c>
      <c r="M18433" s="1" t="s">
        <v>4</v>
      </c>
      <c r="N18433" s="1" t="s">
        <v>38</v>
      </c>
      <c r="O18433" s="1" t="s">
        <v>46</v>
      </c>
    </row>
    <row r="18434" spans="2:15" x14ac:dyDescent="0.3">
      <c r="B18434" s="1" t="s">
        <v>13</v>
      </c>
      <c r="C18434" s="1" t="s">
        <v>16</v>
      </c>
      <c r="D18434" s="1" t="str">
        <f>"9826G9815S"</f>
        <v>9826G9815S</v>
      </c>
      <c r="E18434" s="1" t="s">
        <v>10</v>
      </c>
      <c r="F18434" s="1" t="str">
        <f>"fde3:102:1304:1802:0:0:0:2"</f>
        <v>fde3:102:1304:1802:0:0:0:2</v>
      </c>
      <c r="G18434" s="1" t="str">
        <f>"9826G981"</f>
        <v>9826G981</v>
      </c>
      <c r="H18434" s="1" t="str">
        <f>"현저간 18L5R1"</f>
        <v>현저간 18L5R1</v>
      </c>
      <c r="I18434" s="1" t="s">
        <v>15</v>
      </c>
      <c r="J18434" s="1" t="str">
        <f>"67/67"</f>
        <v>67/67</v>
      </c>
      <c r="K18434" s="1" t="str">
        <f>"2026-07-29 14:21:33"</f>
        <v>2026-07-29 14:21:33</v>
      </c>
      <c r="L18434" s="1" t="str">
        <f>"2023-08-07 14:45:01"</f>
        <v>2023-08-07 14:45:01</v>
      </c>
      <c r="M18434" s="1" t="s">
        <v>45</v>
      </c>
      <c r="N18434" s="1" t="s">
        <v>38</v>
      </c>
      <c r="O18434" s="1" t="s">
        <v>46</v>
      </c>
    </row>
    <row r="18435" spans="2:15" x14ac:dyDescent="0.3">
      <c r="B18435" s="1" t="s">
        <v>13</v>
      </c>
      <c r="C18435" s="1" t="s">
        <v>16</v>
      </c>
      <c r="D18435" s="1" t="str">
        <f>"9826G9835S"</f>
        <v>9826G9835S</v>
      </c>
      <c r="E18435" s="1" t="s">
        <v>10</v>
      </c>
      <c r="F18435" s="1" t="str">
        <f>"fde3:102:1304:1802:0:0:0:3"</f>
        <v>fde3:102:1304:1802:0:0:0:3</v>
      </c>
      <c r="G18435" s="1" t="str">
        <f>"9826G983"</f>
        <v>9826G983</v>
      </c>
      <c r="H18435" s="1" t="str">
        <f>"현저간 18L5"</f>
        <v>현저간 18L5</v>
      </c>
      <c r="I18435" s="1" t="s">
        <v>15</v>
      </c>
      <c r="J18435" s="1" t="str">
        <f>"36/36"</f>
        <v>36/36</v>
      </c>
      <c r="K18435" s="1" t="str">
        <f>"2026-07-29 14:21:41"</f>
        <v>2026-07-29 14:21:41</v>
      </c>
      <c r="L18435" s="1" t="str">
        <f>"2023-08-07 14:19:33"</f>
        <v>2023-08-07 14:19:33</v>
      </c>
      <c r="M18435" s="1" t="s">
        <v>45</v>
      </c>
      <c r="N18435" s="1" t="s">
        <v>38</v>
      </c>
      <c r="O18435" s="1" t="s">
        <v>46</v>
      </c>
    </row>
    <row r="18436" spans="2:15" x14ac:dyDescent="0.3">
      <c r="B18436" s="1" t="s">
        <v>13</v>
      </c>
      <c r="C18436" s="1" t="s">
        <v>16</v>
      </c>
      <c r="D18436" s="1" t="str">
        <f>"9826H0825S"</f>
        <v>9826H0825S</v>
      </c>
      <c r="E18436" s="1" t="s">
        <v>10</v>
      </c>
      <c r="F18436" s="1" t="str">
        <f>"fde3:102:1304:1809:0:0:0:2"</f>
        <v>fde3:102:1304:1809:0:0:0:2</v>
      </c>
      <c r="G18436" s="1" t="str">
        <f>"9826H082"</f>
        <v>9826H082</v>
      </c>
      <c r="H18436" s="1" t="str">
        <f>"현저간 18L6"</f>
        <v>현저간 18L6</v>
      </c>
      <c r="I18436" s="1" t="s">
        <v>15</v>
      </c>
      <c r="J18436" s="1" t="str">
        <f>"37/37"</f>
        <v>37/37</v>
      </c>
      <c r="K18436" s="1" t="str">
        <f>"2026-07-29 14:21:32"</f>
        <v>2026-07-29 14:21:32</v>
      </c>
      <c r="L18436" s="1" t="str">
        <f>"2023-08-07 14:29:29"</f>
        <v>2023-08-07 14:29:29</v>
      </c>
      <c r="M18436" s="1" t="s">
        <v>45</v>
      </c>
      <c r="N18436" s="1" t="s">
        <v>38</v>
      </c>
      <c r="O18436" s="1" t="s">
        <v>46</v>
      </c>
    </row>
    <row r="18437" spans="2:15" x14ac:dyDescent="0.3">
      <c r="B18437" s="1" t="s">
        <v>13</v>
      </c>
      <c r="C18437" s="1" t="s">
        <v>16</v>
      </c>
      <c r="D18437" s="1" t="str">
        <f>"9826H0925S"</f>
        <v>9826H0925S</v>
      </c>
      <c r="E18437" s="1" t="s">
        <v>10</v>
      </c>
      <c r="F18437" s="1" t="str">
        <f>"fde3:102:1304:1809:0:0:0:3"</f>
        <v>fde3:102:1304:1809:0:0:0:3</v>
      </c>
      <c r="G18437" s="1" t="str">
        <f>"9826H092"</f>
        <v>9826H092</v>
      </c>
      <c r="H18437" s="1" t="str">
        <f>"현저간 18L7"</f>
        <v>현저간 18L7</v>
      </c>
      <c r="I18437" s="1" t="s">
        <v>15</v>
      </c>
      <c r="J18437" s="1" t="str">
        <f>"27/28"</f>
        <v>27/28</v>
      </c>
      <c r="K18437" s="1" t="str">
        <f>"2026-07-29 14:21:42"</f>
        <v>2026-07-29 14:21:42</v>
      </c>
      <c r="L18437" s="1" t="str">
        <f>"2023-08-07 09:52:56"</f>
        <v>2023-08-07 09:52:56</v>
      </c>
      <c r="M18437" s="1" t="s">
        <v>45</v>
      </c>
      <c r="N18437" s="1" t="s">
        <v>38</v>
      </c>
      <c r="O18437" s="1" t="s">
        <v>46</v>
      </c>
    </row>
    <row r="18438" spans="2:15" x14ac:dyDescent="0.3">
      <c r="B18438" s="1" t="s">
        <v>13</v>
      </c>
      <c r="C18438" s="1" t="str">
        <f>"4차"</f>
        <v>4차</v>
      </c>
      <c r="D18438" s="1" t="str">
        <f>"9826H17120"</f>
        <v>9826H17120</v>
      </c>
      <c r="E18438" s="1" t="s">
        <v>10</v>
      </c>
      <c r="F18438" s="1" t="str">
        <f>"10.11.7.250"</f>
        <v>10.11.7.250</v>
      </c>
      <c r="G18438" s="1" t="str">
        <f>"9826H171"</f>
        <v>9826H171</v>
      </c>
      <c r="H18438" s="1" t="str">
        <f>"현저간 18L8R4"</f>
        <v>현저간 18L8R4</v>
      </c>
      <c r="I18438" s="1" t="s">
        <v>8</v>
      </c>
      <c r="J18438" s="1" t="str">
        <f>"18/19"</f>
        <v>18/19</v>
      </c>
      <c r="K18438" s="1" t="str">
        <f>"2026-07-29 13:18:12"</f>
        <v>2026-07-29 13:18:12</v>
      </c>
      <c r="L18438" s="1" t="str">
        <f>"2017-05-22 17:33:42"</f>
        <v>2017-05-22 17:33:42</v>
      </c>
      <c r="M18438" s="1" t="s">
        <v>2</v>
      </c>
      <c r="N18438" s="1" t="s">
        <v>38</v>
      </c>
      <c r="O18438" s="1" t="s">
        <v>46</v>
      </c>
    </row>
    <row r="18439" spans="2:15" x14ac:dyDescent="0.3">
      <c r="B18439" s="1" t="s">
        <v>13</v>
      </c>
      <c r="C18439" s="1" t="str">
        <f>"4차"</f>
        <v>4차</v>
      </c>
      <c r="D18439" s="1" t="str">
        <f>"9826H18120"</f>
        <v>9826H18120</v>
      </c>
      <c r="E18439" s="1" t="s">
        <v>10</v>
      </c>
      <c r="F18439" s="1" t="str">
        <f>"10.11.7.242"</f>
        <v>10.11.7.242</v>
      </c>
      <c r="G18439" s="1" t="str">
        <f>"9826H181"</f>
        <v>9826H181</v>
      </c>
      <c r="H18439" s="1" t="str">
        <f>"현저간 18L8R3"</f>
        <v>현저간 18L8R3</v>
      </c>
      <c r="I18439" s="1" t="s">
        <v>8</v>
      </c>
      <c r="J18439" s="1" t="str">
        <f>"22/22"</f>
        <v>22/22</v>
      </c>
      <c r="K18439" s="1" t="str">
        <f>"2026-07-29 13:18:12"</f>
        <v>2026-07-29 13:18:12</v>
      </c>
      <c r="L18439" s="1" t="str">
        <f>"2017-05-22 16:51:17"</f>
        <v>2017-05-22 16:51:17</v>
      </c>
      <c r="M18439" s="1" t="s">
        <v>2</v>
      </c>
      <c r="N18439" s="1" t="s">
        <v>38</v>
      </c>
      <c r="O18439" s="1" t="s">
        <v>46</v>
      </c>
    </row>
    <row r="18440" spans="2:15" x14ac:dyDescent="0.3">
      <c r="B18440" s="1" t="s">
        <v>13</v>
      </c>
      <c r="C18440" s="1" t="str">
        <f>"2차"</f>
        <v>2차</v>
      </c>
      <c r="D18440" s="1" t="str">
        <f>"9826H18321"</f>
        <v>9826H18321</v>
      </c>
      <c r="E18440" s="1" t="s">
        <v>10</v>
      </c>
      <c r="F18440" s="1" t="str">
        <f>"10.11.7.251"</f>
        <v>10.11.7.251</v>
      </c>
      <c r="G18440" s="1" t="str">
        <f>"9826H183"</f>
        <v>9826H183</v>
      </c>
      <c r="H18440" s="1" t="str">
        <f>"현저간 18L8R4L1"</f>
        <v>현저간 18L8R4L1</v>
      </c>
      <c r="I18440" s="1" t="s">
        <v>8</v>
      </c>
      <c r="J18440" s="1" t="str">
        <f>"32/32"</f>
        <v>32/32</v>
      </c>
      <c r="K18440" s="1" t="str">
        <f>"2026-07-29 13:18:12"</f>
        <v>2026-07-29 13:18:12</v>
      </c>
      <c r="L18440" s="1" t="str">
        <f>"2017-06-01 15:33:43"</f>
        <v>2017-06-01 15:33:43</v>
      </c>
      <c r="M18440" s="1" t="s">
        <v>2</v>
      </c>
      <c r="N18440" s="1" t="s">
        <v>38</v>
      </c>
      <c r="O18440" s="1" t="s">
        <v>46</v>
      </c>
    </row>
    <row r="18441" spans="2:15" x14ac:dyDescent="0.3">
      <c r="B18441" s="1" t="s">
        <v>13</v>
      </c>
      <c r="C18441" s="1" t="str">
        <f>"2차"</f>
        <v>2차</v>
      </c>
      <c r="D18441" s="1" t="str">
        <f>"9826H18421"</f>
        <v>9826H18421</v>
      </c>
      <c r="E18441" s="1" t="s">
        <v>14</v>
      </c>
      <c r="F18441" s="1" t="str">
        <f>"10.11.7.243"</f>
        <v>10.11.7.243</v>
      </c>
      <c r="G18441" s="1" t="str">
        <f>"9826H184"</f>
        <v>9826H184</v>
      </c>
      <c r="H18441" s="1" t="str">
        <f>"현저간 18L8R3H1"</f>
        <v>현저간 18L8R3H1</v>
      </c>
      <c r="I18441" s="1" t="s">
        <v>8</v>
      </c>
      <c r="J18441" s="1" t="str">
        <f>"0/0"</f>
        <v>0/0</v>
      </c>
      <c r="K18441" s="4" t="str">
        <f>"2026-07-29 13:18:12"</f>
        <v>2026-07-29 13:18:12</v>
      </c>
      <c r="L18441" s="1" t="str">
        <f>"2017-06-01 15:33:16"</f>
        <v>2017-06-01 15:33:16</v>
      </c>
      <c r="M18441" s="1" t="s">
        <v>2</v>
      </c>
      <c r="N18441" s="1" t="s">
        <v>38</v>
      </c>
      <c r="O18441" s="1" t="s">
        <v>44</v>
      </c>
    </row>
    <row r="18442" spans="2:15" x14ac:dyDescent="0.3">
      <c r="B18442" s="1" t="s">
        <v>13</v>
      </c>
      <c r="C18442" s="1" t="s">
        <v>16</v>
      </c>
      <c r="D18442" s="1" t="str">
        <f>"9826H1935S"</f>
        <v>9826H1935S</v>
      </c>
      <c r="E18442" s="1" t="s">
        <v>10</v>
      </c>
      <c r="F18442" s="1" t="str">
        <f>"fde3:102:1304:1803:0:0:0:2"</f>
        <v>fde3:102:1304:1803:0:0:0:2</v>
      </c>
      <c r="G18442" s="1" t="str">
        <f>"9826H193"</f>
        <v>9826H193</v>
      </c>
      <c r="H18442" s="1" t="str">
        <f>"현저간 18L8R2"</f>
        <v>현저간 18L8R2</v>
      </c>
      <c r="I18442" s="1" t="s">
        <v>15</v>
      </c>
      <c r="J18442" s="1" t="str">
        <f>"53/53"</f>
        <v>53/53</v>
      </c>
      <c r="K18442" s="1" t="str">
        <f>"2026-07-29 14:21:32"</f>
        <v>2026-07-29 14:21:32</v>
      </c>
      <c r="L18442" s="1" t="str">
        <f>"2023-08-07 09:33:35"</f>
        <v>2023-08-07 09:33:35</v>
      </c>
      <c r="M18442" s="1" t="s">
        <v>45</v>
      </c>
      <c r="N18442" s="1" t="s">
        <v>38</v>
      </c>
      <c r="O18442" s="1" t="s">
        <v>46</v>
      </c>
    </row>
    <row r="18443" spans="2:15" x14ac:dyDescent="0.3">
      <c r="B18443" s="1" t="s">
        <v>13</v>
      </c>
      <c r="C18443" s="1" t="str">
        <f>"4차"</f>
        <v>4차</v>
      </c>
      <c r="D18443" s="1" t="str">
        <f>"9826H26220"</f>
        <v>9826H26220</v>
      </c>
      <c r="E18443" s="1" t="s">
        <v>10</v>
      </c>
      <c r="F18443" s="1" t="str">
        <f>"10.11.8.2"</f>
        <v>10.11.8.2</v>
      </c>
      <c r="G18443" s="1" t="str">
        <f>"9826H262"</f>
        <v>9826H262</v>
      </c>
      <c r="H18443" s="1" t="str">
        <f>"현저간 18L8R7R1"</f>
        <v>현저간 18L8R7R1</v>
      </c>
      <c r="I18443" s="1" t="s">
        <v>8</v>
      </c>
      <c r="J18443" s="1" t="str">
        <f>"100/100"</f>
        <v>100/100</v>
      </c>
      <c r="K18443" s="1" t="str">
        <f>"2026-07-29 13:18:12"</f>
        <v>2026-07-29 13:18:12</v>
      </c>
      <c r="L18443" s="1" t="str">
        <f>"2017-06-01 15:33:56"</f>
        <v>2017-06-01 15:33:56</v>
      </c>
      <c r="M18443" s="1" t="s">
        <v>2</v>
      </c>
      <c r="N18443" s="1" t="s">
        <v>38</v>
      </c>
      <c r="O18443" s="1" t="s">
        <v>46</v>
      </c>
    </row>
    <row r="18444" spans="2:15" x14ac:dyDescent="0.3">
      <c r="B18444" s="1" t="s">
        <v>13</v>
      </c>
      <c r="C18444" s="1" t="str">
        <f>"2차"</f>
        <v>2차</v>
      </c>
      <c r="D18444" s="1" t="str">
        <f>"9826H27322"</f>
        <v>9826H27322</v>
      </c>
      <c r="E18444" s="1" t="s">
        <v>10</v>
      </c>
      <c r="F18444" s="1" t="str">
        <f>"10.11.8.4"</f>
        <v>10.11.8.4</v>
      </c>
      <c r="G18444" s="1" t="str">
        <f>"9826H273"</f>
        <v>9826H273</v>
      </c>
      <c r="H18444" s="1" t="str">
        <f>"현저간 18L8R7H1"</f>
        <v>현저간 18L8R7H1</v>
      </c>
      <c r="I18444" s="1" t="s">
        <v>8</v>
      </c>
      <c r="J18444" s="1" t="str">
        <f>"52/52"</f>
        <v>52/52</v>
      </c>
      <c r="K18444" s="1" t="str">
        <f>"2026-07-29 13:18:12"</f>
        <v>2026-07-29 13:18:12</v>
      </c>
      <c r="L18444" s="1" t="str">
        <f>"2017-06-01 15:34:10"</f>
        <v>2017-06-01 15:34:10</v>
      </c>
      <c r="M18444" s="1" t="s">
        <v>2</v>
      </c>
      <c r="N18444" s="1" t="s">
        <v>38</v>
      </c>
      <c r="O18444" s="1" t="s">
        <v>46</v>
      </c>
    </row>
    <row r="18445" spans="2:15" x14ac:dyDescent="0.3">
      <c r="B18445" s="1" t="s">
        <v>13</v>
      </c>
      <c r="C18445" s="1" t="str">
        <f>"2차"</f>
        <v>2차</v>
      </c>
      <c r="D18445" s="1" t="str">
        <f>"9826H29122"</f>
        <v>9826H29122</v>
      </c>
      <c r="E18445" s="1" t="s">
        <v>10</v>
      </c>
      <c r="F18445" s="1" t="str">
        <f>"10.11.7.188"</f>
        <v>10.11.7.188</v>
      </c>
      <c r="G18445" s="1" t="str">
        <f>"9826H291"</f>
        <v>9826H291</v>
      </c>
      <c r="H18445" s="1" t="str">
        <f>"현저간 18L17R4"</f>
        <v>현저간 18L17R4</v>
      </c>
      <c r="I18445" s="1" t="s">
        <v>8</v>
      </c>
      <c r="J18445" s="1" t="str">
        <f>"46/46"</f>
        <v>46/46</v>
      </c>
      <c r="K18445" s="1" t="str">
        <f>"2026-07-29 13:18:12"</f>
        <v>2026-07-29 13:18:12</v>
      </c>
      <c r="L18445" s="1" t="str">
        <f>"2017-06-27 09:32:22"</f>
        <v>2017-06-27 09:32:22</v>
      </c>
      <c r="M18445" s="1" t="s">
        <v>2</v>
      </c>
      <c r="N18445" s="1" t="s">
        <v>38</v>
      </c>
      <c r="O18445" s="1" t="s">
        <v>46</v>
      </c>
    </row>
    <row r="18446" spans="2:15" x14ac:dyDescent="0.3">
      <c r="B18446" s="1" t="s">
        <v>13</v>
      </c>
      <c r="C18446" s="1" t="str">
        <f>"5-2차"</f>
        <v>5-2차</v>
      </c>
      <c r="D18446" s="1" t="str">
        <f>"9826H3615S"</f>
        <v>9826H3615S</v>
      </c>
      <c r="E18446" s="1" t="s">
        <v>10</v>
      </c>
      <c r="F18446" s="1" t="str">
        <f>"fde1:103:4:5566:0:0:0:2"</f>
        <v>fde1:103:4:5566:0:0:0:2</v>
      </c>
      <c r="G18446" s="1" t="str">
        <f>"9826H361"</f>
        <v>9826H361</v>
      </c>
      <c r="H18446" s="1" t="str">
        <f>"현저간 18L26R2"</f>
        <v>현저간 18L26R2</v>
      </c>
      <c r="I18446" s="1" t="s">
        <v>15</v>
      </c>
      <c r="J18446" s="1" t="str">
        <f>"37/37"</f>
        <v>37/37</v>
      </c>
      <c r="K18446" s="1" t="str">
        <f>"2026-07-29 14:21:32"</f>
        <v>2026-07-29 14:21:32</v>
      </c>
      <c r="L18446" s="1" t="str">
        <f>"2023-08-23 13:31:44"</f>
        <v>2023-08-23 13:31:44</v>
      </c>
      <c r="M18446" s="1" t="s">
        <v>4</v>
      </c>
      <c r="N18446" s="1" t="s">
        <v>38</v>
      </c>
      <c r="O18446" s="1" t="s">
        <v>46</v>
      </c>
    </row>
    <row r="18447" spans="2:15" x14ac:dyDescent="0.3">
      <c r="B18447" s="1" t="s">
        <v>13</v>
      </c>
      <c r="C18447" s="1" t="str">
        <f>"2차"</f>
        <v>2차</v>
      </c>
      <c r="D18447" s="1" t="str">
        <f>"9826H45129"</f>
        <v>9826H45129</v>
      </c>
      <c r="E18447" s="1" t="s">
        <v>10</v>
      </c>
      <c r="F18447" s="1" t="str">
        <f>"10.12.135.15"</f>
        <v>10.12.135.15</v>
      </c>
      <c r="G18447" s="1" t="str">
        <f>"9826H451"</f>
        <v>9826H451</v>
      </c>
      <c r="H18447" s="1" t="str">
        <f>"평동간 25R5"</f>
        <v>평동간 25R5</v>
      </c>
      <c r="I18447" s="1" t="s">
        <v>8</v>
      </c>
      <c r="J18447" s="1" t="str">
        <f>"15/15"</f>
        <v>15/15</v>
      </c>
      <c r="K18447" s="1" t="str">
        <f>"2026-07-29 13:18:12"</f>
        <v>2026-07-29 13:18:12</v>
      </c>
      <c r="L18447" s="1" t="str">
        <f>"2017-07-21 15:03:25"</f>
        <v>2017-07-21 15:03:25</v>
      </c>
      <c r="M18447" s="1" t="s">
        <v>0</v>
      </c>
      <c r="N18447" s="1" t="s">
        <v>38</v>
      </c>
      <c r="O18447" s="1" t="s">
        <v>46</v>
      </c>
    </row>
    <row r="18448" spans="2:15" x14ac:dyDescent="0.3">
      <c r="B18448" s="1" t="s">
        <v>13</v>
      </c>
      <c r="C18448" s="1" t="str">
        <f>"2차"</f>
        <v>2차</v>
      </c>
      <c r="D18448" s="1" t="str">
        <f>"9826H47221"</f>
        <v>9826H47221</v>
      </c>
      <c r="E18448" s="1" t="s">
        <v>10</v>
      </c>
      <c r="F18448" s="1" t="str">
        <f>"10.11.7.211"</f>
        <v>10.11.7.211</v>
      </c>
      <c r="G18448" s="1" t="str">
        <f>"9826H472"</f>
        <v>9826H472</v>
      </c>
      <c r="H18448" s="1" t="str">
        <f>"현저간 18L25"</f>
        <v>현저간 18L25</v>
      </c>
      <c r="I18448" s="1" t="s">
        <v>8</v>
      </c>
      <c r="J18448" s="1" t="str">
        <f>"21/21"</f>
        <v>21/21</v>
      </c>
      <c r="K18448" s="1" t="str">
        <f>"2026-07-29 13:18:12"</f>
        <v>2026-07-29 13:18:12</v>
      </c>
      <c r="L18448" s="1" t="str">
        <f>"2017-06-01 15:31:50"</f>
        <v>2017-06-01 15:31:50</v>
      </c>
      <c r="M18448" s="1" t="s">
        <v>2</v>
      </c>
      <c r="N18448" s="1" t="s">
        <v>38</v>
      </c>
      <c r="O18448" s="1" t="s">
        <v>46</v>
      </c>
    </row>
    <row r="18449" spans="2:15" x14ac:dyDescent="0.3">
      <c r="B18449" s="1" t="s">
        <v>13</v>
      </c>
      <c r="C18449" s="1" t="str">
        <f>"2차"</f>
        <v>2차</v>
      </c>
      <c r="D18449" s="1" t="str">
        <f>"9826H48120"</f>
        <v>9826H48120</v>
      </c>
      <c r="E18449" s="1" t="s">
        <v>10</v>
      </c>
      <c r="F18449" s="1" t="str">
        <f>"10.11.7.210"</f>
        <v>10.11.7.210</v>
      </c>
      <c r="G18449" s="1" t="str">
        <f>"9826H481"</f>
        <v>9826H481</v>
      </c>
      <c r="H18449" s="1" t="str">
        <f>"현저간 18L24"</f>
        <v>현저간 18L24</v>
      </c>
      <c r="I18449" s="1" t="s">
        <v>8</v>
      </c>
      <c r="J18449" s="1" t="str">
        <f>"16/16"</f>
        <v>16/16</v>
      </c>
      <c r="K18449" s="1" t="str">
        <f>"2026-07-29 13:18:12"</f>
        <v>2026-07-29 13:18:12</v>
      </c>
      <c r="L18449" s="1" t="str">
        <f>"2017-06-01 15:31:32"</f>
        <v>2017-06-01 15:31:32</v>
      </c>
      <c r="M18449" s="1" t="s">
        <v>2</v>
      </c>
      <c r="N18449" s="1" t="s">
        <v>38</v>
      </c>
      <c r="O18449" s="1" t="s">
        <v>46</v>
      </c>
    </row>
    <row r="18450" spans="2:15" x14ac:dyDescent="0.3">
      <c r="B18450" s="1" t="s">
        <v>13</v>
      </c>
      <c r="C18450" s="1" t="str">
        <f>"2차"</f>
        <v>2차</v>
      </c>
      <c r="D18450" s="1" t="str">
        <f>"9826H49320"</f>
        <v>9826H49320</v>
      </c>
      <c r="E18450" s="1" t="s">
        <v>10</v>
      </c>
      <c r="F18450" s="1" t="str">
        <f>"10.11.7.202"</f>
        <v>10.11.7.202</v>
      </c>
      <c r="G18450" s="1" t="str">
        <f>"9826H493"</f>
        <v>9826H493</v>
      </c>
      <c r="H18450" s="1" t="str">
        <f>"현저간 18L22"</f>
        <v>현저간 18L22</v>
      </c>
      <c r="I18450" s="1" t="s">
        <v>8</v>
      </c>
      <c r="J18450" s="1" t="str">
        <f>"37/49"</f>
        <v>37/49</v>
      </c>
      <c r="K18450" s="1" t="str">
        <f>"2026-07-29 13:18:12"</f>
        <v>2026-07-29 13:18:12</v>
      </c>
      <c r="L18450" s="1" t="str">
        <f>"2017-06-01 15:30:26"</f>
        <v>2017-06-01 15:30:26</v>
      </c>
      <c r="M18450" s="1" t="s">
        <v>2</v>
      </c>
      <c r="N18450" s="1" t="s">
        <v>38</v>
      </c>
      <c r="O18450" s="1" t="s">
        <v>46</v>
      </c>
    </row>
    <row r="18451" spans="2:15" x14ac:dyDescent="0.3">
      <c r="B18451" s="1" t="s">
        <v>13</v>
      </c>
      <c r="C18451" s="1" t="str">
        <f>"2차"</f>
        <v>2차</v>
      </c>
      <c r="D18451" s="1" t="str">
        <f>"9826H56321"</f>
        <v>9826H56321</v>
      </c>
      <c r="E18451" s="1" t="s">
        <v>14</v>
      </c>
      <c r="F18451" s="1" t="str">
        <f>"10.12.132.28"</f>
        <v>10.12.132.28</v>
      </c>
      <c r="G18451" s="1" t="str">
        <f>"9826H563"</f>
        <v>9826H563</v>
      </c>
      <c r="H18451" s="1" t="str">
        <f>"현저간 18L28"</f>
        <v>현저간 18L28</v>
      </c>
      <c r="I18451" s="1" t="s">
        <v>8</v>
      </c>
      <c r="J18451" s="1" t="str">
        <f>"0/0"</f>
        <v>0/0</v>
      </c>
      <c r="K18451" s="1" t="str">
        <f>"2024-08-26 07:21:06"</f>
        <v>2024-08-26 07:21:06</v>
      </c>
      <c r="L18451" s="1" t="str">
        <f>"2017-06-01 15:34:24"</f>
        <v>2017-06-01 15:34:24</v>
      </c>
      <c r="M18451" s="1" t="s">
        <v>0</v>
      </c>
      <c r="N18451" s="1" t="s">
        <v>39</v>
      </c>
      <c r="O18451" s="1" t="s">
        <v>46</v>
      </c>
    </row>
    <row r="18452" spans="2:15" x14ac:dyDescent="0.3">
      <c r="B18452" s="1" t="s">
        <v>13</v>
      </c>
      <c r="C18452" s="1" t="s">
        <v>16</v>
      </c>
      <c r="D18452" s="1" t="str">
        <f>"9826H7545S"</f>
        <v>9826H7545S</v>
      </c>
      <c r="E18452" s="1" t="s">
        <v>10</v>
      </c>
      <c r="F18452" s="1" t="str">
        <f>"fde3:102:1304:800:0:0:0:2"</f>
        <v>fde3:102:1304:800:0:0:0:2</v>
      </c>
      <c r="G18452" s="1" t="str">
        <f>"9826H754"</f>
        <v>9826H754</v>
      </c>
      <c r="H18452" s="1" t="str">
        <f>"현저간 18L29R2"</f>
        <v>현저간 18L29R2</v>
      </c>
      <c r="I18452" s="1" t="s">
        <v>15</v>
      </c>
      <c r="J18452" s="1" t="str">
        <f>"63/63"</f>
        <v>63/63</v>
      </c>
      <c r="K18452" s="1" t="str">
        <f>"2026-07-29 14:21:32"</f>
        <v>2026-07-29 14:21:32</v>
      </c>
      <c r="L18452" s="1" t="str">
        <f>"2023-08-09 10:24:11"</f>
        <v>2023-08-09 10:24:11</v>
      </c>
      <c r="M18452" s="1" t="s">
        <v>45</v>
      </c>
      <c r="N18452" s="1" t="s">
        <v>38</v>
      </c>
      <c r="O18452" s="1" t="s">
        <v>46</v>
      </c>
    </row>
    <row r="18453" spans="2:15" x14ac:dyDescent="0.3">
      <c r="B18453" s="1" t="s">
        <v>13</v>
      </c>
      <c r="C18453" s="1" t="str">
        <f>"4차"</f>
        <v>4차</v>
      </c>
      <c r="D18453" s="1" t="str">
        <f>"9826H78439"</f>
        <v>9826H78439</v>
      </c>
      <c r="E18453" s="1" t="s">
        <v>10</v>
      </c>
      <c r="F18453" s="1" t="str">
        <f>"10.12.131.34"</f>
        <v>10.12.131.34</v>
      </c>
      <c r="G18453" s="1" t="str">
        <f>"9826H784"</f>
        <v>9826H784</v>
      </c>
      <c r="H18453" s="1" t="str">
        <f>"사직로 3"</f>
        <v>사직로 3</v>
      </c>
      <c r="I18453" s="1" t="s">
        <v>17</v>
      </c>
      <c r="J18453" s="1" t="str">
        <f>"77/77"</f>
        <v>77/77</v>
      </c>
      <c r="K18453" s="1" t="str">
        <f>"2026-07-29 13:18:13"</f>
        <v>2026-07-29 13:18:13</v>
      </c>
      <c r="L18453" s="1" t="str">
        <f>"2018-10-22 14:49:56"</f>
        <v>2018-10-22 14:49:56</v>
      </c>
      <c r="M18453" s="1" t="s">
        <v>0</v>
      </c>
      <c r="N18453" s="1" t="s">
        <v>38</v>
      </c>
      <c r="O18453" s="1" t="s">
        <v>46</v>
      </c>
    </row>
    <row r="18454" spans="2:15" x14ac:dyDescent="0.3">
      <c r="B18454" s="1" t="s">
        <v>13</v>
      </c>
      <c r="C18454" s="1" t="str">
        <f>"4차"</f>
        <v>4차</v>
      </c>
      <c r="D18454" s="1" t="str">
        <f>"9826H87139"</f>
        <v>9826H87139</v>
      </c>
      <c r="E18454" s="1" t="s">
        <v>10</v>
      </c>
      <c r="F18454" s="1" t="str">
        <f>"10.12.130.111"</f>
        <v>10.12.130.111</v>
      </c>
      <c r="G18454" s="1" t="str">
        <f>"9826H871"</f>
        <v>9826H871</v>
      </c>
      <c r="H18454" s="1" t="str">
        <f>"사직로 2"</f>
        <v>사직로 2</v>
      </c>
      <c r="I18454" s="1" t="s">
        <v>17</v>
      </c>
      <c r="J18454" s="1" t="str">
        <f>"12/12"</f>
        <v>12/12</v>
      </c>
      <c r="K18454" s="1" t="str">
        <f>"2026-07-29 13:18:13"</f>
        <v>2026-07-29 13:18:13</v>
      </c>
      <c r="L18454" s="1" t="str">
        <f>"2018-10-22 14:30:58"</f>
        <v>2018-10-22 14:30:58</v>
      </c>
      <c r="M18454" s="1" t="s">
        <v>0</v>
      </c>
      <c r="N18454" s="1" t="s">
        <v>38</v>
      </c>
      <c r="O18454" s="1" t="s">
        <v>46</v>
      </c>
    </row>
    <row r="18455" spans="2:15" x14ac:dyDescent="0.3">
      <c r="B18455" s="1" t="s">
        <v>13</v>
      </c>
      <c r="C18455" s="1" t="s">
        <v>16</v>
      </c>
      <c r="D18455" s="1" t="str">
        <f>"9827F0915S"</f>
        <v>9827F0915S</v>
      </c>
      <c r="E18455" s="1" t="s">
        <v>10</v>
      </c>
      <c r="F18455" s="1" t="str">
        <f>"fde1:103:4:56d1:0:0:0:2"</f>
        <v>fde1:103:4:56d1:0:0:0:2</v>
      </c>
      <c r="G18455" s="1" t="str">
        <f>"9827F091"</f>
        <v>9827F091</v>
      </c>
      <c r="H18455" s="1" t="str">
        <f>"부암간 23L3"</f>
        <v>부암간 23L3</v>
      </c>
      <c r="I18455" s="1" t="s">
        <v>15</v>
      </c>
      <c r="J18455" s="1" t="str">
        <f>"46/46"</f>
        <v>46/46</v>
      </c>
      <c r="K18455" s="1" t="str">
        <f>"2026-07-29 14:21:48"</f>
        <v>2026-07-29 14:21:48</v>
      </c>
      <c r="L18455" s="1" t="str">
        <f>"2023-08-04 15:50:54"</f>
        <v>2023-08-04 15:50:54</v>
      </c>
      <c r="M18455" s="1" t="s">
        <v>4</v>
      </c>
      <c r="N18455" s="1" t="s">
        <v>38</v>
      </c>
      <c r="O18455" s="1" t="s">
        <v>46</v>
      </c>
    </row>
    <row r="18456" spans="2:15" x14ac:dyDescent="0.3">
      <c r="B18456" s="1" t="s">
        <v>13</v>
      </c>
      <c r="C18456" s="1" t="str">
        <f>"5-2차"</f>
        <v>5-2차</v>
      </c>
      <c r="D18456" s="1" t="str">
        <f>"9827F4935M"</f>
        <v>9827F4935M</v>
      </c>
      <c r="E18456" s="1" t="s">
        <v>10</v>
      </c>
      <c r="F18456" s="1" t="str">
        <f>"fde1:103:4:555f:0:0:0:2"</f>
        <v>fde1:103:4:555f:0:0:0:2</v>
      </c>
      <c r="G18456" s="1" t="str">
        <f>"9827F493"</f>
        <v>9827F493</v>
      </c>
      <c r="H18456" s="1" t="str">
        <f>"부암간 19"</f>
        <v>부암간 19</v>
      </c>
      <c r="I18456" s="1" t="s">
        <v>15</v>
      </c>
      <c r="J18456" s="1" t="str">
        <f>"36/36"</f>
        <v>36/36</v>
      </c>
      <c r="K18456" s="1" t="str">
        <f>"2026-07-29 14:21:49"</f>
        <v>2026-07-29 14:21:49</v>
      </c>
      <c r="L18456" s="1" t="str">
        <f>"2023-08-23 13:32:34"</f>
        <v>2023-08-23 13:32:34</v>
      </c>
      <c r="M18456" s="1" t="s">
        <v>4</v>
      </c>
      <c r="N18456" s="1" t="s">
        <v>38</v>
      </c>
      <c r="O18456" s="1" t="s">
        <v>46</v>
      </c>
    </row>
    <row r="18457" spans="2:15" x14ac:dyDescent="0.3">
      <c r="B18457" s="1" t="s">
        <v>13</v>
      </c>
      <c r="C18457" s="1" t="str">
        <f>"5-2차"</f>
        <v>5-2차</v>
      </c>
      <c r="D18457" s="1" t="str">
        <f>"9827F5315M"</f>
        <v>9827F5315M</v>
      </c>
      <c r="E18457" s="1" t="s">
        <v>10</v>
      </c>
      <c r="F18457" s="1" t="str">
        <f>"fde1:103:4:5569:0:0:0:2"</f>
        <v>fde1:103:4:5569:0:0:0:2</v>
      </c>
      <c r="G18457" s="1" t="str">
        <f>"9827F531"</f>
        <v>9827F531</v>
      </c>
      <c r="H18457" s="1" t="str">
        <f>"부암간 13H1R2R1"</f>
        <v>부암간 13H1R2R1</v>
      </c>
      <c r="I18457" s="1" t="s">
        <v>15</v>
      </c>
      <c r="J18457" s="1" t="str">
        <f>"47/47"</f>
        <v>47/47</v>
      </c>
      <c r="K18457" s="1" t="str">
        <f>"2026-07-29 14:21:20"</f>
        <v>2026-07-29 14:21:20</v>
      </c>
      <c r="L18457" s="1" t="str">
        <f>"2023-08-23 13:33:46"</f>
        <v>2023-08-23 13:33:46</v>
      </c>
      <c r="M18457" s="1" t="s">
        <v>4</v>
      </c>
      <c r="N18457" s="1" t="s">
        <v>38</v>
      </c>
      <c r="O18457" s="1" t="s">
        <v>46</v>
      </c>
    </row>
    <row r="18458" spans="2:15" x14ac:dyDescent="0.3">
      <c r="B18458" s="1" t="s">
        <v>13</v>
      </c>
      <c r="C18458" s="1" t="str">
        <f>"3차"</f>
        <v>3차</v>
      </c>
      <c r="D18458" s="1" t="str">
        <f>"9827F58139"</f>
        <v>9827F58139</v>
      </c>
      <c r="E18458" s="1" t="s">
        <v>10</v>
      </c>
      <c r="F18458" s="1" t="str">
        <f>"10.11.44.66"</f>
        <v>10.11.44.66</v>
      </c>
      <c r="G18458" s="1" t="str">
        <f>"9827F581"</f>
        <v>9827F581</v>
      </c>
      <c r="H18458" s="1" t="str">
        <f>"부암간 18"</f>
        <v>부암간 18</v>
      </c>
      <c r="I18458" s="1" t="s">
        <v>8</v>
      </c>
      <c r="J18458" s="1" t="str">
        <f>"38/38"</f>
        <v>38/38</v>
      </c>
      <c r="K18458" s="1" t="str">
        <f>"2026-07-29 13:18:13"</f>
        <v>2026-07-29 13:18:13</v>
      </c>
      <c r="L18458" s="1" t="str">
        <f>"2018-06-05 17:30:33"</f>
        <v>2018-06-05 17:30:33</v>
      </c>
      <c r="M18458" s="1" t="s">
        <v>2</v>
      </c>
      <c r="N18458" s="1" t="s">
        <v>38</v>
      </c>
      <c r="O18458" s="1" t="s">
        <v>46</v>
      </c>
    </row>
    <row r="18459" spans="2:15" x14ac:dyDescent="0.3">
      <c r="B18459" s="1" t="s">
        <v>13</v>
      </c>
      <c r="C18459" s="1" t="str">
        <f>"5-2차"</f>
        <v>5-2차</v>
      </c>
      <c r="D18459" s="1" t="str">
        <f>"9827F6415S"</f>
        <v>9827F6415S</v>
      </c>
      <c r="E18459" s="1" t="s">
        <v>10</v>
      </c>
      <c r="F18459" s="1" t="str">
        <f>"fde1:103:4:5563:0:0:0:2"</f>
        <v>fde1:103:4:5563:0:0:0:2</v>
      </c>
      <c r="G18459" s="1" t="str">
        <f>"9827F641"</f>
        <v>9827F641</v>
      </c>
      <c r="H18459" s="1" t="str">
        <f>"부암간 3R4L10"</f>
        <v>부암간 3R4L10</v>
      </c>
      <c r="I18459" s="1" t="s">
        <v>15</v>
      </c>
      <c r="J18459" s="1" t="str">
        <f>"43/43"</f>
        <v>43/43</v>
      </c>
      <c r="K18459" s="1" t="str">
        <f>"2026-07-29 14:21:49"</f>
        <v>2026-07-29 14:21:49</v>
      </c>
      <c r="L18459" s="1" t="str">
        <f>"2023-08-23 13:48:04"</f>
        <v>2023-08-23 13:48:04</v>
      </c>
      <c r="M18459" s="1" t="s">
        <v>4</v>
      </c>
      <c r="N18459" s="1" t="s">
        <v>38</v>
      </c>
      <c r="O18459" s="1" t="s">
        <v>46</v>
      </c>
    </row>
    <row r="18460" spans="2:15" x14ac:dyDescent="0.3">
      <c r="B18460" s="1" t="s">
        <v>13</v>
      </c>
      <c r="C18460" s="1" t="str">
        <f>"5-2차"</f>
        <v>5-2차</v>
      </c>
      <c r="D18460" s="1" t="str">
        <f>"9827F6615M"</f>
        <v>9827F6615M</v>
      </c>
      <c r="E18460" s="1" t="s">
        <v>10</v>
      </c>
      <c r="F18460" s="1" t="str">
        <f>"fde1:103:4:5562:0:0:0:2"</f>
        <v>fde1:103:4:5562:0:0:0:2</v>
      </c>
      <c r="G18460" s="1" t="str">
        <f>"9827F661"</f>
        <v>9827F661</v>
      </c>
      <c r="H18460" s="1" t="str">
        <f>"부암간 15R3"</f>
        <v>부암간 15R3</v>
      </c>
      <c r="I18460" s="1" t="s">
        <v>15</v>
      </c>
      <c r="J18460" s="1" t="str">
        <f>"7/7"</f>
        <v>7/7</v>
      </c>
      <c r="K18460" s="1" t="str">
        <f>"2026-07-29 14:21:49"</f>
        <v>2026-07-29 14:21:49</v>
      </c>
      <c r="L18460" s="1" t="str">
        <f>"2023-08-23 13:48:40"</f>
        <v>2023-08-23 13:48:40</v>
      </c>
      <c r="M18460" s="1" t="s">
        <v>4</v>
      </c>
      <c r="N18460" s="1" t="s">
        <v>38</v>
      </c>
      <c r="O18460" s="1" t="s">
        <v>46</v>
      </c>
    </row>
    <row r="18461" spans="2:15" x14ac:dyDescent="0.3">
      <c r="B18461" s="1" t="s">
        <v>13</v>
      </c>
      <c r="C18461" s="1" t="str">
        <f>"3차"</f>
        <v>3차</v>
      </c>
      <c r="D18461" s="1" t="str">
        <f>"9827F71239"</f>
        <v>9827F71239</v>
      </c>
      <c r="E18461" s="1" t="s">
        <v>10</v>
      </c>
      <c r="F18461" s="1" t="str">
        <f>"10.11.45.26"</f>
        <v>10.11.45.26</v>
      </c>
      <c r="G18461" s="1" t="str">
        <f>"9827F712"</f>
        <v>9827F712</v>
      </c>
      <c r="H18461" s="1" t="str">
        <f>"부암간 3R1H1L2"</f>
        <v>부암간 3R1H1L2</v>
      </c>
      <c r="I18461" s="1" t="s">
        <v>8</v>
      </c>
      <c r="J18461" s="1" t="str">
        <f>"16/16"</f>
        <v>16/16</v>
      </c>
      <c r="K18461" s="1" t="str">
        <f>"2026-07-29 13:18:13"</f>
        <v>2026-07-29 13:18:13</v>
      </c>
      <c r="L18461" s="1" t="str">
        <f>"2018-04-28 15:39:45"</f>
        <v>2018-04-28 15:39:45</v>
      </c>
      <c r="M18461" s="1" t="s">
        <v>2</v>
      </c>
      <c r="N18461" s="1" t="s">
        <v>38</v>
      </c>
      <c r="O18461" s="1" t="s">
        <v>46</v>
      </c>
    </row>
    <row r="18462" spans="2:15" x14ac:dyDescent="0.3">
      <c r="B18462" s="1" t="s">
        <v>13</v>
      </c>
      <c r="C18462" s="1" t="str">
        <f>"5-1차"</f>
        <v>5-1차</v>
      </c>
      <c r="D18462" s="1" t="str">
        <f>"9827F8125M"</f>
        <v>9827F8125M</v>
      </c>
      <c r="E18462" s="1" t="s">
        <v>10</v>
      </c>
      <c r="F18462" s="1" t="str">
        <f>"fde2:104:0:108:0:0:0:2"</f>
        <v>fde2:104:0:108:0:0:0:2</v>
      </c>
      <c r="G18462" s="1" t="str">
        <f>"9827F812"</f>
        <v>9827F812</v>
      </c>
      <c r="H18462" s="1" t="str">
        <f>"부암간 3R3"</f>
        <v>부암간 3R3</v>
      </c>
      <c r="I18462" s="1" t="s">
        <v>15</v>
      </c>
      <c r="J18462" s="1" t="str">
        <f>"34/34"</f>
        <v>34/34</v>
      </c>
      <c r="K18462" s="1" t="str">
        <f>"2026-07-29 14:21:17"</f>
        <v>2026-07-29 14:21:17</v>
      </c>
      <c r="L18462" s="1" t="str">
        <f>"2022-11-16 14:51:30"</f>
        <v>2022-11-16 14:51:30</v>
      </c>
      <c r="M18462" s="1" t="s">
        <v>42</v>
      </c>
      <c r="N18462" s="1" t="s">
        <v>38</v>
      </c>
      <c r="O18462" s="1" t="s">
        <v>46</v>
      </c>
    </row>
    <row r="18463" spans="2:15" x14ac:dyDescent="0.3">
      <c r="B18463" s="1" t="s">
        <v>13</v>
      </c>
      <c r="C18463" s="1" t="str">
        <f>"5-1차"</f>
        <v>5-1차</v>
      </c>
      <c r="D18463" s="1" t="str">
        <f>"9827F8335M"</f>
        <v>9827F8335M</v>
      </c>
      <c r="E18463" s="1" t="s">
        <v>10</v>
      </c>
      <c r="F18463" s="1" t="str">
        <f>"fde2:104:0:1a7:0:0:0:2"</f>
        <v>fde2:104:0:1a7:0:0:0:2</v>
      </c>
      <c r="G18463" s="1" t="str">
        <f>"9827F833"</f>
        <v>9827F833</v>
      </c>
      <c r="H18463" s="1" t="str">
        <f>"부암간 3R4L4"</f>
        <v>부암간 3R4L4</v>
      </c>
      <c r="I18463" s="1" t="s">
        <v>15</v>
      </c>
      <c r="J18463" s="1" t="str">
        <f>"17/17"</f>
        <v>17/17</v>
      </c>
      <c r="K18463" s="1" t="str">
        <f>"2026-07-29 14:21:50"</f>
        <v>2026-07-29 14:21:50</v>
      </c>
      <c r="L18463" s="1" t="str">
        <f>"2022-11-28 10:02:29"</f>
        <v>2022-11-28 10:02:29</v>
      </c>
      <c r="M18463" s="1" t="s">
        <v>42</v>
      </c>
      <c r="N18463" s="1" t="s">
        <v>38</v>
      </c>
      <c r="O18463" s="1" t="s">
        <v>46</v>
      </c>
    </row>
    <row r="18464" spans="2:15" x14ac:dyDescent="0.3">
      <c r="B18464" s="1" t="s">
        <v>13</v>
      </c>
      <c r="C18464" s="1" t="str">
        <f>"5-2차"</f>
        <v>5-2차</v>
      </c>
      <c r="D18464" s="1" t="str">
        <f>"9827H4725M"</f>
        <v>9827H4725M</v>
      </c>
      <c r="E18464" s="1" t="s">
        <v>10</v>
      </c>
      <c r="F18464" s="1" t="str">
        <f>"fde1:103:4:556b:0:0:0:2"</f>
        <v>fde1:103:4:556b:0:0:0:2</v>
      </c>
      <c r="G18464" s="1" t="str">
        <f>"9827H472"</f>
        <v>9827H472</v>
      </c>
      <c r="H18464" s="1" t="str">
        <f>"부암간 2L4L5"</f>
        <v>부암간 2L4L5</v>
      </c>
      <c r="I18464" s="1" t="s">
        <v>15</v>
      </c>
      <c r="J18464" s="1" t="str">
        <f>"22/22"</f>
        <v>22/22</v>
      </c>
      <c r="K18464" s="1" t="str">
        <f>"2026-07-29 14:21:50"</f>
        <v>2026-07-29 14:21:50</v>
      </c>
      <c r="L18464" s="1" t="str">
        <f>"2023-08-23 14:11:47"</f>
        <v>2023-08-23 14:11:47</v>
      </c>
      <c r="M18464" s="1" t="s">
        <v>4</v>
      </c>
      <c r="N18464" s="1" t="s">
        <v>38</v>
      </c>
      <c r="O18464" s="1" t="s">
        <v>46</v>
      </c>
    </row>
    <row r="18465" spans="2:15" x14ac:dyDescent="0.3">
      <c r="B18465" s="1" t="s">
        <v>13</v>
      </c>
      <c r="C18465" s="1" t="str">
        <f>"4차"</f>
        <v>4차</v>
      </c>
      <c r="D18465" s="1" t="str">
        <f>"9827X90122"</f>
        <v>9827X90122</v>
      </c>
      <c r="E18465" s="1" t="s">
        <v>10</v>
      </c>
      <c r="F18465" s="1" t="str">
        <f>"10.11.45.34"</f>
        <v>10.11.45.34</v>
      </c>
      <c r="G18465" s="1" t="str">
        <f>"9827X901"</f>
        <v>9827X901</v>
      </c>
      <c r="H18465" s="1" t="str">
        <f>"효자간 35L2R6L6"</f>
        <v>효자간 35L2R6L6</v>
      </c>
      <c r="I18465" s="1" t="s">
        <v>8</v>
      </c>
      <c r="J18465" s="1" t="str">
        <f>"5/5"</f>
        <v>5/5</v>
      </c>
      <c r="K18465" s="1" t="str">
        <f>"2026-07-29 13:18:12"</f>
        <v>2026-07-29 13:18:12</v>
      </c>
      <c r="L18465" s="1" t="str">
        <f>"2017-06-21 16:03:54"</f>
        <v>2017-06-21 16:03:54</v>
      </c>
      <c r="M18465" s="1" t="s">
        <v>2</v>
      </c>
      <c r="N18465" s="1" t="s">
        <v>38</v>
      </c>
      <c r="O18465" s="1" t="s">
        <v>46</v>
      </c>
    </row>
    <row r="18466" spans="2:15" x14ac:dyDescent="0.3">
      <c r="B18466" s="1" t="s">
        <v>13</v>
      </c>
      <c r="C18466" s="1" t="str">
        <f>"2차"</f>
        <v>2차</v>
      </c>
      <c r="D18466" s="1" t="str">
        <f>"9827X92121"</f>
        <v>9827X92121</v>
      </c>
      <c r="E18466" s="1" t="s">
        <v>10</v>
      </c>
      <c r="F18466" s="1" t="str">
        <f>"10.11.8.195"</f>
        <v>10.11.8.195</v>
      </c>
      <c r="G18466" s="1" t="str">
        <f>"9827X921"</f>
        <v>9827X921</v>
      </c>
      <c r="H18466" s="1" t="str">
        <f>"효자간 35L2R12"</f>
        <v>효자간 35L2R12</v>
      </c>
      <c r="I18466" s="1" t="s">
        <v>8</v>
      </c>
      <c r="J18466" s="1" t="str">
        <f>"3/3"</f>
        <v>3/3</v>
      </c>
      <c r="K18466" s="1" t="str">
        <f>"2026-07-29 13:18:12"</f>
        <v>2026-07-29 13:18:12</v>
      </c>
      <c r="L18466" s="1" t="str">
        <f>"2017-06-21 17:41:03"</f>
        <v>2017-06-21 17:41:03</v>
      </c>
      <c r="M18466" s="1" t="s">
        <v>2</v>
      </c>
      <c r="N18466" s="1" t="s">
        <v>38</v>
      </c>
      <c r="O18466" s="1" t="s">
        <v>46</v>
      </c>
    </row>
    <row r="18467" spans="2:15" x14ac:dyDescent="0.3">
      <c r="B18467" s="1" t="s">
        <v>13</v>
      </c>
      <c r="C18467" s="1" t="str">
        <f>"4차"</f>
        <v>4차</v>
      </c>
      <c r="D18467" s="1" t="str">
        <f>"9827Z56329"</f>
        <v>9827Z56329</v>
      </c>
      <c r="E18467" s="1" t="s">
        <v>10</v>
      </c>
      <c r="F18467" s="1" t="str">
        <f>"10.11.3.106"</f>
        <v>10.11.3.106</v>
      </c>
      <c r="G18467" s="1" t="str">
        <f>"9827Z563"</f>
        <v>9827Z563</v>
      </c>
      <c r="H18467" s="1" t="str">
        <f>"옥인지 31R3"</f>
        <v>옥인지 31R3</v>
      </c>
      <c r="I18467" s="1" t="s">
        <v>8</v>
      </c>
      <c r="J18467" s="1" t="str">
        <f>"25/25"</f>
        <v>25/25</v>
      </c>
      <c r="K18467" s="1" t="str">
        <f>"2026-07-29 13:18:12"</f>
        <v>2026-07-29 13:18:12</v>
      </c>
      <c r="L18467" s="1" t="str">
        <f>"2017-06-21 17:56:25"</f>
        <v>2017-06-21 17:56:25</v>
      </c>
      <c r="M18467" s="1" t="s">
        <v>2</v>
      </c>
      <c r="N18467" s="1" t="s">
        <v>38</v>
      </c>
      <c r="O18467" s="1" t="s">
        <v>46</v>
      </c>
    </row>
    <row r="18468" spans="2:15" x14ac:dyDescent="0.3">
      <c r="B18468" s="1" t="s">
        <v>13</v>
      </c>
      <c r="C18468" s="1" t="str">
        <f>"2차"</f>
        <v>2차</v>
      </c>
      <c r="D18468" s="1" t="str">
        <f>"9827Z61129"</f>
        <v>9827Z61129</v>
      </c>
      <c r="E18468" s="1" t="s">
        <v>10</v>
      </c>
      <c r="F18468" s="1" t="str">
        <f>"10.11.4.202"</f>
        <v>10.11.4.202</v>
      </c>
      <c r="G18468" s="1" t="str">
        <f>"9827Z611"</f>
        <v>9827Z611</v>
      </c>
      <c r="H18468" s="1" t="str">
        <f>"옥인지 24L3"</f>
        <v>옥인지 24L3</v>
      </c>
      <c r="I18468" s="1" t="s">
        <v>8</v>
      </c>
      <c r="J18468" s="1" t="str">
        <f>"20/22"</f>
        <v>20/22</v>
      </c>
      <c r="K18468" s="1" t="str">
        <f>"2026-07-29 13:18:12"</f>
        <v>2026-07-29 13:18:12</v>
      </c>
      <c r="L18468" s="1" t="str">
        <f>"2017-06-20 11:19:51"</f>
        <v>2017-06-20 11:19:51</v>
      </c>
      <c r="M18468" s="1" t="s">
        <v>2</v>
      </c>
      <c r="N18468" s="1" t="s">
        <v>38</v>
      </c>
      <c r="O18468" s="1" t="s">
        <v>46</v>
      </c>
    </row>
    <row r="18469" spans="2:15" x14ac:dyDescent="0.3">
      <c r="B18469" s="1" t="s">
        <v>13</v>
      </c>
      <c r="C18469" s="1" t="str">
        <f>"5-2차"</f>
        <v>5-2차</v>
      </c>
      <c r="D18469" s="1" t="str">
        <f>"9827Z6415M"</f>
        <v>9827Z6415M</v>
      </c>
      <c r="E18469" s="1" t="s">
        <v>10</v>
      </c>
      <c r="F18469" s="1" t="str">
        <f>"fde3:102:1304:1801:0:0:0:2"</f>
        <v>fde3:102:1304:1801:0:0:0:2</v>
      </c>
      <c r="G18469" s="1" t="str">
        <f>"9827Z641"</f>
        <v>9827Z641</v>
      </c>
      <c r="H18469" s="1" t="str">
        <f>"옥인지 28"</f>
        <v>옥인지 28</v>
      </c>
      <c r="I18469" s="1" t="s">
        <v>15</v>
      </c>
      <c r="J18469" s="1" t="str">
        <f>"88/88"</f>
        <v>88/88</v>
      </c>
      <c r="K18469" s="1" t="str">
        <f>"2026-07-29 14:21:49"</f>
        <v>2026-07-29 14:21:49</v>
      </c>
      <c r="L18469" s="1" t="str">
        <f>"2023-07-05 09:32:04"</f>
        <v>2023-07-05 09:32:04</v>
      </c>
      <c r="M18469" s="1" t="s">
        <v>45</v>
      </c>
      <c r="N18469" s="1" t="s">
        <v>38</v>
      </c>
      <c r="O18469" s="1" t="s">
        <v>46</v>
      </c>
    </row>
    <row r="18470" spans="2:15" x14ac:dyDescent="0.3">
      <c r="B18470" s="1" t="s">
        <v>13</v>
      </c>
      <c r="C18470" s="1" t="str">
        <f>"2차"</f>
        <v>2차</v>
      </c>
      <c r="D18470" s="1" t="str">
        <f>"9827Z71120"</f>
        <v>9827Z71120</v>
      </c>
      <c r="E18470" s="1" t="s">
        <v>12</v>
      </c>
      <c r="F18470" s="1" t="str">
        <f>"10.89.80.2"</f>
        <v>10.89.80.2</v>
      </c>
      <c r="G18470" s="1" t="str">
        <f>"9827Z711"</f>
        <v>9827Z711</v>
      </c>
      <c r="H18470" s="1" t="str">
        <f>"옥인지 24L1"</f>
        <v>옥인지 24L1</v>
      </c>
      <c r="I18470" s="1" t="s">
        <v>8</v>
      </c>
      <c r="J18470" s="1" t="str">
        <f>"0/10"</f>
        <v>0/10</v>
      </c>
      <c r="K18470" s="1" t="str">
        <f>"2026-07-21 07:18:12"</f>
        <v>2026-07-21 07:18:12</v>
      </c>
      <c r="L18470" s="1" t="str">
        <f>"2017-06-21 17:41:02"</f>
        <v>2017-06-21 17:41:02</v>
      </c>
      <c r="M18470" s="1" t="s">
        <v>45</v>
      </c>
      <c r="N18470" s="1" t="s">
        <v>38</v>
      </c>
      <c r="O18470" s="1" t="s">
        <v>46</v>
      </c>
    </row>
    <row r="18471" spans="2:15" x14ac:dyDescent="0.3">
      <c r="B18471" s="1" t="s">
        <v>13</v>
      </c>
      <c r="C18471" s="1" t="str">
        <f>"2차"</f>
        <v>2차</v>
      </c>
      <c r="D18471" s="1" t="str">
        <f>"9827Z72329"</f>
        <v>9827Z72329</v>
      </c>
      <c r="E18471" s="1" t="s">
        <v>10</v>
      </c>
      <c r="F18471" s="1" t="str">
        <f>"10.11.4.210"</f>
        <v>10.11.4.210</v>
      </c>
      <c r="G18471" s="1" t="str">
        <f>"9827Z723"</f>
        <v>9827Z723</v>
      </c>
      <c r="H18471" s="1" t="str">
        <f>"옥인지 25L1"</f>
        <v>옥인지 25L1</v>
      </c>
      <c r="I18471" s="1" t="s">
        <v>8</v>
      </c>
      <c r="J18471" s="1" t="str">
        <f>"13/52"</f>
        <v>13/52</v>
      </c>
      <c r="K18471" s="1" t="str">
        <f>"2026-07-29 13:18:12"</f>
        <v>2026-07-29 13:18:12</v>
      </c>
      <c r="L18471" s="1" t="str">
        <f>"2017-06-21 17:41:02"</f>
        <v>2017-06-21 17:41:02</v>
      </c>
      <c r="M18471" s="1" t="s">
        <v>2</v>
      </c>
      <c r="N18471" s="1" t="s">
        <v>38</v>
      </c>
      <c r="O18471" s="1" t="s">
        <v>46</v>
      </c>
    </row>
    <row r="18472" spans="2:15" x14ac:dyDescent="0.3">
      <c r="B18472" s="1" t="s">
        <v>13</v>
      </c>
      <c r="C18472" s="1" t="str">
        <f>"2차"</f>
        <v>2차</v>
      </c>
      <c r="D18472" s="1" t="str">
        <f>"9827Z73129"</f>
        <v>9827Z73129</v>
      </c>
      <c r="E18472" s="1" t="s">
        <v>10</v>
      </c>
      <c r="F18472" s="1" t="str">
        <f>"10.11.2.202"</f>
        <v>10.11.2.202</v>
      </c>
      <c r="G18472" s="1" t="str">
        <f>"9827Z731"</f>
        <v>9827Z731</v>
      </c>
      <c r="H18472" s="1" t="str">
        <f>"옥인지 26"</f>
        <v>옥인지 26</v>
      </c>
      <c r="I18472" s="1" t="s">
        <v>8</v>
      </c>
      <c r="J18472" s="1" t="str">
        <f>"32/32"</f>
        <v>32/32</v>
      </c>
      <c r="K18472" s="1" t="str">
        <f>"2026-07-29 13:18:12"</f>
        <v>2026-07-29 13:18:12</v>
      </c>
      <c r="L18472" s="1" t="str">
        <f>"2017-06-21 17:51:01"</f>
        <v>2017-06-21 17:51:01</v>
      </c>
      <c r="M18472" s="1" t="s">
        <v>2</v>
      </c>
      <c r="N18472" s="1" t="s">
        <v>38</v>
      </c>
      <c r="O18472" s="1" t="s">
        <v>46</v>
      </c>
    </row>
    <row r="18473" spans="2:15" x14ac:dyDescent="0.3">
      <c r="B18473" s="1" t="s">
        <v>13</v>
      </c>
      <c r="C18473" s="1" t="str">
        <f>"2차"</f>
        <v>2차</v>
      </c>
      <c r="D18473" s="1" t="str">
        <f>"9827Z73429"</f>
        <v>9827Z73429</v>
      </c>
      <c r="E18473" s="1" t="str">
        <f>"검침실패(3시간 이상)"</f>
        <v>검침실패(3시간 이상)</v>
      </c>
      <c r="F18473" s="1" t="str">
        <f>"10.89.80.10"</f>
        <v>10.89.80.10</v>
      </c>
      <c r="G18473" s="1" t="str">
        <f>"9827Z734"</f>
        <v>9827Z734</v>
      </c>
      <c r="H18473" s="1" t="str">
        <f>"옥인지 26H3"</f>
        <v>옥인지 26H3</v>
      </c>
      <c r="I18473" s="1" t="s">
        <v>8</v>
      </c>
      <c r="J18473" s="1" t="str">
        <f>"0/39"</f>
        <v>0/39</v>
      </c>
      <c r="K18473" s="1" t="str">
        <f>"2026-07-29 13:18:12"</f>
        <v>2026-07-29 13:18:12</v>
      </c>
      <c r="L18473" s="1" t="str">
        <f>"2017-06-20 11:20:26"</f>
        <v>2017-06-20 11:20:26</v>
      </c>
      <c r="M18473" s="1" t="s">
        <v>45</v>
      </c>
      <c r="N18473" s="1" t="s">
        <v>38</v>
      </c>
      <c r="O18473" s="1" t="s">
        <v>46</v>
      </c>
    </row>
    <row r="18474" spans="2:15" x14ac:dyDescent="0.3">
      <c r="B18474" s="1" t="s">
        <v>13</v>
      </c>
      <c r="C18474" s="1" t="str">
        <f>"2차"</f>
        <v>2차</v>
      </c>
      <c r="D18474" s="1" t="str">
        <f>"9827Z75120"</f>
        <v>9827Z75120</v>
      </c>
      <c r="E18474" s="1" t="s">
        <v>10</v>
      </c>
      <c r="F18474" s="1" t="str">
        <f>"10.11.4.178"</f>
        <v>10.11.4.178</v>
      </c>
      <c r="G18474" s="1" t="str">
        <f>"9827Z751"</f>
        <v>9827Z751</v>
      </c>
      <c r="H18474" s="1" t="str">
        <f>"옥인지 18R3"</f>
        <v>옥인지 18R3</v>
      </c>
      <c r="I18474" s="1" t="s">
        <v>8</v>
      </c>
      <c r="J18474" s="1" t="str">
        <f>"45/45"</f>
        <v>45/45</v>
      </c>
      <c r="K18474" s="1" t="str">
        <f>"2026-07-29 13:18:12"</f>
        <v>2026-07-29 13:18:12</v>
      </c>
      <c r="L18474" s="1" t="str">
        <f>"2017-06-21 17:41:03"</f>
        <v>2017-06-21 17:41:03</v>
      </c>
      <c r="M18474" s="1" t="s">
        <v>2</v>
      </c>
      <c r="N18474" s="1" t="s">
        <v>38</v>
      </c>
      <c r="O18474" s="1" t="s">
        <v>46</v>
      </c>
    </row>
    <row r="18475" spans="2:15" x14ac:dyDescent="0.3">
      <c r="B18475" s="1" t="s">
        <v>13</v>
      </c>
      <c r="C18475" s="1" t="str">
        <f>"4차"</f>
        <v>4차</v>
      </c>
      <c r="D18475" s="1" t="str">
        <f>"9827Z80121"</f>
        <v>9827Z80121</v>
      </c>
      <c r="E18475" s="1" t="s">
        <v>10</v>
      </c>
      <c r="F18475" s="1" t="str">
        <f>"10.89.80.18"</f>
        <v>10.89.80.18</v>
      </c>
      <c r="G18475" s="1" t="str">
        <f>"9827Z801"</f>
        <v>9827Z801</v>
      </c>
      <c r="H18475" s="1" t="str">
        <f>"옥인지 24L1L2"</f>
        <v>옥인지 24L1L2</v>
      </c>
      <c r="I18475" s="1" t="s">
        <v>8</v>
      </c>
      <c r="J18475" s="1" t="str">
        <f>"39/40"</f>
        <v>39/40</v>
      </c>
      <c r="K18475" s="1" t="str">
        <f>"2026-07-29 13:18:12"</f>
        <v>2026-07-29 13:18:12</v>
      </c>
      <c r="L18475" s="1" t="str">
        <f>"2017-06-21 17:41:02"</f>
        <v>2017-06-21 17:41:02</v>
      </c>
      <c r="M18475" s="1" t="s">
        <v>45</v>
      </c>
      <c r="N18475" s="1" t="s">
        <v>38</v>
      </c>
      <c r="O18475" s="1" t="s">
        <v>46</v>
      </c>
    </row>
    <row r="18476" spans="2:15" x14ac:dyDescent="0.3">
      <c r="B18476" s="1" t="s">
        <v>13</v>
      </c>
      <c r="C18476" s="1" t="str">
        <f>"2차"</f>
        <v>2차</v>
      </c>
      <c r="D18476" s="1" t="str">
        <f>"9827Z81121"</f>
        <v>9827Z81121</v>
      </c>
      <c r="E18476" s="1" t="s">
        <v>10</v>
      </c>
      <c r="F18476" s="1" t="str">
        <f>"10.11.4.187"</f>
        <v>10.11.4.187</v>
      </c>
      <c r="G18476" s="1" t="str">
        <f>"9827Z811"</f>
        <v>9827Z811</v>
      </c>
      <c r="H18476" s="1" t="str">
        <f>"옥인지 23L1"</f>
        <v>옥인지 23L1</v>
      </c>
      <c r="I18476" s="1" t="s">
        <v>8</v>
      </c>
      <c r="J18476" s="1" t="str">
        <f>"35/42"</f>
        <v>35/42</v>
      </c>
      <c r="K18476" s="1" t="str">
        <f>"2026-07-29 13:18:13"</f>
        <v>2026-07-29 13:18:13</v>
      </c>
      <c r="L18476" s="1" t="str">
        <f>"2017-06-21 17:51:01"</f>
        <v>2017-06-21 17:51:01</v>
      </c>
      <c r="M18476" s="1" t="s">
        <v>2</v>
      </c>
      <c r="N18476" s="1" t="s">
        <v>38</v>
      </c>
      <c r="O18476" s="1" t="s">
        <v>46</v>
      </c>
    </row>
    <row r="18477" spans="2:15" x14ac:dyDescent="0.3">
      <c r="B18477" s="1" t="s">
        <v>13</v>
      </c>
      <c r="C18477" s="1" t="str">
        <f>"4차"</f>
        <v>4차</v>
      </c>
      <c r="D18477" s="1" t="str">
        <f>"9827Z82220"</f>
        <v>9827Z82220</v>
      </c>
      <c r="E18477" s="1" t="s">
        <v>10</v>
      </c>
      <c r="F18477" s="1" t="str">
        <f>"10.11.4.186"</f>
        <v>10.11.4.186</v>
      </c>
      <c r="G18477" s="1" t="str">
        <f>"9827Z822"</f>
        <v>9827Z822</v>
      </c>
      <c r="H18477" s="1" t="str">
        <f>"옥인지 23"</f>
        <v>옥인지 23</v>
      </c>
      <c r="I18477" s="1" t="s">
        <v>8</v>
      </c>
      <c r="J18477" s="1" t="str">
        <f>"49/50"</f>
        <v>49/50</v>
      </c>
      <c r="K18477" s="1" t="str">
        <f>"2026-07-29 13:18:13"</f>
        <v>2026-07-29 13:18:13</v>
      </c>
      <c r="L18477" s="1" t="str">
        <f>"2017-06-21 17:41:02"</f>
        <v>2017-06-21 17:41:02</v>
      </c>
      <c r="M18477" s="1" t="s">
        <v>2</v>
      </c>
      <c r="N18477" s="1" t="s">
        <v>38</v>
      </c>
      <c r="O18477" s="1" t="s">
        <v>46</v>
      </c>
    </row>
    <row r="18478" spans="2:15" x14ac:dyDescent="0.3">
      <c r="B18478" s="1" t="s">
        <v>13</v>
      </c>
      <c r="C18478" s="1" t="str">
        <f>"5-1차"</f>
        <v>5-1차</v>
      </c>
      <c r="D18478" s="1" t="str">
        <f>"9827Z8255M"</f>
        <v>9827Z8255M</v>
      </c>
      <c r="E18478" s="1" t="s">
        <v>10</v>
      </c>
      <c r="F18478" s="1" t="str">
        <f>"fde2:104:0:19d:0:0:0:2"</f>
        <v>fde2:104:0:19d:0:0:0:2</v>
      </c>
      <c r="G18478" s="1" t="str">
        <f>"9827Z825"</f>
        <v>9827Z825</v>
      </c>
      <c r="H18478" s="1" t="str">
        <f>"옥인지 22"</f>
        <v>옥인지 22</v>
      </c>
      <c r="I18478" s="1" t="s">
        <v>15</v>
      </c>
      <c r="J18478" s="1" t="str">
        <f>"61/61"</f>
        <v>61/61</v>
      </c>
      <c r="K18478" s="1" t="str">
        <f>"2026-07-29 14:21:51"</f>
        <v>2026-07-29 14:21:51</v>
      </c>
      <c r="L18478" s="1" t="str">
        <f>"2022-12-20 15:58:47"</f>
        <v>2022-12-20 15:58:47</v>
      </c>
      <c r="M18478" s="1" t="s">
        <v>42</v>
      </c>
      <c r="N18478" s="1" t="s">
        <v>38</v>
      </c>
      <c r="O18478" s="1" t="s">
        <v>46</v>
      </c>
    </row>
    <row r="18479" spans="2:15" x14ac:dyDescent="0.3">
      <c r="B18479" s="1" t="s">
        <v>13</v>
      </c>
      <c r="C18479" s="1" t="str">
        <f>"2차"</f>
        <v>2차</v>
      </c>
      <c r="D18479" s="1" t="str">
        <f>"9827Z84120"</f>
        <v>9827Z84120</v>
      </c>
      <c r="E18479" s="1" t="s">
        <v>10</v>
      </c>
      <c r="F18479" s="1" t="str">
        <f>"10.11.4.170"</f>
        <v>10.11.4.170</v>
      </c>
      <c r="G18479" s="1" t="str">
        <f>"9827Z841"</f>
        <v>9827Z841</v>
      </c>
      <c r="H18479" s="1" t="str">
        <f>"옥인지 18R2"</f>
        <v>옥인지 18R2</v>
      </c>
      <c r="I18479" s="1" t="s">
        <v>8</v>
      </c>
      <c r="J18479" s="1" t="str">
        <f>"39/39"</f>
        <v>39/39</v>
      </c>
      <c r="K18479" s="1" t="str">
        <f>"2026-07-29 13:18:13"</f>
        <v>2026-07-29 13:18:13</v>
      </c>
      <c r="L18479" s="1" t="str">
        <f>"2017-06-21 17:41:02"</f>
        <v>2017-06-21 17:41:02</v>
      </c>
      <c r="M18479" s="1" t="s">
        <v>2</v>
      </c>
      <c r="N18479" s="1" t="s">
        <v>38</v>
      </c>
      <c r="O18479" s="1" t="s">
        <v>46</v>
      </c>
    </row>
    <row r="18480" spans="2:15" x14ac:dyDescent="0.3">
      <c r="B18480" s="1" t="s">
        <v>13</v>
      </c>
      <c r="C18480" s="1" t="str">
        <f>"4차"</f>
        <v>4차</v>
      </c>
      <c r="D18480" s="1" t="str">
        <f>"9827Z85221"</f>
        <v>9827Z85221</v>
      </c>
      <c r="E18480" s="1" t="s">
        <v>10</v>
      </c>
      <c r="F18480" s="1" t="str">
        <f>"10.11.4.179"</f>
        <v>10.11.4.179</v>
      </c>
      <c r="G18480" s="1" t="str">
        <f>"9827Z852"</f>
        <v>9827Z852</v>
      </c>
      <c r="H18480" s="1" t="str">
        <f>"옥인지 18R3R1"</f>
        <v>옥인지 18R3R1</v>
      </c>
      <c r="I18480" s="1" t="s">
        <v>8</v>
      </c>
      <c r="J18480" s="1" t="str">
        <f>"98/99"</f>
        <v>98/99</v>
      </c>
      <c r="K18480" s="1" t="str">
        <f>"2026-07-29 13:18:13"</f>
        <v>2026-07-29 13:18:13</v>
      </c>
      <c r="L18480" s="1" t="str">
        <f>"2017-06-21 17:51:01"</f>
        <v>2017-06-21 17:51:01</v>
      </c>
      <c r="M18480" s="1" t="s">
        <v>2</v>
      </c>
      <c r="N18480" s="1" t="s">
        <v>38</v>
      </c>
      <c r="O18480" s="1" t="s">
        <v>46</v>
      </c>
    </row>
    <row r="18481" spans="2:15" x14ac:dyDescent="0.3">
      <c r="B18481" s="1" t="s">
        <v>13</v>
      </c>
      <c r="C18481" s="1" t="str">
        <f>"2차"</f>
        <v>2차</v>
      </c>
      <c r="D18481" s="1" t="str">
        <f>"9827Z88120"</f>
        <v>9827Z88120</v>
      </c>
      <c r="E18481" s="1" t="s">
        <v>10</v>
      </c>
      <c r="F18481" s="1" t="str">
        <f>"10.11.5.18"</f>
        <v>10.11.5.18</v>
      </c>
      <c r="G18481" s="1" t="str">
        <f>"9827Z881"</f>
        <v>9827Z881</v>
      </c>
      <c r="H18481" s="1" t="str">
        <f>"옥인지 7R12"</f>
        <v>옥인지 7R12</v>
      </c>
      <c r="I18481" s="1" t="s">
        <v>8</v>
      </c>
      <c r="J18481" s="1" t="str">
        <f>"14/14"</f>
        <v>14/14</v>
      </c>
      <c r="K18481" s="1" t="str">
        <f>"2026-07-29 13:18:13"</f>
        <v>2026-07-29 13:18:13</v>
      </c>
      <c r="L18481" s="1" t="str">
        <f>"2017-06-21 17:41:02"</f>
        <v>2017-06-21 17:41:02</v>
      </c>
      <c r="M18481" s="1" t="s">
        <v>2</v>
      </c>
      <c r="N18481" s="1" t="s">
        <v>38</v>
      </c>
      <c r="O18481" s="1" t="s">
        <v>46</v>
      </c>
    </row>
    <row r="18482" spans="2:15" x14ac:dyDescent="0.3">
      <c r="B18482" s="1" t="s">
        <v>13</v>
      </c>
      <c r="C18482" s="1" t="str">
        <f>"4차"</f>
        <v>4차</v>
      </c>
      <c r="D18482" s="1" t="str">
        <f>"9827Z88221"</f>
        <v>9827Z88221</v>
      </c>
      <c r="E18482" s="1" t="s">
        <v>10</v>
      </c>
      <c r="F18482" s="1" t="str">
        <f>"10.11.5.35"</f>
        <v>10.11.5.35</v>
      </c>
      <c r="G18482" s="1" t="str">
        <f>"9827Z882"</f>
        <v>9827Z882</v>
      </c>
      <c r="H18482" s="1" t="str">
        <f>"옥인지 7R9"</f>
        <v>옥인지 7R9</v>
      </c>
      <c r="I18482" s="1" t="s">
        <v>8</v>
      </c>
      <c r="J18482" s="1" t="str">
        <f>"13/15"</f>
        <v>13/15</v>
      </c>
      <c r="K18482" s="1" t="str">
        <f>"2026-07-29 13:18:13"</f>
        <v>2026-07-29 13:18:13</v>
      </c>
      <c r="L18482" s="1" t="str">
        <f>"2017-06-21 17:41:02"</f>
        <v>2017-06-21 17:41:02</v>
      </c>
      <c r="M18482" s="1" t="s">
        <v>2</v>
      </c>
      <c r="N18482" s="1" t="s">
        <v>38</v>
      </c>
      <c r="O18482" s="1" t="s">
        <v>46</v>
      </c>
    </row>
    <row r="18483" spans="2:15" x14ac:dyDescent="0.3">
      <c r="B18483" s="1" t="s">
        <v>13</v>
      </c>
      <c r="C18483" s="1" t="str">
        <f>"2차"</f>
        <v>2차</v>
      </c>
      <c r="D18483" s="1" t="str">
        <f>"9827Z93122"</f>
        <v>9827Z93122</v>
      </c>
      <c r="E18483" s="1" t="s">
        <v>10</v>
      </c>
      <c r="F18483" s="1" t="str">
        <f>"10.11.4.164"</f>
        <v>10.11.4.164</v>
      </c>
      <c r="G18483" s="1" t="str">
        <f>"9827Z931"</f>
        <v>9827Z931</v>
      </c>
      <c r="H18483" s="1" t="str">
        <f>"옥인지 18"</f>
        <v>옥인지 18</v>
      </c>
      <c r="I18483" s="1" t="s">
        <v>8</v>
      </c>
      <c r="J18483" s="1" t="str">
        <f>"18/18"</f>
        <v>18/18</v>
      </c>
      <c r="K18483" s="1" t="str">
        <f>"2026-07-29 13:18:13"</f>
        <v>2026-07-29 13:18:13</v>
      </c>
      <c r="L18483" s="1" t="str">
        <f>"2017-06-21 17:41:01"</f>
        <v>2017-06-21 17:41:01</v>
      </c>
      <c r="M18483" s="1" t="s">
        <v>2</v>
      </c>
      <c r="N18483" s="1" t="s">
        <v>38</v>
      </c>
      <c r="O18483" s="1" t="s">
        <v>46</v>
      </c>
    </row>
    <row r="18484" spans="2:15" x14ac:dyDescent="0.3">
      <c r="B18484" s="1" t="s">
        <v>13</v>
      </c>
      <c r="C18484" s="1" t="s">
        <v>16</v>
      </c>
      <c r="D18484" s="1" t="str">
        <f>"9827Z9325S"</f>
        <v>9827Z9325S</v>
      </c>
      <c r="E18484" s="1" t="s">
        <v>10</v>
      </c>
      <c r="F18484" s="1" t="str">
        <f>"fde3:102:1304:1805:0:0:0:2"</f>
        <v>fde3:102:1304:1805:0:0:0:2</v>
      </c>
      <c r="G18484" s="1" t="str">
        <f>"9827Z932"</f>
        <v>9827Z932</v>
      </c>
      <c r="H18484" s="1" t="str">
        <f>"옥인지 19"</f>
        <v>옥인지 19</v>
      </c>
      <c r="I18484" s="1" t="s">
        <v>15</v>
      </c>
      <c r="J18484" s="1" t="str">
        <f>"32/36"</f>
        <v>32/36</v>
      </c>
      <c r="K18484" s="1" t="str">
        <f>"2026-07-29 14:21:18"</f>
        <v>2026-07-29 14:21:18</v>
      </c>
      <c r="L18484" s="1" t="str">
        <f>"2023-08-09 10:50:57"</f>
        <v>2023-08-09 10:50:57</v>
      </c>
      <c r="M18484" s="1" t="s">
        <v>45</v>
      </c>
      <c r="N18484" s="1" t="s">
        <v>38</v>
      </c>
      <c r="O18484" s="1" t="s">
        <v>46</v>
      </c>
    </row>
    <row r="18485" spans="2:15" x14ac:dyDescent="0.3">
      <c r="B18485" s="1" t="s">
        <v>13</v>
      </c>
      <c r="C18485" s="1" t="str">
        <f>"2차"</f>
        <v>2차</v>
      </c>
      <c r="D18485" s="1" t="str">
        <f>"9827Z94121"</f>
        <v>9827Z94121</v>
      </c>
      <c r="E18485" s="1" t="s">
        <v>10</v>
      </c>
      <c r="F18485" s="1" t="str">
        <f>"10.11.4.171"</f>
        <v>10.11.4.171</v>
      </c>
      <c r="G18485" s="1" t="str">
        <f>"9827Z941"</f>
        <v>9827Z941</v>
      </c>
      <c r="H18485" s="1" t="str">
        <f>"옥인지 18R1"</f>
        <v>옥인지 18R1</v>
      </c>
      <c r="I18485" s="1" t="s">
        <v>8</v>
      </c>
      <c r="J18485" s="1" t="str">
        <f>"25/25"</f>
        <v>25/25</v>
      </c>
      <c r="K18485" s="1" t="str">
        <f t="shared" ref="K18485:K18494" si="918">"2026-07-29 13:18:13"</f>
        <v>2026-07-29 13:18:13</v>
      </c>
      <c r="L18485" s="1" t="str">
        <f>"2017-06-21 16:12:09"</f>
        <v>2017-06-21 16:12:09</v>
      </c>
      <c r="M18485" s="1" t="s">
        <v>2</v>
      </c>
      <c r="N18485" s="1" t="s">
        <v>38</v>
      </c>
      <c r="O18485" s="1" t="s">
        <v>46</v>
      </c>
    </row>
    <row r="18486" spans="2:15" x14ac:dyDescent="0.3">
      <c r="B18486" s="1" t="s">
        <v>13</v>
      </c>
      <c r="C18486" s="1" t="str">
        <f>"4차"</f>
        <v>4차</v>
      </c>
      <c r="D18486" s="1" t="str">
        <f>"9827Z97120"</f>
        <v>9827Z97120</v>
      </c>
      <c r="E18486" s="1" t="s">
        <v>10</v>
      </c>
      <c r="F18486" s="1" t="str">
        <f>"10.11.5.34"</f>
        <v>10.11.5.34</v>
      </c>
      <c r="G18486" s="1" t="str">
        <f>"9827Z971"</f>
        <v>9827Z971</v>
      </c>
      <c r="H18486" s="1" t="str">
        <f>"옥인지 7R7"</f>
        <v>옥인지 7R7</v>
      </c>
      <c r="I18486" s="1" t="s">
        <v>8</v>
      </c>
      <c r="J18486" s="1" t="str">
        <f>"13/26"</f>
        <v>13/26</v>
      </c>
      <c r="K18486" s="1" t="str">
        <f t="shared" si="918"/>
        <v>2026-07-29 13:18:13</v>
      </c>
      <c r="L18486" s="1" t="str">
        <f>"2017-07-21 09:04:55"</f>
        <v>2017-07-21 09:04:55</v>
      </c>
      <c r="M18486" s="1" t="s">
        <v>2</v>
      </c>
      <c r="N18486" s="1" t="s">
        <v>38</v>
      </c>
      <c r="O18486" s="1" t="s">
        <v>46</v>
      </c>
    </row>
    <row r="18487" spans="2:15" x14ac:dyDescent="0.3">
      <c r="B18487" s="1" t="s">
        <v>13</v>
      </c>
      <c r="C18487" s="1" t="str">
        <f>"3차"</f>
        <v>3차</v>
      </c>
      <c r="D18487" s="1" t="str">
        <f>"9828B64139"</f>
        <v>9828B64139</v>
      </c>
      <c r="E18487" s="1" t="s">
        <v>10</v>
      </c>
      <c r="F18487" s="1" t="str">
        <f>"10.11.30.106"</f>
        <v>10.11.30.106</v>
      </c>
      <c r="G18487" s="1" t="str">
        <f>"9828B641"</f>
        <v>9828B641</v>
      </c>
      <c r="H18487" s="1" t="str">
        <f>"구기지 11L6L4"</f>
        <v>구기지 11L6L4</v>
      </c>
      <c r="I18487" s="1" t="s">
        <v>8</v>
      </c>
      <c r="J18487" s="1" t="str">
        <f>"25/25"</f>
        <v>25/25</v>
      </c>
      <c r="K18487" s="1" t="str">
        <f t="shared" si="918"/>
        <v>2026-07-29 13:18:13</v>
      </c>
      <c r="L18487" s="1" t="str">
        <f>"2018-02-13 11:34:42"</f>
        <v>2018-02-13 11:34:42</v>
      </c>
      <c r="M18487" s="1" t="s">
        <v>2</v>
      </c>
      <c r="N18487" s="1" t="s">
        <v>38</v>
      </c>
      <c r="O18487" s="1" t="s">
        <v>46</v>
      </c>
    </row>
    <row r="18488" spans="2:15" x14ac:dyDescent="0.3">
      <c r="B18488" s="1" t="s">
        <v>13</v>
      </c>
      <c r="C18488" s="1" t="str">
        <f>"3차"</f>
        <v>3차</v>
      </c>
      <c r="D18488" s="1" t="str">
        <f>"9828B65139"</f>
        <v>9828B65139</v>
      </c>
      <c r="E18488" s="1" t="s">
        <v>10</v>
      </c>
      <c r="F18488" s="1" t="str">
        <f>"10.11.12.42"</f>
        <v>10.11.12.42</v>
      </c>
      <c r="G18488" s="1" t="str">
        <f>"9828B651"</f>
        <v>9828B651</v>
      </c>
      <c r="H18488" s="1" t="str">
        <f>"구기지 11L6L2"</f>
        <v>구기지 11L6L2</v>
      </c>
      <c r="I18488" s="1" t="s">
        <v>8</v>
      </c>
      <c r="J18488" s="1" t="str">
        <f>"29/29"</f>
        <v>29/29</v>
      </c>
      <c r="K18488" s="1" t="str">
        <f t="shared" si="918"/>
        <v>2026-07-29 13:18:13</v>
      </c>
      <c r="L18488" s="1" t="str">
        <f>"2018-02-26 19:37:21"</f>
        <v>2018-02-26 19:37:21</v>
      </c>
      <c r="M18488" s="1" t="s">
        <v>2</v>
      </c>
      <c r="N18488" s="1" t="s">
        <v>38</v>
      </c>
      <c r="O18488" s="1" t="s">
        <v>46</v>
      </c>
    </row>
    <row r="18489" spans="2:15" x14ac:dyDescent="0.3">
      <c r="B18489" s="1" t="s">
        <v>13</v>
      </c>
      <c r="C18489" s="1" t="str">
        <f>"4차"</f>
        <v>4차</v>
      </c>
      <c r="D18489" s="1" t="str">
        <f>"9828B67139"</f>
        <v>9828B67139</v>
      </c>
      <c r="E18489" s="1" t="s">
        <v>10</v>
      </c>
      <c r="F18489" s="1" t="str">
        <f>"10.11.25.98"</f>
        <v>10.11.25.98</v>
      </c>
      <c r="G18489" s="1" t="str">
        <f>"9828B671"</f>
        <v>9828B671</v>
      </c>
      <c r="H18489" s="1" t="str">
        <f>"구기지 11L5"</f>
        <v>구기지 11L5</v>
      </c>
      <c r="I18489" s="1" t="s">
        <v>8</v>
      </c>
      <c r="J18489" s="1" t="str">
        <f>"27/27"</f>
        <v>27/27</v>
      </c>
      <c r="K18489" s="1" t="str">
        <f t="shared" si="918"/>
        <v>2026-07-29 13:18:13</v>
      </c>
      <c r="L18489" s="1" t="str">
        <f>"2017-12-11 14:26:30"</f>
        <v>2017-12-11 14:26:30</v>
      </c>
      <c r="M18489" s="1" t="s">
        <v>2</v>
      </c>
      <c r="N18489" s="1" t="s">
        <v>38</v>
      </c>
      <c r="O18489" s="1" t="s">
        <v>46</v>
      </c>
    </row>
    <row r="18490" spans="2:15" x14ac:dyDescent="0.3">
      <c r="B18490" s="1" t="s">
        <v>13</v>
      </c>
      <c r="C18490" s="1" t="str">
        <f>"3차"</f>
        <v>3차</v>
      </c>
      <c r="D18490" s="1" t="str">
        <f>"9828B86139"</f>
        <v>9828B86139</v>
      </c>
      <c r="E18490" s="1" t="s">
        <v>10</v>
      </c>
      <c r="F18490" s="1" t="str">
        <f>"10.11.12.34"</f>
        <v>10.11.12.34</v>
      </c>
      <c r="G18490" s="1" t="str">
        <f>"9828B861"</f>
        <v>9828B861</v>
      </c>
      <c r="H18490" s="1" t="str">
        <f>"구기지 11L3"</f>
        <v>구기지 11L3</v>
      </c>
      <c r="I18490" s="1" t="s">
        <v>8</v>
      </c>
      <c r="J18490" s="1" t="str">
        <f>"39/41"</f>
        <v>39/41</v>
      </c>
      <c r="K18490" s="1" t="str">
        <f t="shared" si="918"/>
        <v>2026-07-29 13:18:13</v>
      </c>
      <c r="L18490" s="1" t="str">
        <f>"2018-02-26 19:38:52"</f>
        <v>2018-02-26 19:38:52</v>
      </c>
      <c r="M18490" s="1" t="s">
        <v>2</v>
      </c>
      <c r="N18490" s="1" t="s">
        <v>38</v>
      </c>
      <c r="O18490" s="1" t="s">
        <v>46</v>
      </c>
    </row>
    <row r="18491" spans="2:15" x14ac:dyDescent="0.3">
      <c r="B18491" s="1" t="s">
        <v>13</v>
      </c>
      <c r="C18491" s="1" t="str">
        <f>"3차"</f>
        <v>3차</v>
      </c>
      <c r="D18491" s="1" t="str">
        <f>"9828B88239"</f>
        <v>9828B88239</v>
      </c>
      <c r="E18491" s="1" t="s">
        <v>10</v>
      </c>
      <c r="F18491" s="1" t="str">
        <f>"10.11.12.10"</f>
        <v>10.11.12.10</v>
      </c>
      <c r="G18491" s="1" t="str">
        <f>"9828B882"</f>
        <v>9828B882</v>
      </c>
      <c r="H18491" s="1" t="str">
        <f>"구기지 17"</f>
        <v>구기지 17</v>
      </c>
      <c r="I18491" s="1" t="s">
        <v>8</v>
      </c>
      <c r="J18491" s="1" t="str">
        <f>"14/14"</f>
        <v>14/14</v>
      </c>
      <c r="K18491" s="1" t="str">
        <f t="shared" si="918"/>
        <v>2026-07-29 13:18:13</v>
      </c>
      <c r="L18491" s="1" t="str">
        <f>"2017-12-13 10:23:11"</f>
        <v>2017-12-13 10:23:11</v>
      </c>
      <c r="M18491" s="1" t="s">
        <v>2</v>
      </c>
      <c r="N18491" s="1" t="s">
        <v>38</v>
      </c>
      <c r="O18491" s="1" t="s">
        <v>46</v>
      </c>
    </row>
    <row r="18492" spans="2:15" x14ac:dyDescent="0.3">
      <c r="B18492" s="1" t="s">
        <v>13</v>
      </c>
      <c r="C18492" s="1" t="str">
        <f>"3차"</f>
        <v>3차</v>
      </c>
      <c r="D18492" s="1" t="str">
        <f>"9828D75139"</f>
        <v>9828D75139</v>
      </c>
      <c r="E18492" s="1" t="s">
        <v>10</v>
      </c>
      <c r="F18492" s="1" t="str">
        <f>"10.11.27.186"</f>
        <v>10.11.27.186</v>
      </c>
      <c r="G18492" s="1" t="str">
        <f>"9828D751"</f>
        <v>9828D751</v>
      </c>
      <c r="H18492" s="1" t="str">
        <f>"청운간 45L6"</f>
        <v>청운간 45L6</v>
      </c>
      <c r="I18492" s="1" t="s">
        <v>8</v>
      </c>
      <c r="J18492" s="1" t="str">
        <f>"3/3"</f>
        <v>3/3</v>
      </c>
      <c r="K18492" s="1" t="str">
        <f t="shared" si="918"/>
        <v>2026-07-29 13:18:13</v>
      </c>
      <c r="L18492" s="1" t="str">
        <f>"2017-12-07 17:06:17"</f>
        <v>2017-12-07 17:06:17</v>
      </c>
      <c r="M18492" s="1" t="s">
        <v>2</v>
      </c>
      <c r="N18492" s="1" t="s">
        <v>38</v>
      </c>
      <c r="O18492" s="1" t="s">
        <v>46</v>
      </c>
    </row>
    <row r="18493" spans="2:15" x14ac:dyDescent="0.3">
      <c r="B18493" s="1" t="s">
        <v>13</v>
      </c>
      <c r="C18493" s="1" t="str">
        <f>"3차"</f>
        <v>3차</v>
      </c>
      <c r="D18493" s="1" t="str">
        <f>"9828D97139"</f>
        <v>9828D97139</v>
      </c>
      <c r="E18493" s="1" t="s">
        <v>10</v>
      </c>
      <c r="F18493" s="1" t="str">
        <f>"10.11.21.90"</f>
        <v>10.11.21.90</v>
      </c>
      <c r="G18493" s="1" t="str">
        <f>"9828D971"</f>
        <v>9828D971</v>
      </c>
      <c r="H18493" s="1" t="str">
        <f>"청운간 45L3R1"</f>
        <v>청운간 45L3R1</v>
      </c>
      <c r="I18493" s="1" t="s">
        <v>8</v>
      </c>
      <c r="J18493" s="1" t="str">
        <f>"47/47"</f>
        <v>47/47</v>
      </c>
      <c r="K18493" s="1" t="str">
        <f t="shared" si="918"/>
        <v>2026-07-29 13:18:13</v>
      </c>
      <c r="L18493" s="1" t="str">
        <f>"2018-03-10 06:14:07"</f>
        <v>2018-03-10 06:14:07</v>
      </c>
      <c r="M18493" s="1" t="s">
        <v>2</v>
      </c>
      <c r="N18493" s="1" t="s">
        <v>38</v>
      </c>
      <c r="O18493" s="1" t="s">
        <v>46</v>
      </c>
    </row>
    <row r="18494" spans="2:15" x14ac:dyDescent="0.3">
      <c r="B18494" s="1" t="s">
        <v>13</v>
      </c>
      <c r="C18494" s="1" t="str">
        <f>"3차"</f>
        <v>3차</v>
      </c>
      <c r="D18494" s="1" t="str">
        <f>"9828E18139"</f>
        <v>9828E18139</v>
      </c>
      <c r="E18494" s="1" t="s">
        <v>10</v>
      </c>
      <c r="F18494" s="1" t="str">
        <f>"10.11.30.122"</f>
        <v>10.11.30.122</v>
      </c>
      <c r="G18494" s="1" t="str">
        <f>"9828E181"</f>
        <v>9828E181</v>
      </c>
      <c r="H18494" s="1" t="str">
        <f>"구기지 14R1H1R2"</f>
        <v>구기지 14R1H1R2</v>
      </c>
      <c r="I18494" s="1" t="s">
        <v>8</v>
      </c>
      <c r="J18494" s="1" t="str">
        <f>"5/5"</f>
        <v>5/5</v>
      </c>
      <c r="K18494" s="1" t="str">
        <f t="shared" si="918"/>
        <v>2026-07-29 13:18:13</v>
      </c>
      <c r="L18494" s="1" t="str">
        <f>"2018-02-13 11:45:41"</f>
        <v>2018-02-13 11:45:41</v>
      </c>
      <c r="M18494" s="1" t="s">
        <v>2</v>
      </c>
      <c r="N18494" s="1" t="s">
        <v>38</v>
      </c>
      <c r="O18494" s="1" t="s">
        <v>46</v>
      </c>
    </row>
    <row r="18495" spans="2:15" x14ac:dyDescent="0.3">
      <c r="B18495" s="1" t="s">
        <v>13</v>
      </c>
      <c r="C18495" s="1" t="s">
        <v>16</v>
      </c>
      <c r="D18495" s="1" t="str">
        <f>"9828E3425S"</f>
        <v>9828E3425S</v>
      </c>
      <c r="E18495" s="1" t="s">
        <v>10</v>
      </c>
      <c r="F18495" s="1" t="str">
        <f>"fde3:102:1304:1300:0:0:0:2"</f>
        <v>fde3:102:1304:1300:0:0:0:2</v>
      </c>
      <c r="G18495" s="1" t="str">
        <f>"9828E342"</f>
        <v>9828E342</v>
      </c>
      <c r="H18495" s="1" t="str">
        <f>"구기지 8R4"</f>
        <v>구기지 8R4</v>
      </c>
      <c r="I18495" s="1" t="s">
        <v>15</v>
      </c>
      <c r="J18495" s="1" t="str">
        <f>"45/45"</f>
        <v>45/45</v>
      </c>
      <c r="K18495" s="1" t="str">
        <f>"2026-07-29 14:21:49"</f>
        <v>2026-07-29 14:21:49</v>
      </c>
      <c r="L18495" s="1" t="str">
        <f>"2023-08-09 14:04:12"</f>
        <v>2023-08-09 14:04:12</v>
      </c>
      <c r="M18495" s="1" t="s">
        <v>45</v>
      </c>
      <c r="N18495" s="1" t="s">
        <v>38</v>
      </c>
      <c r="O18495" s="1" t="s">
        <v>46</v>
      </c>
    </row>
    <row r="18496" spans="2:15" x14ac:dyDescent="0.3">
      <c r="B18496" s="1" t="s">
        <v>13</v>
      </c>
      <c r="C18496" s="1" t="s">
        <v>16</v>
      </c>
      <c r="D18496" s="1" t="str">
        <f>"9828E4235S"</f>
        <v>9828E4235S</v>
      </c>
      <c r="E18496" s="1" t="s">
        <v>10</v>
      </c>
      <c r="F18496" s="1" t="str">
        <f>"fde3:102:1304:1500:0:0:0:2"</f>
        <v>fde3:102:1304:1500:0:0:0:2</v>
      </c>
      <c r="G18496" s="1" t="str">
        <f>"9828E423"</f>
        <v>9828E423</v>
      </c>
      <c r="H18496" s="1" t="str">
        <f>"구기지 5R6R1"</f>
        <v>구기지 5R6R1</v>
      </c>
      <c r="I18496" s="1" t="s">
        <v>15</v>
      </c>
      <c r="J18496" s="1" t="str">
        <f>"46/46"</f>
        <v>46/46</v>
      </c>
      <c r="K18496" s="1" t="str">
        <f>"2026-07-29 14:21:19"</f>
        <v>2026-07-29 14:21:19</v>
      </c>
      <c r="L18496" s="1" t="str">
        <f>"2023-08-08 15:41:37"</f>
        <v>2023-08-08 15:41:37</v>
      </c>
      <c r="M18496" s="1" t="s">
        <v>45</v>
      </c>
      <c r="N18496" s="1" t="s">
        <v>38</v>
      </c>
      <c r="O18496" s="1" t="s">
        <v>46</v>
      </c>
    </row>
    <row r="18497" spans="2:15" x14ac:dyDescent="0.3">
      <c r="B18497" s="1" t="s">
        <v>13</v>
      </c>
      <c r="C18497" s="1" t="str">
        <f t="shared" ref="C18497:C18504" si="919">"3차"</f>
        <v>3차</v>
      </c>
      <c r="D18497" s="1" t="str">
        <f>"9828F40139"</f>
        <v>9828F40139</v>
      </c>
      <c r="E18497" s="1" t="s">
        <v>10</v>
      </c>
      <c r="F18497" s="1" t="str">
        <f>"10.11.39.106"</f>
        <v>10.11.39.106</v>
      </c>
      <c r="G18497" s="1" t="str">
        <f>"9828F401"</f>
        <v>9828F401</v>
      </c>
      <c r="H18497" s="1" t="str">
        <f>"청운간 102"</f>
        <v>청운간 102</v>
      </c>
      <c r="I18497" s="1" t="s">
        <v>8</v>
      </c>
      <c r="J18497" s="1" t="str">
        <f>"8/8"</f>
        <v>8/8</v>
      </c>
      <c r="K18497" s="1" t="str">
        <f>"2026-07-29 13:18:13"</f>
        <v>2026-07-29 13:18:13</v>
      </c>
      <c r="L18497" s="1" t="str">
        <f>"2018-02-13 08:41:10"</f>
        <v>2018-02-13 08:41:10</v>
      </c>
      <c r="M18497" s="1" t="s">
        <v>2</v>
      </c>
      <c r="N18497" s="1" t="s">
        <v>38</v>
      </c>
      <c r="O18497" s="1" t="s">
        <v>46</v>
      </c>
    </row>
    <row r="18498" spans="2:15" x14ac:dyDescent="0.3">
      <c r="B18498" s="1" t="s">
        <v>13</v>
      </c>
      <c r="C18498" s="1" t="str">
        <f t="shared" si="919"/>
        <v>3차</v>
      </c>
      <c r="D18498" s="1" t="str">
        <f>"9828F42439"</f>
        <v>9828F42439</v>
      </c>
      <c r="E18498" s="1" t="s">
        <v>10</v>
      </c>
      <c r="F18498" s="1" t="str">
        <f>"10.11.27.114"</f>
        <v>10.11.27.114</v>
      </c>
      <c r="G18498" s="1" t="str">
        <f>"9828F424"</f>
        <v>9828F424</v>
      </c>
      <c r="H18498" s="1" t="str">
        <f>"청운간 104L1R1"</f>
        <v>청운간 104L1R1</v>
      </c>
      <c r="I18498" s="1" t="s">
        <v>8</v>
      </c>
      <c r="J18498" s="1" t="str">
        <f>"17/17"</f>
        <v>17/17</v>
      </c>
      <c r="K18498" s="1" t="str">
        <f>"2026-07-29 13:18:13"</f>
        <v>2026-07-29 13:18:13</v>
      </c>
      <c r="L18498" s="1" t="str">
        <f>"2021-07-27 13:45:22"</f>
        <v>2021-07-27 13:45:22</v>
      </c>
      <c r="M18498" s="1" t="s">
        <v>2</v>
      </c>
      <c r="N18498" s="1" t="s">
        <v>38</v>
      </c>
      <c r="O18498" s="1" t="s">
        <v>46</v>
      </c>
    </row>
    <row r="18499" spans="2:15" x14ac:dyDescent="0.3">
      <c r="B18499" s="1" t="s">
        <v>13</v>
      </c>
      <c r="C18499" s="1" t="str">
        <f t="shared" si="919"/>
        <v>3차</v>
      </c>
      <c r="D18499" s="1" t="str">
        <f>"9828F51431"</f>
        <v>9828F51431</v>
      </c>
      <c r="E18499" s="1" t="s">
        <v>10</v>
      </c>
      <c r="F18499" s="1" t="str">
        <f>"10.11.20.35"</f>
        <v>10.11.20.35</v>
      </c>
      <c r="G18499" s="1" t="str">
        <f>"9828F514"</f>
        <v>9828F514</v>
      </c>
      <c r="H18499" s="1" t="str">
        <f>"청운간 106"</f>
        <v>청운간 106</v>
      </c>
      <c r="I18499" s="1" t="s">
        <v>8</v>
      </c>
      <c r="J18499" s="1" t="str">
        <f>"5/5"</f>
        <v>5/5</v>
      </c>
      <c r="K18499" s="1" t="str">
        <f>"2026-07-29 13:18:13"</f>
        <v>2026-07-29 13:18:13</v>
      </c>
      <c r="L18499" s="1" t="str">
        <f>"2018-05-30 14:06:11"</f>
        <v>2018-05-30 14:06:11</v>
      </c>
      <c r="M18499" s="1" t="s">
        <v>2</v>
      </c>
      <c r="N18499" s="1" t="s">
        <v>38</v>
      </c>
      <c r="O18499" s="1" t="s">
        <v>46</v>
      </c>
    </row>
    <row r="18500" spans="2:15" x14ac:dyDescent="0.3">
      <c r="B18500" s="1" t="s">
        <v>13</v>
      </c>
      <c r="C18500" s="1" t="str">
        <f t="shared" si="919"/>
        <v>3차</v>
      </c>
      <c r="D18500" s="1" t="str">
        <f>"9828F52139"</f>
        <v>9828F52139</v>
      </c>
      <c r="E18500" s="1" t="s">
        <v>10</v>
      </c>
      <c r="F18500" s="1" t="str">
        <f>"10.11.20.106"</f>
        <v>10.11.20.106</v>
      </c>
      <c r="G18500" s="1" t="str">
        <f>"9828F521"</f>
        <v>9828F521</v>
      </c>
      <c r="H18500" s="1" t="str">
        <f>"청운간 104A2"</f>
        <v>청운간 104A2</v>
      </c>
      <c r="I18500" s="1" t="s">
        <v>8</v>
      </c>
      <c r="J18500" s="1" t="str">
        <f>"12/12"</f>
        <v>12/12</v>
      </c>
      <c r="K18500" s="1" t="str">
        <f>"2026-07-29 13:18:13"</f>
        <v>2026-07-29 13:18:13</v>
      </c>
      <c r="L18500" s="1" t="str">
        <f>"2018-05-17 17:49:13"</f>
        <v>2018-05-17 17:49:13</v>
      </c>
      <c r="M18500" s="1" t="s">
        <v>2</v>
      </c>
      <c r="N18500" s="1" t="s">
        <v>38</v>
      </c>
      <c r="O18500" s="1" t="s">
        <v>46</v>
      </c>
    </row>
    <row r="18501" spans="2:15" x14ac:dyDescent="0.3">
      <c r="B18501" s="1" t="s">
        <v>13</v>
      </c>
      <c r="C18501" s="1" t="str">
        <f t="shared" si="919"/>
        <v>3차</v>
      </c>
      <c r="D18501" s="1" t="str">
        <f>"9828F61230"</f>
        <v>9828F61230</v>
      </c>
      <c r="E18501" s="1" t="s">
        <v>10</v>
      </c>
      <c r="F18501" s="1" t="str">
        <f>"10.11.20.34"</f>
        <v>10.11.20.34</v>
      </c>
      <c r="G18501" s="1" t="str">
        <f>"9828F612"</f>
        <v>9828F612</v>
      </c>
      <c r="H18501" s="1" t="str">
        <f>"청운간 107"</f>
        <v>청운간 107</v>
      </c>
      <c r="I18501" s="1" t="s">
        <v>8</v>
      </c>
      <c r="J18501" s="1" t="str">
        <f>"18/18"</f>
        <v>18/18</v>
      </c>
      <c r="K18501" s="1" t="str">
        <f>"2026-07-29 13:18:13"</f>
        <v>2026-07-29 13:18:13</v>
      </c>
      <c r="L18501" s="1" t="str">
        <f>"2018-01-10 15:23:27"</f>
        <v>2018-01-10 15:23:27</v>
      </c>
      <c r="M18501" s="1" t="s">
        <v>2</v>
      </c>
      <c r="N18501" s="1" t="s">
        <v>38</v>
      </c>
      <c r="O18501" s="1" t="s">
        <v>46</v>
      </c>
    </row>
    <row r="18502" spans="2:15" x14ac:dyDescent="0.3">
      <c r="B18502" s="1" t="s">
        <v>13</v>
      </c>
      <c r="C18502" s="1" t="str">
        <f t="shared" si="919"/>
        <v>3차</v>
      </c>
      <c r="D18502" s="1" t="str">
        <f>"9828F63139"</f>
        <v>9828F63139</v>
      </c>
      <c r="E18502" s="1" t="s">
        <v>10</v>
      </c>
      <c r="F18502" s="1" t="str">
        <f>"10.12.137.122"</f>
        <v>10.12.137.122</v>
      </c>
      <c r="G18502" s="1" t="str">
        <f>"9828F631"</f>
        <v>9828F631</v>
      </c>
      <c r="H18502" s="1" t="str">
        <f>"청운간 114L2L4"</f>
        <v>청운간 114L2L4</v>
      </c>
      <c r="I18502" s="1" t="s">
        <v>8</v>
      </c>
      <c r="J18502" s="1" t="str">
        <f>"7/8"</f>
        <v>7/8</v>
      </c>
      <c r="K18502" s="1" t="str">
        <f>"2026-07-29 13:18:12"</f>
        <v>2026-07-29 13:18:12</v>
      </c>
      <c r="L18502" s="1" t="str">
        <f>"2018-05-10 16:25:27"</f>
        <v>2018-05-10 16:25:27</v>
      </c>
      <c r="M18502" s="1" t="s">
        <v>0</v>
      </c>
      <c r="N18502" s="1" t="s">
        <v>38</v>
      </c>
      <c r="O18502" s="1" t="s">
        <v>46</v>
      </c>
    </row>
    <row r="18503" spans="2:15" x14ac:dyDescent="0.3">
      <c r="B18503" s="1" t="s">
        <v>13</v>
      </c>
      <c r="C18503" s="1" t="str">
        <f t="shared" si="919"/>
        <v>3차</v>
      </c>
      <c r="D18503" s="1" t="str">
        <f>"9828F71239"</f>
        <v>9828F71239</v>
      </c>
      <c r="E18503" s="1" t="s">
        <v>10</v>
      </c>
      <c r="F18503" s="1" t="str">
        <f>"10.11.39.114"</f>
        <v>10.11.39.114</v>
      </c>
      <c r="G18503" s="1" t="str">
        <f>"9828F712"</f>
        <v>9828F712</v>
      </c>
      <c r="H18503" s="1" t="str">
        <f>"청운간 108"</f>
        <v>청운간 108</v>
      </c>
      <c r="I18503" s="1" t="s">
        <v>8</v>
      </c>
      <c r="J18503" s="1" t="str">
        <f>"34/37"</f>
        <v>34/37</v>
      </c>
      <c r="K18503" s="1" t="str">
        <f t="shared" ref="K18503:K18510" si="920">"2026-07-29 13:18:13"</f>
        <v>2026-07-29 13:18:13</v>
      </c>
      <c r="L18503" s="1" t="str">
        <f>"2018-02-13 08:27:40"</f>
        <v>2018-02-13 08:27:40</v>
      </c>
      <c r="M18503" s="1" t="s">
        <v>2</v>
      </c>
      <c r="N18503" s="1" t="s">
        <v>38</v>
      </c>
      <c r="O18503" s="1" t="s">
        <v>46</v>
      </c>
    </row>
    <row r="18504" spans="2:15" x14ac:dyDescent="0.3">
      <c r="B18504" s="1" t="s">
        <v>13</v>
      </c>
      <c r="C18504" s="1" t="str">
        <f t="shared" si="919"/>
        <v>3차</v>
      </c>
      <c r="D18504" s="1" t="str">
        <f>"9828F73139"</f>
        <v>9828F73139</v>
      </c>
      <c r="E18504" s="1" t="s">
        <v>10</v>
      </c>
      <c r="F18504" s="1" t="str">
        <f>"10.11.20.42"</f>
        <v>10.11.20.42</v>
      </c>
      <c r="G18504" s="1" t="str">
        <f>"9828F731"</f>
        <v>9828F731</v>
      </c>
      <c r="H18504" s="1" t="str">
        <f>"청운간 111"</f>
        <v>청운간 111</v>
      </c>
      <c r="I18504" s="1" t="s">
        <v>8</v>
      </c>
      <c r="J18504" s="1" t="str">
        <f>"11/11"</f>
        <v>11/11</v>
      </c>
      <c r="K18504" s="1" t="str">
        <f t="shared" si="920"/>
        <v>2026-07-29 13:18:13</v>
      </c>
      <c r="L18504" s="1" t="str">
        <f>"2018-02-26 19:40:06"</f>
        <v>2018-02-26 19:40:06</v>
      </c>
      <c r="M18504" s="1" t="s">
        <v>2</v>
      </c>
      <c r="N18504" s="1" t="s">
        <v>38</v>
      </c>
      <c r="O18504" s="1" t="s">
        <v>46</v>
      </c>
    </row>
    <row r="18505" spans="2:15" x14ac:dyDescent="0.3">
      <c r="B18505" s="1" t="s">
        <v>13</v>
      </c>
      <c r="C18505" s="1" t="s">
        <v>16</v>
      </c>
      <c r="D18505" s="1" t="str">
        <f>"9828F75239"</f>
        <v>9828F75239</v>
      </c>
      <c r="E18505" s="1" t="s">
        <v>10</v>
      </c>
      <c r="F18505" s="1" t="str">
        <f>"10.11.27.138"</f>
        <v>10.11.27.138</v>
      </c>
      <c r="G18505" s="1" t="str">
        <f>"9828F752"</f>
        <v>9828F752</v>
      </c>
      <c r="H18505" s="1" t="str">
        <f>"청운간 114L2L2"</f>
        <v>청운간 114L2L2</v>
      </c>
      <c r="I18505" s="1" t="s">
        <v>8</v>
      </c>
      <c r="J18505" s="1" t="str">
        <f>"10/10"</f>
        <v>10/10</v>
      </c>
      <c r="K18505" s="1" t="str">
        <f t="shared" si="920"/>
        <v>2026-07-29 13:18:13</v>
      </c>
      <c r="L18505" s="1" t="str">
        <f>"2025-10-23 11:23:26"</f>
        <v>2025-10-23 11:23:26</v>
      </c>
      <c r="M18505" s="1" t="s">
        <v>2</v>
      </c>
      <c r="N18505" s="1" t="s">
        <v>38</v>
      </c>
      <c r="O18505" s="1" t="s">
        <v>46</v>
      </c>
    </row>
    <row r="18506" spans="2:15" x14ac:dyDescent="0.3">
      <c r="B18506" s="1" t="s">
        <v>13</v>
      </c>
      <c r="C18506" s="1" t="str">
        <f>"3차"</f>
        <v>3차</v>
      </c>
      <c r="D18506" s="1" t="str">
        <f>"9828F84139"</f>
        <v>9828F84139</v>
      </c>
      <c r="E18506" s="1" t="s">
        <v>10</v>
      </c>
      <c r="F18506" s="1" t="str">
        <f>"10.11.39.122"</f>
        <v>10.11.39.122</v>
      </c>
      <c r="G18506" s="1" t="str">
        <f>"9828F841"</f>
        <v>9828F841</v>
      </c>
      <c r="H18506" s="1" t="str">
        <f>"청운간 112"</f>
        <v>청운간 112</v>
      </c>
      <c r="I18506" s="1" t="s">
        <v>8</v>
      </c>
      <c r="J18506" s="1" t="str">
        <f>"6/6"</f>
        <v>6/6</v>
      </c>
      <c r="K18506" s="1" t="str">
        <f t="shared" si="920"/>
        <v>2026-07-29 13:18:13</v>
      </c>
      <c r="L18506" s="1" t="str">
        <f>"2018-01-10 14:57:41"</f>
        <v>2018-01-10 14:57:41</v>
      </c>
      <c r="M18506" s="1" t="s">
        <v>2</v>
      </c>
      <c r="N18506" s="1" t="s">
        <v>38</v>
      </c>
      <c r="O18506" s="1" t="s">
        <v>46</v>
      </c>
    </row>
    <row r="18507" spans="2:15" x14ac:dyDescent="0.3">
      <c r="B18507" s="1" t="s">
        <v>13</v>
      </c>
      <c r="C18507" s="1" t="str">
        <f>"3차"</f>
        <v>3차</v>
      </c>
      <c r="D18507" s="1" t="str">
        <f>"9828F86139"</f>
        <v>9828F86139</v>
      </c>
      <c r="E18507" s="1" t="s">
        <v>10</v>
      </c>
      <c r="F18507" s="1" t="str">
        <f>"10.11.20.50"</f>
        <v>10.11.20.50</v>
      </c>
      <c r="G18507" s="1" t="str">
        <f>"9828F861"</f>
        <v>9828F861</v>
      </c>
      <c r="H18507" s="1" t="str">
        <f>"청운간 115"</f>
        <v>청운간 115</v>
      </c>
      <c r="I18507" s="1" t="s">
        <v>8</v>
      </c>
      <c r="J18507" s="1" t="str">
        <f>"13/13"</f>
        <v>13/13</v>
      </c>
      <c r="K18507" s="1" t="str">
        <f t="shared" si="920"/>
        <v>2026-07-29 13:18:13</v>
      </c>
      <c r="L18507" s="1" t="str">
        <f>"2018-01-10 15:03:56"</f>
        <v>2018-01-10 15:03:56</v>
      </c>
      <c r="M18507" s="1" t="s">
        <v>2</v>
      </c>
      <c r="N18507" s="1" t="s">
        <v>38</v>
      </c>
      <c r="O18507" s="1" t="s">
        <v>46</v>
      </c>
    </row>
    <row r="18508" spans="2:15" x14ac:dyDescent="0.3">
      <c r="B18508" s="1" t="s">
        <v>13</v>
      </c>
      <c r="C18508" s="1" t="str">
        <f>"3차"</f>
        <v>3차</v>
      </c>
      <c r="D18508" s="1" t="str">
        <f>"9828F90139"</f>
        <v>9828F90139</v>
      </c>
      <c r="E18508" s="1" t="s">
        <v>10</v>
      </c>
      <c r="F18508" s="1" t="str">
        <f>"10.11.42.162"</f>
        <v>10.11.42.162</v>
      </c>
      <c r="G18508" s="1" t="str">
        <f>"9828F901"</f>
        <v>9828F901</v>
      </c>
      <c r="H18508" s="1" t="str">
        <f>"평창간 6L17"</f>
        <v>평창간 6L17</v>
      </c>
      <c r="I18508" s="1" t="s">
        <v>8</v>
      </c>
      <c r="J18508" s="1" t="str">
        <f>"19/20"</f>
        <v>19/20</v>
      </c>
      <c r="K18508" s="1" t="str">
        <f t="shared" si="920"/>
        <v>2026-07-29 13:18:13</v>
      </c>
      <c r="L18508" s="1" t="str">
        <f>"2018-03-09 10:51:54"</f>
        <v>2018-03-09 10:51:54</v>
      </c>
      <c r="M18508" s="1" t="s">
        <v>2</v>
      </c>
      <c r="N18508" s="1" t="s">
        <v>38</v>
      </c>
      <c r="O18508" s="1" t="s">
        <v>46</v>
      </c>
    </row>
    <row r="18509" spans="2:15" x14ac:dyDescent="0.3">
      <c r="B18509" s="1" t="s">
        <v>13</v>
      </c>
      <c r="C18509" s="1" t="str">
        <f>"3차"</f>
        <v>3차</v>
      </c>
      <c r="D18509" s="1" t="str">
        <f>"9828F91239"</f>
        <v>9828F91239</v>
      </c>
      <c r="E18509" s="1" t="s">
        <v>10</v>
      </c>
      <c r="F18509" s="1" t="str">
        <f>"10.11.23.178"</f>
        <v>10.11.23.178</v>
      </c>
      <c r="G18509" s="1" t="str">
        <f>"9828F912"</f>
        <v>9828F912</v>
      </c>
      <c r="H18509" s="1" t="str">
        <f>"평창간 6L19"</f>
        <v>평창간 6L19</v>
      </c>
      <c r="I18509" s="1" t="s">
        <v>8</v>
      </c>
      <c r="J18509" s="1" t="str">
        <f>"6/6"</f>
        <v>6/6</v>
      </c>
      <c r="K18509" s="1" t="str">
        <f t="shared" si="920"/>
        <v>2026-07-29 13:18:13</v>
      </c>
      <c r="L18509" s="1" t="str">
        <f>"2018-03-09 10:41:25"</f>
        <v>2018-03-09 10:41:25</v>
      </c>
      <c r="M18509" s="1" t="s">
        <v>2</v>
      </c>
      <c r="N18509" s="1" t="s">
        <v>38</v>
      </c>
      <c r="O18509" s="1" t="s">
        <v>46</v>
      </c>
    </row>
    <row r="18510" spans="2:15" x14ac:dyDescent="0.3">
      <c r="B18510" s="1" t="s">
        <v>13</v>
      </c>
      <c r="C18510" s="1" t="str">
        <f>"4차"</f>
        <v>4차</v>
      </c>
      <c r="D18510" s="1" t="str">
        <f>"9828F95130"</f>
        <v>9828F95130</v>
      </c>
      <c r="E18510" s="1" t="s">
        <v>14</v>
      </c>
      <c r="F18510" s="1" t="str">
        <f>"10.11.23.194"</f>
        <v>10.11.23.194</v>
      </c>
      <c r="G18510" s="1" t="str">
        <f>"9828F951"</f>
        <v>9828F951</v>
      </c>
      <c r="H18510" s="1" t="str">
        <f>"평창간 6L22L3"</f>
        <v>평창간 6L22L3</v>
      </c>
      <c r="I18510" s="1" t="s">
        <v>8</v>
      </c>
      <c r="J18510" s="1" t="str">
        <f>"0/0"</f>
        <v>0/0</v>
      </c>
      <c r="K18510" s="4" t="str">
        <f t="shared" si="920"/>
        <v>2026-07-29 13:18:13</v>
      </c>
      <c r="L18510" s="1" t="str">
        <f>"2018-03-12 14:29:28"</f>
        <v>2018-03-12 14:29:28</v>
      </c>
      <c r="M18510" s="1" t="s">
        <v>2</v>
      </c>
      <c r="N18510" s="1" t="s">
        <v>38</v>
      </c>
      <c r="O18510" s="1" t="s">
        <v>44</v>
      </c>
    </row>
    <row r="18511" spans="2:15" x14ac:dyDescent="0.3">
      <c r="B18511" s="1" t="s">
        <v>13</v>
      </c>
      <c r="C18511" s="1" t="str">
        <f>"4차"</f>
        <v>4차</v>
      </c>
      <c r="D18511" s="1" t="str">
        <f>"9828F95231"</f>
        <v>9828F95231</v>
      </c>
      <c r="E18511" s="1" t="s">
        <v>10</v>
      </c>
      <c r="F18511" s="1" t="str">
        <f>"10.12.135.206"</f>
        <v>10.12.135.206</v>
      </c>
      <c r="G18511" s="1" t="str">
        <f>"9828F952"</f>
        <v>9828F952</v>
      </c>
      <c r="H18511" s="1" t="str">
        <f>"평창간 6L22L4"</f>
        <v>평창간 6L22L4</v>
      </c>
      <c r="I18511" s="1" t="s">
        <v>8</v>
      </c>
      <c r="J18511" s="1" t="str">
        <f>"2/2"</f>
        <v>2/2</v>
      </c>
      <c r="K18511" s="1" t="str">
        <f>"2026-07-29 13:18:10"</f>
        <v>2026-07-29 13:18:10</v>
      </c>
      <c r="L18511" s="1" t="str">
        <f>"2018-03-12 14:32:58"</f>
        <v>2018-03-12 14:32:58</v>
      </c>
      <c r="M18511" s="1" t="s">
        <v>0</v>
      </c>
      <c r="N18511" s="1" t="s">
        <v>38</v>
      </c>
      <c r="O18511" s="1" t="s">
        <v>46</v>
      </c>
    </row>
    <row r="18512" spans="2:15" x14ac:dyDescent="0.3">
      <c r="B18512" s="1" t="s">
        <v>13</v>
      </c>
      <c r="C18512" s="1" t="str">
        <f>"3차"</f>
        <v>3차</v>
      </c>
      <c r="D18512" s="1" t="str">
        <f>"9828F96239"</f>
        <v>9828F96239</v>
      </c>
      <c r="E18512" s="1" t="s">
        <v>10</v>
      </c>
      <c r="F18512" s="1" t="str">
        <f>"10.11.39.130"</f>
        <v>10.11.39.130</v>
      </c>
      <c r="G18512" s="1" t="str">
        <f>"9828F962"</f>
        <v>9828F962</v>
      </c>
      <c r="H18512" s="1" t="str">
        <f>"청운간 117"</f>
        <v>청운간 117</v>
      </c>
      <c r="I18512" s="1" t="s">
        <v>8</v>
      </c>
      <c r="J18512" s="1" t="str">
        <f>"8/8"</f>
        <v>8/8</v>
      </c>
      <c r="K18512" s="1" t="str">
        <f t="shared" ref="K18512:K18530" si="921">"2026-07-29 13:18:13"</f>
        <v>2026-07-29 13:18:13</v>
      </c>
      <c r="L18512" s="1" t="str">
        <f>"2021-07-27 13:45:47"</f>
        <v>2021-07-27 13:45:47</v>
      </c>
      <c r="M18512" s="1" t="s">
        <v>2</v>
      </c>
      <c r="N18512" s="1" t="s">
        <v>38</v>
      </c>
      <c r="O18512" s="1" t="s">
        <v>46</v>
      </c>
    </row>
    <row r="18513" spans="2:15" x14ac:dyDescent="0.3">
      <c r="B18513" s="1" t="s">
        <v>13</v>
      </c>
      <c r="C18513" s="1" t="str">
        <f>"4차"</f>
        <v>4차</v>
      </c>
      <c r="D18513" s="1" t="str">
        <f>"9828G00239"</f>
        <v>9828G00239</v>
      </c>
      <c r="E18513" s="1" t="s">
        <v>10</v>
      </c>
      <c r="F18513" s="1" t="str">
        <f>"10.11.28.226"</f>
        <v>10.11.28.226</v>
      </c>
      <c r="G18513" s="1" t="str">
        <f>"9828G002"</f>
        <v>9828G002</v>
      </c>
      <c r="H18513" s="1" t="str">
        <f>"홍은간 12R2R4"</f>
        <v>홍은간 12R2R4</v>
      </c>
      <c r="I18513" s="1" t="s">
        <v>8</v>
      </c>
      <c r="J18513" s="1" t="str">
        <f>"27/27"</f>
        <v>27/27</v>
      </c>
      <c r="K18513" s="1" t="str">
        <f t="shared" si="921"/>
        <v>2026-07-29 13:18:13</v>
      </c>
      <c r="L18513" s="1" t="str">
        <f>"2017-12-07 17:03:47"</f>
        <v>2017-12-07 17:03:47</v>
      </c>
      <c r="M18513" s="1" t="s">
        <v>2</v>
      </c>
      <c r="N18513" s="1" t="s">
        <v>38</v>
      </c>
      <c r="O18513" s="1" t="s">
        <v>46</v>
      </c>
    </row>
    <row r="18514" spans="2:15" x14ac:dyDescent="0.3">
      <c r="B18514" s="1" t="s">
        <v>13</v>
      </c>
      <c r="C18514" s="1" t="str">
        <f t="shared" ref="C18514:C18521" si="922">"3차"</f>
        <v>3차</v>
      </c>
      <c r="D18514" s="1" t="str">
        <f>"9828G08139"</f>
        <v>9828G08139</v>
      </c>
      <c r="E18514" s="1" t="s">
        <v>10</v>
      </c>
      <c r="F18514" s="1" t="str">
        <f>"10.11.40.130"</f>
        <v>10.11.40.130</v>
      </c>
      <c r="G18514" s="1" t="str">
        <f>"9828G081"</f>
        <v>9828G081</v>
      </c>
      <c r="H18514" s="1" t="str">
        <f>"청운간 45L3R2"</f>
        <v>청운간 45L3R2</v>
      </c>
      <c r="I18514" s="1" t="s">
        <v>8</v>
      </c>
      <c r="J18514" s="1" t="str">
        <f>"26/26"</f>
        <v>26/26</v>
      </c>
      <c r="K18514" s="1" t="str">
        <f t="shared" si="921"/>
        <v>2026-07-29 13:18:13</v>
      </c>
      <c r="L18514" s="1" t="str">
        <f>"2018-03-10 06:39:38"</f>
        <v>2018-03-10 06:39:38</v>
      </c>
      <c r="M18514" s="1" t="s">
        <v>2</v>
      </c>
      <c r="N18514" s="1" t="s">
        <v>38</v>
      </c>
      <c r="O18514" s="1" t="s">
        <v>46</v>
      </c>
    </row>
    <row r="18515" spans="2:15" x14ac:dyDescent="0.3">
      <c r="B18515" s="1" t="s">
        <v>13</v>
      </c>
      <c r="C18515" s="1" t="str">
        <f t="shared" si="922"/>
        <v>3차</v>
      </c>
      <c r="D18515" s="1" t="str">
        <f>"9828G10139"</f>
        <v>9828G10139</v>
      </c>
      <c r="E18515" s="1" t="s">
        <v>10</v>
      </c>
      <c r="F18515" s="1" t="str">
        <f>"10.11.24.122"</f>
        <v>10.11.24.122</v>
      </c>
      <c r="G18515" s="1" t="str">
        <f>"9828G101"</f>
        <v>9828G101</v>
      </c>
      <c r="H18515" s="1" t="str">
        <f>"홍은간 12R4"</f>
        <v>홍은간 12R4</v>
      </c>
      <c r="I18515" s="1" t="s">
        <v>8</v>
      </c>
      <c r="J18515" s="1" t="str">
        <f>"53/53"</f>
        <v>53/53</v>
      </c>
      <c r="K18515" s="1" t="str">
        <f t="shared" si="921"/>
        <v>2026-07-29 13:18:13</v>
      </c>
      <c r="L18515" s="1" t="str">
        <f>"2018-03-10 08:40:24"</f>
        <v>2018-03-10 08:40:24</v>
      </c>
      <c r="M18515" s="1" t="s">
        <v>2</v>
      </c>
      <c r="N18515" s="1" t="s">
        <v>38</v>
      </c>
      <c r="O18515" s="1" t="s">
        <v>46</v>
      </c>
    </row>
    <row r="18516" spans="2:15" x14ac:dyDescent="0.3">
      <c r="B18516" s="1" t="s">
        <v>13</v>
      </c>
      <c r="C18516" s="1" t="str">
        <f t="shared" si="922"/>
        <v>3차</v>
      </c>
      <c r="D18516" s="1" t="str">
        <f>"9828G14139"</f>
        <v>9828G14139</v>
      </c>
      <c r="E18516" s="1" t="s">
        <v>10</v>
      </c>
      <c r="F18516" s="1" t="str">
        <f>"10.11.28.234"</f>
        <v>10.11.28.234</v>
      </c>
      <c r="G18516" s="1" t="str">
        <f>"9828G141"</f>
        <v>9828G141</v>
      </c>
      <c r="H18516" s="1" t="str">
        <f>"홍은간 1R1"</f>
        <v>홍은간 1R1</v>
      </c>
      <c r="I18516" s="1" t="s">
        <v>8</v>
      </c>
      <c r="J18516" s="1" t="str">
        <f>"38/38"</f>
        <v>38/38</v>
      </c>
      <c r="K18516" s="1" t="str">
        <f t="shared" si="921"/>
        <v>2026-07-29 13:18:13</v>
      </c>
      <c r="L18516" s="1" t="str">
        <f>"2017-12-07 17:11:05"</f>
        <v>2017-12-07 17:11:05</v>
      </c>
      <c r="M18516" s="1" t="s">
        <v>2</v>
      </c>
      <c r="N18516" s="1" t="s">
        <v>38</v>
      </c>
      <c r="O18516" s="1" t="s">
        <v>46</v>
      </c>
    </row>
    <row r="18517" spans="2:15" x14ac:dyDescent="0.3">
      <c r="B18517" s="1" t="s">
        <v>13</v>
      </c>
      <c r="C18517" s="1" t="str">
        <f t="shared" si="922"/>
        <v>3차</v>
      </c>
      <c r="D18517" s="1" t="str">
        <f>"9828G16139"</f>
        <v>9828G16139</v>
      </c>
      <c r="E18517" s="1" t="s">
        <v>10</v>
      </c>
      <c r="F18517" s="1" t="str">
        <f>"10.11.25.66"</f>
        <v>10.11.25.66</v>
      </c>
      <c r="G18517" s="1" t="str">
        <f>"9828G161"</f>
        <v>9828G161</v>
      </c>
      <c r="H18517" s="1" t="str">
        <f>"구기지 2"</f>
        <v>구기지 2</v>
      </c>
      <c r="I18517" s="1" t="s">
        <v>8</v>
      </c>
      <c r="J18517" s="1" t="str">
        <f>"40/40"</f>
        <v>40/40</v>
      </c>
      <c r="K18517" s="1" t="str">
        <f t="shared" si="921"/>
        <v>2026-07-29 13:18:13</v>
      </c>
      <c r="L18517" s="1" t="str">
        <f>"2017-12-11 14:58:45"</f>
        <v>2017-12-11 14:58:45</v>
      </c>
      <c r="M18517" s="1" t="s">
        <v>2</v>
      </c>
      <c r="N18517" s="1" t="s">
        <v>38</v>
      </c>
      <c r="O18517" s="1" t="s">
        <v>46</v>
      </c>
    </row>
    <row r="18518" spans="2:15" x14ac:dyDescent="0.3">
      <c r="B18518" s="1" t="s">
        <v>13</v>
      </c>
      <c r="C18518" s="1" t="str">
        <f t="shared" si="922"/>
        <v>3차</v>
      </c>
      <c r="D18518" s="1" t="str">
        <f>"9828G19439"</f>
        <v>9828G19439</v>
      </c>
      <c r="E18518" s="1" t="s">
        <v>10</v>
      </c>
      <c r="F18518" s="1" t="str">
        <f>"10.11.25.74"</f>
        <v>10.11.25.74</v>
      </c>
      <c r="G18518" s="1" t="str">
        <f>"9828G194"</f>
        <v>9828G194</v>
      </c>
      <c r="H18518" s="1" t="str">
        <f>"구기지 5"</f>
        <v>구기지 5</v>
      </c>
      <c r="I18518" s="1" t="s">
        <v>8</v>
      </c>
      <c r="J18518" s="1" t="str">
        <f>"15/15"</f>
        <v>15/15</v>
      </c>
      <c r="K18518" s="1" t="str">
        <f t="shared" si="921"/>
        <v>2026-07-29 13:18:13</v>
      </c>
      <c r="L18518" s="1" t="str">
        <f>"2017-12-11 14:38:14"</f>
        <v>2017-12-11 14:38:14</v>
      </c>
      <c r="M18518" s="1" t="s">
        <v>2</v>
      </c>
      <c r="N18518" s="1" t="s">
        <v>38</v>
      </c>
      <c r="O18518" s="1" t="s">
        <v>46</v>
      </c>
    </row>
    <row r="18519" spans="2:15" x14ac:dyDescent="0.3">
      <c r="B18519" s="1" t="s">
        <v>13</v>
      </c>
      <c r="C18519" s="1" t="str">
        <f t="shared" si="922"/>
        <v>3차</v>
      </c>
      <c r="D18519" s="1" t="str">
        <f>"9828G22139"</f>
        <v>9828G22139</v>
      </c>
      <c r="E18519" s="1" t="s">
        <v>10</v>
      </c>
      <c r="F18519" s="1" t="str">
        <f>"10.11.43.146"</f>
        <v>10.11.43.146</v>
      </c>
      <c r="G18519" s="1" t="str">
        <f>"9828G221"</f>
        <v>9828G221</v>
      </c>
      <c r="H18519" s="1" t="str">
        <f>"홍은간 5H1R4"</f>
        <v>홍은간 5H1R4</v>
      </c>
      <c r="I18519" s="1" t="s">
        <v>8</v>
      </c>
      <c r="J18519" s="1" t="str">
        <f>"26/29"</f>
        <v>26/29</v>
      </c>
      <c r="K18519" s="1" t="str">
        <f t="shared" si="921"/>
        <v>2026-07-29 13:18:13</v>
      </c>
      <c r="L18519" s="1" t="str">
        <f>"2018-03-09 14:59:13"</f>
        <v>2018-03-09 14:59:13</v>
      </c>
      <c r="M18519" s="1" t="s">
        <v>2</v>
      </c>
      <c r="N18519" s="1" t="s">
        <v>38</v>
      </c>
      <c r="O18519" s="1" t="s">
        <v>46</v>
      </c>
    </row>
    <row r="18520" spans="2:15" x14ac:dyDescent="0.3">
      <c r="B18520" s="1" t="s">
        <v>13</v>
      </c>
      <c r="C18520" s="1" t="str">
        <f t="shared" si="922"/>
        <v>3차</v>
      </c>
      <c r="D18520" s="1" t="str">
        <f>"9828G22239"</f>
        <v>9828G22239</v>
      </c>
      <c r="E18520" s="1" t="s">
        <v>10</v>
      </c>
      <c r="F18520" s="1" t="str">
        <f>"10.11.24.138"</f>
        <v>10.11.24.138</v>
      </c>
      <c r="G18520" s="1" t="str">
        <f>"9828G222"</f>
        <v>9828G222</v>
      </c>
      <c r="H18520" s="1" t="str">
        <f>"홍은간 5H1R3"</f>
        <v>홍은간 5H1R3</v>
      </c>
      <c r="I18520" s="1" t="s">
        <v>8</v>
      </c>
      <c r="J18520" s="1" t="str">
        <f>"32/32"</f>
        <v>32/32</v>
      </c>
      <c r="K18520" s="1" t="str">
        <f t="shared" si="921"/>
        <v>2026-07-29 13:18:13</v>
      </c>
      <c r="L18520" s="1" t="str">
        <f>"2018-03-09 14:17:26"</f>
        <v>2018-03-09 14:17:26</v>
      </c>
      <c r="M18520" s="1" t="s">
        <v>2</v>
      </c>
      <c r="N18520" s="1" t="s">
        <v>38</v>
      </c>
      <c r="O18520" s="1" t="s">
        <v>46</v>
      </c>
    </row>
    <row r="18521" spans="2:15" x14ac:dyDescent="0.3">
      <c r="B18521" s="1" t="s">
        <v>13</v>
      </c>
      <c r="C18521" s="1" t="str">
        <f t="shared" si="922"/>
        <v>3차</v>
      </c>
      <c r="D18521" s="1" t="str">
        <f>"9828G24339"</f>
        <v>9828G24339</v>
      </c>
      <c r="E18521" s="1" t="s">
        <v>10</v>
      </c>
      <c r="F18521" s="1" t="str">
        <f>"10.11.19.210"</f>
        <v>10.11.19.210</v>
      </c>
      <c r="G18521" s="1" t="str">
        <f>"9828G243"</f>
        <v>9828G243</v>
      </c>
      <c r="H18521" s="1" t="str">
        <f>"청운간 49"</f>
        <v>청운간 49</v>
      </c>
      <c r="I18521" s="1" t="s">
        <v>8</v>
      </c>
      <c r="J18521" s="1" t="str">
        <f>"40/41"</f>
        <v>40/41</v>
      </c>
      <c r="K18521" s="1" t="str">
        <f t="shared" si="921"/>
        <v>2026-07-29 13:18:13</v>
      </c>
      <c r="L18521" s="1" t="str">
        <f>"2018-01-02 17:33:43"</f>
        <v>2018-01-02 17:33:43</v>
      </c>
      <c r="M18521" s="1" t="s">
        <v>2</v>
      </c>
      <c r="N18521" s="1" t="s">
        <v>38</v>
      </c>
      <c r="O18521" s="1" t="s">
        <v>46</v>
      </c>
    </row>
    <row r="18522" spans="2:15" x14ac:dyDescent="0.3">
      <c r="B18522" s="1" t="s">
        <v>13</v>
      </c>
      <c r="C18522" s="1" t="str">
        <f>"4차"</f>
        <v>4차</v>
      </c>
      <c r="D18522" s="1" t="str">
        <f>"9828G30239"</f>
        <v>9828G30239</v>
      </c>
      <c r="E18522" s="1" t="s">
        <v>10</v>
      </c>
      <c r="F18522" s="1" t="str">
        <f>"10.11.28.218"</f>
        <v>10.11.28.218</v>
      </c>
      <c r="G18522" s="1" t="str">
        <f>"9828G302"</f>
        <v>9828G302</v>
      </c>
      <c r="H18522" s="1" t="str">
        <f>"홍은간 12R2"</f>
        <v>홍은간 12R2</v>
      </c>
      <c r="I18522" s="1" t="s">
        <v>8</v>
      </c>
      <c r="J18522" s="1" t="str">
        <f>"64/64"</f>
        <v>64/64</v>
      </c>
      <c r="K18522" s="1" t="str">
        <f t="shared" si="921"/>
        <v>2026-07-29 13:18:13</v>
      </c>
      <c r="L18522" s="1" t="str">
        <f>"2017-12-07 17:06:20"</f>
        <v>2017-12-07 17:06:20</v>
      </c>
      <c r="M18522" s="1" t="s">
        <v>2</v>
      </c>
      <c r="N18522" s="1" t="s">
        <v>38</v>
      </c>
      <c r="O18522" s="1" t="s">
        <v>46</v>
      </c>
    </row>
    <row r="18523" spans="2:15" x14ac:dyDescent="0.3">
      <c r="B18523" s="1" t="s">
        <v>13</v>
      </c>
      <c r="C18523" s="1" t="str">
        <f t="shared" ref="C18523:C18530" si="923">"3차"</f>
        <v>3차</v>
      </c>
      <c r="D18523" s="1" t="str">
        <f>"9828G33139"</f>
        <v>9828G33139</v>
      </c>
      <c r="E18523" s="1" t="s">
        <v>10</v>
      </c>
      <c r="F18523" s="1" t="str">
        <f>"10.11.24.90"</f>
        <v>10.11.24.90</v>
      </c>
      <c r="G18523" s="1" t="str">
        <f>"9828G331"</f>
        <v>9828G331</v>
      </c>
      <c r="H18523" s="1" t="str">
        <f>"홍은간 4"</f>
        <v>홍은간 4</v>
      </c>
      <c r="I18523" s="1" t="s">
        <v>8</v>
      </c>
      <c r="J18523" s="1" t="str">
        <f>"31/31"</f>
        <v>31/31</v>
      </c>
      <c r="K18523" s="1" t="str">
        <f t="shared" si="921"/>
        <v>2026-07-29 13:18:13</v>
      </c>
      <c r="L18523" s="1" t="str">
        <f>"2018-03-09 13:45:42"</f>
        <v>2018-03-09 13:45:42</v>
      </c>
      <c r="M18523" s="1" t="s">
        <v>2</v>
      </c>
      <c r="N18523" s="1" t="s">
        <v>38</v>
      </c>
      <c r="O18523" s="1" t="s">
        <v>46</v>
      </c>
    </row>
    <row r="18524" spans="2:15" x14ac:dyDescent="0.3">
      <c r="B18524" s="1" t="s">
        <v>13</v>
      </c>
      <c r="C18524" s="1" t="str">
        <f t="shared" si="923"/>
        <v>3차</v>
      </c>
      <c r="D18524" s="1" t="str">
        <f>"9828G42339"</f>
        <v>9828G42339</v>
      </c>
      <c r="E18524" s="1" t="s">
        <v>10</v>
      </c>
      <c r="F18524" s="1" t="str">
        <f>"10.11.24.98"</f>
        <v>10.11.24.98</v>
      </c>
      <c r="G18524" s="1" t="str">
        <f>"9828G423"</f>
        <v>9828G423</v>
      </c>
      <c r="H18524" s="1" t="str">
        <f>"홍은간 7"</f>
        <v>홍은간 7</v>
      </c>
      <c r="I18524" s="1" t="s">
        <v>8</v>
      </c>
      <c r="J18524" s="1" t="str">
        <f>"7/7"</f>
        <v>7/7</v>
      </c>
      <c r="K18524" s="1" t="str">
        <f t="shared" si="921"/>
        <v>2026-07-29 13:18:13</v>
      </c>
      <c r="L18524" s="1" t="str">
        <f>"2018-03-10 00:55:53"</f>
        <v>2018-03-10 00:55:53</v>
      </c>
      <c r="M18524" s="1" t="s">
        <v>2</v>
      </c>
      <c r="N18524" s="1" t="s">
        <v>38</v>
      </c>
      <c r="O18524" s="1" t="s">
        <v>46</v>
      </c>
    </row>
    <row r="18525" spans="2:15" x14ac:dyDescent="0.3">
      <c r="B18525" s="1" t="s">
        <v>13</v>
      </c>
      <c r="C18525" s="1" t="str">
        <f t="shared" si="923"/>
        <v>3차</v>
      </c>
      <c r="D18525" s="1" t="str">
        <f>"9828G44239"</f>
        <v>9828G44239</v>
      </c>
      <c r="E18525" s="1" t="s">
        <v>10</v>
      </c>
      <c r="F18525" s="1" t="str">
        <f>"10.11.21.98"</f>
        <v>10.11.21.98</v>
      </c>
      <c r="G18525" s="1" t="str">
        <f>"9828G442"</f>
        <v>9828G442</v>
      </c>
      <c r="H18525" s="1" t="str">
        <f>"청운간 52L2"</f>
        <v>청운간 52L2</v>
      </c>
      <c r="I18525" s="1" t="s">
        <v>8</v>
      </c>
      <c r="J18525" s="1" t="str">
        <f>"32/32"</f>
        <v>32/32</v>
      </c>
      <c r="K18525" s="1" t="str">
        <f t="shared" si="921"/>
        <v>2026-07-29 13:18:13</v>
      </c>
      <c r="L18525" s="1" t="str">
        <f>"2018-03-09 11:48:10"</f>
        <v>2018-03-09 11:48:10</v>
      </c>
      <c r="M18525" s="1" t="s">
        <v>2</v>
      </c>
      <c r="N18525" s="1" t="s">
        <v>38</v>
      </c>
      <c r="O18525" s="1" t="s">
        <v>46</v>
      </c>
    </row>
    <row r="18526" spans="2:15" x14ac:dyDescent="0.3">
      <c r="B18526" s="1" t="s">
        <v>13</v>
      </c>
      <c r="C18526" s="1" t="str">
        <f t="shared" si="923"/>
        <v>3차</v>
      </c>
      <c r="D18526" s="1" t="str">
        <f>"9828G45139"</f>
        <v>9828G45139</v>
      </c>
      <c r="E18526" s="1" t="s">
        <v>10</v>
      </c>
      <c r="F18526" s="1" t="str">
        <f>"10.11.40.138"</f>
        <v>10.11.40.138</v>
      </c>
      <c r="G18526" s="1" t="str">
        <f>"9828G451"</f>
        <v>9828G451</v>
      </c>
      <c r="H18526" s="1" t="str">
        <f>"청운간 52L3"</f>
        <v>청운간 52L3</v>
      </c>
      <c r="I18526" s="1" t="s">
        <v>8</v>
      </c>
      <c r="J18526" s="1" t="str">
        <f>"19/19"</f>
        <v>19/19</v>
      </c>
      <c r="K18526" s="1" t="str">
        <f t="shared" si="921"/>
        <v>2026-07-29 13:18:13</v>
      </c>
      <c r="L18526" s="1" t="str">
        <f>"2018-03-09 11:20:55"</f>
        <v>2018-03-09 11:20:55</v>
      </c>
      <c r="M18526" s="1" t="s">
        <v>2</v>
      </c>
      <c r="N18526" s="1" t="s">
        <v>38</v>
      </c>
      <c r="O18526" s="1" t="s">
        <v>46</v>
      </c>
    </row>
    <row r="18527" spans="2:15" x14ac:dyDescent="0.3">
      <c r="B18527" s="1" t="s">
        <v>13</v>
      </c>
      <c r="C18527" s="1" t="str">
        <f t="shared" si="923"/>
        <v>3차</v>
      </c>
      <c r="D18527" s="1" t="str">
        <f>"9828G45230"</f>
        <v>9828G45230</v>
      </c>
      <c r="E18527" s="1" t="s">
        <v>10</v>
      </c>
      <c r="F18527" s="1" t="str">
        <f>"10.11.21.114"</f>
        <v>10.11.21.114</v>
      </c>
      <c r="G18527" s="1" t="str">
        <f>"9828G452"</f>
        <v>9828G452</v>
      </c>
      <c r="H18527" s="1" t="str">
        <f>"청운간 52L4"</f>
        <v>청운간 52L4</v>
      </c>
      <c r="I18527" s="1" t="s">
        <v>8</v>
      </c>
      <c r="J18527" s="1" t="str">
        <f>"32/32"</f>
        <v>32/32</v>
      </c>
      <c r="K18527" s="1" t="str">
        <f t="shared" si="921"/>
        <v>2026-07-29 13:18:13</v>
      </c>
      <c r="L18527" s="1" t="str">
        <f>"2018-03-12 16:43:58"</f>
        <v>2018-03-12 16:43:58</v>
      </c>
      <c r="M18527" s="1" t="s">
        <v>2</v>
      </c>
      <c r="N18527" s="1" t="s">
        <v>38</v>
      </c>
      <c r="O18527" s="1" t="s">
        <v>46</v>
      </c>
    </row>
    <row r="18528" spans="2:15" x14ac:dyDescent="0.3">
      <c r="B18528" s="1" t="s">
        <v>13</v>
      </c>
      <c r="C18528" s="1" t="str">
        <f t="shared" si="923"/>
        <v>3차</v>
      </c>
      <c r="D18528" s="1" t="str">
        <f>"9828G50239"</f>
        <v>9828G50239</v>
      </c>
      <c r="E18528" s="1" t="s">
        <v>10</v>
      </c>
      <c r="F18528" s="1" t="str">
        <f>"10.11.28.202"</f>
        <v>10.11.28.202</v>
      </c>
      <c r="G18528" s="1" t="str">
        <f>"9828G502"</f>
        <v>9828G502</v>
      </c>
      <c r="H18528" s="1" t="str">
        <f>"홍은간 10"</f>
        <v>홍은간 10</v>
      </c>
      <c r="I18528" s="1" t="s">
        <v>8</v>
      </c>
      <c r="J18528" s="1" t="str">
        <f>"13/13"</f>
        <v>13/13</v>
      </c>
      <c r="K18528" s="1" t="str">
        <f t="shared" si="921"/>
        <v>2026-07-29 13:18:13</v>
      </c>
      <c r="L18528" s="1" t="str">
        <f>"2017-12-07 17:02:47"</f>
        <v>2017-12-07 17:02:47</v>
      </c>
      <c r="M18528" s="1" t="s">
        <v>2</v>
      </c>
      <c r="N18528" s="1" t="s">
        <v>38</v>
      </c>
      <c r="O18528" s="1" t="s">
        <v>46</v>
      </c>
    </row>
    <row r="18529" spans="2:15" x14ac:dyDescent="0.3">
      <c r="B18529" s="1" t="s">
        <v>13</v>
      </c>
      <c r="C18529" s="1" t="str">
        <f t="shared" si="923"/>
        <v>3차</v>
      </c>
      <c r="D18529" s="1" t="str">
        <f>"9828G55139"</f>
        <v>9828G55139</v>
      </c>
      <c r="E18529" s="1" t="s">
        <v>10</v>
      </c>
      <c r="F18529" s="1" t="str">
        <f>"10.11.21.106"</f>
        <v>10.11.21.106</v>
      </c>
      <c r="G18529" s="1" t="str">
        <f>"9828G551"</f>
        <v>9828G551</v>
      </c>
      <c r="H18529" s="1" t="str">
        <f>"청운간 52L3R1"</f>
        <v>청운간 52L3R1</v>
      </c>
      <c r="I18529" s="1" t="s">
        <v>8</v>
      </c>
      <c r="J18529" s="1" t="str">
        <f>"13/13"</f>
        <v>13/13</v>
      </c>
      <c r="K18529" s="1" t="str">
        <f t="shared" si="921"/>
        <v>2026-07-29 13:18:13</v>
      </c>
      <c r="L18529" s="1" t="str">
        <f>"2018-03-09 10:54:40"</f>
        <v>2018-03-09 10:54:40</v>
      </c>
      <c r="M18529" s="1" t="s">
        <v>2</v>
      </c>
      <c r="N18529" s="1" t="s">
        <v>38</v>
      </c>
      <c r="O18529" s="1" t="s">
        <v>46</v>
      </c>
    </row>
    <row r="18530" spans="2:15" x14ac:dyDescent="0.3">
      <c r="B18530" s="1" t="s">
        <v>13</v>
      </c>
      <c r="C18530" s="1" t="str">
        <f t="shared" si="923"/>
        <v>3차</v>
      </c>
      <c r="D18530" s="1" t="str">
        <f>"9828G55239"</f>
        <v>9828G55239</v>
      </c>
      <c r="E18530" s="1" t="s">
        <v>10</v>
      </c>
      <c r="F18530" s="1" t="str">
        <f>"10.11.40.146"</f>
        <v>10.11.40.146</v>
      </c>
      <c r="G18530" s="1" t="str">
        <f>"9828G552"</f>
        <v>9828G552</v>
      </c>
      <c r="H18530" s="1" t="str">
        <f>"청운간 52L3R2"</f>
        <v>청운간 52L3R2</v>
      </c>
      <c r="I18530" s="1" t="s">
        <v>8</v>
      </c>
      <c r="J18530" s="1" t="str">
        <f>"19/19"</f>
        <v>19/19</v>
      </c>
      <c r="K18530" s="1" t="str">
        <f t="shared" si="921"/>
        <v>2026-07-29 13:18:13</v>
      </c>
      <c r="L18530" s="1" t="str">
        <f>"2018-03-09 10:30:25"</f>
        <v>2018-03-09 10:30:25</v>
      </c>
      <c r="M18530" s="1" t="s">
        <v>2</v>
      </c>
      <c r="N18530" s="1" t="s">
        <v>38</v>
      </c>
      <c r="O18530" s="1" t="s">
        <v>46</v>
      </c>
    </row>
    <row r="18531" spans="2:15" x14ac:dyDescent="0.3">
      <c r="B18531" s="1" t="s">
        <v>13</v>
      </c>
      <c r="C18531" s="1" t="s">
        <v>16</v>
      </c>
      <c r="D18531" s="1" t="str">
        <f>"9828G6015S"</f>
        <v>9828G6015S</v>
      </c>
      <c r="E18531" s="1" t="s">
        <v>10</v>
      </c>
      <c r="F18531" s="1" t="str">
        <f>"fde3:102:1304:1300:0:0:0:3"</f>
        <v>fde3:102:1304:1300:0:0:0:3</v>
      </c>
      <c r="G18531" s="1" t="str">
        <f>"9828G601"</f>
        <v>9828G601</v>
      </c>
      <c r="H18531" s="1" t="str">
        <f>"홍은간 9L1"</f>
        <v>홍은간 9L1</v>
      </c>
      <c r="I18531" s="1" t="s">
        <v>15</v>
      </c>
      <c r="J18531" s="1" t="str">
        <f>"34/34"</f>
        <v>34/34</v>
      </c>
      <c r="K18531" s="1" t="str">
        <f>"2026-07-29 14:21:50"</f>
        <v>2026-07-29 14:21:50</v>
      </c>
      <c r="L18531" s="1" t="str">
        <f>"2023-08-08 13:24:38"</f>
        <v>2023-08-08 13:24:38</v>
      </c>
      <c r="M18531" s="1" t="s">
        <v>45</v>
      </c>
      <c r="N18531" s="1" t="s">
        <v>38</v>
      </c>
      <c r="O18531" s="1" t="s">
        <v>46</v>
      </c>
    </row>
    <row r="18532" spans="2:15" x14ac:dyDescent="0.3">
      <c r="B18532" s="1" t="s">
        <v>13</v>
      </c>
      <c r="C18532" s="1" t="str">
        <f>"4차"</f>
        <v>4차</v>
      </c>
      <c r="D18532" s="1" t="str">
        <f>"9828G61139"</f>
        <v>9828G61139</v>
      </c>
      <c r="E18532" s="1" t="s">
        <v>10</v>
      </c>
      <c r="F18532" s="1" t="str">
        <f>"10.11.27.90"</f>
        <v>10.11.27.90</v>
      </c>
      <c r="G18532" s="1" t="str">
        <f>"9828G611"</f>
        <v>9828G611</v>
      </c>
      <c r="H18532" s="1" t="str">
        <f>"청운간 56"</f>
        <v>청운간 56</v>
      </c>
      <c r="I18532" s="1" t="s">
        <v>8</v>
      </c>
      <c r="J18532" s="1" t="str">
        <f>"22/22"</f>
        <v>22/22</v>
      </c>
      <c r="K18532" s="1" t="str">
        <f>"2026-07-29 13:18:13"</f>
        <v>2026-07-29 13:18:13</v>
      </c>
      <c r="L18532" s="1" t="str">
        <f>"2017-12-07 17:08:47"</f>
        <v>2017-12-07 17:08:47</v>
      </c>
      <c r="M18532" s="1" t="s">
        <v>2</v>
      </c>
      <c r="N18532" s="1" t="s">
        <v>38</v>
      </c>
      <c r="O18532" s="1" t="s">
        <v>46</v>
      </c>
    </row>
    <row r="18533" spans="2:15" x14ac:dyDescent="0.3">
      <c r="B18533" s="1" t="s">
        <v>13</v>
      </c>
      <c r="C18533" s="1" t="str">
        <f>"4차"</f>
        <v>4차</v>
      </c>
      <c r="D18533" s="1" t="str">
        <f>"9828G62139"</f>
        <v>9828G62139</v>
      </c>
      <c r="E18533" s="1" t="s">
        <v>10</v>
      </c>
      <c r="F18533" s="1" t="str">
        <f>"10.11.21.122"</f>
        <v>10.11.21.122</v>
      </c>
      <c r="G18533" s="1" t="str">
        <f>"9828G621"</f>
        <v>9828G621</v>
      </c>
      <c r="H18533" s="1" t="str">
        <f>"청운간 56L1"</f>
        <v>청운간 56L1</v>
      </c>
      <c r="I18533" s="1" t="s">
        <v>8</v>
      </c>
      <c r="J18533" s="1" t="str">
        <f>"24/24"</f>
        <v>24/24</v>
      </c>
      <c r="K18533" s="1" t="str">
        <f>"2026-07-29 13:18:13"</f>
        <v>2026-07-29 13:18:13</v>
      </c>
      <c r="L18533" s="1" t="str">
        <f>"2018-03-09 13:26:11"</f>
        <v>2018-03-09 13:26:11</v>
      </c>
      <c r="M18533" s="1" t="s">
        <v>2</v>
      </c>
      <c r="N18533" s="1" t="s">
        <v>38</v>
      </c>
      <c r="O18533" s="1" t="s">
        <v>46</v>
      </c>
    </row>
    <row r="18534" spans="2:15" x14ac:dyDescent="0.3">
      <c r="B18534" s="1" t="s">
        <v>13</v>
      </c>
      <c r="C18534" s="1" t="str">
        <f>"3차"</f>
        <v>3차</v>
      </c>
      <c r="D18534" s="1" t="str">
        <f>"9828G63139"</f>
        <v>9828G63139</v>
      </c>
      <c r="E18534" s="1" t="s">
        <v>10</v>
      </c>
      <c r="F18534" s="1" t="str">
        <f>"10.11.40.154"</f>
        <v>10.11.40.154</v>
      </c>
      <c r="G18534" s="1" t="str">
        <f>"9828G631"</f>
        <v>9828G631</v>
      </c>
      <c r="H18534" s="1" t="str">
        <f>"청운간 56L2"</f>
        <v>청운간 56L2</v>
      </c>
      <c r="I18534" s="1" t="s">
        <v>8</v>
      </c>
      <c r="J18534" s="1" t="str">
        <f>"15/15"</f>
        <v>15/15</v>
      </c>
      <c r="K18534" s="1" t="str">
        <f>"2026-07-29 13:18:13"</f>
        <v>2026-07-29 13:18:13</v>
      </c>
      <c r="L18534" s="1" t="str">
        <f>"2018-03-09 12:24:55"</f>
        <v>2018-03-09 12:24:55</v>
      </c>
      <c r="M18534" s="1" t="s">
        <v>2</v>
      </c>
      <c r="N18534" s="1" t="s">
        <v>38</v>
      </c>
      <c r="O18534" s="1" t="s">
        <v>46</v>
      </c>
    </row>
    <row r="18535" spans="2:15" x14ac:dyDescent="0.3">
      <c r="B18535" s="1" t="s">
        <v>13</v>
      </c>
      <c r="C18535" s="1" t="s">
        <v>16</v>
      </c>
      <c r="D18535" s="1" t="str">
        <f>"9828G7015S"</f>
        <v>9828G7015S</v>
      </c>
      <c r="E18535" s="1" t="s">
        <v>10</v>
      </c>
      <c r="F18535" s="1" t="str">
        <f>"fde1:103:4:5611:0:0:0:2"</f>
        <v>fde1:103:4:5611:0:0:0:2</v>
      </c>
      <c r="G18535" s="1" t="str">
        <f>"9828G701"</f>
        <v>9828G701</v>
      </c>
      <c r="H18535" s="1" t="str">
        <f>"홍은간 9L3"</f>
        <v>홍은간 9L3</v>
      </c>
      <c r="I18535" s="1" t="s">
        <v>15</v>
      </c>
      <c r="J18535" s="1" t="str">
        <f>"43/43"</f>
        <v>43/43</v>
      </c>
      <c r="K18535" s="1" t="str">
        <f>"2026-07-29 14:21:51"</f>
        <v>2026-07-29 14:21:51</v>
      </c>
      <c r="L18535" s="1" t="str">
        <f>"2023-08-04 16:12:39"</f>
        <v>2023-08-04 16:12:39</v>
      </c>
      <c r="M18535" s="1" t="s">
        <v>4</v>
      </c>
      <c r="N18535" s="1" t="s">
        <v>38</v>
      </c>
      <c r="O18535" s="1" t="s">
        <v>46</v>
      </c>
    </row>
    <row r="18536" spans="2:15" x14ac:dyDescent="0.3">
      <c r="B18536" s="1" t="s">
        <v>13</v>
      </c>
      <c r="C18536" s="1" t="str">
        <f>"4차"</f>
        <v>4차</v>
      </c>
      <c r="D18536" s="1" t="str">
        <f>"9828G70239"</f>
        <v>9828G70239</v>
      </c>
      <c r="E18536" s="1" t="s">
        <v>10</v>
      </c>
      <c r="F18536" s="1" t="str">
        <f>"10.11.19.218"</f>
        <v>10.11.19.218</v>
      </c>
      <c r="G18536" s="1" t="str">
        <f>"9828G702"</f>
        <v>9828G702</v>
      </c>
      <c r="H18536" s="1" t="str">
        <f>"청운간 58"</f>
        <v>청운간 58</v>
      </c>
      <c r="I18536" s="1" t="s">
        <v>8</v>
      </c>
      <c r="J18536" s="1" t="str">
        <f>"9/9"</f>
        <v>9/9</v>
      </c>
      <c r="K18536" s="1" t="str">
        <f t="shared" ref="K18536:K18551" si="924">"2026-07-29 13:18:13"</f>
        <v>2026-07-29 13:18:13</v>
      </c>
      <c r="L18536" s="1" t="str">
        <f>"2018-02-26 19:42:06"</f>
        <v>2018-02-26 19:42:06</v>
      </c>
      <c r="M18536" s="1" t="s">
        <v>2</v>
      </c>
      <c r="N18536" s="1" t="s">
        <v>38</v>
      </c>
      <c r="O18536" s="1" t="s">
        <v>46</v>
      </c>
    </row>
    <row r="18537" spans="2:15" x14ac:dyDescent="0.3">
      <c r="B18537" s="1" t="s">
        <v>13</v>
      </c>
      <c r="C18537" s="1" t="str">
        <f>"4차"</f>
        <v>4차</v>
      </c>
      <c r="D18537" s="1" t="str">
        <f>"9828G72339"</f>
        <v>9828G72339</v>
      </c>
      <c r="E18537" s="1" t="s">
        <v>10</v>
      </c>
      <c r="F18537" s="1" t="str">
        <f>"10.11.27.194"</f>
        <v>10.11.27.194</v>
      </c>
      <c r="G18537" s="1" t="str">
        <f>"9828G723"</f>
        <v>9828G723</v>
      </c>
      <c r="H18537" s="1" t="str">
        <f>"청운간 57L2"</f>
        <v>청운간 57L2</v>
      </c>
      <c r="I18537" s="1" t="s">
        <v>8</v>
      </c>
      <c r="J18537" s="1" t="str">
        <f>"22/22"</f>
        <v>22/22</v>
      </c>
      <c r="K18537" s="1" t="str">
        <f t="shared" si="924"/>
        <v>2026-07-29 13:18:13</v>
      </c>
      <c r="L18537" s="1" t="str">
        <f>"2017-12-07 17:02:03"</f>
        <v>2017-12-07 17:02:03</v>
      </c>
      <c r="M18537" s="1" t="s">
        <v>2</v>
      </c>
      <c r="N18537" s="1" t="s">
        <v>38</v>
      </c>
      <c r="O18537" s="1" t="s">
        <v>46</v>
      </c>
    </row>
    <row r="18538" spans="2:15" x14ac:dyDescent="0.3">
      <c r="B18538" s="1" t="s">
        <v>13</v>
      </c>
      <c r="C18538" s="1" t="str">
        <f>"4차"</f>
        <v>4차</v>
      </c>
      <c r="D18538" s="1" t="str">
        <f>"9828G74239"</f>
        <v>9828G74239</v>
      </c>
      <c r="E18538" s="1" t="s">
        <v>10</v>
      </c>
      <c r="F18538" s="1" t="str">
        <f>"10.11.27.202"</f>
        <v>10.11.27.202</v>
      </c>
      <c r="G18538" s="1" t="str">
        <f>"9828G742"</f>
        <v>9828G742</v>
      </c>
      <c r="H18538" s="1" t="str">
        <f>"청운간 57L5"</f>
        <v>청운간 57L5</v>
      </c>
      <c r="I18538" s="1" t="s">
        <v>8</v>
      </c>
      <c r="J18538" s="1" t="str">
        <f>"33/33"</f>
        <v>33/33</v>
      </c>
      <c r="K18538" s="1" t="str">
        <f t="shared" si="924"/>
        <v>2026-07-29 13:18:13</v>
      </c>
      <c r="L18538" s="1" t="str">
        <f>"2021-07-27 13:46:02"</f>
        <v>2021-07-27 13:46:02</v>
      </c>
      <c r="M18538" s="1" t="s">
        <v>2</v>
      </c>
      <c r="N18538" s="1" t="s">
        <v>38</v>
      </c>
      <c r="O18538" s="1" t="s">
        <v>46</v>
      </c>
    </row>
    <row r="18539" spans="2:15" x14ac:dyDescent="0.3">
      <c r="B18539" s="1" t="s">
        <v>13</v>
      </c>
      <c r="C18539" s="1" t="str">
        <f>"3차"</f>
        <v>3차</v>
      </c>
      <c r="D18539" s="1" t="str">
        <f>"9828H11339"</f>
        <v>9828H11339</v>
      </c>
      <c r="E18539" s="1" t="s">
        <v>10</v>
      </c>
      <c r="F18539" s="1" t="str">
        <f>"10.11.21.138"</f>
        <v>10.11.21.138</v>
      </c>
      <c r="G18539" s="1" t="str">
        <f>"9828H113"</f>
        <v>9828H113</v>
      </c>
      <c r="H18539" s="1" t="str">
        <f>"청운간 85L1"</f>
        <v>청운간 85L1</v>
      </c>
      <c r="I18539" s="1" t="s">
        <v>8</v>
      </c>
      <c r="J18539" s="1" t="str">
        <f>"8/8"</f>
        <v>8/8</v>
      </c>
      <c r="K18539" s="1" t="str">
        <f t="shared" si="924"/>
        <v>2026-07-29 13:18:13</v>
      </c>
      <c r="L18539" s="1" t="str">
        <f>"2018-03-10 13:54:58"</f>
        <v>2018-03-10 13:54:58</v>
      </c>
      <c r="M18539" s="1" t="s">
        <v>2</v>
      </c>
      <c r="N18539" s="1" t="s">
        <v>38</v>
      </c>
      <c r="O18539" s="1" t="s">
        <v>46</v>
      </c>
    </row>
    <row r="18540" spans="2:15" x14ac:dyDescent="0.3">
      <c r="B18540" s="1" t="s">
        <v>13</v>
      </c>
      <c r="C18540" s="1" t="str">
        <f>"4차"</f>
        <v>4차</v>
      </c>
      <c r="D18540" s="1" t="str">
        <f>"9828H13239"</f>
        <v>9828H13239</v>
      </c>
      <c r="E18540" s="1" t="s">
        <v>10</v>
      </c>
      <c r="F18540" s="1" t="str">
        <f>"10.11.20.2"</f>
        <v>10.11.20.2</v>
      </c>
      <c r="G18540" s="1" t="str">
        <f>"9828H132"</f>
        <v>9828H132</v>
      </c>
      <c r="H18540" s="1" t="str">
        <f>"청운간 88"</f>
        <v>청운간 88</v>
      </c>
      <c r="I18540" s="1" t="s">
        <v>8</v>
      </c>
      <c r="J18540" s="1" t="str">
        <f>"16/16"</f>
        <v>16/16</v>
      </c>
      <c r="K18540" s="1" t="str">
        <f t="shared" si="924"/>
        <v>2026-07-29 13:18:13</v>
      </c>
      <c r="L18540" s="1" t="str">
        <f>"2018-01-02 16:54:27"</f>
        <v>2018-01-02 16:54:27</v>
      </c>
      <c r="M18540" s="1" t="s">
        <v>2</v>
      </c>
      <c r="N18540" s="1" t="s">
        <v>38</v>
      </c>
      <c r="O18540" s="1" t="s">
        <v>46</v>
      </c>
    </row>
    <row r="18541" spans="2:15" x14ac:dyDescent="0.3">
      <c r="B18541" s="1" t="s">
        <v>13</v>
      </c>
      <c r="C18541" s="1" t="str">
        <f>"3차"</f>
        <v>3차</v>
      </c>
      <c r="D18541" s="1" t="str">
        <f>"9828H20139"</f>
        <v>9828H20139</v>
      </c>
      <c r="E18541" s="1" t="s">
        <v>10</v>
      </c>
      <c r="F18541" s="1" t="str">
        <f>"10.11.40.170"</f>
        <v>10.11.40.170</v>
      </c>
      <c r="G18541" s="1" t="str">
        <f>"9828H201"</f>
        <v>9828H201</v>
      </c>
      <c r="H18541" s="1" t="str">
        <f>"청운간 85L2"</f>
        <v>청운간 85L2</v>
      </c>
      <c r="I18541" s="1" t="s">
        <v>8</v>
      </c>
      <c r="J18541" s="1" t="str">
        <f>"30/30"</f>
        <v>30/30</v>
      </c>
      <c r="K18541" s="1" t="str">
        <f t="shared" si="924"/>
        <v>2026-07-29 13:18:13</v>
      </c>
      <c r="L18541" s="1" t="str">
        <f>"2018-03-10 13:38:27"</f>
        <v>2018-03-10 13:38:27</v>
      </c>
      <c r="M18541" s="1" t="s">
        <v>2</v>
      </c>
      <c r="N18541" s="1" t="s">
        <v>38</v>
      </c>
      <c r="O18541" s="1" t="s">
        <v>46</v>
      </c>
    </row>
    <row r="18542" spans="2:15" x14ac:dyDescent="0.3">
      <c r="B18542" s="1" t="s">
        <v>13</v>
      </c>
      <c r="C18542" s="1" t="str">
        <f>"3차"</f>
        <v>3차</v>
      </c>
      <c r="D18542" s="1" t="str">
        <f>"9828H21239"</f>
        <v>9828H21239</v>
      </c>
      <c r="E18542" s="1" t="s">
        <v>10</v>
      </c>
      <c r="F18542" s="1" t="str">
        <f>"10.11.21.146"</f>
        <v>10.11.21.146</v>
      </c>
      <c r="G18542" s="1" t="str">
        <f>"9828H212"</f>
        <v>9828H212</v>
      </c>
      <c r="H18542" s="1" t="str">
        <f>"청운간 85R1"</f>
        <v>청운간 85R1</v>
      </c>
      <c r="I18542" s="1" t="s">
        <v>8</v>
      </c>
      <c r="J18542" s="1" t="str">
        <f>"14/14"</f>
        <v>14/14</v>
      </c>
      <c r="K18542" s="1" t="str">
        <f t="shared" si="924"/>
        <v>2026-07-29 13:18:13</v>
      </c>
      <c r="L18542" s="1" t="str">
        <f>"2018-03-10 15:07:42"</f>
        <v>2018-03-10 15:07:42</v>
      </c>
      <c r="M18542" s="1" t="s">
        <v>2</v>
      </c>
      <c r="N18542" s="1" t="s">
        <v>38</v>
      </c>
      <c r="O18542" s="1" t="s">
        <v>46</v>
      </c>
    </row>
    <row r="18543" spans="2:15" x14ac:dyDescent="0.3">
      <c r="B18543" s="1" t="s">
        <v>13</v>
      </c>
      <c r="C18543" s="1" t="str">
        <f>"3차"</f>
        <v>3차</v>
      </c>
      <c r="D18543" s="1" t="str">
        <f>"9828H21339"</f>
        <v>9828H21339</v>
      </c>
      <c r="E18543" s="1" t="s">
        <v>10</v>
      </c>
      <c r="F18543" s="1" t="str">
        <f>"10.11.40.178"</f>
        <v>10.11.40.178</v>
      </c>
      <c r="G18543" s="1" t="str">
        <f>"9828H213"</f>
        <v>9828H213</v>
      </c>
      <c r="H18543" s="1" t="str">
        <f>"청운간 85R2"</f>
        <v>청운간 85R2</v>
      </c>
      <c r="I18543" s="1" t="s">
        <v>8</v>
      </c>
      <c r="J18543" s="1" t="str">
        <f>"32/35"</f>
        <v>32/35</v>
      </c>
      <c r="K18543" s="1" t="str">
        <f t="shared" si="924"/>
        <v>2026-07-29 13:18:13</v>
      </c>
      <c r="L18543" s="1" t="str">
        <f>"2018-03-10 14:49:28"</f>
        <v>2018-03-10 14:49:28</v>
      </c>
      <c r="M18543" s="1" t="s">
        <v>2</v>
      </c>
      <c r="N18543" s="1" t="s">
        <v>38</v>
      </c>
      <c r="O18543" s="1" t="s">
        <v>46</v>
      </c>
    </row>
    <row r="18544" spans="2:15" x14ac:dyDescent="0.3">
      <c r="B18544" s="1" t="s">
        <v>13</v>
      </c>
      <c r="C18544" s="1" t="str">
        <f>"3차"</f>
        <v>3차</v>
      </c>
      <c r="D18544" s="1" t="str">
        <f>"9828H24139"</f>
        <v>9828H24139</v>
      </c>
      <c r="E18544" s="1" t="s">
        <v>14</v>
      </c>
      <c r="F18544" s="1" t="str">
        <f>"10.11.18.18"</f>
        <v>10.11.18.18</v>
      </c>
      <c r="G18544" s="1" t="str">
        <f>"9828H241"</f>
        <v>9828H241</v>
      </c>
      <c r="H18544" s="1" t="str">
        <f>"청운간 91"</f>
        <v>청운간 91</v>
      </c>
      <c r="I18544" s="1" t="s">
        <v>8</v>
      </c>
      <c r="J18544" s="1" t="str">
        <f>"0/0"</f>
        <v>0/0</v>
      </c>
      <c r="K18544" s="4" t="str">
        <f t="shared" si="924"/>
        <v>2026-07-29 13:18:13</v>
      </c>
      <c r="L18544" s="1" t="str">
        <f>"2018-01-02 16:06:12"</f>
        <v>2018-01-02 16:06:12</v>
      </c>
      <c r="M18544" s="1" t="s">
        <v>2</v>
      </c>
      <c r="N18544" s="1" t="s">
        <v>38</v>
      </c>
      <c r="O18544" s="1" t="s">
        <v>44</v>
      </c>
    </row>
    <row r="18545" spans="2:15" x14ac:dyDescent="0.3">
      <c r="B18545" s="1" t="s">
        <v>13</v>
      </c>
      <c r="C18545" s="1" t="str">
        <f>"3차"</f>
        <v>3차</v>
      </c>
      <c r="D18545" s="1" t="str">
        <f>"9828H25139"</f>
        <v>9828H25139</v>
      </c>
      <c r="E18545" s="1" t="s">
        <v>10</v>
      </c>
      <c r="F18545" s="1" t="str">
        <f>"10.11.39.218"</f>
        <v>10.11.39.218</v>
      </c>
      <c r="G18545" s="1" t="str">
        <f>"9828H251"</f>
        <v>9828H251</v>
      </c>
      <c r="H18545" s="1" t="str">
        <f>"청운간 104L11"</f>
        <v>청운간 104L11</v>
      </c>
      <c r="I18545" s="1" t="s">
        <v>8</v>
      </c>
      <c r="J18545" s="1" t="str">
        <f>"8/9"</f>
        <v>8/9</v>
      </c>
      <c r="K18545" s="1" t="str">
        <f t="shared" si="924"/>
        <v>2026-07-29 13:18:13</v>
      </c>
      <c r="L18545" s="1" t="str">
        <f>"2018-02-06 14:53:58"</f>
        <v>2018-02-06 14:53:58</v>
      </c>
      <c r="M18545" s="1" t="s">
        <v>2</v>
      </c>
      <c r="N18545" s="1" t="s">
        <v>38</v>
      </c>
      <c r="O18545" s="1" t="s">
        <v>46</v>
      </c>
    </row>
    <row r="18546" spans="2:15" x14ac:dyDescent="0.3">
      <c r="B18546" s="1" t="s">
        <v>13</v>
      </c>
      <c r="C18546" s="1" t="str">
        <f>"4차"</f>
        <v>4차</v>
      </c>
      <c r="D18546" s="1" t="str">
        <f>"9828H30144"</f>
        <v>9828H30144</v>
      </c>
      <c r="E18546" s="1" t="s">
        <v>10</v>
      </c>
      <c r="F18546" s="1" t="str">
        <f>"10.11.19.250"</f>
        <v>10.11.19.250</v>
      </c>
      <c r="G18546" s="1" t="str">
        <f>"9828H301"</f>
        <v>9828H301</v>
      </c>
      <c r="H18546" s="1" t="str">
        <f>"청운간 83"</f>
        <v>청운간 83</v>
      </c>
      <c r="I18546" s="1" t="s">
        <v>8</v>
      </c>
      <c r="J18546" s="1" t="str">
        <f>"13/13"</f>
        <v>13/13</v>
      </c>
      <c r="K18546" s="1" t="str">
        <f t="shared" si="924"/>
        <v>2026-07-29 13:18:13</v>
      </c>
      <c r="L18546" s="1" t="str">
        <f>"2026-01-30 09:47:56"</f>
        <v>2026-01-30 09:47:56</v>
      </c>
      <c r="M18546" s="1" t="s">
        <v>2</v>
      </c>
      <c r="N18546" s="1" t="s">
        <v>38</v>
      </c>
      <c r="O18546" s="1" t="s">
        <v>46</v>
      </c>
    </row>
    <row r="18547" spans="2:15" x14ac:dyDescent="0.3">
      <c r="B18547" s="1" t="s">
        <v>13</v>
      </c>
      <c r="C18547" s="1" t="str">
        <f>"3차"</f>
        <v>3차</v>
      </c>
      <c r="D18547" s="1" t="str">
        <f>"9828H36139"</f>
        <v>9828H36139</v>
      </c>
      <c r="E18547" s="1" t="s">
        <v>10</v>
      </c>
      <c r="F18547" s="1" t="str">
        <f>"10.11.39.234"</f>
        <v>10.11.39.234</v>
      </c>
      <c r="G18547" s="1" t="str">
        <f>"9828H361"</f>
        <v>9828H361</v>
      </c>
      <c r="H18547" s="1" t="str">
        <f>"청운간 104L9"</f>
        <v>청운간 104L9</v>
      </c>
      <c r="I18547" s="1" t="s">
        <v>8</v>
      </c>
      <c r="J18547" s="1" t="str">
        <f>"38/38"</f>
        <v>38/38</v>
      </c>
      <c r="K18547" s="1" t="str">
        <f t="shared" si="924"/>
        <v>2026-07-29 13:18:13</v>
      </c>
      <c r="L18547" s="1" t="str">
        <f>"2018-01-10 11:33:26"</f>
        <v>2018-01-10 11:33:26</v>
      </c>
      <c r="M18547" s="1" t="s">
        <v>2</v>
      </c>
      <c r="N18547" s="1" t="s">
        <v>38</v>
      </c>
      <c r="O18547" s="1" t="s">
        <v>46</v>
      </c>
    </row>
    <row r="18548" spans="2:15" x14ac:dyDescent="0.3">
      <c r="B18548" s="1" t="s">
        <v>13</v>
      </c>
      <c r="C18548" s="1" t="str">
        <f>"4차"</f>
        <v>4차</v>
      </c>
      <c r="D18548" s="1" t="str">
        <f>"9828H36239"</f>
        <v>9828H36239</v>
      </c>
      <c r="E18548" s="1" t="s">
        <v>10</v>
      </c>
      <c r="F18548" s="1" t="str">
        <f>"10.11.20.114"</f>
        <v>10.11.20.114</v>
      </c>
      <c r="G18548" s="1" t="str">
        <f>"9828H362"</f>
        <v>9828H362</v>
      </c>
      <c r="H18548" s="1" t="str">
        <f>"청운간 104L10"</f>
        <v>청운간 104L10</v>
      </c>
      <c r="I18548" s="1" t="s">
        <v>8</v>
      </c>
      <c r="J18548" s="1" t="str">
        <f>"1/1"</f>
        <v>1/1</v>
      </c>
      <c r="K18548" s="1" t="str">
        <f t="shared" si="924"/>
        <v>2026-07-29 13:18:13</v>
      </c>
      <c r="L18548" s="1" t="str">
        <f>"2018-02-06 15:10:28"</f>
        <v>2018-02-06 15:10:28</v>
      </c>
      <c r="M18548" s="1" t="s">
        <v>2</v>
      </c>
      <c r="N18548" s="1" t="s">
        <v>38</v>
      </c>
      <c r="O18548" s="1" t="s">
        <v>46</v>
      </c>
    </row>
    <row r="18549" spans="2:15" x14ac:dyDescent="0.3">
      <c r="B18549" s="1" t="s">
        <v>13</v>
      </c>
      <c r="C18549" s="1" t="str">
        <f>"3차"</f>
        <v>3차</v>
      </c>
      <c r="D18549" s="1" t="str">
        <f>"9828H37239"</f>
        <v>9828H37239</v>
      </c>
      <c r="E18549" s="1" t="s">
        <v>10</v>
      </c>
      <c r="F18549" s="1" t="str">
        <f>"10.11.20.138"</f>
        <v>10.11.20.138</v>
      </c>
      <c r="G18549" s="1" t="str">
        <f>"9828H372"</f>
        <v>9828H372</v>
      </c>
      <c r="H18549" s="1" t="str">
        <f>"청운간 104L8"</f>
        <v>청운간 104L8</v>
      </c>
      <c r="I18549" s="1" t="s">
        <v>8</v>
      </c>
      <c r="J18549" s="1" t="str">
        <f>"15/15"</f>
        <v>15/15</v>
      </c>
      <c r="K18549" s="1" t="str">
        <f t="shared" si="924"/>
        <v>2026-07-29 13:18:13</v>
      </c>
      <c r="L18549" s="1" t="str">
        <f>"2018-01-10 11:44:40"</f>
        <v>2018-01-10 11:44:40</v>
      </c>
      <c r="M18549" s="1" t="s">
        <v>2</v>
      </c>
      <c r="N18549" s="1" t="s">
        <v>38</v>
      </c>
      <c r="O18549" s="1" t="s">
        <v>46</v>
      </c>
    </row>
    <row r="18550" spans="2:15" x14ac:dyDescent="0.3">
      <c r="B18550" s="1" t="s">
        <v>13</v>
      </c>
      <c r="C18550" s="1" t="str">
        <f>"4차"</f>
        <v>4차</v>
      </c>
      <c r="D18550" s="1" t="str">
        <f>"9828H40139"</f>
        <v>9828H40139</v>
      </c>
      <c r="E18550" s="1" t="s">
        <v>10</v>
      </c>
      <c r="F18550" s="1" t="str">
        <f>"10.11.39.90"</f>
        <v>10.11.39.90</v>
      </c>
      <c r="G18550" s="1" t="str">
        <f>"9828H401"</f>
        <v>9828H401</v>
      </c>
      <c r="H18550" s="1" t="str">
        <f>"청운간 81"</f>
        <v>청운간 81</v>
      </c>
      <c r="I18550" s="1" t="s">
        <v>8</v>
      </c>
      <c r="J18550" s="1" t="str">
        <f>"23/23"</f>
        <v>23/23</v>
      </c>
      <c r="K18550" s="1" t="str">
        <f t="shared" si="924"/>
        <v>2026-07-29 13:18:13</v>
      </c>
      <c r="L18550" s="1" t="str">
        <f>"2018-02-13 09:00:40"</f>
        <v>2018-02-13 09:00:40</v>
      </c>
      <c r="M18550" s="1" t="s">
        <v>2</v>
      </c>
      <c r="N18550" s="1" t="s">
        <v>38</v>
      </c>
      <c r="O18550" s="1" t="s">
        <v>46</v>
      </c>
    </row>
    <row r="18551" spans="2:15" x14ac:dyDescent="0.3">
      <c r="B18551" s="1" t="s">
        <v>13</v>
      </c>
      <c r="C18551" s="1" t="str">
        <f>"3차"</f>
        <v>3차</v>
      </c>
      <c r="D18551" s="1" t="str">
        <f>"9828H41239"</f>
        <v>9828H41239</v>
      </c>
      <c r="E18551" s="1" t="s">
        <v>10</v>
      </c>
      <c r="F18551" s="1" t="str">
        <f>"10.11.40.186"</f>
        <v>10.11.40.186</v>
      </c>
      <c r="G18551" s="1" t="str">
        <f>"9828H412"</f>
        <v>9828H412</v>
      </c>
      <c r="H18551" s="1" t="str">
        <f>"청운간 85R5"</f>
        <v>청운간 85R5</v>
      </c>
      <c r="I18551" s="1" t="s">
        <v>8</v>
      </c>
      <c r="J18551" s="1" t="str">
        <f>"25/25"</f>
        <v>25/25</v>
      </c>
      <c r="K18551" s="1" t="str">
        <f t="shared" si="924"/>
        <v>2026-07-29 13:18:13</v>
      </c>
      <c r="L18551" s="1" t="str">
        <f>"2018-03-19 15:03:11"</f>
        <v>2018-03-19 15:03:11</v>
      </c>
      <c r="M18551" s="1" t="s">
        <v>2</v>
      </c>
      <c r="N18551" s="1" t="s">
        <v>38</v>
      </c>
      <c r="O18551" s="1" t="s">
        <v>46</v>
      </c>
    </row>
    <row r="18552" spans="2:15" x14ac:dyDescent="0.3">
      <c r="B18552" s="1" t="s">
        <v>13</v>
      </c>
      <c r="C18552" s="1" t="str">
        <f>"4차"</f>
        <v>4차</v>
      </c>
      <c r="D18552" s="1" t="str">
        <f>"9828H42339"</f>
        <v>9828H42339</v>
      </c>
      <c r="E18552" s="1" t="s">
        <v>10</v>
      </c>
      <c r="F18552" s="1" t="str">
        <f>"10.12.134.57"</f>
        <v>10.12.134.57</v>
      </c>
      <c r="G18552" s="1" t="str">
        <f>"9828H423"</f>
        <v>9828H423</v>
      </c>
      <c r="H18552" s="1" t="str">
        <f>"평창로 1"</f>
        <v>평창로 1</v>
      </c>
      <c r="I18552" s="1" t="s">
        <v>17</v>
      </c>
      <c r="J18552" s="1" t="str">
        <f>"10/10"</f>
        <v>10/10</v>
      </c>
      <c r="K18552" s="1" t="str">
        <f>"2026-07-29 13:18:11"</f>
        <v>2026-07-29 13:18:11</v>
      </c>
      <c r="L18552" s="1" t="str">
        <f>"2018-06-12 11:12:41"</f>
        <v>2018-06-12 11:12:41</v>
      </c>
      <c r="M18552" s="1" t="s">
        <v>0</v>
      </c>
      <c r="N18552" s="1" t="s">
        <v>38</v>
      </c>
      <c r="O18552" s="1" t="s">
        <v>46</v>
      </c>
    </row>
    <row r="18553" spans="2:15" x14ac:dyDescent="0.3">
      <c r="B18553" s="1" t="s">
        <v>13</v>
      </c>
      <c r="C18553" s="1" t="str">
        <f>"3차"</f>
        <v>3차</v>
      </c>
      <c r="D18553" s="1" t="str">
        <f>"9828H45239"</f>
        <v>9828H45239</v>
      </c>
      <c r="E18553" s="1" t="s">
        <v>10</v>
      </c>
      <c r="F18553" s="1" t="str">
        <f>"10.11.20.10"</f>
        <v>10.11.20.10</v>
      </c>
      <c r="G18553" s="1" t="str">
        <f>"9828H452"</f>
        <v>9828H452</v>
      </c>
      <c r="H18553" s="1" t="str">
        <f>"청운간 93"</f>
        <v>청운간 93</v>
      </c>
      <c r="I18553" s="1" t="s">
        <v>8</v>
      </c>
      <c r="J18553" s="1" t="str">
        <f>"4/5"</f>
        <v>4/5</v>
      </c>
      <c r="K18553" s="1" t="str">
        <f>"2026-07-29 13:18:13"</f>
        <v>2026-07-29 13:18:13</v>
      </c>
      <c r="L18553" s="1" t="str">
        <f>"2018-01-02 15:57:21"</f>
        <v>2018-01-02 15:57:21</v>
      </c>
      <c r="M18553" s="1" t="s">
        <v>2</v>
      </c>
      <c r="N18553" s="1" t="s">
        <v>38</v>
      </c>
      <c r="O18553" s="1" t="s">
        <v>46</v>
      </c>
    </row>
    <row r="18554" spans="2:15" x14ac:dyDescent="0.3">
      <c r="B18554" s="1" t="s">
        <v>13</v>
      </c>
      <c r="C18554" s="1" t="str">
        <f>"4차"</f>
        <v>4차</v>
      </c>
      <c r="D18554" s="1" t="str">
        <f>"9828H54139"</f>
        <v>9828H54139</v>
      </c>
      <c r="E18554" s="1" t="s">
        <v>14</v>
      </c>
      <c r="F18554" s="1" t="str">
        <f>"10.12.137.29"</f>
        <v>10.12.137.29</v>
      </c>
      <c r="G18554" s="1" t="str">
        <f>"9828H541"</f>
        <v>9828H541</v>
      </c>
      <c r="H18554" s="1" t="str">
        <f>"청운로 1"</f>
        <v>청운로 1</v>
      </c>
      <c r="I18554" s="1" t="s">
        <v>17</v>
      </c>
      <c r="J18554" s="1" t="str">
        <f>"0/0"</f>
        <v>0/0</v>
      </c>
      <c r="K18554" s="1" t="str">
        <f>"2025-06-21 13:21:12"</f>
        <v>2025-06-21 13:21:12</v>
      </c>
      <c r="L18554" s="1" t="str">
        <f>"2018-06-12 10:44:55"</f>
        <v>2018-06-12 10:44:55</v>
      </c>
      <c r="M18554" s="1" t="s">
        <v>0</v>
      </c>
      <c r="N18554" s="1" t="s">
        <v>39</v>
      </c>
      <c r="O18554" s="1" t="s">
        <v>46</v>
      </c>
    </row>
    <row r="18555" spans="2:15" x14ac:dyDescent="0.3">
      <c r="B18555" s="1" t="s">
        <v>13</v>
      </c>
      <c r="C18555" s="1" t="str">
        <f>"3차"</f>
        <v>3차</v>
      </c>
      <c r="D18555" s="1" t="str">
        <f>"9828H57139"</f>
        <v>9828H57139</v>
      </c>
      <c r="E18555" s="1" t="s">
        <v>10</v>
      </c>
      <c r="F18555" s="1" t="str">
        <f>"10.11.20.18"</f>
        <v>10.11.20.18</v>
      </c>
      <c r="G18555" s="1" t="str">
        <f>"9828H571"</f>
        <v>9828H571</v>
      </c>
      <c r="H18555" s="1" t="str">
        <f>"청운간 97"</f>
        <v>청운간 97</v>
      </c>
      <c r="I18555" s="1" t="s">
        <v>8</v>
      </c>
      <c r="J18555" s="1" t="str">
        <f>"29/29"</f>
        <v>29/29</v>
      </c>
      <c r="K18555" s="1" t="str">
        <f>"2026-07-29 13:18:13"</f>
        <v>2026-07-29 13:18:13</v>
      </c>
      <c r="L18555" s="1" t="str">
        <f>"2018-02-26 19:42:52"</f>
        <v>2018-02-26 19:42:52</v>
      </c>
      <c r="M18555" s="1" t="s">
        <v>2</v>
      </c>
      <c r="N18555" s="1" t="s">
        <v>38</v>
      </c>
      <c r="O18555" s="1" t="s">
        <v>46</v>
      </c>
    </row>
    <row r="18556" spans="2:15" x14ac:dyDescent="0.3">
      <c r="B18556" s="1" t="s">
        <v>13</v>
      </c>
      <c r="C18556" s="1" t="str">
        <f>"3차"</f>
        <v>3차</v>
      </c>
      <c r="D18556" s="1" t="str">
        <f>"9828H58139"</f>
        <v>9828H58139</v>
      </c>
      <c r="E18556" s="1" t="s">
        <v>10</v>
      </c>
      <c r="F18556" s="1" t="str">
        <f>"10.11.39.98"</f>
        <v>10.11.39.98</v>
      </c>
      <c r="G18556" s="1" t="str">
        <f>"9828H581"</f>
        <v>9828H581</v>
      </c>
      <c r="H18556" s="1" t="str">
        <f>"청운간 99"</f>
        <v>청운간 99</v>
      </c>
      <c r="I18556" s="1" t="s">
        <v>8</v>
      </c>
      <c r="J18556" s="1" t="str">
        <f>"9/9"</f>
        <v>9/9</v>
      </c>
      <c r="K18556" s="1" t="str">
        <f>"2026-07-29 13:18:13"</f>
        <v>2026-07-29 13:18:13</v>
      </c>
      <c r="L18556" s="1" t="str">
        <f>"2024-08-05 13:56:49"</f>
        <v>2024-08-05 13:56:49</v>
      </c>
      <c r="M18556" s="1" t="s">
        <v>2</v>
      </c>
      <c r="N18556" s="1" t="s">
        <v>38</v>
      </c>
      <c r="O18556" s="1" t="s">
        <v>46</v>
      </c>
    </row>
    <row r="18557" spans="2:15" x14ac:dyDescent="0.3">
      <c r="B18557" s="1" t="s">
        <v>13</v>
      </c>
      <c r="C18557" s="1" t="str">
        <f>"3차"</f>
        <v>3차</v>
      </c>
      <c r="D18557" s="1" t="str">
        <f>"9828H59139"</f>
        <v>9828H59139</v>
      </c>
      <c r="E18557" s="1" t="s">
        <v>10</v>
      </c>
      <c r="F18557" s="1" t="str">
        <f>"10.11.20.26"</f>
        <v>10.11.20.26</v>
      </c>
      <c r="G18557" s="1" t="str">
        <f>"9828H591"</f>
        <v>9828H591</v>
      </c>
      <c r="H18557" s="1" t="str">
        <f>"청운간 101"</f>
        <v>청운간 101</v>
      </c>
      <c r="I18557" s="1" t="s">
        <v>8</v>
      </c>
      <c r="J18557" s="1" t="str">
        <f>"9/9"</f>
        <v>9/9</v>
      </c>
      <c r="K18557" s="1" t="str">
        <f>"2026-07-29 13:18:13"</f>
        <v>2026-07-29 13:18:13</v>
      </c>
      <c r="L18557" s="1" t="str">
        <f>"2018-02-26 19:44:38"</f>
        <v>2018-02-26 19:44:38</v>
      </c>
      <c r="M18557" s="1" t="s">
        <v>2</v>
      </c>
      <c r="N18557" s="1" t="s">
        <v>38</v>
      </c>
      <c r="O18557" s="1" t="s">
        <v>46</v>
      </c>
    </row>
    <row r="18558" spans="2:15" x14ac:dyDescent="0.3">
      <c r="B18558" s="1" t="s">
        <v>13</v>
      </c>
      <c r="C18558" s="1" t="str">
        <f>"3차"</f>
        <v>3차</v>
      </c>
      <c r="D18558" s="1" t="str">
        <f>"9828H72139"</f>
        <v>9828H72139</v>
      </c>
      <c r="E18558" s="1" t="s">
        <v>10</v>
      </c>
      <c r="F18558" s="1" t="str">
        <f>"10.11.42.210"</f>
        <v>10.11.42.210</v>
      </c>
      <c r="G18558" s="1" t="str">
        <f>"9828H721"</f>
        <v>9828H721</v>
      </c>
      <c r="H18558" s="1" t="str">
        <f>"평창간 6L6L2"</f>
        <v>평창간 6L6L2</v>
      </c>
      <c r="I18558" s="1" t="s">
        <v>8</v>
      </c>
      <c r="J18558" s="1" t="str">
        <f>"9/9"</f>
        <v>9/9</v>
      </c>
      <c r="K18558" s="1" t="str">
        <f>"2026-07-29 13:18:13"</f>
        <v>2026-07-29 13:18:13</v>
      </c>
      <c r="L18558" s="1" t="str">
        <f>"2018-03-09 15:01:59"</f>
        <v>2018-03-09 15:01:59</v>
      </c>
      <c r="M18558" s="1" t="s">
        <v>2</v>
      </c>
      <c r="N18558" s="1" t="s">
        <v>38</v>
      </c>
      <c r="O18558" s="1" t="s">
        <v>46</v>
      </c>
    </row>
    <row r="18559" spans="2:15" x14ac:dyDescent="0.3">
      <c r="B18559" s="1" t="s">
        <v>13</v>
      </c>
      <c r="C18559" s="1" t="str">
        <f>"4차"</f>
        <v>4차</v>
      </c>
      <c r="D18559" s="1" t="str">
        <f>"9828H73139"</f>
        <v>9828H73139</v>
      </c>
      <c r="E18559" s="1" t="s">
        <v>14</v>
      </c>
      <c r="F18559" s="1" t="str">
        <f>"10.12.128.30"</f>
        <v>10.12.128.30</v>
      </c>
      <c r="G18559" s="1" t="str">
        <f>"9828H731"</f>
        <v>9828H731</v>
      </c>
      <c r="H18559" s="1" t="str">
        <f>"평창간 6L7"</f>
        <v>평창간 6L7</v>
      </c>
      <c r="I18559" s="1" t="s">
        <v>8</v>
      </c>
      <c r="J18559" s="1" t="str">
        <f>"0/0"</f>
        <v>0/0</v>
      </c>
      <c r="K18559" s="1" t="str">
        <f>"2026-07-23 11:03:45"</f>
        <v>2026-07-23 11:03:45</v>
      </c>
      <c r="L18559" s="1" t="str">
        <f>"2026-07-23 11:03:45"</f>
        <v>2026-07-23 11:03:45</v>
      </c>
      <c r="M18559" s="1" t="s">
        <v>0</v>
      </c>
      <c r="N18559" s="1" t="s">
        <v>38</v>
      </c>
      <c r="O18559" s="1" t="s">
        <v>44</v>
      </c>
    </row>
    <row r="18560" spans="2:15" x14ac:dyDescent="0.3">
      <c r="B18560" s="1" t="s">
        <v>13</v>
      </c>
      <c r="C18560" s="1" t="str">
        <f>"4차"</f>
        <v>4차</v>
      </c>
      <c r="D18560" s="1" t="str">
        <f>"9828H73339"</f>
        <v>9828H73339</v>
      </c>
      <c r="E18560" s="1" t="s">
        <v>10</v>
      </c>
      <c r="F18560" s="1" t="str">
        <f>"10.12.134.68"</f>
        <v>10.12.134.68</v>
      </c>
      <c r="G18560" s="1" t="str">
        <f>"9828H733"</f>
        <v>9828H733</v>
      </c>
      <c r="H18560" s="1" t="str">
        <f>"평창로 2"</f>
        <v>평창로 2</v>
      </c>
      <c r="I18560" s="1" t="s">
        <v>17</v>
      </c>
      <c r="J18560" s="1" t="str">
        <f>"10/10"</f>
        <v>10/10</v>
      </c>
      <c r="K18560" s="1" t="str">
        <f>"2026-07-29 13:18:11"</f>
        <v>2026-07-29 13:18:11</v>
      </c>
      <c r="L18560" s="1" t="str">
        <f>"2018-06-12 11:31:13"</f>
        <v>2018-06-12 11:31:13</v>
      </c>
      <c r="M18560" s="1" t="s">
        <v>0</v>
      </c>
      <c r="N18560" s="1" t="s">
        <v>38</v>
      </c>
      <c r="O18560" s="1" t="s">
        <v>46</v>
      </c>
    </row>
    <row r="18561" spans="2:15" x14ac:dyDescent="0.3">
      <c r="B18561" s="1" t="s">
        <v>13</v>
      </c>
      <c r="C18561" s="1" t="str">
        <f>"3차"</f>
        <v>3차</v>
      </c>
      <c r="D18561" s="1" t="str">
        <f>"9828H79339"</f>
        <v>9828H79339</v>
      </c>
      <c r="E18561" s="1" t="s">
        <v>10</v>
      </c>
      <c r="F18561" s="1" t="str">
        <f>"10.11.42.106"</f>
        <v>10.11.42.106</v>
      </c>
      <c r="G18561" s="1" t="str">
        <f>"9828H793"</f>
        <v>9828H793</v>
      </c>
      <c r="H18561" s="1" t="str">
        <f>"평창간 6L13L3"</f>
        <v>평창간 6L13L3</v>
      </c>
      <c r="I18561" s="1" t="s">
        <v>8</v>
      </c>
      <c r="J18561" s="1" t="str">
        <f>"13/13"</f>
        <v>13/13</v>
      </c>
      <c r="K18561" s="1" t="str">
        <f t="shared" ref="K18561:K18569" si="925">"2026-07-29 13:18:13"</f>
        <v>2026-07-29 13:18:13</v>
      </c>
      <c r="L18561" s="1" t="str">
        <f>"2018-05-17 17:56:43"</f>
        <v>2018-05-17 17:56:43</v>
      </c>
      <c r="M18561" s="1" t="s">
        <v>2</v>
      </c>
      <c r="N18561" s="1" t="s">
        <v>38</v>
      </c>
      <c r="O18561" s="1" t="s">
        <v>46</v>
      </c>
    </row>
    <row r="18562" spans="2:15" x14ac:dyDescent="0.3">
      <c r="B18562" s="1" t="s">
        <v>13</v>
      </c>
      <c r="C18562" s="1" t="str">
        <f>"4차"</f>
        <v>4차</v>
      </c>
      <c r="D18562" s="1" t="str">
        <f>"9828H81139"</f>
        <v>9828H81139</v>
      </c>
      <c r="E18562" s="1" t="s">
        <v>10</v>
      </c>
      <c r="F18562" s="1" t="str">
        <f>"10.11.24.146"</f>
        <v>10.11.24.146</v>
      </c>
      <c r="G18562" s="1" t="str">
        <f>"9828H811"</f>
        <v>9828H811</v>
      </c>
      <c r="H18562" s="1" t="str">
        <f>"평창간 6L5"</f>
        <v>평창간 6L5</v>
      </c>
      <c r="I18562" s="1" t="s">
        <v>8</v>
      </c>
      <c r="J18562" s="1" t="str">
        <f>"8/8"</f>
        <v>8/8</v>
      </c>
      <c r="K18562" s="1" t="str">
        <f t="shared" si="925"/>
        <v>2026-07-29 13:18:13</v>
      </c>
      <c r="L18562" s="1" t="str">
        <f>"2018-03-09 15:40:13"</f>
        <v>2018-03-09 15:40:13</v>
      </c>
      <c r="M18562" s="1" t="s">
        <v>2</v>
      </c>
      <c r="N18562" s="1" t="s">
        <v>38</v>
      </c>
      <c r="O18562" s="1" t="s">
        <v>46</v>
      </c>
    </row>
    <row r="18563" spans="2:15" x14ac:dyDescent="0.3">
      <c r="B18563" s="1" t="s">
        <v>13</v>
      </c>
      <c r="C18563" s="1" t="str">
        <f>"3차"</f>
        <v>3차</v>
      </c>
      <c r="D18563" s="1" t="str">
        <f>"9828H82139"</f>
        <v>9828H82139</v>
      </c>
      <c r="E18563" s="1" t="s">
        <v>10</v>
      </c>
      <c r="F18563" s="1" t="str">
        <f>"10.11.23.226"</f>
        <v>10.11.23.226</v>
      </c>
      <c r="G18563" s="1" t="str">
        <f>"9828H821"</f>
        <v>9828H821</v>
      </c>
      <c r="H18563" s="1" t="str">
        <f>"평창간 6L6"</f>
        <v>평창간 6L6</v>
      </c>
      <c r="I18563" s="1" t="s">
        <v>8</v>
      </c>
      <c r="J18563" s="1" t="str">
        <f>"30/30"</f>
        <v>30/30</v>
      </c>
      <c r="K18563" s="1" t="str">
        <f t="shared" si="925"/>
        <v>2026-07-29 13:18:13</v>
      </c>
      <c r="L18563" s="1" t="str">
        <f>"2018-04-02 17:18:30"</f>
        <v>2018-04-02 17:18:30</v>
      </c>
      <c r="M18563" s="1" t="s">
        <v>2</v>
      </c>
      <c r="N18563" s="1" t="s">
        <v>38</v>
      </c>
      <c r="O18563" s="1" t="s">
        <v>46</v>
      </c>
    </row>
    <row r="18564" spans="2:15" x14ac:dyDescent="0.3">
      <c r="B18564" s="1" t="s">
        <v>13</v>
      </c>
      <c r="C18564" s="1" t="str">
        <f>"4차"</f>
        <v>4차</v>
      </c>
      <c r="D18564" s="1" t="str">
        <f>"9828H82239"</f>
        <v>9828H82239</v>
      </c>
      <c r="E18564" s="1" t="s">
        <v>10</v>
      </c>
      <c r="F18564" s="1" t="str">
        <f>"10.11.23.218"</f>
        <v>10.11.23.218</v>
      </c>
      <c r="G18564" s="1" t="str">
        <f>"9828H822"</f>
        <v>9828H822</v>
      </c>
      <c r="H18564" s="1" t="str">
        <f>"평창간 6L6L1"</f>
        <v>평창간 6L6L1</v>
      </c>
      <c r="I18564" s="1" t="s">
        <v>8</v>
      </c>
      <c r="J18564" s="1" t="str">
        <f>"14/14"</f>
        <v>14/14</v>
      </c>
      <c r="K18564" s="1" t="str">
        <f t="shared" si="925"/>
        <v>2026-07-29 13:18:13</v>
      </c>
      <c r="L18564" s="1" t="str">
        <f>"2018-03-09 15:12:41"</f>
        <v>2018-03-09 15:12:41</v>
      </c>
      <c r="M18564" s="1" t="s">
        <v>2</v>
      </c>
      <c r="N18564" s="1" t="s">
        <v>38</v>
      </c>
      <c r="O18564" s="1" t="s">
        <v>46</v>
      </c>
    </row>
    <row r="18565" spans="2:15" x14ac:dyDescent="0.3">
      <c r="B18565" s="1" t="s">
        <v>13</v>
      </c>
      <c r="C18565" s="1" t="str">
        <f>"4차"</f>
        <v>4차</v>
      </c>
      <c r="D18565" s="1" t="str">
        <f>"9828H84339"</f>
        <v>9828H84339</v>
      </c>
      <c r="E18565" s="1" t="s">
        <v>10</v>
      </c>
      <c r="F18565" s="1" t="str">
        <f>"10.11.42.138"</f>
        <v>10.11.42.138</v>
      </c>
      <c r="G18565" s="1" t="str">
        <f>"9828H843"</f>
        <v>9828H843</v>
      </c>
      <c r="H18565" s="1" t="str">
        <f>"평창간 6L14R6R6"</f>
        <v>평창간 6L14R6R6</v>
      </c>
      <c r="I18565" s="1" t="s">
        <v>8</v>
      </c>
      <c r="J18565" s="1" t="str">
        <f>"28/32"</f>
        <v>28/32</v>
      </c>
      <c r="K18565" s="1" t="str">
        <f t="shared" si="925"/>
        <v>2026-07-29 13:18:13</v>
      </c>
      <c r="L18565" s="1" t="str">
        <f>"2018-03-09 13:15:10"</f>
        <v>2018-03-09 13:15:10</v>
      </c>
      <c r="M18565" s="1" t="s">
        <v>2</v>
      </c>
      <c r="N18565" s="1" t="s">
        <v>38</v>
      </c>
      <c r="O18565" s="1" t="s">
        <v>46</v>
      </c>
    </row>
    <row r="18566" spans="2:15" x14ac:dyDescent="0.3">
      <c r="B18566" s="1" t="s">
        <v>13</v>
      </c>
      <c r="C18566" s="1" t="str">
        <f>"3차"</f>
        <v>3차</v>
      </c>
      <c r="D18566" s="1" t="str">
        <f>"9828H84539"</f>
        <v>9828H84539</v>
      </c>
      <c r="E18566" s="1" t="s">
        <v>10</v>
      </c>
      <c r="F18566" s="1" t="str">
        <f>"10.11.42.82"</f>
        <v>10.11.42.82</v>
      </c>
      <c r="G18566" s="1" t="str">
        <f>"9828H845"</f>
        <v>9828H845</v>
      </c>
      <c r="H18566" s="1" t="str">
        <f>"평창간 6L10"</f>
        <v>평창간 6L10</v>
      </c>
      <c r="I18566" s="1" t="s">
        <v>8</v>
      </c>
      <c r="J18566" s="1" t="str">
        <f>"17/17"</f>
        <v>17/17</v>
      </c>
      <c r="K18566" s="1" t="str">
        <f t="shared" si="925"/>
        <v>2026-07-29 13:18:13</v>
      </c>
      <c r="L18566" s="1" t="str">
        <f>"2018-03-09 12:22:11"</f>
        <v>2018-03-09 12:22:11</v>
      </c>
      <c r="M18566" s="1" t="s">
        <v>2</v>
      </c>
      <c r="N18566" s="1" t="s">
        <v>38</v>
      </c>
      <c r="O18566" s="1" t="s">
        <v>46</v>
      </c>
    </row>
    <row r="18567" spans="2:15" x14ac:dyDescent="0.3">
      <c r="B18567" s="1" t="s">
        <v>13</v>
      </c>
      <c r="C18567" s="1" t="str">
        <f>"3차"</f>
        <v>3차</v>
      </c>
      <c r="D18567" s="1" t="str">
        <f>"9828H85139"</f>
        <v>9828H85139</v>
      </c>
      <c r="E18567" s="1" t="s">
        <v>10</v>
      </c>
      <c r="F18567" s="1" t="str">
        <f>"10.11.23.122"</f>
        <v>10.11.23.122</v>
      </c>
      <c r="G18567" s="1" t="str">
        <f>"9828H851"</f>
        <v>9828H851</v>
      </c>
      <c r="H18567" s="1" t="str">
        <f>"평창간 6L11"</f>
        <v>평창간 6L11</v>
      </c>
      <c r="I18567" s="1" t="s">
        <v>8</v>
      </c>
      <c r="J18567" s="1" t="str">
        <f>"6/6"</f>
        <v>6/6</v>
      </c>
      <c r="K18567" s="1" t="str">
        <f t="shared" si="925"/>
        <v>2026-07-29 13:18:13</v>
      </c>
      <c r="L18567" s="1" t="str">
        <f>"2018-03-09 12:06:55"</f>
        <v>2018-03-09 12:06:55</v>
      </c>
      <c r="M18567" s="1" t="s">
        <v>2</v>
      </c>
      <c r="N18567" s="1" t="s">
        <v>38</v>
      </c>
      <c r="O18567" s="1" t="s">
        <v>46</v>
      </c>
    </row>
    <row r="18568" spans="2:15" x14ac:dyDescent="0.3">
      <c r="B18568" s="1" t="s">
        <v>13</v>
      </c>
      <c r="C18568" s="1" t="str">
        <f>"4차"</f>
        <v>4차</v>
      </c>
      <c r="D18568" s="1" t="str">
        <f>"9828H87239"</f>
        <v>9828H87239</v>
      </c>
      <c r="E18568" s="1" t="s">
        <v>10</v>
      </c>
      <c r="F18568" s="1" t="str">
        <f>"10.11.23.130"</f>
        <v>10.11.23.130</v>
      </c>
      <c r="G18568" s="1" t="str">
        <f>"9828H872"</f>
        <v>9828H872</v>
      </c>
      <c r="H18568" s="1" t="str">
        <f>"평창간 6L13L1"</f>
        <v>평창간 6L13L1</v>
      </c>
      <c r="I18568" s="1" t="s">
        <v>8</v>
      </c>
      <c r="J18568" s="1" t="str">
        <f>"10/10"</f>
        <v>10/10</v>
      </c>
      <c r="K18568" s="1" t="str">
        <f t="shared" si="925"/>
        <v>2026-07-29 13:18:13</v>
      </c>
      <c r="L18568" s="1" t="str">
        <f>"2018-03-09 11:19:40"</f>
        <v>2018-03-09 11:19:40</v>
      </c>
      <c r="M18568" s="1" t="s">
        <v>2</v>
      </c>
      <c r="N18568" s="1" t="s">
        <v>38</v>
      </c>
      <c r="O18568" s="1" t="s">
        <v>46</v>
      </c>
    </row>
    <row r="18569" spans="2:15" x14ac:dyDescent="0.3">
      <c r="B18569" s="1" t="s">
        <v>13</v>
      </c>
      <c r="C18569" s="1" t="str">
        <f>"3차"</f>
        <v>3차</v>
      </c>
      <c r="D18569" s="1" t="str">
        <f>"9828H89239"</f>
        <v>9828H89239</v>
      </c>
      <c r="E18569" s="1" t="s">
        <v>10</v>
      </c>
      <c r="F18569" s="1" t="str">
        <f>"10.11.42.98"</f>
        <v>10.11.42.98</v>
      </c>
      <c r="G18569" s="1" t="str">
        <f>"9828H892"</f>
        <v>9828H892</v>
      </c>
      <c r="H18569" s="1" t="str">
        <f>"평창간 6L13L2R1"</f>
        <v>평창간 6L13L2R1</v>
      </c>
      <c r="I18569" s="1" t="s">
        <v>8</v>
      </c>
      <c r="J18569" s="1" t="str">
        <f>"6/6"</f>
        <v>6/6</v>
      </c>
      <c r="K18569" s="1" t="str">
        <f t="shared" si="925"/>
        <v>2026-07-29 13:18:13</v>
      </c>
      <c r="L18569" s="1" t="str">
        <f>"2018-03-09 11:29:11"</f>
        <v>2018-03-09 11:29:11</v>
      </c>
      <c r="M18569" s="1" t="s">
        <v>2</v>
      </c>
      <c r="N18569" s="1" t="s">
        <v>38</v>
      </c>
      <c r="O18569" s="1" t="s">
        <v>46</v>
      </c>
    </row>
    <row r="18570" spans="2:15" x14ac:dyDescent="0.3">
      <c r="B18570" s="1" t="s">
        <v>13</v>
      </c>
      <c r="C18570" s="1" t="s">
        <v>16</v>
      </c>
      <c r="D18570" s="1" t="str">
        <f>"9828H9025S"</f>
        <v>9828H9025S</v>
      </c>
      <c r="E18570" s="1" t="s">
        <v>10</v>
      </c>
      <c r="F18570" s="1" t="str">
        <f>"fde3:102:1304:1303:0:0:0:2"</f>
        <v>fde3:102:1304:1303:0:0:0:2</v>
      </c>
      <c r="G18570" s="1" t="str">
        <f>"9828H902"</f>
        <v>9828H902</v>
      </c>
      <c r="H18570" s="1" t="str">
        <f>"평창간 6L3"</f>
        <v>평창간 6L3</v>
      </c>
      <c r="I18570" s="1" t="s">
        <v>15</v>
      </c>
      <c r="J18570" s="1" t="str">
        <f>"20/20"</f>
        <v>20/20</v>
      </c>
      <c r="K18570" s="1" t="str">
        <f>"2026-07-29 14:21:50"</f>
        <v>2026-07-29 14:21:50</v>
      </c>
      <c r="L18570" s="1" t="str">
        <f>"2023-08-08 14:40:20"</f>
        <v>2023-08-08 14:40:20</v>
      </c>
      <c r="M18570" s="1" t="s">
        <v>45</v>
      </c>
      <c r="N18570" s="1" t="s">
        <v>38</v>
      </c>
      <c r="O18570" s="1" t="s">
        <v>46</v>
      </c>
    </row>
    <row r="18571" spans="2:15" x14ac:dyDescent="0.3">
      <c r="B18571" s="1" t="s">
        <v>13</v>
      </c>
      <c r="C18571" s="1" t="str">
        <f>"3차"</f>
        <v>3차</v>
      </c>
      <c r="D18571" s="1" t="str">
        <f>"9828H91239"</f>
        <v>9828H91239</v>
      </c>
      <c r="E18571" s="1" t="s">
        <v>10</v>
      </c>
      <c r="F18571" s="1" t="str">
        <f>"10.11.43.162"</f>
        <v>10.11.43.162</v>
      </c>
      <c r="G18571" s="1" t="str">
        <f>"9828H912"</f>
        <v>9828H912</v>
      </c>
      <c r="H18571" s="1" t="str">
        <f>"평창간 6L5R1"</f>
        <v>평창간 6L5R1</v>
      </c>
      <c r="I18571" s="1" t="s">
        <v>8</v>
      </c>
      <c r="J18571" s="1" t="str">
        <f>"22/23"</f>
        <v>22/23</v>
      </c>
      <c r="K18571" s="1" t="str">
        <f>"2026-07-29 13:18:13"</f>
        <v>2026-07-29 13:18:13</v>
      </c>
      <c r="L18571" s="1" t="str">
        <f>"2018-03-09 15:20:56"</f>
        <v>2018-03-09 15:20:56</v>
      </c>
      <c r="M18571" s="1" t="s">
        <v>2</v>
      </c>
      <c r="N18571" s="1" t="s">
        <v>38</v>
      </c>
      <c r="O18571" s="1" t="s">
        <v>46</v>
      </c>
    </row>
    <row r="18572" spans="2:15" x14ac:dyDescent="0.3">
      <c r="B18572" s="1" t="s">
        <v>13</v>
      </c>
      <c r="C18572" s="1" t="str">
        <f>"3차"</f>
        <v>3차</v>
      </c>
      <c r="D18572" s="1" t="str">
        <f>"9828H95139"</f>
        <v>9828H95139</v>
      </c>
      <c r="E18572" s="1" t="s">
        <v>10</v>
      </c>
      <c r="F18572" s="1" t="str">
        <f>"10.11.23.154"</f>
        <v>10.11.23.154</v>
      </c>
      <c r="G18572" s="1" t="str">
        <f>"9828H951"</f>
        <v>9828H951</v>
      </c>
      <c r="H18572" s="1" t="str">
        <f>"평창간 6L14R6R5"</f>
        <v>평창간 6L14R6R5</v>
      </c>
      <c r="I18572" s="1" t="s">
        <v>8</v>
      </c>
      <c r="J18572" s="1" t="str">
        <f>"19/19"</f>
        <v>19/19</v>
      </c>
      <c r="K18572" s="1" t="str">
        <f>"2026-07-29 13:18:13"</f>
        <v>2026-07-29 13:18:13</v>
      </c>
      <c r="L18572" s="1" t="str">
        <f>"2018-03-09 13:19:42"</f>
        <v>2018-03-09 13:19:42</v>
      </c>
      <c r="M18572" s="1" t="s">
        <v>2</v>
      </c>
      <c r="N18572" s="1" t="s">
        <v>38</v>
      </c>
      <c r="O18572" s="1" t="s">
        <v>46</v>
      </c>
    </row>
    <row r="18573" spans="2:15" x14ac:dyDescent="0.3">
      <c r="B18573" s="1" t="s">
        <v>13</v>
      </c>
      <c r="C18573" s="1" t="str">
        <f>"3차"</f>
        <v>3차</v>
      </c>
      <c r="D18573" s="1" t="str">
        <f>"9828H96139"</f>
        <v>9828H96139</v>
      </c>
      <c r="E18573" s="1" t="s">
        <v>10</v>
      </c>
      <c r="F18573" s="1" t="str">
        <f>"10.11.42.130"</f>
        <v>10.11.42.130</v>
      </c>
      <c r="G18573" s="1" t="str">
        <f>"9828H961"</f>
        <v>9828H961</v>
      </c>
      <c r="H18573" s="1" t="str">
        <f>"평창간 6L14R6R4"</f>
        <v>평창간 6L14R6R4</v>
      </c>
      <c r="I18573" s="1" t="s">
        <v>8</v>
      </c>
      <c r="J18573" s="1" t="str">
        <f>"2/2"</f>
        <v>2/2</v>
      </c>
      <c r="K18573" s="1" t="str">
        <f>"2026-07-29 13:18:13"</f>
        <v>2026-07-29 13:18:13</v>
      </c>
      <c r="L18573" s="1" t="str">
        <f>"2018-03-09 14:28:41"</f>
        <v>2018-03-09 14:28:41</v>
      </c>
      <c r="M18573" s="1" t="s">
        <v>2</v>
      </c>
      <c r="N18573" s="1" t="s">
        <v>38</v>
      </c>
      <c r="O18573" s="1" t="s">
        <v>46</v>
      </c>
    </row>
    <row r="18574" spans="2:15" x14ac:dyDescent="0.3">
      <c r="B18574" s="1" t="s">
        <v>13</v>
      </c>
      <c r="C18574" s="1" t="str">
        <f>"4차"</f>
        <v>4차</v>
      </c>
      <c r="D18574" s="1" t="str">
        <f>"9828W09139"</f>
        <v>9828W09139</v>
      </c>
      <c r="E18574" s="1" t="s">
        <v>10</v>
      </c>
      <c r="F18574" s="1" t="str">
        <f>"10.11.43.138"</f>
        <v>10.11.43.138</v>
      </c>
      <c r="G18574" s="1" t="str">
        <f>"9828W091"</f>
        <v>9828W091</v>
      </c>
      <c r="H18574" s="1" t="str">
        <f>"홍은간 14R4"</f>
        <v>홍은간 14R4</v>
      </c>
      <c r="I18574" s="1" t="s">
        <v>8</v>
      </c>
      <c r="J18574" s="1" t="str">
        <f>"53/53"</f>
        <v>53/53</v>
      </c>
      <c r="K18574" s="1" t="str">
        <f>"2026-07-29 13:18:13"</f>
        <v>2026-07-29 13:18:13</v>
      </c>
      <c r="L18574" s="1" t="str">
        <f>"2018-03-10 09:07:54"</f>
        <v>2018-03-10 09:07:54</v>
      </c>
      <c r="M18574" s="1" t="s">
        <v>2</v>
      </c>
      <c r="N18574" s="1" t="s">
        <v>38</v>
      </c>
      <c r="O18574" s="1" t="s">
        <v>46</v>
      </c>
    </row>
    <row r="18575" spans="2:15" x14ac:dyDescent="0.3">
      <c r="B18575" s="1" t="s">
        <v>13</v>
      </c>
      <c r="C18575" s="1" t="s">
        <v>16</v>
      </c>
      <c r="D18575" s="1" t="str">
        <f>"9828W2015S"</f>
        <v>9828W2015S</v>
      </c>
      <c r="E18575" s="1" t="s">
        <v>10</v>
      </c>
      <c r="F18575" s="1" t="str">
        <f>"fde3:102:1304:1304:0:0:0:2"</f>
        <v>fde3:102:1304:1304:0:0:0:2</v>
      </c>
      <c r="G18575" s="1" t="str">
        <f>"9828W201"</f>
        <v>9828W201</v>
      </c>
      <c r="H18575" s="1" t="str">
        <f>"홍은간 27"</f>
        <v>홍은간 27</v>
      </c>
      <c r="I18575" s="1" t="s">
        <v>15</v>
      </c>
      <c r="J18575" s="1" t="str">
        <f>"80/80"</f>
        <v>80/80</v>
      </c>
      <c r="K18575" s="1" t="str">
        <f>"2026-07-29 14:21:21"</f>
        <v>2026-07-29 14:21:21</v>
      </c>
      <c r="L18575" s="1" t="str">
        <f>"2023-08-09 14:42:16"</f>
        <v>2023-08-09 14:42:16</v>
      </c>
      <c r="M18575" s="1" t="s">
        <v>45</v>
      </c>
      <c r="N18575" s="1" t="s">
        <v>38</v>
      </c>
      <c r="O18575" s="1" t="s">
        <v>46</v>
      </c>
    </row>
    <row r="18576" spans="2:15" x14ac:dyDescent="0.3">
      <c r="B18576" s="1" t="s">
        <v>13</v>
      </c>
      <c r="C18576" s="1" t="str">
        <f>"3차"</f>
        <v>3차</v>
      </c>
      <c r="D18576" s="1" t="str">
        <f>"9828W21131"</f>
        <v>9828W21131</v>
      </c>
      <c r="E18576" s="1" t="s">
        <v>10</v>
      </c>
      <c r="F18576" s="1" t="str">
        <f>"10.12.133.155"</f>
        <v>10.12.133.155</v>
      </c>
      <c r="G18576" s="1" t="str">
        <f>"9828W211"</f>
        <v>9828W211</v>
      </c>
      <c r="H18576" s="1" t="str">
        <f>"홍은간 28R2"</f>
        <v>홍은간 28R2</v>
      </c>
      <c r="I18576" s="1" t="s">
        <v>8</v>
      </c>
      <c r="J18576" s="1" t="str">
        <f>"9/9"</f>
        <v>9/9</v>
      </c>
      <c r="K18576" s="1" t="str">
        <f>"2026-07-29 13:18:13"</f>
        <v>2026-07-29 13:18:13</v>
      </c>
      <c r="L18576" s="1" t="str">
        <f>"2018-03-12 17:42:14"</f>
        <v>2018-03-12 17:42:14</v>
      </c>
      <c r="M18576" s="1" t="s">
        <v>0</v>
      </c>
      <c r="N18576" s="1" t="s">
        <v>38</v>
      </c>
      <c r="O18576" s="1" t="s">
        <v>46</v>
      </c>
    </row>
    <row r="18577" spans="2:15" x14ac:dyDescent="0.3">
      <c r="B18577" s="1" t="s">
        <v>13</v>
      </c>
      <c r="C18577" s="1" t="str">
        <f>"3차"</f>
        <v>3차</v>
      </c>
      <c r="D18577" s="1" t="str">
        <f>"9828W25139"</f>
        <v>9828W25139</v>
      </c>
      <c r="E18577" s="1" t="s">
        <v>10</v>
      </c>
      <c r="F18577" s="1" t="str">
        <f>"10.12.132.12"</f>
        <v>10.12.132.12</v>
      </c>
      <c r="G18577" s="1" t="str">
        <f>"9828W251"</f>
        <v>9828W251</v>
      </c>
      <c r="H18577" s="1" t="str">
        <f>"홍은간 19H1R1"</f>
        <v>홍은간 19H1R1</v>
      </c>
      <c r="I18577" s="1" t="s">
        <v>8</v>
      </c>
      <c r="J18577" s="1" t="str">
        <f>"108/108"</f>
        <v>108/108</v>
      </c>
      <c r="K18577" s="1" t="str">
        <f>"2026-07-29 13:18:12"</f>
        <v>2026-07-29 13:18:12</v>
      </c>
      <c r="L18577" s="1" t="str">
        <f>"2018-07-17 11:34:11"</f>
        <v>2018-07-17 11:34:11</v>
      </c>
      <c r="M18577" s="1" t="s">
        <v>0</v>
      </c>
      <c r="N18577" s="1" t="s">
        <v>38</v>
      </c>
      <c r="O18577" s="1" t="s">
        <v>46</v>
      </c>
    </row>
    <row r="18578" spans="2:15" x14ac:dyDescent="0.3">
      <c r="B18578" s="1" t="s">
        <v>13</v>
      </c>
      <c r="C18578" s="1" t="str">
        <f>"4차"</f>
        <v>4차</v>
      </c>
      <c r="D18578" s="1" t="str">
        <f>"9828W29139"</f>
        <v>9828W29139</v>
      </c>
      <c r="E18578" s="1" t="s">
        <v>10</v>
      </c>
      <c r="F18578" s="1" t="str">
        <f>"10.11.43.130"</f>
        <v>10.11.43.130</v>
      </c>
      <c r="G18578" s="1" t="str">
        <f>"9828W291"</f>
        <v>9828W291</v>
      </c>
      <c r="H18578" s="1" t="str">
        <f>"홍은간 14R1"</f>
        <v>홍은간 14R1</v>
      </c>
      <c r="I18578" s="1" t="s">
        <v>8</v>
      </c>
      <c r="J18578" s="1" t="str">
        <f>"61/61"</f>
        <v>61/61</v>
      </c>
      <c r="K18578" s="1" t="str">
        <f>"2026-07-29 13:18:13"</f>
        <v>2026-07-29 13:18:13</v>
      </c>
      <c r="L18578" s="1" t="str">
        <f>"2018-03-10 09:58:42"</f>
        <v>2018-03-10 09:58:42</v>
      </c>
      <c r="M18578" s="1" t="s">
        <v>2</v>
      </c>
      <c r="N18578" s="1" t="s">
        <v>38</v>
      </c>
      <c r="O18578" s="1" t="s">
        <v>46</v>
      </c>
    </row>
    <row r="18579" spans="2:15" x14ac:dyDescent="0.3">
      <c r="B18579" s="1" t="s">
        <v>13</v>
      </c>
      <c r="C18579" s="1" t="str">
        <f>"4차"</f>
        <v>4차</v>
      </c>
      <c r="D18579" s="1" t="str">
        <f>"9828W36239"</f>
        <v>9828W36239</v>
      </c>
      <c r="E18579" s="1" t="s">
        <v>10</v>
      </c>
      <c r="F18579" s="1" t="str">
        <f>"10.11.24.114"</f>
        <v>10.11.24.114</v>
      </c>
      <c r="G18579" s="1" t="str">
        <f>"9828W362"</f>
        <v>9828W362</v>
      </c>
      <c r="H18579" s="1" t="str">
        <f>"홍은간 19"</f>
        <v>홍은간 19</v>
      </c>
      <c r="I18579" s="1" t="s">
        <v>8</v>
      </c>
      <c r="J18579" s="1" t="str">
        <f>"12/12"</f>
        <v>12/12</v>
      </c>
      <c r="K18579" s="1" t="str">
        <f>"2026-07-29 13:18:13"</f>
        <v>2026-07-29 13:18:13</v>
      </c>
      <c r="L18579" s="1" t="str">
        <f>"2018-03-12 14:50:43"</f>
        <v>2018-03-12 14:50:43</v>
      </c>
      <c r="M18579" s="1" t="s">
        <v>2</v>
      </c>
      <c r="N18579" s="1" t="s">
        <v>38</v>
      </c>
      <c r="O18579" s="1" t="s">
        <v>46</v>
      </c>
    </row>
    <row r="18580" spans="2:15" x14ac:dyDescent="0.3">
      <c r="B18580" s="1" t="s">
        <v>13</v>
      </c>
      <c r="C18580" s="1" t="str">
        <f>"3차"</f>
        <v>3차</v>
      </c>
      <c r="D18580" s="1" t="str">
        <f>"9828W37139"</f>
        <v>9828W37139</v>
      </c>
      <c r="E18580" s="1" t="s">
        <v>10</v>
      </c>
      <c r="F18580" s="1" t="str">
        <f>"10.11.43.106"</f>
        <v>10.11.43.106</v>
      </c>
      <c r="G18580" s="1" t="str">
        <f>"9828W371"</f>
        <v>9828W371</v>
      </c>
      <c r="H18580" s="1" t="str">
        <f>"홍은간 17H1"</f>
        <v>홍은간 17H1</v>
      </c>
      <c r="I18580" s="1" t="s">
        <v>8</v>
      </c>
      <c r="J18580" s="1" t="str">
        <f>"29/29"</f>
        <v>29/29</v>
      </c>
      <c r="K18580" s="1" t="str">
        <f>"2026-07-29 13:18:13"</f>
        <v>2026-07-29 13:18:13</v>
      </c>
      <c r="L18580" s="1" t="str">
        <f>"2018-03-10 10:19:25"</f>
        <v>2018-03-10 10:19:25</v>
      </c>
      <c r="M18580" s="1" t="s">
        <v>2</v>
      </c>
      <c r="N18580" s="1" t="s">
        <v>38</v>
      </c>
      <c r="O18580" s="1" t="s">
        <v>46</v>
      </c>
    </row>
    <row r="18581" spans="2:15" x14ac:dyDescent="0.3">
      <c r="B18581" s="1" t="s">
        <v>13</v>
      </c>
      <c r="C18581" s="1" t="str">
        <f>"3차"</f>
        <v>3차</v>
      </c>
      <c r="D18581" s="1" t="str">
        <f>"9828W38239"</f>
        <v>9828W38239</v>
      </c>
      <c r="E18581" s="1" t="s">
        <v>10</v>
      </c>
      <c r="F18581" s="1" t="str">
        <f>"10.11.24.106"</f>
        <v>10.11.24.106</v>
      </c>
      <c r="G18581" s="1" t="str">
        <f>"9828W382"</f>
        <v>9828W382</v>
      </c>
      <c r="H18581" s="1" t="str">
        <f>"홍은간 16"</f>
        <v>홍은간 16</v>
      </c>
      <c r="I18581" s="1" t="s">
        <v>8</v>
      </c>
      <c r="J18581" s="1" t="str">
        <f>"24/24"</f>
        <v>24/24</v>
      </c>
      <c r="K18581" s="1" t="str">
        <f>"2026-07-29 13:18:13"</f>
        <v>2026-07-29 13:18:13</v>
      </c>
      <c r="L18581" s="1" t="str">
        <f>"2018-03-10 10:41:39"</f>
        <v>2018-03-10 10:41:39</v>
      </c>
      <c r="M18581" s="1" t="s">
        <v>2</v>
      </c>
      <c r="N18581" s="1" t="s">
        <v>38</v>
      </c>
      <c r="O18581" s="1" t="s">
        <v>46</v>
      </c>
    </row>
    <row r="18582" spans="2:15" x14ac:dyDescent="0.3">
      <c r="B18582" s="1" t="s">
        <v>13</v>
      </c>
      <c r="C18582" s="1" t="s">
        <v>16</v>
      </c>
      <c r="D18582" s="1" t="str">
        <f>"9828W4315S"</f>
        <v>9828W4315S</v>
      </c>
      <c r="E18582" s="1" t="s">
        <v>10</v>
      </c>
      <c r="F18582" s="1" t="str">
        <f>"fde3:102:1304:1304:0:0:0:3"</f>
        <v>fde3:102:1304:1304:0:0:0:3</v>
      </c>
      <c r="G18582" s="1" t="str">
        <f>"9828W431"</f>
        <v>9828W431</v>
      </c>
      <c r="H18582" s="1" t="str">
        <f>"홍은간 23L1"</f>
        <v>홍은간 23L1</v>
      </c>
      <c r="I18582" s="1" t="s">
        <v>15</v>
      </c>
      <c r="J18582" s="1" t="str">
        <f>"103/105"</f>
        <v>103/105</v>
      </c>
      <c r="K18582" s="1" t="str">
        <f>"2026-07-29 14:21:53"</f>
        <v>2026-07-29 14:21:53</v>
      </c>
      <c r="L18582" s="1" t="str">
        <f>"2023-08-09 15:00:19"</f>
        <v>2023-08-09 15:00:19</v>
      </c>
      <c r="M18582" s="1" t="s">
        <v>45</v>
      </c>
      <c r="N18582" s="1" t="s">
        <v>38</v>
      </c>
      <c r="O18582" s="1" t="s">
        <v>46</v>
      </c>
    </row>
    <row r="18583" spans="2:15" x14ac:dyDescent="0.3">
      <c r="B18583" s="1" t="s">
        <v>13</v>
      </c>
      <c r="C18583" s="1" t="str">
        <f>"3차"</f>
        <v>3차</v>
      </c>
      <c r="D18583" s="1" t="str">
        <f>"9828W49139"</f>
        <v>9828W49139</v>
      </c>
      <c r="E18583" s="1" t="s">
        <v>10</v>
      </c>
      <c r="F18583" s="1" t="str">
        <f>"10.11.28.210"</f>
        <v>10.11.28.210</v>
      </c>
      <c r="G18583" s="1" t="str">
        <f>"9828W491"</f>
        <v>9828W491</v>
      </c>
      <c r="H18583" s="1" t="str">
        <f>"홍은간 13"</f>
        <v>홍은간 13</v>
      </c>
      <c r="I18583" s="1" t="s">
        <v>8</v>
      </c>
      <c r="J18583" s="1" t="str">
        <f>"36/40"</f>
        <v>36/40</v>
      </c>
      <c r="K18583" s="1" t="str">
        <f>"2026-07-29 13:18:13"</f>
        <v>2026-07-29 13:18:13</v>
      </c>
      <c r="L18583" s="1" t="str">
        <f>"2017-12-07 17:07:03"</f>
        <v>2017-12-07 17:07:03</v>
      </c>
      <c r="M18583" s="1" t="s">
        <v>2</v>
      </c>
      <c r="N18583" s="1" t="s">
        <v>38</v>
      </c>
      <c r="O18583" s="1" t="s">
        <v>46</v>
      </c>
    </row>
    <row r="18584" spans="2:15" x14ac:dyDescent="0.3">
      <c r="B18584" s="1" t="s">
        <v>13</v>
      </c>
      <c r="C18584" s="1" t="s">
        <v>16</v>
      </c>
      <c r="D18584" s="1" t="str">
        <f>"9828W5715S"</f>
        <v>9828W5715S</v>
      </c>
      <c r="E18584" s="1" t="s">
        <v>10</v>
      </c>
      <c r="F18584" s="1" t="str">
        <f>"fde1:103:4:5666:0:0:0:2"</f>
        <v>fde1:103:4:5666:0:0:0:2</v>
      </c>
      <c r="G18584" s="1" t="str">
        <f>"9828W571"</f>
        <v>9828W571</v>
      </c>
      <c r="H18584" s="1" t="str">
        <f>"홍은간 12L5"</f>
        <v>홍은간 12L5</v>
      </c>
      <c r="I18584" s="1" t="s">
        <v>15</v>
      </c>
      <c r="J18584" s="1" t="str">
        <f>"22/22"</f>
        <v>22/22</v>
      </c>
      <c r="K18584" s="1" t="str">
        <f>"2026-07-29 08:21:22"</f>
        <v>2026-07-29 08:21:22</v>
      </c>
      <c r="L18584" s="1" t="str">
        <f>"2023-08-04 16:23:21"</f>
        <v>2023-08-04 16:23:21</v>
      </c>
      <c r="M18584" s="1" t="s">
        <v>4</v>
      </c>
      <c r="N18584" s="1" t="s">
        <v>38</v>
      </c>
      <c r="O18584" s="1" t="s">
        <v>46</v>
      </c>
    </row>
    <row r="18585" spans="2:15" x14ac:dyDescent="0.3">
      <c r="B18585" s="1" t="s">
        <v>13</v>
      </c>
      <c r="C18585" s="1" t="str">
        <f>"4차"</f>
        <v>4차</v>
      </c>
      <c r="D18585" s="1" t="str">
        <f>"9828W60139"</f>
        <v>9828W60139</v>
      </c>
      <c r="E18585" s="1" t="s">
        <v>10</v>
      </c>
      <c r="F18585" s="1" t="str">
        <f>"10.11.26.194"</f>
        <v>10.11.26.194</v>
      </c>
      <c r="G18585" s="1" t="str">
        <f>"9828W601"</f>
        <v>9828W601</v>
      </c>
      <c r="H18585" s="1" t="str">
        <f>"부암간 47L2L4"</f>
        <v>부암간 47L2L4</v>
      </c>
      <c r="I18585" s="1" t="s">
        <v>8</v>
      </c>
      <c r="J18585" s="1" t="str">
        <f>"72/72"</f>
        <v>72/72</v>
      </c>
      <c r="K18585" s="1" t="str">
        <f>"2026-07-29 13:18:13"</f>
        <v>2026-07-29 13:18:13</v>
      </c>
      <c r="L18585" s="1" t="str">
        <f>"2018-01-02 17:51:58"</f>
        <v>2018-01-02 17:51:58</v>
      </c>
      <c r="M18585" s="1" t="s">
        <v>2</v>
      </c>
      <c r="N18585" s="1" t="s">
        <v>38</v>
      </c>
      <c r="O18585" s="1" t="s">
        <v>46</v>
      </c>
    </row>
    <row r="18586" spans="2:15" x14ac:dyDescent="0.3">
      <c r="B18586" s="1" t="s">
        <v>13</v>
      </c>
      <c r="C18586" s="1" t="s">
        <v>16</v>
      </c>
      <c r="D18586" s="1" t="str">
        <f>"9828W6315S"</f>
        <v>9828W6315S</v>
      </c>
      <c r="E18586" s="1" t="s">
        <v>10</v>
      </c>
      <c r="F18586" s="1" t="str">
        <f>"fde1:103:4:565d:0:0:0:2"</f>
        <v>fde1:103:4:565d:0:0:0:2</v>
      </c>
      <c r="G18586" s="1" t="str">
        <f>"9828W631"</f>
        <v>9828W631</v>
      </c>
      <c r="H18586" s="1" t="str">
        <f>"부암간 47L10"</f>
        <v>부암간 47L10</v>
      </c>
      <c r="I18586" s="1" t="s">
        <v>15</v>
      </c>
      <c r="J18586" s="1" t="str">
        <f>"82/82"</f>
        <v>82/82</v>
      </c>
      <c r="K18586" s="1" t="str">
        <f>"2026-07-29 14:21:53"</f>
        <v>2026-07-29 14:21:53</v>
      </c>
      <c r="L18586" s="1" t="str">
        <f>"2023-08-04 16:35:03"</f>
        <v>2023-08-04 16:35:03</v>
      </c>
      <c r="M18586" s="1" t="s">
        <v>4</v>
      </c>
      <c r="N18586" s="1" t="s">
        <v>38</v>
      </c>
      <c r="O18586" s="1" t="s">
        <v>46</v>
      </c>
    </row>
    <row r="18587" spans="2:15" x14ac:dyDescent="0.3">
      <c r="B18587" s="1" t="s">
        <v>13</v>
      </c>
      <c r="C18587" s="1" t="str">
        <f>"4차"</f>
        <v>4차</v>
      </c>
      <c r="D18587" s="1" t="str">
        <f>"9828W64139"</f>
        <v>9828W64139</v>
      </c>
      <c r="E18587" s="1" t="s">
        <v>10</v>
      </c>
      <c r="F18587" s="1" t="str">
        <f>"10.11.35.122"</f>
        <v>10.11.35.122</v>
      </c>
      <c r="G18587" s="1" t="str">
        <f>"9828W641"</f>
        <v>9828W641</v>
      </c>
      <c r="H18587" s="1" t="str">
        <f>"부암간 47L8R1"</f>
        <v>부암간 47L8R1</v>
      </c>
      <c r="I18587" s="1" t="s">
        <v>8</v>
      </c>
      <c r="J18587" s="1" t="str">
        <f>"19/19"</f>
        <v>19/19</v>
      </c>
      <c r="K18587" s="1" t="str">
        <f>"2026-07-29 13:18:13"</f>
        <v>2026-07-29 13:18:13</v>
      </c>
      <c r="L18587" s="1" t="str">
        <f>"2018-06-16 10:46:11"</f>
        <v>2018-06-16 10:46:11</v>
      </c>
      <c r="M18587" s="1" t="s">
        <v>2</v>
      </c>
      <c r="N18587" s="1" t="s">
        <v>38</v>
      </c>
      <c r="O18587" s="1" t="s">
        <v>46</v>
      </c>
    </row>
    <row r="18588" spans="2:15" x14ac:dyDescent="0.3">
      <c r="B18588" s="1" t="s">
        <v>13</v>
      </c>
      <c r="C18588" s="1" t="str">
        <f>"3차"</f>
        <v>3차</v>
      </c>
      <c r="D18588" s="1" t="str">
        <f>"9828W64239"</f>
        <v>9828W64239</v>
      </c>
      <c r="E18588" s="1" t="s">
        <v>10</v>
      </c>
      <c r="F18588" s="1" t="str">
        <f>"10.11.16.162"</f>
        <v>10.11.16.162</v>
      </c>
      <c r="G18588" s="1" t="str">
        <f>"9828W642"</f>
        <v>9828W642</v>
      </c>
      <c r="H18588" s="1" t="str">
        <f>"부암간 47L8"</f>
        <v>부암간 47L8</v>
      </c>
      <c r="I18588" s="1" t="s">
        <v>8</v>
      </c>
      <c r="J18588" s="1" t="str">
        <f>"49/49"</f>
        <v>49/49</v>
      </c>
      <c r="K18588" s="1" t="str">
        <f>"2026-07-29 13:18:13"</f>
        <v>2026-07-29 13:18:13</v>
      </c>
      <c r="L18588" s="1" t="str">
        <f>"2018-05-28 13:42:40"</f>
        <v>2018-05-28 13:42:40</v>
      </c>
      <c r="M18588" s="1" t="s">
        <v>2</v>
      </c>
      <c r="N18588" s="1" t="s">
        <v>38</v>
      </c>
      <c r="O18588" s="1" t="s">
        <v>46</v>
      </c>
    </row>
    <row r="18589" spans="2:15" x14ac:dyDescent="0.3">
      <c r="B18589" s="1" t="s">
        <v>13</v>
      </c>
      <c r="C18589" s="1" t="s">
        <v>16</v>
      </c>
      <c r="D18589" s="1" t="str">
        <f>"9828W6515S"</f>
        <v>9828W6515S</v>
      </c>
      <c r="E18589" s="1" t="s">
        <v>10</v>
      </c>
      <c r="F18589" s="1" t="str">
        <f>"fde1:103:4:55dd:0:0:0:2"</f>
        <v>fde1:103:4:55dd:0:0:0:2</v>
      </c>
      <c r="G18589" s="1" t="str">
        <f>"9828W651"</f>
        <v>9828W651</v>
      </c>
      <c r="H18589" s="1" t="str">
        <f>"부암간 47L7D3"</f>
        <v>부암간 47L7D3</v>
      </c>
      <c r="I18589" s="1" t="s">
        <v>15</v>
      </c>
      <c r="J18589" s="1" t="str">
        <f>"68/68"</f>
        <v>68/68</v>
      </c>
      <c r="K18589" s="1" t="str">
        <f>"2026-07-29 14:21:54"</f>
        <v>2026-07-29 14:21:54</v>
      </c>
      <c r="L18589" s="1" t="str">
        <f>"2023-08-04 16:51:07"</f>
        <v>2023-08-04 16:51:07</v>
      </c>
      <c r="M18589" s="1" t="s">
        <v>4</v>
      </c>
      <c r="N18589" s="1" t="s">
        <v>38</v>
      </c>
      <c r="O18589" s="1" t="s">
        <v>46</v>
      </c>
    </row>
    <row r="18590" spans="2:15" x14ac:dyDescent="0.3">
      <c r="B18590" s="1" t="s">
        <v>13</v>
      </c>
      <c r="C18590" s="1" t="s">
        <v>16</v>
      </c>
      <c r="D18590" s="1" t="str">
        <f>"9828W6915S"</f>
        <v>9828W6915S</v>
      </c>
      <c r="E18590" s="1" t="s">
        <v>10</v>
      </c>
      <c r="F18590" s="1" t="str">
        <f>"fde1:103:4:5644:0:0:0:2"</f>
        <v>fde1:103:4:5644:0:0:0:2</v>
      </c>
      <c r="G18590" s="1" t="str">
        <f>"9828W691"</f>
        <v>9828W691</v>
      </c>
      <c r="H18590" s="1" t="str">
        <f>"홍은간 12L3"</f>
        <v>홍은간 12L3</v>
      </c>
      <c r="I18590" s="1" t="s">
        <v>15</v>
      </c>
      <c r="J18590" s="1" t="str">
        <f>"76/76"</f>
        <v>76/76</v>
      </c>
      <c r="K18590" s="1" t="str">
        <f>"2026-07-29 14:21:54"</f>
        <v>2026-07-29 14:21:54</v>
      </c>
      <c r="L18590" s="1" t="str">
        <f>"2023-08-04 17:04:33"</f>
        <v>2023-08-04 17:04:33</v>
      </c>
      <c r="M18590" s="1" t="s">
        <v>4</v>
      </c>
      <c r="N18590" s="1" t="s">
        <v>38</v>
      </c>
      <c r="O18590" s="1" t="s">
        <v>46</v>
      </c>
    </row>
    <row r="18591" spans="2:15" x14ac:dyDescent="0.3">
      <c r="B18591" s="1" t="s">
        <v>13</v>
      </c>
      <c r="C18591" s="1" t="s">
        <v>16</v>
      </c>
      <c r="D18591" s="1" t="str">
        <f>"9828W7815S"</f>
        <v>9828W7815S</v>
      </c>
      <c r="E18591" s="1" t="s">
        <v>10</v>
      </c>
      <c r="F18591" s="1" t="str">
        <f>"fde1:103:4:5601:0:0:0:2"</f>
        <v>fde1:103:4:5601:0:0:0:2</v>
      </c>
      <c r="G18591" s="1" t="str">
        <f>"9828W781"</f>
        <v>9828W781</v>
      </c>
      <c r="H18591" s="1" t="str">
        <f>"홍은간 9L5"</f>
        <v>홍은간 9L5</v>
      </c>
      <c r="I18591" s="1" t="s">
        <v>15</v>
      </c>
      <c r="J18591" s="1" t="str">
        <f>"57/58"</f>
        <v>57/58</v>
      </c>
      <c r="K18591" s="1" t="str">
        <f>"2026-07-29 08:20:40"</f>
        <v>2026-07-29 08:20:40</v>
      </c>
      <c r="L18591" s="1" t="str">
        <f>"2023-08-04 17:17:46"</f>
        <v>2023-08-04 17:17:46</v>
      </c>
      <c r="M18591" s="1" t="s">
        <v>4</v>
      </c>
      <c r="N18591" s="1" t="s">
        <v>38</v>
      </c>
      <c r="O18591" s="1" t="s">
        <v>46</v>
      </c>
    </row>
    <row r="18592" spans="2:15" x14ac:dyDescent="0.3">
      <c r="B18592" s="1" t="s">
        <v>13</v>
      </c>
      <c r="C18592" s="1" t="s">
        <v>16</v>
      </c>
      <c r="D18592" s="1" t="str">
        <f>"9828W8735S"</f>
        <v>9828W8735S</v>
      </c>
      <c r="E18592" s="1" t="s">
        <v>10</v>
      </c>
      <c r="F18592" s="1" t="str">
        <f>"fde1:103:4:55b4:0:0:0:2"</f>
        <v>fde1:103:4:55b4:0:0:0:2</v>
      </c>
      <c r="G18592" s="1" t="str">
        <f>"9828W873"</f>
        <v>9828W873</v>
      </c>
      <c r="H18592" s="1" t="str">
        <f>"홍은간 9L7"</f>
        <v>홍은간 9L7</v>
      </c>
      <c r="I18592" s="1" t="s">
        <v>15</v>
      </c>
      <c r="J18592" s="1" t="str">
        <f>"47/49"</f>
        <v>47/49</v>
      </c>
      <c r="K18592" s="1" t="str">
        <f>"2026-07-29 14:21:22"</f>
        <v>2026-07-29 14:21:22</v>
      </c>
      <c r="L18592" s="1" t="str">
        <f>"2023-08-04 17:23:36"</f>
        <v>2023-08-04 17:23:36</v>
      </c>
      <c r="M18592" s="1" t="s">
        <v>4</v>
      </c>
      <c r="N18592" s="1" t="s">
        <v>38</v>
      </c>
      <c r="O18592" s="1" t="s">
        <v>46</v>
      </c>
    </row>
    <row r="18593" spans="2:15" x14ac:dyDescent="0.3">
      <c r="B18593" s="1" t="s">
        <v>13</v>
      </c>
      <c r="C18593" s="1" t="str">
        <f>"4차"</f>
        <v>4차</v>
      </c>
      <c r="D18593" s="1" t="str">
        <f>"9828W90539"</f>
        <v>9828W90539</v>
      </c>
      <c r="E18593" s="1" t="s">
        <v>10</v>
      </c>
      <c r="F18593" s="1" t="str">
        <f>"10.11.16.146"</f>
        <v>10.11.16.146</v>
      </c>
      <c r="G18593" s="1" t="str">
        <f>"9828W905"</f>
        <v>9828W905</v>
      </c>
      <c r="H18593" s="1" t="str">
        <f>"부암간 47L2"</f>
        <v>부암간 47L2</v>
      </c>
      <c r="I18593" s="1" t="s">
        <v>8</v>
      </c>
      <c r="J18593" s="1" t="str">
        <f>"22/23"</f>
        <v>22/23</v>
      </c>
      <c r="K18593" s="1" t="str">
        <f>"2026-07-29 13:18:13"</f>
        <v>2026-07-29 13:18:13</v>
      </c>
      <c r="L18593" s="1" t="str">
        <f>"2018-02-27 17:42:00"</f>
        <v>2018-02-27 17:42:00</v>
      </c>
      <c r="M18593" s="1" t="s">
        <v>2</v>
      </c>
      <c r="N18593" s="1" t="s">
        <v>38</v>
      </c>
      <c r="O18593" s="1" t="s">
        <v>46</v>
      </c>
    </row>
    <row r="18594" spans="2:15" x14ac:dyDescent="0.3">
      <c r="B18594" s="1" t="s">
        <v>13</v>
      </c>
      <c r="C18594" s="1" t="str">
        <f>"3차"</f>
        <v>3차</v>
      </c>
      <c r="D18594" s="1" t="str">
        <f>"9828W91139"</f>
        <v>9828W91139</v>
      </c>
      <c r="E18594" s="1" t="s">
        <v>10</v>
      </c>
      <c r="F18594" s="1" t="str">
        <f>"10.11.16.154"</f>
        <v>10.11.16.154</v>
      </c>
      <c r="G18594" s="1" t="str">
        <f>"9828W911"</f>
        <v>9828W911</v>
      </c>
      <c r="H18594" s="1" t="str">
        <f>"부암간 47L3"</f>
        <v>부암간 47L3</v>
      </c>
      <c r="I18594" s="1" t="s">
        <v>8</v>
      </c>
      <c r="J18594" s="1" t="str">
        <f>"31/33"</f>
        <v>31/33</v>
      </c>
      <c r="K18594" s="1" t="str">
        <f>"2026-07-29 13:18:13"</f>
        <v>2026-07-29 13:18:13</v>
      </c>
      <c r="L18594" s="1" t="str">
        <f>"2018-03-21 10:21:02"</f>
        <v>2018-03-21 10:21:02</v>
      </c>
      <c r="M18594" s="1" t="s">
        <v>2</v>
      </c>
      <c r="N18594" s="1" t="s">
        <v>38</v>
      </c>
      <c r="O18594" s="1" t="s">
        <v>46</v>
      </c>
    </row>
    <row r="18595" spans="2:15" x14ac:dyDescent="0.3">
      <c r="B18595" s="1" t="s">
        <v>13</v>
      </c>
      <c r="C18595" s="1" t="s">
        <v>16</v>
      </c>
      <c r="D18595" s="1" t="str">
        <f>"9828W9525S"</f>
        <v>9828W9525S</v>
      </c>
      <c r="E18595" s="1" t="s">
        <v>10</v>
      </c>
      <c r="F18595" s="1" t="str">
        <f>"fde1:103:4:567e:0:0:0:2"</f>
        <v>fde1:103:4:567e:0:0:0:2</v>
      </c>
      <c r="G18595" s="1" t="str">
        <f>"9828W952"</f>
        <v>9828W952</v>
      </c>
      <c r="H18595" s="1" t="str">
        <f>"홍은간 9L10"</f>
        <v>홍은간 9L10</v>
      </c>
      <c r="I18595" s="1" t="s">
        <v>15</v>
      </c>
      <c r="J18595" s="1" t="str">
        <f>"75/77"</f>
        <v>75/77</v>
      </c>
      <c r="K18595" s="1" t="str">
        <f>"2026-07-29 14:21:22"</f>
        <v>2026-07-29 14:21:22</v>
      </c>
      <c r="L18595" s="1" t="str">
        <f>"2023-08-04 17:29:55"</f>
        <v>2023-08-04 17:29:55</v>
      </c>
      <c r="M18595" s="1" t="s">
        <v>4</v>
      </c>
      <c r="N18595" s="1" t="s">
        <v>38</v>
      </c>
      <c r="O18595" s="1" t="s">
        <v>46</v>
      </c>
    </row>
    <row r="18596" spans="2:15" x14ac:dyDescent="0.3">
      <c r="B18596" s="1" t="s">
        <v>13</v>
      </c>
      <c r="C18596" s="1" t="s">
        <v>16</v>
      </c>
      <c r="D18596" s="1" t="str">
        <f>"9828W9715S"</f>
        <v>9828W9715S</v>
      </c>
      <c r="E18596" s="1" t="s">
        <v>10</v>
      </c>
      <c r="F18596" s="1" t="str">
        <f>"fde3:102:1304:1302:0:0:0:2"</f>
        <v>fde3:102:1304:1302:0:0:0:2</v>
      </c>
      <c r="G18596" s="1" t="str">
        <f>"9828W971"</f>
        <v>9828W971</v>
      </c>
      <c r="H18596" s="1" t="str">
        <f>"청운간 64"</f>
        <v>청운간 64</v>
      </c>
      <c r="I18596" s="1" t="s">
        <v>15</v>
      </c>
      <c r="J18596" s="1" t="str">
        <f>"35/35"</f>
        <v>35/35</v>
      </c>
      <c r="K18596" s="1" t="str">
        <f>"2026-07-29 14:21:21"</f>
        <v>2026-07-29 14:21:21</v>
      </c>
      <c r="L18596" s="1" t="str">
        <f>"2023-08-08 11:17:10"</f>
        <v>2023-08-08 11:17:10</v>
      </c>
      <c r="M18596" s="1" t="s">
        <v>45</v>
      </c>
      <c r="N18596" s="1" t="s">
        <v>38</v>
      </c>
      <c r="O18596" s="1" t="s">
        <v>46</v>
      </c>
    </row>
    <row r="18597" spans="2:15" x14ac:dyDescent="0.3">
      <c r="B18597" s="1" t="s">
        <v>13</v>
      </c>
      <c r="C18597" s="1" t="str">
        <f>"3차"</f>
        <v>3차</v>
      </c>
      <c r="D18597" s="1" t="str">
        <f>"9828X20139"</f>
        <v>9828X20139</v>
      </c>
      <c r="E18597" s="1" t="s">
        <v>10</v>
      </c>
      <c r="F18597" s="1" t="str">
        <f>"10.11.35.138"</f>
        <v>10.11.35.138</v>
      </c>
      <c r="G18597" s="1" t="str">
        <f>"9828X201"</f>
        <v>9828X201</v>
      </c>
      <c r="H18597" s="1" t="str">
        <f>"부암간 47R2A2L1"</f>
        <v>부암간 47R2A2L1</v>
      </c>
      <c r="I18597" s="1" t="s">
        <v>8</v>
      </c>
      <c r="J18597" s="1" t="str">
        <f>"58/58"</f>
        <v>58/58</v>
      </c>
      <c r="K18597" s="1" t="str">
        <f t="shared" ref="K18597:K18605" si="926">"2026-07-29 13:18:13"</f>
        <v>2026-07-29 13:18:13</v>
      </c>
      <c r="L18597" s="1" t="str">
        <f>"2018-02-13 13:00:28"</f>
        <v>2018-02-13 13:00:28</v>
      </c>
      <c r="M18597" s="1" t="s">
        <v>2</v>
      </c>
      <c r="N18597" s="1" t="s">
        <v>38</v>
      </c>
      <c r="O18597" s="1" t="s">
        <v>46</v>
      </c>
    </row>
    <row r="18598" spans="2:15" x14ac:dyDescent="0.3">
      <c r="B18598" s="1" t="s">
        <v>13</v>
      </c>
      <c r="C18598" s="1" t="str">
        <f>"3차"</f>
        <v>3차</v>
      </c>
      <c r="D18598" s="1" t="str">
        <f>"9828X37339"</f>
        <v>9828X37339</v>
      </c>
      <c r="E18598" s="1" t="s">
        <v>10</v>
      </c>
      <c r="F18598" s="1" t="str">
        <f>"10.11.40.162"</f>
        <v>10.11.40.162</v>
      </c>
      <c r="G18598" s="1" t="str">
        <f>"9828X373"</f>
        <v>9828X373</v>
      </c>
      <c r="H18598" s="1" t="str">
        <f>"청운간 79L6"</f>
        <v>청운간 79L6</v>
      </c>
      <c r="I18598" s="1" t="s">
        <v>8</v>
      </c>
      <c r="J18598" s="1" t="str">
        <f>"48/56"</f>
        <v>48/56</v>
      </c>
      <c r="K18598" s="1" t="str">
        <f t="shared" si="926"/>
        <v>2026-07-29 13:18:13</v>
      </c>
      <c r="L18598" s="1" t="str">
        <f>"2018-03-10 11:55:42"</f>
        <v>2018-03-10 11:55:42</v>
      </c>
      <c r="M18598" s="1" t="s">
        <v>2</v>
      </c>
      <c r="N18598" s="1" t="s">
        <v>38</v>
      </c>
      <c r="O18598" s="1" t="s">
        <v>46</v>
      </c>
    </row>
    <row r="18599" spans="2:15" x14ac:dyDescent="0.3">
      <c r="B18599" s="1" t="s">
        <v>13</v>
      </c>
      <c r="C18599" s="1" t="str">
        <f>"3차"</f>
        <v>3차</v>
      </c>
      <c r="D18599" s="1" t="str">
        <f>"9828X47339"</f>
        <v>9828X47339</v>
      </c>
      <c r="E18599" s="1" t="s">
        <v>10</v>
      </c>
      <c r="F18599" s="1" t="str">
        <f>"10.11.21.130"</f>
        <v>10.11.21.130</v>
      </c>
      <c r="G18599" s="1" t="str">
        <f>"9828X473"</f>
        <v>9828X473</v>
      </c>
      <c r="H18599" s="1" t="str">
        <f>"청운간 79L5"</f>
        <v>청운간 79L5</v>
      </c>
      <c r="I18599" s="1" t="s">
        <v>8</v>
      </c>
      <c r="J18599" s="1" t="str">
        <f>"78/80"</f>
        <v>78/80</v>
      </c>
      <c r="K18599" s="1" t="str">
        <f t="shared" si="926"/>
        <v>2026-07-29 13:18:13</v>
      </c>
      <c r="L18599" s="1" t="str">
        <f>"2018-03-10 11:39:40"</f>
        <v>2018-03-10 11:39:40</v>
      </c>
      <c r="M18599" s="1" t="s">
        <v>2</v>
      </c>
      <c r="N18599" s="1" t="s">
        <v>38</v>
      </c>
      <c r="O18599" s="1" t="s">
        <v>46</v>
      </c>
    </row>
    <row r="18600" spans="2:15" x14ac:dyDescent="0.3">
      <c r="B18600" s="1" t="s">
        <v>13</v>
      </c>
      <c r="C18600" s="1" t="str">
        <f>"3차"</f>
        <v>3차</v>
      </c>
      <c r="D18600" s="1" t="str">
        <f>"9828X56239"</f>
        <v>9828X56239</v>
      </c>
      <c r="E18600" s="1" t="s">
        <v>10</v>
      </c>
      <c r="F18600" s="1" t="str">
        <f>"10.11.39.74"</f>
        <v>10.11.39.74</v>
      </c>
      <c r="G18600" s="1" t="str">
        <f>"9828X562"</f>
        <v>9828X562</v>
      </c>
      <c r="H18600" s="1" t="str">
        <f>"청운간 73"</f>
        <v>청운간 73</v>
      </c>
      <c r="I18600" s="1" t="s">
        <v>8</v>
      </c>
      <c r="J18600" s="1" t="str">
        <f>"38/38"</f>
        <v>38/38</v>
      </c>
      <c r="K18600" s="1" t="str">
        <f t="shared" si="926"/>
        <v>2026-07-29 13:18:13</v>
      </c>
      <c r="L18600" s="1" t="str">
        <f>"2018-01-11 11:50:26"</f>
        <v>2018-01-11 11:50:26</v>
      </c>
      <c r="M18600" s="1" t="s">
        <v>2</v>
      </c>
      <c r="N18600" s="1" t="s">
        <v>38</v>
      </c>
      <c r="O18600" s="1" t="s">
        <v>46</v>
      </c>
    </row>
    <row r="18601" spans="2:15" x14ac:dyDescent="0.3">
      <c r="B18601" s="1" t="s">
        <v>13</v>
      </c>
      <c r="C18601" s="1" t="str">
        <f>"4차"</f>
        <v>4차</v>
      </c>
      <c r="D18601" s="1" t="str">
        <f>"9828X58239"</f>
        <v>9828X58239</v>
      </c>
      <c r="E18601" s="1" t="s">
        <v>10</v>
      </c>
      <c r="F18601" s="1" t="str">
        <f>"10.11.19.242"</f>
        <v>10.11.19.242</v>
      </c>
      <c r="G18601" s="1" t="str">
        <f>"9828X582"</f>
        <v>9828X582</v>
      </c>
      <c r="H18601" s="1" t="str">
        <f>"청운간 79"</f>
        <v>청운간 79</v>
      </c>
      <c r="I18601" s="1" t="s">
        <v>8</v>
      </c>
      <c r="J18601" s="1" t="str">
        <f>"126/141"</f>
        <v>126/141</v>
      </c>
      <c r="K18601" s="1" t="str">
        <f t="shared" si="926"/>
        <v>2026-07-29 13:18:13</v>
      </c>
      <c r="L18601" s="1" t="str">
        <f>"2018-02-26 19:48:22"</f>
        <v>2018-02-26 19:48:22</v>
      </c>
      <c r="M18601" s="1" t="s">
        <v>2</v>
      </c>
      <c r="N18601" s="1" t="s">
        <v>38</v>
      </c>
      <c r="O18601" s="1" t="s">
        <v>46</v>
      </c>
    </row>
    <row r="18602" spans="2:15" x14ac:dyDescent="0.3">
      <c r="B18602" s="1" t="s">
        <v>13</v>
      </c>
      <c r="C18602" s="1" t="str">
        <f>"3차"</f>
        <v>3차</v>
      </c>
      <c r="D18602" s="1" t="str">
        <f>"9828X66339"</f>
        <v>9828X66339</v>
      </c>
      <c r="E18602" s="1" t="s">
        <v>10</v>
      </c>
      <c r="F18602" s="1" t="str">
        <f>"10.11.19.234"</f>
        <v>10.11.19.234</v>
      </c>
      <c r="G18602" s="1" t="str">
        <f>"9828X663"</f>
        <v>9828X663</v>
      </c>
      <c r="H18602" s="1" t="str">
        <f>"청운간 75"</f>
        <v>청운간 75</v>
      </c>
      <c r="I18602" s="1" t="s">
        <v>8</v>
      </c>
      <c r="J18602" s="1" t="str">
        <f>"17/18"</f>
        <v>17/18</v>
      </c>
      <c r="K18602" s="1" t="str">
        <f t="shared" si="926"/>
        <v>2026-07-29 13:18:13</v>
      </c>
      <c r="L18602" s="1" t="str">
        <f>"2018-01-11 13:15:55"</f>
        <v>2018-01-11 13:15:55</v>
      </c>
      <c r="M18602" s="1" t="s">
        <v>2</v>
      </c>
      <c r="N18602" s="1" t="s">
        <v>38</v>
      </c>
      <c r="O18602" s="1" t="s">
        <v>46</v>
      </c>
    </row>
    <row r="18603" spans="2:15" x14ac:dyDescent="0.3">
      <c r="B18603" s="1" t="s">
        <v>13</v>
      </c>
      <c r="C18603" s="1" t="str">
        <f>"3차"</f>
        <v>3차</v>
      </c>
      <c r="D18603" s="1" t="str">
        <f>"9828X67339"</f>
        <v>9828X67339</v>
      </c>
      <c r="E18603" s="1" t="s">
        <v>10</v>
      </c>
      <c r="F18603" s="1" t="str">
        <f>"10.11.39.82"</f>
        <v>10.11.39.82</v>
      </c>
      <c r="G18603" s="1" t="str">
        <f>"9828X673"</f>
        <v>9828X673</v>
      </c>
      <c r="H18603" s="1" t="str">
        <f>"청운간 77"</f>
        <v>청운간 77</v>
      </c>
      <c r="I18603" s="1" t="s">
        <v>8</v>
      </c>
      <c r="J18603" s="1" t="str">
        <f>"69/69"</f>
        <v>69/69</v>
      </c>
      <c r="K18603" s="1" t="str">
        <f t="shared" si="926"/>
        <v>2026-07-29 13:18:13</v>
      </c>
      <c r="L18603" s="1" t="str">
        <f>"2018-02-13 09:07:26"</f>
        <v>2018-02-13 09:07:26</v>
      </c>
      <c r="M18603" s="1" t="s">
        <v>2</v>
      </c>
      <c r="N18603" s="1" t="s">
        <v>38</v>
      </c>
      <c r="O18603" s="1" t="s">
        <v>46</v>
      </c>
    </row>
    <row r="18604" spans="2:15" x14ac:dyDescent="0.3">
      <c r="B18604" s="1" t="s">
        <v>13</v>
      </c>
      <c r="C18604" s="1" t="str">
        <f>"3차"</f>
        <v>3차</v>
      </c>
      <c r="D18604" s="1" t="str">
        <f>"9828X76139"</f>
        <v>9828X76139</v>
      </c>
      <c r="E18604" s="1" t="s">
        <v>10</v>
      </c>
      <c r="F18604" s="1" t="str">
        <f>"10.11.12.74"</f>
        <v>10.11.12.74</v>
      </c>
      <c r="G18604" s="1" t="str">
        <f>"9828X761"</f>
        <v>9828X761</v>
      </c>
      <c r="H18604" s="1" t="str">
        <f>"도시간 20"</f>
        <v>도시간 20</v>
      </c>
      <c r="I18604" s="1" t="s">
        <v>8</v>
      </c>
      <c r="J18604" s="1" t="str">
        <f>"7/8"</f>
        <v>7/8</v>
      </c>
      <c r="K18604" s="1" t="str">
        <f t="shared" si="926"/>
        <v>2026-07-29 13:18:13</v>
      </c>
      <c r="L18604" s="1" t="str">
        <f>"2017-12-09 17:15:32"</f>
        <v>2017-12-09 17:15:32</v>
      </c>
      <c r="M18604" s="1" t="s">
        <v>2</v>
      </c>
      <c r="N18604" s="1" t="s">
        <v>38</v>
      </c>
      <c r="O18604" s="1" t="s">
        <v>46</v>
      </c>
    </row>
    <row r="18605" spans="2:15" x14ac:dyDescent="0.3">
      <c r="B18605" s="1" t="s">
        <v>13</v>
      </c>
      <c r="C18605" s="1" t="str">
        <f>"3차"</f>
        <v>3차</v>
      </c>
      <c r="D18605" s="1" t="str">
        <f>"9828X85239"</f>
        <v>9828X85239</v>
      </c>
      <c r="E18605" s="1" t="s">
        <v>10</v>
      </c>
      <c r="F18605" s="1" t="str">
        <f>"10.11.12.98"</f>
        <v>10.11.12.98</v>
      </c>
      <c r="G18605" s="1" t="str">
        <f>"9828X852"</f>
        <v>9828X852</v>
      </c>
      <c r="H18605" s="1" t="str">
        <f>"도시간 21R3"</f>
        <v>도시간 21R3</v>
      </c>
      <c r="I18605" s="1" t="s">
        <v>8</v>
      </c>
      <c r="J18605" s="1" t="str">
        <f>"23/23"</f>
        <v>23/23</v>
      </c>
      <c r="K18605" s="1" t="str">
        <f t="shared" si="926"/>
        <v>2026-07-29 13:18:13</v>
      </c>
      <c r="L18605" s="1" t="str">
        <f>"2018-02-26 19:51:21"</f>
        <v>2018-02-26 19:51:21</v>
      </c>
      <c r="M18605" s="1" t="s">
        <v>2</v>
      </c>
      <c r="N18605" s="1" t="s">
        <v>38</v>
      </c>
      <c r="O18605" s="1" t="s">
        <v>46</v>
      </c>
    </row>
    <row r="18606" spans="2:15" x14ac:dyDescent="0.3">
      <c r="B18606" s="1" t="s">
        <v>13</v>
      </c>
      <c r="C18606" s="1" t="str">
        <f>"4차"</f>
        <v>4차</v>
      </c>
      <c r="D18606" s="1" t="str">
        <f>"9828X97339"</f>
        <v>9828X97339</v>
      </c>
      <c r="E18606" s="1" t="s">
        <v>10</v>
      </c>
      <c r="F18606" s="1" t="str">
        <f>"10.14.13.25"</f>
        <v>10.14.13.25</v>
      </c>
      <c r="G18606" s="1" t="str">
        <f>"9828X973"</f>
        <v>9828X973</v>
      </c>
      <c r="H18606" s="1" t="str">
        <f>"평창로 3"</f>
        <v>평창로 3</v>
      </c>
      <c r="I18606" s="1" t="s">
        <v>17</v>
      </c>
      <c r="J18606" s="1" t="str">
        <f>"106/114"</f>
        <v>106/114</v>
      </c>
      <c r="K18606" s="1" t="str">
        <f>"2026-07-29 13:18:12"</f>
        <v>2026-07-29 13:18:12</v>
      </c>
      <c r="L18606" s="1" t="str">
        <f>"2018-05-29 15:30:59"</f>
        <v>2018-05-29 15:30:59</v>
      </c>
      <c r="M18606" s="1" t="s">
        <v>3</v>
      </c>
      <c r="N18606" s="1" t="s">
        <v>38</v>
      </c>
      <c r="O18606" s="1" t="s">
        <v>46</v>
      </c>
    </row>
    <row r="18607" spans="2:15" x14ac:dyDescent="0.3">
      <c r="B18607" s="1" t="s">
        <v>13</v>
      </c>
      <c r="C18607" s="1" t="str">
        <f>"3차"</f>
        <v>3차</v>
      </c>
      <c r="D18607" s="1" t="str">
        <f>"9828X98139"</f>
        <v>9828X98139</v>
      </c>
      <c r="E18607" s="1" t="s">
        <v>10</v>
      </c>
      <c r="F18607" s="1" t="str">
        <f>"10.11.41.106"</f>
        <v>10.11.41.106</v>
      </c>
      <c r="G18607" s="1" t="str">
        <f>"9828X981"</f>
        <v>9828X981</v>
      </c>
      <c r="H18607" s="1" t="str">
        <f>"평창간 4"</f>
        <v>평창간 4</v>
      </c>
      <c r="I18607" s="1" t="s">
        <v>8</v>
      </c>
      <c r="J18607" s="1" t="str">
        <f>"40/41"</f>
        <v>40/41</v>
      </c>
      <c r="K18607" s="1" t="str">
        <f>"2026-07-29 13:18:13"</f>
        <v>2026-07-29 13:18:13</v>
      </c>
      <c r="L18607" s="1" t="str">
        <f>"2018-03-09 16:08:27"</f>
        <v>2018-03-09 16:08:27</v>
      </c>
      <c r="M18607" s="1" t="s">
        <v>2</v>
      </c>
      <c r="N18607" s="1" t="s">
        <v>38</v>
      </c>
      <c r="O18607" s="1" t="s">
        <v>46</v>
      </c>
    </row>
    <row r="18608" spans="2:15" x14ac:dyDescent="0.3">
      <c r="B18608" s="1" t="s">
        <v>13</v>
      </c>
      <c r="C18608" s="1" t="str">
        <f>"4차"</f>
        <v>4차</v>
      </c>
      <c r="D18608" s="1" t="str">
        <f>"9828X98330"</f>
        <v>9828X98330</v>
      </c>
      <c r="E18608" s="1" t="s">
        <v>10</v>
      </c>
      <c r="F18608" s="1" t="str">
        <f>"10.11.22.74"</f>
        <v>10.11.22.74</v>
      </c>
      <c r="G18608" s="1" t="str">
        <f>"9828X983"</f>
        <v>9828X983</v>
      </c>
      <c r="H18608" s="1" t="str">
        <f>"평창간 5"</f>
        <v>평창간 5</v>
      </c>
      <c r="I18608" s="1" t="s">
        <v>8</v>
      </c>
      <c r="J18608" s="1" t="str">
        <f>"11/20"</f>
        <v>11/20</v>
      </c>
      <c r="K18608" s="1" t="str">
        <f>"2026-07-29 13:18:13"</f>
        <v>2026-07-29 13:18:13</v>
      </c>
      <c r="L18608" s="1" t="str">
        <f>"2018-03-12 16:24:58"</f>
        <v>2018-03-12 16:24:58</v>
      </c>
      <c r="M18608" s="1" t="s">
        <v>2</v>
      </c>
      <c r="N18608" s="1" t="s">
        <v>38</v>
      </c>
      <c r="O18608" s="1" t="s">
        <v>46</v>
      </c>
    </row>
    <row r="18609" spans="2:15" x14ac:dyDescent="0.3">
      <c r="B18609" s="1" t="s">
        <v>13</v>
      </c>
      <c r="C18609" s="1" t="str">
        <f>"3차"</f>
        <v>3차</v>
      </c>
      <c r="D18609" s="1" t="str">
        <f>"9828X99239"</f>
        <v>9828X99239</v>
      </c>
      <c r="E18609" s="1" t="s">
        <v>10</v>
      </c>
      <c r="F18609" s="1" t="str">
        <f>"10.11.28.170"</f>
        <v>10.11.28.170</v>
      </c>
      <c r="G18609" s="1" t="str">
        <f>"9828X992"</f>
        <v>9828X992</v>
      </c>
      <c r="H18609" s="1" t="str">
        <f>"평창간 6L2"</f>
        <v>평창간 6L2</v>
      </c>
      <c r="I18609" s="1" t="s">
        <v>8</v>
      </c>
      <c r="J18609" s="1" t="str">
        <f>"34/34"</f>
        <v>34/34</v>
      </c>
      <c r="K18609" s="1" t="str">
        <f>"2026-07-29 13:18:13"</f>
        <v>2026-07-29 13:18:13</v>
      </c>
      <c r="L18609" s="1" t="str">
        <f>"2017-12-07 17:11:33"</f>
        <v>2017-12-07 17:11:33</v>
      </c>
      <c r="M18609" s="1" t="s">
        <v>2</v>
      </c>
      <c r="N18609" s="1" t="s">
        <v>38</v>
      </c>
      <c r="O18609" s="1" t="s">
        <v>46</v>
      </c>
    </row>
    <row r="18610" spans="2:15" x14ac:dyDescent="0.3">
      <c r="B18610" s="1" t="s">
        <v>13</v>
      </c>
      <c r="C18610" s="1" t="str">
        <f>"4차"</f>
        <v>4차</v>
      </c>
      <c r="D18610" s="1" t="str">
        <f>"9828Y05139"</f>
        <v>9828Y05139</v>
      </c>
      <c r="E18610" s="1" t="s">
        <v>10</v>
      </c>
      <c r="F18610" s="1" t="str">
        <f>"10.12.128.12"</f>
        <v>10.12.128.12</v>
      </c>
      <c r="G18610" s="1" t="str">
        <f>"9828Y051"</f>
        <v>9828Y051</v>
      </c>
      <c r="H18610" s="1" t="str">
        <f>"홍은간 34R1L1"</f>
        <v>홍은간 34R1L1</v>
      </c>
      <c r="I18610" s="1" t="s">
        <v>8</v>
      </c>
      <c r="J18610" s="1" t="str">
        <f>"24/24"</f>
        <v>24/24</v>
      </c>
      <c r="K18610" s="1" t="str">
        <f>"2026-07-29 07:18:12"</f>
        <v>2026-07-29 07:18:12</v>
      </c>
      <c r="L18610" s="1" t="str">
        <f>"2018-03-31 15:27:16"</f>
        <v>2018-03-31 15:27:16</v>
      </c>
      <c r="M18610" s="1" t="s">
        <v>0</v>
      </c>
      <c r="N18610" s="1" t="s">
        <v>38</v>
      </c>
      <c r="O18610" s="1" t="s">
        <v>46</v>
      </c>
    </row>
    <row r="18611" spans="2:15" x14ac:dyDescent="0.3">
      <c r="B18611" s="1" t="s">
        <v>13</v>
      </c>
      <c r="C18611" s="1" t="s">
        <v>16</v>
      </c>
      <c r="D18611" s="1" t="str">
        <f>"9828Y0875S"</f>
        <v>9828Y0875S</v>
      </c>
      <c r="E18611" s="1" t="s">
        <v>10</v>
      </c>
      <c r="F18611" s="1" t="str">
        <f>"fde1:103:4:55e0:0:0:0:2"</f>
        <v>fde1:103:4:55e0:0:0:0:2</v>
      </c>
      <c r="G18611" s="1" t="str">
        <f>"9828Y087"</f>
        <v>9828Y087</v>
      </c>
      <c r="H18611" s="1" t="str">
        <f>"홍은간 31R3R1"</f>
        <v>홍은간 31R3R1</v>
      </c>
      <c r="I18611" s="1" t="s">
        <v>15</v>
      </c>
      <c r="J18611" s="1" t="str">
        <f>"17/18"</f>
        <v>17/18</v>
      </c>
      <c r="K18611" s="1" t="str">
        <f>"2026-07-29 14:21:22"</f>
        <v>2026-07-29 14:21:22</v>
      </c>
      <c r="L18611" s="1" t="str">
        <f>"2023-08-07 09:50:25"</f>
        <v>2023-08-07 09:50:25</v>
      </c>
      <c r="M18611" s="1" t="s">
        <v>4</v>
      </c>
      <c r="N18611" s="1" t="s">
        <v>38</v>
      </c>
      <c r="O18611" s="1" t="s">
        <v>46</v>
      </c>
    </row>
    <row r="18612" spans="2:15" x14ac:dyDescent="0.3">
      <c r="B18612" s="1" t="s">
        <v>13</v>
      </c>
      <c r="C18612" s="1" t="str">
        <f>"3차"</f>
        <v>3차</v>
      </c>
      <c r="D18612" s="1" t="str">
        <f>"9828Y45139"</f>
        <v>9828Y45139</v>
      </c>
      <c r="E18612" s="1" t="s">
        <v>10</v>
      </c>
      <c r="F18612" s="1" t="str">
        <f>"10.11.26.154"</f>
        <v>10.11.26.154</v>
      </c>
      <c r="G18612" s="1" t="str">
        <f>"9828Y451"</f>
        <v>9828Y451</v>
      </c>
      <c r="H18612" s="1" t="str">
        <f>"부암간 37"</f>
        <v>부암간 37</v>
      </c>
      <c r="I18612" s="1" t="s">
        <v>8</v>
      </c>
      <c r="J18612" s="1" t="str">
        <f>"3/3"</f>
        <v>3/3</v>
      </c>
      <c r="K18612" s="1" t="str">
        <f>"2026-07-29 13:18:13"</f>
        <v>2026-07-29 13:18:13</v>
      </c>
      <c r="L18612" s="1" t="str">
        <f>"2017-12-07 17:11:50"</f>
        <v>2017-12-07 17:11:50</v>
      </c>
      <c r="M18612" s="1" t="s">
        <v>2</v>
      </c>
      <c r="N18612" s="1" t="s">
        <v>38</v>
      </c>
      <c r="O18612" s="1" t="s">
        <v>46</v>
      </c>
    </row>
    <row r="18613" spans="2:15" x14ac:dyDescent="0.3">
      <c r="B18613" s="1" t="s">
        <v>13</v>
      </c>
      <c r="C18613" s="1" t="str">
        <f>"3차"</f>
        <v>3차</v>
      </c>
      <c r="D18613" s="1" t="str">
        <f>"9828Y46339"</f>
        <v>9828Y46339</v>
      </c>
      <c r="E18613" s="1" t="s">
        <v>10</v>
      </c>
      <c r="F18613" s="1" t="str">
        <f>"10.11.26.186"</f>
        <v>10.11.26.186</v>
      </c>
      <c r="G18613" s="1" t="str">
        <f>"9828Y463"</f>
        <v>9828Y463</v>
      </c>
      <c r="H18613" s="1" t="str">
        <f>"부암간 38L1"</f>
        <v>부암간 38L1</v>
      </c>
      <c r="I18613" s="1" t="s">
        <v>8</v>
      </c>
      <c r="J18613" s="1" t="str">
        <f>"29/33"</f>
        <v>29/33</v>
      </c>
      <c r="K18613" s="1" t="str">
        <f>"2026-07-29 13:18:13"</f>
        <v>2026-07-29 13:18:13</v>
      </c>
      <c r="L18613" s="1" t="str">
        <f>"2017-12-07 17:09:20"</f>
        <v>2017-12-07 17:09:20</v>
      </c>
      <c r="M18613" s="1" t="s">
        <v>2</v>
      </c>
      <c r="N18613" s="1" t="s">
        <v>38</v>
      </c>
      <c r="O18613" s="1" t="s">
        <v>46</v>
      </c>
    </row>
    <row r="18614" spans="2:15" x14ac:dyDescent="0.3">
      <c r="B18614" s="1" t="s">
        <v>13</v>
      </c>
      <c r="C18614" s="1" t="s">
        <v>16</v>
      </c>
      <c r="D18614" s="1" t="str">
        <f>"9828Y6335S"</f>
        <v>9828Y6335S</v>
      </c>
      <c r="E18614" s="1" t="s">
        <v>10</v>
      </c>
      <c r="F18614" s="1" t="str">
        <f>"fde3:102:1304:1400:0:0:0:2"</f>
        <v>fde3:102:1304:1400:0:0:0:2</v>
      </c>
      <c r="G18614" s="1" t="str">
        <f>"9828Y633"</f>
        <v>9828Y633</v>
      </c>
      <c r="H18614" s="1" t="str">
        <f>"부암간 31L2R2"</f>
        <v>부암간 31L2R2</v>
      </c>
      <c r="I18614" s="1" t="s">
        <v>15</v>
      </c>
      <c r="J18614" s="1" t="str">
        <f>"63/63"</f>
        <v>63/63</v>
      </c>
      <c r="K18614" s="1" t="str">
        <f>"2026-07-29 14:21:21"</f>
        <v>2026-07-29 14:21:21</v>
      </c>
      <c r="L18614" s="1" t="str">
        <f>"2023-08-08 15:17:27"</f>
        <v>2023-08-08 15:17:27</v>
      </c>
      <c r="M18614" s="1" t="s">
        <v>45</v>
      </c>
      <c r="N18614" s="1" t="s">
        <v>38</v>
      </c>
      <c r="O18614" s="1" t="s">
        <v>46</v>
      </c>
    </row>
    <row r="18615" spans="2:15" x14ac:dyDescent="0.3">
      <c r="B18615" s="1" t="s">
        <v>13</v>
      </c>
      <c r="C18615" s="1" t="str">
        <f>"4차"</f>
        <v>4차</v>
      </c>
      <c r="D18615" s="1" t="str">
        <f>"9828Y64139"</f>
        <v>9828Y64139</v>
      </c>
      <c r="E18615" s="1" t="s">
        <v>10</v>
      </c>
      <c r="F18615" s="1" t="str">
        <f>"10.11.16.122"</f>
        <v>10.11.16.122</v>
      </c>
      <c r="G18615" s="1" t="str">
        <f>"9828Y641"</f>
        <v>9828Y641</v>
      </c>
      <c r="H18615" s="1" t="str">
        <f>"부암간 33"</f>
        <v>부암간 33</v>
      </c>
      <c r="I18615" s="1" t="s">
        <v>8</v>
      </c>
      <c r="J18615" s="1" t="str">
        <f>"21/23"</f>
        <v>21/23</v>
      </c>
      <c r="K18615" s="1" t="str">
        <f>"2026-07-29 13:18:13"</f>
        <v>2026-07-29 13:18:13</v>
      </c>
      <c r="L18615" s="1" t="str">
        <f>"2018-02-26 19:52:08"</f>
        <v>2018-02-26 19:52:08</v>
      </c>
      <c r="M18615" s="1" t="s">
        <v>2</v>
      </c>
      <c r="N18615" s="1" t="s">
        <v>38</v>
      </c>
      <c r="O18615" s="1" t="s">
        <v>46</v>
      </c>
    </row>
    <row r="18616" spans="2:15" x14ac:dyDescent="0.3">
      <c r="B18616" s="1" t="s">
        <v>13</v>
      </c>
      <c r="C18616" s="1" t="str">
        <f>"3차"</f>
        <v>3차</v>
      </c>
      <c r="D18616" s="1" t="str">
        <f>"9828Y65139"</f>
        <v>9828Y65139</v>
      </c>
      <c r="E18616" s="1" t="s">
        <v>10</v>
      </c>
      <c r="F18616" s="1" t="str">
        <f>"10.11.35.74"</f>
        <v>10.11.35.74</v>
      </c>
      <c r="G18616" s="1" t="str">
        <f>"9828Y651"</f>
        <v>9828Y651</v>
      </c>
      <c r="H18616" s="1" t="str">
        <f>"부암간 34"</f>
        <v>부암간 34</v>
      </c>
      <c r="I18616" s="1" t="s">
        <v>8</v>
      </c>
      <c r="J18616" s="1" t="str">
        <f>"16/16"</f>
        <v>16/16</v>
      </c>
      <c r="K18616" s="1" t="str">
        <f>"2026-07-29 13:18:13"</f>
        <v>2026-07-29 13:18:13</v>
      </c>
      <c r="L18616" s="1" t="str">
        <f>"2018-02-13 12:34:12"</f>
        <v>2018-02-13 12:34:12</v>
      </c>
      <c r="M18616" s="1" t="s">
        <v>2</v>
      </c>
      <c r="N18616" s="1" t="s">
        <v>38</v>
      </c>
      <c r="O18616" s="1" t="s">
        <v>46</v>
      </c>
    </row>
    <row r="18617" spans="2:15" x14ac:dyDescent="0.3">
      <c r="B18617" s="1" t="s">
        <v>13</v>
      </c>
      <c r="C18617" s="1" t="str">
        <f>"3차"</f>
        <v>3차</v>
      </c>
      <c r="D18617" s="1" t="str">
        <f>"9828Y67139"</f>
        <v>9828Y67139</v>
      </c>
      <c r="E18617" s="1" t="s">
        <v>10</v>
      </c>
      <c r="F18617" s="1" t="str">
        <f>"10.11.12.66"</f>
        <v>10.11.12.66</v>
      </c>
      <c r="G18617" s="1" t="str">
        <f>"9828Y671"</f>
        <v>9828Y671</v>
      </c>
      <c r="H18617" s="1" t="str">
        <f>"도시간 2"</f>
        <v>도시간 2</v>
      </c>
      <c r="I18617" s="1" t="s">
        <v>8</v>
      </c>
      <c r="J18617" s="1" t="str">
        <f>"11/11"</f>
        <v>11/11</v>
      </c>
      <c r="K18617" s="1" t="str">
        <f>"2026-07-29 13:18:13"</f>
        <v>2026-07-29 13:18:13</v>
      </c>
      <c r="L18617" s="1" t="str">
        <f>"2018-02-26 19:53:22"</f>
        <v>2018-02-26 19:53:22</v>
      </c>
      <c r="M18617" s="1" t="s">
        <v>2</v>
      </c>
      <c r="N18617" s="1" t="s">
        <v>38</v>
      </c>
      <c r="O18617" s="1" t="s">
        <v>46</v>
      </c>
    </row>
    <row r="18618" spans="2:15" x14ac:dyDescent="0.3">
      <c r="B18618" s="1" t="s">
        <v>13</v>
      </c>
      <c r="C18618" s="1" t="str">
        <f>"3차"</f>
        <v>3차</v>
      </c>
      <c r="D18618" s="1" t="str">
        <f>"9828Y67439"</f>
        <v>9828Y67439</v>
      </c>
      <c r="E18618" s="1" t="s">
        <v>10</v>
      </c>
      <c r="F18618" s="1" t="str">
        <f>"10.11.30.130"</f>
        <v>10.11.30.130</v>
      </c>
      <c r="G18618" s="1" t="str">
        <f>"9828Y674"</f>
        <v>9828Y674</v>
      </c>
      <c r="H18618" s="1" t="str">
        <f>"도시간 3"</f>
        <v>도시간 3</v>
      </c>
      <c r="I18618" s="1" t="s">
        <v>8</v>
      </c>
      <c r="J18618" s="1" t="str">
        <f>"112/112"</f>
        <v>112/112</v>
      </c>
      <c r="K18618" s="1" t="str">
        <f>"2026-07-29 13:18:13"</f>
        <v>2026-07-29 13:18:13</v>
      </c>
      <c r="L18618" s="1" t="str">
        <f>"2018-02-13 10:39:41"</f>
        <v>2018-02-13 10:39:41</v>
      </c>
      <c r="M18618" s="1" t="s">
        <v>2</v>
      </c>
      <c r="N18618" s="1" t="s">
        <v>38</v>
      </c>
      <c r="O18618" s="1" t="s">
        <v>46</v>
      </c>
    </row>
    <row r="18619" spans="2:15" x14ac:dyDescent="0.3">
      <c r="B18619" s="1" t="s">
        <v>13</v>
      </c>
      <c r="C18619" s="1" t="str">
        <f>"3차"</f>
        <v>3차</v>
      </c>
      <c r="D18619" s="1" t="str">
        <f>"9828Y74139"</f>
        <v>9828Y74139</v>
      </c>
      <c r="E18619" s="1" t="s">
        <v>10</v>
      </c>
      <c r="F18619" s="1" t="str">
        <f>"10.11.35.66"</f>
        <v>10.11.35.66</v>
      </c>
      <c r="G18619" s="1" t="str">
        <f>"9828Y741"</f>
        <v>9828Y741</v>
      </c>
      <c r="H18619" s="1" t="str">
        <f>"부암간 32"</f>
        <v>부암간 32</v>
      </c>
      <c r="I18619" s="1" t="s">
        <v>8</v>
      </c>
      <c r="J18619" s="1" t="str">
        <f>"18/18"</f>
        <v>18/18</v>
      </c>
      <c r="K18619" s="1" t="str">
        <f>"2026-07-29 13:18:13"</f>
        <v>2026-07-29 13:18:13</v>
      </c>
      <c r="L18619" s="1" t="str">
        <f>"2018-02-13 13:30:42"</f>
        <v>2018-02-13 13:30:42</v>
      </c>
      <c r="M18619" s="1" t="s">
        <v>2</v>
      </c>
      <c r="N18619" s="1" t="s">
        <v>38</v>
      </c>
      <c r="O18619" s="1" t="s">
        <v>46</v>
      </c>
    </row>
    <row r="18620" spans="2:15" x14ac:dyDescent="0.3">
      <c r="B18620" s="1" t="s">
        <v>13</v>
      </c>
      <c r="C18620" s="1" t="s">
        <v>16</v>
      </c>
      <c r="D18620" s="1" t="str">
        <f>"9828Y8215S"</f>
        <v>9828Y8215S</v>
      </c>
      <c r="E18620" s="1" t="s">
        <v>10</v>
      </c>
      <c r="F18620" s="1" t="str">
        <f>"fde1:103:4:5634:0:0:0:2"</f>
        <v>fde1:103:4:5634:0:0:0:2</v>
      </c>
      <c r="G18620" s="1" t="str">
        <f>"9828Y821"</f>
        <v>9828Y821</v>
      </c>
      <c r="H18620" s="1" t="str">
        <f>"부암간 31L3"</f>
        <v>부암간 31L3</v>
      </c>
      <c r="I18620" s="1" t="s">
        <v>15</v>
      </c>
      <c r="J18620" s="1" t="str">
        <f>"50/50"</f>
        <v>50/50</v>
      </c>
      <c r="K18620" s="1" t="str">
        <f>"2026-07-29 14:21:23"</f>
        <v>2026-07-29 14:21:23</v>
      </c>
      <c r="L18620" s="1" t="str">
        <f>"2023-08-07 10:03:34"</f>
        <v>2023-08-07 10:03:34</v>
      </c>
      <c r="M18620" s="1" t="s">
        <v>4</v>
      </c>
      <c r="N18620" s="1" t="s">
        <v>38</v>
      </c>
      <c r="O18620" s="1" t="s">
        <v>46</v>
      </c>
    </row>
    <row r="18621" spans="2:15" x14ac:dyDescent="0.3">
      <c r="B18621" s="1" t="s">
        <v>13</v>
      </c>
      <c r="C18621" s="1" t="str">
        <f>"3차"</f>
        <v>3차</v>
      </c>
      <c r="D18621" s="1" t="str">
        <f>"9828Y87239"</f>
        <v>9828Y87239</v>
      </c>
      <c r="E18621" s="1" t="s">
        <v>10</v>
      </c>
      <c r="F18621" s="1" t="str">
        <f>"10.11.16.178"</f>
        <v>10.11.16.178</v>
      </c>
      <c r="G18621" s="1" t="str">
        <f>"9828Y872"</f>
        <v>9828Y872</v>
      </c>
      <c r="H18621" s="1" t="str">
        <f>"부암간 47R14"</f>
        <v>부암간 47R14</v>
      </c>
      <c r="I18621" s="1" t="s">
        <v>8</v>
      </c>
      <c r="J18621" s="1" t="str">
        <f>"37/37"</f>
        <v>37/37</v>
      </c>
      <c r="K18621" s="1" t="str">
        <f>"2026-07-29 13:18:13"</f>
        <v>2026-07-29 13:18:13</v>
      </c>
      <c r="L18621" s="1" t="str">
        <f>"2018-01-02 13:06:55"</f>
        <v>2018-01-02 13:06:55</v>
      </c>
      <c r="M18621" s="1" t="s">
        <v>2</v>
      </c>
      <c r="N18621" s="1" t="s">
        <v>38</v>
      </c>
      <c r="O18621" s="1" t="s">
        <v>46</v>
      </c>
    </row>
    <row r="18622" spans="2:15" x14ac:dyDescent="0.3">
      <c r="B18622" s="1" t="s">
        <v>13</v>
      </c>
      <c r="C18622" s="1" t="str">
        <f>"3차"</f>
        <v>3차</v>
      </c>
      <c r="D18622" s="1" t="str">
        <f>"9828Y88339"</f>
        <v>9828Y88339</v>
      </c>
      <c r="E18622" s="1" t="s">
        <v>10</v>
      </c>
      <c r="F18622" s="1" t="str">
        <f>"10.12.132.59"</f>
        <v>10.12.132.59</v>
      </c>
      <c r="G18622" s="1" t="str">
        <f>"9828Y883"</f>
        <v>9828Y883</v>
      </c>
      <c r="H18622" s="1" t="str">
        <f>"도시간 7R1"</f>
        <v>도시간 7R1</v>
      </c>
      <c r="I18622" s="1" t="s">
        <v>8</v>
      </c>
      <c r="J18622" s="1" t="str">
        <f>"21/21"</f>
        <v>21/21</v>
      </c>
      <c r="K18622" s="1" t="str">
        <f>"2026-07-29 13:18:11"</f>
        <v>2026-07-29 13:18:11</v>
      </c>
      <c r="L18622" s="1" t="str">
        <f>"2018-07-18 09:46:10"</f>
        <v>2018-07-18 09:46:10</v>
      </c>
      <c r="M18622" s="1" t="s">
        <v>0</v>
      </c>
      <c r="N18622" s="1" t="s">
        <v>38</v>
      </c>
      <c r="O18622" s="1" t="s">
        <v>46</v>
      </c>
    </row>
    <row r="18623" spans="2:15" x14ac:dyDescent="0.3">
      <c r="B18623" s="1" t="s">
        <v>13</v>
      </c>
      <c r="C18623" s="1" t="s">
        <v>16</v>
      </c>
      <c r="D18623" s="1" t="str">
        <f>"9828Y9335S"</f>
        <v>9828Y9335S</v>
      </c>
      <c r="E18623" s="1" t="s">
        <v>10</v>
      </c>
      <c r="F18623" s="1" t="str">
        <f>"fde1:103:4:564c:0:0:0:2"</f>
        <v>fde1:103:4:564c:0:0:0:2</v>
      </c>
      <c r="G18623" s="1" t="str">
        <f>"9828Y933"</f>
        <v>9828Y933</v>
      </c>
      <c r="H18623" s="1" t="str">
        <f>"부암간 31H1"</f>
        <v>부암간 31H1</v>
      </c>
      <c r="I18623" s="1" t="s">
        <v>15</v>
      </c>
      <c r="J18623" s="1" t="str">
        <f>"104/104"</f>
        <v>104/104</v>
      </c>
      <c r="K18623" s="1" t="str">
        <f>"2026-07-29 14:21:22"</f>
        <v>2026-07-29 14:21:22</v>
      </c>
      <c r="L18623" s="1" t="str">
        <f>"2023-08-07 10:21:38"</f>
        <v>2023-08-07 10:21:38</v>
      </c>
      <c r="M18623" s="1" t="s">
        <v>4</v>
      </c>
      <c r="N18623" s="1" t="s">
        <v>38</v>
      </c>
      <c r="O18623" s="1" t="s">
        <v>46</v>
      </c>
    </row>
    <row r="18624" spans="2:15" x14ac:dyDescent="0.3">
      <c r="B18624" s="1" t="s">
        <v>13</v>
      </c>
      <c r="C18624" s="1" t="str">
        <f>"4차"</f>
        <v>4차</v>
      </c>
      <c r="D18624" s="1" t="str">
        <f>"9828Y97139"</f>
        <v>9828Y97139</v>
      </c>
      <c r="E18624" s="1" t="s">
        <v>10</v>
      </c>
      <c r="F18624" s="1" t="str">
        <f>"10.12.132.58"</f>
        <v>10.12.132.58</v>
      </c>
      <c r="G18624" s="1" t="str">
        <f>"9828Y971"</f>
        <v>9828Y971</v>
      </c>
      <c r="H18624" s="1" t="str">
        <f>"도시간 7R2"</f>
        <v>도시간 7R2</v>
      </c>
      <c r="I18624" s="1" t="s">
        <v>8</v>
      </c>
      <c r="J18624" s="1" t="str">
        <f>"12/12"</f>
        <v>12/12</v>
      </c>
      <c r="K18624" s="1" t="str">
        <f>"2026-07-29 13:18:11"</f>
        <v>2026-07-29 13:18:11</v>
      </c>
      <c r="L18624" s="1" t="str">
        <f>"2018-07-17 11:13:12"</f>
        <v>2018-07-17 11:13:12</v>
      </c>
      <c r="M18624" s="1" t="s">
        <v>0</v>
      </c>
      <c r="N18624" s="1" t="s">
        <v>38</v>
      </c>
      <c r="O18624" s="1" t="s">
        <v>46</v>
      </c>
    </row>
    <row r="18625" spans="2:15" x14ac:dyDescent="0.3">
      <c r="B18625" s="1" t="s">
        <v>13</v>
      </c>
      <c r="C18625" s="1" t="str">
        <f t="shared" ref="C18625:C18636" si="927">"3차"</f>
        <v>3차</v>
      </c>
      <c r="D18625" s="1" t="str">
        <f>"9828Y99139"</f>
        <v>9828Y99139</v>
      </c>
      <c r="E18625" s="1" t="s">
        <v>10</v>
      </c>
      <c r="F18625" s="1" t="str">
        <f>"10.11.35.130"</f>
        <v>10.11.35.130</v>
      </c>
      <c r="G18625" s="1" t="str">
        <f>"9828Y991"</f>
        <v>9828Y991</v>
      </c>
      <c r="H18625" s="1" t="str">
        <f>"부암간 47"</f>
        <v>부암간 47</v>
      </c>
      <c r="I18625" s="1" t="s">
        <v>8</v>
      </c>
      <c r="J18625" s="1" t="str">
        <f>"27/27"</f>
        <v>27/27</v>
      </c>
      <c r="K18625" s="1" t="str">
        <f>"2026-07-29 13:18:13"</f>
        <v>2026-07-29 13:18:13</v>
      </c>
      <c r="L18625" s="1" t="str">
        <f>"2018-02-13 13:39:57"</f>
        <v>2018-02-13 13:39:57</v>
      </c>
      <c r="M18625" s="1" t="s">
        <v>2</v>
      </c>
      <c r="N18625" s="1" t="s">
        <v>38</v>
      </c>
      <c r="O18625" s="1" t="s">
        <v>46</v>
      </c>
    </row>
    <row r="18626" spans="2:15" x14ac:dyDescent="0.3">
      <c r="B18626" s="1" t="s">
        <v>13</v>
      </c>
      <c r="C18626" s="1" t="str">
        <f t="shared" si="927"/>
        <v>3차</v>
      </c>
      <c r="D18626" s="1" t="str">
        <f>"9828Z09239"</f>
        <v>9828Z09239</v>
      </c>
      <c r="E18626" s="1" t="s">
        <v>10</v>
      </c>
      <c r="F18626" s="1" t="str">
        <f>"10.11.16.170"</f>
        <v>10.11.16.170</v>
      </c>
      <c r="G18626" s="1" t="str">
        <f>"9828Z092"</f>
        <v>9828Z092</v>
      </c>
      <c r="H18626" s="1" t="str">
        <f>"부암간 47R1"</f>
        <v>부암간 47R1</v>
      </c>
      <c r="I18626" s="1" t="s">
        <v>8</v>
      </c>
      <c r="J18626" s="1" t="str">
        <f>"44/44"</f>
        <v>44/44</v>
      </c>
      <c r="K18626" s="1" t="str">
        <f>"2026-07-29 13:18:13"</f>
        <v>2026-07-29 13:18:13</v>
      </c>
      <c r="L18626" s="1" t="str">
        <f>"2018-02-26 19:54:37"</f>
        <v>2018-02-26 19:54:37</v>
      </c>
      <c r="M18626" s="1" t="s">
        <v>2</v>
      </c>
      <c r="N18626" s="1" t="s">
        <v>38</v>
      </c>
      <c r="O18626" s="1" t="s">
        <v>46</v>
      </c>
    </row>
    <row r="18627" spans="2:15" x14ac:dyDescent="0.3">
      <c r="B18627" s="1" t="s">
        <v>13</v>
      </c>
      <c r="C18627" s="1" t="str">
        <f t="shared" si="927"/>
        <v>3차</v>
      </c>
      <c r="D18627" s="1" t="str">
        <f>"9828Z12339"</f>
        <v>9828Z12339</v>
      </c>
      <c r="E18627" s="1" t="s">
        <v>10</v>
      </c>
      <c r="F18627" s="1" t="str">
        <f>"10.11.26.146"</f>
        <v>10.11.26.146</v>
      </c>
      <c r="G18627" s="1" t="str">
        <f>"9828Z123"</f>
        <v>9828Z123</v>
      </c>
      <c r="H18627" s="1" t="str">
        <f>"부암간 26"</f>
        <v>부암간 26</v>
      </c>
      <c r="I18627" s="1" t="s">
        <v>8</v>
      </c>
      <c r="J18627" s="1" t="str">
        <f>"1/1"</f>
        <v>1/1</v>
      </c>
      <c r="K18627" s="1" t="str">
        <f t="shared" ref="K18627:K18636" si="928">"2026-07-29 13:18:10"</f>
        <v>2026-07-29 13:18:10</v>
      </c>
      <c r="L18627" s="1" t="str">
        <f>"2017-12-07 17:04:02"</f>
        <v>2017-12-07 17:04:02</v>
      </c>
      <c r="M18627" s="1" t="s">
        <v>2</v>
      </c>
      <c r="N18627" s="1" t="s">
        <v>38</v>
      </c>
      <c r="O18627" s="1" t="s">
        <v>46</v>
      </c>
    </row>
    <row r="18628" spans="2:15" x14ac:dyDescent="0.3">
      <c r="B18628" s="1" t="s">
        <v>13</v>
      </c>
      <c r="C18628" s="1" t="str">
        <f t="shared" si="927"/>
        <v>3차</v>
      </c>
      <c r="D18628" s="1" t="str">
        <f>"9828Z18139"</f>
        <v>9828Z18139</v>
      </c>
      <c r="E18628" s="1" t="s">
        <v>10</v>
      </c>
      <c r="F18628" s="1" t="str">
        <f>"10.11.35.146"</f>
        <v>10.11.35.146</v>
      </c>
      <c r="G18628" s="1" t="str">
        <f>"9828Z181"</f>
        <v>9828Z181</v>
      </c>
      <c r="H18628" s="1" t="str">
        <f>"부암간 47R5"</f>
        <v>부암간 47R5</v>
      </c>
      <c r="I18628" s="1" t="s">
        <v>8</v>
      </c>
      <c r="J18628" s="1" t="str">
        <f>"56/60"</f>
        <v>56/60</v>
      </c>
      <c r="K18628" s="1" t="str">
        <f t="shared" si="928"/>
        <v>2026-07-29 13:18:10</v>
      </c>
      <c r="L18628" s="1" t="str">
        <f>"2018-02-13 12:55:43"</f>
        <v>2018-02-13 12:55:43</v>
      </c>
      <c r="M18628" s="1" t="s">
        <v>2</v>
      </c>
      <c r="N18628" s="1" t="s">
        <v>38</v>
      </c>
      <c r="O18628" s="1" t="s">
        <v>46</v>
      </c>
    </row>
    <row r="18629" spans="2:15" x14ac:dyDescent="0.3">
      <c r="B18629" s="1" t="s">
        <v>13</v>
      </c>
      <c r="C18629" s="1" t="str">
        <f t="shared" si="927"/>
        <v>3차</v>
      </c>
      <c r="D18629" s="1" t="str">
        <f>"9828Z22139"</f>
        <v>9828Z22139</v>
      </c>
      <c r="E18629" s="1" t="s">
        <v>10</v>
      </c>
      <c r="F18629" s="1" t="str">
        <f>"10.11.16.130"</f>
        <v>10.11.16.130</v>
      </c>
      <c r="G18629" s="1" t="str">
        <f>"9828Z221"</f>
        <v>9828Z221</v>
      </c>
      <c r="H18629" s="1" t="str">
        <f>"부암간 24R2"</f>
        <v>부암간 24R2</v>
      </c>
      <c r="I18629" s="1" t="s">
        <v>8</v>
      </c>
      <c r="J18629" s="1" t="str">
        <f>"10/10"</f>
        <v>10/10</v>
      </c>
      <c r="K18629" s="1" t="str">
        <f t="shared" si="928"/>
        <v>2026-07-29 13:18:10</v>
      </c>
      <c r="L18629" s="1" t="str">
        <f>"2018-03-21 10:15:04"</f>
        <v>2018-03-21 10:15:04</v>
      </c>
      <c r="M18629" s="1" t="s">
        <v>2</v>
      </c>
      <c r="N18629" s="1" t="s">
        <v>38</v>
      </c>
      <c r="O18629" s="1" t="s">
        <v>46</v>
      </c>
    </row>
    <row r="18630" spans="2:15" x14ac:dyDescent="0.3">
      <c r="B18630" s="1" t="s">
        <v>13</v>
      </c>
      <c r="C18630" s="1" t="str">
        <f t="shared" si="927"/>
        <v>3차</v>
      </c>
      <c r="D18630" s="1" t="str">
        <f>"9828Z28139"</f>
        <v>9828Z28139</v>
      </c>
      <c r="E18630" s="1" t="s">
        <v>10</v>
      </c>
      <c r="F18630" s="1" t="str">
        <f>"10.11.16.194"</f>
        <v>10.11.16.194</v>
      </c>
      <c r="G18630" s="1" t="str">
        <f>"9828Z281"</f>
        <v>9828Z281</v>
      </c>
      <c r="H18630" s="1" t="str">
        <f>"부암간 47R6"</f>
        <v>부암간 47R6</v>
      </c>
      <c r="I18630" s="1" t="s">
        <v>8</v>
      </c>
      <c r="J18630" s="1" t="str">
        <f>"32/32"</f>
        <v>32/32</v>
      </c>
      <c r="K18630" s="1" t="str">
        <f t="shared" si="928"/>
        <v>2026-07-29 13:18:10</v>
      </c>
      <c r="L18630" s="1" t="str">
        <f>"2018-05-17 17:01:42"</f>
        <v>2018-05-17 17:01:42</v>
      </c>
      <c r="M18630" s="1" t="s">
        <v>2</v>
      </c>
      <c r="N18630" s="1" t="s">
        <v>38</v>
      </c>
      <c r="O18630" s="1" t="s">
        <v>46</v>
      </c>
    </row>
    <row r="18631" spans="2:15" x14ac:dyDescent="0.3">
      <c r="B18631" s="1" t="s">
        <v>13</v>
      </c>
      <c r="C18631" s="1" t="str">
        <f t="shared" si="927"/>
        <v>3차</v>
      </c>
      <c r="D18631" s="1" t="str">
        <f>"9828Z29139"</f>
        <v>9828Z29139</v>
      </c>
      <c r="E18631" s="1" t="s">
        <v>10</v>
      </c>
      <c r="F18631" s="1" t="str">
        <f>"10.11.16.186"</f>
        <v>10.11.16.186</v>
      </c>
      <c r="G18631" s="1" t="str">
        <f>"9828Z291"</f>
        <v>9828Z291</v>
      </c>
      <c r="H18631" s="1" t="str">
        <f>"부암간 47R2A2"</f>
        <v>부암간 47R2A2</v>
      </c>
      <c r="I18631" s="1" t="s">
        <v>8</v>
      </c>
      <c r="J18631" s="1" t="str">
        <f>"73/73"</f>
        <v>73/73</v>
      </c>
      <c r="K18631" s="1" t="str">
        <f t="shared" si="928"/>
        <v>2026-07-29 13:18:10</v>
      </c>
      <c r="L18631" s="1" t="str">
        <f>"2018-02-26 19:55:38"</f>
        <v>2018-02-26 19:55:38</v>
      </c>
      <c r="M18631" s="1" t="s">
        <v>2</v>
      </c>
      <c r="N18631" s="1" t="s">
        <v>38</v>
      </c>
      <c r="O18631" s="1" t="s">
        <v>46</v>
      </c>
    </row>
    <row r="18632" spans="2:15" x14ac:dyDescent="0.3">
      <c r="B18632" s="1" t="s">
        <v>13</v>
      </c>
      <c r="C18632" s="1" t="str">
        <f t="shared" si="927"/>
        <v>3차</v>
      </c>
      <c r="D18632" s="1" t="str">
        <f>"9828Z32139"</f>
        <v>9828Z32139</v>
      </c>
      <c r="E18632" s="1" t="s">
        <v>10</v>
      </c>
      <c r="F18632" s="1" t="str">
        <f>"10.11.35.82"</f>
        <v>10.11.35.82</v>
      </c>
      <c r="G18632" s="1" t="str">
        <f>"9828Z321"</f>
        <v>9828Z321</v>
      </c>
      <c r="H18632" s="1" t="str">
        <f>"부암간 24R3"</f>
        <v>부암간 24R3</v>
      </c>
      <c r="I18632" s="1" t="s">
        <v>8</v>
      </c>
      <c r="J18632" s="1" t="str">
        <f>"10/10"</f>
        <v>10/10</v>
      </c>
      <c r="K18632" s="1" t="str">
        <f t="shared" si="928"/>
        <v>2026-07-29 13:18:10</v>
      </c>
      <c r="L18632" s="1" t="str">
        <f>"2018-02-13 12:16:43"</f>
        <v>2018-02-13 12:16:43</v>
      </c>
      <c r="M18632" s="1" t="s">
        <v>2</v>
      </c>
      <c r="N18632" s="1" t="s">
        <v>38</v>
      </c>
      <c r="O18632" s="1" t="s">
        <v>46</v>
      </c>
    </row>
    <row r="18633" spans="2:15" x14ac:dyDescent="0.3">
      <c r="B18633" s="1" t="s">
        <v>13</v>
      </c>
      <c r="C18633" s="1" t="str">
        <f t="shared" si="927"/>
        <v>3차</v>
      </c>
      <c r="D18633" s="1" t="str">
        <f>"9828Z33139"</f>
        <v>9828Z33139</v>
      </c>
      <c r="E18633" s="1" t="s">
        <v>10</v>
      </c>
      <c r="F18633" s="1" t="str">
        <f>"10.11.16.138"</f>
        <v>10.11.16.138</v>
      </c>
      <c r="G18633" s="1" t="str">
        <f>"9828Z331"</f>
        <v>9828Z331</v>
      </c>
      <c r="H18633" s="1" t="str">
        <f>"부암간 24R4"</f>
        <v>부암간 24R4</v>
      </c>
      <c r="I18633" s="1" t="s">
        <v>8</v>
      </c>
      <c r="J18633" s="1" t="str">
        <f>"19/19"</f>
        <v>19/19</v>
      </c>
      <c r="K18633" s="1" t="str">
        <f t="shared" si="928"/>
        <v>2026-07-29 13:18:10</v>
      </c>
      <c r="L18633" s="1" t="str">
        <f>"2018-02-26 19:57:08"</f>
        <v>2018-02-26 19:57:08</v>
      </c>
      <c r="M18633" s="1" t="s">
        <v>2</v>
      </c>
      <c r="N18633" s="1" t="s">
        <v>38</v>
      </c>
      <c r="O18633" s="1" t="s">
        <v>46</v>
      </c>
    </row>
    <row r="18634" spans="2:15" x14ac:dyDescent="0.3">
      <c r="B18634" s="1" t="s">
        <v>13</v>
      </c>
      <c r="C18634" s="1" t="str">
        <f t="shared" si="927"/>
        <v>3차</v>
      </c>
      <c r="D18634" s="1" t="str">
        <f>"9828Z34139"</f>
        <v>9828Z34139</v>
      </c>
      <c r="E18634" s="1" t="s">
        <v>10</v>
      </c>
      <c r="F18634" s="1" t="str">
        <f>"10.11.35.90"</f>
        <v>10.11.35.90</v>
      </c>
      <c r="G18634" s="1" t="str">
        <f>"9828Z341"</f>
        <v>9828Z341</v>
      </c>
      <c r="H18634" s="1" t="str">
        <f>"부암간 24R5"</f>
        <v>부암간 24R5</v>
      </c>
      <c r="I18634" s="1" t="s">
        <v>8</v>
      </c>
      <c r="J18634" s="1" t="str">
        <f>"14/14"</f>
        <v>14/14</v>
      </c>
      <c r="K18634" s="1" t="str">
        <f t="shared" si="928"/>
        <v>2026-07-29 13:18:10</v>
      </c>
      <c r="L18634" s="1" t="str">
        <f>"2018-02-13 12:23:26"</f>
        <v>2018-02-13 12:23:26</v>
      </c>
      <c r="M18634" s="1" t="s">
        <v>2</v>
      </c>
      <c r="N18634" s="1" t="s">
        <v>38</v>
      </c>
      <c r="O18634" s="1" t="s">
        <v>46</v>
      </c>
    </row>
    <row r="18635" spans="2:15" x14ac:dyDescent="0.3">
      <c r="B18635" s="1" t="s">
        <v>13</v>
      </c>
      <c r="C18635" s="1" t="str">
        <f t="shared" si="927"/>
        <v>3차</v>
      </c>
      <c r="D18635" s="1" t="str">
        <f>"9828Z37139"</f>
        <v>9828Z37139</v>
      </c>
      <c r="E18635" s="1" t="s">
        <v>10</v>
      </c>
      <c r="F18635" s="1" t="str">
        <f>"10.11.35.154"</f>
        <v>10.11.35.154</v>
      </c>
      <c r="G18635" s="1" t="str">
        <f>"9828Z371"</f>
        <v>9828Z371</v>
      </c>
      <c r="H18635" s="1" t="str">
        <f>"부암간 47R7L1"</f>
        <v>부암간 47R7L1</v>
      </c>
      <c r="I18635" s="1" t="s">
        <v>8</v>
      </c>
      <c r="J18635" s="1" t="str">
        <f>"9/20"</f>
        <v>9/20</v>
      </c>
      <c r="K18635" s="1" t="str">
        <f t="shared" si="928"/>
        <v>2026-07-29 13:18:10</v>
      </c>
      <c r="L18635" s="1" t="str">
        <f>"2018-02-13 12:52:58"</f>
        <v>2018-02-13 12:52:58</v>
      </c>
      <c r="M18635" s="1" t="s">
        <v>2</v>
      </c>
      <c r="N18635" s="1" t="s">
        <v>38</v>
      </c>
      <c r="O18635" s="1" t="s">
        <v>46</v>
      </c>
    </row>
    <row r="18636" spans="2:15" x14ac:dyDescent="0.3">
      <c r="B18636" s="1" t="s">
        <v>13</v>
      </c>
      <c r="C18636" s="1" t="str">
        <f t="shared" si="927"/>
        <v>3차</v>
      </c>
      <c r="D18636" s="1" t="str">
        <f>"9828Z38539"</f>
        <v>9828Z38539</v>
      </c>
      <c r="E18636" s="1" t="s">
        <v>10</v>
      </c>
      <c r="F18636" s="1" t="str">
        <f>"10.11.16.202"</f>
        <v>10.11.16.202</v>
      </c>
      <c r="G18636" s="1" t="str">
        <f>"9828Z385"</f>
        <v>9828Z385</v>
      </c>
      <c r="H18636" s="1" t="str">
        <f>"부암간 47R7L1H1"</f>
        <v>부암간 47R7L1H1</v>
      </c>
      <c r="I18636" s="1" t="s">
        <v>8</v>
      </c>
      <c r="J18636" s="1" t="str">
        <f>"21/21"</f>
        <v>21/21</v>
      </c>
      <c r="K18636" s="1" t="str">
        <f t="shared" si="928"/>
        <v>2026-07-29 13:18:10</v>
      </c>
      <c r="L18636" s="1" t="str">
        <f>"2018-02-26 19:58:08"</f>
        <v>2018-02-26 19:58:08</v>
      </c>
      <c r="M18636" s="1" t="s">
        <v>2</v>
      </c>
      <c r="N18636" s="1" t="s">
        <v>38</v>
      </c>
      <c r="O18636" s="1" t="s">
        <v>46</v>
      </c>
    </row>
    <row r="18637" spans="2:15" x14ac:dyDescent="0.3">
      <c r="B18637" s="1" t="s">
        <v>13</v>
      </c>
      <c r="C18637" s="1" t="str">
        <f>"5-1차"</f>
        <v>5-1차</v>
      </c>
      <c r="D18637" s="1" t="str">
        <f>"9828Z4125M"</f>
        <v>9828Z4125M</v>
      </c>
      <c r="E18637" s="1" t="s">
        <v>10</v>
      </c>
      <c r="F18637" s="1" t="str">
        <f>"fde2:104:0:99:0:0:0:2"</f>
        <v>fde2:104:0:99:0:0:0:2</v>
      </c>
      <c r="G18637" s="1" t="str">
        <f>"9828Z412"</f>
        <v>9828Z412</v>
      </c>
      <c r="H18637" s="1" t="str">
        <f>"부암간 21R3"</f>
        <v>부암간 21R3</v>
      </c>
      <c r="I18637" s="1" t="s">
        <v>15</v>
      </c>
      <c r="J18637" s="1" t="str">
        <f>"24/24"</f>
        <v>24/24</v>
      </c>
      <c r="K18637" s="1" t="str">
        <f>"2026-07-29 14:21:23"</f>
        <v>2026-07-29 14:21:23</v>
      </c>
      <c r="L18637" s="1" t="str">
        <f>"2022-11-16 15:17:10"</f>
        <v>2022-11-16 15:17:10</v>
      </c>
      <c r="M18637" s="1" t="s">
        <v>42</v>
      </c>
      <c r="N18637" s="1" t="s">
        <v>38</v>
      </c>
      <c r="O18637" s="1" t="s">
        <v>46</v>
      </c>
    </row>
    <row r="18638" spans="2:15" x14ac:dyDescent="0.3">
      <c r="B18638" s="1" t="s">
        <v>13</v>
      </c>
      <c r="C18638" s="1" t="str">
        <f>"3차"</f>
        <v>3차</v>
      </c>
      <c r="D18638" s="1" t="str">
        <f>"9828Z48139"</f>
        <v>9828Z48139</v>
      </c>
      <c r="E18638" s="1" t="s">
        <v>10</v>
      </c>
      <c r="F18638" s="1" t="str">
        <f>"10.11.35.162"</f>
        <v>10.11.35.162</v>
      </c>
      <c r="G18638" s="1" t="str">
        <f>"9828Z481"</f>
        <v>9828Z481</v>
      </c>
      <c r="H18638" s="1" t="str">
        <f>"부암간 47R7L3"</f>
        <v>부암간 47R7L3</v>
      </c>
      <c r="I18638" s="1" t="s">
        <v>8</v>
      </c>
      <c r="J18638" s="1" t="str">
        <f>"18/18"</f>
        <v>18/18</v>
      </c>
      <c r="K18638" s="1" t="str">
        <f>"2026-07-29 13:18:10"</f>
        <v>2026-07-29 13:18:10</v>
      </c>
      <c r="L18638" s="1" t="str">
        <f>"2018-02-13 12:48:27"</f>
        <v>2018-02-13 12:48:27</v>
      </c>
      <c r="M18638" s="1" t="s">
        <v>2</v>
      </c>
      <c r="N18638" s="1" t="s">
        <v>38</v>
      </c>
      <c r="O18638" s="1" t="s">
        <v>46</v>
      </c>
    </row>
    <row r="18639" spans="2:15" x14ac:dyDescent="0.3">
      <c r="B18639" s="1" t="s">
        <v>13</v>
      </c>
      <c r="C18639" s="1" t="str">
        <f>"5-1차"</f>
        <v>5-1차</v>
      </c>
      <c r="D18639" s="1" t="str">
        <f>"9828Z6015S"</f>
        <v>9828Z6015S</v>
      </c>
      <c r="E18639" s="1" t="s">
        <v>10</v>
      </c>
      <c r="F18639" s="1" t="str">
        <f>"fde2:104:0:1a4:0:0:0:2"</f>
        <v>fde2:104:0:1a4:0:0:0:2</v>
      </c>
      <c r="G18639" s="1" t="str">
        <f>"9828Z601"</f>
        <v>9828Z601</v>
      </c>
      <c r="H18639" s="1" t="str">
        <f>"부암간 21R7L1"</f>
        <v>부암간 21R7L1</v>
      </c>
      <c r="I18639" s="1" t="s">
        <v>15</v>
      </c>
      <c r="J18639" s="1" t="str">
        <f>"45/46"</f>
        <v>45/46</v>
      </c>
      <c r="K18639" s="1" t="str">
        <f>"2026-07-29 14:21:24"</f>
        <v>2026-07-29 14:21:24</v>
      </c>
      <c r="L18639" s="1" t="str">
        <f>"2022-11-16 15:26:13"</f>
        <v>2022-11-16 15:26:13</v>
      </c>
      <c r="M18639" s="1" t="s">
        <v>42</v>
      </c>
      <c r="N18639" s="1" t="s">
        <v>38</v>
      </c>
      <c r="O18639" s="1" t="s">
        <v>46</v>
      </c>
    </row>
    <row r="18640" spans="2:15" x14ac:dyDescent="0.3">
      <c r="B18640" s="1" t="s">
        <v>13</v>
      </c>
      <c r="C18640" s="1" t="str">
        <f>"3차"</f>
        <v>3차</v>
      </c>
      <c r="D18640" s="1" t="str">
        <f>"9829S66139"</f>
        <v>9829S66139</v>
      </c>
      <c r="E18640" s="1" t="s">
        <v>10</v>
      </c>
      <c r="F18640" s="1" t="str">
        <f>"10.11.12.26"</f>
        <v>10.11.12.26</v>
      </c>
      <c r="G18640" s="1" t="str">
        <f>"9829S661"</f>
        <v>9829S661</v>
      </c>
      <c r="H18640" s="1" t="str">
        <f>"구기지 28"</f>
        <v>구기지 28</v>
      </c>
      <c r="I18640" s="1" t="s">
        <v>8</v>
      </c>
      <c r="J18640" s="1" t="str">
        <f>"3/3"</f>
        <v>3/3</v>
      </c>
      <c r="K18640" s="1" t="str">
        <f>"2026-07-29 13:18:10"</f>
        <v>2026-07-29 13:18:10</v>
      </c>
      <c r="L18640" s="1" t="str">
        <f>"2017-12-11 13:44:00"</f>
        <v>2017-12-11 13:44:00</v>
      </c>
      <c r="M18640" s="1" t="s">
        <v>2</v>
      </c>
      <c r="N18640" s="1" t="s">
        <v>38</v>
      </c>
      <c r="O18640" s="1" t="s">
        <v>46</v>
      </c>
    </row>
    <row r="18641" spans="2:15" x14ac:dyDescent="0.3">
      <c r="B18641" s="1" t="s">
        <v>13</v>
      </c>
      <c r="C18641" s="1" t="str">
        <f>"3차"</f>
        <v>3차</v>
      </c>
      <c r="D18641" s="1" t="str">
        <f>"9829S70139"</f>
        <v>9829S70139</v>
      </c>
      <c r="E18641" s="1" t="s">
        <v>10</v>
      </c>
      <c r="F18641" s="1" t="str">
        <f>"10.11.12.18"</f>
        <v>10.11.12.18</v>
      </c>
      <c r="G18641" s="1" t="str">
        <f>"9829S701"</f>
        <v>9829S701</v>
      </c>
      <c r="H18641" s="1" t="str">
        <f>"구기지 20"</f>
        <v>구기지 20</v>
      </c>
      <c r="I18641" s="1" t="s">
        <v>8</v>
      </c>
      <c r="J18641" s="1" t="str">
        <f>"11/11"</f>
        <v>11/11</v>
      </c>
      <c r="K18641" s="1" t="str">
        <f>"2026-07-29 13:18:10"</f>
        <v>2026-07-29 13:18:10</v>
      </c>
      <c r="L18641" s="1" t="str">
        <f>"2018-02-26 18:53:37"</f>
        <v>2018-02-26 18:53:37</v>
      </c>
      <c r="M18641" s="1" t="s">
        <v>2</v>
      </c>
      <c r="N18641" s="1" t="s">
        <v>38</v>
      </c>
      <c r="O18641" s="1" t="s">
        <v>46</v>
      </c>
    </row>
    <row r="18642" spans="2:15" x14ac:dyDescent="0.3">
      <c r="B18642" s="1" t="s">
        <v>13</v>
      </c>
      <c r="C18642" s="1" t="str">
        <f>"3차"</f>
        <v>3차</v>
      </c>
      <c r="D18642" s="1" t="str">
        <f>"9829S82339"</f>
        <v>9829S82339</v>
      </c>
      <c r="E18642" s="1" t="s">
        <v>10</v>
      </c>
      <c r="F18642" s="1" t="str">
        <f>"10.11.30.82"</f>
        <v>10.11.30.82</v>
      </c>
      <c r="G18642" s="1" t="str">
        <f>"9829S823"</f>
        <v>9829S823</v>
      </c>
      <c r="H18642" s="1" t="str">
        <f>"구기지 22"</f>
        <v>구기지 22</v>
      </c>
      <c r="I18642" s="1" t="s">
        <v>8</v>
      </c>
      <c r="J18642" s="1" t="str">
        <f>"16/16"</f>
        <v>16/16</v>
      </c>
      <c r="K18642" s="1" t="str">
        <f>"2026-07-29 13:18:10"</f>
        <v>2026-07-29 13:18:10</v>
      </c>
      <c r="L18642" s="1" t="str">
        <f>"2021-07-27 13:49:56"</f>
        <v>2021-07-27 13:49:56</v>
      </c>
      <c r="M18642" s="1" t="s">
        <v>2</v>
      </c>
      <c r="N18642" s="1" t="s">
        <v>38</v>
      </c>
      <c r="O18642" s="1" t="s">
        <v>46</v>
      </c>
    </row>
    <row r="18643" spans="2:15" x14ac:dyDescent="0.3">
      <c r="B18643" s="1" t="s">
        <v>13</v>
      </c>
      <c r="C18643" s="1" t="str">
        <f>"5-2차"</f>
        <v>5-2차</v>
      </c>
      <c r="D18643" s="1" t="str">
        <f>"9925A0615S"</f>
        <v>9925A0615S</v>
      </c>
      <c r="E18643" s="1" t="s">
        <v>10</v>
      </c>
      <c r="F18643" s="1" t="str">
        <f>"fde1:103:4:5592:0:0:0:2"</f>
        <v>fde1:103:4:5592:0:0:0:2</v>
      </c>
      <c r="G18643" s="1" t="str">
        <f>"9925A061"</f>
        <v>9925A061</v>
      </c>
      <c r="H18643" s="1" t="str">
        <f>"합동간 7L10"</f>
        <v>합동간 7L10</v>
      </c>
      <c r="I18643" s="1" t="s">
        <v>15</v>
      </c>
      <c r="J18643" s="1" t="str">
        <f>"66/66"</f>
        <v>66/66</v>
      </c>
      <c r="K18643" s="1" t="str">
        <f>"2026-07-29 14:21:29"</f>
        <v>2026-07-29 14:21:29</v>
      </c>
      <c r="L18643" s="1" t="str">
        <f>"2023-08-25 16:55:30"</f>
        <v>2023-08-25 16:55:30</v>
      </c>
      <c r="M18643" s="1" t="s">
        <v>4</v>
      </c>
      <c r="N18643" s="1" t="s">
        <v>38</v>
      </c>
      <c r="O18643" s="1" t="s">
        <v>46</v>
      </c>
    </row>
    <row r="18644" spans="2:15" x14ac:dyDescent="0.3">
      <c r="B18644" s="1" t="s">
        <v>13</v>
      </c>
      <c r="C18644" s="1" t="str">
        <f>"5-2차"</f>
        <v>5-2차</v>
      </c>
      <c r="D18644" s="1" t="str">
        <f>"9925A1335M"</f>
        <v>9925A1335M</v>
      </c>
      <c r="E18644" s="1" t="s">
        <v>10</v>
      </c>
      <c r="F18644" s="1" t="str">
        <f>"fde1:103:4:5613:0:0:0:2"</f>
        <v>fde1:103:4:5613:0:0:0:2</v>
      </c>
      <c r="G18644" s="1" t="str">
        <f>"9925A133"</f>
        <v>9925A133</v>
      </c>
      <c r="H18644" s="1" t="str">
        <f>"중림지 4R3"</f>
        <v>중림지 4R3</v>
      </c>
      <c r="I18644" s="1" t="s">
        <v>15</v>
      </c>
      <c r="J18644" s="1" t="str">
        <f>"28/29"</f>
        <v>28/29</v>
      </c>
      <c r="K18644" s="1" t="str">
        <f>"2026-07-29 14:21:23"</f>
        <v>2026-07-29 14:21:23</v>
      </c>
      <c r="L18644" s="1" t="str">
        <f>"2023-08-25 16:56:02"</f>
        <v>2023-08-25 16:56:02</v>
      </c>
      <c r="M18644" s="1" t="s">
        <v>4</v>
      </c>
      <c r="N18644" s="1" t="s">
        <v>38</v>
      </c>
      <c r="O18644" s="1" t="s">
        <v>46</v>
      </c>
    </row>
    <row r="18645" spans="2:15" x14ac:dyDescent="0.3">
      <c r="B18645" s="1" t="s">
        <v>13</v>
      </c>
      <c r="C18645" s="1" t="str">
        <f>"5-2차"</f>
        <v>5-2차</v>
      </c>
      <c r="D18645" s="1" t="str">
        <f>"9925A2325M"</f>
        <v>9925A2325M</v>
      </c>
      <c r="E18645" s="1" t="s">
        <v>10</v>
      </c>
      <c r="F18645" s="1" t="str">
        <f>"fde1:103:4:5689:0:0:0:2"</f>
        <v>fde1:103:4:5689:0:0:0:2</v>
      </c>
      <c r="G18645" s="1" t="str">
        <f>"9925A232"</f>
        <v>9925A232</v>
      </c>
      <c r="H18645" s="1" t="str">
        <f>"중림지 4R5"</f>
        <v>중림지 4R5</v>
      </c>
      <c r="I18645" s="1" t="s">
        <v>15</v>
      </c>
      <c r="J18645" s="1" t="str">
        <f>"65/65"</f>
        <v>65/65</v>
      </c>
      <c r="K18645" s="1" t="str">
        <f>"2026-07-29 14:21:29"</f>
        <v>2026-07-29 14:21:29</v>
      </c>
      <c r="L18645" s="1" t="str">
        <f>"2024-02-28 17:59:36"</f>
        <v>2024-02-28 17:59:36</v>
      </c>
      <c r="M18645" s="1" t="s">
        <v>4</v>
      </c>
      <c r="N18645" s="1" t="s">
        <v>38</v>
      </c>
      <c r="O18645" s="1" t="s">
        <v>46</v>
      </c>
    </row>
    <row r="18646" spans="2:15" x14ac:dyDescent="0.3">
      <c r="B18646" s="1" t="s">
        <v>13</v>
      </c>
      <c r="C18646" s="1" t="str">
        <f>"5-2차"</f>
        <v>5-2차</v>
      </c>
      <c r="D18646" s="1" t="str">
        <f>"9925A4525M"</f>
        <v>9925A4525M</v>
      </c>
      <c r="E18646" s="1" t="s">
        <v>10</v>
      </c>
      <c r="F18646" s="1" t="str">
        <f>"fde1:103:4:55b8:0:0:0:2"</f>
        <v>fde1:103:4:55b8:0:0:0:2</v>
      </c>
      <c r="G18646" s="1" t="str">
        <f>"9925A452"</f>
        <v>9925A452</v>
      </c>
      <c r="H18646" s="1" t="str">
        <f>"만리간 4"</f>
        <v>만리간 4</v>
      </c>
      <c r="I18646" s="1" t="s">
        <v>15</v>
      </c>
      <c r="J18646" s="1" t="str">
        <f>"40/41"</f>
        <v>40/41</v>
      </c>
      <c r="K18646" s="1" t="str">
        <f>"2026-07-29 14:21:29"</f>
        <v>2026-07-29 14:21:29</v>
      </c>
      <c r="L18646" s="1" t="str">
        <f>"2023-08-25 16:56:33"</f>
        <v>2023-08-25 16:56:33</v>
      </c>
      <c r="M18646" s="1" t="s">
        <v>4</v>
      </c>
      <c r="N18646" s="1" t="s">
        <v>38</v>
      </c>
      <c r="O18646" s="1" t="s">
        <v>46</v>
      </c>
    </row>
    <row r="18647" spans="2:15" x14ac:dyDescent="0.3">
      <c r="B18647" s="1" t="s">
        <v>13</v>
      </c>
      <c r="C18647" s="1" t="str">
        <f t="shared" ref="C18647:C18654" si="929">"4차"</f>
        <v>4차</v>
      </c>
      <c r="D18647" s="1" t="str">
        <f>"9925A83139"</f>
        <v>9925A83139</v>
      </c>
      <c r="E18647" s="1" t="s">
        <v>10</v>
      </c>
      <c r="F18647" s="1" t="str">
        <f>"10.12.130.182"</f>
        <v>10.12.130.182</v>
      </c>
      <c r="G18647" s="1" t="str">
        <f>"9925A831"</f>
        <v>9925A831</v>
      </c>
      <c r="H18647" s="1" t="str">
        <f>"염천로 7-1"</f>
        <v>염천로 7-1</v>
      </c>
      <c r="I18647" s="1" t="s">
        <v>17</v>
      </c>
      <c r="J18647" s="1" t="str">
        <f>"24/24"</f>
        <v>24/24</v>
      </c>
      <c r="K18647" s="1" t="str">
        <f>"2026-07-29 13:18:11"</f>
        <v>2026-07-29 13:18:11</v>
      </c>
      <c r="L18647" s="1" t="str">
        <f>"2018-06-11 13:42:44"</f>
        <v>2018-06-11 13:42:44</v>
      </c>
      <c r="M18647" s="1" t="s">
        <v>0</v>
      </c>
      <c r="N18647" s="1" t="s">
        <v>38</v>
      </c>
      <c r="O18647" s="1" t="s">
        <v>46</v>
      </c>
    </row>
    <row r="18648" spans="2:15" x14ac:dyDescent="0.3">
      <c r="B18648" s="1" t="s">
        <v>13</v>
      </c>
      <c r="C18648" s="1" t="str">
        <f t="shared" si="929"/>
        <v>4차</v>
      </c>
      <c r="D18648" s="1" t="str">
        <f>"9925A91239"</f>
        <v>9925A91239</v>
      </c>
      <c r="E18648" s="1" t="s">
        <v>10</v>
      </c>
      <c r="F18648" s="1" t="str">
        <f>"10.12.133.52"</f>
        <v>10.12.133.52</v>
      </c>
      <c r="G18648" s="1" t="str">
        <f>"9925A912"</f>
        <v>9925A912</v>
      </c>
      <c r="H18648" s="1" t="str">
        <f>"염천로 1"</f>
        <v>염천로 1</v>
      </c>
      <c r="I18648" s="1" t="s">
        <v>17</v>
      </c>
      <c r="J18648" s="1" t="str">
        <f>"3/3"</f>
        <v>3/3</v>
      </c>
      <c r="K18648" s="1" t="str">
        <f>"2026-07-29 13:18:13"</f>
        <v>2026-07-29 13:18:13</v>
      </c>
      <c r="L18648" s="1" t="str">
        <f>"2018-06-11 13:37:35"</f>
        <v>2018-06-11 13:37:35</v>
      </c>
      <c r="M18648" s="1" t="s">
        <v>0</v>
      </c>
      <c r="N18648" s="1" t="s">
        <v>38</v>
      </c>
      <c r="O18648" s="1" t="s">
        <v>46</v>
      </c>
    </row>
    <row r="18649" spans="2:15" x14ac:dyDescent="0.3">
      <c r="B18649" s="1" t="s">
        <v>13</v>
      </c>
      <c r="C18649" s="1" t="str">
        <f t="shared" si="929"/>
        <v>4차</v>
      </c>
      <c r="D18649" s="1" t="str">
        <f>"9925A92139"</f>
        <v>9925A92139</v>
      </c>
      <c r="E18649" s="1" t="s">
        <v>14</v>
      </c>
      <c r="F18649" s="1" t="str">
        <f>"10.12.134.93"</f>
        <v>10.12.134.93</v>
      </c>
      <c r="G18649" s="1" t="str">
        <f>"9925A921"</f>
        <v>9925A921</v>
      </c>
      <c r="H18649" s="1" t="str">
        <f>"염천로 3"</f>
        <v>염천로 3</v>
      </c>
      <c r="I18649" s="1" t="s">
        <v>17</v>
      </c>
      <c r="J18649" s="1" t="str">
        <f>"0/0"</f>
        <v>0/0</v>
      </c>
      <c r="K18649" s="1" t="str">
        <f>"2026-07-28 13:18:11"</f>
        <v>2026-07-28 13:18:11</v>
      </c>
      <c r="L18649" s="1" t="str">
        <f>"2018-06-11 13:07:30"</f>
        <v>2018-06-11 13:07:30</v>
      </c>
      <c r="M18649" s="1" t="s">
        <v>0</v>
      </c>
      <c r="N18649" s="1" t="s">
        <v>39</v>
      </c>
      <c r="O18649" s="1" t="s">
        <v>46</v>
      </c>
    </row>
    <row r="18650" spans="2:15" x14ac:dyDescent="0.3">
      <c r="B18650" s="1" t="s">
        <v>13</v>
      </c>
      <c r="C18650" s="1" t="str">
        <f t="shared" si="929"/>
        <v>4차</v>
      </c>
      <c r="D18650" s="1" t="str">
        <f>"9925A92239"</f>
        <v>9925A92239</v>
      </c>
      <c r="E18650" s="1" t="str">
        <f>"검침실패(3시간 이상)"</f>
        <v>검침실패(3시간 이상)</v>
      </c>
      <c r="F18650" s="1" t="str">
        <f>"10.12.133.49"</f>
        <v>10.12.133.49</v>
      </c>
      <c r="G18650" s="1" t="str">
        <f>"9925A922"</f>
        <v>9925A922</v>
      </c>
      <c r="H18650" s="1" t="str">
        <f>"염천로 4"</f>
        <v>염천로 4</v>
      </c>
      <c r="I18650" s="1" t="s">
        <v>17</v>
      </c>
      <c r="J18650" s="1" t="str">
        <f>"0/1"</f>
        <v>0/1</v>
      </c>
      <c r="K18650" s="1" t="str">
        <f>"2026-07-29 13:18:11"</f>
        <v>2026-07-29 13:18:11</v>
      </c>
      <c r="L18650" s="1" t="str">
        <f>"2018-06-12 10:19:41"</f>
        <v>2018-06-12 10:19:41</v>
      </c>
      <c r="M18650" s="1" t="s">
        <v>0</v>
      </c>
      <c r="N18650" s="1" t="s">
        <v>38</v>
      </c>
      <c r="O18650" s="1" t="s">
        <v>46</v>
      </c>
    </row>
    <row r="18651" spans="2:15" x14ac:dyDescent="0.3">
      <c r="B18651" s="1" t="s">
        <v>13</v>
      </c>
      <c r="C18651" s="1" t="str">
        <f t="shared" si="929"/>
        <v>4차</v>
      </c>
      <c r="D18651" s="1" t="str">
        <f>"9925B02239"</f>
        <v>9925B02239</v>
      </c>
      <c r="E18651" s="1" t="s">
        <v>14</v>
      </c>
      <c r="F18651" s="1" t="str">
        <f>"10.12.132.208"</f>
        <v>10.12.132.208</v>
      </c>
      <c r="G18651" s="1" t="str">
        <f>"9925B022"</f>
        <v>9925B022</v>
      </c>
      <c r="H18651" s="1" t="str">
        <f>"염천로 5-2"</f>
        <v>염천로 5-2</v>
      </c>
      <c r="I18651" s="1" t="s">
        <v>17</v>
      </c>
      <c r="J18651" s="1" t="str">
        <f>"0/0"</f>
        <v>0/0</v>
      </c>
      <c r="K18651" s="1" t="str">
        <f>"2026-07-28 13:18:11"</f>
        <v>2026-07-28 13:18:11</v>
      </c>
      <c r="L18651" s="1" t="str">
        <f>"2018-06-12 10:39:43"</f>
        <v>2018-06-12 10:39:43</v>
      </c>
      <c r="M18651" s="1" t="s">
        <v>0</v>
      </c>
      <c r="N18651" s="1" t="s">
        <v>39</v>
      </c>
      <c r="O18651" s="1" t="s">
        <v>46</v>
      </c>
    </row>
    <row r="18652" spans="2:15" x14ac:dyDescent="0.3">
      <c r="B18652" s="1" t="s">
        <v>13</v>
      </c>
      <c r="C18652" s="1" t="str">
        <f t="shared" si="929"/>
        <v>4차</v>
      </c>
      <c r="D18652" s="1" t="str">
        <f>"9925B02939"</f>
        <v>9925B02939</v>
      </c>
      <c r="E18652" s="1" t="s">
        <v>10</v>
      </c>
      <c r="F18652" s="1" t="str">
        <f>"10.12.134.159"</f>
        <v>10.12.134.159</v>
      </c>
      <c r="G18652" s="1" t="str">
        <f>"9925B029"</f>
        <v>9925B029</v>
      </c>
      <c r="H18652" s="1" t="str">
        <f>"염천로 5-1"</f>
        <v>염천로 5-1</v>
      </c>
      <c r="I18652" s="1" t="s">
        <v>17</v>
      </c>
      <c r="J18652" s="1" t="str">
        <f>"10/10"</f>
        <v>10/10</v>
      </c>
      <c r="K18652" s="1" t="str">
        <f>"2026-07-29 07:18:03"</f>
        <v>2026-07-29 07:18:03</v>
      </c>
      <c r="L18652" s="1" t="str">
        <f>"2018-06-12 10:48:41"</f>
        <v>2018-06-12 10:48:41</v>
      </c>
      <c r="M18652" s="1" t="s">
        <v>0</v>
      </c>
      <c r="N18652" s="1" t="s">
        <v>38</v>
      </c>
      <c r="O18652" s="1" t="s">
        <v>46</v>
      </c>
    </row>
    <row r="18653" spans="2:15" x14ac:dyDescent="0.3">
      <c r="B18653" s="1" t="s">
        <v>13</v>
      </c>
      <c r="C18653" s="1" t="str">
        <f t="shared" si="929"/>
        <v>4차</v>
      </c>
      <c r="D18653" s="1" t="str">
        <f>"9925B12439"</f>
        <v>9925B12439</v>
      </c>
      <c r="E18653" s="1" t="s">
        <v>10</v>
      </c>
      <c r="F18653" s="1" t="str">
        <f>"10.12.133.41"</f>
        <v>10.12.133.41</v>
      </c>
      <c r="G18653" s="1" t="str">
        <f>"9925B124"</f>
        <v>9925B124</v>
      </c>
      <c r="H18653" s="1" t="str">
        <f>"양동로 9"</f>
        <v>양동로 9</v>
      </c>
      <c r="I18653" s="1" t="s">
        <v>17</v>
      </c>
      <c r="J18653" s="1" t="str">
        <f>"5/5"</f>
        <v>5/5</v>
      </c>
      <c r="K18653" s="1" t="str">
        <f>"2026-07-29 07:18:11"</f>
        <v>2026-07-29 07:18:11</v>
      </c>
      <c r="L18653" s="1" t="str">
        <f>"2018-06-11 11:53:43"</f>
        <v>2018-06-11 11:53:43</v>
      </c>
      <c r="M18653" s="1" t="s">
        <v>0</v>
      </c>
      <c r="N18653" s="1" t="s">
        <v>38</v>
      </c>
      <c r="O18653" s="1" t="s">
        <v>46</v>
      </c>
    </row>
    <row r="18654" spans="2:15" x14ac:dyDescent="0.3">
      <c r="B18654" s="1" t="s">
        <v>13</v>
      </c>
      <c r="C18654" s="1" t="str">
        <f t="shared" si="929"/>
        <v>4차</v>
      </c>
      <c r="D18654" s="1" t="str">
        <f>"9925B24139"</f>
        <v>9925B24139</v>
      </c>
      <c r="E18654" s="1" t="s">
        <v>12</v>
      </c>
      <c r="F18654" s="1" t="str">
        <f>"10.12.137.73"</f>
        <v>10.12.137.73</v>
      </c>
      <c r="G18654" s="1" t="str">
        <f>"9925B241"</f>
        <v>9925B241</v>
      </c>
      <c r="H18654" s="1" t="str">
        <f>"남대문로 3"</f>
        <v>남대문로 3</v>
      </c>
      <c r="I18654" s="1" t="s">
        <v>17</v>
      </c>
      <c r="J18654" s="1" t="str">
        <f>"0/1"</f>
        <v>0/1</v>
      </c>
      <c r="K18654" s="1" t="str">
        <f>"2026-06-15 13:18:13"</f>
        <v>2026-06-15 13:18:13</v>
      </c>
      <c r="L18654" s="1" t="str">
        <f>"2018-06-16 09:25:42"</f>
        <v>2018-06-16 09:25:42</v>
      </c>
      <c r="M18654" s="1" t="s">
        <v>0</v>
      </c>
      <c r="N18654" s="1" t="s">
        <v>38</v>
      </c>
      <c r="O18654" s="1" t="s">
        <v>46</v>
      </c>
    </row>
    <row r="18655" spans="2:15" x14ac:dyDescent="0.3">
      <c r="B18655" s="1" t="s">
        <v>13</v>
      </c>
      <c r="C18655" s="1" t="str">
        <f>"3차"</f>
        <v>3차</v>
      </c>
      <c r="D18655" s="1" t="str">
        <f>"9925B34139"</f>
        <v>9925B34139</v>
      </c>
      <c r="E18655" s="1" t="s">
        <v>10</v>
      </c>
      <c r="F18655" s="1" t="str">
        <f>"10.12.137.85"</f>
        <v>10.12.137.85</v>
      </c>
      <c r="G18655" s="1" t="str">
        <f>"9925B341"</f>
        <v>9925B341</v>
      </c>
      <c r="H18655" s="1" t="str">
        <f>"남대문로 5"</f>
        <v>남대문로 5</v>
      </c>
      <c r="I18655" s="1" t="s">
        <v>17</v>
      </c>
      <c r="J18655" s="1" t="str">
        <f>"6/6"</f>
        <v>6/6</v>
      </c>
      <c r="K18655" s="1" t="str">
        <f>"2026-07-29 13:18:11"</f>
        <v>2026-07-29 13:18:11</v>
      </c>
      <c r="L18655" s="1" t="str">
        <f>"2018-06-16 09:37:27"</f>
        <v>2018-06-16 09:37:27</v>
      </c>
      <c r="M18655" s="1" t="s">
        <v>0</v>
      </c>
      <c r="N18655" s="1" t="s">
        <v>38</v>
      </c>
      <c r="O18655" s="1" t="s">
        <v>46</v>
      </c>
    </row>
    <row r="18656" spans="2:15" x14ac:dyDescent="0.3">
      <c r="B18656" s="1" t="s">
        <v>13</v>
      </c>
      <c r="C18656" s="1" t="str">
        <f>"4차"</f>
        <v>4차</v>
      </c>
      <c r="D18656" s="1" t="str">
        <f>"9925B52139"</f>
        <v>9925B52139</v>
      </c>
      <c r="E18656" s="1" t="s">
        <v>14</v>
      </c>
      <c r="F18656" s="1" t="str">
        <f>"10.12.137.71"</f>
        <v>10.12.137.71</v>
      </c>
      <c r="G18656" s="1" t="str">
        <f>"9925B521"</f>
        <v>9925B521</v>
      </c>
      <c r="H18656" s="1" t="str">
        <f>"남문로 1-2"</f>
        <v>남문로 1-2</v>
      </c>
      <c r="I18656" s="1" t="s">
        <v>17</v>
      </c>
      <c r="J18656" s="1" t="str">
        <f>"0/0"</f>
        <v>0/0</v>
      </c>
      <c r="K18656" s="1" t="str">
        <f>"2026-06-10 07:18:12"</f>
        <v>2026-06-10 07:18:12</v>
      </c>
      <c r="L18656" s="1" t="str">
        <f>"2018-06-21 08:58:54"</f>
        <v>2018-06-21 08:58:54</v>
      </c>
      <c r="M18656" s="1" t="s">
        <v>0</v>
      </c>
      <c r="N18656" s="1" t="s">
        <v>39</v>
      </c>
      <c r="O18656" s="1" t="s">
        <v>46</v>
      </c>
    </row>
    <row r="18657" spans="2:15" x14ac:dyDescent="0.3">
      <c r="B18657" s="1" t="s">
        <v>13</v>
      </c>
      <c r="C18657" s="1" t="str">
        <f>"6차"</f>
        <v>6차</v>
      </c>
      <c r="D18657" s="1" t="str">
        <f>"9925B5336S"</f>
        <v>9925B5336S</v>
      </c>
      <c r="E18657" s="1" t="s">
        <v>10</v>
      </c>
      <c r="F18657" s="1" t="str">
        <f>"fde1:103:4:c5ae:0:0:0:2"</f>
        <v>fde1:103:4:c5ae:0:0:0:2</v>
      </c>
      <c r="G18657" s="1" t="str">
        <f>"9925B533"</f>
        <v>9925B533</v>
      </c>
      <c r="H18657" s="1" t="str">
        <f>"양동지 6"</f>
        <v>양동지 6</v>
      </c>
      <c r="I18657" s="1" t="s">
        <v>15</v>
      </c>
      <c r="J18657" s="1" t="str">
        <f>"23/23"</f>
        <v>23/23</v>
      </c>
      <c r="K18657" s="1" t="str">
        <f>"2026-07-29 14:21:31"</f>
        <v>2026-07-29 14:21:31</v>
      </c>
      <c r="L18657" s="1" t="str">
        <f>"2024-11-19 11:39:07"</f>
        <v>2024-11-19 11:39:07</v>
      </c>
      <c r="M18657" s="1" t="s">
        <v>4</v>
      </c>
      <c r="N18657" s="1" t="s">
        <v>38</v>
      </c>
      <c r="O18657" s="1" t="s">
        <v>46</v>
      </c>
    </row>
    <row r="18658" spans="2:15" x14ac:dyDescent="0.3">
      <c r="B18658" s="1" t="s">
        <v>13</v>
      </c>
      <c r="C18658" s="1" t="str">
        <f t="shared" ref="C18658:C18665" si="930">"4차"</f>
        <v>4차</v>
      </c>
      <c r="D18658" s="1" t="str">
        <f>"9925B63639"</f>
        <v>9925B63639</v>
      </c>
      <c r="E18658" s="1" t="s">
        <v>10</v>
      </c>
      <c r="F18658" s="1" t="str">
        <f>"10.12.137.72"</f>
        <v>10.12.137.72</v>
      </c>
      <c r="G18658" s="1" t="str">
        <f>"9925B636"</f>
        <v>9925B636</v>
      </c>
      <c r="H18658" s="1" t="str">
        <f>"남문로 1"</f>
        <v>남문로 1</v>
      </c>
      <c r="I18658" s="1" t="s">
        <v>17</v>
      </c>
      <c r="J18658" s="1" t="str">
        <f>"9/9"</f>
        <v>9/9</v>
      </c>
      <c r="K18658" s="1" t="str">
        <f>"2026-07-29 13:18:11"</f>
        <v>2026-07-29 13:18:11</v>
      </c>
      <c r="L18658" s="1" t="str">
        <f>"2018-06-15 15:14:28"</f>
        <v>2018-06-15 15:14:28</v>
      </c>
      <c r="M18658" s="1" t="s">
        <v>0</v>
      </c>
      <c r="N18658" s="1" t="s">
        <v>38</v>
      </c>
      <c r="O18658" s="1" t="s">
        <v>46</v>
      </c>
    </row>
    <row r="18659" spans="2:15" x14ac:dyDescent="0.3">
      <c r="B18659" s="1" t="s">
        <v>13</v>
      </c>
      <c r="C18659" s="1" t="str">
        <f t="shared" si="930"/>
        <v>4차</v>
      </c>
      <c r="D18659" s="1" t="str">
        <f>"9925B67145"</f>
        <v>9925B67145</v>
      </c>
      <c r="E18659" s="1" t="s">
        <v>10</v>
      </c>
      <c r="F18659" s="1" t="str">
        <f>"10.14.1.34"</f>
        <v>10.14.1.34</v>
      </c>
      <c r="G18659" s="1" t="str">
        <f>"9925B671"</f>
        <v>9925B671</v>
      </c>
      <c r="H18659" s="1" t="str">
        <f>"남대문로 R1"</f>
        <v>남대문로 R1</v>
      </c>
      <c r="I18659" s="1" t="s">
        <v>17</v>
      </c>
      <c r="J18659" s="1" t="str">
        <f>"7/7"</f>
        <v>7/7</v>
      </c>
      <c r="K18659" s="1" t="str">
        <f>"2026-07-29 13:18:14"</f>
        <v>2026-07-29 13:18:14</v>
      </c>
      <c r="L18659" s="1" t="str">
        <f>"2021-06-30 09:17:15"</f>
        <v>2021-06-30 09:17:15</v>
      </c>
      <c r="M18659" s="1" t="s">
        <v>3</v>
      </c>
      <c r="N18659" s="1" t="s">
        <v>38</v>
      </c>
      <c r="O18659" s="1" t="s">
        <v>46</v>
      </c>
    </row>
    <row r="18660" spans="2:15" x14ac:dyDescent="0.3">
      <c r="B18660" s="1" t="s">
        <v>13</v>
      </c>
      <c r="C18660" s="1" t="str">
        <f t="shared" si="930"/>
        <v>4차</v>
      </c>
      <c r="D18660" s="1" t="str">
        <f>"9925B72139"</f>
        <v>9925B72139</v>
      </c>
      <c r="E18660" s="1" t="s">
        <v>10</v>
      </c>
      <c r="F18660" s="1" t="str">
        <f>"10.12.133.23"</f>
        <v>10.12.133.23</v>
      </c>
      <c r="G18660" s="1" t="str">
        <f>"9925B721"</f>
        <v>9925B721</v>
      </c>
      <c r="H18660" s="1" t="str">
        <f>"남산로 1-4"</f>
        <v>남산로 1-4</v>
      </c>
      <c r="I18660" s="1" t="s">
        <v>17</v>
      </c>
      <c r="J18660" s="1" t="str">
        <f>"10/35"</f>
        <v>10/35</v>
      </c>
      <c r="K18660" s="1" t="str">
        <f>"2026-07-29 13:18:13"</f>
        <v>2026-07-29 13:18:13</v>
      </c>
      <c r="L18660" s="1" t="str">
        <f>"2018-07-26 16:46:28"</f>
        <v>2018-07-26 16:46:28</v>
      </c>
      <c r="M18660" s="1" t="s">
        <v>0</v>
      </c>
      <c r="N18660" s="1" t="s">
        <v>38</v>
      </c>
      <c r="O18660" s="1" t="s">
        <v>46</v>
      </c>
    </row>
    <row r="18661" spans="2:15" x14ac:dyDescent="0.3">
      <c r="B18661" s="1" t="s">
        <v>13</v>
      </c>
      <c r="C18661" s="1" t="str">
        <f t="shared" si="930"/>
        <v>4차</v>
      </c>
      <c r="D18661" s="1" t="str">
        <f>"9925B75739"</f>
        <v>9925B75739</v>
      </c>
      <c r="E18661" s="1" t="s">
        <v>10</v>
      </c>
      <c r="F18661" s="1" t="str">
        <f>"10.12.133.45"</f>
        <v>10.12.133.45</v>
      </c>
      <c r="G18661" s="1" t="str">
        <f>"9925B757"</f>
        <v>9925B757</v>
      </c>
      <c r="H18661" s="1" t="str">
        <f>"남문로 6"</f>
        <v>남문로 6</v>
      </c>
      <c r="I18661" s="1" t="s">
        <v>17</v>
      </c>
      <c r="J18661" s="1" t="str">
        <f>"39/39"</f>
        <v>39/39</v>
      </c>
      <c r="K18661" s="1" t="str">
        <f>"2026-07-29 13:18:12"</f>
        <v>2026-07-29 13:18:12</v>
      </c>
      <c r="L18661" s="1" t="str">
        <f>"2018-06-16 10:23:25"</f>
        <v>2018-06-16 10:23:25</v>
      </c>
      <c r="M18661" s="1" t="s">
        <v>0</v>
      </c>
      <c r="N18661" s="1" t="s">
        <v>38</v>
      </c>
      <c r="O18661" s="1" t="s">
        <v>46</v>
      </c>
    </row>
    <row r="18662" spans="2:15" x14ac:dyDescent="0.3">
      <c r="B18662" s="1" t="s">
        <v>13</v>
      </c>
      <c r="C18662" s="1" t="str">
        <f t="shared" si="930"/>
        <v>4차</v>
      </c>
      <c r="D18662" s="1" t="str">
        <f>"9925B75939"</f>
        <v>9925B75939</v>
      </c>
      <c r="E18662" s="1" t="s">
        <v>14</v>
      </c>
      <c r="F18662" s="1" t="str">
        <f>"10.12.133.79"</f>
        <v>10.12.133.79</v>
      </c>
      <c r="G18662" s="1" t="str">
        <f>"9925B759"</f>
        <v>9925B759</v>
      </c>
      <c r="H18662" s="1" t="str">
        <f>"남문로 4"</f>
        <v>남문로 4</v>
      </c>
      <c r="I18662" s="1" t="s">
        <v>17</v>
      </c>
      <c r="J18662" s="1" t="str">
        <f>"0/0"</f>
        <v>0/0</v>
      </c>
      <c r="K18662" s="1" t="str">
        <f>"2026-07-28 13:18:11"</f>
        <v>2026-07-28 13:18:11</v>
      </c>
      <c r="L18662" s="1" t="str">
        <f>"2018-06-16 11:10:28"</f>
        <v>2018-06-16 11:10:28</v>
      </c>
      <c r="M18662" s="1" t="s">
        <v>0</v>
      </c>
      <c r="N18662" s="1" t="s">
        <v>39</v>
      </c>
      <c r="O18662" s="1" t="s">
        <v>46</v>
      </c>
    </row>
    <row r="18663" spans="2:15" x14ac:dyDescent="0.3">
      <c r="B18663" s="1" t="s">
        <v>13</v>
      </c>
      <c r="C18663" s="1" t="str">
        <f t="shared" si="930"/>
        <v>4차</v>
      </c>
      <c r="D18663" s="1" t="str">
        <f>"9925B75A39"</f>
        <v>9925B75A39</v>
      </c>
      <c r="E18663" s="1" t="str">
        <f>"검침실패(3시간 이상)"</f>
        <v>검침실패(3시간 이상)</v>
      </c>
      <c r="F18663" s="1" t="str">
        <f>"10.12.134.16"</f>
        <v>10.12.134.16</v>
      </c>
      <c r="G18663" s="1" t="str">
        <f>"9925B75A"</f>
        <v>9925B75A</v>
      </c>
      <c r="H18663" s="1" t="str">
        <f>"남문로 3"</f>
        <v>남문로 3</v>
      </c>
      <c r="I18663" s="1" t="s">
        <v>17</v>
      </c>
      <c r="J18663" s="1" t="str">
        <f>"0/19"</f>
        <v>0/19</v>
      </c>
      <c r="K18663" s="1" t="str">
        <f>"2026-07-29 13:18:15"</f>
        <v>2026-07-29 13:18:15</v>
      </c>
      <c r="L18663" s="1" t="str">
        <f>"2018-06-16 11:00:13"</f>
        <v>2018-06-16 11:00:13</v>
      </c>
      <c r="M18663" s="1" t="s">
        <v>0</v>
      </c>
      <c r="N18663" s="1" t="s">
        <v>38</v>
      </c>
      <c r="O18663" s="1" t="s">
        <v>46</v>
      </c>
    </row>
    <row r="18664" spans="2:15" x14ac:dyDescent="0.3">
      <c r="B18664" s="1" t="s">
        <v>13</v>
      </c>
      <c r="C18664" s="1" t="str">
        <f t="shared" si="930"/>
        <v>4차</v>
      </c>
      <c r="D18664" s="1" t="str">
        <f>"9925B75B39"</f>
        <v>9925B75B39</v>
      </c>
      <c r="E18664" s="1" t="str">
        <f>"검침실패(3시간 이상)"</f>
        <v>검침실패(3시간 이상)</v>
      </c>
      <c r="F18664" s="1" t="str">
        <f>"10.12.133.84"</f>
        <v>10.12.133.84</v>
      </c>
      <c r="G18664" s="1" t="str">
        <f>"9925B75B"</f>
        <v>9925B75B</v>
      </c>
      <c r="H18664" s="1" t="str">
        <f>"남문로 9"</f>
        <v>남문로 9</v>
      </c>
      <c r="I18664" s="1" t="s">
        <v>17</v>
      </c>
      <c r="J18664" s="1" t="str">
        <f>"0/11"</f>
        <v>0/11</v>
      </c>
      <c r="K18664" s="1" t="str">
        <f>"2026-07-10 07:18:13"</f>
        <v>2026-07-10 07:18:13</v>
      </c>
      <c r="L18664" s="1" t="str">
        <f>"2018-06-16 10:51:56"</f>
        <v>2018-06-16 10:51:56</v>
      </c>
      <c r="M18664" s="1" t="s">
        <v>0</v>
      </c>
      <c r="N18664" s="1" t="s">
        <v>38</v>
      </c>
      <c r="O18664" s="1" t="s">
        <v>46</v>
      </c>
    </row>
    <row r="18665" spans="2:15" x14ac:dyDescent="0.3">
      <c r="B18665" s="1" t="s">
        <v>13</v>
      </c>
      <c r="C18665" s="1" t="str">
        <f t="shared" si="930"/>
        <v>4차</v>
      </c>
      <c r="D18665" s="1" t="str">
        <f>"9925B75C39"</f>
        <v>9925B75C39</v>
      </c>
      <c r="E18665" s="1" t="str">
        <f>"검침실패(3시간 이상)"</f>
        <v>검침실패(3시간 이상)</v>
      </c>
      <c r="F18665" s="1" t="str">
        <f>"10.12.133.78"</f>
        <v>10.12.133.78</v>
      </c>
      <c r="G18665" s="1" t="str">
        <f>"9925B75C"</f>
        <v>9925B75C</v>
      </c>
      <c r="H18665" s="1" t="str">
        <f>"남문로 8"</f>
        <v>남문로 8</v>
      </c>
      <c r="I18665" s="1" t="s">
        <v>17</v>
      </c>
      <c r="J18665" s="1" t="str">
        <f>"0/1"</f>
        <v>0/1</v>
      </c>
      <c r="K18665" s="1" t="str">
        <f>"2026-07-29 07:18:12"</f>
        <v>2026-07-29 07:18:12</v>
      </c>
      <c r="L18665" s="1" t="str">
        <f>"2018-06-16 10:42:28"</f>
        <v>2018-06-16 10:42:28</v>
      </c>
      <c r="M18665" s="1" t="s">
        <v>0</v>
      </c>
      <c r="N18665" s="1" t="s">
        <v>38</v>
      </c>
      <c r="O18665" s="1" t="s">
        <v>46</v>
      </c>
    </row>
    <row r="18666" spans="2:15" x14ac:dyDescent="0.3">
      <c r="B18666" s="1" t="s">
        <v>13</v>
      </c>
      <c r="C18666" s="1" t="str">
        <f>"3차"</f>
        <v>3차</v>
      </c>
      <c r="D18666" s="1" t="str">
        <f>"9925B75D39"</f>
        <v>9925B75D39</v>
      </c>
      <c r="E18666" s="1" t="s">
        <v>10</v>
      </c>
      <c r="F18666" s="1" t="str">
        <f>"10.12.133.15"</f>
        <v>10.12.133.15</v>
      </c>
      <c r="G18666" s="1" t="str">
        <f>"9925B75D"</f>
        <v>9925B75D</v>
      </c>
      <c r="H18666" s="1" t="str">
        <f>"남문로 7"</f>
        <v>남문로 7</v>
      </c>
      <c r="I18666" s="1" t="s">
        <v>17</v>
      </c>
      <c r="J18666" s="1" t="str">
        <f>"67/73"</f>
        <v>67/73</v>
      </c>
      <c r="K18666" s="1" t="str">
        <f>"2026-07-29 13:18:13"</f>
        <v>2026-07-29 13:18:13</v>
      </c>
      <c r="L18666" s="1" t="str">
        <f>"2018-06-16 10:32:58"</f>
        <v>2018-06-16 10:32:58</v>
      </c>
      <c r="M18666" s="1" t="s">
        <v>0</v>
      </c>
      <c r="N18666" s="1" t="s">
        <v>38</v>
      </c>
      <c r="O18666" s="1" t="s">
        <v>46</v>
      </c>
    </row>
    <row r="18667" spans="2:15" x14ac:dyDescent="0.3">
      <c r="B18667" s="1" t="s">
        <v>13</v>
      </c>
      <c r="C18667" s="1" t="str">
        <f>"4차"</f>
        <v>4차</v>
      </c>
      <c r="D18667" s="1" t="str">
        <f>"9925B78145"</f>
        <v>9925B78145</v>
      </c>
      <c r="E18667" s="1" t="s">
        <v>10</v>
      </c>
      <c r="F18667" s="1" t="str">
        <f>"10.12.130.148"</f>
        <v>10.12.130.148</v>
      </c>
      <c r="G18667" s="1" t="str">
        <f>"9925B781"</f>
        <v>9925B781</v>
      </c>
      <c r="H18667" s="1" t="str">
        <f>"남대문로 R2"</f>
        <v>남대문로 R2</v>
      </c>
      <c r="I18667" s="1" t="s">
        <v>17</v>
      </c>
      <c r="J18667" s="1" t="str">
        <f>"12/18"</f>
        <v>12/18</v>
      </c>
      <c r="K18667" s="1" t="str">
        <f>"2026-07-29 13:18:11"</f>
        <v>2026-07-29 13:18:11</v>
      </c>
      <c r="L18667" s="1" t="str">
        <f>"2021-06-30 08:58:38"</f>
        <v>2021-06-30 08:58:38</v>
      </c>
      <c r="M18667" s="1" t="s">
        <v>0</v>
      </c>
      <c r="N18667" s="1" t="s">
        <v>38</v>
      </c>
      <c r="O18667" s="1" t="s">
        <v>46</v>
      </c>
    </row>
    <row r="18668" spans="2:15" x14ac:dyDescent="0.3">
      <c r="B18668" s="1" t="s">
        <v>13</v>
      </c>
      <c r="C18668" s="1" t="str">
        <f>"4차"</f>
        <v>4차</v>
      </c>
      <c r="D18668" s="1" t="str">
        <f>"9925B91244"</f>
        <v>9925B91244</v>
      </c>
      <c r="E18668" s="1" t="s">
        <v>10</v>
      </c>
      <c r="F18668" s="1" t="str">
        <f>"10.10.127.234"</f>
        <v>10.10.127.234</v>
      </c>
      <c r="G18668" s="1" t="str">
        <f>"9925B912"</f>
        <v>9925B912</v>
      </c>
      <c r="H18668" s="1" t="str">
        <f>"회현지 4R4R3"</f>
        <v>회현지 4R4R3</v>
      </c>
      <c r="I18668" s="1" t="s">
        <v>8</v>
      </c>
      <c r="J18668" s="1" t="str">
        <f>"28/28"</f>
        <v>28/28</v>
      </c>
      <c r="K18668" s="1" t="str">
        <f>"2026-07-29 13:18:10"</f>
        <v>2026-07-29 13:18:10</v>
      </c>
      <c r="L18668" s="1" t="str">
        <f>"2019-12-24 16:55:45"</f>
        <v>2019-12-24 16:55:45</v>
      </c>
      <c r="M18668" s="1" t="s">
        <v>1</v>
      </c>
      <c r="N18668" s="1" t="s">
        <v>38</v>
      </c>
      <c r="O18668" s="1" t="s">
        <v>46</v>
      </c>
    </row>
    <row r="18669" spans="2:15" x14ac:dyDescent="0.3">
      <c r="B18669" s="1" t="s">
        <v>13</v>
      </c>
      <c r="C18669" s="1" t="str">
        <f>"4차"</f>
        <v>4차</v>
      </c>
      <c r="D18669" s="1" t="str">
        <f>"9925B92139"</f>
        <v>9925B92139</v>
      </c>
      <c r="E18669" s="1" t="s">
        <v>10</v>
      </c>
      <c r="F18669" s="1" t="str">
        <f>"10.12.134.157"</f>
        <v>10.12.134.157</v>
      </c>
      <c r="G18669" s="1" t="str">
        <f>"9925B921"</f>
        <v>9925B921</v>
      </c>
      <c r="H18669" s="1" t="str">
        <f>"남산로 1-2"</f>
        <v>남산로 1-2</v>
      </c>
      <c r="I18669" s="1" t="s">
        <v>17</v>
      </c>
      <c r="J18669" s="1" t="str">
        <f>"11/11"</f>
        <v>11/11</v>
      </c>
      <c r="K18669" s="1" t="str">
        <f>"2026-07-29 13:18:13"</f>
        <v>2026-07-29 13:18:13</v>
      </c>
      <c r="L18669" s="1" t="str">
        <f>"2018-07-03 16:12:28"</f>
        <v>2018-07-03 16:12:28</v>
      </c>
      <c r="M18669" s="1" t="s">
        <v>0</v>
      </c>
      <c r="N18669" s="1" t="s">
        <v>38</v>
      </c>
      <c r="O18669" s="1" t="s">
        <v>46</v>
      </c>
    </row>
    <row r="18670" spans="2:15" x14ac:dyDescent="0.3">
      <c r="B18670" s="1" t="s">
        <v>13</v>
      </c>
      <c r="C18670" s="1" t="str">
        <f>"3차"</f>
        <v>3차</v>
      </c>
      <c r="D18670" s="1" t="str">
        <f>"9925B98139"</f>
        <v>9925B98139</v>
      </c>
      <c r="E18670" s="1" t="s">
        <v>14</v>
      </c>
      <c r="F18670" s="1" t="str">
        <f>"10.14.3.117"</f>
        <v>10.14.3.117</v>
      </c>
      <c r="G18670" s="1" t="str">
        <f>"9925B981"</f>
        <v>9925B981</v>
      </c>
      <c r="H18670" s="1" t="str">
        <f>"남대문간 21R1R1"</f>
        <v>남대문간 21R1R1</v>
      </c>
      <c r="I18670" s="1" t="s">
        <v>8</v>
      </c>
      <c r="J18670" s="1" t="str">
        <f>"0/0"</f>
        <v>0/0</v>
      </c>
      <c r="K18670" s="1" t="str">
        <f>"2026-07-29 13:18:13"</f>
        <v>2026-07-29 13:18:13</v>
      </c>
      <c r="L18670" s="1" t="str">
        <f>"2021-07-09 09:32:17"</f>
        <v>2021-07-09 09:32:17</v>
      </c>
      <c r="M18670" s="1" t="s">
        <v>3</v>
      </c>
      <c r="N18670" s="1" t="s">
        <v>38</v>
      </c>
      <c r="O18670" s="1" t="s">
        <v>797</v>
      </c>
    </row>
    <row r="18671" spans="2:15" x14ac:dyDescent="0.3">
      <c r="B18671" s="1" t="s">
        <v>13</v>
      </c>
      <c r="C18671" s="1" t="s">
        <v>16</v>
      </c>
      <c r="D18671" s="1" t="str">
        <f>"9925C19141"</f>
        <v>9925C19141</v>
      </c>
      <c r="E18671" s="1" t="s">
        <v>10</v>
      </c>
      <c r="F18671" s="1" t="str">
        <f>"10.14.5.129"</f>
        <v>10.14.5.129</v>
      </c>
      <c r="G18671" s="1" t="str">
        <f>"9925C191"</f>
        <v>9925C191</v>
      </c>
      <c r="H18671" s="1" t="str">
        <f>"만리간 17R3"</f>
        <v>만리간 17R3</v>
      </c>
      <c r="I18671" s="1" t="s">
        <v>17</v>
      </c>
      <c r="J18671" s="1" t="str">
        <f>"27/30"</f>
        <v>27/30</v>
      </c>
      <c r="K18671" s="1" t="str">
        <f>"2026-07-29 13:18:13"</f>
        <v>2026-07-29 13:18:13</v>
      </c>
      <c r="L18671" s="1" t="str">
        <f>"2022-11-16 15:52:09"</f>
        <v>2022-11-16 15:52:09</v>
      </c>
      <c r="M18671" s="1" t="s">
        <v>3</v>
      </c>
      <c r="N18671" s="1" t="s">
        <v>38</v>
      </c>
      <c r="O18671" s="1" t="s">
        <v>46</v>
      </c>
    </row>
    <row r="18672" spans="2:15" x14ac:dyDescent="0.3">
      <c r="B18672" s="1" t="s">
        <v>13</v>
      </c>
      <c r="C18672" s="1" t="str">
        <f>"3차"</f>
        <v>3차</v>
      </c>
      <c r="D18672" s="1" t="str">
        <f>"9925E06139"</f>
        <v>9925E06139</v>
      </c>
      <c r="E18672" s="1" t="s">
        <v>10</v>
      </c>
      <c r="F18672" s="1" t="str">
        <f>"10.14.14.183"</f>
        <v>10.14.14.183</v>
      </c>
      <c r="G18672" s="1" t="str">
        <f>"9925E061"</f>
        <v>9925E061</v>
      </c>
      <c r="H18672" s="1" t="str">
        <f>"남대문간 21R4"</f>
        <v>남대문간 21R4</v>
      </c>
      <c r="I18672" s="1" t="s">
        <v>8</v>
      </c>
      <c r="J18672" s="1" t="str">
        <f>"13/15"</f>
        <v>13/15</v>
      </c>
      <c r="K18672" s="1" t="str">
        <f>"2026-07-29 13:18:13"</f>
        <v>2026-07-29 13:18:13</v>
      </c>
      <c r="L18672" s="1" t="str">
        <f>"2021-07-09 09:36:01"</f>
        <v>2021-07-09 09:36:01</v>
      </c>
      <c r="M18672" s="1" t="s">
        <v>3</v>
      </c>
      <c r="N18672" s="1" t="s">
        <v>38</v>
      </c>
      <c r="O18672" s="1" t="s">
        <v>46</v>
      </c>
    </row>
    <row r="18673" spans="2:15" x14ac:dyDescent="0.3">
      <c r="B18673" s="1" t="s">
        <v>13</v>
      </c>
      <c r="C18673" s="1" t="str">
        <f>"3차"</f>
        <v>3차</v>
      </c>
      <c r="D18673" s="1" t="str">
        <f>"9925E07139"</f>
        <v>9925E07139</v>
      </c>
      <c r="E18673" s="1" t="s">
        <v>14</v>
      </c>
      <c r="F18673" s="1" t="str">
        <f>"10.14.9.184"</f>
        <v>10.14.9.184</v>
      </c>
      <c r="G18673" s="1" t="str">
        <f>"9925E071"</f>
        <v>9925E071</v>
      </c>
      <c r="H18673" s="1" t="str">
        <f>"남대문간 21R3"</f>
        <v>남대문간 21R3</v>
      </c>
      <c r="I18673" s="1" t="s">
        <v>8</v>
      </c>
      <c r="J18673" s="1" t="str">
        <f>"0/0"</f>
        <v>0/0</v>
      </c>
      <c r="K18673" s="1" t="str">
        <f>"2026-07-29 13:18:13"</f>
        <v>2026-07-29 13:18:13</v>
      </c>
      <c r="L18673" s="1" t="str">
        <f>"2021-07-09 09:54:02"</f>
        <v>2021-07-09 09:54:02</v>
      </c>
      <c r="M18673" s="1" t="s">
        <v>3</v>
      </c>
      <c r="N18673" s="1" t="s">
        <v>38</v>
      </c>
      <c r="O18673" s="1" t="s">
        <v>44</v>
      </c>
    </row>
    <row r="18674" spans="2:15" x14ac:dyDescent="0.3">
      <c r="B18674" s="1" t="s">
        <v>13</v>
      </c>
      <c r="C18674" s="1" t="str">
        <f>"4차"</f>
        <v>4차</v>
      </c>
      <c r="D18674" s="1" t="str">
        <f>"9925E10244"</f>
        <v>9925E10244</v>
      </c>
      <c r="E18674" s="1" t="s">
        <v>10</v>
      </c>
      <c r="F18674" s="1" t="str">
        <f>"10.10.127.250"</f>
        <v>10.10.127.250</v>
      </c>
      <c r="G18674" s="1" t="str">
        <f>"9925E102"</f>
        <v>9925E102</v>
      </c>
      <c r="H18674" s="1" t="str">
        <f>"회현지 4R5L1H1"</f>
        <v>회현지 4R5L1H1</v>
      </c>
      <c r="I18674" s="1" t="s">
        <v>8</v>
      </c>
      <c r="J18674" s="1" t="str">
        <f>"42/45"</f>
        <v>42/45</v>
      </c>
      <c r="K18674" s="1" t="str">
        <f>"2026-07-29 13:18:10"</f>
        <v>2026-07-29 13:18:10</v>
      </c>
      <c r="L18674" s="1" t="str">
        <f>"2019-12-24 16:57:50"</f>
        <v>2019-12-24 16:57:50</v>
      </c>
      <c r="M18674" s="1" t="s">
        <v>1</v>
      </c>
      <c r="N18674" s="1" t="s">
        <v>38</v>
      </c>
      <c r="O18674" s="1" t="s">
        <v>46</v>
      </c>
    </row>
    <row r="18675" spans="2:15" x14ac:dyDescent="0.3">
      <c r="B18675" s="1" t="s">
        <v>13</v>
      </c>
      <c r="C18675" s="1" t="str">
        <f>"4차"</f>
        <v>4차</v>
      </c>
      <c r="D18675" s="1" t="str">
        <f>"9925E10344"</f>
        <v>9925E10344</v>
      </c>
      <c r="E18675" s="1" t="s">
        <v>10</v>
      </c>
      <c r="F18675" s="1" t="str">
        <f>"10.10.127.242"</f>
        <v>10.10.127.242</v>
      </c>
      <c r="G18675" s="1" t="str">
        <f>"9925E103"</f>
        <v>9925E103</v>
      </c>
      <c r="H18675" s="1" t="str">
        <f>"회현지 4R5L1"</f>
        <v>회현지 4R5L1</v>
      </c>
      <c r="I18675" s="1" t="s">
        <v>8</v>
      </c>
      <c r="J18675" s="1" t="str">
        <f>"31/31"</f>
        <v>31/31</v>
      </c>
      <c r="K18675" s="1" t="str">
        <f>"2026-07-29 13:18:10"</f>
        <v>2026-07-29 13:18:10</v>
      </c>
      <c r="L18675" s="1" t="str">
        <f>"2020-01-16 14:40:35"</f>
        <v>2020-01-16 14:40:35</v>
      </c>
      <c r="M18675" s="1" t="s">
        <v>1</v>
      </c>
      <c r="N18675" s="1" t="s">
        <v>38</v>
      </c>
      <c r="O18675" s="1" t="s">
        <v>46</v>
      </c>
    </row>
    <row r="18676" spans="2:15" x14ac:dyDescent="0.3">
      <c r="B18676" s="1" t="s">
        <v>13</v>
      </c>
      <c r="C18676" s="1" t="str">
        <f>"4차"</f>
        <v>4차</v>
      </c>
      <c r="D18676" s="1" t="str">
        <f>"9925E19245"</f>
        <v>9925E19245</v>
      </c>
      <c r="E18676" s="1" t="s">
        <v>10</v>
      </c>
      <c r="F18676" s="1" t="str">
        <f>"10.14.14.33"</f>
        <v>10.14.14.33</v>
      </c>
      <c r="G18676" s="1" t="str">
        <f>"9925E192"</f>
        <v>9925E192</v>
      </c>
      <c r="H18676" s="1" t="str">
        <f>"남대문로 R5"</f>
        <v>남대문로 R5</v>
      </c>
      <c r="I18676" s="1" t="s">
        <v>17</v>
      </c>
      <c r="J18676" s="1" t="str">
        <f>"7/7"</f>
        <v>7/7</v>
      </c>
      <c r="K18676" s="1" t="str">
        <f>"2026-07-29 13:18:11"</f>
        <v>2026-07-29 13:18:11</v>
      </c>
      <c r="L18676" s="1" t="str">
        <f>"2021-06-30 07:58:21"</f>
        <v>2021-06-30 07:58:21</v>
      </c>
      <c r="M18676" s="1" t="s">
        <v>3</v>
      </c>
      <c r="N18676" s="1" t="s">
        <v>38</v>
      </c>
      <c r="O18676" s="1" t="s">
        <v>46</v>
      </c>
    </row>
    <row r="18677" spans="2:15" x14ac:dyDescent="0.3">
      <c r="B18677" s="1" t="s">
        <v>13</v>
      </c>
      <c r="C18677" s="1" t="str">
        <f>"4차"</f>
        <v>4차</v>
      </c>
      <c r="D18677" s="1" t="str">
        <f>"9925E20744"</f>
        <v>9925E20744</v>
      </c>
      <c r="E18677" s="1" t="s">
        <v>10</v>
      </c>
      <c r="F18677" s="1" t="str">
        <f>"10.10.128.2"</f>
        <v>10.10.128.2</v>
      </c>
      <c r="G18677" s="1" t="str">
        <f>"9925E207"</f>
        <v>9925E207</v>
      </c>
      <c r="H18677" s="1" t="str">
        <f>"회현지 4R5L3"</f>
        <v>회현지 4R5L3</v>
      </c>
      <c r="I18677" s="1" t="s">
        <v>8</v>
      </c>
      <c r="J18677" s="1" t="str">
        <f>"47/47"</f>
        <v>47/47</v>
      </c>
      <c r="K18677" s="1" t="str">
        <f>"2026-07-29 13:18:10"</f>
        <v>2026-07-29 13:18:10</v>
      </c>
      <c r="L18677" s="1" t="str">
        <f>"2019-12-24 16:58:21"</f>
        <v>2019-12-24 16:58:21</v>
      </c>
      <c r="M18677" s="1" t="s">
        <v>1</v>
      </c>
      <c r="N18677" s="1" t="s">
        <v>38</v>
      </c>
      <c r="O18677" s="1" t="s">
        <v>46</v>
      </c>
    </row>
    <row r="18678" spans="2:15" x14ac:dyDescent="0.3">
      <c r="B18678" s="1" t="s">
        <v>13</v>
      </c>
      <c r="C18678" s="1" t="str">
        <f>"4차"</f>
        <v>4차</v>
      </c>
      <c r="D18678" s="1" t="str">
        <f>"9925E22444"</f>
        <v>9925E22444</v>
      </c>
      <c r="E18678" s="1" t="s">
        <v>10</v>
      </c>
      <c r="F18678" s="1" t="str">
        <f>"10.10.129.34"</f>
        <v>10.10.129.34</v>
      </c>
      <c r="G18678" s="1" t="str">
        <f>"9925E224"</f>
        <v>9925E224</v>
      </c>
      <c r="H18678" s="1" t="str">
        <f>"회현지 14R7"</f>
        <v>회현지 14R7</v>
      </c>
      <c r="I18678" s="1" t="s">
        <v>8</v>
      </c>
      <c r="J18678" s="1" t="str">
        <f>"28/28"</f>
        <v>28/28</v>
      </c>
      <c r="K18678" s="1" t="str">
        <f>"2026-07-29 13:18:10"</f>
        <v>2026-07-29 13:18:10</v>
      </c>
      <c r="L18678" s="1" t="str">
        <f>"2019-12-24 16:57:18"</f>
        <v>2019-12-24 16:57:18</v>
      </c>
      <c r="M18678" s="1" t="s">
        <v>1</v>
      </c>
      <c r="N18678" s="1" t="s">
        <v>38</v>
      </c>
      <c r="O18678" s="1" t="s">
        <v>46</v>
      </c>
    </row>
    <row r="18679" spans="2:15" x14ac:dyDescent="0.3">
      <c r="B18679" s="1" t="s">
        <v>13</v>
      </c>
      <c r="C18679" s="1" t="str">
        <f>"3차"</f>
        <v>3차</v>
      </c>
      <c r="D18679" s="1" t="str">
        <f>"9925E23139"</f>
        <v>9925E23139</v>
      </c>
      <c r="E18679" s="1" t="s">
        <v>10</v>
      </c>
      <c r="F18679" s="1" t="str">
        <f>"10.12.129.229"</f>
        <v>10.12.129.229</v>
      </c>
      <c r="G18679" s="1" t="str">
        <f>"9925E231"</f>
        <v>9925E231</v>
      </c>
      <c r="H18679" s="1" t="str">
        <f>"회현지 14R2"</f>
        <v>회현지 14R2</v>
      </c>
      <c r="I18679" s="1" t="s">
        <v>8</v>
      </c>
      <c r="J18679" s="1" t="str">
        <f>"19/19"</f>
        <v>19/19</v>
      </c>
      <c r="K18679" s="1" t="str">
        <f>"2026-07-29 13:18:11"</f>
        <v>2026-07-29 13:18:11</v>
      </c>
      <c r="L18679" s="1" t="str">
        <f>"2018-04-28 14:26:01"</f>
        <v>2018-04-28 14:26:01</v>
      </c>
      <c r="M18679" s="1" t="s">
        <v>0</v>
      </c>
      <c r="N18679" s="1" t="s">
        <v>38</v>
      </c>
      <c r="O18679" s="1" t="s">
        <v>46</v>
      </c>
    </row>
    <row r="18680" spans="2:15" x14ac:dyDescent="0.3">
      <c r="B18680" s="1" t="s">
        <v>13</v>
      </c>
      <c r="C18680" s="1" t="str">
        <f>"4차"</f>
        <v>4차</v>
      </c>
      <c r="D18680" s="1" t="str">
        <f>"9925E33144"</f>
        <v>9925E33144</v>
      </c>
      <c r="E18680" s="1" t="s">
        <v>10</v>
      </c>
      <c r="F18680" s="1" t="str">
        <f>"10.12.138.169"</f>
        <v>10.12.138.169</v>
      </c>
      <c r="G18680" s="1" t="str">
        <f>"9925E331"</f>
        <v>9925E331</v>
      </c>
      <c r="H18680" s="1" t="str">
        <f>"회현지 17R1"</f>
        <v>회현지 17R1</v>
      </c>
      <c r="I18680" s="1" t="s">
        <v>8</v>
      </c>
      <c r="J18680" s="1" t="str">
        <f>"32/33"</f>
        <v>32/33</v>
      </c>
      <c r="K18680" s="1" t="str">
        <f>"2026-07-29 13:18:11"</f>
        <v>2026-07-29 13:18:11</v>
      </c>
      <c r="L18680" s="1" t="str">
        <f>"2019-11-21 09:26:22"</f>
        <v>2019-11-21 09:26:22</v>
      </c>
      <c r="M18680" s="1" t="s">
        <v>0</v>
      </c>
      <c r="N18680" s="1" t="s">
        <v>38</v>
      </c>
      <c r="O18680" s="1" t="s">
        <v>46</v>
      </c>
    </row>
    <row r="18681" spans="2:15" x14ac:dyDescent="0.3">
      <c r="B18681" s="1" t="s">
        <v>13</v>
      </c>
      <c r="C18681" s="1" t="str">
        <f>"3차"</f>
        <v>3차</v>
      </c>
      <c r="D18681" s="1" t="str">
        <f>"9925E42139"</f>
        <v>9925E42139</v>
      </c>
      <c r="E18681" s="1" t="s">
        <v>10</v>
      </c>
      <c r="F18681" s="1" t="str">
        <f>"10.12.129.227"</f>
        <v>10.12.129.227</v>
      </c>
      <c r="G18681" s="1" t="str">
        <f>"9925E421"</f>
        <v>9925E421</v>
      </c>
      <c r="H18681" s="1" t="str">
        <f>"회현지 21R2"</f>
        <v>회현지 21R2</v>
      </c>
      <c r="I18681" s="1" t="s">
        <v>8</v>
      </c>
      <c r="J18681" s="1" t="str">
        <f>"39/39"</f>
        <v>39/39</v>
      </c>
      <c r="K18681" s="1" t="str">
        <f>"2026-07-29 13:18:11"</f>
        <v>2026-07-29 13:18:11</v>
      </c>
      <c r="L18681" s="1" t="str">
        <f>"2018-04-28 15:47:47"</f>
        <v>2018-04-28 15:47:47</v>
      </c>
      <c r="M18681" s="1" t="s">
        <v>0</v>
      </c>
      <c r="N18681" s="1" t="s">
        <v>38</v>
      </c>
      <c r="O18681" s="1" t="s">
        <v>46</v>
      </c>
    </row>
    <row r="18682" spans="2:15" x14ac:dyDescent="0.3">
      <c r="B18682" s="1" t="s">
        <v>13</v>
      </c>
      <c r="C18682" s="1" t="str">
        <f t="shared" ref="C18682:C18703" si="931">"4차"</f>
        <v>4차</v>
      </c>
      <c r="D18682" s="1" t="str">
        <f>"9925E44444"</f>
        <v>9925E44444</v>
      </c>
      <c r="E18682" s="1" t="s">
        <v>10</v>
      </c>
      <c r="F18682" s="1" t="str">
        <f>"10.12.138.168"</f>
        <v>10.12.138.168</v>
      </c>
      <c r="G18682" s="1" t="str">
        <f>"9925E444"</f>
        <v>9925E444</v>
      </c>
      <c r="H18682" s="1" t="str">
        <f>"회현지 16"</f>
        <v>회현지 16</v>
      </c>
      <c r="I18682" s="1" t="s">
        <v>8</v>
      </c>
      <c r="J18682" s="1" t="str">
        <f>"6/6"</f>
        <v>6/6</v>
      </c>
      <c r="K18682" s="1" t="str">
        <f>"2026-07-29 13:18:12"</f>
        <v>2026-07-29 13:18:12</v>
      </c>
      <c r="L18682" s="1" t="str">
        <f>"2019-11-20 23:19:13"</f>
        <v>2019-11-20 23:19:13</v>
      </c>
      <c r="M18682" s="1" t="s">
        <v>0</v>
      </c>
      <c r="N18682" s="1" t="s">
        <v>38</v>
      </c>
      <c r="O18682" s="1" t="s">
        <v>46</v>
      </c>
    </row>
    <row r="18683" spans="2:15" x14ac:dyDescent="0.3">
      <c r="B18683" s="1" t="s">
        <v>13</v>
      </c>
      <c r="C18683" s="1" t="str">
        <f t="shared" si="931"/>
        <v>4차</v>
      </c>
      <c r="D18683" s="1" t="str">
        <f>"9925E53144"</f>
        <v>9925E53144</v>
      </c>
      <c r="E18683" s="1" t="s">
        <v>10</v>
      </c>
      <c r="F18683" s="1" t="str">
        <f>"10.10.127.194"</f>
        <v>10.10.127.194</v>
      </c>
      <c r="G18683" s="1" t="str">
        <f>"9925E531"</f>
        <v>9925E531</v>
      </c>
      <c r="H18683" s="1" t="str">
        <f>"회현지 19"</f>
        <v>회현지 19</v>
      </c>
      <c r="I18683" s="1" t="s">
        <v>8</v>
      </c>
      <c r="J18683" s="1" t="str">
        <f>"24/26"</f>
        <v>24/26</v>
      </c>
      <c r="K18683" s="1" t="str">
        <f>"2026-07-29 13:18:10"</f>
        <v>2026-07-29 13:18:10</v>
      </c>
      <c r="L18683" s="1" t="str">
        <f>"2019-12-24 16:55:17"</f>
        <v>2019-12-24 16:55:17</v>
      </c>
      <c r="M18683" s="1" t="s">
        <v>1</v>
      </c>
      <c r="N18683" s="1" t="s">
        <v>38</v>
      </c>
      <c r="O18683" s="1" t="s">
        <v>46</v>
      </c>
    </row>
    <row r="18684" spans="2:15" x14ac:dyDescent="0.3">
      <c r="B18684" s="1" t="s">
        <v>13</v>
      </c>
      <c r="C18684" s="1" t="str">
        <f t="shared" si="931"/>
        <v>4차</v>
      </c>
      <c r="D18684" s="1" t="str">
        <f>"9925E70144"</f>
        <v>9925E70144</v>
      </c>
      <c r="E18684" s="1" t="s">
        <v>10</v>
      </c>
      <c r="F18684" s="1" t="str">
        <f>"10.10.129.74"</f>
        <v>10.10.129.74</v>
      </c>
      <c r="G18684" s="1" t="str">
        <f>"9925E701"</f>
        <v>9925E701</v>
      </c>
      <c r="H18684" s="1" t="str">
        <f>"회현지 24L7"</f>
        <v>회현지 24L7</v>
      </c>
      <c r="I18684" s="1" t="s">
        <v>8</v>
      </c>
      <c r="J18684" s="1" t="str">
        <f>"3/3"</f>
        <v>3/3</v>
      </c>
      <c r="K18684" s="1" t="str">
        <f>"2026-07-29 13:18:10"</f>
        <v>2026-07-29 13:18:10</v>
      </c>
      <c r="L18684" s="1" t="str">
        <f>"2019-12-24 16:59:02"</f>
        <v>2019-12-24 16:59:02</v>
      </c>
      <c r="M18684" s="1" t="s">
        <v>1</v>
      </c>
      <c r="N18684" s="1" t="s">
        <v>38</v>
      </c>
      <c r="O18684" s="1" t="s">
        <v>46</v>
      </c>
    </row>
    <row r="18685" spans="2:15" x14ac:dyDescent="0.3">
      <c r="B18685" s="1" t="s">
        <v>13</v>
      </c>
      <c r="C18685" s="1" t="str">
        <f t="shared" si="931"/>
        <v>4차</v>
      </c>
      <c r="D18685" s="1" t="str">
        <f>"9925E72144"</f>
        <v>9925E72144</v>
      </c>
      <c r="E18685" s="1" t="s">
        <v>10</v>
      </c>
      <c r="F18685" s="1" t="str">
        <f>"10.10.127.226"</f>
        <v>10.10.127.226</v>
      </c>
      <c r="G18685" s="1" t="str">
        <f>"9925E721"</f>
        <v>9925E721</v>
      </c>
      <c r="H18685" s="1" t="str">
        <f>"회현지 24L10"</f>
        <v>회현지 24L10</v>
      </c>
      <c r="I18685" s="1" t="s">
        <v>8</v>
      </c>
      <c r="J18685" s="1" t="str">
        <f>"28/28"</f>
        <v>28/28</v>
      </c>
      <c r="K18685" s="1" t="str">
        <f>"2026-07-29 13:18:10"</f>
        <v>2026-07-29 13:18:10</v>
      </c>
      <c r="L18685" s="1" t="str">
        <f>"2020-01-10 17:24:40"</f>
        <v>2020-01-10 17:24:40</v>
      </c>
      <c r="M18685" s="1" t="s">
        <v>1</v>
      </c>
      <c r="N18685" s="1" t="s">
        <v>38</v>
      </c>
      <c r="O18685" s="1" t="s">
        <v>46</v>
      </c>
    </row>
    <row r="18686" spans="2:15" x14ac:dyDescent="0.3">
      <c r="B18686" s="1" t="s">
        <v>13</v>
      </c>
      <c r="C18686" s="1" t="str">
        <f t="shared" si="931"/>
        <v>4차</v>
      </c>
      <c r="D18686" s="1" t="str">
        <f>"9925E80145"</f>
        <v>9925E80145</v>
      </c>
      <c r="E18686" s="1" t="s">
        <v>10</v>
      </c>
      <c r="F18686" s="1" t="str">
        <f>"10.12.134.41"</f>
        <v>10.12.134.41</v>
      </c>
      <c r="G18686" s="1" t="str">
        <f>"9925E801"</f>
        <v>9925E801</v>
      </c>
      <c r="H18686" s="1" t="str">
        <f>"남산로 4"</f>
        <v>남산로 4</v>
      </c>
      <c r="I18686" s="1" t="s">
        <v>17</v>
      </c>
      <c r="J18686" s="1" t="str">
        <f>"12/12"</f>
        <v>12/12</v>
      </c>
      <c r="K18686" s="1" t="str">
        <f>"2026-07-29 13:18:11"</f>
        <v>2026-07-29 13:18:11</v>
      </c>
      <c r="L18686" s="1" t="str">
        <f>"2025-01-17 17:13:09"</f>
        <v>2025-01-17 17:13:09</v>
      </c>
      <c r="M18686" s="1" t="s">
        <v>0</v>
      </c>
      <c r="N18686" s="1" t="s">
        <v>38</v>
      </c>
      <c r="O18686" s="1" t="s">
        <v>46</v>
      </c>
    </row>
    <row r="18687" spans="2:15" x14ac:dyDescent="0.3">
      <c r="B18687" s="1" t="s">
        <v>13</v>
      </c>
      <c r="C18687" s="1" t="str">
        <f t="shared" si="931"/>
        <v>4차</v>
      </c>
      <c r="D18687" s="1" t="str">
        <f>"9925E93344"</f>
        <v>9925E93344</v>
      </c>
      <c r="E18687" s="1" t="s">
        <v>10</v>
      </c>
      <c r="F18687" s="1" t="str">
        <f>"10.10.129.18"</f>
        <v>10.10.129.18</v>
      </c>
      <c r="G18687" s="1" t="str">
        <f>"9925E933"</f>
        <v>9925E933</v>
      </c>
      <c r="H18687" s="1" t="str">
        <f>"퇴계간 4R10L3"</f>
        <v>퇴계간 4R10L3</v>
      </c>
      <c r="I18687" s="1" t="s">
        <v>8</v>
      </c>
      <c r="J18687" s="1" t="str">
        <f>"28/29"</f>
        <v>28/29</v>
      </c>
      <c r="K18687" s="1" t="str">
        <f>"2026-07-29 13:18:10"</f>
        <v>2026-07-29 13:18:10</v>
      </c>
      <c r="L18687" s="1" t="str">
        <f>"2019-12-24 16:55:08"</f>
        <v>2019-12-24 16:55:08</v>
      </c>
      <c r="M18687" s="1" t="s">
        <v>1</v>
      </c>
      <c r="N18687" s="1" t="s">
        <v>38</v>
      </c>
      <c r="O18687" s="1" t="s">
        <v>46</v>
      </c>
    </row>
    <row r="18688" spans="2:15" x14ac:dyDescent="0.3">
      <c r="B18688" s="1" t="s">
        <v>13</v>
      </c>
      <c r="C18688" s="1" t="str">
        <f t="shared" si="931"/>
        <v>4차</v>
      </c>
      <c r="D18688" s="1" t="str">
        <f>"9925F00845"</f>
        <v>9925F00845</v>
      </c>
      <c r="E18688" s="1" t="s">
        <v>10</v>
      </c>
      <c r="F18688" s="1" t="str">
        <f>"10.12.129.67"</f>
        <v>10.12.129.67</v>
      </c>
      <c r="G18688" s="1" t="str">
        <f>"9925F008"</f>
        <v>9925F008</v>
      </c>
      <c r="H18688" s="1" t="str">
        <f>"남산로 30"</f>
        <v>남산로 30</v>
      </c>
      <c r="I18688" s="1" t="s">
        <v>17</v>
      </c>
      <c r="J18688" s="1" t="str">
        <f>"1/1"</f>
        <v>1/1</v>
      </c>
      <c r="K18688" s="1" t="str">
        <f>"2026-07-29 13:18:12"</f>
        <v>2026-07-29 13:18:12</v>
      </c>
      <c r="L18688" s="1" t="str">
        <f>"2022-07-28 06:21:21"</f>
        <v>2022-07-28 06:21:21</v>
      </c>
      <c r="M18688" s="1" t="s">
        <v>0</v>
      </c>
      <c r="N18688" s="1" t="s">
        <v>38</v>
      </c>
      <c r="O18688" s="1" t="s">
        <v>46</v>
      </c>
    </row>
    <row r="18689" spans="2:15" x14ac:dyDescent="0.3">
      <c r="B18689" s="1" t="s">
        <v>13</v>
      </c>
      <c r="C18689" s="1" t="str">
        <f t="shared" si="931"/>
        <v>4차</v>
      </c>
      <c r="D18689" s="1" t="str">
        <f>"9925F00939"</f>
        <v>9925F00939</v>
      </c>
      <c r="E18689" s="1" t="s">
        <v>14</v>
      </c>
      <c r="F18689" s="1" t="str">
        <f>"10.12.132.71"</f>
        <v>10.12.132.71</v>
      </c>
      <c r="G18689" s="1" t="str">
        <f>"9925F009"</f>
        <v>9925F009</v>
      </c>
      <c r="H18689" s="1" t="str">
        <f>"남산로 29"</f>
        <v>남산로 29</v>
      </c>
      <c r="I18689" s="1" t="s">
        <v>17</v>
      </c>
      <c r="J18689" s="1" t="str">
        <f>"0/0"</f>
        <v>0/0</v>
      </c>
      <c r="K18689" s="1" t="str">
        <f>"2026-07-28 13:18:13"</f>
        <v>2026-07-28 13:18:13</v>
      </c>
      <c r="L18689" s="1" t="str">
        <f>"2018-10-22 13:48:27"</f>
        <v>2018-10-22 13:48:27</v>
      </c>
      <c r="M18689" s="1" t="s">
        <v>0</v>
      </c>
      <c r="N18689" s="1" t="s">
        <v>39</v>
      </c>
      <c r="O18689" s="1" t="s">
        <v>46</v>
      </c>
    </row>
    <row r="18690" spans="2:15" x14ac:dyDescent="0.3">
      <c r="B18690" s="1" t="s">
        <v>13</v>
      </c>
      <c r="C18690" s="1" t="str">
        <f t="shared" si="931"/>
        <v>4차</v>
      </c>
      <c r="D18690" s="1" t="str">
        <f>"9925F03144"</f>
        <v>9925F03144</v>
      </c>
      <c r="E18690" s="1" t="s">
        <v>10</v>
      </c>
      <c r="F18690" s="1" t="str">
        <f>"10.10.127.130"</f>
        <v>10.10.127.130</v>
      </c>
      <c r="G18690" s="1" t="str">
        <f>"9925F031"</f>
        <v>9925F031</v>
      </c>
      <c r="H18690" s="1" t="str">
        <f>"퇴계간 4R10L2"</f>
        <v>퇴계간 4R10L2</v>
      </c>
      <c r="I18690" s="1" t="s">
        <v>8</v>
      </c>
      <c r="J18690" s="1" t="str">
        <f>"52/58"</f>
        <v>52/58</v>
      </c>
      <c r="K18690" s="1" t="str">
        <f>"2026-07-29 13:18:10"</f>
        <v>2026-07-29 13:18:10</v>
      </c>
      <c r="L18690" s="1" t="str">
        <f>"2019-12-24 16:56:51"</f>
        <v>2019-12-24 16:56:51</v>
      </c>
      <c r="M18690" s="1" t="s">
        <v>1</v>
      </c>
      <c r="N18690" s="1" t="s">
        <v>38</v>
      </c>
      <c r="O18690" s="1" t="s">
        <v>46</v>
      </c>
    </row>
    <row r="18691" spans="2:15" x14ac:dyDescent="0.3">
      <c r="B18691" s="1" t="s">
        <v>13</v>
      </c>
      <c r="C18691" s="1" t="str">
        <f t="shared" si="931"/>
        <v>4차</v>
      </c>
      <c r="D18691" s="1" t="str">
        <f>"9925F04444"</f>
        <v>9925F04444</v>
      </c>
      <c r="E18691" s="1" t="s">
        <v>10</v>
      </c>
      <c r="F18691" s="1" t="str">
        <f>"10.10.127.138"</f>
        <v>10.10.127.138</v>
      </c>
      <c r="G18691" s="1" t="str">
        <f>"9925F044"</f>
        <v>9925F044</v>
      </c>
      <c r="H18691" s="1" t="str">
        <f>"퇴계간 4R9"</f>
        <v>퇴계간 4R9</v>
      </c>
      <c r="I18691" s="1" t="s">
        <v>8</v>
      </c>
      <c r="J18691" s="1" t="str">
        <f>"25/25"</f>
        <v>25/25</v>
      </c>
      <c r="K18691" s="1" t="str">
        <f>"2026-07-29 13:18:10"</f>
        <v>2026-07-29 13:18:10</v>
      </c>
      <c r="L18691" s="1" t="str">
        <f>"2020-01-10 17:19:55"</f>
        <v>2020-01-10 17:19:55</v>
      </c>
      <c r="M18691" s="1" t="s">
        <v>1</v>
      </c>
      <c r="N18691" s="1" t="s">
        <v>38</v>
      </c>
      <c r="O18691" s="1" t="s">
        <v>46</v>
      </c>
    </row>
    <row r="18692" spans="2:15" x14ac:dyDescent="0.3">
      <c r="B18692" s="1" t="s">
        <v>13</v>
      </c>
      <c r="C18692" s="1" t="str">
        <f t="shared" si="931"/>
        <v>4차</v>
      </c>
      <c r="D18692" s="1" t="str">
        <f>"9925F05244"</f>
        <v>9925F05244</v>
      </c>
      <c r="E18692" s="1" t="s">
        <v>10</v>
      </c>
      <c r="F18692" s="1" t="str">
        <f>"10.12.138.167"</f>
        <v>10.12.138.167</v>
      </c>
      <c r="G18692" s="1" t="str">
        <f>"9925F052"</f>
        <v>9925F052</v>
      </c>
      <c r="H18692" s="1" t="str">
        <f>"퇴계간 4R8"</f>
        <v>퇴계간 4R8</v>
      </c>
      <c r="I18692" s="1" t="s">
        <v>8</v>
      </c>
      <c r="J18692" s="1" t="str">
        <f>"9/9"</f>
        <v>9/9</v>
      </c>
      <c r="K18692" s="1" t="str">
        <f>"2026-07-29 13:18:11"</f>
        <v>2026-07-29 13:18:11</v>
      </c>
      <c r="L18692" s="1" t="str">
        <f>"2019-11-11 20:07:30"</f>
        <v>2019-11-11 20:07:30</v>
      </c>
      <c r="M18692" s="1" t="s">
        <v>0</v>
      </c>
      <c r="N18692" s="1" t="s">
        <v>38</v>
      </c>
      <c r="O18692" s="1" t="s">
        <v>46</v>
      </c>
    </row>
    <row r="18693" spans="2:15" x14ac:dyDescent="0.3">
      <c r="B18693" s="1" t="s">
        <v>13</v>
      </c>
      <c r="C18693" s="1" t="str">
        <f t="shared" si="931"/>
        <v>4차</v>
      </c>
      <c r="D18693" s="1" t="str">
        <f>"9925F14839"</f>
        <v>9925F14839</v>
      </c>
      <c r="E18693" s="1" t="s">
        <v>14</v>
      </c>
      <c r="F18693" s="1" t="str">
        <f>"10.12.131.125"</f>
        <v>10.12.131.125</v>
      </c>
      <c r="G18693" s="1" t="str">
        <f>"9925F148"</f>
        <v>9925F148</v>
      </c>
      <c r="H18693" s="1" t="str">
        <f>"남산로 25"</f>
        <v>남산로 25</v>
      </c>
      <c r="I18693" s="1" t="s">
        <v>17</v>
      </c>
      <c r="J18693" s="1" t="str">
        <f>"0/0"</f>
        <v>0/0</v>
      </c>
      <c r="K18693" s="1" t="str">
        <f>"2026-07-28 13:18:13"</f>
        <v>2026-07-28 13:18:13</v>
      </c>
      <c r="L18693" s="1" t="str">
        <f>"2018-10-22 12:17:57"</f>
        <v>2018-10-22 12:17:57</v>
      </c>
      <c r="M18693" s="1" t="s">
        <v>0</v>
      </c>
      <c r="N18693" s="1" t="s">
        <v>39</v>
      </c>
      <c r="O18693" s="1" t="s">
        <v>46</v>
      </c>
    </row>
    <row r="18694" spans="2:15" x14ac:dyDescent="0.3">
      <c r="B18694" s="1" t="s">
        <v>13</v>
      </c>
      <c r="C18694" s="1" t="str">
        <f t="shared" si="931"/>
        <v>4차</v>
      </c>
      <c r="D18694" s="1" t="str">
        <f>"9925F16145"</f>
        <v>9925F16145</v>
      </c>
      <c r="E18694" s="1" t="s">
        <v>10</v>
      </c>
      <c r="F18694" s="1" t="str">
        <f>"10.14.9.19"</f>
        <v>10.14.9.19</v>
      </c>
      <c r="G18694" s="1" t="str">
        <f>"9925F161"</f>
        <v>9925F161</v>
      </c>
      <c r="H18694" s="1" t="str">
        <f>"남산로 23-1"</f>
        <v>남산로 23-1</v>
      </c>
      <c r="I18694" s="1" t="s">
        <v>17</v>
      </c>
      <c r="J18694" s="1" t="str">
        <f>"19/23"</f>
        <v>19/23</v>
      </c>
      <c r="K18694" s="1" t="str">
        <f>"2026-07-29 13:18:12"</f>
        <v>2026-07-29 13:18:12</v>
      </c>
      <c r="L18694" s="1" t="str">
        <f>"2021-06-30 10:23:58"</f>
        <v>2021-06-30 10:23:58</v>
      </c>
      <c r="M18694" s="1" t="s">
        <v>3</v>
      </c>
      <c r="N18694" s="1" t="s">
        <v>38</v>
      </c>
      <c r="O18694" s="1" t="s">
        <v>46</v>
      </c>
    </row>
    <row r="18695" spans="2:15" x14ac:dyDescent="0.3">
      <c r="B18695" s="1" t="s">
        <v>13</v>
      </c>
      <c r="C18695" s="1" t="str">
        <f t="shared" si="931"/>
        <v>4차</v>
      </c>
      <c r="D18695" s="1" t="str">
        <f>"9925F22239"</f>
        <v>9925F22239</v>
      </c>
      <c r="E18695" s="1" t="s">
        <v>10</v>
      </c>
      <c r="F18695" s="1" t="str">
        <f>"10.12.136.125"</f>
        <v>10.12.136.125</v>
      </c>
      <c r="G18695" s="1" t="str">
        <f>"9925F222"</f>
        <v>9925F222</v>
      </c>
      <c r="H18695" s="1" t="str">
        <f>"남산지 3R7L3R3"</f>
        <v>남산지 3R7L3R3</v>
      </c>
      <c r="I18695" s="1" t="s">
        <v>8</v>
      </c>
      <c r="J18695" s="1" t="str">
        <f>"19/19"</f>
        <v>19/19</v>
      </c>
      <c r="K18695" s="1" t="str">
        <f>"2026-07-29 13:18:11"</f>
        <v>2026-07-29 13:18:11</v>
      </c>
      <c r="L18695" s="1" t="str">
        <f>"2018-10-04 13:20:57"</f>
        <v>2018-10-04 13:20:57</v>
      </c>
      <c r="M18695" s="1" t="s">
        <v>0</v>
      </c>
      <c r="N18695" s="1" t="s">
        <v>38</v>
      </c>
      <c r="O18695" s="1" t="s">
        <v>46</v>
      </c>
    </row>
    <row r="18696" spans="2:15" x14ac:dyDescent="0.3">
      <c r="B18696" s="1" t="s">
        <v>13</v>
      </c>
      <c r="C18696" s="1" t="str">
        <f t="shared" si="931"/>
        <v>4차</v>
      </c>
      <c r="D18696" s="1" t="str">
        <f>"9925F26245"</f>
        <v>9925F26245</v>
      </c>
      <c r="E18696" s="1" t="s">
        <v>12</v>
      </c>
      <c r="F18696" s="1" t="str">
        <f>"10.14.3.66"</f>
        <v>10.14.3.66</v>
      </c>
      <c r="G18696" s="1" t="str">
        <f>"9925F262"</f>
        <v>9925F262</v>
      </c>
      <c r="H18696" s="1" t="str">
        <f>"남산로 24"</f>
        <v>남산로 24</v>
      </c>
      <c r="I18696" s="1" t="s">
        <v>17</v>
      </c>
      <c r="J18696" s="1" t="str">
        <f>"0/13"</f>
        <v>0/13</v>
      </c>
      <c r="K18696" s="1" t="str">
        <f>"2026-07-28 19:18:11"</f>
        <v>2026-07-28 19:18:11</v>
      </c>
      <c r="L18696" s="1" t="str">
        <f>"2021-06-30 10:52:48"</f>
        <v>2021-06-30 10:52:48</v>
      </c>
      <c r="M18696" s="1" t="s">
        <v>3</v>
      </c>
      <c r="N18696" s="1" t="s">
        <v>38</v>
      </c>
      <c r="O18696" s="1" t="s">
        <v>46</v>
      </c>
    </row>
    <row r="18697" spans="2:15" x14ac:dyDescent="0.3">
      <c r="B18697" s="1" t="s">
        <v>13</v>
      </c>
      <c r="C18697" s="1" t="str">
        <f t="shared" si="931"/>
        <v>4차</v>
      </c>
      <c r="D18697" s="1" t="str">
        <f>"9925F34244"</f>
        <v>9925F34244</v>
      </c>
      <c r="E18697" s="1" t="s">
        <v>10</v>
      </c>
      <c r="F18697" s="1" t="str">
        <f>"10.10.117.186"</f>
        <v>10.10.117.186</v>
      </c>
      <c r="G18697" s="1" t="str">
        <f>"9925F342"</f>
        <v>9925F342</v>
      </c>
      <c r="H18697" s="1" t="str">
        <f>"남산지 3R7L5"</f>
        <v>남산지 3R7L5</v>
      </c>
      <c r="I18697" s="1" t="s">
        <v>8</v>
      </c>
      <c r="J18697" s="1" t="str">
        <f>"15/15"</f>
        <v>15/15</v>
      </c>
      <c r="K18697" s="1" t="str">
        <f>"2026-07-29 13:18:11"</f>
        <v>2026-07-29 13:18:11</v>
      </c>
      <c r="L18697" s="1" t="str">
        <f>"2019-12-24 16:56:11"</f>
        <v>2019-12-24 16:56:11</v>
      </c>
      <c r="M18697" s="1" t="s">
        <v>1</v>
      </c>
      <c r="N18697" s="1" t="s">
        <v>38</v>
      </c>
      <c r="O18697" s="1" t="s">
        <v>46</v>
      </c>
    </row>
    <row r="18698" spans="2:15" x14ac:dyDescent="0.3">
      <c r="B18698" s="1" t="s">
        <v>13</v>
      </c>
      <c r="C18698" s="1" t="str">
        <f t="shared" si="931"/>
        <v>4차</v>
      </c>
      <c r="D18698" s="1" t="str">
        <f>"9925F35139"</f>
        <v>9925F35139</v>
      </c>
      <c r="E18698" s="1" t="s">
        <v>10</v>
      </c>
      <c r="F18698" s="1" t="str">
        <f>"10.12.131.227"</f>
        <v>10.12.131.227</v>
      </c>
      <c r="G18698" s="1" t="str">
        <f>"9925F351"</f>
        <v>9925F351</v>
      </c>
      <c r="H18698" s="1" t="str">
        <f>"남산로 15"</f>
        <v>남산로 15</v>
      </c>
      <c r="I18698" s="1" t="s">
        <v>17</v>
      </c>
      <c r="J18698" s="1" t="str">
        <f>"8/8"</f>
        <v>8/8</v>
      </c>
      <c r="K18698" s="1" t="str">
        <f>"2026-07-29 13:18:13"</f>
        <v>2026-07-29 13:18:13</v>
      </c>
      <c r="L18698" s="1" t="str">
        <f>"2018-12-26 12:36:59"</f>
        <v>2018-12-26 12:36:59</v>
      </c>
      <c r="M18698" s="1" t="s">
        <v>0</v>
      </c>
      <c r="N18698" s="1" t="s">
        <v>38</v>
      </c>
      <c r="O18698" s="1" t="s">
        <v>46</v>
      </c>
    </row>
    <row r="18699" spans="2:15" x14ac:dyDescent="0.3">
      <c r="B18699" s="1" t="s">
        <v>13</v>
      </c>
      <c r="C18699" s="1" t="str">
        <f t="shared" si="931"/>
        <v>4차</v>
      </c>
      <c r="D18699" s="1" t="str">
        <f>"9925F41139"</f>
        <v>9925F41139</v>
      </c>
      <c r="E18699" s="1" t="s">
        <v>10</v>
      </c>
      <c r="F18699" s="1" t="str">
        <f>"10.12.131.115"</f>
        <v>10.12.131.115</v>
      </c>
      <c r="G18699" s="1" t="str">
        <f>"9925F411"</f>
        <v>9925F411</v>
      </c>
      <c r="H18699" s="1" t="str">
        <f>"소파로 10"</f>
        <v>소파로 10</v>
      </c>
      <c r="I18699" s="1" t="s">
        <v>17</v>
      </c>
      <c r="J18699" s="1" t="str">
        <f>"49/49"</f>
        <v>49/49</v>
      </c>
      <c r="K18699" s="1" t="str">
        <f>"2026-07-29 13:18:13"</f>
        <v>2026-07-29 13:18:13</v>
      </c>
      <c r="L18699" s="1" t="str">
        <f>"2018-10-24 13:54:11"</f>
        <v>2018-10-24 13:54:11</v>
      </c>
      <c r="M18699" s="1" t="s">
        <v>0</v>
      </c>
      <c r="N18699" s="1" t="s">
        <v>38</v>
      </c>
      <c r="O18699" s="1" t="s">
        <v>46</v>
      </c>
    </row>
    <row r="18700" spans="2:15" x14ac:dyDescent="0.3">
      <c r="B18700" s="1" t="s">
        <v>13</v>
      </c>
      <c r="C18700" s="1" t="str">
        <f t="shared" si="931"/>
        <v>4차</v>
      </c>
      <c r="D18700" s="1" t="str">
        <f>"9925F41639"</f>
        <v>9925F41639</v>
      </c>
      <c r="E18700" s="1" t="s">
        <v>10</v>
      </c>
      <c r="F18700" s="1" t="str">
        <f>"10.12.131.42"</f>
        <v>10.12.131.42</v>
      </c>
      <c r="G18700" s="1" t="str">
        <f>"9925F416"</f>
        <v>9925F416</v>
      </c>
      <c r="H18700" s="1" t="str">
        <f>"남산로 19"</f>
        <v>남산로 19</v>
      </c>
      <c r="I18700" s="1" t="s">
        <v>17</v>
      </c>
      <c r="J18700" s="1" t="str">
        <f>"12/12"</f>
        <v>12/12</v>
      </c>
      <c r="K18700" s="1" t="str">
        <f>"2026-07-29 13:18:13"</f>
        <v>2026-07-29 13:18:13</v>
      </c>
      <c r="L18700" s="1" t="str">
        <f>"2018-10-22 16:02:28"</f>
        <v>2018-10-22 16:02:28</v>
      </c>
      <c r="M18700" s="1" t="s">
        <v>0</v>
      </c>
      <c r="N18700" s="1" t="s">
        <v>38</v>
      </c>
      <c r="O18700" s="1" t="s">
        <v>46</v>
      </c>
    </row>
    <row r="18701" spans="2:15" x14ac:dyDescent="0.3">
      <c r="B18701" s="1" t="s">
        <v>13</v>
      </c>
      <c r="C18701" s="1" t="str">
        <f t="shared" si="931"/>
        <v>4차</v>
      </c>
      <c r="D18701" s="1" t="str">
        <f>"9925F41739"</f>
        <v>9925F41739</v>
      </c>
      <c r="E18701" s="1" t="s">
        <v>10</v>
      </c>
      <c r="F18701" s="1" t="str">
        <f>"10.12.132.1"</f>
        <v>10.12.132.1</v>
      </c>
      <c r="G18701" s="1" t="str">
        <f>"9925F417"</f>
        <v>9925F417</v>
      </c>
      <c r="H18701" s="1" t="str">
        <f>"남산로 18"</f>
        <v>남산로 18</v>
      </c>
      <c r="I18701" s="1" t="s">
        <v>17</v>
      </c>
      <c r="J18701" s="1" t="str">
        <f>"1/1"</f>
        <v>1/1</v>
      </c>
      <c r="K18701" s="1" t="str">
        <f>"2026-07-29 13:18:13"</f>
        <v>2026-07-29 13:18:13</v>
      </c>
      <c r="L18701" s="1" t="str">
        <f>"2018-10-22 15:50:58"</f>
        <v>2018-10-22 15:50:58</v>
      </c>
      <c r="M18701" s="1" t="s">
        <v>0</v>
      </c>
      <c r="N18701" s="1" t="s">
        <v>38</v>
      </c>
      <c r="O18701" s="1" t="s">
        <v>46</v>
      </c>
    </row>
    <row r="18702" spans="2:15" x14ac:dyDescent="0.3">
      <c r="B18702" s="1" t="s">
        <v>13</v>
      </c>
      <c r="C18702" s="1" t="str">
        <f t="shared" si="931"/>
        <v>4차</v>
      </c>
      <c r="D18702" s="1" t="str">
        <f>"9925F45144"</f>
        <v>9925F45144</v>
      </c>
      <c r="E18702" s="1" t="s">
        <v>10</v>
      </c>
      <c r="F18702" s="1" t="str">
        <f>"10.10.128.82"</f>
        <v>10.10.128.82</v>
      </c>
      <c r="G18702" s="1" t="str">
        <f>"9925F451"</f>
        <v>9925F451</v>
      </c>
      <c r="H18702" s="1" t="str">
        <f>"남산지 7L1"</f>
        <v>남산지 7L1</v>
      </c>
      <c r="I18702" s="1" t="s">
        <v>8</v>
      </c>
      <c r="J18702" s="1" t="str">
        <f>"9/9"</f>
        <v>9/9</v>
      </c>
      <c r="K18702" s="1" t="str">
        <f>"2026-07-29 13:18:11"</f>
        <v>2026-07-29 13:18:11</v>
      </c>
      <c r="L18702" s="1" t="str">
        <f>"2019-12-24 16:58:02"</f>
        <v>2019-12-24 16:58:02</v>
      </c>
      <c r="M18702" s="1" t="s">
        <v>1</v>
      </c>
      <c r="N18702" s="1" t="s">
        <v>38</v>
      </c>
      <c r="O18702" s="1" t="s">
        <v>46</v>
      </c>
    </row>
    <row r="18703" spans="2:15" x14ac:dyDescent="0.3">
      <c r="B18703" s="1" t="s">
        <v>13</v>
      </c>
      <c r="C18703" s="1" t="str">
        <f t="shared" si="931"/>
        <v>4차</v>
      </c>
      <c r="D18703" s="1" t="str">
        <f>"9925F45344"</f>
        <v>9925F45344</v>
      </c>
      <c r="E18703" s="1" t="s">
        <v>10</v>
      </c>
      <c r="F18703" s="1" t="str">
        <f>"10.12.138.149"</f>
        <v>10.12.138.149</v>
      </c>
      <c r="G18703" s="1" t="str">
        <f>"9925F453"</f>
        <v>9925F453</v>
      </c>
      <c r="H18703" s="1" t="str">
        <f>"남산지 7L3"</f>
        <v>남산지 7L3</v>
      </c>
      <c r="I18703" s="1" t="s">
        <v>8</v>
      </c>
      <c r="J18703" s="1" t="str">
        <f>"10/10"</f>
        <v>10/10</v>
      </c>
      <c r="K18703" s="1" t="str">
        <f>"2026-07-28 20:03:46"</f>
        <v>2026-07-28 20:03:46</v>
      </c>
      <c r="L18703" s="1" t="str">
        <f>"2019-11-11 20:07:30"</f>
        <v>2019-11-11 20:07:30</v>
      </c>
      <c r="M18703" s="1" t="s">
        <v>0</v>
      </c>
      <c r="N18703" s="1" t="s">
        <v>38</v>
      </c>
      <c r="O18703" s="1" t="s">
        <v>46</v>
      </c>
    </row>
    <row r="18704" spans="2:15" x14ac:dyDescent="0.3">
      <c r="B18704" s="1" t="s">
        <v>13</v>
      </c>
      <c r="C18704" s="1" t="str">
        <f>"5-2차"</f>
        <v>5-2차</v>
      </c>
      <c r="D18704" s="1" t="str">
        <f>"9925G0825M"</f>
        <v>9925G0825M</v>
      </c>
      <c r="E18704" s="1" t="s">
        <v>10</v>
      </c>
      <c r="F18704" s="1" t="str">
        <f>"fde1:103:4:56a4:0:0:0:2"</f>
        <v>fde1:103:4:56a4:0:0:0:2</v>
      </c>
      <c r="G18704" s="1" t="str">
        <f>"9925G082"</f>
        <v>9925G082</v>
      </c>
      <c r="H18704" s="1" t="str">
        <f>"회현지 2R6L2"</f>
        <v>회현지 2R6L2</v>
      </c>
      <c r="I18704" s="1" t="s">
        <v>15</v>
      </c>
      <c r="J18704" s="1" t="str">
        <f>"31/31"</f>
        <v>31/31</v>
      </c>
      <c r="K18704" s="1" t="str">
        <f>"2026-07-29 14:21:32"</f>
        <v>2026-07-29 14:21:32</v>
      </c>
      <c r="L18704" s="1" t="str">
        <f>"2023-08-25 17:09:26"</f>
        <v>2023-08-25 17:09:26</v>
      </c>
      <c r="M18704" s="1" t="s">
        <v>4</v>
      </c>
      <c r="N18704" s="1" t="s">
        <v>38</v>
      </c>
      <c r="O18704" s="1" t="s">
        <v>46</v>
      </c>
    </row>
    <row r="18705" spans="2:15" x14ac:dyDescent="0.3">
      <c r="B18705" s="1" t="s">
        <v>13</v>
      </c>
      <c r="C18705" s="1" t="str">
        <f>"4차"</f>
        <v>4차</v>
      </c>
      <c r="D18705" s="1" t="str">
        <f>"9925G09544"</f>
        <v>9925G09544</v>
      </c>
      <c r="E18705" s="1" t="s">
        <v>10</v>
      </c>
      <c r="F18705" s="1" t="str">
        <f>"10.12.138.161"</f>
        <v>10.12.138.161</v>
      </c>
      <c r="G18705" s="1" t="str">
        <f>"9925G095"</f>
        <v>9925G095</v>
      </c>
      <c r="H18705" s="1" t="str">
        <f>"회현지 2R6L4"</f>
        <v>회현지 2R6L4</v>
      </c>
      <c r="I18705" s="1" t="s">
        <v>8</v>
      </c>
      <c r="J18705" s="1" t="str">
        <f>"41/41"</f>
        <v>41/41</v>
      </c>
      <c r="K18705" s="1" t="str">
        <f>"2026-07-29 13:18:14"</f>
        <v>2026-07-29 13:18:14</v>
      </c>
      <c r="L18705" s="1" t="str">
        <f>"2019-11-21 15:02:31"</f>
        <v>2019-11-21 15:02:31</v>
      </c>
      <c r="M18705" s="1" t="s">
        <v>0</v>
      </c>
      <c r="N18705" s="1" t="s">
        <v>38</v>
      </c>
      <c r="O18705" s="1" t="s">
        <v>46</v>
      </c>
    </row>
    <row r="18706" spans="2:15" x14ac:dyDescent="0.3">
      <c r="B18706" s="1" t="s">
        <v>13</v>
      </c>
      <c r="C18706" s="1" t="str">
        <f>"4차"</f>
        <v>4차</v>
      </c>
      <c r="D18706" s="1" t="str">
        <f>"9925G59244"</f>
        <v>9925G59244</v>
      </c>
      <c r="E18706" s="1" t="s">
        <v>10</v>
      </c>
      <c r="F18706" s="1" t="str">
        <f>"10.10.129.82"</f>
        <v>10.10.129.82</v>
      </c>
      <c r="G18706" s="1" t="str">
        <f>"9925G592"</f>
        <v>9925G592</v>
      </c>
      <c r="H18706" s="1" t="str">
        <f>"회현지 26"</f>
        <v>회현지 26</v>
      </c>
      <c r="I18706" s="1" t="s">
        <v>8</v>
      </c>
      <c r="J18706" s="1" t="str">
        <f>"12/14"</f>
        <v>12/14</v>
      </c>
      <c r="K18706" s="1" t="str">
        <f>"2026-07-29 13:18:11"</f>
        <v>2026-07-29 13:18:11</v>
      </c>
      <c r="L18706" s="1" t="str">
        <f>"2020-01-10 17:37:52"</f>
        <v>2020-01-10 17:37:52</v>
      </c>
      <c r="M18706" s="1" t="s">
        <v>1</v>
      </c>
      <c r="N18706" s="1" t="s">
        <v>38</v>
      </c>
      <c r="O18706" s="1" t="s">
        <v>46</v>
      </c>
    </row>
    <row r="18707" spans="2:15" x14ac:dyDescent="0.3">
      <c r="B18707" s="1" t="s">
        <v>13</v>
      </c>
      <c r="C18707" s="1" t="str">
        <f>"4차"</f>
        <v>4차</v>
      </c>
      <c r="D18707" s="1" t="str">
        <f>"9925G79244"</f>
        <v>9925G79244</v>
      </c>
      <c r="E18707" s="1" t="s">
        <v>10</v>
      </c>
      <c r="F18707" s="1" t="str">
        <f>"10.11.44.130"</f>
        <v>10.11.44.130</v>
      </c>
      <c r="G18707" s="1" t="str">
        <f>"9925G792"</f>
        <v>9925G792</v>
      </c>
      <c r="H18707" s="1" t="str">
        <f>"회현지 24L5"</f>
        <v>회현지 24L5</v>
      </c>
      <c r="I18707" s="1" t="s">
        <v>8</v>
      </c>
      <c r="J18707" s="1" t="str">
        <f>"1/1"</f>
        <v>1/1</v>
      </c>
      <c r="K18707" s="1" t="str">
        <f>"2026-07-29 13:18:11"</f>
        <v>2026-07-29 13:18:11</v>
      </c>
      <c r="L18707" s="1" t="str">
        <f>"2019-11-11 20:06:42"</f>
        <v>2019-11-11 20:06:42</v>
      </c>
      <c r="M18707" s="1" t="s">
        <v>2</v>
      </c>
      <c r="N18707" s="1" t="s">
        <v>38</v>
      </c>
      <c r="O18707" s="1" t="s">
        <v>46</v>
      </c>
    </row>
    <row r="18708" spans="2:15" x14ac:dyDescent="0.3">
      <c r="B18708" s="1" t="s">
        <v>13</v>
      </c>
      <c r="C18708" s="1" t="str">
        <f>"2차"</f>
        <v>2차</v>
      </c>
      <c r="D18708" s="1" t="str">
        <f>"9926A06120"</f>
        <v>9926A06120</v>
      </c>
      <c r="E18708" s="1" t="s">
        <v>10</v>
      </c>
      <c r="F18708" s="1" t="str">
        <f>"10.11.7.98"</f>
        <v>10.11.7.98</v>
      </c>
      <c r="G18708" s="1" t="str">
        <f>"9926A061"</f>
        <v>9926A061</v>
      </c>
      <c r="H18708" s="1" t="str">
        <f>"필운지 15"</f>
        <v>필운지 15</v>
      </c>
      <c r="I18708" s="1" t="s">
        <v>8</v>
      </c>
      <c r="J18708" s="1" t="str">
        <f>"16/16"</f>
        <v>16/16</v>
      </c>
      <c r="K18708" s="1" t="str">
        <f>"2026-07-29 13:18:12"</f>
        <v>2026-07-29 13:18:12</v>
      </c>
      <c r="L18708" s="1" t="str">
        <f>"2017-05-25 17:34:18"</f>
        <v>2017-05-25 17:34:18</v>
      </c>
      <c r="M18708" s="1" t="s">
        <v>2</v>
      </c>
      <c r="N18708" s="1" t="s">
        <v>38</v>
      </c>
      <c r="O18708" s="1" t="s">
        <v>46</v>
      </c>
    </row>
    <row r="18709" spans="2:15" x14ac:dyDescent="0.3">
      <c r="B18709" s="1" t="s">
        <v>13</v>
      </c>
      <c r="C18709" s="1" t="str">
        <f>"4차"</f>
        <v>4차</v>
      </c>
      <c r="D18709" s="1" t="str">
        <f>"9926A07121"</f>
        <v>9926A07121</v>
      </c>
      <c r="E18709" s="1" t="s">
        <v>10</v>
      </c>
      <c r="F18709" s="1" t="str">
        <f>"10.11.7.99"</f>
        <v>10.11.7.99</v>
      </c>
      <c r="G18709" s="1" t="str">
        <f>"9926A071"</f>
        <v>9926A071</v>
      </c>
      <c r="H18709" s="1" t="str">
        <f>"필운지 16"</f>
        <v>필운지 16</v>
      </c>
      <c r="I18709" s="1" t="s">
        <v>8</v>
      </c>
      <c r="J18709" s="1" t="str">
        <f>"29/29"</f>
        <v>29/29</v>
      </c>
      <c r="K18709" s="1" t="str">
        <f>"2026-07-29 13:18:12"</f>
        <v>2026-07-29 13:18:12</v>
      </c>
      <c r="L18709" s="1" t="str">
        <f>"2017-05-25 17:34:42"</f>
        <v>2017-05-25 17:34:42</v>
      </c>
      <c r="M18709" s="1" t="s">
        <v>2</v>
      </c>
      <c r="N18709" s="1" t="s">
        <v>38</v>
      </c>
      <c r="O18709" s="1" t="s">
        <v>46</v>
      </c>
    </row>
    <row r="18710" spans="2:15" x14ac:dyDescent="0.3">
      <c r="B18710" s="1" t="s">
        <v>13</v>
      </c>
      <c r="C18710" s="1" t="str">
        <f>"2차"</f>
        <v>2차</v>
      </c>
      <c r="D18710" s="1" t="str">
        <f>"9926A16120"</f>
        <v>9926A16120</v>
      </c>
      <c r="E18710" s="1" t="s">
        <v>10</v>
      </c>
      <c r="F18710" s="1" t="str">
        <f>"10.11.7.90"</f>
        <v>10.11.7.90</v>
      </c>
      <c r="G18710" s="1" t="str">
        <f>"9926A161"</f>
        <v>9926A161</v>
      </c>
      <c r="H18710" s="1" t="str">
        <f>"필운지 14"</f>
        <v>필운지 14</v>
      </c>
      <c r="I18710" s="1" t="s">
        <v>8</v>
      </c>
      <c r="J18710" s="1" t="str">
        <f>"40/40"</f>
        <v>40/40</v>
      </c>
      <c r="K18710" s="1" t="str">
        <f>"2026-07-29 13:18:11"</f>
        <v>2026-07-29 13:18:11</v>
      </c>
      <c r="L18710" s="1" t="str">
        <f>"2017-06-21 17:33:09"</f>
        <v>2017-06-21 17:33:09</v>
      </c>
      <c r="M18710" s="1" t="s">
        <v>2</v>
      </c>
      <c r="N18710" s="1" t="s">
        <v>38</v>
      </c>
      <c r="O18710" s="1" t="s">
        <v>46</v>
      </c>
    </row>
    <row r="18711" spans="2:15" x14ac:dyDescent="0.3">
      <c r="B18711" s="1" t="s">
        <v>13</v>
      </c>
      <c r="C18711" s="1" t="str">
        <f>"2차"</f>
        <v>2차</v>
      </c>
      <c r="D18711" s="1" t="str">
        <f>"9926A36121"</f>
        <v>9926A36121</v>
      </c>
      <c r="E18711" s="1" t="s">
        <v>10</v>
      </c>
      <c r="F18711" s="1" t="str">
        <f>"10.11.45.58"</f>
        <v>10.11.45.58</v>
      </c>
      <c r="G18711" s="1" t="str">
        <f>"9926A361"</f>
        <v>9926A361</v>
      </c>
      <c r="H18711" s="1" t="str">
        <f>"필운지 12"</f>
        <v>필운지 12</v>
      </c>
      <c r="I18711" s="1" t="s">
        <v>8</v>
      </c>
      <c r="J18711" s="1" t="str">
        <f>"19/27"</f>
        <v>19/27</v>
      </c>
      <c r="K18711" s="1" t="str">
        <f>"2026-07-29 13:18:12"</f>
        <v>2026-07-29 13:18:12</v>
      </c>
      <c r="L18711" s="1" t="str">
        <f>"2017-06-22 17:47:45"</f>
        <v>2017-06-22 17:47:45</v>
      </c>
      <c r="M18711" s="1" t="s">
        <v>2</v>
      </c>
      <c r="N18711" s="1" t="s">
        <v>38</v>
      </c>
      <c r="O18711" s="1" t="s">
        <v>46</v>
      </c>
    </row>
    <row r="18712" spans="2:15" x14ac:dyDescent="0.3">
      <c r="B18712" s="1" t="s">
        <v>13</v>
      </c>
      <c r="C18712" s="1" t="s">
        <v>16</v>
      </c>
      <c r="D18712" s="1" t="str">
        <f>"9926A5415S"</f>
        <v>9926A5415S</v>
      </c>
      <c r="E18712" s="1" t="s">
        <v>10</v>
      </c>
      <c r="F18712" s="1" t="str">
        <f>"fde1:103:4:55db:0:0:0:2"</f>
        <v>fde1:103:4:55db:0:0:0:2</v>
      </c>
      <c r="G18712" s="1" t="str">
        <f>"9926A541"</f>
        <v>9926A541</v>
      </c>
      <c r="H18712" s="1" t="str">
        <f>"필운지 7"</f>
        <v>필운지 7</v>
      </c>
      <c r="I18712" s="1" t="s">
        <v>15</v>
      </c>
      <c r="J18712" s="1" t="str">
        <f>"45/45"</f>
        <v>45/45</v>
      </c>
      <c r="K18712" s="1" t="str">
        <f>"2026-07-29 14:21:29"</f>
        <v>2026-07-29 14:21:29</v>
      </c>
      <c r="L18712" s="1" t="str">
        <f>"2023-08-07 10:39:10"</f>
        <v>2023-08-07 10:39:10</v>
      </c>
      <c r="M18712" s="1" t="s">
        <v>4</v>
      </c>
      <c r="N18712" s="1" t="s">
        <v>38</v>
      </c>
      <c r="O18712" s="1" t="s">
        <v>46</v>
      </c>
    </row>
    <row r="18713" spans="2:15" x14ac:dyDescent="0.3">
      <c r="B18713" s="1" t="s">
        <v>13</v>
      </c>
      <c r="C18713" s="1" t="s">
        <v>16</v>
      </c>
      <c r="D18713" s="1" t="str">
        <f>"9926A5915S"</f>
        <v>9926A5915S</v>
      </c>
      <c r="E18713" s="1" t="s">
        <v>10</v>
      </c>
      <c r="F18713" s="1" t="str">
        <f>"fde3:102:1304:1807:0:0:0:3"</f>
        <v>fde3:102:1304:1807:0:0:0:3</v>
      </c>
      <c r="G18713" s="1" t="str">
        <f>"9926A591"</f>
        <v>9926A591</v>
      </c>
      <c r="H18713" s="1" t="str">
        <f>"누하지 15"</f>
        <v>누하지 15</v>
      </c>
      <c r="I18713" s="1" t="s">
        <v>15</v>
      </c>
      <c r="J18713" s="1" t="str">
        <f>"43/45"</f>
        <v>43/45</v>
      </c>
      <c r="K18713" s="1" t="str">
        <f>"2026-07-29 14:21:28"</f>
        <v>2026-07-29 14:21:28</v>
      </c>
      <c r="L18713" s="1" t="str">
        <f>"2023-08-09 10:03:01"</f>
        <v>2023-08-09 10:03:01</v>
      </c>
      <c r="M18713" s="1" t="s">
        <v>45</v>
      </c>
      <c r="N18713" s="1" t="s">
        <v>38</v>
      </c>
      <c r="O18713" s="1" t="s">
        <v>46</v>
      </c>
    </row>
    <row r="18714" spans="2:15" x14ac:dyDescent="0.3">
      <c r="B18714" s="1" t="s">
        <v>13</v>
      </c>
      <c r="C18714" s="1" t="str">
        <f>"2차"</f>
        <v>2차</v>
      </c>
      <c r="D18714" s="1" t="str">
        <f>"9926A61120"</f>
        <v>9926A61120</v>
      </c>
      <c r="E18714" s="1" t="s">
        <v>10</v>
      </c>
      <c r="F18714" s="1" t="str">
        <f>"10.11.2.66"</f>
        <v>10.11.2.66</v>
      </c>
      <c r="G18714" s="1" t="str">
        <f>"9926A611"</f>
        <v>9926A611</v>
      </c>
      <c r="H18714" s="1" t="str">
        <f>"사직지 21R1L3R2"</f>
        <v>사직지 21R1L3R2</v>
      </c>
      <c r="I18714" s="1" t="s">
        <v>8</v>
      </c>
      <c r="J18714" s="1" t="str">
        <f>"5/6"</f>
        <v>5/6</v>
      </c>
      <c r="K18714" s="1" t="str">
        <f>"2026-07-29 13:18:11"</f>
        <v>2026-07-29 13:18:11</v>
      </c>
      <c r="L18714" s="1" t="str">
        <f>"2017-06-22 10:14:08"</f>
        <v>2017-06-22 10:14:08</v>
      </c>
      <c r="M18714" s="1" t="s">
        <v>2</v>
      </c>
      <c r="N18714" s="1" t="s">
        <v>38</v>
      </c>
      <c r="O18714" s="1" t="s">
        <v>46</v>
      </c>
    </row>
    <row r="18715" spans="2:15" x14ac:dyDescent="0.3">
      <c r="B18715" s="1" t="s">
        <v>13</v>
      </c>
      <c r="C18715" s="1" t="str">
        <f>"2차"</f>
        <v>2차</v>
      </c>
      <c r="D18715" s="1" t="str">
        <f>"9926A61221"</f>
        <v>9926A61221</v>
      </c>
      <c r="E18715" s="1" t="s">
        <v>14</v>
      </c>
      <c r="F18715" s="1" t="str">
        <f>"10.11.2.67"</f>
        <v>10.11.2.67</v>
      </c>
      <c r="G18715" s="1" t="str">
        <f>"9926A612"</f>
        <v>9926A612</v>
      </c>
      <c r="H18715" s="1" t="str">
        <f>"사직지 21R1L3R3"</f>
        <v>사직지 21R1L3R3</v>
      </c>
      <c r="I18715" s="1" t="s">
        <v>8</v>
      </c>
      <c r="J18715" s="1" t="str">
        <f>"0/0"</f>
        <v>0/0</v>
      </c>
      <c r="K18715" s="4" t="str">
        <f>"2026-07-29 13:18:12"</f>
        <v>2026-07-29 13:18:12</v>
      </c>
      <c r="L18715" s="1" t="str">
        <f>"2017-06-22 10:22:23"</f>
        <v>2017-06-22 10:22:23</v>
      </c>
      <c r="M18715" s="1" t="s">
        <v>2</v>
      </c>
      <c r="N18715" s="1" t="s">
        <v>38</v>
      </c>
      <c r="O18715" s="1" t="s">
        <v>44</v>
      </c>
    </row>
    <row r="18716" spans="2:15" x14ac:dyDescent="0.3">
      <c r="B18716" s="1" t="s">
        <v>13</v>
      </c>
      <c r="C18716" s="1" t="str">
        <f>"2차"</f>
        <v>2차</v>
      </c>
      <c r="D18716" s="1" t="str">
        <f>"9926A63220"</f>
        <v>9926A63220</v>
      </c>
      <c r="E18716" s="1" t="s">
        <v>10</v>
      </c>
      <c r="F18716" s="1" t="str">
        <f>"10.11.7.114"</f>
        <v>10.11.7.114</v>
      </c>
      <c r="G18716" s="1" t="str">
        <f>"9926A632"</f>
        <v>9926A632</v>
      </c>
      <c r="H18716" s="1" t="str">
        <f>"필운지 6"</f>
        <v>필운지 6</v>
      </c>
      <c r="I18716" s="1" t="s">
        <v>8</v>
      </c>
      <c r="J18716" s="1" t="str">
        <f>"1/7"</f>
        <v>1/7</v>
      </c>
      <c r="K18716" s="1" t="str">
        <f>"2026-07-29 13:18:11"</f>
        <v>2026-07-29 13:18:11</v>
      </c>
      <c r="L18716" s="1" t="str">
        <f>"2017-07-24 10:25:57"</f>
        <v>2017-07-24 10:25:57</v>
      </c>
      <c r="M18716" s="1" t="s">
        <v>2</v>
      </c>
      <c r="N18716" s="1" t="s">
        <v>38</v>
      </c>
      <c r="O18716" s="1" t="s">
        <v>46</v>
      </c>
    </row>
    <row r="18717" spans="2:15" x14ac:dyDescent="0.3">
      <c r="B18717" s="1" t="s">
        <v>13</v>
      </c>
      <c r="C18717" s="1" t="s">
        <v>16</v>
      </c>
      <c r="D18717" s="1" t="str">
        <f>"9926A6425S"</f>
        <v>9926A6425S</v>
      </c>
      <c r="E18717" s="1" t="s">
        <v>10</v>
      </c>
      <c r="F18717" s="1" t="str">
        <f>"fde1:103:4:56ce:0:0:0:2"</f>
        <v>fde1:103:4:56ce:0:0:0:2</v>
      </c>
      <c r="G18717" s="1" t="str">
        <f>"9926A642"</f>
        <v>9926A642</v>
      </c>
      <c r="H18717" s="1" t="str">
        <f>"필운지 5R2"</f>
        <v>필운지 5R2</v>
      </c>
      <c r="I18717" s="1" t="s">
        <v>15</v>
      </c>
      <c r="J18717" s="1" t="str">
        <f>"43/43"</f>
        <v>43/43</v>
      </c>
      <c r="K18717" s="1" t="str">
        <f>"2026-07-29 14:21:29"</f>
        <v>2026-07-29 14:21:29</v>
      </c>
      <c r="L18717" s="1" t="str">
        <f>"2023-08-07 10:51:10"</f>
        <v>2023-08-07 10:51:10</v>
      </c>
      <c r="M18717" s="1" t="s">
        <v>4</v>
      </c>
      <c r="N18717" s="1" t="s">
        <v>38</v>
      </c>
      <c r="O18717" s="1" t="s">
        <v>46</v>
      </c>
    </row>
    <row r="18718" spans="2:15" x14ac:dyDescent="0.3">
      <c r="B18718" s="1" t="s">
        <v>13</v>
      </c>
      <c r="C18718" s="1" t="s">
        <v>16</v>
      </c>
      <c r="D18718" s="1" t="str">
        <f>"9926A6615S"</f>
        <v>9926A6615S</v>
      </c>
      <c r="E18718" s="1" t="s">
        <v>10</v>
      </c>
      <c r="F18718" s="1" t="str">
        <f>"fde1:103:4:55cd:0:0:0:2"</f>
        <v>fde1:103:4:55cd:0:0:0:2</v>
      </c>
      <c r="G18718" s="1" t="str">
        <f>"9926A661"</f>
        <v>9926A661</v>
      </c>
      <c r="H18718" s="1" t="str">
        <f>"필운지 2R6"</f>
        <v>필운지 2R6</v>
      </c>
      <c r="I18718" s="1" t="s">
        <v>15</v>
      </c>
      <c r="J18718" s="1" t="str">
        <f>"48/48"</f>
        <v>48/48</v>
      </c>
      <c r="K18718" s="1" t="str">
        <f>"2026-07-29 14:21:29"</f>
        <v>2026-07-29 14:21:29</v>
      </c>
      <c r="L18718" s="1" t="str">
        <f>"2023-08-07 11:08:55"</f>
        <v>2023-08-07 11:08:55</v>
      </c>
      <c r="M18718" s="1" t="s">
        <v>4</v>
      </c>
      <c r="N18718" s="1" t="s">
        <v>38</v>
      </c>
      <c r="O18718" s="1" t="s">
        <v>46</v>
      </c>
    </row>
    <row r="18719" spans="2:15" x14ac:dyDescent="0.3">
      <c r="B18719" s="1" t="s">
        <v>13</v>
      </c>
      <c r="C18719" s="1" t="s">
        <v>16</v>
      </c>
      <c r="D18719" s="1" t="str">
        <f>"9926A6915S"</f>
        <v>9926A6915S</v>
      </c>
      <c r="E18719" s="1" t="s">
        <v>10</v>
      </c>
      <c r="F18719" s="1" t="str">
        <f>"fde1:103:4:56c1:0:0:0:2"</f>
        <v>fde1:103:4:56c1:0:0:0:2</v>
      </c>
      <c r="G18719" s="1" t="str">
        <f>"9926A691"</f>
        <v>9926A691</v>
      </c>
      <c r="H18719" s="1" t="str">
        <f>"누하지 12"</f>
        <v>누하지 12</v>
      </c>
      <c r="I18719" s="1" t="s">
        <v>15</v>
      </c>
      <c r="J18719" s="1" t="str">
        <f>"44/45"</f>
        <v>44/45</v>
      </c>
      <c r="K18719" s="1" t="str">
        <f>"2026-07-29 14:21:29"</f>
        <v>2026-07-29 14:21:29</v>
      </c>
      <c r="L18719" s="1" t="str">
        <f>"2023-08-07 11:24:27"</f>
        <v>2023-08-07 11:24:27</v>
      </c>
      <c r="M18719" s="1" t="s">
        <v>4</v>
      </c>
      <c r="N18719" s="1" t="s">
        <v>38</v>
      </c>
      <c r="O18719" s="1" t="s">
        <v>46</v>
      </c>
    </row>
    <row r="18720" spans="2:15" x14ac:dyDescent="0.3">
      <c r="B18720" s="1" t="s">
        <v>13</v>
      </c>
      <c r="C18720" s="1" t="s">
        <v>16</v>
      </c>
      <c r="D18720" s="1" t="str">
        <f>"9926A7035S"</f>
        <v>9926A7035S</v>
      </c>
      <c r="E18720" s="1" t="s">
        <v>10</v>
      </c>
      <c r="F18720" s="1" t="str">
        <f>"fde3:102:1304:600:0:0:0:2"</f>
        <v>fde3:102:1304:600:0:0:0:2</v>
      </c>
      <c r="G18720" s="1" t="str">
        <f>"9926A703"</f>
        <v>9926A703</v>
      </c>
      <c r="H18720" s="1" t="str">
        <f>"사직지 21R3"</f>
        <v>사직지 21R3</v>
      </c>
      <c r="I18720" s="1" t="s">
        <v>15</v>
      </c>
      <c r="J18720" s="1" t="str">
        <f>"41/43"</f>
        <v>41/43</v>
      </c>
      <c r="K18720" s="1" t="str">
        <f>"2026-07-29 14:21:37"</f>
        <v>2026-07-29 14:21:37</v>
      </c>
      <c r="L18720" s="1" t="str">
        <f>"2023-08-09 09:22:30"</f>
        <v>2023-08-09 09:22:30</v>
      </c>
      <c r="M18720" s="1" t="s">
        <v>45</v>
      </c>
      <c r="N18720" s="1" t="s">
        <v>38</v>
      </c>
      <c r="O18720" s="1" t="s">
        <v>46</v>
      </c>
    </row>
    <row r="18721" spans="2:15" x14ac:dyDescent="0.3">
      <c r="B18721" s="1" t="s">
        <v>13</v>
      </c>
      <c r="C18721" s="1" t="s">
        <v>16</v>
      </c>
      <c r="D18721" s="1" t="str">
        <f>"9926A7725S"</f>
        <v>9926A7725S</v>
      </c>
      <c r="E18721" s="1" t="s">
        <v>12</v>
      </c>
      <c r="F18721" s="1" t="str">
        <f>"fde3:102:1304:1807:0:0:0:2"</f>
        <v>fde3:102:1304:1807:0:0:0:2</v>
      </c>
      <c r="G18721" s="1" t="str">
        <f>"9926A772"</f>
        <v>9926A772</v>
      </c>
      <c r="H18721" s="1" t="str">
        <f>"누하지 9L3"</f>
        <v>누하지 9L3</v>
      </c>
      <c r="I18721" s="1" t="s">
        <v>15</v>
      </c>
      <c r="J18721" s="1" t="str">
        <f>"0/47"</f>
        <v>0/47</v>
      </c>
      <c r="K18721" s="1" t="str">
        <f>"2026-05-18 08:21:08"</f>
        <v>2026-05-18 08:21:08</v>
      </c>
      <c r="L18721" s="1" t="str">
        <f>"2023-08-09 09:43:47"</f>
        <v>2023-08-09 09:43:47</v>
      </c>
      <c r="M18721" s="1" t="s">
        <v>45</v>
      </c>
      <c r="N18721" s="1" t="s">
        <v>38</v>
      </c>
      <c r="O18721" s="1" t="s">
        <v>46</v>
      </c>
    </row>
    <row r="18722" spans="2:15" x14ac:dyDescent="0.3">
      <c r="B18722" s="1" t="s">
        <v>13</v>
      </c>
      <c r="C18722" s="1" t="str">
        <f>"1차"</f>
        <v>1차</v>
      </c>
      <c r="D18722" s="1" t="str">
        <f>"9926A83100"</f>
        <v>9926A83100</v>
      </c>
      <c r="E18722" s="1" t="s">
        <v>10</v>
      </c>
      <c r="F18722" s="1" t="str">
        <f>"10.89.0.152"</f>
        <v>10.89.0.152</v>
      </c>
      <c r="G18722" s="1" t="str">
        <f>"9926A831"</f>
        <v>9926A831</v>
      </c>
      <c r="H18722" s="1" t="str">
        <f>"필운지 2"</f>
        <v>필운지 2</v>
      </c>
      <c r="I18722" s="1" t="s">
        <v>8</v>
      </c>
      <c r="J18722" s="1" t="str">
        <f>"5/5"</f>
        <v>5/5</v>
      </c>
      <c r="K18722" s="1" t="str">
        <f>"2026-07-29 13:18:11"</f>
        <v>2026-07-29 13:18:11</v>
      </c>
      <c r="L18722" s="1" t="str">
        <f>"2014-11-12 11:39:07"</f>
        <v>2014-11-12 11:39:07</v>
      </c>
      <c r="M18722" s="1" t="s">
        <v>45</v>
      </c>
      <c r="N18722" s="1" t="s">
        <v>38</v>
      </c>
      <c r="O18722" s="1" t="s">
        <v>46</v>
      </c>
    </row>
    <row r="18723" spans="2:15" x14ac:dyDescent="0.3">
      <c r="B18723" s="1" t="s">
        <v>13</v>
      </c>
      <c r="C18723" s="1" t="str">
        <f>"2차"</f>
        <v>2차</v>
      </c>
      <c r="D18723" s="1" t="str">
        <f>"9926A84122"</f>
        <v>9926A84122</v>
      </c>
      <c r="E18723" s="1" t="s">
        <v>10</v>
      </c>
      <c r="F18723" s="1" t="str">
        <f>"10.11.7.52"</f>
        <v>10.11.7.52</v>
      </c>
      <c r="G18723" s="1" t="str">
        <f>"9926A841"</f>
        <v>9926A841</v>
      </c>
      <c r="H18723" s="1" t="str">
        <f>"필운지 2R1"</f>
        <v>필운지 2R1</v>
      </c>
      <c r="I18723" s="1" t="s">
        <v>8</v>
      </c>
      <c r="J18723" s="1" t="str">
        <f>"4/4"</f>
        <v>4/4</v>
      </c>
      <c r="K18723" s="1" t="str">
        <f>"2026-07-29 13:18:12"</f>
        <v>2026-07-29 13:18:12</v>
      </c>
      <c r="L18723" s="1" t="str">
        <f>"2017-07-20 14:56:43"</f>
        <v>2017-07-20 14:56:43</v>
      </c>
      <c r="M18723" s="1" t="s">
        <v>2</v>
      </c>
      <c r="N18723" s="1" t="s">
        <v>38</v>
      </c>
      <c r="O18723" s="1" t="s">
        <v>46</v>
      </c>
    </row>
    <row r="18724" spans="2:15" x14ac:dyDescent="0.3">
      <c r="B18724" s="1" t="s">
        <v>13</v>
      </c>
      <c r="C18724" s="1" t="s">
        <v>16</v>
      </c>
      <c r="D18724" s="1" t="str">
        <f>"9926A8425S"</f>
        <v>9926A8425S</v>
      </c>
      <c r="E18724" s="1" t="s">
        <v>10</v>
      </c>
      <c r="F18724" s="1" t="str">
        <f>"fde1:103:4:56e5:0:0:0:2"</f>
        <v>fde1:103:4:56e5:0:0:0:2</v>
      </c>
      <c r="G18724" s="1" t="str">
        <f>"9926A842"</f>
        <v>9926A842</v>
      </c>
      <c r="H18724" s="1" t="str">
        <f>"필운지 2R2"</f>
        <v>필운지 2R2</v>
      </c>
      <c r="I18724" s="1" t="s">
        <v>15</v>
      </c>
      <c r="J18724" s="1" t="str">
        <f>"41/41"</f>
        <v>41/41</v>
      </c>
      <c r="K18724" s="1" t="str">
        <f>"2026-07-29 14:21:43"</f>
        <v>2026-07-29 14:21:43</v>
      </c>
      <c r="L18724" s="1" t="str">
        <f>"2023-08-07 11:36:29"</f>
        <v>2023-08-07 11:36:29</v>
      </c>
      <c r="M18724" s="1" t="s">
        <v>4</v>
      </c>
      <c r="N18724" s="1" t="s">
        <v>38</v>
      </c>
      <c r="O18724" s="1" t="s">
        <v>46</v>
      </c>
    </row>
    <row r="18725" spans="2:15" x14ac:dyDescent="0.3">
      <c r="B18725" s="1" t="s">
        <v>13</v>
      </c>
      <c r="C18725" s="1" t="s">
        <v>16</v>
      </c>
      <c r="D18725" s="1" t="str">
        <f>"9926A8515S"</f>
        <v>9926A8515S</v>
      </c>
      <c r="E18725" s="1" t="s">
        <v>10</v>
      </c>
      <c r="F18725" s="1" t="str">
        <f>"fde1:103:4:55c7:0:0:0:2"</f>
        <v>fde1:103:4:55c7:0:0:0:2</v>
      </c>
      <c r="G18725" s="1" t="str">
        <f>"9926A851"</f>
        <v>9926A851</v>
      </c>
      <c r="H18725" s="1" t="str">
        <f>"필운지 2R3"</f>
        <v>필운지 2R3</v>
      </c>
      <c r="I18725" s="1" t="s">
        <v>15</v>
      </c>
      <c r="J18725" s="1" t="str">
        <f>"32/32"</f>
        <v>32/32</v>
      </c>
      <c r="K18725" s="1" t="str">
        <f>"2026-07-29 14:21:30"</f>
        <v>2026-07-29 14:21:30</v>
      </c>
      <c r="L18725" s="1" t="str">
        <f>"2023-08-07 15:38:21"</f>
        <v>2023-08-07 15:38:21</v>
      </c>
      <c r="M18725" s="1" t="s">
        <v>4</v>
      </c>
      <c r="N18725" s="1" t="s">
        <v>38</v>
      </c>
      <c r="O18725" s="1" t="s">
        <v>46</v>
      </c>
    </row>
    <row r="18726" spans="2:15" x14ac:dyDescent="0.3">
      <c r="B18726" s="1" t="s">
        <v>13</v>
      </c>
      <c r="C18726" s="1" t="str">
        <f>"2차"</f>
        <v>2차</v>
      </c>
      <c r="D18726" s="1" t="str">
        <f>"9926A86120"</f>
        <v>9926A86120</v>
      </c>
      <c r="E18726" s="1" t="s">
        <v>10</v>
      </c>
      <c r="F18726" s="1" t="str">
        <f>"10.11.1.58"</f>
        <v>10.11.1.58</v>
      </c>
      <c r="G18726" s="1" t="str">
        <f>"9926A861"</f>
        <v>9926A861</v>
      </c>
      <c r="H18726" s="1" t="str">
        <f>"누하지 9L1L1"</f>
        <v>누하지 9L1L1</v>
      </c>
      <c r="I18726" s="1" t="s">
        <v>8</v>
      </c>
      <c r="J18726" s="1" t="str">
        <f>"16/18"</f>
        <v>16/18</v>
      </c>
      <c r="K18726" s="1" t="str">
        <f>"2026-07-29 13:18:12"</f>
        <v>2026-07-29 13:18:12</v>
      </c>
      <c r="L18726" s="1" t="str">
        <f>"2017-06-22 12:06:54"</f>
        <v>2017-06-22 12:06:54</v>
      </c>
      <c r="M18726" s="1" t="s">
        <v>2</v>
      </c>
      <c r="N18726" s="1" t="s">
        <v>38</v>
      </c>
      <c r="O18726" s="1" t="s">
        <v>46</v>
      </c>
    </row>
    <row r="18727" spans="2:15" x14ac:dyDescent="0.3">
      <c r="B18727" s="1" t="s">
        <v>13</v>
      </c>
      <c r="C18727" s="1" t="s">
        <v>16</v>
      </c>
      <c r="D18727" s="1" t="str">
        <f>"9926A8645S"</f>
        <v>9926A8645S</v>
      </c>
      <c r="E18727" s="1" t="s">
        <v>10</v>
      </c>
      <c r="F18727" s="1" t="str">
        <f>"fde1:103:4:55e6:0:0:0:2"</f>
        <v>fde1:103:4:55e6:0:0:0:2</v>
      </c>
      <c r="G18727" s="1" t="str">
        <f>"9926A864"</f>
        <v>9926A864</v>
      </c>
      <c r="H18727" s="1" t="str">
        <f>"필운지 2R4"</f>
        <v>필운지 2R4</v>
      </c>
      <c r="I18727" s="1" t="s">
        <v>15</v>
      </c>
      <c r="J18727" s="1" t="str">
        <f>"28/34"</f>
        <v>28/34</v>
      </c>
      <c r="K18727" s="1" t="str">
        <f>"2026-07-29 14:21:30"</f>
        <v>2026-07-29 14:21:30</v>
      </c>
      <c r="L18727" s="1" t="str">
        <f>"2023-08-07 12:03:25"</f>
        <v>2023-08-07 12:03:25</v>
      </c>
      <c r="M18727" s="1" t="s">
        <v>4</v>
      </c>
      <c r="N18727" s="1" t="s">
        <v>38</v>
      </c>
      <c r="O18727" s="1" t="s">
        <v>46</v>
      </c>
    </row>
    <row r="18728" spans="2:15" x14ac:dyDescent="0.3">
      <c r="B18728" s="1" t="s">
        <v>13</v>
      </c>
      <c r="C18728" s="1" t="str">
        <f>"2차"</f>
        <v>2차</v>
      </c>
      <c r="D18728" s="1" t="str">
        <f>"9926A93320"</f>
        <v>9926A93320</v>
      </c>
      <c r="E18728" s="1" t="s">
        <v>10</v>
      </c>
      <c r="F18728" s="1" t="str">
        <f>"10.11.7.50"</f>
        <v>10.11.7.50</v>
      </c>
      <c r="G18728" s="1" t="str">
        <f>"9926A933"</f>
        <v>9926A933</v>
      </c>
      <c r="H18728" s="1" t="str">
        <f>"필운지 1"</f>
        <v>필운지 1</v>
      </c>
      <c r="I18728" s="1" t="s">
        <v>8</v>
      </c>
      <c r="J18728" s="1" t="str">
        <f>"5/5"</f>
        <v>5/5</v>
      </c>
      <c r="K18728" s="1" t="str">
        <f>"2026-07-29 13:18:12"</f>
        <v>2026-07-29 13:18:12</v>
      </c>
      <c r="L18728" s="1" t="str">
        <f>"2017-05-25 17:34:04"</f>
        <v>2017-05-25 17:34:04</v>
      </c>
      <c r="M18728" s="1" t="s">
        <v>2</v>
      </c>
      <c r="N18728" s="1" t="s">
        <v>38</v>
      </c>
      <c r="O18728" s="1" t="s">
        <v>46</v>
      </c>
    </row>
    <row r="18729" spans="2:15" x14ac:dyDescent="0.3">
      <c r="B18729" s="1" t="s">
        <v>13</v>
      </c>
      <c r="C18729" s="1" t="str">
        <f>"4차"</f>
        <v>4차</v>
      </c>
      <c r="D18729" s="1" t="str">
        <f>"9926A93439"</f>
        <v>9926A93439</v>
      </c>
      <c r="E18729" s="1" t="s">
        <v>10</v>
      </c>
      <c r="F18729" s="1" t="str">
        <f>"10.12.132.125"</f>
        <v>10.12.132.125</v>
      </c>
      <c r="G18729" s="1" t="str">
        <f>"9926A934"</f>
        <v>9926A934</v>
      </c>
      <c r="H18729" s="1" t="str">
        <f>"궁정로 1-1"</f>
        <v>궁정로 1-1</v>
      </c>
      <c r="I18729" s="1" t="s">
        <v>17</v>
      </c>
      <c r="J18729" s="1" t="str">
        <f>"12/12"</f>
        <v>12/12</v>
      </c>
      <c r="K18729" s="1" t="str">
        <f>"2026-07-29 13:18:12"</f>
        <v>2026-07-29 13:18:12</v>
      </c>
      <c r="L18729" s="1" t="str">
        <f>"2018-06-11 13:38:45"</f>
        <v>2018-06-11 13:38:45</v>
      </c>
      <c r="M18729" s="1" t="s">
        <v>0</v>
      </c>
      <c r="N18729" s="1" t="s">
        <v>38</v>
      </c>
      <c r="O18729" s="1" t="s">
        <v>46</v>
      </c>
    </row>
    <row r="18730" spans="2:15" x14ac:dyDescent="0.3">
      <c r="B18730" s="1" t="s">
        <v>13</v>
      </c>
      <c r="C18730" s="1" t="str">
        <f>"4차"</f>
        <v>4차</v>
      </c>
      <c r="D18730" s="1" t="str">
        <f>"9926A94221"</f>
        <v>9926A94221</v>
      </c>
      <c r="E18730" s="1" t="s">
        <v>10</v>
      </c>
      <c r="F18730" s="1" t="str">
        <f>"10.11.7.51"</f>
        <v>10.11.7.51</v>
      </c>
      <c r="G18730" s="1" t="str">
        <f>"9926A942"</f>
        <v>9926A942</v>
      </c>
      <c r="H18730" s="1" t="str">
        <f>"필운지 1R1"</f>
        <v>필운지 1R1</v>
      </c>
      <c r="I18730" s="1" t="s">
        <v>8</v>
      </c>
      <c r="J18730" s="1" t="str">
        <f>"11/11"</f>
        <v>11/11</v>
      </c>
      <c r="K18730" s="1" t="str">
        <f>"2026-07-29 13:18:12"</f>
        <v>2026-07-29 13:18:12</v>
      </c>
      <c r="L18730" s="1" t="str">
        <f>"2017-05-25 17:34:30"</f>
        <v>2017-05-25 17:34:30</v>
      </c>
      <c r="M18730" s="1" t="s">
        <v>2</v>
      </c>
      <c r="N18730" s="1" t="s">
        <v>38</v>
      </c>
      <c r="O18730" s="1" t="s">
        <v>46</v>
      </c>
    </row>
    <row r="18731" spans="2:15" x14ac:dyDescent="0.3">
      <c r="B18731" s="1" t="s">
        <v>13</v>
      </c>
      <c r="C18731" s="1" t="s">
        <v>16</v>
      </c>
      <c r="D18731" s="1" t="str">
        <f>"9926B07241"</f>
        <v>9926B07241</v>
      </c>
      <c r="E18731" s="1" t="s">
        <v>10</v>
      </c>
      <c r="F18731" s="1" t="str">
        <f>"10.14.6.131"</f>
        <v>10.14.6.131</v>
      </c>
      <c r="G18731" s="1" t="str">
        <f>"9926B072"</f>
        <v>9926B072</v>
      </c>
      <c r="H18731" s="1" t="str">
        <f>"효자간 14R2"</f>
        <v>효자간 14R2</v>
      </c>
      <c r="I18731" s="1" t="s">
        <v>17</v>
      </c>
      <c r="J18731" s="1" t="str">
        <f>"13/13"</f>
        <v>13/13</v>
      </c>
      <c r="K18731" s="1" t="str">
        <f>"2026-07-29 13:18:13"</f>
        <v>2026-07-29 13:18:13</v>
      </c>
      <c r="L18731" s="1" t="str">
        <f>"2022-11-16 14:52:44"</f>
        <v>2022-11-16 14:52:44</v>
      </c>
      <c r="M18731" s="1" t="s">
        <v>3</v>
      </c>
      <c r="N18731" s="1" t="s">
        <v>38</v>
      </c>
      <c r="O18731" s="1" t="s">
        <v>46</v>
      </c>
    </row>
    <row r="18732" spans="2:15" x14ac:dyDescent="0.3">
      <c r="B18732" s="1" t="s">
        <v>13</v>
      </c>
      <c r="C18732" s="1" t="s">
        <v>16</v>
      </c>
      <c r="D18732" s="1" t="str">
        <f>"9926B17441"</f>
        <v>9926B17441</v>
      </c>
      <c r="E18732" s="1" t="s">
        <v>10</v>
      </c>
      <c r="F18732" s="1" t="str">
        <f>"10.14.14.130"</f>
        <v>10.14.14.130</v>
      </c>
      <c r="G18732" s="1" t="str">
        <f>"9926B174"</f>
        <v>9926B174</v>
      </c>
      <c r="H18732" s="1" t="str">
        <f>"효자간 14R3"</f>
        <v>효자간 14R3</v>
      </c>
      <c r="I18732" s="1" t="s">
        <v>17</v>
      </c>
      <c r="J18732" s="1" t="str">
        <f>"23/23"</f>
        <v>23/23</v>
      </c>
      <c r="K18732" s="1" t="str">
        <f>"2026-07-29 13:18:13"</f>
        <v>2026-07-29 13:18:13</v>
      </c>
      <c r="L18732" s="1" t="str">
        <f>"2022-11-16 15:40:49"</f>
        <v>2022-11-16 15:40:49</v>
      </c>
      <c r="M18732" s="1" t="s">
        <v>3</v>
      </c>
      <c r="N18732" s="1" t="s">
        <v>38</v>
      </c>
      <c r="O18732" s="1" t="s">
        <v>46</v>
      </c>
    </row>
    <row r="18733" spans="2:15" x14ac:dyDescent="0.3">
      <c r="B18733" s="1" t="s">
        <v>13</v>
      </c>
      <c r="C18733" s="1" t="s">
        <v>16</v>
      </c>
      <c r="D18733" s="1" t="str">
        <f>"9926B23141"</f>
        <v>9926B23141</v>
      </c>
      <c r="E18733" s="1" t="s">
        <v>10</v>
      </c>
      <c r="F18733" s="1" t="str">
        <f>"10.14.6.129"</f>
        <v>10.14.6.129</v>
      </c>
      <c r="G18733" s="1" t="str">
        <f>"9926B231"</f>
        <v>9926B231</v>
      </c>
      <c r="H18733" s="1" t="str">
        <f>"효자간 10R4"</f>
        <v>효자간 10R4</v>
      </c>
      <c r="I18733" s="1" t="s">
        <v>17</v>
      </c>
      <c r="J18733" s="1" t="str">
        <f>"7/8"</f>
        <v>7/8</v>
      </c>
      <c r="K18733" s="1" t="str">
        <f>"2026-07-29 13:18:15"</f>
        <v>2026-07-29 13:18:15</v>
      </c>
      <c r="L18733" s="1" t="str">
        <f>"2022-11-24 17:18:31"</f>
        <v>2022-11-24 17:18:31</v>
      </c>
      <c r="M18733" s="1" t="s">
        <v>3</v>
      </c>
      <c r="N18733" s="1" t="s">
        <v>38</v>
      </c>
      <c r="O18733" s="1" t="s">
        <v>46</v>
      </c>
    </row>
    <row r="18734" spans="2:15" x14ac:dyDescent="0.3">
      <c r="B18734" s="1" t="s">
        <v>13</v>
      </c>
      <c r="C18734" s="1" t="str">
        <f>"5-1차"</f>
        <v>5-1차</v>
      </c>
      <c r="D18734" s="1" t="str">
        <f>"9926C0515S"</f>
        <v>9926C0515S</v>
      </c>
      <c r="E18734" s="1" t="s">
        <v>10</v>
      </c>
      <c r="F18734" s="1" t="str">
        <f>"fde3:102:1304:101:0:0:0:2"</f>
        <v>fde3:102:1304:101:0:0:0:2</v>
      </c>
      <c r="G18734" s="1" t="str">
        <f>"9926C051"</f>
        <v>9926C051</v>
      </c>
      <c r="H18734" s="1" t="str">
        <f>"사직지 32L4"</f>
        <v>사직지 32L4</v>
      </c>
      <c r="I18734" s="1" t="s">
        <v>15</v>
      </c>
      <c r="J18734" s="1" t="str">
        <f>"36/36"</f>
        <v>36/36</v>
      </c>
      <c r="K18734" s="1" t="str">
        <f>"2026-07-29 14:21:31"</f>
        <v>2026-07-29 14:21:31</v>
      </c>
      <c r="L18734" s="1" t="str">
        <f>"2022-11-25 13:19:18"</f>
        <v>2022-11-25 13:19:18</v>
      </c>
      <c r="M18734" s="1" t="s">
        <v>45</v>
      </c>
      <c r="N18734" s="1" t="s">
        <v>38</v>
      </c>
      <c r="O18734" s="1" t="s">
        <v>46</v>
      </c>
    </row>
    <row r="18735" spans="2:15" x14ac:dyDescent="0.3">
      <c r="B18735" s="1" t="s">
        <v>13</v>
      </c>
      <c r="C18735" s="1" t="str">
        <f>"5-1차"</f>
        <v>5-1차</v>
      </c>
      <c r="D18735" s="1" t="str">
        <f>"9926C3515M"</f>
        <v>9926C3515M</v>
      </c>
      <c r="E18735" s="1" t="s">
        <v>10</v>
      </c>
      <c r="F18735" s="1" t="str">
        <f>"fde3:102:1304:100:0:0:0:2"</f>
        <v>fde3:102:1304:100:0:0:0:2</v>
      </c>
      <c r="G18735" s="1" t="str">
        <f>"9926C351"</f>
        <v>9926C351</v>
      </c>
      <c r="H18735" s="1" t="str">
        <f>"서대문간 20L13L2"</f>
        <v>서대문간 20L13L2</v>
      </c>
      <c r="I18735" s="1" t="s">
        <v>15</v>
      </c>
      <c r="J18735" s="1" t="str">
        <f>"31/32"</f>
        <v>31/32</v>
      </c>
      <c r="K18735" s="1" t="str">
        <f>"2026-07-29 14:21:31"</f>
        <v>2026-07-29 14:21:31</v>
      </c>
      <c r="L18735" s="1" t="str">
        <f>"2022-11-25 13:16:59"</f>
        <v>2022-11-25 13:16:59</v>
      </c>
      <c r="M18735" s="1" t="s">
        <v>45</v>
      </c>
      <c r="N18735" s="1" t="s">
        <v>38</v>
      </c>
      <c r="O18735" s="1" t="s">
        <v>46</v>
      </c>
    </row>
    <row r="18736" spans="2:15" x14ac:dyDescent="0.3">
      <c r="B18736" s="1" t="s">
        <v>13</v>
      </c>
      <c r="C18736" s="1" t="str">
        <f>"4차"</f>
        <v>4차</v>
      </c>
      <c r="D18736" s="1" t="str">
        <f>"9926C76239"</f>
        <v>9926C76239</v>
      </c>
      <c r="E18736" s="1" t="s">
        <v>10</v>
      </c>
      <c r="F18736" s="1" t="str">
        <f>"10.12.131.48"</f>
        <v>10.12.131.48</v>
      </c>
      <c r="G18736" s="1" t="str">
        <f>"9926C762"</f>
        <v>9926C762</v>
      </c>
      <c r="H18736" s="1" t="str">
        <f>"도렴로 1"</f>
        <v>도렴로 1</v>
      </c>
      <c r="I18736" s="1" t="s">
        <v>17</v>
      </c>
      <c r="J18736" s="1" t="str">
        <f>"2/2"</f>
        <v>2/2</v>
      </c>
      <c r="K18736" s="1" t="str">
        <f>"2026-07-29 13:18:15"</f>
        <v>2026-07-29 13:18:15</v>
      </c>
      <c r="L18736" s="1" t="str">
        <f>"2018-10-19 14:23:57"</f>
        <v>2018-10-19 14:23:57</v>
      </c>
      <c r="M18736" s="1" t="s">
        <v>0</v>
      </c>
      <c r="N18736" s="1" t="s">
        <v>38</v>
      </c>
      <c r="O18736" s="1" t="s">
        <v>46</v>
      </c>
    </row>
    <row r="18737" spans="2:15" x14ac:dyDescent="0.3">
      <c r="B18737" s="1" t="s">
        <v>13</v>
      </c>
      <c r="C18737" s="1" t="str">
        <f>"4차"</f>
        <v>4차</v>
      </c>
      <c r="D18737" s="1" t="str">
        <f>"9926D13239"</f>
        <v>9926D13239</v>
      </c>
      <c r="E18737" s="1" t="s">
        <v>10</v>
      </c>
      <c r="F18737" s="1" t="str">
        <f>"10.12.130.96"</f>
        <v>10.12.130.96</v>
      </c>
      <c r="G18737" s="1" t="str">
        <f>"9926D132"</f>
        <v>9926D132</v>
      </c>
      <c r="H18737" s="1" t="str">
        <f>"신문로 L2-1"</f>
        <v>신문로 L2-1</v>
      </c>
      <c r="I18737" s="1" t="s">
        <v>17</v>
      </c>
      <c r="J18737" s="1" t="str">
        <f>"1/1"</f>
        <v>1/1</v>
      </c>
      <c r="K18737" s="1" t="str">
        <f>"2026-07-29 13:18:13"</f>
        <v>2026-07-29 13:18:13</v>
      </c>
      <c r="L18737" s="1" t="str">
        <f>"2018-10-19 15:30:42"</f>
        <v>2018-10-19 15:30:42</v>
      </c>
      <c r="M18737" s="1" t="s">
        <v>0</v>
      </c>
      <c r="N18737" s="1" t="s">
        <v>38</v>
      </c>
      <c r="O18737" s="1" t="s">
        <v>46</v>
      </c>
    </row>
    <row r="18738" spans="2:15" x14ac:dyDescent="0.3">
      <c r="B18738" s="1" t="s">
        <v>13</v>
      </c>
      <c r="C18738" s="1" t="str">
        <f>"4차"</f>
        <v>4차</v>
      </c>
      <c r="D18738" s="1" t="str">
        <f>"9926E11339"</f>
        <v>9926E11339</v>
      </c>
      <c r="E18738" s="1" t="s">
        <v>10</v>
      </c>
      <c r="F18738" s="1" t="str">
        <f>"10.12.137.200"</f>
        <v>10.12.137.200</v>
      </c>
      <c r="G18738" s="1" t="str">
        <f>"9926E113"</f>
        <v>9926E113</v>
      </c>
      <c r="H18738" s="1" t="str">
        <f>"안국로 L7"</f>
        <v>안국로 L7</v>
      </c>
      <c r="I18738" s="1" t="s">
        <v>17</v>
      </c>
      <c r="J18738" s="1" t="str">
        <f>"6/6"</f>
        <v>6/6</v>
      </c>
      <c r="K18738" s="1" t="str">
        <f>"2026-07-29 13:18:13"</f>
        <v>2026-07-29 13:18:13</v>
      </c>
      <c r="L18738" s="1" t="str">
        <f>"2018-05-11 11:36:42"</f>
        <v>2018-05-11 11:36:42</v>
      </c>
      <c r="M18738" s="1" t="s">
        <v>0</v>
      </c>
      <c r="N18738" s="1" t="s">
        <v>38</v>
      </c>
      <c r="O18738" s="1" t="s">
        <v>46</v>
      </c>
    </row>
    <row r="18739" spans="2:15" x14ac:dyDescent="0.3">
      <c r="B18739" s="1" t="s">
        <v>13</v>
      </c>
      <c r="C18739" s="1" t="str">
        <f>"4차"</f>
        <v>4차</v>
      </c>
      <c r="D18739" s="1" t="str">
        <f>"9926E25339"</f>
        <v>9926E25339</v>
      </c>
      <c r="E18739" s="1" t="s">
        <v>14</v>
      </c>
      <c r="F18739" s="1" t="str">
        <f>"10.12.130.109"</f>
        <v>10.12.130.109</v>
      </c>
      <c r="G18739" s="1" t="str">
        <f>"9926E253"</f>
        <v>9926E253</v>
      </c>
      <c r="H18739" s="1" t="str">
        <f>"팔판로 1-6"</f>
        <v>팔판로 1-6</v>
      </c>
      <c r="I18739" s="1" t="s">
        <v>17</v>
      </c>
      <c r="J18739" s="1" t="str">
        <f>"0/0"</f>
        <v>0/0</v>
      </c>
      <c r="K18739" s="1" t="str">
        <f>"2026-06-10 07:18:12"</f>
        <v>2026-06-10 07:18:12</v>
      </c>
      <c r="L18739" s="1" t="str">
        <f>"2019-01-15 09:06:55"</f>
        <v>2019-01-15 09:06:55</v>
      </c>
      <c r="M18739" s="1" t="s">
        <v>0</v>
      </c>
      <c r="N18739" s="1" t="s">
        <v>39</v>
      </c>
      <c r="O18739" s="1" t="s">
        <v>46</v>
      </c>
    </row>
    <row r="18740" spans="2:15" x14ac:dyDescent="0.3">
      <c r="B18740" s="1" t="s">
        <v>13</v>
      </c>
      <c r="C18740" s="1" t="s">
        <v>16</v>
      </c>
      <c r="D18740" s="1" t="str">
        <f>"9926E46141"</f>
        <v>9926E46141</v>
      </c>
      <c r="E18740" s="1" t="s">
        <v>10</v>
      </c>
      <c r="F18740" s="1" t="str">
        <f>"10.14.13.202"</f>
        <v>10.14.13.202</v>
      </c>
      <c r="G18740" s="1" t="str">
        <f>"9926E461"</f>
        <v>9926E461</v>
      </c>
      <c r="H18740" s="1" t="str">
        <f>"전동간 32L7L1"</f>
        <v>전동간 32L7L1</v>
      </c>
      <c r="I18740" s="1" t="s">
        <v>17</v>
      </c>
      <c r="J18740" s="1" t="str">
        <f>"12/18"</f>
        <v>12/18</v>
      </c>
      <c r="K18740" s="1" t="str">
        <f>"2026-07-29 13:18:12"</f>
        <v>2026-07-29 13:18:12</v>
      </c>
      <c r="L18740" s="1" t="str">
        <f>"2022-11-16 14:24:31"</f>
        <v>2022-11-16 14:24:31</v>
      </c>
      <c r="M18740" s="1" t="s">
        <v>3</v>
      </c>
      <c r="N18740" s="1" t="s">
        <v>38</v>
      </c>
      <c r="O18740" s="1" t="s">
        <v>46</v>
      </c>
    </row>
    <row r="18741" spans="2:15" x14ac:dyDescent="0.3">
      <c r="B18741" s="1" t="s">
        <v>13</v>
      </c>
      <c r="C18741" s="1" t="str">
        <f>"3차"</f>
        <v>3차</v>
      </c>
      <c r="D18741" s="1" t="str">
        <f>"9926E60139"</f>
        <v>9926E60139</v>
      </c>
      <c r="E18741" s="1" t="s">
        <v>10</v>
      </c>
      <c r="F18741" s="1" t="str">
        <f>"10.11.27.234"</f>
        <v>10.11.27.234</v>
      </c>
      <c r="G18741" s="1" t="str">
        <f>"9926E601"</f>
        <v>9926E601</v>
      </c>
      <c r="H18741" s="1" t="str">
        <f>"청진지 7R11"</f>
        <v>청진지 7R11</v>
      </c>
      <c r="I18741" s="1" t="s">
        <v>8</v>
      </c>
      <c r="J18741" s="1" t="str">
        <f>"20/20"</f>
        <v>20/20</v>
      </c>
      <c r="K18741" s="1" t="str">
        <f>"2026-07-29 13:18:12"</f>
        <v>2026-07-29 13:18:12</v>
      </c>
      <c r="L18741" s="1" t="str">
        <f>"2018-03-02 16:24:43"</f>
        <v>2018-03-02 16:24:43</v>
      </c>
      <c r="M18741" s="1" t="s">
        <v>2</v>
      </c>
      <c r="N18741" s="1" t="s">
        <v>38</v>
      </c>
      <c r="O18741" s="1" t="s">
        <v>46</v>
      </c>
    </row>
    <row r="18742" spans="2:15" x14ac:dyDescent="0.3">
      <c r="B18742" s="1" t="s">
        <v>13</v>
      </c>
      <c r="C18742" s="1" t="str">
        <f t="shared" ref="C18742:C18748" si="932">"4차"</f>
        <v>4차</v>
      </c>
      <c r="D18742" s="1" t="str">
        <f>"9926E75639"</f>
        <v>9926E75639</v>
      </c>
      <c r="E18742" s="1" t="s">
        <v>10</v>
      </c>
      <c r="F18742" s="1" t="str">
        <f>"10.12.130.77"</f>
        <v>10.12.130.77</v>
      </c>
      <c r="G18742" s="1" t="str">
        <f>"9926E756"</f>
        <v>9926E756</v>
      </c>
      <c r="H18742" s="1" t="str">
        <f>"율곡로 L1-1"</f>
        <v>율곡로 L1-1</v>
      </c>
      <c r="I18742" s="1" t="s">
        <v>17</v>
      </c>
      <c r="J18742" s="1" t="str">
        <f>"1/1"</f>
        <v>1/1</v>
      </c>
      <c r="K18742" s="1" t="str">
        <f t="shared" ref="K18742:K18748" si="933">"2026-07-29 13:18:13"</f>
        <v>2026-07-29 13:18:13</v>
      </c>
      <c r="L18742" s="1" t="str">
        <f>"2018-10-24 09:22:11"</f>
        <v>2018-10-24 09:22:11</v>
      </c>
      <c r="M18742" s="1" t="s">
        <v>0</v>
      </c>
      <c r="N18742" s="1" t="s">
        <v>38</v>
      </c>
      <c r="O18742" s="1" t="s">
        <v>46</v>
      </c>
    </row>
    <row r="18743" spans="2:15" x14ac:dyDescent="0.3">
      <c r="B18743" s="1" t="s">
        <v>13</v>
      </c>
      <c r="C18743" s="1" t="str">
        <f t="shared" si="932"/>
        <v>4차</v>
      </c>
      <c r="D18743" s="1" t="str">
        <f>"9926E80139"</f>
        <v>9926E80139</v>
      </c>
      <c r="E18743" s="1" t="s">
        <v>10</v>
      </c>
      <c r="F18743" s="1" t="str">
        <f>"10.12.131.198"</f>
        <v>10.12.131.198</v>
      </c>
      <c r="G18743" s="1" t="str">
        <f>"9926E801"</f>
        <v>9926E801</v>
      </c>
      <c r="H18743" s="1" t="str">
        <f>"인사로 19"</f>
        <v>인사로 19</v>
      </c>
      <c r="I18743" s="1" t="s">
        <v>17</v>
      </c>
      <c r="J18743" s="1" t="str">
        <f>"21/21"</f>
        <v>21/21</v>
      </c>
      <c r="K18743" s="1" t="str">
        <f t="shared" si="933"/>
        <v>2026-07-29 13:18:13</v>
      </c>
      <c r="L18743" s="1" t="str">
        <f>"2018-05-25 09:58:11"</f>
        <v>2018-05-25 09:58:11</v>
      </c>
      <c r="M18743" s="1" t="s">
        <v>0</v>
      </c>
      <c r="N18743" s="1" t="s">
        <v>38</v>
      </c>
      <c r="O18743" s="1" t="s">
        <v>46</v>
      </c>
    </row>
    <row r="18744" spans="2:15" x14ac:dyDescent="0.3">
      <c r="B18744" s="1" t="s">
        <v>13</v>
      </c>
      <c r="C18744" s="1" t="str">
        <f t="shared" si="932"/>
        <v>4차</v>
      </c>
      <c r="D18744" s="1" t="str">
        <f>"9926E91839"</f>
        <v>9926E91839</v>
      </c>
      <c r="E18744" s="1" t="s">
        <v>10</v>
      </c>
      <c r="F18744" s="1" t="str">
        <f>"10.12.137.196"</f>
        <v>10.12.137.196</v>
      </c>
      <c r="G18744" s="1" t="str">
        <f>"9926E918"</f>
        <v>9926E918</v>
      </c>
      <c r="H18744" s="1" t="str">
        <f>"인사로 17"</f>
        <v>인사로 17</v>
      </c>
      <c r="I18744" s="1" t="s">
        <v>17</v>
      </c>
      <c r="J18744" s="1" t="str">
        <f>"1/1"</f>
        <v>1/1</v>
      </c>
      <c r="K18744" s="1" t="str">
        <f t="shared" si="933"/>
        <v>2026-07-29 13:18:13</v>
      </c>
      <c r="L18744" s="1" t="str">
        <f>"2018-05-25 10:12:10"</f>
        <v>2018-05-25 10:12:10</v>
      </c>
      <c r="M18744" s="1" t="s">
        <v>0</v>
      </c>
      <c r="N18744" s="1" t="s">
        <v>38</v>
      </c>
      <c r="O18744" s="1" t="s">
        <v>46</v>
      </c>
    </row>
    <row r="18745" spans="2:15" x14ac:dyDescent="0.3">
      <c r="B18745" s="1" t="s">
        <v>13</v>
      </c>
      <c r="C18745" s="1" t="str">
        <f t="shared" si="932"/>
        <v>4차</v>
      </c>
      <c r="D18745" s="1" t="str">
        <f>"9926E96C39"</f>
        <v>9926E96C39</v>
      </c>
      <c r="E18745" s="1" t="s">
        <v>10</v>
      </c>
      <c r="F18745" s="1" t="str">
        <f>"10.12.130.101"</f>
        <v>10.12.130.101</v>
      </c>
      <c r="G18745" s="1" t="str">
        <f>"9926E96C"</f>
        <v>9926E96C</v>
      </c>
      <c r="H18745" s="1" t="str">
        <f>"율곡로 L1-4"</f>
        <v>율곡로 L1-4</v>
      </c>
      <c r="I18745" s="1" t="s">
        <v>17</v>
      </c>
      <c r="J18745" s="1" t="str">
        <f>"4/10"</f>
        <v>4/10</v>
      </c>
      <c r="K18745" s="1" t="str">
        <f t="shared" si="933"/>
        <v>2026-07-29 13:18:13</v>
      </c>
      <c r="L18745" s="1" t="str">
        <f>"2018-10-23 10:45:40"</f>
        <v>2018-10-23 10:45:40</v>
      </c>
      <c r="M18745" s="1" t="s">
        <v>0</v>
      </c>
      <c r="N18745" s="1" t="s">
        <v>38</v>
      </c>
      <c r="O18745" s="1" t="s">
        <v>46</v>
      </c>
    </row>
    <row r="18746" spans="2:15" x14ac:dyDescent="0.3">
      <c r="B18746" s="1" t="s">
        <v>13</v>
      </c>
      <c r="C18746" s="1" t="str">
        <f t="shared" si="932"/>
        <v>4차</v>
      </c>
      <c r="D18746" s="1" t="str">
        <f>"9926E96D39"</f>
        <v>9926E96D39</v>
      </c>
      <c r="E18746" s="1" t="s">
        <v>10</v>
      </c>
      <c r="F18746" s="1" t="str">
        <f>"10.12.131.35"</f>
        <v>10.12.131.35</v>
      </c>
      <c r="G18746" s="1" t="str">
        <f>"9926E96D"</f>
        <v>9926E96D</v>
      </c>
      <c r="H18746" s="1" t="str">
        <f>"율곡로 L1-5"</f>
        <v>율곡로 L1-5</v>
      </c>
      <c r="I18746" s="1" t="s">
        <v>17</v>
      </c>
      <c r="J18746" s="1" t="str">
        <f>"2/26"</f>
        <v>2/26</v>
      </c>
      <c r="K18746" s="1" t="str">
        <f t="shared" si="933"/>
        <v>2026-07-29 13:18:13</v>
      </c>
      <c r="L18746" s="1" t="str">
        <f>"2018-10-23 10:48:41"</f>
        <v>2018-10-23 10:48:41</v>
      </c>
      <c r="M18746" s="1" t="s">
        <v>0</v>
      </c>
      <c r="N18746" s="1" t="s">
        <v>38</v>
      </c>
      <c r="O18746" s="1" t="s">
        <v>46</v>
      </c>
    </row>
    <row r="18747" spans="2:15" x14ac:dyDescent="0.3">
      <c r="B18747" s="1" t="s">
        <v>13</v>
      </c>
      <c r="C18747" s="1" t="str">
        <f t="shared" si="932"/>
        <v>4차</v>
      </c>
      <c r="D18747" s="1" t="str">
        <f>"9926E96E39"</f>
        <v>9926E96E39</v>
      </c>
      <c r="E18747" s="1" t="s">
        <v>10</v>
      </c>
      <c r="F18747" s="1" t="str">
        <f>"10.12.130.113"</f>
        <v>10.12.130.113</v>
      </c>
      <c r="G18747" s="1" t="str">
        <f>"9926E96E"</f>
        <v>9926E96E</v>
      </c>
      <c r="H18747" s="1" t="str">
        <f>"율곡로 L1-6"</f>
        <v>율곡로 L1-6</v>
      </c>
      <c r="I18747" s="1" t="s">
        <v>17</v>
      </c>
      <c r="J18747" s="1" t="str">
        <f>"1/3"</f>
        <v>1/3</v>
      </c>
      <c r="K18747" s="1" t="str">
        <f t="shared" si="933"/>
        <v>2026-07-29 13:18:13</v>
      </c>
      <c r="L18747" s="1" t="str">
        <f>"2018-10-23 10:49:15"</f>
        <v>2018-10-23 10:49:15</v>
      </c>
      <c r="M18747" s="1" t="s">
        <v>0</v>
      </c>
      <c r="N18747" s="1" t="s">
        <v>38</v>
      </c>
      <c r="O18747" s="1" t="s">
        <v>46</v>
      </c>
    </row>
    <row r="18748" spans="2:15" x14ac:dyDescent="0.3">
      <c r="B18748" s="1" t="s">
        <v>13</v>
      </c>
      <c r="C18748" s="1" t="str">
        <f t="shared" si="932"/>
        <v>4차</v>
      </c>
      <c r="D18748" s="1" t="str">
        <f>"9926F11139"</f>
        <v>9926F11139</v>
      </c>
      <c r="E18748" s="1" t="s">
        <v>10</v>
      </c>
      <c r="F18748" s="1" t="str">
        <f>"10.12.137.189"</f>
        <v>10.12.137.189</v>
      </c>
      <c r="G18748" s="1" t="str">
        <f>"9926F111"</f>
        <v>9926F111</v>
      </c>
      <c r="H18748" s="1" t="str">
        <f>"율곡로 R2"</f>
        <v>율곡로 R2</v>
      </c>
      <c r="I18748" s="1" t="s">
        <v>17</v>
      </c>
      <c r="J18748" s="1" t="str">
        <f>"6/6"</f>
        <v>6/6</v>
      </c>
      <c r="K18748" s="1" t="str">
        <f t="shared" si="933"/>
        <v>2026-07-29 13:18:13</v>
      </c>
      <c r="L18748" s="1" t="str">
        <f>"2018-05-11 15:14:30"</f>
        <v>2018-05-11 15:14:30</v>
      </c>
      <c r="M18748" s="1" t="s">
        <v>0</v>
      </c>
      <c r="N18748" s="1" t="s">
        <v>38</v>
      </c>
      <c r="O18748" s="1" t="s">
        <v>46</v>
      </c>
    </row>
    <row r="18749" spans="2:15" x14ac:dyDescent="0.3">
      <c r="B18749" s="1" t="s">
        <v>13</v>
      </c>
      <c r="C18749" s="1" t="str">
        <f>"3차"</f>
        <v>3차</v>
      </c>
      <c r="D18749" s="1" t="str">
        <f>"9926F11339"</f>
        <v>9926F11339</v>
      </c>
      <c r="E18749" s="1" t="s">
        <v>12</v>
      </c>
      <c r="F18749" s="1" t="str">
        <f>"10.12.137.198"</f>
        <v>10.12.137.198</v>
      </c>
      <c r="G18749" s="1" t="str">
        <f>"9926F113"</f>
        <v>9926F113</v>
      </c>
      <c r="H18749" s="1" t="str">
        <f>"율곡로 R2-3"</f>
        <v>율곡로 R2-3</v>
      </c>
      <c r="I18749" s="1" t="s">
        <v>17</v>
      </c>
      <c r="J18749" s="1" t="str">
        <f>"0/1"</f>
        <v>0/1</v>
      </c>
      <c r="K18749" s="1" t="str">
        <f>"2026-07-01 01:18:13"</f>
        <v>2026-07-01 01:18:13</v>
      </c>
      <c r="L18749" s="1" t="str">
        <f>"2018-05-14 08:38:25"</f>
        <v>2018-05-14 08:38:25</v>
      </c>
      <c r="M18749" s="1" t="s">
        <v>0</v>
      </c>
      <c r="N18749" s="1" t="s">
        <v>38</v>
      </c>
      <c r="O18749" s="1" t="s">
        <v>46</v>
      </c>
    </row>
    <row r="18750" spans="2:15" x14ac:dyDescent="0.3">
      <c r="B18750" s="1" t="s">
        <v>13</v>
      </c>
      <c r="C18750" s="1" t="str">
        <f>"4차"</f>
        <v>4차</v>
      </c>
      <c r="D18750" s="1" t="str">
        <f>"9926F24345"</f>
        <v>9926F24345</v>
      </c>
      <c r="E18750" s="1" t="s">
        <v>10</v>
      </c>
      <c r="F18750" s="1" t="str">
        <f>"10.12.130.78"</f>
        <v>10.12.130.78</v>
      </c>
      <c r="G18750" s="1" t="str">
        <f>"9926F243"</f>
        <v>9926F243</v>
      </c>
      <c r="H18750" s="1" t="str">
        <f>"율곡로 L3"</f>
        <v>율곡로 L3</v>
      </c>
      <c r="I18750" s="1" t="s">
        <v>17</v>
      </c>
      <c r="J18750" s="1" t="str">
        <f>"21/32"</f>
        <v>21/32</v>
      </c>
      <c r="K18750" s="1" t="str">
        <f>"2026-07-29 13:18:13"</f>
        <v>2026-07-29 13:18:13</v>
      </c>
      <c r="L18750" s="1" t="str">
        <f>"2025-06-23 16:42:58"</f>
        <v>2025-06-23 16:42:58</v>
      </c>
      <c r="M18750" s="1" t="s">
        <v>0</v>
      </c>
      <c r="N18750" s="1" t="s">
        <v>38</v>
      </c>
      <c r="O18750" s="1" t="s">
        <v>46</v>
      </c>
    </row>
    <row r="18751" spans="2:15" x14ac:dyDescent="0.3">
      <c r="B18751" s="1" t="s">
        <v>13</v>
      </c>
      <c r="C18751" s="1" t="str">
        <f>"4차"</f>
        <v>4차</v>
      </c>
      <c r="D18751" s="1" t="str">
        <f>"9926F29B45"</f>
        <v>9926F29B45</v>
      </c>
      <c r="E18751" s="1" t="s">
        <v>10</v>
      </c>
      <c r="F18751" s="1" t="str">
        <f>"10.12.131.221"</f>
        <v>10.12.131.221</v>
      </c>
      <c r="G18751" s="1" t="str">
        <f>"9926F29B"</f>
        <v>9926F29B</v>
      </c>
      <c r="H18751" s="1" t="str">
        <f>"북촌로 1"</f>
        <v>북촌로 1</v>
      </c>
      <c r="I18751" s="1" t="s">
        <v>17</v>
      </c>
      <c r="J18751" s="1" t="str">
        <f>"8/11"</f>
        <v>8/11</v>
      </c>
      <c r="K18751" s="1" t="str">
        <f>"2026-07-29 13:18:12"</f>
        <v>2026-07-29 13:18:12</v>
      </c>
      <c r="L18751" s="1" t="str">
        <f>"2024-12-04 16:58:50"</f>
        <v>2024-12-04 16:58:50</v>
      </c>
      <c r="M18751" s="1" t="s">
        <v>0</v>
      </c>
      <c r="N18751" s="1" t="s">
        <v>38</v>
      </c>
      <c r="O18751" s="1" t="s">
        <v>46</v>
      </c>
    </row>
    <row r="18752" spans="2:15" x14ac:dyDescent="0.3">
      <c r="B18752" s="1" t="s">
        <v>13</v>
      </c>
      <c r="C18752" s="1" t="str">
        <f>"4차"</f>
        <v>4차</v>
      </c>
      <c r="D18752" s="1" t="str">
        <f>"9926F41139"</f>
        <v>9926F41139</v>
      </c>
      <c r="E18752" s="1" t="s">
        <v>10</v>
      </c>
      <c r="F18752" s="1" t="str">
        <f>"10.12.137.202"</f>
        <v>10.12.137.202</v>
      </c>
      <c r="G18752" s="1" t="str">
        <f>"9926F411"</f>
        <v>9926F411</v>
      </c>
      <c r="H18752" s="1" t="str">
        <f>"별궁로 9"</f>
        <v>별궁로 9</v>
      </c>
      <c r="I18752" s="1" t="s">
        <v>17</v>
      </c>
      <c r="J18752" s="1" t="str">
        <f>"1/1"</f>
        <v>1/1</v>
      </c>
      <c r="K18752" s="1" t="str">
        <f>"2026-07-29 13:18:15"</f>
        <v>2026-07-29 13:18:15</v>
      </c>
      <c r="L18752" s="1" t="str">
        <f>"2018-05-11 09:02:42"</f>
        <v>2018-05-11 09:02:42</v>
      </c>
      <c r="M18752" s="1" t="s">
        <v>0</v>
      </c>
      <c r="N18752" s="1" t="s">
        <v>38</v>
      </c>
      <c r="O18752" s="1" t="s">
        <v>46</v>
      </c>
    </row>
    <row r="18753" spans="2:15" x14ac:dyDescent="0.3">
      <c r="B18753" s="1" t="s">
        <v>13</v>
      </c>
      <c r="C18753" s="1" t="str">
        <f>"4차"</f>
        <v>4차</v>
      </c>
      <c r="D18753" s="1" t="str">
        <f>"9926F41239"</f>
        <v>9926F41239</v>
      </c>
      <c r="E18753" s="1" t="s">
        <v>10</v>
      </c>
      <c r="F18753" s="1" t="str">
        <f>"10.12.137.165"</f>
        <v>10.12.137.165</v>
      </c>
      <c r="G18753" s="1" t="str">
        <f>"9926F412"</f>
        <v>9926F412</v>
      </c>
      <c r="H18753" s="1" t="str">
        <f>"별궁로 8"</f>
        <v>별궁로 8</v>
      </c>
      <c r="I18753" s="1" t="s">
        <v>17</v>
      </c>
      <c r="J18753" s="1" t="str">
        <f>"36/36"</f>
        <v>36/36</v>
      </c>
      <c r="K18753" s="1" t="str">
        <f>"2026-07-29 13:18:13"</f>
        <v>2026-07-29 13:18:13</v>
      </c>
      <c r="L18753" s="1" t="str">
        <f>"2018-05-11 08:49:11"</f>
        <v>2018-05-11 08:49:11</v>
      </c>
      <c r="M18753" s="1" t="s">
        <v>0</v>
      </c>
      <c r="N18753" s="1" t="s">
        <v>38</v>
      </c>
      <c r="O18753" s="1" t="s">
        <v>46</v>
      </c>
    </row>
    <row r="18754" spans="2:15" x14ac:dyDescent="0.3">
      <c r="B18754" s="1" t="s">
        <v>13</v>
      </c>
      <c r="C18754" s="1" t="str">
        <f>"4차"</f>
        <v>4차</v>
      </c>
      <c r="D18754" s="1" t="str">
        <f>"9926F42139"</f>
        <v>9926F42139</v>
      </c>
      <c r="E18754" s="1" t="s">
        <v>14</v>
      </c>
      <c r="F18754" s="1" t="str">
        <f>"10.12.137.193"</f>
        <v>10.12.137.193</v>
      </c>
      <c r="G18754" s="1" t="str">
        <f>"9926F421"</f>
        <v>9926F421</v>
      </c>
      <c r="H18754" s="1" t="str">
        <f>"별궁로 7"</f>
        <v>별궁로 7</v>
      </c>
      <c r="I18754" s="1" t="s">
        <v>17</v>
      </c>
      <c r="J18754" s="1" t="str">
        <f>"0/0"</f>
        <v>0/0</v>
      </c>
      <c r="K18754" s="1" t="str">
        <f>"2026-07-28 13:18:12"</f>
        <v>2026-07-28 13:18:12</v>
      </c>
      <c r="L18754" s="1" t="str">
        <f>"2018-05-11 08:22:12"</f>
        <v>2018-05-11 08:22:12</v>
      </c>
      <c r="M18754" s="1" t="s">
        <v>0</v>
      </c>
      <c r="N18754" s="1" t="s">
        <v>39</v>
      </c>
      <c r="O18754" s="1" t="s">
        <v>46</v>
      </c>
    </row>
    <row r="18755" spans="2:15" x14ac:dyDescent="0.3">
      <c r="B18755" s="1" t="s">
        <v>13</v>
      </c>
      <c r="C18755" s="1" t="str">
        <f>"3차"</f>
        <v>3차</v>
      </c>
      <c r="D18755" s="1" t="str">
        <f>"9926F80130"</f>
        <v>9926F80130</v>
      </c>
      <c r="E18755" s="1" t="s">
        <v>10</v>
      </c>
      <c r="F18755" s="1" t="str">
        <f>"10.11.16.10"</f>
        <v>10.11.16.10</v>
      </c>
      <c r="G18755" s="1" t="str">
        <f>"9926F801"</f>
        <v>9926F801</v>
      </c>
      <c r="H18755" s="1" t="str">
        <f>"별궁지 18R4R1"</f>
        <v>별궁지 18R4R1</v>
      </c>
      <c r="I18755" s="1" t="s">
        <v>8</v>
      </c>
      <c r="J18755" s="1" t="str">
        <f>"31/31"</f>
        <v>31/31</v>
      </c>
      <c r="K18755" s="1" t="str">
        <f t="shared" ref="K18755:K18762" si="934">"2026-07-29 13:18:12"</f>
        <v>2026-07-29 13:18:12</v>
      </c>
      <c r="L18755" s="1" t="str">
        <f>"2018-01-03 17:43:58"</f>
        <v>2018-01-03 17:43:58</v>
      </c>
      <c r="M18755" s="1" t="s">
        <v>2</v>
      </c>
      <c r="N18755" s="1" t="s">
        <v>38</v>
      </c>
      <c r="O18755" s="1" t="s">
        <v>46</v>
      </c>
    </row>
    <row r="18756" spans="2:15" x14ac:dyDescent="0.3">
      <c r="B18756" s="1" t="s">
        <v>13</v>
      </c>
      <c r="C18756" s="1" t="str">
        <f>"4차"</f>
        <v>4차</v>
      </c>
      <c r="D18756" s="1" t="str">
        <f>"9926F80331"</f>
        <v>9926F80331</v>
      </c>
      <c r="E18756" s="1" t="s">
        <v>10</v>
      </c>
      <c r="F18756" s="1" t="str">
        <f>"10.11.16.11"</f>
        <v>10.11.16.11</v>
      </c>
      <c r="G18756" s="1" t="str">
        <f>"9926F803"</f>
        <v>9926F803</v>
      </c>
      <c r="H18756" s="1" t="str">
        <f>"별궁지 18R4R2"</f>
        <v>별궁지 18R4R2</v>
      </c>
      <c r="I18756" s="1" t="s">
        <v>8</v>
      </c>
      <c r="J18756" s="1" t="str">
        <f>"130/132"</f>
        <v>130/132</v>
      </c>
      <c r="K18756" s="1" t="str">
        <f t="shared" si="934"/>
        <v>2026-07-29 13:18:12</v>
      </c>
      <c r="L18756" s="1" t="str">
        <f>"2018-03-20 18:14:14"</f>
        <v>2018-03-20 18:14:14</v>
      </c>
      <c r="M18756" s="1" t="s">
        <v>2</v>
      </c>
      <c r="N18756" s="1" t="s">
        <v>38</v>
      </c>
      <c r="O18756" s="1" t="s">
        <v>46</v>
      </c>
    </row>
    <row r="18757" spans="2:15" x14ac:dyDescent="0.3">
      <c r="B18757" s="1" t="s">
        <v>13</v>
      </c>
      <c r="C18757" s="1" t="str">
        <f>"3차"</f>
        <v>3차</v>
      </c>
      <c r="D18757" s="1" t="str">
        <f>"9926F81139"</f>
        <v>9926F81139</v>
      </c>
      <c r="E18757" s="1" t="s">
        <v>10</v>
      </c>
      <c r="F18757" s="1" t="str">
        <f>"10.11.34.170"</f>
        <v>10.11.34.170</v>
      </c>
      <c r="G18757" s="1" t="str">
        <f>"9926F811"</f>
        <v>9926F811</v>
      </c>
      <c r="H18757" s="1" t="str">
        <f>"별궁지 18R4"</f>
        <v>별궁지 18R4</v>
      </c>
      <c r="I18757" s="1" t="s">
        <v>8</v>
      </c>
      <c r="J18757" s="1" t="str">
        <f>"36/36"</f>
        <v>36/36</v>
      </c>
      <c r="K18757" s="1" t="str">
        <f t="shared" si="934"/>
        <v>2026-07-29 13:18:12</v>
      </c>
      <c r="L18757" s="1" t="str">
        <f>"2018-02-12 16:23:56"</f>
        <v>2018-02-12 16:23:56</v>
      </c>
      <c r="M18757" s="1" t="s">
        <v>2</v>
      </c>
      <c r="N18757" s="1" t="s">
        <v>38</v>
      </c>
      <c r="O18757" s="1" t="s">
        <v>46</v>
      </c>
    </row>
    <row r="18758" spans="2:15" x14ac:dyDescent="0.3">
      <c r="B18758" s="1" t="s">
        <v>13</v>
      </c>
      <c r="C18758" s="1" t="str">
        <f>"3차"</f>
        <v>3차</v>
      </c>
      <c r="D18758" s="1" t="str">
        <f>"9926F81239"</f>
        <v>9926F81239</v>
      </c>
      <c r="E18758" s="1" t="s">
        <v>10</v>
      </c>
      <c r="F18758" s="1" t="str">
        <f>"10.11.16.18"</f>
        <v>10.11.16.18</v>
      </c>
      <c r="G18758" s="1" t="str">
        <f>"9926F812"</f>
        <v>9926F812</v>
      </c>
      <c r="H18758" s="1" t="str">
        <f>"별궁지 18R5"</f>
        <v>별궁지 18R5</v>
      </c>
      <c r="I18758" s="1" t="s">
        <v>8</v>
      </c>
      <c r="J18758" s="1" t="str">
        <f>"26/26"</f>
        <v>26/26</v>
      </c>
      <c r="K18758" s="1" t="str">
        <f t="shared" si="934"/>
        <v>2026-07-29 13:18:12</v>
      </c>
      <c r="L18758" s="1" t="str">
        <f>"2018-03-21 10:11:37"</f>
        <v>2018-03-21 10:11:37</v>
      </c>
      <c r="M18758" s="1" t="s">
        <v>2</v>
      </c>
      <c r="N18758" s="1" t="s">
        <v>38</v>
      </c>
      <c r="O18758" s="1" t="s">
        <v>46</v>
      </c>
    </row>
    <row r="18759" spans="2:15" x14ac:dyDescent="0.3">
      <c r="B18759" s="1" t="s">
        <v>13</v>
      </c>
      <c r="C18759" s="1" t="str">
        <f>"3차"</f>
        <v>3차</v>
      </c>
      <c r="D18759" s="1" t="str">
        <f>"9926F91339"</f>
        <v>9926F91339</v>
      </c>
      <c r="E18759" s="1" t="s">
        <v>10</v>
      </c>
      <c r="F18759" s="1" t="str">
        <f>"10.11.34.186"</f>
        <v>10.11.34.186</v>
      </c>
      <c r="G18759" s="1" t="str">
        <f>"9926F913"</f>
        <v>9926F913</v>
      </c>
      <c r="H18759" s="1" t="str">
        <f>"별궁지 18R6"</f>
        <v>별궁지 18R6</v>
      </c>
      <c r="I18759" s="1" t="s">
        <v>8</v>
      </c>
      <c r="J18759" s="1" t="str">
        <f>"36/36"</f>
        <v>36/36</v>
      </c>
      <c r="K18759" s="1" t="str">
        <f t="shared" si="934"/>
        <v>2026-07-29 13:18:12</v>
      </c>
      <c r="L18759" s="1" t="str">
        <f>"2018-02-12 16:53:11"</f>
        <v>2018-02-12 16:53:11</v>
      </c>
      <c r="M18759" s="1" t="s">
        <v>2</v>
      </c>
      <c r="N18759" s="1" t="s">
        <v>38</v>
      </c>
      <c r="O18759" s="1" t="s">
        <v>46</v>
      </c>
    </row>
    <row r="18760" spans="2:15" x14ac:dyDescent="0.3">
      <c r="B18760" s="1" t="s">
        <v>13</v>
      </c>
      <c r="C18760" s="1" t="str">
        <f>"4차"</f>
        <v>4차</v>
      </c>
      <c r="D18760" s="1" t="str">
        <f>"9926F92239"</f>
        <v>9926F92239</v>
      </c>
      <c r="E18760" s="1" t="s">
        <v>10</v>
      </c>
      <c r="F18760" s="1" t="str">
        <f>"10.11.34.194"</f>
        <v>10.11.34.194</v>
      </c>
      <c r="G18760" s="1" t="str">
        <f>"9926F922"</f>
        <v>9926F922</v>
      </c>
      <c r="H18760" s="1" t="str">
        <f>"별궁지 18R7L2"</f>
        <v>별궁지 18R7L2</v>
      </c>
      <c r="I18760" s="1" t="s">
        <v>8</v>
      </c>
      <c r="J18760" s="1" t="str">
        <f>"47/47"</f>
        <v>47/47</v>
      </c>
      <c r="K18760" s="1" t="str">
        <f t="shared" si="934"/>
        <v>2026-07-29 13:18:12</v>
      </c>
      <c r="L18760" s="1" t="str">
        <f>"2018-02-12 16:11:41"</f>
        <v>2018-02-12 16:11:41</v>
      </c>
      <c r="M18760" s="1" t="s">
        <v>2</v>
      </c>
      <c r="N18760" s="1" t="s">
        <v>38</v>
      </c>
      <c r="O18760" s="1" t="s">
        <v>46</v>
      </c>
    </row>
    <row r="18761" spans="2:15" x14ac:dyDescent="0.3">
      <c r="B18761" s="1" t="s">
        <v>13</v>
      </c>
      <c r="C18761" s="1" t="str">
        <f>"3차"</f>
        <v>3차</v>
      </c>
      <c r="D18761" s="1" t="str">
        <f>"9926F93339"</f>
        <v>9926F93339</v>
      </c>
      <c r="E18761" s="1" t="s">
        <v>10</v>
      </c>
      <c r="F18761" s="1" t="str">
        <f>"10.11.34.202"</f>
        <v>10.11.34.202</v>
      </c>
      <c r="G18761" s="1" t="str">
        <f>"9926F933"</f>
        <v>9926F933</v>
      </c>
      <c r="H18761" s="1" t="str">
        <f>"별궁지 18R7L4"</f>
        <v>별궁지 18R7L4</v>
      </c>
      <c r="I18761" s="1" t="s">
        <v>8</v>
      </c>
      <c r="J18761" s="1" t="str">
        <f>"24/24"</f>
        <v>24/24</v>
      </c>
      <c r="K18761" s="1" t="str">
        <f t="shared" si="934"/>
        <v>2026-07-29 13:18:12</v>
      </c>
      <c r="L18761" s="1" t="str">
        <f>"2018-02-12 16:04:25"</f>
        <v>2018-02-12 16:04:25</v>
      </c>
      <c r="M18761" s="1" t="s">
        <v>2</v>
      </c>
      <c r="N18761" s="1" t="s">
        <v>38</v>
      </c>
      <c r="O18761" s="1" t="s">
        <v>46</v>
      </c>
    </row>
    <row r="18762" spans="2:15" x14ac:dyDescent="0.3">
      <c r="B18762" s="1" t="s">
        <v>13</v>
      </c>
      <c r="C18762" s="1" t="str">
        <f>"3차"</f>
        <v>3차</v>
      </c>
      <c r="D18762" s="1" t="str">
        <f>"9926F93539"</f>
        <v>9926F93539</v>
      </c>
      <c r="E18762" s="1" t="s">
        <v>10</v>
      </c>
      <c r="F18762" s="1" t="str">
        <f>"10.11.16.26"</f>
        <v>10.11.16.26</v>
      </c>
      <c r="G18762" s="1" t="str">
        <f>"9926F935"</f>
        <v>9926F935</v>
      </c>
      <c r="H18762" s="1" t="str">
        <f>"별궁지 18R7L3"</f>
        <v>별궁지 18R7L3</v>
      </c>
      <c r="I18762" s="1" t="s">
        <v>8</v>
      </c>
      <c r="J18762" s="1" t="str">
        <f>"10/10"</f>
        <v>10/10</v>
      </c>
      <c r="K18762" s="1" t="str">
        <f t="shared" si="934"/>
        <v>2026-07-29 13:18:12</v>
      </c>
      <c r="L18762" s="1" t="str">
        <f>"2018-03-21 10:13:09"</f>
        <v>2018-03-21 10:13:09</v>
      </c>
      <c r="M18762" s="1" t="s">
        <v>2</v>
      </c>
      <c r="N18762" s="1" t="s">
        <v>38</v>
      </c>
      <c r="O18762" s="1" t="s">
        <v>46</v>
      </c>
    </row>
    <row r="18763" spans="2:15" x14ac:dyDescent="0.3">
      <c r="B18763" s="1" t="s">
        <v>13</v>
      </c>
      <c r="C18763" s="1" t="str">
        <f>"4차"</f>
        <v>4차</v>
      </c>
      <c r="D18763" s="1" t="str">
        <f>"9926G28439"</f>
        <v>9926G28439</v>
      </c>
      <c r="E18763" s="1" t="s">
        <v>10</v>
      </c>
      <c r="F18763" s="1" t="str">
        <f>"10.12.137.195"</f>
        <v>10.12.137.195</v>
      </c>
      <c r="G18763" s="1" t="str">
        <f>"9926G284"</f>
        <v>9926G284</v>
      </c>
      <c r="H18763" s="1" t="str">
        <f>"안국로 L9"</f>
        <v>안국로 L9</v>
      </c>
      <c r="I18763" s="1" t="s">
        <v>17</v>
      </c>
      <c r="J18763" s="1" t="str">
        <f>"8/8"</f>
        <v>8/8</v>
      </c>
      <c r="K18763" s="1" t="str">
        <f>"2026-07-29 13:18:13"</f>
        <v>2026-07-29 13:18:13</v>
      </c>
      <c r="L18763" s="1" t="str">
        <f>"2018-05-11 12:10:14"</f>
        <v>2018-05-11 12:10:14</v>
      </c>
      <c r="M18763" s="1" t="s">
        <v>0</v>
      </c>
      <c r="N18763" s="1" t="s">
        <v>38</v>
      </c>
      <c r="O18763" s="1" t="s">
        <v>46</v>
      </c>
    </row>
    <row r="18764" spans="2:15" x14ac:dyDescent="0.3">
      <c r="B18764" s="1" t="s">
        <v>13</v>
      </c>
      <c r="C18764" s="1" t="str">
        <f>"3차"</f>
        <v>3차</v>
      </c>
      <c r="D18764" s="1" t="str">
        <f>"9926G45239"</f>
        <v>9926G45239</v>
      </c>
      <c r="E18764" s="1" t="s">
        <v>14</v>
      </c>
      <c r="F18764" s="1" t="str">
        <f>"10.11.21.162"</f>
        <v>10.11.21.162</v>
      </c>
      <c r="G18764" s="1" t="str">
        <f>"9926G452"</f>
        <v>9926G452</v>
      </c>
      <c r="H18764" s="1" t="str">
        <f>"청진지 7R3"</f>
        <v>청진지 7R3</v>
      </c>
      <c r="I18764" s="1" t="s">
        <v>8</v>
      </c>
      <c r="J18764" s="1" t="str">
        <f>"0/0"</f>
        <v>0/0</v>
      </c>
      <c r="K18764" s="4" t="str">
        <f>"2026-07-29 13:18:12"</f>
        <v>2026-07-29 13:18:12</v>
      </c>
      <c r="L18764" s="1" t="str">
        <f>"2018-05-24 13:02:42"</f>
        <v>2018-05-24 13:02:42</v>
      </c>
      <c r="M18764" s="1" t="s">
        <v>2</v>
      </c>
      <c r="N18764" s="1" t="s">
        <v>38</v>
      </c>
      <c r="O18764" s="1" t="s">
        <v>44</v>
      </c>
    </row>
    <row r="18765" spans="2:15" x14ac:dyDescent="0.3">
      <c r="B18765" s="1" t="s">
        <v>13</v>
      </c>
      <c r="C18765" s="1" t="str">
        <f>"4차"</f>
        <v>4차</v>
      </c>
      <c r="D18765" s="1" t="str">
        <f>"9926G66739"</f>
        <v>9926G66739</v>
      </c>
      <c r="E18765" s="1" t="s">
        <v>10</v>
      </c>
      <c r="F18765" s="1" t="str">
        <f>"10.12.130.104"</f>
        <v>10.12.130.104</v>
      </c>
      <c r="G18765" s="1" t="str">
        <f>"9926G667"</f>
        <v>9926G667</v>
      </c>
      <c r="H18765" s="1" t="str">
        <f>"안국로 L3-4"</f>
        <v>안국로 L3-4</v>
      </c>
      <c r="I18765" s="1" t="s">
        <v>17</v>
      </c>
      <c r="J18765" s="1" t="str">
        <f>"7/7"</f>
        <v>7/7</v>
      </c>
      <c r="K18765" s="1" t="str">
        <f>"2026-07-29 13:18:13"</f>
        <v>2026-07-29 13:18:13</v>
      </c>
      <c r="L18765" s="1" t="str">
        <f>"2018-10-25 10:36:27"</f>
        <v>2018-10-25 10:36:27</v>
      </c>
      <c r="M18765" s="1" t="s">
        <v>0</v>
      </c>
      <c r="N18765" s="1" t="s">
        <v>38</v>
      </c>
      <c r="O18765" s="1" t="s">
        <v>46</v>
      </c>
    </row>
    <row r="18766" spans="2:15" x14ac:dyDescent="0.3">
      <c r="B18766" s="1" t="s">
        <v>13</v>
      </c>
      <c r="C18766" s="1" t="str">
        <f>"4차"</f>
        <v>4차</v>
      </c>
      <c r="D18766" s="1" t="str">
        <f>"9926G66839"</f>
        <v>9926G66839</v>
      </c>
      <c r="E18766" s="1" t="s">
        <v>10</v>
      </c>
      <c r="F18766" s="1" t="str">
        <f>"10.12.137.194"</f>
        <v>10.12.137.194</v>
      </c>
      <c r="G18766" s="1" t="str">
        <f>"9926G668"</f>
        <v>9926G668</v>
      </c>
      <c r="H18766" s="1" t="str">
        <f>"안국로 L3-3"</f>
        <v>안국로 L3-3</v>
      </c>
      <c r="I18766" s="1" t="s">
        <v>17</v>
      </c>
      <c r="J18766" s="1" t="str">
        <f>"3/4"</f>
        <v>3/4</v>
      </c>
      <c r="K18766" s="1" t="str">
        <f>"2026-07-29 13:18:13"</f>
        <v>2026-07-29 13:18:13</v>
      </c>
      <c r="L18766" s="1" t="str">
        <f>"2018-05-11 09:44:29"</f>
        <v>2018-05-11 09:44:29</v>
      </c>
      <c r="M18766" s="1" t="s">
        <v>0</v>
      </c>
      <c r="N18766" s="1" t="s">
        <v>38</v>
      </c>
      <c r="O18766" s="1" t="s">
        <v>46</v>
      </c>
    </row>
    <row r="18767" spans="2:15" x14ac:dyDescent="0.3">
      <c r="B18767" s="1" t="s">
        <v>13</v>
      </c>
      <c r="C18767" s="1" t="str">
        <f>"4차"</f>
        <v>4차</v>
      </c>
      <c r="D18767" s="1" t="str">
        <f>"9926G85239"</f>
        <v>9926G85239</v>
      </c>
      <c r="E18767" s="1" t="s">
        <v>10</v>
      </c>
      <c r="F18767" s="1" t="str">
        <f>"10.12.137.191"</f>
        <v>10.12.137.191</v>
      </c>
      <c r="G18767" s="1" t="str">
        <f>"9926G852"</f>
        <v>9926G852</v>
      </c>
      <c r="H18767" s="1" t="str">
        <f>"안국로 R5"</f>
        <v>안국로 R5</v>
      </c>
      <c r="I18767" s="1" t="s">
        <v>17</v>
      </c>
      <c r="J18767" s="1" t="str">
        <f>"8/9"</f>
        <v>8/9</v>
      </c>
      <c r="K18767" s="1" t="str">
        <f>"2026-07-29 13:18:13"</f>
        <v>2026-07-29 13:18:13</v>
      </c>
      <c r="L18767" s="1" t="str">
        <f>"2018-05-11 13:12:00"</f>
        <v>2018-05-11 13:12:00</v>
      </c>
      <c r="M18767" s="1" t="s">
        <v>0</v>
      </c>
      <c r="N18767" s="1" t="s">
        <v>38</v>
      </c>
      <c r="O18767" s="1" t="s">
        <v>46</v>
      </c>
    </row>
    <row r="18768" spans="2:15" x14ac:dyDescent="0.3">
      <c r="B18768" s="1" t="s">
        <v>13</v>
      </c>
      <c r="C18768" s="1" t="str">
        <f>"4차"</f>
        <v>4차</v>
      </c>
      <c r="D18768" s="1" t="str">
        <f>"9926G87439"</f>
        <v>9926G87439</v>
      </c>
      <c r="E18768" s="1" t="str">
        <f>"검침실패(3시간 이상)"</f>
        <v>검침실패(3시간 이상)</v>
      </c>
      <c r="F18768" s="1" t="str">
        <f>"10.12.137.186"</f>
        <v>10.12.137.186</v>
      </c>
      <c r="G18768" s="1" t="str">
        <f>"9926G874"</f>
        <v>9926G874</v>
      </c>
      <c r="H18768" s="1" t="str">
        <f>"안국로 R7-1"</f>
        <v>안국로 R7-1</v>
      </c>
      <c r="I18768" s="1" t="s">
        <v>17</v>
      </c>
      <c r="J18768" s="1" t="str">
        <f>"0/14"</f>
        <v>0/14</v>
      </c>
      <c r="K18768" s="1" t="str">
        <f>"2026-07-28 01:18:12"</f>
        <v>2026-07-28 01:18:12</v>
      </c>
      <c r="L18768" s="1" t="str">
        <f>"2018-05-11 13:54:29"</f>
        <v>2018-05-11 13:54:29</v>
      </c>
      <c r="M18768" s="1" t="s">
        <v>0</v>
      </c>
      <c r="N18768" s="1" t="s">
        <v>38</v>
      </c>
      <c r="O18768" s="1" t="s">
        <v>46</v>
      </c>
    </row>
    <row r="18769" spans="2:15" x14ac:dyDescent="0.3">
      <c r="B18769" s="1" t="s">
        <v>13</v>
      </c>
      <c r="C18769" s="1" t="str">
        <f>"4차"</f>
        <v>4차</v>
      </c>
      <c r="D18769" s="1" t="str">
        <f>"9926H00139"</f>
        <v>9926H00139</v>
      </c>
      <c r="E18769" s="1" t="s">
        <v>14</v>
      </c>
      <c r="F18769" s="1" t="str">
        <f>"10.11.38.90"</f>
        <v>10.11.38.90</v>
      </c>
      <c r="G18769" s="1" t="str">
        <f>"9926H001"</f>
        <v>9926H001</v>
      </c>
      <c r="H18769" s="1" t="str">
        <f>"종로간 63R2"</f>
        <v>종로간 63R2</v>
      </c>
      <c r="I18769" s="1" t="s">
        <v>8</v>
      </c>
      <c r="J18769" s="1" t="str">
        <f>"0/0"</f>
        <v>0/0</v>
      </c>
      <c r="K18769" s="4" t="str">
        <f>"2026-07-29 13:18:12"</f>
        <v>2026-07-29 13:18:12</v>
      </c>
      <c r="L18769" s="1" t="str">
        <f>"2018-05-24 13:26:26"</f>
        <v>2018-05-24 13:26:26</v>
      </c>
      <c r="M18769" s="1" t="s">
        <v>2</v>
      </c>
      <c r="N18769" s="1" t="s">
        <v>38</v>
      </c>
      <c r="O18769" s="1" t="s">
        <v>44</v>
      </c>
    </row>
    <row r="18770" spans="2:15" x14ac:dyDescent="0.3">
      <c r="B18770" s="1" t="s">
        <v>13</v>
      </c>
      <c r="C18770" s="1" t="str">
        <f>"3차"</f>
        <v>3차</v>
      </c>
      <c r="D18770" s="1" t="str">
        <f>"9926H01139"</f>
        <v>9926H01139</v>
      </c>
      <c r="E18770" s="1" t="s">
        <v>10</v>
      </c>
      <c r="F18770" s="1" t="str">
        <f>"10.11.19.18"</f>
        <v>10.11.19.18</v>
      </c>
      <c r="G18770" s="1" t="str">
        <f>"9926H011"</f>
        <v>9926H011</v>
      </c>
      <c r="H18770" s="1" t="str">
        <f>"종로간 63R3"</f>
        <v>종로간 63R3</v>
      </c>
      <c r="I18770" s="1" t="s">
        <v>8</v>
      </c>
      <c r="J18770" s="1" t="str">
        <f>"6/6"</f>
        <v>6/6</v>
      </c>
      <c r="K18770" s="1" t="str">
        <f>"2026-07-29 13:18:12"</f>
        <v>2026-07-29 13:18:12</v>
      </c>
      <c r="L18770" s="1" t="str">
        <f>"2018-05-24 13:27:26"</f>
        <v>2018-05-24 13:27:26</v>
      </c>
      <c r="M18770" s="1" t="s">
        <v>2</v>
      </c>
      <c r="N18770" s="1" t="s">
        <v>38</v>
      </c>
      <c r="O18770" s="1" t="s">
        <v>46</v>
      </c>
    </row>
    <row r="18771" spans="2:15" x14ac:dyDescent="0.3">
      <c r="B18771" s="1" t="s">
        <v>13</v>
      </c>
      <c r="C18771" s="1" t="str">
        <f>"4차"</f>
        <v>4차</v>
      </c>
      <c r="D18771" s="1" t="str">
        <f>"9926H17139"</f>
        <v>9926H17139</v>
      </c>
      <c r="E18771" s="1" t="s">
        <v>10</v>
      </c>
      <c r="F18771" s="1" t="str">
        <f>"10.12.137.199"</f>
        <v>10.12.137.199</v>
      </c>
      <c r="G18771" s="1" t="str">
        <f>"9926H171"</f>
        <v>9926H171</v>
      </c>
      <c r="H18771" s="1" t="str">
        <f>"인사로 14"</f>
        <v>인사로 14</v>
      </c>
      <c r="I18771" s="1" t="s">
        <v>17</v>
      </c>
      <c r="J18771" s="1" t="str">
        <f>"1/1"</f>
        <v>1/1</v>
      </c>
      <c r="K18771" s="1" t="str">
        <f>"2026-07-29 13:18:13"</f>
        <v>2026-07-29 13:18:13</v>
      </c>
      <c r="L18771" s="1" t="str">
        <f>"2018-05-25 09:44:11"</f>
        <v>2018-05-25 09:44:11</v>
      </c>
      <c r="M18771" s="1" t="s">
        <v>0</v>
      </c>
      <c r="N18771" s="1" t="s">
        <v>38</v>
      </c>
      <c r="O18771" s="1" t="s">
        <v>46</v>
      </c>
    </row>
    <row r="18772" spans="2:15" x14ac:dyDescent="0.3">
      <c r="B18772" s="1" t="s">
        <v>13</v>
      </c>
      <c r="C18772" s="1" t="str">
        <f>"4차"</f>
        <v>4차</v>
      </c>
      <c r="D18772" s="1" t="str">
        <f>"9926H19739"</f>
        <v>9926H19739</v>
      </c>
      <c r="E18772" s="1" t="s">
        <v>10</v>
      </c>
      <c r="F18772" s="1" t="str">
        <f>"10.12.137.147"</f>
        <v>10.12.137.147</v>
      </c>
      <c r="G18772" s="1" t="str">
        <f>"9926H197"</f>
        <v>9926H197</v>
      </c>
      <c r="H18772" s="1" t="str">
        <f>"인사로 16"</f>
        <v>인사로 16</v>
      </c>
      <c r="I18772" s="1" t="s">
        <v>17</v>
      </c>
      <c r="J18772" s="1" t="str">
        <f>"20/20"</f>
        <v>20/20</v>
      </c>
      <c r="K18772" s="1" t="str">
        <f>"2026-07-29 13:18:13"</f>
        <v>2026-07-29 13:18:13</v>
      </c>
      <c r="L18772" s="1" t="str">
        <f>"2018-04-26 13:55:44"</f>
        <v>2018-04-26 13:55:44</v>
      </c>
      <c r="M18772" s="1" t="s">
        <v>0</v>
      </c>
      <c r="N18772" s="1" t="s">
        <v>38</v>
      </c>
      <c r="O18772" s="1" t="s">
        <v>46</v>
      </c>
    </row>
    <row r="18773" spans="2:15" x14ac:dyDescent="0.3">
      <c r="B18773" s="1" t="s">
        <v>13</v>
      </c>
      <c r="C18773" s="1" t="str">
        <f>"3차"</f>
        <v>3차</v>
      </c>
      <c r="D18773" s="1" t="str">
        <f>"9926H22239"</f>
        <v>9926H22239</v>
      </c>
      <c r="E18773" s="1" t="s">
        <v>10</v>
      </c>
      <c r="F18773" s="1" t="str">
        <f>"10.11.19.26"</f>
        <v>10.11.19.26</v>
      </c>
      <c r="G18773" s="1" t="str">
        <f>"9926H222"</f>
        <v>9926H222</v>
      </c>
      <c r="H18773" s="1" t="str">
        <f>"종로간 63R7"</f>
        <v>종로간 63R7</v>
      </c>
      <c r="I18773" s="1" t="s">
        <v>8</v>
      </c>
      <c r="J18773" s="1" t="str">
        <f>"22/22"</f>
        <v>22/22</v>
      </c>
      <c r="K18773" s="1" t="str">
        <f>"2026-07-29 13:18:12"</f>
        <v>2026-07-29 13:18:12</v>
      </c>
      <c r="L18773" s="1" t="str">
        <f>"2018-05-15 11:06:40"</f>
        <v>2018-05-15 11:06:40</v>
      </c>
      <c r="M18773" s="1" t="s">
        <v>2</v>
      </c>
      <c r="N18773" s="1" t="s">
        <v>38</v>
      </c>
      <c r="O18773" s="1" t="s">
        <v>46</v>
      </c>
    </row>
    <row r="18774" spans="2:15" x14ac:dyDescent="0.3">
      <c r="B18774" s="1" t="s">
        <v>13</v>
      </c>
      <c r="C18774" s="1" t="str">
        <f>"4차"</f>
        <v>4차</v>
      </c>
      <c r="D18774" s="1" t="str">
        <f>"9926H23139"</f>
        <v>9926H23139</v>
      </c>
      <c r="E18774" s="1" t="s">
        <v>10</v>
      </c>
      <c r="F18774" s="1" t="str">
        <f>"10.11.38.106"</f>
        <v>10.11.38.106</v>
      </c>
      <c r="G18774" s="1" t="str">
        <f>"9926H231"</f>
        <v>9926H231</v>
      </c>
      <c r="H18774" s="1" t="str">
        <f>"종로간 63R8"</f>
        <v>종로간 63R8</v>
      </c>
      <c r="I18774" s="1" t="s">
        <v>8</v>
      </c>
      <c r="J18774" s="1" t="str">
        <f>"11/11"</f>
        <v>11/11</v>
      </c>
      <c r="K18774" s="1" t="str">
        <f>"2026-07-29 13:18:12"</f>
        <v>2026-07-29 13:18:12</v>
      </c>
      <c r="L18774" s="1" t="str">
        <f>"2018-05-15 11:05:55"</f>
        <v>2018-05-15 11:05:55</v>
      </c>
      <c r="M18774" s="1" t="s">
        <v>2</v>
      </c>
      <c r="N18774" s="1" t="s">
        <v>38</v>
      </c>
      <c r="O18774" s="1" t="s">
        <v>46</v>
      </c>
    </row>
    <row r="18775" spans="2:15" x14ac:dyDescent="0.3">
      <c r="B18775" s="1" t="s">
        <v>13</v>
      </c>
      <c r="C18775" s="1" t="str">
        <f>"3차"</f>
        <v>3차</v>
      </c>
      <c r="D18775" s="1" t="str">
        <f>"9926H27139"</f>
        <v>9926H27139</v>
      </c>
      <c r="E18775" s="1" t="s">
        <v>12</v>
      </c>
      <c r="F18775" s="1" t="str">
        <f>"10.12.137.144"</f>
        <v>10.12.137.144</v>
      </c>
      <c r="G18775" s="1" t="str">
        <f>"9926H271"</f>
        <v>9926H271</v>
      </c>
      <c r="H18775" s="1" t="str">
        <f>"인사로 13-2"</f>
        <v>인사로 13-2</v>
      </c>
      <c r="I18775" s="1" t="s">
        <v>17</v>
      </c>
      <c r="J18775" s="1" t="str">
        <f>"0/49"</f>
        <v>0/49</v>
      </c>
      <c r="K18775" s="1" t="str">
        <f>"2026-05-09 01:18:13"</f>
        <v>2026-05-09 01:18:13</v>
      </c>
      <c r="L18775" s="1" t="str">
        <f>"2018-04-26 13:22:43"</f>
        <v>2018-04-26 13:22:43</v>
      </c>
      <c r="M18775" s="1" t="s">
        <v>0</v>
      </c>
      <c r="N18775" s="1" t="s">
        <v>38</v>
      </c>
      <c r="O18775" s="1" t="s">
        <v>46</v>
      </c>
    </row>
    <row r="18776" spans="2:15" x14ac:dyDescent="0.3">
      <c r="B18776" s="1" t="s">
        <v>13</v>
      </c>
      <c r="C18776" s="1" t="str">
        <f>"3차"</f>
        <v>3차</v>
      </c>
      <c r="D18776" s="1" t="str">
        <f>"9926H36239"</f>
        <v>9926H36239</v>
      </c>
      <c r="E18776" s="1" t="s">
        <v>10</v>
      </c>
      <c r="F18776" s="1" t="str">
        <f>"10.11.18.2"</f>
        <v>10.11.18.2</v>
      </c>
      <c r="G18776" s="1" t="str">
        <f>"9926H362"</f>
        <v>9926H362</v>
      </c>
      <c r="H18776" s="1" t="str">
        <f>"인사지 11L2"</f>
        <v>인사지 11L2</v>
      </c>
      <c r="I18776" s="1" t="s">
        <v>8</v>
      </c>
      <c r="J18776" s="1" t="str">
        <f>"8/9"</f>
        <v>8/9</v>
      </c>
      <c r="K18776" s="1" t="str">
        <f>"2026-07-29 13:18:12"</f>
        <v>2026-07-29 13:18:12</v>
      </c>
      <c r="L18776" s="1" t="str">
        <f>"2018-05-15 16:16:29"</f>
        <v>2018-05-15 16:16:29</v>
      </c>
      <c r="M18776" s="1" t="s">
        <v>2</v>
      </c>
      <c r="N18776" s="1" t="s">
        <v>38</v>
      </c>
      <c r="O18776" s="1" t="s">
        <v>46</v>
      </c>
    </row>
    <row r="18777" spans="2:15" x14ac:dyDescent="0.3">
      <c r="B18777" s="1" t="s">
        <v>13</v>
      </c>
      <c r="C18777" s="1" t="str">
        <f t="shared" ref="C18777:C18784" si="935">"4차"</f>
        <v>4차</v>
      </c>
      <c r="D18777" s="1" t="str">
        <f>"9926H46145"</f>
        <v>9926H46145</v>
      </c>
      <c r="E18777" s="1" t="s">
        <v>10</v>
      </c>
      <c r="F18777" s="1" t="str">
        <f>"10.12.137.145"</f>
        <v>10.12.137.145</v>
      </c>
      <c r="G18777" s="1" t="str">
        <f>"9926H461"</f>
        <v>9926H461</v>
      </c>
      <c r="H18777" s="1" t="str">
        <f>"인사로 12"</f>
        <v>인사로 12</v>
      </c>
      <c r="I18777" s="1" t="s">
        <v>17</v>
      </c>
      <c r="J18777" s="1" t="str">
        <f>"30/59"</f>
        <v>30/59</v>
      </c>
      <c r="K18777" s="1" t="str">
        <f>"2026-07-29 13:18:13"</f>
        <v>2026-07-29 13:18:13</v>
      </c>
      <c r="L18777" s="1" t="str">
        <f>"2023-07-12 19:08:35"</f>
        <v>2023-07-12 19:08:35</v>
      </c>
      <c r="M18777" s="1" t="s">
        <v>0</v>
      </c>
      <c r="N18777" s="1" t="s">
        <v>38</v>
      </c>
      <c r="O18777" s="1" t="s">
        <v>46</v>
      </c>
    </row>
    <row r="18778" spans="2:15" x14ac:dyDescent="0.3">
      <c r="B18778" s="1" t="s">
        <v>13</v>
      </c>
      <c r="C18778" s="1" t="str">
        <f t="shared" si="935"/>
        <v>4차</v>
      </c>
      <c r="D18778" s="1" t="str">
        <f>"9926H59139"</f>
        <v>9926H59139</v>
      </c>
      <c r="E18778" s="1" t="s">
        <v>10</v>
      </c>
      <c r="F18778" s="1" t="str">
        <f>"10.12.137.166"</f>
        <v>10.12.137.166</v>
      </c>
      <c r="G18778" s="1" t="str">
        <f>"9926H591"</f>
        <v>9926H591</v>
      </c>
      <c r="H18778" s="1" t="str">
        <f>"별궁로 10"</f>
        <v>별궁로 10</v>
      </c>
      <c r="I18778" s="1" t="s">
        <v>17</v>
      </c>
      <c r="J18778" s="1" t="str">
        <f>"19/19"</f>
        <v>19/19</v>
      </c>
      <c r="K18778" s="1" t="str">
        <f>"2026-07-29 13:18:13"</f>
        <v>2026-07-29 13:18:13</v>
      </c>
      <c r="L18778" s="1" t="str">
        <f>"2018-05-11 11:16:42"</f>
        <v>2018-05-11 11:16:42</v>
      </c>
      <c r="M18778" s="1" t="s">
        <v>0</v>
      </c>
      <c r="N18778" s="1" t="s">
        <v>38</v>
      </c>
      <c r="O18778" s="1" t="s">
        <v>46</v>
      </c>
    </row>
    <row r="18779" spans="2:15" x14ac:dyDescent="0.3">
      <c r="B18779" s="1" t="s">
        <v>13</v>
      </c>
      <c r="C18779" s="1" t="str">
        <f t="shared" si="935"/>
        <v>4차</v>
      </c>
      <c r="D18779" s="1" t="str">
        <f>"9926H59245"</f>
        <v>9926H59245</v>
      </c>
      <c r="E18779" s="1" t="s">
        <v>10</v>
      </c>
      <c r="F18779" s="1" t="str">
        <f>"10.12.137.168"</f>
        <v>10.12.137.168</v>
      </c>
      <c r="G18779" s="1" t="str">
        <f>"9926H592"</f>
        <v>9926H592</v>
      </c>
      <c r="H18779" s="1" t="str">
        <f>"별궁로 11"</f>
        <v>별궁로 11</v>
      </c>
      <c r="I18779" s="1" t="s">
        <v>17</v>
      </c>
      <c r="J18779" s="1" t="str">
        <f>"9/9"</f>
        <v>9/9</v>
      </c>
      <c r="K18779" s="1" t="str">
        <f>"2026-07-29 13:18:13"</f>
        <v>2026-07-29 13:18:13</v>
      </c>
      <c r="L18779" s="1" t="str">
        <f>"2023-06-21 17:03:23"</f>
        <v>2023-06-21 17:03:23</v>
      </c>
      <c r="M18779" s="1" t="s">
        <v>0</v>
      </c>
      <c r="N18779" s="1" t="s">
        <v>38</v>
      </c>
      <c r="O18779" s="1" t="s">
        <v>46</v>
      </c>
    </row>
    <row r="18780" spans="2:15" x14ac:dyDescent="0.3">
      <c r="B18780" s="1" t="s">
        <v>13</v>
      </c>
      <c r="C18780" s="1" t="str">
        <f t="shared" si="935"/>
        <v>4차</v>
      </c>
      <c r="D18780" s="1" t="str">
        <f>"9926H60339"</f>
        <v>9926H60339</v>
      </c>
      <c r="E18780" s="1" t="s">
        <v>14</v>
      </c>
      <c r="F18780" s="1" t="str">
        <f>"10.12.137.205"</f>
        <v>10.12.137.205</v>
      </c>
      <c r="G18780" s="1" t="str">
        <f>"9926H603"</f>
        <v>9926H603</v>
      </c>
      <c r="H18780" s="1" t="str">
        <f>"종로로 L15"</f>
        <v>종로로 L15</v>
      </c>
      <c r="I18780" s="1" t="s">
        <v>17</v>
      </c>
      <c r="J18780" s="1" t="str">
        <f>"0/0"</f>
        <v>0/0</v>
      </c>
      <c r="K18780" s="1" t="str">
        <f>"2026-06-10 07:18:13"</f>
        <v>2026-06-10 07:18:13</v>
      </c>
      <c r="L18780" s="1" t="str">
        <f>"2018-07-26 14:51:44"</f>
        <v>2018-07-26 14:51:44</v>
      </c>
      <c r="M18780" s="1" t="s">
        <v>0</v>
      </c>
      <c r="N18780" s="1" t="s">
        <v>39</v>
      </c>
      <c r="O18780" s="1" t="s">
        <v>46</v>
      </c>
    </row>
    <row r="18781" spans="2:15" x14ac:dyDescent="0.3">
      <c r="B18781" s="1" t="s">
        <v>13</v>
      </c>
      <c r="C18781" s="1" t="str">
        <f t="shared" si="935"/>
        <v>4차</v>
      </c>
      <c r="D18781" s="1" t="str">
        <f>"9926H64239"</f>
        <v>9926H64239</v>
      </c>
      <c r="E18781" s="1" t="s">
        <v>10</v>
      </c>
      <c r="F18781" s="1" t="str">
        <f>"10.12.137.151"</f>
        <v>10.12.137.151</v>
      </c>
      <c r="G18781" s="1" t="str">
        <f>"9926H642"</f>
        <v>9926H642</v>
      </c>
      <c r="H18781" s="1" t="str">
        <f>"인사로 2"</f>
        <v>인사로 2</v>
      </c>
      <c r="I18781" s="1" t="s">
        <v>17</v>
      </c>
      <c r="J18781" s="1" t="str">
        <f>"3/3"</f>
        <v>3/3</v>
      </c>
      <c r="K18781" s="1" t="str">
        <f>"2026-07-29 13:18:13"</f>
        <v>2026-07-29 13:18:13</v>
      </c>
      <c r="L18781" s="1" t="str">
        <f>"2018-04-26 11:36:44"</f>
        <v>2018-04-26 11:36:44</v>
      </c>
      <c r="M18781" s="1" t="s">
        <v>0</v>
      </c>
      <c r="N18781" s="1" t="s">
        <v>38</v>
      </c>
      <c r="O18781" s="1" t="s">
        <v>46</v>
      </c>
    </row>
    <row r="18782" spans="2:15" x14ac:dyDescent="0.3">
      <c r="B18782" s="1" t="s">
        <v>13</v>
      </c>
      <c r="C18782" s="1" t="str">
        <f t="shared" si="935"/>
        <v>4차</v>
      </c>
      <c r="D18782" s="1" t="str">
        <f>"9926H64339"</f>
        <v>9926H64339</v>
      </c>
      <c r="E18782" s="1" t="s">
        <v>10</v>
      </c>
      <c r="F18782" s="1" t="str">
        <f>"10.12.137.150"</f>
        <v>10.12.137.150</v>
      </c>
      <c r="G18782" s="1" t="str">
        <f>"9926H643"</f>
        <v>9926H643</v>
      </c>
      <c r="H18782" s="1" t="str">
        <f>"인사로 3"</f>
        <v>인사로 3</v>
      </c>
      <c r="I18782" s="1" t="s">
        <v>17</v>
      </c>
      <c r="J18782" s="1" t="str">
        <f>"1/3"</f>
        <v>1/3</v>
      </c>
      <c r="K18782" s="1" t="str">
        <f>"2026-07-29 13:18:13"</f>
        <v>2026-07-29 13:18:13</v>
      </c>
      <c r="L18782" s="1" t="str">
        <f>"2018-04-26 11:51:13"</f>
        <v>2018-04-26 11:51:13</v>
      </c>
      <c r="M18782" s="1" t="s">
        <v>0</v>
      </c>
      <c r="N18782" s="1" t="s">
        <v>38</v>
      </c>
      <c r="O18782" s="1" t="s">
        <v>46</v>
      </c>
    </row>
    <row r="18783" spans="2:15" x14ac:dyDescent="0.3">
      <c r="B18783" s="1" t="s">
        <v>13</v>
      </c>
      <c r="C18783" s="1" t="str">
        <f t="shared" si="935"/>
        <v>4차</v>
      </c>
      <c r="D18783" s="1" t="str">
        <f>"9926H65139"</f>
        <v>9926H65139</v>
      </c>
      <c r="E18783" s="1" t="s">
        <v>10</v>
      </c>
      <c r="F18783" s="1" t="str">
        <f>"10.12.137.152"</f>
        <v>10.12.137.152</v>
      </c>
      <c r="G18783" s="1" t="str">
        <f>"9926H651"</f>
        <v>9926H651</v>
      </c>
      <c r="H18783" s="1" t="str">
        <f>"인사로 6"</f>
        <v>인사로 6</v>
      </c>
      <c r="I18783" s="1" t="s">
        <v>17</v>
      </c>
      <c r="J18783" s="1" t="str">
        <f>"5/5"</f>
        <v>5/5</v>
      </c>
      <c r="K18783" s="1" t="str">
        <f>"2026-07-29 13:18:13"</f>
        <v>2026-07-29 13:18:13</v>
      </c>
      <c r="L18783" s="1" t="str">
        <f>"2018-04-26 12:00:57"</f>
        <v>2018-04-26 12:00:57</v>
      </c>
      <c r="M18783" s="1" t="s">
        <v>0</v>
      </c>
      <c r="N18783" s="1" t="s">
        <v>38</v>
      </c>
      <c r="O18783" s="1" t="s">
        <v>46</v>
      </c>
    </row>
    <row r="18784" spans="2:15" x14ac:dyDescent="0.3">
      <c r="B18784" s="1" t="s">
        <v>13</v>
      </c>
      <c r="C18784" s="1" t="str">
        <f t="shared" si="935"/>
        <v>4차</v>
      </c>
      <c r="D18784" s="1" t="str">
        <f>"9926H69339"</f>
        <v>9926H69339</v>
      </c>
      <c r="E18784" s="1" t="s">
        <v>10</v>
      </c>
      <c r="F18784" s="1" t="str">
        <f>"10.12.137.183"</f>
        <v>10.12.137.183</v>
      </c>
      <c r="G18784" s="1" t="str">
        <f>"9926H693"</f>
        <v>9926H693</v>
      </c>
      <c r="H18784" s="1" t="str">
        <f>"별궁로 3"</f>
        <v>별궁로 3</v>
      </c>
      <c r="I18784" s="1" t="s">
        <v>17</v>
      </c>
      <c r="J18784" s="1" t="str">
        <f>"61/61"</f>
        <v>61/61</v>
      </c>
      <c r="K18784" s="1" t="str">
        <f>"2026-07-29 13:18:13"</f>
        <v>2026-07-29 13:18:13</v>
      </c>
      <c r="L18784" s="1" t="str">
        <f>"2018-05-11 11:51:58"</f>
        <v>2018-05-11 11:51:58</v>
      </c>
      <c r="M18784" s="1" t="s">
        <v>0</v>
      </c>
      <c r="N18784" s="1" t="s">
        <v>38</v>
      </c>
      <c r="O18784" s="1" t="s">
        <v>46</v>
      </c>
    </row>
    <row r="18785" spans="2:15" x14ac:dyDescent="0.3">
      <c r="B18785" s="1" t="s">
        <v>13</v>
      </c>
      <c r="C18785" s="1" t="str">
        <f>"3차"</f>
        <v>3차</v>
      </c>
      <c r="D18785" s="1" t="str">
        <f>"9926H74139"</f>
        <v>9926H74139</v>
      </c>
      <c r="E18785" s="1" t="s">
        <v>10</v>
      </c>
      <c r="F18785" s="1" t="str">
        <f>"10.11.35.26"</f>
        <v>10.11.35.26</v>
      </c>
      <c r="G18785" s="1" t="str">
        <f>"9926H741"</f>
        <v>9926H741</v>
      </c>
      <c r="H18785" s="1" t="str">
        <f>"별궁지 8L2"</f>
        <v>별궁지 8L2</v>
      </c>
      <c r="I18785" s="1" t="s">
        <v>8</v>
      </c>
      <c r="J18785" s="1" t="str">
        <f>"6/7"</f>
        <v>6/7</v>
      </c>
      <c r="K18785" s="1" t="str">
        <f>"2026-07-29 13:18:12"</f>
        <v>2026-07-29 13:18:12</v>
      </c>
      <c r="L18785" s="1" t="str">
        <f>"2018-02-14 09:47:39"</f>
        <v>2018-02-14 09:47:39</v>
      </c>
      <c r="M18785" s="1" t="s">
        <v>2</v>
      </c>
      <c r="N18785" s="1" t="s">
        <v>38</v>
      </c>
      <c r="O18785" s="1" t="s">
        <v>46</v>
      </c>
    </row>
    <row r="18786" spans="2:15" x14ac:dyDescent="0.3">
      <c r="B18786" s="1" t="s">
        <v>13</v>
      </c>
      <c r="C18786" s="1" t="str">
        <f>"5-2차"</f>
        <v>5-2차</v>
      </c>
      <c r="D18786" s="1" t="str">
        <f>"9926H7425M"</f>
        <v>9926H7425M</v>
      </c>
      <c r="E18786" s="1" t="s">
        <v>10</v>
      </c>
      <c r="F18786" s="1" t="str">
        <f>"fde1:103:4:569b:0:0:0:2"</f>
        <v>fde1:103:4:569b:0:0:0:2</v>
      </c>
      <c r="G18786" s="1" t="str">
        <f>"9926H742"</f>
        <v>9926H742</v>
      </c>
      <c r="H18786" s="1" t="str">
        <f>"별궁지 8L3"</f>
        <v>별궁지 8L3</v>
      </c>
      <c r="I18786" s="1" t="s">
        <v>15</v>
      </c>
      <c r="J18786" s="1" t="str">
        <f>"13/13"</f>
        <v>13/13</v>
      </c>
      <c r="K18786" s="1" t="str">
        <f>"2026-07-29 14:21:31"</f>
        <v>2026-07-29 14:21:31</v>
      </c>
      <c r="L18786" s="1" t="str">
        <f>"2023-08-23 14:12:19"</f>
        <v>2023-08-23 14:12:19</v>
      </c>
      <c r="M18786" s="1" t="s">
        <v>4</v>
      </c>
      <c r="N18786" s="1" t="s">
        <v>38</v>
      </c>
      <c r="O18786" s="1" t="s">
        <v>46</v>
      </c>
    </row>
    <row r="18787" spans="2:15" x14ac:dyDescent="0.3">
      <c r="B18787" s="1" t="s">
        <v>13</v>
      </c>
      <c r="C18787" s="1" t="str">
        <f>"3차"</f>
        <v>3차</v>
      </c>
      <c r="D18787" s="1" t="str">
        <f>"9926H75139"</f>
        <v>9926H75139</v>
      </c>
      <c r="E18787" s="1" t="s">
        <v>10</v>
      </c>
      <c r="F18787" s="1" t="str">
        <f>"10.11.15.242"</f>
        <v>10.11.15.242</v>
      </c>
      <c r="G18787" s="1" t="str">
        <f>"9926H751"</f>
        <v>9926H751</v>
      </c>
      <c r="H18787" s="1" t="str">
        <f>"별궁지 10"</f>
        <v>별궁지 10</v>
      </c>
      <c r="I18787" s="1" t="s">
        <v>8</v>
      </c>
      <c r="J18787" s="1" t="str">
        <f>"24/24"</f>
        <v>24/24</v>
      </c>
      <c r="K18787" s="1" t="str">
        <f>"2026-07-29 13:18:00"</f>
        <v>2026-07-29 13:18:00</v>
      </c>
      <c r="L18787" s="1" t="str">
        <f>"2018-02-26 18:57:06"</f>
        <v>2018-02-26 18:57:06</v>
      </c>
      <c r="M18787" s="1" t="s">
        <v>2</v>
      </c>
      <c r="N18787" s="1" t="s">
        <v>38</v>
      </c>
      <c r="O18787" s="1" t="s">
        <v>46</v>
      </c>
    </row>
    <row r="18788" spans="2:15" x14ac:dyDescent="0.3">
      <c r="B18788" s="1" t="s">
        <v>13</v>
      </c>
      <c r="C18788" s="1" t="str">
        <f>"4차"</f>
        <v>4차</v>
      </c>
      <c r="D18788" s="1" t="str">
        <f>"9926H76139"</f>
        <v>9926H76139</v>
      </c>
      <c r="E18788" s="1" t="s">
        <v>10</v>
      </c>
      <c r="F18788" s="1" t="str">
        <f>"10.11.34.138"</f>
        <v>10.11.34.138</v>
      </c>
      <c r="G18788" s="1" t="str">
        <f>"9926H761"</f>
        <v>9926H761</v>
      </c>
      <c r="H18788" s="1" t="str">
        <f>"별궁지 11"</f>
        <v>별궁지 11</v>
      </c>
      <c r="I18788" s="1" t="s">
        <v>8</v>
      </c>
      <c r="J18788" s="1" t="str">
        <f>"18/19"</f>
        <v>18/19</v>
      </c>
      <c r="K18788" s="1" t="str">
        <f>"2026-07-29 13:18:12"</f>
        <v>2026-07-29 13:18:12</v>
      </c>
      <c r="L18788" s="1" t="str">
        <f>"2018-02-27 15:38:14"</f>
        <v>2018-02-27 15:38:14</v>
      </c>
      <c r="M18788" s="1" t="s">
        <v>2</v>
      </c>
      <c r="N18788" s="1" t="s">
        <v>38</v>
      </c>
      <c r="O18788" s="1" t="s">
        <v>46</v>
      </c>
    </row>
    <row r="18789" spans="2:15" x14ac:dyDescent="0.3">
      <c r="B18789" s="1" t="s">
        <v>13</v>
      </c>
      <c r="C18789" s="1" t="str">
        <f>"4차"</f>
        <v>4차</v>
      </c>
      <c r="D18789" s="1" t="str">
        <f>"9926H77139"</f>
        <v>9926H77139</v>
      </c>
      <c r="E18789" s="1" t="s">
        <v>10</v>
      </c>
      <c r="F18789" s="1" t="str">
        <f>"10.11.34.146"</f>
        <v>10.11.34.146</v>
      </c>
      <c r="G18789" s="1" t="str">
        <f>"9926H771"</f>
        <v>9926H771</v>
      </c>
      <c r="H18789" s="1" t="str">
        <f>"별궁지 12R1"</f>
        <v>별궁지 12R1</v>
      </c>
      <c r="I18789" s="1" t="s">
        <v>8</v>
      </c>
      <c r="J18789" s="1" t="str">
        <f>"4/4"</f>
        <v>4/4</v>
      </c>
      <c r="K18789" s="1" t="str">
        <f>"2026-07-29 13:18:12"</f>
        <v>2026-07-29 13:18:12</v>
      </c>
      <c r="L18789" s="1" t="str">
        <f>"2018-05-24 09:27:55"</f>
        <v>2018-05-24 09:27:55</v>
      </c>
      <c r="M18789" s="1" t="s">
        <v>2</v>
      </c>
      <c r="N18789" s="1" t="s">
        <v>38</v>
      </c>
      <c r="O18789" s="1" t="s">
        <v>46</v>
      </c>
    </row>
    <row r="18790" spans="2:15" x14ac:dyDescent="0.3">
      <c r="B18790" s="1" t="s">
        <v>13</v>
      </c>
      <c r="C18790" s="1" t="str">
        <f>"3차"</f>
        <v>3차</v>
      </c>
      <c r="D18790" s="1" t="str">
        <f>"9926H84339"</f>
        <v>9926H84339</v>
      </c>
      <c r="E18790" s="1" t="s">
        <v>10</v>
      </c>
      <c r="F18790" s="1" t="str">
        <f>"10.11.16.90"</f>
        <v>10.11.16.90</v>
      </c>
      <c r="G18790" s="1" t="str">
        <f>"9926H843"</f>
        <v>9926H843</v>
      </c>
      <c r="H18790" s="1" t="str">
        <f>"별궁지 8L1"</f>
        <v>별궁지 8L1</v>
      </c>
      <c r="I18790" s="1" t="s">
        <v>8</v>
      </c>
      <c r="J18790" s="1" t="str">
        <f>"13/14"</f>
        <v>13/14</v>
      </c>
      <c r="K18790" s="1" t="str">
        <f>"2026-07-29 13:18:12"</f>
        <v>2026-07-29 13:18:12</v>
      </c>
      <c r="L18790" s="1" t="str">
        <f>"2018-02-26 18:58:07"</f>
        <v>2018-02-26 18:58:07</v>
      </c>
      <c r="M18790" s="1" t="s">
        <v>2</v>
      </c>
      <c r="N18790" s="1" t="s">
        <v>38</v>
      </c>
      <c r="O18790" s="1" t="s">
        <v>46</v>
      </c>
    </row>
    <row r="18791" spans="2:15" x14ac:dyDescent="0.3">
      <c r="B18791" s="1" t="s">
        <v>13</v>
      </c>
      <c r="C18791" s="1" t="str">
        <f>"3차"</f>
        <v>3차</v>
      </c>
      <c r="D18791" s="1" t="str">
        <f>"9926H87139"</f>
        <v>9926H87139</v>
      </c>
      <c r="E18791" s="1" t="s">
        <v>10</v>
      </c>
      <c r="F18791" s="1" t="str">
        <f>"10.11.15.250"</f>
        <v>10.11.15.250</v>
      </c>
      <c r="G18791" s="1" t="str">
        <f>"9926H871"</f>
        <v>9926H871</v>
      </c>
      <c r="H18791" s="1" t="str">
        <f>"별궁지 12R2"</f>
        <v>별궁지 12R2</v>
      </c>
      <c r="I18791" s="1" t="s">
        <v>8</v>
      </c>
      <c r="J18791" s="1" t="str">
        <f>"6/6"</f>
        <v>6/6</v>
      </c>
      <c r="K18791" s="1" t="str">
        <f>"2026-07-29 13:18:12"</f>
        <v>2026-07-29 13:18:12</v>
      </c>
      <c r="L18791" s="1" t="str">
        <f>"2018-02-26 18:59:07"</f>
        <v>2018-02-26 18:59:07</v>
      </c>
      <c r="M18791" s="1" t="s">
        <v>2</v>
      </c>
      <c r="N18791" s="1" t="s">
        <v>38</v>
      </c>
      <c r="O18791" s="1" t="s">
        <v>46</v>
      </c>
    </row>
    <row r="18792" spans="2:15" x14ac:dyDescent="0.3">
      <c r="B18792" s="1" t="s">
        <v>13</v>
      </c>
      <c r="C18792" s="1" t="str">
        <f>"4차"</f>
        <v>4차</v>
      </c>
      <c r="D18792" s="1" t="str">
        <f>"9926H88139"</f>
        <v>9926H88139</v>
      </c>
      <c r="E18792" s="1" t="s">
        <v>10</v>
      </c>
      <c r="F18792" s="1" t="str">
        <f>"10.11.26.122"</f>
        <v>10.11.26.122</v>
      </c>
      <c r="G18792" s="1" t="str">
        <f>"9926H881"</f>
        <v>9926H881</v>
      </c>
      <c r="H18792" s="1" t="str">
        <f>"별궁지 13R2"</f>
        <v>별궁지 13R2</v>
      </c>
      <c r="I18792" s="1" t="s">
        <v>8</v>
      </c>
      <c r="J18792" s="1" t="str">
        <f>"5/7"</f>
        <v>5/7</v>
      </c>
      <c r="K18792" s="1" t="str">
        <f>"2026-07-29 13:18:12"</f>
        <v>2026-07-29 13:18:12</v>
      </c>
      <c r="L18792" s="1" t="str">
        <f>"2017-12-09 16:38:45"</f>
        <v>2017-12-09 16:38:45</v>
      </c>
      <c r="M18792" s="1" t="s">
        <v>2</v>
      </c>
      <c r="N18792" s="1" t="s">
        <v>38</v>
      </c>
      <c r="O18792" s="1" t="s">
        <v>46</v>
      </c>
    </row>
    <row r="18793" spans="2:15" x14ac:dyDescent="0.3">
      <c r="B18793" s="1" t="s">
        <v>13</v>
      </c>
      <c r="C18793" s="1" t="str">
        <f>"3차"</f>
        <v>3차</v>
      </c>
      <c r="D18793" s="1" t="str">
        <f>"9926H91239"</f>
        <v>9926H91239</v>
      </c>
      <c r="E18793" s="1" t="s">
        <v>10</v>
      </c>
      <c r="F18793" s="1" t="str">
        <f>"10.12.133.213"</f>
        <v>10.12.133.213</v>
      </c>
      <c r="G18793" s="1" t="str">
        <f>"9926H912"</f>
        <v>9926H912</v>
      </c>
      <c r="H18793" s="1" t="str">
        <f>"별궁지 2"</f>
        <v>별궁지 2</v>
      </c>
      <c r="I18793" s="1" t="s">
        <v>8</v>
      </c>
      <c r="J18793" s="1" t="str">
        <f>"10/10"</f>
        <v>10/10</v>
      </c>
      <c r="K18793" s="1" t="str">
        <f>"2026-07-29 13:18:13"</f>
        <v>2026-07-29 13:18:13</v>
      </c>
      <c r="L18793" s="1" t="str">
        <f>"2018-03-31 11:48:26"</f>
        <v>2018-03-31 11:48:26</v>
      </c>
      <c r="M18793" s="1" t="s">
        <v>0</v>
      </c>
      <c r="N18793" s="1" t="s">
        <v>38</v>
      </c>
      <c r="O18793" s="1" t="s">
        <v>46</v>
      </c>
    </row>
    <row r="18794" spans="2:15" x14ac:dyDescent="0.3">
      <c r="B18794" s="1" t="s">
        <v>13</v>
      </c>
      <c r="C18794" s="1" t="str">
        <f>"3차"</f>
        <v>3차</v>
      </c>
      <c r="D18794" s="1" t="str">
        <f>"9926H91339"</f>
        <v>9926H91339</v>
      </c>
      <c r="E18794" s="1" t="s">
        <v>10</v>
      </c>
      <c r="F18794" s="1" t="str">
        <f>"10.12.135.204"</f>
        <v>10.12.135.204</v>
      </c>
      <c r="G18794" s="1" t="str">
        <f>"9926H913"</f>
        <v>9926H913</v>
      </c>
      <c r="H18794" s="1" t="str">
        <f>"별궁지 3"</f>
        <v>별궁지 3</v>
      </c>
      <c r="I18794" s="1" t="s">
        <v>8</v>
      </c>
      <c r="J18794" s="1" t="str">
        <f>"1/1"</f>
        <v>1/1</v>
      </c>
      <c r="K18794" s="1" t="str">
        <f>"2026-07-29 13:18:13"</f>
        <v>2026-07-29 13:18:13</v>
      </c>
      <c r="L18794" s="1" t="str">
        <f>"2018-03-31 11:21:55"</f>
        <v>2018-03-31 11:21:55</v>
      </c>
      <c r="M18794" s="1" t="s">
        <v>0</v>
      </c>
      <c r="N18794" s="1" t="s">
        <v>38</v>
      </c>
      <c r="O18794" s="1" t="s">
        <v>46</v>
      </c>
    </row>
    <row r="18795" spans="2:15" x14ac:dyDescent="0.3">
      <c r="B18795" s="1" t="s">
        <v>13</v>
      </c>
      <c r="C18795" s="1" t="str">
        <f>"3차"</f>
        <v>3차</v>
      </c>
      <c r="D18795" s="1" t="str">
        <f>"9926H91539"</f>
        <v>9926H91539</v>
      </c>
      <c r="E18795" s="1" t="s">
        <v>10</v>
      </c>
      <c r="F18795" s="1" t="str">
        <f>"10.14.8.190"</f>
        <v>10.14.8.190</v>
      </c>
      <c r="G18795" s="1" t="str">
        <f>"9926H915"</f>
        <v>9926H915</v>
      </c>
      <c r="H18795" s="1" t="str">
        <f>"별궁지 2H1"</f>
        <v>별궁지 2H1</v>
      </c>
      <c r="I18795" s="1" t="s">
        <v>8</v>
      </c>
      <c r="J18795" s="1" t="str">
        <f>"6/6"</f>
        <v>6/6</v>
      </c>
      <c r="K18795" s="1" t="str">
        <f>"2026-07-29 13:18:13"</f>
        <v>2026-07-29 13:18:13</v>
      </c>
      <c r="L18795" s="1" t="str">
        <f>"2018-07-16 14:43:37"</f>
        <v>2018-07-16 14:43:37</v>
      </c>
      <c r="M18795" s="1" t="s">
        <v>3</v>
      </c>
      <c r="N18795" s="1" t="s">
        <v>38</v>
      </c>
      <c r="O18795" s="1" t="s">
        <v>46</v>
      </c>
    </row>
    <row r="18796" spans="2:15" x14ac:dyDescent="0.3">
      <c r="B18796" s="1" t="s">
        <v>13</v>
      </c>
      <c r="C18796" s="1" t="str">
        <f>"4차"</f>
        <v>4차</v>
      </c>
      <c r="D18796" s="1" t="str">
        <f>"9926H91639"</f>
        <v>9926H91639</v>
      </c>
      <c r="E18796" s="1" t="s">
        <v>10</v>
      </c>
      <c r="F18796" s="1" t="str">
        <f>"10.12.132.16"</f>
        <v>10.12.132.16</v>
      </c>
      <c r="G18796" s="1" t="str">
        <f>"9926H916"</f>
        <v>9926H916</v>
      </c>
      <c r="H18796" s="1" t="str">
        <f>"별궁지 2R1H1"</f>
        <v>별궁지 2R1H1</v>
      </c>
      <c r="I18796" s="1" t="s">
        <v>8</v>
      </c>
      <c r="J18796" s="1" t="str">
        <f>"16/16"</f>
        <v>16/16</v>
      </c>
      <c r="K18796" s="1" t="str">
        <f>"2026-07-29 13:18:14"</f>
        <v>2026-07-29 13:18:14</v>
      </c>
      <c r="L18796" s="1" t="str">
        <f>"2018-07-16 14:58:04"</f>
        <v>2018-07-16 14:58:04</v>
      </c>
      <c r="M18796" s="1" t="s">
        <v>0</v>
      </c>
      <c r="N18796" s="1" t="s">
        <v>38</v>
      </c>
      <c r="O18796" s="1" t="s">
        <v>46</v>
      </c>
    </row>
    <row r="18797" spans="2:15" x14ac:dyDescent="0.3">
      <c r="B18797" s="1" t="s">
        <v>13</v>
      </c>
      <c r="C18797" s="1" t="str">
        <f t="shared" ref="C18797:C18802" si="936">"3차"</f>
        <v>3차</v>
      </c>
      <c r="D18797" s="1" t="str">
        <f>"9926H92539"</f>
        <v>9926H92539</v>
      </c>
      <c r="E18797" s="1" t="s">
        <v>10</v>
      </c>
      <c r="F18797" s="1" t="str">
        <f>"10.12.132.47"</f>
        <v>10.12.132.47</v>
      </c>
      <c r="G18797" s="1" t="str">
        <f>"9926H925"</f>
        <v>9926H925</v>
      </c>
      <c r="H18797" s="1" t="str">
        <f>"별궁지 2R1H1L1"</f>
        <v>별궁지 2R1H1L1</v>
      </c>
      <c r="I18797" s="1" t="s">
        <v>8</v>
      </c>
      <c r="J18797" s="1" t="str">
        <f>"5/9"</f>
        <v>5/9</v>
      </c>
      <c r="K18797" s="1" t="str">
        <f>"2026-07-29 13:18:14"</f>
        <v>2026-07-29 13:18:14</v>
      </c>
      <c r="L18797" s="1" t="str">
        <f>"2018-07-16 15:09:50"</f>
        <v>2018-07-16 15:09:50</v>
      </c>
      <c r="M18797" s="1" t="s">
        <v>0</v>
      </c>
      <c r="N18797" s="1" t="s">
        <v>38</v>
      </c>
      <c r="O18797" s="1" t="s">
        <v>46</v>
      </c>
    </row>
    <row r="18798" spans="2:15" x14ac:dyDescent="0.3">
      <c r="B18798" s="1" t="s">
        <v>13</v>
      </c>
      <c r="C18798" s="1" t="str">
        <f t="shared" si="936"/>
        <v>3차</v>
      </c>
      <c r="D18798" s="1" t="str">
        <f>"9926H93139"</f>
        <v>9926H93139</v>
      </c>
      <c r="E18798" s="1" t="s">
        <v>10</v>
      </c>
      <c r="F18798" s="1" t="str">
        <f>"10.12.128.36"</f>
        <v>10.12.128.36</v>
      </c>
      <c r="G18798" s="1" t="str">
        <f>"9926H931"</f>
        <v>9926H931</v>
      </c>
      <c r="H18798" s="1" t="str">
        <f>"별궁지 5"</f>
        <v>별궁지 5</v>
      </c>
      <c r="I18798" s="1" t="s">
        <v>8</v>
      </c>
      <c r="J18798" s="1" t="str">
        <f>"9/9"</f>
        <v>9/9</v>
      </c>
      <c r="K18798" s="1" t="str">
        <f>"2026-07-29 13:18:14"</f>
        <v>2026-07-29 13:18:14</v>
      </c>
      <c r="L18798" s="1" t="str">
        <f>"2018-03-31 10:56:56"</f>
        <v>2018-03-31 10:56:56</v>
      </c>
      <c r="M18798" s="1" t="s">
        <v>0</v>
      </c>
      <c r="N18798" s="1" t="s">
        <v>38</v>
      </c>
      <c r="O18798" s="1" t="s">
        <v>46</v>
      </c>
    </row>
    <row r="18799" spans="2:15" x14ac:dyDescent="0.3">
      <c r="B18799" s="1" t="s">
        <v>13</v>
      </c>
      <c r="C18799" s="1" t="str">
        <f t="shared" si="936"/>
        <v>3차</v>
      </c>
      <c r="D18799" s="1" t="str">
        <f>"9926H93239"</f>
        <v>9926H93239</v>
      </c>
      <c r="E18799" s="1" t="s">
        <v>10</v>
      </c>
      <c r="F18799" s="1" t="str">
        <f>"10.89.92.10"</f>
        <v>10.89.92.10</v>
      </c>
      <c r="G18799" s="1" t="str">
        <f>"9926H932"</f>
        <v>9926H932</v>
      </c>
      <c r="H18799" s="1" t="str">
        <f>"별궁지 6"</f>
        <v>별궁지 6</v>
      </c>
      <c r="I18799" s="1" t="s">
        <v>8</v>
      </c>
      <c r="J18799" s="1" t="str">
        <f>"6/6"</f>
        <v>6/6</v>
      </c>
      <c r="K18799" s="1" t="str">
        <f t="shared" ref="K18799:K18804" si="937">"2026-07-29 13:18:12"</f>
        <v>2026-07-29 13:18:12</v>
      </c>
      <c r="L18799" s="1" t="str">
        <f>"2018-03-31 10:25:11"</f>
        <v>2018-03-31 10:25:11</v>
      </c>
      <c r="M18799" s="1" t="s">
        <v>45</v>
      </c>
      <c r="N18799" s="1" t="s">
        <v>38</v>
      </c>
      <c r="O18799" s="1" t="s">
        <v>46</v>
      </c>
    </row>
    <row r="18800" spans="2:15" x14ac:dyDescent="0.3">
      <c r="B18800" s="1" t="s">
        <v>13</v>
      </c>
      <c r="C18800" s="1" t="str">
        <f t="shared" si="936"/>
        <v>3차</v>
      </c>
      <c r="D18800" s="1" t="str">
        <f>"9926H95239"</f>
        <v>9926H95239</v>
      </c>
      <c r="E18800" s="1" t="s">
        <v>10</v>
      </c>
      <c r="F18800" s="1" t="str">
        <f>"10.11.16.106"</f>
        <v>10.11.16.106</v>
      </c>
      <c r="G18800" s="1" t="str">
        <f>"9926H952"</f>
        <v>9926H952</v>
      </c>
      <c r="H18800" s="1" t="str">
        <f>"별궁지 9R1"</f>
        <v>별궁지 9R1</v>
      </c>
      <c r="I18800" s="1" t="s">
        <v>8</v>
      </c>
      <c r="J18800" s="1" t="str">
        <f>"22/22"</f>
        <v>22/22</v>
      </c>
      <c r="K18800" s="1" t="str">
        <f t="shared" si="937"/>
        <v>2026-07-29 13:18:12</v>
      </c>
      <c r="L18800" s="1" t="str">
        <f>"2018-02-26 19:00:36"</f>
        <v>2018-02-26 19:00:36</v>
      </c>
      <c r="M18800" s="1" t="s">
        <v>2</v>
      </c>
      <c r="N18800" s="1" t="s">
        <v>38</v>
      </c>
      <c r="O18800" s="1" t="s">
        <v>46</v>
      </c>
    </row>
    <row r="18801" spans="2:15" x14ac:dyDescent="0.3">
      <c r="B18801" s="1" t="s">
        <v>13</v>
      </c>
      <c r="C18801" s="1" t="str">
        <f t="shared" si="936"/>
        <v>3차</v>
      </c>
      <c r="D18801" s="1" t="str">
        <f>"9926H95439"</f>
        <v>9926H95439</v>
      </c>
      <c r="E18801" s="1" t="s">
        <v>10</v>
      </c>
      <c r="F18801" s="1" t="str">
        <f>"10.11.35.42"</f>
        <v>10.11.35.42</v>
      </c>
      <c r="G18801" s="1" t="str">
        <f>"9926H954"</f>
        <v>9926H954</v>
      </c>
      <c r="H18801" s="1" t="str">
        <f>"별궁지 9R2"</f>
        <v>별궁지 9R2</v>
      </c>
      <c r="I18801" s="1" t="s">
        <v>8</v>
      </c>
      <c r="J18801" s="1" t="str">
        <f>"13/13"</f>
        <v>13/13</v>
      </c>
      <c r="K18801" s="1" t="str">
        <f t="shared" si="937"/>
        <v>2026-07-29 13:18:12</v>
      </c>
      <c r="L18801" s="1" t="str">
        <f>"2018-02-14 09:20:55"</f>
        <v>2018-02-14 09:20:55</v>
      </c>
      <c r="M18801" s="1" t="s">
        <v>2</v>
      </c>
      <c r="N18801" s="1" t="s">
        <v>38</v>
      </c>
      <c r="O18801" s="1" t="s">
        <v>46</v>
      </c>
    </row>
    <row r="18802" spans="2:15" x14ac:dyDescent="0.3">
      <c r="B18802" s="1" t="s">
        <v>13</v>
      </c>
      <c r="C18802" s="1" t="str">
        <f t="shared" si="936"/>
        <v>3차</v>
      </c>
      <c r="D18802" s="1" t="str">
        <f>"9926H97139"</f>
        <v>9926H97139</v>
      </c>
      <c r="E18802" s="1" t="s">
        <v>10</v>
      </c>
      <c r="F18802" s="1" t="str">
        <f>"10.11.34.154"</f>
        <v>10.11.34.154</v>
      </c>
      <c r="G18802" s="1" t="str">
        <f>"9926H971"</f>
        <v>9926H971</v>
      </c>
      <c r="H18802" s="1" t="str">
        <f>"별궁지 12R3"</f>
        <v>별궁지 12R3</v>
      </c>
      <c r="I18802" s="1" t="s">
        <v>8</v>
      </c>
      <c r="J18802" s="1" t="str">
        <f>"16/16"</f>
        <v>16/16</v>
      </c>
      <c r="K18802" s="1" t="str">
        <f t="shared" si="937"/>
        <v>2026-07-29 13:18:12</v>
      </c>
      <c r="L18802" s="1" t="str">
        <f>"2018-05-24 09:40:55"</f>
        <v>2018-05-24 09:40:55</v>
      </c>
      <c r="M18802" s="1" t="s">
        <v>2</v>
      </c>
      <c r="N18802" s="1" t="s">
        <v>38</v>
      </c>
      <c r="O18802" s="1" t="s">
        <v>46</v>
      </c>
    </row>
    <row r="18803" spans="2:15" x14ac:dyDescent="0.3">
      <c r="B18803" s="1" t="s">
        <v>13</v>
      </c>
      <c r="C18803" s="1" t="str">
        <f>"4차"</f>
        <v>4차</v>
      </c>
      <c r="D18803" s="1" t="str">
        <f>"9926H97339"</f>
        <v>9926H97339</v>
      </c>
      <c r="E18803" s="1" t="s">
        <v>10</v>
      </c>
      <c r="F18803" s="1" t="str">
        <f>"10.11.34.162"</f>
        <v>10.11.34.162</v>
      </c>
      <c r="G18803" s="1" t="str">
        <f>"9926H973"</f>
        <v>9926H973</v>
      </c>
      <c r="H18803" s="1" t="str">
        <f>"별궁지 12R5"</f>
        <v>별궁지 12R5</v>
      </c>
      <c r="I18803" s="1" t="s">
        <v>8</v>
      </c>
      <c r="J18803" s="1" t="str">
        <f>"16/16"</f>
        <v>16/16</v>
      </c>
      <c r="K18803" s="1" t="str">
        <f t="shared" si="937"/>
        <v>2026-07-29 13:18:12</v>
      </c>
      <c r="L18803" s="1" t="str">
        <f>"2018-03-07 09:16:11"</f>
        <v>2018-03-07 09:16:11</v>
      </c>
      <c r="M18803" s="1" t="s">
        <v>2</v>
      </c>
      <c r="N18803" s="1" t="s">
        <v>38</v>
      </c>
      <c r="O18803" s="1" t="s">
        <v>46</v>
      </c>
    </row>
    <row r="18804" spans="2:15" x14ac:dyDescent="0.3">
      <c r="B18804" s="1" t="s">
        <v>13</v>
      </c>
      <c r="C18804" s="1" t="str">
        <f>"3차"</f>
        <v>3차</v>
      </c>
      <c r="D18804" s="1" t="str">
        <f>"9926H98539"</f>
        <v>9926H98539</v>
      </c>
      <c r="E18804" s="1" t="s">
        <v>10</v>
      </c>
      <c r="F18804" s="1" t="str">
        <f>"10.11.26.130"</f>
        <v>10.11.26.130</v>
      </c>
      <c r="G18804" s="1" t="str">
        <f>"9926H985"</f>
        <v>9926H985</v>
      </c>
      <c r="H18804" s="1" t="str">
        <f>"별궁지 13R4"</f>
        <v>별궁지 13R4</v>
      </c>
      <c r="I18804" s="1" t="s">
        <v>8</v>
      </c>
      <c r="J18804" s="1" t="str">
        <f>"11/13"</f>
        <v>11/13</v>
      </c>
      <c r="K18804" s="1" t="str">
        <f t="shared" si="937"/>
        <v>2026-07-29 13:18:12</v>
      </c>
      <c r="L18804" s="1" t="str">
        <f>"2021-07-27 09:15:32"</f>
        <v>2021-07-27 09:15:32</v>
      </c>
      <c r="M18804" s="1" t="s">
        <v>2</v>
      </c>
      <c r="N18804" s="1" t="s">
        <v>38</v>
      </c>
      <c r="O18804" s="1" t="s">
        <v>46</v>
      </c>
    </row>
    <row r="18805" spans="2:15" x14ac:dyDescent="0.3">
      <c r="B18805" s="1" t="s">
        <v>13</v>
      </c>
      <c r="C18805" s="1" t="str">
        <f>"4차"</f>
        <v>4차</v>
      </c>
      <c r="D18805" s="1" t="str">
        <f>"9926S05139"</f>
        <v>9926S05139</v>
      </c>
      <c r="E18805" s="1" t="s">
        <v>10</v>
      </c>
      <c r="F18805" s="1" t="str">
        <f>"10.12.132.72"</f>
        <v>10.12.132.72</v>
      </c>
      <c r="G18805" s="1" t="str">
        <f>"9926S051"</f>
        <v>9926S051</v>
      </c>
      <c r="H18805" s="1" t="str">
        <f>"정동로 2-2"</f>
        <v>정동로 2-2</v>
      </c>
      <c r="I18805" s="1" t="s">
        <v>17</v>
      </c>
      <c r="J18805" s="1" t="str">
        <f>"1/2"</f>
        <v>1/2</v>
      </c>
      <c r="K18805" s="1" t="str">
        <f>"2026-07-29 13:18:14"</f>
        <v>2026-07-29 13:18:14</v>
      </c>
      <c r="L18805" s="1" t="str">
        <f>"2018-10-24 15:16:12"</f>
        <v>2018-10-24 15:16:12</v>
      </c>
      <c r="M18805" s="1" t="s">
        <v>0</v>
      </c>
      <c r="N18805" s="1" t="s">
        <v>38</v>
      </c>
      <c r="O18805" s="1" t="s">
        <v>46</v>
      </c>
    </row>
    <row r="18806" spans="2:15" x14ac:dyDescent="0.3">
      <c r="B18806" s="1" t="s">
        <v>13</v>
      </c>
      <c r="C18806" s="1" t="str">
        <f>"4차"</f>
        <v>4차</v>
      </c>
      <c r="D18806" s="1" t="str">
        <f>"9926W27139"</f>
        <v>9926W27139</v>
      </c>
      <c r="E18806" s="1" t="s">
        <v>10</v>
      </c>
      <c r="F18806" s="1" t="str">
        <f>"10.12.130.103"</f>
        <v>10.12.130.103</v>
      </c>
      <c r="G18806" s="1" t="str">
        <f>"9926W271"</f>
        <v>9926W271</v>
      </c>
      <c r="H18806" s="1" t="str">
        <f>"청계로 L2"</f>
        <v>청계로 L2</v>
      </c>
      <c r="I18806" s="1" t="s">
        <v>17</v>
      </c>
      <c r="J18806" s="1" t="str">
        <f>"1/1"</f>
        <v>1/1</v>
      </c>
      <c r="K18806" s="1" t="str">
        <f>"2026-07-29 13:18:14"</f>
        <v>2026-07-29 13:18:14</v>
      </c>
      <c r="L18806" s="1" t="str">
        <f>"2018-10-23 09:06:39"</f>
        <v>2018-10-23 09:06:39</v>
      </c>
      <c r="M18806" s="1" t="s">
        <v>0</v>
      </c>
      <c r="N18806" s="1" t="s">
        <v>38</v>
      </c>
      <c r="O18806" s="1" t="s">
        <v>46</v>
      </c>
    </row>
    <row r="18807" spans="2:15" x14ac:dyDescent="0.3">
      <c r="B18807" s="1" t="s">
        <v>13</v>
      </c>
      <c r="C18807" s="1" t="str">
        <f>"4차"</f>
        <v>4차</v>
      </c>
      <c r="D18807" s="1" t="str">
        <f>"9926X06245"</f>
        <v>9926X06245</v>
      </c>
      <c r="E18807" s="1" t="s">
        <v>10</v>
      </c>
      <c r="F18807" s="1" t="str">
        <f>"10.14.12.66"</f>
        <v>10.14.12.66</v>
      </c>
      <c r="G18807" s="1" t="str">
        <f>"9926X062"</f>
        <v>9926X062</v>
      </c>
      <c r="H18807" s="1" t="str">
        <f>"관철로 4-6"</f>
        <v>관철로 4-6</v>
      </c>
      <c r="I18807" s="1" t="s">
        <v>17</v>
      </c>
      <c r="J18807" s="1" t="str">
        <f>"10/10"</f>
        <v>10/10</v>
      </c>
      <c r="K18807" s="1" t="str">
        <f>"2026-07-29 13:18:14"</f>
        <v>2026-07-29 13:18:14</v>
      </c>
      <c r="L18807" s="1" t="str">
        <f>"2021-06-30 15:18:13"</f>
        <v>2021-06-30 15:18:13</v>
      </c>
      <c r="M18807" s="1" t="s">
        <v>3</v>
      </c>
      <c r="N18807" s="1" t="s">
        <v>38</v>
      </c>
      <c r="O18807" s="1" t="s">
        <v>46</v>
      </c>
    </row>
    <row r="18808" spans="2:15" x14ac:dyDescent="0.3">
      <c r="B18808" s="1" t="s">
        <v>13</v>
      </c>
      <c r="C18808" s="1" t="str">
        <f>"4차"</f>
        <v>4차</v>
      </c>
      <c r="D18808" s="1" t="str">
        <f>"9926X16445"</f>
        <v>9926X16445</v>
      </c>
      <c r="E18808" s="1" t="s">
        <v>10</v>
      </c>
      <c r="F18808" s="1" t="str">
        <f>"10.14.14.19"</f>
        <v>10.14.14.19</v>
      </c>
      <c r="G18808" s="1" t="str">
        <f>"9926X164"</f>
        <v>9926X164</v>
      </c>
      <c r="H18808" s="1" t="str">
        <f>"관철로 4-11"</f>
        <v>관철로 4-11</v>
      </c>
      <c r="I18808" s="1" t="s">
        <v>17</v>
      </c>
      <c r="J18808" s="1" t="str">
        <f>"1/1"</f>
        <v>1/1</v>
      </c>
      <c r="K18808" s="1" t="str">
        <f>"2026-07-29 13:18:14"</f>
        <v>2026-07-29 13:18:14</v>
      </c>
      <c r="L18808" s="1" t="str">
        <f>"2021-06-30 15:19:49"</f>
        <v>2021-06-30 15:19:49</v>
      </c>
      <c r="M18808" s="1" t="s">
        <v>3</v>
      </c>
      <c r="N18808" s="1" t="s">
        <v>38</v>
      </c>
      <c r="O18808" s="1" t="s">
        <v>46</v>
      </c>
    </row>
    <row r="18809" spans="2:15" x14ac:dyDescent="0.3">
      <c r="B18809" s="1" t="s">
        <v>13</v>
      </c>
      <c r="C18809" s="1" t="str">
        <f>"4차"</f>
        <v>4차</v>
      </c>
      <c r="D18809" s="1" t="str">
        <f>"9926Z08645"</f>
        <v>9926Z08645</v>
      </c>
      <c r="E18809" s="1" t="s">
        <v>10</v>
      </c>
      <c r="F18809" s="1" t="str">
        <f>"10.14.1.33"</f>
        <v>10.14.1.33</v>
      </c>
      <c r="G18809" s="1" t="str">
        <f>"9926Z086"</f>
        <v>9926Z086</v>
      </c>
      <c r="H18809" s="1" t="str">
        <f>"중앙로 15-1"</f>
        <v>중앙로 15-1</v>
      </c>
      <c r="I18809" s="1" t="s">
        <v>17</v>
      </c>
      <c r="J18809" s="1" t="str">
        <f>"15/15"</f>
        <v>15/15</v>
      </c>
      <c r="K18809" s="1" t="str">
        <f>"2026-07-29 13:18:12"</f>
        <v>2026-07-29 13:18:12</v>
      </c>
      <c r="L18809" s="1" t="str">
        <f>"2021-06-30 09:33:36"</f>
        <v>2021-06-30 09:33:36</v>
      </c>
      <c r="M18809" s="1" t="s">
        <v>3</v>
      </c>
      <c r="N18809" s="1" t="s">
        <v>38</v>
      </c>
      <c r="O18809" s="1" t="s">
        <v>46</v>
      </c>
    </row>
    <row r="18810" spans="2:15" x14ac:dyDescent="0.3">
      <c r="B18810" s="1" t="s">
        <v>13</v>
      </c>
      <c r="C18810" s="1" t="str">
        <f>"5-2차"</f>
        <v>5-2차</v>
      </c>
      <c r="D18810" s="1" t="str">
        <f>"9927A0235M"</f>
        <v>9927A0235M</v>
      </c>
      <c r="E18810" s="1" t="s">
        <v>10</v>
      </c>
      <c r="F18810" s="1" t="str">
        <f>"fde1:103:4:56aa:0:0:0:2"</f>
        <v>fde1:103:4:56aa:0:0:0:2</v>
      </c>
      <c r="G18810" s="1" t="str">
        <f>"9927A023"</f>
        <v>9927A023</v>
      </c>
      <c r="H18810" s="1" t="str">
        <f>"부암간 3R6"</f>
        <v>부암간 3R6</v>
      </c>
      <c r="I18810" s="1" t="s">
        <v>15</v>
      </c>
      <c r="J18810" s="1" t="str">
        <f>"20/20"</f>
        <v>20/20</v>
      </c>
      <c r="K18810" s="1" t="str">
        <f>"2026-07-29 14:21:31"</f>
        <v>2026-07-29 14:21:31</v>
      </c>
      <c r="L18810" s="1" t="str">
        <f>"2023-08-23 14:33:44"</f>
        <v>2023-08-23 14:33:44</v>
      </c>
      <c r="M18810" s="1" t="s">
        <v>4</v>
      </c>
      <c r="N18810" s="1" t="s">
        <v>38</v>
      </c>
      <c r="O18810" s="1" t="s">
        <v>46</v>
      </c>
    </row>
    <row r="18811" spans="2:15" x14ac:dyDescent="0.3">
      <c r="B18811" s="1" t="s">
        <v>13</v>
      </c>
      <c r="C18811" s="1" t="str">
        <f>"5-2차"</f>
        <v>5-2차</v>
      </c>
      <c r="D18811" s="1" t="str">
        <f>"9927A2835M"</f>
        <v>9927A2835M</v>
      </c>
      <c r="E18811" s="1" t="s">
        <v>10</v>
      </c>
      <c r="F18811" s="1" t="str">
        <f>"fde1:103:4:5595:0:0:0:2"</f>
        <v>fde1:103:4:5595:0:0:0:2</v>
      </c>
      <c r="G18811" s="1" t="str">
        <f>"9927A283"</f>
        <v>9927A283</v>
      </c>
      <c r="H18811" s="1" t="str">
        <f>"북악지 1L4"</f>
        <v>북악지 1L4</v>
      </c>
      <c r="I18811" s="1" t="s">
        <v>15</v>
      </c>
      <c r="J18811" s="1" t="str">
        <f>"112/112"</f>
        <v>112/112</v>
      </c>
      <c r="K18811" s="1" t="str">
        <f>"2026-07-29 14:21:32"</f>
        <v>2026-07-29 14:21:32</v>
      </c>
      <c r="L18811" s="1" t="str">
        <f>"2023-08-23 14:34:58"</f>
        <v>2023-08-23 14:34:58</v>
      </c>
      <c r="M18811" s="1" t="s">
        <v>4</v>
      </c>
      <c r="N18811" s="1" t="s">
        <v>38</v>
      </c>
      <c r="O18811" s="1" t="s">
        <v>46</v>
      </c>
    </row>
    <row r="18812" spans="2:15" x14ac:dyDescent="0.3">
      <c r="B18812" s="1" t="s">
        <v>13</v>
      </c>
      <c r="C18812" s="1" t="s">
        <v>16</v>
      </c>
      <c r="D18812" s="1" t="str">
        <f>"9927C1625S"</f>
        <v>9927C1625S</v>
      </c>
      <c r="E18812" s="1" t="str">
        <f>"검침실패(3시간 이상)"</f>
        <v>검침실패(3시간 이상)</v>
      </c>
      <c r="F18812" s="1" t="str">
        <f>"fde1:103:4:56d2:0:0:0:2"</f>
        <v>fde1:103:4:56d2:0:0:0:2</v>
      </c>
      <c r="G18812" s="1" t="str">
        <f>"9927C162"</f>
        <v>9927C162</v>
      </c>
      <c r="H18812" s="1" t="str">
        <f>"효자간 59"</f>
        <v>효자간 59</v>
      </c>
      <c r="I18812" s="1" t="s">
        <v>15</v>
      </c>
      <c r="J18812" s="1" t="str">
        <f>"0/50"</f>
        <v>0/50</v>
      </c>
      <c r="K18812" s="1" t="str">
        <f>"2026-07-29 14:21:33"</f>
        <v>2026-07-29 14:21:33</v>
      </c>
      <c r="L18812" s="1" t="str">
        <f>"2023-08-07 13:14:28"</f>
        <v>2023-08-07 13:14:28</v>
      </c>
      <c r="M18812" s="1" t="s">
        <v>4</v>
      </c>
      <c r="N18812" s="1" t="s">
        <v>38</v>
      </c>
      <c r="O18812" s="1" t="s">
        <v>46</v>
      </c>
    </row>
    <row r="18813" spans="2:15" x14ac:dyDescent="0.3">
      <c r="B18813" s="1" t="s">
        <v>13</v>
      </c>
      <c r="C18813" s="1" t="s">
        <v>16</v>
      </c>
      <c r="D18813" s="1" t="str">
        <f>"9927C2445S"</f>
        <v>9927C2445S</v>
      </c>
      <c r="E18813" s="1" t="s">
        <v>10</v>
      </c>
      <c r="F18813" s="1" t="str">
        <f>"fde3:102:1304:1806:0:0:0:2"</f>
        <v>fde3:102:1304:1806:0:0:0:2</v>
      </c>
      <c r="G18813" s="1" t="str">
        <f>"9927C244"</f>
        <v>9927C244</v>
      </c>
      <c r="H18813" s="1" t="str">
        <f>"효자간 56"</f>
        <v>효자간 56</v>
      </c>
      <c r="I18813" s="1" t="s">
        <v>15</v>
      </c>
      <c r="J18813" s="1" t="str">
        <f>"26/26"</f>
        <v>26/26</v>
      </c>
      <c r="K18813" s="1" t="str">
        <f>"2026-07-29 14:21:32"</f>
        <v>2026-07-29 14:21:32</v>
      </c>
      <c r="L18813" s="1" t="str">
        <f>"2023-08-09 15:50:44"</f>
        <v>2023-08-09 15:50:44</v>
      </c>
      <c r="M18813" s="1" t="s">
        <v>45</v>
      </c>
      <c r="N18813" s="1" t="s">
        <v>38</v>
      </c>
      <c r="O18813" s="1" t="s">
        <v>46</v>
      </c>
    </row>
    <row r="18814" spans="2:15" x14ac:dyDescent="0.3">
      <c r="B18814" s="1" t="s">
        <v>13</v>
      </c>
      <c r="C18814" s="1" t="str">
        <f>"5-2차"</f>
        <v>5-2차</v>
      </c>
      <c r="D18814" s="1" t="str">
        <f>"9927G4015M"</f>
        <v>9927G4015M</v>
      </c>
      <c r="E18814" s="1" t="s">
        <v>10</v>
      </c>
      <c r="F18814" s="1" t="str">
        <f>"fde1:103:4:5594:0:0:0:2"</f>
        <v>fde1:103:4:5594:0:0:0:2</v>
      </c>
      <c r="G18814" s="1" t="str">
        <f>"9927G401"</f>
        <v>9927G401</v>
      </c>
      <c r="H18814" s="1" t="str">
        <f>"전동간 61L8"</f>
        <v>전동간 61L8</v>
      </c>
      <c r="I18814" s="1" t="s">
        <v>15</v>
      </c>
      <c r="J18814" s="1" t="str">
        <f>"12/12"</f>
        <v>12/12</v>
      </c>
      <c r="K18814" s="1" t="str">
        <f>"2026-07-29 14:21:34"</f>
        <v>2026-07-29 14:21:34</v>
      </c>
      <c r="L18814" s="1" t="str">
        <f>"2023-08-23 14:35:36"</f>
        <v>2023-08-23 14:35:36</v>
      </c>
      <c r="M18814" s="1" t="s">
        <v>4</v>
      </c>
      <c r="N18814" s="1" t="s">
        <v>38</v>
      </c>
      <c r="O18814" s="1" t="s">
        <v>46</v>
      </c>
    </row>
    <row r="18815" spans="2:15" x14ac:dyDescent="0.3">
      <c r="B18815" s="1" t="s">
        <v>13</v>
      </c>
      <c r="C18815" s="1" t="str">
        <f>"2차"</f>
        <v>2차</v>
      </c>
      <c r="D18815" s="1" t="str">
        <f>"9927P01129"</f>
        <v>9927P01129</v>
      </c>
      <c r="E18815" s="1" t="s">
        <v>10</v>
      </c>
      <c r="F18815" s="1" t="str">
        <f>"10.11.10.178"</f>
        <v>10.11.10.178</v>
      </c>
      <c r="G18815" s="1" t="str">
        <f>"9927P011"</f>
        <v>9927P011</v>
      </c>
      <c r="H18815" s="1" t="str">
        <f>"효자간 35L2R9"</f>
        <v>효자간 35L2R9</v>
      </c>
      <c r="I18815" s="1" t="s">
        <v>8</v>
      </c>
      <c r="J18815" s="1" t="str">
        <f>"2/2"</f>
        <v>2/2</v>
      </c>
      <c r="K18815" s="1" t="str">
        <f>"2026-07-29 13:18:12"</f>
        <v>2026-07-29 13:18:12</v>
      </c>
      <c r="L18815" s="1" t="str">
        <f>"2017-06-20 11:24:13"</f>
        <v>2017-06-20 11:24:13</v>
      </c>
      <c r="M18815" s="1" t="s">
        <v>2</v>
      </c>
      <c r="N18815" s="1" t="s">
        <v>38</v>
      </c>
      <c r="O18815" s="1" t="s">
        <v>46</v>
      </c>
    </row>
    <row r="18816" spans="2:15" x14ac:dyDescent="0.3">
      <c r="B18816" s="1" t="s">
        <v>13</v>
      </c>
      <c r="C18816" s="1" t="str">
        <f>"2차"</f>
        <v>2차</v>
      </c>
      <c r="D18816" s="1" t="str">
        <f>"9927P01220"</f>
        <v>9927P01220</v>
      </c>
      <c r="E18816" s="1" t="s">
        <v>10</v>
      </c>
      <c r="F18816" s="1" t="str">
        <f>"10.11.8.194"</f>
        <v>10.11.8.194</v>
      </c>
      <c r="G18816" s="1" t="str">
        <f>"9927P012"</f>
        <v>9927P012</v>
      </c>
      <c r="H18816" s="1" t="str">
        <f>"효자간 35L2R10"</f>
        <v>효자간 35L2R10</v>
      </c>
      <c r="I18816" s="1" t="s">
        <v>8</v>
      </c>
      <c r="J18816" s="1" t="str">
        <f>"34/35"</f>
        <v>34/35</v>
      </c>
      <c r="K18816" s="1" t="str">
        <f>"2026-07-29 13:18:12"</f>
        <v>2026-07-29 13:18:12</v>
      </c>
      <c r="L18816" s="1" t="str">
        <f>"2017-06-21 17:41:01"</f>
        <v>2017-06-21 17:41:01</v>
      </c>
      <c r="M18816" s="1" t="s">
        <v>2</v>
      </c>
      <c r="N18816" s="1" t="s">
        <v>38</v>
      </c>
      <c r="O18816" s="1" t="s">
        <v>46</v>
      </c>
    </row>
    <row r="18817" spans="2:15" x14ac:dyDescent="0.3">
      <c r="B18817" s="1" t="s">
        <v>13</v>
      </c>
      <c r="C18817" s="1" t="s">
        <v>16</v>
      </c>
      <c r="D18817" s="1" t="str">
        <f>"9927P3055S"</f>
        <v>9927P3055S</v>
      </c>
      <c r="E18817" s="1" t="s">
        <v>10</v>
      </c>
      <c r="F18817" s="1" t="str">
        <f>"fde1:103:4:56ab:0:0:0:2"</f>
        <v>fde1:103:4:56ab:0:0:0:2</v>
      </c>
      <c r="G18817" s="1" t="str">
        <f>"9927P305"</f>
        <v>9927P305</v>
      </c>
      <c r="H18817" s="1" t="str">
        <f>"효자간 35L2R4"</f>
        <v>효자간 35L2R4</v>
      </c>
      <c r="I18817" s="1" t="s">
        <v>15</v>
      </c>
      <c r="J18817" s="1" t="str">
        <f>"78/78"</f>
        <v>78/78</v>
      </c>
      <c r="K18817" s="1" t="str">
        <f>"2026-07-29 14:21:34"</f>
        <v>2026-07-29 14:21:34</v>
      </c>
      <c r="L18817" s="1" t="str">
        <f>"2023-08-07 13:34:37"</f>
        <v>2023-08-07 13:34:37</v>
      </c>
      <c r="M18817" s="1" t="s">
        <v>4</v>
      </c>
      <c r="N18817" s="1" t="s">
        <v>38</v>
      </c>
      <c r="O18817" s="1" t="s">
        <v>46</v>
      </c>
    </row>
    <row r="18818" spans="2:15" x14ac:dyDescent="0.3">
      <c r="B18818" s="1" t="s">
        <v>13</v>
      </c>
      <c r="C18818" s="1" t="s">
        <v>16</v>
      </c>
      <c r="D18818" s="1" t="str">
        <f>"9927P3515S"</f>
        <v>9927P3515S</v>
      </c>
      <c r="E18818" s="1" t="s">
        <v>10</v>
      </c>
      <c r="F18818" s="1" t="str">
        <f>"fde1:103:4:5669:0:0:0:2"</f>
        <v>fde1:103:4:5669:0:0:0:2</v>
      </c>
      <c r="G18818" s="1" t="str">
        <f>"9927P351"</f>
        <v>9927P351</v>
      </c>
      <c r="H18818" s="1" t="str">
        <f>"효자간 41L3"</f>
        <v>효자간 41L3</v>
      </c>
      <c r="I18818" s="1" t="s">
        <v>15</v>
      </c>
      <c r="J18818" s="1" t="str">
        <f>"29/29"</f>
        <v>29/29</v>
      </c>
      <c r="K18818" s="1" t="str">
        <f>"2026-07-29 14:21:50"</f>
        <v>2026-07-29 14:21:50</v>
      </c>
      <c r="L18818" s="1" t="str">
        <f>"2023-08-07 13:46:44"</f>
        <v>2023-08-07 13:46:44</v>
      </c>
      <c r="M18818" s="1" t="s">
        <v>4</v>
      </c>
      <c r="N18818" s="1" t="s">
        <v>38</v>
      </c>
      <c r="O18818" s="1" t="s">
        <v>46</v>
      </c>
    </row>
    <row r="18819" spans="2:15" x14ac:dyDescent="0.3">
      <c r="B18819" s="1" t="s">
        <v>13</v>
      </c>
      <c r="C18819" s="1" t="s">
        <v>16</v>
      </c>
      <c r="D18819" s="1" t="str">
        <f>"9927P5045S"</f>
        <v>9927P5045S</v>
      </c>
      <c r="E18819" s="1" t="s">
        <v>10</v>
      </c>
      <c r="F18819" s="1" t="str">
        <f>"fde1:103:4:5598:0:0:0:2"</f>
        <v>fde1:103:4:5598:0:0:0:2</v>
      </c>
      <c r="G18819" s="1" t="str">
        <f>"9927P504"</f>
        <v>9927P504</v>
      </c>
      <c r="H18819" s="1" t="str">
        <f>"효자간 35L2R2"</f>
        <v>효자간 35L2R2</v>
      </c>
      <c r="I18819" s="1" t="s">
        <v>15</v>
      </c>
      <c r="J18819" s="1" t="str">
        <f>"76/78"</f>
        <v>76/78</v>
      </c>
      <c r="K18819" s="1" t="str">
        <f>"2026-07-29 14:21:35"</f>
        <v>2026-07-29 14:21:35</v>
      </c>
      <c r="L18819" s="1" t="str">
        <f>"2023-09-01 13:20:24"</f>
        <v>2023-09-01 13:20:24</v>
      </c>
      <c r="M18819" s="1" t="s">
        <v>4</v>
      </c>
      <c r="N18819" s="1" t="s">
        <v>38</v>
      </c>
      <c r="O18819" s="1" t="s">
        <v>46</v>
      </c>
    </row>
    <row r="18820" spans="2:15" x14ac:dyDescent="0.3">
      <c r="B18820" s="1" t="s">
        <v>13</v>
      </c>
      <c r="C18820" s="1" t="str">
        <f>"4차"</f>
        <v>4차</v>
      </c>
      <c r="D18820" s="1" t="str">
        <f>"9927P52139"</f>
        <v>9927P52139</v>
      </c>
      <c r="E18820" s="1" t="s">
        <v>10</v>
      </c>
      <c r="F18820" s="1" t="str">
        <f>"10.12.131.52"</f>
        <v>10.12.131.52</v>
      </c>
      <c r="G18820" s="1" t="str">
        <f>"9927P521"</f>
        <v>9927P521</v>
      </c>
      <c r="H18820" s="1" t="str">
        <f>"궁정로 12"</f>
        <v>궁정로 12</v>
      </c>
      <c r="I18820" s="1" t="s">
        <v>17</v>
      </c>
      <c r="J18820" s="1" t="str">
        <f>"8/8"</f>
        <v>8/8</v>
      </c>
      <c r="K18820" s="1" t="str">
        <f>"2026-07-29 13:18:15"</f>
        <v>2026-07-29 13:18:15</v>
      </c>
      <c r="L18820" s="1" t="str">
        <f>"2018-12-27 17:09:29"</f>
        <v>2018-12-27 17:09:29</v>
      </c>
      <c r="M18820" s="1" t="s">
        <v>0</v>
      </c>
      <c r="N18820" s="1" t="s">
        <v>38</v>
      </c>
      <c r="O18820" s="1" t="s">
        <v>46</v>
      </c>
    </row>
    <row r="18821" spans="2:15" x14ac:dyDescent="0.3">
      <c r="B18821" s="1" t="s">
        <v>13</v>
      </c>
      <c r="C18821" s="1" t="str">
        <f>"4차"</f>
        <v>4차</v>
      </c>
      <c r="D18821" s="1" t="str">
        <f>"9927P55139"</f>
        <v>9927P55139</v>
      </c>
      <c r="E18821" s="1" t="s">
        <v>10</v>
      </c>
      <c r="F18821" s="1" t="str">
        <f>"10.12.131.123"</f>
        <v>10.12.131.123</v>
      </c>
      <c r="G18821" s="1" t="str">
        <f>"9927P551"</f>
        <v>9927P551</v>
      </c>
      <c r="H18821" s="1" t="str">
        <f>"궁정로 12R1"</f>
        <v>궁정로 12R1</v>
      </c>
      <c r="I18821" s="1" t="s">
        <v>17</v>
      </c>
      <c r="J18821" s="1" t="str">
        <f>"4/14"</f>
        <v>4/14</v>
      </c>
      <c r="K18821" s="1" t="str">
        <f>"2026-07-29 13:18:14"</f>
        <v>2026-07-29 13:18:14</v>
      </c>
      <c r="L18821" s="1" t="str">
        <f>"2018-10-24 13:11:57"</f>
        <v>2018-10-24 13:11:57</v>
      </c>
      <c r="M18821" s="1" t="s">
        <v>0</v>
      </c>
      <c r="N18821" s="1" t="s">
        <v>38</v>
      </c>
      <c r="O18821" s="1" t="s">
        <v>46</v>
      </c>
    </row>
    <row r="18822" spans="2:15" x14ac:dyDescent="0.3">
      <c r="B18822" s="1" t="s">
        <v>13</v>
      </c>
      <c r="C18822" s="1" t="str">
        <f>"4차"</f>
        <v>4차</v>
      </c>
      <c r="D18822" s="1" t="str">
        <f>"9927Q05139"</f>
        <v>9927Q05139</v>
      </c>
      <c r="E18822" s="1" t="str">
        <f>"검침실패(3시간 이상)"</f>
        <v>검침실패(3시간 이상)</v>
      </c>
      <c r="F18822" s="1" t="str">
        <f>"10.12.131.113"</f>
        <v>10.12.131.113</v>
      </c>
      <c r="G18822" s="1" t="str">
        <f>"9927Q051"</f>
        <v>9927Q051</v>
      </c>
      <c r="H18822" s="1" t="str">
        <f>"자하문로 5"</f>
        <v>자하문로 5</v>
      </c>
      <c r="I18822" s="1" t="s">
        <v>17</v>
      </c>
      <c r="J18822" s="1" t="str">
        <f>"0/2"</f>
        <v>0/2</v>
      </c>
      <c r="K18822" s="1" t="str">
        <f>"2026-07-29 13:18:15"</f>
        <v>2026-07-29 13:18:15</v>
      </c>
      <c r="L18822" s="1" t="str">
        <f>"2018-10-24 12:16:26"</f>
        <v>2018-10-24 12:16:26</v>
      </c>
      <c r="M18822" s="1" t="s">
        <v>0</v>
      </c>
      <c r="N18822" s="1" t="s">
        <v>38</v>
      </c>
      <c r="O18822" s="1" t="s">
        <v>46</v>
      </c>
    </row>
    <row r="18823" spans="2:15" x14ac:dyDescent="0.3">
      <c r="B18823" s="1" t="s">
        <v>13</v>
      </c>
      <c r="C18823" s="1" t="s">
        <v>16</v>
      </c>
      <c r="D18823" s="1" t="str">
        <f>"9927R0115S"</f>
        <v>9927R0115S</v>
      </c>
      <c r="E18823" s="1" t="s">
        <v>10</v>
      </c>
      <c r="F18823" s="1" t="str">
        <f>"fde3:102:1304:1804:0:0:0:2"</f>
        <v>fde3:102:1304:1804:0:0:0:2</v>
      </c>
      <c r="G18823" s="1" t="str">
        <f>"9927R011"</f>
        <v>9927R011</v>
      </c>
      <c r="H18823" s="1" t="str">
        <f>"옥인지 23L3"</f>
        <v>옥인지 23L3</v>
      </c>
      <c r="I18823" s="1" t="s">
        <v>15</v>
      </c>
      <c r="J18823" s="1" t="str">
        <f>"86/86"</f>
        <v>86/86</v>
      </c>
      <c r="K18823" s="1" t="str">
        <f>"2026-07-29 14:21:38"</f>
        <v>2026-07-29 14:21:38</v>
      </c>
      <c r="L18823" s="1" t="str">
        <f>"2023-08-07 15:36:19"</f>
        <v>2023-08-07 15:36:19</v>
      </c>
      <c r="M18823" s="1" t="s">
        <v>45</v>
      </c>
      <c r="N18823" s="1" t="s">
        <v>38</v>
      </c>
      <c r="O18823" s="1" t="s">
        <v>46</v>
      </c>
    </row>
    <row r="18824" spans="2:15" x14ac:dyDescent="0.3">
      <c r="B18824" s="1" t="s">
        <v>13</v>
      </c>
      <c r="C18824" s="1" t="s">
        <v>16</v>
      </c>
      <c r="D18824" s="1" t="str">
        <f>"9927R0135S"</f>
        <v>9927R0135S</v>
      </c>
      <c r="E18824" s="1" t="s">
        <v>10</v>
      </c>
      <c r="F18824" s="1" t="str">
        <f>"fde3:102:1304:1808:0:0:0:2"</f>
        <v>fde3:102:1304:1808:0:0:0:2</v>
      </c>
      <c r="G18824" s="1" t="str">
        <f>"9927R013"</f>
        <v>9927R013</v>
      </c>
      <c r="H18824" s="1" t="str">
        <f>"옥인지 23L4H1"</f>
        <v>옥인지 23L4H1</v>
      </c>
      <c r="I18824" s="1" t="s">
        <v>15</v>
      </c>
      <c r="J18824" s="1" t="str">
        <f>"107/107"</f>
        <v>107/107</v>
      </c>
      <c r="K18824" s="1" t="str">
        <f>"2026-07-29 14:21:45"</f>
        <v>2026-07-29 14:21:45</v>
      </c>
      <c r="L18824" s="1" t="str">
        <f>"2023-08-07 15:18:35"</f>
        <v>2023-08-07 15:18:35</v>
      </c>
      <c r="M18824" s="1" t="s">
        <v>45</v>
      </c>
      <c r="N18824" s="1" t="s">
        <v>38</v>
      </c>
      <c r="O18824" s="1" t="s">
        <v>46</v>
      </c>
    </row>
    <row r="18825" spans="2:15" x14ac:dyDescent="0.3">
      <c r="B18825" s="1" t="s">
        <v>13</v>
      </c>
      <c r="C18825" s="1" t="str">
        <f>"2차"</f>
        <v>2차</v>
      </c>
      <c r="D18825" s="1" t="str">
        <f>"9927R03121"</f>
        <v>9927R03121</v>
      </c>
      <c r="E18825" s="1" t="s">
        <v>10</v>
      </c>
      <c r="F18825" s="1" t="str">
        <f>"10.11.4.163"</f>
        <v>10.11.4.163</v>
      </c>
      <c r="G18825" s="1" t="str">
        <f>"9927R031"</f>
        <v>9927R031</v>
      </c>
      <c r="H18825" s="1" t="str">
        <f>"옥인지 16"</f>
        <v>옥인지 16</v>
      </c>
      <c r="I18825" s="1" t="s">
        <v>8</v>
      </c>
      <c r="J18825" s="1" t="str">
        <f>"28/28"</f>
        <v>28/28</v>
      </c>
      <c r="K18825" s="1" t="str">
        <f>"2026-07-29 13:18:12"</f>
        <v>2026-07-29 13:18:12</v>
      </c>
      <c r="L18825" s="1" t="str">
        <f>"2017-06-21 18:01:01"</f>
        <v>2017-06-21 18:01:01</v>
      </c>
      <c r="M18825" s="1" t="s">
        <v>2</v>
      </c>
      <c r="N18825" s="1" t="s">
        <v>38</v>
      </c>
      <c r="O18825" s="1" t="s">
        <v>46</v>
      </c>
    </row>
    <row r="18826" spans="2:15" x14ac:dyDescent="0.3">
      <c r="B18826" s="1" t="s">
        <v>13</v>
      </c>
      <c r="C18826" s="1" t="str">
        <f>"2차"</f>
        <v>2차</v>
      </c>
      <c r="D18826" s="1" t="str">
        <f>"9927R03220"</f>
        <v>9927R03220</v>
      </c>
      <c r="E18826" s="1" t="s">
        <v>10</v>
      </c>
      <c r="F18826" s="1" t="str">
        <f>"10.11.4.162"</f>
        <v>10.11.4.162</v>
      </c>
      <c r="G18826" s="1" t="str">
        <f>"9927R032"</f>
        <v>9927R032</v>
      </c>
      <c r="H18826" s="1" t="str">
        <f>"옥인지 17"</f>
        <v>옥인지 17</v>
      </c>
      <c r="I18826" s="1" t="s">
        <v>8</v>
      </c>
      <c r="J18826" s="1" t="str">
        <f>"11/11"</f>
        <v>11/11</v>
      </c>
      <c r="K18826" s="1" t="str">
        <f>"2026-07-29 13:18:12"</f>
        <v>2026-07-29 13:18:12</v>
      </c>
      <c r="L18826" s="1" t="str">
        <f>"2017-06-21 17:51:02"</f>
        <v>2017-06-21 17:51:02</v>
      </c>
      <c r="M18826" s="1" t="s">
        <v>2</v>
      </c>
      <c r="N18826" s="1" t="s">
        <v>38</v>
      </c>
      <c r="O18826" s="1" t="s">
        <v>46</v>
      </c>
    </row>
    <row r="18827" spans="2:15" x14ac:dyDescent="0.3">
      <c r="B18827" s="1" t="s">
        <v>13</v>
      </c>
      <c r="C18827" s="1" t="str">
        <f>"2차"</f>
        <v>2차</v>
      </c>
      <c r="D18827" s="1" t="str">
        <f>"9927R05129"</f>
        <v>9927R05129</v>
      </c>
      <c r="E18827" s="1" t="s">
        <v>14</v>
      </c>
      <c r="F18827" s="1" t="str">
        <f>"10.11.5.26"</f>
        <v>10.11.5.26</v>
      </c>
      <c r="G18827" s="1" t="str">
        <f>"9927R051"</f>
        <v>9927R051</v>
      </c>
      <c r="H18827" s="1" t="str">
        <f>"옥인지 7R5L3"</f>
        <v>옥인지 7R5L3</v>
      </c>
      <c r="I18827" s="1" t="s">
        <v>8</v>
      </c>
      <c r="J18827" s="1" t="str">
        <f>"0/0"</f>
        <v>0/0</v>
      </c>
      <c r="K18827" s="4" t="str">
        <f>"2026-07-29 07:18:12"</f>
        <v>2026-07-29 07:18:12</v>
      </c>
      <c r="L18827" s="1" t="str">
        <f>"2017-06-20 11:21:40"</f>
        <v>2017-06-20 11:21:40</v>
      </c>
      <c r="M18827" s="1" t="s">
        <v>2</v>
      </c>
      <c r="N18827" s="1" t="s">
        <v>38</v>
      </c>
      <c r="O18827" s="1" t="s">
        <v>44</v>
      </c>
    </row>
    <row r="18828" spans="2:15" x14ac:dyDescent="0.3">
      <c r="B18828" s="1" t="s">
        <v>13</v>
      </c>
      <c r="C18828" s="1" t="s">
        <v>16</v>
      </c>
      <c r="D18828" s="1" t="str">
        <f>"9927R1325S"</f>
        <v>9927R1325S</v>
      </c>
      <c r="E18828" s="1" t="s">
        <v>10</v>
      </c>
      <c r="F18828" s="1" t="str">
        <f>"fde1:103:4:561d:0:0:0:2"</f>
        <v>fde1:103:4:561d:0:0:0:2</v>
      </c>
      <c r="G18828" s="1" t="str">
        <f>"9927R132"</f>
        <v>9927R132</v>
      </c>
      <c r="H18828" s="1" t="str">
        <f>"누하지 14D14"</f>
        <v>누하지 14D14</v>
      </c>
      <c r="I18828" s="1" t="s">
        <v>15</v>
      </c>
      <c r="J18828" s="1" t="str">
        <f>"27/36"</f>
        <v>27/36</v>
      </c>
      <c r="K18828" s="1" t="str">
        <f>"2026-07-29 14:21:35"</f>
        <v>2026-07-29 14:21:35</v>
      </c>
      <c r="L18828" s="1" t="str">
        <f>"2023-09-01 15:00:53"</f>
        <v>2023-09-01 15:00:53</v>
      </c>
      <c r="M18828" s="1" t="s">
        <v>4</v>
      </c>
      <c r="N18828" s="1" t="s">
        <v>38</v>
      </c>
      <c r="O18828" s="1" t="s">
        <v>46</v>
      </c>
    </row>
    <row r="18829" spans="2:15" x14ac:dyDescent="0.3">
      <c r="B18829" s="1" t="s">
        <v>13</v>
      </c>
      <c r="C18829" s="1" t="s">
        <v>16</v>
      </c>
      <c r="D18829" s="1" t="str">
        <f>"9927R1425S"</f>
        <v>9927R1425S</v>
      </c>
      <c r="E18829" s="1" t="s">
        <v>10</v>
      </c>
      <c r="F18829" s="1" t="str">
        <f>"fde1:103:4:55d0:0:0:0:2"</f>
        <v>fde1:103:4:55d0:0:0:0:2</v>
      </c>
      <c r="G18829" s="1" t="str">
        <f>"9927R142"</f>
        <v>9927R142</v>
      </c>
      <c r="H18829" s="1" t="str">
        <f>"누하지 14D12"</f>
        <v>누하지 14D12</v>
      </c>
      <c r="I18829" s="1" t="s">
        <v>15</v>
      </c>
      <c r="J18829" s="1" t="str">
        <f>"47/47"</f>
        <v>47/47</v>
      </c>
      <c r="K18829" s="1" t="str">
        <f>"2026-07-29 14:21:35"</f>
        <v>2026-07-29 14:21:35</v>
      </c>
      <c r="L18829" s="1" t="str">
        <f>"2023-08-07 14:43:03"</f>
        <v>2023-08-07 14:43:03</v>
      </c>
      <c r="M18829" s="1" t="s">
        <v>4</v>
      </c>
      <c r="N18829" s="1" t="s">
        <v>38</v>
      </c>
      <c r="O18829" s="1" t="s">
        <v>46</v>
      </c>
    </row>
    <row r="18830" spans="2:15" x14ac:dyDescent="0.3">
      <c r="B18830" s="1" t="s">
        <v>13</v>
      </c>
      <c r="C18830" s="1" t="str">
        <f>"2차"</f>
        <v>2차</v>
      </c>
      <c r="D18830" s="1" t="str">
        <f>"9927R19220"</f>
        <v>9927R19220</v>
      </c>
      <c r="E18830" s="1" t="s">
        <v>10</v>
      </c>
      <c r="F18830" s="1" t="str">
        <f>"10.11.8.210"</f>
        <v>10.11.8.210</v>
      </c>
      <c r="G18830" s="1" t="str">
        <f>"9927R192"</f>
        <v>9927R192</v>
      </c>
      <c r="H18830" s="1" t="str">
        <f>"효자간 35L2R6L2"</f>
        <v>효자간 35L2R6L2</v>
      </c>
      <c r="I18830" s="1" t="s">
        <v>8</v>
      </c>
      <c r="J18830" s="1" t="str">
        <f>"52/52"</f>
        <v>52/52</v>
      </c>
      <c r="K18830" s="1" t="str">
        <f>"2026-07-29 13:18:12"</f>
        <v>2026-07-29 13:18:12</v>
      </c>
      <c r="L18830" s="1" t="str">
        <f>"2017-06-21 17:51:02"</f>
        <v>2017-06-21 17:51:02</v>
      </c>
      <c r="M18830" s="1" t="s">
        <v>2</v>
      </c>
      <c r="N18830" s="1" t="s">
        <v>38</v>
      </c>
      <c r="O18830" s="1" t="s">
        <v>46</v>
      </c>
    </row>
    <row r="18831" spans="2:15" x14ac:dyDescent="0.3">
      <c r="B18831" s="1" t="s">
        <v>13</v>
      </c>
      <c r="C18831" s="1" t="str">
        <f>"4차"</f>
        <v>4차</v>
      </c>
      <c r="D18831" s="1" t="str">
        <f>"9927R27339"</f>
        <v>9927R27339</v>
      </c>
      <c r="E18831" s="1" t="s">
        <v>14</v>
      </c>
      <c r="F18831" s="1" t="str">
        <f>"10.12.130.79"</f>
        <v>10.12.130.79</v>
      </c>
      <c r="G18831" s="1" t="str">
        <f>"9927R273"</f>
        <v>9927R273</v>
      </c>
      <c r="H18831" s="1" t="str">
        <f>"궁정로 17"</f>
        <v>궁정로 17</v>
      </c>
      <c r="I18831" s="1" t="s">
        <v>17</v>
      </c>
      <c r="J18831" s="1" t="str">
        <f>"0/0"</f>
        <v>0/0</v>
      </c>
      <c r="K18831" s="1" t="str">
        <f>"2026-06-10 07:18:11"</f>
        <v>2026-06-10 07:18:11</v>
      </c>
      <c r="L18831" s="1" t="str">
        <f>"2018-10-25 10:48:56"</f>
        <v>2018-10-25 10:48:56</v>
      </c>
      <c r="M18831" s="1" t="s">
        <v>0</v>
      </c>
      <c r="N18831" s="1" t="s">
        <v>39</v>
      </c>
      <c r="O18831" s="1" t="s">
        <v>46</v>
      </c>
    </row>
    <row r="18832" spans="2:15" x14ac:dyDescent="0.3">
      <c r="B18832" s="1" t="s">
        <v>13</v>
      </c>
      <c r="C18832" s="1" t="str">
        <f>"2차"</f>
        <v>2차</v>
      </c>
      <c r="D18832" s="1" t="str">
        <f>"9927R41120"</f>
        <v>9927R41120</v>
      </c>
      <c r="E18832" s="1" t="s">
        <v>10</v>
      </c>
      <c r="F18832" s="1" t="str">
        <f>"10.11.1.26"</f>
        <v>10.11.1.26</v>
      </c>
      <c r="G18832" s="1" t="str">
        <f>"9927R411"</f>
        <v>9927R411</v>
      </c>
      <c r="H18832" s="1" t="str">
        <f>"누하지 14D3"</f>
        <v>누하지 14D3</v>
      </c>
      <c r="I18832" s="1" t="s">
        <v>8</v>
      </c>
      <c r="J18832" s="1" t="str">
        <f>"33/33"</f>
        <v>33/33</v>
      </c>
      <c r="K18832" s="1" t="str">
        <f>"2026-07-29 13:18:12"</f>
        <v>2026-07-29 13:18:12</v>
      </c>
      <c r="L18832" s="1" t="str">
        <f>"2017-06-21 17:41:02"</f>
        <v>2017-06-21 17:41:02</v>
      </c>
      <c r="M18832" s="1" t="s">
        <v>2</v>
      </c>
      <c r="N18832" s="1" t="s">
        <v>38</v>
      </c>
      <c r="O18832" s="1" t="s">
        <v>46</v>
      </c>
    </row>
    <row r="18833" spans="2:15" x14ac:dyDescent="0.3">
      <c r="B18833" s="1" t="s">
        <v>13</v>
      </c>
      <c r="C18833" s="1" t="str">
        <f>"2차"</f>
        <v>2차</v>
      </c>
      <c r="D18833" s="1" t="str">
        <f>"9927R41221"</f>
        <v>9927R41221</v>
      </c>
      <c r="E18833" s="1" t="s">
        <v>10</v>
      </c>
      <c r="F18833" s="1" t="str">
        <f>"10.11.1.27"</f>
        <v>10.11.1.27</v>
      </c>
      <c r="G18833" s="1" t="str">
        <f>"9927R412"</f>
        <v>9927R412</v>
      </c>
      <c r="H18833" s="1" t="str">
        <f>"누하지 14D4"</f>
        <v>누하지 14D4</v>
      </c>
      <c r="I18833" s="1" t="s">
        <v>8</v>
      </c>
      <c r="J18833" s="1" t="str">
        <f>"2/2"</f>
        <v>2/2</v>
      </c>
      <c r="K18833" s="1" t="str">
        <f>"2026-07-29 13:18:12"</f>
        <v>2026-07-29 13:18:12</v>
      </c>
      <c r="L18833" s="1" t="str">
        <f>"2017-07-19 16:10:02"</f>
        <v>2017-07-19 16:10:02</v>
      </c>
      <c r="M18833" s="1" t="s">
        <v>2</v>
      </c>
      <c r="N18833" s="1" t="s">
        <v>38</v>
      </c>
      <c r="O18833" s="1" t="s">
        <v>46</v>
      </c>
    </row>
    <row r="18834" spans="2:15" x14ac:dyDescent="0.3">
      <c r="B18834" s="1" t="s">
        <v>13</v>
      </c>
      <c r="C18834" s="1" t="str">
        <f>"4차"</f>
        <v>4차</v>
      </c>
      <c r="D18834" s="1" t="str">
        <f>"9927R44639"</f>
        <v>9927R44639</v>
      </c>
      <c r="E18834" s="1" t="s">
        <v>10</v>
      </c>
      <c r="F18834" s="1" t="str">
        <f>"10.12.132.113"</f>
        <v>10.12.132.113</v>
      </c>
      <c r="G18834" s="1" t="str">
        <f>"9927R446"</f>
        <v>9927R446</v>
      </c>
      <c r="H18834" s="1" t="str">
        <f>"궁정로 9-2"</f>
        <v>궁정로 9-2</v>
      </c>
      <c r="I18834" s="1" t="s">
        <v>17</v>
      </c>
      <c r="J18834" s="1" t="str">
        <f>"13/13"</f>
        <v>13/13</v>
      </c>
      <c r="K18834" s="1" t="str">
        <f>"2026-07-29 13:18:15"</f>
        <v>2026-07-29 13:18:15</v>
      </c>
      <c r="L18834" s="1" t="str">
        <f>"2018-06-11 13:57:45"</f>
        <v>2018-06-11 13:57:45</v>
      </c>
      <c r="M18834" s="1" t="s">
        <v>0</v>
      </c>
      <c r="N18834" s="1" t="s">
        <v>38</v>
      </c>
      <c r="O18834" s="1" t="s">
        <v>46</v>
      </c>
    </row>
    <row r="18835" spans="2:15" x14ac:dyDescent="0.3">
      <c r="B18835" s="1" t="s">
        <v>13</v>
      </c>
      <c r="C18835" s="1" t="str">
        <f>"2차"</f>
        <v>2차</v>
      </c>
      <c r="D18835" s="1" t="str">
        <f>"9927R46129"</f>
        <v>9927R46129</v>
      </c>
      <c r="E18835" s="1" t="s">
        <v>10</v>
      </c>
      <c r="F18835" s="1" t="str">
        <f>"10.11.5.2"</f>
        <v>10.11.5.2</v>
      </c>
      <c r="G18835" s="1" t="str">
        <f>"9927R461"</f>
        <v>9927R461</v>
      </c>
      <c r="H18835" s="1" t="str">
        <f>"옥인지 4R2"</f>
        <v>옥인지 4R2</v>
      </c>
      <c r="I18835" s="1" t="s">
        <v>8</v>
      </c>
      <c r="J18835" s="1" t="str">
        <f>"4/4"</f>
        <v>4/4</v>
      </c>
      <c r="K18835" s="1" t="str">
        <f>"2026-07-29 13:18:12"</f>
        <v>2026-07-29 13:18:12</v>
      </c>
      <c r="L18835" s="1" t="str">
        <f>"2017-06-21 15:04:25"</f>
        <v>2017-06-21 15:04:25</v>
      </c>
      <c r="M18835" s="1" t="s">
        <v>2</v>
      </c>
      <c r="N18835" s="1" t="s">
        <v>38</v>
      </c>
      <c r="O18835" s="1" t="s">
        <v>46</v>
      </c>
    </row>
    <row r="18836" spans="2:15" x14ac:dyDescent="0.3">
      <c r="B18836" s="1" t="s">
        <v>13</v>
      </c>
      <c r="C18836" s="1" t="str">
        <f>"2차"</f>
        <v>2차</v>
      </c>
      <c r="D18836" s="1" t="str">
        <f>"9927R48129"</f>
        <v>9927R48129</v>
      </c>
      <c r="E18836" s="1" t="str">
        <f>"검침실패(3시간 이상)"</f>
        <v>검침실패(3시간 이상)</v>
      </c>
      <c r="F18836" s="1" t="str">
        <f>"10.11.8.226"</f>
        <v>10.11.8.226</v>
      </c>
      <c r="G18836" s="1" t="str">
        <f>"9927R481"</f>
        <v>9927R481</v>
      </c>
      <c r="H18836" s="1" t="str">
        <f>"효자간 35L4R2"</f>
        <v>효자간 35L4R2</v>
      </c>
      <c r="I18836" s="1" t="s">
        <v>8</v>
      </c>
      <c r="J18836" s="1" t="str">
        <f>"0/15"</f>
        <v>0/15</v>
      </c>
      <c r="K18836" s="1" t="str">
        <f>"2026-07-29 13:18:12"</f>
        <v>2026-07-29 13:18:12</v>
      </c>
      <c r="L18836" s="1" t="str">
        <f>"2017-06-20 11:22:38"</f>
        <v>2017-06-20 11:22:38</v>
      </c>
      <c r="M18836" s="1" t="s">
        <v>2</v>
      </c>
      <c r="N18836" s="1" t="s">
        <v>38</v>
      </c>
      <c r="O18836" s="1" t="s">
        <v>46</v>
      </c>
    </row>
    <row r="18837" spans="2:15" x14ac:dyDescent="0.3">
      <c r="B18837" s="1" t="s">
        <v>13</v>
      </c>
      <c r="C18837" s="1" t="str">
        <f>"2차"</f>
        <v>2차</v>
      </c>
      <c r="D18837" s="1" t="str">
        <f>"9927R50220"</f>
        <v>9927R50220</v>
      </c>
      <c r="E18837" s="1" t="s">
        <v>10</v>
      </c>
      <c r="F18837" s="1" t="str">
        <f>"10.11.1.10"</f>
        <v>10.11.1.10</v>
      </c>
      <c r="G18837" s="1" t="str">
        <f>"9927R502"</f>
        <v>9927R502</v>
      </c>
      <c r="H18837" s="1" t="str">
        <f>"누하지 14D2R1"</f>
        <v>누하지 14D2R1</v>
      </c>
      <c r="I18837" s="1" t="s">
        <v>8</v>
      </c>
      <c r="J18837" s="1" t="str">
        <f>"20/20"</f>
        <v>20/20</v>
      </c>
      <c r="K18837" s="1" t="str">
        <f>"2026-07-29 13:18:11"</f>
        <v>2026-07-29 13:18:11</v>
      </c>
      <c r="L18837" s="1" t="str">
        <f>"2017-06-28 10:09:37"</f>
        <v>2017-06-28 10:09:37</v>
      </c>
      <c r="M18837" s="1" t="s">
        <v>2</v>
      </c>
      <c r="N18837" s="1" t="s">
        <v>38</v>
      </c>
      <c r="O18837" s="1" t="s">
        <v>46</v>
      </c>
    </row>
    <row r="18838" spans="2:15" x14ac:dyDescent="0.3">
      <c r="B18838" s="1" t="s">
        <v>13</v>
      </c>
      <c r="C18838" s="1" t="str">
        <f>"4차"</f>
        <v>4차</v>
      </c>
      <c r="D18838" s="1" t="str">
        <f>"9927R50321"</f>
        <v>9927R50321</v>
      </c>
      <c r="E18838" s="1" t="s">
        <v>10</v>
      </c>
      <c r="F18838" s="1" t="str">
        <f>"10.11.1.11"</f>
        <v>10.11.1.11</v>
      </c>
      <c r="G18838" s="1" t="str">
        <f>"9927R503"</f>
        <v>9927R503</v>
      </c>
      <c r="H18838" s="1" t="str">
        <f>"누하지 14D2"</f>
        <v>누하지 14D2</v>
      </c>
      <c r="I18838" s="1" t="s">
        <v>8</v>
      </c>
      <c r="J18838" s="1" t="str">
        <f>"29/29"</f>
        <v>29/29</v>
      </c>
      <c r="K18838" s="1" t="str">
        <f>"2026-07-29 13:18:12"</f>
        <v>2026-07-29 13:18:12</v>
      </c>
      <c r="L18838" s="1" t="str">
        <f>"2017-07-06 14:36:28"</f>
        <v>2017-07-06 14:36:28</v>
      </c>
      <c r="M18838" s="1" t="s">
        <v>2</v>
      </c>
      <c r="N18838" s="1" t="s">
        <v>38</v>
      </c>
      <c r="O18838" s="1" t="s">
        <v>46</v>
      </c>
    </row>
    <row r="18839" spans="2:15" x14ac:dyDescent="0.3">
      <c r="B18839" s="1" t="s">
        <v>13</v>
      </c>
      <c r="C18839" s="1" t="str">
        <f>"2차"</f>
        <v>2차</v>
      </c>
      <c r="D18839" s="1" t="str">
        <f>"9927R51121"</f>
        <v>9927R51121</v>
      </c>
      <c r="E18839" s="1" t="s">
        <v>10</v>
      </c>
      <c r="F18839" s="1" t="str">
        <f>"10.12.133.96"</f>
        <v>10.12.133.96</v>
      </c>
      <c r="G18839" s="1" t="str">
        <f>"9927R511"</f>
        <v>9927R511</v>
      </c>
      <c r="H18839" s="1" t="str">
        <f>"누하지 14D2R2"</f>
        <v>누하지 14D2R2</v>
      </c>
      <c r="I18839" s="1" t="s">
        <v>8</v>
      </c>
      <c r="J18839" s="1" t="str">
        <f>"16/16"</f>
        <v>16/16</v>
      </c>
      <c r="K18839" s="1" t="str">
        <f>"2026-07-29 13:18:12"</f>
        <v>2026-07-29 13:18:12</v>
      </c>
      <c r="L18839" s="1" t="str">
        <f>"2017-06-23 11:57:11"</f>
        <v>2017-06-23 11:57:11</v>
      </c>
      <c r="M18839" s="1" t="s">
        <v>2</v>
      </c>
      <c r="N18839" s="1" t="s">
        <v>38</v>
      </c>
      <c r="O18839" s="1" t="s">
        <v>46</v>
      </c>
    </row>
    <row r="18840" spans="2:15" x14ac:dyDescent="0.3">
      <c r="B18840" s="1" t="s">
        <v>13</v>
      </c>
      <c r="C18840" s="1" t="str">
        <f>"4차"</f>
        <v>4차</v>
      </c>
      <c r="D18840" s="1" t="str">
        <f>"9927R52122"</f>
        <v>9927R52122</v>
      </c>
      <c r="E18840" s="1" t="s">
        <v>10</v>
      </c>
      <c r="F18840" s="1" t="str">
        <f>"10.12.137.112"</f>
        <v>10.12.137.112</v>
      </c>
      <c r="G18840" s="1" t="str">
        <f>"9927R521"</f>
        <v>9927R521</v>
      </c>
      <c r="H18840" s="1" t="str">
        <f>"누하지 14D2R4"</f>
        <v>누하지 14D2R4</v>
      </c>
      <c r="I18840" s="1" t="s">
        <v>8</v>
      </c>
      <c r="J18840" s="1" t="str">
        <f>"68/69"</f>
        <v>68/69</v>
      </c>
      <c r="K18840" s="1" t="str">
        <f>"2026-07-29 13:18:14"</f>
        <v>2026-07-29 13:18:14</v>
      </c>
      <c r="L18840" s="1" t="str">
        <f>"2017-06-23 11:53:53"</f>
        <v>2017-06-23 11:53:53</v>
      </c>
      <c r="M18840" s="1" t="s">
        <v>2</v>
      </c>
      <c r="N18840" s="1" t="s">
        <v>38</v>
      </c>
      <c r="O18840" s="1" t="s">
        <v>46</v>
      </c>
    </row>
    <row r="18841" spans="2:15" x14ac:dyDescent="0.3">
      <c r="B18841" s="1" t="s">
        <v>13</v>
      </c>
      <c r="C18841" s="1" t="str">
        <f>"2차"</f>
        <v>2차</v>
      </c>
      <c r="D18841" s="1" t="str">
        <f>"9927R54120"</f>
        <v>9927R54120</v>
      </c>
      <c r="E18841" s="1" t="s">
        <v>10</v>
      </c>
      <c r="F18841" s="1" t="str">
        <f>"10.11.4.226"</f>
        <v>10.11.4.226</v>
      </c>
      <c r="G18841" s="1" t="str">
        <f>"9927R541"</f>
        <v>9927R541</v>
      </c>
      <c r="H18841" s="1" t="str">
        <f>"옥인지 3"</f>
        <v>옥인지 3</v>
      </c>
      <c r="I18841" s="1" t="s">
        <v>8</v>
      </c>
      <c r="J18841" s="1" t="str">
        <f>"47/47"</f>
        <v>47/47</v>
      </c>
      <c r="K18841" s="1" t="str">
        <f>"2026-07-29 13:18:11"</f>
        <v>2026-07-29 13:18:11</v>
      </c>
      <c r="L18841" s="1" t="str">
        <f>"2017-06-22 10:54:39"</f>
        <v>2017-06-22 10:54:39</v>
      </c>
      <c r="M18841" s="1" t="s">
        <v>2</v>
      </c>
      <c r="N18841" s="1" t="s">
        <v>38</v>
      </c>
      <c r="O18841" s="1" t="s">
        <v>46</v>
      </c>
    </row>
    <row r="18842" spans="2:15" x14ac:dyDescent="0.3">
      <c r="B18842" s="1" t="s">
        <v>13</v>
      </c>
      <c r="C18842" s="1" t="str">
        <f>"2차"</f>
        <v>2차</v>
      </c>
      <c r="D18842" s="1" t="str">
        <f>"9927R55421"</f>
        <v>9927R55421</v>
      </c>
      <c r="E18842" s="1" t="s">
        <v>10</v>
      </c>
      <c r="F18842" s="1" t="str">
        <f>"10.11.4.227"</f>
        <v>10.11.4.227</v>
      </c>
      <c r="G18842" s="1" t="str">
        <f>"9927R554"</f>
        <v>9927R554</v>
      </c>
      <c r="H18842" s="1" t="str">
        <f>"옥인지 3R2"</f>
        <v>옥인지 3R2</v>
      </c>
      <c r="I18842" s="1" t="s">
        <v>8</v>
      </c>
      <c r="J18842" s="1" t="str">
        <f>"4/4"</f>
        <v>4/4</v>
      </c>
      <c r="K18842" s="1" t="str">
        <f>"2026-07-29 13:18:12"</f>
        <v>2026-07-29 13:18:12</v>
      </c>
      <c r="L18842" s="1" t="str">
        <f>"2017-06-22 11:03:24"</f>
        <v>2017-06-22 11:03:24</v>
      </c>
      <c r="M18842" s="1" t="s">
        <v>2</v>
      </c>
      <c r="N18842" s="1" t="s">
        <v>38</v>
      </c>
      <c r="O18842" s="1" t="s">
        <v>46</v>
      </c>
    </row>
    <row r="18843" spans="2:15" x14ac:dyDescent="0.3">
      <c r="B18843" s="1" t="s">
        <v>13</v>
      </c>
      <c r="C18843" s="1" t="str">
        <f>"2차"</f>
        <v>2차</v>
      </c>
      <c r="D18843" s="1" t="str">
        <f>"9927R60322"</f>
        <v>9927R60322</v>
      </c>
      <c r="E18843" s="1" t="s">
        <v>10</v>
      </c>
      <c r="F18843" s="1" t="str">
        <f>"10.11.1.12"</f>
        <v>10.11.1.12</v>
      </c>
      <c r="G18843" s="1" t="str">
        <f>"9927R603"</f>
        <v>9927R603</v>
      </c>
      <c r="H18843" s="1" t="str">
        <f>"누하지 14D2R1R1"</f>
        <v>누하지 14D2R1R1</v>
      </c>
      <c r="I18843" s="1" t="s">
        <v>8</v>
      </c>
      <c r="J18843" s="1" t="str">
        <f>"6/6"</f>
        <v>6/6</v>
      </c>
      <c r="K18843" s="1" t="str">
        <f>"2026-07-29 13:18:12"</f>
        <v>2026-07-29 13:18:12</v>
      </c>
      <c r="L18843" s="1" t="str">
        <f>"2017-07-17 18:24:58"</f>
        <v>2017-07-17 18:24:58</v>
      </c>
      <c r="M18843" s="1" t="s">
        <v>2</v>
      </c>
      <c r="N18843" s="1" t="s">
        <v>38</v>
      </c>
      <c r="O18843" s="1" t="s">
        <v>46</v>
      </c>
    </row>
    <row r="18844" spans="2:15" x14ac:dyDescent="0.3">
      <c r="B18844" s="1" t="s">
        <v>13</v>
      </c>
      <c r="C18844" s="1" t="str">
        <f t="shared" ref="C18844:C18850" si="938">"4차"</f>
        <v>4차</v>
      </c>
      <c r="D18844" s="1" t="str">
        <f>"9927R69139"</f>
        <v>9927R69139</v>
      </c>
      <c r="E18844" s="1" t="s">
        <v>10</v>
      </c>
      <c r="F18844" s="1" t="str">
        <f>"10.12.131.43"</f>
        <v>10.12.131.43</v>
      </c>
      <c r="G18844" s="1" t="str">
        <f>"9927R691"</f>
        <v>9927R691</v>
      </c>
      <c r="H18844" s="1" t="str">
        <f>"궁정로 5R7"</f>
        <v>궁정로 5R7</v>
      </c>
      <c r="I18844" s="1" t="s">
        <v>17</v>
      </c>
      <c r="J18844" s="1" t="str">
        <f>"5/5"</f>
        <v>5/5</v>
      </c>
      <c r="K18844" s="1" t="str">
        <f>"2026-07-29 13:18:12"</f>
        <v>2026-07-29 13:18:12</v>
      </c>
      <c r="L18844" s="1" t="str">
        <f>"2018-10-19 13:47:58"</f>
        <v>2018-10-19 13:47:58</v>
      </c>
      <c r="M18844" s="1" t="s">
        <v>0</v>
      </c>
      <c r="N18844" s="1" t="s">
        <v>38</v>
      </c>
      <c r="O18844" s="1" t="s">
        <v>46</v>
      </c>
    </row>
    <row r="18845" spans="2:15" x14ac:dyDescent="0.3">
      <c r="B18845" s="1" t="s">
        <v>13</v>
      </c>
      <c r="C18845" s="1" t="str">
        <f t="shared" si="938"/>
        <v>4차</v>
      </c>
      <c r="D18845" s="1" t="str">
        <f>"9927R72139"</f>
        <v>9927R72139</v>
      </c>
      <c r="E18845" s="1" t="s">
        <v>10</v>
      </c>
      <c r="F18845" s="1" t="str">
        <f>"10.12.132.119"</f>
        <v>10.12.132.119</v>
      </c>
      <c r="G18845" s="1" t="str">
        <f>"9927R721"</f>
        <v>9927R721</v>
      </c>
      <c r="H18845" s="1" t="str">
        <f>"궁정로 9-3"</f>
        <v>궁정로 9-3</v>
      </c>
      <c r="I18845" s="1" t="s">
        <v>17</v>
      </c>
      <c r="J18845" s="1" t="str">
        <f>"5/5"</f>
        <v>5/5</v>
      </c>
      <c r="K18845" s="1" t="str">
        <f>"2026-07-29 13:18:14"</f>
        <v>2026-07-29 13:18:14</v>
      </c>
      <c r="L18845" s="1" t="str">
        <f>"2018-06-11 14:09:44"</f>
        <v>2018-06-11 14:09:44</v>
      </c>
      <c r="M18845" s="1" t="s">
        <v>0</v>
      </c>
      <c r="N18845" s="1" t="s">
        <v>38</v>
      </c>
      <c r="O18845" s="1" t="s">
        <v>46</v>
      </c>
    </row>
    <row r="18846" spans="2:15" x14ac:dyDescent="0.3">
      <c r="B18846" s="1" t="s">
        <v>13</v>
      </c>
      <c r="C18846" s="1" t="str">
        <f t="shared" si="938"/>
        <v>4차</v>
      </c>
      <c r="D18846" s="1" t="str">
        <f>"9927R73139"</f>
        <v>9927R73139</v>
      </c>
      <c r="E18846" s="1" t="s">
        <v>10</v>
      </c>
      <c r="F18846" s="1" t="str">
        <f>"10.12.132.112"</f>
        <v>10.12.132.112</v>
      </c>
      <c r="G18846" s="1" t="str">
        <f>"9927R731"</f>
        <v>9927R731</v>
      </c>
      <c r="H18846" s="1" t="str">
        <f>"궁정로 5-1"</f>
        <v>궁정로 5-1</v>
      </c>
      <c r="I18846" s="1" t="s">
        <v>17</v>
      </c>
      <c r="J18846" s="1" t="str">
        <f>"8/9"</f>
        <v>8/9</v>
      </c>
      <c r="K18846" s="1" t="str">
        <f>"2026-07-29 13:18:15"</f>
        <v>2026-07-29 13:18:15</v>
      </c>
      <c r="L18846" s="1" t="str">
        <f>"2018-06-12 08:31:41"</f>
        <v>2018-06-12 08:31:41</v>
      </c>
      <c r="M18846" s="1" t="s">
        <v>0</v>
      </c>
      <c r="N18846" s="1" t="s">
        <v>38</v>
      </c>
      <c r="O18846" s="1" t="s">
        <v>46</v>
      </c>
    </row>
    <row r="18847" spans="2:15" x14ac:dyDescent="0.3">
      <c r="B18847" s="1" t="s">
        <v>13</v>
      </c>
      <c r="C18847" s="1" t="str">
        <f t="shared" si="938"/>
        <v>4차</v>
      </c>
      <c r="D18847" s="1" t="str">
        <f>"9927R73239"</f>
        <v>9927R73239</v>
      </c>
      <c r="E18847" s="1" t="s">
        <v>10</v>
      </c>
      <c r="F18847" s="1" t="str">
        <f>"10.12.132.114"</f>
        <v>10.12.132.114</v>
      </c>
      <c r="G18847" s="1" t="str">
        <f>"9927R732"</f>
        <v>9927R732</v>
      </c>
      <c r="H18847" s="1" t="str">
        <f>"궁정로 6"</f>
        <v>궁정로 6</v>
      </c>
      <c r="I18847" s="1" t="s">
        <v>17</v>
      </c>
      <c r="J18847" s="1" t="str">
        <f>"5/5"</f>
        <v>5/5</v>
      </c>
      <c r="K18847" s="1" t="str">
        <f>"2026-07-29 13:18:13"</f>
        <v>2026-07-29 13:18:13</v>
      </c>
      <c r="L18847" s="1" t="str">
        <f>"2018-06-11 14:35:59"</f>
        <v>2018-06-11 14:35:59</v>
      </c>
      <c r="M18847" s="1" t="s">
        <v>0</v>
      </c>
      <c r="N18847" s="1" t="s">
        <v>38</v>
      </c>
      <c r="O18847" s="1" t="s">
        <v>46</v>
      </c>
    </row>
    <row r="18848" spans="2:15" x14ac:dyDescent="0.3">
      <c r="B18848" s="1" t="s">
        <v>13</v>
      </c>
      <c r="C18848" s="1" t="str">
        <f t="shared" si="938"/>
        <v>4차</v>
      </c>
      <c r="D18848" s="1" t="str">
        <f>"9927R74339"</f>
        <v>9927R74339</v>
      </c>
      <c r="E18848" s="1" t="s">
        <v>10</v>
      </c>
      <c r="F18848" s="1" t="str">
        <f>"10.12.132.124"</f>
        <v>10.12.132.124</v>
      </c>
      <c r="G18848" s="1" t="str">
        <f>"9927R743"</f>
        <v>9927R743</v>
      </c>
      <c r="H18848" s="1" t="str">
        <f>"궁정로 6-2"</f>
        <v>궁정로 6-2</v>
      </c>
      <c r="I18848" s="1" t="s">
        <v>17</v>
      </c>
      <c r="J18848" s="1" t="str">
        <f>"9/10"</f>
        <v>9/10</v>
      </c>
      <c r="K18848" s="1" t="str">
        <f>"2026-07-29 13:18:15"</f>
        <v>2026-07-29 13:18:15</v>
      </c>
      <c r="L18848" s="1" t="str">
        <f>"2018-06-21 13:33:42"</f>
        <v>2018-06-21 13:33:42</v>
      </c>
      <c r="M18848" s="1" t="s">
        <v>0</v>
      </c>
      <c r="N18848" s="1" t="s">
        <v>38</v>
      </c>
      <c r="O18848" s="1" t="s">
        <v>46</v>
      </c>
    </row>
    <row r="18849" spans="2:15" x14ac:dyDescent="0.3">
      <c r="B18849" s="1" t="s">
        <v>13</v>
      </c>
      <c r="C18849" s="1" t="str">
        <f t="shared" si="938"/>
        <v>4차</v>
      </c>
      <c r="D18849" s="1" t="str">
        <f>"9927R80239"</f>
        <v>9927R80239</v>
      </c>
      <c r="E18849" s="1" t="s">
        <v>10</v>
      </c>
      <c r="F18849" s="1" t="str">
        <f>"10.12.130.84"</f>
        <v>10.12.130.84</v>
      </c>
      <c r="G18849" s="1" t="str">
        <f>"9927R802"</f>
        <v>9927R802</v>
      </c>
      <c r="H18849" s="1" t="str">
        <f>"궁정로 4-1 "</f>
        <v xml:space="preserve">궁정로 4-1 </v>
      </c>
      <c r="I18849" s="1" t="s">
        <v>17</v>
      </c>
      <c r="J18849" s="1" t="str">
        <f>"3/3"</f>
        <v>3/3</v>
      </c>
      <c r="K18849" s="1" t="str">
        <f>"2026-07-29 13:18:14"</f>
        <v>2026-07-29 13:18:14</v>
      </c>
      <c r="L18849" s="1" t="str">
        <f>"2018-10-24 11:05:25"</f>
        <v>2018-10-24 11:05:25</v>
      </c>
      <c r="M18849" s="1" t="s">
        <v>0</v>
      </c>
      <c r="N18849" s="1" t="s">
        <v>38</v>
      </c>
      <c r="O18849" s="1" t="s">
        <v>46</v>
      </c>
    </row>
    <row r="18850" spans="2:15" x14ac:dyDescent="0.3">
      <c r="B18850" s="1" t="s">
        <v>13</v>
      </c>
      <c r="C18850" s="1" t="str">
        <f t="shared" si="938"/>
        <v>4차</v>
      </c>
      <c r="D18850" s="1" t="str">
        <f>"9927R85339"</f>
        <v>9927R85339</v>
      </c>
      <c r="E18850" s="1" t="s">
        <v>10</v>
      </c>
      <c r="F18850" s="1" t="str">
        <f>"10.14.2.10"</f>
        <v>10.14.2.10</v>
      </c>
      <c r="G18850" s="1" t="str">
        <f>"9927R853"</f>
        <v>9927R853</v>
      </c>
      <c r="H18850" s="1" t="str">
        <f>"궁정로 3-4"</f>
        <v>궁정로 3-4</v>
      </c>
      <c r="I18850" s="1" t="s">
        <v>17</v>
      </c>
      <c r="J18850" s="1" t="str">
        <f>"16/16"</f>
        <v>16/16</v>
      </c>
      <c r="K18850" s="1" t="str">
        <f>"2026-07-29 13:18:12"</f>
        <v>2026-07-29 13:18:12</v>
      </c>
      <c r="L18850" s="1" t="str">
        <f>"2018-06-21 13:48:44"</f>
        <v>2018-06-21 13:48:44</v>
      </c>
      <c r="M18850" s="1" t="s">
        <v>3</v>
      </c>
      <c r="N18850" s="1" t="s">
        <v>38</v>
      </c>
      <c r="O18850" s="1" t="s">
        <v>46</v>
      </c>
    </row>
    <row r="18851" spans="2:15" x14ac:dyDescent="0.3">
      <c r="B18851" s="1" t="s">
        <v>13</v>
      </c>
      <c r="C18851" s="1" t="str">
        <f>"2차"</f>
        <v>2차</v>
      </c>
      <c r="D18851" s="1" t="str">
        <f>"9927S03120"</f>
        <v>9927S03120</v>
      </c>
      <c r="E18851" s="1" t="s">
        <v>10</v>
      </c>
      <c r="F18851" s="1" t="str">
        <f>"10.11.8.186"</f>
        <v>10.11.8.186</v>
      </c>
      <c r="G18851" s="1" t="str">
        <f>"9927S031"</f>
        <v>9927S031</v>
      </c>
      <c r="H18851" s="1" t="str">
        <f>"효자간 25R2R4"</f>
        <v>효자간 25R2R4</v>
      </c>
      <c r="I18851" s="1" t="s">
        <v>8</v>
      </c>
      <c r="J18851" s="1" t="str">
        <f>"16/16"</f>
        <v>16/16</v>
      </c>
      <c r="K18851" s="1" t="str">
        <f>"2026-07-29 13:18:11"</f>
        <v>2026-07-29 13:18:11</v>
      </c>
      <c r="L18851" s="1" t="str">
        <f>"2017-06-22 13:33:25"</f>
        <v>2017-06-22 13:33:25</v>
      </c>
      <c r="M18851" s="1" t="s">
        <v>2</v>
      </c>
      <c r="N18851" s="1" t="s">
        <v>38</v>
      </c>
      <c r="O18851" s="1" t="s">
        <v>46</v>
      </c>
    </row>
    <row r="18852" spans="2:15" x14ac:dyDescent="0.3">
      <c r="B18852" s="1" t="s">
        <v>13</v>
      </c>
      <c r="C18852" s="1" t="str">
        <f>"4차"</f>
        <v>4차</v>
      </c>
      <c r="D18852" s="1" t="str">
        <f>"9927S05239"</f>
        <v>9927S05239</v>
      </c>
      <c r="E18852" s="1" t="s">
        <v>10</v>
      </c>
      <c r="F18852" s="1" t="str">
        <f>"10.12.132.123"</f>
        <v>10.12.132.123</v>
      </c>
      <c r="G18852" s="1" t="str">
        <f>"9927S052"</f>
        <v>9927S052</v>
      </c>
      <c r="H18852" s="1" t="str">
        <f>"궁정로 5R2"</f>
        <v>궁정로 5R2</v>
      </c>
      <c r="I18852" s="1" t="s">
        <v>17</v>
      </c>
      <c r="J18852" s="1" t="str">
        <f>"12/16"</f>
        <v>12/16</v>
      </c>
      <c r="K18852" s="1" t="str">
        <f>"2026-07-29 13:18:14"</f>
        <v>2026-07-29 13:18:14</v>
      </c>
      <c r="L18852" s="1" t="str">
        <f>"2018-06-12 08:46:11"</f>
        <v>2018-06-12 08:46:11</v>
      </c>
      <c r="M18852" s="1" t="s">
        <v>0</v>
      </c>
      <c r="N18852" s="1" t="s">
        <v>38</v>
      </c>
      <c r="O18852" s="1" t="s">
        <v>46</v>
      </c>
    </row>
    <row r="18853" spans="2:15" x14ac:dyDescent="0.3">
      <c r="B18853" s="1" t="s">
        <v>13</v>
      </c>
      <c r="C18853" s="1" t="str">
        <f>"2차"</f>
        <v>2차</v>
      </c>
      <c r="D18853" s="1" t="str">
        <f>"9927S13121"</f>
        <v>9927S13121</v>
      </c>
      <c r="E18853" s="1" t="s">
        <v>10</v>
      </c>
      <c r="F18853" s="1" t="str">
        <f>"10.11.8.187"</f>
        <v>10.11.8.187</v>
      </c>
      <c r="G18853" s="1" t="str">
        <f>"9927S131"</f>
        <v>9927S131</v>
      </c>
      <c r="H18853" s="1" t="str">
        <f>"효자간 25R2R4L1"</f>
        <v>효자간 25R2R4L1</v>
      </c>
      <c r="I18853" s="1" t="s">
        <v>8</v>
      </c>
      <c r="J18853" s="1" t="str">
        <f>"10/10"</f>
        <v>10/10</v>
      </c>
      <c r="K18853" s="1" t="str">
        <f>"2026-07-29 13:18:11"</f>
        <v>2026-07-29 13:18:11</v>
      </c>
      <c r="L18853" s="1" t="str">
        <f>"2017-06-22 13:41:25"</f>
        <v>2017-06-22 13:41:25</v>
      </c>
      <c r="M18853" s="1" t="s">
        <v>2</v>
      </c>
      <c r="N18853" s="1" t="s">
        <v>38</v>
      </c>
      <c r="O18853" s="1" t="s">
        <v>46</v>
      </c>
    </row>
    <row r="18854" spans="2:15" x14ac:dyDescent="0.3">
      <c r="B18854" s="1" t="s">
        <v>13</v>
      </c>
      <c r="C18854" s="1" t="str">
        <f>"4차"</f>
        <v>4차</v>
      </c>
      <c r="D18854" s="1" t="str">
        <f>"9927W21339"</f>
        <v>9927W21339</v>
      </c>
      <c r="E18854" s="1" t="s">
        <v>10</v>
      </c>
      <c r="F18854" s="1" t="str">
        <f>"10.12.130.112"</f>
        <v>10.12.130.112</v>
      </c>
      <c r="G18854" s="1" t="str">
        <f>"9927W213"</f>
        <v>9927W213</v>
      </c>
      <c r="H18854" s="1" t="str">
        <f>"팔판로 9"</f>
        <v>팔판로 9</v>
      </c>
      <c r="I18854" s="1" t="s">
        <v>17</v>
      </c>
      <c r="J18854" s="1" t="str">
        <f>"4/4"</f>
        <v>4/4</v>
      </c>
      <c r="K18854" s="1" t="str">
        <f>"2026-07-29 13:18:14"</f>
        <v>2026-07-29 13:18:14</v>
      </c>
      <c r="L18854" s="1" t="str">
        <f>"2018-10-22 13:31:26"</f>
        <v>2018-10-22 13:31:26</v>
      </c>
      <c r="M18854" s="1" t="s">
        <v>0</v>
      </c>
      <c r="N18854" s="1" t="s">
        <v>38</v>
      </c>
      <c r="O18854" s="1" t="s">
        <v>46</v>
      </c>
    </row>
    <row r="18855" spans="2:15" x14ac:dyDescent="0.3">
      <c r="B18855" s="1" t="s">
        <v>13</v>
      </c>
      <c r="C18855" s="1" t="str">
        <f>"4차"</f>
        <v>4차</v>
      </c>
      <c r="D18855" s="1" t="str">
        <f>"9927W64139"</f>
        <v>9927W64139</v>
      </c>
      <c r="E18855" s="1" t="s">
        <v>10</v>
      </c>
      <c r="F18855" s="1" t="str">
        <f>"10.12.130.106"</f>
        <v>10.12.130.106</v>
      </c>
      <c r="G18855" s="1" t="str">
        <f>"9927W641"</f>
        <v>9927W641</v>
      </c>
      <c r="H18855" s="1" t="str">
        <f>"삼청로 7"</f>
        <v>삼청로 7</v>
      </c>
      <c r="I18855" s="1" t="s">
        <v>17</v>
      </c>
      <c r="J18855" s="1" t="str">
        <f>"1/1"</f>
        <v>1/1</v>
      </c>
      <c r="K18855" s="1" t="str">
        <f>"2026-07-29 13:18:14"</f>
        <v>2026-07-29 13:18:14</v>
      </c>
      <c r="L18855" s="1" t="str">
        <f>"2018-10-22 13:59:11"</f>
        <v>2018-10-22 13:59:11</v>
      </c>
      <c r="M18855" s="1" t="s">
        <v>0</v>
      </c>
      <c r="N18855" s="1" t="s">
        <v>38</v>
      </c>
      <c r="O18855" s="1" t="s">
        <v>46</v>
      </c>
    </row>
    <row r="18856" spans="2:15" x14ac:dyDescent="0.3">
      <c r="B18856" s="1" t="s">
        <v>13</v>
      </c>
      <c r="C18856" s="1" t="str">
        <f>"4차"</f>
        <v>4차</v>
      </c>
      <c r="D18856" s="1" t="str">
        <f>"9927W64A39"</f>
        <v>9927W64A39</v>
      </c>
      <c r="E18856" s="1" t="s">
        <v>10</v>
      </c>
      <c r="F18856" s="1" t="str">
        <f>"10.12.131.46"</f>
        <v>10.12.131.46</v>
      </c>
      <c r="G18856" s="1" t="str">
        <f>"9927W64A"</f>
        <v>9927W64A</v>
      </c>
      <c r="H18856" s="1" t="str">
        <f>"삼청로 4"</f>
        <v>삼청로 4</v>
      </c>
      <c r="I18856" s="1" t="s">
        <v>17</v>
      </c>
      <c r="J18856" s="1" t="str">
        <f>"1/1"</f>
        <v>1/1</v>
      </c>
      <c r="K18856" s="1" t="str">
        <f>"2026-07-29 13:18:12"</f>
        <v>2026-07-29 13:18:12</v>
      </c>
      <c r="L18856" s="1" t="str">
        <f>"2018-10-22 13:59:27"</f>
        <v>2018-10-22 13:59:27</v>
      </c>
      <c r="M18856" s="1" t="s">
        <v>0</v>
      </c>
      <c r="N18856" s="1" t="s">
        <v>38</v>
      </c>
      <c r="O18856" s="1" t="s">
        <v>46</v>
      </c>
    </row>
    <row r="18857" spans="2:15" x14ac:dyDescent="0.3">
      <c r="B18857" s="1" t="s">
        <v>13</v>
      </c>
      <c r="C18857" s="1" t="str">
        <f>"5-2차"</f>
        <v>5-2차</v>
      </c>
      <c r="D18857" s="1" t="str">
        <f>"9927W7025M"</f>
        <v>9927W7025M</v>
      </c>
      <c r="E18857" s="1" t="s">
        <v>10</v>
      </c>
      <c r="F18857" s="1" t="str">
        <f>"fde1:103:4:556f:0:0:0:2"</f>
        <v>fde1:103:4:556f:0:0:0:2</v>
      </c>
      <c r="G18857" s="1" t="str">
        <f>"9927W702"</f>
        <v>9927W702</v>
      </c>
      <c r="H18857" s="1" t="str">
        <f>"전동간 42R6L6"</f>
        <v>전동간 42R6L6</v>
      </c>
      <c r="I18857" s="1" t="s">
        <v>15</v>
      </c>
      <c r="J18857" s="1" t="str">
        <f>"43/43"</f>
        <v>43/43</v>
      </c>
      <c r="K18857" s="1" t="str">
        <f>"2026-07-29 14:21:34"</f>
        <v>2026-07-29 14:21:34</v>
      </c>
      <c r="L18857" s="1" t="str">
        <f>"2023-08-23 15:06:55"</f>
        <v>2023-08-23 15:06:55</v>
      </c>
      <c r="M18857" s="1" t="s">
        <v>4</v>
      </c>
      <c r="N18857" s="1" t="s">
        <v>38</v>
      </c>
      <c r="O18857" s="1" t="s">
        <v>46</v>
      </c>
    </row>
    <row r="18858" spans="2:15" x14ac:dyDescent="0.3">
      <c r="B18858" s="1" t="s">
        <v>13</v>
      </c>
      <c r="C18858" s="1" t="str">
        <f>"5-1차"</f>
        <v>5-1차</v>
      </c>
      <c r="D18858" s="1" t="str">
        <f>"9927W7115S"</f>
        <v>9927W7115S</v>
      </c>
      <c r="E18858" s="1" t="s">
        <v>10</v>
      </c>
      <c r="F18858" s="1" t="str">
        <f>"fde2:104:0:18a:0:0:0:2"</f>
        <v>fde2:104:0:18a:0:0:0:2</v>
      </c>
      <c r="G18858" s="1" t="str">
        <f>"9927W711"</f>
        <v>9927W711</v>
      </c>
      <c r="H18858" s="1" t="str">
        <f>"전동간 42R6L7"</f>
        <v>전동간 42R6L7</v>
      </c>
      <c r="I18858" s="1" t="s">
        <v>15</v>
      </c>
      <c r="J18858" s="1" t="str">
        <f>"29/29"</f>
        <v>29/29</v>
      </c>
      <c r="K18858" s="1" t="str">
        <f>"2026-07-29 14:21:37"</f>
        <v>2026-07-29 14:21:37</v>
      </c>
      <c r="L18858" s="1" t="str">
        <f>"2022-11-21 13:59:26"</f>
        <v>2022-11-21 13:59:26</v>
      </c>
      <c r="M18858" s="1" t="s">
        <v>42</v>
      </c>
      <c r="N18858" s="1" t="s">
        <v>38</v>
      </c>
      <c r="O18858" s="1" t="s">
        <v>46</v>
      </c>
    </row>
    <row r="18859" spans="2:15" x14ac:dyDescent="0.3">
      <c r="B18859" s="1" t="s">
        <v>13</v>
      </c>
      <c r="C18859" s="1" t="s">
        <v>16</v>
      </c>
      <c r="D18859" s="1" t="str">
        <f>"9927W8115S"</f>
        <v>9927W8115S</v>
      </c>
      <c r="E18859" s="1" t="s">
        <v>10</v>
      </c>
      <c r="F18859" s="1" t="str">
        <f>"fde1:103:4:568a:0:0:0:2"</f>
        <v>fde1:103:4:568a:0:0:0:2</v>
      </c>
      <c r="G18859" s="1" t="str">
        <f>"9927W811"</f>
        <v>9927W811</v>
      </c>
      <c r="H18859" s="1" t="str">
        <f>"전동간 42R6L9"</f>
        <v>전동간 42R6L9</v>
      </c>
      <c r="I18859" s="1" t="s">
        <v>15</v>
      </c>
      <c r="J18859" s="1" t="str">
        <f>"48/48"</f>
        <v>48/48</v>
      </c>
      <c r="K18859" s="1" t="str">
        <f>"2026-07-29 14:21:35"</f>
        <v>2026-07-29 14:21:35</v>
      </c>
      <c r="L18859" s="1" t="str">
        <f>"2023-08-07 14:56:40"</f>
        <v>2023-08-07 14:56:40</v>
      </c>
      <c r="M18859" s="1" t="s">
        <v>4</v>
      </c>
      <c r="N18859" s="1" t="s">
        <v>38</v>
      </c>
      <c r="O18859" s="1" t="s">
        <v>46</v>
      </c>
    </row>
    <row r="18860" spans="2:15" x14ac:dyDescent="0.3">
      <c r="B18860" s="1" t="s">
        <v>13</v>
      </c>
      <c r="C18860" s="1" t="s">
        <v>16</v>
      </c>
      <c r="D18860" s="1" t="str">
        <f>"9927W9225S"</f>
        <v>9927W9225S</v>
      </c>
      <c r="E18860" s="1" t="s">
        <v>10</v>
      </c>
      <c r="F18860" s="1" t="str">
        <f>"fde1:103:4:55e3:0:0:0:2"</f>
        <v>fde1:103:4:55e3:0:0:0:2</v>
      </c>
      <c r="G18860" s="1" t="str">
        <f>"9927W922"</f>
        <v>9927W922</v>
      </c>
      <c r="H18860" s="1" t="str">
        <f>"별궁지 48L5R2"</f>
        <v>별궁지 48L5R2</v>
      </c>
      <c r="I18860" s="1" t="s">
        <v>15</v>
      </c>
      <c r="J18860" s="1" t="str">
        <f>"54/54"</f>
        <v>54/54</v>
      </c>
      <c r="K18860" s="1" t="str">
        <f>"2026-07-29 14:21:36"</f>
        <v>2026-07-29 14:21:36</v>
      </c>
      <c r="L18860" s="1" t="str">
        <f>"2023-08-07 15:08:51"</f>
        <v>2023-08-07 15:08:51</v>
      </c>
      <c r="M18860" s="1" t="s">
        <v>4</v>
      </c>
      <c r="N18860" s="1" t="s">
        <v>38</v>
      </c>
      <c r="O18860" s="1" t="s">
        <v>46</v>
      </c>
    </row>
    <row r="18861" spans="2:15" x14ac:dyDescent="0.3">
      <c r="B18861" s="1" t="s">
        <v>13</v>
      </c>
      <c r="C18861" s="1" t="str">
        <f>"4차"</f>
        <v>4차</v>
      </c>
      <c r="D18861" s="1" t="str">
        <f>"9927Y35239"</f>
        <v>9927Y35239</v>
      </c>
      <c r="E18861" s="1" t="s">
        <v>10</v>
      </c>
      <c r="F18861" s="1" t="str">
        <f>"10.12.131.112"</f>
        <v>10.12.131.112</v>
      </c>
      <c r="G18861" s="1" t="str">
        <f>"9927Y352"</f>
        <v>9927Y352</v>
      </c>
      <c r="H18861" s="1" t="str">
        <f>"팔판로 4"</f>
        <v>팔판로 4</v>
      </c>
      <c r="I18861" s="1" t="s">
        <v>17</v>
      </c>
      <c r="J18861" s="1" t="str">
        <f>"9/9"</f>
        <v>9/9</v>
      </c>
      <c r="K18861" s="1" t="str">
        <f>"2026-07-29 13:18:15"</f>
        <v>2026-07-29 13:18:15</v>
      </c>
      <c r="L18861" s="1" t="str">
        <f>"2018-10-24 10:32:11"</f>
        <v>2018-10-24 10:32:11</v>
      </c>
      <c r="M18861" s="1" t="s">
        <v>0</v>
      </c>
      <c r="N18861" s="1" t="s">
        <v>38</v>
      </c>
      <c r="O18861" s="1" t="s">
        <v>46</v>
      </c>
    </row>
    <row r="18862" spans="2:15" x14ac:dyDescent="0.3">
      <c r="B18862" s="1" t="s">
        <v>13</v>
      </c>
      <c r="C18862" s="1" t="str">
        <f>"3차"</f>
        <v>3차</v>
      </c>
      <c r="D18862" s="1" t="str">
        <f>"9927Y38339"</f>
        <v>9927Y38339</v>
      </c>
      <c r="E18862" s="1" t="s">
        <v>10</v>
      </c>
      <c r="F18862" s="1" t="str">
        <f>"10.12.132.236"</f>
        <v>10.12.132.236</v>
      </c>
      <c r="G18862" s="1" t="str">
        <f>"9927Y383"</f>
        <v>9927Y383</v>
      </c>
      <c r="H18862" s="1" t="str">
        <f>"팔판로 6"</f>
        <v>팔판로 6</v>
      </c>
      <c r="I18862" s="1" t="s">
        <v>17</v>
      </c>
      <c r="J18862" s="1" t="str">
        <f>"18/18"</f>
        <v>18/18</v>
      </c>
      <c r="K18862" s="1" t="str">
        <f>"2026-07-29 13:18:14"</f>
        <v>2026-07-29 13:18:14</v>
      </c>
      <c r="L18862" s="1" t="str">
        <f>"2022-05-20 17:42:30"</f>
        <v>2022-05-20 17:42:30</v>
      </c>
      <c r="M18862" s="1" t="s">
        <v>0</v>
      </c>
      <c r="N18862" s="1" t="s">
        <v>38</v>
      </c>
      <c r="O18862" s="1" t="s">
        <v>46</v>
      </c>
    </row>
    <row r="18863" spans="2:15" x14ac:dyDescent="0.3">
      <c r="B18863" s="1" t="s">
        <v>13</v>
      </c>
      <c r="C18863" s="1" t="str">
        <f>"4차"</f>
        <v>4차</v>
      </c>
      <c r="D18863" s="1" t="str">
        <f>"9927Y58639"</f>
        <v>9927Y58639</v>
      </c>
      <c r="E18863" s="1" t="s">
        <v>10</v>
      </c>
      <c r="F18863" s="1" t="str">
        <f>"10.12.131.121"</f>
        <v>10.12.131.121</v>
      </c>
      <c r="G18863" s="1" t="str">
        <f>"9927Y586"</f>
        <v>9927Y586</v>
      </c>
      <c r="H18863" s="1" t="str">
        <f>"팔판로 7"</f>
        <v>팔판로 7</v>
      </c>
      <c r="I18863" s="1" t="s">
        <v>17</v>
      </c>
      <c r="J18863" s="1" t="str">
        <f>"32/33"</f>
        <v>32/33</v>
      </c>
      <c r="K18863" s="1" t="str">
        <f>"2026-07-29 13:18:13"</f>
        <v>2026-07-29 13:18:13</v>
      </c>
      <c r="L18863" s="1" t="str">
        <f>"2019-01-15 09:32:40"</f>
        <v>2019-01-15 09:32:40</v>
      </c>
      <c r="M18863" s="1" t="s">
        <v>0</v>
      </c>
      <c r="N18863" s="1" t="s">
        <v>38</v>
      </c>
      <c r="O18863" s="1" t="s">
        <v>46</v>
      </c>
    </row>
    <row r="18864" spans="2:15" x14ac:dyDescent="0.3">
      <c r="B18864" s="1" t="s">
        <v>13</v>
      </c>
      <c r="C18864" s="1" t="str">
        <f>"5-2차"</f>
        <v>5-2차</v>
      </c>
      <c r="D18864" s="1" t="str">
        <f>"9927Y6335M"</f>
        <v>9927Y6335M</v>
      </c>
      <c r="E18864" s="1" t="s">
        <v>10</v>
      </c>
      <c r="F18864" s="1" t="str">
        <f>"fde1:103:4:5583:0:0:0:2"</f>
        <v>fde1:103:4:5583:0:0:0:2</v>
      </c>
      <c r="G18864" s="1" t="str">
        <f>"9927Y633"</f>
        <v>9927Y633</v>
      </c>
      <c r="H18864" s="1" t="str">
        <f>"전동간 41"</f>
        <v>전동간 41</v>
      </c>
      <c r="I18864" s="1" t="s">
        <v>15</v>
      </c>
      <c r="J18864" s="1" t="str">
        <f>"39/41"</f>
        <v>39/41</v>
      </c>
      <c r="K18864" s="1" t="str">
        <f>"2026-07-29 14:21:37"</f>
        <v>2026-07-29 14:21:37</v>
      </c>
      <c r="L18864" s="1" t="str">
        <f>"2023-08-25 10:21:22"</f>
        <v>2023-08-25 10:21:22</v>
      </c>
      <c r="M18864" s="1" t="s">
        <v>4</v>
      </c>
      <c r="N18864" s="1" t="s">
        <v>38</v>
      </c>
      <c r="O18864" s="1" t="s">
        <v>46</v>
      </c>
    </row>
    <row r="18865" spans="2:15" x14ac:dyDescent="0.3">
      <c r="B18865" s="1" t="s">
        <v>13</v>
      </c>
      <c r="C18865" s="1" t="str">
        <f>"5-2차"</f>
        <v>5-2차</v>
      </c>
      <c r="D18865" s="1" t="str">
        <f>"9927Y7115M"</f>
        <v>9927Y7115M</v>
      </c>
      <c r="E18865" s="1" t="s">
        <v>10</v>
      </c>
      <c r="F18865" s="1" t="str">
        <f>"fde3:102:1304:2e00:0:0:0:2"</f>
        <v>fde3:102:1304:2e00:0:0:0:2</v>
      </c>
      <c r="G18865" s="1" t="str">
        <f>"9927Y711"</f>
        <v>9927Y711</v>
      </c>
      <c r="H18865" s="1" t="str">
        <f>"전동간 38"</f>
        <v>전동간 38</v>
      </c>
      <c r="I18865" s="1" t="s">
        <v>15</v>
      </c>
      <c r="J18865" s="1" t="str">
        <f>"29/30"</f>
        <v>29/30</v>
      </c>
      <c r="K18865" s="1" t="str">
        <f>"2026-07-29 14:21:36"</f>
        <v>2026-07-29 14:21:36</v>
      </c>
      <c r="L18865" s="1" t="str">
        <f>"2023-07-05 09:31:27"</f>
        <v>2023-07-05 09:31:27</v>
      </c>
      <c r="M18865" s="1" t="s">
        <v>45</v>
      </c>
      <c r="N18865" s="1" t="s">
        <v>38</v>
      </c>
      <c r="O18865" s="1" t="s">
        <v>46</v>
      </c>
    </row>
    <row r="18866" spans="2:15" x14ac:dyDescent="0.3">
      <c r="B18866" s="1" t="s">
        <v>13</v>
      </c>
      <c r="C18866" s="1" t="str">
        <f>"5-2차"</f>
        <v>5-2차</v>
      </c>
      <c r="D18866" s="1" t="str">
        <f>"9927Y7425M"</f>
        <v>9927Y7425M</v>
      </c>
      <c r="E18866" s="1" t="s">
        <v>10</v>
      </c>
      <c r="F18866" s="1" t="str">
        <f>"fde1:103:4:5591:0:0:0:2"</f>
        <v>fde1:103:4:5591:0:0:0:2</v>
      </c>
      <c r="G18866" s="1" t="str">
        <f>"9927Y742"</f>
        <v>9927Y742</v>
      </c>
      <c r="H18866" s="1" t="str">
        <f>"전동간 42R3"</f>
        <v>전동간 42R3</v>
      </c>
      <c r="I18866" s="1" t="s">
        <v>15</v>
      </c>
      <c r="J18866" s="1" t="str">
        <f>"23/24"</f>
        <v>23/24</v>
      </c>
      <c r="K18866" s="1" t="str">
        <f>"2026-07-29 14:21:46"</f>
        <v>2026-07-29 14:21:46</v>
      </c>
      <c r="L18866" s="1" t="str">
        <f>"2023-08-23 15:09:43"</f>
        <v>2023-08-23 15:09:43</v>
      </c>
      <c r="M18866" s="1" t="s">
        <v>4</v>
      </c>
      <c r="N18866" s="1" t="s">
        <v>38</v>
      </c>
      <c r="O18866" s="1" t="s">
        <v>46</v>
      </c>
    </row>
    <row r="18867" spans="2:15" x14ac:dyDescent="0.3">
      <c r="B18867" s="1" t="s">
        <v>13</v>
      </c>
      <c r="C18867" s="1" t="str">
        <f>"5-2차"</f>
        <v>5-2차</v>
      </c>
      <c r="D18867" s="1" t="str">
        <f>"9927Z2325M"</f>
        <v>9927Z2325M</v>
      </c>
      <c r="E18867" s="1" t="s">
        <v>10</v>
      </c>
      <c r="F18867" s="1" t="str">
        <f>"fde1:103:4:569c:0:0:0:2"</f>
        <v>fde1:103:4:569c:0:0:0:2</v>
      </c>
      <c r="G18867" s="1" t="str">
        <f>"9927Z232"</f>
        <v>9927Z232</v>
      </c>
      <c r="H18867" s="1" t="str">
        <f>"별궁지 39"</f>
        <v>별궁지 39</v>
      </c>
      <c r="I18867" s="1" t="s">
        <v>15</v>
      </c>
      <c r="J18867" s="1" t="str">
        <f>"32/32"</f>
        <v>32/32</v>
      </c>
      <c r="K18867" s="1" t="str">
        <f>"2026-07-29 14:21:36"</f>
        <v>2026-07-29 14:21:36</v>
      </c>
      <c r="L18867" s="1" t="str">
        <f>"2023-08-23 16:09:37"</f>
        <v>2023-08-23 16:09:37</v>
      </c>
      <c r="M18867" s="1" t="s">
        <v>4</v>
      </c>
      <c r="N18867" s="1" t="s">
        <v>38</v>
      </c>
      <c r="O18867" s="1" t="s">
        <v>46</v>
      </c>
    </row>
    <row r="18868" spans="2:15" x14ac:dyDescent="0.3">
      <c r="B18868" s="1" t="s">
        <v>13</v>
      </c>
      <c r="C18868" s="1" t="str">
        <f>"4차"</f>
        <v>4차</v>
      </c>
      <c r="D18868" s="1" t="str">
        <f>"9927Z25139"</f>
        <v>9927Z25139</v>
      </c>
      <c r="E18868" s="1" t="s">
        <v>14</v>
      </c>
      <c r="F18868" s="1" t="str">
        <f>"10.12.131.220"</f>
        <v>10.12.131.220</v>
      </c>
      <c r="G18868" s="1" t="str">
        <f>"9927Z251"</f>
        <v>9927Z251</v>
      </c>
      <c r="H18868" s="1" t="str">
        <f>"별궁로 12"</f>
        <v>별궁로 12</v>
      </c>
      <c r="I18868" s="1" t="s">
        <v>17</v>
      </c>
      <c r="J18868" s="1" t="str">
        <f>"0/0"</f>
        <v>0/0</v>
      </c>
      <c r="K18868" s="1" t="str">
        <f>"2026-07-29 13:18:12"</f>
        <v>2026-07-29 13:18:12</v>
      </c>
      <c r="L18868" s="1" t="str">
        <f>"2018-10-19 12:54:11"</f>
        <v>2018-10-19 12:54:11</v>
      </c>
      <c r="M18868" s="1" t="s">
        <v>0</v>
      </c>
      <c r="N18868" s="1" t="s">
        <v>38</v>
      </c>
      <c r="O18868" s="1" t="s">
        <v>44</v>
      </c>
    </row>
    <row r="18869" spans="2:15" x14ac:dyDescent="0.3">
      <c r="B18869" s="1" t="s">
        <v>13</v>
      </c>
      <c r="C18869" s="1" t="str">
        <f>"3차"</f>
        <v>3차</v>
      </c>
      <c r="D18869" s="1" t="str">
        <f>"9927Z48739"</f>
        <v>9927Z48739</v>
      </c>
      <c r="E18869" s="1" t="s">
        <v>10</v>
      </c>
      <c r="F18869" s="1" t="str">
        <f>"10.12.131.219"</f>
        <v>10.12.131.219</v>
      </c>
      <c r="G18869" s="1" t="str">
        <f>"9927Z487"</f>
        <v>9927Z487</v>
      </c>
      <c r="H18869" s="1" t="str">
        <f>"북촌로 11"</f>
        <v>북촌로 11</v>
      </c>
      <c r="I18869" s="1" t="s">
        <v>17</v>
      </c>
      <c r="J18869" s="1" t="str">
        <f>"71/71"</f>
        <v>71/71</v>
      </c>
      <c r="K18869" s="1" t="str">
        <f>"2026-07-29 13:18:12"</f>
        <v>2026-07-29 13:18:12</v>
      </c>
      <c r="L18869" s="1" t="str">
        <f>"2018-10-19 13:14:41"</f>
        <v>2018-10-19 13:14:41</v>
      </c>
      <c r="M18869" s="1" t="s">
        <v>0</v>
      </c>
      <c r="N18869" s="1" t="s">
        <v>38</v>
      </c>
      <c r="O18869" s="1" t="s">
        <v>46</v>
      </c>
    </row>
    <row r="18870" spans="2:15" x14ac:dyDescent="0.3">
      <c r="B18870" s="1" t="s">
        <v>13</v>
      </c>
      <c r="C18870" s="1" t="str">
        <f>"5-2차"</f>
        <v>5-2차</v>
      </c>
      <c r="D18870" s="1" t="str">
        <f>"9927Z6825M"</f>
        <v>9927Z6825M</v>
      </c>
      <c r="E18870" s="1" t="s">
        <v>10</v>
      </c>
      <c r="F18870" s="1" t="str">
        <f>"fde3:102:1304:1e00:0:0:0:2"</f>
        <v>fde3:102:1304:1e00:0:0:0:2</v>
      </c>
      <c r="G18870" s="1" t="str">
        <f>"9927Z682"</f>
        <v>9927Z682</v>
      </c>
      <c r="H18870" s="1" t="str">
        <f>"창덕궁간 50"</f>
        <v>창덕궁간 50</v>
      </c>
      <c r="I18870" s="1" t="s">
        <v>15</v>
      </c>
      <c r="J18870" s="1" t="str">
        <f>"180/181"</f>
        <v>180/181</v>
      </c>
      <c r="K18870" s="1" t="str">
        <f>"2026-07-28 20:03:34"</f>
        <v>2026-07-28 20:03:34</v>
      </c>
      <c r="L18870" s="1" t="str">
        <f>"2023-06-13 18:41:05"</f>
        <v>2023-06-13 18:41:05</v>
      </c>
      <c r="M18870" s="1" t="s">
        <v>45</v>
      </c>
      <c r="N18870" s="1" t="s">
        <v>38</v>
      </c>
      <c r="O18870" s="1" t="s">
        <v>46</v>
      </c>
    </row>
    <row r="18871" spans="2:15" x14ac:dyDescent="0.3">
      <c r="B18871" s="1" t="s">
        <v>13</v>
      </c>
      <c r="C18871" s="1" t="str">
        <f>"4차"</f>
        <v>4차</v>
      </c>
      <c r="D18871" s="1" t="str">
        <f>"9927Z72339"</f>
        <v>9927Z72339</v>
      </c>
      <c r="E18871" s="1" t="s">
        <v>14</v>
      </c>
      <c r="F18871" s="1" t="str">
        <f>"10.12.130.76"</f>
        <v>10.12.130.76</v>
      </c>
      <c r="G18871" s="1" t="str">
        <f>"9927Z723"</f>
        <v>9927Z723</v>
      </c>
      <c r="H18871" s="1" t="str">
        <f>"북촌로 6"</f>
        <v>북촌로 6</v>
      </c>
      <c r="I18871" s="1" t="s">
        <v>17</v>
      </c>
      <c r="J18871" s="1" t="str">
        <f>"0/0"</f>
        <v>0/0</v>
      </c>
      <c r="K18871" s="1" t="str">
        <f>"2026-07-29 07:18:09"</f>
        <v>2026-07-29 07:18:09</v>
      </c>
      <c r="L18871" s="1" t="str">
        <f>"2018-10-24 12:15:26"</f>
        <v>2018-10-24 12:15:26</v>
      </c>
      <c r="M18871" s="1" t="s">
        <v>0</v>
      </c>
      <c r="N18871" s="1" t="s">
        <v>38</v>
      </c>
      <c r="O18871" s="1" t="s">
        <v>44</v>
      </c>
    </row>
    <row r="18872" spans="2:15" x14ac:dyDescent="0.3">
      <c r="B18872" s="1" t="s">
        <v>13</v>
      </c>
      <c r="C18872" s="1" t="str">
        <f t="shared" ref="C18872:C18877" si="939">"5-2차"</f>
        <v>5-2차</v>
      </c>
      <c r="D18872" s="1" t="str">
        <f>"9927Z7815S"</f>
        <v>9927Z7815S</v>
      </c>
      <c r="E18872" s="1" t="s">
        <v>10</v>
      </c>
      <c r="F18872" s="1" t="str">
        <f>"fde1:103:4:56a9:0:0:0:2"</f>
        <v>fde1:103:4:56a9:0:0:0:2</v>
      </c>
      <c r="G18872" s="1" t="str">
        <f>"9927Z781"</f>
        <v>9927Z781</v>
      </c>
      <c r="H18872" s="1" t="str">
        <f>"창덕궁간 49"</f>
        <v>창덕궁간 49</v>
      </c>
      <c r="I18872" s="1" t="s">
        <v>15</v>
      </c>
      <c r="J18872" s="1" t="str">
        <f>"68/68"</f>
        <v>68/68</v>
      </c>
      <c r="K18872" s="1" t="str">
        <f>"2026-07-29 14:21:37"</f>
        <v>2026-07-29 14:21:37</v>
      </c>
      <c r="L18872" s="1" t="str">
        <f>"2023-08-23 16:10:20"</f>
        <v>2023-08-23 16:10:20</v>
      </c>
      <c r="M18872" s="1" t="s">
        <v>4</v>
      </c>
      <c r="N18872" s="1" t="s">
        <v>38</v>
      </c>
      <c r="O18872" s="1" t="s">
        <v>46</v>
      </c>
    </row>
    <row r="18873" spans="2:15" x14ac:dyDescent="0.3">
      <c r="B18873" s="1" t="s">
        <v>13</v>
      </c>
      <c r="C18873" s="1" t="str">
        <f t="shared" si="939"/>
        <v>5-2차</v>
      </c>
      <c r="D18873" s="1" t="str">
        <f>"9927Z8265M"</f>
        <v>9927Z8265M</v>
      </c>
      <c r="E18873" s="1" t="s">
        <v>10</v>
      </c>
      <c r="F18873" s="1" t="str">
        <f>"fde1:103:4:5631:0:0:0:2"</f>
        <v>fde1:103:4:5631:0:0:0:2</v>
      </c>
      <c r="G18873" s="1" t="str">
        <f>"9927Z826"</f>
        <v>9927Z826</v>
      </c>
      <c r="H18873" s="1" t="str">
        <f>"창덕궁간 33L4R7"</f>
        <v>창덕궁간 33L4R7</v>
      </c>
      <c r="I18873" s="1" t="s">
        <v>15</v>
      </c>
      <c r="J18873" s="1" t="str">
        <f>"51/51"</f>
        <v>51/51</v>
      </c>
      <c r="K18873" s="1" t="str">
        <f>"2026-07-29 14:21:37"</f>
        <v>2026-07-29 14:21:37</v>
      </c>
      <c r="L18873" s="1" t="str">
        <f>"2023-08-23 16:14:09"</f>
        <v>2023-08-23 16:14:09</v>
      </c>
      <c r="M18873" s="1" t="s">
        <v>4</v>
      </c>
      <c r="N18873" s="1" t="s">
        <v>38</v>
      </c>
      <c r="O18873" s="1" t="s">
        <v>46</v>
      </c>
    </row>
    <row r="18874" spans="2:15" x14ac:dyDescent="0.3">
      <c r="B18874" s="1" t="s">
        <v>13</v>
      </c>
      <c r="C18874" s="1" t="str">
        <f t="shared" si="939"/>
        <v>5-2차</v>
      </c>
      <c r="D18874" s="1" t="str">
        <f>"9927Z8315M"</f>
        <v>9927Z8315M</v>
      </c>
      <c r="E18874" s="1" t="s">
        <v>10</v>
      </c>
      <c r="F18874" s="1" t="str">
        <f>"fde1:103:4:56dd:0:0:0:2"</f>
        <v>fde1:103:4:56dd:0:0:0:2</v>
      </c>
      <c r="G18874" s="1" t="str">
        <f>"9927Z831"</f>
        <v>9927Z831</v>
      </c>
      <c r="H18874" s="1" t="str">
        <f>"창덕궁간 33L4R9"</f>
        <v>창덕궁간 33L4R9</v>
      </c>
      <c r="I18874" s="1" t="s">
        <v>15</v>
      </c>
      <c r="J18874" s="1" t="str">
        <f>"66/66"</f>
        <v>66/66</v>
      </c>
      <c r="K18874" s="1" t="str">
        <f>"2026-07-29 08:21:33"</f>
        <v>2026-07-29 08:21:33</v>
      </c>
      <c r="L18874" s="1" t="str">
        <f>"2023-08-25 11:25:43"</f>
        <v>2023-08-25 11:25:43</v>
      </c>
      <c r="M18874" s="1" t="s">
        <v>4</v>
      </c>
      <c r="N18874" s="1" t="s">
        <v>38</v>
      </c>
      <c r="O18874" s="1" t="s">
        <v>46</v>
      </c>
    </row>
    <row r="18875" spans="2:15" x14ac:dyDescent="0.3">
      <c r="B18875" s="1" t="s">
        <v>13</v>
      </c>
      <c r="C18875" s="1" t="str">
        <f t="shared" si="939"/>
        <v>5-2차</v>
      </c>
      <c r="D18875" s="1" t="str">
        <f>"9927Z8415S"</f>
        <v>9927Z8415S</v>
      </c>
      <c r="E18875" s="1" t="s">
        <v>10</v>
      </c>
      <c r="F18875" s="1" t="str">
        <f>"fde1:103:4:56ca:0:0:0:2"</f>
        <v>fde1:103:4:56ca:0:0:0:2</v>
      </c>
      <c r="G18875" s="1" t="str">
        <f>"9927Z841"</f>
        <v>9927Z841</v>
      </c>
      <c r="H18875" s="1" t="str">
        <f>"창덕궁간 39L2"</f>
        <v>창덕궁간 39L2</v>
      </c>
      <c r="I18875" s="1" t="s">
        <v>15</v>
      </c>
      <c r="J18875" s="1" t="str">
        <f>"168/168"</f>
        <v>168/168</v>
      </c>
      <c r="K18875" s="1" t="str">
        <f>"2026-07-29 14:21:38"</f>
        <v>2026-07-29 14:21:38</v>
      </c>
      <c r="L18875" s="1" t="str">
        <f>"2023-08-25 10:34:13"</f>
        <v>2023-08-25 10:34:13</v>
      </c>
      <c r="M18875" s="1" t="s">
        <v>4</v>
      </c>
      <c r="N18875" s="1" t="s">
        <v>38</v>
      </c>
      <c r="O18875" s="1" t="s">
        <v>46</v>
      </c>
    </row>
    <row r="18876" spans="2:15" x14ac:dyDescent="0.3">
      <c r="B18876" s="1" t="s">
        <v>13</v>
      </c>
      <c r="C18876" s="1" t="str">
        <f t="shared" si="939"/>
        <v>5-2차</v>
      </c>
      <c r="D18876" s="1" t="str">
        <f>"9927Z8615M"</f>
        <v>9927Z8615M</v>
      </c>
      <c r="E18876" s="1" t="s">
        <v>10</v>
      </c>
      <c r="F18876" s="1" t="str">
        <f>"fde1:103:4:55a6:0:0:0:2"</f>
        <v>fde1:103:4:55a6:0:0:0:2</v>
      </c>
      <c r="G18876" s="1" t="str">
        <f>"9927Z861"</f>
        <v>9927Z861</v>
      </c>
      <c r="H18876" s="1" t="str">
        <f>"창덕궁간 39L2R2"</f>
        <v>창덕궁간 39L2R2</v>
      </c>
      <c r="I18876" s="1" t="s">
        <v>15</v>
      </c>
      <c r="J18876" s="1" t="str">
        <f>"100/100"</f>
        <v>100/100</v>
      </c>
      <c r="K18876" s="1" t="str">
        <f>"2026-07-29 14:21:38"</f>
        <v>2026-07-29 14:21:38</v>
      </c>
      <c r="L18876" s="1" t="str">
        <f>"2023-08-23 16:53:38"</f>
        <v>2023-08-23 16:53:38</v>
      </c>
      <c r="M18876" s="1" t="s">
        <v>4</v>
      </c>
      <c r="N18876" s="1" t="s">
        <v>38</v>
      </c>
      <c r="O18876" s="1" t="s">
        <v>46</v>
      </c>
    </row>
    <row r="18877" spans="2:15" x14ac:dyDescent="0.3">
      <c r="B18877" s="1" t="s">
        <v>13</v>
      </c>
      <c r="C18877" s="1" t="str">
        <f t="shared" si="939"/>
        <v>5-2차</v>
      </c>
      <c r="D18877" s="1" t="str">
        <f>"9927Z8815M"</f>
        <v>9927Z8815M</v>
      </c>
      <c r="E18877" s="1" t="s">
        <v>10</v>
      </c>
      <c r="F18877" s="1" t="str">
        <f>"fde1:103:4:56e3:0:0:0:2"</f>
        <v>fde1:103:4:56e3:0:0:0:2</v>
      </c>
      <c r="G18877" s="1" t="str">
        <f>"9927Z881"</f>
        <v>9927Z881</v>
      </c>
      <c r="H18877" s="1" t="str">
        <f>"창덕궁간 46"</f>
        <v>창덕궁간 46</v>
      </c>
      <c r="I18877" s="1" t="s">
        <v>15</v>
      </c>
      <c r="J18877" s="1" t="str">
        <f>"95/96"</f>
        <v>95/96</v>
      </c>
      <c r="K18877" s="1" t="str">
        <f>"2026-07-29 14:21:39"</f>
        <v>2026-07-29 14:21:39</v>
      </c>
      <c r="L18877" s="1" t="str">
        <f>"2023-08-23 17:08:02"</f>
        <v>2023-08-23 17:08:02</v>
      </c>
      <c r="M18877" s="1" t="s">
        <v>4</v>
      </c>
      <c r="N18877" s="1" t="s">
        <v>38</v>
      </c>
      <c r="O18877" s="1" t="s">
        <v>46</v>
      </c>
    </row>
    <row r="18878" spans="2:15" x14ac:dyDescent="0.3">
      <c r="B18878" s="1" t="s">
        <v>13</v>
      </c>
      <c r="C18878" s="1" t="str">
        <f>"4차"</f>
        <v>4차</v>
      </c>
      <c r="D18878" s="1" t="str">
        <f>"9927Z90639"</f>
        <v>9927Z90639</v>
      </c>
      <c r="E18878" s="1" t="s">
        <v>10</v>
      </c>
      <c r="F18878" s="1" t="str">
        <f>"10.12.131.229"</f>
        <v>10.12.131.229</v>
      </c>
      <c r="G18878" s="1" t="str">
        <f>"9927Z906"</f>
        <v>9927Z906</v>
      </c>
      <c r="H18878" s="1" t="str">
        <f>"북촌로 13"</f>
        <v>북촌로 13</v>
      </c>
      <c r="I18878" s="1" t="s">
        <v>17</v>
      </c>
      <c r="J18878" s="1" t="str">
        <f>"10/12"</f>
        <v>10/12</v>
      </c>
      <c r="K18878" s="1" t="str">
        <f>"2026-07-29 13:18:12"</f>
        <v>2026-07-29 13:18:12</v>
      </c>
      <c r="L18878" s="1" t="str">
        <f>"2018-10-24 11:54:41"</f>
        <v>2018-10-24 11:54:41</v>
      </c>
      <c r="M18878" s="1" t="s">
        <v>0</v>
      </c>
      <c r="N18878" s="1" t="s">
        <v>38</v>
      </c>
      <c r="O18878" s="1" t="s">
        <v>46</v>
      </c>
    </row>
    <row r="18879" spans="2:15" x14ac:dyDescent="0.3">
      <c r="B18879" s="1" t="s">
        <v>13</v>
      </c>
      <c r="C18879" s="1" t="str">
        <f>"4차"</f>
        <v>4차</v>
      </c>
      <c r="D18879" s="1" t="str">
        <f>"9927Z90C39"</f>
        <v>9927Z90C39</v>
      </c>
      <c r="E18879" s="1" t="s">
        <v>10</v>
      </c>
      <c r="F18879" s="1" t="str">
        <f>"10.12.131.47"</f>
        <v>10.12.131.47</v>
      </c>
      <c r="G18879" s="1" t="str">
        <f>"9927Z90C"</f>
        <v>9927Z90C</v>
      </c>
      <c r="H18879" s="1" t="str">
        <f>"북촌로 4"</f>
        <v>북촌로 4</v>
      </c>
      <c r="I18879" s="1" t="s">
        <v>17</v>
      </c>
      <c r="J18879" s="1" t="str">
        <f>"29/29"</f>
        <v>29/29</v>
      </c>
      <c r="K18879" s="1" t="str">
        <f>"2026-07-29 13:18:12"</f>
        <v>2026-07-29 13:18:12</v>
      </c>
      <c r="L18879" s="1" t="str">
        <f>"2018-10-24 11:45:56"</f>
        <v>2018-10-24 11:45:56</v>
      </c>
      <c r="M18879" s="1" t="s">
        <v>0</v>
      </c>
      <c r="N18879" s="1" t="s">
        <v>38</v>
      </c>
      <c r="O18879" s="1" t="s">
        <v>46</v>
      </c>
    </row>
    <row r="18880" spans="2:15" x14ac:dyDescent="0.3">
      <c r="B18880" s="1" t="s">
        <v>13</v>
      </c>
      <c r="C18880" s="1" t="str">
        <f>"4차"</f>
        <v>4차</v>
      </c>
      <c r="D18880" s="1" t="str">
        <f>"9928A02339"</f>
        <v>9928A02339</v>
      </c>
      <c r="E18880" s="1" t="s">
        <v>10</v>
      </c>
      <c r="F18880" s="1" t="str">
        <f>"10.11.42.170"</f>
        <v>10.11.42.170</v>
      </c>
      <c r="G18880" s="1" t="str">
        <f>"9928A023"</f>
        <v>9928A023</v>
      </c>
      <c r="H18880" s="1" t="str">
        <f>"평창간 6L20H1"</f>
        <v>평창간 6L20H1</v>
      </c>
      <c r="I18880" s="1" t="s">
        <v>8</v>
      </c>
      <c r="J18880" s="1" t="str">
        <f>"4/4"</f>
        <v>4/4</v>
      </c>
      <c r="K18880" s="1" t="str">
        <f t="shared" ref="K18880:K18885" si="940">"2026-07-29 13:18:11"</f>
        <v>2026-07-29 13:18:11</v>
      </c>
      <c r="L18880" s="1" t="str">
        <f>"2018-03-09 10:39:40"</f>
        <v>2018-03-09 10:39:40</v>
      </c>
      <c r="M18880" s="1" t="s">
        <v>2</v>
      </c>
      <c r="N18880" s="1" t="s">
        <v>38</v>
      </c>
      <c r="O18880" s="1" t="s">
        <v>46</v>
      </c>
    </row>
    <row r="18881" spans="2:15" x14ac:dyDescent="0.3">
      <c r="B18881" s="1" t="s">
        <v>13</v>
      </c>
      <c r="C18881" s="1" t="str">
        <f>"3차"</f>
        <v>3차</v>
      </c>
      <c r="D18881" s="1" t="str">
        <f>"9928A04139"</f>
        <v>9928A04139</v>
      </c>
      <c r="E18881" s="1" t="s">
        <v>10</v>
      </c>
      <c r="F18881" s="1" t="str">
        <f>"10.11.42.178"</f>
        <v>10.11.42.178</v>
      </c>
      <c r="G18881" s="1" t="str">
        <f>"9928A041"</f>
        <v>9928A041</v>
      </c>
      <c r="H18881" s="1" t="str">
        <f>"평창간 6L22"</f>
        <v>평창간 6L22</v>
      </c>
      <c r="I18881" s="1" t="s">
        <v>8</v>
      </c>
      <c r="J18881" s="1" t="str">
        <f>"9/9"</f>
        <v>9/9</v>
      </c>
      <c r="K18881" s="1" t="str">
        <f t="shared" si="940"/>
        <v>2026-07-29 13:18:11</v>
      </c>
      <c r="L18881" s="1" t="str">
        <f>"2018-03-09 10:14:11"</f>
        <v>2018-03-09 10:14:11</v>
      </c>
      <c r="M18881" s="1" t="s">
        <v>2</v>
      </c>
      <c r="N18881" s="1" t="s">
        <v>38</v>
      </c>
      <c r="O18881" s="1" t="s">
        <v>46</v>
      </c>
    </row>
    <row r="18882" spans="2:15" x14ac:dyDescent="0.3">
      <c r="B18882" s="1" t="s">
        <v>13</v>
      </c>
      <c r="C18882" s="1" t="str">
        <f>"3차"</f>
        <v>3차</v>
      </c>
      <c r="D18882" s="1" t="str">
        <f>"9928A15139"</f>
        <v>9928A15139</v>
      </c>
      <c r="E18882" s="1" t="s">
        <v>10</v>
      </c>
      <c r="F18882" s="1" t="str">
        <f>"10.11.23.186"</f>
        <v>10.11.23.186</v>
      </c>
      <c r="G18882" s="1" t="str">
        <f>"9928A151"</f>
        <v>9928A151</v>
      </c>
      <c r="H18882" s="1" t="str">
        <f>"평창간 6L23"</f>
        <v>평창간 6L23</v>
      </c>
      <c r="I18882" s="1" t="s">
        <v>8</v>
      </c>
      <c r="J18882" s="1" t="str">
        <f>"7/7"</f>
        <v>7/7</v>
      </c>
      <c r="K18882" s="1" t="str">
        <f t="shared" si="940"/>
        <v>2026-07-29 13:18:11</v>
      </c>
      <c r="L18882" s="1" t="str">
        <f>"2018-03-09 10:05:10"</f>
        <v>2018-03-09 10:05:10</v>
      </c>
      <c r="M18882" s="1" t="s">
        <v>2</v>
      </c>
      <c r="N18882" s="1" t="s">
        <v>38</v>
      </c>
      <c r="O18882" s="1" t="s">
        <v>46</v>
      </c>
    </row>
    <row r="18883" spans="2:15" x14ac:dyDescent="0.3">
      <c r="B18883" s="1" t="s">
        <v>13</v>
      </c>
      <c r="C18883" s="1" t="str">
        <f>"3차"</f>
        <v>3차</v>
      </c>
      <c r="D18883" s="1" t="str">
        <f>"9928A16139"</f>
        <v>9928A16139</v>
      </c>
      <c r="E18883" s="1" t="s">
        <v>10</v>
      </c>
      <c r="F18883" s="1" t="str">
        <f>"10.11.42.186"</f>
        <v>10.11.42.186</v>
      </c>
      <c r="G18883" s="1" t="str">
        <f>"9928A161"</f>
        <v>9928A161</v>
      </c>
      <c r="H18883" s="1" t="str">
        <f>"평창간 6L24"</f>
        <v>평창간 6L24</v>
      </c>
      <c r="I18883" s="1" t="s">
        <v>8</v>
      </c>
      <c r="J18883" s="1" t="str">
        <f>"12/12"</f>
        <v>12/12</v>
      </c>
      <c r="K18883" s="1" t="str">
        <f t="shared" si="940"/>
        <v>2026-07-29 13:18:11</v>
      </c>
      <c r="L18883" s="1" t="str">
        <f>"2018-03-09 09:42:40"</f>
        <v>2018-03-09 09:42:40</v>
      </c>
      <c r="M18883" s="1" t="s">
        <v>2</v>
      </c>
      <c r="N18883" s="1" t="s">
        <v>38</v>
      </c>
      <c r="O18883" s="1" t="s">
        <v>46</v>
      </c>
    </row>
    <row r="18884" spans="2:15" x14ac:dyDescent="0.3">
      <c r="B18884" s="1" t="s">
        <v>13</v>
      </c>
      <c r="C18884" s="1" t="str">
        <f>"3차"</f>
        <v>3차</v>
      </c>
      <c r="D18884" s="1" t="str">
        <f>"9928A17339"</f>
        <v>9928A17339</v>
      </c>
      <c r="E18884" s="1" t="s">
        <v>10</v>
      </c>
      <c r="F18884" s="1" t="str">
        <f>"10.11.27.154"</f>
        <v>10.11.27.154</v>
      </c>
      <c r="G18884" s="1" t="str">
        <f>"9928A173"</f>
        <v>9928A173</v>
      </c>
      <c r="H18884" s="1" t="str">
        <f>"청운간 121L1"</f>
        <v>청운간 121L1</v>
      </c>
      <c r="I18884" s="1" t="s">
        <v>8</v>
      </c>
      <c r="J18884" s="1" t="str">
        <f>"5/5"</f>
        <v>5/5</v>
      </c>
      <c r="K18884" s="1" t="str">
        <f t="shared" si="940"/>
        <v>2026-07-29 13:18:11</v>
      </c>
      <c r="L18884" s="1" t="str">
        <f>"2017-12-07 17:05:20"</f>
        <v>2017-12-07 17:05:20</v>
      </c>
      <c r="M18884" s="1" t="s">
        <v>2</v>
      </c>
      <c r="N18884" s="1" t="s">
        <v>38</v>
      </c>
      <c r="O18884" s="1" t="s">
        <v>46</v>
      </c>
    </row>
    <row r="18885" spans="2:15" x14ac:dyDescent="0.3">
      <c r="B18885" s="1" t="s">
        <v>13</v>
      </c>
      <c r="C18885" s="1" t="str">
        <f>"4차"</f>
        <v>4차</v>
      </c>
      <c r="D18885" s="1" t="str">
        <f>"9928A24139"</f>
        <v>9928A24139</v>
      </c>
      <c r="E18885" s="1" t="str">
        <f>"검침실패(3시간 이상)"</f>
        <v>검침실패(3시간 이상)</v>
      </c>
      <c r="F18885" s="1" t="str">
        <f>"10.11.44.26"</f>
        <v>10.11.44.26</v>
      </c>
      <c r="G18885" s="1" t="str">
        <f>"9928A241"</f>
        <v>9928A241</v>
      </c>
      <c r="H18885" s="1" t="str">
        <f>"청운간 127R1"</f>
        <v>청운간 127R1</v>
      </c>
      <c r="I18885" s="1" t="s">
        <v>8</v>
      </c>
      <c r="J18885" s="1" t="str">
        <f>"0/33"</f>
        <v>0/33</v>
      </c>
      <c r="K18885" s="1" t="str">
        <f t="shared" si="940"/>
        <v>2026-07-29 13:18:11</v>
      </c>
      <c r="L18885" s="1" t="str">
        <f>"2021-04-15 10:22:47"</f>
        <v>2021-04-15 10:22:47</v>
      </c>
      <c r="M18885" s="1" t="s">
        <v>2</v>
      </c>
      <c r="N18885" s="1" t="s">
        <v>38</v>
      </c>
      <c r="O18885" s="1" t="s">
        <v>46</v>
      </c>
    </row>
    <row r="18886" spans="2:15" x14ac:dyDescent="0.3">
      <c r="B18886" s="1" t="s">
        <v>13</v>
      </c>
      <c r="C18886" s="1" t="str">
        <f t="shared" ref="C18886:C18895" si="941">"3차"</f>
        <v>3차</v>
      </c>
      <c r="D18886" s="1" t="str">
        <f>"9928A30530"</f>
        <v>9928A30530</v>
      </c>
      <c r="E18886" s="1" t="s">
        <v>10</v>
      </c>
      <c r="F18886" s="1" t="str">
        <f>"10.11.20.170"</f>
        <v>10.11.20.170</v>
      </c>
      <c r="G18886" s="1" t="str">
        <f>"9928A305"</f>
        <v>9928A305</v>
      </c>
      <c r="H18886" s="1" t="str">
        <f>"청운간 133H1R2"</f>
        <v>청운간 133H1R2</v>
      </c>
      <c r="I18886" s="1" t="s">
        <v>8</v>
      </c>
      <c r="J18886" s="1" t="str">
        <f>"12/12"</f>
        <v>12/12</v>
      </c>
      <c r="K18886" s="1" t="str">
        <f>"2026-07-29 13:18:12"</f>
        <v>2026-07-29 13:18:12</v>
      </c>
      <c r="L18886" s="1" t="str">
        <f>"2018-03-10 13:38:26"</f>
        <v>2018-03-10 13:38:26</v>
      </c>
      <c r="M18886" s="1" t="s">
        <v>2</v>
      </c>
      <c r="N18886" s="1" t="s">
        <v>38</v>
      </c>
      <c r="O18886" s="1" t="s">
        <v>46</v>
      </c>
    </row>
    <row r="18887" spans="2:15" x14ac:dyDescent="0.3">
      <c r="B18887" s="1" t="s">
        <v>13</v>
      </c>
      <c r="C18887" s="1" t="str">
        <f t="shared" si="941"/>
        <v>3차</v>
      </c>
      <c r="D18887" s="1" t="str">
        <f>"9928A32139"</f>
        <v>9928A32139</v>
      </c>
      <c r="E18887" s="1" t="s">
        <v>10</v>
      </c>
      <c r="F18887" s="1" t="str">
        <f>"10.11.39.154"</f>
        <v>10.11.39.154</v>
      </c>
      <c r="G18887" s="1" t="str">
        <f>"9928A321"</f>
        <v>9928A321</v>
      </c>
      <c r="H18887" s="1" t="str">
        <f>"청운간 131"</f>
        <v>청운간 131</v>
      </c>
      <c r="I18887" s="1" t="s">
        <v>8</v>
      </c>
      <c r="J18887" s="1" t="str">
        <f>"4/4"</f>
        <v>4/4</v>
      </c>
      <c r="K18887" s="1" t="str">
        <f>"2026-07-29 13:18:13"</f>
        <v>2026-07-29 13:18:13</v>
      </c>
      <c r="L18887" s="1" t="str">
        <f>"2018-01-10 15:40:00"</f>
        <v>2018-01-10 15:40:00</v>
      </c>
      <c r="M18887" s="1" t="s">
        <v>2</v>
      </c>
      <c r="N18887" s="1" t="s">
        <v>38</v>
      </c>
      <c r="O18887" s="1" t="s">
        <v>46</v>
      </c>
    </row>
    <row r="18888" spans="2:15" x14ac:dyDescent="0.3">
      <c r="B18888" s="1" t="s">
        <v>13</v>
      </c>
      <c r="C18888" s="1" t="str">
        <f t="shared" si="941"/>
        <v>3차</v>
      </c>
      <c r="D18888" s="1" t="str">
        <f>"9928A33139"</f>
        <v>9928A33139</v>
      </c>
      <c r="E18888" s="1" t="s">
        <v>10</v>
      </c>
      <c r="F18888" s="1" t="str">
        <f>"10.11.20.74"</f>
        <v>10.11.20.74</v>
      </c>
      <c r="G18888" s="1" t="str">
        <f>"9928A331"</f>
        <v>9928A331</v>
      </c>
      <c r="H18888" s="1" t="str">
        <f>"청운간 130"</f>
        <v>청운간 130</v>
      </c>
      <c r="I18888" s="1" t="s">
        <v>8</v>
      </c>
      <c r="J18888" s="1" t="str">
        <f>"5/5"</f>
        <v>5/5</v>
      </c>
      <c r="K18888" s="1" t="str">
        <f>"2026-07-29 13:18:12"</f>
        <v>2026-07-29 13:18:12</v>
      </c>
      <c r="L18888" s="1" t="str">
        <f>"2018-01-10 15:16:57"</f>
        <v>2018-01-10 15:16:57</v>
      </c>
      <c r="M18888" s="1" t="s">
        <v>2</v>
      </c>
      <c r="N18888" s="1" t="s">
        <v>38</v>
      </c>
      <c r="O18888" s="1" t="s">
        <v>46</v>
      </c>
    </row>
    <row r="18889" spans="2:15" x14ac:dyDescent="0.3">
      <c r="B18889" s="1" t="s">
        <v>13</v>
      </c>
      <c r="C18889" s="1" t="str">
        <f t="shared" si="941"/>
        <v>3차</v>
      </c>
      <c r="D18889" s="1" t="str">
        <f>"9928A34239"</f>
        <v>9928A34239</v>
      </c>
      <c r="E18889" s="1" t="s">
        <v>10</v>
      </c>
      <c r="F18889" s="1" t="str">
        <f>"10.11.39.146"</f>
        <v>10.11.39.146</v>
      </c>
      <c r="G18889" s="1" t="str">
        <f>"9928A342"</f>
        <v>9928A342</v>
      </c>
      <c r="H18889" s="1" t="str">
        <f>"청운간 128"</f>
        <v>청운간 128</v>
      </c>
      <c r="I18889" s="1" t="s">
        <v>8</v>
      </c>
      <c r="J18889" s="1" t="str">
        <f>"1/1"</f>
        <v>1/1</v>
      </c>
      <c r="K18889" s="1" t="str">
        <f t="shared" ref="K18889:K18904" si="942">"2026-07-29 13:18:13"</f>
        <v>2026-07-29 13:18:13</v>
      </c>
      <c r="L18889" s="1" t="str">
        <f>"2018-01-10 15:00:42"</f>
        <v>2018-01-10 15:00:42</v>
      </c>
      <c r="M18889" s="1" t="s">
        <v>2</v>
      </c>
      <c r="N18889" s="1" t="s">
        <v>38</v>
      </c>
      <c r="O18889" s="1" t="s">
        <v>46</v>
      </c>
    </row>
    <row r="18890" spans="2:15" x14ac:dyDescent="0.3">
      <c r="B18890" s="1" t="s">
        <v>13</v>
      </c>
      <c r="C18890" s="1" t="str">
        <f t="shared" si="941"/>
        <v>3차</v>
      </c>
      <c r="D18890" s="1" t="str">
        <f>"9928A36239"</f>
        <v>9928A36239</v>
      </c>
      <c r="E18890" s="1" t="s">
        <v>10</v>
      </c>
      <c r="F18890" s="1" t="str">
        <f>"10.11.40.98"</f>
        <v>10.11.40.98</v>
      </c>
      <c r="G18890" s="1" t="str">
        <f>"9928A362"</f>
        <v>9928A362</v>
      </c>
      <c r="H18890" s="1" t="str">
        <f>"청운간 138L6"</f>
        <v>청운간 138L6</v>
      </c>
      <c r="I18890" s="1" t="s">
        <v>8</v>
      </c>
      <c r="J18890" s="1" t="str">
        <f>"8/10"</f>
        <v>8/10</v>
      </c>
      <c r="K18890" s="1" t="str">
        <f t="shared" si="942"/>
        <v>2026-07-29 13:18:13</v>
      </c>
      <c r="L18890" s="1" t="str">
        <f>"2018-03-09 13:32:10"</f>
        <v>2018-03-09 13:32:10</v>
      </c>
      <c r="M18890" s="1" t="s">
        <v>2</v>
      </c>
      <c r="N18890" s="1" t="s">
        <v>38</v>
      </c>
      <c r="O18890" s="1" t="s">
        <v>46</v>
      </c>
    </row>
    <row r="18891" spans="2:15" x14ac:dyDescent="0.3">
      <c r="B18891" s="1" t="s">
        <v>13</v>
      </c>
      <c r="C18891" s="1" t="str">
        <f t="shared" si="941"/>
        <v>3차</v>
      </c>
      <c r="D18891" s="1" t="str">
        <f>"9928A41439"</f>
        <v>9928A41439</v>
      </c>
      <c r="E18891" s="1" t="s">
        <v>10</v>
      </c>
      <c r="F18891" s="1" t="str">
        <f>"10.11.39.250"</f>
        <v>10.11.39.250</v>
      </c>
      <c r="G18891" s="1" t="str">
        <f>"9928A414"</f>
        <v>9928A414</v>
      </c>
      <c r="H18891" s="1" t="str">
        <f>"청운간 133H1"</f>
        <v>청운간 133H1</v>
      </c>
      <c r="I18891" s="1" t="s">
        <v>8</v>
      </c>
      <c r="J18891" s="1" t="str">
        <f>"21/22"</f>
        <v>21/22</v>
      </c>
      <c r="K18891" s="1" t="str">
        <f t="shared" si="942"/>
        <v>2026-07-29 13:18:13</v>
      </c>
      <c r="L18891" s="1" t="str">
        <f>"2018-01-10 16:04:57"</f>
        <v>2018-01-10 16:04:57</v>
      </c>
      <c r="M18891" s="1" t="s">
        <v>2</v>
      </c>
      <c r="N18891" s="1" t="s">
        <v>38</v>
      </c>
      <c r="O18891" s="1" t="s">
        <v>46</v>
      </c>
    </row>
    <row r="18892" spans="2:15" x14ac:dyDescent="0.3">
      <c r="B18892" s="1" t="s">
        <v>13</v>
      </c>
      <c r="C18892" s="1" t="str">
        <f t="shared" si="941"/>
        <v>3차</v>
      </c>
      <c r="D18892" s="1" t="str">
        <f>"9928A53139"</f>
        <v>9928A53139</v>
      </c>
      <c r="E18892" s="1" t="s">
        <v>10</v>
      </c>
      <c r="F18892" s="1" t="str">
        <f>"10.11.27.98"</f>
        <v>10.11.27.98</v>
      </c>
      <c r="G18892" s="1" t="str">
        <f>"9928A531"</f>
        <v>9928A531</v>
      </c>
      <c r="H18892" s="1" t="str">
        <f>"청운간 135"</f>
        <v>청운간 135</v>
      </c>
      <c r="I18892" s="1" t="s">
        <v>8</v>
      </c>
      <c r="J18892" s="1" t="str">
        <f>"3/3"</f>
        <v>3/3</v>
      </c>
      <c r="K18892" s="1" t="str">
        <f t="shared" si="942"/>
        <v>2026-07-29 13:18:13</v>
      </c>
      <c r="L18892" s="1" t="str">
        <f>"2017-12-07 17:06:32"</f>
        <v>2017-12-07 17:06:32</v>
      </c>
      <c r="M18892" s="1" t="s">
        <v>2</v>
      </c>
      <c r="N18892" s="1" t="s">
        <v>38</v>
      </c>
      <c r="O18892" s="1" t="s">
        <v>46</v>
      </c>
    </row>
    <row r="18893" spans="2:15" x14ac:dyDescent="0.3">
      <c r="B18893" s="1" t="s">
        <v>13</v>
      </c>
      <c r="C18893" s="1" t="str">
        <f t="shared" si="941"/>
        <v>3차</v>
      </c>
      <c r="D18893" s="1" t="str">
        <f>"9928A61139"</f>
        <v>9928A61139</v>
      </c>
      <c r="E18893" s="1" t="s">
        <v>10</v>
      </c>
      <c r="F18893" s="1" t="str">
        <f>"10.11.20.202"</f>
        <v>10.11.20.202</v>
      </c>
      <c r="G18893" s="1" t="str">
        <f>"9928A611"</f>
        <v>9928A611</v>
      </c>
      <c r="H18893" s="1" t="str">
        <f>"청운간 133R2L1"</f>
        <v>청운간 133R2L1</v>
      </c>
      <c r="I18893" s="1" t="s">
        <v>8</v>
      </c>
      <c r="J18893" s="1" t="str">
        <f>"16/16"</f>
        <v>16/16</v>
      </c>
      <c r="K18893" s="1" t="str">
        <f t="shared" si="942"/>
        <v>2026-07-29 13:18:13</v>
      </c>
      <c r="L18893" s="1" t="str">
        <f>"2018-01-16 11:55:26"</f>
        <v>2018-01-16 11:55:26</v>
      </c>
      <c r="M18893" s="1" t="s">
        <v>2</v>
      </c>
      <c r="N18893" s="1" t="s">
        <v>38</v>
      </c>
      <c r="O18893" s="1" t="s">
        <v>46</v>
      </c>
    </row>
    <row r="18894" spans="2:15" x14ac:dyDescent="0.3">
      <c r="B18894" s="1" t="s">
        <v>13</v>
      </c>
      <c r="C18894" s="1" t="str">
        <f t="shared" si="941"/>
        <v>3차</v>
      </c>
      <c r="D18894" s="1" t="str">
        <f>"9928A65739"</f>
        <v>9928A65739</v>
      </c>
      <c r="E18894" s="1" t="s">
        <v>10</v>
      </c>
      <c r="F18894" s="1" t="str">
        <f>"10.11.39.162"</f>
        <v>10.11.39.162</v>
      </c>
      <c r="G18894" s="1" t="str">
        <f>"9928A657"</f>
        <v>9928A657</v>
      </c>
      <c r="H18894" s="1" t="str">
        <f>"청운간 140"</f>
        <v>청운간 140</v>
      </c>
      <c r="I18894" s="1" t="s">
        <v>8</v>
      </c>
      <c r="J18894" s="1" t="str">
        <f>"12/12"</f>
        <v>12/12</v>
      </c>
      <c r="K18894" s="1" t="str">
        <f t="shared" si="942"/>
        <v>2026-07-29 13:18:13</v>
      </c>
      <c r="L18894" s="1" t="str">
        <f>"2021-08-27 18:11:51"</f>
        <v>2021-08-27 18:11:51</v>
      </c>
      <c r="M18894" s="1" t="s">
        <v>2</v>
      </c>
      <c r="N18894" s="1" t="s">
        <v>38</v>
      </c>
      <c r="O18894" s="1" t="s">
        <v>46</v>
      </c>
    </row>
    <row r="18895" spans="2:15" x14ac:dyDescent="0.3">
      <c r="B18895" s="1" t="s">
        <v>13</v>
      </c>
      <c r="C18895" s="1" t="str">
        <f t="shared" si="941"/>
        <v>3차</v>
      </c>
      <c r="D18895" s="1" t="str">
        <f>"9928A68239"</f>
        <v>9928A68239</v>
      </c>
      <c r="E18895" s="1" t="s">
        <v>10</v>
      </c>
      <c r="F18895" s="1" t="str">
        <f>"10.11.45.42"</f>
        <v>10.11.45.42</v>
      </c>
      <c r="G18895" s="1" t="str">
        <f>"9928A682"</f>
        <v>9928A682</v>
      </c>
      <c r="H18895" s="1" t="str">
        <f>"청운간 144L3L3"</f>
        <v>청운간 144L3L3</v>
      </c>
      <c r="I18895" s="1" t="s">
        <v>8</v>
      </c>
      <c r="J18895" s="1" t="str">
        <f>"5/5"</f>
        <v>5/5</v>
      </c>
      <c r="K18895" s="1" t="str">
        <f t="shared" si="942"/>
        <v>2026-07-29 13:18:13</v>
      </c>
      <c r="L18895" s="1" t="str">
        <f>"2018-07-17 10:06:25"</f>
        <v>2018-07-17 10:06:25</v>
      </c>
      <c r="M18895" s="1" t="s">
        <v>2</v>
      </c>
      <c r="N18895" s="1" t="s">
        <v>38</v>
      </c>
      <c r="O18895" s="1" t="s">
        <v>46</v>
      </c>
    </row>
    <row r="18896" spans="2:15" x14ac:dyDescent="0.3">
      <c r="B18896" s="1" t="s">
        <v>13</v>
      </c>
      <c r="C18896" s="1" t="str">
        <f>"4차"</f>
        <v>4차</v>
      </c>
      <c r="D18896" s="1" t="str">
        <f>"9928A71239"</f>
        <v>9928A71239</v>
      </c>
      <c r="E18896" s="1" t="s">
        <v>10</v>
      </c>
      <c r="F18896" s="1" t="str">
        <f>"10.11.40.50"</f>
        <v>10.11.40.50</v>
      </c>
      <c r="G18896" s="1" t="str">
        <f>"9928A712"</f>
        <v>9928A712</v>
      </c>
      <c r="H18896" s="1" t="str">
        <f>"청운간 133R3L4"</f>
        <v>청운간 133R3L4</v>
      </c>
      <c r="I18896" s="1" t="s">
        <v>8</v>
      </c>
      <c r="J18896" s="1" t="str">
        <f>"16/16"</f>
        <v>16/16</v>
      </c>
      <c r="K18896" s="1" t="str">
        <f t="shared" si="942"/>
        <v>2026-07-29 13:18:13</v>
      </c>
      <c r="L18896" s="1" t="str">
        <f>"2018-01-11 16:29:28"</f>
        <v>2018-01-11 16:29:28</v>
      </c>
      <c r="M18896" s="1" t="s">
        <v>2</v>
      </c>
      <c r="N18896" s="1" t="s">
        <v>38</v>
      </c>
      <c r="O18896" s="1" t="s">
        <v>46</v>
      </c>
    </row>
    <row r="18897" spans="2:15" x14ac:dyDescent="0.3">
      <c r="B18897" s="1" t="s">
        <v>13</v>
      </c>
      <c r="C18897" s="1" t="str">
        <f>"4차"</f>
        <v>4차</v>
      </c>
      <c r="D18897" s="1" t="str">
        <f>"9928A72139"</f>
        <v>9928A72139</v>
      </c>
      <c r="E18897" s="1" t="s">
        <v>10</v>
      </c>
      <c r="F18897" s="1" t="str">
        <f>"10.11.40.58"</f>
        <v>10.11.40.58</v>
      </c>
      <c r="G18897" s="1" t="str">
        <f>"9928A721"</f>
        <v>9928A721</v>
      </c>
      <c r="H18897" s="1" t="str">
        <f>"청운간 133R3L5"</f>
        <v>청운간 133R3L5</v>
      </c>
      <c r="I18897" s="1" t="s">
        <v>8</v>
      </c>
      <c r="J18897" s="1" t="str">
        <f>"4/4"</f>
        <v>4/4</v>
      </c>
      <c r="K18897" s="1" t="str">
        <f t="shared" si="942"/>
        <v>2026-07-29 13:18:13</v>
      </c>
      <c r="L18897" s="1" t="str">
        <f>"2018-01-11 16:38:43"</f>
        <v>2018-01-11 16:38:43</v>
      </c>
      <c r="M18897" s="1" t="s">
        <v>2</v>
      </c>
      <c r="N18897" s="1" t="s">
        <v>38</v>
      </c>
      <c r="O18897" s="1" t="s">
        <v>46</v>
      </c>
    </row>
    <row r="18898" spans="2:15" x14ac:dyDescent="0.3">
      <c r="B18898" s="1" t="s">
        <v>13</v>
      </c>
      <c r="C18898" s="1" t="str">
        <f t="shared" ref="C18898:C18910" si="943">"3차"</f>
        <v>3차</v>
      </c>
      <c r="D18898" s="1" t="str">
        <f>"9928A73139"</f>
        <v>9928A73139</v>
      </c>
      <c r="E18898" s="1" t="s">
        <v>10</v>
      </c>
      <c r="F18898" s="1" t="str">
        <f>"10.11.40.34"</f>
        <v>10.11.40.34</v>
      </c>
      <c r="G18898" s="1" t="str">
        <f>"9928A731"</f>
        <v>9928A731</v>
      </c>
      <c r="H18898" s="1" t="str">
        <f>"청운간 133R2L3"</f>
        <v>청운간 133R2L3</v>
      </c>
      <c r="I18898" s="1" t="s">
        <v>8</v>
      </c>
      <c r="J18898" s="1" t="str">
        <f>"12/12"</f>
        <v>12/12</v>
      </c>
      <c r="K18898" s="1" t="str">
        <f t="shared" si="942"/>
        <v>2026-07-29 13:18:13</v>
      </c>
      <c r="L18898" s="1" t="str">
        <f>"2018-01-11 17:50:57"</f>
        <v>2018-01-11 17:50:57</v>
      </c>
      <c r="M18898" s="1" t="s">
        <v>2</v>
      </c>
      <c r="N18898" s="1" t="s">
        <v>38</v>
      </c>
      <c r="O18898" s="1" t="s">
        <v>46</v>
      </c>
    </row>
    <row r="18899" spans="2:15" x14ac:dyDescent="0.3">
      <c r="B18899" s="1" t="s">
        <v>13</v>
      </c>
      <c r="C18899" s="1" t="str">
        <f t="shared" si="943"/>
        <v>3차</v>
      </c>
      <c r="D18899" s="1" t="str">
        <f>"9928A78239"</f>
        <v>9928A78239</v>
      </c>
      <c r="E18899" s="1" t="s">
        <v>10</v>
      </c>
      <c r="F18899" s="1" t="str">
        <f>"10.11.21.50"</f>
        <v>10.11.21.50</v>
      </c>
      <c r="G18899" s="1" t="str">
        <f>"9928A782"</f>
        <v>9928A782</v>
      </c>
      <c r="H18899" s="1" t="str">
        <f>"청운간 144L2"</f>
        <v>청운간 144L2</v>
      </c>
      <c r="I18899" s="1" t="s">
        <v>8</v>
      </c>
      <c r="J18899" s="1" t="str">
        <f>"3/3"</f>
        <v>3/3</v>
      </c>
      <c r="K18899" s="1" t="str">
        <f t="shared" si="942"/>
        <v>2026-07-29 13:18:13</v>
      </c>
      <c r="L18899" s="1" t="str">
        <f>"2018-01-10 17:47:58"</f>
        <v>2018-01-10 17:47:58</v>
      </c>
      <c r="M18899" s="1" t="s">
        <v>2</v>
      </c>
      <c r="N18899" s="1" t="s">
        <v>38</v>
      </c>
      <c r="O18899" s="1" t="s">
        <v>46</v>
      </c>
    </row>
    <row r="18900" spans="2:15" x14ac:dyDescent="0.3">
      <c r="B18900" s="1" t="s">
        <v>13</v>
      </c>
      <c r="C18900" s="1" t="str">
        <f t="shared" si="943"/>
        <v>3차</v>
      </c>
      <c r="D18900" s="1" t="str">
        <f>"9928A86239"</f>
        <v>9928A86239</v>
      </c>
      <c r="E18900" s="1" t="s">
        <v>10</v>
      </c>
      <c r="F18900" s="1" t="str">
        <f>"10.11.39.178"</f>
        <v>10.11.39.178</v>
      </c>
      <c r="G18900" s="1" t="str">
        <f>"9928A862"</f>
        <v>9928A862</v>
      </c>
      <c r="H18900" s="1" t="str">
        <f>"청운간 144"</f>
        <v>청운간 144</v>
      </c>
      <c r="I18900" s="1" t="s">
        <v>8</v>
      </c>
      <c r="J18900" s="1" t="str">
        <f>"21/21"</f>
        <v>21/21</v>
      </c>
      <c r="K18900" s="1" t="str">
        <f t="shared" si="942"/>
        <v>2026-07-29 13:18:13</v>
      </c>
      <c r="L18900" s="1" t="str">
        <f>"2018-05-17 17:46:57"</f>
        <v>2018-05-17 17:46:57</v>
      </c>
      <c r="M18900" s="1" t="s">
        <v>2</v>
      </c>
      <c r="N18900" s="1" t="s">
        <v>38</v>
      </c>
      <c r="O18900" s="1" t="s">
        <v>46</v>
      </c>
    </row>
    <row r="18901" spans="2:15" x14ac:dyDescent="0.3">
      <c r="B18901" s="1" t="s">
        <v>13</v>
      </c>
      <c r="C18901" s="1" t="str">
        <f t="shared" si="943"/>
        <v>3차</v>
      </c>
      <c r="D18901" s="1" t="str">
        <f>"9928A88139"</f>
        <v>9928A88139</v>
      </c>
      <c r="E18901" s="1" t="s">
        <v>10</v>
      </c>
      <c r="F18901" s="1" t="str">
        <f>"10.11.21.58"</f>
        <v>10.11.21.58</v>
      </c>
      <c r="G18901" s="1" t="str">
        <f>"9928A881"</f>
        <v>9928A881</v>
      </c>
      <c r="H18901" s="1" t="str">
        <f>"청운간 144L4"</f>
        <v>청운간 144L4</v>
      </c>
      <c r="I18901" s="1" t="s">
        <v>8</v>
      </c>
      <c r="J18901" s="1" t="str">
        <f>"5/5"</f>
        <v>5/5</v>
      </c>
      <c r="K18901" s="1" t="str">
        <f t="shared" si="942"/>
        <v>2026-07-29 13:18:13</v>
      </c>
      <c r="L18901" s="1" t="str">
        <f>"2018-01-10 17:57:43"</f>
        <v>2018-01-10 17:57:43</v>
      </c>
      <c r="M18901" s="1" t="s">
        <v>2</v>
      </c>
      <c r="N18901" s="1" t="s">
        <v>38</v>
      </c>
      <c r="O18901" s="1" t="s">
        <v>46</v>
      </c>
    </row>
    <row r="18902" spans="2:15" x14ac:dyDescent="0.3">
      <c r="B18902" s="1" t="s">
        <v>13</v>
      </c>
      <c r="C18902" s="1" t="str">
        <f t="shared" si="943"/>
        <v>3차</v>
      </c>
      <c r="D18902" s="1" t="str">
        <f>"9928A91139"</f>
        <v>9928A91139</v>
      </c>
      <c r="E18902" s="1" t="s">
        <v>10</v>
      </c>
      <c r="F18902" s="1" t="str">
        <f>"10.11.22.186"</f>
        <v>10.11.22.186</v>
      </c>
      <c r="G18902" s="1" t="str">
        <f>"9928A911"</f>
        <v>9928A911</v>
      </c>
      <c r="H18902" s="1" t="str">
        <f>"평창간 26L9"</f>
        <v>평창간 26L9</v>
      </c>
      <c r="I18902" s="1" t="s">
        <v>8</v>
      </c>
      <c r="J18902" s="1" t="str">
        <f>"27/28"</f>
        <v>27/28</v>
      </c>
      <c r="K18902" s="1" t="str">
        <f t="shared" si="942"/>
        <v>2026-07-29 13:18:13</v>
      </c>
      <c r="L18902" s="1" t="str">
        <f>"2018-03-12 12:12:41"</f>
        <v>2018-03-12 12:12:41</v>
      </c>
      <c r="M18902" s="1" t="s">
        <v>2</v>
      </c>
      <c r="N18902" s="1" t="s">
        <v>38</v>
      </c>
      <c r="O18902" s="1" t="s">
        <v>46</v>
      </c>
    </row>
    <row r="18903" spans="2:15" x14ac:dyDescent="0.3">
      <c r="B18903" s="1" t="s">
        <v>13</v>
      </c>
      <c r="C18903" s="1" t="str">
        <f t="shared" si="943"/>
        <v>3차</v>
      </c>
      <c r="D18903" s="1" t="str">
        <f>"9928A94439"</f>
        <v>9928A94439</v>
      </c>
      <c r="E18903" s="1" t="s">
        <v>10</v>
      </c>
      <c r="F18903" s="1" t="str">
        <f>"10.11.20.250"</f>
        <v>10.11.20.250</v>
      </c>
      <c r="G18903" s="1" t="str">
        <f>"9928A944"</f>
        <v>9928A944</v>
      </c>
      <c r="H18903" s="1" t="str">
        <f>"청운간 133R3L9"</f>
        <v>청운간 133R3L9</v>
      </c>
      <c r="I18903" s="1" t="s">
        <v>8</v>
      </c>
      <c r="J18903" s="1" t="str">
        <f>"6/8"</f>
        <v>6/8</v>
      </c>
      <c r="K18903" s="1" t="str">
        <f t="shared" si="942"/>
        <v>2026-07-29 13:18:13</v>
      </c>
      <c r="L18903" s="1" t="str">
        <f>"2018-01-11 16:57:25"</f>
        <v>2018-01-11 16:57:25</v>
      </c>
      <c r="M18903" s="1" t="s">
        <v>2</v>
      </c>
      <c r="N18903" s="1" t="s">
        <v>38</v>
      </c>
      <c r="O18903" s="1" t="s">
        <v>46</v>
      </c>
    </row>
    <row r="18904" spans="2:15" x14ac:dyDescent="0.3">
      <c r="B18904" s="1" t="s">
        <v>13</v>
      </c>
      <c r="C18904" s="1" t="str">
        <f t="shared" si="943"/>
        <v>3차</v>
      </c>
      <c r="D18904" s="1" t="str">
        <f>"9928A94539"</f>
        <v>9928A94539</v>
      </c>
      <c r="E18904" s="1" t="s">
        <v>10</v>
      </c>
      <c r="F18904" s="1" t="str">
        <f>"10.11.20.218"</f>
        <v>10.11.20.218</v>
      </c>
      <c r="G18904" s="1" t="str">
        <f>"9928A945"</f>
        <v>9928A945</v>
      </c>
      <c r="H18904" s="1" t="str">
        <f>"청운간 133R3L10"</f>
        <v>청운간 133R3L10</v>
      </c>
      <c r="I18904" s="1" t="s">
        <v>8</v>
      </c>
      <c r="J18904" s="1" t="str">
        <f>"8/8"</f>
        <v>8/8</v>
      </c>
      <c r="K18904" s="1" t="str">
        <f t="shared" si="942"/>
        <v>2026-07-29 13:18:13</v>
      </c>
      <c r="L18904" s="1" t="str">
        <f>"2018-01-11 17:07:13"</f>
        <v>2018-01-11 17:07:13</v>
      </c>
      <c r="M18904" s="1" t="s">
        <v>2</v>
      </c>
      <c r="N18904" s="1" t="s">
        <v>38</v>
      </c>
      <c r="O18904" s="1" t="s">
        <v>46</v>
      </c>
    </row>
    <row r="18905" spans="2:15" x14ac:dyDescent="0.3">
      <c r="B18905" s="1" t="s">
        <v>13</v>
      </c>
      <c r="C18905" s="1" t="str">
        <f t="shared" si="943"/>
        <v>3차</v>
      </c>
      <c r="D18905" s="1" t="str">
        <f>"9928B06139"</f>
        <v>9928B06139</v>
      </c>
      <c r="E18905" s="1" t="s">
        <v>10</v>
      </c>
      <c r="F18905" s="1" t="str">
        <f>"10.11.12.58"</f>
        <v>10.11.12.58</v>
      </c>
      <c r="G18905" s="1" t="str">
        <f>"9928B061"</f>
        <v>9928B061</v>
      </c>
      <c r="H18905" s="1" t="str">
        <f>"청운간 151R6"</f>
        <v>청운간 151R6</v>
      </c>
      <c r="I18905" s="1" t="s">
        <v>8</v>
      </c>
      <c r="J18905" s="1" t="str">
        <f>"7/9"</f>
        <v>7/9</v>
      </c>
      <c r="K18905" s="1" t="str">
        <f>"2026-07-29 13:18:14"</f>
        <v>2026-07-29 13:18:14</v>
      </c>
      <c r="L18905" s="1" t="str">
        <f>"2018-03-09 11:00:41"</f>
        <v>2018-03-09 11:00:41</v>
      </c>
      <c r="M18905" s="1" t="s">
        <v>2</v>
      </c>
      <c r="N18905" s="1" t="s">
        <v>38</v>
      </c>
      <c r="O18905" s="1" t="s">
        <v>46</v>
      </c>
    </row>
    <row r="18906" spans="2:15" x14ac:dyDescent="0.3">
      <c r="B18906" s="1" t="s">
        <v>13</v>
      </c>
      <c r="C18906" s="1" t="str">
        <f t="shared" si="943"/>
        <v>3차</v>
      </c>
      <c r="D18906" s="1" t="str">
        <f>"9928B07139"</f>
        <v>9928B07139</v>
      </c>
      <c r="E18906" s="1" t="s">
        <v>10</v>
      </c>
      <c r="F18906" s="1" t="str">
        <f>"10.11.20.90"</f>
        <v>10.11.20.90</v>
      </c>
      <c r="G18906" s="1" t="str">
        <f>"9928B071"</f>
        <v>9928B071</v>
      </c>
      <c r="H18906" s="1" t="str">
        <f>"청운간 146"</f>
        <v>청운간 146</v>
      </c>
      <c r="I18906" s="1" t="s">
        <v>8</v>
      </c>
      <c r="J18906" s="1" t="str">
        <f>"4/4"</f>
        <v>4/4</v>
      </c>
      <c r="K18906" s="1" t="str">
        <f>"2026-07-29 13:18:14"</f>
        <v>2026-07-29 13:18:14</v>
      </c>
      <c r="L18906" s="1" t="str">
        <f>"2018-01-10 16:35:58"</f>
        <v>2018-01-10 16:35:58</v>
      </c>
      <c r="M18906" s="1" t="s">
        <v>2</v>
      </c>
      <c r="N18906" s="1" t="s">
        <v>38</v>
      </c>
      <c r="O18906" s="1" t="s">
        <v>46</v>
      </c>
    </row>
    <row r="18907" spans="2:15" x14ac:dyDescent="0.3">
      <c r="B18907" s="1" t="s">
        <v>13</v>
      </c>
      <c r="C18907" s="1" t="str">
        <f t="shared" si="943"/>
        <v>3차</v>
      </c>
      <c r="D18907" s="1" t="str">
        <f>"9928B10139"</f>
        <v>9928B10139</v>
      </c>
      <c r="E18907" s="1" t="s">
        <v>18</v>
      </c>
      <c r="F18907" s="1" t="str">
        <f>"10.11.28.82"</f>
        <v>10.11.28.82</v>
      </c>
      <c r="G18907" s="1" t="str">
        <f>"9928B101"</f>
        <v>9928B101</v>
      </c>
      <c r="H18907" s="1" t="str">
        <f>"평창간 26L5"</f>
        <v>평창간 26L5</v>
      </c>
      <c r="I18907" s="1" t="s">
        <v>8</v>
      </c>
      <c r="J18907" s="1" t="str">
        <f>"0/9"</f>
        <v>0/9</v>
      </c>
      <c r="K18907" s="1" t="str">
        <f>"2026-06-25 07:18:11"</f>
        <v>2026-06-25 07:18:11</v>
      </c>
      <c r="L18907" s="1" t="str">
        <f>"2017-12-07 17:12:02"</f>
        <v>2017-12-07 17:12:02</v>
      </c>
      <c r="M18907" s="1" t="s">
        <v>2</v>
      </c>
      <c r="N18907" s="1" t="s">
        <v>38</v>
      </c>
      <c r="O18907" s="1" t="s">
        <v>46</v>
      </c>
    </row>
    <row r="18908" spans="2:15" x14ac:dyDescent="0.3">
      <c r="B18908" s="1" t="s">
        <v>13</v>
      </c>
      <c r="C18908" s="1" t="str">
        <f t="shared" si="943"/>
        <v>3차</v>
      </c>
      <c r="D18908" s="1" t="str">
        <f>"9928B14239"</f>
        <v>9928B14239</v>
      </c>
      <c r="E18908" s="1" t="s">
        <v>10</v>
      </c>
      <c r="F18908" s="1" t="str">
        <f>"10.11.20.226"</f>
        <v>10.11.20.226</v>
      </c>
      <c r="G18908" s="1" t="str">
        <f>"9928B142"</f>
        <v>9928B142</v>
      </c>
      <c r="H18908" s="1" t="str">
        <f>"청운간 133R3L12"</f>
        <v>청운간 133R3L12</v>
      </c>
      <c r="I18908" s="1" t="s">
        <v>8</v>
      </c>
      <c r="J18908" s="1" t="str">
        <f>"4/4"</f>
        <v>4/4</v>
      </c>
      <c r="K18908" s="1" t="str">
        <f t="shared" ref="K18908:K18948" si="944">"2026-07-29 13:18:14"</f>
        <v>2026-07-29 13:18:14</v>
      </c>
      <c r="L18908" s="1" t="str">
        <f>"2018-01-11 17:15:16"</f>
        <v>2018-01-11 17:15:16</v>
      </c>
      <c r="M18908" s="1" t="s">
        <v>2</v>
      </c>
      <c r="N18908" s="1" t="s">
        <v>38</v>
      </c>
      <c r="O18908" s="1" t="s">
        <v>46</v>
      </c>
    </row>
    <row r="18909" spans="2:15" x14ac:dyDescent="0.3">
      <c r="B18909" s="1" t="s">
        <v>13</v>
      </c>
      <c r="C18909" s="1" t="str">
        <f t="shared" si="943"/>
        <v>3차</v>
      </c>
      <c r="D18909" s="1" t="str">
        <f>"9928B25139"</f>
        <v>9928B25139</v>
      </c>
      <c r="E18909" s="1" t="s">
        <v>10</v>
      </c>
      <c r="F18909" s="1" t="str">
        <f>"10.11.40.42"</f>
        <v>10.11.40.42</v>
      </c>
      <c r="G18909" s="1" t="str">
        <f>"9928B251"</f>
        <v>9928B251</v>
      </c>
      <c r="H18909" s="1" t="str">
        <f>"청운간 133R3L14"</f>
        <v>청운간 133R3L14</v>
      </c>
      <c r="I18909" s="1" t="s">
        <v>8</v>
      </c>
      <c r="J18909" s="1" t="str">
        <f>"10/10"</f>
        <v>10/10</v>
      </c>
      <c r="K18909" s="1" t="str">
        <f t="shared" si="944"/>
        <v>2026-07-29 13:18:14</v>
      </c>
      <c r="L18909" s="1" t="str">
        <f>"2018-01-11 17:32:28"</f>
        <v>2018-01-11 17:32:28</v>
      </c>
      <c r="M18909" s="1" t="s">
        <v>2</v>
      </c>
      <c r="N18909" s="1" t="s">
        <v>38</v>
      </c>
      <c r="O18909" s="1" t="s">
        <v>46</v>
      </c>
    </row>
    <row r="18910" spans="2:15" x14ac:dyDescent="0.3">
      <c r="B18910" s="1" t="s">
        <v>13</v>
      </c>
      <c r="C18910" s="1" t="str">
        <f t="shared" si="943"/>
        <v>3차</v>
      </c>
      <c r="D18910" s="1" t="str">
        <f>"9928B32139"</f>
        <v>9928B32139</v>
      </c>
      <c r="E18910" s="1" t="s">
        <v>10</v>
      </c>
      <c r="F18910" s="1" t="str">
        <f>"10.11.22.98"</f>
        <v>10.11.22.98</v>
      </c>
      <c r="G18910" s="1" t="str">
        <f>"9928B321"</f>
        <v>9928B321</v>
      </c>
      <c r="H18910" s="1" t="str">
        <f>"평창간 26L2R4"</f>
        <v>평창간 26L2R4</v>
      </c>
      <c r="I18910" s="1" t="s">
        <v>8</v>
      </c>
      <c r="J18910" s="1" t="str">
        <f>"10/10"</f>
        <v>10/10</v>
      </c>
      <c r="K18910" s="1" t="str">
        <f t="shared" si="944"/>
        <v>2026-07-29 13:18:14</v>
      </c>
      <c r="L18910" s="1" t="str">
        <f>"2018-03-09 12:04:25"</f>
        <v>2018-03-09 12:04:25</v>
      </c>
      <c r="M18910" s="1" t="s">
        <v>2</v>
      </c>
      <c r="N18910" s="1" t="s">
        <v>38</v>
      </c>
      <c r="O18910" s="1" t="s">
        <v>46</v>
      </c>
    </row>
    <row r="18911" spans="2:15" x14ac:dyDescent="0.3">
      <c r="B18911" s="1" t="s">
        <v>13</v>
      </c>
      <c r="C18911" s="1" t="str">
        <f>"4차"</f>
        <v>4차</v>
      </c>
      <c r="D18911" s="1" t="str">
        <f>"9928B38139"</f>
        <v>9928B38139</v>
      </c>
      <c r="E18911" s="1" t="s">
        <v>10</v>
      </c>
      <c r="F18911" s="1" t="str">
        <f>"10.11.27.106"</f>
        <v>10.11.27.106</v>
      </c>
      <c r="G18911" s="1" t="str">
        <f>"9928B381"</f>
        <v>9928B381</v>
      </c>
      <c r="H18911" s="1" t="str">
        <f>"청운간 152"</f>
        <v>청운간 152</v>
      </c>
      <c r="I18911" s="1" t="s">
        <v>8</v>
      </c>
      <c r="J18911" s="1" t="str">
        <f>"12/12"</f>
        <v>12/12</v>
      </c>
      <c r="K18911" s="1" t="str">
        <f t="shared" si="944"/>
        <v>2026-07-29 13:18:14</v>
      </c>
      <c r="L18911" s="1" t="str">
        <f>"2017-12-07 17:03:17"</f>
        <v>2017-12-07 17:03:17</v>
      </c>
      <c r="M18911" s="1" t="s">
        <v>2</v>
      </c>
      <c r="N18911" s="1" t="s">
        <v>38</v>
      </c>
      <c r="O18911" s="1" t="s">
        <v>46</v>
      </c>
    </row>
    <row r="18912" spans="2:15" x14ac:dyDescent="0.3">
      <c r="B18912" s="1" t="s">
        <v>13</v>
      </c>
      <c r="C18912" s="1" t="str">
        <f>"4차"</f>
        <v>4차</v>
      </c>
      <c r="D18912" s="1" t="str">
        <f>"9928B38239"</f>
        <v>9928B38239</v>
      </c>
      <c r="E18912" s="1" t="s">
        <v>10</v>
      </c>
      <c r="F18912" s="1" t="str">
        <f>"10.11.21.74"</f>
        <v>10.11.21.74</v>
      </c>
      <c r="G18912" s="1" t="str">
        <f>"9928B382"</f>
        <v>9928B382</v>
      </c>
      <c r="H18912" s="1" t="str">
        <f>"청운간 151L1"</f>
        <v>청운간 151L1</v>
      </c>
      <c r="I18912" s="1" t="s">
        <v>8</v>
      </c>
      <c r="J18912" s="1" t="str">
        <f>"13/13"</f>
        <v>13/13</v>
      </c>
      <c r="K18912" s="1" t="str">
        <f t="shared" si="944"/>
        <v>2026-07-29 13:18:14</v>
      </c>
      <c r="L18912" s="1" t="str">
        <f>"2018-02-24 17:12:13"</f>
        <v>2018-02-24 17:12:13</v>
      </c>
      <c r="M18912" s="1" t="s">
        <v>2</v>
      </c>
      <c r="N18912" s="1" t="s">
        <v>38</v>
      </c>
      <c r="O18912" s="1" t="s">
        <v>46</v>
      </c>
    </row>
    <row r="18913" spans="2:15" x14ac:dyDescent="0.3">
      <c r="B18913" s="1" t="s">
        <v>13</v>
      </c>
      <c r="C18913" s="1" t="str">
        <f t="shared" ref="C18913:C18929" si="945">"3차"</f>
        <v>3차</v>
      </c>
      <c r="D18913" s="1" t="str">
        <f>"9928B39139"</f>
        <v>9928B39139</v>
      </c>
      <c r="E18913" s="1" t="s">
        <v>10</v>
      </c>
      <c r="F18913" s="1" t="str">
        <f>"10.11.40.122"</f>
        <v>10.11.40.122</v>
      </c>
      <c r="G18913" s="1" t="str">
        <f>"9928B391"</f>
        <v>9928B391</v>
      </c>
      <c r="H18913" s="1" t="str">
        <f>"청운간 151L2"</f>
        <v>청운간 151L2</v>
      </c>
      <c r="I18913" s="1" t="s">
        <v>8</v>
      </c>
      <c r="J18913" s="1" t="str">
        <f>"7/7"</f>
        <v>7/7</v>
      </c>
      <c r="K18913" s="1" t="str">
        <f t="shared" si="944"/>
        <v>2026-07-29 13:18:14</v>
      </c>
      <c r="L18913" s="1" t="str">
        <f>"2018-02-24 16:54:58"</f>
        <v>2018-02-24 16:54:58</v>
      </c>
      <c r="M18913" s="1" t="s">
        <v>2</v>
      </c>
      <c r="N18913" s="1" t="s">
        <v>38</v>
      </c>
      <c r="O18913" s="1" t="s">
        <v>46</v>
      </c>
    </row>
    <row r="18914" spans="2:15" x14ac:dyDescent="0.3">
      <c r="B18914" s="1" t="s">
        <v>13</v>
      </c>
      <c r="C18914" s="1" t="str">
        <f t="shared" si="945"/>
        <v>3차</v>
      </c>
      <c r="D18914" s="1" t="str">
        <f>"9928B41139"</f>
        <v>9928B41139</v>
      </c>
      <c r="E18914" s="1" t="s">
        <v>10</v>
      </c>
      <c r="F18914" s="1" t="str">
        <f>"10.11.41.242"</f>
        <v>10.11.41.242</v>
      </c>
      <c r="G18914" s="1" t="str">
        <f>"9928B411"</f>
        <v>9928B411</v>
      </c>
      <c r="H18914" s="1" t="str">
        <f>"평창간 29L7"</f>
        <v>평창간 29L7</v>
      </c>
      <c r="I18914" s="1" t="s">
        <v>8</v>
      </c>
      <c r="J18914" s="1" t="str">
        <f>"15/15"</f>
        <v>15/15</v>
      </c>
      <c r="K18914" s="1" t="str">
        <f t="shared" si="944"/>
        <v>2026-07-29 13:18:14</v>
      </c>
      <c r="L18914" s="1" t="str">
        <f>"2018-03-10 14:00:27"</f>
        <v>2018-03-10 14:00:27</v>
      </c>
      <c r="M18914" s="1" t="s">
        <v>2</v>
      </c>
      <c r="N18914" s="1" t="s">
        <v>38</v>
      </c>
      <c r="O18914" s="1" t="s">
        <v>46</v>
      </c>
    </row>
    <row r="18915" spans="2:15" x14ac:dyDescent="0.3">
      <c r="B18915" s="1" t="s">
        <v>13</v>
      </c>
      <c r="C18915" s="1" t="str">
        <f t="shared" si="945"/>
        <v>3차</v>
      </c>
      <c r="D18915" s="1" t="str">
        <f>"9928B41339"</f>
        <v>9928B41339</v>
      </c>
      <c r="E18915" s="1" t="s">
        <v>10</v>
      </c>
      <c r="F18915" s="1" t="str">
        <f>"10.11.23.2"</f>
        <v>10.11.23.2</v>
      </c>
      <c r="G18915" s="1" t="str">
        <f>"9928B413"</f>
        <v>9928B413</v>
      </c>
      <c r="H18915" s="1" t="str">
        <f>"평창간 29L5"</f>
        <v>평창간 29L5</v>
      </c>
      <c r="I18915" s="1" t="s">
        <v>8</v>
      </c>
      <c r="J18915" s="1" t="str">
        <f>"15/15"</f>
        <v>15/15</v>
      </c>
      <c r="K18915" s="1" t="str">
        <f t="shared" si="944"/>
        <v>2026-07-29 13:18:14</v>
      </c>
      <c r="L18915" s="1" t="str">
        <f>"2018-02-27 18:15:15"</f>
        <v>2018-02-27 18:15:15</v>
      </c>
      <c r="M18915" s="1" t="s">
        <v>2</v>
      </c>
      <c r="N18915" s="1" t="s">
        <v>38</v>
      </c>
      <c r="O18915" s="1" t="s">
        <v>46</v>
      </c>
    </row>
    <row r="18916" spans="2:15" x14ac:dyDescent="0.3">
      <c r="B18916" s="1" t="s">
        <v>13</v>
      </c>
      <c r="C18916" s="1" t="str">
        <f t="shared" si="945"/>
        <v>3차</v>
      </c>
      <c r="D18916" s="1" t="str">
        <f>"9928B44139"</f>
        <v>9928B44139</v>
      </c>
      <c r="E18916" s="1" t="s">
        <v>10</v>
      </c>
      <c r="F18916" s="1" t="str">
        <f>"10.11.41.250"</f>
        <v>10.11.41.250</v>
      </c>
      <c r="G18916" s="1" t="str">
        <f>"9928B441"</f>
        <v>9928B441</v>
      </c>
      <c r="H18916" s="1" t="str">
        <f>"평창간 29L9L1"</f>
        <v>평창간 29L9L1</v>
      </c>
      <c r="I18916" s="1" t="s">
        <v>8</v>
      </c>
      <c r="J18916" s="1" t="str">
        <f>"12/12"</f>
        <v>12/12</v>
      </c>
      <c r="K18916" s="1" t="str">
        <f t="shared" si="944"/>
        <v>2026-07-29 13:18:14</v>
      </c>
      <c r="L18916" s="1" t="str">
        <f>"2018-05-17 17:54:58"</f>
        <v>2018-05-17 17:54:58</v>
      </c>
      <c r="M18916" s="1" t="s">
        <v>2</v>
      </c>
      <c r="N18916" s="1" t="s">
        <v>38</v>
      </c>
      <c r="O18916" s="1" t="s">
        <v>46</v>
      </c>
    </row>
    <row r="18917" spans="2:15" x14ac:dyDescent="0.3">
      <c r="B18917" s="1" t="s">
        <v>13</v>
      </c>
      <c r="C18917" s="1" t="str">
        <f t="shared" si="945"/>
        <v>3차</v>
      </c>
      <c r="D18917" s="1" t="str">
        <f>"9928B45239"</f>
        <v>9928B45239</v>
      </c>
      <c r="E18917" s="1" t="s">
        <v>10</v>
      </c>
      <c r="F18917" s="1" t="str">
        <f>"10.11.23.10"</f>
        <v>10.11.23.10</v>
      </c>
      <c r="G18917" s="1" t="str">
        <f>"9928B452"</f>
        <v>9928B452</v>
      </c>
      <c r="H18917" s="1" t="str">
        <f>"평창간 29L9L3"</f>
        <v>평창간 29L9L3</v>
      </c>
      <c r="I18917" s="1" t="s">
        <v>8</v>
      </c>
      <c r="J18917" s="1" t="str">
        <f>"7/7"</f>
        <v>7/7</v>
      </c>
      <c r="K18917" s="1" t="str">
        <f t="shared" si="944"/>
        <v>2026-07-29 13:18:14</v>
      </c>
      <c r="L18917" s="1" t="str">
        <f>"2018-02-27 18:04:59"</f>
        <v>2018-02-27 18:04:59</v>
      </c>
      <c r="M18917" s="1" t="s">
        <v>2</v>
      </c>
      <c r="N18917" s="1" t="s">
        <v>38</v>
      </c>
      <c r="O18917" s="1" t="s">
        <v>46</v>
      </c>
    </row>
    <row r="18918" spans="2:15" x14ac:dyDescent="0.3">
      <c r="B18918" s="1" t="s">
        <v>13</v>
      </c>
      <c r="C18918" s="1" t="str">
        <f t="shared" si="945"/>
        <v>3차</v>
      </c>
      <c r="D18918" s="1" t="str">
        <f>"9928B46139"</f>
        <v>9928B46139</v>
      </c>
      <c r="E18918" s="1" t="s">
        <v>10</v>
      </c>
      <c r="F18918" s="1" t="str">
        <f>"10.11.23.18"</f>
        <v>10.11.23.18</v>
      </c>
      <c r="G18918" s="1" t="str">
        <f>"9928B461"</f>
        <v>9928B461</v>
      </c>
      <c r="H18918" s="1" t="str">
        <f>"평창간 29L9L4"</f>
        <v>평창간 29L9L4</v>
      </c>
      <c r="I18918" s="1" t="s">
        <v>8</v>
      </c>
      <c r="J18918" s="1" t="str">
        <f>"17/17"</f>
        <v>17/17</v>
      </c>
      <c r="K18918" s="1" t="str">
        <f t="shared" si="944"/>
        <v>2026-07-29 13:18:14</v>
      </c>
      <c r="L18918" s="1" t="str">
        <f>"2018-03-09 11:23:11"</f>
        <v>2018-03-09 11:23:11</v>
      </c>
      <c r="M18918" s="1" t="s">
        <v>2</v>
      </c>
      <c r="N18918" s="1" t="s">
        <v>38</v>
      </c>
      <c r="O18918" s="1" t="s">
        <v>46</v>
      </c>
    </row>
    <row r="18919" spans="2:15" x14ac:dyDescent="0.3">
      <c r="B18919" s="1" t="s">
        <v>13</v>
      </c>
      <c r="C18919" s="1" t="str">
        <f t="shared" si="945"/>
        <v>3차</v>
      </c>
      <c r="D18919" s="1" t="str">
        <f>"9928B49239"</f>
        <v>9928B49239</v>
      </c>
      <c r="E18919" s="1" t="s">
        <v>10</v>
      </c>
      <c r="F18919" s="1" t="str">
        <f>"10.11.39.194"</f>
        <v>10.11.39.194</v>
      </c>
      <c r="G18919" s="1" t="str">
        <f>"9928B492"</f>
        <v>9928B492</v>
      </c>
      <c r="H18919" s="1" t="str">
        <f>"청운간 154"</f>
        <v>청운간 154</v>
      </c>
      <c r="I18919" s="1" t="s">
        <v>8</v>
      </c>
      <c r="J18919" s="1" t="str">
        <f>"3/3"</f>
        <v>3/3</v>
      </c>
      <c r="K18919" s="1" t="str">
        <f t="shared" si="944"/>
        <v>2026-07-29 13:18:14</v>
      </c>
      <c r="L18919" s="1" t="str">
        <f>"2018-01-10 17:05:29"</f>
        <v>2018-01-10 17:05:29</v>
      </c>
      <c r="M18919" s="1" t="s">
        <v>2</v>
      </c>
      <c r="N18919" s="1" t="s">
        <v>38</v>
      </c>
      <c r="O18919" s="1" t="s">
        <v>46</v>
      </c>
    </row>
    <row r="18920" spans="2:15" x14ac:dyDescent="0.3">
      <c r="B18920" s="1" t="s">
        <v>13</v>
      </c>
      <c r="C18920" s="1" t="str">
        <f t="shared" si="945"/>
        <v>3차</v>
      </c>
      <c r="D18920" s="1" t="str">
        <f>"9928B56139"</f>
        <v>9928B56139</v>
      </c>
      <c r="E18920" s="1" t="s">
        <v>10</v>
      </c>
      <c r="F18920" s="1" t="str">
        <f>"10.11.41.226"</f>
        <v>10.11.41.226</v>
      </c>
      <c r="G18920" s="1" t="str">
        <f>"9928B561"</f>
        <v>9928B561</v>
      </c>
      <c r="H18920" s="1" t="str">
        <f>"평창간 29L18"</f>
        <v>평창간 29L18</v>
      </c>
      <c r="I18920" s="1" t="s">
        <v>8</v>
      </c>
      <c r="J18920" s="1" t="str">
        <f>"10/10"</f>
        <v>10/10</v>
      </c>
      <c r="K18920" s="1" t="str">
        <f t="shared" si="944"/>
        <v>2026-07-29 13:18:14</v>
      </c>
      <c r="L18920" s="1" t="str">
        <f>"2018-02-24 17:20:58"</f>
        <v>2018-02-24 17:20:58</v>
      </c>
      <c r="M18920" s="1" t="s">
        <v>2</v>
      </c>
      <c r="N18920" s="1" t="s">
        <v>38</v>
      </c>
      <c r="O18920" s="1" t="s">
        <v>46</v>
      </c>
    </row>
    <row r="18921" spans="2:15" x14ac:dyDescent="0.3">
      <c r="B18921" s="1" t="s">
        <v>13</v>
      </c>
      <c r="C18921" s="1" t="str">
        <f t="shared" si="945"/>
        <v>3차</v>
      </c>
      <c r="D18921" s="1" t="str">
        <f>"9928B60139"</f>
        <v>9928B60139</v>
      </c>
      <c r="E18921" s="1" t="s">
        <v>10</v>
      </c>
      <c r="F18921" s="1" t="str">
        <f>"10.11.22.202"</f>
        <v>10.11.22.202</v>
      </c>
      <c r="G18921" s="1" t="str">
        <f>"9928B601"</f>
        <v>9928B601</v>
      </c>
      <c r="H18921" s="1" t="str">
        <f>"평창간 29L12R3R1"</f>
        <v>평창간 29L12R3R1</v>
      </c>
      <c r="I18921" s="1" t="s">
        <v>8</v>
      </c>
      <c r="J18921" s="1" t="str">
        <f>"11/11"</f>
        <v>11/11</v>
      </c>
      <c r="K18921" s="1" t="str">
        <f t="shared" si="944"/>
        <v>2026-07-29 13:18:14</v>
      </c>
      <c r="L18921" s="1" t="str">
        <f>"2018-03-10 14:26:26"</f>
        <v>2018-03-10 14:26:26</v>
      </c>
      <c r="M18921" s="1" t="s">
        <v>2</v>
      </c>
      <c r="N18921" s="1" t="s">
        <v>38</v>
      </c>
      <c r="O18921" s="1" t="s">
        <v>46</v>
      </c>
    </row>
    <row r="18922" spans="2:15" x14ac:dyDescent="0.3">
      <c r="B18922" s="1" t="s">
        <v>13</v>
      </c>
      <c r="C18922" s="1" t="str">
        <f t="shared" si="945"/>
        <v>3차</v>
      </c>
      <c r="D18922" s="1" t="str">
        <f>"9928B62139"</f>
        <v>9928B62139</v>
      </c>
      <c r="E18922" s="1" t="s">
        <v>10</v>
      </c>
      <c r="F18922" s="1" t="str">
        <f>"10.11.43.170"</f>
        <v>10.11.43.170</v>
      </c>
      <c r="G18922" s="1" t="str">
        <f>"9928B621"</f>
        <v>9928B621</v>
      </c>
      <c r="H18922" s="1" t="str">
        <f>"평창간 29L12R1"</f>
        <v>평창간 29L12R1</v>
      </c>
      <c r="I18922" s="1" t="s">
        <v>8</v>
      </c>
      <c r="J18922" s="1" t="str">
        <f>"7/8"</f>
        <v>7/8</v>
      </c>
      <c r="K18922" s="1" t="str">
        <f t="shared" si="944"/>
        <v>2026-07-29 13:18:14</v>
      </c>
      <c r="L18922" s="1" t="str">
        <f>"2018-03-10 14:58:11"</f>
        <v>2018-03-10 14:58:11</v>
      </c>
      <c r="M18922" s="1" t="s">
        <v>2</v>
      </c>
      <c r="N18922" s="1" t="s">
        <v>38</v>
      </c>
      <c r="O18922" s="1" t="s">
        <v>46</v>
      </c>
    </row>
    <row r="18923" spans="2:15" x14ac:dyDescent="0.3">
      <c r="B18923" s="1" t="s">
        <v>13</v>
      </c>
      <c r="C18923" s="1" t="str">
        <f t="shared" si="945"/>
        <v>3차</v>
      </c>
      <c r="D18923" s="1" t="str">
        <f>"9928B65139"</f>
        <v>9928B65139</v>
      </c>
      <c r="E18923" s="1" t="s">
        <v>10</v>
      </c>
      <c r="F18923" s="1" t="str">
        <f>"10.11.41.218"</f>
        <v>10.11.41.218</v>
      </c>
      <c r="G18923" s="1" t="str">
        <f>"9928B651"</f>
        <v>9928B651</v>
      </c>
      <c r="H18923" s="1" t="str">
        <f>"평창간 29L16"</f>
        <v>평창간 29L16</v>
      </c>
      <c r="I18923" s="1" t="s">
        <v>8</v>
      </c>
      <c r="J18923" s="1" t="str">
        <f>"11/11"</f>
        <v>11/11</v>
      </c>
      <c r="K18923" s="1" t="str">
        <f t="shared" si="944"/>
        <v>2026-07-29 13:18:14</v>
      </c>
      <c r="L18923" s="1" t="str">
        <f>"2018-02-24 17:47:58"</f>
        <v>2018-02-24 17:47:58</v>
      </c>
      <c r="M18923" s="1" t="s">
        <v>2</v>
      </c>
      <c r="N18923" s="1" t="s">
        <v>38</v>
      </c>
      <c r="O18923" s="1" t="s">
        <v>46</v>
      </c>
    </row>
    <row r="18924" spans="2:15" x14ac:dyDescent="0.3">
      <c r="B18924" s="1" t="s">
        <v>13</v>
      </c>
      <c r="C18924" s="1" t="str">
        <f t="shared" si="945"/>
        <v>3차</v>
      </c>
      <c r="D18924" s="1" t="str">
        <f>"9928B65239"</f>
        <v>9928B65239</v>
      </c>
      <c r="E18924" s="1" t="s">
        <v>10</v>
      </c>
      <c r="F18924" s="1" t="str">
        <f>"10.11.28.106"</f>
        <v>10.11.28.106</v>
      </c>
      <c r="G18924" s="1" t="str">
        <f>"9928B652"</f>
        <v>9928B652</v>
      </c>
      <c r="H18924" s="1" t="str">
        <f>"평창간 29L9L7"</f>
        <v>평창간 29L9L7</v>
      </c>
      <c r="I18924" s="1" t="s">
        <v>8</v>
      </c>
      <c r="J18924" s="1" t="str">
        <f>"9/9"</f>
        <v>9/9</v>
      </c>
      <c r="K18924" s="1" t="str">
        <f t="shared" si="944"/>
        <v>2026-07-29 13:18:14</v>
      </c>
      <c r="L18924" s="1" t="str">
        <f>"2017-12-07 17:08:48"</f>
        <v>2017-12-07 17:08:48</v>
      </c>
      <c r="M18924" s="1" t="s">
        <v>2</v>
      </c>
      <c r="N18924" s="1" t="s">
        <v>38</v>
      </c>
      <c r="O18924" s="1" t="s">
        <v>46</v>
      </c>
    </row>
    <row r="18925" spans="2:15" x14ac:dyDescent="0.3">
      <c r="B18925" s="1" t="s">
        <v>13</v>
      </c>
      <c r="C18925" s="1" t="str">
        <f t="shared" si="945"/>
        <v>3차</v>
      </c>
      <c r="D18925" s="1" t="str">
        <f>"9928B68239"</f>
        <v>9928B68239</v>
      </c>
      <c r="E18925" s="1" t="s">
        <v>10</v>
      </c>
      <c r="F18925" s="1" t="str">
        <f>"10.11.39.202"</f>
        <v>10.11.39.202</v>
      </c>
      <c r="G18925" s="1" t="str">
        <f>"9928B682"</f>
        <v>9928B682</v>
      </c>
      <c r="H18925" s="1" t="str">
        <f>"청운간 157"</f>
        <v>청운간 157</v>
      </c>
      <c r="I18925" s="1" t="s">
        <v>8</v>
      </c>
      <c r="J18925" s="1" t="str">
        <f>"7/7"</f>
        <v>7/7</v>
      </c>
      <c r="K18925" s="1" t="str">
        <f t="shared" si="944"/>
        <v>2026-07-29 13:18:14</v>
      </c>
      <c r="L18925" s="1" t="str">
        <f>"2018-05-17 17:48:29"</f>
        <v>2018-05-17 17:48:29</v>
      </c>
      <c r="M18925" s="1" t="s">
        <v>2</v>
      </c>
      <c r="N18925" s="1" t="s">
        <v>38</v>
      </c>
      <c r="O18925" s="1" t="s">
        <v>46</v>
      </c>
    </row>
    <row r="18926" spans="2:15" x14ac:dyDescent="0.3">
      <c r="B18926" s="1" t="s">
        <v>13</v>
      </c>
      <c r="C18926" s="1" t="str">
        <f t="shared" si="945"/>
        <v>3차</v>
      </c>
      <c r="D18926" s="1" t="str">
        <f>"9928B71139"</f>
        <v>9928B71139</v>
      </c>
      <c r="E18926" s="1" t="s">
        <v>10</v>
      </c>
      <c r="F18926" s="1" t="str">
        <f>"10.11.41.202"</f>
        <v>10.11.41.202</v>
      </c>
      <c r="G18926" s="1" t="str">
        <f>"9928B711"</f>
        <v>9928B711</v>
      </c>
      <c r="H18926" s="1" t="str">
        <f>"평창간 29L12R4"</f>
        <v>평창간 29L12R4</v>
      </c>
      <c r="I18926" s="1" t="s">
        <v>8</v>
      </c>
      <c r="J18926" s="1" t="str">
        <f>"8/8"</f>
        <v>8/8</v>
      </c>
      <c r="K18926" s="1" t="str">
        <f t="shared" si="944"/>
        <v>2026-07-29 13:18:14</v>
      </c>
      <c r="L18926" s="1" t="str">
        <f>"2018-03-10 14:32:32"</f>
        <v>2018-03-10 14:32:32</v>
      </c>
      <c r="M18926" s="1" t="s">
        <v>2</v>
      </c>
      <c r="N18926" s="1" t="s">
        <v>38</v>
      </c>
      <c r="O18926" s="1" t="s">
        <v>46</v>
      </c>
    </row>
    <row r="18927" spans="2:15" x14ac:dyDescent="0.3">
      <c r="B18927" s="1" t="s">
        <v>13</v>
      </c>
      <c r="C18927" s="1" t="str">
        <f t="shared" si="945"/>
        <v>3차</v>
      </c>
      <c r="D18927" s="1" t="str">
        <f>"9928B71239"</f>
        <v>9928B71239</v>
      </c>
      <c r="E18927" s="1" t="s">
        <v>10</v>
      </c>
      <c r="F18927" s="1" t="str">
        <f>"10.11.22.218"</f>
        <v>10.11.22.218</v>
      </c>
      <c r="G18927" s="1" t="str">
        <f>"9928B712"</f>
        <v>9928B712</v>
      </c>
      <c r="H18927" s="1" t="str">
        <f>"평창간 29L12R5"</f>
        <v>평창간 29L12R5</v>
      </c>
      <c r="I18927" s="1" t="s">
        <v>8</v>
      </c>
      <c r="J18927" s="1" t="str">
        <f>"7/7"</f>
        <v>7/7</v>
      </c>
      <c r="K18927" s="1" t="str">
        <f t="shared" si="944"/>
        <v>2026-07-29 13:18:14</v>
      </c>
      <c r="L18927" s="1" t="str">
        <f>"2018-03-10 14:39:44"</f>
        <v>2018-03-10 14:39:44</v>
      </c>
      <c r="M18927" s="1" t="s">
        <v>2</v>
      </c>
      <c r="N18927" s="1" t="s">
        <v>38</v>
      </c>
      <c r="O18927" s="1" t="s">
        <v>46</v>
      </c>
    </row>
    <row r="18928" spans="2:15" x14ac:dyDescent="0.3">
      <c r="B18928" s="1" t="s">
        <v>13</v>
      </c>
      <c r="C18928" s="1" t="str">
        <f t="shared" si="945"/>
        <v>3차</v>
      </c>
      <c r="D18928" s="1" t="str">
        <f>"9928B73139"</f>
        <v>9928B73139</v>
      </c>
      <c r="E18928" s="1" t="s">
        <v>10</v>
      </c>
      <c r="F18928" s="1" t="str">
        <f>"10.11.22.226"</f>
        <v>10.11.22.226</v>
      </c>
      <c r="G18928" s="1" t="str">
        <f>"9928B731"</f>
        <v>9928B731</v>
      </c>
      <c r="H18928" s="1" t="str">
        <f>"평창간 29L13"</f>
        <v>평창간 29L13</v>
      </c>
      <c r="I18928" s="1" t="s">
        <v>8</v>
      </c>
      <c r="J18928" s="1" t="str">
        <f>"10/11"</f>
        <v>10/11</v>
      </c>
      <c r="K18928" s="1" t="str">
        <f t="shared" si="944"/>
        <v>2026-07-29 13:18:14</v>
      </c>
      <c r="L18928" s="1" t="str">
        <f>"2018-02-27 17:40:59"</f>
        <v>2018-02-27 17:40:59</v>
      </c>
      <c r="M18928" s="1" t="s">
        <v>2</v>
      </c>
      <c r="N18928" s="1" t="s">
        <v>38</v>
      </c>
      <c r="O18928" s="1" t="s">
        <v>46</v>
      </c>
    </row>
    <row r="18929" spans="2:15" x14ac:dyDescent="0.3">
      <c r="B18929" s="1" t="s">
        <v>13</v>
      </c>
      <c r="C18929" s="1" t="str">
        <f t="shared" si="945"/>
        <v>3차</v>
      </c>
      <c r="D18929" s="1" t="str">
        <f>"9928B74139"</f>
        <v>9928B74139</v>
      </c>
      <c r="E18929" s="1" t="s">
        <v>10</v>
      </c>
      <c r="F18929" s="1" t="str">
        <f>"10.11.41.210"</f>
        <v>10.11.41.210</v>
      </c>
      <c r="G18929" s="1" t="str">
        <f>"9928B741"</f>
        <v>9928B741</v>
      </c>
      <c r="H18929" s="1" t="str">
        <f>"평창간 29L14"</f>
        <v>평창간 29L14</v>
      </c>
      <c r="I18929" s="1" t="s">
        <v>8</v>
      </c>
      <c r="J18929" s="1" t="str">
        <f>"9/9"</f>
        <v>9/9</v>
      </c>
      <c r="K18929" s="1" t="str">
        <f t="shared" si="944"/>
        <v>2026-07-29 13:18:14</v>
      </c>
      <c r="L18929" s="1" t="str">
        <f>"2018-02-27 17:19:15"</f>
        <v>2018-02-27 17:19:15</v>
      </c>
      <c r="M18929" s="1" t="s">
        <v>2</v>
      </c>
      <c r="N18929" s="1" t="s">
        <v>38</v>
      </c>
      <c r="O18929" s="1" t="s">
        <v>46</v>
      </c>
    </row>
    <row r="18930" spans="2:15" x14ac:dyDescent="0.3">
      <c r="B18930" s="1" t="s">
        <v>13</v>
      </c>
      <c r="C18930" s="1" t="str">
        <f>"4차"</f>
        <v>4차</v>
      </c>
      <c r="D18930" s="1" t="str">
        <f>"9928B75239"</f>
        <v>9928B75239</v>
      </c>
      <c r="E18930" s="1" t="s">
        <v>10</v>
      </c>
      <c r="F18930" s="1" t="str">
        <f>"10.11.22.242"</f>
        <v>10.11.22.242</v>
      </c>
      <c r="G18930" s="1" t="str">
        <f>"9928B752"</f>
        <v>9928B752</v>
      </c>
      <c r="H18930" s="1" t="str">
        <f>"평창간 29L15"</f>
        <v>평창간 29L15</v>
      </c>
      <c r="I18930" s="1" t="s">
        <v>8</v>
      </c>
      <c r="J18930" s="1" t="str">
        <f>"2/2"</f>
        <v>2/2</v>
      </c>
      <c r="K18930" s="1" t="str">
        <f t="shared" si="944"/>
        <v>2026-07-29 13:18:14</v>
      </c>
      <c r="L18930" s="1" t="str">
        <f>"2018-02-24 17:52:44"</f>
        <v>2018-02-24 17:52:44</v>
      </c>
      <c r="M18930" s="1" t="s">
        <v>2</v>
      </c>
      <c r="N18930" s="1" t="s">
        <v>38</v>
      </c>
      <c r="O18930" s="1" t="s">
        <v>46</v>
      </c>
    </row>
    <row r="18931" spans="2:15" x14ac:dyDescent="0.3">
      <c r="B18931" s="1" t="s">
        <v>13</v>
      </c>
      <c r="C18931" s="1" t="str">
        <f>"4차"</f>
        <v>4차</v>
      </c>
      <c r="D18931" s="1" t="str">
        <f>"9928B81139"</f>
        <v>9928B81139</v>
      </c>
      <c r="E18931" s="1" t="s">
        <v>10</v>
      </c>
      <c r="F18931" s="1" t="str">
        <f>"10.11.23.26"</f>
        <v>10.11.23.26</v>
      </c>
      <c r="G18931" s="1" t="str">
        <f>"9928B811"</f>
        <v>9928B811</v>
      </c>
      <c r="H18931" s="1" t="str">
        <f>"평창간 33L1"</f>
        <v>평창간 33L1</v>
      </c>
      <c r="I18931" s="1" t="s">
        <v>8</v>
      </c>
      <c r="J18931" s="1" t="str">
        <f>"9/9"</f>
        <v>9/9</v>
      </c>
      <c r="K18931" s="1" t="str">
        <f t="shared" si="944"/>
        <v>2026-07-29 13:18:14</v>
      </c>
      <c r="L18931" s="1" t="str">
        <f>"2018-02-27 17:08:59"</f>
        <v>2018-02-27 17:08:59</v>
      </c>
      <c r="M18931" s="1" t="s">
        <v>2</v>
      </c>
      <c r="N18931" s="1" t="s">
        <v>38</v>
      </c>
      <c r="O18931" s="1" t="s">
        <v>46</v>
      </c>
    </row>
    <row r="18932" spans="2:15" x14ac:dyDescent="0.3">
      <c r="B18932" s="1" t="s">
        <v>13</v>
      </c>
      <c r="C18932" s="1" t="str">
        <f>"3차"</f>
        <v>3차</v>
      </c>
      <c r="D18932" s="1" t="str">
        <f>"9928B87139"</f>
        <v>9928B87139</v>
      </c>
      <c r="E18932" s="1" t="s">
        <v>10</v>
      </c>
      <c r="F18932" s="1" t="str">
        <f>"10.11.22.122"</f>
        <v>10.11.22.122</v>
      </c>
      <c r="G18932" s="1" t="str">
        <f>"9928B871"</f>
        <v>9928B871</v>
      </c>
      <c r="H18932" s="1" t="str">
        <f>"평창간 44"</f>
        <v>평창간 44</v>
      </c>
      <c r="I18932" s="1" t="s">
        <v>8</v>
      </c>
      <c r="J18932" s="1" t="str">
        <f>"10/10"</f>
        <v>10/10</v>
      </c>
      <c r="K18932" s="1" t="str">
        <f t="shared" si="944"/>
        <v>2026-07-29 13:18:14</v>
      </c>
      <c r="L18932" s="1" t="str">
        <f>"2018-02-27 16:53:44"</f>
        <v>2018-02-27 16:53:44</v>
      </c>
      <c r="M18932" s="1" t="s">
        <v>2</v>
      </c>
      <c r="N18932" s="1" t="s">
        <v>38</v>
      </c>
      <c r="O18932" s="1" t="s">
        <v>46</v>
      </c>
    </row>
    <row r="18933" spans="2:15" x14ac:dyDescent="0.3">
      <c r="B18933" s="1" t="s">
        <v>13</v>
      </c>
      <c r="C18933" s="1" t="str">
        <f>"3차"</f>
        <v>3차</v>
      </c>
      <c r="D18933" s="1" t="str">
        <f>"9928B93339"</f>
        <v>9928B93339</v>
      </c>
      <c r="E18933" s="1" t="s">
        <v>10</v>
      </c>
      <c r="F18933" s="1" t="str">
        <f>"10.11.42.2"</f>
        <v>10.11.42.2</v>
      </c>
      <c r="G18933" s="1" t="str">
        <f>"9928B933"</f>
        <v>9928B933</v>
      </c>
      <c r="H18933" s="1" t="str">
        <f>"평창간 33L3"</f>
        <v>평창간 33L3</v>
      </c>
      <c r="I18933" s="1" t="s">
        <v>8</v>
      </c>
      <c r="J18933" s="1" t="str">
        <f>"15/15"</f>
        <v>15/15</v>
      </c>
      <c r="K18933" s="1" t="str">
        <f t="shared" si="944"/>
        <v>2026-07-29 13:18:14</v>
      </c>
      <c r="L18933" s="1" t="str">
        <f>"2018-03-12 12:53:11"</f>
        <v>2018-03-12 12:53:11</v>
      </c>
      <c r="M18933" s="1" t="s">
        <v>2</v>
      </c>
      <c r="N18933" s="1" t="s">
        <v>38</v>
      </c>
      <c r="O18933" s="1" t="s">
        <v>46</v>
      </c>
    </row>
    <row r="18934" spans="2:15" x14ac:dyDescent="0.3">
      <c r="B18934" s="1" t="s">
        <v>13</v>
      </c>
      <c r="C18934" s="1" t="str">
        <f>"3차"</f>
        <v>3차</v>
      </c>
      <c r="D18934" s="1" t="str">
        <f>"9928B95239"</f>
        <v>9928B95239</v>
      </c>
      <c r="E18934" s="1" t="s">
        <v>10</v>
      </c>
      <c r="F18934" s="1" t="str">
        <f>"10.11.22.114"</f>
        <v>10.11.22.114</v>
      </c>
      <c r="G18934" s="1" t="str">
        <f>"9928B952"</f>
        <v>9928B952</v>
      </c>
      <c r="H18934" s="1" t="str">
        <f>"평창간 42"</f>
        <v>평창간 42</v>
      </c>
      <c r="I18934" s="1" t="s">
        <v>8</v>
      </c>
      <c r="J18934" s="1" t="str">
        <f>"6/6"</f>
        <v>6/6</v>
      </c>
      <c r="K18934" s="1" t="str">
        <f t="shared" si="944"/>
        <v>2026-07-29 13:18:14</v>
      </c>
      <c r="L18934" s="1" t="str">
        <f>"2018-02-27 15:57:43"</f>
        <v>2018-02-27 15:57:43</v>
      </c>
      <c r="M18934" s="1" t="s">
        <v>2</v>
      </c>
      <c r="N18934" s="1" t="s">
        <v>38</v>
      </c>
      <c r="O18934" s="1" t="s">
        <v>46</v>
      </c>
    </row>
    <row r="18935" spans="2:15" x14ac:dyDescent="0.3">
      <c r="B18935" s="1" t="s">
        <v>13</v>
      </c>
      <c r="C18935" s="1" t="str">
        <f>"3차"</f>
        <v>3차</v>
      </c>
      <c r="D18935" s="1" t="str">
        <f>"9928B98139"</f>
        <v>9928B98139</v>
      </c>
      <c r="E18935" s="1" t="s">
        <v>10</v>
      </c>
      <c r="F18935" s="1" t="str">
        <f>"10.11.23.66"</f>
        <v>10.11.23.66</v>
      </c>
      <c r="G18935" s="1" t="str">
        <f>"9928B981"</f>
        <v>9928B981</v>
      </c>
      <c r="H18935" s="1" t="str">
        <f>"평창간 47R3"</f>
        <v>평창간 47R3</v>
      </c>
      <c r="I18935" s="1" t="s">
        <v>8</v>
      </c>
      <c r="J18935" s="1" t="str">
        <f>"7/7"</f>
        <v>7/7</v>
      </c>
      <c r="K18935" s="1" t="str">
        <f t="shared" si="944"/>
        <v>2026-07-29 13:18:14</v>
      </c>
      <c r="L18935" s="1" t="str">
        <f>"2018-02-27 16:33:14"</f>
        <v>2018-02-27 16:33:14</v>
      </c>
      <c r="M18935" s="1" t="s">
        <v>2</v>
      </c>
      <c r="N18935" s="1" t="s">
        <v>38</v>
      </c>
      <c r="O18935" s="1" t="s">
        <v>46</v>
      </c>
    </row>
    <row r="18936" spans="2:15" x14ac:dyDescent="0.3">
      <c r="B18936" s="1" t="s">
        <v>13</v>
      </c>
      <c r="C18936" s="1" t="str">
        <f>"4차"</f>
        <v>4차</v>
      </c>
      <c r="D18936" s="1" t="str">
        <f>"9928C00339"</f>
        <v>9928C00339</v>
      </c>
      <c r="E18936" s="1" t="s">
        <v>10</v>
      </c>
      <c r="F18936" s="1" t="str">
        <f>"10.11.28.186"</f>
        <v>10.11.28.186</v>
      </c>
      <c r="G18936" s="1" t="str">
        <f>"9928C003"</f>
        <v>9928C003</v>
      </c>
      <c r="H18936" s="1" t="str">
        <f>"평창간 6L5R2R1"</f>
        <v>평창간 6L5R2R1</v>
      </c>
      <c r="I18936" s="1" t="s">
        <v>8</v>
      </c>
      <c r="J18936" s="1" t="str">
        <f>"50/50"</f>
        <v>50/50</v>
      </c>
      <c r="K18936" s="1" t="str">
        <f t="shared" si="944"/>
        <v>2026-07-29 13:18:14</v>
      </c>
      <c r="L18936" s="1" t="str">
        <f>"2017-12-07 17:04:17"</f>
        <v>2017-12-07 17:04:17</v>
      </c>
      <c r="M18936" s="1" t="s">
        <v>2</v>
      </c>
      <c r="N18936" s="1" t="s">
        <v>38</v>
      </c>
      <c r="O18936" s="1" t="s">
        <v>46</v>
      </c>
    </row>
    <row r="18937" spans="2:15" x14ac:dyDescent="0.3">
      <c r="B18937" s="1" t="s">
        <v>13</v>
      </c>
      <c r="C18937" s="1" t="str">
        <f t="shared" ref="C18937:C18948" si="946">"3차"</f>
        <v>3차</v>
      </c>
      <c r="D18937" s="1" t="str">
        <f>"9928C02139"</f>
        <v>9928C02139</v>
      </c>
      <c r="E18937" s="1" t="s">
        <v>10</v>
      </c>
      <c r="F18937" s="1" t="str">
        <f>"10.11.42.194"</f>
        <v>10.11.42.194</v>
      </c>
      <c r="G18937" s="1" t="str">
        <f>"9928C021"</f>
        <v>9928C021</v>
      </c>
      <c r="H18937" s="1" t="str">
        <f>"평창간 6L5R3"</f>
        <v>평창간 6L5R3</v>
      </c>
      <c r="I18937" s="1" t="s">
        <v>8</v>
      </c>
      <c r="J18937" s="1" t="str">
        <f>"13/13"</f>
        <v>13/13</v>
      </c>
      <c r="K18937" s="1" t="str">
        <f t="shared" si="944"/>
        <v>2026-07-29 13:18:14</v>
      </c>
      <c r="L18937" s="1" t="str">
        <f>"2018-04-24 18:25:28"</f>
        <v>2018-04-24 18:25:28</v>
      </c>
      <c r="M18937" s="1" t="s">
        <v>2</v>
      </c>
      <c r="N18937" s="1" t="s">
        <v>38</v>
      </c>
      <c r="O18937" s="1" t="s">
        <v>46</v>
      </c>
    </row>
    <row r="18938" spans="2:15" x14ac:dyDescent="0.3">
      <c r="B18938" s="1" t="s">
        <v>13</v>
      </c>
      <c r="C18938" s="1" t="str">
        <f t="shared" si="946"/>
        <v>3차</v>
      </c>
      <c r="D18938" s="1" t="str">
        <f>"9928C06139"</f>
        <v>9928C06139</v>
      </c>
      <c r="E18938" s="1" t="s">
        <v>10</v>
      </c>
      <c r="F18938" s="1" t="str">
        <f>"10.11.23.146"</f>
        <v>10.11.23.146</v>
      </c>
      <c r="G18938" s="1" t="str">
        <f>"9928C061"</f>
        <v>9928C061</v>
      </c>
      <c r="H18938" s="1" t="str">
        <f>"평창간 6L14R6R3"</f>
        <v>평창간 6L14R6R3</v>
      </c>
      <c r="I18938" s="1" t="s">
        <v>8</v>
      </c>
      <c r="J18938" s="1" t="str">
        <f>"38/38"</f>
        <v>38/38</v>
      </c>
      <c r="K18938" s="1" t="str">
        <f t="shared" si="944"/>
        <v>2026-07-29 13:18:14</v>
      </c>
      <c r="L18938" s="1" t="str">
        <f>"2018-03-09 14:22:56"</f>
        <v>2018-03-09 14:22:56</v>
      </c>
      <c r="M18938" s="1" t="s">
        <v>2</v>
      </c>
      <c r="N18938" s="1" t="s">
        <v>38</v>
      </c>
      <c r="O18938" s="1" t="s">
        <v>46</v>
      </c>
    </row>
    <row r="18939" spans="2:15" x14ac:dyDescent="0.3">
      <c r="B18939" s="1" t="s">
        <v>13</v>
      </c>
      <c r="C18939" s="1" t="str">
        <f t="shared" si="946"/>
        <v>3차</v>
      </c>
      <c r="D18939" s="1" t="str">
        <f>"9928C08339"</f>
        <v>9928C08339</v>
      </c>
      <c r="E18939" s="1" t="s">
        <v>10</v>
      </c>
      <c r="F18939" s="1" t="str">
        <f>"10.11.28.162"</f>
        <v>10.11.28.162</v>
      </c>
      <c r="G18939" s="1" t="str">
        <f>"9928C083"</f>
        <v>9928C083</v>
      </c>
      <c r="H18939" s="1" t="str">
        <f>"평창간 6L14R3"</f>
        <v>평창간 6L14R3</v>
      </c>
      <c r="I18939" s="1" t="s">
        <v>8</v>
      </c>
      <c r="J18939" s="1" t="str">
        <f>"21/23"</f>
        <v>21/23</v>
      </c>
      <c r="K18939" s="1" t="str">
        <f t="shared" si="944"/>
        <v>2026-07-29 13:18:14</v>
      </c>
      <c r="L18939" s="1" t="str">
        <f>"2018-05-17 18:06:43"</f>
        <v>2018-05-17 18:06:43</v>
      </c>
      <c r="M18939" s="1" t="s">
        <v>2</v>
      </c>
      <c r="N18939" s="1" t="s">
        <v>38</v>
      </c>
      <c r="O18939" s="1" t="s">
        <v>46</v>
      </c>
    </row>
    <row r="18940" spans="2:15" x14ac:dyDescent="0.3">
      <c r="B18940" s="1" t="s">
        <v>13</v>
      </c>
      <c r="C18940" s="1" t="str">
        <f t="shared" si="946"/>
        <v>3차</v>
      </c>
      <c r="D18940" s="1" t="str">
        <f>"9928C10139"</f>
        <v>9928C10139</v>
      </c>
      <c r="E18940" s="1" t="s">
        <v>10</v>
      </c>
      <c r="F18940" s="1" t="str">
        <f>"10.11.28.26"</f>
        <v>10.11.28.26</v>
      </c>
      <c r="G18940" s="1" t="str">
        <f>"9928C101"</f>
        <v>9928C101</v>
      </c>
      <c r="H18940" s="1" t="str">
        <f>"평창간 10L2L2"</f>
        <v>평창간 10L2L2</v>
      </c>
      <c r="I18940" s="1" t="s">
        <v>8</v>
      </c>
      <c r="J18940" s="1" t="str">
        <f>"19/19"</f>
        <v>19/19</v>
      </c>
      <c r="K18940" s="1" t="str">
        <f t="shared" si="944"/>
        <v>2026-07-29 13:18:14</v>
      </c>
      <c r="L18940" s="1" t="str">
        <f>"2017-12-07 17:06:47"</f>
        <v>2017-12-07 17:06:47</v>
      </c>
      <c r="M18940" s="1" t="s">
        <v>2</v>
      </c>
      <c r="N18940" s="1" t="s">
        <v>38</v>
      </c>
      <c r="O18940" s="1" t="s">
        <v>46</v>
      </c>
    </row>
    <row r="18941" spans="2:15" x14ac:dyDescent="0.3">
      <c r="B18941" s="1" t="s">
        <v>13</v>
      </c>
      <c r="C18941" s="1" t="str">
        <f t="shared" si="946"/>
        <v>3차</v>
      </c>
      <c r="D18941" s="1" t="str">
        <f>"9928C13139"</f>
        <v>9928C13139</v>
      </c>
      <c r="E18941" s="1" t="s">
        <v>10</v>
      </c>
      <c r="F18941" s="1" t="str">
        <f>"10.11.23.202"</f>
        <v>10.11.23.202</v>
      </c>
      <c r="G18941" s="1" t="str">
        <f>"9928C131"</f>
        <v>9928C131</v>
      </c>
      <c r="H18941" s="1" t="str">
        <f>"평창간 6L5R4"</f>
        <v>평창간 6L5R4</v>
      </c>
      <c r="I18941" s="1" t="s">
        <v>8</v>
      </c>
      <c r="J18941" s="1" t="str">
        <f>"37/37"</f>
        <v>37/37</v>
      </c>
      <c r="K18941" s="1" t="str">
        <f t="shared" si="944"/>
        <v>2026-07-29 13:18:14</v>
      </c>
      <c r="L18941" s="1" t="str">
        <f>"2018-04-24 18:12:58"</f>
        <v>2018-04-24 18:12:58</v>
      </c>
      <c r="M18941" s="1" t="s">
        <v>2</v>
      </c>
      <c r="N18941" s="1" t="s">
        <v>38</v>
      </c>
      <c r="O18941" s="1" t="s">
        <v>46</v>
      </c>
    </row>
    <row r="18942" spans="2:15" x14ac:dyDescent="0.3">
      <c r="B18942" s="1" t="s">
        <v>13</v>
      </c>
      <c r="C18942" s="1" t="str">
        <f t="shared" si="946"/>
        <v>3차</v>
      </c>
      <c r="D18942" s="1" t="str">
        <f>"9928C13239"</f>
        <v>9928C13239</v>
      </c>
      <c r="E18942" s="1" t="s">
        <v>10</v>
      </c>
      <c r="F18942" s="1" t="str">
        <f>"10.11.42.202"</f>
        <v>10.11.42.202</v>
      </c>
      <c r="G18942" s="1" t="str">
        <f>"9928C132"</f>
        <v>9928C132</v>
      </c>
      <c r="H18942" s="1" t="str">
        <f>"평창간 6L5R5"</f>
        <v>평창간 6L5R5</v>
      </c>
      <c r="I18942" s="1" t="s">
        <v>8</v>
      </c>
      <c r="J18942" s="1" t="str">
        <f>"13/13"</f>
        <v>13/13</v>
      </c>
      <c r="K18942" s="1" t="str">
        <f t="shared" si="944"/>
        <v>2026-07-29 13:18:14</v>
      </c>
      <c r="L18942" s="1" t="str">
        <f>"2018-04-24 18:02:58"</f>
        <v>2018-04-24 18:02:58</v>
      </c>
      <c r="M18942" s="1" t="s">
        <v>2</v>
      </c>
      <c r="N18942" s="1" t="s">
        <v>38</v>
      </c>
      <c r="O18942" s="1" t="s">
        <v>46</v>
      </c>
    </row>
    <row r="18943" spans="2:15" x14ac:dyDescent="0.3">
      <c r="B18943" s="1" t="s">
        <v>13</v>
      </c>
      <c r="C18943" s="1" t="str">
        <f t="shared" si="946"/>
        <v>3차</v>
      </c>
      <c r="D18943" s="1" t="str">
        <f>"9928C14130"</f>
        <v>9928C14130</v>
      </c>
      <c r="E18943" s="1" t="s">
        <v>10</v>
      </c>
      <c r="F18943" s="1" t="str">
        <f>"10.11.23.210"</f>
        <v>10.11.23.210</v>
      </c>
      <c r="G18943" s="1" t="str">
        <f>"9928C141"</f>
        <v>9928C141</v>
      </c>
      <c r="H18943" s="1" t="str">
        <f>"평창간 6L5R6"</f>
        <v>평창간 6L5R6</v>
      </c>
      <c r="I18943" s="1" t="s">
        <v>8</v>
      </c>
      <c r="J18943" s="1" t="str">
        <f>"35/35"</f>
        <v>35/35</v>
      </c>
      <c r="K18943" s="1" t="str">
        <f t="shared" si="944"/>
        <v>2026-07-29 13:18:14</v>
      </c>
      <c r="L18943" s="1" t="str">
        <f>"2018-04-24 17:50:29"</f>
        <v>2018-04-24 17:50:29</v>
      </c>
      <c r="M18943" s="1" t="s">
        <v>2</v>
      </c>
      <c r="N18943" s="1" t="s">
        <v>38</v>
      </c>
      <c r="O18943" s="1" t="s">
        <v>46</v>
      </c>
    </row>
    <row r="18944" spans="2:15" x14ac:dyDescent="0.3">
      <c r="B18944" s="1" t="s">
        <v>13</v>
      </c>
      <c r="C18944" s="1" t="str">
        <f t="shared" si="946"/>
        <v>3차</v>
      </c>
      <c r="D18944" s="1" t="str">
        <f>"9928C14231"</f>
        <v>9928C14231</v>
      </c>
      <c r="E18944" s="1" t="s">
        <v>10</v>
      </c>
      <c r="F18944" s="1" t="str">
        <f>"10.11.23.211"</f>
        <v>10.11.23.211</v>
      </c>
      <c r="G18944" s="1" t="str">
        <f>"9928C142"</f>
        <v>9928C142</v>
      </c>
      <c r="H18944" s="1" t="str">
        <f>"평창간 6L5R7"</f>
        <v>평창간 6L5R7</v>
      </c>
      <c r="I18944" s="1" t="s">
        <v>8</v>
      </c>
      <c r="J18944" s="1" t="str">
        <f>"39/39"</f>
        <v>39/39</v>
      </c>
      <c r="K18944" s="1" t="str">
        <f t="shared" si="944"/>
        <v>2026-07-29 13:18:14</v>
      </c>
      <c r="L18944" s="1" t="str">
        <f>"2018-04-24 17:57:44"</f>
        <v>2018-04-24 17:57:44</v>
      </c>
      <c r="M18944" s="1" t="s">
        <v>2</v>
      </c>
      <c r="N18944" s="1" t="s">
        <v>38</v>
      </c>
      <c r="O18944" s="1" t="s">
        <v>46</v>
      </c>
    </row>
    <row r="18945" spans="2:15" x14ac:dyDescent="0.3">
      <c r="B18945" s="1" t="s">
        <v>13</v>
      </c>
      <c r="C18945" s="1" t="str">
        <f t="shared" si="946"/>
        <v>3차</v>
      </c>
      <c r="D18945" s="1" t="str">
        <f>"9928C17339"</f>
        <v>9928C17339</v>
      </c>
      <c r="E18945" s="1" t="s">
        <v>10</v>
      </c>
      <c r="F18945" s="1" t="str">
        <f>"10.11.42.122"</f>
        <v>10.11.42.122</v>
      </c>
      <c r="G18945" s="1" t="str">
        <f>"9928C173"</f>
        <v>9928C173</v>
      </c>
      <c r="H18945" s="1" t="str">
        <f>"평창간 6L14R6R2"</f>
        <v>평창간 6L14R6R2</v>
      </c>
      <c r="I18945" s="1" t="s">
        <v>8</v>
      </c>
      <c r="J18945" s="1" t="str">
        <f>"18/18"</f>
        <v>18/18</v>
      </c>
      <c r="K18945" s="1" t="str">
        <f t="shared" si="944"/>
        <v>2026-07-29 13:18:14</v>
      </c>
      <c r="L18945" s="1" t="str">
        <f>"2018-03-09 14:07:41"</f>
        <v>2018-03-09 14:07:41</v>
      </c>
      <c r="M18945" s="1" t="s">
        <v>2</v>
      </c>
      <c r="N18945" s="1" t="s">
        <v>38</v>
      </c>
      <c r="O18945" s="1" t="s">
        <v>46</v>
      </c>
    </row>
    <row r="18946" spans="2:15" x14ac:dyDescent="0.3">
      <c r="B18946" s="1" t="s">
        <v>13</v>
      </c>
      <c r="C18946" s="1" t="str">
        <f t="shared" si="946"/>
        <v>3차</v>
      </c>
      <c r="D18946" s="1" t="str">
        <f>"9928C19230"</f>
        <v>9928C19230</v>
      </c>
      <c r="E18946" s="1" t="s">
        <v>10</v>
      </c>
      <c r="F18946" s="1" t="str">
        <f>"10.11.23.162"</f>
        <v>10.11.23.162</v>
      </c>
      <c r="G18946" s="1" t="str">
        <f>"9928C192"</f>
        <v>9928C192</v>
      </c>
      <c r="H18946" s="1" t="str">
        <f>"평창간 6L14R8"</f>
        <v>평창간 6L14R8</v>
      </c>
      <c r="I18946" s="1" t="s">
        <v>8</v>
      </c>
      <c r="J18946" s="1" t="str">
        <f>"6/6"</f>
        <v>6/6</v>
      </c>
      <c r="K18946" s="1" t="str">
        <f t="shared" si="944"/>
        <v>2026-07-29 13:18:14</v>
      </c>
      <c r="L18946" s="1" t="str">
        <f>"2018-03-12 13:54:28"</f>
        <v>2018-03-12 13:54:28</v>
      </c>
      <c r="M18946" s="1" t="s">
        <v>2</v>
      </c>
      <c r="N18946" s="1" t="s">
        <v>38</v>
      </c>
      <c r="O18946" s="1" t="s">
        <v>46</v>
      </c>
    </row>
    <row r="18947" spans="2:15" x14ac:dyDescent="0.3">
      <c r="B18947" s="1" t="s">
        <v>13</v>
      </c>
      <c r="C18947" s="1" t="str">
        <f t="shared" si="946"/>
        <v>3차</v>
      </c>
      <c r="D18947" s="1" t="str">
        <f>"9928C19331"</f>
        <v>9928C19331</v>
      </c>
      <c r="E18947" s="1" t="s">
        <v>10</v>
      </c>
      <c r="F18947" s="1" t="str">
        <f>"10.11.23.163"</f>
        <v>10.11.23.163</v>
      </c>
      <c r="G18947" s="1" t="str">
        <f>"9928C193"</f>
        <v>9928C193</v>
      </c>
      <c r="H18947" s="1" t="str">
        <f>"평창간 6L14R9"</f>
        <v>평창간 6L14R9</v>
      </c>
      <c r="I18947" s="1" t="s">
        <v>8</v>
      </c>
      <c r="J18947" s="1" t="str">
        <f>"10/10"</f>
        <v>10/10</v>
      </c>
      <c r="K18947" s="1" t="str">
        <f t="shared" si="944"/>
        <v>2026-07-29 13:18:14</v>
      </c>
      <c r="L18947" s="1" t="str">
        <f>"2018-05-28 15:15:26"</f>
        <v>2018-05-28 15:15:26</v>
      </c>
      <c r="M18947" s="1" t="s">
        <v>2</v>
      </c>
      <c r="N18947" s="1" t="s">
        <v>38</v>
      </c>
      <c r="O18947" s="1" t="s">
        <v>46</v>
      </c>
    </row>
    <row r="18948" spans="2:15" x14ac:dyDescent="0.3">
      <c r="B18948" s="1" t="s">
        <v>13</v>
      </c>
      <c r="C18948" s="1" t="str">
        <f t="shared" si="946"/>
        <v>3차</v>
      </c>
      <c r="D18948" s="1" t="str">
        <f>"9928C19539"</f>
        <v>9928C19539</v>
      </c>
      <c r="E18948" s="1" t="s">
        <v>10</v>
      </c>
      <c r="F18948" s="1" t="str">
        <f>"10.11.42.146"</f>
        <v>10.11.42.146</v>
      </c>
      <c r="G18948" s="1" t="str">
        <f>"9928C195"</f>
        <v>9928C195</v>
      </c>
      <c r="H18948" s="1" t="str">
        <f>"평창간 6L14R7"</f>
        <v>평창간 6L14R7</v>
      </c>
      <c r="I18948" s="1" t="s">
        <v>8</v>
      </c>
      <c r="J18948" s="1" t="str">
        <f>"12/12"</f>
        <v>12/12</v>
      </c>
      <c r="K18948" s="1" t="str">
        <f t="shared" si="944"/>
        <v>2026-07-29 13:18:14</v>
      </c>
      <c r="L18948" s="1" t="str">
        <f>"2018-03-09 13:44:27"</f>
        <v>2018-03-09 13:44:27</v>
      </c>
      <c r="M18948" s="1" t="s">
        <v>2</v>
      </c>
      <c r="N18948" s="1" t="s">
        <v>38</v>
      </c>
      <c r="O18948" s="1" t="s">
        <v>46</v>
      </c>
    </row>
    <row r="18949" spans="2:15" x14ac:dyDescent="0.3">
      <c r="B18949" s="1" t="s">
        <v>13</v>
      </c>
      <c r="C18949" s="1" t="s">
        <v>16</v>
      </c>
      <c r="D18949" s="1" t="str">
        <f>"9928C2125S"</f>
        <v>9928C2125S</v>
      </c>
      <c r="E18949" s="1" t="s">
        <v>10</v>
      </c>
      <c r="F18949" s="1" t="str">
        <f>"fde3:102:1304:1500:0:0:0:3"</f>
        <v>fde3:102:1304:1500:0:0:0:3</v>
      </c>
      <c r="G18949" s="1" t="str">
        <f>"9928C212"</f>
        <v>9928C212</v>
      </c>
      <c r="H18949" s="1" t="str">
        <f>"평창간 10L2"</f>
        <v>평창간 10L2</v>
      </c>
      <c r="I18949" s="1" t="s">
        <v>15</v>
      </c>
      <c r="J18949" s="1" t="str">
        <f>"36/37"</f>
        <v>36/37</v>
      </c>
      <c r="K18949" s="1" t="str">
        <f>"2026-07-29 14:21:38"</f>
        <v>2026-07-29 14:21:38</v>
      </c>
      <c r="L18949" s="1" t="str">
        <f>"2023-08-08 14:22:59"</f>
        <v>2023-08-08 14:22:59</v>
      </c>
      <c r="M18949" s="1" t="s">
        <v>45</v>
      </c>
      <c r="N18949" s="1" t="s">
        <v>38</v>
      </c>
      <c r="O18949" s="1" t="s">
        <v>46</v>
      </c>
    </row>
    <row r="18950" spans="2:15" x14ac:dyDescent="0.3">
      <c r="B18950" s="1" t="s">
        <v>13</v>
      </c>
      <c r="C18950" s="1" t="str">
        <f>"4차"</f>
        <v>4차</v>
      </c>
      <c r="D18950" s="1" t="str">
        <f>"9928C27239"</f>
        <v>9928C27239</v>
      </c>
      <c r="E18950" s="1" t="s">
        <v>10</v>
      </c>
      <c r="F18950" s="1" t="str">
        <f>"10.11.23.138"</f>
        <v>10.11.23.138</v>
      </c>
      <c r="G18950" s="1" t="str">
        <f>"9928C272"</f>
        <v>9928C272</v>
      </c>
      <c r="H18950" s="1" t="str">
        <f>"평창간 6L14R12"</f>
        <v>평창간 6L14R12</v>
      </c>
      <c r="I18950" s="1" t="s">
        <v>8</v>
      </c>
      <c r="J18950" s="1" t="str">
        <f>"24/24"</f>
        <v>24/24</v>
      </c>
      <c r="K18950" s="1" t="str">
        <f>"2026-07-29 13:18:14"</f>
        <v>2026-07-29 13:18:14</v>
      </c>
      <c r="L18950" s="1" t="str">
        <f>"2018-05-17 18:01:02"</f>
        <v>2018-05-17 18:01:02</v>
      </c>
      <c r="M18950" s="1" t="s">
        <v>2</v>
      </c>
      <c r="N18950" s="1" t="s">
        <v>38</v>
      </c>
      <c r="O18950" s="1" t="s">
        <v>46</v>
      </c>
    </row>
    <row r="18951" spans="2:15" x14ac:dyDescent="0.3">
      <c r="B18951" s="1" t="s">
        <v>13</v>
      </c>
      <c r="C18951" s="1" t="str">
        <f>"4차"</f>
        <v>4차</v>
      </c>
      <c r="D18951" s="1" t="str">
        <f>"9928C37139"</f>
        <v>9928C37139</v>
      </c>
      <c r="E18951" s="1" t="s">
        <v>10</v>
      </c>
      <c r="F18951" s="1" t="str">
        <f>"10.11.42.114"</f>
        <v>10.11.42.114</v>
      </c>
      <c r="G18951" s="1" t="str">
        <f>"9928C371"</f>
        <v>9928C371</v>
      </c>
      <c r="H18951" s="1" t="str">
        <f>"평창간 6L14R13"</f>
        <v>평창간 6L14R13</v>
      </c>
      <c r="I18951" s="1" t="s">
        <v>8</v>
      </c>
      <c r="J18951" s="1" t="str">
        <f>"17/17"</f>
        <v>17/17</v>
      </c>
      <c r="K18951" s="1" t="str">
        <f>"2026-07-29 13:18:14"</f>
        <v>2026-07-29 13:18:14</v>
      </c>
      <c r="L18951" s="1" t="str">
        <f>"2018-03-09 13:42:56"</f>
        <v>2018-03-09 13:42:56</v>
      </c>
      <c r="M18951" s="1" t="s">
        <v>2</v>
      </c>
      <c r="N18951" s="1" t="s">
        <v>38</v>
      </c>
      <c r="O18951" s="1" t="s">
        <v>46</v>
      </c>
    </row>
    <row r="18952" spans="2:15" x14ac:dyDescent="0.3">
      <c r="B18952" s="1" t="s">
        <v>13</v>
      </c>
      <c r="C18952" s="1" t="str">
        <f t="shared" ref="C18952:C18967" si="947">"3차"</f>
        <v>3차</v>
      </c>
      <c r="D18952" s="1" t="str">
        <f>"9928C45139"</f>
        <v>9928C45139</v>
      </c>
      <c r="E18952" s="1" t="s">
        <v>14</v>
      </c>
      <c r="F18952" s="1" t="str">
        <f>"10.12.132.65"</f>
        <v>10.12.132.65</v>
      </c>
      <c r="G18952" s="1" t="str">
        <f>"9928C451"</f>
        <v>9928C451</v>
      </c>
      <c r="H18952" s="1" t="str">
        <f>"청운간 133R7R8"</f>
        <v>청운간 133R7R8</v>
      </c>
      <c r="I18952" s="1" t="s">
        <v>8</v>
      </c>
      <c r="J18952" s="1" t="str">
        <f>"0/0"</f>
        <v>0/0</v>
      </c>
      <c r="K18952" s="1" t="str">
        <f>"2026-06-10 07:18:13"</f>
        <v>2026-06-10 07:18:13</v>
      </c>
      <c r="L18952" s="1" t="str">
        <f>"2018-07-17 09:31:40"</f>
        <v>2018-07-17 09:31:40</v>
      </c>
      <c r="M18952" s="1" t="s">
        <v>0</v>
      </c>
      <c r="N18952" s="1" t="s">
        <v>39</v>
      </c>
      <c r="O18952" s="1" t="s">
        <v>46</v>
      </c>
    </row>
    <row r="18953" spans="2:15" x14ac:dyDescent="0.3">
      <c r="B18953" s="1" t="s">
        <v>13</v>
      </c>
      <c r="C18953" s="1" t="str">
        <f t="shared" si="947"/>
        <v>3차</v>
      </c>
      <c r="D18953" s="1" t="str">
        <f>"9928C46139"</f>
        <v>9928C46139</v>
      </c>
      <c r="E18953" s="1" t="s">
        <v>10</v>
      </c>
      <c r="F18953" s="1" t="str">
        <f>"10.12.132.64"</f>
        <v>10.12.132.64</v>
      </c>
      <c r="G18953" s="1" t="str">
        <f>"9928C461"</f>
        <v>9928C461</v>
      </c>
      <c r="H18953" s="1" t="str">
        <f>"청운간 133R7R10"</f>
        <v>청운간 133R7R10</v>
      </c>
      <c r="I18953" s="1" t="s">
        <v>8</v>
      </c>
      <c r="J18953" s="1" t="str">
        <f>"30/30"</f>
        <v>30/30</v>
      </c>
      <c r="K18953" s="1" t="str">
        <f t="shared" ref="K18953:K18967" si="948">"2026-07-29 13:18:14"</f>
        <v>2026-07-29 13:18:14</v>
      </c>
      <c r="L18953" s="1" t="str">
        <f>"2018-07-17 09:06:39"</f>
        <v>2018-07-17 09:06:39</v>
      </c>
      <c r="M18953" s="1" t="s">
        <v>0</v>
      </c>
      <c r="N18953" s="1" t="s">
        <v>38</v>
      </c>
      <c r="O18953" s="1" t="s">
        <v>46</v>
      </c>
    </row>
    <row r="18954" spans="2:15" x14ac:dyDescent="0.3">
      <c r="B18954" s="1" t="s">
        <v>13</v>
      </c>
      <c r="C18954" s="1" t="str">
        <f t="shared" si="947"/>
        <v>3차</v>
      </c>
      <c r="D18954" s="1" t="str">
        <f>"9928C49339"</f>
        <v>9928C49339</v>
      </c>
      <c r="E18954" s="1" t="s">
        <v>10</v>
      </c>
      <c r="F18954" s="1" t="str">
        <f>"10.11.40.26"</f>
        <v>10.11.40.26</v>
      </c>
      <c r="G18954" s="1" t="str">
        <f>"9928C493"</f>
        <v>9928C493</v>
      </c>
      <c r="H18954" s="1" t="str">
        <f>"청운간 133R1R4"</f>
        <v>청운간 133R1R4</v>
      </c>
      <c r="I18954" s="1" t="s">
        <v>8</v>
      </c>
      <c r="J18954" s="1" t="str">
        <f>"7/11"</f>
        <v>7/11</v>
      </c>
      <c r="K18954" s="1" t="str">
        <f t="shared" si="948"/>
        <v>2026-07-29 13:18:14</v>
      </c>
      <c r="L18954" s="1" t="str">
        <f>"2018-01-10 17:02:43"</f>
        <v>2018-01-10 17:02:43</v>
      </c>
      <c r="M18954" s="1" t="s">
        <v>2</v>
      </c>
      <c r="N18954" s="1" t="s">
        <v>38</v>
      </c>
      <c r="O18954" s="1" t="s">
        <v>46</v>
      </c>
    </row>
    <row r="18955" spans="2:15" x14ac:dyDescent="0.3">
      <c r="B18955" s="1" t="s">
        <v>13</v>
      </c>
      <c r="C18955" s="1" t="str">
        <f t="shared" si="947"/>
        <v>3차</v>
      </c>
      <c r="D18955" s="1" t="str">
        <f>"9928C50639"</f>
        <v>9928C50639</v>
      </c>
      <c r="E18955" s="1" t="s">
        <v>10</v>
      </c>
      <c r="F18955" s="1" t="str">
        <f>"10.11.12.82"</f>
        <v>10.11.12.82</v>
      </c>
      <c r="G18955" s="1" t="str">
        <f>"9928C506"</f>
        <v>9928C506</v>
      </c>
      <c r="H18955" s="1" t="str">
        <f>"도시간 31"</f>
        <v>도시간 31</v>
      </c>
      <c r="I18955" s="1" t="s">
        <v>8</v>
      </c>
      <c r="J18955" s="1" t="str">
        <f>"71/71"</f>
        <v>71/71</v>
      </c>
      <c r="K18955" s="1" t="str">
        <f t="shared" si="948"/>
        <v>2026-07-29 13:18:14</v>
      </c>
      <c r="L18955" s="1" t="str">
        <f>"2018-02-26 19:03:22"</f>
        <v>2018-02-26 19:03:22</v>
      </c>
      <c r="M18955" s="1" t="s">
        <v>2</v>
      </c>
      <c r="N18955" s="1" t="s">
        <v>38</v>
      </c>
      <c r="O18955" s="1" t="s">
        <v>46</v>
      </c>
    </row>
    <row r="18956" spans="2:15" x14ac:dyDescent="0.3">
      <c r="B18956" s="1" t="s">
        <v>13</v>
      </c>
      <c r="C18956" s="1" t="str">
        <f t="shared" si="947"/>
        <v>3차</v>
      </c>
      <c r="D18956" s="1" t="str">
        <f>"9928C52139"</f>
        <v>9928C52139</v>
      </c>
      <c r="E18956" s="1" t="s">
        <v>10</v>
      </c>
      <c r="F18956" s="1" t="str">
        <f>"10.11.41.162"</f>
        <v>10.11.41.162</v>
      </c>
      <c r="G18956" s="1" t="str">
        <f>"9928C521"</f>
        <v>9928C521</v>
      </c>
      <c r="H18956" s="1" t="str">
        <f>"평창간 13L5"</f>
        <v>평창간 13L5</v>
      </c>
      <c r="I18956" s="1" t="s">
        <v>8</v>
      </c>
      <c r="J18956" s="1" t="str">
        <f>"6/6"</f>
        <v>6/6</v>
      </c>
      <c r="K18956" s="1" t="str">
        <f t="shared" si="948"/>
        <v>2026-07-29 13:18:14</v>
      </c>
      <c r="L18956" s="1" t="str">
        <f>"2018-03-09 15:51:57"</f>
        <v>2018-03-09 15:51:57</v>
      </c>
      <c r="M18956" s="1" t="s">
        <v>2</v>
      </c>
      <c r="N18956" s="1" t="s">
        <v>38</v>
      </c>
      <c r="O18956" s="1" t="s">
        <v>46</v>
      </c>
    </row>
    <row r="18957" spans="2:15" x14ac:dyDescent="0.3">
      <c r="B18957" s="1" t="s">
        <v>13</v>
      </c>
      <c r="C18957" s="1" t="str">
        <f t="shared" si="947"/>
        <v>3차</v>
      </c>
      <c r="D18957" s="1" t="str">
        <f>"9928C52239"</f>
        <v>9928C52239</v>
      </c>
      <c r="E18957" s="1" t="s">
        <v>10</v>
      </c>
      <c r="F18957" s="1" t="str">
        <f>"10.11.22.162"</f>
        <v>10.11.22.162</v>
      </c>
      <c r="G18957" s="1" t="str">
        <f>"9928C522"</f>
        <v>9928C522</v>
      </c>
      <c r="H18957" s="1" t="str">
        <f>"평창간 13L4"</f>
        <v>평창간 13L4</v>
      </c>
      <c r="I18957" s="1" t="s">
        <v>8</v>
      </c>
      <c r="J18957" s="1" t="str">
        <f>"10/10"</f>
        <v>10/10</v>
      </c>
      <c r="K18957" s="1" t="str">
        <f t="shared" si="948"/>
        <v>2026-07-29 13:18:14</v>
      </c>
      <c r="L18957" s="1" t="str">
        <f>"2018-05-17 17:53:43"</f>
        <v>2018-05-17 17:53:43</v>
      </c>
      <c r="M18957" s="1" t="s">
        <v>2</v>
      </c>
      <c r="N18957" s="1" t="s">
        <v>38</v>
      </c>
      <c r="O18957" s="1" t="s">
        <v>46</v>
      </c>
    </row>
    <row r="18958" spans="2:15" x14ac:dyDescent="0.3">
      <c r="B18958" s="1" t="s">
        <v>13</v>
      </c>
      <c r="C18958" s="1" t="str">
        <f t="shared" si="947"/>
        <v>3차</v>
      </c>
      <c r="D18958" s="1" t="str">
        <f>"9928C60239"</f>
        <v>9928C60239</v>
      </c>
      <c r="E18958" s="1" t="s">
        <v>10</v>
      </c>
      <c r="F18958" s="1" t="str">
        <f>"10.11.30.138"</f>
        <v>10.11.30.138</v>
      </c>
      <c r="G18958" s="1" t="str">
        <f>"9928C602"</f>
        <v>9928C602</v>
      </c>
      <c r="H18958" s="1" t="str">
        <f>"도시간 33"</f>
        <v>도시간 33</v>
      </c>
      <c r="I18958" s="1" t="s">
        <v>8</v>
      </c>
      <c r="J18958" s="1" t="str">
        <f>"3/4"</f>
        <v>3/4</v>
      </c>
      <c r="K18958" s="1" t="str">
        <f t="shared" si="948"/>
        <v>2026-07-29 13:18:14</v>
      </c>
      <c r="L18958" s="1" t="str">
        <f>"2018-02-13 10:59:56"</f>
        <v>2018-02-13 10:59:56</v>
      </c>
      <c r="M18958" s="1" t="s">
        <v>2</v>
      </c>
      <c r="N18958" s="1" t="s">
        <v>38</v>
      </c>
      <c r="O18958" s="1" t="s">
        <v>46</v>
      </c>
    </row>
    <row r="18959" spans="2:15" x14ac:dyDescent="0.3">
      <c r="B18959" s="1" t="s">
        <v>13</v>
      </c>
      <c r="C18959" s="1" t="str">
        <f t="shared" si="947"/>
        <v>3차</v>
      </c>
      <c r="D18959" s="1" t="str">
        <f>"9928C65339"</f>
        <v>9928C65339</v>
      </c>
      <c r="E18959" s="1" t="s">
        <v>10</v>
      </c>
      <c r="F18959" s="1" t="str">
        <f>"10.11.40.74"</f>
        <v>10.11.40.74</v>
      </c>
      <c r="G18959" s="1" t="str">
        <f>"9928C653"</f>
        <v>9928C653</v>
      </c>
      <c r="H18959" s="1" t="str">
        <f>"청운간 133R7R5"</f>
        <v>청운간 133R7R5</v>
      </c>
      <c r="I18959" s="1" t="s">
        <v>8</v>
      </c>
      <c r="J18959" s="1" t="str">
        <f>"6/6"</f>
        <v>6/6</v>
      </c>
      <c r="K18959" s="1" t="str">
        <f t="shared" si="948"/>
        <v>2026-07-29 13:18:14</v>
      </c>
      <c r="L18959" s="1" t="str">
        <f>"2018-03-19 14:09:40"</f>
        <v>2018-03-19 14:09:40</v>
      </c>
      <c r="M18959" s="1" t="s">
        <v>2</v>
      </c>
      <c r="N18959" s="1" t="s">
        <v>38</v>
      </c>
      <c r="O18959" s="1" t="s">
        <v>46</v>
      </c>
    </row>
    <row r="18960" spans="2:15" x14ac:dyDescent="0.3">
      <c r="B18960" s="1" t="s">
        <v>13</v>
      </c>
      <c r="C18960" s="1" t="str">
        <f t="shared" si="947"/>
        <v>3차</v>
      </c>
      <c r="D18960" s="1" t="str">
        <f>"9928C69139"</f>
        <v>9928C69139</v>
      </c>
      <c r="E18960" s="1" t="s">
        <v>10</v>
      </c>
      <c r="F18960" s="1" t="str">
        <f>"10.11.21.2"</f>
        <v>10.11.21.2</v>
      </c>
      <c r="G18960" s="1" t="str">
        <f>"9928C691"</f>
        <v>9928C691</v>
      </c>
      <c r="H18960" s="1" t="str">
        <f>"청운간 133R5"</f>
        <v>청운간 133R5</v>
      </c>
      <c r="I18960" s="1" t="s">
        <v>8</v>
      </c>
      <c r="J18960" s="1" t="str">
        <f>"9/9"</f>
        <v>9/9</v>
      </c>
      <c r="K18960" s="1" t="str">
        <f t="shared" si="948"/>
        <v>2026-07-29 13:18:14</v>
      </c>
      <c r="L18960" s="1" t="str">
        <f>"2018-03-10 11:00:10"</f>
        <v>2018-03-10 11:00:10</v>
      </c>
      <c r="M18960" s="1" t="s">
        <v>2</v>
      </c>
      <c r="N18960" s="1" t="s">
        <v>38</v>
      </c>
      <c r="O18960" s="1" t="s">
        <v>46</v>
      </c>
    </row>
    <row r="18961" spans="2:15" x14ac:dyDescent="0.3">
      <c r="B18961" s="1" t="s">
        <v>13</v>
      </c>
      <c r="C18961" s="1" t="str">
        <f t="shared" si="947"/>
        <v>3차</v>
      </c>
      <c r="D18961" s="1" t="str">
        <f>"9928C73139"</f>
        <v>9928C73139</v>
      </c>
      <c r="E18961" s="1" t="s">
        <v>10</v>
      </c>
      <c r="F18961" s="1" t="str">
        <f>"10.11.41.170"</f>
        <v>10.11.41.170</v>
      </c>
      <c r="G18961" s="1" t="str">
        <f>"9928C731"</f>
        <v>9928C731</v>
      </c>
      <c r="H18961" s="1" t="str">
        <f>"평창간 17H1L2"</f>
        <v>평창간 17H1L2</v>
      </c>
      <c r="I18961" s="1" t="s">
        <v>8</v>
      </c>
      <c r="J18961" s="1" t="str">
        <f>"80/80"</f>
        <v>80/80</v>
      </c>
      <c r="K18961" s="1" t="str">
        <f t="shared" si="948"/>
        <v>2026-07-29 13:18:14</v>
      </c>
      <c r="L18961" s="1" t="str">
        <f>"2018-03-10 09:08:09"</f>
        <v>2018-03-10 09:08:09</v>
      </c>
      <c r="M18961" s="1" t="s">
        <v>2</v>
      </c>
      <c r="N18961" s="1" t="s">
        <v>38</v>
      </c>
      <c r="O18961" s="1" t="s">
        <v>46</v>
      </c>
    </row>
    <row r="18962" spans="2:15" x14ac:dyDescent="0.3">
      <c r="B18962" s="1" t="s">
        <v>13</v>
      </c>
      <c r="C18962" s="1" t="str">
        <f t="shared" si="947"/>
        <v>3차</v>
      </c>
      <c r="D18962" s="1" t="str">
        <f>"9928C76139"</f>
        <v>9928C76139</v>
      </c>
      <c r="E18962" s="1" t="s">
        <v>10</v>
      </c>
      <c r="F18962" s="1" t="str">
        <f>"10.11.40.66"</f>
        <v>10.11.40.66</v>
      </c>
      <c r="G18962" s="1" t="str">
        <f>"9928C761"</f>
        <v>9928C761</v>
      </c>
      <c r="H18962" s="1" t="str">
        <f>"청운간 133R7R3"</f>
        <v>청운간 133R7R3</v>
      </c>
      <c r="I18962" s="1" t="s">
        <v>8</v>
      </c>
      <c r="J18962" s="1" t="str">
        <f>"8/8"</f>
        <v>8/8</v>
      </c>
      <c r="K18962" s="1" t="str">
        <f t="shared" si="948"/>
        <v>2026-07-29 13:18:14</v>
      </c>
      <c r="L18962" s="1" t="str">
        <f>"2018-03-10 09:31:09"</f>
        <v>2018-03-10 09:31:09</v>
      </c>
      <c r="M18962" s="1" t="s">
        <v>2</v>
      </c>
      <c r="N18962" s="1" t="s">
        <v>38</v>
      </c>
      <c r="O18962" s="1" t="s">
        <v>46</v>
      </c>
    </row>
    <row r="18963" spans="2:15" x14ac:dyDescent="0.3">
      <c r="B18963" s="1" t="s">
        <v>13</v>
      </c>
      <c r="C18963" s="1" t="str">
        <f t="shared" si="947"/>
        <v>3차</v>
      </c>
      <c r="D18963" s="1" t="str">
        <f>"9928C81439"</f>
        <v>9928C81439</v>
      </c>
      <c r="E18963" s="1" t="s">
        <v>10</v>
      </c>
      <c r="F18963" s="1" t="str">
        <f>"10.11.12.90"</f>
        <v>10.11.12.90</v>
      </c>
      <c r="G18963" s="1" t="str">
        <f>"9928C814"</f>
        <v>9928C814</v>
      </c>
      <c r="H18963" s="1" t="str">
        <f>"도시간 36"</f>
        <v>도시간 36</v>
      </c>
      <c r="I18963" s="1" t="s">
        <v>8</v>
      </c>
      <c r="J18963" s="1" t="str">
        <f>"12/12"</f>
        <v>12/12</v>
      </c>
      <c r="K18963" s="1" t="str">
        <f t="shared" si="948"/>
        <v>2026-07-29 13:18:14</v>
      </c>
      <c r="L18963" s="1" t="str">
        <f>"2017-12-11 15:33:14"</f>
        <v>2017-12-11 15:33:14</v>
      </c>
      <c r="M18963" s="1" t="s">
        <v>2</v>
      </c>
      <c r="N18963" s="1" t="s">
        <v>38</v>
      </c>
      <c r="O18963" s="1" t="s">
        <v>46</v>
      </c>
    </row>
    <row r="18964" spans="2:15" x14ac:dyDescent="0.3">
      <c r="B18964" s="1" t="s">
        <v>13</v>
      </c>
      <c r="C18964" s="1" t="str">
        <f t="shared" si="947"/>
        <v>3차</v>
      </c>
      <c r="D18964" s="1" t="str">
        <f>"9928C92339"</f>
        <v>9928C92339</v>
      </c>
      <c r="E18964" s="1" t="s">
        <v>10</v>
      </c>
      <c r="F18964" s="1" t="str">
        <f>"10.11.28.10"</f>
        <v>10.11.28.10</v>
      </c>
      <c r="G18964" s="1" t="str">
        <f>"9928C923"</f>
        <v>9928C923</v>
      </c>
      <c r="H18964" s="1" t="str">
        <f>"평창간 18"</f>
        <v>평창간 18</v>
      </c>
      <c r="I18964" s="1" t="s">
        <v>8</v>
      </c>
      <c r="J18964" s="1" t="str">
        <f>"2/2"</f>
        <v>2/2</v>
      </c>
      <c r="K18964" s="1" t="str">
        <f t="shared" si="948"/>
        <v>2026-07-29 13:18:14</v>
      </c>
      <c r="L18964" s="1" t="str">
        <f>"2017-12-07 17:03:05"</f>
        <v>2017-12-07 17:03:05</v>
      </c>
      <c r="M18964" s="1" t="s">
        <v>2</v>
      </c>
      <c r="N18964" s="1" t="s">
        <v>38</v>
      </c>
      <c r="O18964" s="1" t="s">
        <v>46</v>
      </c>
    </row>
    <row r="18965" spans="2:15" x14ac:dyDescent="0.3">
      <c r="B18965" s="1" t="s">
        <v>13</v>
      </c>
      <c r="C18965" s="1" t="str">
        <f t="shared" si="947"/>
        <v>3차</v>
      </c>
      <c r="D18965" s="1" t="str">
        <f>"9928C96139"</f>
        <v>9928C96139</v>
      </c>
      <c r="E18965" s="1" t="s">
        <v>10</v>
      </c>
      <c r="F18965" s="1" t="str">
        <f>"10.11.40.10"</f>
        <v>10.11.40.10</v>
      </c>
      <c r="G18965" s="1" t="str">
        <f>"9928C961"</f>
        <v>9928C961</v>
      </c>
      <c r="H18965" s="1" t="str">
        <f>"청운간 133R11"</f>
        <v>청운간 133R11</v>
      </c>
      <c r="I18965" s="1" t="s">
        <v>8</v>
      </c>
      <c r="J18965" s="1" t="str">
        <f>"9/9"</f>
        <v>9/9</v>
      </c>
      <c r="K18965" s="1" t="str">
        <f t="shared" si="948"/>
        <v>2026-07-29 13:18:14</v>
      </c>
      <c r="L18965" s="1" t="str">
        <f>"2018-01-11 17:22:13"</f>
        <v>2018-01-11 17:22:13</v>
      </c>
      <c r="M18965" s="1" t="s">
        <v>2</v>
      </c>
      <c r="N18965" s="1" t="s">
        <v>38</v>
      </c>
      <c r="O18965" s="1" t="s">
        <v>46</v>
      </c>
    </row>
    <row r="18966" spans="2:15" x14ac:dyDescent="0.3">
      <c r="B18966" s="1" t="s">
        <v>13</v>
      </c>
      <c r="C18966" s="1" t="str">
        <f t="shared" si="947"/>
        <v>3차</v>
      </c>
      <c r="D18966" s="1" t="str">
        <f>"9928C96239"</f>
        <v>9928C96239</v>
      </c>
      <c r="E18966" s="1" t="s">
        <v>10</v>
      </c>
      <c r="F18966" s="1" t="str">
        <f>"10.11.20.178"</f>
        <v>10.11.20.178</v>
      </c>
      <c r="G18966" s="1" t="str">
        <f>"9928C962"</f>
        <v>9928C962</v>
      </c>
      <c r="H18966" s="1" t="str">
        <f>"청운간 133R10"</f>
        <v>청운간 133R10</v>
      </c>
      <c r="I18966" s="1" t="s">
        <v>8</v>
      </c>
      <c r="J18966" s="1" t="str">
        <f>"3/3"</f>
        <v>3/3</v>
      </c>
      <c r="K18966" s="1" t="str">
        <f t="shared" si="948"/>
        <v>2026-07-29 13:18:14</v>
      </c>
      <c r="L18966" s="1" t="str">
        <f>"2018-01-11 17:09:13"</f>
        <v>2018-01-11 17:09:13</v>
      </c>
      <c r="M18966" s="1" t="s">
        <v>2</v>
      </c>
      <c r="N18966" s="1" t="s">
        <v>38</v>
      </c>
      <c r="O18966" s="1" t="s">
        <v>46</v>
      </c>
    </row>
    <row r="18967" spans="2:15" x14ac:dyDescent="0.3">
      <c r="B18967" s="1" t="s">
        <v>13</v>
      </c>
      <c r="C18967" s="1" t="str">
        <f t="shared" si="947"/>
        <v>3차</v>
      </c>
      <c r="D18967" s="1" t="str">
        <f>"9928D16139"</f>
        <v>9928D16139</v>
      </c>
      <c r="E18967" s="1" t="s">
        <v>10</v>
      </c>
      <c r="F18967" s="1" t="str">
        <f>"10.11.22.82"</f>
        <v>10.11.22.82</v>
      </c>
      <c r="G18967" s="1" t="str">
        <f>"9928D161"</f>
        <v>9928D161</v>
      </c>
      <c r="H18967" s="1" t="str">
        <f>"평창간 24"</f>
        <v>평창간 24</v>
      </c>
      <c r="I18967" s="1" t="s">
        <v>8</v>
      </c>
      <c r="J18967" s="1" t="str">
        <f>"5/5"</f>
        <v>5/5</v>
      </c>
      <c r="K18967" s="1" t="str">
        <f t="shared" si="948"/>
        <v>2026-07-29 13:18:14</v>
      </c>
      <c r="L18967" s="1" t="str">
        <f>"2018-03-10 11:58:25"</f>
        <v>2018-03-10 11:58:25</v>
      </c>
      <c r="M18967" s="1" t="s">
        <v>2</v>
      </c>
      <c r="N18967" s="1" t="s">
        <v>38</v>
      </c>
      <c r="O18967" s="1" t="s">
        <v>46</v>
      </c>
    </row>
    <row r="18968" spans="2:15" x14ac:dyDescent="0.3">
      <c r="B18968" s="1" t="s">
        <v>13</v>
      </c>
      <c r="C18968" s="1" t="str">
        <f>"4차"</f>
        <v>4차</v>
      </c>
      <c r="D18968" s="1" t="str">
        <f>"9928D16439"</f>
        <v>9928D16439</v>
      </c>
      <c r="E18968" s="1" t="s">
        <v>10</v>
      </c>
      <c r="F18968" s="1" t="str">
        <f>"10.12.132.32"</f>
        <v>10.12.132.32</v>
      </c>
      <c r="G18968" s="1" t="str">
        <f>"9928D164"</f>
        <v>9928D164</v>
      </c>
      <c r="H18968" s="1" t="str">
        <f>"평창로 5"</f>
        <v>평창로 5</v>
      </c>
      <c r="I18968" s="1" t="s">
        <v>17</v>
      </c>
      <c r="J18968" s="1" t="str">
        <f>"49/49"</f>
        <v>49/49</v>
      </c>
      <c r="K18968" s="1" t="str">
        <f>"2026-07-29 13:18:12"</f>
        <v>2026-07-29 13:18:12</v>
      </c>
      <c r="L18968" s="1" t="str">
        <f>"2018-08-03 10:34:55"</f>
        <v>2018-08-03 10:34:55</v>
      </c>
      <c r="M18968" s="1" t="s">
        <v>0</v>
      </c>
      <c r="N18968" s="1" t="s">
        <v>38</v>
      </c>
      <c r="O18968" s="1" t="s">
        <v>46</v>
      </c>
    </row>
    <row r="18969" spans="2:15" x14ac:dyDescent="0.3">
      <c r="B18969" s="1" t="s">
        <v>13</v>
      </c>
      <c r="C18969" s="1" t="str">
        <f>"3차"</f>
        <v>3차</v>
      </c>
      <c r="D18969" s="1" t="str">
        <f>"9928D25339"</f>
        <v>9928D25339</v>
      </c>
      <c r="E18969" s="1" t="s">
        <v>10</v>
      </c>
      <c r="F18969" s="1" t="str">
        <f>"10.11.28.58"</f>
        <v>10.11.28.58</v>
      </c>
      <c r="G18969" s="1" t="str">
        <f>"9928D253"</f>
        <v>9928D253</v>
      </c>
      <c r="H18969" s="1" t="str">
        <f>"평창간 21R3"</f>
        <v>평창간 21R3</v>
      </c>
      <c r="I18969" s="1" t="s">
        <v>8</v>
      </c>
      <c r="J18969" s="1" t="str">
        <f>"17/17"</f>
        <v>17/17</v>
      </c>
      <c r="K18969" s="1" t="str">
        <f>"2026-07-29 13:18:14"</f>
        <v>2026-07-29 13:18:14</v>
      </c>
      <c r="L18969" s="1" t="str">
        <f>"2018-05-17 18:05:28"</f>
        <v>2018-05-17 18:05:28</v>
      </c>
      <c r="M18969" s="1" t="s">
        <v>2</v>
      </c>
      <c r="N18969" s="1" t="s">
        <v>38</v>
      </c>
      <c r="O18969" s="1" t="s">
        <v>46</v>
      </c>
    </row>
    <row r="18970" spans="2:15" x14ac:dyDescent="0.3">
      <c r="B18970" s="1" t="s">
        <v>13</v>
      </c>
      <c r="C18970" s="1" t="str">
        <f>"4차"</f>
        <v>4차</v>
      </c>
      <c r="D18970" s="1" t="str">
        <f>"9928D29139"</f>
        <v>9928D29139</v>
      </c>
      <c r="E18970" s="1" t="s">
        <v>10</v>
      </c>
      <c r="F18970" s="1" t="str">
        <f>"10.11.28.74"</f>
        <v>10.11.28.74</v>
      </c>
      <c r="G18970" s="1" t="str">
        <f>"9928D291"</f>
        <v>9928D291</v>
      </c>
      <c r="H18970" s="1" t="str">
        <f>"평창간 26L3"</f>
        <v>평창간 26L3</v>
      </c>
      <c r="I18970" s="1" t="s">
        <v>8</v>
      </c>
      <c r="J18970" s="1" t="str">
        <f>"11/11"</f>
        <v>11/11</v>
      </c>
      <c r="K18970" s="1" t="str">
        <f>"2026-07-29 13:18:14"</f>
        <v>2026-07-29 13:18:14</v>
      </c>
      <c r="L18970" s="1" t="str">
        <f>"2017-12-07 17:10:47"</f>
        <v>2017-12-07 17:10:47</v>
      </c>
      <c r="M18970" s="1" t="s">
        <v>2</v>
      </c>
      <c r="N18970" s="1" t="s">
        <v>38</v>
      </c>
      <c r="O18970" s="1" t="s">
        <v>46</v>
      </c>
    </row>
    <row r="18971" spans="2:15" x14ac:dyDescent="0.3">
      <c r="B18971" s="1" t="s">
        <v>13</v>
      </c>
      <c r="C18971" s="1" t="str">
        <f>"4차"</f>
        <v>4차</v>
      </c>
      <c r="D18971" s="1" t="str">
        <f>"9928D49139"</f>
        <v>9928D49139</v>
      </c>
      <c r="E18971" s="1" t="s">
        <v>10</v>
      </c>
      <c r="F18971" s="1" t="str">
        <f>"10.11.41.234"</f>
        <v>10.11.41.234</v>
      </c>
      <c r="G18971" s="1" t="str">
        <f>"9928D491"</f>
        <v>9928D491</v>
      </c>
      <c r="H18971" s="1" t="str">
        <f>"평창간 29L3"</f>
        <v>평창간 29L3</v>
      </c>
      <c r="I18971" s="1" t="s">
        <v>8</v>
      </c>
      <c r="J18971" s="1" t="str">
        <f>"10/10"</f>
        <v>10/10</v>
      </c>
      <c r="K18971" s="1" t="str">
        <f>"2026-07-29 13:18:14"</f>
        <v>2026-07-29 13:18:14</v>
      </c>
      <c r="L18971" s="1" t="str">
        <f>"2018-02-27 17:55:30"</f>
        <v>2018-02-27 17:55:30</v>
      </c>
      <c r="M18971" s="1" t="s">
        <v>2</v>
      </c>
      <c r="N18971" s="1" t="s">
        <v>38</v>
      </c>
      <c r="O18971" s="1" t="s">
        <v>46</v>
      </c>
    </row>
    <row r="18972" spans="2:15" x14ac:dyDescent="0.3">
      <c r="B18972" s="1" t="s">
        <v>13</v>
      </c>
      <c r="C18972" s="1" t="s">
        <v>16</v>
      </c>
      <c r="D18972" s="1" t="str">
        <f>"9928D5415S"</f>
        <v>9928D5415S</v>
      </c>
      <c r="E18972" s="1" t="s">
        <v>10</v>
      </c>
      <c r="F18972" s="1" t="str">
        <f>"fde1:103:4:562d:0:0:0:2"</f>
        <v>fde1:103:4:562d:0:0:0:2</v>
      </c>
      <c r="G18972" s="1" t="str">
        <f>"9928D541"</f>
        <v>9928D541</v>
      </c>
      <c r="H18972" s="1" t="str">
        <f>"평창간 21R5R5R1"</f>
        <v>평창간 21R5R5R1</v>
      </c>
      <c r="I18972" s="1" t="s">
        <v>15</v>
      </c>
      <c r="J18972" s="1" t="str">
        <f>"90/90"</f>
        <v>90/90</v>
      </c>
      <c r="K18972" s="1" t="str">
        <f>"2026-07-29 14:21:39"</f>
        <v>2026-07-29 14:21:39</v>
      </c>
      <c r="L18972" s="1" t="str">
        <f>"2023-08-07 15:18:02"</f>
        <v>2023-08-07 15:18:02</v>
      </c>
      <c r="M18972" s="1" t="s">
        <v>4</v>
      </c>
      <c r="N18972" s="1" t="s">
        <v>38</v>
      </c>
      <c r="O18972" s="1" t="s">
        <v>46</v>
      </c>
    </row>
    <row r="18973" spans="2:15" x14ac:dyDescent="0.3">
      <c r="B18973" s="1" t="s">
        <v>13</v>
      </c>
      <c r="C18973" s="1" t="str">
        <f>"3차"</f>
        <v>3차</v>
      </c>
      <c r="D18973" s="1" t="str">
        <f>"9928D58139"</f>
        <v>9928D58139</v>
      </c>
      <c r="E18973" s="1" t="s">
        <v>10</v>
      </c>
      <c r="F18973" s="1" t="str">
        <f>"10.11.22.90"</f>
        <v>10.11.22.90</v>
      </c>
      <c r="G18973" s="1" t="str">
        <f>"9928D581"</f>
        <v>9928D581</v>
      </c>
      <c r="H18973" s="1" t="str">
        <f>"평창간 28"</f>
        <v>평창간 28</v>
      </c>
      <c r="I18973" s="1" t="s">
        <v>8</v>
      </c>
      <c r="J18973" s="1" t="str">
        <f>"3/3"</f>
        <v>3/3</v>
      </c>
      <c r="K18973" s="1" t="str">
        <f>"2026-07-29 13:18:14"</f>
        <v>2026-07-29 13:18:14</v>
      </c>
      <c r="L18973" s="1" t="str">
        <f>"2018-02-27 17:38:29"</f>
        <v>2018-02-27 17:38:29</v>
      </c>
      <c r="M18973" s="1" t="s">
        <v>2</v>
      </c>
      <c r="N18973" s="1" t="s">
        <v>38</v>
      </c>
      <c r="O18973" s="1" t="s">
        <v>46</v>
      </c>
    </row>
    <row r="18974" spans="2:15" x14ac:dyDescent="0.3">
      <c r="B18974" s="1" t="s">
        <v>13</v>
      </c>
      <c r="C18974" s="1" t="s">
        <v>16</v>
      </c>
      <c r="D18974" s="1" t="str">
        <f>"9928D6515S"</f>
        <v>9928D6515S</v>
      </c>
      <c r="E18974" s="1" t="s">
        <v>10</v>
      </c>
      <c r="F18974" s="1" t="str">
        <f>"fde1:103:4:55c1:0:0:0:2"</f>
        <v>fde1:103:4:55c1:0:0:0:2</v>
      </c>
      <c r="G18974" s="1" t="str">
        <f>"9928D651"</f>
        <v>9928D651</v>
      </c>
      <c r="H18974" s="1" t="str">
        <f>"평창간 21R5R6"</f>
        <v>평창간 21R5R6</v>
      </c>
      <c r="I18974" s="1" t="s">
        <v>15</v>
      </c>
      <c r="J18974" s="1" t="str">
        <f>"40/46"</f>
        <v>40/46</v>
      </c>
      <c r="K18974" s="1" t="str">
        <f>"2026-07-29 14:21:39"</f>
        <v>2026-07-29 14:21:39</v>
      </c>
      <c r="L18974" s="1" t="str">
        <f>"2023-08-07 15:31:45"</f>
        <v>2023-08-07 15:31:45</v>
      </c>
      <c r="M18974" s="1" t="s">
        <v>4</v>
      </c>
      <c r="N18974" s="1" t="s">
        <v>38</v>
      </c>
      <c r="O18974" s="1" t="s">
        <v>46</v>
      </c>
    </row>
    <row r="18975" spans="2:15" x14ac:dyDescent="0.3">
      <c r="B18975" s="1" t="s">
        <v>13</v>
      </c>
      <c r="C18975" s="1" t="s">
        <v>16</v>
      </c>
      <c r="D18975" s="1" t="str">
        <f>"9928D7535S"</f>
        <v>9928D7535S</v>
      </c>
      <c r="E18975" s="1" t="s">
        <v>10</v>
      </c>
      <c r="F18975" s="1" t="str">
        <f>"fde3:102:1304:1301:0:0:0:2"</f>
        <v>fde3:102:1304:1301:0:0:0:2</v>
      </c>
      <c r="G18975" s="1" t="str">
        <f>"9928D753"</f>
        <v>9928D753</v>
      </c>
      <c r="H18975" s="1" t="str">
        <f>"평창간 21R5R8R1"</f>
        <v>평창간 21R5R8R1</v>
      </c>
      <c r="I18975" s="1" t="s">
        <v>15</v>
      </c>
      <c r="J18975" s="1" t="str">
        <f>"113/113"</f>
        <v>113/113</v>
      </c>
      <c r="K18975" s="1" t="str">
        <f>"2026-07-29 14:21:46"</f>
        <v>2026-07-29 14:21:46</v>
      </c>
      <c r="L18975" s="1" t="str">
        <f>"2023-08-08 14:02:17"</f>
        <v>2023-08-08 14:02:17</v>
      </c>
      <c r="M18975" s="1" t="s">
        <v>45</v>
      </c>
      <c r="N18975" s="1" t="s">
        <v>38</v>
      </c>
      <c r="O18975" s="1" t="s">
        <v>46</v>
      </c>
    </row>
    <row r="18976" spans="2:15" x14ac:dyDescent="0.3">
      <c r="B18976" s="1" t="s">
        <v>13</v>
      </c>
      <c r="C18976" s="1" t="str">
        <f>"3차"</f>
        <v>3차</v>
      </c>
      <c r="D18976" s="1" t="str">
        <f>"9928D78339"</f>
        <v>9928D78339</v>
      </c>
      <c r="E18976" s="1" t="s">
        <v>10</v>
      </c>
      <c r="F18976" s="1" t="str">
        <f>"10.11.22.178"</f>
        <v>10.11.22.178</v>
      </c>
      <c r="G18976" s="1" t="str">
        <f>"9928D783"</f>
        <v>9928D783</v>
      </c>
      <c r="H18976" s="1" t="str">
        <f>"평창간 21R10"</f>
        <v>평창간 21R10</v>
      </c>
      <c r="I18976" s="1" t="s">
        <v>8</v>
      </c>
      <c r="J18976" s="1" t="str">
        <f>"10/10"</f>
        <v>10/10</v>
      </c>
      <c r="K18976" s="1" t="str">
        <f t="shared" ref="K18976:K18989" si="949">"2026-07-29 13:18:14"</f>
        <v>2026-07-29 13:18:14</v>
      </c>
      <c r="L18976" s="1" t="str">
        <f>"2018-03-10 16:04:30"</f>
        <v>2018-03-10 16:04:30</v>
      </c>
      <c r="M18976" s="1" t="s">
        <v>2</v>
      </c>
      <c r="N18976" s="1" t="s">
        <v>38</v>
      </c>
      <c r="O18976" s="1" t="s">
        <v>46</v>
      </c>
    </row>
    <row r="18977" spans="2:15" x14ac:dyDescent="0.3">
      <c r="B18977" s="1" t="s">
        <v>13</v>
      </c>
      <c r="C18977" s="1" t="str">
        <f>"3차"</f>
        <v>3차</v>
      </c>
      <c r="D18977" s="1" t="str">
        <f>"9928D99239"</f>
        <v>9928D99239</v>
      </c>
      <c r="E18977" s="1" t="s">
        <v>10</v>
      </c>
      <c r="F18977" s="1" t="str">
        <f>"10.11.28.42"</f>
        <v>10.11.28.42</v>
      </c>
      <c r="G18977" s="1" t="str">
        <f>"9928D992"</f>
        <v>9928D992</v>
      </c>
      <c r="H18977" s="1" t="str">
        <f>"평창간 21R13"</f>
        <v>평창간 21R13</v>
      </c>
      <c r="I18977" s="1" t="s">
        <v>8</v>
      </c>
      <c r="J18977" s="1" t="str">
        <f>"5/5"</f>
        <v>5/5</v>
      </c>
      <c r="K18977" s="1" t="str">
        <f t="shared" si="949"/>
        <v>2026-07-29 13:18:14</v>
      </c>
      <c r="L18977" s="1" t="str">
        <f>"2017-12-07 17:05:50"</f>
        <v>2017-12-07 17:05:50</v>
      </c>
      <c r="M18977" s="1" t="s">
        <v>2</v>
      </c>
      <c r="N18977" s="1" t="s">
        <v>38</v>
      </c>
      <c r="O18977" s="1" t="s">
        <v>46</v>
      </c>
    </row>
    <row r="18978" spans="2:15" x14ac:dyDescent="0.3">
      <c r="B18978" s="1" t="s">
        <v>13</v>
      </c>
      <c r="C18978" s="1" t="str">
        <f>"3차"</f>
        <v>3차</v>
      </c>
      <c r="D18978" s="1" t="str">
        <f>"9928E01239"</f>
        <v>9928E01239</v>
      </c>
      <c r="E18978" s="1" t="s">
        <v>10</v>
      </c>
      <c r="F18978" s="1" t="str">
        <f>"10.11.22.106"</f>
        <v>10.11.22.106</v>
      </c>
      <c r="G18978" s="1" t="str">
        <f>"9928E012"</f>
        <v>9928E012</v>
      </c>
      <c r="H18978" s="1" t="str">
        <f>"평창간 37"</f>
        <v>평창간 37</v>
      </c>
      <c r="I18978" s="1" t="s">
        <v>8</v>
      </c>
      <c r="J18978" s="1" t="str">
        <f>"10/10"</f>
        <v>10/10</v>
      </c>
      <c r="K18978" s="1" t="str">
        <f t="shared" si="949"/>
        <v>2026-07-29 13:18:14</v>
      </c>
      <c r="L18978" s="1" t="str">
        <f>"2018-02-27 15:31:59"</f>
        <v>2018-02-27 15:31:59</v>
      </c>
      <c r="M18978" s="1" t="s">
        <v>2</v>
      </c>
      <c r="N18978" s="1" t="s">
        <v>38</v>
      </c>
      <c r="O18978" s="1" t="s">
        <v>46</v>
      </c>
    </row>
    <row r="18979" spans="2:15" x14ac:dyDescent="0.3">
      <c r="B18979" s="1" t="s">
        <v>13</v>
      </c>
      <c r="C18979" s="1" t="str">
        <f>"4차"</f>
        <v>4차</v>
      </c>
      <c r="D18979" s="1" t="str">
        <f>"9928E04139"</f>
        <v>9928E04139</v>
      </c>
      <c r="E18979" s="1" t="s">
        <v>10</v>
      </c>
      <c r="F18979" s="1" t="str">
        <f>"10.11.41.138"</f>
        <v>10.11.41.138</v>
      </c>
      <c r="G18979" s="1" t="str">
        <f>"9928E041"</f>
        <v>9928E041</v>
      </c>
      <c r="H18979" s="1" t="str">
        <f>"평창간 41"</f>
        <v>평창간 41</v>
      </c>
      <c r="I18979" s="1" t="s">
        <v>8</v>
      </c>
      <c r="J18979" s="1" t="str">
        <f>"12/12"</f>
        <v>12/12</v>
      </c>
      <c r="K18979" s="1" t="str">
        <f t="shared" si="949"/>
        <v>2026-07-29 13:18:14</v>
      </c>
      <c r="L18979" s="1" t="str">
        <f>"2018-02-27 15:45:28"</f>
        <v>2018-02-27 15:45:28</v>
      </c>
      <c r="M18979" s="1" t="s">
        <v>2</v>
      </c>
      <c r="N18979" s="1" t="s">
        <v>38</v>
      </c>
      <c r="O18979" s="1" t="s">
        <v>46</v>
      </c>
    </row>
    <row r="18980" spans="2:15" x14ac:dyDescent="0.3">
      <c r="B18980" s="1" t="s">
        <v>13</v>
      </c>
      <c r="C18980" s="1" t="str">
        <f>"3차"</f>
        <v>3차</v>
      </c>
      <c r="D18980" s="1" t="str">
        <f>"9928E06130"</f>
        <v>9928E06130</v>
      </c>
      <c r="E18980" s="1" t="s">
        <v>10</v>
      </c>
      <c r="F18980" s="1" t="str">
        <f>"10.11.23.50"</f>
        <v>10.11.23.50</v>
      </c>
      <c r="G18980" s="1" t="str">
        <f>"9928E061"</f>
        <v>9928E061</v>
      </c>
      <c r="H18980" s="1" t="str">
        <f>"평창간 42R2"</f>
        <v>평창간 42R2</v>
      </c>
      <c r="I18980" s="1" t="s">
        <v>8</v>
      </c>
      <c r="J18980" s="1" t="str">
        <f>"5/5"</f>
        <v>5/5</v>
      </c>
      <c r="K18980" s="1" t="str">
        <f t="shared" si="949"/>
        <v>2026-07-29 13:18:14</v>
      </c>
      <c r="L18980" s="1" t="str">
        <f>"2018-03-12 13:19:57"</f>
        <v>2018-03-12 13:19:57</v>
      </c>
      <c r="M18980" s="1" t="s">
        <v>2</v>
      </c>
      <c r="N18980" s="1" t="s">
        <v>38</v>
      </c>
      <c r="O18980" s="1" t="s">
        <v>46</v>
      </c>
    </row>
    <row r="18981" spans="2:15" x14ac:dyDescent="0.3">
      <c r="B18981" s="1" t="s">
        <v>13</v>
      </c>
      <c r="C18981" s="1" t="str">
        <f>"3차"</f>
        <v>3차</v>
      </c>
      <c r="D18981" s="1" t="str">
        <f>"9928E07131"</f>
        <v>9928E07131</v>
      </c>
      <c r="E18981" s="1" t="s">
        <v>10</v>
      </c>
      <c r="F18981" s="1" t="str">
        <f>"10.11.23.51"</f>
        <v>10.11.23.51</v>
      </c>
      <c r="G18981" s="1" t="str">
        <f>"9928E071"</f>
        <v>9928E071</v>
      </c>
      <c r="H18981" s="1" t="str">
        <f>"평창간 42R3"</f>
        <v>평창간 42R3</v>
      </c>
      <c r="I18981" s="1" t="s">
        <v>8</v>
      </c>
      <c r="J18981" s="1" t="str">
        <f>"7/7"</f>
        <v>7/7</v>
      </c>
      <c r="K18981" s="1" t="str">
        <f t="shared" si="949"/>
        <v>2026-07-29 13:18:14</v>
      </c>
      <c r="L18981" s="1" t="str">
        <f>"2018-03-12 13:36:42"</f>
        <v>2018-03-12 13:36:42</v>
      </c>
      <c r="M18981" s="1" t="s">
        <v>2</v>
      </c>
      <c r="N18981" s="1" t="s">
        <v>38</v>
      </c>
      <c r="O18981" s="1" t="s">
        <v>46</v>
      </c>
    </row>
    <row r="18982" spans="2:15" x14ac:dyDescent="0.3">
      <c r="B18982" s="1" t="s">
        <v>13</v>
      </c>
      <c r="C18982" s="1" t="str">
        <f>"3차"</f>
        <v>3차</v>
      </c>
      <c r="D18982" s="1" t="str">
        <f>"9928E15139"</f>
        <v>9928E15139</v>
      </c>
      <c r="E18982" s="1" t="s">
        <v>10</v>
      </c>
      <c r="F18982" s="1" t="str">
        <f>"10.11.23.90"</f>
        <v>10.11.23.90</v>
      </c>
      <c r="G18982" s="1" t="str">
        <f>"9928E151"</f>
        <v>9928E151</v>
      </c>
      <c r="H18982" s="1" t="str">
        <f>"평창간 47R12"</f>
        <v>평창간 47R12</v>
      </c>
      <c r="I18982" s="1" t="s">
        <v>8</v>
      </c>
      <c r="J18982" s="1" t="str">
        <f>"13/13"</f>
        <v>13/13</v>
      </c>
      <c r="K18982" s="1" t="str">
        <f t="shared" si="949"/>
        <v>2026-07-29 13:18:14</v>
      </c>
      <c r="L18982" s="1" t="str">
        <f>"2018-02-24 16:42:28"</f>
        <v>2018-02-24 16:42:28</v>
      </c>
      <c r="M18982" s="1" t="s">
        <v>2</v>
      </c>
      <c r="N18982" s="1" t="s">
        <v>38</v>
      </c>
      <c r="O18982" s="1" t="s">
        <v>46</v>
      </c>
    </row>
    <row r="18983" spans="2:15" x14ac:dyDescent="0.3">
      <c r="B18983" s="1" t="s">
        <v>13</v>
      </c>
      <c r="C18983" s="1" t="str">
        <f>"3차"</f>
        <v>3차</v>
      </c>
      <c r="D18983" s="1" t="str">
        <f>"9928E15339"</f>
        <v>9928E15339</v>
      </c>
      <c r="E18983" s="1" t="s">
        <v>10</v>
      </c>
      <c r="F18983" s="1" t="str">
        <f>"10.11.42.42"</f>
        <v>10.11.42.42</v>
      </c>
      <c r="G18983" s="1" t="str">
        <f>"9928E153"</f>
        <v>9928E153</v>
      </c>
      <c r="H18983" s="1" t="str">
        <f>"평창간 47R13"</f>
        <v>평창간 47R13</v>
      </c>
      <c r="I18983" s="1" t="s">
        <v>8</v>
      </c>
      <c r="J18983" s="1" t="str">
        <f>"14/14"</f>
        <v>14/14</v>
      </c>
      <c r="K18983" s="1" t="str">
        <f t="shared" si="949"/>
        <v>2026-07-29 13:18:14</v>
      </c>
      <c r="L18983" s="1" t="str">
        <f>"2018-05-17 17:55:58"</f>
        <v>2018-05-17 17:55:58</v>
      </c>
      <c r="M18983" s="1" t="s">
        <v>2</v>
      </c>
      <c r="N18983" s="1" t="s">
        <v>38</v>
      </c>
      <c r="O18983" s="1" t="s">
        <v>46</v>
      </c>
    </row>
    <row r="18984" spans="2:15" x14ac:dyDescent="0.3">
      <c r="B18984" s="1" t="s">
        <v>13</v>
      </c>
      <c r="C18984" s="1" t="str">
        <f>"4차"</f>
        <v>4차</v>
      </c>
      <c r="D18984" s="1" t="str">
        <f>"9928E16139"</f>
        <v>9928E16139</v>
      </c>
      <c r="E18984" s="1" t="s">
        <v>10</v>
      </c>
      <c r="F18984" s="1" t="str">
        <f>"10.11.42.34"</f>
        <v>10.11.42.34</v>
      </c>
      <c r="G18984" s="1" t="str">
        <f>"9928E161"</f>
        <v>9928E161</v>
      </c>
      <c r="H18984" s="1" t="str">
        <f>"평창간 47R11"</f>
        <v>평창간 47R11</v>
      </c>
      <c r="I18984" s="1" t="s">
        <v>8</v>
      </c>
      <c r="J18984" s="1" t="str">
        <f>"5/5"</f>
        <v>5/5</v>
      </c>
      <c r="K18984" s="1" t="str">
        <f t="shared" si="949"/>
        <v>2026-07-29 13:18:14</v>
      </c>
      <c r="L18984" s="1" t="str">
        <f>"2024-01-10 14:53:03"</f>
        <v>2024-01-10 14:53:03</v>
      </c>
      <c r="M18984" s="1" t="s">
        <v>2</v>
      </c>
      <c r="N18984" s="1" t="s">
        <v>38</v>
      </c>
      <c r="O18984" s="1" t="s">
        <v>46</v>
      </c>
    </row>
    <row r="18985" spans="2:15" x14ac:dyDescent="0.3">
      <c r="B18985" s="1" t="s">
        <v>13</v>
      </c>
      <c r="C18985" s="1" t="str">
        <f t="shared" ref="C18985:C18992" si="950">"3차"</f>
        <v>3차</v>
      </c>
      <c r="D18985" s="1" t="str">
        <f>"9928E17139"</f>
        <v>9928E17139</v>
      </c>
      <c r="E18985" s="1" t="s">
        <v>10</v>
      </c>
      <c r="F18985" s="1" t="str">
        <f>"10.11.23.82"</f>
        <v>10.11.23.82</v>
      </c>
      <c r="G18985" s="1" t="str">
        <f>"9928E171"</f>
        <v>9928E171</v>
      </c>
      <c r="H18985" s="1" t="str">
        <f>"평창간 47R10"</f>
        <v>평창간 47R10</v>
      </c>
      <c r="I18985" s="1" t="s">
        <v>8</v>
      </c>
      <c r="J18985" s="1" t="str">
        <f>"7/7"</f>
        <v>7/7</v>
      </c>
      <c r="K18985" s="1" t="str">
        <f t="shared" si="949"/>
        <v>2026-07-29 13:18:14</v>
      </c>
      <c r="L18985" s="1" t="str">
        <f>"2018-02-24 16:11:58"</f>
        <v>2018-02-24 16:11:58</v>
      </c>
      <c r="M18985" s="1" t="s">
        <v>2</v>
      </c>
      <c r="N18985" s="1" t="s">
        <v>38</v>
      </c>
      <c r="O18985" s="1" t="s">
        <v>46</v>
      </c>
    </row>
    <row r="18986" spans="2:15" x14ac:dyDescent="0.3">
      <c r="B18986" s="1" t="s">
        <v>13</v>
      </c>
      <c r="C18986" s="1" t="str">
        <f t="shared" si="950"/>
        <v>3차</v>
      </c>
      <c r="D18986" s="1" t="str">
        <f>"9928E26139"</f>
        <v>9928E26139</v>
      </c>
      <c r="E18986" s="1" t="s">
        <v>10</v>
      </c>
      <c r="F18986" s="1" t="str">
        <f>"10.11.28.114"</f>
        <v>10.11.28.114</v>
      </c>
      <c r="G18986" s="1" t="str">
        <f>"9928E261"</f>
        <v>9928E261</v>
      </c>
      <c r="H18986" s="1" t="str">
        <f>"평창간 38R12L5"</f>
        <v>평창간 38R12L5</v>
      </c>
      <c r="I18986" s="1" t="s">
        <v>8</v>
      </c>
      <c r="J18986" s="1" t="str">
        <f>"9/9"</f>
        <v>9/9</v>
      </c>
      <c r="K18986" s="1" t="str">
        <f t="shared" si="949"/>
        <v>2026-07-29 13:18:14</v>
      </c>
      <c r="L18986" s="1" t="str">
        <f>"2017-12-07 17:03:32"</f>
        <v>2017-12-07 17:03:32</v>
      </c>
      <c r="M18986" s="1" t="s">
        <v>2</v>
      </c>
      <c r="N18986" s="1" t="s">
        <v>38</v>
      </c>
      <c r="O18986" s="1" t="s">
        <v>46</v>
      </c>
    </row>
    <row r="18987" spans="2:15" x14ac:dyDescent="0.3">
      <c r="B18987" s="1" t="s">
        <v>13</v>
      </c>
      <c r="C18987" s="1" t="str">
        <f t="shared" si="950"/>
        <v>3차</v>
      </c>
      <c r="D18987" s="1" t="str">
        <f>"9928E27139"</f>
        <v>9928E27139</v>
      </c>
      <c r="E18987" s="1" t="s">
        <v>10</v>
      </c>
      <c r="F18987" s="1" t="str">
        <f>"10.11.42.10"</f>
        <v>10.11.42.10</v>
      </c>
      <c r="G18987" s="1" t="str">
        <f>"9928E271"</f>
        <v>9928E271</v>
      </c>
      <c r="H18987" s="1" t="str">
        <f>"평창간 38R19"</f>
        <v>평창간 38R19</v>
      </c>
      <c r="I18987" s="1" t="s">
        <v>8</v>
      </c>
      <c r="J18987" s="1" t="str">
        <f>"10/10"</f>
        <v>10/10</v>
      </c>
      <c r="K18987" s="1" t="str">
        <f t="shared" si="949"/>
        <v>2026-07-29 13:18:14</v>
      </c>
      <c r="L18987" s="1" t="str">
        <f>"2018-02-24 14:49:28"</f>
        <v>2018-02-24 14:49:28</v>
      </c>
      <c r="M18987" s="1" t="s">
        <v>2</v>
      </c>
      <c r="N18987" s="1" t="s">
        <v>38</v>
      </c>
      <c r="O18987" s="1" t="s">
        <v>46</v>
      </c>
    </row>
    <row r="18988" spans="2:15" x14ac:dyDescent="0.3">
      <c r="B18988" s="1" t="s">
        <v>13</v>
      </c>
      <c r="C18988" s="1" t="str">
        <f t="shared" si="950"/>
        <v>3차</v>
      </c>
      <c r="D18988" s="1" t="str">
        <f>"9928E36139"</f>
        <v>9928E36139</v>
      </c>
      <c r="E18988" s="1" t="s">
        <v>10</v>
      </c>
      <c r="F18988" s="1" t="str">
        <f>"10.11.23.42"</f>
        <v>10.11.23.42</v>
      </c>
      <c r="G18988" s="1" t="str">
        <f>"9928E361"</f>
        <v>9928E361</v>
      </c>
      <c r="H18988" s="1" t="str">
        <f>"평창간 38R18"</f>
        <v>평창간 38R18</v>
      </c>
      <c r="I18988" s="1" t="s">
        <v>8</v>
      </c>
      <c r="J18988" s="1" t="str">
        <f>"14/14"</f>
        <v>14/14</v>
      </c>
      <c r="K18988" s="1" t="str">
        <f t="shared" si="949"/>
        <v>2026-07-29 13:18:14</v>
      </c>
      <c r="L18988" s="1" t="str">
        <f>"2018-02-24 14:38:12"</f>
        <v>2018-02-24 14:38:12</v>
      </c>
      <c r="M18988" s="1" t="s">
        <v>2</v>
      </c>
      <c r="N18988" s="1" t="s">
        <v>38</v>
      </c>
      <c r="O18988" s="1" t="s">
        <v>46</v>
      </c>
    </row>
    <row r="18989" spans="2:15" x14ac:dyDescent="0.3">
      <c r="B18989" s="1" t="s">
        <v>13</v>
      </c>
      <c r="C18989" s="1" t="str">
        <f t="shared" si="950"/>
        <v>3차</v>
      </c>
      <c r="D18989" s="1" t="str">
        <f>"9928P04139"</f>
        <v>9928P04139</v>
      </c>
      <c r="E18989" s="1" t="s">
        <v>10</v>
      </c>
      <c r="F18989" s="1" t="str">
        <f>"10.11.12.106"</f>
        <v>10.11.12.106</v>
      </c>
      <c r="G18989" s="1" t="str">
        <f>"9928P041"</f>
        <v>9928P041</v>
      </c>
      <c r="H18989" s="1" t="str">
        <f>"도시간 21R5"</f>
        <v>도시간 21R5</v>
      </c>
      <c r="I18989" s="1" t="s">
        <v>8</v>
      </c>
      <c r="J18989" s="1" t="str">
        <f>"9/9"</f>
        <v>9/9</v>
      </c>
      <c r="K18989" s="1" t="str">
        <f t="shared" si="949"/>
        <v>2026-07-29 13:18:14</v>
      </c>
      <c r="L18989" s="1" t="str">
        <f>"2018-02-26 19:04:51"</f>
        <v>2018-02-26 19:04:51</v>
      </c>
      <c r="M18989" s="1" t="s">
        <v>2</v>
      </c>
      <c r="N18989" s="1" t="s">
        <v>38</v>
      </c>
      <c r="O18989" s="1" t="s">
        <v>46</v>
      </c>
    </row>
    <row r="18990" spans="2:15" x14ac:dyDescent="0.3">
      <c r="B18990" s="1" t="s">
        <v>13</v>
      </c>
      <c r="C18990" s="1" t="str">
        <f t="shared" si="950"/>
        <v>3차</v>
      </c>
      <c r="D18990" s="1" t="str">
        <f>"9928P08131"</f>
        <v>9928P08131</v>
      </c>
      <c r="E18990" s="1" t="s">
        <v>10</v>
      </c>
      <c r="F18990" s="1" t="str">
        <f>"10.12.129.36"</f>
        <v>10.12.129.36</v>
      </c>
      <c r="G18990" s="1" t="str">
        <f>"9928P081"</f>
        <v>9928P081</v>
      </c>
      <c r="H18990" s="1" t="str">
        <f>"평창간 6"</f>
        <v>평창간 6</v>
      </c>
      <c r="I18990" s="1" t="s">
        <v>8</v>
      </c>
      <c r="J18990" s="1" t="str">
        <f>"10/10"</f>
        <v>10/10</v>
      </c>
      <c r="K18990" s="1" t="str">
        <f>"2026-07-29 13:18:16"</f>
        <v>2026-07-29 13:18:16</v>
      </c>
      <c r="L18990" s="1" t="str">
        <f>"2018-05-28 14:48:12"</f>
        <v>2018-05-28 14:48:12</v>
      </c>
      <c r="M18990" s="1" t="s">
        <v>0</v>
      </c>
      <c r="N18990" s="1" t="s">
        <v>38</v>
      </c>
      <c r="O18990" s="1" t="s">
        <v>46</v>
      </c>
    </row>
    <row r="18991" spans="2:15" x14ac:dyDescent="0.3">
      <c r="B18991" s="1" t="s">
        <v>13</v>
      </c>
      <c r="C18991" s="1" t="str">
        <f t="shared" si="950"/>
        <v>3차</v>
      </c>
      <c r="D18991" s="1" t="str">
        <f>"9928P13339"</f>
        <v>9928P13339</v>
      </c>
      <c r="E18991" s="1" t="s">
        <v>10</v>
      </c>
      <c r="F18991" s="1" t="str">
        <f>"10.11.30.154"</f>
        <v>10.11.30.154</v>
      </c>
      <c r="G18991" s="1" t="str">
        <f>"9928P133"</f>
        <v>9928P133</v>
      </c>
      <c r="H18991" s="1" t="str">
        <f>"도시간 21R7"</f>
        <v>도시간 21R7</v>
      </c>
      <c r="I18991" s="1" t="s">
        <v>8</v>
      </c>
      <c r="J18991" s="1" t="str">
        <f>"17/17"</f>
        <v>17/17</v>
      </c>
      <c r="K18991" s="1" t="str">
        <f t="shared" ref="K18991:K19007" si="951">"2026-07-29 13:18:14"</f>
        <v>2026-07-29 13:18:14</v>
      </c>
      <c r="L18991" s="1" t="str">
        <f>"2018-02-13 10:31:56"</f>
        <v>2018-02-13 10:31:56</v>
      </c>
      <c r="M18991" s="1" t="s">
        <v>2</v>
      </c>
      <c r="N18991" s="1" t="s">
        <v>38</v>
      </c>
      <c r="O18991" s="1" t="s">
        <v>46</v>
      </c>
    </row>
    <row r="18992" spans="2:15" x14ac:dyDescent="0.3">
      <c r="B18992" s="1" t="s">
        <v>13</v>
      </c>
      <c r="C18992" s="1" t="str">
        <f t="shared" si="950"/>
        <v>3차</v>
      </c>
      <c r="D18992" s="1" t="str">
        <f>"9928P17139"</f>
        <v>9928P17139</v>
      </c>
      <c r="E18992" s="1" t="s">
        <v>10</v>
      </c>
      <c r="F18992" s="1" t="str">
        <f>"10.11.30.178"</f>
        <v>10.11.30.178</v>
      </c>
      <c r="G18992" s="1" t="str">
        <f>"9928P171"</f>
        <v>9928P171</v>
      </c>
      <c r="H18992" s="1" t="str">
        <f>"도시간 25H1R3"</f>
        <v>도시간 25H1R3</v>
      </c>
      <c r="I18992" s="1" t="s">
        <v>8</v>
      </c>
      <c r="J18992" s="1" t="str">
        <f>"64/64"</f>
        <v>64/64</v>
      </c>
      <c r="K18992" s="1" t="str">
        <f t="shared" si="951"/>
        <v>2026-07-29 13:18:14</v>
      </c>
      <c r="L18992" s="1" t="str">
        <f>"2018-02-13 10:53:27"</f>
        <v>2018-02-13 10:53:27</v>
      </c>
      <c r="M18992" s="1" t="s">
        <v>2</v>
      </c>
      <c r="N18992" s="1" t="s">
        <v>38</v>
      </c>
      <c r="O18992" s="1" t="s">
        <v>46</v>
      </c>
    </row>
    <row r="18993" spans="2:15" x14ac:dyDescent="0.3">
      <c r="B18993" s="1" t="s">
        <v>13</v>
      </c>
      <c r="C18993" s="1" t="str">
        <f>"4차"</f>
        <v>4차</v>
      </c>
      <c r="D18993" s="1" t="str">
        <f>"9928P17539"</f>
        <v>9928P17539</v>
      </c>
      <c r="E18993" s="1" t="s">
        <v>10</v>
      </c>
      <c r="F18993" s="1" t="str">
        <f>"10.11.12.122"</f>
        <v>10.11.12.122</v>
      </c>
      <c r="G18993" s="1" t="str">
        <f>"9928P175"</f>
        <v>9928P175</v>
      </c>
      <c r="H18993" s="1" t="str">
        <f>"도시간 25H1R2"</f>
        <v>도시간 25H1R2</v>
      </c>
      <c r="I18993" s="1" t="s">
        <v>8</v>
      </c>
      <c r="J18993" s="1" t="str">
        <f>"19/19"</f>
        <v>19/19</v>
      </c>
      <c r="K18993" s="1" t="str">
        <f t="shared" si="951"/>
        <v>2026-07-29 13:18:14</v>
      </c>
      <c r="L18993" s="1" t="str">
        <f>"2018-05-17 15:03:57"</f>
        <v>2018-05-17 15:03:57</v>
      </c>
      <c r="M18993" s="1" t="s">
        <v>2</v>
      </c>
      <c r="N18993" s="1" t="s">
        <v>38</v>
      </c>
      <c r="O18993" s="1" t="s">
        <v>46</v>
      </c>
    </row>
    <row r="18994" spans="2:15" x14ac:dyDescent="0.3">
      <c r="B18994" s="1" t="s">
        <v>13</v>
      </c>
      <c r="C18994" s="1" t="str">
        <f>"4차"</f>
        <v>4차</v>
      </c>
      <c r="D18994" s="1" t="str">
        <f>"9928P22144"</f>
        <v>9928P22144</v>
      </c>
      <c r="E18994" s="1" t="s">
        <v>10</v>
      </c>
      <c r="F18994" s="1" t="str">
        <f>"10.11.12.114"</f>
        <v>10.11.12.114</v>
      </c>
      <c r="G18994" s="1" t="str">
        <f>"9928P221"</f>
        <v>9928P221</v>
      </c>
      <c r="H18994" s="1" t="str">
        <f>"도시간 21R9"</f>
        <v>도시간 21R9</v>
      </c>
      <c r="I18994" s="1" t="s">
        <v>8</v>
      </c>
      <c r="J18994" s="1" t="str">
        <f>"28/29"</f>
        <v>28/29</v>
      </c>
      <c r="K18994" s="1" t="str">
        <f t="shared" si="951"/>
        <v>2026-07-29 13:18:14</v>
      </c>
      <c r="L18994" s="1" t="str">
        <f>"2023-11-09 15:09:16"</f>
        <v>2023-11-09 15:09:16</v>
      </c>
      <c r="M18994" s="1" t="s">
        <v>2</v>
      </c>
      <c r="N18994" s="1" t="s">
        <v>38</v>
      </c>
      <c r="O18994" s="1" t="s">
        <v>46</v>
      </c>
    </row>
    <row r="18995" spans="2:15" x14ac:dyDescent="0.3">
      <c r="B18995" s="1" t="s">
        <v>13</v>
      </c>
      <c r="C18995" s="1" t="str">
        <f t="shared" ref="C18995:C19003" si="952">"3차"</f>
        <v>3차</v>
      </c>
      <c r="D18995" s="1" t="str">
        <f>"9928P31139"</f>
        <v>9928P31139</v>
      </c>
      <c r="E18995" s="1" t="s">
        <v>10</v>
      </c>
      <c r="F18995" s="1" t="str">
        <f>"10.11.30.162"</f>
        <v>10.11.30.162</v>
      </c>
      <c r="G18995" s="1" t="str">
        <f>"9928P311"</f>
        <v>9928P311</v>
      </c>
      <c r="H18995" s="1" t="str">
        <f>"도시간 21R10"</f>
        <v>도시간 21R10</v>
      </c>
      <c r="I18995" s="1" t="s">
        <v>8</v>
      </c>
      <c r="J18995" s="1" t="str">
        <f>"9/9"</f>
        <v>9/9</v>
      </c>
      <c r="K18995" s="1" t="str">
        <f t="shared" si="951"/>
        <v>2026-07-29 13:18:14</v>
      </c>
      <c r="L18995" s="1" t="str">
        <f>"2018-02-13 10:43:41"</f>
        <v>2018-02-13 10:43:41</v>
      </c>
      <c r="M18995" s="1" t="s">
        <v>2</v>
      </c>
      <c r="N18995" s="1" t="s">
        <v>38</v>
      </c>
      <c r="O18995" s="1" t="s">
        <v>46</v>
      </c>
    </row>
    <row r="18996" spans="2:15" x14ac:dyDescent="0.3">
      <c r="B18996" s="1" t="s">
        <v>13</v>
      </c>
      <c r="C18996" s="1" t="str">
        <f t="shared" si="952"/>
        <v>3차</v>
      </c>
      <c r="D18996" s="1" t="str">
        <f>"9929S20239"</f>
        <v>9929S20239</v>
      </c>
      <c r="E18996" s="1" t="s">
        <v>10</v>
      </c>
      <c r="F18996" s="1" t="str">
        <f>"10.11.40.114"</f>
        <v>10.11.40.114</v>
      </c>
      <c r="G18996" s="1" t="str">
        <f>"9929S202"</f>
        <v>9929S202</v>
      </c>
      <c r="H18996" s="1" t="str">
        <f>"청운간 144L9"</f>
        <v>청운간 144L9</v>
      </c>
      <c r="I18996" s="1" t="s">
        <v>8</v>
      </c>
      <c r="J18996" s="1" t="str">
        <f>"2/2"</f>
        <v>2/2</v>
      </c>
      <c r="K18996" s="1" t="str">
        <f t="shared" si="951"/>
        <v>2026-07-29 13:18:14</v>
      </c>
      <c r="L18996" s="1" t="str">
        <f>"2018-03-09 10:03:24"</f>
        <v>2018-03-09 10:03:24</v>
      </c>
      <c r="M18996" s="1" t="s">
        <v>2</v>
      </c>
      <c r="N18996" s="1" t="s">
        <v>38</v>
      </c>
      <c r="O18996" s="1" t="s">
        <v>46</v>
      </c>
    </row>
    <row r="18997" spans="2:15" x14ac:dyDescent="0.3">
      <c r="B18997" s="1" t="s">
        <v>13</v>
      </c>
      <c r="C18997" s="1" t="str">
        <f t="shared" si="952"/>
        <v>3차</v>
      </c>
      <c r="D18997" s="1" t="str">
        <f>"9929S21239"</f>
        <v>9929S21239</v>
      </c>
      <c r="E18997" s="1" t="s">
        <v>10</v>
      </c>
      <c r="F18997" s="1" t="str">
        <f>"10.11.21.42"</f>
        <v>10.11.21.42</v>
      </c>
      <c r="G18997" s="1" t="str">
        <f>"9929S212"</f>
        <v>9929S212</v>
      </c>
      <c r="H18997" s="1" t="str">
        <f>"청운간 144L11"</f>
        <v>청운간 144L11</v>
      </c>
      <c r="I18997" s="1" t="s">
        <v>8</v>
      </c>
      <c r="J18997" s="1" t="str">
        <f>"9/9"</f>
        <v>9/9</v>
      </c>
      <c r="K18997" s="1" t="str">
        <f t="shared" si="951"/>
        <v>2026-07-29 13:18:14</v>
      </c>
      <c r="L18997" s="1" t="str">
        <f>"2018-02-26 17:31:37"</f>
        <v>2018-02-26 17:31:37</v>
      </c>
      <c r="M18997" s="1" t="s">
        <v>2</v>
      </c>
      <c r="N18997" s="1" t="s">
        <v>38</v>
      </c>
      <c r="O18997" s="1" t="s">
        <v>46</v>
      </c>
    </row>
    <row r="18998" spans="2:15" x14ac:dyDescent="0.3">
      <c r="B18998" s="1" t="s">
        <v>13</v>
      </c>
      <c r="C18998" s="1" t="str">
        <f t="shared" si="952"/>
        <v>3차</v>
      </c>
      <c r="D18998" s="1" t="str">
        <f>"9929S32139"</f>
        <v>9929S32139</v>
      </c>
      <c r="E18998" s="1" t="s">
        <v>14</v>
      </c>
      <c r="F18998" s="1" t="str">
        <f>"10.11.19.10"</f>
        <v>10.11.19.10</v>
      </c>
      <c r="G18998" s="1" t="str">
        <f>"9929S321"</f>
        <v>9929S321</v>
      </c>
      <c r="H18998" s="1" t="str">
        <f>"청운간 144L14"</f>
        <v>청운간 144L14</v>
      </c>
      <c r="I18998" s="1" t="s">
        <v>8</v>
      </c>
      <c r="J18998" s="1" t="str">
        <f>"0/0"</f>
        <v>0/0</v>
      </c>
      <c r="K18998" s="1" t="str">
        <f t="shared" si="951"/>
        <v>2026-07-29 13:18:14</v>
      </c>
      <c r="L18998" s="1" t="str">
        <f>"2018-01-10 18:16:43"</f>
        <v>2018-01-10 18:16:43</v>
      </c>
      <c r="M18998" s="1" t="s">
        <v>2</v>
      </c>
      <c r="N18998" s="1" t="s">
        <v>44</v>
      </c>
      <c r="O18998" s="1" t="s">
        <v>44</v>
      </c>
    </row>
    <row r="18999" spans="2:15" x14ac:dyDescent="0.3">
      <c r="B18999" s="1" t="s">
        <v>13</v>
      </c>
      <c r="C18999" s="1" t="str">
        <f t="shared" si="952"/>
        <v>3차</v>
      </c>
      <c r="D18999" s="1" t="str">
        <f>"9929S51139"</f>
        <v>9929S51139</v>
      </c>
      <c r="E18999" s="1" t="s">
        <v>10</v>
      </c>
      <c r="F18999" s="1" t="str">
        <f>"10.11.41.146"</f>
        <v>10.11.41.146</v>
      </c>
      <c r="G18999" s="1" t="str">
        <f>"9929S511"</f>
        <v>9929S511</v>
      </c>
      <c r="H18999" s="1" t="str">
        <f>"평창간 51L1"</f>
        <v>평창간 51L1</v>
      </c>
      <c r="I18999" s="1" t="s">
        <v>8</v>
      </c>
      <c r="J18999" s="1" t="str">
        <f>"14/14"</f>
        <v>14/14</v>
      </c>
      <c r="K18999" s="1" t="str">
        <f t="shared" si="951"/>
        <v>2026-07-29 13:18:14</v>
      </c>
      <c r="L18999" s="1" t="str">
        <f>"2018-02-24 16:36:57"</f>
        <v>2018-02-24 16:36:57</v>
      </c>
      <c r="M18999" s="1" t="s">
        <v>2</v>
      </c>
      <c r="N18999" s="1" t="s">
        <v>38</v>
      </c>
      <c r="O18999" s="1" t="s">
        <v>46</v>
      </c>
    </row>
    <row r="19000" spans="2:15" x14ac:dyDescent="0.3">
      <c r="B19000" s="1" t="s">
        <v>13</v>
      </c>
      <c r="C19000" s="1" t="str">
        <f t="shared" si="952"/>
        <v>3차</v>
      </c>
      <c r="D19000" s="1" t="str">
        <f>"9929S53139"</f>
        <v>9929S53139</v>
      </c>
      <c r="E19000" s="1" t="s">
        <v>10</v>
      </c>
      <c r="F19000" s="1" t="str">
        <f>"10.11.22.138"</f>
        <v>10.11.22.138</v>
      </c>
      <c r="G19000" s="1" t="str">
        <f>"9929S531"</f>
        <v>9929S531</v>
      </c>
      <c r="H19000" s="1" t="str">
        <f>"평창간 52"</f>
        <v>평창간 52</v>
      </c>
      <c r="I19000" s="1" t="s">
        <v>8</v>
      </c>
      <c r="J19000" s="1" t="str">
        <f>"14/14"</f>
        <v>14/14</v>
      </c>
      <c r="K19000" s="1" t="str">
        <f t="shared" si="951"/>
        <v>2026-07-29 13:18:14</v>
      </c>
      <c r="L19000" s="1" t="str">
        <f>"2018-02-24 16:20:42"</f>
        <v>2018-02-24 16:20:42</v>
      </c>
      <c r="M19000" s="1" t="s">
        <v>2</v>
      </c>
      <c r="N19000" s="1" t="s">
        <v>38</v>
      </c>
      <c r="O19000" s="1" t="s">
        <v>46</v>
      </c>
    </row>
    <row r="19001" spans="2:15" x14ac:dyDescent="0.3">
      <c r="B19001" s="1" t="s">
        <v>13</v>
      </c>
      <c r="C19001" s="1" t="str">
        <f t="shared" si="952"/>
        <v>3차</v>
      </c>
      <c r="D19001" s="1" t="str">
        <f>"9929S62339"</f>
        <v>9929S62339</v>
      </c>
      <c r="E19001" s="1" t="s">
        <v>10</v>
      </c>
      <c r="F19001" s="1" t="str">
        <f>"10.11.42.74"</f>
        <v>10.11.42.74</v>
      </c>
      <c r="G19001" s="1" t="str">
        <f>"9929S623"</f>
        <v>9929S623</v>
      </c>
      <c r="H19001" s="1" t="str">
        <f>"평창간 51R2"</f>
        <v>평창간 51R2</v>
      </c>
      <c r="I19001" s="1" t="s">
        <v>8</v>
      </c>
      <c r="J19001" s="1" t="str">
        <f>"9/9"</f>
        <v>9/9</v>
      </c>
      <c r="K19001" s="1" t="str">
        <f t="shared" si="951"/>
        <v>2026-07-29 13:18:14</v>
      </c>
      <c r="L19001" s="1" t="str">
        <f>"2018-02-24 16:07:29"</f>
        <v>2018-02-24 16:07:29</v>
      </c>
      <c r="M19001" s="1" t="s">
        <v>2</v>
      </c>
      <c r="N19001" s="1" t="s">
        <v>38</v>
      </c>
      <c r="O19001" s="1" t="s">
        <v>46</v>
      </c>
    </row>
    <row r="19002" spans="2:15" x14ac:dyDescent="0.3">
      <c r="B19002" s="1" t="s">
        <v>13</v>
      </c>
      <c r="C19002" s="1" t="str">
        <f t="shared" si="952"/>
        <v>3차</v>
      </c>
      <c r="D19002" s="1" t="str">
        <f>"9929S71139"</f>
        <v>9929S71139</v>
      </c>
      <c r="E19002" s="1" t="s">
        <v>10</v>
      </c>
      <c r="F19002" s="1" t="str">
        <f>"10.11.22.130"</f>
        <v>10.11.22.130</v>
      </c>
      <c r="G19002" s="1" t="str">
        <f>"9929S711"</f>
        <v>9929S711</v>
      </c>
      <c r="H19002" s="1" t="str">
        <f>"평창간 49H1"</f>
        <v>평창간 49H1</v>
      </c>
      <c r="I19002" s="1" t="s">
        <v>8</v>
      </c>
      <c r="J19002" s="1" t="str">
        <f>"1/1"</f>
        <v>1/1</v>
      </c>
      <c r="K19002" s="1" t="str">
        <f t="shared" si="951"/>
        <v>2026-07-29 13:18:14</v>
      </c>
      <c r="L19002" s="1" t="str">
        <f>"2018-02-27 16:17:29"</f>
        <v>2018-02-27 16:17:29</v>
      </c>
      <c r="M19002" s="1" t="s">
        <v>2</v>
      </c>
      <c r="N19002" s="1" t="s">
        <v>38</v>
      </c>
      <c r="O19002" s="1" t="s">
        <v>46</v>
      </c>
    </row>
    <row r="19003" spans="2:15" x14ac:dyDescent="0.3">
      <c r="B19003" s="1" t="s">
        <v>13</v>
      </c>
      <c r="C19003" s="1" t="str">
        <f t="shared" si="952"/>
        <v>3차</v>
      </c>
      <c r="D19003" s="1" t="str">
        <f>"9929S84339"</f>
        <v>9929S84339</v>
      </c>
      <c r="E19003" s="1" t="s">
        <v>10</v>
      </c>
      <c r="F19003" s="1" t="str">
        <f>"10.11.28.154"</f>
        <v>10.11.28.154</v>
      </c>
      <c r="G19003" s="1" t="str">
        <f>"9929S843"</f>
        <v>9929S843</v>
      </c>
      <c r="H19003" s="1" t="str">
        <f>"평창간 51R7"</f>
        <v>평창간 51R7</v>
      </c>
      <c r="I19003" s="1" t="s">
        <v>8</v>
      </c>
      <c r="J19003" s="1" t="str">
        <f>"12/12"</f>
        <v>12/12</v>
      </c>
      <c r="K19003" s="1" t="str">
        <f t="shared" si="951"/>
        <v>2026-07-29 13:18:14</v>
      </c>
      <c r="L19003" s="1" t="str">
        <f>"2017-12-07 17:02:32"</f>
        <v>2017-12-07 17:02:32</v>
      </c>
      <c r="M19003" s="1" t="s">
        <v>2</v>
      </c>
      <c r="N19003" s="1" t="s">
        <v>38</v>
      </c>
      <c r="O19003" s="1" t="s">
        <v>46</v>
      </c>
    </row>
    <row r="19004" spans="2:15" x14ac:dyDescent="0.3">
      <c r="B19004" s="1" t="s">
        <v>13</v>
      </c>
      <c r="C19004" s="1" t="str">
        <f>"4차"</f>
        <v>4차</v>
      </c>
      <c r="D19004" s="1" t="str">
        <f>"9929Y02139"</f>
        <v>9929Y02139</v>
      </c>
      <c r="E19004" s="1" t="s">
        <v>10</v>
      </c>
      <c r="F19004" s="1" t="str">
        <f>"10.11.23.98"</f>
        <v>10.11.23.98</v>
      </c>
      <c r="G19004" s="1" t="str">
        <f>"9929Y021"</f>
        <v>9929Y021</v>
      </c>
      <c r="H19004" s="1" t="str">
        <f>"평창간 51R14"</f>
        <v>평창간 51R14</v>
      </c>
      <c r="I19004" s="1" t="s">
        <v>8</v>
      </c>
      <c r="J19004" s="1" t="str">
        <f>"14/14"</f>
        <v>14/14</v>
      </c>
      <c r="K19004" s="1" t="str">
        <f t="shared" si="951"/>
        <v>2026-07-29 13:18:14</v>
      </c>
      <c r="L19004" s="1" t="str">
        <f>"2018-02-24 15:29:27"</f>
        <v>2018-02-24 15:29:27</v>
      </c>
      <c r="M19004" s="1" t="s">
        <v>2</v>
      </c>
      <c r="N19004" s="1" t="s">
        <v>38</v>
      </c>
      <c r="O19004" s="1" t="s">
        <v>46</v>
      </c>
    </row>
    <row r="19005" spans="2:15" x14ac:dyDescent="0.3">
      <c r="B19005" s="1" t="s">
        <v>13</v>
      </c>
      <c r="C19005" s="1" t="str">
        <f>"4차"</f>
        <v>4차</v>
      </c>
      <c r="D19005" s="1" t="str">
        <f>"9929Y10330"</f>
        <v>9929Y10330</v>
      </c>
      <c r="E19005" s="1" t="s">
        <v>10</v>
      </c>
      <c r="F19005" s="1" t="str">
        <f>"10.11.23.74"</f>
        <v>10.11.23.74</v>
      </c>
      <c r="G19005" s="1" t="str">
        <f>"9929Y103"</f>
        <v>9929Y103</v>
      </c>
      <c r="H19005" s="1" t="str">
        <f>"평창간 47R5L1"</f>
        <v>평창간 47R5L1</v>
      </c>
      <c r="I19005" s="1" t="s">
        <v>8</v>
      </c>
      <c r="J19005" s="1" t="str">
        <f>"8/8"</f>
        <v>8/8</v>
      </c>
      <c r="K19005" s="1" t="str">
        <f t="shared" si="951"/>
        <v>2026-07-29 13:18:14</v>
      </c>
      <c r="L19005" s="1" t="str">
        <f>"2018-05-17 13:11:03"</f>
        <v>2018-05-17 13:11:03</v>
      </c>
      <c r="M19005" s="1" t="s">
        <v>2</v>
      </c>
      <c r="N19005" s="1" t="s">
        <v>38</v>
      </c>
      <c r="O19005" s="1" t="s">
        <v>46</v>
      </c>
    </row>
    <row r="19006" spans="2:15" x14ac:dyDescent="0.3">
      <c r="B19006" s="1" t="s">
        <v>13</v>
      </c>
      <c r="C19006" s="1" t="str">
        <f>"4차"</f>
        <v>4차</v>
      </c>
      <c r="D19006" s="1" t="str">
        <f>"9929Y12139"</f>
        <v>9929Y12139</v>
      </c>
      <c r="E19006" s="1" t="s">
        <v>10</v>
      </c>
      <c r="F19006" s="1" t="str">
        <f>"10.11.23.106"</f>
        <v>10.11.23.106</v>
      </c>
      <c r="G19006" s="1" t="str">
        <f>"9929Y121"</f>
        <v>9929Y121</v>
      </c>
      <c r="H19006" s="1" t="str">
        <f>"평창간 51R16"</f>
        <v>평창간 51R16</v>
      </c>
      <c r="I19006" s="1" t="s">
        <v>8</v>
      </c>
      <c r="J19006" s="1" t="str">
        <f>"8/8"</f>
        <v>8/8</v>
      </c>
      <c r="K19006" s="1" t="str">
        <f t="shared" si="951"/>
        <v>2026-07-29 13:18:14</v>
      </c>
      <c r="L19006" s="1" t="str">
        <f>"2018-02-24 15:14:42"</f>
        <v>2018-02-24 15:14:42</v>
      </c>
      <c r="M19006" s="1" t="s">
        <v>2</v>
      </c>
      <c r="N19006" s="1" t="s">
        <v>38</v>
      </c>
      <c r="O19006" s="1" t="s">
        <v>46</v>
      </c>
    </row>
    <row r="19007" spans="2:15" x14ac:dyDescent="0.3">
      <c r="B19007" s="1" t="s">
        <v>13</v>
      </c>
      <c r="C19007" s="1" t="str">
        <f>"4차"</f>
        <v>4차</v>
      </c>
      <c r="D19007" s="1" t="str">
        <f>"9929Y22139"</f>
        <v>9929Y22139</v>
      </c>
      <c r="E19007" s="1" t="s">
        <v>10</v>
      </c>
      <c r="F19007" s="1" t="str">
        <f>"10.11.42.66"</f>
        <v>10.11.42.66</v>
      </c>
      <c r="G19007" s="1" t="str">
        <f>"9929Y221"</f>
        <v>9929Y221</v>
      </c>
      <c r="H19007" s="1" t="str">
        <f>"평창간 51R17"</f>
        <v>평창간 51R17</v>
      </c>
      <c r="I19007" s="1" t="s">
        <v>8</v>
      </c>
      <c r="J19007" s="1" t="str">
        <f>"3/3"</f>
        <v>3/3</v>
      </c>
      <c r="K19007" s="1" t="str">
        <f t="shared" si="951"/>
        <v>2026-07-29 13:18:14</v>
      </c>
      <c r="L19007" s="1" t="str">
        <f>"2018-02-24 15:14:28"</f>
        <v>2018-02-24 15:14:28</v>
      </c>
      <c r="M19007" s="1" t="s">
        <v>2</v>
      </c>
      <c r="N19007" s="1" t="s">
        <v>38</v>
      </c>
      <c r="O19007" s="1" t="s">
        <v>46</v>
      </c>
    </row>
    <row r="19008" spans="2:15" x14ac:dyDescent="0.3">
      <c r="B19008" s="1" t="s">
        <v>11</v>
      </c>
      <c r="C19008" s="1" t="str">
        <f>"1차"</f>
        <v>1차</v>
      </c>
      <c r="D19008" s="1" t="str">
        <f>"0218G89200"</f>
        <v>0218G89200</v>
      </c>
      <c r="E19008" s="1" t="s">
        <v>12</v>
      </c>
      <c r="F19008" s="1" t="str">
        <f>"10.107.3.93"</f>
        <v>10.107.3.93</v>
      </c>
      <c r="G19008" s="1" t="str">
        <f>"0218G892"</f>
        <v>0218G892</v>
      </c>
      <c r="H19008" s="1" t="s">
        <v>9</v>
      </c>
      <c r="I19008" s="1" t="s">
        <v>8</v>
      </c>
      <c r="J19008" s="1" t="str">
        <f>"0/44"</f>
        <v>0/44</v>
      </c>
      <c r="K19008" s="1" t="str">
        <f>"2026-07-27 01:18:02"</f>
        <v>2026-07-27 01:18:02</v>
      </c>
      <c r="L19008" s="1" t="str">
        <f>"2022-06-08 12:22:38"</f>
        <v>2022-06-08 12:22:38</v>
      </c>
      <c r="M19008" s="1" t="s">
        <v>45</v>
      </c>
      <c r="N19008" s="1" t="s">
        <v>38</v>
      </c>
      <c r="O19008" s="1" t="s">
        <v>46</v>
      </c>
    </row>
    <row r="19009" spans="2:15" x14ac:dyDescent="0.3">
      <c r="B19009" s="1" t="s">
        <v>11</v>
      </c>
      <c r="C19009" s="1" t="str">
        <f>"4차"</f>
        <v>4차</v>
      </c>
      <c r="D19009" s="1" t="str">
        <f>"0230C91244"</f>
        <v>0230C91244</v>
      </c>
      <c r="E19009" s="1" t="s">
        <v>10</v>
      </c>
      <c r="F19009" s="1" t="str">
        <f>"10.107.252.46"</f>
        <v>10.107.252.46</v>
      </c>
      <c r="G19009" s="1" t="str">
        <f>"0230C912"</f>
        <v>0230C912</v>
      </c>
      <c r="H19009" s="1" t="s">
        <v>9</v>
      </c>
      <c r="I19009" s="1" t="s">
        <v>8</v>
      </c>
      <c r="J19009" s="1" t="str">
        <f>"29/33"</f>
        <v>29/33</v>
      </c>
      <c r="K19009" s="1" t="str">
        <f>"2026-07-29 13:18:01"</f>
        <v>2026-07-29 13:18:01</v>
      </c>
      <c r="L19009" s="1" t="str">
        <f>"2023-08-21 14:21:31"</f>
        <v>2023-08-21 14:21:31</v>
      </c>
      <c r="M19009" s="1" t="s">
        <v>45</v>
      </c>
      <c r="N19009" s="1" t="s">
        <v>38</v>
      </c>
      <c r="O19009" s="1" t="s">
        <v>46</v>
      </c>
    </row>
  </sheetData>
  <autoFilter ref="B2:O19009" xr:uid="{965B68D0-C7A3-455F-908D-491E633330C3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17C5-0F72-4812-8B09-5719927B355E}">
  <sheetPr>
    <pageSetUpPr fitToPage="1"/>
  </sheetPr>
  <dimension ref="B2:N177"/>
  <sheetViews>
    <sheetView tabSelected="1" zoomScale="85" zoomScaleNormal="85" workbookViewId="0"/>
  </sheetViews>
  <sheetFormatPr defaultRowHeight="16.5" x14ac:dyDescent="0.3"/>
  <cols>
    <col min="2" max="2" width="15.125" bestFit="1" customWidth="1"/>
    <col min="3" max="3" width="6.125" bestFit="1" customWidth="1"/>
    <col min="4" max="4" width="12.875" bestFit="1" customWidth="1"/>
    <col min="5" max="5" width="9.625" bestFit="1" customWidth="1"/>
    <col min="6" max="6" width="25.375" bestFit="1" customWidth="1"/>
    <col min="7" max="7" width="11" bestFit="1" customWidth="1"/>
    <col min="8" max="8" width="17.75" bestFit="1" customWidth="1"/>
    <col min="10" max="10" width="17.875" bestFit="1" customWidth="1"/>
    <col min="11" max="11" width="13.25" bestFit="1" customWidth="1"/>
    <col min="12" max="12" width="13.25" customWidth="1"/>
    <col min="14" max="14" width="17.875" bestFit="1" customWidth="1"/>
  </cols>
  <sheetData>
    <row r="2" spans="2:14" x14ac:dyDescent="0.3">
      <c r="B2" s="1" t="s">
        <v>35</v>
      </c>
      <c r="C2" s="1" t="s">
        <v>34</v>
      </c>
      <c r="D2" s="1" t="s">
        <v>33</v>
      </c>
      <c r="E2" s="1" t="s">
        <v>32</v>
      </c>
      <c r="F2" s="1" t="s">
        <v>31</v>
      </c>
      <c r="G2" s="1" t="s">
        <v>30</v>
      </c>
      <c r="H2" s="1" t="s">
        <v>29</v>
      </c>
      <c r="I2" s="2" t="s">
        <v>721</v>
      </c>
      <c r="J2" s="2" t="s">
        <v>722</v>
      </c>
      <c r="K2" s="1" t="s">
        <v>1399</v>
      </c>
      <c r="L2" s="1" t="s">
        <v>796</v>
      </c>
      <c r="M2" s="2" t="s">
        <v>795</v>
      </c>
      <c r="N2" s="2" t="s">
        <v>1398</v>
      </c>
    </row>
    <row r="3" spans="2:14" x14ac:dyDescent="0.3">
      <c r="B3" s="1" t="s">
        <v>24</v>
      </c>
      <c r="C3" s="1" t="s">
        <v>55</v>
      </c>
      <c r="D3" s="1" t="s">
        <v>56</v>
      </c>
      <c r="E3" s="1" t="s">
        <v>14</v>
      </c>
      <c r="F3" s="1" t="s">
        <v>57</v>
      </c>
      <c r="G3" s="1" t="s">
        <v>58</v>
      </c>
      <c r="H3" s="1" t="s">
        <v>59</v>
      </c>
      <c r="I3" s="1" t="s">
        <v>8</v>
      </c>
      <c r="J3" s="1">
        <v>24</v>
      </c>
      <c r="K3" s="1">
        <v>19</v>
      </c>
      <c r="L3" s="1">
        <v>5</v>
      </c>
      <c r="M3" s="2" t="s">
        <v>44</v>
      </c>
      <c r="N3" s="1" t="s">
        <v>41</v>
      </c>
    </row>
    <row r="4" spans="2:14" x14ac:dyDescent="0.3">
      <c r="B4" s="1" t="s">
        <v>24</v>
      </c>
      <c r="C4" s="1" t="s">
        <v>60</v>
      </c>
      <c r="D4" s="1" t="s">
        <v>61</v>
      </c>
      <c r="E4" s="1" t="s">
        <v>14</v>
      </c>
      <c r="F4" s="1" t="s">
        <v>62</v>
      </c>
      <c r="G4" s="1" t="s">
        <v>63</v>
      </c>
      <c r="H4" s="1" t="s">
        <v>64</v>
      </c>
      <c r="I4" s="1" t="s">
        <v>8</v>
      </c>
      <c r="J4" s="1">
        <v>41</v>
      </c>
      <c r="K4" s="1">
        <v>32</v>
      </c>
      <c r="L4" s="1">
        <v>9</v>
      </c>
      <c r="M4" s="1" t="s">
        <v>44</v>
      </c>
      <c r="N4" s="1" t="s">
        <v>41</v>
      </c>
    </row>
    <row r="5" spans="2:14" x14ac:dyDescent="0.3">
      <c r="B5" s="1" t="s">
        <v>24</v>
      </c>
      <c r="C5" s="1" t="s">
        <v>60</v>
      </c>
      <c r="D5" s="1" t="s">
        <v>65</v>
      </c>
      <c r="E5" s="1" t="s">
        <v>14</v>
      </c>
      <c r="F5" s="1" t="s">
        <v>66</v>
      </c>
      <c r="G5" s="1" t="s">
        <v>67</v>
      </c>
      <c r="H5" s="1" t="s">
        <v>68</v>
      </c>
      <c r="I5" s="1" t="s">
        <v>8</v>
      </c>
      <c r="J5" s="1">
        <v>0</v>
      </c>
      <c r="K5" s="1">
        <v>0</v>
      </c>
      <c r="L5" s="1">
        <v>0</v>
      </c>
      <c r="M5" s="1" t="s">
        <v>44</v>
      </c>
      <c r="N5" s="1"/>
    </row>
    <row r="6" spans="2:14" x14ac:dyDescent="0.3">
      <c r="B6" s="1" t="s">
        <v>24</v>
      </c>
      <c r="C6" s="1" t="s">
        <v>60</v>
      </c>
      <c r="D6" s="1" t="s">
        <v>69</v>
      </c>
      <c r="E6" s="1" t="s">
        <v>14</v>
      </c>
      <c r="F6" s="1" t="s">
        <v>70</v>
      </c>
      <c r="G6" s="1" t="s">
        <v>71</v>
      </c>
      <c r="H6" s="1" t="s">
        <v>72</v>
      </c>
      <c r="I6" s="1" t="s">
        <v>8</v>
      </c>
      <c r="J6" s="1">
        <v>69</v>
      </c>
      <c r="K6" s="1">
        <v>59</v>
      </c>
      <c r="L6" s="1">
        <v>10</v>
      </c>
      <c r="M6" s="1" t="s">
        <v>44</v>
      </c>
      <c r="N6" s="1" t="s">
        <v>41</v>
      </c>
    </row>
    <row r="7" spans="2:14" x14ac:dyDescent="0.3">
      <c r="B7" s="1" t="s">
        <v>24</v>
      </c>
      <c r="C7" s="1" t="s">
        <v>60</v>
      </c>
      <c r="D7" s="1" t="s">
        <v>73</v>
      </c>
      <c r="E7" s="1" t="s">
        <v>14</v>
      </c>
      <c r="F7" s="1" t="s">
        <v>74</v>
      </c>
      <c r="G7" s="1" t="s">
        <v>75</v>
      </c>
      <c r="H7" s="1" t="s">
        <v>76</v>
      </c>
      <c r="I7" s="1" t="s">
        <v>17</v>
      </c>
      <c r="J7" s="1" t="s">
        <v>726</v>
      </c>
      <c r="K7" s="1">
        <v>49</v>
      </c>
      <c r="L7" s="1">
        <v>0</v>
      </c>
      <c r="M7" s="1" t="s">
        <v>44</v>
      </c>
      <c r="N7" s="1" t="s">
        <v>41</v>
      </c>
    </row>
    <row r="8" spans="2:14" x14ac:dyDescent="0.3">
      <c r="B8" s="1" t="s">
        <v>24</v>
      </c>
      <c r="C8" s="1" t="s">
        <v>60</v>
      </c>
      <c r="D8" s="1" t="s">
        <v>77</v>
      </c>
      <c r="E8" s="1" t="s">
        <v>14</v>
      </c>
      <c r="F8" s="1" t="s">
        <v>78</v>
      </c>
      <c r="G8" s="1" t="s">
        <v>79</v>
      </c>
      <c r="H8" s="1" t="s">
        <v>80</v>
      </c>
      <c r="I8" s="1" t="s">
        <v>17</v>
      </c>
      <c r="J8" s="1" t="s">
        <v>727</v>
      </c>
      <c r="K8" s="1">
        <v>84</v>
      </c>
      <c r="L8" s="1">
        <v>0</v>
      </c>
      <c r="M8" s="1" t="s">
        <v>44</v>
      </c>
      <c r="N8" s="1" t="s">
        <v>41</v>
      </c>
    </row>
    <row r="9" spans="2:14" x14ac:dyDescent="0.3">
      <c r="B9" s="1" t="s">
        <v>24</v>
      </c>
      <c r="C9" s="1" t="s">
        <v>60</v>
      </c>
      <c r="D9" s="1" t="s">
        <v>81</v>
      </c>
      <c r="E9" s="1" t="s">
        <v>14</v>
      </c>
      <c r="F9" s="1" t="s">
        <v>82</v>
      </c>
      <c r="G9" s="1" t="s">
        <v>83</v>
      </c>
      <c r="H9" s="1" t="s">
        <v>84</v>
      </c>
      <c r="I9" s="1" t="s">
        <v>8</v>
      </c>
      <c r="J9" s="1">
        <v>28</v>
      </c>
      <c r="K9" s="1">
        <v>17</v>
      </c>
      <c r="L9" s="1">
        <v>11</v>
      </c>
      <c r="M9" s="1" t="s">
        <v>44</v>
      </c>
      <c r="N9" s="1" t="s">
        <v>41</v>
      </c>
    </row>
    <row r="10" spans="2:14" x14ac:dyDescent="0.3">
      <c r="B10" s="1" t="s">
        <v>24</v>
      </c>
      <c r="C10" s="1" t="s">
        <v>60</v>
      </c>
      <c r="D10" s="1" t="s">
        <v>85</v>
      </c>
      <c r="E10" s="1" t="s">
        <v>14</v>
      </c>
      <c r="F10" s="1" t="s">
        <v>86</v>
      </c>
      <c r="G10" s="1" t="s">
        <v>87</v>
      </c>
      <c r="H10" s="1" t="s">
        <v>88</v>
      </c>
      <c r="I10" s="1" t="s">
        <v>8</v>
      </c>
      <c r="J10" s="4">
        <v>58</v>
      </c>
      <c r="K10" s="4">
        <v>7</v>
      </c>
      <c r="L10" s="4">
        <v>51</v>
      </c>
      <c r="M10" s="4" t="s">
        <v>797</v>
      </c>
      <c r="N10" s="1" t="s">
        <v>41</v>
      </c>
    </row>
    <row r="11" spans="2:14" x14ac:dyDescent="0.3">
      <c r="B11" s="1" t="s">
        <v>24</v>
      </c>
      <c r="C11" s="1" t="s">
        <v>60</v>
      </c>
      <c r="D11" s="1" t="s">
        <v>89</v>
      </c>
      <c r="E11" s="1" t="s">
        <v>14</v>
      </c>
      <c r="F11" s="1" t="s">
        <v>90</v>
      </c>
      <c r="G11" s="1" t="s">
        <v>91</v>
      </c>
      <c r="H11" s="1" t="s">
        <v>92</v>
      </c>
      <c r="I11" s="1" t="s">
        <v>8</v>
      </c>
      <c r="J11" s="1">
        <v>41</v>
      </c>
      <c r="K11" s="1">
        <v>38</v>
      </c>
      <c r="L11" s="1">
        <v>3</v>
      </c>
      <c r="M11" s="1" t="s">
        <v>44</v>
      </c>
      <c r="N11" s="1"/>
    </row>
    <row r="12" spans="2:14" x14ac:dyDescent="0.3">
      <c r="B12" s="1" t="s">
        <v>24</v>
      </c>
      <c r="C12" s="1" t="s">
        <v>93</v>
      </c>
      <c r="D12" s="1" t="s">
        <v>94</v>
      </c>
      <c r="E12" s="1" t="s">
        <v>14</v>
      </c>
      <c r="F12" s="1" t="s">
        <v>95</v>
      </c>
      <c r="G12" s="1" t="s">
        <v>96</v>
      </c>
      <c r="H12" s="1" t="s">
        <v>97</v>
      </c>
      <c r="I12" s="1" t="s">
        <v>8</v>
      </c>
      <c r="J12" s="1">
        <v>14</v>
      </c>
      <c r="K12" s="1">
        <v>13</v>
      </c>
      <c r="L12" s="1">
        <v>1</v>
      </c>
      <c r="M12" s="1" t="s">
        <v>44</v>
      </c>
      <c r="N12" s="1" t="s">
        <v>41</v>
      </c>
    </row>
    <row r="13" spans="2:14" x14ac:dyDescent="0.3">
      <c r="B13" s="1" t="s">
        <v>24</v>
      </c>
      <c r="C13" s="1" t="s">
        <v>60</v>
      </c>
      <c r="D13" s="1" t="s">
        <v>98</v>
      </c>
      <c r="E13" s="1" t="s">
        <v>14</v>
      </c>
      <c r="F13" s="1" t="s">
        <v>99</v>
      </c>
      <c r="G13" s="1" t="s">
        <v>100</v>
      </c>
      <c r="H13" s="1" t="s">
        <v>101</v>
      </c>
      <c r="I13" s="1" t="s">
        <v>8</v>
      </c>
      <c r="J13" s="1">
        <v>30</v>
      </c>
      <c r="K13" s="1">
        <v>22</v>
      </c>
      <c r="L13" s="1">
        <v>8</v>
      </c>
      <c r="M13" s="1" t="s">
        <v>44</v>
      </c>
      <c r="N13" s="1"/>
    </row>
    <row r="14" spans="2:14" x14ac:dyDescent="0.3">
      <c r="B14" s="1" t="s">
        <v>24</v>
      </c>
      <c r="C14" s="1" t="s">
        <v>93</v>
      </c>
      <c r="D14" s="1" t="s">
        <v>102</v>
      </c>
      <c r="E14" s="1" t="s">
        <v>14</v>
      </c>
      <c r="F14" s="1" t="s">
        <v>103</v>
      </c>
      <c r="G14" s="1" t="s">
        <v>104</v>
      </c>
      <c r="H14" s="1" t="s">
        <v>105</v>
      </c>
      <c r="I14" s="1" t="s">
        <v>8</v>
      </c>
      <c r="J14" s="2">
        <v>29</v>
      </c>
      <c r="K14" s="2">
        <v>9</v>
      </c>
      <c r="L14" s="2">
        <v>20</v>
      </c>
      <c r="M14" s="2" t="s">
        <v>44</v>
      </c>
      <c r="N14" s="1" t="s">
        <v>41</v>
      </c>
    </row>
    <row r="15" spans="2:14" x14ac:dyDescent="0.3">
      <c r="B15" s="1" t="s">
        <v>24</v>
      </c>
      <c r="C15" s="1" t="s">
        <v>93</v>
      </c>
      <c r="D15" s="1" t="s">
        <v>106</v>
      </c>
      <c r="E15" s="1" t="s">
        <v>14</v>
      </c>
      <c r="F15" s="1" t="s">
        <v>107</v>
      </c>
      <c r="G15" s="1" t="s">
        <v>108</v>
      </c>
      <c r="H15" s="1" t="s">
        <v>109</v>
      </c>
      <c r="I15" s="1" t="s">
        <v>8</v>
      </c>
      <c r="J15" s="1">
        <v>0</v>
      </c>
      <c r="K15" s="1">
        <v>0</v>
      </c>
      <c r="L15" s="1">
        <v>0</v>
      </c>
      <c r="M15" s="1" t="s">
        <v>44</v>
      </c>
      <c r="N15" s="1"/>
    </row>
    <row r="16" spans="2:14" x14ac:dyDescent="0.3">
      <c r="B16" s="1" t="s">
        <v>24</v>
      </c>
      <c r="C16" s="1" t="s">
        <v>93</v>
      </c>
      <c r="D16" s="1" t="s">
        <v>110</v>
      </c>
      <c r="E16" s="1" t="s">
        <v>14</v>
      </c>
      <c r="F16" s="1" t="s">
        <v>111</v>
      </c>
      <c r="G16" s="1" t="s">
        <v>112</v>
      </c>
      <c r="H16" s="1" t="s">
        <v>113</v>
      </c>
      <c r="I16" s="1" t="s">
        <v>8</v>
      </c>
      <c r="J16" s="1" t="s">
        <v>732</v>
      </c>
      <c r="K16" s="1">
        <v>1</v>
      </c>
      <c r="L16" s="1">
        <v>1</v>
      </c>
      <c r="M16" s="1" t="s">
        <v>44</v>
      </c>
      <c r="N16" s="1"/>
    </row>
    <row r="17" spans="2:14" x14ac:dyDescent="0.3">
      <c r="B17" s="1" t="s">
        <v>24</v>
      </c>
      <c r="C17" s="1" t="s">
        <v>114</v>
      </c>
      <c r="D17" s="1" t="s">
        <v>115</v>
      </c>
      <c r="E17" s="1" t="s">
        <v>14</v>
      </c>
      <c r="F17" s="1" t="s">
        <v>116</v>
      </c>
      <c r="G17" s="1" t="s">
        <v>117</v>
      </c>
      <c r="H17" s="1" t="s">
        <v>118</v>
      </c>
      <c r="I17" s="1" t="s">
        <v>8</v>
      </c>
      <c r="J17" s="1">
        <v>15</v>
      </c>
      <c r="K17" s="1">
        <v>14</v>
      </c>
      <c r="L17" s="1">
        <v>1</v>
      </c>
      <c r="M17" s="1" t="s">
        <v>44</v>
      </c>
      <c r="N17" s="1" t="s">
        <v>41</v>
      </c>
    </row>
    <row r="18" spans="2:14" x14ac:dyDescent="0.3">
      <c r="B18" s="1" t="s">
        <v>24</v>
      </c>
      <c r="C18" s="1" t="s">
        <v>55</v>
      </c>
      <c r="D18" s="1" t="s">
        <v>119</v>
      </c>
      <c r="E18" s="1" t="s">
        <v>14</v>
      </c>
      <c r="F18" s="1" t="s">
        <v>120</v>
      </c>
      <c r="G18" s="1" t="s">
        <v>121</v>
      </c>
      <c r="H18" s="1" t="s">
        <v>122</v>
      </c>
      <c r="I18" s="1" t="s">
        <v>8</v>
      </c>
      <c r="J18" s="19">
        <v>74</v>
      </c>
      <c r="K18" s="19">
        <v>32</v>
      </c>
      <c r="L18" s="19">
        <v>42</v>
      </c>
      <c r="M18" s="1" t="s">
        <v>44</v>
      </c>
      <c r="N18" s="1"/>
    </row>
    <row r="19" spans="2:14" x14ac:dyDescent="0.3">
      <c r="B19" s="1" t="s">
        <v>24</v>
      </c>
      <c r="C19" s="1" t="s">
        <v>123</v>
      </c>
      <c r="D19" s="1" t="s">
        <v>124</v>
      </c>
      <c r="E19" s="1" t="s">
        <v>14</v>
      </c>
      <c r="F19" s="1" t="s">
        <v>125</v>
      </c>
      <c r="G19" s="1" t="s">
        <v>126</v>
      </c>
      <c r="H19" s="1" t="s">
        <v>127</v>
      </c>
      <c r="I19" s="1" t="s">
        <v>15</v>
      </c>
      <c r="J19" s="4">
        <v>92</v>
      </c>
      <c r="K19" s="4">
        <v>81</v>
      </c>
      <c r="L19" s="4">
        <v>11</v>
      </c>
      <c r="M19" s="4" t="s">
        <v>797</v>
      </c>
      <c r="N19" s="1"/>
    </row>
    <row r="20" spans="2:14" x14ac:dyDescent="0.3">
      <c r="B20" s="1" t="s">
        <v>24</v>
      </c>
      <c r="C20" s="1" t="s">
        <v>55</v>
      </c>
      <c r="D20" s="1" t="s">
        <v>128</v>
      </c>
      <c r="E20" s="1" t="s">
        <v>14</v>
      </c>
      <c r="F20" s="1" t="s">
        <v>129</v>
      </c>
      <c r="G20" s="1" t="s">
        <v>130</v>
      </c>
      <c r="H20" s="1" t="s">
        <v>131</v>
      </c>
      <c r="I20" s="1" t="s">
        <v>8</v>
      </c>
      <c r="J20" s="1">
        <v>93</v>
      </c>
      <c r="K20" s="1">
        <v>58</v>
      </c>
      <c r="L20" s="1">
        <v>35</v>
      </c>
      <c r="M20" s="1" t="s">
        <v>44</v>
      </c>
      <c r="N20" s="1" t="s">
        <v>41</v>
      </c>
    </row>
    <row r="21" spans="2:14" x14ac:dyDescent="0.3">
      <c r="B21" s="1" t="s">
        <v>24</v>
      </c>
      <c r="C21" s="1" t="s">
        <v>93</v>
      </c>
      <c r="D21" s="1" t="s">
        <v>132</v>
      </c>
      <c r="E21" s="1" t="s">
        <v>14</v>
      </c>
      <c r="F21" s="1" t="s">
        <v>133</v>
      </c>
      <c r="G21" s="1" t="s">
        <v>134</v>
      </c>
      <c r="H21" s="1" t="s">
        <v>135</v>
      </c>
      <c r="I21" s="1" t="s">
        <v>8</v>
      </c>
      <c r="J21" s="2">
        <v>85</v>
      </c>
      <c r="K21" s="2">
        <v>54</v>
      </c>
      <c r="L21" s="2">
        <v>31</v>
      </c>
      <c r="M21" s="2" t="s">
        <v>44</v>
      </c>
      <c r="N21" s="1" t="s">
        <v>41</v>
      </c>
    </row>
    <row r="22" spans="2:14" x14ac:dyDescent="0.3">
      <c r="B22" s="1" t="s">
        <v>24</v>
      </c>
      <c r="C22" s="1" t="s">
        <v>60</v>
      </c>
      <c r="D22" s="1" t="s">
        <v>136</v>
      </c>
      <c r="E22" s="1" t="s">
        <v>14</v>
      </c>
      <c r="F22" s="1" t="s">
        <v>137</v>
      </c>
      <c r="G22" s="1" t="s">
        <v>138</v>
      </c>
      <c r="H22" s="1" t="s">
        <v>139</v>
      </c>
      <c r="I22" s="1" t="s">
        <v>17</v>
      </c>
      <c r="J22" s="4" t="s">
        <v>735</v>
      </c>
      <c r="K22" s="4">
        <v>32</v>
      </c>
      <c r="L22" s="4">
        <v>83</v>
      </c>
      <c r="M22" s="4" t="s">
        <v>797</v>
      </c>
      <c r="N22" s="1" t="s">
        <v>41</v>
      </c>
    </row>
    <row r="23" spans="2:14" x14ac:dyDescent="0.3">
      <c r="B23" s="1" t="s">
        <v>23</v>
      </c>
      <c r="C23" s="1" t="s">
        <v>55</v>
      </c>
      <c r="D23" s="1" t="s">
        <v>140</v>
      </c>
      <c r="E23" s="1" t="s">
        <v>14</v>
      </c>
      <c r="F23" s="1" t="s">
        <v>141</v>
      </c>
      <c r="G23" s="1" t="s">
        <v>142</v>
      </c>
      <c r="H23" s="1" t="s">
        <v>143</v>
      </c>
      <c r="I23" s="1" t="s">
        <v>8</v>
      </c>
      <c r="J23" s="1" t="s">
        <v>736</v>
      </c>
      <c r="K23" s="1">
        <v>47</v>
      </c>
      <c r="L23" s="1">
        <v>13</v>
      </c>
      <c r="M23" s="1" t="s">
        <v>44</v>
      </c>
      <c r="N23" s="1"/>
    </row>
    <row r="24" spans="2:14" x14ac:dyDescent="0.3">
      <c r="B24" s="1" t="s">
        <v>23</v>
      </c>
      <c r="C24" s="1" t="s">
        <v>60</v>
      </c>
      <c r="D24" s="1" t="s">
        <v>144</v>
      </c>
      <c r="E24" s="1" t="s">
        <v>14</v>
      </c>
      <c r="F24" s="1" t="s">
        <v>145</v>
      </c>
      <c r="G24" s="1" t="s">
        <v>146</v>
      </c>
      <c r="H24" s="1" t="s">
        <v>147</v>
      </c>
      <c r="I24" s="1" t="s">
        <v>8</v>
      </c>
      <c r="J24" s="1" t="s">
        <v>737</v>
      </c>
      <c r="K24" s="1">
        <v>12</v>
      </c>
      <c r="L24" s="1">
        <v>0</v>
      </c>
      <c r="M24" s="1" t="s">
        <v>44</v>
      </c>
      <c r="N24" s="1"/>
    </row>
    <row r="25" spans="2:14" x14ac:dyDescent="0.3">
      <c r="B25" s="1" t="s">
        <v>23</v>
      </c>
      <c r="C25" s="1" t="s">
        <v>60</v>
      </c>
      <c r="D25" s="1" t="s">
        <v>148</v>
      </c>
      <c r="E25" s="1" t="s">
        <v>14</v>
      </c>
      <c r="F25" s="1" t="s">
        <v>149</v>
      </c>
      <c r="G25" s="1" t="s">
        <v>150</v>
      </c>
      <c r="H25" s="1" t="s">
        <v>151</v>
      </c>
      <c r="I25" s="1" t="s">
        <v>8</v>
      </c>
      <c r="J25" s="1" t="s">
        <v>738</v>
      </c>
      <c r="K25" s="1">
        <v>48</v>
      </c>
      <c r="L25" s="1">
        <v>18</v>
      </c>
      <c r="M25" s="1" t="s">
        <v>44</v>
      </c>
      <c r="N25" s="1"/>
    </row>
    <row r="26" spans="2:14" x14ac:dyDescent="0.3">
      <c r="B26" s="1" t="s">
        <v>23</v>
      </c>
      <c r="C26" s="1" t="s">
        <v>60</v>
      </c>
      <c r="D26" s="1" t="s">
        <v>152</v>
      </c>
      <c r="E26" s="1" t="s">
        <v>14</v>
      </c>
      <c r="F26" s="1" t="s">
        <v>153</v>
      </c>
      <c r="G26" s="1" t="s">
        <v>154</v>
      </c>
      <c r="H26" s="1" t="s">
        <v>155</v>
      </c>
      <c r="I26" s="1" t="s">
        <v>8</v>
      </c>
      <c r="J26" s="1" t="s">
        <v>739</v>
      </c>
      <c r="K26" s="1">
        <v>41</v>
      </c>
      <c r="L26" s="1">
        <v>9</v>
      </c>
      <c r="M26" s="1" t="s">
        <v>44</v>
      </c>
      <c r="N26" s="1" t="s">
        <v>41</v>
      </c>
    </row>
    <row r="27" spans="2:14" x14ac:dyDescent="0.3">
      <c r="B27" s="1" t="s">
        <v>23</v>
      </c>
      <c r="C27" s="1" t="s">
        <v>93</v>
      </c>
      <c r="D27" s="1" t="s">
        <v>156</v>
      </c>
      <c r="E27" s="1" t="s">
        <v>14</v>
      </c>
      <c r="F27" s="1" t="s">
        <v>157</v>
      </c>
      <c r="G27" s="1" t="s">
        <v>158</v>
      </c>
      <c r="H27" s="1" t="s">
        <v>159</v>
      </c>
      <c r="I27" s="1" t="s">
        <v>8</v>
      </c>
      <c r="J27" s="1" t="s">
        <v>740</v>
      </c>
      <c r="K27" s="1">
        <v>18</v>
      </c>
      <c r="L27" s="1">
        <v>0</v>
      </c>
      <c r="M27" s="1" t="s">
        <v>44</v>
      </c>
      <c r="N27" s="1"/>
    </row>
    <row r="28" spans="2:14" x14ac:dyDescent="0.3">
      <c r="B28" s="1" t="s">
        <v>23</v>
      </c>
      <c r="C28" s="1" t="s">
        <v>60</v>
      </c>
      <c r="D28" s="1" t="s">
        <v>160</v>
      </c>
      <c r="E28" s="1" t="s">
        <v>14</v>
      </c>
      <c r="F28" s="1" t="s">
        <v>161</v>
      </c>
      <c r="G28" s="1" t="s">
        <v>162</v>
      </c>
      <c r="H28" s="1" t="s">
        <v>163</v>
      </c>
      <c r="I28" s="1" t="s">
        <v>8</v>
      </c>
      <c r="J28" s="1" t="s">
        <v>731</v>
      </c>
      <c r="K28" s="1">
        <v>25</v>
      </c>
      <c r="L28" s="1">
        <v>4</v>
      </c>
      <c r="M28" s="1" t="s">
        <v>44</v>
      </c>
      <c r="N28" s="1"/>
    </row>
    <row r="29" spans="2:14" x14ac:dyDescent="0.3">
      <c r="B29" s="1" t="s">
        <v>23</v>
      </c>
      <c r="C29" s="1" t="s">
        <v>60</v>
      </c>
      <c r="D29" s="1" t="s">
        <v>164</v>
      </c>
      <c r="E29" s="1" t="s">
        <v>14</v>
      </c>
      <c r="F29" s="1" t="s">
        <v>165</v>
      </c>
      <c r="G29" s="1" t="s">
        <v>166</v>
      </c>
      <c r="H29" s="1" t="s">
        <v>167</v>
      </c>
      <c r="I29" s="1" t="s">
        <v>8</v>
      </c>
      <c r="J29" s="1" t="s">
        <v>739</v>
      </c>
      <c r="K29" s="1">
        <v>50</v>
      </c>
      <c r="L29" s="1">
        <v>0</v>
      </c>
      <c r="M29" s="1" t="s">
        <v>44</v>
      </c>
      <c r="N29" s="1" t="s">
        <v>41</v>
      </c>
    </row>
    <row r="30" spans="2:14" x14ac:dyDescent="0.3">
      <c r="B30" s="1" t="s">
        <v>23</v>
      </c>
      <c r="C30" s="1" t="s">
        <v>60</v>
      </c>
      <c r="D30" s="1" t="s">
        <v>168</v>
      </c>
      <c r="E30" s="1" t="s">
        <v>14</v>
      </c>
      <c r="F30" s="1" t="s">
        <v>169</v>
      </c>
      <c r="G30" s="1" t="s">
        <v>170</v>
      </c>
      <c r="H30" s="1" t="s">
        <v>171</v>
      </c>
      <c r="I30" s="1" t="s">
        <v>8</v>
      </c>
      <c r="J30" s="1">
        <v>0</v>
      </c>
      <c r="K30" s="1">
        <v>0</v>
      </c>
      <c r="L30" s="1">
        <v>0</v>
      </c>
      <c r="M30" s="1" t="s">
        <v>44</v>
      </c>
      <c r="N30" s="1"/>
    </row>
    <row r="31" spans="2:14" x14ac:dyDescent="0.3">
      <c r="B31" s="1" t="s">
        <v>23</v>
      </c>
      <c r="C31" s="1" t="s">
        <v>60</v>
      </c>
      <c r="D31" s="1" t="s">
        <v>172</v>
      </c>
      <c r="E31" s="1" t="s">
        <v>14</v>
      </c>
      <c r="F31" s="1" t="s">
        <v>173</v>
      </c>
      <c r="G31" s="1" t="s">
        <v>174</v>
      </c>
      <c r="H31" s="1" t="s">
        <v>175</v>
      </c>
      <c r="I31" s="1" t="s">
        <v>8</v>
      </c>
      <c r="J31" s="1" t="s">
        <v>741</v>
      </c>
      <c r="K31" s="1">
        <v>10</v>
      </c>
      <c r="L31" s="1">
        <v>0</v>
      </c>
      <c r="M31" s="1" t="s">
        <v>44</v>
      </c>
      <c r="N31" s="1"/>
    </row>
    <row r="32" spans="2:14" x14ac:dyDescent="0.3">
      <c r="B32" s="1" t="s">
        <v>22</v>
      </c>
      <c r="C32" s="1" t="s">
        <v>114</v>
      </c>
      <c r="D32" s="1" t="s">
        <v>176</v>
      </c>
      <c r="E32" s="1" t="s">
        <v>14</v>
      </c>
      <c r="F32" s="1" t="s">
        <v>177</v>
      </c>
      <c r="G32" s="1" t="s">
        <v>178</v>
      </c>
      <c r="H32" s="1" t="s">
        <v>179</v>
      </c>
      <c r="I32" s="1" t="s">
        <v>8</v>
      </c>
      <c r="J32" s="1" t="s">
        <v>742</v>
      </c>
      <c r="K32" s="1">
        <v>31</v>
      </c>
      <c r="L32" s="1">
        <v>0</v>
      </c>
      <c r="M32" s="1" t="s">
        <v>44</v>
      </c>
      <c r="N32" s="1"/>
    </row>
    <row r="33" spans="2:14" x14ac:dyDescent="0.3">
      <c r="B33" s="1" t="s">
        <v>22</v>
      </c>
      <c r="C33" s="1" t="s">
        <v>114</v>
      </c>
      <c r="D33" s="1" t="s">
        <v>180</v>
      </c>
      <c r="E33" s="1" t="s">
        <v>14</v>
      </c>
      <c r="F33" s="1" t="s">
        <v>181</v>
      </c>
      <c r="G33" s="1" t="s">
        <v>182</v>
      </c>
      <c r="H33" s="1" t="s">
        <v>183</v>
      </c>
      <c r="I33" s="1" t="s">
        <v>8</v>
      </c>
      <c r="J33" s="1">
        <v>0</v>
      </c>
      <c r="K33" s="1">
        <v>0</v>
      </c>
      <c r="L33" s="1">
        <v>0</v>
      </c>
      <c r="M33" s="1" t="s">
        <v>44</v>
      </c>
      <c r="N33" s="1"/>
    </row>
    <row r="34" spans="2:14" x14ac:dyDescent="0.3">
      <c r="B34" s="1" t="s">
        <v>22</v>
      </c>
      <c r="C34" s="1" t="s">
        <v>114</v>
      </c>
      <c r="D34" s="1" t="s">
        <v>184</v>
      </c>
      <c r="E34" s="1" t="s">
        <v>14</v>
      </c>
      <c r="F34" s="1" t="s">
        <v>185</v>
      </c>
      <c r="G34" s="1" t="s">
        <v>186</v>
      </c>
      <c r="H34" s="1" t="s">
        <v>187</v>
      </c>
      <c r="I34" s="1" t="s">
        <v>8</v>
      </c>
      <c r="J34" s="1">
        <v>0</v>
      </c>
      <c r="K34" s="1">
        <v>0</v>
      </c>
      <c r="L34" s="1">
        <v>0</v>
      </c>
      <c r="M34" s="1" t="s">
        <v>44</v>
      </c>
      <c r="N34" s="1"/>
    </row>
    <row r="35" spans="2:14" x14ac:dyDescent="0.3">
      <c r="B35" s="1" t="s">
        <v>22</v>
      </c>
      <c r="C35" s="1" t="s">
        <v>114</v>
      </c>
      <c r="D35" s="1" t="s">
        <v>188</v>
      </c>
      <c r="E35" s="1" t="s">
        <v>14</v>
      </c>
      <c r="F35" s="1" t="s">
        <v>189</v>
      </c>
      <c r="G35" s="1" t="s">
        <v>190</v>
      </c>
      <c r="H35" s="1" t="s">
        <v>191</v>
      </c>
      <c r="I35" s="1" t="s">
        <v>8</v>
      </c>
      <c r="J35" s="1" t="s">
        <v>743</v>
      </c>
      <c r="K35" s="1">
        <v>1</v>
      </c>
      <c r="L35" s="1">
        <v>0</v>
      </c>
      <c r="M35" s="1" t="s">
        <v>44</v>
      </c>
      <c r="N35" s="1"/>
    </row>
    <row r="36" spans="2:14" x14ac:dyDescent="0.3">
      <c r="B36" s="1" t="s">
        <v>22</v>
      </c>
      <c r="C36" s="1" t="s">
        <v>114</v>
      </c>
      <c r="D36" s="1" t="s">
        <v>192</v>
      </c>
      <c r="E36" s="1" t="s">
        <v>14</v>
      </c>
      <c r="F36" s="1" t="s">
        <v>193</v>
      </c>
      <c r="G36" s="1" t="s">
        <v>194</v>
      </c>
      <c r="H36" s="1" t="s">
        <v>195</v>
      </c>
      <c r="I36" s="1" t="s">
        <v>8</v>
      </c>
      <c r="J36" s="1">
        <v>0</v>
      </c>
      <c r="K36" s="1">
        <v>0</v>
      </c>
      <c r="L36" s="1">
        <v>0</v>
      </c>
      <c r="M36" s="1" t="s">
        <v>44</v>
      </c>
      <c r="N36" s="1"/>
    </row>
    <row r="37" spans="2:14" x14ac:dyDescent="0.3">
      <c r="B37" s="1" t="s">
        <v>22</v>
      </c>
      <c r="C37" s="1" t="s">
        <v>114</v>
      </c>
      <c r="D37" s="1" t="s">
        <v>196</v>
      </c>
      <c r="E37" s="1" t="s">
        <v>14</v>
      </c>
      <c r="F37" s="1" t="s">
        <v>197</v>
      </c>
      <c r="G37" s="1" t="s">
        <v>198</v>
      </c>
      <c r="H37" s="1" t="s">
        <v>199</v>
      </c>
      <c r="I37" s="1" t="s">
        <v>8</v>
      </c>
      <c r="J37" s="1" t="s">
        <v>744</v>
      </c>
      <c r="K37" s="1">
        <v>3</v>
      </c>
      <c r="L37" s="1">
        <v>0</v>
      </c>
      <c r="M37" s="1" t="s">
        <v>44</v>
      </c>
      <c r="N37" s="1"/>
    </row>
    <row r="38" spans="2:14" x14ac:dyDescent="0.3">
      <c r="B38" s="1" t="s">
        <v>22</v>
      </c>
      <c r="C38" s="1" t="s">
        <v>93</v>
      </c>
      <c r="D38" s="1" t="s">
        <v>200</v>
      </c>
      <c r="E38" s="1" t="s">
        <v>14</v>
      </c>
      <c r="F38" s="1" t="s">
        <v>201</v>
      </c>
      <c r="G38" s="1" t="s">
        <v>202</v>
      </c>
      <c r="H38" s="1" t="s">
        <v>203</v>
      </c>
      <c r="I38" s="1" t="s">
        <v>8</v>
      </c>
      <c r="J38" s="1" t="s">
        <v>745</v>
      </c>
      <c r="K38" s="1">
        <v>16</v>
      </c>
      <c r="L38" s="1">
        <v>0</v>
      </c>
      <c r="M38" s="1" t="s">
        <v>44</v>
      </c>
      <c r="N38" s="1" t="s">
        <v>41</v>
      </c>
    </row>
    <row r="39" spans="2:14" x14ac:dyDescent="0.3">
      <c r="B39" s="1" t="s">
        <v>22</v>
      </c>
      <c r="C39" s="1" t="s">
        <v>60</v>
      </c>
      <c r="D39" s="1" t="s">
        <v>204</v>
      </c>
      <c r="E39" s="1" t="s">
        <v>14</v>
      </c>
      <c r="F39" s="1" t="s">
        <v>205</v>
      </c>
      <c r="G39" s="1" t="s">
        <v>206</v>
      </c>
      <c r="H39" s="1" t="s">
        <v>207</v>
      </c>
      <c r="I39" s="1" t="s">
        <v>8</v>
      </c>
      <c r="J39" s="1" t="s">
        <v>746</v>
      </c>
      <c r="K39" s="1">
        <v>81</v>
      </c>
      <c r="L39" s="1">
        <v>0</v>
      </c>
      <c r="M39" s="1" t="s">
        <v>44</v>
      </c>
      <c r="N39" s="1"/>
    </row>
    <row r="40" spans="2:14" x14ac:dyDescent="0.3">
      <c r="B40" s="1" t="s">
        <v>22</v>
      </c>
      <c r="C40" s="1" t="s">
        <v>114</v>
      </c>
      <c r="D40" s="1" t="s">
        <v>208</v>
      </c>
      <c r="E40" s="1" t="s">
        <v>14</v>
      </c>
      <c r="F40" s="1" t="s">
        <v>209</v>
      </c>
      <c r="G40" s="1" t="s">
        <v>210</v>
      </c>
      <c r="H40" s="1" t="s">
        <v>211</v>
      </c>
      <c r="I40" s="1" t="s">
        <v>8</v>
      </c>
      <c r="J40" s="1" t="s">
        <v>737</v>
      </c>
      <c r="K40" s="1">
        <v>11</v>
      </c>
      <c r="L40" s="1">
        <v>1</v>
      </c>
      <c r="M40" s="1" t="s">
        <v>44</v>
      </c>
      <c r="N40" s="1" t="s">
        <v>41</v>
      </c>
    </row>
    <row r="41" spans="2:14" x14ac:dyDescent="0.3">
      <c r="B41" s="1" t="s">
        <v>22</v>
      </c>
      <c r="C41" s="1" t="s">
        <v>93</v>
      </c>
      <c r="D41" s="1" t="s">
        <v>212</v>
      </c>
      <c r="E41" s="1" t="s">
        <v>14</v>
      </c>
      <c r="F41" s="1" t="s">
        <v>213</v>
      </c>
      <c r="G41" s="1" t="s">
        <v>214</v>
      </c>
      <c r="H41" s="1" t="s">
        <v>215</v>
      </c>
      <c r="I41" s="1" t="s">
        <v>8</v>
      </c>
      <c r="J41" s="1" t="s">
        <v>729</v>
      </c>
      <c r="K41" s="1">
        <v>2</v>
      </c>
      <c r="L41" s="1">
        <v>5</v>
      </c>
      <c r="M41" s="1" t="s">
        <v>44</v>
      </c>
      <c r="N41" s="1"/>
    </row>
    <row r="42" spans="2:14" x14ac:dyDescent="0.3">
      <c r="B42" s="1" t="s">
        <v>22</v>
      </c>
      <c r="C42" s="1" t="s">
        <v>60</v>
      </c>
      <c r="D42" s="1" t="s">
        <v>216</v>
      </c>
      <c r="E42" s="1" t="s">
        <v>14</v>
      </c>
      <c r="F42" s="1" t="s">
        <v>217</v>
      </c>
      <c r="G42" s="1" t="s">
        <v>218</v>
      </c>
      <c r="H42" s="1" t="s">
        <v>219</v>
      </c>
      <c r="I42" s="1" t="s">
        <v>8</v>
      </c>
      <c r="J42" s="1" t="s">
        <v>747</v>
      </c>
      <c r="K42" s="1">
        <v>45</v>
      </c>
      <c r="L42" s="1">
        <v>3</v>
      </c>
      <c r="M42" s="1" t="s">
        <v>44</v>
      </c>
      <c r="N42" s="1" t="s">
        <v>41</v>
      </c>
    </row>
    <row r="43" spans="2:14" x14ac:dyDescent="0.3">
      <c r="B43" s="1" t="s">
        <v>22</v>
      </c>
      <c r="C43" s="1" t="s">
        <v>220</v>
      </c>
      <c r="D43" s="1" t="s">
        <v>221</v>
      </c>
      <c r="E43" s="1" t="s">
        <v>14</v>
      </c>
      <c r="F43" s="1" t="s">
        <v>222</v>
      </c>
      <c r="G43" s="1" t="s">
        <v>223</v>
      </c>
      <c r="H43" s="1" t="s">
        <v>224</v>
      </c>
      <c r="I43" s="1" t="s">
        <v>15</v>
      </c>
      <c r="J43" s="1" t="s">
        <v>748</v>
      </c>
      <c r="K43" s="1">
        <v>45</v>
      </c>
      <c r="L43" s="1">
        <v>13</v>
      </c>
      <c r="M43" s="1" t="s">
        <v>44</v>
      </c>
      <c r="N43" s="1"/>
    </row>
    <row r="44" spans="2:14" x14ac:dyDescent="0.3">
      <c r="B44" s="1" t="s">
        <v>22</v>
      </c>
      <c r="C44" s="1" t="s">
        <v>123</v>
      </c>
      <c r="D44" s="1" t="s">
        <v>225</v>
      </c>
      <c r="E44" s="1" t="s">
        <v>14</v>
      </c>
      <c r="F44" s="1" t="s">
        <v>226</v>
      </c>
      <c r="G44" s="1" t="s">
        <v>227</v>
      </c>
      <c r="H44" s="1" t="s">
        <v>228</v>
      </c>
      <c r="I44" s="1" t="s">
        <v>15</v>
      </c>
      <c r="J44" s="1" t="s">
        <v>732</v>
      </c>
      <c r="K44" s="1">
        <v>1</v>
      </c>
      <c r="L44" s="1">
        <v>1</v>
      </c>
      <c r="M44" s="1" t="s">
        <v>44</v>
      </c>
      <c r="N44" s="1" t="s">
        <v>41</v>
      </c>
    </row>
    <row r="45" spans="2:14" x14ac:dyDescent="0.3">
      <c r="B45" s="1" t="s">
        <v>22</v>
      </c>
      <c r="C45" s="1" t="s">
        <v>60</v>
      </c>
      <c r="D45" s="1" t="s">
        <v>229</v>
      </c>
      <c r="E45" s="1" t="s">
        <v>14</v>
      </c>
      <c r="F45" s="1" t="s">
        <v>230</v>
      </c>
      <c r="G45" s="1" t="s">
        <v>231</v>
      </c>
      <c r="H45" s="1" t="s">
        <v>232</v>
      </c>
      <c r="I45" s="1" t="s">
        <v>17</v>
      </c>
      <c r="J45" s="1" t="s">
        <v>749</v>
      </c>
      <c r="K45" s="1">
        <v>75</v>
      </c>
      <c r="L45" s="1">
        <v>0</v>
      </c>
      <c r="M45" s="1" t="s">
        <v>44</v>
      </c>
      <c r="N45" s="1" t="s">
        <v>41</v>
      </c>
    </row>
    <row r="46" spans="2:14" x14ac:dyDescent="0.3">
      <c r="B46" s="1" t="s">
        <v>22</v>
      </c>
      <c r="C46" s="1" t="s">
        <v>60</v>
      </c>
      <c r="D46" s="1" t="s">
        <v>233</v>
      </c>
      <c r="E46" s="1" t="s">
        <v>14</v>
      </c>
      <c r="F46" s="1" t="s">
        <v>234</v>
      </c>
      <c r="G46" s="1" t="s">
        <v>235</v>
      </c>
      <c r="H46" s="1" t="s">
        <v>236</v>
      </c>
      <c r="I46" s="1" t="s">
        <v>17</v>
      </c>
      <c r="J46" s="1" t="s">
        <v>750</v>
      </c>
      <c r="K46" s="1">
        <v>119</v>
      </c>
      <c r="L46" s="1">
        <v>0</v>
      </c>
      <c r="M46" s="1" t="s">
        <v>44</v>
      </c>
      <c r="N46" s="1" t="s">
        <v>41</v>
      </c>
    </row>
    <row r="47" spans="2:14" x14ac:dyDescent="0.3">
      <c r="B47" s="1" t="s">
        <v>22</v>
      </c>
      <c r="C47" s="1" t="s">
        <v>60</v>
      </c>
      <c r="D47" s="1" t="s">
        <v>237</v>
      </c>
      <c r="E47" s="1" t="s">
        <v>14</v>
      </c>
      <c r="F47" s="1" t="s">
        <v>238</v>
      </c>
      <c r="G47" s="1" t="s">
        <v>239</v>
      </c>
      <c r="H47" s="1" t="s">
        <v>240</v>
      </c>
      <c r="I47" s="1" t="s">
        <v>8</v>
      </c>
      <c r="J47" s="1" t="s">
        <v>743</v>
      </c>
      <c r="K47" s="1">
        <v>1</v>
      </c>
      <c r="L47" s="1">
        <v>0</v>
      </c>
      <c r="M47" s="1" t="s">
        <v>44</v>
      </c>
      <c r="N47" s="1"/>
    </row>
    <row r="48" spans="2:14" x14ac:dyDescent="0.3">
      <c r="B48" s="1" t="s">
        <v>22</v>
      </c>
      <c r="C48" s="1" t="s">
        <v>60</v>
      </c>
      <c r="D48" s="1" t="s">
        <v>241</v>
      </c>
      <c r="E48" s="1" t="s">
        <v>14</v>
      </c>
      <c r="F48" s="1" t="s">
        <v>242</v>
      </c>
      <c r="G48" s="1" t="s">
        <v>243</v>
      </c>
      <c r="H48" s="1" t="s">
        <v>244</v>
      </c>
      <c r="I48" s="1" t="s">
        <v>17</v>
      </c>
      <c r="J48" s="1" t="s">
        <v>751</v>
      </c>
      <c r="K48" s="1">
        <v>21</v>
      </c>
      <c r="L48" s="1">
        <v>0</v>
      </c>
      <c r="M48" s="1" t="s">
        <v>44</v>
      </c>
      <c r="N48" s="1" t="s">
        <v>41</v>
      </c>
    </row>
    <row r="49" spans="2:14" x14ac:dyDescent="0.3">
      <c r="B49" s="1" t="s">
        <v>22</v>
      </c>
      <c r="C49" s="1" t="s">
        <v>60</v>
      </c>
      <c r="D49" s="1" t="s">
        <v>245</v>
      </c>
      <c r="E49" s="1" t="s">
        <v>14</v>
      </c>
      <c r="F49" s="1" t="s">
        <v>246</v>
      </c>
      <c r="G49" s="1" t="s">
        <v>247</v>
      </c>
      <c r="H49" s="1" t="s">
        <v>248</v>
      </c>
      <c r="I49" s="1" t="s">
        <v>8</v>
      </c>
      <c r="J49" s="1" t="s">
        <v>744</v>
      </c>
      <c r="K49" s="1">
        <v>1</v>
      </c>
      <c r="L49" s="1">
        <v>2</v>
      </c>
      <c r="M49" s="1" t="s">
        <v>44</v>
      </c>
      <c r="N49" s="1" t="s">
        <v>41</v>
      </c>
    </row>
    <row r="50" spans="2:14" x14ac:dyDescent="0.3">
      <c r="B50" s="1" t="s">
        <v>22</v>
      </c>
      <c r="C50" s="1" t="s">
        <v>60</v>
      </c>
      <c r="D50" s="1" t="s">
        <v>249</v>
      </c>
      <c r="E50" s="1" t="s">
        <v>14</v>
      </c>
      <c r="F50" s="1" t="s">
        <v>250</v>
      </c>
      <c r="G50" s="1" t="s">
        <v>251</v>
      </c>
      <c r="H50" s="1" t="s">
        <v>252</v>
      </c>
      <c r="I50" s="1" t="s">
        <v>17</v>
      </c>
      <c r="J50" s="4" t="s">
        <v>752</v>
      </c>
      <c r="K50" s="4">
        <v>45</v>
      </c>
      <c r="L50" s="4">
        <v>76</v>
      </c>
      <c r="M50" s="4" t="s">
        <v>797</v>
      </c>
      <c r="N50" s="1" t="s">
        <v>41</v>
      </c>
    </row>
    <row r="51" spans="2:14" x14ac:dyDescent="0.3">
      <c r="B51" s="1" t="s">
        <v>21</v>
      </c>
      <c r="C51" s="1" t="s">
        <v>55</v>
      </c>
      <c r="D51" s="1" t="s">
        <v>253</v>
      </c>
      <c r="E51" s="1" t="s">
        <v>14</v>
      </c>
      <c r="F51" s="1" t="s">
        <v>254</v>
      </c>
      <c r="G51" s="1" t="s">
        <v>255</v>
      </c>
      <c r="H51" s="1" t="s">
        <v>256</v>
      </c>
      <c r="I51" s="1" t="s">
        <v>8</v>
      </c>
      <c r="J51" s="1" t="s">
        <v>753</v>
      </c>
      <c r="K51" s="1">
        <v>46</v>
      </c>
      <c r="L51" s="1">
        <v>8</v>
      </c>
      <c r="M51" s="1" t="s">
        <v>44</v>
      </c>
      <c r="N51" s="1"/>
    </row>
    <row r="52" spans="2:14" x14ac:dyDescent="0.3">
      <c r="B52" s="1" t="s">
        <v>21</v>
      </c>
      <c r="C52" s="1" t="s">
        <v>60</v>
      </c>
      <c r="D52" s="1" t="s">
        <v>257</v>
      </c>
      <c r="E52" s="1" t="s">
        <v>14</v>
      </c>
      <c r="F52" s="1" t="s">
        <v>258</v>
      </c>
      <c r="G52" s="1" t="s">
        <v>259</v>
      </c>
      <c r="H52" s="1" t="s">
        <v>260</v>
      </c>
      <c r="I52" s="1" t="s">
        <v>8</v>
      </c>
      <c r="J52" s="1" t="s">
        <v>754</v>
      </c>
      <c r="K52" s="1">
        <v>43</v>
      </c>
      <c r="L52" s="1">
        <v>21</v>
      </c>
      <c r="M52" s="1" t="s">
        <v>44</v>
      </c>
      <c r="N52" s="1" t="s">
        <v>41</v>
      </c>
    </row>
    <row r="53" spans="2:14" x14ac:dyDescent="0.3">
      <c r="B53" s="1" t="s">
        <v>21</v>
      </c>
      <c r="C53" s="1" t="s">
        <v>60</v>
      </c>
      <c r="D53" s="1" t="s">
        <v>261</v>
      </c>
      <c r="E53" s="1" t="s">
        <v>14</v>
      </c>
      <c r="F53" s="1" t="s">
        <v>262</v>
      </c>
      <c r="G53" s="1" t="s">
        <v>263</v>
      </c>
      <c r="H53" s="1" t="s">
        <v>264</v>
      </c>
      <c r="I53" s="1" t="s">
        <v>8</v>
      </c>
      <c r="J53" s="1" t="s">
        <v>730</v>
      </c>
      <c r="K53" s="1">
        <v>39</v>
      </c>
      <c r="L53" s="1">
        <v>0</v>
      </c>
      <c r="M53" s="1" t="s">
        <v>44</v>
      </c>
      <c r="N53" s="1" t="s">
        <v>41</v>
      </c>
    </row>
    <row r="54" spans="2:14" x14ac:dyDescent="0.3">
      <c r="B54" s="1" t="s">
        <v>21</v>
      </c>
      <c r="C54" s="1" t="s">
        <v>55</v>
      </c>
      <c r="D54" s="1" t="s">
        <v>265</v>
      </c>
      <c r="E54" s="1" t="s">
        <v>14</v>
      </c>
      <c r="F54" s="1" t="s">
        <v>266</v>
      </c>
      <c r="G54" s="1" t="s">
        <v>267</v>
      </c>
      <c r="H54" s="1" t="s">
        <v>268</v>
      </c>
      <c r="I54" s="1" t="s">
        <v>8</v>
      </c>
      <c r="J54" s="1" t="s">
        <v>739</v>
      </c>
      <c r="K54" s="1">
        <v>50</v>
      </c>
      <c r="L54" s="1">
        <v>0</v>
      </c>
      <c r="M54" s="1" t="s">
        <v>44</v>
      </c>
      <c r="N54" s="1" t="s">
        <v>41</v>
      </c>
    </row>
    <row r="55" spans="2:14" x14ac:dyDescent="0.3">
      <c r="B55" s="1" t="s">
        <v>21</v>
      </c>
      <c r="C55" s="1" t="s">
        <v>55</v>
      </c>
      <c r="D55" s="1" t="s">
        <v>269</v>
      </c>
      <c r="E55" s="1" t="s">
        <v>14</v>
      </c>
      <c r="F55" s="1" t="s">
        <v>270</v>
      </c>
      <c r="G55" s="1" t="s">
        <v>271</v>
      </c>
      <c r="H55" s="1" t="s">
        <v>272</v>
      </c>
      <c r="I55" s="1" t="s">
        <v>8</v>
      </c>
      <c r="J55" s="1" t="s">
        <v>755</v>
      </c>
      <c r="K55" s="1">
        <v>81</v>
      </c>
      <c r="L55" s="1">
        <v>14</v>
      </c>
      <c r="M55" s="1" t="s">
        <v>44</v>
      </c>
      <c r="N55" s="1" t="s">
        <v>41</v>
      </c>
    </row>
    <row r="56" spans="2:14" x14ac:dyDescent="0.3">
      <c r="B56" s="1" t="s">
        <v>21</v>
      </c>
      <c r="C56" s="1" t="s">
        <v>93</v>
      </c>
      <c r="D56" s="1" t="s">
        <v>273</v>
      </c>
      <c r="E56" s="1" t="s">
        <v>14</v>
      </c>
      <c r="F56" s="1" t="s">
        <v>274</v>
      </c>
      <c r="G56" s="1" t="s">
        <v>275</v>
      </c>
      <c r="H56" s="1" t="s">
        <v>276</v>
      </c>
      <c r="I56" s="1" t="s">
        <v>8</v>
      </c>
      <c r="J56" s="1" t="s">
        <v>756</v>
      </c>
      <c r="K56" s="1">
        <v>27</v>
      </c>
      <c r="L56" s="1">
        <v>1</v>
      </c>
      <c r="M56" s="1" t="s">
        <v>44</v>
      </c>
      <c r="N56" s="1"/>
    </row>
    <row r="57" spans="2:14" x14ac:dyDescent="0.3">
      <c r="B57" s="1" t="s">
        <v>21</v>
      </c>
      <c r="C57" s="1" t="s">
        <v>55</v>
      </c>
      <c r="D57" s="1" t="s">
        <v>277</v>
      </c>
      <c r="E57" s="1" t="s">
        <v>14</v>
      </c>
      <c r="F57" s="1" t="s">
        <v>278</v>
      </c>
      <c r="G57" s="1" t="s">
        <v>279</v>
      </c>
      <c r="H57" s="1" t="s">
        <v>280</v>
      </c>
      <c r="I57" s="1" t="s">
        <v>8</v>
      </c>
      <c r="J57" s="1" t="s">
        <v>757</v>
      </c>
      <c r="K57" s="1">
        <v>98</v>
      </c>
      <c r="L57" s="1">
        <v>10</v>
      </c>
      <c r="M57" s="1" t="s">
        <v>44</v>
      </c>
      <c r="N57" s="1"/>
    </row>
    <row r="58" spans="2:14" x14ac:dyDescent="0.3">
      <c r="B58" s="1" t="s">
        <v>21</v>
      </c>
      <c r="C58" s="1" t="s">
        <v>60</v>
      </c>
      <c r="D58" s="1" t="s">
        <v>281</v>
      </c>
      <c r="E58" s="1" t="s">
        <v>14</v>
      </c>
      <c r="F58" s="1" t="s">
        <v>282</v>
      </c>
      <c r="G58" s="1" t="s">
        <v>283</v>
      </c>
      <c r="H58" s="1" t="s">
        <v>284</v>
      </c>
      <c r="I58" s="1" t="s">
        <v>8</v>
      </c>
      <c r="J58" s="1" t="s">
        <v>734</v>
      </c>
      <c r="K58" s="1">
        <v>53</v>
      </c>
      <c r="L58" s="1">
        <v>10</v>
      </c>
      <c r="M58" s="1" t="s">
        <v>44</v>
      </c>
      <c r="N58" s="1"/>
    </row>
    <row r="59" spans="2:14" x14ac:dyDescent="0.3">
      <c r="B59" s="1" t="s">
        <v>21</v>
      </c>
      <c r="C59" s="1" t="s">
        <v>55</v>
      </c>
      <c r="D59" s="1" t="s">
        <v>285</v>
      </c>
      <c r="E59" s="1" t="s">
        <v>14</v>
      </c>
      <c r="F59" s="1" t="s">
        <v>286</v>
      </c>
      <c r="G59" s="1" t="s">
        <v>287</v>
      </c>
      <c r="H59" s="1" t="s">
        <v>288</v>
      </c>
      <c r="I59" s="1" t="s">
        <v>8</v>
      </c>
      <c r="J59" s="1" t="s">
        <v>747</v>
      </c>
      <c r="K59" s="1">
        <v>45</v>
      </c>
      <c r="L59" s="1">
        <v>3</v>
      </c>
      <c r="M59" s="1" t="s">
        <v>44</v>
      </c>
      <c r="N59" s="1" t="s">
        <v>41</v>
      </c>
    </row>
    <row r="60" spans="2:14" x14ac:dyDescent="0.3">
      <c r="B60" s="1" t="s">
        <v>21</v>
      </c>
      <c r="C60" s="1" t="s">
        <v>55</v>
      </c>
      <c r="D60" s="1" t="s">
        <v>289</v>
      </c>
      <c r="E60" s="1" t="s">
        <v>14</v>
      </c>
      <c r="F60" s="1" t="s">
        <v>290</v>
      </c>
      <c r="G60" s="1" t="s">
        <v>291</v>
      </c>
      <c r="H60" s="1" t="s">
        <v>292</v>
      </c>
      <c r="I60" s="1" t="s">
        <v>8</v>
      </c>
      <c r="J60" s="1" t="s">
        <v>758</v>
      </c>
      <c r="K60" s="1">
        <v>82</v>
      </c>
      <c r="L60" s="1">
        <v>0</v>
      </c>
      <c r="M60" s="1" t="s">
        <v>44</v>
      </c>
      <c r="N60" s="1"/>
    </row>
    <row r="61" spans="2:14" x14ac:dyDescent="0.3">
      <c r="B61" s="1" t="s">
        <v>21</v>
      </c>
      <c r="C61" s="1" t="s">
        <v>93</v>
      </c>
      <c r="D61" s="1" t="s">
        <v>293</v>
      </c>
      <c r="E61" s="1" t="s">
        <v>14</v>
      </c>
      <c r="F61" s="1" t="s">
        <v>294</v>
      </c>
      <c r="G61" s="1" t="s">
        <v>295</v>
      </c>
      <c r="H61" s="1" t="s">
        <v>296</v>
      </c>
      <c r="I61" s="1" t="s">
        <v>8</v>
      </c>
      <c r="J61" s="1" t="s">
        <v>741</v>
      </c>
      <c r="K61" s="1">
        <v>10</v>
      </c>
      <c r="L61" s="1">
        <v>0</v>
      </c>
      <c r="M61" s="1" t="s">
        <v>44</v>
      </c>
      <c r="N61" s="1"/>
    </row>
    <row r="62" spans="2:14" x14ac:dyDescent="0.3">
      <c r="B62" s="1" t="s">
        <v>21</v>
      </c>
      <c r="C62" s="1" t="s">
        <v>55</v>
      </c>
      <c r="D62" s="1" t="s">
        <v>297</v>
      </c>
      <c r="E62" s="1" t="s">
        <v>14</v>
      </c>
      <c r="F62" s="1" t="s">
        <v>298</v>
      </c>
      <c r="G62" s="1" t="s">
        <v>299</v>
      </c>
      <c r="H62" s="1" t="s">
        <v>300</v>
      </c>
      <c r="I62" s="1" t="s">
        <v>8</v>
      </c>
      <c r="J62" s="1" t="s">
        <v>759</v>
      </c>
      <c r="K62" s="1">
        <v>46</v>
      </c>
      <c r="L62" s="1">
        <v>6</v>
      </c>
      <c r="M62" s="1" t="s">
        <v>44</v>
      </c>
      <c r="N62" s="1" t="s">
        <v>41</v>
      </c>
    </row>
    <row r="63" spans="2:14" x14ac:dyDescent="0.3">
      <c r="B63" s="1" t="s">
        <v>21</v>
      </c>
      <c r="C63" s="1" t="s">
        <v>55</v>
      </c>
      <c r="D63" s="1" t="s">
        <v>301</v>
      </c>
      <c r="E63" s="1" t="s">
        <v>14</v>
      </c>
      <c r="F63" s="1" t="s">
        <v>302</v>
      </c>
      <c r="G63" s="1" t="s">
        <v>303</v>
      </c>
      <c r="H63" s="1" t="s">
        <v>304</v>
      </c>
      <c r="I63" s="1" t="s">
        <v>8</v>
      </c>
      <c r="J63" s="1" t="s">
        <v>737</v>
      </c>
      <c r="K63" s="1">
        <v>10</v>
      </c>
      <c r="L63" s="1">
        <v>2</v>
      </c>
      <c r="M63" s="1" t="s">
        <v>44</v>
      </c>
      <c r="N63" s="1" t="s">
        <v>41</v>
      </c>
    </row>
    <row r="64" spans="2:14" x14ac:dyDescent="0.3">
      <c r="B64" s="1" t="s">
        <v>21</v>
      </c>
      <c r="C64" s="1" t="s">
        <v>55</v>
      </c>
      <c r="D64" s="1" t="s">
        <v>305</v>
      </c>
      <c r="E64" s="1" t="s">
        <v>14</v>
      </c>
      <c r="F64" s="1" t="s">
        <v>306</v>
      </c>
      <c r="G64" s="1" t="s">
        <v>307</v>
      </c>
      <c r="H64" s="1" t="s">
        <v>308</v>
      </c>
      <c r="I64" s="1" t="s">
        <v>8</v>
      </c>
      <c r="J64" s="4" t="s">
        <v>736</v>
      </c>
      <c r="K64" s="4">
        <v>0</v>
      </c>
      <c r="L64" s="4">
        <v>60</v>
      </c>
      <c r="M64" s="4" t="s">
        <v>797</v>
      </c>
      <c r="N64" s="1" t="s">
        <v>41</v>
      </c>
    </row>
    <row r="65" spans="2:14" x14ac:dyDescent="0.3">
      <c r="B65" s="1" t="s">
        <v>21</v>
      </c>
      <c r="C65" s="1" t="s">
        <v>55</v>
      </c>
      <c r="D65" s="1" t="s">
        <v>309</v>
      </c>
      <c r="E65" s="1" t="s">
        <v>14</v>
      </c>
      <c r="F65" s="1" t="s">
        <v>310</v>
      </c>
      <c r="G65" s="1" t="s">
        <v>311</v>
      </c>
      <c r="H65" s="1" t="s">
        <v>312</v>
      </c>
      <c r="I65" s="1" t="s">
        <v>8</v>
      </c>
      <c r="J65" s="1" t="s">
        <v>756</v>
      </c>
      <c r="K65" s="1">
        <v>18</v>
      </c>
      <c r="L65" s="1">
        <v>10</v>
      </c>
      <c r="M65" s="1" t="s">
        <v>44</v>
      </c>
      <c r="N65" s="1" t="s">
        <v>41</v>
      </c>
    </row>
    <row r="66" spans="2:14" x14ac:dyDescent="0.3">
      <c r="B66" s="1" t="s">
        <v>21</v>
      </c>
      <c r="C66" s="1" t="s">
        <v>60</v>
      </c>
      <c r="D66" s="1" t="s">
        <v>313</v>
      </c>
      <c r="E66" s="1" t="s">
        <v>14</v>
      </c>
      <c r="F66" s="1" t="s">
        <v>314</v>
      </c>
      <c r="G66" s="1" t="s">
        <v>315</v>
      </c>
      <c r="H66" s="1" t="s">
        <v>316</v>
      </c>
      <c r="I66" s="1" t="s">
        <v>8</v>
      </c>
      <c r="J66" s="1" t="s">
        <v>760</v>
      </c>
      <c r="K66" s="1">
        <v>27</v>
      </c>
      <c r="L66" s="1">
        <v>0</v>
      </c>
      <c r="M66" s="1" t="s">
        <v>44</v>
      </c>
      <c r="N66" s="1"/>
    </row>
    <row r="67" spans="2:14" x14ac:dyDescent="0.3">
      <c r="B67" s="1" t="s">
        <v>21</v>
      </c>
      <c r="C67" s="1" t="s">
        <v>60</v>
      </c>
      <c r="D67" s="1" t="s">
        <v>317</v>
      </c>
      <c r="E67" s="1" t="s">
        <v>14</v>
      </c>
      <c r="F67" s="1" t="s">
        <v>318</v>
      </c>
      <c r="G67" s="1" t="s">
        <v>319</v>
      </c>
      <c r="H67" s="1" t="s">
        <v>320</v>
      </c>
      <c r="I67" s="1" t="s">
        <v>8</v>
      </c>
      <c r="J67" s="1" t="s">
        <v>742</v>
      </c>
      <c r="K67" s="1">
        <v>31</v>
      </c>
      <c r="L67" s="1">
        <v>0</v>
      </c>
      <c r="M67" s="1" t="s">
        <v>44</v>
      </c>
      <c r="N67" s="1" t="s">
        <v>41</v>
      </c>
    </row>
    <row r="68" spans="2:14" x14ac:dyDescent="0.3">
      <c r="B68" s="1" t="s">
        <v>21</v>
      </c>
      <c r="C68" s="1" t="s">
        <v>55</v>
      </c>
      <c r="D68" s="1" t="s">
        <v>321</v>
      </c>
      <c r="E68" s="1" t="s">
        <v>14</v>
      </c>
      <c r="F68" s="1" t="s">
        <v>322</v>
      </c>
      <c r="G68" s="1" t="s">
        <v>323</v>
      </c>
      <c r="H68" s="1" t="s">
        <v>324</v>
      </c>
      <c r="I68" s="1" t="s">
        <v>8</v>
      </c>
      <c r="J68" s="1" t="s">
        <v>761</v>
      </c>
      <c r="K68" s="1">
        <v>34</v>
      </c>
      <c r="L68" s="1">
        <v>2</v>
      </c>
      <c r="M68" s="1" t="s">
        <v>44</v>
      </c>
      <c r="N68" s="1"/>
    </row>
    <row r="69" spans="2:14" x14ac:dyDescent="0.3">
      <c r="B69" s="1" t="s">
        <v>21</v>
      </c>
      <c r="C69" s="1" t="s">
        <v>55</v>
      </c>
      <c r="D69" s="1" t="s">
        <v>325</v>
      </c>
      <c r="E69" s="1" t="s">
        <v>14</v>
      </c>
      <c r="F69" s="1" t="s">
        <v>326</v>
      </c>
      <c r="G69" s="1" t="s">
        <v>327</v>
      </c>
      <c r="H69" s="1" t="s">
        <v>328</v>
      </c>
      <c r="I69" s="1" t="s">
        <v>8</v>
      </c>
      <c r="J69" s="1" t="s">
        <v>762</v>
      </c>
      <c r="K69" s="1">
        <v>46</v>
      </c>
      <c r="L69" s="1">
        <v>0</v>
      </c>
      <c r="M69" s="1" t="s">
        <v>44</v>
      </c>
      <c r="N69" s="1"/>
    </row>
    <row r="70" spans="2:14" x14ac:dyDescent="0.3">
      <c r="B70" s="1" t="s">
        <v>21</v>
      </c>
      <c r="C70" s="1" t="s">
        <v>55</v>
      </c>
      <c r="D70" s="1" t="s">
        <v>329</v>
      </c>
      <c r="E70" s="1" t="s">
        <v>14</v>
      </c>
      <c r="F70" s="1" t="s">
        <v>330</v>
      </c>
      <c r="G70" s="1" t="s">
        <v>331</v>
      </c>
      <c r="H70" s="1" t="s">
        <v>332</v>
      </c>
      <c r="I70" s="1" t="s">
        <v>8</v>
      </c>
      <c r="J70" s="1" t="s">
        <v>760</v>
      </c>
      <c r="K70" s="1">
        <v>27</v>
      </c>
      <c r="L70" s="1">
        <v>0</v>
      </c>
      <c r="M70" s="1" t="s">
        <v>44</v>
      </c>
      <c r="N70" s="1"/>
    </row>
    <row r="71" spans="2:14" x14ac:dyDescent="0.3">
      <c r="B71" s="1" t="s">
        <v>21</v>
      </c>
      <c r="C71" s="1" t="s">
        <v>55</v>
      </c>
      <c r="D71" s="1" t="s">
        <v>333</v>
      </c>
      <c r="E71" s="1" t="s">
        <v>14</v>
      </c>
      <c r="F71" s="1" t="s">
        <v>334</v>
      </c>
      <c r="G71" s="1" t="s">
        <v>335</v>
      </c>
      <c r="H71" s="1" t="s">
        <v>336</v>
      </c>
      <c r="I71" s="1" t="s">
        <v>8</v>
      </c>
      <c r="J71" s="1" t="s">
        <v>729</v>
      </c>
      <c r="K71" s="1">
        <v>7</v>
      </c>
      <c r="L71" s="1">
        <v>0</v>
      </c>
      <c r="M71" s="1" t="s">
        <v>44</v>
      </c>
      <c r="N71" s="1"/>
    </row>
    <row r="72" spans="2:14" x14ac:dyDescent="0.3">
      <c r="B72" s="1" t="s">
        <v>21</v>
      </c>
      <c r="C72" s="1" t="s">
        <v>93</v>
      </c>
      <c r="D72" s="1" t="s">
        <v>337</v>
      </c>
      <c r="E72" s="1" t="s">
        <v>14</v>
      </c>
      <c r="F72" s="1" t="s">
        <v>338</v>
      </c>
      <c r="G72" s="1" t="s">
        <v>339</v>
      </c>
      <c r="H72" s="1" t="s">
        <v>340</v>
      </c>
      <c r="I72" s="1" t="s">
        <v>8</v>
      </c>
      <c r="J72" s="1" t="s">
        <v>733</v>
      </c>
      <c r="K72" s="1">
        <v>14</v>
      </c>
      <c r="L72" s="1">
        <v>0</v>
      </c>
      <c r="M72" s="1" t="s">
        <v>44</v>
      </c>
      <c r="N72" s="1" t="s">
        <v>41</v>
      </c>
    </row>
    <row r="73" spans="2:14" x14ac:dyDescent="0.3">
      <c r="B73" s="1" t="s">
        <v>21</v>
      </c>
      <c r="C73" s="1" t="s">
        <v>60</v>
      </c>
      <c r="D73" s="1" t="s">
        <v>341</v>
      </c>
      <c r="E73" s="1" t="s">
        <v>14</v>
      </c>
      <c r="F73" s="1" t="s">
        <v>342</v>
      </c>
      <c r="G73" s="1" t="s">
        <v>343</v>
      </c>
      <c r="H73" s="1" t="s">
        <v>344</v>
      </c>
      <c r="I73" s="1" t="s">
        <v>8</v>
      </c>
      <c r="J73" s="1">
        <v>0</v>
      </c>
      <c r="K73" s="1">
        <v>0</v>
      </c>
      <c r="L73" s="1">
        <v>0</v>
      </c>
      <c r="M73" s="1" t="s">
        <v>44</v>
      </c>
      <c r="N73" s="1"/>
    </row>
    <row r="74" spans="2:14" x14ac:dyDescent="0.3">
      <c r="B74" s="1" t="s">
        <v>21</v>
      </c>
      <c r="C74" s="1" t="s">
        <v>55</v>
      </c>
      <c r="D74" s="1" t="s">
        <v>345</v>
      </c>
      <c r="E74" s="1" t="s">
        <v>14</v>
      </c>
      <c r="F74" s="1" t="s">
        <v>346</v>
      </c>
      <c r="G74" s="1" t="s">
        <v>347</v>
      </c>
      <c r="H74" s="1" t="s">
        <v>348</v>
      </c>
      <c r="I74" s="1" t="s">
        <v>8</v>
      </c>
      <c r="J74" s="1">
        <v>0</v>
      </c>
      <c r="K74" s="1">
        <v>0</v>
      </c>
      <c r="L74" s="1">
        <v>0</v>
      </c>
      <c r="M74" s="1" t="s">
        <v>44</v>
      </c>
      <c r="N74" s="1"/>
    </row>
    <row r="75" spans="2:14" x14ac:dyDescent="0.3">
      <c r="B75" s="1" t="s">
        <v>21</v>
      </c>
      <c r="C75" s="1" t="s">
        <v>93</v>
      </c>
      <c r="D75" s="1" t="s">
        <v>349</v>
      </c>
      <c r="E75" s="1" t="s">
        <v>14</v>
      </c>
      <c r="F75" s="1" t="s">
        <v>350</v>
      </c>
      <c r="G75" s="1" t="s">
        <v>351</v>
      </c>
      <c r="H75" s="1" t="s">
        <v>352</v>
      </c>
      <c r="I75" s="1" t="s">
        <v>8</v>
      </c>
      <c r="J75" s="1">
        <v>35</v>
      </c>
      <c r="K75" s="1">
        <v>64</v>
      </c>
      <c r="L75" s="1">
        <v>-29</v>
      </c>
      <c r="M75" s="1" t="s">
        <v>44</v>
      </c>
      <c r="N75" s="1" t="s">
        <v>41</v>
      </c>
    </row>
    <row r="76" spans="2:14" x14ac:dyDescent="0.3">
      <c r="B76" s="1" t="s">
        <v>21</v>
      </c>
      <c r="C76" s="1" t="s">
        <v>93</v>
      </c>
      <c r="D76" s="1" t="s">
        <v>353</v>
      </c>
      <c r="E76" s="1" t="s">
        <v>14</v>
      </c>
      <c r="F76" s="1" t="s">
        <v>354</v>
      </c>
      <c r="G76" s="1" t="s">
        <v>355</v>
      </c>
      <c r="H76" s="1" t="s">
        <v>356</v>
      </c>
      <c r="I76" s="1" t="s">
        <v>8</v>
      </c>
      <c r="J76" s="1" t="s">
        <v>723</v>
      </c>
      <c r="K76" s="1">
        <v>18</v>
      </c>
      <c r="L76" s="1">
        <v>2</v>
      </c>
      <c r="M76" s="1" t="s">
        <v>44</v>
      </c>
      <c r="N76" s="1" t="s">
        <v>41</v>
      </c>
    </row>
    <row r="77" spans="2:14" x14ac:dyDescent="0.3">
      <c r="B77" s="1" t="s">
        <v>21</v>
      </c>
      <c r="C77" s="1" t="s">
        <v>55</v>
      </c>
      <c r="D77" s="1" t="s">
        <v>357</v>
      </c>
      <c r="E77" s="1" t="s">
        <v>14</v>
      </c>
      <c r="F77" s="1" t="s">
        <v>358</v>
      </c>
      <c r="G77" s="1" t="s">
        <v>359</v>
      </c>
      <c r="H77" s="1" t="s">
        <v>360</v>
      </c>
      <c r="I77" s="1" t="s">
        <v>8</v>
      </c>
      <c r="J77" s="1" t="s">
        <v>751</v>
      </c>
      <c r="K77" s="1">
        <v>17</v>
      </c>
      <c r="L77" s="1">
        <v>4</v>
      </c>
      <c r="M77" s="1" t="s">
        <v>44</v>
      </c>
      <c r="N77" s="1"/>
    </row>
    <row r="78" spans="2:14" x14ac:dyDescent="0.3">
      <c r="B78" s="1" t="s">
        <v>21</v>
      </c>
      <c r="C78" s="1" t="s">
        <v>55</v>
      </c>
      <c r="D78" s="1" t="s">
        <v>361</v>
      </c>
      <c r="E78" s="1" t="s">
        <v>14</v>
      </c>
      <c r="F78" s="1" t="s">
        <v>362</v>
      </c>
      <c r="G78" s="1" t="s">
        <v>363</v>
      </c>
      <c r="H78" s="1" t="s">
        <v>364</v>
      </c>
      <c r="I78" s="1" t="s">
        <v>8</v>
      </c>
      <c r="J78" s="1" t="s">
        <v>764</v>
      </c>
      <c r="K78" s="1">
        <v>75</v>
      </c>
      <c r="L78" s="1">
        <v>3</v>
      </c>
      <c r="M78" s="1" t="s">
        <v>44</v>
      </c>
      <c r="N78" s="1" t="s">
        <v>41</v>
      </c>
    </row>
    <row r="79" spans="2:14" x14ac:dyDescent="0.3">
      <c r="B79" s="1" t="s">
        <v>21</v>
      </c>
      <c r="C79" s="1" t="s">
        <v>55</v>
      </c>
      <c r="D79" s="1" t="s">
        <v>365</v>
      </c>
      <c r="E79" s="1" t="s">
        <v>14</v>
      </c>
      <c r="F79" s="1" t="s">
        <v>366</v>
      </c>
      <c r="G79" s="1" t="s">
        <v>367</v>
      </c>
      <c r="H79" s="1" t="s">
        <v>368</v>
      </c>
      <c r="I79" s="1" t="s">
        <v>8</v>
      </c>
      <c r="J79" s="1" t="s">
        <v>765</v>
      </c>
      <c r="K79" s="1">
        <v>38</v>
      </c>
      <c r="L79" s="1">
        <v>3</v>
      </c>
      <c r="M79" s="1" t="s">
        <v>44</v>
      </c>
      <c r="N79" s="1"/>
    </row>
    <row r="80" spans="2:14" x14ac:dyDescent="0.3">
      <c r="B80" s="1" t="s">
        <v>21</v>
      </c>
      <c r="C80" s="1" t="s">
        <v>55</v>
      </c>
      <c r="D80" s="1" t="s">
        <v>369</v>
      </c>
      <c r="E80" s="1" t="s">
        <v>14</v>
      </c>
      <c r="F80" s="1" t="s">
        <v>370</v>
      </c>
      <c r="G80" s="1" t="s">
        <v>371</v>
      </c>
      <c r="H80" s="1" t="s">
        <v>372</v>
      </c>
      <c r="I80" s="1" t="s">
        <v>8</v>
      </c>
      <c r="J80" s="1" t="s">
        <v>736</v>
      </c>
      <c r="K80" s="1">
        <v>59</v>
      </c>
      <c r="L80" s="1">
        <v>1</v>
      </c>
      <c r="M80" s="1" t="s">
        <v>44</v>
      </c>
      <c r="N80" s="1" t="s">
        <v>41</v>
      </c>
    </row>
    <row r="81" spans="2:14" x14ac:dyDescent="0.3">
      <c r="B81" s="1" t="s">
        <v>21</v>
      </c>
      <c r="C81" s="1" t="s">
        <v>55</v>
      </c>
      <c r="D81" s="1" t="s">
        <v>373</v>
      </c>
      <c r="E81" s="1" t="s">
        <v>14</v>
      </c>
      <c r="F81" s="1" t="s">
        <v>374</v>
      </c>
      <c r="G81" s="1" t="s">
        <v>375</v>
      </c>
      <c r="H81" s="1" t="s">
        <v>376</v>
      </c>
      <c r="I81" s="1" t="s">
        <v>8</v>
      </c>
      <c r="J81" s="1" t="s">
        <v>766</v>
      </c>
      <c r="K81" s="1">
        <v>34</v>
      </c>
      <c r="L81" s="1">
        <v>3</v>
      </c>
      <c r="M81" s="1" t="s">
        <v>44</v>
      </c>
      <c r="N81" s="1"/>
    </row>
    <row r="82" spans="2:14" x14ac:dyDescent="0.3">
      <c r="B82" s="1" t="s">
        <v>20</v>
      </c>
      <c r="C82" s="1" t="s">
        <v>220</v>
      </c>
      <c r="D82" s="1" t="s">
        <v>377</v>
      </c>
      <c r="E82" s="1" t="s">
        <v>14</v>
      </c>
      <c r="F82" s="1" t="s">
        <v>378</v>
      </c>
      <c r="G82" s="1" t="s">
        <v>379</v>
      </c>
      <c r="H82" s="1" t="s">
        <v>380</v>
      </c>
      <c r="I82" s="1" t="s">
        <v>15</v>
      </c>
      <c r="J82" s="1" t="s">
        <v>743</v>
      </c>
      <c r="K82" s="1">
        <v>0</v>
      </c>
      <c r="L82" s="1">
        <v>1</v>
      </c>
      <c r="M82" s="1" t="s">
        <v>44</v>
      </c>
      <c r="N82" s="1"/>
    </row>
    <row r="83" spans="2:14" x14ac:dyDescent="0.3">
      <c r="B83" s="1" t="s">
        <v>20</v>
      </c>
      <c r="C83" s="1" t="s">
        <v>60</v>
      </c>
      <c r="D83" s="1" t="s">
        <v>381</v>
      </c>
      <c r="E83" s="1" t="s">
        <v>14</v>
      </c>
      <c r="F83" s="1" t="s">
        <v>382</v>
      </c>
      <c r="G83" s="1" t="s">
        <v>383</v>
      </c>
      <c r="H83" s="1" t="s">
        <v>384</v>
      </c>
      <c r="I83" s="1" t="s">
        <v>8</v>
      </c>
      <c r="J83" s="1" t="s">
        <v>732</v>
      </c>
      <c r="K83" s="1">
        <v>1</v>
      </c>
      <c r="L83" s="1">
        <v>1</v>
      </c>
      <c r="M83" s="1" t="s">
        <v>44</v>
      </c>
      <c r="N83" s="1" t="s">
        <v>41</v>
      </c>
    </row>
    <row r="84" spans="2:14" x14ac:dyDescent="0.3">
      <c r="B84" s="1" t="s">
        <v>20</v>
      </c>
      <c r="C84" s="1" t="s">
        <v>60</v>
      </c>
      <c r="D84" s="1" t="s">
        <v>385</v>
      </c>
      <c r="E84" s="1" t="s">
        <v>14</v>
      </c>
      <c r="F84" s="1" t="s">
        <v>386</v>
      </c>
      <c r="G84" s="1" t="s">
        <v>387</v>
      </c>
      <c r="H84" s="1" t="s">
        <v>388</v>
      </c>
      <c r="I84" s="1" t="s">
        <v>8</v>
      </c>
      <c r="J84" s="1" t="s">
        <v>742</v>
      </c>
      <c r="K84" s="1">
        <v>29</v>
      </c>
      <c r="L84" s="1">
        <v>2</v>
      </c>
      <c r="M84" s="1" t="s">
        <v>44</v>
      </c>
      <c r="N84" s="1"/>
    </row>
    <row r="85" spans="2:14" x14ac:dyDescent="0.3">
      <c r="B85" s="1" t="s">
        <v>20</v>
      </c>
      <c r="C85" s="1" t="s">
        <v>60</v>
      </c>
      <c r="D85" s="1" t="s">
        <v>389</v>
      </c>
      <c r="E85" s="1" t="s">
        <v>14</v>
      </c>
      <c r="F85" s="1" t="s">
        <v>390</v>
      </c>
      <c r="G85" s="1" t="s">
        <v>391</v>
      </c>
      <c r="H85" s="1" t="s">
        <v>392</v>
      </c>
      <c r="I85" s="1" t="s">
        <v>8</v>
      </c>
      <c r="J85" s="1" t="s">
        <v>767</v>
      </c>
      <c r="K85" s="1">
        <v>83</v>
      </c>
      <c r="L85" s="1">
        <v>0</v>
      </c>
      <c r="M85" s="1" t="s">
        <v>44</v>
      </c>
      <c r="N85" s="1"/>
    </row>
    <row r="86" spans="2:14" x14ac:dyDescent="0.3">
      <c r="B86" s="1" t="s">
        <v>20</v>
      </c>
      <c r="C86" s="1" t="s">
        <v>60</v>
      </c>
      <c r="D86" s="1" t="s">
        <v>393</v>
      </c>
      <c r="E86" s="1" t="s">
        <v>14</v>
      </c>
      <c r="F86" s="1" t="s">
        <v>394</v>
      </c>
      <c r="G86" s="1" t="s">
        <v>395</v>
      </c>
      <c r="H86" s="1" t="s">
        <v>396</v>
      </c>
      <c r="I86" s="1" t="s">
        <v>8</v>
      </c>
      <c r="J86" s="1" t="s">
        <v>768</v>
      </c>
      <c r="K86" s="1">
        <v>25</v>
      </c>
      <c r="L86" s="1">
        <v>0</v>
      </c>
      <c r="M86" s="1" t="s">
        <v>44</v>
      </c>
      <c r="N86" s="1"/>
    </row>
    <row r="87" spans="2:14" x14ac:dyDescent="0.3">
      <c r="B87" s="1" t="s">
        <v>20</v>
      </c>
      <c r="C87" s="1" t="s">
        <v>60</v>
      </c>
      <c r="D87" s="1" t="s">
        <v>397</v>
      </c>
      <c r="E87" s="1" t="s">
        <v>14</v>
      </c>
      <c r="F87" s="1" t="s">
        <v>398</v>
      </c>
      <c r="G87" s="1" t="s">
        <v>399</v>
      </c>
      <c r="H87" s="1" t="s">
        <v>400</v>
      </c>
      <c r="I87" s="1" t="s">
        <v>8</v>
      </c>
      <c r="J87" s="1" t="s">
        <v>759</v>
      </c>
      <c r="K87" s="1">
        <v>49</v>
      </c>
      <c r="L87" s="1">
        <v>3</v>
      </c>
      <c r="M87" s="1" t="s">
        <v>44</v>
      </c>
      <c r="N87" s="1"/>
    </row>
    <row r="88" spans="2:14" x14ac:dyDescent="0.3">
      <c r="B88" s="1" t="s">
        <v>20</v>
      </c>
      <c r="C88" s="1" t="s">
        <v>60</v>
      </c>
      <c r="D88" s="1" t="s">
        <v>401</v>
      </c>
      <c r="E88" s="1" t="s">
        <v>14</v>
      </c>
      <c r="F88" s="1" t="s">
        <v>402</v>
      </c>
      <c r="G88" s="1" t="s">
        <v>403</v>
      </c>
      <c r="H88" s="1" t="s">
        <v>404</v>
      </c>
      <c r="I88" s="1" t="s">
        <v>8</v>
      </c>
      <c r="J88" s="1" t="s">
        <v>743</v>
      </c>
      <c r="K88" s="1">
        <v>0</v>
      </c>
      <c r="L88" s="1">
        <v>1</v>
      </c>
      <c r="M88" s="1" t="s">
        <v>44</v>
      </c>
      <c r="N88" s="1"/>
    </row>
    <row r="89" spans="2:14" x14ac:dyDescent="0.3">
      <c r="B89" s="1" t="s">
        <v>20</v>
      </c>
      <c r="C89" s="1" t="s">
        <v>93</v>
      </c>
      <c r="D89" s="1" t="s">
        <v>405</v>
      </c>
      <c r="E89" s="1" t="s">
        <v>14</v>
      </c>
      <c r="F89" s="1" t="s">
        <v>406</v>
      </c>
      <c r="G89" s="1" t="s">
        <v>407</v>
      </c>
      <c r="H89" s="1" t="s">
        <v>408</v>
      </c>
      <c r="I89" s="1" t="s">
        <v>8</v>
      </c>
      <c r="J89" s="1" t="s">
        <v>769</v>
      </c>
      <c r="K89" s="1">
        <v>13</v>
      </c>
      <c r="L89" s="1">
        <v>9</v>
      </c>
      <c r="M89" s="1" t="s">
        <v>44</v>
      </c>
      <c r="N89" s="1" t="s">
        <v>41</v>
      </c>
    </row>
    <row r="90" spans="2:14" x14ac:dyDescent="0.3">
      <c r="B90" s="1" t="s">
        <v>20</v>
      </c>
      <c r="C90" s="1" t="s">
        <v>93</v>
      </c>
      <c r="D90" s="1" t="s">
        <v>409</v>
      </c>
      <c r="E90" s="1" t="s">
        <v>14</v>
      </c>
      <c r="F90" s="1" t="s">
        <v>410</v>
      </c>
      <c r="G90" s="1" t="s">
        <v>411</v>
      </c>
      <c r="H90" s="1" t="s">
        <v>412</v>
      </c>
      <c r="I90" s="1" t="s">
        <v>8</v>
      </c>
      <c r="J90" s="1" t="s">
        <v>770</v>
      </c>
      <c r="K90" s="1">
        <v>9</v>
      </c>
      <c r="L90" s="1">
        <v>0</v>
      </c>
      <c r="M90" s="1" t="s">
        <v>44</v>
      </c>
      <c r="N90" s="1"/>
    </row>
    <row r="91" spans="2:14" x14ac:dyDescent="0.3">
      <c r="B91" s="1" t="s">
        <v>20</v>
      </c>
      <c r="C91" s="1" t="s">
        <v>93</v>
      </c>
      <c r="D91" s="1" t="s">
        <v>413</v>
      </c>
      <c r="E91" s="1" t="s">
        <v>14</v>
      </c>
      <c r="F91" s="1" t="s">
        <v>414</v>
      </c>
      <c r="G91" s="1" t="s">
        <v>415</v>
      </c>
      <c r="H91" s="1" t="s">
        <v>416</v>
      </c>
      <c r="I91" s="1" t="s">
        <v>8</v>
      </c>
      <c r="J91" s="1" t="s">
        <v>760</v>
      </c>
      <c r="K91" s="1">
        <v>25</v>
      </c>
      <c r="L91" s="1">
        <v>2</v>
      </c>
      <c r="M91" s="1" t="s">
        <v>44</v>
      </c>
      <c r="N91" s="1"/>
    </row>
    <row r="92" spans="2:14" x14ac:dyDescent="0.3">
      <c r="B92" s="1" t="s">
        <v>20</v>
      </c>
      <c r="C92" s="1" t="s">
        <v>60</v>
      </c>
      <c r="D92" s="1" t="s">
        <v>417</v>
      </c>
      <c r="E92" s="1" t="s">
        <v>14</v>
      </c>
      <c r="F92" s="1" t="s">
        <v>418</v>
      </c>
      <c r="G92" s="1" t="s">
        <v>419</v>
      </c>
      <c r="H92" s="1" t="s">
        <v>420</v>
      </c>
      <c r="I92" s="1" t="s">
        <v>17</v>
      </c>
      <c r="J92" s="1" t="s">
        <v>771</v>
      </c>
      <c r="K92" s="1">
        <v>85</v>
      </c>
      <c r="L92" s="1">
        <v>0</v>
      </c>
      <c r="M92" s="1" t="s">
        <v>44</v>
      </c>
      <c r="N92" s="1" t="s">
        <v>41</v>
      </c>
    </row>
    <row r="93" spans="2:14" x14ac:dyDescent="0.3">
      <c r="B93" s="1" t="s">
        <v>20</v>
      </c>
      <c r="C93" s="1" t="s">
        <v>93</v>
      </c>
      <c r="D93" s="1" t="s">
        <v>421</v>
      </c>
      <c r="E93" s="1" t="s">
        <v>14</v>
      </c>
      <c r="F93" s="1" t="s">
        <v>422</v>
      </c>
      <c r="G93" s="1" t="s">
        <v>423</v>
      </c>
      <c r="H93" s="1" t="s">
        <v>424</v>
      </c>
      <c r="I93" s="1" t="s">
        <v>8</v>
      </c>
      <c r="J93" s="1" t="s">
        <v>770</v>
      </c>
      <c r="K93" s="1">
        <v>7</v>
      </c>
      <c r="L93" s="1">
        <v>2</v>
      </c>
      <c r="M93" s="1" t="s">
        <v>44</v>
      </c>
      <c r="N93" s="1" t="s">
        <v>41</v>
      </c>
    </row>
    <row r="94" spans="2:14" x14ac:dyDescent="0.3">
      <c r="B94" s="1" t="s">
        <v>20</v>
      </c>
      <c r="C94" s="1" t="s">
        <v>93</v>
      </c>
      <c r="D94" s="1" t="s">
        <v>425</v>
      </c>
      <c r="E94" s="1" t="s">
        <v>14</v>
      </c>
      <c r="F94" s="1" t="s">
        <v>426</v>
      </c>
      <c r="G94" s="1" t="s">
        <v>427</v>
      </c>
      <c r="H94" s="1" t="s">
        <v>428</v>
      </c>
      <c r="I94" s="1" t="s">
        <v>8</v>
      </c>
      <c r="J94" s="1">
        <v>18</v>
      </c>
      <c r="K94" s="1">
        <v>16</v>
      </c>
      <c r="L94" s="1">
        <v>2</v>
      </c>
      <c r="M94" s="1" t="s">
        <v>44</v>
      </c>
      <c r="N94" s="1" t="s">
        <v>41</v>
      </c>
    </row>
    <row r="95" spans="2:14" x14ac:dyDescent="0.3">
      <c r="B95" s="1" t="s">
        <v>20</v>
      </c>
      <c r="C95" s="1" t="s">
        <v>93</v>
      </c>
      <c r="D95" s="1" t="s">
        <v>429</v>
      </c>
      <c r="E95" s="1" t="s">
        <v>14</v>
      </c>
      <c r="F95" s="1" t="s">
        <v>430</v>
      </c>
      <c r="G95" s="1" t="s">
        <v>431</v>
      </c>
      <c r="H95" s="1" t="s">
        <v>432</v>
      </c>
      <c r="I95" s="1" t="s">
        <v>8</v>
      </c>
      <c r="J95" s="1" t="s">
        <v>729</v>
      </c>
      <c r="K95" s="1">
        <v>7</v>
      </c>
      <c r="L95" s="1">
        <v>0</v>
      </c>
      <c r="M95" s="1" t="s">
        <v>44</v>
      </c>
      <c r="N95" s="1"/>
    </row>
    <row r="96" spans="2:14" x14ac:dyDescent="0.3">
      <c r="B96" s="1" t="s">
        <v>20</v>
      </c>
      <c r="C96" s="1" t="s">
        <v>93</v>
      </c>
      <c r="D96" s="1" t="s">
        <v>433</v>
      </c>
      <c r="E96" s="1" t="s">
        <v>14</v>
      </c>
      <c r="F96" s="1" t="s">
        <v>434</v>
      </c>
      <c r="G96" s="1" t="s">
        <v>435</v>
      </c>
      <c r="H96" s="1" t="s">
        <v>436</v>
      </c>
      <c r="I96" s="1" t="s">
        <v>8</v>
      </c>
      <c r="J96" s="1" t="s">
        <v>741</v>
      </c>
      <c r="K96" s="1">
        <v>5</v>
      </c>
      <c r="L96" s="1">
        <v>5</v>
      </c>
      <c r="M96" s="1" t="s">
        <v>44</v>
      </c>
      <c r="N96" s="1" t="s">
        <v>41</v>
      </c>
    </row>
    <row r="97" spans="2:14" x14ac:dyDescent="0.3">
      <c r="B97" s="1" t="s">
        <v>20</v>
      </c>
      <c r="C97" s="1" t="s">
        <v>93</v>
      </c>
      <c r="D97" s="1" t="s">
        <v>437</v>
      </c>
      <c r="E97" s="1" t="s">
        <v>14</v>
      </c>
      <c r="F97" s="1" t="s">
        <v>438</v>
      </c>
      <c r="G97" s="1" t="s">
        <v>439</v>
      </c>
      <c r="H97" s="1" t="s">
        <v>440</v>
      </c>
      <c r="I97" s="1" t="s">
        <v>8</v>
      </c>
      <c r="J97" s="1" t="s">
        <v>729</v>
      </c>
      <c r="K97" s="1">
        <v>7</v>
      </c>
      <c r="L97" s="1">
        <v>0</v>
      </c>
      <c r="M97" s="1" t="s">
        <v>44</v>
      </c>
      <c r="N97" s="1"/>
    </row>
    <row r="98" spans="2:14" x14ac:dyDescent="0.3">
      <c r="B98" s="1" t="s">
        <v>20</v>
      </c>
      <c r="C98" s="1" t="s">
        <v>93</v>
      </c>
      <c r="D98" s="1" t="s">
        <v>441</v>
      </c>
      <c r="E98" s="1" t="s">
        <v>14</v>
      </c>
      <c r="F98" s="1" t="s">
        <v>442</v>
      </c>
      <c r="G98" s="1" t="s">
        <v>443</v>
      </c>
      <c r="H98" s="1" t="s">
        <v>444</v>
      </c>
      <c r="I98" s="1" t="s">
        <v>8</v>
      </c>
      <c r="J98" s="1" t="s">
        <v>772</v>
      </c>
      <c r="K98" s="1">
        <v>1</v>
      </c>
      <c r="L98" s="1">
        <v>10</v>
      </c>
      <c r="M98" s="1" t="s">
        <v>44</v>
      </c>
      <c r="N98" s="1"/>
    </row>
    <row r="99" spans="2:14" x14ac:dyDescent="0.3">
      <c r="B99" s="1" t="s">
        <v>20</v>
      </c>
      <c r="C99" s="1" t="s">
        <v>60</v>
      </c>
      <c r="D99" s="1" t="s">
        <v>445</v>
      </c>
      <c r="E99" s="1" t="s">
        <v>14</v>
      </c>
      <c r="F99" s="1" t="s">
        <v>446</v>
      </c>
      <c r="G99" s="1" t="s">
        <v>447</v>
      </c>
      <c r="H99" s="1" t="s">
        <v>448</v>
      </c>
      <c r="I99" s="1" t="s">
        <v>8</v>
      </c>
      <c r="J99" s="1" t="s">
        <v>773</v>
      </c>
      <c r="K99" s="1">
        <v>16</v>
      </c>
      <c r="L99" s="1">
        <v>1</v>
      </c>
      <c r="M99" s="1" t="s">
        <v>44</v>
      </c>
      <c r="N99" s="1" t="s">
        <v>41</v>
      </c>
    </row>
    <row r="100" spans="2:14" x14ac:dyDescent="0.3">
      <c r="B100" s="1" t="s">
        <v>20</v>
      </c>
      <c r="C100" s="1" t="s">
        <v>55</v>
      </c>
      <c r="D100" s="1" t="s">
        <v>449</v>
      </c>
      <c r="E100" s="1" t="s">
        <v>14</v>
      </c>
      <c r="F100" s="1" t="s">
        <v>450</v>
      </c>
      <c r="G100" s="1" t="s">
        <v>451</v>
      </c>
      <c r="H100" s="1" t="s">
        <v>452</v>
      </c>
      <c r="I100" s="1" t="s">
        <v>8</v>
      </c>
      <c r="J100" s="1" t="s">
        <v>774</v>
      </c>
      <c r="K100" s="1">
        <v>55</v>
      </c>
      <c r="L100" s="1">
        <v>19</v>
      </c>
      <c r="M100" s="1" t="s">
        <v>44</v>
      </c>
      <c r="N100" s="1" t="s">
        <v>41</v>
      </c>
    </row>
    <row r="101" spans="2:14" x14ac:dyDescent="0.3">
      <c r="B101" s="1" t="s">
        <v>20</v>
      </c>
      <c r="C101" s="1" t="s">
        <v>60</v>
      </c>
      <c r="D101" s="1" t="s">
        <v>453</v>
      </c>
      <c r="E101" s="1" t="s">
        <v>14</v>
      </c>
      <c r="F101" s="1" t="s">
        <v>454</v>
      </c>
      <c r="G101" s="1" t="s">
        <v>455</v>
      </c>
      <c r="H101" s="1" t="s">
        <v>456</v>
      </c>
      <c r="I101" s="1" t="s">
        <v>8</v>
      </c>
      <c r="J101" s="1" t="s">
        <v>775</v>
      </c>
      <c r="K101" s="1">
        <v>19</v>
      </c>
      <c r="L101" s="1">
        <v>16</v>
      </c>
      <c r="M101" s="1" t="s">
        <v>44</v>
      </c>
      <c r="N101" s="1"/>
    </row>
    <row r="102" spans="2:14" x14ac:dyDescent="0.3">
      <c r="B102" s="1" t="s">
        <v>19</v>
      </c>
      <c r="C102" s="1" t="s">
        <v>55</v>
      </c>
      <c r="D102" s="1" t="s">
        <v>457</v>
      </c>
      <c r="E102" s="1" t="s">
        <v>14</v>
      </c>
      <c r="F102" s="1" t="s">
        <v>458</v>
      </c>
      <c r="G102" s="1" t="s">
        <v>459</v>
      </c>
      <c r="H102" s="1" t="s">
        <v>460</v>
      </c>
      <c r="I102" s="1" t="s">
        <v>8</v>
      </c>
      <c r="J102" s="1" t="s">
        <v>776</v>
      </c>
      <c r="K102" s="1">
        <v>23</v>
      </c>
      <c r="L102" s="1">
        <v>1</v>
      </c>
      <c r="M102" s="1" t="s">
        <v>44</v>
      </c>
      <c r="N102" s="1"/>
    </row>
    <row r="103" spans="2:14" x14ac:dyDescent="0.3">
      <c r="B103" s="1" t="s">
        <v>19</v>
      </c>
      <c r="C103" s="1" t="s">
        <v>55</v>
      </c>
      <c r="D103" s="1" t="s">
        <v>461</v>
      </c>
      <c r="E103" s="1" t="s">
        <v>14</v>
      </c>
      <c r="F103" s="1" t="s">
        <v>462</v>
      </c>
      <c r="G103" s="1" t="s">
        <v>463</v>
      </c>
      <c r="H103" s="1" t="s">
        <v>464</v>
      </c>
      <c r="I103" s="1" t="s">
        <v>8</v>
      </c>
      <c r="J103" s="1" t="s">
        <v>737</v>
      </c>
      <c r="K103" s="1">
        <v>30</v>
      </c>
      <c r="L103" s="1">
        <v>-18</v>
      </c>
      <c r="M103" s="1" t="s">
        <v>44</v>
      </c>
      <c r="N103" s="1" t="s">
        <v>41</v>
      </c>
    </row>
    <row r="104" spans="2:14" x14ac:dyDescent="0.3">
      <c r="B104" s="1" t="s">
        <v>19</v>
      </c>
      <c r="C104" s="1" t="s">
        <v>220</v>
      </c>
      <c r="D104" s="1" t="s">
        <v>465</v>
      </c>
      <c r="E104" s="1" t="s">
        <v>14</v>
      </c>
      <c r="F104" s="1" t="s">
        <v>466</v>
      </c>
      <c r="G104" s="1" t="s">
        <v>467</v>
      </c>
      <c r="H104" s="1" t="s">
        <v>468</v>
      </c>
      <c r="I104" s="1" t="s">
        <v>15</v>
      </c>
      <c r="J104" s="1" t="s">
        <v>744</v>
      </c>
      <c r="K104" s="1">
        <v>0</v>
      </c>
      <c r="L104" s="1">
        <v>3</v>
      </c>
      <c r="M104" s="1" t="s">
        <v>44</v>
      </c>
      <c r="N104" s="1"/>
    </row>
    <row r="105" spans="2:14" x14ac:dyDescent="0.3">
      <c r="B105" s="1" t="s">
        <v>19</v>
      </c>
      <c r="C105" s="1" t="s">
        <v>55</v>
      </c>
      <c r="D105" s="1" t="s">
        <v>469</v>
      </c>
      <c r="E105" s="1" t="s">
        <v>14</v>
      </c>
      <c r="F105" s="1" t="s">
        <v>470</v>
      </c>
      <c r="G105" s="1" t="s">
        <v>471</v>
      </c>
      <c r="H105" s="1" t="s">
        <v>472</v>
      </c>
      <c r="I105" s="1" t="s">
        <v>8</v>
      </c>
      <c r="J105" s="1" t="s">
        <v>740</v>
      </c>
      <c r="K105" s="1">
        <v>18</v>
      </c>
      <c r="L105" s="1">
        <v>0</v>
      </c>
      <c r="M105" s="1" t="s">
        <v>44</v>
      </c>
      <c r="N105" s="1"/>
    </row>
    <row r="106" spans="2:14" x14ac:dyDescent="0.3">
      <c r="B106" s="1" t="s">
        <v>19</v>
      </c>
      <c r="C106" s="1" t="s">
        <v>93</v>
      </c>
      <c r="D106" s="1" t="s">
        <v>473</v>
      </c>
      <c r="E106" s="1" t="s">
        <v>14</v>
      </c>
      <c r="F106" s="1" t="s">
        <v>474</v>
      </c>
      <c r="G106" s="1" t="s">
        <v>475</v>
      </c>
      <c r="H106" s="1" t="s">
        <v>476</v>
      </c>
      <c r="I106" s="1" t="s">
        <v>8</v>
      </c>
      <c r="J106" s="1" t="s">
        <v>737</v>
      </c>
      <c r="K106" s="1">
        <v>9</v>
      </c>
      <c r="L106" s="1">
        <v>3</v>
      </c>
      <c r="M106" s="1" t="s">
        <v>44</v>
      </c>
      <c r="N106" s="1" t="s">
        <v>41</v>
      </c>
    </row>
    <row r="107" spans="2:14" x14ac:dyDescent="0.3">
      <c r="B107" s="1" t="s">
        <v>19</v>
      </c>
      <c r="C107" s="1" t="s">
        <v>220</v>
      </c>
      <c r="D107" s="1" t="s">
        <v>477</v>
      </c>
      <c r="E107" s="1" t="s">
        <v>14</v>
      </c>
      <c r="F107" s="1" t="s">
        <v>478</v>
      </c>
      <c r="G107" s="1" t="s">
        <v>479</v>
      </c>
      <c r="H107" s="1" t="s">
        <v>480</v>
      </c>
      <c r="I107" s="1" t="s">
        <v>15</v>
      </c>
      <c r="J107" s="1" t="s">
        <v>777</v>
      </c>
      <c r="K107" s="1">
        <v>43</v>
      </c>
      <c r="L107" s="1">
        <v>0</v>
      </c>
      <c r="M107" s="1" t="s">
        <v>44</v>
      </c>
      <c r="N107" s="1" t="s">
        <v>41</v>
      </c>
    </row>
    <row r="108" spans="2:14" x14ac:dyDescent="0.3">
      <c r="B108" s="1" t="s">
        <v>19</v>
      </c>
      <c r="C108" s="1" t="s">
        <v>60</v>
      </c>
      <c r="D108" s="1" t="s">
        <v>481</v>
      </c>
      <c r="E108" s="1" t="s">
        <v>14</v>
      </c>
      <c r="F108" s="1" t="s">
        <v>482</v>
      </c>
      <c r="G108" s="1" t="s">
        <v>483</v>
      </c>
      <c r="H108" s="1" t="s">
        <v>484</v>
      </c>
      <c r="I108" s="1" t="s">
        <v>8</v>
      </c>
      <c r="J108" s="1" t="s">
        <v>759</v>
      </c>
      <c r="K108" s="1">
        <v>45</v>
      </c>
      <c r="L108" s="1">
        <v>7</v>
      </c>
      <c r="M108" s="1" t="s">
        <v>44</v>
      </c>
      <c r="N108" s="1"/>
    </row>
    <row r="109" spans="2:14" x14ac:dyDescent="0.3">
      <c r="B109" s="1" t="s">
        <v>19</v>
      </c>
      <c r="C109" s="1" t="s">
        <v>60</v>
      </c>
      <c r="D109" s="1" t="s">
        <v>485</v>
      </c>
      <c r="E109" s="1" t="s">
        <v>14</v>
      </c>
      <c r="F109" s="1" t="s">
        <v>486</v>
      </c>
      <c r="G109" s="1" t="s">
        <v>487</v>
      </c>
      <c r="H109" s="1" t="s">
        <v>488</v>
      </c>
      <c r="I109" s="1" t="s">
        <v>8</v>
      </c>
      <c r="J109" s="1" t="s">
        <v>724</v>
      </c>
      <c r="K109" s="1">
        <v>37</v>
      </c>
      <c r="L109" s="1">
        <v>1</v>
      </c>
      <c r="M109" s="1" t="s">
        <v>44</v>
      </c>
      <c r="N109" s="1"/>
    </row>
    <row r="110" spans="2:14" x14ac:dyDescent="0.3">
      <c r="B110" s="1" t="s">
        <v>19</v>
      </c>
      <c r="C110" s="1" t="s">
        <v>93</v>
      </c>
      <c r="D110" s="1" t="s">
        <v>489</v>
      </c>
      <c r="E110" s="1" t="s">
        <v>14</v>
      </c>
      <c r="F110" s="1" t="s">
        <v>490</v>
      </c>
      <c r="G110" s="1" t="s">
        <v>491</v>
      </c>
      <c r="H110" s="1" t="s">
        <v>492</v>
      </c>
      <c r="I110" s="1" t="s">
        <v>8</v>
      </c>
      <c r="J110" s="1" t="s">
        <v>732</v>
      </c>
      <c r="K110" s="1">
        <v>1</v>
      </c>
      <c r="L110" s="1">
        <v>1</v>
      </c>
      <c r="M110" s="1" t="s">
        <v>44</v>
      </c>
      <c r="N110" s="1"/>
    </row>
    <row r="111" spans="2:14" x14ac:dyDescent="0.3">
      <c r="B111" s="1" t="s">
        <v>19</v>
      </c>
      <c r="C111" s="1" t="s">
        <v>93</v>
      </c>
      <c r="D111" s="1" t="s">
        <v>493</v>
      </c>
      <c r="E111" s="1" t="s">
        <v>14</v>
      </c>
      <c r="F111" s="1" t="s">
        <v>494</v>
      </c>
      <c r="G111" s="1" t="s">
        <v>495</v>
      </c>
      <c r="H111" s="1" t="s">
        <v>496</v>
      </c>
      <c r="I111" s="1" t="s">
        <v>8</v>
      </c>
      <c r="J111" s="1" t="s">
        <v>725</v>
      </c>
      <c r="K111" s="1">
        <v>63</v>
      </c>
      <c r="L111" s="1">
        <v>5</v>
      </c>
      <c r="M111" s="1" t="s">
        <v>44</v>
      </c>
      <c r="N111" s="1"/>
    </row>
    <row r="112" spans="2:14" x14ac:dyDescent="0.3">
      <c r="B112" s="1" t="s">
        <v>19</v>
      </c>
      <c r="C112" s="1" t="s">
        <v>93</v>
      </c>
      <c r="D112" s="1" t="s">
        <v>497</v>
      </c>
      <c r="E112" s="1" t="s">
        <v>14</v>
      </c>
      <c r="F112" s="1" t="s">
        <v>498</v>
      </c>
      <c r="G112" s="1" t="s">
        <v>499</v>
      </c>
      <c r="H112" s="1" t="s">
        <v>500</v>
      </c>
      <c r="I112" s="1" t="s">
        <v>8</v>
      </c>
      <c r="J112" s="1" t="s">
        <v>733</v>
      </c>
      <c r="K112" s="1">
        <v>9</v>
      </c>
      <c r="L112" s="1">
        <v>5</v>
      </c>
      <c r="M112" s="1" t="s">
        <v>44</v>
      </c>
      <c r="N112" s="1" t="s">
        <v>41</v>
      </c>
    </row>
    <row r="113" spans="2:14" x14ac:dyDescent="0.3">
      <c r="B113" s="1" t="s">
        <v>19</v>
      </c>
      <c r="C113" s="1" t="s">
        <v>93</v>
      </c>
      <c r="D113" s="1" t="s">
        <v>501</v>
      </c>
      <c r="E113" s="1" t="s">
        <v>14</v>
      </c>
      <c r="F113" s="1" t="s">
        <v>502</v>
      </c>
      <c r="G113" s="1" t="s">
        <v>503</v>
      </c>
      <c r="H113" s="1" t="s">
        <v>504</v>
      </c>
      <c r="I113" s="1" t="s">
        <v>8</v>
      </c>
      <c r="J113" s="1" t="s">
        <v>733</v>
      </c>
      <c r="K113" s="1">
        <v>10</v>
      </c>
      <c r="L113" s="1">
        <v>4</v>
      </c>
      <c r="M113" s="1" t="s">
        <v>44</v>
      </c>
      <c r="N113" s="1" t="s">
        <v>41</v>
      </c>
    </row>
    <row r="114" spans="2:14" x14ac:dyDescent="0.3">
      <c r="B114" s="1" t="s">
        <v>19</v>
      </c>
      <c r="C114" s="1" t="s">
        <v>60</v>
      </c>
      <c r="D114" s="1" t="s">
        <v>505</v>
      </c>
      <c r="E114" s="1" t="s">
        <v>14</v>
      </c>
      <c r="F114" s="1" t="s">
        <v>506</v>
      </c>
      <c r="G114" s="1" t="s">
        <v>507</v>
      </c>
      <c r="H114" s="1" t="s">
        <v>508</v>
      </c>
      <c r="I114" s="1" t="s">
        <v>17</v>
      </c>
      <c r="J114" s="1" t="s">
        <v>778</v>
      </c>
      <c r="K114" s="1">
        <v>111</v>
      </c>
      <c r="L114" s="1">
        <v>7</v>
      </c>
      <c r="M114" s="1" t="s">
        <v>44</v>
      </c>
      <c r="N114" s="1" t="s">
        <v>41</v>
      </c>
    </row>
    <row r="115" spans="2:14" x14ac:dyDescent="0.3">
      <c r="B115" s="1" t="s">
        <v>19</v>
      </c>
      <c r="C115" s="1" t="s">
        <v>60</v>
      </c>
      <c r="D115" s="1" t="s">
        <v>509</v>
      </c>
      <c r="E115" s="1" t="s">
        <v>14</v>
      </c>
      <c r="F115" s="1" t="s">
        <v>510</v>
      </c>
      <c r="G115" s="1" t="s">
        <v>511</v>
      </c>
      <c r="H115" s="1" t="s">
        <v>512</v>
      </c>
      <c r="I115" s="1" t="s">
        <v>8</v>
      </c>
      <c r="J115" s="1" t="s">
        <v>779</v>
      </c>
      <c r="K115" s="1">
        <v>38</v>
      </c>
      <c r="L115" s="1">
        <v>2</v>
      </c>
      <c r="M115" s="1" t="s">
        <v>44</v>
      </c>
      <c r="N115" s="1"/>
    </row>
    <row r="116" spans="2:14" x14ac:dyDescent="0.3">
      <c r="B116" s="1" t="s">
        <v>19</v>
      </c>
      <c r="C116" s="1" t="s">
        <v>93</v>
      </c>
      <c r="D116" s="1" t="s">
        <v>513</v>
      </c>
      <c r="E116" s="1" t="s">
        <v>14</v>
      </c>
      <c r="F116" s="1" t="s">
        <v>514</v>
      </c>
      <c r="G116" s="1" t="s">
        <v>515</v>
      </c>
      <c r="H116" s="1" t="s">
        <v>516</v>
      </c>
      <c r="I116" s="1" t="s">
        <v>8</v>
      </c>
      <c r="J116" s="1" t="s">
        <v>776</v>
      </c>
      <c r="K116" s="1">
        <v>22</v>
      </c>
      <c r="L116" s="1">
        <v>2</v>
      </c>
      <c r="M116" s="1" t="s">
        <v>44</v>
      </c>
      <c r="N116" s="1" t="s">
        <v>41</v>
      </c>
    </row>
    <row r="117" spans="2:14" x14ac:dyDescent="0.3">
      <c r="B117" s="1" t="s">
        <v>13</v>
      </c>
      <c r="C117" s="1" t="s">
        <v>93</v>
      </c>
      <c r="D117" s="1" t="s">
        <v>517</v>
      </c>
      <c r="E117" s="1" t="s">
        <v>14</v>
      </c>
      <c r="F117" s="1" t="s">
        <v>518</v>
      </c>
      <c r="G117" s="1" t="s">
        <v>519</v>
      </c>
      <c r="H117" s="1" t="s">
        <v>520</v>
      </c>
      <c r="I117" s="1" t="s">
        <v>8</v>
      </c>
      <c r="J117" s="1" t="s">
        <v>780</v>
      </c>
      <c r="K117" s="1">
        <v>2</v>
      </c>
      <c r="L117" s="1">
        <v>6</v>
      </c>
      <c r="M117" s="1" t="s">
        <v>44</v>
      </c>
      <c r="N117" s="1"/>
    </row>
    <row r="118" spans="2:14" x14ac:dyDescent="0.3">
      <c r="B118" s="1" t="s">
        <v>13</v>
      </c>
      <c r="C118" s="1" t="s">
        <v>114</v>
      </c>
      <c r="D118" s="1" t="s">
        <v>521</v>
      </c>
      <c r="E118" s="1" t="s">
        <v>14</v>
      </c>
      <c r="F118" s="1" t="s">
        <v>522</v>
      </c>
      <c r="G118" s="1" t="s">
        <v>523</v>
      </c>
      <c r="H118" s="1" t="s">
        <v>524</v>
      </c>
      <c r="I118" s="1" t="s">
        <v>8</v>
      </c>
      <c r="J118" s="1" t="s">
        <v>781</v>
      </c>
      <c r="K118" s="1">
        <v>2</v>
      </c>
      <c r="L118" s="1">
        <v>2</v>
      </c>
      <c r="M118" s="1" t="s">
        <v>44</v>
      </c>
      <c r="N118" s="1"/>
    </row>
    <row r="119" spans="2:14" x14ac:dyDescent="0.3">
      <c r="B119" s="1" t="s">
        <v>13</v>
      </c>
      <c r="C119" s="1" t="s">
        <v>114</v>
      </c>
      <c r="D119" s="1" t="s">
        <v>525</v>
      </c>
      <c r="E119" s="1" t="s">
        <v>14</v>
      </c>
      <c r="F119" s="1" t="s">
        <v>526</v>
      </c>
      <c r="G119" s="1" t="s">
        <v>527</v>
      </c>
      <c r="H119" s="1" t="s">
        <v>528</v>
      </c>
      <c r="I119" s="1" t="s">
        <v>8</v>
      </c>
      <c r="J119" s="1" t="s">
        <v>781</v>
      </c>
      <c r="K119" s="1">
        <v>4</v>
      </c>
      <c r="L119" s="1">
        <v>0</v>
      </c>
      <c r="M119" s="1" t="s">
        <v>44</v>
      </c>
      <c r="N119" s="1"/>
    </row>
    <row r="120" spans="2:14" x14ac:dyDescent="0.3">
      <c r="B120" s="1" t="s">
        <v>13</v>
      </c>
      <c r="C120" s="1" t="s">
        <v>93</v>
      </c>
      <c r="D120" s="1" t="s">
        <v>529</v>
      </c>
      <c r="E120" s="1" t="s">
        <v>14</v>
      </c>
      <c r="F120" s="1" t="s">
        <v>530</v>
      </c>
      <c r="G120" s="1" t="s">
        <v>531</v>
      </c>
      <c r="H120" s="1" t="s">
        <v>532</v>
      </c>
      <c r="I120" s="1" t="s">
        <v>8</v>
      </c>
      <c r="J120" s="1" t="s">
        <v>729</v>
      </c>
      <c r="K120" s="1">
        <v>5</v>
      </c>
      <c r="L120" s="1">
        <v>2</v>
      </c>
      <c r="M120" s="1" t="s">
        <v>44</v>
      </c>
      <c r="N120" s="1"/>
    </row>
    <row r="121" spans="2:14" x14ac:dyDescent="0.3">
      <c r="B121" s="1" t="s">
        <v>13</v>
      </c>
      <c r="C121" s="1" t="s">
        <v>93</v>
      </c>
      <c r="D121" s="1" t="s">
        <v>533</v>
      </c>
      <c r="E121" s="1" t="s">
        <v>14</v>
      </c>
      <c r="F121" s="1" t="s">
        <v>534</v>
      </c>
      <c r="G121" s="1" t="s">
        <v>535</v>
      </c>
      <c r="H121" s="1" t="s">
        <v>536</v>
      </c>
      <c r="I121" s="1" t="s">
        <v>8</v>
      </c>
      <c r="J121" s="1" t="s">
        <v>780</v>
      </c>
      <c r="K121" s="1">
        <v>8</v>
      </c>
      <c r="L121" s="1">
        <v>0</v>
      </c>
      <c r="M121" s="1" t="s">
        <v>44</v>
      </c>
      <c r="N121" s="1" t="s">
        <v>41</v>
      </c>
    </row>
    <row r="122" spans="2:14" x14ac:dyDescent="0.3">
      <c r="B122" s="1" t="s">
        <v>13</v>
      </c>
      <c r="C122" s="1" t="s">
        <v>60</v>
      </c>
      <c r="D122" s="1" t="s">
        <v>537</v>
      </c>
      <c r="E122" s="1" t="s">
        <v>14</v>
      </c>
      <c r="F122" s="1" t="s">
        <v>538</v>
      </c>
      <c r="G122" s="1" t="s">
        <v>539</v>
      </c>
      <c r="H122" s="1" t="s">
        <v>540</v>
      </c>
      <c r="I122" s="1" t="s">
        <v>8</v>
      </c>
      <c r="J122" s="1" t="s">
        <v>776</v>
      </c>
      <c r="K122" s="1">
        <v>16</v>
      </c>
      <c r="L122" s="1">
        <v>8</v>
      </c>
      <c r="M122" s="1" t="s">
        <v>44</v>
      </c>
      <c r="N122" s="1" t="s">
        <v>41</v>
      </c>
    </row>
    <row r="123" spans="2:14" x14ac:dyDescent="0.3">
      <c r="B123" s="1" t="s">
        <v>13</v>
      </c>
      <c r="C123" s="1" t="s">
        <v>93</v>
      </c>
      <c r="D123" s="1" t="s">
        <v>541</v>
      </c>
      <c r="E123" s="1" t="s">
        <v>14</v>
      </c>
      <c r="F123" s="1" t="s">
        <v>542</v>
      </c>
      <c r="G123" s="1" t="s">
        <v>543</v>
      </c>
      <c r="H123" s="1" t="s">
        <v>544</v>
      </c>
      <c r="I123" s="1" t="s">
        <v>8</v>
      </c>
      <c r="J123" s="1" t="s">
        <v>733</v>
      </c>
      <c r="K123" s="1">
        <v>13</v>
      </c>
      <c r="L123" s="1">
        <v>1</v>
      </c>
      <c r="M123" s="1" t="s">
        <v>44</v>
      </c>
      <c r="N123" s="1" t="s">
        <v>41</v>
      </c>
    </row>
    <row r="124" spans="2:14" x14ac:dyDescent="0.3">
      <c r="B124" s="1" t="s">
        <v>13</v>
      </c>
      <c r="C124" s="1" t="s">
        <v>114</v>
      </c>
      <c r="D124" s="1" t="s">
        <v>545</v>
      </c>
      <c r="E124" s="1" t="s">
        <v>14</v>
      </c>
      <c r="F124" s="1" t="s">
        <v>546</v>
      </c>
      <c r="G124" s="1" t="s">
        <v>547</v>
      </c>
      <c r="H124" s="1" t="s">
        <v>548</v>
      </c>
      <c r="I124" s="1" t="s">
        <v>8</v>
      </c>
      <c r="J124" s="1" t="s">
        <v>743</v>
      </c>
      <c r="K124" s="1">
        <v>1</v>
      </c>
      <c r="L124" s="1">
        <v>0</v>
      </c>
      <c r="M124" s="1" t="s">
        <v>44</v>
      </c>
      <c r="N124" s="1"/>
    </row>
    <row r="125" spans="2:14" x14ac:dyDescent="0.3">
      <c r="B125" s="1" t="s">
        <v>13</v>
      </c>
      <c r="C125" s="1" t="s">
        <v>114</v>
      </c>
      <c r="D125" s="1" t="s">
        <v>549</v>
      </c>
      <c r="E125" s="1" t="s">
        <v>14</v>
      </c>
      <c r="F125" s="1" t="s">
        <v>550</v>
      </c>
      <c r="G125" s="1" t="s">
        <v>551</v>
      </c>
      <c r="H125" s="1" t="s">
        <v>552</v>
      </c>
      <c r="I125" s="1" t="s">
        <v>8</v>
      </c>
      <c r="J125" s="1" t="s">
        <v>737</v>
      </c>
      <c r="K125" s="1">
        <v>10</v>
      </c>
      <c r="L125" s="1">
        <v>2</v>
      </c>
      <c r="M125" s="1" t="s">
        <v>44</v>
      </c>
      <c r="N125" s="1" t="s">
        <v>41</v>
      </c>
    </row>
    <row r="126" spans="2:14" x14ac:dyDescent="0.3">
      <c r="B126" s="1" t="s">
        <v>13</v>
      </c>
      <c r="C126" s="1" t="s">
        <v>114</v>
      </c>
      <c r="D126" s="1" t="s">
        <v>553</v>
      </c>
      <c r="E126" s="1" t="s">
        <v>14</v>
      </c>
      <c r="F126" s="1" t="s">
        <v>554</v>
      </c>
      <c r="G126" s="1" t="s">
        <v>555</v>
      </c>
      <c r="H126" s="1" t="s">
        <v>556</v>
      </c>
      <c r="I126" s="1" t="s">
        <v>8</v>
      </c>
      <c r="J126" s="1" t="s">
        <v>770</v>
      </c>
      <c r="K126" s="1">
        <v>9</v>
      </c>
      <c r="L126" s="1">
        <v>0</v>
      </c>
      <c r="M126" s="1" t="s">
        <v>44</v>
      </c>
      <c r="N126" s="1"/>
    </row>
    <row r="127" spans="2:14" x14ac:dyDescent="0.3">
      <c r="B127" s="1" t="s">
        <v>13</v>
      </c>
      <c r="C127" s="1" t="s">
        <v>60</v>
      </c>
      <c r="D127" s="1" t="s">
        <v>557</v>
      </c>
      <c r="E127" s="1" t="s">
        <v>14</v>
      </c>
      <c r="F127" s="1" t="s">
        <v>558</v>
      </c>
      <c r="G127" s="2" t="s">
        <v>559</v>
      </c>
      <c r="H127" s="2" t="s">
        <v>560</v>
      </c>
      <c r="I127" s="2" t="s">
        <v>8</v>
      </c>
      <c r="J127" s="4" t="s">
        <v>771</v>
      </c>
      <c r="K127" s="4">
        <v>32</v>
      </c>
      <c r="L127" s="4">
        <v>53</v>
      </c>
      <c r="M127" s="4" t="s">
        <v>797</v>
      </c>
      <c r="N127" s="1" t="s">
        <v>41</v>
      </c>
    </row>
    <row r="128" spans="2:14" x14ac:dyDescent="0.3">
      <c r="B128" s="1" t="s">
        <v>13</v>
      </c>
      <c r="C128" s="1" t="s">
        <v>114</v>
      </c>
      <c r="D128" s="1" t="s">
        <v>561</v>
      </c>
      <c r="E128" s="1" t="s">
        <v>14</v>
      </c>
      <c r="F128" s="1" t="s">
        <v>562</v>
      </c>
      <c r="G128" s="1" t="s">
        <v>563</v>
      </c>
      <c r="H128" s="1" t="s">
        <v>564</v>
      </c>
      <c r="I128" s="1" t="s">
        <v>8</v>
      </c>
      <c r="J128" s="1" t="s">
        <v>765</v>
      </c>
      <c r="K128" s="1">
        <v>36</v>
      </c>
      <c r="L128" s="1">
        <v>5</v>
      </c>
      <c r="M128" s="1" t="s">
        <v>44</v>
      </c>
      <c r="N128" s="1" t="s">
        <v>41</v>
      </c>
    </row>
    <row r="129" spans="2:14" x14ac:dyDescent="0.3">
      <c r="B129" s="1" t="s">
        <v>13</v>
      </c>
      <c r="C129" s="1" t="s">
        <v>114</v>
      </c>
      <c r="D129" s="1" t="s">
        <v>565</v>
      </c>
      <c r="E129" s="1" t="s">
        <v>14</v>
      </c>
      <c r="F129" s="1" t="s">
        <v>566</v>
      </c>
      <c r="G129" s="1" t="s">
        <v>567</v>
      </c>
      <c r="H129" s="1" t="s">
        <v>568</v>
      </c>
      <c r="I129" s="1" t="s">
        <v>8</v>
      </c>
      <c r="J129" s="1" t="s">
        <v>733</v>
      </c>
      <c r="K129" s="1">
        <v>8</v>
      </c>
      <c r="L129" s="1">
        <v>6</v>
      </c>
      <c r="M129" s="1" t="s">
        <v>44</v>
      </c>
      <c r="N129" s="1" t="s">
        <v>41</v>
      </c>
    </row>
    <row r="130" spans="2:14" x14ac:dyDescent="0.3">
      <c r="B130" s="1" t="s">
        <v>13</v>
      </c>
      <c r="C130" s="1" t="s">
        <v>60</v>
      </c>
      <c r="D130" s="1" t="s">
        <v>569</v>
      </c>
      <c r="E130" s="1" t="s">
        <v>14</v>
      </c>
      <c r="F130" s="1" t="s">
        <v>570</v>
      </c>
      <c r="G130" s="1" t="s">
        <v>571</v>
      </c>
      <c r="H130" s="1" t="s">
        <v>572</v>
      </c>
      <c r="I130" s="1" t="s">
        <v>8</v>
      </c>
      <c r="J130" s="1" t="s">
        <v>770</v>
      </c>
      <c r="K130" s="1">
        <v>8</v>
      </c>
      <c r="L130" s="1">
        <v>1</v>
      </c>
      <c r="M130" s="1" t="s">
        <v>44</v>
      </c>
      <c r="N130" s="1"/>
    </row>
    <row r="131" spans="2:14" x14ac:dyDescent="0.3">
      <c r="B131" s="1" t="s">
        <v>13</v>
      </c>
      <c r="C131" s="1" t="s">
        <v>93</v>
      </c>
      <c r="D131" s="1" t="s">
        <v>573</v>
      </c>
      <c r="E131" s="1" t="s">
        <v>14</v>
      </c>
      <c r="F131" s="1" t="s">
        <v>574</v>
      </c>
      <c r="G131" s="1" t="s">
        <v>575</v>
      </c>
      <c r="H131" s="1" t="s">
        <v>576</v>
      </c>
      <c r="I131" s="1" t="s">
        <v>8</v>
      </c>
      <c r="J131" s="1" t="s">
        <v>737</v>
      </c>
      <c r="K131" s="1">
        <v>11</v>
      </c>
      <c r="L131" s="1">
        <v>1</v>
      </c>
      <c r="M131" s="1" t="s">
        <v>44</v>
      </c>
      <c r="N131" s="1"/>
    </row>
    <row r="132" spans="2:14" x14ac:dyDescent="0.3">
      <c r="B132" s="1" t="s">
        <v>13</v>
      </c>
      <c r="C132" s="1" t="s">
        <v>114</v>
      </c>
      <c r="D132" s="1" t="s">
        <v>577</v>
      </c>
      <c r="E132" s="1" t="s">
        <v>14</v>
      </c>
      <c r="F132" s="1" t="s">
        <v>578</v>
      </c>
      <c r="G132" s="1" t="s">
        <v>579</v>
      </c>
      <c r="H132" s="1" t="s">
        <v>580</v>
      </c>
      <c r="I132" s="1" t="s">
        <v>8</v>
      </c>
      <c r="J132" s="1" t="s">
        <v>728</v>
      </c>
      <c r="K132" s="1">
        <v>14</v>
      </c>
      <c r="L132" s="1">
        <v>5</v>
      </c>
      <c r="M132" s="1" t="s">
        <v>44</v>
      </c>
      <c r="N132" s="1" t="s">
        <v>41</v>
      </c>
    </row>
    <row r="133" spans="2:14" x14ac:dyDescent="0.3">
      <c r="B133" s="1" t="s">
        <v>13</v>
      </c>
      <c r="C133" s="1" t="s">
        <v>93</v>
      </c>
      <c r="D133" s="1" t="s">
        <v>581</v>
      </c>
      <c r="E133" s="1" t="s">
        <v>14</v>
      </c>
      <c r="F133" s="1" t="s">
        <v>582</v>
      </c>
      <c r="G133" s="1" t="s">
        <v>583</v>
      </c>
      <c r="H133" s="1" t="s">
        <v>584</v>
      </c>
      <c r="I133" s="1" t="s">
        <v>8</v>
      </c>
      <c r="J133" s="1" t="s">
        <v>763</v>
      </c>
      <c r="K133" s="1">
        <v>15</v>
      </c>
      <c r="L133" s="1">
        <v>0</v>
      </c>
      <c r="M133" s="1" t="s">
        <v>44</v>
      </c>
      <c r="N133" s="1"/>
    </row>
    <row r="134" spans="2:14" x14ac:dyDescent="0.3">
      <c r="B134" s="1" t="s">
        <v>13</v>
      </c>
      <c r="C134" s="1" t="s">
        <v>60</v>
      </c>
      <c r="D134" s="1" t="s">
        <v>585</v>
      </c>
      <c r="E134" s="1" t="s">
        <v>14</v>
      </c>
      <c r="F134" s="1" t="s">
        <v>586</v>
      </c>
      <c r="G134" s="1" t="s">
        <v>587</v>
      </c>
      <c r="H134" s="1" t="s">
        <v>588</v>
      </c>
      <c r="I134" s="1" t="s">
        <v>8</v>
      </c>
      <c r="J134" s="1" t="s">
        <v>756</v>
      </c>
      <c r="K134" s="1">
        <v>24</v>
      </c>
      <c r="L134" s="1">
        <v>4</v>
      </c>
      <c r="M134" s="1" t="s">
        <v>44</v>
      </c>
      <c r="N134" s="1" t="s">
        <v>41</v>
      </c>
    </row>
    <row r="135" spans="2:14" x14ac:dyDescent="0.3">
      <c r="B135" s="1" t="s">
        <v>13</v>
      </c>
      <c r="C135" s="1" t="s">
        <v>114</v>
      </c>
      <c r="D135" s="1" t="s">
        <v>589</v>
      </c>
      <c r="E135" s="1" t="s">
        <v>14</v>
      </c>
      <c r="F135" s="1" t="s">
        <v>590</v>
      </c>
      <c r="G135" s="1" t="s">
        <v>591</v>
      </c>
      <c r="H135" s="1" t="s">
        <v>592</v>
      </c>
      <c r="I135" s="1" t="s">
        <v>8</v>
      </c>
      <c r="J135" s="1" t="s">
        <v>741</v>
      </c>
      <c r="K135" s="1">
        <v>10</v>
      </c>
      <c r="L135" s="1">
        <v>0</v>
      </c>
      <c r="M135" s="1" t="s">
        <v>44</v>
      </c>
      <c r="N135" s="1" t="s">
        <v>41</v>
      </c>
    </row>
    <row r="136" spans="2:14" x14ac:dyDescent="0.3">
      <c r="B136" s="1" t="s">
        <v>23</v>
      </c>
      <c r="C136" s="1" t="s">
        <v>60</v>
      </c>
      <c r="D136" s="1" t="s">
        <v>593</v>
      </c>
      <c r="E136" s="1" t="s">
        <v>14</v>
      </c>
      <c r="F136" s="1" t="s">
        <v>594</v>
      </c>
      <c r="G136" s="1" t="s">
        <v>595</v>
      </c>
      <c r="H136" s="1" t="s">
        <v>596</v>
      </c>
      <c r="I136" s="1" t="s">
        <v>17</v>
      </c>
      <c r="J136" s="1" t="s">
        <v>762</v>
      </c>
      <c r="K136" s="1">
        <v>45</v>
      </c>
      <c r="L136" s="1">
        <v>1</v>
      </c>
      <c r="M136" s="1" t="s">
        <v>44</v>
      </c>
      <c r="N136" s="1"/>
    </row>
    <row r="137" spans="2:14" x14ac:dyDescent="0.3">
      <c r="B137" s="1" t="s">
        <v>23</v>
      </c>
      <c r="C137" s="1" t="s">
        <v>60</v>
      </c>
      <c r="D137" s="1" t="s">
        <v>597</v>
      </c>
      <c r="E137" s="1" t="s">
        <v>14</v>
      </c>
      <c r="F137" s="1" t="s">
        <v>598</v>
      </c>
      <c r="G137" s="1" t="s">
        <v>599</v>
      </c>
      <c r="H137" s="1" t="s">
        <v>600</v>
      </c>
      <c r="I137" s="1" t="s">
        <v>17</v>
      </c>
      <c r="J137" s="1" t="s">
        <v>760</v>
      </c>
      <c r="K137" s="1">
        <v>26</v>
      </c>
      <c r="L137" s="1">
        <v>1</v>
      </c>
      <c r="M137" s="1" t="s">
        <v>44</v>
      </c>
      <c r="N137" s="1"/>
    </row>
    <row r="138" spans="2:14" x14ac:dyDescent="0.3">
      <c r="B138" s="1" t="s">
        <v>23</v>
      </c>
      <c r="C138" s="1" t="s">
        <v>60</v>
      </c>
      <c r="D138" s="1" t="s">
        <v>601</v>
      </c>
      <c r="E138" s="1" t="s">
        <v>14</v>
      </c>
      <c r="F138" s="1" t="s">
        <v>602</v>
      </c>
      <c r="G138" s="1" t="s">
        <v>603</v>
      </c>
      <c r="H138" s="1" t="s">
        <v>604</v>
      </c>
      <c r="I138" s="1" t="s">
        <v>17</v>
      </c>
      <c r="J138" s="1" t="s">
        <v>782</v>
      </c>
      <c r="K138" s="1">
        <v>42</v>
      </c>
      <c r="L138" s="1">
        <v>2</v>
      </c>
      <c r="M138" s="1" t="s">
        <v>44</v>
      </c>
      <c r="N138" s="1"/>
    </row>
    <row r="139" spans="2:14" x14ac:dyDescent="0.3">
      <c r="B139" s="1" t="s">
        <v>23</v>
      </c>
      <c r="C139" s="1" t="s">
        <v>60</v>
      </c>
      <c r="D139" s="1" t="s">
        <v>605</v>
      </c>
      <c r="E139" s="1" t="s">
        <v>14</v>
      </c>
      <c r="F139" s="1" t="s">
        <v>606</v>
      </c>
      <c r="G139" s="1" t="s">
        <v>607</v>
      </c>
      <c r="H139" s="1" t="s">
        <v>608</v>
      </c>
      <c r="I139" s="1" t="s">
        <v>17</v>
      </c>
      <c r="J139" s="1" t="s">
        <v>777</v>
      </c>
      <c r="K139" s="1">
        <v>15</v>
      </c>
      <c r="L139" s="1">
        <v>28</v>
      </c>
      <c r="M139" s="1" t="s">
        <v>44</v>
      </c>
      <c r="N139" s="1"/>
    </row>
    <row r="140" spans="2:14" x14ac:dyDescent="0.3">
      <c r="B140" s="1" t="s">
        <v>23</v>
      </c>
      <c r="C140" s="1" t="s">
        <v>60</v>
      </c>
      <c r="D140" s="1" t="s">
        <v>609</v>
      </c>
      <c r="E140" s="1" t="s">
        <v>14</v>
      </c>
      <c r="F140" s="1" t="s">
        <v>610</v>
      </c>
      <c r="G140" s="1" t="s">
        <v>611</v>
      </c>
      <c r="H140" s="1" t="s">
        <v>612</v>
      </c>
      <c r="I140" s="1" t="s">
        <v>17</v>
      </c>
      <c r="J140" s="1" t="s">
        <v>783</v>
      </c>
      <c r="K140" s="1">
        <v>52</v>
      </c>
      <c r="L140" s="1">
        <v>4</v>
      </c>
      <c r="M140" s="1" t="s">
        <v>44</v>
      </c>
      <c r="N140" s="1" t="s">
        <v>41</v>
      </c>
    </row>
    <row r="141" spans="2:14" x14ac:dyDescent="0.3">
      <c r="B141" s="1" t="s">
        <v>23</v>
      </c>
      <c r="C141" s="1" t="s">
        <v>60</v>
      </c>
      <c r="D141" s="1" t="s">
        <v>613</v>
      </c>
      <c r="E141" s="1" t="s">
        <v>14</v>
      </c>
      <c r="F141" s="1" t="s">
        <v>614</v>
      </c>
      <c r="G141" s="1" t="s">
        <v>615</v>
      </c>
      <c r="H141" s="1" t="s">
        <v>616</v>
      </c>
      <c r="I141" s="1" t="s">
        <v>17</v>
      </c>
      <c r="J141" s="1" t="s">
        <v>781</v>
      </c>
      <c r="K141" s="1">
        <v>1</v>
      </c>
      <c r="L141" s="1">
        <v>3</v>
      </c>
      <c r="M141" s="1" t="s">
        <v>44</v>
      </c>
      <c r="N141" s="1"/>
    </row>
    <row r="142" spans="2:14" x14ac:dyDescent="0.3">
      <c r="B142" s="1" t="s">
        <v>23</v>
      </c>
      <c r="C142" s="1" t="s">
        <v>60</v>
      </c>
      <c r="D142" s="1" t="s">
        <v>617</v>
      </c>
      <c r="E142" s="1" t="s">
        <v>14</v>
      </c>
      <c r="F142" s="1" t="s">
        <v>618</v>
      </c>
      <c r="G142" s="1" t="s">
        <v>619</v>
      </c>
      <c r="H142" s="1" t="s">
        <v>620</v>
      </c>
      <c r="I142" s="1" t="s">
        <v>17</v>
      </c>
      <c r="J142" s="1" t="s">
        <v>773</v>
      </c>
      <c r="K142" s="1">
        <v>16</v>
      </c>
      <c r="L142" s="1">
        <v>1</v>
      </c>
      <c r="M142" s="1" t="s">
        <v>44</v>
      </c>
      <c r="N142" s="1" t="s">
        <v>41</v>
      </c>
    </row>
    <row r="143" spans="2:14" x14ac:dyDescent="0.3">
      <c r="B143" s="1" t="s">
        <v>22</v>
      </c>
      <c r="C143" s="1" t="s">
        <v>60</v>
      </c>
      <c r="D143" s="1" t="s">
        <v>621</v>
      </c>
      <c r="E143" s="1" t="s">
        <v>14</v>
      </c>
      <c r="F143" s="1" t="s">
        <v>622</v>
      </c>
      <c r="G143" s="1" t="s">
        <v>623</v>
      </c>
      <c r="H143" s="1" t="s">
        <v>624</v>
      </c>
      <c r="I143" s="1" t="s">
        <v>17</v>
      </c>
      <c r="J143" s="1" t="s">
        <v>784</v>
      </c>
      <c r="K143" s="1">
        <v>148</v>
      </c>
      <c r="L143" s="1">
        <v>0</v>
      </c>
      <c r="M143" s="1" t="s">
        <v>44</v>
      </c>
      <c r="N143" s="1"/>
    </row>
    <row r="144" spans="2:14" x14ac:dyDescent="0.3">
      <c r="B144" s="1" t="s">
        <v>22</v>
      </c>
      <c r="C144" s="1" t="s">
        <v>60</v>
      </c>
      <c r="D144" s="1" t="s">
        <v>625</v>
      </c>
      <c r="E144" s="1" t="s">
        <v>14</v>
      </c>
      <c r="F144" s="1" t="s">
        <v>626</v>
      </c>
      <c r="G144" s="1" t="s">
        <v>627</v>
      </c>
      <c r="H144" s="1" t="s">
        <v>628</v>
      </c>
      <c r="I144" s="1" t="s">
        <v>17</v>
      </c>
      <c r="J144" s="1" t="s">
        <v>731</v>
      </c>
      <c r="K144" s="1">
        <v>26</v>
      </c>
      <c r="L144" s="1">
        <v>3</v>
      </c>
      <c r="M144" s="1" t="s">
        <v>44</v>
      </c>
      <c r="N144" s="1"/>
    </row>
    <row r="145" spans="2:14" x14ac:dyDescent="0.3">
      <c r="B145" s="1" t="s">
        <v>22</v>
      </c>
      <c r="C145" s="1" t="s">
        <v>60</v>
      </c>
      <c r="D145" s="1" t="s">
        <v>629</v>
      </c>
      <c r="E145" s="1" t="s">
        <v>14</v>
      </c>
      <c r="F145" s="1" t="s">
        <v>630</v>
      </c>
      <c r="G145" s="1" t="s">
        <v>631</v>
      </c>
      <c r="H145" s="1" t="s">
        <v>632</v>
      </c>
      <c r="I145" s="1" t="s">
        <v>17</v>
      </c>
      <c r="J145" s="1" t="s">
        <v>785</v>
      </c>
      <c r="K145" s="1">
        <v>108</v>
      </c>
      <c r="L145" s="1">
        <v>14</v>
      </c>
      <c r="M145" s="1" t="s">
        <v>44</v>
      </c>
      <c r="N145" s="1"/>
    </row>
    <row r="146" spans="2:14" x14ac:dyDescent="0.3">
      <c r="B146" s="1" t="s">
        <v>22</v>
      </c>
      <c r="C146" s="1" t="s">
        <v>60</v>
      </c>
      <c r="D146" s="1" t="s">
        <v>633</v>
      </c>
      <c r="E146" s="1" t="s">
        <v>14</v>
      </c>
      <c r="F146" s="1" t="s">
        <v>634</v>
      </c>
      <c r="G146" s="1" t="s">
        <v>635</v>
      </c>
      <c r="H146" s="1" t="s">
        <v>636</v>
      </c>
      <c r="I146" s="1" t="s">
        <v>17</v>
      </c>
      <c r="J146" s="1" t="s">
        <v>776</v>
      </c>
      <c r="K146" s="1">
        <v>19</v>
      </c>
      <c r="L146" s="1">
        <v>5</v>
      </c>
      <c r="M146" s="1" t="s">
        <v>44</v>
      </c>
      <c r="N146" s="1" t="s">
        <v>41</v>
      </c>
    </row>
    <row r="147" spans="2:14" x14ac:dyDescent="0.3">
      <c r="B147" s="1" t="s">
        <v>22</v>
      </c>
      <c r="C147" s="1" t="s">
        <v>60</v>
      </c>
      <c r="D147" s="1" t="s">
        <v>637</v>
      </c>
      <c r="E147" s="1" t="s">
        <v>14</v>
      </c>
      <c r="F147" s="1" t="s">
        <v>638</v>
      </c>
      <c r="G147" s="1" t="s">
        <v>639</v>
      </c>
      <c r="H147" s="1" t="s">
        <v>640</v>
      </c>
      <c r="I147" s="1" t="s">
        <v>17</v>
      </c>
      <c r="J147" s="1" t="s">
        <v>786</v>
      </c>
      <c r="K147" s="1">
        <v>178</v>
      </c>
      <c r="L147" s="1">
        <v>2</v>
      </c>
      <c r="M147" s="1" t="s">
        <v>44</v>
      </c>
      <c r="N147" s="1" t="s">
        <v>41</v>
      </c>
    </row>
    <row r="148" spans="2:14" x14ac:dyDescent="0.3">
      <c r="B148" s="1" t="s">
        <v>21</v>
      </c>
      <c r="C148" s="1" t="s">
        <v>55</v>
      </c>
      <c r="D148" s="1" t="s">
        <v>641</v>
      </c>
      <c r="E148" s="1" t="s">
        <v>14</v>
      </c>
      <c r="F148" s="1" t="s">
        <v>642</v>
      </c>
      <c r="G148" s="1" t="s">
        <v>643</v>
      </c>
      <c r="H148" s="1" t="s">
        <v>644</v>
      </c>
      <c r="I148" s="1" t="s">
        <v>8</v>
      </c>
      <c r="J148" s="1" t="s">
        <v>761</v>
      </c>
      <c r="K148" s="1">
        <v>36</v>
      </c>
      <c r="L148" s="1">
        <v>0</v>
      </c>
      <c r="M148" s="1" t="s">
        <v>44</v>
      </c>
      <c r="N148" s="1"/>
    </row>
    <row r="149" spans="2:14" x14ac:dyDescent="0.3">
      <c r="B149" s="1" t="s">
        <v>21</v>
      </c>
      <c r="C149" s="1" t="s">
        <v>55</v>
      </c>
      <c r="D149" s="1" t="s">
        <v>645</v>
      </c>
      <c r="E149" s="1" t="s">
        <v>14</v>
      </c>
      <c r="F149" s="1" t="s">
        <v>646</v>
      </c>
      <c r="G149" s="1" t="s">
        <v>647</v>
      </c>
      <c r="H149" s="1" t="s">
        <v>648</v>
      </c>
      <c r="I149" s="1" t="s">
        <v>8</v>
      </c>
      <c r="J149" s="1">
        <v>0</v>
      </c>
      <c r="K149" s="1">
        <v>0</v>
      </c>
      <c r="L149" s="1">
        <v>0</v>
      </c>
      <c r="M149" s="1" t="s">
        <v>44</v>
      </c>
      <c r="N149" s="1"/>
    </row>
    <row r="150" spans="2:14" x14ac:dyDescent="0.3">
      <c r="B150" s="1" t="s">
        <v>21</v>
      </c>
      <c r="C150" s="1" t="s">
        <v>60</v>
      </c>
      <c r="D150" s="1" t="s">
        <v>649</v>
      </c>
      <c r="E150" s="1" t="s">
        <v>14</v>
      </c>
      <c r="F150" s="1" t="s">
        <v>650</v>
      </c>
      <c r="G150" s="1" t="s">
        <v>651</v>
      </c>
      <c r="H150" s="1" t="s">
        <v>652</v>
      </c>
      <c r="I150" s="1" t="s">
        <v>17</v>
      </c>
      <c r="J150" s="1" t="s">
        <v>759</v>
      </c>
      <c r="K150" s="1">
        <v>49</v>
      </c>
      <c r="L150" s="1">
        <v>3</v>
      </c>
      <c r="M150" s="1" t="s">
        <v>44</v>
      </c>
      <c r="N150" s="1"/>
    </row>
    <row r="151" spans="2:14" x14ac:dyDescent="0.3">
      <c r="B151" s="1" t="s">
        <v>21</v>
      </c>
      <c r="C151" s="1" t="s">
        <v>60</v>
      </c>
      <c r="D151" s="1" t="s">
        <v>653</v>
      </c>
      <c r="E151" s="1" t="s">
        <v>14</v>
      </c>
      <c r="F151" s="1" t="s">
        <v>654</v>
      </c>
      <c r="G151" s="1" t="s">
        <v>655</v>
      </c>
      <c r="H151" s="1" t="s">
        <v>656</v>
      </c>
      <c r="I151" s="1" t="s">
        <v>17</v>
      </c>
      <c r="J151" s="1" t="s">
        <v>779</v>
      </c>
      <c r="K151" s="1">
        <v>40</v>
      </c>
      <c r="L151" s="1">
        <v>0</v>
      </c>
      <c r="M151" s="1" t="s">
        <v>44</v>
      </c>
      <c r="N151" s="1"/>
    </row>
    <row r="152" spans="2:14" x14ac:dyDescent="0.3">
      <c r="B152" s="1" t="s">
        <v>21</v>
      </c>
      <c r="C152" s="1" t="s">
        <v>60</v>
      </c>
      <c r="D152" s="1" t="s">
        <v>657</v>
      </c>
      <c r="E152" s="1" t="s">
        <v>14</v>
      </c>
      <c r="F152" s="1" t="s">
        <v>658</v>
      </c>
      <c r="G152" s="1" t="s">
        <v>659</v>
      </c>
      <c r="H152" s="1" t="s">
        <v>660</v>
      </c>
      <c r="I152" s="1" t="s">
        <v>17</v>
      </c>
      <c r="J152" s="1" t="s">
        <v>724</v>
      </c>
      <c r="K152" s="1">
        <v>31</v>
      </c>
      <c r="L152" s="1">
        <v>7</v>
      </c>
      <c r="M152" s="1" t="s">
        <v>44</v>
      </c>
      <c r="N152" s="1" t="s">
        <v>41</v>
      </c>
    </row>
    <row r="153" spans="2:14" x14ac:dyDescent="0.3">
      <c r="B153" s="1" t="s">
        <v>20</v>
      </c>
      <c r="C153" s="1" t="s">
        <v>60</v>
      </c>
      <c r="D153" s="1" t="s">
        <v>661</v>
      </c>
      <c r="E153" s="1" t="s">
        <v>14</v>
      </c>
      <c r="F153" s="1" t="s">
        <v>662</v>
      </c>
      <c r="G153" s="1" t="s">
        <v>663</v>
      </c>
      <c r="H153" s="1" t="s">
        <v>664</v>
      </c>
      <c r="I153" s="1" t="s">
        <v>17</v>
      </c>
      <c r="J153" s="1" t="s">
        <v>787</v>
      </c>
      <c r="K153" s="1">
        <v>85</v>
      </c>
      <c r="L153" s="1">
        <v>19</v>
      </c>
      <c r="M153" s="1" t="s">
        <v>44</v>
      </c>
      <c r="N153" s="1"/>
    </row>
    <row r="154" spans="2:14" x14ac:dyDescent="0.3">
      <c r="B154" s="1" t="s">
        <v>20</v>
      </c>
      <c r="C154" s="1" t="s">
        <v>55</v>
      </c>
      <c r="D154" s="1" t="s">
        <v>665</v>
      </c>
      <c r="E154" s="1" t="s">
        <v>14</v>
      </c>
      <c r="F154" s="1" t="s">
        <v>666</v>
      </c>
      <c r="G154" s="1" t="s">
        <v>667</v>
      </c>
      <c r="H154" s="1" t="s">
        <v>668</v>
      </c>
      <c r="I154" s="1" t="s">
        <v>8</v>
      </c>
      <c r="J154" s="1" t="s">
        <v>763</v>
      </c>
      <c r="K154" s="1">
        <v>11</v>
      </c>
      <c r="L154" s="1">
        <v>4</v>
      </c>
      <c r="M154" s="1" t="s">
        <v>44</v>
      </c>
      <c r="N154" s="1"/>
    </row>
    <row r="155" spans="2:14" x14ac:dyDescent="0.3">
      <c r="B155" s="1" t="s">
        <v>20</v>
      </c>
      <c r="C155" s="1" t="s">
        <v>60</v>
      </c>
      <c r="D155" s="1" t="s">
        <v>669</v>
      </c>
      <c r="E155" s="1" t="s">
        <v>14</v>
      </c>
      <c r="F155" s="1" t="s">
        <v>670</v>
      </c>
      <c r="G155" s="1" t="s">
        <v>671</v>
      </c>
      <c r="H155" s="1" t="s">
        <v>672</v>
      </c>
      <c r="I155" s="1" t="s">
        <v>17</v>
      </c>
      <c r="J155" s="1" t="s">
        <v>733</v>
      </c>
      <c r="K155" s="1">
        <v>14</v>
      </c>
      <c r="L155" s="1">
        <v>0</v>
      </c>
      <c r="M155" s="1" t="s">
        <v>44</v>
      </c>
      <c r="N155" s="1" t="s">
        <v>41</v>
      </c>
    </row>
    <row r="156" spans="2:14" x14ac:dyDescent="0.3">
      <c r="B156" s="1" t="s">
        <v>19</v>
      </c>
      <c r="C156" s="1" t="s">
        <v>60</v>
      </c>
      <c r="D156" s="1" t="s">
        <v>673</v>
      </c>
      <c r="E156" s="1" t="s">
        <v>14</v>
      </c>
      <c r="F156" s="1" t="s">
        <v>674</v>
      </c>
      <c r="G156" s="1" t="s">
        <v>675</v>
      </c>
      <c r="H156" s="1" t="s">
        <v>676</v>
      </c>
      <c r="I156" s="1" t="s">
        <v>17</v>
      </c>
      <c r="J156" s="1" t="s">
        <v>788</v>
      </c>
      <c r="K156" s="1">
        <v>71</v>
      </c>
      <c r="L156" s="1">
        <v>2</v>
      </c>
      <c r="M156" s="1" t="s">
        <v>44</v>
      </c>
      <c r="N156" s="1"/>
    </row>
    <row r="157" spans="2:14" x14ac:dyDescent="0.3">
      <c r="B157" s="1" t="s">
        <v>13</v>
      </c>
      <c r="C157" s="1" t="s">
        <v>60</v>
      </c>
      <c r="D157" s="1" t="s">
        <v>677</v>
      </c>
      <c r="E157" s="1" t="s">
        <v>14</v>
      </c>
      <c r="F157" s="1" t="s">
        <v>678</v>
      </c>
      <c r="G157" s="1" t="s">
        <v>679</v>
      </c>
      <c r="H157" s="1" t="s">
        <v>680</v>
      </c>
      <c r="I157" s="1" t="s">
        <v>17</v>
      </c>
      <c r="J157" s="1" t="s">
        <v>766</v>
      </c>
      <c r="K157" s="1">
        <v>31</v>
      </c>
      <c r="L157" s="1">
        <v>6</v>
      </c>
      <c r="M157" s="1" t="s">
        <v>44</v>
      </c>
      <c r="N157" s="1" t="s">
        <v>41</v>
      </c>
    </row>
    <row r="158" spans="2:14" x14ac:dyDescent="0.3">
      <c r="B158" s="1" t="s">
        <v>13</v>
      </c>
      <c r="C158" s="1" t="s">
        <v>60</v>
      </c>
      <c r="D158" s="1" t="s">
        <v>681</v>
      </c>
      <c r="E158" s="1" t="s">
        <v>14</v>
      </c>
      <c r="F158" s="1" t="s">
        <v>682</v>
      </c>
      <c r="G158" s="1" t="s">
        <v>683</v>
      </c>
      <c r="H158" s="1" t="s">
        <v>684</v>
      </c>
      <c r="I158" s="1" t="s">
        <v>17</v>
      </c>
      <c r="J158" s="1" t="s">
        <v>789</v>
      </c>
      <c r="K158" s="1">
        <v>79</v>
      </c>
      <c r="L158" s="1">
        <v>1</v>
      </c>
      <c r="M158" s="1" t="s">
        <v>44</v>
      </c>
      <c r="N158" s="1" t="s">
        <v>41</v>
      </c>
    </row>
    <row r="159" spans="2:14" x14ac:dyDescent="0.3">
      <c r="B159" s="1" t="s">
        <v>13</v>
      </c>
      <c r="C159" s="1" t="s">
        <v>60</v>
      </c>
      <c r="D159" s="1" t="s">
        <v>685</v>
      </c>
      <c r="E159" s="1" t="s">
        <v>14</v>
      </c>
      <c r="F159" s="1" t="s">
        <v>686</v>
      </c>
      <c r="G159" s="1" t="s">
        <v>687</v>
      </c>
      <c r="H159" s="1" t="s">
        <v>688</v>
      </c>
      <c r="I159" s="1" t="s">
        <v>17</v>
      </c>
      <c r="J159" s="1" t="s">
        <v>790</v>
      </c>
      <c r="K159" s="1">
        <v>29</v>
      </c>
      <c r="L159" s="1">
        <v>3</v>
      </c>
      <c r="M159" s="1" t="s">
        <v>44</v>
      </c>
      <c r="N159" s="1"/>
    </row>
    <row r="160" spans="2:14" x14ac:dyDescent="0.3">
      <c r="B160" s="1" t="s">
        <v>13</v>
      </c>
      <c r="C160" s="1" t="s">
        <v>60</v>
      </c>
      <c r="D160" s="1" t="s">
        <v>689</v>
      </c>
      <c r="E160" s="1" t="s">
        <v>14</v>
      </c>
      <c r="F160" s="1" t="s">
        <v>690</v>
      </c>
      <c r="G160" s="1" t="s">
        <v>691</v>
      </c>
      <c r="H160" s="1" t="s">
        <v>692</v>
      </c>
      <c r="I160" s="1" t="s">
        <v>17</v>
      </c>
      <c r="J160" s="1">
        <v>0</v>
      </c>
      <c r="K160" s="1">
        <v>0</v>
      </c>
      <c r="L160" s="1">
        <v>0</v>
      </c>
      <c r="M160" s="1" t="s">
        <v>44</v>
      </c>
      <c r="N160" s="1" t="s">
        <v>41</v>
      </c>
    </row>
    <row r="161" spans="2:14" x14ac:dyDescent="0.3">
      <c r="B161" s="1" t="s">
        <v>13</v>
      </c>
      <c r="C161" s="1" t="s">
        <v>60</v>
      </c>
      <c r="D161" s="1" t="s">
        <v>693</v>
      </c>
      <c r="E161" s="1" t="s">
        <v>14</v>
      </c>
      <c r="F161" s="1" t="s">
        <v>694</v>
      </c>
      <c r="G161" s="1" t="s">
        <v>695</v>
      </c>
      <c r="H161" s="1" t="s">
        <v>696</v>
      </c>
      <c r="I161" s="1" t="s">
        <v>17</v>
      </c>
      <c r="J161" s="1" t="s">
        <v>791</v>
      </c>
      <c r="K161" s="1">
        <v>71</v>
      </c>
      <c r="L161" s="1">
        <v>0</v>
      </c>
      <c r="M161" s="1" t="s">
        <v>44</v>
      </c>
      <c r="N161" s="1"/>
    </row>
    <row r="162" spans="2:14" x14ac:dyDescent="0.3">
      <c r="B162" s="1" t="s">
        <v>13</v>
      </c>
      <c r="C162" s="1" t="s">
        <v>60</v>
      </c>
      <c r="D162" s="1" t="s">
        <v>697</v>
      </c>
      <c r="E162" s="1" t="s">
        <v>14</v>
      </c>
      <c r="F162" s="1" t="s">
        <v>698</v>
      </c>
      <c r="G162" s="1" t="s">
        <v>699</v>
      </c>
      <c r="H162" s="1" t="s">
        <v>700</v>
      </c>
      <c r="I162" s="1" t="s">
        <v>17</v>
      </c>
      <c r="J162" s="1" t="s">
        <v>759</v>
      </c>
      <c r="K162" s="1">
        <v>49</v>
      </c>
      <c r="L162" s="1">
        <v>3</v>
      </c>
      <c r="M162" s="1" t="s">
        <v>44</v>
      </c>
      <c r="N162" s="1" t="s">
        <v>41</v>
      </c>
    </row>
    <row r="163" spans="2:14" x14ac:dyDescent="0.3">
      <c r="B163" s="1" t="s">
        <v>13</v>
      </c>
      <c r="C163" s="1" t="s">
        <v>60</v>
      </c>
      <c r="D163" s="1" t="s">
        <v>701</v>
      </c>
      <c r="E163" s="1" t="s">
        <v>14</v>
      </c>
      <c r="F163" s="1" t="s">
        <v>702</v>
      </c>
      <c r="G163" s="1" t="s">
        <v>703</v>
      </c>
      <c r="H163" s="1" t="s">
        <v>704</v>
      </c>
      <c r="I163" s="1" t="s">
        <v>8</v>
      </c>
      <c r="J163" s="1" t="s">
        <v>792</v>
      </c>
      <c r="K163" s="1">
        <v>6</v>
      </c>
      <c r="L163" s="1">
        <v>0</v>
      </c>
      <c r="M163" s="1" t="s">
        <v>44</v>
      </c>
      <c r="N163" s="1" t="s">
        <v>41</v>
      </c>
    </row>
    <row r="164" spans="2:14" x14ac:dyDescent="0.3">
      <c r="B164" s="1" t="s">
        <v>13</v>
      </c>
      <c r="C164" s="1" t="s">
        <v>93</v>
      </c>
      <c r="D164" s="1" t="s">
        <v>705</v>
      </c>
      <c r="E164" s="1" t="s">
        <v>14</v>
      </c>
      <c r="F164" s="1" t="s">
        <v>706</v>
      </c>
      <c r="G164" s="1" t="s">
        <v>707</v>
      </c>
      <c r="H164" s="1" t="s">
        <v>708</v>
      </c>
      <c r="I164" s="1" t="s">
        <v>8</v>
      </c>
      <c r="J164" s="4" t="s">
        <v>730</v>
      </c>
      <c r="K164" s="4">
        <v>5</v>
      </c>
      <c r="L164" s="4">
        <v>34</v>
      </c>
      <c r="M164" s="4" t="s">
        <v>797</v>
      </c>
      <c r="N164" s="1"/>
    </row>
    <row r="165" spans="2:14" x14ac:dyDescent="0.3">
      <c r="B165" s="1" t="s">
        <v>13</v>
      </c>
      <c r="C165" s="1" t="s">
        <v>93</v>
      </c>
      <c r="D165" s="1" t="s">
        <v>709</v>
      </c>
      <c r="E165" s="1" t="s">
        <v>14</v>
      </c>
      <c r="F165" s="1" t="s">
        <v>710</v>
      </c>
      <c r="G165" s="1" t="s">
        <v>711</v>
      </c>
      <c r="H165" s="1" t="s">
        <v>712</v>
      </c>
      <c r="I165" s="1" t="s">
        <v>8</v>
      </c>
      <c r="J165" s="1" t="s">
        <v>776</v>
      </c>
      <c r="K165" s="1">
        <v>14</v>
      </c>
      <c r="L165" s="1">
        <v>10</v>
      </c>
      <c r="M165" s="1" t="s">
        <v>44</v>
      </c>
      <c r="N165" s="1"/>
    </row>
    <row r="166" spans="2:14" x14ac:dyDescent="0.3">
      <c r="B166" s="1" t="s">
        <v>13</v>
      </c>
      <c r="C166" s="1" t="s">
        <v>60</v>
      </c>
      <c r="D166" s="1" t="s">
        <v>713</v>
      </c>
      <c r="E166" s="1" t="s">
        <v>14</v>
      </c>
      <c r="F166" s="1" t="s">
        <v>714</v>
      </c>
      <c r="G166" s="1" t="s">
        <v>715</v>
      </c>
      <c r="H166" s="1" t="s">
        <v>716</v>
      </c>
      <c r="I166" s="1" t="s">
        <v>17</v>
      </c>
      <c r="J166" s="1" t="s">
        <v>793</v>
      </c>
      <c r="K166" s="1">
        <v>80</v>
      </c>
      <c r="L166" s="1">
        <v>7</v>
      </c>
      <c r="M166" s="1" t="s">
        <v>44</v>
      </c>
      <c r="N166" s="1" t="s">
        <v>41</v>
      </c>
    </row>
    <row r="167" spans="2:14" x14ac:dyDescent="0.3">
      <c r="B167" s="1" t="s">
        <v>13</v>
      </c>
      <c r="C167" s="1" t="s">
        <v>60</v>
      </c>
      <c r="D167" s="1" t="s">
        <v>717</v>
      </c>
      <c r="E167" s="1" t="s">
        <v>14</v>
      </c>
      <c r="F167" s="1" t="s">
        <v>718</v>
      </c>
      <c r="G167" s="1" t="s">
        <v>719</v>
      </c>
      <c r="H167" s="1" t="s">
        <v>720</v>
      </c>
      <c r="I167" s="1" t="s">
        <v>17</v>
      </c>
      <c r="J167" s="1" t="s">
        <v>794</v>
      </c>
      <c r="K167" s="1">
        <v>113</v>
      </c>
      <c r="L167" s="1">
        <v>12</v>
      </c>
      <c r="M167" s="1" t="s">
        <v>44</v>
      </c>
      <c r="N167" s="1" t="s">
        <v>41</v>
      </c>
    </row>
    <row r="168" spans="2:14" x14ac:dyDescent="0.3">
      <c r="B168" s="1" t="s">
        <v>24</v>
      </c>
      <c r="C168" s="1" t="s">
        <v>798</v>
      </c>
      <c r="D168" s="1" t="s">
        <v>799</v>
      </c>
      <c r="E168" s="1" t="s">
        <v>14</v>
      </c>
      <c r="F168" s="1" t="s">
        <v>800</v>
      </c>
      <c r="G168" s="1" t="s">
        <v>801</v>
      </c>
      <c r="H168" s="1" t="s">
        <v>802</v>
      </c>
      <c r="I168" s="1" t="s">
        <v>15</v>
      </c>
      <c r="J168" s="1" t="s">
        <v>839</v>
      </c>
      <c r="K168" s="1">
        <v>46</v>
      </c>
      <c r="L168" s="1">
        <v>1</v>
      </c>
      <c r="M168" s="1" t="s">
        <v>44</v>
      </c>
      <c r="N168" s="1"/>
    </row>
    <row r="169" spans="2:14" x14ac:dyDescent="0.3">
      <c r="B169" s="1" t="s">
        <v>24</v>
      </c>
      <c r="C169" s="1" t="s">
        <v>123</v>
      </c>
      <c r="D169" s="1" t="s">
        <v>803</v>
      </c>
      <c r="E169" s="1" t="s">
        <v>14</v>
      </c>
      <c r="F169" s="1" t="s">
        <v>804</v>
      </c>
      <c r="G169" s="1" t="s">
        <v>805</v>
      </c>
      <c r="H169" s="1" t="s">
        <v>806</v>
      </c>
      <c r="I169" s="1" t="s">
        <v>15</v>
      </c>
      <c r="J169" s="1" t="s">
        <v>840</v>
      </c>
      <c r="K169" s="1">
        <v>47</v>
      </c>
      <c r="L169" s="1">
        <v>4</v>
      </c>
      <c r="M169" s="1" t="s">
        <v>44</v>
      </c>
      <c r="N169" s="1"/>
    </row>
    <row r="170" spans="2:14" x14ac:dyDescent="0.3">
      <c r="B170" s="1" t="s">
        <v>24</v>
      </c>
      <c r="C170" s="1" t="s">
        <v>123</v>
      </c>
      <c r="D170" s="1" t="s">
        <v>807</v>
      </c>
      <c r="E170" s="1" t="s">
        <v>14</v>
      </c>
      <c r="F170" s="1" t="s">
        <v>808</v>
      </c>
      <c r="G170" s="1" t="s">
        <v>809</v>
      </c>
      <c r="H170" s="1" t="s">
        <v>810</v>
      </c>
      <c r="I170" s="1" t="s">
        <v>15</v>
      </c>
      <c r="J170" s="1">
        <v>0</v>
      </c>
      <c r="K170" s="1">
        <v>0</v>
      </c>
      <c r="L170" s="1">
        <v>0</v>
      </c>
      <c r="M170" s="1" t="s">
        <v>44</v>
      </c>
      <c r="N170" s="1" t="s">
        <v>41</v>
      </c>
    </row>
    <row r="171" spans="2:14" x14ac:dyDescent="0.3">
      <c r="B171" s="1" t="s">
        <v>24</v>
      </c>
      <c r="C171" s="1" t="s">
        <v>123</v>
      </c>
      <c r="D171" s="1" t="s">
        <v>811</v>
      </c>
      <c r="E171" s="1" t="s">
        <v>14</v>
      </c>
      <c r="F171" s="1" t="s">
        <v>812</v>
      </c>
      <c r="G171" s="1" t="s">
        <v>813</v>
      </c>
      <c r="H171" s="1" t="s">
        <v>814</v>
      </c>
      <c r="I171" s="1" t="s">
        <v>15</v>
      </c>
      <c r="J171" s="1" t="s">
        <v>765</v>
      </c>
      <c r="K171" s="1">
        <v>34</v>
      </c>
      <c r="L171" s="1">
        <v>7</v>
      </c>
      <c r="M171" s="1" t="s">
        <v>44</v>
      </c>
      <c r="N171" s="1"/>
    </row>
    <row r="172" spans="2:14" x14ac:dyDescent="0.3">
      <c r="B172" s="1" t="s">
        <v>21</v>
      </c>
      <c r="C172" s="1" t="s">
        <v>123</v>
      </c>
      <c r="D172" s="1" t="s">
        <v>815</v>
      </c>
      <c r="E172" s="1" t="s">
        <v>14</v>
      </c>
      <c r="F172" s="1" t="s">
        <v>816</v>
      </c>
      <c r="G172" s="1" t="s">
        <v>817</v>
      </c>
      <c r="H172" s="1" t="s">
        <v>818</v>
      </c>
      <c r="I172" s="1" t="s">
        <v>15</v>
      </c>
      <c r="J172" s="4" t="s">
        <v>841</v>
      </c>
      <c r="K172" s="4">
        <v>0</v>
      </c>
      <c r="L172" s="4">
        <v>65</v>
      </c>
      <c r="M172" s="4" t="s">
        <v>797</v>
      </c>
      <c r="N172" s="1" t="s">
        <v>41</v>
      </c>
    </row>
    <row r="173" spans="2:14" x14ac:dyDescent="0.3">
      <c r="B173" s="1" t="s">
        <v>21</v>
      </c>
      <c r="C173" s="1" t="s">
        <v>123</v>
      </c>
      <c r="D173" s="1" t="s">
        <v>819</v>
      </c>
      <c r="E173" s="1" t="s">
        <v>14</v>
      </c>
      <c r="F173" s="1" t="s">
        <v>820</v>
      </c>
      <c r="G173" s="1" t="s">
        <v>821</v>
      </c>
      <c r="H173" s="1" t="s">
        <v>822</v>
      </c>
      <c r="I173" s="1" t="s">
        <v>15</v>
      </c>
      <c r="J173" s="4" t="s">
        <v>842</v>
      </c>
      <c r="K173" s="4">
        <v>0</v>
      </c>
      <c r="L173" s="4">
        <v>53</v>
      </c>
      <c r="M173" s="4" t="s">
        <v>797</v>
      </c>
      <c r="N173" s="1"/>
    </row>
    <row r="174" spans="2:14" x14ac:dyDescent="0.3">
      <c r="B174" s="1" t="s">
        <v>20</v>
      </c>
      <c r="C174" s="1" t="s">
        <v>798</v>
      </c>
      <c r="D174" s="1" t="s">
        <v>823</v>
      </c>
      <c r="E174" s="1" t="s">
        <v>14</v>
      </c>
      <c r="F174" s="1" t="s">
        <v>824</v>
      </c>
      <c r="G174" s="1" t="s">
        <v>825</v>
      </c>
      <c r="H174" s="1" t="s">
        <v>826</v>
      </c>
      <c r="I174" s="1" t="s">
        <v>15</v>
      </c>
      <c r="J174" s="1" t="s">
        <v>732</v>
      </c>
      <c r="K174" s="1">
        <v>0</v>
      </c>
      <c r="L174" s="1">
        <v>2</v>
      </c>
      <c r="M174" s="1" t="s">
        <v>44</v>
      </c>
      <c r="N174" s="1"/>
    </row>
    <row r="175" spans="2:14" x14ac:dyDescent="0.3">
      <c r="B175" s="1" t="s">
        <v>20</v>
      </c>
      <c r="C175" s="1" t="s">
        <v>123</v>
      </c>
      <c r="D175" s="1" t="s">
        <v>827</v>
      </c>
      <c r="E175" s="1" t="s">
        <v>14</v>
      </c>
      <c r="F175" s="1" t="s">
        <v>828</v>
      </c>
      <c r="G175" s="1" t="s">
        <v>829</v>
      </c>
      <c r="H175" s="1" t="s">
        <v>830</v>
      </c>
      <c r="I175" s="1" t="s">
        <v>15</v>
      </c>
      <c r="J175" s="1">
        <v>0</v>
      </c>
      <c r="K175" s="1">
        <v>0</v>
      </c>
      <c r="L175" s="1">
        <v>0</v>
      </c>
      <c r="M175" s="1" t="s">
        <v>44</v>
      </c>
      <c r="N175" s="1" t="s">
        <v>41</v>
      </c>
    </row>
    <row r="176" spans="2:14" x14ac:dyDescent="0.3">
      <c r="B176" s="1" t="s">
        <v>20</v>
      </c>
      <c r="C176" s="1" t="s">
        <v>123</v>
      </c>
      <c r="D176" s="1" t="s">
        <v>831</v>
      </c>
      <c r="E176" s="1" t="s">
        <v>14</v>
      </c>
      <c r="F176" s="1" t="s">
        <v>832</v>
      </c>
      <c r="G176" s="1" t="s">
        <v>833</v>
      </c>
      <c r="H176" s="1" t="s">
        <v>834</v>
      </c>
      <c r="I176" s="1" t="s">
        <v>15</v>
      </c>
      <c r="J176" s="4" t="s">
        <v>842</v>
      </c>
      <c r="K176" s="4">
        <v>0</v>
      </c>
      <c r="L176" s="4">
        <v>53</v>
      </c>
      <c r="M176" s="4" t="s">
        <v>797</v>
      </c>
      <c r="N176" s="1" t="s">
        <v>41</v>
      </c>
    </row>
    <row r="177" spans="2:14" x14ac:dyDescent="0.3">
      <c r="B177" s="1" t="s">
        <v>19</v>
      </c>
      <c r="C177" s="1" t="s">
        <v>123</v>
      </c>
      <c r="D177" s="1" t="s">
        <v>835</v>
      </c>
      <c r="E177" s="1" t="s">
        <v>14</v>
      </c>
      <c r="F177" s="1" t="s">
        <v>836</v>
      </c>
      <c r="G177" s="1" t="s">
        <v>837</v>
      </c>
      <c r="H177" s="1" t="s">
        <v>838</v>
      </c>
      <c r="I177" s="1" t="s">
        <v>15</v>
      </c>
      <c r="J177" s="4">
        <v>33</v>
      </c>
      <c r="K177" s="4">
        <v>0</v>
      </c>
      <c r="L177" s="4">
        <v>33</v>
      </c>
      <c r="M177" s="4" t="s">
        <v>797</v>
      </c>
      <c r="N177" s="1"/>
    </row>
  </sheetData>
  <autoFilter ref="B2:N177" xr:uid="{46DA3862-B68B-4C27-AC31-E99131AD6691}"/>
  <phoneticPr fontId="1" type="noConversion"/>
  <pageMargins left="0.7" right="0.7" top="0.75" bottom="0.75" header="0.3" footer="0.3"/>
  <pageSetup paperSize="9" scale="43" fitToHeight="0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A2CA-C6E3-48FE-9E32-F8781B546C89}">
  <dimension ref="B2:F139"/>
  <sheetViews>
    <sheetView workbookViewId="0"/>
  </sheetViews>
  <sheetFormatPr defaultRowHeight="16.5" x14ac:dyDescent="0.3"/>
  <cols>
    <col min="2" max="2" width="14.375" bestFit="1" customWidth="1"/>
    <col min="3" max="3" width="12.875" bestFit="1" customWidth="1"/>
    <col min="4" max="4" width="15.125" bestFit="1" customWidth="1"/>
    <col min="5" max="5" width="12.5" bestFit="1" customWidth="1"/>
    <col min="6" max="6" width="15.5" bestFit="1" customWidth="1"/>
  </cols>
  <sheetData>
    <row r="2" spans="2:6" x14ac:dyDescent="0.3">
      <c r="B2" s="22" t="s">
        <v>846</v>
      </c>
      <c r="C2" s="22" t="s">
        <v>847</v>
      </c>
      <c r="D2" s="22" t="s">
        <v>848</v>
      </c>
      <c r="E2" s="22" t="s">
        <v>33</v>
      </c>
      <c r="F2" s="23" t="s">
        <v>29</v>
      </c>
    </row>
    <row r="3" spans="2:6" x14ac:dyDescent="0.3">
      <c r="B3" s="19" t="s">
        <v>849</v>
      </c>
      <c r="C3" s="19" t="s">
        <v>850</v>
      </c>
      <c r="D3" s="19" t="s">
        <v>851</v>
      </c>
      <c r="E3" s="1" t="s">
        <v>852</v>
      </c>
      <c r="F3" s="1" t="s">
        <v>853</v>
      </c>
    </row>
    <row r="4" spans="2:6" x14ac:dyDescent="0.3">
      <c r="B4" s="19" t="s">
        <v>854</v>
      </c>
      <c r="C4" s="19" t="s">
        <v>855</v>
      </c>
      <c r="D4" s="19" t="s">
        <v>851</v>
      </c>
      <c r="E4" s="1" t="s">
        <v>856</v>
      </c>
      <c r="F4" s="1" t="s">
        <v>857</v>
      </c>
    </row>
    <row r="5" spans="2:6" x14ac:dyDescent="0.3">
      <c r="B5" s="2" t="s">
        <v>858</v>
      </c>
      <c r="C5" s="2" t="s">
        <v>859</v>
      </c>
      <c r="D5" s="19" t="s">
        <v>851</v>
      </c>
      <c r="E5" s="1" t="s">
        <v>860</v>
      </c>
      <c r="F5" s="1" t="s">
        <v>861</v>
      </c>
    </row>
    <row r="6" spans="2:6" x14ac:dyDescent="0.3">
      <c r="B6" s="19" t="s">
        <v>862</v>
      </c>
      <c r="C6" s="19" t="s">
        <v>863</v>
      </c>
      <c r="D6" s="19" t="s">
        <v>851</v>
      </c>
      <c r="E6" s="1" t="s">
        <v>864</v>
      </c>
      <c r="F6" s="1" t="s">
        <v>865</v>
      </c>
    </row>
    <row r="7" spans="2:6" x14ac:dyDescent="0.3">
      <c r="B7" s="19" t="s">
        <v>866</v>
      </c>
      <c r="C7" s="19" t="s">
        <v>867</v>
      </c>
      <c r="D7" s="19" t="s">
        <v>851</v>
      </c>
      <c r="E7" s="1" t="s">
        <v>868</v>
      </c>
      <c r="F7" s="1" t="s">
        <v>869</v>
      </c>
    </row>
    <row r="8" spans="2:6" x14ac:dyDescent="0.3">
      <c r="B8" s="19" t="s">
        <v>870</v>
      </c>
      <c r="C8" s="19" t="s">
        <v>871</v>
      </c>
      <c r="D8" s="19" t="s">
        <v>851</v>
      </c>
      <c r="E8" s="1" t="s">
        <v>872</v>
      </c>
      <c r="F8" s="1" t="s">
        <v>873</v>
      </c>
    </row>
    <row r="9" spans="2:6" x14ac:dyDescent="0.3">
      <c r="B9" s="19" t="s">
        <v>874</v>
      </c>
      <c r="C9" s="19" t="s">
        <v>875</v>
      </c>
      <c r="D9" s="19" t="s">
        <v>851</v>
      </c>
      <c r="E9" s="1" t="s">
        <v>876</v>
      </c>
      <c r="F9" s="1" t="s">
        <v>877</v>
      </c>
    </row>
    <row r="10" spans="2:6" x14ac:dyDescent="0.3">
      <c r="B10" s="19" t="s">
        <v>878</v>
      </c>
      <c r="C10" s="19" t="s">
        <v>879</v>
      </c>
      <c r="D10" s="19" t="s">
        <v>851</v>
      </c>
      <c r="E10" s="1" t="s">
        <v>880</v>
      </c>
      <c r="F10" s="1" t="s">
        <v>881</v>
      </c>
    </row>
    <row r="11" spans="2:6" x14ac:dyDescent="0.3">
      <c r="B11" s="19" t="s">
        <v>882</v>
      </c>
      <c r="C11" s="19" t="s">
        <v>883</v>
      </c>
      <c r="D11" s="19" t="s">
        <v>851</v>
      </c>
      <c r="E11" s="1" t="s">
        <v>884</v>
      </c>
      <c r="F11" s="1" t="s">
        <v>885</v>
      </c>
    </row>
    <row r="12" spans="2:6" x14ac:dyDescent="0.3">
      <c r="B12" s="19" t="s">
        <v>886</v>
      </c>
      <c r="C12" s="19" t="s">
        <v>887</v>
      </c>
      <c r="D12" s="19" t="s">
        <v>851</v>
      </c>
      <c r="E12" s="1" t="s">
        <v>888</v>
      </c>
      <c r="F12" s="1" t="s">
        <v>889</v>
      </c>
    </row>
    <row r="13" spans="2:6" x14ac:dyDescent="0.3">
      <c r="B13" s="19" t="s">
        <v>890</v>
      </c>
      <c r="C13" s="19" t="s">
        <v>891</v>
      </c>
      <c r="D13" s="19" t="s">
        <v>851</v>
      </c>
      <c r="E13" s="1" t="s">
        <v>892</v>
      </c>
      <c r="F13" s="1" t="s">
        <v>893</v>
      </c>
    </row>
    <row r="14" spans="2:6" x14ac:dyDescent="0.3">
      <c r="B14" s="19" t="s">
        <v>894</v>
      </c>
      <c r="C14" s="19" t="s">
        <v>895</v>
      </c>
      <c r="D14" s="19" t="s">
        <v>851</v>
      </c>
      <c r="E14" s="1" t="s">
        <v>896</v>
      </c>
      <c r="F14" s="1" t="s">
        <v>897</v>
      </c>
    </row>
    <row r="15" spans="2:6" x14ac:dyDescent="0.3">
      <c r="B15" s="19" t="s">
        <v>898</v>
      </c>
      <c r="C15" s="19" t="s">
        <v>899</v>
      </c>
      <c r="D15" s="19" t="s">
        <v>851</v>
      </c>
      <c r="E15" s="1" t="s">
        <v>900</v>
      </c>
      <c r="F15" s="1" t="s">
        <v>901</v>
      </c>
    </row>
    <row r="16" spans="2:6" x14ac:dyDescent="0.3">
      <c r="B16" s="19" t="s">
        <v>902</v>
      </c>
      <c r="C16" s="19" t="s">
        <v>903</v>
      </c>
      <c r="D16" s="19" t="s">
        <v>851</v>
      </c>
      <c r="E16" s="1" t="s">
        <v>904</v>
      </c>
      <c r="F16" s="1" t="s">
        <v>905</v>
      </c>
    </row>
    <row r="17" spans="2:6" x14ac:dyDescent="0.3">
      <c r="B17" s="19" t="s">
        <v>906</v>
      </c>
      <c r="C17" s="19" t="s">
        <v>907</v>
      </c>
      <c r="D17" s="19" t="s">
        <v>851</v>
      </c>
      <c r="E17" s="1" t="s">
        <v>908</v>
      </c>
      <c r="F17" s="1" t="s">
        <v>909</v>
      </c>
    </row>
    <row r="18" spans="2:6" x14ac:dyDescent="0.3">
      <c r="B18" s="19" t="s">
        <v>910</v>
      </c>
      <c r="C18" s="19" t="s">
        <v>911</v>
      </c>
      <c r="D18" s="19" t="s">
        <v>851</v>
      </c>
      <c r="E18" s="1" t="s">
        <v>912</v>
      </c>
      <c r="F18" s="1" t="s">
        <v>913</v>
      </c>
    </row>
    <row r="19" spans="2:6" x14ac:dyDescent="0.3">
      <c r="B19" s="19" t="s">
        <v>914</v>
      </c>
      <c r="C19" s="19" t="s">
        <v>915</v>
      </c>
      <c r="D19" s="19" t="s">
        <v>851</v>
      </c>
      <c r="E19" s="1" t="s">
        <v>916</v>
      </c>
      <c r="F19" s="1" t="s">
        <v>917</v>
      </c>
    </row>
    <row r="20" spans="2:6" x14ac:dyDescent="0.3">
      <c r="B20" s="19" t="s">
        <v>918</v>
      </c>
      <c r="C20" s="19" t="s">
        <v>919</v>
      </c>
      <c r="D20" s="19" t="s">
        <v>851</v>
      </c>
      <c r="E20" s="1" t="s">
        <v>920</v>
      </c>
      <c r="F20" s="1" t="s">
        <v>921</v>
      </c>
    </row>
    <row r="21" spans="2:6" x14ac:dyDescent="0.3">
      <c r="B21" s="19" t="s">
        <v>922</v>
      </c>
      <c r="C21" s="19" t="s">
        <v>923</v>
      </c>
      <c r="D21" s="19" t="s">
        <v>851</v>
      </c>
      <c r="E21" s="1" t="s">
        <v>924</v>
      </c>
      <c r="F21" s="1" t="s">
        <v>925</v>
      </c>
    </row>
    <row r="22" spans="2:6" x14ac:dyDescent="0.3">
      <c r="B22" s="19" t="s">
        <v>926</v>
      </c>
      <c r="C22" s="19" t="s">
        <v>927</v>
      </c>
      <c r="D22" s="19" t="s">
        <v>851</v>
      </c>
      <c r="E22" s="1" t="s">
        <v>928</v>
      </c>
      <c r="F22" s="1" t="s">
        <v>929</v>
      </c>
    </row>
    <row r="23" spans="2:6" x14ac:dyDescent="0.3">
      <c r="B23" s="19" t="s">
        <v>930</v>
      </c>
      <c r="C23" s="19" t="s">
        <v>931</v>
      </c>
      <c r="D23" s="19" t="s">
        <v>851</v>
      </c>
      <c r="E23" s="1" t="s">
        <v>932</v>
      </c>
      <c r="F23" s="15" t="s">
        <v>933</v>
      </c>
    </row>
    <row r="24" spans="2:6" x14ac:dyDescent="0.3">
      <c r="B24" s="19" t="s">
        <v>934</v>
      </c>
      <c r="C24" s="19" t="s">
        <v>935</v>
      </c>
      <c r="D24" s="19" t="s">
        <v>851</v>
      </c>
      <c r="E24" s="1" t="s">
        <v>936</v>
      </c>
      <c r="F24" s="1" t="s">
        <v>937</v>
      </c>
    </row>
    <row r="25" spans="2:6" x14ac:dyDescent="0.3">
      <c r="B25" s="19" t="s">
        <v>938</v>
      </c>
      <c r="C25" s="19" t="s">
        <v>939</v>
      </c>
      <c r="D25" s="19" t="s">
        <v>851</v>
      </c>
      <c r="E25" s="1" t="s">
        <v>940</v>
      </c>
      <c r="F25" s="1" t="s">
        <v>941</v>
      </c>
    </row>
    <row r="26" spans="2:6" x14ac:dyDescent="0.3">
      <c r="B26" s="19" t="s">
        <v>942</v>
      </c>
      <c r="C26" s="19" t="s">
        <v>943</v>
      </c>
      <c r="D26" s="19" t="s">
        <v>851</v>
      </c>
      <c r="E26" s="1" t="s">
        <v>944</v>
      </c>
      <c r="F26" s="1" t="s">
        <v>945</v>
      </c>
    </row>
    <row r="27" spans="2:6" x14ac:dyDescent="0.3">
      <c r="B27" s="19" t="s">
        <v>946</v>
      </c>
      <c r="C27" s="19" t="s">
        <v>947</v>
      </c>
      <c r="D27" s="19" t="s">
        <v>851</v>
      </c>
      <c r="E27" s="1" t="s">
        <v>948</v>
      </c>
      <c r="F27" s="1" t="s">
        <v>949</v>
      </c>
    </row>
    <row r="28" spans="2:6" x14ac:dyDescent="0.3">
      <c r="B28" s="19" t="s">
        <v>950</v>
      </c>
      <c r="C28" s="19" t="s">
        <v>951</v>
      </c>
      <c r="D28" s="19" t="s">
        <v>851</v>
      </c>
      <c r="E28" s="1" t="s">
        <v>952</v>
      </c>
      <c r="F28" s="1" t="s">
        <v>953</v>
      </c>
    </row>
    <row r="29" spans="2:6" x14ac:dyDescent="0.3">
      <c r="B29" s="19" t="s">
        <v>954</v>
      </c>
      <c r="C29" s="19" t="s">
        <v>955</v>
      </c>
      <c r="D29" s="19" t="s">
        <v>851</v>
      </c>
      <c r="E29" s="1" t="s">
        <v>956</v>
      </c>
      <c r="F29" s="1" t="s">
        <v>957</v>
      </c>
    </row>
    <row r="30" spans="2:6" x14ac:dyDescent="0.3">
      <c r="B30" s="19" t="s">
        <v>958</v>
      </c>
      <c r="C30" s="19" t="s">
        <v>959</v>
      </c>
      <c r="D30" s="19" t="s">
        <v>851</v>
      </c>
      <c r="E30" s="1" t="s">
        <v>960</v>
      </c>
      <c r="F30" s="1" t="s">
        <v>961</v>
      </c>
    </row>
    <row r="31" spans="2:6" x14ac:dyDescent="0.3">
      <c r="B31" s="19" t="s">
        <v>962</v>
      </c>
      <c r="C31" s="19" t="s">
        <v>963</v>
      </c>
      <c r="D31" s="19" t="s">
        <v>851</v>
      </c>
      <c r="E31" s="1" t="s">
        <v>964</v>
      </c>
      <c r="F31" s="1" t="s">
        <v>965</v>
      </c>
    </row>
    <row r="32" spans="2:6" x14ac:dyDescent="0.3">
      <c r="B32" s="19" t="s">
        <v>966</v>
      </c>
      <c r="C32" s="19" t="s">
        <v>967</v>
      </c>
      <c r="D32" s="19" t="s">
        <v>851</v>
      </c>
      <c r="E32" s="1" t="s">
        <v>968</v>
      </c>
      <c r="F32" s="1" t="s">
        <v>969</v>
      </c>
    </row>
    <row r="33" spans="2:6" x14ac:dyDescent="0.3">
      <c r="B33" s="19" t="s">
        <v>970</v>
      </c>
      <c r="C33" s="19" t="s">
        <v>971</v>
      </c>
      <c r="D33" s="19" t="s">
        <v>851</v>
      </c>
      <c r="E33" s="1" t="s">
        <v>972</v>
      </c>
      <c r="F33" s="1" t="s">
        <v>973</v>
      </c>
    </row>
    <row r="34" spans="2:6" x14ac:dyDescent="0.3">
      <c r="B34" s="19" t="s">
        <v>974</v>
      </c>
      <c r="C34" s="19" t="s">
        <v>975</v>
      </c>
      <c r="D34" s="19" t="s">
        <v>851</v>
      </c>
      <c r="E34" s="1" t="s">
        <v>976</v>
      </c>
      <c r="F34" s="1" t="s">
        <v>977</v>
      </c>
    </row>
    <row r="35" spans="2:6" x14ac:dyDescent="0.3">
      <c r="B35" s="19" t="s">
        <v>978</v>
      </c>
      <c r="C35" s="19" t="s">
        <v>979</v>
      </c>
      <c r="D35" s="19" t="s">
        <v>851</v>
      </c>
      <c r="E35" s="1" t="s">
        <v>980</v>
      </c>
      <c r="F35" s="1" t="s">
        <v>981</v>
      </c>
    </row>
    <row r="36" spans="2:6" x14ac:dyDescent="0.3">
      <c r="B36" s="19" t="s">
        <v>982</v>
      </c>
      <c r="C36" s="19" t="s">
        <v>983</v>
      </c>
      <c r="D36" s="19" t="s">
        <v>851</v>
      </c>
      <c r="E36" s="1" t="s">
        <v>984</v>
      </c>
      <c r="F36" s="1" t="s">
        <v>985</v>
      </c>
    </row>
    <row r="37" spans="2:6" x14ac:dyDescent="0.3">
      <c r="B37" s="19" t="s">
        <v>986</v>
      </c>
      <c r="C37" s="19" t="s">
        <v>987</v>
      </c>
      <c r="D37" s="19" t="s">
        <v>851</v>
      </c>
      <c r="E37" s="1" t="s">
        <v>988</v>
      </c>
      <c r="F37" s="1" t="s">
        <v>989</v>
      </c>
    </row>
    <row r="38" spans="2:6" x14ac:dyDescent="0.3">
      <c r="B38" s="19" t="s">
        <v>990</v>
      </c>
      <c r="C38" s="19" t="s">
        <v>991</v>
      </c>
      <c r="D38" s="19" t="s">
        <v>851</v>
      </c>
      <c r="E38" s="1" t="s">
        <v>992</v>
      </c>
      <c r="F38" s="1" t="s">
        <v>993</v>
      </c>
    </row>
    <row r="39" spans="2:6" x14ac:dyDescent="0.3">
      <c r="B39" s="19" t="s">
        <v>994</v>
      </c>
      <c r="C39" s="19" t="s">
        <v>995</v>
      </c>
      <c r="D39" s="19" t="s">
        <v>851</v>
      </c>
      <c r="E39" s="1" t="s">
        <v>996</v>
      </c>
      <c r="F39" s="1" t="s">
        <v>997</v>
      </c>
    </row>
    <row r="40" spans="2:6" x14ac:dyDescent="0.3">
      <c r="B40" s="19" t="s">
        <v>998</v>
      </c>
      <c r="C40" s="19" t="s">
        <v>999</v>
      </c>
      <c r="D40" s="19" t="s">
        <v>851</v>
      </c>
      <c r="E40" s="1" t="s">
        <v>1000</v>
      </c>
      <c r="F40" s="1" t="s">
        <v>1001</v>
      </c>
    </row>
    <row r="41" spans="2:6" x14ac:dyDescent="0.3">
      <c r="B41" s="19" t="s">
        <v>1002</v>
      </c>
      <c r="C41" s="19" t="s">
        <v>1003</v>
      </c>
      <c r="D41" s="19" t="s">
        <v>851</v>
      </c>
      <c r="E41" s="1" t="s">
        <v>1004</v>
      </c>
      <c r="F41" s="1" t="s">
        <v>1005</v>
      </c>
    </row>
    <row r="42" spans="2:6" x14ac:dyDescent="0.3">
      <c r="B42" s="19" t="s">
        <v>1006</v>
      </c>
      <c r="C42" s="19" t="s">
        <v>1007</v>
      </c>
      <c r="D42" s="19" t="s">
        <v>851</v>
      </c>
      <c r="E42" s="1" t="s">
        <v>1008</v>
      </c>
      <c r="F42" s="1" t="s">
        <v>1009</v>
      </c>
    </row>
    <row r="43" spans="2:6" x14ac:dyDescent="0.3">
      <c r="B43" s="19" t="s">
        <v>1010</v>
      </c>
      <c r="C43" s="19" t="s">
        <v>1011</v>
      </c>
      <c r="D43" s="19" t="s">
        <v>851</v>
      </c>
      <c r="E43" s="1" t="s">
        <v>1012</v>
      </c>
      <c r="F43" s="1" t="s">
        <v>1013</v>
      </c>
    </row>
    <row r="44" spans="2:6" x14ac:dyDescent="0.3">
      <c r="B44" s="19" t="s">
        <v>1014</v>
      </c>
      <c r="C44" s="19" t="s">
        <v>1015</v>
      </c>
      <c r="D44" s="19" t="s">
        <v>851</v>
      </c>
      <c r="E44" s="1" t="s">
        <v>1016</v>
      </c>
      <c r="F44" s="1" t="s">
        <v>1017</v>
      </c>
    </row>
    <row r="45" spans="2:6" x14ac:dyDescent="0.3">
      <c r="B45" s="19" t="s">
        <v>1018</v>
      </c>
      <c r="C45" s="19" t="s">
        <v>1019</v>
      </c>
      <c r="D45" s="19" t="s">
        <v>851</v>
      </c>
      <c r="E45" s="1" t="s">
        <v>1020</v>
      </c>
      <c r="F45" s="1" t="s">
        <v>1021</v>
      </c>
    </row>
    <row r="46" spans="2:6" x14ac:dyDescent="0.3">
      <c r="B46" s="19" t="s">
        <v>1022</v>
      </c>
      <c r="C46" s="19" t="s">
        <v>1023</v>
      </c>
      <c r="D46" s="19" t="s">
        <v>851</v>
      </c>
      <c r="E46" s="1" t="s">
        <v>1024</v>
      </c>
      <c r="F46" s="1" t="s">
        <v>1025</v>
      </c>
    </row>
    <row r="47" spans="2:6" x14ac:dyDescent="0.3">
      <c r="B47" s="19" t="s">
        <v>1026</v>
      </c>
      <c r="C47" s="19" t="s">
        <v>1027</v>
      </c>
      <c r="D47" s="19" t="s">
        <v>851</v>
      </c>
      <c r="E47" s="1" t="s">
        <v>1028</v>
      </c>
      <c r="F47" s="1" t="s">
        <v>1029</v>
      </c>
    </row>
    <row r="48" spans="2:6" x14ac:dyDescent="0.3">
      <c r="B48" s="19" t="s">
        <v>1030</v>
      </c>
      <c r="C48" s="19" t="s">
        <v>1031</v>
      </c>
      <c r="D48" s="19" t="s">
        <v>851</v>
      </c>
      <c r="E48" s="1" t="s">
        <v>1032</v>
      </c>
      <c r="F48" s="1" t="s">
        <v>1033</v>
      </c>
    </row>
    <row r="49" spans="2:6" x14ac:dyDescent="0.3">
      <c r="B49" s="19" t="s">
        <v>1034</v>
      </c>
      <c r="C49" s="19" t="s">
        <v>1035</v>
      </c>
      <c r="D49" s="19" t="s">
        <v>851</v>
      </c>
      <c r="E49" s="1" t="s">
        <v>1036</v>
      </c>
      <c r="F49" s="1" t="s">
        <v>1037</v>
      </c>
    </row>
    <row r="50" spans="2:6" x14ac:dyDescent="0.3">
      <c r="B50" s="2" t="s">
        <v>1038</v>
      </c>
      <c r="C50" s="2" t="s">
        <v>1039</v>
      </c>
      <c r="D50" s="19" t="s">
        <v>851</v>
      </c>
      <c r="E50" s="1" t="s">
        <v>1040</v>
      </c>
      <c r="F50" s="1" t="s">
        <v>1041</v>
      </c>
    </row>
    <row r="51" spans="2:6" x14ac:dyDescent="0.3">
      <c r="B51" s="19" t="s">
        <v>1042</v>
      </c>
      <c r="C51" s="19" t="s">
        <v>1043</v>
      </c>
      <c r="D51" s="19" t="s">
        <v>851</v>
      </c>
      <c r="E51" s="1" t="s">
        <v>1044</v>
      </c>
      <c r="F51" s="1" t="s">
        <v>1045</v>
      </c>
    </row>
    <row r="52" spans="2:6" x14ac:dyDescent="0.3">
      <c r="B52" s="19" t="s">
        <v>1046</v>
      </c>
      <c r="C52" s="19" t="s">
        <v>1047</v>
      </c>
      <c r="D52" s="19" t="s">
        <v>851</v>
      </c>
      <c r="E52" s="1" t="s">
        <v>1048</v>
      </c>
      <c r="F52" s="1" t="s">
        <v>1049</v>
      </c>
    </row>
    <row r="53" spans="2:6" x14ac:dyDescent="0.3">
      <c r="B53" s="19" t="s">
        <v>1050</v>
      </c>
      <c r="C53" s="19" t="s">
        <v>1051</v>
      </c>
      <c r="D53" s="19" t="s">
        <v>851</v>
      </c>
      <c r="E53" s="1" t="s">
        <v>1052</v>
      </c>
      <c r="F53" s="1" t="s">
        <v>1053</v>
      </c>
    </row>
    <row r="54" spans="2:6" x14ac:dyDescent="0.3">
      <c r="B54" s="19" t="s">
        <v>1054</v>
      </c>
      <c r="C54" s="19" t="s">
        <v>1055</v>
      </c>
      <c r="D54" s="19" t="s">
        <v>851</v>
      </c>
      <c r="E54" s="1" t="s">
        <v>1056</v>
      </c>
      <c r="F54" s="1" t="s">
        <v>1057</v>
      </c>
    </row>
    <row r="55" spans="2:6" x14ac:dyDescent="0.3">
      <c r="B55" s="19" t="s">
        <v>1058</v>
      </c>
      <c r="C55" s="19" t="s">
        <v>1059</v>
      </c>
      <c r="D55" s="19" t="s">
        <v>851</v>
      </c>
      <c r="E55" s="1" t="s">
        <v>1060</v>
      </c>
      <c r="F55" s="1" t="s">
        <v>1061</v>
      </c>
    </row>
    <row r="56" spans="2:6" x14ac:dyDescent="0.3">
      <c r="B56" s="19" t="s">
        <v>1062</v>
      </c>
      <c r="C56" s="19" t="s">
        <v>1063</v>
      </c>
      <c r="D56" s="19" t="s">
        <v>851</v>
      </c>
      <c r="E56" s="1" t="s">
        <v>1064</v>
      </c>
      <c r="F56" s="1" t="s">
        <v>1065</v>
      </c>
    </row>
    <row r="57" spans="2:6" x14ac:dyDescent="0.3">
      <c r="B57" s="19" t="s">
        <v>1066</v>
      </c>
      <c r="C57" s="19" t="s">
        <v>1067</v>
      </c>
      <c r="D57" s="19" t="s">
        <v>851</v>
      </c>
      <c r="E57" s="1" t="s">
        <v>1068</v>
      </c>
      <c r="F57" s="1" t="s">
        <v>1069</v>
      </c>
    </row>
    <row r="58" spans="2:6" x14ac:dyDescent="0.3">
      <c r="B58" s="19" t="s">
        <v>1070</v>
      </c>
      <c r="C58" s="19" t="s">
        <v>1071</v>
      </c>
      <c r="D58" s="19" t="s">
        <v>851</v>
      </c>
      <c r="E58" s="1" t="s">
        <v>1072</v>
      </c>
      <c r="F58" s="1" t="s">
        <v>1073</v>
      </c>
    </row>
    <row r="59" spans="2:6" x14ac:dyDescent="0.3">
      <c r="B59" s="19" t="s">
        <v>1074</v>
      </c>
      <c r="C59" s="19" t="s">
        <v>1075</v>
      </c>
      <c r="D59" s="19" t="s">
        <v>851</v>
      </c>
      <c r="E59" s="1" t="s">
        <v>1076</v>
      </c>
      <c r="F59" s="1" t="s">
        <v>1077</v>
      </c>
    </row>
    <row r="60" spans="2:6" x14ac:dyDescent="0.3">
      <c r="B60" s="19" t="s">
        <v>1078</v>
      </c>
      <c r="C60" s="19" t="s">
        <v>1079</v>
      </c>
      <c r="D60" s="19" t="s">
        <v>851</v>
      </c>
      <c r="E60" s="1" t="s">
        <v>1080</v>
      </c>
      <c r="F60" s="1" t="s">
        <v>1081</v>
      </c>
    </row>
    <row r="61" spans="2:6" x14ac:dyDescent="0.3">
      <c r="B61" s="19" t="s">
        <v>1082</v>
      </c>
      <c r="C61" s="19" t="s">
        <v>1083</v>
      </c>
      <c r="D61" s="19" t="s">
        <v>851</v>
      </c>
      <c r="E61" s="1" t="s">
        <v>1084</v>
      </c>
      <c r="F61" s="1" t="s">
        <v>1085</v>
      </c>
    </row>
    <row r="62" spans="2:6" x14ac:dyDescent="0.3">
      <c r="B62" s="19" t="s">
        <v>1086</v>
      </c>
      <c r="C62" s="19" t="s">
        <v>1087</v>
      </c>
      <c r="D62" s="19" t="s">
        <v>851</v>
      </c>
      <c r="E62" s="1" t="s">
        <v>1088</v>
      </c>
      <c r="F62" s="1" t="s">
        <v>1089</v>
      </c>
    </row>
    <row r="63" spans="2:6" x14ac:dyDescent="0.3">
      <c r="B63" s="19" t="s">
        <v>1090</v>
      </c>
      <c r="C63" s="19" t="s">
        <v>1091</v>
      </c>
      <c r="D63" s="19" t="s">
        <v>851</v>
      </c>
      <c r="E63" s="1" t="s">
        <v>1092</v>
      </c>
      <c r="F63" s="1" t="s">
        <v>1093</v>
      </c>
    </row>
    <row r="64" spans="2:6" x14ac:dyDescent="0.3">
      <c r="B64" s="19" t="s">
        <v>1094</v>
      </c>
      <c r="C64" s="19" t="s">
        <v>1095</v>
      </c>
      <c r="D64" s="19" t="s">
        <v>851</v>
      </c>
      <c r="E64" s="1" t="s">
        <v>1096</v>
      </c>
      <c r="F64" s="1" t="s">
        <v>1097</v>
      </c>
    </row>
    <row r="65" spans="2:6" x14ac:dyDescent="0.3">
      <c r="B65" s="19" t="s">
        <v>1098</v>
      </c>
      <c r="C65" s="19" t="s">
        <v>1099</v>
      </c>
      <c r="D65" s="19" t="s">
        <v>851</v>
      </c>
      <c r="E65" s="1" t="s">
        <v>1100</v>
      </c>
      <c r="F65" s="1" t="s">
        <v>1101</v>
      </c>
    </row>
    <row r="66" spans="2:6" x14ac:dyDescent="0.3">
      <c r="B66" s="19" t="s">
        <v>1102</v>
      </c>
      <c r="C66" s="19" t="s">
        <v>1103</v>
      </c>
      <c r="D66" s="19" t="s">
        <v>851</v>
      </c>
      <c r="E66" s="1" t="s">
        <v>1104</v>
      </c>
      <c r="F66" s="1" t="s">
        <v>1105</v>
      </c>
    </row>
    <row r="67" spans="2:6" x14ac:dyDescent="0.3">
      <c r="B67" s="19" t="s">
        <v>1106</v>
      </c>
      <c r="C67" s="19" t="s">
        <v>1107</v>
      </c>
      <c r="D67" s="19" t="s">
        <v>851</v>
      </c>
      <c r="E67" s="1" t="s">
        <v>1108</v>
      </c>
      <c r="F67" s="1" t="s">
        <v>1109</v>
      </c>
    </row>
    <row r="68" spans="2:6" x14ac:dyDescent="0.3">
      <c r="B68" s="19" t="s">
        <v>1110</v>
      </c>
      <c r="C68" s="19" t="s">
        <v>1111</v>
      </c>
      <c r="D68" s="19" t="s">
        <v>851</v>
      </c>
      <c r="E68" s="1" t="s">
        <v>1112</v>
      </c>
      <c r="F68" s="1" t="s">
        <v>1113</v>
      </c>
    </row>
    <row r="69" spans="2:6" x14ac:dyDescent="0.3">
      <c r="B69" s="19" t="s">
        <v>1114</v>
      </c>
      <c r="C69" s="19" t="s">
        <v>1115</v>
      </c>
      <c r="D69" s="19" t="s">
        <v>851</v>
      </c>
      <c r="E69" s="1" t="s">
        <v>1116</v>
      </c>
      <c r="F69" s="1" t="s">
        <v>1117</v>
      </c>
    </row>
    <row r="70" spans="2:6" x14ac:dyDescent="0.3">
      <c r="B70" s="19" t="s">
        <v>1118</v>
      </c>
      <c r="C70" s="19" t="s">
        <v>1119</v>
      </c>
      <c r="D70" s="19" t="s">
        <v>851</v>
      </c>
      <c r="E70" s="1" t="s">
        <v>1120</v>
      </c>
      <c r="F70" s="1" t="s">
        <v>1121</v>
      </c>
    </row>
    <row r="71" spans="2:6" x14ac:dyDescent="0.3">
      <c r="B71" s="19" t="s">
        <v>1122</v>
      </c>
      <c r="C71" s="19" t="s">
        <v>1123</v>
      </c>
      <c r="D71" s="19" t="s">
        <v>851</v>
      </c>
      <c r="E71" s="1" t="s">
        <v>1124</v>
      </c>
      <c r="F71" s="1" t="s">
        <v>1125</v>
      </c>
    </row>
    <row r="72" spans="2:6" x14ac:dyDescent="0.3">
      <c r="B72" s="19" t="s">
        <v>1126</v>
      </c>
      <c r="C72" s="19" t="s">
        <v>1127</v>
      </c>
      <c r="D72" s="19" t="s">
        <v>851</v>
      </c>
      <c r="E72" s="1" t="s">
        <v>1128</v>
      </c>
      <c r="F72" s="1" t="s">
        <v>1129</v>
      </c>
    </row>
    <row r="73" spans="2:6" x14ac:dyDescent="0.3">
      <c r="B73" s="19" t="s">
        <v>1130</v>
      </c>
      <c r="C73" s="19" t="s">
        <v>1131</v>
      </c>
      <c r="D73" s="19" t="s">
        <v>851</v>
      </c>
      <c r="E73" s="1" t="s">
        <v>1132</v>
      </c>
      <c r="F73" s="1" t="s">
        <v>1133</v>
      </c>
    </row>
    <row r="74" spans="2:6" x14ac:dyDescent="0.3">
      <c r="B74" s="19" t="s">
        <v>1134</v>
      </c>
      <c r="C74" s="19" t="s">
        <v>1135</v>
      </c>
      <c r="D74" s="19" t="s">
        <v>851</v>
      </c>
      <c r="E74" s="1" t="s">
        <v>1136</v>
      </c>
      <c r="F74" s="1" t="s">
        <v>1137</v>
      </c>
    </row>
    <row r="75" spans="2:6" x14ac:dyDescent="0.3">
      <c r="B75" s="19" t="s">
        <v>1138</v>
      </c>
      <c r="C75" s="19" t="s">
        <v>1139</v>
      </c>
      <c r="D75" s="19" t="s">
        <v>851</v>
      </c>
      <c r="E75" s="1" t="s">
        <v>1140</v>
      </c>
      <c r="F75" s="1" t="s">
        <v>1141</v>
      </c>
    </row>
    <row r="76" spans="2:6" x14ac:dyDescent="0.3">
      <c r="B76" s="19" t="s">
        <v>1142</v>
      </c>
      <c r="C76" s="19" t="s">
        <v>1143</v>
      </c>
      <c r="D76" s="19" t="s">
        <v>851</v>
      </c>
      <c r="E76" s="1" t="s">
        <v>1144</v>
      </c>
      <c r="F76" s="1" t="s">
        <v>1145</v>
      </c>
    </row>
    <row r="77" spans="2:6" x14ac:dyDescent="0.3">
      <c r="B77" s="19" t="s">
        <v>1146</v>
      </c>
      <c r="C77" s="19" t="s">
        <v>1147</v>
      </c>
      <c r="D77" s="19" t="s">
        <v>851</v>
      </c>
      <c r="E77" s="1" t="s">
        <v>1148</v>
      </c>
      <c r="F77" s="1" t="s">
        <v>1149</v>
      </c>
    </row>
    <row r="78" spans="2:6" x14ac:dyDescent="0.3">
      <c r="B78" s="2" t="s">
        <v>1150</v>
      </c>
      <c r="C78" s="2" t="s">
        <v>1151</v>
      </c>
      <c r="D78" s="19" t="s">
        <v>851</v>
      </c>
      <c r="E78" s="1" t="s">
        <v>1152</v>
      </c>
      <c r="F78" s="1" t="s">
        <v>1153</v>
      </c>
    </row>
    <row r="79" spans="2:6" x14ac:dyDescent="0.3">
      <c r="B79" s="19" t="s">
        <v>1154</v>
      </c>
      <c r="C79" s="19" t="s">
        <v>1155</v>
      </c>
      <c r="D79" s="19" t="s">
        <v>851</v>
      </c>
      <c r="E79" s="1" t="s">
        <v>1156</v>
      </c>
      <c r="F79" s="1" t="s">
        <v>1157</v>
      </c>
    </row>
    <row r="80" spans="2:6" x14ac:dyDescent="0.3">
      <c r="B80" s="19" t="s">
        <v>1158</v>
      </c>
      <c r="C80" s="19" t="s">
        <v>1159</v>
      </c>
      <c r="D80" s="19" t="s">
        <v>851</v>
      </c>
      <c r="E80" s="1" t="s">
        <v>1160</v>
      </c>
      <c r="F80" s="1" t="s">
        <v>1161</v>
      </c>
    </row>
    <row r="81" spans="2:6" x14ac:dyDescent="0.3">
      <c r="B81" s="19" t="s">
        <v>1162</v>
      </c>
      <c r="C81" s="19" t="s">
        <v>1163</v>
      </c>
      <c r="D81" s="19" t="s">
        <v>851</v>
      </c>
      <c r="E81" s="1" t="s">
        <v>1164</v>
      </c>
      <c r="F81" s="1" t="s">
        <v>1165</v>
      </c>
    </row>
    <row r="82" spans="2:6" x14ac:dyDescent="0.3">
      <c r="B82" s="19" t="s">
        <v>1166</v>
      </c>
      <c r="C82" s="19" t="s">
        <v>1167</v>
      </c>
      <c r="D82" s="19" t="s">
        <v>851</v>
      </c>
      <c r="E82" s="1" t="s">
        <v>1168</v>
      </c>
      <c r="F82" s="1" t="s">
        <v>1169</v>
      </c>
    </row>
    <row r="83" spans="2:6" x14ac:dyDescent="0.3">
      <c r="B83" s="19" t="s">
        <v>1170</v>
      </c>
      <c r="C83" s="19" t="s">
        <v>1171</v>
      </c>
      <c r="D83" s="19" t="s">
        <v>851</v>
      </c>
      <c r="E83" s="1" t="s">
        <v>1172</v>
      </c>
      <c r="F83" s="15" t="s">
        <v>1173</v>
      </c>
    </row>
    <row r="84" spans="2:6" x14ac:dyDescent="0.3">
      <c r="B84" s="19" t="s">
        <v>1174</v>
      </c>
      <c r="C84" s="19" t="s">
        <v>1175</v>
      </c>
      <c r="D84" s="19" t="s">
        <v>851</v>
      </c>
      <c r="E84" s="1" t="s">
        <v>1176</v>
      </c>
      <c r="F84" s="1" t="s">
        <v>1177</v>
      </c>
    </row>
    <row r="85" spans="2:6" x14ac:dyDescent="0.3">
      <c r="B85" s="19" t="s">
        <v>1178</v>
      </c>
      <c r="C85" s="19" t="s">
        <v>1179</v>
      </c>
      <c r="D85" s="19" t="s">
        <v>851</v>
      </c>
      <c r="E85" s="1" t="s">
        <v>1180</v>
      </c>
      <c r="F85" s="1" t="s">
        <v>1181</v>
      </c>
    </row>
    <row r="86" spans="2:6" x14ac:dyDescent="0.3">
      <c r="B86" s="19" t="s">
        <v>1182</v>
      </c>
      <c r="C86" s="19" t="s">
        <v>1183</v>
      </c>
      <c r="D86" s="19" t="s">
        <v>851</v>
      </c>
      <c r="E86" s="1" t="s">
        <v>1184</v>
      </c>
      <c r="F86" s="1" t="s">
        <v>1185</v>
      </c>
    </row>
    <row r="87" spans="2:6" x14ac:dyDescent="0.3">
      <c r="B87" s="19" t="s">
        <v>1186</v>
      </c>
      <c r="C87" s="19" t="s">
        <v>1187</v>
      </c>
      <c r="D87" s="19" t="s">
        <v>851</v>
      </c>
      <c r="E87" s="1" t="s">
        <v>1188</v>
      </c>
      <c r="F87" s="24" t="s">
        <v>1189</v>
      </c>
    </row>
    <row r="88" spans="2:6" x14ac:dyDescent="0.3">
      <c r="B88" s="19" t="s">
        <v>1190</v>
      </c>
      <c r="C88" s="19" t="s">
        <v>1191</v>
      </c>
      <c r="D88" s="19" t="s">
        <v>851</v>
      </c>
      <c r="E88" s="1" t="s">
        <v>1192</v>
      </c>
      <c r="F88" s="1" t="s">
        <v>1193</v>
      </c>
    </row>
    <row r="89" spans="2:6" x14ac:dyDescent="0.3">
      <c r="B89" s="19" t="s">
        <v>1194</v>
      </c>
      <c r="C89" s="19" t="s">
        <v>1195</v>
      </c>
      <c r="D89" s="19" t="s">
        <v>851</v>
      </c>
      <c r="E89" s="1" t="s">
        <v>1196</v>
      </c>
      <c r="F89" s="1" t="s">
        <v>1197</v>
      </c>
    </row>
    <row r="90" spans="2:6" x14ac:dyDescent="0.3">
      <c r="B90" s="19" t="s">
        <v>1198</v>
      </c>
      <c r="C90" s="19" t="s">
        <v>1199</v>
      </c>
      <c r="D90" s="19" t="s">
        <v>851</v>
      </c>
      <c r="E90" s="1" t="s">
        <v>1200</v>
      </c>
      <c r="F90" s="1" t="s">
        <v>1201</v>
      </c>
    </row>
    <row r="91" spans="2:6" x14ac:dyDescent="0.3">
      <c r="B91" s="19" t="s">
        <v>1202</v>
      </c>
      <c r="C91" s="19" t="s">
        <v>1203</v>
      </c>
      <c r="D91" s="19" t="s">
        <v>851</v>
      </c>
      <c r="E91" s="1" t="s">
        <v>1204</v>
      </c>
      <c r="F91" s="1" t="s">
        <v>1205</v>
      </c>
    </row>
    <row r="92" spans="2:6" x14ac:dyDescent="0.3">
      <c r="B92" s="19" t="s">
        <v>1206</v>
      </c>
      <c r="C92" s="19" t="s">
        <v>1207</v>
      </c>
      <c r="D92" s="19" t="s">
        <v>851</v>
      </c>
      <c r="E92" s="1" t="s">
        <v>1208</v>
      </c>
      <c r="F92" s="1" t="s">
        <v>1209</v>
      </c>
    </row>
    <row r="93" spans="2:6" x14ac:dyDescent="0.3">
      <c r="B93" s="19" t="s">
        <v>1210</v>
      </c>
      <c r="C93" s="19" t="s">
        <v>1211</v>
      </c>
      <c r="D93" s="19" t="s">
        <v>851</v>
      </c>
      <c r="E93" s="1" t="s">
        <v>1212</v>
      </c>
      <c r="F93" s="1" t="s">
        <v>1213</v>
      </c>
    </row>
    <row r="94" spans="2:6" x14ac:dyDescent="0.3">
      <c r="B94" s="19" t="s">
        <v>1214</v>
      </c>
      <c r="C94" s="19" t="s">
        <v>1215</v>
      </c>
      <c r="D94" s="19" t="s">
        <v>851</v>
      </c>
      <c r="E94" s="1" t="s">
        <v>1216</v>
      </c>
      <c r="F94" s="1" t="s">
        <v>1217</v>
      </c>
    </row>
    <row r="95" spans="2:6" x14ac:dyDescent="0.3">
      <c r="B95" s="19" t="s">
        <v>1218</v>
      </c>
      <c r="C95" s="19" t="s">
        <v>1219</v>
      </c>
      <c r="D95" s="19" t="s">
        <v>851</v>
      </c>
      <c r="E95" s="1" t="s">
        <v>1220</v>
      </c>
      <c r="F95" s="1" t="s">
        <v>1221</v>
      </c>
    </row>
    <row r="96" spans="2:6" x14ac:dyDescent="0.3">
      <c r="B96" s="19" t="s">
        <v>1222</v>
      </c>
      <c r="C96" s="19" t="s">
        <v>1223</v>
      </c>
      <c r="D96" s="19" t="s">
        <v>851</v>
      </c>
      <c r="E96" s="1" t="s">
        <v>1224</v>
      </c>
      <c r="F96" s="1" t="s">
        <v>1225</v>
      </c>
    </row>
    <row r="97" spans="2:6" x14ac:dyDescent="0.3">
      <c r="B97" s="19" t="s">
        <v>1226</v>
      </c>
      <c r="C97" s="19" t="s">
        <v>1227</v>
      </c>
      <c r="D97" s="19" t="s">
        <v>851</v>
      </c>
      <c r="E97" s="1" t="s">
        <v>1228</v>
      </c>
      <c r="F97" s="1" t="s">
        <v>1229</v>
      </c>
    </row>
    <row r="98" spans="2:6" x14ac:dyDescent="0.3">
      <c r="B98" s="19" t="s">
        <v>1230</v>
      </c>
      <c r="C98" s="19" t="s">
        <v>1231</v>
      </c>
      <c r="D98" s="19" t="s">
        <v>851</v>
      </c>
      <c r="E98" s="1" t="s">
        <v>1232</v>
      </c>
      <c r="F98" s="1" t="s">
        <v>1233</v>
      </c>
    </row>
    <row r="99" spans="2:6" x14ac:dyDescent="0.3">
      <c r="B99" s="19" t="s">
        <v>1234</v>
      </c>
      <c r="C99" s="19" t="s">
        <v>1235</v>
      </c>
      <c r="D99" s="19" t="s">
        <v>851</v>
      </c>
      <c r="E99" s="1" t="s">
        <v>1236</v>
      </c>
      <c r="F99" s="1" t="s">
        <v>1237</v>
      </c>
    </row>
    <row r="100" spans="2:6" x14ac:dyDescent="0.3">
      <c r="B100" s="19" t="s">
        <v>1238</v>
      </c>
      <c r="C100" s="19" t="s">
        <v>1239</v>
      </c>
      <c r="D100" s="19" t="s">
        <v>851</v>
      </c>
      <c r="E100" s="1" t="s">
        <v>1240</v>
      </c>
      <c r="F100" s="1" t="s">
        <v>1241</v>
      </c>
    </row>
    <row r="101" spans="2:6" x14ac:dyDescent="0.3">
      <c r="B101" s="19" t="s">
        <v>1242</v>
      </c>
      <c r="C101" s="19" t="s">
        <v>1243</v>
      </c>
      <c r="D101" s="19" t="s">
        <v>851</v>
      </c>
      <c r="E101" s="1" t="s">
        <v>1244</v>
      </c>
      <c r="F101" s="1" t="s">
        <v>1245</v>
      </c>
    </row>
    <row r="102" spans="2:6" x14ac:dyDescent="0.3">
      <c r="B102" s="19" t="s">
        <v>1246</v>
      </c>
      <c r="C102" s="19" t="s">
        <v>1247</v>
      </c>
      <c r="D102" s="19" t="s">
        <v>851</v>
      </c>
      <c r="E102" s="1" t="s">
        <v>1248</v>
      </c>
      <c r="F102" s="1" t="s">
        <v>1249</v>
      </c>
    </row>
    <row r="103" spans="2:6" x14ac:dyDescent="0.3">
      <c r="B103" s="19" t="s">
        <v>1250</v>
      </c>
      <c r="C103" s="19" t="s">
        <v>1251</v>
      </c>
      <c r="D103" s="19" t="s">
        <v>851</v>
      </c>
      <c r="E103" s="1" t="s">
        <v>1252</v>
      </c>
      <c r="F103" s="1" t="s">
        <v>1253</v>
      </c>
    </row>
    <row r="104" spans="2:6" x14ac:dyDescent="0.3">
      <c r="B104" s="19" t="s">
        <v>1254</v>
      </c>
      <c r="C104" s="19" t="s">
        <v>1255</v>
      </c>
      <c r="D104" s="19" t="s">
        <v>851</v>
      </c>
      <c r="E104" s="1" t="s">
        <v>1256</v>
      </c>
      <c r="F104" s="1" t="s">
        <v>1257</v>
      </c>
    </row>
    <row r="105" spans="2:6" x14ac:dyDescent="0.3">
      <c r="B105" s="19" t="s">
        <v>1258</v>
      </c>
      <c r="C105" s="19" t="s">
        <v>1259</v>
      </c>
      <c r="D105" s="19" t="s">
        <v>851</v>
      </c>
      <c r="E105" s="1" t="s">
        <v>1260</v>
      </c>
      <c r="F105" s="1" t="s">
        <v>1261</v>
      </c>
    </row>
    <row r="106" spans="2:6" x14ac:dyDescent="0.3">
      <c r="B106" s="19" t="s">
        <v>1262</v>
      </c>
      <c r="C106" s="19" t="s">
        <v>1263</v>
      </c>
      <c r="D106" s="19" t="s">
        <v>851</v>
      </c>
      <c r="E106" s="1" t="s">
        <v>1264</v>
      </c>
      <c r="F106" s="1" t="s">
        <v>1265</v>
      </c>
    </row>
    <row r="107" spans="2:6" x14ac:dyDescent="0.3">
      <c r="B107" s="19" t="s">
        <v>1266</v>
      </c>
      <c r="C107" s="19" t="s">
        <v>1267</v>
      </c>
      <c r="D107" s="19" t="s">
        <v>851</v>
      </c>
      <c r="E107" s="1" t="s">
        <v>1268</v>
      </c>
      <c r="F107" s="1" t="s">
        <v>1269</v>
      </c>
    </row>
    <row r="108" spans="2:6" x14ac:dyDescent="0.3">
      <c r="B108" s="19" t="s">
        <v>1270</v>
      </c>
      <c r="C108" s="19" t="s">
        <v>1271</v>
      </c>
      <c r="D108" s="19" t="s">
        <v>851</v>
      </c>
      <c r="E108" s="1" t="s">
        <v>1272</v>
      </c>
      <c r="F108" s="1" t="s">
        <v>1273</v>
      </c>
    </row>
    <row r="109" spans="2:6" x14ac:dyDescent="0.3">
      <c r="B109" s="19" t="s">
        <v>1274</v>
      </c>
      <c r="C109" s="19" t="s">
        <v>1275</v>
      </c>
      <c r="D109" s="19" t="s">
        <v>851</v>
      </c>
      <c r="E109" s="1" t="s">
        <v>1276</v>
      </c>
      <c r="F109" s="1" t="s">
        <v>1277</v>
      </c>
    </row>
    <row r="110" spans="2:6" x14ac:dyDescent="0.3">
      <c r="B110" s="19" t="s">
        <v>1278</v>
      </c>
      <c r="C110" s="19" t="s">
        <v>1279</v>
      </c>
      <c r="D110" s="19" t="s">
        <v>851</v>
      </c>
      <c r="E110" s="1" t="s">
        <v>1280</v>
      </c>
      <c r="F110" s="1" t="s">
        <v>1281</v>
      </c>
    </row>
    <row r="111" spans="2:6" x14ac:dyDescent="0.3">
      <c r="B111" s="19" t="s">
        <v>1282</v>
      </c>
      <c r="C111" s="19" t="s">
        <v>1283</v>
      </c>
      <c r="D111" s="19" t="s">
        <v>851</v>
      </c>
      <c r="E111" s="1" t="s">
        <v>1284</v>
      </c>
      <c r="F111" s="1" t="s">
        <v>1285</v>
      </c>
    </row>
    <row r="112" spans="2:6" x14ac:dyDescent="0.3">
      <c r="B112" s="19" t="s">
        <v>1286</v>
      </c>
      <c r="C112" s="19" t="s">
        <v>1287</v>
      </c>
      <c r="D112" s="19" t="s">
        <v>851</v>
      </c>
      <c r="E112" s="1" t="s">
        <v>1288</v>
      </c>
      <c r="F112" s="1" t="s">
        <v>1289</v>
      </c>
    </row>
    <row r="113" spans="2:6" x14ac:dyDescent="0.3">
      <c r="B113" s="19" t="s">
        <v>1290</v>
      </c>
      <c r="C113" s="19" t="s">
        <v>1291</v>
      </c>
      <c r="D113" s="19" t="s">
        <v>851</v>
      </c>
      <c r="E113" s="1" t="s">
        <v>1292</v>
      </c>
      <c r="F113" s="1" t="s">
        <v>1293</v>
      </c>
    </row>
    <row r="114" spans="2:6" x14ac:dyDescent="0.3">
      <c r="B114" s="19" t="s">
        <v>1294</v>
      </c>
      <c r="C114" s="19" t="s">
        <v>1295</v>
      </c>
      <c r="D114" s="19" t="s">
        <v>851</v>
      </c>
      <c r="E114" s="1" t="s">
        <v>1296</v>
      </c>
      <c r="F114" s="1" t="s">
        <v>1297</v>
      </c>
    </row>
    <row r="115" spans="2:6" x14ac:dyDescent="0.3">
      <c r="B115" s="19" t="s">
        <v>1298</v>
      </c>
      <c r="C115" s="19" t="s">
        <v>1299</v>
      </c>
      <c r="D115" s="19" t="s">
        <v>851</v>
      </c>
      <c r="E115" s="1" t="s">
        <v>1300</v>
      </c>
      <c r="F115" s="1" t="s">
        <v>1301</v>
      </c>
    </row>
    <row r="116" spans="2:6" x14ac:dyDescent="0.3">
      <c r="B116" s="19" t="s">
        <v>1302</v>
      </c>
      <c r="C116" s="19" t="s">
        <v>1303</v>
      </c>
      <c r="D116" s="19" t="s">
        <v>851</v>
      </c>
      <c r="E116" s="1" t="s">
        <v>1304</v>
      </c>
      <c r="F116" s="1" t="s">
        <v>1305</v>
      </c>
    </row>
    <row r="117" spans="2:6" x14ac:dyDescent="0.3">
      <c r="B117" s="19" t="s">
        <v>1306</v>
      </c>
      <c r="C117" s="19" t="s">
        <v>1307</v>
      </c>
      <c r="D117" s="19" t="s">
        <v>851</v>
      </c>
      <c r="E117" s="1" t="s">
        <v>1308</v>
      </c>
      <c r="F117" s="1" t="s">
        <v>1309</v>
      </c>
    </row>
    <row r="118" spans="2:6" x14ac:dyDescent="0.3">
      <c r="B118" s="19" t="s">
        <v>1310</v>
      </c>
      <c r="C118" s="19" t="s">
        <v>1311</v>
      </c>
      <c r="D118" s="19" t="s">
        <v>851</v>
      </c>
      <c r="E118" s="1" t="s">
        <v>1312</v>
      </c>
      <c r="F118" s="1" t="s">
        <v>1313</v>
      </c>
    </row>
    <row r="119" spans="2:6" x14ac:dyDescent="0.3">
      <c r="B119" s="19" t="s">
        <v>1314</v>
      </c>
      <c r="C119" s="19" t="s">
        <v>1315</v>
      </c>
      <c r="D119" s="19" t="s">
        <v>851</v>
      </c>
      <c r="E119" s="1" t="s">
        <v>1316</v>
      </c>
      <c r="F119" s="1" t="s">
        <v>1317</v>
      </c>
    </row>
    <row r="120" spans="2:6" x14ac:dyDescent="0.3">
      <c r="B120" s="19" t="s">
        <v>1318</v>
      </c>
      <c r="C120" s="19" t="s">
        <v>1319</v>
      </c>
      <c r="D120" s="19" t="s">
        <v>851</v>
      </c>
      <c r="E120" s="1" t="s">
        <v>1320</v>
      </c>
      <c r="F120" s="1" t="s">
        <v>1321</v>
      </c>
    </row>
    <row r="121" spans="2:6" x14ac:dyDescent="0.3">
      <c r="B121" s="19" t="s">
        <v>1322</v>
      </c>
      <c r="C121" s="19" t="s">
        <v>1323</v>
      </c>
      <c r="D121" s="19" t="s">
        <v>851</v>
      </c>
      <c r="E121" s="1" t="s">
        <v>1324</v>
      </c>
      <c r="F121" s="1" t="s">
        <v>1325</v>
      </c>
    </row>
    <row r="122" spans="2:6" x14ac:dyDescent="0.3">
      <c r="B122" s="19" t="s">
        <v>1326</v>
      </c>
      <c r="C122" s="19" t="s">
        <v>1327</v>
      </c>
      <c r="D122" s="19" t="s">
        <v>851</v>
      </c>
      <c r="E122" s="1" t="s">
        <v>1328</v>
      </c>
      <c r="F122" s="1" t="s">
        <v>1329</v>
      </c>
    </row>
    <row r="123" spans="2:6" x14ac:dyDescent="0.3">
      <c r="B123" s="19" t="s">
        <v>1330</v>
      </c>
      <c r="C123" s="19" t="s">
        <v>1331</v>
      </c>
      <c r="D123" s="19" t="s">
        <v>851</v>
      </c>
      <c r="E123" s="1" t="s">
        <v>1332</v>
      </c>
      <c r="F123" s="1" t="s">
        <v>1333</v>
      </c>
    </row>
    <row r="124" spans="2:6" x14ac:dyDescent="0.3">
      <c r="B124" s="19" t="s">
        <v>1334</v>
      </c>
      <c r="C124" s="19" t="s">
        <v>1335</v>
      </c>
      <c r="D124" s="19" t="s">
        <v>851</v>
      </c>
      <c r="E124" s="1" t="s">
        <v>1336</v>
      </c>
      <c r="F124" s="1" t="s">
        <v>1337</v>
      </c>
    </row>
    <row r="125" spans="2:6" x14ac:dyDescent="0.3">
      <c r="B125" s="19" t="s">
        <v>1338</v>
      </c>
      <c r="C125" s="19" t="s">
        <v>1339</v>
      </c>
      <c r="D125" s="19" t="s">
        <v>851</v>
      </c>
      <c r="E125" s="1" t="s">
        <v>1340</v>
      </c>
      <c r="F125" s="1" t="s">
        <v>1341</v>
      </c>
    </row>
    <row r="126" spans="2:6" x14ac:dyDescent="0.3">
      <c r="B126" s="19" t="s">
        <v>1342</v>
      </c>
      <c r="C126" s="19" t="s">
        <v>1343</v>
      </c>
      <c r="D126" s="19" t="s">
        <v>851</v>
      </c>
      <c r="E126" s="1" t="s">
        <v>1344</v>
      </c>
      <c r="F126" s="1" t="s">
        <v>1345</v>
      </c>
    </row>
    <row r="127" spans="2:6" x14ac:dyDescent="0.3">
      <c r="B127" s="19" t="s">
        <v>1346</v>
      </c>
      <c r="C127" s="19" t="s">
        <v>1347</v>
      </c>
      <c r="D127" s="19" t="s">
        <v>851</v>
      </c>
      <c r="E127" s="1" t="s">
        <v>1348</v>
      </c>
      <c r="F127" s="1" t="s">
        <v>1349</v>
      </c>
    </row>
    <row r="128" spans="2:6" x14ac:dyDescent="0.3">
      <c r="B128" s="19" t="s">
        <v>1350</v>
      </c>
      <c r="C128" s="19" t="s">
        <v>1351</v>
      </c>
      <c r="D128" s="19" t="s">
        <v>851</v>
      </c>
      <c r="E128" s="1" t="s">
        <v>1352</v>
      </c>
      <c r="F128" s="1" t="s">
        <v>1353</v>
      </c>
    </row>
    <row r="129" spans="2:6" x14ac:dyDescent="0.3">
      <c r="B129" s="19" t="s">
        <v>1354</v>
      </c>
      <c r="C129" s="19" t="s">
        <v>1355</v>
      </c>
      <c r="D129" s="19" t="s">
        <v>851</v>
      </c>
      <c r="E129" s="1" t="s">
        <v>1356</v>
      </c>
      <c r="F129" s="1" t="s">
        <v>1357</v>
      </c>
    </row>
    <row r="130" spans="2:6" x14ac:dyDescent="0.3">
      <c r="B130" s="19" t="s">
        <v>1358</v>
      </c>
      <c r="C130" s="19" t="s">
        <v>1359</v>
      </c>
      <c r="D130" s="19" t="s">
        <v>851</v>
      </c>
      <c r="E130" s="1" t="s">
        <v>1360</v>
      </c>
      <c r="F130" s="1" t="s">
        <v>1361</v>
      </c>
    </row>
    <row r="131" spans="2:6" x14ac:dyDescent="0.3">
      <c r="B131" s="19" t="s">
        <v>1362</v>
      </c>
      <c r="C131" s="19" t="s">
        <v>1363</v>
      </c>
      <c r="D131" s="19" t="s">
        <v>851</v>
      </c>
      <c r="E131" s="1" t="s">
        <v>1364</v>
      </c>
      <c r="F131" s="1" t="s">
        <v>1365</v>
      </c>
    </row>
    <row r="132" spans="2:6" x14ac:dyDescent="0.3">
      <c r="B132" s="19" t="s">
        <v>1366</v>
      </c>
      <c r="C132" s="19" t="s">
        <v>1367</v>
      </c>
      <c r="D132" s="19" t="s">
        <v>851</v>
      </c>
      <c r="E132" s="1" t="s">
        <v>1368</v>
      </c>
      <c r="F132" s="1" t="s">
        <v>1369</v>
      </c>
    </row>
    <row r="133" spans="2:6" x14ac:dyDescent="0.3">
      <c r="B133" s="19" t="s">
        <v>1370</v>
      </c>
      <c r="C133" s="19" t="s">
        <v>1371</v>
      </c>
      <c r="D133" s="19" t="s">
        <v>851</v>
      </c>
      <c r="E133" s="1" t="s">
        <v>1372</v>
      </c>
      <c r="F133" s="1" t="s">
        <v>1373</v>
      </c>
    </row>
    <row r="134" spans="2:6" x14ac:dyDescent="0.3">
      <c r="B134" s="19" t="s">
        <v>1374</v>
      </c>
      <c r="C134" s="19" t="s">
        <v>1375</v>
      </c>
      <c r="D134" s="19" t="s">
        <v>851</v>
      </c>
      <c r="E134" s="1" t="s">
        <v>1376</v>
      </c>
      <c r="F134" s="1" t="s">
        <v>1377</v>
      </c>
    </row>
    <row r="135" spans="2:6" x14ac:dyDescent="0.3">
      <c r="B135" s="19" t="s">
        <v>1378</v>
      </c>
      <c r="C135" s="19" t="s">
        <v>1379</v>
      </c>
      <c r="D135" s="19" t="s">
        <v>851</v>
      </c>
      <c r="E135" s="1" t="s">
        <v>1380</v>
      </c>
      <c r="F135" s="1" t="s">
        <v>1381</v>
      </c>
    </row>
    <row r="136" spans="2:6" x14ac:dyDescent="0.3">
      <c r="B136" s="19" t="s">
        <v>1382</v>
      </c>
      <c r="C136" s="19" t="s">
        <v>1383</v>
      </c>
      <c r="D136" s="19" t="s">
        <v>851</v>
      </c>
      <c r="E136" s="1" t="s">
        <v>1384</v>
      </c>
      <c r="F136" s="1" t="s">
        <v>1385</v>
      </c>
    </row>
    <row r="137" spans="2:6" x14ac:dyDescent="0.3">
      <c r="B137" s="19" t="s">
        <v>1386</v>
      </c>
      <c r="C137" s="19" t="s">
        <v>1387</v>
      </c>
      <c r="D137" s="19" t="s">
        <v>851</v>
      </c>
      <c r="E137" s="1" t="s">
        <v>1388</v>
      </c>
      <c r="F137" s="1" t="s">
        <v>1389</v>
      </c>
    </row>
    <row r="138" spans="2:6" x14ac:dyDescent="0.3">
      <c r="B138" s="19" t="s">
        <v>1390</v>
      </c>
      <c r="C138" s="19" t="s">
        <v>1391</v>
      </c>
      <c r="D138" s="19" t="s">
        <v>851</v>
      </c>
      <c r="E138" s="1" t="s">
        <v>1392</v>
      </c>
      <c r="F138" s="1" t="s">
        <v>1393</v>
      </c>
    </row>
    <row r="139" spans="2:6" x14ac:dyDescent="0.3">
      <c r="B139" s="19" t="s">
        <v>1394</v>
      </c>
      <c r="C139" s="19" t="s">
        <v>1395</v>
      </c>
      <c r="D139" s="19" t="s">
        <v>851</v>
      </c>
      <c r="E139" s="1" t="s">
        <v>1396</v>
      </c>
      <c r="F139" s="1" t="s">
        <v>1397</v>
      </c>
    </row>
  </sheetData>
  <phoneticPr fontId="1" type="noConversion"/>
  <conditionalFormatting sqref="C1:C1048576">
    <cfRule type="duplicateValues" dxfId="2" priority="1"/>
  </conditionalFormatting>
  <conditionalFormatting sqref="C70:C139">
    <cfRule type="duplicateValues" dxfId="1" priority="17"/>
  </conditionalFormatting>
  <conditionalFormatting sqref="C3:C69">
    <cfRule type="duplicateValues" dxfId="0" priority="3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전체DCU 현황</vt:lpstr>
      <vt:lpstr>검토</vt:lpstr>
      <vt:lpstr>KT모뎀 현장회수대상(기존정지)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2026-07-30T01:43:51Z</cp:lastPrinted>
  <dcterms:created xsi:type="dcterms:W3CDTF">2026-07-29T06:08:54Z</dcterms:created>
  <dcterms:modified xsi:type="dcterms:W3CDTF">2026-07-30T02:06:39Z</dcterms:modified>
</cp:coreProperties>
</file>